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3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91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9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@ My Coding\Private\# BymaOrdersManager\"/>
    </mc:Choice>
  </mc:AlternateContent>
  <bookViews>
    <workbookView xWindow="0" yWindow="0" windowWidth="23040" windowHeight="11100" activeTab="1"/>
    <workbookView xWindow="0" yWindow="0" windowWidth="23040" windowHeight="11100" activeTab="1"/>
    <workbookView xWindow="0" yWindow="0" windowWidth="23040" windowHeight="11100" activeTab="1"/>
  </bookViews>
  <sheets>
    <sheet name="Resumen" sheetId="129" r:id="rId1"/>
    <sheet name="GGAL" sheetId="122" r:id="rId2"/>
    <sheet name="Costo Fin." sheetId="127" r:id="rId3"/>
    <sheet name="Opciones Gral" sheetId="55" state="hidden" r:id="rId4"/>
    <sheet name="log" sheetId="112" r:id="rId5"/>
    <sheet name="regOrds" sheetId="125" state="hidden" r:id="rId6"/>
    <sheet name="Datos Volat" sheetId="128" r:id="rId7"/>
    <sheet name="Datos" sheetId="65" r:id="rId8"/>
    <sheet name="Tablas AUXS" sheetId="1" state="hidden" r:id="rId9"/>
    <sheet name="Mejora Continua" sheetId="26" state="hidden" r:id="rId10"/>
    <sheet name="Control cambios" sheetId="27" state="hidden" r:id="rId11"/>
  </sheets>
  <functionGroups builtInGroupCount="18"/>
  <externalReferences>
    <externalReference r:id="rId12"/>
  </externalReferences>
  <definedNames>
    <definedName name="_xlnm._FilterDatabase" localSheetId="4" hidden="1">log!$A$3:$O$3</definedName>
    <definedName name="_xlnm._FilterDatabase" localSheetId="3" hidden="1">'Opciones Gral'!$B$6:$AQ$10</definedName>
    <definedName name="_xlnm._FilterDatabase" localSheetId="5" hidden="1">regOrds!$A$3:$O$3</definedName>
    <definedName name="ACCIONES">Datos!$B$278</definedName>
    <definedName name="ACTIVOS_A_OPERAR">Datos!$B$10:$D$15</definedName>
    <definedName name="ARANCELES">Datos!$B$277:$G$285</definedName>
    <definedName name="arrGraficoEjecutadoFinishEjeX" localSheetId="1">OFFSET(GGAL!$Y$21, GGAL!$II$8, 0, GGAL!$II$11)</definedName>
    <definedName name="arrGraficoEjecutadoFinishEjeY" localSheetId="1">OFFSET(GGAL!$IN$21, GGAL!$II$8, 0, GGAL!$II$11)</definedName>
    <definedName name="arrGraficoPruebaFinishEjeY" localSheetId="1">OFFSET(GGAL!$II$70, GGAL!$II$8, 0, GGAL!$II$11)</definedName>
    <definedName name="arrGraficoSoloPruebaFinishEjeY" localSheetId="1">OFFSET(GGAL!$IH$70, GGAL!$II$8, 0, GGAL!$II$11)</definedName>
    <definedName name="baseCantPrima" localSheetId="1">GGAL!$GS$310:$GU$1507</definedName>
    <definedName name="basesCantPrimaBrutoRes" localSheetId="1">GGAL!$EC$355:$EI$396</definedName>
    <definedName name="basesCantPrimaNetoRes" localSheetId="1">GGAL!$EC$310:$EI$351</definedName>
    <definedName name="BONOS">Datos!$B$277</definedName>
    <definedName name="CALLS_PRUEBA" localSheetId="1">GGAL!$EM$53:$EP$303</definedName>
    <definedName name="cants">'Tablas AUXS'!$H$8:$H$9</definedName>
    <definedName name="CAUCION_COLOCADORA">Datos!$B$283</definedName>
    <definedName name="CAUCION_TOMADORA">Datos!$B$284</definedName>
    <definedName name="CEDEARS">Datos!$B$279</definedName>
    <definedName name="COMIS_ACCION">Datos!$F$278</definedName>
    <definedName name="COMIS_BONOS">Datos!$F$277</definedName>
    <definedName name="COMIS_CAUCION_COLOC">Datos!$F$283</definedName>
    <definedName name="COMIS_CAUCION_TOM">Datos!$F$284</definedName>
    <definedName name="COMIS_CEDEARS">Datos!$F$279</definedName>
    <definedName name="COMIS_EJERCICIO_OPCION">Datos!$F$282</definedName>
    <definedName name="COMIS_OPCION">Datos!$F$280</definedName>
    <definedName name="comis_pesos" localSheetId="4">log!$S$1</definedName>
    <definedName name="comis_usd" localSheetId="4">log!$S$2</definedName>
    <definedName name="CON_COMIS" localSheetId="1">GGAL!$FA$1</definedName>
    <definedName name="CON_EJERCICIO" localSheetId="1">GGAL!$FK$1</definedName>
    <definedName name="cotizaciones_ADRGGAL">'Datos Volat'!$N$7:$S$109</definedName>
    <definedName name="cotizaciones_GGAL">'Datos Volat'!$C$7:$H$109</definedName>
    <definedName name="ESTADO">'Tablas AUXS'!$E$8:$E$10</definedName>
    <definedName name="ESTILO">'Tablas AUXS'!$F$8:$F$10</definedName>
    <definedName name="FACTOR_ADR">Datos!$B$131:$D$145</definedName>
    <definedName name="factor_cap">'Costo Fin.'!$H$7</definedName>
    <definedName name="hojaBasesPrecios" localSheetId="1">GGAL!$B$7:$K$47</definedName>
    <definedName name="im">'Costo Fin.'!$G$7</definedName>
    <definedName name="mariposas" localSheetId="1">GGAL!$GO$7:$HK$47</definedName>
    <definedName name="Operar">'Tablas AUXS'!$I$8:$I$9</definedName>
    <definedName name="operarMariposas" localSheetId="1">GGAL!$GO$4:$GR$6</definedName>
    <definedName name="PANEL_ACCIONES">'Opciones Gral'!$AH$7:$AP$10</definedName>
    <definedName name="PANEL_OPCIONES">'Opciones Gral'!$D$7:$AP$10</definedName>
    <definedName name="PRECIOS_BASES_CARTERA" localSheetId="1">GGAL!$AE$7:$AU$47</definedName>
    <definedName name="PRECIOS_BASES_MERCADO" localSheetId="1">GGAL!$AX$7:$CL$47</definedName>
    <definedName name="PRECIOS_EJERCICIOS" localSheetId="1">GGAL!$AD$7:$AE$48</definedName>
    <definedName name="PreciosCalls">Resumen!$B$15:$Q$55</definedName>
    <definedName name="precioshistoricos_ADRGGAL" localSheetId="6">'Datos Volat'!$N$9:$S$109</definedName>
    <definedName name="precioshistoricos_GGAL" localSheetId="6">'Datos Volat'!$C$9:$H$109</definedName>
    <definedName name="preciosPromedio" localSheetId="1">GGAL!$HM$310:$HT$1507</definedName>
    <definedName name="PreciosPuts">Resumen!$S$15:$AH$55</definedName>
    <definedName name="PUTS_PRUEBA" localSheetId="1">GGAL!$FH$53:$FJ$303</definedName>
    <definedName name="resumenBases" localSheetId="1">GGAL!$EC$310:$EI$350</definedName>
    <definedName name="TICKERS_ACCIONES_OPCIONES">Datos!$B$30:$E$122</definedName>
    <definedName name="TICKERS_OPCIONES_ACCIONES">Datos!$E$30:$F$122</definedName>
    <definedName name="TIPO">'Tablas AUXS'!$C$8:$C$11</definedName>
    <definedName name="totalBruto" localSheetId="1">GGAL!$ES$1508</definedName>
    <definedName name="totalNeto" localSheetId="1">GGAL!$EV$1508</definedName>
    <definedName name="totalNetoPrueba">GGAL!$FE$51</definedName>
    <definedName name="usd" localSheetId="4">log!$Q$2</definedName>
    <definedName name="users">Datos!$F$10:$J$24</definedName>
    <definedName name="ve">'Tablas AUXS'!$G$8:$G$9</definedName>
    <definedName name="VENCIMIENTOS_OPCIONES">Datos!$L$30:$N$65</definedName>
    <definedName name="VENCIMIENTOS_REF">Datos!$K$30:$L$65</definedName>
  </definedNames>
  <calcPr calcId="162913"/>
</workbook>
</file>

<file path=xl/calcChain.xml><?xml version="1.0" encoding="utf-8"?>
<calcChain xmlns="http://schemas.openxmlformats.org/spreadsheetml/2006/main">
  <c r="Q2" i="65" l="1"/>
  <c r="X2" i="128"/>
  <c r="V2" i="127"/>
  <c r="V1" i="127"/>
  <c r="A4" i="112"/>
  <c r="A5" i="112"/>
  <c r="A6" i="112"/>
  <c r="A7" i="112"/>
  <c r="A8" i="112"/>
  <c r="H73" i="129" l="1"/>
  <c r="F97" i="129"/>
  <c r="V80" i="129"/>
  <c r="AH91" i="129" l="1"/>
  <c r="AG91" i="129"/>
  <c r="AF91" i="129"/>
  <c r="AE91" i="129"/>
  <c r="AD91" i="129"/>
  <c r="Y91" i="129"/>
  <c r="X91" i="129"/>
  <c r="W91" i="129"/>
  <c r="V91" i="129"/>
  <c r="U91" i="129"/>
  <c r="T91" i="129"/>
  <c r="AH90" i="129"/>
  <c r="AG90" i="129"/>
  <c r="AF90" i="129"/>
  <c r="AE90" i="129"/>
  <c r="AD90" i="129"/>
  <c r="Y90" i="129"/>
  <c r="X90" i="129"/>
  <c r="W90" i="129"/>
  <c r="V90" i="129"/>
  <c r="U90" i="129"/>
  <c r="T90" i="129"/>
  <c r="AH89" i="129"/>
  <c r="AG89" i="129"/>
  <c r="AF89" i="129"/>
  <c r="AE89" i="129"/>
  <c r="AD89" i="129"/>
  <c r="Y89" i="129"/>
  <c r="X89" i="129"/>
  <c r="W89" i="129"/>
  <c r="V89" i="129"/>
  <c r="U89" i="129"/>
  <c r="T89" i="129"/>
  <c r="AH88" i="129"/>
  <c r="AG88" i="129"/>
  <c r="AF88" i="129"/>
  <c r="AE88" i="129"/>
  <c r="AD88" i="129"/>
  <c r="Y88" i="129"/>
  <c r="X88" i="129"/>
  <c r="W88" i="129"/>
  <c r="V88" i="129"/>
  <c r="U88" i="129"/>
  <c r="T88" i="129"/>
  <c r="AH87" i="129"/>
  <c r="AG87" i="129"/>
  <c r="AF87" i="129"/>
  <c r="AE87" i="129"/>
  <c r="AD87" i="129"/>
  <c r="Y87" i="129"/>
  <c r="X87" i="129"/>
  <c r="W87" i="129"/>
  <c r="V87" i="129"/>
  <c r="U87" i="129"/>
  <c r="T87" i="129"/>
  <c r="AH86" i="129"/>
  <c r="AG86" i="129"/>
  <c r="AF86" i="129"/>
  <c r="AE86" i="129"/>
  <c r="AD86" i="129"/>
  <c r="Y86" i="129"/>
  <c r="X86" i="129"/>
  <c r="W86" i="129"/>
  <c r="V86" i="129"/>
  <c r="U86" i="129"/>
  <c r="T86" i="129"/>
  <c r="AH85" i="129"/>
  <c r="AG85" i="129"/>
  <c r="AF85" i="129"/>
  <c r="AE85" i="129"/>
  <c r="AD85" i="129"/>
  <c r="Y85" i="129"/>
  <c r="X85" i="129"/>
  <c r="W85" i="129"/>
  <c r="V85" i="129"/>
  <c r="U85" i="129"/>
  <c r="T85" i="129"/>
  <c r="AH84" i="129"/>
  <c r="AG84" i="129"/>
  <c r="AF84" i="129"/>
  <c r="AE84" i="129"/>
  <c r="AD84" i="129"/>
  <c r="Y84" i="129"/>
  <c r="X84" i="129"/>
  <c r="W84" i="129"/>
  <c r="V84" i="129"/>
  <c r="U84" i="129"/>
  <c r="T84" i="129"/>
  <c r="AH83" i="129"/>
  <c r="AG83" i="129"/>
  <c r="AF83" i="129"/>
  <c r="AE83" i="129"/>
  <c r="AD83" i="129"/>
  <c r="Y83" i="129"/>
  <c r="X83" i="129"/>
  <c r="W83" i="129"/>
  <c r="V83" i="129"/>
  <c r="U83" i="129"/>
  <c r="T83" i="129"/>
  <c r="AH82" i="129"/>
  <c r="AG82" i="129"/>
  <c r="AF82" i="129"/>
  <c r="AE82" i="129"/>
  <c r="AD82" i="129"/>
  <c r="Y82" i="129"/>
  <c r="X82" i="129"/>
  <c r="W82" i="129"/>
  <c r="V82" i="129"/>
  <c r="U82" i="129"/>
  <c r="T82" i="129"/>
  <c r="AH81" i="129"/>
  <c r="AG81" i="129"/>
  <c r="AF81" i="129"/>
  <c r="AE81" i="129"/>
  <c r="AD81" i="129"/>
  <c r="Y81" i="129"/>
  <c r="X81" i="129"/>
  <c r="W81" i="129"/>
  <c r="V81" i="129"/>
  <c r="U81" i="129"/>
  <c r="T81" i="129"/>
  <c r="AH80" i="129"/>
  <c r="AG80" i="129"/>
  <c r="AF80" i="129"/>
  <c r="AE80" i="129"/>
  <c r="AD80" i="129"/>
  <c r="Y80" i="129"/>
  <c r="X80" i="129"/>
  <c r="W80" i="129"/>
  <c r="U80" i="129"/>
  <c r="T80" i="129"/>
  <c r="AG79" i="129"/>
  <c r="AF79" i="129"/>
  <c r="AE79" i="129"/>
  <c r="AD79" i="129"/>
  <c r="Y79" i="129"/>
  <c r="X79" i="129"/>
  <c r="W79" i="129"/>
  <c r="V79" i="129"/>
  <c r="U79" i="129"/>
  <c r="T79" i="129"/>
  <c r="AG78" i="129"/>
  <c r="AF78" i="129"/>
  <c r="AE78" i="129"/>
  <c r="AD78" i="129"/>
  <c r="Y78" i="129"/>
  <c r="X78" i="129"/>
  <c r="W78" i="129"/>
  <c r="V78" i="129"/>
  <c r="U78" i="129"/>
  <c r="T78" i="129"/>
  <c r="AG77" i="129"/>
  <c r="AF77" i="129"/>
  <c r="AE77" i="129"/>
  <c r="AD77" i="129"/>
  <c r="Y77" i="129"/>
  <c r="X77" i="129"/>
  <c r="W77" i="129"/>
  <c r="V77" i="129"/>
  <c r="U77" i="129"/>
  <c r="T77" i="129"/>
  <c r="AG76" i="129"/>
  <c r="AF76" i="129"/>
  <c r="AE76" i="129"/>
  <c r="AD76" i="129"/>
  <c r="Y76" i="129"/>
  <c r="X76" i="129"/>
  <c r="W76" i="129"/>
  <c r="V76" i="129"/>
  <c r="U76" i="129"/>
  <c r="T76" i="129"/>
  <c r="AG75" i="129"/>
  <c r="AF75" i="129"/>
  <c r="AE75" i="129"/>
  <c r="AD75" i="129"/>
  <c r="Y75" i="129"/>
  <c r="X75" i="129"/>
  <c r="W75" i="129"/>
  <c r="V75" i="129"/>
  <c r="U75" i="129"/>
  <c r="T75" i="129"/>
  <c r="AG74" i="129"/>
  <c r="AF74" i="129"/>
  <c r="AE74" i="129"/>
  <c r="AD74" i="129"/>
  <c r="Y74" i="129"/>
  <c r="X74" i="129"/>
  <c r="W74" i="129"/>
  <c r="V74" i="129"/>
  <c r="U74" i="129"/>
  <c r="T74" i="129"/>
  <c r="AG73" i="129"/>
  <c r="AF73" i="129"/>
  <c r="AE73" i="129"/>
  <c r="AD73" i="129"/>
  <c r="Y73" i="129"/>
  <c r="X73" i="129"/>
  <c r="W73" i="129"/>
  <c r="V73" i="129"/>
  <c r="U73" i="129"/>
  <c r="T73" i="129"/>
  <c r="AG72" i="129"/>
  <c r="AF72" i="129"/>
  <c r="AE72" i="129"/>
  <c r="AD72" i="129"/>
  <c r="Y72" i="129"/>
  <c r="X72" i="129"/>
  <c r="W72" i="129"/>
  <c r="V72" i="129"/>
  <c r="U72" i="129"/>
  <c r="T72" i="129"/>
  <c r="AG71" i="129"/>
  <c r="AF71" i="129"/>
  <c r="AE71" i="129"/>
  <c r="AD71" i="129"/>
  <c r="Y71" i="129"/>
  <c r="X71" i="129"/>
  <c r="W71" i="129"/>
  <c r="V71" i="129"/>
  <c r="U71" i="129"/>
  <c r="T71" i="129"/>
  <c r="AG70" i="129"/>
  <c r="AF70" i="129"/>
  <c r="AE70" i="129"/>
  <c r="AD70" i="129"/>
  <c r="Y70" i="129"/>
  <c r="X70" i="129"/>
  <c r="W70" i="129"/>
  <c r="V70" i="129"/>
  <c r="U70" i="129"/>
  <c r="T70" i="129"/>
  <c r="AG69" i="129"/>
  <c r="AF69" i="129"/>
  <c r="AE69" i="129"/>
  <c r="AD69" i="129"/>
  <c r="Y69" i="129"/>
  <c r="X69" i="129"/>
  <c r="W69" i="129"/>
  <c r="V69" i="129"/>
  <c r="U69" i="129"/>
  <c r="T69" i="129"/>
  <c r="AG68" i="129"/>
  <c r="AF68" i="129"/>
  <c r="AE68" i="129"/>
  <c r="AD68" i="129"/>
  <c r="Y68" i="129"/>
  <c r="X68" i="129"/>
  <c r="W68" i="129"/>
  <c r="V68" i="129"/>
  <c r="U68" i="129"/>
  <c r="T68" i="129"/>
  <c r="AG67" i="129"/>
  <c r="AF67" i="129"/>
  <c r="AE67" i="129"/>
  <c r="AD67" i="129"/>
  <c r="Y67" i="129"/>
  <c r="X67" i="129"/>
  <c r="W67" i="129"/>
  <c r="V67" i="129"/>
  <c r="U67" i="129"/>
  <c r="T67" i="129"/>
  <c r="AG66" i="129"/>
  <c r="AF66" i="129"/>
  <c r="AE66" i="129"/>
  <c r="AD66" i="129"/>
  <c r="Y66" i="129"/>
  <c r="X66" i="129"/>
  <c r="W66" i="129"/>
  <c r="V66" i="129"/>
  <c r="U66" i="129"/>
  <c r="T66" i="129"/>
  <c r="AG65" i="129"/>
  <c r="AF65" i="129"/>
  <c r="AE65" i="129"/>
  <c r="AD65" i="129"/>
  <c r="Y65" i="129"/>
  <c r="X65" i="129"/>
  <c r="W65" i="129"/>
  <c r="V65" i="129"/>
  <c r="U65" i="129"/>
  <c r="T65" i="129"/>
  <c r="AG64" i="129"/>
  <c r="AF64" i="129"/>
  <c r="AE64" i="129"/>
  <c r="AD64" i="129"/>
  <c r="Y64" i="129"/>
  <c r="X64" i="129"/>
  <c r="W64" i="129"/>
  <c r="V64" i="129"/>
  <c r="U64" i="129"/>
  <c r="T64" i="129"/>
  <c r="AG63" i="129"/>
  <c r="AF63" i="129"/>
  <c r="AE63" i="129"/>
  <c r="AD63" i="129"/>
  <c r="Y63" i="129"/>
  <c r="X63" i="129"/>
  <c r="W63" i="129"/>
  <c r="V63" i="129"/>
  <c r="U63" i="129"/>
  <c r="T63" i="129"/>
  <c r="AG62" i="129"/>
  <c r="AF62" i="129"/>
  <c r="AE62" i="129"/>
  <c r="AD62" i="129"/>
  <c r="Y62" i="129"/>
  <c r="X62" i="129"/>
  <c r="W62" i="129"/>
  <c r="V62" i="129"/>
  <c r="U62" i="129"/>
  <c r="T62" i="129"/>
  <c r="AG61" i="129"/>
  <c r="AF61" i="129"/>
  <c r="AE61" i="129"/>
  <c r="AD61" i="129"/>
  <c r="Y61" i="129"/>
  <c r="X61" i="129"/>
  <c r="W61" i="129"/>
  <c r="V61" i="129"/>
  <c r="U61" i="129"/>
  <c r="T61" i="129"/>
  <c r="AG60" i="129"/>
  <c r="AF60" i="129"/>
  <c r="AE60" i="129"/>
  <c r="AD60" i="129"/>
  <c r="Y60" i="129"/>
  <c r="X60" i="129"/>
  <c r="W60" i="129"/>
  <c r="V60" i="129"/>
  <c r="U60" i="129"/>
  <c r="T60" i="129"/>
  <c r="AG59" i="129"/>
  <c r="AF59" i="129"/>
  <c r="AE59" i="129"/>
  <c r="AD59" i="129"/>
  <c r="Y59" i="129"/>
  <c r="X59" i="129"/>
  <c r="W59" i="129"/>
  <c r="V59" i="129"/>
  <c r="U59" i="129"/>
  <c r="T59" i="129"/>
  <c r="AG58" i="129"/>
  <c r="AF58" i="129"/>
  <c r="AE58" i="129"/>
  <c r="AD58" i="129"/>
  <c r="Y58" i="129"/>
  <c r="X58" i="129"/>
  <c r="W58" i="129"/>
  <c r="V58" i="129"/>
  <c r="U58" i="129"/>
  <c r="T58" i="129"/>
  <c r="AG57" i="129"/>
  <c r="AF57" i="129"/>
  <c r="AE57" i="129"/>
  <c r="AD57" i="129"/>
  <c r="Y57" i="129"/>
  <c r="X57" i="129"/>
  <c r="W57" i="129"/>
  <c r="V57" i="129"/>
  <c r="U57" i="129"/>
  <c r="T57" i="129"/>
  <c r="AG56" i="129"/>
  <c r="AF56" i="129"/>
  <c r="AE56" i="129"/>
  <c r="AD56" i="129"/>
  <c r="Y56" i="129"/>
  <c r="X56" i="129"/>
  <c r="W56" i="129"/>
  <c r="V56" i="129"/>
  <c r="U56" i="129"/>
  <c r="T56" i="129"/>
  <c r="AG45" i="129"/>
  <c r="AF45" i="129"/>
  <c r="AE45" i="129"/>
  <c r="AD45" i="129"/>
  <c r="Y45" i="129"/>
  <c r="X45" i="129"/>
  <c r="W45" i="129"/>
  <c r="V45" i="129"/>
  <c r="U45" i="129"/>
  <c r="T45" i="129"/>
  <c r="AG44" i="129"/>
  <c r="AF44" i="129"/>
  <c r="AE44" i="129"/>
  <c r="AD44" i="129"/>
  <c r="Y44" i="129"/>
  <c r="X44" i="129"/>
  <c r="W44" i="129"/>
  <c r="V44" i="129"/>
  <c r="U44" i="129"/>
  <c r="T44" i="129"/>
  <c r="AG43" i="129"/>
  <c r="AF43" i="129"/>
  <c r="AE43" i="129"/>
  <c r="AD43" i="129"/>
  <c r="Y43" i="129"/>
  <c r="X43" i="129"/>
  <c r="W43" i="129"/>
  <c r="V43" i="129"/>
  <c r="U43" i="129"/>
  <c r="T43" i="129"/>
  <c r="AG42" i="129"/>
  <c r="AF42" i="129"/>
  <c r="AE42" i="129"/>
  <c r="AD42" i="129"/>
  <c r="Y42" i="129"/>
  <c r="X42" i="129"/>
  <c r="W42" i="129"/>
  <c r="V42" i="129"/>
  <c r="U42" i="129"/>
  <c r="T42" i="129"/>
  <c r="AG41" i="129"/>
  <c r="AF41" i="129"/>
  <c r="AE41" i="129"/>
  <c r="AD41" i="129"/>
  <c r="Y41" i="129"/>
  <c r="X41" i="129"/>
  <c r="W41" i="129"/>
  <c r="V41" i="129"/>
  <c r="U41" i="129"/>
  <c r="T41" i="129"/>
  <c r="AG40" i="129"/>
  <c r="AF40" i="129"/>
  <c r="AE40" i="129"/>
  <c r="AD40" i="129"/>
  <c r="Y40" i="129"/>
  <c r="X40" i="129"/>
  <c r="W40" i="129"/>
  <c r="V40" i="129"/>
  <c r="U40" i="129"/>
  <c r="T40" i="129"/>
  <c r="AG39" i="129"/>
  <c r="AF39" i="129"/>
  <c r="AE39" i="129"/>
  <c r="AD39" i="129"/>
  <c r="Y39" i="129"/>
  <c r="X39" i="129"/>
  <c r="W39" i="129"/>
  <c r="V39" i="129"/>
  <c r="U39" i="129"/>
  <c r="T39" i="129"/>
  <c r="AG38" i="129"/>
  <c r="AF38" i="129"/>
  <c r="AE38" i="129"/>
  <c r="AD38" i="129"/>
  <c r="Y38" i="129"/>
  <c r="X38" i="129"/>
  <c r="W38" i="129"/>
  <c r="V38" i="129"/>
  <c r="U38" i="129"/>
  <c r="T38" i="129"/>
  <c r="AG37" i="129"/>
  <c r="AF37" i="129"/>
  <c r="AE37" i="129"/>
  <c r="AD37" i="129"/>
  <c r="Y37" i="129"/>
  <c r="X37" i="129"/>
  <c r="W37" i="129"/>
  <c r="V37" i="129"/>
  <c r="U37" i="129"/>
  <c r="T37" i="129"/>
  <c r="AG36" i="129"/>
  <c r="AF36" i="129"/>
  <c r="AE36" i="129"/>
  <c r="AD36" i="129"/>
  <c r="Y36" i="129"/>
  <c r="X36" i="129"/>
  <c r="W36" i="129"/>
  <c r="V36" i="129"/>
  <c r="U36" i="129"/>
  <c r="T36" i="129"/>
  <c r="AG35" i="129"/>
  <c r="AF35" i="129"/>
  <c r="AE35" i="129"/>
  <c r="AD35" i="129"/>
  <c r="Y35" i="129"/>
  <c r="X35" i="129"/>
  <c r="W35" i="129"/>
  <c r="V35" i="129"/>
  <c r="U35" i="129"/>
  <c r="T35" i="129"/>
  <c r="AG34" i="129"/>
  <c r="AF34" i="129"/>
  <c r="AE34" i="129"/>
  <c r="AD34" i="129"/>
  <c r="Y34" i="129"/>
  <c r="X34" i="129"/>
  <c r="W34" i="129"/>
  <c r="V34" i="129"/>
  <c r="U34" i="129"/>
  <c r="T34" i="129"/>
  <c r="AG33" i="129"/>
  <c r="AF33" i="129"/>
  <c r="AE33" i="129"/>
  <c r="AD33" i="129"/>
  <c r="Y33" i="129"/>
  <c r="X33" i="129"/>
  <c r="W33" i="129"/>
  <c r="V33" i="129"/>
  <c r="U33" i="129"/>
  <c r="T33" i="129"/>
  <c r="AG32" i="129"/>
  <c r="AF32" i="129"/>
  <c r="AE32" i="129"/>
  <c r="AD32" i="129"/>
  <c r="Y32" i="129"/>
  <c r="X32" i="129"/>
  <c r="W32" i="129"/>
  <c r="V32" i="129"/>
  <c r="U32" i="129"/>
  <c r="T32" i="129"/>
  <c r="AG31" i="129"/>
  <c r="AF31" i="129"/>
  <c r="AE31" i="129"/>
  <c r="AD31" i="129"/>
  <c r="Y31" i="129"/>
  <c r="X31" i="129"/>
  <c r="W31" i="129"/>
  <c r="V31" i="129"/>
  <c r="U31" i="129"/>
  <c r="T31" i="129"/>
  <c r="AG30" i="129"/>
  <c r="AF30" i="129"/>
  <c r="AE30" i="129"/>
  <c r="AD30" i="129"/>
  <c r="Y30" i="129"/>
  <c r="X30" i="129"/>
  <c r="W30" i="129"/>
  <c r="V30" i="129"/>
  <c r="U30" i="129"/>
  <c r="T30" i="129"/>
  <c r="AG29" i="129"/>
  <c r="AF29" i="129"/>
  <c r="AE29" i="129"/>
  <c r="AD29" i="129"/>
  <c r="Y29" i="129"/>
  <c r="X29" i="129"/>
  <c r="W29" i="129"/>
  <c r="V29" i="129"/>
  <c r="U29" i="129"/>
  <c r="T29" i="129"/>
  <c r="AG28" i="129"/>
  <c r="AF28" i="129"/>
  <c r="AE28" i="129"/>
  <c r="AD28" i="129"/>
  <c r="Y28" i="129"/>
  <c r="X28" i="129"/>
  <c r="W28" i="129"/>
  <c r="V28" i="129"/>
  <c r="U28" i="129"/>
  <c r="T28" i="129"/>
  <c r="AG27" i="129"/>
  <c r="AF27" i="129"/>
  <c r="AE27" i="129"/>
  <c r="AD27" i="129"/>
  <c r="Y27" i="129"/>
  <c r="X27" i="129"/>
  <c r="W27" i="129"/>
  <c r="V27" i="129"/>
  <c r="U27" i="129"/>
  <c r="T27" i="129"/>
  <c r="AG26" i="129"/>
  <c r="AF26" i="129"/>
  <c r="AE26" i="129"/>
  <c r="AD26" i="129"/>
  <c r="Y26" i="129"/>
  <c r="X26" i="129"/>
  <c r="W26" i="129"/>
  <c r="V26" i="129"/>
  <c r="U26" i="129"/>
  <c r="T26" i="129"/>
  <c r="AG25" i="129"/>
  <c r="AF25" i="129"/>
  <c r="AE25" i="129"/>
  <c r="AD25" i="129"/>
  <c r="Y25" i="129"/>
  <c r="X25" i="129"/>
  <c r="W25" i="129"/>
  <c r="V25" i="129"/>
  <c r="U25" i="129"/>
  <c r="T25" i="129"/>
  <c r="AG24" i="129"/>
  <c r="AF24" i="129"/>
  <c r="AE24" i="129"/>
  <c r="AD24" i="129"/>
  <c r="Y24" i="129"/>
  <c r="X24" i="129"/>
  <c r="W24" i="129"/>
  <c r="V24" i="129"/>
  <c r="U24" i="129"/>
  <c r="T24" i="129"/>
  <c r="AG23" i="129"/>
  <c r="AF23" i="129"/>
  <c r="AE23" i="129"/>
  <c r="AD23" i="129"/>
  <c r="Y23" i="129"/>
  <c r="X23" i="129"/>
  <c r="W23" i="129"/>
  <c r="V23" i="129"/>
  <c r="U23" i="129"/>
  <c r="T23" i="129"/>
  <c r="AG22" i="129"/>
  <c r="AF22" i="129"/>
  <c r="AE22" i="129"/>
  <c r="AD22" i="129"/>
  <c r="Y22" i="129"/>
  <c r="X22" i="129"/>
  <c r="W22" i="129"/>
  <c r="V22" i="129"/>
  <c r="U22" i="129"/>
  <c r="T22" i="129"/>
  <c r="AG21" i="129"/>
  <c r="AF21" i="129"/>
  <c r="AE21" i="129"/>
  <c r="AD21" i="129"/>
  <c r="Y21" i="129"/>
  <c r="X21" i="129"/>
  <c r="W21" i="129"/>
  <c r="V21" i="129"/>
  <c r="U21" i="129"/>
  <c r="T21" i="129"/>
  <c r="AG20" i="129"/>
  <c r="AF20" i="129"/>
  <c r="AE20" i="129"/>
  <c r="AD20" i="129"/>
  <c r="Y20" i="129"/>
  <c r="X20" i="129"/>
  <c r="W20" i="129"/>
  <c r="V20" i="129"/>
  <c r="U20" i="129"/>
  <c r="T20" i="129"/>
  <c r="AG19" i="129"/>
  <c r="AF19" i="129"/>
  <c r="AE19" i="129"/>
  <c r="AD19" i="129"/>
  <c r="Y19" i="129"/>
  <c r="X19" i="129"/>
  <c r="W19" i="129"/>
  <c r="V19" i="129"/>
  <c r="U19" i="129"/>
  <c r="T19" i="129"/>
  <c r="AG18" i="129"/>
  <c r="AF18" i="129"/>
  <c r="AE18" i="129"/>
  <c r="AD18" i="129"/>
  <c r="Y18" i="129"/>
  <c r="X18" i="129"/>
  <c r="W18" i="129"/>
  <c r="V18" i="129"/>
  <c r="U18" i="129"/>
  <c r="T18" i="129"/>
  <c r="AG17" i="129"/>
  <c r="AF17" i="129"/>
  <c r="AE17" i="129"/>
  <c r="AD17" i="129"/>
  <c r="Y17" i="129"/>
  <c r="X17" i="129"/>
  <c r="W17" i="129"/>
  <c r="V17" i="129"/>
  <c r="U17" i="129"/>
  <c r="T17" i="129"/>
  <c r="AG16" i="129"/>
  <c r="AF16" i="129"/>
  <c r="AE16" i="129"/>
  <c r="AD16" i="129"/>
  <c r="Y16" i="129"/>
  <c r="X16" i="129"/>
  <c r="W16" i="129"/>
  <c r="V16" i="129"/>
  <c r="U16" i="129"/>
  <c r="T16" i="129"/>
  <c r="AG15" i="129"/>
  <c r="AF15" i="129"/>
  <c r="AE15" i="129"/>
  <c r="AD15" i="129"/>
  <c r="Y15" i="129"/>
  <c r="X15" i="129"/>
  <c r="W15" i="129"/>
  <c r="V15" i="129"/>
  <c r="U15" i="129"/>
  <c r="T15" i="129"/>
  <c r="AG14" i="129"/>
  <c r="AF14" i="129"/>
  <c r="AE14" i="129"/>
  <c r="AD14" i="129"/>
  <c r="Y14" i="129"/>
  <c r="X14" i="129"/>
  <c r="W14" i="129"/>
  <c r="V14" i="129"/>
  <c r="U14" i="129"/>
  <c r="T14" i="129"/>
  <c r="AG13" i="129"/>
  <c r="AF13" i="129"/>
  <c r="AE13" i="129"/>
  <c r="AD13" i="129"/>
  <c r="Y13" i="129"/>
  <c r="X13" i="129"/>
  <c r="W13" i="129"/>
  <c r="V13" i="129"/>
  <c r="U13" i="129"/>
  <c r="T13" i="129"/>
  <c r="AG12" i="129"/>
  <c r="AF12" i="129"/>
  <c r="AE12" i="129"/>
  <c r="AD12" i="129"/>
  <c r="Y12" i="129"/>
  <c r="X12" i="129"/>
  <c r="W12" i="129"/>
  <c r="V12" i="129"/>
  <c r="U12" i="129"/>
  <c r="T12" i="129"/>
  <c r="AG11" i="129"/>
  <c r="AF11" i="129"/>
  <c r="AE11" i="129"/>
  <c r="AD11" i="129"/>
  <c r="Y11" i="129"/>
  <c r="X11" i="129"/>
  <c r="W11" i="129"/>
  <c r="V11" i="129"/>
  <c r="U11" i="129"/>
  <c r="T11" i="129"/>
  <c r="AG9" i="129"/>
  <c r="AF9" i="129"/>
  <c r="AE9" i="129"/>
  <c r="AD9" i="129"/>
  <c r="Y9" i="129"/>
  <c r="X9" i="129"/>
  <c r="W9" i="129"/>
  <c r="V9" i="129"/>
  <c r="U9" i="129"/>
  <c r="T9" i="129"/>
  <c r="AG8" i="129"/>
  <c r="AF8" i="129"/>
  <c r="AE8" i="129"/>
  <c r="AD8" i="129"/>
  <c r="Y8" i="129"/>
  <c r="X8" i="129"/>
  <c r="W8" i="129"/>
  <c r="V8" i="129"/>
  <c r="U8" i="129"/>
  <c r="T8" i="129"/>
  <c r="P100" i="129"/>
  <c r="O100" i="129"/>
  <c r="N100" i="129"/>
  <c r="M100" i="129"/>
  <c r="H100" i="129"/>
  <c r="G100" i="129"/>
  <c r="F100" i="129"/>
  <c r="E100" i="129"/>
  <c r="D100" i="129"/>
  <c r="C100" i="129"/>
  <c r="P99" i="129"/>
  <c r="O99" i="129"/>
  <c r="N99" i="129"/>
  <c r="M99" i="129"/>
  <c r="H99" i="129"/>
  <c r="G99" i="129"/>
  <c r="F99" i="129"/>
  <c r="E99" i="129"/>
  <c r="D99" i="129"/>
  <c r="C99" i="129"/>
  <c r="P98" i="129"/>
  <c r="O98" i="129"/>
  <c r="N98" i="129"/>
  <c r="M98" i="129"/>
  <c r="H98" i="129"/>
  <c r="G98" i="129"/>
  <c r="F98" i="129"/>
  <c r="E98" i="129"/>
  <c r="D98" i="129"/>
  <c r="C98" i="129"/>
  <c r="P97" i="129"/>
  <c r="O97" i="129"/>
  <c r="N97" i="129"/>
  <c r="M97" i="129"/>
  <c r="H97" i="129"/>
  <c r="G97" i="129"/>
  <c r="E97" i="129"/>
  <c r="D97" i="129"/>
  <c r="C97" i="129"/>
  <c r="P96" i="129"/>
  <c r="O96" i="129"/>
  <c r="N96" i="129"/>
  <c r="M96" i="129"/>
  <c r="Q96" i="129" s="1"/>
  <c r="H96" i="129"/>
  <c r="G96" i="129"/>
  <c r="F96" i="129"/>
  <c r="E96" i="129"/>
  <c r="D96" i="129"/>
  <c r="C96" i="129"/>
  <c r="P95" i="129"/>
  <c r="O95" i="129"/>
  <c r="N95" i="129"/>
  <c r="M95" i="129"/>
  <c r="H95" i="129"/>
  <c r="G95" i="129"/>
  <c r="F95" i="129"/>
  <c r="E95" i="129"/>
  <c r="D95" i="129"/>
  <c r="C95" i="129"/>
  <c r="P94" i="129"/>
  <c r="O94" i="129"/>
  <c r="N94" i="129"/>
  <c r="M94" i="129"/>
  <c r="H94" i="129"/>
  <c r="G94" i="129"/>
  <c r="F94" i="129"/>
  <c r="E94" i="129"/>
  <c r="D94" i="129"/>
  <c r="C94" i="129"/>
  <c r="P93" i="129"/>
  <c r="O93" i="129"/>
  <c r="N93" i="129"/>
  <c r="M93" i="129"/>
  <c r="H93" i="129"/>
  <c r="G93" i="129"/>
  <c r="F93" i="129"/>
  <c r="E93" i="129"/>
  <c r="D93" i="129"/>
  <c r="C93" i="129"/>
  <c r="P92" i="129"/>
  <c r="O92" i="129"/>
  <c r="N92" i="129"/>
  <c r="M92" i="129"/>
  <c r="H92" i="129"/>
  <c r="G92" i="129"/>
  <c r="F92" i="129"/>
  <c r="E92" i="129"/>
  <c r="D92" i="129"/>
  <c r="C92" i="129"/>
  <c r="P79" i="129"/>
  <c r="O79" i="129"/>
  <c r="N79" i="129"/>
  <c r="M79" i="129"/>
  <c r="H79" i="129"/>
  <c r="G79" i="129"/>
  <c r="F79" i="129"/>
  <c r="E79" i="129"/>
  <c r="D79" i="129"/>
  <c r="C79" i="129"/>
  <c r="P78" i="129"/>
  <c r="O78" i="129"/>
  <c r="N78" i="129"/>
  <c r="M78" i="129"/>
  <c r="H78" i="129"/>
  <c r="G78" i="129"/>
  <c r="F78" i="129"/>
  <c r="E78" i="129"/>
  <c r="D78" i="129"/>
  <c r="C78" i="129"/>
  <c r="P77" i="129"/>
  <c r="O77" i="129"/>
  <c r="N77" i="129"/>
  <c r="M77" i="129"/>
  <c r="H77" i="129"/>
  <c r="G77" i="129"/>
  <c r="F77" i="129"/>
  <c r="E77" i="129"/>
  <c r="D77" i="129"/>
  <c r="C77" i="129"/>
  <c r="P76" i="129"/>
  <c r="O76" i="129"/>
  <c r="N76" i="129"/>
  <c r="M76" i="129"/>
  <c r="H76" i="129"/>
  <c r="G76" i="129"/>
  <c r="F76" i="129"/>
  <c r="E76" i="129"/>
  <c r="D76" i="129"/>
  <c r="C76" i="129"/>
  <c r="P75" i="129"/>
  <c r="O75" i="129"/>
  <c r="N75" i="129"/>
  <c r="M75" i="129"/>
  <c r="H75" i="129"/>
  <c r="G75" i="129"/>
  <c r="F75" i="129"/>
  <c r="E75" i="129"/>
  <c r="D75" i="129"/>
  <c r="C75" i="129"/>
  <c r="P74" i="129"/>
  <c r="O74" i="129"/>
  <c r="N74" i="129"/>
  <c r="M74" i="129"/>
  <c r="H74" i="129"/>
  <c r="G74" i="129"/>
  <c r="F74" i="129"/>
  <c r="E74" i="129"/>
  <c r="D74" i="129"/>
  <c r="C74" i="129"/>
  <c r="P73" i="129"/>
  <c r="O73" i="129"/>
  <c r="N73" i="129"/>
  <c r="M73" i="129"/>
  <c r="G73" i="129"/>
  <c r="F73" i="129"/>
  <c r="E73" i="129"/>
  <c r="D73" i="129"/>
  <c r="C73" i="129"/>
  <c r="P72" i="129"/>
  <c r="O72" i="129"/>
  <c r="N72" i="129"/>
  <c r="M72" i="129"/>
  <c r="H72" i="129"/>
  <c r="G72" i="129"/>
  <c r="F72" i="129"/>
  <c r="E72" i="129"/>
  <c r="D72" i="129"/>
  <c r="C72" i="129"/>
  <c r="P71" i="129"/>
  <c r="O71" i="129"/>
  <c r="N71" i="129"/>
  <c r="M71" i="129"/>
  <c r="H71" i="129"/>
  <c r="G71" i="129"/>
  <c r="F71" i="129"/>
  <c r="E71" i="129"/>
  <c r="D71" i="129"/>
  <c r="C71" i="129"/>
  <c r="P70" i="129"/>
  <c r="O70" i="129"/>
  <c r="N70" i="129"/>
  <c r="M70" i="129"/>
  <c r="H70" i="129"/>
  <c r="G70" i="129"/>
  <c r="F70" i="129"/>
  <c r="E70" i="129"/>
  <c r="D70" i="129"/>
  <c r="C70" i="129"/>
  <c r="P69" i="129"/>
  <c r="O69" i="129"/>
  <c r="N69" i="129"/>
  <c r="M69" i="129"/>
  <c r="H69" i="129"/>
  <c r="G69" i="129"/>
  <c r="F69" i="129"/>
  <c r="E69" i="129"/>
  <c r="D69" i="129"/>
  <c r="C69" i="129"/>
  <c r="P68" i="129"/>
  <c r="O68" i="129"/>
  <c r="N68" i="129"/>
  <c r="M68" i="129"/>
  <c r="H68" i="129"/>
  <c r="G68" i="129"/>
  <c r="F68" i="129"/>
  <c r="E68" i="129"/>
  <c r="D68" i="129"/>
  <c r="C68" i="129"/>
  <c r="P67" i="129"/>
  <c r="O67" i="129"/>
  <c r="N67" i="129"/>
  <c r="M67" i="129"/>
  <c r="H67" i="129"/>
  <c r="G67" i="129"/>
  <c r="F67" i="129"/>
  <c r="E67" i="129"/>
  <c r="D67" i="129"/>
  <c r="C67" i="129"/>
  <c r="P66" i="129"/>
  <c r="O66" i="129"/>
  <c r="N66" i="129"/>
  <c r="M66" i="129"/>
  <c r="H66" i="129"/>
  <c r="G66" i="129"/>
  <c r="F66" i="129"/>
  <c r="E66" i="129"/>
  <c r="D66" i="129"/>
  <c r="C66" i="129"/>
  <c r="P65" i="129"/>
  <c r="O65" i="129"/>
  <c r="N65" i="129"/>
  <c r="M65" i="129"/>
  <c r="H65" i="129"/>
  <c r="G65" i="129"/>
  <c r="F65" i="129"/>
  <c r="E65" i="129"/>
  <c r="D65" i="129"/>
  <c r="C65" i="129"/>
  <c r="P64" i="129"/>
  <c r="O64" i="129"/>
  <c r="N64" i="129"/>
  <c r="M64" i="129"/>
  <c r="H64" i="129"/>
  <c r="G64" i="129"/>
  <c r="F64" i="129"/>
  <c r="E64" i="129"/>
  <c r="D64" i="129"/>
  <c r="C64" i="129"/>
  <c r="P63" i="129"/>
  <c r="O63" i="129"/>
  <c r="N63" i="129"/>
  <c r="M63" i="129"/>
  <c r="H63" i="129"/>
  <c r="G63" i="129"/>
  <c r="F63" i="129"/>
  <c r="E63" i="129"/>
  <c r="D63" i="129"/>
  <c r="C63" i="129"/>
  <c r="P62" i="129"/>
  <c r="O62" i="129"/>
  <c r="N62" i="129"/>
  <c r="M62" i="129"/>
  <c r="H62" i="129"/>
  <c r="G62" i="129"/>
  <c r="F62" i="129"/>
  <c r="E62" i="129"/>
  <c r="D62" i="129"/>
  <c r="C62" i="129"/>
  <c r="P61" i="129"/>
  <c r="O61" i="129"/>
  <c r="N61" i="129"/>
  <c r="M61" i="129"/>
  <c r="H61" i="129"/>
  <c r="G61" i="129"/>
  <c r="F61" i="129"/>
  <c r="E61" i="129"/>
  <c r="D61" i="129"/>
  <c r="C61" i="129"/>
  <c r="P60" i="129"/>
  <c r="O60" i="129"/>
  <c r="N60" i="129"/>
  <c r="M60" i="129"/>
  <c r="H60" i="129"/>
  <c r="G60" i="129"/>
  <c r="F60" i="129"/>
  <c r="E60" i="129"/>
  <c r="D60" i="129"/>
  <c r="C60" i="129"/>
  <c r="P59" i="129"/>
  <c r="O59" i="129"/>
  <c r="N59" i="129"/>
  <c r="M59" i="129"/>
  <c r="H59" i="129"/>
  <c r="G59" i="129"/>
  <c r="F59" i="129"/>
  <c r="E59" i="129"/>
  <c r="D59" i="129"/>
  <c r="C59" i="129"/>
  <c r="P58" i="129"/>
  <c r="O58" i="129"/>
  <c r="N58" i="129"/>
  <c r="M58" i="129"/>
  <c r="H58" i="129"/>
  <c r="G58" i="129"/>
  <c r="F58" i="129"/>
  <c r="E58" i="129"/>
  <c r="D58" i="129"/>
  <c r="C58" i="129"/>
  <c r="P57" i="129"/>
  <c r="O57" i="129"/>
  <c r="N57" i="129"/>
  <c r="M57" i="129"/>
  <c r="H57" i="129"/>
  <c r="G57" i="129"/>
  <c r="F57" i="129"/>
  <c r="E57" i="129"/>
  <c r="D57" i="129"/>
  <c r="C57" i="129"/>
  <c r="P56" i="129"/>
  <c r="O56" i="129"/>
  <c r="N56" i="129"/>
  <c r="M56" i="129"/>
  <c r="H56" i="129"/>
  <c r="G56" i="129"/>
  <c r="F56" i="129"/>
  <c r="E56" i="129"/>
  <c r="D56" i="129"/>
  <c r="C56" i="129"/>
  <c r="P45" i="129"/>
  <c r="O45" i="129"/>
  <c r="N45" i="129"/>
  <c r="M45" i="129"/>
  <c r="H45" i="129"/>
  <c r="G45" i="129"/>
  <c r="F45" i="129"/>
  <c r="E45" i="129"/>
  <c r="D45" i="129"/>
  <c r="C45" i="129"/>
  <c r="P44" i="129"/>
  <c r="O44" i="129"/>
  <c r="N44" i="129"/>
  <c r="M44" i="129"/>
  <c r="H44" i="129"/>
  <c r="G44" i="129"/>
  <c r="F44" i="129"/>
  <c r="E44" i="129"/>
  <c r="D44" i="129"/>
  <c r="C44" i="129"/>
  <c r="P43" i="129"/>
  <c r="O43" i="129"/>
  <c r="N43" i="129"/>
  <c r="M43" i="129"/>
  <c r="H43" i="129"/>
  <c r="G43" i="129"/>
  <c r="F43" i="129"/>
  <c r="E43" i="129"/>
  <c r="D43" i="129"/>
  <c r="C43" i="129"/>
  <c r="P42" i="129"/>
  <c r="O42" i="129"/>
  <c r="N42" i="129"/>
  <c r="M42" i="129"/>
  <c r="H42" i="129"/>
  <c r="G42" i="129"/>
  <c r="F42" i="129"/>
  <c r="E42" i="129"/>
  <c r="D42" i="129"/>
  <c r="C42" i="129"/>
  <c r="P41" i="129"/>
  <c r="O41" i="129"/>
  <c r="N41" i="129"/>
  <c r="M41" i="129"/>
  <c r="H41" i="129"/>
  <c r="G41" i="129"/>
  <c r="F41" i="129"/>
  <c r="E41" i="129"/>
  <c r="D41" i="129"/>
  <c r="C41" i="129"/>
  <c r="P40" i="129"/>
  <c r="O40" i="129"/>
  <c r="N40" i="129"/>
  <c r="M40" i="129"/>
  <c r="H40" i="129"/>
  <c r="G40" i="129"/>
  <c r="F40" i="129"/>
  <c r="E40" i="129"/>
  <c r="D40" i="129"/>
  <c r="C40" i="129"/>
  <c r="P39" i="129"/>
  <c r="O39" i="129"/>
  <c r="N39" i="129"/>
  <c r="M39" i="129"/>
  <c r="H39" i="129"/>
  <c r="G39" i="129"/>
  <c r="F39" i="129"/>
  <c r="E39" i="129"/>
  <c r="D39" i="129"/>
  <c r="C39" i="129"/>
  <c r="P38" i="129"/>
  <c r="O38" i="129"/>
  <c r="N38" i="129"/>
  <c r="M38" i="129"/>
  <c r="H38" i="129"/>
  <c r="G38" i="129"/>
  <c r="F38" i="129"/>
  <c r="E38" i="129"/>
  <c r="D38" i="129"/>
  <c r="C38" i="129"/>
  <c r="P37" i="129"/>
  <c r="O37" i="129"/>
  <c r="N37" i="129"/>
  <c r="M37" i="129"/>
  <c r="H37" i="129"/>
  <c r="G37" i="129"/>
  <c r="F37" i="129"/>
  <c r="E37" i="129"/>
  <c r="D37" i="129"/>
  <c r="C37" i="129"/>
  <c r="P36" i="129"/>
  <c r="O36" i="129"/>
  <c r="N36" i="129"/>
  <c r="M36" i="129"/>
  <c r="H36" i="129"/>
  <c r="G36" i="129"/>
  <c r="F36" i="129"/>
  <c r="E36" i="129"/>
  <c r="D36" i="129"/>
  <c r="C36" i="129"/>
  <c r="P35" i="129"/>
  <c r="O35" i="129"/>
  <c r="N35" i="129"/>
  <c r="M35" i="129"/>
  <c r="H35" i="129"/>
  <c r="G35" i="129"/>
  <c r="F35" i="129"/>
  <c r="E35" i="129"/>
  <c r="D35" i="129"/>
  <c r="C35" i="129"/>
  <c r="P34" i="129"/>
  <c r="O34" i="129"/>
  <c r="N34" i="129"/>
  <c r="M34" i="129"/>
  <c r="H34" i="129"/>
  <c r="G34" i="129"/>
  <c r="F34" i="129"/>
  <c r="E34" i="129"/>
  <c r="D34" i="129"/>
  <c r="C34" i="129"/>
  <c r="P33" i="129"/>
  <c r="O33" i="129"/>
  <c r="N33" i="129"/>
  <c r="M33" i="129"/>
  <c r="H33" i="129"/>
  <c r="G33" i="129"/>
  <c r="F33" i="129"/>
  <c r="E33" i="129"/>
  <c r="D33" i="129"/>
  <c r="C33" i="129"/>
  <c r="P32" i="129"/>
  <c r="O32" i="129"/>
  <c r="N32" i="129"/>
  <c r="M32" i="129"/>
  <c r="H32" i="129"/>
  <c r="G32" i="129"/>
  <c r="F32" i="129"/>
  <c r="E32" i="129"/>
  <c r="D32" i="129"/>
  <c r="C32" i="129"/>
  <c r="P31" i="129"/>
  <c r="O31" i="129"/>
  <c r="N31" i="129"/>
  <c r="M31" i="129"/>
  <c r="H31" i="129"/>
  <c r="G31" i="129"/>
  <c r="F31" i="129"/>
  <c r="E31" i="129"/>
  <c r="D31" i="129"/>
  <c r="C31" i="129"/>
  <c r="P30" i="129"/>
  <c r="O30" i="129"/>
  <c r="N30" i="129"/>
  <c r="M30" i="129"/>
  <c r="H30" i="129"/>
  <c r="G30" i="129"/>
  <c r="F30" i="129"/>
  <c r="E30" i="129"/>
  <c r="D30" i="129"/>
  <c r="C30" i="129"/>
  <c r="P29" i="129"/>
  <c r="O29" i="129"/>
  <c r="N29" i="129"/>
  <c r="M29" i="129"/>
  <c r="H29" i="129"/>
  <c r="G29" i="129"/>
  <c r="F29" i="129"/>
  <c r="E29" i="129"/>
  <c r="D29" i="129"/>
  <c r="C29" i="129"/>
  <c r="P28" i="129"/>
  <c r="O28" i="129"/>
  <c r="N28" i="129"/>
  <c r="M28" i="129"/>
  <c r="H28" i="129"/>
  <c r="G28" i="129"/>
  <c r="F28" i="129"/>
  <c r="E28" i="129"/>
  <c r="D28" i="129"/>
  <c r="C28" i="129"/>
  <c r="P27" i="129"/>
  <c r="O27" i="129"/>
  <c r="N27" i="129"/>
  <c r="M27" i="129"/>
  <c r="H27" i="129"/>
  <c r="G27" i="129"/>
  <c r="F27" i="129"/>
  <c r="E27" i="129"/>
  <c r="D27" i="129"/>
  <c r="C27" i="129"/>
  <c r="P26" i="129"/>
  <c r="O26" i="129"/>
  <c r="N26" i="129"/>
  <c r="M26" i="129"/>
  <c r="H26" i="129"/>
  <c r="G26" i="129"/>
  <c r="F26" i="129"/>
  <c r="E26" i="129"/>
  <c r="D26" i="129"/>
  <c r="C26" i="129"/>
  <c r="P25" i="129"/>
  <c r="O25" i="129"/>
  <c r="N25" i="129"/>
  <c r="M25" i="129"/>
  <c r="H25" i="129"/>
  <c r="G25" i="129"/>
  <c r="F25" i="129"/>
  <c r="E25" i="129"/>
  <c r="D25" i="129"/>
  <c r="C25" i="129"/>
  <c r="P24" i="129"/>
  <c r="O24" i="129"/>
  <c r="N24" i="129"/>
  <c r="M24" i="129"/>
  <c r="H24" i="129"/>
  <c r="G24" i="129"/>
  <c r="F24" i="129"/>
  <c r="E24" i="129"/>
  <c r="D24" i="129"/>
  <c r="C24" i="129"/>
  <c r="P23" i="129"/>
  <c r="O23" i="129"/>
  <c r="N23" i="129"/>
  <c r="M23" i="129"/>
  <c r="H23" i="129"/>
  <c r="G23" i="129"/>
  <c r="F23" i="129"/>
  <c r="E23" i="129"/>
  <c r="D23" i="129"/>
  <c r="C23" i="129"/>
  <c r="P22" i="129"/>
  <c r="O22" i="129"/>
  <c r="N22" i="129"/>
  <c r="M22" i="129"/>
  <c r="H22" i="129"/>
  <c r="G22" i="129"/>
  <c r="F22" i="129"/>
  <c r="E22" i="129"/>
  <c r="D22" i="129"/>
  <c r="C22" i="129"/>
  <c r="P21" i="129"/>
  <c r="O21" i="129"/>
  <c r="N21" i="129"/>
  <c r="M21" i="129"/>
  <c r="H21" i="129"/>
  <c r="G21" i="129"/>
  <c r="F21" i="129"/>
  <c r="E21" i="129"/>
  <c r="D21" i="129"/>
  <c r="C21" i="129"/>
  <c r="P20" i="129"/>
  <c r="O20" i="129"/>
  <c r="N20" i="129"/>
  <c r="M20" i="129"/>
  <c r="H20" i="129"/>
  <c r="G20" i="129"/>
  <c r="F20" i="129"/>
  <c r="E20" i="129"/>
  <c r="D20" i="129"/>
  <c r="C20" i="129"/>
  <c r="P19" i="129"/>
  <c r="O19" i="129"/>
  <c r="N19" i="129"/>
  <c r="M19" i="129"/>
  <c r="H19" i="129"/>
  <c r="G19" i="129"/>
  <c r="F19" i="129"/>
  <c r="E19" i="129"/>
  <c r="D19" i="129"/>
  <c r="C19" i="129"/>
  <c r="P18" i="129"/>
  <c r="O18" i="129"/>
  <c r="N18" i="129"/>
  <c r="M18" i="129"/>
  <c r="H18" i="129"/>
  <c r="G18" i="129"/>
  <c r="F18" i="129"/>
  <c r="E18" i="129"/>
  <c r="D18" i="129"/>
  <c r="C18" i="129"/>
  <c r="P17" i="129"/>
  <c r="O17" i="129"/>
  <c r="N17" i="129"/>
  <c r="M17" i="129"/>
  <c r="H17" i="129"/>
  <c r="G17" i="129"/>
  <c r="F17" i="129"/>
  <c r="E17" i="129"/>
  <c r="D17" i="129"/>
  <c r="C17" i="129"/>
  <c r="P16" i="129"/>
  <c r="O16" i="129"/>
  <c r="N16" i="129"/>
  <c r="M16" i="129"/>
  <c r="H16" i="129"/>
  <c r="G16" i="129"/>
  <c r="F16" i="129"/>
  <c r="E16" i="129"/>
  <c r="D16" i="129"/>
  <c r="C16" i="129"/>
  <c r="P15" i="129"/>
  <c r="O15" i="129"/>
  <c r="N15" i="129"/>
  <c r="M15" i="129"/>
  <c r="H15" i="129"/>
  <c r="G15" i="129"/>
  <c r="F15" i="129"/>
  <c r="E15" i="129"/>
  <c r="D15" i="129"/>
  <c r="C15" i="129"/>
  <c r="P14" i="129"/>
  <c r="O14" i="129"/>
  <c r="N14" i="129"/>
  <c r="M14" i="129"/>
  <c r="H14" i="129"/>
  <c r="G14" i="129"/>
  <c r="F14" i="129"/>
  <c r="E14" i="129"/>
  <c r="D14" i="129"/>
  <c r="C14" i="129"/>
  <c r="P13" i="129"/>
  <c r="O13" i="129"/>
  <c r="N13" i="129"/>
  <c r="M13" i="129"/>
  <c r="H13" i="129"/>
  <c r="G13" i="129"/>
  <c r="F13" i="129"/>
  <c r="E13" i="129"/>
  <c r="D13" i="129"/>
  <c r="C13" i="129"/>
  <c r="P12" i="129"/>
  <c r="O12" i="129"/>
  <c r="N12" i="129"/>
  <c r="M12" i="129"/>
  <c r="H12" i="129"/>
  <c r="G12" i="129"/>
  <c r="F12" i="129"/>
  <c r="E12" i="129"/>
  <c r="D12" i="129"/>
  <c r="C12" i="129"/>
  <c r="P11" i="129"/>
  <c r="O11" i="129"/>
  <c r="N11" i="129"/>
  <c r="M11" i="129"/>
  <c r="H11" i="129"/>
  <c r="G11" i="129"/>
  <c r="F11" i="129"/>
  <c r="E11" i="129"/>
  <c r="D11" i="129"/>
  <c r="C11" i="129"/>
  <c r="P9" i="129"/>
  <c r="O9" i="129"/>
  <c r="N9" i="129"/>
  <c r="M9" i="129"/>
  <c r="H9" i="129"/>
  <c r="G9" i="129"/>
  <c r="F9" i="129"/>
  <c r="E9" i="129"/>
  <c r="D9" i="129"/>
  <c r="C9" i="129"/>
  <c r="P8" i="129"/>
  <c r="O8" i="129"/>
  <c r="N8" i="129"/>
  <c r="M8" i="129"/>
  <c r="H8" i="129"/>
  <c r="G8" i="129"/>
  <c r="F8" i="129"/>
  <c r="E8" i="129"/>
  <c r="D8" i="129"/>
  <c r="C8" i="129"/>
  <c r="AH76" i="129" l="1"/>
  <c r="Q78" i="129"/>
  <c r="AH70" i="129"/>
  <c r="AH60" i="129"/>
  <c r="Q57" i="129"/>
  <c r="Q77" i="129"/>
  <c r="Q69" i="129"/>
  <c r="Q97" i="129"/>
  <c r="AH68" i="129"/>
  <c r="Q62" i="129"/>
  <c r="AH66" i="129"/>
  <c r="AH78" i="129"/>
  <c r="Q75" i="129"/>
  <c r="Q95" i="129"/>
  <c r="AH69" i="129"/>
  <c r="Q73" i="129"/>
  <c r="Q60" i="129"/>
  <c r="AH14" i="129"/>
  <c r="AH11" i="129"/>
  <c r="AH12" i="129"/>
  <c r="AH13" i="129"/>
  <c r="AH59" i="129"/>
  <c r="Q61" i="129"/>
  <c r="AH56" i="129"/>
  <c r="AH9" i="129"/>
  <c r="Q9" i="129"/>
  <c r="Q8" i="129"/>
  <c r="Q92" i="129"/>
  <c r="Q99" i="129"/>
  <c r="Q68" i="129"/>
  <c r="AH63" i="129"/>
  <c r="AH67" i="129"/>
  <c r="Q70" i="129"/>
  <c r="AH74" i="129"/>
  <c r="AH77" i="129"/>
  <c r="Q93" i="129"/>
  <c r="Q100" i="129"/>
  <c r="Q76" i="129"/>
  <c r="AH64" i="129"/>
  <c r="AH71" i="129"/>
  <c r="AH75" i="129"/>
  <c r="Q94" i="129"/>
  <c r="AH61" i="129"/>
  <c r="Q65" i="129"/>
  <c r="Q67" i="129"/>
  <c r="AH72" i="129"/>
  <c r="AH79" i="129"/>
  <c r="Q98" i="129"/>
  <c r="AH62" i="129"/>
  <c r="Q59" i="129"/>
  <c r="AH58" i="129"/>
  <c r="AH8" i="129"/>
  <c r="Q11" i="129"/>
  <c r="Q12" i="129"/>
  <c r="Q13" i="129"/>
  <c r="Q63" i="129"/>
  <c r="Q71" i="129"/>
  <c r="Q79" i="129"/>
  <c r="AH57" i="129"/>
  <c r="AH65" i="129"/>
  <c r="AH73" i="129"/>
  <c r="Q58" i="129"/>
  <c r="Q66" i="129"/>
  <c r="Q74" i="129"/>
  <c r="Q14" i="129"/>
  <c r="Q56" i="129"/>
  <c r="Q64" i="129"/>
  <c r="Q72" i="129"/>
  <c r="M3" i="129" l="1"/>
  <c r="ES303" i="122" l="1"/>
  <c r="AT1" i="122" l="1"/>
  <c r="Q28" i="65" l="1"/>
  <c r="FM175" i="122" l="1"/>
  <c r="AG1" i="122" l="1"/>
  <c r="AE3" i="129" l="1"/>
  <c r="AF3" i="129"/>
  <c r="AD3" i="129"/>
  <c r="B11" i="127" l="1"/>
  <c r="B10" i="127" s="1"/>
  <c r="ES120" i="122" l="1"/>
  <c r="AE7" i="122" l="1"/>
  <c r="V21" i="122" l="1"/>
  <c r="V20" i="122"/>
  <c r="J10" i="128" l="1"/>
  <c r="U10" i="128"/>
  <c r="E7" i="127"/>
  <c r="E8" i="127"/>
  <c r="E9" i="127"/>
  <c r="E10" i="127"/>
  <c r="E11" i="127"/>
  <c r="V15" i="122"/>
  <c r="X3" i="129" l="1"/>
  <c r="Y3" i="129"/>
  <c r="CT1" i="122" l="1"/>
  <c r="U3" i="129" l="1"/>
  <c r="S3" i="129"/>
  <c r="D3" i="129"/>
  <c r="B3" i="129"/>
  <c r="F286" i="65" l="1"/>
  <c r="G286" i="65" s="1"/>
  <c r="F285" i="65"/>
  <c r="G285" i="65" s="1"/>
  <c r="F284" i="65"/>
  <c r="G284" i="65" s="1"/>
  <c r="F283" i="65"/>
  <c r="G283" i="65" s="1"/>
  <c r="F282" i="65"/>
  <c r="G282" i="65" s="1"/>
  <c r="F281" i="65"/>
  <c r="G281" i="65" s="1"/>
  <c r="F280" i="65"/>
  <c r="F279" i="65"/>
  <c r="G279" i="65" s="1"/>
  <c r="F278" i="65"/>
  <c r="F277" i="65"/>
  <c r="G277" i="65" s="1"/>
  <c r="T108" i="128"/>
  <c r="I108" i="128"/>
  <c r="T107" i="128"/>
  <c r="I107" i="128"/>
  <c r="T106" i="128"/>
  <c r="I106" i="128"/>
  <c r="T105" i="128"/>
  <c r="I105" i="128"/>
  <c r="T104" i="128"/>
  <c r="I104" i="128"/>
  <c r="T103" i="128"/>
  <c r="I103" i="128"/>
  <c r="T102" i="128"/>
  <c r="I102" i="128"/>
  <c r="T101" i="128"/>
  <c r="I101" i="128"/>
  <c r="T100" i="128"/>
  <c r="I100" i="128"/>
  <c r="T99" i="128"/>
  <c r="I99" i="128"/>
  <c r="T98" i="128"/>
  <c r="I98" i="128"/>
  <c r="T97" i="128"/>
  <c r="I97" i="128"/>
  <c r="T96" i="128"/>
  <c r="I96" i="128"/>
  <c r="T95" i="128"/>
  <c r="I95" i="128"/>
  <c r="T94" i="128"/>
  <c r="I94" i="128"/>
  <c r="T93" i="128"/>
  <c r="I93" i="128"/>
  <c r="T92" i="128"/>
  <c r="I92" i="128"/>
  <c r="T91" i="128"/>
  <c r="I91" i="128"/>
  <c r="T90" i="128"/>
  <c r="I90" i="128"/>
  <c r="T89" i="128"/>
  <c r="I89" i="128"/>
  <c r="T88" i="128"/>
  <c r="I88" i="128"/>
  <c r="T87" i="128"/>
  <c r="I87" i="128"/>
  <c r="T86" i="128"/>
  <c r="I86" i="128"/>
  <c r="T85" i="128"/>
  <c r="I85" i="128"/>
  <c r="T84" i="128"/>
  <c r="I84" i="128"/>
  <c r="T83" i="128"/>
  <c r="I83" i="128"/>
  <c r="T82" i="128"/>
  <c r="I82" i="128"/>
  <c r="T81" i="128"/>
  <c r="I81" i="128"/>
  <c r="T80" i="128"/>
  <c r="I80" i="128"/>
  <c r="T79" i="128"/>
  <c r="I79" i="128"/>
  <c r="T78" i="128"/>
  <c r="I78" i="128"/>
  <c r="T77" i="128"/>
  <c r="I77" i="128"/>
  <c r="T76" i="128"/>
  <c r="I76" i="128"/>
  <c r="T75" i="128"/>
  <c r="I75" i="128"/>
  <c r="T74" i="128"/>
  <c r="I74" i="128"/>
  <c r="T73" i="128"/>
  <c r="I73" i="128"/>
  <c r="T72" i="128"/>
  <c r="I72" i="128"/>
  <c r="T71" i="128"/>
  <c r="I71" i="128"/>
  <c r="T70" i="128"/>
  <c r="I70" i="128"/>
  <c r="T69" i="128"/>
  <c r="I69" i="128"/>
  <c r="T68" i="128"/>
  <c r="I68" i="128"/>
  <c r="T67" i="128"/>
  <c r="I67" i="128"/>
  <c r="T66" i="128"/>
  <c r="I66" i="128"/>
  <c r="T65" i="128"/>
  <c r="I65" i="128"/>
  <c r="T64" i="128"/>
  <c r="I64" i="128"/>
  <c r="T63" i="128"/>
  <c r="I63" i="128"/>
  <c r="T62" i="128"/>
  <c r="I62" i="128"/>
  <c r="T61" i="128"/>
  <c r="I61" i="128"/>
  <c r="T60" i="128"/>
  <c r="I60" i="128"/>
  <c r="T59" i="128"/>
  <c r="I59" i="128"/>
  <c r="T58" i="128"/>
  <c r="I58" i="128"/>
  <c r="T57" i="128"/>
  <c r="I57" i="128"/>
  <c r="T56" i="128"/>
  <c r="I56" i="128"/>
  <c r="T55" i="128"/>
  <c r="I55" i="128"/>
  <c r="T54" i="128"/>
  <c r="I54" i="128"/>
  <c r="T53" i="128"/>
  <c r="I53" i="128"/>
  <c r="T52" i="128"/>
  <c r="I52" i="128"/>
  <c r="T51" i="128"/>
  <c r="I51" i="128"/>
  <c r="T50" i="128"/>
  <c r="I50" i="128"/>
  <c r="T49" i="128"/>
  <c r="I49" i="128"/>
  <c r="T48" i="128"/>
  <c r="I48" i="128"/>
  <c r="T47" i="128"/>
  <c r="I47" i="128"/>
  <c r="T46" i="128"/>
  <c r="I46" i="128"/>
  <c r="T45" i="128"/>
  <c r="I45" i="128"/>
  <c r="T44" i="128"/>
  <c r="I44" i="128"/>
  <c r="T43" i="128"/>
  <c r="I43" i="128"/>
  <c r="T42" i="128"/>
  <c r="I42" i="128"/>
  <c r="T41" i="128"/>
  <c r="I41" i="128"/>
  <c r="T40" i="128"/>
  <c r="I40" i="128"/>
  <c r="T39" i="128"/>
  <c r="I39" i="128"/>
  <c r="T38" i="128"/>
  <c r="I38" i="128"/>
  <c r="T37" i="128"/>
  <c r="I37" i="128"/>
  <c r="T36" i="128"/>
  <c r="I36" i="128"/>
  <c r="T35" i="128"/>
  <c r="I35" i="128"/>
  <c r="T34" i="128"/>
  <c r="I34" i="128"/>
  <c r="T33" i="128"/>
  <c r="I33" i="128"/>
  <c r="T32" i="128"/>
  <c r="I32" i="128"/>
  <c r="T31" i="128"/>
  <c r="I31" i="128"/>
  <c r="T30" i="128"/>
  <c r="I30" i="128"/>
  <c r="T29" i="128"/>
  <c r="I29" i="128"/>
  <c r="T28" i="128"/>
  <c r="I28" i="128"/>
  <c r="T27" i="128"/>
  <c r="I27" i="128"/>
  <c r="T26" i="128"/>
  <c r="I26" i="128"/>
  <c r="T25" i="128"/>
  <c r="I25" i="128"/>
  <c r="T24" i="128"/>
  <c r="I24" i="128"/>
  <c r="T23" i="128"/>
  <c r="I23" i="128"/>
  <c r="T22" i="128"/>
  <c r="I22" i="128"/>
  <c r="T21" i="128"/>
  <c r="I21" i="128"/>
  <c r="T20" i="128"/>
  <c r="I20" i="128"/>
  <c r="T19" i="128"/>
  <c r="I19" i="128"/>
  <c r="T18" i="128"/>
  <c r="I18" i="128"/>
  <c r="T17" i="128"/>
  <c r="I17" i="128"/>
  <c r="T16" i="128"/>
  <c r="I16" i="128"/>
  <c r="T15" i="128"/>
  <c r="I15" i="128"/>
  <c r="T14" i="128"/>
  <c r="I14" i="128"/>
  <c r="T13" i="128"/>
  <c r="I13" i="128"/>
  <c r="T12" i="128"/>
  <c r="I12" i="128"/>
  <c r="T11" i="128"/>
  <c r="I11" i="128"/>
  <c r="T10" i="128"/>
  <c r="I10" i="128"/>
  <c r="X1" i="128"/>
  <c r="F122" i="65"/>
  <c r="C122" i="65"/>
  <c r="F121" i="65"/>
  <c r="C121" i="65"/>
  <c r="F120" i="65"/>
  <c r="C120" i="65"/>
  <c r="F119" i="65"/>
  <c r="F118" i="65"/>
  <c r="F117" i="65"/>
  <c r="F116" i="65"/>
  <c r="F115" i="65"/>
  <c r="F114" i="65"/>
  <c r="F113" i="65"/>
  <c r="F112" i="65"/>
  <c r="F111" i="65"/>
  <c r="F110" i="65"/>
  <c r="F109" i="65"/>
  <c r="F108" i="65"/>
  <c r="F107" i="65"/>
  <c r="F106" i="65"/>
  <c r="F105" i="65"/>
  <c r="F104" i="65"/>
  <c r="F103" i="65"/>
  <c r="F102" i="65"/>
  <c r="F101" i="65"/>
  <c r="F100" i="65"/>
  <c r="F99" i="65"/>
  <c r="F98" i="65"/>
  <c r="F97" i="65"/>
  <c r="F96" i="65"/>
  <c r="F95" i="65"/>
  <c r="F94" i="65"/>
  <c r="F93" i="65"/>
  <c r="F92" i="65"/>
  <c r="F91" i="65"/>
  <c r="F90" i="65"/>
  <c r="F89" i="65"/>
  <c r="F88" i="65"/>
  <c r="F87" i="65"/>
  <c r="F86" i="65"/>
  <c r="F85" i="65"/>
  <c r="F84" i="65"/>
  <c r="F83" i="65"/>
  <c r="F82" i="65"/>
  <c r="F81" i="65"/>
  <c r="F80" i="65"/>
  <c r="F79" i="65"/>
  <c r="F78" i="65"/>
  <c r="F77" i="65"/>
  <c r="F76" i="65"/>
  <c r="F75" i="65"/>
  <c r="F74" i="65"/>
  <c r="F73" i="65"/>
  <c r="F72" i="65"/>
  <c r="F71" i="65"/>
  <c r="F70" i="65"/>
  <c r="F69" i="65"/>
  <c r="F68" i="65"/>
  <c r="F67" i="65"/>
  <c r="F66" i="65"/>
  <c r="F65" i="65"/>
  <c r="F64" i="65"/>
  <c r="F63" i="65"/>
  <c r="F62" i="65"/>
  <c r="F61" i="65"/>
  <c r="F60" i="65"/>
  <c r="F59" i="65"/>
  <c r="F58" i="65"/>
  <c r="F57" i="65"/>
  <c r="F56" i="65"/>
  <c r="F55" i="65"/>
  <c r="F54" i="65"/>
  <c r="F53" i="65"/>
  <c r="F52" i="65"/>
  <c r="F51" i="65"/>
  <c r="F50" i="65"/>
  <c r="F49" i="65"/>
  <c r="F48" i="65"/>
  <c r="F47" i="65"/>
  <c r="F46" i="65"/>
  <c r="F45" i="65"/>
  <c r="F44" i="65"/>
  <c r="F43" i="65"/>
  <c r="F42" i="65"/>
  <c r="F41" i="65"/>
  <c r="F40" i="65"/>
  <c r="F39" i="65"/>
  <c r="F38" i="65"/>
  <c r="F37" i="65"/>
  <c r="F36" i="65"/>
  <c r="F35" i="65"/>
  <c r="F34" i="65"/>
  <c r="F33" i="65"/>
  <c r="F32" i="65"/>
  <c r="F31" i="65"/>
  <c r="C31" i="65"/>
  <c r="F30" i="65"/>
  <c r="C30" i="65"/>
  <c r="M65" i="65"/>
  <c r="N65" i="65" s="1"/>
  <c r="L65" i="65"/>
  <c r="M64" i="65"/>
  <c r="N64" i="65" s="1"/>
  <c r="L64" i="65"/>
  <c r="N63" i="65"/>
  <c r="N62" i="65"/>
  <c r="M62" i="65"/>
  <c r="L62" i="65"/>
  <c r="M61" i="65"/>
  <c r="N61" i="65" s="1"/>
  <c r="L61" i="65"/>
  <c r="N60" i="65"/>
  <c r="M59" i="65"/>
  <c r="N59" i="65" s="1"/>
  <c r="L59" i="65"/>
  <c r="M58" i="65"/>
  <c r="N58" i="65" s="1"/>
  <c r="L58" i="65"/>
  <c r="N57" i="65"/>
  <c r="M56" i="65"/>
  <c r="N56" i="65" s="1"/>
  <c r="L56" i="65"/>
  <c r="M55" i="65"/>
  <c r="N55" i="65" s="1"/>
  <c r="L55" i="65"/>
  <c r="N54" i="65"/>
  <c r="M53" i="65"/>
  <c r="N53" i="65" s="1"/>
  <c r="L53" i="65"/>
  <c r="M52" i="65"/>
  <c r="N52" i="65" s="1"/>
  <c r="L52" i="65"/>
  <c r="N51" i="65"/>
  <c r="M50" i="65"/>
  <c r="N50" i="65" s="1"/>
  <c r="L50" i="65"/>
  <c r="M49" i="65"/>
  <c r="N49" i="65" s="1"/>
  <c r="L49" i="65"/>
  <c r="N48" i="65"/>
  <c r="M47" i="65"/>
  <c r="N47" i="65" s="1"/>
  <c r="L47" i="65"/>
  <c r="M46" i="65"/>
  <c r="N46" i="65" s="1"/>
  <c r="L46" i="65"/>
  <c r="N45" i="65"/>
  <c r="N44" i="65"/>
  <c r="M44" i="65"/>
  <c r="L44" i="65"/>
  <c r="M43" i="65"/>
  <c r="N43" i="65" s="1"/>
  <c r="L43" i="65"/>
  <c r="N42" i="65"/>
  <c r="M41" i="65"/>
  <c r="N41" i="65" s="1"/>
  <c r="L41" i="65"/>
  <c r="M40" i="65"/>
  <c r="N40" i="65" s="1"/>
  <c r="L40" i="65"/>
  <c r="N39" i="65"/>
  <c r="M38" i="65"/>
  <c r="N38" i="65" s="1"/>
  <c r="L38" i="65"/>
  <c r="M37" i="65"/>
  <c r="N37" i="65" s="1"/>
  <c r="L37" i="65"/>
  <c r="N36" i="65"/>
  <c r="M35" i="65"/>
  <c r="N35" i="65" s="1"/>
  <c r="L35" i="65"/>
  <c r="M34" i="65"/>
  <c r="N34" i="65" s="1"/>
  <c r="L34" i="65"/>
  <c r="N33" i="65"/>
  <c r="M32" i="65"/>
  <c r="N32" i="65" s="1"/>
  <c r="L32" i="65"/>
  <c r="M31" i="65"/>
  <c r="N31" i="65" s="1"/>
  <c r="L31" i="65"/>
  <c r="N30" i="65"/>
  <c r="G280" i="65" l="1"/>
  <c r="G278" i="65"/>
  <c r="K10" i="128"/>
  <c r="C44" i="65" s="1"/>
  <c r="ES144" i="122" l="1"/>
  <c r="H15" i="127" l="1"/>
  <c r="H17" i="127"/>
  <c r="H18" i="127"/>
  <c r="H19" i="127"/>
  <c r="H20" i="127"/>
  <c r="X1" i="122" l="1"/>
  <c r="AW1" i="55"/>
  <c r="FZ4" i="122"/>
  <c r="FY4" i="122"/>
  <c r="FP4" i="122"/>
  <c r="EI399" i="122" l="1"/>
  <c r="EH399" i="122"/>
  <c r="EF399" i="122"/>
  <c r="ED399" i="122"/>
  <c r="ES258" i="122" l="1"/>
  <c r="ES395" i="122" l="1"/>
  <c r="D10" i="127" l="1"/>
  <c r="D11" i="127" s="1"/>
  <c r="D12" i="127" s="1"/>
  <c r="D13" i="127" s="1"/>
  <c r="D14" i="127" l="1"/>
  <c r="G13" i="127"/>
  <c r="F13" i="127"/>
  <c r="I13" i="127"/>
  <c r="H13" i="127"/>
  <c r="J13" i="127"/>
  <c r="L13" i="127" s="1"/>
  <c r="F16" i="127"/>
  <c r="K16" i="127" s="1"/>
  <c r="G14" i="127" l="1"/>
  <c r="I14" i="127"/>
  <c r="H14" i="127"/>
  <c r="J14" i="127"/>
  <c r="L14" i="127" s="1"/>
  <c r="F14" i="127"/>
  <c r="D16" i="127"/>
  <c r="H16" i="127" s="1"/>
  <c r="FP297" i="122" l="1"/>
  <c r="FM297" i="122"/>
  <c r="FP296" i="122"/>
  <c r="FM296" i="122"/>
  <c r="FP295" i="122"/>
  <c r="FM295" i="122"/>
  <c r="FP294" i="122"/>
  <c r="FM294" i="122"/>
  <c r="FP291" i="122"/>
  <c r="FM291" i="122"/>
  <c r="FP290" i="122"/>
  <c r="FM290" i="122"/>
  <c r="FP289" i="122"/>
  <c r="FM289" i="122"/>
  <c r="FP288" i="122"/>
  <c r="FM288" i="122"/>
  <c r="FP285" i="122"/>
  <c r="FM285" i="122"/>
  <c r="FP284" i="122"/>
  <c r="FM284" i="122"/>
  <c r="FP283" i="122"/>
  <c r="FM283" i="122"/>
  <c r="FP282" i="122"/>
  <c r="FM282" i="122"/>
  <c r="FP279" i="122"/>
  <c r="FM279" i="122"/>
  <c r="FP278" i="122"/>
  <c r="FM278" i="122"/>
  <c r="FP277" i="122"/>
  <c r="FM277" i="122"/>
  <c r="FP276" i="122"/>
  <c r="FM276" i="122"/>
  <c r="FP273" i="122"/>
  <c r="FM273" i="122"/>
  <c r="FP272" i="122"/>
  <c r="FM272" i="122"/>
  <c r="FP271" i="122"/>
  <c r="FM271" i="122"/>
  <c r="FP270" i="122"/>
  <c r="FM270" i="122"/>
  <c r="FP267" i="122"/>
  <c r="FM267" i="122"/>
  <c r="FP266" i="122"/>
  <c r="FM266" i="122"/>
  <c r="FP265" i="122"/>
  <c r="FM265" i="122"/>
  <c r="FP264" i="122"/>
  <c r="FM264" i="122"/>
  <c r="FP261" i="122"/>
  <c r="FM261" i="122"/>
  <c r="FP260" i="122"/>
  <c r="FM260" i="122"/>
  <c r="FP259" i="122"/>
  <c r="FM259" i="122"/>
  <c r="FP258" i="122"/>
  <c r="FM258" i="122"/>
  <c r="FP255" i="122"/>
  <c r="FM255" i="122"/>
  <c r="FP254" i="122"/>
  <c r="FM254" i="122"/>
  <c r="FP253" i="122"/>
  <c r="FM253" i="122"/>
  <c r="FP252" i="122"/>
  <c r="FM252" i="122"/>
  <c r="FP249" i="122"/>
  <c r="FM249" i="122"/>
  <c r="FP248" i="122"/>
  <c r="FM248" i="122"/>
  <c r="FP247" i="122"/>
  <c r="FM247" i="122"/>
  <c r="FP246" i="122"/>
  <c r="FM246" i="122"/>
  <c r="FP243" i="122"/>
  <c r="FM243" i="122"/>
  <c r="FP242" i="122"/>
  <c r="FM242" i="122"/>
  <c r="FP241" i="122"/>
  <c r="FM241" i="122"/>
  <c r="FP240" i="122"/>
  <c r="FM240" i="122"/>
  <c r="FM237" i="122"/>
  <c r="FP236" i="122"/>
  <c r="FM236" i="122"/>
  <c r="FP235" i="122"/>
  <c r="FM235" i="122"/>
  <c r="FP234" i="122"/>
  <c r="FM234" i="122"/>
  <c r="FM231" i="122"/>
  <c r="FP230" i="122"/>
  <c r="FM230" i="122"/>
  <c r="FP229" i="122"/>
  <c r="FM229" i="122"/>
  <c r="FP228" i="122"/>
  <c r="FM228" i="122"/>
  <c r="FP225" i="122"/>
  <c r="FM225" i="122"/>
  <c r="FP224" i="122"/>
  <c r="FM224" i="122"/>
  <c r="FP223" i="122"/>
  <c r="FM223" i="122"/>
  <c r="FM222" i="122"/>
  <c r="FP219" i="122"/>
  <c r="FM219" i="122"/>
  <c r="FP218" i="122"/>
  <c r="FM218" i="122"/>
  <c r="FP217" i="122"/>
  <c r="FM217" i="122"/>
  <c r="FM216" i="122"/>
  <c r="FM213" i="122"/>
  <c r="FP212" i="122"/>
  <c r="FM212" i="122"/>
  <c r="FP211" i="122"/>
  <c r="FM211" i="122"/>
  <c r="FM210" i="122"/>
  <c r="FM207" i="122"/>
  <c r="FM206" i="122"/>
  <c r="FP205" i="122"/>
  <c r="FM205" i="122"/>
  <c r="FM204" i="122"/>
  <c r="FM201" i="122"/>
  <c r="FM200" i="122"/>
  <c r="FP199" i="122"/>
  <c r="FM199" i="122"/>
  <c r="FM198" i="122"/>
  <c r="FM195" i="122"/>
  <c r="FM194" i="122"/>
  <c r="FP193" i="122"/>
  <c r="FM193" i="122"/>
  <c r="FM192" i="122"/>
  <c r="FM189" i="122"/>
  <c r="FM188" i="122"/>
  <c r="FP187" i="122"/>
  <c r="FM187" i="122"/>
  <c r="FM186" i="122"/>
  <c r="FM183" i="122"/>
  <c r="FP182" i="122"/>
  <c r="FM182" i="122"/>
  <c r="FP181" i="122"/>
  <c r="FM181" i="122"/>
  <c r="FP180" i="122"/>
  <c r="FM180" i="122"/>
  <c r="FM177" i="122"/>
  <c r="FM176" i="122"/>
  <c r="FM174" i="122"/>
  <c r="FM171" i="122"/>
  <c r="FM170" i="122"/>
  <c r="FP169" i="122"/>
  <c r="FM169" i="122"/>
  <c r="FM168" i="122"/>
  <c r="FM165" i="122"/>
  <c r="FM164" i="122"/>
  <c r="FM163" i="122"/>
  <c r="FM162" i="122"/>
  <c r="FM159" i="122"/>
  <c r="FM158" i="122"/>
  <c r="FM157" i="122"/>
  <c r="FM156" i="122"/>
  <c r="FM153" i="122"/>
  <c r="FM152" i="122"/>
  <c r="FM151" i="122"/>
  <c r="FM150" i="122"/>
  <c r="FM147" i="122"/>
  <c r="FM146" i="122"/>
  <c r="FM145" i="122"/>
  <c r="FM144" i="122"/>
  <c r="FM141" i="122"/>
  <c r="FM140" i="122"/>
  <c r="FM139" i="122"/>
  <c r="FM138" i="122"/>
  <c r="FM135" i="122"/>
  <c r="FM134" i="122"/>
  <c r="FM133" i="122"/>
  <c r="FM132" i="122"/>
  <c r="FM129" i="122"/>
  <c r="FM128" i="122"/>
  <c r="FM127" i="122"/>
  <c r="FM126" i="122"/>
  <c r="FM123" i="122"/>
  <c r="FM122" i="122"/>
  <c r="FM121" i="122"/>
  <c r="FM120" i="122"/>
  <c r="FM117" i="122"/>
  <c r="FM116" i="122"/>
  <c r="FM115" i="122"/>
  <c r="FM114" i="122"/>
  <c r="FM111" i="122"/>
  <c r="FP110" i="122"/>
  <c r="FM110" i="122"/>
  <c r="FP109" i="122"/>
  <c r="FM109" i="122"/>
  <c r="FM108" i="122"/>
  <c r="FM105" i="122"/>
  <c r="FP104" i="122"/>
  <c r="FM104" i="122"/>
  <c r="FM103" i="122"/>
  <c r="FM102" i="122"/>
  <c r="FM99" i="122"/>
  <c r="FP98" i="122"/>
  <c r="FM98" i="122"/>
  <c r="FM97" i="122"/>
  <c r="FM96" i="122"/>
  <c r="FP93" i="122"/>
  <c r="FM93" i="122"/>
  <c r="FP92" i="122"/>
  <c r="FM92" i="122"/>
  <c r="FP91" i="122"/>
  <c r="FM91" i="122"/>
  <c r="FM90" i="122"/>
  <c r="FM87" i="122"/>
  <c r="FP86" i="122"/>
  <c r="FM86" i="122"/>
  <c r="FP85" i="122"/>
  <c r="FM85" i="122"/>
  <c r="FM84" i="122"/>
  <c r="EV297" i="122"/>
  <c r="ES297" i="122"/>
  <c r="EV296" i="122"/>
  <c r="ES296" i="122"/>
  <c r="EV295" i="122"/>
  <c r="ES295" i="122"/>
  <c r="EV294" i="122"/>
  <c r="ES294" i="122"/>
  <c r="EV291" i="122"/>
  <c r="ES291" i="122"/>
  <c r="EV290" i="122"/>
  <c r="ES290" i="122"/>
  <c r="EV289" i="122"/>
  <c r="ES289" i="122"/>
  <c r="EV288" i="122"/>
  <c r="ES288" i="122"/>
  <c r="ES284" i="122"/>
  <c r="ES283" i="122"/>
  <c r="ES282" i="122"/>
  <c r="EV279" i="122"/>
  <c r="ES279" i="122"/>
  <c r="EV278" i="122"/>
  <c r="ES278" i="122"/>
  <c r="EV277" i="122"/>
  <c r="ES277" i="122"/>
  <c r="ES276" i="122"/>
  <c r="ES273" i="122"/>
  <c r="ES272" i="122"/>
  <c r="ES271" i="122"/>
  <c r="ES267" i="122"/>
  <c r="EV266" i="122"/>
  <c r="ES266" i="122"/>
  <c r="EV265" i="122"/>
  <c r="ES265" i="122"/>
  <c r="EV264" i="122"/>
  <c r="ES264" i="122"/>
  <c r="ES260" i="122"/>
  <c r="ES259" i="122"/>
  <c r="ES255" i="122"/>
  <c r="ES254" i="122"/>
  <c r="EV253" i="122"/>
  <c r="ES253" i="122"/>
  <c r="ES252" i="122"/>
  <c r="ES249" i="122"/>
  <c r="ES248" i="122"/>
  <c r="ES247" i="122"/>
  <c r="ES246" i="122"/>
  <c r="ES241" i="122"/>
  <c r="ES236" i="122"/>
  <c r="ES235" i="122"/>
  <c r="ES234" i="122"/>
  <c r="ES230" i="122"/>
  <c r="EV229" i="122"/>
  <c r="ES229" i="122"/>
  <c r="ES228" i="122"/>
  <c r="ES223" i="122"/>
  <c r="ES218" i="122"/>
  <c r="ES217" i="122"/>
  <c r="ES212" i="122"/>
  <c r="ES211" i="122"/>
  <c r="ES205" i="122"/>
  <c r="ES181" i="122"/>
  <c r="ES163" i="122"/>
  <c r="ES145" i="122"/>
  <c r="ES127" i="122"/>
  <c r="ES109" i="122"/>
  <c r="EV104" i="122"/>
  <c r="ES104" i="122"/>
  <c r="EV103" i="122"/>
  <c r="ES103" i="122"/>
  <c r="ES102" i="122"/>
  <c r="EV92" i="122"/>
  <c r="ES92" i="122"/>
  <c r="EV91" i="122"/>
  <c r="ES91" i="122"/>
  <c r="ES90" i="122"/>
  <c r="ES86" i="122"/>
  <c r="EV85" i="122"/>
  <c r="ES85" i="122"/>
  <c r="ES84" i="122"/>
  <c r="ES61" i="122"/>
  <c r="M10" i="65" l="1"/>
  <c r="H22" i="65" s="1"/>
  <c r="L10" i="65"/>
  <c r="H21" i="65" s="1"/>
  <c r="M11" i="65"/>
  <c r="L11" i="65"/>
  <c r="L12" i="65"/>
  <c r="H19" i="65" s="1"/>
  <c r="L13" i="65"/>
  <c r="H20" i="65" s="1"/>
  <c r="ES1265" i="122" l="1"/>
  <c r="EV1499" i="122"/>
  <c r="ES1499" i="122"/>
  <c r="EV1498" i="122"/>
  <c r="ES1498" i="122"/>
  <c r="EV1497" i="122"/>
  <c r="ES1497" i="122"/>
  <c r="EV1496" i="122"/>
  <c r="ES1496" i="122"/>
  <c r="EV1495" i="122"/>
  <c r="ES1495" i="122"/>
  <c r="EV1494" i="122"/>
  <c r="ES1494" i="122"/>
  <c r="EV1493" i="122"/>
  <c r="ES1493" i="122"/>
  <c r="EV1492" i="122"/>
  <c r="ES1492" i="122"/>
  <c r="EV1491" i="122"/>
  <c r="ES1491" i="122"/>
  <c r="EV1490" i="122"/>
  <c r="ES1490" i="122"/>
  <c r="EV1489" i="122"/>
  <c r="ES1489" i="122"/>
  <c r="EV1488" i="122"/>
  <c r="ES1488" i="122"/>
  <c r="EV1487" i="122"/>
  <c r="ES1487" i="122"/>
  <c r="EV1486" i="122"/>
  <c r="ES1486" i="122"/>
  <c r="EV1485" i="122"/>
  <c r="ES1485" i="122"/>
  <c r="EV1484" i="122"/>
  <c r="ES1484" i="122"/>
  <c r="EV1483" i="122"/>
  <c r="ES1483" i="122"/>
  <c r="EV1482" i="122"/>
  <c r="ES1482" i="122"/>
  <c r="EV1481" i="122"/>
  <c r="ES1481" i="122"/>
  <c r="EV1480" i="122"/>
  <c r="ES1480" i="122"/>
  <c r="EV1479" i="122"/>
  <c r="ES1479" i="122"/>
  <c r="EV1478" i="122"/>
  <c r="ES1478" i="122"/>
  <c r="EV1477" i="122"/>
  <c r="ES1477" i="122"/>
  <c r="EV1476" i="122"/>
  <c r="ES1476" i="122"/>
  <c r="EV1475" i="122"/>
  <c r="ES1475" i="122"/>
  <c r="EV1474" i="122"/>
  <c r="ES1474" i="122"/>
  <c r="EV1473" i="122"/>
  <c r="ES1473" i="122"/>
  <c r="EV1472" i="122"/>
  <c r="ES1472" i="122"/>
  <c r="EV1471" i="122"/>
  <c r="ES1471" i="122"/>
  <c r="EV1470" i="122"/>
  <c r="ES1470" i="122"/>
  <c r="EV1469" i="122"/>
  <c r="ES1469" i="122"/>
  <c r="EV1468" i="122"/>
  <c r="ES1468" i="122"/>
  <c r="ES1467" i="122"/>
  <c r="ES1466" i="122"/>
  <c r="ES1465" i="122"/>
  <c r="ES1464" i="122"/>
  <c r="ES1463" i="122"/>
  <c r="ES1462" i="122"/>
  <c r="ES1461" i="122"/>
  <c r="ES1460" i="122"/>
  <c r="ES1459" i="122"/>
  <c r="ES1458" i="122"/>
  <c r="ES1457" i="122"/>
  <c r="ES1456" i="122"/>
  <c r="ES1455" i="122"/>
  <c r="ES1454" i="122"/>
  <c r="ES1453" i="122"/>
  <c r="ES1452" i="122"/>
  <c r="ES1451" i="122"/>
  <c r="ES1450" i="122"/>
  <c r="ES1449" i="122"/>
  <c r="ES1448" i="122"/>
  <c r="ES1447" i="122"/>
  <c r="ES1446" i="122"/>
  <c r="ES1445" i="122"/>
  <c r="ES1444" i="122"/>
  <c r="ES1443" i="122"/>
  <c r="ES1442" i="122"/>
  <c r="ES1441" i="122"/>
  <c r="ES1440" i="122"/>
  <c r="ES1439" i="122"/>
  <c r="ES1438" i="122"/>
  <c r="ES1437" i="122"/>
  <c r="ES1436" i="122"/>
  <c r="ES1435" i="122"/>
  <c r="ES1434" i="122"/>
  <c r="ES1433" i="122"/>
  <c r="ES1432" i="122"/>
  <c r="ES1431" i="122"/>
  <c r="ES1430" i="122"/>
  <c r="ES1429" i="122"/>
  <c r="ES1428" i="122"/>
  <c r="ES1427" i="122"/>
  <c r="ES1426" i="122"/>
  <c r="ES1425" i="122"/>
  <c r="ES1424" i="122"/>
  <c r="ES1423" i="122"/>
  <c r="ES1422" i="122"/>
  <c r="ES1421" i="122"/>
  <c r="ES1420" i="122"/>
  <c r="ES1419" i="122"/>
  <c r="ES1418" i="122"/>
  <c r="ES1417" i="122"/>
  <c r="ES1416" i="122"/>
  <c r="ES1415" i="122"/>
  <c r="ES1414" i="122"/>
  <c r="ES1413" i="122"/>
  <c r="ES1412" i="122"/>
  <c r="ES1411" i="122"/>
  <c r="ES1410" i="122"/>
  <c r="ES1409" i="122"/>
  <c r="ES1408" i="122"/>
  <c r="ES1407" i="122"/>
  <c r="ES1406" i="122"/>
  <c r="ES1405" i="122"/>
  <c r="ES1404" i="122"/>
  <c r="ES1403" i="122"/>
  <c r="ES1402" i="122"/>
  <c r="ES1401" i="122"/>
  <c r="ES1400" i="122"/>
  <c r="ES1399" i="122"/>
  <c r="ES1398" i="122"/>
  <c r="ES1397" i="122"/>
  <c r="ES1396" i="122"/>
  <c r="ES1395" i="122"/>
  <c r="ES1394" i="122"/>
  <c r="ES1393" i="122"/>
  <c r="ES1392" i="122"/>
  <c r="ES1391" i="122"/>
  <c r="ES1390" i="122"/>
  <c r="ES1389" i="122"/>
  <c r="ES1388" i="122"/>
  <c r="ES1387" i="122"/>
  <c r="ES1386" i="122"/>
  <c r="ES1385" i="122"/>
  <c r="ES1384" i="122"/>
  <c r="ES1383" i="122"/>
  <c r="ES1382" i="122"/>
  <c r="ES1381" i="122"/>
  <c r="ES1380" i="122"/>
  <c r="ES1379" i="122"/>
  <c r="ES1378" i="122"/>
  <c r="ES1377" i="122"/>
  <c r="ES1376" i="122"/>
  <c r="ES1375" i="122"/>
  <c r="ES1374" i="122"/>
  <c r="ES1373" i="122"/>
  <c r="ES1372" i="122"/>
  <c r="ES1371" i="122"/>
  <c r="ES1370" i="122"/>
  <c r="ES1369" i="122"/>
  <c r="ES1368" i="122"/>
  <c r="ES1367" i="122"/>
  <c r="ES1366" i="122"/>
  <c r="ES1365" i="122"/>
  <c r="ES1364" i="122"/>
  <c r="ES1363" i="122"/>
  <c r="ES1362" i="122"/>
  <c r="ES1361" i="122"/>
  <c r="ES1360" i="122"/>
  <c r="ES1359" i="122"/>
  <c r="ES1358" i="122"/>
  <c r="ES1357" i="122"/>
  <c r="ES1356" i="122"/>
  <c r="ES1355" i="122"/>
  <c r="ES1354" i="122"/>
  <c r="ES1353" i="122"/>
  <c r="ES1352" i="122"/>
  <c r="ES1351" i="122"/>
  <c r="ES1350" i="122"/>
  <c r="ES1349" i="122"/>
  <c r="ES1348" i="122"/>
  <c r="ES1347" i="122"/>
  <c r="ES1346" i="122"/>
  <c r="ES1345" i="122"/>
  <c r="ES1344" i="122"/>
  <c r="ES1343" i="122"/>
  <c r="ES1342" i="122"/>
  <c r="ES1341" i="122"/>
  <c r="ES1340" i="122"/>
  <c r="ES1339" i="122"/>
  <c r="ES1338" i="122"/>
  <c r="ES1337" i="122"/>
  <c r="ES1336" i="122"/>
  <c r="ES1335" i="122"/>
  <c r="ES1334" i="122"/>
  <c r="ES1333" i="122"/>
  <c r="ES1332" i="122"/>
  <c r="ES1331" i="122"/>
  <c r="ES1330" i="122"/>
  <c r="ES1329" i="122"/>
  <c r="ES1328" i="122"/>
  <c r="ES1327" i="122"/>
  <c r="ES1326" i="122"/>
  <c r="ES1325" i="122"/>
  <c r="ES1324" i="122"/>
  <c r="ES1323" i="122"/>
  <c r="ES1322" i="122"/>
  <c r="ES1321" i="122"/>
  <c r="ES1320" i="122"/>
  <c r="ES1319" i="122"/>
  <c r="ES1318" i="122"/>
  <c r="ES1317" i="122"/>
  <c r="ES1316" i="122"/>
  <c r="ES1315" i="122"/>
  <c r="ES1314" i="122"/>
  <c r="ES1313" i="122"/>
  <c r="ES1312" i="122"/>
  <c r="ES1311" i="122"/>
  <c r="ES1310" i="122"/>
  <c r="ES1309" i="122"/>
  <c r="ES1308" i="122"/>
  <c r="ES1307" i="122"/>
  <c r="ES1306" i="122"/>
  <c r="ES1305" i="122"/>
  <c r="ES1304" i="122"/>
  <c r="ES1303" i="122"/>
  <c r="ES1302" i="122"/>
  <c r="ES1301" i="122"/>
  <c r="ES1300" i="122"/>
  <c r="ES1299" i="122"/>
  <c r="ES1298" i="122"/>
  <c r="ES1297" i="122"/>
  <c r="ES1296" i="122"/>
  <c r="ES1295" i="122"/>
  <c r="ES1294" i="122"/>
  <c r="ES1293" i="122"/>
  <c r="ES1292" i="122"/>
  <c r="ES1291" i="122"/>
  <c r="ES1290" i="122"/>
  <c r="ES1289" i="122"/>
  <c r="ES1288" i="122"/>
  <c r="ES1287" i="122"/>
  <c r="ES1286" i="122"/>
  <c r="ES1285" i="122"/>
  <c r="ES1284" i="122"/>
  <c r="ES1283" i="122"/>
  <c r="ES1282" i="122"/>
  <c r="ES1281" i="122"/>
  <c r="ES1280" i="122"/>
  <c r="ES1279" i="122"/>
  <c r="ES1278" i="122"/>
  <c r="ES1277" i="122"/>
  <c r="ES1276" i="122"/>
  <c r="ES1275" i="122"/>
  <c r="ES1274" i="122"/>
  <c r="ES1273" i="122"/>
  <c r="ES1272" i="122"/>
  <c r="ES1271" i="122"/>
  <c r="ES1270" i="122"/>
  <c r="ES1269" i="122"/>
  <c r="ES1268" i="122"/>
  <c r="ES1267" i="122"/>
  <c r="ES1266" i="122"/>
  <c r="ES1264" i="122"/>
  <c r="ES1251" i="122" l="1"/>
  <c r="ES1250" i="122"/>
  <c r="ES1249" i="122"/>
  <c r="ES1248" i="122"/>
  <c r="ES1247" i="122"/>
  <c r="ES1246" i="122"/>
  <c r="ES1245" i="122"/>
  <c r="ES1244" i="122"/>
  <c r="ES1243" i="122"/>
  <c r="ES1242" i="122"/>
  <c r="ES1241" i="122"/>
  <c r="ES1240" i="122"/>
  <c r="ES1239" i="122"/>
  <c r="ES1238" i="122"/>
  <c r="ES1237" i="122"/>
  <c r="ES1236" i="122"/>
  <c r="ES1235" i="122"/>
  <c r="ES1234" i="122"/>
  <c r="ES1233" i="122"/>
  <c r="ES1232" i="122"/>
  <c r="ES1231" i="122"/>
  <c r="ES1230" i="122"/>
  <c r="ES1229" i="122"/>
  <c r="ES1228" i="122"/>
  <c r="ES1227" i="122"/>
  <c r="ES1226" i="122"/>
  <c r="ES1225" i="122"/>
  <c r="ES1224" i="122"/>
  <c r="ES1223" i="122"/>
  <c r="ES1222" i="122"/>
  <c r="ES1221" i="122"/>
  <c r="ES1220" i="122"/>
  <c r="ES1219" i="122"/>
  <c r="ES1218" i="122"/>
  <c r="ES1217" i="122"/>
  <c r="ES1216" i="122"/>
  <c r="ES1215" i="122"/>
  <c r="ES1214" i="122"/>
  <c r="ES1213" i="122"/>
  <c r="ES1212" i="122"/>
  <c r="ES1211" i="122"/>
  <c r="ES1210" i="122"/>
  <c r="ES1209" i="122"/>
  <c r="ES1208" i="122"/>
  <c r="ES1207" i="122"/>
  <c r="ES1206" i="122"/>
  <c r="ES1205" i="122"/>
  <c r="ES1204" i="122"/>
  <c r="ES1203" i="122"/>
  <c r="ES1202" i="122"/>
  <c r="ES1201" i="122"/>
  <c r="ES1200" i="122"/>
  <c r="ES1199" i="122"/>
  <c r="ES1198" i="122"/>
  <c r="ES1197" i="122"/>
  <c r="ES1196" i="122"/>
  <c r="ES1195" i="122"/>
  <c r="ES1194" i="122"/>
  <c r="ES1193" i="122"/>
  <c r="ES1192" i="122"/>
  <c r="ES1191" i="122"/>
  <c r="ES1190" i="122"/>
  <c r="ES1189" i="122"/>
  <c r="ES1188" i="122"/>
  <c r="ES1187" i="122"/>
  <c r="ES1186" i="122"/>
  <c r="ES1185" i="122"/>
  <c r="ES1184" i="122"/>
  <c r="ES1183" i="122"/>
  <c r="ES1182" i="122"/>
  <c r="ES1181" i="122"/>
  <c r="ES1180" i="122"/>
  <c r="ES1179" i="122"/>
  <c r="ES1178" i="122"/>
  <c r="ES1177" i="122"/>
  <c r="ES1176" i="122"/>
  <c r="ES1175" i="122"/>
  <c r="ES1174" i="122"/>
  <c r="ES1173" i="122"/>
  <c r="ES1172" i="122"/>
  <c r="ES1171" i="122"/>
  <c r="ES1170" i="122"/>
  <c r="ES1169" i="122"/>
  <c r="ES1168" i="122"/>
  <c r="ES1167" i="122"/>
  <c r="ES1166" i="122"/>
  <c r="ES1165" i="122"/>
  <c r="ES1164" i="122"/>
  <c r="ES1163" i="122"/>
  <c r="ES1162" i="122"/>
  <c r="ES1161" i="122"/>
  <c r="ES1160" i="122"/>
  <c r="ES1159" i="122"/>
  <c r="ES1158" i="122"/>
  <c r="ES1157" i="122"/>
  <c r="ES1156" i="122"/>
  <c r="ES1155" i="122"/>
  <c r="ES1154" i="122"/>
  <c r="ES1153" i="122"/>
  <c r="ES1152" i="122"/>
  <c r="ES1151" i="122"/>
  <c r="ES1150" i="122"/>
  <c r="ES1149" i="122"/>
  <c r="ES1148" i="122"/>
  <c r="ES1147" i="122"/>
  <c r="ES1146" i="122"/>
  <c r="ES1145" i="122"/>
  <c r="ES1144" i="122"/>
  <c r="ES1143" i="122"/>
  <c r="ES1142" i="122"/>
  <c r="ES1141" i="122"/>
  <c r="ES1140" i="122"/>
  <c r="ES1139" i="122"/>
  <c r="ES1138" i="122"/>
  <c r="ES1137" i="122"/>
  <c r="ES1136" i="122"/>
  <c r="ES1135" i="122"/>
  <c r="ES1134" i="122"/>
  <c r="ES1133" i="122"/>
  <c r="ES1132" i="122"/>
  <c r="ES1131" i="122"/>
  <c r="ES1130" i="122"/>
  <c r="ES1129" i="122"/>
  <c r="ES1128" i="122"/>
  <c r="ES1127" i="122"/>
  <c r="ES1126" i="122"/>
  <c r="ES1125" i="122"/>
  <c r="ES1124" i="122"/>
  <c r="ES1123" i="122"/>
  <c r="ES1122" i="122"/>
  <c r="ES1121" i="122"/>
  <c r="ES1120" i="122"/>
  <c r="ES1119" i="122"/>
  <c r="ES1118" i="122"/>
  <c r="ES1117" i="122"/>
  <c r="ES1116" i="122"/>
  <c r="ES1115" i="122"/>
  <c r="ES1114" i="122"/>
  <c r="ES1113" i="122"/>
  <c r="ES1112" i="122"/>
  <c r="ES1111" i="122"/>
  <c r="ES1110" i="122"/>
  <c r="ES1109" i="122"/>
  <c r="ES1108" i="122"/>
  <c r="ES1107" i="122"/>
  <c r="ES1106" i="122"/>
  <c r="ES1105" i="122"/>
  <c r="ES1104" i="122"/>
  <c r="ES1103" i="122"/>
  <c r="ES1102" i="122"/>
  <c r="ES1101" i="122"/>
  <c r="ES1100" i="122"/>
  <c r="ES1099" i="122"/>
  <c r="ES1098" i="122"/>
  <c r="ES1097" i="122"/>
  <c r="ES1096" i="122"/>
  <c r="ES1095" i="122"/>
  <c r="ES1094" i="122"/>
  <c r="ES1093" i="122"/>
  <c r="ES1092" i="122"/>
  <c r="ES1091" i="122"/>
  <c r="ES1090" i="122"/>
  <c r="ES1252" i="122"/>
  <c r="ES1253" i="122"/>
  <c r="ES1254" i="122"/>
  <c r="ES1255" i="122"/>
  <c r="ES1256" i="122"/>
  <c r="EV1500" i="122" l="1"/>
  <c r="ES1500" i="122"/>
  <c r="ES1263" i="122"/>
  <c r="ES1262" i="122"/>
  <c r="ES1261" i="122"/>
  <c r="ES1260" i="122"/>
  <c r="ES1259" i="122"/>
  <c r="ES1258" i="122"/>
  <c r="ES1257" i="122"/>
  <c r="ES1089" i="122"/>
  <c r="ES1088" i="122"/>
  <c r="ES1087" i="122"/>
  <c r="ES1086" i="122"/>
  <c r="ES1085" i="122"/>
  <c r="ES1084" i="122"/>
  <c r="ES1083" i="122"/>
  <c r="ES1082" i="122"/>
  <c r="ES1081" i="122"/>
  <c r="ES1080" i="122"/>
  <c r="ES1079" i="122"/>
  <c r="ES1078" i="122"/>
  <c r="ES1077" i="122"/>
  <c r="ES1076" i="122"/>
  <c r="ES1075" i="122"/>
  <c r="ES1074" i="122"/>
  <c r="ES1073" i="122"/>
  <c r="ES1072" i="122"/>
  <c r="ES1071" i="122"/>
  <c r="ES1070" i="122"/>
  <c r="ES1069" i="122"/>
  <c r="ES1068" i="122"/>
  <c r="ES1067" i="122"/>
  <c r="ES1066" i="122"/>
  <c r="ES1065" i="122"/>
  <c r="ES1064" i="122"/>
  <c r="ES1063" i="122"/>
  <c r="ES1062" i="122"/>
  <c r="ES1061" i="122"/>
  <c r="ES1060" i="122"/>
  <c r="ES1059" i="122"/>
  <c r="ES1058" i="122"/>
  <c r="ES1057" i="122"/>
  <c r="ES1056" i="122"/>
  <c r="ES1055" i="122"/>
  <c r="ES1054" i="122"/>
  <c r="ES1053" i="122"/>
  <c r="ES1052" i="122"/>
  <c r="ES1051" i="122"/>
  <c r="ES1050" i="122"/>
  <c r="ES1049" i="122"/>
  <c r="ES1048" i="122"/>
  <c r="ES1047" i="122"/>
  <c r="ES1046" i="122"/>
  <c r="ES1045" i="122"/>
  <c r="ES1044" i="122"/>
  <c r="ES1043" i="122"/>
  <c r="ES1042" i="122"/>
  <c r="ES1041" i="122"/>
  <c r="ES1040" i="122"/>
  <c r="ES1039" i="122"/>
  <c r="ES1038" i="122"/>
  <c r="ES1037" i="122"/>
  <c r="ES1036" i="122"/>
  <c r="ES1035" i="122"/>
  <c r="ES1034" i="122"/>
  <c r="ES1033" i="122"/>
  <c r="ES1032" i="122"/>
  <c r="ES1031" i="122"/>
  <c r="ES1030" i="122"/>
  <c r="ES1029" i="122"/>
  <c r="ES1028" i="122"/>
  <c r="ES1027" i="122"/>
  <c r="ES1026" i="122"/>
  <c r="ES1025" i="122"/>
  <c r="ES1024" i="122"/>
  <c r="ES1023" i="122"/>
  <c r="ES1022" i="122"/>
  <c r="ES1021" i="122"/>
  <c r="ES1020" i="122" l="1"/>
  <c r="ES1019" i="122"/>
  <c r="ES1018" i="122"/>
  <c r="ES1017" i="122"/>
  <c r="ES1016" i="122"/>
  <c r="ES1015" i="122"/>
  <c r="ES1014" i="122"/>
  <c r="ES1013" i="122"/>
  <c r="ES1012" i="122"/>
  <c r="ES1011" i="122"/>
  <c r="ES1010" i="122"/>
  <c r="ES1009" i="122"/>
  <c r="ES1008" i="122"/>
  <c r="ES1007" i="122"/>
  <c r="ES1006" i="122"/>
  <c r="ES1005" i="122"/>
  <c r="ES1004" i="122"/>
  <c r="ES1003" i="122"/>
  <c r="ES1002" i="122"/>
  <c r="ES1001" i="122"/>
  <c r="ES1000" i="122"/>
  <c r="ES999" i="122"/>
  <c r="ES998" i="122"/>
  <c r="ES997" i="122"/>
  <c r="ES996" i="122"/>
  <c r="ES995" i="122"/>
  <c r="ES994" i="122"/>
  <c r="ES993" i="122"/>
  <c r="ES992" i="122"/>
  <c r="ES991" i="122"/>
  <c r="ES990" i="122"/>
  <c r="ES989" i="122"/>
  <c r="ES988" i="122"/>
  <c r="ES987" i="122"/>
  <c r="ES986" i="122"/>
  <c r="ES985" i="122"/>
  <c r="ES984" i="122"/>
  <c r="ES983" i="122"/>
  <c r="ES982" i="122"/>
  <c r="ES981" i="122"/>
  <c r="ES980" i="122"/>
  <c r="ES979" i="122"/>
  <c r="ES978" i="122"/>
  <c r="ES977" i="122"/>
  <c r="ES976" i="122"/>
  <c r="ES975" i="122"/>
  <c r="ES974" i="122"/>
  <c r="ES973" i="122"/>
  <c r="ES972" i="122"/>
  <c r="ES971" i="122"/>
  <c r="ES970" i="122"/>
  <c r="ES969" i="122"/>
  <c r="ES968" i="122"/>
  <c r="ES967" i="122"/>
  <c r="ES966" i="122"/>
  <c r="ES965" i="122"/>
  <c r="ES964" i="122"/>
  <c r="ES963" i="122"/>
  <c r="ES962" i="122"/>
  <c r="ES961" i="122"/>
  <c r="ES960" i="122"/>
  <c r="ES959" i="122"/>
  <c r="ES958" i="122"/>
  <c r="ES957" i="122"/>
  <c r="ES956" i="122"/>
  <c r="ES955" i="122"/>
  <c r="ES954" i="122"/>
  <c r="ES953" i="122"/>
  <c r="ES952" i="122"/>
  <c r="ES951" i="122"/>
  <c r="ES950" i="122"/>
  <c r="ES949" i="122"/>
  <c r="ES948" i="122"/>
  <c r="ES947" i="122"/>
  <c r="ES946" i="122"/>
  <c r="ES945" i="122"/>
  <c r="ES944" i="122"/>
  <c r="ES943" i="122"/>
  <c r="ES942" i="122"/>
  <c r="ES941" i="122"/>
  <c r="ES940" i="122"/>
  <c r="ES939" i="122"/>
  <c r="ES938" i="122"/>
  <c r="ES937" i="122"/>
  <c r="ES936" i="122"/>
  <c r="ES935" i="122"/>
  <c r="ES934" i="122"/>
  <c r="ES933" i="122"/>
  <c r="ES932" i="122"/>
  <c r="ES931" i="122"/>
  <c r="ES930" i="122"/>
  <c r="ES929" i="122"/>
  <c r="ES928" i="122"/>
  <c r="ES927" i="122"/>
  <c r="ES926" i="122"/>
  <c r="ES925" i="122"/>
  <c r="ES924" i="122"/>
  <c r="ES923" i="122"/>
  <c r="ES922" i="122"/>
  <c r="ES921" i="122"/>
  <c r="ES920" i="122"/>
  <c r="ES919" i="122"/>
  <c r="ES918" i="122"/>
  <c r="ES917" i="122"/>
  <c r="ES916" i="122"/>
  <c r="ES915" i="122"/>
  <c r="ES914" i="122"/>
  <c r="ES913" i="122"/>
  <c r="ES912" i="122"/>
  <c r="ES911" i="122"/>
  <c r="ES910" i="122"/>
  <c r="ES909" i="122"/>
  <c r="ES908" i="122"/>
  <c r="ES907" i="122"/>
  <c r="ES906" i="122"/>
  <c r="ES905" i="122"/>
  <c r="ES904" i="122"/>
  <c r="ES903" i="122"/>
  <c r="ES902" i="122"/>
  <c r="ES901" i="122"/>
  <c r="ES900" i="122"/>
  <c r="ES899" i="122"/>
  <c r="ES898" i="122"/>
  <c r="ES897" i="122"/>
  <c r="ES896" i="122"/>
  <c r="ES895" i="122"/>
  <c r="ES894" i="122"/>
  <c r="ES893" i="122"/>
  <c r="ES892" i="122"/>
  <c r="ES891" i="122"/>
  <c r="ES890" i="122"/>
  <c r="ES889" i="122"/>
  <c r="ES888" i="122"/>
  <c r="ES887" i="122"/>
  <c r="ES886" i="122"/>
  <c r="ES885" i="122"/>
  <c r="ES884" i="122"/>
  <c r="ES883" i="122"/>
  <c r="ES882" i="122"/>
  <c r="ES881" i="122"/>
  <c r="ES880" i="122"/>
  <c r="ES879" i="122"/>
  <c r="ES878" i="122"/>
  <c r="ES877" i="122"/>
  <c r="ES876" i="122"/>
  <c r="ES875" i="122"/>
  <c r="ES874" i="122"/>
  <c r="ES873" i="122"/>
  <c r="ES872" i="122"/>
  <c r="ES871" i="122"/>
  <c r="ES870" i="122"/>
  <c r="ES869" i="122"/>
  <c r="ES868" i="122"/>
  <c r="ES867" i="122"/>
  <c r="ES866" i="122"/>
  <c r="ES865" i="122"/>
  <c r="ES864" i="122"/>
  <c r="ES863" i="122"/>
  <c r="ES862" i="122"/>
  <c r="ES861" i="122"/>
  <c r="ES860" i="122"/>
  <c r="ES859" i="122"/>
  <c r="ES858" i="122"/>
  <c r="ES857" i="122"/>
  <c r="ES856" i="122"/>
  <c r="ES855" i="122"/>
  <c r="ES854" i="122"/>
  <c r="ES853" i="122"/>
  <c r="ES852" i="122"/>
  <c r="ES851" i="122"/>
  <c r="ES850" i="122"/>
  <c r="ES849" i="122"/>
  <c r="ES848" i="122"/>
  <c r="ES847" i="122"/>
  <c r="ES846" i="122"/>
  <c r="ES845" i="122"/>
  <c r="ES844" i="122"/>
  <c r="ES843" i="122"/>
  <c r="ES842" i="122"/>
  <c r="ES841" i="122"/>
  <c r="ES840" i="122"/>
  <c r="ES839" i="122"/>
  <c r="ES838" i="122"/>
  <c r="ES837" i="122"/>
  <c r="ES836" i="122"/>
  <c r="ES835" i="122"/>
  <c r="ES834" i="122"/>
  <c r="ES833" i="122"/>
  <c r="ES832" i="122"/>
  <c r="ES831" i="122"/>
  <c r="ES830" i="122"/>
  <c r="ES829" i="122"/>
  <c r="ES828" i="122"/>
  <c r="ES827" i="122"/>
  <c r="ES826" i="122"/>
  <c r="ES825" i="122"/>
  <c r="ES824" i="122"/>
  <c r="ES823" i="122"/>
  <c r="ES822" i="122"/>
  <c r="ES821" i="122"/>
  <c r="ES820" i="122"/>
  <c r="ES819" i="122"/>
  <c r="ES818" i="122"/>
  <c r="ES817" i="122"/>
  <c r="ES816" i="122"/>
  <c r="ES815" i="122"/>
  <c r="ES814" i="122"/>
  <c r="ES813" i="122"/>
  <c r="ES812" i="122"/>
  <c r="ES811" i="122"/>
  <c r="ES810" i="122"/>
  <c r="ES809" i="122"/>
  <c r="ES808" i="122"/>
  <c r="ES807" i="122"/>
  <c r="ES806" i="122"/>
  <c r="ES805" i="122"/>
  <c r="ES804" i="122"/>
  <c r="ES803" i="122"/>
  <c r="ES802" i="122"/>
  <c r="ES801" i="122"/>
  <c r="ES800" i="122"/>
  <c r="ES799" i="122"/>
  <c r="ES798" i="122"/>
  <c r="ES797" i="122"/>
  <c r="ES796" i="122"/>
  <c r="ES795" i="122"/>
  <c r="ES794" i="122"/>
  <c r="ES793" i="122"/>
  <c r="ES792" i="122"/>
  <c r="ES791" i="122"/>
  <c r="ES790" i="122"/>
  <c r="ES789" i="122"/>
  <c r="A4" i="125" l="1"/>
  <c r="FP303" i="122" l="1"/>
  <c r="FM303" i="122"/>
  <c r="FP302" i="122"/>
  <c r="FM302" i="122"/>
  <c r="FP301" i="122"/>
  <c r="FM301" i="122"/>
  <c r="FP300" i="122"/>
  <c r="FM300" i="122"/>
  <c r="FP81" i="122"/>
  <c r="FM81" i="122"/>
  <c r="FP80" i="122"/>
  <c r="FM80" i="122"/>
  <c r="FM79" i="122"/>
  <c r="FM78" i="122"/>
  <c r="FP75" i="122"/>
  <c r="FM75" i="122"/>
  <c r="FP74" i="122"/>
  <c r="FM74" i="122"/>
  <c r="FP73" i="122"/>
  <c r="FM73" i="122"/>
  <c r="FM72" i="122"/>
  <c r="FP69" i="122"/>
  <c r="FM69" i="122"/>
  <c r="FP68" i="122"/>
  <c r="FM68" i="122"/>
  <c r="FM67" i="122"/>
  <c r="FM66" i="122"/>
  <c r="FH59" i="122"/>
  <c r="ES302" i="122"/>
  <c r="EV80" i="122"/>
  <c r="ES80" i="122"/>
  <c r="ES79" i="122"/>
  <c r="ES74" i="122"/>
  <c r="EV73" i="122"/>
  <c r="ES73" i="122"/>
  <c r="ES69" i="122"/>
  <c r="EV68" i="122"/>
  <c r="ES68" i="122"/>
  <c r="ES67" i="122"/>
  <c r="FP63" i="122"/>
  <c r="FM63" i="122"/>
  <c r="FP62" i="122"/>
  <c r="FM62" i="122"/>
  <c r="EV62" i="122"/>
  <c r="ES62" i="122"/>
  <c r="FM61" i="122"/>
  <c r="EV61" i="122"/>
  <c r="FM60" i="122"/>
  <c r="EI352" i="122"/>
  <c r="EH352" i="122"/>
  <c r="EF352" i="122"/>
  <c r="ED352" i="122"/>
  <c r="IO6" i="122"/>
  <c r="IO55" i="122" s="1"/>
  <c r="EV1507" i="122"/>
  <c r="ES1507" i="122"/>
  <c r="EV1506" i="122"/>
  <c r="ES1506" i="122"/>
  <c r="EV1505" i="122"/>
  <c r="ES1505" i="122"/>
  <c r="EV1504" i="122"/>
  <c r="ES1504" i="122"/>
  <c r="EV1503" i="122"/>
  <c r="ES1503" i="122"/>
  <c r="EV1502" i="122"/>
  <c r="ES1502" i="122"/>
  <c r="EV1501" i="122"/>
  <c r="ES1501" i="122"/>
  <c r="ES788" i="122"/>
  <c r="ES787" i="122"/>
  <c r="ES786" i="122"/>
  <c r="ES785" i="122"/>
  <c r="ES784" i="122"/>
  <c r="ES783" i="122"/>
  <c r="ES782" i="122"/>
  <c r="ES781" i="122"/>
  <c r="ES780" i="122"/>
  <c r="ES779" i="122"/>
  <c r="ES778" i="122"/>
  <c r="ES777" i="122"/>
  <c r="ES776" i="122"/>
  <c r="ES775" i="122"/>
  <c r="ES774" i="122"/>
  <c r="ES773" i="122"/>
  <c r="ES772" i="122"/>
  <c r="ES771" i="122"/>
  <c r="ES770" i="122"/>
  <c r="ES769" i="122"/>
  <c r="ES768" i="122"/>
  <c r="ES767" i="122"/>
  <c r="ES766" i="122"/>
  <c r="ES765" i="122"/>
  <c r="ES764" i="122"/>
  <c r="ES763" i="122"/>
  <c r="ES762" i="122"/>
  <c r="ES761" i="122"/>
  <c r="ES760" i="122"/>
  <c r="ES759" i="122"/>
  <c r="ES758" i="122"/>
  <c r="ES757" i="122"/>
  <c r="ES756" i="122"/>
  <c r="ES755" i="122"/>
  <c r="ES754" i="122"/>
  <c r="ES753" i="122"/>
  <c r="ES752" i="122"/>
  <c r="ES751" i="122"/>
  <c r="ES750" i="122"/>
  <c r="ES749" i="122"/>
  <c r="ES748" i="122"/>
  <c r="ES747" i="122"/>
  <c r="ES746" i="122"/>
  <c r="ES745" i="122"/>
  <c r="ES744" i="122"/>
  <c r="ES743" i="122"/>
  <c r="ES742" i="122"/>
  <c r="ES741" i="122"/>
  <c r="ES740" i="122"/>
  <c r="ES739" i="122"/>
  <c r="ES738" i="122"/>
  <c r="ES737" i="122"/>
  <c r="ES736" i="122"/>
  <c r="ES735" i="122"/>
  <c r="ES734" i="122"/>
  <c r="ES733" i="122"/>
  <c r="ES732" i="122"/>
  <c r="ES731" i="122"/>
  <c r="ES730" i="122"/>
  <c r="ES729" i="122"/>
  <c r="ES728" i="122"/>
  <c r="ES727" i="122"/>
  <c r="ES726" i="122"/>
  <c r="ES725" i="122"/>
  <c r="ES724" i="122"/>
  <c r="ES723" i="122"/>
  <c r="ES722" i="122"/>
  <c r="ES721" i="122"/>
  <c r="ES720" i="122"/>
  <c r="ES719" i="122"/>
  <c r="ES718" i="122"/>
  <c r="ES717" i="122"/>
  <c r="ES716" i="122"/>
  <c r="ES715" i="122"/>
  <c r="ES714" i="122"/>
  <c r="ES713" i="122"/>
  <c r="ES712" i="122"/>
  <c r="ES711" i="122"/>
  <c r="ES710" i="122"/>
  <c r="ES709" i="122"/>
  <c r="ES708" i="122"/>
  <c r="ES707" i="122"/>
  <c r="ES706" i="122"/>
  <c r="ES705" i="122"/>
  <c r="ES704" i="122"/>
  <c r="ES703" i="122"/>
  <c r="ES702" i="122"/>
  <c r="ES701" i="122"/>
  <c r="ES700" i="122"/>
  <c r="ES699" i="122"/>
  <c r="ES698" i="122"/>
  <c r="ES697" i="122"/>
  <c r="ES696" i="122"/>
  <c r="ES695" i="122"/>
  <c r="ES694" i="122"/>
  <c r="ES693" i="122"/>
  <c r="ES692" i="122"/>
  <c r="ES691" i="122"/>
  <c r="ES690" i="122"/>
  <c r="ES689" i="122"/>
  <c r="ES688" i="122"/>
  <c r="ES687" i="122"/>
  <c r="ES686" i="122"/>
  <c r="ES685" i="122"/>
  <c r="ES684" i="122"/>
  <c r="ES683" i="122"/>
  <c r="ES682" i="122"/>
  <c r="ES681" i="122"/>
  <c r="ES680" i="122"/>
  <c r="ES679" i="122"/>
  <c r="ES678" i="122"/>
  <c r="ES677" i="122"/>
  <c r="ES676" i="122"/>
  <c r="ES675" i="122"/>
  <c r="ES674" i="122"/>
  <c r="ES673" i="122"/>
  <c r="ES672" i="122"/>
  <c r="ES671" i="122"/>
  <c r="ES670" i="122"/>
  <c r="ES669" i="122"/>
  <c r="ES668" i="122"/>
  <c r="ES667" i="122"/>
  <c r="ES666" i="122"/>
  <c r="ES665" i="122"/>
  <c r="ES664" i="122"/>
  <c r="ES663" i="122"/>
  <c r="ES662" i="122"/>
  <c r="ES661" i="122"/>
  <c r="ES660" i="122"/>
  <c r="ES659" i="122"/>
  <c r="ES658" i="122"/>
  <c r="ES657" i="122"/>
  <c r="ES656" i="122"/>
  <c r="ES655" i="122"/>
  <c r="ES654" i="122"/>
  <c r="ES653" i="122"/>
  <c r="ES652" i="122"/>
  <c r="ES651" i="122"/>
  <c r="ES650" i="122"/>
  <c r="ES649" i="122"/>
  <c r="ES648" i="122"/>
  <c r="ES647" i="122"/>
  <c r="ES646" i="122"/>
  <c r="ES645" i="122"/>
  <c r="ES644" i="122"/>
  <c r="ES643" i="122"/>
  <c r="ES642" i="122"/>
  <c r="ES641" i="122"/>
  <c r="ES640" i="122"/>
  <c r="ES639" i="122"/>
  <c r="ES638" i="122"/>
  <c r="ES637" i="122"/>
  <c r="ES636" i="122"/>
  <c r="ES635" i="122"/>
  <c r="ES634" i="122"/>
  <c r="ES633" i="122"/>
  <c r="ES632" i="122"/>
  <c r="ES631" i="122"/>
  <c r="ES630" i="122"/>
  <c r="ES629" i="122"/>
  <c r="ES628" i="122"/>
  <c r="ES627" i="122"/>
  <c r="ES626" i="122"/>
  <c r="ES625" i="122"/>
  <c r="ES624" i="122"/>
  <c r="ES623" i="122"/>
  <c r="ES622" i="122"/>
  <c r="ES621" i="122"/>
  <c r="ES620" i="122"/>
  <c r="ES619" i="122"/>
  <c r="ES618" i="122"/>
  <c r="ES617" i="122"/>
  <c r="ES616" i="122"/>
  <c r="ES615" i="122"/>
  <c r="ES614" i="122"/>
  <c r="ES613" i="122"/>
  <c r="ES612" i="122"/>
  <c r="ES611" i="122"/>
  <c r="ES610" i="122"/>
  <c r="ES609" i="122"/>
  <c r="ES608" i="122"/>
  <c r="ES607" i="122"/>
  <c r="ES606" i="122"/>
  <c r="ES605" i="122"/>
  <c r="ES604" i="122"/>
  <c r="ES603" i="122"/>
  <c r="ES602" i="122"/>
  <c r="ES601" i="122"/>
  <c r="ES600" i="122"/>
  <c r="ES599" i="122"/>
  <c r="ES598" i="122"/>
  <c r="ES597" i="122"/>
  <c r="ES596" i="122"/>
  <c r="ES595" i="122"/>
  <c r="ES594" i="122"/>
  <c r="ES593" i="122"/>
  <c r="ES592" i="122"/>
  <c r="ES591" i="122"/>
  <c r="ES590" i="122"/>
  <c r="ES589" i="122"/>
  <c r="ES588" i="122"/>
  <c r="ES587" i="122"/>
  <c r="ES586" i="122"/>
  <c r="ES585" i="122"/>
  <c r="ES584" i="122"/>
  <c r="ES583" i="122"/>
  <c r="ES582" i="122"/>
  <c r="ES581" i="122"/>
  <c r="ES580" i="122"/>
  <c r="ES579" i="122"/>
  <c r="ES578" i="122"/>
  <c r="ES577" i="122"/>
  <c r="ES576" i="122"/>
  <c r="ES575" i="122"/>
  <c r="ES574" i="122"/>
  <c r="ES573" i="122"/>
  <c r="ES572" i="122"/>
  <c r="ES571" i="122"/>
  <c r="ES570" i="122"/>
  <c r="ES569" i="122"/>
  <c r="ES568" i="122"/>
  <c r="ES567" i="122"/>
  <c r="ES566" i="122"/>
  <c r="ES565" i="122"/>
  <c r="ES564" i="122"/>
  <c r="ES563" i="122"/>
  <c r="ES562" i="122"/>
  <c r="ES561" i="122"/>
  <c r="ES560" i="122"/>
  <c r="ES559" i="122"/>
  <c r="ES558" i="122"/>
  <c r="ES557" i="122"/>
  <c r="ES556" i="122"/>
  <c r="ES555" i="122"/>
  <c r="ES554" i="122"/>
  <c r="ES553" i="122"/>
  <c r="ES552" i="122"/>
  <c r="ES551" i="122"/>
  <c r="ES550" i="122"/>
  <c r="ES549" i="122"/>
  <c r="ES548" i="122"/>
  <c r="ES547" i="122"/>
  <c r="ES546" i="122"/>
  <c r="ES545" i="122"/>
  <c r="ES544" i="122"/>
  <c r="ES543" i="122"/>
  <c r="ES542" i="122"/>
  <c r="ES541" i="122"/>
  <c r="ES540" i="122"/>
  <c r="ES539" i="122"/>
  <c r="ES538" i="122"/>
  <c r="ES537" i="122"/>
  <c r="ES536" i="122"/>
  <c r="ES535" i="122"/>
  <c r="ES534" i="122"/>
  <c r="ES533" i="122"/>
  <c r="ES532" i="122"/>
  <c r="ES531" i="122"/>
  <c r="ES530" i="122"/>
  <c r="ES529" i="122"/>
  <c r="ES528" i="122"/>
  <c r="ES527" i="122"/>
  <c r="ES526" i="122"/>
  <c r="ES525" i="122"/>
  <c r="ES524" i="122"/>
  <c r="ES523" i="122"/>
  <c r="ES522" i="122"/>
  <c r="ES521" i="122"/>
  <c r="ES520" i="122"/>
  <c r="ES519" i="122"/>
  <c r="ES518" i="122"/>
  <c r="ES517" i="122"/>
  <c r="ES516" i="122"/>
  <c r="ES515" i="122"/>
  <c r="ES514" i="122"/>
  <c r="ES513" i="122"/>
  <c r="ES512" i="122"/>
  <c r="ES511" i="122"/>
  <c r="ES510" i="122"/>
  <c r="ES509" i="122"/>
  <c r="ES508" i="122"/>
  <c r="ES507" i="122"/>
  <c r="ES506" i="122"/>
  <c r="ES505" i="122"/>
  <c r="ES504" i="122"/>
  <c r="ES503" i="122"/>
  <c r="ES502" i="122"/>
  <c r="ES501" i="122"/>
  <c r="ES500" i="122"/>
  <c r="ES499" i="122"/>
  <c r="ES498" i="122"/>
  <c r="ES497" i="122"/>
  <c r="ES496" i="122"/>
  <c r="ES495" i="122"/>
  <c r="ES494" i="122"/>
  <c r="ES493" i="122"/>
  <c r="ES492" i="122"/>
  <c r="ES491" i="122"/>
  <c r="ES490" i="122"/>
  <c r="ES489" i="122"/>
  <c r="ES488" i="122"/>
  <c r="ES487" i="122"/>
  <c r="ES486" i="122"/>
  <c r="ES485" i="122"/>
  <c r="ES484" i="122"/>
  <c r="ES483" i="122"/>
  <c r="ES482" i="122"/>
  <c r="ES481" i="122"/>
  <c r="ES480" i="122"/>
  <c r="ES479" i="122"/>
  <c r="ES478" i="122"/>
  <c r="ES477" i="122"/>
  <c r="ES476" i="122"/>
  <c r="ES475" i="122"/>
  <c r="ES474" i="122"/>
  <c r="ES473" i="122"/>
  <c r="ES472" i="122"/>
  <c r="ES471" i="122"/>
  <c r="ES470" i="122"/>
  <c r="ES469" i="122"/>
  <c r="ES468" i="122"/>
  <c r="ES467" i="122"/>
  <c r="ES466" i="122"/>
  <c r="ES465" i="122"/>
  <c r="ES464" i="122"/>
  <c r="ES463" i="122"/>
  <c r="ES462" i="122"/>
  <c r="ES461" i="122"/>
  <c r="ES460" i="122"/>
  <c r="ES459" i="122"/>
  <c r="ES458" i="122"/>
  <c r="ES457" i="122"/>
  <c r="ES456" i="122"/>
  <c r="ES455" i="122"/>
  <c r="ES454" i="122"/>
  <c r="ES453" i="122"/>
  <c r="ES452" i="122"/>
  <c r="ES451" i="122"/>
  <c r="ES450" i="122"/>
  <c r="ES449" i="122"/>
  <c r="ES448" i="122"/>
  <c r="ES447" i="122"/>
  <c r="ES446" i="122"/>
  <c r="ES445" i="122"/>
  <c r="ES444" i="122"/>
  <c r="ES443" i="122"/>
  <c r="ES442" i="122"/>
  <c r="ES441" i="122"/>
  <c r="ES440" i="122"/>
  <c r="ES439" i="122"/>
  <c r="ES438" i="122"/>
  <c r="ES437" i="122"/>
  <c r="ES436" i="122"/>
  <c r="ES435" i="122"/>
  <c r="ES434" i="122"/>
  <c r="ES433" i="122"/>
  <c r="ES432" i="122"/>
  <c r="ES431" i="122"/>
  <c r="ES430" i="122"/>
  <c r="ES429" i="122"/>
  <c r="ES428" i="122"/>
  <c r="ES427" i="122"/>
  <c r="ES426" i="122"/>
  <c r="ES425" i="122"/>
  <c r="ES424" i="122"/>
  <c r="ES423" i="122"/>
  <c r="ES422" i="122"/>
  <c r="ES421" i="122"/>
  <c r="ES420" i="122"/>
  <c r="ES419" i="122"/>
  <c r="ES418" i="122"/>
  <c r="ES417" i="122"/>
  <c r="ES416" i="122"/>
  <c r="ES415" i="122"/>
  <c r="ES414" i="122"/>
  <c r="ES413" i="122"/>
  <c r="ES412" i="122"/>
  <c r="ES411" i="122"/>
  <c r="ES410" i="122"/>
  <c r="ES409" i="122"/>
  <c r="ES408" i="122"/>
  <c r="ES407" i="122"/>
  <c r="ES406" i="122"/>
  <c r="ES405" i="122"/>
  <c r="ES404" i="122"/>
  <c r="ES403" i="122"/>
  <c r="ES402" i="122"/>
  <c r="ES401" i="122"/>
  <c r="ES400" i="122"/>
  <c r="ES399" i="122"/>
  <c r="ES398" i="122"/>
  <c r="ES397" i="122"/>
  <c r="ES396" i="122"/>
  <c r="ES394" i="122"/>
  <c r="ES393" i="122"/>
  <c r="ES392" i="122"/>
  <c r="ES391" i="122"/>
  <c r="ES390" i="122"/>
  <c r="ES389" i="122"/>
  <c r="ES388" i="122"/>
  <c r="ES387" i="122"/>
  <c r="ES386" i="122"/>
  <c r="ES385" i="122"/>
  <c r="ES384" i="122"/>
  <c r="ES383" i="122"/>
  <c r="ES382" i="122"/>
  <c r="ES381" i="122"/>
  <c r="ES380" i="122"/>
  <c r="ES379" i="122"/>
  <c r="ES378" i="122"/>
  <c r="ES377" i="122"/>
  <c r="ES376" i="122"/>
  <c r="ES375" i="122"/>
  <c r="ES374" i="122"/>
  <c r="ES373" i="122"/>
  <c r="ES372" i="122"/>
  <c r="ES371" i="122"/>
  <c r="ES370" i="122"/>
  <c r="ES369" i="122"/>
  <c r="ES368" i="122"/>
  <c r="ES367" i="122"/>
  <c r="ES366" i="122"/>
  <c r="ES365" i="122"/>
  <c r="ES364" i="122"/>
  <c r="ES363" i="122"/>
  <c r="ES362" i="122"/>
  <c r="ES361" i="122"/>
  <c r="ES360" i="122"/>
  <c r="ES359" i="122"/>
  <c r="ES358" i="122"/>
  <c r="ES357" i="122"/>
  <c r="ES356" i="122"/>
  <c r="ES355" i="122"/>
  <c r="ES354" i="122"/>
  <c r="ES353" i="122"/>
  <c r="ES352" i="122"/>
  <c r="ES351" i="122"/>
  <c r="ES350" i="122"/>
  <c r="ES349" i="122"/>
  <c r="ES348" i="122"/>
  <c r="ES347" i="122"/>
  <c r="ES346" i="122"/>
  <c r="ES345" i="122"/>
  <c r="ES344" i="122"/>
  <c r="ES343" i="122"/>
  <c r="ES342" i="122"/>
  <c r="ES341" i="122"/>
  <c r="ES340" i="122"/>
  <c r="ES339" i="122"/>
  <c r="ES338" i="122"/>
  <c r="ES337" i="122"/>
  <c r="ES336" i="122"/>
  <c r="ES335" i="122"/>
  <c r="ES334" i="122"/>
  <c r="ES333" i="122"/>
  <c r="ES332" i="122"/>
  <c r="ES331" i="122"/>
  <c r="ES330" i="122"/>
  <c r="ES329" i="122"/>
  <c r="ES328" i="122"/>
  <c r="ES327" i="122"/>
  <c r="ES326" i="122"/>
  <c r="ES325" i="122"/>
  <c r="ES324" i="122"/>
  <c r="ES323" i="122"/>
  <c r="ES322" i="122"/>
  <c r="ES321" i="122"/>
  <c r="ES320" i="122"/>
  <c r="ES319" i="122"/>
  <c r="ES318" i="122"/>
  <c r="ES317" i="122"/>
  <c r="ES312" i="122"/>
  <c r="ES311" i="122"/>
  <c r="AE48" i="122"/>
  <c r="FP57" i="122"/>
  <c r="FM57" i="122"/>
  <c r="FP56" i="122"/>
  <c r="FM56" i="122"/>
  <c r="FP55" i="122"/>
  <c r="FM55" i="122"/>
  <c r="FM54" i="122"/>
  <c r="EC94" i="122" l="1"/>
  <c r="EC351" i="122"/>
  <c r="ED351" i="122" s="1"/>
  <c r="EC396" i="122"/>
  <c r="EC139" i="122"/>
  <c r="FH65" i="122"/>
  <c r="ED396" i="122" l="1"/>
  <c r="AH48" i="122" s="1"/>
  <c r="IO1" i="122"/>
  <c r="FH71" i="122"/>
  <c r="FH77" i="122" l="1"/>
  <c r="EM311" i="122"/>
  <c r="EM312" i="122" s="1"/>
  <c r="EM313" i="122" s="1"/>
  <c r="EM314" i="122" s="1"/>
  <c r="EM315" i="122" s="1"/>
  <c r="EM316" i="122" s="1"/>
  <c r="EM317" i="122" s="1"/>
  <c r="EM318" i="122" s="1"/>
  <c r="EM319" i="122" s="1"/>
  <c r="EM320" i="122" s="1"/>
  <c r="EM321" i="122" s="1"/>
  <c r="EM322" i="122" s="1"/>
  <c r="EM323" i="122" s="1"/>
  <c r="EM324" i="122" s="1"/>
  <c r="EM325" i="122" s="1"/>
  <c r="EM326" i="122" s="1"/>
  <c r="EM327" i="122" s="1"/>
  <c r="EM328" i="122" s="1"/>
  <c r="EM329" i="122" s="1"/>
  <c r="EM330" i="122" s="1"/>
  <c r="EM331" i="122" s="1"/>
  <c r="EM332" i="122" s="1"/>
  <c r="EM333" i="122" s="1"/>
  <c r="EM334" i="122" s="1"/>
  <c r="EM335" i="122" s="1"/>
  <c r="EM336" i="122" s="1"/>
  <c r="EM337" i="122" s="1"/>
  <c r="EM338" i="122" s="1"/>
  <c r="EM339" i="122" s="1"/>
  <c r="EM340" i="122" s="1"/>
  <c r="EM341" i="122" s="1"/>
  <c r="EM342" i="122" l="1"/>
  <c r="EM343" i="122" s="1"/>
  <c r="EM344" i="122" s="1"/>
  <c r="EM345" i="122" s="1"/>
  <c r="EM346" i="122" s="1"/>
  <c r="EM347" i="122" s="1"/>
  <c r="EM348" i="122" s="1"/>
  <c r="EM349" i="122" s="1"/>
  <c r="EM350" i="122" s="1"/>
  <c r="EM351" i="122" s="1"/>
  <c r="EM352" i="122" s="1"/>
  <c r="EM353" i="122" s="1"/>
  <c r="EM354" i="122" s="1"/>
  <c r="EM355" i="122" s="1"/>
  <c r="EM356" i="122" s="1"/>
  <c r="EM357" i="122" s="1"/>
  <c r="EM358" i="122" s="1"/>
  <c r="EM359" i="122" s="1"/>
  <c r="EM360" i="122" s="1"/>
  <c r="EM361" i="122" s="1"/>
  <c r="EM362" i="122" s="1"/>
  <c r="EM363" i="122" s="1"/>
  <c r="EM364" i="122" s="1"/>
  <c r="EM365" i="122" s="1"/>
  <c r="EM366" i="122" s="1"/>
  <c r="EM367" i="122" s="1"/>
  <c r="EM368" i="122" s="1"/>
  <c r="EM369" i="122" s="1"/>
  <c r="EM370" i="122" s="1"/>
  <c r="EM371" i="122" s="1"/>
  <c r="EM372" i="122" s="1"/>
  <c r="EM373" i="122" s="1"/>
  <c r="EM374" i="122" s="1"/>
  <c r="EM375" i="122" s="1"/>
  <c r="EM376" i="122" s="1"/>
  <c r="EM377" i="122" s="1"/>
  <c r="EM378" i="122" s="1"/>
  <c r="EM379" i="122" s="1"/>
  <c r="EM380" i="122" s="1"/>
  <c r="EM381" i="122" s="1"/>
  <c r="EM382" i="122" s="1"/>
  <c r="EM383" i="122" s="1"/>
  <c r="EM384" i="122" s="1"/>
  <c r="EM385" i="122" s="1"/>
  <c r="EM386" i="122" s="1"/>
  <c r="EM387" i="122" s="1"/>
  <c r="EM388" i="122" s="1"/>
  <c r="EM389" i="122" s="1"/>
  <c r="EM390" i="122" s="1"/>
  <c r="EM391" i="122" s="1"/>
  <c r="EM392" i="122" s="1"/>
  <c r="EM393" i="122" s="1"/>
  <c r="EM394" i="122" s="1"/>
  <c r="EM395" i="122" s="1"/>
  <c r="EM396" i="122" s="1"/>
  <c r="EM397" i="122" s="1"/>
  <c r="EM398" i="122" s="1"/>
  <c r="EM399" i="122" s="1"/>
  <c r="EM400" i="122" s="1"/>
  <c r="EM401" i="122" s="1"/>
  <c r="EM402" i="122" s="1"/>
  <c r="EM403" i="122" s="1"/>
  <c r="EM404" i="122" s="1"/>
  <c r="EM405" i="122" s="1"/>
  <c r="EM406" i="122" s="1"/>
  <c r="EM407" i="122" s="1"/>
  <c r="EM408" i="122" s="1"/>
  <c r="EM409" i="122" s="1"/>
  <c r="EM410" i="122" s="1"/>
  <c r="EM411" i="122" s="1"/>
  <c r="EM412" i="122" s="1"/>
  <c r="EM413" i="122" s="1"/>
  <c r="EM414" i="122" s="1"/>
  <c r="EM415" i="122" s="1"/>
  <c r="EM416" i="122" s="1"/>
  <c r="EM417" i="122" s="1"/>
  <c r="EM418" i="122" s="1"/>
  <c r="EM419" i="122" s="1"/>
  <c r="EM420" i="122" s="1"/>
  <c r="EM421" i="122" s="1"/>
  <c r="EM422" i="122" s="1"/>
  <c r="EM423" i="122" s="1"/>
  <c r="EM424" i="122" s="1"/>
  <c r="EM425" i="122" s="1"/>
  <c r="EM426" i="122" s="1"/>
  <c r="EM427" i="122" s="1"/>
  <c r="EM428" i="122" s="1"/>
  <c r="EM429" i="122" s="1"/>
  <c r="EM430" i="122" s="1"/>
  <c r="EM431" i="122" s="1"/>
  <c r="EM432" i="122" s="1"/>
  <c r="EM433" i="122" s="1"/>
  <c r="EM434" i="122" s="1"/>
  <c r="EM435" i="122" s="1"/>
  <c r="EM436" i="122" s="1"/>
  <c r="EM437" i="122" s="1"/>
  <c r="EM438" i="122" s="1"/>
  <c r="EM439" i="122" s="1"/>
  <c r="EM440" i="122" s="1"/>
  <c r="EM441" i="122" s="1"/>
  <c r="EM442" i="122" s="1"/>
  <c r="EM443" i="122" s="1"/>
  <c r="EM444" i="122" s="1"/>
  <c r="EM445" i="122" s="1"/>
  <c r="EM446" i="122" s="1"/>
  <c r="EM447" i="122" s="1"/>
  <c r="EM448" i="122" s="1"/>
  <c r="EM449" i="122" s="1"/>
  <c r="EM450" i="122" s="1"/>
  <c r="EM451" i="122" s="1"/>
  <c r="EM452" i="122" s="1"/>
  <c r="EM453" i="122" s="1"/>
  <c r="EM454" i="122" s="1"/>
  <c r="EM455" i="122" s="1"/>
  <c r="EM456" i="122" s="1"/>
  <c r="EM457" i="122" s="1"/>
  <c r="EM458" i="122" s="1"/>
  <c r="EM459" i="122" s="1"/>
  <c r="EM460" i="122" s="1"/>
  <c r="EM461" i="122" s="1"/>
  <c r="EM462" i="122" s="1"/>
  <c r="EM463" i="122" s="1"/>
  <c r="EM464" i="122" s="1"/>
  <c r="EM465" i="122" s="1"/>
  <c r="EM466" i="122" s="1"/>
  <c r="EM467" i="122" s="1"/>
  <c r="EM468" i="122" s="1"/>
  <c r="EM469" i="122" s="1"/>
  <c r="EM470" i="122" s="1"/>
  <c r="EM471" i="122" s="1"/>
  <c r="EM472" i="122" s="1"/>
  <c r="EM473" i="122" s="1"/>
  <c r="EM474" i="122" s="1"/>
  <c r="EM475" i="122" s="1"/>
  <c r="EM476" i="122" s="1"/>
  <c r="EM477" i="122" s="1"/>
  <c r="EM478" i="122" s="1"/>
  <c r="EM479" i="122" s="1"/>
  <c r="EM480" i="122" s="1"/>
  <c r="EM481" i="122" s="1"/>
  <c r="EM482" i="122" s="1"/>
  <c r="EM483" i="122" s="1"/>
  <c r="EM484" i="122" s="1"/>
  <c r="EM485" i="122" s="1"/>
  <c r="EM486" i="122" s="1"/>
  <c r="EM487" i="122" s="1"/>
  <c r="EM488" i="122" s="1"/>
  <c r="EM489" i="122" s="1"/>
  <c r="EM490" i="122" s="1"/>
  <c r="EM491" i="122" s="1"/>
  <c r="EM492" i="122" s="1"/>
  <c r="EM493" i="122" s="1"/>
  <c r="EM494" i="122" s="1"/>
  <c r="EM495" i="122" s="1"/>
  <c r="EM496" i="122" s="1"/>
  <c r="EM497" i="122" s="1"/>
  <c r="EM498" i="122" s="1"/>
  <c r="EM499" i="122" s="1"/>
  <c r="EM500" i="122" s="1"/>
  <c r="EM501" i="122" s="1"/>
  <c r="EM502" i="122" s="1"/>
  <c r="EM503" i="122" s="1"/>
  <c r="EM504" i="122" s="1"/>
  <c r="EM505" i="122" s="1"/>
  <c r="EM506" i="122" s="1"/>
  <c r="EM507" i="122" s="1"/>
  <c r="EM508" i="122" s="1"/>
  <c r="EM509" i="122" s="1"/>
  <c r="EM510" i="122" s="1"/>
  <c r="EM511" i="122" s="1"/>
  <c r="EM512" i="122" s="1"/>
  <c r="EM513" i="122" s="1"/>
  <c r="EM514" i="122" s="1"/>
  <c r="EM515" i="122" s="1"/>
  <c r="EM516" i="122" s="1"/>
  <c r="EM517" i="122" s="1"/>
  <c r="EM518" i="122" s="1"/>
  <c r="EM519" i="122" s="1"/>
  <c r="EM520" i="122" s="1"/>
  <c r="EM521" i="122" s="1"/>
  <c r="EM522" i="122" s="1"/>
  <c r="EM523" i="122" s="1"/>
  <c r="EM524" i="122" s="1"/>
  <c r="EM525" i="122" s="1"/>
  <c r="EM526" i="122" s="1"/>
  <c r="EM527" i="122" s="1"/>
  <c r="EM528" i="122" s="1"/>
  <c r="EM529" i="122" s="1"/>
  <c r="EM530" i="122" s="1"/>
  <c r="EM531" i="122" s="1"/>
  <c r="EM532" i="122" s="1"/>
  <c r="EM533" i="122" s="1"/>
  <c r="EM534" i="122" s="1"/>
  <c r="EM535" i="122" s="1"/>
  <c r="EM536" i="122" s="1"/>
  <c r="EM537" i="122" s="1"/>
  <c r="EM538" i="122" s="1"/>
  <c r="EM539" i="122" s="1"/>
  <c r="EM540" i="122" s="1"/>
  <c r="EM541" i="122" s="1"/>
  <c r="EM542" i="122" s="1"/>
  <c r="EM543" i="122" s="1"/>
  <c r="EM544" i="122" s="1"/>
  <c r="EM545" i="122" s="1"/>
  <c r="EM546" i="122" s="1"/>
  <c r="EM547" i="122" s="1"/>
  <c r="EM548" i="122" s="1"/>
  <c r="EM549" i="122" s="1"/>
  <c r="EM550" i="122" s="1"/>
  <c r="EM551" i="122" s="1"/>
  <c r="EM552" i="122" s="1"/>
  <c r="EM553" i="122" s="1"/>
  <c r="EM554" i="122" s="1"/>
  <c r="EM555" i="122" s="1"/>
  <c r="EM556" i="122" s="1"/>
  <c r="EM557" i="122" s="1"/>
  <c r="EM558" i="122" s="1"/>
  <c r="EM559" i="122" s="1"/>
  <c r="EM560" i="122" s="1"/>
  <c r="EM561" i="122" s="1"/>
  <c r="EM562" i="122" s="1"/>
  <c r="EM563" i="122" s="1"/>
  <c r="EM564" i="122" s="1"/>
  <c r="EM565" i="122" s="1"/>
  <c r="EM566" i="122" s="1"/>
  <c r="EM567" i="122" s="1"/>
  <c r="EM568" i="122" s="1"/>
  <c r="EM569" i="122" s="1"/>
  <c r="EM570" i="122" s="1"/>
  <c r="EM571" i="122" s="1"/>
  <c r="EM572" i="122" s="1"/>
  <c r="EM573" i="122" s="1"/>
  <c r="EM574" i="122" s="1"/>
  <c r="EM575" i="122" s="1"/>
  <c r="EM576" i="122" s="1"/>
  <c r="EM577" i="122" s="1"/>
  <c r="EM578" i="122" s="1"/>
  <c r="EM579" i="122" s="1"/>
  <c r="EM580" i="122" s="1"/>
  <c r="EM581" i="122" s="1"/>
  <c r="EM582" i="122" s="1"/>
  <c r="EM583" i="122" s="1"/>
  <c r="EM584" i="122" s="1"/>
  <c r="EM585" i="122" s="1"/>
  <c r="EM586" i="122" s="1"/>
  <c r="EM587" i="122" s="1"/>
  <c r="EM588" i="122" s="1"/>
  <c r="EM589" i="122" s="1"/>
  <c r="EM590" i="122" s="1"/>
  <c r="EM591" i="122" s="1"/>
  <c r="EM592" i="122" s="1"/>
  <c r="EM593" i="122" s="1"/>
  <c r="EM594" i="122" s="1"/>
  <c r="EM595" i="122" s="1"/>
  <c r="EM596" i="122" s="1"/>
  <c r="EM597" i="122" s="1"/>
  <c r="EM598" i="122" s="1"/>
  <c r="EM599" i="122" s="1"/>
  <c r="EM600" i="122" s="1"/>
  <c r="EM601" i="122" s="1"/>
  <c r="EM602" i="122" s="1"/>
  <c r="EM603" i="122" s="1"/>
  <c r="EM604" i="122" s="1"/>
  <c r="EM605" i="122" s="1"/>
  <c r="EM606" i="122" s="1"/>
  <c r="EM607" i="122" s="1"/>
  <c r="EM608" i="122" s="1"/>
  <c r="EM609" i="122" s="1"/>
  <c r="EM610" i="122" s="1"/>
  <c r="EM611" i="122" s="1"/>
  <c r="EM612" i="122" s="1"/>
  <c r="EM613" i="122" s="1"/>
  <c r="EM614" i="122" s="1"/>
  <c r="EM615" i="122" s="1"/>
  <c r="EM616" i="122" s="1"/>
  <c r="EM617" i="122" s="1"/>
  <c r="EM618" i="122" s="1"/>
  <c r="EM619" i="122" s="1"/>
  <c r="EM620" i="122" s="1"/>
  <c r="EM621" i="122" s="1"/>
  <c r="EM622" i="122" s="1"/>
  <c r="EM623" i="122" s="1"/>
  <c r="EM624" i="122" s="1"/>
  <c r="EM625" i="122" s="1"/>
  <c r="EM626" i="122" s="1"/>
  <c r="EM627" i="122" s="1"/>
  <c r="EM628" i="122" s="1"/>
  <c r="EM629" i="122" s="1"/>
  <c r="EM630" i="122" s="1"/>
  <c r="EM631" i="122" s="1"/>
  <c r="EM632" i="122" s="1"/>
  <c r="EM633" i="122" s="1"/>
  <c r="EM634" i="122" s="1"/>
  <c r="EM635" i="122" s="1"/>
  <c r="EM636" i="122" s="1"/>
  <c r="EM637" i="122" s="1"/>
  <c r="EM638" i="122" s="1"/>
  <c r="EM639" i="122" s="1"/>
  <c r="EM640" i="122" s="1"/>
  <c r="EM641" i="122" s="1"/>
  <c r="EM642" i="122" s="1"/>
  <c r="EM643" i="122" s="1"/>
  <c r="EM644" i="122" s="1"/>
  <c r="EM645" i="122" s="1"/>
  <c r="EM646" i="122" s="1"/>
  <c r="EM647" i="122" s="1"/>
  <c r="EM648" i="122" s="1"/>
  <c r="EM649" i="122" s="1"/>
  <c r="EM650" i="122" s="1"/>
  <c r="EM651" i="122" s="1"/>
  <c r="EM652" i="122" s="1"/>
  <c r="EM653" i="122" s="1"/>
  <c r="EM654" i="122" s="1"/>
  <c r="EM655" i="122" s="1"/>
  <c r="EM656" i="122" s="1"/>
  <c r="EM657" i="122" s="1"/>
  <c r="EM658" i="122" s="1"/>
  <c r="EM659" i="122" s="1"/>
  <c r="EM660" i="122" s="1"/>
  <c r="EM661" i="122" s="1"/>
  <c r="EM662" i="122" s="1"/>
  <c r="EM663" i="122" s="1"/>
  <c r="EM664" i="122" s="1"/>
  <c r="EM665" i="122" s="1"/>
  <c r="EM666" i="122" s="1"/>
  <c r="EM667" i="122" s="1"/>
  <c r="EM668" i="122" s="1"/>
  <c r="EM669" i="122" s="1"/>
  <c r="EM670" i="122" s="1"/>
  <c r="EM671" i="122" s="1"/>
  <c r="EM672" i="122" s="1"/>
  <c r="EM673" i="122" s="1"/>
  <c r="EM674" i="122" s="1"/>
  <c r="EM675" i="122" s="1"/>
  <c r="EM676" i="122" s="1"/>
  <c r="EM677" i="122" s="1"/>
  <c r="EM678" i="122" s="1"/>
  <c r="EM679" i="122" s="1"/>
  <c r="EM680" i="122" s="1"/>
  <c r="EM681" i="122" s="1"/>
  <c r="EM682" i="122" s="1"/>
  <c r="EM683" i="122" s="1"/>
  <c r="EM684" i="122" s="1"/>
  <c r="EM685" i="122" s="1"/>
  <c r="EM686" i="122" s="1"/>
  <c r="EM687" i="122" s="1"/>
  <c r="EM688" i="122" s="1"/>
  <c r="EM689" i="122" s="1"/>
  <c r="EM690" i="122" s="1"/>
  <c r="EM691" i="122" s="1"/>
  <c r="EM692" i="122" s="1"/>
  <c r="EM693" i="122" s="1"/>
  <c r="EM694" i="122" s="1"/>
  <c r="EM695" i="122" s="1"/>
  <c r="EM696" i="122" s="1"/>
  <c r="EM697" i="122" s="1"/>
  <c r="EM698" i="122" s="1"/>
  <c r="EM699" i="122" s="1"/>
  <c r="EM700" i="122" s="1"/>
  <c r="EM701" i="122" s="1"/>
  <c r="EM702" i="122" s="1"/>
  <c r="EM703" i="122" s="1"/>
  <c r="EM704" i="122" s="1"/>
  <c r="EM705" i="122" s="1"/>
  <c r="EM706" i="122" s="1"/>
  <c r="EM707" i="122" s="1"/>
  <c r="EM708" i="122" s="1"/>
  <c r="EM709" i="122" s="1"/>
  <c r="EM710" i="122" s="1"/>
  <c r="EM711" i="122" s="1"/>
  <c r="EM712" i="122" s="1"/>
  <c r="EM713" i="122" s="1"/>
  <c r="EM714" i="122" s="1"/>
  <c r="EM715" i="122" s="1"/>
  <c r="EM716" i="122" s="1"/>
  <c r="EM717" i="122" s="1"/>
  <c r="EM718" i="122" s="1"/>
  <c r="EM719" i="122" s="1"/>
  <c r="EM720" i="122" s="1"/>
  <c r="EM721" i="122" s="1"/>
  <c r="EM722" i="122" s="1"/>
  <c r="EM723" i="122" s="1"/>
  <c r="EM724" i="122" s="1"/>
  <c r="EM725" i="122" s="1"/>
  <c r="EM726" i="122" s="1"/>
  <c r="EM727" i="122" s="1"/>
  <c r="EM728" i="122" s="1"/>
  <c r="EM729" i="122" s="1"/>
  <c r="EM730" i="122" s="1"/>
  <c r="EM731" i="122" s="1"/>
  <c r="EM732" i="122" s="1"/>
  <c r="EM733" i="122" s="1"/>
  <c r="EM734" i="122" s="1"/>
  <c r="EM735" i="122" s="1"/>
  <c r="EM736" i="122" s="1"/>
  <c r="EM737" i="122" s="1"/>
  <c r="EM738" i="122" s="1"/>
  <c r="EM739" i="122" s="1"/>
  <c r="EM740" i="122" s="1"/>
  <c r="EM741" i="122" s="1"/>
  <c r="EM742" i="122" s="1"/>
  <c r="EM743" i="122" s="1"/>
  <c r="EM744" i="122" s="1"/>
  <c r="EM745" i="122" s="1"/>
  <c r="EM746" i="122" s="1"/>
  <c r="EM747" i="122" s="1"/>
  <c r="EM748" i="122" s="1"/>
  <c r="EM749" i="122" s="1"/>
  <c r="EM750" i="122" s="1"/>
  <c r="EM751" i="122" s="1"/>
  <c r="EM752" i="122" s="1"/>
  <c r="EM753" i="122" s="1"/>
  <c r="EM754" i="122" s="1"/>
  <c r="EM755" i="122" s="1"/>
  <c r="EM756" i="122" s="1"/>
  <c r="EM757" i="122" s="1"/>
  <c r="EM758" i="122" s="1"/>
  <c r="EM759" i="122" s="1"/>
  <c r="EM760" i="122" s="1"/>
  <c r="EM761" i="122" s="1"/>
  <c r="EM762" i="122" s="1"/>
  <c r="EM763" i="122" s="1"/>
  <c r="EM764" i="122" s="1"/>
  <c r="EM765" i="122" s="1"/>
  <c r="EM766" i="122" s="1"/>
  <c r="EM767" i="122" s="1"/>
  <c r="EM768" i="122" s="1"/>
  <c r="EM769" i="122" s="1"/>
  <c r="EM770" i="122" s="1"/>
  <c r="EM771" i="122" s="1"/>
  <c r="EM772" i="122" s="1"/>
  <c r="EM773" i="122" s="1"/>
  <c r="EM774" i="122" s="1"/>
  <c r="EM775" i="122" s="1"/>
  <c r="EM776" i="122" s="1"/>
  <c r="EM777" i="122" s="1"/>
  <c r="EM778" i="122" s="1"/>
  <c r="EM779" i="122" s="1"/>
  <c r="EM780" i="122" s="1"/>
  <c r="EM781" i="122" s="1"/>
  <c r="EM782" i="122" s="1"/>
  <c r="EM783" i="122" s="1"/>
  <c r="EM784" i="122" s="1"/>
  <c r="EM785" i="122" s="1"/>
  <c r="EM786" i="122" s="1"/>
  <c r="EM787" i="122" s="1"/>
  <c r="EM788" i="122" s="1"/>
  <c r="EM789" i="122" s="1"/>
  <c r="EM790" i="122" s="1"/>
  <c r="EM791" i="122" s="1"/>
  <c r="EM792" i="122" s="1"/>
  <c r="EM793" i="122" s="1"/>
  <c r="EM794" i="122" s="1"/>
  <c r="EM795" i="122" s="1"/>
  <c r="EM796" i="122" s="1"/>
  <c r="EM797" i="122" s="1"/>
  <c r="EM798" i="122" s="1"/>
  <c r="EM799" i="122" s="1"/>
  <c r="EM800" i="122" s="1"/>
  <c r="EM801" i="122" s="1"/>
  <c r="EM802" i="122" s="1"/>
  <c r="EM803" i="122" s="1"/>
  <c r="EM804" i="122" s="1"/>
  <c r="EM805" i="122" s="1"/>
  <c r="EM806" i="122" s="1"/>
  <c r="EM807" i="122" s="1"/>
  <c r="EM808" i="122" s="1"/>
  <c r="EM809" i="122" s="1"/>
  <c r="EM810" i="122" s="1"/>
  <c r="EM811" i="122" s="1"/>
  <c r="EM812" i="122" s="1"/>
  <c r="EM813" i="122" s="1"/>
  <c r="EM814" i="122" s="1"/>
  <c r="EM815" i="122" s="1"/>
  <c r="EM816" i="122" s="1"/>
  <c r="EM817" i="122" s="1"/>
  <c r="EM818" i="122" s="1"/>
  <c r="EM819" i="122" s="1"/>
  <c r="EM820" i="122" s="1"/>
  <c r="EM821" i="122" s="1"/>
  <c r="EM822" i="122" s="1"/>
  <c r="EM823" i="122" s="1"/>
  <c r="EM824" i="122" s="1"/>
  <c r="EM825" i="122" s="1"/>
  <c r="EM826" i="122" s="1"/>
  <c r="EM827" i="122" s="1"/>
  <c r="EM828" i="122" s="1"/>
  <c r="EM829" i="122" s="1"/>
  <c r="EM830" i="122" s="1"/>
  <c r="EM831" i="122" s="1"/>
  <c r="EM832" i="122" s="1"/>
  <c r="EM833" i="122" s="1"/>
  <c r="EM834" i="122" s="1"/>
  <c r="EM835" i="122" s="1"/>
  <c r="EM836" i="122" s="1"/>
  <c r="EM837" i="122" s="1"/>
  <c r="EM838" i="122" s="1"/>
  <c r="EM839" i="122" s="1"/>
  <c r="EM840" i="122" s="1"/>
  <c r="EM841" i="122" s="1"/>
  <c r="EM842" i="122" s="1"/>
  <c r="EM843" i="122" s="1"/>
  <c r="EM844" i="122" s="1"/>
  <c r="EM845" i="122" s="1"/>
  <c r="EM846" i="122" s="1"/>
  <c r="EM847" i="122" s="1"/>
  <c r="EM848" i="122" s="1"/>
  <c r="EM849" i="122" s="1"/>
  <c r="EM850" i="122" s="1"/>
  <c r="EM851" i="122" s="1"/>
  <c r="EM852" i="122" s="1"/>
  <c r="EM853" i="122" s="1"/>
  <c r="EM854" i="122" s="1"/>
  <c r="EM855" i="122" s="1"/>
  <c r="EM856" i="122" s="1"/>
  <c r="EM857" i="122" s="1"/>
  <c r="EM858" i="122" s="1"/>
  <c r="EM859" i="122" s="1"/>
  <c r="EM860" i="122" s="1"/>
  <c r="EM861" i="122" s="1"/>
  <c r="EM862" i="122" s="1"/>
  <c r="EM863" i="122" s="1"/>
  <c r="EM864" i="122" s="1"/>
  <c r="EM865" i="122" s="1"/>
  <c r="EM866" i="122" s="1"/>
  <c r="EM867" i="122" s="1"/>
  <c r="EM868" i="122" s="1"/>
  <c r="EM869" i="122" s="1"/>
  <c r="EM870" i="122" s="1"/>
  <c r="EM871" i="122" s="1"/>
  <c r="EM872" i="122" s="1"/>
  <c r="EM873" i="122" s="1"/>
  <c r="EM874" i="122" s="1"/>
  <c r="EM875" i="122" s="1"/>
  <c r="EM876" i="122" s="1"/>
  <c r="EM877" i="122" s="1"/>
  <c r="EM878" i="122" s="1"/>
  <c r="EM879" i="122" s="1"/>
  <c r="EM880" i="122" s="1"/>
  <c r="EM881" i="122" s="1"/>
  <c r="EM882" i="122" s="1"/>
  <c r="EM883" i="122" s="1"/>
  <c r="EM884" i="122" s="1"/>
  <c r="EM885" i="122" s="1"/>
  <c r="EM886" i="122" s="1"/>
  <c r="EM887" i="122" s="1"/>
  <c r="EM888" i="122" s="1"/>
  <c r="EM889" i="122" s="1"/>
  <c r="EM890" i="122" s="1"/>
  <c r="EM891" i="122" s="1"/>
  <c r="EM892" i="122" s="1"/>
  <c r="EM893" i="122" s="1"/>
  <c r="EM894" i="122" s="1"/>
  <c r="EM895" i="122" s="1"/>
  <c r="EM896" i="122" s="1"/>
  <c r="EM897" i="122" s="1"/>
  <c r="EM898" i="122" s="1"/>
  <c r="EM899" i="122" s="1"/>
  <c r="EM900" i="122" s="1"/>
  <c r="EM901" i="122" s="1"/>
  <c r="EM902" i="122" s="1"/>
  <c r="EM903" i="122" s="1"/>
  <c r="EM904" i="122" s="1"/>
  <c r="EM905" i="122" s="1"/>
  <c r="EM906" i="122" s="1"/>
  <c r="EM907" i="122" s="1"/>
  <c r="EM908" i="122" s="1"/>
  <c r="EM909" i="122" s="1"/>
  <c r="EM910" i="122" s="1"/>
  <c r="EM911" i="122" s="1"/>
  <c r="EM912" i="122" s="1"/>
  <c r="EM913" i="122" s="1"/>
  <c r="EM914" i="122" s="1"/>
  <c r="EM915" i="122" s="1"/>
  <c r="EM916" i="122" s="1"/>
  <c r="EM917" i="122" s="1"/>
  <c r="EM918" i="122" s="1"/>
  <c r="EM919" i="122" s="1"/>
  <c r="EM920" i="122" s="1"/>
  <c r="EM921" i="122" s="1"/>
  <c r="EM922" i="122" s="1"/>
  <c r="EM923" i="122" s="1"/>
  <c r="EM924" i="122" s="1"/>
  <c r="EM925" i="122" s="1"/>
  <c r="EM926" i="122" s="1"/>
  <c r="EM927" i="122" s="1"/>
  <c r="EM928" i="122" s="1"/>
  <c r="EM929" i="122" s="1"/>
  <c r="EM930" i="122" s="1"/>
  <c r="EM931" i="122" s="1"/>
  <c r="EM932" i="122" s="1"/>
  <c r="EM933" i="122" s="1"/>
  <c r="EM934" i="122" s="1"/>
  <c r="EM935" i="122" s="1"/>
  <c r="EM936" i="122" s="1"/>
  <c r="EM937" i="122" s="1"/>
  <c r="EM938" i="122" s="1"/>
  <c r="EM939" i="122" s="1"/>
  <c r="EM940" i="122" s="1"/>
  <c r="EM941" i="122" s="1"/>
  <c r="EM942" i="122" s="1"/>
  <c r="EM943" i="122" s="1"/>
  <c r="EM944" i="122" s="1"/>
  <c r="EM945" i="122" s="1"/>
  <c r="EM946" i="122" s="1"/>
  <c r="EM947" i="122" s="1"/>
  <c r="EM948" i="122" s="1"/>
  <c r="EM949" i="122" s="1"/>
  <c r="EM950" i="122" s="1"/>
  <c r="EM951" i="122" s="1"/>
  <c r="EM952" i="122" s="1"/>
  <c r="EM953" i="122" s="1"/>
  <c r="EM954" i="122" s="1"/>
  <c r="EM955" i="122" s="1"/>
  <c r="EM956" i="122" s="1"/>
  <c r="EM957" i="122" s="1"/>
  <c r="EM958" i="122" s="1"/>
  <c r="EM959" i="122" s="1"/>
  <c r="EM960" i="122" s="1"/>
  <c r="EM961" i="122" s="1"/>
  <c r="EM962" i="122" s="1"/>
  <c r="EM963" i="122" s="1"/>
  <c r="EM964" i="122" s="1"/>
  <c r="EM965" i="122" s="1"/>
  <c r="EM966" i="122" s="1"/>
  <c r="EM967" i="122" s="1"/>
  <c r="EM968" i="122" s="1"/>
  <c r="EM969" i="122" s="1"/>
  <c r="EM970" i="122" s="1"/>
  <c r="EM971" i="122" s="1"/>
  <c r="EM972" i="122" s="1"/>
  <c r="EM973" i="122" s="1"/>
  <c r="EM974" i="122" s="1"/>
  <c r="EM975" i="122" s="1"/>
  <c r="EM976" i="122" s="1"/>
  <c r="EM977" i="122" s="1"/>
  <c r="EM978" i="122" s="1"/>
  <c r="EM979" i="122" s="1"/>
  <c r="EM980" i="122" s="1"/>
  <c r="EM981" i="122" s="1"/>
  <c r="EM982" i="122" s="1"/>
  <c r="EM983" i="122" s="1"/>
  <c r="EM984" i="122" s="1"/>
  <c r="EM985" i="122" s="1"/>
  <c r="EM986" i="122" s="1"/>
  <c r="EM987" i="122" s="1"/>
  <c r="EM988" i="122" s="1"/>
  <c r="EM989" i="122" s="1"/>
  <c r="EM990" i="122" s="1"/>
  <c r="EM991" i="122" s="1"/>
  <c r="EM992" i="122" s="1"/>
  <c r="EM993" i="122" s="1"/>
  <c r="EM994" i="122" s="1"/>
  <c r="EM995" i="122" s="1"/>
  <c r="EM996" i="122" s="1"/>
  <c r="EM997" i="122" s="1"/>
  <c r="EM998" i="122" s="1"/>
  <c r="EM999" i="122" s="1"/>
  <c r="EM1000" i="122" s="1"/>
  <c r="EM1001" i="122" s="1"/>
  <c r="EM1002" i="122" s="1"/>
  <c r="EM1003" i="122" s="1"/>
  <c r="EM1004" i="122" s="1"/>
  <c r="EM1005" i="122" s="1"/>
  <c r="EM1006" i="122" s="1"/>
  <c r="EM1007" i="122" s="1"/>
  <c r="EM1008" i="122" s="1"/>
  <c r="EM1009" i="122" s="1"/>
  <c r="EM1010" i="122" s="1"/>
  <c r="EM1011" i="122" s="1"/>
  <c r="EM1012" i="122" s="1"/>
  <c r="EM1013" i="122" s="1"/>
  <c r="EM1014" i="122" s="1"/>
  <c r="EM1015" i="122" s="1"/>
  <c r="EM1016" i="122" s="1"/>
  <c r="EM1017" i="122" s="1"/>
  <c r="EM1018" i="122" s="1"/>
  <c r="EM1019" i="122" s="1"/>
  <c r="EM1020" i="122" s="1"/>
  <c r="EM1021" i="122" s="1"/>
  <c r="EM1022" i="122" s="1"/>
  <c r="EM1023" i="122" s="1"/>
  <c r="EM1024" i="122" s="1"/>
  <c r="EM1025" i="122" s="1"/>
  <c r="EM1026" i="122" s="1"/>
  <c r="EM1027" i="122" s="1"/>
  <c r="EM1028" i="122" s="1"/>
  <c r="EM1029" i="122" s="1"/>
  <c r="EM1030" i="122" s="1"/>
  <c r="EM1031" i="122" s="1"/>
  <c r="EM1032" i="122" s="1"/>
  <c r="EM1033" i="122" s="1"/>
  <c r="EM1034" i="122" s="1"/>
  <c r="EM1035" i="122" s="1"/>
  <c r="EM1036" i="122" s="1"/>
  <c r="EM1037" i="122" s="1"/>
  <c r="EM1038" i="122" s="1"/>
  <c r="EM1039" i="122" s="1"/>
  <c r="EM1040" i="122" s="1"/>
  <c r="EM1041" i="122" s="1"/>
  <c r="EM1042" i="122" s="1"/>
  <c r="EM1043" i="122" s="1"/>
  <c r="EM1044" i="122" s="1"/>
  <c r="EM1045" i="122" s="1"/>
  <c r="EM1046" i="122" s="1"/>
  <c r="EM1047" i="122" s="1"/>
  <c r="EM1048" i="122" s="1"/>
  <c r="EM1049" i="122" s="1"/>
  <c r="EM1050" i="122" s="1"/>
  <c r="EM1051" i="122" s="1"/>
  <c r="EM1052" i="122" s="1"/>
  <c r="EM1053" i="122" s="1"/>
  <c r="EM1054" i="122" s="1"/>
  <c r="EM1055" i="122" s="1"/>
  <c r="EM1056" i="122" s="1"/>
  <c r="EM1057" i="122" s="1"/>
  <c r="EM1058" i="122" s="1"/>
  <c r="EM1059" i="122" s="1"/>
  <c r="EM1060" i="122" s="1"/>
  <c r="EM1061" i="122" s="1"/>
  <c r="EM1062" i="122" s="1"/>
  <c r="EM1063" i="122" s="1"/>
  <c r="EM1064" i="122" s="1"/>
  <c r="EM1065" i="122" s="1"/>
  <c r="EM1066" i="122" s="1"/>
  <c r="EM1067" i="122" s="1"/>
  <c r="EM1068" i="122" s="1"/>
  <c r="EM1069" i="122" s="1"/>
  <c r="EM1070" i="122" s="1"/>
  <c r="EM1071" i="122" s="1"/>
  <c r="EM1072" i="122" s="1"/>
  <c r="EM1073" i="122" s="1"/>
  <c r="EM1074" i="122" s="1"/>
  <c r="EM1075" i="122" s="1"/>
  <c r="EM1076" i="122" s="1"/>
  <c r="EM1077" i="122" s="1"/>
  <c r="EM1078" i="122" s="1"/>
  <c r="EM1079" i="122" s="1"/>
  <c r="EM1080" i="122" s="1"/>
  <c r="EM1081" i="122" s="1"/>
  <c r="EM1082" i="122" s="1"/>
  <c r="EM1083" i="122" s="1"/>
  <c r="EM1084" i="122" s="1"/>
  <c r="EM1085" i="122" s="1"/>
  <c r="EM1086" i="122" s="1"/>
  <c r="EM1087" i="122" s="1"/>
  <c r="EM1088" i="122" s="1"/>
  <c r="EM1089" i="122" s="1"/>
  <c r="EM1090" i="122" s="1"/>
  <c r="EM1091" i="122" s="1"/>
  <c r="EM1092" i="122" s="1"/>
  <c r="EM1093" i="122" s="1"/>
  <c r="EM1094" i="122" s="1"/>
  <c r="EM1095" i="122" s="1"/>
  <c r="EM1096" i="122" s="1"/>
  <c r="EM1097" i="122" s="1"/>
  <c r="EM1098" i="122" s="1"/>
  <c r="EM1099" i="122" s="1"/>
  <c r="EM1100" i="122" s="1"/>
  <c r="EM1101" i="122" s="1"/>
  <c r="EM1102" i="122" s="1"/>
  <c r="EM1103" i="122" s="1"/>
  <c r="EM1104" i="122" s="1"/>
  <c r="EM1105" i="122" s="1"/>
  <c r="EM1106" i="122" s="1"/>
  <c r="EM1107" i="122" s="1"/>
  <c r="EM1108" i="122" s="1"/>
  <c r="EM1109" i="122" s="1"/>
  <c r="EM1110" i="122" s="1"/>
  <c r="EM1111" i="122" s="1"/>
  <c r="EM1112" i="122" s="1"/>
  <c r="EM1113" i="122" s="1"/>
  <c r="EM1114" i="122" s="1"/>
  <c r="EM1115" i="122" s="1"/>
  <c r="EM1116" i="122" s="1"/>
  <c r="EM1117" i="122" s="1"/>
  <c r="EM1118" i="122" s="1"/>
  <c r="EM1119" i="122" s="1"/>
  <c r="EM1120" i="122" s="1"/>
  <c r="EM1121" i="122" s="1"/>
  <c r="EM1122" i="122" s="1"/>
  <c r="EM1123" i="122" s="1"/>
  <c r="EM1124" i="122" s="1"/>
  <c r="EM1125" i="122" s="1"/>
  <c r="EM1126" i="122" s="1"/>
  <c r="EM1127" i="122" s="1"/>
  <c r="EM1128" i="122" s="1"/>
  <c r="EM1129" i="122" s="1"/>
  <c r="EM1130" i="122" s="1"/>
  <c r="EM1131" i="122" s="1"/>
  <c r="EM1132" i="122" s="1"/>
  <c r="EM1133" i="122" s="1"/>
  <c r="EM1134" i="122" s="1"/>
  <c r="EM1135" i="122" s="1"/>
  <c r="EM1136" i="122" s="1"/>
  <c r="EM1137" i="122" s="1"/>
  <c r="EM1138" i="122" s="1"/>
  <c r="EM1139" i="122" s="1"/>
  <c r="EM1140" i="122" s="1"/>
  <c r="EM1141" i="122" s="1"/>
  <c r="EM1142" i="122" s="1"/>
  <c r="EM1143" i="122" s="1"/>
  <c r="EM1144" i="122" s="1"/>
  <c r="EM1145" i="122" s="1"/>
  <c r="EM1146" i="122" s="1"/>
  <c r="EM1147" i="122" s="1"/>
  <c r="EM1148" i="122" s="1"/>
  <c r="EM1149" i="122" s="1"/>
  <c r="EM1150" i="122" s="1"/>
  <c r="EM1151" i="122" s="1"/>
  <c r="EM1152" i="122" s="1"/>
  <c r="EM1153" i="122" s="1"/>
  <c r="EM1154" i="122" s="1"/>
  <c r="EM1155" i="122" s="1"/>
  <c r="EM1156" i="122" s="1"/>
  <c r="EM1157" i="122" s="1"/>
  <c r="EM1158" i="122" s="1"/>
  <c r="EM1159" i="122" s="1"/>
  <c r="EM1160" i="122" s="1"/>
  <c r="EM1161" i="122" s="1"/>
  <c r="EM1162" i="122" s="1"/>
  <c r="EM1163" i="122" s="1"/>
  <c r="EM1164" i="122" s="1"/>
  <c r="EM1165" i="122" s="1"/>
  <c r="EM1166" i="122" s="1"/>
  <c r="EM1167" i="122" s="1"/>
  <c r="EM1168" i="122" s="1"/>
  <c r="EM1169" i="122" s="1"/>
  <c r="EM1170" i="122" s="1"/>
  <c r="EM1171" i="122" s="1"/>
  <c r="EM1172" i="122" s="1"/>
  <c r="EM1173" i="122" s="1"/>
  <c r="EM1174" i="122" s="1"/>
  <c r="EM1175" i="122" s="1"/>
  <c r="EM1176" i="122" s="1"/>
  <c r="EM1177" i="122" s="1"/>
  <c r="EM1178" i="122" s="1"/>
  <c r="EM1179" i="122" s="1"/>
  <c r="EM1180" i="122" s="1"/>
  <c r="EM1181" i="122" s="1"/>
  <c r="EM1182" i="122" s="1"/>
  <c r="EM1183" i="122" s="1"/>
  <c r="EM1184" i="122" s="1"/>
  <c r="EM1185" i="122" s="1"/>
  <c r="EM1186" i="122" s="1"/>
  <c r="EM1187" i="122" s="1"/>
  <c r="EM1188" i="122" s="1"/>
  <c r="EM1189" i="122" s="1"/>
  <c r="EM1190" i="122" s="1"/>
  <c r="EM1191" i="122" s="1"/>
  <c r="EM1192" i="122" s="1"/>
  <c r="EM1193" i="122" s="1"/>
  <c r="EM1194" i="122" s="1"/>
  <c r="EM1195" i="122" s="1"/>
  <c r="EM1196" i="122" s="1"/>
  <c r="EM1197" i="122" s="1"/>
  <c r="EM1198" i="122" s="1"/>
  <c r="EM1199" i="122" s="1"/>
  <c r="EM1200" i="122" s="1"/>
  <c r="EM1201" i="122" s="1"/>
  <c r="EM1202" i="122" s="1"/>
  <c r="EM1203" i="122" s="1"/>
  <c r="EM1204" i="122" s="1"/>
  <c r="EM1205" i="122" s="1"/>
  <c r="EM1206" i="122" s="1"/>
  <c r="EM1207" i="122" s="1"/>
  <c r="EM1208" i="122" s="1"/>
  <c r="EM1209" i="122" s="1"/>
  <c r="EM1210" i="122" s="1"/>
  <c r="EM1211" i="122" s="1"/>
  <c r="EM1212" i="122" s="1"/>
  <c r="EM1213" i="122" s="1"/>
  <c r="EM1214" i="122" s="1"/>
  <c r="EM1215" i="122" s="1"/>
  <c r="EM1216" i="122" s="1"/>
  <c r="EM1217" i="122" s="1"/>
  <c r="EM1218" i="122" s="1"/>
  <c r="EM1219" i="122" s="1"/>
  <c r="EM1220" i="122" s="1"/>
  <c r="EM1221" i="122" s="1"/>
  <c r="EM1222" i="122" s="1"/>
  <c r="EM1223" i="122" s="1"/>
  <c r="EM1224" i="122" s="1"/>
  <c r="EM1225" i="122" s="1"/>
  <c r="EM1226" i="122" s="1"/>
  <c r="EM1227" i="122" s="1"/>
  <c r="EM1228" i="122" s="1"/>
  <c r="EM1229" i="122" s="1"/>
  <c r="EM1230" i="122" s="1"/>
  <c r="EM1231" i="122" s="1"/>
  <c r="EM1232" i="122" s="1"/>
  <c r="EM1233" i="122" s="1"/>
  <c r="EM1234" i="122" s="1"/>
  <c r="EM1235" i="122" s="1"/>
  <c r="EM1236" i="122" s="1"/>
  <c r="EM1237" i="122" s="1"/>
  <c r="EM1238" i="122" s="1"/>
  <c r="EM1239" i="122" s="1"/>
  <c r="EM1240" i="122" s="1"/>
  <c r="EM1241" i="122" s="1"/>
  <c r="EM1242" i="122" s="1"/>
  <c r="EM1243" i="122" s="1"/>
  <c r="EM1244" i="122" s="1"/>
  <c r="EM1245" i="122" s="1"/>
  <c r="EM1246" i="122" s="1"/>
  <c r="EM1247" i="122" s="1"/>
  <c r="EM1248" i="122" s="1"/>
  <c r="EM1249" i="122" s="1"/>
  <c r="EM1250" i="122" s="1"/>
  <c r="EM1251" i="122" s="1"/>
  <c r="EM1252" i="122" s="1"/>
  <c r="EM1253" i="122" s="1"/>
  <c r="EM1254" i="122" s="1"/>
  <c r="EM1255" i="122" s="1"/>
  <c r="EM1256" i="122" s="1"/>
  <c r="EM1257" i="122" s="1"/>
  <c r="EM1258" i="122" s="1"/>
  <c r="EM1259" i="122" s="1"/>
  <c r="EM1260" i="122" s="1"/>
  <c r="EM1261" i="122" s="1"/>
  <c r="EM1262" i="122" s="1"/>
  <c r="EM1263" i="122" s="1"/>
  <c r="EM1264" i="122" s="1"/>
  <c r="FH83" i="122"/>
  <c r="EM1265" i="122" l="1"/>
  <c r="EM1266" i="122" s="1"/>
  <c r="EM1267" i="122" s="1"/>
  <c r="EM1268" i="122" s="1"/>
  <c r="EM1269" i="122" s="1"/>
  <c r="EM1270" i="122" s="1"/>
  <c r="EM1271" i="122" s="1"/>
  <c r="EM1272" i="122" s="1"/>
  <c r="EM1273" i="122" s="1"/>
  <c r="EM1274" i="122" s="1"/>
  <c r="EM1275" i="122" s="1"/>
  <c r="EM1276" i="122" s="1"/>
  <c r="EM1277" i="122" s="1"/>
  <c r="EM1278" i="122" s="1"/>
  <c r="EM1279" i="122" s="1"/>
  <c r="EM1280" i="122" s="1"/>
  <c r="EM1281" i="122" s="1"/>
  <c r="EM1282" i="122" s="1"/>
  <c r="EM1283" i="122" s="1"/>
  <c r="EM1284" i="122" s="1"/>
  <c r="EM1285" i="122" s="1"/>
  <c r="EM1286" i="122" s="1"/>
  <c r="EM1287" i="122" s="1"/>
  <c r="EM1288" i="122" s="1"/>
  <c r="EM1289" i="122" s="1"/>
  <c r="EM1290" i="122" s="1"/>
  <c r="EM1291" i="122" s="1"/>
  <c r="EM1292" i="122" s="1"/>
  <c r="EM1293" i="122" s="1"/>
  <c r="EM1294" i="122" s="1"/>
  <c r="EM1295" i="122" s="1"/>
  <c r="EM1296" i="122" s="1"/>
  <c r="EM1297" i="122" s="1"/>
  <c r="EM1298" i="122" s="1"/>
  <c r="EM1299" i="122" s="1"/>
  <c r="EM1300" i="122" s="1"/>
  <c r="EM1301" i="122" s="1"/>
  <c r="EM1302" i="122" s="1"/>
  <c r="EM1303" i="122" s="1"/>
  <c r="EM1304" i="122" s="1"/>
  <c r="EM1305" i="122" s="1"/>
  <c r="EM1306" i="122" s="1"/>
  <c r="EM1307" i="122" s="1"/>
  <c r="EM1308" i="122" s="1"/>
  <c r="EM1309" i="122" s="1"/>
  <c r="EM1310" i="122" s="1"/>
  <c r="EM1311" i="122" s="1"/>
  <c r="EM1312" i="122" s="1"/>
  <c r="EM1313" i="122" s="1"/>
  <c r="EM1314" i="122" s="1"/>
  <c r="EM1315" i="122" s="1"/>
  <c r="EM1316" i="122" s="1"/>
  <c r="EM1317" i="122" s="1"/>
  <c r="EM1318" i="122" s="1"/>
  <c r="EM1319" i="122" s="1"/>
  <c r="EM1320" i="122" s="1"/>
  <c r="EM1321" i="122" s="1"/>
  <c r="EM1322" i="122" s="1"/>
  <c r="EM1323" i="122" s="1"/>
  <c r="EM1324" i="122" s="1"/>
  <c r="EM1325" i="122" s="1"/>
  <c r="EM1326" i="122" s="1"/>
  <c r="EM1327" i="122" s="1"/>
  <c r="EM1328" i="122" s="1"/>
  <c r="EM1329" i="122" s="1"/>
  <c r="EM1330" i="122" s="1"/>
  <c r="EM1331" i="122" s="1"/>
  <c r="EM1332" i="122" s="1"/>
  <c r="EM1333" i="122" s="1"/>
  <c r="EM1334" i="122" s="1"/>
  <c r="EM1335" i="122" s="1"/>
  <c r="EM1336" i="122" s="1"/>
  <c r="EM1337" i="122" s="1"/>
  <c r="EM1338" i="122" s="1"/>
  <c r="EM1339" i="122" s="1"/>
  <c r="EM1340" i="122" s="1"/>
  <c r="EM1341" i="122" s="1"/>
  <c r="EM1342" i="122" s="1"/>
  <c r="EM1343" i="122" s="1"/>
  <c r="EM1344" i="122" s="1"/>
  <c r="EM1345" i="122" s="1"/>
  <c r="EM1346" i="122" s="1"/>
  <c r="EM1347" i="122" s="1"/>
  <c r="EM1348" i="122" s="1"/>
  <c r="EM1349" i="122" s="1"/>
  <c r="EM1350" i="122" s="1"/>
  <c r="EM1351" i="122" s="1"/>
  <c r="EM1352" i="122" s="1"/>
  <c r="EM1353" i="122" s="1"/>
  <c r="EM1354" i="122" s="1"/>
  <c r="EM1355" i="122" s="1"/>
  <c r="EM1356" i="122" s="1"/>
  <c r="EM1357" i="122" s="1"/>
  <c r="EM1358" i="122" s="1"/>
  <c r="EM1359" i="122" s="1"/>
  <c r="EM1360" i="122" s="1"/>
  <c r="EM1361" i="122" s="1"/>
  <c r="EM1362" i="122" s="1"/>
  <c r="EM1363" i="122" s="1"/>
  <c r="EM1364" i="122" s="1"/>
  <c r="EM1365" i="122" s="1"/>
  <c r="EM1366" i="122" s="1"/>
  <c r="EM1367" i="122" s="1"/>
  <c r="EM1368" i="122" s="1"/>
  <c r="EM1369" i="122" s="1"/>
  <c r="EM1370" i="122" s="1"/>
  <c r="EM1371" i="122" s="1"/>
  <c r="EM1372" i="122" s="1"/>
  <c r="EM1373" i="122" s="1"/>
  <c r="EM1374" i="122" s="1"/>
  <c r="EM1375" i="122" s="1"/>
  <c r="EM1376" i="122" s="1"/>
  <c r="EM1377" i="122" s="1"/>
  <c r="EM1378" i="122" s="1"/>
  <c r="EM1379" i="122" s="1"/>
  <c r="EM1380" i="122" s="1"/>
  <c r="EM1381" i="122" s="1"/>
  <c r="EM1382" i="122" s="1"/>
  <c r="EM1383" i="122" s="1"/>
  <c r="EM1384" i="122" s="1"/>
  <c r="EM1385" i="122" s="1"/>
  <c r="EM1386" i="122" s="1"/>
  <c r="EM1387" i="122" s="1"/>
  <c r="EM1388" i="122" s="1"/>
  <c r="EM1389" i="122" s="1"/>
  <c r="EM1390" i="122" s="1"/>
  <c r="EM1391" i="122" s="1"/>
  <c r="EM1392" i="122" s="1"/>
  <c r="EM1393" i="122" s="1"/>
  <c r="EM1394" i="122" s="1"/>
  <c r="EM1395" i="122" s="1"/>
  <c r="EM1396" i="122" s="1"/>
  <c r="EM1397" i="122" s="1"/>
  <c r="EM1398" i="122" s="1"/>
  <c r="EM1399" i="122" s="1"/>
  <c r="EM1400" i="122" s="1"/>
  <c r="EM1401" i="122" s="1"/>
  <c r="EM1402" i="122" s="1"/>
  <c r="EM1403" i="122" s="1"/>
  <c r="EM1404" i="122" s="1"/>
  <c r="EM1405" i="122" s="1"/>
  <c r="EM1406" i="122" s="1"/>
  <c r="EM1407" i="122" s="1"/>
  <c r="EM1408" i="122" s="1"/>
  <c r="EM1409" i="122" s="1"/>
  <c r="EM1410" i="122" s="1"/>
  <c r="EM1411" i="122" s="1"/>
  <c r="EM1412" i="122" s="1"/>
  <c r="EM1413" i="122" s="1"/>
  <c r="EM1414" i="122" s="1"/>
  <c r="EM1415" i="122" s="1"/>
  <c r="EM1416" i="122" s="1"/>
  <c r="EM1417" i="122" s="1"/>
  <c r="EM1418" i="122" s="1"/>
  <c r="EM1419" i="122" s="1"/>
  <c r="EM1420" i="122" s="1"/>
  <c r="EM1421" i="122" s="1"/>
  <c r="EM1422" i="122" s="1"/>
  <c r="EM1423" i="122" s="1"/>
  <c r="EM1424" i="122" s="1"/>
  <c r="EM1425" i="122" s="1"/>
  <c r="EM1426" i="122" s="1"/>
  <c r="EM1427" i="122" s="1"/>
  <c r="EM1428" i="122" s="1"/>
  <c r="EM1429" i="122" s="1"/>
  <c r="EM1430" i="122" s="1"/>
  <c r="EM1431" i="122" s="1"/>
  <c r="EM1432" i="122" s="1"/>
  <c r="EM1433" i="122" s="1"/>
  <c r="EM1434" i="122" s="1"/>
  <c r="EM1435" i="122" s="1"/>
  <c r="EM1436" i="122" s="1"/>
  <c r="EM1437" i="122" s="1"/>
  <c r="EM1438" i="122" s="1"/>
  <c r="EM1439" i="122" s="1"/>
  <c r="EM1440" i="122" s="1"/>
  <c r="EM1441" i="122" s="1"/>
  <c r="EM1442" i="122" s="1"/>
  <c r="EM1443" i="122" s="1"/>
  <c r="EM1444" i="122" s="1"/>
  <c r="EM1445" i="122" s="1"/>
  <c r="EM1446" i="122" s="1"/>
  <c r="EM1447" i="122" s="1"/>
  <c r="EM1448" i="122" s="1"/>
  <c r="EM1449" i="122" s="1"/>
  <c r="EM1450" i="122" s="1"/>
  <c r="EM1451" i="122" s="1"/>
  <c r="EM1452" i="122" s="1"/>
  <c r="EM1453" i="122" s="1"/>
  <c r="EM1454" i="122" s="1"/>
  <c r="EM1455" i="122" s="1"/>
  <c r="EM1456" i="122" s="1"/>
  <c r="EM1457" i="122" s="1"/>
  <c r="EM1458" i="122" s="1"/>
  <c r="EM1459" i="122" s="1"/>
  <c r="EM1460" i="122" s="1"/>
  <c r="EM1461" i="122" s="1"/>
  <c r="EM1462" i="122" s="1"/>
  <c r="EM1463" i="122" s="1"/>
  <c r="EM1464" i="122" s="1"/>
  <c r="EM1465" i="122" s="1"/>
  <c r="EM1466" i="122" s="1"/>
  <c r="EM1467" i="122" s="1"/>
  <c r="EM1468" i="122" s="1"/>
  <c r="EM1469" i="122" s="1"/>
  <c r="EM1470" i="122" s="1"/>
  <c r="EM1471" i="122" s="1"/>
  <c r="EM1472" i="122" s="1"/>
  <c r="EM1473" i="122" s="1"/>
  <c r="EM1474" i="122" s="1"/>
  <c r="EM1475" i="122" s="1"/>
  <c r="EM1476" i="122" s="1"/>
  <c r="EM1477" i="122" s="1"/>
  <c r="EM1478" i="122" s="1"/>
  <c r="EM1479" i="122" s="1"/>
  <c r="EM1480" i="122" s="1"/>
  <c r="EM1481" i="122" s="1"/>
  <c r="EM1482" i="122" s="1"/>
  <c r="EM1483" i="122" s="1"/>
  <c r="EM1484" i="122" s="1"/>
  <c r="EM1485" i="122" s="1"/>
  <c r="EM1486" i="122" s="1"/>
  <c r="EM1487" i="122" s="1"/>
  <c r="EM1488" i="122" s="1"/>
  <c r="EM1489" i="122" s="1"/>
  <c r="EM1490" i="122" s="1"/>
  <c r="EM1491" i="122" s="1"/>
  <c r="EM1492" i="122" s="1"/>
  <c r="EM1493" i="122" s="1"/>
  <c r="EM1494" i="122" s="1"/>
  <c r="EM1495" i="122" s="1"/>
  <c r="EM1496" i="122" s="1"/>
  <c r="EM1497" i="122" s="1"/>
  <c r="EM1498" i="122" s="1"/>
  <c r="EM1499" i="122" s="1"/>
  <c r="EM1500" i="122" s="1"/>
  <c r="EM1501" i="122" s="1"/>
  <c r="EM1502" i="122" s="1"/>
  <c r="EM1503" i="122" s="1"/>
  <c r="EM1504" i="122" s="1"/>
  <c r="EM1505" i="122" s="1"/>
  <c r="EM1506" i="122" s="1"/>
  <c r="EM1507" i="122" s="1"/>
  <c r="FH89" i="122"/>
  <c r="FH95" i="122" l="1"/>
  <c r="FH101" i="122" l="1"/>
  <c r="FH107" i="122" l="1"/>
  <c r="FH113" i="122" l="1"/>
  <c r="FH119" i="122" l="1"/>
  <c r="FH125" i="122" l="1"/>
  <c r="EN59" i="122"/>
  <c r="AW47" i="122"/>
  <c r="S47" i="122"/>
  <c r="AW46" i="122"/>
  <c r="S46" i="122"/>
  <c r="AW45" i="122"/>
  <c r="S45" i="122"/>
  <c r="AW44" i="122"/>
  <c r="S44" i="122"/>
  <c r="AW43" i="122"/>
  <c r="S43" i="122"/>
  <c r="AW42" i="122"/>
  <c r="S42" i="122"/>
  <c r="AW41" i="122"/>
  <c r="S41" i="122"/>
  <c r="AW40" i="122"/>
  <c r="S40" i="122"/>
  <c r="AW39" i="122"/>
  <c r="S39" i="122"/>
  <c r="AW38" i="122"/>
  <c r="S38" i="122"/>
  <c r="AW37" i="122"/>
  <c r="S37" i="122"/>
  <c r="AW36" i="122"/>
  <c r="S36" i="122"/>
  <c r="AW35" i="122"/>
  <c r="S35" i="122"/>
  <c r="FH131" i="122" l="1"/>
  <c r="EN65" i="122"/>
  <c r="FH137" i="122" l="1"/>
  <c r="EN71" i="122"/>
  <c r="FH143" i="122" l="1"/>
  <c r="EN77" i="122"/>
  <c r="FH149" i="122" l="1"/>
  <c r="EN83" i="122"/>
  <c r="FH155" i="122" l="1"/>
  <c r="EN89" i="122"/>
  <c r="AW34" i="122"/>
  <c r="S34" i="122"/>
  <c r="FH161" i="122" l="1"/>
  <c r="EN95" i="122"/>
  <c r="EN101" i="122" s="1"/>
  <c r="FH167" i="122" l="1"/>
  <c r="EN107" i="122"/>
  <c r="FH173" i="122" l="1"/>
  <c r="EN113" i="122"/>
  <c r="FH179" i="122" l="1"/>
  <c r="EN119" i="122"/>
  <c r="FH185" i="122" l="1"/>
  <c r="EN125" i="122"/>
  <c r="AW33" i="122"/>
  <c r="S33" i="122"/>
  <c r="FH191" i="122" l="1"/>
  <c r="EN131" i="122"/>
  <c r="FH197" i="122" l="1"/>
  <c r="EN137" i="122"/>
  <c r="FH203" i="122" l="1"/>
  <c r="EN143" i="122"/>
  <c r="FH209" i="122" l="1"/>
  <c r="EN149" i="122"/>
  <c r="FH215" i="122" l="1"/>
  <c r="EN155" i="122"/>
  <c r="AW32" i="122"/>
  <c r="S32" i="122"/>
  <c r="FH221" i="122" l="1"/>
  <c r="EN161" i="122"/>
  <c r="FH227" i="122" l="1"/>
  <c r="EN167" i="122"/>
  <c r="FH233" i="122" l="1"/>
  <c r="EN173" i="122"/>
  <c r="FH239" i="122" l="1"/>
  <c r="EN179" i="122"/>
  <c r="FH245" i="122" l="1"/>
  <c r="EN185" i="122"/>
  <c r="AW31" i="122"/>
  <c r="S31" i="122"/>
  <c r="FH251" i="122" l="1"/>
  <c r="EN191" i="122"/>
  <c r="FH257" i="122" l="1"/>
  <c r="EN197" i="122"/>
  <c r="FH263" i="122" l="1"/>
  <c r="EN203" i="122"/>
  <c r="FH269" i="122" l="1"/>
  <c r="EN209" i="122"/>
  <c r="FH275" i="122" l="1"/>
  <c r="EN215" i="122"/>
  <c r="AW30" i="122"/>
  <c r="S30" i="122"/>
  <c r="FH281" i="122" l="1"/>
  <c r="EN221" i="122"/>
  <c r="FH287" i="122" l="1"/>
  <c r="EN227" i="122"/>
  <c r="FH293" i="122" l="1"/>
  <c r="EN233" i="122"/>
  <c r="FH299" i="122" l="1"/>
  <c r="FI299" i="122" s="1"/>
  <c r="EN239" i="122"/>
  <c r="EN245" i="122" l="1"/>
  <c r="AW29" i="122"/>
  <c r="S29" i="122"/>
  <c r="EN251" i="122" l="1"/>
  <c r="EN257" i="122" l="1"/>
  <c r="EN263" i="122" l="1"/>
  <c r="EN269" i="122" l="1"/>
  <c r="EN275" i="122" l="1"/>
  <c r="AW28" i="122"/>
  <c r="S28" i="122"/>
  <c r="EN281" i="122" l="1"/>
  <c r="EN287" i="122" l="1"/>
  <c r="EN293" i="122" l="1"/>
  <c r="EN299" i="122" s="1"/>
  <c r="EO299" i="122" s="1"/>
  <c r="ES301" i="122" s="1"/>
  <c r="GB299" i="122" l="1"/>
  <c r="ES300" i="122"/>
  <c r="GK299" i="122" l="1"/>
  <c r="GC299" i="122"/>
  <c r="AW27" i="122"/>
  <c r="S27" i="122"/>
  <c r="AW26" i="122" l="1"/>
  <c r="S26" i="122"/>
  <c r="AW25" i="122" l="1"/>
  <c r="S25" i="122"/>
  <c r="AW24" i="122" l="1"/>
  <c r="S24" i="122"/>
  <c r="AW23" i="122" l="1"/>
  <c r="S23" i="122"/>
  <c r="AW22" i="122" l="1"/>
  <c r="S22" i="122"/>
  <c r="AW21" i="122" l="1"/>
  <c r="S21" i="122"/>
  <c r="AW20" i="122"/>
  <c r="S20" i="122"/>
  <c r="AW19" i="122" l="1"/>
  <c r="S19" i="122"/>
  <c r="AW18" i="122" l="1"/>
  <c r="S18" i="122"/>
  <c r="AW17" i="122" l="1"/>
  <c r="S17" i="122"/>
  <c r="AW16" i="122"/>
  <c r="S16" i="122"/>
  <c r="AW15" i="122" l="1"/>
  <c r="S15" i="122"/>
  <c r="AW14" i="122"/>
  <c r="S14" i="122"/>
  <c r="AW13" i="122" l="1"/>
  <c r="S13" i="122"/>
  <c r="AW12" i="122"/>
  <c r="S12" i="122"/>
  <c r="AW11" i="122"/>
  <c r="S11" i="122"/>
  <c r="AW10" i="122" l="1"/>
  <c r="V10" i="122"/>
  <c r="S10" i="122"/>
  <c r="AW9" i="122"/>
  <c r="S9" i="122"/>
  <c r="AW8" i="122" l="1"/>
  <c r="S8" i="122"/>
  <c r="AW7" i="122" l="1"/>
  <c r="S7" i="122"/>
  <c r="HL5" i="122"/>
  <c r="DB5" i="122"/>
  <c r="CY5" i="122"/>
  <c r="CB5" i="122"/>
  <c r="FX1" i="122"/>
  <c r="FP6" i="122" s="1"/>
  <c r="FN1" i="122"/>
  <c r="FM6" i="122" s="1"/>
  <c r="FC1" i="122"/>
  <c r="EU1" i="122"/>
  <c r="ET6" i="122" s="1"/>
  <c r="EU6" i="122" l="1"/>
  <c r="EO53" i="122"/>
  <c r="IP6" i="122"/>
  <c r="FI53" i="122"/>
  <c r="EC53" i="122"/>
  <c r="EC98" i="122"/>
  <c r="EC310" i="122"/>
  <c r="EC355" i="122"/>
  <c r="E7" i="122"/>
  <c r="FC6" i="122"/>
  <c r="AE8" i="122"/>
  <c r="ES6" i="122"/>
  <c r="CD7" i="122"/>
  <c r="ER6" i="122"/>
  <c r="FB6" i="122"/>
  <c r="FO6" i="122"/>
  <c r="FN6" i="122"/>
  <c r="FX6" i="122"/>
  <c r="AX7" i="122"/>
  <c r="FW6" i="122"/>
  <c r="IQ6" i="122" l="1"/>
  <c r="EV56" i="122"/>
  <c r="ES57" i="122"/>
  <c r="ES55" i="122"/>
  <c r="EV57" i="122"/>
  <c r="EV55" i="122"/>
  <c r="ES56" i="122"/>
  <c r="ES54" i="122"/>
  <c r="GB53" i="122"/>
  <c r="GK53" i="122" s="1"/>
  <c r="FI59" i="122"/>
  <c r="EO59" i="122"/>
  <c r="ED310" i="122"/>
  <c r="EC54" i="122"/>
  <c r="EC99" i="122"/>
  <c r="EC356" i="122"/>
  <c r="EC311" i="122"/>
  <c r="M4" i="122"/>
  <c r="O1" i="122"/>
  <c r="N1" i="122"/>
  <c r="N4" i="122"/>
  <c r="P1" i="122"/>
  <c r="O4" i="122"/>
  <c r="M1" i="122"/>
  <c r="AE9" i="122"/>
  <c r="E8" i="122"/>
  <c r="AX8" i="122"/>
  <c r="CD8" i="122"/>
  <c r="IR6" i="122" l="1"/>
  <c r="ES60" i="122"/>
  <c r="EV63" i="122"/>
  <c r="ES63" i="122"/>
  <c r="ED311" i="122"/>
  <c r="ED356" i="122" s="1"/>
  <c r="AH8" i="122" s="1"/>
  <c r="ED355" i="122"/>
  <c r="IP1" i="122"/>
  <c r="GC53" i="122"/>
  <c r="FI65" i="122"/>
  <c r="EO65" i="122"/>
  <c r="GB59" i="122"/>
  <c r="EC100" i="122"/>
  <c r="EC55" i="122"/>
  <c r="IP55" i="122"/>
  <c r="EC312" i="122"/>
  <c r="EC357" i="122"/>
  <c r="AE10" i="122"/>
  <c r="E9" i="122"/>
  <c r="AX9" i="122"/>
  <c r="CD9" i="122"/>
  <c r="IS6" i="122" l="1"/>
  <c r="AH7" i="122"/>
  <c r="EQ53" i="122"/>
  <c r="EP53" i="122"/>
  <c r="EQ59" i="122"/>
  <c r="EP59" i="122"/>
  <c r="IQ1" i="122"/>
  <c r="ES66" i="122"/>
  <c r="GB65" i="122"/>
  <c r="FI71" i="122"/>
  <c r="EO71" i="122"/>
  <c r="ED312" i="122"/>
  <c r="GK59" i="122"/>
  <c r="GC59" i="122"/>
  <c r="EC56" i="122"/>
  <c r="EC101" i="122"/>
  <c r="EC358" i="122"/>
  <c r="EC313" i="122"/>
  <c r="IQ55" i="122"/>
  <c r="AE11" i="122"/>
  <c r="AX10" i="122"/>
  <c r="CD10" i="122"/>
  <c r="E10" i="122"/>
  <c r="IT6" i="122" l="1"/>
  <c r="ES75" i="122"/>
  <c r="ES72" i="122"/>
  <c r="EO55" i="122"/>
  <c r="EO61" i="122"/>
  <c r="ED313" i="122"/>
  <c r="ED358" i="122" s="1"/>
  <c r="AH10" i="122" s="1"/>
  <c r="IR1" i="122"/>
  <c r="ED357" i="122"/>
  <c r="FI77" i="122"/>
  <c r="EO77" i="122"/>
  <c r="GB71" i="122"/>
  <c r="GK65" i="122"/>
  <c r="GC65" i="122"/>
  <c r="EC57" i="122"/>
  <c r="EC102" i="122"/>
  <c r="EC359" i="122"/>
  <c r="EC314" i="122"/>
  <c r="IR55" i="122"/>
  <c r="AE12" i="122"/>
  <c r="E11" i="122"/>
  <c r="AX11" i="122"/>
  <c r="CD11" i="122"/>
  <c r="ES81" i="122" l="1"/>
  <c r="EV81" i="122"/>
  <c r="IU6" i="122"/>
  <c r="FI83" i="122"/>
  <c r="EO83" i="122"/>
  <c r="ES87" i="122" s="1"/>
  <c r="EQ65" i="122"/>
  <c r="EP65" i="122"/>
  <c r="EP71" i="122"/>
  <c r="EQ71" i="122"/>
  <c r="AH9" i="122"/>
  <c r="IS1" i="122"/>
  <c r="GB77" i="122"/>
  <c r="ES78" i="122"/>
  <c r="ED314" i="122"/>
  <c r="GK71" i="122"/>
  <c r="GC71" i="122"/>
  <c r="EC103" i="122"/>
  <c r="EC58" i="122"/>
  <c r="EC315" i="122"/>
  <c r="EC360" i="122"/>
  <c r="IS55" i="122"/>
  <c r="AE13" i="122"/>
  <c r="AX12" i="122"/>
  <c r="CD12" i="122"/>
  <c r="E12" i="122"/>
  <c r="ER83" i="122" l="1"/>
  <c r="FL83" i="122"/>
  <c r="IV6" i="122"/>
  <c r="FI89" i="122"/>
  <c r="EO89" i="122"/>
  <c r="EO73" i="122"/>
  <c r="EO67" i="122"/>
  <c r="ED315" i="122"/>
  <c r="ED360" i="122" s="1"/>
  <c r="EQ83" i="122" s="1"/>
  <c r="ED359" i="122"/>
  <c r="IT1" i="122"/>
  <c r="GB83" i="122"/>
  <c r="GK77" i="122"/>
  <c r="GC77" i="122"/>
  <c r="EC104" i="122"/>
  <c r="EC59" i="122"/>
  <c r="EC361" i="122"/>
  <c r="EC316" i="122"/>
  <c r="AE14" i="122"/>
  <c r="AX13" i="122"/>
  <c r="E13" i="122"/>
  <c r="CD13" i="122"/>
  <c r="IT55" i="122"/>
  <c r="ES93" i="122" l="1"/>
  <c r="EV93" i="122"/>
  <c r="FL89" i="122"/>
  <c r="ER89" i="122"/>
  <c r="AH12" i="122"/>
  <c r="EP83" i="122"/>
  <c r="IW6" i="122"/>
  <c r="EO95" i="122"/>
  <c r="FI95" i="122"/>
  <c r="EQ77" i="122"/>
  <c r="EP77" i="122"/>
  <c r="AH11" i="122"/>
  <c r="IU1" i="122"/>
  <c r="ED316" i="122"/>
  <c r="IV1" i="122" s="1"/>
  <c r="GB89" i="122"/>
  <c r="GK83" i="122"/>
  <c r="GC83" i="122"/>
  <c r="EC60" i="122"/>
  <c r="EC105" i="122"/>
  <c r="EC317" i="122"/>
  <c r="EC362" i="122"/>
  <c r="AE15" i="122"/>
  <c r="IU55" i="122"/>
  <c r="E14" i="122"/>
  <c r="AX14" i="122"/>
  <c r="CD14" i="122"/>
  <c r="ES96" i="122" l="1"/>
  <c r="ES97" i="122"/>
  <c r="ES99" i="122"/>
  <c r="ES98" i="122"/>
  <c r="ER95" i="122"/>
  <c r="FL95" i="122"/>
  <c r="EO85" i="122"/>
  <c r="ES83" i="122"/>
  <c r="IX6" i="122"/>
  <c r="FI101" i="122"/>
  <c r="EO101" i="122"/>
  <c r="ES105" i="122" s="1"/>
  <c r="EO79" i="122"/>
  <c r="ED361" i="122"/>
  <c r="ED317" i="122"/>
  <c r="GB95" i="122"/>
  <c r="GK89" i="122"/>
  <c r="GC89" i="122"/>
  <c r="EC61" i="122"/>
  <c r="EC106" i="122"/>
  <c r="EC363" i="122"/>
  <c r="EC318" i="122"/>
  <c r="IV55" i="122"/>
  <c r="AE16" i="122"/>
  <c r="AX15" i="122"/>
  <c r="CD15" i="122"/>
  <c r="E15" i="122"/>
  <c r="ER101" i="122" l="1"/>
  <c r="FL101" i="122"/>
  <c r="EP89" i="122"/>
  <c r="EQ89" i="122"/>
  <c r="IY6" i="122"/>
  <c r="FI107" i="122"/>
  <c r="EO107" i="122"/>
  <c r="ES108" i="122" s="1"/>
  <c r="AH13" i="122"/>
  <c r="ED362" i="122"/>
  <c r="IW1" i="122"/>
  <c r="ED318" i="122"/>
  <c r="GK95" i="122"/>
  <c r="GC95" i="122"/>
  <c r="GB101" i="122"/>
  <c r="EC62" i="122"/>
  <c r="EC107" i="122"/>
  <c r="EC319" i="122"/>
  <c r="EC364" i="122"/>
  <c r="IW55" i="122"/>
  <c r="AE17" i="122"/>
  <c r="E16" i="122"/>
  <c r="AX16" i="122"/>
  <c r="CD16" i="122"/>
  <c r="ES110" i="122" l="1"/>
  <c r="ES111" i="122"/>
  <c r="FL107" i="122"/>
  <c r="ER107" i="122"/>
  <c r="EQ95" i="122"/>
  <c r="EP95" i="122"/>
  <c r="ES89" i="122"/>
  <c r="EO91" i="122"/>
  <c r="IZ6" i="122"/>
  <c r="IZ55" i="122" s="1"/>
  <c r="FI113" i="122"/>
  <c r="EO113" i="122"/>
  <c r="AH14" i="122"/>
  <c r="ED363" i="122"/>
  <c r="IX1" i="122"/>
  <c r="ED319" i="122"/>
  <c r="GC101" i="122"/>
  <c r="GK101" i="122"/>
  <c r="GB107" i="122"/>
  <c r="EC108" i="122"/>
  <c r="EC63" i="122"/>
  <c r="EC365" i="122"/>
  <c r="EC320" i="122"/>
  <c r="AE18" i="122"/>
  <c r="AX17" i="122"/>
  <c r="CD17" i="122"/>
  <c r="E17" i="122"/>
  <c r="IX55" i="122"/>
  <c r="ES114" i="122" l="1"/>
  <c r="ES115" i="122"/>
  <c r="ES117" i="122"/>
  <c r="ES116" i="122"/>
  <c r="ER113" i="122"/>
  <c r="FL113" i="122"/>
  <c r="EO97" i="122"/>
  <c r="ES95" i="122"/>
  <c r="EQ101" i="122"/>
  <c r="EP101" i="122"/>
  <c r="JA6" i="122"/>
  <c r="EO119" i="122"/>
  <c r="ES121" i="122" s="1"/>
  <c r="FI119" i="122"/>
  <c r="AH15" i="122"/>
  <c r="ED320" i="122"/>
  <c r="ED364" i="122"/>
  <c r="IY1" i="122"/>
  <c r="GB113" i="122"/>
  <c r="GK107" i="122"/>
  <c r="GC107" i="122"/>
  <c r="EC64" i="122"/>
  <c r="EC109" i="122"/>
  <c r="EC321" i="122"/>
  <c r="EC366" i="122"/>
  <c r="IY55" i="122"/>
  <c r="AE19" i="122"/>
  <c r="E18" i="122"/>
  <c r="AX18" i="122"/>
  <c r="CD18" i="122"/>
  <c r="ES122" i="122" l="1"/>
  <c r="EV122" i="122"/>
  <c r="ES123" i="122"/>
  <c r="ER119" i="122"/>
  <c r="FL119" i="122"/>
  <c r="EQ107" i="122"/>
  <c r="EP107" i="122"/>
  <c r="EO103" i="122"/>
  <c r="ES101" i="122"/>
  <c r="JB6" i="122"/>
  <c r="FI125" i="122"/>
  <c r="EO125" i="122"/>
  <c r="AH16" i="122"/>
  <c r="ED365" i="122"/>
  <c r="IZ1" i="122"/>
  <c r="ED321" i="122"/>
  <c r="GB119" i="122"/>
  <c r="GC113" i="122"/>
  <c r="GK113" i="122"/>
  <c r="EC110" i="122"/>
  <c r="EC65" i="122"/>
  <c r="EC322" i="122"/>
  <c r="EC367" i="122"/>
  <c r="AE20" i="122"/>
  <c r="E19" i="122"/>
  <c r="AX19" i="122"/>
  <c r="CD19" i="122"/>
  <c r="ES126" i="122" l="1"/>
  <c r="ES128" i="122"/>
  <c r="ES129" i="122"/>
  <c r="FL125" i="122"/>
  <c r="ER125" i="122"/>
  <c r="ES107" i="122"/>
  <c r="EO109" i="122"/>
  <c r="EP113" i="122"/>
  <c r="EQ113" i="122"/>
  <c r="JC6" i="122"/>
  <c r="FI131" i="122"/>
  <c r="EO131" i="122"/>
  <c r="ES132" i="122" s="1"/>
  <c r="AH17" i="122"/>
  <c r="ED366" i="122"/>
  <c r="JA1" i="122"/>
  <c r="ED322" i="122"/>
  <c r="GB125" i="122"/>
  <c r="GK119" i="122"/>
  <c r="GC119" i="122"/>
  <c r="EC66" i="122"/>
  <c r="EC111" i="122"/>
  <c r="EC368" i="122"/>
  <c r="EC323" i="122"/>
  <c r="JA55" i="122"/>
  <c r="AE21" i="122"/>
  <c r="AX20" i="122"/>
  <c r="E20" i="122"/>
  <c r="CD20" i="122"/>
  <c r="ES135" i="122" l="1"/>
  <c r="ES133" i="122"/>
  <c r="ES134" i="122"/>
  <c r="FL131" i="122"/>
  <c r="ER131" i="122"/>
  <c r="EP119" i="122"/>
  <c r="EQ119" i="122"/>
  <c r="EO115" i="122"/>
  <c r="ES113" i="122"/>
  <c r="JD6" i="122"/>
  <c r="FI137" i="122"/>
  <c r="EO137" i="122"/>
  <c r="ES140" i="122" s="1"/>
  <c r="AH18" i="122"/>
  <c r="ED367" i="122"/>
  <c r="JB1" i="122"/>
  <c r="ED323" i="122"/>
  <c r="GB131" i="122"/>
  <c r="GC125" i="122"/>
  <c r="GK125" i="122"/>
  <c r="EC112" i="122"/>
  <c r="EC67" i="122"/>
  <c r="EC369" i="122"/>
  <c r="EC324" i="122"/>
  <c r="JB55" i="122"/>
  <c r="AE22" i="122"/>
  <c r="AX21" i="122"/>
  <c r="E21" i="122"/>
  <c r="CD21" i="122"/>
  <c r="CD22" i="122" l="1"/>
  <c r="ES141" i="122"/>
  <c r="ES138" i="122"/>
  <c r="ES139" i="122"/>
  <c r="FL137" i="122"/>
  <c r="ER137" i="122"/>
  <c r="ES119" i="122"/>
  <c r="EO121" i="122"/>
  <c r="EP125" i="122"/>
  <c r="EQ125" i="122"/>
  <c r="JE6" i="122"/>
  <c r="EO143" i="122"/>
  <c r="ES146" i="122" s="1"/>
  <c r="FI143" i="122"/>
  <c r="AH19" i="122"/>
  <c r="ED368" i="122"/>
  <c r="JC1" i="122"/>
  <c r="ED324" i="122"/>
  <c r="GK131" i="122"/>
  <c r="GC131" i="122"/>
  <c r="GB137" i="122"/>
  <c r="EC68" i="122"/>
  <c r="EC113" i="122"/>
  <c r="EC325" i="122"/>
  <c r="EC370" i="122"/>
  <c r="AE23" i="122"/>
  <c r="E22" i="122"/>
  <c r="AX22" i="122"/>
  <c r="JC55" i="122"/>
  <c r="ES147" i="122" l="1"/>
  <c r="ER143" i="122"/>
  <c r="FL143" i="122"/>
  <c r="EP131" i="122"/>
  <c r="EQ131" i="122"/>
  <c r="EO127" i="122"/>
  <c r="ES125" i="122"/>
  <c r="JF6" i="122"/>
  <c r="FI149" i="122"/>
  <c r="EO149" i="122"/>
  <c r="ES150" i="122" s="1"/>
  <c r="AH20" i="122"/>
  <c r="ED369" i="122"/>
  <c r="EQ137" i="122" s="1"/>
  <c r="JD1" i="122"/>
  <c r="ED325" i="122"/>
  <c r="GB143" i="122"/>
  <c r="GC137" i="122"/>
  <c r="GK137" i="122"/>
  <c r="EC69" i="122"/>
  <c r="EC114" i="122"/>
  <c r="EC371" i="122"/>
  <c r="EC326" i="122"/>
  <c r="AE24" i="122"/>
  <c r="E23" i="122"/>
  <c r="AX23" i="122"/>
  <c r="CD23" i="122"/>
  <c r="JD55" i="122"/>
  <c r="ES153" i="122" l="1"/>
  <c r="ES152" i="122"/>
  <c r="ES151" i="122"/>
  <c r="FL149" i="122"/>
  <c r="ER149" i="122"/>
  <c r="EO133" i="122"/>
  <c r="ES131" i="122"/>
  <c r="EP137" i="122"/>
  <c r="JG6" i="122"/>
  <c r="FI155" i="122"/>
  <c r="EO155" i="122"/>
  <c r="AH21" i="122"/>
  <c r="ED370" i="122"/>
  <c r="EQ143" i="122" s="1"/>
  <c r="JE1" i="122"/>
  <c r="ED326" i="122"/>
  <c r="GK143" i="122"/>
  <c r="GC143" i="122"/>
  <c r="GB149" i="122"/>
  <c r="EC115" i="122"/>
  <c r="EC70" i="122"/>
  <c r="EC327" i="122"/>
  <c r="EC372" i="122"/>
  <c r="AE25" i="122"/>
  <c r="E24" i="122"/>
  <c r="AX24" i="122"/>
  <c r="CD24" i="122"/>
  <c r="JE55" i="122"/>
  <c r="AE26" i="122" l="1"/>
  <c r="ES157" i="122"/>
  <c r="ES159" i="122"/>
  <c r="ES156" i="122"/>
  <c r="ES158" i="122"/>
  <c r="ER155" i="122"/>
  <c r="FL155" i="122"/>
  <c r="ES137" i="122"/>
  <c r="EO139" i="122"/>
  <c r="EP143" i="122"/>
  <c r="JH6" i="122"/>
  <c r="FI161" i="122"/>
  <c r="EO161" i="122"/>
  <c r="AH22" i="122"/>
  <c r="ED371" i="122"/>
  <c r="JF1" i="122"/>
  <c r="ED327" i="122"/>
  <c r="GK149" i="122"/>
  <c r="GC149" i="122"/>
  <c r="GB155" i="122"/>
  <c r="EC116" i="122"/>
  <c r="EC71" i="122"/>
  <c r="EC373" i="122"/>
  <c r="EC328" i="122"/>
  <c r="JF55" i="122"/>
  <c r="E25" i="122"/>
  <c r="AX25" i="122"/>
  <c r="CD25" i="122"/>
  <c r="ES165" i="122" l="1"/>
  <c r="ES162" i="122"/>
  <c r="ES164" i="122"/>
  <c r="FL161" i="122"/>
  <c r="ER161" i="122"/>
  <c r="EP149" i="122"/>
  <c r="EQ149" i="122"/>
  <c r="EO145" i="122"/>
  <c r="ES143" i="122"/>
  <c r="JI6" i="122"/>
  <c r="FI167" i="122"/>
  <c r="EO167" i="122"/>
  <c r="ES168" i="122" s="1"/>
  <c r="AH23" i="122"/>
  <c r="ED372" i="122"/>
  <c r="JG1" i="122"/>
  <c r="ED328" i="122"/>
  <c r="GB161" i="122"/>
  <c r="GK155" i="122"/>
  <c r="GC155" i="122"/>
  <c r="EC72" i="122"/>
  <c r="EC117" i="122"/>
  <c r="EC329" i="122"/>
  <c r="EC374" i="122"/>
  <c r="JG55" i="122"/>
  <c r="AE27" i="122"/>
  <c r="E26" i="122"/>
  <c r="AX26" i="122"/>
  <c r="CD26" i="122"/>
  <c r="ES169" i="122" l="1"/>
  <c r="ES171" i="122"/>
  <c r="ES170" i="122"/>
  <c r="FL167" i="122"/>
  <c r="ER167" i="122"/>
  <c r="EO151" i="122"/>
  <c r="ES149" i="122"/>
  <c r="EP155" i="122"/>
  <c r="EQ155" i="122"/>
  <c r="JJ6" i="122"/>
  <c r="FI173" i="122"/>
  <c r="EO173" i="122"/>
  <c r="AH24" i="122"/>
  <c r="JH1" i="122"/>
  <c r="ED373" i="122"/>
  <c r="ED329" i="122"/>
  <c r="GC161" i="122"/>
  <c r="GK161" i="122"/>
  <c r="GB167" i="122"/>
  <c r="EC73" i="122"/>
  <c r="EC118" i="122"/>
  <c r="EC330" i="122"/>
  <c r="EC375" i="122"/>
  <c r="AE28" i="122"/>
  <c r="E27" i="122"/>
  <c r="AX27" i="122"/>
  <c r="CD27" i="122"/>
  <c r="JH55" i="122"/>
  <c r="ES175" i="122" l="1"/>
  <c r="ES176" i="122"/>
  <c r="ES177" i="122"/>
  <c r="ES174" i="122"/>
  <c r="FL173" i="122"/>
  <c r="ER173" i="122"/>
  <c r="EQ161" i="122"/>
  <c r="EP161" i="122"/>
  <c r="EO157" i="122"/>
  <c r="ES155" i="122"/>
  <c r="JK6" i="122"/>
  <c r="FI179" i="122"/>
  <c r="EO179" i="122"/>
  <c r="AH25" i="122"/>
  <c r="ED374" i="122"/>
  <c r="JI1" i="122"/>
  <c r="ED330" i="122"/>
  <c r="GK167" i="122"/>
  <c r="GC167" i="122"/>
  <c r="GB173" i="122"/>
  <c r="EC74" i="122"/>
  <c r="EC119" i="122"/>
  <c r="EC376" i="122"/>
  <c r="EC331" i="122"/>
  <c r="JI55" i="122"/>
  <c r="AE29" i="122"/>
  <c r="E28" i="122"/>
  <c r="CD28" i="122"/>
  <c r="AX28" i="122"/>
  <c r="ES180" i="122" l="1"/>
  <c r="ES182" i="122"/>
  <c r="ES183" i="122"/>
  <c r="ER179" i="122"/>
  <c r="FL179" i="122"/>
  <c r="EO163" i="122"/>
  <c r="ES161" i="122"/>
  <c r="EQ167" i="122"/>
  <c r="EP167" i="122"/>
  <c r="JL6" i="122"/>
  <c r="FI185" i="122"/>
  <c r="EO185" i="122"/>
  <c r="AH26" i="122"/>
  <c r="ED375" i="122"/>
  <c r="JJ1" i="122"/>
  <c r="ED331" i="122"/>
  <c r="GB179" i="122"/>
  <c r="GC173" i="122"/>
  <c r="GK173" i="122"/>
  <c r="EC120" i="122"/>
  <c r="EC75" i="122"/>
  <c r="EC377" i="122"/>
  <c r="EC332" i="122"/>
  <c r="JJ55" i="122"/>
  <c r="AE30" i="122"/>
  <c r="AX29" i="122"/>
  <c r="CD29" i="122"/>
  <c r="E29" i="122"/>
  <c r="CD30" i="122" l="1"/>
  <c r="ES189" i="122"/>
  <c r="ES186" i="122"/>
  <c r="ES188" i="122"/>
  <c r="ES187" i="122"/>
  <c r="FL185" i="122"/>
  <c r="ER185" i="122"/>
  <c r="EO169" i="122"/>
  <c r="ES167" i="122"/>
  <c r="EP173" i="122"/>
  <c r="EQ173" i="122"/>
  <c r="JM6" i="122"/>
  <c r="FI191" i="122"/>
  <c r="EO191" i="122"/>
  <c r="ES193" i="122" s="1"/>
  <c r="AH27" i="122"/>
  <c r="ED332" i="122"/>
  <c r="ED376" i="122"/>
  <c r="EQ179" i="122" s="1"/>
  <c r="JK1" i="122"/>
  <c r="GK179" i="122"/>
  <c r="GC179" i="122"/>
  <c r="GB185" i="122"/>
  <c r="EC76" i="122"/>
  <c r="EC121" i="122"/>
  <c r="EC378" i="122"/>
  <c r="EC333" i="122"/>
  <c r="AE31" i="122"/>
  <c r="E30" i="122"/>
  <c r="AX30" i="122"/>
  <c r="JK55" i="122"/>
  <c r="EC334" i="122" l="1"/>
  <c r="ES194" i="122"/>
  <c r="ES192" i="122"/>
  <c r="CD31" i="122"/>
  <c r="ES195" i="122"/>
  <c r="FL191" i="122"/>
  <c r="ER191" i="122"/>
  <c r="EP179" i="122"/>
  <c r="ES173" i="122"/>
  <c r="EO175" i="122"/>
  <c r="FI197" i="122"/>
  <c r="EO197" i="122"/>
  <c r="AH28" i="122"/>
  <c r="ED333" i="122"/>
  <c r="JL1" i="122"/>
  <c r="ED377" i="122"/>
  <c r="JN6" i="122"/>
  <c r="GK185" i="122"/>
  <c r="GC185" i="122"/>
  <c r="GB191" i="122"/>
  <c r="EC122" i="122"/>
  <c r="EC77" i="122"/>
  <c r="EC379" i="122"/>
  <c r="JL55" i="122"/>
  <c r="AE32" i="122"/>
  <c r="E31" i="122"/>
  <c r="AX31" i="122"/>
  <c r="CD32" i="122" l="1"/>
  <c r="ES201" i="122"/>
  <c r="ES200" i="122"/>
  <c r="ES199" i="122"/>
  <c r="ES198" i="122"/>
  <c r="FL197" i="122"/>
  <c r="ER197" i="122"/>
  <c r="EP185" i="122"/>
  <c r="EQ185" i="122"/>
  <c r="EO181" i="122"/>
  <c r="ES179" i="122"/>
  <c r="FI203" i="122"/>
  <c r="EO203" i="122"/>
  <c r="ES204" i="122" s="1"/>
  <c r="AH29" i="122"/>
  <c r="JM1" i="122"/>
  <c r="ED378" i="122"/>
  <c r="ED334" i="122"/>
  <c r="ED379" i="122" s="1"/>
  <c r="JO6" i="122"/>
  <c r="GC191" i="122"/>
  <c r="GK191" i="122"/>
  <c r="GB197" i="122"/>
  <c r="EC78" i="122"/>
  <c r="EC123" i="122"/>
  <c r="EC335" i="122"/>
  <c r="EC380" i="122"/>
  <c r="AE33" i="122"/>
  <c r="AX32" i="122"/>
  <c r="E32" i="122"/>
  <c r="JM55" i="122"/>
  <c r="CD33" i="122" l="1"/>
  <c r="ES206" i="122"/>
  <c r="ES207" i="122"/>
  <c r="FL203" i="122"/>
  <c r="ER203" i="122"/>
  <c r="EO187" i="122"/>
  <c r="ES185" i="122"/>
  <c r="EP191" i="122"/>
  <c r="EQ191" i="122"/>
  <c r="AH31" i="122"/>
  <c r="EP197" i="122"/>
  <c r="EQ197" i="122"/>
  <c r="FI209" i="122"/>
  <c r="EO209" i="122"/>
  <c r="AH30" i="122"/>
  <c r="ED335" i="122"/>
  <c r="JO1" i="122" s="1"/>
  <c r="JN1" i="122"/>
  <c r="JP6" i="122"/>
  <c r="GB203" i="122"/>
  <c r="GK197" i="122"/>
  <c r="GC197" i="122"/>
  <c r="EC124" i="122"/>
  <c r="EC79" i="122"/>
  <c r="EC381" i="122"/>
  <c r="EC336" i="122"/>
  <c r="ED336" i="122" s="1"/>
  <c r="JN55" i="122"/>
  <c r="AE34" i="122"/>
  <c r="E33" i="122"/>
  <c r="AX33" i="122"/>
  <c r="CD34" i="122" l="1"/>
  <c r="ES210" i="122"/>
  <c r="ES213" i="122"/>
  <c r="FL209" i="122"/>
  <c r="ER209" i="122"/>
  <c r="EO199" i="122"/>
  <c r="ES197" i="122"/>
  <c r="EO193" i="122"/>
  <c r="ES191" i="122"/>
  <c r="FI215" i="122"/>
  <c r="EO215" i="122"/>
  <c r="ED380" i="122"/>
  <c r="ED381" i="122"/>
  <c r="JP1" i="122"/>
  <c r="JQ6" i="122"/>
  <c r="GK203" i="122"/>
  <c r="GC203" i="122"/>
  <c r="GB209" i="122"/>
  <c r="EC80" i="122"/>
  <c r="EC125" i="122"/>
  <c r="EC337" i="122"/>
  <c r="EC382" i="122"/>
  <c r="AE35" i="122"/>
  <c r="E34" i="122"/>
  <c r="AX34" i="122"/>
  <c r="JO55" i="122"/>
  <c r="CD35" i="122" l="1"/>
  <c r="ER215" i="122"/>
  <c r="ES216" i="122"/>
  <c r="ES219" i="122"/>
  <c r="FL215" i="122"/>
  <c r="EQ203" i="122"/>
  <c r="EP203" i="122"/>
  <c r="AH33" i="122"/>
  <c r="EQ209" i="122"/>
  <c r="EP209" i="122"/>
  <c r="FI221" i="122"/>
  <c r="EO221" i="122"/>
  <c r="AH32" i="122"/>
  <c r="ED337" i="122"/>
  <c r="JR6" i="122"/>
  <c r="GB215" i="122"/>
  <c r="GC209" i="122"/>
  <c r="GK209" i="122"/>
  <c r="EC81" i="122"/>
  <c r="EC126" i="122"/>
  <c r="EC338" i="122"/>
  <c r="ED338" i="122" s="1"/>
  <c r="EC383" i="122"/>
  <c r="E35" i="122"/>
  <c r="AX35" i="122"/>
  <c r="AE36" i="122"/>
  <c r="JP55" i="122"/>
  <c r="CD36" i="122" l="1"/>
  <c r="ES222" i="122"/>
  <c r="ES225" i="122"/>
  <c r="ES224" i="122"/>
  <c r="FL221" i="122"/>
  <c r="ER221" i="122"/>
  <c r="ES209" i="122"/>
  <c r="EO211" i="122"/>
  <c r="EO205" i="122"/>
  <c r="ES203" i="122"/>
  <c r="FI227" i="122"/>
  <c r="EO227" i="122"/>
  <c r="ES231" i="122" s="1"/>
  <c r="JQ1" i="122"/>
  <c r="ED382" i="122"/>
  <c r="ED383" i="122"/>
  <c r="JR1" i="122"/>
  <c r="JS6" i="122"/>
  <c r="GB221" i="122"/>
  <c r="GK215" i="122"/>
  <c r="GC215" i="122"/>
  <c r="EC127" i="122"/>
  <c r="EC82" i="122"/>
  <c r="EC384" i="122"/>
  <c r="EC339" i="122"/>
  <c r="JQ55" i="122"/>
  <c r="AE37" i="122"/>
  <c r="E36" i="122"/>
  <c r="AX36" i="122"/>
  <c r="ER227" i="122" l="1"/>
  <c r="FL227" i="122"/>
  <c r="EP221" i="122"/>
  <c r="EQ221" i="122"/>
  <c r="EP215" i="122"/>
  <c r="EQ215" i="122"/>
  <c r="FI233" i="122"/>
  <c r="EO233" i="122"/>
  <c r="AH34" i="122"/>
  <c r="AH35" i="122"/>
  <c r="ED339" i="122"/>
  <c r="JS1" i="122" s="1"/>
  <c r="JT6" i="122"/>
  <c r="GB227" i="122"/>
  <c r="GC221" i="122"/>
  <c r="GK221" i="122"/>
  <c r="EC128" i="122"/>
  <c r="EC83" i="122"/>
  <c r="EC385" i="122"/>
  <c r="EC340" i="122"/>
  <c r="E37" i="122"/>
  <c r="AE38" i="122"/>
  <c r="AX37" i="122"/>
  <c r="CD37" i="122"/>
  <c r="JR55" i="122"/>
  <c r="ES237" i="122" l="1"/>
  <c r="FL233" i="122"/>
  <c r="ER233" i="122"/>
  <c r="EO217" i="122"/>
  <c r="ES215" i="122"/>
  <c r="ES221" i="122"/>
  <c r="EO223" i="122"/>
  <c r="FI239" i="122"/>
  <c r="EO239" i="122"/>
  <c r="ES240" i="122" s="1"/>
  <c r="ED384" i="122"/>
  <c r="ED340" i="122"/>
  <c r="JT1" i="122" s="1"/>
  <c r="JU6" i="122"/>
  <c r="GB233" i="122"/>
  <c r="GK227" i="122"/>
  <c r="GC227" i="122"/>
  <c r="EC84" i="122"/>
  <c r="EC129" i="122"/>
  <c r="EC341" i="122"/>
  <c r="EC386" i="122"/>
  <c r="JS55" i="122"/>
  <c r="CD38" i="122"/>
  <c r="AE39" i="122"/>
  <c r="E38" i="122"/>
  <c r="AX38" i="122"/>
  <c r="ES242" i="122" l="1"/>
  <c r="ES243" i="122"/>
  <c r="ER239" i="122"/>
  <c r="FL239" i="122"/>
  <c r="EP227" i="122"/>
  <c r="EQ227" i="122"/>
  <c r="FI245" i="122"/>
  <c r="EO245" i="122"/>
  <c r="AH36" i="122"/>
  <c r="ED341" i="122"/>
  <c r="JU1" i="122" s="1"/>
  <c r="ED385" i="122"/>
  <c r="JV6" i="122"/>
  <c r="GK233" i="122"/>
  <c r="GC233" i="122"/>
  <c r="GB239" i="122"/>
  <c r="EC130" i="122"/>
  <c r="EC85" i="122"/>
  <c r="EC387" i="122"/>
  <c r="EC342" i="122"/>
  <c r="ED342" i="122" s="1"/>
  <c r="JT55" i="122"/>
  <c r="E39" i="122"/>
  <c r="AE40" i="122"/>
  <c r="AX39" i="122"/>
  <c r="CD39" i="122"/>
  <c r="ER245" i="122" l="1"/>
  <c r="FL245" i="122"/>
  <c r="EQ233" i="122"/>
  <c r="EP233" i="122"/>
  <c r="ES227" i="122"/>
  <c r="EO229" i="122"/>
  <c r="FI251" i="122"/>
  <c r="EO251" i="122"/>
  <c r="AH37" i="122"/>
  <c r="ED386" i="122"/>
  <c r="ED387" i="122"/>
  <c r="JV1" i="122"/>
  <c r="JW6" i="122"/>
  <c r="GB245" i="122"/>
  <c r="GK239" i="122"/>
  <c r="GC239" i="122"/>
  <c r="EC86" i="122"/>
  <c r="EC131" i="122"/>
  <c r="EC343" i="122"/>
  <c r="ED343" i="122" s="1"/>
  <c r="EC388" i="122"/>
  <c r="AE41" i="122"/>
  <c r="AX40" i="122"/>
  <c r="CD40" i="122"/>
  <c r="E40" i="122"/>
  <c r="JU55" i="122"/>
  <c r="GQ4" i="122" l="1"/>
  <c r="ER251" i="122"/>
  <c r="FL251" i="122"/>
  <c r="EQ239" i="122"/>
  <c r="EP239" i="122"/>
  <c r="ES233" i="122"/>
  <c r="EO235" i="122"/>
  <c r="EP245" i="122"/>
  <c r="EQ245" i="122"/>
  <c r="FI257" i="122"/>
  <c r="EO257" i="122"/>
  <c r="ES261" i="122" s="1"/>
  <c r="AH39" i="122"/>
  <c r="AH38" i="122"/>
  <c r="ED388" i="122"/>
  <c r="JW1" i="122"/>
  <c r="JX6" i="122"/>
  <c r="GC245" i="122"/>
  <c r="GK245" i="122"/>
  <c r="GB251" i="122"/>
  <c r="EC132" i="122"/>
  <c r="EC87" i="122"/>
  <c r="EC389" i="122"/>
  <c r="EC344" i="122"/>
  <c r="ED344" i="122" s="1"/>
  <c r="JV55" i="122"/>
  <c r="AE42" i="122"/>
  <c r="E41" i="122"/>
  <c r="CD41" i="122"/>
  <c r="AX41" i="122"/>
  <c r="FL257" i="122" l="1"/>
  <c r="ER257" i="122"/>
  <c r="EQ251" i="122"/>
  <c r="EP251" i="122"/>
  <c r="ES245" i="122"/>
  <c r="EO247" i="122"/>
  <c r="ES239" i="122"/>
  <c r="EO241" i="122"/>
  <c r="FI263" i="122"/>
  <c r="EO263" i="122"/>
  <c r="AH40" i="122"/>
  <c r="JX1" i="122"/>
  <c r="ED389" i="122"/>
  <c r="JY6" i="122"/>
  <c r="GK251" i="122"/>
  <c r="GC251" i="122"/>
  <c r="GB257" i="122"/>
  <c r="EC88" i="122"/>
  <c r="EC133" i="122"/>
  <c r="EC345" i="122"/>
  <c r="ED345" i="122" s="1"/>
  <c r="EC390" i="122"/>
  <c r="E42" i="122"/>
  <c r="AX42" i="122"/>
  <c r="AE43" i="122"/>
  <c r="CD42" i="122"/>
  <c r="JW55" i="122"/>
  <c r="GQ5" i="122" l="1"/>
  <c r="FL263" i="122"/>
  <c r="ER263" i="122"/>
  <c r="EO253" i="122"/>
  <c r="ES251" i="122"/>
  <c r="EP257" i="122"/>
  <c r="EQ257" i="122"/>
  <c r="FI269" i="122"/>
  <c r="EO269" i="122"/>
  <c r="ES270" i="122" s="1"/>
  <c r="AH41" i="122"/>
  <c r="ED390" i="122"/>
  <c r="JY1" i="122"/>
  <c r="JZ6" i="122"/>
  <c r="GK257" i="122"/>
  <c r="GC257" i="122"/>
  <c r="GB263" i="122"/>
  <c r="EC89" i="122"/>
  <c r="EC134" i="122"/>
  <c r="EC346" i="122"/>
  <c r="ED346" i="122" s="1"/>
  <c r="EC391" i="122"/>
  <c r="AE44" i="122"/>
  <c r="E43" i="122"/>
  <c r="CD43" i="122"/>
  <c r="AX43" i="122"/>
  <c r="JX55" i="122"/>
  <c r="ER269" i="122" l="1"/>
  <c r="FL269" i="122"/>
  <c r="EP263" i="122"/>
  <c r="EQ263" i="122"/>
  <c r="EO259" i="122"/>
  <c r="ES257" i="122"/>
  <c r="EO275" i="122"/>
  <c r="FI275" i="122"/>
  <c r="AH42" i="122"/>
  <c r="ED391" i="122"/>
  <c r="JZ1" i="122"/>
  <c r="KA6" i="122"/>
  <c r="GC263" i="122"/>
  <c r="GK263" i="122"/>
  <c r="GB269" i="122"/>
  <c r="EC90" i="122"/>
  <c r="EC135" i="122"/>
  <c r="EC392" i="122"/>
  <c r="EC347" i="122"/>
  <c r="ED347" i="122" s="1"/>
  <c r="JY55" i="122"/>
  <c r="CD44" i="122"/>
  <c r="AX44" i="122"/>
  <c r="AE45" i="122"/>
  <c r="E44" i="122"/>
  <c r="GQ6" i="122" l="1"/>
  <c r="FL275" i="122"/>
  <c r="ER275" i="122"/>
  <c r="AH43" i="122"/>
  <c r="EP269" i="122"/>
  <c r="EQ269" i="122"/>
  <c r="ES263" i="122"/>
  <c r="EO265" i="122"/>
  <c r="FI281" i="122"/>
  <c r="EO281" i="122"/>
  <c r="ES285" i="122" s="1"/>
  <c r="ED392" i="122"/>
  <c r="KA1" i="122"/>
  <c r="KB6" i="122"/>
  <c r="GK269" i="122"/>
  <c r="GC269" i="122"/>
  <c r="GB275" i="122"/>
  <c r="EC136" i="122"/>
  <c r="EC91" i="122"/>
  <c r="EC393" i="122"/>
  <c r="EC348" i="122"/>
  <c r="ED348" i="122" s="1"/>
  <c r="CD45" i="122"/>
  <c r="AE46" i="122"/>
  <c r="E45" i="122"/>
  <c r="AX45" i="122"/>
  <c r="JZ55" i="122"/>
  <c r="HM5" i="122" l="1"/>
  <c r="HM4" i="122" s="1"/>
  <c r="GR42" i="122"/>
  <c r="FL281" i="122"/>
  <c r="ER281" i="122"/>
  <c r="AH44" i="122"/>
  <c r="EQ275" i="122"/>
  <c r="EP275" i="122"/>
  <c r="EO271" i="122"/>
  <c r="ES269" i="122"/>
  <c r="FI287" i="122"/>
  <c r="EO287" i="122"/>
  <c r="ED393" i="122"/>
  <c r="KB1" i="122"/>
  <c r="KC6" i="122"/>
  <c r="GC275" i="122"/>
  <c r="GK275" i="122"/>
  <c r="GB281" i="122"/>
  <c r="EC92" i="122"/>
  <c r="AE47" i="122"/>
  <c r="EC137" i="122"/>
  <c r="EC349" i="122"/>
  <c r="ED349" i="122" s="1"/>
  <c r="EC394" i="122"/>
  <c r="KA55" i="122"/>
  <c r="CD46" i="122"/>
  <c r="AX46" i="122"/>
  <c r="E46" i="122"/>
  <c r="HM6" i="122" l="1"/>
  <c r="GR5" i="122" s="1"/>
  <c r="ER287" i="122"/>
  <c r="FL287" i="122"/>
  <c r="AH45" i="122"/>
  <c r="EQ281" i="122"/>
  <c r="EP281" i="122"/>
  <c r="EO277" i="122"/>
  <c r="ES275" i="122"/>
  <c r="FI293" i="122"/>
  <c r="EO293" i="122"/>
  <c r="ED394" i="122"/>
  <c r="KC1" i="122"/>
  <c r="KD6" i="122"/>
  <c r="GB287" i="122"/>
  <c r="GK281" i="122"/>
  <c r="GC281" i="122"/>
  <c r="EC395" i="122"/>
  <c r="EC93" i="122"/>
  <c r="EC138" i="122"/>
  <c r="EC350" i="122"/>
  <c r="ED350" i="122" s="1"/>
  <c r="E47" i="122"/>
  <c r="AX47" i="122"/>
  <c r="CD47" i="122"/>
  <c r="KB55" i="122"/>
  <c r="GR39" i="122" l="1"/>
  <c r="GR6" i="122"/>
  <c r="GR4" i="122"/>
  <c r="GR11" i="122" s="1"/>
  <c r="GR46" i="122"/>
  <c r="GR44" i="122"/>
  <c r="GR47" i="122"/>
  <c r="GR45" i="122"/>
  <c r="GR43" i="122"/>
  <c r="GR36" i="122"/>
  <c r="GR7" i="122"/>
  <c r="GR41" i="122"/>
  <c r="ER293" i="122"/>
  <c r="FL293" i="122"/>
  <c r="AH46" i="122"/>
  <c r="EQ287" i="122"/>
  <c r="EP287" i="122"/>
  <c r="ES281" i="122"/>
  <c r="EO283" i="122"/>
  <c r="ED395" i="122"/>
  <c r="KD1" i="122"/>
  <c r="GB293" i="122"/>
  <c r="GK287" i="122"/>
  <c r="GC287" i="122"/>
  <c r="KC55" i="122"/>
  <c r="GR9" i="122" l="1"/>
  <c r="GR10" i="122"/>
  <c r="GR8" i="122"/>
  <c r="GR35" i="122"/>
  <c r="GR38" i="122"/>
  <c r="GR32" i="122"/>
  <c r="GR40" i="122"/>
  <c r="GR37" i="122"/>
  <c r="GR13" i="122"/>
  <c r="GR12" i="122"/>
  <c r="GR18" i="122"/>
  <c r="GR16" i="122"/>
  <c r="GR14" i="122"/>
  <c r="GR17" i="122"/>
  <c r="GR26" i="122"/>
  <c r="GR20" i="122"/>
  <c r="GR33" i="122"/>
  <c r="GR22" i="122"/>
  <c r="GR34" i="122"/>
  <c r="GR24" i="122"/>
  <c r="GR15" i="122"/>
  <c r="GR30" i="122"/>
  <c r="GR25" i="122"/>
  <c r="GR23" i="122"/>
  <c r="GR28" i="122"/>
  <c r="GR31" i="122"/>
  <c r="GR29" i="122"/>
  <c r="GR21" i="122"/>
  <c r="GR27" i="122"/>
  <c r="GR19" i="122"/>
  <c r="EO289" i="122"/>
  <c r="ES287" i="122"/>
  <c r="EV287" i="122"/>
  <c r="AH47" i="122"/>
  <c r="EP293" i="122"/>
  <c r="EQ293" i="122"/>
  <c r="GC293" i="122"/>
  <c r="GK293" i="122"/>
  <c r="KD55" i="122"/>
  <c r="AH6" i="122" l="1"/>
  <c r="ES293" i="122"/>
  <c r="EO295" i="122"/>
  <c r="EV293" i="122"/>
  <c r="EO290" i="122"/>
  <c r="EO296" i="122" l="1"/>
  <c r="V17" i="122" l="1"/>
  <c r="M42" i="122"/>
  <c r="N42" i="122" s="1"/>
  <c r="O42" i="122"/>
  <c r="P42" i="122" s="1"/>
  <c r="M43" i="122"/>
  <c r="N43" i="122" s="1"/>
  <c r="O43" i="122"/>
  <c r="P43" i="122" s="1"/>
  <c r="O44" i="122"/>
  <c r="P44" i="122" s="1"/>
  <c r="M44" i="122"/>
  <c r="N44" i="122" s="1"/>
  <c r="O45" i="122"/>
  <c r="P45" i="122" s="1"/>
  <c r="M45" i="122"/>
  <c r="N45" i="122" s="1"/>
  <c r="O46" i="122"/>
  <c r="P46" i="122" s="1"/>
  <c r="M46" i="122"/>
  <c r="N46" i="122" s="1"/>
  <c r="M47" i="122"/>
  <c r="N47" i="122" s="1"/>
  <c r="O47" i="122"/>
  <c r="P47" i="122" s="1"/>
  <c r="M37" i="122"/>
  <c r="N37" i="122" s="1"/>
  <c r="B45" i="129" s="1"/>
  <c r="O37" i="122"/>
  <c r="P37" i="122" s="1"/>
  <c r="M38" i="122"/>
  <c r="N38" i="122" s="1"/>
  <c r="O38" i="122"/>
  <c r="P38" i="122" s="1"/>
  <c r="O39" i="122"/>
  <c r="P39" i="122" s="1"/>
  <c r="M39" i="122"/>
  <c r="N39" i="122" s="1"/>
  <c r="O40" i="122"/>
  <c r="P40" i="122" s="1"/>
  <c r="M40" i="122"/>
  <c r="N40" i="122" s="1"/>
  <c r="O41" i="122"/>
  <c r="P41" i="122" s="1"/>
  <c r="M41" i="122"/>
  <c r="N41" i="122" s="1"/>
  <c r="M31" i="122"/>
  <c r="N31" i="122" s="1"/>
  <c r="O31" i="122"/>
  <c r="P31" i="122" s="1"/>
  <c r="M32" i="122"/>
  <c r="N32" i="122" s="1"/>
  <c r="O32" i="122"/>
  <c r="P32" i="122" s="1"/>
  <c r="O33" i="122"/>
  <c r="P33" i="122" s="1"/>
  <c r="M33" i="122"/>
  <c r="N33" i="122" s="1"/>
  <c r="M34" i="122"/>
  <c r="N34" i="122" s="1"/>
  <c r="O34" i="122"/>
  <c r="P34" i="122" s="1"/>
  <c r="M35" i="122"/>
  <c r="N35" i="122" s="1"/>
  <c r="O35" i="122"/>
  <c r="P35" i="122" s="1"/>
  <c r="O36" i="122"/>
  <c r="P36" i="122" s="1"/>
  <c r="M36" i="122"/>
  <c r="N36" i="122" s="1"/>
  <c r="V13" i="122"/>
  <c r="M7" i="122"/>
  <c r="N7" i="122" s="1"/>
  <c r="O7" i="122"/>
  <c r="P7" i="122" s="1"/>
  <c r="M8" i="122"/>
  <c r="N8" i="122" s="1"/>
  <c r="O8" i="122"/>
  <c r="P8" i="122" s="1"/>
  <c r="M9" i="122"/>
  <c r="N9" i="122" s="1"/>
  <c r="O9" i="122"/>
  <c r="P9" i="122" s="1"/>
  <c r="M10" i="122"/>
  <c r="N10" i="122" s="1"/>
  <c r="O10" i="122"/>
  <c r="P10" i="122" s="1"/>
  <c r="M11" i="122"/>
  <c r="N11" i="122" s="1"/>
  <c r="O11" i="122"/>
  <c r="P11" i="122" s="1"/>
  <c r="O12" i="122"/>
  <c r="P12" i="122" s="1"/>
  <c r="M12" i="122"/>
  <c r="N12" i="122" s="1"/>
  <c r="M13" i="122"/>
  <c r="N13" i="122" s="1"/>
  <c r="O13" i="122"/>
  <c r="P13" i="122" s="1"/>
  <c r="M14" i="122"/>
  <c r="N14" i="122" s="1"/>
  <c r="O14" i="122"/>
  <c r="P14" i="122" s="1"/>
  <c r="O15" i="122"/>
  <c r="P15" i="122" s="1"/>
  <c r="M15" i="122"/>
  <c r="N15" i="122" s="1"/>
  <c r="M16" i="122"/>
  <c r="N16" i="122" s="1"/>
  <c r="O16" i="122"/>
  <c r="P16" i="122" s="1"/>
  <c r="O17" i="122"/>
  <c r="P17" i="122" s="1"/>
  <c r="S25" i="129" s="1"/>
  <c r="M17" i="122"/>
  <c r="N17" i="122" s="1"/>
  <c r="M18" i="122"/>
  <c r="N18" i="122" s="1"/>
  <c r="O18" i="122"/>
  <c r="P18" i="122" s="1"/>
  <c r="S26" i="129" s="1"/>
  <c r="M19" i="122"/>
  <c r="N19" i="122" s="1"/>
  <c r="O19" i="122"/>
  <c r="P19" i="122" s="1"/>
  <c r="S27" i="129" s="1"/>
  <c r="O20" i="122"/>
  <c r="P20" i="122" s="1"/>
  <c r="S28" i="129" s="1"/>
  <c r="M20" i="122"/>
  <c r="N20" i="122" s="1"/>
  <c r="O21" i="122"/>
  <c r="P21" i="122" s="1"/>
  <c r="S29" i="129" s="1"/>
  <c r="M21" i="122"/>
  <c r="N21" i="122" s="1"/>
  <c r="O22" i="122"/>
  <c r="P22" i="122" s="1"/>
  <c r="S30" i="129" s="1"/>
  <c r="M22" i="122"/>
  <c r="N22" i="122" s="1"/>
  <c r="M23" i="122"/>
  <c r="N23" i="122" s="1"/>
  <c r="O23" i="122"/>
  <c r="P23" i="122" s="1"/>
  <c r="S31" i="129" s="1"/>
  <c r="O24" i="122"/>
  <c r="P24" i="122" s="1"/>
  <c r="S32" i="129" s="1"/>
  <c r="M24" i="122"/>
  <c r="N24" i="122" s="1"/>
  <c r="O25" i="122"/>
  <c r="P25" i="122" s="1"/>
  <c r="S33" i="129" s="1"/>
  <c r="M25" i="122"/>
  <c r="N25" i="122" s="1"/>
  <c r="O26" i="122"/>
  <c r="P26" i="122" s="1"/>
  <c r="M26" i="122"/>
  <c r="N26" i="122" s="1"/>
  <c r="M27" i="122"/>
  <c r="N27" i="122" s="1"/>
  <c r="O27" i="122"/>
  <c r="P27" i="122" s="1"/>
  <c r="O28" i="122"/>
  <c r="P28" i="122" s="1"/>
  <c r="M28" i="122"/>
  <c r="N28" i="122" s="1"/>
  <c r="O29" i="122"/>
  <c r="P29" i="122" s="1"/>
  <c r="M29" i="122"/>
  <c r="N29" i="122" s="1"/>
  <c r="M30" i="122"/>
  <c r="N30" i="122" s="1"/>
  <c r="O30" i="122"/>
  <c r="P30" i="122" s="1"/>
  <c r="Q45" i="129" l="1"/>
  <c r="AH45" i="129"/>
  <c r="B19" i="129"/>
  <c r="B20" i="129"/>
  <c r="B54" i="129"/>
  <c r="B55" i="129"/>
  <c r="B53" i="129"/>
  <c r="B52" i="129"/>
  <c r="B51" i="129"/>
  <c r="S37" i="129"/>
  <c r="B21" i="129"/>
  <c r="B17" i="129"/>
  <c r="B15" i="129"/>
  <c r="B41" i="129"/>
  <c r="S46" i="129"/>
  <c r="B37" i="129"/>
  <c r="B33" i="129"/>
  <c r="B29" i="129"/>
  <c r="B25" i="129"/>
  <c r="S21" i="129"/>
  <c r="S17" i="129"/>
  <c r="S44" i="129"/>
  <c r="B40" i="129"/>
  <c r="S47" i="129"/>
  <c r="B50" i="129"/>
  <c r="S36" i="129"/>
  <c r="S34" i="129"/>
  <c r="B26" i="129"/>
  <c r="B24" i="129"/>
  <c r="B22" i="129"/>
  <c r="S20" i="129"/>
  <c r="B18" i="129"/>
  <c r="B16" i="129"/>
  <c r="B44" i="129"/>
  <c r="S42" i="129"/>
  <c r="S40" i="129"/>
  <c r="B49" i="129"/>
  <c r="B47" i="129"/>
  <c r="S45" i="129"/>
  <c r="S50" i="129"/>
  <c r="B35" i="129"/>
  <c r="B31" i="129"/>
  <c r="B27" i="129"/>
  <c r="S23" i="129"/>
  <c r="S43" i="129"/>
  <c r="S39" i="129"/>
  <c r="B48" i="129"/>
  <c r="S55" i="129"/>
  <c r="S51" i="129"/>
  <c r="S35" i="129"/>
  <c r="B23" i="129"/>
  <c r="S19" i="129"/>
  <c r="S15" i="129"/>
  <c r="B42" i="129"/>
  <c r="S49" i="129"/>
  <c r="S54" i="129"/>
  <c r="S52" i="129"/>
  <c r="B38" i="129"/>
  <c r="S38" i="129"/>
  <c r="B36" i="129"/>
  <c r="B34" i="129"/>
  <c r="B32" i="129"/>
  <c r="B30" i="129"/>
  <c r="B28" i="129"/>
  <c r="S24" i="129"/>
  <c r="S22" i="129"/>
  <c r="S18" i="129"/>
  <c r="S16" i="129"/>
  <c r="B43" i="129"/>
  <c r="S41" i="129"/>
  <c r="B39" i="129"/>
  <c r="S48" i="129"/>
  <c r="B46" i="129"/>
  <c r="S53" i="129"/>
  <c r="C40" i="122"/>
  <c r="D41" i="122"/>
  <c r="C37" i="122"/>
  <c r="D40" i="122"/>
  <c r="C38" i="122"/>
  <c r="D38" i="122"/>
  <c r="D39" i="122"/>
  <c r="C41" i="122"/>
  <c r="C39" i="122"/>
  <c r="D37" i="122"/>
  <c r="C47" i="122"/>
  <c r="D45" i="122"/>
  <c r="C43" i="122"/>
  <c r="D47" i="122"/>
  <c r="C45" i="122"/>
  <c r="D43" i="122"/>
  <c r="D46" i="122"/>
  <c r="D44" i="122"/>
  <c r="C42" i="122"/>
  <c r="C46" i="122"/>
  <c r="C44" i="122"/>
  <c r="D42" i="122"/>
  <c r="C34" i="122"/>
  <c r="D34" i="122"/>
  <c r="D33" i="122"/>
  <c r="C33" i="122"/>
  <c r="D29" i="122"/>
  <c r="C27" i="122"/>
  <c r="D25" i="122"/>
  <c r="C23" i="122"/>
  <c r="D21" i="122"/>
  <c r="C19" i="122"/>
  <c r="D17" i="122"/>
  <c r="D15" i="122"/>
  <c r="C13" i="122"/>
  <c r="C11" i="122"/>
  <c r="C9" i="122"/>
  <c r="C7" i="122"/>
  <c r="D31" i="122"/>
  <c r="C29" i="122"/>
  <c r="D27" i="122"/>
  <c r="C25" i="122"/>
  <c r="D23" i="122"/>
  <c r="C21" i="122"/>
  <c r="D19" i="122"/>
  <c r="C17" i="122"/>
  <c r="C15" i="122"/>
  <c r="D13" i="122"/>
  <c r="D11" i="122"/>
  <c r="D9" i="122"/>
  <c r="D7" i="122"/>
  <c r="C32" i="122"/>
  <c r="C30" i="122"/>
  <c r="D28" i="122"/>
  <c r="D26" i="122"/>
  <c r="D24" i="122"/>
  <c r="D22" i="122"/>
  <c r="D20" i="122"/>
  <c r="C18" i="122"/>
  <c r="C16" i="122"/>
  <c r="C14" i="122"/>
  <c r="D12" i="122"/>
  <c r="C10" i="122"/>
  <c r="C8" i="122"/>
  <c r="D32" i="122"/>
  <c r="D30" i="122"/>
  <c r="C28" i="122"/>
  <c r="C26" i="122"/>
  <c r="C24" i="122"/>
  <c r="C22" i="122"/>
  <c r="C20" i="122"/>
  <c r="D18" i="122"/>
  <c r="D16" i="122"/>
  <c r="D14" i="122"/>
  <c r="C12" i="122"/>
  <c r="D10" i="122"/>
  <c r="D8" i="122"/>
  <c r="C31" i="122"/>
  <c r="BM1" i="122"/>
  <c r="D35" i="122"/>
  <c r="D36" i="122"/>
  <c r="C36" i="122"/>
  <c r="C35" i="122"/>
  <c r="AP1" i="55"/>
  <c r="AN1" i="55"/>
  <c r="AH28" i="129" l="1"/>
  <c r="Q28" i="129"/>
  <c r="AH18" i="129"/>
  <c r="Q18" i="129"/>
  <c r="Q37" i="129"/>
  <c r="AH37" i="129"/>
  <c r="AH39" i="129"/>
  <c r="Q39" i="129"/>
  <c r="AH30" i="129"/>
  <c r="Q30" i="129"/>
  <c r="AH40" i="129"/>
  <c r="Q40" i="129"/>
  <c r="Q32" i="129"/>
  <c r="AH32" i="129"/>
  <c r="AH42" i="129"/>
  <c r="Q42" i="129"/>
  <c r="AH22" i="129"/>
  <c r="Q22" i="129"/>
  <c r="AH41" i="129"/>
  <c r="Q41" i="129"/>
  <c r="Q43" i="129"/>
  <c r="AH43" i="129"/>
  <c r="AH34" i="129"/>
  <c r="Q34" i="129"/>
  <c r="AH24" i="129"/>
  <c r="Q24" i="129"/>
  <c r="Q15" i="129"/>
  <c r="AH15" i="129"/>
  <c r="AH36" i="129"/>
  <c r="Q36" i="129"/>
  <c r="AH26" i="129"/>
  <c r="Q26" i="129"/>
  <c r="Q17" i="129"/>
  <c r="AH17" i="129"/>
  <c r="Q20" i="129"/>
  <c r="AH20" i="129"/>
  <c r="AH23" i="129"/>
  <c r="Q23" i="129"/>
  <c r="AH27" i="129"/>
  <c r="Q27" i="129"/>
  <c r="Q25" i="129"/>
  <c r="AH25" i="129"/>
  <c r="Q21" i="129"/>
  <c r="AH21" i="129"/>
  <c r="AH19" i="129"/>
  <c r="Q19" i="129"/>
  <c r="AH38" i="129"/>
  <c r="Q38" i="129"/>
  <c r="AH31" i="129"/>
  <c r="Q31" i="129"/>
  <c r="AH44" i="129"/>
  <c r="Q44" i="129"/>
  <c r="AH29" i="129"/>
  <c r="Q29" i="129"/>
  <c r="AH35" i="129"/>
  <c r="Q35" i="129"/>
  <c r="AH16" i="129"/>
  <c r="Q16" i="129"/>
  <c r="AH33" i="129"/>
  <c r="Q33" i="129"/>
  <c r="CC21" i="122"/>
  <c r="CC18" i="122"/>
  <c r="CC23" i="122"/>
  <c r="BI47" i="122"/>
  <c r="CC9" i="122"/>
  <c r="FE46" i="122"/>
  <c r="BB46" i="122"/>
  <c r="FX47" i="122"/>
  <c r="FE47" i="122"/>
  <c r="FX46" i="122"/>
  <c r="FD47" i="122"/>
  <c r="FD46" i="122"/>
  <c r="CE46" i="122"/>
  <c r="FZ46" i="122"/>
  <c r="CC47" i="122"/>
  <c r="FY47" i="122"/>
  <c r="BI46" i="122"/>
  <c r="CE47" i="122"/>
  <c r="AZ47" i="122"/>
  <c r="AZ46" i="122"/>
  <c r="CC46" i="122"/>
  <c r="BK47" i="122"/>
  <c r="FZ47" i="122"/>
  <c r="BB47" i="122"/>
  <c r="BK46" i="122"/>
  <c r="FY46" i="122"/>
  <c r="CC7" i="122"/>
  <c r="CE8" i="122"/>
  <c r="BB20" i="122"/>
  <c r="FZ44" i="122"/>
  <c r="BB43" i="122"/>
  <c r="BI45" i="122"/>
  <c r="CC44" i="122"/>
  <c r="FX44" i="122"/>
  <c r="FD45" i="122"/>
  <c r="CE43" i="122"/>
  <c r="BK45" i="122"/>
  <c r="CE44" i="122"/>
  <c r="FE45" i="122"/>
  <c r="AZ43" i="122"/>
  <c r="FD43" i="122"/>
  <c r="FX45" i="122"/>
  <c r="FX43" i="122"/>
  <c r="AZ44" i="122"/>
  <c r="FE44" i="122"/>
  <c r="BK44" i="122"/>
  <c r="FY44" i="122"/>
  <c r="AZ45" i="122"/>
  <c r="BI43" i="122"/>
  <c r="FY43" i="122"/>
  <c r="FD44" i="122"/>
  <c r="CC45" i="122"/>
  <c r="BI8" i="122"/>
  <c r="FE43" i="122"/>
  <c r="FZ45" i="122"/>
  <c r="FZ43" i="122"/>
  <c r="BI44" i="122"/>
  <c r="BB45" i="122"/>
  <c r="FZ33" i="122"/>
  <c r="FY10" i="122"/>
  <c r="CC43" i="122"/>
  <c r="FY45" i="122"/>
  <c r="BK43" i="122"/>
  <c r="BB44" i="122"/>
  <c r="CE45" i="122"/>
  <c r="FY16" i="122"/>
  <c r="FZ40" i="122"/>
  <c r="BB35" i="122"/>
  <c r="BK16" i="122"/>
  <c r="FW29" i="122"/>
  <c r="FD8" i="122"/>
  <c r="CE7" i="122"/>
  <c r="BB9" i="122"/>
  <c r="FW45" i="122"/>
  <c r="FW40" i="122"/>
  <c r="BB31" i="122"/>
  <c r="FE35" i="122"/>
  <c r="FZ8" i="122"/>
  <c r="FD12" i="122"/>
  <c r="BI18" i="122"/>
  <c r="AZ22" i="122"/>
  <c r="BI7" i="122"/>
  <c r="BB8" i="122"/>
  <c r="BB10" i="122"/>
  <c r="FE36" i="122"/>
  <c r="CC38" i="122"/>
  <c r="FW41" i="122"/>
  <c r="FD15" i="122"/>
  <c r="FE7" i="122"/>
  <c r="FE31" i="122"/>
  <c r="FY14" i="122"/>
  <c r="CC40" i="122"/>
  <c r="CE11" i="122"/>
  <c r="CC33" i="122"/>
  <c r="AZ10" i="122"/>
  <c r="AZ7" i="122"/>
  <c r="FD7" i="122"/>
  <c r="AZ9" i="122"/>
  <c r="BI30" i="122"/>
  <c r="FD30" i="122"/>
  <c r="BI41" i="122"/>
  <c r="AZ34" i="122"/>
  <c r="BK11" i="122"/>
  <c r="CE40" i="122"/>
  <c r="FW31" i="122"/>
  <c r="FW35" i="122"/>
  <c r="FX15" i="122"/>
  <c r="CE19" i="122"/>
  <c r="CE23" i="122"/>
  <c r="BB27" i="122"/>
  <c r="CE39" i="122"/>
  <c r="CE41" i="122"/>
  <c r="CE36" i="122"/>
  <c r="BK12" i="122"/>
  <c r="FY12" i="122"/>
  <c r="CC16" i="122"/>
  <c r="BI20" i="122"/>
  <c r="FX22" i="122"/>
  <c r="FX24" i="122"/>
  <c r="FY26" i="122"/>
  <c r="BI28" i="122"/>
  <c r="CE42" i="122"/>
  <c r="BI9" i="122"/>
  <c r="FY13" i="122"/>
  <c r="BK13" i="122"/>
  <c r="BB21" i="122"/>
  <c r="FD25" i="122"/>
  <c r="CE29" i="122"/>
  <c r="CE33" i="122"/>
  <c r="FD13" i="122"/>
  <c r="BI21" i="122"/>
  <c r="FY25" i="122"/>
  <c r="FE38" i="122"/>
  <c r="FX40" i="122"/>
  <c r="FD31" i="122"/>
  <c r="FY33" i="122"/>
  <c r="BK33" i="122"/>
  <c r="FX8" i="122"/>
  <c r="FZ10" i="122"/>
  <c r="FE12" i="122"/>
  <c r="FW16" i="122"/>
  <c r="CE20" i="122"/>
  <c r="FE24" i="122"/>
  <c r="FE26" i="122"/>
  <c r="FD28" i="122"/>
  <c r="BK30" i="122"/>
  <c r="BB30" i="122"/>
  <c r="FW44" i="122"/>
  <c r="FD37" i="122"/>
  <c r="FX11" i="122"/>
  <c r="CC15" i="122"/>
  <c r="FX19" i="122"/>
  <c r="BK23" i="122"/>
  <c r="FZ27" i="122"/>
  <c r="FY31" i="122"/>
  <c r="AZ11" i="122"/>
  <c r="FW15" i="122"/>
  <c r="FD19" i="122"/>
  <c r="FE23" i="122"/>
  <c r="BI42" i="122"/>
  <c r="FX37" i="122"/>
  <c r="FE39" i="122"/>
  <c r="FY32" i="122"/>
  <c r="FY34" i="122"/>
  <c r="FZ34" i="122"/>
  <c r="CC10" i="122"/>
  <c r="FW12" i="122"/>
  <c r="BB14" i="122"/>
  <c r="AZ16" i="122"/>
  <c r="FX20" i="122"/>
  <c r="BK22" i="122"/>
  <c r="FD42" i="122"/>
  <c r="FY39" i="122"/>
  <c r="AZ32" i="122"/>
  <c r="FW36" i="122"/>
  <c r="FW9" i="122"/>
  <c r="AZ17" i="122"/>
  <c r="BB17" i="122"/>
  <c r="FD21" i="122"/>
  <c r="CE25" i="122"/>
  <c r="FE33" i="122"/>
  <c r="FE9" i="122"/>
  <c r="CE13" i="122"/>
  <c r="FZ17" i="122"/>
  <c r="BI25" i="122"/>
  <c r="FW25" i="122"/>
  <c r="BK29" i="122"/>
  <c r="FD38" i="122"/>
  <c r="BB38" i="122"/>
  <c r="BK40" i="122"/>
  <c r="AZ31" i="122"/>
  <c r="CC31" i="122"/>
  <c r="BI33" i="122"/>
  <c r="FX33" i="122"/>
  <c r="CE35" i="122"/>
  <c r="BK8" i="122"/>
  <c r="FY8" i="122"/>
  <c r="BI10" i="122"/>
  <c r="BB12" i="122"/>
  <c r="BI14" i="122"/>
  <c r="BI16" i="122"/>
  <c r="FZ16" i="122"/>
  <c r="FY18" i="122"/>
  <c r="FD20" i="122"/>
  <c r="CE22" i="122"/>
  <c r="BB24" i="122"/>
  <c r="AZ26" i="122"/>
  <c r="BB26" i="122"/>
  <c r="AZ28" i="122"/>
  <c r="FY30" i="122"/>
  <c r="CC30" i="122"/>
  <c r="CE37" i="122"/>
  <c r="FX41" i="122"/>
  <c r="FZ41" i="122"/>
  <c r="CE34" i="122"/>
  <c r="FX7" i="122"/>
  <c r="FZ7" i="122"/>
  <c r="FW11" i="122"/>
  <c r="CE15" i="122"/>
  <c r="FW19" i="122"/>
  <c r="BI23" i="122"/>
  <c r="FW23" i="122"/>
  <c r="BK27" i="122"/>
  <c r="FD40" i="122"/>
  <c r="BB40" i="122"/>
  <c r="BI31" i="122"/>
  <c r="BK31" i="122"/>
  <c r="FY35" i="122"/>
  <c r="FZ35" i="122"/>
  <c r="FD11" i="122"/>
  <c r="BB11" i="122"/>
  <c r="FY15" i="122"/>
  <c r="FZ15" i="122"/>
  <c r="FE19" i="122"/>
  <c r="BB19" i="122"/>
  <c r="FD23" i="122"/>
  <c r="CE27" i="122"/>
  <c r="FX42" i="122"/>
  <c r="BK42" i="122"/>
  <c r="FY37" i="122"/>
  <c r="BK37" i="122"/>
  <c r="FD39" i="122"/>
  <c r="BB41" i="122"/>
  <c r="FW32" i="122"/>
  <c r="FW34" i="122"/>
  <c r="BB36" i="122"/>
  <c r="CC36" i="122"/>
  <c r="CC8" i="122"/>
  <c r="AZ8" i="122"/>
  <c r="CE10" i="122"/>
  <c r="BI12" i="122"/>
  <c r="CC14" i="122"/>
  <c r="BB16" i="122"/>
  <c r="FE16" i="122"/>
  <c r="FD18" i="122"/>
  <c r="FE18" i="122"/>
  <c r="BK20" i="122"/>
  <c r="FY20" i="122"/>
  <c r="FY22" i="122"/>
  <c r="FZ22" i="122"/>
  <c r="FY24" i="122"/>
  <c r="BI26" i="122"/>
  <c r="FX26" i="122"/>
  <c r="BK28" i="122"/>
  <c r="FY28" i="122"/>
  <c r="AZ42" i="122"/>
  <c r="BB42" i="122"/>
  <c r="BK39" i="122"/>
  <c r="BB32" i="122"/>
  <c r="BI36" i="122"/>
  <c r="FX36" i="122"/>
  <c r="FZ9" i="122"/>
  <c r="FW13" i="122"/>
  <c r="FD17" i="122"/>
  <c r="CC17" i="122"/>
  <c r="CE21" i="122"/>
  <c r="FE25" i="122"/>
  <c r="AZ29" i="122"/>
  <c r="BB29" i="122"/>
  <c r="BI38" i="122"/>
  <c r="FX38" i="122"/>
  <c r="AZ33" i="122"/>
  <c r="BB33" i="122"/>
  <c r="FD9" i="122"/>
  <c r="CE9" i="122"/>
  <c r="FE13" i="122"/>
  <c r="FY17" i="122"/>
  <c r="BK17" i="122"/>
  <c r="FZ21" i="122"/>
  <c r="BI29" i="122"/>
  <c r="FX29" i="122"/>
  <c r="FE48" i="122"/>
  <c r="FD48" i="122"/>
  <c r="BB22" i="122"/>
  <c r="FD24" i="122"/>
  <c r="CE26" i="122"/>
  <c r="CC28" i="122"/>
  <c r="FE30" i="122"/>
  <c r="BB37" i="122"/>
  <c r="BB34" i="122"/>
  <c r="BI19" i="122"/>
  <c r="BK19" i="122"/>
  <c r="FY23" i="122"/>
  <c r="FZ23" i="122"/>
  <c r="FX27" i="122"/>
  <c r="FE27" i="122"/>
  <c r="FW42" i="122"/>
  <c r="FZ42" i="122"/>
  <c r="FX32" i="122"/>
  <c r="FZ32" i="122"/>
  <c r="BK34" i="122"/>
  <c r="FD36" i="122"/>
  <c r="FD14" i="122"/>
  <c r="FE14" i="122"/>
  <c r="FD16" i="122"/>
  <c r="BI22" i="122"/>
  <c r="BI24" i="122"/>
  <c r="FZ26" i="122"/>
  <c r="FX39" i="122"/>
  <c r="FD32" i="122"/>
  <c r="FY36" i="122"/>
  <c r="FX9" i="122"/>
  <c r="FE17" i="122"/>
  <c r="AZ21" i="122"/>
  <c r="CC25" i="122"/>
  <c r="FY38" i="122"/>
  <c r="FZ38" i="122"/>
  <c r="CC13" i="122"/>
  <c r="FW17" i="122"/>
  <c r="FX21" i="122"/>
  <c r="BK25" i="122"/>
  <c r="FZ29" i="122"/>
  <c r="CE38" i="122"/>
  <c r="BI40" i="122"/>
  <c r="CC35" i="122"/>
  <c r="FW10" i="122"/>
  <c r="AZ12" i="122"/>
  <c r="FW14" i="122"/>
  <c r="FZ14" i="122"/>
  <c r="FX18" i="122"/>
  <c r="BK18" i="122"/>
  <c r="CC20" i="122"/>
  <c r="CC22" i="122"/>
  <c r="AZ24" i="122"/>
  <c r="FD26" i="122"/>
  <c r="CE28" i="122"/>
  <c r="FX30" i="122"/>
  <c r="AZ30" i="122"/>
  <c r="AZ37" i="122"/>
  <c r="CC37" i="122"/>
  <c r="CC34" i="122"/>
  <c r="FW7" i="122"/>
  <c r="BI11" i="122"/>
  <c r="AZ15" i="122"/>
  <c r="FY27" i="122"/>
  <c r="FW47" i="122"/>
  <c r="FE40" i="122"/>
  <c r="FZ31" i="122"/>
  <c r="FX35" i="122"/>
  <c r="FE11" i="122"/>
  <c r="AZ19" i="122"/>
  <c r="BB23" i="122"/>
  <c r="CC27" i="122"/>
  <c r="FZ37" i="122"/>
  <c r="BB39" i="122"/>
  <c r="FE41" i="122"/>
  <c r="BK32" i="122"/>
  <c r="AZ36" i="122"/>
  <c r="FE10" i="122"/>
  <c r="AZ14" i="122"/>
  <c r="CE18" i="122"/>
  <c r="FZ20" i="122"/>
  <c r="BK24" i="122"/>
  <c r="FW26" i="122"/>
  <c r="FX28" i="122"/>
  <c r="FZ28" i="122"/>
  <c r="FZ39" i="122"/>
  <c r="FE32" i="122"/>
  <c r="FZ36" i="122"/>
  <c r="BI13" i="122"/>
  <c r="FX13" i="122"/>
  <c r="FE29" i="122"/>
  <c r="FW38" i="122"/>
  <c r="FW21" i="122"/>
  <c r="FY29" i="122"/>
  <c r="AZ38" i="122"/>
  <c r="FY40" i="122"/>
  <c r="CE31" i="122"/>
  <c r="FW33" i="122"/>
  <c r="AZ35" i="122"/>
  <c r="FD35" i="122"/>
  <c r="FW8" i="122"/>
  <c r="FX10" i="122"/>
  <c r="BK10" i="122"/>
  <c r="CE12" i="122"/>
  <c r="CC12" i="122"/>
  <c r="FX14" i="122"/>
  <c r="BK14" i="122"/>
  <c r="FX16" i="122"/>
  <c r="FW18" i="122"/>
  <c r="FZ18" i="122"/>
  <c r="AZ20" i="122"/>
  <c r="FE20" i="122"/>
  <c r="FD22" i="122"/>
  <c r="FE22" i="122"/>
  <c r="CC24" i="122"/>
  <c r="CE24" i="122"/>
  <c r="CC26" i="122"/>
  <c r="BB28" i="122"/>
  <c r="FE28" i="122"/>
  <c r="FW30" i="122"/>
  <c r="FZ30" i="122"/>
  <c r="CE30" i="122"/>
  <c r="FW46" i="122"/>
  <c r="FE37" i="122"/>
  <c r="FY41" i="122"/>
  <c r="BK41" i="122"/>
  <c r="FD34" i="122"/>
  <c r="FE34" i="122"/>
  <c r="FY7" i="122"/>
  <c r="BK7" i="122"/>
  <c r="FY11" i="122"/>
  <c r="FZ11" i="122"/>
  <c r="FE15" i="122"/>
  <c r="BB15" i="122"/>
  <c r="FY19" i="122"/>
  <c r="FZ19" i="122"/>
  <c r="FX23" i="122"/>
  <c r="BI27" i="122"/>
  <c r="FW27" i="122"/>
  <c r="FW43" i="122"/>
  <c r="AZ40" i="122"/>
  <c r="FX31" i="122"/>
  <c r="BI35" i="122"/>
  <c r="BK35" i="122"/>
  <c r="CC11" i="122"/>
  <c r="BI15" i="122"/>
  <c r="BK15" i="122"/>
  <c r="CC19" i="122"/>
  <c r="AZ23" i="122"/>
  <c r="AZ27" i="122"/>
  <c r="FD27" i="122"/>
  <c r="FY42" i="122"/>
  <c r="BI37" i="122"/>
  <c r="FW37" i="122"/>
  <c r="AZ39" i="122"/>
  <c r="CC39" i="122"/>
  <c r="AZ41" i="122"/>
  <c r="FD41" i="122"/>
  <c r="CC41" i="122"/>
  <c r="BI32" i="122"/>
  <c r="BI34" i="122"/>
  <c r="FX34" i="122"/>
  <c r="FE8" i="122"/>
  <c r="FD10" i="122"/>
  <c r="FX12" i="122"/>
  <c r="FZ12" i="122"/>
  <c r="CE14" i="122"/>
  <c r="CE16" i="122"/>
  <c r="AZ18" i="122"/>
  <c r="BB18" i="122"/>
  <c r="FW20" i="122"/>
  <c r="FW22" i="122"/>
  <c r="FW24" i="122"/>
  <c r="FZ24" i="122"/>
  <c r="BK26" i="122"/>
  <c r="FW28" i="122"/>
  <c r="FE42" i="122"/>
  <c r="CC42" i="122"/>
  <c r="BI39" i="122"/>
  <c r="FW39" i="122"/>
  <c r="CC32" i="122"/>
  <c r="CE32" i="122"/>
  <c r="BK36" i="122"/>
  <c r="FY9" i="122"/>
  <c r="BK9" i="122"/>
  <c r="FZ13" i="122"/>
  <c r="CE17" i="122"/>
  <c r="FE21" i="122"/>
  <c r="AZ25" i="122"/>
  <c r="BB25" i="122"/>
  <c r="FD29" i="122"/>
  <c r="CC29" i="122"/>
  <c r="BK38" i="122"/>
  <c r="FD33" i="122"/>
  <c r="BB7" i="122"/>
  <c r="AZ13" i="122"/>
  <c r="BB13" i="122"/>
  <c r="BI17" i="122"/>
  <c r="FX17" i="122"/>
  <c r="FY21" i="122"/>
  <c r="BK21" i="122"/>
  <c r="FX25" i="122"/>
  <c r="FZ25" i="122"/>
  <c r="C8" i="127"/>
  <c r="C9" i="127"/>
  <c r="C7" i="127"/>
  <c r="GP6" i="122"/>
  <c r="GP5" i="122"/>
  <c r="GP4" i="122"/>
  <c r="BJ1" i="122"/>
  <c r="FB47" i="122"/>
  <c r="FC45" i="122"/>
  <c r="FB46" i="122"/>
  <c r="FC42" i="122"/>
  <c r="FB45" i="122"/>
  <c r="FC46" i="122"/>
  <c r="FC44" i="122"/>
  <c r="FB44" i="122"/>
  <c r="FB42" i="122"/>
  <c r="FB43" i="122"/>
  <c r="FC47" i="122"/>
  <c r="FC43" i="122"/>
  <c r="C10" i="127" l="1"/>
  <c r="EV75" i="122"/>
  <c r="EV303" i="122"/>
  <c r="Q1" i="65"/>
  <c r="EV281" i="122" l="1"/>
  <c r="FP194" i="122"/>
  <c r="FP200" i="122"/>
  <c r="EV283" i="122"/>
  <c r="EV271" i="122"/>
  <c r="FP201" i="122"/>
  <c r="EV284" i="122"/>
  <c r="EV272" i="122"/>
  <c r="FP198" i="122"/>
  <c r="FP210" i="122"/>
  <c r="FP222" i="122"/>
  <c r="EV254" i="122"/>
  <c r="EV282" i="122"/>
  <c r="EV285" i="122"/>
  <c r="EV263" i="122"/>
  <c r="EV235" i="122"/>
  <c r="EV259" i="122"/>
  <c r="EV267" i="122"/>
  <c r="EV247" i="122"/>
  <c r="EV248" i="122"/>
  <c r="FP213" i="122"/>
  <c r="FP237" i="122"/>
  <c r="EV241" i="122"/>
  <c r="FP231" i="122"/>
  <c r="EV255" i="122"/>
  <c r="EV260" i="122"/>
  <c r="FP206" i="122"/>
  <c r="EV236" i="122"/>
  <c r="EV243" i="122"/>
  <c r="EV242" i="122"/>
  <c r="FP216" i="122"/>
  <c r="FP204" i="122"/>
  <c r="FP207" i="122"/>
  <c r="FP186" i="122"/>
  <c r="EV252" i="122"/>
  <c r="EV105" i="122"/>
  <c r="EV86" i="122"/>
  <c r="EV87" i="122"/>
  <c r="EV123" i="122"/>
  <c r="EV84" i="122"/>
  <c r="FP87" i="122"/>
  <c r="FP84" i="122"/>
  <c r="EV83" i="122"/>
  <c r="C12" i="127"/>
  <c r="G12" i="127" s="1"/>
  <c r="FP99" i="122"/>
  <c r="EV128" i="122"/>
  <c r="EV111" i="122"/>
  <c r="FP111" i="122"/>
  <c r="EV110" i="122"/>
  <c r="EV99" i="122"/>
  <c r="EV97" i="122"/>
  <c r="EV223" i="122"/>
  <c r="EV141" i="122"/>
  <c r="FP163" i="122"/>
  <c r="FP162" i="122"/>
  <c r="FP195" i="122"/>
  <c r="FP105" i="122"/>
  <c r="EV117" i="122"/>
  <c r="FP183" i="122"/>
  <c r="EV205" i="122"/>
  <c r="EV231" i="122"/>
  <c r="EV230" i="122"/>
  <c r="EV237" i="122"/>
  <c r="EV193" i="122"/>
  <c r="EV217" i="122"/>
  <c r="FP174" i="122"/>
  <c r="EV199" i="122"/>
  <c r="FP176" i="122"/>
  <c r="FP175" i="122"/>
  <c r="EV206" i="122"/>
  <c r="FP170" i="122"/>
  <c r="FP188" i="122"/>
  <c r="EV219" i="122"/>
  <c r="EV200" i="122"/>
  <c r="EV213" i="122"/>
  <c r="EV183" i="122"/>
  <c r="EV194" i="122"/>
  <c r="FP164" i="122"/>
  <c r="EV224" i="122"/>
  <c r="EV270" i="122"/>
  <c r="FP189" i="122"/>
  <c r="FP177" i="122"/>
  <c r="EV249" i="122"/>
  <c r="EV273" i="122"/>
  <c r="EV189" i="122"/>
  <c r="FP165" i="122"/>
  <c r="EV225" i="122"/>
  <c r="EV261" i="122"/>
  <c r="EV195" i="122"/>
  <c r="FP192" i="122"/>
  <c r="EV258" i="122"/>
  <c r="EV203" i="122"/>
  <c r="EV221" i="122"/>
  <c r="EV269" i="122"/>
  <c r="EV135" i="122"/>
  <c r="EV207" i="122"/>
  <c r="FP123" i="122"/>
  <c r="EV234" i="122"/>
  <c r="FP159" i="122"/>
  <c r="FP134" i="122"/>
  <c r="FP135" i="122"/>
  <c r="FP171" i="122"/>
  <c r="FP141" i="122"/>
  <c r="FP117" i="122"/>
  <c r="EV115" i="122"/>
  <c r="EV233" i="122"/>
  <c r="EV240" i="122"/>
  <c r="FP168" i="122"/>
  <c r="FP153" i="122"/>
  <c r="FP129" i="122"/>
  <c r="EV177" i="122"/>
  <c r="EV129" i="122"/>
  <c r="EV181" i="122"/>
  <c r="FP158" i="122"/>
  <c r="FP140" i="122"/>
  <c r="EV147" i="122"/>
  <c r="FP157" i="122"/>
  <c r="EV109" i="122"/>
  <c r="EV182" i="122"/>
  <c r="FP152" i="122"/>
  <c r="FP147" i="122"/>
  <c r="EV146" i="122"/>
  <c r="EV218" i="122"/>
  <c r="EV179" i="122"/>
  <c r="FP146" i="122"/>
  <c r="FP139" i="122"/>
  <c r="FP90" i="122"/>
  <c r="EV121" i="122"/>
  <c r="EV204" i="122"/>
  <c r="EV180" i="122"/>
  <c r="FP156" i="122"/>
  <c r="FP145" i="122"/>
  <c r="FP115" i="122"/>
  <c r="EV176" i="122"/>
  <c r="FP138" i="122"/>
  <c r="FP116" i="122"/>
  <c r="FP122" i="122"/>
  <c r="EV159" i="122"/>
  <c r="EV175" i="122"/>
  <c r="FP151" i="122"/>
  <c r="EV69" i="122"/>
  <c r="FP150" i="122"/>
  <c r="EV116" i="122"/>
  <c r="EV89" i="122"/>
  <c r="FP144" i="122"/>
  <c r="EV212" i="122"/>
  <c r="EV165" i="122"/>
  <c r="FP128" i="122"/>
  <c r="FP127" i="122"/>
  <c r="FP121" i="122"/>
  <c r="FP133" i="122"/>
  <c r="EV211" i="122"/>
  <c r="EV201" i="122"/>
  <c r="FP108" i="122"/>
  <c r="EV251" i="122"/>
  <c r="EV134" i="122"/>
  <c r="EV173" i="122"/>
  <c r="EV257" i="122"/>
  <c r="EV161" i="122"/>
  <c r="FP126" i="122"/>
  <c r="FP114" i="122"/>
  <c r="EV158" i="122"/>
  <c r="EV164" i="122"/>
  <c r="EV174" i="122"/>
  <c r="EV227" i="122"/>
  <c r="EV239" i="122"/>
  <c r="EV163" i="122"/>
  <c r="EV188" i="122"/>
  <c r="EV152" i="122"/>
  <c r="EV153" i="122"/>
  <c r="EV139" i="122"/>
  <c r="EV169" i="122"/>
  <c r="EV133" i="122"/>
  <c r="EV187" i="122"/>
  <c r="EV170" i="122"/>
  <c r="EV157" i="122"/>
  <c r="EV145" i="122"/>
  <c r="EV171" i="122"/>
  <c r="EV140" i="122"/>
  <c r="EV90" i="122"/>
  <c r="EV151" i="122"/>
  <c r="F15" i="127"/>
  <c r="EV197" i="122"/>
  <c r="EV209" i="122"/>
  <c r="EV215" i="122"/>
  <c r="EV245" i="122"/>
  <c r="EV275" i="122"/>
  <c r="EV162" i="122"/>
  <c r="EV276" i="122"/>
  <c r="EV246" i="122"/>
  <c r="FP103" i="122"/>
  <c r="FP97" i="122"/>
  <c r="EV127" i="122"/>
  <c r="FP120" i="122"/>
  <c r="EV137" i="122"/>
  <c r="EV98" i="122"/>
  <c r="FP72" i="122"/>
  <c r="EV101" i="122"/>
  <c r="FP102" i="122"/>
  <c r="EV198" i="122"/>
  <c r="EV192" i="122"/>
  <c r="FP132" i="122"/>
  <c r="FP96" i="122"/>
  <c r="EV114" i="122"/>
  <c r="EV107" i="122"/>
  <c r="EV113" i="122"/>
  <c r="EV119" i="122"/>
  <c r="EV95" i="122"/>
  <c r="EV125" i="122"/>
  <c r="EV131" i="122"/>
  <c r="EV143" i="122"/>
  <c r="EV149" i="122"/>
  <c r="EV155" i="122"/>
  <c r="EV167" i="122"/>
  <c r="EV185" i="122"/>
  <c r="EV191" i="122"/>
  <c r="EV102" i="122"/>
  <c r="EV186" i="122"/>
  <c r="EV168" i="122"/>
  <c r="EV96" i="122"/>
  <c r="EV108" i="122"/>
  <c r="EV144" i="122"/>
  <c r="EV126" i="122"/>
  <c r="EV156" i="122"/>
  <c r="EV150" i="122"/>
  <c r="EV132" i="122"/>
  <c r="EV54" i="122"/>
  <c r="EV120" i="122"/>
  <c r="EV138" i="122"/>
  <c r="EV216" i="122"/>
  <c r="EV210" i="122"/>
  <c r="EV228" i="122"/>
  <c r="EV222" i="122"/>
  <c r="EV302" i="122"/>
  <c r="EV301" i="122"/>
  <c r="EV1466" i="122"/>
  <c r="EV1462" i="122"/>
  <c r="EV1458" i="122"/>
  <c r="EV1454" i="122"/>
  <c r="EV1450" i="122"/>
  <c r="EV1446" i="122"/>
  <c r="EV1465" i="122"/>
  <c r="EV1461" i="122"/>
  <c r="EV1457" i="122"/>
  <c r="EV1453" i="122"/>
  <c r="EV1449" i="122"/>
  <c r="EV1445" i="122"/>
  <c r="EV1464" i="122"/>
  <c r="EV1460" i="122"/>
  <c r="EV1456" i="122"/>
  <c r="EV1452" i="122"/>
  <c r="EV1448" i="122"/>
  <c r="EV1444" i="122"/>
  <c r="EV1467" i="122"/>
  <c r="EV1463" i="122"/>
  <c r="EV1459" i="122"/>
  <c r="EV1455" i="122"/>
  <c r="EV1451" i="122"/>
  <c r="EV1447" i="122"/>
  <c r="EV1442" i="122"/>
  <c r="EV1438" i="122"/>
  <c r="EV1434" i="122"/>
  <c r="EV1441" i="122"/>
  <c r="EV1437" i="122"/>
  <c r="EV1440" i="122"/>
  <c r="EV1436" i="122"/>
  <c r="EV1443" i="122"/>
  <c r="EV1439" i="122"/>
  <c r="EV1435" i="122"/>
  <c r="EV681" i="122"/>
  <c r="EV679" i="122"/>
  <c r="EV669" i="122"/>
  <c r="EV668" i="122"/>
  <c r="EV665" i="122"/>
  <c r="EV300" i="122"/>
  <c r="EV1433" i="122"/>
  <c r="EV1432" i="122"/>
  <c r="EV1431" i="122"/>
  <c r="EV1430" i="122"/>
  <c r="EV1429" i="122"/>
  <c r="EV1427" i="122"/>
  <c r="EV1425" i="122"/>
  <c r="EV1428" i="122"/>
  <c r="EV1426" i="122"/>
  <c r="EV1420" i="122"/>
  <c r="EV1415" i="122"/>
  <c r="EV1423" i="122"/>
  <c r="EV1417" i="122"/>
  <c r="EV1416" i="122"/>
  <c r="EV1424" i="122"/>
  <c r="EV1419" i="122"/>
  <c r="EV1418" i="122"/>
  <c r="EV1422" i="122"/>
  <c r="EV1421" i="122"/>
  <c r="EV1414" i="122"/>
  <c r="EV1412" i="122"/>
  <c r="EV1410" i="122"/>
  <c r="EV1408" i="122"/>
  <c r="EV1406" i="122"/>
  <c r="EV1404" i="122"/>
  <c r="EV1402" i="122"/>
  <c r="EV1400" i="122"/>
  <c r="EV1398" i="122"/>
  <c r="EV1413" i="122"/>
  <c r="EV1411" i="122"/>
  <c r="EV1409" i="122"/>
  <c r="EV1407" i="122"/>
  <c r="EV1405" i="122"/>
  <c r="EV1403" i="122"/>
  <c r="EV1401" i="122"/>
  <c r="EV1399" i="122"/>
  <c r="EV1393" i="122"/>
  <c r="EV1389" i="122"/>
  <c r="EV1385" i="122"/>
  <c r="EV1381" i="122"/>
  <c r="EV1377" i="122"/>
  <c r="EV1373" i="122"/>
  <c r="EV1369" i="122"/>
  <c r="EV1395" i="122"/>
  <c r="EV1387" i="122"/>
  <c r="EV1379" i="122"/>
  <c r="EV1371" i="122"/>
  <c r="EV1394" i="122"/>
  <c r="EV1386" i="122"/>
  <c r="EV1374" i="122"/>
  <c r="EV1397" i="122"/>
  <c r="EV1396" i="122"/>
  <c r="EV1392" i="122"/>
  <c r="EV1388" i="122"/>
  <c r="EV1384" i="122"/>
  <c r="EV1380" i="122"/>
  <c r="EV1376" i="122"/>
  <c r="EV1372" i="122"/>
  <c r="EV1368" i="122"/>
  <c r="EV1391" i="122"/>
  <c r="EV1383" i="122"/>
  <c r="EV1375" i="122"/>
  <c r="EV1367" i="122"/>
  <c r="EV1390" i="122"/>
  <c r="EV1382" i="122"/>
  <c r="EV1378" i="122"/>
  <c r="EV1370" i="122"/>
  <c r="EV1365" i="122"/>
  <c r="EV1360" i="122"/>
  <c r="EV1354" i="122"/>
  <c r="EV1350" i="122"/>
  <c r="EV1346" i="122"/>
  <c r="EV1345" i="122"/>
  <c r="EV1341" i="122"/>
  <c r="EV1337" i="122"/>
  <c r="EV1336" i="122"/>
  <c r="EV1359" i="122"/>
  <c r="EV1353" i="122"/>
  <c r="EV1349" i="122"/>
  <c r="EV1340" i="122"/>
  <c r="EV1358" i="122"/>
  <c r="EV1352" i="122"/>
  <c r="EV1343" i="122"/>
  <c r="EV1362" i="122"/>
  <c r="EV1357" i="122"/>
  <c r="EV1355" i="122"/>
  <c r="EV1347" i="122"/>
  <c r="EV1338" i="122"/>
  <c r="EV1364" i="122"/>
  <c r="EV1344" i="122"/>
  <c r="EV1363" i="122"/>
  <c r="EV1348" i="122"/>
  <c r="EV1339" i="122"/>
  <c r="EV1366" i="122"/>
  <c r="EV1361" i="122"/>
  <c r="EV1356" i="122"/>
  <c r="EV1351" i="122"/>
  <c r="EV1342" i="122"/>
  <c r="EV1334" i="122"/>
  <c r="EV1332" i="122"/>
  <c r="EV1330" i="122"/>
  <c r="EV1328" i="122"/>
  <c r="EV1326" i="122"/>
  <c r="EV1324" i="122"/>
  <c r="EV1322" i="122"/>
  <c r="EV1320" i="122"/>
  <c r="EV1318" i="122"/>
  <c r="EV1316" i="122"/>
  <c r="EV1314" i="122"/>
  <c r="EV1312" i="122"/>
  <c r="EV1310" i="122"/>
  <c r="EV1308" i="122"/>
  <c r="EV1306" i="122"/>
  <c r="EV1304" i="122"/>
  <c r="EV1302" i="122"/>
  <c r="EV1303" i="122"/>
  <c r="EV1335" i="122"/>
  <c r="EV1333" i="122"/>
  <c r="EV1331" i="122"/>
  <c r="EV1329" i="122"/>
  <c r="EV1327" i="122"/>
  <c r="EV1325" i="122"/>
  <c r="EV1323" i="122"/>
  <c r="EV1321" i="122"/>
  <c r="EV1319" i="122"/>
  <c r="EV1317" i="122"/>
  <c r="EV1315" i="122"/>
  <c r="EV1313" i="122"/>
  <c r="EV1311" i="122"/>
  <c r="EV1309" i="122"/>
  <c r="EV1307" i="122"/>
  <c r="EV1305" i="122"/>
  <c r="EV1301" i="122"/>
  <c r="EV1300" i="122"/>
  <c r="EV1298" i="122"/>
  <c r="EV1299" i="122"/>
  <c r="EV1297" i="122"/>
  <c r="EV1295" i="122"/>
  <c r="EV1293" i="122"/>
  <c r="EV1291" i="122"/>
  <c r="EV1289" i="122"/>
  <c r="EV1287" i="122"/>
  <c r="EV1296" i="122"/>
  <c r="EV1294" i="122"/>
  <c r="EV1292" i="122"/>
  <c r="EV1290" i="122"/>
  <c r="EV1288" i="122"/>
  <c r="EV1283" i="122"/>
  <c r="EV1279" i="122"/>
  <c r="EV1275" i="122"/>
  <c r="EV1271" i="122"/>
  <c r="EV1267" i="122"/>
  <c r="EV1284" i="122"/>
  <c r="EV1268" i="122"/>
  <c r="EV1286" i="122"/>
  <c r="EV1282" i="122"/>
  <c r="EV1278" i="122"/>
  <c r="EV1274" i="122"/>
  <c r="EV1270" i="122"/>
  <c r="EV1266" i="122"/>
  <c r="EV1276" i="122"/>
  <c r="EV1285" i="122"/>
  <c r="EV1281" i="122"/>
  <c r="EV1277" i="122"/>
  <c r="EV1273" i="122"/>
  <c r="EV1269" i="122"/>
  <c r="EV1280" i="122"/>
  <c r="EV1272" i="122"/>
  <c r="EV1265" i="122"/>
  <c r="EV1264" i="122"/>
  <c r="EV1250" i="122"/>
  <c r="EV1246" i="122"/>
  <c r="EV1254" i="122"/>
  <c r="EV1252" i="122"/>
  <c r="EV1249" i="122"/>
  <c r="EV1245" i="122"/>
  <c r="EV1255" i="122"/>
  <c r="EV1256" i="122"/>
  <c r="EV1248" i="122"/>
  <c r="EV1244" i="122"/>
  <c r="EV1251" i="122"/>
  <c r="EV1247" i="122"/>
  <c r="EV1243" i="122"/>
  <c r="EV1253" i="122"/>
  <c r="EV1262" i="122"/>
  <c r="EV1258" i="122"/>
  <c r="EV1261" i="122"/>
  <c r="EV1257" i="122"/>
  <c r="EV1260" i="122"/>
  <c r="EV1263" i="122"/>
  <c r="EV1259" i="122"/>
  <c r="EV1242" i="122"/>
  <c r="EV1232" i="122"/>
  <c r="EV1240" i="122"/>
  <c r="EV1236" i="122"/>
  <c r="EV1234" i="122"/>
  <c r="EV1237" i="122"/>
  <c r="EV1239" i="122"/>
  <c r="EV1235" i="122"/>
  <c r="EV1238" i="122"/>
  <c r="EV1241" i="122"/>
  <c r="EV1233" i="122"/>
  <c r="EV1228" i="122"/>
  <c r="EV1231" i="122"/>
  <c r="EV1227" i="122"/>
  <c r="EV1230" i="122"/>
  <c r="EV1229" i="122"/>
  <c r="EV1223" i="122"/>
  <c r="EV1219" i="122"/>
  <c r="EV1215" i="122"/>
  <c r="EV1211" i="122"/>
  <c r="EV1207" i="122"/>
  <c r="EV1203" i="122"/>
  <c r="EV1226" i="122"/>
  <c r="EV1210" i="122"/>
  <c r="EV1225" i="122"/>
  <c r="EV1221" i="122"/>
  <c r="EV1217" i="122"/>
  <c r="EV1213" i="122"/>
  <c r="EV1209" i="122"/>
  <c r="EV1205" i="122"/>
  <c r="EV1201" i="122"/>
  <c r="EV1222" i="122"/>
  <c r="EV1214" i="122"/>
  <c r="EV1202" i="122"/>
  <c r="EV1224" i="122"/>
  <c r="EV1220" i="122"/>
  <c r="EV1216" i="122"/>
  <c r="EV1212" i="122"/>
  <c r="EV1208" i="122"/>
  <c r="EV1204" i="122"/>
  <c r="EV1200" i="122"/>
  <c r="EV1218" i="122"/>
  <c r="EV1206" i="122"/>
  <c r="EV1199" i="122"/>
  <c r="EV1195" i="122"/>
  <c r="EV1190" i="122"/>
  <c r="EV1186" i="122"/>
  <c r="EV1182" i="122"/>
  <c r="EV1197" i="122"/>
  <c r="EV1192" i="122"/>
  <c r="EV1184" i="122"/>
  <c r="EV1191" i="122"/>
  <c r="EV1183" i="122"/>
  <c r="EV1198" i="122"/>
  <c r="EV1194" i="122"/>
  <c r="EV1189" i="122"/>
  <c r="EV1185" i="122"/>
  <c r="EV1181" i="122"/>
  <c r="EV1193" i="122"/>
  <c r="EV1188" i="122"/>
  <c r="EV1180" i="122"/>
  <c r="EV1196" i="122"/>
  <c r="EV1187" i="122"/>
  <c r="EV1179" i="122"/>
  <c r="EV1174" i="122"/>
  <c r="EV1173" i="122"/>
  <c r="EV1166" i="122"/>
  <c r="EV1165" i="122"/>
  <c r="EV1178" i="122"/>
  <c r="EV1177" i="122"/>
  <c r="EV1172" i="122"/>
  <c r="EV1171" i="122"/>
  <c r="EV1164" i="122"/>
  <c r="EV1163" i="122"/>
  <c r="EV1176" i="122"/>
  <c r="EV1170" i="122"/>
  <c r="EV1169" i="122"/>
  <c r="EV1175" i="122"/>
  <c r="EV1168" i="122"/>
  <c r="EV1167" i="122"/>
  <c r="EV1159" i="122"/>
  <c r="EV1155" i="122"/>
  <c r="EV1151" i="122"/>
  <c r="EV1147" i="122"/>
  <c r="EV1143" i="122"/>
  <c r="EV1156" i="122"/>
  <c r="EV1144" i="122"/>
  <c r="EV1162" i="122"/>
  <c r="EV1158" i="122"/>
  <c r="EV1154" i="122"/>
  <c r="EV1150" i="122"/>
  <c r="EV1146" i="122"/>
  <c r="EV1142" i="122"/>
  <c r="EV1160" i="122"/>
  <c r="EV1161" i="122"/>
  <c r="EV1157" i="122"/>
  <c r="EV1153" i="122"/>
  <c r="EV1149" i="122"/>
  <c r="EV1145" i="122"/>
  <c r="EV1141" i="122"/>
  <c r="EV1152" i="122"/>
  <c r="EV1148" i="122"/>
  <c r="EV1140" i="122"/>
  <c r="EV1135" i="122"/>
  <c r="EV1130" i="122"/>
  <c r="EV1129" i="122"/>
  <c r="EV1134" i="122"/>
  <c r="EV1128" i="122"/>
  <c r="EV1137" i="122"/>
  <c r="EV1127" i="122"/>
  <c r="EV1136" i="122"/>
  <c r="EV1131" i="122"/>
  <c r="EV1139" i="122"/>
  <c r="EV1138" i="122"/>
  <c r="EV1133" i="122"/>
  <c r="EV1132" i="122"/>
  <c r="EV1126" i="122"/>
  <c r="EV1122" i="122"/>
  <c r="EV1125" i="122"/>
  <c r="EV1123" i="122"/>
  <c r="EV1124" i="122"/>
  <c r="EV1118" i="122"/>
  <c r="EV1114" i="122"/>
  <c r="EV1110" i="122"/>
  <c r="EV1106" i="122"/>
  <c r="EV1102" i="122"/>
  <c r="EV1115" i="122"/>
  <c r="EV1099" i="122"/>
  <c r="EV1121" i="122"/>
  <c r="EV1117" i="122"/>
  <c r="EV1113" i="122"/>
  <c r="EV1109" i="122"/>
  <c r="EV1105" i="122"/>
  <c r="EV1101" i="122"/>
  <c r="EV1111" i="122"/>
  <c r="EV1120" i="122"/>
  <c r="EV1116" i="122"/>
  <c r="EV1112" i="122"/>
  <c r="EV1108" i="122"/>
  <c r="EV1104" i="122"/>
  <c r="EV1100" i="122"/>
  <c r="EV1119" i="122"/>
  <c r="EV1107" i="122"/>
  <c r="EV1103" i="122"/>
  <c r="EV1097" i="122"/>
  <c r="EV1095" i="122"/>
  <c r="EV1093" i="122"/>
  <c r="EV1091" i="122"/>
  <c r="EV1098" i="122"/>
  <c r="EV1096" i="122"/>
  <c r="EV1094" i="122"/>
  <c r="EV1092" i="122"/>
  <c r="EV1090" i="122"/>
  <c r="EV1089" i="122"/>
  <c r="EV1087" i="122"/>
  <c r="EV1088" i="122"/>
  <c r="EV1086" i="122"/>
  <c r="EV1085" i="122"/>
  <c r="EV1084" i="122"/>
  <c r="EV1081" i="122"/>
  <c r="EV1080" i="122"/>
  <c r="EV1078" i="122"/>
  <c r="EV1075" i="122"/>
  <c r="EV1074" i="122"/>
  <c r="EV1071" i="122"/>
  <c r="EV1069" i="122"/>
  <c r="EV1067" i="122"/>
  <c r="EV1065" i="122"/>
  <c r="EV1063" i="122"/>
  <c r="EV1061" i="122"/>
  <c r="EV1059" i="122"/>
  <c r="EV1057" i="122"/>
  <c r="EV1083" i="122"/>
  <c r="EV1082" i="122"/>
  <c r="EV1079" i="122"/>
  <c r="EV1077" i="122"/>
  <c r="EV1076" i="122"/>
  <c r="EV1073" i="122"/>
  <c r="EV1072" i="122"/>
  <c r="EV1070" i="122"/>
  <c r="EV1068" i="122"/>
  <c r="EV1066" i="122"/>
  <c r="EV1064" i="122"/>
  <c r="EV1062" i="122"/>
  <c r="EV1060" i="122"/>
  <c r="EV1058" i="122"/>
  <c r="EV1056" i="122"/>
  <c r="EV1054" i="122"/>
  <c r="EV1052" i="122"/>
  <c r="EV1050" i="122"/>
  <c r="EV1048" i="122"/>
  <c r="EV1046" i="122"/>
  <c r="EV1055" i="122"/>
  <c r="EV1051" i="122"/>
  <c r="EV1049" i="122"/>
  <c r="EV1053" i="122"/>
  <c r="EV1047" i="122"/>
  <c r="EV1044" i="122"/>
  <c r="EV1042" i="122"/>
  <c r="EV1040" i="122"/>
  <c r="EV1038" i="122"/>
  <c r="EV1036" i="122"/>
  <c r="EV1034" i="122"/>
  <c r="EV1032" i="122"/>
  <c r="EV1030" i="122"/>
  <c r="EV1028" i="122"/>
  <c r="EV1026" i="122"/>
  <c r="EV1024" i="122"/>
  <c r="EV1022" i="122"/>
  <c r="EV1045" i="122"/>
  <c r="EV1043" i="122"/>
  <c r="EV1041" i="122"/>
  <c r="EV1039" i="122"/>
  <c r="EV1037" i="122"/>
  <c r="EV1035" i="122"/>
  <c r="EV1033" i="122"/>
  <c r="EV1031" i="122"/>
  <c r="EV1029" i="122"/>
  <c r="EV1027" i="122"/>
  <c r="EV1025" i="122"/>
  <c r="EV1023" i="122"/>
  <c r="EV1021" i="122"/>
  <c r="EV1019" i="122"/>
  <c r="EV1017" i="122"/>
  <c r="EV1015" i="122"/>
  <c r="EV1013" i="122"/>
  <c r="EV1011" i="122"/>
  <c r="EV1009" i="122"/>
  <c r="EV1007" i="122"/>
  <c r="EV1020" i="122"/>
  <c r="EV1018" i="122"/>
  <c r="EV1016" i="122"/>
  <c r="EV1014" i="122"/>
  <c r="EV1012" i="122"/>
  <c r="EV1010" i="122"/>
  <c r="EV1008" i="122"/>
  <c r="EV1006" i="122"/>
  <c r="EV1004" i="122"/>
  <c r="EV1002" i="122"/>
  <c r="EV1005" i="122"/>
  <c r="EV1003" i="122"/>
  <c r="EV1000" i="122"/>
  <c r="EV998" i="122"/>
  <c r="EV996" i="122"/>
  <c r="EV994" i="122"/>
  <c r="EV992" i="122"/>
  <c r="EV990" i="122"/>
  <c r="EV988" i="122"/>
  <c r="EV986" i="122"/>
  <c r="EV1001" i="122"/>
  <c r="EV999" i="122"/>
  <c r="EV997" i="122"/>
  <c r="EV995" i="122"/>
  <c r="EV993" i="122"/>
  <c r="EV991" i="122"/>
  <c r="EV989" i="122"/>
  <c r="EV987" i="122"/>
  <c r="EV984" i="122"/>
  <c r="EV980" i="122"/>
  <c r="EV976" i="122"/>
  <c r="EV972" i="122"/>
  <c r="EV968" i="122"/>
  <c r="EV964" i="122"/>
  <c r="EV960" i="122"/>
  <c r="EV956" i="122"/>
  <c r="EV952" i="122"/>
  <c r="EV983" i="122"/>
  <c r="EV971" i="122"/>
  <c r="EV967" i="122"/>
  <c r="EV955" i="122"/>
  <c r="EV951" i="122"/>
  <c r="EV985" i="122"/>
  <c r="EV981" i="122"/>
  <c r="EV977" i="122"/>
  <c r="EV973" i="122"/>
  <c r="EV969" i="122"/>
  <c r="EV965" i="122"/>
  <c r="EV961" i="122"/>
  <c r="EV957" i="122"/>
  <c r="EV953" i="122"/>
  <c r="EV975" i="122"/>
  <c r="EV959" i="122"/>
  <c r="EV982" i="122"/>
  <c r="EV978" i="122"/>
  <c r="EV974" i="122"/>
  <c r="EV970" i="122"/>
  <c r="EV966" i="122"/>
  <c r="EV962" i="122"/>
  <c r="EV958" i="122"/>
  <c r="EV954" i="122"/>
  <c r="EV979" i="122"/>
  <c r="EV963" i="122"/>
  <c r="EV948" i="122"/>
  <c r="EV944" i="122"/>
  <c r="EV950" i="122"/>
  <c r="EV942" i="122"/>
  <c r="EV943" i="122"/>
  <c r="EV949" i="122"/>
  <c r="EV945" i="122"/>
  <c r="EV941" i="122"/>
  <c r="EV946" i="122"/>
  <c r="EV947" i="122"/>
  <c r="EV940" i="122"/>
  <c r="EV936" i="122"/>
  <c r="EV932" i="122"/>
  <c r="EV928" i="122"/>
  <c r="EV924" i="122"/>
  <c r="EV920" i="122"/>
  <c r="EV916" i="122"/>
  <c r="EV912" i="122"/>
  <c r="EV908" i="122"/>
  <c r="EV904" i="122"/>
  <c r="EV900" i="122"/>
  <c r="EV896" i="122"/>
  <c r="EV892" i="122"/>
  <c r="EV938" i="122"/>
  <c r="EV930" i="122"/>
  <c r="EV922" i="122"/>
  <c r="EV914" i="122"/>
  <c r="EV902" i="122"/>
  <c r="EV894" i="122"/>
  <c r="EV939" i="122"/>
  <c r="EV931" i="122"/>
  <c r="EV923" i="122"/>
  <c r="EV915" i="122"/>
  <c r="EV907" i="122"/>
  <c r="EV899" i="122"/>
  <c r="EV891" i="122"/>
  <c r="EV937" i="122"/>
  <c r="EV933" i="122"/>
  <c r="EV929" i="122"/>
  <c r="EV925" i="122"/>
  <c r="EV921" i="122"/>
  <c r="EV917" i="122"/>
  <c r="EV913" i="122"/>
  <c r="EV909" i="122"/>
  <c r="EV905" i="122"/>
  <c r="EV901" i="122"/>
  <c r="EV897" i="122"/>
  <c r="EV893" i="122"/>
  <c r="EV889" i="122"/>
  <c r="EV934" i="122"/>
  <c r="EV926" i="122"/>
  <c r="EV918" i="122"/>
  <c r="EV910" i="122"/>
  <c r="EV906" i="122"/>
  <c r="EV898" i="122"/>
  <c r="EV890" i="122"/>
  <c r="EV935" i="122"/>
  <c r="EV927" i="122"/>
  <c r="EV919" i="122"/>
  <c r="EV911" i="122"/>
  <c r="EV903" i="122"/>
  <c r="EV895" i="122"/>
  <c r="EV888" i="122"/>
  <c r="EV884" i="122"/>
  <c r="EV880" i="122"/>
  <c r="EV885" i="122"/>
  <c r="EV881" i="122"/>
  <c r="EV877" i="122"/>
  <c r="EV886" i="122"/>
  <c r="EV882" i="122"/>
  <c r="EV878" i="122"/>
  <c r="EV887" i="122"/>
  <c r="EV883" i="122"/>
  <c r="EV879" i="122"/>
  <c r="EV865" i="122"/>
  <c r="EV876" i="122"/>
  <c r="EV872" i="122"/>
  <c r="EV868" i="122"/>
  <c r="EV873" i="122"/>
  <c r="EV869" i="122"/>
  <c r="EV871" i="122"/>
  <c r="EV874" i="122"/>
  <c r="EV870" i="122"/>
  <c r="EV866" i="122"/>
  <c r="EV875" i="122"/>
  <c r="EV867" i="122"/>
  <c r="EV864" i="122"/>
  <c r="EV860" i="122"/>
  <c r="EV856" i="122"/>
  <c r="EV852" i="122"/>
  <c r="EV848" i="122"/>
  <c r="EV844" i="122"/>
  <c r="EV861" i="122"/>
  <c r="EV857" i="122"/>
  <c r="EV853" i="122"/>
  <c r="EV849" i="122"/>
  <c r="EV845" i="122"/>
  <c r="EV863" i="122"/>
  <c r="EV851" i="122"/>
  <c r="EV862" i="122"/>
  <c r="EV858" i="122"/>
  <c r="EV854" i="122"/>
  <c r="EV850" i="122"/>
  <c r="EV846" i="122"/>
  <c r="EV859" i="122"/>
  <c r="EV855" i="122"/>
  <c r="EV847" i="122"/>
  <c r="EV843" i="122"/>
  <c r="EV839" i="122"/>
  <c r="EV835" i="122"/>
  <c r="EV840" i="122"/>
  <c r="EV836" i="122"/>
  <c r="EV832" i="122"/>
  <c r="EV841" i="122"/>
  <c r="EV837" i="122"/>
  <c r="EV833" i="122"/>
  <c r="EV842" i="122"/>
  <c r="EV838" i="122"/>
  <c r="EV834" i="122"/>
  <c r="EV829" i="122"/>
  <c r="EV825" i="122"/>
  <c r="EV821" i="122"/>
  <c r="EV817" i="122"/>
  <c r="EV813" i="122"/>
  <c r="EV809" i="122"/>
  <c r="EV805" i="122"/>
  <c r="EV801" i="122"/>
  <c r="EV797" i="122"/>
  <c r="EV793" i="122"/>
  <c r="EV789" i="122"/>
  <c r="EV830" i="122"/>
  <c r="EV826" i="122"/>
  <c r="EV822" i="122"/>
  <c r="EV818" i="122"/>
  <c r="EV814" i="122"/>
  <c r="EV810" i="122"/>
  <c r="EV806" i="122"/>
  <c r="EV802" i="122"/>
  <c r="EV798" i="122"/>
  <c r="EV794" i="122"/>
  <c r="EV790" i="122"/>
  <c r="EV831" i="122"/>
  <c r="EV827" i="122"/>
  <c r="EV823" i="122"/>
  <c r="EV819" i="122"/>
  <c r="EV815" i="122"/>
  <c r="EV811" i="122"/>
  <c r="EV807" i="122"/>
  <c r="EV803" i="122"/>
  <c r="EV799" i="122"/>
  <c r="EV795" i="122"/>
  <c r="EV791" i="122"/>
  <c r="EV828" i="122"/>
  <c r="EV824" i="122"/>
  <c r="EV820" i="122"/>
  <c r="EV816" i="122"/>
  <c r="EV812" i="122"/>
  <c r="EV808" i="122"/>
  <c r="EV804" i="122"/>
  <c r="EV800" i="122"/>
  <c r="EV796" i="122"/>
  <c r="EV792" i="122"/>
  <c r="EV786" i="122"/>
  <c r="EV784" i="122"/>
  <c r="EV780" i="122"/>
  <c r="EV776" i="122"/>
  <c r="EV770" i="122"/>
  <c r="EV768" i="122"/>
  <c r="EV754" i="122"/>
  <c r="EV750" i="122"/>
  <c r="EV746" i="122"/>
  <c r="EV742" i="122"/>
  <c r="EV738" i="122"/>
  <c r="EV734" i="122"/>
  <c r="EV730" i="122"/>
  <c r="EV726" i="122"/>
  <c r="EV722" i="122"/>
  <c r="EV788" i="122"/>
  <c r="EV782" i="122"/>
  <c r="EV778" i="122"/>
  <c r="EV774" i="122"/>
  <c r="EV772" i="122"/>
  <c r="EV766" i="122"/>
  <c r="EV764" i="122"/>
  <c r="EV762" i="122"/>
  <c r="EV760" i="122"/>
  <c r="EV758" i="122"/>
  <c r="EV756" i="122"/>
  <c r="EV752" i="122"/>
  <c r="EV748" i="122"/>
  <c r="EV744" i="122"/>
  <c r="EV740" i="122"/>
  <c r="EV736" i="122"/>
  <c r="EV732" i="122"/>
  <c r="EV728" i="122"/>
  <c r="EV724" i="122"/>
  <c r="EV787" i="122"/>
  <c r="EV783" i="122"/>
  <c r="EV777" i="122"/>
  <c r="EV773" i="122"/>
  <c r="EV769" i="122"/>
  <c r="EV765" i="122"/>
  <c r="EV763" i="122"/>
  <c r="EV757" i="122"/>
  <c r="EV753" i="122"/>
  <c r="EV749" i="122"/>
  <c r="EV747" i="122"/>
  <c r="EV743" i="122"/>
  <c r="EV739" i="122"/>
  <c r="EV733" i="122"/>
  <c r="EV729" i="122"/>
  <c r="EV727" i="122"/>
  <c r="EV723" i="122"/>
  <c r="EV719" i="122"/>
  <c r="EV720" i="122"/>
  <c r="EV785" i="122"/>
  <c r="EV781" i="122"/>
  <c r="EV779" i="122"/>
  <c r="EV775" i="122"/>
  <c r="EV771" i="122"/>
  <c r="EV767" i="122"/>
  <c r="EV761" i="122"/>
  <c r="EV759" i="122"/>
  <c r="EV755" i="122"/>
  <c r="EV751" i="122"/>
  <c r="EV745" i="122"/>
  <c r="EV741" i="122"/>
  <c r="EV737" i="122"/>
  <c r="EV735" i="122"/>
  <c r="EV731" i="122"/>
  <c r="EV725" i="122"/>
  <c r="EV721" i="122"/>
  <c r="EV718" i="122"/>
  <c r="EV716" i="122"/>
  <c r="EV714" i="122"/>
  <c r="EV712" i="122"/>
  <c r="EV710" i="122"/>
  <c r="EV708" i="122"/>
  <c r="EV717" i="122"/>
  <c r="EV711" i="122"/>
  <c r="EV709" i="122"/>
  <c r="EV715" i="122"/>
  <c r="EV713" i="122"/>
  <c r="EV707" i="122"/>
  <c r="EV704" i="122"/>
  <c r="EV702" i="122"/>
  <c r="EV700" i="122"/>
  <c r="EV698" i="122"/>
  <c r="EV696" i="122"/>
  <c r="EV694" i="122"/>
  <c r="EV692" i="122"/>
  <c r="EV690" i="122"/>
  <c r="EV688" i="122"/>
  <c r="EV686" i="122"/>
  <c r="EV684" i="122"/>
  <c r="EV706" i="122"/>
  <c r="EV705" i="122"/>
  <c r="EV703" i="122"/>
  <c r="EV701" i="122"/>
  <c r="EV699" i="122"/>
  <c r="EV697" i="122"/>
  <c r="EV695" i="122"/>
  <c r="EV693" i="122"/>
  <c r="EV691" i="122"/>
  <c r="EV689" i="122"/>
  <c r="EV687" i="122"/>
  <c r="EV685" i="122"/>
  <c r="EV683" i="122"/>
  <c r="EV682" i="122"/>
  <c r="EV678" i="122"/>
  <c r="EV676" i="122"/>
  <c r="EV674" i="122"/>
  <c r="EV672" i="122"/>
  <c r="EV670" i="122"/>
  <c r="EV667" i="122"/>
  <c r="EV680" i="122"/>
  <c r="EV677" i="122"/>
  <c r="EV675" i="122"/>
  <c r="EV673" i="122"/>
  <c r="EV671" i="122"/>
  <c r="EV666" i="122"/>
  <c r="EV663" i="122"/>
  <c r="EV657" i="122"/>
  <c r="EV653" i="122"/>
  <c r="EV649" i="122"/>
  <c r="EV662" i="122"/>
  <c r="EV658" i="122"/>
  <c r="EV648" i="122"/>
  <c r="EV661" i="122"/>
  <c r="EV659" i="122"/>
  <c r="EV655" i="122"/>
  <c r="EV651" i="122"/>
  <c r="EV660" i="122"/>
  <c r="EV656" i="122"/>
  <c r="EV650" i="122"/>
  <c r="EV664" i="122"/>
  <c r="EV654" i="122"/>
  <c r="EV652" i="122"/>
  <c r="EV645" i="122"/>
  <c r="EV643" i="122"/>
  <c r="EV639" i="122"/>
  <c r="EV635" i="122"/>
  <c r="EV633" i="122"/>
  <c r="EV629" i="122"/>
  <c r="EV644" i="122"/>
  <c r="EV640" i="122"/>
  <c r="EV638" i="122"/>
  <c r="EV632" i="122"/>
  <c r="EV628" i="122"/>
  <c r="EV647" i="122"/>
  <c r="EV641" i="122"/>
  <c r="EV637" i="122"/>
  <c r="EV631" i="122"/>
  <c r="EV642" i="122"/>
  <c r="EV634" i="122"/>
  <c r="EV646" i="122"/>
  <c r="EV636" i="122"/>
  <c r="EV630" i="122"/>
  <c r="EV627" i="122"/>
  <c r="EV625" i="122"/>
  <c r="EV623" i="122"/>
  <c r="EV621" i="122"/>
  <c r="EV619" i="122"/>
  <c r="EV617" i="122"/>
  <c r="EV615" i="122"/>
  <c r="EV613" i="122"/>
  <c r="EV611" i="122"/>
  <c r="EV609" i="122"/>
  <c r="EV607" i="122"/>
  <c r="EV605" i="122"/>
  <c r="EV603" i="122"/>
  <c r="EV626" i="122"/>
  <c r="EV624" i="122"/>
  <c r="EV622" i="122"/>
  <c r="EV620" i="122"/>
  <c r="EV618" i="122"/>
  <c r="EV616" i="122"/>
  <c r="EV614" i="122"/>
  <c r="EV612" i="122"/>
  <c r="EV610" i="122"/>
  <c r="EV608" i="122"/>
  <c r="EV606" i="122"/>
  <c r="EV604" i="122"/>
  <c r="EV599" i="122"/>
  <c r="EV595" i="122"/>
  <c r="EV591" i="122"/>
  <c r="EV587" i="122"/>
  <c r="EV583" i="122"/>
  <c r="EV581" i="122"/>
  <c r="EV577" i="122"/>
  <c r="EV573" i="122"/>
  <c r="EV569" i="122"/>
  <c r="EV565" i="122"/>
  <c r="EV561" i="122"/>
  <c r="EV557" i="122"/>
  <c r="EV553" i="122"/>
  <c r="EV547" i="122"/>
  <c r="EV543" i="122"/>
  <c r="EV541" i="122"/>
  <c r="EV535" i="122"/>
  <c r="EV533" i="122"/>
  <c r="EV527" i="122"/>
  <c r="EV523" i="122"/>
  <c r="EV521" i="122"/>
  <c r="EV517" i="122"/>
  <c r="EV513" i="122"/>
  <c r="EV509" i="122"/>
  <c r="EV522" i="122"/>
  <c r="EV512" i="122"/>
  <c r="EV601" i="122"/>
  <c r="EV597" i="122"/>
  <c r="EV593" i="122"/>
  <c r="EV589" i="122"/>
  <c r="EV585" i="122"/>
  <c r="EV579" i="122"/>
  <c r="EV575" i="122"/>
  <c r="EV571" i="122"/>
  <c r="EV567" i="122"/>
  <c r="EV563" i="122"/>
  <c r="EV559" i="122"/>
  <c r="EV555" i="122"/>
  <c r="EV551" i="122"/>
  <c r="EV549" i="122"/>
  <c r="EV545" i="122"/>
  <c r="EV539" i="122"/>
  <c r="EV537" i="122"/>
  <c r="EV531" i="122"/>
  <c r="EV529" i="122"/>
  <c r="EV525" i="122"/>
  <c r="EV519" i="122"/>
  <c r="EV515" i="122"/>
  <c r="EV511" i="122"/>
  <c r="EV507" i="122"/>
  <c r="EV520" i="122"/>
  <c r="EV514" i="122"/>
  <c r="EV506" i="122"/>
  <c r="EV600" i="122"/>
  <c r="EV596" i="122"/>
  <c r="EV592" i="122"/>
  <c r="EV588" i="122"/>
  <c r="EV586" i="122"/>
  <c r="EV582" i="122"/>
  <c r="EV578" i="122"/>
  <c r="EV572" i="122"/>
  <c r="EV568" i="122"/>
  <c r="EV566" i="122"/>
  <c r="EV562" i="122"/>
  <c r="EV558" i="122"/>
  <c r="EV552" i="122"/>
  <c r="EV548" i="122"/>
  <c r="EV544" i="122"/>
  <c r="EV542" i="122"/>
  <c r="EV538" i="122"/>
  <c r="EV534" i="122"/>
  <c r="EV530" i="122"/>
  <c r="EV524" i="122"/>
  <c r="EV516" i="122"/>
  <c r="EV510" i="122"/>
  <c r="EV602" i="122"/>
  <c r="EV598" i="122"/>
  <c r="EV594" i="122"/>
  <c r="EV590" i="122"/>
  <c r="EV584" i="122"/>
  <c r="EV580" i="122"/>
  <c r="EV576" i="122"/>
  <c r="EV574" i="122"/>
  <c r="EV570" i="122"/>
  <c r="EV564" i="122"/>
  <c r="EV560" i="122"/>
  <c r="EV556" i="122"/>
  <c r="EV554" i="122"/>
  <c r="EV550" i="122"/>
  <c r="EV546" i="122"/>
  <c r="EV540" i="122"/>
  <c r="EV536" i="122"/>
  <c r="EV532" i="122"/>
  <c r="EV528" i="122"/>
  <c r="EV526" i="122"/>
  <c r="EV518" i="122"/>
  <c r="EV508" i="122"/>
  <c r="EV503" i="122"/>
  <c r="EV499" i="122"/>
  <c r="EV502" i="122"/>
  <c r="EV505" i="122"/>
  <c r="EV501" i="122"/>
  <c r="EV504" i="122"/>
  <c r="EV500" i="122"/>
  <c r="EV67" i="122"/>
  <c r="EV74" i="122"/>
  <c r="EV72" i="122"/>
  <c r="EV79" i="122"/>
  <c r="EV60" i="122"/>
  <c r="FP79" i="122"/>
  <c r="FP67" i="122"/>
  <c r="FP78" i="122"/>
  <c r="FP61" i="122"/>
  <c r="FP54" i="122"/>
  <c r="FP66" i="122"/>
  <c r="EV346" i="122"/>
  <c r="EV345" i="122"/>
  <c r="EV343" i="122"/>
  <c r="EV344" i="122"/>
  <c r="FP60" i="122"/>
  <c r="EV320" i="122"/>
  <c r="EV331" i="122"/>
  <c r="EV337" i="122"/>
  <c r="EV324" i="122"/>
  <c r="EV330" i="122"/>
  <c r="EV326" i="122"/>
  <c r="EV334" i="122"/>
  <c r="EV321" i="122"/>
  <c r="EV332" i="122"/>
  <c r="EV327" i="122"/>
  <c r="EV78" i="122"/>
  <c r="EV66" i="122"/>
  <c r="EV498" i="122"/>
  <c r="EV496" i="122"/>
  <c r="EV494" i="122"/>
  <c r="EV492" i="122"/>
  <c r="EV490" i="122"/>
  <c r="EV488" i="122"/>
  <c r="EV486" i="122"/>
  <c r="EV484" i="122"/>
  <c r="EV482" i="122"/>
  <c r="EV480" i="122"/>
  <c r="EV478" i="122"/>
  <c r="EV476" i="122"/>
  <c r="EV474" i="122"/>
  <c r="EV472" i="122"/>
  <c r="EV470" i="122"/>
  <c r="EV468" i="122"/>
  <c r="EV466" i="122"/>
  <c r="EV464" i="122"/>
  <c r="EV462" i="122"/>
  <c r="EV497" i="122"/>
  <c r="EV495" i="122"/>
  <c r="EV493" i="122"/>
  <c r="EV491" i="122"/>
  <c r="EV489" i="122"/>
  <c r="EV487" i="122"/>
  <c r="EV485" i="122"/>
  <c r="EV483" i="122"/>
  <c r="EV481" i="122"/>
  <c r="EV479" i="122"/>
  <c r="EV477" i="122"/>
  <c r="EV475" i="122"/>
  <c r="EV473" i="122"/>
  <c r="EV471" i="122"/>
  <c r="EV469" i="122"/>
  <c r="EV467" i="122"/>
  <c r="EV465" i="122"/>
  <c r="EV463" i="122"/>
  <c r="EV461" i="122"/>
  <c r="EV459" i="122"/>
  <c r="EV456" i="122"/>
  <c r="EV454" i="122"/>
  <c r="EV452" i="122"/>
  <c r="EV451" i="122"/>
  <c r="EV460" i="122"/>
  <c r="EV458" i="122"/>
  <c r="EV457" i="122"/>
  <c r="EV455" i="122"/>
  <c r="EV453" i="122"/>
  <c r="EV449" i="122"/>
  <c r="EV447" i="122"/>
  <c r="EV446" i="122"/>
  <c r="EV444" i="122"/>
  <c r="EV442" i="122"/>
  <c r="EV440" i="122"/>
  <c r="EV450" i="122"/>
  <c r="EV448" i="122"/>
  <c r="EV445" i="122"/>
  <c r="EV443" i="122"/>
  <c r="EV441" i="122"/>
  <c r="EV438" i="122"/>
  <c r="EV436" i="122"/>
  <c r="EV434" i="122"/>
  <c r="EV431" i="122"/>
  <c r="EV429" i="122"/>
  <c r="EV439" i="122"/>
  <c r="EV437" i="122"/>
  <c r="EV435" i="122"/>
  <c r="EV433" i="122"/>
  <c r="EV432" i="122"/>
  <c r="EV430" i="122"/>
  <c r="EV428" i="122"/>
  <c r="EV317" i="122"/>
  <c r="EV426" i="122"/>
  <c r="EV424" i="122"/>
  <c r="EV422" i="122"/>
  <c r="EV420" i="122"/>
  <c r="EV418" i="122"/>
  <c r="EV416" i="122"/>
  <c r="EV414" i="122"/>
  <c r="EV412" i="122"/>
  <c r="EV410" i="122"/>
  <c r="EV408" i="122"/>
  <c r="EV406" i="122"/>
  <c r="EV404" i="122"/>
  <c r="EV402" i="122"/>
  <c r="EV400" i="122"/>
  <c r="EV398" i="122"/>
  <c r="EV396" i="122"/>
  <c r="EV394" i="122"/>
  <c r="EV392" i="122"/>
  <c r="EV390" i="122"/>
  <c r="EV388" i="122"/>
  <c r="EV386" i="122"/>
  <c r="EV384" i="122"/>
  <c r="EV382" i="122"/>
  <c r="EV380" i="122"/>
  <c r="EV378" i="122"/>
  <c r="EV376" i="122"/>
  <c r="EV374" i="122"/>
  <c r="EV372" i="122"/>
  <c r="EV370" i="122"/>
  <c r="EV368" i="122"/>
  <c r="EV366" i="122"/>
  <c r="EV364" i="122"/>
  <c r="EV362" i="122"/>
  <c r="EV360" i="122"/>
  <c r="EV358" i="122"/>
  <c r="EV356" i="122"/>
  <c r="EV354" i="122"/>
  <c r="EV352" i="122"/>
  <c r="EV350" i="122"/>
  <c r="EV348" i="122"/>
  <c r="EV342" i="122"/>
  <c r="EV340" i="122"/>
  <c r="EV338" i="122"/>
  <c r="EV336" i="122"/>
  <c r="EV328" i="122"/>
  <c r="EV322" i="122"/>
  <c r="EV427" i="122"/>
  <c r="EV425" i="122"/>
  <c r="EV423" i="122"/>
  <c r="EV421" i="122"/>
  <c r="EV419" i="122"/>
  <c r="EV417" i="122"/>
  <c r="EV415" i="122"/>
  <c r="EV413" i="122"/>
  <c r="EV411" i="122"/>
  <c r="EV409" i="122"/>
  <c r="EV407" i="122"/>
  <c r="EV405" i="122"/>
  <c r="EV403" i="122"/>
  <c r="EV401" i="122"/>
  <c r="EV399" i="122"/>
  <c r="EV397" i="122"/>
  <c r="EV395" i="122"/>
  <c r="EV393" i="122"/>
  <c r="EV391" i="122"/>
  <c r="EV389" i="122"/>
  <c r="EV387" i="122"/>
  <c r="EV385" i="122"/>
  <c r="EV383" i="122"/>
  <c r="EV381" i="122"/>
  <c r="EV379" i="122"/>
  <c r="EV377" i="122"/>
  <c r="EV375" i="122"/>
  <c r="EV373" i="122"/>
  <c r="EV371" i="122"/>
  <c r="EV369" i="122"/>
  <c r="EV367" i="122"/>
  <c r="EV365" i="122"/>
  <c r="EV363" i="122"/>
  <c r="EV361" i="122"/>
  <c r="EV359" i="122"/>
  <c r="EV357" i="122"/>
  <c r="EV355" i="122"/>
  <c r="EV353" i="122"/>
  <c r="EV351" i="122"/>
  <c r="EV349" i="122"/>
  <c r="EV347" i="122"/>
  <c r="EV341" i="122"/>
  <c r="EV339" i="122"/>
  <c r="EV335" i="122"/>
  <c r="EV333" i="122"/>
  <c r="EV329" i="122"/>
  <c r="EV325" i="122"/>
  <c r="EV323" i="122"/>
  <c r="EV319" i="122"/>
  <c r="EV318" i="122"/>
  <c r="EV311" i="122"/>
  <c r="EV312" i="122"/>
  <c r="EO284" i="122" l="1"/>
  <c r="EO266" i="122"/>
  <c r="EO254" i="122"/>
  <c r="EO86" i="122"/>
  <c r="H12" i="127"/>
  <c r="I12" i="127"/>
  <c r="F12" i="127"/>
  <c r="J12" i="127"/>
  <c r="L12" i="127" s="1"/>
  <c r="EO224" i="122"/>
  <c r="EO272" i="122"/>
  <c r="EO260" i="122"/>
  <c r="EO206" i="122"/>
  <c r="EO236" i="122"/>
  <c r="EO242" i="122"/>
  <c r="EO182" i="122"/>
  <c r="EO92" i="122"/>
  <c r="EO176" i="122"/>
  <c r="EO230" i="122"/>
  <c r="EO164" i="122"/>
  <c r="EO212" i="122"/>
  <c r="EO218" i="122"/>
  <c r="EO200" i="122"/>
  <c r="EO248" i="122"/>
  <c r="EO278" i="122"/>
  <c r="EO140" i="122"/>
  <c r="EO104" i="122"/>
  <c r="EO98" i="122"/>
  <c r="EO194" i="122"/>
  <c r="EO116" i="122"/>
  <c r="EO110" i="122"/>
  <c r="EO122" i="122"/>
  <c r="EO146" i="122"/>
  <c r="EO134" i="122"/>
  <c r="EO188" i="122"/>
  <c r="EO152" i="122"/>
  <c r="EO158" i="122"/>
  <c r="EO128" i="122"/>
  <c r="EO170" i="122"/>
  <c r="E4" i="55" l="1"/>
  <c r="K1" i="27" l="1"/>
  <c r="L1" i="26"/>
  <c r="K1" i="1" l="1"/>
  <c r="F8" i="122" l="1"/>
  <c r="F9" i="122" l="1"/>
  <c r="F10" i="122" l="1"/>
  <c r="F11" i="122" l="1"/>
  <c r="F12" i="122" l="1"/>
  <c r="F13" i="122" l="1"/>
  <c r="F14" i="122" l="1"/>
  <c r="F15" i="122" l="1"/>
  <c r="F16" i="122" l="1"/>
  <c r="F17" i="122" l="1"/>
  <c r="F18" i="122" l="1"/>
  <c r="F19" i="122" l="1"/>
  <c r="F20" i="122" l="1"/>
  <c r="F21" i="122" l="1"/>
  <c r="F22" i="122" l="1"/>
  <c r="F23" i="122" l="1"/>
  <c r="F24" i="122" l="1"/>
  <c r="F25" i="122" l="1"/>
  <c r="F26" i="122" l="1"/>
  <c r="F27" i="122" l="1"/>
  <c r="F28" i="122" l="1"/>
  <c r="F29" i="122" l="1"/>
  <c r="F30" i="122" l="1"/>
  <c r="F31" i="122" l="1"/>
  <c r="F7" i="122" l="1"/>
  <c r="F32" i="122" l="1"/>
  <c r="F33" i="122" l="1"/>
  <c r="F34" i="122" l="1"/>
  <c r="F35" i="122" l="1"/>
  <c r="F36" i="122" l="1"/>
  <c r="F37" i="122" l="1"/>
  <c r="F38" i="122" l="1"/>
  <c r="F39" i="122" l="1"/>
  <c r="F40" i="122" l="1"/>
  <c r="F41" i="122" l="1"/>
  <c r="F42" i="122" l="1"/>
  <c r="F43" i="122" l="1"/>
  <c r="F44" i="122" l="1"/>
  <c r="F45" i="122" l="1"/>
  <c r="F46" i="122" l="1"/>
  <c r="F47" i="122" l="1"/>
  <c r="EG349" i="122" l="1"/>
  <c r="EG348" i="122"/>
  <c r="EG347" i="122"/>
  <c r="EG346" i="122"/>
  <c r="EG345" i="122"/>
  <c r="EG344" i="122"/>
  <c r="EG343" i="122"/>
  <c r="EG342" i="122"/>
  <c r="EG341" i="122"/>
  <c r="EG340" i="122"/>
  <c r="EG339" i="122"/>
  <c r="EG338" i="122"/>
  <c r="EG337" i="122"/>
  <c r="EG336" i="122"/>
  <c r="EG335" i="122"/>
  <c r="EG334" i="122"/>
  <c r="EG333" i="122"/>
  <c r="EG332" i="122"/>
  <c r="EG331" i="122"/>
  <c r="EG330" i="122"/>
  <c r="EG329" i="122"/>
  <c r="EG328" i="122"/>
  <c r="EG327" i="122"/>
  <c r="EG326" i="122"/>
  <c r="EG325" i="122"/>
  <c r="EG324" i="122"/>
  <c r="EG323" i="122"/>
  <c r="EG322" i="122"/>
  <c r="EG321" i="122"/>
  <c r="EG320" i="122"/>
  <c r="EG319" i="122"/>
  <c r="EG318" i="122"/>
  <c r="EG317" i="122"/>
  <c r="EG316" i="122"/>
  <c r="EG315" i="122"/>
  <c r="EG314" i="122"/>
  <c r="EG313" i="122"/>
  <c r="EG312" i="122"/>
  <c r="EG311" i="122"/>
  <c r="EG310" i="122"/>
  <c r="GS310" i="122"/>
  <c r="HS310" i="122" s="1"/>
  <c r="EG350" i="122"/>
  <c r="EG351" i="122"/>
  <c r="EV310" i="122"/>
  <c r="ES310" i="122"/>
  <c r="GX310" i="122" l="1"/>
  <c r="EG362" i="122"/>
  <c r="IW4" i="122"/>
  <c r="EG366" i="122"/>
  <c r="JA4" i="122"/>
  <c r="EG370" i="122"/>
  <c r="JE4" i="122"/>
  <c r="EG374" i="122"/>
  <c r="JI4" i="122"/>
  <c r="EG378" i="122"/>
  <c r="JM4" i="122"/>
  <c r="EG382" i="122"/>
  <c r="JQ4" i="122"/>
  <c r="EG386" i="122"/>
  <c r="JU4" i="122"/>
  <c r="EG390" i="122"/>
  <c r="JY4" i="122"/>
  <c r="EG394" i="122"/>
  <c r="KC4" i="122"/>
  <c r="KD4" i="122"/>
  <c r="EG395" i="122"/>
  <c r="EG357" i="122"/>
  <c r="AK9" i="122" s="1"/>
  <c r="IR4" i="122"/>
  <c r="EG361" i="122"/>
  <c r="IV4" i="122"/>
  <c r="EG365" i="122"/>
  <c r="IZ4" i="122"/>
  <c r="EG369" i="122"/>
  <c r="JD4" i="122"/>
  <c r="EG373" i="122"/>
  <c r="JH4" i="122"/>
  <c r="EG377" i="122"/>
  <c r="JL4" i="122"/>
  <c r="EG381" i="122"/>
  <c r="JP4" i="122"/>
  <c r="EG385" i="122"/>
  <c r="JT4" i="122"/>
  <c r="EG389" i="122"/>
  <c r="JX4" i="122"/>
  <c r="EG393" i="122"/>
  <c r="KB4" i="122"/>
  <c r="EG358" i="122"/>
  <c r="AK10" i="122" s="1"/>
  <c r="IS4" i="122"/>
  <c r="EG356" i="122"/>
  <c r="AK8" i="122" s="1"/>
  <c r="IQ4" i="122"/>
  <c r="EG360" i="122"/>
  <c r="IU4" i="122"/>
  <c r="EG364" i="122"/>
  <c r="IY4" i="122"/>
  <c r="EG368" i="122"/>
  <c r="JC4" i="122"/>
  <c r="EG372" i="122"/>
  <c r="JG4" i="122"/>
  <c r="EG376" i="122"/>
  <c r="JK4" i="122"/>
  <c r="EG380" i="122"/>
  <c r="JO4" i="122"/>
  <c r="EG384" i="122"/>
  <c r="JS4" i="122"/>
  <c r="EG388" i="122"/>
  <c r="JW4" i="122"/>
  <c r="EG392" i="122"/>
  <c r="KA4" i="122"/>
  <c r="EI351" i="122"/>
  <c r="EG396" i="122"/>
  <c r="AK48" i="122" s="1"/>
  <c r="EG355" i="122"/>
  <c r="AK7" i="122" s="1"/>
  <c r="IP4" i="122"/>
  <c r="IT4" i="122"/>
  <c r="EG359" i="122"/>
  <c r="AK11" i="122" s="1"/>
  <c r="IX4" i="122"/>
  <c r="EG363" i="122"/>
  <c r="EG367" i="122"/>
  <c r="JB4" i="122"/>
  <c r="EG371" i="122"/>
  <c r="JF4" i="122"/>
  <c r="JJ4" i="122"/>
  <c r="EG375" i="122"/>
  <c r="FJ173" i="122" s="1"/>
  <c r="JN4" i="122"/>
  <c r="EG379" i="122"/>
  <c r="EG383" i="122"/>
  <c r="JR4" i="122"/>
  <c r="EG387" i="122"/>
  <c r="JV4" i="122"/>
  <c r="JZ4" i="122"/>
  <c r="EG391" i="122"/>
  <c r="GU310" i="122"/>
  <c r="GT310" i="122"/>
  <c r="G11" i="122" l="1"/>
  <c r="G8" i="122"/>
  <c r="FJ77" i="122"/>
  <c r="FJ299" i="122"/>
  <c r="FJ71" i="122"/>
  <c r="FJ293" i="122"/>
  <c r="FK293" i="122"/>
  <c r="AK39" i="122"/>
  <c r="FJ245" i="122"/>
  <c r="FK245" i="122"/>
  <c r="AK23" i="122"/>
  <c r="FJ149" i="122"/>
  <c r="FK149" i="122"/>
  <c r="FK275" i="122"/>
  <c r="FJ275" i="122"/>
  <c r="AK36" i="122"/>
  <c r="FK227" i="122"/>
  <c r="FJ227" i="122"/>
  <c r="AK28" i="122"/>
  <c r="FK179" i="122"/>
  <c r="FJ179" i="122"/>
  <c r="AK20" i="122"/>
  <c r="FK131" i="122"/>
  <c r="FJ131" i="122"/>
  <c r="AK12" i="122"/>
  <c r="FK83" i="122"/>
  <c r="FJ83" i="122"/>
  <c r="FK257" i="122"/>
  <c r="FJ257" i="122"/>
  <c r="FK209" i="122"/>
  <c r="FJ209" i="122"/>
  <c r="FJ161" i="122"/>
  <c r="FK161" i="122"/>
  <c r="AK17" i="122"/>
  <c r="FK113" i="122"/>
  <c r="FJ113" i="122"/>
  <c r="AK46" i="122"/>
  <c r="FJ287" i="122"/>
  <c r="FK287" i="122"/>
  <c r="AK38" i="122"/>
  <c r="FJ239" i="122"/>
  <c r="FK239" i="122"/>
  <c r="AK30" i="122"/>
  <c r="FJ191" i="122"/>
  <c r="FK191" i="122"/>
  <c r="AK22" i="122"/>
  <c r="FJ143" i="122"/>
  <c r="FK143" i="122"/>
  <c r="AK14" i="122"/>
  <c r="FJ95" i="122"/>
  <c r="FK95" i="122"/>
  <c r="FJ197" i="122"/>
  <c r="FK197" i="122"/>
  <c r="AK15" i="122"/>
  <c r="FJ101" i="122"/>
  <c r="FK101" i="122"/>
  <c r="FK71" i="122"/>
  <c r="FK53" i="122"/>
  <c r="AK43" i="122"/>
  <c r="FJ269" i="122"/>
  <c r="FK269" i="122"/>
  <c r="AK27" i="122"/>
  <c r="FK173" i="122"/>
  <c r="AL35" i="122"/>
  <c r="K35" i="122" s="1"/>
  <c r="FJ221" i="122"/>
  <c r="FK221" i="122"/>
  <c r="AK19" i="122"/>
  <c r="FJ125" i="122"/>
  <c r="FK125" i="122"/>
  <c r="AK40" i="122"/>
  <c r="FK251" i="122"/>
  <c r="FJ251" i="122"/>
  <c r="AK32" i="122"/>
  <c r="FK203" i="122"/>
  <c r="FJ203" i="122"/>
  <c r="AK24" i="122"/>
  <c r="FK155" i="122"/>
  <c r="FJ155" i="122"/>
  <c r="AK16" i="122"/>
  <c r="FK107" i="122"/>
  <c r="FJ107" i="122"/>
  <c r="AK45" i="122"/>
  <c r="FJ281" i="122"/>
  <c r="FK281" i="122"/>
  <c r="AK37" i="122"/>
  <c r="FJ233" i="122"/>
  <c r="FK233" i="122"/>
  <c r="AK29" i="122"/>
  <c r="FJ185" i="122"/>
  <c r="FK185" i="122"/>
  <c r="AK21" i="122"/>
  <c r="FJ137" i="122"/>
  <c r="FK137" i="122"/>
  <c r="AK13" i="122"/>
  <c r="FJ89" i="122"/>
  <c r="FK89" i="122"/>
  <c r="AK42" i="122"/>
  <c r="FK263" i="122"/>
  <c r="FJ263" i="122"/>
  <c r="AL34" i="122"/>
  <c r="K34" i="122" s="1"/>
  <c r="FK215" i="122"/>
  <c r="FJ215" i="122"/>
  <c r="AK26" i="122"/>
  <c r="FK167" i="122"/>
  <c r="FJ167" i="122"/>
  <c r="AK18" i="122"/>
  <c r="FK119" i="122"/>
  <c r="FJ119" i="122"/>
  <c r="FK299" i="122"/>
  <c r="FJ53" i="122"/>
  <c r="FJ65" i="122"/>
  <c r="FK59" i="122"/>
  <c r="FK65" i="122"/>
  <c r="FK77" i="122"/>
  <c r="FJ59" i="122"/>
  <c r="EI396" i="122"/>
  <c r="AK47" i="122"/>
  <c r="AL32" i="122"/>
  <c r="K32" i="122" s="1"/>
  <c r="AK41" i="122"/>
  <c r="AK31" i="122"/>
  <c r="AK35" i="122"/>
  <c r="AK44" i="122"/>
  <c r="AK25" i="122"/>
  <c r="AK34" i="122"/>
  <c r="AK33" i="122"/>
  <c r="AL36" i="122"/>
  <c r="K36" i="122" s="1"/>
  <c r="AL26" i="122"/>
  <c r="K26" i="122" s="1"/>
  <c r="G10" i="122"/>
  <c r="AL31" i="122"/>
  <c r="K31" i="122" s="1"/>
  <c r="DS48" i="122"/>
  <c r="DQ48" i="122"/>
  <c r="G7" i="122"/>
  <c r="G9" i="122"/>
  <c r="G46" i="122" l="1"/>
  <c r="G45" i="122"/>
  <c r="G43" i="122"/>
  <c r="G21" i="122"/>
  <c r="G19" i="122"/>
  <c r="G30" i="122"/>
  <c r="G28" i="122"/>
  <c r="G23" i="122"/>
  <c r="DQ34" i="122"/>
  <c r="DQ31" i="122"/>
  <c r="G29" i="122"/>
  <c r="G24" i="122"/>
  <c r="G38" i="122"/>
  <c r="DQ36" i="122"/>
  <c r="G39" i="122"/>
  <c r="DQ26" i="122"/>
  <c r="G42" i="122"/>
  <c r="G37" i="122"/>
  <c r="G32" i="122"/>
  <c r="G14" i="122"/>
  <c r="G12" i="122"/>
  <c r="G16" i="122"/>
  <c r="DQ35" i="122"/>
  <c r="G18" i="122"/>
  <c r="G13" i="122"/>
  <c r="G40" i="122"/>
  <c r="G27" i="122"/>
  <c r="G15" i="122"/>
  <c r="G22" i="122"/>
  <c r="G17" i="122"/>
  <c r="G20" i="122"/>
  <c r="FI79" i="122"/>
  <c r="AL48" i="122"/>
  <c r="EP299" i="122"/>
  <c r="EQ299" i="122"/>
  <c r="FL299" i="122"/>
  <c r="FM299" i="122" s="1"/>
  <c r="G26" i="122"/>
  <c r="G36" i="122"/>
  <c r="FI301" i="122"/>
  <c r="DQ32" i="122"/>
  <c r="FI73" i="122"/>
  <c r="FI55" i="122"/>
  <c r="FM107" i="122"/>
  <c r="FP107" i="122"/>
  <c r="FI109" i="122"/>
  <c r="FI97" i="122"/>
  <c r="FM95" i="122"/>
  <c r="FP95" i="122"/>
  <c r="FI289" i="122"/>
  <c r="FM287" i="122"/>
  <c r="FP287" i="122"/>
  <c r="FM233" i="122"/>
  <c r="FP233" i="122"/>
  <c r="FI235" i="122"/>
  <c r="FI103" i="122"/>
  <c r="FM101" i="122"/>
  <c r="FP101" i="122"/>
  <c r="FM83" i="122"/>
  <c r="FP83" i="122"/>
  <c r="FI85" i="122"/>
  <c r="FI265" i="122"/>
  <c r="FM263" i="122"/>
  <c r="FP263" i="122"/>
  <c r="FM89" i="122"/>
  <c r="FP89" i="122"/>
  <c r="FI91" i="122"/>
  <c r="FI283" i="122"/>
  <c r="FP281" i="122"/>
  <c r="FM281" i="122"/>
  <c r="FI205" i="122"/>
  <c r="FM203" i="122"/>
  <c r="FP203" i="122"/>
  <c r="FM269" i="122"/>
  <c r="FP269" i="122"/>
  <c r="FI271" i="122"/>
  <c r="FM197" i="122"/>
  <c r="FP197" i="122"/>
  <c r="FI199" i="122"/>
  <c r="FP191" i="122"/>
  <c r="FI193" i="122"/>
  <c r="FM191" i="122"/>
  <c r="FP113" i="122"/>
  <c r="FM113" i="122"/>
  <c r="FI115" i="122"/>
  <c r="FI163" i="122"/>
  <c r="FM161" i="122"/>
  <c r="FP161" i="122"/>
  <c r="FM131" i="122"/>
  <c r="FP131" i="122"/>
  <c r="FI133" i="122"/>
  <c r="FP149" i="122"/>
  <c r="FM149" i="122"/>
  <c r="FI151" i="122"/>
  <c r="FP167" i="122"/>
  <c r="FM167" i="122"/>
  <c r="FI169" i="122"/>
  <c r="FI187" i="122"/>
  <c r="FP185" i="122"/>
  <c r="FM185" i="122"/>
  <c r="FP221" i="122"/>
  <c r="FI223" i="122"/>
  <c r="FM221" i="122"/>
  <c r="FI229" i="122"/>
  <c r="FM227" i="122"/>
  <c r="FP227" i="122"/>
  <c r="FI295" i="122"/>
  <c r="FM293" i="122"/>
  <c r="FP293" i="122"/>
  <c r="FM215" i="122"/>
  <c r="FP215" i="122"/>
  <c r="FI217" i="122"/>
  <c r="FP155" i="122"/>
  <c r="FI157" i="122"/>
  <c r="FM155" i="122"/>
  <c r="FM173" i="122"/>
  <c r="FP173" i="122"/>
  <c r="FI175" i="122"/>
  <c r="FI145" i="122"/>
  <c r="FM143" i="122"/>
  <c r="FP143" i="122"/>
  <c r="FM209" i="122"/>
  <c r="FP209" i="122"/>
  <c r="FI211" i="122"/>
  <c r="FI277" i="122"/>
  <c r="FM275" i="122"/>
  <c r="FP275" i="122"/>
  <c r="FP119" i="122"/>
  <c r="FI121" i="122"/>
  <c r="FM119" i="122"/>
  <c r="FP137" i="122"/>
  <c r="FI139" i="122"/>
  <c r="FM137" i="122"/>
  <c r="FP251" i="122"/>
  <c r="FM251" i="122"/>
  <c r="FI253" i="122"/>
  <c r="FI127" i="122"/>
  <c r="FP125" i="122"/>
  <c r="FM125" i="122"/>
  <c r="FI241" i="122"/>
  <c r="FP239" i="122"/>
  <c r="FM239" i="122"/>
  <c r="FI259" i="122"/>
  <c r="FM257" i="122"/>
  <c r="FP257" i="122"/>
  <c r="FM179" i="122"/>
  <c r="FI181" i="122"/>
  <c r="FP179" i="122"/>
  <c r="FI247" i="122"/>
  <c r="FP245" i="122"/>
  <c r="FM245" i="122"/>
  <c r="FI61" i="122"/>
  <c r="FI67" i="122"/>
  <c r="G31" i="122"/>
  <c r="G47" i="122"/>
  <c r="G41" i="122"/>
  <c r="G33" i="122"/>
  <c r="G44" i="122"/>
  <c r="G35" i="122"/>
  <c r="G25" i="122"/>
  <c r="G34" i="122"/>
  <c r="AK6" i="122"/>
  <c r="DT48" i="122"/>
  <c r="DU48" i="122" s="1"/>
  <c r="EO301" i="122" l="1"/>
  <c r="FP299" i="122"/>
  <c r="FI242" i="122"/>
  <c r="FI272" i="122"/>
  <c r="FI284" i="122"/>
  <c r="FI104" i="122"/>
  <c r="FI278" i="122"/>
  <c r="FI116" i="122"/>
  <c r="FI86" i="122"/>
  <c r="FI176" i="122"/>
  <c r="FI158" i="122"/>
  <c r="FI224" i="122"/>
  <c r="FI188" i="122"/>
  <c r="FI152" i="122"/>
  <c r="FI164" i="122"/>
  <c r="FI266" i="122"/>
  <c r="FI290" i="122"/>
  <c r="FI110" i="122"/>
  <c r="FI254" i="122"/>
  <c r="FI140" i="122"/>
  <c r="FI212" i="122"/>
  <c r="FI218" i="122"/>
  <c r="FI230" i="122"/>
  <c r="FI248" i="122"/>
  <c r="FI128" i="122"/>
  <c r="FI122" i="122"/>
  <c r="FI170" i="122"/>
  <c r="FI194" i="122"/>
  <c r="FI182" i="122"/>
  <c r="FI260" i="122"/>
  <c r="FI146" i="122"/>
  <c r="FI296" i="122"/>
  <c r="FI134" i="122"/>
  <c r="FI200" i="122"/>
  <c r="FI206" i="122"/>
  <c r="FI92" i="122"/>
  <c r="FI236" i="122"/>
  <c r="FI98" i="122"/>
  <c r="GM275" i="122"/>
  <c r="EI135" i="122" s="1"/>
  <c r="AU44" i="122" s="1"/>
  <c r="GL275" i="122"/>
  <c r="EG90" i="122" s="1"/>
  <c r="GQ275" i="122"/>
  <c r="EI90" i="122" s="1"/>
  <c r="GL281" i="122"/>
  <c r="EG91" i="122" s="1"/>
  <c r="GM281" i="122"/>
  <c r="EI136" i="122" s="1"/>
  <c r="AU45" i="122" s="1"/>
  <c r="GQ281" i="122"/>
  <c r="EI91" i="122" s="1"/>
  <c r="GL287" i="122"/>
  <c r="EG92" i="122" s="1"/>
  <c r="GM287" i="122"/>
  <c r="EI137" i="122" s="1"/>
  <c r="AU46" i="122" s="1"/>
  <c r="GQ287" i="122"/>
  <c r="EI92" i="122" s="1"/>
  <c r="GL293" i="122"/>
  <c r="EG93" i="122" s="1"/>
  <c r="GM293" i="122"/>
  <c r="EI138" i="122" s="1"/>
  <c r="AU47" i="122" s="1"/>
  <c r="GQ293" i="122"/>
  <c r="EI93" i="122" s="1"/>
  <c r="GQ263" i="122"/>
  <c r="EI88" i="122" s="1"/>
  <c r="GL263" i="122"/>
  <c r="EG88" i="122" s="1"/>
  <c r="EG133" i="122" s="1"/>
  <c r="GM263" i="122"/>
  <c r="GQ269" i="122"/>
  <c r="EI89" i="122" s="1"/>
  <c r="GM269" i="122"/>
  <c r="GL269" i="122"/>
  <c r="EG89" i="122" s="1"/>
  <c r="EG134" i="122" s="1"/>
  <c r="GQ227" i="122"/>
  <c r="EI82" i="122" s="1"/>
  <c r="GL227" i="122"/>
  <c r="EG82" i="122" s="1"/>
  <c r="EG127" i="122" s="1"/>
  <c r="GM227" i="122"/>
  <c r="GM221" i="122"/>
  <c r="GL221" i="122"/>
  <c r="EG81" i="122" s="1"/>
  <c r="EG126" i="122" s="1"/>
  <c r="GQ221" i="122"/>
  <c r="EI81" i="122" s="1"/>
  <c r="GQ215" i="122"/>
  <c r="EI80" i="122" s="1"/>
  <c r="GM215" i="122"/>
  <c r="GL215" i="122"/>
  <c r="EG80" i="122" s="1"/>
  <c r="EG125" i="122" s="1"/>
  <c r="GM203" i="122"/>
  <c r="GQ203" i="122"/>
  <c r="EI78" i="122" s="1"/>
  <c r="GL203" i="122"/>
  <c r="EG78" i="122" s="1"/>
  <c r="EG123" i="122" s="1"/>
  <c r="GM197" i="122"/>
  <c r="EI122" i="122" s="1"/>
  <c r="GL197" i="122"/>
  <c r="EG77" i="122" s="1"/>
  <c r="EG122" i="122" s="1"/>
  <c r="GQ197" i="122"/>
  <c r="EI77" i="122" s="1"/>
  <c r="FI303" i="122"/>
  <c r="FI302" i="122"/>
  <c r="GQ299" i="122"/>
  <c r="EI94" i="122" s="1"/>
  <c r="GM299" i="122"/>
  <c r="GL299" i="122"/>
  <c r="EG94" i="122" s="1"/>
  <c r="EG139" i="122" s="1"/>
  <c r="FI291" i="122" l="1"/>
  <c r="FI279" i="122"/>
  <c r="FI285" i="122"/>
  <c r="FI267" i="122"/>
  <c r="FI297" i="122"/>
  <c r="FI273" i="122"/>
  <c r="FI225" i="122"/>
  <c r="FI231" i="122"/>
  <c r="FI219" i="122"/>
  <c r="FI207" i="122"/>
  <c r="FI201" i="122"/>
  <c r="GL167" i="122"/>
  <c r="EG72" i="122" s="1"/>
  <c r="EG117" i="122" s="1"/>
  <c r="AT26" i="122" s="1"/>
  <c r="GM167" i="122"/>
  <c r="EI117" i="122" s="1"/>
  <c r="AU26" i="122" s="1"/>
  <c r="GQ167" i="122"/>
  <c r="EG137" i="122"/>
  <c r="AT46" i="122" s="1"/>
  <c r="KC53" i="122"/>
  <c r="EG136" i="122"/>
  <c r="AT45" i="122" s="1"/>
  <c r="KB53" i="122"/>
  <c r="EG138" i="122"/>
  <c r="AT47" i="122" s="1"/>
  <c r="KD53" i="122"/>
  <c r="EG135" i="122"/>
  <c r="AT44" i="122" s="1"/>
  <c r="KA53" i="122"/>
  <c r="EI133" i="122"/>
  <c r="AU42" i="122" s="1"/>
  <c r="EI126" i="122"/>
  <c r="AU35" i="122" s="1"/>
  <c r="EI134" i="122"/>
  <c r="AU43" i="122" s="1"/>
  <c r="EI123" i="122"/>
  <c r="AU32" i="122" s="1"/>
  <c r="EI139" i="122"/>
  <c r="AU48" i="122" s="1"/>
  <c r="EI127" i="122"/>
  <c r="AU36" i="122" s="1"/>
  <c r="EI125" i="122"/>
  <c r="AU34" i="122" s="1"/>
  <c r="AU31" i="122"/>
  <c r="JY53" i="122"/>
  <c r="AT42" i="122"/>
  <c r="AT43" i="122"/>
  <c r="JZ53" i="122"/>
  <c r="AT36" i="122"/>
  <c r="JS53" i="122"/>
  <c r="AT34" i="122"/>
  <c r="JQ53" i="122"/>
  <c r="AT35" i="122"/>
  <c r="JR53" i="122"/>
  <c r="JO53" i="122"/>
  <c r="AT32" i="122"/>
  <c r="AT31" i="122"/>
  <c r="JN53" i="122"/>
  <c r="AT48" i="122"/>
  <c r="BM47" i="122" l="1"/>
  <c r="BO47" i="122"/>
  <c r="BO46" i="122"/>
  <c r="BM46" i="122"/>
  <c r="BM44" i="122"/>
  <c r="BO44" i="122"/>
  <c r="BM45" i="122"/>
  <c r="BO45" i="122"/>
  <c r="BO43" i="122"/>
  <c r="BM43" i="122"/>
  <c r="BM35" i="122"/>
  <c r="BO35" i="122"/>
  <c r="BM36" i="122"/>
  <c r="BO36" i="122"/>
  <c r="BO42" i="122"/>
  <c r="BM42" i="122"/>
  <c r="BO26" i="122"/>
  <c r="BM26" i="122"/>
  <c r="BM31" i="122"/>
  <c r="BO31" i="122"/>
  <c r="BO34" i="122"/>
  <c r="BM34" i="122"/>
  <c r="BM32" i="122"/>
  <c r="BO32" i="122"/>
  <c r="EI72" i="122"/>
  <c r="EF26" i="122" s="1"/>
  <c r="FI171" i="122"/>
  <c r="EF32" i="122"/>
  <c r="EF31" i="122"/>
  <c r="JI53" i="122"/>
  <c r="EF47" i="122"/>
  <c r="EF46" i="122"/>
  <c r="EF44" i="122"/>
  <c r="EF45" i="122"/>
  <c r="EF42" i="122"/>
  <c r="EF43" i="122"/>
  <c r="EF35" i="122"/>
  <c r="EF34" i="122"/>
  <c r="EF36" i="122"/>
  <c r="EF48" i="122"/>
  <c r="EH48" i="122"/>
  <c r="EI48" i="122" l="1"/>
  <c r="EJ48" i="122" s="1"/>
  <c r="ER71" i="122" l="1"/>
  <c r="ES71" i="122" l="1"/>
  <c r="EV71" i="122"/>
  <c r="DK9" i="122" l="1"/>
  <c r="GE71" i="122"/>
  <c r="ED56" i="122" s="1"/>
  <c r="ED101" i="122" s="1"/>
  <c r="AQ10" i="122" s="1"/>
  <c r="EO74" i="122"/>
  <c r="BF10" i="122" l="1"/>
  <c r="BD10" i="122"/>
  <c r="ER59" i="122"/>
  <c r="ER53" i="122"/>
  <c r="AI9" i="122"/>
  <c r="J9" i="122" s="1"/>
  <c r="ER65" i="122"/>
  <c r="GF71" i="122"/>
  <c r="IS52" i="122"/>
  <c r="GG71" i="122"/>
  <c r="EF56" i="122" s="1"/>
  <c r="EF101" i="122" l="1"/>
  <c r="AR10" i="122" s="1"/>
  <c r="ES65" i="122"/>
  <c r="EV65" i="122"/>
  <c r="EV59" i="122"/>
  <c r="ES59" i="122"/>
  <c r="ES53" i="122"/>
  <c r="EV53" i="122"/>
  <c r="EV313" i="122"/>
  <c r="ES313" i="122"/>
  <c r="ES315" i="122"/>
  <c r="EV315" i="122"/>
  <c r="ES316" i="122"/>
  <c r="EV316" i="122"/>
  <c r="EV314" i="122"/>
  <c r="ES314" i="122"/>
  <c r="EO75" i="122"/>
  <c r="DZ10" i="122"/>
  <c r="EV1508" i="122" l="1"/>
  <c r="CP6" i="122" s="1"/>
  <c r="EO62" i="122"/>
  <c r="EO68" i="122"/>
  <c r="GE65" i="122"/>
  <c r="ED55" i="122" s="1"/>
  <c r="ED100" i="122" s="1"/>
  <c r="ES1508" i="122"/>
  <c r="ES308" i="122" s="1"/>
  <c r="GZ310" i="122"/>
  <c r="EV308" i="122" l="1"/>
  <c r="GE59" i="122"/>
  <c r="ED54" i="122" s="1"/>
  <c r="ED99" i="122" s="1"/>
  <c r="AQ8" i="122" s="1"/>
  <c r="GE53" i="122"/>
  <c r="ED53" i="122" s="1"/>
  <c r="ED98" i="122" s="1"/>
  <c r="EO56" i="122"/>
  <c r="GG65" i="122"/>
  <c r="IR52" i="122"/>
  <c r="GF65" i="122"/>
  <c r="AQ9" i="122"/>
  <c r="FB307" i="122"/>
  <c r="BF8" i="122" l="1"/>
  <c r="BD8" i="122"/>
  <c r="BD9" i="122"/>
  <c r="BF9" i="122"/>
  <c r="EF55" i="122"/>
  <c r="DZ9" i="122" s="1"/>
  <c r="EO69" i="122"/>
  <c r="IQ52" i="122"/>
  <c r="GF59" i="122"/>
  <c r="EF99" i="122" s="1"/>
  <c r="AR8" i="122" s="1"/>
  <c r="GG59" i="122"/>
  <c r="EO63" i="122" s="1"/>
  <c r="EF100" i="122"/>
  <c r="AR9" i="122" s="1"/>
  <c r="GF53" i="122"/>
  <c r="GG53" i="122"/>
  <c r="IP52" i="122"/>
  <c r="AQ7" i="122"/>
  <c r="BD7" i="122" l="1"/>
  <c r="BF7" i="122"/>
  <c r="EF54" i="122"/>
  <c r="DZ8" i="122" s="1"/>
  <c r="EF98" i="122"/>
  <c r="AR7" i="122" s="1"/>
  <c r="EO57" i="122"/>
  <c r="EF53" i="122"/>
  <c r="DZ7" i="122" s="1"/>
  <c r="DQ10" i="122" l="1"/>
  <c r="DQ8" i="122"/>
  <c r="DQ29" i="122"/>
  <c r="DQ24" i="122"/>
  <c r="DQ11" i="122"/>
  <c r="AL10" i="122" l="1"/>
  <c r="K10" i="122" s="1"/>
  <c r="FL71" i="122"/>
  <c r="AL29" i="122"/>
  <c r="K29" i="122" s="1"/>
  <c r="AL24" i="122"/>
  <c r="K24" i="122" s="1"/>
  <c r="AL8" i="122"/>
  <c r="K8" i="122" s="1"/>
  <c r="FL59" i="122"/>
  <c r="AL11" i="122"/>
  <c r="K11" i="122" s="1"/>
  <c r="FL77" i="122"/>
  <c r="FP59" i="122" l="1"/>
  <c r="FM59" i="122"/>
  <c r="FP71" i="122"/>
  <c r="FM71" i="122"/>
  <c r="FM77" i="122"/>
  <c r="FP77" i="122"/>
  <c r="FI80" i="122" l="1"/>
  <c r="GQ77" i="122"/>
  <c r="EI57" i="122" s="1"/>
  <c r="GL77" i="122"/>
  <c r="EG57" i="122" s="1"/>
  <c r="EG102" i="122" s="1"/>
  <c r="GM77" i="122"/>
  <c r="GE263" i="122"/>
  <c r="GQ155" i="122"/>
  <c r="GM155" i="122"/>
  <c r="EI115" i="122" s="1"/>
  <c r="GL155" i="122"/>
  <c r="EG70" i="122" s="1"/>
  <c r="EG115" i="122" s="1"/>
  <c r="FI62" i="122"/>
  <c r="GQ59" i="122"/>
  <c r="EI54" i="122" s="1"/>
  <c r="GL59" i="122"/>
  <c r="EG54" i="122" s="1"/>
  <c r="EG99" i="122" s="1"/>
  <c r="GM59" i="122"/>
  <c r="GE269" i="122"/>
  <c r="GM185" i="122"/>
  <c r="GQ185" i="122"/>
  <c r="GL185" i="122"/>
  <c r="EG75" i="122" s="1"/>
  <c r="EG120" i="122" s="1"/>
  <c r="GM71" i="122"/>
  <c r="GL71" i="122"/>
  <c r="EG56" i="122" s="1"/>
  <c r="EG101" i="122" s="1"/>
  <c r="FI74" i="122"/>
  <c r="GQ71" i="122"/>
  <c r="EI56" i="122" s="1"/>
  <c r="EI75" i="122" l="1"/>
  <c r="FI189" i="122"/>
  <c r="EI70" i="122"/>
  <c r="FI159" i="122"/>
  <c r="FI75" i="122"/>
  <c r="FI63" i="122"/>
  <c r="ED88" i="122"/>
  <c r="ED133" i="122" s="1"/>
  <c r="AQ42" i="122" s="1"/>
  <c r="GF263" i="122"/>
  <c r="EF133" i="122" s="1"/>
  <c r="AR42" i="122" s="1"/>
  <c r="GG263" i="122"/>
  <c r="ED89" i="122"/>
  <c r="JZ52" i="122" s="1"/>
  <c r="GF269" i="122"/>
  <c r="EF134" i="122" s="1"/>
  <c r="AR43" i="122" s="1"/>
  <c r="GG269" i="122"/>
  <c r="FI81" i="122"/>
  <c r="EI120" i="122"/>
  <c r="AU29" i="122" s="1"/>
  <c r="EI99" i="122"/>
  <c r="AU8" i="122" s="1"/>
  <c r="EI101" i="122"/>
  <c r="AU10" i="122" s="1"/>
  <c r="EI102" i="122"/>
  <c r="AU11" i="122" s="1"/>
  <c r="AT10" i="122"/>
  <c r="IS53" i="122"/>
  <c r="AT8" i="122"/>
  <c r="IQ53" i="122"/>
  <c r="AT24" i="122"/>
  <c r="JG53" i="122"/>
  <c r="AT29" i="122"/>
  <c r="JL53" i="122"/>
  <c r="AU24" i="122"/>
  <c r="IT53" i="122"/>
  <c r="AT11" i="122"/>
  <c r="BO24" i="122" l="1"/>
  <c r="BM24" i="122"/>
  <c r="BO10" i="122"/>
  <c r="BM10" i="122"/>
  <c r="BD42" i="122"/>
  <c r="CB42" i="122" s="1"/>
  <c r="BF42" i="122"/>
  <c r="BM11" i="122"/>
  <c r="BO11" i="122"/>
  <c r="BO29" i="122"/>
  <c r="BM29" i="122"/>
  <c r="BO8" i="122"/>
  <c r="BM8" i="122"/>
  <c r="EF88" i="122"/>
  <c r="DZ42" i="122" s="1"/>
  <c r="EO267" i="122"/>
  <c r="EF89" i="122"/>
  <c r="EO273" i="122"/>
  <c r="EF24" i="122"/>
  <c r="EF10" i="122"/>
  <c r="EF29" i="122"/>
  <c r="EF8" i="122"/>
  <c r="ED134" i="122"/>
  <c r="AQ43" i="122" s="1"/>
  <c r="JY52" i="122"/>
  <c r="EF11" i="122"/>
  <c r="BD43" i="122" l="1"/>
  <c r="CB43" i="122" s="1"/>
  <c r="BF43" i="122"/>
  <c r="DZ43" i="122"/>
  <c r="DK12" i="122" l="1"/>
  <c r="AI12" i="122" l="1"/>
  <c r="J12" i="122" s="1"/>
  <c r="ER77" i="122"/>
  <c r="EV77" i="122" l="1"/>
  <c r="ES77" i="122"/>
  <c r="GE95" i="122" l="1"/>
  <c r="ED60" i="122" s="1"/>
  <c r="ED105" i="122" s="1"/>
  <c r="GE101" i="122"/>
  <c r="GE89" i="122"/>
  <c r="ED59" i="122" s="1"/>
  <c r="ED104" i="122" s="1"/>
  <c r="GE107" i="122"/>
  <c r="ED62" i="122" s="1"/>
  <c r="ED107" i="122" s="1"/>
  <c r="GE83" i="122"/>
  <c r="ED58" i="122" s="1"/>
  <c r="ED103" i="122" s="1"/>
  <c r="ED61" i="122" l="1"/>
  <c r="ED106" i="122" s="1"/>
  <c r="AQ15" i="122" s="1"/>
  <c r="GG101" i="122"/>
  <c r="EO105" i="122" s="1"/>
  <c r="GF101" i="122"/>
  <c r="GG95" i="122"/>
  <c r="IW52" i="122"/>
  <c r="AQ14" i="122"/>
  <c r="GF95" i="122"/>
  <c r="EO80" i="122"/>
  <c r="GE77" i="122"/>
  <c r="ED57" i="122" s="1"/>
  <c r="ED102" i="122" s="1"/>
  <c r="IY52" i="122"/>
  <c r="GG107" i="122"/>
  <c r="AQ16" i="122"/>
  <c r="GF107" i="122"/>
  <c r="EF107" i="122" s="1"/>
  <c r="GG83" i="122"/>
  <c r="AQ12" i="122"/>
  <c r="GF83" i="122"/>
  <c r="IU52" i="122"/>
  <c r="IV52" i="122"/>
  <c r="GF89" i="122"/>
  <c r="AQ13" i="122"/>
  <c r="GG89" i="122"/>
  <c r="BF14" i="122" l="1"/>
  <c r="BD14" i="122"/>
  <c r="BD15" i="122"/>
  <c r="BF15" i="122"/>
  <c r="BF12" i="122"/>
  <c r="BD12" i="122"/>
  <c r="BD13" i="122"/>
  <c r="BF13" i="122"/>
  <c r="BD16" i="122"/>
  <c r="BF16" i="122"/>
  <c r="EF58" i="122"/>
  <c r="DZ12" i="122" s="1"/>
  <c r="EO87" i="122"/>
  <c r="EF59" i="122"/>
  <c r="DZ13" i="122" s="1"/>
  <c r="EO93" i="122"/>
  <c r="EF62" i="122"/>
  <c r="DZ16" i="122" s="1"/>
  <c r="EO111" i="122"/>
  <c r="EF60" i="122"/>
  <c r="DZ14" i="122" s="1"/>
  <c r="EO99" i="122"/>
  <c r="EF105" i="122"/>
  <c r="AR14" i="122" s="1"/>
  <c r="EF104" i="122"/>
  <c r="AR13" i="122" s="1"/>
  <c r="EF103" i="122"/>
  <c r="AR12" i="122" s="1"/>
  <c r="IX52" i="122"/>
  <c r="EF61" i="122"/>
  <c r="DZ15" i="122" s="1"/>
  <c r="EF106" i="122"/>
  <c r="AR15" i="122" s="1"/>
  <c r="AR16" i="122"/>
  <c r="GG77" i="122"/>
  <c r="EF57" i="122" s="1"/>
  <c r="AQ11" i="122"/>
  <c r="GF77" i="122"/>
  <c r="IT52" i="122"/>
  <c r="BD11" i="122" l="1"/>
  <c r="BF11" i="122"/>
  <c r="EF102" i="122"/>
  <c r="AR11" i="122" s="1"/>
  <c r="DZ11" i="122"/>
  <c r="EO81" i="122"/>
  <c r="HC310" i="122" l="1"/>
  <c r="HH310" i="122"/>
  <c r="HE310" i="122" l="1"/>
  <c r="HJ310" i="122" s="1"/>
  <c r="HQ310" i="122" s="1"/>
  <c r="HM310" i="122"/>
  <c r="HO310" i="122"/>
  <c r="HU310" i="122" l="1"/>
  <c r="HV310" i="122" s="1"/>
  <c r="DK7" i="122"/>
  <c r="AI7" i="122"/>
  <c r="J7" i="122" s="1"/>
  <c r="AI43" i="122"/>
  <c r="J43" i="122" s="1"/>
  <c r="AI45" i="122"/>
  <c r="J45" i="122" s="1"/>
  <c r="DK42" i="122"/>
  <c r="DK22" i="122"/>
  <c r="DK10" i="122" l="1"/>
  <c r="AL39" i="122"/>
  <c r="K39" i="122" s="1"/>
  <c r="AL37" i="122"/>
  <c r="K37" i="122" s="1"/>
  <c r="AI10" i="122"/>
  <c r="J10" i="122" s="1"/>
  <c r="DK8" i="122"/>
  <c r="AI8" i="122"/>
  <c r="J8" i="122" s="1"/>
  <c r="DK45" i="122"/>
  <c r="AI44" i="122"/>
  <c r="J44" i="122" s="1"/>
  <c r="DK44" i="122"/>
  <c r="DK46" i="122"/>
  <c r="DK43" i="122"/>
  <c r="AI46" i="122"/>
  <c r="J46" i="122" s="1"/>
  <c r="DK47" i="122"/>
  <c r="AI47" i="122"/>
  <c r="J47" i="122" s="1"/>
  <c r="DQ19" i="122"/>
  <c r="DQ21" i="122"/>
  <c r="DQ43" i="122"/>
  <c r="DQ45" i="122"/>
  <c r="DQ42" i="122"/>
  <c r="AL43" i="122"/>
  <c r="K43" i="122" s="1"/>
  <c r="DQ37" i="122"/>
  <c r="DQ44" i="122"/>
  <c r="DQ41" i="122"/>
  <c r="AL44" i="122"/>
  <c r="K44" i="122" s="1"/>
  <c r="AL47" i="122"/>
  <c r="K47" i="122" s="1"/>
  <c r="DQ38" i="122"/>
  <c r="DQ39" i="122"/>
  <c r="DQ40" i="122"/>
  <c r="AL45" i="122"/>
  <c r="K45" i="122" s="1"/>
  <c r="AL46" i="122"/>
  <c r="K46" i="122" s="1"/>
  <c r="DQ47" i="122"/>
  <c r="DQ46" i="122"/>
  <c r="DK48" i="122"/>
  <c r="DK32" i="122"/>
  <c r="DK31" i="122"/>
  <c r="DK20" i="122"/>
  <c r="DK17" i="122"/>
  <c r="DQ13" i="122"/>
  <c r="DQ15" i="122"/>
  <c r="DK38" i="122"/>
  <c r="DQ27" i="122"/>
  <c r="DQ20" i="122"/>
  <c r="DQ30" i="122"/>
  <c r="DK35" i="122"/>
  <c r="DK37" i="122"/>
  <c r="DQ33" i="122"/>
  <c r="DK39" i="122"/>
  <c r="DK40" i="122"/>
  <c r="DQ23" i="122"/>
  <c r="DK36" i="122"/>
  <c r="DQ25" i="122"/>
  <c r="DQ18" i="122"/>
  <c r="DK41" i="122"/>
  <c r="DK34" i="122"/>
  <c r="DK33" i="122"/>
  <c r="DQ28" i="122"/>
  <c r="DK30" i="122"/>
  <c r="DK29" i="122"/>
  <c r="DK25" i="122"/>
  <c r="DQ22" i="122"/>
  <c r="DK23" i="122"/>
  <c r="DK18" i="122"/>
  <c r="DQ7" i="122"/>
  <c r="DK24" i="122"/>
  <c r="AI13" i="122"/>
  <c r="J13" i="122" s="1"/>
  <c r="DQ9" i="122"/>
  <c r="AI11" i="122"/>
  <c r="J11" i="122" s="1"/>
  <c r="AI14" i="122"/>
  <c r="J14" i="122" s="1"/>
  <c r="AI16" i="122"/>
  <c r="J16" i="122" s="1"/>
  <c r="DK14" i="122"/>
  <c r="DQ12" i="122"/>
  <c r="AI15" i="122"/>
  <c r="J15" i="122" s="1"/>
  <c r="DK11" i="122"/>
  <c r="DK21" i="122"/>
  <c r="DQ14" i="122"/>
  <c r="DK15" i="122"/>
  <c r="DK26" i="122"/>
  <c r="DK16" i="122"/>
  <c r="DK19" i="122"/>
  <c r="DQ16" i="122"/>
  <c r="DK28" i="122"/>
  <c r="DK27" i="122"/>
  <c r="DQ17" i="122"/>
  <c r="DK13" i="122"/>
  <c r="AL19" i="122" l="1"/>
  <c r="K19" i="122" s="1"/>
  <c r="AI33" i="122"/>
  <c r="J33" i="122" s="1"/>
  <c r="AL25" i="122"/>
  <c r="K25" i="122" s="1"/>
  <c r="AI18" i="122"/>
  <c r="J18" i="122" s="1"/>
  <c r="AI19" i="122"/>
  <c r="J19" i="122" s="1"/>
  <c r="AI22" i="122"/>
  <c r="J22" i="122" s="1"/>
  <c r="AL14" i="122"/>
  <c r="K14" i="122" s="1"/>
  <c r="AI26" i="122"/>
  <c r="J26" i="122" s="1"/>
  <c r="AI30" i="122"/>
  <c r="J30" i="122" s="1"/>
  <c r="AL18" i="122"/>
  <c r="K18" i="122" s="1"/>
  <c r="AI38" i="122"/>
  <c r="J38" i="122" s="1"/>
  <c r="AL30" i="122"/>
  <c r="K30" i="122" s="1"/>
  <c r="AI34" i="122"/>
  <c r="J34" i="122" s="1"/>
  <c r="AI20" i="122"/>
  <c r="J20" i="122" s="1"/>
  <c r="AL20" i="122"/>
  <c r="K20" i="122" s="1"/>
  <c r="AL40" i="122"/>
  <c r="K40" i="122" s="1"/>
  <c r="AL42" i="122"/>
  <c r="K42" i="122" s="1"/>
  <c r="AI23" i="122"/>
  <c r="J23" i="122" s="1"/>
  <c r="AL12" i="122"/>
  <c r="K12" i="122" s="1"/>
  <c r="AL22" i="122"/>
  <c r="K22" i="122" s="1"/>
  <c r="AI25" i="122"/>
  <c r="J25" i="122" s="1"/>
  <c r="AI29" i="122"/>
  <c r="J29" i="122" s="1"/>
  <c r="AL27" i="122"/>
  <c r="K27" i="122" s="1"/>
  <c r="AL33" i="122"/>
  <c r="K33" i="122" s="1"/>
  <c r="AI35" i="122"/>
  <c r="J35" i="122" s="1"/>
  <c r="AI39" i="122"/>
  <c r="J39" i="122" s="1"/>
  <c r="AI41" i="122"/>
  <c r="J41" i="122" s="1"/>
  <c r="AI32" i="122"/>
  <c r="J32" i="122" s="1"/>
  <c r="AL13" i="122"/>
  <c r="K13" i="122" s="1"/>
  <c r="AI36" i="122"/>
  <c r="J36" i="122" s="1"/>
  <c r="AL21" i="122"/>
  <c r="K21" i="122" s="1"/>
  <c r="AI27" i="122"/>
  <c r="J27" i="122" s="1"/>
  <c r="AL9" i="122"/>
  <c r="K9" i="122" s="1"/>
  <c r="FL65" i="122"/>
  <c r="AI21" i="122"/>
  <c r="J21" i="122" s="1"/>
  <c r="AL17" i="122"/>
  <c r="K17" i="122" s="1"/>
  <c r="AL23" i="122"/>
  <c r="K23" i="122" s="1"/>
  <c r="AI17" i="122"/>
  <c r="J17" i="122" s="1"/>
  <c r="AL41" i="122"/>
  <c r="K41" i="122" s="1"/>
  <c r="AI42" i="122"/>
  <c r="J42" i="122" s="1"/>
  <c r="AL7" i="122"/>
  <c r="K7" i="122" s="1"/>
  <c r="FL53" i="122"/>
  <c r="AL16" i="122"/>
  <c r="K16" i="122" s="1"/>
  <c r="AI24" i="122"/>
  <c r="J24" i="122" s="1"/>
  <c r="AI28" i="122"/>
  <c r="J28" i="122" s="1"/>
  <c r="AI40" i="122"/>
  <c r="J40" i="122" s="1"/>
  <c r="AL28" i="122"/>
  <c r="K28" i="122" s="1"/>
  <c r="AI37" i="122"/>
  <c r="J37" i="122" s="1"/>
  <c r="AL15" i="122"/>
  <c r="K15" i="122" s="1"/>
  <c r="AI31" i="122"/>
  <c r="J31" i="122" s="1"/>
  <c r="AI48" i="122"/>
  <c r="ER299" i="122"/>
  <c r="AL38" i="122"/>
  <c r="K38" i="122" s="1"/>
  <c r="DQ5" i="122"/>
  <c r="AK5" i="122" s="1"/>
  <c r="DK5" i="122"/>
  <c r="AH5" i="122" s="1"/>
  <c r="GQ233" i="122" l="1"/>
  <c r="GL233" i="122"/>
  <c r="EG83" i="122" s="1"/>
  <c r="GM233" i="122"/>
  <c r="EI128" i="122" s="1"/>
  <c r="AU37" i="122" s="1"/>
  <c r="FP53" i="122"/>
  <c r="FM53" i="122"/>
  <c r="FM65" i="122"/>
  <c r="FP65" i="122"/>
  <c r="GQ245" i="122"/>
  <c r="GL245" i="122"/>
  <c r="EG85" i="122" s="1"/>
  <c r="GM245" i="122"/>
  <c r="EI130" i="122" s="1"/>
  <c r="AU39" i="122" s="1"/>
  <c r="EV299" i="122"/>
  <c r="ES299" i="122"/>
  <c r="EI85" i="122" l="1"/>
  <c r="FI249" i="122"/>
  <c r="EI83" i="122"/>
  <c r="FI237" i="122"/>
  <c r="GM119" i="122"/>
  <c r="EI109" i="122" s="1"/>
  <c r="AU18" i="122" s="1"/>
  <c r="GL119" i="122"/>
  <c r="EG64" i="122" s="1"/>
  <c r="GQ119" i="122"/>
  <c r="GE209" i="122"/>
  <c r="GE143" i="122"/>
  <c r="GE131" i="122"/>
  <c r="GL101" i="122"/>
  <c r="EG61" i="122" s="1"/>
  <c r="GQ101" i="122"/>
  <c r="GM101" i="122"/>
  <c r="EI106" i="122" s="1"/>
  <c r="AU15" i="122" s="1"/>
  <c r="GE185" i="122"/>
  <c r="EG130" i="122"/>
  <c r="AT39" i="122" s="1"/>
  <c r="JV53" i="122"/>
  <c r="GE215" i="122"/>
  <c r="GE155" i="122"/>
  <c r="GE233" i="122"/>
  <c r="GE179" i="122"/>
  <c r="GE221" i="122"/>
  <c r="GQ89" i="122"/>
  <c r="GM89" i="122"/>
  <c r="EI104" i="122" s="1"/>
  <c r="AU13" i="122" s="1"/>
  <c r="GL89" i="122"/>
  <c r="EG59" i="122" s="1"/>
  <c r="GE149" i="122"/>
  <c r="GE245" i="122"/>
  <c r="GE227" i="122"/>
  <c r="GQ65" i="122"/>
  <c r="EI55" i="122" s="1"/>
  <c r="GM65" i="122"/>
  <c r="EI100" i="122" s="1"/>
  <c r="AU9" i="122" s="1"/>
  <c r="GL65" i="122"/>
  <c r="EG55" i="122" s="1"/>
  <c r="FI68" i="122"/>
  <c r="GM161" i="122"/>
  <c r="EI116" i="122" s="1"/>
  <c r="AU25" i="122" s="1"/>
  <c r="GL161" i="122"/>
  <c r="EG71" i="122" s="1"/>
  <c r="GQ161" i="122"/>
  <c r="GQ95" i="122"/>
  <c r="GL95" i="122"/>
  <c r="EG60" i="122" s="1"/>
  <c r="GM95" i="122"/>
  <c r="EI105" i="122" s="1"/>
  <c r="AU14" i="122" s="1"/>
  <c r="GE239" i="122"/>
  <c r="GE251" i="122"/>
  <c r="EG128" i="122"/>
  <c r="AT37" i="122" s="1"/>
  <c r="JT53" i="122"/>
  <c r="GE161" i="122"/>
  <c r="GE173" i="122"/>
  <c r="GQ149" i="122"/>
  <c r="GM149" i="122"/>
  <c r="EI114" i="122" s="1"/>
  <c r="AU23" i="122" s="1"/>
  <c r="GL149" i="122"/>
  <c r="EG69" i="122" s="1"/>
  <c r="GL179" i="122"/>
  <c r="EG74" i="122" s="1"/>
  <c r="GQ179" i="122"/>
  <c r="GM179" i="122"/>
  <c r="EI119" i="122" s="1"/>
  <c r="AU28" i="122" s="1"/>
  <c r="EV304" i="122"/>
  <c r="FP304" i="122"/>
  <c r="FP51" i="122" s="1"/>
  <c r="GL191" i="122"/>
  <c r="EG76" i="122" s="1"/>
  <c r="GQ191" i="122"/>
  <c r="GM191" i="122"/>
  <c r="EI121" i="122" s="1"/>
  <c r="AU30" i="122" s="1"/>
  <c r="GQ251" i="122"/>
  <c r="GM251" i="122"/>
  <c r="EI131" i="122" s="1"/>
  <c r="AU40" i="122" s="1"/>
  <c r="GL251" i="122"/>
  <c r="EG86" i="122" s="1"/>
  <c r="GM143" i="122"/>
  <c r="EI113" i="122" s="1"/>
  <c r="AU22" i="122" s="1"/>
  <c r="GL143" i="122"/>
  <c r="EG68" i="122" s="1"/>
  <c r="GQ143" i="122"/>
  <c r="GQ209" i="122"/>
  <c r="GL209" i="122"/>
  <c r="EG79" i="122" s="1"/>
  <c r="GM209" i="122"/>
  <c r="EI124" i="122" s="1"/>
  <c r="AU33" i="122" s="1"/>
  <c r="ES304" i="122"/>
  <c r="ES51" i="122" s="1"/>
  <c r="GM131" i="122"/>
  <c r="EI111" i="122" s="1"/>
  <c r="AU20" i="122" s="1"/>
  <c r="GQ131" i="122"/>
  <c r="GL131" i="122"/>
  <c r="EG66" i="122" s="1"/>
  <c r="FM304" i="122"/>
  <c r="FM51" i="122" s="1"/>
  <c r="GE197" i="122"/>
  <c r="GE275" i="122"/>
  <c r="GM83" i="122"/>
  <c r="EI103" i="122" s="1"/>
  <c r="AU12" i="122" s="1"/>
  <c r="GQ83" i="122"/>
  <c r="GL83" i="122"/>
  <c r="EG58" i="122" s="1"/>
  <c r="GM173" i="122"/>
  <c r="EI118" i="122" s="1"/>
  <c r="AU27" i="122" s="1"/>
  <c r="GQ173" i="122"/>
  <c r="GL173" i="122"/>
  <c r="EG73" i="122" s="1"/>
  <c r="GE257" i="122"/>
  <c r="GQ137" i="122"/>
  <c r="GL137" i="122"/>
  <c r="EG67" i="122" s="1"/>
  <c r="GM137" i="122"/>
  <c r="EI112" i="122" s="1"/>
  <c r="AU21" i="122" s="1"/>
  <c r="GE287" i="122"/>
  <c r="GE119" i="122"/>
  <c r="GE167" i="122"/>
  <c r="GQ107" i="122"/>
  <c r="GM107" i="122"/>
  <c r="EI107" i="122" s="1"/>
  <c r="AU16" i="122" s="1"/>
  <c r="GL107" i="122"/>
  <c r="EG62" i="122" s="1"/>
  <c r="GE299" i="122"/>
  <c r="EO302" i="122"/>
  <c r="GE203" i="122"/>
  <c r="GQ113" i="122"/>
  <c r="GL113" i="122"/>
  <c r="EG63" i="122" s="1"/>
  <c r="GM113" i="122"/>
  <c r="EI108" i="122" s="1"/>
  <c r="AU17" i="122" s="1"/>
  <c r="GE281" i="122"/>
  <c r="GM125" i="122"/>
  <c r="EI110" i="122" s="1"/>
  <c r="AU19" i="122" s="1"/>
  <c r="GQ125" i="122"/>
  <c r="GL125" i="122"/>
  <c r="EG65" i="122" s="1"/>
  <c r="GE125" i="122"/>
  <c r="GE191" i="122"/>
  <c r="GE293" i="122"/>
  <c r="GM239" i="122"/>
  <c r="EI129" i="122" s="1"/>
  <c r="AU38" i="122" s="1"/>
  <c r="GQ239" i="122"/>
  <c r="GL239" i="122"/>
  <c r="EG84" i="122" s="1"/>
  <c r="GE137" i="122"/>
  <c r="GM257" i="122"/>
  <c r="EI132" i="122" s="1"/>
  <c r="AU41" i="122" s="1"/>
  <c r="GL257" i="122"/>
  <c r="EG87" i="122" s="1"/>
  <c r="GQ257" i="122"/>
  <c r="EI87" i="122" l="1"/>
  <c r="FI261" i="122"/>
  <c r="EI86" i="122"/>
  <c r="FI255" i="122"/>
  <c r="BM39" i="122"/>
  <c r="BO39" i="122"/>
  <c r="BO37" i="122"/>
  <c r="BM37" i="122"/>
  <c r="EI84" i="122"/>
  <c r="FI243" i="122"/>
  <c r="EI74" i="122"/>
  <c r="FI183" i="122"/>
  <c r="EI79" i="122"/>
  <c r="FI213" i="122"/>
  <c r="EI76" i="122"/>
  <c r="FI195" i="122"/>
  <c r="EI73" i="122"/>
  <c r="FI177" i="122"/>
  <c r="EI71" i="122"/>
  <c r="FI165" i="122"/>
  <c r="EI67" i="122"/>
  <c r="FI141" i="122"/>
  <c r="EI59" i="122"/>
  <c r="FI93" i="122"/>
  <c r="EI63" i="122"/>
  <c r="FI117" i="122"/>
  <c r="EI65" i="122"/>
  <c r="FI129" i="122"/>
  <c r="EI69" i="122"/>
  <c r="FI153" i="122"/>
  <c r="EI68" i="122"/>
  <c r="FI147" i="122"/>
  <c r="EI58" i="122"/>
  <c r="FI87" i="122"/>
  <c r="EI64" i="122"/>
  <c r="FI123" i="122"/>
  <c r="FI69" i="122"/>
  <c r="EI66" i="122"/>
  <c r="FI135" i="122"/>
  <c r="EI60" i="122"/>
  <c r="FI99" i="122"/>
  <c r="EI62" i="122"/>
  <c r="FI111" i="122"/>
  <c r="EI61" i="122"/>
  <c r="FI105" i="122"/>
  <c r="ED93" i="122"/>
  <c r="ED138" i="122" s="1"/>
  <c r="AQ47" i="122" s="1"/>
  <c r="GF293" i="122"/>
  <c r="EF138" i="122" s="1"/>
  <c r="AR47" i="122" s="1"/>
  <c r="GG293" i="122"/>
  <c r="ED92" i="122"/>
  <c r="KC52" i="122" s="1"/>
  <c r="GF287" i="122"/>
  <c r="EF137" i="122" s="1"/>
  <c r="AR46" i="122" s="1"/>
  <c r="GG287" i="122"/>
  <c r="ED91" i="122"/>
  <c r="KB52" i="122" s="1"/>
  <c r="GF281" i="122"/>
  <c r="EF136" i="122" s="1"/>
  <c r="AR45" i="122" s="1"/>
  <c r="GG281" i="122"/>
  <c r="ED90" i="122"/>
  <c r="KA52" i="122" s="1"/>
  <c r="GF275" i="122"/>
  <c r="EF135" i="122" s="1"/>
  <c r="AR44" i="122" s="1"/>
  <c r="GG275" i="122"/>
  <c r="FE51" i="122"/>
  <c r="ED76" i="122"/>
  <c r="GG191" i="122"/>
  <c r="GF191" i="122"/>
  <c r="EF121" i="122" s="1"/>
  <c r="AR30" i="122" s="1"/>
  <c r="ED65" i="122"/>
  <c r="GG125" i="122"/>
  <c r="GF125" i="122"/>
  <c r="EF110" i="122" s="1"/>
  <c r="AR19" i="122" s="1"/>
  <c r="EG108" i="122"/>
  <c r="AT17" i="122" s="1"/>
  <c r="IZ53" i="122"/>
  <c r="ED78" i="122"/>
  <c r="GG203" i="122"/>
  <c r="GF203" i="122"/>
  <c r="EF123" i="122" s="1"/>
  <c r="AR32" i="122" s="1"/>
  <c r="FI56" i="122"/>
  <c r="GM53" i="122"/>
  <c r="EI98" i="122" s="1"/>
  <c r="AU7" i="122" s="1"/>
  <c r="GL53" i="122"/>
  <c r="EG53" i="122" s="1"/>
  <c r="GQ53" i="122"/>
  <c r="EI53" i="122" s="1"/>
  <c r="GE113" i="122"/>
  <c r="EG113" i="122"/>
  <c r="AT22" i="122" s="1"/>
  <c r="JE53" i="122"/>
  <c r="EG131" i="122"/>
  <c r="AT40" i="122" s="1"/>
  <c r="JW53" i="122"/>
  <c r="EG121" i="122"/>
  <c r="AT30" i="122" s="1"/>
  <c r="JM53" i="122"/>
  <c r="EF37" i="122"/>
  <c r="EG105" i="122"/>
  <c r="AT14" i="122" s="1"/>
  <c r="IW53" i="122"/>
  <c r="EG116" i="122"/>
  <c r="AT25" i="122" s="1"/>
  <c r="JH53" i="122"/>
  <c r="ED85" i="122"/>
  <c r="GG245" i="122"/>
  <c r="GF245" i="122"/>
  <c r="EF130" i="122" s="1"/>
  <c r="AR39" i="122" s="1"/>
  <c r="ED69" i="122"/>
  <c r="GF149" i="122"/>
  <c r="EF114" i="122" s="1"/>
  <c r="AR23" i="122" s="1"/>
  <c r="GG149" i="122"/>
  <c r="ED83" i="122"/>
  <c r="GG233" i="122"/>
  <c r="GF233" i="122"/>
  <c r="EF128" i="122" s="1"/>
  <c r="AR37" i="122" s="1"/>
  <c r="EF39" i="122"/>
  <c r="ED68" i="122"/>
  <c r="GG143" i="122"/>
  <c r="GF143" i="122"/>
  <c r="EF113" i="122" s="1"/>
  <c r="AR22" i="122" s="1"/>
  <c r="EG129" i="122"/>
  <c r="AT38" i="122" s="1"/>
  <c r="JU53" i="122"/>
  <c r="EG107" i="122"/>
  <c r="AT16" i="122" s="1"/>
  <c r="IY53" i="122"/>
  <c r="ED64" i="122"/>
  <c r="GG119" i="122"/>
  <c r="GF119" i="122"/>
  <c r="EF109" i="122" s="1"/>
  <c r="AR18" i="122" s="1"/>
  <c r="EG112" i="122"/>
  <c r="AT21" i="122" s="1"/>
  <c r="JD53" i="122"/>
  <c r="EG103" i="122"/>
  <c r="AT12" i="122" s="1"/>
  <c r="IU53" i="122"/>
  <c r="GG197" i="122"/>
  <c r="GF197" i="122"/>
  <c r="EF122" i="122" s="1"/>
  <c r="AR31" i="122" s="1"/>
  <c r="ED77" i="122"/>
  <c r="EG124" i="122"/>
  <c r="AT33" i="122" s="1"/>
  <c r="JP53" i="122"/>
  <c r="EG119" i="122"/>
  <c r="AT28" i="122" s="1"/>
  <c r="JK53" i="122"/>
  <c r="ED73" i="122"/>
  <c r="GG173" i="122"/>
  <c r="EO177" i="122" s="1"/>
  <c r="GF173" i="122"/>
  <c r="EF118" i="122" s="1"/>
  <c r="AR27" i="122" s="1"/>
  <c r="GF251" i="122"/>
  <c r="EF131" i="122" s="1"/>
  <c r="AR40" i="122" s="1"/>
  <c r="ED86" i="122"/>
  <c r="GG251" i="122"/>
  <c r="GG221" i="122"/>
  <c r="GF221" i="122"/>
  <c r="EF126" i="122" s="1"/>
  <c r="AR35" i="122" s="1"/>
  <c r="ED81" i="122"/>
  <c r="ED74" i="122"/>
  <c r="GG179" i="122"/>
  <c r="GF179" i="122"/>
  <c r="EF119" i="122" s="1"/>
  <c r="AR28" i="122" s="1"/>
  <c r="GF209" i="122"/>
  <c r="EF124" i="122" s="1"/>
  <c r="AR33" i="122" s="1"/>
  <c r="GG209" i="122"/>
  <c r="ED79" i="122"/>
  <c r="EG109" i="122"/>
  <c r="AT18" i="122" s="1"/>
  <c r="JA53" i="122"/>
  <c r="EG110" i="122"/>
  <c r="AT19" i="122" s="1"/>
  <c r="JB53" i="122"/>
  <c r="EG118" i="122"/>
  <c r="AT27" i="122" s="1"/>
  <c r="JJ53" i="122"/>
  <c r="EG111" i="122"/>
  <c r="AT20" i="122" s="1"/>
  <c r="JC53" i="122"/>
  <c r="EV51" i="122"/>
  <c r="GF239" i="122"/>
  <c r="EF129" i="122" s="1"/>
  <c r="AR38" i="122" s="1"/>
  <c r="ED84" i="122"/>
  <c r="GG239" i="122"/>
  <c r="GF227" i="122"/>
  <c r="EF127" i="122" s="1"/>
  <c r="AR36" i="122" s="1"/>
  <c r="GG227" i="122"/>
  <c r="ED82" i="122"/>
  <c r="EG104" i="122"/>
  <c r="AT13" i="122" s="1"/>
  <c r="IV53" i="122"/>
  <c r="ED75" i="122"/>
  <c r="GF185" i="122"/>
  <c r="EF120" i="122" s="1"/>
  <c r="AR29" i="122" s="1"/>
  <c r="GG185" i="122"/>
  <c r="EG132" i="122"/>
  <c r="AT41" i="122" s="1"/>
  <c r="JX53" i="122"/>
  <c r="ED67" i="122"/>
  <c r="GG137" i="122"/>
  <c r="GF137" i="122"/>
  <c r="EF112" i="122" s="1"/>
  <c r="AR21" i="122" s="1"/>
  <c r="ED94" i="122"/>
  <c r="GF299" i="122"/>
  <c r="EF139" i="122" s="1"/>
  <c r="AR48" i="122" s="1"/>
  <c r="GG299" i="122"/>
  <c r="ED72" i="122"/>
  <c r="GG167" i="122"/>
  <c r="GF167" i="122"/>
  <c r="EF117" i="122" s="1"/>
  <c r="AR26" i="122" s="1"/>
  <c r="GF257" i="122"/>
  <c r="EF132" i="122" s="1"/>
  <c r="AR41" i="122" s="1"/>
  <c r="GG257" i="122"/>
  <c r="ED87" i="122"/>
  <c r="EG114" i="122"/>
  <c r="AT23" i="122" s="1"/>
  <c r="JF53" i="122"/>
  <c r="ED71" i="122"/>
  <c r="GF161" i="122"/>
  <c r="EF116" i="122" s="1"/>
  <c r="AR25" i="122" s="1"/>
  <c r="GG161" i="122"/>
  <c r="EG100" i="122"/>
  <c r="AT9" i="122" s="1"/>
  <c r="IR53" i="122"/>
  <c r="ED70" i="122"/>
  <c r="GG155" i="122"/>
  <c r="GF155" i="122"/>
  <c r="EF115" i="122" s="1"/>
  <c r="AR24" i="122" s="1"/>
  <c r="GF215" i="122"/>
  <c r="EF125" i="122" s="1"/>
  <c r="AR34" i="122" s="1"/>
  <c r="GG215" i="122"/>
  <c r="ED80" i="122"/>
  <c r="EG106" i="122"/>
  <c r="AT15" i="122" s="1"/>
  <c r="IX53" i="122"/>
  <c r="ED66" i="122"/>
  <c r="GF131" i="122"/>
  <c r="EF111" i="122" s="1"/>
  <c r="AR20" i="122" s="1"/>
  <c r="GG131" i="122"/>
  <c r="BO28" i="122" l="1"/>
  <c r="BF47" i="122"/>
  <c r="BD47" i="122"/>
  <c r="CB47" i="122" s="1"/>
  <c r="EF92" i="122"/>
  <c r="EO291" i="122"/>
  <c r="EF93" i="122"/>
  <c r="EO297" i="122"/>
  <c r="BM20" i="122"/>
  <c r="BO20" i="122"/>
  <c r="BO19" i="122"/>
  <c r="BM19" i="122"/>
  <c r="BM21" i="122"/>
  <c r="BO21" i="122"/>
  <c r="BM14" i="122"/>
  <c r="CB14" i="122" s="1"/>
  <c r="BO14" i="122"/>
  <c r="BO33" i="122"/>
  <c r="BM33" i="122"/>
  <c r="BM40" i="122"/>
  <c r="BO40" i="122"/>
  <c r="BM15" i="122"/>
  <c r="CB15" i="122" s="1"/>
  <c r="BO15" i="122"/>
  <c r="BM13" i="122"/>
  <c r="BO13" i="122"/>
  <c r="BO38" i="122"/>
  <c r="BM38" i="122"/>
  <c r="BO30" i="122"/>
  <c r="BM30" i="122"/>
  <c r="BM22" i="122"/>
  <c r="BO22" i="122"/>
  <c r="BO16" i="122"/>
  <c r="BM16" i="122"/>
  <c r="BO17" i="122"/>
  <c r="BM17" i="122"/>
  <c r="BM23" i="122"/>
  <c r="BO23" i="122"/>
  <c r="BO9" i="122"/>
  <c r="BM9" i="122"/>
  <c r="CB9" i="122" s="1"/>
  <c r="BM28" i="122"/>
  <c r="BM41" i="122"/>
  <c r="BO41" i="122"/>
  <c r="BO27" i="122"/>
  <c r="BM27" i="122"/>
  <c r="BO18" i="122"/>
  <c r="BM18" i="122"/>
  <c r="BO12" i="122"/>
  <c r="BM12" i="122"/>
  <c r="BO25" i="122"/>
  <c r="BM25" i="122"/>
  <c r="EF91" i="122"/>
  <c r="EO285" i="122"/>
  <c r="EF83" i="122"/>
  <c r="EO237" i="122"/>
  <c r="EF86" i="122"/>
  <c r="EO255" i="122"/>
  <c r="EF87" i="122"/>
  <c r="EO261" i="122"/>
  <c r="EF84" i="122"/>
  <c r="EO243" i="122"/>
  <c r="EF90" i="122"/>
  <c r="EO279" i="122"/>
  <c r="EF85" i="122"/>
  <c r="EO249" i="122"/>
  <c r="EF94" i="122"/>
  <c r="EO303" i="122"/>
  <c r="FI57" i="122"/>
  <c r="EF70" i="122"/>
  <c r="EO159" i="122"/>
  <c r="EF69" i="122"/>
  <c r="EO153" i="122"/>
  <c r="EF65" i="122"/>
  <c r="EO129" i="122"/>
  <c r="EF64" i="122"/>
  <c r="EO123" i="122"/>
  <c r="EF82" i="122"/>
  <c r="EO231" i="122"/>
  <c r="EF81" i="122"/>
  <c r="EO225" i="122"/>
  <c r="EF80" i="122"/>
  <c r="EO219" i="122"/>
  <c r="EF78" i="122"/>
  <c r="EO207" i="122"/>
  <c r="EF67" i="122"/>
  <c r="EO141" i="122"/>
  <c r="EF66" i="122"/>
  <c r="EO135" i="122"/>
  <c r="EF79" i="122"/>
  <c r="EO213" i="122"/>
  <c r="EF77" i="122"/>
  <c r="EO201" i="122"/>
  <c r="EF76" i="122"/>
  <c r="EO195" i="122"/>
  <c r="EF73" i="122"/>
  <c r="EF75" i="122"/>
  <c r="EO189" i="122"/>
  <c r="EF74" i="122"/>
  <c r="EO183" i="122"/>
  <c r="EF72" i="122"/>
  <c r="EO171" i="122"/>
  <c r="EF23" i="122"/>
  <c r="EF9" i="122"/>
  <c r="EF27" i="122"/>
  <c r="EF18" i="122"/>
  <c r="EF12" i="122"/>
  <c r="EF20" i="122"/>
  <c r="EF15" i="122"/>
  <c r="EF13" i="122"/>
  <c r="EF28" i="122"/>
  <c r="EF25" i="122"/>
  <c r="EF16" i="122"/>
  <c r="EF14" i="122"/>
  <c r="EF30" i="122"/>
  <c r="EF22" i="122"/>
  <c r="EF19" i="122"/>
  <c r="EF21" i="122"/>
  <c r="EF17" i="122"/>
  <c r="EF71" i="122"/>
  <c r="EO165" i="122"/>
  <c r="EF68" i="122"/>
  <c r="EO147" i="122"/>
  <c r="KD52" i="122"/>
  <c r="ED135" i="122"/>
  <c r="AQ44" i="122" s="1"/>
  <c r="ED137" i="122"/>
  <c r="AQ46" i="122" s="1"/>
  <c r="ED136" i="122"/>
  <c r="AQ45" i="122" s="1"/>
  <c r="ED111" i="122"/>
  <c r="AQ20" i="122" s="1"/>
  <c r="JC52" i="122"/>
  <c r="ED115" i="122"/>
  <c r="AQ24" i="122" s="1"/>
  <c r="JG52" i="122"/>
  <c r="ED132" i="122"/>
  <c r="AQ41" i="122" s="1"/>
  <c r="JX52" i="122"/>
  <c r="ED139" i="122"/>
  <c r="AQ48" i="122" s="1"/>
  <c r="IO52" i="122"/>
  <c r="ED120" i="122"/>
  <c r="AQ29" i="122" s="1"/>
  <c r="JL52" i="122"/>
  <c r="JN52" i="122"/>
  <c r="ED122" i="122"/>
  <c r="AQ31" i="122" s="1"/>
  <c r="ED63" i="122"/>
  <c r="GF113" i="122"/>
  <c r="EF108" i="122" s="1"/>
  <c r="AR17" i="122" s="1"/>
  <c r="GG113" i="122"/>
  <c r="ED121" i="122"/>
  <c r="AQ30" i="122" s="1"/>
  <c r="JM52" i="122"/>
  <c r="ED125" i="122"/>
  <c r="AQ34" i="122" s="1"/>
  <c r="JQ52" i="122"/>
  <c r="ED112" i="122"/>
  <c r="AQ21" i="122" s="1"/>
  <c r="JD52" i="122"/>
  <c r="ED127" i="122"/>
  <c r="AQ36" i="122" s="1"/>
  <c r="JS52" i="122"/>
  <c r="JU52" i="122"/>
  <c r="ED129" i="122"/>
  <c r="AQ38" i="122" s="1"/>
  <c r="JR52" i="122"/>
  <c r="ED126" i="122"/>
  <c r="AQ35" i="122" s="1"/>
  <c r="JW52" i="122"/>
  <c r="ED131" i="122"/>
  <c r="AQ40" i="122" s="1"/>
  <c r="ED118" i="122"/>
  <c r="AQ27" i="122" s="1"/>
  <c r="JJ52" i="122"/>
  <c r="EF33" i="122"/>
  <c r="ED109" i="122"/>
  <c r="AQ18" i="122" s="1"/>
  <c r="JA52" i="122"/>
  <c r="EF38" i="122"/>
  <c r="JT52" i="122"/>
  <c r="ED128" i="122"/>
  <c r="AQ37" i="122" s="1"/>
  <c r="EF40" i="122"/>
  <c r="EG98" i="122"/>
  <c r="AT7" i="122" s="1"/>
  <c r="IP53" i="122"/>
  <c r="ED119" i="122"/>
  <c r="AQ28" i="122" s="1"/>
  <c r="JK52" i="122"/>
  <c r="ED113" i="122"/>
  <c r="AQ22" i="122" s="1"/>
  <c r="JE52" i="122"/>
  <c r="ED114" i="122"/>
  <c r="AQ23" i="122" s="1"/>
  <c r="JF52" i="122"/>
  <c r="ED123" i="122"/>
  <c r="AQ32" i="122" s="1"/>
  <c r="JO52" i="122"/>
  <c r="ED116" i="122"/>
  <c r="AQ25" i="122" s="1"/>
  <c r="JH52" i="122"/>
  <c r="ED117" i="122"/>
  <c r="AQ26" i="122" s="1"/>
  <c r="JI52" i="122"/>
  <c r="EF41" i="122"/>
  <c r="DZ47" i="122"/>
  <c r="JP52" i="122"/>
  <c r="ED124" i="122"/>
  <c r="AQ33" i="122" s="1"/>
  <c r="ED130" i="122"/>
  <c r="AQ39" i="122" s="1"/>
  <c r="JV52" i="122"/>
  <c r="ED110" i="122"/>
  <c r="AQ19" i="122" s="1"/>
  <c r="JB52" i="122"/>
  <c r="DZ48" i="122" l="1"/>
  <c r="BF46" i="122"/>
  <c r="BD46" i="122"/>
  <c r="CB46" i="122" s="1"/>
  <c r="BD45" i="122"/>
  <c r="CB45" i="122" s="1"/>
  <c r="BF45" i="122"/>
  <c r="BF44" i="122"/>
  <c r="BD44" i="122"/>
  <c r="CB44" i="122" s="1"/>
  <c r="BD33" i="122"/>
  <c r="BF33" i="122"/>
  <c r="BF21" i="122"/>
  <c r="CF21" i="122" s="1"/>
  <c r="BD21" i="122"/>
  <c r="BF39" i="122"/>
  <c r="BD39" i="122"/>
  <c r="CB39" i="122" s="1"/>
  <c r="BF25" i="122"/>
  <c r="BD25" i="122"/>
  <c r="BD23" i="122"/>
  <c r="CB23" i="122" s="1"/>
  <c r="BF23" i="122"/>
  <c r="BD28" i="122"/>
  <c r="CB28" i="122" s="1"/>
  <c r="BF28" i="122"/>
  <c r="CF28" i="122" s="1"/>
  <c r="BF37" i="122"/>
  <c r="BD37" i="122"/>
  <c r="CB37" i="122" s="1"/>
  <c r="BF18" i="122"/>
  <c r="BD18" i="122"/>
  <c r="BD40" i="122"/>
  <c r="CB40" i="122" s="1"/>
  <c r="BF40" i="122"/>
  <c r="BD38" i="122"/>
  <c r="CB38" i="122" s="1"/>
  <c r="BF38" i="122"/>
  <c r="BD29" i="122"/>
  <c r="BF29" i="122"/>
  <c r="BD41" i="122"/>
  <c r="CB41" i="122" s="1"/>
  <c r="BF41" i="122"/>
  <c r="BF20" i="122"/>
  <c r="BD20" i="122"/>
  <c r="BF31" i="122"/>
  <c r="BD31" i="122"/>
  <c r="BF27" i="122"/>
  <c r="BD27" i="122"/>
  <c r="BD36" i="122"/>
  <c r="CB36" i="122" s="1"/>
  <c r="BF36" i="122"/>
  <c r="BF34" i="122"/>
  <c r="BD34" i="122"/>
  <c r="BD30" i="122"/>
  <c r="CB30" i="122" s="1"/>
  <c r="BF30" i="122"/>
  <c r="BF19" i="122"/>
  <c r="BD19" i="122"/>
  <c r="BD26" i="122"/>
  <c r="BF26" i="122"/>
  <c r="CF26" i="122" s="1"/>
  <c r="BD32" i="122"/>
  <c r="BF32" i="122"/>
  <c r="BD22" i="122"/>
  <c r="BF22" i="122"/>
  <c r="BO7" i="122"/>
  <c r="BM7" i="122"/>
  <c r="BD35" i="122"/>
  <c r="CB35" i="122" s="1"/>
  <c r="BF35" i="122"/>
  <c r="BF24" i="122"/>
  <c r="CF24" i="122" s="1"/>
  <c r="BD24" i="122"/>
  <c r="EF63" i="122"/>
  <c r="EO117" i="122"/>
  <c r="DZ37" i="122"/>
  <c r="DZ27" i="122"/>
  <c r="DZ36" i="122"/>
  <c r="DZ34" i="122"/>
  <c r="DZ45" i="122"/>
  <c r="DZ19" i="122"/>
  <c r="DZ23" i="122"/>
  <c r="DZ28" i="122"/>
  <c r="DZ35" i="122"/>
  <c r="DZ24" i="122"/>
  <c r="DZ18" i="122"/>
  <c r="DZ33" i="122"/>
  <c r="DZ21" i="122"/>
  <c r="DZ30" i="122"/>
  <c r="DZ31" i="122"/>
  <c r="DZ39" i="122"/>
  <c r="DZ26" i="122"/>
  <c r="DZ32" i="122"/>
  <c r="DZ40" i="122"/>
  <c r="DZ38" i="122"/>
  <c r="DZ29" i="122"/>
  <c r="DZ20" i="122"/>
  <c r="DZ25" i="122"/>
  <c r="DZ22" i="122"/>
  <c r="DZ44" i="122"/>
  <c r="DZ46" i="122"/>
  <c r="EF7" i="122"/>
  <c r="EF5" i="122" s="1"/>
  <c r="AT6" i="122"/>
  <c r="ED108" i="122"/>
  <c r="AQ17" i="122" s="1"/>
  <c r="IZ52" i="122"/>
  <c r="DZ41" i="122"/>
  <c r="AQ6" i="122" l="1"/>
  <c r="BF17" i="122"/>
  <c r="CF17" i="122" s="1"/>
  <c r="BD17" i="122"/>
  <c r="CB17" i="122" s="1"/>
  <c r="DZ17" i="122"/>
  <c r="DZ5" i="122" s="1"/>
  <c r="FN47" i="122" l="1"/>
  <c r="FO47" i="122"/>
  <c r="EH47" i="122" l="1"/>
  <c r="EI47" i="122" s="1"/>
  <c r="EJ47" i="122" s="1"/>
  <c r="DS47" i="122"/>
  <c r="DT47" i="122" s="1"/>
  <c r="DU47" i="122" s="1"/>
  <c r="I47" i="122"/>
  <c r="FM47" i="122"/>
  <c r="BS47" i="122" l="1"/>
  <c r="EZ47" i="122"/>
  <c r="FA47" i="122"/>
  <c r="GM47" i="122"/>
  <c r="GL47" i="122"/>
  <c r="GN47" i="122" s="1"/>
  <c r="GK47" i="122"/>
  <c r="GF47" i="122"/>
  <c r="GH47" i="122" s="1"/>
  <c r="CF47" i="122"/>
  <c r="EW47" i="122"/>
  <c r="GG47" i="122"/>
  <c r="GE47" i="122"/>
  <c r="CK47" i="122" l="1"/>
  <c r="BU47" i="122"/>
  <c r="CL47" i="122"/>
  <c r="BW47" i="122"/>
  <c r="EB47" i="122"/>
  <c r="EC47" i="122" s="1"/>
  <c r="ED47" i="122" s="1"/>
  <c r="H47" i="122"/>
  <c r="DM47" i="122"/>
  <c r="DN47" i="122" s="1"/>
  <c r="DO47" i="122" s="1"/>
  <c r="FH47" i="122"/>
  <c r="FG47" i="122"/>
  <c r="ET47" i="122"/>
  <c r="ES47" i="122"/>
  <c r="ER47" i="122"/>
  <c r="BS46" i="122" l="1"/>
  <c r="H46" i="122"/>
  <c r="EB46" i="122"/>
  <c r="EC46" i="122" s="1"/>
  <c r="ED46" i="122" s="1"/>
  <c r="DM46" i="122"/>
  <c r="DN46" i="122" s="1"/>
  <c r="DO46" i="122" s="1"/>
  <c r="FG46" i="122"/>
  <c r="FH46" i="122"/>
  <c r="ER46" i="122"/>
  <c r="EH46" i="122"/>
  <c r="EI46" i="122" s="1"/>
  <c r="EJ46" i="122" s="1"/>
  <c r="I46" i="122"/>
  <c r="DS46" i="122"/>
  <c r="DT46" i="122" s="1"/>
  <c r="DU46" i="122" s="1"/>
  <c r="FM46" i="122"/>
  <c r="FN46" i="122" l="1"/>
  <c r="GM46" i="122" l="1"/>
  <c r="EZ46" i="122"/>
  <c r="FA46" i="122"/>
  <c r="GL46" i="122"/>
  <c r="GN46" i="122" s="1"/>
  <c r="GK46" i="122"/>
  <c r="ES46" i="122"/>
  <c r="FO46" i="122"/>
  <c r="HH47" i="122"/>
  <c r="HC47" i="122"/>
  <c r="HE47" i="122"/>
  <c r="GF46" i="122"/>
  <c r="GH46" i="122" s="1"/>
  <c r="ET46" i="122"/>
  <c r="HA47" i="122"/>
  <c r="GE46" i="122"/>
  <c r="GT47" i="122"/>
  <c r="CF46" i="122"/>
  <c r="GG46" i="122"/>
  <c r="EW46" i="122"/>
  <c r="CK46" i="122" l="1"/>
  <c r="BU46" i="122"/>
  <c r="CL46" i="122"/>
  <c r="BW46" i="122"/>
  <c r="IK21" i="122" l="1"/>
  <c r="IK70" i="122" l="1"/>
  <c r="IK22" i="122"/>
  <c r="IM21" i="122"/>
  <c r="IM70" i="122" s="1"/>
  <c r="IK20" i="122"/>
  <c r="IM22" i="122" l="1"/>
  <c r="IM71" i="122" s="1"/>
  <c r="IK71" i="122"/>
  <c r="IK23" i="122"/>
  <c r="IK19" i="122"/>
  <c r="IM20" i="122"/>
  <c r="IM69" i="122" s="1"/>
  <c r="IK69" i="122"/>
  <c r="IM23" i="122" l="1"/>
  <c r="IM72" i="122" s="1"/>
  <c r="IK72" i="122"/>
  <c r="IK24" i="122"/>
  <c r="IM19" i="122"/>
  <c r="IM68" i="122" s="1"/>
  <c r="IK68" i="122"/>
  <c r="IK18" i="122"/>
  <c r="IK67" i="122" l="1"/>
  <c r="IK17" i="122"/>
  <c r="IM18" i="122"/>
  <c r="IM67" i="122" s="1"/>
  <c r="IM24" i="122"/>
  <c r="IM73" i="122" s="1"/>
  <c r="IK25" i="122"/>
  <c r="IK73" i="122"/>
  <c r="IM25" i="122" l="1"/>
  <c r="IM74" i="122" s="1"/>
  <c r="IK26" i="122"/>
  <c r="IK74" i="122"/>
  <c r="IK66" i="122"/>
  <c r="IM17" i="122"/>
  <c r="IM66" i="122" s="1"/>
  <c r="IK16" i="122"/>
  <c r="IK75" i="122" l="1"/>
  <c r="IK27" i="122"/>
  <c r="IM26" i="122"/>
  <c r="IM75" i="122" s="1"/>
  <c r="IM16" i="122"/>
  <c r="IM65" i="122" s="1"/>
  <c r="IK65" i="122"/>
  <c r="IK15" i="122"/>
  <c r="IM15" i="122" l="1"/>
  <c r="IM64" i="122" s="1"/>
  <c r="IK14" i="122"/>
  <c r="IK63" i="122" s="1"/>
  <c r="IK64" i="122"/>
  <c r="IK28" i="122"/>
  <c r="IK76" i="122"/>
  <c r="IM27" i="122"/>
  <c r="IM76" i="122" s="1"/>
  <c r="IM14" i="122" l="1"/>
  <c r="IM63" i="122" s="1"/>
  <c r="IK13" i="122"/>
  <c r="IM28" i="122"/>
  <c r="IM77" i="122" s="1"/>
  <c r="IK77" i="122"/>
  <c r="IK29" i="122"/>
  <c r="IM29" i="122" l="1"/>
  <c r="IM78" i="122" s="1"/>
  <c r="IK78" i="122"/>
  <c r="IK30" i="122"/>
  <c r="IM13" i="122"/>
  <c r="IM62" i="122" s="1"/>
  <c r="IK12" i="122"/>
  <c r="IK62" i="122"/>
  <c r="IK61" i="122" l="1"/>
  <c r="IK11" i="122"/>
  <c r="IM12" i="122"/>
  <c r="IM61" i="122" s="1"/>
  <c r="IM30" i="122"/>
  <c r="IM79" i="122" s="1"/>
  <c r="IK79" i="122"/>
  <c r="IK31" i="122"/>
  <c r="IK10" i="122" l="1"/>
  <c r="IM11" i="122"/>
  <c r="IM60" i="122" s="1"/>
  <c r="IK60" i="122"/>
  <c r="IK80" i="122"/>
  <c r="IM31" i="122"/>
  <c r="IM80" i="122" s="1"/>
  <c r="IK32" i="122"/>
  <c r="IK9" i="122" l="1"/>
  <c r="IM10" i="122"/>
  <c r="IM59" i="122" s="1"/>
  <c r="IK59" i="122"/>
  <c r="IK81" i="122"/>
  <c r="IM32" i="122"/>
  <c r="IM81" i="122" s="1"/>
  <c r="IK33" i="122"/>
  <c r="IK34" i="122" l="1"/>
  <c r="IK82" i="122"/>
  <c r="IM33" i="122"/>
  <c r="IM82" i="122" s="1"/>
  <c r="IM9" i="122"/>
  <c r="IM58" i="122" s="1"/>
  <c r="IK8" i="122"/>
  <c r="IK58" i="122"/>
  <c r="IK57" i="122" l="1"/>
  <c r="IK7" i="122"/>
  <c r="IM8" i="122"/>
  <c r="IM57" i="122" s="1"/>
  <c r="IM34" i="122"/>
  <c r="IM83" i="122" s="1"/>
  <c r="IK83" i="122"/>
  <c r="IK35" i="122"/>
  <c r="IM35" i="122" l="1"/>
  <c r="IM84" i="122" s="1"/>
  <c r="IK84" i="122"/>
  <c r="IK36" i="122"/>
  <c r="IK56" i="122"/>
  <c r="IM7" i="122"/>
  <c r="IM56" i="122" s="1"/>
  <c r="IK85" i="122" l="1"/>
  <c r="IK37" i="122"/>
  <c r="IM36" i="122"/>
  <c r="IM85" i="122" s="1"/>
  <c r="IM37" i="122" l="1"/>
  <c r="IM86" i="122" s="1"/>
  <c r="IK38" i="122"/>
  <c r="IK86" i="122"/>
  <c r="IM38" i="122" l="1"/>
  <c r="IM87" i="122" s="1"/>
  <c r="IK87" i="122"/>
  <c r="IK39" i="122"/>
  <c r="IK40" i="122" l="1"/>
  <c r="IK88" i="122"/>
  <c r="IM39" i="122"/>
  <c r="IM88" i="122" s="1"/>
  <c r="IK89" i="122" l="1"/>
  <c r="IK41" i="122"/>
  <c r="IM40" i="122"/>
  <c r="IM89" i="122" s="1"/>
  <c r="IK42" i="122" l="1"/>
  <c r="IK90" i="122"/>
  <c r="IM41" i="122"/>
  <c r="IM90" i="122" s="1"/>
  <c r="IM42" i="122" l="1"/>
  <c r="IM91" i="122" s="1"/>
  <c r="IK91" i="122"/>
  <c r="IK43" i="122"/>
  <c r="IM43" i="122" l="1"/>
  <c r="IM92" i="122" s="1"/>
  <c r="IK92" i="122"/>
  <c r="IK44" i="122"/>
  <c r="IK45" i="122" l="1"/>
  <c r="IM44" i="122"/>
  <c r="IM93" i="122" s="1"/>
  <c r="IK93" i="122"/>
  <c r="IK94" i="122" l="1"/>
  <c r="IK46" i="122"/>
  <c r="IM45" i="122"/>
  <c r="IM94" i="122" s="1"/>
  <c r="IK95" i="122" l="1"/>
  <c r="IM46" i="122"/>
  <c r="IM95" i="122" s="1"/>
  <c r="IK47" i="122"/>
  <c r="IK96" i="122" l="1"/>
  <c r="IM47" i="122"/>
  <c r="IM96" i="122" s="1"/>
  <c r="FN44" i="122" l="1"/>
  <c r="HD46" i="122"/>
  <c r="HF46" i="122"/>
  <c r="FO44" i="122"/>
  <c r="HI46" i="122"/>
  <c r="FM44" i="122" l="1"/>
  <c r="I44" i="122"/>
  <c r="DS44" i="122"/>
  <c r="DT44" i="122" s="1"/>
  <c r="DU44" i="122" s="1"/>
  <c r="EH44" i="122"/>
  <c r="EI44" i="122" s="1"/>
  <c r="EJ44" i="122" s="1"/>
  <c r="FT47" i="122" l="1"/>
  <c r="FS47" i="122"/>
  <c r="EY47" i="122"/>
  <c r="EX47" i="122"/>
  <c r="EX46" i="122"/>
  <c r="FS46" i="122"/>
  <c r="FT46" i="122"/>
  <c r="EY46" i="122"/>
  <c r="IL46" i="122"/>
  <c r="IH46" i="122" s="1"/>
  <c r="IL47" i="122"/>
  <c r="IH47" i="122" s="1"/>
  <c r="IL44" i="122"/>
  <c r="IH44" i="122" s="1"/>
  <c r="IL43" i="122"/>
  <c r="IH43" i="122" s="1"/>
  <c r="IL45" i="122"/>
  <c r="IH45" i="122" s="1"/>
  <c r="JE46" i="122" l="1"/>
  <c r="IZ46" i="122"/>
  <c r="KB46" i="122"/>
  <c r="JB46" i="122"/>
  <c r="JH46" i="122"/>
  <c r="JL46" i="122"/>
  <c r="JO46" i="122"/>
  <c r="JD46" i="122"/>
  <c r="JV46" i="122"/>
  <c r="IP46" i="122"/>
  <c r="KD46" i="122"/>
  <c r="JP46" i="122"/>
  <c r="IX46" i="122"/>
  <c r="JR46" i="122"/>
  <c r="JT46" i="122"/>
  <c r="JI46" i="122"/>
  <c r="IY46" i="122"/>
  <c r="JA46" i="122"/>
  <c r="KC46" i="122"/>
  <c r="IT46" i="122"/>
  <c r="JN46" i="122"/>
  <c r="JS46" i="122"/>
  <c r="IU46" i="122"/>
  <c r="JU46" i="122"/>
  <c r="JJ46" i="122"/>
  <c r="JW46" i="122"/>
  <c r="JM46" i="122"/>
  <c r="IO46" i="122"/>
  <c r="JG46" i="122"/>
  <c r="JC46" i="122"/>
  <c r="JZ46" i="122"/>
  <c r="JF46" i="122"/>
  <c r="Y46" i="122"/>
  <c r="JX46" i="122"/>
  <c r="IW46" i="122"/>
  <c r="JQ46" i="122"/>
  <c r="IR46" i="122"/>
  <c r="IS46" i="122"/>
  <c r="IV46" i="122"/>
  <c r="KA46" i="122"/>
  <c r="IQ46" i="122"/>
  <c r="JK46" i="122"/>
  <c r="JY46" i="122"/>
  <c r="IL95" i="122"/>
  <c r="JH47" i="122"/>
  <c r="JJ47" i="122"/>
  <c r="JT47" i="122"/>
  <c r="JN47" i="122"/>
  <c r="JV47" i="122"/>
  <c r="IX47" i="122"/>
  <c r="IQ47" i="122"/>
  <c r="IS47" i="122"/>
  <c r="KA47" i="122"/>
  <c r="IV47" i="122"/>
  <c r="IL96" i="122"/>
  <c r="JG47" i="122"/>
  <c r="JL47" i="122"/>
  <c r="JR47" i="122"/>
  <c r="IW47" i="122"/>
  <c r="JU47" i="122"/>
  <c r="JA47" i="122"/>
  <c r="IT47" i="122"/>
  <c r="KC47" i="122"/>
  <c r="IU47" i="122"/>
  <c r="JF47" i="122"/>
  <c r="JK47" i="122"/>
  <c r="JW47" i="122"/>
  <c r="KB47" i="122"/>
  <c r="IO47" i="122"/>
  <c r="JM47" i="122"/>
  <c r="IZ47" i="122"/>
  <c r="Y47" i="122"/>
  <c r="JE47" i="122"/>
  <c r="JI47" i="122"/>
  <c r="JX47" i="122"/>
  <c r="IP47" i="122"/>
  <c r="KD47" i="122"/>
  <c r="JP47" i="122"/>
  <c r="IY47" i="122"/>
  <c r="JS47" i="122"/>
  <c r="JY47" i="122"/>
  <c r="JQ47" i="122"/>
  <c r="JO47" i="122"/>
  <c r="JC47" i="122"/>
  <c r="JZ47" i="122"/>
  <c r="JD47" i="122"/>
  <c r="JB47" i="122"/>
  <c r="IR47" i="122"/>
  <c r="JN45" i="122"/>
  <c r="JS45" i="122"/>
  <c r="JC45" i="122"/>
  <c r="JW45" i="122"/>
  <c r="IL94" i="122"/>
  <c r="KC45" i="122"/>
  <c r="IP45" i="122"/>
  <c r="IR45" i="122"/>
  <c r="JY45" i="122"/>
  <c r="IQ45" i="122"/>
  <c r="JG45" i="122"/>
  <c r="IS45" i="122"/>
  <c r="JJ45" i="122"/>
  <c r="JK45" i="122"/>
  <c r="KA45" i="122"/>
  <c r="JZ45" i="122"/>
  <c r="JL45" i="122"/>
  <c r="JH45" i="122"/>
  <c r="JI45" i="122"/>
  <c r="JE45" i="122"/>
  <c r="JQ45" i="122"/>
  <c r="IT45" i="122"/>
  <c r="JU45" i="122"/>
  <c r="Y45" i="122"/>
  <c r="JD45" i="122"/>
  <c r="JX45" i="122"/>
  <c r="IW45" i="122"/>
  <c r="JR45" i="122"/>
  <c r="JB45" i="122"/>
  <c r="JT45" i="122"/>
  <c r="IX45" i="122"/>
  <c r="JP45" i="122"/>
  <c r="JO45" i="122"/>
  <c r="JF45" i="122"/>
  <c r="IV45" i="122"/>
  <c r="IO45" i="122"/>
  <c r="IY45" i="122"/>
  <c r="IU45" i="122"/>
  <c r="JV45" i="122"/>
  <c r="JA45" i="122"/>
  <c r="JM45" i="122"/>
  <c r="KB45" i="122"/>
  <c r="KD45" i="122"/>
  <c r="IZ45" i="122"/>
  <c r="JR43" i="122"/>
  <c r="IL92" i="122"/>
  <c r="IY43" i="122"/>
  <c r="JQ43" i="122"/>
  <c r="IR43" i="122"/>
  <c r="JJ43" i="122"/>
  <c r="JI43" i="122"/>
  <c r="JY43" i="122"/>
  <c r="IQ43" i="122"/>
  <c r="IU43" i="122"/>
  <c r="JG43" i="122"/>
  <c r="JU43" i="122"/>
  <c r="JN43" i="122"/>
  <c r="JZ43" i="122"/>
  <c r="IX43" i="122"/>
  <c r="JK43" i="122"/>
  <c r="JV43" i="122"/>
  <c r="IW43" i="122"/>
  <c r="IV43" i="122"/>
  <c r="IZ43" i="122"/>
  <c r="IS43" i="122"/>
  <c r="IP43" i="122"/>
  <c r="JX43" i="122"/>
  <c r="JW43" i="122"/>
  <c r="JL43" i="122"/>
  <c r="JF43" i="122"/>
  <c r="JT43" i="122"/>
  <c r="KC43" i="122"/>
  <c r="JS43" i="122"/>
  <c r="JD43" i="122"/>
  <c r="KB43" i="122"/>
  <c r="JE43" i="122"/>
  <c r="JH43" i="122"/>
  <c r="IO43" i="122"/>
  <c r="IT43" i="122"/>
  <c r="JO43" i="122"/>
  <c r="JC43" i="122"/>
  <c r="JB43" i="122"/>
  <c r="Y43" i="122"/>
  <c r="JM43" i="122"/>
  <c r="KD43" i="122"/>
  <c r="JP43" i="122"/>
  <c r="JA43" i="122"/>
  <c r="KA43" i="122"/>
  <c r="JB44" i="122"/>
  <c r="JI44" i="122"/>
  <c r="Y44" i="122"/>
  <c r="JL44" i="122"/>
  <c r="JR44" i="122"/>
  <c r="JK44" i="122"/>
  <c r="KA44" i="122"/>
  <c r="IQ44" i="122"/>
  <c r="IV44" i="122"/>
  <c r="IW44" i="122"/>
  <c r="JT44" i="122"/>
  <c r="IO44" i="122"/>
  <c r="IU44" i="122"/>
  <c r="JE44" i="122"/>
  <c r="JV44" i="122"/>
  <c r="JU44" i="122"/>
  <c r="JO44" i="122"/>
  <c r="IP44" i="122"/>
  <c r="IX44" i="122"/>
  <c r="JH44" i="122"/>
  <c r="KC44" i="122"/>
  <c r="JY44" i="122"/>
  <c r="JP44" i="122"/>
  <c r="JD44" i="122"/>
  <c r="JW44" i="122"/>
  <c r="IY44" i="122"/>
  <c r="JQ44" i="122"/>
  <c r="JX44" i="122"/>
  <c r="IS44" i="122"/>
  <c r="JS44" i="122"/>
  <c r="KB44" i="122"/>
  <c r="IR44" i="122"/>
  <c r="JM44" i="122"/>
  <c r="KD44" i="122"/>
  <c r="IT44" i="122"/>
  <c r="IZ44" i="122"/>
  <c r="JC44" i="122"/>
  <c r="JJ44" i="122"/>
  <c r="JZ44" i="122"/>
  <c r="JA44" i="122"/>
  <c r="JF44" i="122"/>
  <c r="JN44" i="122"/>
  <c r="IL93" i="122"/>
  <c r="JG44" i="122"/>
  <c r="IN46" i="122" l="1"/>
  <c r="Z46" i="122" s="1"/>
  <c r="IN47" i="122"/>
  <c r="Z47" i="122" s="1"/>
  <c r="IY96" i="122"/>
  <c r="KA96" i="122"/>
  <c r="IO96" i="122"/>
  <c r="IV96" i="122"/>
  <c r="JA96" i="122"/>
  <c r="IR96" i="122"/>
  <c r="JS96" i="122"/>
  <c r="JR96" i="122"/>
  <c r="JW96" i="122"/>
  <c r="JJ96" i="122"/>
  <c r="KC96" i="122"/>
  <c r="JE96" i="122"/>
  <c r="JG96" i="122"/>
  <c r="JY96" i="122"/>
  <c r="JO96" i="122"/>
  <c r="IU96" i="122"/>
  <c r="IS96" i="122"/>
  <c r="JC96" i="122"/>
  <c r="IP96" i="122"/>
  <c r="JM96" i="122"/>
  <c r="JP96" i="122"/>
  <c r="JH96" i="122"/>
  <c r="JQ96" i="122"/>
  <c r="IT96" i="122"/>
  <c r="KD96" i="122"/>
  <c r="JL96" i="122"/>
  <c r="JB96" i="122"/>
  <c r="JX96" i="122"/>
  <c r="JU96" i="122"/>
  <c r="IZ96" i="122"/>
  <c r="KB96" i="122"/>
  <c r="JF96" i="122"/>
  <c r="JD96" i="122"/>
  <c r="JT96" i="122"/>
  <c r="JZ96" i="122"/>
  <c r="JI96" i="122"/>
  <c r="IX96" i="122"/>
  <c r="JN96" i="122"/>
  <c r="IQ96" i="122"/>
  <c r="IW96" i="122"/>
  <c r="JK96" i="122"/>
  <c r="JV96" i="122"/>
  <c r="KC95" i="122"/>
  <c r="JQ95" i="122"/>
  <c r="JF95" i="122"/>
  <c r="IV95" i="122"/>
  <c r="KA95" i="122"/>
  <c r="JO95" i="122"/>
  <c r="IX95" i="122"/>
  <c r="JU95" i="122"/>
  <c r="JE95" i="122"/>
  <c r="JA95" i="122"/>
  <c r="IP95" i="122"/>
  <c r="JL95" i="122"/>
  <c r="JM95" i="122"/>
  <c r="JH95" i="122"/>
  <c r="JC95" i="122"/>
  <c r="JS95" i="122"/>
  <c r="JV95" i="122"/>
  <c r="IR95" i="122"/>
  <c r="IZ95" i="122"/>
  <c r="IT95" i="122"/>
  <c r="JN95" i="122"/>
  <c r="JG95" i="122"/>
  <c r="JZ95" i="122"/>
  <c r="JR95" i="122"/>
  <c r="JY95" i="122"/>
  <c r="IU95" i="122"/>
  <c r="JK95" i="122"/>
  <c r="JP95" i="122"/>
  <c r="KD95" i="122"/>
  <c r="IY95" i="122"/>
  <c r="JX95" i="122"/>
  <c r="JD95" i="122"/>
  <c r="IS95" i="122"/>
  <c r="JW95" i="122"/>
  <c r="KB95" i="122"/>
  <c r="IW95" i="122"/>
  <c r="IQ95" i="122"/>
  <c r="JT95" i="122"/>
  <c r="JI95" i="122"/>
  <c r="IO95" i="122"/>
  <c r="JJ95" i="122"/>
  <c r="JB95" i="122"/>
  <c r="IN43" i="122"/>
  <c r="Z43" i="122" s="1"/>
  <c r="IN44" i="122"/>
  <c r="Z44" i="122" s="1"/>
  <c r="IN45" i="122"/>
  <c r="Z45" i="122" s="1"/>
  <c r="KA92" i="122"/>
  <c r="JF92" i="122"/>
  <c r="JZ92" i="122"/>
  <c r="JX92" i="122"/>
  <c r="IS92" i="122"/>
  <c r="JC92" i="122"/>
  <c r="KC92" i="122"/>
  <c r="JQ92" i="122"/>
  <c r="KD92" i="122"/>
  <c r="JN92" i="122"/>
  <c r="JW92" i="122"/>
  <c r="IQ92" i="122"/>
  <c r="JI92" i="122"/>
  <c r="JU92" i="122"/>
  <c r="JB92" i="122"/>
  <c r="IY92" i="122"/>
  <c r="JE92" i="122"/>
  <c r="JO92" i="122"/>
  <c r="IV92" i="122"/>
  <c r="IT92" i="122"/>
  <c r="KB92" i="122"/>
  <c r="IR92" i="122"/>
  <c r="JL92" i="122"/>
  <c r="JJ92" i="122"/>
  <c r="JP92" i="122"/>
  <c r="JM92" i="122"/>
  <c r="IO92" i="122"/>
  <c r="JH92" i="122"/>
  <c r="IW92" i="122"/>
  <c r="IP92" i="122"/>
  <c r="IU92" i="122"/>
  <c r="JV92" i="122"/>
  <c r="JA92" i="122"/>
  <c r="JS92" i="122"/>
  <c r="IX92" i="122"/>
  <c r="JT92" i="122"/>
  <c r="JK92" i="122"/>
  <c r="JY92" i="122"/>
  <c r="JD92" i="122"/>
  <c r="JG92" i="122"/>
  <c r="JR92" i="122"/>
  <c r="IZ92" i="122"/>
  <c r="JE94" i="122"/>
  <c r="KB94" i="122"/>
  <c r="JC94" i="122"/>
  <c r="JA94" i="122"/>
  <c r="IS94" i="122"/>
  <c r="JZ94" i="122"/>
  <c r="JN94" i="122"/>
  <c r="IW94" i="122"/>
  <c r="IX94" i="122"/>
  <c r="JR94" i="122"/>
  <c r="IO94" i="122"/>
  <c r="IY94" i="122"/>
  <c r="JG94" i="122"/>
  <c r="JJ94" i="122"/>
  <c r="IR94" i="122"/>
  <c r="JF94" i="122"/>
  <c r="JK94" i="122"/>
  <c r="IQ94" i="122"/>
  <c r="JI94" i="122"/>
  <c r="JQ94" i="122"/>
  <c r="JL94" i="122"/>
  <c r="IP94" i="122"/>
  <c r="IT94" i="122"/>
  <c r="JY94" i="122"/>
  <c r="JW94" i="122"/>
  <c r="IU94" i="122"/>
  <c r="JX94" i="122"/>
  <c r="JV94" i="122"/>
  <c r="JO94" i="122"/>
  <c r="JB94" i="122"/>
  <c r="IV94" i="122"/>
  <c r="IZ94" i="122"/>
  <c r="JU94" i="122"/>
  <c r="KD94" i="122"/>
  <c r="KA94" i="122"/>
  <c r="JD94" i="122"/>
  <c r="JS94" i="122"/>
  <c r="JH94" i="122"/>
  <c r="JT94" i="122"/>
  <c r="JM94" i="122"/>
  <c r="KC94" i="122"/>
  <c r="JP94" i="122"/>
  <c r="IT93" i="122"/>
  <c r="IO93" i="122"/>
  <c r="IZ93" i="122"/>
  <c r="KB93" i="122"/>
  <c r="JB93" i="122"/>
  <c r="JY93" i="122"/>
  <c r="KA93" i="122"/>
  <c r="JL93" i="122"/>
  <c r="IY93" i="122"/>
  <c r="JZ93" i="122"/>
  <c r="JM93" i="122"/>
  <c r="JS93" i="122"/>
  <c r="JO93" i="122"/>
  <c r="JJ93" i="122"/>
  <c r="JK93" i="122"/>
  <c r="IP93" i="122"/>
  <c r="KD93" i="122"/>
  <c r="JC93" i="122"/>
  <c r="JF93" i="122"/>
  <c r="JD93" i="122"/>
  <c r="IX93" i="122"/>
  <c r="JN93" i="122"/>
  <c r="JU93" i="122"/>
  <c r="JV93" i="122"/>
  <c r="JR93" i="122"/>
  <c r="IR93" i="122"/>
  <c r="KC93" i="122"/>
  <c r="JH93" i="122"/>
  <c r="IU93" i="122"/>
  <c r="IV93" i="122"/>
  <c r="IW93" i="122"/>
  <c r="JP93" i="122"/>
  <c r="JE93" i="122"/>
  <c r="JQ93" i="122"/>
  <c r="JG93" i="122"/>
  <c r="JA93" i="122"/>
  <c r="JI93" i="122"/>
  <c r="JW93" i="122"/>
  <c r="JT93" i="122"/>
  <c r="IS93" i="122"/>
  <c r="IQ93" i="122"/>
  <c r="JX93" i="122"/>
  <c r="IN96" i="122" l="1"/>
  <c r="IN95" i="122"/>
  <c r="IN94" i="122"/>
  <c r="IN92" i="122"/>
  <c r="IN93" i="122"/>
  <c r="AB47" i="122" l="1"/>
  <c r="IH96" i="122"/>
  <c r="AB46" i="122"/>
  <c r="IH95" i="122"/>
  <c r="II93" i="122"/>
  <c r="IH93" i="122"/>
  <c r="II94" i="122"/>
  <c r="IH94" i="122"/>
  <c r="II92" i="122"/>
  <c r="IH92" i="122"/>
  <c r="II96" i="122"/>
  <c r="II95" i="122"/>
  <c r="AB45" i="122"/>
  <c r="AB43" i="122"/>
  <c r="AB44" i="122"/>
  <c r="FO43" i="122" l="1"/>
  <c r="HF45" i="122"/>
  <c r="HE44" i="122"/>
  <c r="HC44" i="122"/>
  <c r="HD45" i="122"/>
  <c r="HE45" i="122"/>
  <c r="HC45" i="122"/>
  <c r="FN45" i="122"/>
  <c r="FN43" i="122"/>
  <c r="HC46" i="122"/>
  <c r="HH46" i="122"/>
  <c r="HI47" i="122"/>
  <c r="HD47" i="122"/>
  <c r="HF47" i="122"/>
  <c r="HE46" i="122"/>
  <c r="FO45" i="122"/>
  <c r="ET44" i="122"/>
  <c r="ES44" i="122"/>
  <c r="FT44" i="122"/>
  <c r="EY44" i="122"/>
  <c r="FS44" i="122"/>
  <c r="EX44" i="122"/>
  <c r="BS44" i="122"/>
  <c r="CF44" i="122"/>
  <c r="CK44" i="122" s="1"/>
  <c r="EW44" i="122"/>
  <c r="GE44" i="122"/>
  <c r="HQ46" i="122"/>
  <c r="GU46" i="122"/>
  <c r="GV47" i="122"/>
  <c r="HB46" i="122"/>
  <c r="GF44" i="122"/>
  <c r="GH44" i="122" s="1"/>
  <c r="GG44" i="122"/>
  <c r="GK44" i="122"/>
  <c r="EZ44" i="122"/>
  <c r="BW44" i="122"/>
  <c r="GM44" i="122"/>
  <c r="GL44" i="122"/>
  <c r="GN44" i="122" s="1"/>
  <c r="FA44" i="122"/>
  <c r="GM43" i="122"/>
  <c r="FA43" i="122"/>
  <c r="GK43" i="122"/>
  <c r="GL43" i="122"/>
  <c r="GN43" i="122" s="1"/>
  <c r="EZ43" i="122"/>
  <c r="ES43" i="122"/>
  <c r="FS43" i="122"/>
  <c r="EY43" i="122"/>
  <c r="FT43" i="122"/>
  <c r="EX43" i="122"/>
  <c r="CF43" i="122"/>
  <c r="GW47" i="122"/>
  <c r="GV46" i="122"/>
  <c r="EW43" i="122"/>
  <c r="GF43" i="122"/>
  <c r="GG43" i="122" s="1"/>
  <c r="HA44" i="122"/>
  <c r="GE43" i="122"/>
  <c r="ET43" i="122"/>
  <c r="EW45" i="122"/>
  <c r="GF45" i="122"/>
  <c r="GG45" i="122" s="1"/>
  <c r="CF45" i="122"/>
  <c r="GT46" i="122"/>
  <c r="HA46" i="122"/>
  <c r="HB47" i="122"/>
  <c r="HQ47" i="122"/>
  <c r="GU47" i="122"/>
  <c r="GT44" i="122"/>
  <c r="HH44" i="122"/>
  <c r="GE45" i="122"/>
  <c r="ET45" i="122"/>
  <c r="GT45" i="122"/>
  <c r="GK45" i="122"/>
  <c r="FA45" i="122"/>
  <c r="HB45" i="122"/>
  <c r="HH45" i="122"/>
  <c r="HA45" i="122"/>
  <c r="HQ45" i="122"/>
  <c r="GM45" i="122"/>
  <c r="EZ45" i="122"/>
  <c r="HI45" i="122"/>
  <c r="GL45" i="122"/>
  <c r="GN45" i="122" s="1"/>
  <c r="GU45" i="122"/>
  <c r="EY45" i="122"/>
  <c r="FT45" i="122"/>
  <c r="EX45" i="122"/>
  <c r="ES45" i="122"/>
  <c r="FS45" i="122"/>
  <c r="BS45" i="122" l="1"/>
  <c r="BS43" i="122"/>
  <c r="FM43" i="122"/>
  <c r="I43" i="122"/>
  <c r="EH43" i="122"/>
  <c r="EI43" i="122" s="1"/>
  <c r="EJ43" i="122" s="1"/>
  <c r="DS43" i="122"/>
  <c r="DT43" i="122" s="1"/>
  <c r="DU43" i="122" s="1"/>
  <c r="DS45" i="122"/>
  <c r="DT45" i="122" s="1"/>
  <c r="DU45" i="122" s="1"/>
  <c r="FM45" i="122"/>
  <c r="I45" i="122"/>
  <c r="EH45" i="122"/>
  <c r="EI45" i="122" s="1"/>
  <c r="EJ45" i="122" s="1"/>
  <c r="ER44" i="122"/>
  <c r="H44" i="122"/>
  <c r="EB44" i="122"/>
  <c r="EC44" i="122" s="1"/>
  <c r="ED44" i="122" s="1"/>
  <c r="FH44" i="122"/>
  <c r="DM44" i="122"/>
  <c r="DN44" i="122" s="1"/>
  <c r="DO44" i="122" s="1"/>
  <c r="BU43" i="122"/>
  <c r="CK43" i="122"/>
  <c r="DM43" i="122"/>
  <c r="DN43" i="122" s="1"/>
  <c r="DO43" i="122" s="1"/>
  <c r="FG43" i="122"/>
  <c r="H43" i="122"/>
  <c r="EB43" i="122"/>
  <c r="EC43" i="122" s="1"/>
  <c r="ED43" i="122" s="1"/>
  <c r="ER43" i="122"/>
  <c r="CL43" i="122"/>
  <c r="BW43" i="122"/>
  <c r="DM45" i="122"/>
  <c r="DN45" i="122" s="1"/>
  <c r="DO45" i="122" s="1"/>
  <c r="EB45" i="122"/>
  <c r="EC45" i="122" s="1"/>
  <c r="ED45" i="122" s="1"/>
  <c r="FG45" i="122"/>
  <c r="FH45" i="122"/>
  <c r="H45" i="122"/>
  <c r="FG44" i="122"/>
  <c r="FH43" i="122"/>
  <c r="ER45" i="122"/>
  <c r="CK45" i="122"/>
  <c r="BU45" i="122"/>
  <c r="CL44" i="122"/>
  <c r="BU44" i="122"/>
  <c r="CL45" i="122"/>
  <c r="BW45" i="122"/>
  <c r="GH43" i="122"/>
  <c r="GH45" i="122"/>
  <c r="AZ1" i="122" l="1"/>
  <c r="FB41" i="122"/>
  <c r="FC41" i="122"/>
  <c r="FC40" i="122"/>
  <c r="FB40" i="122"/>
  <c r="FC39" i="122"/>
  <c r="FB39" i="122"/>
  <c r="FC37" i="122"/>
  <c r="FB37" i="122"/>
  <c r="FB38" i="122"/>
  <c r="FC38" i="122"/>
  <c r="FB36" i="122"/>
  <c r="FC32" i="122"/>
  <c r="FB33" i="122"/>
  <c r="FB32" i="122"/>
  <c r="FC31" i="122"/>
  <c r="FB31" i="122"/>
  <c r="FB35" i="122"/>
  <c r="FC36" i="122"/>
  <c r="FC33" i="122"/>
  <c r="FC35" i="122"/>
  <c r="FC34" i="122"/>
  <c r="FB34" i="122"/>
  <c r="EL44" i="122"/>
  <c r="FP43" i="122"/>
  <c r="EQ45" i="122"/>
  <c r="FL43" i="122"/>
  <c r="EL43" i="122"/>
  <c r="EV47" i="122"/>
  <c r="FP47" i="122"/>
  <c r="FQ44" i="122"/>
  <c r="DX46" i="122"/>
  <c r="EU45" i="122"/>
  <c r="FL47" i="122"/>
  <c r="EQ46" i="122"/>
  <c r="DX43" i="122"/>
  <c r="EO43" i="122"/>
  <c r="FP44" i="122"/>
  <c r="FJ45" i="122"/>
  <c r="EP47" i="122"/>
  <c r="EQ47" i="122"/>
  <c r="EU47" i="122"/>
  <c r="EV45" i="122"/>
  <c r="EV46" i="122"/>
  <c r="DW47" i="122"/>
  <c r="FK44" i="122"/>
  <c r="EP43" i="122"/>
  <c r="EM45" i="122"/>
  <c r="EQ43" i="122"/>
  <c r="EU46" i="122"/>
  <c r="FJ44" i="122"/>
  <c r="FL44" i="122"/>
  <c r="DW46" i="122"/>
  <c r="FP45" i="122"/>
  <c r="FK47" i="122"/>
  <c r="EV43" i="122"/>
  <c r="FK43" i="122"/>
  <c r="EU43" i="122"/>
  <c r="EP46" i="122"/>
  <c r="DW45" i="122"/>
  <c r="EO45" i="122"/>
  <c r="EO47" i="122"/>
  <c r="DW44" i="122"/>
  <c r="DW43" i="122"/>
  <c r="EO44" i="122"/>
  <c r="EO46" i="122"/>
  <c r="EU44" i="122"/>
  <c r="FQ43" i="122"/>
  <c r="DX47" i="122"/>
  <c r="FL45" i="122"/>
  <c r="EP44" i="122"/>
  <c r="EM46" i="122"/>
  <c r="FK45" i="122"/>
  <c r="FQ46" i="122"/>
  <c r="EQ44" i="122"/>
  <c r="EM47" i="122"/>
  <c r="EM43" i="122"/>
  <c r="EM44" i="122"/>
  <c r="EL47" i="122"/>
  <c r="FK46" i="122"/>
  <c r="FJ46" i="122"/>
  <c r="FQ45" i="122"/>
  <c r="EP45" i="122"/>
  <c r="DX44" i="122"/>
  <c r="FL46" i="122"/>
  <c r="FJ43" i="122"/>
  <c r="FP46" i="122"/>
  <c r="DX45" i="122"/>
  <c r="EL45" i="122"/>
  <c r="FQ47" i="122"/>
  <c r="EL46" i="122"/>
  <c r="FJ47" i="122"/>
  <c r="EV44" i="122"/>
  <c r="FB23" i="122"/>
  <c r="FC19" i="122"/>
  <c r="FB28" i="122"/>
  <c r="FB19" i="122"/>
  <c r="FC20" i="122"/>
  <c r="FC16" i="122"/>
  <c r="FC26" i="122"/>
  <c r="FB15" i="122"/>
  <c r="FB17" i="122"/>
  <c r="FC8" i="122"/>
  <c r="FC21" i="122"/>
  <c r="FC22" i="122"/>
  <c r="FB27" i="122"/>
  <c r="FC25" i="122"/>
  <c r="FB12" i="122"/>
  <c r="FC7" i="122"/>
  <c r="FB21" i="122"/>
  <c r="FB18" i="122"/>
  <c r="FC11" i="122"/>
  <c r="FB10" i="122"/>
  <c r="FB24" i="122"/>
  <c r="FC18" i="122"/>
  <c r="FC13" i="122"/>
  <c r="FB13" i="122"/>
  <c r="FC15" i="122"/>
  <c r="FB7" i="122"/>
  <c r="FC27" i="122"/>
  <c r="FC28" i="122"/>
  <c r="FC9" i="122"/>
  <c r="FB8" i="122"/>
  <c r="FC23" i="122"/>
  <c r="FC30" i="122"/>
  <c r="FC17" i="122"/>
  <c r="FC29" i="122"/>
  <c r="FB20" i="122"/>
  <c r="FB30" i="122"/>
  <c r="FB16" i="122"/>
  <c r="FC10" i="122"/>
  <c r="FB14" i="122"/>
  <c r="FB29" i="122"/>
  <c r="FB22" i="122"/>
  <c r="FB25" i="122"/>
  <c r="FC12" i="122"/>
  <c r="FB26" i="122"/>
  <c r="FB11" i="122"/>
  <c r="FC24" i="122"/>
  <c r="FC14" i="122"/>
  <c r="FB9" i="122"/>
  <c r="EN45" i="122" l="1"/>
  <c r="EN43" i="122"/>
  <c r="EN47" i="122"/>
  <c r="FI43" i="122"/>
  <c r="FI45" i="122"/>
  <c r="FI47" i="122"/>
  <c r="FI46" i="122"/>
  <c r="FI44" i="122"/>
  <c r="EN44" i="122"/>
  <c r="EN46" i="122"/>
  <c r="FN31" i="122"/>
  <c r="FN33" i="122"/>
  <c r="FN34" i="122"/>
  <c r="FN35" i="122"/>
  <c r="FN37" i="122"/>
  <c r="FN39" i="122"/>
  <c r="FN40" i="122"/>
  <c r="FN41" i="122"/>
  <c r="FN42" i="122"/>
  <c r="BS35" i="122" l="1"/>
  <c r="BS27" i="122"/>
  <c r="BS19" i="122"/>
  <c r="BS11" i="122"/>
  <c r="BS32" i="122"/>
  <c r="BS37" i="122"/>
  <c r="BS33" i="122"/>
  <c r="BS21" i="122"/>
  <c r="GB22" i="122"/>
  <c r="GC21" i="122"/>
  <c r="GB12" i="122"/>
  <c r="GC11" i="122"/>
  <c r="FN9" i="122"/>
  <c r="GB8" i="122"/>
  <c r="HH7" i="122"/>
  <c r="HE7" i="122"/>
  <c r="HC7" i="122"/>
  <c r="HF7" i="122"/>
  <c r="HD7" i="122"/>
  <c r="HI7" i="122"/>
  <c r="FN7" i="122"/>
  <c r="GL41" i="122"/>
  <c r="GN41" i="122" s="1"/>
  <c r="GK41" i="122"/>
  <c r="FA41" i="122"/>
  <c r="GM41" i="122"/>
  <c r="EZ41" i="122"/>
  <c r="BW41" i="122"/>
  <c r="ES41" i="122"/>
  <c r="ES39" i="122"/>
  <c r="BW39" i="122"/>
  <c r="GL39" i="122"/>
  <c r="GN39" i="122" s="1"/>
  <c r="GM39" i="122"/>
  <c r="EZ39" i="122"/>
  <c r="GK39" i="122"/>
  <c r="FA39" i="122"/>
  <c r="FA33" i="122"/>
  <c r="GL33" i="122"/>
  <c r="GM33" i="122" s="1"/>
  <c r="CB33" i="122"/>
  <c r="BW33" i="122" s="1"/>
  <c r="GK33" i="122"/>
  <c r="EZ33" i="122"/>
  <c r="CB26" i="122"/>
  <c r="BW26" i="122" s="1"/>
  <c r="EZ26" i="122"/>
  <c r="FA26" i="122"/>
  <c r="GL26" i="122"/>
  <c r="GL17" i="122"/>
  <c r="EZ17" i="122"/>
  <c r="BW17" i="122"/>
  <c r="FA17" i="122"/>
  <c r="EZ7" i="122"/>
  <c r="ES7" i="122"/>
  <c r="GY7" i="122"/>
  <c r="GV7" i="122"/>
  <c r="GK7" i="122"/>
  <c r="HB7" i="122"/>
  <c r="FA7" i="122"/>
  <c r="GX7" i="122"/>
  <c r="HA7" i="122"/>
  <c r="GL7" i="122"/>
  <c r="GM7" i="122" s="1"/>
  <c r="FV7" i="122"/>
  <c r="CB7" i="122"/>
  <c r="BW7" i="122" s="1"/>
  <c r="GW7" i="122"/>
  <c r="HQ7" i="122"/>
  <c r="GZ7" i="122"/>
  <c r="GT7" i="122"/>
  <c r="GU7" i="122"/>
  <c r="HI36" i="122"/>
  <c r="FO34" i="122"/>
  <c r="HF36" i="122"/>
  <c r="HC35" i="122"/>
  <c r="HD36" i="122"/>
  <c r="HE35" i="122"/>
  <c r="HH35" i="122"/>
  <c r="HC27" i="122"/>
  <c r="HI28" i="122"/>
  <c r="HD28" i="122"/>
  <c r="HE27" i="122"/>
  <c r="HH27" i="122"/>
  <c r="HF28" i="122"/>
  <c r="HI24" i="122"/>
  <c r="HD24" i="122"/>
  <c r="HF24" i="122"/>
  <c r="HH23" i="122"/>
  <c r="HE23" i="122"/>
  <c r="HC23" i="122"/>
  <c r="HI20" i="122"/>
  <c r="HD20" i="122"/>
  <c r="HF20" i="122"/>
  <c r="HH19" i="122"/>
  <c r="HC19" i="122"/>
  <c r="HE19" i="122"/>
  <c r="HE13" i="122"/>
  <c r="HI14" i="122"/>
  <c r="HC13" i="122"/>
  <c r="HD14" i="122"/>
  <c r="HH13" i="122"/>
  <c r="HF14" i="122"/>
  <c r="HF12" i="122"/>
  <c r="HI12" i="122"/>
  <c r="HC11" i="122"/>
  <c r="HD12" i="122"/>
  <c r="HE11" i="122"/>
  <c r="HH11" i="122"/>
  <c r="HC9" i="122"/>
  <c r="HE9" i="122"/>
  <c r="HI10" i="122"/>
  <c r="HD10" i="122"/>
  <c r="HH9" i="122"/>
  <c r="HF10" i="122"/>
  <c r="GW42" i="122"/>
  <c r="HB40" i="122"/>
  <c r="GV41" i="122"/>
  <c r="GF38" i="122"/>
  <c r="GY44" i="122"/>
  <c r="EW38" i="122"/>
  <c r="GU40" i="122"/>
  <c r="GX43" i="122"/>
  <c r="HA39" i="122"/>
  <c r="GZ45" i="122"/>
  <c r="HQ40" i="122"/>
  <c r="CF38" i="122"/>
  <c r="GT39" i="122"/>
  <c r="GU38" i="122"/>
  <c r="CF36" i="122"/>
  <c r="GY42" i="122"/>
  <c r="GF36" i="122"/>
  <c r="HA37" i="122"/>
  <c r="GZ43" i="122"/>
  <c r="HB38" i="122"/>
  <c r="GT37" i="122"/>
  <c r="GX41" i="122"/>
  <c r="HQ38" i="122"/>
  <c r="GV39" i="122"/>
  <c r="EW36" i="122"/>
  <c r="GW40" i="122"/>
  <c r="EW29" i="122"/>
  <c r="GF29" i="122"/>
  <c r="GW33" i="122"/>
  <c r="GZ36" i="122"/>
  <c r="CF29" i="122"/>
  <c r="GY35" i="122"/>
  <c r="HA30" i="122"/>
  <c r="GV32" i="122"/>
  <c r="GX34" i="122"/>
  <c r="HB31" i="122"/>
  <c r="GU31" i="122"/>
  <c r="HQ31" i="122"/>
  <c r="GT30" i="122"/>
  <c r="GV11" i="122"/>
  <c r="EW8" i="122"/>
  <c r="GE8" i="122"/>
  <c r="GU10" i="122"/>
  <c r="HA9" i="122"/>
  <c r="GY14" i="122"/>
  <c r="GT9" i="122"/>
  <c r="HB10" i="122"/>
  <c r="CF8" i="122"/>
  <c r="GW12" i="122"/>
  <c r="HQ10" i="122"/>
  <c r="GX13" i="122"/>
  <c r="GZ15" i="122"/>
  <c r="GF8" i="122"/>
  <c r="GG8" i="122" s="1"/>
  <c r="BS28" i="122"/>
  <c r="H3" i="129"/>
  <c r="BS29" i="122"/>
  <c r="BS42" i="122"/>
  <c r="BS26" i="122"/>
  <c r="BS18" i="122"/>
  <c r="BS14" i="122"/>
  <c r="BS10" i="122"/>
  <c r="N3" i="129"/>
  <c r="GC23" i="122"/>
  <c r="GB20" i="122"/>
  <c r="GC19" i="122"/>
  <c r="GC17" i="122"/>
  <c r="GB18" i="122"/>
  <c r="GC15" i="122"/>
  <c r="GB16" i="122"/>
  <c r="GB14" i="122"/>
  <c r="GC13" i="122"/>
  <c r="GB10" i="122"/>
  <c r="FN11" i="122"/>
  <c r="GC9" i="122"/>
  <c r="BW37" i="122"/>
  <c r="GM37" i="122"/>
  <c r="GL37" i="122"/>
  <c r="GN37" i="122" s="1"/>
  <c r="EZ37" i="122"/>
  <c r="FA37" i="122"/>
  <c r="GK37" i="122"/>
  <c r="GL35" i="122"/>
  <c r="EZ35" i="122"/>
  <c r="BW35" i="122"/>
  <c r="FA35" i="122"/>
  <c r="GK35" i="122"/>
  <c r="GL31" i="122"/>
  <c r="EZ31" i="122"/>
  <c r="CB31" i="122"/>
  <c r="BW31" i="122" s="1"/>
  <c r="FA31" i="122"/>
  <c r="FA27" i="122"/>
  <c r="GL27" i="122"/>
  <c r="CB27" i="122"/>
  <c r="EZ27" i="122"/>
  <c r="EZ25" i="122"/>
  <c r="GL25" i="122"/>
  <c r="FA25" i="122"/>
  <c r="CB25" i="122"/>
  <c r="BW25" i="122" s="1"/>
  <c r="EZ23" i="122"/>
  <c r="BW23" i="122"/>
  <c r="FA23" i="122"/>
  <c r="GL23" i="122"/>
  <c r="CB21" i="122"/>
  <c r="BW21" i="122" s="1"/>
  <c r="GL21" i="122"/>
  <c r="EZ21" i="122"/>
  <c r="FA21" i="122"/>
  <c r="FA16" i="122"/>
  <c r="EZ16" i="122"/>
  <c r="CB16" i="122"/>
  <c r="GL16" i="122"/>
  <c r="BW15" i="122"/>
  <c r="EZ15" i="122"/>
  <c r="FA15" i="122"/>
  <c r="GL15" i="122"/>
  <c r="FA13" i="122"/>
  <c r="EZ13" i="122"/>
  <c r="GL13" i="122"/>
  <c r="CB13" i="122"/>
  <c r="BW13" i="122" s="1"/>
  <c r="GZ13" i="122"/>
  <c r="GL11" i="122"/>
  <c r="GM11" i="122" s="1"/>
  <c r="GZ11" i="122"/>
  <c r="FA11" i="122"/>
  <c r="GK11" i="122"/>
  <c r="ES11" i="122"/>
  <c r="GX11" i="122"/>
  <c r="EZ11" i="122"/>
  <c r="CB11" i="122"/>
  <c r="BW11" i="122" s="1"/>
  <c r="GY11" i="122"/>
  <c r="HI44" i="122"/>
  <c r="HF44" i="122"/>
  <c r="HE43" i="122"/>
  <c r="HD44" i="122"/>
  <c r="HC43" i="122"/>
  <c r="HH43" i="122"/>
  <c r="FO42" i="122"/>
  <c r="HE41" i="122"/>
  <c r="HF42" i="122"/>
  <c r="HH41" i="122"/>
  <c r="FO40" i="122"/>
  <c r="HI42" i="122"/>
  <c r="HD42" i="122"/>
  <c r="HC41" i="122"/>
  <c r="FO38" i="122"/>
  <c r="HC39" i="122"/>
  <c r="HI40" i="122"/>
  <c r="HD40" i="122"/>
  <c r="HH39" i="122"/>
  <c r="HF40" i="122"/>
  <c r="HE39" i="122"/>
  <c r="HH37" i="122"/>
  <c r="FO36" i="122"/>
  <c r="HC37" i="122"/>
  <c r="HI38" i="122"/>
  <c r="HE37" i="122"/>
  <c r="HF38" i="122"/>
  <c r="HD38" i="122"/>
  <c r="HH33" i="122"/>
  <c r="HD34" i="122"/>
  <c r="HI34" i="122"/>
  <c r="HC33" i="122"/>
  <c r="HE33" i="122"/>
  <c r="HF34" i="122"/>
  <c r="HC31" i="122"/>
  <c r="HI32" i="122"/>
  <c r="HF32" i="122"/>
  <c r="HH31" i="122"/>
  <c r="HD32" i="122"/>
  <c r="HE31" i="122"/>
  <c r="HH29" i="122"/>
  <c r="HI30" i="122"/>
  <c r="HC29" i="122"/>
  <c r="HE29" i="122"/>
  <c r="HF30" i="122"/>
  <c r="HD30" i="122"/>
  <c r="HI26" i="122"/>
  <c r="HH25" i="122"/>
  <c r="HD26" i="122"/>
  <c r="HC25" i="122"/>
  <c r="HF26" i="122"/>
  <c r="HE25" i="122"/>
  <c r="HI22" i="122"/>
  <c r="HF22" i="122"/>
  <c r="HH21" i="122"/>
  <c r="HC21" i="122"/>
  <c r="HD22" i="122"/>
  <c r="HE21" i="122"/>
  <c r="HE17" i="122"/>
  <c r="HC17" i="122"/>
  <c r="HD18" i="122"/>
  <c r="HI18" i="122"/>
  <c r="HF18" i="122"/>
  <c r="HH17" i="122"/>
  <c r="HD16" i="122"/>
  <c r="HH15" i="122"/>
  <c r="HC15" i="122"/>
  <c r="HE15" i="122"/>
  <c r="HF16" i="122"/>
  <c r="HI16" i="122"/>
  <c r="GE42" i="122"/>
  <c r="GX47" i="122"/>
  <c r="GU44" i="122"/>
  <c r="GF42" i="122"/>
  <c r="GH42" i="122" s="1"/>
  <c r="ET42" i="122"/>
  <c r="GG42" i="122"/>
  <c r="HB44" i="122"/>
  <c r="HQ44" i="122"/>
  <c r="EW42" i="122"/>
  <c r="GT43" i="122"/>
  <c r="HA43" i="122"/>
  <c r="GW46" i="122"/>
  <c r="GV45" i="122"/>
  <c r="CF42" i="122"/>
  <c r="HA41" i="122"/>
  <c r="GZ47" i="122"/>
  <c r="GV43" i="122"/>
  <c r="GY46" i="122"/>
  <c r="ET40" i="122"/>
  <c r="GF40" i="122"/>
  <c r="GG40" i="122" s="1"/>
  <c r="EW40" i="122"/>
  <c r="GX45" i="122"/>
  <c r="HQ42" i="122"/>
  <c r="GU42" i="122"/>
  <c r="HB42" i="122"/>
  <c r="CF40" i="122"/>
  <c r="GT41" i="122"/>
  <c r="GW44" i="122"/>
  <c r="GE40" i="122"/>
  <c r="GW38" i="122"/>
  <c r="EW34" i="122"/>
  <c r="GZ41" i="122"/>
  <c r="HQ36" i="122"/>
  <c r="CF34" i="122"/>
  <c r="HB36" i="122"/>
  <c r="GE34" i="122"/>
  <c r="GF34" i="122"/>
  <c r="GG34" i="122" s="1"/>
  <c r="GY40" i="122"/>
  <c r="GX39" i="122"/>
  <c r="GU36" i="122"/>
  <c r="HA35" i="122"/>
  <c r="GT35" i="122"/>
  <c r="GV37" i="122"/>
  <c r="HQ34" i="122"/>
  <c r="GU34" i="122"/>
  <c r="HB34" i="122"/>
  <c r="GZ39" i="122"/>
  <c r="GY38" i="122"/>
  <c r="GV35" i="122"/>
  <c r="GX37" i="122"/>
  <c r="HA33" i="122"/>
  <c r="GF32" i="122"/>
  <c r="CF32" i="122"/>
  <c r="GW36" i="122"/>
  <c r="GT33" i="122"/>
  <c r="EW32" i="122"/>
  <c r="HB30" i="122"/>
  <c r="GT29" i="122"/>
  <c r="GU30" i="122"/>
  <c r="EW28" i="122"/>
  <c r="HA29" i="122"/>
  <c r="GZ35" i="122"/>
  <c r="GV31" i="122"/>
  <c r="GX33" i="122"/>
  <c r="HQ30" i="122"/>
  <c r="GF28" i="122"/>
  <c r="GW32" i="122"/>
  <c r="GY34" i="122"/>
  <c r="HA27" i="122"/>
  <c r="GY32" i="122"/>
  <c r="GX31" i="122"/>
  <c r="GW30" i="122"/>
  <c r="GF26" i="122"/>
  <c r="GV29" i="122"/>
  <c r="GZ33" i="122"/>
  <c r="GU28" i="122"/>
  <c r="HQ28" i="122"/>
  <c r="EW26" i="122"/>
  <c r="GT27" i="122"/>
  <c r="HB28" i="122"/>
  <c r="HA25" i="122"/>
  <c r="GW28" i="122"/>
  <c r="EW24" i="122"/>
  <c r="HQ26" i="122"/>
  <c r="HB26" i="122"/>
  <c r="GU26" i="122"/>
  <c r="GT25" i="122"/>
  <c r="GX29" i="122"/>
  <c r="GV27" i="122"/>
  <c r="GF24" i="122"/>
  <c r="GY30" i="122"/>
  <c r="GZ31" i="122"/>
  <c r="CL23" i="122"/>
  <c r="GF22" i="122"/>
  <c r="HQ24" i="122"/>
  <c r="GT23" i="122"/>
  <c r="HA23" i="122"/>
  <c r="GY28" i="122"/>
  <c r="EW22" i="122"/>
  <c r="HB24" i="122"/>
  <c r="GZ29" i="122"/>
  <c r="GU24" i="122"/>
  <c r="GX27" i="122"/>
  <c r="GW26" i="122"/>
  <c r="GV25" i="122"/>
  <c r="CF22" i="122"/>
  <c r="HB20" i="122"/>
  <c r="EW18" i="122"/>
  <c r="GY24" i="122"/>
  <c r="CF18" i="122"/>
  <c r="CL17" i="122" s="1"/>
  <c r="GT19" i="122"/>
  <c r="GF18" i="122"/>
  <c r="GZ25" i="122"/>
  <c r="GX23" i="122"/>
  <c r="GU20" i="122"/>
  <c r="HQ20" i="122"/>
  <c r="HA19" i="122"/>
  <c r="GV21" i="122"/>
  <c r="GW22" i="122"/>
  <c r="HQ15" i="122"/>
  <c r="GX18" i="122"/>
  <c r="HB15" i="122"/>
  <c r="GY19" i="122"/>
  <c r="GW17" i="122"/>
  <c r="HA14" i="122"/>
  <c r="CF13" i="122"/>
  <c r="GT14" i="122"/>
  <c r="GZ20" i="122"/>
  <c r="GV16" i="122"/>
  <c r="EW13" i="122"/>
  <c r="GF13" i="122"/>
  <c r="GU15" i="122"/>
  <c r="GE12" i="122"/>
  <c r="HB14" i="122"/>
  <c r="HQ14" i="122"/>
  <c r="GU14" i="122"/>
  <c r="GF12" i="122"/>
  <c r="GG12" i="122" s="1"/>
  <c r="GZ19" i="122"/>
  <c r="GY18" i="122"/>
  <c r="GV15" i="122"/>
  <c r="HA13" i="122"/>
  <c r="ET12" i="122"/>
  <c r="GT13" i="122"/>
  <c r="CF12" i="122"/>
  <c r="GX17" i="122"/>
  <c r="GW16" i="122"/>
  <c r="EW12" i="122"/>
  <c r="BS39" i="122"/>
  <c r="BS31" i="122"/>
  <c r="BS23" i="122"/>
  <c r="BS15" i="122"/>
  <c r="BS7" i="122"/>
  <c r="BS16" i="122"/>
  <c r="FU7" i="122"/>
  <c r="BS38" i="122"/>
  <c r="BS34" i="122"/>
  <c r="BS22" i="122"/>
  <c r="GC20" i="122"/>
  <c r="GB21" i="122"/>
  <c r="FN22" i="122"/>
  <c r="FN18" i="122"/>
  <c r="GC16" i="122"/>
  <c r="GB17" i="122"/>
  <c r="FN16" i="122"/>
  <c r="GB15" i="122"/>
  <c r="GC14" i="122"/>
  <c r="FN12" i="122"/>
  <c r="GC10" i="122"/>
  <c r="GB11" i="122"/>
  <c r="GL38" i="122"/>
  <c r="GM38" i="122" s="1"/>
  <c r="ES38" i="122"/>
  <c r="BW38" i="122"/>
  <c r="FA38" i="122"/>
  <c r="EZ38" i="122"/>
  <c r="GK38" i="122"/>
  <c r="EZ36" i="122"/>
  <c r="ES36" i="122"/>
  <c r="BW36" i="122"/>
  <c r="GL36" i="122"/>
  <c r="GM36" i="122" s="1"/>
  <c r="GK36" i="122"/>
  <c r="FA36" i="122"/>
  <c r="FA34" i="122"/>
  <c r="EZ34" i="122"/>
  <c r="ES34" i="122"/>
  <c r="CB34" i="122"/>
  <c r="BW34" i="122" s="1"/>
  <c r="GL34" i="122"/>
  <c r="GK34" i="122"/>
  <c r="FA32" i="122"/>
  <c r="GK32" i="122"/>
  <c r="GL32" i="122"/>
  <c r="GM32" i="122" s="1"/>
  <c r="ES32" i="122"/>
  <c r="CB32" i="122"/>
  <c r="BW32" i="122" s="1"/>
  <c r="EZ32" i="122"/>
  <c r="FA30" i="122"/>
  <c r="EZ30" i="122"/>
  <c r="GL30" i="122"/>
  <c r="GM30" i="122" s="1"/>
  <c r="GK30" i="122"/>
  <c r="BW30" i="122"/>
  <c r="EZ29" i="122"/>
  <c r="GL29" i="122"/>
  <c r="GK29" i="122"/>
  <c r="FA29" i="122"/>
  <c r="CB29" i="122"/>
  <c r="BW29" i="122" s="1"/>
  <c r="ES29" i="122"/>
  <c r="FA28" i="122"/>
  <c r="GK28" i="122"/>
  <c r="EZ28" i="122"/>
  <c r="ES28" i="122"/>
  <c r="BW28" i="122"/>
  <c r="GL28" i="122"/>
  <c r="GL24" i="122"/>
  <c r="GM24" i="122" s="1"/>
  <c r="CB24" i="122"/>
  <c r="BW24" i="122" s="1"/>
  <c r="EZ24" i="122"/>
  <c r="GK24" i="122"/>
  <c r="ES24" i="122"/>
  <c r="FA24" i="122"/>
  <c r="EZ22" i="122"/>
  <c r="GK22" i="122"/>
  <c r="ES22" i="122"/>
  <c r="CB22" i="122"/>
  <c r="BW22" i="122" s="1"/>
  <c r="FA22" i="122"/>
  <c r="GL22" i="122"/>
  <c r="GL20" i="122"/>
  <c r="EZ20" i="122"/>
  <c r="CB20" i="122"/>
  <c r="BW20" i="122" s="1"/>
  <c r="FA20" i="122"/>
  <c r="CB19" i="122"/>
  <c r="BW19" i="122" s="1"/>
  <c r="GK19" i="122"/>
  <c r="FA19" i="122"/>
  <c r="EZ19" i="122"/>
  <c r="GL19" i="122"/>
  <c r="FA18" i="122"/>
  <c r="EZ18" i="122"/>
  <c r="ES18" i="122"/>
  <c r="CB18" i="122"/>
  <c r="GL18" i="122"/>
  <c r="GK18" i="122"/>
  <c r="FA14" i="122"/>
  <c r="EZ14" i="122"/>
  <c r="ES14" i="122"/>
  <c r="GK14" i="122"/>
  <c r="BW14" i="122"/>
  <c r="GL14" i="122"/>
  <c r="GM14" i="122" s="1"/>
  <c r="FA12" i="122"/>
  <c r="EZ12" i="122"/>
  <c r="CB12" i="122"/>
  <c r="BW12" i="122" s="1"/>
  <c r="GY12" i="122"/>
  <c r="ES12" i="122"/>
  <c r="GK12" i="122"/>
  <c r="GL12" i="122"/>
  <c r="GZ12" i="122"/>
  <c r="GL10" i="122"/>
  <c r="CB10" i="122"/>
  <c r="BW10" i="122" s="1"/>
  <c r="GX10" i="122"/>
  <c r="GY10" i="122"/>
  <c r="ES10" i="122"/>
  <c r="EZ10" i="122"/>
  <c r="GW10" i="122"/>
  <c r="GK10" i="122"/>
  <c r="GZ10" i="122"/>
  <c r="FA10" i="122"/>
  <c r="GK8" i="122"/>
  <c r="GW8" i="122"/>
  <c r="EZ8" i="122"/>
  <c r="GL8" i="122"/>
  <c r="GM8" i="122" s="1"/>
  <c r="GV8" i="122"/>
  <c r="GX8" i="122"/>
  <c r="GZ8" i="122"/>
  <c r="ES8" i="122"/>
  <c r="GY8" i="122"/>
  <c r="CB8" i="122"/>
  <c r="BW8" i="122" s="1"/>
  <c r="HQ8" i="122"/>
  <c r="HB8" i="122"/>
  <c r="FA8" i="122"/>
  <c r="GU8" i="122"/>
  <c r="HC40" i="122"/>
  <c r="HE40" i="122"/>
  <c r="HF41" i="122"/>
  <c r="HH40" i="122"/>
  <c r="HI41" i="122"/>
  <c r="HD41" i="122"/>
  <c r="FO39" i="122"/>
  <c r="FO37" i="122"/>
  <c r="HE38" i="122"/>
  <c r="HC38" i="122"/>
  <c r="HF39" i="122"/>
  <c r="HI39" i="122"/>
  <c r="HD39" i="122"/>
  <c r="HH38" i="122"/>
  <c r="HC36" i="122"/>
  <c r="HF37" i="122"/>
  <c r="HH36" i="122"/>
  <c r="FO35" i="122"/>
  <c r="HD37" i="122"/>
  <c r="HE36" i="122"/>
  <c r="HI37" i="122"/>
  <c r="HI29" i="122"/>
  <c r="HD29" i="122"/>
  <c r="HF29" i="122"/>
  <c r="HE28" i="122"/>
  <c r="HH28" i="122"/>
  <c r="HC28" i="122"/>
  <c r="FO27" i="122"/>
  <c r="HE24" i="122"/>
  <c r="FO23" i="122"/>
  <c r="HF25" i="122"/>
  <c r="HD25" i="122"/>
  <c r="HI25" i="122"/>
  <c r="HH24" i="122"/>
  <c r="HC24" i="122"/>
  <c r="HC20" i="122"/>
  <c r="HD21" i="122"/>
  <c r="HF21" i="122"/>
  <c r="FO19" i="122"/>
  <c r="HI21" i="122"/>
  <c r="HE20" i="122"/>
  <c r="HH20" i="122"/>
  <c r="HI19" i="122"/>
  <c r="HC18" i="122"/>
  <c r="HF19" i="122"/>
  <c r="FO17" i="122"/>
  <c r="HE18" i="122"/>
  <c r="HH18" i="122"/>
  <c r="HD19" i="122"/>
  <c r="HD13" i="122"/>
  <c r="HF13" i="122"/>
  <c r="HC12" i="122"/>
  <c r="HE12" i="122"/>
  <c r="HH12" i="122"/>
  <c r="HI13" i="122"/>
  <c r="FO11" i="122"/>
  <c r="HE10" i="122"/>
  <c r="HF11" i="122"/>
  <c r="HC10" i="122"/>
  <c r="FO9" i="122"/>
  <c r="HI11" i="122"/>
  <c r="HH10" i="122"/>
  <c r="HD11" i="122"/>
  <c r="HH8" i="122"/>
  <c r="HE8" i="122"/>
  <c r="FO7" i="122"/>
  <c r="HF9" i="122"/>
  <c r="HD9" i="122"/>
  <c r="HC8" i="122"/>
  <c r="FR7" i="122"/>
  <c r="HI9" i="122"/>
  <c r="GX46" i="122"/>
  <c r="GF41" i="122"/>
  <c r="HB43" i="122"/>
  <c r="GV44" i="122"/>
  <c r="GU43" i="122"/>
  <c r="GT42" i="122"/>
  <c r="EW41" i="122"/>
  <c r="HQ43" i="122"/>
  <c r="GE41" i="122"/>
  <c r="CF41" i="122"/>
  <c r="HA42" i="122"/>
  <c r="GY47" i="122"/>
  <c r="GW45" i="122"/>
  <c r="ET41" i="122"/>
  <c r="GG39" i="122"/>
  <c r="GV42" i="122"/>
  <c r="GT40" i="122"/>
  <c r="GE39" i="122"/>
  <c r="GX44" i="122"/>
  <c r="HB41" i="122"/>
  <c r="EW39" i="122"/>
  <c r="GW43" i="122"/>
  <c r="GF39" i="122"/>
  <c r="GH39" i="122" s="1"/>
  <c r="GY45" i="122"/>
  <c r="GZ46" i="122"/>
  <c r="HQ41" i="122"/>
  <c r="ET39" i="122"/>
  <c r="CF39" i="122"/>
  <c r="GU41" i="122"/>
  <c r="HA40" i="122"/>
  <c r="CF37" i="122"/>
  <c r="GV40" i="122"/>
  <c r="GE37" i="122"/>
  <c r="HA38" i="122"/>
  <c r="GU39" i="122"/>
  <c r="ET37" i="122"/>
  <c r="GY43" i="122"/>
  <c r="GX42" i="122"/>
  <c r="GT38" i="122"/>
  <c r="GZ44" i="122"/>
  <c r="HQ39" i="122"/>
  <c r="GF37" i="122"/>
  <c r="GW41" i="122"/>
  <c r="EW37" i="122"/>
  <c r="HB39" i="122"/>
  <c r="HA31" i="122"/>
  <c r="GT31" i="122"/>
  <c r="GZ37" i="122"/>
  <c r="GX35" i="122"/>
  <c r="GF30" i="122"/>
  <c r="GG30" i="122" s="1"/>
  <c r="GV33" i="122"/>
  <c r="GE30" i="122"/>
  <c r="CF30" i="122"/>
  <c r="HQ32" i="122"/>
  <c r="GY36" i="122"/>
  <c r="GU32" i="122"/>
  <c r="HB32" i="122"/>
  <c r="EW30" i="122"/>
  <c r="GW34" i="122"/>
  <c r="HQ29" i="122"/>
  <c r="HA28" i="122"/>
  <c r="GW31" i="122"/>
  <c r="GE27" i="122"/>
  <c r="GU29" i="122"/>
  <c r="GZ34" i="122"/>
  <c r="HB29" i="122"/>
  <c r="GF27" i="122"/>
  <c r="GG27" i="122" s="1"/>
  <c r="EW27" i="122"/>
  <c r="CF27" i="122"/>
  <c r="BU27" i="122" s="1"/>
  <c r="ET27" i="122"/>
  <c r="GY33" i="122"/>
  <c r="GV30" i="122"/>
  <c r="GT28" i="122"/>
  <c r="GX32" i="122"/>
  <c r="GY31" i="122"/>
  <c r="EW25" i="122"/>
  <c r="HA26" i="122"/>
  <c r="GZ32" i="122"/>
  <c r="GV28" i="122"/>
  <c r="GF25" i="122"/>
  <c r="ET25" i="122"/>
  <c r="GT26" i="122"/>
  <c r="CF25" i="122"/>
  <c r="HB27" i="122"/>
  <c r="GE25" i="122"/>
  <c r="GU27" i="122"/>
  <c r="GW29" i="122"/>
  <c r="HQ27" i="122"/>
  <c r="GX30" i="122"/>
  <c r="GY29" i="122"/>
  <c r="GW27" i="122"/>
  <c r="GU25" i="122"/>
  <c r="GE23" i="122"/>
  <c r="GZ30" i="122"/>
  <c r="HQ25" i="122"/>
  <c r="HB25" i="122"/>
  <c r="ET23" i="122"/>
  <c r="EW23" i="122"/>
  <c r="HA24" i="122"/>
  <c r="GV26" i="122"/>
  <c r="GT24" i="122"/>
  <c r="CF23" i="122"/>
  <c r="GF23" i="122"/>
  <c r="GX28" i="122"/>
  <c r="HQ23" i="122"/>
  <c r="EW21" i="122"/>
  <c r="GU23" i="122"/>
  <c r="ET21" i="122"/>
  <c r="GX26" i="122"/>
  <c r="HA22" i="122"/>
  <c r="GE21" i="122"/>
  <c r="HB23" i="122"/>
  <c r="GZ28" i="122"/>
  <c r="GT22" i="122"/>
  <c r="GV24" i="122"/>
  <c r="GY27" i="122"/>
  <c r="GF21" i="122"/>
  <c r="GW25" i="122"/>
  <c r="EW20" i="122"/>
  <c r="HQ22" i="122"/>
  <c r="GU22" i="122"/>
  <c r="GE20" i="122"/>
  <c r="GZ27" i="122"/>
  <c r="GT21" i="122"/>
  <c r="ET20" i="122"/>
  <c r="GY26" i="122"/>
  <c r="GV23" i="122"/>
  <c r="GW24" i="122"/>
  <c r="HA21" i="122"/>
  <c r="CF20" i="122"/>
  <c r="GF20" i="122"/>
  <c r="HB22" i="122"/>
  <c r="GX25" i="122"/>
  <c r="GX24" i="122"/>
  <c r="HB21" i="122"/>
  <c r="GZ26" i="122"/>
  <c r="HA20" i="122"/>
  <c r="GF19" i="122"/>
  <c r="HQ21" i="122"/>
  <c r="ET19" i="122"/>
  <c r="GT20" i="122"/>
  <c r="EW19" i="122"/>
  <c r="GU21" i="122"/>
  <c r="GE19" i="122"/>
  <c r="CF19" i="122"/>
  <c r="GV22" i="122"/>
  <c r="GW23" i="122"/>
  <c r="GY25" i="122"/>
  <c r="GY23" i="122"/>
  <c r="HQ19" i="122"/>
  <c r="GT18" i="122"/>
  <c r="GE17" i="122"/>
  <c r="HB19" i="122"/>
  <c r="GX22" i="122"/>
  <c r="HA18" i="122"/>
  <c r="GU19" i="122"/>
  <c r="GF17" i="122"/>
  <c r="ET17" i="122"/>
  <c r="EW17" i="122"/>
  <c r="GW21" i="122"/>
  <c r="GZ24" i="122"/>
  <c r="GV20" i="122"/>
  <c r="CF16" i="122"/>
  <c r="GY22" i="122"/>
  <c r="HA17" i="122"/>
  <c r="EW16" i="122"/>
  <c r="HQ18" i="122"/>
  <c r="GE16" i="122"/>
  <c r="ET16" i="122"/>
  <c r="GV19" i="122"/>
  <c r="GX21" i="122"/>
  <c r="GW20" i="122"/>
  <c r="GT17" i="122"/>
  <c r="GZ23" i="122"/>
  <c r="GF16" i="122"/>
  <c r="HB18" i="122"/>
  <c r="GU18" i="122"/>
  <c r="HA10" i="122"/>
  <c r="HQ11" i="122"/>
  <c r="GW13" i="122"/>
  <c r="EW9" i="122"/>
  <c r="HB11" i="122"/>
  <c r="GE9" i="122"/>
  <c r="GY15" i="122"/>
  <c r="GU11" i="122"/>
  <c r="GX14" i="122"/>
  <c r="GZ16" i="122"/>
  <c r="CF9" i="122"/>
  <c r="ET9" i="122"/>
  <c r="GV12" i="122"/>
  <c r="GF9" i="122"/>
  <c r="GT10" i="122"/>
  <c r="BS40" i="122"/>
  <c r="BS36" i="122"/>
  <c r="BS24" i="122"/>
  <c r="BS20" i="122"/>
  <c r="BS12" i="122"/>
  <c r="BS8" i="122"/>
  <c r="G3" i="129"/>
  <c r="BS41" i="122"/>
  <c r="BS25" i="122"/>
  <c r="BS17" i="122"/>
  <c r="BS13" i="122"/>
  <c r="BS9" i="122"/>
  <c r="BS30" i="122"/>
  <c r="GC22" i="122"/>
  <c r="GB24" i="122"/>
  <c r="GB23" i="122"/>
  <c r="FN24" i="122"/>
  <c r="FN20" i="122"/>
  <c r="GC18" i="122"/>
  <c r="GB19" i="122"/>
  <c r="FN14" i="122"/>
  <c r="GC12" i="122"/>
  <c r="GB13" i="122"/>
  <c r="FN10" i="122"/>
  <c r="GC8" i="122"/>
  <c r="GB9" i="122"/>
  <c r="HD8" i="122"/>
  <c r="FN8" i="122"/>
  <c r="HF8" i="122"/>
  <c r="HI8" i="122"/>
  <c r="GK42" i="122"/>
  <c r="FA42" i="122"/>
  <c r="EZ42" i="122"/>
  <c r="ES42" i="122"/>
  <c r="GM42" i="122"/>
  <c r="GL42" i="122"/>
  <c r="GN42" i="122" s="1"/>
  <c r="ES40" i="122"/>
  <c r="EZ40" i="122"/>
  <c r="FA40" i="122"/>
  <c r="GL40" i="122"/>
  <c r="BW40" i="122"/>
  <c r="GK40" i="122"/>
  <c r="FA9" i="122"/>
  <c r="GZ9" i="122"/>
  <c r="BW9" i="122"/>
  <c r="GX9" i="122"/>
  <c r="GV9" i="122"/>
  <c r="ES9" i="122"/>
  <c r="GK9" i="122"/>
  <c r="GL9" i="122"/>
  <c r="GM9" i="122" s="1"/>
  <c r="GY9" i="122"/>
  <c r="EZ9" i="122"/>
  <c r="GW9" i="122"/>
  <c r="HH42" i="122"/>
  <c r="HI43" i="122"/>
  <c r="HD43" i="122"/>
  <c r="HF43" i="122"/>
  <c r="HE42" i="122"/>
  <c r="HC42" i="122"/>
  <c r="FO41" i="122"/>
  <c r="HF35" i="122"/>
  <c r="HH34" i="122"/>
  <c r="HC34" i="122"/>
  <c r="HI35" i="122"/>
  <c r="HE34" i="122"/>
  <c r="HD35" i="122"/>
  <c r="FO33" i="122"/>
  <c r="HC32" i="122"/>
  <c r="FO31" i="122"/>
  <c r="HH32" i="122"/>
  <c r="HI33" i="122"/>
  <c r="HD33" i="122"/>
  <c r="HE32" i="122"/>
  <c r="HF33" i="122"/>
  <c r="HH30" i="122"/>
  <c r="HD31" i="122"/>
  <c r="FO29" i="122"/>
  <c r="HI31" i="122"/>
  <c r="HC30" i="122"/>
  <c r="HF31" i="122"/>
  <c r="HE30" i="122"/>
  <c r="HH26" i="122"/>
  <c r="HI27" i="122"/>
  <c r="HE26" i="122"/>
  <c r="HC26" i="122"/>
  <c r="HD27" i="122"/>
  <c r="HF27" i="122"/>
  <c r="HF23" i="122"/>
  <c r="HI23" i="122"/>
  <c r="HE22" i="122"/>
  <c r="FO21" i="122"/>
  <c r="HH22" i="122"/>
  <c r="HC22" i="122"/>
  <c r="HD23" i="122"/>
  <c r="HE16" i="122"/>
  <c r="FO15" i="122"/>
  <c r="HH16" i="122"/>
  <c r="HI17" i="122"/>
  <c r="HD17" i="122"/>
  <c r="HC16" i="122"/>
  <c r="HF17" i="122"/>
  <c r="HE14" i="122"/>
  <c r="HC14" i="122"/>
  <c r="HI15" i="122"/>
  <c r="HF15" i="122"/>
  <c r="HH14" i="122"/>
  <c r="HD15" i="122"/>
  <c r="GX40" i="122"/>
  <c r="GZ42" i="122"/>
  <c r="HB37" i="122"/>
  <c r="GW39" i="122"/>
  <c r="GT36" i="122"/>
  <c r="HQ37" i="122"/>
  <c r="GU37" i="122"/>
  <c r="HA36" i="122"/>
  <c r="GE35" i="122"/>
  <c r="GV38" i="122"/>
  <c r="ET35" i="122"/>
  <c r="CF35" i="122"/>
  <c r="GY41" i="122"/>
  <c r="EW35" i="122"/>
  <c r="GF35" i="122"/>
  <c r="GX38" i="122"/>
  <c r="GE33" i="122"/>
  <c r="GU35" i="122"/>
  <c r="HB35" i="122"/>
  <c r="CF33" i="122"/>
  <c r="GY39" i="122"/>
  <c r="GW37" i="122"/>
  <c r="EW33" i="122"/>
  <c r="GZ40" i="122"/>
  <c r="HA34" i="122"/>
  <c r="ET33" i="122"/>
  <c r="GV36" i="122"/>
  <c r="GF33" i="122"/>
  <c r="GG33" i="122" s="1"/>
  <c r="GT34" i="122"/>
  <c r="HQ35" i="122"/>
  <c r="GU33" i="122"/>
  <c r="GT32" i="122"/>
  <c r="CF31" i="122"/>
  <c r="GW35" i="122"/>
  <c r="HB33" i="122"/>
  <c r="GZ38" i="122"/>
  <c r="HA32" i="122"/>
  <c r="GF31" i="122"/>
  <c r="GV34" i="122"/>
  <c r="GX36" i="122"/>
  <c r="GY37" i="122"/>
  <c r="GE31" i="122"/>
  <c r="EW31" i="122"/>
  <c r="HQ33" i="122"/>
  <c r="HQ17" i="122"/>
  <c r="EW15" i="122"/>
  <c r="GW19" i="122"/>
  <c r="HB17" i="122"/>
  <c r="GY21" i="122"/>
  <c r="ET15" i="122"/>
  <c r="GT16" i="122"/>
  <c r="GX20" i="122"/>
  <c r="CF15" i="122"/>
  <c r="GF15" i="122"/>
  <c r="GE15" i="122"/>
  <c r="GZ22" i="122"/>
  <c r="HA16" i="122"/>
  <c r="GU17" i="122"/>
  <c r="GV18" i="122"/>
  <c r="GF14" i="122"/>
  <c r="GW18" i="122"/>
  <c r="GY20" i="122"/>
  <c r="GE14" i="122"/>
  <c r="CF14" i="122"/>
  <c r="GX19" i="122"/>
  <c r="GT15" i="122"/>
  <c r="HB16" i="122"/>
  <c r="GZ21" i="122"/>
  <c r="HQ16" i="122"/>
  <c r="ET14" i="122"/>
  <c r="HA15" i="122"/>
  <c r="EW14" i="122"/>
  <c r="GV17" i="122"/>
  <c r="GU16" i="122"/>
  <c r="EW11" i="122"/>
  <c r="GY17" i="122"/>
  <c r="GX16" i="122"/>
  <c r="GF11" i="122"/>
  <c r="GG11" i="122" s="1"/>
  <c r="GZ18" i="122"/>
  <c r="ET11" i="122"/>
  <c r="GV14" i="122"/>
  <c r="GT12" i="122"/>
  <c r="HA12" i="122"/>
  <c r="HQ13" i="122"/>
  <c r="GE11" i="122"/>
  <c r="CF11" i="122"/>
  <c r="GU13" i="122"/>
  <c r="GW15" i="122"/>
  <c r="HB13" i="122"/>
  <c r="CF10" i="122"/>
  <c r="GY16" i="122"/>
  <c r="HB12" i="122"/>
  <c r="GE10" i="122"/>
  <c r="EW10" i="122"/>
  <c r="GW14" i="122"/>
  <c r="GX15" i="122"/>
  <c r="ET10" i="122"/>
  <c r="GT11" i="122"/>
  <c r="GF10" i="122"/>
  <c r="HA11" i="122"/>
  <c r="GV13" i="122"/>
  <c r="GU12" i="122"/>
  <c r="HQ12" i="122"/>
  <c r="GZ17" i="122"/>
  <c r="EW7" i="122"/>
  <c r="GY13" i="122"/>
  <c r="GX12" i="122"/>
  <c r="GW11" i="122"/>
  <c r="HA8" i="122"/>
  <c r="ET7" i="122"/>
  <c r="GU9" i="122"/>
  <c r="GT8" i="122"/>
  <c r="GV10" i="122"/>
  <c r="GE7" i="122"/>
  <c r="HB9" i="122"/>
  <c r="CF7" i="122"/>
  <c r="HQ9" i="122"/>
  <c r="GF7" i="122"/>
  <c r="GZ14" i="122"/>
  <c r="EM48" i="122"/>
  <c r="DX48" i="122"/>
  <c r="EL48" i="122"/>
  <c r="DW48" i="122"/>
  <c r="BW16" i="122" l="1"/>
  <c r="CL16" i="122"/>
  <c r="CL18" i="122"/>
  <c r="CL14" i="122"/>
  <c r="BU26" i="122"/>
  <c r="GH8" i="122"/>
  <c r="BU35" i="122"/>
  <c r="BW27" i="122"/>
  <c r="CL27" i="122"/>
  <c r="CL25" i="122"/>
  <c r="CL24" i="122"/>
  <c r="BU33" i="122"/>
  <c r="CL22" i="122"/>
  <c r="GH40" i="122"/>
  <c r="GN34" i="122"/>
  <c r="GN36" i="122"/>
  <c r="GM34" i="122"/>
  <c r="GN40" i="122"/>
  <c r="GM40" i="122"/>
  <c r="CL21" i="122"/>
  <c r="GH37" i="122"/>
  <c r="GG37" i="122"/>
  <c r="GN8" i="122"/>
  <c r="GN35" i="122"/>
  <c r="GM35" i="122"/>
  <c r="GN33" i="122"/>
  <c r="GH33" i="122"/>
  <c r="CL20" i="122"/>
  <c r="GH34" i="122"/>
  <c r="BU10" i="122"/>
  <c r="BW18" i="122"/>
  <c r="BU17" i="122"/>
  <c r="BU15" i="122"/>
  <c r="GH9" i="122"/>
  <c r="GG9" i="122"/>
  <c r="CL11" i="122"/>
  <c r="GN9" i="122"/>
  <c r="CL13" i="122"/>
  <c r="CL15" i="122"/>
  <c r="CL19" i="122"/>
  <c r="BU22" i="122"/>
  <c r="BU30" i="122"/>
  <c r="BU24" i="122"/>
  <c r="BU16" i="122"/>
  <c r="BU29" i="122"/>
  <c r="GH41" i="122"/>
  <c r="GG41" i="122"/>
  <c r="GH31" i="122"/>
  <c r="GG31" i="122"/>
  <c r="GH12" i="122"/>
  <c r="GN12" i="122"/>
  <c r="GM12" i="122"/>
  <c r="GH35" i="122"/>
  <c r="GG35" i="122"/>
  <c r="CL10" i="122"/>
  <c r="GH11" i="122"/>
  <c r="GN11" i="122"/>
  <c r="HL6" i="122"/>
  <c r="GH7" i="122"/>
  <c r="GG7" i="122"/>
  <c r="GH14" i="122"/>
  <c r="GN38" i="122"/>
  <c r="CR1" i="122"/>
  <c r="CY1" i="122" s="1"/>
  <c r="GH10" i="122"/>
  <c r="GH16" i="122"/>
  <c r="GH19" i="122"/>
  <c r="GH20" i="122"/>
  <c r="GH30" i="122"/>
  <c r="GN10" i="122"/>
  <c r="GN19" i="122"/>
  <c r="GN28" i="122"/>
  <c r="GN29" i="122"/>
  <c r="GN32" i="122"/>
  <c r="GG13" i="122"/>
  <c r="GE18" i="122"/>
  <c r="ET18" i="122"/>
  <c r="GG18" i="122"/>
  <c r="GE22" i="122"/>
  <c r="GG22" i="122"/>
  <c r="GH24" i="122"/>
  <c r="GE24" i="122"/>
  <c r="GH26" i="122"/>
  <c r="FO14" i="122"/>
  <c r="FO30" i="122"/>
  <c r="FO32" i="122"/>
  <c r="GM13" i="122"/>
  <c r="GN13" i="122"/>
  <c r="GN15" i="122"/>
  <c r="GN16" i="122"/>
  <c r="ES16" i="122"/>
  <c r="GK21" i="122"/>
  <c r="GN25" i="122"/>
  <c r="GK27" i="122"/>
  <c r="GN31" i="122"/>
  <c r="ES37" i="122"/>
  <c r="FN15" i="122"/>
  <c r="FN19" i="122"/>
  <c r="FN21" i="122"/>
  <c r="GG29" i="122"/>
  <c r="GE29" i="122"/>
  <c r="ET29" i="122"/>
  <c r="GE36" i="122"/>
  <c r="ET36" i="122"/>
  <c r="GG36" i="122"/>
  <c r="ET38" i="122"/>
  <c r="GE38" i="122"/>
  <c r="GG38" i="122"/>
  <c r="FO12" i="122"/>
  <c r="GN17" i="122"/>
  <c r="FN13" i="122"/>
  <c r="FN36" i="122"/>
  <c r="FN26" i="122"/>
  <c r="GH15" i="122"/>
  <c r="GG15" i="122"/>
  <c r="GH17" i="122"/>
  <c r="GG20" i="122"/>
  <c r="GH21" i="122"/>
  <c r="GH23" i="122"/>
  <c r="GH25" i="122"/>
  <c r="GN22" i="122"/>
  <c r="GN24" i="122"/>
  <c r="GM28" i="122"/>
  <c r="ET13" i="122"/>
  <c r="ET22" i="122"/>
  <c r="GH22" i="122"/>
  <c r="GG24" i="122"/>
  <c r="GG26" i="122"/>
  <c r="GH32" i="122"/>
  <c r="ET32" i="122"/>
  <c r="FO28" i="122"/>
  <c r="ES13" i="122"/>
  <c r="GK15" i="122"/>
  <c r="GM16" i="122"/>
  <c r="ES21" i="122"/>
  <c r="GK23" i="122"/>
  <c r="GM25" i="122"/>
  <c r="ES27" i="122"/>
  <c r="GN27" i="122"/>
  <c r="GK31" i="122"/>
  <c r="FN17" i="122"/>
  <c r="GH36" i="122"/>
  <c r="GH38" i="122"/>
  <c r="FO10" i="122"/>
  <c r="ES17" i="122"/>
  <c r="ES26" i="122"/>
  <c r="FN28" i="122"/>
  <c r="FN30" i="122"/>
  <c r="GG10" i="122"/>
  <c r="GG14" i="122"/>
  <c r="GG16" i="122"/>
  <c r="GG17" i="122"/>
  <c r="GG19" i="122"/>
  <c r="GG21" i="122"/>
  <c r="GG23" i="122"/>
  <c r="GG25" i="122"/>
  <c r="GM10" i="122"/>
  <c r="GN14" i="122"/>
  <c r="GN18" i="122"/>
  <c r="GM18" i="122"/>
  <c r="GM19" i="122"/>
  <c r="GM22" i="122"/>
  <c r="GM29" i="122"/>
  <c r="GG28" i="122"/>
  <c r="GG32" i="122"/>
  <c r="GE32" i="122"/>
  <c r="FO16" i="122"/>
  <c r="GM21" i="122"/>
  <c r="GN21" i="122"/>
  <c r="GN23" i="122"/>
  <c r="GM27" i="122"/>
  <c r="GM31" i="122"/>
  <c r="ES35" i="122"/>
  <c r="GH29" i="122"/>
  <c r="GK17" i="122"/>
  <c r="GN26" i="122"/>
  <c r="GM26" i="122"/>
  <c r="FN38" i="122"/>
  <c r="FN29" i="122"/>
  <c r="GH27" i="122"/>
  <c r="GN30" i="122"/>
  <c r="GH13" i="122"/>
  <c r="GE13" i="122"/>
  <c r="GH18" i="122"/>
  <c r="ET24" i="122"/>
  <c r="GE26" i="122"/>
  <c r="GH28" i="122"/>
  <c r="GE28" i="122"/>
  <c r="GK13" i="122"/>
  <c r="ES15" i="122"/>
  <c r="GM15" i="122"/>
  <c r="GK16" i="122"/>
  <c r="ES23" i="122"/>
  <c r="GM23" i="122"/>
  <c r="GK25" i="122"/>
  <c r="ES25" i="122"/>
  <c r="ES31" i="122"/>
  <c r="ET8" i="122"/>
  <c r="FO8" i="122"/>
  <c r="FO18" i="122"/>
  <c r="FO22" i="122"/>
  <c r="GM17" i="122"/>
  <c r="GK26" i="122"/>
  <c r="ES33" i="122"/>
  <c r="FN23" i="122"/>
  <c r="FN32" i="122"/>
  <c r="FN27" i="122"/>
  <c r="EX9" i="122"/>
  <c r="EY9" i="122"/>
  <c r="FT9" i="122"/>
  <c r="FS9" i="122"/>
  <c r="FS42" i="122"/>
  <c r="EX22" i="122"/>
  <c r="EY32" i="122"/>
  <c r="FT29" i="122"/>
  <c r="EX34" i="122"/>
  <c r="FT28" i="122"/>
  <c r="FT30" i="122"/>
  <c r="FT19" i="122"/>
  <c r="FT24" i="122"/>
  <c r="EY29" i="122"/>
  <c r="FS32" i="122"/>
  <c r="ET31" i="122"/>
  <c r="EX24" i="122"/>
  <c r="EY30" i="122"/>
  <c r="FS40" i="122"/>
  <c r="EX42" i="122"/>
  <c r="FS8" i="122"/>
  <c r="EY10" i="122"/>
  <c r="FT10" i="122"/>
  <c r="EY12" i="122"/>
  <c r="FS29" i="122"/>
  <c r="FS30" i="122"/>
  <c r="ES30" i="122"/>
  <c r="EX32" i="122"/>
  <c r="FT34" i="122"/>
  <c r="EY34" i="122"/>
  <c r="FU12" i="122"/>
  <c r="FU16" i="122"/>
  <c r="FU18" i="122"/>
  <c r="FO25" i="122"/>
  <c r="FU8" i="122"/>
  <c r="FU10" i="122"/>
  <c r="FU14" i="122"/>
  <c r="ET30" i="122"/>
  <c r="EY14" i="122"/>
  <c r="EX18" i="122"/>
  <c r="FS18" i="122"/>
  <c r="EY20" i="122"/>
  <c r="FS24" i="122"/>
  <c r="FS28" i="122"/>
  <c r="EY28" i="122"/>
  <c r="EX29" i="122"/>
  <c r="FO13" i="122"/>
  <c r="FT40" i="122"/>
  <c r="FT42" i="122"/>
  <c r="EX8" i="122"/>
  <c r="EX10" i="122"/>
  <c r="FS10" i="122"/>
  <c r="FT12" i="122"/>
  <c r="EX12" i="122"/>
  <c r="FS14" i="122"/>
  <c r="FT18" i="122"/>
  <c r="EX20" i="122"/>
  <c r="FT22" i="122"/>
  <c r="EY22" i="122"/>
  <c r="FT36" i="122"/>
  <c r="FS38" i="122"/>
  <c r="EX38" i="122"/>
  <c r="EY8" i="122"/>
  <c r="EX14" i="122"/>
  <c r="EY18" i="122"/>
  <c r="ES19" i="122"/>
  <c r="FT20" i="122"/>
  <c r="GK20" i="122"/>
  <c r="FS22" i="122"/>
  <c r="EY24" i="122"/>
  <c r="EY36" i="122"/>
  <c r="EY38" i="122"/>
  <c r="EY40" i="122"/>
  <c r="EX40" i="122"/>
  <c r="EY42" i="122"/>
  <c r="FT8" i="122"/>
  <c r="FS12" i="122"/>
  <c r="FT14" i="122"/>
  <c r="EY19" i="122"/>
  <c r="EX19" i="122"/>
  <c r="FS19" i="122"/>
  <c r="FS20" i="122"/>
  <c r="ES20" i="122"/>
  <c r="GM20" i="122"/>
  <c r="EX28" i="122"/>
  <c r="EX30" i="122"/>
  <c r="FT32" i="122"/>
  <c r="FS34" i="122"/>
  <c r="FS36" i="122"/>
  <c r="EX36" i="122"/>
  <c r="FT38" i="122"/>
  <c r="BU31" i="122"/>
  <c r="CL30" i="122"/>
  <c r="CK31" i="122"/>
  <c r="EB14" i="122"/>
  <c r="EC14" i="122" s="1"/>
  <c r="ED14" i="122" s="1"/>
  <c r="H14" i="122"/>
  <c r="FH14" i="122"/>
  <c r="ER14" i="122"/>
  <c r="FG14" i="122"/>
  <c r="DM14" i="122"/>
  <c r="DN14" i="122" s="1"/>
  <c r="DO14" i="122" s="1"/>
  <c r="ER22" i="122"/>
  <c r="FG22" i="122"/>
  <c r="DM22" i="122"/>
  <c r="DN22" i="122" s="1"/>
  <c r="DO22" i="122" s="1"/>
  <c r="EB22" i="122"/>
  <c r="EC22" i="122" s="1"/>
  <c r="ED22" i="122" s="1"/>
  <c r="H22" i="122"/>
  <c r="FH22" i="122"/>
  <c r="FM10" i="122"/>
  <c r="I10" i="122"/>
  <c r="EH10" i="122"/>
  <c r="EI10" i="122" s="1"/>
  <c r="EJ10" i="122" s="1"/>
  <c r="DS10" i="122"/>
  <c r="DT10" i="122" s="1"/>
  <c r="DU10" i="122" s="1"/>
  <c r="CK21" i="122"/>
  <c r="BU21" i="122"/>
  <c r="BU23" i="122"/>
  <c r="CK23" i="122"/>
  <c r="BU25" i="122"/>
  <c r="CK25" i="122"/>
  <c r="CL38" i="122"/>
  <c r="BU39" i="122"/>
  <c r="CK39" i="122"/>
  <c r="H18" i="122"/>
  <c r="EB18" i="122"/>
  <c r="EC18" i="122" s="1"/>
  <c r="ED18" i="122" s="1"/>
  <c r="FG18" i="122"/>
  <c r="ER18" i="122"/>
  <c r="DM18" i="122"/>
  <c r="DN18" i="122" s="1"/>
  <c r="DO18" i="122" s="1"/>
  <c r="FH18" i="122"/>
  <c r="DS26" i="122"/>
  <c r="DT26" i="122" s="1"/>
  <c r="DU26" i="122" s="1"/>
  <c r="EH26" i="122"/>
  <c r="EI26" i="122" s="1"/>
  <c r="EJ26" i="122" s="1"/>
  <c r="FM26" i="122"/>
  <c r="I26" i="122"/>
  <c r="DS42" i="122"/>
  <c r="DT42" i="122" s="1"/>
  <c r="DU42" i="122" s="1"/>
  <c r="FM42" i="122"/>
  <c r="EH42" i="122"/>
  <c r="EI42" i="122" s="1"/>
  <c r="EJ42" i="122" s="1"/>
  <c r="I42" i="122"/>
  <c r="FH33" i="122"/>
  <c r="FG33" i="122"/>
  <c r="EB33" i="122"/>
  <c r="EC33" i="122" s="1"/>
  <c r="ED33" i="122" s="1"/>
  <c r="ER33" i="122"/>
  <c r="DM33" i="122"/>
  <c r="DN33" i="122" s="1"/>
  <c r="DO33" i="122" s="1"/>
  <c r="H33" i="122"/>
  <c r="DS21" i="122"/>
  <c r="DT21" i="122" s="1"/>
  <c r="DU21" i="122" s="1"/>
  <c r="EH21" i="122"/>
  <c r="EI21" i="122" s="1"/>
  <c r="EJ21" i="122" s="1"/>
  <c r="I21" i="122"/>
  <c r="FM21" i="122"/>
  <c r="FH7" i="122"/>
  <c r="FG7" i="122"/>
  <c r="H7" i="122"/>
  <c r="EB7" i="122"/>
  <c r="DM7" i="122"/>
  <c r="ER7" i="122"/>
  <c r="FH39" i="122"/>
  <c r="EB39" i="122"/>
  <c r="EC39" i="122" s="1"/>
  <c r="ED39" i="122" s="1"/>
  <c r="ER39" i="122"/>
  <c r="FG39" i="122"/>
  <c r="H39" i="122"/>
  <c r="DM39" i="122"/>
  <c r="DN39" i="122" s="1"/>
  <c r="DO39" i="122" s="1"/>
  <c r="FG35" i="122"/>
  <c r="H35" i="122"/>
  <c r="ER35" i="122"/>
  <c r="EB35" i="122"/>
  <c r="EC35" i="122" s="1"/>
  <c r="ED35" i="122" s="1"/>
  <c r="FH35" i="122"/>
  <c r="DM35" i="122"/>
  <c r="DN35" i="122" s="1"/>
  <c r="DO35" i="122" s="1"/>
  <c r="DS27" i="122"/>
  <c r="DT27" i="122" s="1"/>
  <c r="DU27" i="122" s="1"/>
  <c r="I27" i="122"/>
  <c r="EH27" i="122"/>
  <c r="EI27" i="122" s="1"/>
  <c r="EJ27" i="122" s="1"/>
  <c r="FM27" i="122"/>
  <c r="DS39" i="122"/>
  <c r="DT39" i="122" s="1"/>
  <c r="DU39" i="122" s="1"/>
  <c r="FM39" i="122"/>
  <c r="I39" i="122"/>
  <c r="EH39" i="122"/>
  <c r="EI39" i="122" s="1"/>
  <c r="EJ39" i="122" s="1"/>
  <c r="EY11" i="122"/>
  <c r="EY13" i="122"/>
  <c r="FS15" i="122"/>
  <c r="EX16" i="122"/>
  <c r="EY21" i="122"/>
  <c r="EX23" i="122"/>
  <c r="EY25" i="122"/>
  <c r="EX27" i="122"/>
  <c r="FT31" i="122"/>
  <c r="EX35" i="122"/>
  <c r="EX37" i="122"/>
  <c r="EY7" i="122"/>
  <c r="FS17" i="122"/>
  <c r="EY17" i="122"/>
  <c r="FS26" i="122"/>
  <c r="EY39" i="122"/>
  <c r="FT39" i="122"/>
  <c r="FU9" i="122"/>
  <c r="BW42" i="122"/>
  <c r="CL42" i="122"/>
  <c r="CL32" i="122"/>
  <c r="CK33" i="122"/>
  <c r="CK35" i="122"/>
  <c r="CL34" i="122"/>
  <c r="DS18" i="122"/>
  <c r="DT18" i="122" s="1"/>
  <c r="DU18" i="122" s="1"/>
  <c r="EH18" i="122"/>
  <c r="EI18" i="122" s="1"/>
  <c r="EJ18" i="122" s="1"/>
  <c r="FM18" i="122"/>
  <c r="I18" i="122"/>
  <c r="EB13" i="122"/>
  <c r="EC13" i="122" s="1"/>
  <c r="ED13" i="122" s="1"/>
  <c r="H13" i="122"/>
  <c r="FH13" i="122"/>
  <c r="FG13" i="122"/>
  <c r="ER13" i="122"/>
  <c r="DM13" i="122"/>
  <c r="DN13" i="122" s="1"/>
  <c r="DO13" i="122" s="1"/>
  <c r="ER29" i="122"/>
  <c r="DM29" i="122"/>
  <c r="DN29" i="122" s="1"/>
  <c r="DO29" i="122" s="1"/>
  <c r="FG29" i="122"/>
  <c r="FH29" i="122"/>
  <c r="H29" i="122"/>
  <c r="EB29" i="122"/>
  <c r="EC29" i="122" s="1"/>
  <c r="ED29" i="122" s="1"/>
  <c r="I17" i="122"/>
  <c r="FM17" i="122"/>
  <c r="DS17" i="122"/>
  <c r="DT17" i="122" s="1"/>
  <c r="DU17" i="122" s="1"/>
  <c r="EH17" i="122"/>
  <c r="EI17" i="122" s="1"/>
  <c r="EJ17" i="122" s="1"/>
  <c r="ER16" i="122"/>
  <c r="DM16" i="122"/>
  <c r="DN16" i="122" s="1"/>
  <c r="DO16" i="122" s="1"/>
  <c r="H16" i="122"/>
  <c r="FH16" i="122"/>
  <c r="FG16" i="122"/>
  <c r="EB16" i="122"/>
  <c r="EC16" i="122" s="1"/>
  <c r="ED16" i="122" s="1"/>
  <c r="FM12" i="122"/>
  <c r="I12" i="122"/>
  <c r="EH12" i="122"/>
  <c r="EI12" i="122" s="1"/>
  <c r="EJ12" i="122" s="1"/>
  <c r="DS12" i="122"/>
  <c r="DT12" i="122" s="1"/>
  <c r="DU12" i="122" s="1"/>
  <c r="CK27" i="122"/>
  <c r="CL26" i="122"/>
  <c r="DM10" i="122"/>
  <c r="DN10" i="122" s="1"/>
  <c r="DO10" i="122" s="1"/>
  <c r="FH10" i="122"/>
  <c r="EB10" i="122"/>
  <c r="EC10" i="122" s="1"/>
  <c r="ED10" i="122" s="1"/>
  <c r="FG10" i="122"/>
  <c r="H10" i="122"/>
  <c r="ER10" i="122"/>
  <c r="FM22" i="122"/>
  <c r="DS22" i="122"/>
  <c r="DT22" i="122" s="1"/>
  <c r="DU22" i="122" s="1"/>
  <c r="EH22" i="122"/>
  <c r="EI22" i="122" s="1"/>
  <c r="EJ22" i="122" s="1"/>
  <c r="I22" i="122"/>
  <c r="FG24" i="122"/>
  <c r="FH24" i="122"/>
  <c r="EB24" i="122"/>
  <c r="EC24" i="122" s="1"/>
  <c r="ED24" i="122" s="1"/>
  <c r="DM24" i="122"/>
  <c r="DN24" i="122" s="1"/>
  <c r="DO24" i="122" s="1"/>
  <c r="H24" i="122"/>
  <c r="ER24" i="122"/>
  <c r="ER40" i="122"/>
  <c r="H40" i="122"/>
  <c r="DM40" i="122"/>
  <c r="DN40" i="122" s="1"/>
  <c r="DO40" i="122" s="1"/>
  <c r="FG40" i="122"/>
  <c r="EB40" i="122"/>
  <c r="EC40" i="122" s="1"/>
  <c r="ED40" i="122" s="1"/>
  <c r="FH40" i="122"/>
  <c r="CL12" i="122"/>
  <c r="BU13" i="122"/>
  <c r="CK13" i="122"/>
  <c r="CK22" i="122"/>
  <c r="CK24" i="122"/>
  <c r="CK32" i="122"/>
  <c r="BU32" i="122"/>
  <c r="CL31" i="122"/>
  <c r="BU42" i="122"/>
  <c r="CK42" i="122"/>
  <c r="CL41" i="122"/>
  <c r="FH30" i="122"/>
  <c r="FG30" i="122"/>
  <c r="H30" i="122"/>
  <c r="EB30" i="122"/>
  <c r="EC30" i="122" s="1"/>
  <c r="ED30" i="122" s="1"/>
  <c r="ER30" i="122"/>
  <c r="DM30" i="122"/>
  <c r="DN30" i="122" s="1"/>
  <c r="DO30" i="122" s="1"/>
  <c r="FM34" i="122"/>
  <c r="DS34" i="122"/>
  <c r="DT34" i="122" s="1"/>
  <c r="DU34" i="122" s="1"/>
  <c r="EH34" i="122"/>
  <c r="EI34" i="122" s="1"/>
  <c r="EJ34" i="122" s="1"/>
  <c r="I34" i="122"/>
  <c r="FG41" i="122"/>
  <c r="H41" i="122"/>
  <c r="ER41" i="122"/>
  <c r="FH41" i="122"/>
  <c r="DM41" i="122"/>
  <c r="DN41" i="122" s="1"/>
  <c r="DO41" i="122" s="1"/>
  <c r="EB41" i="122"/>
  <c r="EC41" i="122" s="1"/>
  <c r="ED41" i="122" s="1"/>
  <c r="DS13" i="122"/>
  <c r="DT13" i="122" s="1"/>
  <c r="DU13" i="122" s="1"/>
  <c r="FM13" i="122"/>
  <c r="EH13" i="122"/>
  <c r="EI13" i="122" s="1"/>
  <c r="EJ13" i="122" s="1"/>
  <c r="I13" i="122"/>
  <c r="I41" i="122"/>
  <c r="FM41" i="122"/>
  <c r="EH41" i="122"/>
  <c r="EI41" i="122" s="1"/>
  <c r="EJ41" i="122" s="1"/>
  <c r="DS41" i="122"/>
  <c r="DT41" i="122" s="1"/>
  <c r="DU41" i="122" s="1"/>
  <c r="EH24" i="122"/>
  <c r="EI24" i="122" s="1"/>
  <c r="EJ24" i="122" s="1"/>
  <c r="FM24" i="122"/>
  <c r="I24" i="122"/>
  <c r="DS24" i="122"/>
  <c r="DT24" i="122" s="1"/>
  <c r="DU24" i="122" s="1"/>
  <c r="H19" i="122"/>
  <c r="FH19" i="122"/>
  <c r="ER19" i="122"/>
  <c r="FG19" i="122"/>
  <c r="DM19" i="122"/>
  <c r="DN19" i="122" s="1"/>
  <c r="DO19" i="122" s="1"/>
  <c r="EB19" i="122"/>
  <c r="EC19" i="122" s="1"/>
  <c r="ED19" i="122" s="1"/>
  <c r="H23" i="122"/>
  <c r="DM23" i="122"/>
  <c r="DN23" i="122" s="1"/>
  <c r="DO23" i="122" s="1"/>
  <c r="ER23" i="122"/>
  <c r="FG23" i="122"/>
  <c r="EB23" i="122"/>
  <c r="EC23" i="122" s="1"/>
  <c r="ED23" i="122" s="1"/>
  <c r="FH23" i="122"/>
  <c r="ER27" i="122"/>
  <c r="H27" i="122"/>
  <c r="DM27" i="122"/>
  <c r="DN27" i="122" s="1"/>
  <c r="DO27" i="122" s="1"/>
  <c r="EB27" i="122"/>
  <c r="EC27" i="122" s="1"/>
  <c r="ED27" i="122" s="1"/>
  <c r="FG27" i="122"/>
  <c r="FH27" i="122"/>
  <c r="I19" i="122"/>
  <c r="EH19" i="122"/>
  <c r="EI19" i="122" s="1"/>
  <c r="EJ19" i="122" s="1"/>
  <c r="DS19" i="122"/>
  <c r="DT19" i="122" s="1"/>
  <c r="DU19" i="122" s="1"/>
  <c r="FM19" i="122"/>
  <c r="GN7" i="122"/>
  <c r="FH31" i="122"/>
  <c r="H31" i="122"/>
  <c r="ER31" i="122"/>
  <c r="EB31" i="122"/>
  <c r="EC31" i="122" s="1"/>
  <c r="ED31" i="122" s="1"/>
  <c r="FG31" i="122"/>
  <c r="DM31" i="122"/>
  <c r="DN31" i="122" s="1"/>
  <c r="DO31" i="122" s="1"/>
  <c r="FM23" i="122"/>
  <c r="I23" i="122"/>
  <c r="DS23" i="122"/>
  <c r="DT23" i="122" s="1"/>
  <c r="DU23" i="122" s="1"/>
  <c r="EH23" i="122"/>
  <c r="EI23" i="122" s="1"/>
  <c r="EJ23" i="122" s="1"/>
  <c r="ET26" i="122"/>
  <c r="ET28" i="122"/>
  <c r="ET34" i="122"/>
  <c r="FO20" i="122"/>
  <c r="EX11" i="122"/>
  <c r="FT13" i="122"/>
  <c r="FT15" i="122"/>
  <c r="FT16" i="122"/>
  <c r="EX21" i="122"/>
  <c r="FT23" i="122"/>
  <c r="EX25" i="122"/>
  <c r="FT27" i="122"/>
  <c r="FT35" i="122"/>
  <c r="FT37" i="122"/>
  <c r="FU11" i="122"/>
  <c r="FU15" i="122"/>
  <c r="FU17" i="122"/>
  <c r="FO26" i="122"/>
  <c r="GS1" i="122"/>
  <c r="CV5" i="122" s="1"/>
  <c r="FT17" i="122"/>
  <c r="EX26" i="122"/>
  <c r="EX33" i="122"/>
  <c r="EX39" i="122"/>
  <c r="EY41" i="122"/>
  <c r="EX41" i="122"/>
  <c r="HC1" i="122"/>
  <c r="FU13" i="122"/>
  <c r="BU7" i="122"/>
  <c r="CK7" i="122"/>
  <c r="CL9" i="122"/>
  <c r="CK10" i="122"/>
  <c r="CK11" i="122"/>
  <c r="BU11" i="122"/>
  <c r="CK14" i="122"/>
  <c r="BU14" i="122"/>
  <c r="H21" i="122"/>
  <c r="ER21" i="122"/>
  <c r="DM21" i="122"/>
  <c r="DN21" i="122" s="1"/>
  <c r="DO21" i="122" s="1"/>
  <c r="FG21" i="122"/>
  <c r="FH21" i="122"/>
  <c r="EB21" i="122"/>
  <c r="EC21" i="122" s="1"/>
  <c r="ED21" i="122" s="1"/>
  <c r="I29" i="122"/>
  <c r="EH29" i="122"/>
  <c r="EI29" i="122" s="1"/>
  <c r="EJ29" i="122" s="1"/>
  <c r="FM29" i="122"/>
  <c r="DS29" i="122"/>
  <c r="DT29" i="122" s="1"/>
  <c r="DU29" i="122" s="1"/>
  <c r="I37" i="122"/>
  <c r="EH37" i="122"/>
  <c r="EI37" i="122" s="1"/>
  <c r="EJ37" i="122" s="1"/>
  <c r="FM37" i="122"/>
  <c r="DS37" i="122"/>
  <c r="DT37" i="122" s="1"/>
  <c r="DU37" i="122" s="1"/>
  <c r="EH32" i="122"/>
  <c r="EI32" i="122" s="1"/>
  <c r="EJ32" i="122" s="1"/>
  <c r="DS32" i="122"/>
  <c r="DT32" i="122" s="1"/>
  <c r="DU32" i="122" s="1"/>
  <c r="I32" i="122"/>
  <c r="FM32" i="122"/>
  <c r="CK9" i="122"/>
  <c r="CL8" i="122"/>
  <c r="BU9" i="122"/>
  <c r="CK41" i="122"/>
  <c r="CL40" i="122"/>
  <c r="BU41" i="122"/>
  <c r="H26" i="122"/>
  <c r="DM26" i="122"/>
  <c r="DN26" i="122" s="1"/>
  <c r="DO26" i="122" s="1"/>
  <c r="FH26" i="122"/>
  <c r="ER26" i="122"/>
  <c r="EB26" i="122"/>
  <c r="EC26" i="122" s="1"/>
  <c r="ED26" i="122" s="1"/>
  <c r="FG26" i="122"/>
  <c r="ER42" i="122"/>
  <c r="FG42" i="122"/>
  <c r="DM42" i="122"/>
  <c r="DN42" i="122" s="1"/>
  <c r="DO42" i="122" s="1"/>
  <c r="H42" i="122"/>
  <c r="EB42" i="122"/>
  <c r="EC42" i="122" s="1"/>
  <c r="ED42" i="122" s="1"/>
  <c r="FH42" i="122"/>
  <c r="FM14" i="122"/>
  <c r="EH14" i="122"/>
  <c r="EI14" i="122" s="1"/>
  <c r="EJ14" i="122" s="1"/>
  <c r="DS14" i="122"/>
  <c r="DT14" i="122" s="1"/>
  <c r="DU14" i="122" s="1"/>
  <c r="I14" i="122"/>
  <c r="EB8" i="122"/>
  <c r="EC8" i="122" s="1"/>
  <c r="ED8" i="122" s="1"/>
  <c r="ER8" i="122"/>
  <c r="H8" i="122"/>
  <c r="FG8" i="122"/>
  <c r="DM8" i="122"/>
  <c r="DN8" i="122" s="1"/>
  <c r="DO8" i="122" s="1"/>
  <c r="FH8" i="122"/>
  <c r="DM12" i="122"/>
  <c r="DN12" i="122" s="1"/>
  <c r="DO12" i="122" s="1"/>
  <c r="H12" i="122"/>
  <c r="ER12" i="122"/>
  <c r="FG12" i="122"/>
  <c r="EB12" i="122"/>
  <c r="EC12" i="122" s="1"/>
  <c r="ED12" i="122" s="1"/>
  <c r="FH12" i="122"/>
  <c r="FG20" i="122"/>
  <c r="DM20" i="122"/>
  <c r="DN20" i="122" s="1"/>
  <c r="DO20" i="122" s="1"/>
  <c r="EB20" i="122"/>
  <c r="EC20" i="122" s="1"/>
  <c r="ED20" i="122" s="1"/>
  <c r="FH20" i="122"/>
  <c r="H20" i="122"/>
  <c r="ER20" i="122"/>
  <c r="DS8" i="122"/>
  <c r="DT8" i="122" s="1"/>
  <c r="DU8" i="122" s="1"/>
  <c r="EH8" i="122"/>
  <c r="EI8" i="122" s="1"/>
  <c r="EJ8" i="122" s="1"/>
  <c r="I8" i="122"/>
  <c r="FM8" i="122"/>
  <c r="EH16" i="122"/>
  <c r="EI16" i="122" s="1"/>
  <c r="EJ16" i="122" s="1"/>
  <c r="FM16" i="122"/>
  <c r="I16" i="122"/>
  <c r="DS16" i="122"/>
  <c r="DT16" i="122" s="1"/>
  <c r="DU16" i="122" s="1"/>
  <c r="FH15" i="122"/>
  <c r="DM15" i="122"/>
  <c r="DN15" i="122" s="1"/>
  <c r="DO15" i="122" s="1"/>
  <c r="ER15" i="122"/>
  <c r="FG15" i="122"/>
  <c r="H15" i="122"/>
  <c r="EB15" i="122"/>
  <c r="EC15" i="122" s="1"/>
  <c r="ED15" i="122" s="1"/>
  <c r="CK12" i="122"/>
  <c r="BU12" i="122"/>
  <c r="BU18" i="122"/>
  <c r="CK18" i="122"/>
  <c r="CK26" i="122"/>
  <c r="BU34" i="122"/>
  <c r="CL33" i="122"/>
  <c r="CK34" i="122"/>
  <c r="CK40" i="122"/>
  <c r="CL39" i="122"/>
  <c r="BU40" i="122"/>
  <c r="EB17" i="122"/>
  <c r="EC17" i="122" s="1"/>
  <c r="ED17" i="122" s="1"/>
  <c r="DM17" i="122"/>
  <c r="DN17" i="122" s="1"/>
  <c r="DO17" i="122" s="1"/>
  <c r="ER17" i="122"/>
  <c r="H17" i="122"/>
  <c r="FH17" i="122"/>
  <c r="FG17" i="122"/>
  <c r="FH25" i="122"/>
  <c r="H25" i="122"/>
  <c r="ER25" i="122"/>
  <c r="FG25" i="122"/>
  <c r="DM25" i="122"/>
  <c r="DN25" i="122" s="1"/>
  <c r="DO25" i="122" s="1"/>
  <c r="EB25" i="122"/>
  <c r="EC25" i="122" s="1"/>
  <c r="ED25" i="122" s="1"/>
  <c r="EB32" i="122"/>
  <c r="EC32" i="122" s="1"/>
  <c r="ED32" i="122" s="1"/>
  <c r="DM32" i="122"/>
  <c r="DN32" i="122" s="1"/>
  <c r="DO32" i="122" s="1"/>
  <c r="H32" i="122"/>
  <c r="FH32" i="122"/>
  <c r="FG32" i="122"/>
  <c r="ER32" i="122"/>
  <c r="FM7" i="122"/>
  <c r="I7" i="122"/>
  <c r="DS7" i="122"/>
  <c r="EH7" i="122"/>
  <c r="CK29" i="122"/>
  <c r="CL28" i="122"/>
  <c r="BU36" i="122"/>
  <c r="CK36" i="122"/>
  <c r="CL35" i="122"/>
  <c r="FG34" i="122"/>
  <c r="EB34" i="122"/>
  <c r="EC34" i="122" s="1"/>
  <c r="ED34" i="122" s="1"/>
  <c r="ER34" i="122"/>
  <c r="H34" i="122"/>
  <c r="FH34" i="122"/>
  <c r="DM34" i="122"/>
  <c r="DN34" i="122" s="1"/>
  <c r="DO34" i="122" s="1"/>
  <c r="FG36" i="122"/>
  <c r="EB36" i="122"/>
  <c r="EC36" i="122" s="1"/>
  <c r="ED36" i="122" s="1"/>
  <c r="ER36" i="122"/>
  <c r="DM36" i="122"/>
  <c r="DN36" i="122" s="1"/>
  <c r="DO36" i="122" s="1"/>
  <c r="FH36" i="122"/>
  <c r="H36" i="122"/>
  <c r="DS28" i="122"/>
  <c r="DT28" i="122" s="1"/>
  <c r="DU28" i="122" s="1"/>
  <c r="FM28" i="122"/>
  <c r="I28" i="122"/>
  <c r="EH28" i="122"/>
  <c r="EI28" i="122" s="1"/>
  <c r="EJ28" i="122" s="1"/>
  <c r="O3" i="129"/>
  <c r="GN20" i="122"/>
  <c r="FO24" i="122"/>
  <c r="FS11" i="122"/>
  <c r="FS13" i="122"/>
  <c r="EX15" i="122"/>
  <c r="FS16" i="122"/>
  <c r="FT21" i="122"/>
  <c r="EY23" i="122"/>
  <c r="FT25" i="122"/>
  <c r="EY27" i="122"/>
  <c r="EX31" i="122"/>
  <c r="FS31" i="122"/>
  <c r="FS35" i="122"/>
  <c r="FS37" i="122"/>
  <c r="FT7" i="122"/>
  <c r="EX7" i="122"/>
  <c r="EX17" i="122"/>
  <c r="EY26" i="122"/>
  <c r="FT26" i="122"/>
  <c r="FT33" i="122"/>
  <c r="FT41" i="122"/>
  <c r="CK15" i="122"/>
  <c r="DM38" i="122"/>
  <c r="DN38" i="122" s="1"/>
  <c r="DO38" i="122" s="1"/>
  <c r="ER38" i="122"/>
  <c r="EB38" i="122"/>
  <c r="EC38" i="122" s="1"/>
  <c r="ED38" i="122" s="1"/>
  <c r="FG38" i="122"/>
  <c r="FH38" i="122"/>
  <c r="H38" i="122"/>
  <c r="FM30" i="122"/>
  <c r="DS30" i="122"/>
  <c r="DT30" i="122" s="1"/>
  <c r="DU30" i="122" s="1"/>
  <c r="EH30" i="122"/>
  <c r="EI30" i="122" s="1"/>
  <c r="EJ30" i="122" s="1"/>
  <c r="I30" i="122"/>
  <c r="DS38" i="122"/>
  <c r="DT38" i="122" s="1"/>
  <c r="DU38" i="122" s="1"/>
  <c r="I38" i="122"/>
  <c r="EH38" i="122"/>
  <c r="EI38" i="122" s="1"/>
  <c r="EJ38" i="122" s="1"/>
  <c r="FM38" i="122"/>
  <c r="EB37" i="122"/>
  <c r="EC37" i="122" s="1"/>
  <c r="ED37" i="122" s="1"/>
  <c r="FH37" i="122"/>
  <c r="ER37" i="122"/>
  <c r="DM37" i="122"/>
  <c r="DN37" i="122" s="1"/>
  <c r="DO37" i="122" s="1"/>
  <c r="FG37" i="122"/>
  <c r="H37" i="122"/>
  <c r="EH9" i="122"/>
  <c r="EI9" i="122" s="1"/>
  <c r="EJ9" i="122" s="1"/>
  <c r="FM9" i="122"/>
  <c r="I9" i="122"/>
  <c r="DS9" i="122"/>
  <c r="DT9" i="122" s="1"/>
  <c r="DU9" i="122" s="1"/>
  <c r="CK16" i="122"/>
  <c r="CK17" i="122"/>
  <c r="BU19" i="122"/>
  <c r="CK19" i="122"/>
  <c r="BU20" i="122"/>
  <c r="CK20" i="122"/>
  <c r="CL29" i="122"/>
  <c r="CK30" i="122"/>
  <c r="CL36" i="122"/>
  <c r="CK37" i="122"/>
  <c r="BU37" i="122"/>
  <c r="FU19" i="122"/>
  <c r="IL11" i="122"/>
  <c r="IH11" i="122" s="1"/>
  <c r="IL41" i="122"/>
  <c r="IH41" i="122" s="1"/>
  <c r="IL38" i="122"/>
  <c r="IH38" i="122" s="1"/>
  <c r="IL27" i="122"/>
  <c r="IH27" i="122" s="1"/>
  <c r="IL40" i="122"/>
  <c r="IH40" i="122" s="1"/>
  <c r="IL16" i="122"/>
  <c r="IH16" i="122" s="1"/>
  <c r="IL14" i="122"/>
  <c r="IH14" i="122" s="1"/>
  <c r="IL21" i="122"/>
  <c r="IH21" i="122" s="1"/>
  <c r="IL13" i="122"/>
  <c r="IH13" i="122" s="1"/>
  <c r="IL36" i="122"/>
  <c r="IH36" i="122" s="1"/>
  <c r="II7" i="122"/>
  <c r="II8" i="122" s="1"/>
  <c r="IL12" i="122"/>
  <c r="IH12" i="122" s="1"/>
  <c r="IL9" i="122"/>
  <c r="IH9" i="122" s="1"/>
  <c r="IL30" i="122"/>
  <c r="IH30" i="122" s="1"/>
  <c r="IL23" i="122"/>
  <c r="IH23" i="122" s="1"/>
  <c r="IL28" i="122"/>
  <c r="IH28" i="122" s="1"/>
  <c r="IL8" i="122"/>
  <c r="IH8" i="122" s="1"/>
  <c r="IL7" i="122"/>
  <c r="IH7" i="122" s="1"/>
  <c r="EB48" i="122"/>
  <c r="EC48" i="122" s="1"/>
  <c r="ED48" i="122" s="1"/>
  <c r="IL10" i="122"/>
  <c r="IH10" i="122" s="1"/>
  <c r="IL34" i="122"/>
  <c r="IH34" i="122" s="1"/>
  <c r="IL20" i="122"/>
  <c r="IH20" i="122" s="1"/>
  <c r="IL18" i="122"/>
  <c r="IH18" i="122" s="1"/>
  <c r="IL29" i="122"/>
  <c r="IH29" i="122" s="1"/>
  <c r="IL26" i="122"/>
  <c r="IH26" i="122" s="1"/>
  <c r="IL42" i="122"/>
  <c r="IH42" i="122" s="1"/>
  <c r="IL17" i="122"/>
  <c r="IH17" i="122" s="1"/>
  <c r="DM48" i="122"/>
  <c r="DN48" i="122" s="1"/>
  <c r="DO48" i="122" s="1"/>
  <c r="IL39" i="122"/>
  <c r="IH39" i="122" s="1"/>
  <c r="IL33" i="122"/>
  <c r="IH33" i="122" s="1"/>
  <c r="IL15" i="122"/>
  <c r="IH15" i="122" s="1"/>
  <c r="IL32" i="122"/>
  <c r="IH32" i="122" s="1"/>
  <c r="IL19" i="122"/>
  <c r="IH19" i="122" s="1"/>
  <c r="IL31" i="122"/>
  <c r="IH31" i="122" s="1"/>
  <c r="IL37" i="122"/>
  <c r="IH37" i="122" s="1"/>
  <c r="IL35" i="122"/>
  <c r="IH35" i="122" s="1"/>
  <c r="IL24" i="122"/>
  <c r="IH24" i="122" s="1"/>
  <c r="IL22" i="122"/>
  <c r="IH22" i="122" s="1"/>
  <c r="IL25" i="122"/>
  <c r="IH25" i="122" s="1"/>
  <c r="II10" i="122"/>
  <c r="II11" i="122" s="1"/>
  <c r="DM28" i="122"/>
  <c r="DN28" i="122" s="1"/>
  <c r="DO28" i="122" s="1"/>
  <c r="EB28" i="122"/>
  <c r="EC28" i="122" s="1"/>
  <c r="ED28" i="122" s="1"/>
  <c r="H28" i="122"/>
  <c r="ER28" i="122"/>
  <c r="FG28" i="122"/>
  <c r="FH28" i="122"/>
  <c r="FM20" i="122"/>
  <c r="I20" i="122"/>
  <c r="DS20" i="122"/>
  <c r="DT20" i="122" s="1"/>
  <c r="DU20" i="122" s="1"/>
  <c r="EH20" i="122"/>
  <c r="EI20" i="122" s="1"/>
  <c r="EJ20" i="122" s="1"/>
  <c r="DS11" i="122"/>
  <c r="DT11" i="122" s="1"/>
  <c r="DU11" i="122" s="1"/>
  <c r="FM11" i="122"/>
  <c r="EH11" i="122"/>
  <c r="EI11" i="122" s="1"/>
  <c r="EJ11" i="122" s="1"/>
  <c r="I11" i="122"/>
  <c r="CK28" i="122"/>
  <c r="BU28" i="122"/>
  <c r="H9" i="122"/>
  <c r="FG9" i="122"/>
  <c r="EB9" i="122"/>
  <c r="EC9" i="122" s="1"/>
  <c r="ED9" i="122" s="1"/>
  <c r="DM9" i="122"/>
  <c r="DN9" i="122" s="1"/>
  <c r="DO9" i="122" s="1"/>
  <c r="ER9" i="122"/>
  <c r="FH9" i="122"/>
  <c r="FM25" i="122"/>
  <c r="I25" i="122"/>
  <c r="EH25" i="122"/>
  <c r="EI25" i="122" s="1"/>
  <c r="EJ25" i="122" s="1"/>
  <c r="DS25" i="122"/>
  <c r="DT25" i="122" s="1"/>
  <c r="DU25" i="122" s="1"/>
  <c r="EH33" i="122"/>
  <c r="EI33" i="122" s="1"/>
  <c r="EJ33" i="122" s="1"/>
  <c r="DS33" i="122"/>
  <c r="DT33" i="122" s="1"/>
  <c r="DU33" i="122" s="1"/>
  <c r="FM33" i="122"/>
  <c r="I33" i="122"/>
  <c r="DS40" i="122"/>
  <c r="DT40" i="122" s="1"/>
  <c r="DU40" i="122" s="1"/>
  <c r="FM40" i="122"/>
  <c r="I40" i="122"/>
  <c r="EH40" i="122"/>
  <c r="EI40" i="122" s="1"/>
  <c r="EJ40" i="122" s="1"/>
  <c r="H11" i="122"/>
  <c r="DM11" i="122"/>
  <c r="DN11" i="122" s="1"/>
  <c r="DO11" i="122" s="1"/>
  <c r="FG11" i="122"/>
  <c r="FH11" i="122"/>
  <c r="EB11" i="122"/>
  <c r="EC11" i="122" s="1"/>
  <c r="ED11" i="122" s="1"/>
  <c r="ER11" i="122"/>
  <c r="EH15" i="122"/>
  <c r="EI15" i="122" s="1"/>
  <c r="EJ15" i="122" s="1"/>
  <c r="DS15" i="122"/>
  <c r="DT15" i="122" s="1"/>
  <c r="DU15" i="122" s="1"/>
  <c r="I15" i="122"/>
  <c r="FM15" i="122"/>
  <c r="CL7" i="122"/>
  <c r="CK8" i="122"/>
  <c r="BU8" i="122"/>
  <c r="CL37" i="122"/>
  <c r="CK38" i="122"/>
  <c r="BU38" i="122"/>
  <c r="EH36" i="122"/>
  <c r="EI36" i="122" s="1"/>
  <c r="EJ36" i="122" s="1"/>
  <c r="DS36" i="122"/>
  <c r="DT36" i="122" s="1"/>
  <c r="DU36" i="122" s="1"/>
  <c r="FM36" i="122"/>
  <c r="I36" i="122"/>
  <c r="DS31" i="122"/>
  <c r="DT31" i="122" s="1"/>
  <c r="DU31" i="122" s="1"/>
  <c r="FM31" i="122"/>
  <c r="I31" i="122"/>
  <c r="EH31" i="122"/>
  <c r="EI31" i="122" s="1"/>
  <c r="EJ31" i="122" s="1"/>
  <c r="FM35" i="122"/>
  <c r="DS35" i="122"/>
  <c r="DT35" i="122" s="1"/>
  <c r="DU35" i="122" s="1"/>
  <c r="EH35" i="122"/>
  <c r="EI35" i="122" s="1"/>
  <c r="EJ35" i="122" s="1"/>
  <c r="I35" i="122"/>
  <c r="FT11" i="122"/>
  <c r="EX13" i="122"/>
  <c r="EY15" i="122"/>
  <c r="EY16" i="122"/>
  <c r="FS21" i="122"/>
  <c r="FS23" i="122"/>
  <c r="FS25" i="122"/>
  <c r="FS27" i="122"/>
  <c r="EY31" i="122"/>
  <c r="EY35" i="122"/>
  <c r="EY37" i="122"/>
  <c r="FN25" i="122"/>
  <c r="FS7" i="122"/>
  <c r="EY33" i="122"/>
  <c r="FS33" i="122"/>
  <c r="FS39" i="122"/>
  <c r="FS41" i="122"/>
  <c r="HH1" i="122"/>
  <c r="O4" i="129"/>
  <c r="CP1" i="122" l="1"/>
  <c r="CR4" i="122" s="1"/>
  <c r="GE1" i="122"/>
  <c r="DG5" i="122" s="1"/>
  <c r="GK1" i="122"/>
  <c r="JC22" i="122"/>
  <c r="JF22" i="122"/>
  <c r="IT22" i="122"/>
  <c r="IY22" i="122"/>
  <c r="IV22" i="122"/>
  <c r="Y22" i="122"/>
  <c r="JQ22" i="122"/>
  <c r="IX22" i="122"/>
  <c r="JO22" i="122"/>
  <c r="JA22" i="122"/>
  <c r="JS22" i="122"/>
  <c r="JB22" i="122"/>
  <c r="KC22" i="122"/>
  <c r="JG22" i="122"/>
  <c r="JD22" i="122"/>
  <c r="JW22" i="122"/>
  <c r="JY22" i="122"/>
  <c r="KB22" i="122"/>
  <c r="IP22" i="122"/>
  <c r="JT22" i="122"/>
  <c r="JP22" i="122"/>
  <c r="JM22" i="122"/>
  <c r="JJ22" i="122"/>
  <c r="KD22" i="122"/>
  <c r="JZ22" i="122"/>
  <c r="IO22" i="122"/>
  <c r="IR22" i="122"/>
  <c r="JN22" i="122"/>
  <c r="JU22" i="122"/>
  <c r="JE22" i="122"/>
  <c r="IU22" i="122"/>
  <c r="JR22" i="122"/>
  <c r="IZ22" i="122"/>
  <c r="IW22" i="122"/>
  <c r="JK22" i="122"/>
  <c r="IQ22" i="122"/>
  <c r="JL22" i="122"/>
  <c r="JV22" i="122"/>
  <c r="IS22" i="122"/>
  <c r="JX22" i="122"/>
  <c r="IL71" i="122"/>
  <c r="JH22" i="122"/>
  <c r="KA22" i="122"/>
  <c r="JI22" i="122"/>
  <c r="JG33" i="122"/>
  <c r="JP33" i="122"/>
  <c r="JO33" i="122"/>
  <c r="KA33" i="122"/>
  <c r="IU33" i="122"/>
  <c r="IQ33" i="122"/>
  <c r="IT33" i="122"/>
  <c r="JF33" i="122"/>
  <c r="JK33" i="122"/>
  <c r="JR33" i="122"/>
  <c r="JA33" i="122"/>
  <c r="JW33" i="122"/>
  <c r="KD33" i="122"/>
  <c r="IL82" i="122"/>
  <c r="JS33" i="122"/>
  <c r="JM33" i="122"/>
  <c r="IP33" i="122"/>
  <c r="JN33" i="122"/>
  <c r="JQ33" i="122"/>
  <c r="Y33" i="122"/>
  <c r="JT33" i="122"/>
  <c r="IS33" i="122"/>
  <c r="JV33" i="122"/>
  <c r="KB33" i="122"/>
  <c r="JY33" i="122"/>
  <c r="JZ33" i="122"/>
  <c r="JB33" i="122"/>
  <c r="JE33" i="122"/>
  <c r="IZ33" i="122"/>
  <c r="IO33" i="122"/>
  <c r="IR33" i="122"/>
  <c r="JD33" i="122"/>
  <c r="IV33" i="122"/>
  <c r="IW33" i="122"/>
  <c r="JH33" i="122"/>
  <c r="JJ33" i="122"/>
  <c r="IX33" i="122"/>
  <c r="JL33" i="122"/>
  <c r="JI33" i="122"/>
  <c r="JU33" i="122"/>
  <c r="JC33" i="122"/>
  <c r="IY33" i="122"/>
  <c r="KC33" i="122"/>
  <c r="JX33" i="122"/>
  <c r="KC20" i="122"/>
  <c r="JL20" i="122"/>
  <c r="JJ20" i="122"/>
  <c r="JI20" i="122"/>
  <c r="JZ20" i="122"/>
  <c r="JA20" i="122"/>
  <c r="JU20" i="122"/>
  <c r="JP20" i="122"/>
  <c r="JS20" i="122"/>
  <c r="JC20" i="122"/>
  <c r="JT20" i="122"/>
  <c r="Y20" i="122"/>
  <c r="IY20" i="122"/>
  <c r="JN20" i="122"/>
  <c r="JE20" i="122"/>
  <c r="JG20" i="122"/>
  <c r="IT20" i="122"/>
  <c r="IV20" i="122"/>
  <c r="JY20" i="122"/>
  <c r="IX20" i="122"/>
  <c r="JQ20" i="122"/>
  <c r="JB20" i="122"/>
  <c r="IO20" i="122"/>
  <c r="JV20" i="122"/>
  <c r="JO20" i="122"/>
  <c r="JM20" i="122"/>
  <c r="KA20" i="122"/>
  <c r="IZ20" i="122"/>
  <c r="IQ20" i="122"/>
  <c r="KD20" i="122"/>
  <c r="IR20" i="122"/>
  <c r="JR20" i="122"/>
  <c r="JD20" i="122"/>
  <c r="JH20" i="122"/>
  <c r="JF20" i="122"/>
  <c r="IP20" i="122"/>
  <c r="IS20" i="122"/>
  <c r="IW20" i="122"/>
  <c r="IL69" i="122"/>
  <c r="JW20" i="122"/>
  <c r="IU20" i="122"/>
  <c r="JK20" i="122"/>
  <c r="JX20" i="122"/>
  <c r="KB20" i="122"/>
  <c r="JF7" i="122"/>
  <c r="JG7" i="122"/>
  <c r="JY7" i="122"/>
  <c r="JK7" i="122"/>
  <c r="IT7" i="122"/>
  <c r="JS7" i="122"/>
  <c r="JC7" i="122"/>
  <c r="KA7" i="122"/>
  <c r="JA7" i="122"/>
  <c r="IL56" i="122"/>
  <c r="IX7" i="122"/>
  <c r="JO7" i="122"/>
  <c r="JW7" i="122"/>
  <c r="JD7" i="122"/>
  <c r="JZ7" i="122"/>
  <c r="JN7" i="122"/>
  <c r="Y7" i="122"/>
  <c r="JQ7" i="122"/>
  <c r="IV7" i="122"/>
  <c r="IY7" i="122"/>
  <c r="JH7" i="122"/>
  <c r="JI7" i="122"/>
  <c r="IS7" i="122"/>
  <c r="IZ7" i="122"/>
  <c r="JL7" i="122"/>
  <c r="IW7" i="122"/>
  <c r="JP7" i="122"/>
  <c r="JB7" i="122"/>
  <c r="JE7" i="122"/>
  <c r="IQ7" i="122"/>
  <c r="KC7" i="122"/>
  <c r="JX7" i="122"/>
  <c r="JR7" i="122"/>
  <c r="IR7" i="122"/>
  <c r="IO7" i="122"/>
  <c r="JM7" i="122"/>
  <c r="KD7" i="122"/>
  <c r="IP7" i="122"/>
  <c r="IU7" i="122"/>
  <c r="KB7" i="122"/>
  <c r="JT7" i="122"/>
  <c r="JU7" i="122"/>
  <c r="JJ7" i="122"/>
  <c r="JV7" i="122"/>
  <c r="IO36" i="122"/>
  <c r="KB36" i="122"/>
  <c r="JF36" i="122"/>
  <c r="JJ36" i="122"/>
  <c r="JX36" i="122"/>
  <c r="JL36" i="122"/>
  <c r="JR36" i="122"/>
  <c r="IQ36" i="122"/>
  <c r="IS36" i="122"/>
  <c r="JA36" i="122"/>
  <c r="IZ36" i="122"/>
  <c r="JV36" i="122"/>
  <c r="IP36" i="122"/>
  <c r="IT36" i="122"/>
  <c r="JM36" i="122"/>
  <c r="KC36" i="122"/>
  <c r="JK36" i="122"/>
  <c r="Y36" i="122"/>
  <c r="IW36" i="122"/>
  <c r="JY36" i="122"/>
  <c r="KD36" i="122"/>
  <c r="KA36" i="122"/>
  <c r="JT36" i="122"/>
  <c r="IR36" i="122"/>
  <c r="JC36" i="122"/>
  <c r="JG36" i="122"/>
  <c r="IU36" i="122"/>
  <c r="JO36" i="122"/>
  <c r="JQ36" i="122"/>
  <c r="JD36" i="122"/>
  <c r="IL85" i="122"/>
  <c r="JZ36" i="122"/>
  <c r="JU36" i="122"/>
  <c r="JW36" i="122"/>
  <c r="IX36" i="122"/>
  <c r="JS36" i="122"/>
  <c r="JI36" i="122"/>
  <c r="JN36" i="122"/>
  <c r="JE36" i="122"/>
  <c r="IY36" i="122"/>
  <c r="IV36" i="122"/>
  <c r="JB36" i="122"/>
  <c r="JP36" i="122"/>
  <c r="JH36" i="122"/>
  <c r="JN41" i="122"/>
  <c r="JA41" i="122"/>
  <c r="JR41" i="122"/>
  <c r="JV41" i="122"/>
  <c r="JU41" i="122"/>
  <c r="IO41" i="122"/>
  <c r="JZ41" i="122"/>
  <c r="JE41" i="122"/>
  <c r="Y41" i="122"/>
  <c r="JI41" i="122"/>
  <c r="JL41" i="122"/>
  <c r="JK41" i="122"/>
  <c r="JF41" i="122"/>
  <c r="IX41" i="122"/>
  <c r="IR41" i="122"/>
  <c r="IW41" i="122"/>
  <c r="JO41" i="122"/>
  <c r="IQ41" i="122"/>
  <c r="JQ41" i="122"/>
  <c r="JS41" i="122"/>
  <c r="JY41" i="122"/>
  <c r="JP41" i="122"/>
  <c r="IY41" i="122"/>
  <c r="KA41" i="122"/>
  <c r="IZ41" i="122"/>
  <c r="IP41" i="122"/>
  <c r="JX41" i="122"/>
  <c r="IL90" i="122"/>
  <c r="IS41" i="122"/>
  <c r="IV41" i="122"/>
  <c r="IT41" i="122"/>
  <c r="JG41" i="122"/>
  <c r="JW41" i="122"/>
  <c r="JJ41" i="122"/>
  <c r="JT41" i="122"/>
  <c r="JC41" i="122"/>
  <c r="IU41" i="122"/>
  <c r="JD41" i="122"/>
  <c r="KB41" i="122"/>
  <c r="JH41" i="122"/>
  <c r="KC41" i="122"/>
  <c r="KD41" i="122"/>
  <c r="JB41" i="122"/>
  <c r="JM41" i="122"/>
  <c r="IT37" i="122"/>
  <c r="KC37" i="122"/>
  <c r="JW37" i="122"/>
  <c r="IV37" i="122"/>
  <c r="JC37" i="122"/>
  <c r="JP37" i="122"/>
  <c r="JS37" i="122"/>
  <c r="JG37" i="122"/>
  <c r="IU37" i="122"/>
  <c r="JA37" i="122"/>
  <c r="JY37" i="122"/>
  <c r="JI37" i="122"/>
  <c r="JO37" i="122"/>
  <c r="JD37" i="122"/>
  <c r="IW37" i="122"/>
  <c r="JQ37" i="122"/>
  <c r="IX37" i="122"/>
  <c r="JT37" i="122"/>
  <c r="JK37" i="122"/>
  <c r="KA37" i="122"/>
  <c r="JR37" i="122"/>
  <c r="JZ37" i="122"/>
  <c r="IQ37" i="122"/>
  <c r="JX37" i="122"/>
  <c r="JH37" i="122"/>
  <c r="IL86" i="122"/>
  <c r="JU37" i="122"/>
  <c r="Y37" i="122"/>
  <c r="KB37" i="122"/>
  <c r="IS37" i="122"/>
  <c r="JJ37" i="122"/>
  <c r="IZ37" i="122"/>
  <c r="JM37" i="122"/>
  <c r="JB37" i="122"/>
  <c r="JL37" i="122"/>
  <c r="KD37" i="122"/>
  <c r="JN37" i="122"/>
  <c r="JV37" i="122"/>
  <c r="IO37" i="122"/>
  <c r="JE37" i="122"/>
  <c r="IR37" i="122"/>
  <c r="IY37" i="122"/>
  <c r="IP37" i="122"/>
  <c r="JF37" i="122"/>
  <c r="JX17" i="122"/>
  <c r="JT17" i="122"/>
  <c r="JG17" i="122"/>
  <c r="JM17" i="122"/>
  <c r="JI17" i="122"/>
  <c r="JY17" i="122"/>
  <c r="JO17" i="122"/>
  <c r="JK17" i="122"/>
  <c r="IL66" i="122"/>
  <c r="JC17" i="122"/>
  <c r="KA17" i="122"/>
  <c r="IZ17" i="122"/>
  <c r="JH17" i="122"/>
  <c r="JF17" i="122"/>
  <c r="JU17" i="122"/>
  <c r="JZ17" i="122"/>
  <c r="KB17" i="122"/>
  <c r="IW17" i="122"/>
  <c r="Y17" i="122"/>
  <c r="IX17" i="122"/>
  <c r="JQ17" i="122"/>
  <c r="KD17" i="122"/>
  <c r="IO17" i="122"/>
  <c r="JL17" i="122"/>
  <c r="JW17" i="122"/>
  <c r="IV17" i="122"/>
  <c r="JJ17" i="122"/>
  <c r="IP17" i="122"/>
  <c r="JB17" i="122"/>
  <c r="KC17" i="122"/>
  <c r="JE17" i="122"/>
  <c r="JP17" i="122"/>
  <c r="JD17" i="122"/>
  <c r="IU17" i="122"/>
  <c r="JA17" i="122"/>
  <c r="JV17" i="122"/>
  <c r="IQ17" i="122"/>
  <c r="IR17" i="122"/>
  <c r="JS17" i="122"/>
  <c r="IS17" i="122"/>
  <c r="IY17" i="122"/>
  <c r="IT17" i="122"/>
  <c r="JN17" i="122"/>
  <c r="JR17" i="122"/>
  <c r="JO23" i="122"/>
  <c r="IU23" i="122"/>
  <c r="IL72" i="122"/>
  <c r="JX23" i="122"/>
  <c r="JU23" i="122"/>
  <c r="IV23" i="122"/>
  <c r="JN23" i="122"/>
  <c r="JH23" i="122"/>
  <c r="IS23" i="122"/>
  <c r="JT23" i="122"/>
  <c r="IP23" i="122"/>
  <c r="JP23" i="122"/>
  <c r="JF23" i="122"/>
  <c r="IQ23" i="122"/>
  <c r="KA23" i="122"/>
  <c r="JB23" i="122"/>
  <c r="IZ23" i="122"/>
  <c r="JM23" i="122"/>
  <c r="IT23" i="122"/>
  <c r="JW23" i="122"/>
  <c r="KC23" i="122"/>
  <c r="JZ23" i="122"/>
  <c r="JQ23" i="122"/>
  <c r="JC23" i="122"/>
  <c r="JE23" i="122"/>
  <c r="JA23" i="122"/>
  <c r="JD23" i="122"/>
  <c r="JY23" i="122"/>
  <c r="JI23" i="122"/>
  <c r="KB23" i="122"/>
  <c r="IO23" i="122"/>
  <c r="KD23" i="122"/>
  <c r="JJ23" i="122"/>
  <c r="IY23" i="122"/>
  <c r="IX23" i="122"/>
  <c r="JK23" i="122"/>
  <c r="Y23" i="122"/>
  <c r="IR23" i="122"/>
  <c r="IW23" i="122"/>
  <c r="JR23" i="122"/>
  <c r="JG23" i="122"/>
  <c r="JS23" i="122"/>
  <c r="JL23" i="122"/>
  <c r="JV23" i="122"/>
  <c r="JG14" i="122"/>
  <c r="JS14" i="122"/>
  <c r="JU14" i="122"/>
  <c r="JK14" i="122"/>
  <c r="IR14" i="122"/>
  <c r="JL14" i="122"/>
  <c r="JJ14" i="122"/>
  <c r="KB14" i="122"/>
  <c r="KD14" i="122"/>
  <c r="IY14" i="122"/>
  <c r="IS14" i="122"/>
  <c r="JZ14" i="122"/>
  <c r="JX14" i="122"/>
  <c r="JO14" i="122"/>
  <c r="JH14" i="122"/>
  <c r="IO14" i="122"/>
  <c r="JM14" i="122"/>
  <c r="IV14" i="122"/>
  <c r="JR14" i="122"/>
  <c r="JN14" i="122"/>
  <c r="JQ14" i="122"/>
  <c r="Y14" i="122"/>
  <c r="KA14" i="122"/>
  <c r="IU14" i="122"/>
  <c r="JD14" i="122"/>
  <c r="IX14" i="122"/>
  <c r="JB14" i="122"/>
  <c r="IL63" i="122"/>
  <c r="IQ14" i="122"/>
  <c r="JV14" i="122"/>
  <c r="JF14" i="122"/>
  <c r="IT14" i="122"/>
  <c r="JE14" i="122"/>
  <c r="JA14" i="122"/>
  <c r="JY14" i="122"/>
  <c r="KC14" i="122"/>
  <c r="JP14" i="122"/>
  <c r="IW14" i="122"/>
  <c r="JC14" i="122"/>
  <c r="JI14" i="122"/>
  <c r="JW14" i="122"/>
  <c r="IZ14" i="122"/>
  <c r="JT14" i="122"/>
  <c r="IP14" i="122"/>
  <c r="JR35" i="122"/>
  <c r="JN35" i="122"/>
  <c r="JT35" i="122"/>
  <c r="JL35" i="122"/>
  <c r="JH35" i="122"/>
  <c r="IP35" i="122"/>
  <c r="JE35" i="122"/>
  <c r="JC35" i="122"/>
  <c r="IU35" i="122"/>
  <c r="JA35" i="122"/>
  <c r="JQ35" i="122"/>
  <c r="IT35" i="122"/>
  <c r="IY35" i="122"/>
  <c r="JY35" i="122"/>
  <c r="KD35" i="122"/>
  <c r="JG35" i="122"/>
  <c r="JW35" i="122"/>
  <c r="JX35" i="122"/>
  <c r="JB35" i="122"/>
  <c r="KB35" i="122"/>
  <c r="JJ35" i="122"/>
  <c r="KC35" i="122"/>
  <c r="JP35" i="122"/>
  <c r="JU35" i="122"/>
  <c r="IZ35" i="122"/>
  <c r="JK35" i="122"/>
  <c r="IS35" i="122"/>
  <c r="JI35" i="122"/>
  <c r="JO35" i="122"/>
  <c r="Y35" i="122"/>
  <c r="JM35" i="122"/>
  <c r="IV35" i="122"/>
  <c r="JS35" i="122"/>
  <c r="JD35" i="122"/>
  <c r="IR35" i="122"/>
  <c r="IL84" i="122"/>
  <c r="IQ35" i="122"/>
  <c r="IO35" i="122"/>
  <c r="JV35" i="122"/>
  <c r="IX35" i="122"/>
  <c r="KA35" i="122"/>
  <c r="JF35" i="122"/>
  <c r="IW35" i="122"/>
  <c r="JZ35" i="122"/>
  <c r="JW32" i="122"/>
  <c r="JF32" i="122"/>
  <c r="JC32" i="122"/>
  <c r="IU32" i="122"/>
  <c r="JH32" i="122"/>
  <c r="JQ32" i="122"/>
  <c r="IP32" i="122"/>
  <c r="JJ32" i="122"/>
  <c r="JK32" i="122"/>
  <c r="JA32" i="122"/>
  <c r="IS32" i="122"/>
  <c r="KA32" i="122"/>
  <c r="Y32" i="122"/>
  <c r="IY32" i="122"/>
  <c r="IZ32" i="122"/>
  <c r="KC32" i="122"/>
  <c r="JP32" i="122"/>
  <c r="JY32" i="122"/>
  <c r="IT32" i="122"/>
  <c r="JL32" i="122"/>
  <c r="IW32" i="122"/>
  <c r="JM32" i="122"/>
  <c r="IV32" i="122"/>
  <c r="IO32" i="122"/>
  <c r="JZ32" i="122"/>
  <c r="JI32" i="122"/>
  <c r="JE32" i="122"/>
  <c r="JD32" i="122"/>
  <c r="IR32" i="122"/>
  <c r="IL81" i="122"/>
  <c r="JX32" i="122"/>
  <c r="JB32" i="122"/>
  <c r="JO32" i="122"/>
  <c r="JV32" i="122"/>
  <c r="KD32" i="122"/>
  <c r="IX32" i="122"/>
  <c r="KB32" i="122"/>
  <c r="JG32" i="122"/>
  <c r="JT32" i="122"/>
  <c r="JS32" i="122"/>
  <c r="JN32" i="122"/>
  <c r="JR32" i="122"/>
  <c r="IQ32" i="122"/>
  <c r="JU32" i="122"/>
  <c r="IR29" i="122"/>
  <c r="Y29" i="122"/>
  <c r="KD29" i="122"/>
  <c r="JY29" i="122"/>
  <c r="JD29" i="122"/>
  <c r="JP29" i="122"/>
  <c r="JS29" i="122"/>
  <c r="JJ29" i="122"/>
  <c r="IT29" i="122"/>
  <c r="IQ29" i="122"/>
  <c r="IZ29" i="122"/>
  <c r="JW29" i="122"/>
  <c r="JG29" i="122"/>
  <c r="KC29" i="122"/>
  <c r="JF29" i="122"/>
  <c r="IX29" i="122"/>
  <c r="JR29" i="122"/>
  <c r="JQ29" i="122"/>
  <c r="JM29" i="122"/>
  <c r="JC29" i="122"/>
  <c r="JX29" i="122"/>
  <c r="IS29" i="122"/>
  <c r="IY29" i="122"/>
  <c r="JN29" i="122"/>
  <c r="IP29" i="122"/>
  <c r="JK29" i="122"/>
  <c r="JU29" i="122"/>
  <c r="JH29" i="122"/>
  <c r="JZ29" i="122"/>
  <c r="IU29" i="122"/>
  <c r="JB29" i="122"/>
  <c r="KB29" i="122"/>
  <c r="JO29" i="122"/>
  <c r="JE29" i="122"/>
  <c r="IO29" i="122"/>
  <c r="JT29" i="122"/>
  <c r="IV29" i="122"/>
  <c r="IL78" i="122"/>
  <c r="JA29" i="122"/>
  <c r="JL29" i="122"/>
  <c r="KA29" i="122"/>
  <c r="IW29" i="122"/>
  <c r="JI29" i="122"/>
  <c r="JV29" i="122"/>
  <c r="IL59" i="122"/>
  <c r="IY10" i="122"/>
  <c r="JK10" i="122"/>
  <c r="IT10" i="122"/>
  <c r="Y10" i="122"/>
  <c r="KB10" i="122"/>
  <c r="JL10" i="122"/>
  <c r="KD10" i="122"/>
  <c r="JG10" i="122"/>
  <c r="KC10" i="122"/>
  <c r="IU10" i="122"/>
  <c r="JD10" i="122"/>
  <c r="IP10" i="122"/>
  <c r="JN10" i="122"/>
  <c r="JV10" i="122"/>
  <c r="JS10" i="122"/>
  <c r="JY10" i="122"/>
  <c r="JH10" i="122"/>
  <c r="KA10" i="122"/>
  <c r="JI10" i="122"/>
  <c r="JP10" i="122"/>
  <c r="IV10" i="122"/>
  <c r="JW10" i="122"/>
  <c r="JB10" i="122"/>
  <c r="IX10" i="122"/>
  <c r="JE10" i="122"/>
  <c r="JM10" i="122"/>
  <c r="IW10" i="122"/>
  <c r="JA10" i="122"/>
  <c r="JU10" i="122"/>
  <c r="IS10" i="122"/>
  <c r="JX10" i="122"/>
  <c r="JQ10" i="122"/>
  <c r="JF10" i="122"/>
  <c r="JZ10" i="122"/>
  <c r="JO10" i="122"/>
  <c r="IO10" i="122"/>
  <c r="IQ10" i="122"/>
  <c r="IR10" i="122"/>
  <c r="JJ10" i="122"/>
  <c r="JT10" i="122"/>
  <c r="JR10" i="122"/>
  <c r="JC10" i="122"/>
  <c r="IZ10" i="122"/>
  <c r="KC28" i="122"/>
  <c r="IP28" i="122"/>
  <c r="IZ28" i="122"/>
  <c r="IS28" i="122"/>
  <c r="JL28" i="122"/>
  <c r="JN28" i="122"/>
  <c r="IY28" i="122"/>
  <c r="JK28" i="122"/>
  <c r="IU28" i="122"/>
  <c r="JE28" i="122"/>
  <c r="KA28" i="122"/>
  <c r="IQ28" i="122"/>
  <c r="IO28" i="122"/>
  <c r="IV28" i="122"/>
  <c r="JP28" i="122"/>
  <c r="JU28" i="122"/>
  <c r="JG28" i="122"/>
  <c r="KD28" i="122"/>
  <c r="JF28" i="122"/>
  <c r="IW28" i="122"/>
  <c r="JO28" i="122"/>
  <c r="KB28" i="122"/>
  <c r="JZ28" i="122"/>
  <c r="JY28" i="122"/>
  <c r="IT28" i="122"/>
  <c r="JI28" i="122"/>
  <c r="JS28" i="122"/>
  <c r="JM28" i="122"/>
  <c r="JT28" i="122"/>
  <c r="JD28" i="122"/>
  <c r="JH28" i="122"/>
  <c r="IL77" i="122"/>
  <c r="JB28" i="122"/>
  <c r="JQ28" i="122"/>
  <c r="IX28" i="122"/>
  <c r="IR28" i="122"/>
  <c r="JW28" i="122"/>
  <c r="JX28" i="122"/>
  <c r="JC28" i="122"/>
  <c r="JR28" i="122"/>
  <c r="JV28" i="122"/>
  <c r="JJ28" i="122"/>
  <c r="JA28" i="122"/>
  <c r="Y28" i="122"/>
  <c r="KB12" i="122"/>
  <c r="JL12" i="122"/>
  <c r="JY12" i="122"/>
  <c r="JA12" i="122"/>
  <c r="JP12" i="122"/>
  <c r="JW12" i="122"/>
  <c r="IR12" i="122"/>
  <c r="IL61" i="122"/>
  <c r="JF12" i="122"/>
  <c r="JN12" i="122"/>
  <c r="JZ12" i="122"/>
  <c r="JB12" i="122"/>
  <c r="JX12" i="122"/>
  <c r="JR12" i="122"/>
  <c r="JI12" i="122"/>
  <c r="JM12" i="122"/>
  <c r="JJ12" i="122"/>
  <c r="IP12" i="122"/>
  <c r="JG12" i="122"/>
  <c r="Y12" i="122"/>
  <c r="JU12" i="122"/>
  <c r="JC12" i="122"/>
  <c r="IO12" i="122"/>
  <c r="IY12" i="122"/>
  <c r="JH12" i="122"/>
  <c r="JK12" i="122"/>
  <c r="KC12" i="122"/>
  <c r="IX12" i="122"/>
  <c r="IQ12" i="122"/>
  <c r="IW12" i="122"/>
  <c r="JS12" i="122"/>
  <c r="JO12" i="122"/>
  <c r="JE12" i="122"/>
  <c r="IT12" i="122"/>
  <c r="IZ12" i="122"/>
  <c r="JT12" i="122"/>
  <c r="IV12" i="122"/>
  <c r="JV12" i="122"/>
  <c r="KD12" i="122"/>
  <c r="KA12" i="122"/>
  <c r="IS12" i="122"/>
  <c r="JQ12" i="122"/>
  <c r="JD12" i="122"/>
  <c r="IU12" i="122"/>
  <c r="JT21" i="122"/>
  <c r="IT21" i="122"/>
  <c r="JR21" i="122"/>
  <c r="IY21" i="122"/>
  <c r="KD21" i="122"/>
  <c r="IZ21" i="122"/>
  <c r="IR21" i="122"/>
  <c r="JA21" i="122"/>
  <c r="JJ21" i="122"/>
  <c r="JP21" i="122"/>
  <c r="IO21" i="122"/>
  <c r="JX21" i="122"/>
  <c r="JB21" i="122"/>
  <c r="JI21" i="122"/>
  <c r="JH21" i="122"/>
  <c r="JC21" i="122"/>
  <c r="IX21" i="122"/>
  <c r="IW21" i="122"/>
  <c r="JE21" i="122"/>
  <c r="IP21" i="122"/>
  <c r="JL21" i="122"/>
  <c r="JK21" i="122"/>
  <c r="JQ21" i="122"/>
  <c r="Y21" i="122"/>
  <c r="IQ21" i="122"/>
  <c r="JD21" i="122"/>
  <c r="IU21" i="122"/>
  <c r="JO21" i="122"/>
  <c r="JU21" i="122"/>
  <c r="JV21" i="122"/>
  <c r="JM21" i="122"/>
  <c r="KC21" i="122"/>
  <c r="JF21" i="122"/>
  <c r="JN21" i="122"/>
  <c r="JG21" i="122"/>
  <c r="JY21" i="122"/>
  <c r="KA21" i="122"/>
  <c r="IV21" i="122"/>
  <c r="IL70" i="122"/>
  <c r="KB21" i="122"/>
  <c r="JZ21" i="122"/>
  <c r="JW21" i="122"/>
  <c r="IS21" i="122"/>
  <c r="JS21" i="122"/>
  <c r="IQ27" i="122"/>
  <c r="JO27" i="122"/>
  <c r="JS27" i="122"/>
  <c r="JX27" i="122"/>
  <c r="JY27" i="122"/>
  <c r="JZ27" i="122"/>
  <c r="JW27" i="122"/>
  <c r="JH27" i="122"/>
  <c r="IS27" i="122"/>
  <c r="JF27" i="122"/>
  <c r="JI27" i="122"/>
  <c r="JL27" i="122"/>
  <c r="JM27" i="122"/>
  <c r="IX27" i="122"/>
  <c r="IR27" i="122"/>
  <c r="KA27" i="122"/>
  <c r="Y27" i="122"/>
  <c r="JE27" i="122"/>
  <c r="IZ27" i="122"/>
  <c r="IT27" i="122"/>
  <c r="IY27" i="122"/>
  <c r="JV27" i="122"/>
  <c r="JK27" i="122"/>
  <c r="JU27" i="122"/>
  <c r="JR27" i="122"/>
  <c r="IO27" i="122"/>
  <c r="JD27" i="122"/>
  <c r="JP27" i="122"/>
  <c r="KD27" i="122"/>
  <c r="JG27" i="122"/>
  <c r="JB27" i="122"/>
  <c r="JQ27" i="122"/>
  <c r="JN27" i="122"/>
  <c r="KB27" i="122"/>
  <c r="IL76" i="122"/>
  <c r="IV27" i="122"/>
  <c r="IP27" i="122"/>
  <c r="JA27" i="122"/>
  <c r="JT27" i="122"/>
  <c r="IU27" i="122"/>
  <c r="JC27" i="122"/>
  <c r="IW27" i="122"/>
  <c r="KC27" i="122"/>
  <c r="JJ27" i="122"/>
  <c r="EH5" i="122"/>
  <c r="EI7" i="122"/>
  <c r="EC7" i="122"/>
  <c r="EB5" i="122"/>
  <c r="JU31" i="122"/>
  <c r="IT31" i="122"/>
  <c r="IX31" i="122"/>
  <c r="JE31" i="122"/>
  <c r="JF31" i="122"/>
  <c r="JQ31" i="122"/>
  <c r="IW31" i="122"/>
  <c r="KC31" i="122"/>
  <c r="IS31" i="122"/>
  <c r="JD31" i="122"/>
  <c r="IZ31" i="122"/>
  <c r="IR31" i="122"/>
  <c r="JG31" i="122"/>
  <c r="IV31" i="122"/>
  <c r="JT31" i="122"/>
  <c r="JY31" i="122"/>
  <c r="KB31" i="122"/>
  <c r="JZ31" i="122"/>
  <c r="KA31" i="122"/>
  <c r="JB31" i="122"/>
  <c r="JM31" i="122"/>
  <c r="JJ31" i="122"/>
  <c r="KD31" i="122"/>
  <c r="JC31" i="122"/>
  <c r="JK31" i="122"/>
  <c r="JV31" i="122"/>
  <c r="JR31" i="122"/>
  <c r="JX31" i="122"/>
  <c r="JI31" i="122"/>
  <c r="JO31" i="122"/>
  <c r="JS31" i="122"/>
  <c r="IP31" i="122"/>
  <c r="JP31" i="122"/>
  <c r="IY31" i="122"/>
  <c r="Y31" i="122"/>
  <c r="IO31" i="122"/>
  <c r="JW31" i="122"/>
  <c r="IQ31" i="122"/>
  <c r="JN31" i="122"/>
  <c r="IL80" i="122"/>
  <c r="JH31" i="122"/>
  <c r="JA31" i="122"/>
  <c r="JL31" i="122"/>
  <c r="IU31" i="122"/>
  <c r="IO42" i="122"/>
  <c r="JB42" i="122"/>
  <c r="JX42" i="122"/>
  <c r="JL42" i="122"/>
  <c r="JK42" i="122"/>
  <c r="IR42" i="122"/>
  <c r="JN42" i="122"/>
  <c r="JE42" i="122"/>
  <c r="IT42" i="122"/>
  <c r="IU42" i="122"/>
  <c r="IS42" i="122"/>
  <c r="JI42" i="122"/>
  <c r="JA42" i="122"/>
  <c r="KA42" i="122"/>
  <c r="Y42" i="122"/>
  <c r="JQ42" i="122"/>
  <c r="KD42" i="122"/>
  <c r="JP42" i="122"/>
  <c r="IX42" i="122"/>
  <c r="IL91" i="122"/>
  <c r="KB42" i="122"/>
  <c r="IV42" i="122"/>
  <c r="JD42" i="122"/>
  <c r="KC42" i="122"/>
  <c r="JG42" i="122"/>
  <c r="IW42" i="122"/>
  <c r="JC42" i="122"/>
  <c r="JM42" i="122"/>
  <c r="JZ42" i="122"/>
  <c r="JU42" i="122"/>
  <c r="JS42" i="122"/>
  <c r="JF42" i="122"/>
  <c r="JO42" i="122"/>
  <c r="JR42" i="122"/>
  <c r="JV42" i="122"/>
  <c r="JT42" i="122"/>
  <c r="IQ42" i="122"/>
  <c r="IZ42" i="122"/>
  <c r="JJ42" i="122"/>
  <c r="IP42" i="122"/>
  <c r="IY42" i="122"/>
  <c r="JH42" i="122"/>
  <c r="JY42" i="122"/>
  <c r="JW42" i="122"/>
  <c r="IY30" i="122"/>
  <c r="KC30" i="122"/>
  <c r="IP30" i="122"/>
  <c r="JQ30" i="122"/>
  <c r="JK30" i="122"/>
  <c r="JB30" i="122"/>
  <c r="IU30" i="122"/>
  <c r="IX30" i="122"/>
  <c r="JU30" i="122"/>
  <c r="JW30" i="122"/>
  <c r="JZ30" i="122"/>
  <c r="IO30" i="122"/>
  <c r="JD30" i="122"/>
  <c r="JH30" i="122"/>
  <c r="JA30" i="122"/>
  <c r="JC30" i="122"/>
  <c r="JY30" i="122"/>
  <c r="KB30" i="122"/>
  <c r="IR30" i="122"/>
  <c r="JN30" i="122"/>
  <c r="JO30" i="122"/>
  <c r="IQ30" i="122"/>
  <c r="JG30" i="122"/>
  <c r="Y30" i="122"/>
  <c r="JL30" i="122"/>
  <c r="KD30" i="122"/>
  <c r="IT30" i="122"/>
  <c r="JS30" i="122"/>
  <c r="IZ30" i="122"/>
  <c r="JP30" i="122"/>
  <c r="IV30" i="122"/>
  <c r="JT30" i="122"/>
  <c r="IS30" i="122"/>
  <c r="JX30" i="122"/>
  <c r="JM30" i="122"/>
  <c r="JV30" i="122"/>
  <c r="JI30" i="122"/>
  <c r="JR30" i="122"/>
  <c r="JE30" i="122"/>
  <c r="IW30" i="122"/>
  <c r="JJ30" i="122"/>
  <c r="KA30" i="122"/>
  <c r="IL79" i="122"/>
  <c r="JF30" i="122"/>
  <c r="KC16" i="122"/>
  <c r="JE16" i="122"/>
  <c r="Y16" i="122"/>
  <c r="JK16" i="122"/>
  <c r="IT16" i="122"/>
  <c r="IR16" i="122"/>
  <c r="IX16" i="122"/>
  <c r="KD16" i="122"/>
  <c r="JX16" i="122"/>
  <c r="JB16" i="122"/>
  <c r="JO16" i="122"/>
  <c r="JZ16" i="122"/>
  <c r="KA16" i="122"/>
  <c r="JS16" i="122"/>
  <c r="JW16" i="122"/>
  <c r="JL16" i="122"/>
  <c r="IS16" i="122"/>
  <c r="IL65" i="122"/>
  <c r="JA16" i="122"/>
  <c r="IP16" i="122"/>
  <c r="JU16" i="122"/>
  <c r="IV16" i="122"/>
  <c r="JI16" i="122"/>
  <c r="JQ16" i="122"/>
  <c r="JG16" i="122"/>
  <c r="KB16" i="122"/>
  <c r="JT16" i="122"/>
  <c r="JN16" i="122"/>
  <c r="JC16" i="122"/>
  <c r="JH16" i="122"/>
  <c r="IY16" i="122"/>
  <c r="IZ16" i="122"/>
  <c r="JF16" i="122"/>
  <c r="JD16" i="122"/>
  <c r="JJ16" i="122"/>
  <c r="IU16" i="122"/>
  <c r="JR16" i="122"/>
  <c r="JP16" i="122"/>
  <c r="JV16" i="122"/>
  <c r="IQ16" i="122"/>
  <c r="IO16" i="122"/>
  <c r="JM16" i="122"/>
  <c r="IW16" i="122"/>
  <c r="JY16" i="122"/>
  <c r="KB25" i="122"/>
  <c r="Y25" i="122"/>
  <c r="KC25" i="122"/>
  <c r="KD25" i="122"/>
  <c r="JW25" i="122"/>
  <c r="JS25" i="122"/>
  <c r="JD25" i="122"/>
  <c r="JP25" i="122"/>
  <c r="IW25" i="122"/>
  <c r="JZ25" i="122"/>
  <c r="JY25" i="122"/>
  <c r="IR25" i="122"/>
  <c r="JN25" i="122"/>
  <c r="IV25" i="122"/>
  <c r="JK25" i="122"/>
  <c r="JI25" i="122"/>
  <c r="JR25" i="122"/>
  <c r="IY25" i="122"/>
  <c r="IU25" i="122"/>
  <c r="JG25" i="122"/>
  <c r="JH25" i="122"/>
  <c r="KA25" i="122"/>
  <c r="JL25" i="122"/>
  <c r="JA25" i="122"/>
  <c r="JE25" i="122"/>
  <c r="JT25" i="122"/>
  <c r="IX25" i="122"/>
  <c r="JO25" i="122"/>
  <c r="JM25" i="122"/>
  <c r="IT25" i="122"/>
  <c r="JC25" i="122"/>
  <c r="JJ25" i="122"/>
  <c r="JB25" i="122"/>
  <c r="JX25" i="122"/>
  <c r="JV25" i="122"/>
  <c r="IL74" i="122"/>
  <c r="IS25" i="122"/>
  <c r="JU25" i="122"/>
  <c r="JF25" i="122"/>
  <c r="IQ25" i="122"/>
  <c r="IZ25" i="122"/>
  <c r="IO25" i="122"/>
  <c r="IP25" i="122"/>
  <c r="JQ25" i="122"/>
  <c r="JR15" i="122"/>
  <c r="IP15" i="122"/>
  <c r="JF15" i="122"/>
  <c r="JT15" i="122"/>
  <c r="Y15" i="122"/>
  <c r="JQ15" i="122"/>
  <c r="IY15" i="122"/>
  <c r="KD15" i="122"/>
  <c r="IT15" i="122"/>
  <c r="JS15" i="122"/>
  <c r="JB15" i="122"/>
  <c r="JM15" i="122"/>
  <c r="JO15" i="122"/>
  <c r="JD15" i="122"/>
  <c r="JA15" i="122"/>
  <c r="IZ15" i="122"/>
  <c r="IQ15" i="122"/>
  <c r="IR15" i="122"/>
  <c r="KC15" i="122"/>
  <c r="IV15" i="122"/>
  <c r="JE15" i="122"/>
  <c r="JK15" i="122"/>
  <c r="IX15" i="122"/>
  <c r="IS15" i="122"/>
  <c r="JI15" i="122"/>
  <c r="JV15" i="122"/>
  <c r="IL64" i="122"/>
  <c r="JX15" i="122"/>
  <c r="JL15" i="122"/>
  <c r="JZ15" i="122"/>
  <c r="JW15" i="122"/>
  <c r="JH15" i="122"/>
  <c r="JU15" i="122"/>
  <c r="JN15" i="122"/>
  <c r="JY15" i="122"/>
  <c r="JJ15" i="122"/>
  <c r="IU15" i="122"/>
  <c r="JG15" i="122"/>
  <c r="KB15" i="122"/>
  <c r="JP15" i="122"/>
  <c r="IW15" i="122"/>
  <c r="KA15" i="122"/>
  <c r="JC15" i="122"/>
  <c r="IO15" i="122"/>
  <c r="JR18" i="122"/>
  <c r="JC18" i="122"/>
  <c r="JW18" i="122"/>
  <c r="JH18" i="122"/>
  <c r="IW18" i="122"/>
  <c r="JM18" i="122"/>
  <c r="JN18" i="122"/>
  <c r="JF18" i="122"/>
  <c r="JA18" i="122"/>
  <c r="IR18" i="122"/>
  <c r="JL18" i="122"/>
  <c r="JB18" i="122"/>
  <c r="IP18" i="122"/>
  <c r="Y18" i="122"/>
  <c r="IS18" i="122"/>
  <c r="JI18" i="122"/>
  <c r="JQ18" i="122"/>
  <c r="JU18" i="122"/>
  <c r="IZ18" i="122"/>
  <c r="IO18" i="122"/>
  <c r="JP18" i="122"/>
  <c r="IL67" i="122"/>
  <c r="KB18" i="122"/>
  <c r="IY18" i="122"/>
  <c r="JD18" i="122"/>
  <c r="JK18" i="122"/>
  <c r="KD18" i="122"/>
  <c r="IU18" i="122"/>
  <c r="IV18" i="122"/>
  <c r="IQ18" i="122"/>
  <c r="JE18" i="122"/>
  <c r="JO18" i="122"/>
  <c r="JV18" i="122"/>
  <c r="JY18" i="122"/>
  <c r="KA18" i="122"/>
  <c r="IX18" i="122"/>
  <c r="JZ18" i="122"/>
  <c r="KC18" i="122"/>
  <c r="IT18" i="122"/>
  <c r="JJ18" i="122"/>
  <c r="JT18" i="122"/>
  <c r="JS18" i="122"/>
  <c r="JG18" i="122"/>
  <c r="JX18" i="122"/>
  <c r="JS38" i="122"/>
  <c r="JE38" i="122"/>
  <c r="JP38" i="122"/>
  <c r="JB38" i="122"/>
  <c r="IV38" i="122"/>
  <c r="JV38" i="122"/>
  <c r="IU38" i="122"/>
  <c r="JO38" i="122"/>
  <c r="Y38" i="122"/>
  <c r="JG38" i="122"/>
  <c r="IW38" i="122"/>
  <c r="IS38" i="122"/>
  <c r="JU38" i="122"/>
  <c r="JC38" i="122"/>
  <c r="JA38" i="122"/>
  <c r="KA38" i="122"/>
  <c r="JM38" i="122"/>
  <c r="JZ38" i="122"/>
  <c r="JQ38" i="122"/>
  <c r="JX38" i="122"/>
  <c r="JT38" i="122"/>
  <c r="JD38" i="122"/>
  <c r="JL38" i="122"/>
  <c r="IX38" i="122"/>
  <c r="JH38" i="122"/>
  <c r="KB38" i="122"/>
  <c r="JW38" i="122"/>
  <c r="IO38" i="122"/>
  <c r="JJ38" i="122"/>
  <c r="IY38" i="122"/>
  <c r="KD38" i="122"/>
  <c r="JN38" i="122"/>
  <c r="IT38" i="122"/>
  <c r="JK38" i="122"/>
  <c r="IQ38" i="122"/>
  <c r="JI38" i="122"/>
  <c r="JF38" i="122"/>
  <c r="IP38" i="122"/>
  <c r="IZ38" i="122"/>
  <c r="IR38" i="122"/>
  <c r="KC38" i="122"/>
  <c r="JR38" i="122"/>
  <c r="JY38" i="122"/>
  <c r="IL87" i="122"/>
  <c r="DT7" i="122"/>
  <c r="DS5" i="122"/>
  <c r="IX24" i="122"/>
  <c r="JY24" i="122"/>
  <c r="IV24" i="122"/>
  <c r="IS24" i="122"/>
  <c r="IZ24" i="122"/>
  <c r="JT24" i="122"/>
  <c r="JF24" i="122"/>
  <c r="IW24" i="122"/>
  <c r="JA24" i="122"/>
  <c r="JD24" i="122"/>
  <c r="JZ24" i="122"/>
  <c r="KA24" i="122"/>
  <c r="JN24" i="122"/>
  <c r="JC24" i="122"/>
  <c r="IU24" i="122"/>
  <c r="JV24" i="122"/>
  <c r="IL73" i="122"/>
  <c r="JL24" i="122"/>
  <c r="JO24" i="122"/>
  <c r="IQ24" i="122"/>
  <c r="JM24" i="122"/>
  <c r="Y24" i="122"/>
  <c r="JU24" i="122"/>
  <c r="KC24" i="122"/>
  <c r="JE24" i="122"/>
  <c r="JH24" i="122"/>
  <c r="JR24" i="122"/>
  <c r="IP24" i="122"/>
  <c r="JJ24" i="122"/>
  <c r="JW24" i="122"/>
  <c r="IO24" i="122"/>
  <c r="JI24" i="122"/>
  <c r="JB24" i="122"/>
  <c r="JQ24" i="122"/>
  <c r="JX24" i="122"/>
  <c r="KD24" i="122"/>
  <c r="JS24" i="122"/>
  <c r="IY24" i="122"/>
  <c r="JK24" i="122"/>
  <c r="JG24" i="122"/>
  <c r="KB24" i="122"/>
  <c r="JP24" i="122"/>
  <c r="IT24" i="122"/>
  <c r="IR24" i="122"/>
  <c r="IX19" i="122"/>
  <c r="IQ19" i="122"/>
  <c r="JY19" i="122"/>
  <c r="JW19" i="122"/>
  <c r="JK19" i="122"/>
  <c r="JJ19" i="122"/>
  <c r="IZ19" i="122"/>
  <c r="IU19" i="122"/>
  <c r="JO19" i="122"/>
  <c r="KC19" i="122"/>
  <c r="KA19" i="122"/>
  <c r="JL19" i="122"/>
  <c r="KD19" i="122"/>
  <c r="JI19" i="122"/>
  <c r="IO19" i="122"/>
  <c r="JB19" i="122"/>
  <c r="JA19" i="122"/>
  <c r="JH19" i="122"/>
  <c r="JN19" i="122"/>
  <c r="JR19" i="122"/>
  <c r="Y19" i="122"/>
  <c r="JC19" i="122"/>
  <c r="IS19" i="122"/>
  <c r="JS19" i="122"/>
  <c r="IL68" i="122"/>
  <c r="IP19" i="122"/>
  <c r="JG19" i="122"/>
  <c r="JP19" i="122"/>
  <c r="IY19" i="122"/>
  <c r="KB19" i="122"/>
  <c r="JZ19" i="122"/>
  <c r="JD19" i="122"/>
  <c r="JM19" i="122"/>
  <c r="JX19" i="122"/>
  <c r="IT19" i="122"/>
  <c r="IR19" i="122"/>
  <c r="JV19" i="122"/>
  <c r="JT19" i="122"/>
  <c r="JQ19" i="122"/>
  <c r="JF19" i="122"/>
  <c r="JE19" i="122"/>
  <c r="JU19" i="122"/>
  <c r="IW19" i="122"/>
  <c r="IV19" i="122"/>
  <c r="JA39" i="122"/>
  <c r="KA39" i="122"/>
  <c r="JX39" i="122"/>
  <c r="JL39" i="122"/>
  <c r="KD39" i="122"/>
  <c r="JG39" i="122"/>
  <c r="Y39" i="122"/>
  <c r="IT39" i="122"/>
  <c r="JI39" i="122"/>
  <c r="JW39" i="122"/>
  <c r="JS39" i="122"/>
  <c r="JQ39" i="122"/>
  <c r="JM39" i="122"/>
  <c r="IW39" i="122"/>
  <c r="IS39" i="122"/>
  <c r="IL88" i="122"/>
  <c r="JO39" i="122"/>
  <c r="JJ39" i="122"/>
  <c r="JB39" i="122"/>
  <c r="IR39" i="122"/>
  <c r="JP39" i="122"/>
  <c r="IX39" i="122"/>
  <c r="JT39" i="122"/>
  <c r="JN39" i="122"/>
  <c r="IU39" i="122"/>
  <c r="KB39" i="122"/>
  <c r="JF39" i="122"/>
  <c r="JE39" i="122"/>
  <c r="JR39" i="122"/>
  <c r="JC39" i="122"/>
  <c r="KC39" i="122"/>
  <c r="IP39" i="122"/>
  <c r="IO39" i="122"/>
  <c r="JD39" i="122"/>
  <c r="IV39" i="122"/>
  <c r="IZ39" i="122"/>
  <c r="JZ39" i="122"/>
  <c r="IQ39" i="122"/>
  <c r="JV39" i="122"/>
  <c r="JH39" i="122"/>
  <c r="JK39" i="122"/>
  <c r="JY39" i="122"/>
  <c r="JU39" i="122"/>
  <c r="IY39" i="122"/>
  <c r="JB26" i="122"/>
  <c r="IP26" i="122"/>
  <c r="JX26" i="122"/>
  <c r="IL75" i="122"/>
  <c r="JV26" i="122"/>
  <c r="JZ26" i="122"/>
  <c r="Y26" i="122"/>
  <c r="IU26" i="122"/>
  <c r="JE26" i="122"/>
  <c r="KD26" i="122"/>
  <c r="JK26" i="122"/>
  <c r="JD26" i="122"/>
  <c r="IQ26" i="122"/>
  <c r="JL26" i="122"/>
  <c r="JQ26" i="122"/>
  <c r="JP26" i="122"/>
  <c r="IW26" i="122"/>
  <c r="JY26" i="122"/>
  <c r="JC26" i="122"/>
  <c r="IS26" i="122"/>
  <c r="JM26" i="122"/>
  <c r="JG26" i="122"/>
  <c r="JN26" i="122"/>
  <c r="JR26" i="122"/>
  <c r="KB26" i="122"/>
  <c r="JI26" i="122"/>
  <c r="IZ26" i="122"/>
  <c r="JA26" i="122"/>
  <c r="JJ26" i="122"/>
  <c r="KA26" i="122"/>
  <c r="IO26" i="122"/>
  <c r="JS26" i="122"/>
  <c r="IV26" i="122"/>
  <c r="IR26" i="122"/>
  <c r="JU26" i="122"/>
  <c r="KC26" i="122"/>
  <c r="IY26" i="122"/>
  <c r="JF26" i="122"/>
  <c r="JO26" i="122"/>
  <c r="JH26" i="122"/>
  <c r="IX26" i="122"/>
  <c r="IT26" i="122"/>
  <c r="JW26" i="122"/>
  <c r="JT26" i="122"/>
  <c r="KA34" i="122"/>
  <c r="JH34" i="122"/>
  <c r="JL34" i="122"/>
  <c r="IW34" i="122"/>
  <c r="IP34" i="122"/>
  <c r="JC34" i="122"/>
  <c r="IT34" i="122"/>
  <c r="IX34" i="122"/>
  <c r="IO34" i="122"/>
  <c r="JB34" i="122"/>
  <c r="JN34" i="122"/>
  <c r="IL83" i="122"/>
  <c r="JA34" i="122"/>
  <c r="JW34" i="122"/>
  <c r="JY34" i="122"/>
  <c r="Y34" i="122"/>
  <c r="JI34" i="122"/>
  <c r="JZ34" i="122"/>
  <c r="JF34" i="122"/>
  <c r="JE34" i="122"/>
  <c r="IV34" i="122"/>
  <c r="JV34" i="122"/>
  <c r="JD34" i="122"/>
  <c r="KC34" i="122"/>
  <c r="JO34" i="122"/>
  <c r="IZ34" i="122"/>
  <c r="KB34" i="122"/>
  <c r="JQ34" i="122"/>
  <c r="JK34" i="122"/>
  <c r="IS34" i="122"/>
  <c r="JM34" i="122"/>
  <c r="JT34" i="122"/>
  <c r="IY34" i="122"/>
  <c r="JX34" i="122"/>
  <c r="IU34" i="122"/>
  <c r="IR34" i="122"/>
  <c r="KD34" i="122"/>
  <c r="JG34" i="122"/>
  <c r="IQ34" i="122"/>
  <c r="JR34" i="122"/>
  <c r="JS34" i="122"/>
  <c r="JU34" i="122"/>
  <c r="JJ34" i="122"/>
  <c r="JP34" i="122"/>
  <c r="JD8" i="122"/>
  <c r="JO8" i="122"/>
  <c r="JT8" i="122"/>
  <c r="JS8" i="122"/>
  <c r="IV8" i="122"/>
  <c r="JH8" i="122"/>
  <c r="JV8" i="122"/>
  <c r="IR8" i="122"/>
  <c r="JE8" i="122"/>
  <c r="JP8" i="122"/>
  <c r="KA8" i="122"/>
  <c r="JI8" i="122"/>
  <c r="JX8" i="122"/>
  <c r="JC8" i="122"/>
  <c r="IY8" i="122"/>
  <c r="IX8" i="122"/>
  <c r="JA8" i="122"/>
  <c r="JM8" i="122"/>
  <c r="KB8" i="122"/>
  <c r="JK8" i="122"/>
  <c r="IO8" i="122"/>
  <c r="JB8" i="122"/>
  <c r="JU8" i="122"/>
  <c r="JN8" i="122"/>
  <c r="JY8" i="122"/>
  <c r="JG8" i="122"/>
  <c r="IL57" i="122"/>
  <c r="JW8" i="122"/>
  <c r="IP8" i="122"/>
  <c r="IZ8" i="122"/>
  <c r="JF8" i="122"/>
  <c r="JR8" i="122"/>
  <c r="IW8" i="122"/>
  <c r="IS8" i="122"/>
  <c r="IQ8" i="122"/>
  <c r="KD8" i="122"/>
  <c r="JJ8" i="122"/>
  <c r="IU8" i="122"/>
  <c r="JL8" i="122"/>
  <c r="JQ8" i="122"/>
  <c r="IT8" i="122"/>
  <c r="JZ8" i="122"/>
  <c r="KC8" i="122"/>
  <c r="Y8" i="122"/>
  <c r="IS9" i="122"/>
  <c r="IW9" i="122"/>
  <c r="IP9" i="122"/>
  <c r="JQ9" i="122"/>
  <c r="JV9" i="122"/>
  <c r="IT9" i="122"/>
  <c r="JI9" i="122"/>
  <c r="JA9" i="122"/>
  <c r="IY9" i="122"/>
  <c r="IX9" i="122"/>
  <c r="JC9" i="122"/>
  <c r="IZ9" i="122"/>
  <c r="JY9" i="122"/>
  <c r="IO9" i="122"/>
  <c r="JN9" i="122"/>
  <c r="KB9" i="122"/>
  <c r="JB9" i="122"/>
  <c r="IV9" i="122"/>
  <c r="JO9" i="122"/>
  <c r="KD9" i="122"/>
  <c r="JL9" i="122"/>
  <c r="JS9" i="122"/>
  <c r="JX9" i="122"/>
  <c r="JU9" i="122"/>
  <c r="JZ9" i="122"/>
  <c r="IL58" i="122"/>
  <c r="IU9" i="122"/>
  <c r="IQ9" i="122"/>
  <c r="JF9" i="122"/>
  <c r="JH9" i="122"/>
  <c r="JJ9" i="122"/>
  <c r="JT9" i="122"/>
  <c r="JK9" i="122"/>
  <c r="JE9" i="122"/>
  <c r="JW9" i="122"/>
  <c r="JD9" i="122"/>
  <c r="JM9" i="122"/>
  <c r="IR9" i="122"/>
  <c r="JG9" i="122"/>
  <c r="JR9" i="122"/>
  <c r="Y9" i="122"/>
  <c r="JP9" i="122"/>
  <c r="KA9" i="122"/>
  <c r="KC9" i="122"/>
  <c r="IR13" i="122"/>
  <c r="JN13" i="122"/>
  <c r="JA13" i="122"/>
  <c r="JS13" i="122"/>
  <c r="JM13" i="122"/>
  <c r="IP13" i="122"/>
  <c r="IV13" i="122"/>
  <c r="JC13" i="122"/>
  <c r="IU13" i="122"/>
  <c r="JY13" i="122"/>
  <c r="JG13" i="122"/>
  <c r="JO13" i="122"/>
  <c r="JW13" i="122"/>
  <c r="JP13" i="122"/>
  <c r="IZ13" i="122"/>
  <c r="JH13" i="122"/>
  <c r="KB13" i="122"/>
  <c r="JQ13" i="122"/>
  <c r="JZ13" i="122"/>
  <c r="IY13" i="122"/>
  <c r="IW13" i="122"/>
  <c r="KC13" i="122"/>
  <c r="Y13" i="122"/>
  <c r="KA13" i="122"/>
  <c r="JL13" i="122"/>
  <c r="IL62" i="122"/>
  <c r="JV13" i="122"/>
  <c r="JF13" i="122"/>
  <c r="IX13" i="122"/>
  <c r="JD13" i="122"/>
  <c r="IS13" i="122"/>
  <c r="IT13" i="122"/>
  <c r="JT13" i="122"/>
  <c r="JX13" i="122"/>
  <c r="JB13" i="122"/>
  <c r="JK13" i="122"/>
  <c r="KD13" i="122"/>
  <c r="JJ13" i="122"/>
  <c r="JR13" i="122"/>
  <c r="IQ13" i="122"/>
  <c r="JE13" i="122"/>
  <c r="JU13" i="122"/>
  <c r="IO13" i="122"/>
  <c r="JI13" i="122"/>
  <c r="JW40" i="122"/>
  <c r="JC40" i="122"/>
  <c r="JR40" i="122"/>
  <c r="JE40" i="122"/>
  <c r="JI40" i="122"/>
  <c r="IR40" i="122"/>
  <c r="JV40" i="122"/>
  <c r="IQ40" i="122"/>
  <c r="JF40" i="122"/>
  <c r="IP40" i="122"/>
  <c r="JO40" i="122"/>
  <c r="KC40" i="122"/>
  <c r="JG40" i="122"/>
  <c r="JJ40" i="122"/>
  <c r="JH40" i="122"/>
  <c r="IY40" i="122"/>
  <c r="JA40" i="122"/>
  <c r="JS40" i="122"/>
  <c r="IU40" i="122"/>
  <c r="IW40" i="122"/>
  <c r="JX40" i="122"/>
  <c r="IX40" i="122"/>
  <c r="JZ40" i="122"/>
  <c r="JK40" i="122"/>
  <c r="IO40" i="122"/>
  <c r="JL40" i="122"/>
  <c r="JQ40" i="122"/>
  <c r="JY40" i="122"/>
  <c r="JT40" i="122"/>
  <c r="IZ40" i="122"/>
  <c r="KB40" i="122"/>
  <c r="JD40" i="122"/>
  <c r="JM40" i="122"/>
  <c r="JN40" i="122"/>
  <c r="JU40" i="122"/>
  <c r="KA40" i="122"/>
  <c r="Y40" i="122"/>
  <c r="JP40" i="122"/>
  <c r="IV40" i="122"/>
  <c r="IT40" i="122"/>
  <c r="IL89" i="122"/>
  <c r="IS40" i="122"/>
  <c r="JB40" i="122"/>
  <c r="KD40" i="122"/>
  <c r="JP11" i="122"/>
  <c r="JR11" i="122"/>
  <c r="IX11" i="122"/>
  <c r="JL11" i="122"/>
  <c r="IO11" i="122"/>
  <c r="KB11" i="122"/>
  <c r="JK11" i="122"/>
  <c r="JV11" i="122"/>
  <c r="JE11" i="122"/>
  <c r="JD11" i="122"/>
  <c r="JM11" i="122"/>
  <c r="KC11" i="122"/>
  <c r="JN11" i="122"/>
  <c r="JQ11" i="122"/>
  <c r="IS11" i="122"/>
  <c r="JG11" i="122"/>
  <c r="JO11" i="122"/>
  <c r="JC11" i="122"/>
  <c r="IP11" i="122"/>
  <c r="JI11" i="122"/>
  <c r="IL60" i="122"/>
  <c r="IU11" i="122"/>
  <c r="JA11" i="122"/>
  <c r="JU11" i="122"/>
  <c r="JZ11" i="122"/>
  <c r="IV11" i="122"/>
  <c r="JJ11" i="122"/>
  <c r="IW11" i="122"/>
  <c r="JX11" i="122"/>
  <c r="IY11" i="122"/>
  <c r="JT11" i="122"/>
  <c r="JY11" i="122"/>
  <c r="JH11" i="122"/>
  <c r="JW11" i="122"/>
  <c r="IQ11" i="122"/>
  <c r="IZ11" i="122"/>
  <c r="KA11" i="122"/>
  <c r="JS11" i="122"/>
  <c r="Y11" i="122"/>
  <c r="KD11" i="122"/>
  <c r="JB11" i="122"/>
  <c r="IR11" i="122"/>
  <c r="IT11" i="122"/>
  <c r="JF11" i="122"/>
  <c r="DN7" i="122"/>
  <c r="DM5" i="122"/>
  <c r="CP5" i="122" l="1"/>
  <c r="IN40" i="122"/>
  <c r="Z40" i="122" s="1"/>
  <c r="IN31" i="122"/>
  <c r="Z31" i="122" s="1"/>
  <c r="IN22" i="122"/>
  <c r="Z22" i="122" s="1"/>
  <c r="IN38" i="122"/>
  <c r="Z38" i="122" s="1"/>
  <c r="IN29" i="122"/>
  <c r="Z29" i="122" s="1"/>
  <c r="IN21" i="122"/>
  <c r="Z21" i="122" s="1"/>
  <c r="IN11" i="122"/>
  <c r="Z11" i="122" s="1"/>
  <c r="IN26" i="122"/>
  <c r="Z26" i="122" s="1"/>
  <c r="IN14" i="122"/>
  <c r="Z14" i="122" s="1"/>
  <c r="IN30" i="122"/>
  <c r="Z30" i="122" s="1"/>
  <c r="IN42" i="122"/>
  <c r="Z42" i="122" s="1"/>
  <c r="IN10" i="122"/>
  <c r="Z10" i="122" s="1"/>
  <c r="IN23" i="122"/>
  <c r="Z23" i="122" s="1"/>
  <c r="IN36" i="122"/>
  <c r="Z36" i="122" s="1"/>
  <c r="IN33" i="122"/>
  <c r="Z33" i="122" s="1"/>
  <c r="IN34" i="122"/>
  <c r="Z34" i="122" s="1"/>
  <c r="IN16" i="122"/>
  <c r="Z16" i="122" s="1"/>
  <c r="IN17" i="122"/>
  <c r="Z17" i="122" s="1"/>
  <c r="IN37" i="122"/>
  <c r="Z37" i="122" s="1"/>
  <c r="IN7" i="122"/>
  <c r="Z7" i="122" s="1"/>
  <c r="IN20" i="122"/>
  <c r="Z20" i="122" s="1"/>
  <c r="IN28" i="122"/>
  <c r="Z28" i="122" s="1"/>
  <c r="IN32" i="122"/>
  <c r="Z32" i="122" s="1"/>
  <c r="IN35" i="122"/>
  <c r="Z35" i="122" s="1"/>
  <c r="IN41" i="122"/>
  <c r="Z41" i="122" s="1"/>
  <c r="IN9" i="122"/>
  <c r="Z9" i="122" s="1"/>
  <c r="IN39" i="122"/>
  <c r="Z39" i="122" s="1"/>
  <c r="IN18" i="122"/>
  <c r="Z18" i="122" s="1"/>
  <c r="IN15" i="122"/>
  <c r="Z15" i="122" s="1"/>
  <c r="IN13" i="122"/>
  <c r="Z13" i="122" s="1"/>
  <c r="IN19" i="122"/>
  <c r="Z19" i="122" s="1"/>
  <c r="IN25" i="122"/>
  <c r="Z25" i="122" s="1"/>
  <c r="IN27" i="122"/>
  <c r="Z27" i="122" s="1"/>
  <c r="IX89" i="122"/>
  <c r="JV89" i="122"/>
  <c r="JF89" i="122"/>
  <c r="KD89" i="122"/>
  <c r="KA89" i="122"/>
  <c r="JI89" i="122"/>
  <c r="IV89" i="122"/>
  <c r="IP89" i="122"/>
  <c r="IT89" i="122"/>
  <c r="JA89" i="122"/>
  <c r="JD89" i="122"/>
  <c r="JY89" i="122"/>
  <c r="IO89" i="122"/>
  <c r="JO89" i="122"/>
  <c r="JQ89" i="122"/>
  <c r="JC89" i="122"/>
  <c r="JK89" i="122"/>
  <c r="IU89" i="122"/>
  <c r="JE89" i="122"/>
  <c r="JX89" i="122"/>
  <c r="JM89" i="122"/>
  <c r="IW89" i="122"/>
  <c r="JB89" i="122"/>
  <c r="JW89" i="122"/>
  <c r="JZ89" i="122"/>
  <c r="JR89" i="122"/>
  <c r="JJ89" i="122"/>
  <c r="JT89" i="122"/>
  <c r="JN89" i="122"/>
  <c r="KB89" i="122"/>
  <c r="JU89" i="122"/>
  <c r="IR89" i="122"/>
  <c r="IS89" i="122"/>
  <c r="JL89" i="122"/>
  <c r="IQ89" i="122"/>
  <c r="JH89" i="122"/>
  <c r="JP89" i="122"/>
  <c r="KC89" i="122"/>
  <c r="IY89" i="122"/>
  <c r="IZ89" i="122"/>
  <c r="JS89" i="122"/>
  <c r="JG89" i="122"/>
  <c r="DU7" i="122"/>
  <c r="DT5" i="122"/>
  <c r="DU5" i="122" s="1"/>
  <c r="JY65" i="122"/>
  <c r="KC65" i="122"/>
  <c r="IR65" i="122"/>
  <c r="IZ65" i="122"/>
  <c r="JZ65" i="122"/>
  <c r="JV65" i="122"/>
  <c r="JU65" i="122"/>
  <c r="JH65" i="122"/>
  <c r="JS65" i="122"/>
  <c r="KA65" i="122"/>
  <c r="IY65" i="122"/>
  <c r="JA65" i="122"/>
  <c r="JO65" i="122"/>
  <c r="JC65" i="122"/>
  <c r="JG65" i="122"/>
  <c r="IQ65" i="122"/>
  <c r="IW65" i="122"/>
  <c r="JB65" i="122"/>
  <c r="JE65" i="122"/>
  <c r="IS65" i="122"/>
  <c r="JT65" i="122"/>
  <c r="KD65" i="122"/>
  <c r="IO65" i="122"/>
  <c r="JX65" i="122"/>
  <c r="IX65" i="122"/>
  <c r="KB65" i="122"/>
  <c r="IV65" i="122"/>
  <c r="JI65" i="122"/>
  <c r="JW65" i="122"/>
  <c r="IU65" i="122"/>
  <c r="IT65" i="122"/>
  <c r="JR65" i="122"/>
  <c r="JD65" i="122"/>
  <c r="JF65" i="122"/>
  <c r="JK65" i="122"/>
  <c r="JN65" i="122"/>
  <c r="JJ65" i="122"/>
  <c r="JP65" i="122"/>
  <c r="JL65" i="122"/>
  <c r="JM65" i="122"/>
  <c r="IP65" i="122"/>
  <c r="JQ65" i="122"/>
  <c r="KC79" i="122"/>
  <c r="JS79" i="122"/>
  <c r="JX79" i="122"/>
  <c r="JQ79" i="122"/>
  <c r="JY79" i="122"/>
  <c r="JD79" i="122"/>
  <c r="IS79" i="122"/>
  <c r="IY79" i="122"/>
  <c r="JV79" i="122"/>
  <c r="JF79" i="122"/>
  <c r="IT79" i="122"/>
  <c r="JJ79" i="122"/>
  <c r="JR79" i="122"/>
  <c r="JL79" i="122"/>
  <c r="IR79" i="122"/>
  <c r="IO79" i="122"/>
  <c r="JU79" i="122"/>
  <c r="IU79" i="122"/>
  <c r="JT79" i="122"/>
  <c r="JZ79" i="122"/>
  <c r="KA79" i="122"/>
  <c r="JE79" i="122"/>
  <c r="JM79" i="122"/>
  <c r="JK79" i="122"/>
  <c r="IV79" i="122"/>
  <c r="IP79" i="122"/>
  <c r="IW79" i="122"/>
  <c r="JP79" i="122"/>
  <c r="JB79" i="122"/>
  <c r="KB79" i="122"/>
  <c r="IZ79" i="122"/>
  <c r="IX79" i="122"/>
  <c r="JO79" i="122"/>
  <c r="JH79" i="122"/>
  <c r="JC79" i="122"/>
  <c r="JG79" i="122"/>
  <c r="JA79" i="122"/>
  <c r="IQ79" i="122"/>
  <c r="JI79" i="122"/>
  <c r="JW79" i="122"/>
  <c r="JN79" i="122"/>
  <c r="KD79" i="122"/>
  <c r="JZ91" i="122"/>
  <c r="JN91" i="122"/>
  <c r="JE91" i="122"/>
  <c r="JH91" i="122"/>
  <c r="JM91" i="122"/>
  <c r="JC91" i="122"/>
  <c r="IV91" i="122"/>
  <c r="IQ91" i="122"/>
  <c r="JA91" i="122"/>
  <c r="JY91" i="122"/>
  <c r="JG91" i="122"/>
  <c r="JD91" i="122"/>
  <c r="IZ91" i="122"/>
  <c r="JB91" i="122"/>
  <c r="KC91" i="122"/>
  <c r="JL91" i="122"/>
  <c r="JX91" i="122"/>
  <c r="IY91" i="122"/>
  <c r="KD91" i="122"/>
  <c r="JQ91" i="122"/>
  <c r="IP91" i="122"/>
  <c r="IS91" i="122"/>
  <c r="IT91" i="122"/>
  <c r="JT91" i="122"/>
  <c r="JV91" i="122"/>
  <c r="IU91" i="122"/>
  <c r="KB91" i="122"/>
  <c r="JI91" i="122"/>
  <c r="JW91" i="122"/>
  <c r="JS91" i="122"/>
  <c r="KA91" i="122"/>
  <c r="JU91" i="122"/>
  <c r="JO91" i="122"/>
  <c r="JF91" i="122"/>
  <c r="JP91" i="122"/>
  <c r="JK91" i="122"/>
  <c r="IR91" i="122"/>
  <c r="IO91" i="122"/>
  <c r="IX91" i="122"/>
  <c r="JJ91" i="122"/>
  <c r="JR91" i="122"/>
  <c r="IW91" i="122"/>
  <c r="IO78" i="122"/>
  <c r="JY78" i="122"/>
  <c r="IU78" i="122"/>
  <c r="JI78" i="122"/>
  <c r="JE78" i="122"/>
  <c r="JM78" i="122"/>
  <c r="JN78" i="122"/>
  <c r="JO78" i="122"/>
  <c r="IQ78" i="122"/>
  <c r="JZ78" i="122"/>
  <c r="IP78" i="122"/>
  <c r="JC78" i="122"/>
  <c r="KC78" i="122"/>
  <c r="JJ78" i="122"/>
  <c r="JK78" i="122"/>
  <c r="JW78" i="122"/>
  <c r="IS78" i="122"/>
  <c r="JP78" i="122"/>
  <c r="IX78" i="122"/>
  <c r="JT78" i="122"/>
  <c r="IY78" i="122"/>
  <c r="IW78" i="122"/>
  <c r="JL78" i="122"/>
  <c r="IV78" i="122"/>
  <c r="JH78" i="122"/>
  <c r="JV78" i="122"/>
  <c r="KB78" i="122"/>
  <c r="JS78" i="122"/>
  <c r="IZ78" i="122"/>
  <c r="JB78" i="122"/>
  <c r="JR78" i="122"/>
  <c r="KA78" i="122"/>
  <c r="JF78" i="122"/>
  <c r="JX78" i="122"/>
  <c r="JD78" i="122"/>
  <c r="JG78" i="122"/>
  <c r="IR78" i="122"/>
  <c r="KD78" i="122"/>
  <c r="IT78" i="122"/>
  <c r="JA78" i="122"/>
  <c r="JU78" i="122"/>
  <c r="JQ78" i="122"/>
  <c r="JD63" i="122"/>
  <c r="JK63" i="122"/>
  <c r="KD63" i="122"/>
  <c r="JH63" i="122"/>
  <c r="JA63" i="122"/>
  <c r="KC63" i="122"/>
  <c r="JJ63" i="122"/>
  <c r="JW63" i="122"/>
  <c r="JQ63" i="122"/>
  <c r="KB63" i="122"/>
  <c r="JI63" i="122"/>
  <c r="KA63" i="122"/>
  <c r="IW63" i="122"/>
  <c r="IX63" i="122"/>
  <c r="JM63" i="122"/>
  <c r="IO63" i="122"/>
  <c r="JB63" i="122"/>
  <c r="IP63" i="122"/>
  <c r="IY63" i="122"/>
  <c r="IT63" i="122"/>
  <c r="JC63" i="122"/>
  <c r="JS63" i="122"/>
  <c r="JN63" i="122"/>
  <c r="JF63" i="122"/>
  <c r="JZ63" i="122"/>
  <c r="IS63" i="122"/>
  <c r="IV63" i="122"/>
  <c r="JG63" i="122"/>
  <c r="IQ63" i="122"/>
  <c r="JP63" i="122"/>
  <c r="IR63" i="122"/>
  <c r="JL63" i="122"/>
  <c r="JE63" i="122"/>
  <c r="JU63" i="122"/>
  <c r="JV63" i="122"/>
  <c r="JR63" i="122"/>
  <c r="JT63" i="122"/>
  <c r="JO63" i="122"/>
  <c r="JY63" i="122"/>
  <c r="JX63" i="122"/>
  <c r="IU63" i="122"/>
  <c r="IZ63" i="122"/>
  <c r="JQ90" i="122"/>
  <c r="KB90" i="122"/>
  <c r="IS90" i="122"/>
  <c r="JP90" i="122"/>
  <c r="JF90" i="122"/>
  <c r="IU90" i="122"/>
  <c r="JY90" i="122"/>
  <c r="JZ90" i="122"/>
  <c r="JA90" i="122"/>
  <c r="JI90" i="122"/>
  <c r="JU90" i="122"/>
  <c r="JC90" i="122"/>
  <c r="IP90" i="122"/>
  <c r="JW90" i="122"/>
  <c r="JG90" i="122"/>
  <c r="JL90" i="122"/>
  <c r="IW90" i="122"/>
  <c r="IX90" i="122"/>
  <c r="JO90" i="122"/>
  <c r="JK90" i="122"/>
  <c r="KD90" i="122"/>
  <c r="JX90" i="122"/>
  <c r="JT90" i="122"/>
  <c r="JD90" i="122"/>
  <c r="IR90" i="122"/>
  <c r="IZ90" i="122"/>
  <c r="JM90" i="122"/>
  <c r="JV90" i="122"/>
  <c r="JS90" i="122"/>
  <c r="IY90" i="122"/>
  <c r="IO90" i="122"/>
  <c r="JE90" i="122"/>
  <c r="IV90" i="122"/>
  <c r="JH90" i="122"/>
  <c r="KC90" i="122"/>
  <c r="JR90" i="122"/>
  <c r="JB90" i="122"/>
  <c r="IQ90" i="122"/>
  <c r="IT90" i="122"/>
  <c r="KA90" i="122"/>
  <c r="JN90" i="122"/>
  <c r="JJ90" i="122"/>
  <c r="JS71" i="122"/>
  <c r="KC71" i="122"/>
  <c r="IU71" i="122"/>
  <c r="KA71" i="122"/>
  <c r="JP71" i="122"/>
  <c r="JI71" i="122"/>
  <c r="KB71" i="122"/>
  <c r="IO71" i="122"/>
  <c r="JH71" i="122"/>
  <c r="JB71" i="122"/>
  <c r="JO71" i="122"/>
  <c r="JW71" i="122"/>
  <c r="IP71" i="122"/>
  <c r="JQ71" i="122"/>
  <c r="JJ71" i="122"/>
  <c r="IY71" i="122"/>
  <c r="JA71" i="122"/>
  <c r="JT71" i="122"/>
  <c r="JD71" i="122"/>
  <c r="IS71" i="122"/>
  <c r="IZ71" i="122"/>
  <c r="IQ71" i="122"/>
  <c r="JK71" i="122"/>
  <c r="JG71" i="122"/>
  <c r="KD71" i="122"/>
  <c r="IT71" i="122"/>
  <c r="JX71" i="122"/>
  <c r="JF71" i="122"/>
  <c r="JU71" i="122"/>
  <c r="JR71" i="122"/>
  <c r="IV71" i="122"/>
  <c r="JV71" i="122"/>
  <c r="JC71" i="122"/>
  <c r="JE71" i="122"/>
  <c r="IW71" i="122"/>
  <c r="IR71" i="122"/>
  <c r="JY71" i="122"/>
  <c r="JZ71" i="122"/>
  <c r="JM71" i="122"/>
  <c r="JN71" i="122"/>
  <c r="JL71" i="122"/>
  <c r="IX71" i="122"/>
  <c r="EJ7" i="122"/>
  <c r="EI5" i="122"/>
  <c r="EJ5" i="122" s="1"/>
  <c r="DO7" i="122"/>
  <c r="DN5" i="122"/>
  <c r="DO5" i="122" s="1"/>
  <c r="JG88" i="122"/>
  <c r="JZ88" i="122"/>
  <c r="KB88" i="122"/>
  <c r="IR88" i="122"/>
  <c r="JU88" i="122"/>
  <c r="IU88" i="122"/>
  <c r="JL88" i="122"/>
  <c r="JC88" i="122"/>
  <c r="IV88" i="122"/>
  <c r="JX88" i="122"/>
  <c r="JJ88" i="122"/>
  <c r="JF88" i="122"/>
  <c r="JH88" i="122"/>
  <c r="JP88" i="122"/>
  <c r="JM88" i="122"/>
  <c r="IY88" i="122"/>
  <c r="KC88" i="122"/>
  <c r="IX88" i="122"/>
  <c r="JT88" i="122"/>
  <c r="IZ88" i="122"/>
  <c r="JI88" i="122"/>
  <c r="KA88" i="122"/>
  <c r="JB88" i="122"/>
  <c r="JQ88" i="122"/>
  <c r="JV88" i="122"/>
  <c r="IP88" i="122"/>
  <c r="IW88" i="122"/>
  <c r="JE88" i="122"/>
  <c r="JK88" i="122"/>
  <c r="IO88" i="122"/>
  <c r="JR88" i="122"/>
  <c r="JO88" i="122"/>
  <c r="JN88" i="122"/>
  <c r="IS88" i="122"/>
  <c r="JD88" i="122"/>
  <c r="JS88" i="122"/>
  <c r="JA88" i="122"/>
  <c r="KD88" i="122"/>
  <c r="IQ88" i="122"/>
  <c r="IT88" i="122"/>
  <c r="JY88" i="122"/>
  <c r="JW88" i="122"/>
  <c r="JC68" i="122"/>
  <c r="IQ68" i="122"/>
  <c r="JI68" i="122"/>
  <c r="JZ68" i="122"/>
  <c r="JK68" i="122"/>
  <c r="IT68" i="122"/>
  <c r="IR68" i="122"/>
  <c r="JU68" i="122"/>
  <c r="JE68" i="122"/>
  <c r="JN68" i="122"/>
  <c r="KC68" i="122"/>
  <c r="KA68" i="122"/>
  <c r="JY68" i="122"/>
  <c r="IZ68" i="122"/>
  <c r="JA68" i="122"/>
  <c r="JL68" i="122"/>
  <c r="JD68" i="122"/>
  <c r="JQ68" i="122"/>
  <c r="JJ68" i="122"/>
  <c r="JF68" i="122"/>
  <c r="JG68" i="122"/>
  <c r="KD68" i="122"/>
  <c r="IP68" i="122"/>
  <c r="IO68" i="122"/>
  <c r="IV68" i="122"/>
  <c r="JM68" i="122"/>
  <c r="JR68" i="122"/>
  <c r="JB68" i="122"/>
  <c r="JX68" i="122"/>
  <c r="IX68" i="122"/>
  <c r="JW68" i="122"/>
  <c r="JV68" i="122"/>
  <c r="JH68" i="122"/>
  <c r="IS68" i="122"/>
  <c r="KB68" i="122"/>
  <c r="JO68" i="122"/>
  <c r="JS68" i="122"/>
  <c r="IY68" i="122"/>
  <c r="JT68" i="122"/>
  <c r="JP68" i="122"/>
  <c r="IW68" i="122"/>
  <c r="IU68" i="122"/>
  <c r="JP73" i="122"/>
  <c r="JG73" i="122"/>
  <c r="KA73" i="122"/>
  <c r="JJ73" i="122"/>
  <c r="JN73" i="122"/>
  <c r="IZ73" i="122"/>
  <c r="JD73" i="122"/>
  <c r="IW73" i="122"/>
  <c r="KB73" i="122"/>
  <c r="JM73" i="122"/>
  <c r="JQ73" i="122"/>
  <c r="JF73" i="122"/>
  <c r="JU73" i="122"/>
  <c r="IV73" i="122"/>
  <c r="JR73" i="122"/>
  <c r="JC73" i="122"/>
  <c r="JZ73" i="122"/>
  <c r="IP73" i="122"/>
  <c r="IS73" i="122"/>
  <c r="JE73" i="122"/>
  <c r="JO73" i="122"/>
  <c r="IO73" i="122"/>
  <c r="IT73" i="122"/>
  <c r="JK73" i="122"/>
  <c r="JL73" i="122"/>
  <c r="JT73" i="122"/>
  <c r="JA73" i="122"/>
  <c r="KC73" i="122"/>
  <c r="JW73" i="122"/>
  <c r="JV73" i="122"/>
  <c r="IR73" i="122"/>
  <c r="JX73" i="122"/>
  <c r="JH73" i="122"/>
  <c r="KD73" i="122"/>
  <c r="IU73" i="122"/>
  <c r="JY73" i="122"/>
  <c r="IY73" i="122"/>
  <c r="JB73" i="122"/>
  <c r="IQ73" i="122"/>
  <c r="JI73" i="122"/>
  <c r="JS73" i="122"/>
  <c r="IX73" i="122"/>
  <c r="IR87" i="122"/>
  <c r="JZ87" i="122"/>
  <c r="IX87" i="122"/>
  <c r="IZ87" i="122"/>
  <c r="JH87" i="122"/>
  <c r="IT87" i="122"/>
  <c r="JX87" i="122"/>
  <c r="JU87" i="122"/>
  <c r="JW87" i="122"/>
  <c r="JY87" i="122"/>
  <c r="IV87" i="122"/>
  <c r="JT87" i="122"/>
  <c r="KD87" i="122"/>
  <c r="JR87" i="122"/>
  <c r="JB87" i="122"/>
  <c r="JI87" i="122"/>
  <c r="KC87" i="122"/>
  <c r="IS87" i="122"/>
  <c r="JL87" i="122"/>
  <c r="JJ87" i="122"/>
  <c r="IU87" i="122"/>
  <c r="JN87" i="122"/>
  <c r="JF87" i="122"/>
  <c r="JG87" i="122"/>
  <c r="IQ87" i="122"/>
  <c r="KA87" i="122"/>
  <c r="IO87" i="122"/>
  <c r="JO87" i="122"/>
  <c r="JE87" i="122"/>
  <c r="JM87" i="122"/>
  <c r="KB87" i="122"/>
  <c r="JK87" i="122"/>
  <c r="IW87" i="122"/>
  <c r="JV87" i="122"/>
  <c r="JQ87" i="122"/>
  <c r="IY87" i="122"/>
  <c r="JC87" i="122"/>
  <c r="JD87" i="122"/>
  <c r="IP87" i="122"/>
  <c r="JP87" i="122"/>
  <c r="JS87" i="122"/>
  <c r="JA87" i="122"/>
  <c r="EC5" i="122"/>
  <c r="ED5" i="122" s="1"/>
  <c r="ED7" i="122"/>
  <c r="JO72" i="122"/>
  <c r="JC72" i="122"/>
  <c r="IW72" i="122"/>
  <c r="IO72" i="122"/>
  <c r="JS72" i="122"/>
  <c r="JU72" i="122"/>
  <c r="JA72" i="122"/>
  <c r="JR72" i="122"/>
  <c r="IQ72" i="122"/>
  <c r="IZ72" i="122"/>
  <c r="KD72" i="122"/>
  <c r="IS72" i="122"/>
  <c r="IU72" i="122"/>
  <c r="JB72" i="122"/>
  <c r="IY72" i="122"/>
  <c r="JP72" i="122"/>
  <c r="KB72" i="122"/>
  <c r="JH72" i="122"/>
  <c r="JF72" i="122"/>
  <c r="IR72" i="122"/>
  <c r="IT72" i="122"/>
  <c r="JQ72" i="122"/>
  <c r="JX72" i="122"/>
  <c r="IX72" i="122"/>
  <c r="JJ72" i="122"/>
  <c r="JW72" i="122"/>
  <c r="JG72" i="122"/>
  <c r="JI72" i="122"/>
  <c r="JK72" i="122"/>
  <c r="IP72" i="122"/>
  <c r="JE72" i="122"/>
  <c r="KC72" i="122"/>
  <c r="JD72" i="122"/>
  <c r="JM72" i="122"/>
  <c r="KA72" i="122"/>
  <c r="JY72" i="122"/>
  <c r="IV72" i="122"/>
  <c r="JT72" i="122"/>
  <c r="JV72" i="122"/>
  <c r="JN72" i="122"/>
  <c r="JL72" i="122"/>
  <c r="JZ72" i="122"/>
  <c r="KD85" i="122"/>
  <c r="JA85" i="122"/>
  <c r="JR85" i="122"/>
  <c r="JN85" i="122"/>
  <c r="IW85" i="122"/>
  <c r="JZ85" i="122"/>
  <c r="JQ85" i="122"/>
  <c r="JW85" i="122"/>
  <c r="JD85" i="122"/>
  <c r="JC85" i="122"/>
  <c r="JE85" i="122"/>
  <c r="KC85" i="122"/>
  <c r="IV85" i="122"/>
  <c r="IO85" i="122"/>
  <c r="IY85" i="122"/>
  <c r="IZ85" i="122"/>
  <c r="JO85" i="122"/>
  <c r="JI85" i="122"/>
  <c r="KA85" i="122"/>
  <c r="JL85" i="122"/>
  <c r="JY85" i="122"/>
  <c r="JU85" i="122"/>
  <c r="JF85" i="122"/>
  <c r="KB85" i="122"/>
  <c r="IR85" i="122"/>
  <c r="JM85" i="122"/>
  <c r="JP85" i="122"/>
  <c r="IU85" i="122"/>
  <c r="JH85" i="122"/>
  <c r="JX85" i="122"/>
  <c r="IP85" i="122"/>
  <c r="JK85" i="122"/>
  <c r="JS85" i="122"/>
  <c r="JV85" i="122"/>
  <c r="JJ85" i="122"/>
  <c r="IQ85" i="122"/>
  <c r="JT85" i="122"/>
  <c r="IT85" i="122"/>
  <c r="JB85" i="122"/>
  <c r="IX85" i="122"/>
  <c r="IS85" i="122"/>
  <c r="JG85" i="122"/>
  <c r="KA82" i="122"/>
  <c r="JV82" i="122"/>
  <c r="JY82" i="122"/>
  <c r="IZ82" i="122"/>
  <c r="JX82" i="122"/>
  <c r="IT82" i="122"/>
  <c r="JD82" i="122"/>
  <c r="JE82" i="122"/>
  <c r="IV82" i="122"/>
  <c r="JT82" i="122"/>
  <c r="KD82" i="122"/>
  <c r="JL82" i="122"/>
  <c r="JM82" i="122"/>
  <c r="IS82" i="122"/>
  <c r="JO82" i="122"/>
  <c r="JH82" i="122"/>
  <c r="KB82" i="122"/>
  <c r="JJ82" i="122"/>
  <c r="IX82" i="122"/>
  <c r="JA82" i="122"/>
  <c r="IY82" i="122"/>
  <c r="IW82" i="122"/>
  <c r="KC82" i="122"/>
  <c r="JC82" i="122"/>
  <c r="JZ82" i="122"/>
  <c r="IQ82" i="122"/>
  <c r="JK82" i="122"/>
  <c r="IO82" i="122"/>
  <c r="JS82" i="122"/>
  <c r="JG82" i="122"/>
  <c r="JU82" i="122"/>
  <c r="IU82" i="122"/>
  <c r="JW82" i="122"/>
  <c r="JR82" i="122"/>
  <c r="JN82" i="122"/>
  <c r="IP82" i="122"/>
  <c r="JF82" i="122"/>
  <c r="JB82" i="122"/>
  <c r="IR82" i="122"/>
  <c r="JQ82" i="122"/>
  <c r="JI82" i="122"/>
  <c r="JP82" i="122"/>
  <c r="IN24" i="122"/>
  <c r="Z24" i="122" s="1"/>
  <c r="IN8" i="122"/>
  <c r="Z8" i="122" s="1"/>
  <c r="JE62" i="122"/>
  <c r="JB62" i="122"/>
  <c r="KA62" i="122"/>
  <c r="JA62" i="122"/>
  <c r="IW62" i="122"/>
  <c r="JT62" i="122"/>
  <c r="JQ62" i="122"/>
  <c r="JI62" i="122"/>
  <c r="JV62" i="122"/>
  <c r="KD62" i="122"/>
  <c r="JG62" i="122"/>
  <c r="JR62" i="122"/>
  <c r="JK62" i="122"/>
  <c r="IP62" i="122"/>
  <c r="JS62" i="122"/>
  <c r="IZ62" i="122"/>
  <c r="JU62" i="122"/>
  <c r="IY62" i="122"/>
  <c r="JW62" i="122"/>
  <c r="JJ62" i="122"/>
  <c r="JZ62" i="122"/>
  <c r="IT62" i="122"/>
  <c r="JC62" i="122"/>
  <c r="JP62" i="122"/>
  <c r="IR62" i="122"/>
  <c r="JH62" i="122"/>
  <c r="IU62" i="122"/>
  <c r="KC62" i="122"/>
  <c r="IV62" i="122"/>
  <c r="JO62" i="122"/>
  <c r="KB62" i="122"/>
  <c r="IQ62" i="122"/>
  <c r="IX62" i="122"/>
  <c r="IS62" i="122"/>
  <c r="JN62" i="122"/>
  <c r="JD62" i="122"/>
  <c r="JL62" i="122"/>
  <c r="JF62" i="122"/>
  <c r="JY62" i="122"/>
  <c r="JX62" i="122"/>
  <c r="IO62" i="122"/>
  <c r="JM62" i="122"/>
  <c r="JK57" i="122"/>
  <c r="KA57" i="122"/>
  <c r="JX57" i="122"/>
  <c r="IW57" i="122"/>
  <c r="JS57" i="122"/>
  <c r="JP57" i="122"/>
  <c r="JG57" i="122"/>
  <c r="JA57" i="122"/>
  <c r="JL57" i="122"/>
  <c r="IT57" i="122"/>
  <c r="JC57" i="122"/>
  <c r="JZ57" i="122"/>
  <c r="IS57" i="122"/>
  <c r="KC57" i="122"/>
  <c r="JE57" i="122"/>
  <c r="JF57" i="122"/>
  <c r="JW57" i="122"/>
  <c r="IP57" i="122"/>
  <c r="IZ57" i="122"/>
  <c r="IQ57" i="122"/>
  <c r="JT57" i="122"/>
  <c r="JI57" i="122"/>
  <c r="IX57" i="122"/>
  <c r="JJ57" i="122"/>
  <c r="JH57" i="122"/>
  <c r="JR57" i="122"/>
  <c r="KD57" i="122"/>
  <c r="JY57" i="122"/>
  <c r="JB57" i="122"/>
  <c r="JU57" i="122"/>
  <c r="IR57" i="122"/>
  <c r="JO57" i="122"/>
  <c r="IY57" i="122"/>
  <c r="JN57" i="122"/>
  <c r="JQ57" i="122"/>
  <c r="JM57" i="122"/>
  <c r="JD57" i="122"/>
  <c r="JV57" i="122"/>
  <c r="KB57" i="122"/>
  <c r="IO57" i="122"/>
  <c r="IV57" i="122"/>
  <c r="IU57" i="122"/>
  <c r="JW83" i="122"/>
  <c r="IQ83" i="122"/>
  <c r="JN83" i="122"/>
  <c r="JQ83" i="122"/>
  <c r="IU83" i="122"/>
  <c r="JG83" i="122"/>
  <c r="JZ83" i="122"/>
  <c r="IX83" i="122"/>
  <c r="JK83" i="122"/>
  <c r="IS83" i="122"/>
  <c r="IY83" i="122"/>
  <c r="JD83" i="122"/>
  <c r="IO83" i="122"/>
  <c r="JX83" i="122"/>
  <c r="JY83" i="122"/>
  <c r="JI83" i="122"/>
  <c r="KB83" i="122"/>
  <c r="JH83" i="122"/>
  <c r="IP83" i="122"/>
  <c r="JF83" i="122"/>
  <c r="IR83" i="122"/>
  <c r="JC83" i="122"/>
  <c r="JP83" i="122"/>
  <c r="JO83" i="122"/>
  <c r="IZ83" i="122"/>
  <c r="JL83" i="122"/>
  <c r="JU83" i="122"/>
  <c r="JB83" i="122"/>
  <c r="JE83" i="122"/>
  <c r="JR83" i="122"/>
  <c r="KA83" i="122"/>
  <c r="JA83" i="122"/>
  <c r="JV83" i="122"/>
  <c r="IV83" i="122"/>
  <c r="IW83" i="122"/>
  <c r="IT83" i="122"/>
  <c r="KC83" i="122"/>
  <c r="KD83" i="122"/>
  <c r="JM83" i="122"/>
  <c r="JT83" i="122"/>
  <c r="JS83" i="122"/>
  <c r="JJ83" i="122"/>
  <c r="IX70" i="122"/>
  <c r="JR70" i="122"/>
  <c r="JA70" i="122"/>
  <c r="IR70" i="122"/>
  <c r="IP70" i="122"/>
  <c r="KA70" i="122"/>
  <c r="JG70" i="122"/>
  <c r="JV70" i="122"/>
  <c r="JS70" i="122"/>
  <c r="IS70" i="122"/>
  <c r="JF70" i="122"/>
  <c r="JH70" i="122"/>
  <c r="JK70" i="122"/>
  <c r="JN70" i="122"/>
  <c r="IW70" i="122"/>
  <c r="JI70" i="122"/>
  <c r="JW70" i="122"/>
  <c r="JT70" i="122"/>
  <c r="IT70" i="122"/>
  <c r="JU70" i="122"/>
  <c r="JX70" i="122"/>
  <c r="JY70" i="122"/>
  <c r="IU70" i="122"/>
  <c r="JE70" i="122"/>
  <c r="IV70" i="122"/>
  <c r="IQ70" i="122"/>
  <c r="IZ70" i="122"/>
  <c r="JO70" i="122"/>
  <c r="JP70" i="122"/>
  <c r="IY70" i="122"/>
  <c r="JQ70" i="122"/>
  <c r="JL70" i="122"/>
  <c r="IO70" i="122"/>
  <c r="KC70" i="122"/>
  <c r="JD70" i="122"/>
  <c r="JZ70" i="122"/>
  <c r="JM70" i="122"/>
  <c r="KB70" i="122"/>
  <c r="JB70" i="122"/>
  <c r="JC70" i="122"/>
  <c r="JJ70" i="122"/>
  <c r="KD70" i="122"/>
  <c r="JC77" i="122"/>
  <c r="JI77" i="122"/>
  <c r="JV77" i="122"/>
  <c r="KC77" i="122"/>
  <c r="JN77" i="122"/>
  <c r="IQ77" i="122"/>
  <c r="JE77" i="122"/>
  <c r="IR77" i="122"/>
  <c r="JM77" i="122"/>
  <c r="JL77" i="122"/>
  <c r="JR77" i="122"/>
  <c r="JD77" i="122"/>
  <c r="KD77" i="122"/>
  <c r="IU77" i="122"/>
  <c r="JS77" i="122"/>
  <c r="JZ77" i="122"/>
  <c r="JX77" i="122"/>
  <c r="JJ77" i="122"/>
  <c r="IY77" i="122"/>
  <c r="KA77" i="122"/>
  <c r="IT77" i="122"/>
  <c r="JY77" i="122"/>
  <c r="JQ77" i="122"/>
  <c r="IW77" i="122"/>
  <c r="JU77" i="122"/>
  <c r="JA77" i="122"/>
  <c r="JT77" i="122"/>
  <c r="IP77" i="122"/>
  <c r="JB77" i="122"/>
  <c r="IO77" i="122"/>
  <c r="JG77" i="122"/>
  <c r="JK77" i="122"/>
  <c r="JO77" i="122"/>
  <c r="KB77" i="122"/>
  <c r="JH77" i="122"/>
  <c r="IV77" i="122"/>
  <c r="JP77" i="122"/>
  <c r="JW77" i="122"/>
  <c r="IZ77" i="122"/>
  <c r="IX77" i="122"/>
  <c r="IS77" i="122"/>
  <c r="JF77" i="122"/>
  <c r="JJ59" i="122"/>
  <c r="JZ59" i="122"/>
  <c r="JG59" i="122"/>
  <c r="JM59" i="122"/>
  <c r="JK59" i="122"/>
  <c r="JF59" i="122"/>
  <c r="JT59" i="122"/>
  <c r="IU59" i="122"/>
  <c r="KA59" i="122"/>
  <c r="JW59" i="122"/>
  <c r="IY59" i="122"/>
  <c r="IO59" i="122"/>
  <c r="JE59" i="122"/>
  <c r="IS59" i="122"/>
  <c r="JH59" i="122"/>
  <c r="KC59" i="122"/>
  <c r="JS59" i="122"/>
  <c r="JD59" i="122"/>
  <c r="IR59" i="122"/>
  <c r="KB59" i="122"/>
  <c r="JQ59" i="122"/>
  <c r="IQ59" i="122"/>
  <c r="JI59" i="122"/>
  <c r="IZ59" i="122"/>
  <c r="IW59" i="122"/>
  <c r="JX59" i="122"/>
  <c r="JV59" i="122"/>
  <c r="IX59" i="122"/>
  <c r="JC59" i="122"/>
  <c r="JA59" i="122"/>
  <c r="IP59" i="122"/>
  <c r="JO59" i="122"/>
  <c r="JN59" i="122"/>
  <c r="JB59" i="122"/>
  <c r="JL59" i="122"/>
  <c r="JR59" i="122"/>
  <c r="IV59" i="122"/>
  <c r="KD59" i="122"/>
  <c r="JY59" i="122"/>
  <c r="JP59" i="122"/>
  <c r="IT59" i="122"/>
  <c r="JU59" i="122"/>
  <c r="JS84" i="122"/>
  <c r="JT84" i="122"/>
  <c r="KA84" i="122"/>
  <c r="JB84" i="122"/>
  <c r="JG84" i="122"/>
  <c r="JV84" i="122"/>
  <c r="JD84" i="122"/>
  <c r="IV84" i="122"/>
  <c r="KC84" i="122"/>
  <c r="IO84" i="122"/>
  <c r="IP84" i="122"/>
  <c r="IT84" i="122"/>
  <c r="KB84" i="122"/>
  <c r="IR84" i="122"/>
  <c r="IU84" i="122"/>
  <c r="IQ84" i="122"/>
  <c r="JY84" i="122"/>
  <c r="IS84" i="122"/>
  <c r="JC84" i="122"/>
  <c r="JQ84" i="122"/>
  <c r="JX84" i="122"/>
  <c r="JH84" i="122"/>
  <c r="JO84" i="122"/>
  <c r="JZ84" i="122"/>
  <c r="JR84" i="122"/>
  <c r="KD84" i="122"/>
  <c r="JM84" i="122"/>
  <c r="JP84" i="122"/>
  <c r="JA84" i="122"/>
  <c r="JK84" i="122"/>
  <c r="JL84" i="122"/>
  <c r="JW84" i="122"/>
  <c r="JI84" i="122"/>
  <c r="JE84" i="122"/>
  <c r="JN84" i="122"/>
  <c r="IW84" i="122"/>
  <c r="JU84" i="122"/>
  <c r="IX84" i="122"/>
  <c r="IY84" i="122"/>
  <c r="JJ84" i="122"/>
  <c r="IZ84" i="122"/>
  <c r="JF84" i="122"/>
  <c r="JT56" i="122"/>
  <c r="IY56" i="122"/>
  <c r="JV56" i="122"/>
  <c r="JI56" i="122"/>
  <c r="JF56" i="122"/>
  <c r="KB56" i="122"/>
  <c r="JP56" i="122"/>
  <c r="IT56" i="122"/>
  <c r="JB56" i="122"/>
  <c r="JD56" i="122"/>
  <c r="IW56" i="122"/>
  <c r="KD56" i="122"/>
  <c r="JQ56" i="122"/>
  <c r="IV56" i="122"/>
  <c r="JN56" i="122"/>
  <c r="JK56" i="122"/>
  <c r="IZ56" i="122"/>
  <c r="KA56" i="122"/>
  <c r="JG56" i="122"/>
  <c r="JE56" i="122"/>
  <c r="JW56" i="122"/>
  <c r="JX56" i="122"/>
  <c r="IO56" i="122"/>
  <c r="JM56" i="122"/>
  <c r="JR56" i="122"/>
  <c r="IX56" i="122"/>
  <c r="KC56" i="122"/>
  <c r="JL56" i="122"/>
  <c r="IU56" i="122"/>
  <c r="IQ56" i="122"/>
  <c r="JO56" i="122"/>
  <c r="IP56" i="122"/>
  <c r="JY56" i="122"/>
  <c r="JS56" i="122"/>
  <c r="JJ56" i="122"/>
  <c r="IR56" i="122"/>
  <c r="JH56" i="122"/>
  <c r="JA56" i="122"/>
  <c r="IS56" i="122"/>
  <c r="JU56" i="122"/>
  <c r="JZ56" i="122"/>
  <c r="JC56" i="122"/>
  <c r="JX69" i="122"/>
  <c r="JI69" i="122"/>
  <c r="KA69" i="122"/>
  <c r="IU69" i="122"/>
  <c r="JY69" i="122"/>
  <c r="JA69" i="122"/>
  <c r="JT69" i="122"/>
  <c r="IZ69" i="122"/>
  <c r="IO69" i="122"/>
  <c r="IW69" i="122"/>
  <c r="JE69" i="122"/>
  <c r="JR69" i="122"/>
  <c r="JV69" i="122"/>
  <c r="JS69" i="122"/>
  <c r="KB69" i="122"/>
  <c r="JZ69" i="122"/>
  <c r="JQ69" i="122"/>
  <c r="JB69" i="122"/>
  <c r="IQ69" i="122"/>
  <c r="JO69" i="122"/>
  <c r="KD69" i="122"/>
  <c r="JK69" i="122"/>
  <c r="IR69" i="122"/>
  <c r="JF69" i="122"/>
  <c r="JM69" i="122"/>
  <c r="JC69" i="122"/>
  <c r="JU69" i="122"/>
  <c r="KC69" i="122"/>
  <c r="JH69" i="122"/>
  <c r="IP69" i="122"/>
  <c r="JW69" i="122"/>
  <c r="IT69" i="122"/>
  <c r="IX69" i="122"/>
  <c r="JP69" i="122"/>
  <c r="JG69" i="122"/>
  <c r="JN69" i="122"/>
  <c r="JJ69" i="122"/>
  <c r="IV69" i="122"/>
  <c r="JL69" i="122"/>
  <c r="IY69" i="122"/>
  <c r="IS69" i="122"/>
  <c r="JD69" i="122"/>
  <c r="IU60" i="122"/>
  <c r="JH60" i="122"/>
  <c r="IR60" i="122"/>
  <c r="JG60" i="122"/>
  <c r="JY60" i="122"/>
  <c r="JW60" i="122"/>
  <c r="IS60" i="122"/>
  <c r="JM60" i="122"/>
  <c r="JB60" i="122"/>
  <c r="KA60" i="122"/>
  <c r="JD60" i="122"/>
  <c r="JP60" i="122"/>
  <c r="JI60" i="122"/>
  <c r="JV60" i="122"/>
  <c r="KC60" i="122"/>
  <c r="IT60" i="122"/>
  <c r="JQ60" i="122"/>
  <c r="JK60" i="122"/>
  <c r="IQ60" i="122"/>
  <c r="JN60" i="122"/>
  <c r="KB60" i="122"/>
  <c r="JF60" i="122"/>
  <c r="IY60" i="122"/>
  <c r="JO60" i="122"/>
  <c r="IP60" i="122"/>
  <c r="KD60" i="122"/>
  <c r="IX60" i="122"/>
  <c r="JS60" i="122"/>
  <c r="JX60" i="122"/>
  <c r="JL60" i="122"/>
  <c r="IZ60" i="122"/>
  <c r="JE60" i="122"/>
  <c r="JJ60" i="122"/>
  <c r="IV60" i="122"/>
  <c r="JA60" i="122"/>
  <c r="IO60" i="122"/>
  <c r="IW60" i="122"/>
  <c r="JU60" i="122"/>
  <c r="JZ60" i="122"/>
  <c r="JC60" i="122"/>
  <c r="JT60" i="122"/>
  <c r="JR60" i="122"/>
  <c r="JQ76" i="122"/>
  <c r="IS76" i="122"/>
  <c r="JP76" i="122"/>
  <c r="IW76" i="122"/>
  <c r="JO76" i="122"/>
  <c r="JA76" i="122"/>
  <c r="JS76" i="122"/>
  <c r="IP76" i="122"/>
  <c r="JW76" i="122"/>
  <c r="JJ76" i="122"/>
  <c r="JK76" i="122"/>
  <c r="JY76" i="122"/>
  <c r="IQ76" i="122"/>
  <c r="IY76" i="122"/>
  <c r="IR76" i="122"/>
  <c r="KC76" i="122"/>
  <c r="JD76" i="122"/>
  <c r="JF76" i="122"/>
  <c r="JE76" i="122"/>
  <c r="IX76" i="122"/>
  <c r="JN76" i="122"/>
  <c r="IU76" i="122"/>
  <c r="JV76" i="122"/>
  <c r="JR76" i="122"/>
  <c r="IZ76" i="122"/>
  <c r="JH76" i="122"/>
  <c r="JL76" i="122"/>
  <c r="JU76" i="122"/>
  <c r="JX76" i="122"/>
  <c r="KA76" i="122"/>
  <c r="KB76" i="122"/>
  <c r="JC76" i="122"/>
  <c r="JM76" i="122"/>
  <c r="KD76" i="122"/>
  <c r="IO76" i="122"/>
  <c r="JT76" i="122"/>
  <c r="JZ76" i="122"/>
  <c r="IV76" i="122"/>
  <c r="JG76" i="122"/>
  <c r="IT76" i="122"/>
  <c r="JB76" i="122"/>
  <c r="JI76" i="122"/>
  <c r="JW61" i="122"/>
  <c r="JB61" i="122"/>
  <c r="JV61" i="122"/>
  <c r="JS61" i="122"/>
  <c r="JI61" i="122"/>
  <c r="JA61" i="122"/>
  <c r="IO61" i="122"/>
  <c r="IU61" i="122"/>
  <c r="IV61" i="122"/>
  <c r="IT61" i="122"/>
  <c r="KD61" i="122"/>
  <c r="JE61" i="122"/>
  <c r="JZ61" i="122"/>
  <c r="JL61" i="122"/>
  <c r="IZ61" i="122"/>
  <c r="IR61" i="122"/>
  <c r="JC61" i="122"/>
  <c r="JT61" i="122"/>
  <c r="JG61" i="122"/>
  <c r="JP61" i="122"/>
  <c r="KC61" i="122"/>
  <c r="KB61" i="122"/>
  <c r="JJ61" i="122"/>
  <c r="JM61" i="122"/>
  <c r="JQ61" i="122"/>
  <c r="IY61" i="122"/>
  <c r="JO61" i="122"/>
  <c r="JF61" i="122"/>
  <c r="IW61" i="122"/>
  <c r="JK61" i="122"/>
  <c r="IX61" i="122"/>
  <c r="IQ61" i="122"/>
  <c r="JU61" i="122"/>
  <c r="JY61" i="122"/>
  <c r="JH61" i="122"/>
  <c r="KA61" i="122"/>
  <c r="IP61" i="122"/>
  <c r="IS61" i="122"/>
  <c r="JN61" i="122"/>
  <c r="JD61" i="122"/>
  <c r="JX61" i="122"/>
  <c r="JR61" i="122"/>
  <c r="IX58" i="122"/>
  <c r="IO58" i="122"/>
  <c r="IW58" i="122"/>
  <c r="JB58" i="122"/>
  <c r="JX58" i="122"/>
  <c r="JF58" i="122"/>
  <c r="JS58" i="122"/>
  <c r="JC58" i="122"/>
  <c r="KB58" i="122"/>
  <c r="IU58" i="122"/>
  <c r="JE58" i="122"/>
  <c r="JQ58" i="122"/>
  <c r="JN58" i="122"/>
  <c r="JG58" i="122"/>
  <c r="JY58" i="122"/>
  <c r="KC58" i="122"/>
  <c r="IS58" i="122"/>
  <c r="IY58" i="122"/>
  <c r="IP58" i="122"/>
  <c r="JI58" i="122"/>
  <c r="KD58" i="122"/>
  <c r="JK58" i="122"/>
  <c r="JH58" i="122"/>
  <c r="JT58" i="122"/>
  <c r="JL58" i="122"/>
  <c r="KA58" i="122"/>
  <c r="JV58" i="122"/>
  <c r="JM58" i="122"/>
  <c r="JO58" i="122"/>
  <c r="IT58" i="122"/>
  <c r="IR58" i="122"/>
  <c r="JW58" i="122"/>
  <c r="JA58" i="122"/>
  <c r="IZ58" i="122"/>
  <c r="JP58" i="122"/>
  <c r="IQ58" i="122"/>
  <c r="JU58" i="122"/>
  <c r="IV58" i="122"/>
  <c r="JZ58" i="122"/>
  <c r="JR58" i="122"/>
  <c r="JD58" i="122"/>
  <c r="JJ58" i="122"/>
  <c r="JW75" i="122"/>
  <c r="JO75" i="122"/>
  <c r="JV75" i="122"/>
  <c r="JC75" i="122"/>
  <c r="JS75" i="122"/>
  <c r="JD75" i="122"/>
  <c r="JE75" i="122"/>
  <c r="JM75" i="122"/>
  <c r="JB75" i="122"/>
  <c r="IS75" i="122"/>
  <c r="IV75" i="122"/>
  <c r="KA75" i="122"/>
  <c r="IZ75" i="122"/>
  <c r="JH75" i="122"/>
  <c r="JN75" i="122"/>
  <c r="IX75" i="122"/>
  <c r="JG75" i="122"/>
  <c r="JP75" i="122"/>
  <c r="JZ75" i="122"/>
  <c r="KC75" i="122"/>
  <c r="IP75" i="122"/>
  <c r="JA75" i="122"/>
  <c r="IR75" i="122"/>
  <c r="JK75" i="122"/>
  <c r="JF75" i="122"/>
  <c r="JI75" i="122"/>
  <c r="JQ75" i="122"/>
  <c r="IU75" i="122"/>
  <c r="IO75" i="122"/>
  <c r="JR75" i="122"/>
  <c r="JX75" i="122"/>
  <c r="KD75" i="122"/>
  <c r="IY75" i="122"/>
  <c r="KB75" i="122"/>
  <c r="JU75" i="122"/>
  <c r="IW75" i="122"/>
  <c r="JY75" i="122"/>
  <c r="JT75" i="122"/>
  <c r="JJ75" i="122"/>
  <c r="JL75" i="122"/>
  <c r="IT75" i="122"/>
  <c r="IQ75" i="122"/>
  <c r="JH67" i="122"/>
  <c r="JK67" i="122"/>
  <c r="JF67" i="122"/>
  <c r="IO67" i="122"/>
  <c r="IR67" i="122"/>
  <c r="JS67" i="122"/>
  <c r="JN67" i="122"/>
  <c r="IT67" i="122"/>
  <c r="KC67" i="122"/>
  <c r="JV67" i="122"/>
  <c r="IX67" i="122"/>
  <c r="IU67" i="122"/>
  <c r="JO67" i="122"/>
  <c r="KD67" i="122"/>
  <c r="JT67" i="122"/>
  <c r="JR67" i="122"/>
  <c r="KA67" i="122"/>
  <c r="JP67" i="122"/>
  <c r="IQ67" i="122"/>
  <c r="IP67" i="122"/>
  <c r="KB67" i="122"/>
  <c r="JE67" i="122"/>
  <c r="JA67" i="122"/>
  <c r="JG67" i="122"/>
  <c r="JU67" i="122"/>
  <c r="JD67" i="122"/>
  <c r="JM67" i="122"/>
  <c r="JB67" i="122"/>
  <c r="JW67" i="122"/>
  <c r="JX67" i="122"/>
  <c r="JZ67" i="122"/>
  <c r="IS67" i="122"/>
  <c r="IY67" i="122"/>
  <c r="IZ67" i="122"/>
  <c r="JY67" i="122"/>
  <c r="JQ67" i="122"/>
  <c r="IW67" i="122"/>
  <c r="JI67" i="122"/>
  <c r="JL67" i="122"/>
  <c r="JC67" i="122"/>
  <c r="IV67" i="122"/>
  <c r="JJ67" i="122"/>
  <c r="IU64" i="122"/>
  <c r="JD64" i="122"/>
  <c r="JV64" i="122"/>
  <c r="JN64" i="122"/>
  <c r="KD64" i="122"/>
  <c r="JQ64" i="122"/>
  <c r="JY64" i="122"/>
  <c r="JW64" i="122"/>
  <c r="JH64" i="122"/>
  <c r="JS64" i="122"/>
  <c r="IX64" i="122"/>
  <c r="JU64" i="122"/>
  <c r="JB64" i="122"/>
  <c r="IZ64" i="122"/>
  <c r="IQ64" i="122"/>
  <c r="JE64" i="122"/>
  <c r="JF64" i="122"/>
  <c r="JG64" i="122"/>
  <c r="JX64" i="122"/>
  <c r="JK64" i="122"/>
  <c r="IW64" i="122"/>
  <c r="IS64" i="122"/>
  <c r="KC64" i="122"/>
  <c r="IY64" i="122"/>
  <c r="JA64" i="122"/>
  <c r="JZ64" i="122"/>
  <c r="IP64" i="122"/>
  <c r="JP64" i="122"/>
  <c r="IT64" i="122"/>
  <c r="KB64" i="122"/>
  <c r="JM64" i="122"/>
  <c r="JJ64" i="122"/>
  <c r="IR64" i="122"/>
  <c r="KA64" i="122"/>
  <c r="IO64" i="122"/>
  <c r="IV64" i="122"/>
  <c r="JR64" i="122"/>
  <c r="JT64" i="122"/>
  <c r="JC64" i="122"/>
  <c r="JO64" i="122"/>
  <c r="JI64" i="122"/>
  <c r="JL64" i="122"/>
  <c r="IW74" i="122"/>
  <c r="JE74" i="122"/>
  <c r="JB74" i="122"/>
  <c r="JH74" i="122"/>
  <c r="JA74" i="122"/>
  <c r="IY74" i="122"/>
  <c r="JW74" i="122"/>
  <c r="JT74" i="122"/>
  <c r="IT74" i="122"/>
  <c r="JF74" i="122"/>
  <c r="JV74" i="122"/>
  <c r="IV74" i="122"/>
  <c r="IS74" i="122"/>
  <c r="JQ74" i="122"/>
  <c r="KB74" i="122"/>
  <c r="KC74" i="122"/>
  <c r="JN74" i="122"/>
  <c r="JS74" i="122"/>
  <c r="JR74" i="122"/>
  <c r="IU74" i="122"/>
  <c r="JK74" i="122"/>
  <c r="JC74" i="122"/>
  <c r="IR74" i="122"/>
  <c r="KA74" i="122"/>
  <c r="JO74" i="122"/>
  <c r="JG74" i="122"/>
  <c r="JJ74" i="122"/>
  <c r="JD74" i="122"/>
  <c r="KD74" i="122"/>
  <c r="JX74" i="122"/>
  <c r="JM74" i="122"/>
  <c r="JL74" i="122"/>
  <c r="JU74" i="122"/>
  <c r="JY74" i="122"/>
  <c r="IP74" i="122"/>
  <c r="JZ74" i="122"/>
  <c r="JI74" i="122"/>
  <c r="JP74" i="122"/>
  <c r="IO74" i="122"/>
  <c r="IQ74" i="122"/>
  <c r="IZ74" i="122"/>
  <c r="IX74" i="122"/>
  <c r="JF80" i="122"/>
  <c r="JU80" i="122"/>
  <c r="IS80" i="122"/>
  <c r="JC80" i="122"/>
  <c r="JO80" i="122"/>
  <c r="JB80" i="122"/>
  <c r="JW80" i="122"/>
  <c r="IW80" i="122"/>
  <c r="IZ80" i="122"/>
  <c r="IT80" i="122"/>
  <c r="IX80" i="122"/>
  <c r="IR80" i="122"/>
  <c r="JT80" i="122"/>
  <c r="JX80" i="122"/>
  <c r="IO80" i="122"/>
  <c r="JK80" i="122"/>
  <c r="IV80" i="122"/>
  <c r="KC80" i="122"/>
  <c r="KD80" i="122"/>
  <c r="IY80" i="122"/>
  <c r="IQ80" i="122"/>
  <c r="JS80" i="122"/>
  <c r="JJ80" i="122"/>
  <c r="JI80" i="122"/>
  <c r="JP80" i="122"/>
  <c r="JV80" i="122"/>
  <c r="JZ80" i="122"/>
  <c r="JN80" i="122"/>
  <c r="JG80" i="122"/>
  <c r="IP80" i="122"/>
  <c r="JH80" i="122"/>
  <c r="IU80" i="122"/>
  <c r="JQ80" i="122"/>
  <c r="JM80" i="122"/>
  <c r="JY80" i="122"/>
  <c r="JR80" i="122"/>
  <c r="JD80" i="122"/>
  <c r="KA80" i="122"/>
  <c r="JA80" i="122"/>
  <c r="KB80" i="122"/>
  <c r="JL80" i="122"/>
  <c r="JE80" i="122"/>
  <c r="JW81" i="122"/>
  <c r="IO81" i="122"/>
  <c r="JR81" i="122"/>
  <c r="JL81" i="122"/>
  <c r="JA81" i="122"/>
  <c r="JT81" i="122"/>
  <c r="KD81" i="122"/>
  <c r="IW81" i="122"/>
  <c r="JD81" i="122"/>
  <c r="JX81" i="122"/>
  <c r="IU81" i="122"/>
  <c r="JI81" i="122"/>
  <c r="JG81" i="122"/>
  <c r="IY81" i="122"/>
  <c r="JH81" i="122"/>
  <c r="IV81" i="122"/>
  <c r="JB81" i="122"/>
  <c r="JE81" i="122"/>
  <c r="JY81" i="122"/>
  <c r="KC81" i="122"/>
  <c r="IS81" i="122"/>
  <c r="JM81" i="122"/>
  <c r="JK81" i="122"/>
  <c r="JJ81" i="122"/>
  <c r="IP81" i="122"/>
  <c r="JN81" i="122"/>
  <c r="JU81" i="122"/>
  <c r="JP81" i="122"/>
  <c r="IQ81" i="122"/>
  <c r="JZ81" i="122"/>
  <c r="IZ81" i="122"/>
  <c r="JS81" i="122"/>
  <c r="IX81" i="122"/>
  <c r="JF81" i="122"/>
  <c r="JO81" i="122"/>
  <c r="JC81" i="122"/>
  <c r="JV81" i="122"/>
  <c r="JQ81" i="122"/>
  <c r="IR81" i="122"/>
  <c r="IT81" i="122"/>
  <c r="KB81" i="122"/>
  <c r="KA81" i="122"/>
  <c r="IV66" i="122"/>
  <c r="IQ66" i="122"/>
  <c r="KD66" i="122"/>
  <c r="JY66" i="122"/>
  <c r="IX66" i="122"/>
  <c r="IP66" i="122"/>
  <c r="JC66" i="122"/>
  <c r="KA66" i="122"/>
  <c r="JN66" i="122"/>
  <c r="JF66" i="122"/>
  <c r="JK66" i="122"/>
  <c r="JZ66" i="122"/>
  <c r="JT66" i="122"/>
  <c r="JB66" i="122"/>
  <c r="JW66" i="122"/>
  <c r="IR66" i="122"/>
  <c r="IT66" i="122"/>
  <c r="KB66" i="122"/>
  <c r="JM66" i="122"/>
  <c r="JD66" i="122"/>
  <c r="JL66" i="122"/>
  <c r="JQ66" i="122"/>
  <c r="JG66" i="122"/>
  <c r="JJ66" i="122"/>
  <c r="KC66" i="122"/>
  <c r="JH66" i="122"/>
  <c r="JP66" i="122"/>
  <c r="JA66" i="122"/>
  <c r="JO66" i="122"/>
  <c r="IW66" i="122"/>
  <c r="JX66" i="122"/>
  <c r="IZ66" i="122"/>
  <c r="JE66" i="122"/>
  <c r="IO66" i="122"/>
  <c r="IY66" i="122"/>
  <c r="IS66" i="122"/>
  <c r="JR66" i="122"/>
  <c r="JS66" i="122"/>
  <c r="JU66" i="122"/>
  <c r="IU66" i="122"/>
  <c r="JV66" i="122"/>
  <c r="JI66" i="122"/>
  <c r="JZ86" i="122"/>
  <c r="IP86" i="122"/>
  <c r="JT86" i="122"/>
  <c r="IT86" i="122"/>
  <c r="JE86" i="122"/>
  <c r="IO86" i="122"/>
  <c r="IU86" i="122"/>
  <c r="JM86" i="122"/>
  <c r="IX86" i="122"/>
  <c r="JG86" i="122"/>
  <c r="JS86" i="122"/>
  <c r="JH86" i="122"/>
  <c r="IZ86" i="122"/>
  <c r="JA86" i="122"/>
  <c r="KD86" i="122"/>
  <c r="IV86" i="122"/>
  <c r="JD86" i="122"/>
  <c r="JF86" i="122"/>
  <c r="IY86" i="122"/>
  <c r="IW86" i="122"/>
  <c r="JQ86" i="122"/>
  <c r="JN86" i="122"/>
  <c r="JK86" i="122"/>
  <c r="JO86" i="122"/>
  <c r="JU86" i="122"/>
  <c r="JX86" i="122"/>
  <c r="KC86" i="122"/>
  <c r="IR86" i="122"/>
  <c r="JJ86" i="122"/>
  <c r="JR86" i="122"/>
  <c r="JB86" i="122"/>
  <c r="KA86" i="122"/>
  <c r="JI86" i="122"/>
  <c r="JC86" i="122"/>
  <c r="JY86" i="122"/>
  <c r="JW86" i="122"/>
  <c r="JL86" i="122"/>
  <c r="IQ86" i="122"/>
  <c r="KB86" i="122"/>
  <c r="IS86" i="122"/>
  <c r="JP86" i="122"/>
  <c r="JV86" i="122"/>
  <c r="IN12" i="122"/>
  <c r="Z12" i="122" s="1"/>
  <c r="IN61" i="122" l="1"/>
  <c r="II61" i="122" s="1"/>
  <c r="IN63" i="122"/>
  <c r="AB14" i="122" s="1"/>
  <c r="IN66" i="122"/>
  <c r="AB17" i="122" s="1"/>
  <c r="IN56" i="122"/>
  <c r="AB7" i="122" s="1"/>
  <c r="IN62" i="122"/>
  <c r="AB13" i="122" s="1"/>
  <c r="IN88" i="122"/>
  <c r="IH88" i="122" s="1"/>
  <c r="IN89" i="122"/>
  <c r="IH89" i="122" s="1"/>
  <c r="IN64" i="122"/>
  <c r="II64" i="122" s="1"/>
  <c r="IN69" i="122"/>
  <c r="IH69" i="122" s="1"/>
  <c r="IN77" i="122"/>
  <c r="II77" i="122" s="1"/>
  <c r="IN57" i="122"/>
  <c r="II57" i="122" s="1"/>
  <c r="IN85" i="122"/>
  <c r="II85" i="122" s="1"/>
  <c r="IN91" i="122"/>
  <c r="IH91" i="122" s="1"/>
  <c r="IN65" i="122"/>
  <c r="IH65" i="122" s="1"/>
  <c r="IN81" i="122"/>
  <c r="II81" i="122" s="1"/>
  <c r="IN67" i="122"/>
  <c r="AB18" i="122" s="1"/>
  <c r="IN60" i="122"/>
  <c r="IH60" i="122" s="1"/>
  <c r="IN73" i="122"/>
  <c r="II73" i="122" s="1"/>
  <c r="IN68" i="122"/>
  <c r="IH68" i="122" s="1"/>
  <c r="IN78" i="122"/>
  <c r="II78" i="122" s="1"/>
  <c r="IN79" i="122"/>
  <c r="II79" i="122" s="1"/>
  <c r="IN70" i="122"/>
  <c r="AB21" i="122" s="1"/>
  <c r="IN72" i="122"/>
  <c r="IH72" i="122" s="1"/>
  <c r="IN74" i="122"/>
  <c r="AB25" i="122" s="1"/>
  <c r="IN59" i="122"/>
  <c r="IH59" i="122" s="1"/>
  <c r="IN83" i="122"/>
  <c r="IH83" i="122" s="1"/>
  <c r="IN82" i="122"/>
  <c r="II82" i="122" s="1"/>
  <c r="IN86" i="122"/>
  <c r="II86" i="122" s="1"/>
  <c r="IN80" i="122"/>
  <c r="II80" i="122" s="1"/>
  <c r="IN75" i="122"/>
  <c r="IH75" i="122" s="1"/>
  <c r="IN76" i="122"/>
  <c r="IH76" i="122" s="1"/>
  <c r="IN84" i="122"/>
  <c r="IH84" i="122" s="1"/>
  <c r="IN87" i="122"/>
  <c r="IH87" i="122" s="1"/>
  <c r="IN71" i="122"/>
  <c r="IH71" i="122" s="1"/>
  <c r="IN90" i="122"/>
  <c r="IN58" i="122"/>
  <c r="II67" i="122" l="1"/>
  <c r="AB32" i="122"/>
  <c r="IH85" i="122"/>
  <c r="II56" i="122"/>
  <c r="II74" i="122"/>
  <c r="II84" i="122"/>
  <c r="IH63" i="122"/>
  <c r="IH70" i="122"/>
  <c r="II68" i="122"/>
  <c r="II89" i="122"/>
  <c r="AB15" i="122"/>
  <c r="AB37" i="122"/>
  <c r="AB16" i="122"/>
  <c r="AB20" i="122"/>
  <c r="AB33" i="122"/>
  <c r="AB23" i="122"/>
  <c r="AB30" i="122"/>
  <c r="II76" i="122"/>
  <c r="AB10" i="122"/>
  <c r="II91" i="122"/>
  <c r="II87" i="122"/>
  <c r="IH82" i="122"/>
  <c r="IH57" i="122"/>
  <c r="AB40" i="122"/>
  <c r="IH81" i="122"/>
  <c r="II66" i="122"/>
  <c r="AB27" i="122"/>
  <c r="AB19" i="122"/>
  <c r="AB8" i="122"/>
  <c r="IH66" i="122"/>
  <c r="II72" i="122"/>
  <c r="IH86" i="122"/>
  <c r="AB29" i="122"/>
  <c r="IH74" i="122"/>
  <c r="IH67" i="122"/>
  <c r="IH64" i="122"/>
  <c r="AB35" i="122"/>
  <c r="IH78" i="122"/>
  <c r="AB36" i="122"/>
  <c r="IH56" i="122"/>
  <c r="II63" i="122"/>
  <c r="AB31" i="122"/>
  <c r="AB11" i="122"/>
  <c r="IH62" i="122"/>
  <c r="AB38" i="122"/>
  <c r="IH80" i="122"/>
  <c r="II59" i="122"/>
  <c r="II60" i="122"/>
  <c r="AB42" i="122"/>
  <c r="II69" i="122"/>
  <c r="IH61" i="122"/>
  <c r="AB12" i="122"/>
  <c r="IH79" i="122"/>
  <c r="II62" i="122"/>
  <c r="IH73" i="122"/>
  <c r="AB34" i="122"/>
  <c r="AB28" i="122"/>
  <c r="AB22" i="122"/>
  <c r="AB26" i="122"/>
  <c r="II83" i="122"/>
  <c r="II65" i="122"/>
  <c r="IH77" i="122"/>
  <c r="AB39" i="122"/>
  <c r="II70" i="122"/>
  <c r="II71" i="122"/>
  <c r="II75" i="122"/>
  <c r="AB24" i="122"/>
  <c r="II88" i="122"/>
  <c r="AB9" i="122"/>
  <c r="II58" i="122"/>
  <c r="IH58" i="122"/>
  <c r="AB41" i="122"/>
  <c r="IH90" i="122"/>
  <c r="II90" i="122"/>
  <c r="J8" i="127" l="1"/>
  <c r="L8" i="127" s="1"/>
  <c r="I8" i="127"/>
  <c r="G8" i="127"/>
  <c r="H8" i="127"/>
  <c r="F8" i="127"/>
  <c r="J7" i="127"/>
  <c r="L7" i="127" s="1"/>
  <c r="F7" i="127"/>
  <c r="H7" i="127"/>
  <c r="I7" i="127"/>
  <c r="G7" i="127"/>
  <c r="J9" i="127"/>
  <c r="L9" i="127" s="1"/>
  <c r="F9" i="127"/>
  <c r="G9" i="127"/>
  <c r="H9" i="127"/>
  <c r="I9" i="127"/>
  <c r="FL42" i="122"/>
  <c r="FJ42" i="122"/>
  <c r="FK42" i="122"/>
  <c r="EM42" i="122"/>
  <c r="FQ42" i="122"/>
  <c r="EU42" i="122"/>
  <c r="DW42" i="122"/>
  <c r="EQ42" i="122"/>
  <c r="DX42" i="122"/>
  <c r="EV42" i="122"/>
  <c r="FP42" i="122"/>
  <c r="EO42" i="122"/>
  <c r="EL42" i="122"/>
  <c r="EP42" i="122"/>
  <c r="EN42" i="122" l="1"/>
  <c r="FI42" i="122"/>
  <c r="J10" i="127"/>
  <c r="L10" i="127" s="1"/>
  <c r="H10" i="127"/>
  <c r="I10" i="127"/>
  <c r="GE4" i="122" s="1"/>
  <c r="G10" i="127"/>
  <c r="F10" i="127"/>
  <c r="F11" i="127"/>
  <c r="H11" i="127"/>
  <c r="I11" i="127"/>
  <c r="G11" i="127"/>
  <c r="J11" i="127"/>
  <c r="L11" i="127" s="1"/>
  <c r="FP38" i="122"/>
  <c r="EM41" i="122"/>
  <c r="DW40" i="122"/>
  <c r="DW38" i="122"/>
  <c r="FL38" i="122"/>
  <c r="FQ40" i="122"/>
  <c r="EU39" i="122"/>
  <c r="FK40" i="122"/>
  <c r="EV38" i="122"/>
  <c r="EQ38" i="122"/>
  <c r="FP40" i="122"/>
  <c r="FL39" i="122"/>
  <c r="EO41" i="122"/>
  <c r="EP41" i="122"/>
  <c r="EV40" i="122"/>
  <c r="EU41" i="122"/>
  <c r="FJ41" i="122"/>
  <c r="EO39" i="122"/>
  <c r="DW39" i="122"/>
  <c r="EP40" i="122"/>
  <c r="EM39" i="122"/>
  <c r="DX41" i="122"/>
  <c r="EO38" i="122"/>
  <c r="FQ38" i="122"/>
  <c r="EU40" i="122"/>
  <c r="FK38" i="122"/>
  <c r="FJ39" i="122"/>
  <c r="FQ39" i="122"/>
  <c r="FJ38" i="122"/>
  <c r="EQ41" i="122"/>
  <c r="DW41" i="122"/>
  <c r="FP39" i="122"/>
  <c r="EO40" i="122"/>
  <c r="FK39" i="122"/>
  <c r="DX38" i="122"/>
  <c r="FQ41" i="122"/>
  <c r="EU38" i="122"/>
  <c r="FL40" i="122"/>
  <c r="EL39" i="122"/>
  <c r="DX39" i="122"/>
  <c r="FJ40" i="122"/>
  <c r="EL38" i="122"/>
  <c r="DX40" i="122"/>
  <c r="FK41" i="122"/>
  <c r="EL41" i="122"/>
  <c r="EV41" i="122"/>
  <c r="FP41" i="122"/>
  <c r="FL41" i="122"/>
  <c r="EV39" i="122"/>
  <c r="EP39" i="122"/>
  <c r="EL40" i="122"/>
  <c r="EP38" i="122"/>
  <c r="EQ40" i="122"/>
  <c r="EM38" i="122"/>
  <c r="EM40" i="122"/>
  <c r="EQ39" i="122"/>
  <c r="FL37" i="122"/>
  <c r="FJ37" i="122"/>
  <c r="EU29" i="122"/>
  <c r="EU17" i="122"/>
  <c r="EU32" i="122"/>
  <c r="EL37" i="122"/>
  <c r="EU20" i="122"/>
  <c r="EQ36" i="122"/>
  <c r="EU22" i="122"/>
  <c r="FQ36" i="122"/>
  <c r="EU33" i="122"/>
  <c r="EU28" i="122"/>
  <c r="EU8" i="122"/>
  <c r="EU16" i="122"/>
  <c r="EU30" i="122"/>
  <c r="DW36" i="122"/>
  <c r="FQ37" i="122"/>
  <c r="EP37" i="122"/>
  <c r="EV36" i="122"/>
  <c r="DX37" i="122"/>
  <c r="EP36" i="122"/>
  <c r="DW37" i="122"/>
  <c r="EU18" i="122"/>
  <c r="EM37" i="122"/>
  <c r="FK36" i="122"/>
  <c r="EU27" i="122"/>
  <c r="EU13" i="122"/>
  <c r="EU9" i="122"/>
  <c r="EU36" i="122"/>
  <c r="EU19" i="122"/>
  <c r="FK37" i="122"/>
  <c r="EO37" i="122"/>
  <c r="EU11" i="122"/>
  <c r="EU12" i="122"/>
  <c r="EU35" i="122"/>
  <c r="EO36" i="122"/>
  <c r="EU10" i="122"/>
  <c r="EU25" i="122"/>
  <c r="FP37" i="122"/>
  <c r="EV37" i="122"/>
  <c r="EU23" i="122"/>
  <c r="EU24" i="122"/>
  <c r="EU15" i="122"/>
  <c r="EU14" i="122"/>
  <c r="DX36" i="122"/>
  <c r="EM36" i="122"/>
  <c r="EU7" i="122"/>
  <c r="EU34" i="122"/>
  <c r="EU31" i="122"/>
  <c r="EQ37" i="122"/>
  <c r="FL36" i="122"/>
  <c r="EU21" i="122"/>
  <c r="EU37" i="122"/>
  <c r="EU26" i="122"/>
  <c r="FJ36" i="122"/>
  <c r="EL36" i="122"/>
  <c r="FP36" i="122"/>
  <c r="FI40" i="122" l="1"/>
  <c r="FI38" i="122"/>
  <c r="EN38" i="122"/>
  <c r="EN36" i="122"/>
  <c r="EN40" i="122"/>
  <c r="EN39" i="122"/>
  <c r="FI39" i="122"/>
  <c r="EN41" i="122"/>
  <c r="FI37" i="122"/>
  <c r="EN37" i="122"/>
  <c r="FI41" i="122"/>
  <c r="FI36" i="122"/>
  <c r="DW34" i="122"/>
  <c r="EM35" i="122"/>
  <c r="EV22" i="122"/>
  <c r="EO18" i="122"/>
  <c r="EM16" i="122"/>
  <c r="FL23" i="122"/>
  <c r="FL22" i="122"/>
  <c r="EO24" i="122"/>
  <c r="EO17" i="122"/>
  <c r="EO32" i="122"/>
  <c r="FL8" i="122"/>
  <c r="EL12" i="122"/>
  <c r="FQ15" i="122"/>
  <c r="FJ25" i="122"/>
  <c r="FP23" i="122"/>
  <c r="EM15" i="122"/>
  <c r="EQ14" i="122"/>
  <c r="EM11" i="122"/>
  <c r="DX20" i="122"/>
  <c r="FJ15" i="122"/>
  <c r="EQ32" i="122"/>
  <c r="DX9" i="122"/>
  <c r="EV11" i="122"/>
  <c r="FJ8" i="122"/>
  <c r="FL28" i="122"/>
  <c r="EM28" i="122"/>
  <c r="EO26" i="122"/>
  <c r="EL15" i="122"/>
  <c r="EM32" i="122"/>
  <c r="EL34" i="122"/>
  <c r="EL31" i="122"/>
  <c r="EL8" i="122"/>
  <c r="EQ19" i="122"/>
  <c r="FK14" i="122"/>
  <c r="FQ34" i="122"/>
  <c r="EV24" i="122"/>
  <c r="EL9" i="122"/>
  <c r="FJ21" i="122"/>
  <c r="EP9" i="122"/>
  <c r="DX28" i="122"/>
  <c r="FK16" i="122"/>
  <c r="EQ23" i="122"/>
  <c r="EM30" i="122"/>
  <c r="DW10" i="122"/>
  <c r="EV35" i="122"/>
  <c r="FL9" i="122"/>
  <c r="EM12" i="122"/>
  <c r="EQ30" i="122"/>
  <c r="DX27" i="122"/>
  <c r="EV32" i="122"/>
  <c r="FQ16" i="122"/>
  <c r="FL27" i="122"/>
  <c r="EQ27" i="122"/>
  <c r="FQ25" i="122"/>
  <c r="FQ18" i="122"/>
  <c r="FP18" i="122"/>
  <c r="FQ33" i="122"/>
  <c r="DW28" i="122"/>
  <c r="EL30" i="122"/>
  <c r="FK33" i="122"/>
  <c r="FQ13" i="122"/>
  <c r="FQ14" i="122"/>
  <c r="FK25" i="122"/>
  <c r="EP27" i="122"/>
  <c r="FK28" i="122"/>
  <c r="EV29" i="122"/>
  <c r="FP19" i="122"/>
  <c r="FL12" i="122"/>
  <c r="EO7" i="122"/>
  <c r="EP10" i="122"/>
  <c r="FL16" i="122"/>
  <c r="FK13" i="122"/>
  <c r="EL18" i="122"/>
  <c r="EO15" i="122"/>
  <c r="FJ7" i="122"/>
  <c r="FL17" i="122"/>
  <c r="EV14" i="122"/>
  <c r="DW13" i="122"/>
  <c r="FQ7" i="122"/>
  <c r="FQ26" i="122"/>
  <c r="FP14" i="122"/>
  <c r="DW9" i="122"/>
  <c r="EP21" i="122"/>
  <c r="EV28" i="122"/>
  <c r="DX30" i="122"/>
  <c r="EQ10" i="122"/>
  <c r="EO22" i="122"/>
  <c r="FP32" i="122"/>
  <c r="EV8" i="122"/>
  <c r="EM29" i="122"/>
  <c r="EQ26" i="122"/>
  <c r="DW23" i="122"/>
  <c r="FP29" i="122"/>
  <c r="EM10" i="122"/>
  <c r="EO33" i="122"/>
  <c r="DX29" i="122"/>
  <c r="DW17" i="122"/>
  <c r="EM25" i="122"/>
  <c r="FJ33" i="122"/>
  <c r="DX33" i="122"/>
  <c r="FK32" i="122"/>
  <c r="EP29" i="122"/>
  <c r="FP33" i="122"/>
  <c r="EL29" i="122"/>
  <c r="EM24" i="122"/>
  <c r="DX24" i="122"/>
  <c r="EQ20" i="122"/>
  <c r="EM31" i="122"/>
  <c r="FP10" i="122"/>
  <c r="FJ23" i="122"/>
  <c r="EM14" i="122"/>
  <c r="EP13" i="122"/>
  <c r="FJ27" i="122"/>
  <c r="EV19" i="122"/>
  <c r="FL31" i="122"/>
  <c r="DW29" i="122"/>
  <c r="EL7" i="122"/>
  <c r="FQ35" i="122"/>
  <c r="FP21" i="122"/>
  <c r="FP34" i="122"/>
  <c r="EO34" i="122"/>
  <c r="DW19" i="122"/>
  <c r="EP22" i="122"/>
  <c r="FL19" i="122"/>
  <c r="FL32" i="122"/>
  <c r="EL14" i="122"/>
  <c r="FQ9" i="122"/>
  <c r="FQ29" i="122"/>
  <c r="EV20" i="122"/>
  <c r="EP31" i="122"/>
  <c r="FK20" i="122"/>
  <c r="FK26" i="122"/>
  <c r="FL34" i="122"/>
  <c r="FL29" i="122"/>
  <c r="EV16" i="122"/>
  <c r="DX25" i="122"/>
  <c r="FQ21" i="122"/>
  <c r="FQ10" i="122"/>
  <c r="FJ31" i="122"/>
  <c r="EQ34" i="122"/>
  <c r="FK18" i="122"/>
  <c r="EM13" i="122"/>
  <c r="FL21" i="122"/>
  <c r="EV12" i="122"/>
  <c r="EM20" i="122"/>
  <c r="FP20" i="122"/>
  <c r="DW18" i="122"/>
  <c r="EV9" i="122"/>
  <c r="EP32" i="122"/>
  <c r="FQ12" i="122"/>
  <c r="DW21" i="122"/>
  <c r="EM26" i="122"/>
  <c r="DW11" i="122"/>
  <c r="EP18" i="122"/>
  <c r="FK12" i="122"/>
  <c r="EV23" i="122"/>
  <c r="EP25" i="122"/>
  <c r="DX14" i="122"/>
  <c r="FJ22" i="122"/>
  <c r="FQ30" i="122"/>
  <c r="DX16" i="122"/>
  <c r="FQ22" i="122"/>
  <c r="EO21" i="122"/>
  <c r="DW27" i="122"/>
  <c r="DX31" i="122"/>
  <c r="EP20" i="122"/>
  <c r="EP17" i="122"/>
  <c r="EQ24" i="122"/>
  <c r="EM9" i="122"/>
  <c r="FJ11" i="122"/>
  <c r="EM27" i="122"/>
  <c r="FP35" i="122"/>
  <c r="EM21" i="122"/>
  <c r="DW14" i="122"/>
  <c r="FP11" i="122"/>
  <c r="FL26" i="122"/>
  <c r="EV34" i="122"/>
  <c r="DW31" i="122"/>
  <c r="FJ28" i="122"/>
  <c r="FL14" i="122"/>
  <c r="EP35" i="122"/>
  <c r="FP24" i="122"/>
  <c r="FL18" i="122"/>
  <c r="DW26" i="122"/>
  <c r="EM23" i="122"/>
  <c r="DW15" i="122"/>
  <c r="DX8" i="122"/>
  <c r="EL19" i="122"/>
  <c r="FP16" i="122"/>
  <c r="EQ7" i="122"/>
  <c r="FP25" i="122"/>
  <c r="EV10" i="122"/>
  <c r="FK31" i="122"/>
  <c r="FJ24" i="122"/>
  <c r="EP15" i="122"/>
  <c r="EL21" i="122"/>
  <c r="FJ10" i="122"/>
  <c r="EO23" i="122"/>
  <c r="FQ11" i="122"/>
  <c r="FK34" i="122"/>
  <c r="EV26" i="122"/>
  <c r="FQ19" i="122"/>
  <c r="FJ9" i="122"/>
  <c r="FJ17" i="122"/>
  <c r="FP28" i="122"/>
  <c r="EV30" i="122"/>
  <c r="DX17" i="122"/>
  <c r="EP19" i="122"/>
  <c r="EQ21" i="122"/>
  <c r="EV33" i="122"/>
  <c r="DW22" i="122"/>
  <c r="FP12" i="122"/>
  <c r="EQ25" i="122"/>
  <c r="DX11" i="122"/>
  <c r="EO25" i="122"/>
  <c r="EO10" i="122"/>
  <c r="FK9" i="122"/>
  <c r="DX21" i="122"/>
  <c r="FQ23" i="122"/>
  <c r="EL11" i="122"/>
  <c r="FQ27" i="122"/>
  <c r="DX34" i="122"/>
  <c r="EL23" i="122"/>
  <c r="FJ19" i="122"/>
  <c r="FQ32" i="122"/>
  <c r="EV15" i="122"/>
  <c r="EP12" i="122"/>
  <c r="EQ11" i="122"/>
  <c r="FK23" i="122"/>
  <c r="EP34" i="122"/>
  <c r="EQ33" i="122"/>
  <c r="FJ29" i="122"/>
  <c r="FK35" i="122"/>
  <c r="EQ12" i="122"/>
  <c r="FJ18" i="122"/>
  <c r="FK15" i="122"/>
  <c r="DX7" i="122"/>
  <c r="EQ17" i="122"/>
  <c r="EO12" i="122"/>
  <c r="FL15" i="122"/>
  <c r="FP13" i="122"/>
  <c r="EO19" i="122"/>
  <c r="FJ13" i="122"/>
  <c r="FL7" i="122"/>
  <c r="FQ28" i="122"/>
  <c r="EL17" i="122"/>
  <c r="EP33" i="122"/>
  <c r="FJ30" i="122"/>
  <c r="DW12" i="122"/>
  <c r="FJ32" i="122"/>
  <c r="EL22" i="122"/>
  <c r="FK29" i="122"/>
  <c r="FQ20" i="122"/>
  <c r="EQ8" i="122"/>
  <c r="EM17" i="122"/>
  <c r="EP24" i="122"/>
  <c r="FJ14" i="122"/>
  <c r="FK30" i="122"/>
  <c r="EO11" i="122"/>
  <c r="EL35" i="122"/>
  <c r="DW24" i="122"/>
  <c r="EO30" i="122"/>
  <c r="EM22" i="122"/>
  <c r="EL33" i="122"/>
  <c r="FQ31" i="122"/>
  <c r="DX18" i="122"/>
  <c r="EM8" i="122"/>
  <c r="DX26" i="122"/>
  <c r="EP23" i="122"/>
  <c r="FL24" i="122"/>
  <c r="EM18" i="122"/>
  <c r="FP22" i="122"/>
  <c r="EO35" i="122"/>
  <c r="EO16" i="122"/>
  <c r="DX35" i="122"/>
  <c r="FJ12" i="122"/>
  <c r="DW16" i="122"/>
  <c r="EL24" i="122"/>
  <c r="FP8" i="122"/>
  <c r="EP8" i="122"/>
  <c r="EM19" i="122"/>
  <c r="FK7" i="122"/>
  <c r="FL20" i="122"/>
  <c r="FK17" i="122"/>
  <c r="DW33" i="122"/>
  <c r="EL27" i="122"/>
  <c r="EV13" i="122"/>
  <c r="FK22" i="122"/>
  <c r="DW20" i="122"/>
  <c r="DX19" i="122"/>
  <c r="EP16" i="122"/>
  <c r="FL30" i="122"/>
  <c r="FK21" i="122"/>
  <c r="FK10" i="122"/>
  <c r="FL10" i="122"/>
  <c r="EQ28" i="122"/>
  <c r="EL10" i="122"/>
  <c r="DX32" i="122"/>
  <c r="EP11" i="122"/>
  <c r="FP17" i="122"/>
  <c r="EO8" i="122"/>
  <c r="FP30" i="122"/>
  <c r="EM7" i="122"/>
  <c r="EM34" i="122"/>
  <c r="EQ35" i="122"/>
  <c r="DX15" i="122"/>
  <c r="FL25" i="122"/>
  <c r="EV18" i="122"/>
  <c r="EQ31" i="122"/>
  <c r="EV27" i="122"/>
  <c r="FP27" i="122"/>
  <c r="EO13" i="122"/>
  <c r="FJ34" i="122"/>
  <c r="EM33" i="122"/>
  <c r="FL35" i="122"/>
  <c r="FQ8" i="122"/>
  <c r="FL11" i="122"/>
  <c r="FQ24" i="122"/>
  <c r="FK19" i="122"/>
  <c r="EV7" i="122"/>
  <c r="DW7" i="122"/>
  <c r="FK8" i="122"/>
  <c r="EO27" i="122"/>
  <c r="EP7" i="122"/>
  <c r="FP15" i="122"/>
  <c r="EP30" i="122"/>
  <c r="EO31" i="122"/>
  <c r="EL13" i="122"/>
  <c r="DX23" i="122"/>
  <c r="EP28" i="122"/>
  <c r="EP14" i="122"/>
  <c r="DX10" i="122"/>
  <c r="FJ26" i="122"/>
  <c r="EV31" i="122"/>
  <c r="EL25" i="122"/>
  <c r="EL32" i="122"/>
  <c r="EV17" i="122"/>
  <c r="DW8" i="122"/>
  <c r="EO28" i="122"/>
  <c r="FP9" i="122"/>
  <c r="FL33" i="122"/>
  <c r="EP26" i="122"/>
  <c r="EQ16" i="122"/>
  <c r="EQ15" i="122"/>
  <c r="EQ13" i="122"/>
  <c r="EO14" i="122"/>
  <c r="FK24" i="122"/>
  <c r="FJ16" i="122"/>
  <c r="FP7" i="122"/>
  <c r="FK11" i="122"/>
  <c r="EO9" i="122"/>
  <c r="DW30" i="122"/>
  <c r="DW25" i="122"/>
  <c r="EV21" i="122"/>
  <c r="EQ18" i="122"/>
  <c r="EL26" i="122"/>
  <c r="DX12" i="122"/>
  <c r="EL16" i="122"/>
  <c r="EV25" i="122"/>
  <c r="EQ9" i="122"/>
  <c r="FL13" i="122"/>
  <c r="FJ35" i="122"/>
  <c r="DX13" i="122"/>
  <c r="FK27" i="122"/>
  <c r="EL20" i="122"/>
  <c r="EQ29" i="122"/>
  <c r="DW35" i="122"/>
  <c r="FP31" i="122"/>
  <c r="DX22" i="122"/>
  <c r="FJ20" i="122"/>
  <c r="DW32" i="122"/>
  <c r="EQ22" i="122"/>
  <c r="EL28" i="122"/>
  <c r="EO29" i="122"/>
  <c r="FP26" i="122"/>
  <c r="EO20" i="122"/>
  <c r="FQ17" i="122"/>
  <c r="EN13" i="122" l="1"/>
  <c r="EN25" i="122"/>
  <c r="FI35" i="122"/>
  <c r="FI31" i="122"/>
  <c r="EN8" i="122"/>
  <c r="FI13" i="122"/>
  <c r="EN32" i="122"/>
  <c r="EN34" i="122"/>
  <c r="FI34" i="122"/>
  <c r="EN17" i="122"/>
  <c r="FI11" i="122"/>
  <c r="FI25" i="122"/>
  <c r="EN35" i="122"/>
  <c r="EN14" i="122"/>
  <c r="FI10" i="122"/>
  <c r="FI21" i="122"/>
  <c r="EN18" i="122"/>
  <c r="DX5" i="122"/>
  <c r="FI18" i="122"/>
  <c r="EN31" i="122"/>
  <c r="EN15" i="122"/>
  <c r="FI9" i="122"/>
  <c r="FI26" i="122"/>
  <c r="EN23" i="122"/>
  <c r="FI16" i="122"/>
  <c r="EN7" i="122"/>
  <c r="EN16" i="122"/>
  <c r="EN11" i="122"/>
  <c r="EN27" i="122"/>
  <c r="FI14" i="122"/>
  <c r="FI20" i="122"/>
  <c r="EN28" i="122"/>
  <c r="EN22" i="122"/>
  <c r="FI19" i="122"/>
  <c r="FI12" i="122"/>
  <c r="EN9" i="122"/>
  <c r="EN12" i="122"/>
  <c r="FI24" i="122"/>
  <c r="EN21" i="122"/>
  <c r="FI17" i="122"/>
  <c r="EN33" i="122"/>
  <c r="EN26" i="122"/>
  <c r="DW5" i="122"/>
  <c r="FI33" i="122"/>
  <c r="EN10" i="122"/>
  <c r="EM5" i="122"/>
  <c r="EN29" i="122"/>
  <c r="EN30" i="122"/>
  <c r="FI28" i="122"/>
  <c r="FI22" i="122"/>
  <c r="FI32" i="122"/>
  <c r="FI27" i="122"/>
  <c r="EN19" i="122"/>
  <c r="FI15" i="122"/>
  <c r="FI8" i="122"/>
  <c r="FI7" i="122"/>
  <c r="FI23" i="122"/>
  <c r="FI30" i="122"/>
  <c r="EN24" i="122"/>
  <c r="FI29" i="122"/>
  <c r="EL5" i="122"/>
  <c r="EN20" i="122"/>
</calcChain>
</file>

<file path=xl/comments1.xml><?xml version="1.0" encoding="utf-8"?>
<comments xmlns="http://schemas.openxmlformats.org/spreadsheetml/2006/main">
  <authors>
    <author>Angel Jonatan</author>
  </authors>
  <commentList>
    <comment ref="DG1" authorId="0" shapeId="0">
      <text>
        <r>
          <rPr>
            <b/>
            <sz val="9"/>
            <color indexed="81"/>
            <rFont val="Tahoma"/>
            <family val="2"/>
          </rPr>
          <t>Angel Jonatan:</t>
        </r>
        <r>
          <rPr>
            <sz val="9"/>
            <color indexed="81"/>
            <rFont val="Tahoma"/>
            <family val="2"/>
          </rPr>
          <t xml:space="preserve">
True = escala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Angel Jonatan:</t>
        </r>
        <r>
          <rPr>
            <sz val="9"/>
            <color indexed="81"/>
            <rFont val="Tahoma"/>
            <family val="2"/>
          </rPr>
          <t xml:space="preserve">
Inserta en Prueba la posicion actual, y la ACTUALIZA a medida que cambia.</t>
        </r>
      </text>
    </comment>
    <comment ref="DG4" authorId="0" shapeId="0">
      <text>
        <r>
          <rPr>
            <b/>
            <sz val="9"/>
            <color indexed="81"/>
            <rFont val="Tahoma"/>
            <family val="2"/>
          </rPr>
          <t>Angel Jonatan:</t>
        </r>
        <r>
          <rPr>
            <sz val="9"/>
            <color indexed="81"/>
            <rFont val="Tahoma"/>
            <family val="2"/>
          </rPr>
          <t xml:space="preserve">
True = precio</t>
        </r>
      </text>
    </comment>
    <comment ref="AR5" authorId="0" shapeId="0">
      <text>
        <r>
          <rPr>
            <b/>
            <sz val="9"/>
            <color indexed="81"/>
            <rFont val="Tahoma"/>
            <family val="2"/>
          </rPr>
          <t>Angel Jonatan:</t>
        </r>
        <r>
          <rPr>
            <sz val="9"/>
            <color indexed="81"/>
            <rFont val="Tahoma"/>
            <family val="2"/>
          </rPr>
          <t xml:space="preserve">
Los valores en Prueba pasan a ser igual a una planilla que comienza desde cero.
Se usa SOLO CeroTest o SOLO PosActual.</t>
        </r>
      </text>
    </comment>
    <comment ref="HH5" authorId="0" shapeId="0">
      <text>
        <r>
          <rPr>
            <b/>
            <sz val="9"/>
            <color indexed="81"/>
            <rFont val="Tahoma"/>
            <family val="2"/>
          </rPr>
          <t>Angel Jonatan:</t>
        </r>
        <r>
          <rPr>
            <sz val="9"/>
            <color indexed="81"/>
            <rFont val="Tahoma"/>
            <family val="2"/>
          </rPr>
          <t xml:space="preserve">
Bull de puts + bear de calls</t>
        </r>
      </text>
    </comment>
    <comment ref="FS6" authorId="0" shapeId="0">
      <text>
        <r>
          <rPr>
            <b/>
            <sz val="9"/>
            <color indexed="81"/>
            <rFont val="Tahoma"/>
            <family val="2"/>
          </rPr>
          <t>Angel Jonatan:</t>
        </r>
        <r>
          <rPr>
            <sz val="9"/>
            <color indexed="81"/>
            <rFont val="Tahoma"/>
            <family val="2"/>
          </rPr>
          <t xml:space="preserve">
Soy titular del put.
Lo ejerzo y COMPRO los papeles a mercado.</t>
        </r>
      </text>
    </comment>
    <comment ref="FT6" authorId="0" shapeId="0">
      <text>
        <r>
          <rPr>
            <b/>
            <sz val="9"/>
            <color indexed="81"/>
            <rFont val="Tahoma"/>
            <family val="2"/>
          </rPr>
          <t>Angel Jonatan:</t>
        </r>
        <r>
          <rPr>
            <sz val="9"/>
            <color indexed="81"/>
            <rFont val="Tahoma"/>
            <family val="2"/>
          </rPr>
          <t xml:space="preserve">
Debo el put.
Me ejercen y VENDO los papeles a mercado.</t>
        </r>
      </text>
    </comment>
  </commentList>
</comments>
</file>

<file path=xl/connections.xml><?xml version="1.0" encoding="utf-8"?>
<connections xmlns="http://schemas.openxmlformats.org/spreadsheetml/2006/main">
  <connection id="1" name="Conexión11112" type="4" refreshedVersion="6" refreshOnLoad="1" saveData="1">
    <webPr sourceData="1" parsePre="1" consecutive="1" xl2000="1" url="http://clasico.rava.com/empresas/precioshistoricos.php?e=ADRGGAL"/>
  </connection>
  <connection id="2" name="Conexión1113" type="4" refreshedVersion="6" refreshOnLoad="1" saveData="1">
    <webPr sourceData="1" parsePre="1" consecutive="1" xl2000="1" url="https://clasico.rava.com/empresas/precioshistoricos.php?e=GGAL"/>
  </connection>
</connections>
</file>

<file path=xl/sharedStrings.xml><?xml version="1.0" encoding="utf-8"?>
<sst xmlns="http://schemas.openxmlformats.org/spreadsheetml/2006/main" count="1105" uniqueCount="704">
  <si>
    <t>Hoy es</t>
  </si>
  <si>
    <t>Angel Jonatán Siracusa</t>
  </si>
  <si>
    <t>TIPO</t>
  </si>
  <si>
    <t>GGAL</t>
  </si>
  <si>
    <t>Base</t>
  </si>
  <si>
    <t>BONOS</t>
  </si>
  <si>
    <t>ACCIONES</t>
  </si>
  <si>
    <t>TABLAS AUXILIARES</t>
  </si>
  <si>
    <t>Id</t>
  </si>
  <si>
    <t>VAR. %</t>
  </si>
  <si>
    <t>CALL</t>
  </si>
  <si>
    <t>PUT</t>
  </si>
  <si>
    <t>%</t>
  </si>
  <si>
    <t>Sepa 1</t>
  </si>
  <si>
    <t>Sepa 3</t>
  </si>
  <si>
    <t>Sepa 6</t>
  </si>
  <si>
    <t>Plazo</t>
  </si>
  <si>
    <t>ID</t>
  </si>
  <si>
    <t>COMPRA</t>
  </si>
  <si>
    <t>VENTA</t>
  </si>
  <si>
    <t>OPERACIÓN</t>
  </si>
  <si>
    <t>MEJORA CONTINUA</t>
  </si>
  <si>
    <t>Fecha</t>
  </si>
  <si>
    <t>Autor</t>
  </si>
  <si>
    <t>Sugerencias de mejora</t>
  </si>
  <si>
    <t>Estado</t>
  </si>
  <si>
    <t>AJS</t>
  </si>
  <si>
    <t>CONTROL DE CAMBIOS</t>
  </si>
  <si>
    <t>Versión</t>
  </si>
  <si>
    <t>Cambios efectuados</t>
  </si>
  <si>
    <t>1.2</t>
  </si>
  <si>
    <t>Se cambia el numero de la version, para que este de acuerdo con la misma version de la herramienta "Cotizaciones".</t>
  </si>
  <si>
    <t>Var. %</t>
  </si>
  <si>
    <t>Opciones</t>
  </si>
  <si>
    <t>Primas</t>
  </si>
  <si>
    <t>Venc.</t>
  </si>
  <si>
    <t>Agregar Volatilidad Implícita a cada una de las bases y una hoja con la campana de Gauss para conocer hasta donde puede moverse el subyacente ante un eventual movimiento.</t>
  </si>
  <si>
    <t>1.4</t>
  </si>
  <si>
    <t>Se vuelve a cambiar el numero de la version, para que este de acuerdo con la misma version de la herramienta "Cotizaciones".</t>
  </si>
  <si>
    <t>A. Jonatán Siracusa</t>
  </si>
  <si>
    <t>Activo</t>
  </si>
  <si>
    <t>Delta</t>
  </si>
  <si>
    <t>Gamma</t>
  </si>
  <si>
    <t>Total</t>
  </si>
  <si>
    <t>Acciones</t>
  </si>
  <si>
    <t>Cotiz.</t>
  </si>
  <si>
    <t>PRECIO</t>
  </si>
  <si>
    <t>Maturity</t>
  </si>
  <si>
    <t>Tasa</t>
  </si>
  <si>
    <t>Divids.</t>
  </si>
  <si>
    <t>Precio</t>
  </si>
  <si>
    <t>Difs. $</t>
  </si>
  <si>
    <t>Difs. %</t>
  </si>
  <si>
    <t>Var.</t>
  </si>
  <si>
    <t>Teórica</t>
  </si>
  <si>
    <t>Ejercicio</t>
  </si>
  <si>
    <t>Oper.</t>
  </si>
  <si>
    <t>Cant.</t>
  </si>
  <si>
    <t>Var</t>
  </si>
  <si>
    <t>V.H.</t>
  </si>
  <si>
    <t>Último</t>
  </si>
  <si>
    <t>Vol.</t>
  </si>
  <si>
    <t>Inicio</t>
  </si>
  <si>
    <t>Final</t>
  </si>
  <si>
    <t>Suby.</t>
  </si>
  <si>
    <t>Mercado</t>
  </si>
  <si>
    <t>Al</t>
  </si>
  <si>
    <t>ESTADO</t>
  </si>
  <si>
    <t>LISTA DE OPCIONES</t>
  </si>
  <si>
    <t>Pend.</t>
  </si>
  <si>
    <t>Especie</t>
  </si>
  <si>
    <t>Acción</t>
  </si>
  <si>
    <t>Strike</t>
  </si>
  <si>
    <t>ARANCELES</t>
  </si>
  <si>
    <t>Concepto</t>
  </si>
  <si>
    <t>Arancel</t>
  </si>
  <si>
    <t>Derecho</t>
  </si>
  <si>
    <t>I.V.A.</t>
  </si>
  <si>
    <t>A</t>
  </si>
  <si>
    <t>BASE DE DATOS DE OPCIONES PARA SOLUCIONES AUTOMÁTICAS</t>
  </si>
  <si>
    <t>Último Precio</t>
  </si>
  <si>
    <t>Lotes 
Compra</t>
  </si>
  <si>
    <t>Precio Compra</t>
  </si>
  <si>
    <t>Precio Venta</t>
  </si>
  <si>
    <t>Lotes Venta</t>
  </si>
  <si>
    <t>Opers.</t>
  </si>
  <si>
    <t>Precio 
Último</t>
  </si>
  <si>
    <t>Precio 
Compra</t>
  </si>
  <si>
    <t>Precio 
Venta</t>
  </si>
  <si>
    <t>Volat.
Hist.</t>
  </si>
  <si>
    <t>ADR</t>
  </si>
  <si>
    <t>BASE</t>
  </si>
  <si>
    <t>TOTAL</t>
  </si>
  <si>
    <t>Cant_chars</t>
  </si>
  <si>
    <t>N°</t>
  </si>
  <si>
    <t>ok</t>
  </si>
  <si>
    <t>Inv</t>
  </si>
  <si>
    <t>1.</t>
  </si>
  <si>
    <t>TASAS, TICKERS OPCIONES y VENCIMIENTOS</t>
  </si>
  <si>
    <t>Ticker</t>
  </si>
  <si>
    <t>Volatilidad</t>
  </si>
  <si>
    <t>Dividend</t>
  </si>
  <si>
    <t>Tasa libre</t>
  </si>
  <si>
    <t>Histórica</t>
  </si>
  <si>
    <t>Yield</t>
  </si>
  <si>
    <t>Razón Social Ticker</t>
  </si>
  <si>
    <t>Vencimiento</t>
  </si>
  <si>
    <t>de riesgo</t>
  </si>
  <si>
    <t>2.</t>
  </si>
  <si>
    <t>REFERENCIAS ADRs</t>
  </si>
  <si>
    <t>Factor</t>
  </si>
  <si>
    <t>3.</t>
  </si>
  <si>
    <t>MÁRGENES DE GARANTÍA</t>
  </si>
  <si>
    <t>Cupo máximo</t>
  </si>
  <si>
    <t>Margen</t>
  </si>
  <si>
    <t>4.</t>
  </si>
  <si>
    <t>Total %</t>
  </si>
  <si>
    <t>DATOS A INGRESADOS DESDE BASE DE DATOS DE COTIZACIONES</t>
  </si>
  <si>
    <t>Costo</t>
  </si>
  <si>
    <t>SINTÉTICO COMPRADO</t>
  </si>
  <si>
    <t>SINTÉTICO VENDIDO</t>
  </si>
  <si>
    <t>plus 1</t>
  </si>
  <si>
    <t>plus 2</t>
  </si>
  <si>
    <t>Cpra</t>
  </si>
  <si>
    <t>Vta</t>
  </si>
  <si>
    <t>Mn</t>
  </si>
  <si>
    <t>MARIPOSA COMP. CALLS</t>
  </si>
  <si>
    <t>2-1+2</t>
  </si>
  <si>
    <t>1-1+1</t>
  </si>
  <si>
    <t>1-1+2</t>
  </si>
  <si>
    <t>2-1+1</t>
  </si>
  <si>
    <t>MARIPOSA COMP. PUTS</t>
  </si>
  <si>
    <t>LONG IRON BUTTERFLY</t>
  </si>
  <si>
    <t>AY24</t>
  </si>
  <si>
    <t>Pr. Ej.</t>
  </si>
  <si>
    <t>Prueba</t>
  </si>
  <si>
    <t>Ej.</t>
  </si>
  <si>
    <t>CALLS EN EL MERCADO</t>
  </si>
  <si>
    <t>PUTS EN EL MERCADO</t>
  </si>
  <si>
    <t>Hoy</t>
  </si>
  <si>
    <t>SubTs.</t>
  </si>
  <si>
    <t>3-1+3</t>
  </si>
  <si>
    <t>4-1+4</t>
  </si>
  <si>
    <t>Put</t>
  </si>
  <si>
    <t>Call</t>
  </si>
  <si>
    <t>Intra</t>
  </si>
  <si>
    <t>ESTILO</t>
  </si>
  <si>
    <t>Estrat</t>
  </si>
  <si>
    <t>EJECUTADOS</t>
  </si>
  <si>
    <t>CALLS</t>
  </si>
  <si>
    <t>PUTS</t>
  </si>
  <si>
    <t>por STRIKES</t>
  </si>
  <si>
    <t>Q Arrastre</t>
  </si>
  <si>
    <t>Res.Hoy</t>
  </si>
  <si>
    <t>Acum.</t>
  </si>
  <si>
    <t>PRUEBA</t>
  </si>
  <si>
    <t>Al venc.</t>
  </si>
  <si>
    <t>por %</t>
  </si>
  <si>
    <t>5-1+5</t>
  </si>
  <si>
    <t>6-1+6</t>
  </si>
  <si>
    <t>7-1+7</t>
  </si>
  <si>
    <t>Indice</t>
  </si>
  <si>
    <t>Menor</t>
  </si>
  <si>
    <t>Mayor</t>
  </si>
  <si>
    <t>T.anual</t>
  </si>
  <si>
    <t>Precios cartera</t>
  </si>
  <si>
    <t>Precios PRUEBA</t>
  </si>
  <si>
    <t>EN CARTERA</t>
  </si>
  <si>
    <t>ACTIVOS Y VENCIMIENTOS A OPERAR (solo ejercicio actual y siguiente)</t>
  </si>
  <si>
    <t>Ejercicios</t>
  </si>
  <si>
    <t>Modificar</t>
  </si>
  <si>
    <t>No modificar</t>
  </si>
  <si>
    <t>Precio prom.</t>
  </si>
  <si>
    <t>Cantidad en</t>
  </si>
  <si>
    <t>cartera CALL</t>
  </si>
  <si>
    <t>cartera PUT</t>
  </si>
  <si>
    <t>mercado CALL</t>
  </si>
  <si>
    <t>mercado PUT</t>
  </si>
  <si>
    <t>Con COMIS</t>
  </si>
  <si>
    <t>A Finish EJERCIDO</t>
  </si>
  <si>
    <t>CON COMISIONES</t>
  </si>
  <si>
    <t>A FINISH EJERCIDO</t>
  </si>
  <si>
    <t>Ej. C.</t>
  </si>
  <si>
    <t>Ej. V.</t>
  </si>
  <si>
    <t>C Neta</t>
  </si>
  <si>
    <t>$ / nom</t>
  </si>
  <si>
    <t>Tomar datos de Bolsuite</t>
  </si>
  <si>
    <t>DATOS PROVENIENTES DE BOLSUITE</t>
  </si>
  <si>
    <t>LAST</t>
  </si>
  <si>
    <t>CHANGE</t>
  </si>
  <si>
    <t>BIDSIZE</t>
  </si>
  <si>
    <t>ASKSIZE</t>
  </si>
  <si>
    <t>BID</t>
  </si>
  <si>
    <t>ASK</t>
  </si>
  <si>
    <t>NUMBEROFTRADES</t>
  </si>
  <si>
    <t>VOLUME</t>
  </si>
  <si>
    <t>Vol. Nom.</t>
  </si>
  <si>
    <t>Monto Oper.</t>
  </si>
  <si>
    <t>VALUEOPERATED</t>
  </si>
  <si>
    <t>; 0)</t>
  </si>
  <si>
    <t>Separación</t>
  </si>
  <si>
    <t>Total bases</t>
  </si>
  <si>
    <t>Fecha Hoy</t>
  </si>
  <si>
    <t>Dividendos</t>
  </si>
  <si>
    <t>Dólar CCL</t>
  </si>
  <si>
    <t>Filtro alarmas</t>
  </si>
  <si>
    <t>Bear c/ Calls</t>
  </si>
  <si>
    <t>Bull c/ Puts</t>
  </si>
  <si>
    <t>Bull c/ Calls</t>
  </si>
  <si>
    <t>Bear c/ Puts</t>
  </si>
  <si>
    <t>Bear Calls + Put</t>
  </si>
  <si>
    <t>GGAL-SPOT</t>
  </si>
  <si>
    <t>GGAL-24HS</t>
  </si>
  <si>
    <t>Opciones Gral</t>
  </si>
  <si>
    <t>Bases CALL</t>
  </si>
  <si>
    <t>manual</t>
  </si>
  <si>
    <t>Bases PUT</t>
  </si>
  <si>
    <t>AG</t>
  </si>
  <si>
    <t>RATIOS</t>
  </si>
  <si>
    <t>1) Crear hojas con Ticker y vencimiento</t>
  </si>
  <si>
    <t>2) Poner el nombre de la hoja en Ticker Activo y Venc. en Ej.</t>
  </si>
  <si>
    <t>3) Especificar nombres de las bases en cada hoja.</t>
  </si>
  <si>
    <t>4) Correr macro para aplicar los cambios a las bases.</t>
  </si>
  <si>
    <t>Comprar</t>
  </si>
  <si>
    <t>Vender</t>
  </si>
  <si>
    <t>Bull</t>
  </si>
  <si>
    <t>Compra</t>
  </si>
  <si>
    <t>Dem.</t>
  </si>
  <si>
    <t>Of.</t>
  </si>
  <si>
    <t>Venta</t>
  </si>
  <si>
    <t>Bear</t>
  </si>
  <si>
    <t>Web</t>
  </si>
  <si>
    <t>User</t>
  </si>
  <si>
    <t>Pass</t>
  </si>
  <si>
    <t>Gallo</t>
  </si>
  <si>
    <t>Rodi</t>
  </si>
  <si>
    <t>REGISTRO ARBITRAJES</t>
  </si>
  <si>
    <t>id</t>
  </si>
  <si>
    <t>dia</t>
  </si>
  <si>
    <t>hora</t>
  </si>
  <si>
    <t>oper</t>
  </si>
  <si>
    <t>activo</t>
  </si>
  <si>
    <t>estado</t>
  </si>
  <si>
    <t>comentarios</t>
  </si>
  <si>
    <t>gallito</t>
  </si>
  <si>
    <t>refresh</t>
  </si>
  <si>
    <t>Comitente</t>
  </si>
  <si>
    <t>comitente</t>
  </si>
  <si>
    <t>CANT</t>
  </si>
  <si>
    <t>plazo</t>
  </si>
  <si>
    <t>Volumen</t>
  </si>
  <si>
    <t>refreshPeriodico</t>
  </si>
  <si>
    <t>Cants.</t>
  </si>
  <si>
    <t>sinteticos, mariposas, bear + put, etc. con combobox para seleccionar cual proyectar en el grafico (como prueba, en otro color), y si se da el Ok, tmb ejecutar desde el DOM</t>
  </si>
  <si>
    <t>V.E. %</t>
  </si>
  <si>
    <t>ve</t>
  </si>
  <si>
    <t>CantOps.</t>
  </si>
  <si>
    <t>Prom. $ ($ / nom)</t>
  </si>
  <si>
    <t>Prom. Q / Op.</t>
  </si>
  <si>
    <t>Griegas</t>
  </si>
  <si>
    <t>cants</t>
  </si>
  <si>
    <t>V.E. $</t>
  </si>
  <si>
    <t>ViC %</t>
  </si>
  <si>
    <t>ViV %</t>
  </si>
  <si>
    <t>ViU %</t>
  </si>
  <si>
    <t>NO operar</t>
  </si>
  <si>
    <t>precio</t>
  </si>
  <si>
    <t>CantV</t>
  </si>
  <si>
    <t>PrecioV</t>
  </si>
  <si>
    <t>PrecioC</t>
  </si>
  <si>
    <t>CantC</t>
  </si>
  <si>
    <t>Auto-trading</t>
  </si>
  <si>
    <t>operar</t>
  </si>
  <si>
    <t>Ratio</t>
  </si>
  <si>
    <t>Ej tit x2</t>
  </si>
  <si>
    <t>Ej ven x2</t>
  </si>
  <si>
    <t>REGISTRO DE OPERACIONES EJECUTADAS</t>
  </si>
  <si>
    <t>Prima</t>
  </si>
  <si>
    <t>Bruto</t>
  </si>
  <si>
    <t>Neto</t>
  </si>
  <si>
    <t>Tipo</t>
  </si>
  <si>
    <t>Comentarios</t>
  </si>
  <si>
    <t>Aprendizaje</t>
  </si>
  <si>
    <t>Cant</t>
  </si>
  <si>
    <t>base</t>
  </si>
  <si>
    <t>cantPos</t>
  </si>
  <si>
    <t>ultRegBase</t>
  </si>
  <si>
    <t>saldoCant</t>
  </si>
  <si>
    <t>parcialCant</t>
  </si>
  <si>
    <t>parcialFlag</t>
  </si>
  <si>
    <t>precioProm</t>
  </si>
  <si>
    <t>cant</t>
  </si>
  <si>
    <t>prima</t>
  </si>
  <si>
    <t>neto</t>
  </si>
  <si>
    <t>tipo</t>
  </si>
  <si>
    <t>brut</t>
  </si>
  <si>
    <t>RESUMEN DE CANTIDADES Y PRECIOS - NETOS</t>
  </si>
  <si>
    <t>RESUMEN DE CANTIDADES Y PRECIOS - BRUTOS</t>
  </si>
  <si>
    <t>Usado para tabla de resultados</t>
  </si>
  <si>
    <t>RES. A FINISH POR STRIKES</t>
  </si>
  <si>
    <t>qCall:</t>
  </si>
  <si>
    <t>qPut:</t>
  </si>
  <si>
    <t>RESULTADOS A FINISH POR STRIKES</t>
  </si>
  <si>
    <t>ppNet</t>
  </si>
  <si>
    <t>ppBru</t>
  </si>
  <si>
    <t>PosActual</t>
  </si>
  <si>
    <t>Solo prueba</t>
  </si>
  <si>
    <t>Graf. solo prueba</t>
  </si>
  <si>
    <t>ACCION</t>
  </si>
  <si>
    <t>5) BORRAR de Cotizaciones las formulas que contienen un ticker falso en las ASK.1</t>
  </si>
  <si>
    <t>Escala</t>
  </si>
  <si>
    <t>Esc/bases</t>
  </si>
  <si>
    <t>Precio / %</t>
  </si>
  <si>
    <t>pcio / %</t>
  </si>
  <si>
    <t>Graf. Doble</t>
  </si>
  <si>
    <t>4.0F19</t>
  </si>
  <si>
    <t>Se comenta la parte de codigo que al calcular GGAL y APBR llama al Sub "buscarOperacionesYEjecutar"</t>
  </si>
  <si>
    <t>Lo compre bien. Pude haberlo vendido en el momento justo y no lo hice por querer venderlo mas caro.</t>
  </si>
  <si>
    <t>Cuando veo que el precio para de avanzar, operar y calzar o tomar posicion. No esperar a ver si sigue avanzando.</t>
  </si>
  <si>
    <t>Gallo 2</t>
  </si>
  <si>
    <t>DNI</t>
  </si>
  <si>
    <t>4.0F1942</t>
  </si>
  <si>
    <t>Se elimina el calculo de precios promedio de las operaciones ejecutadas. Se hace lo propio en opers Prueba.</t>
  </si>
  <si>
    <t>Resultado acumulado Real al correr Prueba =</t>
  </si>
  <si>
    <t>CeroTest</t>
  </si>
  <si>
    <t>COSTO FINANCIERO</t>
  </si>
  <si>
    <t>Capital</t>
  </si>
  <si>
    <t>Tiempo</t>
  </si>
  <si>
    <t>Año</t>
  </si>
  <si>
    <t>Nominal</t>
  </si>
  <si>
    <t>Arbitraje</t>
  </si>
  <si>
    <t>PARAMETROS DE CARGA DE ORDENES - PYTHON</t>
  </si>
  <si>
    <t>cookie</t>
  </si>
  <si>
    <t>dni</t>
  </si>
  <si>
    <t>usuario</t>
  </si>
  <si>
    <t>password</t>
  </si>
  <si>
    <t>PythonTest v1.1</t>
  </si>
  <si>
    <t>Se agrega el modulo para cargar y cancelar ordenes usando Python. El file .py asociado es "sniper.py".</t>
  </si>
  <si>
    <t>JU</t>
  </si>
  <si>
    <t>EC402:EI441</t>
  </si>
  <si>
    <t>Valor Final</t>
  </si>
  <si>
    <t>Interes</t>
  </si>
  <si>
    <t>Tasa anual</t>
  </si>
  <si>
    <t>Tasa periodo</t>
  </si>
  <si>
    <t>Factor Cap.</t>
  </si>
  <si>
    <t>im</t>
  </si>
  <si>
    <t>GFGC81.0AG</t>
  </si>
  <si>
    <t>EN</t>
  </si>
  <si>
    <t>E</t>
  </si>
  <si>
    <t>FE</t>
  </si>
  <si>
    <t>F</t>
  </si>
  <si>
    <t>MA</t>
  </si>
  <si>
    <t>AB</t>
  </si>
  <si>
    <t>MY</t>
  </si>
  <si>
    <t>JL</t>
  </si>
  <si>
    <t>SE</t>
  </si>
  <si>
    <t>OC</t>
  </si>
  <si>
    <t>NO</t>
  </si>
  <si>
    <t>DI</t>
  </si>
  <si>
    <t>D</t>
  </si>
  <si>
    <t>AGRO</t>
  </si>
  <si>
    <t>AGR</t>
  </si>
  <si>
    <t>ALUA</t>
  </si>
  <si>
    <t>ALU</t>
  </si>
  <si>
    <t>ALUAR ALUMINIO ARGENTINO</t>
  </si>
  <si>
    <t>APBR</t>
  </si>
  <si>
    <t>PBR</t>
  </si>
  <si>
    <t>PETROLEO BRASILEIRO - PETROBRAS</t>
  </si>
  <si>
    <t>BMA</t>
  </si>
  <si>
    <t>BANCO MACRO</t>
  </si>
  <si>
    <t>CARC</t>
  </si>
  <si>
    <t>CAC</t>
  </si>
  <si>
    <t>CARBOCOLOR</t>
  </si>
  <si>
    <t>CECO2</t>
  </si>
  <si>
    <t>CEC</t>
  </si>
  <si>
    <t>CELU</t>
  </si>
  <si>
    <t>CEL</t>
  </si>
  <si>
    <t>CEPU</t>
  </si>
  <si>
    <t>CEP</t>
  </si>
  <si>
    <t>COME</t>
  </si>
  <si>
    <t>COM</t>
  </si>
  <si>
    <t>SOCIEDAD COMERCIAL DEL PLATA</t>
  </si>
  <si>
    <t>CRES</t>
  </si>
  <si>
    <t>CRE</t>
  </si>
  <si>
    <t>CTIO</t>
  </si>
  <si>
    <t>CTO</t>
  </si>
  <si>
    <t>EDN</t>
  </si>
  <si>
    <t>ERAR</t>
  </si>
  <si>
    <t>ERA</t>
  </si>
  <si>
    <t>FRAN</t>
  </si>
  <si>
    <t>FRA</t>
  </si>
  <si>
    <t>GFG</t>
  </si>
  <si>
    <t>JMIN</t>
  </si>
  <si>
    <t>JMI</t>
  </si>
  <si>
    <t>MIRG</t>
  </si>
  <si>
    <t>MIR</t>
  </si>
  <si>
    <t>PAMP</t>
  </si>
  <si>
    <t>PAM</t>
  </si>
  <si>
    <t>SAMI</t>
  </si>
  <si>
    <t>SAM</t>
  </si>
  <si>
    <t>TECO2</t>
  </si>
  <si>
    <t>TEC</t>
  </si>
  <si>
    <t>TRAN</t>
  </si>
  <si>
    <t>TRA</t>
  </si>
  <si>
    <t>TS</t>
  </si>
  <si>
    <t>TS.</t>
  </si>
  <si>
    <t>YPFD</t>
  </si>
  <si>
    <t>YPF</t>
  </si>
  <si>
    <t>Merval</t>
  </si>
  <si>
    <t>CAPU</t>
  </si>
  <si>
    <t>CPU</t>
  </si>
  <si>
    <t>PSUR</t>
  </si>
  <si>
    <t>PGR</t>
  </si>
  <si>
    <t>APBRA</t>
  </si>
  <si>
    <t>AUSO</t>
  </si>
  <si>
    <t>AUS</t>
  </si>
  <si>
    <t>BHIP</t>
  </si>
  <si>
    <t>BHI</t>
  </si>
  <si>
    <t>BOLT</t>
  </si>
  <si>
    <t>BOL</t>
  </si>
  <si>
    <t>BPAT</t>
  </si>
  <si>
    <t>BRIO</t>
  </si>
  <si>
    <t>BRI</t>
  </si>
  <si>
    <t>BRIO6</t>
  </si>
  <si>
    <t>CADO</t>
  </si>
  <si>
    <t>CAD</t>
  </si>
  <si>
    <t>CADO5</t>
  </si>
  <si>
    <t>CAPX</t>
  </si>
  <si>
    <t>CAP</t>
  </si>
  <si>
    <t>CGPA2</t>
  </si>
  <si>
    <t>CGP</t>
  </si>
  <si>
    <t>COLO</t>
  </si>
  <si>
    <t>COMO</t>
  </si>
  <si>
    <t>COUR</t>
  </si>
  <si>
    <t>DGCU2</t>
  </si>
  <si>
    <t>DGC</t>
  </si>
  <si>
    <t>DOME</t>
  </si>
  <si>
    <t>DYCA</t>
  </si>
  <si>
    <t>DYC</t>
  </si>
  <si>
    <t>EDLH</t>
  </si>
  <si>
    <t>EMDE</t>
  </si>
  <si>
    <t>ESME</t>
  </si>
  <si>
    <t>ESTR</t>
  </si>
  <si>
    <t>EURO</t>
  </si>
  <si>
    <t>FERR</t>
  </si>
  <si>
    <t>FIPL</t>
  </si>
  <si>
    <t>FIP</t>
  </si>
  <si>
    <t>GARO</t>
  </si>
  <si>
    <t>GAR</t>
  </si>
  <si>
    <t>GBAN</t>
  </si>
  <si>
    <t>GNB</t>
  </si>
  <si>
    <t>GCLA</t>
  </si>
  <si>
    <t>GRIM</t>
  </si>
  <si>
    <t>HAVA</t>
  </si>
  <si>
    <t>INDU</t>
  </si>
  <si>
    <t>IND</t>
  </si>
  <si>
    <t>INTR</t>
  </si>
  <si>
    <t>INVJ</t>
  </si>
  <si>
    <t>IRCP</t>
  </si>
  <si>
    <t>INJ</t>
  </si>
  <si>
    <t>IRSA</t>
  </si>
  <si>
    <t>LEDE</t>
  </si>
  <si>
    <t>LED</t>
  </si>
  <si>
    <t>LONG</t>
  </si>
  <si>
    <t>LON</t>
  </si>
  <si>
    <t>METR</t>
  </si>
  <si>
    <t>MET</t>
  </si>
  <si>
    <t>MOLI</t>
  </si>
  <si>
    <t>MOL</t>
  </si>
  <si>
    <t>MORI</t>
  </si>
  <si>
    <t>MVIA</t>
  </si>
  <si>
    <t>NORT6</t>
  </si>
  <si>
    <t>OEST</t>
  </si>
  <si>
    <t>PATA</t>
  </si>
  <si>
    <t>PATY</t>
  </si>
  <si>
    <t>PESA</t>
  </si>
  <si>
    <t>PSA</t>
  </si>
  <si>
    <t>PETR</t>
  </si>
  <si>
    <t>PET</t>
  </si>
  <si>
    <t>POLL</t>
  </si>
  <si>
    <t>POL</t>
  </si>
  <si>
    <t>PREN1</t>
  </si>
  <si>
    <t>REGE</t>
  </si>
  <si>
    <t>REP</t>
  </si>
  <si>
    <t>RIGO</t>
  </si>
  <si>
    <t>RIGO5</t>
  </si>
  <si>
    <t>ROSE</t>
  </si>
  <si>
    <t>SEMI</t>
  </si>
  <si>
    <t>SEM</t>
  </si>
  <si>
    <t>STD</t>
  </si>
  <si>
    <t>SUPV</t>
  </si>
  <si>
    <t>TEF</t>
  </si>
  <si>
    <t>TGLT</t>
  </si>
  <si>
    <t>TGNO4</t>
  </si>
  <si>
    <t>TGN</t>
  </si>
  <si>
    <t>TGSU2</t>
  </si>
  <si>
    <t>TGS</t>
  </si>
  <si>
    <t>URBA</t>
  </si>
  <si>
    <t>VALO</t>
  </si>
  <si>
    <t>GVA</t>
  </si>
  <si>
    <t>VALE</t>
  </si>
  <si>
    <t>BYMA</t>
  </si>
  <si>
    <t>BYM</t>
  </si>
  <si>
    <t>CRESY</t>
  </si>
  <si>
    <t>BRF</t>
  </si>
  <si>
    <t>CEDEARs</t>
  </si>
  <si>
    <t>AA17</t>
  </si>
  <si>
    <t>AA26</t>
  </si>
  <si>
    <t>AA46</t>
  </si>
  <si>
    <t>AD16</t>
  </si>
  <si>
    <t>AF17</t>
  </si>
  <si>
    <t>AJ17</t>
  </si>
  <si>
    <t>AM17</t>
  </si>
  <si>
    <t>AM18</t>
  </si>
  <si>
    <t>AM20</t>
  </si>
  <si>
    <t>AMX8</t>
  </si>
  <si>
    <t>AMX9</t>
  </si>
  <si>
    <t>AO16</t>
  </si>
  <si>
    <t>AO17</t>
  </si>
  <si>
    <t>AO20</t>
  </si>
  <si>
    <t>AS17</t>
  </si>
  <si>
    <t>AY17</t>
  </si>
  <si>
    <t>CUAP</t>
  </si>
  <si>
    <t>DICA</t>
  </si>
  <si>
    <t>DICP</t>
  </si>
  <si>
    <t>DICY</t>
  </si>
  <si>
    <t>NF18</t>
  </si>
  <si>
    <t>PARP</t>
  </si>
  <si>
    <t>PARY</t>
  </si>
  <si>
    <t>PR13</t>
  </si>
  <si>
    <t>PR15</t>
  </si>
  <si>
    <t>TC21</t>
  </si>
  <si>
    <t>TM18</t>
  </si>
  <si>
    <t>TS18</t>
  </si>
  <si>
    <t>LEBAC</t>
  </si>
  <si>
    <t>$90.000.000*</t>
  </si>
  <si>
    <t>NOBAC</t>
  </si>
  <si>
    <t>AA21</t>
  </si>
  <si>
    <t>AL36</t>
  </si>
  <si>
    <t>BD2C9</t>
  </si>
  <si>
    <t>BD4C6</t>
  </si>
  <si>
    <t>BDC18</t>
  </si>
  <si>
    <t>BDC19</t>
  </si>
  <si>
    <t>BDC20</t>
  </si>
  <si>
    <t>BP21</t>
  </si>
  <si>
    <t>BP28</t>
  </si>
  <si>
    <t>BPLD</t>
  </si>
  <si>
    <t>CS8HO</t>
  </si>
  <si>
    <t>LTDE7</t>
  </si>
  <si>
    <t>LTDN6</t>
  </si>
  <si>
    <t>NDG21</t>
  </si>
  <si>
    <t>PARA</t>
  </si>
  <si>
    <t>PBM24</t>
  </si>
  <si>
    <t>PMY24</t>
  </si>
  <si>
    <t>PUO19</t>
  </si>
  <si>
    <t>TVPA</t>
  </si>
  <si>
    <t>TVPE</t>
  </si>
  <si>
    <t>TVPP</t>
  </si>
  <si>
    <t>TVPY</t>
  </si>
  <si>
    <t>YCA6O</t>
  </si>
  <si>
    <t>YPCUO</t>
  </si>
  <si>
    <t>AA19</t>
  </si>
  <si>
    <t>AN18</t>
  </si>
  <si>
    <t>BNN17</t>
  </si>
  <si>
    <t>CEDI</t>
  </si>
  <si>
    <t>GJ17</t>
  </si>
  <si>
    <t>ERJ17</t>
  </si>
  <si>
    <t>LTDD6</t>
  </si>
  <si>
    <t>OPNY1</t>
  </si>
  <si>
    <t>OYP19</t>
  </si>
  <si>
    <t>PBE17</t>
  </si>
  <si>
    <t>PBJ21</t>
  </si>
  <si>
    <t>PBJ27</t>
  </si>
  <si>
    <t>PMD18</t>
  </si>
  <si>
    <t>PMG18</t>
  </si>
  <si>
    <t>PMN18</t>
  </si>
  <si>
    <t>PUM21</t>
  </si>
  <si>
    <t>SA24D</t>
  </si>
  <si>
    <t>CEDEARS</t>
  </si>
  <si>
    <t>OPCION CALL</t>
  </si>
  <si>
    <t>OPCION PUT</t>
  </si>
  <si>
    <t>EJERCICIO OPCION</t>
  </si>
  <si>
    <t>CAUCION COLOCADORA</t>
  </si>
  <si>
    <t>CAUCION TOMADORA</t>
  </si>
  <si>
    <t>LEBACS</t>
  </si>
  <si>
    <t>DATOS VOLATILIDAD</t>
  </si>
  <si>
    <t>Días calend.:</t>
  </si>
  <si>
    <t>Descargar las series históricas desde bolsar.com</t>
  </si>
  <si>
    <t>INDIRECTO(D10 &amp; "!FL" &amp; B10 - (30 * C10) + 7)</t>
  </si>
  <si>
    <t>para contar con los datos históricos de MEP, CCL y cable.</t>
  </si>
  <si>
    <t>DESVEST(Q4:Q43)*RAIZ(252)</t>
  </si>
  <si>
    <t>AO20D</t>
  </si>
  <si>
    <t>ADRGGAL</t>
  </si>
  <si>
    <t>Días Volat</t>
  </si>
  <si>
    <t>Apertura</t>
  </si>
  <si>
    <t>Vol. Prom.</t>
  </si>
  <si>
    <t>Cierre</t>
  </si>
  <si>
    <t>PAPELES</t>
  </si>
  <si>
    <t>AY24D</t>
  </si>
  <si>
    <t>Buenos Aires</t>
  </si>
  <si>
    <t>New York</t>
  </si>
  <si>
    <t>BANCOS</t>
  </si>
  <si>
    <t>Expansión</t>
  </si>
  <si>
    <t>ADR GGAL</t>
  </si>
  <si>
    <t>Variación</t>
  </si>
  <si>
    <t>Max</t>
  </si>
  <si>
    <t>Min</t>
  </si>
  <si>
    <t>Monto $</t>
  </si>
  <si>
    <t>CantOp</t>
  </si>
  <si>
    <t>Hora</t>
  </si>
  <si>
    <t>Promedio</t>
  </si>
  <si>
    <t>GGAL-48HS</t>
  </si>
  <si>
    <t>AY24-SPOT</t>
  </si>
  <si>
    <t>AY24D-SPOT</t>
  </si>
  <si>
    <t>Especies Prof. Mercado</t>
  </si>
  <si>
    <t>Cols. por página en Prof. Merc.</t>
  </si>
  <si>
    <t>TXAR</t>
  </si>
  <si>
    <t>Puntas desde Nivel 2:</t>
  </si>
  <si>
    <t>Puntas desde Panel Personal:</t>
  </si>
  <si>
    <t>1 para elegir</t>
  </si>
  <si>
    <t>MEP-48hs</t>
  </si>
  <si>
    <t>CABLE-48hs</t>
  </si>
  <si>
    <t>CCL-48hs</t>
  </si>
  <si>
    <t>SI(B10 &gt; (100 - K9); "";  DESVEST(I10:(INDIRECTO("I" &amp; (B10 + 8 + K9)))) * RAIZ($D$5))</t>
  </si>
  <si>
    <t>PROMEDIO(S10                                                                                                    : INDIRECTO((DIRECCION(U8 + 9; COLUMNA() - 2; 4)) ) )</t>
  </si>
  <si>
    <t>Eje X</t>
  </si>
  <si>
    <t>AL30</t>
  </si>
  <si>
    <t>AL30-SPOT</t>
  </si>
  <si>
    <t>AL30D</t>
  </si>
  <si>
    <t>AL30D-SPOT</t>
  </si>
  <si>
    <t>AL29</t>
  </si>
  <si>
    <t>AL29-SPOT</t>
  </si>
  <si>
    <t>AL29D-SPOT</t>
  </si>
  <si>
    <t>AL30C</t>
  </si>
  <si>
    <t>AL300</t>
  </si>
  <si>
    <t>AL30-24HS</t>
  </si>
  <si>
    <t>GD30</t>
  </si>
  <si>
    <t>GD30-24HS</t>
  </si>
  <si>
    <t>GD30-SPOT</t>
  </si>
  <si>
    <t>GD35</t>
  </si>
  <si>
    <t>GD35-24HS</t>
  </si>
  <si>
    <t>GD35-SPOT</t>
  </si>
  <si>
    <t>GD29</t>
  </si>
  <si>
    <t>GD29-24HS</t>
  </si>
  <si>
    <t>GD29-SPOT</t>
  </si>
  <si>
    <t>AL29-24HS</t>
  </si>
  <si>
    <t>AE38</t>
  </si>
  <si>
    <t>AE38-24HS</t>
  </si>
  <si>
    <t>AE38-SPOT</t>
  </si>
  <si>
    <t>AL41</t>
  </si>
  <si>
    <t>AL41-24HS</t>
  </si>
  <si>
    <t>AL41-SPOT</t>
  </si>
  <si>
    <t>AY24-24HS</t>
  </si>
  <si>
    <t>AL30D-24HS</t>
  </si>
  <si>
    <t>GD30D</t>
  </si>
  <si>
    <t>GD30D-24HS</t>
  </si>
  <si>
    <t>GD30D-SPOT</t>
  </si>
  <si>
    <t>GD29D</t>
  </si>
  <si>
    <t>GD29D-24HS</t>
  </si>
  <si>
    <t>GD29D-SPOT</t>
  </si>
  <si>
    <t>GD35D</t>
  </si>
  <si>
    <t>GD35D-24HS</t>
  </si>
  <si>
    <t>GD35D-SPOT</t>
  </si>
  <si>
    <t>AL29D</t>
  </si>
  <si>
    <t>AL29D-24HS</t>
  </si>
  <si>
    <t>AL41D</t>
  </si>
  <si>
    <t>AL41D-24HS</t>
  </si>
  <si>
    <t>AL41D-SPOT</t>
  </si>
  <si>
    <t>AE38D</t>
  </si>
  <si>
    <t>AE38D-24HS</t>
  </si>
  <si>
    <t>AE38D-SPOT</t>
  </si>
  <si>
    <t>AY24D-24HS</t>
  </si>
  <si>
    <t>GD30C</t>
  </si>
  <si>
    <t>GD30C-24HS</t>
  </si>
  <si>
    <t>GD30C-SPOT</t>
  </si>
  <si>
    <t>GD29C</t>
  </si>
  <si>
    <t>GD29C-24HS</t>
  </si>
  <si>
    <t>GD29C-SPOT</t>
  </si>
  <si>
    <t>GD35C</t>
  </si>
  <si>
    <t>GD35C-24HS</t>
  </si>
  <si>
    <t>GD35C-SPOT</t>
  </si>
  <si>
    <t>AL30C-24HS</t>
  </si>
  <si>
    <t>AL30C-SPOT</t>
  </si>
  <si>
    <t>Máximo</t>
  </si>
  <si>
    <t>Mínimo</t>
  </si>
  <si>
    <t>COTIZACIONES v3.07.xlsm</t>
  </si>
  <si>
    <t>Cotizaciones</t>
  </si>
  <si>
    <t>EstadisticaOpcionesDiarias_GGAL.xlsm</t>
  </si>
  <si>
    <t>OPCIONES-AJS - OrdersManager - AB22 - GGAL.xlsm</t>
  </si>
  <si>
    <t>Login</t>
  </si>
  <si>
    <t>HomeBroker</t>
  </si>
  <si>
    <t>ingresarPython</t>
  </si>
  <si>
    <t>GFGC185.AB</t>
  </si>
  <si>
    <t>24hs</t>
  </si>
  <si>
    <t>cargarOrdenesPython</t>
  </si>
  <si>
    <t>GFGC210.AB</t>
  </si>
  <si>
    <t>Cancelar</t>
  </si>
  <si>
    <t>gallo2</t>
  </si>
  <si>
    <t>cancelarOrdenPython</t>
  </si>
  <si>
    <t>GFGC250.AB</t>
  </si>
  <si>
    <t>No modificar. Completado por código o fórmulas.</t>
  </si>
  <si>
    <t>REGISTRO OPERACIONES</t>
  </si>
  <si>
    <t>xxxxx</t>
  </si>
  <si>
    <t>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</si>
</sst>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4">
    <numFmt numFmtId="164" formatCode="_ &quot;$&quot;\ * #,##0_ ;_ &quot;$&quot;\ * \-#,##0_ ;_ &quot;$&quot;\ * &quot;-&quot;_ ;_ @_ "/>
    <numFmt numFmtId="165" formatCode="_ &quot;$&quot;\ * #,##0.00_ ;_ &quot;$&quot;\ * \-#,##0.00_ ;_ &quot;$&quot;\ * &quot;-&quot;??_ ;_ @_ "/>
    <numFmt numFmtId="166" formatCode="_ * #,##0.00_ ;_ * \-#,##0.00_ ;_ * &quot;-&quot;??_ ;_ @_ "/>
    <numFmt numFmtId="167" formatCode="[$$-2C0A]\ #,##0.00;[$$-2C0A]\ \-#,##0.00"/>
    <numFmt numFmtId="168" formatCode="[$-F800]dddd\,\ mmmm\ dd\,\ yyyy"/>
    <numFmt numFmtId="169" formatCode="0.0"/>
    <numFmt numFmtId="170" formatCode="#,##0.000"/>
    <numFmt numFmtId="171" formatCode="_ * #,##0.0000_ ;_ * \-#,##0.0000_ ;_ * &quot;-&quot;????_ ;_ @_ "/>
    <numFmt numFmtId="172" formatCode="0.0%"/>
    <numFmt numFmtId="173" formatCode="#,##0_ ;\-#,##0\ "/>
    <numFmt numFmtId="174" formatCode="_ * #,##0.000_ ;_ * \-#,##0.000_ ;_ * &quot;-&quot;????_ ;_ @_ "/>
    <numFmt numFmtId="175" formatCode="_ &quot;$&quot;\ * #,##0_ ;_ &quot;$&quot;\ * \-#,##0_ ;_ &quot;$&quot;\ * &quot;-&quot;??_ ;_ @_ "/>
    <numFmt numFmtId="176" formatCode="0.0000%"/>
    <numFmt numFmtId="177" formatCode="0.0000"/>
    <numFmt numFmtId="178" formatCode="0.000"/>
    <numFmt numFmtId="179" formatCode="_ * #,##0_ ;_ * \-#,##0_ ;_ * &quot;-&quot;??_ ;_ @_ "/>
    <numFmt numFmtId="180" formatCode="dd/mm/yy;@"/>
    <numFmt numFmtId="181" formatCode="#,##0.00_ ;\-#,##0.00\ "/>
    <numFmt numFmtId="182" formatCode="_(&quot;$&quot;* #,##0.00_);_(&quot;$&quot;* \(#,##0.00\);_(&quot;$&quot;* &quot;-&quot;??_);_(@_)"/>
    <numFmt numFmtId="183" formatCode="0.000000"/>
    <numFmt numFmtId="184" formatCode="#,##0_ ;[Red]\-#,##0\ "/>
    <numFmt numFmtId="185" formatCode="&quot;$&quot;#,##0_);[Red]\(&quot;$&quot;#,##0\)"/>
    <numFmt numFmtId="186" formatCode="_ * #,##0.00_ ;_ * \-#,##0.00_ ;_ * &quot;-&quot;????_ ;_ @_ "/>
    <numFmt numFmtId="187" formatCode="0_ ;[Red]\-0\ "/>
    <numFmt numFmtId="188" formatCode="0.000_ ;[Red]\-0.000\ "/>
    <numFmt numFmtId="189" formatCode="_ [$USD]\ * #,##0.00_ ;_ [$USD]\ * \-#,##0.00_ ;_ [$USD]\ * &quot;-&quot;??_ ;_ @_ "/>
    <numFmt numFmtId="190" formatCode="0.0_ ;[Red]\-0.0\ "/>
    <numFmt numFmtId="191" formatCode="#,##0.0"/>
    <numFmt numFmtId="192" formatCode="[$-F400]h:mm:ss\ AM/PM"/>
    <numFmt numFmtId="193" formatCode="h:mm:ss;@"/>
    <numFmt numFmtId="194" formatCode="hh:mm:ss;@"/>
    <numFmt numFmtId="195" formatCode="#,##0_ ;_ * \-#,##0_ ;&quot;-&quot;????_ ;_ @_ "/>
    <numFmt numFmtId="196" formatCode="d/m/yy;@"/>
    <numFmt numFmtId="197" formatCode="#,##0.000000"/>
  </numFmts>
  <fonts count="1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rgb="FF333333"/>
      <name val="Arial"/>
      <family val="2"/>
    </font>
    <font>
      <sz val="8"/>
      <color rgb="FF333333"/>
      <name val="Arial"/>
      <family val="2"/>
    </font>
    <font>
      <b/>
      <sz val="9"/>
      <color theme="1"/>
      <name val="Arial"/>
      <family val="2"/>
    </font>
    <font>
      <b/>
      <sz val="12"/>
      <color theme="0"/>
      <name val="Arial"/>
      <family val="2"/>
    </font>
    <font>
      <b/>
      <sz val="8"/>
      <color theme="1"/>
      <name val="Arial"/>
      <family val="2"/>
    </font>
    <font>
      <sz val="12"/>
      <name val="宋体"/>
      <charset val="134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9"/>
      <color rgb="FF333333"/>
      <name val="Arial"/>
      <family val="2"/>
    </font>
    <font>
      <b/>
      <sz val="9"/>
      <color theme="4" tint="-0.249977111117893"/>
      <name val="Arial"/>
      <family val="2"/>
    </font>
    <font>
      <sz val="8"/>
      <color theme="1"/>
      <name val="Arial"/>
      <family val="2"/>
    </font>
    <font>
      <sz val="11"/>
      <color rgb="FF333333"/>
      <name val="Arial"/>
      <family val="2"/>
    </font>
    <font>
      <b/>
      <sz val="8"/>
      <color rgb="FF333333"/>
      <name val="Arial"/>
      <family val="2"/>
    </font>
    <font>
      <b/>
      <sz val="12"/>
      <color rgb="FF333333"/>
      <name val="Arial"/>
      <family val="2"/>
    </font>
    <font>
      <b/>
      <sz val="8"/>
      <color rgb="FF00B050"/>
      <name val="Arial"/>
      <family val="2"/>
    </font>
    <font>
      <b/>
      <sz val="8"/>
      <color theme="9"/>
      <name val="Arial"/>
      <family val="2"/>
    </font>
    <font>
      <sz val="9"/>
      <color theme="0" tint="-0.14999847407452621"/>
      <name val="Arial"/>
      <family val="2"/>
    </font>
    <font>
      <sz val="8"/>
      <color theme="0" tint="-0.14999847407452621"/>
      <name val="Arial"/>
      <family val="2"/>
    </font>
    <font>
      <b/>
      <sz val="8"/>
      <color theme="0"/>
      <name val="Arial"/>
      <family val="2"/>
    </font>
    <font>
      <sz val="8"/>
      <color theme="0"/>
      <name val="Arial"/>
      <family val="2"/>
    </font>
    <font>
      <sz val="9"/>
      <color theme="0" tint="-0.34998626667073579"/>
      <name val="Arial"/>
      <family val="2"/>
    </font>
    <font>
      <b/>
      <sz val="10"/>
      <color rgb="FF86858A"/>
      <name val="Arial"/>
      <family val="2"/>
    </font>
    <font>
      <sz val="10"/>
      <color rgb="FF434142"/>
      <name val="Arial"/>
      <family val="2"/>
    </font>
    <font>
      <b/>
      <sz val="10"/>
      <color rgb="FF434142"/>
      <name val="Arial"/>
      <family val="2"/>
    </font>
    <font>
      <sz val="9"/>
      <color rgb="FF86858A"/>
      <name val="Arial"/>
      <family val="2"/>
    </font>
    <font>
      <b/>
      <sz val="9"/>
      <color theme="0"/>
      <name val="Arial"/>
      <family val="2"/>
    </font>
    <font>
      <sz val="8"/>
      <color rgb="FF434142"/>
      <name val="Arial"/>
      <family val="2"/>
    </font>
    <font>
      <b/>
      <sz val="10"/>
      <color rgb="FFFF0000"/>
      <name val="Arial"/>
      <family val="2"/>
    </font>
    <font>
      <sz val="9"/>
      <color rgb="FF434142"/>
      <name val="Arial"/>
      <family val="2"/>
    </font>
    <font>
      <b/>
      <sz val="8"/>
      <color theme="4"/>
      <name val="Arial"/>
      <family val="2"/>
    </font>
    <font>
      <b/>
      <sz val="8"/>
      <color rgb="FF434142"/>
      <name val="Arial"/>
      <family val="2"/>
    </font>
    <font>
      <b/>
      <sz val="9"/>
      <color rgb="FF434142"/>
      <name val="Arial"/>
      <family val="2"/>
    </font>
    <font>
      <b/>
      <sz val="8"/>
      <color rgb="FF86858A"/>
      <name val="Arial"/>
      <family val="2"/>
    </font>
    <font>
      <sz val="8"/>
      <color rgb="FF86858A"/>
      <name val="Arial"/>
      <family val="2"/>
    </font>
    <font>
      <b/>
      <sz val="11"/>
      <color theme="0"/>
      <name val="Arial"/>
      <family val="2"/>
    </font>
    <font>
      <sz val="8"/>
      <color theme="0" tint="-0.34998626667073579"/>
      <name val="Arial"/>
      <family val="2"/>
    </font>
    <font>
      <u/>
      <sz val="11"/>
      <color theme="10"/>
      <name val="Calibri"/>
      <family val="2"/>
    </font>
    <font>
      <sz val="10"/>
      <color theme="0" tint="-0.249977111117893"/>
      <name val="Arial"/>
      <family val="2"/>
    </font>
    <font>
      <sz val="9"/>
      <color theme="0" tint="-0.249977111117893"/>
      <name val="Arial"/>
      <family val="2"/>
    </font>
    <font>
      <sz val="8"/>
      <color rgb="FF414342"/>
      <name val="Arial"/>
      <family val="2"/>
    </font>
    <font>
      <b/>
      <sz val="10"/>
      <color rgb="FF0070C0"/>
      <name val="Arial"/>
      <family val="2"/>
    </font>
    <font>
      <sz val="10"/>
      <color rgb="FF414342"/>
      <name val="Arial"/>
      <family val="2"/>
    </font>
    <font>
      <sz val="8"/>
      <color rgb="FF000000"/>
      <name val="Arial"/>
      <family val="2"/>
    </font>
    <font>
      <sz val="8"/>
      <color theme="1" tint="0.499984740745262"/>
      <name val="Arial"/>
      <family val="2"/>
    </font>
    <font>
      <b/>
      <sz val="9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rgb="FF0939D1"/>
      <name val="Calibri"/>
      <family val="2"/>
      <scheme val="minor"/>
    </font>
    <font>
      <sz val="9"/>
      <color rgb="FF434142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color rgb="FF0939D1"/>
      <name val="Calibri"/>
      <family val="2"/>
      <scheme val="minor"/>
    </font>
    <font>
      <sz val="9"/>
      <color rgb="FF333333"/>
      <name val="Calibri"/>
      <family val="2"/>
      <scheme val="minor"/>
    </font>
    <font>
      <sz val="9"/>
      <color theme="3" tint="0.59999389629810485"/>
      <name val="Calibri"/>
      <family val="2"/>
      <scheme val="minor"/>
    </font>
    <font>
      <sz val="9"/>
      <color theme="4" tint="-0.249977111117893"/>
      <name val="Calibri"/>
      <family val="2"/>
      <scheme val="minor"/>
    </font>
    <font>
      <b/>
      <sz val="9"/>
      <color rgb="FF434142"/>
      <name val="Calibri"/>
      <family val="2"/>
      <scheme val="minor"/>
    </font>
    <font>
      <sz val="9"/>
      <color rgb="FFF6F6A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9"/>
      <color theme="0" tint="-0.14999847407452621"/>
      <name val="Calibri"/>
      <family val="2"/>
      <scheme val="minor"/>
    </font>
    <font>
      <sz val="9"/>
      <color rgb="FF414342"/>
      <name val="Calibri"/>
      <family val="2"/>
      <scheme val="minor"/>
    </font>
    <font>
      <sz val="9"/>
      <color rgb="FF8DB4E3"/>
      <name val="Calibri"/>
      <family val="2"/>
      <scheme val="minor"/>
    </font>
    <font>
      <sz val="10"/>
      <color theme="0" tint="-0.34998626667073579"/>
      <name val="Arial"/>
      <family val="2"/>
    </font>
    <font>
      <sz val="9"/>
      <color rgb="FF8DB4E2"/>
      <name val="Calibri"/>
      <family val="2"/>
      <scheme val="minor"/>
    </font>
    <font>
      <b/>
      <sz val="9"/>
      <color rgb="FF00B050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8DB4E3"/>
      <name val="Calibri"/>
      <family val="2"/>
      <scheme val="minor"/>
    </font>
    <font>
      <b/>
      <sz val="9"/>
      <color rgb="FF8DB4E2"/>
      <name val="Calibri"/>
      <family val="2"/>
      <scheme val="minor"/>
    </font>
    <font>
      <b/>
      <sz val="9"/>
      <color rgb="FFF6F6A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9"/>
      <color rgb="FF0D1F35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rgb="FF0D1F35"/>
      <name val="Calibri"/>
      <family val="2"/>
      <scheme val="minor"/>
    </font>
    <font>
      <b/>
      <sz val="9"/>
      <color rgb="FFF86270"/>
      <name val="Calibri"/>
      <family val="2"/>
      <scheme val="minor"/>
    </font>
    <font>
      <sz val="9"/>
      <color theme="1" tint="0.14999847407452621"/>
      <name val="Calibri"/>
      <family val="2"/>
      <scheme val="minor"/>
    </font>
    <font>
      <b/>
      <sz val="9"/>
      <color theme="3" tint="0.39997558519241921"/>
      <name val="Calibri"/>
      <family val="2"/>
      <scheme val="minor"/>
    </font>
    <font>
      <b/>
      <sz val="9"/>
      <color rgb="FF008AEF"/>
      <name val="Calibri"/>
      <family val="2"/>
      <scheme val="minor"/>
    </font>
    <font>
      <sz val="9"/>
      <color theme="1" tint="0.14999847407452621"/>
      <name val="Arial"/>
      <family val="2"/>
    </font>
    <font>
      <sz val="8"/>
      <color theme="1" tint="0.14999847407452621"/>
      <name val="Arial"/>
      <family val="2"/>
    </font>
    <font>
      <b/>
      <sz val="9"/>
      <color theme="9" tint="-0.249977111117893"/>
      <name val="Calibri"/>
      <family val="2"/>
      <scheme val="minor"/>
    </font>
    <font>
      <sz val="10"/>
      <color theme="1" tint="0.14999847407452621"/>
      <name val="Arial"/>
      <family val="2"/>
    </font>
    <font>
      <sz val="10"/>
      <color theme="1" tint="0.249977111117893"/>
      <name val="Arial"/>
      <family val="2"/>
    </font>
    <font>
      <sz val="9"/>
      <color theme="1" tint="0.249977111117893"/>
      <name val="Arial"/>
      <family val="2"/>
    </font>
    <font>
      <sz val="9"/>
      <color theme="0"/>
      <name val="Arial"/>
      <family val="2"/>
    </font>
    <font>
      <sz val="9"/>
      <color rgb="FF0070C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theme="1" tint="0.34998626667073579"/>
      <name val="Calibri"/>
      <family val="2"/>
      <scheme val="minor"/>
    </font>
    <font>
      <sz val="9"/>
      <color theme="3" tint="0.79998168889431442"/>
      <name val="Calibri"/>
      <family val="2"/>
      <scheme val="minor"/>
    </font>
    <font>
      <sz val="9"/>
      <color rgb="FF8DB4E2"/>
      <name val="Arial"/>
      <family val="2"/>
    </font>
    <font>
      <sz val="9"/>
      <color rgb="FF008AEF"/>
      <name val="Arial"/>
      <family val="2"/>
    </font>
    <font>
      <sz val="10"/>
      <color rgb="FF8DB4E2"/>
      <name val="Arial"/>
      <family val="2"/>
    </font>
    <font>
      <b/>
      <sz val="11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rgb="FFFFFF00"/>
      <name val="Calibri"/>
      <family val="2"/>
      <scheme val="minor"/>
    </font>
    <font>
      <b/>
      <sz val="9"/>
      <color rgb="FF86858A"/>
      <name val="Arial"/>
      <family val="2"/>
    </font>
    <font>
      <sz val="9"/>
      <color rgb="FFF8627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939D1"/>
      <name val="Calibri"/>
      <family val="2"/>
      <scheme val="minor"/>
    </font>
    <font>
      <sz val="9"/>
      <color rgb="FF00D66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000000"/>
      <name val="Calibri"/>
      <family val="2"/>
    </font>
    <font>
      <sz val="8"/>
      <color rgb="FF000000"/>
      <name val="Calibri"/>
      <family val="2"/>
    </font>
    <font>
      <sz val="8"/>
      <color rgb="FF000000"/>
      <name val="Tahoma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6DF8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9" tint="0.59999389629810485"/>
      </patternFill>
    </fill>
    <fill>
      <patternFill patternType="solid">
        <fgColor rgb="FF07101B"/>
        <bgColor theme="9" tint="0.59999389629810485"/>
      </patternFill>
    </fill>
    <fill>
      <patternFill patternType="solid">
        <fgColor rgb="FF07101B"/>
        <bgColor indexed="64"/>
      </patternFill>
    </fill>
    <fill>
      <patternFill patternType="solid">
        <fgColor theme="1" tint="0.14999847407452621"/>
        <bgColor theme="9"/>
      </patternFill>
    </fill>
    <fill>
      <patternFill patternType="solid">
        <fgColor rgb="FF0D1F35"/>
        <bgColor theme="9" tint="0.59999389629810485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580000"/>
        <bgColor indexed="64"/>
      </patternFill>
    </fill>
    <fill>
      <patternFill patternType="solid">
        <fgColor rgb="FF0B1B2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B1B2F"/>
        <bgColor theme="9"/>
      </patternFill>
    </fill>
    <fill>
      <patternFill patternType="solid">
        <fgColor rgb="FF580000"/>
        <bgColor theme="9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467A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 tint="-0.499984740745262"/>
        <bgColor theme="9"/>
      </patternFill>
    </fill>
    <fill>
      <patternFill patternType="solid">
        <fgColor rgb="FF008AEF"/>
        <bgColor indexed="64"/>
      </patternFill>
    </fill>
    <fill>
      <patternFill patternType="solid">
        <fgColor theme="1" tint="0.34998626667073579"/>
        <bgColor theme="9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theme="9"/>
      </patternFill>
    </fill>
    <fill>
      <patternFill patternType="solid">
        <fgColor rgb="FF0D1F35"/>
        <bgColor indexed="64"/>
      </patternFill>
    </fill>
    <fill>
      <patternFill patternType="solid">
        <fgColor rgb="FF0D1F35"/>
        <bgColor theme="9" tint="0.79998168889431442"/>
      </patternFill>
    </fill>
    <fill>
      <patternFill patternType="solid">
        <fgColor rgb="FF0B1B2F"/>
        <bgColor theme="9" tint="0.59999389629810485"/>
      </patternFill>
    </fill>
    <fill>
      <patternFill patternType="solid">
        <fgColor theme="9"/>
        <bgColor indexed="64"/>
      </patternFill>
    </fill>
    <fill>
      <patternFill patternType="solid">
        <fgColor rgb="FF000000"/>
        <bgColor theme="9" tint="0.59999389629810485"/>
      </patternFill>
    </fill>
    <fill>
      <patternFill patternType="solid">
        <fgColor rgb="FF8DB4E2"/>
        <bgColor indexed="64"/>
      </patternFill>
    </fill>
  </fills>
  <borders count="244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4.9989318521683403E-2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 style="medium">
        <color theme="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 style="medium">
        <color theme="4"/>
      </bottom>
      <diagonal/>
    </border>
    <border>
      <left style="thin">
        <color theme="0" tint="-0.14999847407452621"/>
      </left>
      <right/>
      <top style="medium">
        <color theme="4"/>
      </top>
      <bottom style="thin">
        <color theme="0" tint="-0.14999847407452621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medium">
        <color theme="3"/>
      </top>
      <bottom/>
      <diagonal/>
    </border>
    <border>
      <left/>
      <right/>
      <top/>
      <bottom style="medium">
        <color theme="3"/>
      </bottom>
      <diagonal/>
    </border>
    <border>
      <left/>
      <right/>
      <top style="medium">
        <color theme="9" tint="-0.249977111117893"/>
      </top>
      <bottom/>
      <diagonal/>
    </border>
    <border>
      <left/>
      <right/>
      <top/>
      <bottom style="medium">
        <color theme="9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theme="3"/>
      </top>
      <bottom style="medium">
        <color theme="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14999847407452621"/>
      </left>
      <right style="thin">
        <color theme="1" tint="0.14999847407452621"/>
      </right>
      <top style="thin">
        <color theme="1" tint="0.14999847407452621"/>
      </top>
      <bottom style="thin">
        <color theme="1" tint="0.14999847407452621"/>
      </bottom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14999847407452621"/>
      </left>
      <right style="thin">
        <color theme="1" tint="0.14999847407452621"/>
      </right>
      <top/>
      <bottom style="thin">
        <color theme="1" tint="0.14999847407452621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249977111117893"/>
      </right>
      <top/>
      <bottom style="thin">
        <color theme="1" tint="0.499984740745262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14999847407452621"/>
      </left>
      <right/>
      <top style="thin">
        <color theme="1" tint="0.14999847407452621"/>
      </top>
      <bottom style="thin">
        <color theme="1" tint="0.14999847407452621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1" tint="0.14999847407452621"/>
      </right>
      <top style="thin">
        <color theme="1" tint="0.14999847407452621"/>
      </top>
      <bottom style="thin">
        <color theme="1" tint="0.14999847407452621"/>
      </bottom>
      <diagonal/>
    </border>
    <border>
      <left style="thin">
        <color theme="1" tint="0.249977111117893"/>
      </left>
      <right/>
      <top/>
      <bottom/>
      <diagonal/>
    </border>
    <border>
      <left/>
      <right style="thin">
        <color theme="1" tint="0.14999847407452621"/>
      </right>
      <top/>
      <bottom style="thin">
        <color theme="1" tint="0.14999847407452621"/>
      </bottom>
      <diagonal/>
    </border>
    <border>
      <left style="thin">
        <color theme="1" tint="0.14999847407452621"/>
      </left>
      <right style="thin">
        <color theme="1" tint="0.14999847407452621"/>
      </right>
      <top style="thin">
        <color theme="1" tint="0.14999847407452621"/>
      </top>
      <bottom/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499984740745262"/>
      </bottom>
      <diagonal/>
    </border>
    <border>
      <left/>
      <right style="thin">
        <color theme="1" tint="0.249977111117893"/>
      </right>
      <top style="thin">
        <color theme="1" tint="0.14999847407452621"/>
      </top>
      <bottom/>
      <diagonal/>
    </border>
    <border>
      <left style="thin">
        <color theme="1" tint="0.249977111117893"/>
      </left>
      <right style="thin">
        <color theme="1" tint="0.14999847407452621"/>
      </right>
      <top style="thin">
        <color theme="1" tint="0.14999847407452621"/>
      </top>
      <bottom/>
      <diagonal/>
    </border>
    <border>
      <left style="thin">
        <color theme="1" tint="0.249977111117893"/>
      </left>
      <right style="thin">
        <color theme="1" tint="0.14999847407452621"/>
      </right>
      <top/>
      <bottom style="thin">
        <color theme="1" tint="0.499984740745262"/>
      </bottom>
      <diagonal/>
    </border>
    <border>
      <left style="medium">
        <color theme="3"/>
      </left>
      <right style="medium">
        <color theme="3"/>
      </right>
      <top style="thin">
        <color theme="1" tint="0.499984740745262"/>
      </top>
      <bottom style="medium">
        <color theme="3"/>
      </bottom>
      <diagonal/>
    </border>
    <border>
      <left style="thin">
        <color theme="1" tint="0.249977111117893"/>
      </left>
      <right style="thin">
        <color theme="1" tint="0.14999847407452621"/>
      </right>
      <top/>
      <bottom/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14999847407452621"/>
      </top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 style="thin">
        <color theme="1" tint="0.14999847407452621"/>
      </left>
      <right style="thin">
        <color theme="1" tint="0.14999847407452621"/>
      </right>
      <top style="thin">
        <color theme="0"/>
      </top>
      <bottom style="thin">
        <color theme="0"/>
      </bottom>
      <diagonal/>
    </border>
    <border>
      <left style="thin">
        <color theme="1" tint="0.14999847407452621"/>
      </left>
      <right style="thin">
        <color theme="1" tint="0.249977111117893"/>
      </right>
      <top style="thin">
        <color theme="1" tint="0.249977111117893"/>
      </top>
      <bottom style="thin">
        <color theme="1" tint="0.499984740745262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0"/>
      </bottom>
      <diagonal/>
    </border>
    <border>
      <left style="thin">
        <color theme="1" tint="0.249977111117893"/>
      </left>
      <right style="thin">
        <color theme="1" tint="0.14999847407452621"/>
      </right>
      <top style="thin">
        <color theme="1" tint="0.249977111117893"/>
      </top>
      <bottom style="thin">
        <color theme="1" tint="0.499984740745262"/>
      </bottom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14999847407452621"/>
      </left>
      <right style="thin">
        <color theme="1" tint="0.249977111117893"/>
      </right>
      <top style="thin">
        <color theme="1" tint="0.249977111117893"/>
      </top>
      <bottom/>
      <diagonal/>
    </border>
    <border>
      <left style="thin">
        <color theme="1" tint="0.14999847407452621"/>
      </left>
      <right style="thin">
        <color theme="1" tint="0.249977111117893"/>
      </right>
      <top style="thin">
        <color theme="1" tint="0.249977111117893"/>
      </top>
      <bottom style="thin">
        <color theme="0" tint="-0.34998626667073579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14999847407452621"/>
      </left>
      <right style="medium">
        <color theme="3"/>
      </right>
      <top style="thin">
        <color theme="1" tint="0.499984740745262"/>
      </top>
      <bottom style="thin">
        <color theme="1" tint="0.14999847407452621"/>
      </bottom>
      <diagonal/>
    </border>
    <border>
      <left/>
      <right/>
      <top style="thin">
        <color theme="1" tint="0.14999847407452621"/>
      </top>
      <bottom/>
      <diagonal/>
    </border>
    <border>
      <left/>
      <right/>
      <top style="thin">
        <color theme="1" tint="0.499984740745262"/>
      </top>
      <bottom style="thin">
        <color theme="1" tint="0.14999847407452621"/>
      </bottom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/>
      <right/>
      <top style="thin">
        <color theme="1" tint="0.14999847407452621"/>
      </top>
      <bottom style="thin">
        <color theme="1" tint="0.14999847407452621"/>
      </bottom>
      <diagonal/>
    </border>
    <border>
      <left style="medium">
        <color theme="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theme="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 tint="0.499984740745262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thin">
        <color theme="1" tint="0.14999847407452621"/>
      </left>
      <right/>
      <top style="medium">
        <color theme="3"/>
      </top>
      <bottom style="medium">
        <color theme="3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14999847407452621"/>
      </bottom>
      <diagonal/>
    </border>
    <border>
      <left style="thin">
        <color theme="1" tint="0.249977111117893"/>
      </left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14999847407452621"/>
      </left>
      <right/>
      <top/>
      <bottom style="thin">
        <color theme="1" tint="0.1499984740745262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/>
      <right style="thin">
        <color theme="1" tint="0.14999847407452621"/>
      </right>
      <top style="thin">
        <color theme="1" tint="0.499984740745262"/>
      </top>
      <bottom style="thin">
        <color theme="1" tint="0.14999847407452621"/>
      </bottom>
      <diagonal/>
    </border>
    <border>
      <left style="thin">
        <color theme="1" tint="0.14999847407452621"/>
      </left>
      <right style="thin">
        <color theme="1" tint="0.14999847407452621"/>
      </right>
      <top style="thin">
        <color theme="1" tint="0.499984740745262"/>
      </top>
      <bottom style="thin">
        <color theme="1" tint="0.14999847407452621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1" tint="0.14999847407452621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0" tint="-0.499984740745262"/>
      </bottom>
      <diagonal/>
    </border>
    <border>
      <left style="thin">
        <color theme="1" tint="0.14999847407452621"/>
      </left>
      <right style="thin">
        <color theme="1" tint="0.14999847407452621"/>
      </right>
      <top style="thin">
        <color theme="0" tint="-0.499984740745262"/>
      </top>
      <bottom style="thin">
        <color theme="1" tint="0.14999847407452621"/>
      </bottom>
      <diagonal/>
    </border>
    <border>
      <left style="thin">
        <color theme="0" tint="-0.499984740745262"/>
      </left>
      <right style="thin">
        <color theme="1" tint="0.249977111117893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 tint="0.14999847407452621"/>
      </right>
      <top style="thin">
        <color theme="1" tint="0.14999847407452621"/>
      </top>
      <bottom style="thin">
        <color theme="1" tint="0.14999847407452621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14999847407452621"/>
      </top>
      <bottom style="thin">
        <color theme="0" tint="-0.499984740745262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 style="thin">
        <color theme="1" tint="0.14999847407452621"/>
      </left>
      <right style="thin">
        <color theme="1" tint="0.14999847407452621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theme="9" tint="-0.249977111117893"/>
      </left>
      <right style="thin">
        <color theme="1" tint="0.14999847407452621"/>
      </right>
      <top style="thin">
        <color theme="1" tint="0.14999847407452621"/>
      </top>
      <bottom style="thin">
        <color theme="1" tint="0.14999847407452621"/>
      </bottom>
      <diagonal/>
    </border>
    <border>
      <left style="thin">
        <color theme="1" tint="0.14999847407452621"/>
      </left>
      <right style="medium">
        <color theme="9" tint="-0.249977111117893"/>
      </right>
      <top style="thin">
        <color theme="1" tint="0.14999847407452621"/>
      </top>
      <bottom style="thin">
        <color theme="1" tint="0.14999847407452621"/>
      </bottom>
      <diagonal/>
    </border>
    <border>
      <left style="medium">
        <color theme="9" tint="-0.249977111117893"/>
      </left>
      <right style="thin">
        <color theme="1" tint="0.14999847407452621"/>
      </right>
      <top style="thin">
        <color theme="1" tint="0.14999847407452621"/>
      </top>
      <bottom style="medium">
        <color theme="9" tint="-0.249977111117893"/>
      </bottom>
      <diagonal/>
    </border>
    <border>
      <left style="thin">
        <color theme="1" tint="0.14999847407452621"/>
      </left>
      <right style="thin">
        <color theme="1" tint="0.14999847407452621"/>
      </right>
      <top style="thin">
        <color theme="1" tint="0.14999847407452621"/>
      </top>
      <bottom style="medium">
        <color theme="9" tint="-0.249977111117893"/>
      </bottom>
      <diagonal/>
    </border>
    <border>
      <left style="thin">
        <color theme="1" tint="0.14999847407452621"/>
      </left>
      <right style="medium">
        <color theme="9" tint="-0.249977111117893"/>
      </right>
      <top style="thin">
        <color theme="1" tint="0.14999847407452621"/>
      </top>
      <bottom style="medium">
        <color theme="9" tint="-0.249977111117893"/>
      </bottom>
      <diagonal/>
    </border>
    <border>
      <left style="thin">
        <color theme="1" tint="0.499984740745262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14999847407452621"/>
      </left>
      <right style="thin">
        <color theme="1" tint="0.14999847407452621"/>
      </right>
      <top style="thin">
        <color theme="1" tint="0.14999847407452621"/>
      </top>
      <bottom style="medium">
        <color rgb="FF008AEF"/>
      </bottom>
      <diagonal/>
    </border>
    <border>
      <left style="thin">
        <color theme="1" tint="0.14999847407452621"/>
      </left>
      <right style="medium">
        <color rgb="FF008AEF"/>
      </right>
      <top style="thin">
        <color theme="1" tint="0.14999847407452621"/>
      </top>
      <bottom style="thin">
        <color theme="1" tint="0.14999847407452621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medium">
        <color rgb="FF008AEF"/>
      </bottom>
      <diagonal/>
    </border>
    <border>
      <left style="thin">
        <color theme="1" tint="0.14999847407452621"/>
      </left>
      <right style="medium">
        <color rgb="FF008AEF"/>
      </right>
      <top style="thin">
        <color theme="1" tint="0.14999847407452621"/>
      </top>
      <bottom style="medium">
        <color rgb="FF008AEF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medium">
        <color theme="9" tint="-0.249977111117893"/>
      </bottom>
      <diagonal/>
    </border>
    <border>
      <left style="thin">
        <color theme="1" tint="0.499984740745262"/>
      </left>
      <right style="thin">
        <color theme="1" tint="0.34998626667073579"/>
      </right>
      <top style="thin">
        <color theme="1" tint="0.34998626667073579"/>
      </top>
      <bottom style="medium">
        <color theme="9" tint="-0.249977111117893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medium">
        <color theme="9" tint="-0.249977111117893"/>
      </bottom>
      <diagonal/>
    </border>
    <border>
      <left style="thin">
        <color theme="1" tint="0.499984740745262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499984740745262"/>
      </left>
      <right/>
      <top style="thin">
        <color theme="1" tint="0.34998626667073579"/>
      </top>
      <bottom style="medium">
        <color rgb="FF008AEF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medium">
        <color rgb="FF008AEF"/>
      </bottom>
      <diagonal/>
    </border>
    <border>
      <left style="medium">
        <color rgb="FF008AEF"/>
      </left>
      <right style="thin">
        <color theme="1" tint="0.14999847407452621"/>
      </right>
      <top style="thin">
        <color theme="1" tint="0.14999847407452621"/>
      </top>
      <bottom style="thin">
        <color theme="1" tint="0.14999847407452621"/>
      </bottom>
      <diagonal/>
    </border>
    <border>
      <left style="medium">
        <color rgb="FF008AEF"/>
      </left>
      <right style="thin">
        <color theme="1" tint="0.14999847407452621"/>
      </right>
      <top/>
      <bottom style="thin">
        <color theme="1" tint="0.14999847407452621"/>
      </bottom>
      <diagonal/>
    </border>
    <border>
      <left style="medium">
        <color rgb="FF008AEF"/>
      </left>
      <right style="thin">
        <color theme="1" tint="0.14999847407452621"/>
      </right>
      <top style="thin">
        <color theme="1" tint="0.14999847407452621"/>
      </top>
      <bottom style="medium">
        <color rgb="FF008AEF"/>
      </bottom>
      <diagonal/>
    </border>
    <border>
      <left style="medium">
        <color rgb="FF008AEF"/>
      </left>
      <right style="thin">
        <color theme="1" tint="0.14999847407452621"/>
      </right>
      <top style="medium">
        <color rgb="FF008AEF"/>
      </top>
      <bottom style="thin">
        <color theme="1" tint="0.14999847407452621"/>
      </bottom>
      <diagonal/>
    </border>
    <border>
      <left/>
      <right style="thin">
        <color theme="1" tint="0.34998626667073579"/>
      </right>
      <top style="medium">
        <color rgb="FF008AEF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medium">
        <color rgb="FF008AEF"/>
      </top>
      <bottom style="thin">
        <color theme="1" tint="0.34998626667073579"/>
      </bottom>
      <diagonal/>
    </border>
    <border>
      <left style="thin">
        <color theme="1" tint="0.499984740745262"/>
      </left>
      <right/>
      <top style="medium">
        <color rgb="FF008AEF"/>
      </top>
      <bottom style="thin">
        <color theme="1" tint="0.34998626667073579"/>
      </bottom>
      <diagonal/>
    </border>
    <border>
      <left style="thin">
        <color theme="1" tint="0.14999847407452621"/>
      </left>
      <right style="thin">
        <color theme="1" tint="0.14999847407452621"/>
      </right>
      <top style="medium">
        <color rgb="FF008AEF"/>
      </top>
      <bottom style="thin">
        <color theme="1" tint="0.14999847407452621"/>
      </bottom>
      <diagonal/>
    </border>
    <border>
      <left style="thin">
        <color theme="1" tint="0.14999847407452621"/>
      </left>
      <right style="medium">
        <color rgb="FF008AEF"/>
      </right>
      <top style="medium">
        <color rgb="FF008AEF"/>
      </top>
      <bottom style="thin">
        <color theme="1" tint="0.14999847407452621"/>
      </bottom>
      <diagonal/>
    </border>
    <border>
      <left/>
      <right/>
      <top/>
      <bottom style="medium">
        <color rgb="FF008AEF"/>
      </bottom>
      <diagonal/>
    </border>
    <border>
      <left style="medium">
        <color theme="9" tint="-0.249977111117893"/>
      </left>
      <right style="thin">
        <color theme="1" tint="0.14999847407452621"/>
      </right>
      <top style="medium">
        <color theme="9" tint="-0.249977111117893"/>
      </top>
      <bottom style="thin">
        <color theme="1" tint="0.14999847407452621"/>
      </bottom>
      <diagonal/>
    </border>
    <border>
      <left/>
      <right style="thin">
        <color theme="1" tint="0.34998626667073579"/>
      </right>
      <top style="medium">
        <color theme="9" tint="-0.249977111117893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medium">
        <color theme="9" tint="-0.249977111117893"/>
      </top>
      <bottom style="thin">
        <color theme="1" tint="0.34998626667073579"/>
      </bottom>
      <diagonal/>
    </border>
    <border>
      <left style="thin">
        <color theme="1" tint="0.499984740745262"/>
      </left>
      <right style="thin">
        <color theme="1" tint="0.34998626667073579"/>
      </right>
      <top style="medium">
        <color theme="9" tint="-0.249977111117893"/>
      </top>
      <bottom style="thin">
        <color theme="1" tint="0.34998626667073579"/>
      </bottom>
      <diagonal/>
    </border>
    <border>
      <left style="thin">
        <color theme="1" tint="0.14999847407452621"/>
      </left>
      <right style="thin">
        <color theme="1" tint="0.14999847407452621"/>
      </right>
      <top style="medium">
        <color theme="9" tint="-0.249977111117893"/>
      </top>
      <bottom style="thin">
        <color theme="1" tint="0.14999847407452621"/>
      </bottom>
      <diagonal/>
    </border>
    <border>
      <left style="thin">
        <color theme="1" tint="0.14999847407452621"/>
      </left>
      <right style="medium">
        <color theme="9" tint="-0.249977111117893"/>
      </right>
      <top style="medium">
        <color theme="9" tint="-0.249977111117893"/>
      </top>
      <bottom style="thin">
        <color theme="1" tint="0.14999847407452621"/>
      </bottom>
      <diagonal/>
    </border>
    <border>
      <left style="thin">
        <color theme="0" tint="-0.499984740745262"/>
      </left>
      <right/>
      <top/>
      <bottom style="thin">
        <color theme="1" tint="0.34998626667073579"/>
      </bottom>
      <diagonal/>
    </border>
    <border>
      <left style="thin">
        <color theme="1" tint="0.14999847407452621"/>
      </left>
      <right/>
      <top/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499984740745262"/>
      </left>
      <right/>
      <top style="medium">
        <color rgb="FF008AEF"/>
      </top>
      <bottom style="thin">
        <color theme="1" tint="0.34998626667073579"/>
      </bottom>
      <diagonal/>
    </border>
    <border>
      <left/>
      <right/>
      <top style="medium">
        <color rgb="FF008AEF"/>
      </top>
      <bottom/>
      <diagonal/>
    </border>
    <border>
      <left style="medium">
        <color rgb="FF008AEF"/>
      </left>
      <right style="thin">
        <color theme="0" tint="-0.499984740745262"/>
      </right>
      <top style="medium">
        <color rgb="FF008AEF"/>
      </top>
      <bottom style="thin">
        <color theme="1" tint="0.34998626667073579"/>
      </bottom>
      <diagonal/>
    </border>
    <border>
      <left style="medium">
        <color rgb="FF008AEF"/>
      </left>
      <right style="thin">
        <color theme="0" tint="-0.499984740745262"/>
      </right>
      <top/>
      <bottom style="thin">
        <color theme="1" tint="0.34998626667073579"/>
      </bottom>
      <diagonal/>
    </border>
    <border>
      <left style="medium">
        <color rgb="FF008AEF"/>
      </left>
      <right style="thin">
        <color theme="0" tint="-0.499984740745262"/>
      </right>
      <top/>
      <bottom style="medium">
        <color rgb="FF008AEF"/>
      </bottom>
      <diagonal/>
    </border>
    <border>
      <left style="thin">
        <color theme="0" tint="-0.499984740745262"/>
      </left>
      <right/>
      <top/>
      <bottom style="medium">
        <color rgb="FF008AEF"/>
      </bottom>
      <diagonal/>
    </border>
    <border>
      <left style="thin">
        <color theme="1" tint="0.14999847407452621"/>
      </left>
      <right style="medium">
        <color rgb="FF008AEF"/>
      </right>
      <top/>
      <bottom style="thin">
        <color theme="1" tint="0.14999847407452621"/>
      </bottom>
      <diagonal/>
    </border>
    <border>
      <left/>
      <right/>
      <top style="medium">
        <color theme="9" tint="-0.249977111117893"/>
      </top>
      <bottom style="thin">
        <color theme="1" tint="0.34998626667073579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 style="medium">
        <color theme="9" tint="-0.249977111117893"/>
      </left>
      <right/>
      <top style="thin">
        <color theme="1" tint="0.14999847407452621"/>
      </top>
      <bottom style="thin">
        <color theme="1" tint="0.14999847407452621"/>
      </bottom>
      <diagonal/>
    </border>
    <border>
      <left style="medium">
        <color theme="9" tint="-0.249977111117893"/>
      </left>
      <right/>
      <top style="thin">
        <color theme="1" tint="0.14999847407452621"/>
      </top>
      <bottom style="medium">
        <color theme="9" tint="-0.249977111117893"/>
      </bottom>
      <diagonal/>
    </border>
    <border>
      <left style="thin">
        <color theme="0" tint="-0.499984740745262"/>
      </left>
      <right style="medium">
        <color theme="9" tint="-0.249977111117893"/>
      </right>
      <top style="medium">
        <color theme="9" tint="-0.249977111117893"/>
      </top>
      <bottom style="thin">
        <color theme="1" tint="0.34998626667073579"/>
      </bottom>
      <diagonal/>
    </border>
    <border>
      <left style="thin">
        <color theme="0" tint="-0.499984740745262"/>
      </left>
      <right style="medium">
        <color theme="9" tint="-0.249977111117893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499984740745262"/>
      </left>
      <right style="medium">
        <color theme="9" tint="-0.249977111117893"/>
      </right>
      <top style="thin">
        <color theme="1" tint="0.34998626667073579"/>
      </top>
      <bottom style="medium">
        <color theme="9" tint="-0.249977111117893"/>
      </bottom>
      <diagonal/>
    </border>
    <border>
      <left/>
      <right style="thin">
        <color theme="1" tint="0.14999847407452621"/>
      </right>
      <top/>
      <bottom/>
      <diagonal/>
    </border>
    <border>
      <left style="thin">
        <color theme="1" tint="0.14999847407452621"/>
      </left>
      <right/>
      <top style="thin">
        <color theme="1" tint="0.14999847407452621"/>
      </top>
      <bottom style="medium">
        <color rgb="FF008AEF"/>
      </bottom>
      <diagonal/>
    </border>
    <border>
      <left/>
      <right style="thin">
        <color theme="1" tint="0.14999847407452621"/>
      </right>
      <top style="thin">
        <color theme="1" tint="0.14999847407452621"/>
      </top>
      <bottom style="medium">
        <color rgb="FF008AEF"/>
      </bottom>
      <diagonal/>
    </border>
    <border>
      <left style="thin">
        <color theme="1" tint="0.14999847407452621"/>
      </left>
      <right/>
      <top style="medium">
        <color rgb="FF008AEF"/>
      </top>
      <bottom style="thin">
        <color theme="1" tint="0.14999847407452621"/>
      </bottom>
      <diagonal/>
    </border>
    <border>
      <left/>
      <right style="thin">
        <color theme="1" tint="0.14999847407452621"/>
      </right>
      <top style="medium">
        <color rgb="FF008AEF"/>
      </top>
      <bottom style="thin">
        <color theme="1" tint="0.14999847407452621"/>
      </bottom>
      <diagonal/>
    </border>
    <border>
      <left/>
      <right/>
      <top style="thin">
        <color theme="1" tint="0.14999847407452621"/>
      </top>
      <bottom style="medium">
        <color rgb="FF008AEF"/>
      </bottom>
      <diagonal/>
    </border>
    <border>
      <left/>
      <right/>
      <top style="medium">
        <color rgb="FF008AEF"/>
      </top>
      <bottom style="thin">
        <color theme="1" tint="0.14999847407452621"/>
      </bottom>
      <diagonal/>
    </border>
    <border>
      <left style="thin">
        <color theme="1" tint="0.34998626667073579"/>
      </left>
      <right style="thin">
        <color theme="1" tint="0.34998626667073579"/>
      </right>
      <top style="medium">
        <color rgb="FF008AEF"/>
      </top>
      <bottom style="thin">
        <color theme="1" tint="0.34998626667073579"/>
      </bottom>
      <diagonal/>
    </border>
    <border>
      <left/>
      <right style="medium">
        <color rgb="FF008AEF"/>
      </right>
      <top style="medium">
        <color rgb="FF008AEF"/>
      </top>
      <bottom style="thin">
        <color theme="1" tint="0.14999847407452621"/>
      </bottom>
      <diagonal/>
    </border>
    <border>
      <left/>
      <right style="medium">
        <color rgb="FF008AEF"/>
      </right>
      <top style="thin">
        <color theme="1" tint="0.14999847407452621"/>
      </top>
      <bottom style="thin">
        <color theme="1" tint="0.14999847407452621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medium">
        <color rgb="FF008AEF"/>
      </bottom>
      <diagonal/>
    </border>
    <border>
      <left/>
      <right style="medium">
        <color rgb="FF008AEF"/>
      </right>
      <top style="thin">
        <color theme="1" tint="0.14999847407452621"/>
      </top>
      <bottom style="medium">
        <color rgb="FF008AEF"/>
      </bottom>
      <diagonal/>
    </border>
    <border>
      <left style="thin">
        <color theme="0" tint="-0.499984740745262"/>
      </left>
      <right/>
      <top/>
      <bottom/>
      <diagonal/>
    </border>
    <border>
      <left style="medium">
        <color rgb="FF008AEF"/>
      </left>
      <right/>
      <top style="thin">
        <color theme="1" tint="0.14999847407452621"/>
      </top>
      <bottom style="thin">
        <color theme="1" tint="0.1499984740745262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14999847407452621"/>
      </left>
      <right/>
      <top style="thin">
        <color theme="1" tint="0.249977111117893"/>
      </top>
      <bottom style="thin">
        <color theme="1" tint="0.14999847407452621"/>
      </bottom>
      <diagonal/>
    </border>
    <border>
      <left/>
      <right style="thin">
        <color theme="1" tint="0.14999847407452621"/>
      </right>
      <top style="thin">
        <color theme="1" tint="0.249977111117893"/>
      </top>
      <bottom style="thin">
        <color theme="1" tint="0.14999847407452621"/>
      </bottom>
      <diagonal/>
    </border>
    <border>
      <left style="thin">
        <color theme="1" tint="0.14999847407452621"/>
      </left>
      <right style="thin">
        <color theme="1" tint="0.249977111117893"/>
      </right>
      <top style="thin">
        <color theme="1" tint="0.249977111117893"/>
      </top>
      <bottom style="thin">
        <color theme="1" tint="0.14999847407452621"/>
      </bottom>
      <diagonal/>
    </border>
    <border>
      <left style="medium">
        <color rgb="FF008AEF"/>
      </left>
      <right/>
      <top style="medium">
        <color rgb="FF008AEF"/>
      </top>
      <bottom style="thin">
        <color theme="1" tint="0.14999847407452621"/>
      </bottom>
      <diagonal/>
    </border>
    <border>
      <left style="medium">
        <color rgb="FF008AEF"/>
      </left>
      <right style="thin">
        <color theme="1" tint="0.34998626667073579"/>
      </right>
      <top style="thin">
        <color theme="1" tint="0.14999847407452621"/>
      </top>
      <bottom style="thin">
        <color theme="1" tint="0.14999847407452621"/>
      </bottom>
      <diagonal/>
    </border>
    <border>
      <left style="medium">
        <color rgb="FF008AEF"/>
      </left>
      <right/>
      <top style="thin">
        <color theme="1" tint="0.14999847407452621"/>
      </top>
      <bottom style="medium">
        <color rgb="FF008AEF"/>
      </bottom>
      <diagonal/>
    </border>
    <border>
      <left style="thin">
        <color theme="1" tint="0.249977111117893"/>
      </left>
      <right/>
      <top style="medium">
        <color rgb="FF008AEF"/>
      </top>
      <bottom/>
      <diagonal/>
    </border>
    <border>
      <left style="thin">
        <color theme="1" tint="0.14999847407452621"/>
      </left>
      <right/>
      <top style="medium">
        <color rgb="FF008AEF"/>
      </top>
      <bottom/>
      <diagonal/>
    </border>
    <border>
      <left/>
      <right style="thin">
        <color theme="1" tint="0.249977111117893"/>
      </right>
      <top style="medium">
        <color rgb="FF008AEF"/>
      </top>
      <bottom/>
      <diagonal/>
    </border>
    <border>
      <left style="thin">
        <color theme="0" tint="-0.499984740745262"/>
      </left>
      <right style="thin">
        <color theme="1" tint="0.249977111117893"/>
      </right>
      <top style="thin">
        <color theme="1" tint="0.14999847407452621"/>
      </top>
      <bottom style="thin">
        <color theme="0" tint="-0.499984740745262"/>
      </bottom>
      <diagonal/>
    </border>
    <border>
      <left/>
      <right/>
      <top style="medium">
        <color theme="9" tint="-0.249977111117893"/>
      </top>
      <bottom style="thin">
        <color theme="1" tint="0.14999847407452621"/>
      </bottom>
      <diagonal/>
    </border>
    <border>
      <left style="thin">
        <color theme="1" tint="0.14999847407452621"/>
      </left>
      <right/>
      <top style="medium">
        <color theme="9" tint="-0.249977111117893"/>
      </top>
      <bottom style="thin">
        <color theme="1" tint="0.14999847407452621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thin">
        <color theme="1" tint="0.14999847407452621"/>
      </bottom>
      <diagonal/>
    </border>
    <border>
      <left/>
      <right style="medium">
        <color theme="9" tint="-0.249977111117893"/>
      </right>
      <top style="thin">
        <color theme="1" tint="0.14999847407452621"/>
      </top>
      <bottom style="thin">
        <color theme="1" tint="0.14999847407452621"/>
      </bottom>
      <diagonal/>
    </border>
    <border>
      <left/>
      <right/>
      <top style="thin">
        <color theme="1" tint="0.14999847407452621"/>
      </top>
      <bottom style="medium">
        <color theme="9" tint="-0.249977111117893"/>
      </bottom>
      <diagonal/>
    </border>
    <border>
      <left style="thin">
        <color theme="1" tint="0.14999847407452621"/>
      </left>
      <right/>
      <top style="thin">
        <color theme="1" tint="0.14999847407452621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thin">
        <color theme="1" tint="0.14999847407452621"/>
      </top>
      <bottom style="medium">
        <color theme="9" tint="-0.249977111117893"/>
      </bottom>
      <diagonal/>
    </border>
    <border>
      <left/>
      <right style="thin">
        <color theme="1" tint="0.14999847407452621"/>
      </right>
      <top style="medium">
        <color theme="9" tint="-0.249977111117893"/>
      </top>
      <bottom style="thin">
        <color theme="1" tint="0.14999847407452621"/>
      </bottom>
      <diagonal/>
    </border>
    <border>
      <left style="thin">
        <color theme="1" tint="0.249977111117893"/>
      </left>
      <right/>
      <top style="thin">
        <color theme="1" tint="0.14999847407452621"/>
      </top>
      <bottom/>
      <diagonal/>
    </border>
    <border>
      <left/>
      <right style="thin">
        <color theme="1" tint="0.14999847407452621"/>
      </right>
      <top style="thin">
        <color theme="1" tint="0.14999847407452621"/>
      </top>
      <bottom style="medium">
        <color theme="9" tint="-0.249977111117893"/>
      </bottom>
      <diagonal/>
    </border>
    <border>
      <left/>
      <right style="thin">
        <color theme="0" tint="-0.499984740745262"/>
      </right>
      <top/>
      <bottom style="medium">
        <color rgb="FF008AEF"/>
      </bottom>
      <diagonal/>
    </border>
    <border>
      <left style="thin">
        <color theme="1" tint="0.249977111117893"/>
      </left>
      <right/>
      <top/>
      <bottom style="thin">
        <color theme="1" tint="0.499984740745262"/>
      </bottom>
      <diagonal/>
    </border>
    <border>
      <left style="thin">
        <color theme="1" tint="0.249977111117893"/>
      </left>
      <right style="thin">
        <color theme="1" tint="0.249977111117893"/>
      </right>
      <top/>
      <bottom style="thin">
        <color theme="1" tint="0.499984740745262"/>
      </bottom>
      <diagonal/>
    </border>
    <border>
      <left style="medium">
        <color rgb="FF376092"/>
      </left>
      <right/>
      <top style="medium">
        <color rgb="FF376092"/>
      </top>
      <bottom/>
      <diagonal/>
    </border>
    <border>
      <left/>
      <right style="medium">
        <color rgb="FF376092"/>
      </right>
      <top style="medium">
        <color rgb="FF376092"/>
      </top>
      <bottom/>
      <diagonal/>
    </border>
    <border>
      <left style="medium">
        <color rgb="FF376092"/>
      </left>
      <right/>
      <top/>
      <bottom/>
      <diagonal/>
    </border>
    <border>
      <left/>
      <right style="medium">
        <color rgb="FF376092"/>
      </right>
      <top/>
      <bottom/>
      <diagonal/>
    </border>
    <border>
      <left style="medium">
        <color rgb="FF376092"/>
      </left>
      <right/>
      <top/>
      <bottom style="medium">
        <color rgb="FF376092"/>
      </bottom>
      <diagonal/>
    </border>
    <border>
      <left/>
      <right style="medium">
        <color rgb="FF376092"/>
      </right>
      <top/>
      <bottom style="medium">
        <color rgb="FF376092"/>
      </bottom>
      <diagonal/>
    </border>
    <border>
      <left style="medium">
        <color theme="0" tint="-0.499984740745262"/>
      </left>
      <right/>
      <top/>
      <bottom/>
      <diagonal/>
    </border>
    <border>
      <left style="medium">
        <color theme="0" tint="-0.499984740745262"/>
      </left>
      <right style="thin">
        <color theme="1" tint="0.249977111117893"/>
      </right>
      <top style="thin">
        <color theme="1" tint="0.249977111117893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1" tint="0.14999847407452621"/>
      </right>
      <top style="thin">
        <color theme="1" tint="0.14999847407452621"/>
      </top>
      <bottom style="thin">
        <color theme="1" tint="0.1499984740745262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1" tint="0.14999847407452621"/>
      </right>
      <top style="thin">
        <color theme="0" tint="-0.499984740745262"/>
      </top>
      <bottom style="thin">
        <color theme="1" tint="0.14999847407452621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1" tint="0.14999847407452621"/>
      </top>
      <bottom style="thin">
        <color theme="1" tint="0.14999847407452621"/>
      </bottom>
      <diagonal/>
    </border>
    <border>
      <left/>
      <right style="medium">
        <color theme="0" tint="-0.499984740745262"/>
      </right>
      <top/>
      <bottom style="thin">
        <color theme="1" tint="0.249977111117893"/>
      </bottom>
      <diagonal/>
    </border>
    <border>
      <left/>
      <right/>
      <top style="medium">
        <color theme="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theme="4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thin">
        <color indexed="64"/>
      </left>
      <right/>
      <top/>
      <bottom style="medium">
        <color theme="4"/>
      </bottom>
      <diagonal/>
    </border>
    <border>
      <left/>
      <right style="thin">
        <color indexed="64"/>
      </right>
      <top/>
      <bottom style="medium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8" tint="-0.499984740745262"/>
      </left>
      <right style="thin">
        <color theme="1" tint="0.14999847407452621"/>
      </right>
      <top style="medium">
        <color theme="8" tint="-0.499984740745262"/>
      </top>
      <bottom style="medium">
        <color theme="8" tint="-0.499984740745262"/>
      </bottom>
      <diagonal/>
    </border>
    <border>
      <left style="thin">
        <color theme="1" tint="0.14999847407452621"/>
      </left>
      <right style="thin">
        <color theme="1" tint="0.14999847407452621"/>
      </right>
      <top style="medium">
        <color theme="8" tint="-0.499984740745262"/>
      </top>
      <bottom style="medium">
        <color theme="8" tint="-0.499984740745262"/>
      </bottom>
      <diagonal/>
    </border>
    <border>
      <left style="thin">
        <color theme="1" tint="0.14999847407452621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 style="thin">
        <color theme="1" tint="0.14999847407452621"/>
      </left>
      <right style="thin">
        <color theme="8"/>
      </right>
      <top style="thin">
        <color theme="1" tint="0.14999847407452621"/>
      </top>
      <bottom style="thin">
        <color theme="1" tint="0.14999847407452621"/>
      </bottom>
      <diagonal/>
    </border>
    <border>
      <left style="thin">
        <color theme="1" tint="0.14999847407452621"/>
      </left>
      <right style="thin">
        <color theme="8"/>
      </right>
      <top style="thin">
        <color theme="1" tint="0.14999847407452621"/>
      </top>
      <bottom/>
      <diagonal/>
    </border>
    <border>
      <left style="thin">
        <color theme="1" tint="0.14999847407452621"/>
      </left>
      <right style="thin">
        <color theme="8"/>
      </right>
      <top style="medium">
        <color theme="8" tint="-0.499984740745262"/>
      </top>
      <bottom style="medium">
        <color theme="8" tint="-0.499984740745262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theme="1" tint="4.9989318521683403E-2"/>
      </right>
      <top/>
      <bottom style="thin">
        <color theme="1" tint="4.9989318521683403E-2"/>
      </bottom>
      <diagonal/>
    </border>
    <border>
      <left/>
      <right/>
      <top/>
      <bottom style="medium">
        <color rgb="FF0070C0"/>
      </bottom>
      <diagonal/>
    </border>
    <border>
      <left style="medium">
        <color rgb="FF008AEF"/>
      </left>
      <right/>
      <top style="medium">
        <color theme="9" tint="-0.249977111117893"/>
      </top>
      <bottom style="thin">
        <color theme="1" tint="0.14999847407452621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/>
      <diagonal/>
    </border>
    <border>
      <left style="thin">
        <color theme="1" tint="4.9989318521683403E-2"/>
      </left>
      <right style="thin">
        <color theme="1" tint="4.9989318521683403E-2"/>
      </right>
      <top/>
      <bottom/>
      <diagonal/>
    </border>
  </borders>
  <cellStyleXfs count="21">
    <xf numFmtId="0" fontId="0" fillId="0" borderId="0"/>
    <xf numFmtId="0" fontId="2" fillId="2" borderId="0" applyNumberFormat="0" applyBorder="0" applyAlignment="0" applyProtection="0"/>
    <xf numFmtId="167" fontId="3" fillId="3" borderId="0" applyNumberFormat="0" applyBorder="0" applyAlignment="0" applyProtection="0"/>
    <xf numFmtId="0" fontId="10" fillId="0" borderId="0">
      <alignment vertical="top"/>
    </xf>
    <xf numFmtId="167" fontId="2" fillId="2" borderId="0" applyNumberFormat="0" applyBorder="0" applyAlignment="0" applyProtection="0"/>
    <xf numFmtId="169" fontId="11" fillId="5" borderId="3">
      <alignment horizontal="left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/>
    <xf numFmtId="0" fontId="13" fillId="0" borderId="0">
      <alignment vertical="center"/>
    </xf>
    <xf numFmtId="167" fontId="1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3" fillId="3" borderId="0" applyNumberFormat="0" applyBorder="0" applyAlignment="0" applyProtection="0"/>
    <xf numFmtId="167" fontId="3" fillId="3" borderId="0" applyNumberFormat="0" applyBorder="0" applyAlignment="0" applyProtection="0"/>
    <xf numFmtId="168" fontId="3" fillId="3" borderId="0" applyNumberFormat="0" applyBorder="0" applyAlignment="0" applyProtection="0"/>
    <xf numFmtId="167" fontId="3" fillId="3" borderId="0" applyNumberFormat="0" applyBorder="0" applyAlignment="0" applyProtection="0"/>
    <xf numFmtId="169" fontId="3" fillId="3" borderId="0" applyNumberFormat="0" applyBorder="0" applyAlignment="0" applyProtection="0"/>
    <xf numFmtId="0" fontId="42" fillId="0" borderId="0" applyNumberFormat="0" applyFill="0" applyBorder="0" applyAlignment="0" applyProtection="0">
      <alignment vertical="top"/>
      <protection locked="0"/>
    </xf>
    <xf numFmtId="169" fontId="3" fillId="3" borderId="0" applyNumberFormat="0" applyBorder="0" applyAlignment="0" applyProtection="0"/>
    <xf numFmtId="170" fontId="3" fillId="3" borderId="0" applyNumberFormat="0" applyBorder="0" applyAlignment="0" applyProtection="0"/>
    <xf numFmtId="167" fontId="1" fillId="0" borderId="0" applyFont="0" applyFill="0" applyBorder="0" applyAlignment="0" applyProtection="0"/>
  </cellStyleXfs>
  <cellXfs count="1083">
    <xf numFmtId="0" fontId="0" fillId="0" borderId="0" xfId="0"/>
    <xf numFmtId="0" fontId="4" fillId="4" borderId="0" xfId="0" applyFont="1" applyFill="1"/>
    <xf numFmtId="0" fontId="7" fillId="4" borderId="0" xfId="0" applyFont="1" applyFill="1"/>
    <xf numFmtId="167" fontId="8" fillId="3" borderId="0" xfId="2" applyFont="1" applyAlignment="1"/>
    <xf numFmtId="167" fontId="8" fillId="3" borderId="0" xfId="2" applyFont="1" applyAlignment="1">
      <alignment horizontal="center"/>
    </xf>
    <xf numFmtId="0" fontId="9" fillId="4" borderId="0" xfId="0" applyFont="1" applyFill="1" applyAlignment="1">
      <alignment horizontal="right"/>
    </xf>
    <xf numFmtId="0" fontId="16" fillId="4" borderId="0" xfId="0" applyFont="1" applyFill="1"/>
    <xf numFmtId="0" fontId="6" fillId="0" borderId="0" xfId="0" applyNumberFormat="1" applyFont="1" applyFill="1" applyAlignment="1">
      <alignment horizontal="right" wrapText="1"/>
    </xf>
    <xf numFmtId="0" fontId="17" fillId="4" borderId="0" xfId="0" applyFont="1" applyFill="1"/>
    <xf numFmtId="0" fontId="14" fillId="4" borderId="0" xfId="0" applyFont="1" applyFill="1"/>
    <xf numFmtId="0" fontId="5" fillId="4" borderId="0" xfId="0" applyFont="1" applyFill="1"/>
    <xf numFmtId="0" fontId="18" fillId="4" borderId="0" xfId="0" applyFont="1" applyFill="1" applyAlignment="1">
      <alignment horizontal="right"/>
    </xf>
    <xf numFmtId="167" fontId="19" fillId="3" borderId="0" xfId="2" applyFont="1" applyAlignment="1"/>
    <xf numFmtId="3" fontId="6" fillId="0" borderId="0" xfId="0" applyNumberFormat="1" applyFont="1" applyFill="1" applyAlignment="1">
      <alignment horizontal="right" wrapText="1"/>
    </xf>
    <xf numFmtId="0" fontId="16" fillId="6" borderId="1" xfId="0" applyNumberFormat="1" applyFont="1" applyFill="1" applyBorder="1" applyAlignment="1" applyProtection="1">
      <alignment horizontal="center" wrapText="1"/>
      <protection locked="0"/>
    </xf>
    <xf numFmtId="0" fontId="6" fillId="0" borderId="0" xfId="0" applyNumberFormat="1" applyFont="1" applyFill="1" applyAlignment="1">
      <alignment horizontal="center" wrapText="1"/>
    </xf>
    <xf numFmtId="10" fontId="6" fillId="0" borderId="0" xfId="0" applyNumberFormat="1" applyFont="1" applyFill="1" applyAlignment="1">
      <alignment horizontal="right" wrapText="1"/>
    </xf>
    <xf numFmtId="0" fontId="6" fillId="4" borderId="0" xfId="0" applyFont="1" applyFill="1"/>
    <xf numFmtId="167" fontId="18" fillId="3" borderId="0" xfId="2" applyFont="1" applyAlignment="1"/>
    <xf numFmtId="4" fontId="20" fillId="0" borderId="0" xfId="0" applyNumberFormat="1" applyFont="1" applyFill="1" applyAlignment="1">
      <alignment horizontal="right" wrapText="1"/>
    </xf>
    <xf numFmtId="4" fontId="21" fillId="0" borderId="0" xfId="0" applyNumberFormat="1" applyFont="1" applyFill="1" applyAlignment="1">
      <alignment horizontal="right" wrapText="1"/>
    </xf>
    <xf numFmtId="0" fontId="22" fillId="4" borderId="0" xfId="0" applyFont="1" applyFill="1" applyAlignment="1">
      <alignment horizontal="center"/>
    </xf>
    <xf numFmtId="0" fontId="23" fillId="4" borderId="0" xfId="0" applyFont="1" applyFill="1" applyAlignment="1">
      <alignment horizontal="center"/>
    </xf>
    <xf numFmtId="168" fontId="18" fillId="4" borderId="0" xfId="0" applyNumberFormat="1" applyFont="1" applyFill="1" applyAlignment="1"/>
    <xf numFmtId="0" fontId="6" fillId="0" borderId="0" xfId="0" applyNumberFormat="1" applyFont="1" applyFill="1" applyAlignment="1">
      <alignment horizontal="left" wrapText="1"/>
    </xf>
    <xf numFmtId="173" fontId="6" fillId="0" borderId="0" xfId="10" applyNumberFormat="1" applyFont="1" applyFill="1" applyAlignment="1">
      <alignment horizontal="right" wrapText="1"/>
    </xf>
    <xf numFmtId="167" fontId="18" fillId="3" borderId="0" xfId="2" applyFont="1" applyAlignment="1">
      <alignment horizontal="center"/>
    </xf>
    <xf numFmtId="167" fontId="24" fillId="3" borderId="0" xfId="2" applyFont="1" applyAlignment="1">
      <alignment horizontal="center"/>
    </xf>
    <xf numFmtId="167" fontId="25" fillId="3" borderId="0" xfId="2" applyFont="1" applyAlignment="1">
      <alignment horizontal="center" wrapText="1"/>
    </xf>
    <xf numFmtId="10" fontId="6" fillId="0" borderId="0" xfId="11" applyNumberFormat="1" applyFont="1" applyFill="1" applyAlignment="1">
      <alignment horizontal="right" wrapText="1"/>
    </xf>
    <xf numFmtId="168" fontId="9" fillId="4" borderId="0" xfId="0" applyNumberFormat="1" applyFont="1" applyFill="1" applyAlignment="1">
      <alignment horizontal="left"/>
    </xf>
    <xf numFmtId="0" fontId="14" fillId="4" borderId="4" xfId="0" applyFont="1" applyFill="1" applyBorder="1" applyAlignment="1">
      <alignment horizontal="center" wrapText="1"/>
    </xf>
    <xf numFmtId="14" fontId="5" fillId="0" borderId="0" xfId="0" applyNumberFormat="1" applyFont="1" applyFill="1" applyAlignment="1">
      <alignment horizontal="center"/>
    </xf>
    <xf numFmtId="0" fontId="5" fillId="0" borderId="0" xfId="0" applyNumberFormat="1" applyFont="1" applyFill="1" applyAlignment="1">
      <alignment horizontal="center"/>
    </xf>
    <xf numFmtId="0" fontId="5" fillId="0" borderId="0" xfId="0" applyFont="1" applyFill="1" applyAlignment="1">
      <alignment horizontal="left"/>
    </xf>
    <xf numFmtId="49" fontId="5" fillId="0" borderId="0" xfId="0" applyNumberFormat="1" applyFont="1" applyFill="1" applyAlignment="1">
      <alignment horizontal="center"/>
    </xf>
    <xf numFmtId="0" fontId="18" fillId="0" borderId="4" xfId="0" applyFont="1" applyFill="1" applyBorder="1" applyAlignment="1">
      <alignment horizontal="center" wrapText="1"/>
    </xf>
    <xf numFmtId="0" fontId="5" fillId="0" borderId="0" xfId="0" applyFont="1" applyFill="1" applyAlignment="1">
      <alignment horizontal="left"/>
    </xf>
    <xf numFmtId="0" fontId="27" fillId="4" borderId="0" xfId="0" applyFont="1" applyFill="1" applyAlignment="1">
      <alignment horizontal="left"/>
    </xf>
    <xf numFmtId="0" fontId="28" fillId="4" borderId="0" xfId="0" applyFont="1" applyFill="1"/>
    <xf numFmtId="0" fontId="29" fillId="4" borderId="0" xfId="0" applyFont="1" applyFill="1"/>
    <xf numFmtId="0" fontId="27" fillId="4" borderId="0" xfId="0" applyFont="1" applyFill="1" applyAlignment="1">
      <alignment horizontal="right"/>
    </xf>
    <xf numFmtId="0" fontId="30" fillId="4" borderId="0" xfId="0" applyFont="1" applyFill="1" applyAlignment="1">
      <alignment horizontal="right"/>
    </xf>
    <xf numFmtId="0" fontId="34" fillId="4" borderId="0" xfId="0" applyFont="1" applyFill="1" applyAlignment="1">
      <alignment horizontal="right"/>
    </xf>
    <xf numFmtId="174" fontId="35" fillId="0" borderId="0" xfId="0" applyNumberFormat="1" applyFont="1" applyFill="1" applyAlignment="1">
      <alignment horizontal="right" wrapText="1"/>
    </xf>
    <xf numFmtId="0" fontId="34" fillId="5" borderId="0" xfId="0" applyFont="1" applyFill="1" applyBorder="1" applyAlignment="1">
      <alignment horizontal="center"/>
    </xf>
    <xf numFmtId="0" fontId="37" fillId="4" borderId="0" xfId="0" applyFont="1" applyFill="1"/>
    <xf numFmtId="0" fontId="32" fillId="4" borderId="0" xfId="0" applyFont="1" applyFill="1"/>
    <xf numFmtId="0" fontId="32" fillId="0" borderId="0" xfId="0" applyFont="1" applyFill="1" applyBorder="1" applyAlignment="1">
      <alignment horizontal="center"/>
    </xf>
    <xf numFmtId="165" fontId="32" fillId="4" borderId="0" xfId="0" applyNumberFormat="1" applyFont="1" applyFill="1"/>
    <xf numFmtId="175" fontId="32" fillId="4" borderId="0" xfId="0" applyNumberFormat="1" applyFont="1" applyFill="1"/>
    <xf numFmtId="0" fontId="28" fillId="4" borderId="0" xfId="0" applyFont="1" applyFill="1" applyAlignment="1">
      <alignment horizontal="center"/>
    </xf>
    <xf numFmtId="177" fontId="32" fillId="4" borderId="0" xfId="0" applyNumberFormat="1" applyFont="1" applyFill="1"/>
    <xf numFmtId="1" fontId="32" fillId="0" borderId="0" xfId="10" applyNumberFormat="1" applyFont="1" applyFill="1" applyBorder="1" applyAlignment="1">
      <alignment horizontal="center"/>
    </xf>
    <xf numFmtId="0" fontId="26" fillId="4" borderId="0" xfId="0" applyFont="1" applyFill="1"/>
    <xf numFmtId="9" fontId="32" fillId="4" borderId="0" xfId="11" applyFont="1" applyFill="1"/>
    <xf numFmtId="0" fontId="34" fillId="4" borderId="0" xfId="0" applyFont="1" applyFill="1" applyAlignment="1">
      <alignment horizontal="center"/>
    </xf>
    <xf numFmtId="10" fontId="32" fillId="0" borderId="5" xfId="11" applyNumberFormat="1" applyFont="1" applyFill="1" applyBorder="1" applyAlignment="1">
      <alignment horizontal="center"/>
    </xf>
    <xf numFmtId="179" fontId="32" fillId="4" borderId="0" xfId="10" applyNumberFormat="1" applyFont="1" applyFill="1"/>
    <xf numFmtId="180" fontId="32" fillId="0" borderId="5" xfId="0" applyNumberFormat="1" applyFont="1" applyFill="1" applyBorder="1" applyAlignment="1">
      <alignment horizontal="center"/>
    </xf>
    <xf numFmtId="1" fontId="32" fillId="0" borderId="0" xfId="0" applyNumberFormat="1" applyFont="1" applyFill="1" applyBorder="1" applyAlignment="1">
      <alignment horizontal="center"/>
    </xf>
    <xf numFmtId="0" fontId="25" fillId="3" borderId="12" xfId="15" applyNumberFormat="1" applyFont="1" applyBorder="1" applyAlignment="1">
      <alignment horizontal="center" wrapText="1"/>
    </xf>
    <xf numFmtId="0" fontId="25" fillId="3" borderId="6" xfId="15" applyNumberFormat="1" applyFont="1" applyBorder="1" applyAlignment="1">
      <alignment horizontal="center"/>
    </xf>
    <xf numFmtId="0" fontId="25" fillId="3" borderId="10" xfId="15" applyNumberFormat="1" applyFont="1" applyBorder="1" applyAlignment="1">
      <alignment horizontal="center"/>
    </xf>
    <xf numFmtId="170" fontId="20" fillId="0" borderId="0" xfId="0" applyNumberFormat="1" applyFont="1" applyFill="1" applyAlignment="1">
      <alignment horizontal="right" wrapText="1"/>
    </xf>
    <xf numFmtId="170" fontId="21" fillId="0" borderId="0" xfId="0" applyNumberFormat="1" applyFont="1" applyFill="1" applyAlignment="1">
      <alignment horizontal="right" wrapText="1"/>
    </xf>
    <xf numFmtId="173" fontId="32" fillId="7" borderId="5" xfId="0" applyNumberFormat="1" applyFont="1" applyFill="1" applyBorder="1" applyAlignment="1">
      <alignment horizontal="center"/>
    </xf>
    <xf numFmtId="0" fontId="9" fillId="4" borderId="0" xfId="0" applyFont="1" applyFill="1"/>
    <xf numFmtId="0" fontId="16" fillId="4" borderId="0" xfId="0" applyFont="1" applyFill="1" applyAlignment="1">
      <alignment horizontal="left"/>
    </xf>
    <xf numFmtId="182" fontId="18" fillId="0" borderId="2" xfId="0" applyNumberFormat="1" applyFont="1" applyFill="1" applyBorder="1" applyAlignment="1" applyProtection="1">
      <alignment horizontal="center" wrapText="1"/>
      <protection locked="0"/>
    </xf>
    <xf numFmtId="0" fontId="18" fillId="0" borderId="2" xfId="0" applyNumberFormat="1" applyFont="1" applyFill="1" applyBorder="1" applyAlignment="1" applyProtection="1">
      <alignment horizontal="center" wrapText="1"/>
      <protection locked="0"/>
    </xf>
    <xf numFmtId="182" fontId="18" fillId="0" borderId="1" xfId="0" applyNumberFormat="1" applyFont="1" applyFill="1" applyBorder="1" applyAlignment="1" applyProtection="1">
      <alignment horizontal="center" wrapText="1"/>
      <protection locked="0"/>
    </xf>
    <xf numFmtId="0" fontId="18" fillId="0" borderId="1" xfId="0" applyNumberFormat="1" applyFont="1" applyFill="1" applyBorder="1" applyAlignment="1" applyProtection="1">
      <alignment horizontal="center" wrapText="1"/>
      <protection locked="0"/>
    </xf>
    <xf numFmtId="4" fontId="6" fillId="0" borderId="0" xfId="0" applyNumberFormat="1" applyFont="1" applyFill="1" applyAlignment="1">
      <alignment horizontal="center" wrapText="1"/>
    </xf>
    <xf numFmtId="0" fontId="6" fillId="4" borderId="0" xfId="0" applyFont="1" applyFill="1" applyAlignment="1">
      <alignment horizontal="center"/>
    </xf>
    <xf numFmtId="0" fontId="6" fillId="4" borderId="0" xfId="0" applyFont="1" applyFill="1" applyAlignment="1">
      <alignment horizontal="right"/>
    </xf>
    <xf numFmtId="0" fontId="38" fillId="4" borderId="0" xfId="0" applyFont="1" applyFill="1" applyAlignment="1">
      <alignment horizontal="right"/>
    </xf>
    <xf numFmtId="0" fontId="39" fillId="4" borderId="0" xfId="0" applyFont="1" applyFill="1" applyAlignment="1">
      <alignment horizontal="right"/>
    </xf>
    <xf numFmtId="167" fontId="40" fillId="3" borderId="0" xfId="2" applyFont="1" applyAlignment="1">
      <alignment horizontal="center"/>
    </xf>
    <xf numFmtId="167" fontId="40" fillId="3" borderId="0" xfId="2" applyFont="1" applyAlignment="1">
      <alignment horizontal="left"/>
    </xf>
    <xf numFmtId="167" fontId="18" fillId="3" borderId="0" xfId="2" applyFont="1" applyAlignment="1">
      <alignment horizontal="right"/>
    </xf>
    <xf numFmtId="172" fontId="32" fillId="7" borderId="5" xfId="11" applyNumberFormat="1" applyFont="1" applyFill="1" applyBorder="1" applyAlignment="1">
      <alignment horizontal="center"/>
    </xf>
    <xf numFmtId="167" fontId="25" fillId="3" borderId="0" xfId="2" applyFont="1" applyAlignment="1">
      <alignment horizontal="center"/>
    </xf>
    <xf numFmtId="17" fontId="25" fillId="4" borderId="0" xfId="0" applyNumberFormat="1" applyFont="1" applyFill="1"/>
    <xf numFmtId="167" fontId="25" fillId="3" borderId="17" xfId="2" applyFont="1" applyBorder="1" applyAlignment="1">
      <alignment horizontal="center" wrapText="1"/>
    </xf>
    <xf numFmtId="167" fontId="25" fillId="3" borderId="0" xfId="2" applyFont="1" applyBorder="1" applyAlignment="1">
      <alignment horizontal="center" wrapText="1"/>
    </xf>
    <xf numFmtId="17" fontId="25" fillId="4" borderId="0" xfId="0" applyNumberFormat="1" applyFont="1" applyFill="1" applyAlignment="1">
      <alignment wrapText="1"/>
    </xf>
    <xf numFmtId="0" fontId="25" fillId="3" borderId="17" xfId="15" applyNumberFormat="1" applyFont="1" applyBorder="1" applyAlignment="1">
      <alignment horizontal="center" wrapText="1"/>
    </xf>
    <xf numFmtId="171" fontId="35" fillId="0" borderId="0" xfId="0" applyNumberFormat="1" applyFont="1" applyFill="1" applyAlignment="1">
      <alignment horizontal="right" wrapText="1"/>
    </xf>
    <xf numFmtId="4" fontId="35" fillId="0" borderId="0" xfId="0" applyNumberFormat="1" applyFont="1" applyFill="1" applyAlignment="1">
      <alignment horizontal="right" wrapText="1"/>
    </xf>
    <xf numFmtId="0" fontId="4" fillId="4" borderId="0" xfId="0" applyFont="1" applyFill="1" applyAlignment="1">
      <alignment horizontal="center"/>
    </xf>
    <xf numFmtId="0" fontId="28" fillId="4" borderId="0" xfId="0" applyFont="1" applyFill="1" applyBorder="1"/>
    <xf numFmtId="0" fontId="26" fillId="0" borderId="0" xfId="0" applyFont="1" applyFill="1"/>
    <xf numFmtId="167" fontId="8" fillId="3" borderId="0" xfId="16" applyNumberFormat="1" applyFont="1" applyAlignment="1">
      <alignment horizontal="center"/>
    </xf>
    <xf numFmtId="0" fontId="29" fillId="4" borderId="0" xfId="0" applyFont="1" applyFill="1" applyBorder="1" applyAlignment="1">
      <alignment horizontal="right"/>
    </xf>
    <xf numFmtId="0" fontId="29" fillId="4" borderId="15" xfId="0" applyFont="1" applyFill="1" applyBorder="1" applyAlignment="1">
      <alignment horizontal="left"/>
    </xf>
    <xf numFmtId="0" fontId="28" fillId="4" borderId="15" xfId="0" applyFont="1" applyFill="1" applyBorder="1"/>
    <xf numFmtId="0" fontId="42" fillId="4" borderId="15" xfId="17" applyFill="1" applyBorder="1" applyAlignment="1" applyProtection="1"/>
    <xf numFmtId="182" fontId="28" fillId="4" borderId="15" xfId="0" applyNumberFormat="1" applyFont="1" applyFill="1" applyBorder="1"/>
    <xf numFmtId="0" fontId="29" fillId="4" borderId="0" xfId="0" applyFont="1" applyFill="1" applyBorder="1" applyAlignment="1">
      <alignment horizontal="left"/>
    </xf>
    <xf numFmtId="0" fontId="42" fillId="4" borderId="0" xfId="17" applyFill="1" applyBorder="1" applyAlignment="1" applyProtection="1"/>
    <xf numFmtId="182" fontId="28" fillId="4" borderId="0" xfId="0" applyNumberFormat="1" applyFont="1" applyFill="1" applyBorder="1"/>
    <xf numFmtId="182" fontId="18" fillId="0" borderId="18" xfId="0" applyNumberFormat="1" applyFont="1" applyFill="1" applyBorder="1" applyAlignment="1" applyProtection="1">
      <alignment horizontal="center" wrapText="1"/>
      <protection locked="0"/>
    </xf>
    <xf numFmtId="182" fontId="18" fillId="0" borderId="27" xfId="0" applyNumberFormat="1" applyFont="1" applyFill="1" applyBorder="1" applyAlignment="1" applyProtection="1">
      <alignment horizontal="center" wrapText="1"/>
      <protection locked="0"/>
    </xf>
    <xf numFmtId="9" fontId="6" fillId="9" borderId="0" xfId="11" applyFont="1" applyFill="1" applyBorder="1" applyAlignment="1">
      <alignment horizontal="right" wrapText="1"/>
    </xf>
    <xf numFmtId="3" fontId="15" fillId="2" borderId="0" xfId="1" applyNumberFormat="1" applyFont="1" applyBorder="1" applyAlignment="1">
      <alignment horizontal="left" wrapText="1"/>
    </xf>
    <xf numFmtId="172" fontId="32" fillId="4" borderId="14" xfId="11" applyNumberFormat="1" applyFont="1" applyFill="1" applyBorder="1" applyAlignment="1">
      <alignment horizontal="center"/>
    </xf>
    <xf numFmtId="0" fontId="28" fillId="5" borderId="0" xfId="0" applyFont="1" applyFill="1"/>
    <xf numFmtId="0" fontId="43" fillId="4" borderId="0" xfId="0" applyFont="1" applyFill="1"/>
    <xf numFmtId="0" fontId="44" fillId="4" borderId="0" xfId="0" applyFont="1" applyFill="1"/>
    <xf numFmtId="165" fontId="32" fillId="4" borderId="0" xfId="0" applyNumberFormat="1" applyFont="1" applyFill="1" applyAlignment="1">
      <alignment horizontal="center"/>
    </xf>
    <xf numFmtId="175" fontId="36" fillId="4" borderId="0" xfId="0" applyNumberFormat="1" applyFont="1" applyFill="1" applyBorder="1"/>
    <xf numFmtId="0" fontId="33" fillId="4" borderId="0" xfId="0" applyFont="1" applyFill="1"/>
    <xf numFmtId="0" fontId="46" fillId="4" borderId="0" xfId="0" applyFont="1" applyFill="1"/>
    <xf numFmtId="0" fontId="45" fillId="3" borderId="0" xfId="15" applyNumberFormat="1" applyFont="1" applyBorder="1" applyAlignment="1">
      <alignment horizontal="center" wrapText="1"/>
    </xf>
    <xf numFmtId="0" fontId="32" fillId="4" borderId="0" xfId="0" applyFont="1" applyFill="1" applyAlignment="1">
      <alignment horizontal="center"/>
    </xf>
    <xf numFmtId="182" fontId="18" fillId="0" borderId="2" xfId="0" applyNumberFormat="1" applyFont="1" applyFill="1" applyBorder="1" applyAlignment="1" applyProtection="1">
      <alignment horizontal="center" wrapText="1"/>
      <protection locked="0"/>
    </xf>
    <xf numFmtId="182" fontId="18" fillId="0" borderId="1" xfId="0" applyNumberFormat="1" applyFont="1" applyFill="1" applyBorder="1" applyAlignment="1" applyProtection="1">
      <alignment horizontal="center" wrapText="1"/>
      <protection locked="0"/>
    </xf>
    <xf numFmtId="0" fontId="23" fillId="4" borderId="0" xfId="0" applyFont="1" applyFill="1"/>
    <xf numFmtId="0" fontId="47" fillId="4" borderId="0" xfId="0" applyFont="1" applyFill="1"/>
    <xf numFmtId="0" fontId="45" fillId="3" borderId="8" xfId="15" applyNumberFormat="1" applyFont="1" applyBorder="1" applyAlignment="1">
      <alignment horizontal="center" wrapText="1"/>
    </xf>
    <xf numFmtId="0" fontId="26" fillId="0" borderId="0" xfId="0" applyFont="1" applyFill="1" applyBorder="1"/>
    <xf numFmtId="169" fontId="26" fillId="0" borderId="0" xfId="0" applyNumberFormat="1" applyFont="1" applyFill="1" applyBorder="1" applyAlignment="1">
      <alignment horizontal="center"/>
    </xf>
    <xf numFmtId="187" fontId="26" fillId="0" borderId="0" xfId="0" applyNumberFormat="1" applyFont="1" applyFill="1" applyBorder="1"/>
    <xf numFmtId="178" fontId="26" fillId="0" borderId="0" xfId="0" applyNumberFormat="1" applyFont="1" applyFill="1" applyBorder="1"/>
    <xf numFmtId="190" fontId="4" fillId="4" borderId="0" xfId="0" applyNumberFormat="1" applyFont="1" applyFill="1"/>
    <xf numFmtId="2" fontId="4" fillId="4" borderId="0" xfId="0" applyNumberFormat="1" applyFont="1" applyFill="1"/>
    <xf numFmtId="0" fontId="45" fillId="4" borderId="0" xfId="0" applyFont="1" applyFill="1" applyAlignment="1">
      <alignment horizontal="left"/>
    </xf>
    <xf numFmtId="2" fontId="5" fillId="4" borderId="0" xfId="0" applyNumberFormat="1" applyFont="1" applyFill="1"/>
    <xf numFmtId="0" fontId="23" fillId="5" borderId="0" xfId="0" applyFont="1" applyFill="1" applyAlignment="1">
      <alignment horizontal="center"/>
    </xf>
    <xf numFmtId="2" fontId="6" fillId="0" borderId="0" xfId="0" applyNumberFormat="1" applyFont="1" applyFill="1" applyAlignment="1">
      <alignment horizontal="right" wrapText="1"/>
    </xf>
    <xf numFmtId="181" fontId="34" fillId="5" borderId="38" xfId="0" applyNumberFormat="1" applyFont="1" applyFill="1" applyBorder="1" applyAlignment="1">
      <alignment horizontal="center"/>
    </xf>
    <xf numFmtId="0" fontId="44" fillId="4" borderId="38" xfId="0" applyFont="1" applyFill="1" applyBorder="1" applyAlignment="1">
      <alignment horizontal="center" wrapText="1"/>
    </xf>
    <xf numFmtId="180" fontId="34" fillId="0" borderId="5" xfId="0" applyNumberFormat="1" applyFont="1" applyFill="1" applyBorder="1" applyAlignment="1">
      <alignment horizontal="center"/>
    </xf>
    <xf numFmtId="172" fontId="34" fillId="0" borderId="5" xfId="11" applyNumberFormat="1" applyFont="1" applyFill="1" applyBorder="1" applyAlignment="1">
      <alignment horizontal="center"/>
    </xf>
    <xf numFmtId="10" fontId="34" fillId="0" borderId="5" xfId="11" applyNumberFormat="1" applyFont="1" applyFill="1" applyBorder="1" applyAlignment="1">
      <alignment horizontal="center"/>
    </xf>
    <xf numFmtId="0" fontId="26" fillId="0" borderId="38" xfId="0" applyNumberFormat="1" applyFont="1" applyFill="1" applyBorder="1" applyAlignment="1">
      <alignment horizontal="center"/>
    </xf>
    <xf numFmtId="165" fontId="32" fillId="12" borderId="25" xfId="0" applyNumberFormat="1" applyFont="1" applyFill="1" applyBorder="1" applyAlignment="1"/>
    <xf numFmtId="189" fontId="32" fillId="12" borderId="40" xfId="0" applyNumberFormat="1" applyFont="1" applyFill="1" applyBorder="1" applyAlignment="1"/>
    <xf numFmtId="0" fontId="25" fillId="3" borderId="39" xfId="15" applyNumberFormat="1" applyFont="1" applyBorder="1" applyAlignment="1">
      <alignment horizontal="center"/>
    </xf>
    <xf numFmtId="173" fontId="34" fillId="5" borderId="38" xfId="10" applyNumberFormat="1" applyFont="1" applyFill="1" applyBorder="1" applyAlignment="1">
      <alignment horizontal="center"/>
    </xf>
    <xf numFmtId="0" fontId="4" fillId="4" borderId="0" xfId="0" applyFont="1" applyFill="1"/>
    <xf numFmtId="0" fontId="28" fillId="4" borderId="0" xfId="0" applyFont="1" applyFill="1"/>
    <xf numFmtId="0" fontId="30" fillId="4" borderId="0" xfId="0" applyFont="1" applyFill="1" applyAlignment="1">
      <alignment horizontal="right"/>
    </xf>
    <xf numFmtId="0" fontId="34" fillId="4" borderId="0" xfId="0" applyFont="1" applyFill="1"/>
    <xf numFmtId="0" fontId="32" fillId="0" borderId="0" xfId="0" applyFont="1" applyFill="1" applyBorder="1" applyAlignment="1">
      <alignment horizontal="center"/>
    </xf>
    <xf numFmtId="1" fontId="32" fillId="0" borderId="0" xfId="10" applyNumberFormat="1" applyFont="1" applyFill="1" applyBorder="1" applyAlignment="1">
      <alignment horizontal="center"/>
    </xf>
    <xf numFmtId="0" fontId="25" fillId="3" borderId="13" xfId="15" applyNumberFormat="1" applyFont="1" applyBorder="1" applyAlignment="1">
      <alignment horizontal="center" wrapText="1"/>
    </xf>
    <xf numFmtId="0" fontId="25" fillId="3" borderId="9" xfId="15" applyNumberFormat="1" applyFont="1" applyBorder="1" applyAlignment="1">
      <alignment horizontal="center" wrapText="1"/>
    </xf>
    <xf numFmtId="0" fontId="34" fillId="4" borderId="0" xfId="0" applyFont="1" applyFill="1" applyBorder="1"/>
    <xf numFmtId="0" fontId="28" fillId="4" borderId="0" xfId="0" applyFont="1" applyFill="1" applyBorder="1"/>
    <xf numFmtId="169" fontId="15" fillId="2" borderId="0" xfId="1" applyNumberFormat="1" applyFont="1" applyBorder="1" applyAlignment="1">
      <alignment horizontal="center" wrapText="1"/>
    </xf>
    <xf numFmtId="0" fontId="27" fillId="4" borderId="0" xfId="0" applyNumberFormat="1" applyFont="1" applyFill="1" applyAlignment="1">
      <alignment horizontal="left"/>
    </xf>
    <xf numFmtId="0" fontId="19" fillId="3" borderId="0" xfId="2" applyNumberFormat="1" applyFont="1" applyAlignment="1"/>
    <xf numFmtId="0" fontId="23" fillId="4" borderId="0" xfId="0" applyNumberFormat="1" applyFont="1" applyFill="1" applyAlignment="1">
      <alignment horizontal="center"/>
    </xf>
    <xf numFmtId="0" fontId="5" fillId="4" borderId="0" xfId="0" applyNumberFormat="1" applyFont="1" applyFill="1"/>
    <xf numFmtId="0" fontId="45" fillId="4" borderId="0" xfId="0" applyFont="1" applyFill="1" applyAlignment="1">
      <alignment horizontal="right"/>
    </xf>
    <xf numFmtId="0" fontId="49" fillId="4" borderId="0" xfId="0" applyFont="1" applyFill="1" applyAlignment="1">
      <alignment horizontal="center"/>
    </xf>
    <xf numFmtId="0" fontId="26" fillId="0" borderId="0" xfId="0" applyFont="1" applyFill="1" applyBorder="1" applyAlignment="1">
      <alignment horizontal="center"/>
    </xf>
    <xf numFmtId="181" fontId="34" fillId="5" borderId="43" xfId="0" applyNumberFormat="1" applyFont="1" applyFill="1" applyBorder="1" applyAlignment="1">
      <alignment horizontal="center"/>
    </xf>
    <xf numFmtId="0" fontId="26" fillId="0" borderId="43" xfId="0" applyFont="1" applyFill="1" applyBorder="1" applyAlignment="1">
      <alignment horizontal="center"/>
    </xf>
    <xf numFmtId="0" fontId="34" fillId="13" borderId="0" xfId="0" applyFont="1" applyFill="1"/>
    <xf numFmtId="0" fontId="28" fillId="13" borderId="0" xfId="0" applyFont="1" applyFill="1"/>
    <xf numFmtId="0" fontId="34" fillId="13" borderId="0" xfId="0" applyNumberFormat="1" applyFont="1" applyFill="1"/>
    <xf numFmtId="4" fontId="34" fillId="13" borderId="0" xfId="0" applyNumberFormat="1" applyFont="1" applyFill="1"/>
    <xf numFmtId="0" fontId="50" fillId="16" borderId="44" xfId="0" applyNumberFormat="1" applyFont="1" applyFill="1" applyBorder="1"/>
    <xf numFmtId="0" fontId="50" fillId="16" borderId="46" xfId="0" applyNumberFormat="1" applyFont="1" applyFill="1" applyBorder="1"/>
    <xf numFmtId="9" fontId="52" fillId="16" borderId="46" xfId="11" applyFont="1" applyFill="1" applyBorder="1"/>
    <xf numFmtId="0" fontId="34" fillId="13" borderId="47" xfId="0" applyNumberFormat="1" applyFont="1" applyFill="1" applyBorder="1"/>
    <xf numFmtId="0" fontId="50" fillId="17" borderId="48" xfId="0" applyFont="1" applyFill="1" applyBorder="1" applyAlignment="1">
      <alignment horizontal="center"/>
    </xf>
    <xf numFmtId="0" fontId="50" fillId="18" borderId="49" xfId="0" applyFont="1" applyFill="1" applyBorder="1" applyAlignment="1">
      <alignment horizontal="center"/>
    </xf>
    <xf numFmtId="0" fontId="32" fillId="13" borderId="0" xfId="0" applyFont="1" applyFill="1" applyAlignment="1">
      <alignment horizontal="center"/>
    </xf>
    <xf numFmtId="0" fontId="28" fillId="13" borderId="0" xfId="0" applyFont="1" applyFill="1" applyAlignment="1">
      <alignment horizontal="center"/>
    </xf>
    <xf numFmtId="0" fontId="32" fillId="13" borderId="0" xfId="0" applyFont="1" applyFill="1" applyBorder="1" applyAlignment="1"/>
    <xf numFmtId="0" fontId="28" fillId="13" borderId="0" xfId="0" applyFont="1" applyFill="1" applyBorder="1"/>
    <xf numFmtId="0" fontId="44" fillId="13" borderId="0" xfId="0" applyFont="1" applyFill="1"/>
    <xf numFmtId="1" fontId="55" fillId="16" borderId="44" xfId="11" applyNumberFormat="1" applyFont="1" applyFill="1" applyBorder="1"/>
    <xf numFmtId="1" fontId="55" fillId="16" borderId="46" xfId="11" applyNumberFormat="1" applyFont="1" applyFill="1" applyBorder="1"/>
    <xf numFmtId="0" fontId="53" fillId="13" borderId="0" xfId="0" applyFont="1" applyFill="1" applyBorder="1"/>
    <xf numFmtId="0" fontId="34" fillId="13" borderId="0" xfId="0" applyFont="1" applyFill="1" applyBorder="1"/>
    <xf numFmtId="0" fontId="25" fillId="10" borderId="47" xfId="15" applyNumberFormat="1" applyFont="1" applyFill="1" applyBorder="1" applyAlignment="1">
      <alignment horizontal="center" wrapText="1"/>
    </xf>
    <xf numFmtId="0" fontId="25" fillId="8" borderId="47" xfId="15" applyNumberFormat="1" applyFont="1" applyFill="1" applyBorder="1" applyAlignment="1">
      <alignment horizontal="center" wrapText="1"/>
    </xf>
    <xf numFmtId="0" fontId="50" fillId="17" borderId="57" xfId="0" applyFont="1" applyFill="1" applyBorder="1" applyAlignment="1">
      <alignment horizontal="center"/>
    </xf>
    <xf numFmtId="0" fontId="50" fillId="17" borderId="59" xfId="0" applyFont="1" applyFill="1" applyBorder="1" applyAlignment="1">
      <alignment horizontal="center"/>
    </xf>
    <xf numFmtId="0" fontId="50" fillId="17" borderId="60" xfId="0" applyFont="1" applyFill="1" applyBorder="1" applyAlignment="1">
      <alignment horizontal="center"/>
    </xf>
    <xf numFmtId="0" fontId="50" fillId="17" borderId="62" xfId="0" applyFont="1" applyFill="1" applyBorder="1" applyAlignment="1">
      <alignment horizontal="center"/>
    </xf>
    <xf numFmtId="0" fontId="50" fillId="18" borderId="61" xfId="0" applyFont="1" applyFill="1" applyBorder="1" applyAlignment="1">
      <alignment horizontal="center"/>
    </xf>
    <xf numFmtId="0" fontId="50" fillId="17" borderId="58" xfId="0" applyFont="1" applyFill="1" applyBorder="1" applyAlignment="1">
      <alignment horizontal="center"/>
    </xf>
    <xf numFmtId="0" fontId="34" fillId="13" borderId="0" xfId="0" applyNumberFormat="1" applyFont="1" applyFill="1" applyBorder="1"/>
    <xf numFmtId="4" fontId="34" fillId="13" borderId="0" xfId="0" applyNumberFormat="1" applyFont="1" applyFill="1" applyBorder="1"/>
    <xf numFmtId="0" fontId="50" fillId="17" borderId="63" xfId="0" applyFont="1" applyFill="1" applyBorder="1" applyAlignment="1">
      <alignment horizontal="center"/>
    </xf>
    <xf numFmtId="0" fontId="50" fillId="17" borderId="64" xfId="0" applyFont="1" applyFill="1" applyBorder="1" applyAlignment="1">
      <alignment horizontal="center"/>
    </xf>
    <xf numFmtId="0" fontId="50" fillId="17" borderId="67" xfId="0" applyFont="1" applyFill="1" applyBorder="1" applyAlignment="1">
      <alignment horizontal="center"/>
    </xf>
    <xf numFmtId="0" fontId="50" fillId="19" borderId="60" xfId="15" applyNumberFormat="1" applyFont="1" applyFill="1" applyBorder="1" applyAlignment="1">
      <alignment horizontal="center" wrapText="1"/>
    </xf>
    <xf numFmtId="187" fontId="50" fillId="19" borderId="66" xfId="15" applyNumberFormat="1" applyFont="1" applyFill="1" applyBorder="1" applyAlignment="1">
      <alignment horizontal="center" wrapText="1"/>
    </xf>
    <xf numFmtId="0" fontId="50" fillId="19" borderId="68" xfId="15" applyNumberFormat="1" applyFont="1" applyFill="1" applyBorder="1" applyAlignment="1">
      <alignment horizontal="center" wrapText="1"/>
    </xf>
    <xf numFmtId="4" fontId="56" fillId="5" borderId="30" xfId="0" applyNumberFormat="1" applyFont="1" applyFill="1" applyBorder="1" applyAlignment="1">
      <alignment horizontal="right" wrapText="1"/>
    </xf>
    <xf numFmtId="4" fontId="56" fillId="5" borderId="65" xfId="0" applyNumberFormat="1" applyFont="1" applyFill="1" applyBorder="1" applyAlignment="1">
      <alignment horizontal="right" wrapText="1"/>
    </xf>
    <xf numFmtId="0" fontId="50" fillId="17" borderId="70" xfId="0" applyFont="1" applyFill="1" applyBorder="1" applyAlignment="1">
      <alignment horizontal="center"/>
    </xf>
    <xf numFmtId="0" fontId="50" fillId="17" borderId="71" xfId="0" applyFont="1" applyFill="1" applyBorder="1" applyAlignment="1">
      <alignment horizontal="center"/>
    </xf>
    <xf numFmtId="0" fontId="57" fillId="15" borderId="44" xfId="0" applyNumberFormat="1" applyFont="1" applyFill="1" applyBorder="1" applyAlignment="1">
      <alignment horizontal="center"/>
    </xf>
    <xf numFmtId="4" fontId="58" fillId="5" borderId="30" xfId="0" applyNumberFormat="1" applyFont="1" applyFill="1" applyBorder="1" applyAlignment="1">
      <alignment horizontal="center" wrapText="1"/>
    </xf>
    <xf numFmtId="175" fontId="59" fillId="16" borderId="0" xfId="0" applyNumberFormat="1" applyFont="1" applyFill="1" applyBorder="1"/>
    <xf numFmtId="172" fontId="53" fillId="16" borderId="72" xfId="11" applyNumberFormat="1" applyFont="1" applyFill="1" applyBorder="1" applyAlignment="1">
      <alignment horizontal="center"/>
    </xf>
    <xf numFmtId="0" fontId="57" fillId="15" borderId="74" xfId="0" applyNumberFormat="1" applyFont="1" applyFill="1" applyBorder="1" applyAlignment="1">
      <alignment horizontal="center"/>
    </xf>
    <xf numFmtId="0" fontId="50" fillId="16" borderId="44" xfId="0" applyNumberFormat="1" applyFont="1" applyFill="1" applyBorder="1" applyAlignment="1">
      <alignment horizontal="center"/>
    </xf>
    <xf numFmtId="180" fontId="53" fillId="5" borderId="35" xfId="0" applyNumberFormat="1" applyFont="1" applyFill="1" applyBorder="1" applyAlignment="1">
      <alignment horizontal="center"/>
    </xf>
    <xf numFmtId="0" fontId="53" fillId="4" borderId="0" xfId="0" applyFont="1" applyFill="1" applyAlignment="1">
      <alignment horizontal="center"/>
    </xf>
    <xf numFmtId="172" fontId="52" fillId="16" borderId="44" xfId="11" applyNumberFormat="1" applyFont="1" applyFill="1" applyBorder="1" applyAlignment="1">
      <alignment horizontal="center"/>
    </xf>
    <xf numFmtId="0" fontId="50" fillId="18" borderId="83" xfId="0" applyFont="1" applyFill="1" applyBorder="1" applyAlignment="1">
      <alignment horizontal="center"/>
    </xf>
    <xf numFmtId="0" fontId="50" fillId="18" borderId="31" xfId="0" applyFont="1" applyFill="1" applyBorder="1" applyAlignment="1">
      <alignment horizontal="center"/>
    </xf>
    <xf numFmtId="0" fontId="28" fillId="13" borderId="75" xfId="0" applyFont="1" applyFill="1" applyBorder="1"/>
    <xf numFmtId="0" fontId="50" fillId="17" borderId="87" xfId="0" applyFont="1" applyFill="1" applyBorder="1" applyAlignment="1">
      <alignment horizontal="center"/>
    </xf>
    <xf numFmtId="172" fontId="32" fillId="16" borderId="88" xfId="11" applyNumberFormat="1" applyFont="1" applyFill="1" applyBorder="1" applyAlignment="1">
      <alignment horizontal="center"/>
    </xf>
    <xf numFmtId="0" fontId="34" fillId="16" borderId="86" xfId="0" applyFont="1" applyFill="1" applyBorder="1"/>
    <xf numFmtId="186" fontId="50" fillId="16" borderId="53" xfId="0" applyNumberFormat="1" applyFont="1" applyFill="1" applyBorder="1" applyAlignment="1">
      <alignment horizontal="center" wrapText="1"/>
    </xf>
    <xf numFmtId="0" fontId="53" fillId="4" borderId="0" xfId="0" applyFont="1" applyFill="1"/>
    <xf numFmtId="0" fontId="53" fillId="13" borderId="0" xfId="0" applyFont="1" applyFill="1"/>
    <xf numFmtId="0" fontId="53" fillId="13" borderId="0" xfId="0" applyNumberFormat="1" applyFont="1" applyFill="1"/>
    <xf numFmtId="0" fontId="53" fillId="13" borderId="0" xfId="0" applyFont="1" applyFill="1" applyAlignment="1">
      <alignment horizontal="center"/>
    </xf>
    <xf numFmtId="2" fontId="53" fillId="13" borderId="0" xfId="0" applyNumberFormat="1" applyFont="1" applyFill="1"/>
    <xf numFmtId="190" fontId="53" fillId="13" borderId="0" xfId="0" applyNumberFormat="1" applyFont="1" applyFill="1"/>
    <xf numFmtId="0" fontId="53" fillId="5" borderId="0" xfId="0" applyFont="1" applyFill="1"/>
    <xf numFmtId="0" fontId="63" fillId="3" borderId="36" xfId="15" applyNumberFormat="1" applyFont="1" applyBorder="1" applyAlignment="1">
      <alignment horizontal="center" wrapText="1"/>
    </xf>
    <xf numFmtId="0" fontId="63" fillId="3" borderId="0" xfId="15" applyNumberFormat="1" applyFont="1" applyBorder="1" applyAlignment="1">
      <alignment horizontal="center" wrapText="1"/>
    </xf>
    <xf numFmtId="1" fontId="56" fillId="0" borderId="0" xfId="11" applyNumberFormat="1" applyFont="1" applyFill="1" applyAlignment="1">
      <alignment horizontal="center" wrapText="1"/>
    </xf>
    <xf numFmtId="0" fontId="64" fillId="15" borderId="44" xfId="0" applyNumberFormat="1" applyFont="1" applyFill="1" applyBorder="1" applyAlignment="1">
      <alignment horizontal="center"/>
    </xf>
    <xf numFmtId="186" fontId="50" fillId="16" borderId="97" xfId="0" applyNumberFormat="1" applyFont="1" applyFill="1" applyBorder="1" applyAlignment="1">
      <alignment horizontal="center" wrapText="1"/>
    </xf>
    <xf numFmtId="9" fontId="52" fillId="16" borderId="98" xfId="11" applyFont="1" applyFill="1" applyBorder="1"/>
    <xf numFmtId="0" fontId="41" fillId="13" borderId="0" xfId="0" applyFont="1" applyFill="1" applyAlignment="1">
      <alignment horizontal="center" wrapText="1"/>
    </xf>
    <xf numFmtId="0" fontId="41" fillId="13" borderId="76" xfId="0" applyFont="1" applyFill="1" applyBorder="1" applyAlignment="1">
      <alignment horizontal="center" wrapText="1"/>
    </xf>
    <xf numFmtId="0" fontId="41" fillId="13" borderId="0" xfId="0" applyFont="1" applyFill="1" applyBorder="1" applyAlignment="1">
      <alignment horizontal="center" wrapText="1"/>
    </xf>
    <xf numFmtId="0" fontId="26" fillId="13" borderId="0" xfId="0" applyFont="1" applyFill="1"/>
    <xf numFmtId="0" fontId="65" fillId="13" borderId="0" xfId="0" applyFont="1" applyFill="1"/>
    <xf numFmtId="0" fontId="25" fillId="3" borderId="5" xfId="15" applyNumberFormat="1" applyFont="1" applyBorder="1" applyAlignment="1">
      <alignment horizontal="center"/>
    </xf>
    <xf numFmtId="0" fontId="59" fillId="13" borderId="0" xfId="0" applyNumberFormat="1" applyFont="1" applyFill="1"/>
    <xf numFmtId="164" fontId="66" fillId="22" borderId="44" xfId="11" applyNumberFormat="1" applyFont="1" applyFill="1" applyBorder="1"/>
    <xf numFmtId="9" fontId="66" fillId="22" borderId="44" xfId="11" applyNumberFormat="1" applyFont="1" applyFill="1" applyBorder="1"/>
    <xf numFmtId="164" fontId="66" fillId="22" borderId="53" xfId="11" applyNumberFormat="1" applyFont="1" applyFill="1" applyBorder="1"/>
    <xf numFmtId="9" fontId="66" fillId="22" borderId="51" xfId="11" applyNumberFormat="1" applyFont="1" applyFill="1" applyBorder="1"/>
    <xf numFmtId="2" fontId="54" fillId="21" borderId="50" xfId="0" applyNumberFormat="1" applyFont="1" applyFill="1" applyBorder="1" applyAlignment="1">
      <alignment horizontal="center"/>
    </xf>
    <xf numFmtId="0" fontId="53" fillId="11" borderId="0" xfId="0" applyFont="1" applyFill="1"/>
    <xf numFmtId="164" fontId="66" fillId="16" borderId="44" xfId="11" applyNumberFormat="1" applyFont="1" applyFill="1" applyBorder="1"/>
    <xf numFmtId="9" fontId="66" fillId="16" borderId="44" xfId="11" applyNumberFormat="1" applyFont="1" applyFill="1" applyBorder="1"/>
    <xf numFmtId="9" fontId="66" fillId="16" borderId="51" xfId="11" applyNumberFormat="1" applyFont="1" applyFill="1" applyBorder="1"/>
    <xf numFmtId="170" fontId="64" fillId="16" borderId="44" xfId="0" applyNumberFormat="1" applyFont="1" applyFill="1" applyBorder="1" applyAlignment="1">
      <alignment horizontal="right" wrapText="1"/>
    </xf>
    <xf numFmtId="164" fontId="66" fillId="22" borderId="46" xfId="11" applyNumberFormat="1" applyFont="1" applyFill="1" applyBorder="1"/>
    <xf numFmtId="9" fontId="66" fillId="22" borderId="46" xfId="11" applyNumberFormat="1" applyFont="1" applyFill="1" applyBorder="1"/>
    <xf numFmtId="9" fontId="66" fillId="22" borderId="89" xfId="11" applyNumberFormat="1" applyFont="1" applyFill="1" applyBorder="1"/>
    <xf numFmtId="170" fontId="64" fillId="22" borderId="46" xfId="0" applyNumberFormat="1" applyFont="1" applyFill="1" applyBorder="1" applyAlignment="1">
      <alignment horizontal="right" wrapText="1"/>
    </xf>
    <xf numFmtId="0" fontId="50" fillId="17" borderId="101" xfId="0" applyFont="1" applyFill="1" applyBorder="1" applyAlignment="1">
      <alignment horizontal="center"/>
    </xf>
    <xf numFmtId="170" fontId="64" fillId="22" borderId="102" xfId="0" applyNumberFormat="1" applyFont="1" applyFill="1" applyBorder="1" applyAlignment="1">
      <alignment horizontal="right" wrapText="1"/>
    </xf>
    <xf numFmtId="164" fontId="66" fillId="16" borderId="46" xfId="11" applyNumberFormat="1" applyFont="1" applyFill="1" applyBorder="1"/>
    <xf numFmtId="9" fontId="66" fillId="16" borderId="46" xfId="11" applyNumberFormat="1" applyFont="1" applyFill="1" applyBorder="1"/>
    <xf numFmtId="9" fontId="66" fillId="16" borderId="89" xfId="11" applyNumberFormat="1" applyFont="1" applyFill="1" applyBorder="1"/>
    <xf numFmtId="170" fontId="64" fillId="16" borderId="46" xfId="0" applyNumberFormat="1" applyFont="1" applyFill="1" applyBorder="1" applyAlignment="1">
      <alignment horizontal="right" wrapText="1"/>
    </xf>
    <xf numFmtId="170" fontId="70" fillId="22" borderId="56" xfId="0" applyNumberFormat="1" applyFont="1" applyFill="1" applyBorder="1" applyAlignment="1">
      <alignment horizontal="center" wrapText="1"/>
    </xf>
    <xf numFmtId="0" fontId="50" fillId="20" borderId="99" xfId="15" applyNumberFormat="1" applyFont="1" applyFill="1" applyBorder="1" applyAlignment="1">
      <alignment horizontal="center" wrapText="1"/>
    </xf>
    <xf numFmtId="0" fontId="50" fillId="21" borderId="99" xfId="15" applyNumberFormat="1" applyFont="1" applyFill="1" applyBorder="1" applyAlignment="1">
      <alignment horizontal="center" wrapText="1"/>
    </xf>
    <xf numFmtId="0" fontId="50" fillId="21" borderId="103" xfId="15" applyNumberFormat="1" applyFont="1" applyFill="1" applyBorder="1" applyAlignment="1">
      <alignment horizontal="center" wrapText="1"/>
    </xf>
    <xf numFmtId="164" fontId="66" fillId="22" borderId="104" xfId="11" applyNumberFormat="1" applyFont="1" applyFill="1" applyBorder="1"/>
    <xf numFmtId="0" fontId="50" fillId="21" borderId="105" xfId="15" applyNumberFormat="1" applyFont="1" applyFill="1" applyBorder="1" applyAlignment="1">
      <alignment horizontal="center" wrapText="1"/>
    </xf>
    <xf numFmtId="0" fontId="62" fillId="13" borderId="23" xfId="0" applyFont="1" applyFill="1" applyBorder="1" applyAlignment="1"/>
    <xf numFmtId="0" fontId="62" fillId="13" borderId="0" xfId="0" applyFont="1" applyFill="1" applyBorder="1" applyAlignment="1"/>
    <xf numFmtId="0" fontId="53" fillId="13" borderId="0" xfId="0" applyFont="1" applyFill="1" applyBorder="1" applyAlignment="1">
      <alignment horizontal="center"/>
    </xf>
    <xf numFmtId="0" fontId="61" fillId="13" borderId="0" xfId="0" applyFont="1" applyFill="1"/>
    <xf numFmtId="0" fontId="61" fillId="13" borderId="0" xfId="0" applyFont="1" applyFill="1" applyBorder="1" applyAlignment="1">
      <alignment horizontal="center"/>
    </xf>
    <xf numFmtId="164" fontId="66" fillId="22" borderId="102" xfId="11" applyNumberFormat="1" applyFont="1" applyFill="1" applyBorder="1"/>
    <xf numFmtId="9" fontId="66" fillId="16" borderId="79" xfId="11" applyNumberFormat="1" applyFont="1" applyFill="1" applyBorder="1"/>
    <xf numFmtId="164" fontId="66" fillId="16" borderId="56" xfId="11" applyNumberFormat="1" applyFont="1" applyFill="1" applyBorder="1"/>
    <xf numFmtId="0" fontId="50" fillId="17" borderId="106" xfId="0" applyFont="1" applyFill="1" applyBorder="1" applyAlignment="1">
      <alignment horizontal="center"/>
    </xf>
    <xf numFmtId="2" fontId="66" fillId="16" borderId="44" xfId="11" applyNumberFormat="1" applyFont="1" applyFill="1" applyBorder="1" applyAlignment="1">
      <alignment horizontal="right"/>
    </xf>
    <xf numFmtId="4" fontId="66" fillId="16" borderId="44" xfId="0" applyNumberFormat="1" applyFont="1" applyFill="1" applyBorder="1" applyAlignment="1">
      <alignment horizontal="center"/>
    </xf>
    <xf numFmtId="170" fontId="66" fillId="16" borderId="44" xfId="0" applyNumberFormat="1" applyFont="1" applyFill="1" applyBorder="1" applyAlignment="1">
      <alignment horizontal="right" wrapText="1"/>
    </xf>
    <xf numFmtId="4" fontId="66" fillId="16" borderId="46" xfId="0" applyNumberFormat="1" applyFont="1" applyFill="1" applyBorder="1" applyAlignment="1">
      <alignment horizontal="center"/>
    </xf>
    <xf numFmtId="170" fontId="66" fillId="16" borderId="46" xfId="0" applyNumberFormat="1" applyFont="1" applyFill="1" applyBorder="1" applyAlignment="1">
      <alignment horizontal="right" wrapText="1"/>
    </xf>
    <xf numFmtId="174" fontId="66" fillId="16" borderId="44" xfId="0" applyNumberFormat="1" applyFont="1" applyFill="1" applyBorder="1" applyAlignment="1">
      <alignment horizontal="right" wrapText="1"/>
    </xf>
    <xf numFmtId="9" fontId="66" fillId="22" borderId="100" xfId="11" applyNumberFormat="1" applyFont="1" applyFill="1" applyBorder="1"/>
    <xf numFmtId="164" fontId="66" fillId="22" borderId="107" xfId="11" applyNumberFormat="1" applyFont="1" applyFill="1" applyBorder="1"/>
    <xf numFmtId="10" fontId="66" fillId="22" borderId="44" xfId="11" applyNumberFormat="1" applyFont="1" applyFill="1" applyBorder="1" applyAlignment="1">
      <alignment horizontal="right"/>
    </xf>
    <xf numFmtId="4" fontId="66" fillId="22" borderId="44" xfId="0" applyNumberFormat="1" applyFont="1" applyFill="1" applyBorder="1" applyAlignment="1">
      <alignment horizontal="center"/>
    </xf>
    <xf numFmtId="170" fontId="66" fillId="22" borderId="44" xfId="0" applyNumberFormat="1" applyFont="1" applyFill="1" applyBorder="1" applyAlignment="1">
      <alignment horizontal="right" wrapText="1"/>
    </xf>
    <xf numFmtId="4" fontId="66" fillId="22" borderId="44" xfId="0" applyNumberFormat="1" applyFont="1" applyFill="1" applyBorder="1" applyAlignment="1">
      <alignment horizontal="right" wrapText="1"/>
    </xf>
    <xf numFmtId="2" fontId="66" fillId="22" borderId="46" xfId="11" applyNumberFormat="1" applyFont="1" applyFill="1" applyBorder="1" applyAlignment="1">
      <alignment horizontal="right"/>
    </xf>
    <xf numFmtId="4" fontId="66" fillId="22" borderId="46" xfId="0" applyNumberFormat="1" applyFont="1" applyFill="1" applyBorder="1" applyAlignment="1">
      <alignment horizontal="center"/>
    </xf>
    <xf numFmtId="170" fontId="66" fillId="22" borderId="46" xfId="0" applyNumberFormat="1" applyFont="1" applyFill="1" applyBorder="1" applyAlignment="1">
      <alignment horizontal="right" wrapText="1"/>
    </xf>
    <xf numFmtId="4" fontId="66" fillId="22" borderId="46" xfId="0" applyNumberFormat="1" applyFont="1" applyFill="1" applyBorder="1" applyAlignment="1">
      <alignment horizontal="right" wrapText="1"/>
    </xf>
    <xf numFmtId="3" fontId="66" fillId="22" borderId="46" xfId="0" applyNumberFormat="1" applyFont="1" applyFill="1" applyBorder="1" applyAlignment="1">
      <alignment horizontal="right" wrapText="1"/>
    </xf>
    <xf numFmtId="174" fontId="66" fillId="22" borderId="46" xfId="0" applyNumberFormat="1" applyFont="1" applyFill="1" applyBorder="1" applyAlignment="1">
      <alignment horizontal="right" wrapText="1"/>
    </xf>
    <xf numFmtId="174" fontId="66" fillId="22" borderId="44" xfId="0" applyNumberFormat="1" applyFont="1" applyFill="1" applyBorder="1" applyAlignment="1">
      <alignment horizontal="right" wrapText="1"/>
    </xf>
    <xf numFmtId="4" fontId="66" fillId="16" borderId="51" xfId="0" applyNumberFormat="1" applyFont="1" applyFill="1" applyBorder="1" applyAlignment="1">
      <alignment horizontal="center"/>
    </xf>
    <xf numFmtId="4" fontId="66" fillId="16" borderId="56" xfId="0" applyNumberFormat="1" applyFont="1" applyFill="1" applyBorder="1" applyAlignment="1">
      <alignment horizontal="center"/>
    </xf>
    <xf numFmtId="4" fontId="71" fillId="16" borderId="44" xfId="0" applyNumberFormat="1" applyFont="1" applyFill="1" applyBorder="1" applyAlignment="1">
      <alignment horizontal="center"/>
    </xf>
    <xf numFmtId="172" fontId="66" fillId="16" borderId="44" xfId="11" applyNumberFormat="1" applyFont="1" applyFill="1" applyBorder="1" applyAlignment="1">
      <alignment horizontal="right" wrapText="1"/>
    </xf>
    <xf numFmtId="1" fontId="56" fillId="0" borderId="44" xfId="11" applyNumberFormat="1" applyFont="1" applyFill="1" applyBorder="1" applyAlignment="1">
      <alignment horizontal="center" wrapText="1"/>
    </xf>
    <xf numFmtId="4" fontId="71" fillId="16" borderId="46" xfId="0" applyNumberFormat="1" applyFont="1" applyFill="1" applyBorder="1" applyAlignment="1">
      <alignment horizontal="center"/>
    </xf>
    <xf numFmtId="172" fontId="66" fillId="16" borderId="46" xfId="11" applyNumberFormat="1" applyFont="1" applyFill="1" applyBorder="1" applyAlignment="1">
      <alignment horizontal="right" wrapText="1"/>
    </xf>
    <xf numFmtId="4" fontId="71" fillId="22" borderId="46" xfId="0" applyNumberFormat="1" applyFont="1" applyFill="1" applyBorder="1" applyAlignment="1">
      <alignment horizontal="center"/>
    </xf>
    <xf numFmtId="172" fontId="66" fillId="22" borderId="46" xfId="11" applyNumberFormat="1" applyFont="1" applyFill="1" applyBorder="1" applyAlignment="1">
      <alignment horizontal="right" wrapText="1"/>
    </xf>
    <xf numFmtId="4" fontId="71" fillId="22" borderId="44" xfId="0" applyNumberFormat="1" applyFont="1" applyFill="1" applyBorder="1" applyAlignment="1">
      <alignment horizontal="center"/>
    </xf>
    <xf numFmtId="172" fontId="66" fillId="22" borderId="44" xfId="11" applyNumberFormat="1" applyFont="1" applyFill="1" applyBorder="1" applyAlignment="1">
      <alignment horizontal="right" wrapText="1"/>
    </xf>
    <xf numFmtId="4" fontId="72" fillId="16" borderId="44" xfId="0" applyNumberFormat="1" applyFont="1" applyFill="1" applyBorder="1" applyAlignment="1">
      <alignment horizontal="center"/>
    </xf>
    <xf numFmtId="4" fontId="60" fillId="16" borderId="46" xfId="0" applyNumberFormat="1" applyFont="1" applyFill="1" applyBorder="1" applyAlignment="1">
      <alignment horizontal="center"/>
    </xf>
    <xf numFmtId="4" fontId="60" fillId="16" borderId="44" xfId="0" applyNumberFormat="1" applyFont="1" applyFill="1" applyBorder="1" applyAlignment="1">
      <alignment horizontal="center"/>
    </xf>
    <xf numFmtId="4" fontId="60" fillId="22" borderId="46" xfId="0" applyNumberFormat="1" applyFont="1" applyFill="1" applyBorder="1" applyAlignment="1">
      <alignment horizontal="center"/>
    </xf>
    <xf numFmtId="4" fontId="60" fillId="22" borderId="44" xfId="0" applyNumberFormat="1" applyFont="1" applyFill="1" applyBorder="1" applyAlignment="1">
      <alignment horizontal="center"/>
    </xf>
    <xf numFmtId="0" fontId="54" fillId="17" borderId="101" xfId="0" applyFont="1" applyFill="1" applyBorder="1" applyAlignment="1">
      <alignment horizontal="center"/>
    </xf>
    <xf numFmtId="4" fontId="60" fillId="22" borderId="51" xfId="0" applyNumberFormat="1" applyFont="1" applyFill="1" applyBorder="1" applyAlignment="1">
      <alignment horizontal="center"/>
    </xf>
    <xf numFmtId="172" fontId="66" fillId="22" borderId="53" xfId="11" applyNumberFormat="1" applyFont="1" applyFill="1" applyBorder="1" applyAlignment="1">
      <alignment horizontal="right" wrapText="1"/>
    </xf>
    <xf numFmtId="4" fontId="71" fillId="22" borderId="56" xfId="0" applyNumberFormat="1" applyFont="1" applyFill="1" applyBorder="1" applyAlignment="1">
      <alignment horizontal="center"/>
    </xf>
    <xf numFmtId="0" fontId="26" fillId="13" borderId="0" xfId="0" applyFont="1" applyFill="1" applyAlignment="1">
      <alignment horizontal="center"/>
    </xf>
    <xf numFmtId="2" fontId="64" fillId="22" borderId="53" xfId="0" applyNumberFormat="1" applyFont="1" applyFill="1" applyBorder="1" applyAlignment="1">
      <alignment horizontal="center" wrapText="1"/>
    </xf>
    <xf numFmtId="0" fontId="61" fillId="13" borderId="108" xfId="0" applyFont="1" applyFill="1" applyBorder="1" applyAlignment="1"/>
    <xf numFmtId="0" fontId="61" fillId="13" borderId="109" xfId="0" applyFont="1" applyFill="1" applyBorder="1" applyAlignment="1"/>
    <xf numFmtId="0" fontId="51" fillId="21" borderId="69" xfId="15" applyNumberFormat="1" applyFont="1" applyFill="1" applyBorder="1" applyAlignment="1">
      <alignment wrapText="1"/>
    </xf>
    <xf numFmtId="0" fontId="74" fillId="0" borderId="0" xfId="0" applyFont="1" applyAlignment="1">
      <alignment horizontal="left"/>
    </xf>
    <xf numFmtId="0" fontId="75" fillId="0" borderId="0" xfId="0" applyFont="1" applyAlignment="1">
      <alignment horizontal="center"/>
    </xf>
    <xf numFmtId="22" fontId="76" fillId="0" borderId="0" xfId="0" applyNumberFormat="1" applyFont="1"/>
    <xf numFmtId="0" fontId="76" fillId="0" borderId="0" xfId="0" applyFont="1"/>
    <xf numFmtId="192" fontId="76" fillId="0" borderId="0" xfId="0" applyNumberFormat="1" applyFont="1"/>
    <xf numFmtId="193" fontId="76" fillId="0" borderId="0" xfId="0" applyNumberFormat="1" applyFont="1"/>
    <xf numFmtId="0" fontId="74" fillId="0" borderId="21" xfId="0" applyFont="1" applyBorder="1" applyAlignment="1">
      <alignment horizontal="center"/>
    </xf>
    <xf numFmtId="0" fontId="74" fillId="0" borderId="0" xfId="0" applyFont="1" applyBorder="1" applyAlignment="1">
      <alignment horizontal="center"/>
    </xf>
    <xf numFmtId="0" fontId="76" fillId="0" borderId="0" xfId="0" applyFont="1" applyAlignment="1">
      <alignment horizontal="center"/>
    </xf>
    <xf numFmtId="14" fontId="76" fillId="0" borderId="0" xfId="0" applyNumberFormat="1" applyFont="1" applyBorder="1" applyAlignment="1">
      <alignment horizontal="center"/>
    </xf>
    <xf numFmtId="194" fontId="76" fillId="0" borderId="0" xfId="0" applyNumberFormat="1" applyFont="1" applyBorder="1" applyAlignment="1">
      <alignment horizontal="center"/>
    </xf>
    <xf numFmtId="0" fontId="76" fillId="0" borderId="0" xfId="0" applyFont="1" applyFill="1" applyAlignment="1">
      <alignment horizontal="center"/>
    </xf>
    <xf numFmtId="0" fontId="51" fillId="20" borderId="69" xfId="15" applyNumberFormat="1" applyFont="1" applyFill="1" applyBorder="1" applyAlignment="1">
      <alignment wrapText="1"/>
    </xf>
    <xf numFmtId="0" fontId="59" fillId="13" borderId="0" xfId="0" applyFont="1" applyFill="1" applyAlignment="1"/>
    <xf numFmtId="0" fontId="28" fillId="25" borderId="0" xfId="0" applyFont="1" applyFill="1" applyBorder="1"/>
    <xf numFmtId="0" fontId="34" fillId="25" borderId="0" xfId="0" applyFont="1" applyFill="1" applyBorder="1"/>
    <xf numFmtId="0" fontId="34" fillId="25" borderId="0" xfId="0" applyFont="1" applyFill="1"/>
    <xf numFmtId="0" fontId="4" fillId="25" borderId="0" xfId="0" applyFont="1" applyFill="1"/>
    <xf numFmtId="0" fontId="28" fillId="25" borderId="0" xfId="0" applyFont="1" applyFill="1"/>
    <xf numFmtId="0" fontId="43" fillId="25" borderId="0" xfId="0" applyFont="1" applyFill="1"/>
    <xf numFmtId="0" fontId="44" fillId="25" borderId="0" xfId="0" applyFont="1" applyFill="1"/>
    <xf numFmtId="0" fontId="69" fillId="25" borderId="0" xfId="0" applyFont="1" applyFill="1"/>
    <xf numFmtId="0" fontId="53" fillId="21" borderId="0" xfId="0" applyFont="1" applyFill="1" applyBorder="1"/>
    <xf numFmtId="0" fontId="53" fillId="25" borderId="0" xfId="0" applyFont="1" applyFill="1" applyBorder="1"/>
    <xf numFmtId="2" fontId="59" fillId="22" borderId="110" xfId="0" applyNumberFormat="1" applyFont="1" applyFill="1" applyBorder="1" applyAlignment="1">
      <alignment horizontal="center"/>
    </xf>
    <xf numFmtId="0" fontId="53" fillId="20" borderId="0" xfId="0" applyFont="1" applyFill="1" applyBorder="1"/>
    <xf numFmtId="0" fontId="68" fillId="20" borderId="0" xfId="0" applyFont="1" applyFill="1" applyBorder="1"/>
    <xf numFmtId="0" fontId="77" fillId="26" borderId="108" xfId="0" applyNumberFormat="1" applyFont="1" applyFill="1" applyBorder="1" applyAlignment="1">
      <alignment horizontal="center"/>
    </xf>
    <xf numFmtId="170" fontId="60" fillId="26" borderId="115" xfId="0" applyNumberFormat="1" applyFont="1" applyFill="1" applyBorder="1" applyAlignment="1">
      <alignment horizontal="center"/>
    </xf>
    <xf numFmtId="0" fontId="77" fillId="26" borderId="118" xfId="0" applyNumberFormat="1" applyFont="1" applyFill="1" applyBorder="1" applyAlignment="1">
      <alignment horizontal="center"/>
    </xf>
    <xf numFmtId="0" fontId="77" fillId="26" borderId="120" xfId="0" applyNumberFormat="1" applyFont="1" applyFill="1" applyBorder="1" applyAlignment="1">
      <alignment horizontal="center"/>
    </xf>
    <xf numFmtId="170" fontId="60" fillId="26" borderId="121" xfId="0" applyNumberFormat="1" applyFont="1" applyFill="1" applyBorder="1" applyAlignment="1">
      <alignment horizontal="center"/>
    </xf>
    <xf numFmtId="0" fontId="67" fillId="26" borderId="109" xfId="0" applyNumberFormat="1" applyFont="1" applyFill="1" applyBorder="1" applyAlignment="1">
      <alignment horizontal="center"/>
    </xf>
    <xf numFmtId="0" fontId="67" fillId="26" borderId="122" xfId="0" applyNumberFormat="1" applyFont="1" applyFill="1" applyBorder="1" applyAlignment="1">
      <alignment horizontal="center"/>
    </xf>
    <xf numFmtId="188" fontId="79" fillId="27" borderId="112" xfId="0" applyNumberFormat="1" applyFont="1" applyFill="1" applyBorder="1" applyAlignment="1">
      <alignment horizontal="center"/>
    </xf>
    <xf numFmtId="0" fontId="67" fillId="26" borderId="125" xfId="0" applyNumberFormat="1" applyFont="1" applyFill="1" applyBorder="1" applyAlignment="1">
      <alignment horizontal="center"/>
    </xf>
    <xf numFmtId="2" fontId="59" fillId="16" borderId="126" xfId="0" applyNumberFormat="1" applyFont="1" applyFill="1" applyBorder="1" applyAlignment="1">
      <alignment horizontal="center"/>
    </xf>
    <xf numFmtId="1" fontId="52" fillId="16" borderId="127" xfId="11" applyNumberFormat="1" applyFont="1" applyFill="1" applyBorder="1" applyAlignment="1">
      <alignment horizontal="center"/>
    </xf>
    <xf numFmtId="188" fontId="79" fillId="16" borderId="128" xfId="0" applyNumberFormat="1" applyFont="1" applyFill="1" applyBorder="1" applyAlignment="1">
      <alignment horizontal="center"/>
    </xf>
    <xf numFmtId="1" fontId="52" fillId="27" borderId="110" xfId="11" applyNumberFormat="1" applyFont="1" applyFill="1" applyBorder="1" applyAlignment="1">
      <alignment horizontal="center"/>
    </xf>
    <xf numFmtId="0" fontId="80" fillId="21" borderId="0" xfId="0" applyFont="1" applyFill="1" applyBorder="1"/>
    <xf numFmtId="2" fontId="50" fillId="16" borderId="129" xfId="0" applyNumberFormat="1" applyFont="1" applyFill="1" applyBorder="1" applyAlignment="1">
      <alignment horizontal="center"/>
    </xf>
    <xf numFmtId="2" fontId="50" fillId="22" borderId="136" xfId="0" applyNumberFormat="1" applyFont="1" applyFill="1" applyBorder="1" applyAlignment="1">
      <alignment horizontal="center"/>
    </xf>
    <xf numFmtId="0" fontId="50" fillId="20" borderId="0" xfId="0" applyFont="1" applyFill="1" applyBorder="1"/>
    <xf numFmtId="0" fontId="28" fillId="20" borderId="0" xfId="0" applyFont="1" applyFill="1"/>
    <xf numFmtId="0" fontId="53" fillId="20" borderId="0" xfId="0" applyFont="1" applyFill="1" applyBorder="1" applyAlignment="1"/>
    <xf numFmtId="0" fontId="80" fillId="20" borderId="0" xfId="0" applyFont="1" applyFill="1" applyBorder="1"/>
    <xf numFmtId="0" fontId="83" fillId="20" borderId="0" xfId="0" applyFont="1" applyFill="1" applyBorder="1"/>
    <xf numFmtId="0" fontId="54" fillId="20" borderId="0" xfId="0" applyFont="1" applyFill="1" applyBorder="1"/>
    <xf numFmtId="0" fontId="78" fillId="20" borderId="0" xfId="0" applyFont="1" applyFill="1" applyBorder="1"/>
    <xf numFmtId="169" fontId="78" fillId="20" borderId="0" xfId="0" applyNumberFormat="1" applyFont="1" applyFill="1" applyBorder="1"/>
    <xf numFmtId="0" fontId="81" fillId="20" borderId="0" xfId="0" applyFont="1" applyFill="1" applyBorder="1"/>
    <xf numFmtId="0" fontId="84" fillId="20" borderId="0" xfId="0" applyFont="1" applyFill="1"/>
    <xf numFmtId="169" fontId="82" fillId="20" borderId="0" xfId="0" applyNumberFormat="1" applyFont="1" applyFill="1" applyBorder="1"/>
    <xf numFmtId="0" fontId="84" fillId="20" borderId="0" xfId="0" applyFont="1" applyFill="1" applyBorder="1"/>
    <xf numFmtId="0" fontId="34" fillId="21" borderId="0" xfId="0" applyFont="1" applyFill="1"/>
    <xf numFmtId="0" fontId="34" fillId="21" borderId="0" xfId="0" applyFont="1" applyFill="1" applyBorder="1"/>
    <xf numFmtId="0" fontId="28" fillId="21" borderId="0" xfId="0" applyFont="1" applyFill="1"/>
    <xf numFmtId="0" fontId="34" fillId="20" borderId="0" xfId="0" applyFont="1" applyFill="1"/>
    <xf numFmtId="0" fontId="34" fillId="20" borderId="0" xfId="0" applyFont="1" applyFill="1" applyBorder="1"/>
    <xf numFmtId="0" fontId="4" fillId="20" borderId="0" xfId="0" applyFont="1" applyFill="1"/>
    <xf numFmtId="0" fontId="28" fillId="21" borderId="0" xfId="0" applyFont="1" applyFill="1" applyBorder="1"/>
    <xf numFmtId="0" fontId="28" fillId="20" borderId="0" xfId="0" applyFont="1" applyFill="1" applyBorder="1"/>
    <xf numFmtId="0" fontId="4" fillId="20" borderId="0" xfId="0" applyFont="1" applyFill="1" applyAlignment="1">
      <alignment horizontal="center"/>
    </xf>
    <xf numFmtId="0" fontId="34" fillId="5" borderId="0" xfId="0" applyFont="1" applyFill="1" applyBorder="1" applyAlignment="1">
      <alignment horizontal="left"/>
    </xf>
    <xf numFmtId="0" fontId="26" fillId="21" borderId="0" xfId="0" applyFont="1" applyFill="1" applyAlignment="1">
      <alignment horizontal="center"/>
    </xf>
    <xf numFmtId="0" fontId="34" fillId="21" borderId="0" xfId="0" applyNumberFormat="1" applyFont="1" applyFill="1"/>
    <xf numFmtId="0" fontId="85" fillId="21" borderId="0" xfId="0" applyFont="1" applyFill="1"/>
    <xf numFmtId="0" fontId="86" fillId="21" borderId="0" xfId="0" applyFont="1" applyFill="1" applyAlignment="1">
      <alignment horizontal="center"/>
    </xf>
    <xf numFmtId="2" fontId="64" fillId="22" borderId="55" xfId="0" applyNumberFormat="1" applyFont="1" applyFill="1" applyBorder="1" applyAlignment="1">
      <alignment horizontal="center" wrapText="1"/>
    </xf>
    <xf numFmtId="0" fontId="26" fillId="21" borderId="0" xfId="0" applyFont="1" applyFill="1" applyBorder="1" applyAlignment="1">
      <alignment horizontal="center"/>
    </xf>
    <xf numFmtId="0" fontId="34" fillId="21" borderId="0" xfId="0" applyNumberFormat="1" applyFont="1" applyFill="1" applyBorder="1"/>
    <xf numFmtId="0" fontId="26" fillId="13" borderId="0" xfId="0" applyFont="1" applyFill="1" applyBorder="1" applyAlignment="1">
      <alignment horizontal="center"/>
    </xf>
    <xf numFmtId="2" fontId="60" fillId="16" borderId="0" xfId="0" applyNumberFormat="1" applyFont="1" applyFill="1" applyBorder="1" applyAlignment="1">
      <alignment horizontal="center" wrapText="1"/>
    </xf>
    <xf numFmtId="2" fontId="60" fillId="22" borderId="0" xfId="0" applyNumberFormat="1" applyFont="1" applyFill="1" applyBorder="1" applyAlignment="1">
      <alignment horizontal="center" wrapText="1"/>
    </xf>
    <xf numFmtId="2" fontId="64" fillId="22" borderId="100" xfId="0" applyNumberFormat="1" applyFont="1" applyFill="1" applyBorder="1" applyAlignment="1">
      <alignment horizontal="center" wrapText="1"/>
    </xf>
    <xf numFmtId="2" fontId="64" fillId="22" borderId="79" xfId="0" applyNumberFormat="1" applyFont="1" applyFill="1" applyBorder="1" applyAlignment="1">
      <alignment horizontal="center" wrapText="1"/>
    </xf>
    <xf numFmtId="3" fontId="54" fillId="15" borderId="100" xfId="0" applyNumberFormat="1" applyFont="1" applyFill="1" applyBorder="1"/>
    <xf numFmtId="2" fontId="60" fillId="16" borderId="79" xfId="0" applyNumberFormat="1" applyFont="1" applyFill="1" applyBorder="1" applyAlignment="1">
      <alignment horizontal="center" wrapText="1"/>
    </xf>
    <xf numFmtId="0" fontId="50" fillId="17" borderId="69" xfId="0" applyFont="1" applyFill="1" applyBorder="1" applyAlignment="1">
      <alignment horizontal="center"/>
    </xf>
    <xf numFmtId="0" fontId="50" fillId="17" borderId="88" xfId="0" applyFont="1" applyFill="1" applyBorder="1" applyAlignment="1">
      <alignment horizontal="center"/>
    </xf>
    <xf numFmtId="2" fontId="60" fillId="22" borderId="79" xfId="0" applyNumberFormat="1" applyFont="1" applyFill="1" applyBorder="1" applyAlignment="1">
      <alignment horizontal="center" wrapText="1"/>
    </xf>
    <xf numFmtId="0" fontId="28" fillId="21" borderId="146" xfId="0" applyFont="1" applyFill="1" applyBorder="1"/>
    <xf numFmtId="0" fontId="28" fillId="21" borderId="135" xfId="0" applyFont="1" applyFill="1" applyBorder="1"/>
    <xf numFmtId="0" fontId="28" fillId="21" borderId="33" xfId="0" applyFont="1" applyFill="1" applyBorder="1"/>
    <xf numFmtId="0" fontId="28" fillId="21" borderId="34" xfId="0" applyFont="1" applyFill="1" applyBorder="1"/>
    <xf numFmtId="1" fontId="52" fillId="16" borderId="0" xfId="11" applyNumberFormat="1" applyFont="1" applyFill="1" applyBorder="1" applyAlignment="1">
      <alignment horizontal="center"/>
    </xf>
    <xf numFmtId="2" fontId="54" fillId="20" borderId="0" xfId="0" applyNumberFormat="1" applyFont="1" applyFill="1" applyBorder="1"/>
    <xf numFmtId="0" fontId="87" fillId="20" borderId="0" xfId="0" applyFont="1" applyFill="1" applyBorder="1"/>
    <xf numFmtId="0" fontId="34" fillId="0" borderId="0" xfId="0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182" fontId="18" fillId="0" borderId="2" xfId="0" applyNumberFormat="1" applyFont="1" applyFill="1" applyBorder="1" applyAlignment="1" applyProtection="1">
      <alignment horizontal="center" wrapText="1"/>
      <protection locked="0"/>
    </xf>
    <xf numFmtId="182" fontId="18" fillId="0" borderId="1" xfId="0" applyNumberFormat="1" applyFont="1" applyFill="1" applyBorder="1" applyAlignment="1" applyProtection="1">
      <alignment horizontal="center" wrapText="1"/>
      <protection locked="0"/>
    </xf>
    <xf numFmtId="0" fontId="32" fillId="0" borderId="21" xfId="0" applyFont="1" applyFill="1" applyBorder="1" applyAlignment="1">
      <alignment horizontal="center"/>
    </xf>
    <xf numFmtId="0" fontId="34" fillId="5" borderId="21" xfId="0" applyFont="1" applyFill="1" applyBorder="1" applyAlignment="1">
      <alignment horizontal="center"/>
    </xf>
    <xf numFmtId="0" fontId="34" fillId="0" borderId="0" xfId="0" applyFont="1" applyFill="1" applyBorder="1" applyAlignment="1">
      <alignment horizontal="left"/>
    </xf>
    <xf numFmtId="2" fontId="60" fillId="16" borderId="44" xfId="11" applyNumberFormat="1" applyFont="1" applyFill="1" applyBorder="1" applyAlignment="1">
      <alignment horizontal="left"/>
    </xf>
    <xf numFmtId="170" fontId="6" fillId="0" borderId="0" xfId="0" applyNumberFormat="1" applyFont="1" applyFill="1" applyAlignment="1">
      <alignment horizontal="center" wrapText="1"/>
    </xf>
    <xf numFmtId="1" fontId="6" fillId="0" borderId="0" xfId="0" applyNumberFormat="1" applyFont="1" applyFill="1" applyAlignment="1">
      <alignment horizontal="right" wrapText="1"/>
    </xf>
    <xf numFmtId="0" fontId="60" fillId="21" borderId="0" xfId="0" applyFont="1" applyFill="1" applyAlignment="1">
      <alignment horizontal="center"/>
    </xf>
    <xf numFmtId="2" fontId="60" fillId="22" borderId="44" xfId="11" applyNumberFormat="1" applyFont="1" applyFill="1" applyBorder="1" applyAlignment="1">
      <alignment horizontal="left"/>
    </xf>
    <xf numFmtId="191" fontId="88" fillId="16" borderId="44" xfId="0" applyNumberFormat="1" applyFont="1" applyFill="1" applyBorder="1" applyAlignment="1">
      <alignment horizontal="left" wrapText="1"/>
    </xf>
    <xf numFmtId="191" fontId="88" fillId="22" borderId="44" xfId="0" applyNumberFormat="1" applyFont="1" applyFill="1" applyBorder="1" applyAlignment="1">
      <alignment horizontal="left" wrapText="1"/>
    </xf>
    <xf numFmtId="2" fontId="60" fillId="16" borderId="46" xfId="11" applyNumberFormat="1" applyFont="1" applyFill="1" applyBorder="1" applyAlignment="1">
      <alignment horizontal="left" wrapText="1"/>
    </xf>
    <xf numFmtId="2" fontId="60" fillId="22" borderId="46" xfId="11" applyNumberFormat="1" applyFont="1" applyFill="1" applyBorder="1" applyAlignment="1">
      <alignment horizontal="left" wrapText="1"/>
    </xf>
    <xf numFmtId="0" fontId="61" fillId="13" borderId="0" xfId="15" applyNumberFormat="1" applyFont="1" applyFill="1" applyBorder="1" applyAlignment="1">
      <alignment horizontal="center" wrapText="1"/>
    </xf>
    <xf numFmtId="0" fontId="61" fillId="25" borderId="0" xfId="15" applyNumberFormat="1" applyFont="1" applyFill="1" applyBorder="1" applyAlignment="1">
      <alignment wrapText="1"/>
    </xf>
    <xf numFmtId="2" fontId="50" fillId="25" borderId="0" xfId="0" applyNumberFormat="1" applyFont="1" applyFill="1" applyBorder="1" applyAlignment="1"/>
    <xf numFmtId="0" fontId="53" fillId="25" borderId="0" xfId="0" applyNumberFormat="1" applyFont="1" applyFill="1" applyBorder="1"/>
    <xf numFmtId="0" fontId="54" fillId="28" borderId="0" xfId="0" applyFont="1" applyFill="1" applyBorder="1" applyAlignment="1">
      <alignment wrapText="1"/>
    </xf>
    <xf numFmtId="1" fontId="54" fillId="25" borderId="0" xfId="0" applyNumberFormat="1" applyFont="1" applyFill="1" applyBorder="1" applyAlignment="1">
      <alignment horizontal="center"/>
    </xf>
    <xf numFmtId="0" fontId="6" fillId="0" borderId="0" xfId="0" applyNumberFormat="1" applyFont="1" applyFill="1" applyAlignment="1">
      <alignment wrapText="1"/>
    </xf>
    <xf numFmtId="191" fontId="64" fillId="16" borderId="46" xfId="0" applyNumberFormat="1" applyFont="1" applyFill="1" applyBorder="1" applyAlignment="1">
      <alignment horizontal="right" wrapText="1"/>
    </xf>
    <xf numFmtId="191" fontId="64" fillId="16" borderId="44" xfId="0" applyNumberFormat="1" applyFont="1" applyFill="1" applyBorder="1" applyAlignment="1">
      <alignment horizontal="right" wrapText="1"/>
    </xf>
    <xf numFmtId="191" fontId="70" fillId="22" borderId="56" xfId="0" applyNumberFormat="1" applyFont="1" applyFill="1" applyBorder="1" applyAlignment="1">
      <alignment horizontal="center" wrapText="1"/>
    </xf>
    <xf numFmtId="0" fontId="53" fillId="13" borderId="0" xfId="0" applyNumberFormat="1" applyFont="1" applyFill="1" applyAlignment="1">
      <alignment horizontal="right"/>
    </xf>
    <xf numFmtId="4" fontId="64" fillId="26" borderId="145" xfId="0" applyNumberFormat="1" applyFont="1" applyFill="1" applyBorder="1" applyAlignment="1">
      <alignment horizontal="center"/>
    </xf>
    <xf numFmtId="4" fontId="64" fillId="26" borderId="142" xfId="0" applyNumberFormat="1" applyFont="1" applyFill="1" applyBorder="1" applyAlignment="1">
      <alignment horizontal="center"/>
    </xf>
    <xf numFmtId="4" fontId="64" fillId="26" borderId="150" xfId="0" applyNumberFormat="1" applyFont="1" applyFill="1" applyBorder="1" applyAlignment="1">
      <alignment horizontal="center"/>
    </xf>
    <xf numFmtId="4" fontId="64" fillId="26" borderId="152" xfId="0" applyNumberFormat="1" applyFont="1" applyFill="1" applyBorder="1" applyAlignment="1">
      <alignment horizontal="center"/>
    </xf>
    <xf numFmtId="4" fontId="64" fillId="26" borderId="144" xfId="0" applyNumberFormat="1" applyFont="1" applyFill="1" applyBorder="1" applyAlignment="1">
      <alignment horizontal="center"/>
    </xf>
    <xf numFmtId="0" fontId="72" fillId="26" borderId="157" xfId="0" applyNumberFormat="1" applyFont="1" applyFill="1" applyBorder="1" applyAlignment="1">
      <alignment horizontal="center"/>
    </xf>
    <xf numFmtId="0" fontId="72" fillId="26" borderId="156" xfId="0" applyNumberFormat="1" applyFont="1" applyFill="1" applyBorder="1" applyAlignment="1">
      <alignment horizontal="center"/>
    </xf>
    <xf numFmtId="0" fontId="72" fillId="26" borderId="158" xfId="0" applyNumberFormat="1" applyFont="1" applyFill="1" applyBorder="1" applyAlignment="1">
      <alignment horizontal="center"/>
    </xf>
    <xf numFmtId="0" fontId="72" fillId="26" borderId="147" xfId="0" applyNumberFormat="1" applyFont="1" applyFill="1" applyBorder="1" applyAlignment="1">
      <alignment horizontal="center"/>
    </xf>
    <xf numFmtId="0" fontId="72" fillId="26" borderId="148" xfId="0" applyNumberFormat="1" applyFont="1" applyFill="1" applyBorder="1" applyAlignment="1">
      <alignment horizontal="center"/>
    </xf>
    <xf numFmtId="0" fontId="72" fillId="26" borderId="149" xfId="0" applyNumberFormat="1" applyFont="1" applyFill="1" applyBorder="1" applyAlignment="1">
      <alignment horizontal="center"/>
    </xf>
    <xf numFmtId="0" fontId="92" fillId="13" borderId="0" xfId="15" applyNumberFormat="1" applyFont="1" applyFill="1" applyBorder="1" applyAlignment="1">
      <alignment horizontal="center" wrapText="1"/>
    </xf>
    <xf numFmtId="0" fontId="92" fillId="13" borderId="0" xfId="0" applyFont="1" applyFill="1" applyAlignment="1">
      <alignment horizontal="center"/>
    </xf>
    <xf numFmtId="0" fontId="25" fillId="3" borderId="8" xfId="15" applyNumberFormat="1" applyFont="1" applyBorder="1" applyAlignment="1">
      <alignment horizontal="center" wrapText="1"/>
    </xf>
    <xf numFmtId="0" fontId="50" fillId="18" borderId="77" xfId="0" applyFont="1" applyFill="1" applyBorder="1" applyAlignment="1">
      <alignment horizontal="center"/>
    </xf>
    <xf numFmtId="0" fontId="50" fillId="18" borderId="37" xfId="0" applyFont="1" applyFill="1" applyBorder="1" applyAlignment="1">
      <alignment horizontal="center"/>
    </xf>
    <xf numFmtId="0" fontId="50" fillId="17" borderId="0" xfId="0" applyFont="1" applyFill="1" applyBorder="1" applyAlignment="1">
      <alignment horizontal="center"/>
    </xf>
    <xf numFmtId="0" fontId="50" fillId="20" borderId="0" xfId="0" applyFont="1" applyFill="1" applyBorder="1" applyAlignment="1">
      <alignment horizontal="center"/>
    </xf>
    <xf numFmtId="0" fontId="50" fillId="17" borderId="54" xfId="0" applyFont="1" applyFill="1" applyBorder="1" applyAlignment="1">
      <alignment horizontal="center"/>
    </xf>
    <xf numFmtId="0" fontId="50" fillId="17" borderId="45" xfId="0" applyFont="1" applyFill="1" applyBorder="1" applyAlignment="1">
      <alignment horizontal="center"/>
    </xf>
    <xf numFmtId="166" fontId="53" fillId="13" borderId="0" xfId="10" applyFont="1" applyFill="1" applyAlignment="1">
      <alignment horizontal="center"/>
    </xf>
    <xf numFmtId="0" fontId="50" fillId="30" borderId="101" xfId="0" applyFont="1" applyFill="1" applyBorder="1" applyAlignment="1">
      <alignment horizontal="center"/>
    </xf>
    <xf numFmtId="0" fontId="4" fillId="21" borderId="0" xfId="0" applyFont="1" applyFill="1"/>
    <xf numFmtId="0" fontId="4" fillId="21" borderId="0" xfId="0" applyFont="1" applyFill="1" applyAlignment="1">
      <alignment horizontal="center"/>
    </xf>
    <xf numFmtId="0" fontId="50" fillId="21" borderId="0" xfId="0" applyFont="1" applyFill="1"/>
    <xf numFmtId="0" fontId="50" fillId="17" borderId="0" xfId="0" applyFont="1" applyFill="1" applyBorder="1" applyAlignment="1">
      <alignment horizontal="center"/>
    </xf>
    <xf numFmtId="0" fontId="66" fillId="26" borderId="29" xfId="0" applyNumberFormat="1" applyFont="1" applyFill="1" applyBorder="1" applyAlignment="1">
      <alignment horizontal="center"/>
    </xf>
    <xf numFmtId="1" fontId="51" fillId="26" borderId="108" xfId="11" applyNumberFormat="1" applyFont="1" applyFill="1" applyBorder="1" applyAlignment="1">
      <alignment horizontal="center"/>
    </xf>
    <xf numFmtId="1" fontId="51" fillId="26" borderId="118" xfId="11" applyNumberFormat="1" applyFont="1" applyFill="1" applyBorder="1" applyAlignment="1">
      <alignment horizontal="center"/>
    </xf>
    <xf numFmtId="0" fontId="66" fillId="26" borderId="169" xfId="0" applyNumberFormat="1" applyFont="1" applyFill="1" applyBorder="1" applyAlignment="1">
      <alignment horizontal="center"/>
    </xf>
    <xf numFmtId="0" fontId="50" fillId="17" borderId="173" xfId="0" applyFont="1" applyFill="1" applyBorder="1" applyAlignment="1">
      <alignment horizontal="center" wrapText="1"/>
    </xf>
    <xf numFmtId="0" fontId="50" fillId="17" borderId="171" xfId="0" applyFont="1" applyFill="1" applyBorder="1" applyAlignment="1">
      <alignment horizontal="center" wrapText="1"/>
    </xf>
    <xf numFmtId="1" fontId="66" fillId="16" borderId="128" xfId="11" applyNumberFormat="1" applyFont="1" applyFill="1" applyBorder="1" applyAlignment="1">
      <alignment horizontal="center" wrapText="1"/>
    </xf>
    <xf numFmtId="2" fontId="4" fillId="21" borderId="0" xfId="0" applyNumberFormat="1" applyFont="1" applyFill="1"/>
    <xf numFmtId="190" fontId="4" fillId="21" borderId="0" xfId="0" applyNumberFormat="1" applyFont="1" applyFill="1"/>
    <xf numFmtId="0" fontId="50" fillId="17" borderId="0" xfId="0" applyFont="1" applyFill="1" applyBorder="1" applyAlignment="1">
      <alignment horizontal="center" wrapText="1"/>
    </xf>
    <xf numFmtId="1" fontId="55" fillId="26" borderId="108" xfId="11" applyNumberFormat="1" applyFont="1" applyFill="1" applyBorder="1" applyAlignment="1">
      <alignment horizontal="center" wrapText="1"/>
    </xf>
    <xf numFmtId="1" fontId="55" fillId="26" borderId="118" xfId="11" applyNumberFormat="1" applyFont="1" applyFill="1" applyBorder="1" applyAlignment="1">
      <alignment horizontal="center" wrapText="1"/>
    </xf>
    <xf numFmtId="0" fontId="54" fillId="17" borderId="69" xfId="0" applyFont="1" applyFill="1" applyBorder="1" applyAlignment="1">
      <alignment horizontal="center" wrapText="1"/>
    </xf>
    <xf numFmtId="0" fontId="54" fillId="17" borderId="88" xfId="0" applyFont="1" applyFill="1" applyBorder="1" applyAlignment="1">
      <alignment horizontal="center" wrapText="1"/>
    </xf>
    <xf numFmtId="0" fontId="54" fillId="17" borderId="176" xfId="0" applyFont="1" applyFill="1" applyBorder="1" applyAlignment="1">
      <alignment horizontal="center" wrapText="1"/>
    </xf>
    <xf numFmtId="0" fontId="66" fillId="16" borderId="46" xfId="0" applyNumberFormat="1" applyFont="1" applyFill="1" applyBorder="1" applyAlignment="1">
      <alignment horizontal="center" wrapText="1"/>
    </xf>
    <xf numFmtId="0" fontId="93" fillId="21" borderId="0" xfId="0" applyFont="1" applyFill="1"/>
    <xf numFmtId="0" fontId="34" fillId="21" borderId="0" xfId="0" applyFont="1" applyFill="1" applyAlignment="1">
      <alignment horizontal="center"/>
    </xf>
    <xf numFmtId="0" fontId="66" fillId="16" borderId="179" xfId="0" applyNumberFormat="1" applyFont="1" applyFill="1" applyBorder="1" applyAlignment="1">
      <alignment horizontal="center" wrapText="1"/>
    </xf>
    <xf numFmtId="177" fontId="60" fillId="16" borderId="44" xfId="0" applyNumberFormat="1" applyFont="1" applyFill="1" applyBorder="1" applyAlignment="1">
      <alignment horizontal="center" wrapText="1"/>
    </xf>
    <xf numFmtId="177" fontId="60" fillId="16" borderId="133" xfId="0" applyNumberFormat="1" applyFont="1" applyFill="1" applyBorder="1" applyAlignment="1">
      <alignment horizontal="center" wrapText="1"/>
    </xf>
    <xf numFmtId="177" fontId="60" fillId="16" borderId="116" xfId="0" applyNumberFormat="1" applyFont="1" applyFill="1" applyBorder="1" applyAlignment="1">
      <alignment horizontal="center" wrapText="1"/>
    </xf>
    <xf numFmtId="177" fontId="60" fillId="16" borderId="134" xfId="0" applyNumberFormat="1" applyFont="1" applyFill="1" applyBorder="1" applyAlignment="1">
      <alignment horizontal="center" wrapText="1"/>
    </xf>
    <xf numFmtId="177" fontId="60" fillId="16" borderId="117" xfId="0" applyNumberFormat="1" applyFont="1" applyFill="1" applyBorder="1" applyAlignment="1">
      <alignment horizontal="center" wrapText="1"/>
    </xf>
    <xf numFmtId="0" fontId="50" fillId="17" borderId="176" xfId="0" applyFont="1" applyFill="1" applyBorder="1" applyAlignment="1">
      <alignment horizontal="center"/>
    </xf>
    <xf numFmtId="3" fontId="91" fillId="16" borderId="89" xfId="0" applyNumberFormat="1" applyFont="1" applyFill="1" applyBorder="1" applyAlignment="1">
      <alignment horizontal="center"/>
    </xf>
    <xf numFmtId="3" fontId="91" fillId="16" borderId="51" xfId="0" applyNumberFormat="1" applyFont="1" applyFill="1" applyBorder="1" applyAlignment="1">
      <alignment horizontal="center"/>
    </xf>
    <xf numFmtId="196" fontId="66" fillId="16" borderId="180" xfId="0" applyNumberFormat="1" applyFont="1" applyFill="1" applyBorder="1" applyAlignment="1">
      <alignment horizontal="center"/>
    </xf>
    <xf numFmtId="196" fontId="66" fillId="16" borderId="172" xfId="0" applyNumberFormat="1" applyFont="1" applyFill="1" applyBorder="1" applyAlignment="1">
      <alignment horizontal="center"/>
    </xf>
    <xf numFmtId="196" fontId="66" fillId="16" borderId="181" xfId="0" applyNumberFormat="1" applyFont="1" applyFill="1" applyBorder="1" applyAlignment="1">
      <alignment horizontal="center"/>
    </xf>
    <xf numFmtId="196" fontId="66" fillId="16" borderId="182" xfId="0" applyNumberFormat="1" applyFont="1" applyFill="1" applyBorder="1" applyAlignment="1">
      <alignment horizontal="center"/>
    </xf>
    <xf numFmtId="0" fontId="54" fillId="17" borderId="175" xfId="0" applyFont="1" applyFill="1" applyBorder="1" applyAlignment="1">
      <alignment wrapText="1"/>
    </xf>
    <xf numFmtId="0" fontId="66" fillId="16" borderId="177" xfId="0" applyNumberFormat="1" applyFont="1" applyFill="1" applyBorder="1" applyAlignment="1">
      <alignment wrapText="1"/>
    </xf>
    <xf numFmtId="164" fontId="71" fillId="16" borderId="44" xfId="11" applyNumberFormat="1" applyFont="1" applyFill="1" applyBorder="1"/>
    <xf numFmtId="164" fontId="71" fillId="16" borderId="46" xfId="11" applyNumberFormat="1" applyFont="1" applyFill="1" applyBorder="1"/>
    <xf numFmtId="0" fontId="50" fillId="21" borderId="186" xfId="15" applyNumberFormat="1" applyFont="1" applyFill="1" applyBorder="1" applyAlignment="1">
      <alignment horizontal="center" wrapText="1"/>
    </xf>
    <xf numFmtId="0" fontId="50" fillId="20" borderId="105" xfId="15" applyNumberFormat="1" applyFont="1" applyFill="1" applyBorder="1" applyAlignment="1">
      <alignment horizontal="center" wrapText="1"/>
    </xf>
    <xf numFmtId="0" fontId="94" fillId="4" borderId="0" xfId="0" applyFont="1" applyFill="1" applyAlignment="1">
      <alignment horizontal="right"/>
    </xf>
    <xf numFmtId="0" fontId="66" fillId="16" borderId="44" xfId="0" applyNumberFormat="1" applyFont="1" applyFill="1" applyBorder="1" applyAlignment="1">
      <alignment wrapText="1"/>
    </xf>
    <xf numFmtId="0" fontId="50" fillId="17" borderId="0" xfId="0" applyFont="1" applyFill="1" applyBorder="1" applyAlignment="1">
      <alignment horizontal="center"/>
    </xf>
    <xf numFmtId="0" fontId="50" fillId="17" borderId="0" xfId="0" applyFont="1" applyFill="1" applyBorder="1" applyAlignment="1">
      <alignment horizontal="center"/>
    </xf>
    <xf numFmtId="0" fontId="50" fillId="17" borderId="171" xfId="0" applyFont="1" applyFill="1" applyBorder="1" applyAlignment="1">
      <alignment horizontal="center" wrapText="1"/>
    </xf>
    <xf numFmtId="0" fontId="54" fillId="17" borderId="175" xfId="0" applyFont="1" applyFill="1" applyBorder="1" applyAlignment="1">
      <alignment horizontal="center" wrapText="1"/>
    </xf>
    <xf numFmtId="0" fontId="66" fillId="20" borderId="0" xfId="0" applyFont="1" applyFill="1" applyBorder="1" applyAlignment="1"/>
    <xf numFmtId="0" fontId="95" fillId="20" borderId="0" xfId="0" applyFont="1" applyFill="1"/>
    <xf numFmtId="169" fontId="66" fillId="16" borderId="44" xfId="0" applyNumberFormat="1" applyFont="1" applyFill="1" applyBorder="1" applyAlignment="1">
      <alignment wrapText="1"/>
    </xf>
    <xf numFmtId="0" fontId="50" fillId="20" borderId="0" xfId="0" applyFont="1" applyFill="1"/>
    <xf numFmtId="177" fontId="60" fillId="16" borderId="140" xfId="0" applyNumberFormat="1" applyFont="1" applyFill="1" applyBorder="1" applyAlignment="1">
      <alignment horizontal="center" wrapText="1"/>
    </xf>
    <xf numFmtId="177" fontId="60" fillId="16" borderId="141" xfId="0" applyNumberFormat="1" applyFont="1" applyFill="1" applyBorder="1" applyAlignment="1">
      <alignment horizontal="center" wrapText="1"/>
    </xf>
    <xf numFmtId="177" fontId="60" fillId="16" borderId="111" xfId="0" applyNumberFormat="1" applyFont="1" applyFill="1" applyBorder="1" applyAlignment="1">
      <alignment horizontal="center" wrapText="1"/>
    </xf>
    <xf numFmtId="1" fontId="66" fillId="16" borderId="112" xfId="11" applyNumberFormat="1" applyFont="1" applyFill="1" applyBorder="1" applyAlignment="1">
      <alignment horizontal="center" wrapText="1"/>
    </xf>
    <xf numFmtId="177" fontId="60" fillId="16" borderId="113" xfId="0" applyNumberFormat="1" applyFont="1" applyFill="1" applyBorder="1" applyAlignment="1">
      <alignment horizontal="center" wrapText="1"/>
    </xf>
    <xf numFmtId="177" fontId="60" fillId="16" borderId="114" xfId="0" applyNumberFormat="1" applyFont="1" applyFill="1" applyBorder="1" applyAlignment="1">
      <alignment horizontal="center" wrapText="1"/>
    </xf>
    <xf numFmtId="0" fontId="25" fillId="3" borderId="8" xfId="15" applyNumberFormat="1" applyFont="1" applyBorder="1" applyAlignment="1">
      <alignment horizontal="center" wrapText="1"/>
    </xf>
    <xf numFmtId="0" fontId="41" fillId="19" borderId="0" xfId="0" applyFont="1" applyFill="1" applyAlignment="1">
      <alignment horizontal="center" wrapText="1"/>
    </xf>
    <xf numFmtId="0" fontId="71" fillId="19" borderId="0" xfId="0" applyFont="1" applyFill="1" applyAlignment="1">
      <alignment horizontal="left"/>
    </xf>
    <xf numFmtId="0" fontId="67" fillId="20" borderId="130" xfId="0" applyNumberFormat="1" applyFont="1" applyFill="1" applyBorder="1" applyAlignment="1">
      <alignment horizontal="center"/>
    </xf>
    <xf numFmtId="0" fontId="77" fillId="20" borderId="131" xfId="0" applyNumberFormat="1" applyFont="1" applyFill="1" applyBorder="1" applyAlignment="1">
      <alignment horizontal="center"/>
    </xf>
    <xf numFmtId="0" fontId="67" fillId="20" borderId="137" xfId="0" applyNumberFormat="1" applyFont="1" applyFill="1" applyBorder="1" applyAlignment="1">
      <alignment horizontal="center"/>
    </xf>
    <xf numFmtId="0" fontId="77" fillId="20" borderId="138" xfId="0" applyNumberFormat="1" applyFont="1" applyFill="1" applyBorder="1" applyAlignment="1">
      <alignment horizontal="center"/>
    </xf>
    <xf numFmtId="170" fontId="60" fillId="20" borderId="139" xfId="0" applyNumberFormat="1" applyFont="1" applyFill="1" applyBorder="1" applyAlignment="1">
      <alignment horizontal="center"/>
    </xf>
    <xf numFmtId="0" fontId="50" fillId="17" borderId="0" xfId="0" applyFont="1" applyFill="1" applyBorder="1" applyAlignment="1">
      <alignment horizontal="center"/>
    </xf>
    <xf numFmtId="0" fontId="50" fillId="17" borderId="171" xfId="0" applyFont="1" applyFill="1" applyBorder="1" applyAlignment="1">
      <alignment horizontal="center" wrapText="1"/>
    </xf>
    <xf numFmtId="2" fontId="28" fillId="4" borderId="0" xfId="0" applyNumberFormat="1" applyFont="1" applyFill="1" applyAlignment="1">
      <alignment horizontal="center"/>
    </xf>
    <xf numFmtId="4" fontId="60" fillId="20" borderId="132" xfId="0" applyNumberFormat="1" applyFont="1" applyFill="1" applyBorder="1" applyAlignment="1">
      <alignment horizontal="center"/>
    </xf>
    <xf numFmtId="4" fontId="60" fillId="26" borderId="123" xfId="0" applyNumberFormat="1" applyFont="1" applyFill="1" applyBorder="1" applyAlignment="1">
      <alignment horizontal="center"/>
    </xf>
    <xf numFmtId="4" fontId="60" fillId="26" borderId="124" xfId="0" applyNumberFormat="1" applyFont="1" applyFill="1" applyBorder="1" applyAlignment="1">
      <alignment horizontal="center"/>
    </xf>
    <xf numFmtId="2" fontId="60" fillId="16" borderId="102" xfId="11" applyNumberFormat="1" applyFont="1" applyFill="1" applyBorder="1" applyAlignment="1">
      <alignment horizontal="left" wrapText="1"/>
    </xf>
    <xf numFmtId="2" fontId="60" fillId="16" borderId="102" xfId="11" applyNumberFormat="1" applyFont="1" applyFill="1" applyBorder="1" applyAlignment="1">
      <alignment horizontal="left"/>
    </xf>
    <xf numFmtId="191" fontId="88" fillId="16" borderId="102" xfId="0" applyNumberFormat="1" applyFont="1" applyFill="1" applyBorder="1" applyAlignment="1">
      <alignment horizontal="left" wrapText="1"/>
    </xf>
    <xf numFmtId="174" fontId="66" fillId="16" borderId="102" xfId="0" applyNumberFormat="1" applyFont="1" applyFill="1" applyBorder="1" applyAlignment="1">
      <alignment horizontal="right" wrapText="1"/>
    </xf>
    <xf numFmtId="2" fontId="66" fillId="16" borderId="102" xfId="11" applyNumberFormat="1" applyFont="1" applyFill="1" applyBorder="1" applyAlignment="1">
      <alignment horizontal="right"/>
    </xf>
    <xf numFmtId="4" fontId="66" fillId="16" borderId="102" xfId="0" applyNumberFormat="1" applyFont="1" applyFill="1" applyBorder="1" applyAlignment="1">
      <alignment horizontal="center"/>
    </xf>
    <xf numFmtId="3" fontId="66" fillId="16" borderId="102" xfId="0" applyNumberFormat="1" applyFont="1" applyFill="1" applyBorder="1" applyAlignment="1">
      <alignment horizontal="right" wrapText="1"/>
    </xf>
    <xf numFmtId="4" fontId="66" fillId="16" borderId="102" xfId="0" applyNumberFormat="1" applyFont="1" applyFill="1" applyBorder="1" applyAlignment="1">
      <alignment horizontal="right" wrapText="1"/>
    </xf>
    <xf numFmtId="2" fontId="60" fillId="22" borderId="46" xfId="11" applyNumberFormat="1" applyFont="1" applyFill="1" applyBorder="1" applyAlignment="1">
      <alignment horizontal="left"/>
    </xf>
    <xf numFmtId="191" fontId="88" fillId="22" borderId="46" xfId="0" applyNumberFormat="1" applyFont="1" applyFill="1" applyBorder="1" applyAlignment="1">
      <alignment horizontal="left" wrapText="1"/>
    </xf>
    <xf numFmtId="0" fontId="25" fillId="3" borderId="8" xfId="15" applyNumberFormat="1" applyFont="1" applyBorder="1" applyAlignment="1">
      <alignment horizontal="center" wrapText="1"/>
    </xf>
    <xf numFmtId="0" fontId="50" fillId="17" borderId="75" xfId="0" applyFont="1" applyFill="1" applyBorder="1" applyAlignment="1">
      <alignment horizontal="center"/>
    </xf>
    <xf numFmtId="0" fontId="57" fillId="15" borderId="46" xfId="0" applyNumberFormat="1" applyFont="1" applyFill="1" applyBorder="1" applyAlignment="1">
      <alignment horizontal="center"/>
    </xf>
    <xf numFmtId="0" fontId="50" fillId="17" borderId="198" xfId="0" applyFont="1" applyFill="1" applyBorder="1" applyAlignment="1">
      <alignment horizontal="center"/>
    </xf>
    <xf numFmtId="0" fontId="50" fillId="17" borderId="199" xfId="0" applyFont="1" applyFill="1" applyBorder="1" applyAlignment="1">
      <alignment horizontal="center"/>
    </xf>
    <xf numFmtId="0" fontId="50" fillId="18" borderId="49" xfId="0" applyFont="1" applyFill="1" applyBorder="1" applyAlignment="1"/>
    <xf numFmtId="173" fontId="59" fillId="16" borderId="0" xfId="0" applyNumberFormat="1" applyFont="1" applyFill="1" applyBorder="1"/>
    <xf numFmtId="173" fontId="59" fillId="16" borderId="73" xfId="0" applyNumberFormat="1" applyFont="1" applyFill="1" applyBorder="1"/>
    <xf numFmtId="0" fontId="54" fillId="17" borderId="60" xfId="0" applyFont="1" applyFill="1" applyBorder="1" applyAlignment="1">
      <alignment horizontal="center"/>
    </xf>
    <xf numFmtId="9" fontId="53" fillId="5" borderId="0" xfId="11" applyFont="1" applyFill="1" applyAlignment="1">
      <alignment horizontal="center"/>
    </xf>
    <xf numFmtId="0" fontId="54" fillId="17" borderId="60" xfId="0" applyFont="1" applyFill="1" applyBorder="1" applyAlignment="1">
      <alignment horizontal="right"/>
    </xf>
    <xf numFmtId="2" fontId="15" fillId="2" borderId="0" xfId="1" applyNumberFormat="1" applyFont="1" applyBorder="1" applyAlignment="1">
      <alignment horizontal="center" wrapText="1"/>
    </xf>
    <xf numFmtId="169" fontId="53" fillId="16" borderId="72" xfId="11" applyNumberFormat="1" applyFont="1" applyFill="1" applyBorder="1" applyAlignment="1">
      <alignment horizontal="center"/>
    </xf>
    <xf numFmtId="1" fontId="34" fillId="4" borderId="0" xfId="0" applyNumberFormat="1" applyFont="1" applyFill="1"/>
    <xf numFmtId="0" fontId="32" fillId="5" borderId="0" xfId="0" applyFont="1" applyFill="1" applyAlignment="1"/>
    <xf numFmtId="2" fontId="60" fillId="21" borderId="0" xfId="0" applyNumberFormat="1" applyFont="1" applyFill="1" applyAlignment="1">
      <alignment horizontal="center"/>
    </xf>
    <xf numFmtId="0" fontId="66" fillId="22" borderId="79" xfId="0" applyFont="1" applyFill="1" applyBorder="1" applyAlignment="1">
      <alignment horizontal="center" wrapText="1"/>
    </xf>
    <xf numFmtId="0" fontId="66" fillId="22" borderId="79" xfId="0" applyFont="1" applyFill="1" applyBorder="1" applyAlignment="1">
      <alignment horizontal="center" wrapText="1"/>
    </xf>
    <xf numFmtId="0" fontId="66" fillId="22" borderId="79" xfId="0" applyFont="1" applyFill="1" applyBorder="1" applyAlignment="1">
      <alignment horizontal="center" wrapText="1"/>
    </xf>
    <xf numFmtId="0" fontId="66" fillId="22" borderId="79" xfId="0" applyFont="1" applyFill="1" applyBorder="1" applyAlignment="1">
      <alignment horizontal="left"/>
    </xf>
    <xf numFmtId="0" fontId="66" fillId="22" borderId="79" xfId="0" applyFont="1" applyFill="1" applyBorder="1" applyAlignment="1">
      <alignment horizontal="center" wrapText="1"/>
    </xf>
    <xf numFmtId="0" fontId="66" fillId="22" borderId="51" xfId="0" applyFont="1" applyFill="1" applyBorder="1" applyAlignment="1">
      <alignment horizontal="center" wrapText="1"/>
    </xf>
    <xf numFmtId="0" fontId="66" fillId="22" borderId="190" xfId="0" applyFont="1" applyFill="1" applyBorder="1" applyAlignment="1">
      <alignment horizontal="center" wrapText="1"/>
    </xf>
    <xf numFmtId="182" fontId="18" fillId="0" borderId="2" xfId="0" applyNumberFormat="1" applyFont="1" applyFill="1" applyBorder="1" applyAlignment="1" applyProtection="1">
      <alignment horizontal="center" wrapText="1"/>
      <protection locked="0"/>
    </xf>
    <xf numFmtId="182" fontId="18" fillId="0" borderId="1" xfId="0" applyNumberFormat="1" applyFont="1" applyFill="1" applyBorder="1" applyAlignment="1" applyProtection="1">
      <alignment horizontal="center" wrapText="1"/>
      <protection locked="0"/>
    </xf>
    <xf numFmtId="169" fontId="66" fillId="16" borderId="126" xfId="11" applyNumberFormat="1" applyFont="1" applyFill="1" applyBorder="1" applyAlignment="1">
      <alignment horizontal="center" wrapText="1"/>
    </xf>
    <xf numFmtId="169" fontId="66" fillId="16" borderId="129" xfId="11" applyNumberFormat="1" applyFont="1" applyFill="1" applyBorder="1" applyAlignment="1">
      <alignment horizontal="center" wrapText="1"/>
    </xf>
    <xf numFmtId="169" fontId="66" fillId="16" borderId="46" xfId="0" applyNumberFormat="1" applyFont="1" applyFill="1" applyBorder="1" applyAlignment="1">
      <alignment horizontal="center" wrapText="1"/>
    </xf>
    <xf numFmtId="0" fontId="97" fillId="20" borderId="0" xfId="0" applyFont="1" applyFill="1" applyBorder="1" applyAlignment="1">
      <alignment horizontal="right"/>
    </xf>
    <xf numFmtId="175" fontId="50" fillId="10" borderId="69" xfId="15" applyNumberFormat="1" applyFont="1" applyFill="1" applyBorder="1" applyAlignment="1">
      <alignment wrapText="1"/>
    </xf>
    <xf numFmtId="0" fontId="50" fillId="8" borderId="69" xfId="15" applyNumberFormat="1" applyFont="1" applyFill="1" applyBorder="1" applyAlignment="1">
      <alignment wrapText="1"/>
    </xf>
    <xf numFmtId="177" fontId="98" fillId="5" borderId="119" xfId="0" applyNumberFormat="1" applyFont="1" applyFill="1" applyBorder="1" applyAlignment="1">
      <alignment horizontal="center" wrapText="1"/>
    </xf>
    <xf numFmtId="177" fontId="60" fillId="5" borderId="119" xfId="0" applyNumberFormat="1" applyFont="1" applyFill="1" applyBorder="1" applyAlignment="1">
      <alignment horizontal="center" wrapText="1"/>
    </xf>
    <xf numFmtId="195" fontId="66" fillId="16" borderId="55" xfId="0" applyNumberFormat="1" applyFont="1" applyFill="1" applyBorder="1" applyAlignment="1">
      <alignment horizontal="center" wrapText="1"/>
    </xf>
    <xf numFmtId="195" fontId="66" fillId="22" borderId="143" xfId="0" applyNumberFormat="1" applyFont="1" applyFill="1" applyBorder="1" applyAlignment="1">
      <alignment horizontal="center" wrapText="1"/>
    </xf>
    <xf numFmtId="195" fontId="66" fillId="22" borderId="51" xfId="0" applyNumberFormat="1" applyFont="1" applyFill="1" applyBorder="1" applyAlignment="1">
      <alignment horizontal="center" wrapText="1"/>
    </xf>
    <xf numFmtId="2" fontId="60" fillId="16" borderId="134" xfId="0" applyNumberFormat="1" applyFont="1" applyFill="1" applyBorder="1" applyAlignment="1">
      <alignment horizontal="right"/>
    </xf>
    <xf numFmtId="2" fontId="60" fillId="16" borderId="151" xfId="0" applyNumberFormat="1" applyFont="1" applyFill="1" applyBorder="1" applyAlignment="1">
      <alignment horizontal="right"/>
    </xf>
    <xf numFmtId="2" fontId="60" fillId="16" borderId="117" xfId="0" applyNumberFormat="1" applyFont="1" applyFill="1" applyBorder="1" applyAlignment="1">
      <alignment horizontal="right"/>
    </xf>
    <xf numFmtId="2" fontId="60" fillId="22" borderId="153" xfId="0" applyNumberFormat="1" applyFont="1" applyFill="1" applyBorder="1" applyAlignment="1">
      <alignment horizontal="left"/>
    </xf>
    <xf numFmtId="2" fontId="60" fillId="22" borderId="154" xfId="0" applyNumberFormat="1" applyFont="1" applyFill="1" applyBorder="1" applyAlignment="1">
      <alignment horizontal="left"/>
    </xf>
    <xf numFmtId="2" fontId="60" fillId="22" borderId="155" xfId="0" applyNumberFormat="1" applyFont="1" applyFill="1" applyBorder="1" applyAlignment="1">
      <alignment horizontal="left"/>
    </xf>
    <xf numFmtId="0" fontId="99" fillId="4" borderId="0" xfId="0" applyFont="1" applyFill="1" applyAlignment="1">
      <alignment horizontal="left"/>
    </xf>
    <xf numFmtId="0" fontId="31" fillId="4" borderId="0" xfId="0" applyFont="1" applyFill="1" applyAlignment="1">
      <alignment horizontal="left"/>
    </xf>
    <xf numFmtId="0" fontId="99" fillId="4" borderId="0" xfId="0" applyFont="1" applyFill="1" applyAlignment="1">
      <alignment horizontal="right"/>
    </xf>
    <xf numFmtId="167" fontId="31" fillId="3" borderId="0" xfId="14" applyNumberFormat="1" applyFont="1" applyAlignment="1">
      <alignment horizontal="center"/>
    </xf>
    <xf numFmtId="0" fontId="37" fillId="4" borderId="21" xfId="0" applyFont="1" applyFill="1" applyBorder="1" applyAlignment="1">
      <alignment horizontal="center"/>
    </xf>
    <xf numFmtId="0" fontId="37" fillId="4" borderId="42" xfId="0" applyFont="1" applyFill="1" applyBorder="1" applyAlignment="1">
      <alignment horizontal="center"/>
    </xf>
    <xf numFmtId="0" fontId="37" fillId="4" borderId="22" xfId="0" applyFont="1" applyFill="1" applyBorder="1" applyAlignment="1">
      <alignment horizontal="center"/>
    </xf>
    <xf numFmtId="164" fontId="34" fillId="4" borderId="19" xfId="0" applyNumberFormat="1" applyFont="1" applyFill="1" applyBorder="1" applyAlignment="1">
      <alignment horizontal="center"/>
    </xf>
    <xf numFmtId="164" fontId="34" fillId="4" borderId="0" xfId="0" applyNumberFormat="1" applyFont="1" applyFill="1" applyAlignment="1">
      <alignment horizontal="center"/>
    </xf>
    <xf numFmtId="165" fontId="34" fillId="4" borderId="0" xfId="0" applyNumberFormat="1" applyFont="1" applyFill="1" applyAlignment="1">
      <alignment horizontal="center"/>
    </xf>
    <xf numFmtId="165" fontId="34" fillId="5" borderId="0" xfId="0" applyNumberFormat="1" applyFont="1" applyFill="1" applyAlignment="1">
      <alignment horizontal="center"/>
    </xf>
    <xf numFmtId="1" fontId="34" fillId="4" borderId="19" xfId="0" applyNumberFormat="1" applyFont="1" applyFill="1" applyBorder="1" applyAlignment="1">
      <alignment horizontal="center"/>
    </xf>
    <xf numFmtId="1" fontId="34" fillId="5" borderId="19" xfId="0" applyNumberFormat="1" applyFont="1" applyFill="1" applyBorder="1" applyAlignment="1">
      <alignment horizontal="center"/>
    </xf>
    <xf numFmtId="10" fontId="34" fillId="4" borderId="0" xfId="0" applyNumberFormat="1" applyFont="1" applyFill="1" applyAlignment="1">
      <alignment horizontal="center"/>
    </xf>
    <xf numFmtId="10" fontId="34" fillId="4" borderId="19" xfId="0" applyNumberFormat="1" applyFont="1" applyFill="1" applyBorder="1" applyAlignment="1">
      <alignment horizontal="center"/>
    </xf>
    <xf numFmtId="10" fontId="34" fillId="4" borderId="41" xfId="0" applyNumberFormat="1" applyFont="1" applyFill="1" applyBorder="1" applyAlignment="1">
      <alignment horizontal="center"/>
    </xf>
    <xf numFmtId="4" fontId="34" fillId="4" borderId="41" xfId="0" applyNumberFormat="1" applyFont="1" applyFill="1" applyBorder="1" applyAlignment="1">
      <alignment horizontal="center"/>
    </xf>
    <xf numFmtId="10" fontId="34" fillId="5" borderId="41" xfId="0" applyNumberFormat="1" applyFont="1" applyFill="1" applyBorder="1" applyAlignment="1">
      <alignment horizontal="center"/>
    </xf>
    <xf numFmtId="2" fontId="53" fillId="5" borderId="78" xfId="0" applyNumberFormat="1" applyFont="1" applyFill="1" applyBorder="1" applyAlignment="1">
      <alignment horizontal="center"/>
    </xf>
    <xf numFmtId="0" fontId="50" fillId="17" borderId="171" xfId="0" applyFont="1" applyFill="1" applyBorder="1" applyAlignment="1">
      <alignment horizontal="center" wrapText="1"/>
    </xf>
    <xf numFmtId="0" fontId="50" fillId="17" borderId="0" xfId="0" applyFont="1" applyFill="1" applyBorder="1" applyAlignment="1">
      <alignment horizontal="center"/>
    </xf>
    <xf numFmtId="0" fontId="60" fillId="16" borderId="129" xfId="11" applyNumberFormat="1" applyFont="1" applyFill="1" applyBorder="1" applyAlignment="1">
      <alignment horizontal="center" wrapText="1"/>
    </xf>
    <xf numFmtId="0" fontId="66" fillId="16" borderId="134" xfId="0" applyNumberFormat="1" applyFont="1" applyFill="1" applyBorder="1" applyAlignment="1">
      <alignment horizontal="center" wrapText="1"/>
    </xf>
    <xf numFmtId="0" fontId="60" fillId="16" borderId="126" xfId="11" applyNumberFormat="1" applyFont="1" applyFill="1" applyBorder="1" applyAlignment="1">
      <alignment horizontal="center" wrapText="1"/>
    </xf>
    <xf numFmtId="0" fontId="66" fillId="16" borderId="117" xfId="0" applyNumberFormat="1" applyFont="1" applyFill="1" applyBorder="1" applyAlignment="1">
      <alignment horizontal="center" wrapText="1"/>
    </xf>
    <xf numFmtId="0" fontId="66" fillId="16" borderId="128" xfId="11" applyNumberFormat="1" applyFont="1" applyFill="1" applyBorder="1" applyAlignment="1">
      <alignment horizontal="center" wrapText="1"/>
    </xf>
    <xf numFmtId="0" fontId="32" fillId="0" borderId="0" xfId="0" applyFont="1" applyFill="1" applyBorder="1" applyAlignment="1">
      <alignment horizontal="right"/>
    </xf>
    <xf numFmtId="0" fontId="32" fillId="0" borderId="0" xfId="0" applyFont="1" applyFill="1" applyBorder="1" applyAlignment="1">
      <alignment horizontal="left"/>
    </xf>
    <xf numFmtId="0" fontId="32" fillId="4" borderId="0" xfId="0" applyFont="1" applyFill="1" applyAlignment="1">
      <alignment horizontal="left"/>
    </xf>
    <xf numFmtId="4" fontId="66" fillId="22" borderId="51" xfId="0" applyNumberFormat="1" applyFont="1" applyFill="1" applyBorder="1" applyAlignment="1">
      <alignment horizontal="right" wrapText="1"/>
    </xf>
    <xf numFmtId="0" fontId="54" fillId="17" borderId="207" xfId="0" applyFont="1" applyFill="1" applyBorder="1" applyAlignment="1">
      <alignment horizontal="center"/>
    </xf>
    <xf numFmtId="4" fontId="66" fillId="22" borderId="208" xfId="0" applyNumberFormat="1" applyFont="1" applyFill="1" applyBorder="1" applyAlignment="1">
      <alignment horizontal="right" wrapText="1"/>
    </xf>
    <xf numFmtId="4" fontId="66" fillId="22" borderId="209" xfId="0" applyNumberFormat="1" applyFont="1" applyFill="1" applyBorder="1" applyAlignment="1">
      <alignment horizontal="right" wrapText="1"/>
    </xf>
    <xf numFmtId="4" fontId="66" fillId="22" borderId="53" xfId="0" applyNumberFormat="1" applyFont="1" applyFill="1" applyBorder="1" applyAlignment="1">
      <alignment horizontal="right" wrapText="1"/>
    </xf>
    <xf numFmtId="4" fontId="66" fillId="22" borderId="56" xfId="0" applyNumberFormat="1" applyFont="1" applyFill="1" applyBorder="1" applyAlignment="1">
      <alignment horizontal="right" wrapText="1"/>
    </xf>
    <xf numFmtId="4" fontId="66" fillId="22" borderId="210" xfId="0" applyNumberFormat="1" applyFont="1" applyFill="1" applyBorder="1" applyAlignment="1">
      <alignment horizontal="right" wrapText="1"/>
    </xf>
    <xf numFmtId="4" fontId="66" fillId="22" borderId="211" xfId="0" applyNumberFormat="1" applyFont="1" applyFill="1" applyBorder="1" applyAlignment="1">
      <alignment horizontal="right" wrapText="1"/>
    </xf>
    <xf numFmtId="4" fontId="34" fillId="4" borderId="19" xfId="0" applyNumberFormat="1" applyFont="1" applyFill="1" applyBorder="1" applyAlignment="1">
      <alignment horizontal="center"/>
    </xf>
    <xf numFmtId="197" fontId="34" fillId="4" borderId="19" xfId="0" applyNumberFormat="1" applyFont="1" applyFill="1" applyBorder="1" applyAlignment="1">
      <alignment horizontal="center"/>
    </xf>
    <xf numFmtId="182" fontId="18" fillId="0" borderId="2" xfId="0" applyNumberFormat="1" applyFont="1" applyFill="1" applyBorder="1" applyAlignment="1" applyProtection="1">
      <alignment horizontal="center" wrapText="1"/>
      <protection locked="0"/>
    </xf>
    <xf numFmtId="182" fontId="18" fillId="0" borderId="1" xfId="0" applyNumberFormat="1" applyFont="1" applyFill="1" applyBorder="1" applyAlignment="1" applyProtection="1">
      <alignment horizontal="center" wrapText="1"/>
      <protection locked="0"/>
    </xf>
    <xf numFmtId="10" fontId="5" fillId="5" borderId="213" xfId="0" applyNumberFormat="1" applyFont="1" applyFill="1" applyBorder="1" applyAlignment="1">
      <alignment horizontal="right" wrapText="1"/>
    </xf>
    <xf numFmtId="10" fontId="5" fillId="5" borderId="214" xfId="0" applyNumberFormat="1" applyFont="1" applyFill="1" applyBorder="1" applyAlignment="1">
      <alignment horizontal="right" wrapText="1"/>
    </xf>
    <xf numFmtId="10" fontId="5" fillId="5" borderId="24" xfId="0" applyNumberFormat="1" applyFont="1" applyFill="1" applyBorder="1" applyAlignment="1">
      <alignment horizontal="right" wrapText="1"/>
    </xf>
    <xf numFmtId="10" fontId="5" fillId="5" borderId="5" xfId="0" applyNumberFormat="1" applyFont="1" applyFill="1" applyBorder="1" applyAlignment="1">
      <alignment horizontal="right" wrapText="1"/>
    </xf>
    <xf numFmtId="10" fontId="5" fillId="5" borderId="16" xfId="0" applyNumberFormat="1" applyFont="1" applyFill="1" applyBorder="1" applyAlignment="1">
      <alignment horizontal="right" wrapText="1"/>
    </xf>
    <xf numFmtId="10" fontId="5" fillId="5" borderId="215" xfId="0" applyNumberFormat="1" applyFont="1" applyFill="1" applyBorder="1" applyAlignment="1">
      <alignment horizontal="right" wrapText="1"/>
    </xf>
    <xf numFmtId="10" fontId="5" fillId="5" borderId="216" xfId="0" applyNumberFormat="1" applyFont="1" applyFill="1" applyBorder="1" applyAlignment="1">
      <alignment horizontal="right" wrapText="1"/>
    </xf>
    <xf numFmtId="10" fontId="5" fillId="5" borderId="217" xfId="0" applyNumberFormat="1" applyFont="1" applyFill="1" applyBorder="1" applyAlignment="1">
      <alignment horizontal="right" wrapText="1"/>
    </xf>
    <xf numFmtId="10" fontId="5" fillId="5" borderId="0" xfId="0" applyNumberFormat="1" applyFont="1" applyFill="1" applyAlignment="1">
      <alignment horizontal="right" wrapText="1"/>
    </xf>
    <xf numFmtId="0" fontId="5" fillId="0" borderId="0" xfId="0" applyNumberFormat="1" applyFont="1" applyFill="1" applyAlignment="1">
      <alignment horizontal="right" wrapText="1"/>
    </xf>
    <xf numFmtId="14" fontId="5" fillId="5" borderId="28" xfId="0" applyNumberFormat="1" applyFont="1" applyFill="1" applyBorder="1" applyAlignment="1">
      <alignment horizontal="right" wrapText="1"/>
    </xf>
    <xf numFmtId="14" fontId="5" fillId="0" borderId="28" xfId="0" applyNumberFormat="1" applyFont="1" applyFill="1" applyBorder="1" applyAlignment="1">
      <alignment horizontal="right" wrapText="1"/>
    </xf>
    <xf numFmtId="0" fontId="5" fillId="5" borderId="16" xfId="0" applyNumberFormat="1" applyFont="1" applyFill="1" applyBorder="1" applyAlignment="1">
      <alignment horizontal="right" wrapText="1"/>
    </xf>
    <xf numFmtId="14" fontId="5" fillId="0" borderId="0" xfId="0" applyNumberFormat="1" applyFont="1" applyFill="1" applyAlignment="1">
      <alignment horizontal="right" wrapText="1"/>
    </xf>
    <xf numFmtId="14" fontId="5" fillId="5" borderId="11" xfId="0" applyNumberFormat="1" applyFont="1" applyFill="1" applyBorder="1" applyAlignment="1">
      <alignment horizontal="right" wrapText="1"/>
    </xf>
    <xf numFmtId="0" fontId="32" fillId="0" borderId="0" xfId="0" applyFont="1" applyFill="1" applyBorder="1"/>
    <xf numFmtId="10" fontId="32" fillId="0" borderId="0" xfId="11" applyNumberFormat="1" applyFont="1" applyFill="1" applyBorder="1"/>
    <xf numFmtId="9" fontId="6" fillId="0" borderId="0" xfId="11" applyFont="1" applyFill="1" applyBorder="1" applyAlignment="1">
      <alignment horizontal="right" wrapText="1"/>
    </xf>
    <xf numFmtId="0" fontId="32" fillId="5" borderId="11" xfId="0" applyFont="1" applyFill="1" applyBorder="1"/>
    <xf numFmtId="0" fontId="32" fillId="5" borderId="0" xfId="0" applyFont="1" applyFill="1" applyBorder="1"/>
    <xf numFmtId="0" fontId="32" fillId="0" borderId="15" xfId="0" applyFont="1" applyFill="1" applyBorder="1"/>
    <xf numFmtId="10" fontId="32" fillId="0" borderId="15" xfId="11" applyNumberFormat="1" applyFont="1" applyFill="1" applyBorder="1"/>
    <xf numFmtId="9" fontId="6" fillId="0" borderId="15" xfId="11" applyFont="1" applyFill="1" applyBorder="1" applyAlignment="1">
      <alignment horizontal="right" wrapText="1"/>
    </xf>
    <xf numFmtId="185" fontId="5" fillId="0" borderId="0" xfId="0" applyNumberFormat="1" applyFont="1" applyFill="1" applyAlignment="1">
      <alignment horizontal="right" wrapText="1"/>
    </xf>
    <xf numFmtId="10" fontId="5" fillId="0" borderId="0" xfId="0" applyNumberFormat="1" applyFont="1" applyFill="1" applyAlignment="1">
      <alignment horizontal="right" wrapText="1"/>
    </xf>
    <xf numFmtId="0" fontId="6" fillId="0" borderId="18" xfId="0" applyNumberFormat="1" applyFont="1" applyFill="1" applyBorder="1" applyAlignment="1">
      <alignment wrapText="1"/>
    </xf>
    <xf numFmtId="176" fontId="14" fillId="0" borderId="0" xfId="0" applyNumberFormat="1" applyFont="1" applyFill="1" applyAlignment="1">
      <alignment horizontal="right" wrapText="1"/>
    </xf>
    <xf numFmtId="183" fontId="14" fillId="0" borderId="0" xfId="0" applyNumberFormat="1" applyFont="1" applyFill="1" applyAlignment="1">
      <alignment horizontal="right" wrapText="1"/>
    </xf>
    <xf numFmtId="0" fontId="6" fillId="0" borderId="215" xfId="0" applyNumberFormat="1" applyFont="1" applyFill="1" applyBorder="1" applyAlignment="1">
      <alignment wrapText="1"/>
    </xf>
    <xf numFmtId="0" fontId="27" fillId="4" borderId="0" xfId="0" applyFont="1" applyFill="1" applyAlignment="1">
      <alignment horizontal="center"/>
    </xf>
    <xf numFmtId="167" fontId="8" fillId="3" borderId="0" xfId="18" applyNumberFormat="1" applyFont="1" applyAlignment="1">
      <alignment horizontal="center"/>
    </xf>
    <xf numFmtId="179" fontId="34" fillId="5" borderId="7" xfId="20" applyNumberFormat="1" applyFont="1" applyFill="1" applyBorder="1"/>
    <xf numFmtId="0" fontId="32" fillId="5" borderId="0" xfId="0" applyFont="1" applyFill="1"/>
    <xf numFmtId="0" fontId="28" fillId="5" borderId="0" xfId="0" applyFont="1" applyFill="1" applyAlignment="1">
      <alignment horizontal="center"/>
    </xf>
    <xf numFmtId="0" fontId="29" fillId="4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19" xfId="0" applyFont="1" applyFill="1" applyBorder="1" applyAlignment="1">
      <alignment horizontal="center"/>
    </xf>
    <xf numFmtId="0" fontId="14" fillId="0" borderId="19" xfId="0" applyFont="1" applyFill="1" applyBorder="1" applyAlignment="1">
      <alignment horizontal="center"/>
    </xf>
    <xf numFmtId="0" fontId="14" fillId="0" borderId="0" xfId="0" applyFont="1" applyFill="1" applyAlignment="1">
      <alignment horizontal="center"/>
    </xf>
    <xf numFmtId="0" fontId="14" fillId="0" borderId="1" xfId="0" applyNumberFormat="1" applyFont="1" applyFill="1" applyBorder="1" applyAlignment="1" applyProtection="1">
      <alignment horizontal="center" wrapText="1"/>
      <protection locked="0"/>
    </xf>
    <xf numFmtId="0" fontId="14" fillId="0" borderId="218" xfId="0" applyNumberFormat="1" applyFont="1" applyFill="1" applyBorder="1" applyAlignment="1" applyProtection="1">
      <alignment horizontal="center" wrapText="1"/>
      <protection locked="0"/>
    </xf>
    <xf numFmtId="0" fontId="14" fillId="0" borderId="219" xfId="0" applyNumberFormat="1" applyFont="1" applyFill="1" applyBorder="1" applyAlignment="1" applyProtection="1">
      <alignment horizontal="center" wrapText="1"/>
      <protection locked="0"/>
    </xf>
    <xf numFmtId="0" fontId="6" fillId="0" borderId="0" xfId="0" applyFont="1" applyFill="1" applyAlignment="1">
      <alignment horizontal="center"/>
    </xf>
    <xf numFmtId="3" fontId="6" fillId="0" borderId="0" xfId="0" applyNumberFormat="1" applyFont="1" applyFill="1" applyBorder="1" applyAlignment="1">
      <alignment horizontal="center"/>
    </xf>
    <xf numFmtId="10" fontId="14" fillId="0" borderId="0" xfId="0" applyNumberFormat="1" applyFont="1" applyFill="1" applyAlignment="1">
      <alignment horizontal="center"/>
    </xf>
    <xf numFmtId="2" fontId="14" fillId="0" borderId="0" xfId="0" applyNumberFormat="1" applyFont="1" applyFill="1" applyAlignment="1">
      <alignment horizontal="center"/>
    </xf>
    <xf numFmtId="10" fontId="32" fillId="4" borderId="0" xfId="11" applyNumberFormat="1" applyFont="1" applyFill="1"/>
    <xf numFmtId="14" fontId="6" fillId="0" borderId="19" xfId="0" applyNumberFormat="1" applyFont="1" applyFill="1" applyBorder="1" applyAlignment="1">
      <alignment horizontal="center"/>
    </xf>
    <xf numFmtId="4" fontId="6" fillId="0" borderId="0" xfId="0" applyNumberFormat="1" applyFont="1" applyFill="1" applyAlignment="1">
      <alignment horizontal="center"/>
    </xf>
    <xf numFmtId="4" fontId="5" fillId="0" borderId="0" xfId="0" applyNumberFormat="1" applyFont="1" applyFill="1" applyAlignment="1">
      <alignment horizontal="center"/>
    </xf>
    <xf numFmtId="3" fontId="6" fillId="0" borderId="20" xfId="0" applyNumberFormat="1" applyFont="1" applyFill="1" applyBorder="1" applyAlignment="1">
      <alignment horizontal="center"/>
    </xf>
    <xf numFmtId="10" fontId="5" fillId="0" borderId="19" xfId="11" applyNumberFormat="1" applyFont="1" applyFill="1" applyBorder="1" applyAlignment="1">
      <alignment horizontal="center"/>
    </xf>
    <xf numFmtId="3" fontId="32" fillId="0" borderId="0" xfId="0" applyNumberFormat="1" applyFont="1" applyFill="1" applyBorder="1" applyAlignment="1">
      <alignment horizontal="center"/>
    </xf>
    <xf numFmtId="14" fontId="32" fillId="0" borderId="19" xfId="0" applyNumberFormat="1" applyFont="1" applyFill="1" applyBorder="1" applyAlignment="1">
      <alignment horizontal="center"/>
    </xf>
    <xf numFmtId="4" fontId="32" fillId="0" borderId="0" xfId="0" applyNumberFormat="1" applyFont="1" applyFill="1" applyAlignment="1">
      <alignment horizontal="center"/>
    </xf>
    <xf numFmtId="4" fontId="34" fillId="0" borderId="0" xfId="0" applyNumberFormat="1" applyFont="1" applyFill="1" applyAlignment="1">
      <alignment horizontal="center"/>
    </xf>
    <xf numFmtId="3" fontId="32" fillId="0" borderId="20" xfId="0" applyNumberFormat="1" applyFont="1" applyFill="1" applyBorder="1" applyAlignment="1">
      <alignment horizontal="center"/>
    </xf>
    <xf numFmtId="10" fontId="34" fillId="0" borderId="19" xfId="11" applyNumberFormat="1" applyFont="1" applyFill="1" applyBorder="1" applyAlignment="1">
      <alignment horizontal="center"/>
    </xf>
    <xf numFmtId="183" fontId="28" fillId="4" borderId="0" xfId="0" applyNumberFormat="1" applyFont="1" applyFill="1"/>
    <xf numFmtId="0" fontId="0" fillId="13" borderId="0" xfId="0" applyFill="1" applyAlignment="1">
      <alignment horizontal="center"/>
    </xf>
    <xf numFmtId="0" fontId="54" fillId="13" borderId="0" xfId="0" applyFont="1" applyFill="1" applyAlignment="1">
      <alignment horizontal="center"/>
    </xf>
    <xf numFmtId="2" fontId="54" fillId="16" borderId="222" xfId="0" applyNumberFormat="1" applyFont="1" applyFill="1" applyBorder="1" applyAlignment="1">
      <alignment horizontal="center" vertical="center"/>
    </xf>
    <xf numFmtId="0" fontId="105" fillId="16" borderId="222" xfId="11" applyNumberFormat="1" applyFont="1" applyFill="1" applyBorder="1" applyAlignment="1">
      <alignment horizontal="center" vertical="center"/>
    </xf>
    <xf numFmtId="0" fontId="106" fillId="13" borderId="0" xfId="0" applyFont="1" applyFill="1" applyAlignment="1">
      <alignment horizontal="center"/>
    </xf>
    <xf numFmtId="2" fontId="54" fillId="16" borderId="226" xfId="0" applyNumberFormat="1" applyFont="1" applyFill="1" applyBorder="1" applyAlignment="1">
      <alignment horizontal="center" vertical="center"/>
    </xf>
    <xf numFmtId="0" fontId="100" fillId="16" borderId="226" xfId="11" applyNumberFormat="1" applyFont="1" applyFill="1" applyBorder="1" applyAlignment="1">
      <alignment horizontal="center" vertical="center"/>
    </xf>
    <xf numFmtId="0" fontId="60" fillId="16" borderId="229" xfId="0" applyFont="1" applyFill="1" applyBorder="1" applyAlignment="1">
      <alignment horizontal="center"/>
    </xf>
    <xf numFmtId="0" fontId="60" fillId="16" borderId="230" xfId="0" applyFont="1" applyFill="1" applyBorder="1" applyAlignment="1">
      <alignment horizontal="center"/>
    </xf>
    <xf numFmtId="0" fontId="69" fillId="13" borderId="0" xfId="0" applyFont="1" applyFill="1" applyAlignment="1">
      <alignment horizontal="center"/>
    </xf>
    <xf numFmtId="0" fontId="60" fillId="16" borderId="227" xfId="0" applyFont="1" applyFill="1" applyBorder="1" applyAlignment="1">
      <alignment horizontal="center"/>
    </xf>
    <xf numFmtId="0" fontId="60" fillId="16" borderId="228" xfId="0" applyFont="1" applyFill="1" applyBorder="1" applyAlignment="1">
      <alignment horizontal="center"/>
    </xf>
    <xf numFmtId="0" fontId="0" fillId="13" borderId="0" xfId="0" applyFill="1"/>
    <xf numFmtId="0" fontId="50" fillId="32" borderId="231" xfId="0" applyFont="1" applyFill="1" applyBorder="1" applyAlignment="1">
      <alignment horizontal="center"/>
    </xf>
    <xf numFmtId="0" fontId="54" fillId="15" borderId="44" xfId="0" applyFont="1" applyFill="1" applyBorder="1"/>
    <xf numFmtId="0" fontId="57" fillId="15" borderId="44" xfId="0" applyNumberFormat="1" applyFont="1" applyFill="1" applyBorder="1"/>
    <xf numFmtId="178" fontId="60" fillId="15" borderId="44" xfId="0" applyNumberFormat="1" applyFont="1" applyFill="1" applyBorder="1"/>
    <xf numFmtId="10" fontId="52" fillId="16" borderId="44" xfId="11" applyNumberFormat="1" applyFont="1" applyFill="1" applyBorder="1"/>
    <xf numFmtId="0" fontId="66" fillId="15" borderId="44" xfId="0" applyNumberFormat="1" applyFont="1" applyFill="1" applyBorder="1"/>
    <xf numFmtId="3" fontId="66" fillId="15" borderId="44" xfId="0" applyNumberFormat="1" applyFont="1" applyFill="1" applyBorder="1"/>
    <xf numFmtId="193" fontId="66" fillId="15" borderId="44" xfId="0" applyNumberFormat="1" applyFont="1" applyFill="1" applyBorder="1" applyAlignment="1">
      <alignment vertical="center" wrapText="1"/>
    </xf>
    <xf numFmtId="178" fontId="66" fillId="15" borderId="44" xfId="0" applyNumberFormat="1" applyFont="1" applyFill="1" applyBorder="1"/>
    <xf numFmtId="0" fontId="50" fillId="33" borderId="232" xfId="0" applyFont="1" applyFill="1" applyBorder="1"/>
    <xf numFmtId="3" fontId="66" fillId="33" borderId="233" xfId="0" applyNumberFormat="1" applyFont="1" applyFill="1" applyBorder="1"/>
    <xf numFmtId="2" fontId="50" fillId="33" borderId="233" xfId="0" applyNumberFormat="1" applyFont="1" applyFill="1" applyBorder="1"/>
    <xf numFmtId="172" fontId="69" fillId="33" borderId="234" xfId="11" applyNumberFormat="1" applyFont="1" applyFill="1" applyBorder="1" applyAlignment="1">
      <alignment horizontal="right"/>
    </xf>
    <xf numFmtId="0" fontId="57" fillId="18" borderId="44" xfId="0" applyNumberFormat="1" applyFont="1" applyFill="1" applyBorder="1"/>
    <xf numFmtId="2" fontId="60" fillId="18" borderId="44" xfId="0" applyNumberFormat="1" applyFont="1" applyFill="1" applyBorder="1"/>
    <xf numFmtId="178" fontId="54" fillId="15" borderId="44" xfId="0" applyNumberFormat="1" applyFont="1" applyFill="1" applyBorder="1"/>
    <xf numFmtId="0" fontId="54" fillId="18" borderId="44" xfId="0" applyFont="1" applyFill="1" applyBorder="1"/>
    <xf numFmtId="0" fontId="50" fillId="33" borderId="44" xfId="0" applyNumberFormat="1" applyFont="1" applyFill="1" applyBorder="1"/>
    <xf numFmtId="10" fontId="52" fillId="33" borderId="44" xfId="11" applyNumberFormat="1" applyFont="1" applyFill="1" applyBorder="1"/>
    <xf numFmtId="0" fontId="66" fillId="18" borderId="44" xfId="0" applyNumberFormat="1" applyFont="1" applyFill="1" applyBorder="1"/>
    <xf numFmtId="3" fontId="66" fillId="18" borderId="44" xfId="0" applyNumberFormat="1" applyFont="1" applyFill="1" applyBorder="1"/>
    <xf numFmtId="193" fontId="66" fillId="18" borderId="44" xfId="0" applyNumberFormat="1" applyFont="1" applyFill="1" applyBorder="1" applyAlignment="1">
      <alignment vertical="center" wrapText="1"/>
    </xf>
    <xf numFmtId="178" fontId="66" fillId="18" borderId="235" xfId="0" applyNumberFormat="1" applyFont="1" applyFill="1" applyBorder="1"/>
    <xf numFmtId="0" fontId="54" fillId="34" borderId="56" xfId="0" applyFont="1" applyFill="1" applyBorder="1"/>
    <xf numFmtId="0" fontId="57" fillId="34" borderId="56" xfId="0" applyNumberFormat="1" applyFont="1" applyFill="1" applyBorder="1"/>
    <xf numFmtId="2" fontId="60" fillId="34" borderId="56" xfId="0" applyNumberFormat="1" applyFont="1" applyFill="1" applyBorder="1"/>
    <xf numFmtId="0" fontId="50" fillId="33" borderId="56" xfId="0" applyNumberFormat="1" applyFont="1" applyFill="1" applyBorder="1"/>
    <xf numFmtId="10" fontId="52" fillId="33" borderId="56" xfId="11" applyNumberFormat="1" applyFont="1" applyFill="1" applyBorder="1"/>
    <xf numFmtId="0" fontId="66" fillId="34" borderId="56" xfId="0" applyNumberFormat="1" applyFont="1" applyFill="1" applyBorder="1"/>
    <xf numFmtId="3" fontId="66" fillId="34" borderId="56" xfId="0" applyNumberFormat="1" applyFont="1" applyFill="1" applyBorder="1"/>
    <xf numFmtId="193" fontId="66" fillId="34" borderId="56" xfId="0" applyNumberFormat="1" applyFont="1" applyFill="1" applyBorder="1" applyAlignment="1">
      <alignment vertical="center" wrapText="1"/>
    </xf>
    <xf numFmtId="178" fontId="66" fillId="34" borderId="236" xfId="0" applyNumberFormat="1" applyFont="1" applyFill="1" applyBorder="1"/>
    <xf numFmtId="0" fontId="54" fillId="33" borderId="232" xfId="0" applyFont="1" applyFill="1" applyBorder="1"/>
    <xf numFmtId="0" fontId="57" fillId="33" borderId="233" xfId="0" applyFont="1" applyFill="1" applyBorder="1"/>
    <xf numFmtId="2" fontId="60" fillId="33" borderId="233" xfId="0" applyNumberFormat="1" applyFont="1" applyFill="1" applyBorder="1"/>
    <xf numFmtId="0" fontId="50" fillId="33" borderId="233" xfId="0" applyFont="1" applyFill="1" applyBorder="1"/>
    <xf numFmtId="0" fontId="66" fillId="33" borderId="233" xfId="0" applyFont="1" applyFill="1" applyBorder="1"/>
    <xf numFmtId="193" fontId="66" fillId="33" borderId="233" xfId="0" applyNumberFormat="1" applyFont="1" applyFill="1" applyBorder="1" applyAlignment="1">
      <alignment vertical="center" wrapText="1"/>
    </xf>
    <xf numFmtId="178" fontId="66" fillId="33" borderId="237" xfId="0" applyNumberFormat="1" applyFont="1" applyFill="1" applyBorder="1"/>
    <xf numFmtId="0" fontId="54" fillId="14" borderId="44" xfId="0" applyFont="1" applyFill="1" applyBorder="1"/>
    <xf numFmtId="0" fontId="57" fillId="14" borderId="44" xfId="0" applyNumberFormat="1" applyFont="1" applyFill="1" applyBorder="1"/>
    <xf numFmtId="178" fontId="60" fillId="14" borderId="44" xfId="0" applyNumberFormat="1" applyFont="1" applyFill="1" applyBorder="1"/>
    <xf numFmtId="0" fontId="50" fillId="22" borderId="44" xfId="0" applyNumberFormat="1" applyFont="1" applyFill="1" applyBorder="1"/>
    <xf numFmtId="10" fontId="52" fillId="22" borderId="44" xfId="11" applyNumberFormat="1" applyFont="1" applyFill="1" applyBorder="1"/>
    <xf numFmtId="0" fontId="66" fillId="14" borderId="44" xfId="0" applyNumberFormat="1" applyFont="1" applyFill="1" applyBorder="1"/>
    <xf numFmtId="3" fontId="66" fillId="14" borderId="44" xfId="0" applyNumberFormat="1" applyFont="1" applyFill="1" applyBorder="1"/>
    <xf numFmtId="193" fontId="66" fillId="14" borderId="44" xfId="0" applyNumberFormat="1" applyFont="1" applyFill="1" applyBorder="1" applyAlignment="1">
      <alignment vertical="center" wrapText="1"/>
    </xf>
    <xf numFmtId="178" fontId="66" fillId="14" borderId="44" xfId="0" applyNumberFormat="1" applyFont="1" applyFill="1" applyBorder="1"/>
    <xf numFmtId="3" fontId="69" fillId="13" borderId="0" xfId="0" applyNumberFormat="1" applyFont="1" applyFill="1" applyBorder="1"/>
    <xf numFmtId="2" fontId="60" fillId="15" borderId="44" xfId="0" applyNumberFormat="1" applyFont="1" applyFill="1" applyBorder="1"/>
    <xf numFmtId="0" fontId="13" fillId="13" borderId="0" xfId="0" applyFont="1" applyFill="1"/>
    <xf numFmtId="0" fontId="57" fillId="35" borderId="239" xfId="0" applyNumberFormat="1" applyFont="1" applyFill="1" applyBorder="1"/>
    <xf numFmtId="2" fontId="60" fillId="35" borderId="239" xfId="0" applyNumberFormat="1" applyFont="1" applyFill="1" applyBorder="1"/>
    <xf numFmtId="0" fontId="50" fillId="21" borderId="239" xfId="0" applyNumberFormat="1" applyFont="1" applyFill="1" applyBorder="1"/>
    <xf numFmtId="10" fontId="52" fillId="21" borderId="239" xfId="11" applyNumberFormat="1" applyFont="1" applyFill="1" applyBorder="1"/>
    <xf numFmtId="0" fontId="66" fillId="35" borderId="239" xfId="0" applyNumberFormat="1" applyFont="1" applyFill="1" applyBorder="1"/>
    <xf numFmtId="3" fontId="66" fillId="35" borderId="239" xfId="0" applyNumberFormat="1" applyFont="1" applyFill="1" applyBorder="1"/>
    <xf numFmtId="193" fontId="66" fillId="35" borderId="239" xfId="0" applyNumberFormat="1" applyFont="1" applyFill="1" applyBorder="1" applyAlignment="1">
      <alignment vertical="center" wrapText="1"/>
    </xf>
    <xf numFmtId="2" fontId="66" fillId="35" borderId="239" xfId="0" applyNumberFormat="1" applyFont="1" applyFill="1" applyBorder="1"/>
    <xf numFmtId="0" fontId="54" fillId="15" borderId="238" xfId="0" applyFont="1" applyFill="1" applyBorder="1"/>
    <xf numFmtId="0" fontId="57" fillId="15" borderId="238" xfId="0" applyNumberFormat="1" applyFont="1" applyFill="1" applyBorder="1"/>
    <xf numFmtId="2" fontId="60" fillId="15" borderId="238" xfId="0" applyNumberFormat="1" applyFont="1" applyFill="1" applyBorder="1"/>
    <xf numFmtId="0" fontId="50" fillId="16" borderId="238" xfId="0" applyNumberFormat="1" applyFont="1" applyFill="1" applyBorder="1"/>
    <xf numFmtId="10" fontId="52" fillId="16" borderId="238" xfId="11" applyNumberFormat="1" applyFont="1" applyFill="1" applyBorder="1"/>
    <xf numFmtId="0" fontId="66" fillId="15" borderId="238" xfId="0" applyNumberFormat="1" applyFont="1" applyFill="1" applyBorder="1"/>
    <xf numFmtId="3" fontId="66" fillId="15" borderId="238" xfId="0" applyNumberFormat="1" applyFont="1" applyFill="1" applyBorder="1"/>
    <xf numFmtId="193" fontId="66" fillId="15" borderId="238" xfId="0" applyNumberFormat="1" applyFont="1" applyFill="1" applyBorder="1" applyAlignment="1">
      <alignment vertical="center" wrapText="1"/>
    </xf>
    <xf numFmtId="2" fontId="66" fillId="15" borderId="238" xfId="0" applyNumberFormat="1" applyFont="1" applyFill="1" applyBorder="1"/>
    <xf numFmtId="2" fontId="66" fillId="15" borderId="44" xfId="0" applyNumberFormat="1" applyFont="1" applyFill="1" applyBorder="1"/>
    <xf numFmtId="2" fontId="60" fillId="14" borderId="44" xfId="0" applyNumberFormat="1" applyFont="1" applyFill="1" applyBorder="1"/>
    <xf numFmtId="0" fontId="53" fillId="0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50" fillId="33" borderId="0" xfId="0" applyFont="1" applyFill="1" applyAlignment="1">
      <alignment horizontal="left"/>
    </xf>
    <xf numFmtId="0" fontId="50" fillId="33" borderId="0" xfId="0" applyFont="1" applyFill="1" applyAlignment="1">
      <alignment horizontal="center"/>
    </xf>
    <xf numFmtId="0" fontId="54" fillId="13" borderId="0" xfId="0" applyFont="1" applyFill="1" applyAlignment="1">
      <alignment horizontal="left" wrapText="1"/>
    </xf>
    <xf numFmtId="0" fontId="0" fillId="13" borderId="0" xfId="0" applyFill="1" applyAlignment="1">
      <alignment horizontal="left" wrapText="1"/>
    </xf>
    <xf numFmtId="0" fontId="50" fillId="13" borderId="0" xfId="0" applyFont="1" applyFill="1" applyAlignment="1">
      <alignment horizontal="left" wrapText="1"/>
    </xf>
    <xf numFmtId="0" fontId="60" fillId="21" borderId="0" xfId="0" applyFont="1" applyFill="1" applyAlignment="1">
      <alignment horizontal="left" wrapText="1"/>
    </xf>
    <xf numFmtId="4" fontId="37" fillId="36" borderId="19" xfId="0" applyNumberFormat="1" applyFont="1" applyFill="1" applyBorder="1" applyAlignment="1">
      <alignment horizontal="center"/>
    </xf>
    <xf numFmtId="178" fontId="66" fillId="16" borderId="136" xfId="11" applyNumberFormat="1" applyFont="1" applyFill="1" applyBorder="1" applyAlignment="1">
      <alignment horizontal="center" wrapText="1"/>
    </xf>
    <xf numFmtId="178" fontId="66" fillId="16" borderId="110" xfId="11" applyNumberFormat="1" applyFont="1" applyFill="1" applyBorder="1" applyAlignment="1">
      <alignment horizontal="center" wrapText="1"/>
    </xf>
    <xf numFmtId="0" fontId="60" fillId="16" borderId="133" xfId="0" applyNumberFormat="1" applyFont="1" applyFill="1" applyBorder="1" applyAlignment="1">
      <alignment horizontal="center" wrapText="1"/>
    </xf>
    <xf numFmtId="0" fontId="60" fillId="16" borderId="44" xfId="0" applyNumberFormat="1" applyFont="1" applyFill="1" applyBorder="1" applyAlignment="1">
      <alignment horizontal="center" wrapText="1"/>
    </xf>
    <xf numFmtId="0" fontId="60" fillId="16" borderId="116" xfId="0" applyNumberFormat="1" applyFont="1" applyFill="1" applyBorder="1" applyAlignment="1">
      <alignment horizontal="center" wrapText="1"/>
    </xf>
    <xf numFmtId="0" fontId="60" fillId="16" borderId="227" xfId="0" applyFont="1" applyFill="1" applyBorder="1" applyAlignment="1">
      <alignment horizontal="center"/>
    </xf>
    <xf numFmtId="1" fontId="77" fillId="26" borderId="108" xfId="0" applyNumberFormat="1" applyFont="1" applyFill="1" applyBorder="1" applyAlignment="1">
      <alignment horizontal="center"/>
    </xf>
    <xf numFmtId="1" fontId="67" fillId="26" borderId="109" xfId="0" applyNumberFormat="1" applyFont="1" applyFill="1" applyBorder="1" applyAlignment="1">
      <alignment horizontal="center"/>
    </xf>
    <xf numFmtId="0" fontId="54" fillId="35" borderId="239" xfId="0" applyFont="1" applyFill="1" applyBorder="1"/>
    <xf numFmtId="3" fontId="66" fillId="37" borderId="44" xfId="0" applyNumberFormat="1" applyFont="1" applyFill="1" applyBorder="1"/>
    <xf numFmtId="0" fontId="54" fillId="37" borderId="238" xfId="0" applyFont="1" applyFill="1" applyBorder="1"/>
    <xf numFmtId="0" fontId="57" fillId="37" borderId="239" xfId="0" applyNumberFormat="1" applyFont="1" applyFill="1" applyBorder="1"/>
    <xf numFmtId="2" fontId="60" fillId="37" borderId="239" xfId="0" applyNumberFormat="1" applyFont="1" applyFill="1" applyBorder="1"/>
    <xf numFmtId="0" fontId="50" fillId="27" borderId="239" xfId="0" applyNumberFormat="1" applyFont="1" applyFill="1" applyBorder="1"/>
    <xf numFmtId="10" fontId="52" fillId="27" borderId="239" xfId="11" applyNumberFormat="1" applyFont="1" applyFill="1" applyBorder="1"/>
    <xf numFmtId="0" fontId="66" fillId="37" borderId="239" xfId="0" applyNumberFormat="1" applyFont="1" applyFill="1" applyBorder="1"/>
    <xf numFmtId="3" fontId="66" fillId="37" borderId="239" xfId="0" applyNumberFormat="1" applyFont="1" applyFill="1" applyBorder="1"/>
    <xf numFmtId="193" fontId="66" fillId="37" borderId="239" xfId="0" applyNumberFormat="1" applyFont="1" applyFill="1" applyBorder="1" applyAlignment="1">
      <alignment vertical="center" wrapText="1"/>
    </xf>
    <xf numFmtId="2" fontId="66" fillId="37" borderId="239" xfId="0" applyNumberFormat="1" applyFont="1" applyFill="1" applyBorder="1"/>
    <xf numFmtId="0" fontId="54" fillId="37" borderId="242" xfId="0" applyFont="1" applyFill="1" applyBorder="1"/>
    <xf numFmtId="0" fontId="57" fillId="37" borderId="243" xfId="0" applyNumberFormat="1" applyFont="1" applyFill="1" applyBorder="1"/>
    <xf numFmtId="2" fontId="60" fillId="37" borderId="243" xfId="0" applyNumberFormat="1" applyFont="1" applyFill="1" applyBorder="1"/>
    <xf numFmtId="0" fontId="50" fillId="27" borderId="243" xfId="0" applyNumberFormat="1" applyFont="1" applyFill="1" applyBorder="1"/>
    <xf numFmtId="10" fontId="52" fillId="27" borderId="243" xfId="11" applyNumberFormat="1" applyFont="1" applyFill="1" applyBorder="1"/>
    <xf numFmtId="0" fontId="66" fillId="37" borderId="243" xfId="0" applyNumberFormat="1" applyFont="1" applyFill="1" applyBorder="1"/>
    <xf numFmtId="3" fontId="66" fillId="37" borderId="243" xfId="0" applyNumberFormat="1" applyFont="1" applyFill="1" applyBorder="1"/>
    <xf numFmtId="193" fontId="66" fillId="37" borderId="243" xfId="0" applyNumberFormat="1" applyFont="1" applyFill="1" applyBorder="1" applyAlignment="1">
      <alignment vertical="center" wrapText="1"/>
    </xf>
    <xf numFmtId="2" fontId="66" fillId="37" borderId="243" xfId="0" applyNumberFormat="1" applyFont="1" applyFill="1" applyBorder="1"/>
    <xf numFmtId="10" fontId="52" fillId="33" borderId="233" xfId="11" applyNumberFormat="1" applyFont="1" applyFill="1" applyBorder="1"/>
    <xf numFmtId="14" fontId="5" fillId="0" borderId="19" xfId="0" applyNumberFormat="1" applyFont="1" applyFill="1" applyBorder="1" applyAlignment="1">
      <alignment horizontal="center"/>
    </xf>
    <xf numFmtId="14" fontId="5" fillId="0" borderId="218" xfId="0" applyNumberFormat="1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0" fillId="0" borderId="20" xfId="0" applyBorder="1"/>
    <xf numFmtId="3" fontId="5" fillId="0" borderId="20" xfId="0" applyNumberFormat="1" applyFont="1" applyFill="1" applyBorder="1" applyAlignment="1">
      <alignment horizontal="center"/>
    </xf>
    <xf numFmtId="3" fontId="5" fillId="0" borderId="219" xfId="0" applyNumberFormat="1" applyFont="1" applyFill="1" applyBorder="1" applyAlignment="1">
      <alignment horizontal="center"/>
    </xf>
    <xf numFmtId="0" fontId="14" fillId="0" borderId="19" xfId="0" applyNumberFormat="1" applyFont="1" applyFill="1" applyBorder="1" applyAlignment="1" applyProtection="1">
      <alignment horizontal="center" wrapText="1"/>
      <protection locked="0"/>
    </xf>
    <xf numFmtId="0" fontId="51" fillId="26" borderId="108" xfId="11" applyNumberFormat="1" applyFont="1" applyFill="1" applyBorder="1" applyAlignment="1">
      <alignment horizontal="center"/>
    </xf>
    <xf numFmtId="184" fontId="55" fillId="26" borderId="108" xfId="11" applyNumberFormat="1" applyFont="1" applyFill="1" applyBorder="1" applyAlignment="1">
      <alignment horizontal="center" wrapText="1"/>
    </xf>
    <xf numFmtId="0" fontId="66" fillId="26" borderId="29" xfId="0" applyFont="1" applyFill="1" applyBorder="1" applyAlignment="1">
      <alignment horizontal="center"/>
    </xf>
    <xf numFmtId="0" fontId="55" fillId="26" borderId="108" xfId="11" applyNumberFormat="1" applyFont="1" applyFill="1" applyBorder="1" applyAlignment="1">
      <alignment horizontal="center" wrapText="1"/>
    </xf>
    <xf numFmtId="170" fontId="72" fillId="26" borderId="108" xfId="0" applyNumberFormat="1" applyFont="1" applyFill="1" applyBorder="1" applyAlignment="1">
      <alignment horizontal="center" wrapText="1"/>
    </xf>
    <xf numFmtId="0" fontId="51" fillId="26" borderId="131" xfId="11" applyNumberFormat="1" applyFont="1" applyFill="1" applyBorder="1" applyAlignment="1">
      <alignment horizontal="center"/>
    </xf>
    <xf numFmtId="184" fontId="55" fillId="26" borderId="131" xfId="11" applyNumberFormat="1" applyFont="1" applyFill="1" applyBorder="1" applyAlignment="1">
      <alignment horizontal="center" wrapText="1"/>
    </xf>
    <xf numFmtId="0" fontId="66" fillId="26" borderId="166" xfId="0" applyFont="1" applyFill="1" applyBorder="1" applyAlignment="1">
      <alignment horizontal="center"/>
    </xf>
    <xf numFmtId="170" fontId="72" fillId="26" borderId="131" xfId="0" applyNumberFormat="1" applyFont="1" applyFill="1" applyBorder="1" applyAlignment="1">
      <alignment horizontal="center" wrapText="1"/>
    </xf>
    <xf numFmtId="4" fontId="59" fillId="13" borderId="0" xfId="0" applyNumberFormat="1" applyFont="1" applyFill="1" applyAlignment="1">
      <alignment horizontal="center" vertical="center"/>
    </xf>
    <xf numFmtId="3" fontId="50" fillId="14" borderId="32" xfId="0" applyNumberFormat="1" applyFont="1" applyFill="1" applyBorder="1" applyAlignment="1">
      <alignment horizontal="center"/>
    </xf>
    <xf numFmtId="0" fontId="77" fillId="26" borderId="108" xfId="0" applyFont="1" applyFill="1" applyBorder="1" applyAlignment="1">
      <alignment horizontal="center"/>
    </xf>
    <xf numFmtId="0" fontId="60" fillId="26" borderId="123" xfId="0" applyFont="1" applyFill="1" applyBorder="1" applyAlignment="1">
      <alignment horizontal="center"/>
    </xf>
    <xf numFmtId="0" fontId="77" fillId="26" borderId="118" xfId="0" applyFont="1" applyFill="1" applyBorder="1" applyAlignment="1">
      <alignment horizontal="center"/>
    </xf>
    <xf numFmtId="0" fontId="60" fillId="26" borderId="124" xfId="0" applyFont="1" applyFill="1" applyBorder="1" applyAlignment="1">
      <alignment horizontal="center"/>
    </xf>
    <xf numFmtId="0" fontId="72" fillId="26" borderId="148" xfId="0" applyNumberFormat="1" applyFont="1" applyFill="1" applyBorder="1" applyAlignment="1">
      <alignment horizontal="center" wrapText="1"/>
    </xf>
    <xf numFmtId="3" fontId="66" fillId="26" borderId="29" xfId="0" applyNumberFormat="1" applyFont="1" applyFill="1" applyBorder="1" applyAlignment="1">
      <alignment horizontal="center"/>
    </xf>
    <xf numFmtId="170" fontId="50" fillId="17" borderId="54" xfId="0" applyNumberFormat="1" applyFont="1" applyFill="1" applyBorder="1" applyAlignment="1">
      <alignment horizontal="center" wrapText="1"/>
    </xf>
    <xf numFmtId="170" fontId="72" fillId="26" borderId="118" xfId="0" applyNumberFormat="1" applyFont="1" applyFill="1" applyBorder="1" applyAlignment="1">
      <alignment horizontal="center" wrapText="1"/>
    </xf>
    <xf numFmtId="170" fontId="4" fillId="21" borderId="0" xfId="0" applyNumberFormat="1" applyFont="1" applyFill="1"/>
    <xf numFmtId="1" fontId="50" fillId="18" borderId="61" xfId="0" applyNumberFormat="1" applyFont="1" applyFill="1" applyBorder="1" applyAlignment="1">
      <alignment horizontal="center"/>
    </xf>
    <xf numFmtId="1" fontId="50" fillId="18" borderId="49" xfId="0" applyNumberFormat="1" applyFont="1" applyFill="1" applyBorder="1" applyAlignment="1">
      <alignment horizontal="center"/>
    </xf>
    <xf numFmtId="170" fontId="66" fillId="26" borderId="29" xfId="0" applyNumberFormat="1" applyFont="1" applyFill="1" applyBorder="1" applyAlignment="1">
      <alignment horizontal="center"/>
    </xf>
    <xf numFmtId="0" fontId="60" fillId="16" borderId="227" xfId="0" applyFont="1" applyFill="1" applyBorder="1" applyAlignment="1">
      <alignment horizontal="center"/>
    </xf>
    <xf numFmtId="0" fontId="60" fillId="16" borderId="228" xfId="0" applyFont="1" applyFill="1" applyBorder="1" applyAlignment="1">
      <alignment horizontal="center"/>
    </xf>
    <xf numFmtId="194" fontId="101" fillId="16" borderId="220" xfId="0" applyNumberFormat="1" applyFont="1" applyFill="1" applyBorder="1" applyAlignment="1">
      <alignment horizontal="center" vertical="center"/>
    </xf>
    <xf numFmtId="194" fontId="101" fillId="16" borderId="221" xfId="0" applyNumberFormat="1" applyFont="1" applyFill="1" applyBorder="1" applyAlignment="1">
      <alignment horizontal="center" vertical="center"/>
    </xf>
    <xf numFmtId="194" fontId="101" fillId="16" borderId="224" xfId="0" applyNumberFormat="1" applyFont="1" applyFill="1" applyBorder="1" applyAlignment="1">
      <alignment horizontal="center" vertical="center"/>
    </xf>
    <xf numFmtId="194" fontId="101" fillId="16" borderId="225" xfId="0" applyNumberFormat="1" applyFont="1" applyFill="1" applyBorder="1" applyAlignment="1">
      <alignment horizontal="center" vertical="center"/>
    </xf>
    <xf numFmtId="194" fontId="102" fillId="16" borderId="220" xfId="0" applyNumberFormat="1" applyFont="1" applyFill="1" applyBorder="1" applyAlignment="1">
      <alignment horizontal="center" vertical="center"/>
    </xf>
    <xf numFmtId="194" fontId="102" fillId="16" borderId="221" xfId="0" applyNumberFormat="1" applyFont="1" applyFill="1" applyBorder="1" applyAlignment="1">
      <alignment horizontal="center" vertical="center"/>
    </xf>
    <xf numFmtId="194" fontId="102" fillId="16" borderId="224" xfId="0" applyNumberFormat="1" applyFont="1" applyFill="1" applyBorder="1" applyAlignment="1">
      <alignment horizontal="center" vertical="center"/>
    </xf>
    <xf numFmtId="194" fontId="102" fillId="16" borderId="225" xfId="0" applyNumberFormat="1" applyFont="1" applyFill="1" applyBorder="1" applyAlignment="1">
      <alignment horizontal="center" vertical="center"/>
    </xf>
    <xf numFmtId="10" fontId="104" fillId="16" borderId="223" xfId="11" applyNumberFormat="1" applyFont="1" applyFill="1" applyBorder="1" applyAlignment="1">
      <alignment horizontal="center" vertical="center"/>
    </xf>
    <xf numFmtId="10" fontId="104" fillId="16" borderId="0" xfId="11" applyNumberFormat="1" applyFont="1" applyFill="1" applyBorder="1" applyAlignment="1">
      <alignment horizontal="center" vertical="center"/>
    </xf>
    <xf numFmtId="2" fontId="51" fillId="16" borderId="220" xfId="0" applyNumberFormat="1" applyFont="1" applyFill="1" applyBorder="1" applyAlignment="1">
      <alignment horizontal="center" vertical="center"/>
    </xf>
    <xf numFmtId="2" fontId="51" fillId="16" borderId="224" xfId="0" applyNumberFormat="1" applyFont="1" applyFill="1" applyBorder="1" applyAlignment="1">
      <alignment horizontal="center" vertical="center"/>
    </xf>
    <xf numFmtId="10" fontId="104" fillId="16" borderId="221" xfId="11" applyNumberFormat="1" applyFont="1" applyFill="1" applyBorder="1" applyAlignment="1">
      <alignment horizontal="center" vertical="center"/>
    </xf>
    <xf numFmtId="10" fontId="104" fillId="16" borderId="225" xfId="11" applyNumberFormat="1" applyFont="1" applyFill="1" applyBorder="1" applyAlignment="1">
      <alignment horizontal="center" vertical="center"/>
    </xf>
    <xf numFmtId="2" fontId="103" fillId="16" borderId="220" xfId="0" applyNumberFormat="1" applyFont="1" applyFill="1" applyBorder="1" applyAlignment="1">
      <alignment horizontal="center" vertical="center"/>
    </xf>
    <xf numFmtId="2" fontId="103" fillId="16" borderId="224" xfId="0" applyNumberFormat="1" applyFont="1" applyFill="1" applyBorder="1" applyAlignment="1">
      <alignment horizontal="center" vertical="center"/>
    </xf>
    <xf numFmtId="0" fontId="50" fillId="18" borderId="0" xfId="0" applyFont="1" applyFill="1" applyBorder="1" applyAlignment="1">
      <alignment horizontal="center" vertical="center" wrapText="1"/>
    </xf>
    <xf numFmtId="0" fontId="50" fillId="18" borderId="240" xfId="0" applyFont="1" applyFill="1" applyBorder="1" applyAlignment="1">
      <alignment horizontal="center" vertical="center" wrapText="1"/>
    </xf>
    <xf numFmtId="2" fontId="107" fillId="16" borderId="220" xfId="0" applyNumberFormat="1" applyFont="1" applyFill="1" applyBorder="1" applyAlignment="1">
      <alignment horizontal="center" vertical="center"/>
    </xf>
    <xf numFmtId="2" fontId="107" fillId="16" borderId="224" xfId="0" applyNumberFormat="1" applyFont="1" applyFill="1" applyBorder="1" applyAlignment="1">
      <alignment horizontal="center" vertical="center"/>
    </xf>
    <xf numFmtId="2" fontId="107" fillId="16" borderId="221" xfId="11" applyNumberFormat="1" applyFont="1" applyFill="1" applyBorder="1" applyAlignment="1">
      <alignment horizontal="center" vertical="center"/>
    </xf>
    <xf numFmtId="2" fontId="107" fillId="16" borderId="225" xfId="11" applyNumberFormat="1" applyFont="1" applyFill="1" applyBorder="1" applyAlignment="1">
      <alignment horizontal="center" vertical="center"/>
    </xf>
    <xf numFmtId="0" fontId="55" fillId="16" borderId="51" xfId="11" applyNumberFormat="1" applyFont="1" applyFill="1" applyBorder="1" applyAlignment="1">
      <alignment horizontal="center" wrapText="1"/>
    </xf>
    <xf numFmtId="0" fontId="55" fillId="16" borderId="53" xfId="11" applyNumberFormat="1" applyFont="1" applyFill="1" applyBorder="1" applyAlignment="1">
      <alignment horizontal="center" wrapText="1"/>
    </xf>
    <xf numFmtId="0" fontId="66" fillId="16" borderId="51" xfId="11" applyNumberFormat="1" applyFont="1" applyFill="1" applyBorder="1" applyAlignment="1">
      <alignment horizontal="center" wrapText="1"/>
    </xf>
    <xf numFmtId="0" fontId="66" fillId="16" borderId="53" xfId="11" applyNumberFormat="1" applyFont="1" applyFill="1" applyBorder="1" applyAlignment="1">
      <alignment horizontal="center" wrapText="1"/>
    </xf>
    <xf numFmtId="0" fontId="55" fillId="16" borderId="160" xfId="11" applyNumberFormat="1" applyFont="1" applyFill="1" applyBorder="1" applyAlignment="1">
      <alignment horizontal="center" wrapText="1"/>
    </xf>
    <xf numFmtId="0" fontId="55" fillId="16" borderId="161" xfId="11" applyNumberFormat="1" applyFont="1" applyFill="1" applyBorder="1" applyAlignment="1">
      <alignment horizontal="center" wrapText="1"/>
    </xf>
    <xf numFmtId="0" fontId="66" fillId="16" borderId="160" xfId="11" applyNumberFormat="1" applyFont="1" applyFill="1" applyBorder="1" applyAlignment="1">
      <alignment horizontal="center" wrapText="1"/>
    </xf>
    <xf numFmtId="0" fontId="66" fillId="16" borderId="161" xfId="11" applyNumberFormat="1" applyFont="1" applyFill="1" applyBorder="1" applyAlignment="1">
      <alignment horizontal="center" wrapText="1"/>
    </xf>
    <xf numFmtId="0" fontId="50" fillId="17" borderId="150" xfId="0" applyFont="1" applyFill="1" applyBorder="1" applyAlignment="1">
      <alignment horizontal="center" wrapText="1"/>
    </xf>
    <xf numFmtId="0" fontId="50" fillId="17" borderId="197" xfId="0" applyFont="1" applyFill="1" applyBorder="1" applyAlignment="1">
      <alignment horizontal="center" wrapText="1"/>
    </xf>
    <xf numFmtId="0" fontId="55" fillId="16" borderId="162" xfId="11" applyNumberFormat="1" applyFont="1" applyFill="1" applyBorder="1" applyAlignment="1">
      <alignment horizontal="center" wrapText="1"/>
    </xf>
    <xf numFmtId="0" fontId="55" fillId="16" borderId="163" xfId="11" applyNumberFormat="1" applyFont="1" applyFill="1" applyBorder="1" applyAlignment="1">
      <alignment horizontal="center" wrapText="1"/>
    </xf>
    <xf numFmtId="0" fontId="66" fillId="16" borderId="162" xfId="11" applyNumberFormat="1" applyFont="1" applyFill="1" applyBorder="1" applyAlignment="1">
      <alignment horizontal="center" wrapText="1"/>
    </xf>
    <xf numFmtId="0" fontId="66" fillId="16" borderId="163" xfId="11" applyNumberFormat="1" applyFont="1" applyFill="1" applyBorder="1" applyAlignment="1">
      <alignment horizontal="center" wrapText="1"/>
    </xf>
    <xf numFmtId="0" fontId="60" fillId="16" borderId="177" xfId="0" applyNumberFormat="1" applyFont="1" applyFill="1" applyBorder="1" applyAlignment="1">
      <alignment horizontal="center" wrapText="1"/>
    </xf>
    <xf numFmtId="0" fontId="60" fillId="16" borderId="178" xfId="0" applyNumberFormat="1" applyFont="1" applyFill="1" applyBorder="1" applyAlignment="1">
      <alignment horizontal="center" wrapText="1"/>
    </xf>
    <xf numFmtId="0" fontId="66" fillId="16" borderId="177" xfId="0" applyNumberFormat="1" applyFont="1" applyFill="1" applyBorder="1" applyAlignment="1">
      <alignment horizontal="center" wrapText="1"/>
    </xf>
    <xf numFmtId="0" fontId="66" fillId="16" borderId="178" xfId="0" applyNumberFormat="1" applyFont="1" applyFill="1" applyBorder="1" applyAlignment="1">
      <alignment horizontal="center" wrapText="1"/>
    </xf>
    <xf numFmtId="0" fontId="66" fillId="16" borderId="51" xfId="0" applyNumberFormat="1" applyFont="1" applyFill="1" applyBorder="1" applyAlignment="1">
      <alignment horizontal="center" wrapText="1"/>
    </xf>
    <xf numFmtId="0" fontId="66" fillId="16" borderId="53" xfId="0" applyNumberFormat="1" applyFont="1" applyFill="1" applyBorder="1" applyAlignment="1">
      <alignment horizontal="center" wrapText="1"/>
    </xf>
    <xf numFmtId="0" fontId="66" fillId="22" borderId="51" xfId="0" applyFont="1" applyFill="1" applyBorder="1" applyAlignment="1">
      <alignment horizontal="left"/>
    </xf>
    <xf numFmtId="0" fontId="66" fillId="22" borderId="79" xfId="0" applyFont="1" applyFill="1" applyBorder="1" applyAlignment="1">
      <alignment horizontal="left"/>
    </xf>
    <xf numFmtId="0" fontId="66" fillId="22" borderId="190" xfId="0" applyFont="1" applyFill="1" applyBorder="1" applyAlignment="1">
      <alignment horizontal="left"/>
    </xf>
    <xf numFmtId="0" fontId="66" fillId="22" borderId="51" xfId="0" applyFont="1" applyFill="1" applyBorder="1" applyAlignment="1">
      <alignment wrapText="1"/>
    </xf>
    <xf numFmtId="0" fontId="66" fillId="22" borderId="79" xfId="0" applyFont="1" applyFill="1" applyBorder="1" applyAlignment="1">
      <alignment wrapText="1"/>
    </xf>
    <xf numFmtId="0" fontId="66" fillId="22" borderId="190" xfId="0" applyFont="1" applyFill="1" applyBorder="1" applyAlignment="1">
      <alignment wrapText="1"/>
    </xf>
    <xf numFmtId="0" fontId="66" fillId="22" borderId="79" xfId="0" applyFont="1" applyFill="1" applyBorder="1" applyAlignment="1">
      <alignment horizontal="left" wrapText="1"/>
    </xf>
    <xf numFmtId="0" fontId="66" fillId="22" borderId="79" xfId="0" applyFont="1" applyFill="1" applyBorder="1" applyAlignment="1">
      <alignment horizontal="center" wrapText="1"/>
    </xf>
    <xf numFmtId="0" fontId="66" fillId="22" borderId="172" xfId="0" applyFont="1" applyFill="1" applyBorder="1" applyAlignment="1">
      <alignment horizontal="left" wrapText="1"/>
    </xf>
    <xf numFmtId="0" fontId="66" fillId="22" borderId="53" xfId="0" applyFont="1" applyFill="1" applyBorder="1" applyAlignment="1">
      <alignment horizontal="left" wrapText="1"/>
    </xf>
    <xf numFmtId="164" fontId="66" fillId="16" borderId="51" xfId="10" applyNumberFormat="1" applyFont="1" applyFill="1" applyBorder="1" applyAlignment="1">
      <alignment horizontal="center" wrapText="1"/>
    </xf>
    <xf numFmtId="164" fontId="66" fillId="16" borderId="79" xfId="10" applyNumberFormat="1" applyFont="1" applyFill="1" applyBorder="1" applyAlignment="1">
      <alignment horizontal="center" wrapText="1"/>
    </xf>
    <xf numFmtId="164" fontId="66" fillId="16" borderId="53" xfId="10" applyNumberFormat="1" applyFont="1" applyFill="1" applyBorder="1" applyAlignment="1">
      <alignment horizontal="center" wrapText="1"/>
    </xf>
    <xf numFmtId="164" fontId="66" fillId="16" borderId="51" xfId="0" applyNumberFormat="1" applyFont="1" applyFill="1" applyBorder="1" applyAlignment="1">
      <alignment horizontal="center" wrapText="1"/>
    </xf>
    <xf numFmtId="164" fontId="66" fillId="16" borderId="79" xfId="0" applyNumberFormat="1" applyFont="1" applyFill="1" applyBorder="1" applyAlignment="1">
      <alignment horizontal="center" wrapText="1"/>
    </xf>
    <xf numFmtId="164" fontId="66" fillId="16" borderId="168" xfId="0" applyNumberFormat="1" applyFont="1" applyFill="1" applyBorder="1" applyAlignment="1">
      <alignment horizontal="center" wrapText="1"/>
    </xf>
    <xf numFmtId="2" fontId="59" fillId="5" borderId="77" xfId="0" applyNumberFormat="1" applyFont="1" applyFill="1" applyBorder="1" applyAlignment="1">
      <alignment horizontal="center"/>
    </xf>
    <xf numFmtId="2" fontId="59" fillId="5" borderId="78" xfId="0" applyNumberFormat="1" applyFont="1" applyFill="1" applyBorder="1" applyAlignment="1">
      <alignment horizontal="center"/>
    </xf>
    <xf numFmtId="1" fontId="55" fillId="16" borderId="51" xfId="11" applyNumberFormat="1" applyFont="1" applyFill="1" applyBorder="1" applyAlignment="1">
      <alignment horizontal="center" wrapText="1"/>
    </xf>
    <xf numFmtId="1" fontId="55" fillId="16" borderId="53" xfId="11" applyNumberFormat="1" applyFont="1" applyFill="1" applyBorder="1" applyAlignment="1">
      <alignment horizontal="center" wrapText="1"/>
    </xf>
    <xf numFmtId="0" fontId="57" fillId="16" borderId="95" xfId="0" applyFont="1" applyFill="1" applyBorder="1" applyAlignment="1">
      <alignment horizontal="center" vertical="center" textRotation="180" wrapText="1"/>
    </xf>
    <xf numFmtId="0" fontId="57" fillId="16" borderId="96" xfId="0" applyFont="1" applyFill="1" applyBorder="1" applyAlignment="1">
      <alignment horizontal="center" vertical="center" textRotation="180" wrapText="1"/>
    </xf>
    <xf numFmtId="1" fontId="55" fillId="16" borderId="44" xfId="11" applyNumberFormat="1" applyFont="1" applyFill="1" applyBorder="1" applyAlignment="1">
      <alignment horizontal="center" wrapText="1"/>
    </xf>
    <xf numFmtId="0" fontId="50" fillId="17" borderId="171" xfId="0" applyFont="1" applyFill="1" applyBorder="1" applyAlignment="1">
      <alignment horizontal="center" wrapText="1"/>
    </xf>
    <xf numFmtId="0" fontId="50" fillId="17" borderId="174" xfId="0" applyFont="1" applyFill="1" applyBorder="1" applyAlignment="1">
      <alignment horizontal="center" wrapText="1"/>
    </xf>
    <xf numFmtId="0" fontId="50" fillId="17" borderId="0" xfId="0" applyFont="1" applyFill="1" applyBorder="1" applyAlignment="1">
      <alignment horizontal="center" wrapText="1"/>
    </xf>
    <xf numFmtId="1" fontId="55" fillId="16" borderId="188" xfId="11" applyNumberFormat="1" applyFont="1" applyFill="1" applyBorder="1" applyAlignment="1">
      <alignment horizontal="center" wrapText="1"/>
    </xf>
    <xf numFmtId="1" fontId="55" fillId="16" borderId="194" xfId="11" applyNumberFormat="1" applyFont="1" applyFill="1" applyBorder="1" applyAlignment="1">
      <alignment horizontal="center" wrapText="1"/>
    </xf>
    <xf numFmtId="1" fontId="55" fillId="16" borderId="140" xfId="11" applyNumberFormat="1" applyFont="1" applyFill="1" applyBorder="1" applyAlignment="1">
      <alignment horizontal="center" wrapText="1"/>
    </xf>
    <xf numFmtId="1" fontId="55" fillId="16" borderId="192" xfId="11" applyNumberFormat="1" applyFont="1" applyFill="1" applyBorder="1" applyAlignment="1">
      <alignment horizontal="center" wrapText="1"/>
    </xf>
    <xf numFmtId="1" fontId="55" fillId="16" borderId="196" xfId="11" applyNumberFormat="1" applyFont="1" applyFill="1" applyBorder="1" applyAlignment="1">
      <alignment horizontal="center" wrapText="1"/>
    </xf>
    <xf numFmtId="1" fontId="55" fillId="16" borderId="113" xfId="11" applyNumberFormat="1" applyFont="1" applyFill="1" applyBorder="1" applyAlignment="1">
      <alignment horizontal="center" wrapText="1"/>
    </xf>
    <xf numFmtId="0" fontId="54" fillId="17" borderId="175" xfId="0" applyFont="1" applyFill="1" applyBorder="1" applyAlignment="1">
      <alignment horizontal="center" wrapText="1"/>
    </xf>
    <xf numFmtId="0" fontId="54" fillId="17" borderId="176" xfId="0" applyFont="1" applyFill="1" applyBorder="1" applyAlignment="1">
      <alignment horizontal="center" wrapText="1"/>
    </xf>
    <xf numFmtId="1" fontId="55" fillId="16" borderId="162" xfId="11" applyNumberFormat="1" applyFont="1" applyFill="1" applyBorder="1" applyAlignment="1">
      <alignment horizontal="center" wrapText="1"/>
    </xf>
    <xf numFmtId="1" fontId="55" fillId="16" borderId="163" xfId="11" applyNumberFormat="1" applyFont="1" applyFill="1" applyBorder="1" applyAlignment="1">
      <alignment horizontal="center" wrapText="1"/>
    </xf>
    <xf numFmtId="164" fontId="72" fillId="16" borderId="183" xfId="10" applyNumberFormat="1" applyFont="1" applyFill="1" applyBorder="1" applyAlignment="1">
      <alignment horizontal="center" wrapText="1"/>
    </xf>
    <xf numFmtId="164" fontId="72" fillId="16" borderId="146" xfId="10" applyNumberFormat="1" applyFont="1" applyFill="1" applyBorder="1" applyAlignment="1">
      <alignment horizontal="center" wrapText="1"/>
    </xf>
    <xf numFmtId="164" fontId="72" fillId="16" borderId="89" xfId="10" applyNumberFormat="1" applyFont="1" applyFill="1" applyBorder="1" applyAlignment="1">
      <alignment horizontal="center" wrapText="1"/>
    </xf>
    <xf numFmtId="164" fontId="72" fillId="16" borderId="100" xfId="10" applyNumberFormat="1" applyFont="1" applyFill="1" applyBorder="1" applyAlignment="1">
      <alignment horizontal="center" wrapText="1"/>
    </xf>
    <xf numFmtId="164" fontId="72" fillId="16" borderId="55" xfId="10" applyNumberFormat="1" applyFont="1" applyFill="1" applyBorder="1" applyAlignment="1">
      <alignment horizontal="center" wrapText="1"/>
    </xf>
    <xf numFmtId="164" fontId="66" fillId="16" borderId="160" xfId="0" applyNumberFormat="1" applyFont="1" applyFill="1" applyBorder="1" applyAlignment="1">
      <alignment horizontal="center" wrapText="1"/>
    </xf>
    <xf numFmtId="164" fontId="66" fillId="16" borderId="164" xfId="0" applyNumberFormat="1" applyFont="1" applyFill="1" applyBorder="1" applyAlignment="1">
      <alignment horizontal="center" wrapText="1"/>
    </xf>
    <xf numFmtId="164" fontId="66" fillId="16" borderId="170" xfId="0" applyNumberFormat="1" applyFont="1" applyFill="1" applyBorder="1" applyAlignment="1">
      <alignment horizontal="center" wrapText="1"/>
    </xf>
    <xf numFmtId="164" fontId="66" fillId="16" borderId="100" xfId="0" applyNumberFormat="1" applyFont="1" applyFill="1" applyBorder="1" applyAlignment="1">
      <alignment horizontal="center"/>
    </xf>
    <xf numFmtId="164" fontId="66" fillId="16" borderId="51" xfId="0" applyNumberFormat="1" applyFont="1" applyFill="1" applyBorder="1" applyAlignment="1">
      <alignment horizontal="center"/>
    </xf>
    <xf numFmtId="164" fontId="66" fillId="16" borderId="79" xfId="0" applyNumberFormat="1" applyFont="1" applyFill="1" applyBorder="1" applyAlignment="1">
      <alignment horizontal="center"/>
    </xf>
    <xf numFmtId="164" fontId="66" fillId="16" borderId="53" xfId="0" applyNumberFormat="1" applyFont="1" applyFill="1" applyBorder="1" applyAlignment="1">
      <alignment horizontal="center"/>
    </xf>
    <xf numFmtId="164" fontId="66" fillId="16" borderId="188" xfId="0" applyNumberFormat="1" applyFont="1" applyFill="1" applyBorder="1" applyAlignment="1">
      <alignment horizontal="center"/>
    </xf>
    <xf numFmtId="164" fontId="66" fillId="16" borderId="187" xfId="0" applyNumberFormat="1" applyFont="1" applyFill="1" applyBorder="1" applyAlignment="1">
      <alignment horizontal="center"/>
    </xf>
    <xf numFmtId="164" fontId="66" fillId="16" borderId="160" xfId="0" applyNumberFormat="1" applyFont="1" applyFill="1" applyBorder="1" applyAlignment="1">
      <alignment horizontal="center"/>
    </xf>
    <xf numFmtId="164" fontId="66" fillId="16" borderId="164" xfId="0" applyNumberFormat="1" applyFont="1" applyFill="1" applyBorder="1" applyAlignment="1">
      <alignment horizontal="center"/>
    </xf>
    <xf numFmtId="164" fontId="66" fillId="16" borderId="170" xfId="0" applyNumberFormat="1" applyFont="1" applyFill="1" applyBorder="1" applyAlignment="1">
      <alignment horizontal="center"/>
    </xf>
    <xf numFmtId="164" fontId="66" fillId="16" borderId="161" xfId="0" applyNumberFormat="1" applyFont="1" applyFill="1" applyBorder="1" applyAlignment="1">
      <alignment horizontal="center"/>
    </xf>
    <xf numFmtId="164" fontId="66" fillId="16" borderId="168" xfId="0" applyNumberFormat="1" applyFont="1" applyFill="1" applyBorder="1" applyAlignment="1">
      <alignment horizontal="center"/>
    </xf>
    <xf numFmtId="164" fontId="66" fillId="16" borderId="162" xfId="0" applyNumberFormat="1" applyFont="1" applyFill="1" applyBorder="1" applyAlignment="1">
      <alignment horizontal="center"/>
    </xf>
    <xf numFmtId="164" fontId="66" fillId="16" borderId="165" xfId="0" applyNumberFormat="1" applyFont="1" applyFill="1" applyBorder="1" applyAlignment="1">
      <alignment horizontal="center"/>
    </xf>
    <xf numFmtId="164" fontId="66" fillId="16" borderId="163" xfId="0" applyNumberFormat="1" applyFont="1" applyFill="1" applyBorder="1" applyAlignment="1">
      <alignment horizontal="center"/>
    </xf>
    <xf numFmtId="164" fontId="66" fillId="16" borderId="167" xfId="0" applyNumberFormat="1" applyFont="1" applyFill="1" applyBorder="1" applyAlignment="1">
      <alignment horizontal="center"/>
    </xf>
    <xf numFmtId="164" fontId="66" fillId="22" borderId="51" xfId="0" applyNumberFormat="1" applyFont="1" applyFill="1" applyBorder="1" applyAlignment="1">
      <alignment horizontal="center"/>
    </xf>
    <xf numFmtId="164" fontId="66" fillId="22" borderId="79" xfId="0" applyNumberFormat="1" applyFont="1" applyFill="1" applyBorder="1" applyAlignment="1">
      <alignment horizontal="center"/>
    </xf>
    <xf numFmtId="164" fontId="66" fillId="22" borderId="53" xfId="0" applyNumberFormat="1" applyFont="1" applyFill="1" applyBorder="1" applyAlignment="1">
      <alignment horizontal="center"/>
    </xf>
    <xf numFmtId="164" fontId="66" fillId="22" borderId="190" xfId="0" applyNumberFormat="1" applyFont="1" applyFill="1" applyBorder="1" applyAlignment="1">
      <alignment horizontal="center"/>
    </xf>
    <xf numFmtId="164" fontId="66" fillId="22" borderId="188" xfId="0" applyNumberFormat="1" applyFont="1" applyFill="1" applyBorder="1" applyAlignment="1">
      <alignment horizontal="center"/>
    </xf>
    <xf numFmtId="164" fontId="66" fillId="22" borderId="187" xfId="0" applyNumberFormat="1" applyFont="1" applyFill="1" applyBorder="1" applyAlignment="1">
      <alignment horizontal="center"/>
    </xf>
    <xf numFmtId="164" fontId="66" fillId="22" borderId="194" xfId="0" applyNumberFormat="1" applyFont="1" applyFill="1" applyBorder="1" applyAlignment="1">
      <alignment horizontal="center"/>
    </xf>
    <xf numFmtId="164" fontId="66" fillId="22" borderId="192" xfId="0" applyNumberFormat="1" applyFont="1" applyFill="1" applyBorder="1" applyAlignment="1">
      <alignment horizontal="center"/>
    </xf>
    <xf numFmtId="164" fontId="66" fillId="22" borderId="191" xfId="0" applyNumberFormat="1" applyFont="1" applyFill="1" applyBorder="1" applyAlignment="1">
      <alignment horizontal="center"/>
    </xf>
    <xf numFmtId="164" fontId="66" fillId="22" borderId="196" xfId="0" applyNumberFormat="1" applyFont="1" applyFill="1" applyBorder="1" applyAlignment="1">
      <alignment horizontal="center"/>
    </xf>
    <xf numFmtId="0" fontId="50" fillId="17" borderId="54" xfId="0" applyFont="1" applyFill="1" applyBorder="1" applyAlignment="1">
      <alignment horizontal="center" wrapText="1"/>
    </xf>
    <xf numFmtId="0" fontId="50" fillId="17" borderId="45" xfId="0" applyFont="1" applyFill="1" applyBorder="1" applyAlignment="1">
      <alignment horizontal="center" wrapText="1"/>
    </xf>
    <xf numFmtId="164" fontId="50" fillId="16" borderId="85" xfId="0" applyNumberFormat="1" applyFont="1" applyFill="1" applyBorder="1" applyAlignment="1">
      <alignment horizontal="center"/>
    </xf>
    <xf numFmtId="164" fontId="50" fillId="16" borderId="37" xfId="0" applyNumberFormat="1" applyFont="1" applyFill="1" applyBorder="1" applyAlignment="1">
      <alignment horizontal="center"/>
    </xf>
    <xf numFmtId="164" fontId="50" fillId="16" borderId="78" xfId="0" applyNumberFormat="1" applyFont="1" applyFill="1" applyBorder="1" applyAlignment="1">
      <alignment horizontal="center"/>
    </xf>
    <xf numFmtId="0" fontId="50" fillId="21" borderId="23" xfId="0" applyFont="1" applyFill="1" applyBorder="1" applyAlignment="1">
      <alignment horizontal="center"/>
    </xf>
    <xf numFmtId="0" fontId="50" fillId="21" borderId="0" xfId="0" applyFont="1" applyFill="1" applyBorder="1" applyAlignment="1">
      <alignment horizontal="center"/>
    </xf>
    <xf numFmtId="0" fontId="50" fillId="21" borderId="206" xfId="0" applyFont="1" applyFill="1" applyBorder="1" applyAlignment="1">
      <alignment horizontal="center"/>
    </xf>
    <xf numFmtId="0" fontId="57" fillId="15" borderId="90" xfId="0" applyFont="1" applyFill="1" applyBorder="1" applyAlignment="1">
      <alignment horizontal="center" vertical="center" wrapText="1"/>
    </xf>
    <xf numFmtId="0" fontId="57" fillId="15" borderId="91" xfId="0" applyFont="1" applyFill="1" applyBorder="1" applyAlignment="1">
      <alignment horizontal="center" vertical="center" wrapText="1"/>
    </xf>
    <xf numFmtId="0" fontId="57" fillId="15" borderId="92" xfId="0" applyFont="1" applyFill="1" applyBorder="1" applyAlignment="1">
      <alignment horizontal="center" vertical="center" wrapText="1"/>
    </xf>
    <xf numFmtId="0" fontId="57" fillId="15" borderId="93" xfId="0" applyFont="1" applyFill="1" applyBorder="1" applyAlignment="1">
      <alignment horizontal="center" vertical="center" wrapText="1"/>
    </xf>
    <xf numFmtId="0" fontId="57" fillId="15" borderId="47" xfId="0" applyFont="1" applyFill="1" applyBorder="1" applyAlignment="1">
      <alignment horizontal="center" vertical="center" wrapText="1"/>
    </xf>
    <xf numFmtId="0" fontId="57" fillId="15" borderId="94" xfId="0" applyFont="1" applyFill="1" applyBorder="1" applyAlignment="1">
      <alignment horizontal="center" vertical="center" wrapText="1"/>
    </xf>
    <xf numFmtId="0" fontId="57" fillId="15" borderId="95" xfId="0" applyFont="1" applyFill="1" applyBorder="1" applyAlignment="1">
      <alignment horizontal="center" vertical="center" wrapText="1"/>
    </xf>
    <xf numFmtId="0" fontId="57" fillId="15" borderId="86" xfId="0" applyFont="1" applyFill="1" applyBorder="1" applyAlignment="1">
      <alignment horizontal="center" vertical="center" wrapText="1"/>
    </xf>
    <xf numFmtId="164" fontId="50" fillId="18" borderId="0" xfId="0" applyNumberFormat="1" applyFont="1" applyFill="1" applyBorder="1" applyAlignment="1">
      <alignment horizontal="center"/>
    </xf>
    <xf numFmtId="164" fontId="50" fillId="18" borderId="84" xfId="0" applyNumberFormat="1" applyFont="1" applyFill="1" applyBorder="1" applyAlignment="1">
      <alignment horizontal="center"/>
    </xf>
    <xf numFmtId="175" fontId="50" fillId="10" borderId="0" xfId="15" applyNumberFormat="1" applyFont="1" applyFill="1" applyBorder="1" applyAlignment="1">
      <alignment horizontal="center" wrapText="1"/>
    </xf>
    <xf numFmtId="0" fontId="50" fillId="10" borderId="0" xfId="15" applyNumberFormat="1" applyFont="1" applyFill="1" applyBorder="1" applyAlignment="1">
      <alignment horizontal="center" wrapText="1"/>
    </xf>
    <xf numFmtId="175" fontId="50" fillId="8" borderId="69" xfId="15" applyNumberFormat="1" applyFont="1" applyFill="1" applyBorder="1" applyAlignment="1">
      <alignment horizontal="center" wrapText="1"/>
    </xf>
    <xf numFmtId="0" fontId="50" fillId="8" borderId="69" xfId="15" applyNumberFormat="1" applyFont="1" applyFill="1" applyBorder="1" applyAlignment="1">
      <alignment horizontal="center" wrapText="1"/>
    </xf>
    <xf numFmtId="0" fontId="50" fillId="17" borderId="0" xfId="0" applyFont="1" applyFill="1" applyBorder="1" applyAlignment="1">
      <alignment horizontal="center"/>
    </xf>
    <xf numFmtId="0" fontId="51" fillId="21" borderId="0" xfId="0" applyFont="1" applyFill="1" applyBorder="1" applyAlignment="1">
      <alignment horizontal="center"/>
    </xf>
    <xf numFmtId="0" fontId="50" fillId="29" borderId="0" xfId="0" applyFont="1" applyFill="1" applyBorder="1" applyAlignment="1">
      <alignment horizontal="center" wrapText="1"/>
    </xf>
    <xf numFmtId="0" fontId="50" fillId="31" borderId="0" xfId="0" applyFont="1" applyFill="1" applyBorder="1" applyAlignment="1">
      <alignment horizontal="center"/>
    </xf>
    <xf numFmtId="164" fontId="66" fillId="22" borderId="189" xfId="0" applyNumberFormat="1" applyFont="1" applyFill="1" applyBorder="1" applyAlignment="1">
      <alignment horizontal="center"/>
    </xf>
    <xf numFmtId="0" fontId="54" fillId="20" borderId="100" xfId="0" applyFont="1" applyFill="1" applyBorder="1" applyAlignment="1">
      <alignment horizontal="center"/>
    </xf>
    <xf numFmtId="0" fontId="53" fillId="20" borderId="100" xfId="0" applyFont="1" applyFill="1" applyBorder="1" applyAlignment="1">
      <alignment horizontal="center"/>
    </xf>
    <xf numFmtId="164" fontId="66" fillId="22" borderId="193" xfId="0" applyNumberFormat="1" applyFont="1" applyFill="1" applyBorder="1" applyAlignment="1">
      <alignment horizontal="center"/>
    </xf>
    <xf numFmtId="164" fontId="66" fillId="16" borderId="89" xfId="10" applyNumberFormat="1" applyFont="1" applyFill="1" applyBorder="1" applyAlignment="1">
      <alignment horizontal="center" wrapText="1"/>
    </xf>
    <xf numFmtId="0" fontId="0" fillId="0" borderId="100" xfId="0" applyFont="1" applyBorder="1"/>
    <xf numFmtId="0" fontId="0" fillId="0" borderId="55" xfId="0" applyFont="1" applyBorder="1"/>
    <xf numFmtId="164" fontId="66" fillId="16" borderId="143" xfId="10" applyNumberFormat="1" applyFont="1" applyFill="1" applyBorder="1" applyAlignment="1">
      <alignment horizontal="center" wrapText="1"/>
    </xf>
    <xf numFmtId="164" fontId="66" fillId="16" borderId="0" xfId="10" applyNumberFormat="1" applyFont="1" applyFill="1" applyBorder="1" applyAlignment="1">
      <alignment horizontal="center" wrapText="1"/>
    </xf>
    <xf numFmtId="164" fontId="66" fillId="16" borderId="159" xfId="10" applyNumberFormat="1" applyFont="1" applyFill="1" applyBorder="1" applyAlignment="1">
      <alignment horizontal="center" wrapText="1"/>
    </xf>
    <xf numFmtId="164" fontId="66" fillId="16" borderId="100" xfId="10" applyNumberFormat="1" applyFont="1" applyFill="1" applyBorder="1" applyAlignment="1">
      <alignment horizontal="center" wrapText="1"/>
    </xf>
    <xf numFmtId="164" fontId="66" fillId="16" borderId="55" xfId="10" applyNumberFormat="1" applyFont="1" applyFill="1" applyBorder="1" applyAlignment="1">
      <alignment horizontal="center" wrapText="1"/>
    </xf>
    <xf numFmtId="0" fontId="59" fillId="13" borderId="0" xfId="0" applyFont="1" applyFill="1" applyBorder="1" applyAlignment="1">
      <alignment horizontal="center"/>
    </xf>
    <xf numFmtId="2" fontId="53" fillId="5" borderId="80" xfId="0" applyNumberFormat="1" applyFont="1" applyFill="1" applyBorder="1" applyAlignment="1">
      <alignment horizontal="center"/>
    </xf>
    <xf numFmtId="2" fontId="53" fillId="5" borderId="38" xfId="0" applyNumberFormat="1" applyFont="1" applyFill="1" applyBorder="1" applyAlignment="1">
      <alignment horizontal="center"/>
    </xf>
    <xf numFmtId="2" fontId="50" fillId="16" borderId="52" xfId="0" applyNumberFormat="1" applyFont="1" applyFill="1" applyBorder="1" applyAlignment="1">
      <alignment horizontal="center"/>
    </xf>
    <xf numFmtId="2" fontId="50" fillId="16" borderId="38" xfId="0" applyNumberFormat="1" applyFont="1" applyFill="1" applyBorder="1" applyAlignment="1">
      <alignment horizontal="center"/>
    </xf>
    <xf numFmtId="0" fontId="50" fillId="20" borderId="0" xfId="15" applyNumberFormat="1" applyFont="1" applyFill="1" applyBorder="1" applyAlignment="1">
      <alignment horizontal="center" wrapText="1"/>
    </xf>
    <xf numFmtId="0" fontId="61" fillId="13" borderId="29" xfId="0" applyFont="1" applyFill="1" applyBorder="1" applyAlignment="1">
      <alignment horizontal="center"/>
    </xf>
    <xf numFmtId="0" fontId="50" fillId="18" borderId="77" xfId="0" applyFont="1" applyFill="1" applyBorder="1" applyAlignment="1">
      <alignment horizontal="center"/>
    </xf>
    <xf numFmtId="0" fontId="50" fillId="18" borderId="78" xfId="0" applyFont="1" applyFill="1" applyBorder="1" applyAlignment="1">
      <alignment horizontal="center"/>
    </xf>
    <xf numFmtId="0" fontId="50" fillId="18" borderId="37" xfId="0" applyFont="1" applyFill="1" applyBorder="1" applyAlignment="1">
      <alignment horizontal="center"/>
    </xf>
    <xf numFmtId="2" fontId="66" fillId="15" borderId="79" xfId="0" applyNumberFormat="1" applyFont="1" applyFill="1" applyBorder="1" applyAlignment="1">
      <alignment horizontal="center"/>
    </xf>
    <xf numFmtId="0" fontId="54" fillId="16" borderId="82" xfId="0" applyNumberFormat="1" applyFont="1" applyFill="1" applyBorder="1" applyAlignment="1">
      <alignment horizontal="center"/>
    </xf>
    <xf numFmtId="0" fontId="54" fillId="16" borderId="81" xfId="0" applyNumberFormat="1" applyFont="1" applyFill="1" applyBorder="1" applyAlignment="1">
      <alignment horizontal="center"/>
    </xf>
    <xf numFmtId="10" fontId="52" fillId="16" borderId="51" xfId="11" applyNumberFormat="1" applyFont="1" applyFill="1" applyBorder="1" applyAlignment="1">
      <alignment horizontal="center"/>
    </xf>
    <xf numFmtId="10" fontId="52" fillId="16" borderId="53" xfId="11" applyNumberFormat="1" applyFont="1" applyFill="1" applyBorder="1" applyAlignment="1">
      <alignment horizontal="center"/>
    </xf>
    <xf numFmtId="0" fontId="57" fillId="15" borderId="0" xfId="0" applyFont="1" applyFill="1" applyBorder="1" applyAlignment="1">
      <alignment horizontal="center" vertical="center" wrapText="1"/>
    </xf>
    <xf numFmtId="0" fontId="51" fillId="21" borderId="69" xfId="15" applyNumberFormat="1" applyFont="1" applyFill="1" applyBorder="1" applyAlignment="1">
      <alignment horizontal="center" wrapText="1"/>
    </xf>
    <xf numFmtId="0" fontId="51" fillId="20" borderId="0" xfId="0" applyFont="1" applyFill="1" applyBorder="1" applyAlignment="1">
      <alignment horizontal="center"/>
    </xf>
    <xf numFmtId="0" fontId="50" fillId="23" borderId="0" xfId="0" applyFont="1" applyFill="1" applyBorder="1" applyAlignment="1">
      <alignment horizontal="center"/>
    </xf>
    <xf numFmtId="0" fontId="73" fillId="19" borderId="0" xfId="0" applyFont="1" applyFill="1" applyBorder="1" applyAlignment="1">
      <alignment horizontal="center" vertical="center"/>
    </xf>
    <xf numFmtId="0" fontId="50" fillId="24" borderId="0" xfId="0" applyFont="1" applyFill="1" applyBorder="1" applyAlignment="1">
      <alignment horizontal="center"/>
    </xf>
    <xf numFmtId="2" fontId="50" fillId="16" borderId="200" xfId="0" applyNumberFormat="1" applyFont="1" applyFill="1" applyBorder="1" applyAlignment="1">
      <alignment horizontal="center" vertical="center"/>
    </xf>
    <xf numFmtId="2" fontId="50" fillId="16" borderId="201" xfId="0" applyNumberFormat="1" applyFont="1" applyFill="1" applyBorder="1" applyAlignment="1">
      <alignment horizontal="center" vertical="center"/>
    </xf>
    <xf numFmtId="2" fontId="50" fillId="16" borderId="202" xfId="0" applyNumberFormat="1" applyFont="1" applyFill="1" applyBorder="1" applyAlignment="1">
      <alignment horizontal="center" vertical="center"/>
    </xf>
    <xf numFmtId="2" fontId="50" fillId="16" borderId="203" xfId="0" applyNumberFormat="1" applyFont="1" applyFill="1" applyBorder="1" applyAlignment="1">
      <alignment horizontal="center" vertical="center"/>
    </xf>
    <xf numFmtId="2" fontId="50" fillId="16" borderId="204" xfId="0" applyNumberFormat="1" applyFont="1" applyFill="1" applyBorder="1" applyAlignment="1">
      <alignment horizontal="center" vertical="center"/>
    </xf>
    <xf numFmtId="2" fontId="50" fillId="16" borderId="205" xfId="0" applyNumberFormat="1" applyFont="1" applyFill="1" applyBorder="1" applyAlignment="1">
      <alignment horizontal="center" vertical="center"/>
    </xf>
    <xf numFmtId="0" fontId="57" fillId="16" borderId="90" xfId="0" applyFont="1" applyFill="1" applyBorder="1" applyAlignment="1">
      <alignment horizontal="center" vertical="center" textRotation="180" wrapText="1"/>
    </xf>
    <xf numFmtId="0" fontId="57" fillId="16" borderId="73" xfId="0" applyFont="1" applyFill="1" applyBorder="1" applyAlignment="1">
      <alignment horizontal="center" vertical="center" textRotation="180" wrapText="1"/>
    </xf>
    <xf numFmtId="0" fontId="50" fillId="21" borderId="69" xfId="0" applyFont="1" applyFill="1" applyBorder="1" applyAlignment="1">
      <alignment horizontal="center" wrapText="1"/>
    </xf>
    <xf numFmtId="0" fontId="50" fillId="21" borderId="212" xfId="0" applyFont="1" applyFill="1" applyBorder="1" applyAlignment="1">
      <alignment horizontal="center" wrapText="1"/>
    </xf>
    <xf numFmtId="164" fontId="71" fillId="16" borderId="89" xfId="10" applyNumberFormat="1" applyFont="1" applyFill="1" applyBorder="1" applyAlignment="1">
      <alignment horizontal="center" wrapText="1"/>
    </xf>
    <xf numFmtId="0" fontId="96" fillId="0" borderId="100" xfId="0" applyFont="1" applyBorder="1"/>
    <xf numFmtId="0" fontId="96" fillId="0" borderId="55" xfId="0" applyFont="1" applyBorder="1"/>
    <xf numFmtId="0" fontId="50" fillId="17" borderId="54" xfId="0" applyFont="1" applyFill="1" applyBorder="1" applyAlignment="1">
      <alignment horizontal="center"/>
    </xf>
    <xf numFmtId="0" fontId="50" fillId="17" borderId="45" xfId="0" applyFont="1" applyFill="1" applyBorder="1" applyAlignment="1">
      <alignment horizontal="center"/>
    </xf>
    <xf numFmtId="0" fontId="50" fillId="19" borderId="0" xfId="0" applyFont="1" applyFill="1" applyAlignment="1">
      <alignment horizontal="left" vertical="center"/>
    </xf>
    <xf numFmtId="0" fontId="50" fillId="17" borderId="195" xfId="0" applyFont="1" applyFill="1" applyBorder="1" applyAlignment="1">
      <alignment horizontal="center"/>
    </xf>
    <xf numFmtId="0" fontId="50" fillId="17" borderId="75" xfId="0" applyFont="1" applyFill="1" applyBorder="1" applyAlignment="1">
      <alignment horizontal="center"/>
    </xf>
    <xf numFmtId="0" fontId="50" fillId="17" borderId="58" xfId="0" applyFont="1" applyFill="1" applyBorder="1" applyAlignment="1">
      <alignment horizontal="center"/>
    </xf>
    <xf numFmtId="0" fontId="59" fillId="13" borderId="0" xfId="0" applyNumberFormat="1" applyFont="1" applyFill="1" applyBorder="1" applyAlignment="1">
      <alignment horizontal="center"/>
    </xf>
    <xf numFmtId="164" fontId="66" fillId="22" borderId="143" xfId="10" applyNumberFormat="1" applyFont="1" applyFill="1" applyBorder="1" applyAlignment="1">
      <alignment horizontal="center" wrapText="1"/>
    </xf>
    <xf numFmtId="164" fontId="66" fillId="22" borderId="0" xfId="10" applyNumberFormat="1" applyFont="1" applyFill="1" applyBorder="1" applyAlignment="1">
      <alignment horizontal="center" wrapText="1"/>
    </xf>
    <xf numFmtId="164" fontId="66" fillId="22" borderId="159" xfId="10" applyNumberFormat="1" applyFont="1" applyFill="1" applyBorder="1" applyAlignment="1">
      <alignment horizontal="center" wrapText="1"/>
    </xf>
    <xf numFmtId="164" fontId="66" fillId="22" borderId="89" xfId="10" applyNumberFormat="1" applyFont="1" applyFill="1" applyBorder="1" applyAlignment="1">
      <alignment horizontal="center" wrapText="1"/>
    </xf>
    <xf numFmtId="164" fontId="66" fillId="22" borderId="100" xfId="10" applyNumberFormat="1" applyFont="1" applyFill="1" applyBorder="1" applyAlignment="1">
      <alignment horizontal="center" wrapText="1"/>
    </xf>
    <xf numFmtId="164" fontId="66" fillId="22" borderId="55" xfId="10" applyNumberFormat="1" applyFont="1" applyFill="1" applyBorder="1" applyAlignment="1">
      <alignment horizontal="center" wrapText="1"/>
    </xf>
    <xf numFmtId="0" fontId="66" fillId="22" borderId="241" xfId="0" applyFont="1" applyFill="1" applyBorder="1" applyAlignment="1">
      <alignment horizontal="left"/>
    </xf>
    <xf numFmtId="0" fontId="66" fillId="22" borderId="187" xfId="0" applyFont="1" applyFill="1" applyBorder="1" applyAlignment="1">
      <alignment horizontal="left"/>
    </xf>
    <xf numFmtId="0" fontId="66" fillId="22" borderId="194" xfId="0" applyFont="1" applyFill="1" applyBorder="1" applyAlignment="1">
      <alignment horizontal="left"/>
    </xf>
    <xf numFmtId="0" fontId="60" fillId="22" borderId="51" xfId="0" applyFont="1" applyFill="1" applyBorder="1" applyAlignment="1">
      <alignment horizontal="left" wrapText="1"/>
    </xf>
    <xf numFmtId="0" fontId="60" fillId="22" borderId="79" xfId="0" applyFont="1" applyFill="1" applyBorder="1" applyAlignment="1">
      <alignment horizontal="left" wrapText="1"/>
    </xf>
    <xf numFmtId="0" fontId="60" fillId="22" borderId="190" xfId="0" applyFont="1" applyFill="1" applyBorder="1" applyAlignment="1">
      <alignment horizontal="left" wrapText="1"/>
    </xf>
    <xf numFmtId="164" fontId="66" fillId="16" borderId="162" xfId="10" applyNumberFormat="1" applyFont="1" applyFill="1" applyBorder="1" applyAlignment="1">
      <alignment horizontal="center" wrapText="1"/>
    </xf>
    <xf numFmtId="164" fontId="66" fillId="16" borderId="165" xfId="10" applyNumberFormat="1" applyFont="1" applyFill="1" applyBorder="1" applyAlignment="1">
      <alignment horizontal="center" wrapText="1"/>
    </xf>
    <xf numFmtId="164" fontId="66" fillId="16" borderId="163" xfId="10" applyNumberFormat="1" applyFont="1" applyFill="1" applyBorder="1" applyAlignment="1">
      <alignment horizontal="center" wrapText="1"/>
    </xf>
    <xf numFmtId="0" fontId="60" fillId="22" borderId="188" xfId="0" applyFont="1" applyFill="1" applyBorder="1" applyAlignment="1">
      <alignment horizontal="left" wrapText="1"/>
    </xf>
    <xf numFmtId="0" fontId="60" fillId="22" borderId="187" xfId="0" applyFont="1" applyFill="1" applyBorder="1" applyAlignment="1">
      <alignment horizontal="left" wrapText="1"/>
    </xf>
    <xf numFmtId="0" fontId="60" fillId="22" borderId="189" xfId="0" applyFont="1" applyFill="1" applyBorder="1" applyAlignment="1">
      <alignment horizontal="left" wrapText="1"/>
    </xf>
    <xf numFmtId="164" fontId="66" fillId="16" borderId="162" xfId="0" applyNumberFormat="1" applyFont="1" applyFill="1" applyBorder="1" applyAlignment="1">
      <alignment horizontal="center" wrapText="1"/>
    </xf>
    <xf numFmtId="164" fontId="66" fillId="16" borderId="165" xfId="0" applyNumberFormat="1" applyFont="1" applyFill="1" applyBorder="1" applyAlignment="1">
      <alignment horizontal="center" wrapText="1"/>
    </xf>
    <xf numFmtId="164" fontId="66" fillId="16" borderId="167" xfId="0" applyNumberFormat="1" applyFont="1" applyFill="1" applyBorder="1" applyAlignment="1">
      <alignment horizontal="center" wrapText="1"/>
    </xf>
    <xf numFmtId="0" fontId="66" fillId="22" borderId="172" xfId="0" applyFont="1" applyFill="1" applyBorder="1" applyAlignment="1">
      <alignment horizontal="left"/>
    </xf>
    <xf numFmtId="0" fontId="66" fillId="22" borderId="53" xfId="0" applyFont="1" applyFill="1" applyBorder="1" applyAlignment="1">
      <alignment horizontal="left"/>
    </xf>
    <xf numFmtId="164" fontId="72" fillId="16" borderId="184" xfId="10" applyNumberFormat="1" applyFont="1" applyFill="1" applyBorder="1" applyAlignment="1">
      <alignment horizontal="center" wrapText="1"/>
    </xf>
    <xf numFmtId="164" fontId="72" fillId="16" borderId="185" xfId="10" applyNumberFormat="1" applyFont="1" applyFill="1" applyBorder="1" applyAlignment="1">
      <alignment horizontal="center" wrapText="1"/>
    </xf>
    <xf numFmtId="164" fontId="66" fillId="16" borderId="160" xfId="10" applyNumberFormat="1" applyFont="1" applyFill="1" applyBorder="1" applyAlignment="1">
      <alignment horizontal="center" wrapText="1"/>
    </xf>
    <xf numFmtId="164" fontId="66" fillId="16" borderId="164" xfId="10" applyNumberFormat="1" applyFont="1" applyFill="1" applyBorder="1" applyAlignment="1">
      <alignment horizontal="center" wrapText="1"/>
    </xf>
    <xf numFmtId="164" fontId="66" fillId="16" borderId="161" xfId="10" applyNumberFormat="1" applyFont="1" applyFill="1" applyBorder="1" applyAlignment="1">
      <alignment horizontal="center" wrapText="1"/>
    </xf>
    <xf numFmtId="1" fontId="55" fillId="16" borderId="160" xfId="11" applyNumberFormat="1" applyFont="1" applyFill="1" applyBorder="1" applyAlignment="1">
      <alignment horizontal="center" wrapText="1"/>
    </xf>
    <xf numFmtId="1" fontId="55" fillId="16" borderId="161" xfId="11" applyNumberFormat="1" applyFont="1" applyFill="1" applyBorder="1" applyAlignment="1">
      <alignment horizontal="center" wrapText="1"/>
    </xf>
    <xf numFmtId="0" fontId="66" fillId="22" borderId="191" xfId="0" applyFont="1" applyFill="1" applyBorder="1" applyAlignment="1">
      <alignment horizontal="left" wrapText="1"/>
    </xf>
    <xf numFmtId="0" fontId="66" fillId="22" borderId="192" xfId="0" applyFont="1" applyFill="1" applyBorder="1" applyAlignment="1">
      <alignment wrapText="1"/>
    </xf>
    <xf numFmtId="0" fontId="66" fillId="22" borderId="191" xfId="0" applyFont="1" applyFill="1" applyBorder="1" applyAlignment="1">
      <alignment wrapText="1"/>
    </xf>
    <xf numFmtId="0" fontId="66" fillId="22" borderId="193" xfId="0" applyFont="1" applyFill="1" applyBorder="1" applyAlignment="1">
      <alignment wrapText="1"/>
    </xf>
    <xf numFmtId="1" fontId="55" fillId="16" borderId="133" xfId="11" applyNumberFormat="1" applyFont="1" applyFill="1" applyBorder="1" applyAlignment="1">
      <alignment horizontal="center" wrapText="1"/>
    </xf>
    <xf numFmtId="164" fontId="66" fillId="22" borderId="100" xfId="0" applyNumberFormat="1" applyFont="1" applyFill="1" applyBorder="1" applyAlignment="1">
      <alignment horizontal="center"/>
    </xf>
    <xf numFmtId="1" fontId="55" fillId="16" borderId="116" xfId="11" applyNumberFormat="1" applyFont="1" applyFill="1" applyBorder="1" applyAlignment="1">
      <alignment horizontal="center" wrapText="1"/>
    </xf>
    <xf numFmtId="2" fontId="50" fillId="16" borderId="77" xfId="0" applyNumberFormat="1" applyFont="1" applyFill="1" applyBorder="1" applyAlignment="1">
      <alignment horizontal="center"/>
    </xf>
    <xf numFmtId="2" fontId="50" fillId="16" borderId="37" xfId="0" applyNumberFormat="1" applyFont="1" applyFill="1" applyBorder="1" applyAlignment="1">
      <alignment horizontal="center"/>
    </xf>
    <xf numFmtId="2" fontId="50" fillId="16" borderId="78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31" fillId="8" borderId="23" xfId="0" applyFont="1" applyFill="1" applyBorder="1" applyAlignment="1">
      <alignment horizontal="center"/>
    </xf>
    <xf numFmtId="167" fontId="24" fillId="3" borderId="0" xfId="19" applyNumberFormat="1" applyFont="1" applyBorder="1" applyAlignment="1">
      <alignment horizontal="right" wrapText="1"/>
    </xf>
    <xf numFmtId="167" fontId="24" fillId="3" borderId="215" xfId="19" applyNumberFormat="1" applyFont="1" applyBorder="1" applyAlignment="1">
      <alignment horizontal="right" wrapText="1"/>
    </xf>
    <xf numFmtId="0" fontId="32" fillId="0" borderId="24" xfId="0" applyFont="1" applyFill="1" applyBorder="1" applyAlignment="1">
      <alignment horizontal="right"/>
    </xf>
    <xf numFmtId="0" fontId="32" fillId="0" borderId="15" xfId="0" applyFont="1" applyFill="1" applyBorder="1" applyAlignment="1">
      <alignment horizontal="right"/>
    </xf>
    <xf numFmtId="182" fontId="18" fillId="0" borderId="2" xfId="0" applyNumberFormat="1" applyFont="1" applyFill="1" applyBorder="1" applyAlignment="1" applyProtection="1">
      <alignment horizontal="center" wrapText="1"/>
      <protection locked="0"/>
    </xf>
    <xf numFmtId="10" fontId="34" fillId="0" borderId="26" xfId="11" applyNumberFormat="1" applyFont="1" applyFill="1" applyBorder="1" applyAlignment="1">
      <alignment horizontal="center"/>
    </xf>
    <xf numFmtId="10" fontId="34" fillId="0" borderId="7" xfId="11" applyNumberFormat="1" applyFont="1" applyFill="1" applyBorder="1" applyAlignment="1">
      <alignment horizontal="center"/>
    </xf>
    <xf numFmtId="182" fontId="18" fillId="0" borderId="1" xfId="0" applyNumberFormat="1" applyFont="1" applyFill="1" applyBorder="1" applyAlignment="1" applyProtection="1">
      <alignment horizontal="center" wrapText="1"/>
      <protection locked="0"/>
    </xf>
    <xf numFmtId="0" fontId="32" fillId="0" borderId="2" xfId="0" applyFont="1" applyFill="1" applyBorder="1" applyAlignment="1">
      <alignment horizontal="right"/>
    </xf>
    <xf numFmtId="10" fontId="34" fillId="5" borderId="26" xfId="11" applyNumberFormat="1" applyFont="1" applyFill="1" applyBorder="1" applyAlignment="1">
      <alignment horizontal="center"/>
    </xf>
    <xf numFmtId="10" fontId="34" fillId="5" borderId="7" xfId="11" applyNumberFormat="1" applyFont="1" applyFill="1" applyBorder="1" applyAlignment="1">
      <alignment horizontal="center"/>
    </xf>
    <xf numFmtId="168" fontId="9" fillId="4" borderId="0" xfId="0" applyNumberFormat="1" applyFont="1" applyFill="1" applyAlignment="1">
      <alignment horizontal="left"/>
    </xf>
    <xf numFmtId="0" fontId="5" fillId="0" borderId="0" xfId="0" applyFont="1" applyFill="1" applyAlignment="1">
      <alignment horizontal="left"/>
    </xf>
    <xf numFmtId="0" fontId="22" fillId="4" borderId="1" xfId="0" applyFont="1" applyFill="1" applyBorder="1" applyAlignment="1">
      <alignment horizontal="center"/>
    </xf>
    <xf numFmtId="0" fontId="14" fillId="4" borderId="4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horizontal="left" wrapText="1"/>
    </xf>
    <xf numFmtId="0" fontId="5" fillId="0" borderId="0" xfId="0" applyFont="1" applyFill="1" applyAlignment="1"/>
    <xf numFmtId="0" fontId="5" fillId="0" borderId="2" xfId="0" applyFont="1" applyFill="1" applyBorder="1" applyAlignment="1">
      <alignment wrapText="1"/>
    </xf>
    <xf numFmtId="0" fontId="32" fillId="38" borderId="0" xfId="0" applyFont="1" applyFill="1" applyBorder="1" applyAlignment="1">
      <alignment horizontal="left"/>
    </xf>
    <xf numFmtId="0" fontId="28" fillId="38" borderId="0" xfId="0" applyFont="1" applyFill="1"/>
    <xf numFmtId="0" fontId="34" fillId="0" borderId="21" xfId="0" applyFont="1" applyFill="1" applyBorder="1" applyAlignment="1">
      <alignment horizontal="center"/>
    </xf>
    <xf numFmtId="0" fontId="34" fillId="0" borderId="21" xfId="0" applyFont="1" applyFill="1" applyBorder="1" applyAlignment="1">
      <alignment horizontal="left"/>
    </xf>
  </cellXfs>
  <cellStyles count="21">
    <cellStyle name="?a?????" xfId="3"/>
    <cellStyle name="Buena 2" xfId="4"/>
    <cellStyle name="Bueno" xfId="1" builtinId="26"/>
    <cellStyle name="Énfasis1 2" xfId="2"/>
    <cellStyle name="Énfasis1 2 2" xfId="13"/>
    <cellStyle name="Énfasis1 2 2 2" xfId="19"/>
    <cellStyle name="Énfasis1 2 3" xfId="15"/>
    <cellStyle name="Énfasis1 2 5" xfId="12"/>
    <cellStyle name="Énfasis1 2 5 2" xfId="14"/>
    <cellStyle name="Énfasis1 2 5 3" xfId="16"/>
    <cellStyle name="Énfasis1 2 5 4" xfId="18"/>
    <cellStyle name="Estilo Prueba" xfId="5"/>
    <cellStyle name="Hipervínculo" xfId="17" builtinId="8"/>
    <cellStyle name="Hipervínculo 2" xfId="6"/>
    <cellStyle name="Millares" xfId="10" builtinId="3"/>
    <cellStyle name="Millares 2" xfId="20"/>
    <cellStyle name="Normal" xfId="0" builtinId="0"/>
    <cellStyle name="Normal 2" xfId="7"/>
    <cellStyle name="Normal 3" xfId="8"/>
    <cellStyle name="Normal 4" xfId="9"/>
    <cellStyle name="Porcentaje" xfId="11" builtinId="5"/>
  </cellStyles>
  <dxfs count="913"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333333"/>
      </font>
      <fill>
        <patternFill>
          <bgColor rgb="FFFFFF9B"/>
        </patternFill>
      </fill>
    </dxf>
    <dxf>
      <font>
        <color rgb="FF333333"/>
      </font>
      <fill>
        <patternFill>
          <bgColor rgb="FFD4ECBA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ndense val="0"/>
        <extend val="0"/>
        <color rgb="FF006100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 patternType="none">
          <bgColor auto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color rgb="FFF86270"/>
      </font>
    </dxf>
    <dxf>
      <font>
        <color rgb="FFF86270"/>
      </font>
    </dxf>
    <dxf>
      <font>
        <color rgb="FF00B05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8DB4E2"/>
      </font>
      <fill>
        <patternFill patternType="solid">
          <bgColor theme="1"/>
        </patternFill>
      </fill>
      <border>
        <left style="thin">
          <color theme="1" tint="0.14996795556505021"/>
        </left>
        <right style="thin">
          <color theme="1" tint="0.14996795556505021"/>
        </right>
        <top/>
        <bottom style="thin">
          <color theme="1" tint="0.14996795556505021"/>
        </bottom>
      </border>
    </dxf>
    <dxf>
      <font>
        <b/>
        <i val="0"/>
        <color theme="1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86270"/>
      </font>
    </dxf>
    <dxf>
      <fill>
        <patternFill>
          <bgColor theme="3" tint="0.59996337778862885"/>
        </patternFill>
      </fill>
    </dxf>
    <dxf>
      <font>
        <b/>
        <i val="0"/>
        <color rgb="FF008AEF"/>
      </font>
    </dxf>
    <dxf>
      <font>
        <b/>
        <i val="0"/>
        <color theme="9" tint="-0.24994659260841701"/>
      </font>
    </dxf>
    <dxf>
      <font>
        <b/>
        <i val="0"/>
        <color rgb="FF07101B"/>
      </font>
    </dxf>
    <dxf>
      <font>
        <color rgb="FFF86270"/>
      </font>
    </dxf>
    <dxf>
      <font>
        <color rgb="FF00B050"/>
      </font>
    </dxf>
    <dxf>
      <font>
        <color rgb="FFF86270"/>
      </font>
    </dxf>
    <dxf>
      <font>
        <color rgb="FF00B05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/>
        <i val="0"/>
        <color theme="0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theme="0"/>
      </font>
      <fill>
        <patternFill>
          <fgColor rgb="FF0B1B2F"/>
          <bgColor rgb="FF0B1B2F"/>
        </patternFill>
      </fill>
    </dxf>
    <dxf>
      <font>
        <b/>
        <i val="0"/>
        <color theme="0"/>
      </font>
      <fill>
        <patternFill>
          <bgColor rgb="FF58000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8DB4E2"/>
      </font>
      <fill>
        <patternFill patternType="solid">
          <bgColor theme="1"/>
        </patternFill>
      </fill>
      <border>
        <left/>
        <right style="thin">
          <color theme="1" tint="0.14996795556505021"/>
        </right>
        <top/>
        <bottom style="thin">
          <color theme="1" tint="0.14996795556505021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 val="0"/>
        <i val="0"/>
        <color rgb="FFF86270"/>
      </font>
    </dxf>
    <dxf>
      <font>
        <b val="0"/>
        <i val="0"/>
        <color rgb="FF00D661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3" tint="0.39994506668294322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color rgb="FF00D661"/>
      </font>
    </dxf>
    <dxf>
      <font>
        <color rgb="FFF86270"/>
      </font>
    </dxf>
    <dxf>
      <font>
        <b val="0"/>
        <i val="0"/>
        <color rgb="FF538ED5"/>
      </font>
    </dxf>
    <dxf>
      <font>
        <b/>
        <i val="0"/>
        <color rgb="FF07101B"/>
      </font>
    </dxf>
    <dxf>
      <font>
        <b/>
        <i val="0"/>
        <color rgb="FFF86270"/>
      </font>
    </dxf>
    <dxf>
      <font>
        <b/>
        <i val="0"/>
        <color rgb="FF00D661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strike val="0"/>
        <color rgb="FF00D661"/>
      </font>
    </dxf>
    <dxf>
      <font>
        <b/>
        <i val="0"/>
        <color rgb="FFF86270"/>
      </font>
    </dxf>
    <dxf>
      <font>
        <b/>
        <i val="0"/>
        <color rgb="FF538ED5"/>
      </font>
    </dxf>
    <dxf>
      <font>
        <b/>
        <i val="0"/>
        <strike val="0"/>
        <color rgb="FF00D661"/>
      </font>
    </dxf>
    <dxf>
      <font>
        <b/>
        <i val="0"/>
        <color rgb="FFF86270"/>
      </font>
    </dxf>
    <dxf>
      <font>
        <b/>
        <i val="0"/>
        <color rgb="FF538ED5"/>
      </font>
    </dxf>
    <dxf>
      <font>
        <b/>
        <i val="0"/>
        <color theme="3" tint="0.39994506668294322"/>
      </font>
    </dxf>
    <dxf>
      <font>
        <b/>
        <i val="0"/>
        <color rgb="FFF86270"/>
      </font>
    </dxf>
    <dxf>
      <font>
        <b/>
        <i val="0"/>
        <color rgb="FF00D661"/>
      </font>
    </dxf>
    <dxf>
      <border>
        <bottom style="medium">
          <color theme="4"/>
        </bottom>
      </border>
    </dxf>
    <dxf>
      <border>
        <bottom style="medium">
          <color theme="4"/>
        </bottom>
      </border>
    </dxf>
    <dxf>
      <border>
        <bottom style="medium">
          <color theme="4"/>
        </bottom>
      </border>
    </dxf>
    <dxf>
      <border>
        <bottom style="medium">
          <color theme="4"/>
        </bottom>
        <horizontal/>
      </border>
    </dxf>
    <dxf>
      <fill>
        <patternFill patternType="none">
          <bgColor auto="1"/>
        </patternFill>
      </fill>
      <border diagonalUp="0" diagonalDown="0">
        <left/>
        <right/>
        <top/>
        <bottom/>
        <vertical style="thin">
          <color theme="3" tint="0.79998168889431442"/>
        </vertical>
        <horizontal style="thin">
          <color theme="3" tint="0.79998168889431442"/>
        </horizontal>
      </border>
    </dxf>
  </dxfs>
  <tableStyles count="2" defaultTableStyle="TableStyleMedium9" defaultPivotStyle="Estilo de tabla dinámica 2">
    <tableStyle name="Estilo de tabla dinámica 1" table="0" count="0"/>
    <tableStyle name="Estilo de tabla dinámica 2" table="0" count="5">
      <tableStyleElement type="wholeTable" dxfId="912"/>
      <tableStyleElement type="headerRow" dxfId="911"/>
      <tableStyleElement type="firstRowStripe" dxfId="910"/>
      <tableStyleElement type="pageFieldLabels" dxfId="909"/>
      <tableStyleElement type="pageFieldValues" dxfId="908"/>
    </tableStyle>
  </tableStyles>
  <colors>
    <mruColors>
      <color rgb="FF8DB4E2"/>
      <color rgb="FFF6F6A0"/>
      <color rgb="FF0B1B2F"/>
      <color rgb="FF580000"/>
      <color rgb="FFFABF8F"/>
      <color rgb="FF808080"/>
      <color rgb="FF0939D1"/>
      <color rgb="FF07101B"/>
      <color rgb="FF538ED5"/>
      <color rgb="FFF862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lang="es-ES" sz="1200" b="0">
                <a:solidFill>
                  <a:schemeClr val="bg1"/>
                </a:solidFill>
                <a:latin typeface="Arial" pitchFamily="34" charset="0"/>
                <a:cs typeface="Arial" pitchFamily="34" charset="0"/>
              </a:defRPr>
            </a:pPr>
            <a:r>
              <a:rPr lang="es-AR" sz="1200"/>
              <a:t>Resultados de la Cartera </a:t>
            </a:r>
          </a:p>
        </c:rich>
      </c:tx>
      <c:layout>
        <c:manualLayout>
          <c:xMode val="edge"/>
          <c:yMode val="edge"/>
          <c:x val="0.11453015111078597"/>
          <c:y val="2.808425066269701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973278555020069"/>
          <c:y val="0.11517608806362579"/>
          <c:w val="0.8555016938218506"/>
          <c:h val="0.80418211503089676"/>
        </c:manualLayout>
      </c:layout>
      <c:lineChart>
        <c:grouping val="standard"/>
        <c:varyColors val="0"/>
        <c:ser>
          <c:idx val="0"/>
          <c:order val="0"/>
          <c:tx>
            <c:v>A vencimiento</c:v>
          </c:tx>
          <c:spPr>
            <a:ln>
              <a:solidFill>
                <a:srgbClr val="00B05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GGAL!$IH$7:$IH$47</c:f>
              <c:strCache>
                <c:ptCount val="31"/>
                <c:pt idx="0">
                  <c:v>-37,04</c:v>
                </c:pt>
                <c:pt idx="1">
                  <c:v>-35,61</c:v>
                </c:pt>
                <c:pt idx="2">
                  <c:v>-33,22</c:v>
                </c:pt>
                <c:pt idx="3">
                  <c:v>-30,84</c:v>
                </c:pt>
                <c:pt idx="4">
                  <c:v>-28,45</c:v>
                </c:pt>
                <c:pt idx="5">
                  <c:v>-26,07</c:v>
                </c:pt>
                <c:pt idx="6">
                  <c:v>-23,68</c:v>
                </c:pt>
                <c:pt idx="7">
                  <c:v>-21,30</c:v>
                </c:pt>
                <c:pt idx="8">
                  <c:v>-18,91</c:v>
                </c:pt>
                <c:pt idx="9">
                  <c:v>-16,53</c:v>
                </c:pt>
                <c:pt idx="10">
                  <c:v>-14,14</c:v>
                </c:pt>
                <c:pt idx="11">
                  <c:v>-11,76</c:v>
                </c:pt>
                <c:pt idx="12">
                  <c:v>-9,37</c:v>
                </c:pt>
                <c:pt idx="13">
                  <c:v>-6,99</c:v>
                </c:pt>
                <c:pt idx="14">
                  <c:v>-4,60</c:v>
                </c:pt>
                <c:pt idx="15">
                  <c:v>0,17</c:v>
                </c:pt>
                <c:pt idx="16">
                  <c:v>4,94</c:v>
                </c:pt>
                <c:pt idx="17">
                  <c:v>9,71</c:v>
                </c:pt>
                <c:pt idx="18">
                  <c:v>14,48</c:v>
                </c:pt>
                <c:pt idx="19">
                  <c:v>19,25</c:v>
                </c:pt>
                <c:pt idx="20">
                  <c:v>24,02</c:v>
                </c:pt>
                <c:pt idx="21">
                  <c:v>28,79</c:v>
                </c:pt>
                <c:pt idx="22">
                  <c:v>33,56</c:v>
                </c:pt>
                <c:pt idx="23">
                  <c:v>38,33</c:v>
                </c:pt>
                <c:pt idx="24">
                  <c:v>43,10</c:v>
                </c:pt>
                <c:pt idx="25">
                  <c:v>47,87</c:v>
                </c:pt>
                <c:pt idx="26">
                  <c:v>52,64</c:v>
                </c:pt>
                <c:pt idx="27">
                  <c:v>57,41</c:v>
                </c:pt>
                <c:pt idx="28">
                  <c:v>62,18</c:v>
                </c:pt>
                <c:pt idx="29">
                  <c:v>66,94</c:v>
                </c:pt>
                <c:pt idx="30">
                  <c:v>71,71</c:v>
                </c:pt>
              </c:strCache>
            </c:strRef>
          </c:cat>
          <c:val>
            <c:numRef>
              <c:f>GGAL!$IN$7:$IN$47</c:f>
              <c:numCache>
                <c:formatCode>_ "$"\ * #,##0_ ;_ "$"\ * \-#,##0_ ;_ "$"\ * "-"??_ ;_ @_ </c:formatCode>
                <c:ptCount val="41"/>
                <c:pt idx="0">
                  <c:v>-46515.23875000004</c:v>
                </c:pt>
                <c:pt idx="1">
                  <c:v>-46515.23875000004</c:v>
                </c:pt>
                <c:pt idx="2">
                  <c:v>-46515.23875000004</c:v>
                </c:pt>
                <c:pt idx="3">
                  <c:v>-46515.23875000004</c:v>
                </c:pt>
                <c:pt idx="4">
                  <c:v>-46515.23875000004</c:v>
                </c:pt>
                <c:pt idx="5">
                  <c:v>-46515.23875000004</c:v>
                </c:pt>
                <c:pt idx="6">
                  <c:v>-46515.23875000004</c:v>
                </c:pt>
                <c:pt idx="7">
                  <c:v>-46515.23875000004</c:v>
                </c:pt>
                <c:pt idx="8">
                  <c:v>-46515.23875000004</c:v>
                </c:pt>
                <c:pt idx="9">
                  <c:v>-46515.23875000004</c:v>
                </c:pt>
                <c:pt idx="10">
                  <c:v>-46515.23875000004</c:v>
                </c:pt>
                <c:pt idx="11">
                  <c:v>-46515.23875000004</c:v>
                </c:pt>
                <c:pt idx="12">
                  <c:v>-21515.23875000004</c:v>
                </c:pt>
                <c:pt idx="13">
                  <c:v>3484.7612499999595</c:v>
                </c:pt>
                <c:pt idx="14">
                  <c:v>28484.76124999996</c:v>
                </c:pt>
                <c:pt idx="15">
                  <c:v>78484.761249999952</c:v>
                </c:pt>
                <c:pt idx="16">
                  <c:v>78484.761249999952</c:v>
                </c:pt>
                <c:pt idx="17">
                  <c:v>78484.761249999952</c:v>
                </c:pt>
                <c:pt idx="18">
                  <c:v>78484.761249999952</c:v>
                </c:pt>
                <c:pt idx="19">
                  <c:v>78484.761249999952</c:v>
                </c:pt>
                <c:pt idx="20">
                  <c:v>53484.76124999996</c:v>
                </c:pt>
                <c:pt idx="21">
                  <c:v>28484.76124999996</c:v>
                </c:pt>
                <c:pt idx="22">
                  <c:v>3484.7612499999595</c:v>
                </c:pt>
                <c:pt idx="23">
                  <c:v>-21515.23875000004</c:v>
                </c:pt>
                <c:pt idx="24">
                  <c:v>-46515.23875000004</c:v>
                </c:pt>
                <c:pt idx="25">
                  <c:v>-71515.238750000048</c:v>
                </c:pt>
                <c:pt idx="26">
                  <c:v>-96515.238750000048</c:v>
                </c:pt>
                <c:pt idx="27">
                  <c:v>-121515.23875000005</c:v>
                </c:pt>
                <c:pt idx="28">
                  <c:v>-146515.23875000005</c:v>
                </c:pt>
                <c:pt idx="29">
                  <c:v>-171515.23875000005</c:v>
                </c:pt>
                <c:pt idx="30">
                  <c:v>-196515.23875000005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B4-43B9-9C9E-375288689191}"/>
            </c:ext>
          </c:extLst>
        </c:ser>
        <c:ser>
          <c:idx val="1"/>
          <c:order val="1"/>
          <c:tx>
            <c:v>Prueba</c:v>
          </c:tx>
          <c:spPr>
            <a:ln w="31750">
              <a:solidFill>
                <a:srgbClr val="376092"/>
              </a:solidFill>
            </a:ln>
          </c:spPr>
          <c:marker>
            <c:symbol val="none"/>
          </c:marker>
          <c:cat>
            <c:strRef>
              <c:f>GGAL!$IH$7:$IH$47</c:f>
              <c:strCache>
                <c:ptCount val="31"/>
                <c:pt idx="0">
                  <c:v>-37,04</c:v>
                </c:pt>
                <c:pt idx="1">
                  <c:v>-35,61</c:v>
                </c:pt>
                <c:pt idx="2">
                  <c:v>-33,22</c:v>
                </c:pt>
                <c:pt idx="3">
                  <c:v>-30,84</c:v>
                </c:pt>
                <c:pt idx="4">
                  <c:v>-28,45</c:v>
                </c:pt>
                <c:pt idx="5">
                  <c:v>-26,07</c:v>
                </c:pt>
                <c:pt idx="6">
                  <c:v>-23,68</c:v>
                </c:pt>
                <c:pt idx="7">
                  <c:v>-21,30</c:v>
                </c:pt>
                <c:pt idx="8">
                  <c:v>-18,91</c:v>
                </c:pt>
                <c:pt idx="9">
                  <c:v>-16,53</c:v>
                </c:pt>
                <c:pt idx="10">
                  <c:v>-14,14</c:v>
                </c:pt>
                <c:pt idx="11">
                  <c:v>-11,76</c:v>
                </c:pt>
                <c:pt idx="12">
                  <c:v>-9,37</c:v>
                </c:pt>
                <c:pt idx="13">
                  <c:v>-6,99</c:v>
                </c:pt>
                <c:pt idx="14">
                  <c:v>-4,60</c:v>
                </c:pt>
                <c:pt idx="15">
                  <c:v>0,17</c:v>
                </c:pt>
                <c:pt idx="16">
                  <c:v>4,94</c:v>
                </c:pt>
                <c:pt idx="17">
                  <c:v>9,71</c:v>
                </c:pt>
                <c:pt idx="18">
                  <c:v>14,48</c:v>
                </c:pt>
                <c:pt idx="19">
                  <c:v>19,25</c:v>
                </c:pt>
                <c:pt idx="20">
                  <c:v>24,02</c:v>
                </c:pt>
                <c:pt idx="21">
                  <c:v>28,79</c:v>
                </c:pt>
                <c:pt idx="22">
                  <c:v>33,56</c:v>
                </c:pt>
                <c:pt idx="23">
                  <c:v>38,33</c:v>
                </c:pt>
                <c:pt idx="24">
                  <c:v>43,10</c:v>
                </c:pt>
                <c:pt idx="25">
                  <c:v>47,87</c:v>
                </c:pt>
                <c:pt idx="26">
                  <c:v>52,64</c:v>
                </c:pt>
                <c:pt idx="27">
                  <c:v>57,41</c:v>
                </c:pt>
                <c:pt idx="28">
                  <c:v>62,18</c:v>
                </c:pt>
                <c:pt idx="29">
                  <c:v>66,94</c:v>
                </c:pt>
                <c:pt idx="30">
                  <c:v>71,71</c:v>
                </c:pt>
              </c:strCache>
            </c:strRef>
          </c:cat>
          <c:val>
            <c:numRef>
              <c:f>GGAL!$II$56:$II$96</c:f>
              <c:numCache>
                <c:formatCode>_ "$"\ * #,##0_ ;_ "$"\ * \-#,##0_ ;_ "$"\ * "-"??_ ;_ @_ 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B4-43B9-9C9E-375288689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695680"/>
        <c:axId val="128709760"/>
      </c:lineChart>
      <c:catAx>
        <c:axId val="128695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 sz="700">
                <a:solidFill>
                  <a:schemeClr val="bg1"/>
                </a:solidFill>
                <a:latin typeface="Arial" pitchFamily="34" charset="0"/>
                <a:cs typeface="Arial" pitchFamily="34" charset="0"/>
              </a:defRPr>
            </a:pPr>
            <a:endParaRPr lang="es-AR"/>
          </a:p>
        </c:txPr>
        <c:crossAx val="128709760"/>
        <c:crosses val="autoZero"/>
        <c:auto val="1"/>
        <c:lblAlgn val="ctr"/>
        <c:lblOffset val="100"/>
        <c:noMultiLvlLbl val="0"/>
      </c:catAx>
      <c:valAx>
        <c:axId val="12870976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lumMod val="75000"/>
                  <a:lumOff val="25000"/>
                </a:sysClr>
              </a:solidFill>
            </a:ln>
          </c:spPr>
        </c:majorGridlines>
        <c:numFmt formatCode="_ &quot;$&quot;\ * #,##0_ ;_ &quot;$&quot;\ * \-#,##0_ ;_ &quot;$&quot;\ * &quot;-&quot;??_ ;_ @_ " sourceLinked="1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lang="es-ES" sz="800" b="0">
                <a:solidFill>
                  <a:schemeClr val="accent1"/>
                </a:solidFill>
                <a:latin typeface="Arial" pitchFamily="34" charset="0"/>
                <a:cs typeface="Arial" pitchFamily="34" charset="0"/>
              </a:defRPr>
            </a:pPr>
            <a:endParaRPr lang="es-AR"/>
          </a:p>
        </c:txPr>
        <c:crossAx val="128695680"/>
        <c:crosses val="autoZero"/>
        <c:crossBetween val="between"/>
      </c:valAx>
      <c:spPr>
        <a:solidFill>
          <a:srgbClr val="07101B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layout>
        <c:manualLayout>
          <c:xMode val="edge"/>
          <c:yMode val="edge"/>
          <c:x val="0.67210125064235327"/>
          <c:y val="1.1261630443333961E-2"/>
          <c:w val="0.15948631406119751"/>
          <c:h val="9.8684487675677723E-2"/>
        </c:manualLayout>
      </c:layout>
      <c:overlay val="0"/>
      <c:txPr>
        <a:bodyPr/>
        <a:lstStyle/>
        <a:p>
          <a:pPr>
            <a:defRPr lang="es-ES" sz="700">
              <a:solidFill>
                <a:schemeClr val="bg1"/>
              </a:solidFill>
              <a:latin typeface="Arial" pitchFamily="34" charset="0"/>
              <a:cs typeface="Arial" pitchFamily="34" charset="0"/>
            </a:defRPr>
          </a:pPr>
          <a:endParaRPr lang="es-AR"/>
        </a:p>
      </c:txPr>
    </c:legend>
    <c:plotVisOnly val="0"/>
    <c:dispBlanksAs val="span"/>
    <c:showDLblsOverMax val="0"/>
  </c:chart>
  <c:spPr>
    <a:solidFill>
      <a:sysClr val="windowText" lastClr="000000"/>
    </a:solidFill>
    <a:ln w="25400" cap="rnd">
      <a:solidFill>
        <a:srgbClr val="0070C0"/>
      </a:solidFill>
    </a:ln>
  </c:sp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3.387676628340875E-2"/>
          <c:y val="0"/>
          <c:w val="0.99290200489641856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numRef>
              <c:f>GGAL!$AE$7:$AE$26</c:f>
              <c:numCache>
                <c:formatCode>0</c:formatCode>
                <c:ptCount val="20"/>
                <c:pt idx="0">
                  <c:v>132</c:v>
                </c:pt>
                <c:pt idx="1">
                  <c:v>135</c:v>
                </c:pt>
                <c:pt idx="2">
                  <c:v>140</c:v>
                </c:pt>
                <c:pt idx="3">
                  <c:v>145</c:v>
                </c:pt>
                <c:pt idx="4">
                  <c:v>150</c:v>
                </c:pt>
                <c:pt idx="5">
                  <c:v>155</c:v>
                </c:pt>
                <c:pt idx="6">
                  <c:v>160</c:v>
                </c:pt>
                <c:pt idx="7">
                  <c:v>165</c:v>
                </c:pt>
                <c:pt idx="8">
                  <c:v>170</c:v>
                </c:pt>
                <c:pt idx="9">
                  <c:v>175</c:v>
                </c:pt>
                <c:pt idx="10">
                  <c:v>180</c:v>
                </c:pt>
                <c:pt idx="11">
                  <c:v>185</c:v>
                </c:pt>
                <c:pt idx="12">
                  <c:v>190</c:v>
                </c:pt>
                <c:pt idx="13">
                  <c:v>195</c:v>
                </c:pt>
                <c:pt idx="14">
                  <c:v>200</c:v>
                </c:pt>
                <c:pt idx="15">
                  <c:v>210</c:v>
                </c:pt>
                <c:pt idx="16">
                  <c:v>220</c:v>
                </c:pt>
                <c:pt idx="17">
                  <c:v>230</c:v>
                </c:pt>
                <c:pt idx="18">
                  <c:v>240</c:v>
                </c:pt>
                <c:pt idx="19">
                  <c:v>250</c:v>
                </c:pt>
              </c:numCache>
            </c:numRef>
          </c:cat>
          <c:val>
            <c:numRef>
              <c:f>GGAL!$EN$7:$EN$47</c:f>
              <c:numCache>
                <c:formatCode>_ * #,##0.00_ ;_ * \-#,##0.00_ ;_ * "-"??_ ;_ @_ </c:formatCode>
                <c:ptCount val="41"/>
                <c:pt idx="0">
                  <c:v>3.814697265625E-3</c:v>
                </c:pt>
                <c:pt idx="1">
                  <c:v>3.814697265625E-3</c:v>
                </c:pt>
                <c:pt idx="2">
                  <c:v>3.814697265625E-3</c:v>
                </c:pt>
                <c:pt idx="3">
                  <c:v>3.814697265625E-3</c:v>
                </c:pt>
                <c:pt idx="4">
                  <c:v>3.814697265625E-3</c:v>
                </c:pt>
                <c:pt idx="5">
                  <c:v>3.814697265625E-3</c:v>
                </c:pt>
                <c:pt idx="6">
                  <c:v>3.814697265625E-3</c:v>
                </c:pt>
                <c:pt idx="7">
                  <c:v>3.814697265625E-3</c:v>
                </c:pt>
                <c:pt idx="8">
                  <c:v>3.814697265625E-3</c:v>
                </c:pt>
                <c:pt idx="9">
                  <c:v>3.814697265625E-3</c:v>
                </c:pt>
                <c:pt idx="10">
                  <c:v>3.814697265625E-3</c:v>
                </c:pt>
                <c:pt idx="11">
                  <c:v>26.195526123046875</c:v>
                </c:pt>
                <c:pt idx="12">
                  <c:v>45.772552490234375</c:v>
                </c:pt>
                <c:pt idx="13">
                  <c:v>44.055938720703125</c:v>
                </c:pt>
                <c:pt idx="14">
                  <c:v>42.140960693359375</c:v>
                </c:pt>
                <c:pt idx="15">
                  <c:v>44.445037841796875</c:v>
                </c:pt>
                <c:pt idx="16">
                  <c:v>46.413421630859375</c:v>
                </c:pt>
                <c:pt idx="17">
                  <c:v>45.734405517578125</c:v>
                </c:pt>
                <c:pt idx="18">
                  <c:v>45.497894287109375</c:v>
                </c:pt>
                <c:pt idx="19">
                  <c:v>46.077728271484375</c:v>
                </c:pt>
                <c:pt idx="20">
                  <c:v>46.405792236328125</c:v>
                </c:pt>
                <c:pt idx="21">
                  <c:v>46.680450439453125</c:v>
                </c:pt>
                <c:pt idx="22">
                  <c:v>47.397613525390625</c:v>
                </c:pt>
                <c:pt idx="23">
                  <c:v>47.702789306640625</c:v>
                </c:pt>
                <c:pt idx="24">
                  <c:v>48.397064208984375</c:v>
                </c:pt>
                <c:pt idx="25">
                  <c:v>49.091339111328125</c:v>
                </c:pt>
                <c:pt idx="26">
                  <c:v>45.047760009765625</c:v>
                </c:pt>
                <c:pt idx="27">
                  <c:v>51.929473876953125</c:v>
                </c:pt>
                <c:pt idx="28">
                  <c:v>51.784515380859375</c:v>
                </c:pt>
                <c:pt idx="29">
                  <c:v>54.332733154296875</c:v>
                </c:pt>
                <c:pt idx="30">
                  <c:v>55.828094482421875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C2-4723-B0DD-69601D92E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882176"/>
        <c:axId val="128883712"/>
      </c:barChart>
      <c:catAx>
        <c:axId val="128882176"/>
        <c:scaling>
          <c:orientation val="maxMin"/>
        </c:scaling>
        <c:delete val="0"/>
        <c:axPos val="l"/>
        <c:numFmt formatCode="0" sourceLinked="1"/>
        <c:majorTickMark val="out"/>
        <c:minorTickMark val="none"/>
        <c:tickLblPos val="none"/>
        <c:txPr>
          <a:bodyPr/>
          <a:lstStyle/>
          <a:p>
            <a:pPr>
              <a:defRPr lang="es-ES" sz="700">
                <a:solidFill>
                  <a:schemeClr val="bg1"/>
                </a:solidFill>
                <a:latin typeface="Arial" pitchFamily="34" charset="0"/>
                <a:cs typeface="Arial" pitchFamily="34" charset="0"/>
              </a:defRPr>
            </a:pPr>
            <a:endParaRPr lang="es-AR"/>
          </a:p>
        </c:txPr>
        <c:crossAx val="128883712"/>
        <c:crosses val="autoZero"/>
        <c:auto val="1"/>
        <c:lblAlgn val="ctr"/>
        <c:lblOffset val="100"/>
        <c:noMultiLvlLbl val="0"/>
      </c:catAx>
      <c:valAx>
        <c:axId val="128883712"/>
        <c:scaling>
          <c:orientation val="minMax"/>
          <c:max val="60"/>
          <c:min val="30"/>
        </c:scaling>
        <c:delete val="0"/>
        <c:axPos val="t"/>
        <c:majorGridlines>
          <c:spPr>
            <a:ln>
              <a:solidFill>
                <a:sysClr val="windowText" lastClr="000000">
                  <a:lumMod val="75000"/>
                  <a:lumOff val="25000"/>
                </a:sysClr>
              </a:solidFill>
            </a:ln>
          </c:spPr>
        </c:majorGridlines>
        <c:numFmt formatCode="_ * #,##0.00_ ;_ * \-#,##0.00_ ;_ * &quot;-&quot;??_ ;_ @_ " sourceLinked="1"/>
        <c:majorTickMark val="out"/>
        <c:minorTickMark val="none"/>
        <c:tickLblPos val="none"/>
        <c:spPr>
          <a:effectLst/>
        </c:spPr>
        <c:txPr>
          <a:bodyPr/>
          <a:lstStyle/>
          <a:p>
            <a:pPr>
              <a:defRPr lang="es-ES" sz="800" b="0">
                <a:solidFill>
                  <a:schemeClr val="accent1"/>
                </a:solidFill>
                <a:latin typeface="Arial" pitchFamily="34" charset="0"/>
                <a:cs typeface="Arial" pitchFamily="34" charset="0"/>
              </a:defRPr>
            </a:pPr>
            <a:endParaRPr lang="es-AR"/>
          </a:p>
        </c:txPr>
        <c:crossAx val="128882176"/>
        <c:crosses val="autoZero"/>
        <c:crossBetween val="between"/>
      </c:valAx>
      <c:spPr>
        <a:solidFill>
          <a:srgbClr val="07101B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span"/>
    <c:showDLblsOverMax val="0"/>
  </c:chart>
  <c:spPr>
    <a:solidFill>
      <a:sysClr val="windowText" lastClr="000000"/>
    </a:solidFill>
    <a:ln w="25400" cap="rnd">
      <a:solidFill>
        <a:srgbClr val="0070C0"/>
      </a:solidFill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3.387676628340875E-2"/>
          <c:y val="0"/>
          <c:w val="0.99290200489641856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numRef>
              <c:f>GGAL!$AE$7:$AE$26</c:f>
              <c:numCache>
                <c:formatCode>0</c:formatCode>
                <c:ptCount val="20"/>
                <c:pt idx="0">
                  <c:v>132</c:v>
                </c:pt>
                <c:pt idx="1">
                  <c:v>135</c:v>
                </c:pt>
                <c:pt idx="2">
                  <c:v>140</c:v>
                </c:pt>
                <c:pt idx="3">
                  <c:v>145</c:v>
                </c:pt>
                <c:pt idx="4">
                  <c:v>150</c:v>
                </c:pt>
                <c:pt idx="5">
                  <c:v>155</c:v>
                </c:pt>
                <c:pt idx="6">
                  <c:v>160</c:v>
                </c:pt>
                <c:pt idx="7">
                  <c:v>165</c:v>
                </c:pt>
                <c:pt idx="8">
                  <c:v>170</c:v>
                </c:pt>
                <c:pt idx="9">
                  <c:v>175</c:v>
                </c:pt>
                <c:pt idx="10">
                  <c:v>180</c:v>
                </c:pt>
                <c:pt idx="11">
                  <c:v>185</c:v>
                </c:pt>
                <c:pt idx="12">
                  <c:v>190</c:v>
                </c:pt>
                <c:pt idx="13">
                  <c:v>195</c:v>
                </c:pt>
                <c:pt idx="14">
                  <c:v>200</c:v>
                </c:pt>
                <c:pt idx="15">
                  <c:v>210</c:v>
                </c:pt>
                <c:pt idx="16">
                  <c:v>220</c:v>
                </c:pt>
                <c:pt idx="17">
                  <c:v>230</c:v>
                </c:pt>
                <c:pt idx="18">
                  <c:v>240</c:v>
                </c:pt>
                <c:pt idx="19">
                  <c:v>250</c:v>
                </c:pt>
              </c:numCache>
            </c:numRef>
          </c:cat>
          <c:val>
            <c:numRef>
              <c:f>GGAL!$FI$7:$FI$47</c:f>
              <c:numCache>
                <c:formatCode>_ * #,##0.00_ ;_ * \-#,##0.00_ ;_ * "-"??_ ;_ @_ </c:formatCode>
                <c:ptCount val="41"/>
                <c:pt idx="0">
                  <c:v>61.954498291015625</c:v>
                </c:pt>
                <c:pt idx="1">
                  <c:v>60.581207275390625</c:v>
                </c:pt>
                <c:pt idx="2">
                  <c:v>3.238677978515625</c:v>
                </c:pt>
                <c:pt idx="3">
                  <c:v>55.225372314453125</c:v>
                </c:pt>
                <c:pt idx="4">
                  <c:v>2.742767333984375</c:v>
                </c:pt>
                <c:pt idx="5">
                  <c:v>2.513885498046875</c:v>
                </c:pt>
                <c:pt idx="6">
                  <c:v>47.779083251953125</c:v>
                </c:pt>
                <c:pt idx="7">
                  <c:v>46.466827392578125</c:v>
                </c:pt>
                <c:pt idx="8">
                  <c:v>44.315338134765625</c:v>
                </c:pt>
                <c:pt idx="9">
                  <c:v>46.619415283203125</c:v>
                </c:pt>
                <c:pt idx="10">
                  <c:v>42.606353759765625</c:v>
                </c:pt>
                <c:pt idx="11">
                  <c:v>43.117523193359375</c:v>
                </c:pt>
                <c:pt idx="12">
                  <c:v>40.866851806640625</c:v>
                </c:pt>
                <c:pt idx="13">
                  <c:v>41.835784912109375</c:v>
                </c:pt>
                <c:pt idx="14">
                  <c:v>42.797088623046875</c:v>
                </c:pt>
                <c:pt idx="15">
                  <c:v>43.590545654296875</c:v>
                </c:pt>
                <c:pt idx="16">
                  <c:v>45.589447021484375</c:v>
                </c:pt>
                <c:pt idx="17">
                  <c:v>56.804656982421875</c:v>
                </c:pt>
                <c:pt idx="18">
                  <c:v>3.814697265625E-3</c:v>
                </c:pt>
                <c:pt idx="19">
                  <c:v>3.814697265625E-3</c:v>
                </c:pt>
                <c:pt idx="20">
                  <c:v>3.814697265625E-3</c:v>
                </c:pt>
                <c:pt idx="21">
                  <c:v>3.814697265625E-3</c:v>
                </c:pt>
                <c:pt idx="22">
                  <c:v>3.814697265625E-3</c:v>
                </c:pt>
                <c:pt idx="23">
                  <c:v>3.814697265625E-3</c:v>
                </c:pt>
                <c:pt idx="24">
                  <c:v>3.814697265625E-3</c:v>
                </c:pt>
                <c:pt idx="25">
                  <c:v>3.814697265625E-3</c:v>
                </c:pt>
                <c:pt idx="26">
                  <c:v>3.814697265625E-3</c:v>
                </c:pt>
                <c:pt idx="27">
                  <c:v>3.814697265625E-3</c:v>
                </c:pt>
                <c:pt idx="28">
                  <c:v>3.814697265625E-3</c:v>
                </c:pt>
                <c:pt idx="29">
                  <c:v>3.814697265625E-3</c:v>
                </c:pt>
                <c:pt idx="30">
                  <c:v>3.814697265625E-3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EA-422E-90A3-881BEA075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3568"/>
        <c:axId val="128921600"/>
      </c:barChart>
      <c:catAx>
        <c:axId val="128653568"/>
        <c:scaling>
          <c:orientation val="maxMin"/>
        </c:scaling>
        <c:delete val="0"/>
        <c:axPos val="l"/>
        <c:numFmt formatCode="0" sourceLinked="1"/>
        <c:majorTickMark val="out"/>
        <c:minorTickMark val="none"/>
        <c:tickLblPos val="none"/>
        <c:txPr>
          <a:bodyPr/>
          <a:lstStyle/>
          <a:p>
            <a:pPr>
              <a:defRPr lang="es-ES" sz="700">
                <a:solidFill>
                  <a:schemeClr val="bg1"/>
                </a:solidFill>
                <a:latin typeface="Arial" pitchFamily="34" charset="0"/>
                <a:cs typeface="Arial" pitchFamily="34" charset="0"/>
              </a:defRPr>
            </a:pPr>
            <a:endParaRPr lang="es-AR"/>
          </a:p>
        </c:txPr>
        <c:crossAx val="128921600"/>
        <c:crosses val="autoZero"/>
        <c:auto val="1"/>
        <c:lblAlgn val="ctr"/>
        <c:lblOffset val="100"/>
        <c:noMultiLvlLbl val="0"/>
      </c:catAx>
      <c:valAx>
        <c:axId val="128921600"/>
        <c:scaling>
          <c:orientation val="minMax"/>
          <c:max val="80"/>
          <c:min val="30"/>
        </c:scaling>
        <c:delete val="0"/>
        <c:axPos val="t"/>
        <c:majorGridlines>
          <c:spPr>
            <a:ln>
              <a:solidFill>
                <a:sysClr val="windowText" lastClr="000000">
                  <a:lumMod val="75000"/>
                  <a:lumOff val="25000"/>
                </a:sysClr>
              </a:solidFill>
            </a:ln>
          </c:spPr>
        </c:majorGridlines>
        <c:numFmt formatCode="_ * #,##0.00_ ;_ * \-#,##0.00_ ;_ * &quot;-&quot;??_ ;_ @_ " sourceLinked="1"/>
        <c:majorTickMark val="out"/>
        <c:minorTickMark val="none"/>
        <c:tickLblPos val="none"/>
        <c:spPr>
          <a:effectLst/>
        </c:spPr>
        <c:txPr>
          <a:bodyPr/>
          <a:lstStyle/>
          <a:p>
            <a:pPr>
              <a:defRPr lang="es-ES" sz="800" b="0">
                <a:solidFill>
                  <a:schemeClr val="accent1"/>
                </a:solidFill>
                <a:latin typeface="Arial" pitchFamily="34" charset="0"/>
                <a:cs typeface="Arial" pitchFamily="34" charset="0"/>
              </a:defRPr>
            </a:pPr>
            <a:endParaRPr lang="es-AR"/>
          </a:p>
        </c:txPr>
        <c:crossAx val="128653568"/>
        <c:crosses val="autoZero"/>
        <c:crossBetween val="between"/>
      </c:valAx>
      <c:spPr>
        <a:solidFill>
          <a:srgbClr val="5800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span"/>
    <c:showDLblsOverMax val="0"/>
  </c:chart>
  <c:spPr>
    <a:solidFill>
      <a:sysClr val="windowText" lastClr="000000"/>
    </a:solidFill>
    <a:ln w="25400" cap="rnd">
      <a:solidFill>
        <a:srgbClr val="0070C0"/>
      </a:solidFill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lang="es-ES" sz="1200" b="0">
                <a:solidFill>
                  <a:schemeClr val="bg1"/>
                </a:solidFill>
                <a:latin typeface="Arial" pitchFamily="34" charset="0"/>
                <a:cs typeface="Arial" pitchFamily="34" charset="0"/>
              </a:defRPr>
            </a:pPr>
            <a:r>
              <a:rPr lang="es-AR" sz="1200"/>
              <a:t>Posiciones de prueba</a:t>
            </a:r>
          </a:p>
        </c:rich>
      </c:tx>
      <c:layout>
        <c:manualLayout>
          <c:xMode val="edge"/>
          <c:yMode val="edge"/>
          <c:x val="0.11453015111078597"/>
          <c:y val="2.808425066269701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973278555020075"/>
          <c:y val="0.11517608806362579"/>
          <c:w val="0.8555016938218506"/>
          <c:h val="0.80418211503089676"/>
        </c:manualLayout>
      </c:layout>
      <c:lineChart>
        <c:grouping val="standard"/>
        <c:varyColors val="0"/>
        <c:ser>
          <c:idx val="1"/>
          <c:order val="0"/>
          <c:tx>
            <c:v>Prueba</c:v>
          </c:tx>
          <c:spPr>
            <a:ln>
              <a:solidFill>
                <a:srgbClr val="4F81BD">
                  <a:lumMod val="75000"/>
                </a:srgb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GGAL!arrGraficoEjecutadoFinishEjeX</c:f>
              <c:numCache>
                <c:formatCode>0.0</c:formatCode>
                <c:ptCount val="23"/>
                <c:pt idx="0">
                  <c:v>-23.68232768900549</c:v>
                </c:pt>
                <c:pt idx="1">
                  <c:v>-21.297400429286906</c:v>
                </c:pt>
                <c:pt idx="2">
                  <c:v>-18.912473169568333</c:v>
                </c:pt>
                <c:pt idx="3">
                  <c:v>-16.527545909849749</c:v>
                </c:pt>
                <c:pt idx="4">
                  <c:v>-14.142618650131178</c:v>
                </c:pt>
                <c:pt idx="5">
                  <c:v>-11.757691390412594</c:v>
                </c:pt>
                <c:pt idx="6">
                  <c:v>-9.3727641306940122</c:v>
                </c:pt>
                <c:pt idx="7">
                  <c:v>-6.987836870975439</c:v>
                </c:pt>
                <c:pt idx="8">
                  <c:v>-4.6029096112568553</c:v>
                </c:pt>
                <c:pt idx="9">
                  <c:v>0.16694490818029983</c:v>
                </c:pt>
                <c:pt idx="10">
                  <c:v>4.9367994276174443</c:v>
                </c:pt>
                <c:pt idx="11">
                  <c:v>9.7066539470546118</c:v>
                </c:pt>
                <c:pt idx="12">
                  <c:v>14.476508466491778</c:v>
                </c:pt>
                <c:pt idx="13">
                  <c:v>19.246362985928922</c:v>
                </c:pt>
                <c:pt idx="14">
                  <c:v>24.01621750536609</c:v>
                </c:pt>
                <c:pt idx="15">
                  <c:v>28.786072024803232</c:v>
                </c:pt>
                <c:pt idx="16">
                  <c:v>33.5559265442404</c:v>
                </c:pt>
                <c:pt idx="17">
                  <c:v>38.325781063677546</c:v>
                </c:pt>
                <c:pt idx="18">
                  <c:v>43.095635583114714</c:v>
                </c:pt>
                <c:pt idx="19">
                  <c:v>47.865490102551874</c:v>
                </c:pt>
                <c:pt idx="20">
                  <c:v>52.63534462198902</c:v>
                </c:pt>
                <c:pt idx="21">
                  <c:v>57.405199141426188</c:v>
                </c:pt>
                <c:pt idx="22">
                  <c:v>62.175053660863334</c:v>
                </c:pt>
              </c:numCache>
              <c:extLst xmlns:c15="http://schemas.microsoft.com/office/drawing/2012/chart"/>
            </c:numRef>
          </c:cat>
          <c:val>
            <c:numRef>
              <c:f>GGAL!arrGraficoSoloPruebaFinishEjeY</c:f>
              <c:numCache>
                <c:formatCode>_ "$"\ * #,##0_ ;_ "$"\ * \-#,##0_ ;_ "$"\ * "-"??_ ;_ @_ 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E9-40F4-BC6D-71BDDAFCB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124992"/>
        <c:axId val="129130880"/>
      </c:lineChart>
      <c:catAx>
        <c:axId val="129124992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lang="es-ES" sz="700">
                <a:solidFill>
                  <a:schemeClr val="bg1"/>
                </a:solidFill>
                <a:latin typeface="Arial" pitchFamily="34" charset="0"/>
                <a:cs typeface="Arial" pitchFamily="34" charset="0"/>
              </a:defRPr>
            </a:pPr>
            <a:endParaRPr lang="es-AR"/>
          </a:p>
        </c:txPr>
        <c:crossAx val="129130880"/>
        <c:crosses val="autoZero"/>
        <c:auto val="1"/>
        <c:lblAlgn val="ctr"/>
        <c:lblOffset val="100"/>
        <c:noMultiLvlLbl val="0"/>
      </c:catAx>
      <c:valAx>
        <c:axId val="12913088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lumMod val="75000"/>
                  <a:lumOff val="25000"/>
                </a:sysClr>
              </a:solidFill>
            </a:ln>
          </c:spPr>
        </c:majorGridlines>
        <c:numFmt formatCode="_ &quot;$&quot;\ * #,##0_ ;_ &quot;$&quot;\ * \-#,##0_ ;_ &quot;$&quot;\ * &quot;-&quot;??_ ;_ @_ " sourceLinked="1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lang="es-ES" sz="800" b="0">
                <a:solidFill>
                  <a:schemeClr val="accent1"/>
                </a:solidFill>
                <a:latin typeface="Arial" pitchFamily="34" charset="0"/>
                <a:cs typeface="Arial" pitchFamily="34" charset="0"/>
              </a:defRPr>
            </a:pPr>
            <a:endParaRPr lang="es-AR"/>
          </a:p>
        </c:txPr>
        <c:crossAx val="129124992"/>
        <c:crosses val="autoZero"/>
        <c:crossBetween val="between"/>
      </c:valAx>
      <c:spPr>
        <a:solidFill>
          <a:srgbClr val="07101B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layout>
        <c:manualLayout>
          <c:xMode val="edge"/>
          <c:yMode val="edge"/>
          <c:x val="0.67210125064235371"/>
          <c:y val="1.1261630443333961E-2"/>
          <c:w val="0.15631286632071456"/>
          <c:h val="9.9849671379633548E-2"/>
        </c:manualLayout>
      </c:layout>
      <c:overlay val="0"/>
      <c:txPr>
        <a:bodyPr/>
        <a:lstStyle/>
        <a:p>
          <a:pPr>
            <a:defRPr lang="es-ES" sz="700">
              <a:solidFill>
                <a:schemeClr val="bg1"/>
              </a:solidFill>
              <a:latin typeface="Arial" pitchFamily="34" charset="0"/>
              <a:cs typeface="Arial" pitchFamily="34" charset="0"/>
            </a:defRPr>
          </a:pPr>
          <a:endParaRPr lang="es-AR"/>
        </a:p>
      </c:txPr>
    </c:legend>
    <c:plotVisOnly val="0"/>
    <c:dispBlanksAs val="span"/>
    <c:showDLblsOverMax val="0"/>
  </c:chart>
  <c:spPr>
    <a:solidFill>
      <a:sysClr val="windowText" lastClr="000000"/>
    </a:solidFill>
    <a:ln w="25400" cap="rnd">
      <a:solidFill>
        <a:srgbClr val="0070C0"/>
      </a:solidFill>
    </a:ln>
  </c:sp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II$51" lockText="1" noThreeD="1"/>
</file>

<file path=xl/ctrlProps/ctrlProp3.xml><?xml version="1.0" encoding="utf-8"?>
<formControlPr xmlns="http://schemas.microsoft.com/office/spreadsheetml/2009/9/main" objectType="CheckBox" fmlaLink="$EP$1" lockText="1" noThreeD="1"/>
</file>

<file path=xl/ctrlProps/ctrlProp4.xml><?xml version="1.0" encoding="utf-8"?>
<formControlPr xmlns="http://schemas.microsoft.com/office/spreadsheetml/2009/9/main" objectType="CheckBox" fmlaLink="$EW$1" lockText="1" noThreeD="1"/>
</file>

<file path=xl/ctrlProps/ctrlProp5.xml><?xml version="1.0" encoding="utf-8"?>
<formControlPr xmlns="http://schemas.microsoft.com/office/spreadsheetml/2009/9/main" objectType="CheckBox" checked="Checked" fmlaLink="$FA$1" lockText="1" noThreeD="1"/>
</file>

<file path=xl/ctrlProps/ctrlProp6.xml><?xml version="1.0" encoding="utf-8"?>
<formControlPr xmlns="http://schemas.microsoft.com/office/spreadsheetml/2009/9/main" objectType="CheckBox" checked="Checked" fmlaLink="$FK$1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$BU$1" lockText="1" noThreeD="1"/>
</file>

<file path=xl/ctrlProps/ctrlProp11.xml><?xml version="1.0" encoding="utf-8"?>
<formControlPr xmlns="http://schemas.microsoft.com/office/spreadsheetml/2009/9/main" objectType="Radio" firstButton="1" fmlaLink="$EN$1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checked="Checked" noThreeD="1"/>
</file>

<file path=xl/ctrlProps/ctrlProp14.xml><?xml version="1.0" encoding="utf-8"?>
<formControlPr xmlns="http://schemas.microsoft.com/office/spreadsheetml/2009/9/main" objectType="Radio" firstButton="1" fmlaLink="$EN$1" lockText="1" noThreeD="1"/>
</file>

<file path=xl/ctrlProps/ctrlProp15.xml><?xml version="1.0" encoding="utf-8"?>
<formControlPr xmlns="http://schemas.microsoft.com/office/spreadsheetml/2009/9/main" objectType="CheckBox" fmlaLink="$EN$49" lockText="1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Radio" firstButton="1" fmlaLink="$FI$1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checked="Checked" lockText="1" noThreeD="1"/>
</file>

<file path=xl/ctrlProps/ctrlProp20.xml><?xml version="1.0" encoding="utf-8"?>
<formControlPr xmlns="http://schemas.microsoft.com/office/spreadsheetml/2009/9/main" objectType="CheckBox" fmlaLink="$FI$49" lockText="1" noThreeD="1"/>
</file>

<file path=xl/ctrlProps/ctrlProp21.xml><?xml version="1.0" encoding="utf-8"?>
<formControlPr xmlns="http://schemas.microsoft.com/office/spreadsheetml/2009/9/main" objectType="CheckBox" fmlaLink="$AQ$49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CheckBox" fmlaLink="$CL$49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fmlaLink="$Y$49" lockText="1" noThreeD="1"/>
</file>

<file path=xl/ctrlProps/ctrlProp26.xml><?xml version="1.0" encoding="utf-8"?>
<formControlPr xmlns="http://schemas.microsoft.com/office/spreadsheetml/2009/9/main" objectType="CheckBox" fmlaLink="$Y$50" lockText="1" noThreeD="1"/>
</file>

<file path=xl/ctrlProps/ctrlProp27.xml><?xml version="1.0" encoding="utf-8"?>
<formControlPr xmlns="http://schemas.microsoft.com/office/spreadsheetml/2009/9/main" objectType="CheckBox" checked="Checked" fmlaLink="$AQ$50" lockText="1" noThreeD="1"/>
</file>

<file path=xl/ctrlProps/ctrlProp28.xml><?xml version="1.0" encoding="utf-8"?>
<formControlPr xmlns="http://schemas.microsoft.com/office/spreadsheetml/2009/9/main" objectType="Radio" checked="Checked" firstButton="1" fmlaLink="$HM$1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firstButton="1" fmlaLink="$HL$1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checked="Checked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GBox" noThreeD="1"/>
</file>

<file path=xl/ctrlProps/ctrlProp87.xml><?xml version="1.0" encoding="utf-8"?>
<formControlPr xmlns="http://schemas.microsoft.com/office/spreadsheetml/2009/9/main" objectType="Radio" checked="Checked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CheckBox" fmlaLink="$AS$1" lockText="1" noThreeD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CheckBox" fmlaLink="$T$2" lockText="1" noThreeD="1"/>
</file>

<file path=xl/ctrlProps/ctrlProp92.xml><?xml version="1.0" encoding="utf-8"?>
<formControlPr xmlns="http://schemas.microsoft.com/office/spreadsheetml/2009/9/main" objectType="CheckBox" checked="Checked" fmlaLink="$T$2" lockText="1" noThreeD="1"/>
</file>

<file path=xl/ctrlProps/ctrlProp93.xml><?xml version="1.0" encoding="utf-8"?>
<formControlPr xmlns="http://schemas.microsoft.com/office/spreadsheetml/2009/9/main" objectType="Radio" firstButton="1" fmlaLink="$N$9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GBox" noThreeD="1"/>
</file>

<file path=xl/ctrlProps/ctrlProp96.xml><?xml version="1.0" encoding="utf-8"?>
<formControlPr xmlns="http://schemas.microsoft.com/office/spreadsheetml/2009/9/main" objectType="Radio" firstButton="1" fmlaLink="$P$9" lockText="1" noThreeD="1"/>
</file>

<file path=xl/ctrlProps/ctrlProp97.xml><?xml version="1.0" encoding="utf-8"?>
<formControlPr xmlns="http://schemas.microsoft.com/office/spreadsheetml/2009/9/main" objectType="Radio" checked="Checked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checked="Checked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53340</xdr:colOff>
          <xdr:row>10</xdr:row>
          <xdr:rowOff>76200</xdr:rowOff>
        </xdr:from>
        <xdr:to>
          <xdr:col>73</xdr:col>
          <xdr:colOff>510540</xdr:colOff>
          <xdr:row>12</xdr:row>
          <xdr:rowOff>99060</xdr:rowOff>
        </xdr:to>
        <xdr:sp macro="" textlink="">
          <xdr:nvSpPr>
            <xdr:cNvPr id="420865" name="Button 1" hidden="1">
              <a:extLst>
                <a:ext uri="{63B3BB69-23CF-44E3-9099-C40C66FF867C}">
                  <a14:compatExt spid="_x0000_s420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Profundidad de Mercado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42334</xdr:colOff>
      <xdr:row>7</xdr:row>
      <xdr:rowOff>19051</xdr:rowOff>
    </xdr:from>
    <xdr:to>
      <xdr:col>112</xdr:col>
      <xdr:colOff>323849</xdr:colOff>
      <xdr:row>25</xdr:row>
      <xdr:rowOff>127000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143</xdr:col>
      <xdr:colOff>13144</xdr:colOff>
      <xdr:row>6</xdr:row>
      <xdr:rowOff>3788</xdr:rowOff>
    </xdr:from>
    <xdr:to>
      <xdr:col>143</xdr:col>
      <xdr:colOff>834189</xdr:colOff>
      <xdr:row>47</xdr:row>
      <xdr:rowOff>37209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164</xdr:col>
      <xdr:colOff>31751</xdr:colOff>
      <xdr:row>6</xdr:row>
      <xdr:rowOff>0</xdr:rowOff>
    </xdr:from>
    <xdr:to>
      <xdr:col>164</xdr:col>
      <xdr:colOff>823385</xdr:colOff>
      <xdr:row>47</xdr:row>
      <xdr:rowOff>31750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91</xdr:col>
      <xdr:colOff>52916</xdr:colOff>
      <xdr:row>27</xdr:row>
      <xdr:rowOff>63501</xdr:rowOff>
    </xdr:from>
    <xdr:to>
      <xdr:col>112</xdr:col>
      <xdr:colOff>334431</xdr:colOff>
      <xdr:row>46</xdr:row>
      <xdr:rowOff>59267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76200</xdr:colOff>
          <xdr:row>4</xdr:row>
          <xdr:rowOff>99060</xdr:rowOff>
        </xdr:from>
        <xdr:to>
          <xdr:col>97</xdr:col>
          <xdr:colOff>320040</xdr:colOff>
          <xdr:row>6</xdr:row>
          <xdr:rowOff>15240</xdr:rowOff>
        </xdr:to>
        <xdr:sp macro="" textlink="">
          <xdr:nvSpPr>
            <xdr:cNvPr id="391169" name="Check Box 1" hidden="1">
              <a:extLst>
                <a:ext uri="{63B3BB69-23CF-44E3-9099-C40C66FF867C}">
                  <a14:compatExt spid="_x0000_s39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113</xdr:col>
          <xdr:colOff>38100</xdr:colOff>
          <xdr:row>12</xdr:row>
          <xdr:rowOff>137160</xdr:rowOff>
        </xdr:from>
        <xdr:to>
          <xdr:col>114</xdr:col>
          <xdr:colOff>30480</xdr:colOff>
          <xdr:row>14</xdr:row>
          <xdr:rowOff>7620</xdr:rowOff>
        </xdr:to>
        <xdr:sp macro="" textlink="">
          <xdr:nvSpPr>
            <xdr:cNvPr id="391170" name="Check Box 2" hidden="1">
              <a:extLst>
                <a:ext uri="{63B3BB69-23CF-44E3-9099-C40C66FF867C}">
                  <a14:compatExt spid="_x0000_s39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113</xdr:col>
          <xdr:colOff>38100</xdr:colOff>
          <xdr:row>16</xdr:row>
          <xdr:rowOff>144780</xdr:rowOff>
        </xdr:from>
        <xdr:to>
          <xdr:col>114</xdr:col>
          <xdr:colOff>30480</xdr:colOff>
          <xdr:row>18</xdr:row>
          <xdr:rowOff>15240</xdr:rowOff>
        </xdr:to>
        <xdr:sp macro="" textlink="">
          <xdr:nvSpPr>
            <xdr:cNvPr id="391171" name="Check Box 3" hidden="1">
              <a:extLst>
                <a:ext uri="{63B3BB69-23CF-44E3-9099-C40C66FF867C}">
                  <a14:compatExt spid="_x0000_s39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113</xdr:col>
          <xdr:colOff>38100</xdr:colOff>
          <xdr:row>8</xdr:row>
          <xdr:rowOff>144780</xdr:rowOff>
        </xdr:from>
        <xdr:to>
          <xdr:col>114</xdr:col>
          <xdr:colOff>45720</xdr:colOff>
          <xdr:row>10</xdr:row>
          <xdr:rowOff>15240</xdr:rowOff>
        </xdr:to>
        <xdr:sp macro="" textlink="">
          <xdr:nvSpPr>
            <xdr:cNvPr id="391172" name="Check Box 4" hidden="1">
              <a:extLst>
                <a:ext uri="{63B3BB69-23CF-44E3-9099-C40C66FF867C}">
                  <a14:compatExt spid="_x0000_s39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113</xdr:col>
          <xdr:colOff>38100</xdr:colOff>
          <xdr:row>20</xdr:row>
          <xdr:rowOff>137160</xdr:rowOff>
        </xdr:from>
        <xdr:to>
          <xdr:col>114</xdr:col>
          <xdr:colOff>45720</xdr:colOff>
          <xdr:row>22</xdr:row>
          <xdr:rowOff>15240</xdr:rowOff>
        </xdr:to>
        <xdr:sp macro="" textlink="">
          <xdr:nvSpPr>
            <xdr:cNvPr id="391173" name="Check Box 5" hidden="1">
              <a:extLst>
                <a:ext uri="{63B3BB69-23CF-44E3-9099-C40C66FF867C}">
                  <a14:compatExt spid="_x0000_s391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30480</xdr:colOff>
          <xdr:row>10</xdr:row>
          <xdr:rowOff>7620</xdr:rowOff>
        </xdr:from>
        <xdr:to>
          <xdr:col>22</xdr:col>
          <xdr:colOff>121920</xdr:colOff>
          <xdr:row>10</xdr:row>
          <xdr:rowOff>137160</xdr:rowOff>
        </xdr:to>
        <xdr:sp macro="" textlink="">
          <xdr:nvSpPr>
            <xdr:cNvPr id="391174" name="Button 6" hidden="1">
              <a:extLst>
                <a:ext uri="{63B3BB69-23CF-44E3-9099-C40C66FF867C}">
                  <a14:compatExt spid="_x0000_s391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Aplicar cambios - Etrader y Bolsuite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281541</xdr:colOff>
          <xdr:row>0</xdr:row>
          <xdr:rowOff>76200</xdr:rowOff>
        </xdr:from>
        <xdr:to>
          <xdr:col>77</xdr:col>
          <xdr:colOff>372981</xdr:colOff>
          <xdr:row>3</xdr:row>
          <xdr:rowOff>106680</xdr:rowOff>
        </xdr:to>
        <xdr:sp macro="" textlink="">
          <xdr:nvSpPr>
            <xdr:cNvPr id="391175" name="Button 7" hidden="1">
              <a:extLst>
                <a:ext uri="{63B3BB69-23CF-44E3-9099-C40C66FF867C}">
                  <a14:compatExt spid="_x0000_s391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Operar todo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85</xdr:col>
          <xdr:colOff>13232</xdr:colOff>
          <xdr:row>0</xdr:row>
          <xdr:rowOff>76200</xdr:rowOff>
        </xdr:from>
        <xdr:to>
          <xdr:col>89</xdr:col>
          <xdr:colOff>154803</xdr:colOff>
          <xdr:row>3</xdr:row>
          <xdr:rowOff>106680</xdr:rowOff>
        </xdr:to>
        <xdr:sp macro="" textlink="">
          <xdr:nvSpPr>
            <xdr:cNvPr id="391176" name="Button 8" hidden="1">
              <a:extLst>
                <a:ext uri="{63B3BB69-23CF-44E3-9099-C40C66FF867C}">
                  <a14:compatExt spid="_x0000_s391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Canc. todo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79</xdr:col>
          <xdr:colOff>297180</xdr:colOff>
          <xdr:row>0</xdr:row>
          <xdr:rowOff>30480</xdr:rowOff>
        </xdr:from>
        <xdr:to>
          <xdr:col>81</xdr:col>
          <xdr:colOff>68580</xdr:colOff>
          <xdr:row>3</xdr:row>
          <xdr:rowOff>152400</xdr:rowOff>
        </xdr:to>
        <xdr:sp macro="" textlink="">
          <xdr:nvSpPr>
            <xdr:cNvPr id="391177" name="Check Box 9" hidden="1">
              <a:extLst>
                <a:ext uri="{63B3BB69-23CF-44E3-9099-C40C66FF867C}">
                  <a14:compatExt spid="_x0000_s391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3366FF" mc:Ignorable="a14" a14:legacySpreadsheetColorIndex="48">
                <a:alpha val="44000"/>
              </a:srgbClr>
            </a:solidFill>
            <a:ln>
              <a:noFill/>
            </a:ln>
            <a:extLs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200</xdr:col>
          <xdr:colOff>60960</xdr:colOff>
          <xdr:row>0</xdr:row>
          <xdr:rowOff>106680</xdr:rowOff>
        </xdr:from>
        <xdr:to>
          <xdr:col>200</xdr:col>
          <xdr:colOff>0</xdr:colOff>
          <xdr:row>4</xdr:row>
          <xdr:rowOff>15240</xdr:rowOff>
        </xdr:to>
        <xdr:sp macro="" textlink="">
          <xdr:nvSpPr>
            <xdr:cNvPr id="391178" name="Option Button 10" hidden="1">
              <a:extLst>
                <a:ext uri="{63B3BB69-23CF-44E3-9099-C40C66FF867C}">
                  <a14:compatExt spid="_x0000_s39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200</xdr:col>
          <xdr:colOff>274320</xdr:colOff>
          <xdr:row>0</xdr:row>
          <xdr:rowOff>68580</xdr:rowOff>
        </xdr:from>
        <xdr:to>
          <xdr:col>218</xdr:col>
          <xdr:colOff>53340</xdr:colOff>
          <xdr:row>4</xdr:row>
          <xdr:rowOff>121920</xdr:rowOff>
        </xdr:to>
        <xdr:sp macro="" textlink="">
          <xdr:nvSpPr>
            <xdr:cNvPr id="391231" name="Group Box 63" hidden="1">
              <a:extLst>
                <a:ext uri="{63B3BB69-23CF-44E3-9099-C40C66FF867C}">
                  <a14:compatExt spid="_x0000_s391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144</xdr:col>
          <xdr:colOff>0</xdr:colOff>
          <xdr:row>0</xdr:row>
          <xdr:rowOff>121920</xdr:rowOff>
        </xdr:from>
        <xdr:to>
          <xdr:col>147</xdr:col>
          <xdr:colOff>7620</xdr:colOff>
          <xdr:row>6</xdr:row>
          <xdr:rowOff>0</xdr:rowOff>
        </xdr:to>
        <xdr:sp macro="" textlink="">
          <xdr:nvSpPr>
            <xdr:cNvPr id="391264" name="Group Box 96" hidden="1">
              <a:extLst>
                <a:ext uri="{63B3BB69-23CF-44E3-9099-C40C66FF867C}">
                  <a14:compatExt spid="_x0000_s39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145</xdr:col>
          <xdr:colOff>7620</xdr:colOff>
          <xdr:row>3</xdr:row>
          <xdr:rowOff>152400</xdr:rowOff>
        </xdr:from>
        <xdr:to>
          <xdr:col>146</xdr:col>
          <xdr:colOff>0</xdr:colOff>
          <xdr:row>5</xdr:row>
          <xdr:rowOff>60960</xdr:rowOff>
        </xdr:to>
        <xdr:sp macro="" textlink="">
          <xdr:nvSpPr>
            <xdr:cNvPr id="391271" name="Option Button 103" hidden="1">
              <a:extLst>
                <a:ext uri="{63B3BB69-23CF-44E3-9099-C40C66FF867C}">
                  <a14:compatExt spid="_x0000_s39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ViU%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149</xdr:col>
          <xdr:colOff>220980</xdr:colOff>
          <xdr:row>0</xdr:row>
          <xdr:rowOff>0</xdr:rowOff>
        </xdr:from>
        <xdr:to>
          <xdr:col>150</xdr:col>
          <xdr:colOff>289560</xdr:colOff>
          <xdr:row>3</xdr:row>
          <xdr:rowOff>83820</xdr:rowOff>
        </xdr:to>
        <xdr:sp macro="" textlink="">
          <xdr:nvSpPr>
            <xdr:cNvPr id="391272" name="Option Button 104" descr="ViU%" hidden="1">
              <a:extLst>
                <a:ext uri="{63B3BB69-23CF-44E3-9099-C40C66FF867C}">
                  <a14:compatExt spid="_x0000_s39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ViC%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144</xdr:col>
          <xdr:colOff>22860</xdr:colOff>
          <xdr:row>3</xdr:row>
          <xdr:rowOff>144780</xdr:rowOff>
        </xdr:from>
        <xdr:to>
          <xdr:col>145</xdr:col>
          <xdr:colOff>15240</xdr:colOff>
          <xdr:row>5</xdr:row>
          <xdr:rowOff>53340</xdr:rowOff>
        </xdr:to>
        <xdr:sp macro="" textlink="">
          <xdr:nvSpPr>
            <xdr:cNvPr id="391273" name="Option Button 105" descr="ViC%" hidden="1">
              <a:extLst>
                <a:ext uri="{63B3BB69-23CF-44E3-9099-C40C66FF867C}">
                  <a14:compatExt spid="_x0000_s39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ViV%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143</xdr:col>
          <xdr:colOff>220980</xdr:colOff>
          <xdr:row>4</xdr:row>
          <xdr:rowOff>30480</xdr:rowOff>
        </xdr:from>
        <xdr:to>
          <xdr:col>144</xdr:col>
          <xdr:colOff>0</xdr:colOff>
          <xdr:row>5</xdr:row>
          <xdr:rowOff>76200</xdr:rowOff>
        </xdr:to>
        <xdr:sp macro="" textlink="">
          <xdr:nvSpPr>
            <xdr:cNvPr id="391274" name="Check Box 106" hidden="1">
              <a:extLst>
                <a:ext uri="{63B3BB69-23CF-44E3-9099-C40C66FF867C}">
                  <a14:compatExt spid="_x0000_s39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165</xdr:col>
          <xdr:colOff>0</xdr:colOff>
          <xdr:row>0</xdr:row>
          <xdr:rowOff>121920</xdr:rowOff>
        </xdr:from>
        <xdr:to>
          <xdr:col>168</xdr:col>
          <xdr:colOff>0</xdr:colOff>
          <xdr:row>6</xdr:row>
          <xdr:rowOff>0</xdr:rowOff>
        </xdr:to>
        <xdr:sp macro="" textlink="">
          <xdr:nvSpPr>
            <xdr:cNvPr id="391291" name="Group Box 123" hidden="1">
              <a:extLst>
                <a:ext uri="{63B3BB69-23CF-44E3-9099-C40C66FF867C}">
                  <a14:compatExt spid="_x0000_s39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165</xdr:col>
          <xdr:colOff>7620</xdr:colOff>
          <xdr:row>3</xdr:row>
          <xdr:rowOff>99060</xdr:rowOff>
        </xdr:from>
        <xdr:to>
          <xdr:col>166</xdr:col>
          <xdr:colOff>0</xdr:colOff>
          <xdr:row>5</xdr:row>
          <xdr:rowOff>7620</xdr:rowOff>
        </xdr:to>
        <xdr:sp macro="" textlink="">
          <xdr:nvSpPr>
            <xdr:cNvPr id="391292" name="Option Button 124" hidden="1">
              <a:extLst>
                <a:ext uri="{63B3BB69-23CF-44E3-9099-C40C66FF867C}">
                  <a14:compatExt spid="_x0000_s39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ViU%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165</xdr:col>
          <xdr:colOff>403860</xdr:colOff>
          <xdr:row>3</xdr:row>
          <xdr:rowOff>99060</xdr:rowOff>
        </xdr:from>
        <xdr:to>
          <xdr:col>166</xdr:col>
          <xdr:colOff>350520</xdr:colOff>
          <xdr:row>5</xdr:row>
          <xdr:rowOff>7620</xdr:rowOff>
        </xdr:to>
        <xdr:sp macro="" textlink="">
          <xdr:nvSpPr>
            <xdr:cNvPr id="391293" name="Option Button 125" hidden="1">
              <a:extLst>
                <a:ext uri="{63B3BB69-23CF-44E3-9099-C40C66FF867C}">
                  <a14:compatExt spid="_x0000_s39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ViU%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166</xdr:col>
          <xdr:colOff>396240</xdr:colOff>
          <xdr:row>3</xdr:row>
          <xdr:rowOff>99060</xdr:rowOff>
        </xdr:from>
        <xdr:to>
          <xdr:col>167</xdr:col>
          <xdr:colOff>350520</xdr:colOff>
          <xdr:row>5</xdr:row>
          <xdr:rowOff>7620</xdr:rowOff>
        </xdr:to>
        <xdr:sp macro="" textlink="">
          <xdr:nvSpPr>
            <xdr:cNvPr id="391294" name="Option Button 126" hidden="1">
              <a:extLst>
                <a:ext uri="{63B3BB69-23CF-44E3-9099-C40C66FF867C}">
                  <a14:compatExt spid="_x0000_s39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ViU%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164</xdr:col>
          <xdr:colOff>144780</xdr:colOff>
          <xdr:row>4</xdr:row>
          <xdr:rowOff>30480</xdr:rowOff>
        </xdr:from>
        <xdr:to>
          <xdr:col>165</xdr:col>
          <xdr:colOff>0</xdr:colOff>
          <xdr:row>5</xdr:row>
          <xdr:rowOff>76200</xdr:rowOff>
        </xdr:to>
        <xdr:sp macro="" textlink="">
          <xdr:nvSpPr>
            <xdr:cNvPr id="391295" name="Check Box 127" hidden="1">
              <a:extLst>
                <a:ext uri="{63B3BB69-23CF-44E3-9099-C40C66FF867C}">
                  <a14:compatExt spid="_x0000_s39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99060</xdr:colOff>
          <xdr:row>0</xdr:row>
          <xdr:rowOff>99060</xdr:rowOff>
        </xdr:from>
        <xdr:to>
          <xdr:col>46</xdr:col>
          <xdr:colOff>7620</xdr:colOff>
          <xdr:row>4</xdr:row>
          <xdr:rowOff>7620</xdr:rowOff>
        </xdr:to>
        <xdr:sp macro="" textlink="">
          <xdr:nvSpPr>
            <xdr:cNvPr id="391350" name="Check Box 182" hidden="1">
              <a:extLst>
                <a:ext uri="{63B3BB69-23CF-44E3-9099-C40C66FF867C}">
                  <a14:compatExt spid="_x0000_s39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</xdr:colOff>
          <xdr:row>3</xdr:row>
          <xdr:rowOff>7620</xdr:rowOff>
        </xdr:from>
        <xdr:to>
          <xdr:col>27</xdr:col>
          <xdr:colOff>472440</xdr:colOff>
          <xdr:row>4</xdr:row>
          <xdr:rowOff>0</xdr:rowOff>
        </xdr:to>
        <xdr:sp macro="" textlink="">
          <xdr:nvSpPr>
            <xdr:cNvPr id="391448" name="Button 280" hidden="1">
              <a:extLst>
                <a:ext uri="{63B3BB69-23CF-44E3-9099-C40C66FF867C}">
                  <a14:compatExt spid="_x0000_s39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Prueba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152400</xdr:colOff>
          <xdr:row>25</xdr:row>
          <xdr:rowOff>137160</xdr:rowOff>
        </xdr:from>
        <xdr:to>
          <xdr:col>97</xdr:col>
          <xdr:colOff>45720</xdr:colOff>
          <xdr:row>27</xdr:row>
          <xdr:rowOff>7620</xdr:rowOff>
        </xdr:to>
        <xdr:sp macro="" textlink="">
          <xdr:nvSpPr>
            <xdr:cNvPr id="391548" name="Check Box 380" hidden="1">
              <a:extLst>
                <a:ext uri="{63B3BB69-23CF-44E3-9099-C40C66FF867C}">
                  <a14:compatExt spid="_x0000_s39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</xdr:colOff>
          <xdr:row>3</xdr:row>
          <xdr:rowOff>0</xdr:rowOff>
        </xdr:from>
        <xdr:to>
          <xdr:col>25</xdr:col>
          <xdr:colOff>472440</xdr:colOff>
          <xdr:row>3</xdr:row>
          <xdr:rowOff>129540</xdr:rowOff>
        </xdr:to>
        <xdr:sp macro="" textlink="">
          <xdr:nvSpPr>
            <xdr:cNvPr id="391563" name="Button 395" hidden="1">
              <a:extLst>
                <a:ext uri="{63B3BB69-23CF-44E3-9099-C40C66FF867C}">
                  <a14:compatExt spid="_x0000_s39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 Pos Actual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108</xdr:col>
          <xdr:colOff>281940</xdr:colOff>
          <xdr:row>0</xdr:row>
          <xdr:rowOff>0</xdr:rowOff>
        </xdr:from>
        <xdr:to>
          <xdr:col>110</xdr:col>
          <xdr:colOff>220980</xdr:colOff>
          <xdr:row>3</xdr:row>
          <xdr:rowOff>45720</xdr:rowOff>
        </xdr:to>
        <xdr:sp macro="" textlink="">
          <xdr:nvSpPr>
            <xdr:cNvPr id="391935" name="Check Box 767" hidden="1">
              <a:extLst>
                <a:ext uri="{63B3BB69-23CF-44E3-9099-C40C66FF867C}">
                  <a14:compatExt spid="_x0000_s39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108</xdr:col>
          <xdr:colOff>281940</xdr:colOff>
          <xdr:row>0</xdr:row>
          <xdr:rowOff>121920</xdr:rowOff>
        </xdr:from>
        <xdr:to>
          <xdr:col>110</xdr:col>
          <xdr:colOff>220980</xdr:colOff>
          <xdr:row>4</xdr:row>
          <xdr:rowOff>30480</xdr:rowOff>
        </xdr:to>
        <xdr:sp macro="" textlink="">
          <xdr:nvSpPr>
            <xdr:cNvPr id="391936" name="Check Box 768" hidden="1">
              <a:extLst>
                <a:ext uri="{63B3BB69-23CF-44E3-9099-C40C66FF867C}">
                  <a14:compatExt spid="_x0000_s39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99060</xdr:colOff>
          <xdr:row>3</xdr:row>
          <xdr:rowOff>106680</xdr:rowOff>
        </xdr:from>
        <xdr:to>
          <xdr:col>46</xdr:col>
          <xdr:colOff>7620</xdr:colOff>
          <xdr:row>5</xdr:row>
          <xdr:rowOff>15240</xdr:rowOff>
        </xdr:to>
        <xdr:sp macro="" textlink="">
          <xdr:nvSpPr>
            <xdr:cNvPr id="392077" name="Check Box 909" hidden="1">
              <a:extLst>
                <a:ext uri="{63B3BB69-23CF-44E3-9099-C40C66FF867C}">
                  <a14:compatExt spid="_x0000_s39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201</xdr:col>
          <xdr:colOff>60960</xdr:colOff>
          <xdr:row>0</xdr:row>
          <xdr:rowOff>99060</xdr:rowOff>
        </xdr:from>
        <xdr:to>
          <xdr:col>202</xdr:col>
          <xdr:colOff>22860</xdr:colOff>
          <xdr:row>4</xdr:row>
          <xdr:rowOff>7620</xdr:rowOff>
        </xdr:to>
        <xdr:sp macro="" textlink="">
          <xdr:nvSpPr>
            <xdr:cNvPr id="392104" name="Option Button 936" hidden="1">
              <a:extLst>
                <a:ext uri="{63B3BB69-23CF-44E3-9099-C40C66FF867C}">
                  <a14:compatExt spid="_x0000_s39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202</xdr:col>
          <xdr:colOff>45720</xdr:colOff>
          <xdr:row>0</xdr:row>
          <xdr:rowOff>99060</xdr:rowOff>
        </xdr:from>
        <xdr:to>
          <xdr:col>203</xdr:col>
          <xdr:colOff>7620</xdr:colOff>
          <xdr:row>4</xdr:row>
          <xdr:rowOff>7620</xdr:rowOff>
        </xdr:to>
        <xdr:sp macro="" textlink="">
          <xdr:nvSpPr>
            <xdr:cNvPr id="392112" name="Option Button 944" hidden="1">
              <a:extLst>
                <a:ext uri="{63B3BB69-23CF-44E3-9099-C40C66FF867C}">
                  <a14:compatExt spid="_x0000_s39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203</xdr:col>
          <xdr:colOff>53340</xdr:colOff>
          <xdr:row>0</xdr:row>
          <xdr:rowOff>99060</xdr:rowOff>
        </xdr:from>
        <xdr:to>
          <xdr:col>204</xdr:col>
          <xdr:colOff>15240</xdr:colOff>
          <xdr:row>4</xdr:row>
          <xdr:rowOff>7620</xdr:rowOff>
        </xdr:to>
        <xdr:sp macro="" textlink="">
          <xdr:nvSpPr>
            <xdr:cNvPr id="392149" name="Option Button 981" hidden="1">
              <a:extLst>
                <a:ext uri="{63B3BB69-23CF-44E3-9099-C40C66FF867C}">
                  <a14:compatExt spid="_x0000_s392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204</xdr:col>
          <xdr:colOff>45720</xdr:colOff>
          <xdr:row>0</xdr:row>
          <xdr:rowOff>99060</xdr:rowOff>
        </xdr:from>
        <xdr:to>
          <xdr:col>205</xdr:col>
          <xdr:colOff>7620</xdr:colOff>
          <xdr:row>4</xdr:row>
          <xdr:rowOff>7620</xdr:rowOff>
        </xdr:to>
        <xdr:sp macro="" textlink="">
          <xdr:nvSpPr>
            <xdr:cNvPr id="392150" name="Option Button 982" hidden="1">
              <a:extLst>
                <a:ext uri="{63B3BB69-23CF-44E3-9099-C40C66FF867C}">
                  <a14:compatExt spid="_x0000_s392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205</xdr:col>
          <xdr:colOff>53340</xdr:colOff>
          <xdr:row>0</xdr:row>
          <xdr:rowOff>99060</xdr:rowOff>
        </xdr:from>
        <xdr:to>
          <xdr:col>206</xdr:col>
          <xdr:colOff>15240</xdr:colOff>
          <xdr:row>4</xdr:row>
          <xdr:rowOff>7620</xdr:rowOff>
        </xdr:to>
        <xdr:sp macro="" textlink="">
          <xdr:nvSpPr>
            <xdr:cNvPr id="392151" name="Option Button 983" hidden="1">
              <a:extLst>
                <a:ext uri="{63B3BB69-23CF-44E3-9099-C40C66FF867C}">
                  <a14:compatExt spid="_x0000_s392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206</xdr:col>
          <xdr:colOff>38100</xdr:colOff>
          <xdr:row>0</xdr:row>
          <xdr:rowOff>99060</xdr:rowOff>
        </xdr:from>
        <xdr:to>
          <xdr:col>207</xdr:col>
          <xdr:colOff>0</xdr:colOff>
          <xdr:row>4</xdr:row>
          <xdr:rowOff>7620</xdr:rowOff>
        </xdr:to>
        <xdr:sp macro="" textlink="">
          <xdr:nvSpPr>
            <xdr:cNvPr id="392152" name="Option Button 984" hidden="1">
              <a:extLst>
                <a:ext uri="{63B3BB69-23CF-44E3-9099-C40C66FF867C}">
                  <a14:compatExt spid="_x0000_s392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207</xdr:col>
          <xdr:colOff>45720</xdr:colOff>
          <xdr:row>0</xdr:row>
          <xdr:rowOff>99060</xdr:rowOff>
        </xdr:from>
        <xdr:to>
          <xdr:col>208</xdr:col>
          <xdr:colOff>7620</xdr:colOff>
          <xdr:row>4</xdr:row>
          <xdr:rowOff>7620</xdr:rowOff>
        </xdr:to>
        <xdr:sp macro="" textlink="">
          <xdr:nvSpPr>
            <xdr:cNvPr id="392153" name="Option Button 985" hidden="1">
              <a:extLst>
                <a:ext uri="{63B3BB69-23CF-44E3-9099-C40C66FF867C}">
                  <a14:compatExt spid="_x0000_s392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208</xdr:col>
          <xdr:colOff>38100</xdr:colOff>
          <xdr:row>0</xdr:row>
          <xdr:rowOff>99060</xdr:rowOff>
        </xdr:from>
        <xdr:to>
          <xdr:col>209</xdr:col>
          <xdr:colOff>0</xdr:colOff>
          <xdr:row>4</xdr:row>
          <xdr:rowOff>7620</xdr:rowOff>
        </xdr:to>
        <xdr:sp macro="" textlink="">
          <xdr:nvSpPr>
            <xdr:cNvPr id="392154" name="Option Button 986" hidden="1">
              <a:extLst>
                <a:ext uri="{63B3BB69-23CF-44E3-9099-C40C66FF867C}">
                  <a14:compatExt spid="_x0000_s392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209</xdr:col>
          <xdr:colOff>45720</xdr:colOff>
          <xdr:row>0</xdr:row>
          <xdr:rowOff>99060</xdr:rowOff>
        </xdr:from>
        <xdr:to>
          <xdr:col>210</xdr:col>
          <xdr:colOff>7620</xdr:colOff>
          <xdr:row>4</xdr:row>
          <xdr:rowOff>7620</xdr:rowOff>
        </xdr:to>
        <xdr:sp macro="" textlink="">
          <xdr:nvSpPr>
            <xdr:cNvPr id="392155" name="Option Button 987" hidden="1">
              <a:extLst>
                <a:ext uri="{63B3BB69-23CF-44E3-9099-C40C66FF867C}">
                  <a14:compatExt spid="_x0000_s392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210</xdr:col>
          <xdr:colOff>45720</xdr:colOff>
          <xdr:row>0</xdr:row>
          <xdr:rowOff>99060</xdr:rowOff>
        </xdr:from>
        <xdr:to>
          <xdr:col>211</xdr:col>
          <xdr:colOff>7620</xdr:colOff>
          <xdr:row>4</xdr:row>
          <xdr:rowOff>7620</xdr:rowOff>
        </xdr:to>
        <xdr:sp macro="" textlink="">
          <xdr:nvSpPr>
            <xdr:cNvPr id="392156" name="Option Button 988" hidden="1">
              <a:extLst>
                <a:ext uri="{63B3BB69-23CF-44E3-9099-C40C66FF867C}">
                  <a14:compatExt spid="_x0000_s392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211</xdr:col>
          <xdr:colOff>30480</xdr:colOff>
          <xdr:row>0</xdr:row>
          <xdr:rowOff>99060</xdr:rowOff>
        </xdr:from>
        <xdr:to>
          <xdr:col>211</xdr:col>
          <xdr:colOff>274320</xdr:colOff>
          <xdr:row>4</xdr:row>
          <xdr:rowOff>7620</xdr:rowOff>
        </xdr:to>
        <xdr:sp macro="" textlink="">
          <xdr:nvSpPr>
            <xdr:cNvPr id="392157" name="Option Button 989" hidden="1">
              <a:extLst>
                <a:ext uri="{63B3BB69-23CF-44E3-9099-C40C66FF867C}">
                  <a14:compatExt spid="_x0000_s392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212</xdr:col>
          <xdr:colOff>38100</xdr:colOff>
          <xdr:row>0</xdr:row>
          <xdr:rowOff>99060</xdr:rowOff>
        </xdr:from>
        <xdr:to>
          <xdr:col>213</xdr:col>
          <xdr:colOff>0</xdr:colOff>
          <xdr:row>4</xdr:row>
          <xdr:rowOff>7620</xdr:rowOff>
        </xdr:to>
        <xdr:sp macro="" textlink="">
          <xdr:nvSpPr>
            <xdr:cNvPr id="392158" name="Option Button 990" hidden="1">
              <a:extLst>
                <a:ext uri="{63B3BB69-23CF-44E3-9099-C40C66FF867C}">
                  <a14:compatExt spid="_x0000_s392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213</xdr:col>
          <xdr:colOff>30480</xdr:colOff>
          <xdr:row>0</xdr:row>
          <xdr:rowOff>99060</xdr:rowOff>
        </xdr:from>
        <xdr:to>
          <xdr:col>213</xdr:col>
          <xdr:colOff>274320</xdr:colOff>
          <xdr:row>4</xdr:row>
          <xdr:rowOff>7620</xdr:rowOff>
        </xdr:to>
        <xdr:sp macro="" textlink="">
          <xdr:nvSpPr>
            <xdr:cNvPr id="392159" name="Option Button 991" hidden="1">
              <a:extLst>
                <a:ext uri="{63B3BB69-23CF-44E3-9099-C40C66FF867C}">
                  <a14:compatExt spid="_x0000_s39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215</xdr:col>
          <xdr:colOff>38100</xdr:colOff>
          <xdr:row>0</xdr:row>
          <xdr:rowOff>99060</xdr:rowOff>
        </xdr:from>
        <xdr:to>
          <xdr:col>216</xdr:col>
          <xdr:colOff>0</xdr:colOff>
          <xdr:row>4</xdr:row>
          <xdr:rowOff>7620</xdr:rowOff>
        </xdr:to>
        <xdr:sp macro="" textlink="">
          <xdr:nvSpPr>
            <xdr:cNvPr id="392160" name="Option Button 992" hidden="1">
              <a:extLst>
                <a:ext uri="{63B3BB69-23CF-44E3-9099-C40C66FF867C}">
                  <a14:compatExt spid="_x0000_s39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216</xdr:col>
          <xdr:colOff>30480</xdr:colOff>
          <xdr:row>0</xdr:row>
          <xdr:rowOff>99060</xdr:rowOff>
        </xdr:from>
        <xdr:to>
          <xdr:col>216</xdr:col>
          <xdr:colOff>274320</xdr:colOff>
          <xdr:row>4</xdr:row>
          <xdr:rowOff>7620</xdr:rowOff>
        </xdr:to>
        <xdr:sp macro="" textlink="">
          <xdr:nvSpPr>
            <xdr:cNvPr id="392161" name="Option Button 993" hidden="1">
              <a:extLst>
                <a:ext uri="{63B3BB69-23CF-44E3-9099-C40C66FF867C}">
                  <a14:compatExt spid="_x0000_s39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5</xdr:row>
          <xdr:rowOff>121920</xdr:rowOff>
        </xdr:from>
        <xdr:to>
          <xdr:col>199</xdr:col>
          <xdr:colOff>60960</xdr:colOff>
          <xdr:row>7</xdr:row>
          <xdr:rowOff>15240</xdr:rowOff>
        </xdr:to>
        <xdr:sp macro="" textlink="">
          <xdr:nvSpPr>
            <xdr:cNvPr id="392162" name="Option Button 994" hidden="1">
              <a:extLst>
                <a:ext uri="{63B3BB69-23CF-44E3-9099-C40C66FF867C}">
                  <a14:compatExt spid="_x0000_s39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6</xdr:row>
          <xdr:rowOff>137160</xdr:rowOff>
        </xdr:from>
        <xdr:to>
          <xdr:col>199</xdr:col>
          <xdr:colOff>60960</xdr:colOff>
          <xdr:row>8</xdr:row>
          <xdr:rowOff>7620</xdr:rowOff>
        </xdr:to>
        <xdr:sp macro="" textlink="">
          <xdr:nvSpPr>
            <xdr:cNvPr id="392163" name="Option Button 995" hidden="1">
              <a:extLst>
                <a:ext uri="{63B3BB69-23CF-44E3-9099-C40C66FF867C}">
                  <a14:compatExt spid="_x0000_s39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335280</xdr:colOff>
          <xdr:row>5</xdr:row>
          <xdr:rowOff>106680</xdr:rowOff>
        </xdr:from>
        <xdr:to>
          <xdr:col>199</xdr:col>
          <xdr:colOff>137160</xdr:colOff>
          <xdr:row>46</xdr:row>
          <xdr:rowOff>144780</xdr:rowOff>
        </xdr:to>
        <xdr:sp macro="" textlink="">
          <xdr:nvSpPr>
            <xdr:cNvPr id="392179" name="Group Box 1011" hidden="1">
              <a:extLst>
                <a:ext uri="{63B3BB69-23CF-44E3-9099-C40C66FF867C}">
                  <a14:compatExt spid="_x0000_s39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7</xdr:row>
          <xdr:rowOff>144780</xdr:rowOff>
        </xdr:from>
        <xdr:to>
          <xdr:col>199</xdr:col>
          <xdr:colOff>60960</xdr:colOff>
          <xdr:row>9</xdr:row>
          <xdr:rowOff>15240</xdr:rowOff>
        </xdr:to>
        <xdr:sp macro="" textlink="">
          <xdr:nvSpPr>
            <xdr:cNvPr id="406565" name="Option Button 1061" hidden="1">
              <a:extLst>
                <a:ext uri="{63B3BB69-23CF-44E3-9099-C40C66FF867C}">
                  <a14:compatExt spid="_x0000_s406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8</xdr:row>
          <xdr:rowOff>137160</xdr:rowOff>
        </xdr:from>
        <xdr:to>
          <xdr:col>199</xdr:col>
          <xdr:colOff>60960</xdr:colOff>
          <xdr:row>10</xdr:row>
          <xdr:rowOff>7620</xdr:rowOff>
        </xdr:to>
        <xdr:sp macro="" textlink="">
          <xdr:nvSpPr>
            <xdr:cNvPr id="406566" name="Option Button 1062" hidden="1">
              <a:extLst>
                <a:ext uri="{63B3BB69-23CF-44E3-9099-C40C66FF867C}">
                  <a14:compatExt spid="_x0000_s406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9</xdr:row>
          <xdr:rowOff>144780</xdr:rowOff>
        </xdr:from>
        <xdr:to>
          <xdr:col>199</xdr:col>
          <xdr:colOff>60960</xdr:colOff>
          <xdr:row>11</xdr:row>
          <xdr:rowOff>15240</xdr:rowOff>
        </xdr:to>
        <xdr:sp macro="" textlink="">
          <xdr:nvSpPr>
            <xdr:cNvPr id="406567" name="Option Button 1063" hidden="1">
              <a:extLst>
                <a:ext uri="{63B3BB69-23CF-44E3-9099-C40C66FF867C}">
                  <a14:compatExt spid="_x0000_s406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10</xdr:row>
          <xdr:rowOff>137160</xdr:rowOff>
        </xdr:from>
        <xdr:to>
          <xdr:col>199</xdr:col>
          <xdr:colOff>60960</xdr:colOff>
          <xdr:row>12</xdr:row>
          <xdr:rowOff>7620</xdr:rowOff>
        </xdr:to>
        <xdr:sp macro="" textlink="">
          <xdr:nvSpPr>
            <xdr:cNvPr id="406568" name="Option Button 1064" hidden="1">
              <a:extLst>
                <a:ext uri="{63B3BB69-23CF-44E3-9099-C40C66FF867C}">
                  <a14:compatExt spid="_x0000_s406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11</xdr:row>
          <xdr:rowOff>144780</xdr:rowOff>
        </xdr:from>
        <xdr:to>
          <xdr:col>199</xdr:col>
          <xdr:colOff>60960</xdr:colOff>
          <xdr:row>13</xdr:row>
          <xdr:rowOff>15240</xdr:rowOff>
        </xdr:to>
        <xdr:sp macro="" textlink="">
          <xdr:nvSpPr>
            <xdr:cNvPr id="406569" name="Option Button 1065" hidden="1">
              <a:extLst>
                <a:ext uri="{63B3BB69-23CF-44E3-9099-C40C66FF867C}">
                  <a14:compatExt spid="_x0000_s406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12</xdr:row>
          <xdr:rowOff>137160</xdr:rowOff>
        </xdr:from>
        <xdr:to>
          <xdr:col>199</xdr:col>
          <xdr:colOff>60960</xdr:colOff>
          <xdr:row>14</xdr:row>
          <xdr:rowOff>7620</xdr:rowOff>
        </xdr:to>
        <xdr:sp macro="" textlink="">
          <xdr:nvSpPr>
            <xdr:cNvPr id="406570" name="Option Button 1066" hidden="1">
              <a:extLst>
                <a:ext uri="{63B3BB69-23CF-44E3-9099-C40C66FF867C}">
                  <a14:compatExt spid="_x0000_s406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13</xdr:row>
          <xdr:rowOff>137160</xdr:rowOff>
        </xdr:from>
        <xdr:to>
          <xdr:col>199</xdr:col>
          <xdr:colOff>60960</xdr:colOff>
          <xdr:row>15</xdr:row>
          <xdr:rowOff>7620</xdr:rowOff>
        </xdr:to>
        <xdr:sp macro="" textlink="">
          <xdr:nvSpPr>
            <xdr:cNvPr id="406571" name="Option Button 1067" hidden="1">
              <a:extLst>
                <a:ext uri="{63B3BB69-23CF-44E3-9099-C40C66FF867C}">
                  <a14:compatExt spid="_x0000_s406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14</xdr:row>
          <xdr:rowOff>129540</xdr:rowOff>
        </xdr:from>
        <xdr:to>
          <xdr:col>199</xdr:col>
          <xdr:colOff>60960</xdr:colOff>
          <xdr:row>16</xdr:row>
          <xdr:rowOff>0</xdr:rowOff>
        </xdr:to>
        <xdr:sp macro="" textlink="">
          <xdr:nvSpPr>
            <xdr:cNvPr id="406572" name="Option Button 1068" hidden="1">
              <a:extLst>
                <a:ext uri="{63B3BB69-23CF-44E3-9099-C40C66FF867C}">
                  <a14:compatExt spid="_x0000_s406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15</xdr:row>
          <xdr:rowOff>137160</xdr:rowOff>
        </xdr:from>
        <xdr:to>
          <xdr:col>199</xdr:col>
          <xdr:colOff>60960</xdr:colOff>
          <xdr:row>17</xdr:row>
          <xdr:rowOff>7620</xdr:rowOff>
        </xdr:to>
        <xdr:sp macro="" textlink="">
          <xdr:nvSpPr>
            <xdr:cNvPr id="406573" name="Option Button 1069" hidden="1">
              <a:extLst>
                <a:ext uri="{63B3BB69-23CF-44E3-9099-C40C66FF867C}">
                  <a14:compatExt spid="_x0000_s406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16</xdr:row>
          <xdr:rowOff>129540</xdr:rowOff>
        </xdr:from>
        <xdr:to>
          <xdr:col>199</xdr:col>
          <xdr:colOff>60960</xdr:colOff>
          <xdr:row>18</xdr:row>
          <xdr:rowOff>0</xdr:rowOff>
        </xdr:to>
        <xdr:sp macro="" textlink="">
          <xdr:nvSpPr>
            <xdr:cNvPr id="406574" name="Option Button 1070" hidden="1">
              <a:extLst>
                <a:ext uri="{63B3BB69-23CF-44E3-9099-C40C66FF867C}">
                  <a14:compatExt spid="_x0000_s406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17</xdr:row>
          <xdr:rowOff>137160</xdr:rowOff>
        </xdr:from>
        <xdr:to>
          <xdr:col>199</xdr:col>
          <xdr:colOff>60960</xdr:colOff>
          <xdr:row>19</xdr:row>
          <xdr:rowOff>7620</xdr:rowOff>
        </xdr:to>
        <xdr:sp macro="" textlink="">
          <xdr:nvSpPr>
            <xdr:cNvPr id="406575" name="Option Button 1071" hidden="1">
              <a:extLst>
                <a:ext uri="{63B3BB69-23CF-44E3-9099-C40C66FF867C}">
                  <a14:compatExt spid="_x0000_s406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18</xdr:row>
          <xdr:rowOff>129540</xdr:rowOff>
        </xdr:from>
        <xdr:to>
          <xdr:col>199</xdr:col>
          <xdr:colOff>60960</xdr:colOff>
          <xdr:row>20</xdr:row>
          <xdr:rowOff>0</xdr:rowOff>
        </xdr:to>
        <xdr:sp macro="" textlink="">
          <xdr:nvSpPr>
            <xdr:cNvPr id="406576" name="Option Button 1072" hidden="1">
              <a:extLst>
                <a:ext uri="{63B3BB69-23CF-44E3-9099-C40C66FF867C}">
                  <a14:compatExt spid="_x0000_s406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19</xdr:row>
          <xdr:rowOff>137160</xdr:rowOff>
        </xdr:from>
        <xdr:to>
          <xdr:col>199</xdr:col>
          <xdr:colOff>60960</xdr:colOff>
          <xdr:row>21</xdr:row>
          <xdr:rowOff>7620</xdr:rowOff>
        </xdr:to>
        <xdr:sp macro="" textlink="">
          <xdr:nvSpPr>
            <xdr:cNvPr id="406577" name="Option Button 1073" hidden="1">
              <a:extLst>
                <a:ext uri="{63B3BB69-23CF-44E3-9099-C40C66FF867C}">
                  <a14:compatExt spid="_x0000_s406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20</xdr:row>
          <xdr:rowOff>129540</xdr:rowOff>
        </xdr:from>
        <xdr:to>
          <xdr:col>199</xdr:col>
          <xdr:colOff>60960</xdr:colOff>
          <xdr:row>22</xdr:row>
          <xdr:rowOff>0</xdr:rowOff>
        </xdr:to>
        <xdr:sp macro="" textlink="">
          <xdr:nvSpPr>
            <xdr:cNvPr id="406578" name="Option Button 1074" hidden="1">
              <a:extLst>
                <a:ext uri="{63B3BB69-23CF-44E3-9099-C40C66FF867C}">
                  <a14:compatExt spid="_x0000_s406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21</xdr:row>
          <xdr:rowOff>144780</xdr:rowOff>
        </xdr:from>
        <xdr:to>
          <xdr:col>199</xdr:col>
          <xdr:colOff>60960</xdr:colOff>
          <xdr:row>23</xdr:row>
          <xdr:rowOff>15240</xdr:rowOff>
        </xdr:to>
        <xdr:sp macro="" textlink="">
          <xdr:nvSpPr>
            <xdr:cNvPr id="406579" name="Option Button 1075" hidden="1">
              <a:extLst>
                <a:ext uri="{63B3BB69-23CF-44E3-9099-C40C66FF867C}">
                  <a14:compatExt spid="_x0000_s406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22</xdr:row>
          <xdr:rowOff>137160</xdr:rowOff>
        </xdr:from>
        <xdr:to>
          <xdr:col>199</xdr:col>
          <xdr:colOff>60960</xdr:colOff>
          <xdr:row>24</xdr:row>
          <xdr:rowOff>7620</xdr:rowOff>
        </xdr:to>
        <xdr:sp macro="" textlink="">
          <xdr:nvSpPr>
            <xdr:cNvPr id="406580" name="Option Button 1076" hidden="1">
              <a:extLst>
                <a:ext uri="{63B3BB69-23CF-44E3-9099-C40C66FF867C}">
                  <a14:compatExt spid="_x0000_s406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23</xdr:row>
          <xdr:rowOff>144780</xdr:rowOff>
        </xdr:from>
        <xdr:to>
          <xdr:col>199</xdr:col>
          <xdr:colOff>60960</xdr:colOff>
          <xdr:row>25</xdr:row>
          <xdr:rowOff>15240</xdr:rowOff>
        </xdr:to>
        <xdr:sp macro="" textlink="">
          <xdr:nvSpPr>
            <xdr:cNvPr id="406581" name="Option Button 1077" hidden="1">
              <a:extLst>
                <a:ext uri="{63B3BB69-23CF-44E3-9099-C40C66FF867C}">
                  <a14:compatExt spid="_x0000_s406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24</xdr:row>
          <xdr:rowOff>137160</xdr:rowOff>
        </xdr:from>
        <xdr:to>
          <xdr:col>199</xdr:col>
          <xdr:colOff>60960</xdr:colOff>
          <xdr:row>26</xdr:row>
          <xdr:rowOff>7620</xdr:rowOff>
        </xdr:to>
        <xdr:sp macro="" textlink="">
          <xdr:nvSpPr>
            <xdr:cNvPr id="406582" name="Option Button 1078" hidden="1">
              <a:extLst>
                <a:ext uri="{63B3BB69-23CF-44E3-9099-C40C66FF867C}">
                  <a14:compatExt spid="_x0000_s406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25</xdr:row>
          <xdr:rowOff>144780</xdr:rowOff>
        </xdr:from>
        <xdr:to>
          <xdr:col>199</xdr:col>
          <xdr:colOff>60960</xdr:colOff>
          <xdr:row>27</xdr:row>
          <xdr:rowOff>15240</xdr:rowOff>
        </xdr:to>
        <xdr:sp macro="" textlink="">
          <xdr:nvSpPr>
            <xdr:cNvPr id="406583" name="Option Button 1079" hidden="1">
              <a:extLst>
                <a:ext uri="{63B3BB69-23CF-44E3-9099-C40C66FF867C}">
                  <a14:compatExt spid="_x0000_s406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26</xdr:row>
          <xdr:rowOff>144780</xdr:rowOff>
        </xdr:from>
        <xdr:to>
          <xdr:col>199</xdr:col>
          <xdr:colOff>60960</xdr:colOff>
          <xdr:row>28</xdr:row>
          <xdr:rowOff>15240</xdr:rowOff>
        </xdr:to>
        <xdr:sp macro="" textlink="">
          <xdr:nvSpPr>
            <xdr:cNvPr id="406584" name="Option Button 1080" hidden="1">
              <a:extLst>
                <a:ext uri="{63B3BB69-23CF-44E3-9099-C40C66FF867C}">
                  <a14:compatExt spid="_x0000_s406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27</xdr:row>
          <xdr:rowOff>137160</xdr:rowOff>
        </xdr:from>
        <xdr:to>
          <xdr:col>199</xdr:col>
          <xdr:colOff>60960</xdr:colOff>
          <xdr:row>29</xdr:row>
          <xdr:rowOff>7620</xdr:rowOff>
        </xdr:to>
        <xdr:sp macro="" textlink="">
          <xdr:nvSpPr>
            <xdr:cNvPr id="406585" name="Option Button 1081" hidden="1">
              <a:extLst>
                <a:ext uri="{63B3BB69-23CF-44E3-9099-C40C66FF867C}">
                  <a14:compatExt spid="_x0000_s406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28</xdr:row>
          <xdr:rowOff>137160</xdr:rowOff>
        </xdr:from>
        <xdr:to>
          <xdr:col>199</xdr:col>
          <xdr:colOff>60960</xdr:colOff>
          <xdr:row>30</xdr:row>
          <xdr:rowOff>7620</xdr:rowOff>
        </xdr:to>
        <xdr:sp macro="" textlink="">
          <xdr:nvSpPr>
            <xdr:cNvPr id="406586" name="Option Button 1082" hidden="1">
              <a:extLst>
                <a:ext uri="{63B3BB69-23CF-44E3-9099-C40C66FF867C}">
                  <a14:compatExt spid="_x0000_s406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29</xdr:row>
          <xdr:rowOff>129540</xdr:rowOff>
        </xdr:from>
        <xdr:to>
          <xdr:col>199</xdr:col>
          <xdr:colOff>60960</xdr:colOff>
          <xdr:row>31</xdr:row>
          <xdr:rowOff>0</xdr:rowOff>
        </xdr:to>
        <xdr:sp macro="" textlink="">
          <xdr:nvSpPr>
            <xdr:cNvPr id="406587" name="Option Button 1083" hidden="1">
              <a:extLst>
                <a:ext uri="{63B3BB69-23CF-44E3-9099-C40C66FF867C}">
                  <a14:compatExt spid="_x0000_s406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30</xdr:row>
          <xdr:rowOff>137160</xdr:rowOff>
        </xdr:from>
        <xdr:to>
          <xdr:col>199</xdr:col>
          <xdr:colOff>60960</xdr:colOff>
          <xdr:row>32</xdr:row>
          <xdr:rowOff>7620</xdr:rowOff>
        </xdr:to>
        <xdr:sp macro="" textlink="">
          <xdr:nvSpPr>
            <xdr:cNvPr id="406588" name="Option Button 1084" hidden="1">
              <a:extLst>
                <a:ext uri="{63B3BB69-23CF-44E3-9099-C40C66FF867C}">
                  <a14:compatExt spid="_x0000_s406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31</xdr:row>
          <xdr:rowOff>129540</xdr:rowOff>
        </xdr:from>
        <xdr:to>
          <xdr:col>199</xdr:col>
          <xdr:colOff>60960</xdr:colOff>
          <xdr:row>33</xdr:row>
          <xdr:rowOff>0</xdr:rowOff>
        </xdr:to>
        <xdr:sp macro="" textlink="">
          <xdr:nvSpPr>
            <xdr:cNvPr id="406589" name="Option Button 1085" hidden="1">
              <a:extLst>
                <a:ext uri="{63B3BB69-23CF-44E3-9099-C40C66FF867C}">
                  <a14:compatExt spid="_x0000_s406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32</xdr:row>
          <xdr:rowOff>137160</xdr:rowOff>
        </xdr:from>
        <xdr:to>
          <xdr:col>199</xdr:col>
          <xdr:colOff>60960</xdr:colOff>
          <xdr:row>34</xdr:row>
          <xdr:rowOff>7620</xdr:rowOff>
        </xdr:to>
        <xdr:sp macro="" textlink="">
          <xdr:nvSpPr>
            <xdr:cNvPr id="406590" name="Option Button 1086" hidden="1">
              <a:extLst>
                <a:ext uri="{63B3BB69-23CF-44E3-9099-C40C66FF867C}">
                  <a14:compatExt spid="_x0000_s406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33</xdr:row>
          <xdr:rowOff>129540</xdr:rowOff>
        </xdr:from>
        <xdr:to>
          <xdr:col>199</xdr:col>
          <xdr:colOff>60960</xdr:colOff>
          <xdr:row>35</xdr:row>
          <xdr:rowOff>0</xdr:rowOff>
        </xdr:to>
        <xdr:sp macro="" textlink="">
          <xdr:nvSpPr>
            <xdr:cNvPr id="406591" name="Option Button 1087" hidden="1">
              <a:extLst>
                <a:ext uri="{63B3BB69-23CF-44E3-9099-C40C66FF867C}">
                  <a14:compatExt spid="_x0000_s406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34</xdr:row>
          <xdr:rowOff>137160</xdr:rowOff>
        </xdr:from>
        <xdr:to>
          <xdr:col>199</xdr:col>
          <xdr:colOff>60960</xdr:colOff>
          <xdr:row>36</xdr:row>
          <xdr:rowOff>7620</xdr:rowOff>
        </xdr:to>
        <xdr:sp macro="" textlink="">
          <xdr:nvSpPr>
            <xdr:cNvPr id="406592" name="Option Button 1088" hidden="1">
              <a:extLst>
                <a:ext uri="{63B3BB69-23CF-44E3-9099-C40C66FF867C}">
                  <a14:compatExt spid="_x0000_s406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35</xdr:row>
          <xdr:rowOff>129540</xdr:rowOff>
        </xdr:from>
        <xdr:to>
          <xdr:col>199</xdr:col>
          <xdr:colOff>60960</xdr:colOff>
          <xdr:row>37</xdr:row>
          <xdr:rowOff>0</xdr:rowOff>
        </xdr:to>
        <xdr:sp macro="" textlink="">
          <xdr:nvSpPr>
            <xdr:cNvPr id="406593" name="Option Button 1089" hidden="1">
              <a:extLst>
                <a:ext uri="{63B3BB69-23CF-44E3-9099-C40C66FF867C}">
                  <a14:compatExt spid="_x0000_s406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36</xdr:row>
          <xdr:rowOff>137160</xdr:rowOff>
        </xdr:from>
        <xdr:to>
          <xdr:col>199</xdr:col>
          <xdr:colOff>60960</xdr:colOff>
          <xdr:row>38</xdr:row>
          <xdr:rowOff>7620</xdr:rowOff>
        </xdr:to>
        <xdr:sp macro="" textlink="">
          <xdr:nvSpPr>
            <xdr:cNvPr id="406595" name="Option Button 1091" hidden="1">
              <a:extLst>
                <a:ext uri="{63B3BB69-23CF-44E3-9099-C40C66FF867C}">
                  <a14:compatExt spid="_x0000_s406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37</xdr:row>
          <xdr:rowOff>129540</xdr:rowOff>
        </xdr:from>
        <xdr:to>
          <xdr:col>199</xdr:col>
          <xdr:colOff>60960</xdr:colOff>
          <xdr:row>39</xdr:row>
          <xdr:rowOff>0</xdr:rowOff>
        </xdr:to>
        <xdr:sp macro="" textlink="">
          <xdr:nvSpPr>
            <xdr:cNvPr id="406596" name="Option Button 1092" hidden="1">
              <a:extLst>
                <a:ext uri="{63B3BB69-23CF-44E3-9099-C40C66FF867C}">
                  <a14:compatExt spid="_x0000_s406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38</xdr:row>
          <xdr:rowOff>129540</xdr:rowOff>
        </xdr:from>
        <xdr:to>
          <xdr:col>199</xdr:col>
          <xdr:colOff>60960</xdr:colOff>
          <xdr:row>40</xdr:row>
          <xdr:rowOff>0</xdr:rowOff>
        </xdr:to>
        <xdr:sp macro="" textlink="">
          <xdr:nvSpPr>
            <xdr:cNvPr id="406597" name="Option Button 1093" hidden="1">
              <a:extLst>
                <a:ext uri="{63B3BB69-23CF-44E3-9099-C40C66FF867C}">
                  <a14:compatExt spid="_x0000_s406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39</xdr:row>
          <xdr:rowOff>121920</xdr:rowOff>
        </xdr:from>
        <xdr:to>
          <xdr:col>199</xdr:col>
          <xdr:colOff>60960</xdr:colOff>
          <xdr:row>40</xdr:row>
          <xdr:rowOff>144780</xdr:rowOff>
        </xdr:to>
        <xdr:sp macro="" textlink="">
          <xdr:nvSpPr>
            <xdr:cNvPr id="406598" name="Option Button 1094" hidden="1">
              <a:extLst>
                <a:ext uri="{63B3BB69-23CF-44E3-9099-C40C66FF867C}">
                  <a14:compatExt spid="_x0000_s406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40</xdr:row>
          <xdr:rowOff>129540</xdr:rowOff>
        </xdr:from>
        <xdr:to>
          <xdr:col>199</xdr:col>
          <xdr:colOff>60960</xdr:colOff>
          <xdr:row>42</xdr:row>
          <xdr:rowOff>0</xdr:rowOff>
        </xdr:to>
        <xdr:sp macro="" textlink="">
          <xdr:nvSpPr>
            <xdr:cNvPr id="406599" name="Option Button 1095" hidden="1">
              <a:extLst>
                <a:ext uri="{63B3BB69-23CF-44E3-9099-C40C66FF867C}">
                  <a14:compatExt spid="_x0000_s406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41</xdr:row>
          <xdr:rowOff>121920</xdr:rowOff>
        </xdr:from>
        <xdr:to>
          <xdr:col>199</xdr:col>
          <xdr:colOff>60960</xdr:colOff>
          <xdr:row>42</xdr:row>
          <xdr:rowOff>144780</xdr:rowOff>
        </xdr:to>
        <xdr:sp macro="" textlink="">
          <xdr:nvSpPr>
            <xdr:cNvPr id="406600" name="Option Button 1096" hidden="1">
              <a:extLst>
                <a:ext uri="{63B3BB69-23CF-44E3-9099-C40C66FF867C}">
                  <a14:compatExt spid="_x0000_s406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42</xdr:row>
          <xdr:rowOff>129540</xdr:rowOff>
        </xdr:from>
        <xdr:to>
          <xdr:col>199</xdr:col>
          <xdr:colOff>60960</xdr:colOff>
          <xdr:row>44</xdr:row>
          <xdr:rowOff>0</xdr:rowOff>
        </xdr:to>
        <xdr:sp macro="" textlink="">
          <xdr:nvSpPr>
            <xdr:cNvPr id="406601" name="Option Button 1097" hidden="1">
              <a:extLst>
                <a:ext uri="{63B3BB69-23CF-44E3-9099-C40C66FF867C}">
                  <a14:compatExt spid="_x0000_s406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43</xdr:row>
          <xdr:rowOff>121920</xdr:rowOff>
        </xdr:from>
        <xdr:to>
          <xdr:col>199</xdr:col>
          <xdr:colOff>60960</xdr:colOff>
          <xdr:row>44</xdr:row>
          <xdr:rowOff>144780</xdr:rowOff>
        </xdr:to>
        <xdr:sp macro="" textlink="">
          <xdr:nvSpPr>
            <xdr:cNvPr id="406602" name="Option Button 1098" hidden="1">
              <a:extLst>
                <a:ext uri="{63B3BB69-23CF-44E3-9099-C40C66FF867C}">
                  <a14:compatExt spid="_x0000_s406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44</xdr:row>
          <xdr:rowOff>129540</xdr:rowOff>
        </xdr:from>
        <xdr:to>
          <xdr:col>199</xdr:col>
          <xdr:colOff>60960</xdr:colOff>
          <xdr:row>46</xdr:row>
          <xdr:rowOff>0</xdr:rowOff>
        </xdr:to>
        <xdr:sp macro="" textlink="">
          <xdr:nvSpPr>
            <xdr:cNvPr id="406603" name="Option Button 1099" hidden="1">
              <a:extLst>
                <a:ext uri="{63B3BB69-23CF-44E3-9099-C40C66FF867C}">
                  <a14:compatExt spid="_x0000_s406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194</xdr:col>
          <xdr:colOff>350520</xdr:colOff>
          <xdr:row>45</xdr:row>
          <xdr:rowOff>121920</xdr:rowOff>
        </xdr:from>
        <xdr:to>
          <xdr:col>199</xdr:col>
          <xdr:colOff>60960</xdr:colOff>
          <xdr:row>46</xdr:row>
          <xdr:rowOff>144780</xdr:rowOff>
        </xdr:to>
        <xdr:sp macro="" textlink="">
          <xdr:nvSpPr>
            <xdr:cNvPr id="406604" name="Option Button 1100" hidden="1">
              <a:extLst>
                <a:ext uri="{63B3BB69-23CF-44E3-9099-C40C66FF867C}">
                  <a14:compatExt spid="_x0000_s406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104</xdr:col>
          <xdr:colOff>0</xdr:colOff>
          <xdr:row>3</xdr:row>
          <xdr:rowOff>7620</xdr:rowOff>
        </xdr:from>
        <xdr:to>
          <xdr:col>108</xdr:col>
          <xdr:colOff>0</xdr:colOff>
          <xdr:row>4</xdr:row>
          <xdr:rowOff>15240</xdr:rowOff>
        </xdr:to>
        <xdr:sp macro="" textlink="">
          <xdr:nvSpPr>
            <xdr:cNvPr id="406632" name="Button 1128" hidden="1">
              <a:extLst>
                <a:ext uri="{63B3BB69-23CF-44E3-9099-C40C66FF867C}">
                  <a14:compatExt spid="_x0000_s406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Estadísticas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146</xdr:col>
          <xdr:colOff>15240</xdr:colOff>
          <xdr:row>3</xdr:row>
          <xdr:rowOff>144780</xdr:rowOff>
        </xdr:from>
        <xdr:to>
          <xdr:col>147</xdr:col>
          <xdr:colOff>7620</xdr:colOff>
          <xdr:row>5</xdr:row>
          <xdr:rowOff>53340</xdr:rowOff>
        </xdr:to>
        <xdr:sp macro="" textlink="">
          <xdr:nvSpPr>
            <xdr:cNvPr id="406633" name="Option Button 1129" hidden="1">
              <a:extLst>
                <a:ext uri="{63B3BB69-23CF-44E3-9099-C40C66FF867C}">
                  <a14:compatExt spid="_x0000_s406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ViU%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106680</xdr:colOff>
          <xdr:row>0</xdr:row>
          <xdr:rowOff>0</xdr:rowOff>
        </xdr:from>
        <xdr:to>
          <xdr:col>50</xdr:col>
          <xdr:colOff>350520</xdr:colOff>
          <xdr:row>1</xdr:row>
          <xdr:rowOff>7620</xdr:rowOff>
        </xdr:to>
        <xdr:sp macro="" textlink="">
          <xdr:nvSpPr>
            <xdr:cNvPr id="88066" name="Check Box 2" hidden="1">
              <a:extLst>
                <a:ext uri="{63B3BB69-23CF-44E3-9099-C40C66FF867C}">
                  <a14:compatExt spid="_x0000_s88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342900</xdr:colOff>
          <xdr:row>0</xdr:row>
          <xdr:rowOff>38100</xdr:rowOff>
        </xdr:from>
        <xdr:to>
          <xdr:col>55</xdr:col>
          <xdr:colOff>60960</xdr:colOff>
          <xdr:row>1</xdr:row>
          <xdr:rowOff>22860</xdr:rowOff>
        </xdr:to>
        <xdr:sp macro="" textlink="">
          <xdr:nvSpPr>
            <xdr:cNvPr id="88067" name="Button 3" hidden="1">
              <a:extLst>
                <a:ext uri="{63B3BB69-23CF-44E3-9099-C40C66FF867C}">
                  <a14:compatExt spid="_x0000_s88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Crear fórmulas Bolsuite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</xdr:colOff>
          <xdr:row>0</xdr:row>
          <xdr:rowOff>38100</xdr:rowOff>
        </xdr:from>
        <xdr:to>
          <xdr:col>22</xdr:col>
          <xdr:colOff>121920</xdr:colOff>
          <xdr:row>1</xdr:row>
          <xdr:rowOff>91440</xdr:rowOff>
        </xdr:to>
        <xdr:sp macro="" textlink="">
          <xdr:nvSpPr>
            <xdr:cNvPr id="345089" name="Check Box 1" hidden="1">
              <a:extLst>
                <a:ext uri="{63B3BB69-23CF-44E3-9099-C40C66FF867C}">
                  <a14:compatExt spid="_x0000_s345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0</xdr:row>
          <xdr:rowOff>22860</xdr:rowOff>
        </xdr:from>
        <xdr:to>
          <xdr:col>13</xdr:col>
          <xdr:colOff>38100</xdr:colOff>
          <xdr:row>1</xdr:row>
          <xdr:rowOff>144780</xdr:rowOff>
        </xdr:to>
        <xdr:sp macro="" textlink="">
          <xdr:nvSpPr>
            <xdr:cNvPr id="345090" name="CommandButton1" hidden="1">
              <a:extLst>
                <a:ext uri="{63B3BB69-23CF-44E3-9099-C40C66FF867C}">
                  <a14:compatExt spid="_x0000_s345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</xdr:colOff>
          <xdr:row>0</xdr:row>
          <xdr:rowOff>38100</xdr:rowOff>
        </xdr:from>
        <xdr:to>
          <xdr:col>22</xdr:col>
          <xdr:colOff>121920</xdr:colOff>
          <xdr:row>1</xdr:row>
          <xdr:rowOff>91440</xdr:rowOff>
        </xdr:to>
        <xdr:sp macro="" textlink="">
          <xdr:nvSpPr>
            <xdr:cNvPr id="404481" name="Check Box 1" hidden="1">
              <a:extLst>
                <a:ext uri="{63B3BB69-23CF-44E3-9099-C40C66FF867C}">
                  <a14:compatExt spid="_x0000_s404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0</xdr:row>
          <xdr:rowOff>22860</xdr:rowOff>
        </xdr:from>
        <xdr:to>
          <xdr:col>23</xdr:col>
          <xdr:colOff>449580</xdr:colOff>
          <xdr:row>1</xdr:row>
          <xdr:rowOff>144780</xdr:rowOff>
        </xdr:to>
        <xdr:sp macro="" textlink="">
          <xdr:nvSpPr>
            <xdr:cNvPr id="404482" name="CommandButton1" hidden="1">
              <a:extLst>
                <a:ext uri="{63B3BB69-23CF-44E3-9099-C40C66FF867C}">
                  <a14:compatExt spid="_x0000_s404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121920</xdr:colOff>
          <xdr:row>5</xdr:row>
          <xdr:rowOff>68580</xdr:rowOff>
        </xdr:from>
        <xdr:to>
          <xdr:col>11</xdr:col>
          <xdr:colOff>480060</xdr:colOff>
          <xdr:row>6</xdr:row>
          <xdr:rowOff>91440</xdr:rowOff>
        </xdr:to>
        <xdr:sp macro="" textlink="">
          <xdr:nvSpPr>
            <xdr:cNvPr id="347137" name="Option Button 1" hidden="1">
              <a:extLst>
                <a:ext uri="{63B3BB69-23CF-44E3-9099-C40C66FF867C}">
                  <a14:compatExt spid="_x0000_s347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Gallo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5</xdr:row>
          <xdr:rowOff>60960</xdr:rowOff>
        </xdr:from>
        <xdr:to>
          <xdr:col>12</xdr:col>
          <xdr:colOff>579120</xdr:colOff>
          <xdr:row>6</xdr:row>
          <xdr:rowOff>91440</xdr:rowOff>
        </xdr:to>
        <xdr:sp macro="" textlink="">
          <xdr:nvSpPr>
            <xdr:cNvPr id="347138" name="Option Button 2" hidden="1">
              <a:extLst>
                <a:ext uri="{63B3BB69-23CF-44E3-9099-C40C66FF867C}">
                  <a14:compatExt spid="_x0000_s347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RODI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609600</xdr:colOff>
          <xdr:row>5</xdr:row>
          <xdr:rowOff>7620</xdr:rowOff>
        </xdr:from>
        <xdr:to>
          <xdr:col>15</xdr:col>
          <xdr:colOff>601980</xdr:colOff>
          <xdr:row>6</xdr:row>
          <xdr:rowOff>129540</xdr:rowOff>
        </xdr:to>
        <xdr:sp macro="" textlink="">
          <xdr:nvSpPr>
            <xdr:cNvPr id="347139" name="Group Box 3" hidden="1">
              <a:extLst>
                <a:ext uri="{63B3BB69-23CF-44E3-9099-C40C66FF867C}">
                  <a14:compatExt spid="_x0000_s347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Cuadro de grupo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129540</xdr:colOff>
          <xdr:row>10</xdr:row>
          <xdr:rowOff>144780</xdr:rowOff>
        </xdr:from>
        <xdr:to>
          <xdr:col>14</xdr:col>
          <xdr:colOff>205740</xdr:colOff>
          <xdr:row>12</xdr:row>
          <xdr:rowOff>15240</xdr:rowOff>
        </xdr:to>
        <xdr:sp macro="" textlink="">
          <xdr:nvSpPr>
            <xdr:cNvPr id="347140" name="Option Button 4" hidden="1">
              <a:extLst>
                <a:ext uri="{63B3BB69-23CF-44E3-9099-C40C66FF867C}">
                  <a14:compatExt spid="_x0000_s347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Comitente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121920</xdr:colOff>
          <xdr:row>13</xdr:row>
          <xdr:rowOff>121920</xdr:rowOff>
        </xdr:from>
        <xdr:to>
          <xdr:col>15</xdr:col>
          <xdr:colOff>7620</xdr:colOff>
          <xdr:row>14</xdr:row>
          <xdr:rowOff>144780</xdr:rowOff>
        </xdr:to>
        <xdr:sp macro="" textlink="">
          <xdr:nvSpPr>
            <xdr:cNvPr id="347141" name="Option Button 5" hidden="1">
              <a:extLst>
                <a:ext uri="{63B3BB69-23CF-44E3-9099-C40C66FF867C}">
                  <a14:compatExt spid="_x0000_s347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Comitente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182880</xdr:colOff>
          <xdr:row>5</xdr:row>
          <xdr:rowOff>60960</xdr:rowOff>
        </xdr:from>
        <xdr:to>
          <xdr:col>14</xdr:col>
          <xdr:colOff>68580</xdr:colOff>
          <xdr:row>6</xdr:row>
          <xdr:rowOff>91440</xdr:rowOff>
        </xdr:to>
        <xdr:sp macro="" textlink="">
          <xdr:nvSpPr>
            <xdr:cNvPr id="347142" name="Option Button 6" hidden="1">
              <a:extLst>
                <a:ext uri="{63B3BB69-23CF-44E3-9099-C40C66FF867C}">
                  <a14:compatExt spid="_x0000_s347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Gallo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243840</xdr:colOff>
          <xdr:row>5</xdr:row>
          <xdr:rowOff>60960</xdr:rowOff>
        </xdr:from>
        <xdr:to>
          <xdr:col>15</xdr:col>
          <xdr:colOff>426720</xdr:colOff>
          <xdr:row>6</xdr:row>
          <xdr:rowOff>91440</xdr:rowOff>
        </xdr:to>
        <xdr:sp macro="" textlink="">
          <xdr:nvSpPr>
            <xdr:cNvPr id="347143" name="Option Button 7" hidden="1">
              <a:extLst>
                <a:ext uri="{63B3BB69-23CF-44E3-9099-C40C66FF867C}">
                  <a14:compatExt spid="_x0000_s347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Python</a:t>
              </a:r>
            </a:p>
          </xdr:txBody>
        </xdr:sp>
        <xdr:clientData/>
      </xdr:twoCellAnchor>
    </mc:Choice>
    <mc:Fallback/>
  </mc:AlternateContent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eco_JavaDdeServer" ddeTopic="MyTopic">
    <ddeItems>
      <ddeItem name="bpr?MERV_Ö_XMEV_Ö_AE38_Ö_24hs" advise="1">
        <values>
          <value t="str">
            <val>7010.00</val>
          </value>
        </values>
      </ddeItem>
      <ddeItem name="bpr?MERV_Ö_XMEV_Ö_AE38_Ö_48hs" advise="1">
        <values>
          <value t="str">
            <val>7150.00</val>
          </value>
        </values>
      </ddeItem>
      <ddeItem name="bpr?MERV_Ö_XMEV_Ö_AE38_Ö_CI" advise="1">
        <values>
          <value t="str">
            <val>7100.00</val>
          </value>
        </values>
      </ddeItem>
      <ddeItem name="bpr?MERV_Ö_XMEV_Ö_AE38D_Ö_24hs" advise="1">
        <values>
          <value t="str">
            <val>0.00</val>
          </value>
        </values>
      </ddeItem>
      <ddeItem name="bpr?MERV_Ö_XMEV_Ö_AE38D_Ö_48hs" advise="1">
        <values>
          <value t="str">
            <val>36.15</val>
          </value>
        </values>
      </ddeItem>
      <ddeItem name="bpr?MERV_Ö_XMEV_Ö_AE38D_Ö_CI" advise="1">
        <values>
          <value t="str">
            <val>0.00</val>
          </value>
        </values>
      </ddeItem>
      <ddeItem name="bpr?MERV_Ö_XMEV_Ö_AL29_Ö_24hs" advise="1">
        <values>
          <value t="str">
            <val>0.00</val>
          </value>
        </values>
      </ddeItem>
      <ddeItem name="bpr?MERV_Ö_XMEV_Ö_AL29_Ö_48hs" advise="1">
        <values>
          <value t="str">
            <val>6384.00</val>
          </value>
        </values>
      </ddeItem>
      <ddeItem name="bpr?MERV_Ö_XMEV_Ö_AL29_Ö_CI" advise="1">
        <values>
          <value t="str">
            <val>6391.00</val>
          </value>
        </values>
      </ddeItem>
      <ddeItem name="bpr?MERV_Ö_XMEV_Ö_AL29D_Ö_24hs" advise="1">
        <values>
          <value t="str">
            <val>0.00</val>
          </value>
        </values>
      </ddeItem>
      <ddeItem name="bpr?MERV_Ö_XMEV_Ö_AL29D_Ö_48hs" advise="1">
        <values>
          <value t="str">
            <val>32.25</val>
          </value>
        </values>
      </ddeItem>
      <ddeItem name="bpr?MERV_Ö_XMEV_Ö_AL29D_Ö_CI" advise="1">
        <values>
          <value t="str">
            <val>32.05</val>
          </value>
        </values>
      </ddeItem>
      <ddeItem name="bpr?MERV_Ö_XMEV_Ö_AL30_Ö_24hs" advise="1">
        <values>
          <value t="str">
            <val>5976.00</val>
          </value>
        </values>
      </ddeItem>
      <ddeItem name="bpr?MERV_Ö_XMEV_Ö_AL30_Ö_48hs" advise="1">
        <values>
          <value t="str">
            <val>6025.00</val>
          </value>
        </values>
      </ddeItem>
      <ddeItem name="bpr?MERV_Ö_XMEV_Ö_AL30_Ö_CI" advise="1">
        <values>
          <value t="str">
            <val>6064.00</val>
          </value>
        </values>
      </ddeItem>
      <ddeItem name="bpr?MERV_Ö_XMEV_Ö_AL30C_Ö_24hs" advise="1">
        <values>
          <value t="str">
            <val>0.00</val>
          </value>
        </values>
      </ddeItem>
      <ddeItem name="bpr?MERV_Ö_XMEV_Ö_AL30C_Ö_48hs" advise="1">
        <values>
          <value t="str">
            <val>29.00</val>
          </value>
        </values>
      </ddeItem>
      <ddeItem name="bpr?MERV_Ö_XMEV_Ö_AL30C_Ö_CI" advise="1">
        <values>
          <value t="str">
            <val>29.70</val>
          </value>
        </values>
      </ddeItem>
      <ddeItem name="bpr?MERV_Ö_XMEV_Ö_AL30D_Ö_24hs" advise="1">
        <values>
          <value t="str">
            <val>30.05</val>
          </value>
        </values>
      </ddeItem>
      <ddeItem name="bpr?MERV_Ö_XMEV_Ö_AL30D_Ö_48hs" advise="1">
        <values>
          <value t="str">
            <val>30.65</val>
          </value>
        </values>
      </ddeItem>
      <ddeItem name="bpr?MERV_Ö_XMEV_Ö_AL30D_Ö_CI" advise="1">
        <values>
          <value t="str">
            <val>30.63</val>
          </value>
        </values>
      </ddeItem>
      <ddeItem name="bpr?MERV_Ö_XMEV_Ö_AL41_Ö_24hs" advise="1">
        <values>
          <value t="str">
            <val>0.00</val>
          </value>
        </values>
      </ddeItem>
      <ddeItem name="bpr?MERV_Ö_XMEV_Ö_AL41_Ö_48hs" advise="1">
        <values>
          <value t="str">
            <val>6950.00</val>
          </value>
        </values>
      </ddeItem>
      <ddeItem name="bpr?MERV_Ö_XMEV_Ö_AL41_Ö_CI" advise="1">
        <values>
          <value t="str">
            <val>6948.00</val>
          </value>
        </values>
      </ddeItem>
      <ddeItem name="bpr?MERV_Ö_XMEV_Ö_AL41D_Ö_24hs" advise="1">
        <values>
          <value t="str">
            <val>0.00</val>
          </value>
        </values>
      </ddeItem>
      <ddeItem name="bpr?MERV_Ö_XMEV_Ö_AL41D_Ö_48hs" advise="1">
        <values>
          <value t="str">
            <val>34.90</val>
          </value>
        </values>
      </ddeItem>
      <ddeItem name="bpr?MERV_Ö_XMEV_Ö_AL41D_Ö_CI" advise="1">
        <values>
          <value t="str">
            <val>34.90</val>
          </value>
        </values>
      </ddeItem>
      <ddeItem name="bpr?MERV_Ö_XMEV_Ö_AY24_Ö_24hs" advise="1">
        <values>
          <value t="str">
            <val>0.00</val>
          </value>
        </values>
      </ddeItem>
      <ddeItem name="bpr?MERV_Ö_XMEV_Ö_AY24_Ö_48hs" advise="1">
        <values>
          <value t="str">
            <val>0.00</val>
          </value>
        </values>
      </ddeItem>
      <ddeItem name="bpr?MERV_Ö_XMEV_Ö_AY24_Ö_CI" advise="1">
        <values>
          <value t="str">
            <val>0.00</val>
          </value>
        </values>
      </ddeItem>
      <ddeItem name="bpr?MERV_Ö_XMEV_Ö_AY24D_Ö_24hs" advise="1">
        <values>
          <value t="str">
            <val>0.00</val>
          </value>
        </values>
      </ddeItem>
      <ddeItem name="bpr?MERV_Ö_XMEV_Ö_AY24D_Ö_48hs" advise="1">
        <values>
          <value t="str">
            <val>0.00</val>
          </value>
        </values>
      </ddeItem>
      <ddeItem name="bpr?MERV_Ö_XMEV_Ö_AY24D_Ö_CI" advise="1">
        <values>
          <value t="str">
            <val>0.00</val>
          </value>
        </values>
      </ddeItem>
      <ddeItem name="bpr?MERV_Ö_XMEV_Ö_BYMA_Ö_48hs" advise="1">
        <values>
          <value t="str">
            <val>0.00</val>
          </value>
        </values>
      </ddeItem>
      <ddeItem name="bpr?MERV_Ö_XMEV_Ö_COME_Ö_48hs" advise="1">
        <values>
          <value t="str">
            <val>0.00</val>
          </value>
        </values>
      </ddeItem>
      <ddeItem name="bpr?MERV_Ö_XMEV_Ö_EDN_Ö_48hs" advise="1">
        <values>
          <value t="str">
            <val>0.00</val>
          </value>
        </values>
      </ddeItem>
      <ddeItem name="bpr?MERV_Ö_XMEV_Ö_GD29_Ö_24hs" advise="1">
        <values>
          <value t="str">
            <val>0.00</val>
          </value>
        </values>
      </ddeItem>
      <ddeItem name="bpr?MERV_Ö_XMEV_Ö_GD29_Ö_48hs" advise="1">
        <values>
          <value t="str">
            <val>6953.00</val>
          </value>
        </values>
      </ddeItem>
      <ddeItem name="bpr?MERV_Ö_XMEV_Ö_GD29_Ö_CI" advise="1">
        <values>
          <value t="str">
            <val>6981.00</val>
          </value>
        </values>
      </ddeItem>
      <ddeItem name="bpr?MERV_Ö_XMEV_Ö_GD29C_Ö_24hs" advise="1">
        <values>
          <value t="str">
            <val>0.00</val>
          </value>
        </values>
      </ddeItem>
      <ddeItem name="bpr?MERV_Ö_XMEV_Ö_GD29C_Ö_48hs" advise="1">
        <values>
          <value t="str">
            <val>0.00</val>
          </value>
        </values>
      </ddeItem>
      <ddeItem name="bpr?MERV_Ö_XMEV_Ö_GD29C_Ö_CI" advise="1">
        <values>
          <value t="str">
            <val>0.00</val>
          </value>
        </values>
      </ddeItem>
      <ddeItem name="bpr?MERV_Ö_XMEV_Ö_GD29D_Ö_24hs" advise="1">
        <values>
          <value t="str">
            <val>0.00</val>
          </value>
        </values>
      </ddeItem>
      <ddeItem name="bpr?MERV_Ö_XMEV_Ö_GD29D_Ö_48hs" advise="1">
        <values>
          <value t="str">
            <val>35.18</val>
          </value>
        </values>
      </ddeItem>
      <ddeItem name="bpr?MERV_Ö_XMEV_Ö_GD29D_Ö_CI" advise="1">
        <values>
          <value t="str">
            <val>0.00</val>
          </value>
        </values>
      </ddeItem>
      <ddeItem name="bpr?MERV_Ö_XMEV_Ö_GD30_Ö_24hs" advise="1">
        <values>
          <value t="str">
            <val>0.00</val>
          </value>
        </values>
      </ddeItem>
      <ddeItem name="bpr?MERV_Ö_XMEV_Ö_GD30_Ö_48hs" advise="1">
        <values>
          <value t="str">
            <val>6805.00</val>
          </value>
        </values>
      </ddeItem>
      <ddeItem name="bpr?MERV_Ö_XMEV_Ö_GD30_Ö_CI" advise="1">
        <values>
          <value t="str">
            <val>6860.00</val>
          </value>
        </values>
      </ddeItem>
      <ddeItem name="bpr?MERV_Ö_XMEV_Ö_GD30C_Ö_24hs" advise="1">
        <values>
          <value t="str">
            <val>33.50</val>
          </value>
        </values>
      </ddeItem>
      <ddeItem name="bpr?MERV_Ö_XMEV_Ö_GD30C_Ö_48hs" advise="1">
        <values>
          <value t="str">
            <val>33.68</val>
          </value>
        </values>
      </ddeItem>
      <ddeItem name="bpr?MERV_Ö_XMEV_Ö_GD30C_Ö_CI" advise="1">
        <values>
          <value t="str">
            <val>33.59</val>
          </value>
        </values>
      </ddeItem>
      <ddeItem name="bpr?MERV_Ö_XMEV_Ö_GD30D_Ö_24hs" advise="1">
        <values>
          <value t="str">
            <val>34.50</val>
          </value>
        </values>
      </ddeItem>
      <ddeItem name="bpr?MERV_Ö_XMEV_Ö_GD30D_Ö_48hs" advise="1">
        <values>
          <value t="str">
            <val>34.70</val>
          </value>
        </values>
      </ddeItem>
      <ddeItem name="bpr?MERV_Ö_XMEV_Ö_GD30D_Ö_CI" advise="1">
        <values>
          <value t="str">
            <val>34.81</val>
          </value>
        </values>
      </ddeItem>
      <ddeItem name="bpr?MERV_Ö_XMEV_Ö_GD35_Ö_24hs" advise="1">
        <values>
          <value t="str">
            <val>0.00</val>
          </value>
        </values>
      </ddeItem>
      <ddeItem name="bpr?MERV_Ö_XMEV_Ö_GD35_Ö_48hs" advise="1">
        <values>
          <value t="str">
            <val>6340.00</val>
          </value>
        </values>
      </ddeItem>
      <ddeItem name="bpr?MERV_Ö_XMEV_Ö_GD35_Ö_CI" advise="1">
        <values>
          <value t="str">
            <val>6340.00</val>
          </value>
        </values>
      </ddeItem>
      <ddeItem name="bpr?MERV_Ö_XMEV_Ö_GD35C_Ö_24hs" advise="1">
        <values>
          <value t="str">
            <val>0.00</val>
          </value>
        </values>
      </ddeItem>
      <ddeItem name="bpr?MERV_Ö_XMEV_Ö_GD35C_Ö_48hs" advise="1">
        <values>
          <value t="str">
            <val>31.00</val>
          </value>
        </values>
      </ddeItem>
      <ddeItem name="bpr?MERV_Ö_XMEV_Ö_GD35C_Ö_CI" advise="1">
        <values>
          <value t="str">
            <val>31.00</val>
          </value>
        </values>
      </ddeItem>
      <ddeItem name="bpr?MERV_Ö_XMEV_Ö_GD35D_Ö_24hs" advise="1">
        <values>
          <value t="str">
            <val>0.00</val>
          </value>
        </values>
      </ddeItem>
      <ddeItem name="bpr?MERV_Ö_XMEV_Ö_GD35D_Ö_48hs" advise="1">
        <values>
          <value t="str">
            <val>32.19</val>
          </value>
        </values>
      </ddeItem>
      <ddeItem name="bpr?MERV_Ö_XMEV_Ö_GD35D_Ö_CI" advise="1">
        <values>
          <value t="str">
            <val>31.64</val>
          </value>
        </values>
      </ddeItem>
      <ddeItem name="bpr?MERV_Ö_XMEV_Ö_GFGC132.AB_Ö_24hs" advise="1">
        <values>
          <value t="str">
            <val>75.200</val>
          </value>
        </values>
      </ddeItem>
      <ddeItem name="bpr?MERV_Ö_XMEV_Ö_GFGC135.AB_Ö_24hs" advise="1"/>
      <ddeItem name="bpr?MERV_Ö_XMEV_Ö_GFGC140.AB_Ö_24hs" advise="1"/>
      <ddeItem name="bpr?MERV_Ö_XMEV_Ö_GFGC145.AB_Ö_24hs" advise="1"/>
      <ddeItem name="bpr?MERV_Ö_XMEV_Ö_GFGC150.AB_Ö_24hs" advise="1">
        <values>
          <value t="str">
            <val>0.000</val>
          </value>
        </values>
      </ddeItem>
      <ddeItem name="bpr?MERV_Ö_XMEV_Ö_GFGC155.AB_Ö_24hs" advise="1"/>
      <ddeItem name="bpr?MERV_Ö_XMEV_Ö_GFGC160.AB_Ö_24hs" advise="1"/>
      <ddeItem name="bpr?MERV_Ö_XMEV_Ö_GFGC165.AB_Ö_24hs" advise="1">
        <values>
          <value t="str">
            <val>48.381</val>
          </value>
        </values>
      </ddeItem>
      <ddeItem name="bpr?MERV_Ö_XMEV_Ö_GFGC170.AB_Ö_24hs" advise="1"/>
      <ddeItem name="bpr?MERV_Ö_XMEV_Ö_GFGC175.AB_Ö_24hs" advise="1"/>
      <ddeItem name="bpr?MERV_Ö_XMEV_Ö_GFGC180.AB_Ö_24hs" advise="1">
        <values>
          <value t="str">
            <val>33.300</val>
          </value>
        </values>
      </ddeItem>
      <ddeItem name="bpr?MERV_Ö_XMEV_Ö_GFGC185.AB_Ö_24hs" advise="1">
        <values>
          <value t="str">
            <val>34.000</val>
          </value>
        </values>
      </ddeItem>
      <ddeItem name="bpr?MERV_Ö_XMEV_Ö_GFGC190.AB_Ö_24hs" advise="1">
        <values>
          <value t="str">
            <val>32.500</val>
          </value>
        </values>
      </ddeItem>
      <ddeItem name="bpr?MERV_Ö_XMEV_Ö_GFGC195.AB_Ö_24hs" advise="1">
        <values>
          <value t="str">
            <val>28.501</val>
          </value>
        </values>
      </ddeItem>
      <ddeItem name="bpr?MERV_Ö_XMEV_Ö_GFGC200.AB_Ö_24hs" advise="1">
        <values>
          <value t="str">
            <val>24.600</val>
          </value>
        </values>
      </ddeItem>
      <ddeItem name="bpr?MERV_Ö_XMEV_Ö_GFGC210.AB_Ö_24hs" advise="1">
        <values>
          <value t="str">
            <val>19.100</val>
          </value>
        </values>
      </ddeItem>
      <ddeItem name="bpr?MERV_Ö_XMEV_Ö_GFGC220.AB_Ö_24hs" advise="1">
        <values>
          <value t="str">
            <val>14.700</val>
          </value>
        </values>
      </ddeItem>
      <ddeItem name="bpr?MERV_Ö_XMEV_Ö_GFGC230.AB_Ö_24hs" advise="1">
        <values>
          <value t="str">
            <val>10.500</val>
          </value>
        </values>
      </ddeItem>
      <ddeItem name="bpr?MERV_Ö_XMEV_Ö_GFGC240.AB_Ö_24hs" advise="1">
        <values>
          <value t="str">
            <val>7.355</val>
          </value>
        </values>
      </ddeItem>
      <ddeItem name="bpr?MERV_Ö_XMEV_Ö_GFGC250.AB_Ö_24hs" advise="1">
        <values>
          <value t="str">
            <val>5.210</val>
          </value>
        </values>
      </ddeItem>
      <ddeItem name="bpr?MERV_Ö_XMEV_Ö_GFGC260.AB_Ö_24hs" advise="1">
        <values>
          <value t="str">
            <val>3.601</val>
          </value>
        </values>
      </ddeItem>
      <ddeItem name="bpr?MERV_Ö_XMEV_Ö_GFGC270.AB_Ö_24hs" advise="1">
        <values>
          <value t="str">
            <val>2.450</val>
          </value>
        </values>
      </ddeItem>
      <ddeItem name="bpr?MERV_Ö_XMEV_Ö_GFGC280.AB_Ö_24hs" advise="1">
        <values>
          <value t="str">
            <val>1.710</val>
          </value>
        </values>
      </ddeItem>
      <ddeItem name="bpr?MERV_Ö_XMEV_Ö_GFGC290.AB_Ö_24hs" advise="1">
        <values>
          <value t="str">
            <val>1.150</val>
          </value>
        </values>
      </ddeItem>
      <ddeItem name="bpr?MERV_Ö_XMEV_Ö_GFGC300.AB_Ö_24hs" advise="1">
        <values>
          <value t="str">
            <val>0.801</val>
          </value>
        </values>
      </ddeItem>
      <ddeItem name="bpr?MERV_Ö_XMEV_Ö_GFGC310.AB_Ö_24hs" advise="1">
        <values>
          <value t="str">
            <val>0.561</val>
          </value>
        </values>
      </ddeItem>
      <ddeItem name="bpr?MERV_Ö_XMEV_Ö_GFGC320.AB_Ö_24hs" advise="1">
        <values>
          <value t="str">
            <val>0.200</val>
          </value>
        </values>
      </ddeItem>
      <ddeItem name="bpr?MERV_Ö_XMEV_Ö_GFGC330.AB_Ö_24hs" advise="1">
        <values>
          <value t="str">
            <val>0.341</val>
          </value>
        </values>
      </ddeItem>
      <ddeItem name="bpr?MERV_Ö_XMEV_Ö_GFGC340.AB_Ö_24hs" advise="1">
        <values>
          <value t="str">
            <val>0.220</val>
          </value>
        </values>
      </ddeItem>
      <ddeItem name="bpr?MERV_Ö_XMEV_Ö_GFGC350.AB_Ö_24hs" advise="1">
        <values>
          <value t="str">
            <val>0.210</val>
          </value>
        </values>
      </ddeItem>
      <ddeItem name="bpr?MERV_Ö_XMEV_Ö_GFGC360.AB_Ö_24hs" advise="1">
        <values>
          <value t="str">
            <val>0.176</val>
          </value>
        </values>
      </ddeItem>
      <ddeItem name="bpr?MERV_Ö_XMEV_Ö_GFGV132.AB_Ö_24hs" advise="1">
        <values>
          <value t="str">
            <val>0.155</val>
          </value>
        </values>
      </ddeItem>
      <ddeItem name="bpr?MERV_Ö_XMEV_Ö_GFGV135.AB_Ö_24hs" advise="1">
        <values>
          <value t="str">
            <val>0.162</val>
          </value>
        </values>
      </ddeItem>
      <ddeItem name="bpr?MERV_Ö_XMEV_Ö_GFGV140.AB_Ö_24hs" advise="1"/>
      <ddeItem name="bpr?MERV_Ö_XMEV_Ö_GFGV145.AB_Ö_24hs" advise="1">
        <values>
          <value t="str">
            <val>0.202</val>
          </value>
        </values>
      </ddeItem>
      <ddeItem name="bpr?MERV_Ö_XMEV_Ö_GFGV150.AB_Ö_24hs" advise="1"/>
      <ddeItem name="bpr?MERV_Ö_XMEV_Ö_GFGV155.AB_Ö_24hs" advise="1"/>
      <ddeItem name="bpr?MERV_Ö_XMEV_Ö_GFGV160.AB_Ö_24hs" advise="1">
        <values>
          <value t="str">
            <val>0.450</val>
          </value>
        </values>
      </ddeItem>
      <ddeItem name="bpr?MERV_Ö_XMEV_Ö_GFGV165.AB_Ö_24hs" advise="1">
        <values>
          <value t="str">
            <val>0.000</val>
          </value>
        </values>
      </ddeItem>
      <ddeItem name="bpr?MERV_Ö_XMEV_Ö_GFGV170.AB_Ö_24hs" advise="1">
        <values>
          <value t="str">
            <val>0.700</val>
          </value>
        </values>
      </ddeItem>
      <ddeItem name="bpr?MERV_Ö_XMEV_Ö_GFGV175.AB_Ö_24hs" advise="1">
        <values>
          <value t="str">
            <val>0.000</val>
          </value>
        </values>
      </ddeItem>
      <ddeItem name="bpr?MERV_Ö_XMEV_Ö_GFGV180.AB_Ö_24hs" advise="1">
        <values>
          <value t="str">
            <val>1.300</val>
          </value>
        </values>
      </ddeItem>
      <ddeItem name="bpr?MERV_Ö_XMEV_Ö_GFGV185.AB_Ö_24hs" advise="1">
        <values>
          <value t="str">
            <val>1.700</val>
          </value>
        </values>
      </ddeItem>
      <ddeItem name="bpr?MERV_Ö_XMEV_Ö_GFGV190.AB_Ö_24hs" advise="1">
        <values>
          <value t="str">
            <val>2.310</val>
          </value>
        </values>
      </ddeItem>
      <ddeItem name="bpr?MERV_Ö_XMEV_Ö_GFGV195.AB_Ö_24hs" advise="1">
        <values>
          <value t="str">
            <val>3.550</val>
          </value>
        </values>
      </ddeItem>
      <ddeItem name="bpr?MERV_Ö_XMEV_Ö_GFGV200.AB_Ö_24hs" advise="1">
        <values>
          <value t="str">
            <val>5.050</val>
          </value>
        </values>
      </ddeItem>
      <ddeItem name="bpr?MERV_Ö_XMEV_Ö_GFGV210.AB_Ö_24hs" advise="1">
        <values>
          <value t="str">
            <val>8.500</val>
          </value>
        </values>
      </ddeItem>
      <ddeItem name="bpr?MERV_Ö_XMEV_Ö_GFGV220.AB_Ö_24hs" advise="1">
        <values>
          <value t="str">
            <val>13.600</val>
          </value>
        </values>
      </ddeItem>
      <ddeItem name="bpr?MERV_Ö_XMEV_Ö_GFGV230.AB_Ö_24hs" advise="1">
        <values>
          <value t="str">
            <val>20.001</val>
          </value>
        </values>
      </ddeItem>
      <ddeItem name="bpr?MERV_Ö_XMEV_Ö_GFGV240.AB_Ö_24hs" advise="1">
        <values>
          <value t="str">
            <val>0.000</val>
          </value>
        </values>
      </ddeItem>
      <ddeItem name="bpr?MERV_Ö_XMEV_Ö_GFGV250.AB_Ö_24hs" advise="1">
        <values>
          <value t="str">
            <val>0.000</val>
          </value>
        </values>
      </ddeItem>
      <ddeItem name="bpr?MERV_Ö_XMEV_Ö_GFGV260.AB_Ö_24hs" advise="1">
        <values>
          <value t="str">
            <val>0.000</val>
          </value>
        </values>
      </ddeItem>
      <ddeItem name="bpr?MERV_Ö_XMEV_Ö_GFGV270.AB_Ö_24hs" advise="1">
        <values>
          <value t="str">
            <val>0.000</val>
          </value>
        </values>
      </ddeItem>
      <ddeItem name="bpr?MERV_Ö_XMEV_Ö_GFGV280.AB_Ö_24hs" advise="1">
        <values>
          <value t="str">
            <val>0.000</val>
          </value>
        </values>
      </ddeItem>
      <ddeItem name="bpr?MERV_Ö_XMEV_Ö_GFGV290.AB_Ö_24hs" advise="1">
        <values>
          <value t="str">
            <val>0.000</val>
          </value>
        </values>
      </ddeItem>
      <ddeItem name="bpr?MERV_Ö_XMEV_Ö_GFGV300.AB_Ö_24hs" advise="1">
        <values>
          <value t="str">
            <val>0.000</val>
          </value>
        </values>
      </ddeItem>
      <ddeItem name="bpr?MERV_Ö_XMEV_Ö_GFGV310.AB_Ö_24hs" advise="1">
        <values>
          <value t="str">
            <val>0.000</val>
          </value>
        </values>
      </ddeItem>
      <ddeItem name="bpr?MERV_Ö_XMEV_Ö_GFGV320.AB_Ö_24hs" advise="1">
        <values>
          <value t="str">
            <val>0.000</val>
          </value>
        </values>
      </ddeItem>
      <ddeItem name="bpr?MERV_Ö_XMEV_Ö_GFGV330.AB_Ö_24hs" advise="1">
        <values>
          <value t="str">
            <val>0.000</val>
          </value>
        </values>
      </ddeItem>
      <ddeItem name="bpr?MERV_Ö_XMEV_Ö_GFGV340.AB_Ö_24hs" advise="1">
        <values>
          <value t="str">
            <val>0.000</val>
          </value>
        </values>
      </ddeItem>
      <ddeItem name="bpr?MERV_Ö_XMEV_Ö_GFGV350.AB_Ö_24hs" advise="1">
        <values>
          <value t="str">
            <val>0.000</val>
          </value>
        </values>
      </ddeItem>
      <ddeItem name="bpr?MERV_Ö_XMEV_Ö_GFGV360.AB_Ö_24hs" advise="1">
        <values>
          <value t="str">
            <val>0.000</val>
          </value>
        </values>
      </ddeItem>
      <ddeItem name="bpr?MERV_Ö_XMEV_Ö_GGAL_Ö_24hs" advise="1">
        <values>
          <value t="str">
            <val>209.00</val>
          </value>
        </values>
      </ddeItem>
      <ddeItem name="bpr?MERV_Ö_XMEV_Ö_GGAL_Ö_48hs" advise="1">
        <values>
          <value t="str">
            <val>209.10</val>
          </value>
        </values>
      </ddeItem>
      <ddeItem name="bpr?MERV_Ö_XMEV_Ö_GGAL_Ö_CI" advise="1">
        <values>
          <value t="str">
            <val>207.00</val>
          </value>
        </values>
      </ddeItem>
      <ddeItem name="bpr?MERV_Ö_XMEV_Ö_MIRG_Ö_48hs" advise="1">
        <values>
          <value t="str">
            <val>0.00</val>
          </value>
        </values>
      </ddeItem>
      <ddeItem name="bpr?MERV_Ö_XMEV_Ö_PAMP_Ö_48hs" advise="1">
        <values>
          <value t="str">
            <val>0.00</val>
          </value>
        </values>
      </ddeItem>
      <ddeItem name="bpr?MERV_Ö_XMEV_Ö_SUPV_Ö_48hs" advise="1">
        <values>
          <value t="str">
            <val>0.00</val>
          </value>
        </values>
      </ddeItem>
      <ddeItem name="bpr?MERV_Ö_XMEV_Ö_TXAR_Ö_48hs" advise="1">
        <values>
          <value t="str">
            <val>0.00</val>
          </value>
        </values>
      </ddeItem>
      <ddeItem name="bpr?MERV_Ö_XMEV_Ö_VALO_Ö_48hs" advise="1">
        <values>
          <value t="str">
            <val>0.00</val>
          </value>
        </values>
      </ddeItem>
      <ddeItem name="bpr?MERV_Ö_XMEV_Ö_YPFD_Ö_48hs" advise="1">
        <values>
          <value t="str">
            <val>0.00</val>
          </value>
        </values>
      </ddeItem>
      <ddeItem name="bsi?MERV_Ö_XMEV_Ö_AE38_Ö_24hs" advise="1">
        <values>
          <value t="str">
            <val>20000</val>
          </value>
        </values>
      </ddeItem>
      <ddeItem name="bsi?MERV_Ö_XMEV_Ö_AE38_Ö_48hs" advise="1">
        <values>
          <value t="str">
            <val>50</val>
          </value>
        </values>
      </ddeItem>
      <ddeItem name="bsi?MERV_Ö_XMEV_Ö_AE38_Ö_CI" advise="1">
        <values>
          <value t="str">
            <val>420</val>
          </value>
        </values>
      </ddeItem>
      <ddeItem name="bsi?MERV_Ö_XMEV_Ö_AE38D_Ö_24hs" advise="1">
        <values>
          <value t="str">
            <val>0</val>
          </value>
        </values>
      </ddeItem>
      <ddeItem name="bsi?MERV_Ö_XMEV_Ö_AE38D_Ö_48hs" advise="1">
        <values>
          <value t="str">
            <val>5000</val>
          </value>
        </values>
      </ddeItem>
      <ddeItem name="bsi?MERV_Ö_XMEV_Ö_AE38D_Ö_CI" advise="1">
        <values>
          <value t="str">
            <val>0</val>
          </value>
        </values>
      </ddeItem>
      <ddeItem name="bsi?MERV_Ö_XMEV_Ö_AL29_Ö_24hs" advise="1">
        <values>
          <value t="str">
            <val>0</val>
          </value>
        </values>
      </ddeItem>
      <ddeItem name="bsi?MERV_Ö_XMEV_Ö_AL29_Ö_48hs" advise="1">
        <values>
          <value t="str">
            <val>2</val>
          </value>
        </values>
      </ddeItem>
      <ddeItem name="bsi?MERV_Ö_XMEV_Ö_AL29_Ö_CI" advise="1">
        <values>
          <value t="str">
            <val>765</val>
          </value>
        </values>
      </ddeItem>
      <ddeItem name="bsi?MERV_Ö_XMEV_Ö_AL29D_Ö_24hs" advise="1">
        <values>
          <value t="str">
            <val>0</val>
          </value>
        </values>
      </ddeItem>
      <ddeItem name="bsi?MERV_Ö_XMEV_Ö_AL29D_Ö_48hs" advise="1">
        <values>
          <value t="str">
            <val>10352</val>
          </value>
        </values>
      </ddeItem>
      <ddeItem name="bsi?MERV_Ö_XMEV_Ö_AL29D_Ö_CI" advise="1">
        <values>
          <value t="str">
            <val>2500</val>
          </value>
        </values>
      </ddeItem>
      <ddeItem name="bsi?MERV_Ö_XMEV_Ö_AL30_Ö_24hs" advise="1">
        <values>
          <value t="str">
            <val>10000</val>
          </value>
        </values>
      </ddeItem>
      <ddeItem name="bsi?MERV_Ö_XMEV_Ö_AL30_Ö_48hs" advise="1">
        <values>
          <value t="str">
            <val>16115</val>
          </value>
        </values>
      </ddeItem>
      <ddeItem name="bsi?MERV_Ö_XMEV_Ö_AL30_Ö_CI" advise="1">
        <values>
          <value t="str">
            <val>200</val>
          </value>
        </values>
      </ddeItem>
      <ddeItem name="bsi?MERV_Ö_XMEV_Ö_AL30C_Ö_24hs" advise="1">
        <values>
          <value t="str">
            <val>0</val>
          </value>
        </values>
      </ddeItem>
      <ddeItem name="bsi?MERV_Ö_XMEV_Ö_AL30C_Ö_48hs" advise="1">
        <values>
          <value t="str">
            <val>20000</val>
          </value>
        </values>
      </ddeItem>
      <ddeItem name="bsi?MERV_Ö_XMEV_Ö_AL30C_Ö_CI" advise="1">
        <values>
          <value t="str">
            <val>100000</val>
          </value>
        </values>
      </ddeItem>
      <ddeItem name="bsi?MERV_Ö_XMEV_Ö_AL30D_Ö_24hs" advise="1">
        <values>
          <value t="str">
            <val>1148</val>
          </value>
        </values>
      </ddeItem>
      <ddeItem name="bsi?MERV_Ö_XMEV_Ö_AL30D_Ö_48hs" advise="1">
        <values>
          <value t="str">
            <val>2125</val>
          </value>
        </values>
      </ddeItem>
      <ddeItem name="bsi?MERV_Ö_XMEV_Ö_AL30D_Ö_CI" advise="1">
        <values>
          <value t="str">
            <val>300</val>
          </value>
        </values>
      </ddeItem>
      <ddeItem name="bsi?MERV_Ö_XMEV_Ö_AL41_Ö_24hs" advise="1">
        <values>
          <value t="str">
            <val>0</val>
          </value>
        </values>
      </ddeItem>
      <ddeItem name="bsi?MERV_Ö_XMEV_Ö_AL41_Ö_48hs" advise="1">
        <values>
          <value t="str">
            <val>198</val>
          </value>
        </values>
      </ddeItem>
      <ddeItem name="bsi?MERV_Ö_XMEV_Ö_AL41_Ö_CI" advise="1">
        <values>
          <value t="str">
            <val>300</val>
          </value>
        </values>
      </ddeItem>
      <ddeItem name="bsi?MERV_Ö_XMEV_Ö_AL41D_Ö_24hs" advise="1">
        <values>
          <value t="str">
            <val>0</val>
          </value>
        </values>
      </ddeItem>
      <ddeItem name="bsi?MERV_Ö_XMEV_Ö_AL41D_Ö_48hs" advise="1">
        <values>
          <value t="str">
            <val>9729</val>
          </value>
        </values>
      </ddeItem>
      <ddeItem name="bsi?MERV_Ö_XMEV_Ö_AL41D_Ö_CI" advise="1">
        <values>
          <value t="str">
            <val>8898</val>
          </value>
        </values>
      </ddeItem>
      <ddeItem name="bsi?MERV_Ö_XMEV_Ö_AY24_Ö_24hs" advise="1">
        <values>
          <value t="str">
            <val>0</val>
          </value>
        </values>
      </ddeItem>
      <ddeItem name="bsi?MERV_Ö_XMEV_Ö_AY24_Ö_48hs" advise="1">
        <values>
          <value t="str">
            <val>0</val>
          </value>
        </values>
      </ddeItem>
      <ddeItem name="bsi?MERV_Ö_XMEV_Ö_AY24_Ö_CI" advise="1">
        <values>
          <value t="str">
            <val>0</val>
          </value>
        </values>
      </ddeItem>
      <ddeItem name="bsi?MERV_Ö_XMEV_Ö_AY24D_Ö_24hs" advise="1">
        <values>
          <value t="str">
            <val>0</val>
          </value>
        </values>
      </ddeItem>
      <ddeItem name="bsi?MERV_Ö_XMEV_Ö_AY24D_Ö_48hs" advise="1">
        <values>
          <value t="str">
            <val>0</val>
          </value>
        </values>
      </ddeItem>
      <ddeItem name="bsi?MERV_Ö_XMEV_Ö_AY24D_Ö_CI" advise="1">
        <values>
          <value t="str">
            <val>0</val>
          </value>
        </values>
      </ddeItem>
      <ddeItem name="bsi?MERV_Ö_XMEV_Ö_BYMA_Ö_48hs" advise="1">
        <values>
          <value t="str">
            <val>0</val>
          </value>
        </values>
      </ddeItem>
      <ddeItem name="bsi?MERV_Ö_XMEV_Ö_COME_Ö_48hs" advise="1">
        <values>
          <value t="str">
            <val>0</val>
          </value>
        </values>
      </ddeItem>
      <ddeItem name="bsi?MERV_Ö_XMEV_Ö_EDN_Ö_48hs" advise="1">
        <values>
          <value t="str">
            <val>0</val>
          </value>
        </values>
      </ddeItem>
      <ddeItem name="bsi?MERV_Ö_XMEV_Ö_GD29_Ö_24hs" advise="1">
        <values>
          <value t="str">
            <val>0</val>
          </value>
        </values>
      </ddeItem>
      <ddeItem name="bsi?MERV_Ö_XMEV_Ö_GD29_Ö_48hs" advise="1">
        <values>
          <value t="str">
            <val>100</val>
          </value>
        </values>
      </ddeItem>
      <ddeItem name="bsi?MERV_Ö_XMEV_Ö_GD29_Ö_CI" advise="1">
        <values>
          <value t="str">
            <val>34</val>
          </value>
        </values>
      </ddeItem>
      <ddeItem name="bsi?MERV_Ö_XMEV_Ö_GD29C_Ö_24hs" advise="1">
        <values>
          <value t="str">
            <val>0</val>
          </value>
        </values>
      </ddeItem>
      <ddeItem name="bsi?MERV_Ö_XMEV_Ö_GD29C_Ö_48hs" advise="1">
        <values>
          <value t="str">
            <val>0</val>
          </value>
        </values>
      </ddeItem>
      <ddeItem name="bsi?MERV_Ö_XMEV_Ö_GD29C_Ö_CI" advise="1">
        <values>
          <value t="str">
            <val>0</val>
          </value>
        </values>
      </ddeItem>
      <ddeItem name="bsi?MERV_Ö_XMEV_Ö_GD29D_Ö_24hs" advise="1">
        <values>
          <value t="str">
            <val>0</val>
          </value>
        </values>
      </ddeItem>
      <ddeItem name="bsi?MERV_Ö_XMEV_Ö_GD29D_Ö_48hs" advise="1">
        <values>
          <value t="str">
            <val>5</val>
          </value>
        </values>
      </ddeItem>
      <ddeItem name="bsi?MERV_Ö_XMEV_Ö_GD29D_Ö_CI" advise="1">
        <values>
          <value t="str">
            <val>0</val>
          </value>
        </values>
      </ddeItem>
      <ddeItem name="bsi?MERV_Ö_XMEV_Ö_GD30_Ö_24hs" advise="1">
        <values>
          <value t="str">
            <val>0</val>
          </value>
        </values>
      </ddeItem>
      <ddeItem name="bsi?MERV_Ö_XMEV_Ö_GD30_Ö_48hs" advise="1">
        <values>
          <value t="str">
            <val>55728</val>
          </value>
        </values>
      </ddeItem>
      <ddeItem name="bsi?MERV_Ö_XMEV_Ö_GD30_Ö_CI" advise="1">
        <values>
          <value t="str">
            <val>1000</val>
          </value>
        </values>
      </ddeItem>
      <ddeItem name="bsi?MERV_Ö_XMEV_Ö_GD30C_Ö_24hs" advise="1">
        <values>
          <value t="str">
            <val>746</val>
          </value>
        </values>
      </ddeItem>
      <ddeItem name="bsi?MERV_Ö_XMEV_Ö_GD30C_Ö_48hs" advise="1">
        <values>
          <value t="str">
            <val>5000</val>
          </value>
        </values>
      </ddeItem>
      <ddeItem name="bsi?MERV_Ö_XMEV_Ö_GD30C_Ö_CI" advise="1">
        <values>
          <value t="str">
            <val>50000</val>
          </value>
        </values>
      </ddeItem>
      <ddeItem name="bsi?MERV_Ö_XMEV_Ö_GD30D_Ö_24hs" advise="1">
        <values>
          <value t="str">
            <val>25000</val>
          </value>
        </values>
      </ddeItem>
      <ddeItem name="bsi?MERV_Ö_XMEV_Ö_GD30D_Ö_48hs" advise="1">
        <values>
          <value t="str">
            <val>180000</val>
          </value>
        </values>
      </ddeItem>
      <ddeItem name="bsi?MERV_Ö_XMEV_Ö_GD30D_Ö_CI" advise="1">
        <values>
          <value t="str">
            <val>50000</val>
          </value>
        </values>
      </ddeItem>
      <ddeItem name="bsi?MERV_Ö_XMEV_Ö_GD35_Ö_24hs" advise="1">
        <values>
          <value t="str">
            <val>0</val>
          </value>
        </values>
      </ddeItem>
      <ddeItem name="bsi?MERV_Ö_XMEV_Ö_GD35_Ö_48hs" advise="1">
        <values>
          <value t="str">
            <val>3817</val>
          </value>
        </values>
      </ddeItem>
      <ddeItem name="bsi?MERV_Ö_XMEV_Ö_GD35_Ö_CI" advise="1">
        <values>
          <value t="str">
            <val>39400</val>
          </value>
        </values>
      </ddeItem>
      <ddeItem name="bsi?MERV_Ö_XMEV_Ö_GD35C_Ö_24hs" advise="1">
        <values>
          <value t="str">
            <val>0</val>
          </value>
        </values>
      </ddeItem>
      <ddeItem name="bsi?MERV_Ö_XMEV_Ö_GD35C_Ö_48hs" advise="1">
        <values>
          <value t="str">
            <val>150000</val>
          </value>
        </values>
      </ddeItem>
      <ddeItem name="bsi?MERV_Ö_XMEV_Ö_GD35C_Ö_CI" advise="1">
        <values>
          <value t="str">
            <val>150000</val>
          </value>
        </values>
      </ddeItem>
      <ddeItem name="bsi?MERV_Ö_XMEV_Ö_GD35D_Ö_24hs" advise="1">
        <values>
          <value t="str">
            <val>0</val>
          </value>
        </values>
      </ddeItem>
      <ddeItem name="bsi?MERV_Ö_XMEV_Ö_GD35D_Ö_48hs" advise="1">
        <values>
          <value t="str">
            <val>4</val>
          </value>
        </values>
      </ddeItem>
      <ddeItem name="bsi?MERV_Ö_XMEV_Ö_GD35D_Ö_CI" advise="1">
        <values>
          <value t="str">
            <val>20</val>
          </value>
        </values>
      </ddeItem>
      <ddeItem name="bsi?MERV_Ö_XMEV_Ö_GFGC132.AB_Ö_24hs" advise="1">
        <values>
          <value t="str">
            <val>1</val>
          </value>
        </values>
      </ddeItem>
      <ddeItem name="bsi?MERV_Ö_XMEV_Ö_GFGC135.AB_Ö_24hs" advise="1"/>
      <ddeItem name="bsi?MERV_Ö_XMEV_Ö_GFGC140.AB_Ö_24hs" advise="1"/>
      <ddeItem name="bsi?MERV_Ö_XMEV_Ö_GFGC145.AB_Ö_24hs" advise="1"/>
      <ddeItem name="bsi?MERV_Ö_XMEV_Ö_GFGC150.AB_Ö_24hs" advise="1">
        <values>
          <value t="str">
            <val>0</val>
          </value>
        </values>
      </ddeItem>
      <ddeItem name="bsi?MERV_Ö_XMEV_Ö_GFGC155.AB_Ö_24hs" advise="1"/>
      <ddeItem name="bsi?MERV_Ö_XMEV_Ö_GFGC160.AB_Ö_24hs" advise="1"/>
      <ddeItem name="bsi?MERV_Ö_XMEV_Ö_GFGC165.AB_Ö_24hs" advise="1">
        <values>
          <value t="str">
            <val>1</val>
          </value>
        </values>
      </ddeItem>
      <ddeItem name="bsi?MERV_Ö_XMEV_Ö_GFGC170.AB_Ö_24hs" advise="1"/>
      <ddeItem name="bsi?MERV_Ö_XMEV_Ö_GFGC175.AB_Ö_24hs" advise="1"/>
      <ddeItem name="bsi?MERV_Ö_XMEV_Ö_GFGC180.AB_Ö_24hs" advise="1">
        <values>
          <value t="str">
            <val>500</val>
          </value>
        </values>
      </ddeItem>
      <ddeItem name="bsi?MERV_Ö_XMEV_Ö_GFGC185.AB_Ö_24hs" advise="1">
        <values>
          <value t="str">
            <val>2</val>
          </value>
        </values>
      </ddeItem>
      <ddeItem name="bsi?MERV_Ö_XMEV_Ö_GFGC190.AB_Ö_24hs" advise="1">
        <values>
          <value t="str">
            <val>2</val>
          </value>
        </values>
      </ddeItem>
      <ddeItem name="bsi?MERV_Ö_XMEV_Ö_GFGC195.AB_Ö_24hs" advise="1">
        <values>
          <value t="str">
            <val>2</val>
          </value>
        </values>
      </ddeItem>
      <ddeItem name="bsi?MERV_Ö_XMEV_Ö_GFGC200.AB_Ö_24hs" advise="1">
        <values>
          <value t="str">
            <val>12</val>
          </value>
        </values>
      </ddeItem>
      <ddeItem name="bsi?MERV_Ö_XMEV_Ö_GFGC210.AB_Ö_24hs" advise="1">
        <values>
          <value t="str">
            <val>70</val>
          </value>
        </values>
      </ddeItem>
      <ddeItem name="bsi?MERV_Ö_XMEV_Ö_GFGC220.AB_Ö_24hs" advise="1">
        <values>
          <value t="str">
            <val>5</val>
          </value>
        </values>
      </ddeItem>
      <ddeItem name="bsi?MERV_Ö_XMEV_Ö_GFGC230.AB_Ö_24hs" advise="1">
        <values>
          <value t="str">
            <val>25</val>
          </value>
        </values>
      </ddeItem>
      <ddeItem name="bsi?MERV_Ö_XMEV_Ö_GFGC240.AB_Ö_24hs" advise="1">
        <values>
          <value t="str">
            <val>5</val>
          </value>
        </values>
      </ddeItem>
      <ddeItem name="bsi?MERV_Ö_XMEV_Ö_GFGC250.AB_Ö_24hs" advise="1">
        <values>
          <value t="str">
            <val>49</val>
          </value>
        </values>
      </ddeItem>
      <ddeItem name="bsi?MERV_Ö_XMEV_Ö_GFGC260.AB_Ö_24hs" advise="1">
        <values>
          <value t="str">
            <val>10</val>
          </value>
        </values>
      </ddeItem>
      <ddeItem name="bsi?MERV_Ö_XMEV_Ö_GFGC270.AB_Ö_24hs" advise="1">
        <values>
          <value t="str">
            <val>3</val>
          </value>
        </values>
      </ddeItem>
      <ddeItem name="bsi?MERV_Ö_XMEV_Ö_GFGC280.AB_Ö_24hs" advise="1">
        <values>
          <value t="str">
            <val>8</val>
          </value>
        </values>
      </ddeItem>
      <ddeItem name="bsi?MERV_Ö_XMEV_Ö_GFGC290.AB_Ö_24hs" advise="1">
        <values>
          <value t="str">
            <val>13</val>
          </value>
        </values>
      </ddeItem>
      <ddeItem name="bsi?MERV_Ö_XMEV_Ö_GFGC300.AB_Ö_24hs" advise="1">
        <values>
          <value t="str">
            <val>1</val>
          </value>
        </values>
      </ddeItem>
      <ddeItem name="bsi?MERV_Ö_XMEV_Ö_GFGC310.AB_Ö_24hs" advise="1">
        <values>
          <value t="str">
            <val>18</val>
          </value>
        </values>
      </ddeItem>
      <ddeItem name="bsi?MERV_Ö_XMEV_Ö_GFGC320.AB_Ö_24hs" advise="1">
        <values>
          <value t="str">
            <val>10</val>
          </value>
        </values>
      </ddeItem>
      <ddeItem name="bsi?MERV_Ö_XMEV_Ö_GFGC330.AB_Ö_24hs" advise="1">
        <values>
          <value t="str">
            <val>40</val>
          </value>
        </values>
      </ddeItem>
      <ddeItem name="bsi?MERV_Ö_XMEV_Ö_GFGC340.AB_Ö_24hs" advise="1">
        <values>
          <value t="str">
            <val>50</val>
          </value>
        </values>
      </ddeItem>
      <ddeItem name="bsi?MERV_Ö_XMEV_Ö_GFGC350.AB_Ö_24hs" advise="1">
        <values>
          <value t="str">
            <val>16</val>
          </value>
        </values>
      </ddeItem>
      <ddeItem name="bsi?MERV_Ö_XMEV_Ö_GFGC360.AB_Ö_24hs" advise="1">
        <values>
          <value t="str">
            <val>8</val>
          </value>
        </values>
      </ddeItem>
      <ddeItem name="bsi?MERV_Ö_XMEV_Ö_GFGV132.AB_Ö_24hs" advise="1">
        <values>
          <value t="str">
            <val>59</val>
          </value>
        </values>
      </ddeItem>
      <ddeItem name="bsi?MERV_Ö_XMEV_Ö_GFGV135.AB_Ö_24hs" advise="1">
        <values>
          <value t="str">
            <val>1</val>
          </value>
        </values>
      </ddeItem>
      <ddeItem name="bsi?MERV_Ö_XMEV_Ö_GFGV140.AB_Ö_24hs" advise="1"/>
      <ddeItem name="bsi?MERV_Ö_XMEV_Ö_GFGV145.AB_Ö_24hs" advise="1">
        <values>
          <value t="str">
            <val>23</val>
          </value>
        </values>
      </ddeItem>
      <ddeItem name="bsi?MERV_Ö_XMEV_Ö_GFGV150.AB_Ö_24hs" advise="1"/>
      <ddeItem name="bsi?MERV_Ö_XMEV_Ö_GFGV155.AB_Ö_24hs" advise="1"/>
      <ddeItem name="bsi?MERV_Ö_XMEV_Ö_GFGV160.AB_Ö_24hs" advise="1">
        <values>
          <value t="str">
            <val>1167</val>
          </value>
        </values>
      </ddeItem>
      <ddeItem name="bsi?MERV_Ö_XMEV_Ö_GFGV165.AB_Ö_24hs" advise="1">
        <values>
          <value t="str">
            <val>0</val>
          </value>
        </values>
      </ddeItem>
      <ddeItem name="bsi?MERV_Ö_XMEV_Ö_GFGV170.AB_Ö_24hs" advise="1">
        <values>
          <value t="str">
            <val>400</val>
          </value>
        </values>
      </ddeItem>
      <ddeItem name="bsi?MERV_Ö_XMEV_Ö_GFGV175.AB_Ö_24hs" advise="1">
        <values>
          <value t="str">
            <val>0</val>
          </value>
        </values>
      </ddeItem>
      <ddeItem name="bsi?MERV_Ö_XMEV_Ö_GFGV180.AB_Ö_24hs" advise="1">
        <values>
          <value t="str">
            <val>3</val>
          </value>
        </values>
      </ddeItem>
      <ddeItem name="bsi?MERV_Ö_XMEV_Ö_GFGV185.AB_Ö_24hs" advise="1">
        <values>
          <value t="str">
            <val>54</val>
          </value>
        </values>
      </ddeItem>
      <ddeItem name="bsi?MERV_Ö_XMEV_Ö_GFGV190.AB_Ö_24hs" advise="1">
        <values>
          <value t="str">
            <val>12</val>
          </value>
        </values>
      </ddeItem>
      <ddeItem name="bsi?MERV_Ö_XMEV_Ö_GFGV195.AB_Ö_24hs" advise="1">
        <values>
          <value t="str">
            <val>38</val>
          </value>
        </values>
      </ddeItem>
      <ddeItem name="bsi?MERV_Ö_XMEV_Ö_GFGV200.AB_Ö_24hs" advise="1">
        <values>
          <value t="str">
            <val>1</val>
          </value>
        </values>
      </ddeItem>
      <ddeItem name="bsi?MERV_Ö_XMEV_Ö_GFGV210.AB_Ö_24hs" advise="1">
        <values>
          <value t="str">
            <val>2</val>
          </value>
        </values>
      </ddeItem>
      <ddeItem name="bsi?MERV_Ö_XMEV_Ö_GFGV220.AB_Ö_24hs" advise="1">
        <values>
          <value t="str">
            <val>4</val>
          </value>
        </values>
      </ddeItem>
      <ddeItem name="bsi?MERV_Ö_XMEV_Ö_GFGV230.AB_Ö_24hs" advise="1">
        <values>
          <value t="str">
            <val>4</val>
          </value>
        </values>
      </ddeItem>
      <ddeItem name="bsi?MERV_Ö_XMEV_Ö_GFGV240.AB_Ö_24hs" advise="1">
        <values>
          <value t="str">
            <val>0</val>
          </value>
        </values>
      </ddeItem>
      <ddeItem name="bsi?MERV_Ö_XMEV_Ö_GFGV250.AB_Ö_24hs" advise="1">
        <values>
          <value t="str">
            <val>0</val>
          </value>
        </values>
      </ddeItem>
      <ddeItem name="bsi?MERV_Ö_XMEV_Ö_GFGV260.AB_Ö_24hs" advise="1">
        <values>
          <value t="str">
            <val>0</val>
          </value>
        </values>
      </ddeItem>
      <ddeItem name="bsi?MERV_Ö_XMEV_Ö_GFGV270.AB_Ö_24hs" advise="1">
        <values>
          <value t="str">
            <val>0</val>
          </value>
        </values>
      </ddeItem>
      <ddeItem name="bsi?MERV_Ö_XMEV_Ö_GFGV280.AB_Ö_24hs" advise="1">
        <values>
          <value t="str">
            <val>0</val>
          </value>
        </values>
      </ddeItem>
      <ddeItem name="bsi?MERV_Ö_XMEV_Ö_GFGV290.AB_Ö_24hs" advise="1">
        <values>
          <value t="str">
            <val>0</val>
          </value>
        </values>
      </ddeItem>
      <ddeItem name="bsi?MERV_Ö_XMEV_Ö_GFGV300.AB_Ö_24hs" advise="1">
        <values>
          <value t="str">
            <val>0</val>
          </value>
        </values>
      </ddeItem>
      <ddeItem name="bsi?MERV_Ö_XMEV_Ö_GFGV310.AB_Ö_24hs" advise="1">
        <values>
          <value t="str">
            <val>0</val>
          </value>
        </values>
      </ddeItem>
      <ddeItem name="bsi?MERV_Ö_XMEV_Ö_GFGV320.AB_Ö_24hs" advise="1">
        <values>
          <value t="str">
            <val>0</val>
          </value>
        </values>
      </ddeItem>
      <ddeItem name="bsi?MERV_Ö_XMEV_Ö_GFGV330.AB_Ö_24hs" advise="1">
        <values>
          <value t="str">
            <val>0</val>
          </value>
        </values>
      </ddeItem>
      <ddeItem name="bsi?MERV_Ö_XMEV_Ö_GFGV340.AB_Ö_24hs" advise="1">
        <values>
          <value t="str">
            <val>0</val>
          </value>
        </values>
      </ddeItem>
      <ddeItem name="bsi?MERV_Ö_XMEV_Ö_GFGV350.AB_Ö_24hs" advise="1">
        <values>
          <value t="str">
            <val>0</val>
          </value>
        </values>
      </ddeItem>
      <ddeItem name="bsi?MERV_Ö_XMEV_Ö_GFGV360.AB_Ö_24hs" advise="1">
        <values>
          <value t="str">
            <val>0</val>
          </value>
        </values>
      </ddeItem>
      <ddeItem name="bsi?MERV_Ö_XMEV_Ö_GGAL_Ö_24hs" advise="1">
        <values>
          <value t="str">
            <val>250</val>
          </value>
        </values>
      </ddeItem>
      <ddeItem name="bsi?MERV_Ö_XMEV_Ö_GGAL_Ö_48hs" advise="1">
        <values>
          <value t="str">
            <val>1455</val>
          </value>
        </values>
      </ddeItem>
      <ddeItem name="bsi?MERV_Ö_XMEV_Ö_GGAL_Ö_CI" advise="1">
        <values>
          <value t="str">
            <val>11196</val>
          </value>
        </values>
      </ddeItem>
      <ddeItem name="bsi?MERV_Ö_XMEV_Ö_MIRG_Ö_48hs" advise="1">
        <values>
          <value t="str">
            <val>0.0</val>
          </value>
        </values>
      </ddeItem>
      <ddeItem name="bsi?MERV_Ö_XMEV_Ö_PAMP_Ö_48hs" advise="1">
        <values>
          <value t="str">
            <val>0</val>
          </value>
        </values>
      </ddeItem>
      <ddeItem name="bsi?MERV_Ö_XMEV_Ö_SUPV_Ö_48hs" advise="1">
        <values>
          <value t="str">
            <val>0</val>
          </value>
        </values>
      </ddeItem>
      <ddeItem name="bsi?MERV_Ö_XMEV_Ö_TXAR_Ö_48hs" advise="1">
        <values>
          <value t="str">
            <val>0</val>
          </value>
        </values>
      </ddeItem>
      <ddeItem name="bsi?MERV_Ö_XMEV_Ö_VALO_Ö_48hs" advise="1">
        <values>
          <value t="str">
            <val>0</val>
          </value>
        </values>
      </ddeItem>
      <ddeItem name="bsi?MERV_Ö_XMEV_Ö_YPFD_Ö_48hs" advise="1">
        <values>
          <value t="str">
            <val>0</val>
          </value>
        </values>
      </ddeItem>
      <ddeItem name="chgp?MERV_Ö_XMEV_Ö_AE38_Ö_24hs" advise="1"/>
      <ddeItem name="chgp?MERV_Ö_XMEV_Ö_AE38_Ö_48hs" advise="1">
        <values>
          <value t="str">
            <val>-2.01</val>
          </value>
        </values>
      </ddeItem>
      <ddeItem name="chgp?MERV_Ö_XMEV_Ö_AE38_Ö_CI" advise="1">
        <values>
          <value t="str">
            <val>-4.39</val>
          </value>
        </values>
      </ddeItem>
      <ddeItem name="chgp?MERV_Ö_XMEV_Ö_AE38D_Ö_24hs" advise="1"/>
      <ddeItem name="chgp?MERV_Ö_XMEV_Ö_AE38D_Ö_48hs" advise="1">
        <values>
          <value t="str">
            <val>1.25</val>
          </value>
        </values>
      </ddeItem>
      <ddeItem name="chgp?MERV_Ö_XMEV_Ö_AE38D_Ö_CI" advise="1">
        <values>
          <value t="str">
            <val>0.50</val>
          </value>
        </values>
      </ddeItem>
      <ddeItem name="chgp?MERV_Ö_XMEV_Ö_AL29_Ö_24hs" advise="1"/>
      <ddeItem name="chgp?MERV_Ö_XMEV_Ö_AL29_Ö_48hs" advise="1">
        <values>
          <value t="str">
            <val>-2.37</val>
          </value>
        </values>
      </ddeItem>
      <ddeItem name="chgp?MERV_Ö_XMEV_Ö_AL29_Ö_CI" advise="1">
        <values>
          <value t="str">
            <val>0.02</val>
          </value>
        </values>
      </ddeItem>
      <ddeItem name="chgp?MERV_Ö_XMEV_Ö_AL29D_Ö_24hs" advise="1"/>
      <ddeItem name="chgp?MERV_Ö_XMEV_Ö_AL29D_Ö_48hs" advise="1">
        <values>
          <value t="str">
            <val>-0.15</val>
          </value>
        </values>
      </ddeItem>
      <ddeItem name="chgp?MERV_Ö_XMEV_Ö_AL29D_Ö_CI" advise="1">
        <values>
          <value t="str">
            <val>-1.23</val>
          </value>
        </values>
      </ddeItem>
      <ddeItem name="chgp?MERV_Ö_XMEV_Ö_AL30_Ö_24hs" advise="1">
        <values>
          <value t="str">
            <val>-3.01</val>
          </value>
        </values>
      </ddeItem>
      <ddeItem name="chgp?MERV_Ö_XMEV_Ö_AL30_Ö_48hs" advise="1">
        <values>
          <value t="str">
            <val>-2.96</val>
          </value>
        </values>
      </ddeItem>
      <ddeItem name="chgp?MERV_Ö_XMEV_Ö_AL30_Ö_CI" advise="1">
        <values>
          <value t="str">
            <val>-2.07</val>
          </value>
        </values>
      </ddeItem>
      <ddeItem name="chgp?MERV_Ö_XMEV_Ö_AL30C_Ö_24hs" advise="1"/>
      <ddeItem name="chgp?MERV_Ö_XMEV_Ö_AL30C_Ö_48hs" advise="1"/>
      <ddeItem name="chgp?MERV_Ö_XMEV_Ö_AL30C_Ö_CI" advise="1">
        <values>
          <value t="str">
            <val>3.22</val>
          </value>
        </values>
      </ddeItem>
      <ddeItem name="chgp?MERV_Ö_XMEV_Ö_AL30D_Ö_24hs" advise="1">
        <values>
          <value t="str">
            <val>0.99</val>
          </value>
        </values>
      </ddeItem>
      <ddeItem name="chgp?MERV_Ö_XMEV_Ö_AL30D_Ö_48hs" advise="1">
        <values>
          <value t="str">
            <val>-0.74</val>
          </value>
        </values>
      </ddeItem>
      <ddeItem name="chgp?MERV_Ö_XMEV_Ö_AL30D_Ö_CI" advise="1">
        <values>
          <value t="str">
            <val>-0.97</val>
          </value>
        </values>
      </ddeItem>
      <ddeItem name="chgp?MERV_Ö_XMEV_Ö_AL41_Ö_24hs" advise="1"/>
      <ddeItem name="chgp?MERV_Ö_XMEV_Ö_AL41_Ö_48hs" advise="1">
        <values>
          <value t="str">
            <val>-1.35</val>
          </value>
        </values>
      </ddeItem>
      <ddeItem name="chgp?MERV_Ö_XMEV_Ö_AL41_Ö_CI" advise="1">
        <values>
          <value t="str">
            <val>0.56</val>
          </value>
        </values>
      </ddeItem>
      <ddeItem name="chgp?MERV_Ö_XMEV_Ö_AL41D_Ö_24hs" advise="1"/>
      <ddeItem name="chgp?MERV_Ö_XMEV_Ö_AL41D_Ö_48hs" advise="1">
        <values>
          <value t="str">
            <val>0.32</val>
          </value>
        </values>
      </ddeItem>
      <ddeItem name="chgp?MERV_Ö_XMEV_Ö_AL41D_Ö_CI" advise="1">
        <values>
          <value t="str">
            <val>1.75</val>
          </value>
        </values>
      </ddeItem>
      <ddeItem name="chgp?MERV_Ö_XMEV_Ö_AY24_Ö_24hs" advise="1"/>
      <ddeItem name="chgp?MERV_Ö_XMEV_Ö_AY24_Ö_48hs" advise="1"/>
      <ddeItem name="chgp?MERV_Ö_XMEV_Ö_AY24_Ö_CI" advise="1"/>
      <ddeItem name="chgp?MERV_Ö_XMEV_Ö_AY24D_Ö_24hs" advise="1"/>
      <ddeItem name="chgp?MERV_Ö_XMEV_Ö_AY24D_Ö_48hs" advise="1"/>
      <ddeItem name="chgp?MERV_Ö_XMEV_Ö_AY24D_Ö_CI" advise="1"/>
      <ddeItem name="chgp?MERV_Ö_XMEV_Ö_BYMA_Ö_48hs" advise="1"/>
      <ddeItem name="chgp?MERV_Ö_XMEV_Ö_COME_Ö_48hs" advise="1"/>
      <ddeItem name="chgp?MERV_Ö_XMEV_Ö_EDN_Ö_48hs" advise="1"/>
      <ddeItem name="chgp?MERV_Ö_XMEV_Ö_GD29_Ö_24hs" advise="1"/>
      <ddeItem name="chgp?MERV_Ö_XMEV_Ö_GD29_Ö_48hs" advise="1">
        <values>
          <value t="str">
            <val>-2.52</val>
          </value>
        </values>
      </ddeItem>
      <ddeItem name="chgp?MERV_Ö_XMEV_Ö_GD29_Ö_CI" advise="1">
        <values>
          <value t="str">
            <val>-1.50</val>
          </value>
        </values>
      </ddeItem>
      <ddeItem name="chgp?MERV_Ö_XMEV_Ö_GD29C_Ö_24hs" advise="1"/>
      <ddeItem name="chgp?MERV_Ö_XMEV_Ö_GD29C_Ö_48hs" advise="1"/>
      <ddeItem name="chgp?MERV_Ö_XMEV_Ö_GD29C_Ö_CI" advise="1"/>
      <ddeItem name="chgp?MERV_Ö_XMEV_Ö_GD29D_Ö_24hs" advise="1"/>
      <ddeItem name="chgp?MERV_Ö_XMEV_Ö_GD29D_Ö_48hs" advise="1">
        <values>
          <value t="str">
            <val>1.70</val>
          </value>
        </values>
      </ddeItem>
      <ddeItem name="chgp?MERV_Ö_XMEV_Ö_GD29D_Ö_CI" advise="1">
        <values>
          <value t="str">
            <val>1.02</val>
          </value>
        </values>
      </ddeItem>
      <ddeItem name="chgp?MERV_Ö_XMEV_Ö_GD30_Ö_24hs" advise="1">
        <values>
          <value t="str">
            <val>-3.24</val>
          </value>
        </values>
      </ddeItem>
      <ddeItem name="chgp?MERV_Ö_XMEV_Ö_GD30_Ö_48hs" advise="1">
        <values>
          <value t="str">
            <val>-3.19</val>
          </value>
        </values>
      </ddeItem>
      <ddeItem name="chgp?MERV_Ö_XMEV_Ö_GD30_Ö_CI" advise="1">
        <values>
          <value t="str">
            <val>-1.97</val>
          </value>
        </values>
      </ddeItem>
      <ddeItem name="chgp?MERV_Ö_XMEV_Ö_GD30C_Ö_24hs" advise="1"/>
      <ddeItem name="chgp?MERV_Ö_XMEV_Ö_GD30C_Ö_48hs" advise="1">
        <values>
          <value t="str">
            <val>-0.44</val>
          </value>
        </values>
      </ddeItem>
      <ddeItem name="chgp?MERV_Ö_XMEV_Ö_GD30C_Ö_CI" advise="1">
        <values>
          <value t="str">
            <val>0.18</val>
          </value>
        </values>
      </ddeItem>
      <ddeItem name="chgp?MERV_Ö_XMEV_Ö_GD30D_Ö_24hs" advise="1">
        <values>
          <value t="str">
            <val>-1.50</val>
          </value>
        </values>
      </ddeItem>
      <ddeItem name="chgp?MERV_Ö_XMEV_Ö_GD30D_Ö_48hs" advise="1">
        <values>
          <value t="str">
            <val>-0.69</val>
          </value>
        </values>
      </ddeItem>
      <ddeItem name="chgp?MERV_Ö_XMEV_Ö_GD30D_Ö_CI" advise="1">
        <values>
          <value t="str">
            <val>-0.57</val>
          </value>
        </values>
      </ddeItem>
      <ddeItem name="chgp?MERV_Ö_XMEV_Ö_GD35_Ö_24hs" advise="1"/>
      <ddeItem name="chgp?MERV_Ö_XMEV_Ö_GD35_Ö_48hs" advise="1">
        <values>
          <value t="str">
            <val>-3.36</val>
          </value>
        </values>
      </ddeItem>
      <ddeItem name="chgp?MERV_Ö_XMEV_Ö_GD35_Ö_CI" advise="1">
        <values>
          <value t="str">
            <val>-1.66</val>
          </value>
        </values>
      </ddeItem>
      <ddeItem name="chgp?MERV_Ö_XMEV_Ö_GD35C_Ö_24hs" advise="1"/>
      <ddeItem name="chgp?MERV_Ö_XMEV_Ö_GD35C_Ö_48hs" advise="1">
        <values>
          <value t="str">
            <val>-0.19</val>
          </value>
        </values>
      </ddeItem>
      <ddeItem name="chgp?MERV_Ö_XMEV_Ö_GD35C_Ö_CI" advise="1">
        <values>
          <value t="str">
            <val>1.95</val>
          </value>
        </values>
      </ddeItem>
      <ddeItem name="chgp?MERV_Ö_XMEV_Ö_GD35D_Ö_24hs" advise="1"/>
      <ddeItem name="chgp?MERV_Ö_XMEV_Ö_GD35D_Ö_48hs" advise="1">
        <values>
          <value t="str">
            <val>-0.46</val>
          </value>
        </values>
      </ddeItem>
      <ddeItem name="chgp?MERV_Ö_XMEV_Ö_GD35D_Ö_CI" advise="1">
        <values>
          <value t="str">
            <val>-0.15</val>
          </value>
        </values>
      </ddeItem>
      <ddeItem name="chgp?MERV_Ö_XMEV_Ö_GFGC132.AB_Ö_24hs" advise="1">
        <values>
          <value t="str">
            <val>4.443</val>
          </value>
        </values>
      </ddeItem>
      <ddeItem name="chgp?MERV_Ö_XMEV_Ö_GFGC135.AB_Ö_24hs" advise="1"/>
      <ddeItem name="chgp?MERV_Ö_XMEV_Ö_GFGC140.AB_Ö_24hs" advise="1"/>
      <ddeItem name="chgp?MERV_Ö_XMEV_Ö_GFGC145.AB_Ö_24hs" advise="1"/>
      <ddeItem name="chgp?MERV_Ö_XMEV_Ö_GFGC150.AB_Ö_24hs" advise="1"/>
      <ddeItem name="chgp?MERV_Ö_XMEV_Ö_GFGC155.AB_Ö_24hs" advise="1"/>
      <ddeItem name="chgp?MERV_Ö_XMEV_Ö_GFGC160.AB_Ö_24hs" advise="1"/>
      <ddeItem name="chgp?MERV_Ö_XMEV_Ö_GFGC165.AB_Ö_24hs" advise="1">
        <values>
          <value t="str">
            <val>14.583</val>
          </value>
        </values>
      </ddeItem>
      <ddeItem name="chgp?MERV_Ö_XMEV_Ö_GFGC170.AB_Ö_24hs" advise="1"/>
      <ddeItem name="chgp?MERV_Ö_XMEV_Ö_GFGC175.AB_Ö_24hs" advise="1"/>
      <ddeItem name="chgp?MERV_Ö_XMEV_Ö_GFGC180.AB_Ö_24hs" advise="1"/>
      <ddeItem name="chgp?MERV_Ö_XMEV_Ö_GFGC185.AB_Ö_24hs" advise="1">
        <values>
          <value t="str">
            <val>4.460</val>
          </value>
        </values>
      </ddeItem>
      <ddeItem name="chgp?MERV_Ö_XMEV_Ö_GFGC190.AB_Ö_24hs" advise="1">
        <values>
          <value t="str">
            <val>23.832</val>
          </value>
        </values>
      </ddeItem>
      <ddeItem name="chgp?MERV_Ö_XMEV_Ö_GFGC195.AB_Ö_24hs" advise="1">
        <values>
          <value t="str">
            <val>20.828</val>
          </value>
        </values>
      </ddeItem>
      <ddeItem name="chgp?MERV_Ö_XMEV_Ö_GFGC200.AB_Ö_24hs" advise="1">
        <values>
          <value t="str">
            <val>21.972</val>
          </value>
        </values>
      </ddeItem>
      <ddeItem name="chgp?MERV_Ö_XMEV_Ö_GFGC210.AB_Ö_24hs" advise="1">
        <values>
          <value t="str">
            <val>24.872</val>
          </value>
        </values>
      </ddeItem>
      <ddeItem name="chgp?MERV_Ö_XMEV_Ö_GFGC220.AB_Ö_24hs" advise="1">
        <values>
          <value t="str">
            <val>29.388</val>
          </value>
        </values>
      </ddeItem>
      <ddeItem name="chgp?MERV_Ö_XMEV_Ö_GFGC230.AB_Ö_24hs" advise="1">
        <values>
          <value t="str">
            <val>28.735</val>
          </value>
        </values>
      </ddeItem>
      <ddeItem name="chgp?MERV_Ö_XMEV_Ö_GFGC240.AB_Ö_24hs" advise="1">
        <values>
          <value t="str">
            <val>25.224</val>
          </value>
        </values>
      </ddeItem>
      <ddeItem name="chgp?MERV_Ö_XMEV_Ö_GFGC250.AB_Ö_24hs" advise="1">
        <values>
          <value t="str">
            <val>30.349</val>
          </value>
        </values>
      </ddeItem>
      <ddeItem name="chgp?MERV_Ö_XMEV_Ö_GFGC260.AB_Ö_24hs" advise="1">
        <values>
          <value t="str">
            <val>26.409</val>
          </value>
        </values>
      </ddeItem>
      <ddeItem name="chgp?MERV_Ö_XMEV_Ö_GFGC270.AB_Ö_24hs" advise="1">
        <values>
          <value t="str">
            <val>19.633</val>
          </value>
        </values>
      </ddeItem>
      <ddeItem name="chgp?MERV_Ö_XMEV_Ö_GFGC280.AB_Ö_24hs" advise="1">
        <values>
          <value t="str">
            <val>6.383</val>
          </value>
        </values>
      </ddeItem>
      <ddeItem name="chgp?MERV_Ö_XMEV_Ö_GFGC290.AB_Ö_24hs" advise="1">
        <values>
          <value t="str">
            <val>-2.542</val>
          </value>
        </values>
      </ddeItem>
      <ddeItem name="chgp?MERV_Ö_XMEV_Ö_GFGC300.AB_Ö_24hs" advise="1">
        <values>
          <value t="str">
            <val>-1.392</val>
          </value>
        </values>
      </ddeItem>
      <ddeItem name="chgp?MERV_Ö_XMEV_Ö_GFGC310.AB_Ö_24hs" advise="1">
        <values>
          <value t="str">
            <val>10.777</val>
          </value>
        </values>
      </ddeItem>
      <ddeItem name="chgp?MERV_Ö_XMEV_Ö_GFGC320.AB_Ö_24hs" advise="1">
        <values>
          <value t="str">
            <val>12.245</val>
          </value>
        </values>
      </ddeItem>
      <ddeItem name="chgp?MERV_Ö_XMEV_Ö_GFGC330.AB_Ö_24hs" advise="1">
        <values>
          <value t="str">
            <val>5.495</val>
          </value>
        </values>
      </ddeItem>
      <ddeItem name="chgp?MERV_Ö_XMEV_Ö_GFGC340.AB_Ö_24hs" advise="1">
        <values>
          <value t="str">
            <val>16.667</val>
          </value>
        </values>
      </ddeItem>
      <ddeItem name="chgp?MERV_Ö_XMEV_Ö_GFGC350.AB_Ö_24hs" advise="1">
        <values>
          <value t="str">
            <val>0.000</val>
          </value>
        </values>
      </ddeItem>
      <ddeItem name="chgp?MERV_Ö_XMEV_Ö_GFGC360.AB_Ö_24hs" advise="1">
        <values>
          <value t="str">
            <val>3.529</val>
          </value>
        </values>
      </ddeItem>
      <ddeItem name="chgp?MERV_Ö_XMEV_Ö_GFGV132.AB_Ö_24hs" advise="1">
        <values>
          <value t="str">
            <val>-14.365</val>
          </value>
        </values>
      </ddeItem>
      <ddeItem name="chgp?MERV_Ö_XMEV_Ö_GFGV135.AB_Ö_24hs" advise="1">
        <values>
          <value t="str">
            <val>-34.413</val>
          </value>
        </values>
      </ddeItem>
      <ddeItem name="chgp?MERV_Ö_XMEV_Ö_GFGV140.AB_Ö_24hs" advise="1"/>
      <ddeItem name="chgp?MERV_Ö_XMEV_Ö_GFGV145.AB_Ö_24hs" advise="1">
        <values>
          <value t="str">
            <val>-27.586</val>
          </value>
        </values>
      </ddeItem>
      <ddeItem name="chgp?MERV_Ö_XMEV_Ö_GFGV150.AB_Ö_24hs" advise="1"/>
      <ddeItem name="chgp?MERV_Ö_XMEV_Ö_GFGV155.AB_Ö_24hs" advise="1"/>
      <ddeItem name="chgp?MERV_Ö_XMEV_Ö_GFGV160.AB_Ö_24hs" advise="1">
        <values>
          <value t="str">
            <val>-19.929</val>
          </value>
        </values>
      </ddeItem>
      <ddeItem name="chgp?MERV_Ö_XMEV_Ö_GFGV165.AB_Ö_24hs" advise="1">
        <values>
          <value t="str">
            <val>0.000</val>
          </value>
        </values>
      </ddeItem>
      <ddeItem name="chgp?MERV_Ö_XMEV_Ö_GFGV170.AB_Ö_24hs" advise="1">
        <values>
          <value t="str">
            <val>-35.185</val>
          </value>
        </values>
      </ddeItem>
      <ddeItem name="chgp?MERV_Ö_XMEV_Ö_GFGV175.AB_Ö_24hs" advise="1"/>
      <ddeItem name="chgp?MERV_Ö_XMEV_Ö_GFGV180.AB_Ö_24hs" advise="1">
        <values>
          <value t="str">
            <val>-26.660</val>
          </value>
        </values>
      </ddeItem>
      <ddeItem name="chgp?MERV_Ö_XMEV_Ö_GFGV185.AB_Ö_24hs" advise="1">
        <values>
          <value t="str">
            <val>-30.632</val>
          </value>
        </values>
      </ddeItem>
      <ddeItem name="chgp?MERV_Ö_XMEV_Ö_GFGV190.AB_Ö_24hs" advise="1">
        <values>
          <value t="str">
            <val>-31.973</val>
          </value>
        </values>
      </ddeItem>
      <ddeItem name="chgp?MERV_Ö_XMEV_Ö_GFGV195.AB_Ö_24hs" advise="1">
        <values>
          <value t="str">
            <val>-24.065</val>
          </value>
        </values>
      </ddeItem>
      <ddeItem name="chgp?MERV_Ö_XMEV_Ö_GFGV200.AB_Ö_24hs" advise="1">
        <values>
          <value t="str">
            <val>-28.773</val>
          </value>
        </values>
      </ddeItem>
      <ddeItem name="chgp?MERV_Ö_XMEV_Ö_GFGV210.AB_Ö_24hs" advise="1">
        <values>
          <value t="str">
            <val>-25.833</val>
          </value>
        </values>
      </ddeItem>
      <ddeItem name="chgp?MERV_Ö_XMEV_Ö_GFGV220.AB_Ö_24hs" advise="1">
        <values>
          <value t="str">
            <val>-24.999</val>
          </value>
        </values>
      </ddeItem>
      <ddeItem name="chgp?MERV_Ö_XMEV_Ö_GFGV230.AB_Ö_24hs" advise="1">
        <values>
          <value t="str">
            <val>-20.769</val>
          </value>
        </values>
      </ddeItem>
      <ddeItem name="chgp?MERV_Ö_XMEV_Ö_GFGV240.AB_Ö_24hs" advise="1"/>
      <ddeItem name="chgp?MERV_Ö_XMEV_Ö_GFGV250.AB_Ö_24hs" advise="1"/>
      <ddeItem name="chgp?MERV_Ö_XMEV_Ö_GFGV260.AB_Ö_24hs" advise="1"/>
      <ddeItem name="chgp?MERV_Ö_XMEV_Ö_GFGV270.AB_Ö_24hs" advise="1"/>
      <ddeItem name="chgp?MERV_Ö_XMEV_Ö_GFGV280.AB_Ö_24hs" advise="1"/>
      <ddeItem name="chgp?MERV_Ö_XMEV_Ö_GFGV290.AB_Ö_24hs" advise="1"/>
      <ddeItem name="chgp?MERV_Ö_XMEV_Ö_GFGV300.AB_Ö_24hs" advise="1"/>
      <ddeItem name="chgp?MERV_Ö_XMEV_Ö_GFGV310.AB_Ö_24hs" advise="1"/>
      <ddeItem name="chgp?MERV_Ö_XMEV_Ö_GFGV320.AB_Ö_24hs" advise="1"/>
      <ddeItem name="chgp?MERV_Ö_XMEV_Ö_GFGV330.AB_Ö_24hs" advise="1"/>
      <ddeItem name="chgp?MERV_Ö_XMEV_Ö_GFGV340.AB_Ö_24hs" advise="1"/>
      <ddeItem name="chgp?MERV_Ö_XMEV_Ö_GFGV350.AB_Ö_24hs" advise="1"/>
      <ddeItem name="chgp?MERV_Ö_XMEV_Ö_GFGV360.AB_Ö_24hs" advise="1"/>
      <ddeItem name="chgp?MERV_Ö_XMEV_Ö_GGAL_Ö_24hs" advise="1">
        <values>
          <value t="str">
            <val>2.96</val>
          </value>
        </values>
      </ddeItem>
      <ddeItem name="chgp?MERV_Ö_XMEV_Ö_GGAL_Ö_48hs" advise="1">
        <values>
          <value t="str">
            <val>2.95</val>
          </value>
        </values>
      </ddeItem>
      <ddeItem name="chgp?MERV_Ö_XMEV_Ö_GGAL_Ö_CI" advise="1">
        <values>
          <value t="str">
            <val>1.97</val>
          </value>
        </values>
      </ddeItem>
      <ddeItem name="chgp?MERV_Ö_XMEV_Ö_MIRG_Ö_48hs" advise="1"/>
      <ddeItem name="chgp?MERV_Ö_XMEV_Ö_PAMP_Ö_48hs" advise="1"/>
      <ddeItem name="chgp?MERV_Ö_XMEV_Ö_SUPV_Ö_48hs" advise="1"/>
      <ddeItem name="chgp?MERV_Ö_XMEV_Ö_TXAR_Ö_48hs" advise="1"/>
      <ddeItem name="chgp?MERV_Ö_XMEV_Ö_VALO_Ö_48hs" advise="1"/>
      <ddeItem name="chgp?MERV_Ö_XMEV_Ö_YPFD_Ö_48hs" advise="1"/>
      <ddeItem name="lst?MERV_Ö_XMEV_Ö_AE38_Ö_24hs" advise="1">
        <values>
          <value t="str">
            <val>0.00</val>
          </value>
        </values>
      </ddeItem>
      <ddeItem name="lst?MERV_Ö_XMEV_Ö_AE38_Ö_48hs" advise="1">
        <values>
          <value t="str">
            <val>7180.00</val>
          </value>
        </values>
      </ddeItem>
      <ddeItem name="lst?MERV_Ö_XMEV_Ö_AE38_Ö_CI" advise="1">
        <values>
          <value t="str">
            <val>7100.00</val>
          </value>
        </values>
      </ddeItem>
      <ddeItem name="lst?MERV_Ö_XMEV_Ö_AE38D_Ö_24hs" advise="1">
        <values>
          <value t="str">
            <val>0.00</val>
          </value>
        </values>
      </ddeItem>
      <ddeItem name="lst?MERV_Ö_XMEV_Ö_AE38D_Ö_48hs" advise="1">
        <values>
          <value t="str">
            <val>36.45</val>
          </value>
        </values>
      </ddeItem>
      <ddeItem name="lst?MERV_Ö_XMEV_Ö_AE38D_Ö_CI" advise="1">
        <values>
          <value t="str">
            <val>35.98</val>
          </value>
        </values>
      </ddeItem>
      <ddeItem name="lst?MERV_Ö_XMEV_Ö_AL29_Ö_24hs" advise="1">
        <values>
          <value t="str">
            <val>0.00</val>
          </value>
        </values>
      </ddeItem>
      <ddeItem name="lst?MERV_Ö_XMEV_Ö_AL29_Ö_48hs" advise="1">
        <values>
          <value t="str">
            <val>6380.00</val>
          </value>
        </values>
      </ddeItem>
      <ddeItem name="lst?MERV_Ö_XMEV_Ö_AL29_Ö_CI" advise="1">
        <values>
          <value t="str">
            <val>6414.50</val>
          </value>
        </values>
      </ddeItem>
      <ddeItem name="lst?MERV_Ö_XMEV_Ö_AL29D_Ö_24hs" advise="1">
        <values>
          <value t="str">
            <val>0.00</val>
          </value>
        </values>
      </ddeItem>
      <ddeItem name="lst?MERV_Ö_XMEV_Ö_AL29D_Ö_48hs" advise="1">
        <values>
          <value t="str">
            <val>32.25</val>
          </value>
        </values>
      </ddeItem>
      <ddeItem name="lst?MERV_Ö_XMEV_Ö_AL29D_Ö_CI" advise="1">
        <values>
          <value t="str">
            <val>32.00</val>
          </value>
        </values>
      </ddeItem>
      <ddeItem name="lst?MERV_Ö_XMEV_Ö_AL30_Ö_24hs" advise="1">
        <values>
          <value t="str">
            <val>6000.00</val>
          </value>
        </values>
      </ddeItem>
      <ddeItem name="lst?MERV_Ö_XMEV_Ö_AL30_Ö_48hs" advise="1">
        <values>
          <value t="str">
            <val>6025.00</val>
          </value>
        </values>
      </ddeItem>
      <ddeItem name="lst?MERV_Ö_XMEV_Ö_AL30_Ö_CI" advise="1">
        <values>
          <value t="str">
            <val>6066.00</val>
          </value>
        </values>
      </ddeItem>
      <ddeItem name="lst?MERV_Ö_XMEV_Ö_AL30C_Ö_24hs" advise="1">
        <values>
          <value t="str">
            <val>0.00</val>
          </value>
        </values>
      </ddeItem>
      <ddeItem name="lst?MERV_Ö_XMEV_Ö_AL30C_Ö_48hs" advise="1">
        <values>
          <value t="str">
            <val>0.00</val>
          </value>
        </values>
      </ddeItem>
      <ddeItem name="lst?MERV_Ö_XMEV_Ö_AL30C_Ö_CI" advise="1">
        <values>
          <value t="str">
            <val>30.14</val>
          </value>
        </values>
      </ddeItem>
      <ddeItem name="lst?MERV_Ö_XMEV_Ö_AL30D_Ö_24hs" advise="1">
        <values>
          <value t="str">
            <val>30.60</val>
          </value>
        </values>
      </ddeItem>
      <ddeItem name="lst?MERV_Ö_XMEV_Ö_AL30D_Ö_48hs" advise="1">
        <values>
          <value t="str">
            <val>30.66</val>
          </value>
        </values>
      </ddeItem>
      <ddeItem name="lst?MERV_Ö_XMEV_Ö_AL30D_Ö_CI" advise="1">
        <values>
          <value t="str">
            <val>30.70</val>
          </value>
        </values>
      </ddeItem>
      <ddeItem name="lst?MERV_Ö_XMEV_Ö_AL41_Ö_24hs" advise="1">
        <values>
          <value t="str">
            <val>0.00</val>
          </value>
        </values>
      </ddeItem>
      <ddeItem name="lst?MERV_Ö_XMEV_Ö_AL41_Ö_48hs" advise="1">
        <values>
          <value t="str">
            <val>6950.00</val>
          </value>
        </values>
      </ddeItem>
      <ddeItem name="lst?MERV_Ö_XMEV_Ö_AL41_Ö_CI" advise="1">
        <values>
          <value t="str">
            <val>7039.00</val>
          </value>
        </values>
      </ddeItem>
      <ddeItem name="lst?MERV_Ö_XMEV_Ö_AL41D_Ö_24hs" advise="1">
        <values>
          <value t="str">
            <val>0.00</val>
          </value>
        </values>
      </ddeItem>
      <ddeItem name="lst?MERV_Ö_XMEV_Ö_AL41D_Ö_48hs" advise="1">
        <values>
          <value t="str">
            <val>34.91</val>
          </value>
        </values>
      </ddeItem>
      <ddeItem name="lst?MERV_Ö_XMEV_Ö_AL41D_Ö_CI" advise="1">
        <values>
          <value t="str">
            <val>34.90</val>
          </value>
        </values>
      </ddeItem>
      <ddeItem name="lst?MERV_Ö_XMEV_Ö_AY24_Ö_24hs" advise="1">
        <values>
          <value t="str">
            <val>0.00</val>
          </value>
        </values>
      </ddeItem>
      <ddeItem name="lst?MERV_Ö_XMEV_Ö_AY24_Ö_48hs" advise="1">
        <values>
          <value t="str">
            <val>0.00</val>
          </value>
        </values>
      </ddeItem>
      <ddeItem name="lst?MERV_Ö_XMEV_Ö_AY24_Ö_CI" advise="1">
        <values>
          <value t="str">
            <val>0.00</val>
          </value>
        </values>
      </ddeItem>
      <ddeItem name="lst?MERV_Ö_XMEV_Ö_AY24D_Ö_24hs" advise="1">
        <values>
          <value t="str">
            <val>0.00</val>
          </value>
        </values>
      </ddeItem>
      <ddeItem name="lst?MERV_Ö_XMEV_Ö_AY24D_Ö_48hs" advise="1">
        <values>
          <value t="str">
            <val>0.00</val>
          </value>
        </values>
      </ddeItem>
      <ddeItem name="lst?MERV_Ö_XMEV_Ö_AY24D_Ö_CI" advise="1">
        <values>
          <value t="str">
            <val>0.00</val>
          </value>
        </values>
      </ddeItem>
      <ddeItem name="lst?MERV_Ö_XMEV_Ö_BYMA_Ö_48hs" advise="1">
        <values>
          <value t="str">
            <val>0.00</val>
          </value>
        </values>
      </ddeItem>
      <ddeItem name="lst?MERV_Ö_XMEV_Ö_COME_Ö_48hs" advise="1">
        <values>
          <value t="str">
            <val>0.00</val>
          </value>
        </values>
      </ddeItem>
      <ddeItem name="lst?MERV_Ö_XMEV_Ö_EDN_Ö_48hs" advise="1">
        <values>
          <value t="str">
            <val>0.00</val>
          </value>
        </values>
      </ddeItem>
      <ddeItem name="lst?MERV_Ö_XMEV_Ö_GD29_Ö_24hs" advise="1">
        <values>
          <value t="str">
            <val>0.00</val>
          </value>
        </values>
      </ddeItem>
      <ddeItem name="lst?MERV_Ö_XMEV_Ö_GD29_Ö_48hs" advise="1">
        <values>
          <value t="str">
            <val>6950.00</val>
          </value>
        </values>
      </ddeItem>
      <ddeItem name="lst?MERV_Ö_XMEV_Ö_GD29_Ö_CI" advise="1">
        <values>
          <value t="str">
            <val>7001.00</val>
          </value>
        </values>
      </ddeItem>
      <ddeItem name="lst?MERV_Ö_XMEV_Ö_GD29C_Ö_24hs" advise="1">
        <values>
          <value t="str">
            <val>0.00</val>
          </value>
        </values>
      </ddeItem>
      <ddeItem name="lst?MERV_Ö_XMEV_Ö_GD29C_Ö_48hs" advise="1">
        <values>
          <value t="str">
            <val>0.00</val>
          </value>
        </values>
      </ddeItem>
      <ddeItem name="lst?MERV_Ö_XMEV_Ö_GD29C_Ö_CI" advise="1">
        <values>
          <value t="str">
            <val>0.00</val>
          </value>
        </values>
      </ddeItem>
      <ddeItem name="lst?MERV_Ö_XMEV_Ö_GD29D_Ö_24hs" advise="1">
        <values>
          <value t="str">
            <val>0.00</val>
          </value>
        </values>
      </ddeItem>
      <ddeItem name="lst?MERV_Ö_XMEV_Ö_GD29D_Ö_48hs" advise="1">
        <values>
          <value t="str">
            <val>35.30</val>
          </value>
        </values>
      </ddeItem>
      <ddeItem name="lst?MERV_Ö_XMEV_Ö_GD29D_Ö_CI" advise="1">
        <values>
          <value t="str">
            <val>35.50</val>
          </value>
        </values>
      </ddeItem>
      <ddeItem name="lst?MERV_Ö_XMEV_Ö_GD30_Ö_24hs" advise="1">
        <values>
          <value t="str">
            <val>6870.00</val>
          </value>
        </values>
      </ddeItem>
      <ddeItem name="lst?MERV_Ö_XMEV_Ö_GD30_Ö_48hs" advise="1">
        <values>
          <value t="str">
            <val>6805.00</val>
          </value>
        </values>
      </ddeItem>
      <ddeItem name="lst?MERV_Ö_XMEV_Ö_GD30_Ö_CI" advise="1">
        <values>
          <value t="str">
            <val>6865.00</val>
          </value>
        </values>
      </ddeItem>
      <ddeItem name="lst?MERV_Ö_XMEV_Ö_GD30C_Ö_24hs" advise="1">
        <values>
          <value t="str">
            <val>0.00</val>
          </value>
        </values>
      </ddeItem>
      <ddeItem name="lst?MERV_Ö_XMEV_Ö_GD30C_Ö_48hs" advise="1">
        <values>
          <value t="str">
            <val>33.75</val>
          </value>
        </values>
      </ddeItem>
      <ddeItem name="lst?MERV_Ö_XMEV_Ö_GD30C_Ö_CI" advise="1">
        <values>
          <value t="str">
            <val>33.91</val>
          </value>
        </values>
      </ddeItem>
      <ddeItem name="lst?MERV_Ö_XMEV_Ö_GD30D_Ö_24hs" advise="1">
        <values>
          <value t="str">
            <val>34.18</val>
          </value>
        </values>
      </ddeItem>
      <ddeItem name="lst?MERV_Ö_XMEV_Ö_GD30D_Ö_48hs" advise="1">
        <values>
          <value t="str">
            <val>34.71</val>
          </value>
        </values>
      </ddeItem>
      <ddeItem name="lst?MERV_Ö_XMEV_Ö_GD30D_Ö_CI" advise="1">
        <values>
          <value t="str">
            <val>34.90</val>
          </value>
        </values>
      </ddeItem>
      <ddeItem name="lst?MERV_Ö_XMEV_Ö_GD35_Ö_24hs" advise="1">
        <values>
          <value t="str">
            <val>0.00</val>
          </value>
        </values>
      </ddeItem>
      <ddeItem name="lst?MERV_Ö_XMEV_Ö_GD35_Ö_48hs" advise="1">
        <values>
          <value t="str">
            <val>6330.00</val>
          </value>
        </values>
      </ddeItem>
      <ddeItem name="lst?MERV_Ö_XMEV_Ö_GD35_Ö_CI" advise="1">
        <values>
          <value t="str">
            <val>6420.00</val>
          </value>
        </values>
      </ddeItem>
      <ddeItem name="lst?MERV_Ö_XMEV_Ö_GD35C_Ö_24hs" advise="1">
        <values>
          <value t="str">
            <val>0.00</val>
          </value>
        </values>
      </ddeItem>
      <ddeItem name="lst?MERV_Ö_XMEV_Ö_GD35C_Ö_48hs" advise="1">
        <values>
          <value t="str">
            <val>31.34</val>
          </value>
        </values>
      </ddeItem>
      <ddeItem name="lst?MERV_Ö_XMEV_Ö_GD35C_Ö_CI" advise="1">
        <values>
          <value t="str">
            <val>31.31</val>
          </value>
        </values>
      </ddeItem>
      <ddeItem name="lst?MERV_Ö_XMEV_Ö_GD35D_Ö_24hs" advise="1">
        <values>
          <value t="str">
            <val>0.00</val>
          </value>
        </values>
      </ddeItem>
      <ddeItem name="lst?MERV_Ö_XMEV_Ö_GD35D_Ö_48hs" advise="1">
        <values>
          <value t="str">
            <val>32.50</val>
          </value>
        </values>
      </ddeItem>
      <ddeItem name="lst?MERV_Ö_XMEV_Ö_GD35D_Ö_CI" advise="1">
        <values>
          <value t="str">
            <val>32.30</val>
          </value>
        </values>
      </ddeItem>
      <ddeItem name="lst?MERV_Ö_XMEV_Ö_GFGC132.AB_Ö_24hs" advise="1">
        <values>
          <value t="str">
            <val>75.200</val>
          </value>
        </values>
      </ddeItem>
      <ddeItem name="lst?MERV_Ö_XMEV_Ö_GFGC135.AB_Ö_24hs" advise="1"/>
      <ddeItem name="lst?MERV_Ö_XMEV_Ö_GFGC140.AB_Ö_24hs" advise="1"/>
      <ddeItem name="lst?MERV_Ö_XMEV_Ö_GFGC145.AB_Ö_24hs" advise="1"/>
      <ddeItem name="lst?MERV_Ö_XMEV_Ö_GFGC150.AB_Ö_24hs" advise="1">
        <values>
          <value t="str">
            <val>0.000</val>
          </value>
        </values>
      </ddeItem>
      <ddeItem name="lst?MERV_Ö_XMEV_Ö_GFGC155.AB_Ö_24hs" advise="1"/>
      <ddeItem name="lst?MERV_Ö_XMEV_Ö_GFGC160.AB_Ö_24hs" advise="1"/>
      <ddeItem name="lst?MERV_Ö_XMEV_Ö_GFGC165.AB_Ö_24hs" advise="1">
        <values>
          <value t="str">
            <val>55.000</val>
          </value>
        </values>
      </ddeItem>
      <ddeItem name="lst?MERV_Ö_XMEV_Ö_GFGC170.AB_Ö_24hs" advise="1"/>
      <ddeItem name="lst?MERV_Ö_XMEV_Ö_GFGC175.AB_Ö_24hs" advise="1"/>
      <ddeItem name="lst?MERV_Ö_XMEV_Ö_GFGC180.AB_Ö_24hs" advise="1">
        <values>
          <value t="str">
            <val>0.000</val>
          </value>
        </values>
      </ddeItem>
      <ddeItem name="lst?MERV_Ö_XMEV_Ö_GFGC185.AB_Ö_24hs" advise="1">
        <values>
          <value t="str">
            <val>33.000</val>
          </value>
        </values>
      </ddeItem>
      <ddeItem name="lst?MERV_Ö_XMEV_Ö_GFGC190.AB_Ö_24hs" advise="1">
        <values>
          <value t="str">
            <val>33.899</val>
          </value>
        </values>
      </ddeItem>
      <ddeItem name="lst?MERV_Ö_XMEV_Ö_GFGC195.AB_Ö_24hs" advise="1">
        <values>
          <value t="str">
            <val>29.000</val>
          </value>
        </values>
      </ddeItem>
      <ddeItem name="lst?MERV_Ö_XMEV_Ö_GFGC200.AB_Ö_24hs" advise="1">
        <values>
          <value t="str">
            <val>25.380</val>
          </value>
        </values>
      </ddeItem>
      <ddeItem name="lst?MERV_Ö_XMEV_Ö_GFGC210.AB_Ö_24hs" advise="1">
        <values>
          <value t="str">
            <val>19.450</val>
          </value>
        </values>
      </ddeItem>
      <ddeItem name="lst?MERV_Ö_XMEV_Ö_GFGC220.AB_Ö_24hs" advise="1">
        <values>
          <value t="str">
            <val>14.780</val>
          </value>
        </values>
      </ddeItem>
      <ddeItem name="lst?MERV_Ö_XMEV_Ö_GFGC230.AB_Ö_24hs" advise="1">
        <values>
          <value t="str">
            <val>10.600</val>
          </value>
        </values>
      </ddeItem>
      <ddeItem name="lst?MERV_Ö_XMEV_Ö_GFGC240.AB_Ö_24hs" advise="1">
        <values>
          <value t="str">
            <val>7.397</val>
          </value>
        </values>
      </ddeItem>
      <ddeItem name="lst?MERV_Ö_XMEV_Ö_GFGC250.AB_Ö_24hs" advise="1">
        <values>
          <value t="str">
            <val>5.300</val>
          </value>
        </values>
      </ddeItem>
      <ddeItem name="lst?MERV_Ö_XMEV_Ö_GFGC260.AB_Ö_24hs" advise="1">
        <values>
          <value t="str">
            <val>3.700</val>
          </value>
        </values>
      </ddeItem>
      <ddeItem name="lst?MERV_Ö_XMEV_Ö_GFGC270.AB_Ö_24hs" advise="1">
        <values>
          <value t="str">
            <val>2.480</val>
          </value>
        </values>
      </ddeItem>
      <ddeItem name="lst?MERV_Ö_XMEV_Ö_GFGC280.AB_Ö_24hs" advise="1">
        <values>
          <value t="str">
            <val>1.700</val>
          </value>
        </values>
      </ddeItem>
      <ddeItem name="lst?MERV_Ö_XMEV_Ö_GFGC290.AB_Ö_24hs" advise="1">
        <values>
          <value t="str">
            <val>1.150</val>
          </value>
        </values>
      </ddeItem>
      <ddeItem name="lst?MERV_Ö_XMEV_Ö_GFGC300.AB_Ö_24hs" advise="1">
        <values>
          <value t="str">
            <val>0.850</val>
          </value>
        </values>
      </ddeItem>
      <ddeItem name="lst?MERV_Ö_XMEV_Ö_GFGC310.AB_Ö_24hs" advise="1">
        <values>
          <value t="str">
            <val>0.699</val>
          </value>
        </values>
      </ddeItem>
      <ddeItem name="lst?MERV_Ö_XMEV_Ö_GFGC320.AB_Ö_24hs" advise="1">
        <values>
          <value t="str">
            <val>0.550</val>
          </value>
        </values>
      </ddeItem>
      <ddeItem name="lst?MERV_Ö_XMEV_Ö_GFGC330.AB_Ö_24hs" advise="1">
        <values>
          <value t="str">
            <val>0.384</val>
          </value>
        </values>
      </ddeItem>
      <ddeItem name="lst?MERV_Ö_XMEV_Ö_GFGC340.AB_Ö_24hs" advise="1">
        <values>
          <value t="str">
            <val>0.350</val>
          </value>
        </values>
      </ddeItem>
      <ddeItem name="lst?MERV_Ö_XMEV_Ö_GFGC350.AB_Ö_24hs" advise="1">
        <values>
          <value t="str">
            <val>0.210</val>
          </value>
        </values>
      </ddeItem>
      <ddeItem name="lst?MERV_Ö_XMEV_Ö_GFGC360.AB_Ö_24hs" advise="1">
        <values>
          <value t="str">
            <val>0.176</val>
          </value>
        </values>
      </ddeItem>
      <ddeItem name="lst?MERV_Ö_XMEV_Ö_GFGV132.AB_Ö_24hs" advise="1">
        <values>
          <value t="str">
            <val>0.155</val>
          </value>
        </values>
      </ddeItem>
      <ddeItem name="lst?MERV_Ö_XMEV_Ö_GFGV135.AB_Ö_24hs" advise="1">
        <values>
          <value t="str">
            <val>0.162</val>
          </value>
        </values>
      </ddeItem>
      <ddeItem name="lst?MERV_Ö_XMEV_Ö_GFGV140.AB_Ö_24hs" advise="1"/>
      <ddeItem name="lst?MERV_Ö_XMEV_Ö_GFGV145.AB_Ö_24hs" advise="1">
        <values>
          <value t="str">
            <val>0.210</val>
          </value>
        </values>
      </ddeItem>
      <ddeItem name="lst?MERV_Ö_XMEV_Ö_GFGV150.AB_Ö_24hs" advise="1"/>
      <ddeItem name="lst?MERV_Ö_XMEV_Ö_GFGV155.AB_Ö_24hs" advise="1"/>
      <ddeItem name="lst?MERV_Ö_XMEV_Ö_GFGV160.AB_Ö_24hs" advise="1">
        <values>
          <value t="str">
            <val>0.450</val>
          </value>
        </values>
      </ddeItem>
      <ddeItem name="lst?MERV_Ö_XMEV_Ö_GFGV165.AB_Ö_24hs" advise="1">
        <values>
          <value t="str">
            <val>0.620</val>
          </value>
        </values>
      </ddeItem>
      <ddeItem name="lst?MERV_Ö_XMEV_Ö_GFGV170.AB_Ö_24hs" advise="1">
        <values>
          <value t="str">
            <val>0.700</val>
          </value>
        </values>
      </ddeItem>
      <ddeItem name="lst?MERV_Ö_XMEV_Ö_GFGV175.AB_Ö_24hs" advise="1">
        <values>
          <value t="str">
            <val>0.000</val>
          </value>
        </values>
      </ddeItem>
      <ddeItem name="lst?MERV_Ö_XMEV_Ö_GFGV180.AB_Ö_24hs" advise="1">
        <values>
          <value t="str">
            <val>1.370</val>
          </value>
        </values>
      </ddeItem>
      <ddeItem name="lst?MERV_Ö_XMEV_Ö_GFGV185.AB_Ö_24hs" advise="1">
        <values>
          <value t="str">
            <val>1.900</val>
          </value>
        </values>
      </ddeItem>
      <ddeItem name="lst?MERV_Ö_XMEV_Ö_GFGV190.AB_Ö_24hs" advise="1">
        <values>
          <value t="str">
            <val>2.600</val>
          </value>
        </values>
      </ddeItem>
      <ddeItem name="lst?MERV_Ö_XMEV_Ö_GFGV195.AB_Ö_24hs" advise="1">
        <values>
          <value t="str">
            <val>3.900</val>
          </value>
        </values>
      </ddeItem>
      <ddeItem name="lst?MERV_Ö_XMEV_Ö_GFGV200.AB_Ö_24hs" advise="1">
        <values>
          <value t="str">
            <val>5.050</val>
          </value>
        </values>
      </ddeItem>
      <ddeItem name="lst?MERV_Ö_XMEV_Ö_GFGV210.AB_Ö_24hs" advise="1">
        <values>
          <value t="str">
            <val>8.900</val>
          </value>
        </values>
      </ddeItem>
      <ddeItem name="lst?MERV_Ö_XMEV_Ö_GFGV220.AB_Ö_24hs" advise="1">
        <values>
          <value t="str">
            <val>13.900</val>
          </value>
        </values>
      </ddeItem>
      <ddeItem name="lst?MERV_Ö_XMEV_Ö_GFGV230.AB_Ö_24hs" advise="1">
        <values>
          <value t="str">
            <val>20.600</val>
          </value>
        </values>
      </ddeItem>
      <ddeItem name="lst?MERV_Ö_XMEV_Ö_GFGV240.AB_Ö_24hs" advise="1">
        <values>
          <value t="str">
            <val>0.000</val>
          </value>
        </values>
      </ddeItem>
      <ddeItem name="lst?MERV_Ö_XMEV_Ö_GFGV250.AB_Ö_24hs" advise="1">
        <values>
          <value t="str">
            <val>0.000</val>
          </value>
        </values>
      </ddeItem>
      <ddeItem name="lst?MERV_Ö_XMEV_Ö_GFGV260.AB_Ö_24hs" advise="1">
        <values>
          <value t="str">
            <val>0.000</val>
          </value>
        </values>
      </ddeItem>
      <ddeItem name="lst?MERV_Ö_XMEV_Ö_GFGV270.AB_Ö_24hs" advise="1">
        <values>
          <value t="str">
            <val>0.000</val>
          </value>
        </values>
      </ddeItem>
      <ddeItem name="lst?MERV_Ö_XMEV_Ö_GFGV280.AB_Ö_24hs" advise="1">
        <values>
          <value t="str">
            <val>0.000</val>
          </value>
        </values>
      </ddeItem>
      <ddeItem name="lst?MERV_Ö_XMEV_Ö_GFGV290.AB_Ö_24hs" advise="1">
        <values>
          <value t="str">
            <val>0.000</val>
          </value>
        </values>
      </ddeItem>
      <ddeItem name="lst?MERV_Ö_XMEV_Ö_GFGV300.AB_Ö_24hs" advise="1">
        <values>
          <value t="str">
            <val>0.000</val>
          </value>
        </values>
      </ddeItem>
      <ddeItem name="lst?MERV_Ö_XMEV_Ö_GFGV310.AB_Ö_24hs" advise="1">
        <values>
          <value t="str">
            <val>0.000</val>
          </value>
        </values>
      </ddeItem>
      <ddeItem name="lst?MERV_Ö_XMEV_Ö_GFGV320.AB_Ö_24hs" advise="1">
        <values>
          <value t="str">
            <val>0.000</val>
          </value>
        </values>
      </ddeItem>
      <ddeItem name="lst?MERV_Ö_XMEV_Ö_GFGV330.AB_Ö_24hs" advise="1">
        <values>
          <value t="str">
            <val>0.000</val>
          </value>
        </values>
      </ddeItem>
      <ddeItem name="lst?MERV_Ö_XMEV_Ö_GFGV340.AB_Ö_24hs" advise="1">
        <values>
          <value t="str">
            <val>0.000</val>
          </value>
        </values>
      </ddeItem>
      <ddeItem name="lst?MERV_Ö_XMEV_Ö_GFGV350.AB_Ö_24hs" advise="1">
        <values>
          <value t="str">
            <val>0.000</val>
          </value>
        </values>
      </ddeItem>
      <ddeItem name="lst?MERV_Ö_XMEV_Ö_GFGV360.AB_Ö_24hs" advise="1">
        <values>
          <value t="str">
            <val>0.000</val>
          </value>
        </values>
      </ddeItem>
      <ddeItem name="lst?MERV_Ö_XMEV_Ö_GGAL_Ö_24hs" advise="1">
        <values>
          <value t="str">
            <val>209.00</val>
          </value>
        </values>
      </ddeItem>
      <ddeItem name="lst?MERV_Ö_XMEV_Ö_GGAL_Ö_48hs" advise="1">
        <values>
          <value t="str">
            <val>209.65</val>
          </value>
        </values>
      </ddeItem>
      <ddeItem name="lst?MERV_Ö_XMEV_Ö_GGAL_Ö_CI" advise="1">
        <values>
          <value t="str">
            <val>207.00</val>
          </value>
        </values>
      </ddeItem>
      <ddeItem name="lst?MERV_Ö_XMEV_Ö_MIRG_Ö_48hs" advise="1">
        <values>
          <value t="str">
            <val>0.00</val>
          </value>
        </values>
      </ddeItem>
      <ddeItem name="lst?MERV_Ö_XMEV_Ö_PAMP_Ö_48hs" advise="1">
        <values>
          <value t="str">
            <val>0.00</val>
          </value>
        </values>
      </ddeItem>
      <ddeItem name="lst?MERV_Ö_XMEV_Ö_SUPV_Ö_48hs" advise="1">
        <values>
          <value t="str">
            <val>0.00</val>
          </value>
        </values>
      </ddeItem>
      <ddeItem name="lst?MERV_Ö_XMEV_Ö_TXAR_Ö_48hs" advise="1">
        <values>
          <value t="str">
            <val>0.00</val>
          </value>
        </values>
      </ddeItem>
      <ddeItem name="lst?MERV_Ö_XMEV_Ö_VALO_Ö_48hs" advise="1">
        <values>
          <value t="str">
            <val>0.00</val>
          </value>
        </values>
      </ddeItem>
      <ddeItem name="lst?MERV_Ö_XMEV_Ö_YPFD_Ö_48hs" advise="1">
        <values>
          <value t="str">
            <val>0.00</val>
          </value>
        </values>
      </ddeItem>
      <ddeItem name="ltu?MERV_Ö_XMEV_Ö_AE38_Ö_24hs" advise="1"/>
      <ddeItem name="ltu?MERV_Ö_XMEV_Ö_AE38_Ö_48hs" advise="1">
        <values>
          <value t="str">
            <val>17:00:14</val>
          </value>
        </values>
      </ddeItem>
      <ddeItem name="ltu?MERV_Ö_XMEV_Ö_AE38_Ö_CI" advise="1">
        <values>
          <value t="str">
            <val>15:43:03</val>
          </value>
        </values>
      </ddeItem>
      <ddeItem name="ltu?MERV_Ö_XMEV_Ö_AE38D_Ö_24hs" advise="1"/>
      <ddeItem name="ltu?MERV_Ö_XMEV_Ö_AE38D_Ö_48hs" advise="1">
        <values>
          <value t="str">
            <val>16:44:16</val>
          </value>
        </values>
      </ddeItem>
      <ddeItem name="ltu?MERV_Ö_XMEV_Ö_AE38D_Ö_CI" advise="1">
        <values>
          <value t="str">
            <val>15:34:58</val>
          </value>
        </values>
      </ddeItem>
      <ddeItem name="ltu?MERV_Ö_XMEV_Ö_AL29_Ö_24hs" advise="1"/>
      <ddeItem name="ltu?MERV_Ö_XMEV_Ö_AL29_Ö_48hs" advise="1">
        <values>
          <value t="str">
            <val>16:53:49</val>
          </value>
        </values>
      </ddeItem>
      <ddeItem name="ltu?MERV_Ö_XMEV_Ö_AL29_Ö_CI" advise="1">
        <values>
          <value t="str">
            <val>15:47:15</val>
          </value>
        </values>
      </ddeItem>
      <ddeItem name="ltu?MERV_Ö_XMEV_Ö_AL29D_Ö_24hs" advise="1"/>
      <ddeItem name="ltu?MERV_Ö_XMEV_Ö_AL29D_Ö_48hs" advise="1">
        <values>
          <value t="str">
            <val>16:52:55</val>
          </value>
        </values>
      </ddeItem>
      <ddeItem name="ltu?MERV_Ö_XMEV_Ö_AL29D_Ö_CI" advise="1">
        <values>
          <value t="str">
            <val>15:08:45</val>
          </value>
        </values>
      </ddeItem>
      <ddeItem name="ltu?MERV_Ö_XMEV_Ö_AL30_Ö_24hs" advise="1">
        <values>
          <value t="str">
            <val>16:51:48</val>
          </value>
        </values>
      </ddeItem>
      <ddeItem name="ltu?MERV_Ö_XMEV_Ö_AL30_Ö_48hs" advise="1">
        <values>
          <value t="str">
            <val>17:00:29</val>
          </value>
        </values>
      </ddeItem>
      <ddeItem name="ltu?MERV_Ö_XMEV_Ö_AL30_Ö_CI" advise="1">
        <values>
          <value t="str">
            <val>16:00:22</val>
          </value>
        </values>
      </ddeItem>
      <ddeItem name="ltu?MERV_Ö_XMEV_Ö_AL30C_Ö_24hs" advise="1"/>
      <ddeItem name="ltu?MERV_Ö_XMEV_Ö_AL30C_Ö_48hs" advise="1"/>
      <ddeItem name="ltu?MERV_Ö_XMEV_Ö_AL30C_Ö_CI" advise="1">
        <values>
          <value t="str">
            <val>15:24:27</val>
          </value>
        </values>
      </ddeItem>
      <ddeItem name="ltu?MERV_Ö_XMEV_Ö_AL30D_Ö_24hs" advise="1">
        <values>
          <value t="str">
            <val>16:48:56</val>
          </value>
        </values>
      </ddeItem>
      <ddeItem name="ltu?MERV_Ö_XMEV_Ö_AL30D_Ö_48hs" advise="1">
        <values>
          <value t="str">
            <val>17:00:03</val>
          </value>
        </values>
      </ddeItem>
      <ddeItem name="ltu?MERV_Ö_XMEV_Ö_AL30D_Ö_CI" advise="1">
        <values>
          <value t="str">
            <val>16:00:17</val>
          </value>
        </values>
      </ddeItem>
      <ddeItem name="ltu?MERV_Ö_XMEV_Ö_AL41_Ö_24hs" advise="1"/>
      <ddeItem name="ltu?MERV_Ö_XMEV_Ö_AL41_Ö_48hs" advise="1">
        <values>
          <value t="str">
            <val>17:00:06</val>
          </value>
        </values>
      </ddeItem>
      <ddeItem name="ltu?MERV_Ö_XMEV_Ö_AL41_Ö_CI" advise="1">
        <values>
          <value t="str">
            <val>16:00:26</val>
          </value>
        </values>
      </ddeItem>
      <ddeItem name="ltu?MERV_Ö_XMEV_Ö_AL41D_Ö_24hs" advise="1"/>
      <ddeItem name="ltu?MERV_Ö_XMEV_Ö_AL41D_Ö_48hs" advise="1">
        <values>
          <value t="str">
            <val>16:19:42</val>
          </value>
        </values>
      </ddeItem>
      <ddeItem name="ltu?MERV_Ö_XMEV_Ö_AL41D_Ö_CI" advise="1">
        <values>
          <value t="str">
            <val>15:48:58</val>
          </value>
        </values>
      </ddeItem>
      <ddeItem name="ltu?MERV_Ö_XMEV_Ö_AY24_Ö_24hs" advise="1"/>
      <ddeItem name="ltu?MERV_Ö_XMEV_Ö_AY24_Ö_48hs" advise="1"/>
      <ddeItem name="ltu?MERV_Ö_XMEV_Ö_AY24_Ö_CI" advise="1"/>
      <ddeItem name="ltu?MERV_Ö_XMEV_Ö_AY24D_Ö_24hs" advise="1"/>
      <ddeItem name="ltu?MERV_Ö_XMEV_Ö_AY24D_Ö_48hs" advise="1"/>
      <ddeItem name="ltu?MERV_Ö_XMEV_Ö_AY24D_Ö_CI" advise="1"/>
      <ddeItem name="ltu?MERV_Ö_XMEV_Ö_BYMA_Ö_48hs" advise="1"/>
      <ddeItem name="ltu?MERV_Ö_XMEV_Ö_COME_Ö_48hs" advise="1"/>
      <ddeItem name="ltu?MERV_Ö_XMEV_Ö_EDN_Ö_48hs" advise="1"/>
      <ddeItem name="ltu?MERV_Ö_XMEV_Ö_GD29_Ö_24hs" advise="1"/>
      <ddeItem name="ltu?MERV_Ö_XMEV_Ö_GD29_Ö_48hs" advise="1">
        <values>
          <value t="str">
            <val>16:18:47</val>
          </value>
        </values>
      </ddeItem>
      <ddeItem name="ltu?MERV_Ö_XMEV_Ö_GD29_Ö_CI" advise="1">
        <values>
          <value t="str">
            <val>15:12:31</val>
          </value>
        </values>
      </ddeItem>
      <ddeItem name="ltu?MERV_Ö_XMEV_Ö_GD29C_Ö_24hs" advise="1"/>
      <ddeItem name="ltu?MERV_Ö_XMEV_Ö_GD29C_Ö_48hs" advise="1"/>
      <ddeItem name="ltu?MERV_Ö_XMEV_Ö_GD29C_Ö_CI" advise="1"/>
      <ddeItem name="ltu?MERV_Ö_XMEV_Ö_GD29D_Ö_24hs" advise="1"/>
      <ddeItem name="ltu?MERV_Ö_XMEV_Ö_GD29D_Ö_48hs" advise="1">
        <values>
          <value t="str">
            <val>16:18:34</val>
          </value>
        </values>
      </ddeItem>
      <ddeItem name="ltu?MERV_Ö_XMEV_Ö_GD29D_Ö_CI" advise="1">
        <values>
          <value t="str">
            <val>15:27:28</val>
          </value>
        </values>
      </ddeItem>
      <ddeItem name="ltu?MERV_Ö_XMEV_Ö_GD30_Ö_24hs" advise="1">
        <values>
          <value t="str">
            <val>16:45:42</val>
          </value>
        </values>
      </ddeItem>
      <ddeItem name="ltu?MERV_Ö_XMEV_Ö_GD30_Ö_48hs" advise="1">
        <values>
          <value t="str">
            <val>17:00:22</val>
          </value>
        </values>
      </ddeItem>
      <ddeItem name="ltu?MERV_Ö_XMEV_Ö_GD30_Ö_CI" advise="1">
        <values>
          <value t="str">
            <val>16:00:19</val>
          </value>
        </values>
      </ddeItem>
      <ddeItem name="ltu?MERV_Ö_XMEV_Ö_GD30C_Ö_24hs" advise="1"/>
      <ddeItem name="ltu?MERV_Ö_XMEV_Ö_GD30C_Ö_48hs" advise="1">
        <values>
          <value t="str">
            <val>16:56:20</val>
          </value>
        </values>
      </ddeItem>
      <ddeItem name="ltu?MERV_Ö_XMEV_Ö_GD30C_Ö_CI" advise="1">
        <values>
          <value t="str">
            <val>16:00:25</val>
          </value>
        </values>
      </ddeItem>
      <ddeItem name="ltu?MERV_Ö_XMEV_Ö_GD30D_Ö_24hs" advise="1">
        <values>
          <value t="str">
            <val>11:12:30</val>
          </value>
        </values>
      </ddeItem>
      <ddeItem name="ltu?MERV_Ö_XMEV_Ö_GD30D_Ö_48hs" advise="1">
        <values>
          <value t="str">
            <val>17:00:28</val>
          </value>
        </values>
      </ddeItem>
      <ddeItem name="ltu?MERV_Ö_XMEV_Ö_GD30D_Ö_CI" advise="1">
        <values>
          <value t="str">
            <val>16:00:13</val>
          </value>
        </values>
      </ddeItem>
      <ddeItem name="ltu?MERV_Ö_XMEV_Ö_GD35_Ö_24hs" advise="1"/>
      <ddeItem name="ltu?MERV_Ö_XMEV_Ö_GD35_Ö_48hs" advise="1">
        <values>
          <value t="str">
            <val>16:48:59</val>
          </value>
        </values>
      </ddeItem>
      <ddeItem name="ltu?MERV_Ö_XMEV_Ö_GD35_Ö_CI" advise="1">
        <values>
          <value t="str">
            <val>15:13:43</val>
          </value>
        </values>
      </ddeItem>
      <ddeItem name="ltu?MERV_Ö_XMEV_Ö_GD35C_Ö_24hs" advise="1"/>
      <ddeItem name="ltu?MERV_Ö_XMEV_Ö_GD35C_Ö_48hs" advise="1">
        <values>
          <value t="str">
            <val>16:24:01</val>
          </value>
        </values>
      </ddeItem>
      <ddeItem name="ltu?MERV_Ö_XMEV_Ö_GD35C_Ö_CI" advise="1">
        <values>
          <value t="str">
            <val>15:09:48</val>
          </value>
        </values>
      </ddeItem>
      <ddeItem name="ltu?MERV_Ö_XMEV_Ö_GD35D_Ö_24hs" advise="1"/>
      <ddeItem name="ltu?MERV_Ö_XMEV_Ö_GD35D_Ö_48hs" advise="1">
        <values>
          <value t="str">
            <val>17:00:16</val>
          </value>
        </values>
      </ddeItem>
      <ddeItem name="ltu?MERV_Ö_XMEV_Ö_GD35D_Ö_CI" advise="1">
        <values>
          <value t="str">
            <val>16:00:18</val>
          </value>
        </values>
      </ddeItem>
      <ddeItem name="ltu?MERV_Ö_XMEV_Ö_GFGC132.AB_Ö_24hs" advise="1">
        <values>
          <value t="str">
            <val>16:15:07</val>
          </value>
        </values>
      </ddeItem>
      <ddeItem name="ltu?MERV_Ö_XMEV_Ö_GFGC135.AB_Ö_24hs" advise="1"/>
      <ddeItem name="ltu?MERV_Ö_XMEV_Ö_GFGC140.AB_Ö_24hs" advise="1"/>
      <ddeItem name="ltu?MERV_Ö_XMEV_Ö_GFGC145.AB_Ö_24hs" advise="1"/>
      <ddeItem name="ltu?MERV_Ö_XMEV_Ö_GFGC150.AB_Ö_24hs" advise="1"/>
      <ddeItem name="ltu?MERV_Ö_XMEV_Ö_GFGC155.AB_Ö_24hs" advise="1"/>
      <ddeItem name="ltu?MERV_Ö_XMEV_Ö_GFGC160.AB_Ö_24hs" advise="1"/>
      <ddeItem name="ltu?MERV_Ö_XMEV_Ö_GFGC165.AB_Ö_24hs" advise="1">
        <values>
          <value t="str">
            <val>16:51:25</val>
          </value>
        </values>
      </ddeItem>
      <ddeItem name="ltu?MERV_Ö_XMEV_Ö_GFGC170.AB_Ö_24hs" advise="1"/>
      <ddeItem name="ltu?MERV_Ö_XMEV_Ö_GFGC175.AB_Ö_24hs" advise="1"/>
      <ddeItem name="ltu?MERV_Ö_XMEV_Ö_GFGC180.AB_Ö_24hs" advise="1"/>
      <ddeItem name="ltu?MERV_Ö_XMEV_Ö_GFGC185.AB_Ö_24hs" advise="1">
        <values>
          <value t="str">
            <val>11:42:21</val>
          </value>
        </values>
      </ddeItem>
      <ddeItem name="ltu?MERV_Ö_XMEV_Ö_GFGC190.AB_Ö_24hs" advise="1">
        <values>
          <value t="str">
            <val>16:59:32</val>
          </value>
        </values>
      </ddeItem>
      <ddeItem name="ltu?MERV_Ö_XMEV_Ö_GFGC195.AB_Ö_24hs" advise="1">
        <values>
          <value t="str">
            <val>16:59:55</val>
          </value>
        </values>
      </ddeItem>
      <ddeItem name="ltu?MERV_Ö_XMEV_Ö_GFGC200.AB_Ö_24hs" advise="1">
        <values>
          <value t="str">
            <val>16:59:27</val>
          </value>
        </values>
      </ddeItem>
      <ddeItem name="ltu?MERV_Ö_XMEV_Ö_GFGC210.AB_Ö_24hs" advise="1">
        <values>
          <value t="str">
            <val>16:59:27</val>
          </value>
        </values>
      </ddeItem>
      <ddeItem name="ltu?MERV_Ö_XMEV_Ö_GFGC220.AB_Ö_24hs" advise="1">
        <values>
          <value t="str">
            <val>16:59:58</val>
          </value>
        </values>
      </ddeItem>
      <ddeItem name="ltu?MERV_Ö_XMEV_Ö_GFGC230.AB_Ö_24hs" advise="1">
        <values>
          <value t="str">
            <val>16:59:41</val>
          </value>
        </values>
      </ddeItem>
      <ddeItem name="ltu?MERV_Ö_XMEV_Ö_GFGC240.AB_Ö_24hs" advise="1">
        <values>
          <value t="str">
            <val>16:59:52</val>
          </value>
        </values>
      </ddeItem>
      <ddeItem name="ltu?MERV_Ö_XMEV_Ö_GFGC250.AB_Ö_24hs" advise="1">
        <values>
          <value t="str">
            <val>16:59:44</val>
          </value>
        </values>
      </ddeItem>
      <ddeItem name="ltu?MERV_Ö_XMEV_Ö_GFGC260.AB_Ö_24hs" advise="1">
        <values>
          <value t="str">
            <val>16:59:57</val>
          </value>
        </values>
      </ddeItem>
      <ddeItem name="ltu?MERV_Ö_XMEV_Ö_GFGC270.AB_Ö_24hs" advise="1">
        <values>
          <value t="str">
            <val>16:59:50</val>
          </value>
        </values>
      </ddeItem>
      <ddeItem name="ltu?MERV_Ö_XMEV_Ö_GFGC280.AB_Ö_24hs" advise="1">
        <values>
          <value t="str">
            <val>16:38:00</val>
          </value>
        </values>
      </ddeItem>
      <ddeItem name="ltu?MERV_Ö_XMEV_Ö_GFGC290.AB_Ö_24hs" advise="1">
        <values>
          <value t="str">
            <val>16:55:35</val>
          </value>
        </values>
      </ddeItem>
      <ddeItem name="ltu?MERV_Ö_XMEV_Ö_GFGC300.AB_Ö_24hs" advise="1">
        <values>
          <value t="str">
            <val>16:59:40</val>
          </value>
        </values>
      </ddeItem>
      <ddeItem name="ltu?MERV_Ö_XMEV_Ö_GFGC310.AB_Ö_24hs" advise="1">
        <values>
          <value t="str">
            <val>16:59:57</val>
          </value>
        </values>
      </ddeItem>
      <ddeItem name="ltu?MERV_Ö_XMEV_Ö_GFGC320.AB_Ö_24hs" advise="1">
        <values>
          <value t="str">
            <val>16:59:27</val>
          </value>
        </values>
      </ddeItem>
      <ddeItem name="ltu?MERV_Ö_XMEV_Ö_GFGC330.AB_Ö_24hs" advise="1">
        <values>
          <value t="str">
            <val>16:59:27</val>
          </value>
        </values>
      </ddeItem>
      <ddeItem name="ltu?MERV_Ö_XMEV_Ö_GFGC340.AB_Ö_24hs" advise="1">
        <values>
          <value t="str">
            <val>16:27:52</val>
          </value>
        </values>
      </ddeItem>
      <ddeItem name="ltu?MERV_Ö_XMEV_Ö_GFGC350.AB_Ö_24hs" advise="1">
        <values>
          <value t="str">
            <val>16:59:40</val>
          </value>
        </values>
      </ddeItem>
      <ddeItem name="ltu?MERV_Ö_XMEV_Ö_GFGC360.AB_Ö_24hs" advise="1">
        <values>
          <value t="str">
            <val>16:59:40</val>
          </value>
        </values>
      </ddeItem>
      <ddeItem name="ltu?MERV_Ö_XMEV_Ö_GFGV132.AB_Ö_24hs" advise="1">
        <values>
          <value t="str">
            <val>16:58:50</val>
          </value>
        </values>
      </ddeItem>
      <ddeItem name="ltu?MERV_Ö_XMEV_Ö_GFGV135.AB_Ö_24hs" advise="1">
        <values>
          <value t="str">
            <val>16:52:00</val>
          </value>
        </values>
      </ddeItem>
      <ddeItem name="ltu?MERV_Ö_XMEV_Ö_GFGV140.AB_Ö_24hs" advise="1"/>
      <ddeItem name="ltu?MERV_Ö_XMEV_Ö_GFGV145.AB_Ö_24hs" advise="1">
        <values>
          <value t="str">
            <val>16:49:51</val>
          </value>
        </values>
      </ddeItem>
      <ddeItem name="ltu?MERV_Ö_XMEV_Ö_GFGV150.AB_Ö_24hs" advise="1"/>
      <ddeItem name="ltu?MERV_Ö_XMEV_Ö_GFGV155.AB_Ö_24hs" advise="1"/>
      <ddeItem name="ltu?MERV_Ö_XMEV_Ö_GFGV160.AB_Ö_24hs" advise="1">
        <values>
          <value t="str">
            <val>16:59:49</val>
          </value>
        </values>
      </ddeItem>
      <ddeItem name="ltu?MERV_Ö_XMEV_Ö_GFGV165.AB_Ö_24hs" advise="1">
        <values>
          <value t="str">
            <val>16:55:31</val>
          </value>
        </values>
      </ddeItem>
      <ddeItem name="ltu?MERV_Ö_XMEV_Ö_GFGV170.AB_Ö_24hs" advise="1">
        <values>
          <value t="str">
            <val>16:59:33</val>
          </value>
        </values>
      </ddeItem>
      <ddeItem name="ltu?MERV_Ö_XMEV_Ö_GFGV175.AB_Ö_24hs" advise="1"/>
      <ddeItem name="ltu?MERV_Ö_XMEV_Ö_GFGV180.AB_Ö_24hs" advise="1">
        <values>
          <value t="str">
            <val>16:57:57</val>
          </value>
        </values>
      </ddeItem>
      <ddeItem name="ltu?MERV_Ö_XMEV_Ö_GFGV185.AB_Ö_24hs" advise="1">
        <values>
          <value t="str">
            <val>16:56:59</val>
          </value>
        </values>
      </ddeItem>
      <ddeItem name="ltu?MERV_Ö_XMEV_Ö_GFGV190.AB_Ö_24hs" advise="1">
        <values>
          <value t="str">
            <val>16:59:40</val>
          </value>
        </values>
      </ddeItem>
      <ddeItem name="ltu?MERV_Ö_XMEV_Ö_GFGV195.AB_Ö_24hs" advise="1">
        <values>
          <value t="str">
            <val>16:57:48</val>
          </value>
        </values>
      </ddeItem>
      <ddeItem name="ltu?MERV_Ö_XMEV_Ö_GFGV200.AB_Ö_24hs" advise="1">
        <values>
          <value t="str">
            <val>16:59:49</val>
          </value>
        </values>
      </ddeItem>
      <ddeItem name="ltu?MERV_Ö_XMEV_Ö_GFGV210.AB_Ö_24hs" advise="1">
        <values>
          <value t="str">
            <val>16:59:49</val>
          </value>
        </values>
      </ddeItem>
      <ddeItem name="ltu?MERV_Ö_XMEV_Ö_GFGV220.AB_Ö_24hs" advise="1">
        <values>
          <value t="str">
            <val>16:59:28</val>
          </value>
        </values>
      </ddeItem>
      <ddeItem name="ltu?MERV_Ö_XMEV_Ö_GFGV230.AB_Ö_24hs" advise="1">
        <values>
          <value t="str">
            <val>16:57:33</val>
          </value>
        </values>
      </ddeItem>
      <ddeItem name="ltu?MERV_Ö_XMEV_Ö_GFGV240.AB_Ö_24hs" advise="1"/>
      <ddeItem name="ltu?MERV_Ö_XMEV_Ö_GFGV250.AB_Ö_24hs" advise="1"/>
      <ddeItem name="ltu?MERV_Ö_XMEV_Ö_GFGV260.AB_Ö_24hs" advise="1"/>
      <ddeItem name="ltu?MERV_Ö_XMEV_Ö_GFGV270.AB_Ö_24hs" advise="1"/>
      <ddeItem name="ltu?MERV_Ö_XMEV_Ö_GFGV280.AB_Ö_24hs" advise="1"/>
      <ddeItem name="ltu?MERV_Ö_XMEV_Ö_GFGV290.AB_Ö_24hs" advise="1"/>
      <ddeItem name="ltu?MERV_Ö_XMEV_Ö_GFGV300.AB_Ö_24hs" advise="1"/>
      <ddeItem name="ltu?MERV_Ö_XMEV_Ö_GFGV310.AB_Ö_24hs" advise="1"/>
      <ddeItem name="ltu?MERV_Ö_XMEV_Ö_GFGV320.AB_Ö_24hs" advise="1"/>
      <ddeItem name="ltu?MERV_Ö_XMEV_Ö_GFGV330.AB_Ö_24hs" advise="1"/>
      <ddeItem name="ltu?MERV_Ö_XMEV_Ö_GFGV340.AB_Ö_24hs" advise="1"/>
      <ddeItem name="ltu?MERV_Ö_XMEV_Ö_GFGV350.AB_Ö_24hs" advise="1"/>
      <ddeItem name="ltu?MERV_Ö_XMEV_Ö_GFGV360.AB_Ö_24hs" advise="1"/>
      <ddeItem name="ltu?MERV_Ö_XMEV_Ö_GGAL_Ö_24hs" advise="1">
        <values>
          <value t="str">
            <val>16:55:58</val>
          </value>
        </values>
      </ddeItem>
      <ddeItem name="ltu?MERV_Ö_XMEV_Ö_GGAL_Ö_48hs" advise="1">
        <values>
          <value t="str">
            <val>16:59:57</val>
          </value>
        </values>
      </ddeItem>
      <ddeItem name="ltu?MERV_Ö_XMEV_Ö_GGAL_Ö_CI" advise="1">
        <values>
          <value t="str">
            <val>15:55:45</val>
          </value>
        </values>
      </ddeItem>
      <ddeItem name="ltu?MERV_Ö_XMEV_Ö_MIRG_Ö_48hs" advise="1"/>
      <ddeItem name="ltu?MERV_Ö_XMEV_Ö_PAMP_Ö_48hs" advise="1"/>
      <ddeItem name="ltu?MERV_Ö_XMEV_Ö_SUPV_Ö_48hs" advise="1"/>
      <ddeItem name="ltu?MERV_Ö_XMEV_Ö_TXAR_Ö_48hs" advise="1"/>
      <ddeItem name="ltu?MERV_Ö_XMEV_Ö_VALO_Ö_48hs" advise="1"/>
      <ddeItem name="ltu?MERV_Ö_XMEV_Ö_YPFD_Ö_48hs" advise="1"/>
      <ddeItem name="opr?MERV_Ö_XMEV_Ö_AE38_Ö_24hs" advise="1">
        <values>
          <value t="str">
            <val>0.00</val>
          </value>
        </values>
      </ddeItem>
      <ddeItem name="opr?MERV_Ö_XMEV_Ö_AE38_Ö_48hs" advise="1">
        <values>
          <value t="str">
            <val>7180.00</val>
          </value>
        </values>
      </ddeItem>
      <ddeItem name="opr?MERV_Ö_XMEV_Ö_AE38_Ö_CI" advise="1">
        <values>
          <value t="str">
            <val>7211.00</val>
          </value>
        </values>
      </ddeItem>
      <ddeItem name="opr?MERV_Ö_XMEV_Ö_AE38D_Ö_24hs" advise="1">
        <values>
          <value t="str">
            <val>0.00</val>
          </value>
        </values>
      </ddeItem>
      <ddeItem name="opr?MERV_Ö_XMEV_Ö_AE38D_Ö_48hs" advise="1">
        <values>
          <value t="str">
            <val>36.45</val>
          </value>
        </values>
      </ddeItem>
      <ddeItem name="opr?MERV_Ö_XMEV_Ö_AE38D_Ö_CI" advise="1">
        <values>
          <value t="str">
            <val>36.31</val>
          </value>
        </values>
      </ddeItem>
      <ddeItem name="opr?MERV_Ö_XMEV_Ö_AL29_Ö_24hs" advise="1">
        <values>
          <value t="str">
            <val>6405.00</val>
          </value>
        </values>
      </ddeItem>
      <ddeItem name="opr?MERV_Ö_XMEV_Ö_AL29_Ö_48hs" advise="1">
        <values>
          <value t="str">
            <val>6424.00</val>
          </value>
        </values>
      </ddeItem>
      <ddeItem name="opr?MERV_Ö_XMEV_Ö_AL29_Ö_CI" advise="1">
        <values>
          <value t="str">
            <val>6414.00</val>
          </value>
        </values>
      </ddeItem>
      <ddeItem name="opr?MERV_Ö_XMEV_Ö_AL29D_Ö_24hs" advise="1">
        <values>
          <value t="str">
            <val>0.00</val>
          </value>
        </values>
      </ddeItem>
      <ddeItem name="opr?MERV_Ö_XMEV_Ö_AL29D_Ö_48hs" advise="1">
        <values>
          <value t="str">
            <val>32.50</val>
          </value>
        </values>
      </ddeItem>
      <ddeItem name="opr?MERV_Ö_XMEV_Ö_AL29D_Ö_CI" advise="1">
        <values>
          <value t="str">
            <val>32.30</val>
          </value>
        </values>
      </ddeItem>
      <ddeItem name="opr?MERV_Ö_XMEV_Ö_AL30_Ö_24hs" advise="1">
        <values>
          <value t="str">
            <val>6055.00</val>
          </value>
        </values>
      </ddeItem>
      <ddeItem name="opr?MERV_Ö_XMEV_Ö_AL30_Ö_48hs" advise="1">
        <values>
          <value t="str">
            <val>6035.00</val>
          </value>
        </values>
      </ddeItem>
      <ddeItem name="opr?MERV_Ö_XMEV_Ö_AL30_Ö_CI" advise="1">
        <values>
          <value t="str">
            <val>6066.00</val>
          </value>
        </values>
      </ddeItem>
      <ddeItem name="opr?MERV_Ö_XMEV_Ö_AL30C_Ö_24hs" advise="1">
        <values>
          <value t="str">
            <val>0.00</val>
          </value>
        </values>
      </ddeItem>
      <ddeItem name="opr?MERV_Ö_XMEV_Ö_AL30C_Ö_48hs" advise="1">
        <values>
          <value t="str">
            <val>0.00</val>
          </value>
        </values>
      </ddeItem>
      <ddeItem name="opr?MERV_Ö_XMEV_Ö_AL30C_Ö_CI" advise="1">
        <values>
          <value t="str">
            <val>30.15</val>
          </value>
        </values>
      </ddeItem>
      <ddeItem name="opr?MERV_Ö_XMEV_Ö_AL30D_Ö_24hs" advise="1">
        <values>
          <value t="str">
            <val>30.85</val>
          </value>
        </values>
      </ddeItem>
      <ddeItem name="opr?MERV_Ö_XMEV_Ö_AL30D_Ö_48hs" advise="1">
        <values>
          <value t="str">
            <val>30.70</val>
          </value>
        </values>
      </ddeItem>
      <ddeItem name="opr?MERV_Ö_XMEV_Ö_AL30D_Ö_CI" advise="1">
        <values>
          <value t="str">
            <val>30.70</val>
          </value>
        </values>
      </ddeItem>
      <ddeItem name="opr?MERV_Ö_XMEV_Ö_AL41_Ö_24hs" advise="1">
        <values>
          <value t="str">
            <val>7095.00</val>
          </value>
        </values>
      </ddeItem>
      <ddeItem name="opr?MERV_Ö_XMEV_Ö_AL41_Ö_48hs" advise="1">
        <values>
          <value t="str">
            <val>6975.00</val>
          </value>
        </values>
      </ddeItem>
      <ddeItem name="opr?MERV_Ö_XMEV_Ö_AL41_Ö_CI" advise="1">
        <values>
          <value t="str">
            <val>7040.00</val>
          </value>
        </values>
      </ddeItem>
      <ddeItem name="opr?MERV_Ö_XMEV_Ö_AL41D_Ö_24hs" advise="1">
        <values>
          <value t="str">
            <val>0.00</val>
          </value>
        </values>
      </ddeItem>
      <ddeItem name="opr?MERV_Ö_XMEV_Ö_AL41D_Ö_48hs" advise="1">
        <values>
          <value t="str">
            <val>35.35</val>
          </value>
        </values>
      </ddeItem>
      <ddeItem name="opr?MERV_Ö_XMEV_Ö_AL41D_Ö_CI" advise="1">
        <values>
          <value t="str">
            <val>35.35</val>
          </value>
        </values>
      </ddeItem>
      <ddeItem name="opr?MERV_Ö_XMEV_Ö_AY24_Ö_24hs" advise="1">
        <values>
          <value t="str">
            <val>0.00</val>
          </value>
        </values>
      </ddeItem>
      <ddeItem name="opr?MERV_Ö_XMEV_Ö_AY24_Ö_48hs" advise="1">
        <values>
          <value t="str">
            <val>0.00</val>
          </value>
        </values>
      </ddeItem>
      <ddeItem name="opr?MERV_Ö_XMEV_Ö_AY24_Ö_CI" advise="1">
        <values>
          <value t="str">
            <val>0.00</val>
          </value>
        </values>
      </ddeItem>
      <ddeItem name="opr?MERV_Ö_XMEV_Ö_AY24D_Ö_24hs" advise="1">
        <values>
          <value t="str">
            <val>0.00</val>
          </value>
        </values>
      </ddeItem>
      <ddeItem name="opr?MERV_Ö_XMEV_Ö_AY24D_Ö_48hs" advise="1">
        <values>
          <value t="str">
            <val>0.00</val>
          </value>
        </values>
      </ddeItem>
      <ddeItem name="opr?MERV_Ö_XMEV_Ö_AY24D_Ö_CI" advise="1">
        <values>
          <value t="str">
            <val>0.00</val>
          </value>
        </values>
      </ddeItem>
      <ddeItem name="opr?MERV_Ö_XMEV_Ö_BYMA_Ö_48hs" advise="1">
        <values>
          <value t="str">
            <val>0.00</val>
          </value>
        </values>
      </ddeItem>
      <ddeItem name="opr?MERV_Ö_XMEV_Ö_COME_Ö_48hs" advise="1">
        <values>
          <value t="str">
            <val>0.00</val>
          </value>
        </values>
      </ddeItem>
      <ddeItem name="opr?MERV_Ö_XMEV_Ö_EDN_Ö_48hs" advise="1">
        <values>
          <value t="str">
            <val>0.00</val>
          </value>
        </values>
      </ddeItem>
      <ddeItem name="opr?MERV_Ö_XMEV_Ö_GD29_Ö_24hs" advise="1">
        <values>
          <value t="str">
            <val>0.00</val>
          </value>
        </values>
      </ddeItem>
      <ddeItem name="opr?MERV_Ö_XMEV_Ö_GD29_Ö_48hs" advise="1">
        <values>
          <value t="str">
            <val>7100.00</val>
          </value>
        </values>
      </ddeItem>
      <ddeItem name="opr?MERV_Ö_XMEV_Ö_GD29_Ö_CI" advise="1">
        <values>
          <value t="str">
            <val>7200.00</val>
          </value>
        </values>
      </ddeItem>
      <ddeItem name="opr?MERV_Ö_XMEV_Ö_GD29C_Ö_24hs" advise="1">
        <values>
          <value t="str">
            <val>0.00</val>
          </value>
        </values>
      </ddeItem>
      <ddeItem name="opr?MERV_Ö_XMEV_Ö_GD29C_Ö_48hs" advise="1">
        <values>
          <value t="str">
            <val>0.00</val>
          </value>
        </values>
      </ddeItem>
      <ddeItem name="opr?MERV_Ö_XMEV_Ö_GD29C_Ö_CI" advise="1">
        <values>
          <value t="str">
            <val>0.00</val>
          </value>
        </values>
      </ddeItem>
      <ddeItem name="opr?MERV_Ö_XMEV_Ö_GD29D_Ö_24hs" advise="1">
        <values>
          <value t="str">
            <val>0.00</val>
          </value>
        </values>
      </ddeItem>
      <ddeItem name="opr?MERV_Ö_XMEV_Ö_GD29D_Ö_48hs" advise="1">
        <values>
          <value t="str">
            <val>37.00</val>
          </value>
        </values>
      </ddeItem>
      <ddeItem name="opr?MERV_Ö_XMEV_Ö_GD29D_Ö_CI" advise="1">
        <values>
          <value t="str">
            <val>0.00</val>
          </value>
        </values>
      </ddeItem>
      <ddeItem name="opr?MERV_Ö_XMEV_Ö_GD30_Ö_24hs" advise="1">
        <values>
          <value t="str">
            <val>6920.00</val>
          </value>
        </values>
      </ddeItem>
      <ddeItem name="opr?MERV_Ö_XMEV_Ö_GD30_Ö_48hs" advise="1">
        <values>
          <value t="str">
            <val>6819.50</val>
          </value>
        </values>
      </ddeItem>
      <ddeItem name="opr?MERV_Ö_XMEV_Ö_GD30_Ö_CI" advise="1">
        <values>
          <value t="str">
            <val>6865.00</val>
          </value>
        </values>
      </ddeItem>
      <ddeItem name="opr?MERV_Ö_XMEV_Ö_GD30C_Ö_24hs" advise="1">
        <values>
          <value t="str">
            <val>0.00</val>
          </value>
        </values>
      </ddeItem>
      <ddeItem name="opr?MERV_Ö_XMEV_Ö_GD30C_Ö_48hs" advise="1">
        <values>
          <value t="str">
            <val>34.00</val>
          </value>
        </values>
      </ddeItem>
      <ddeItem name="opr?MERV_Ö_XMEV_Ö_GD30C_Ö_CI" advise="1">
        <values>
          <value t="str">
            <val>34.05</val>
          </value>
        </values>
      </ddeItem>
      <ddeItem name="opr?MERV_Ö_XMEV_Ö_GD30D_Ö_24hs" advise="1">
        <values>
          <value t="str">
            <val>34.90</val>
          </value>
        </values>
      </ddeItem>
      <ddeItem name="opr?MERV_Ö_XMEV_Ö_GD30D_Ö_48hs" advise="1">
        <values>
          <value t="str">
            <val>34.71</val>
          </value>
        </values>
      </ddeItem>
      <ddeItem name="opr?MERV_Ö_XMEV_Ö_GD30D_Ö_CI" advise="1">
        <values>
          <value t="str">
            <val>34.90</val>
          </value>
        </values>
      </ddeItem>
      <ddeItem name="opr?MERV_Ö_XMEV_Ö_GD35_Ö_24hs" advise="1">
        <values>
          <value t="str">
            <val>6500.00</val>
          </value>
        </values>
      </ddeItem>
      <ddeItem name="opr?MERV_Ö_XMEV_Ö_GD35_Ö_48hs" advise="1">
        <values>
          <value t="str">
            <val>6350.00</val>
          </value>
        </values>
      </ddeItem>
      <ddeItem name="opr?MERV_Ö_XMEV_Ö_GD35_Ö_CI" advise="1">
        <values>
          <value t="str">
            <val>6419.50</val>
          </value>
        </values>
      </ddeItem>
      <ddeItem name="opr?MERV_Ö_XMEV_Ö_GD35C_Ö_24hs" advise="1">
        <values>
          <value t="str">
            <val>0.00</val>
          </value>
        </values>
      </ddeItem>
      <ddeItem name="opr?MERV_Ö_XMEV_Ö_GD35C_Ö_48hs" advise="1">
        <values>
          <value t="str">
            <val>31.30</val>
          </value>
        </values>
      </ddeItem>
      <ddeItem name="opr?MERV_Ö_XMEV_Ö_GD35C_Ö_CI" advise="1">
        <values>
          <value t="str">
            <val>32.00</val>
          </value>
        </values>
      </ddeItem>
      <ddeItem name="opr?MERV_Ö_XMEV_Ö_GD35D_Ö_24hs" advise="1">
        <values>
          <value t="str">
            <val>0.00</val>
          </value>
        </values>
      </ddeItem>
      <ddeItem name="opr?MERV_Ö_XMEV_Ö_GD35D_Ö_48hs" advise="1">
        <values>
          <value t="str">
            <val>32.70</val>
          </value>
        </values>
      </ddeItem>
      <ddeItem name="opr?MERV_Ö_XMEV_Ö_GD35D_Ö_CI" advise="1">
        <values>
          <value t="str">
            <val>32.75</val>
          </value>
        </values>
      </ddeItem>
      <ddeItem name="opr?MERV_Ö_XMEV_Ö_GFGC132.AB_Ö_24hs" advise="1">
        <values>
          <value t="str">
            <val>0.000</val>
          </value>
        </values>
      </ddeItem>
      <ddeItem name="opr?MERV_Ö_XMEV_Ö_GFGC135.AB_Ö_24hs" advise="1"/>
      <ddeItem name="opr?MERV_Ö_XMEV_Ö_GFGC140.AB_Ö_24hs" advise="1"/>
      <ddeItem name="opr?MERV_Ö_XMEV_Ö_GFGC145.AB_Ö_24hs" advise="1"/>
      <ddeItem name="opr?MERV_Ö_XMEV_Ö_GFGC150.AB_Ö_24hs" advise="1">
        <values>
          <value t="str">
            <val>72.000</val>
          </value>
        </values>
      </ddeItem>
      <ddeItem name="opr?MERV_Ö_XMEV_Ö_GFGC155.AB_Ö_24hs" advise="1"/>
      <ddeItem name="opr?MERV_Ö_XMEV_Ö_GFGC160.AB_Ö_24hs" advise="1"/>
      <ddeItem name="opr?MERV_Ö_XMEV_Ö_GFGC165.AB_Ö_24hs" advise="1">
        <values>
          <value t="str">
            <val>90.000</val>
          </value>
        </values>
      </ddeItem>
      <ddeItem name="opr?MERV_Ö_XMEV_Ö_GFGC170.AB_Ö_24hs" advise="1"/>
      <ddeItem name="opr?MERV_Ö_XMEV_Ö_GFGC175.AB_Ö_24hs" advise="1"/>
      <ddeItem name="opr?MERV_Ö_XMEV_Ö_GFGC180.AB_Ö_24hs" advise="1">
        <values>
          <value t="str">
            <val>45.340</val>
          </value>
        </values>
      </ddeItem>
      <ddeItem name="opr?MERV_Ö_XMEV_Ö_GFGC185.AB_Ö_24hs" advise="1">
        <values>
          <value t="str">
            <val>43.240</val>
          </value>
        </values>
      </ddeItem>
      <ddeItem name="opr?MERV_Ö_XMEV_Ö_GFGC190.AB_Ö_24hs" advise="1">
        <values>
          <value t="str">
            <val>33.999</val>
          </value>
        </values>
      </ddeItem>
      <ddeItem name="opr?MERV_Ö_XMEV_Ö_GFGC195.AB_Ö_24hs" advise="1">
        <values>
          <value t="str">
            <val>29.500</val>
          </value>
        </values>
      </ddeItem>
      <ddeItem name="opr?MERV_Ö_XMEV_Ö_GFGC200.AB_Ö_24hs" advise="1">
        <values>
          <value t="str">
            <val>25.370</val>
          </value>
        </values>
      </ddeItem>
      <ddeItem name="opr?MERV_Ö_XMEV_Ö_GFGC210.AB_Ö_24hs" advise="1">
        <values>
          <value t="str">
            <val>19.450</val>
          </value>
        </values>
      </ddeItem>
      <ddeItem name="opr?MERV_Ö_XMEV_Ö_GFGC220.AB_Ö_24hs" advise="1">
        <values>
          <value t="str">
            <val>14.780</val>
          </value>
        </values>
      </ddeItem>
      <ddeItem name="opr?MERV_Ö_XMEV_Ö_GFGC230.AB_Ö_24hs" advise="1">
        <values>
          <value t="str">
            <val>10.600</val>
          </value>
        </values>
      </ddeItem>
      <ddeItem name="opr?MERV_Ö_XMEV_Ö_GFGC240.AB_Ö_24hs" advise="1">
        <values>
          <value t="str">
            <val>7.397</val>
          </value>
        </values>
      </ddeItem>
      <ddeItem name="opr?MERV_Ö_XMEV_Ö_GFGC250.AB_Ö_24hs" advise="1">
        <values>
          <value t="str">
            <val>5.310</val>
          </value>
        </values>
      </ddeItem>
      <ddeItem name="opr?MERV_Ö_XMEV_Ö_GFGC260.AB_Ö_24hs" advise="1">
        <values>
          <value t="str">
            <val>3.700</val>
          </value>
        </values>
      </ddeItem>
      <ddeItem name="opr?MERV_Ö_XMEV_Ö_GFGC270.AB_Ö_24hs" advise="1">
        <values>
          <value t="str">
            <val>2.480</val>
          </value>
        </values>
      </ddeItem>
      <ddeItem name="opr?MERV_Ö_XMEV_Ö_GFGC280.AB_Ö_24hs" advise="1">
        <values>
          <value t="str">
            <val>1.790</val>
          </value>
        </values>
      </ddeItem>
      <ddeItem name="opr?MERV_Ö_XMEV_Ö_GFGC290.AB_Ö_24hs" advise="1">
        <values>
          <value t="str">
            <val>1.280</val>
          </value>
        </values>
      </ddeItem>
      <ddeItem name="opr?MERV_Ö_XMEV_Ö_GFGC300.AB_Ö_24hs" advise="1">
        <values>
          <value t="str">
            <val>0.900</val>
          </value>
        </values>
      </ddeItem>
      <ddeItem name="opr?MERV_Ö_XMEV_Ö_GFGC310.AB_Ö_24hs" advise="1">
        <values>
          <value t="str">
            <val>0.699</val>
          </value>
        </values>
      </ddeItem>
      <ddeItem name="opr?MERV_Ö_XMEV_Ö_GFGC320.AB_Ö_24hs" advise="1">
        <values>
          <value t="str">
            <val>0.000</val>
          </value>
        </values>
      </ddeItem>
      <ddeItem name="opr?MERV_Ö_XMEV_Ö_GFGC330.AB_Ö_24hs" advise="1">
        <values>
          <value t="str">
            <val>0.384</val>
          </value>
        </values>
      </ddeItem>
      <ddeItem name="opr?MERV_Ö_XMEV_Ö_GFGC340.AB_Ö_24hs" advise="1">
        <values>
          <value t="str">
            <val>0.350</val>
          </value>
        </values>
      </ddeItem>
      <ddeItem name="opr?MERV_Ö_XMEV_Ö_GFGC350.AB_Ö_24hs" advise="1">
        <values>
          <value t="str">
            <val>0.250</val>
          </value>
        </values>
      </ddeItem>
      <ddeItem name="opr?MERV_Ö_XMEV_Ö_GFGC360.AB_Ö_24hs" advise="1">
        <values>
          <value t="str">
            <val>0.194</val>
          </value>
        </values>
      </ddeItem>
      <ddeItem name="opr?MERV_Ö_XMEV_Ö_GFGV132.AB_Ö_24hs" advise="1">
        <values>
          <value t="str">
            <val>0.175</val>
          </value>
        </values>
      </ddeItem>
      <ddeItem name="opr?MERV_Ö_XMEV_Ö_GFGV135.AB_Ö_24hs" advise="1">
        <values>
          <value t="str">
            <val>0.199</val>
          </value>
        </values>
      </ddeItem>
      <ddeItem name="opr?MERV_Ö_XMEV_Ö_GFGV140.AB_Ö_24hs" advise="1"/>
      <ddeItem name="opr?MERV_Ö_XMEV_Ö_GFGV145.AB_Ö_24hs" advise="1">
        <values>
          <value t="str">
            <val>0.274</val>
          </value>
        </values>
      </ddeItem>
      <ddeItem name="opr?MERV_Ö_XMEV_Ö_GFGV150.AB_Ö_24hs" advise="1"/>
      <ddeItem name="opr?MERV_Ö_XMEV_Ö_GFGV155.AB_Ö_24hs" advise="1"/>
      <ddeItem name="opr?MERV_Ö_XMEV_Ö_GFGV160.AB_Ö_24hs" advise="1">
        <values>
          <value t="str">
            <val>0.460</val>
          </value>
        </values>
      </ddeItem>
      <ddeItem name="opr?MERV_Ö_XMEV_Ö_GFGV165.AB_Ö_24hs" advise="1">
        <values>
          <value t="str">
            <val>0.620</val>
          </value>
        </values>
      </ddeItem>
      <ddeItem name="opr?MERV_Ö_XMEV_Ö_GFGV170.AB_Ö_24hs" advise="1">
        <values>
          <value t="str">
            <val>0.760</val>
          </value>
        </values>
      </ddeItem>
      <ddeItem name="opr?MERV_Ö_XMEV_Ö_GFGV175.AB_Ö_24hs" advise="1">
        <values>
          <value t="str">
            <val>1.400</val>
          </value>
        </values>
      </ddeItem>
      <ddeItem name="opr?MERV_Ö_XMEV_Ö_GFGV180.AB_Ö_24hs" advise="1">
        <values>
          <value t="str">
            <val>1.450</val>
          </value>
        </values>
      </ddeItem>
      <ddeItem name="opr?MERV_Ö_XMEV_Ö_GFGV185.AB_Ö_24hs" advise="1">
        <values>
          <value t="str">
            <val>2.170</val>
          </value>
        </values>
      </ddeItem>
      <ddeItem name="opr?MERV_Ö_XMEV_Ö_GFGV190.AB_Ö_24hs" advise="1">
        <values>
          <value t="str">
            <val>2.600</val>
          </value>
        </values>
      </ddeItem>
      <ddeItem name="opr?MERV_Ö_XMEV_Ö_GFGV195.AB_Ö_24hs" advise="1">
        <values>
          <value t="str">
            <val>3.800</val>
          </value>
        </values>
      </ddeItem>
      <ddeItem name="opr?MERV_Ö_XMEV_Ö_GFGV200.AB_Ö_24hs" advise="1">
        <values>
          <value t="str">
            <val>5.300</val>
          </value>
        </values>
      </ddeItem>
      <ddeItem name="opr?MERV_Ö_XMEV_Ö_GFGV210.AB_Ö_24hs" advise="1">
        <values>
          <value t="str">
            <val>8.900</val>
          </value>
        </values>
      </ddeItem>
      <ddeItem name="opr?MERV_Ö_XMEV_Ö_GFGV220.AB_Ö_24hs" advise="1">
        <values>
          <value t="str">
            <val>14.000</val>
          </value>
        </values>
      </ddeItem>
      <ddeItem name="opr?MERV_Ö_XMEV_Ö_GFGV230.AB_Ö_24hs" advise="1">
        <values>
          <value t="str">
            <val>23.000</val>
          </value>
        </values>
      </ddeItem>
      <ddeItem name="opr?MERV_Ö_XMEV_Ö_GFGV240.AB_Ö_24hs" advise="1">
        <values>
          <value t="str">
            <val>0.000</val>
          </value>
        </values>
      </ddeItem>
      <ddeItem name="opr?MERV_Ö_XMEV_Ö_GFGV250.AB_Ö_24hs" advise="1">
        <values>
          <value t="str">
            <val>0.000</val>
          </value>
        </values>
      </ddeItem>
      <ddeItem name="opr?MERV_Ö_XMEV_Ö_GFGV260.AB_Ö_24hs" advise="1">
        <values>
          <value t="str">
            <val>0.000</val>
          </value>
        </values>
      </ddeItem>
      <ddeItem name="opr?MERV_Ö_XMEV_Ö_GFGV270.AB_Ö_24hs" advise="1">
        <values>
          <value t="str">
            <val>0.000</val>
          </value>
        </values>
      </ddeItem>
      <ddeItem name="opr?MERV_Ö_XMEV_Ö_GFGV280.AB_Ö_24hs" advise="1">
        <values>
          <value t="str">
            <val>0.000</val>
          </value>
        </values>
      </ddeItem>
      <ddeItem name="opr?MERV_Ö_XMEV_Ö_GFGV290.AB_Ö_24hs" advise="1">
        <values>
          <value t="str">
            <val>0.000</val>
          </value>
        </values>
      </ddeItem>
      <ddeItem name="opr?MERV_Ö_XMEV_Ö_GFGV300.AB_Ö_24hs" advise="1">
        <values>
          <value t="str">
            <val>0.000</val>
          </value>
        </values>
      </ddeItem>
      <ddeItem name="opr?MERV_Ö_XMEV_Ö_GFGV310.AB_Ö_24hs" advise="1">
        <values>
          <value t="str">
            <val>0.000</val>
          </value>
        </values>
      </ddeItem>
      <ddeItem name="opr?MERV_Ö_XMEV_Ö_GFGV320.AB_Ö_24hs" advise="1">
        <values>
          <value t="str">
            <val>0.000</val>
          </value>
        </values>
      </ddeItem>
      <ddeItem name="opr?MERV_Ö_XMEV_Ö_GFGV330.AB_Ö_24hs" advise="1">
        <values>
          <value t="str">
            <val>0.000</val>
          </value>
        </values>
      </ddeItem>
      <ddeItem name="opr?MERV_Ö_XMEV_Ö_GFGV340.AB_Ö_24hs" advise="1">
        <values>
          <value t="str">
            <val>0.000</val>
          </value>
        </values>
      </ddeItem>
      <ddeItem name="opr?MERV_Ö_XMEV_Ö_GFGV350.AB_Ö_24hs" advise="1">
        <values>
          <value t="str">
            <val>0.000</val>
          </value>
        </values>
      </ddeItem>
      <ddeItem name="opr?MERV_Ö_XMEV_Ö_GFGV360.AB_Ö_24hs" advise="1">
        <values>
          <value t="str">
            <val>0.000</val>
          </value>
        </values>
      </ddeItem>
      <ddeItem name="opr?MERV_Ö_XMEV_Ö_GGAL_Ö_24hs" advise="1">
        <values>
          <value t="str">
            <val>209.50</val>
          </value>
        </values>
      </ddeItem>
      <ddeItem name="opr?MERV_Ö_XMEV_Ö_GGAL_Ö_48hs" advise="1">
        <values>
          <value t="str">
            <val>209.70</val>
          </value>
        </values>
      </ddeItem>
      <ddeItem name="opr?MERV_Ö_XMEV_Ö_GGAL_Ö_CI" advise="1">
        <values>
          <value t="str">
            <val>207.40</val>
          </value>
        </values>
      </ddeItem>
      <ddeItem name="opr?MERV_Ö_XMEV_Ö_MIRG_Ö_48hs" advise="1">
        <values>
          <value t="str">
            <val>0.00</val>
          </value>
        </values>
      </ddeItem>
      <ddeItem name="opr?MERV_Ö_XMEV_Ö_PAMP_Ö_48hs" advise="1">
        <values>
          <value t="str">
            <val>0.00</val>
          </value>
        </values>
      </ddeItem>
      <ddeItem name="opr?MERV_Ö_XMEV_Ö_SUPV_Ö_48hs" advise="1">
        <values>
          <value t="str">
            <val>0.00</val>
          </value>
        </values>
      </ddeItem>
      <ddeItem name="opr?MERV_Ö_XMEV_Ö_TXAR_Ö_48hs" advise="1">
        <values>
          <value t="str">
            <val>0.00</val>
          </value>
        </values>
      </ddeItem>
      <ddeItem name="opr?MERV_Ö_XMEV_Ö_VALO_Ö_48hs" advise="1">
        <values>
          <value t="str">
            <val>0.00</val>
          </value>
        </values>
      </ddeItem>
      <ddeItem name="opr?MERV_Ö_XMEV_Ö_YPFD_Ö_48hs" advise="1">
        <values>
          <value t="str">
            <val>0.00</val>
          </value>
        </values>
      </ddeItem>
      <ddeItem name="osi?MERV_Ö_XMEV_Ö_AE38_Ö_24hs" advise="1">
        <values>
          <value t="str">
            <val>0</val>
          </value>
        </values>
      </ddeItem>
      <ddeItem name="osi?MERV_Ö_XMEV_Ö_AE38_Ö_48hs" advise="1">
        <values>
          <value t="str">
            <val>8553</val>
          </value>
        </values>
      </ddeItem>
      <ddeItem name="osi?MERV_Ö_XMEV_Ö_AE38_Ö_CI" advise="1">
        <values>
          <value t="str">
            <val>200</val>
          </value>
        </values>
      </ddeItem>
      <ddeItem name="osi?MERV_Ö_XMEV_Ö_AE38D_Ö_24hs" advise="1">
        <values>
          <value t="str">
            <val>0</val>
          </value>
        </values>
      </ddeItem>
      <ddeItem name="osi?MERV_Ö_XMEV_Ö_AE38D_Ö_48hs" advise="1">
        <values>
          <value t="str">
            <val>1329</val>
          </value>
        </values>
      </ddeItem>
      <ddeItem name="osi?MERV_Ö_XMEV_Ö_AE38D_Ö_CI" advise="1">
        <values>
          <value t="str">
            <val>2000</val>
          </value>
        </values>
      </ddeItem>
      <ddeItem name="osi?MERV_Ö_XMEV_Ö_AL29_Ö_24hs" advise="1">
        <values>
          <value t="str">
            <val>472</val>
          </value>
        </values>
      </ddeItem>
      <ddeItem name="osi?MERV_Ö_XMEV_Ö_AL29_Ö_48hs" advise="1">
        <values>
          <value t="str">
            <val>300</val>
          </value>
        </values>
      </ddeItem>
      <ddeItem name="osi?MERV_Ö_XMEV_Ö_AL29_Ö_CI" advise="1">
        <values>
          <value t="str">
            <val>100</val>
          </value>
        </values>
      </ddeItem>
      <ddeItem name="osi?MERV_Ö_XMEV_Ö_AL29D_Ö_24hs" advise="1">
        <values>
          <value t="str">
            <val>0</val>
          </value>
        </values>
      </ddeItem>
      <ddeItem name="osi?MERV_Ö_XMEV_Ö_AL29D_Ö_48hs" advise="1">
        <values>
          <value t="str">
            <val>2000</val>
          </value>
        </values>
      </ddeItem>
      <ddeItem name="osi?MERV_Ö_XMEV_Ö_AL29D_Ö_CI" advise="1">
        <values>
          <value t="str">
            <val>2500</val>
          </value>
        </values>
      </ddeItem>
      <ddeItem name="osi?MERV_Ö_XMEV_Ö_AL30_Ö_24hs" advise="1">
        <values>
          <value t="str">
            <val>100</val>
          </value>
        </values>
      </ddeItem>
      <ddeItem name="osi?MERV_Ö_XMEV_Ö_AL30_Ö_48hs" advise="1">
        <values>
          <value t="str">
            <val>20000</val>
          </value>
        </values>
      </ddeItem>
      <ddeItem name="osi?MERV_Ö_XMEV_Ö_AL30_Ö_CI" advise="1">
        <values>
          <value t="str">
            <val>15534</val>
          </value>
        </values>
      </ddeItem>
      <ddeItem name="osi?MERV_Ö_XMEV_Ö_AL30C_Ö_24hs" advise="1">
        <values>
          <value t="str">
            <val>0</val>
          </value>
        </values>
      </ddeItem>
      <ddeItem name="osi?MERV_Ö_XMEV_Ö_AL30C_Ö_48hs" advise="1">
        <values>
          <value t="str">
            <val>0</val>
          </value>
        </values>
      </ddeItem>
      <ddeItem name="osi?MERV_Ö_XMEV_Ö_AL30C_Ö_CI" advise="1">
        <values>
          <value t="str">
            <val>4000</val>
          </value>
        </values>
      </ddeItem>
      <ddeItem name="osi?MERV_Ö_XMEV_Ö_AL30D_Ö_24hs" advise="1">
        <values>
          <value t="str">
            <val>15000</val>
          </value>
        </values>
      </ddeItem>
      <ddeItem name="osi?MERV_Ö_XMEV_Ö_AL30D_Ö_48hs" advise="1">
        <values>
          <value t="str">
            <val>600</val>
          </value>
        </values>
      </ddeItem>
      <ddeItem name="osi?MERV_Ö_XMEV_Ö_AL30D_Ö_CI" advise="1">
        <values>
          <value t="str">
            <val>2697</val>
          </value>
        </values>
      </ddeItem>
      <ddeItem name="osi?MERV_Ö_XMEV_Ö_AL41_Ö_24hs" advise="1">
        <values>
          <value t="str">
            <val>15000</val>
          </value>
        </values>
      </ddeItem>
      <ddeItem name="osi?MERV_Ö_XMEV_Ö_AL41_Ö_48hs" advise="1">
        <values>
          <value t="str">
            <val>11284</val>
          </value>
        </values>
      </ddeItem>
      <ddeItem name="osi?MERV_Ö_XMEV_Ö_AL41_Ö_CI" advise="1">
        <values>
          <value t="str">
            <val>2000</val>
          </value>
        </values>
      </ddeItem>
      <ddeItem name="osi?MERV_Ö_XMEV_Ö_AL41D_Ö_24hs" advise="1">
        <values>
          <value t="str">
            <val>0</val>
          </value>
        </values>
      </ddeItem>
      <ddeItem name="osi?MERV_Ö_XMEV_Ö_AL41D_Ö_48hs" advise="1">
        <values>
          <value t="str">
            <val>6012</val>
          </value>
        </values>
      </ddeItem>
      <ddeItem name="osi?MERV_Ö_XMEV_Ö_AL41D_Ö_CI" advise="1">
        <values>
          <value t="str">
            <val>1455</val>
          </value>
        </values>
      </ddeItem>
      <ddeItem name="osi?MERV_Ö_XMEV_Ö_AY24_Ö_24hs" advise="1">
        <values>
          <value t="str">
            <val>0</val>
          </value>
        </values>
      </ddeItem>
      <ddeItem name="osi?MERV_Ö_XMEV_Ö_AY24_Ö_48hs" advise="1">
        <values>
          <value t="str">
            <val>0</val>
          </value>
        </values>
      </ddeItem>
      <ddeItem name="osi?MERV_Ö_XMEV_Ö_AY24_Ö_CI" advise="1">
        <values>
          <value t="str">
            <val>0</val>
          </value>
        </values>
      </ddeItem>
      <ddeItem name="osi?MERV_Ö_XMEV_Ö_AY24D_Ö_24hs" advise="1">
        <values>
          <value t="str">
            <val>0</val>
          </value>
        </values>
      </ddeItem>
      <ddeItem name="osi?MERV_Ö_XMEV_Ö_AY24D_Ö_48hs" advise="1">
        <values>
          <value t="str">
            <val>0</val>
          </value>
        </values>
      </ddeItem>
      <ddeItem name="osi?MERV_Ö_XMEV_Ö_AY24D_Ö_CI" advise="1">
        <values>
          <value t="str">
            <val>0</val>
          </value>
        </values>
      </ddeItem>
      <ddeItem name="osi?MERV_Ö_XMEV_Ö_BYMA_Ö_48hs" advise="1">
        <values>
          <value t="str">
            <val>0</val>
          </value>
        </values>
      </ddeItem>
      <ddeItem name="osi?MERV_Ö_XMEV_Ö_COME_Ö_48hs" advise="1">
        <values>
          <value t="str">
            <val>0</val>
          </value>
        </values>
      </ddeItem>
      <ddeItem name="osi?MERV_Ö_XMEV_Ö_EDN_Ö_48hs" advise="1">
        <values>
          <value t="str">
            <val>0</val>
          </value>
        </values>
      </ddeItem>
      <ddeItem name="osi?MERV_Ö_XMEV_Ö_GD29_Ö_24hs" advise="1">
        <values>
          <value t="str">
            <val>0</val>
          </value>
        </values>
      </ddeItem>
      <ddeItem name="osi?MERV_Ö_XMEV_Ö_GD29_Ö_48hs" advise="1">
        <values>
          <value t="str">
            <val>1933</val>
          </value>
        </values>
      </ddeItem>
      <ddeItem name="osi?MERV_Ö_XMEV_Ö_GD29_Ö_CI" advise="1">
        <values>
          <value t="str">
            <val>2000</val>
          </value>
        </values>
      </ddeItem>
      <ddeItem name="osi?MERV_Ö_XMEV_Ö_GD29C_Ö_24hs" advise="1">
        <values>
          <value t="str">
            <val>0</val>
          </value>
        </values>
      </ddeItem>
      <ddeItem name="osi?MERV_Ö_XMEV_Ö_GD29C_Ö_48hs" advise="1">
        <values>
          <value t="str">
            <val>0</val>
          </value>
        </values>
      </ddeItem>
      <ddeItem name="osi?MERV_Ö_XMEV_Ö_GD29C_Ö_CI" advise="1">
        <values>
          <value t="str">
            <val>0</val>
          </value>
        </values>
      </ddeItem>
      <ddeItem name="osi?MERV_Ö_XMEV_Ö_GD29D_Ö_24hs" advise="1">
        <values>
          <value t="str">
            <val>0</val>
          </value>
        </values>
      </ddeItem>
      <ddeItem name="osi?MERV_Ö_XMEV_Ö_GD29D_Ö_48hs" advise="1">
        <values>
          <value t="str">
            <val>500</val>
          </value>
        </values>
      </ddeItem>
      <ddeItem name="osi?MERV_Ö_XMEV_Ö_GD29D_Ö_CI" advise="1">
        <values>
          <value t="str">
            <val>0</val>
          </value>
        </values>
      </ddeItem>
      <ddeItem name="osi?MERV_Ö_XMEV_Ö_GD30_Ö_24hs" advise="1">
        <values>
          <value t="str">
            <val>28520</val>
          </value>
        </values>
      </ddeItem>
      <ddeItem name="osi?MERV_Ö_XMEV_Ö_GD30_Ö_48hs" advise="1">
        <values>
          <value t="str">
            <val>1114</val>
          </value>
        </values>
      </ddeItem>
      <ddeItem name="osi?MERV_Ö_XMEV_Ö_GD30_Ö_CI" advise="1">
        <values>
          <value t="str">
            <val>201958</val>
          </value>
        </values>
      </ddeItem>
      <ddeItem name="osi?MERV_Ö_XMEV_Ö_GD30C_Ö_24hs" advise="1">
        <values>
          <value t="str">
            <val>0</val>
          </value>
        </values>
      </ddeItem>
      <ddeItem name="osi?MERV_Ö_XMEV_Ö_GD30C_Ö_48hs" advise="1">
        <values>
          <value t="str">
            <val>10000</val>
          </value>
        </values>
      </ddeItem>
      <ddeItem name="osi?MERV_Ö_XMEV_Ö_GD30C_Ö_CI" advise="1">
        <values>
          <value t="str">
            <val>50000</val>
          </value>
        </values>
      </ddeItem>
      <ddeItem name="osi?MERV_Ö_XMEV_Ö_GD30D_Ö_24hs" advise="1">
        <values>
          <value t="str">
            <val>20000</val>
          </value>
        </values>
      </ddeItem>
      <ddeItem name="osi?MERV_Ö_XMEV_Ö_GD30D_Ö_48hs" advise="1">
        <values>
          <value t="str">
            <val>5721</val>
          </value>
        </values>
      </ddeItem>
      <ddeItem name="osi?MERV_Ö_XMEV_Ö_GD30D_Ö_CI" advise="1">
        <values>
          <value t="str">
            <val>20538</val>
          </value>
        </values>
      </ddeItem>
      <ddeItem name="osi?MERV_Ö_XMEV_Ö_GD35_Ö_24hs" advise="1">
        <values>
          <value t="str">
            <val>5000</val>
          </value>
        </values>
      </ddeItem>
      <ddeItem name="osi?MERV_Ö_XMEV_Ö_GD35_Ö_48hs" advise="1">
        <values>
          <value t="str">
            <val>100000</val>
          </value>
        </values>
      </ddeItem>
      <ddeItem name="osi?MERV_Ö_XMEV_Ö_GD35_Ö_CI" advise="1">
        <values>
          <value t="str">
            <val>3000</val>
          </value>
        </values>
      </ddeItem>
      <ddeItem name="osi?MERV_Ö_XMEV_Ö_GD35C_Ö_24hs" advise="1">
        <values>
          <value t="str">
            <val>0</val>
          </value>
        </values>
      </ddeItem>
      <ddeItem name="osi?MERV_Ö_XMEV_Ö_GD35C_Ö_48hs" advise="1">
        <values>
          <value t="str">
            <val>72319</val>
          </value>
        </values>
      </ddeItem>
      <ddeItem name="osi?MERV_Ö_XMEV_Ö_GD35C_Ö_CI" advise="1">
        <values>
          <value t="str">
            <val>150000</val>
          </value>
        </values>
      </ddeItem>
      <ddeItem name="osi?MERV_Ö_XMEV_Ö_GD35D_Ö_24hs" advise="1">
        <values>
          <value t="str">
            <val>0</val>
          </value>
        </values>
      </ddeItem>
      <ddeItem name="osi?MERV_Ö_XMEV_Ö_GD35D_Ö_48hs" advise="1">
        <values>
          <value t="str">
            <val>27454</val>
          </value>
        </values>
      </ddeItem>
      <ddeItem name="osi?MERV_Ö_XMEV_Ö_GD35D_Ö_CI" advise="1">
        <values>
          <value t="str">
            <val>2553</val>
          </value>
        </values>
      </ddeItem>
      <ddeItem name="osi?MERV_Ö_XMEV_Ö_GFGC132.AB_Ö_24hs" advise="1">
        <values>
          <value t="str">
            <val>0</val>
          </value>
        </values>
      </ddeItem>
      <ddeItem name="osi?MERV_Ö_XMEV_Ö_GFGC135.AB_Ö_24hs" advise="1"/>
      <ddeItem name="osi?MERV_Ö_XMEV_Ö_GFGC140.AB_Ö_24hs" advise="1"/>
      <ddeItem name="osi?MERV_Ö_XMEV_Ö_GFGC145.AB_Ö_24hs" advise="1"/>
      <ddeItem name="osi?MERV_Ö_XMEV_Ö_GFGC150.AB_Ö_24hs" advise="1">
        <values>
          <value t="str">
            <val>1</val>
          </value>
        </values>
      </ddeItem>
      <ddeItem name="osi?MERV_Ö_XMEV_Ö_GFGC155.AB_Ö_24hs" advise="1"/>
      <ddeItem name="osi?MERV_Ö_XMEV_Ö_GFGC160.AB_Ö_24hs" advise="1"/>
      <ddeItem name="osi?MERV_Ö_XMEV_Ö_GFGC165.AB_Ö_24hs" advise="1">
        <values>
          <value t="str">
            <val>1</val>
          </value>
        </values>
      </ddeItem>
      <ddeItem name="osi?MERV_Ö_XMEV_Ö_GFGC170.AB_Ö_24hs" advise="1"/>
      <ddeItem name="osi?MERV_Ö_XMEV_Ö_GFGC175.AB_Ö_24hs" advise="1"/>
      <ddeItem name="osi?MERV_Ö_XMEV_Ö_GFGC180.AB_Ö_24hs" advise="1">
        <values>
          <value t="str">
            <val>1</val>
          </value>
        </values>
      </ddeItem>
      <ddeItem name="osi?MERV_Ö_XMEV_Ö_GFGC185.AB_Ö_24hs" advise="1">
        <values>
          <value t="str">
            <val>10</val>
          </value>
        </values>
      </ddeItem>
      <ddeItem name="osi?MERV_Ö_XMEV_Ö_GFGC190.AB_Ö_24hs" advise="1">
        <values>
          <value t="str">
            <val>30</val>
          </value>
        </values>
      </ddeItem>
      <ddeItem name="osi?MERV_Ö_XMEV_Ö_GFGC195.AB_Ö_24hs" advise="1">
        <values>
          <value t="str">
            <val>54</val>
          </value>
        </values>
      </ddeItem>
      <ddeItem name="osi?MERV_Ö_XMEV_Ö_GFGC200.AB_Ö_24hs" advise="1">
        <values>
          <value t="str">
            <val>27</val>
          </value>
        </values>
      </ddeItem>
      <ddeItem name="osi?MERV_Ö_XMEV_Ö_GFGC210.AB_Ö_24hs" advise="1">
        <values>
          <value t="str">
            <val>21</val>
          </value>
        </values>
      </ddeItem>
      <ddeItem name="osi?MERV_Ö_XMEV_Ö_GFGC220.AB_Ö_24hs" advise="1">
        <values>
          <value t="str">
            <val>75</val>
          </value>
        </values>
      </ddeItem>
      <ddeItem name="osi?MERV_Ö_XMEV_Ö_GFGC230.AB_Ö_24hs" advise="1">
        <values>
          <value t="str">
            <val>26</val>
          </value>
        </values>
      </ddeItem>
      <ddeItem name="osi?MERV_Ö_XMEV_Ö_GFGC240.AB_Ö_24hs" advise="1">
        <values>
          <value t="str">
            <val>11</val>
          </value>
        </values>
      </ddeItem>
      <ddeItem name="osi?MERV_Ö_XMEV_Ö_GFGC250.AB_Ö_24hs" advise="1">
        <values>
          <value t="str">
            <val>10</val>
          </value>
        </values>
      </ddeItem>
      <ddeItem name="osi?MERV_Ö_XMEV_Ö_GFGC260.AB_Ö_24hs" advise="1">
        <values>
          <value t="str">
            <val>290</val>
          </value>
        </values>
      </ddeItem>
      <ddeItem name="osi?MERV_Ö_XMEV_Ö_GFGC270.AB_Ö_24hs" advise="1">
        <values>
          <value t="str">
            <val>189</val>
          </value>
        </values>
      </ddeItem>
      <ddeItem name="osi?MERV_Ö_XMEV_Ö_GFGC280.AB_Ö_24hs" advise="1">
        <values>
          <value t="str">
            <val>28</val>
          </value>
        </values>
      </ddeItem>
      <ddeItem name="osi?MERV_Ö_XMEV_Ö_GFGC290.AB_Ö_24hs" advise="1">
        <values>
          <value t="str">
            <val>8</val>
          </value>
        </values>
      </ddeItem>
      <ddeItem name="osi?MERV_Ö_XMEV_Ö_GFGC300.AB_Ö_24hs" advise="1">
        <values>
          <value t="str">
            <val>23</val>
          </value>
        </values>
      </ddeItem>
      <ddeItem name="osi?MERV_Ö_XMEV_Ö_GFGC310.AB_Ö_24hs" advise="1">
        <values>
          <value t="str">
            <val>19</val>
          </value>
        </values>
      </ddeItem>
      <ddeItem name="osi?MERV_Ö_XMEV_Ö_GFGC320.AB_Ö_24hs" advise="1">
        <values>
          <value t="str">
            <val>0</val>
          </value>
        </values>
      </ddeItem>
      <ddeItem name="osi?MERV_Ö_XMEV_Ö_GFGC330.AB_Ö_24hs" advise="1">
        <values>
          <value t="str">
            <val>23</val>
          </value>
        </values>
      </ddeItem>
      <ddeItem name="osi?MERV_Ö_XMEV_Ö_GFGC340.AB_Ö_24hs" advise="1">
        <values>
          <value t="str">
            <val>43</val>
          </value>
        </values>
      </ddeItem>
      <ddeItem name="osi?MERV_Ö_XMEV_Ö_GFGC350.AB_Ö_24hs" advise="1">
        <values>
          <value t="str">
            <val>13</val>
          </value>
        </values>
      </ddeItem>
      <ddeItem name="osi?MERV_Ö_XMEV_Ö_GFGC360.AB_Ö_24hs" advise="1">
        <values>
          <value t="str">
            <val>7</val>
          </value>
        </values>
      </ddeItem>
      <ddeItem name="osi?MERV_Ö_XMEV_Ö_GFGV132.AB_Ö_24hs" advise="1">
        <values>
          <value t="str">
            <val>194</val>
          </value>
        </values>
      </ddeItem>
      <ddeItem name="osi?MERV_Ö_XMEV_Ö_GFGV135.AB_Ö_24hs" advise="1">
        <values>
          <value t="str">
            <val>1</val>
          </value>
        </values>
      </ddeItem>
      <ddeItem name="osi?MERV_Ö_XMEV_Ö_GFGV140.AB_Ö_24hs" advise="1"/>
      <ddeItem name="osi?MERV_Ö_XMEV_Ö_GFGV145.AB_Ö_24hs" advise="1">
        <values>
          <value t="str">
            <val>1</val>
          </value>
        </values>
      </ddeItem>
      <ddeItem name="osi?MERV_Ö_XMEV_Ö_GFGV150.AB_Ö_24hs" advise="1"/>
      <ddeItem name="osi?MERV_Ö_XMEV_Ö_GFGV155.AB_Ö_24hs" advise="1"/>
      <ddeItem name="osi?MERV_Ö_XMEV_Ö_GFGV160.AB_Ö_24hs" advise="1">
        <values>
          <value t="str">
            <val>25</val>
          </value>
        </values>
      </ddeItem>
      <ddeItem name="osi?MERV_Ö_XMEV_Ö_GFGV165.AB_Ö_24hs" advise="1">
        <values>
          <value t="str">
            <val>34</val>
          </value>
        </values>
      </ddeItem>
      <ddeItem name="osi?MERV_Ö_XMEV_Ö_GFGV170.AB_Ö_24hs" advise="1">
        <values>
          <value t="str">
            <val>46</val>
          </value>
        </values>
      </ddeItem>
      <ddeItem name="osi?MERV_Ö_XMEV_Ö_GFGV175.AB_Ö_24hs" advise="1">
        <values>
          <value t="str">
            <val>35</val>
          </value>
        </values>
      </ddeItem>
      <ddeItem name="osi?MERV_Ö_XMEV_Ö_GFGV180.AB_Ö_24hs" advise="1">
        <values>
          <value t="str">
            <val>13</val>
          </value>
        </values>
      </ddeItem>
      <ddeItem name="osi?MERV_Ö_XMEV_Ö_GFGV185.AB_Ö_24hs" advise="1">
        <values>
          <value t="str">
            <val>30</val>
          </value>
        </values>
      </ddeItem>
      <ddeItem name="osi?MERV_Ö_XMEV_Ö_GFGV190.AB_Ö_24hs" advise="1">
        <values>
          <value t="str">
            <val>59</val>
          </value>
        </values>
      </ddeItem>
      <ddeItem name="osi?MERV_Ö_XMEV_Ö_GFGV195.AB_Ö_24hs" advise="1">
        <values>
          <value t="str">
            <val>100</val>
          </value>
        </values>
      </ddeItem>
      <ddeItem name="osi?MERV_Ö_XMEV_Ö_GFGV200.AB_Ö_24hs" advise="1">
        <values>
          <value t="str">
            <val>27</val>
          </value>
        </values>
      </ddeItem>
      <ddeItem name="osi?MERV_Ö_XMEV_Ö_GFGV210.AB_Ö_24hs" advise="1">
        <values>
          <value t="str">
            <val>94</val>
          </value>
        </values>
      </ddeItem>
      <ddeItem name="osi?MERV_Ö_XMEV_Ö_GFGV220.AB_Ö_24hs" advise="1">
        <values>
          <value t="str">
            <val>6</val>
          </value>
        </values>
      </ddeItem>
      <ddeItem name="osi?MERV_Ö_XMEV_Ö_GFGV230.AB_Ö_24hs" advise="1">
        <values>
          <value t="str">
            <val>5</val>
          </value>
        </values>
      </ddeItem>
      <ddeItem name="osi?MERV_Ö_XMEV_Ö_GFGV240.AB_Ö_24hs" advise="1">
        <values>
          <value t="str">
            <val>0</val>
          </value>
        </values>
      </ddeItem>
      <ddeItem name="osi?MERV_Ö_XMEV_Ö_GFGV250.AB_Ö_24hs" advise="1">
        <values>
          <value t="str">
            <val>0</val>
          </value>
        </values>
      </ddeItem>
      <ddeItem name="osi?MERV_Ö_XMEV_Ö_GFGV260.AB_Ö_24hs" advise="1">
        <values>
          <value t="str">
            <val>0</val>
          </value>
        </values>
      </ddeItem>
      <ddeItem name="osi?MERV_Ö_XMEV_Ö_GFGV270.AB_Ö_24hs" advise="1">
        <values>
          <value t="str">
            <val>0</val>
          </value>
        </values>
      </ddeItem>
      <ddeItem name="osi?MERV_Ö_XMEV_Ö_GFGV280.AB_Ö_24hs" advise="1">
        <values>
          <value t="str">
            <val>0</val>
          </value>
        </values>
      </ddeItem>
      <ddeItem name="osi?MERV_Ö_XMEV_Ö_GFGV290.AB_Ö_24hs" advise="1">
        <values>
          <value t="str">
            <val>0</val>
          </value>
        </values>
      </ddeItem>
      <ddeItem name="osi?MERV_Ö_XMEV_Ö_GFGV300.AB_Ö_24hs" advise="1">
        <values>
          <value t="str">
            <val>0</val>
          </value>
        </values>
      </ddeItem>
      <ddeItem name="osi?MERV_Ö_XMEV_Ö_GFGV310.AB_Ö_24hs" advise="1">
        <values>
          <value t="str">
            <val>0</val>
          </value>
        </values>
      </ddeItem>
      <ddeItem name="osi?MERV_Ö_XMEV_Ö_GFGV320.AB_Ö_24hs" advise="1">
        <values>
          <value t="str">
            <val>0</val>
          </value>
        </values>
      </ddeItem>
      <ddeItem name="osi?MERV_Ö_XMEV_Ö_GFGV330.AB_Ö_24hs" advise="1">
        <values>
          <value t="str">
            <val>0</val>
          </value>
        </values>
      </ddeItem>
      <ddeItem name="osi?MERV_Ö_XMEV_Ö_GFGV340.AB_Ö_24hs" advise="1">
        <values>
          <value t="str">
            <val>0</val>
          </value>
        </values>
      </ddeItem>
      <ddeItem name="osi?MERV_Ö_XMEV_Ö_GFGV350.AB_Ö_24hs" advise="1">
        <values>
          <value t="str">
            <val>0</val>
          </value>
        </values>
      </ddeItem>
      <ddeItem name="osi?MERV_Ö_XMEV_Ö_GFGV360.AB_Ö_24hs" advise="1">
        <values>
          <value t="str">
            <val>0</val>
          </value>
        </values>
      </ddeItem>
      <ddeItem name="osi?MERV_Ö_XMEV_Ö_GGAL_Ö_24hs" advise="1">
        <values>
          <value t="str">
            <val>250</val>
          </value>
        </values>
      </ddeItem>
      <ddeItem name="osi?MERV_Ö_XMEV_Ö_GGAL_Ö_48hs" advise="1">
        <values>
          <value t="str">
            <val>5000</val>
          </value>
        </values>
      </ddeItem>
      <ddeItem name="osi?MERV_Ö_XMEV_Ö_GGAL_Ö_CI" advise="1">
        <values>
          <value t="str">
            <val>200</val>
          </value>
        </values>
      </ddeItem>
      <ddeItem name="osi?MERV_Ö_XMEV_Ö_MIRG_Ö_48hs" advise="1">
        <values>
          <value t="str">
            <val>0.0</val>
          </value>
        </values>
      </ddeItem>
      <ddeItem name="osi?MERV_Ö_XMEV_Ö_PAMP_Ö_48hs" advise="1">
        <values>
          <value t="str">
            <val>0</val>
          </value>
        </values>
      </ddeItem>
      <ddeItem name="osi?MERV_Ö_XMEV_Ö_SUPV_Ö_48hs" advise="1">
        <values>
          <value t="str">
            <val>0</val>
          </value>
        </values>
      </ddeItem>
      <ddeItem name="osi?MERV_Ö_XMEV_Ö_TXAR_Ö_48hs" advise="1">
        <values>
          <value t="str">
            <val>0</val>
          </value>
        </values>
      </ddeItem>
      <ddeItem name="osi?MERV_Ö_XMEV_Ö_VALO_Ö_48hs" advise="1">
        <values>
          <value t="str">
            <val>0</val>
          </value>
        </values>
      </ddeItem>
      <ddeItem name="osi?MERV_Ö_XMEV_Ö_YPFD_Ö_48hs" advise="1">
        <values>
          <value t="str">
            <val>0</val>
          </value>
        </values>
      </ddeItem>
      <ddeItem name="StdDocumentName" ole="1" advise="1"/>
      <ddeItem name="vol?MERV_Ö_XMEV_Ö_AE38_Ö_24hs" advise="1">
        <values>
          <value t="str">
            <val>0</val>
          </value>
        </values>
      </ddeItem>
      <ddeItem name="vol?MERV_Ö_XMEV_Ö_AE38_Ö_48hs" advise="1">
        <values>
          <value t="str">
            <val>0</val>
          </value>
        </values>
      </ddeItem>
      <ddeItem name="vol?MERV_Ö_XMEV_Ö_AE38_Ö_CI" advise="1">
        <values>
          <value t="str">
            <val>0</val>
          </value>
        </values>
      </ddeItem>
      <ddeItem name="vol?MERV_Ö_XMEV_Ö_AE38D_Ö_24hs" advise="1">
        <values>
          <value t="str">
            <val>0</val>
          </value>
        </values>
      </ddeItem>
      <ddeItem name="vol?MERV_Ö_XMEV_Ö_AE38D_Ö_48hs" advise="1">
        <values>
          <value t="str">
            <val>0</val>
          </value>
        </values>
      </ddeItem>
      <ddeItem name="vol?MERV_Ö_XMEV_Ö_AE38D_Ö_CI" advise="1">
        <values>
          <value t="str">
            <val>0</val>
          </value>
        </values>
      </ddeItem>
      <ddeItem name="vol?MERV_Ö_XMEV_Ö_AL29_Ö_24hs" advise="1">
        <values>
          <value t="str">
            <val>0</val>
          </value>
        </values>
      </ddeItem>
      <ddeItem name="vol?MERV_Ö_XMEV_Ö_AL29_Ö_48hs" advise="1">
        <values>
          <value t="str">
            <val>0</val>
          </value>
        </values>
      </ddeItem>
      <ddeItem name="vol?MERV_Ö_XMEV_Ö_AL29_Ö_CI" advise="1">
        <values>
          <value t="str">
            <val>0</val>
          </value>
        </values>
      </ddeItem>
      <ddeItem name="vol?MERV_Ö_XMEV_Ö_AL29D_Ö_24hs" advise="1">
        <values>
          <value t="str">
            <val>0</val>
          </value>
        </values>
      </ddeItem>
      <ddeItem name="vol?MERV_Ö_XMEV_Ö_AL29D_Ö_48hs" advise="1">
        <values>
          <value t="str">
            <val>0</val>
          </value>
        </values>
      </ddeItem>
      <ddeItem name="vol?MERV_Ö_XMEV_Ö_AL29D_Ö_CI" advise="1">
        <values>
          <value t="str">
            <val>0</val>
          </value>
        </values>
      </ddeItem>
      <ddeItem name="vol?MERV_Ö_XMEV_Ö_AL30_Ö_24hs" advise="1">
        <values>
          <value t="str">
            <val>0</val>
          </value>
        </values>
      </ddeItem>
      <ddeItem name="vol?MERV_Ö_XMEV_Ö_AL30_Ö_48hs" advise="1">
        <values>
          <value t="str">
            <val>0</val>
          </value>
        </values>
      </ddeItem>
      <ddeItem name="vol?MERV_Ö_XMEV_Ö_AL30_Ö_CI" advise="1">
        <values>
          <value t="str">
            <val>0</val>
          </value>
        </values>
      </ddeItem>
      <ddeItem name="vol?MERV_Ö_XMEV_Ö_AL30C_Ö_24hs" advise="1">
        <values>
          <value t="str">
            <val>0</val>
          </value>
        </values>
      </ddeItem>
      <ddeItem name="vol?MERV_Ö_XMEV_Ö_AL30C_Ö_48hs" advise="1">
        <values>
          <value t="str">
            <val>0</val>
          </value>
        </values>
      </ddeItem>
      <ddeItem name="vol?MERV_Ö_XMEV_Ö_AL30C_Ö_CI" advise="1">
        <values>
          <value t="str">
            <val>0</val>
          </value>
        </values>
      </ddeItem>
      <ddeItem name="vol?MERV_Ö_XMEV_Ö_AL30D_Ö_24hs" advise="1">
        <values>
          <value t="str">
            <val>0</val>
          </value>
        </values>
      </ddeItem>
      <ddeItem name="vol?MERV_Ö_XMEV_Ö_AL30D_Ö_48hs" advise="1">
        <values>
          <value t="str">
            <val>0</val>
          </value>
        </values>
      </ddeItem>
      <ddeItem name="vol?MERV_Ö_XMEV_Ö_AL30D_Ö_CI" advise="1">
        <values>
          <value t="str">
            <val>0</val>
          </value>
        </values>
      </ddeItem>
      <ddeItem name="vol?MERV_Ö_XMEV_Ö_AL41_Ö_24hs" advise="1">
        <values>
          <value t="str">
            <val>0</val>
          </value>
        </values>
      </ddeItem>
      <ddeItem name="vol?MERV_Ö_XMEV_Ö_AL41_Ö_48hs" advise="1">
        <values>
          <value t="str">
            <val>0</val>
          </value>
        </values>
      </ddeItem>
      <ddeItem name="vol?MERV_Ö_XMEV_Ö_AL41_Ö_CI" advise="1">
        <values>
          <value t="str">
            <val>0</val>
          </value>
        </values>
      </ddeItem>
      <ddeItem name="vol?MERV_Ö_XMEV_Ö_AL41D_Ö_24hs" advise="1">
        <values>
          <value t="str">
            <val>0</val>
          </value>
        </values>
      </ddeItem>
      <ddeItem name="vol?MERV_Ö_XMEV_Ö_AL41D_Ö_48hs" advise="1">
        <values>
          <value t="str">
            <val>0</val>
          </value>
        </values>
      </ddeItem>
      <ddeItem name="vol?MERV_Ö_XMEV_Ö_AL41D_Ö_CI" advise="1">
        <values>
          <value t="str">
            <val>0</val>
          </value>
        </values>
      </ddeItem>
      <ddeItem name="vol?MERV_Ö_XMEV_Ö_AY24_Ö_24hs" advise="1">
        <values>
          <value t="str">
            <val>0</val>
          </value>
        </values>
      </ddeItem>
      <ddeItem name="vol?MERV_Ö_XMEV_Ö_AY24_Ö_48hs" advise="1">
        <values>
          <value t="str">
            <val>0</val>
          </value>
        </values>
      </ddeItem>
      <ddeItem name="vol?MERV_Ö_XMEV_Ö_AY24_Ö_CI" advise="1">
        <values>
          <value t="str">
            <val>0</val>
          </value>
        </values>
      </ddeItem>
      <ddeItem name="vol?MERV_Ö_XMEV_Ö_AY24D_Ö_24hs" advise="1">
        <values>
          <value t="str">
            <val>0</val>
          </value>
        </values>
      </ddeItem>
      <ddeItem name="vol?MERV_Ö_XMEV_Ö_AY24D_Ö_48hs" advise="1">
        <values>
          <value t="str">
            <val>0</val>
          </value>
        </values>
      </ddeItem>
      <ddeItem name="vol?MERV_Ö_XMEV_Ö_AY24D_Ö_CI" advise="1">
        <values>
          <value t="str">
            <val>0</val>
          </value>
        </values>
      </ddeItem>
      <ddeItem name="vol?MERV_Ö_XMEV_Ö_BYMA_Ö_48hs" advise="1">
        <values>
          <value t="str">
            <val>0</val>
          </value>
        </values>
      </ddeItem>
      <ddeItem name="vol?MERV_Ö_XMEV_Ö_COME_Ö_48hs" advise="1">
        <values>
          <value t="str">
            <val>0</val>
          </value>
        </values>
      </ddeItem>
      <ddeItem name="vol?MERV_Ö_XMEV_Ö_EDN_Ö_48hs" advise="1">
        <values>
          <value t="str">
            <val>0</val>
          </value>
        </values>
      </ddeItem>
      <ddeItem name="vol?MERV_Ö_XMEV_Ö_GD29_Ö_24hs" advise="1">
        <values>
          <value t="str">
            <val>0</val>
          </value>
        </values>
      </ddeItem>
      <ddeItem name="vol?MERV_Ö_XMEV_Ö_GD29_Ö_48hs" advise="1">
        <values>
          <value t="str">
            <val>0</val>
          </value>
        </values>
      </ddeItem>
      <ddeItem name="vol?MERV_Ö_XMEV_Ö_GD29_Ö_CI" advise="1">
        <values>
          <value t="str">
            <val>0</val>
          </value>
        </values>
      </ddeItem>
      <ddeItem name="vol?MERV_Ö_XMEV_Ö_GD29C_Ö_24hs" advise="1">
        <values>
          <value t="str">
            <val>0</val>
          </value>
        </values>
      </ddeItem>
      <ddeItem name="vol?MERV_Ö_XMEV_Ö_GD29C_Ö_48hs" advise="1">
        <values>
          <value t="str">
            <val>0</val>
          </value>
        </values>
      </ddeItem>
      <ddeItem name="vol?MERV_Ö_XMEV_Ö_GD29C_Ö_CI" advise="1">
        <values>
          <value t="str">
            <val>0</val>
          </value>
        </values>
      </ddeItem>
      <ddeItem name="vol?MERV_Ö_XMEV_Ö_GD29D_Ö_24hs" advise="1">
        <values>
          <value t="str">
            <val>0</val>
          </value>
        </values>
      </ddeItem>
      <ddeItem name="vol?MERV_Ö_XMEV_Ö_GD29D_Ö_48hs" advise="1">
        <values>
          <value t="str">
            <val>0</val>
          </value>
        </values>
      </ddeItem>
      <ddeItem name="vol?MERV_Ö_XMEV_Ö_GD29D_Ö_CI" advise="1">
        <values>
          <value t="str">
            <val>0</val>
          </value>
        </values>
      </ddeItem>
      <ddeItem name="vol?MERV_Ö_XMEV_Ö_GD30_Ö_24hs" advise="1">
        <values>
          <value t="str">
            <val>0</val>
          </value>
        </values>
      </ddeItem>
      <ddeItem name="vol?MERV_Ö_XMEV_Ö_GD30_Ö_48hs" advise="1">
        <values>
          <value t="str">
            <val>0</val>
          </value>
        </values>
      </ddeItem>
      <ddeItem name="vol?MERV_Ö_XMEV_Ö_GD30_Ö_CI" advise="1">
        <values>
          <value t="str">
            <val>0</val>
          </value>
        </values>
      </ddeItem>
      <ddeItem name="vol?MERV_Ö_XMEV_Ö_GD30C_Ö_24hs" advise="1">
        <values>
          <value t="str">
            <val>0</val>
          </value>
        </values>
      </ddeItem>
      <ddeItem name="vol?MERV_Ö_XMEV_Ö_GD30C_Ö_48hs" advise="1">
        <values>
          <value t="str">
            <val>0</val>
          </value>
        </values>
      </ddeItem>
      <ddeItem name="vol?MERV_Ö_XMEV_Ö_GD30C_Ö_CI" advise="1">
        <values>
          <value t="str">
            <val>0</val>
          </value>
        </values>
      </ddeItem>
      <ddeItem name="vol?MERV_Ö_XMEV_Ö_GD30D_Ö_24hs" advise="1">
        <values>
          <value t="str">
            <val>0</val>
          </value>
        </values>
      </ddeItem>
      <ddeItem name="vol?MERV_Ö_XMEV_Ö_GD30D_Ö_48hs" advise="1">
        <values>
          <value t="str">
            <val>0</val>
          </value>
        </values>
      </ddeItem>
      <ddeItem name="vol?MERV_Ö_XMEV_Ö_GD30D_Ö_CI" advise="1">
        <values>
          <value t="str">
            <val>0</val>
          </value>
        </values>
      </ddeItem>
      <ddeItem name="vol?MERV_Ö_XMEV_Ö_GD35_Ö_24hs" advise="1">
        <values>
          <value t="str">
            <val>0</val>
          </value>
        </values>
      </ddeItem>
      <ddeItem name="vol?MERV_Ö_XMEV_Ö_GD35_Ö_48hs" advise="1">
        <values>
          <value t="str">
            <val>0</val>
          </value>
        </values>
      </ddeItem>
      <ddeItem name="vol?MERV_Ö_XMEV_Ö_GD35_Ö_CI" advise="1">
        <values>
          <value t="str">
            <val>0</val>
          </value>
        </values>
      </ddeItem>
      <ddeItem name="vol?MERV_Ö_XMEV_Ö_GD35C_Ö_24hs" advise="1">
        <values>
          <value t="str">
            <val>0</val>
          </value>
        </values>
      </ddeItem>
      <ddeItem name="vol?MERV_Ö_XMEV_Ö_GD35C_Ö_48hs" advise="1">
        <values>
          <value t="str">
            <val>0</val>
          </value>
        </values>
      </ddeItem>
      <ddeItem name="vol?MERV_Ö_XMEV_Ö_GD35C_Ö_CI" advise="1">
        <values>
          <value t="str">
            <val>0</val>
          </value>
        </values>
      </ddeItem>
      <ddeItem name="vol?MERV_Ö_XMEV_Ö_GD35D_Ö_24hs" advise="1">
        <values>
          <value t="str">
            <val>0</val>
          </value>
        </values>
      </ddeItem>
      <ddeItem name="vol?MERV_Ö_XMEV_Ö_GD35D_Ö_48hs" advise="1">
        <values>
          <value t="str">
            <val>0</val>
          </value>
        </values>
      </ddeItem>
      <ddeItem name="vol?MERV_Ö_XMEV_Ö_GD35D_Ö_CI" advise="1">
        <values>
          <value t="str">
            <val>0</val>
          </value>
        </values>
      </ddeItem>
      <ddeItem name="vol?MERV_Ö_XMEV_Ö_GFGC132.AB_Ö_24hs" advise="1">
        <values>
          <value t="str">
            <val>0</val>
          </value>
        </values>
      </ddeItem>
      <ddeItem name="vol?MERV_Ö_XMEV_Ö_GFGC135.AB_Ö_24hs" advise="1"/>
      <ddeItem name="vol?MERV_Ö_XMEV_Ö_GFGC140.AB_Ö_24hs" advise="1"/>
      <ddeItem name="vol?MERV_Ö_XMEV_Ö_GFGC145.AB_Ö_24hs" advise="1"/>
      <ddeItem name="vol?MERV_Ö_XMEV_Ö_GFGC150.AB_Ö_24hs" advise="1">
        <values>
          <value t="str">
            <val>0</val>
          </value>
        </values>
      </ddeItem>
      <ddeItem name="vol?MERV_Ö_XMEV_Ö_GFGC155.AB_Ö_24hs" advise="1"/>
      <ddeItem name="vol?MERV_Ö_XMEV_Ö_GFGC160.AB_Ö_24hs" advise="1"/>
      <ddeItem name="vol?MERV_Ö_XMEV_Ö_GFGC165.AB_Ö_24hs" advise="1">
        <values>
          <value t="str">
            <val>0</val>
          </value>
        </values>
      </ddeItem>
      <ddeItem name="vol?MERV_Ö_XMEV_Ö_GFGC170.AB_Ö_24hs" advise="1"/>
      <ddeItem name="vol?MERV_Ö_XMEV_Ö_GFGC175.AB_Ö_24hs" advise="1"/>
      <ddeItem name="vol?MERV_Ö_XMEV_Ö_GFGC180.AB_Ö_24hs" advise="1">
        <values>
          <value t="str">
            <val>0</val>
          </value>
        </values>
      </ddeItem>
      <ddeItem name="vol?MERV_Ö_XMEV_Ö_GFGC185.AB_Ö_24hs" advise="1">
        <values>
          <value t="str">
            <val>0</val>
          </value>
        </values>
      </ddeItem>
      <ddeItem name="vol?MERV_Ö_XMEV_Ö_GFGC190.AB_Ö_24hs" advise="1">
        <values>
          <value t="str">
            <val>0</val>
          </value>
        </values>
      </ddeItem>
      <ddeItem name="vol?MERV_Ö_XMEV_Ö_GFGC195.AB_Ö_24hs" advise="1">
        <values>
          <value t="str">
            <val>0</val>
          </value>
        </values>
      </ddeItem>
      <ddeItem name="vol?MERV_Ö_XMEV_Ö_GFGC200.AB_Ö_24hs" advise="1">
        <values>
          <value t="str">
            <val>0</val>
          </value>
        </values>
      </ddeItem>
      <ddeItem name="vol?MERV_Ö_XMEV_Ö_GFGC210.AB_Ö_24hs" advise="1">
        <values>
          <value t="str">
            <val>0</val>
          </value>
        </values>
      </ddeItem>
      <ddeItem name="vol?MERV_Ö_XMEV_Ö_GFGC220.AB_Ö_24hs" advise="1">
        <values>
          <value t="str">
            <val>0</val>
          </value>
        </values>
      </ddeItem>
      <ddeItem name="vol?MERV_Ö_XMEV_Ö_GFGC230.AB_Ö_24hs" advise="1">
        <values>
          <value t="str">
            <val>0</val>
          </value>
        </values>
      </ddeItem>
      <ddeItem name="vol?MERV_Ö_XMEV_Ö_GFGC240.AB_Ö_24hs" advise="1">
        <values>
          <value t="str">
            <val>0</val>
          </value>
        </values>
      </ddeItem>
      <ddeItem name="vol?MERV_Ö_XMEV_Ö_GFGC250.AB_Ö_24hs" advise="1">
        <values>
          <value t="str">
            <val>0</val>
          </value>
        </values>
      </ddeItem>
      <ddeItem name="vol?MERV_Ö_XMEV_Ö_GFGC260.AB_Ö_24hs" advise="1">
        <values>
          <value t="str">
            <val>0</val>
          </value>
        </values>
      </ddeItem>
      <ddeItem name="vol?MERV_Ö_XMEV_Ö_GFGC270.AB_Ö_24hs" advise="1">
        <values>
          <value t="str">
            <val>0</val>
          </value>
        </values>
      </ddeItem>
      <ddeItem name="vol?MERV_Ö_XMEV_Ö_GFGC280.AB_Ö_24hs" advise="1">
        <values>
          <value t="str">
            <val>0</val>
          </value>
        </values>
      </ddeItem>
      <ddeItem name="vol?MERV_Ö_XMEV_Ö_GFGC290.AB_Ö_24hs" advise="1">
        <values>
          <value t="str">
            <val>0</val>
          </value>
        </values>
      </ddeItem>
      <ddeItem name="vol?MERV_Ö_XMEV_Ö_GFGC300.AB_Ö_24hs" advise="1">
        <values>
          <value t="str">
            <val>0</val>
          </value>
        </values>
      </ddeItem>
      <ddeItem name="vol?MERV_Ö_XMEV_Ö_GFGC310.AB_Ö_24hs" advise="1">
        <values>
          <value t="str">
            <val>0</val>
          </value>
        </values>
      </ddeItem>
      <ddeItem name="vol?MERV_Ö_XMEV_Ö_GFGC320.AB_Ö_24hs" advise="1">
        <values>
          <value t="str">
            <val>0</val>
          </value>
        </values>
      </ddeItem>
      <ddeItem name="vol?MERV_Ö_XMEV_Ö_GFGC330.AB_Ö_24hs" advise="1">
        <values>
          <value t="str">
            <val>0</val>
          </value>
        </values>
      </ddeItem>
      <ddeItem name="vol?MERV_Ö_XMEV_Ö_GFGC340.AB_Ö_24hs" advise="1">
        <values>
          <value t="str">
            <val>0</val>
          </value>
        </values>
      </ddeItem>
      <ddeItem name="vol?MERV_Ö_XMEV_Ö_GFGC350.AB_Ö_24hs" advise="1">
        <values>
          <value t="str">
            <val>0</val>
          </value>
        </values>
      </ddeItem>
      <ddeItem name="vol?MERV_Ö_XMEV_Ö_GFGC360.AB_Ö_24hs" advise="1">
        <values>
          <value t="str">
            <val>0</val>
          </value>
        </values>
      </ddeItem>
      <ddeItem name="vol?MERV_Ö_XMEV_Ö_GFGV132.AB_Ö_24hs" advise="1">
        <values>
          <value t="str">
            <val>0</val>
          </value>
        </values>
      </ddeItem>
      <ddeItem name="vol?MERV_Ö_XMEV_Ö_GFGV135.AB_Ö_24hs" advise="1">
        <values>
          <value t="str">
            <val>0</val>
          </value>
        </values>
      </ddeItem>
      <ddeItem name="vol?MERV_Ö_XMEV_Ö_GFGV140.AB_Ö_24hs" advise="1"/>
      <ddeItem name="vol?MERV_Ö_XMEV_Ö_GFGV145.AB_Ö_24hs" advise="1">
        <values>
          <value t="str">
            <val>0</val>
          </value>
        </values>
      </ddeItem>
      <ddeItem name="vol?MERV_Ö_XMEV_Ö_GFGV150.AB_Ö_24hs" advise="1"/>
      <ddeItem name="vol?MERV_Ö_XMEV_Ö_GFGV155.AB_Ö_24hs" advise="1"/>
      <ddeItem name="vol?MERV_Ö_XMEV_Ö_GFGV160.AB_Ö_24hs" advise="1">
        <values>
          <value t="str">
            <val>0</val>
          </value>
        </values>
      </ddeItem>
      <ddeItem name="vol?MERV_Ö_XMEV_Ö_GFGV165.AB_Ö_24hs" advise="1">
        <values>
          <value t="str">
            <val>0</val>
          </value>
        </values>
      </ddeItem>
      <ddeItem name="vol?MERV_Ö_XMEV_Ö_GFGV170.AB_Ö_24hs" advise="1">
        <values>
          <value t="str">
            <val>0</val>
          </value>
        </values>
      </ddeItem>
      <ddeItem name="vol?MERV_Ö_XMEV_Ö_GFGV175.AB_Ö_24hs" advise="1">
        <values>
          <value t="str">
            <val>0</val>
          </value>
        </values>
      </ddeItem>
      <ddeItem name="vol?MERV_Ö_XMEV_Ö_GFGV180.AB_Ö_24hs" advise="1">
        <values>
          <value t="str">
            <val>0</val>
          </value>
        </values>
      </ddeItem>
      <ddeItem name="vol?MERV_Ö_XMEV_Ö_GFGV185.AB_Ö_24hs" advise="1">
        <values>
          <value t="str">
            <val>0</val>
          </value>
        </values>
      </ddeItem>
      <ddeItem name="vol?MERV_Ö_XMEV_Ö_GFGV190.AB_Ö_24hs" advise="1">
        <values>
          <value t="str">
            <val>0</val>
          </value>
        </values>
      </ddeItem>
      <ddeItem name="vol?MERV_Ö_XMEV_Ö_GFGV195.AB_Ö_24hs" advise="1">
        <values>
          <value t="str">
            <val>0</val>
          </value>
        </values>
      </ddeItem>
      <ddeItem name="vol?MERV_Ö_XMEV_Ö_GFGV200.AB_Ö_24hs" advise="1">
        <values>
          <value t="str">
            <val>0</val>
          </value>
        </values>
      </ddeItem>
      <ddeItem name="vol?MERV_Ö_XMEV_Ö_GFGV210.AB_Ö_24hs" advise="1">
        <values>
          <value t="str">
            <val>0</val>
          </value>
        </values>
      </ddeItem>
      <ddeItem name="vol?MERV_Ö_XMEV_Ö_GFGV220.AB_Ö_24hs" advise="1">
        <values>
          <value t="str">
            <val>0</val>
          </value>
        </values>
      </ddeItem>
      <ddeItem name="vol?MERV_Ö_XMEV_Ö_GFGV230.AB_Ö_24hs" advise="1">
        <values>
          <value t="str">
            <val>0</val>
          </value>
        </values>
      </ddeItem>
      <ddeItem name="vol?MERV_Ö_XMEV_Ö_GFGV240.AB_Ö_24hs" advise="1">
        <values>
          <value t="str">
            <val>0</val>
          </value>
        </values>
      </ddeItem>
      <ddeItem name="vol?MERV_Ö_XMEV_Ö_GFGV250.AB_Ö_24hs" advise="1">
        <values>
          <value t="str">
            <val>0</val>
          </value>
        </values>
      </ddeItem>
      <ddeItem name="vol?MERV_Ö_XMEV_Ö_GFGV260.AB_Ö_24hs" advise="1">
        <values>
          <value t="str">
            <val>0</val>
          </value>
        </values>
      </ddeItem>
      <ddeItem name="vol?MERV_Ö_XMEV_Ö_GFGV270.AB_Ö_24hs" advise="1">
        <values>
          <value t="str">
            <val>0</val>
          </value>
        </values>
      </ddeItem>
      <ddeItem name="vol?MERV_Ö_XMEV_Ö_GFGV280.AB_Ö_24hs" advise="1">
        <values>
          <value t="str">
            <val>0</val>
          </value>
        </values>
      </ddeItem>
      <ddeItem name="vol?MERV_Ö_XMEV_Ö_GFGV290.AB_Ö_24hs" advise="1">
        <values>
          <value t="str">
            <val>0</val>
          </value>
        </values>
      </ddeItem>
      <ddeItem name="vol?MERV_Ö_XMEV_Ö_GFGV300.AB_Ö_24hs" advise="1">
        <values>
          <value t="str">
            <val>0</val>
          </value>
        </values>
      </ddeItem>
      <ddeItem name="vol?MERV_Ö_XMEV_Ö_GFGV310.AB_Ö_24hs" advise="1">
        <values>
          <value t="str">
            <val>0</val>
          </value>
        </values>
      </ddeItem>
      <ddeItem name="vol?MERV_Ö_XMEV_Ö_GFGV320.AB_Ö_24hs" advise="1">
        <values>
          <value t="str">
            <val>0</val>
          </value>
        </values>
      </ddeItem>
      <ddeItem name="vol?MERV_Ö_XMEV_Ö_GFGV330.AB_Ö_24hs" advise="1">
        <values>
          <value t="str">
            <val>0</val>
          </value>
        </values>
      </ddeItem>
      <ddeItem name="vol?MERV_Ö_XMEV_Ö_GFGV340.AB_Ö_24hs" advise="1">
        <values>
          <value t="str">
            <val>0</val>
          </value>
        </values>
      </ddeItem>
      <ddeItem name="vol?MERV_Ö_XMEV_Ö_GFGV350.AB_Ö_24hs" advise="1">
        <values>
          <value t="str">
            <val>0</val>
          </value>
        </values>
      </ddeItem>
      <ddeItem name="vol?MERV_Ö_XMEV_Ö_GFGV360.AB_Ö_24hs" advise="1">
        <values>
          <value t="str">
            <val>0</val>
          </value>
        </values>
      </ddeItem>
      <ddeItem name="vol?MERV_Ö_XMEV_Ö_GGAL_Ö_24hs" advise="1">
        <values>
          <value t="str">
            <val>0</val>
          </value>
        </values>
      </ddeItem>
      <ddeItem name="vol?MERV_Ö_XMEV_Ö_GGAL_Ö_48hs" advise="1">
        <values>
          <value t="str">
            <val>0</val>
          </value>
        </values>
      </ddeItem>
      <ddeItem name="vol?MERV_Ö_XMEV_Ö_GGAL_Ö_CI" advise="1">
        <values>
          <value t="str">
            <val>0</val>
          </value>
        </values>
      </ddeItem>
      <ddeItem name="vol?MERV_Ö_XMEV_Ö_MIRG_Ö_48hs" advise="1">
        <values>
          <value t="str">
            <val>0.0</val>
          </value>
        </values>
      </ddeItem>
      <ddeItem name="vol?MERV_Ö_XMEV_Ö_PAMP_Ö_48hs" advise="1">
        <values>
          <value t="str">
            <val>0</val>
          </value>
        </values>
      </ddeItem>
      <ddeItem name="vol?MERV_Ö_XMEV_Ö_SUPV_Ö_48hs" advise="1">
        <values>
          <value t="str">
            <val>0</val>
          </value>
        </values>
      </ddeItem>
      <ddeItem name="vol?MERV_Ö_XMEV_Ö_TXAR_Ö_48hs" advise="1">
        <values>
          <value t="str">
            <val>0</val>
          </value>
        </values>
      </ddeItem>
      <ddeItem name="vol?MERV_Ö_XMEV_Ö_VALO_Ö_48hs" advise="1">
        <values>
          <value t="str">
            <val>0</val>
          </value>
        </values>
      </ddeItem>
      <ddeItem name="vol?MERV_Ö_XMEV_Ö_YPFD_Ö_48hs" advise="1">
        <values>
          <value t="str">
            <val>0</val>
          </value>
        </values>
      </ddeItem>
      <ddeItem name="vole?MERV_Ö_XMEV_Ö_AE38_Ö_24hs" advise="1">
        <values>
          <value t="str">
            <val>0.00</val>
          </value>
        </values>
      </ddeItem>
      <ddeItem name="vole?MERV_Ö_XMEV_Ö_AE38_Ö_48hs" advise="1">
        <values>
          <value t="str">
            <val>50862369.03</val>
          </value>
        </values>
      </ddeItem>
      <ddeItem name="vole?MERV_Ö_XMEV_Ö_AE38_Ö_CI" advise="1">
        <values>
          <value t="str">
            <val>644188.35</val>
          </value>
        </values>
      </ddeItem>
      <ddeItem name="vole?MERV_Ö_XMEV_Ö_AE38D_Ö_24hs" advise="1">
        <values>
          <value t="str">
            <val>0.00</val>
          </value>
        </values>
      </ddeItem>
      <ddeItem name="vole?MERV_Ö_XMEV_Ö_AE38D_Ö_48hs" advise="1">
        <values>
          <value t="str">
            <val>35333.04</val>
          </value>
        </values>
      </ddeItem>
      <ddeItem name="vole?MERV_Ö_XMEV_Ö_AE38D_Ö_CI" advise="1">
        <values>
          <value t="str">
            <val>3075.92</val>
          </value>
        </values>
      </ddeItem>
      <ddeItem name="vole?MERV_Ö_XMEV_Ö_AL29_Ö_24hs" advise="1">
        <values>
          <value t="str">
            <val>0.00</val>
          </value>
        </values>
      </ddeItem>
      <ddeItem name="vole?MERV_Ö_XMEV_Ö_AL29_Ö_48hs" advise="1">
        <values>
          <value t="str">
            <val>31055856.20</val>
          </value>
        </values>
      </ddeItem>
      <ddeItem name="vole?MERV_Ö_XMEV_Ö_AL29_Ö_CI" advise="1">
        <values>
          <value t="str">
            <val>5207631.07</val>
          </value>
        </values>
      </ddeItem>
      <ddeItem name="vole?MERV_Ö_XMEV_Ö_AL29D_Ö_24hs" advise="1">
        <values>
          <value t="str">
            <val>0.00</val>
          </value>
        </values>
      </ddeItem>
      <ddeItem name="vole?MERV_Ö_XMEV_Ö_AL29D_Ö_48hs" advise="1">
        <values>
          <value t="str">
            <val>13988.08</val>
          </value>
        </values>
      </ddeItem>
      <ddeItem name="vole?MERV_Ö_XMEV_Ö_AL29D_Ö_CI" advise="1">
        <values>
          <value t="str">
            <val>4580.13</val>
          </value>
        </values>
      </ddeItem>
      <ddeItem name="vole?MERV_Ö_XMEV_Ö_AL30_Ö_24hs" advise="1">
        <values>
          <value t="str">
            <val>8078553.59</val>
          </value>
        </values>
      </ddeItem>
      <ddeItem name="vole?MERV_Ö_XMEV_Ö_AL30_Ö_48hs" advise="1">
        <values>
          <value t="str">
            <val>813368759.90</val>
          </value>
        </values>
      </ddeItem>
      <ddeItem name="vole?MERV_Ö_XMEV_Ö_AL30_Ö_CI" advise="1">
        <values>
          <value t="str">
            <val>934692535.05</val>
          </value>
        </values>
      </ddeItem>
      <ddeItem name="vole?MERV_Ö_XMEV_Ö_AL30C_Ö_24hs" advise="1">
        <values>
          <value t="str">
            <val>0.00</val>
          </value>
        </values>
      </ddeItem>
      <ddeItem name="vole?MERV_Ö_XMEV_Ö_AL30C_Ö_48hs" advise="1">
        <values>
          <value t="str">
            <val>0.00</val>
          </value>
        </values>
      </ddeItem>
      <ddeItem name="vole?MERV_Ö_XMEV_Ö_AL30C_Ö_CI" advise="1">
        <values>
          <value t="str">
            <val>13613.97</val>
          </value>
        </values>
      </ddeItem>
      <ddeItem name="vole?MERV_Ö_XMEV_Ö_AL30D_Ö_24hs" advise="1">
        <values>
          <value t="str">
            <val>5104.48</val>
          </value>
        </values>
      </ddeItem>
      <ddeItem name="vole?MERV_Ö_XMEV_Ö_AL30D_Ö_48hs" advise="1">
        <values>
          <value t="str">
            <val>673256.50</val>
          </value>
        </values>
      </ddeItem>
      <ddeItem name="vole?MERV_Ö_XMEV_Ö_AL30D_Ö_CI" advise="1">
        <values>
          <value t="str">
            <val>3209038.08</val>
          </value>
        </values>
      </ddeItem>
      <ddeItem name="vole?MERV_Ö_XMEV_Ö_AL41_Ö_24hs" advise="1">
        <values>
          <value t="str">
            <val>0.00</val>
          </value>
        </values>
      </ddeItem>
      <ddeItem name="vole?MERV_Ö_XMEV_Ö_AL41_Ö_48hs" advise="1">
        <values>
          <value t="str">
            <val>4686992.28</val>
          </value>
        </values>
      </ddeItem>
      <ddeItem name="vole?MERV_Ö_XMEV_Ö_AL41_Ö_CI" advise="1">
        <values>
          <value t="str">
            <val>886907.94</val>
          </value>
        </values>
      </ddeItem>
      <ddeItem name="vole?MERV_Ö_XMEV_Ö_AL41D_Ö_24hs" advise="1">
        <values>
          <value t="str">
            <val>0.00</val>
          </value>
        </values>
      </ddeItem>
      <ddeItem name="vole?MERV_Ö_XMEV_Ö_AL41D_Ö_48hs" advise="1">
        <values>
          <value t="str">
            <val>16520.63</val>
          </value>
        </values>
      </ddeItem>
      <ddeItem name="vole?MERV_Ö_XMEV_Ö_AL41D_Ö_CI" advise="1">
        <values>
          <value t="str">
            <val>2332.76</val>
          </value>
        </values>
      </ddeItem>
      <ddeItem name="vole?MERV_Ö_XMEV_Ö_AY24_Ö_24hs" advise="1">
        <values>
          <value t="str">
            <val>0.00</val>
          </value>
        </values>
      </ddeItem>
      <ddeItem name="vole?MERV_Ö_XMEV_Ö_AY24_Ö_48hs" advise="1">
        <values>
          <value t="str">
            <val>0.00</val>
          </value>
        </values>
      </ddeItem>
      <ddeItem name="vole?MERV_Ö_XMEV_Ö_AY24_Ö_CI" advise="1">
        <values>
          <value t="str">
            <val>0.00</val>
          </value>
        </values>
      </ddeItem>
      <ddeItem name="vole?MERV_Ö_XMEV_Ö_AY24D_Ö_24hs" advise="1">
        <values>
          <value t="str">
            <val>0.00</val>
          </value>
        </values>
      </ddeItem>
      <ddeItem name="vole?MERV_Ö_XMEV_Ö_AY24D_Ö_48hs" advise="1">
        <values>
          <value t="str">
            <val>0.00</val>
          </value>
        </values>
      </ddeItem>
      <ddeItem name="vole?MERV_Ö_XMEV_Ö_AY24D_Ö_CI" advise="1">
        <values>
          <value t="str">
            <val>0.00</val>
          </value>
        </values>
      </ddeItem>
      <ddeItem name="vole?MERV_Ö_XMEV_Ö_BYMA_Ö_48hs" advise="1">
        <values>
          <value t="str">
            <val>0.00</val>
          </value>
        </values>
      </ddeItem>
      <ddeItem name="vole?MERV_Ö_XMEV_Ö_COME_Ö_48hs" advise="1">
        <values>
          <value t="str">
            <val>0.00</val>
          </value>
        </values>
      </ddeItem>
      <ddeItem name="vole?MERV_Ö_XMEV_Ö_EDN_Ö_48hs" advise="1">
        <values>
          <value t="str">
            <val>0.00</val>
          </value>
        </values>
      </ddeItem>
      <ddeItem name="vole?MERV_Ö_XMEV_Ö_GD29_Ö_24hs" advise="1">
        <values>
          <value t="str">
            <val>0.00</val>
          </value>
        </values>
      </ddeItem>
      <ddeItem name="vole?MERV_Ö_XMEV_Ö_GD29_Ö_48hs" advise="1">
        <values>
          <value t="str">
            <val>1809768.38</val>
          </value>
        </values>
      </ddeItem>
      <ddeItem name="vole?MERV_Ö_XMEV_Ö_GD29_Ö_CI" advise="1">
        <values>
          <value t="str">
            <val>195452.02</val>
          </value>
        </values>
      </ddeItem>
      <ddeItem name="vole?MERV_Ö_XMEV_Ö_GD29C_Ö_24hs" advise="1">
        <values>
          <value t="str">
            <val>0.00</val>
          </value>
        </values>
      </ddeItem>
      <ddeItem name="vole?MERV_Ö_XMEV_Ö_GD29C_Ö_48hs" advise="1">
        <values>
          <value t="str">
            <val>0.00</val>
          </value>
        </values>
      </ddeItem>
      <ddeItem name="vole?MERV_Ö_XMEV_Ö_GD29C_Ö_CI" advise="1">
        <values>
          <value t="str">
            <val>0.00</val>
          </value>
        </values>
      </ddeItem>
      <ddeItem name="vole?MERV_Ö_XMEV_Ö_GD29D_Ö_24hs" advise="1">
        <values>
          <value t="str">
            <val>0.00</val>
          </value>
        </values>
      </ddeItem>
      <ddeItem name="vole?MERV_Ö_XMEV_Ö_GD29D_Ö_48hs" advise="1">
        <values>
          <value t="str">
            <val>1816.31</val>
          </value>
        </values>
      </ddeItem>
      <ddeItem name="vole?MERV_Ö_XMEV_Ö_GD29D_Ö_CI" advise="1">
        <values>
          <value t="str">
            <val>1861.27</val>
          </value>
        </values>
      </ddeItem>
      <ddeItem name="vole?MERV_Ö_XMEV_Ö_GD30_Ö_24hs" advise="1">
        <values>
          <value t="str">
            <val>299188.50</val>
          </value>
        </values>
      </ddeItem>
      <ddeItem name="vole?MERV_Ö_XMEV_Ö_GD30_Ö_48hs" advise="1">
        <values>
          <value t="str">
            <val>1934135313.27</val>
          </value>
        </values>
      </ddeItem>
      <ddeItem name="vole?MERV_Ö_XMEV_Ö_GD30_Ö_CI" advise="1">
        <values>
          <value t="str">
            <val>3758649070.47</val>
          </value>
        </values>
      </ddeItem>
      <ddeItem name="vole?MERV_Ö_XMEV_Ö_GD30C_Ö_24hs" advise="1">
        <values>
          <value t="str">
            <val>0.00</val>
          </value>
        </values>
      </ddeItem>
      <ddeItem name="vole?MERV_Ö_XMEV_Ö_GD30C_Ö_48hs" advise="1">
        <values>
          <value t="str">
            <val>1667457.29</val>
          </value>
        </values>
      </ddeItem>
      <ddeItem name="vole?MERV_Ö_XMEV_Ö_GD30C_Ö_CI" advise="1">
        <values>
          <value t="str">
            <val>13940390.18</val>
          </value>
        </values>
      </ddeItem>
      <ddeItem name="vole?MERV_Ö_XMEV_Ö_GD30D_Ö_24hs" advise="1">
        <values>
          <value t="str">
            <val>1948.26</val>
          </value>
        </values>
      </ddeItem>
      <ddeItem name="vole?MERV_Ö_XMEV_Ö_GD30D_Ö_48hs" advise="1">
        <values>
          <value t="str">
            <val>3100018.04</val>
          </value>
        </values>
      </ddeItem>
      <ddeItem name="vole?MERV_Ö_XMEV_Ö_GD30D_Ö_CI" advise="1">
        <values>
          <value t="str">
            <val>9305796.27</val>
          </value>
        </values>
      </ddeItem>
      <ddeItem name="vole?MERV_Ö_XMEV_Ö_GD35_Ö_24hs" advise="1">
        <values>
          <value t="str">
            <val>0.00</val>
          </value>
        </values>
      </ddeItem>
      <ddeItem name="vole?MERV_Ö_XMEV_Ö_GD35_Ö_48hs" advise="1">
        <values>
          <value t="str">
            <val>440630964.24</val>
          </value>
        </values>
      </ddeItem>
      <ddeItem name="vole?MERV_Ö_XMEV_Ö_GD35_Ö_CI" advise="1">
        <values>
          <value t="str">
            <val>3246691.36</val>
          </value>
        </values>
      </ddeItem>
      <ddeItem name="vole?MERV_Ö_XMEV_Ö_GD35C_Ö_24hs" advise="1">
        <values>
          <value t="str">
            <val>0.00</val>
          </value>
        </values>
      </ddeItem>
      <ddeItem name="vole?MERV_Ö_XMEV_Ö_GD35C_Ö_48hs" advise="1">
        <values>
          <value t="str">
            <val>498906.59</val>
          </value>
        </values>
      </ddeItem>
      <ddeItem name="vole?MERV_Ö_XMEV_Ö_GD35C_Ö_CI" advise="1">
        <values>
          <value t="str">
            <val>2900.22</val>
          </value>
        </values>
      </ddeItem>
      <ddeItem name="vole?MERV_Ö_XMEV_Ö_GD35D_Ö_24hs" advise="1">
        <values>
          <value t="str">
            <val>0.00</val>
          </value>
        </values>
      </ddeItem>
      <ddeItem name="vole?MERV_Ö_XMEV_Ö_GD35D_Ö_48hs" advise="1">
        <values>
          <value t="str">
            <val>1383859.53</val>
          </value>
        </values>
      </ddeItem>
      <ddeItem name="vole?MERV_Ö_XMEV_Ö_GD35D_Ö_CI" advise="1">
        <values>
          <value t="str">
            <val>103500.67</val>
          </value>
        </values>
      </ddeItem>
      <ddeItem name="vole?MERV_Ö_XMEV_Ö_GFGC132.AB_Ö_24hs" advise="1">
        <values>
          <value t="str">
            <val>396916.000</val>
          </value>
        </values>
      </ddeItem>
      <ddeItem name="vole?MERV_Ö_XMEV_Ö_GFGC135.AB_Ö_24hs" advise="1"/>
      <ddeItem name="vole?MERV_Ö_XMEV_Ö_GFGC140.AB_Ö_24hs" advise="1"/>
      <ddeItem name="vole?MERV_Ö_XMEV_Ö_GFGC145.AB_Ö_24hs" advise="1"/>
      <ddeItem name="vole?MERV_Ö_XMEV_Ö_GFGC150.AB_Ö_24hs" advise="1">
        <values>
          <value t="str">
            <val>0.000</val>
          </value>
        </values>
      </ddeItem>
      <ddeItem name="vole?MERV_Ö_XMEV_Ö_GFGC155.AB_Ö_24hs" advise="1"/>
      <ddeItem name="vole?MERV_Ö_XMEV_Ö_GFGC160.AB_Ö_24hs" advise="1"/>
      <ddeItem name="vole?MERV_Ö_XMEV_Ö_GFGC165.AB_Ö_24hs" advise="1">
        <values>
          <value t="str">
            <val>27500.000</val>
          </value>
        </values>
      </ddeItem>
      <ddeItem name="vole?MERV_Ö_XMEV_Ö_GFGC170.AB_Ö_24hs" advise="1"/>
      <ddeItem name="vole?MERV_Ö_XMEV_Ö_GFGC175.AB_Ö_24hs" advise="1"/>
      <ddeItem name="vole?MERV_Ö_XMEV_Ö_GFGC180.AB_Ö_24hs" advise="1">
        <values>
          <value t="str">
            <val>0.000</val>
          </value>
        </values>
      </ddeItem>
      <ddeItem name="vole?MERV_Ö_XMEV_Ö_GFGC185.AB_Ö_24hs" advise="1">
        <values>
          <value t="str">
            <val>16500.000</val>
          </value>
        </values>
      </ddeItem>
      <ddeItem name="vole?MERV_Ö_XMEV_Ö_GFGC190.AB_Ö_24hs" advise="1">
        <values>
          <value t="str">
            <val>4201484.800</val>
          </value>
        </values>
      </ddeItem>
      <ddeItem name="vole?MERV_Ö_XMEV_Ö_GFGC195.AB_Ö_24hs" advise="1">
        <values>
          <value t="str">
            <val>8036835.100</val>
          </value>
        </values>
      </ddeItem>
      <ddeItem name="vole?MERV_Ö_XMEV_Ö_GFGC200.AB_Ö_24hs" advise="1">
        <values>
          <value t="str">
            <val>21278090.600</val>
          </value>
        </values>
      </ddeItem>
      <ddeItem name="vole?MERV_Ö_XMEV_Ö_GFGC210.AB_Ö_24hs" advise="1">
        <values>
          <value t="str">
            <val>18419037.500</val>
          </value>
        </values>
      </ddeItem>
      <ddeItem name="vole?MERV_Ö_XMEV_Ö_GFGC220.AB_Ö_24hs" advise="1">
        <values>
          <value t="str">
            <val>33979404.000</val>
          </value>
        </values>
      </ddeItem>
      <ddeItem name="vole?MERV_Ö_XMEV_Ö_GFGC230.AB_Ö_24hs" advise="1">
        <values>
          <value t="str">
            <val>25296632.700</val>
          </value>
        </values>
      </ddeItem>
      <ddeItem name="vole?MERV_Ö_XMEV_Ö_GFGC240.AB_Ö_24hs" advise="1">
        <values>
          <value t="str">
            <val>12597401.700</val>
          </value>
        </values>
      </ddeItem>
      <ddeItem name="vole?MERV_Ö_XMEV_Ö_GFGC250.AB_Ö_24hs" advise="1">
        <values>
          <value t="str">
            <val>7148453.800</val>
          </value>
        </values>
      </ddeItem>
      <ddeItem name="vole?MERV_Ö_XMEV_Ö_GFGC260.AB_Ö_24hs" advise="1">
        <values>
          <value t="str">
            <val>3857568.200</val>
          </value>
        </values>
      </ddeItem>
      <ddeItem name="vole?MERV_Ö_XMEV_Ö_GFGC270.AB_Ö_24hs" advise="1">
        <values>
          <value t="str">
            <val>573761.500</val>
          </value>
        </values>
      </ddeItem>
      <ddeItem name="vole?MERV_Ö_XMEV_Ö_GFGC280.AB_Ö_24hs" advise="1">
        <values>
          <value t="str">
            <val>266718.100</val>
          </value>
        </values>
      </ddeItem>
      <ddeItem name="vole?MERV_Ö_XMEV_Ö_GFGC290.AB_Ö_24hs" advise="1">
        <values>
          <value t="str">
            <val>90585.700</val>
          </value>
        </values>
      </ddeItem>
      <ddeItem name="vole?MERV_Ö_XMEV_Ö_GFGC300.AB_Ö_24hs" advise="1">
        <values>
          <value t="str">
            <val>132404.600</val>
          </value>
        </values>
      </ddeItem>
      <ddeItem name="vole?MERV_Ö_XMEV_Ö_GFGC310.AB_Ö_24hs" advise="1">
        <values>
          <value t="str">
            <val>21598.900</val>
          </value>
        </values>
      </ddeItem>
      <ddeItem name="vole?MERV_Ö_XMEV_Ö_GFGC320.AB_Ö_24hs" advise="1">
        <values>
          <value t="str">
            <val>20096.000</val>
          </value>
        </values>
      </ddeItem>
      <ddeItem name="vole?MERV_Ö_XMEV_Ö_GFGC330.AB_Ö_24hs" advise="1">
        <values>
          <value t="str">
            <val>46717.400</val>
          </value>
        </values>
      </ddeItem>
      <ddeItem name="vole?MERV_Ö_XMEV_Ö_GFGC340.AB_Ö_24hs" advise="1">
        <values>
          <value t="str">
            <val>420.000</val>
          </value>
        </values>
      </ddeItem>
      <ddeItem name="vole?MERV_Ö_XMEV_Ö_GFGC350.AB_Ö_24hs" advise="1">
        <values>
          <value t="str">
            <val>10423.900</val>
          </value>
        </values>
      </ddeItem>
      <ddeItem name="vole?MERV_Ö_XMEV_Ö_GFGC360.AB_Ö_24hs" advise="1">
        <values>
          <value t="str">
            <val>38073.200</val>
          </value>
        </values>
      </ddeItem>
      <ddeItem name="vole?MERV_Ö_XMEV_Ö_GFGV132.AB_Ö_24hs" advise="1">
        <values>
          <value t="str">
            <val>48943.100</val>
          </value>
        </values>
      </ddeItem>
      <ddeItem name="vole?MERV_Ö_XMEV_Ö_GFGV135.AB_Ö_24hs" advise="1">
        <values>
          <value t="str">
            <val>5093.400</val>
          </value>
        </values>
      </ddeItem>
      <ddeItem name="vole?MERV_Ö_XMEV_Ö_GFGV140.AB_Ö_24hs" advise="1"/>
      <ddeItem name="vole?MERV_Ö_XMEV_Ö_GFGV145.AB_Ö_24hs" advise="1">
        <values>
          <value t="str">
            <val>5035.300</val>
          </value>
        </values>
      </ddeItem>
      <ddeItem name="vole?MERV_Ö_XMEV_Ö_GFGV150.AB_Ö_24hs" advise="1"/>
      <ddeItem name="vole?MERV_Ö_XMEV_Ö_GFGV155.AB_Ö_24hs" advise="1"/>
      <ddeItem name="vole?MERV_Ö_XMEV_Ö_GFGV160.AB_Ö_24hs" advise="1">
        <values>
          <value t="str">
            <val>131033.800</val>
          </value>
        </values>
      </ddeItem>
      <ddeItem name="vole?MERV_Ö_XMEV_Ö_GFGV165.AB_Ö_24hs" advise="1">
        <values>
          <value t="str">
            <val>3729.500</val>
          </value>
        </values>
      </ddeItem>
      <ddeItem name="vole?MERV_Ö_XMEV_Ö_GFGV170.AB_Ö_24hs" advise="1">
        <values>
          <value t="str">
            <val>290371.600</val>
          </value>
        </values>
      </ddeItem>
      <ddeItem name="vole?MERV_Ö_XMEV_Ö_GFGV175.AB_Ö_24hs" advise="1">
        <values>
          <value t="str">
            <val>0.000</val>
          </value>
        </values>
      </ddeItem>
      <ddeItem name="vole?MERV_Ö_XMEV_Ö_GFGV180.AB_Ö_24hs" advise="1">
        <values>
          <value t="str">
            <val>526141.800</val>
          </value>
        </values>
      </ddeItem>
      <ddeItem name="vole?MERV_Ö_XMEV_Ö_GFGV185.AB_Ö_24hs" advise="1">
        <values>
          <value t="str">
            <val>236238.400</val>
          </value>
        </values>
      </ddeItem>
      <ddeItem name="vole?MERV_Ö_XMEV_Ö_GFGV190.AB_Ö_24hs" advise="1">
        <values>
          <value t="str">
            <val>2574078.600</val>
          </value>
        </values>
      </ddeItem>
      <ddeItem name="vole?MERV_Ö_XMEV_Ö_GFGV195.AB_Ö_24hs" advise="1">
        <values>
          <value t="str">
            <val>723203.000</val>
          </value>
        </values>
      </ddeItem>
      <ddeItem name="vole?MERV_Ö_XMEV_Ö_GFGV200.AB_Ö_24hs" advise="1">
        <values>
          <value t="str">
            <val>4012381.700</val>
          </value>
        </values>
      </ddeItem>
      <ddeItem name="vole?MERV_Ö_XMEV_Ö_GFGV210.AB_Ö_24hs" advise="1">
        <values>
          <value t="str">
            <val>2768005.600</val>
          </value>
        </values>
      </ddeItem>
      <ddeItem name="vole?MERV_Ö_XMEV_Ö_GFGV220.AB_Ö_24hs" advise="1">
        <values>
          <value t="str">
            <val>1287929.000</val>
          </value>
        </values>
      </ddeItem>
      <ddeItem name="vole?MERV_Ö_XMEV_Ö_GFGV230.AB_Ö_24hs" advise="1">
        <values>
          <value t="str">
            <val>959644.400</val>
          </value>
        </values>
      </ddeItem>
      <ddeItem name="vole?MERV_Ö_XMEV_Ö_GFGV240.AB_Ö_24hs" advise="1">
        <values>
          <value t="str">
            <val>0.000</val>
          </value>
        </values>
      </ddeItem>
      <ddeItem name="vole?MERV_Ö_XMEV_Ö_GFGV250.AB_Ö_24hs" advise="1">
        <values>
          <value t="str">
            <val>0.000</val>
          </value>
        </values>
      </ddeItem>
      <ddeItem name="vole?MERV_Ö_XMEV_Ö_GFGV260.AB_Ö_24hs" advise="1">
        <values>
          <value t="str">
            <val>0.000</val>
          </value>
        </values>
      </ddeItem>
      <ddeItem name="vole?MERV_Ö_XMEV_Ö_GFGV270.AB_Ö_24hs" advise="1">
        <values>
          <value t="str">
            <val>0.000</val>
          </value>
        </values>
      </ddeItem>
      <ddeItem name="vole?MERV_Ö_XMEV_Ö_GFGV280.AB_Ö_24hs" advise="1">
        <values>
          <value t="str">
            <val>0.000</val>
          </value>
        </values>
      </ddeItem>
      <ddeItem name="vole?MERV_Ö_XMEV_Ö_GFGV290.AB_Ö_24hs" advise="1">
        <values>
          <value t="str">
            <val>0.000</val>
          </value>
        </values>
      </ddeItem>
      <ddeItem name="vole?MERV_Ö_XMEV_Ö_GFGV300.AB_Ö_24hs" advise="1">
        <values>
          <value t="str">
            <val>0.000</val>
          </value>
        </values>
      </ddeItem>
      <ddeItem name="vole?MERV_Ö_XMEV_Ö_GFGV310.AB_Ö_24hs" advise="1">
        <values>
          <value t="str">
            <val>0.000</val>
          </value>
        </values>
      </ddeItem>
      <ddeItem name="vole?MERV_Ö_XMEV_Ö_GFGV320.AB_Ö_24hs" advise="1">
        <values>
          <value t="str">
            <val>0.000</val>
          </value>
        </values>
      </ddeItem>
      <ddeItem name="vole?MERV_Ö_XMEV_Ö_GFGV330.AB_Ö_24hs" advise="1">
        <values>
          <value t="str">
            <val>0.000</val>
          </value>
        </values>
      </ddeItem>
      <ddeItem name="vole?MERV_Ö_XMEV_Ö_GFGV340.AB_Ö_24hs" advise="1">
        <values>
          <value t="str">
            <val>0.000</val>
          </value>
        </values>
      </ddeItem>
      <ddeItem name="vole?MERV_Ö_XMEV_Ö_GFGV350.AB_Ö_24hs" advise="1">
        <values>
          <value t="str">
            <val>0.000</val>
          </value>
        </values>
      </ddeItem>
      <ddeItem name="vole?MERV_Ö_XMEV_Ö_GFGV360.AB_Ö_24hs" advise="1">
        <values>
          <value t="str">
            <val>0.000</val>
          </value>
        </values>
      </ddeItem>
      <ddeItem name="vole?MERV_Ö_XMEV_Ö_GGAL_Ö_24hs" advise="1">
        <values>
          <value t="str">
            <val>2312718.60</val>
          </value>
        </values>
      </ddeItem>
      <ddeItem name="vole?MERV_Ö_XMEV_Ö_GGAL_Ö_48hs" advise="1">
        <values>
          <value t="str">
            <val>373759675.35</val>
          </value>
        </values>
      </ddeItem>
      <ddeItem name="vole?MERV_Ö_XMEV_Ö_GGAL_Ö_CI" advise="1">
        <values>
          <value t="str">
            <val>21270439.30</val>
          </value>
        </values>
      </ddeItem>
      <ddeItem name="vole?MERV_Ö_XMEV_Ö_MIRG_Ö_48hs" advise="1">
        <values>
          <value t="str">
            <val>0.00</val>
          </value>
        </values>
      </ddeItem>
      <ddeItem name="vole?MERV_Ö_XMEV_Ö_PAMP_Ö_48hs" advise="1">
        <values>
          <value t="str">
            <val>0.00</val>
          </value>
        </values>
      </ddeItem>
      <ddeItem name="vole?MERV_Ö_XMEV_Ö_SUPV_Ö_48hs" advise="1">
        <values>
          <value t="str">
            <val>0.00</val>
          </value>
        </values>
      </ddeItem>
      <ddeItem name="vole?MERV_Ö_XMEV_Ö_TXAR_Ö_48hs" advise="1">
        <values>
          <value t="str">
            <val>0.00</val>
          </value>
        </values>
      </ddeItem>
      <ddeItem name="vole?MERV_Ö_XMEV_Ö_VALO_Ö_48hs" advise="1">
        <values>
          <value t="str">
            <val>0.00</val>
          </value>
        </values>
      </ddeItem>
      <ddeItem name="vole?MERV_Ö_XMEV_Ö_YPFD_Ö_48hs" advise="1">
        <values>
          <value t="str">
            <val>0.00</val>
          </value>
        </values>
      </ddeItem>
      <ddeItem name="voln?MERV_Ö_XMEV_Ö_AE38_Ö_24hs" advise="1">
        <values>
          <value t="str">
            <val>0</val>
          </value>
        </values>
      </ddeItem>
      <ddeItem name="voln?MERV_Ö_XMEV_Ö_AE38_Ö_48hs" advise="1">
        <values>
          <value t="str">
            <val>704174</val>
          </value>
        </values>
      </ddeItem>
      <ddeItem name="voln?MERV_Ö_XMEV_Ö_AE38_Ö_CI" advise="1">
        <values>
          <value t="str">
            <val>8912</val>
          </value>
        </values>
      </ddeItem>
      <ddeItem name="voln?MERV_Ö_XMEV_Ö_AE38D_Ö_24hs" advise="1">
        <values>
          <value t="str">
            <val>0</val>
          </value>
        </values>
      </ddeItem>
      <ddeItem name="voln?MERV_Ö_XMEV_Ö_AE38D_Ö_48hs" advise="1">
        <values>
          <value t="str">
            <val>97612</val>
          </value>
        </values>
      </ddeItem>
      <ddeItem name="voln?MERV_Ö_XMEV_Ö_AE38D_Ö_CI" advise="1">
        <values>
          <value t="str">
            <val>8580</val>
          </value>
        </values>
      </ddeItem>
      <ddeItem name="voln?MERV_Ö_XMEV_Ö_AL29_Ö_24hs" advise="1">
        <values>
          <value t="str">
            <val>0</val>
          </value>
        </values>
      </ddeItem>
      <ddeItem name="voln?MERV_Ö_XMEV_Ö_AL29_Ö_48hs" advise="1">
        <values>
          <value t="str">
            <val>483747</val>
          </value>
        </values>
      </ddeItem>
      <ddeItem name="voln?MERV_Ö_XMEV_Ö_AL29_Ö_CI" advise="1">
        <values>
          <value t="str">
            <val>81393</val>
          </value>
        </values>
      </ddeItem>
      <ddeItem name="voln?MERV_Ö_XMEV_Ö_AL29D_Ö_24hs" advise="1">
        <values>
          <value t="str">
            <val>0</val>
          </value>
        </values>
      </ddeItem>
      <ddeItem name="voln?MERV_Ö_XMEV_Ö_AL29D_Ö_48hs" advise="1">
        <values>
          <value t="str">
            <val>43438</val>
          </value>
        </values>
      </ddeItem>
      <ddeItem name="voln?MERV_Ö_XMEV_Ö_AL29D_Ö_CI" advise="1">
        <values>
          <value t="str">
            <val>14258</val>
          </value>
        </values>
      </ddeItem>
      <ddeItem name="voln?MERV_Ö_XMEV_Ö_AL30_Ö_24hs" advise="1">
        <values>
          <value t="str">
            <val>131649</val>
          </value>
        </values>
      </ddeItem>
      <ddeItem name="voln?MERV_Ö_XMEV_Ö_AL30_Ö_48hs" advise="1">
        <values>
          <value t="str">
            <val>13278900</val>
          </value>
        </values>
      </ddeItem>
      <ddeItem name="voln?MERV_Ö_XMEV_Ö_AL30_Ö_CI" advise="1">
        <values>
          <value t="str">
            <val>15248444</val>
          </value>
        </values>
      </ddeItem>
      <ddeItem name="voln?MERV_Ö_XMEV_Ö_AL30C_Ö_24hs" advise="1">
        <values>
          <value t="str">
            <val>0</val>
          </value>
        </values>
      </ddeItem>
      <ddeItem name="voln?MERV_Ö_XMEV_Ö_AL30C_Ö_48hs" advise="1">
        <values>
          <value t="str">
            <val>0</val>
          </value>
        </values>
      </ddeItem>
      <ddeItem name="voln?MERV_Ö_XMEV_Ö_AL30C_Ö_CI" advise="1">
        <values>
          <value t="str">
            <val>45741</val>
          </value>
        </values>
      </ddeItem>
      <ddeItem name="voln?MERV_Ö_XMEV_Ö_AL30D_Ö_24hs" advise="1">
        <values>
          <value t="str">
            <val>16822</val>
          </value>
        </values>
      </ddeItem>
      <ddeItem name="voln?MERV_Ö_XMEV_Ö_AL30D_Ö_48hs" advise="1">
        <values>
          <value t="str">
            <val>2193872</val>
          </value>
        </values>
      </ddeItem>
      <ddeItem name="voln?MERV_Ö_XMEV_Ö_AL30D_Ö_CI" advise="1">
        <values>
          <value t="str">
            <val>10457031</val>
          </value>
        </values>
      </ddeItem>
      <ddeItem name="voln?MERV_Ö_XMEV_Ö_AL41_Ö_24hs" advise="1">
        <values>
          <value t="str">
            <val>0</val>
          </value>
        </values>
      </ddeItem>
      <ddeItem name="voln?MERV_Ö_XMEV_Ö_AL41_Ö_48hs" advise="1">
        <values>
          <value t="str">
            <val>66909</val>
          </value>
        </values>
      </ddeItem>
      <ddeItem name="voln?MERV_Ö_XMEV_Ö_AL41_Ö_CI" advise="1">
        <values>
          <value t="str">
            <val>12561</val>
          </value>
        </values>
      </ddeItem>
      <ddeItem name="voln?MERV_Ö_XMEV_Ö_AL41D_Ö_24hs" advise="1">
        <values>
          <value t="str">
            <val>0</val>
          </value>
        </values>
      </ddeItem>
      <ddeItem name="voln?MERV_Ö_XMEV_Ö_AL41D_Ö_48hs" advise="1">
        <values>
          <value t="str">
            <val>47172</val>
          </value>
        </values>
      </ddeItem>
      <ddeItem name="voln?MERV_Ö_XMEV_Ö_AL41D_Ö_CI" advise="1">
        <values>
          <value t="str">
            <val>6681</val>
          </value>
        </values>
      </ddeItem>
      <ddeItem name="voln?MERV_Ö_XMEV_Ö_AY24_Ö_24hs" advise="1">
        <values>
          <value t="str">
            <val>0</val>
          </value>
        </values>
      </ddeItem>
      <ddeItem name="voln?MERV_Ö_XMEV_Ö_AY24_Ö_48hs" advise="1">
        <values>
          <value t="str">
            <val>0</val>
          </value>
        </values>
      </ddeItem>
      <ddeItem name="voln?MERV_Ö_XMEV_Ö_AY24_Ö_CI" advise="1">
        <values>
          <value t="str">
            <val>0</val>
          </value>
        </values>
      </ddeItem>
      <ddeItem name="voln?MERV_Ö_XMEV_Ö_AY24D_Ö_24hs" advise="1">
        <values>
          <value t="str">
            <val>0</val>
          </value>
        </values>
      </ddeItem>
      <ddeItem name="voln?MERV_Ö_XMEV_Ö_AY24D_Ö_48hs" advise="1">
        <values>
          <value t="str">
            <val>0</val>
          </value>
        </values>
      </ddeItem>
      <ddeItem name="voln?MERV_Ö_XMEV_Ö_AY24D_Ö_CI" advise="1">
        <values>
          <value t="str">
            <val>0</val>
          </value>
        </values>
      </ddeItem>
      <ddeItem name="voln?MERV_Ö_XMEV_Ö_BYMA_Ö_48hs" advise="1">
        <values>
          <value t="str">
            <val>0</val>
          </value>
        </values>
      </ddeItem>
      <ddeItem name="voln?MERV_Ö_XMEV_Ö_COME_Ö_48hs" advise="1">
        <values>
          <value t="str">
            <val>0</val>
          </value>
        </values>
      </ddeItem>
      <ddeItem name="voln?MERV_Ö_XMEV_Ö_EDN_Ö_48hs" advise="1">
        <values>
          <value t="str">
            <val>0</val>
          </value>
        </values>
      </ddeItem>
      <ddeItem name="voln?MERV_Ö_XMEV_Ö_GD29_Ö_24hs" advise="1">
        <values>
          <value t="str">
            <val>0</val>
          </value>
        </values>
      </ddeItem>
      <ddeItem name="voln?MERV_Ö_XMEV_Ö_GD29_Ö_48hs" advise="1">
        <values>
          <value t="str">
            <val>25482</val>
          </value>
        </values>
      </ddeItem>
      <ddeItem name="voln?MERV_Ö_XMEV_Ö_GD29_Ö_CI" advise="1">
        <values>
          <value t="str">
            <val>2755</val>
          </value>
        </values>
      </ddeItem>
      <ddeItem name="voln?MERV_Ö_XMEV_Ö_GD29C_Ö_24hs" advise="1">
        <values>
          <value t="str">
            <val>0</val>
          </value>
        </values>
      </ddeItem>
      <ddeItem name="voln?MERV_Ö_XMEV_Ö_GD29C_Ö_48hs" advise="1">
        <values>
          <value t="str">
            <val>0</val>
          </value>
        </values>
      </ddeItem>
      <ddeItem name="voln?MERV_Ö_XMEV_Ö_GD29C_Ö_CI" advise="1">
        <values>
          <value t="str">
            <val>0</val>
          </value>
        </values>
      </ddeItem>
      <ddeItem name="voln?MERV_Ö_XMEV_Ö_GD29D_Ö_24hs" advise="1">
        <values>
          <value t="str">
            <val>0</val>
          </value>
        </values>
      </ddeItem>
      <ddeItem name="voln?MERV_Ö_XMEV_Ö_GD29D_Ö_48hs" advise="1">
        <values>
          <value t="str">
            <val>5133</val>
          </value>
        </values>
      </ddeItem>
      <ddeItem name="voln?MERV_Ö_XMEV_Ö_GD29D_Ö_CI" advise="1">
        <values>
          <value t="str">
            <val>5243</val>
          </value>
        </values>
      </ddeItem>
      <ddeItem name="voln?MERV_Ö_XMEV_Ö_GD30_Ö_24hs" advise="1">
        <values>
          <value t="str">
            <val>4355</val>
          </value>
        </values>
      </ddeItem>
      <ddeItem name="voln?MERV_Ö_XMEV_Ö_GD30_Ö_48hs" advise="1">
        <values>
          <value t="str">
            <val>27948908</val>
          </value>
        </values>
      </ddeItem>
      <ddeItem name="voln?MERV_Ö_XMEV_Ö_GD30_Ö_CI" advise="1">
        <values>
          <value t="str">
            <val>54279066</val>
          </value>
        </values>
      </ddeItem>
      <ddeItem name="voln?MERV_Ö_XMEV_Ö_GD30C_Ö_24hs" advise="1">
        <values>
          <value t="str">
            <val>0</val>
          </value>
        </values>
      </ddeItem>
      <ddeItem name="voln?MERV_Ö_XMEV_Ö_GD30C_Ö_48hs" advise="1">
        <values>
          <value t="str">
            <val>4927378</val>
          </value>
        </values>
      </ddeItem>
      <ddeItem name="voln?MERV_Ö_XMEV_Ö_GD30C_Ö_CI" advise="1">
        <values>
          <value t="str">
            <val>41195026</val>
          </value>
        </values>
      </ddeItem>
      <ddeItem name="voln?MERV_Ö_XMEV_Ö_GD30D_Ö_24hs" advise="1">
        <values>
          <value t="str">
            <val>5700</val>
          </value>
        </values>
      </ddeItem>
      <ddeItem name="voln?MERV_Ö_XMEV_Ö_GD30D_Ö_48hs" advise="1">
        <values>
          <value t="str">
            <val>8897666</val>
          </value>
        </values>
      </ddeItem>
      <ddeItem name="voln?MERV_Ö_XMEV_Ö_GD30D_Ö_CI" advise="1">
        <values>
          <value t="str">
            <val>26720631</val>
          </value>
        </values>
      </ddeItem>
      <ddeItem name="voln?MERV_Ö_XMEV_Ö_GD35_Ö_24hs" advise="1">
        <values>
          <value t="str">
            <val>0</val>
          </value>
        </values>
      </ddeItem>
      <ddeItem name="voln?MERV_Ö_XMEV_Ö_GD35_Ö_48hs" advise="1">
        <values>
          <value t="str">
            <val>6879144</val>
          </value>
        </values>
      </ddeItem>
      <ddeItem name="voln?MERV_Ö_XMEV_Ö_GD35_Ö_CI" advise="1">
        <values>
          <value t="str">
            <val>50768</val>
          </value>
        </values>
      </ddeItem>
      <ddeItem name="voln?MERV_Ö_XMEV_Ö_GD35C_Ö_24hs" advise="1">
        <values>
          <value t="str">
            <val>0</val>
          </value>
        </values>
      </ddeItem>
      <ddeItem name="voln?MERV_Ö_XMEV_Ö_GD35C_Ö_48hs" advise="1">
        <values>
          <value t="str">
            <val>1595031</val>
          </value>
        </values>
      </ddeItem>
      <ddeItem name="voln?MERV_Ö_XMEV_Ö_GD35C_Ö_CI" advise="1">
        <values>
          <value t="str">
            <val>9274</val>
          </value>
        </values>
      </ddeItem>
      <ddeItem name="voln?MERV_Ö_XMEV_Ö_GD35D_Ö_24hs" advise="1">
        <values>
          <value t="str">
            <val>0</val>
          </value>
        </values>
      </ddeItem>
      <ddeItem name="voln?MERV_Ö_XMEV_Ö_GD35D_Ö_48hs" advise="1">
        <values>
          <value t="str">
            <val>4290765</val>
          </value>
        </values>
      </ddeItem>
      <ddeItem name="voln?MERV_Ö_XMEV_Ö_GD35D_Ö_CI" advise="1">
        <values>
          <value t="str">
            <val>320546</val>
          </value>
        </values>
      </ddeItem>
      <ddeItem name="voln?MERV_Ö_XMEV_Ö_GFGC132.AB_Ö_24hs" advise="1">
        <values>
          <value t="str">
            <val>48</val>
          </value>
        </values>
      </ddeItem>
      <ddeItem name="voln?MERV_Ö_XMEV_Ö_GFGC135.AB_Ö_24hs" advise="1"/>
      <ddeItem name="voln?MERV_Ö_XMEV_Ö_GFGC140.AB_Ö_24hs" advise="1"/>
      <ddeItem name="voln?MERV_Ö_XMEV_Ö_GFGC145.AB_Ö_24hs" advise="1"/>
      <ddeItem name="voln?MERV_Ö_XMEV_Ö_GFGC150.AB_Ö_24hs" advise="1">
        <values>
          <value t="str">
            <val>0</val>
          </value>
        </values>
      </ddeItem>
      <ddeItem name="voln?MERV_Ö_XMEV_Ö_GFGC155.AB_Ö_24hs" advise="1"/>
      <ddeItem name="voln?MERV_Ö_XMEV_Ö_GFGC160.AB_Ö_24hs" advise="1"/>
      <ddeItem name="voln?MERV_Ö_XMEV_Ö_GFGC165.AB_Ö_24hs" advise="1">
        <values>
          <value t="str">
            <val>5</val>
          </value>
        </values>
      </ddeItem>
      <ddeItem name="voln?MERV_Ö_XMEV_Ö_GFGC170.AB_Ö_24hs" advise="1"/>
      <ddeItem name="voln?MERV_Ö_XMEV_Ö_GFGC175.AB_Ö_24hs" advise="1"/>
      <ddeItem name="voln?MERV_Ö_XMEV_Ö_GFGC180.AB_Ö_24hs" advise="1">
        <values>
          <value t="str">
            <val>0</val>
          </value>
        </values>
      </ddeItem>
      <ddeItem name="voln?MERV_Ö_XMEV_Ö_GFGC185.AB_Ö_24hs" advise="1">
        <values>
          <value t="str">
            <val>5</val>
          </value>
        </values>
      </ddeItem>
      <ddeItem name="voln?MERV_Ö_XMEV_Ö_GFGC190.AB_Ö_24hs" advise="1">
        <values>
          <value t="str">
            <val>1335</val>
          </value>
        </values>
      </ddeItem>
      <ddeItem name="voln?MERV_Ö_XMEV_Ö_GFGC195.AB_Ö_24hs" advise="1">
        <values>
          <value t="str">
            <val>2881</val>
          </value>
        </values>
      </ddeItem>
      <ddeItem name="voln?MERV_Ö_XMEV_Ö_GFGC200.AB_Ö_24hs" advise="1">
        <values>
          <value t="str">
            <val>8726</val>
          </value>
        </values>
      </ddeItem>
      <ddeItem name="voln?MERV_Ö_XMEV_Ö_GFGC210.AB_Ö_24hs" advise="1">
        <values>
          <value t="str">
            <val>10076</val>
          </value>
        </values>
      </ddeItem>
      <ddeItem name="voln?MERV_Ö_XMEV_Ö_GFGC220.AB_Ö_24hs" advise="1">
        <values>
          <value t="str">
            <val>24610</val>
          </value>
        </values>
      </ddeItem>
      <ddeItem name="voln?MERV_Ö_XMEV_Ö_GFGC230.AB_Ö_24hs" advise="1">
        <values>
          <value t="str">
            <val>25292</val>
          </value>
        </values>
      </ddeItem>
      <ddeItem name="voln?MERV_Ö_XMEV_Ö_GFGC240.AB_Ö_24hs" advise="1">
        <values>
          <value t="str">
            <val>17817</val>
          </value>
        </values>
      </ddeItem>
      <ddeItem name="voln?MERV_Ö_XMEV_Ö_GFGC250.AB_Ö_24hs" advise="1">
        <values>
          <value t="str">
            <val>14445</val>
          </value>
        </values>
      </ddeItem>
      <ddeItem name="voln?MERV_Ö_XMEV_Ö_GFGC260.AB_Ö_24hs" advise="1">
        <values>
          <value t="str">
            <val>11568</val>
          </value>
        </values>
      </ddeItem>
      <ddeItem name="voln?MERV_Ö_XMEV_Ö_GFGC270.AB_Ö_24hs" advise="1">
        <values>
          <value t="str">
            <val>2488</val>
          </value>
        </values>
      </ddeItem>
      <ddeItem name="voln?MERV_Ö_XMEV_Ö_GFGC280.AB_Ö_24hs" advise="1">
        <values>
          <value t="str">
            <val>1569</val>
          </value>
        </values>
      </ddeItem>
      <ddeItem name="voln?MERV_Ö_XMEV_Ö_GFGC290.AB_Ö_24hs" advise="1">
        <values>
          <value t="str">
            <val>745</val>
          </value>
        </values>
      </ddeItem>
      <ddeItem name="voln?MERV_Ö_XMEV_Ö_GFGC300.AB_Ö_24hs" advise="1">
        <values>
          <value t="str">
            <val>1506</val>
          </value>
        </values>
      </ddeItem>
      <ddeItem name="voln?MERV_Ö_XMEV_Ö_GFGC310.AB_Ö_24hs" advise="1">
        <values>
          <value t="str">
            <val>322</val>
          </value>
        </values>
      </ddeItem>
      <ddeItem name="voln?MERV_Ö_XMEV_Ö_GFGC320.AB_Ö_24hs" advise="1">
        <values>
          <value t="str">
            <val>401</val>
          </value>
        </values>
      </ddeItem>
      <ddeItem name="voln?MERV_Ö_XMEV_Ö_GFGC330.AB_Ö_24hs" advise="1">
        <values>
          <value t="str">
            <val>1237</val>
          </value>
        </values>
      </ddeItem>
      <ddeItem name="voln?MERV_Ö_XMEV_Ö_GFGC340.AB_Ö_24hs" advise="1">
        <values>
          <value t="str">
            <val>12</val>
          </value>
        </values>
      </ddeItem>
      <ddeItem name="voln?MERV_Ö_XMEV_Ö_GFGC350.AB_Ö_24hs" advise="1">
        <values>
          <value t="str">
            <val>498</val>
          </value>
        </values>
      </ddeItem>
      <ddeItem name="voln?MERV_Ö_XMEV_Ö_GFGC360.AB_Ö_24hs" advise="1">
        <values>
          <value t="str">
            <val>2096</val>
          </value>
        </values>
      </ddeItem>
      <ddeItem name="voln?MERV_Ö_XMEV_Ö_GFGV132.AB_Ö_24hs" advise="1">
        <values>
          <value t="str">
            <val>2975</val>
          </value>
        </values>
      </ddeItem>
      <ddeItem name="voln?MERV_Ö_XMEV_Ö_GFGV135.AB_Ö_24hs" advise="1">
        <values>
          <value t="str">
            <val>300</val>
          </value>
        </values>
      </ddeItem>
      <ddeItem name="voln?MERV_Ö_XMEV_Ö_GFGV140.AB_Ö_24hs" advise="1"/>
      <ddeItem name="voln?MERV_Ö_XMEV_Ö_GFGV145.AB_Ö_24hs" advise="1">
        <values>
          <value t="str">
            <val>195</val>
          </value>
        </values>
      </ddeItem>
      <ddeItem name="voln?MERV_Ö_XMEV_Ö_GFGV150.AB_Ö_24hs" advise="1"/>
      <ddeItem name="voln?MERV_Ö_XMEV_Ö_GFGV155.AB_Ö_24hs" advise="1"/>
      <ddeItem name="voln?MERV_Ö_XMEV_Ö_GFGV160.AB_Ö_24hs" advise="1">
        <values>
          <value t="str">
            <val>2747</val>
          </value>
        </values>
      </ddeItem>
      <ddeItem name="voln?MERV_Ö_XMEV_Ö_GFGV165.AB_Ö_24hs" advise="1">
        <values>
          <value t="str">
            <val>66</val>
          </value>
        </values>
      </ddeItem>
      <ddeItem name="voln?MERV_Ö_XMEV_Ö_GFGV170.AB_Ö_24hs" advise="1">
        <values>
          <value t="str">
            <val>3731</val>
          </value>
        </values>
      </ddeItem>
      <ddeItem name="voln?MERV_Ö_XMEV_Ö_GFGV175.AB_Ö_24hs" advise="1">
        <values>
          <value t="str">
            <val>0</val>
          </value>
        </values>
      </ddeItem>
      <ddeItem name="voln?MERV_Ö_XMEV_Ö_GFGV180.AB_Ö_24hs" advise="1">
        <values>
          <value t="str">
            <val>3596</val>
          </value>
        </values>
      </ddeItem>
      <ddeItem name="voln?MERV_Ö_XMEV_Ö_GFGV185.AB_Ö_24hs" advise="1">
        <values>
          <value t="str">
            <val>1138</val>
          </value>
        </values>
      </ddeItem>
      <ddeItem name="voln?MERV_Ö_XMEV_Ö_GFGV190.AB_Ö_24hs" advise="1">
        <values>
          <value t="str">
            <val>8686</val>
          </value>
        </values>
      </ddeItem>
      <ddeItem name="voln?MERV_Ö_XMEV_Ö_GFGV195.AB_Ö_24hs" advise="1">
        <values>
          <value t="str">
            <val>1715</val>
          </value>
        </values>
      </ddeItem>
      <ddeItem name="voln?MERV_Ö_XMEV_Ö_GFGV200.AB_Ö_24hs" advise="1">
        <values>
          <value t="str">
            <val>6946</val>
          </value>
        </values>
      </ddeItem>
      <ddeItem name="voln?MERV_Ö_XMEV_Ö_GFGV210.AB_Ö_24hs" advise="1">
        <values>
          <value t="str">
            <val>2874</val>
          </value>
        </values>
      </ddeItem>
      <ddeItem name="voln?MERV_Ö_XMEV_Ö_GFGV220.AB_Ö_24hs" advise="1">
        <values>
          <value t="str">
            <val>857</val>
          </value>
        </values>
      </ddeItem>
      <ddeItem name="voln?MERV_Ö_XMEV_Ö_GFGV230.AB_Ö_24hs" advise="1">
        <values>
          <value t="str">
            <val>431</val>
          </value>
        </values>
      </ddeItem>
      <ddeItem name="voln?MERV_Ö_XMEV_Ö_GFGV240.AB_Ö_24hs" advise="1">
        <values>
          <value t="str">
            <val>0</val>
          </value>
        </values>
      </ddeItem>
      <ddeItem name="voln?MERV_Ö_XMEV_Ö_GFGV250.AB_Ö_24hs" advise="1">
        <values>
          <value t="str">
            <val>0</val>
          </value>
        </values>
      </ddeItem>
      <ddeItem name="voln?MERV_Ö_XMEV_Ö_GFGV260.AB_Ö_24hs" advise="1">
        <values>
          <value t="str">
            <val>0</val>
          </value>
        </values>
      </ddeItem>
      <ddeItem name="voln?MERV_Ö_XMEV_Ö_GFGV270.AB_Ö_24hs" advise="1">
        <values>
          <value t="str">
            <val>0</val>
          </value>
        </values>
      </ddeItem>
      <ddeItem name="voln?MERV_Ö_XMEV_Ö_GFGV280.AB_Ö_24hs" advise="1">
        <values>
          <value t="str">
            <val>0</val>
          </value>
        </values>
      </ddeItem>
      <ddeItem name="voln?MERV_Ö_XMEV_Ö_GFGV290.AB_Ö_24hs" advise="1">
        <values>
          <value t="str">
            <val>0</val>
          </value>
        </values>
      </ddeItem>
      <ddeItem name="voln?MERV_Ö_XMEV_Ö_GFGV300.AB_Ö_24hs" advise="1">
        <values>
          <value t="str">
            <val>0</val>
          </value>
        </values>
      </ddeItem>
      <ddeItem name="voln?MERV_Ö_XMEV_Ö_GFGV310.AB_Ö_24hs" advise="1">
        <values>
          <value t="str">
            <val>0</val>
          </value>
        </values>
      </ddeItem>
      <ddeItem name="voln?MERV_Ö_XMEV_Ö_GFGV320.AB_Ö_24hs" advise="1">
        <values>
          <value t="str">
            <val>0</val>
          </value>
        </values>
      </ddeItem>
      <ddeItem name="voln?MERV_Ö_XMEV_Ö_GFGV330.AB_Ö_24hs" advise="1">
        <values>
          <value t="str">
            <val>0</val>
          </value>
        </values>
      </ddeItem>
      <ddeItem name="voln?MERV_Ö_XMEV_Ö_GFGV340.AB_Ö_24hs" advise="1">
        <values>
          <value t="str">
            <val>0</val>
          </value>
        </values>
      </ddeItem>
      <ddeItem name="voln?MERV_Ö_XMEV_Ö_GFGV350.AB_Ö_24hs" advise="1">
        <values>
          <value t="str">
            <val>0</val>
          </value>
        </values>
      </ddeItem>
      <ddeItem name="voln?MERV_Ö_XMEV_Ö_GFGV360.AB_Ö_24hs" advise="1">
        <values>
          <value t="str">
            <val>0</val>
          </value>
        </values>
      </ddeItem>
      <ddeItem name="voln?MERV_Ö_XMEV_Ö_GGAL_Ö_24hs" advise="1">
        <values>
          <value t="str">
            <val>11216</val>
          </value>
        </values>
      </ddeItem>
      <ddeItem name="voln?MERV_Ö_XMEV_Ö_GGAL_Ö_48hs" advise="1">
        <values>
          <value t="str">
            <val>1797909</val>
          </value>
        </values>
      </ddeItem>
      <ddeItem name="voln?MERV_Ö_XMEV_Ö_GGAL_Ö_CI" advise="1">
        <values>
          <value t="str">
            <val>102664</val>
          </value>
        </values>
      </ddeItem>
      <ddeItem name="voln?MERV_Ö_XMEV_Ö_MIRG_Ö_48hs" advise="1">
        <values>
          <value t="str">
            <val>0.0</val>
          </value>
        </values>
      </ddeItem>
      <ddeItem name="voln?MERV_Ö_XMEV_Ö_PAMP_Ö_48hs" advise="1">
        <values>
          <value t="str">
            <val>0</val>
          </value>
        </values>
      </ddeItem>
      <ddeItem name="voln?MERV_Ö_XMEV_Ö_SUPV_Ö_48hs" advise="1">
        <values>
          <value t="str">
            <val>0</val>
          </value>
        </values>
      </ddeItem>
      <ddeItem name="voln?MERV_Ö_XMEV_Ö_TXAR_Ö_48hs" advise="1">
        <values>
          <value t="str">
            <val>0</val>
          </value>
        </values>
      </ddeItem>
      <ddeItem name="voln?MERV_Ö_XMEV_Ö_VALO_Ö_48hs" advise="1">
        <values>
          <value t="str">
            <val>0</val>
          </value>
        </values>
      </ddeItem>
      <ddeItem name="voln?MERV_Ö_XMEV_Ö_YPFD_Ö_48hs" advise="1">
        <values>
          <value t="str">
            <val>0</val>
          </value>
        </values>
      </ddeItem>
    </ddeItems>
  </ddeLink>
</externalLink>
</file>

<file path=xl/queryTables/queryTable1.xml><?xml version="1.0" encoding="utf-8"?>
<queryTable xmlns="http://schemas.openxmlformats.org/spreadsheetml/2006/main" name="precioshistoricos_GGAL" backgroundRefresh="0" refreshOnLoad="1" growShrinkType="overwriteClear" adjustColumnWidth="0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recioshistoricos_ADRGGAL" backgroundRefresh="0" refreshOnLoad="1" growShrinkType="overwriteClear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6" Type="http://schemas.openxmlformats.org/officeDocument/2006/relationships/ctrlProp" Target="../ctrlProps/ctrlProp14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56" Type="http://schemas.openxmlformats.org/officeDocument/2006/relationships/ctrlProp" Target="../ctrlProps/ctrlProp54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77" Type="http://schemas.openxmlformats.org/officeDocument/2006/relationships/ctrlProp" Target="../ctrlProps/ctrlProp75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59" Type="http://schemas.openxmlformats.org/officeDocument/2006/relationships/ctrlProp" Target="../ctrlProps/ctrlProp57.xml"/><Relationship Id="rId67" Type="http://schemas.openxmlformats.org/officeDocument/2006/relationships/ctrlProp" Target="../ctrlProps/ctrlProp6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62" Type="http://schemas.openxmlformats.org/officeDocument/2006/relationships/ctrlProp" Target="../ctrlProps/ctrlProp60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57" Type="http://schemas.openxmlformats.org/officeDocument/2006/relationships/ctrlProp" Target="../ctrlProps/ctrlProp5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90.xml"/><Relationship Id="rId4" Type="http://schemas.openxmlformats.org/officeDocument/2006/relationships/ctrlProp" Target="../ctrlProps/ctrlProp8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9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95.xml"/><Relationship Id="rId5" Type="http://schemas.openxmlformats.org/officeDocument/2006/relationships/ctrlProp" Target="../ctrlProps/ctrlProp94.xml"/><Relationship Id="rId10" Type="http://schemas.openxmlformats.org/officeDocument/2006/relationships/ctrlProp" Target="../ctrlProps/ctrlProp99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00B050"/>
  </sheetPr>
  <dimension ref="A1:BW125"/>
  <sheetViews>
    <sheetView workbookViewId="0">
      <selection activeCell="BM18" sqref="BM18"/>
    </sheetView>
    <sheetView workbookViewId="1"/>
    <sheetView workbookViewId="2"/>
  </sheetViews>
  <sheetFormatPr baseColWidth="10" defaultColWidth="11.44140625" defaultRowHeight="12.75" customHeight="1"/>
  <cols>
    <col min="1" max="1" width="0.88671875" style="688" customWidth="1"/>
    <col min="2" max="2" width="10.88671875" style="688" customWidth="1"/>
    <col min="3" max="3" width="6.5546875" style="688" customWidth="1"/>
    <col min="4" max="5" width="7.88671875" style="688" customWidth="1"/>
    <col min="6" max="6" width="6.5546875" style="688" customWidth="1"/>
    <col min="7" max="7" width="6.88671875" style="688" customWidth="1"/>
    <col min="8" max="8" width="8.109375" style="688" bestFit="1" customWidth="1"/>
    <col min="9" max="9" width="7.88671875" style="688" hidden="1" customWidth="1"/>
    <col min="10" max="11" width="6.44140625" style="688" hidden="1" customWidth="1"/>
    <col min="12" max="12" width="6.5546875" style="688" hidden="1" customWidth="1"/>
    <col min="13" max="13" width="10.33203125" style="688" customWidth="1"/>
    <col min="14" max="14" width="9.33203125" style="688" customWidth="1"/>
    <col min="15" max="15" width="6.33203125" style="688" customWidth="1"/>
    <col min="16" max="16" width="11.44140625" style="688" customWidth="1"/>
    <col min="17" max="17" width="7.6640625" style="688" customWidth="1"/>
    <col min="18" max="18" width="0.88671875" style="688" customWidth="1"/>
    <col min="19" max="19" width="10.88671875" style="688" customWidth="1"/>
    <col min="20" max="20" width="6.5546875" style="688" customWidth="1"/>
    <col min="21" max="22" width="7.88671875" style="688" customWidth="1"/>
    <col min="23" max="23" width="6.5546875" style="688" customWidth="1"/>
    <col min="24" max="24" width="6.88671875" style="688" customWidth="1"/>
    <col min="25" max="25" width="8.109375" style="688" bestFit="1" customWidth="1"/>
    <col min="26" max="26" width="7.88671875" style="688" hidden="1" customWidth="1"/>
    <col min="27" max="28" width="6.44140625" style="688" hidden="1" customWidth="1"/>
    <col min="29" max="29" width="6.5546875" style="688" hidden="1" customWidth="1"/>
    <col min="30" max="30" width="10.33203125" style="688" customWidth="1"/>
    <col min="31" max="31" width="9.33203125" style="688" customWidth="1"/>
    <col min="32" max="32" width="8.109375" style="688" customWidth="1"/>
    <col min="33" max="33" width="11.44140625" style="688" customWidth="1"/>
    <col min="34" max="34" width="7.6640625" style="688" customWidth="1"/>
    <col min="35" max="35" width="1.6640625" style="688" customWidth="1"/>
    <col min="36" max="36" width="6.6640625" style="688" customWidth="1"/>
    <col min="37" max="38" width="7.6640625" style="688" customWidth="1"/>
    <col min="39" max="39" width="6.6640625" style="688" customWidth="1"/>
    <col min="40" max="40" width="0.88671875" style="688" customWidth="1"/>
    <col min="41" max="41" width="6.6640625" style="688" customWidth="1"/>
    <col min="42" max="43" width="7.6640625" style="688" customWidth="1"/>
    <col min="44" max="44" width="6.6640625" style="688" customWidth="1"/>
    <col min="45" max="45" width="0.88671875" style="688" customWidth="1"/>
    <col min="46" max="46" width="6.6640625" style="688" customWidth="1"/>
    <col min="47" max="48" width="7.6640625" style="688" customWidth="1"/>
    <col min="49" max="49" width="6.6640625" style="688" customWidth="1"/>
    <col min="50" max="50" width="1.6640625" style="688" customWidth="1"/>
    <col min="51" max="51" width="6.6640625" style="688" customWidth="1"/>
    <col min="52" max="53" width="7.6640625" style="688" customWidth="1"/>
    <col min="54" max="54" width="6.6640625" style="688" customWidth="1"/>
    <col min="55" max="55" width="0.88671875" style="688" customWidth="1"/>
    <col min="56" max="56" width="6.6640625" style="688" customWidth="1"/>
    <col min="57" max="58" width="7.6640625" style="688" customWidth="1"/>
    <col min="59" max="59" width="6.6640625" style="688" customWidth="1"/>
    <col min="60" max="60" width="0.88671875" style="688" customWidth="1"/>
    <col min="61" max="61" width="6.6640625" style="688" customWidth="1"/>
    <col min="62" max="63" width="7.6640625" style="688" customWidth="1"/>
    <col min="64" max="64" width="6.6640625" style="688" customWidth="1"/>
    <col min="65" max="65" width="11.44140625" style="688"/>
    <col min="66" max="66" width="11.44140625" style="688" customWidth="1"/>
    <col min="67" max="67" width="4" style="688" customWidth="1"/>
    <col min="68" max="69" width="11.44140625" style="764" hidden="1" customWidth="1"/>
    <col min="70" max="71" width="11.44140625" style="688" hidden="1" customWidth="1"/>
    <col min="72" max="72" width="13.88671875" style="688" hidden="1" customWidth="1"/>
    <col min="73" max="75" width="11.44140625" style="688" hidden="1" customWidth="1"/>
    <col min="76" max="77" width="11.44140625" style="688" customWidth="1"/>
    <col min="78" max="16384" width="11.44140625" style="688"/>
  </cols>
  <sheetData>
    <row r="1" spans="1:75" s="676" customFormat="1" ht="12.75" customHeight="1">
      <c r="B1" s="677"/>
      <c r="C1" s="677">
        <v>2</v>
      </c>
      <c r="D1" s="677">
        <v>3</v>
      </c>
      <c r="E1" s="677">
        <v>4</v>
      </c>
      <c r="F1" s="677">
        <v>5</v>
      </c>
      <c r="G1" s="677">
        <v>6</v>
      </c>
      <c r="H1" s="677">
        <v>7</v>
      </c>
      <c r="I1" s="677">
        <v>8</v>
      </c>
      <c r="J1" s="677">
        <v>9</v>
      </c>
      <c r="K1" s="677">
        <v>10</v>
      </c>
      <c r="L1" s="677">
        <v>11</v>
      </c>
      <c r="M1" s="677">
        <v>12</v>
      </c>
      <c r="N1" s="677">
        <v>13</v>
      </c>
      <c r="O1" s="677">
        <v>14</v>
      </c>
      <c r="P1" s="677">
        <v>15</v>
      </c>
      <c r="Q1" s="677">
        <v>16</v>
      </c>
      <c r="R1" s="677"/>
      <c r="S1" s="677"/>
      <c r="T1" s="677">
        <v>2</v>
      </c>
      <c r="U1" s="677">
        <v>3</v>
      </c>
      <c r="V1" s="677">
        <v>4</v>
      </c>
      <c r="W1" s="677">
        <v>5</v>
      </c>
      <c r="X1" s="677">
        <v>6</v>
      </c>
      <c r="Y1" s="677">
        <v>7</v>
      </c>
      <c r="Z1" s="677">
        <v>8</v>
      </c>
      <c r="AA1" s="677">
        <v>9</v>
      </c>
      <c r="AB1" s="677">
        <v>10</v>
      </c>
      <c r="AC1" s="677">
        <v>11</v>
      </c>
      <c r="AD1" s="677">
        <v>12</v>
      </c>
      <c r="AE1" s="677">
        <v>13</v>
      </c>
      <c r="AF1" s="677">
        <v>14</v>
      </c>
      <c r="AG1" s="677">
        <v>15</v>
      </c>
      <c r="AH1" s="677">
        <v>16</v>
      </c>
      <c r="AI1" s="677"/>
      <c r="AJ1" s="677">
        <v>36</v>
      </c>
      <c r="AK1" s="677">
        <v>37</v>
      </c>
      <c r="AL1" s="677">
        <v>38</v>
      </c>
      <c r="AM1" s="677">
        <v>39</v>
      </c>
      <c r="AN1" s="677">
        <v>40</v>
      </c>
      <c r="AO1" s="677">
        <v>41</v>
      </c>
      <c r="AP1" s="677">
        <v>42</v>
      </c>
      <c r="AQ1" s="677">
        <v>43</v>
      </c>
      <c r="AR1" s="677">
        <v>44</v>
      </c>
      <c r="AS1" s="677">
        <v>45</v>
      </c>
      <c r="AT1" s="677">
        <v>46</v>
      </c>
      <c r="AU1" s="677">
        <v>47</v>
      </c>
      <c r="AV1" s="677">
        <v>48</v>
      </c>
      <c r="AW1" s="677">
        <v>49</v>
      </c>
      <c r="AX1" s="677">
        <v>50</v>
      </c>
      <c r="AY1" s="677">
        <v>51</v>
      </c>
      <c r="AZ1" s="677">
        <v>52</v>
      </c>
      <c r="BA1" s="677">
        <v>53</v>
      </c>
      <c r="BB1" s="677">
        <v>54</v>
      </c>
      <c r="BC1" s="677">
        <v>55</v>
      </c>
      <c r="BD1" s="677">
        <v>56</v>
      </c>
      <c r="BE1" s="677">
        <v>57</v>
      </c>
      <c r="BF1" s="677">
        <v>58</v>
      </c>
      <c r="BG1" s="677">
        <v>59</v>
      </c>
      <c r="BH1" s="677">
        <v>60</v>
      </c>
      <c r="BI1" s="677">
        <v>61</v>
      </c>
      <c r="BJ1" s="677">
        <v>62</v>
      </c>
      <c r="BK1" s="677">
        <v>63</v>
      </c>
      <c r="BL1" s="677">
        <v>64</v>
      </c>
      <c r="BM1" s="677">
        <v>65</v>
      </c>
      <c r="BN1" s="677">
        <v>66</v>
      </c>
      <c r="BO1" s="677">
        <v>67</v>
      </c>
      <c r="BP1" s="763">
        <v>68</v>
      </c>
      <c r="BQ1" s="763">
        <v>69</v>
      </c>
      <c r="BR1" s="677">
        <v>70</v>
      </c>
      <c r="BS1" s="677">
        <v>71</v>
      </c>
      <c r="BT1" s="677">
        <v>72</v>
      </c>
      <c r="BU1" s="677">
        <v>73</v>
      </c>
      <c r="BV1" s="677">
        <v>74</v>
      </c>
      <c r="BW1" s="677">
        <v>75</v>
      </c>
    </row>
    <row r="2" spans="1:75" s="676" customFormat="1" ht="5.0999999999999996" customHeight="1" thickBot="1">
      <c r="B2" s="677"/>
      <c r="C2" s="677"/>
      <c r="D2" s="677"/>
      <c r="E2" s="677"/>
      <c r="F2" s="677"/>
      <c r="G2" s="677"/>
      <c r="H2" s="677"/>
      <c r="I2" s="677"/>
      <c r="J2" s="677"/>
      <c r="K2" s="677"/>
      <c r="L2" s="677"/>
      <c r="M2" s="677"/>
      <c r="N2" s="677"/>
      <c r="O2" s="677"/>
      <c r="P2" s="677"/>
      <c r="Q2" s="677"/>
      <c r="R2" s="677"/>
      <c r="S2" s="677"/>
      <c r="T2" s="677"/>
      <c r="U2" s="677"/>
      <c r="V2" s="677"/>
      <c r="W2" s="677"/>
      <c r="X2" s="677"/>
      <c r="Y2" s="677"/>
      <c r="Z2" s="677"/>
      <c r="AA2" s="677"/>
      <c r="AB2" s="677"/>
      <c r="AC2" s="677"/>
      <c r="AD2" s="677"/>
      <c r="AE2" s="677"/>
      <c r="AF2" s="677"/>
      <c r="AG2" s="677"/>
      <c r="AH2" s="677"/>
      <c r="AI2" s="677"/>
      <c r="AX2" s="677"/>
      <c r="BP2" s="764"/>
      <c r="BQ2" s="764"/>
    </row>
    <row r="3" spans="1:75" s="676" customFormat="1" ht="12.75" customHeight="1">
      <c r="B3" s="829">
        <f ca="1">+NOW()</f>
        <v>44615.887814351852</v>
      </c>
      <c r="C3" s="830"/>
      <c r="D3" s="833">
        <f ca="1">+NOW() - TIMEVALUE("1:00:00")</f>
        <v>44615.846147685188</v>
      </c>
      <c r="E3" s="834"/>
      <c r="G3" s="839">
        <f>+G14</f>
        <v>209.65</v>
      </c>
      <c r="H3" s="841">
        <f>+H14</f>
        <v>2.9500000000000002E-2</v>
      </c>
      <c r="M3" s="843">
        <f>+G11</f>
        <v>209.65</v>
      </c>
      <c r="N3" s="841">
        <f>+H11</f>
        <v>2.9500000000000002E-2</v>
      </c>
      <c r="O3" s="678">
        <f>+G62/G58</f>
        <v>1.1457303000329706</v>
      </c>
      <c r="P3" s="837"/>
      <c r="Q3" s="679"/>
      <c r="R3" s="677"/>
      <c r="S3" s="829">
        <f ca="1">+NOW()</f>
        <v>44615.887814351852</v>
      </c>
      <c r="T3" s="830"/>
      <c r="U3" s="833">
        <f ca="1">+NOW() - TIMEVALUE("1:00:00")</f>
        <v>44615.846147685188</v>
      </c>
      <c r="V3" s="834"/>
      <c r="X3" s="847">
        <f>+IF(OR(E58="", D56=""), "", D56/E58)</f>
        <v>0.99324101549620836</v>
      </c>
      <c r="Y3" s="849">
        <f>+IF(OR(E56="", D58=""), "", E56/D58)</f>
        <v>0.99521767810026385</v>
      </c>
      <c r="AD3" s="843">
        <f>+IF(OR(G56="", X56=""), "", G56/X56)</f>
        <v>196.51011089367253</v>
      </c>
      <c r="AE3" s="839" t="e">
        <f>+IF(OR(X56="", X60=""), "", G56/X89)</f>
        <v>#DIV/0!</v>
      </c>
      <c r="AF3" s="843">
        <f>+IF(OR(G14="", G11=""), "", G14*10/G11)</f>
        <v>10</v>
      </c>
      <c r="AG3" s="837"/>
      <c r="AH3" s="679"/>
      <c r="AI3" s="677"/>
      <c r="AN3" s="680"/>
      <c r="BP3" s="765"/>
      <c r="BQ3" s="765"/>
      <c r="BR3" s="762" t="s">
        <v>619</v>
      </c>
    </row>
    <row r="4" spans="1:75" s="676" customFormat="1" ht="12.75" customHeight="1">
      <c r="B4" s="831"/>
      <c r="C4" s="832"/>
      <c r="D4" s="835"/>
      <c r="E4" s="836"/>
      <c r="G4" s="840"/>
      <c r="H4" s="842"/>
      <c r="M4" s="844"/>
      <c r="N4" s="842"/>
      <c r="O4" s="681">
        <f>+G60/G56</f>
        <v>1.1402489626556016</v>
      </c>
      <c r="P4" s="838"/>
      <c r="Q4" s="682"/>
      <c r="R4" s="677"/>
      <c r="S4" s="831"/>
      <c r="T4" s="832"/>
      <c r="U4" s="835"/>
      <c r="V4" s="836"/>
      <c r="X4" s="848"/>
      <c r="Y4" s="850"/>
      <c r="AD4" s="844"/>
      <c r="AE4" s="840"/>
      <c r="AF4" s="844"/>
      <c r="AG4" s="838"/>
      <c r="AH4" s="682"/>
      <c r="AI4" s="677"/>
      <c r="AN4" s="680"/>
      <c r="BO4" s="760"/>
      <c r="BP4" s="761" t="s">
        <v>618</v>
      </c>
      <c r="BQ4" s="761"/>
      <c r="BR4" s="759"/>
    </row>
    <row r="5" spans="1:75" s="676" customFormat="1" ht="12.75" customHeight="1" thickBot="1">
      <c r="B5" s="827" t="s">
        <v>599</v>
      </c>
      <c r="C5" s="828"/>
      <c r="D5" s="827" t="s">
        <v>600</v>
      </c>
      <c r="E5" s="828"/>
      <c r="G5" s="827" t="s">
        <v>3</v>
      </c>
      <c r="H5" s="828"/>
      <c r="M5" s="827" t="s">
        <v>603</v>
      </c>
      <c r="N5" s="828"/>
      <c r="O5" s="683" t="s">
        <v>273</v>
      </c>
      <c r="P5" s="684" t="s">
        <v>601</v>
      </c>
      <c r="Q5" s="683" t="s">
        <v>602</v>
      </c>
      <c r="R5" s="677"/>
      <c r="S5" s="827" t="s">
        <v>599</v>
      </c>
      <c r="T5" s="828"/>
      <c r="U5" s="827" t="s">
        <v>600</v>
      </c>
      <c r="V5" s="828"/>
      <c r="X5" s="686" t="s">
        <v>124</v>
      </c>
      <c r="Y5" s="687" t="s">
        <v>123</v>
      </c>
      <c r="AD5" s="773" t="s">
        <v>620</v>
      </c>
      <c r="AE5" s="773" t="s">
        <v>621</v>
      </c>
      <c r="AF5" s="773" t="s">
        <v>622</v>
      </c>
      <c r="AG5" s="684"/>
      <c r="AH5" s="683"/>
      <c r="AI5" s="677"/>
      <c r="AN5" s="685"/>
      <c r="BP5" s="761" t="s">
        <v>617</v>
      </c>
      <c r="BQ5" s="761"/>
      <c r="BR5" s="759">
        <v>1</v>
      </c>
      <c r="BS5" s="845" t="s">
        <v>614</v>
      </c>
      <c r="BT5" s="845" t="s">
        <v>615</v>
      </c>
    </row>
    <row r="6" spans="1:75" s="676" customFormat="1" ht="3" customHeight="1">
      <c r="B6" s="677"/>
      <c r="C6" s="677"/>
      <c r="D6" s="677"/>
      <c r="E6" s="677"/>
      <c r="F6" s="677"/>
      <c r="G6" s="677"/>
      <c r="H6" s="677"/>
      <c r="I6" s="677"/>
      <c r="J6" s="677"/>
      <c r="K6" s="677"/>
      <c r="L6" s="677"/>
      <c r="M6" s="677"/>
      <c r="N6" s="677"/>
      <c r="O6" s="677"/>
      <c r="P6" s="677"/>
      <c r="Q6" s="677"/>
      <c r="R6" s="688"/>
      <c r="S6" s="677"/>
      <c r="T6" s="677"/>
      <c r="U6" s="677"/>
      <c r="V6" s="677"/>
      <c r="W6" s="677"/>
      <c r="X6" s="677"/>
      <c r="Y6" s="677"/>
      <c r="Z6" s="677"/>
      <c r="AA6" s="677"/>
      <c r="AB6" s="677"/>
      <c r="AC6" s="677"/>
      <c r="AD6" s="677"/>
      <c r="AE6" s="677"/>
      <c r="AF6" s="677"/>
      <c r="AG6" s="677"/>
      <c r="AH6" s="677"/>
      <c r="AI6" s="688"/>
      <c r="AX6" s="688"/>
      <c r="BP6" s="764"/>
      <c r="BQ6" s="764"/>
      <c r="BS6" s="845"/>
      <c r="BT6" s="845"/>
    </row>
    <row r="7" spans="1:75" ht="12.75" customHeight="1" thickBot="1">
      <c r="A7" s="676"/>
      <c r="B7" s="689" t="s">
        <v>70</v>
      </c>
      <c r="C7" s="689" t="s">
        <v>270</v>
      </c>
      <c r="D7" s="689" t="s">
        <v>269</v>
      </c>
      <c r="E7" s="689" t="s">
        <v>268</v>
      </c>
      <c r="F7" s="689" t="s">
        <v>267</v>
      </c>
      <c r="G7" s="689" t="s">
        <v>60</v>
      </c>
      <c r="H7" s="689" t="s">
        <v>604</v>
      </c>
      <c r="I7" s="689" t="s">
        <v>594</v>
      </c>
      <c r="J7" s="689" t="s">
        <v>605</v>
      </c>
      <c r="K7" s="689" t="s">
        <v>606</v>
      </c>
      <c r="L7" s="689" t="s">
        <v>596</v>
      </c>
      <c r="M7" s="689" t="s">
        <v>607</v>
      </c>
      <c r="N7" s="689" t="s">
        <v>329</v>
      </c>
      <c r="O7" s="689" t="s">
        <v>608</v>
      </c>
      <c r="P7" s="689" t="s">
        <v>609</v>
      </c>
      <c r="Q7" s="689" t="s">
        <v>610</v>
      </c>
      <c r="S7" s="689" t="s">
        <v>70</v>
      </c>
      <c r="T7" s="689" t="s">
        <v>270</v>
      </c>
      <c r="U7" s="689" t="s">
        <v>269</v>
      </c>
      <c r="V7" s="689" t="s">
        <v>268</v>
      </c>
      <c r="W7" s="689" t="s">
        <v>267</v>
      </c>
      <c r="X7" s="689" t="s">
        <v>60</v>
      </c>
      <c r="Y7" s="689" t="s">
        <v>604</v>
      </c>
      <c r="Z7" s="689" t="s">
        <v>594</v>
      </c>
      <c r="AA7" s="689" t="s">
        <v>605</v>
      </c>
      <c r="AB7" s="689" t="s">
        <v>606</v>
      </c>
      <c r="AC7" s="689" t="s">
        <v>596</v>
      </c>
      <c r="AD7" s="689" t="s">
        <v>607</v>
      </c>
      <c r="AE7" s="689" t="s">
        <v>329</v>
      </c>
      <c r="AF7" s="689" t="s">
        <v>608</v>
      </c>
      <c r="AG7" s="689" t="s">
        <v>609</v>
      </c>
      <c r="AH7" s="689" t="s">
        <v>610</v>
      </c>
      <c r="BS7" s="846"/>
      <c r="BT7" s="846"/>
    </row>
    <row r="8" spans="1:75" ht="12.75" customHeight="1" thickBot="1">
      <c r="A8" s="676"/>
      <c r="B8" s="690" t="s">
        <v>626</v>
      </c>
      <c r="C8" s="691">
        <f>IFERROR(VALUE(SUBSTITUTE(([1]!bsi?MERV_Ö_XMEV_Ö_AL30_Ö_48hs), ".", ",")), 0)</f>
        <v>16115</v>
      </c>
      <c r="D8" s="692">
        <f>IFERROR(VALUE(SUBSTITUTE(([1]!bpr?MERV_Ö_XMEV_Ö_AL30_Ö_48hs), ".", ",")), 0)</f>
        <v>6025</v>
      </c>
      <c r="E8" s="692">
        <f>IFERROR(VALUE(SUBSTITUTE(([1]!opr?MERV_Ö_XMEV_Ö_AL30_Ö_48hs), ".", ",")), 0)</f>
        <v>6035</v>
      </c>
      <c r="F8" s="691">
        <f>IFERROR(VALUE(SUBSTITUTE(([1]!osi?MERV_Ö_XMEV_Ö_AL30_Ö_48hs), ".", ",")), 0)</f>
        <v>20000</v>
      </c>
      <c r="G8" s="165">
        <f>IFERROR(VALUE(SUBSTITUTE(([1]!lst?MERV_Ö_XMEV_Ö_AL30_Ö_48hs), ".", ",")), 0)</f>
        <v>6025</v>
      </c>
      <c r="H8" s="693">
        <f>IFERROR(VALUE(SUBSTITUTE(([1]!chgp?MERV_Ö_XMEV_Ö_AL30_Ö_48hs), ".", ",") / 100), 0)</f>
        <v>-2.9600000000000001E-2</v>
      </c>
      <c r="I8" s="694"/>
      <c r="J8" s="694"/>
      <c r="K8" s="694"/>
      <c r="L8" s="694"/>
      <c r="M8" s="695">
        <f>IFERROR(VALUE(SUBSTITUTE(([1]!vole?MERV_Ö_XMEV_Ö_AL30_Ö_48hs), ".", ",")), 0)</f>
        <v>813368759.89999998</v>
      </c>
      <c r="N8" s="695">
        <f>IFERROR(VALUE(SUBSTITUTE(([1]!voln?MERV_Ö_XMEV_Ö_AL30_Ö_48hs), ".", ",")), 0)</f>
        <v>13278900</v>
      </c>
      <c r="O8" s="694">
        <f>IFERROR(VALUE(SUBSTITUTE(([1]!vol?MERV_Ö_XMEV_Ö_AL30_Ö_48hs), ".", ",")), 0)</f>
        <v>0</v>
      </c>
      <c r="P8" s="696">
        <f>IFERROR(VALUE(SUBSTITUTE(([1]!ltu?MERV_Ö_XMEV_Ö_AL30_Ö_48hs), ".", ",")), 0)</f>
        <v>0.70866898148148139</v>
      </c>
      <c r="Q8" s="697">
        <f>IFERROR(IF(LEN(B8) &lt; 10, M8/N8, M8/N8/100), 0)</f>
        <v>61.252721226908854</v>
      </c>
      <c r="S8" s="690" t="s">
        <v>627</v>
      </c>
      <c r="T8" s="691">
        <f>IFERROR(VALUE(SUBSTITUTE(([1]!bsi?MERV_Ö_XMEV_Ö_AL30_Ö_CI), ".", ",")), 0)</f>
        <v>200</v>
      </c>
      <c r="U8" s="692">
        <f>IFERROR(VALUE(SUBSTITUTE(([1]!bpr?MERV_Ö_XMEV_Ö_AL30_Ö_CI), ".", ",")), 0)</f>
        <v>6064</v>
      </c>
      <c r="V8" s="692">
        <f>IFERROR(VALUE(SUBSTITUTE(([1]!opr?MERV_Ö_XMEV_Ö_AL30_Ö_CI), ".", ",")), 0)</f>
        <v>6066</v>
      </c>
      <c r="W8" s="691">
        <f>IFERROR(VALUE(SUBSTITUTE(([1]!osi?MERV_Ö_XMEV_Ö_AL30_Ö_CI), ".", ",")), 0)</f>
        <v>15534</v>
      </c>
      <c r="X8" s="165">
        <f>IFERROR(VALUE(SUBSTITUTE(([1]!lst?MERV_Ö_XMEV_Ö_AL30_Ö_CI), ".", ",")), 0)</f>
        <v>6066</v>
      </c>
      <c r="Y8" s="693">
        <f>IFERROR(VALUE(SUBSTITUTE(([1]!chgp?MERV_Ö_XMEV_Ö_AL30_Ö_CI), ".", ",") / 100), 0)</f>
        <v>-2.07E-2</v>
      </c>
      <c r="Z8" s="694"/>
      <c r="AA8" s="694"/>
      <c r="AB8" s="694"/>
      <c r="AC8" s="694"/>
      <c r="AD8" s="695">
        <f>IFERROR(VALUE(SUBSTITUTE(([1]!vole?MERV_Ö_XMEV_Ö_AL30_Ö_CI), ".", ",")), 0)</f>
        <v>934692535.04999995</v>
      </c>
      <c r="AE8" s="695">
        <f>IFERROR(VALUE(SUBSTITUTE(([1]!voln?MERV_Ö_XMEV_Ö_AL30_Ö_CI), ".", ",")), 0)</f>
        <v>15248444</v>
      </c>
      <c r="AF8" s="694">
        <f>IFERROR(VALUE(SUBSTITUTE(([1]!vol?MERV_Ö_XMEV_Ö_AL30_Ö_CI), ".", ",")), 0)</f>
        <v>0</v>
      </c>
      <c r="AG8" s="696">
        <f>IFERROR(VALUE(SUBSTITUTE(([1]!ltu?MERV_Ö_XMEV_Ö_AL30_Ö_CI), ".", ",")), 0)</f>
        <v>0.66692129629629626</v>
      </c>
      <c r="AH8" s="697">
        <f>IFERROR(IF(LEN(B8) &lt; 10, M8/N8, M8/N8/100), 0)</f>
        <v>61.252721226908854</v>
      </c>
      <c r="AJ8" s="698"/>
      <c r="AK8" s="699"/>
      <c r="AL8" s="700"/>
      <c r="AM8" s="701"/>
      <c r="AO8" s="698"/>
      <c r="AP8" s="699"/>
      <c r="AQ8" s="700"/>
      <c r="AR8" s="701"/>
      <c r="AT8" s="698"/>
      <c r="AU8" s="699"/>
      <c r="AV8" s="700"/>
      <c r="AW8" s="701"/>
      <c r="AY8" s="698"/>
      <c r="AZ8" s="699"/>
      <c r="BA8" s="700"/>
      <c r="BB8" s="701"/>
      <c r="BD8" s="698"/>
      <c r="BE8" s="699"/>
      <c r="BF8" s="700"/>
      <c r="BG8" s="701"/>
      <c r="BI8" s="698"/>
      <c r="BJ8" s="699"/>
      <c r="BK8" s="700"/>
      <c r="BL8" s="701"/>
      <c r="BP8" s="766"/>
      <c r="BQ8" s="766"/>
      <c r="BS8" s="728" t="s">
        <v>611</v>
      </c>
      <c r="BT8" s="759">
        <v>6</v>
      </c>
    </row>
    <row r="9" spans="1:75" ht="12.75" customHeight="1">
      <c r="A9" s="676"/>
      <c r="B9" s="690" t="s">
        <v>628</v>
      </c>
      <c r="C9" s="691">
        <f>IFERROR(VALUE(SUBSTITUTE(([1]!bsi?MERV_Ö_XMEV_Ö_AL30D_Ö_48hs), ".", ",")), 0)</f>
        <v>2125</v>
      </c>
      <c r="D9" s="692">
        <f>IFERROR(VALUE(SUBSTITUTE(([1]!bpr?MERV_Ö_XMEV_Ö_AL30D_Ö_48hs), ".", ",")), 0)</f>
        <v>30.65</v>
      </c>
      <c r="E9" s="692">
        <f>IFERROR(VALUE(SUBSTITUTE(([1]!opr?MERV_Ö_XMEV_Ö_AL30D_Ö_48hs), ".", ",")), 0)</f>
        <v>30.7</v>
      </c>
      <c r="F9" s="691">
        <f>IFERROR(VALUE(SUBSTITUTE(([1]!osi?MERV_Ö_XMEV_Ö_AL30D_Ö_48hs), ".", ",")), 0)</f>
        <v>600</v>
      </c>
      <c r="G9" s="165">
        <f>IFERROR(VALUE(SUBSTITUTE(([1]!lst?MERV_Ö_XMEV_Ö_AL30D_Ö_48hs), ".", ",")), 0)</f>
        <v>30.66</v>
      </c>
      <c r="H9" s="693">
        <f>IFERROR(VALUE(SUBSTITUTE(([1]!chgp?MERV_Ö_XMEV_Ö_AL30D_Ö_48hs), ".", ",") / 100), 0)</f>
        <v>-7.4000000000000003E-3</v>
      </c>
      <c r="I9" s="694"/>
      <c r="J9" s="694"/>
      <c r="K9" s="694"/>
      <c r="L9" s="694"/>
      <c r="M9" s="695">
        <f>IFERROR(VALUE(SUBSTITUTE(([1]!vole?MERV_Ö_XMEV_Ö_AL30D_Ö_48hs), ".", ",")), 0)</f>
        <v>673256.5</v>
      </c>
      <c r="N9" s="695">
        <f>IFERROR(VALUE(SUBSTITUTE(([1]!voln?MERV_Ö_XMEV_Ö_AL30D_Ö_48hs), ".", ",")), 0)</f>
        <v>2193872</v>
      </c>
      <c r="O9" s="694">
        <f>IFERROR(VALUE(SUBSTITUTE(([1]!vol?MERV_Ö_XMEV_Ö_AL30D_Ö_48hs), ".", ",")), 0)</f>
        <v>0</v>
      </c>
      <c r="P9" s="696">
        <f>IFERROR(VALUE(SUBSTITUTE(([1]!ltu?MERV_Ö_XMEV_Ö_AL30D_Ö_48hs), ".", ",")), 0)</f>
        <v>0.70836805555555549</v>
      </c>
      <c r="Q9" s="697">
        <f>IFERROR(IF(LEN(B9) &lt; 10, M9/N9, M9/N9/100), 0)</f>
        <v>0.30688048345573488</v>
      </c>
      <c r="S9" s="690" t="s">
        <v>629</v>
      </c>
      <c r="T9" s="691">
        <f>IFERROR(VALUE(SUBSTITUTE(([1]!bsi?MERV_Ö_XMEV_Ö_AL30D_Ö_CI), ".", ",")), 0)</f>
        <v>300</v>
      </c>
      <c r="U9" s="692">
        <f>IFERROR(VALUE(SUBSTITUTE(([1]!bpr?MERV_Ö_XMEV_Ö_AL30D_Ö_CI), ".", ",")), 0)</f>
        <v>30.63</v>
      </c>
      <c r="V9" s="692">
        <f>IFERROR(VALUE(SUBSTITUTE(([1]!opr?MERV_Ö_XMEV_Ö_AL30D_Ö_CI), ".", ",")), 0)</f>
        <v>30.7</v>
      </c>
      <c r="W9" s="691">
        <f>IFERROR(VALUE(SUBSTITUTE(([1]!osi?MERV_Ö_XMEV_Ö_AL30D_Ö_CI), ".", ",")), 0)</f>
        <v>2697</v>
      </c>
      <c r="X9" s="165">
        <f>IFERROR(VALUE(SUBSTITUTE(([1]!lst?MERV_Ö_XMEV_Ö_AL30D_Ö_CI), ".", ",")), 0)</f>
        <v>30.7</v>
      </c>
      <c r="Y9" s="693">
        <f>IFERROR(VALUE(SUBSTITUTE(([1]!chgp?MERV_Ö_XMEV_Ö_AL30D_Ö_CI), ".", ",") / 100), 0)</f>
        <v>-9.7000000000000003E-3</v>
      </c>
      <c r="Z9" s="694"/>
      <c r="AA9" s="694"/>
      <c r="AB9" s="694"/>
      <c r="AC9" s="694"/>
      <c r="AD9" s="695">
        <f>IFERROR(VALUE(SUBSTITUTE(([1]!vole?MERV_Ö_XMEV_Ö_AL30D_Ö_CI), ".", ",")), 0)</f>
        <v>3209038.08</v>
      </c>
      <c r="AE9" s="695">
        <f>IFERROR(VALUE(SUBSTITUTE(([1]!voln?MERV_Ö_XMEV_Ö_AL30D_Ö_CI), ".", ",")), 0)</f>
        <v>10457031</v>
      </c>
      <c r="AF9" s="694">
        <f>IFERROR(VALUE(SUBSTITUTE(([1]!vol?MERV_Ö_XMEV_Ö_AL30D_Ö_CI), ".", ",")), 0)</f>
        <v>0</v>
      </c>
      <c r="AG9" s="696">
        <f>IFERROR(VALUE(SUBSTITUTE(([1]!ltu?MERV_Ö_XMEV_Ö_AL30D_Ö_CI), ".", ",")), 0)</f>
        <v>0.66686342592592596</v>
      </c>
      <c r="AH9" s="697">
        <f>IFERROR(IF(LEN(B9) &lt; 10, M9/N9, M9/N9/100), 0)</f>
        <v>0.30688048345573488</v>
      </c>
      <c r="AJ9" s="702"/>
      <c r="AK9" s="703"/>
      <c r="AL9" s="703"/>
      <c r="AM9" s="702"/>
      <c r="AO9" s="702"/>
      <c r="AP9" s="703"/>
      <c r="AQ9" s="703"/>
      <c r="AR9" s="702"/>
      <c r="AT9" s="702"/>
      <c r="AU9" s="703"/>
      <c r="AV9" s="703"/>
      <c r="AW9" s="702"/>
      <c r="AY9" s="702"/>
      <c r="AZ9" s="703"/>
      <c r="BA9" s="703"/>
      <c r="BB9" s="702"/>
      <c r="BD9" s="702"/>
      <c r="BE9" s="703"/>
      <c r="BF9" s="703"/>
      <c r="BG9" s="702"/>
      <c r="BI9" s="702"/>
      <c r="BJ9" s="703"/>
      <c r="BK9" s="703"/>
      <c r="BL9" s="702"/>
      <c r="BP9" s="766"/>
      <c r="BQ9" s="766"/>
      <c r="BS9" s="728" t="s">
        <v>212</v>
      </c>
    </row>
    <row r="10" spans="1:75" ht="12.75" customHeight="1">
      <c r="A10" s="676"/>
      <c r="B10" s="690"/>
      <c r="C10" s="691"/>
      <c r="D10" s="692"/>
      <c r="E10" s="692"/>
      <c r="F10" s="691"/>
      <c r="G10" s="165"/>
      <c r="H10" s="693"/>
      <c r="I10" s="694"/>
      <c r="J10" s="694"/>
      <c r="K10" s="694"/>
      <c r="L10" s="694"/>
      <c r="M10" s="695"/>
      <c r="N10" s="695"/>
      <c r="O10" s="694"/>
      <c r="P10" s="696"/>
      <c r="Q10" s="697"/>
      <c r="S10" s="690"/>
      <c r="T10" s="691"/>
      <c r="U10" s="692"/>
      <c r="V10" s="692"/>
      <c r="W10" s="691"/>
      <c r="X10" s="165"/>
      <c r="Y10" s="693"/>
      <c r="Z10" s="694"/>
      <c r="AA10" s="694"/>
      <c r="AB10" s="694"/>
      <c r="AC10" s="694"/>
      <c r="AD10" s="695"/>
      <c r="AE10" s="695"/>
      <c r="AF10" s="694"/>
      <c r="AG10" s="696"/>
      <c r="AH10" s="697"/>
      <c r="AJ10" s="702"/>
      <c r="AK10" s="703"/>
      <c r="AL10" s="703"/>
      <c r="AM10" s="702"/>
      <c r="AO10" s="702"/>
      <c r="AP10" s="703"/>
      <c r="AQ10" s="703"/>
      <c r="AR10" s="702"/>
      <c r="AT10" s="702"/>
      <c r="AU10" s="703"/>
      <c r="AV10" s="703"/>
      <c r="AW10" s="702"/>
      <c r="AY10" s="702"/>
      <c r="AZ10" s="703"/>
      <c r="BA10" s="703"/>
      <c r="BB10" s="702"/>
      <c r="BD10" s="702"/>
      <c r="BE10" s="703"/>
      <c r="BF10" s="703"/>
      <c r="BG10" s="702"/>
      <c r="BI10" s="702"/>
      <c r="BJ10" s="703"/>
      <c r="BK10" s="703"/>
      <c r="BL10" s="702"/>
      <c r="BP10" s="766"/>
      <c r="BQ10" s="766"/>
      <c r="BS10" s="728" t="s">
        <v>211</v>
      </c>
    </row>
    <row r="11" spans="1:75" ht="12.75" customHeight="1">
      <c r="A11" s="676"/>
      <c r="B11" s="690" t="s">
        <v>3</v>
      </c>
      <c r="C11" s="691">
        <f>IFERROR(VALUE(SUBSTITUTE(([1]!bsi?MERV_Ö_XMEV_Ö_GGAL_Ö_48hs), ".", ",")), 0)</f>
        <v>1455</v>
      </c>
      <c r="D11" s="692">
        <f>IFERROR(VALUE(SUBSTITUTE(([1]!bpr?MERV_Ö_XMEV_Ö_GGAL_Ö_48hs), ".", ",")), 0)</f>
        <v>209.1</v>
      </c>
      <c r="E11" s="692">
        <f>IFERROR(VALUE(SUBSTITUTE(([1]!opr?MERV_Ö_XMEV_Ö_GGAL_Ö_48hs), ".", ",")), 0)</f>
        <v>209.7</v>
      </c>
      <c r="F11" s="691">
        <f>IFERROR(VALUE(SUBSTITUTE(([1]!osi?MERV_Ö_XMEV_Ö_GGAL_Ö_48hs), ".", ",")), 0)</f>
        <v>5000</v>
      </c>
      <c r="G11" s="165">
        <f>IFERROR(VALUE(SUBSTITUTE(([1]!lst?MERV_Ö_XMEV_Ö_GGAL_Ö_48hs), ".", ",")), 0)</f>
        <v>209.65</v>
      </c>
      <c r="H11" s="693">
        <f>IFERROR(VALUE(SUBSTITUTE(([1]!chgp?MERV_Ö_XMEV_Ö_GGAL_Ö_48hs), ".", ",") / 100), 0)</f>
        <v>2.9500000000000002E-2</v>
      </c>
      <c r="I11" s="694"/>
      <c r="J11" s="694"/>
      <c r="K11" s="694"/>
      <c r="L11" s="694"/>
      <c r="M11" s="695">
        <f>IFERROR(VALUE(SUBSTITUTE(([1]!vole?MERV_Ö_XMEV_Ö_GGAL_Ö_48hs), ".", ",")), 0)</f>
        <v>373759675.35000002</v>
      </c>
      <c r="N11" s="695">
        <f>IFERROR(VALUE(SUBSTITUTE(([1]!voln?MERV_Ö_XMEV_Ö_GGAL_Ö_48hs), ".", ",")), 0)</f>
        <v>1797909</v>
      </c>
      <c r="O11" s="694">
        <f>IFERROR(VALUE(SUBSTITUTE(([1]!vol?MERV_Ö_XMEV_Ö_GGAL_Ö_48hs), ".", ",")), 0)</f>
        <v>0</v>
      </c>
      <c r="P11" s="696">
        <f>IFERROR(VALUE(SUBSTITUTE(([1]!ltu?MERV_Ö_XMEV_Ö_GGAL_Ö_48hs), ".", ",")), 0)</f>
        <v>0.70829861111111114</v>
      </c>
      <c r="Q11" s="704">
        <f t="shared" ref="Q11:Q45" si="0">IFERROR(IF(LEN(B11) &lt; 10, M11/N11, M11/N11/100), 0)</f>
        <v>207.88575803892189</v>
      </c>
      <c r="S11" s="690" t="s">
        <v>3</v>
      </c>
      <c r="T11" s="691">
        <f>IFERROR(VALUE(SUBSTITUTE(([1]!bsi?MERV_Ö_XMEV_Ö_GGAL_Ö_48hs), ".", ",")), 0)</f>
        <v>1455</v>
      </c>
      <c r="U11" s="692">
        <f>IFERROR(VALUE(SUBSTITUTE(([1]!bpr?MERV_Ö_XMEV_Ö_GGAL_Ö_48hs), ".", ",")), 0)</f>
        <v>209.1</v>
      </c>
      <c r="V11" s="692">
        <f>IFERROR(VALUE(SUBSTITUTE(([1]!opr?MERV_Ö_XMEV_Ö_GGAL_Ö_48hs), ".", ",")), 0)</f>
        <v>209.7</v>
      </c>
      <c r="W11" s="691">
        <f>IFERROR(VALUE(SUBSTITUTE(([1]!osi?MERV_Ö_XMEV_Ö_GGAL_Ö_48hs), ".", ",")), 0)</f>
        <v>5000</v>
      </c>
      <c r="X11" s="165">
        <f>IFERROR(VALUE(SUBSTITUTE(([1]!lst?MERV_Ö_XMEV_Ö_GGAL_Ö_48hs), ".", ",")), 0)</f>
        <v>209.65</v>
      </c>
      <c r="Y11" s="693">
        <f>IFERROR(VALUE(SUBSTITUTE(([1]!chgp?MERV_Ö_XMEV_Ö_GGAL_Ö_48hs), ".", ",") / 100), 0)</f>
        <v>2.9500000000000002E-2</v>
      </c>
      <c r="Z11" s="694"/>
      <c r="AA11" s="694"/>
      <c r="AB11" s="694"/>
      <c r="AC11" s="694"/>
      <c r="AD11" s="695">
        <f>IFERROR(VALUE(SUBSTITUTE(([1]!vole?MERV_Ö_XMEV_Ö_GGAL_Ö_48hs), ".", ",")), 0)</f>
        <v>373759675.35000002</v>
      </c>
      <c r="AE11" s="695">
        <f>IFERROR(VALUE(SUBSTITUTE(([1]!voln?MERV_Ö_XMEV_Ö_GGAL_Ö_48hs), ".", ",")), 0)</f>
        <v>1797909</v>
      </c>
      <c r="AF11" s="694">
        <f>IFERROR(VALUE(SUBSTITUTE(([1]!vol?MERV_Ö_XMEV_Ö_GGAL_Ö_48hs), ".", ",")), 0)</f>
        <v>0</v>
      </c>
      <c r="AG11" s="696">
        <f>IFERROR(VALUE(SUBSTITUTE(([1]!ltu?MERV_Ö_XMEV_Ö_GGAL_Ö_48hs), ".", ",")), 0)</f>
        <v>0.70829861111111114</v>
      </c>
      <c r="AH11" s="704">
        <f t="shared" ref="AH11:AH45" si="1">IFERROR(IF(LEN(B11) &lt; 10, M11/N11, M11/N11/100), 0)</f>
        <v>207.88575803892189</v>
      </c>
      <c r="AJ11" s="702"/>
      <c r="AK11" s="703"/>
      <c r="AL11" s="703"/>
      <c r="AM11" s="702"/>
      <c r="AO11" s="702"/>
      <c r="AP11" s="703"/>
      <c r="AQ11" s="703"/>
      <c r="AR11" s="702"/>
      <c r="AT11" s="702"/>
      <c r="AU11" s="703"/>
      <c r="AV11" s="703"/>
      <c r="AW11" s="702"/>
      <c r="AY11" s="702"/>
      <c r="AZ11" s="703"/>
      <c r="BA11" s="703"/>
      <c r="BB11" s="702"/>
      <c r="BD11" s="702"/>
      <c r="BE11" s="703"/>
      <c r="BF11" s="703"/>
      <c r="BG11" s="702"/>
      <c r="BI11" s="702"/>
      <c r="BJ11" s="703"/>
      <c r="BK11" s="703"/>
      <c r="BL11" s="702"/>
      <c r="BP11" s="766"/>
      <c r="BQ11" s="766"/>
      <c r="BS11" s="728"/>
    </row>
    <row r="12" spans="1:75" ht="12.75" customHeight="1">
      <c r="A12" s="676"/>
      <c r="B12" s="705" t="s">
        <v>211</v>
      </c>
      <c r="C12" s="702">
        <f>IFERROR(VALUE(SUBSTITUTE(([1]!bsi?MERV_Ö_XMEV_Ö_GGAL_Ö_CI), ".", ",")), 0)</f>
        <v>11196</v>
      </c>
      <c r="D12" s="703">
        <f>IFERROR(VALUE(SUBSTITUTE(([1]!bpr?MERV_Ö_XMEV_Ö_GGAL_Ö_CI), ".", ",")), 0)</f>
        <v>207</v>
      </c>
      <c r="E12" s="703">
        <f>IFERROR(VALUE(SUBSTITUTE(([1]!opr?MERV_Ö_XMEV_Ö_GGAL_Ö_CI), ".", ",")), 0)</f>
        <v>207.4</v>
      </c>
      <c r="F12" s="702">
        <f>IFERROR(VALUE(SUBSTITUTE(([1]!osi?MERV_Ö_XMEV_Ö_GGAL_Ö_CI), ".", ",")), 0)</f>
        <v>200</v>
      </c>
      <c r="G12" s="706">
        <f>IFERROR(VALUE(SUBSTITUTE(([1]!lst?MERV_Ö_XMEV_Ö_GGAL_Ö_CI), ".", ",")), 0)</f>
        <v>207</v>
      </c>
      <c r="H12" s="707">
        <f>IFERROR(VALUE(SUBSTITUTE(([1]!chgp?MERV_Ö_XMEV_Ö_GGAL_Ö_CI), ".", ",") / 100), 0)</f>
        <v>1.9699999999999999E-2</v>
      </c>
      <c r="I12" s="708"/>
      <c r="J12" s="708"/>
      <c r="K12" s="708"/>
      <c r="L12" s="708"/>
      <c r="M12" s="709">
        <f>IFERROR(VALUE(SUBSTITUTE(([1]!vole?MERV_Ö_XMEV_Ö_GGAL_Ö_CI), ".", ",")), 0)</f>
        <v>21270439.300000001</v>
      </c>
      <c r="N12" s="709">
        <f>IFERROR(VALUE(SUBSTITUTE(([1]!voln?MERV_Ö_XMEV_Ö_GGAL_Ö_CI), ".", ",")), 0)</f>
        <v>102664</v>
      </c>
      <c r="O12" s="708">
        <f>IFERROR(VALUE(SUBSTITUTE(([1]!vol?MERV_Ö_XMEV_Ö_GGAL_Ö_CI), ".", ",")), 0)</f>
        <v>0</v>
      </c>
      <c r="P12" s="710">
        <f>IFERROR(VALUE(SUBSTITUTE(([1]!ltu?MERV_Ö_XMEV_Ö_GGAL_Ö_CI), ".", ",")), 0)</f>
        <v>0.66371527777777783</v>
      </c>
      <c r="Q12" s="711">
        <f t="shared" si="0"/>
        <v>207.18498499961038</v>
      </c>
      <c r="S12" s="705" t="s">
        <v>211</v>
      </c>
      <c r="T12" s="702">
        <f>IFERROR(VALUE(SUBSTITUTE(([1]!bsi?MERV_Ö_XMEV_Ö_GGAL_Ö_CI), ".", ",")), 0)</f>
        <v>11196</v>
      </c>
      <c r="U12" s="703">
        <f>IFERROR(VALUE(SUBSTITUTE(([1]!bpr?MERV_Ö_XMEV_Ö_GGAL_Ö_CI), ".", ",")), 0)</f>
        <v>207</v>
      </c>
      <c r="V12" s="703">
        <f>IFERROR(VALUE(SUBSTITUTE(([1]!opr?MERV_Ö_XMEV_Ö_GGAL_Ö_CI), ".", ",")), 0)</f>
        <v>207.4</v>
      </c>
      <c r="W12" s="702">
        <f>IFERROR(VALUE(SUBSTITUTE(([1]!osi?MERV_Ö_XMEV_Ö_GGAL_Ö_CI), ".", ",")), 0)</f>
        <v>200</v>
      </c>
      <c r="X12" s="706">
        <f>IFERROR(VALUE(SUBSTITUTE(([1]!lst?MERV_Ö_XMEV_Ö_GGAL_Ö_CI), ".", ",")), 0)</f>
        <v>207</v>
      </c>
      <c r="Y12" s="707">
        <f>IFERROR(VALUE(SUBSTITUTE(([1]!chgp?MERV_Ö_XMEV_Ö_GGAL_Ö_CI), ".", ",") / 100), 0)</f>
        <v>1.9699999999999999E-2</v>
      </c>
      <c r="Z12" s="708"/>
      <c r="AA12" s="708"/>
      <c r="AB12" s="708"/>
      <c r="AC12" s="708"/>
      <c r="AD12" s="709">
        <f>IFERROR(VALUE(SUBSTITUTE(([1]!vole?MERV_Ö_XMEV_Ö_GGAL_Ö_CI), ".", ",")), 0)</f>
        <v>21270439.300000001</v>
      </c>
      <c r="AE12" s="709">
        <f>IFERROR(VALUE(SUBSTITUTE(([1]!voln?MERV_Ö_XMEV_Ö_GGAL_Ö_CI), ".", ",")), 0)</f>
        <v>102664</v>
      </c>
      <c r="AF12" s="708">
        <f>IFERROR(VALUE(SUBSTITUTE(([1]!vol?MERV_Ö_XMEV_Ö_GGAL_Ö_CI), ".", ",")), 0)</f>
        <v>0</v>
      </c>
      <c r="AG12" s="710">
        <f>IFERROR(VALUE(SUBSTITUTE(([1]!ltu?MERV_Ö_XMEV_Ö_GGAL_Ö_CI), ".", ",")), 0)</f>
        <v>0.66371527777777783</v>
      </c>
      <c r="AH12" s="711">
        <f t="shared" si="1"/>
        <v>207.18498499961038</v>
      </c>
      <c r="AJ12" s="702"/>
      <c r="AK12" s="703"/>
      <c r="AL12" s="703"/>
      <c r="AM12" s="702"/>
      <c r="AO12" s="702"/>
      <c r="AP12" s="703"/>
      <c r="AQ12" s="703"/>
      <c r="AR12" s="702"/>
      <c r="AT12" s="702"/>
      <c r="AU12" s="703"/>
      <c r="AV12" s="703"/>
      <c r="AW12" s="702"/>
      <c r="AY12" s="702"/>
      <c r="AZ12" s="703"/>
      <c r="BA12" s="703"/>
      <c r="BB12" s="702"/>
      <c r="BD12" s="702"/>
      <c r="BE12" s="703"/>
      <c r="BF12" s="703"/>
      <c r="BG12" s="702"/>
      <c r="BI12" s="702"/>
      <c r="BJ12" s="703"/>
      <c r="BK12" s="703"/>
      <c r="BL12" s="702"/>
      <c r="BP12" s="766"/>
      <c r="BQ12" s="766"/>
      <c r="BS12" s="728"/>
    </row>
    <row r="13" spans="1:75" ht="12.75" customHeight="1" thickBot="1">
      <c r="A13" s="676"/>
      <c r="B13" s="712" t="s">
        <v>212</v>
      </c>
      <c r="C13" s="713">
        <f>IFERROR(VALUE(SUBSTITUTE(([1]!bsi?MERV_Ö_XMEV_Ö_GGAL_Ö_24hs), ".", ",")), 0)</f>
        <v>250</v>
      </c>
      <c r="D13" s="714">
        <f>IFERROR(VALUE(SUBSTITUTE(([1]!bpr?MERV_Ö_XMEV_Ö_GGAL_Ö_24hs), ".", ",")), 0)</f>
        <v>209</v>
      </c>
      <c r="E13" s="714">
        <f>IFERROR(VALUE(SUBSTITUTE(([1]!opr?MERV_Ö_XMEV_Ö_GGAL_Ö_24hs), ".", ",")), 0)</f>
        <v>209.5</v>
      </c>
      <c r="F13" s="713">
        <f>IFERROR(VALUE(SUBSTITUTE(([1]!osi?MERV_Ö_XMEV_Ö_GGAL_Ö_24hs), ".", ",")), 0)</f>
        <v>250</v>
      </c>
      <c r="G13" s="715">
        <f>IFERROR(VALUE(SUBSTITUTE(([1]!lst?MERV_Ö_XMEV_Ö_GGAL_Ö_24hs), ".", ",")), 0)</f>
        <v>209</v>
      </c>
      <c r="H13" s="716">
        <f>IFERROR(VALUE(SUBSTITUTE(([1]!chgp?MERV_Ö_XMEV_Ö_GGAL_Ö_24hs), ".", ",") / 100), 0)</f>
        <v>2.9600000000000001E-2</v>
      </c>
      <c r="I13" s="717"/>
      <c r="J13" s="717"/>
      <c r="K13" s="717"/>
      <c r="L13" s="717"/>
      <c r="M13" s="718">
        <f>IFERROR(VALUE(SUBSTITUTE(([1]!vole?MERV_Ö_XMEV_Ö_GGAL_Ö_24hs), ".", ",")), 0)</f>
        <v>2312718.6</v>
      </c>
      <c r="N13" s="718">
        <f>IFERROR(VALUE(SUBSTITUTE(([1]!voln?MERV_Ö_XMEV_Ö_GGAL_Ö_24hs), ".", ",")), 0)</f>
        <v>11216</v>
      </c>
      <c r="O13" s="717">
        <f>IFERROR(VALUE(SUBSTITUTE(([1]!vol?MERV_Ö_XMEV_Ö_GGAL_Ö_24hs), ".", ",")), 0)</f>
        <v>0</v>
      </c>
      <c r="P13" s="719">
        <f>IFERROR(VALUE(SUBSTITUTE(([1]!ltu?MERV_Ö_XMEV_Ö_GGAL_Ö_24hs), ".", ",")), 0)</f>
        <v>0.7055324074074073</v>
      </c>
      <c r="Q13" s="720">
        <f t="shared" si="0"/>
        <v>206.19816333808845</v>
      </c>
      <c r="S13" s="712" t="s">
        <v>212</v>
      </c>
      <c r="T13" s="713">
        <f>IFERROR(VALUE(SUBSTITUTE(([1]!bsi?MERV_Ö_XMEV_Ö_GGAL_Ö_24hs), ".", ",")), 0)</f>
        <v>250</v>
      </c>
      <c r="U13" s="714">
        <f>IFERROR(VALUE(SUBSTITUTE(([1]!bpr?MERV_Ö_XMEV_Ö_GGAL_Ö_24hs), ".", ",")), 0)</f>
        <v>209</v>
      </c>
      <c r="V13" s="714">
        <f>IFERROR(VALUE(SUBSTITUTE(([1]!opr?MERV_Ö_XMEV_Ö_GGAL_Ö_24hs), ".", ",")), 0)</f>
        <v>209.5</v>
      </c>
      <c r="W13" s="713">
        <f>IFERROR(VALUE(SUBSTITUTE(([1]!osi?MERV_Ö_XMEV_Ö_GGAL_Ö_24hs), ".", ",")), 0)</f>
        <v>250</v>
      </c>
      <c r="X13" s="715">
        <f>IFERROR(VALUE(SUBSTITUTE(([1]!lst?MERV_Ö_XMEV_Ö_GGAL_Ö_24hs), ".", ",")), 0)</f>
        <v>209</v>
      </c>
      <c r="Y13" s="716">
        <f>IFERROR(VALUE(SUBSTITUTE(([1]!chgp?MERV_Ö_XMEV_Ö_GGAL_Ö_24hs), ".", ",") / 100), 0)</f>
        <v>2.9600000000000001E-2</v>
      </c>
      <c r="Z13" s="717"/>
      <c r="AA13" s="717"/>
      <c r="AB13" s="717"/>
      <c r="AC13" s="717"/>
      <c r="AD13" s="718">
        <f>IFERROR(VALUE(SUBSTITUTE(([1]!vole?MERV_Ö_XMEV_Ö_GGAL_Ö_24hs), ".", ",")), 0)</f>
        <v>2312718.6</v>
      </c>
      <c r="AE13" s="718">
        <f>IFERROR(VALUE(SUBSTITUTE(([1]!voln?MERV_Ö_XMEV_Ö_GGAL_Ö_24hs), ".", ",")), 0)</f>
        <v>11216</v>
      </c>
      <c r="AF13" s="717">
        <f>IFERROR(VALUE(SUBSTITUTE(([1]!vol?MERV_Ö_XMEV_Ö_GGAL_Ö_24hs), ".", ",")), 0)</f>
        <v>0</v>
      </c>
      <c r="AG13" s="719">
        <f>IFERROR(VALUE(SUBSTITUTE(([1]!ltu?MERV_Ö_XMEV_Ö_GGAL_Ö_24hs), ".", ",")), 0)</f>
        <v>0.7055324074074073</v>
      </c>
      <c r="AH13" s="720">
        <f t="shared" si="1"/>
        <v>206.19816333808845</v>
      </c>
      <c r="AJ13" s="702"/>
      <c r="AK13" s="703"/>
      <c r="AL13" s="703"/>
      <c r="AM13" s="702"/>
      <c r="AO13" s="702"/>
      <c r="AP13" s="703"/>
      <c r="AQ13" s="703"/>
      <c r="AR13" s="702"/>
      <c r="AT13" s="702"/>
      <c r="AU13" s="703"/>
      <c r="AV13" s="703"/>
      <c r="AW13" s="702"/>
      <c r="AY13" s="702"/>
      <c r="AZ13" s="703"/>
      <c r="BA13" s="703"/>
      <c r="BB13" s="702"/>
      <c r="BD13" s="702"/>
      <c r="BE13" s="703"/>
      <c r="BF13" s="703"/>
      <c r="BG13" s="702"/>
      <c r="BI13" s="702"/>
      <c r="BJ13" s="703"/>
      <c r="BK13" s="703"/>
      <c r="BL13" s="702"/>
      <c r="BP13" s="766"/>
      <c r="BQ13" s="766"/>
      <c r="BS13" s="728"/>
    </row>
    <row r="14" spans="1:75" ht="12.75" customHeight="1" thickBot="1">
      <c r="A14" s="676"/>
      <c r="B14" s="721" t="s">
        <v>3</v>
      </c>
      <c r="C14" s="722">
        <f>IFERROR(VALUE(SUBSTITUTE(([1]!bsi?MERV_Ö_XMEV_Ö_GGAL_Ö_48hs), ".", ",")), 0)</f>
        <v>1455</v>
      </c>
      <c r="D14" s="723">
        <f>IFERROR(VALUE(SUBSTITUTE(([1]!bpr?MERV_Ö_XMEV_Ö_GGAL_Ö_48hs), ".", ",")), 0)</f>
        <v>209.1</v>
      </c>
      <c r="E14" s="723">
        <f>IFERROR(VALUE(SUBSTITUTE(([1]!opr?MERV_Ö_XMEV_Ö_GGAL_Ö_48hs), ".", ",")), 0)</f>
        <v>209.7</v>
      </c>
      <c r="F14" s="722">
        <f>IFERROR(VALUE(SUBSTITUTE(([1]!osi?MERV_Ö_XMEV_Ö_GGAL_Ö_48hs), ".", ",")), 0)</f>
        <v>5000</v>
      </c>
      <c r="G14" s="724">
        <f>IFERROR(VALUE(SUBSTITUTE(([1]!lst?MERV_Ö_XMEV_Ö_GGAL_Ö_48hs), ".", ",")), 0)</f>
        <v>209.65</v>
      </c>
      <c r="H14" s="796">
        <f>IFERROR(VALUE(SUBSTITUTE(([1]!chgp?MERV_Ö_XMEV_Ö_GGAL_Ö_48hs), ".", ",") / 100), 0)</f>
        <v>2.9500000000000002E-2</v>
      </c>
      <c r="I14" s="725"/>
      <c r="J14" s="725"/>
      <c r="K14" s="725"/>
      <c r="L14" s="725"/>
      <c r="M14" s="699">
        <f>IFERROR(VALUE(SUBSTITUTE(([1]!vole?MERV_Ö_XMEV_Ö_GGAL_Ö_48hs), ".", ",")), 0)</f>
        <v>373759675.35000002</v>
      </c>
      <c r="N14" s="699">
        <f>IFERROR(VALUE(SUBSTITUTE(([1]!voln?MERV_Ö_XMEV_Ö_GGAL_Ö_48hs), ".", ",")), 0)</f>
        <v>1797909</v>
      </c>
      <c r="O14" s="725">
        <f>IFERROR(VALUE(SUBSTITUTE(([1]!vol?MERV_Ö_XMEV_Ö_GGAL_Ö_48hs), ".", ",")), 0)</f>
        <v>0</v>
      </c>
      <c r="P14" s="726">
        <f>IFERROR(VALUE(SUBSTITUTE(([1]!ltu?MERV_Ö_XMEV_Ö_GGAL_Ö_48hs), ".", ",")), 0)</f>
        <v>0.70829861111111114</v>
      </c>
      <c r="Q14" s="727">
        <f t="shared" si="0"/>
        <v>207.88575803892189</v>
      </c>
      <c r="S14" s="721" t="s">
        <v>3</v>
      </c>
      <c r="T14" s="722">
        <f>IFERROR(VALUE(SUBSTITUTE(([1]!bsi?MERV_Ö_XMEV_Ö_GGAL_Ö_48hs), ".", ",")), 0)</f>
        <v>1455</v>
      </c>
      <c r="U14" s="723">
        <f>IFERROR(VALUE(SUBSTITUTE(([1]!bpr?MERV_Ö_XMEV_Ö_GGAL_Ö_48hs), ".", ",")), 0)</f>
        <v>209.1</v>
      </c>
      <c r="V14" s="723">
        <f>IFERROR(VALUE(SUBSTITUTE(([1]!opr?MERV_Ö_XMEV_Ö_GGAL_Ö_48hs), ".", ",")), 0)</f>
        <v>209.7</v>
      </c>
      <c r="W14" s="722">
        <f>IFERROR(VALUE(SUBSTITUTE(([1]!osi?MERV_Ö_XMEV_Ö_GGAL_Ö_48hs), ".", ",")), 0)</f>
        <v>5000</v>
      </c>
      <c r="X14" s="724">
        <f>IFERROR(VALUE(SUBSTITUTE(([1]!lst?MERV_Ö_XMEV_Ö_GGAL_Ö_48hs), ".", ",")), 0)</f>
        <v>209.65</v>
      </c>
      <c r="Y14" s="796">
        <f>IFERROR(VALUE(SUBSTITUTE(([1]!chgp?MERV_Ö_XMEV_Ö_GGAL_Ö_48hs), ".", ",") / 100), 0)</f>
        <v>2.9500000000000002E-2</v>
      </c>
      <c r="Z14" s="725"/>
      <c r="AA14" s="725"/>
      <c r="AB14" s="725"/>
      <c r="AC14" s="725"/>
      <c r="AD14" s="699">
        <f>IFERROR(VALUE(SUBSTITUTE(([1]!vole?MERV_Ö_XMEV_Ö_GGAL_Ö_48hs), ".", ",")), 0)</f>
        <v>373759675.35000002</v>
      </c>
      <c r="AE14" s="699">
        <f>IFERROR(VALUE(SUBSTITUTE(([1]!voln?MERV_Ö_XMEV_Ö_GGAL_Ö_48hs), ".", ",")), 0)</f>
        <v>1797909</v>
      </c>
      <c r="AF14" s="725">
        <f>IFERROR(VALUE(SUBSTITUTE(([1]!vol?MERV_Ö_XMEV_Ö_GGAL_Ö_48hs), ".", ",")), 0)</f>
        <v>0</v>
      </c>
      <c r="AG14" s="726">
        <f>IFERROR(VALUE(SUBSTITUTE(([1]!ltu?MERV_Ö_XMEV_Ö_GGAL_Ö_48hs), ".", ",")), 0)</f>
        <v>0.70829861111111114</v>
      </c>
      <c r="AH14" s="727">
        <f t="shared" si="1"/>
        <v>207.88575803892189</v>
      </c>
      <c r="BP14" s="766"/>
      <c r="BQ14" s="766"/>
      <c r="BS14" s="728"/>
    </row>
    <row r="15" spans="1:75" ht="12.75" customHeight="1" thickBot="1">
      <c r="A15" s="676"/>
      <c r="B15" s="728" t="str">
        <f>+GGAL!N7</f>
        <v>GFGC132.AB</v>
      </c>
      <c r="C15" s="729">
        <f>IFERROR(VALUE(SUBSTITUTE(([1]!bsi?MERV_Ö_XMEV_Ö_GFGC132.AB_Ö_24hs), ".", ",")), 0)</f>
        <v>1</v>
      </c>
      <c r="D15" s="730">
        <f>IFERROR(VALUE(SUBSTITUTE(([1]!bpr?MERV_Ö_XMEV_Ö_GFGC132.AB_Ö_24hs), ".", ",")), 0)</f>
        <v>75.2</v>
      </c>
      <c r="E15" s="730">
        <f>IFERROR(VALUE(SUBSTITUTE(([1]!opr?MERV_Ö_XMEV_Ö_GFGC132.AB_Ö_24hs), ".", ",")), 0)</f>
        <v>0</v>
      </c>
      <c r="F15" s="729">
        <f>IFERROR(VALUE(SUBSTITUTE(([1]!osi?MERV_Ö_XMEV_Ö_GFGC132.AB_Ö_24hs), ".", ",")), 0)</f>
        <v>0</v>
      </c>
      <c r="G15" s="731">
        <f>IFERROR(VALUE(SUBSTITUTE(([1]!lst?MERV_Ö_XMEV_Ö_GFGC132.AB_Ö_24hs), ".", ",")), 0)</f>
        <v>75.2</v>
      </c>
      <c r="H15" s="732">
        <f>IFERROR(VALUE(SUBSTITUTE(([1]!chgp?MERV_Ö_XMEV_Ö_GFGC132.AB_Ö_24hs), ".", ",") / 100), 0)</f>
        <v>4.4429999999999997E-2</v>
      </c>
      <c r="I15" s="733"/>
      <c r="J15" s="733"/>
      <c r="K15" s="733"/>
      <c r="L15" s="733"/>
      <c r="M15" s="734">
        <f>IFERROR(VALUE(SUBSTITUTE(([1]!vole?MERV_Ö_XMEV_Ö_GFGC132.AB_Ö_24hs), ".", ",")), 0)</f>
        <v>396916</v>
      </c>
      <c r="N15" s="734">
        <f>IFERROR(VALUE(SUBSTITUTE(([1]!voln?MERV_Ö_XMEV_Ö_GFGC132.AB_Ö_24hs), ".", ",")), 0)</f>
        <v>48</v>
      </c>
      <c r="O15" s="733">
        <f>IFERROR(VALUE(SUBSTITUTE(([1]!vol?MERV_Ö_XMEV_Ö_GFGC132.AB_Ö_24hs), ".", ",")), 0)</f>
        <v>0</v>
      </c>
      <c r="P15" s="735">
        <f>IFERROR(VALUE(SUBSTITUTE(([1]!ltu?MERV_Ö_XMEV_Ö_GFGC132.AB_Ö_24hs), ".", ",")), 0)</f>
        <v>0.67716435185185186</v>
      </c>
      <c r="Q15" s="736">
        <f t="shared" si="0"/>
        <v>82.690833333333345</v>
      </c>
      <c r="S15" s="690" t="str">
        <f>+GGAL!P7</f>
        <v>GFGV132.AB</v>
      </c>
      <c r="T15" s="691">
        <f>IFERROR(VALUE(SUBSTITUTE(([1]!bsi?MERV_Ö_XMEV_Ö_GFGV132.AB_Ö_24hs), ".", ",")), 0)</f>
        <v>59</v>
      </c>
      <c r="U15" s="692">
        <f>IFERROR(VALUE(SUBSTITUTE(([1]!bpr?MERV_Ö_XMEV_Ö_GFGV132.AB_Ö_24hs), ".", ",")), 0)</f>
        <v>0.155</v>
      </c>
      <c r="V15" s="692">
        <f>IFERROR(VALUE(SUBSTITUTE(([1]!opr?MERV_Ö_XMEV_Ö_GFGV132.AB_Ö_24hs), ".", ",")), 0)</f>
        <v>0.17499999999999999</v>
      </c>
      <c r="W15" s="691">
        <f>IFERROR(VALUE(SUBSTITUTE(([1]!osi?MERV_Ö_XMEV_Ö_GFGV132.AB_Ö_24hs), ".", ",")), 0)</f>
        <v>194</v>
      </c>
      <c r="X15" s="165">
        <f>IFERROR(VALUE(SUBSTITUTE(([1]!lst?MERV_Ö_XMEV_Ö_GFGV132.AB_Ö_24hs), ".", ",")), 0)</f>
        <v>0.155</v>
      </c>
      <c r="Y15" s="693">
        <f>IFERROR(VALUE(SUBSTITUTE(([1]!chgp?MERV_Ö_XMEV_Ö_GFGV132.AB_Ö_24hs), ".", ",") / 100), 0)</f>
        <v>-0.14365</v>
      </c>
      <c r="Z15" s="694"/>
      <c r="AA15" s="694"/>
      <c r="AB15" s="694"/>
      <c r="AC15" s="694"/>
      <c r="AD15" s="695">
        <f>IFERROR(VALUE(SUBSTITUTE(([1]!vole?MERV_Ö_XMEV_Ö_GFGV132.AB_Ö_24hs), ".", ",")), 0)</f>
        <v>48943.1</v>
      </c>
      <c r="AE15" s="695">
        <f>IFERROR(VALUE(SUBSTITUTE(([1]!voln?MERV_Ö_XMEV_Ö_GFGV132.AB_Ö_24hs), ".", ",")), 0)</f>
        <v>2975</v>
      </c>
      <c r="AF15" s="694">
        <f>IFERROR(VALUE(SUBSTITUTE(([1]!vol?MERV_Ö_XMEV_Ö_GFGV132.AB_Ö_24hs), ".", ",")), 0)</f>
        <v>0</v>
      </c>
      <c r="AG15" s="696">
        <f>IFERROR(VALUE(SUBSTITUTE(([1]!ltu?MERV_Ö_XMEV_Ö_GFGV132.AB_Ö_24hs), ".", ",")), 0)</f>
        <v>0.7075231481481481</v>
      </c>
      <c r="AH15" s="697">
        <f t="shared" si="1"/>
        <v>82.690833333333345</v>
      </c>
      <c r="AJ15" s="698"/>
      <c r="AK15" s="699"/>
      <c r="AL15" s="700"/>
      <c r="AM15" s="701"/>
      <c r="AO15" s="698"/>
      <c r="AP15" s="699"/>
      <c r="AQ15" s="700"/>
      <c r="AR15" s="701"/>
      <c r="AT15" s="698"/>
      <c r="AU15" s="699"/>
      <c r="AV15" s="700"/>
      <c r="AW15" s="701"/>
      <c r="AY15" s="698"/>
      <c r="AZ15" s="699"/>
      <c r="BA15" s="700"/>
      <c r="BB15" s="701"/>
      <c r="BD15" s="698"/>
      <c r="BE15" s="699"/>
      <c r="BF15" s="700"/>
      <c r="BG15" s="701"/>
      <c r="BI15" s="698"/>
      <c r="BJ15" s="699"/>
      <c r="BK15" s="700"/>
      <c r="BL15" s="701"/>
      <c r="BP15" s="766"/>
      <c r="BQ15" s="766"/>
      <c r="BS15" s="728"/>
    </row>
    <row r="16" spans="1:75" ht="12.75" customHeight="1">
      <c r="A16" s="737"/>
      <c r="B16" s="728" t="str">
        <f>+GGAL!N8</f>
        <v>GFGC135.AB</v>
      </c>
      <c r="C16" s="729">
        <f>IFERROR(VALUE(SUBSTITUTE(([1]!bsi?MERV_Ö_XMEV_Ö_GFGC135.AB_Ö_24hs), ".", ",")), 0)</f>
        <v>0</v>
      </c>
      <c r="D16" s="730">
        <f>IFERROR(VALUE(SUBSTITUTE(([1]!bpr?MERV_Ö_XMEV_Ö_GFGC135.AB_Ö_24hs), ".", ",")), 0)</f>
        <v>0</v>
      </c>
      <c r="E16" s="730">
        <f>IFERROR(VALUE(SUBSTITUTE(([1]!opr?MERV_Ö_XMEV_Ö_GFGC135.AB_Ö_24hs), ".", ",")), 0)</f>
        <v>0</v>
      </c>
      <c r="F16" s="729">
        <f>IFERROR(VALUE(SUBSTITUTE(([1]!osi?MERV_Ö_XMEV_Ö_GFGC135.AB_Ö_24hs), ".", ",")), 0)</f>
        <v>0</v>
      </c>
      <c r="G16" s="731">
        <f>IFERROR(VALUE(SUBSTITUTE(([1]!lst?MERV_Ö_XMEV_Ö_GFGC135.AB_Ö_24hs), ".", ",")), 0)</f>
        <v>0</v>
      </c>
      <c r="H16" s="732">
        <f>IFERROR(VALUE(SUBSTITUTE(([1]!chgp?MERV_Ö_XMEV_Ö_GFGC135.AB_Ö_24hs), ".", ",") / 100), 0)</f>
        <v>0</v>
      </c>
      <c r="I16" s="733"/>
      <c r="J16" s="733"/>
      <c r="K16" s="733"/>
      <c r="L16" s="733"/>
      <c r="M16" s="734">
        <f>IFERROR(VALUE(SUBSTITUTE(([1]!vole?MERV_Ö_XMEV_Ö_GFGC135.AB_Ö_24hs), ".", ",")), 0)</f>
        <v>0</v>
      </c>
      <c r="N16" s="734">
        <f>IFERROR(VALUE(SUBSTITUTE(([1]!voln?MERV_Ö_XMEV_Ö_GFGC135.AB_Ö_24hs), ".", ",")), 0)</f>
        <v>0</v>
      </c>
      <c r="O16" s="733">
        <f>IFERROR(VALUE(SUBSTITUTE(([1]!vol?MERV_Ö_XMEV_Ö_GFGC135.AB_Ö_24hs), ".", ",")), 0)</f>
        <v>0</v>
      </c>
      <c r="P16" s="735">
        <f>IFERROR(VALUE(SUBSTITUTE(([1]!ltu?MERV_Ö_XMEV_Ö_GFGC135.AB_Ö_24hs), ".", ",")), 0)</f>
        <v>0</v>
      </c>
      <c r="Q16" s="736">
        <f t="shared" si="0"/>
        <v>0</v>
      </c>
      <c r="S16" s="690" t="str">
        <f>+GGAL!P8</f>
        <v>GFGV135.AB</v>
      </c>
      <c r="T16" s="691">
        <f>IFERROR(VALUE(SUBSTITUTE(([1]!bsi?MERV_Ö_XMEV_Ö_GFGV135.AB_Ö_24hs), ".", ",")), 0)</f>
        <v>1</v>
      </c>
      <c r="U16" s="692">
        <f>IFERROR(VALUE(SUBSTITUTE(([1]!bpr?MERV_Ö_XMEV_Ö_GFGV135.AB_Ö_24hs), ".", ",")), 0)</f>
        <v>0.16200000000000001</v>
      </c>
      <c r="V16" s="692">
        <f>IFERROR(VALUE(SUBSTITUTE(([1]!opr?MERV_Ö_XMEV_Ö_GFGV135.AB_Ö_24hs), ".", ",")), 0)</f>
        <v>0.19900000000000001</v>
      </c>
      <c r="W16" s="691">
        <f>IFERROR(VALUE(SUBSTITUTE(([1]!osi?MERV_Ö_XMEV_Ö_GFGV135.AB_Ö_24hs), ".", ",")), 0)</f>
        <v>1</v>
      </c>
      <c r="X16" s="165">
        <f>IFERROR(VALUE(SUBSTITUTE(([1]!lst?MERV_Ö_XMEV_Ö_GFGV135.AB_Ö_24hs), ".", ",")), 0)</f>
        <v>0.16200000000000001</v>
      </c>
      <c r="Y16" s="693">
        <f>IFERROR(VALUE(SUBSTITUTE(([1]!chgp?MERV_Ö_XMEV_Ö_GFGV135.AB_Ö_24hs), ".", ",") / 100), 0)</f>
        <v>-0.34412999999999999</v>
      </c>
      <c r="Z16" s="694"/>
      <c r="AA16" s="694"/>
      <c r="AB16" s="694"/>
      <c r="AC16" s="694"/>
      <c r="AD16" s="695">
        <f>IFERROR(VALUE(SUBSTITUTE(([1]!vole?MERV_Ö_XMEV_Ö_GFGV135.AB_Ö_24hs), ".", ",")), 0)</f>
        <v>5093.3999999999996</v>
      </c>
      <c r="AE16" s="695">
        <f>IFERROR(VALUE(SUBSTITUTE(([1]!voln?MERV_Ö_XMEV_Ö_GFGV135.AB_Ö_24hs), ".", ",")), 0)</f>
        <v>300</v>
      </c>
      <c r="AF16" s="694">
        <f>IFERROR(VALUE(SUBSTITUTE(([1]!vol?MERV_Ö_XMEV_Ö_GFGV135.AB_Ö_24hs), ".", ",")), 0)</f>
        <v>0</v>
      </c>
      <c r="AG16" s="696">
        <f>IFERROR(VALUE(SUBSTITUTE(([1]!ltu?MERV_Ö_XMEV_Ö_GFGV135.AB_Ö_24hs), ".", ",")), 0)</f>
        <v>0.70277777777777783</v>
      </c>
      <c r="AH16" s="697">
        <f t="shared" si="1"/>
        <v>0</v>
      </c>
      <c r="AJ16" s="691"/>
      <c r="AK16" s="738"/>
      <c r="AL16" s="738"/>
      <c r="AM16" s="691"/>
      <c r="AO16" s="691"/>
      <c r="AP16" s="738"/>
      <c r="AQ16" s="738"/>
      <c r="AR16" s="691"/>
      <c r="AT16" s="691"/>
      <c r="AU16" s="738"/>
      <c r="AV16" s="738"/>
      <c r="AW16" s="691"/>
      <c r="AY16" s="691"/>
      <c r="AZ16" s="738"/>
      <c r="BA16" s="738"/>
      <c r="BB16" s="691"/>
      <c r="BD16" s="691"/>
      <c r="BE16" s="738"/>
      <c r="BF16" s="738"/>
      <c r="BG16" s="691"/>
      <c r="BI16" s="691"/>
      <c r="BJ16" s="738"/>
      <c r="BK16" s="738"/>
      <c r="BL16" s="691"/>
      <c r="BP16" s="766"/>
      <c r="BQ16" s="766"/>
      <c r="BS16" s="728"/>
    </row>
    <row r="17" spans="1:71" ht="12.75" customHeight="1">
      <c r="A17" s="737"/>
      <c r="B17" s="728" t="str">
        <f>+GGAL!N9</f>
        <v>GFGC140.AB</v>
      </c>
      <c r="C17" s="729">
        <f>IFERROR(VALUE(SUBSTITUTE(([1]!bsi?MERV_Ö_XMEV_Ö_GFGC140.AB_Ö_24hs), ".", ",")), 0)</f>
        <v>0</v>
      </c>
      <c r="D17" s="730">
        <f>IFERROR(VALUE(SUBSTITUTE(([1]!bpr?MERV_Ö_XMEV_Ö_GFGC140.AB_Ö_24hs), ".", ",")), 0)</f>
        <v>0</v>
      </c>
      <c r="E17" s="730">
        <f>IFERROR(VALUE(SUBSTITUTE(([1]!opr?MERV_Ö_XMEV_Ö_GFGC140.AB_Ö_24hs), ".", ",")), 0)</f>
        <v>0</v>
      </c>
      <c r="F17" s="729">
        <f>IFERROR(VALUE(SUBSTITUTE(([1]!osi?MERV_Ö_XMEV_Ö_GFGC140.AB_Ö_24hs), ".", ",")), 0)</f>
        <v>0</v>
      </c>
      <c r="G17" s="731">
        <f>IFERROR(VALUE(SUBSTITUTE(([1]!lst?MERV_Ö_XMEV_Ö_GFGC140.AB_Ö_24hs), ".", ",")), 0)</f>
        <v>0</v>
      </c>
      <c r="H17" s="732">
        <f>IFERROR(VALUE(SUBSTITUTE(([1]!chgp?MERV_Ö_XMEV_Ö_GFGC140.AB_Ö_24hs), ".", ",") / 100), 0)</f>
        <v>0</v>
      </c>
      <c r="I17" s="733"/>
      <c r="J17" s="733"/>
      <c r="K17" s="733"/>
      <c r="L17" s="733"/>
      <c r="M17" s="734">
        <f>IFERROR(VALUE(SUBSTITUTE(([1]!vole?MERV_Ö_XMEV_Ö_GFGC140.AB_Ö_24hs), ".", ",")), 0)</f>
        <v>0</v>
      </c>
      <c r="N17" s="734">
        <f>IFERROR(VALUE(SUBSTITUTE(([1]!voln?MERV_Ö_XMEV_Ö_GFGC140.AB_Ö_24hs), ".", ",")), 0)</f>
        <v>0</v>
      </c>
      <c r="O17" s="733">
        <f>IFERROR(VALUE(SUBSTITUTE(([1]!vol?MERV_Ö_XMEV_Ö_GFGC140.AB_Ö_24hs), ".", ",")), 0)</f>
        <v>0</v>
      </c>
      <c r="P17" s="735">
        <f>IFERROR(VALUE(SUBSTITUTE(([1]!ltu?MERV_Ö_XMEV_Ö_GFGC140.AB_Ö_24hs), ".", ",")), 0)</f>
        <v>0</v>
      </c>
      <c r="Q17" s="736">
        <f t="shared" si="0"/>
        <v>0</v>
      </c>
      <c r="S17" s="690" t="str">
        <f>+GGAL!P9</f>
        <v>GFGV140.AB</v>
      </c>
      <c r="T17" s="691">
        <f>IFERROR(VALUE(SUBSTITUTE(([1]!bsi?MERV_Ö_XMEV_Ö_GFGV140.AB_Ö_24hs), ".", ",")), 0)</f>
        <v>0</v>
      </c>
      <c r="U17" s="692">
        <f>IFERROR(VALUE(SUBSTITUTE(([1]!bpr?MERV_Ö_XMEV_Ö_GFGV140.AB_Ö_24hs), ".", ",")), 0)</f>
        <v>0</v>
      </c>
      <c r="V17" s="692">
        <f>IFERROR(VALUE(SUBSTITUTE(([1]!opr?MERV_Ö_XMEV_Ö_GFGV140.AB_Ö_24hs), ".", ",")), 0)</f>
        <v>0</v>
      </c>
      <c r="W17" s="691">
        <f>IFERROR(VALUE(SUBSTITUTE(([1]!osi?MERV_Ö_XMEV_Ö_GFGV140.AB_Ö_24hs), ".", ",")), 0)</f>
        <v>0</v>
      </c>
      <c r="X17" s="165">
        <f>IFERROR(VALUE(SUBSTITUTE(([1]!lst?MERV_Ö_XMEV_Ö_GFGV140.AB_Ö_24hs), ".", ",")), 0)</f>
        <v>0</v>
      </c>
      <c r="Y17" s="693">
        <f>IFERROR(VALUE(SUBSTITUTE(([1]!chgp?MERV_Ö_XMEV_Ö_GFGV140.AB_Ö_24hs), ".", ",") / 100), 0)</f>
        <v>0</v>
      </c>
      <c r="Z17" s="694"/>
      <c r="AA17" s="694"/>
      <c r="AB17" s="694"/>
      <c r="AC17" s="694"/>
      <c r="AD17" s="695">
        <f>IFERROR(VALUE(SUBSTITUTE(([1]!vole?MERV_Ö_XMEV_Ö_GFGV140.AB_Ö_24hs), ".", ",")), 0)</f>
        <v>0</v>
      </c>
      <c r="AE17" s="695">
        <f>IFERROR(VALUE(SUBSTITUTE(([1]!voln?MERV_Ö_XMEV_Ö_GFGV140.AB_Ö_24hs), ".", ",")), 0)</f>
        <v>0</v>
      </c>
      <c r="AF17" s="694">
        <f>IFERROR(VALUE(SUBSTITUTE(([1]!vol?MERV_Ö_XMEV_Ö_GFGV140.AB_Ö_24hs), ".", ",")), 0)</f>
        <v>0</v>
      </c>
      <c r="AG17" s="696">
        <f>IFERROR(VALUE(SUBSTITUTE(([1]!ltu?MERV_Ö_XMEV_Ö_GFGV140.AB_Ö_24hs), ".", ",")), 0)</f>
        <v>0</v>
      </c>
      <c r="AH17" s="697">
        <f t="shared" si="1"/>
        <v>0</v>
      </c>
      <c r="AJ17" s="691"/>
      <c r="AK17" s="738"/>
      <c r="AL17" s="738"/>
      <c r="AM17" s="691"/>
      <c r="AO17" s="691"/>
      <c r="AP17" s="738"/>
      <c r="AQ17" s="738"/>
      <c r="AR17" s="691"/>
      <c r="AT17" s="691"/>
      <c r="AU17" s="738"/>
      <c r="AV17" s="738"/>
      <c r="AW17" s="691"/>
      <c r="AY17" s="691"/>
      <c r="AZ17" s="738"/>
      <c r="BA17" s="738"/>
      <c r="BB17" s="691"/>
      <c r="BD17" s="691"/>
      <c r="BE17" s="738"/>
      <c r="BF17" s="738"/>
      <c r="BG17" s="691"/>
      <c r="BI17" s="691"/>
      <c r="BJ17" s="738"/>
      <c r="BK17" s="738"/>
      <c r="BL17" s="691"/>
      <c r="BP17" s="766"/>
      <c r="BQ17" s="766"/>
      <c r="BS17" s="728"/>
    </row>
    <row r="18" spans="1:71" ht="12.75" customHeight="1">
      <c r="A18" s="737"/>
      <c r="B18" s="728" t="str">
        <f>+GGAL!N10</f>
        <v>GFGC145.AB</v>
      </c>
      <c r="C18" s="729">
        <f>IFERROR(VALUE(SUBSTITUTE(([1]!bsi?MERV_Ö_XMEV_Ö_GFGC145.AB_Ö_24hs), ".", ",")), 0)</f>
        <v>0</v>
      </c>
      <c r="D18" s="730">
        <f>IFERROR(VALUE(SUBSTITUTE(([1]!bpr?MERV_Ö_XMEV_Ö_GFGC145.AB_Ö_24hs), ".", ",")), 0)</f>
        <v>0</v>
      </c>
      <c r="E18" s="730">
        <f>IFERROR(VALUE(SUBSTITUTE(([1]!opr?MERV_Ö_XMEV_Ö_GFGC145.AB_Ö_24hs), ".", ",")), 0)</f>
        <v>0</v>
      </c>
      <c r="F18" s="729">
        <f>IFERROR(VALUE(SUBSTITUTE(([1]!osi?MERV_Ö_XMEV_Ö_GFGC145.AB_Ö_24hs), ".", ",")), 0)</f>
        <v>0</v>
      </c>
      <c r="G18" s="731">
        <f>IFERROR(VALUE(SUBSTITUTE(([1]!lst?MERV_Ö_XMEV_Ö_GFGC145.AB_Ö_24hs), ".", ",")), 0)</f>
        <v>0</v>
      </c>
      <c r="H18" s="732">
        <f>IFERROR(VALUE(SUBSTITUTE(([1]!chgp?MERV_Ö_XMEV_Ö_GFGC145.AB_Ö_24hs), ".", ",") / 100), 0)</f>
        <v>0</v>
      </c>
      <c r="I18" s="733"/>
      <c r="J18" s="733"/>
      <c r="K18" s="733"/>
      <c r="L18" s="733"/>
      <c r="M18" s="734">
        <f>IFERROR(VALUE(SUBSTITUTE(([1]!vole?MERV_Ö_XMEV_Ö_GFGC145.AB_Ö_24hs), ".", ",")), 0)</f>
        <v>0</v>
      </c>
      <c r="N18" s="734">
        <f>IFERROR(VALUE(SUBSTITUTE(([1]!voln?MERV_Ö_XMEV_Ö_GFGC145.AB_Ö_24hs), ".", ",")), 0)</f>
        <v>0</v>
      </c>
      <c r="O18" s="733">
        <f>IFERROR(VALUE(SUBSTITUTE(([1]!vol?MERV_Ö_XMEV_Ö_GFGC145.AB_Ö_24hs), ".", ",")), 0)</f>
        <v>0</v>
      </c>
      <c r="P18" s="735">
        <f>IFERROR(VALUE(SUBSTITUTE(([1]!ltu?MERV_Ö_XMEV_Ö_GFGC145.AB_Ö_24hs), ".", ",")), 0)</f>
        <v>0</v>
      </c>
      <c r="Q18" s="736">
        <f t="shared" si="0"/>
        <v>0</v>
      </c>
      <c r="S18" s="690" t="str">
        <f>+GGAL!P10</f>
        <v>GFGV145.AB</v>
      </c>
      <c r="T18" s="691">
        <f>IFERROR(VALUE(SUBSTITUTE(([1]!bsi?MERV_Ö_XMEV_Ö_GFGV145.AB_Ö_24hs), ".", ",")), 0)</f>
        <v>23</v>
      </c>
      <c r="U18" s="692">
        <f>IFERROR(VALUE(SUBSTITUTE(([1]!bpr?MERV_Ö_XMEV_Ö_GFGV145.AB_Ö_24hs), ".", ",")), 0)</f>
        <v>0.20200000000000001</v>
      </c>
      <c r="V18" s="692">
        <f>IFERROR(VALUE(SUBSTITUTE(([1]!opr?MERV_Ö_XMEV_Ö_GFGV145.AB_Ö_24hs), ".", ",")), 0)</f>
        <v>0.27400000000000002</v>
      </c>
      <c r="W18" s="691">
        <f>IFERROR(VALUE(SUBSTITUTE(([1]!osi?MERV_Ö_XMEV_Ö_GFGV145.AB_Ö_24hs), ".", ",")), 0)</f>
        <v>1</v>
      </c>
      <c r="X18" s="165">
        <f>IFERROR(VALUE(SUBSTITUTE(([1]!lst?MERV_Ö_XMEV_Ö_GFGV145.AB_Ö_24hs), ".", ",")), 0)</f>
        <v>0.21</v>
      </c>
      <c r="Y18" s="693">
        <f>IFERROR(VALUE(SUBSTITUTE(([1]!chgp?MERV_Ö_XMEV_Ö_GFGV145.AB_Ö_24hs), ".", ",") / 100), 0)</f>
        <v>-0.27585999999999999</v>
      </c>
      <c r="Z18" s="694"/>
      <c r="AA18" s="694"/>
      <c r="AB18" s="694"/>
      <c r="AC18" s="694"/>
      <c r="AD18" s="695">
        <f>IFERROR(VALUE(SUBSTITUTE(([1]!vole?MERV_Ö_XMEV_Ö_GFGV145.AB_Ö_24hs), ".", ",")), 0)</f>
        <v>5035.3</v>
      </c>
      <c r="AE18" s="695">
        <f>IFERROR(VALUE(SUBSTITUTE(([1]!voln?MERV_Ö_XMEV_Ö_GFGV145.AB_Ö_24hs), ".", ",")), 0)</f>
        <v>195</v>
      </c>
      <c r="AF18" s="694">
        <f>IFERROR(VALUE(SUBSTITUTE(([1]!vol?MERV_Ö_XMEV_Ö_GFGV145.AB_Ö_24hs), ".", ",")), 0)</f>
        <v>0</v>
      </c>
      <c r="AG18" s="696">
        <f>IFERROR(VALUE(SUBSTITUTE(([1]!ltu?MERV_Ö_XMEV_Ö_GFGV145.AB_Ö_24hs), ".", ",")), 0)</f>
        <v>0.70128472222222227</v>
      </c>
      <c r="AH18" s="697">
        <f t="shared" si="1"/>
        <v>0</v>
      </c>
      <c r="AJ18" s="691"/>
      <c r="AK18" s="738"/>
      <c r="AL18" s="738"/>
      <c r="AM18" s="691"/>
      <c r="AO18" s="691"/>
      <c r="AP18" s="738"/>
      <c r="AQ18" s="738"/>
      <c r="AR18" s="691"/>
      <c r="AT18" s="691"/>
      <c r="AU18" s="738"/>
      <c r="AV18" s="738"/>
      <c r="AW18" s="691"/>
      <c r="AY18" s="691"/>
      <c r="AZ18" s="738"/>
      <c r="BA18" s="738"/>
      <c r="BB18" s="691"/>
      <c r="BD18" s="691"/>
      <c r="BE18" s="738"/>
      <c r="BF18" s="738"/>
      <c r="BG18" s="691"/>
      <c r="BI18" s="691"/>
      <c r="BJ18" s="738"/>
      <c r="BK18" s="738"/>
      <c r="BL18" s="691"/>
      <c r="BP18" s="766"/>
      <c r="BQ18" s="766"/>
      <c r="BS18" s="728"/>
    </row>
    <row r="19" spans="1:71" ht="12.75" customHeight="1">
      <c r="A19" s="737"/>
      <c r="B19" s="728" t="str">
        <f>+GGAL!N11</f>
        <v>GFGC150.AB</v>
      </c>
      <c r="C19" s="729">
        <f>IFERROR(VALUE(SUBSTITUTE(([1]!bsi?MERV_Ö_XMEV_Ö_GFGC150.AB_Ö_24hs), ".", ",")), 0)</f>
        <v>0</v>
      </c>
      <c r="D19" s="730">
        <f>IFERROR(VALUE(SUBSTITUTE(([1]!bpr?MERV_Ö_XMEV_Ö_GFGC150.AB_Ö_24hs), ".", ",")), 0)</f>
        <v>0</v>
      </c>
      <c r="E19" s="730">
        <f>IFERROR(VALUE(SUBSTITUTE(([1]!opr?MERV_Ö_XMEV_Ö_GFGC150.AB_Ö_24hs), ".", ",")), 0)</f>
        <v>72</v>
      </c>
      <c r="F19" s="729">
        <f>IFERROR(VALUE(SUBSTITUTE(([1]!osi?MERV_Ö_XMEV_Ö_GFGC150.AB_Ö_24hs), ".", ",")), 0)</f>
        <v>1</v>
      </c>
      <c r="G19" s="731">
        <f>IFERROR(VALUE(SUBSTITUTE(([1]!lst?MERV_Ö_XMEV_Ö_GFGC150.AB_Ö_24hs), ".", ",")), 0)</f>
        <v>0</v>
      </c>
      <c r="H19" s="732">
        <f>IFERROR(VALUE(SUBSTITUTE(([1]!chgp?MERV_Ö_XMEV_Ö_GFGC150.AB_Ö_24hs), ".", ",") / 100), 0)</f>
        <v>0</v>
      </c>
      <c r="I19" s="733"/>
      <c r="J19" s="733"/>
      <c r="K19" s="733"/>
      <c r="L19" s="733"/>
      <c r="M19" s="734">
        <f>IFERROR(VALUE(SUBSTITUTE(([1]!vole?MERV_Ö_XMEV_Ö_GFGC150.AB_Ö_24hs), ".", ",")), 0)</f>
        <v>0</v>
      </c>
      <c r="N19" s="734">
        <f>IFERROR(VALUE(SUBSTITUTE(([1]!voln?MERV_Ö_XMEV_Ö_GFGC150.AB_Ö_24hs), ".", ",")), 0)</f>
        <v>0</v>
      </c>
      <c r="O19" s="733">
        <f>IFERROR(VALUE(SUBSTITUTE(([1]!vol?MERV_Ö_XMEV_Ö_GFGC150.AB_Ö_24hs), ".", ",")), 0)</f>
        <v>0</v>
      </c>
      <c r="P19" s="735">
        <f>IFERROR(VALUE(SUBSTITUTE(([1]!ltu?MERV_Ö_XMEV_Ö_GFGC150.AB_Ö_24hs), ".", ",")), 0)</f>
        <v>0</v>
      </c>
      <c r="Q19" s="736">
        <f t="shared" si="0"/>
        <v>0</v>
      </c>
      <c r="S19" s="690" t="str">
        <f>+GGAL!P11</f>
        <v>GFGV150.AB</v>
      </c>
      <c r="T19" s="691">
        <f>IFERROR(VALUE(SUBSTITUTE(([1]!bsi?MERV_Ö_XMEV_Ö_GFGV150.AB_Ö_24hs), ".", ",")), 0)</f>
        <v>0</v>
      </c>
      <c r="U19" s="692">
        <f>IFERROR(VALUE(SUBSTITUTE(([1]!bpr?MERV_Ö_XMEV_Ö_GFGV150.AB_Ö_24hs), ".", ",")), 0)</f>
        <v>0</v>
      </c>
      <c r="V19" s="692">
        <f>IFERROR(VALUE(SUBSTITUTE(([1]!opr?MERV_Ö_XMEV_Ö_GFGV150.AB_Ö_24hs), ".", ",")), 0)</f>
        <v>0</v>
      </c>
      <c r="W19" s="691">
        <f>IFERROR(VALUE(SUBSTITUTE(([1]!osi?MERV_Ö_XMEV_Ö_GFGV150.AB_Ö_24hs), ".", ",")), 0)</f>
        <v>0</v>
      </c>
      <c r="X19" s="165">
        <f>IFERROR(VALUE(SUBSTITUTE(([1]!lst?MERV_Ö_XMEV_Ö_GFGV150.AB_Ö_24hs), ".", ",")), 0)</f>
        <v>0</v>
      </c>
      <c r="Y19" s="693">
        <f>IFERROR(VALUE(SUBSTITUTE(([1]!chgp?MERV_Ö_XMEV_Ö_GFGV150.AB_Ö_24hs), ".", ",") / 100), 0)</f>
        <v>0</v>
      </c>
      <c r="Z19" s="694"/>
      <c r="AA19" s="694"/>
      <c r="AB19" s="694"/>
      <c r="AC19" s="694"/>
      <c r="AD19" s="695">
        <f>IFERROR(VALUE(SUBSTITUTE(([1]!vole?MERV_Ö_XMEV_Ö_GFGV150.AB_Ö_24hs), ".", ",")), 0)</f>
        <v>0</v>
      </c>
      <c r="AE19" s="695">
        <f>IFERROR(VALUE(SUBSTITUTE(([1]!voln?MERV_Ö_XMEV_Ö_GFGV150.AB_Ö_24hs), ".", ",")), 0)</f>
        <v>0</v>
      </c>
      <c r="AF19" s="694">
        <f>IFERROR(VALUE(SUBSTITUTE(([1]!vol?MERV_Ö_XMEV_Ö_GFGV150.AB_Ö_24hs), ".", ",")), 0)</f>
        <v>0</v>
      </c>
      <c r="AG19" s="696">
        <f>IFERROR(VALUE(SUBSTITUTE(([1]!ltu?MERV_Ö_XMEV_Ö_GFGV150.AB_Ö_24hs), ".", ",")), 0)</f>
        <v>0</v>
      </c>
      <c r="AH19" s="697">
        <f t="shared" si="1"/>
        <v>0</v>
      </c>
      <c r="AJ19" s="691"/>
      <c r="AK19" s="738"/>
      <c r="AL19" s="738"/>
      <c r="AM19" s="691"/>
      <c r="AO19" s="691"/>
      <c r="AP19" s="738"/>
      <c r="AQ19" s="738"/>
      <c r="AR19" s="691"/>
      <c r="AT19" s="691"/>
      <c r="AU19" s="738"/>
      <c r="AV19" s="738"/>
      <c r="AW19" s="691"/>
      <c r="AY19" s="691"/>
      <c r="AZ19" s="738"/>
      <c r="BA19" s="738"/>
      <c r="BB19" s="691"/>
      <c r="BD19" s="691"/>
      <c r="BE19" s="738"/>
      <c r="BF19" s="738"/>
      <c r="BG19" s="691"/>
      <c r="BI19" s="691"/>
      <c r="BJ19" s="738"/>
      <c r="BK19" s="738"/>
      <c r="BL19" s="691"/>
      <c r="BP19" s="766"/>
      <c r="BQ19" s="766"/>
      <c r="BS19" s="728"/>
    </row>
    <row r="20" spans="1:71" ht="12.75" customHeight="1">
      <c r="A20" s="737"/>
      <c r="B20" s="728" t="str">
        <f>+GGAL!N12</f>
        <v>GFGC155.AB</v>
      </c>
      <c r="C20" s="729">
        <f>IFERROR(VALUE(SUBSTITUTE(([1]!bsi?MERV_Ö_XMEV_Ö_GFGC155.AB_Ö_24hs), ".", ",")), 0)</f>
        <v>0</v>
      </c>
      <c r="D20" s="730">
        <f>IFERROR(VALUE(SUBSTITUTE(([1]!bpr?MERV_Ö_XMEV_Ö_GFGC155.AB_Ö_24hs), ".", ",")), 0)</f>
        <v>0</v>
      </c>
      <c r="E20" s="730">
        <f>IFERROR(VALUE(SUBSTITUTE(([1]!opr?MERV_Ö_XMEV_Ö_GFGC155.AB_Ö_24hs), ".", ",")), 0)</f>
        <v>0</v>
      </c>
      <c r="F20" s="729">
        <f>IFERROR(VALUE(SUBSTITUTE(([1]!osi?MERV_Ö_XMEV_Ö_GFGC155.AB_Ö_24hs), ".", ",")), 0)</f>
        <v>0</v>
      </c>
      <c r="G20" s="731">
        <f>IFERROR(VALUE(SUBSTITUTE(([1]!lst?MERV_Ö_XMEV_Ö_GFGC155.AB_Ö_24hs), ".", ",")), 0)</f>
        <v>0</v>
      </c>
      <c r="H20" s="732">
        <f>IFERROR(VALUE(SUBSTITUTE(([1]!chgp?MERV_Ö_XMEV_Ö_GFGC155.AB_Ö_24hs), ".", ",") / 100), 0)</f>
        <v>0</v>
      </c>
      <c r="I20" s="733"/>
      <c r="J20" s="733"/>
      <c r="K20" s="733"/>
      <c r="L20" s="733"/>
      <c r="M20" s="734">
        <f>IFERROR(VALUE(SUBSTITUTE(([1]!vole?MERV_Ö_XMEV_Ö_GFGC155.AB_Ö_24hs), ".", ",")), 0)</f>
        <v>0</v>
      </c>
      <c r="N20" s="734">
        <f>IFERROR(VALUE(SUBSTITUTE(([1]!voln?MERV_Ö_XMEV_Ö_GFGC155.AB_Ö_24hs), ".", ",")), 0)</f>
        <v>0</v>
      </c>
      <c r="O20" s="733">
        <f>IFERROR(VALUE(SUBSTITUTE(([1]!vol?MERV_Ö_XMEV_Ö_GFGC155.AB_Ö_24hs), ".", ",")), 0)</f>
        <v>0</v>
      </c>
      <c r="P20" s="735">
        <f>IFERROR(VALUE(SUBSTITUTE(([1]!ltu?MERV_Ö_XMEV_Ö_GFGC155.AB_Ö_24hs), ".", ",")), 0)</f>
        <v>0</v>
      </c>
      <c r="Q20" s="736">
        <f t="shared" si="0"/>
        <v>0</v>
      </c>
      <c r="S20" s="690" t="str">
        <f>+GGAL!P12</f>
        <v>GFGV155.AB</v>
      </c>
      <c r="T20" s="691">
        <f>IFERROR(VALUE(SUBSTITUTE(([1]!bsi?MERV_Ö_XMEV_Ö_GFGV155.AB_Ö_24hs), ".", ",")), 0)</f>
        <v>0</v>
      </c>
      <c r="U20" s="692">
        <f>IFERROR(VALUE(SUBSTITUTE(([1]!bpr?MERV_Ö_XMEV_Ö_GFGV155.AB_Ö_24hs), ".", ",")), 0)</f>
        <v>0</v>
      </c>
      <c r="V20" s="692">
        <f>IFERROR(VALUE(SUBSTITUTE(([1]!opr?MERV_Ö_XMEV_Ö_GFGV155.AB_Ö_24hs), ".", ",")), 0)</f>
        <v>0</v>
      </c>
      <c r="W20" s="691">
        <f>IFERROR(VALUE(SUBSTITUTE(([1]!osi?MERV_Ö_XMEV_Ö_GFGV155.AB_Ö_24hs), ".", ",")), 0)</f>
        <v>0</v>
      </c>
      <c r="X20" s="165">
        <f>IFERROR(VALUE(SUBSTITUTE(([1]!lst?MERV_Ö_XMEV_Ö_GFGV155.AB_Ö_24hs), ".", ",")), 0)</f>
        <v>0</v>
      </c>
      <c r="Y20" s="693">
        <f>IFERROR(VALUE(SUBSTITUTE(([1]!chgp?MERV_Ö_XMEV_Ö_GFGV155.AB_Ö_24hs), ".", ",") / 100), 0)</f>
        <v>0</v>
      </c>
      <c r="Z20" s="694"/>
      <c r="AA20" s="694"/>
      <c r="AB20" s="694"/>
      <c r="AC20" s="694"/>
      <c r="AD20" s="695">
        <f>IFERROR(VALUE(SUBSTITUTE(([1]!vole?MERV_Ö_XMEV_Ö_GFGV155.AB_Ö_24hs), ".", ",")), 0)</f>
        <v>0</v>
      </c>
      <c r="AE20" s="695">
        <f>IFERROR(VALUE(SUBSTITUTE(([1]!voln?MERV_Ö_XMEV_Ö_GFGV155.AB_Ö_24hs), ".", ",")), 0)</f>
        <v>0</v>
      </c>
      <c r="AF20" s="694">
        <f>IFERROR(VALUE(SUBSTITUTE(([1]!vol?MERV_Ö_XMEV_Ö_GFGV155.AB_Ö_24hs), ".", ",")), 0)</f>
        <v>0</v>
      </c>
      <c r="AG20" s="696">
        <f>IFERROR(VALUE(SUBSTITUTE(([1]!ltu?MERV_Ö_XMEV_Ö_GFGV155.AB_Ö_24hs), ".", ",")), 0)</f>
        <v>0</v>
      </c>
      <c r="AH20" s="697">
        <f t="shared" si="1"/>
        <v>0</v>
      </c>
      <c r="AJ20" s="691"/>
      <c r="AK20" s="738"/>
      <c r="AL20" s="738"/>
      <c r="AM20" s="691"/>
      <c r="AO20" s="691"/>
      <c r="AP20" s="738"/>
      <c r="AQ20" s="738"/>
      <c r="AR20" s="691"/>
      <c r="AT20" s="691"/>
      <c r="AU20" s="738"/>
      <c r="AV20" s="738"/>
      <c r="AW20" s="691"/>
      <c r="AY20" s="691"/>
      <c r="AZ20" s="738"/>
      <c r="BA20" s="738"/>
      <c r="BB20" s="691"/>
      <c r="BD20" s="691"/>
      <c r="BE20" s="738"/>
      <c r="BF20" s="738"/>
      <c r="BG20" s="691"/>
      <c r="BI20" s="691"/>
      <c r="BJ20" s="738"/>
      <c r="BK20" s="738"/>
      <c r="BL20" s="691"/>
      <c r="BP20" s="766"/>
      <c r="BQ20" s="766"/>
      <c r="BS20" s="728"/>
    </row>
    <row r="21" spans="1:71" ht="12.75" customHeight="1" thickBot="1">
      <c r="A21" s="737"/>
      <c r="B21" s="728" t="str">
        <f>+GGAL!N13</f>
        <v>GFGC160.AB</v>
      </c>
      <c r="C21" s="729">
        <f>IFERROR(VALUE(SUBSTITUTE(([1]!bsi?MERV_Ö_XMEV_Ö_GFGC160.AB_Ö_24hs), ".", ",")), 0)</f>
        <v>0</v>
      </c>
      <c r="D21" s="730">
        <f>IFERROR(VALUE(SUBSTITUTE(([1]!bpr?MERV_Ö_XMEV_Ö_GFGC160.AB_Ö_24hs), ".", ",")), 0)</f>
        <v>0</v>
      </c>
      <c r="E21" s="730">
        <f>IFERROR(VALUE(SUBSTITUTE(([1]!opr?MERV_Ö_XMEV_Ö_GFGC160.AB_Ö_24hs), ".", ",")), 0)</f>
        <v>0</v>
      </c>
      <c r="F21" s="729">
        <f>IFERROR(VALUE(SUBSTITUTE(([1]!osi?MERV_Ö_XMEV_Ö_GFGC160.AB_Ö_24hs), ".", ",")), 0)</f>
        <v>0</v>
      </c>
      <c r="G21" s="731">
        <f>IFERROR(VALUE(SUBSTITUTE(([1]!lst?MERV_Ö_XMEV_Ö_GFGC160.AB_Ö_24hs), ".", ",")), 0)</f>
        <v>0</v>
      </c>
      <c r="H21" s="732">
        <f>IFERROR(VALUE(SUBSTITUTE(([1]!chgp?MERV_Ö_XMEV_Ö_GFGC160.AB_Ö_24hs), ".", ",") / 100), 0)</f>
        <v>0</v>
      </c>
      <c r="I21" s="733"/>
      <c r="J21" s="733"/>
      <c r="K21" s="733"/>
      <c r="L21" s="733"/>
      <c r="M21" s="734">
        <f>IFERROR(VALUE(SUBSTITUTE(([1]!vole?MERV_Ö_XMEV_Ö_GFGC160.AB_Ö_24hs), ".", ",")), 0)</f>
        <v>0</v>
      </c>
      <c r="N21" s="734">
        <f>IFERROR(VALUE(SUBSTITUTE(([1]!voln?MERV_Ö_XMEV_Ö_GFGC160.AB_Ö_24hs), ".", ",")), 0)</f>
        <v>0</v>
      </c>
      <c r="O21" s="733">
        <f>IFERROR(VALUE(SUBSTITUTE(([1]!vol?MERV_Ö_XMEV_Ö_GFGC160.AB_Ö_24hs), ".", ",")), 0)</f>
        <v>0</v>
      </c>
      <c r="P21" s="735">
        <f>IFERROR(VALUE(SUBSTITUTE(([1]!ltu?MERV_Ö_XMEV_Ö_GFGC160.AB_Ö_24hs), ".", ",")), 0)</f>
        <v>0</v>
      </c>
      <c r="Q21" s="736">
        <f t="shared" si="0"/>
        <v>0</v>
      </c>
      <c r="S21" s="690" t="str">
        <f>+GGAL!P13</f>
        <v>GFGV160.AB</v>
      </c>
      <c r="T21" s="691">
        <f>IFERROR(VALUE(SUBSTITUTE(([1]!bsi?MERV_Ö_XMEV_Ö_GFGV160.AB_Ö_24hs), ".", ",")), 0)</f>
        <v>1167</v>
      </c>
      <c r="U21" s="692">
        <f>IFERROR(VALUE(SUBSTITUTE(([1]!bpr?MERV_Ö_XMEV_Ö_GFGV160.AB_Ö_24hs), ".", ",")), 0)</f>
        <v>0.45</v>
      </c>
      <c r="V21" s="692">
        <f>IFERROR(VALUE(SUBSTITUTE(([1]!opr?MERV_Ö_XMEV_Ö_GFGV160.AB_Ö_24hs), ".", ",")), 0)</f>
        <v>0.46</v>
      </c>
      <c r="W21" s="691">
        <f>IFERROR(VALUE(SUBSTITUTE(([1]!osi?MERV_Ö_XMEV_Ö_GFGV160.AB_Ö_24hs), ".", ",")), 0)</f>
        <v>25</v>
      </c>
      <c r="X21" s="165">
        <f>IFERROR(VALUE(SUBSTITUTE(([1]!lst?MERV_Ö_XMEV_Ö_GFGV160.AB_Ö_24hs), ".", ",")), 0)</f>
        <v>0.45</v>
      </c>
      <c r="Y21" s="693">
        <f>IFERROR(VALUE(SUBSTITUTE(([1]!chgp?MERV_Ö_XMEV_Ö_GFGV160.AB_Ö_24hs), ".", ",") / 100), 0)</f>
        <v>-0.19928999999999999</v>
      </c>
      <c r="Z21" s="694"/>
      <c r="AA21" s="694"/>
      <c r="AB21" s="694"/>
      <c r="AC21" s="694"/>
      <c r="AD21" s="695">
        <f>IFERROR(VALUE(SUBSTITUTE(([1]!vole?MERV_Ö_XMEV_Ö_GFGV160.AB_Ö_24hs), ".", ",")), 0)</f>
        <v>131033.8</v>
      </c>
      <c r="AE21" s="695">
        <f>IFERROR(VALUE(SUBSTITUTE(([1]!voln?MERV_Ö_XMEV_Ö_GFGV160.AB_Ö_24hs), ".", ",")), 0)</f>
        <v>2747</v>
      </c>
      <c r="AF21" s="694">
        <f>IFERROR(VALUE(SUBSTITUTE(([1]!vol?MERV_Ö_XMEV_Ö_GFGV160.AB_Ö_24hs), ".", ",")), 0)</f>
        <v>0</v>
      </c>
      <c r="AG21" s="696">
        <f>IFERROR(VALUE(SUBSTITUTE(([1]!ltu?MERV_Ö_XMEV_Ö_GFGV160.AB_Ö_24hs), ".", ",")), 0)</f>
        <v>0.7082060185185185</v>
      </c>
      <c r="AH21" s="697">
        <f t="shared" si="1"/>
        <v>0</v>
      </c>
      <c r="BP21" s="766"/>
      <c r="BQ21" s="766"/>
      <c r="BS21" s="728"/>
    </row>
    <row r="22" spans="1:71" ht="12.75" customHeight="1" thickBot="1">
      <c r="A22" s="737"/>
      <c r="B22" s="728" t="str">
        <f>+GGAL!N14</f>
        <v>GFGC165.AB</v>
      </c>
      <c r="C22" s="729">
        <f>IFERROR(VALUE(SUBSTITUTE(([1]!bsi?MERV_Ö_XMEV_Ö_GFGC165.AB_Ö_24hs), ".", ",")), 0)</f>
        <v>1</v>
      </c>
      <c r="D22" s="730">
        <f>IFERROR(VALUE(SUBSTITUTE(([1]!bpr?MERV_Ö_XMEV_Ö_GFGC165.AB_Ö_24hs), ".", ",")), 0)</f>
        <v>48.381</v>
      </c>
      <c r="E22" s="730">
        <f>IFERROR(VALUE(SUBSTITUTE(([1]!opr?MERV_Ö_XMEV_Ö_GFGC165.AB_Ö_24hs), ".", ",")), 0)</f>
        <v>90</v>
      </c>
      <c r="F22" s="729">
        <f>IFERROR(VALUE(SUBSTITUTE(([1]!osi?MERV_Ö_XMEV_Ö_GFGC165.AB_Ö_24hs), ".", ",")), 0)</f>
        <v>1</v>
      </c>
      <c r="G22" s="731">
        <f>IFERROR(VALUE(SUBSTITUTE(([1]!lst?MERV_Ö_XMEV_Ö_GFGC165.AB_Ö_24hs), ".", ",")), 0)</f>
        <v>55</v>
      </c>
      <c r="H22" s="732">
        <f>IFERROR(VALUE(SUBSTITUTE(([1]!chgp?MERV_Ö_XMEV_Ö_GFGC165.AB_Ö_24hs), ".", ",") / 100), 0)</f>
        <v>0.14583000000000002</v>
      </c>
      <c r="I22" s="733"/>
      <c r="J22" s="733"/>
      <c r="K22" s="733"/>
      <c r="L22" s="733"/>
      <c r="M22" s="734">
        <f>IFERROR(VALUE(SUBSTITUTE(([1]!vole?MERV_Ö_XMEV_Ö_GFGC165.AB_Ö_24hs), ".", ",")), 0)</f>
        <v>27500</v>
      </c>
      <c r="N22" s="734">
        <f>IFERROR(VALUE(SUBSTITUTE(([1]!voln?MERV_Ö_XMEV_Ö_GFGC165.AB_Ö_24hs), ".", ",")), 0)</f>
        <v>5</v>
      </c>
      <c r="O22" s="733">
        <f>IFERROR(VALUE(SUBSTITUTE(([1]!vol?MERV_Ö_XMEV_Ö_GFGC165.AB_Ö_24hs), ".", ",")), 0)</f>
        <v>0</v>
      </c>
      <c r="P22" s="735">
        <f>IFERROR(VALUE(SUBSTITUTE(([1]!ltu?MERV_Ö_XMEV_Ö_GFGC165.AB_Ö_24hs), ".", ",")), 0)</f>
        <v>0.70237268518518514</v>
      </c>
      <c r="Q22" s="736">
        <f t="shared" si="0"/>
        <v>55</v>
      </c>
      <c r="S22" s="690" t="str">
        <f>+GGAL!P14</f>
        <v>GFGV165.AB</v>
      </c>
      <c r="T22" s="691">
        <f>IFERROR(VALUE(SUBSTITUTE(([1]!bsi?MERV_Ö_XMEV_Ö_GFGV165.AB_Ö_24hs), ".", ",")), 0)</f>
        <v>0</v>
      </c>
      <c r="U22" s="692">
        <f>IFERROR(VALUE(SUBSTITUTE(([1]!bpr?MERV_Ö_XMEV_Ö_GFGV165.AB_Ö_24hs), ".", ",")), 0)</f>
        <v>0</v>
      </c>
      <c r="V22" s="692">
        <f>IFERROR(VALUE(SUBSTITUTE(([1]!opr?MERV_Ö_XMEV_Ö_GFGV165.AB_Ö_24hs), ".", ",")), 0)</f>
        <v>0.62</v>
      </c>
      <c r="W22" s="691">
        <f>IFERROR(VALUE(SUBSTITUTE(([1]!osi?MERV_Ö_XMEV_Ö_GFGV165.AB_Ö_24hs), ".", ",")), 0)</f>
        <v>34</v>
      </c>
      <c r="X22" s="165">
        <f>IFERROR(VALUE(SUBSTITUTE(([1]!lst?MERV_Ö_XMEV_Ö_GFGV165.AB_Ö_24hs), ".", ",")), 0)</f>
        <v>0.62</v>
      </c>
      <c r="Y22" s="693">
        <f>IFERROR(VALUE(SUBSTITUTE(([1]!chgp?MERV_Ö_XMEV_Ö_GFGV165.AB_Ö_24hs), ".", ",") / 100), 0)</f>
        <v>0</v>
      </c>
      <c r="Z22" s="694"/>
      <c r="AA22" s="694"/>
      <c r="AB22" s="694"/>
      <c r="AC22" s="694"/>
      <c r="AD22" s="695">
        <f>IFERROR(VALUE(SUBSTITUTE(([1]!vole?MERV_Ö_XMEV_Ö_GFGV165.AB_Ö_24hs), ".", ",")), 0)</f>
        <v>3729.5</v>
      </c>
      <c r="AE22" s="695">
        <f>IFERROR(VALUE(SUBSTITUTE(([1]!voln?MERV_Ö_XMEV_Ö_GFGV165.AB_Ö_24hs), ".", ",")), 0)</f>
        <v>66</v>
      </c>
      <c r="AF22" s="694">
        <f>IFERROR(VALUE(SUBSTITUTE(([1]!vol?MERV_Ö_XMEV_Ö_GFGV165.AB_Ö_24hs), ".", ",")), 0)</f>
        <v>0</v>
      </c>
      <c r="AG22" s="696">
        <f>IFERROR(VALUE(SUBSTITUTE(([1]!ltu?MERV_Ö_XMEV_Ö_GFGV165.AB_Ö_24hs), ".", ",")), 0)</f>
        <v>0.70521990740740748</v>
      </c>
      <c r="AH22" s="697">
        <f t="shared" si="1"/>
        <v>55</v>
      </c>
      <c r="AJ22" s="698"/>
      <c r="AK22" s="699"/>
      <c r="AL22" s="700"/>
      <c r="AM22" s="701"/>
      <c r="AO22" s="698"/>
      <c r="AP22" s="699"/>
      <c r="AQ22" s="700"/>
      <c r="AR22" s="701"/>
      <c r="AT22" s="698"/>
      <c r="AU22" s="699"/>
      <c r="AV22" s="700"/>
      <c r="AW22" s="701"/>
      <c r="AY22" s="698"/>
      <c r="AZ22" s="699"/>
      <c r="BA22" s="700"/>
      <c r="BB22" s="701"/>
      <c r="BD22" s="698"/>
      <c r="BE22" s="699"/>
      <c r="BF22" s="700"/>
      <c r="BG22" s="701"/>
      <c r="BI22" s="698"/>
      <c r="BJ22" s="699"/>
      <c r="BK22" s="700"/>
      <c r="BL22" s="701"/>
      <c r="BP22" s="766"/>
      <c r="BQ22" s="766"/>
      <c r="BS22" s="728"/>
    </row>
    <row r="23" spans="1:71" ht="12.75" customHeight="1">
      <c r="A23" s="739"/>
      <c r="B23" s="728" t="str">
        <f>+GGAL!N15</f>
        <v>GFGC170.AB</v>
      </c>
      <c r="C23" s="729">
        <f>IFERROR(VALUE(SUBSTITUTE(([1]!bsi?MERV_Ö_XMEV_Ö_GFGC170.AB_Ö_24hs), ".", ",")), 0)</f>
        <v>0</v>
      </c>
      <c r="D23" s="730">
        <f>IFERROR(VALUE(SUBSTITUTE(([1]!bpr?MERV_Ö_XMEV_Ö_GFGC170.AB_Ö_24hs), ".", ",")), 0)</f>
        <v>0</v>
      </c>
      <c r="E23" s="730">
        <f>IFERROR(VALUE(SUBSTITUTE(([1]!opr?MERV_Ö_XMEV_Ö_GFGC170.AB_Ö_24hs), ".", ",")), 0)</f>
        <v>0</v>
      </c>
      <c r="F23" s="729">
        <f>IFERROR(VALUE(SUBSTITUTE(([1]!osi?MERV_Ö_XMEV_Ö_GFGC170.AB_Ö_24hs), ".", ",")), 0)</f>
        <v>0</v>
      </c>
      <c r="G23" s="731">
        <f>IFERROR(VALUE(SUBSTITUTE(([1]!lst?MERV_Ö_XMEV_Ö_GFGC170.AB_Ö_24hs), ".", ",")), 0)</f>
        <v>0</v>
      </c>
      <c r="H23" s="732">
        <f>IFERROR(VALUE(SUBSTITUTE(([1]!chgp?MERV_Ö_XMEV_Ö_GFGC170.AB_Ö_24hs), ".", ",") / 100), 0)</f>
        <v>0</v>
      </c>
      <c r="I23" s="733"/>
      <c r="J23" s="733"/>
      <c r="K23" s="733"/>
      <c r="L23" s="733"/>
      <c r="M23" s="734">
        <f>IFERROR(VALUE(SUBSTITUTE(([1]!vole?MERV_Ö_XMEV_Ö_GFGC170.AB_Ö_24hs), ".", ",")), 0)</f>
        <v>0</v>
      </c>
      <c r="N23" s="734">
        <f>IFERROR(VALUE(SUBSTITUTE(([1]!voln?MERV_Ö_XMEV_Ö_GFGC170.AB_Ö_24hs), ".", ",")), 0)</f>
        <v>0</v>
      </c>
      <c r="O23" s="733">
        <f>IFERROR(VALUE(SUBSTITUTE(([1]!vol?MERV_Ö_XMEV_Ö_GFGC170.AB_Ö_24hs), ".", ",")), 0)</f>
        <v>0</v>
      </c>
      <c r="P23" s="735">
        <f>IFERROR(VALUE(SUBSTITUTE(([1]!ltu?MERV_Ö_XMEV_Ö_GFGC170.AB_Ö_24hs), ".", ",")), 0)</f>
        <v>0</v>
      </c>
      <c r="Q23" s="736">
        <f t="shared" si="0"/>
        <v>0</v>
      </c>
      <c r="S23" s="690" t="str">
        <f>+GGAL!P15</f>
        <v>GFGV170.AB</v>
      </c>
      <c r="T23" s="691">
        <f>IFERROR(VALUE(SUBSTITUTE(([1]!bsi?MERV_Ö_XMEV_Ö_GFGV170.AB_Ö_24hs), ".", ",")), 0)</f>
        <v>400</v>
      </c>
      <c r="U23" s="692">
        <f>IFERROR(VALUE(SUBSTITUTE(([1]!bpr?MERV_Ö_XMEV_Ö_GFGV170.AB_Ö_24hs), ".", ",")), 0)</f>
        <v>0.7</v>
      </c>
      <c r="V23" s="692">
        <f>IFERROR(VALUE(SUBSTITUTE(([1]!opr?MERV_Ö_XMEV_Ö_GFGV170.AB_Ö_24hs), ".", ",")), 0)</f>
        <v>0.76</v>
      </c>
      <c r="W23" s="691">
        <f>IFERROR(VALUE(SUBSTITUTE(([1]!osi?MERV_Ö_XMEV_Ö_GFGV170.AB_Ö_24hs), ".", ",")), 0)</f>
        <v>46</v>
      </c>
      <c r="X23" s="165">
        <f>IFERROR(VALUE(SUBSTITUTE(([1]!lst?MERV_Ö_XMEV_Ö_GFGV170.AB_Ö_24hs), ".", ",")), 0)</f>
        <v>0.7</v>
      </c>
      <c r="Y23" s="693">
        <f>IFERROR(VALUE(SUBSTITUTE(([1]!chgp?MERV_Ö_XMEV_Ö_GFGV170.AB_Ö_24hs), ".", ",") / 100), 0)</f>
        <v>-0.35185</v>
      </c>
      <c r="Z23" s="694"/>
      <c r="AA23" s="694"/>
      <c r="AB23" s="694"/>
      <c r="AC23" s="694"/>
      <c r="AD23" s="695">
        <f>IFERROR(VALUE(SUBSTITUTE(([1]!vole?MERV_Ö_XMEV_Ö_GFGV170.AB_Ö_24hs), ".", ",")), 0)</f>
        <v>290371.59999999998</v>
      </c>
      <c r="AE23" s="695">
        <f>IFERROR(VALUE(SUBSTITUTE(([1]!voln?MERV_Ö_XMEV_Ö_GFGV170.AB_Ö_24hs), ".", ",")), 0)</f>
        <v>3731</v>
      </c>
      <c r="AF23" s="694">
        <f>IFERROR(VALUE(SUBSTITUTE(([1]!vol?MERV_Ö_XMEV_Ö_GFGV170.AB_Ö_24hs), ".", ",")), 0)</f>
        <v>0</v>
      </c>
      <c r="AG23" s="696">
        <f>IFERROR(VALUE(SUBSTITUTE(([1]!ltu?MERV_Ö_XMEV_Ö_GFGV170.AB_Ö_24hs), ".", ",")), 0)</f>
        <v>0.70802083333333332</v>
      </c>
      <c r="AH23" s="697">
        <f t="shared" si="1"/>
        <v>0</v>
      </c>
      <c r="AJ23" s="691"/>
      <c r="AK23" s="738"/>
      <c r="AL23" s="738"/>
      <c r="AM23" s="691"/>
      <c r="AO23" s="691"/>
      <c r="AP23" s="738"/>
      <c r="AQ23" s="738"/>
      <c r="AR23" s="691"/>
      <c r="AT23" s="691"/>
      <c r="AU23" s="738"/>
      <c r="AV23" s="738"/>
      <c r="AW23" s="691"/>
      <c r="AY23" s="691"/>
      <c r="AZ23" s="738"/>
      <c r="BA23" s="738"/>
      <c r="BB23" s="691"/>
      <c r="BD23" s="691"/>
      <c r="BE23" s="738"/>
      <c r="BF23" s="738"/>
      <c r="BG23" s="691"/>
      <c r="BI23" s="691"/>
      <c r="BJ23" s="738"/>
      <c r="BK23" s="738"/>
      <c r="BL23" s="691"/>
      <c r="BP23" s="766"/>
      <c r="BQ23" s="766"/>
      <c r="BS23" s="728"/>
    </row>
    <row r="24" spans="1:71" ht="12.75" customHeight="1">
      <c r="A24" s="737"/>
      <c r="B24" s="728" t="str">
        <f>+GGAL!N16</f>
        <v>GFGC175.AB</v>
      </c>
      <c r="C24" s="729">
        <f>IFERROR(VALUE(SUBSTITUTE(([1]!bsi?MERV_Ö_XMEV_Ö_GFGC175.AB_Ö_24hs), ".", ",")), 0)</f>
        <v>0</v>
      </c>
      <c r="D24" s="730">
        <f>IFERROR(VALUE(SUBSTITUTE(([1]!bpr?MERV_Ö_XMEV_Ö_GFGC175.AB_Ö_24hs), ".", ",")), 0)</f>
        <v>0</v>
      </c>
      <c r="E24" s="730">
        <f>IFERROR(VALUE(SUBSTITUTE(([1]!opr?MERV_Ö_XMEV_Ö_GFGC175.AB_Ö_24hs), ".", ",")), 0)</f>
        <v>0</v>
      </c>
      <c r="F24" s="729">
        <f>IFERROR(VALUE(SUBSTITUTE(([1]!osi?MERV_Ö_XMEV_Ö_GFGC175.AB_Ö_24hs), ".", ",")), 0)</f>
        <v>0</v>
      </c>
      <c r="G24" s="731">
        <f>IFERROR(VALUE(SUBSTITUTE(([1]!lst?MERV_Ö_XMEV_Ö_GFGC175.AB_Ö_24hs), ".", ",")), 0)</f>
        <v>0</v>
      </c>
      <c r="H24" s="732">
        <f>IFERROR(VALUE(SUBSTITUTE(([1]!chgp?MERV_Ö_XMEV_Ö_GFGC175.AB_Ö_24hs), ".", ",") / 100), 0)</f>
        <v>0</v>
      </c>
      <c r="I24" s="733"/>
      <c r="J24" s="733"/>
      <c r="K24" s="733"/>
      <c r="L24" s="733"/>
      <c r="M24" s="734">
        <f>IFERROR(VALUE(SUBSTITUTE(([1]!vole?MERV_Ö_XMEV_Ö_GFGC175.AB_Ö_24hs), ".", ",")), 0)</f>
        <v>0</v>
      </c>
      <c r="N24" s="734">
        <f>IFERROR(VALUE(SUBSTITUTE(([1]!voln?MERV_Ö_XMEV_Ö_GFGC175.AB_Ö_24hs), ".", ",")), 0)</f>
        <v>0</v>
      </c>
      <c r="O24" s="733">
        <f>IFERROR(VALUE(SUBSTITUTE(([1]!vol?MERV_Ö_XMEV_Ö_GFGC175.AB_Ö_24hs), ".", ",")), 0)</f>
        <v>0</v>
      </c>
      <c r="P24" s="735">
        <f>IFERROR(VALUE(SUBSTITUTE(([1]!ltu?MERV_Ö_XMEV_Ö_GFGC175.AB_Ö_24hs), ".", ",")), 0)</f>
        <v>0</v>
      </c>
      <c r="Q24" s="736">
        <f t="shared" si="0"/>
        <v>0</v>
      </c>
      <c r="S24" s="690" t="str">
        <f>+GGAL!P16</f>
        <v>GFGV175.AB</v>
      </c>
      <c r="T24" s="691">
        <f>IFERROR(VALUE(SUBSTITUTE(([1]!bsi?MERV_Ö_XMEV_Ö_GFGV175.AB_Ö_24hs), ".", ",")), 0)</f>
        <v>0</v>
      </c>
      <c r="U24" s="692">
        <f>IFERROR(VALUE(SUBSTITUTE(([1]!bpr?MERV_Ö_XMEV_Ö_GFGV175.AB_Ö_24hs), ".", ",")), 0)</f>
        <v>0</v>
      </c>
      <c r="V24" s="692">
        <f>IFERROR(VALUE(SUBSTITUTE(([1]!opr?MERV_Ö_XMEV_Ö_GFGV175.AB_Ö_24hs), ".", ",")), 0)</f>
        <v>1.4</v>
      </c>
      <c r="W24" s="691">
        <f>IFERROR(VALUE(SUBSTITUTE(([1]!osi?MERV_Ö_XMEV_Ö_GFGV175.AB_Ö_24hs), ".", ",")), 0)</f>
        <v>35</v>
      </c>
      <c r="X24" s="165">
        <f>IFERROR(VALUE(SUBSTITUTE(([1]!lst?MERV_Ö_XMEV_Ö_GFGV175.AB_Ö_24hs), ".", ",")), 0)</f>
        <v>0</v>
      </c>
      <c r="Y24" s="693">
        <f>IFERROR(VALUE(SUBSTITUTE(([1]!chgp?MERV_Ö_XMEV_Ö_GFGV175.AB_Ö_24hs), ".", ",") / 100), 0)</f>
        <v>0</v>
      </c>
      <c r="Z24" s="694"/>
      <c r="AA24" s="694"/>
      <c r="AB24" s="694"/>
      <c r="AC24" s="694"/>
      <c r="AD24" s="695">
        <f>IFERROR(VALUE(SUBSTITUTE(([1]!vole?MERV_Ö_XMEV_Ö_GFGV175.AB_Ö_24hs), ".", ",")), 0)</f>
        <v>0</v>
      </c>
      <c r="AE24" s="695">
        <f>IFERROR(VALUE(SUBSTITUTE(([1]!voln?MERV_Ö_XMEV_Ö_GFGV175.AB_Ö_24hs), ".", ",")), 0)</f>
        <v>0</v>
      </c>
      <c r="AF24" s="694">
        <f>IFERROR(VALUE(SUBSTITUTE(([1]!vol?MERV_Ö_XMEV_Ö_GFGV175.AB_Ö_24hs), ".", ",")), 0)</f>
        <v>0</v>
      </c>
      <c r="AG24" s="696">
        <f>IFERROR(VALUE(SUBSTITUTE(([1]!ltu?MERV_Ö_XMEV_Ö_GFGV175.AB_Ö_24hs), ".", ",")), 0)</f>
        <v>0</v>
      </c>
      <c r="AH24" s="697">
        <f t="shared" si="1"/>
        <v>0</v>
      </c>
      <c r="AJ24" s="691"/>
      <c r="AK24" s="738"/>
      <c r="AL24" s="738"/>
      <c r="AM24" s="691"/>
      <c r="AO24" s="691"/>
      <c r="AP24" s="738"/>
      <c r="AQ24" s="738"/>
      <c r="AR24" s="691"/>
      <c r="AT24" s="691"/>
      <c r="AU24" s="738"/>
      <c r="AV24" s="738"/>
      <c r="AW24" s="691"/>
      <c r="AY24" s="691"/>
      <c r="AZ24" s="738"/>
      <c r="BA24" s="738"/>
      <c r="BB24" s="691"/>
      <c r="BD24" s="691"/>
      <c r="BE24" s="738"/>
      <c r="BF24" s="738"/>
      <c r="BG24" s="691"/>
      <c r="BI24" s="691"/>
      <c r="BJ24" s="738"/>
      <c r="BK24" s="738"/>
      <c r="BL24" s="691"/>
      <c r="BP24" s="766"/>
      <c r="BQ24" s="766"/>
      <c r="BS24" s="728"/>
    </row>
    <row r="25" spans="1:71" ht="12.75" customHeight="1">
      <c r="A25" s="737"/>
      <c r="B25" s="728" t="str">
        <f>+GGAL!N17</f>
        <v>GFGC180.AB</v>
      </c>
      <c r="C25" s="729">
        <f>IFERROR(VALUE(SUBSTITUTE(([1]!bsi?MERV_Ö_XMEV_Ö_GFGC180.AB_Ö_24hs), ".", ",")), 0)</f>
        <v>500</v>
      </c>
      <c r="D25" s="730">
        <f>IFERROR(VALUE(SUBSTITUTE(([1]!bpr?MERV_Ö_XMEV_Ö_GFGC180.AB_Ö_24hs), ".", ",")), 0)</f>
        <v>33.299999999999997</v>
      </c>
      <c r="E25" s="730">
        <f>IFERROR(VALUE(SUBSTITUTE(([1]!opr?MERV_Ö_XMEV_Ö_GFGC180.AB_Ö_24hs), ".", ",")), 0)</f>
        <v>45.34</v>
      </c>
      <c r="F25" s="729">
        <f>IFERROR(VALUE(SUBSTITUTE(([1]!osi?MERV_Ö_XMEV_Ö_GFGC180.AB_Ö_24hs), ".", ",")), 0)</f>
        <v>1</v>
      </c>
      <c r="G25" s="731">
        <f>IFERROR(VALUE(SUBSTITUTE(([1]!lst?MERV_Ö_XMEV_Ö_GFGC180.AB_Ö_24hs), ".", ",")), 0)</f>
        <v>0</v>
      </c>
      <c r="H25" s="732">
        <f>IFERROR(VALUE(SUBSTITUTE(([1]!chgp?MERV_Ö_XMEV_Ö_GFGC180.AB_Ö_24hs), ".", ",") / 100), 0)</f>
        <v>0</v>
      </c>
      <c r="I25" s="733"/>
      <c r="J25" s="733"/>
      <c r="K25" s="733"/>
      <c r="L25" s="733"/>
      <c r="M25" s="734">
        <f>IFERROR(VALUE(SUBSTITUTE(([1]!vole?MERV_Ö_XMEV_Ö_GFGC180.AB_Ö_24hs), ".", ",")), 0)</f>
        <v>0</v>
      </c>
      <c r="N25" s="734">
        <f>IFERROR(VALUE(SUBSTITUTE(([1]!voln?MERV_Ö_XMEV_Ö_GFGC180.AB_Ö_24hs), ".", ",")), 0)</f>
        <v>0</v>
      </c>
      <c r="O25" s="733">
        <f>IFERROR(VALUE(SUBSTITUTE(([1]!vol?MERV_Ö_XMEV_Ö_GFGC180.AB_Ö_24hs), ".", ",")), 0)</f>
        <v>0</v>
      </c>
      <c r="P25" s="735">
        <f>IFERROR(VALUE(SUBSTITUTE(([1]!ltu?MERV_Ö_XMEV_Ö_GFGC180.AB_Ö_24hs), ".", ",")), 0)</f>
        <v>0</v>
      </c>
      <c r="Q25" s="736">
        <f t="shared" si="0"/>
        <v>0</v>
      </c>
      <c r="S25" s="690" t="str">
        <f>+GGAL!P17</f>
        <v>GFGV180.AB</v>
      </c>
      <c r="T25" s="691">
        <f>IFERROR(VALUE(SUBSTITUTE(([1]!bsi?MERV_Ö_XMEV_Ö_GFGV180.AB_Ö_24hs), ".", ",")), 0)</f>
        <v>3</v>
      </c>
      <c r="U25" s="692">
        <f>IFERROR(VALUE(SUBSTITUTE(([1]!bpr?MERV_Ö_XMEV_Ö_GFGV180.AB_Ö_24hs), ".", ",")), 0)</f>
        <v>1.3</v>
      </c>
      <c r="V25" s="692">
        <f>IFERROR(VALUE(SUBSTITUTE(([1]!opr?MERV_Ö_XMEV_Ö_GFGV180.AB_Ö_24hs), ".", ",")), 0)</f>
        <v>1.45</v>
      </c>
      <c r="W25" s="691">
        <f>IFERROR(VALUE(SUBSTITUTE(([1]!osi?MERV_Ö_XMEV_Ö_GFGV180.AB_Ö_24hs), ".", ",")), 0)</f>
        <v>13</v>
      </c>
      <c r="X25" s="165">
        <f>IFERROR(VALUE(SUBSTITUTE(([1]!lst?MERV_Ö_XMEV_Ö_GFGV180.AB_Ö_24hs), ".", ",")), 0)</f>
        <v>1.37</v>
      </c>
      <c r="Y25" s="693">
        <f>IFERROR(VALUE(SUBSTITUTE(([1]!chgp?MERV_Ö_XMEV_Ö_GFGV180.AB_Ö_24hs), ".", ",") / 100), 0)</f>
        <v>-0.2666</v>
      </c>
      <c r="Z25" s="694"/>
      <c r="AA25" s="694"/>
      <c r="AB25" s="694"/>
      <c r="AC25" s="694"/>
      <c r="AD25" s="695">
        <f>IFERROR(VALUE(SUBSTITUTE(([1]!vole?MERV_Ö_XMEV_Ö_GFGV180.AB_Ö_24hs), ".", ",")), 0)</f>
        <v>526141.80000000005</v>
      </c>
      <c r="AE25" s="695">
        <f>IFERROR(VALUE(SUBSTITUTE(([1]!voln?MERV_Ö_XMEV_Ö_GFGV180.AB_Ö_24hs), ".", ",")), 0)</f>
        <v>3596</v>
      </c>
      <c r="AF25" s="694">
        <f>IFERROR(VALUE(SUBSTITUTE(([1]!vol?MERV_Ö_XMEV_Ö_GFGV180.AB_Ö_24hs), ".", ",")), 0)</f>
        <v>0</v>
      </c>
      <c r="AG25" s="696">
        <f>IFERROR(VALUE(SUBSTITUTE(([1]!ltu?MERV_Ö_XMEV_Ö_GFGV180.AB_Ö_24hs), ".", ",")), 0)</f>
        <v>0.70690972222222215</v>
      </c>
      <c r="AH25" s="697">
        <f t="shared" si="1"/>
        <v>0</v>
      </c>
      <c r="AJ25" s="691"/>
      <c r="AK25" s="738"/>
      <c r="AL25" s="738"/>
      <c r="AM25" s="691"/>
      <c r="AO25" s="691"/>
      <c r="AP25" s="738"/>
      <c r="AQ25" s="738"/>
      <c r="AR25" s="691"/>
      <c r="AT25" s="691"/>
      <c r="AU25" s="738"/>
      <c r="AV25" s="738"/>
      <c r="AW25" s="691"/>
      <c r="AY25" s="691"/>
      <c r="AZ25" s="738"/>
      <c r="BA25" s="738"/>
      <c r="BB25" s="691"/>
      <c r="BD25" s="691"/>
      <c r="BE25" s="738"/>
      <c r="BF25" s="738"/>
      <c r="BG25" s="691"/>
      <c r="BI25" s="691"/>
      <c r="BJ25" s="738"/>
      <c r="BK25" s="738"/>
      <c r="BL25" s="691"/>
      <c r="BP25" s="766"/>
      <c r="BQ25" s="766"/>
      <c r="BS25" s="728"/>
    </row>
    <row r="26" spans="1:71" ht="12.75" customHeight="1">
      <c r="A26" s="737"/>
      <c r="B26" s="728" t="str">
        <f>+GGAL!N18</f>
        <v>GFGC185.AB</v>
      </c>
      <c r="C26" s="729">
        <f>IFERROR(VALUE(SUBSTITUTE(([1]!bsi?MERV_Ö_XMEV_Ö_GFGC185.AB_Ö_24hs), ".", ",")), 0)</f>
        <v>2</v>
      </c>
      <c r="D26" s="730">
        <f>IFERROR(VALUE(SUBSTITUTE(([1]!bpr?MERV_Ö_XMEV_Ö_GFGC185.AB_Ö_24hs), ".", ",")), 0)</f>
        <v>34</v>
      </c>
      <c r="E26" s="730">
        <f>IFERROR(VALUE(SUBSTITUTE(([1]!opr?MERV_Ö_XMEV_Ö_GFGC185.AB_Ö_24hs), ".", ",")), 0)</f>
        <v>43.24</v>
      </c>
      <c r="F26" s="729">
        <f>IFERROR(VALUE(SUBSTITUTE(([1]!osi?MERV_Ö_XMEV_Ö_GFGC185.AB_Ö_24hs), ".", ",")), 0)</f>
        <v>10</v>
      </c>
      <c r="G26" s="731">
        <f>IFERROR(VALUE(SUBSTITUTE(([1]!lst?MERV_Ö_XMEV_Ö_GFGC185.AB_Ö_24hs), ".", ",")), 0)</f>
        <v>33</v>
      </c>
      <c r="H26" s="732">
        <f>IFERROR(VALUE(SUBSTITUTE(([1]!chgp?MERV_Ö_XMEV_Ö_GFGC185.AB_Ö_24hs), ".", ",") / 100), 0)</f>
        <v>4.4600000000000001E-2</v>
      </c>
      <c r="I26" s="733"/>
      <c r="J26" s="733"/>
      <c r="K26" s="733"/>
      <c r="L26" s="733"/>
      <c r="M26" s="734">
        <f>IFERROR(VALUE(SUBSTITUTE(([1]!vole?MERV_Ö_XMEV_Ö_GFGC185.AB_Ö_24hs), ".", ",")), 0)</f>
        <v>16500</v>
      </c>
      <c r="N26" s="734">
        <f>IFERROR(VALUE(SUBSTITUTE(([1]!voln?MERV_Ö_XMEV_Ö_GFGC185.AB_Ö_24hs), ".", ",")), 0)</f>
        <v>5</v>
      </c>
      <c r="O26" s="733">
        <f>IFERROR(VALUE(SUBSTITUTE(([1]!vol?MERV_Ö_XMEV_Ö_GFGC185.AB_Ö_24hs), ".", ",")), 0)</f>
        <v>0</v>
      </c>
      <c r="P26" s="735">
        <f>IFERROR(VALUE(SUBSTITUTE(([1]!ltu?MERV_Ö_XMEV_Ö_GFGC185.AB_Ö_24hs), ".", ",")), 0)</f>
        <v>0.48774305555555553</v>
      </c>
      <c r="Q26" s="736">
        <f t="shared" si="0"/>
        <v>33</v>
      </c>
      <c r="S26" s="690" t="str">
        <f>+GGAL!P18</f>
        <v>GFGV185.AB</v>
      </c>
      <c r="T26" s="691">
        <f>IFERROR(VALUE(SUBSTITUTE(([1]!bsi?MERV_Ö_XMEV_Ö_GFGV185.AB_Ö_24hs), ".", ",")), 0)</f>
        <v>54</v>
      </c>
      <c r="U26" s="692">
        <f>IFERROR(VALUE(SUBSTITUTE(([1]!bpr?MERV_Ö_XMEV_Ö_GFGV185.AB_Ö_24hs), ".", ",")), 0)</f>
        <v>1.7</v>
      </c>
      <c r="V26" s="692">
        <f>IFERROR(VALUE(SUBSTITUTE(([1]!opr?MERV_Ö_XMEV_Ö_GFGV185.AB_Ö_24hs), ".", ",")), 0)</f>
        <v>2.17</v>
      </c>
      <c r="W26" s="691">
        <f>IFERROR(VALUE(SUBSTITUTE(([1]!osi?MERV_Ö_XMEV_Ö_GFGV185.AB_Ö_24hs), ".", ",")), 0)</f>
        <v>30</v>
      </c>
      <c r="X26" s="165">
        <f>IFERROR(VALUE(SUBSTITUTE(([1]!lst?MERV_Ö_XMEV_Ö_GFGV185.AB_Ö_24hs), ".", ",")), 0)</f>
        <v>1.9</v>
      </c>
      <c r="Y26" s="693">
        <f>IFERROR(VALUE(SUBSTITUTE(([1]!chgp?MERV_Ö_XMEV_Ö_GFGV185.AB_Ö_24hs), ".", ",") / 100), 0)</f>
        <v>-0.30632000000000004</v>
      </c>
      <c r="Z26" s="694"/>
      <c r="AA26" s="694"/>
      <c r="AB26" s="694"/>
      <c r="AC26" s="694"/>
      <c r="AD26" s="695">
        <f>IFERROR(VALUE(SUBSTITUTE(([1]!vole?MERV_Ö_XMEV_Ö_GFGV185.AB_Ö_24hs), ".", ",")), 0)</f>
        <v>236238.4</v>
      </c>
      <c r="AE26" s="695">
        <f>IFERROR(VALUE(SUBSTITUTE(([1]!voln?MERV_Ö_XMEV_Ö_GFGV185.AB_Ö_24hs), ".", ",")), 0)</f>
        <v>1138</v>
      </c>
      <c r="AF26" s="694">
        <f>IFERROR(VALUE(SUBSTITUTE(([1]!vol?MERV_Ö_XMEV_Ö_GFGV185.AB_Ö_24hs), ".", ",")), 0)</f>
        <v>0</v>
      </c>
      <c r="AG26" s="696">
        <f>IFERROR(VALUE(SUBSTITUTE(([1]!ltu?MERV_Ö_XMEV_Ö_GFGV185.AB_Ö_24hs), ".", ",")), 0)</f>
        <v>0.70623842592592589</v>
      </c>
      <c r="AH26" s="697">
        <f t="shared" si="1"/>
        <v>33</v>
      </c>
      <c r="AJ26" s="691"/>
      <c r="AK26" s="738"/>
      <c r="AL26" s="738"/>
      <c r="AM26" s="691"/>
      <c r="AO26" s="691"/>
      <c r="AP26" s="738"/>
      <c r="AQ26" s="738"/>
      <c r="AR26" s="691"/>
      <c r="AT26" s="691"/>
      <c r="AU26" s="738"/>
      <c r="AV26" s="738"/>
      <c r="AW26" s="691"/>
      <c r="AY26" s="691"/>
      <c r="AZ26" s="738"/>
      <c r="BA26" s="738"/>
      <c r="BB26" s="691"/>
      <c r="BD26" s="691"/>
      <c r="BE26" s="738"/>
      <c r="BF26" s="738"/>
      <c r="BG26" s="691"/>
      <c r="BI26" s="691"/>
      <c r="BJ26" s="738"/>
      <c r="BK26" s="738"/>
      <c r="BL26" s="691"/>
      <c r="BP26" s="766"/>
      <c r="BQ26" s="766"/>
      <c r="BS26" s="728"/>
    </row>
    <row r="27" spans="1:71" ht="12.75" customHeight="1">
      <c r="A27" s="737"/>
      <c r="B27" s="728" t="str">
        <f>+GGAL!N19</f>
        <v>GFGC190.AB</v>
      </c>
      <c r="C27" s="729">
        <f>IFERROR(VALUE(SUBSTITUTE(([1]!bsi?MERV_Ö_XMEV_Ö_GFGC190.AB_Ö_24hs), ".", ",")), 0)</f>
        <v>2</v>
      </c>
      <c r="D27" s="730">
        <f>IFERROR(VALUE(SUBSTITUTE(([1]!bpr?MERV_Ö_XMEV_Ö_GFGC190.AB_Ö_24hs), ".", ",")), 0)</f>
        <v>32.5</v>
      </c>
      <c r="E27" s="730">
        <f>IFERROR(VALUE(SUBSTITUTE(([1]!opr?MERV_Ö_XMEV_Ö_GFGC190.AB_Ö_24hs), ".", ",")), 0)</f>
        <v>33.999000000000002</v>
      </c>
      <c r="F27" s="729">
        <f>IFERROR(VALUE(SUBSTITUTE(([1]!osi?MERV_Ö_XMEV_Ö_GFGC190.AB_Ö_24hs), ".", ",")), 0)</f>
        <v>30</v>
      </c>
      <c r="G27" s="731">
        <f>IFERROR(VALUE(SUBSTITUTE(([1]!lst?MERV_Ö_XMEV_Ö_GFGC190.AB_Ö_24hs), ".", ",")), 0)</f>
        <v>33.899000000000001</v>
      </c>
      <c r="H27" s="732">
        <f>IFERROR(VALUE(SUBSTITUTE(([1]!chgp?MERV_Ö_XMEV_Ö_GFGC190.AB_Ö_24hs), ".", ",") / 100), 0)</f>
        <v>0.23832</v>
      </c>
      <c r="I27" s="733"/>
      <c r="J27" s="733"/>
      <c r="K27" s="733"/>
      <c r="L27" s="733"/>
      <c r="M27" s="734">
        <f>IFERROR(VALUE(SUBSTITUTE(([1]!vole?MERV_Ö_XMEV_Ö_GFGC190.AB_Ö_24hs), ".", ",")), 0)</f>
        <v>4201484.8</v>
      </c>
      <c r="N27" s="734">
        <f>IFERROR(VALUE(SUBSTITUTE(([1]!voln?MERV_Ö_XMEV_Ö_GFGC190.AB_Ö_24hs), ".", ",")), 0)</f>
        <v>1335</v>
      </c>
      <c r="O27" s="733">
        <f>IFERROR(VALUE(SUBSTITUTE(([1]!vol?MERV_Ö_XMEV_Ö_GFGC190.AB_Ö_24hs), ".", ",")), 0)</f>
        <v>0</v>
      </c>
      <c r="P27" s="735">
        <f>IFERROR(VALUE(SUBSTITUTE(([1]!ltu?MERV_Ö_XMEV_Ö_GFGC190.AB_Ö_24hs), ".", ",")), 0)</f>
        <v>0.70800925925925917</v>
      </c>
      <c r="Q27" s="736">
        <f t="shared" si="0"/>
        <v>31.471796254681646</v>
      </c>
      <c r="S27" s="690" t="str">
        <f>+GGAL!P19</f>
        <v>GFGV190.AB</v>
      </c>
      <c r="T27" s="691">
        <f>IFERROR(VALUE(SUBSTITUTE(([1]!bsi?MERV_Ö_XMEV_Ö_GFGV190.AB_Ö_24hs), ".", ",")), 0)</f>
        <v>12</v>
      </c>
      <c r="U27" s="692">
        <f>IFERROR(VALUE(SUBSTITUTE(([1]!bpr?MERV_Ö_XMEV_Ö_GFGV190.AB_Ö_24hs), ".", ",")), 0)</f>
        <v>2.31</v>
      </c>
      <c r="V27" s="692">
        <f>IFERROR(VALUE(SUBSTITUTE(([1]!opr?MERV_Ö_XMEV_Ö_GFGV190.AB_Ö_24hs), ".", ",")), 0)</f>
        <v>2.6</v>
      </c>
      <c r="W27" s="691">
        <f>IFERROR(VALUE(SUBSTITUTE(([1]!osi?MERV_Ö_XMEV_Ö_GFGV190.AB_Ö_24hs), ".", ",")), 0)</f>
        <v>59</v>
      </c>
      <c r="X27" s="165">
        <f>IFERROR(VALUE(SUBSTITUTE(([1]!lst?MERV_Ö_XMEV_Ö_GFGV190.AB_Ö_24hs), ".", ",")), 0)</f>
        <v>2.6</v>
      </c>
      <c r="Y27" s="693">
        <f>IFERROR(VALUE(SUBSTITUTE(([1]!chgp?MERV_Ö_XMEV_Ö_GFGV190.AB_Ö_24hs), ".", ",") / 100), 0)</f>
        <v>-0.31973000000000001</v>
      </c>
      <c r="Z27" s="694"/>
      <c r="AA27" s="694"/>
      <c r="AB27" s="694"/>
      <c r="AC27" s="694"/>
      <c r="AD27" s="695">
        <f>IFERROR(VALUE(SUBSTITUTE(([1]!vole?MERV_Ö_XMEV_Ö_GFGV190.AB_Ö_24hs), ".", ",")), 0)</f>
        <v>2574078.6</v>
      </c>
      <c r="AE27" s="695">
        <f>IFERROR(VALUE(SUBSTITUTE(([1]!voln?MERV_Ö_XMEV_Ö_GFGV190.AB_Ö_24hs), ".", ",")), 0)</f>
        <v>8686</v>
      </c>
      <c r="AF27" s="694">
        <f>IFERROR(VALUE(SUBSTITUTE(([1]!vol?MERV_Ö_XMEV_Ö_GFGV190.AB_Ö_24hs), ".", ",")), 0)</f>
        <v>0</v>
      </c>
      <c r="AG27" s="696">
        <f>IFERROR(VALUE(SUBSTITUTE(([1]!ltu?MERV_Ö_XMEV_Ö_GFGV190.AB_Ö_24hs), ".", ",")), 0)</f>
        <v>0.70810185185185182</v>
      </c>
      <c r="AH27" s="697">
        <f t="shared" si="1"/>
        <v>31.471796254681646</v>
      </c>
      <c r="AJ27" s="691"/>
      <c r="AK27" s="738"/>
      <c r="AL27" s="738"/>
      <c r="AM27" s="691"/>
      <c r="AO27" s="691"/>
      <c r="AP27" s="738"/>
      <c r="AQ27" s="738"/>
      <c r="AR27" s="691"/>
      <c r="AT27" s="691"/>
      <c r="AU27" s="738"/>
      <c r="AV27" s="738"/>
      <c r="AW27" s="691"/>
      <c r="AY27" s="691"/>
      <c r="AZ27" s="738"/>
      <c r="BA27" s="738"/>
      <c r="BB27" s="691"/>
      <c r="BD27" s="691"/>
      <c r="BE27" s="738"/>
      <c r="BF27" s="738"/>
      <c r="BG27" s="691"/>
      <c r="BI27" s="691"/>
      <c r="BJ27" s="738"/>
      <c r="BK27" s="738"/>
      <c r="BL27" s="691"/>
      <c r="BP27" s="766"/>
      <c r="BQ27" s="766"/>
      <c r="BS27" s="728"/>
    </row>
    <row r="28" spans="1:71" ht="12.75" customHeight="1" thickBot="1">
      <c r="A28" s="737"/>
      <c r="B28" s="728" t="str">
        <f>+GGAL!N20</f>
        <v>GFGC195.AB</v>
      </c>
      <c r="C28" s="729">
        <f>IFERROR(VALUE(SUBSTITUTE(([1]!bsi?MERV_Ö_XMEV_Ö_GFGC195.AB_Ö_24hs), ".", ",")), 0)</f>
        <v>2</v>
      </c>
      <c r="D28" s="730">
        <f>IFERROR(VALUE(SUBSTITUTE(([1]!bpr?MERV_Ö_XMEV_Ö_GFGC195.AB_Ö_24hs), ".", ",")), 0)</f>
        <v>28.501000000000001</v>
      </c>
      <c r="E28" s="730">
        <f>IFERROR(VALUE(SUBSTITUTE(([1]!opr?MERV_Ö_XMEV_Ö_GFGC195.AB_Ö_24hs), ".", ",")), 0)</f>
        <v>29.5</v>
      </c>
      <c r="F28" s="729">
        <f>IFERROR(VALUE(SUBSTITUTE(([1]!osi?MERV_Ö_XMEV_Ö_GFGC195.AB_Ö_24hs), ".", ",")), 0)</f>
        <v>54</v>
      </c>
      <c r="G28" s="731">
        <f>IFERROR(VALUE(SUBSTITUTE(([1]!lst?MERV_Ö_XMEV_Ö_GFGC195.AB_Ö_24hs), ".", ",")), 0)</f>
        <v>29</v>
      </c>
      <c r="H28" s="732">
        <f>IFERROR(VALUE(SUBSTITUTE(([1]!chgp?MERV_Ö_XMEV_Ö_GFGC195.AB_Ö_24hs), ".", ",") / 100), 0)</f>
        <v>0.20827999999999999</v>
      </c>
      <c r="I28" s="733"/>
      <c r="J28" s="733"/>
      <c r="K28" s="733"/>
      <c r="L28" s="733"/>
      <c r="M28" s="734">
        <f>IFERROR(VALUE(SUBSTITUTE(([1]!vole?MERV_Ö_XMEV_Ö_GFGC195.AB_Ö_24hs), ".", ",")), 0)</f>
        <v>8036835.0999999996</v>
      </c>
      <c r="N28" s="734">
        <f>IFERROR(VALUE(SUBSTITUTE(([1]!voln?MERV_Ö_XMEV_Ö_GFGC195.AB_Ö_24hs), ".", ",")), 0)</f>
        <v>2881</v>
      </c>
      <c r="O28" s="733">
        <f>IFERROR(VALUE(SUBSTITUTE(([1]!vol?MERV_Ö_XMEV_Ö_GFGC195.AB_Ö_24hs), ".", ",")), 0)</f>
        <v>0</v>
      </c>
      <c r="P28" s="735">
        <f>IFERROR(VALUE(SUBSTITUTE(([1]!ltu?MERV_Ö_XMEV_Ö_GFGC195.AB_Ö_24hs), ".", ",")), 0)</f>
        <v>0.70827546296296295</v>
      </c>
      <c r="Q28" s="736">
        <f t="shared" si="0"/>
        <v>27.89599132245748</v>
      </c>
      <c r="S28" s="690" t="str">
        <f>+GGAL!P20</f>
        <v>GFGV195.AB</v>
      </c>
      <c r="T28" s="691">
        <f>IFERROR(VALUE(SUBSTITUTE(([1]!bsi?MERV_Ö_XMEV_Ö_GFGV195.AB_Ö_24hs), ".", ",")), 0)</f>
        <v>38</v>
      </c>
      <c r="U28" s="692">
        <f>IFERROR(VALUE(SUBSTITUTE(([1]!bpr?MERV_Ö_XMEV_Ö_GFGV195.AB_Ö_24hs), ".", ",")), 0)</f>
        <v>3.55</v>
      </c>
      <c r="V28" s="692">
        <f>IFERROR(VALUE(SUBSTITUTE(([1]!opr?MERV_Ö_XMEV_Ö_GFGV195.AB_Ö_24hs), ".", ",")), 0)</f>
        <v>3.8</v>
      </c>
      <c r="W28" s="691">
        <f>IFERROR(VALUE(SUBSTITUTE(([1]!osi?MERV_Ö_XMEV_Ö_GFGV195.AB_Ö_24hs), ".", ",")), 0)</f>
        <v>100</v>
      </c>
      <c r="X28" s="165">
        <f>IFERROR(VALUE(SUBSTITUTE(([1]!lst?MERV_Ö_XMEV_Ö_GFGV195.AB_Ö_24hs), ".", ",")), 0)</f>
        <v>3.9</v>
      </c>
      <c r="Y28" s="693">
        <f>IFERROR(VALUE(SUBSTITUTE(([1]!chgp?MERV_Ö_XMEV_Ö_GFGV195.AB_Ö_24hs), ".", ",") / 100), 0)</f>
        <v>-0.24065</v>
      </c>
      <c r="Z28" s="694"/>
      <c r="AA28" s="694"/>
      <c r="AB28" s="694"/>
      <c r="AC28" s="694"/>
      <c r="AD28" s="695">
        <f>IFERROR(VALUE(SUBSTITUTE(([1]!vole?MERV_Ö_XMEV_Ö_GFGV195.AB_Ö_24hs), ".", ",")), 0)</f>
        <v>723203</v>
      </c>
      <c r="AE28" s="695">
        <f>IFERROR(VALUE(SUBSTITUTE(([1]!voln?MERV_Ö_XMEV_Ö_GFGV195.AB_Ö_24hs), ".", ",")), 0)</f>
        <v>1715</v>
      </c>
      <c r="AF28" s="694">
        <f>IFERROR(VALUE(SUBSTITUTE(([1]!vol?MERV_Ö_XMEV_Ö_GFGV195.AB_Ö_24hs), ".", ",")), 0)</f>
        <v>0</v>
      </c>
      <c r="AG28" s="696">
        <f>IFERROR(VALUE(SUBSTITUTE(([1]!ltu?MERV_Ö_XMEV_Ö_GFGV195.AB_Ö_24hs), ".", ",")), 0)</f>
        <v>0.70680555555555558</v>
      </c>
      <c r="AH28" s="697">
        <f t="shared" si="1"/>
        <v>27.89599132245748</v>
      </c>
      <c r="BP28" s="766"/>
      <c r="BQ28" s="766"/>
      <c r="BS28" s="728"/>
    </row>
    <row r="29" spans="1:71" ht="12.75" customHeight="1" thickBot="1">
      <c r="A29" s="737"/>
      <c r="B29" s="728" t="str">
        <f>+GGAL!N21</f>
        <v>GFGC200.AB</v>
      </c>
      <c r="C29" s="729">
        <f>IFERROR(VALUE(SUBSTITUTE(([1]!bsi?MERV_Ö_XMEV_Ö_GFGC200.AB_Ö_24hs), ".", ",")), 0)</f>
        <v>12</v>
      </c>
      <c r="D29" s="730">
        <f>IFERROR(VALUE(SUBSTITUTE(([1]!bpr?MERV_Ö_XMEV_Ö_GFGC200.AB_Ö_24hs), ".", ",")), 0)</f>
        <v>24.6</v>
      </c>
      <c r="E29" s="730">
        <f>IFERROR(VALUE(SUBSTITUTE(([1]!opr?MERV_Ö_XMEV_Ö_GFGC200.AB_Ö_24hs), ".", ",")), 0)</f>
        <v>25.37</v>
      </c>
      <c r="F29" s="729">
        <f>IFERROR(VALUE(SUBSTITUTE(([1]!osi?MERV_Ö_XMEV_Ö_GFGC200.AB_Ö_24hs), ".", ",")), 0)</f>
        <v>27</v>
      </c>
      <c r="G29" s="731">
        <f>IFERROR(VALUE(SUBSTITUTE(([1]!lst?MERV_Ö_XMEV_Ö_GFGC200.AB_Ö_24hs), ".", ",")), 0)</f>
        <v>25.38</v>
      </c>
      <c r="H29" s="732">
        <f>IFERROR(VALUE(SUBSTITUTE(([1]!chgp?MERV_Ö_XMEV_Ö_GFGC200.AB_Ö_24hs), ".", ",") / 100), 0)</f>
        <v>0.21972000000000003</v>
      </c>
      <c r="I29" s="733"/>
      <c r="J29" s="733"/>
      <c r="K29" s="733"/>
      <c r="L29" s="733"/>
      <c r="M29" s="734">
        <f>IFERROR(VALUE(SUBSTITUTE(([1]!vole?MERV_Ö_XMEV_Ö_GFGC200.AB_Ö_24hs), ".", ",")), 0)</f>
        <v>21278090.600000001</v>
      </c>
      <c r="N29" s="734">
        <f>IFERROR(VALUE(SUBSTITUTE(([1]!voln?MERV_Ö_XMEV_Ö_GFGC200.AB_Ö_24hs), ".", ",")), 0)</f>
        <v>8726</v>
      </c>
      <c r="O29" s="733">
        <f>IFERROR(VALUE(SUBSTITUTE(([1]!vol?MERV_Ö_XMEV_Ö_GFGC200.AB_Ö_24hs), ".", ",")), 0)</f>
        <v>0</v>
      </c>
      <c r="P29" s="735">
        <f>IFERROR(VALUE(SUBSTITUTE(([1]!ltu?MERV_Ö_XMEV_Ö_GFGC200.AB_Ö_24hs), ".", ",")), 0)</f>
        <v>0.70795138888888898</v>
      </c>
      <c r="Q29" s="736">
        <f t="shared" si="0"/>
        <v>24.384701581480634</v>
      </c>
      <c r="S29" s="690" t="str">
        <f>+GGAL!P21</f>
        <v>GFGV200.AB</v>
      </c>
      <c r="T29" s="691">
        <f>IFERROR(VALUE(SUBSTITUTE(([1]!bsi?MERV_Ö_XMEV_Ö_GFGV200.AB_Ö_24hs), ".", ",")), 0)</f>
        <v>1</v>
      </c>
      <c r="U29" s="692">
        <f>IFERROR(VALUE(SUBSTITUTE(([1]!bpr?MERV_Ö_XMEV_Ö_GFGV200.AB_Ö_24hs), ".", ",")), 0)</f>
        <v>5.05</v>
      </c>
      <c r="V29" s="692">
        <f>IFERROR(VALUE(SUBSTITUTE(([1]!opr?MERV_Ö_XMEV_Ö_GFGV200.AB_Ö_24hs), ".", ",")), 0)</f>
        <v>5.3</v>
      </c>
      <c r="W29" s="691">
        <f>IFERROR(VALUE(SUBSTITUTE(([1]!osi?MERV_Ö_XMEV_Ö_GFGV200.AB_Ö_24hs), ".", ",")), 0)</f>
        <v>27</v>
      </c>
      <c r="X29" s="165">
        <f>IFERROR(VALUE(SUBSTITUTE(([1]!lst?MERV_Ö_XMEV_Ö_GFGV200.AB_Ö_24hs), ".", ",")), 0)</f>
        <v>5.05</v>
      </c>
      <c r="Y29" s="693">
        <f>IFERROR(VALUE(SUBSTITUTE(([1]!chgp?MERV_Ö_XMEV_Ö_GFGV200.AB_Ö_24hs), ".", ",") / 100), 0)</f>
        <v>-0.28772999999999999</v>
      </c>
      <c r="Z29" s="694"/>
      <c r="AA29" s="694"/>
      <c r="AB29" s="694"/>
      <c r="AC29" s="694"/>
      <c r="AD29" s="695">
        <f>IFERROR(VALUE(SUBSTITUTE(([1]!vole?MERV_Ö_XMEV_Ö_GFGV200.AB_Ö_24hs), ".", ",")), 0)</f>
        <v>4012381.7</v>
      </c>
      <c r="AE29" s="695">
        <f>IFERROR(VALUE(SUBSTITUTE(([1]!voln?MERV_Ö_XMEV_Ö_GFGV200.AB_Ö_24hs), ".", ",")), 0)</f>
        <v>6946</v>
      </c>
      <c r="AF29" s="694">
        <f>IFERROR(VALUE(SUBSTITUTE(([1]!vol?MERV_Ö_XMEV_Ö_GFGV200.AB_Ö_24hs), ".", ",")), 0)</f>
        <v>0</v>
      </c>
      <c r="AG29" s="696">
        <f>IFERROR(VALUE(SUBSTITUTE(([1]!ltu?MERV_Ö_XMEV_Ö_GFGV200.AB_Ö_24hs), ".", ",")), 0)</f>
        <v>0.7082060185185185</v>
      </c>
      <c r="AH29" s="697">
        <f t="shared" si="1"/>
        <v>24.384701581480634</v>
      </c>
      <c r="AJ29" s="698"/>
      <c r="AK29" s="699"/>
      <c r="AL29" s="700"/>
      <c r="AM29" s="701"/>
      <c r="AO29" s="698"/>
      <c r="AP29" s="699"/>
      <c r="AQ29" s="700"/>
      <c r="AR29" s="701"/>
      <c r="AT29" s="698"/>
      <c r="AU29" s="699"/>
      <c r="AV29" s="700"/>
      <c r="AW29" s="701"/>
      <c r="AY29" s="698"/>
      <c r="AZ29" s="699"/>
      <c r="BA29" s="700"/>
      <c r="BB29" s="701"/>
      <c r="BD29" s="698"/>
      <c r="BE29" s="699"/>
      <c r="BF29" s="700"/>
      <c r="BG29" s="701"/>
      <c r="BI29" s="698"/>
      <c r="BJ29" s="699"/>
      <c r="BK29" s="700"/>
      <c r="BL29" s="701"/>
      <c r="BP29" s="766"/>
      <c r="BQ29" s="766"/>
      <c r="BS29" s="728"/>
    </row>
    <row r="30" spans="1:71" ht="12.75" customHeight="1">
      <c r="A30" s="737"/>
      <c r="B30" s="728" t="str">
        <f>+GGAL!N22</f>
        <v>GFGC210.AB</v>
      </c>
      <c r="C30" s="729">
        <f>IFERROR(VALUE(SUBSTITUTE(([1]!bsi?MERV_Ö_XMEV_Ö_GFGC210.AB_Ö_24hs), ".", ",")), 0)</f>
        <v>70</v>
      </c>
      <c r="D30" s="730">
        <f>IFERROR(VALUE(SUBSTITUTE(([1]!bpr?MERV_Ö_XMEV_Ö_GFGC210.AB_Ö_24hs), ".", ",")), 0)</f>
        <v>19.100000000000001</v>
      </c>
      <c r="E30" s="730">
        <f>IFERROR(VALUE(SUBSTITUTE(([1]!opr?MERV_Ö_XMEV_Ö_GFGC210.AB_Ö_24hs), ".", ",")), 0)</f>
        <v>19.45</v>
      </c>
      <c r="F30" s="729">
        <f>IFERROR(VALUE(SUBSTITUTE(([1]!osi?MERV_Ö_XMEV_Ö_GFGC210.AB_Ö_24hs), ".", ",")), 0)</f>
        <v>21</v>
      </c>
      <c r="G30" s="731">
        <f>IFERROR(VALUE(SUBSTITUTE(([1]!lst?MERV_Ö_XMEV_Ö_GFGC210.AB_Ö_24hs), ".", ",")), 0)</f>
        <v>19.45</v>
      </c>
      <c r="H30" s="732">
        <f>IFERROR(VALUE(SUBSTITUTE(([1]!chgp?MERV_Ö_XMEV_Ö_GFGC210.AB_Ö_24hs), ".", ",") / 100), 0)</f>
        <v>0.24872</v>
      </c>
      <c r="I30" s="733"/>
      <c r="J30" s="733"/>
      <c r="K30" s="733"/>
      <c r="L30" s="733"/>
      <c r="M30" s="734">
        <f>IFERROR(VALUE(SUBSTITUTE(([1]!vole?MERV_Ö_XMEV_Ö_GFGC210.AB_Ö_24hs), ".", ",")), 0)</f>
        <v>18419037.5</v>
      </c>
      <c r="N30" s="734">
        <f>IFERROR(VALUE(SUBSTITUTE(([1]!voln?MERV_Ö_XMEV_Ö_GFGC210.AB_Ö_24hs), ".", ",")), 0)</f>
        <v>10076</v>
      </c>
      <c r="O30" s="733">
        <f>IFERROR(VALUE(SUBSTITUTE(([1]!vol?MERV_Ö_XMEV_Ö_GFGC210.AB_Ö_24hs), ".", ",")), 0)</f>
        <v>0</v>
      </c>
      <c r="P30" s="735">
        <f>IFERROR(VALUE(SUBSTITUTE(([1]!ltu?MERV_Ö_XMEV_Ö_GFGC210.AB_Ö_24hs), ".", ",")), 0)</f>
        <v>0.70795138888888898</v>
      </c>
      <c r="Q30" s="736">
        <f t="shared" si="0"/>
        <v>18.280108674077013</v>
      </c>
      <c r="S30" s="690" t="str">
        <f>+GGAL!P22</f>
        <v>GFGV210.AB</v>
      </c>
      <c r="T30" s="691">
        <f>IFERROR(VALUE(SUBSTITUTE(([1]!bsi?MERV_Ö_XMEV_Ö_GFGV210.AB_Ö_24hs), ".", ",")), 0)</f>
        <v>2</v>
      </c>
      <c r="U30" s="692">
        <f>IFERROR(VALUE(SUBSTITUTE(([1]!bpr?MERV_Ö_XMEV_Ö_GFGV210.AB_Ö_24hs), ".", ",")), 0)</f>
        <v>8.5</v>
      </c>
      <c r="V30" s="692">
        <f>IFERROR(VALUE(SUBSTITUTE(([1]!opr?MERV_Ö_XMEV_Ö_GFGV210.AB_Ö_24hs), ".", ",")), 0)</f>
        <v>8.9</v>
      </c>
      <c r="W30" s="691">
        <f>IFERROR(VALUE(SUBSTITUTE(([1]!osi?MERV_Ö_XMEV_Ö_GFGV210.AB_Ö_24hs), ".", ",")), 0)</f>
        <v>94</v>
      </c>
      <c r="X30" s="165">
        <f>IFERROR(VALUE(SUBSTITUTE(([1]!lst?MERV_Ö_XMEV_Ö_GFGV210.AB_Ö_24hs), ".", ",")), 0)</f>
        <v>8.9</v>
      </c>
      <c r="Y30" s="693">
        <f>IFERROR(VALUE(SUBSTITUTE(([1]!chgp?MERV_Ö_XMEV_Ö_GFGV210.AB_Ö_24hs), ".", ",") / 100), 0)</f>
        <v>-0.25833</v>
      </c>
      <c r="Z30" s="694"/>
      <c r="AA30" s="694"/>
      <c r="AB30" s="694"/>
      <c r="AC30" s="694"/>
      <c r="AD30" s="695">
        <f>IFERROR(VALUE(SUBSTITUTE(([1]!vole?MERV_Ö_XMEV_Ö_GFGV210.AB_Ö_24hs), ".", ",")), 0)</f>
        <v>2768005.6</v>
      </c>
      <c r="AE30" s="695">
        <f>IFERROR(VALUE(SUBSTITUTE(([1]!voln?MERV_Ö_XMEV_Ö_GFGV210.AB_Ö_24hs), ".", ",")), 0)</f>
        <v>2874</v>
      </c>
      <c r="AF30" s="694">
        <f>IFERROR(VALUE(SUBSTITUTE(([1]!vol?MERV_Ö_XMEV_Ö_GFGV210.AB_Ö_24hs), ".", ",")), 0)</f>
        <v>0</v>
      </c>
      <c r="AG30" s="696">
        <f>IFERROR(VALUE(SUBSTITUTE(([1]!ltu?MERV_Ö_XMEV_Ö_GFGV210.AB_Ö_24hs), ".", ",")), 0)</f>
        <v>0.7082060185185185</v>
      </c>
      <c r="AH30" s="697">
        <f t="shared" si="1"/>
        <v>18.280108674077013</v>
      </c>
      <c r="AJ30" s="691"/>
      <c r="AK30" s="738"/>
      <c r="AL30" s="738"/>
      <c r="AM30" s="691"/>
      <c r="AO30" s="691"/>
      <c r="AP30" s="738"/>
      <c r="AQ30" s="738"/>
      <c r="AR30" s="691"/>
      <c r="AT30" s="691"/>
      <c r="AU30" s="738"/>
      <c r="AV30" s="738"/>
      <c r="AW30" s="691"/>
      <c r="AY30" s="691"/>
      <c r="AZ30" s="738"/>
      <c r="BA30" s="738"/>
      <c r="BB30" s="691"/>
      <c r="BD30" s="691"/>
      <c r="BE30" s="692"/>
      <c r="BF30" s="692"/>
      <c r="BG30" s="691"/>
      <c r="BI30" s="691"/>
      <c r="BJ30" s="738"/>
      <c r="BK30" s="738"/>
      <c r="BL30" s="691"/>
      <c r="BP30" s="766"/>
      <c r="BQ30" s="766"/>
      <c r="BS30" s="728"/>
    </row>
    <row r="31" spans="1:71" ht="12.75" customHeight="1">
      <c r="A31" s="737"/>
      <c r="B31" s="728" t="str">
        <f>+GGAL!N23</f>
        <v>GFGC220.AB</v>
      </c>
      <c r="C31" s="729">
        <f>IFERROR(VALUE(SUBSTITUTE(([1]!bsi?MERV_Ö_XMEV_Ö_GFGC220.AB_Ö_24hs), ".", ",")), 0)</f>
        <v>5</v>
      </c>
      <c r="D31" s="730">
        <f>IFERROR(VALUE(SUBSTITUTE(([1]!bpr?MERV_Ö_XMEV_Ö_GFGC220.AB_Ö_24hs), ".", ",")), 0)</f>
        <v>14.7</v>
      </c>
      <c r="E31" s="730">
        <f>IFERROR(VALUE(SUBSTITUTE(([1]!opr?MERV_Ö_XMEV_Ö_GFGC220.AB_Ö_24hs), ".", ",")), 0)</f>
        <v>14.78</v>
      </c>
      <c r="F31" s="729">
        <f>IFERROR(VALUE(SUBSTITUTE(([1]!osi?MERV_Ö_XMEV_Ö_GFGC220.AB_Ö_24hs), ".", ",")), 0)</f>
        <v>75</v>
      </c>
      <c r="G31" s="731">
        <f>IFERROR(VALUE(SUBSTITUTE(([1]!lst?MERV_Ö_XMEV_Ö_GFGC220.AB_Ö_24hs), ".", ",")), 0)</f>
        <v>14.78</v>
      </c>
      <c r="H31" s="732">
        <f>IFERROR(VALUE(SUBSTITUTE(([1]!chgp?MERV_Ö_XMEV_Ö_GFGC220.AB_Ö_24hs), ".", ",") / 100), 0)</f>
        <v>0.29388000000000003</v>
      </c>
      <c r="I31" s="733"/>
      <c r="J31" s="733"/>
      <c r="K31" s="733"/>
      <c r="L31" s="733"/>
      <c r="M31" s="734">
        <f>IFERROR(VALUE(SUBSTITUTE(([1]!vole?MERV_Ö_XMEV_Ö_GFGC220.AB_Ö_24hs), ".", ",")), 0)</f>
        <v>33979404</v>
      </c>
      <c r="N31" s="734">
        <f>IFERROR(VALUE(SUBSTITUTE(([1]!voln?MERV_Ö_XMEV_Ö_GFGC220.AB_Ö_24hs), ".", ",")), 0)</f>
        <v>24610</v>
      </c>
      <c r="O31" s="733">
        <f>IFERROR(VALUE(SUBSTITUTE(([1]!vol?MERV_Ö_XMEV_Ö_GFGC220.AB_Ö_24hs), ".", ",")), 0)</f>
        <v>0</v>
      </c>
      <c r="P31" s="735">
        <f>IFERROR(VALUE(SUBSTITUTE(([1]!ltu?MERV_Ö_XMEV_Ö_GFGC220.AB_Ö_24hs), ".", ",")), 0)</f>
        <v>0.70831018518518529</v>
      </c>
      <c r="Q31" s="736">
        <f t="shared" si="0"/>
        <v>13.80715318976026</v>
      </c>
      <c r="S31" s="690" t="str">
        <f>+GGAL!P23</f>
        <v>GFGV220.AB</v>
      </c>
      <c r="T31" s="691">
        <f>IFERROR(VALUE(SUBSTITUTE(([1]!bsi?MERV_Ö_XMEV_Ö_GFGV220.AB_Ö_24hs), ".", ",")), 0)</f>
        <v>4</v>
      </c>
      <c r="U31" s="692">
        <f>IFERROR(VALUE(SUBSTITUTE(([1]!bpr?MERV_Ö_XMEV_Ö_GFGV220.AB_Ö_24hs), ".", ",")), 0)</f>
        <v>13.6</v>
      </c>
      <c r="V31" s="692">
        <f>IFERROR(VALUE(SUBSTITUTE(([1]!opr?MERV_Ö_XMEV_Ö_GFGV220.AB_Ö_24hs), ".", ",")), 0)</f>
        <v>14</v>
      </c>
      <c r="W31" s="691">
        <f>IFERROR(VALUE(SUBSTITUTE(([1]!osi?MERV_Ö_XMEV_Ö_GFGV220.AB_Ö_24hs), ".", ",")), 0)</f>
        <v>6</v>
      </c>
      <c r="X31" s="165">
        <f>IFERROR(VALUE(SUBSTITUTE(([1]!lst?MERV_Ö_XMEV_Ö_GFGV220.AB_Ö_24hs), ".", ",")), 0)</f>
        <v>13.9</v>
      </c>
      <c r="Y31" s="693">
        <f>IFERROR(VALUE(SUBSTITUTE(([1]!chgp?MERV_Ö_XMEV_Ö_GFGV220.AB_Ö_24hs), ".", ",") / 100), 0)</f>
        <v>-0.24998999999999999</v>
      </c>
      <c r="Z31" s="694"/>
      <c r="AA31" s="694"/>
      <c r="AB31" s="694"/>
      <c r="AC31" s="694"/>
      <c r="AD31" s="695">
        <f>IFERROR(VALUE(SUBSTITUTE(([1]!vole?MERV_Ö_XMEV_Ö_GFGV220.AB_Ö_24hs), ".", ",")), 0)</f>
        <v>1287929</v>
      </c>
      <c r="AE31" s="695">
        <f>IFERROR(VALUE(SUBSTITUTE(([1]!voln?MERV_Ö_XMEV_Ö_GFGV220.AB_Ö_24hs), ".", ",")), 0)</f>
        <v>857</v>
      </c>
      <c r="AF31" s="694">
        <f>IFERROR(VALUE(SUBSTITUTE(([1]!vol?MERV_Ö_XMEV_Ö_GFGV220.AB_Ö_24hs), ".", ",")), 0)</f>
        <v>0</v>
      </c>
      <c r="AG31" s="696">
        <f>IFERROR(VALUE(SUBSTITUTE(([1]!ltu?MERV_Ö_XMEV_Ö_GFGV220.AB_Ö_24hs), ".", ",")), 0)</f>
        <v>0.70796296296296291</v>
      </c>
      <c r="AH31" s="697">
        <f t="shared" si="1"/>
        <v>13.80715318976026</v>
      </c>
      <c r="AJ31" s="691"/>
      <c r="AK31" s="738"/>
      <c r="AL31" s="738"/>
      <c r="AM31" s="691"/>
      <c r="AO31" s="691"/>
      <c r="AP31" s="738"/>
      <c r="AQ31" s="738"/>
      <c r="AR31" s="691"/>
      <c r="AT31" s="691"/>
      <c r="AU31" s="738"/>
      <c r="AV31" s="738"/>
      <c r="AW31" s="691"/>
      <c r="AY31" s="691"/>
      <c r="AZ31" s="738"/>
      <c r="BA31" s="738"/>
      <c r="BB31" s="691"/>
      <c r="BD31" s="691"/>
      <c r="BE31" s="692"/>
      <c r="BF31" s="692"/>
      <c r="BG31" s="691"/>
      <c r="BI31" s="691"/>
      <c r="BJ31" s="738"/>
      <c r="BK31" s="738"/>
      <c r="BL31" s="691"/>
      <c r="BP31" s="766"/>
      <c r="BQ31" s="766"/>
      <c r="BS31" s="728"/>
    </row>
    <row r="32" spans="1:71" ht="12.75" customHeight="1">
      <c r="A32" s="737"/>
      <c r="B32" s="728" t="str">
        <f>+GGAL!N24</f>
        <v>GFGC230.AB</v>
      </c>
      <c r="C32" s="729">
        <f>IFERROR(VALUE(SUBSTITUTE(([1]!bsi?MERV_Ö_XMEV_Ö_GFGC230.AB_Ö_24hs), ".", ",")), 0)</f>
        <v>25</v>
      </c>
      <c r="D32" s="730">
        <f>IFERROR(VALUE(SUBSTITUTE(([1]!bpr?MERV_Ö_XMEV_Ö_GFGC230.AB_Ö_24hs), ".", ",")), 0)</f>
        <v>10.5</v>
      </c>
      <c r="E32" s="730">
        <f>IFERROR(VALUE(SUBSTITUTE(([1]!opr?MERV_Ö_XMEV_Ö_GFGC230.AB_Ö_24hs), ".", ",")), 0)</f>
        <v>10.6</v>
      </c>
      <c r="F32" s="729">
        <f>IFERROR(VALUE(SUBSTITUTE(([1]!osi?MERV_Ö_XMEV_Ö_GFGC230.AB_Ö_24hs), ".", ",")), 0)</f>
        <v>26</v>
      </c>
      <c r="G32" s="731">
        <f>IFERROR(VALUE(SUBSTITUTE(([1]!lst?MERV_Ö_XMEV_Ö_GFGC230.AB_Ö_24hs), ".", ",")), 0)</f>
        <v>10.6</v>
      </c>
      <c r="H32" s="732">
        <f>IFERROR(VALUE(SUBSTITUTE(([1]!chgp?MERV_Ö_XMEV_Ö_GFGC230.AB_Ö_24hs), ".", ",") / 100), 0)</f>
        <v>0.28734999999999999</v>
      </c>
      <c r="I32" s="733"/>
      <c r="J32" s="733"/>
      <c r="K32" s="733"/>
      <c r="L32" s="733"/>
      <c r="M32" s="734">
        <f>IFERROR(VALUE(SUBSTITUTE(([1]!vole?MERV_Ö_XMEV_Ö_GFGC230.AB_Ö_24hs), ".", ",")), 0)</f>
        <v>25296632.699999999</v>
      </c>
      <c r="N32" s="734">
        <f>IFERROR(VALUE(SUBSTITUTE(([1]!voln?MERV_Ö_XMEV_Ö_GFGC230.AB_Ö_24hs), ".", ",")), 0)</f>
        <v>25292</v>
      </c>
      <c r="O32" s="733">
        <f>IFERROR(VALUE(SUBSTITUTE(([1]!vol?MERV_Ö_XMEV_Ö_GFGC230.AB_Ö_24hs), ".", ",")), 0)</f>
        <v>0</v>
      </c>
      <c r="P32" s="735">
        <f>IFERROR(VALUE(SUBSTITUTE(([1]!ltu?MERV_Ö_XMEV_Ö_GFGC230.AB_Ö_24hs), ".", ",")), 0)</f>
        <v>0.70811342592592597</v>
      </c>
      <c r="Q32" s="736">
        <f t="shared" si="0"/>
        <v>10.001831685908588</v>
      </c>
      <c r="S32" s="690" t="str">
        <f>+GGAL!P24</f>
        <v>GFGV230.AB</v>
      </c>
      <c r="T32" s="691">
        <f>IFERROR(VALUE(SUBSTITUTE(([1]!bsi?MERV_Ö_XMEV_Ö_GFGV230.AB_Ö_24hs), ".", ",")), 0)</f>
        <v>4</v>
      </c>
      <c r="U32" s="692">
        <f>IFERROR(VALUE(SUBSTITUTE(([1]!bpr?MERV_Ö_XMEV_Ö_GFGV230.AB_Ö_24hs), ".", ",")), 0)</f>
        <v>20.001000000000001</v>
      </c>
      <c r="V32" s="692">
        <f>IFERROR(VALUE(SUBSTITUTE(([1]!opr?MERV_Ö_XMEV_Ö_GFGV230.AB_Ö_24hs), ".", ",")), 0)</f>
        <v>23</v>
      </c>
      <c r="W32" s="691">
        <f>IFERROR(VALUE(SUBSTITUTE(([1]!osi?MERV_Ö_XMEV_Ö_GFGV230.AB_Ö_24hs), ".", ",")), 0)</f>
        <v>5</v>
      </c>
      <c r="X32" s="165">
        <f>IFERROR(VALUE(SUBSTITUTE(([1]!lst?MERV_Ö_XMEV_Ö_GFGV230.AB_Ö_24hs), ".", ",")), 0)</f>
        <v>20.6</v>
      </c>
      <c r="Y32" s="693">
        <f>IFERROR(VALUE(SUBSTITUTE(([1]!chgp?MERV_Ö_XMEV_Ö_GFGV230.AB_Ö_24hs), ".", ",") / 100), 0)</f>
        <v>-0.20768999999999999</v>
      </c>
      <c r="Z32" s="694"/>
      <c r="AA32" s="694"/>
      <c r="AB32" s="694"/>
      <c r="AC32" s="694"/>
      <c r="AD32" s="695">
        <f>IFERROR(VALUE(SUBSTITUTE(([1]!vole?MERV_Ö_XMEV_Ö_GFGV230.AB_Ö_24hs), ".", ",")), 0)</f>
        <v>959644.4</v>
      </c>
      <c r="AE32" s="695">
        <f>IFERROR(VALUE(SUBSTITUTE(([1]!voln?MERV_Ö_XMEV_Ö_GFGV230.AB_Ö_24hs), ".", ",")), 0)</f>
        <v>431</v>
      </c>
      <c r="AF32" s="694">
        <f>IFERROR(VALUE(SUBSTITUTE(([1]!vol?MERV_Ö_XMEV_Ö_GFGV230.AB_Ö_24hs), ".", ",")), 0)</f>
        <v>0</v>
      </c>
      <c r="AG32" s="696">
        <f>IFERROR(VALUE(SUBSTITUTE(([1]!ltu?MERV_Ö_XMEV_Ö_GFGV230.AB_Ö_24hs), ".", ",")), 0)</f>
        <v>0.70663194444444455</v>
      </c>
      <c r="AH32" s="697">
        <f t="shared" si="1"/>
        <v>10.001831685908588</v>
      </c>
      <c r="AJ32" s="691"/>
      <c r="AK32" s="738"/>
      <c r="AL32" s="738"/>
      <c r="AM32" s="691"/>
      <c r="AO32" s="691"/>
      <c r="AP32" s="738"/>
      <c r="AQ32" s="738"/>
      <c r="AR32" s="691"/>
      <c r="AT32" s="691"/>
      <c r="AU32" s="738"/>
      <c r="AV32" s="738"/>
      <c r="AW32" s="691"/>
      <c r="AY32" s="691"/>
      <c r="AZ32" s="738"/>
      <c r="BA32" s="738"/>
      <c r="BB32" s="691"/>
      <c r="BD32" s="691"/>
      <c r="BE32" s="692"/>
      <c r="BF32" s="692"/>
      <c r="BG32" s="691"/>
      <c r="BI32" s="691"/>
      <c r="BJ32" s="738"/>
      <c r="BK32" s="738"/>
      <c r="BL32" s="691"/>
      <c r="BP32" s="766"/>
      <c r="BQ32" s="766"/>
      <c r="BS32" s="728"/>
    </row>
    <row r="33" spans="1:71" ht="12.75" customHeight="1">
      <c r="A33" s="737"/>
      <c r="B33" s="728" t="str">
        <f>+GGAL!N25</f>
        <v>GFGC240.AB</v>
      </c>
      <c r="C33" s="729">
        <f>IFERROR(VALUE(SUBSTITUTE(([1]!bsi?MERV_Ö_XMEV_Ö_GFGC240.AB_Ö_24hs), ".", ",")), 0)</f>
        <v>5</v>
      </c>
      <c r="D33" s="730">
        <f>IFERROR(VALUE(SUBSTITUTE(([1]!bpr?MERV_Ö_XMEV_Ö_GFGC240.AB_Ö_24hs), ".", ",")), 0)</f>
        <v>7.3550000000000004</v>
      </c>
      <c r="E33" s="730">
        <f>IFERROR(VALUE(SUBSTITUTE(([1]!opr?MERV_Ö_XMEV_Ö_GFGC240.AB_Ö_24hs), ".", ",")), 0)</f>
        <v>7.3970000000000002</v>
      </c>
      <c r="F33" s="729">
        <f>IFERROR(VALUE(SUBSTITUTE(([1]!osi?MERV_Ö_XMEV_Ö_GFGC240.AB_Ö_24hs), ".", ",")), 0)</f>
        <v>11</v>
      </c>
      <c r="G33" s="731">
        <f>IFERROR(VALUE(SUBSTITUTE(([1]!lst?MERV_Ö_XMEV_Ö_GFGC240.AB_Ö_24hs), ".", ",")), 0)</f>
        <v>7.3970000000000002</v>
      </c>
      <c r="H33" s="732">
        <f>IFERROR(VALUE(SUBSTITUTE(([1]!chgp?MERV_Ö_XMEV_Ö_GFGC240.AB_Ö_24hs), ".", ",") / 100), 0)</f>
        <v>0.25224000000000002</v>
      </c>
      <c r="I33" s="733"/>
      <c r="J33" s="733"/>
      <c r="K33" s="733"/>
      <c r="L33" s="733"/>
      <c r="M33" s="734">
        <f>IFERROR(VALUE(SUBSTITUTE(([1]!vole?MERV_Ö_XMEV_Ö_GFGC240.AB_Ö_24hs), ".", ",")), 0)</f>
        <v>12597401.699999999</v>
      </c>
      <c r="N33" s="734">
        <f>IFERROR(VALUE(SUBSTITUTE(([1]!voln?MERV_Ö_XMEV_Ö_GFGC240.AB_Ö_24hs), ".", ",")), 0)</f>
        <v>17817</v>
      </c>
      <c r="O33" s="733">
        <f>IFERROR(VALUE(SUBSTITUTE(([1]!vol?MERV_Ö_XMEV_Ö_GFGC240.AB_Ö_24hs), ".", ",")), 0)</f>
        <v>0</v>
      </c>
      <c r="P33" s="735">
        <f>IFERROR(VALUE(SUBSTITUTE(([1]!ltu?MERV_Ö_XMEV_Ö_GFGC240.AB_Ö_24hs), ".", ",")), 0)</f>
        <v>0.70824074074074073</v>
      </c>
      <c r="Q33" s="736">
        <f t="shared" si="0"/>
        <v>7.0704392995453773</v>
      </c>
      <c r="S33" s="690" t="str">
        <f>+GGAL!P25</f>
        <v>GFGV240.AB</v>
      </c>
      <c r="T33" s="691">
        <f>IFERROR(VALUE(SUBSTITUTE(([1]!bsi?MERV_Ö_XMEV_Ö_GFGV240.AB_Ö_24hs), ".", ",")), 0)</f>
        <v>0</v>
      </c>
      <c r="U33" s="692">
        <f>IFERROR(VALUE(SUBSTITUTE(([1]!bpr?MERV_Ö_XMEV_Ö_GFGV240.AB_Ö_24hs), ".", ",")), 0)</f>
        <v>0</v>
      </c>
      <c r="V33" s="692">
        <f>IFERROR(VALUE(SUBSTITUTE(([1]!opr?MERV_Ö_XMEV_Ö_GFGV240.AB_Ö_24hs), ".", ",")), 0)</f>
        <v>0</v>
      </c>
      <c r="W33" s="691">
        <f>IFERROR(VALUE(SUBSTITUTE(([1]!osi?MERV_Ö_XMEV_Ö_GFGV240.AB_Ö_24hs), ".", ",")), 0)</f>
        <v>0</v>
      </c>
      <c r="X33" s="165">
        <f>IFERROR(VALUE(SUBSTITUTE(([1]!lst?MERV_Ö_XMEV_Ö_GFGV240.AB_Ö_24hs), ".", ",")), 0)</f>
        <v>0</v>
      </c>
      <c r="Y33" s="693">
        <f>IFERROR(VALUE(SUBSTITUTE(([1]!chgp?MERV_Ö_XMEV_Ö_GFGV240.AB_Ö_24hs), ".", ",") / 100), 0)</f>
        <v>0</v>
      </c>
      <c r="Z33" s="694"/>
      <c r="AA33" s="694"/>
      <c r="AB33" s="694"/>
      <c r="AC33" s="694"/>
      <c r="AD33" s="695">
        <f>IFERROR(VALUE(SUBSTITUTE(([1]!vole?MERV_Ö_XMEV_Ö_GFGV240.AB_Ö_24hs), ".", ",")), 0)</f>
        <v>0</v>
      </c>
      <c r="AE33" s="695">
        <f>IFERROR(VALUE(SUBSTITUTE(([1]!voln?MERV_Ö_XMEV_Ö_GFGV240.AB_Ö_24hs), ".", ",")), 0)</f>
        <v>0</v>
      </c>
      <c r="AF33" s="694">
        <f>IFERROR(VALUE(SUBSTITUTE(([1]!vol?MERV_Ö_XMEV_Ö_GFGV240.AB_Ö_24hs), ".", ",")), 0)</f>
        <v>0</v>
      </c>
      <c r="AG33" s="696">
        <f>IFERROR(VALUE(SUBSTITUTE(([1]!ltu?MERV_Ö_XMEV_Ö_GFGV240.AB_Ö_24hs), ".", ",")), 0)</f>
        <v>0</v>
      </c>
      <c r="AH33" s="697">
        <f t="shared" si="1"/>
        <v>7.0704392995453773</v>
      </c>
      <c r="AJ33" s="691"/>
      <c r="AK33" s="738"/>
      <c r="AL33" s="738"/>
      <c r="AM33" s="691"/>
      <c r="AO33" s="691"/>
      <c r="AP33" s="738"/>
      <c r="AQ33" s="738"/>
      <c r="AR33" s="691"/>
      <c r="AT33" s="691"/>
      <c r="AU33" s="738"/>
      <c r="AV33" s="738"/>
      <c r="AW33" s="691"/>
      <c r="AY33" s="691"/>
      <c r="AZ33" s="738"/>
      <c r="BA33" s="738"/>
      <c r="BB33" s="691"/>
      <c r="BD33" s="691"/>
      <c r="BE33" s="692"/>
      <c r="BF33" s="692"/>
      <c r="BG33" s="691"/>
      <c r="BI33" s="691"/>
      <c r="BJ33" s="738"/>
      <c r="BK33" s="738"/>
      <c r="BL33" s="691"/>
      <c r="BP33" s="766"/>
      <c r="BQ33" s="766"/>
      <c r="BS33" s="728"/>
    </row>
    <row r="34" spans="1:71" ht="12.75" customHeight="1">
      <c r="A34" s="737"/>
      <c r="B34" s="728" t="str">
        <f>+GGAL!N26</f>
        <v>GFGC250.AB</v>
      </c>
      <c r="C34" s="729">
        <f>IFERROR(VALUE(SUBSTITUTE(([1]!bsi?MERV_Ö_XMEV_Ö_GFGC250.AB_Ö_24hs), ".", ",")), 0)</f>
        <v>49</v>
      </c>
      <c r="D34" s="730">
        <f>IFERROR(VALUE(SUBSTITUTE(([1]!bpr?MERV_Ö_XMEV_Ö_GFGC250.AB_Ö_24hs), ".", ",")), 0)</f>
        <v>5.21</v>
      </c>
      <c r="E34" s="730">
        <f>IFERROR(VALUE(SUBSTITUTE(([1]!opr?MERV_Ö_XMEV_Ö_GFGC250.AB_Ö_24hs), ".", ",")), 0)</f>
        <v>5.31</v>
      </c>
      <c r="F34" s="729">
        <f>IFERROR(VALUE(SUBSTITUTE(([1]!osi?MERV_Ö_XMEV_Ö_GFGC250.AB_Ö_24hs), ".", ",")), 0)</f>
        <v>10</v>
      </c>
      <c r="G34" s="731">
        <f>IFERROR(VALUE(SUBSTITUTE(([1]!lst?MERV_Ö_XMEV_Ö_GFGC250.AB_Ö_24hs), ".", ",")), 0)</f>
        <v>5.3</v>
      </c>
      <c r="H34" s="732">
        <f>IFERROR(VALUE(SUBSTITUTE(([1]!chgp?MERV_Ö_XMEV_Ö_GFGC250.AB_Ö_24hs), ".", ",") / 100), 0)</f>
        <v>0.30348999999999998</v>
      </c>
      <c r="I34" s="733"/>
      <c r="J34" s="733"/>
      <c r="K34" s="733"/>
      <c r="L34" s="733"/>
      <c r="M34" s="734">
        <f>IFERROR(VALUE(SUBSTITUTE(([1]!vole?MERV_Ö_XMEV_Ö_GFGC250.AB_Ö_24hs), ".", ",")), 0)</f>
        <v>7148453.7999999998</v>
      </c>
      <c r="N34" s="734">
        <f>IFERROR(VALUE(SUBSTITUTE(([1]!voln?MERV_Ö_XMEV_Ö_GFGC250.AB_Ö_24hs), ".", ",")), 0)</f>
        <v>14445</v>
      </c>
      <c r="O34" s="733">
        <f>IFERROR(VALUE(SUBSTITUTE(([1]!vol?MERV_Ö_XMEV_Ö_GFGC250.AB_Ö_24hs), ".", ",")), 0)</f>
        <v>0</v>
      </c>
      <c r="P34" s="735">
        <f>IFERROR(VALUE(SUBSTITUTE(([1]!ltu?MERV_Ö_XMEV_Ö_GFGC250.AB_Ö_24hs), ".", ",")), 0)</f>
        <v>0.70814814814814808</v>
      </c>
      <c r="Q34" s="736">
        <f t="shared" si="0"/>
        <v>4.9487392177223946</v>
      </c>
      <c r="S34" s="690" t="str">
        <f>+GGAL!P26</f>
        <v>GFGV250.AB</v>
      </c>
      <c r="T34" s="691">
        <f>IFERROR(VALUE(SUBSTITUTE(([1]!bsi?MERV_Ö_XMEV_Ö_GFGV250.AB_Ö_24hs), ".", ",")), 0)</f>
        <v>0</v>
      </c>
      <c r="U34" s="692">
        <f>IFERROR(VALUE(SUBSTITUTE(([1]!bpr?MERV_Ö_XMEV_Ö_GFGV250.AB_Ö_24hs), ".", ",")), 0)</f>
        <v>0</v>
      </c>
      <c r="V34" s="692">
        <f>IFERROR(VALUE(SUBSTITUTE(([1]!opr?MERV_Ö_XMEV_Ö_GFGV250.AB_Ö_24hs), ".", ",")), 0)</f>
        <v>0</v>
      </c>
      <c r="W34" s="691">
        <f>IFERROR(VALUE(SUBSTITUTE(([1]!osi?MERV_Ö_XMEV_Ö_GFGV250.AB_Ö_24hs), ".", ",")), 0)</f>
        <v>0</v>
      </c>
      <c r="X34" s="165">
        <f>IFERROR(VALUE(SUBSTITUTE(([1]!lst?MERV_Ö_XMEV_Ö_GFGV250.AB_Ö_24hs), ".", ",")), 0)</f>
        <v>0</v>
      </c>
      <c r="Y34" s="693">
        <f>IFERROR(VALUE(SUBSTITUTE(([1]!chgp?MERV_Ö_XMEV_Ö_GFGV250.AB_Ö_24hs), ".", ",") / 100), 0)</f>
        <v>0</v>
      </c>
      <c r="Z34" s="694"/>
      <c r="AA34" s="694"/>
      <c r="AB34" s="694"/>
      <c r="AC34" s="694"/>
      <c r="AD34" s="695">
        <f>IFERROR(VALUE(SUBSTITUTE(([1]!vole?MERV_Ö_XMEV_Ö_GFGV250.AB_Ö_24hs), ".", ",")), 0)</f>
        <v>0</v>
      </c>
      <c r="AE34" s="695">
        <f>IFERROR(VALUE(SUBSTITUTE(([1]!voln?MERV_Ö_XMEV_Ö_GFGV250.AB_Ö_24hs), ".", ",")), 0)</f>
        <v>0</v>
      </c>
      <c r="AF34" s="694">
        <f>IFERROR(VALUE(SUBSTITUTE(([1]!vol?MERV_Ö_XMEV_Ö_GFGV250.AB_Ö_24hs), ".", ",")), 0)</f>
        <v>0</v>
      </c>
      <c r="AG34" s="696">
        <f>IFERROR(VALUE(SUBSTITUTE(([1]!ltu?MERV_Ö_XMEV_Ö_GFGV250.AB_Ö_24hs), ".", ",")), 0)</f>
        <v>0</v>
      </c>
      <c r="AH34" s="697">
        <f t="shared" si="1"/>
        <v>4.9487392177223946</v>
      </c>
      <c r="AJ34" s="691"/>
      <c r="AK34" s="738"/>
      <c r="AL34" s="738"/>
      <c r="AM34" s="691"/>
      <c r="AO34" s="691"/>
      <c r="AP34" s="738"/>
      <c r="AQ34" s="738"/>
      <c r="AR34" s="691"/>
      <c r="AT34" s="691"/>
      <c r="AU34" s="738"/>
      <c r="AV34" s="738"/>
      <c r="AW34" s="691"/>
      <c r="AY34" s="691"/>
      <c r="AZ34" s="738"/>
      <c r="BA34" s="738"/>
      <c r="BB34" s="691"/>
      <c r="BD34" s="691"/>
      <c r="BE34" s="692"/>
      <c r="BF34" s="692"/>
      <c r="BG34" s="691"/>
      <c r="BI34" s="691"/>
      <c r="BJ34" s="738"/>
      <c r="BK34" s="738"/>
      <c r="BL34" s="691"/>
      <c r="BP34" s="766"/>
      <c r="BQ34" s="766"/>
      <c r="BS34" s="728"/>
    </row>
    <row r="35" spans="1:71" ht="12.75" customHeight="1" thickBot="1">
      <c r="A35" s="737"/>
      <c r="B35" s="728" t="str">
        <f>+GGAL!N27</f>
        <v>GFGC260.AB</v>
      </c>
      <c r="C35" s="729">
        <f>IFERROR(VALUE(SUBSTITUTE(([1]!bsi?MERV_Ö_XMEV_Ö_GFGC260.AB_Ö_24hs), ".", ",")), 0)</f>
        <v>10</v>
      </c>
      <c r="D35" s="730">
        <f>IFERROR(VALUE(SUBSTITUTE(([1]!bpr?MERV_Ö_XMEV_Ö_GFGC260.AB_Ö_24hs), ".", ",")), 0)</f>
        <v>3.601</v>
      </c>
      <c r="E35" s="730">
        <f>IFERROR(VALUE(SUBSTITUTE(([1]!opr?MERV_Ö_XMEV_Ö_GFGC260.AB_Ö_24hs), ".", ",")), 0)</f>
        <v>3.7</v>
      </c>
      <c r="F35" s="729">
        <f>IFERROR(VALUE(SUBSTITUTE(([1]!osi?MERV_Ö_XMEV_Ö_GFGC260.AB_Ö_24hs), ".", ",")), 0)</f>
        <v>290</v>
      </c>
      <c r="G35" s="731">
        <f>IFERROR(VALUE(SUBSTITUTE(([1]!lst?MERV_Ö_XMEV_Ö_GFGC260.AB_Ö_24hs), ".", ",")), 0)</f>
        <v>3.7</v>
      </c>
      <c r="H35" s="732">
        <f>IFERROR(VALUE(SUBSTITUTE(([1]!chgp?MERV_Ö_XMEV_Ö_GFGC260.AB_Ö_24hs), ".", ",") / 100), 0)</f>
        <v>0.26408999999999999</v>
      </c>
      <c r="I35" s="733"/>
      <c r="J35" s="733"/>
      <c r="K35" s="733"/>
      <c r="L35" s="733"/>
      <c r="M35" s="734">
        <f>IFERROR(VALUE(SUBSTITUTE(([1]!vole?MERV_Ö_XMEV_Ö_GFGC260.AB_Ö_24hs), ".", ",")), 0)</f>
        <v>3857568.2</v>
      </c>
      <c r="N35" s="734">
        <f>IFERROR(VALUE(SUBSTITUTE(([1]!voln?MERV_Ö_XMEV_Ö_GFGC260.AB_Ö_24hs), ".", ",")), 0)</f>
        <v>11568</v>
      </c>
      <c r="O35" s="733">
        <f>IFERROR(VALUE(SUBSTITUTE(([1]!vol?MERV_Ö_XMEV_Ö_GFGC260.AB_Ö_24hs), ".", ",")), 0)</f>
        <v>0</v>
      </c>
      <c r="P35" s="735">
        <f>IFERROR(VALUE(SUBSTITUTE(([1]!ltu?MERV_Ö_XMEV_Ö_GFGC260.AB_Ö_24hs), ".", ",")), 0)</f>
        <v>0.70829861111111114</v>
      </c>
      <c r="Q35" s="736">
        <f t="shared" si="0"/>
        <v>3.3346889695712307</v>
      </c>
      <c r="S35" s="690" t="str">
        <f>+GGAL!P27</f>
        <v>GFGV260.AB</v>
      </c>
      <c r="T35" s="691">
        <f>IFERROR(VALUE(SUBSTITUTE(([1]!bsi?MERV_Ö_XMEV_Ö_GFGV260.AB_Ö_24hs), ".", ",")), 0)</f>
        <v>0</v>
      </c>
      <c r="U35" s="692">
        <f>IFERROR(VALUE(SUBSTITUTE(([1]!bpr?MERV_Ö_XMEV_Ö_GFGV260.AB_Ö_24hs), ".", ",")), 0)</f>
        <v>0</v>
      </c>
      <c r="V35" s="692">
        <f>IFERROR(VALUE(SUBSTITUTE(([1]!opr?MERV_Ö_XMEV_Ö_GFGV260.AB_Ö_24hs), ".", ",")), 0)</f>
        <v>0</v>
      </c>
      <c r="W35" s="691">
        <f>IFERROR(VALUE(SUBSTITUTE(([1]!osi?MERV_Ö_XMEV_Ö_GFGV260.AB_Ö_24hs), ".", ",")), 0)</f>
        <v>0</v>
      </c>
      <c r="X35" s="165">
        <f>IFERROR(VALUE(SUBSTITUTE(([1]!lst?MERV_Ö_XMEV_Ö_GFGV260.AB_Ö_24hs), ".", ",")), 0)</f>
        <v>0</v>
      </c>
      <c r="Y35" s="693">
        <f>IFERROR(VALUE(SUBSTITUTE(([1]!chgp?MERV_Ö_XMEV_Ö_GFGV260.AB_Ö_24hs), ".", ",") / 100), 0)</f>
        <v>0</v>
      </c>
      <c r="Z35" s="694"/>
      <c r="AA35" s="694"/>
      <c r="AB35" s="694"/>
      <c r="AC35" s="694"/>
      <c r="AD35" s="695">
        <f>IFERROR(VALUE(SUBSTITUTE(([1]!vole?MERV_Ö_XMEV_Ö_GFGV260.AB_Ö_24hs), ".", ",")), 0)</f>
        <v>0</v>
      </c>
      <c r="AE35" s="695">
        <f>IFERROR(VALUE(SUBSTITUTE(([1]!voln?MERV_Ö_XMEV_Ö_GFGV260.AB_Ö_24hs), ".", ",")), 0)</f>
        <v>0</v>
      </c>
      <c r="AF35" s="694">
        <f>IFERROR(VALUE(SUBSTITUTE(([1]!vol?MERV_Ö_XMEV_Ö_GFGV260.AB_Ö_24hs), ".", ",")), 0)</f>
        <v>0</v>
      </c>
      <c r="AG35" s="696">
        <f>IFERROR(VALUE(SUBSTITUTE(([1]!ltu?MERV_Ö_XMEV_Ö_GFGV260.AB_Ö_24hs), ".", ",")), 0)</f>
        <v>0</v>
      </c>
      <c r="AH35" s="697">
        <f t="shared" si="1"/>
        <v>3.3346889695712307</v>
      </c>
      <c r="BP35" s="766"/>
      <c r="BQ35" s="766"/>
      <c r="BS35" s="728"/>
    </row>
    <row r="36" spans="1:71" ht="12.75" customHeight="1" thickBot="1">
      <c r="A36" s="739"/>
      <c r="B36" s="728" t="str">
        <f>+GGAL!N28</f>
        <v>GFGC270.AB</v>
      </c>
      <c r="C36" s="729">
        <f>IFERROR(VALUE(SUBSTITUTE(([1]!bsi?MERV_Ö_XMEV_Ö_GFGC270.AB_Ö_24hs), ".", ",")), 0)</f>
        <v>3</v>
      </c>
      <c r="D36" s="730">
        <f>IFERROR(VALUE(SUBSTITUTE(([1]!bpr?MERV_Ö_XMEV_Ö_GFGC270.AB_Ö_24hs), ".", ",")), 0)</f>
        <v>2.4500000000000002</v>
      </c>
      <c r="E36" s="730">
        <f>IFERROR(VALUE(SUBSTITUTE(([1]!opr?MERV_Ö_XMEV_Ö_GFGC270.AB_Ö_24hs), ".", ",")), 0)</f>
        <v>2.48</v>
      </c>
      <c r="F36" s="729">
        <f>IFERROR(VALUE(SUBSTITUTE(([1]!osi?MERV_Ö_XMEV_Ö_GFGC270.AB_Ö_24hs), ".", ",")), 0)</f>
        <v>189</v>
      </c>
      <c r="G36" s="731">
        <f>IFERROR(VALUE(SUBSTITUTE(([1]!lst?MERV_Ö_XMEV_Ö_GFGC270.AB_Ö_24hs), ".", ",")), 0)</f>
        <v>2.48</v>
      </c>
      <c r="H36" s="732">
        <f>IFERROR(VALUE(SUBSTITUTE(([1]!chgp?MERV_Ö_XMEV_Ö_GFGC270.AB_Ö_24hs), ".", ",") / 100), 0)</f>
        <v>0.19633</v>
      </c>
      <c r="I36" s="733"/>
      <c r="J36" s="733"/>
      <c r="K36" s="733"/>
      <c r="L36" s="733"/>
      <c r="M36" s="734">
        <f>IFERROR(VALUE(SUBSTITUTE(([1]!vole?MERV_Ö_XMEV_Ö_GFGC270.AB_Ö_24hs), ".", ",")), 0)</f>
        <v>573761.5</v>
      </c>
      <c r="N36" s="734">
        <f>IFERROR(VALUE(SUBSTITUTE(([1]!voln?MERV_Ö_XMEV_Ö_GFGC270.AB_Ö_24hs), ".", ",")), 0)</f>
        <v>2488</v>
      </c>
      <c r="O36" s="733">
        <f>IFERROR(VALUE(SUBSTITUTE(([1]!vol?MERV_Ö_XMEV_Ö_GFGC270.AB_Ö_24hs), ".", ",")), 0)</f>
        <v>0</v>
      </c>
      <c r="P36" s="735">
        <f>IFERROR(VALUE(SUBSTITUTE(([1]!ltu?MERV_Ö_XMEV_Ö_GFGC270.AB_Ö_24hs), ".", ",")), 0)</f>
        <v>0.70821759259259265</v>
      </c>
      <c r="Q36" s="736">
        <f t="shared" si="0"/>
        <v>2.306115353697749</v>
      </c>
      <c r="S36" s="690" t="str">
        <f>+GGAL!P28</f>
        <v>GFGV270.AB</v>
      </c>
      <c r="T36" s="691">
        <f>IFERROR(VALUE(SUBSTITUTE(([1]!bsi?MERV_Ö_XMEV_Ö_GFGV270.AB_Ö_24hs), ".", ",")), 0)</f>
        <v>0</v>
      </c>
      <c r="U36" s="692">
        <f>IFERROR(VALUE(SUBSTITUTE(([1]!bpr?MERV_Ö_XMEV_Ö_GFGV270.AB_Ö_24hs), ".", ",")), 0)</f>
        <v>0</v>
      </c>
      <c r="V36" s="692">
        <f>IFERROR(VALUE(SUBSTITUTE(([1]!opr?MERV_Ö_XMEV_Ö_GFGV270.AB_Ö_24hs), ".", ",")), 0)</f>
        <v>0</v>
      </c>
      <c r="W36" s="691">
        <f>IFERROR(VALUE(SUBSTITUTE(([1]!osi?MERV_Ö_XMEV_Ö_GFGV270.AB_Ö_24hs), ".", ",")), 0)</f>
        <v>0</v>
      </c>
      <c r="X36" s="165">
        <f>IFERROR(VALUE(SUBSTITUTE(([1]!lst?MERV_Ö_XMEV_Ö_GFGV270.AB_Ö_24hs), ".", ",")), 0)</f>
        <v>0</v>
      </c>
      <c r="Y36" s="693">
        <f>IFERROR(VALUE(SUBSTITUTE(([1]!chgp?MERV_Ö_XMEV_Ö_GFGV270.AB_Ö_24hs), ".", ",") / 100), 0)</f>
        <v>0</v>
      </c>
      <c r="Z36" s="694"/>
      <c r="AA36" s="694"/>
      <c r="AB36" s="694"/>
      <c r="AC36" s="694"/>
      <c r="AD36" s="695">
        <f>IFERROR(VALUE(SUBSTITUTE(([1]!vole?MERV_Ö_XMEV_Ö_GFGV270.AB_Ö_24hs), ".", ",")), 0)</f>
        <v>0</v>
      </c>
      <c r="AE36" s="695">
        <f>IFERROR(VALUE(SUBSTITUTE(([1]!voln?MERV_Ö_XMEV_Ö_GFGV270.AB_Ö_24hs), ".", ",")), 0)</f>
        <v>0</v>
      </c>
      <c r="AF36" s="694">
        <f>IFERROR(VALUE(SUBSTITUTE(([1]!vol?MERV_Ö_XMEV_Ö_GFGV270.AB_Ö_24hs), ".", ",")), 0)</f>
        <v>0</v>
      </c>
      <c r="AG36" s="696">
        <f>IFERROR(VALUE(SUBSTITUTE(([1]!ltu?MERV_Ö_XMEV_Ö_GFGV270.AB_Ö_24hs), ".", ",")), 0)</f>
        <v>0</v>
      </c>
      <c r="AH36" s="697">
        <f t="shared" si="1"/>
        <v>2.306115353697749</v>
      </c>
      <c r="AJ36" s="698"/>
      <c r="AK36" s="699"/>
      <c r="AL36" s="700"/>
      <c r="AM36" s="701"/>
      <c r="AO36" s="698"/>
      <c r="AP36" s="699"/>
      <c r="AQ36" s="700"/>
      <c r="AR36" s="701"/>
      <c r="AT36" s="698"/>
      <c r="AU36" s="699"/>
      <c r="AV36" s="700"/>
      <c r="AW36" s="701"/>
      <c r="AY36" s="698"/>
      <c r="AZ36" s="699"/>
      <c r="BA36" s="700"/>
      <c r="BB36" s="701"/>
      <c r="BD36" s="698"/>
      <c r="BE36" s="699"/>
      <c r="BF36" s="700"/>
      <c r="BG36" s="701"/>
      <c r="BI36" s="698"/>
      <c r="BJ36" s="699"/>
      <c r="BK36" s="700"/>
      <c r="BL36" s="701"/>
      <c r="BP36" s="766"/>
      <c r="BQ36" s="766"/>
      <c r="BS36" s="728"/>
    </row>
    <row r="37" spans="1:71" ht="12.75" customHeight="1">
      <c r="A37" s="739"/>
      <c r="B37" s="728" t="str">
        <f>+GGAL!N29</f>
        <v>GFGC280.AB</v>
      </c>
      <c r="C37" s="729">
        <f>IFERROR(VALUE(SUBSTITUTE(([1]!bsi?MERV_Ö_XMEV_Ö_GFGC280.AB_Ö_24hs), ".", ",")), 0)</f>
        <v>8</v>
      </c>
      <c r="D37" s="730">
        <f>IFERROR(VALUE(SUBSTITUTE(([1]!bpr?MERV_Ö_XMEV_Ö_GFGC280.AB_Ö_24hs), ".", ",")), 0)</f>
        <v>1.71</v>
      </c>
      <c r="E37" s="730">
        <f>IFERROR(VALUE(SUBSTITUTE(([1]!opr?MERV_Ö_XMEV_Ö_GFGC280.AB_Ö_24hs), ".", ",")), 0)</f>
        <v>1.79</v>
      </c>
      <c r="F37" s="729">
        <f>IFERROR(VALUE(SUBSTITUTE(([1]!osi?MERV_Ö_XMEV_Ö_GFGC280.AB_Ö_24hs), ".", ",")), 0)</f>
        <v>28</v>
      </c>
      <c r="G37" s="731">
        <f>IFERROR(VALUE(SUBSTITUTE(([1]!lst?MERV_Ö_XMEV_Ö_GFGC280.AB_Ö_24hs), ".", ",")), 0)</f>
        <v>1.7</v>
      </c>
      <c r="H37" s="732">
        <f>IFERROR(VALUE(SUBSTITUTE(([1]!chgp?MERV_Ö_XMEV_Ö_GFGC280.AB_Ö_24hs), ".", ",") / 100), 0)</f>
        <v>6.3829999999999998E-2</v>
      </c>
      <c r="I37" s="733"/>
      <c r="J37" s="733"/>
      <c r="K37" s="733"/>
      <c r="L37" s="733"/>
      <c r="M37" s="734">
        <f>IFERROR(VALUE(SUBSTITUTE(([1]!vole?MERV_Ö_XMEV_Ö_GFGC280.AB_Ö_24hs), ".", ",")), 0)</f>
        <v>266718.09999999998</v>
      </c>
      <c r="N37" s="734">
        <f>IFERROR(VALUE(SUBSTITUTE(([1]!voln?MERV_Ö_XMEV_Ö_GFGC280.AB_Ö_24hs), ".", ",")), 0)</f>
        <v>1569</v>
      </c>
      <c r="O37" s="733">
        <f>IFERROR(VALUE(SUBSTITUTE(([1]!vol?MERV_Ö_XMEV_Ö_GFGC280.AB_Ö_24hs), ".", ",")), 0)</f>
        <v>0</v>
      </c>
      <c r="P37" s="735">
        <f>IFERROR(VALUE(SUBSTITUTE(([1]!ltu?MERV_Ö_XMEV_Ö_GFGC280.AB_Ö_24hs), ".", ",")), 0)</f>
        <v>0.69305555555555554</v>
      </c>
      <c r="Q37" s="736">
        <f t="shared" si="0"/>
        <v>1.6999241555130655</v>
      </c>
      <c r="S37" s="690" t="str">
        <f>+GGAL!P29</f>
        <v>GFGV280.AB</v>
      </c>
      <c r="T37" s="691">
        <f>IFERROR(VALUE(SUBSTITUTE(([1]!bsi?MERV_Ö_XMEV_Ö_GFGV280.AB_Ö_24hs), ".", ",")), 0)</f>
        <v>0</v>
      </c>
      <c r="U37" s="692">
        <f>IFERROR(VALUE(SUBSTITUTE(([1]!bpr?MERV_Ö_XMEV_Ö_GFGV280.AB_Ö_24hs), ".", ",")), 0)</f>
        <v>0</v>
      </c>
      <c r="V37" s="692">
        <f>IFERROR(VALUE(SUBSTITUTE(([1]!opr?MERV_Ö_XMEV_Ö_GFGV280.AB_Ö_24hs), ".", ",")), 0)</f>
        <v>0</v>
      </c>
      <c r="W37" s="691">
        <f>IFERROR(VALUE(SUBSTITUTE(([1]!osi?MERV_Ö_XMEV_Ö_GFGV280.AB_Ö_24hs), ".", ",")), 0)</f>
        <v>0</v>
      </c>
      <c r="X37" s="165">
        <f>IFERROR(VALUE(SUBSTITUTE(([1]!lst?MERV_Ö_XMEV_Ö_GFGV280.AB_Ö_24hs), ".", ",")), 0)</f>
        <v>0</v>
      </c>
      <c r="Y37" s="693">
        <f>IFERROR(VALUE(SUBSTITUTE(([1]!chgp?MERV_Ö_XMEV_Ö_GFGV280.AB_Ö_24hs), ".", ",") / 100), 0)</f>
        <v>0</v>
      </c>
      <c r="Z37" s="694"/>
      <c r="AA37" s="694"/>
      <c r="AB37" s="694"/>
      <c r="AC37" s="694"/>
      <c r="AD37" s="695">
        <f>IFERROR(VALUE(SUBSTITUTE(([1]!vole?MERV_Ö_XMEV_Ö_GFGV280.AB_Ö_24hs), ".", ",")), 0)</f>
        <v>0</v>
      </c>
      <c r="AE37" s="695">
        <f>IFERROR(VALUE(SUBSTITUTE(([1]!voln?MERV_Ö_XMEV_Ö_GFGV280.AB_Ö_24hs), ".", ",")), 0)</f>
        <v>0</v>
      </c>
      <c r="AF37" s="694">
        <f>IFERROR(VALUE(SUBSTITUTE(([1]!vol?MERV_Ö_XMEV_Ö_GFGV280.AB_Ö_24hs), ".", ",")), 0)</f>
        <v>0</v>
      </c>
      <c r="AG37" s="696">
        <f>IFERROR(VALUE(SUBSTITUTE(([1]!ltu?MERV_Ö_XMEV_Ö_GFGV280.AB_Ö_24hs), ".", ",")), 0)</f>
        <v>0</v>
      </c>
      <c r="AH37" s="697">
        <f t="shared" si="1"/>
        <v>1.6999241555130655</v>
      </c>
      <c r="AJ37" s="691"/>
      <c r="AK37" s="738"/>
      <c r="AL37" s="738"/>
      <c r="AM37" s="691"/>
      <c r="AO37" s="691"/>
      <c r="AP37" s="738"/>
      <c r="AQ37" s="738"/>
      <c r="AR37" s="691"/>
      <c r="AT37" s="691"/>
      <c r="AU37" s="738"/>
      <c r="AV37" s="738"/>
      <c r="AW37" s="691"/>
      <c r="AY37" s="691"/>
      <c r="AZ37" s="738"/>
      <c r="BA37" s="738"/>
      <c r="BB37" s="691"/>
      <c r="BD37" s="691"/>
      <c r="BE37" s="738"/>
      <c r="BF37" s="738"/>
      <c r="BG37" s="691"/>
      <c r="BI37" s="691"/>
      <c r="BJ37" s="738"/>
      <c r="BK37" s="738"/>
      <c r="BL37" s="691"/>
      <c r="BP37" s="766"/>
      <c r="BQ37" s="766"/>
      <c r="BS37" s="728"/>
    </row>
    <row r="38" spans="1:71" ht="12.75" customHeight="1">
      <c r="A38" s="739"/>
      <c r="B38" s="728" t="str">
        <f>+GGAL!N30</f>
        <v>GFGC290.AB</v>
      </c>
      <c r="C38" s="729">
        <f>IFERROR(VALUE(SUBSTITUTE(([1]!bsi?MERV_Ö_XMEV_Ö_GFGC290.AB_Ö_24hs), ".", ",")), 0)</f>
        <v>13</v>
      </c>
      <c r="D38" s="730">
        <f>IFERROR(VALUE(SUBSTITUTE(([1]!bpr?MERV_Ö_XMEV_Ö_GFGC290.AB_Ö_24hs), ".", ",")), 0)</f>
        <v>1.1499999999999999</v>
      </c>
      <c r="E38" s="730">
        <f>IFERROR(VALUE(SUBSTITUTE(([1]!opr?MERV_Ö_XMEV_Ö_GFGC290.AB_Ö_24hs), ".", ",")), 0)</f>
        <v>1.28</v>
      </c>
      <c r="F38" s="729">
        <f>IFERROR(VALUE(SUBSTITUTE(([1]!osi?MERV_Ö_XMEV_Ö_GFGC290.AB_Ö_24hs), ".", ",")), 0)</f>
        <v>8</v>
      </c>
      <c r="G38" s="731">
        <f>IFERROR(VALUE(SUBSTITUTE(([1]!lst?MERV_Ö_XMEV_Ö_GFGC290.AB_Ö_24hs), ".", ",")), 0)</f>
        <v>1.1499999999999999</v>
      </c>
      <c r="H38" s="732">
        <f>IFERROR(VALUE(SUBSTITUTE(([1]!chgp?MERV_Ö_XMEV_Ö_GFGC290.AB_Ö_24hs), ".", ",") / 100), 0)</f>
        <v>-2.5419999999999998E-2</v>
      </c>
      <c r="I38" s="733"/>
      <c r="J38" s="733"/>
      <c r="K38" s="733"/>
      <c r="L38" s="733"/>
      <c r="M38" s="734">
        <f>IFERROR(VALUE(SUBSTITUTE(([1]!vole?MERV_Ö_XMEV_Ö_GFGC290.AB_Ö_24hs), ".", ",")), 0)</f>
        <v>90585.7</v>
      </c>
      <c r="N38" s="734">
        <f>IFERROR(VALUE(SUBSTITUTE(([1]!voln?MERV_Ö_XMEV_Ö_GFGC290.AB_Ö_24hs), ".", ",")), 0)</f>
        <v>745</v>
      </c>
      <c r="O38" s="733">
        <f>IFERROR(VALUE(SUBSTITUTE(([1]!vol?MERV_Ö_XMEV_Ö_GFGC290.AB_Ö_24hs), ".", ",")), 0)</f>
        <v>0</v>
      </c>
      <c r="P38" s="735">
        <f>IFERROR(VALUE(SUBSTITUTE(([1]!ltu?MERV_Ö_XMEV_Ö_GFGC290.AB_Ö_24hs), ".", ",")), 0)</f>
        <v>0.70526620370370363</v>
      </c>
      <c r="Q38" s="736">
        <f t="shared" si="0"/>
        <v>1.2159154362416107</v>
      </c>
      <c r="S38" s="690" t="str">
        <f>+GGAL!P30</f>
        <v>GFGV290.AB</v>
      </c>
      <c r="T38" s="691">
        <f>IFERROR(VALUE(SUBSTITUTE(([1]!bsi?MERV_Ö_XMEV_Ö_GFGV290.AB_Ö_24hs), ".", ",")), 0)</f>
        <v>0</v>
      </c>
      <c r="U38" s="692">
        <f>IFERROR(VALUE(SUBSTITUTE(([1]!bpr?MERV_Ö_XMEV_Ö_GFGV290.AB_Ö_24hs), ".", ",")), 0)</f>
        <v>0</v>
      </c>
      <c r="V38" s="692">
        <f>IFERROR(VALUE(SUBSTITUTE(([1]!opr?MERV_Ö_XMEV_Ö_GFGV290.AB_Ö_24hs), ".", ",")), 0)</f>
        <v>0</v>
      </c>
      <c r="W38" s="691">
        <f>IFERROR(VALUE(SUBSTITUTE(([1]!osi?MERV_Ö_XMEV_Ö_GFGV290.AB_Ö_24hs), ".", ",")), 0)</f>
        <v>0</v>
      </c>
      <c r="X38" s="165">
        <f>IFERROR(VALUE(SUBSTITUTE(([1]!lst?MERV_Ö_XMEV_Ö_GFGV290.AB_Ö_24hs), ".", ",")), 0)</f>
        <v>0</v>
      </c>
      <c r="Y38" s="693">
        <f>IFERROR(VALUE(SUBSTITUTE(([1]!chgp?MERV_Ö_XMEV_Ö_GFGV290.AB_Ö_24hs), ".", ",") / 100), 0)</f>
        <v>0</v>
      </c>
      <c r="Z38" s="694"/>
      <c r="AA38" s="694"/>
      <c r="AB38" s="694"/>
      <c r="AC38" s="694"/>
      <c r="AD38" s="695">
        <f>IFERROR(VALUE(SUBSTITUTE(([1]!vole?MERV_Ö_XMEV_Ö_GFGV290.AB_Ö_24hs), ".", ",")), 0)</f>
        <v>0</v>
      </c>
      <c r="AE38" s="695">
        <f>IFERROR(VALUE(SUBSTITUTE(([1]!voln?MERV_Ö_XMEV_Ö_GFGV290.AB_Ö_24hs), ".", ",")), 0)</f>
        <v>0</v>
      </c>
      <c r="AF38" s="694">
        <f>IFERROR(VALUE(SUBSTITUTE(([1]!vol?MERV_Ö_XMEV_Ö_GFGV290.AB_Ö_24hs), ".", ",")), 0)</f>
        <v>0</v>
      </c>
      <c r="AG38" s="696">
        <f>IFERROR(VALUE(SUBSTITUTE(([1]!ltu?MERV_Ö_XMEV_Ö_GFGV290.AB_Ö_24hs), ".", ",")), 0)</f>
        <v>0</v>
      </c>
      <c r="AH38" s="697">
        <f t="shared" si="1"/>
        <v>1.2159154362416107</v>
      </c>
      <c r="AJ38" s="691"/>
      <c r="AK38" s="738"/>
      <c r="AL38" s="738"/>
      <c r="AM38" s="691"/>
      <c r="AO38" s="691"/>
      <c r="AP38" s="738"/>
      <c r="AQ38" s="738"/>
      <c r="AR38" s="691"/>
      <c r="AT38" s="691"/>
      <c r="AU38" s="738"/>
      <c r="AV38" s="738"/>
      <c r="AW38" s="691"/>
      <c r="AY38" s="691"/>
      <c r="AZ38" s="738"/>
      <c r="BA38" s="738"/>
      <c r="BB38" s="691"/>
      <c r="BD38" s="691"/>
      <c r="BE38" s="738"/>
      <c r="BF38" s="738"/>
      <c r="BG38" s="691"/>
      <c r="BI38" s="691"/>
      <c r="BJ38" s="738"/>
      <c r="BK38" s="738"/>
      <c r="BL38" s="691"/>
      <c r="BP38" s="766"/>
      <c r="BQ38" s="766"/>
      <c r="BS38" s="728"/>
    </row>
    <row r="39" spans="1:71" ht="12.75" customHeight="1">
      <c r="A39" s="739"/>
      <c r="B39" s="728" t="str">
        <f>+GGAL!N31</f>
        <v>GFGC300.AB</v>
      </c>
      <c r="C39" s="729">
        <f>IFERROR(VALUE(SUBSTITUTE(([1]!bsi?MERV_Ö_XMEV_Ö_GFGC300.AB_Ö_24hs), ".", ",")), 0)</f>
        <v>1</v>
      </c>
      <c r="D39" s="730">
        <f>IFERROR(VALUE(SUBSTITUTE(([1]!bpr?MERV_Ö_XMEV_Ö_GFGC300.AB_Ö_24hs), ".", ",")), 0)</f>
        <v>0.80100000000000005</v>
      </c>
      <c r="E39" s="730">
        <f>IFERROR(VALUE(SUBSTITUTE(([1]!opr?MERV_Ö_XMEV_Ö_GFGC300.AB_Ö_24hs), ".", ",")), 0)</f>
        <v>0.9</v>
      </c>
      <c r="F39" s="729">
        <f>IFERROR(VALUE(SUBSTITUTE(([1]!osi?MERV_Ö_XMEV_Ö_GFGC300.AB_Ö_24hs), ".", ",")), 0)</f>
        <v>23</v>
      </c>
      <c r="G39" s="731">
        <f>IFERROR(VALUE(SUBSTITUTE(([1]!lst?MERV_Ö_XMEV_Ö_GFGC300.AB_Ö_24hs), ".", ",")), 0)</f>
        <v>0.85</v>
      </c>
      <c r="H39" s="732">
        <f>IFERROR(VALUE(SUBSTITUTE(([1]!chgp?MERV_Ö_XMEV_Ö_GFGC300.AB_Ö_24hs), ".", ",") / 100), 0)</f>
        <v>-1.3919999999999998E-2</v>
      </c>
      <c r="I39" s="733"/>
      <c r="J39" s="733"/>
      <c r="K39" s="733"/>
      <c r="L39" s="733"/>
      <c r="M39" s="734">
        <f>IFERROR(VALUE(SUBSTITUTE(([1]!vole?MERV_Ö_XMEV_Ö_GFGC300.AB_Ö_24hs), ".", ",")), 0)</f>
        <v>132404.6</v>
      </c>
      <c r="N39" s="734">
        <f>IFERROR(VALUE(SUBSTITUTE(([1]!voln?MERV_Ö_XMEV_Ö_GFGC300.AB_Ö_24hs), ".", ",")), 0)</f>
        <v>1506</v>
      </c>
      <c r="O39" s="733">
        <f>IFERROR(VALUE(SUBSTITUTE(([1]!vol?MERV_Ö_XMEV_Ö_GFGC300.AB_Ö_24hs), ".", ",")), 0)</f>
        <v>0</v>
      </c>
      <c r="P39" s="735">
        <f>IFERROR(VALUE(SUBSTITUTE(([1]!ltu?MERV_Ö_XMEV_Ö_GFGC300.AB_Ö_24hs), ".", ",")), 0)</f>
        <v>0.70810185185185182</v>
      </c>
      <c r="Q39" s="736">
        <f t="shared" si="0"/>
        <v>0.87918061088977428</v>
      </c>
      <c r="S39" s="690" t="str">
        <f>+GGAL!P31</f>
        <v>GFGV300.AB</v>
      </c>
      <c r="T39" s="691">
        <f>IFERROR(VALUE(SUBSTITUTE(([1]!bsi?MERV_Ö_XMEV_Ö_GFGV300.AB_Ö_24hs), ".", ",")), 0)</f>
        <v>0</v>
      </c>
      <c r="U39" s="692">
        <f>IFERROR(VALUE(SUBSTITUTE(([1]!bpr?MERV_Ö_XMEV_Ö_GFGV300.AB_Ö_24hs), ".", ",")), 0)</f>
        <v>0</v>
      </c>
      <c r="V39" s="692">
        <f>IFERROR(VALUE(SUBSTITUTE(([1]!opr?MERV_Ö_XMEV_Ö_GFGV300.AB_Ö_24hs), ".", ",")), 0)</f>
        <v>0</v>
      </c>
      <c r="W39" s="691">
        <f>IFERROR(VALUE(SUBSTITUTE(([1]!osi?MERV_Ö_XMEV_Ö_GFGV300.AB_Ö_24hs), ".", ",")), 0)</f>
        <v>0</v>
      </c>
      <c r="X39" s="165">
        <f>IFERROR(VALUE(SUBSTITUTE(([1]!lst?MERV_Ö_XMEV_Ö_GFGV300.AB_Ö_24hs), ".", ",")), 0)</f>
        <v>0</v>
      </c>
      <c r="Y39" s="693">
        <f>IFERROR(VALUE(SUBSTITUTE(([1]!chgp?MERV_Ö_XMEV_Ö_GFGV300.AB_Ö_24hs), ".", ",") / 100), 0)</f>
        <v>0</v>
      </c>
      <c r="Z39" s="694"/>
      <c r="AA39" s="694"/>
      <c r="AB39" s="694"/>
      <c r="AC39" s="694"/>
      <c r="AD39" s="695">
        <f>IFERROR(VALUE(SUBSTITUTE(([1]!vole?MERV_Ö_XMEV_Ö_GFGV300.AB_Ö_24hs), ".", ",")), 0)</f>
        <v>0</v>
      </c>
      <c r="AE39" s="695">
        <f>IFERROR(VALUE(SUBSTITUTE(([1]!voln?MERV_Ö_XMEV_Ö_GFGV300.AB_Ö_24hs), ".", ",")), 0)</f>
        <v>0</v>
      </c>
      <c r="AF39" s="694">
        <f>IFERROR(VALUE(SUBSTITUTE(([1]!vol?MERV_Ö_XMEV_Ö_GFGV300.AB_Ö_24hs), ".", ",")), 0)</f>
        <v>0</v>
      </c>
      <c r="AG39" s="696">
        <f>IFERROR(VALUE(SUBSTITUTE(([1]!ltu?MERV_Ö_XMEV_Ö_GFGV300.AB_Ö_24hs), ".", ",")), 0)</f>
        <v>0</v>
      </c>
      <c r="AH39" s="697">
        <f t="shared" si="1"/>
        <v>0.87918061088977428</v>
      </c>
      <c r="AJ39" s="691"/>
      <c r="AK39" s="738"/>
      <c r="AL39" s="738"/>
      <c r="AM39" s="691"/>
      <c r="AO39" s="691"/>
      <c r="AP39" s="738"/>
      <c r="AQ39" s="738"/>
      <c r="AR39" s="691"/>
      <c r="AT39" s="691"/>
      <c r="AU39" s="738"/>
      <c r="AV39" s="738"/>
      <c r="AW39" s="691"/>
      <c r="AY39" s="691"/>
      <c r="AZ39" s="738"/>
      <c r="BA39" s="738"/>
      <c r="BB39" s="691"/>
      <c r="BD39" s="691"/>
      <c r="BE39" s="738"/>
      <c r="BF39" s="738"/>
      <c r="BG39" s="691"/>
      <c r="BI39" s="691"/>
      <c r="BJ39" s="738"/>
      <c r="BK39" s="738"/>
      <c r="BL39" s="691"/>
      <c r="BP39" s="766"/>
      <c r="BQ39" s="766"/>
      <c r="BS39" s="728"/>
    </row>
    <row r="40" spans="1:71" ht="12.75" customHeight="1">
      <c r="A40" s="739"/>
      <c r="B40" s="728" t="str">
        <f>+GGAL!N32</f>
        <v>GFGC310.AB</v>
      </c>
      <c r="C40" s="729">
        <f>IFERROR(VALUE(SUBSTITUTE(([1]!bsi?MERV_Ö_XMEV_Ö_GFGC310.AB_Ö_24hs), ".", ",")), 0)</f>
        <v>18</v>
      </c>
      <c r="D40" s="730">
        <f>IFERROR(VALUE(SUBSTITUTE(([1]!bpr?MERV_Ö_XMEV_Ö_GFGC310.AB_Ö_24hs), ".", ",")), 0)</f>
        <v>0.56100000000000005</v>
      </c>
      <c r="E40" s="730">
        <f>IFERROR(VALUE(SUBSTITUTE(([1]!opr?MERV_Ö_XMEV_Ö_GFGC310.AB_Ö_24hs), ".", ",")), 0)</f>
        <v>0.69899999999999995</v>
      </c>
      <c r="F40" s="729">
        <f>IFERROR(VALUE(SUBSTITUTE(([1]!osi?MERV_Ö_XMEV_Ö_GFGC310.AB_Ö_24hs), ".", ",")), 0)</f>
        <v>19</v>
      </c>
      <c r="G40" s="731">
        <f>IFERROR(VALUE(SUBSTITUTE(([1]!lst?MERV_Ö_XMEV_Ö_GFGC310.AB_Ö_24hs), ".", ",")), 0)</f>
        <v>0.69899999999999995</v>
      </c>
      <c r="H40" s="732">
        <f>IFERROR(VALUE(SUBSTITUTE(([1]!chgp?MERV_Ö_XMEV_Ö_GFGC310.AB_Ö_24hs), ".", ",") / 100), 0)</f>
        <v>0.10776999999999999</v>
      </c>
      <c r="I40" s="733"/>
      <c r="J40" s="733"/>
      <c r="K40" s="733"/>
      <c r="L40" s="733"/>
      <c r="M40" s="734">
        <f>IFERROR(VALUE(SUBSTITUTE(([1]!vole?MERV_Ö_XMEV_Ö_GFGC310.AB_Ö_24hs), ".", ",")), 0)</f>
        <v>21598.9</v>
      </c>
      <c r="N40" s="734">
        <f>IFERROR(VALUE(SUBSTITUTE(([1]!voln?MERV_Ö_XMEV_Ö_GFGC310.AB_Ö_24hs), ".", ",")), 0)</f>
        <v>322</v>
      </c>
      <c r="O40" s="733">
        <f>IFERROR(VALUE(SUBSTITUTE(([1]!vol?MERV_Ö_XMEV_Ö_GFGC310.AB_Ö_24hs), ".", ",")), 0)</f>
        <v>0</v>
      </c>
      <c r="P40" s="735">
        <f>IFERROR(VALUE(SUBSTITUTE(([1]!ltu?MERV_Ö_XMEV_Ö_GFGC310.AB_Ö_24hs), ".", ",")), 0)</f>
        <v>0.70829861111111114</v>
      </c>
      <c r="Q40" s="736">
        <f t="shared" si="0"/>
        <v>0.67077329192546586</v>
      </c>
      <c r="S40" s="690" t="str">
        <f>+GGAL!P32</f>
        <v>GFGV310.AB</v>
      </c>
      <c r="T40" s="691">
        <f>IFERROR(VALUE(SUBSTITUTE(([1]!bsi?MERV_Ö_XMEV_Ö_GFGV310.AB_Ö_24hs), ".", ",")), 0)</f>
        <v>0</v>
      </c>
      <c r="U40" s="692">
        <f>IFERROR(VALUE(SUBSTITUTE(([1]!bpr?MERV_Ö_XMEV_Ö_GFGV310.AB_Ö_24hs), ".", ",")), 0)</f>
        <v>0</v>
      </c>
      <c r="V40" s="692">
        <f>IFERROR(VALUE(SUBSTITUTE(([1]!opr?MERV_Ö_XMEV_Ö_GFGV310.AB_Ö_24hs), ".", ",")), 0)</f>
        <v>0</v>
      </c>
      <c r="W40" s="691">
        <f>IFERROR(VALUE(SUBSTITUTE(([1]!osi?MERV_Ö_XMEV_Ö_GFGV310.AB_Ö_24hs), ".", ",")), 0)</f>
        <v>0</v>
      </c>
      <c r="X40" s="165">
        <f>IFERROR(VALUE(SUBSTITUTE(([1]!lst?MERV_Ö_XMEV_Ö_GFGV310.AB_Ö_24hs), ".", ",")), 0)</f>
        <v>0</v>
      </c>
      <c r="Y40" s="693">
        <f>IFERROR(VALUE(SUBSTITUTE(([1]!chgp?MERV_Ö_XMEV_Ö_GFGV310.AB_Ö_24hs), ".", ",") / 100), 0)</f>
        <v>0</v>
      </c>
      <c r="Z40" s="694"/>
      <c r="AA40" s="694"/>
      <c r="AB40" s="694"/>
      <c r="AC40" s="694"/>
      <c r="AD40" s="695">
        <f>IFERROR(VALUE(SUBSTITUTE(([1]!vole?MERV_Ö_XMEV_Ö_GFGV310.AB_Ö_24hs), ".", ",")), 0)</f>
        <v>0</v>
      </c>
      <c r="AE40" s="695">
        <f>IFERROR(VALUE(SUBSTITUTE(([1]!voln?MERV_Ö_XMEV_Ö_GFGV310.AB_Ö_24hs), ".", ",")), 0)</f>
        <v>0</v>
      </c>
      <c r="AF40" s="694">
        <f>IFERROR(VALUE(SUBSTITUTE(([1]!vol?MERV_Ö_XMEV_Ö_GFGV310.AB_Ö_24hs), ".", ",")), 0)</f>
        <v>0</v>
      </c>
      <c r="AG40" s="696">
        <f>IFERROR(VALUE(SUBSTITUTE(([1]!ltu?MERV_Ö_XMEV_Ö_GFGV310.AB_Ö_24hs), ".", ",")), 0)</f>
        <v>0</v>
      </c>
      <c r="AH40" s="697">
        <f t="shared" si="1"/>
        <v>0.67077329192546586</v>
      </c>
      <c r="AJ40" s="691"/>
      <c r="AK40" s="738"/>
      <c r="AL40" s="738"/>
      <c r="AM40" s="691"/>
      <c r="AO40" s="691"/>
      <c r="AP40" s="738"/>
      <c r="AQ40" s="738"/>
      <c r="AR40" s="691"/>
      <c r="AT40" s="691"/>
      <c r="AU40" s="738"/>
      <c r="AV40" s="738"/>
      <c r="AW40" s="691"/>
      <c r="AY40" s="691"/>
      <c r="AZ40" s="738"/>
      <c r="BA40" s="738"/>
      <c r="BB40" s="691"/>
      <c r="BD40" s="691"/>
      <c r="BE40" s="738"/>
      <c r="BF40" s="738"/>
      <c r="BG40" s="691"/>
      <c r="BI40" s="691"/>
      <c r="BJ40" s="738"/>
      <c r="BK40" s="738"/>
      <c r="BL40" s="691"/>
      <c r="BP40" s="766"/>
      <c r="BQ40" s="766"/>
      <c r="BS40" s="728"/>
    </row>
    <row r="41" spans="1:71" ht="12.75" customHeight="1">
      <c r="A41" s="737"/>
      <c r="B41" s="728" t="str">
        <f>+GGAL!N33</f>
        <v>GFGC320.AB</v>
      </c>
      <c r="C41" s="729">
        <f>IFERROR(VALUE(SUBSTITUTE(([1]!bsi?MERV_Ö_XMEV_Ö_GFGC320.AB_Ö_24hs), ".", ",")), 0)</f>
        <v>10</v>
      </c>
      <c r="D41" s="730">
        <f>IFERROR(VALUE(SUBSTITUTE(([1]!bpr?MERV_Ö_XMEV_Ö_GFGC320.AB_Ö_24hs), ".", ",")), 0)</f>
        <v>0.2</v>
      </c>
      <c r="E41" s="730">
        <f>IFERROR(VALUE(SUBSTITUTE(([1]!opr?MERV_Ö_XMEV_Ö_GFGC320.AB_Ö_24hs), ".", ",")), 0)</f>
        <v>0</v>
      </c>
      <c r="F41" s="729">
        <f>IFERROR(VALUE(SUBSTITUTE(([1]!osi?MERV_Ö_XMEV_Ö_GFGC320.AB_Ö_24hs), ".", ",")), 0)</f>
        <v>0</v>
      </c>
      <c r="G41" s="731">
        <f>IFERROR(VALUE(SUBSTITUTE(([1]!lst?MERV_Ö_XMEV_Ö_GFGC320.AB_Ö_24hs), ".", ",")), 0)</f>
        <v>0.55000000000000004</v>
      </c>
      <c r="H41" s="732">
        <f>IFERROR(VALUE(SUBSTITUTE(([1]!chgp?MERV_Ö_XMEV_Ö_GFGC320.AB_Ö_24hs), ".", ",") / 100), 0)</f>
        <v>0.12244999999999999</v>
      </c>
      <c r="I41" s="733"/>
      <c r="J41" s="733"/>
      <c r="K41" s="733"/>
      <c r="L41" s="733"/>
      <c r="M41" s="734">
        <f>IFERROR(VALUE(SUBSTITUTE(([1]!vole?MERV_Ö_XMEV_Ö_GFGC320.AB_Ö_24hs), ".", ",")), 0)</f>
        <v>20096</v>
      </c>
      <c r="N41" s="734">
        <f>IFERROR(VALUE(SUBSTITUTE(([1]!voln?MERV_Ö_XMEV_Ö_GFGC320.AB_Ö_24hs), ".", ",")), 0)</f>
        <v>401</v>
      </c>
      <c r="O41" s="733">
        <f>IFERROR(VALUE(SUBSTITUTE(([1]!vol?MERV_Ö_XMEV_Ö_GFGC320.AB_Ö_24hs), ".", ",")), 0)</f>
        <v>0</v>
      </c>
      <c r="P41" s="735">
        <f>IFERROR(VALUE(SUBSTITUTE(([1]!ltu?MERV_Ö_XMEV_Ö_GFGC320.AB_Ö_24hs), ".", ",")), 0)</f>
        <v>0.70795138888888898</v>
      </c>
      <c r="Q41" s="736">
        <f t="shared" si="0"/>
        <v>0.50114713216957607</v>
      </c>
      <c r="S41" s="690" t="str">
        <f>+GGAL!P33</f>
        <v>GFGV320.AB</v>
      </c>
      <c r="T41" s="691">
        <f>IFERROR(VALUE(SUBSTITUTE(([1]!bsi?MERV_Ö_XMEV_Ö_GFGV320.AB_Ö_24hs), ".", ",")), 0)</f>
        <v>0</v>
      </c>
      <c r="U41" s="692">
        <f>IFERROR(VALUE(SUBSTITUTE(([1]!bpr?MERV_Ö_XMEV_Ö_GFGV320.AB_Ö_24hs), ".", ",")), 0)</f>
        <v>0</v>
      </c>
      <c r="V41" s="692">
        <f>IFERROR(VALUE(SUBSTITUTE(([1]!opr?MERV_Ö_XMEV_Ö_GFGV320.AB_Ö_24hs), ".", ",")), 0)</f>
        <v>0</v>
      </c>
      <c r="W41" s="691">
        <f>IFERROR(VALUE(SUBSTITUTE(([1]!osi?MERV_Ö_XMEV_Ö_GFGV320.AB_Ö_24hs), ".", ",")), 0)</f>
        <v>0</v>
      </c>
      <c r="X41" s="165">
        <f>IFERROR(VALUE(SUBSTITUTE(([1]!lst?MERV_Ö_XMEV_Ö_GFGV320.AB_Ö_24hs), ".", ",")), 0)</f>
        <v>0</v>
      </c>
      <c r="Y41" s="693">
        <f>IFERROR(VALUE(SUBSTITUTE(([1]!chgp?MERV_Ö_XMEV_Ö_GFGV320.AB_Ö_24hs), ".", ",") / 100), 0)</f>
        <v>0</v>
      </c>
      <c r="Z41" s="694"/>
      <c r="AA41" s="694"/>
      <c r="AB41" s="694"/>
      <c r="AC41" s="694"/>
      <c r="AD41" s="695">
        <f>IFERROR(VALUE(SUBSTITUTE(([1]!vole?MERV_Ö_XMEV_Ö_GFGV320.AB_Ö_24hs), ".", ",")), 0)</f>
        <v>0</v>
      </c>
      <c r="AE41" s="695">
        <f>IFERROR(VALUE(SUBSTITUTE(([1]!voln?MERV_Ö_XMEV_Ö_GFGV320.AB_Ö_24hs), ".", ",")), 0)</f>
        <v>0</v>
      </c>
      <c r="AF41" s="694">
        <f>IFERROR(VALUE(SUBSTITUTE(([1]!vol?MERV_Ö_XMEV_Ö_GFGV320.AB_Ö_24hs), ".", ",")), 0)</f>
        <v>0</v>
      </c>
      <c r="AG41" s="696">
        <f>IFERROR(VALUE(SUBSTITUTE(([1]!ltu?MERV_Ö_XMEV_Ö_GFGV320.AB_Ö_24hs), ".", ",")), 0)</f>
        <v>0</v>
      </c>
      <c r="AH41" s="697">
        <f t="shared" si="1"/>
        <v>0.50114713216957607</v>
      </c>
      <c r="AJ41" s="691"/>
      <c r="AK41" s="738"/>
      <c r="AL41" s="738"/>
      <c r="AM41" s="691"/>
      <c r="AO41" s="691"/>
      <c r="AP41" s="738"/>
      <c r="AQ41" s="738"/>
      <c r="AR41" s="691"/>
      <c r="AT41" s="691"/>
      <c r="AU41" s="738"/>
      <c r="AV41" s="738"/>
      <c r="AW41" s="691"/>
      <c r="AY41" s="691"/>
      <c r="AZ41" s="738"/>
      <c r="BA41" s="738"/>
      <c r="BB41" s="691"/>
      <c r="BD41" s="691"/>
      <c r="BE41" s="738"/>
      <c r="BF41" s="738"/>
      <c r="BG41" s="691"/>
      <c r="BI41" s="691"/>
      <c r="BJ41" s="738"/>
      <c r="BK41" s="738"/>
      <c r="BL41" s="691"/>
      <c r="BP41" s="766"/>
      <c r="BQ41" s="766"/>
      <c r="BS41" s="728"/>
    </row>
    <row r="42" spans="1:71" ht="12.75" customHeight="1" thickBot="1">
      <c r="A42" s="737"/>
      <c r="B42" s="728" t="str">
        <f>+GGAL!N34</f>
        <v>GFGC330.AB</v>
      </c>
      <c r="C42" s="729">
        <f>IFERROR(VALUE(SUBSTITUTE(([1]!bsi?MERV_Ö_XMEV_Ö_GFGC330.AB_Ö_24hs), ".", ",")), 0)</f>
        <v>40</v>
      </c>
      <c r="D42" s="730">
        <f>IFERROR(VALUE(SUBSTITUTE(([1]!bpr?MERV_Ö_XMEV_Ö_GFGC330.AB_Ö_24hs), ".", ",")), 0)</f>
        <v>0.34100000000000003</v>
      </c>
      <c r="E42" s="730">
        <f>IFERROR(VALUE(SUBSTITUTE(([1]!opr?MERV_Ö_XMEV_Ö_GFGC330.AB_Ö_24hs), ".", ",")), 0)</f>
        <v>0.38400000000000001</v>
      </c>
      <c r="F42" s="729">
        <f>IFERROR(VALUE(SUBSTITUTE(([1]!osi?MERV_Ö_XMEV_Ö_GFGC330.AB_Ö_24hs), ".", ",")), 0)</f>
        <v>23</v>
      </c>
      <c r="G42" s="731">
        <f>IFERROR(VALUE(SUBSTITUTE(([1]!lst?MERV_Ö_XMEV_Ö_GFGC330.AB_Ö_24hs), ".", ",")), 0)</f>
        <v>0.38400000000000001</v>
      </c>
      <c r="H42" s="732">
        <f>IFERROR(VALUE(SUBSTITUTE(([1]!chgp?MERV_Ö_XMEV_Ö_GFGC330.AB_Ö_24hs), ".", ",") / 100), 0)</f>
        <v>5.4949999999999999E-2</v>
      </c>
      <c r="I42" s="733"/>
      <c r="J42" s="733"/>
      <c r="K42" s="733"/>
      <c r="L42" s="733"/>
      <c r="M42" s="734">
        <f>IFERROR(VALUE(SUBSTITUTE(([1]!vole?MERV_Ö_XMEV_Ö_GFGC330.AB_Ö_24hs), ".", ",")), 0)</f>
        <v>46717.4</v>
      </c>
      <c r="N42" s="734">
        <f>IFERROR(VALUE(SUBSTITUTE(([1]!voln?MERV_Ö_XMEV_Ö_GFGC330.AB_Ö_24hs), ".", ",")), 0)</f>
        <v>1237</v>
      </c>
      <c r="O42" s="733">
        <f>IFERROR(VALUE(SUBSTITUTE(([1]!vol?MERV_Ö_XMEV_Ö_GFGC330.AB_Ö_24hs), ".", ",")), 0)</f>
        <v>0</v>
      </c>
      <c r="P42" s="735">
        <f>IFERROR(VALUE(SUBSTITUTE(([1]!ltu?MERV_Ö_XMEV_Ö_GFGC330.AB_Ö_24hs), ".", ",")), 0)</f>
        <v>0.70795138888888898</v>
      </c>
      <c r="Q42" s="736">
        <f t="shared" si="0"/>
        <v>0.37766693613581248</v>
      </c>
      <c r="S42" s="690" t="str">
        <f>+GGAL!P34</f>
        <v>GFGV330.AB</v>
      </c>
      <c r="T42" s="691">
        <f>IFERROR(VALUE(SUBSTITUTE(([1]!bsi?MERV_Ö_XMEV_Ö_GFGV330.AB_Ö_24hs), ".", ",")), 0)</f>
        <v>0</v>
      </c>
      <c r="U42" s="692">
        <f>IFERROR(VALUE(SUBSTITUTE(([1]!bpr?MERV_Ö_XMEV_Ö_GFGV330.AB_Ö_24hs), ".", ",")), 0)</f>
        <v>0</v>
      </c>
      <c r="V42" s="692">
        <f>IFERROR(VALUE(SUBSTITUTE(([1]!opr?MERV_Ö_XMEV_Ö_GFGV330.AB_Ö_24hs), ".", ",")), 0)</f>
        <v>0</v>
      </c>
      <c r="W42" s="691">
        <f>IFERROR(VALUE(SUBSTITUTE(([1]!osi?MERV_Ö_XMEV_Ö_GFGV330.AB_Ö_24hs), ".", ",")), 0)</f>
        <v>0</v>
      </c>
      <c r="X42" s="165">
        <f>IFERROR(VALUE(SUBSTITUTE(([1]!lst?MERV_Ö_XMEV_Ö_GFGV330.AB_Ö_24hs), ".", ",")), 0)</f>
        <v>0</v>
      </c>
      <c r="Y42" s="693">
        <f>IFERROR(VALUE(SUBSTITUTE(([1]!chgp?MERV_Ö_XMEV_Ö_GFGV330.AB_Ö_24hs), ".", ",") / 100), 0)</f>
        <v>0</v>
      </c>
      <c r="Z42" s="694"/>
      <c r="AA42" s="694"/>
      <c r="AB42" s="694"/>
      <c r="AC42" s="694"/>
      <c r="AD42" s="695">
        <f>IFERROR(VALUE(SUBSTITUTE(([1]!vole?MERV_Ö_XMEV_Ö_GFGV330.AB_Ö_24hs), ".", ",")), 0)</f>
        <v>0</v>
      </c>
      <c r="AE42" s="695">
        <f>IFERROR(VALUE(SUBSTITUTE(([1]!voln?MERV_Ö_XMEV_Ö_GFGV330.AB_Ö_24hs), ".", ",")), 0)</f>
        <v>0</v>
      </c>
      <c r="AF42" s="694">
        <f>IFERROR(VALUE(SUBSTITUTE(([1]!vol?MERV_Ö_XMEV_Ö_GFGV330.AB_Ö_24hs), ".", ",")), 0)</f>
        <v>0</v>
      </c>
      <c r="AG42" s="696">
        <f>IFERROR(VALUE(SUBSTITUTE(([1]!ltu?MERV_Ö_XMEV_Ö_GFGV330.AB_Ö_24hs), ".", ",")), 0)</f>
        <v>0</v>
      </c>
      <c r="AH42" s="697">
        <f t="shared" si="1"/>
        <v>0.37766693613581248</v>
      </c>
      <c r="BP42" s="766"/>
      <c r="BQ42" s="766"/>
      <c r="BS42" s="728"/>
    </row>
    <row r="43" spans="1:71" ht="12.75" customHeight="1" thickBot="1">
      <c r="A43" s="737"/>
      <c r="B43" s="728" t="str">
        <f>+GGAL!N35</f>
        <v>GFGC340.AB</v>
      </c>
      <c r="C43" s="729">
        <f>IFERROR(VALUE(SUBSTITUTE(([1]!bsi?MERV_Ö_XMEV_Ö_GFGC340.AB_Ö_24hs), ".", ",")), 0)</f>
        <v>50</v>
      </c>
      <c r="D43" s="730">
        <f>IFERROR(VALUE(SUBSTITUTE(([1]!bpr?MERV_Ö_XMEV_Ö_GFGC340.AB_Ö_24hs), ".", ",")), 0)</f>
        <v>0.22</v>
      </c>
      <c r="E43" s="730">
        <f>IFERROR(VALUE(SUBSTITUTE(([1]!opr?MERV_Ö_XMEV_Ö_GFGC340.AB_Ö_24hs), ".", ",")), 0)</f>
        <v>0.35</v>
      </c>
      <c r="F43" s="729">
        <f>IFERROR(VALUE(SUBSTITUTE(([1]!osi?MERV_Ö_XMEV_Ö_GFGC340.AB_Ö_24hs), ".", ",")), 0)</f>
        <v>43</v>
      </c>
      <c r="G43" s="731">
        <f>IFERROR(VALUE(SUBSTITUTE(([1]!lst?MERV_Ö_XMEV_Ö_GFGC340.AB_Ö_24hs), ".", ",")), 0)</f>
        <v>0.35</v>
      </c>
      <c r="H43" s="732">
        <f>IFERROR(VALUE(SUBSTITUTE(([1]!chgp?MERV_Ö_XMEV_Ö_GFGC340.AB_Ö_24hs), ".", ",") / 100), 0)</f>
        <v>0.16667000000000001</v>
      </c>
      <c r="I43" s="733"/>
      <c r="J43" s="733"/>
      <c r="K43" s="733"/>
      <c r="L43" s="733"/>
      <c r="M43" s="734">
        <f>IFERROR(VALUE(SUBSTITUTE(([1]!vole?MERV_Ö_XMEV_Ö_GFGC340.AB_Ö_24hs), ".", ",")), 0)</f>
        <v>420</v>
      </c>
      <c r="N43" s="734">
        <f>IFERROR(VALUE(SUBSTITUTE(([1]!voln?MERV_Ö_XMEV_Ö_GFGC340.AB_Ö_24hs), ".", ",")), 0)</f>
        <v>12</v>
      </c>
      <c r="O43" s="733">
        <f>IFERROR(VALUE(SUBSTITUTE(([1]!vol?MERV_Ö_XMEV_Ö_GFGC340.AB_Ö_24hs), ".", ",")), 0)</f>
        <v>0</v>
      </c>
      <c r="P43" s="735">
        <f>IFERROR(VALUE(SUBSTITUTE(([1]!ltu?MERV_Ö_XMEV_Ö_GFGC340.AB_Ö_24hs), ".", ",")), 0)</f>
        <v>0.68601851851851858</v>
      </c>
      <c r="Q43" s="736">
        <f t="shared" si="0"/>
        <v>0.35</v>
      </c>
      <c r="S43" s="690" t="str">
        <f>+GGAL!P35</f>
        <v>GFGV340.AB</v>
      </c>
      <c r="T43" s="691">
        <f>IFERROR(VALUE(SUBSTITUTE(([1]!bsi?MERV_Ö_XMEV_Ö_GFGV340.AB_Ö_24hs), ".", ",")), 0)</f>
        <v>0</v>
      </c>
      <c r="U43" s="692">
        <f>IFERROR(VALUE(SUBSTITUTE(([1]!bpr?MERV_Ö_XMEV_Ö_GFGV340.AB_Ö_24hs), ".", ",")), 0)</f>
        <v>0</v>
      </c>
      <c r="V43" s="692">
        <f>IFERROR(VALUE(SUBSTITUTE(([1]!opr?MERV_Ö_XMEV_Ö_GFGV340.AB_Ö_24hs), ".", ",")), 0)</f>
        <v>0</v>
      </c>
      <c r="W43" s="691">
        <f>IFERROR(VALUE(SUBSTITUTE(([1]!osi?MERV_Ö_XMEV_Ö_GFGV340.AB_Ö_24hs), ".", ",")), 0)</f>
        <v>0</v>
      </c>
      <c r="X43" s="165">
        <f>IFERROR(VALUE(SUBSTITUTE(([1]!lst?MERV_Ö_XMEV_Ö_GFGV340.AB_Ö_24hs), ".", ",")), 0)</f>
        <v>0</v>
      </c>
      <c r="Y43" s="693">
        <f>IFERROR(VALUE(SUBSTITUTE(([1]!chgp?MERV_Ö_XMEV_Ö_GFGV340.AB_Ö_24hs), ".", ",") / 100), 0)</f>
        <v>0</v>
      </c>
      <c r="Z43" s="694"/>
      <c r="AA43" s="694"/>
      <c r="AB43" s="694"/>
      <c r="AC43" s="694"/>
      <c r="AD43" s="695">
        <f>IFERROR(VALUE(SUBSTITUTE(([1]!vole?MERV_Ö_XMEV_Ö_GFGV340.AB_Ö_24hs), ".", ",")), 0)</f>
        <v>0</v>
      </c>
      <c r="AE43" s="695">
        <f>IFERROR(VALUE(SUBSTITUTE(([1]!voln?MERV_Ö_XMEV_Ö_GFGV340.AB_Ö_24hs), ".", ",")), 0)</f>
        <v>0</v>
      </c>
      <c r="AF43" s="694">
        <f>IFERROR(VALUE(SUBSTITUTE(([1]!vol?MERV_Ö_XMEV_Ö_GFGV340.AB_Ö_24hs), ".", ",")), 0)</f>
        <v>0</v>
      </c>
      <c r="AG43" s="696">
        <f>IFERROR(VALUE(SUBSTITUTE(([1]!ltu?MERV_Ö_XMEV_Ö_GFGV340.AB_Ö_24hs), ".", ",")), 0)</f>
        <v>0</v>
      </c>
      <c r="AH43" s="697">
        <f t="shared" si="1"/>
        <v>0.35</v>
      </c>
      <c r="AJ43" s="698"/>
      <c r="AK43" s="699"/>
      <c r="AL43" s="700"/>
      <c r="AM43" s="701"/>
      <c r="AO43" s="698"/>
      <c r="AP43" s="699"/>
      <c r="AQ43" s="700"/>
      <c r="AR43" s="701"/>
      <c r="AT43" s="698"/>
      <c r="AU43" s="699"/>
      <c r="AV43" s="700"/>
      <c r="AW43" s="701"/>
      <c r="AY43" s="698"/>
      <c r="AZ43" s="699"/>
      <c r="BA43" s="700"/>
      <c r="BB43" s="701"/>
      <c r="BD43" s="698"/>
      <c r="BE43" s="699"/>
      <c r="BF43" s="700"/>
      <c r="BG43" s="701"/>
      <c r="BI43" s="698"/>
      <c r="BJ43" s="699"/>
      <c r="BK43" s="700"/>
      <c r="BL43" s="701"/>
      <c r="BP43" s="766"/>
      <c r="BQ43" s="766"/>
      <c r="BS43" s="728"/>
    </row>
    <row r="44" spans="1:71" ht="12.75" customHeight="1">
      <c r="A44" s="737"/>
      <c r="B44" s="728" t="str">
        <f>+GGAL!N36</f>
        <v>GFGC350.AB</v>
      </c>
      <c r="C44" s="729">
        <f>IFERROR(VALUE(SUBSTITUTE(([1]!bsi?MERV_Ö_XMEV_Ö_GFGC350.AB_Ö_24hs), ".", ",")), 0)</f>
        <v>16</v>
      </c>
      <c r="D44" s="730">
        <f>IFERROR(VALUE(SUBSTITUTE(([1]!bpr?MERV_Ö_XMEV_Ö_GFGC350.AB_Ö_24hs), ".", ",")), 0)</f>
        <v>0.21</v>
      </c>
      <c r="E44" s="730">
        <f>IFERROR(VALUE(SUBSTITUTE(([1]!opr?MERV_Ö_XMEV_Ö_GFGC350.AB_Ö_24hs), ".", ",")), 0)</f>
        <v>0.25</v>
      </c>
      <c r="F44" s="729">
        <f>IFERROR(VALUE(SUBSTITUTE(([1]!osi?MERV_Ö_XMEV_Ö_GFGC350.AB_Ö_24hs), ".", ",")), 0)</f>
        <v>13</v>
      </c>
      <c r="G44" s="731">
        <f>IFERROR(VALUE(SUBSTITUTE(([1]!lst?MERV_Ö_XMEV_Ö_GFGC350.AB_Ö_24hs), ".", ",")), 0)</f>
        <v>0.21</v>
      </c>
      <c r="H44" s="732">
        <f>IFERROR(VALUE(SUBSTITUTE(([1]!chgp?MERV_Ö_XMEV_Ö_GFGC350.AB_Ö_24hs), ".", ",") / 100), 0)</f>
        <v>0</v>
      </c>
      <c r="I44" s="733"/>
      <c r="J44" s="733"/>
      <c r="K44" s="733"/>
      <c r="L44" s="733"/>
      <c r="M44" s="734">
        <f>IFERROR(VALUE(SUBSTITUTE(([1]!vole?MERV_Ö_XMEV_Ö_GFGC350.AB_Ö_24hs), ".", ",")), 0)</f>
        <v>10423.9</v>
      </c>
      <c r="N44" s="734">
        <f>IFERROR(VALUE(SUBSTITUTE(([1]!voln?MERV_Ö_XMEV_Ö_GFGC350.AB_Ö_24hs), ".", ",")), 0)</f>
        <v>498</v>
      </c>
      <c r="O44" s="733">
        <f>IFERROR(VALUE(SUBSTITUTE(([1]!vol?MERV_Ö_XMEV_Ö_GFGC350.AB_Ö_24hs), ".", ",")), 0)</f>
        <v>0</v>
      </c>
      <c r="P44" s="735">
        <f>IFERROR(VALUE(SUBSTITUTE(([1]!ltu?MERV_Ö_XMEV_Ö_GFGC350.AB_Ö_24hs), ".", ",")), 0)</f>
        <v>0.70810185185185182</v>
      </c>
      <c r="Q44" s="736">
        <f t="shared" si="0"/>
        <v>0.20931526104417672</v>
      </c>
      <c r="S44" s="690" t="str">
        <f>+GGAL!P36</f>
        <v>GFGV350.AB</v>
      </c>
      <c r="T44" s="691">
        <f>IFERROR(VALUE(SUBSTITUTE(([1]!bsi?MERV_Ö_XMEV_Ö_GFGV350.AB_Ö_24hs), ".", ",")), 0)</f>
        <v>0</v>
      </c>
      <c r="U44" s="692">
        <f>IFERROR(VALUE(SUBSTITUTE(([1]!bpr?MERV_Ö_XMEV_Ö_GFGV350.AB_Ö_24hs), ".", ",")), 0)</f>
        <v>0</v>
      </c>
      <c r="V44" s="692">
        <f>IFERROR(VALUE(SUBSTITUTE(([1]!opr?MERV_Ö_XMEV_Ö_GFGV350.AB_Ö_24hs), ".", ",")), 0)</f>
        <v>0</v>
      </c>
      <c r="W44" s="691">
        <f>IFERROR(VALUE(SUBSTITUTE(([1]!osi?MERV_Ö_XMEV_Ö_GFGV350.AB_Ö_24hs), ".", ",")), 0)</f>
        <v>0</v>
      </c>
      <c r="X44" s="165">
        <f>IFERROR(VALUE(SUBSTITUTE(([1]!lst?MERV_Ö_XMEV_Ö_GFGV350.AB_Ö_24hs), ".", ",")), 0)</f>
        <v>0</v>
      </c>
      <c r="Y44" s="693">
        <f>IFERROR(VALUE(SUBSTITUTE(([1]!chgp?MERV_Ö_XMEV_Ö_GFGV350.AB_Ö_24hs), ".", ",") / 100), 0)</f>
        <v>0</v>
      </c>
      <c r="Z44" s="694"/>
      <c r="AA44" s="694"/>
      <c r="AB44" s="694"/>
      <c r="AC44" s="694"/>
      <c r="AD44" s="695">
        <f>IFERROR(VALUE(SUBSTITUTE(([1]!vole?MERV_Ö_XMEV_Ö_GFGV350.AB_Ö_24hs), ".", ",")), 0)</f>
        <v>0</v>
      </c>
      <c r="AE44" s="695">
        <f>IFERROR(VALUE(SUBSTITUTE(([1]!voln?MERV_Ö_XMEV_Ö_GFGV350.AB_Ö_24hs), ".", ",")), 0)</f>
        <v>0</v>
      </c>
      <c r="AF44" s="694">
        <f>IFERROR(VALUE(SUBSTITUTE(([1]!vol?MERV_Ö_XMEV_Ö_GFGV350.AB_Ö_24hs), ".", ",")), 0)</f>
        <v>0</v>
      </c>
      <c r="AG44" s="696">
        <f>IFERROR(VALUE(SUBSTITUTE(([1]!ltu?MERV_Ö_XMEV_Ö_GFGV350.AB_Ö_24hs), ".", ",")), 0)</f>
        <v>0</v>
      </c>
      <c r="AH44" s="697">
        <f t="shared" si="1"/>
        <v>0.20931526104417672</v>
      </c>
      <c r="AJ44" s="691"/>
      <c r="AK44" s="738"/>
      <c r="AL44" s="738"/>
      <c r="AM44" s="691"/>
      <c r="AO44" s="691"/>
      <c r="AP44" s="738"/>
      <c r="AQ44" s="738"/>
      <c r="AR44" s="691"/>
      <c r="AT44" s="691"/>
      <c r="AU44" s="738"/>
      <c r="AV44" s="738"/>
      <c r="AW44" s="691"/>
      <c r="AY44" s="691"/>
      <c r="AZ44" s="738"/>
      <c r="BA44" s="738"/>
      <c r="BB44" s="691"/>
      <c r="BD44" s="691"/>
      <c r="BE44" s="738"/>
      <c r="BF44" s="738"/>
      <c r="BG44" s="691"/>
      <c r="BI44" s="691"/>
      <c r="BJ44" s="738"/>
      <c r="BK44" s="738"/>
      <c r="BL44" s="691"/>
      <c r="BP44" s="766"/>
      <c r="BQ44" s="766"/>
      <c r="BS44" s="728"/>
    </row>
    <row r="45" spans="1:71" ht="12.75" customHeight="1">
      <c r="A45" s="737"/>
      <c r="B45" s="728" t="str">
        <f>+GGAL!N37</f>
        <v>GFGC360.AB</v>
      </c>
      <c r="C45" s="729">
        <f>IFERROR(VALUE(SUBSTITUTE(([1]!bsi?MERV_Ö_XMEV_Ö_GFGC360.AB_Ö_24hs), ".", ",")), 0)</f>
        <v>8</v>
      </c>
      <c r="D45" s="730">
        <f>IFERROR(VALUE(SUBSTITUTE(([1]!bpr?MERV_Ö_XMEV_Ö_GFGC360.AB_Ö_24hs), ".", ",")), 0)</f>
        <v>0.17599999999999999</v>
      </c>
      <c r="E45" s="730">
        <f>IFERROR(VALUE(SUBSTITUTE(([1]!opr?MERV_Ö_XMEV_Ö_GFGC360.AB_Ö_24hs), ".", ",")), 0)</f>
        <v>0.19400000000000001</v>
      </c>
      <c r="F45" s="729">
        <f>IFERROR(VALUE(SUBSTITUTE(([1]!osi?MERV_Ö_XMEV_Ö_GFGC360.AB_Ö_24hs), ".", ",")), 0)</f>
        <v>7</v>
      </c>
      <c r="G45" s="731">
        <f>IFERROR(VALUE(SUBSTITUTE(([1]!lst?MERV_Ö_XMEV_Ö_GFGC360.AB_Ö_24hs), ".", ",")), 0)</f>
        <v>0.17599999999999999</v>
      </c>
      <c r="H45" s="732">
        <f>IFERROR(VALUE(SUBSTITUTE(([1]!chgp?MERV_Ö_XMEV_Ö_GFGC360.AB_Ö_24hs), ".", ",") / 100), 0)</f>
        <v>3.5290000000000002E-2</v>
      </c>
      <c r="I45" s="733"/>
      <c r="J45" s="733"/>
      <c r="K45" s="733"/>
      <c r="L45" s="733"/>
      <c r="M45" s="734">
        <f>IFERROR(VALUE(SUBSTITUTE(([1]!vole?MERV_Ö_XMEV_Ö_GFGC360.AB_Ö_24hs), ".", ",")), 0)</f>
        <v>38073.199999999997</v>
      </c>
      <c r="N45" s="734">
        <f>IFERROR(VALUE(SUBSTITUTE(([1]!voln?MERV_Ö_XMEV_Ö_GFGC360.AB_Ö_24hs), ".", ",")), 0)</f>
        <v>2096</v>
      </c>
      <c r="O45" s="733">
        <f>IFERROR(VALUE(SUBSTITUTE(([1]!vol?MERV_Ö_XMEV_Ö_GFGC360.AB_Ö_24hs), ".", ",")), 0)</f>
        <v>0</v>
      </c>
      <c r="P45" s="735">
        <f>IFERROR(VALUE(SUBSTITUTE(([1]!ltu?MERV_Ö_XMEV_Ö_GFGC360.AB_Ö_24hs), ".", ",")), 0)</f>
        <v>0.70810185185185182</v>
      </c>
      <c r="Q45" s="736">
        <f t="shared" si="0"/>
        <v>0.1816469465648855</v>
      </c>
      <c r="S45" s="690" t="str">
        <f>+GGAL!P37</f>
        <v>GFGV360.AB</v>
      </c>
      <c r="T45" s="691">
        <f>IFERROR(VALUE(SUBSTITUTE(([1]!bsi?MERV_Ö_XMEV_Ö_GFGV360.AB_Ö_24hs), ".", ",")), 0)</f>
        <v>0</v>
      </c>
      <c r="U45" s="692">
        <f>IFERROR(VALUE(SUBSTITUTE(([1]!bpr?MERV_Ö_XMEV_Ö_GFGV360.AB_Ö_24hs), ".", ",")), 0)</f>
        <v>0</v>
      </c>
      <c r="V45" s="692">
        <f>IFERROR(VALUE(SUBSTITUTE(([1]!opr?MERV_Ö_XMEV_Ö_GFGV360.AB_Ö_24hs), ".", ",")), 0)</f>
        <v>0</v>
      </c>
      <c r="W45" s="691">
        <f>IFERROR(VALUE(SUBSTITUTE(([1]!osi?MERV_Ö_XMEV_Ö_GFGV360.AB_Ö_24hs), ".", ",")), 0)</f>
        <v>0</v>
      </c>
      <c r="X45" s="165">
        <f>IFERROR(VALUE(SUBSTITUTE(([1]!lst?MERV_Ö_XMEV_Ö_GFGV360.AB_Ö_24hs), ".", ",")), 0)</f>
        <v>0</v>
      </c>
      <c r="Y45" s="693">
        <f>IFERROR(VALUE(SUBSTITUTE(([1]!chgp?MERV_Ö_XMEV_Ö_GFGV360.AB_Ö_24hs), ".", ",") / 100), 0)</f>
        <v>0</v>
      </c>
      <c r="Z45" s="694"/>
      <c r="AA45" s="694"/>
      <c r="AB45" s="694"/>
      <c r="AC45" s="694"/>
      <c r="AD45" s="695">
        <f>IFERROR(VALUE(SUBSTITUTE(([1]!vole?MERV_Ö_XMEV_Ö_GFGV360.AB_Ö_24hs), ".", ",")), 0)</f>
        <v>0</v>
      </c>
      <c r="AE45" s="695">
        <f>IFERROR(VALUE(SUBSTITUTE(([1]!voln?MERV_Ö_XMEV_Ö_GFGV360.AB_Ö_24hs), ".", ",")), 0)</f>
        <v>0</v>
      </c>
      <c r="AF45" s="694">
        <f>IFERROR(VALUE(SUBSTITUTE(([1]!vol?MERV_Ö_XMEV_Ö_GFGV360.AB_Ö_24hs), ".", ",")), 0)</f>
        <v>0</v>
      </c>
      <c r="AG45" s="696">
        <f>IFERROR(VALUE(SUBSTITUTE(([1]!ltu?MERV_Ö_XMEV_Ö_GFGV360.AB_Ö_24hs), ".", ",")), 0)</f>
        <v>0</v>
      </c>
      <c r="AH45" s="697">
        <f t="shared" si="1"/>
        <v>0.1816469465648855</v>
      </c>
      <c r="AJ45" s="691"/>
      <c r="AK45" s="738"/>
      <c r="AL45" s="738"/>
      <c r="AM45" s="691"/>
      <c r="AO45" s="691"/>
      <c r="AP45" s="738"/>
      <c r="AQ45" s="738"/>
      <c r="AR45" s="691"/>
      <c r="AT45" s="691"/>
      <c r="AU45" s="738"/>
      <c r="AV45" s="738"/>
      <c r="AW45" s="691"/>
      <c r="AY45" s="691"/>
      <c r="AZ45" s="738"/>
      <c r="BA45" s="738"/>
      <c r="BB45" s="691"/>
      <c r="BD45" s="691"/>
      <c r="BE45" s="738"/>
      <c r="BF45" s="738"/>
      <c r="BG45" s="691"/>
      <c r="BI45" s="691"/>
      <c r="BJ45" s="738"/>
      <c r="BK45" s="738"/>
      <c r="BL45" s="691"/>
      <c r="BP45" s="766"/>
      <c r="BQ45" s="766"/>
      <c r="BS45" s="728"/>
    </row>
    <row r="46" spans="1:71" ht="12.75" customHeight="1">
      <c r="A46" s="737"/>
      <c r="B46" s="728" t="str">
        <f>+GGAL!N38</f>
        <v/>
      </c>
      <c r="C46" s="729"/>
      <c r="D46" s="730"/>
      <c r="E46" s="730"/>
      <c r="F46" s="729"/>
      <c r="G46" s="731"/>
      <c r="H46" s="732"/>
      <c r="I46" s="733"/>
      <c r="J46" s="733"/>
      <c r="K46" s="733"/>
      <c r="L46" s="733"/>
      <c r="M46" s="734"/>
      <c r="N46" s="734"/>
      <c r="O46" s="733"/>
      <c r="P46" s="735"/>
      <c r="Q46" s="736"/>
      <c r="S46" s="690" t="str">
        <f>+GGAL!P38</f>
        <v/>
      </c>
      <c r="T46" s="691"/>
      <c r="U46" s="692"/>
      <c r="V46" s="692"/>
      <c r="W46" s="691"/>
      <c r="X46" s="165"/>
      <c r="Y46" s="693"/>
      <c r="Z46" s="694"/>
      <c r="AA46" s="694"/>
      <c r="AB46" s="694"/>
      <c r="AC46" s="694"/>
      <c r="AD46" s="695"/>
      <c r="AE46" s="695"/>
      <c r="AF46" s="694"/>
      <c r="AG46" s="696"/>
      <c r="AH46" s="697"/>
      <c r="AJ46" s="691"/>
      <c r="AK46" s="738"/>
      <c r="AL46" s="738"/>
      <c r="AM46" s="691"/>
      <c r="AO46" s="691"/>
      <c r="AP46" s="738"/>
      <c r="AQ46" s="738"/>
      <c r="AR46" s="691"/>
      <c r="AT46" s="691"/>
      <c r="AU46" s="738"/>
      <c r="AV46" s="738"/>
      <c r="AW46" s="691"/>
      <c r="AY46" s="691"/>
      <c r="AZ46" s="738"/>
      <c r="BA46" s="738"/>
      <c r="BB46" s="691"/>
      <c r="BD46" s="691"/>
      <c r="BE46" s="738"/>
      <c r="BF46" s="738"/>
      <c r="BG46" s="691"/>
      <c r="BI46" s="691"/>
      <c r="BJ46" s="738"/>
      <c r="BK46" s="738"/>
      <c r="BL46" s="691"/>
      <c r="BP46" s="766"/>
      <c r="BQ46" s="766"/>
      <c r="BS46" s="728"/>
    </row>
    <row r="47" spans="1:71" ht="12.75" customHeight="1">
      <c r="A47" s="737"/>
      <c r="B47" s="728" t="str">
        <f>+GGAL!N39</f>
        <v/>
      </c>
      <c r="C47" s="729"/>
      <c r="D47" s="730"/>
      <c r="E47" s="730"/>
      <c r="F47" s="729"/>
      <c r="G47" s="731"/>
      <c r="H47" s="732"/>
      <c r="I47" s="733"/>
      <c r="J47" s="733"/>
      <c r="K47" s="733"/>
      <c r="L47" s="733"/>
      <c r="M47" s="734"/>
      <c r="N47" s="734"/>
      <c r="O47" s="733"/>
      <c r="P47" s="735"/>
      <c r="Q47" s="736"/>
      <c r="S47" s="690" t="str">
        <f>+GGAL!P39</f>
        <v/>
      </c>
      <c r="T47" s="691"/>
      <c r="U47" s="692"/>
      <c r="V47" s="692"/>
      <c r="W47" s="691"/>
      <c r="X47" s="165"/>
      <c r="Y47" s="693"/>
      <c r="Z47" s="694"/>
      <c r="AA47" s="694"/>
      <c r="AB47" s="694"/>
      <c r="AC47" s="694"/>
      <c r="AD47" s="695"/>
      <c r="AE47" s="695"/>
      <c r="AF47" s="694"/>
      <c r="AG47" s="696"/>
      <c r="AH47" s="697"/>
      <c r="AJ47" s="691"/>
      <c r="AK47" s="738"/>
      <c r="AL47" s="738"/>
      <c r="AM47" s="691"/>
      <c r="AO47" s="691"/>
      <c r="AP47" s="738"/>
      <c r="AQ47" s="738"/>
      <c r="AR47" s="691"/>
      <c r="AT47" s="691"/>
      <c r="AU47" s="738"/>
      <c r="AV47" s="738"/>
      <c r="AW47" s="691"/>
      <c r="AY47" s="691"/>
      <c r="AZ47" s="738"/>
      <c r="BA47" s="738"/>
      <c r="BB47" s="691"/>
      <c r="BD47" s="691"/>
      <c r="BE47" s="738"/>
      <c r="BF47" s="738"/>
      <c r="BG47" s="691"/>
      <c r="BI47" s="691"/>
      <c r="BJ47" s="738"/>
      <c r="BK47" s="738"/>
      <c r="BL47" s="691"/>
      <c r="BP47" s="766"/>
      <c r="BQ47" s="766"/>
      <c r="BS47" s="728"/>
    </row>
    <row r="48" spans="1:71" ht="12.75" customHeight="1">
      <c r="A48" s="737"/>
      <c r="B48" s="728" t="str">
        <f>+GGAL!N40</f>
        <v/>
      </c>
      <c r="C48" s="729"/>
      <c r="D48" s="730"/>
      <c r="E48" s="730"/>
      <c r="F48" s="729"/>
      <c r="G48" s="731"/>
      <c r="H48" s="732"/>
      <c r="I48" s="733"/>
      <c r="J48" s="733"/>
      <c r="K48" s="733"/>
      <c r="L48" s="733"/>
      <c r="M48" s="734"/>
      <c r="N48" s="734"/>
      <c r="O48" s="733"/>
      <c r="P48" s="735"/>
      <c r="Q48" s="736"/>
      <c r="S48" s="690" t="str">
        <f>+GGAL!P40</f>
        <v/>
      </c>
      <c r="T48" s="691"/>
      <c r="U48" s="692"/>
      <c r="V48" s="692"/>
      <c r="W48" s="691"/>
      <c r="X48" s="165"/>
      <c r="Y48" s="693"/>
      <c r="Z48" s="694"/>
      <c r="AA48" s="694"/>
      <c r="AB48" s="694"/>
      <c r="AC48" s="694"/>
      <c r="AD48" s="695"/>
      <c r="AE48" s="695"/>
      <c r="AF48" s="694"/>
      <c r="AG48" s="696"/>
      <c r="AH48" s="697"/>
      <c r="AJ48" s="691"/>
      <c r="AK48" s="738"/>
      <c r="AL48" s="738"/>
      <c r="AM48" s="691"/>
      <c r="AO48" s="691"/>
      <c r="AP48" s="738"/>
      <c r="AQ48" s="738"/>
      <c r="AR48" s="691"/>
      <c r="AT48" s="691"/>
      <c r="AU48" s="738"/>
      <c r="AV48" s="738"/>
      <c r="AW48" s="691"/>
      <c r="AY48" s="691"/>
      <c r="AZ48" s="738"/>
      <c r="BA48" s="738"/>
      <c r="BB48" s="691"/>
      <c r="BD48" s="691"/>
      <c r="BE48" s="738"/>
      <c r="BF48" s="738"/>
      <c r="BG48" s="691"/>
      <c r="BI48" s="691"/>
      <c r="BJ48" s="738"/>
      <c r="BK48" s="738"/>
      <c r="BL48" s="691"/>
      <c r="BP48" s="766"/>
      <c r="BQ48" s="766"/>
      <c r="BS48" s="728"/>
    </row>
    <row r="49" spans="1:71" ht="12.75" customHeight="1" thickBot="1">
      <c r="A49" s="737"/>
      <c r="B49" s="728" t="str">
        <f>+GGAL!N41</f>
        <v/>
      </c>
      <c r="C49" s="729"/>
      <c r="D49" s="730"/>
      <c r="E49" s="730"/>
      <c r="F49" s="729"/>
      <c r="G49" s="731"/>
      <c r="H49" s="732"/>
      <c r="I49" s="733"/>
      <c r="J49" s="733"/>
      <c r="K49" s="733"/>
      <c r="L49" s="733"/>
      <c r="M49" s="734"/>
      <c r="N49" s="734"/>
      <c r="O49" s="733"/>
      <c r="P49" s="735"/>
      <c r="Q49" s="736"/>
      <c r="S49" s="690" t="str">
        <f>+GGAL!P41</f>
        <v/>
      </c>
      <c r="T49" s="691"/>
      <c r="U49" s="692"/>
      <c r="V49" s="692"/>
      <c r="W49" s="691"/>
      <c r="X49" s="165"/>
      <c r="Y49" s="693"/>
      <c r="Z49" s="694"/>
      <c r="AA49" s="694"/>
      <c r="AB49" s="694"/>
      <c r="AC49" s="694"/>
      <c r="AD49" s="695"/>
      <c r="AE49" s="695"/>
      <c r="AF49" s="694"/>
      <c r="AG49" s="696"/>
      <c r="AH49" s="697"/>
      <c r="BP49" s="766"/>
      <c r="BQ49" s="766"/>
      <c r="BS49" s="728"/>
    </row>
    <row r="50" spans="1:71" ht="12.75" customHeight="1" thickBot="1">
      <c r="A50" s="737"/>
      <c r="B50" s="728" t="str">
        <f>+GGAL!N42</f>
        <v/>
      </c>
      <c r="C50" s="729"/>
      <c r="D50" s="730"/>
      <c r="E50" s="730"/>
      <c r="F50" s="729"/>
      <c r="G50" s="731"/>
      <c r="H50" s="732"/>
      <c r="I50" s="733"/>
      <c r="J50" s="733"/>
      <c r="K50" s="733"/>
      <c r="L50" s="733"/>
      <c r="M50" s="734"/>
      <c r="N50" s="734"/>
      <c r="O50" s="733"/>
      <c r="P50" s="735"/>
      <c r="Q50" s="736"/>
      <c r="S50" s="690" t="str">
        <f>+GGAL!P42</f>
        <v/>
      </c>
      <c r="T50" s="691"/>
      <c r="U50" s="692"/>
      <c r="V50" s="692"/>
      <c r="W50" s="691"/>
      <c r="X50" s="165"/>
      <c r="Y50" s="693"/>
      <c r="Z50" s="694"/>
      <c r="AA50" s="694"/>
      <c r="AB50" s="694"/>
      <c r="AC50" s="694"/>
      <c r="AD50" s="695"/>
      <c r="AE50" s="695"/>
      <c r="AF50" s="694"/>
      <c r="AG50" s="696"/>
      <c r="AH50" s="697"/>
      <c r="AJ50" s="698"/>
      <c r="AK50" s="699"/>
      <c r="AL50" s="700"/>
      <c r="AM50" s="701"/>
      <c r="AO50" s="698"/>
      <c r="AP50" s="699"/>
      <c r="AQ50" s="700"/>
      <c r="AR50" s="701"/>
      <c r="AT50" s="698"/>
      <c r="AU50" s="699"/>
      <c r="AV50" s="700"/>
      <c r="AW50" s="701"/>
      <c r="AY50" s="698"/>
      <c r="AZ50" s="699"/>
      <c r="BA50" s="700"/>
      <c r="BB50" s="701"/>
      <c r="BD50" s="698"/>
      <c r="BE50" s="699"/>
      <c r="BF50" s="700"/>
      <c r="BG50" s="701"/>
      <c r="BI50" s="698"/>
      <c r="BJ50" s="699"/>
      <c r="BK50" s="700"/>
      <c r="BL50" s="701"/>
      <c r="BP50" s="766"/>
      <c r="BQ50" s="766"/>
      <c r="BS50" s="728"/>
    </row>
    <row r="51" spans="1:71" ht="12.75" customHeight="1">
      <c r="A51" s="737"/>
      <c r="B51" s="728" t="str">
        <f>+GGAL!N43</f>
        <v/>
      </c>
      <c r="C51" s="729"/>
      <c r="D51" s="730"/>
      <c r="E51" s="730"/>
      <c r="F51" s="729"/>
      <c r="G51" s="731"/>
      <c r="H51" s="732"/>
      <c r="I51" s="733"/>
      <c r="J51" s="733"/>
      <c r="K51" s="733"/>
      <c r="L51" s="733"/>
      <c r="M51" s="734"/>
      <c r="N51" s="734"/>
      <c r="O51" s="733"/>
      <c r="P51" s="735"/>
      <c r="Q51" s="736"/>
      <c r="S51" s="690" t="str">
        <f>+GGAL!P43</f>
        <v/>
      </c>
      <c r="T51" s="691"/>
      <c r="U51" s="692"/>
      <c r="V51" s="692"/>
      <c r="W51" s="691"/>
      <c r="X51" s="165"/>
      <c r="Y51" s="693"/>
      <c r="Z51" s="694"/>
      <c r="AA51" s="694"/>
      <c r="AB51" s="694"/>
      <c r="AC51" s="694"/>
      <c r="AD51" s="695"/>
      <c r="AE51" s="695"/>
      <c r="AF51" s="694"/>
      <c r="AG51" s="696"/>
      <c r="AH51" s="697"/>
      <c r="AJ51" s="729"/>
      <c r="AK51" s="758"/>
      <c r="AL51" s="758"/>
      <c r="AM51" s="729"/>
      <c r="AO51" s="729"/>
      <c r="AP51" s="758"/>
      <c r="AQ51" s="758"/>
      <c r="AR51" s="729"/>
      <c r="AT51" s="729"/>
      <c r="AU51" s="758"/>
      <c r="AV51" s="758"/>
      <c r="AW51" s="729"/>
      <c r="AY51" s="729"/>
      <c r="AZ51" s="758"/>
      <c r="BA51" s="758"/>
      <c r="BB51" s="729"/>
      <c r="BD51" s="729"/>
      <c r="BE51" s="758"/>
      <c r="BF51" s="758"/>
      <c r="BG51" s="729"/>
      <c r="BI51" s="729"/>
      <c r="BJ51" s="758"/>
      <c r="BK51" s="758"/>
      <c r="BL51" s="729"/>
      <c r="BP51" s="766"/>
      <c r="BQ51" s="766"/>
      <c r="BS51" s="728"/>
    </row>
    <row r="52" spans="1:71" ht="12.75" customHeight="1">
      <c r="A52" s="737"/>
      <c r="B52" s="728" t="str">
        <f>+GGAL!N44</f>
        <v/>
      </c>
      <c r="C52" s="729"/>
      <c r="D52" s="730"/>
      <c r="E52" s="730"/>
      <c r="F52" s="729"/>
      <c r="G52" s="731"/>
      <c r="H52" s="732"/>
      <c r="I52" s="733"/>
      <c r="J52" s="733"/>
      <c r="K52" s="733"/>
      <c r="L52" s="733"/>
      <c r="M52" s="777"/>
      <c r="N52" s="734"/>
      <c r="O52" s="733"/>
      <c r="P52" s="735"/>
      <c r="Q52" s="736"/>
      <c r="S52" s="690" t="str">
        <f>+GGAL!P44</f>
        <v/>
      </c>
      <c r="T52" s="691"/>
      <c r="U52" s="692"/>
      <c r="V52" s="692"/>
      <c r="W52" s="691"/>
      <c r="X52" s="165"/>
      <c r="Y52" s="693"/>
      <c r="Z52" s="694"/>
      <c r="AA52" s="694"/>
      <c r="AB52" s="694"/>
      <c r="AC52" s="694"/>
      <c r="AD52" s="695"/>
      <c r="AE52" s="695"/>
      <c r="AF52" s="694"/>
      <c r="AG52" s="696"/>
      <c r="AH52" s="697"/>
      <c r="AJ52" s="729"/>
      <c r="AK52" s="758"/>
      <c r="AL52" s="758"/>
      <c r="AM52" s="729"/>
      <c r="AO52" s="729"/>
      <c r="AP52" s="758"/>
      <c r="AQ52" s="758"/>
      <c r="AR52" s="729"/>
      <c r="AT52" s="729"/>
      <c r="AU52" s="758"/>
      <c r="AV52" s="758"/>
      <c r="AW52" s="729"/>
      <c r="AY52" s="729"/>
      <c r="AZ52" s="758"/>
      <c r="BA52" s="758"/>
      <c r="BB52" s="729"/>
      <c r="BD52" s="729"/>
      <c r="BE52" s="758"/>
      <c r="BF52" s="758"/>
      <c r="BG52" s="729"/>
      <c r="BI52" s="729"/>
      <c r="BJ52" s="758"/>
      <c r="BK52" s="758"/>
      <c r="BL52" s="729"/>
      <c r="BP52" s="766"/>
      <c r="BQ52" s="766"/>
      <c r="BS52" s="728"/>
    </row>
    <row r="53" spans="1:71" ht="12.75" customHeight="1">
      <c r="A53" s="737"/>
      <c r="B53" s="728" t="str">
        <f>+GGAL!N45</f>
        <v/>
      </c>
      <c r="C53" s="729"/>
      <c r="D53" s="730"/>
      <c r="E53" s="730"/>
      <c r="F53" s="729"/>
      <c r="G53" s="731"/>
      <c r="H53" s="732"/>
      <c r="I53" s="733"/>
      <c r="J53" s="733"/>
      <c r="K53" s="733"/>
      <c r="L53" s="733"/>
      <c r="M53" s="734"/>
      <c r="N53" s="734"/>
      <c r="O53" s="733"/>
      <c r="P53" s="735"/>
      <c r="Q53" s="736"/>
      <c r="S53" s="690" t="str">
        <f>+GGAL!P45</f>
        <v/>
      </c>
      <c r="T53" s="691"/>
      <c r="U53" s="692"/>
      <c r="V53" s="692"/>
      <c r="W53" s="691"/>
      <c r="X53" s="165"/>
      <c r="Y53" s="693"/>
      <c r="Z53" s="694"/>
      <c r="AA53" s="694"/>
      <c r="AB53" s="694"/>
      <c r="AC53" s="694"/>
      <c r="AD53" s="695"/>
      <c r="AE53" s="695"/>
      <c r="AF53" s="694"/>
      <c r="AG53" s="696"/>
      <c r="AH53" s="697"/>
      <c r="AJ53" s="729"/>
      <c r="AK53" s="758"/>
      <c r="AL53" s="758"/>
      <c r="AM53" s="729"/>
      <c r="AO53" s="729"/>
      <c r="AP53" s="758"/>
      <c r="AQ53" s="758"/>
      <c r="AR53" s="729"/>
      <c r="AT53" s="729"/>
      <c r="AU53" s="758"/>
      <c r="AV53" s="758"/>
      <c r="AW53" s="729"/>
      <c r="AY53" s="729"/>
      <c r="AZ53" s="758"/>
      <c r="BA53" s="758"/>
      <c r="BB53" s="729"/>
      <c r="BD53" s="729"/>
      <c r="BE53" s="758"/>
      <c r="BF53" s="758"/>
      <c r="BG53" s="729"/>
      <c r="BI53" s="729"/>
      <c r="BJ53" s="758"/>
      <c r="BK53" s="758"/>
      <c r="BL53" s="729"/>
      <c r="BP53" s="766"/>
      <c r="BQ53" s="766"/>
      <c r="BS53" s="728"/>
    </row>
    <row r="54" spans="1:71" ht="12.75" customHeight="1">
      <c r="A54" s="737"/>
      <c r="B54" s="728" t="str">
        <f>+GGAL!N46</f>
        <v/>
      </c>
      <c r="C54" s="729"/>
      <c r="D54" s="730"/>
      <c r="E54" s="730"/>
      <c r="F54" s="729"/>
      <c r="G54" s="731"/>
      <c r="H54" s="732"/>
      <c r="I54" s="733"/>
      <c r="J54" s="733"/>
      <c r="K54" s="733"/>
      <c r="L54" s="733"/>
      <c r="M54" s="734"/>
      <c r="N54" s="734"/>
      <c r="O54" s="733"/>
      <c r="P54" s="735"/>
      <c r="Q54" s="736"/>
      <c r="S54" s="690" t="str">
        <f>+GGAL!P46</f>
        <v/>
      </c>
      <c r="T54" s="691"/>
      <c r="U54" s="692"/>
      <c r="V54" s="692"/>
      <c r="W54" s="691"/>
      <c r="X54" s="165"/>
      <c r="Y54" s="693"/>
      <c r="Z54" s="694"/>
      <c r="AA54" s="694"/>
      <c r="AB54" s="694"/>
      <c r="AC54" s="694"/>
      <c r="AD54" s="695"/>
      <c r="AE54" s="695"/>
      <c r="AF54" s="694"/>
      <c r="AG54" s="696"/>
      <c r="AH54" s="697"/>
      <c r="AJ54" s="729"/>
      <c r="AK54" s="758"/>
      <c r="AL54" s="758"/>
      <c r="AM54" s="729"/>
      <c r="AO54" s="729"/>
      <c r="AP54" s="758"/>
      <c r="AQ54" s="758"/>
      <c r="AR54" s="729"/>
      <c r="AT54" s="729"/>
      <c r="AU54" s="758"/>
      <c r="AV54" s="758"/>
      <c r="AW54" s="729"/>
      <c r="AY54" s="729"/>
      <c r="AZ54" s="758"/>
      <c r="BA54" s="758"/>
      <c r="BB54" s="729"/>
      <c r="BD54" s="729"/>
      <c r="BE54" s="758"/>
      <c r="BF54" s="758"/>
      <c r="BG54" s="729"/>
      <c r="BI54" s="729"/>
      <c r="BJ54" s="758"/>
      <c r="BK54" s="758"/>
      <c r="BL54" s="729"/>
      <c r="BP54" s="766"/>
      <c r="BQ54" s="766"/>
      <c r="BS54" s="728"/>
    </row>
    <row r="55" spans="1:71" ht="12.75" customHeight="1">
      <c r="A55" s="737"/>
      <c r="B55" s="728" t="str">
        <f>+GGAL!N47</f>
        <v/>
      </c>
      <c r="C55" s="729"/>
      <c r="D55" s="730"/>
      <c r="E55" s="730"/>
      <c r="F55" s="729"/>
      <c r="G55" s="731"/>
      <c r="H55" s="732"/>
      <c r="I55" s="733"/>
      <c r="J55" s="733"/>
      <c r="K55" s="733"/>
      <c r="L55" s="733"/>
      <c r="M55" s="734"/>
      <c r="N55" s="734"/>
      <c r="O55" s="733"/>
      <c r="P55" s="735"/>
      <c r="Q55" s="736"/>
      <c r="S55" s="690" t="str">
        <f>+GGAL!P47</f>
        <v/>
      </c>
      <c r="T55" s="691"/>
      <c r="U55" s="692"/>
      <c r="V55" s="692"/>
      <c r="W55" s="691"/>
      <c r="X55" s="165"/>
      <c r="Y55" s="693"/>
      <c r="Z55" s="694"/>
      <c r="AA55" s="694"/>
      <c r="AB55" s="694"/>
      <c r="AC55" s="694"/>
      <c r="AD55" s="695"/>
      <c r="AE55" s="695"/>
      <c r="AF55" s="694"/>
      <c r="AG55" s="696"/>
      <c r="AH55" s="697"/>
      <c r="AJ55" s="729"/>
      <c r="AK55" s="758"/>
      <c r="AL55" s="758"/>
      <c r="AM55" s="729"/>
      <c r="AO55" s="729"/>
      <c r="AP55" s="758"/>
      <c r="AQ55" s="758"/>
      <c r="AR55" s="729"/>
      <c r="AT55" s="729"/>
      <c r="AU55" s="758"/>
      <c r="AV55" s="758"/>
      <c r="AW55" s="729"/>
      <c r="AY55" s="729"/>
      <c r="AZ55" s="758"/>
      <c r="BA55" s="758"/>
      <c r="BB55" s="729"/>
      <c r="BD55" s="729"/>
      <c r="BE55" s="758"/>
      <c r="BF55" s="758"/>
      <c r="BG55" s="729"/>
      <c r="BI55" s="729"/>
      <c r="BJ55" s="758"/>
      <c r="BK55" s="758"/>
      <c r="BL55" s="729"/>
      <c r="BP55" s="766"/>
      <c r="BQ55" s="766"/>
      <c r="BS55" s="728"/>
    </row>
    <row r="56" spans="1:71" ht="12.75" customHeight="1">
      <c r="A56" s="737"/>
      <c r="B56" s="776" t="s">
        <v>626</v>
      </c>
      <c r="C56" s="740">
        <f>IFERROR(VALUE(SUBSTITUTE(([1]!bsi?MERV_Ö_XMEV_Ö_AL30_Ö_48hs), ".", ",")), 0)</f>
        <v>16115</v>
      </c>
      <c r="D56" s="741">
        <f>IFERROR(VALUE(SUBSTITUTE(([1]!bpr?MERV_Ö_XMEV_Ö_AL30_Ö_48hs), ".", ",")), 0)</f>
        <v>6025</v>
      </c>
      <c r="E56" s="741">
        <f>IFERROR(VALUE(SUBSTITUTE(([1]!opr?MERV_Ö_XMEV_Ö_AL30_Ö_48hs), ".", ",")), 0)</f>
        <v>6035</v>
      </c>
      <c r="F56" s="740">
        <f>IFERROR(VALUE(SUBSTITUTE(([1]!osi?MERV_Ö_XMEV_Ö_AL30_Ö_48hs), ".", ",")), 0)</f>
        <v>20000</v>
      </c>
      <c r="G56" s="742">
        <f>IFERROR(VALUE(SUBSTITUTE(([1]!lst?MERV_Ö_XMEV_Ö_AL30_Ö_48hs), ".", ",")), 0)</f>
        <v>6025</v>
      </c>
      <c r="H56" s="743">
        <f>IFERROR(VALUE(SUBSTITUTE(([1]!chgp?MERV_Ö_XMEV_Ö_AL30_Ö_48hs), ".", ",") / 100), 0)</f>
        <v>-2.9600000000000001E-2</v>
      </c>
      <c r="I56" s="744"/>
      <c r="J56" s="744"/>
      <c r="K56" s="744"/>
      <c r="L56" s="744"/>
      <c r="M56" s="745">
        <f>IFERROR(VALUE(SUBSTITUTE(([1]!vole?MERV_Ö_XMEV_Ö_AL30_Ö_48hs), ".", ",")), 0)</f>
        <v>813368759.89999998</v>
      </c>
      <c r="N56" s="745">
        <f>IFERROR(VALUE(SUBSTITUTE(([1]!voln?MERV_Ö_XMEV_Ö_AL30_Ö_48hs), ".", ",")), 0)</f>
        <v>13278900</v>
      </c>
      <c r="O56" s="745">
        <f>IFERROR(VALUE(SUBSTITUTE(([1]!vol?MERV_Ö_XMEV_Ö_AL30_Ö_48hs), ".", ",")), 0)</f>
        <v>0</v>
      </c>
      <c r="P56" s="746">
        <f>IFERROR(VALUE(SUBSTITUTE(([1]!ltu?MERV_Ö_XMEV_Ö_AL30_Ö_48hs), ".", ",")), 0)</f>
        <v>0.70866898148148139</v>
      </c>
      <c r="Q56" s="747">
        <f t="shared" ref="Q56:Q79" si="2">IFERROR(IF(LEN(B56) &lt; 10, M56/N56, M56/N56/100), 0)</f>
        <v>61.252721226908854</v>
      </c>
      <c r="S56" s="776" t="s">
        <v>628</v>
      </c>
      <c r="T56" s="740">
        <f>IFERROR(VALUE(SUBSTITUTE(([1]!bsi?MERV_Ö_XMEV_Ö_AL30D_Ö_48hs), ".", ",")), 0)</f>
        <v>2125</v>
      </c>
      <c r="U56" s="741">
        <f>IFERROR(VALUE(SUBSTITUTE(([1]!bpr?MERV_Ö_XMEV_Ö_AL30D_Ö_48hs), ".", ",")), 0)</f>
        <v>30.65</v>
      </c>
      <c r="V56" s="741">
        <f>IFERROR(VALUE(SUBSTITUTE(([1]!opr?MERV_Ö_XMEV_Ö_AL30D_Ö_48hs), ".", ",")), 0)</f>
        <v>30.7</v>
      </c>
      <c r="W56" s="740">
        <f>IFERROR(VALUE(SUBSTITUTE(([1]!osi?MERV_Ö_XMEV_Ö_AL30D_Ö_48hs), ".", ",")), 0)</f>
        <v>600</v>
      </c>
      <c r="X56" s="742">
        <f>IFERROR(VALUE(SUBSTITUTE(([1]!lst?MERV_Ö_XMEV_Ö_AL30D_Ö_48hs), ".", ",")), 0)</f>
        <v>30.66</v>
      </c>
      <c r="Y56" s="743">
        <f>IFERROR(VALUE(SUBSTITUTE(([1]!chgp?MERV_Ö_XMEV_Ö_AL30D_Ö_48hs), ".", ",") / 100), 0)</f>
        <v>-7.4000000000000003E-3</v>
      </c>
      <c r="Z56" s="744"/>
      <c r="AA56" s="744"/>
      <c r="AB56" s="744"/>
      <c r="AC56" s="744"/>
      <c r="AD56" s="745">
        <f>IFERROR(VALUE(SUBSTITUTE(([1]!vole?MERV_Ö_XMEV_Ö_AL30D_Ö_48hs), ".", ",")), 0)</f>
        <v>673256.5</v>
      </c>
      <c r="AE56" s="745">
        <f>IFERROR(VALUE(SUBSTITUTE(([1]!voln?MERV_Ö_XMEV_Ö_AL30D_Ö_48hs), ".", ",")), 0)</f>
        <v>2193872</v>
      </c>
      <c r="AF56" s="745">
        <f>IFERROR(VALUE(SUBSTITUTE(([1]!vol?MERV_Ö_XMEV_Ö_AL30D_Ö_48hs), ".", ",")), 0)</f>
        <v>0</v>
      </c>
      <c r="AG56" s="746">
        <f>IFERROR(VALUE(SUBSTITUTE(([1]!ltu?MERV_Ö_XMEV_Ö_AL30D_Ö_48hs), ".", ",")), 0)</f>
        <v>0.70836805555555549</v>
      </c>
      <c r="AH56" s="747">
        <f t="shared" ref="AH56:AH91" si="3">IFERROR(IF(LEN(B56) &lt; 10, M56/N56, M56/N56/100), 0)</f>
        <v>61.252721226908854</v>
      </c>
      <c r="BP56" s="766"/>
      <c r="BQ56" s="766"/>
      <c r="BS56" s="728"/>
    </row>
    <row r="57" spans="1:71" ht="12.75" customHeight="1">
      <c r="A57" s="739"/>
      <c r="B57" s="748" t="s">
        <v>635</v>
      </c>
      <c r="C57" s="749">
        <f>IFERROR(VALUE(SUBSTITUTE(([1]!bsi?MERV_Ö_XMEV_Ö_AL30_Ö_24hs), ".", ",")), 0)</f>
        <v>10000</v>
      </c>
      <c r="D57" s="750">
        <f>IFERROR(VALUE(SUBSTITUTE(([1]!bpr?MERV_Ö_XMEV_Ö_AL30_Ö_24hs), ".", ",")), 0)</f>
        <v>5976</v>
      </c>
      <c r="E57" s="750">
        <f>IFERROR(VALUE(SUBSTITUTE(([1]!opr?MERV_Ö_XMEV_Ö_AL30_Ö_24hs), ".", ",")), 0)</f>
        <v>6055</v>
      </c>
      <c r="F57" s="749">
        <f>IFERROR(VALUE(SUBSTITUTE(([1]!osi?MERV_Ö_XMEV_Ö_AL30_Ö_24hs), ".", ",")), 0)</f>
        <v>100</v>
      </c>
      <c r="G57" s="751">
        <f>IFERROR(VALUE(SUBSTITUTE(([1]!lst?MERV_Ö_XMEV_Ö_AL30_Ö_24hs), ".", ",")), 0)</f>
        <v>6000</v>
      </c>
      <c r="H57" s="752">
        <f>IFERROR(VALUE(SUBSTITUTE(([1]!chgp?MERV_Ö_XMEV_Ö_AL30_Ö_24hs), ".", ",") / 100), 0)</f>
        <v>-3.0099999999999998E-2</v>
      </c>
      <c r="I57" s="753"/>
      <c r="J57" s="753"/>
      <c r="K57" s="753"/>
      <c r="L57" s="753"/>
      <c r="M57" s="754">
        <f>IFERROR(VALUE(SUBSTITUTE(([1]!vole?MERV_Ö_XMEV_Ö_AL30_Ö_24hs), ".", ",")), 0)</f>
        <v>8078553.5899999999</v>
      </c>
      <c r="N57" s="754">
        <f>IFERROR(VALUE(SUBSTITUTE(([1]!voln?MERV_Ö_XMEV_Ö_AL30_Ö_24hs), ".", ",")), 0)</f>
        <v>131649</v>
      </c>
      <c r="O57" s="754">
        <f>IFERROR(VALUE(SUBSTITUTE(([1]!vol?MERV_Ö_XMEV_Ö_AL30_Ö_24hs), ".", ",")), 0)</f>
        <v>0</v>
      </c>
      <c r="P57" s="755">
        <f>IFERROR(VALUE(SUBSTITUTE(([1]!ltu?MERV_Ö_XMEV_Ö_AL30_Ö_24hs), ".", ",")), 0)</f>
        <v>0.70263888888888892</v>
      </c>
      <c r="Q57" s="756">
        <f t="shared" si="2"/>
        <v>61.364336911028566</v>
      </c>
      <c r="S57" s="748" t="s">
        <v>653</v>
      </c>
      <c r="T57" s="749">
        <f>IFERROR(VALUE(SUBSTITUTE(([1]!bsi?MERV_Ö_XMEV_Ö_AL30D_Ö_24hs), ".", ",")), 0)</f>
        <v>1148</v>
      </c>
      <c r="U57" s="750">
        <f>IFERROR(VALUE(SUBSTITUTE(([1]!bpr?MERV_Ö_XMEV_Ö_AL30D_Ö_24hs), ".", ",")), 0)</f>
        <v>30.05</v>
      </c>
      <c r="V57" s="750">
        <f>IFERROR(VALUE(SUBSTITUTE(([1]!opr?MERV_Ö_XMEV_Ö_AL30D_Ö_24hs), ".", ",")), 0)</f>
        <v>30.85</v>
      </c>
      <c r="W57" s="749">
        <f>IFERROR(VALUE(SUBSTITUTE(([1]!osi?MERV_Ö_XMEV_Ö_AL30D_Ö_24hs), ".", ",")), 0)</f>
        <v>15000</v>
      </c>
      <c r="X57" s="751">
        <f>IFERROR(VALUE(SUBSTITUTE(([1]!lst?MERV_Ö_XMEV_Ö_AL30D_Ö_24hs), ".", ",")), 0)</f>
        <v>30.6</v>
      </c>
      <c r="Y57" s="752">
        <f>IFERROR(VALUE(SUBSTITUTE(([1]!chgp?MERV_Ö_XMEV_Ö_AL30D_Ö_24hs), ".", ",") / 100), 0)</f>
        <v>9.8999999999999991E-3</v>
      </c>
      <c r="Z57" s="753"/>
      <c r="AA57" s="753"/>
      <c r="AB57" s="753"/>
      <c r="AC57" s="753"/>
      <c r="AD57" s="754">
        <f>IFERROR(VALUE(SUBSTITUTE(([1]!vole?MERV_Ö_XMEV_Ö_AL30D_Ö_24hs), ".", ",")), 0)</f>
        <v>5104.4799999999996</v>
      </c>
      <c r="AE57" s="754">
        <f>IFERROR(VALUE(SUBSTITUTE(([1]!voln?MERV_Ö_XMEV_Ö_AL30D_Ö_24hs), ".", ",")), 0)</f>
        <v>16822</v>
      </c>
      <c r="AF57" s="754">
        <f>IFERROR(VALUE(SUBSTITUTE(([1]!vol?MERV_Ö_XMEV_Ö_AL30D_Ö_24hs), ".", ",")), 0)</f>
        <v>0</v>
      </c>
      <c r="AG57" s="755">
        <f>IFERROR(VALUE(SUBSTITUTE(([1]!ltu?MERV_Ö_XMEV_Ö_AL30D_Ö_24hs), ".", ",")), 0)</f>
        <v>0.70064814814814813</v>
      </c>
      <c r="AH57" s="756">
        <f t="shared" si="3"/>
        <v>61.364336911028566</v>
      </c>
      <c r="BP57" s="766"/>
      <c r="BQ57" s="766"/>
      <c r="BS57" s="728"/>
    </row>
    <row r="58" spans="1:71" ht="12.75" customHeight="1">
      <c r="A58" s="739"/>
      <c r="B58" s="778" t="s">
        <v>627</v>
      </c>
      <c r="C58" s="779">
        <f>IFERROR(VALUE(SUBSTITUTE(([1]!bsi?MERV_Ö_XMEV_Ö_AL30_Ö_CI), ".", ",")), 0)</f>
        <v>200</v>
      </c>
      <c r="D58" s="780">
        <f>IFERROR(VALUE(SUBSTITUTE(([1]!bpr?MERV_Ö_XMEV_Ö_AL30_Ö_CI), ".", ",")), 0)</f>
        <v>6064</v>
      </c>
      <c r="E58" s="780">
        <f>IFERROR(VALUE(SUBSTITUTE(([1]!opr?MERV_Ö_XMEV_Ö_AL30_Ö_CI), ".", ",")), 0)</f>
        <v>6066</v>
      </c>
      <c r="F58" s="779">
        <f>IFERROR(VALUE(SUBSTITUTE(([1]!osi?MERV_Ö_XMEV_Ö_AL30_Ö_CI), ".", ",")), 0)</f>
        <v>15534</v>
      </c>
      <c r="G58" s="781">
        <f>IFERROR(VALUE(SUBSTITUTE(([1]!lst?MERV_Ö_XMEV_Ö_AL30_Ö_CI), ".", ",")), 0)</f>
        <v>6066</v>
      </c>
      <c r="H58" s="782">
        <f>IFERROR(VALUE(SUBSTITUTE(([1]!chgp?MERV_Ö_XMEV_Ö_AL30_Ö_CI), ".", ",") / 100), 0)</f>
        <v>-2.07E-2</v>
      </c>
      <c r="I58" s="783"/>
      <c r="J58" s="783"/>
      <c r="K58" s="783"/>
      <c r="L58" s="783"/>
      <c r="M58" s="784">
        <f>IFERROR(VALUE(SUBSTITUTE(([1]!vole?MERV_Ö_XMEV_Ö_AL30_Ö_CI), ".", ",")), 0)</f>
        <v>934692535.04999995</v>
      </c>
      <c r="N58" s="784">
        <f>IFERROR(VALUE(SUBSTITUTE(([1]!voln?MERV_Ö_XMEV_Ö_AL30_Ö_CI), ".", ",")), 0)</f>
        <v>15248444</v>
      </c>
      <c r="O58" s="784">
        <f>IFERROR(VALUE(SUBSTITUTE(([1]!vol?MERV_Ö_XMEV_Ö_AL30_Ö_CI), ".", ",")), 0)</f>
        <v>0</v>
      </c>
      <c r="P58" s="785">
        <f>IFERROR(VALUE(SUBSTITUTE(([1]!ltu?MERV_Ö_XMEV_Ö_AL30_Ö_CI), ".", ",")), 0)</f>
        <v>0.66692129629629626</v>
      </c>
      <c r="Q58" s="786">
        <f t="shared" si="2"/>
        <v>61.297568135476638</v>
      </c>
      <c r="S58" s="778" t="s">
        <v>629</v>
      </c>
      <c r="T58" s="779">
        <f>IFERROR(VALUE(SUBSTITUTE(([1]!bsi?MERV_Ö_XMEV_Ö_AL30D_Ö_CI), ".", ",")), 0)</f>
        <v>300</v>
      </c>
      <c r="U58" s="780">
        <f>IFERROR(VALUE(SUBSTITUTE(([1]!bpr?MERV_Ö_XMEV_Ö_AL30D_Ö_CI), ".", ",")), 0)</f>
        <v>30.63</v>
      </c>
      <c r="V58" s="780">
        <f>IFERROR(VALUE(SUBSTITUTE(([1]!opr?MERV_Ö_XMEV_Ö_AL30D_Ö_CI), ".", ",")), 0)</f>
        <v>30.7</v>
      </c>
      <c r="W58" s="779">
        <f>IFERROR(VALUE(SUBSTITUTE(([1]!osi?MERV_Ö_XMEV_Ö_AL30D_Ö_CI), ".", ",")), 0)</f>
        <v>2697</v>
      </c>
      <c r="X58" s="781">
        <f>IFERROR(VALUE(SUBSTITUTE(([1]!lst?MERV_Ö_XMEV_Ö_AL30D_Ö_CI), ".", ",")), 0)</f>
        <v>30.7</v>
      </c>
      <c r="Y58" s="782">
        <f>IFERROR(VALUE(SUBSTITUTE(([1]!chgp?MERV_Ö_XMEV_Ö_AL30D_Ö_CI), ".", ",") / 100), 0)</f>
        <v>-9.7000000000000003E-3</v>
      </c>
      <c r="Z58" s="783"/>
      <c r="AA58" s="783"/>
      <c r="AB58" s="783"/>
      <c r="AC58" s="783"/>
      <c r="AD58" s="784">
        <f>IFERROR(VALUE(SUBSTITUTE(([1]!vole?MERV_Ö_XMEV_Ö_AL30D_Ö_CI), ".", ",")), 0)</f>
        <v>3209038.08</v>
      </c>
      <c r="AE58" s="784">
        <f>IFERROR(VALUE(SUBSTITUTE(([1]!voln?MERV_Ö_XMEV_Ö_AL30D_Ö_CI), ".", ",")), 0)</f>
        <v>10457031</v>
      </c>
      <c r="AF58" s="784">
        <f>IFERROR(VALUE(SUBSTITUTE(([1]!vol?MERV_Ö_XMEV_Ö_AL30D_Ö_CI), ".", ",")), 0)</f>
        <v>0</v>
      </c>
      <c r="AG58" s="785">
        <f>IFERROR(VALUE(SUBSTITUTE(([1]!ltu?MERV_Ö_XMEV_Ö_AL30D_Ö_CI), ".", ",")), 0)</f>
        <v>0.66686342592592596</v>
      </c>
      <c r="AH58" s="786">
        <f t="shared" si="3"/>
        <v>61.297568135476638</v>
      </c>
      <c r="BP58" s="766"/>
      <c r="BQ58" s="766"/>
      <c r="BS58" s="728"/>
    </row>
    <row r="59" spans="1:71" ht="12.75" customHeight="1">
      <c r="A59" s="739"/>
      <c r="B59" s="776" t="s">
        <v>636</v>
      </c>
      <c r="C59" s="740">
        <f>IFERROR(VALUE(SUBSTITUTE(([1]!bsi?MERV_Ö_XMEV_Ö_GD30_Ö_48hs), ".", ",")), 0)</f>
        <v>55728</v>
      </c>
      <c r="D59" s="741">
        <f>IFERROR(VALUE(SUBSTITUTE(([1]!bpr?MERV_Ö_XMEV_Ö_GD30_Ö_48hs), ".", ",")), 0)</f>
        <v>6805</v>
      </c>
      <c r="E59" s="741">
        <f>IFERROR(VALUE(SUBSTITUTE(([1]!opr?MERV_Ö_XMEV_Ö_GD30_Ö_48hs), ".", ",")), 0)</f>
        <v>6819.5</v>
      </c>
      <c r="F59" s="740">
        <f>IFERROR(VALUE(SUBSTITUTE(([1]!osi?MERV_Ö_XMEV_Ö_GD30_Ö_48hs), ".", ",")), 0)</f>
        <v>1114</v>
      </c>
      <c r="G59" s="742">
        <f>IFERROR(VALUE(SUBSTITUTE(([1]!lst?MERV_Ö_XMEV_Ö_GD30_Ö_48hs), ".", ",")), 0)</f>
        <v>6805</v>
      </c>
      <c r="H59" s="743">
        <f>IFERROR(VALUE(SUBSTITUTE(([1]!chgp?MERV_Ö_XMEV_Ö_GD30_Ö_48hs), ".", ",") / 100), 0)</f>
        <v>-3.1899999999999998E-2</v>
      </c>
      <c r="I59" s="744"/>
      <c r="J59" s="744"/>
      <c r="K59" s="744"/>
      <c r="L59" s="744"/>
      <c r="M59" s="745">
        <f>IFERROR(VALUE(SUBSTITUTE(([1]!vole?MERV_Ö_XMEV_Ö_GD30_Ö_48hs), ".", ",")), 0)</f>
        <v>1934135313.27</v>
      </c>
      <c r="N59" s="745">
        <f>IFERROR(VALUE(SUBSTITUTE(([1]!voln?MERV_Ö_XMEV_Ö_GD30_Ö_48hs), ".", ",")), 0)</f>
        <v>27948908</v>
      </c>
      <c r="O59" s="745">
        <f>IFERROR(VALUE(SUBSTITUTE(([1]!vol?MERV_Ö_XMEV_Ö_GD30_Ö_48hs), ".", ",")), 0)</f>
        <v>0</v>
      </c>
      <c r="P59" s="746">
        <f>IFERROR(VALUE(SUBSTITUTE(([1]!ltu?MERV_Ö_XMEV_Ö_GD30_Ö_48hs), ".", ",")), 0)</f>
        <v>0.70858796296296289</v>
      </c>
      <c r="Q59" s="747">
        <f t="shared" si="2"/>
        <v>69.202536044342054</v>
      </c>
      <c r="S59" s="776" t="s">
        <v>654</v>
      </c>
      <c r="T59" s="740">
        <f>IFERROR(VALUE(SUBSTITUTE(([1]!bsi?MERV_Ö_XMEV_Ö_GD30D_Ö_48hs), ".", ",")), 0)</f>
        <v>180000</v>
      </c>
      <c r="U59" s="741">
        <f>IFERROR(VALUE(SUBSTITUTE(([1]!bpr?MERV_Ö_XMEV_Ö_GD30D_Ö_48hs), ".", ",")), 0)</f>
        <v>34.700000000000003</v>
      </c>
      <c r="V59" s="741">
        <f>IFERROR(VALUE(SUBSTITUTE(([1]!opr?MERV_Ö_XMEV_Ö_GD30D_Ö_48hs), ".", ",")), 0)</f>
        <v>34.71</v>
      </c>
      <c r="W59" s="740">
        <f>IFERROR(VALUE(SUBSTITUTE(([1]!osi?MERV_Ö_XMEV_Ö_GD30D_Ö_48hs), ".", ",")), 0)</f>
        <v>5721</v>
      </c>
      <c r="X59" s="742">
        <f>IFERROR(VALUE(SUBSTITUTE(([1]!lst?MERV_Ö_XMEV_Ö_GD30D_Ö_48hs), ".", ",")), 0)</f>
        <v>34.71</v>
      </c>
      <c r="Y59" s="743">
        <f>IFERROR(VALUE(SUBSTITUTE(([1]!chgp?MERV_Ö_XMEV_Ö_GD30D_Ö_48hs), ".", ",") / 100), 0)</f>
        <v>-6.8999999999999999E-3</v>
      </c>
      <c r="Z59" s="744"/>
      <c r="AA59" s="744"/>
      <c r="AB59" s="744"/>
      <c r="AC59" s="744"/>
      <c r="AD59" s="745">
        <f>IFERROR(VALUE(SUBSTITUTE(([1]!vole?MERV_Ö_XMEV_Ö_GD30D_Ö_48hs), ".", ",")), 0)</f>
        <v>3100018.04</v>
      </c>
      <c r="AE59" s="745">
        <f>IFERROR(VALUE(SUBSTITUTE(([1]!voln?MERV_Ö_XMEV_Ö_GD30D_Ö_48hs), ".", ",")), 0)</f>
        <v>8897666</v>
      </c>
      <c r="AF59" s="745">
        <f>IFERROR(VALUE(SUBSTITUTE(([1]!vol?MERV_Ö_XMEV_Ö_GD30D_Ö_48hs), ".", ",")), 0)</f>
        <v>0</v>
      </c>
      <c r="AG59" s="746">
        <f>IFERROR(VALUE(SUBSTITUTE(([1]!ltu?MERV_Ö_XMEV_Ö_GD30D_Ö_48hs), ".", ",")), 0)</f>
        <v>0.70865740740740746</v>
      </c>
      <c r="AH59" s="747">
        <f t="shared" si="3"/>
        <v>69.202536044342054</v>
      </c>
      <c r="BP59" s="766"/>
      <c r="BQ59" s="766"/>
      <c r="BS59" s="728"/>
    </row>
    <row r="60" spans="1:71" ht="12.75" customHeight="1">
      <c r="A60" s="739"/>
      <c r="B60" s="748" t="s">
        <v>637</v>
      </c>
      <c r="C60" s="749">
        <f>IFERROR(VALUE(SUBSTITUTE(([1]!bsi?MERV_Ö_XMEV_Ö_GD30_Ö_24hs), ".", ",")), 0)</f>
        <v>0</v>
      </c>
      <c r="D60" s="750">
        <f>IFERROR(VALUE(SUBSTITUTE(([1]!bpr?MERV_Ö_XMEV_Ö_GD30_Ö_24hs), ".", ",")), 0)</f>
        <v>0</v>
      </c>
      <c r="E60" s="750">
        <f>IFERROR(VALUE(SUBSTITUTE(([1]!opr?MERV_Ö_XMEV_Ö_GD30_Ö_24hs), ".", ",")), 0)</f>
        <v>6920</v>
      </c>
      <c r="F60" s="749">
        <f>IFERROR(VALUE(SUBSTITUTE(([1]!osi?MERV_Ö_XMEV_Ö_GD30_Ö_24hs), ".", ",")), 0)</f>
        <v>28520</v>
      </c>
      <c r="G60" s="751">
        <f>IFERROR(VALUE(SUBSTITUTE(([1]!lst?MERV_Ö_XMEV_Ö_GD30_Ö_24hs), ".", ",")), 0)</f>
        <v>6870</v>
      </c>
      <c r="H60" s="752">
        <f>IFERROR(VALUE(SUBSTITUTE(([1]!chgp?MERV_Ö_XMEV_Ö_GD30_Ö_24hs), ".", ",") / 100), 0)</f>
        <v>-3.2400000000000005E-2</v>
      </c>
      <c r="I60" s="753"/>
      <c r="J60" s="753"/>
      <c r="K60" s="753"/>
      <c r="L60" s="753"/>
      <c r="M60" s="754">
        <f>IFERROR(VALUE(SUBSTITUTE(([1]!vole?MERV_Ö_XMEV_Ö_GD30_Ö_24hs), ".", ",")), 0)</f>
        <v>299188.5</v>
      </c>
      <c r="N60" s="754">
        <f>IFERROR(VALUE(SUBSTITUTE(([1]!voln?MERV_Ö_XMEV_Ö_GD30_Ö_24hs), ".", ",")), 0)</f>
        <v>4355</v>
      </c>
      <c r="O60" s="754">
        <f>IFERROR(VALUE(SUBSTITUTE(([1]!vol?MERV_Ö_XMEV_Ö_GD30_Ö_24hs), ".", ",")), 0)</f>
        <v>0</v>
      </c>
      <c r="P60" s="755">
        <f>IFERROR(VALUE(SUBSTITUTE(([1]!ltu?MERV_Ö_XMEV_Ö_GD30_Ö_24hs), ".", ",")), 0)</f>
        <v>0.69840277777777782</v>
      </c>
      <c r="Q60" s="756">
        <f t="shared" si="2"/>
        <v>68.7</v>
      </c>
      <c r="S60" s="748" t="s">
        <v>655</v>
      </c>
      <c r="T60" s="749">
        <f>IFERROR(VALUE(SUBSTITUTE(([1]!bsi?MERV_Ö_XMEV_Ö_GD30D_Ö_24hs), ".", ",")), 0)</f>
        <v>25000</v>
      </c>
      <c r="U60" s="750">
        <f>IFERROR(VALUE(SUBSTITUTE(([1]!bpr?MERV_Ö_XMEV_Ö_GD30D_Ö_24hs), ".", ",")), 0)</f>
        <v>34.5</v>
      </c>
      <c r="V60" s="750">
        <f>IFERROR(VALUE(SUBSTITUTE(([1]!opr?MERV_Ö_XMEV_Ö_GD30D_Ö_24hs), ".", ",")), 0)</f>
        <v>34.9</v>
      </c>
      <c r="W60" s="749">
        <f>IFERROR(VALUE(SUBSTITUTE(([1]!osi?MERV_Ö_XMEV_Ö_GD30D_Ö_24hs), ".", ",")), 0)</f>
        <v>20000</v>
      </c>
      <c r="X60" s="751">
        <f>IFERROR(VALUE(SUBSTITUTE(([1]!lst?MERV_Ö_XMEV_Ö_GD30D_Ö_24hs), ".", ",")), 0)</f>
        <v>34.18</v>
      </c>
      <c r="Y60" s="752">
        <f>IFERROR(VALUE(SUBSTITUTE(([1]!chgp?MERV_Ö_XMEV_Ö_GD30D_Ö_24hs), ".", ",") / 100), 0)</f>
        <v>-1.4999999999999999E-2</v>
      </c>
      <c r="Z60" s="753"/>
      <c r="AA60" s="753"/>
      <c r="AB60" s="753"/>
      <c r="AC60" s="753"/>
      <c r="AD60" s="754">
        <f>IFERROR(VALUE(SUBSTITUTE(([1]!vole?MERV_Ö_XMEV_Ö_GD30D_Ö_24hs), ".", ",")), 0)</f>
        <v>1948.26</v>
      </c>
      <c r="AE60" s="754">
        <f>IFERROR(VALUE(SUBSTITUTE(([1]!voln?MERV_Ö_XMEV_Ö_GD30D_Ö_24hs), ".", ",")), 0)</f>
        <v>5700</v>
      </c>
      <c r="AF60" s="754">
        <f>IFERROR(VALUE(SUBSTITUTE(([1]!vol?MERV_Ö_XMEV_Ö_GD30D_Ö_24hs), ".", ",")), 0)</f>
        <v>0</v>
      </c>
      <c r="AG60" s="755">
        <f>IFERROR(VALUE(SUBSTITUTE(([1]!ltu?MERV_Ö_XMEV_Ö_GD30D_Ö_24hs), ".", ",")), 0)</f>
        <v>0.4670138888888889</v>
      </c>
      <c r="AH60" s="756">
        <f t="shared" si="3"/>
        <v>68.7</v>
      </c>
      <c r="BP60" s="766"/>
      <c r="BQ60" s="766"/>
      <c r="BS60" s="728"/>
    </row>
    <row r="61" spans="1:71" ht="12.75" customHeight="1">
      <c r="A61" s="739"/>
      <c r="B61" s="778" t="s">
        <v>638</v>
      </c>
      <c r="C61" s="779">
        <f>IFERROR(VALUE(SUBSTITUTE(([1]!bsi?MERV_Ö_XMEV_Ö_GD30_Ö_CI), ".", ",")), 0)</f>
        <v>1000</v>
      </c>
      <c r="D61" s="780">
        <f>IFERROR(VALUE(SUBSTITUTE(([1]!bpr?MERV_Ö_XMEV_Ö_GD30_Ö_CI), ".", ",")), 0)</f>
        <v>6860</v>
      </c>
      <c r="E61" s="780">
        <f>IFERROR(VALUE(SUBSTITUTE(([1]!opr?MERV_Ö_XMEV_Ö_GD30_Ö_CI), ".", ",")), 0)</f>
        <v>6865</v>
      </c>
      <c r="F61" s="779">
        <f>IFERROR(VALUE(SUBSTITUTE(([1]!osi?MERV_Ö_XMEV_Ö_GD30_Ö_CI), ".", ",")), 0)</f>
        <v>201958</v>
      </c>
      <c r="G61" s="781">
        <f>IFERROR(VALUE(SUBSTITUTE(([1]!lst?MERV_Ö_XMEV_Ö_GD30_Ö_CI), ".", ",")), 0)</f>
        <v>6865</v>
      </c>
      <c r="H61" s="782">
        <f>IFERROR(VALUE(SUBSTITUTE(([1]!chgp?MERV_Ö_XMEV_Ö_GD30_Ö_CI), ".", ",") / 100), 0)</f>
        <v>-1.9699999999999999E-2</v>
      </c>
      <c r="I61" s="783"/>
      <c r="J61" s="783"/>
      <c r="K61" s="783"/>
      <c r="L61" s="783"/>
      <c r="M61" s="784">
        <f>IFERROR(VALUE(SUBSTITUTE(([1]!vole?MERV_Ö_XMEV_Ö_GD30_Ö_CI), ".", ",")), 0)</f>
        <v>3758649070.4699998</v>
      </c>
      <c r="N61" s="784">
        <f>IFERROR(VALUE(SUBSTITUTE(([1]!voln?MERV_Ö_XMEV_Ö_GD30_Ö_CI), ".", ",")), 0)</f>
        <v>54279066</v>
      </c>
      <c r="O61" s="784">
        <f>IFERROR(VALUE(SUBSTITUTE(([1]!vol?MERV_Ö_XMEV_Ö_GD30_Ö_CI), ".", ",")), 0)</f>
        <v>0</v>
      </c>
      <c r="P61" s="785">
        <f>IFERROR(VALUE(SUBSTITUTE(([1]!ltu?MERV_Ö_XMEV_Ö_GD30_Ö_CI), ".", ",")), 0)</f>
        <v>0.66688657407407403</v>
      </c>
      <c r="Q61" s="786">
        <f t="shared" si="2"/>
        <v>69.246752891252768</v>
      </c>
      <c r="S61" s="778" t="s">
        <v>656</v>
      </c>
      <c r="T61" s="779">
        <f>IFERROR(VALUE(SUBSTITUTE(([1]!bsi?MERV_Ö_XMEV_Ö_GD30D_Ö_CI), ".", ",")), 0)</f>
        <v>50000</v>
      </c>
      <c r="U61" s="780">
        <f>IFERROR(VALUE(SUBSTITUTE(([1]!bpr?MERV_Ö_XMEV_Ö_GD30D_Ö_CI), ".", ",")), 0)</f>
        <v>34.81</v>
      </c>
      <c r="V61" s="780">
        <f>IFERROR(VALUE(SUBSTITUTE(([1]!opr?MERV_Ö_XMEV_Ö_GD30D_Ö_CI), ".", ",")), 0)</f>
        <v>34.9</v>
      </c>
      <c r="W61" s="779">
        <f>IFERROR(VALUE(SUBSTITUTE(([1]!osi?MERV_Ö_XMEV_Ö_GD30D_Ö_CI), ".", ",")), 0)</f>
        <v>20538</v>
      </c>
      <c r="X61" s="781">
        <f>IFERROR(VALUE(SUBSTITUTE(([1]!lst?MERV_Ö_XMEV_Ö_GD30D_Ö_CI), ".", ",")), 0)</f>
        <v>34.9</v>
      </c>
      <c r="Y61" s="782">
        <f>IFERROR(VALUE(SUBSTITUTE(([1]!chgp?MERV_Ö_XMEV_Ö_GD30D_Ö_CI), ".", ",") / 100), 0)</f>
        <v>-5.6999999999999993E-3</v>
      </c>
      <c r="Z61" s="783"/>
      <c r="AA61" s="783"/>
      <c r="AB61" s="783"/>
      <c r="AC61" s="783"/>
      <c r="AD61" s="784">
        <f>IFERROR(VALUE(SUBSTITUTE(([1]!vole?MERV_Ö_XMEV_Ö_GD30D_Ö_CI), ".", ",")), 0)</f>
        <v>9305796.2699999996</v>
      </c>
      <c r="AE61" s="784">
        <f>IFERROR(VALUE(SUBSTITUTE(([1]!voln?MERV_Ö_XMEV_Ö_GD30D_Ö_CI), ".", ",")), 0)</f>
        <v>26720631</v>
      </c>
      <c r="AF61" s="784">
        <f>IFERROR(VALUE(SUBSTITUTE(([1]!vol?MERV_Ö_XMEV_Ö_GD30D_Ö_CI), ".", ",")), 0)</f>
        <v>0</v>
      </c>
      <c r="AG61" s="785">
        <f>IFERROR(VALUE(SUBSTITUTE(([1]!ltu?MERV_Ö_XMEV_Ö_GD30D_Ö_CI), ".", ",")), 0)</f>
        <v>0.66681712962962969</v>
      </c>
      <c r="AH61" s="786">
        <f t="shared" si="3"/>
        <v>69.246752891252768</v>
      </c>
      <c r="BP61" s="766"/>
      <c r="BQ61" s="766"/>
      <c r="BS61" s="728"/>
    </row>
    <row r="62" spans="1:71" ht="12.75" customHeight="1">
      <c r="A62" s="739"/>
      <c r="B62" s="776" t="s">
        <v>642</v>
      </c>
      <c r="C62" s="740">
        <f>IFERROR(VALUE(SUBSTITUTE(([1]!bsi?MERV_Ö_XMEV_Ö_GD29_Ö_48hs), ".", ",")), 0)</f>
        <v>100</v>
      </c>
      <c r="D62" s="741">
        <f>IFERROR(VALUE(SUBSTITUTE(([1]!bpr?MERV_Ö_XMEV_Ö_GD29_Ö_48hs), ".", ",")), 0)</f>
        <v>6953</v>
      </c>
      <c r="E62" s="741">
        <f>IFERROR(VALUE(SUBSTITUTE(([1]!opr?MERV_Ö_XMEV_Ö_GD29_Ö_48hs), ".", ",")), 0)</f>
        <v>7100</v>
      </c>
      <c r="F62" s="740">
        <f>IFERROR(VALUE(SUBSTITUTE(([1]!osi?MERV_Ö_XMEV_Ö_GD29_Ö_48hs), ".", ",")), 0)</f>
        <v>1933</v>
      </c>
      <c r="G62" s="742">
        <f>IFERROR(VALUE(SUBSTITUTE(([1]!lst?MERV_Ö_XMEV_Ö_GD29_Ö_48hs), ".", ",")), 0)</f>
        <v>6950</v>
      </c>
      <c r="H62" s="743">
        <f>IFERROR(VALUE(SUBSTITUTE(([1]!chgp?MERV_Ö_XMEV_Ö_GD29_Ö_48hs), ".", ",") / 100), 0)</f>
        <v>-2.52E-2</v>
      </c>
      <c r="I62" s="744"/>
      <c r="J62" s="744"/>
      <c r="K62" s="744"/>
      <c r="L62" s="744"/>
      <c r="M62" s="745">
        <f>IFERROR(VALUE(SUBSTITUTE(([1]!vole?MERV_Ö_XMEV_Ö_GD29_Ö_48hs), ".", ",")), 0)</f>
        <v>1809768.38</v>
      </c>
      <c r="N62" s="745">
        <f>IFERROR(VALUE(SUBSTITUTE(([1]!voln?MERV_Ö_XMEV_Ö_GD29_Ö_48hs), ".", ",")), 0)</f>
        <v>25482</v>
      </c>
      <c r="O62" s="745">
        <f>IFERROR(VALUE(SUBSTITUTE(([1]!vol?MERV_Ö_XMEV_Ö_GD29_Ö_48hs), ".", ",")), 0)</f>
        <v>0</v>
      </c>
      <c r="P62" s="746">
        <f>IFERROR(VALUE(SUBSTITUTE(([1]!ltu?MERV_Ö_XMEV_Ö_GD29_Ö_48hs), ".", ",")), 0)</f>
        <v>0.67971064814814808</v>
      </c>
      <c r="Q62" s="747">
        <f t="shared" si="2"/>
        <v>71.021441802056344</v>
      </c>
      <c r="S62" s="776" t="s">
        <v>657</v>
      </c>
      <c r="T62" s="740">
        <f>IFERROR(VALUE(SUBSTITUTE(([1]!bsi?MERV_Ö_XMEV_Ö_GD29D_Ö_48hs), ".", ",")), 0)</f>
        <v>5</v>
      </c>
      <c r="U62" s="741">
        <f>IFERROR(VALUE(SUBSTITUTE(([1]!bpr?MERV_Ö_XMEV_Ö_GD29D_Ö_48hs), ".", ",")), 0)</f>
        <v>35.18</v>
      </c>
      <c r="V62" s="741">
        <f>IFERROR(VALUE(SUBSTITUTE(([1]!opr?MERV_Ö_XMEV_Ö_GD29D_Ö_48hs), ".", ",")), 0)</f>
        <v>37</v>
      </c>
      <c r="W62" s="740">
        <f>IFERROR(VALUE(SUBSTITUTE(([1]!osi?MERV_Ö_XMEV_Ö_GD29D_Ö_48hs), ".", ",")), 0)</f>
        <v>500</v>
      </c>
      <c r="X62" s="742">
        <f>IFERROR(VALUE(SUBSTITUTE(([1]!lst?MERV_Ö_XMEV_Ö_GD29D_Ö_48hs), ".", ",")), 0)</f>
        <v>35.299999999999997</v>
      </c>
      <c r="Y62" s="743">
        <f>IFERROR(VALUE(SUBSTITUTE(([1]!chgp?MERV_Ö_XMEV_Ö_GD29D_Ö_48hs), ".", ",") / 100), 0)</f>
        <v>1.7000000000000001E-2</v>
      </c>
      <c r="Z62" s="744"/>
      <c r="AA62" s="744"/>
      <c r="AB62" s="744"/>
      <c r="AC62" s="744"/>
      <c r="AD62" s="745">
        <f>IFERROR(VALUE(SUBSTITUTE(([1]!vole?MERV_Ö_XMEV_Ö_GD29D_Ö_48hs), ".", ",")), 0)</f>
        <v>1816.31</v>
      </c>
      <c r="AE62" s="745">
        <f>IFERROR(VALUE(SUBSTITUTE(([1]!voln?MERV_Ö_XMEV_Ö_GD29D_Ö_48hs), ".", ",")), 0)</f>
        <v>5133</v>
      </c>
      <c r="AF62" s="745">
        <f>IFERROR(VALUE(SUBSTITUTE(([1]!vol?MERV_Ö_XMEV_Ö_GD29D_Ö_48hs), ".", ",")), 0)</f>
        <v>0</v>
      </c>
      <c r="AG62" s="746">
        <f>IFERROR(VALUE(SUBSTITUTE(([1]!ltu?MERV_Ö_XMEV_Ö_GD29D_Ö_48hs), ".", ",")), 0)</f>
        <v>0.67956018518518524</v>
      </c>
      <c r="AH62" s="747">
        <f t="shared" si="3"/>
        <v>71.021441802056344</v>
      </c>
      <c r="BP62" s="766"/>
      <c r="BQ62" s="766"/>
      <c r="BS62" s="728"/>
    </row>
    <row r="63" spans="1:71" ht="12.75" customHeight="1">
      <c r="A63" s="739"/>
      <c r="B63" s="748" t="s">
        <v>643</v>
      </c>
      <c r="C63" s="749">
        <f>IFERROR(VALUE(SUBSTITUTE(([1]!bsi?MERV_Ö_XMEV_Ö_GD29_Ö_24hs), ".", ",")), 0)</f>
        <v>0</v>
      </c>
      <c r="D63" s="750">
        <f>IFERROR(VALUE(SUBSTITUTE(([1]!bpr?MERV_Ö_XMEV_Ö_GD29_Ö_24hs), ".", ",")), 0)</f>
        <v>0</v>
      </c>
      <c r="E63" s="750">
        <f>IFERROR(VALUE(SUBSTITUTE(([1]!opr?MERV_Ö_XMEV_Ö_GD29_Ö_24hs), ".", ",")), 0)</f>
        <v>0</v>
      </c>
      <c r="F63" s="749">
        <f>IFERROR(VALUE(SUBSTITUTE(([1]!osi?MERV_Ö_XMEV_Ö_GD29_Ö_24hs), ".", ",")), 0)</f>
        <v>0</v>
      </c>
      <c r="G63" s="751">
        <f>IFERROR(VALUE(SUBSTITUTE(([1]!lst?MERV_Ö_XMEV_Ö_GD29_Ö_24hs), ".", ",")), 0)</f>
        <v>0</v>
      </c>
      <c r="H63" s="752">
        <f>IFERROR(VALUE(SUBSTITUTE(([1]!chgp?MERV_Ö_XMEV_Ö_GD29_Ö_24hs), ".", ",") / 100), 0)</f>
        <v>0</v>
      </c>
      <c r="I63" s="753"/>
      <c r="J63" s="753"/>
      <c r="K63" s="753"/>
      <c r="L63" s="753"/>
      <c r="M63" s="754">
        <f>IFERROR(VALUE(SUBSTITUTE(([1]!vole?MERV_Ö_XMEV_Ö_GD29_Ö_24hs), ".", ",")), 0)</f>
        <v>0</v>
      </c>
      <c r="N63" s="754">
        <f>IFERROR(VALUE(SUBSTITUTE(([1]!voln?MERV_Ö_XMEV_Ö_GD29_Ö_24hs), ".", ",")), 0)</f>
        <v>0</v>
      </c>
      <c r="O63" s="754">
        <f>IFERROR(VALUE(SUBSTITUTE(([1]!vol?MERV_Ö_XMEV_Ö_GD29_Ö_24hs), ".", ",")), 0)</f>
        <v>0</v>
      </c>
      <c r="P63" s="755">
        <f>IFERROR(VALUE(SUBSTITUTE(([1]!ltu?MERV_Ö_XMEV_Ö_GD29_Ö_24hs), ".", ",")), 0)</f>
        <v>0</v>
      </c>
      <c r="Q63" s="756">
        <f t="shared" si="2"/>
        <v>0</v>
      </c>
      <c r="S63" s="748" t="s">
        <v>658</v>
      </c>
      <c r="T63" s="749">
        <f>IFERROR(VALUE(SUBSTITUTE(([1]!bsi?MERV_Ö_XMEV_Ö_GD29D_Ö_24hs), ".", ",")), 0)</f>
        <v>0</v>
      </c>
      <c r="U63" s="750">
        <f>IFERROR(VALUE(SUBSTITUTE(([1]!bpr?MERV_Ö_XMEV_Ö_GD29D_Ö_24hs), ".", ",")), 0)</f>
        <v>0</v>
      </c>
      <c r="V63" s="750">
        <f>IFERROR(VALUE(SUBSTITUTE(([1]!opr?MERV_Ö_XMEV_Ö_GD29D_Ö_24hs), ".", ",")), 0)</f>
        <v>0</v>
      </c>
      <c r="W63" s="749">
        <f>IFERROR(VALUE(SUBSTITUTE(([1]!osi?MERV_Ö_XMEV_Ö_GD29D_Ö_24hs), ".", ",")), 0)</f>
        <v>0</v>
      </c>
      <c r="X63" s="751">
        <f>IFERROR(VALUE(SUBSTITUTE(([1]!lst?MERV_Ö_XMEV_Ö_GD29D_Ö_24hs), ".", ",")), 0)</f>
        <v>0</v>
      </c>
      <c r="Y63" s="752">
        <f>IFERROR(VALUE(SUBSTITUTE(([1]!chgp?MERV_Ö_XMEV_Ö_GD29D_Ö_24hs), ".", ",") / 100), 0)</f>
        <v>0</v>
      </c>
      <c r="Z63" s="753"/>
      <c r="AA63" s="753"/>
      <c r="AB63" s="753"/>
      <c r="AC63" s="753"/>
      <c r="AD63" s="754">
        <f>IFERROR(VALUE(SUBSTITUTE(([1]!vole?MERV_Ö_XMEV_Ö_GD29D_Ö_24hs), ".", ",")), 0)</f>
        <v>0</v>
      </c>
      <c r="AE63" s="754">
        <f>IFERROR(VALUE(SUBSTITUTE(([1]!voln?MERV_Ö_XMEV_Ö_GD29D_Ö_24hs), ".", ",")), 0)</f>
        <v>0</v>
      </c>
      <c r="AF63" s="754">
        <f>IFERROR(VALUE(SUBSTITUTE(([1]!vol?MERV_Ö_XMEV_Ö_GD29D_Ö_24hs), ".", ",")), 0)</f>
        <v>0</v>
      </c>
      <c r="AG63" s="755">
        <f>IFERROR(VALUE(SUBSTITUTE(([1]!ltu?MERV_Ö_XMEV_Ö_GD29D_Ö_24hs), ".", ",")), 0)</f>
        <v>0</v>
      </c>
      <c r="AH63" s="756">
        <f t="shared" si="3"/>
        <v>0</v>
      </c>
      <c r="BP63" s="766"/>
      <c r="BQ63" s="766"/>
      <c r="BS63" s="728"/>
    </row>
    <row r="64" spans="1:71" ht="12.75" customHeight="1">
      <c r="A64" s="739"/>
      <c r="B64" s="778" t="s">
        <v>644</v>
      </c>
      <c r="C64" s="779">
        <f>IFERROR(VALUE(SUBSTITUTE(([1]!bsi?MERV_Ö_XMEV_Ö_GD29_Ö_CI), ".", ",")), 0)</f>
        <v>34</v>
      </c>
      <c r="D64" s="780">
        <f>IFERROR(VALUE(SUBSTITUTE(([1]!bpr?MERV_Ö_XMEV_Ö_GD29_Ö_CI), ".", ",")), 0)</f>
        <v>6981</v>
      </c>
      <c r="E64" s="780">
        <f>IFERROR(VALUE(SUBSTITUTE(([1]!opr?MERV_Ö_XMEV_Ö_GD29_Ö_CI), ".", ",")), 0)</f>
        <v>7200</v>
      </c>
      <c r="F64" s="779">
        <f>IFERROR(VALUE(SUBSTITUTE(([1]!osi?MERV_Ö_XMEV_Ö_GD29_Ö_CI), ".", ",")), 0)</f>
        <v>2000</v>
      </c>
      <c r="G64" s="781">
        <f>IFERROR(VALUE(SUBSTITUTE(([1]!lst?MERV_Ö_XMEV_Ö_GD29_Ö_CI), ".", ",")), 0)</f>
        <v>7001</v>
      </c>
      <c r="H64" s="782">
        <f>IFERROR(VALUE(SUBSTITUTE(([1]!chgp?MERV_Ö_XMEV_Ö_GD29_Ö_CI), ".", ",") / 100), 0)</f>
        <v>-1.4999999999999999E-2</v>
      </c>
      <c r="I64" s="783"/>
      <c r="J64" s="783"/>
      <c r="K64" s="783"/>
      <c r="L64" s="783"/>
      <c r="M64" s="784">
        <f>IFERROR(VALUE(SUBSTITUTE(([1]!vole?MERV_Ö_XMEV_Ö_GD29_Ö_CI), ".", ",")), 0)</f>
        <v>195452.02</v>
      </c>
      <c r="N64" s="784">
        <f>IFERROR(VALUE(SUBSTITUTE(([1]!voln?MERV_Ö_XMEV_Ö_GD29_Ö_CI), ".", ",")), 0)</f>
        <v>2755</v>
      </c>
      <c r="O64" s="784">
        <f>IFERROR(VALUE(SUBSTITUTE(([1]!vol?MERV_Ö_XMEV_Ö_GD29_Ö_CI), ".", ",")), 0)</f>
        <v>0</v>
      </c>
      <c r="P64" s="785">
        <f>IFERROR(VALUE(SUBSTITUTE(([1]!ltu?MERV_Ö_XMEV_Ö_GD29_Ö_CI), ".", ",")), 0)</f>
        <v>0.63369212962962962</v>
      </c>
      <c r="Q64" s="786">
        <f t="shared" si="2"/>
        <v>70.944471869328495</v>
      </c>
      <c r="S64" s="778" t="s">
        <v>659</v>
      </c>
      <c r="T64" s="779">
        <f>IFERROR(VALUE(SUBSTITUTE(([1]!bsi?MERV_Ö_XMEV_Ö_GD29D_Ö_CI), ".", ",")), 0)</f>
        <v>0</v>
      </c>
      <c r="U64" s="780">
        <f>IFERROR(VALUE(SUBSTITUTE(([1]!bpr?MERV_Ö_XMEV_Ö_GD29D_Ö_CI), ".", ",")), 0)</f>
        <v>0</v>
      </c>
      <c r="V64" s="780">
        <f>IFERROR(VALUE(SUBSTITUTE(([1]!opr?MERV_Ö_XMEV_Ö_GD29D_Ö_CI), ".", ",")), 0)</f>
        <v>0</v>
      </c>
      <c r="W64" s="779">
        <f>IFERROR(VALUE(SUBSTITUTE(([1]!osi?MERV_Ö_XMEV_Ö_GD29D_Ö_CI), ".", ",")), 0)</f>
        <v>0</v>
      </c>
      <c r="X64" s="781">
        <f>IFERROR(VALUE(SUBSTITUTE(([1]!lst?MERV_Ö_XMEV_Ö_GD29D_Ö_CI), ".", ",")), 0)</f>
        <v>35.5</v>
      </c>
      <c r="Y64" s="782">
        <f>IFERROR(VALUE(SUBSTITUTE(([1]!chgp?MERV_Ö_XMEV_Ö_GD29D_Ö_CI), ".", ",") / 100), 0)</f>
        <v>1.0200000000000001E-2</v>
      </c>
      <c r="Z64" s="783"/>
      <c r="AA64" s="783"/>
      <c r="AB64" s="783"/>
      <c r="AC64" s="783"/>
      <c r="AD64" s="784">
        <f>IFERROR(VALUE(SUBSTITUTE(([1]!vole?MERV_Ö_XMEV_Ö_GD29D_Ö_CI), ".", ",")), 0)</f>
        <v>1861.27</v>
      </c>
      <c r="AE64" s="784">
        <f>IFERROR(VALUE(SUBSTITUTE(([1]!voln?MERV_Ö_XMEV_Ö_GD29D_Ö_CI), ".", ",")), 0)</f>
        <v>5243</v>
      </c>
      <c r="AF64" s="784">
        <f>IFERROR(VALUE(SUBSTITUTE(([1]!vol?MERV_Ö_XMEV_Ö_GD29D_Ö_CI), ".", ",")), 0)</f>
        <v>0</v>
      </c>
      <c r="AG64" s="785">
        <f>IFERROR(VALUE(SUBSTITUTE(([1]!ltu?MERV_Ö_XMEV_Ö_GD29D_Ö_CI), ".", ",")), 0)</f>
        <v>0.64407407407407413</v>
      </c>
      <c r="AH64" s="786">
        <f t="shared" si="3"/>
        <v>70.944471869328495</v>
      </c>
      <c r="BP64" s="766"/>
      <c r="BQ64" s="766"/>
      <c r="BS64" s="728"/>
    </row>
    <row r="65" spans="1:71" ht="12.75" customHeight="1">
      <c r="A65" s="739"/>
      <c r="B65" s="776" t="s">
        <v>639</v>
      </c>
      <c r="C65" s="740">
        <f>IFERROR(VALUE(SUBSTITUTE(([1]!bsi?MERV_Ö_XMEV_Ö_GD35_Ö_48hs), ".", ",")), 0)</f>
        <v>3817</v>
      </c>
      <c r="D65" s="741">
        <f>IFERROR(VALUE(SUBSTITUTE(([1]!bpr?MERV_Ö_XMEV_Ö_GD35_Ö_48hs), ".", ",")), 0)</f>
        <v>6340</v>
      </c>
      <c r="E65" s="741">
        <f>IFERROR(VALUE(SUBSTITUTE(([1]!opr?MERV_Ö_XMEV_Ö_GD35_Ö_48hs), ".", ",")), 0)</f>
        <v>6350</v>
      </c>
      <c r="F65" s="740">
        <f>IFERROR(VALUE(SUBSTITUTE(([1]!osi?MERV_Ö_XMEV_Ö_GD35_Ö_48hs), ".", ",")), 0)</f>
        <v>100000</v>
      </c>
      <c r="G65" s="742">
        <f>IFERROR(VALUE(SUBSTITUTE(([1]!lst?MERV_Ö_XMEV_Ö_GD35_Ö_48hs), ".", ",")), 0)</f>
        <v>6330</v>
      </c>
      <c r="H65" s="743">
        <f>IFERROR(VALUE(SUBSTITUTE(([1]!chgp?MERV_Ö_XMEV_Ö_GD35_Ö_48hs), ".", ",") / 100), 0)</f>
        <v>-3.3599999999999998E-2</v>
      </c>
      <c r="I65" s="744"/>
      <c r="J65" s="744"/>
      <c r="K65" s="744"/>
      <c r="L65" s="744"/>
      <c r="M65" s="745">
        <f>IFERROR(VALUE(SUBSTITUTE(([1]!vole?MERV_Ö_XMEV_Ö_GD35_Ö_48hs), ".", ",")), 0)</f>
        <v>440630964.24000001</v>
      </c>
      <c r="N65" s="745">
        <f>IFERROR(VALUE(SUBSTITUTE(([1]!voln?MERV_Ö_XMEV_Ö_GD35_Ö_48hs), ".", ",")), 0)</f>
        <v>6879144</v>
      </c>
      <c r="O65" s="745">
        <f>IFERROR(VALUE(SUBSTITUTE(([1]!vol?MERV_Ö_XMEV_Ö_GD35_Ö_48hs), ".", ",")), 0)</f>
        <v>0</v>
      </c>
      <c r="P65" s="746">
        <f>IFERROR(VALUE(SUBSTITUTE(([1]!ltu?MERV_Ö_XMEV_Ö_GD35_Ö_48hs), ".", ",")), 0)</f>
        <v>0.70068287037037036</v>
      </c>
      <c r="Q65" s="747">
        <f t="shared" si="2"/>
        <v>64.053167696445954</v>
      </c>
      <c r="S65" s="776" t="s">
        <v>660</v>
      </c>
      <c r="T65" s="740">
        <f>IFERROR(VALUE(SUBSTITUTE(([1]!bsi?MERV_Ö_XMEV_Ö_GD35D_Ö_48hs), ".", ",")), 0)</f>
        <v>4</v>
      </c>
      <c r="U65" s="741">
        <f>IFERROR(VALUE(SUBSTITUTE(([1]!bpr?MERV_Ö_XMEV_Ö_GD35D_Ö_48hs), ".", ",")), 0)</f>
        <v>32.19</v>
      </c>
      <c r="V65" s="741">
        <f>IFERROR(VALUE(SUBSTITUTE(([1]!opr?MERV_Ö_XMEV_Ö_GD35D_Ö_48hs), ".", ",")), 0)</f>
        <v>32.700000000000003</v>
      </c>
      <c r="W65" s="740">
        <f>IFERROR(VALUE(SUBSTITUTE(([1]!osi?MERV_Ö_XMEV_Ö_GD35D_Ö_48hs), ".", ",")), 0)</f>
        <v>27454</v>
      </c>
      <c r="X65" s="742">
        <f>IFERROR(VALUE(SUBSTITUTE(([1]!lst?MERV_Ö_XMEV_Ö_GD35D_Ö_48hs), ".", ",")), 0)</f>
        <v>32.5</v>
      </c>
      <c r="Y65" s="743">
        <f>IFERROR(VALUE(SUBSTITUTE(([1]!chgp?MERV_Ö_XMEV_Ö_GD35D_Ö_48hs), ".", ",") / 100), 0)</f>
        <v>-4.5999999999999999E-3</v>
      </c>
      <c r="Z65" s="744"/>
      <c r="AA65" s="744"/>
      <c r="AB65" s="744"/>
      <c r="AC65" s="744"/>
      <c r="AD65" s="745">
        <f>IFERROR(VALUE(SUBSTITUTE(([1]!vole?MERV_Ö_XMEV_Ö_GD35D_Ö_48hs), ".", ",")), 0)</f>
        <v>1383859.53</v>
      </c>
      <c r="AE65" s="745">
        <f>IFERROR(VALUE(SUBSTITUTE(([1]!voln?MERV_Ö_XMEV_Ö_GD35D_Ö_48hs), ".", ",")), 0)</f>
        <v>4290765</v>
      </c>
      <c r="AF65" s="745">
        <f>IFERROR(VALUE(SUBSTITUTE(([1]!vol?MERV_Ö_XMEV_Ö_GD35D_Ö_48hs), ".", ",")), 0)</f>
        <v>0</v>
      </c>
      <c r="AG65" s="746">
        <f>IFERROR(VALUE(SUBSTITUTE(([1]!ltu?MERV_Ö_XMEV_Ö_GD35D_Ö_48hs), ".", ",")), 0)</f>
        <v>0.70851851851851855</v>
      </c>
      <c r="AH65" s="747">
        <f t="shared" si="3"/>
        <v>64.053167696445954</v>
      </c>
      <c r="BP65" s="766"/>
      <c r="BQ65" s="766"/>
      <c r="BS65" s="728"/>
    </row>
    <row r="66" spans="1:71" ht="12.75" customHeight="1">
      <c r="A66" s="739"/>
      <c r="B66" s="748" t="s">
        <v>640</v>
      </c>
      <c r="C66" s="749">
        <f>IFERROR(VALUE(SUBSTITUTE(([1]!bsi?MERV_Ö_XMEV_Ö_GD35_Ö_24hs), ".", ",")), 0)</f>
        <v>0</v>
      </c>
      <c r="D66" s="750">
        <f>IFERROR(VALUE(SUBSTITUTE(([1]!bpr?MERV_Ö_XMEV_Ö_GD35_Ö_24hs), ".", ",")), 0)</f>
        <v>0</v>
      </c>
      <c r="E66" s="750">
        <f>IFERROR(VALUE(SUBSTITUTE(([1]!opr?MERV_Ö_XMEV_Ö_GD35_Ö_24hs), ".", ",")), 0)</f>
        <v>6500</v>
      </c>
      <c r="F66" s="749">
        <f>IFERROR(VALUE(SUBSTITUTE(([1]!osi?MERV_Ö_XMEV_Ö_GD35_Ö_24hs), ".", ",")), 0)</f>
        <v>5000</v>
      </c>
      <c r="G66" s="751">
        <f>IFERROR(VALUE(SUBSTITUTE(([1]!lst?MERV_Ö_XMEV_Ö_GD35_Ö_24hs), ".", ",")), 0)</f>
        <v>0</v>
      </c>
      <c r="H66" s="752">
        <f>IFERROR(VALUE(SUBSTITUTE(([1]!chgp?MERV_Ö_XMEV_Ö_GD35_Ö_24hs), ".", ",") / 100), 0)</f>
        <v>0</v>
      </c>
      <c r="I66" s="753"/>
      <c r="J66" s="753"/>
      <c r="K66" s="753"/>
      <c r="L66" s="753"/>
      <c r="M66" s="754">
        <f>IFERROR(VALUE(SUBSTITUTE(([1]!vole?MERV_Ö_XMEV_Ö_GD35_Ö_24hs), ".", ",")), 0)</f>
        <v>0</v>
      </c>
      <c r="N66" s="754">
        <f>IFERROR(VALUE(SUBSTITUTE(([1]!voln?MERV_Ö_XMEV_Ö_GD35_Ö_24hs), ".", ",")), 0)</f>
        <v>0</v>
      </c>
      <c r="O66" s="754">
        <f>IFERROR(VALUE(SUBSTITUTE(([1]!vol?MERV_Ö_XMEV_Ö_GD35_Ö_24hs), ".", ",")), 0)</f>
        <v>0</v>
      </c>
      <c r="P66" s="755">
        <f>IFERROR(VALUE(SUBSTITUTE(([1]!ltu?MERV_Ö_XMEV_Ö_GD35_Ö_24hs), ".", ",")), 0)</f>
        <v>0</v>
      </c>
      <c r="Q66" s="756">
        <f t="shared" si="2"/>
        <v>0</v>
      </c>
      <c r="S66" s="748" t="s">
        <v>661</v>
      </c>
      <c r="T66" s="749">
        <f>IFERROR(VALUE(SUBSTITUTE(([1]!bsi?MERV_Ö_XMEV_Ö_GD35D_Ö_24hs), ".", ",")), 0)</f>
        <v>0</v>
      </c>
      <c r="U66" s="750">
        <f>IFERROR(VALUE(SUBSTITUTE(([1]!bpr?MERV_Ö_XMEV_Ö_GD35D_Ö_24hs), ".", ",")), 0)</f>
        <v>0</v>
      </c>
      <c r="V66" s="750">
        <f>IFERROR(VALUE(SUBSTITUTE(([1]!opr?MERV_Ö_XMEV_Ö_GD35D_Ö_24hs), ".", ",")), 0)</f>
        <v>0</v>
      </c>
      <c r="W66" s="749">
        <f>IFERROR(VALUE(SUBSTITUTE(([1]!osi?MERV_Ö_XMEV_Ö_GD35D_Ö_24hs), ".", ",")), 0)</f>
        <v>0</v>
      </c>
      <c r="X66" s="751">
        <f>IFERROR(VALUE(SUBSTITUTE(([1]!lst?MERV_Ö_XMEV_Ö_GD35D_Ö_24hs), ".", ",")), 0)</f>
        <v>0</v>
      </c>
      <c r="Y66" s="752">
        <f>IFERROR(VALUE(SUBSTITUTE(([1]!chgp?MERV_Ö_XMEV_Ö_GD35D_Ö_24hs), ".", ",") / 100), 0)</f>
        <v>0</v>
      </c>
      <c r="Z66" s="753"/>
      <c r="AA66" s="753"/>
      <c r="AB66" s="753"/>
      <c r="AC66" s="753"/>
      <c r="AD66" s="754">
        <f>IFERROR(VALUE(SUBSTITUTE(([1]!vole?MERV_Ö_XMEV_Ö_GD35D_Ö_24hs), ".", ",")), 0)</f>
        <v>0</v>
      </c>
      <c r="AE66" s="754">
        <f>IFERROR(VALUE(SUBSTITUTE(([1]!voln?MERV_Ö_XMEV_Ö_GD35D_Ö_24hs), ".", ",")), 0)</f>
        <v>0</v>
      </c>
      <c r="AF66" s="754">
        <f>IFERROR(VALUE(SUBSTITUTE(([1]!vol?MERV_Ö_XMEV_Ö_GD35D_Ö_24hs), ".", ",")), 0)</f>
        <v>0</v>
      </c>
      <c r="AG66" s="755">
        <f>IFERROR(VALUE(SUBSTITUTE(([1]!ltu?MERV_Ö_XMEV_Ö_GD35D_Ö_24hs), ".", ",")), 0)</f>
        <v>0</v>
      </c>
      <c r="AH66" s="756">
        <f t="shared" si="3"/>
        <v>0</v>
      </c>
      <c r="BP66" s="766"/>
      <c r="BQ66" s="766"/>
      <c r="BS66" s="728"/>
    </row>
    <row r="67" spans="1:71" ht="12.75" customHeight="1">
      <c r="A67" s="739"/>
      <c r="B67" s="778" t="s">
        <v>641</v>
      </c>
      <c r="C67" s="779">
        <f>IFERROR(VALUE(SUBSTITUTE(([1]!bsi?MERV_Ö_XMEV_Ö_GD35_Ö_CI), ".", ",")), 0)</f>
        <v>39400</v>
      </c>
      <c r="D67" s="780">
        <f>IFERROR(VALUE(SUBSTITUTE(([1]!bpr?MERV_Ö_XMEV_Ö_GD35_Ö_CI), ".", ",")), 0)</f>
        <v>6340</v>
      </c>
      <c r="E67" s="780">
        <f>IFERROR(VALUE(SUBSTITUTE(([1]!opr?MERV_Ö_XMEV_Ö_GD35_Ö_CI), ".", ",")), 0)</f>
        <v>6419.5</v>
      </c>
      <c r="F67" s="779">
        <f>IFERROR(VALUE(SUBSTITUTE(([1]!osi?MERV_Ö_XMEV_Ö_GD35_Ö_CI), ".", ",")), 0)</f>
        <v>3000</v>
      </c>
      <c r="G67" s="781">
        <f>IFERROR(VALUE(SUBSTITUTE(([1]!lst?MERV_Ö_XMEV_Ö_GD35_Ö_CI), ".", ",")), 0)</f>
        <v>6420</v>
      </c>
      <c r="H67" s="782">
        <f>IFERROR(VALUE(SUBSTITUTE(([1]!chgp?MERV_Ö_XMEV_Ö_GD35_Ö_CI), ".", ",") / 100), 0)</f>
        <v>-1.66E-2</v>
      </c>
      <c r="I67" s="783"/>
      <c r="J67" s="783"/>
      <c r="K67" s="783"/>
      <c r="L67" s="783"/>
      <c r="M67" s="784">
        <f>IFERROR(VALUE(SUBSTITUTE(([1]!vole?MERV_Ö_XMEV_Ö_GD35_Ö_CI), ".", ",")), 0)</f>
        <v>3246691.36</v>
      </c>
      <c r="N67" s="784">
        <f>IFERROR(VALUE(SUBSTITUTE(([1]!voln?MERV_Ö_XMEV_Ö_GD35_Ö_CI), ".", ",")), 0)</f>
        <v>50768</v>
      </c>
      <c r="O67" s="784">
        <f>IFERROR(VALUE(SUBSTITUTE(([1]!vol?MERV_Ö_XMEV_Ö_GD35_Ö_CI), ".", ",")), 0)</f>
        <v>0</v>
      </c>
      <c r="P67" s="785">
        <f>IFERROR(VALUE(SUBSTITUTE(([1]!ltu?MERV_Ö_XMEV_Ö_GD35_Ö_CI), ".", ",")), 0)</f>
        <v>0.63452546296296297</v>
      </c>
      <c r="Q67" s="786">
        <f t="shared" si="2"/>
        <v>63.951531673495111</v>
      </c>
      <c r="S67" s="778" t="s">
        <v>662</v>
      </c>
      <c r="T67" s="779">
        <f>IFERROR(VALUE(SUBSTITUTE(([1]!bsi?MERV_Ö_XMEV_Ö_GD35D_Ö_CI), ".", ",")), 0)</f>
        <v>20</v>
      </c>
      <c r="U67" s="780">
        <f>IFERROR(VALUE(SUBSTITUTE(([1]!bpr?MERV_Ö_XMEV_Ö_GD35D_Ö_CI), ".", ",")), 0)</f>
        <v>31.64</v>
      </c>
      <c r="V67" s="780">
        <f>IFERROR(VALUE(SUBSTITUTE(([1]!opr?MERV_Ö_XMEV_Ö_GD35D_Ö_CI), ".", ",")), 0)</f>
        <v>32.75</v>
      </c>
      <c r="W67" s="779">
        <f>IFERROR(VALUE(SUBSTITUTE(([1]!osi?MERV_Ö_XMEV_Ö_GD35D_Ö_CI), ".", ",")), 0)</f>
        <v>2553</v>
      </c>
      <c r="X67" s="781">
        <f>IFERROR(VALUE(SUBSTITUTE(([1]!lst?MERV_Ö_XMEV_Ö_GD35D_Ö_CI), ".", ",")), 0)</f>
        <v>32.299999999999997</v>
      </c>
      <c r="Y67" s="782">
        <f>IFERROR(VALUE(SUBSTITUTE(([1]!chgp?MERV_Ö_XMEV_Ö_GD35D_Ö_CI), ".", ",") / 100), 0)</f>
        <v>-1.5E-3</v>
      </c>
      <c r="Z67" s="783"/>
      <c r="AA67" s="783"/>
      <c r="AB67" s="783"/>
      <c r="AC67" s="783"/>
      <c r="AD67" s="784">
        <f>IFERROR(VALUE(SUBSTITUTE(([1]!vole?MERV_Ö_XMEV_Ö_GD35D_Ö_CI), ".", ",")), 0)</f>
        <v>103500.67</v>
      </c>
      <c r="AE67" s="784">
        <f>IFERROR(VALUE(SUBSTITUTE(([1]!voln?MERV_Ö_XMEV_Ö_GD35D_Ö_CI), ".", ",")), 0)</f>
        <v>320546</v>
      </c>
      <c r="AF67" s="784">
        <f>IFERROR(VALUE(SUBSTITUTE(([1]!vol?MERV_Ö_XMEV_Ö_GD35D_Ö_CI), ".", ",")), 0)</f>
        <v>0</v>
      </c>
      <c r="AG67" s="785">
        <f>IFERROR(VALUE(SUBSTITUTE(([1]!ltu?MERV_Ö_XMEV_Ö_GD35D_Ö_CI), ".", ",")), 0)</f>
        <v>0.666875</v>
      </c>
      <c r="AH67" s="786">
        <f t="shared" si="3"/>
        <v>63.951531673495111</v>
      </c>
      <c r="BP67" s="766"/>
      <c r="BQ67" s="766"/>
      <c r="BS67" s="728"/>
    </row>
    <row r="68" spans="1:71" ht="12.75" customHeight="1">
      <c r="A68" s="739"/>
      <c r="B68" s="776" t="s">
        <v>630</v>
      </c>
      <c r="C68" s="740">
        <f>IFERROR(VALUE(SUBSTITUTE(([1]!bsi?MERV_Ö_XMEV_Ö_AL29_Ö_48hs), ".", ",")), 0)</f>
        <v>2</v>
      </c>
      <c r="D68" s="741">
        <f>IFERROR(VALUE(SUBSTITUTE(([1]!bpr?MERV_Ö_XMEV_Ö_AL29_Ö_48hs), ".", ",")), 0)</f>
        <v>6384</v>
      </c>
      <c r="E68" s="741">
        <f>IFERROR(VALUE(SUBSTITUTE(([1]!opr?MERV_Ö_XMEV_Ö_AL29_Ö_48hs), ".", ",")), 0)</f>
        <v>6424</v>
      </c>
      <c r="F68" s="740">
        <f>IFERROR(VALUE(SUBSTITUTE(([1]!osi?MERV_Ö_XMEV_Ö_AL29_Ö_48hs), ".", ",")), 0)</f>
        <v>300</v>
      </c>
      <c r="G68" s="742">
        <f>IFERROR(VALUE(SUBSTITUTE(([1]!lst?MERV_Ö_XMEV_Ö_AL29_Ö_48hs), ".", ",")), 0)</f>
        <v>6380</v>
      </c>
      <c r="H68" s="743">
        <f>IFERROR(VALUE(SUBSTITUTE(([1]!chgp?MERV_Ö_XMEV_Ö_AL29_Ö_48hs), ".", ",") / 100), 0)</f>
        <v>-2.3700000000000002E-2</v>
      </c>
      <c r="I68" s="744"/>
      <c r="J68" s="744"/>
      <c r="K68" s="744"/>
      <c r="L68" s="744"/>
      <c r="M68" s="745">
        <f>IFERROR(VALUE(SUBSTITUTE(([1]!vole?MERV_Ö_XMEV_Ö_AL29_Ö_48hs), ".", ",")), 0)</f>
        <v>31055856.199999999</v>
      </c>
      <c r="N68" s="745">
        <f>IFERROR(VALUE(SUBSTITUTE(([1]!voln?MERV_Ö_XMEV_Ö_AL29_Ö_48hs), ".", ",")), 0)</f>
        <v>483747</v>
      </c>
      <c r="O68" s="745">
        <f>IFERROR(VALUE(SUBSTITUTE(([1]!vol?MERV_Ö_XMEV_Ö_AL29_Ö_48hs), ".", ",")), 0)</f>
        <v>0</v>
      </c>
      <c r="P68" s="746">
        <f>IFERROR(VALUE(SUBSTITUTE(([1]!ltu?MERV_Ö_XMEV_Ö_AL29_Ö_48hs), ".", ",")), 0)</f>
        <v>0.70403935185185185</v>
      </c>
      <c r="Q68" s="747">
        <f t="shared" si="2"/>
        <v>64.198550481966805</v>
      </c>
      <c r="S68" s="776" t="s">
        <v>663</v>
      </c>
      <c r="T68" s="740">
        <f>IFERROR(VALUE(SUBSTITUTE(([1]!bsi?MERV_Ö_XMEV_Ö_AL29D_Ö_48hs), ".", ",")), 0)</f>
        <v>10352</v>
      </c>
      <c r="U68" s="741">
        <f>IFERROR(VALUE(SUBSTITUTE(([1]!bpr?MERV_Ö_XMEV_Ö_AL29D_Ö_48hs), ".", ",")), 0)</f>
        <v>32.25</v>
      </c>
      <c r="V68" s="741">
        <f>IFERROR(VALUE(SUBSTITUTE(([1]!opr?MERV_Ö_XMEV_Ö_AL29D_Ö_48hs), ".", ",")), 0)</f>
        <v>32.5</v>
      </c>
      <c r="W68" s="740">
        <f>IFERROR(VALUE(SUBSTITUTE(([1]!osi?MERV_Ö_XMEV_Ö_AL29D_Ö_48hs), ".", ",")), 0)</f>
        <v>2000</v>
      </c>
      <c r="X68" s="742">
        <f>IFERROR(VALUE(SUBSTITUTE(([1]!lst?MERV_Ö_XMEV_Ö_AL29D_Ö_48hs), ".", ",")), 0)</f>
        <v>32.25</v>
      </c>
      <c r="Y68" s="743">
        <f>IFERROR(VALUE(SUBSTITUTE(([1]!chgp?MERV_Ö_XMEV_Ö_AL29D_Ö_48hs), ".", ",") / 100), 0)</f>
        <v>-1.5E-3</v>
      </c>
      <c r="Z68" s="744"/>
      <c r="AA68" s="744"/>
      <c r="AB68" s="744"/>
      <c r="AC68" s="744"/>
      <c r="AD68" s="745">
        <f>IFERROR(VALUE(SUBSTITUTE(([1]!vole?MERV_Ö_XMEV_Ö_AL29D_Ö_48hs), ".", ",")), 0)</f>
        <v>13988.08</v>
      </c>
      <c r="AE68" s="745">
        <f>IFERROR(VALUE(SUBSTITUTE(([1]!voln?MERV_Ö_XMEV_Ö_AL29D_Ö_48hs), ".", ",")), 0)</f>
        <v>43438</v>
      </c>
      <c r="AF68" s="745">
        <f>IFERROR(VALUE(SUBSTITUTE(([1]!vol?MERV_Ö_XMEV_Ö_AL29D_Ö_48hs), ".", ",")), 0)</f>
        <v>0</v>
      </c>
      <c r="AG68" s="746">
        <f>IFERROR(VALUE(SUBSTITUTE(([1]!ltu?MERV_Ö_XMEV_Ö_AL29D_Ö_48hs), ".", ",")), 0)</f>
        <v>0.70341435185185175</v>
      </c>
      <c r="AH68" s="747">
        <f t="shared" si="3"/>
        <v>64.198550481966805</v>
      </c>
      <c r="BP68" s="766"/>
      <c r="BQ68" s="766"/>
      <c r="BS68" s="728"/>
    </row>
    <row r="69" spans="1:71" ht="12.75" customHeight="1">
      <c r="A69" s="739"/>
      <c r="B69" s="748" t="s">
        <v>645</v>
      </c>
      <c r="C69" s="749">
        <f>IFERROR(VALUE(SUBSTITUTE(([1]!bsi?MERV_Ö_XMEV_Ö_AL29_Ö_24hs), ".", ",")), 0)</f>
        <v>0</v>
      </c>
      <c r="D69" s="750">
        <f>IFERROR(VALUE(SUBSTITUTE(([1]!bpr?MERV_Ö_XMEV_Ö_AL29_Ö_24hs), ".", ",")), 0)</f>
        <v>0</v>
      </c>
      <c r="E69" s="750">
        <f>IFERROR(VALUE(SUBSTITUTE(([1]!opr?MERV_Ö_XMEV_Ö_AL29_Ö_24hs), ".", ",")), 0)</f>
        <v>6405</v>
      </c>
      <c r="F69" s="749">
        <f>IFERROR(VALUE(SUBSTITUTE(([1]!osi?MERV_Ö_XMEV_Ö_AL29_Ö_24hs), ".", ",")), 0)</f>
        <v>472</v>
      </c>
      <c r="G69" s="751">
        <f>IFERROR(VALUE(SUBSTITUTE(([1]!lst?MERV_Ö_XMEV_Ö_AL29_Ö_24hs), ".", ",")), 0)</f>
        <v>0</v>
      </c>
      <c r="H69" s="752">
        <f>IFERROR(VALUE(SUBSTITUTE(([1]!chgp?MERV_Ö_XMEV_Ö_AL29_Ö_24hs), ".", ",") / 100), 0)</f>
        <v>0</v>
      </c>
      <c r="I69" s="753"/>
      <c r="J69" s="753"/>
      <c r="K69" s="753"/>
      <c r="L69" s="753"/>
      <c r="M69" s="754">
        <f>IFERROR(VALUE(SUBSTITUTE(([1]!vole?MERV_Ö_XMEV_Ö_AL29_Ö_24hs), ".", ",")), 0)</f>
        <v>0</v>
      </c>
      <c r="N69" s="754">
        <f>IFERROR(VALUE(SUBSTITUTE(([1]!voln?MERV_Ö_XMEV_Ö_AL29_Ö_24hs), ".", ",")), 0)</f>
        <v>0</v>
      </c>
      <c r="O69" s="754">
        <f>IFERROR(VALUE(SUBSTITUTE(([1]!vol?MERV_Ö_XMEV_Ö_AL29_Ö_24hs), ".", ",")), 0)</f>
        <v>0</v>
      </c>
      <c r="P69" s="755">
        <f>IFERROR(VALUE(SUBSTITUTE(([1]!ltu?MERV_Ö_XMEV_Ö_AL29_Ö_24hs), ".", ",")), 0)</f>
        <v>0</v>
      </c>
      <c r="Q69" s="756">
        <f t="shared" si="2"/>
        <v>0</v>
      </c>
      <c r="S69" s="748" t="s">
        <v>664</v>
      </c>
      <c r="T69" s="749">
        <f>IFERROR(VALUE(SUBSTITUTE(([1]!bsi?MERV_Ö_XMEV_Ö_AL29D_Ö_24hs), ".", ",")), 0)</f>
        <v>0</v>
      </c>
      <c r="U69" s="750">
        <f>IFERROR(VALUE(SUBSTITUTE(([1]!bpr?MERV_Ö_XMEV_Ö_AL29D_Ö_24hs), ".", ",")), 0)</f>
        <v>0</v>
      </c>
      <c r="V69" s="750">
        <f>IFERROR(VALUE(SUBSTITUTE(([1]!opr?MERV_Ö_XMEV_Ö_AL29D_Ö_24hs), ".", ",")), 0)</f>
        <v>0</v>
      </c>
      <c r="W69" s="749">
        <f>IFERROR(VALUE(SUBSTITUTE(([1]!osi?MERV_Ö_XMEV_Ö_AL29D_Ö_24hs), ".", ",")), 0)</f>
        <v>0</v>
      </c>
      <c r="X69" s="751">
        <f>IFERROR(VALUE(SUBSTITUTE(([1]!lst?MERV_Ö_XMEV_Ö_AL29D_Ö_24hs), ".", ",")), 0)</f>
        <v>0</v>
      </c>
      <c r="Y69" s="752">
        <f>IFERROR(VALUE(SUBSTITUTE(([1]!chgp?MERV_Ö_XMEV_Ö_AL29D_Ö_24hs), ".", ",") / 100), 0)</f>
        <v>0</v>
      </c>
      <c r="Z69" s="753"/>
      <c r="AA69" s="753"/>
      <c r="AB69" s="753"/>
      <c r="AC69" s="753"/>
      <c r="AD69" s="754">
        <f>IFERROR(VALUE(SUBSTITUTE(([1]!vole?MERV_Ö_XMEV_Ö_AL29D_Ö_24hs), ".", ",")), 0)</f>
        <v>0</v>
      </c>
      <c r="AE69" s="754">
        <f>IFERROR(VALUE(SUBSTITUTE(([1]!voln?MERV_Ö_XMEV_Ö_AL29D_Ö_24hs), ".", ",")), 0)</f>
        <v>0</v>
      </c>
      <c r="AF69" s="754">
        <f>IFERROR(VALUE(SUBSTITUTE(([1]!vol?MERV_Ö_XMEV_Ö_AL29D_Ö_24hs), ".", ",")), 0)</f>
        <v>0</v>
      </c>
      <c r="AG69" s="755">
        <f>IFERROR(VALUE(SUBSTITUTE(([1]!ltu?MERV_Ö_XMEV_Ö_AL29D_Ö_24hs), ".", ",")), 0)</f>
        <v>0</v>
      </c>
      <c r="AH69" s="756">
        <f t="shared" si="3"/>
        <v>0</v>
      </c>
      <c r="BP69" s="766"/>
      <c r="BQ69" s="766"/>
      <c r="BS69" s="728"/>
    </row>
    <row r="70" spans="1:71" ht="12.75" customHeight="1">
      <c r="A70" s="739"/>
      <c r="B70" s="778" t="s">
        <v>631</v>
      </c>
      <c r="C70" s="779">
        <f>IFERROR(VALUE(SUBSTITUTE(([1]!bsi?MERV_Ö_XMEV_Ö_AL29_Ö_CI), ".", ",")), 0)</f>
        <v>765</v>
      </c>
      <c r="D70" s="780">
        <f>IFERROR(VALUE(SUBSTITUTE(([1]!bpr?MERV_Ö_XMEV_Ö_AL29_Ö_CI), ".", ",")), 0)</f>
        <v>6391</v>
      </c>
      <c r="E70" s="780">
        <f>IFERROR(VALUE(SUBSTITUTE(([1]!opr?MERV_Ö_XMEV_Ö_AL29_Ö_CI), ".", ",")), 0)</f>
        <v>6414</v>
      </c>
      <c r="F70" s="779">
        <f>IFERROR(VALUE(SUBSTITUTE(([1]!osi?MERV_Ö_XMEV_Ö_AL29_Ö_CI), ".", ",")), 0)</f>
        <v>100</v>
      </c>
      <c r="G70" s="781">
        <f>IFERROR(VALUE(SUBSTITUTE(([1]!lst?MERV_Ö_XMEV_Ö_AL29_Ö_CI), ".", ",")), 0)</f>
        <v>6414.5</v>
      </c>
      <c r="H70" s="782">
        <f>IFERROR(VALUE(SUBSTITUTE(([1]!chgp?MERV_Ö_XMEV_Ö_AL29_Ö_CI), ".", ",") / 100), 0)</f>
        <v>2.0000000000000001E-4</v>
      </c>
      <c r="I70" s="783"/>
      <c r="J70" s="783"/>
      <c r="K70" s="783"/>
      <c r="L70" s="783"/>
      <c r="M70" s="784">
        <f>IFERROR(VALUE(SUBSTITUTE(([1]!vole?MERV_Ö_XMEV_Ö_AL29_Ö_CI), ".", ",")), 0)</f>
        <v>5207631.07</v>
      </c>
      <c r="N70" s="784">
        <f>IFERROR(VALUE(SUBSTITUTE(([1]!voln?MERV_Ö_XMEV_Ö_AL29_Ö_CI), ".", ",")), 0)</f>
        <v>81393</v>
      </c>
      <c r="O70" s="784">
        <f>IFERROR(VALUE(SUBSTITUTE(([1]!vol?MERV_Ö_XMEV_Ö_AL29_Ö_CI), ".", ",")), 0)</f>
        <v>0</v>
      </c>
      <c r="P70" s="785">
        <f>IFERROR(VALUE(SUBSTITUTE(([1]!ltu?MERV_Ö_XMEV_Ö_AL29_Ö_CI), ".", ",")), 0)</f>
        <v>0.65781250000000002</v>
      </c>
      <c r="Q70" s="786">
        <f t="shared" si="2"/>
        <v>63.981313749339627</v>
      </c>
      <c r="S70" s="778" t="s">
        <v>632</v>
      </c>
      <c r="T70" s="779">
        <f>IFERROR(VALUE(SUBSTITUTE(([1]!bsi?MERV_Ö_XMEV_Ö_AL29D_Ö_CI), ".", ",")), 0)</f>
        <v>2500</v>
      </c>
      <c r="U70" s="780">
        <f>IFERROR(VALUE(SUBSTITUTE(([1]!bpr?MERV_Ö_XMEV_Ö_AL29D_Ö_CI), ".", ",")), 0)</f>
        <v>32.049999999999997</v>
      </c>
      <c r="V70" s="780">
        <f>IFERROR(VALUE(SUBSTITUTE(([1]!opr?MERV_Ö_XMEV_Ö_AL29D_Ö_CI), ".", ",")), 0)</f>
        <v>32.299999999999997</v>
      </c>
      <c r="W70" s="779">
        <f>IFERROR(VALUE(SUBSTITUTE(([1]!osi?MERV_Ö_XMEV_Ö_AL29D_Ö_CI), ".", ",")), 0)</f>
        <v>2500</v>
      </c>
      <c r="X70" s="781">
        <f>IFERROR(VALUE(SUBSTITUTE(([1]!lst?MERV_Ö_XMEV_Ö_AL29D_Ö_CI), ".", ",")), 0)</f>
        <v>32</v>
      </c>
      <c r="Y70" s="782">
        <f>IFERROR(VALUE(SUBSTITUTE(([1]!chgp?MERV_Ö_XMEV_Ö_AL29D_Ö_CI), ".", ",") / 100), 0)</f>
        <v>-1.23E-2</v>
      </c>
      <c r="Z70" s="783"/>
      <c r="AA70" s="783"/>
      <c r="AB70" s="783"/>
      <c r="AC70" s="783"/>
      <c r="AD70" s="784">
        <f>IFERROR(VALUE(SUBSTITUTE(([1]!vole?MERV_Ö_XMEV_Ö_AL29D_Ö_CI), ".", ",")), 0)</f>
        <v>4580.13</v>
      </c>
      <c r="AE70" s="784">
        <f>IFERROR(VALUE(SUBSTITUTE(([1]!voln?MERV_Ö_XMEV_Ö_AL29D_Ö_CI), ".", ",")), 0)</f>
        <v>14258</v>
      </c>
      <c r="AF70" s="784">
        <f>IFERROR(VALUE(SUBSTITUTE(([1]!vol?MERV_Ö_XMEV_Ö_AL29D_Ö_CI), ".", ",")), 0)</f>
        <v>0</v>
      </c>
      <c r="AG70" s="785">
        <f>IFERROR(VALUE(SUBSTITUTE(([1]!ltu?MERV_Ö_XMEV_Ö_AL29D_Ö_CI), ".", ",")), 0)</f>
        <v>0.63107638888888895</v>
      </c>
      <c r="AH70" s="786">
        <f t="shared" si="3"/>
        <v>63.981313749339627</v>
      </c>
      <c r="BP70" s="766"/>
      <c r="BQ70" s="766"/>
      <c r="BS70" s="728"/>
    </row>
    <row r="71" spans="1:71" ht="12.75" customHeight="1">
      <c r="A71" s="739"/>
      <c r="B71" s="776" t="s">
        <v>649</v>
      </c>
      <c r="C71" s="740">
        <f>IFERROR(VALUE(SUBSTITUTE(([1]!bsi?MERV_Ö_XMEV_Ö_AL41_Ö_48hs), ".", ",")), 0)</f>
        <v>198</v>
      </c>
      <c r="D71" s="741">
        <f>IFERROR(VALUE(SUBSTITUTE(([1]!bpr?MERV_Ö_XMEV_Ö_AL41_Ö_48hs), ".", ",")), 0)</f>
        <v>6950</v>
      </c>
      <c r="E71" s="741">
        <f>IFERROR(VALUE(SUBSTITUTE(([1]!opr?MERV_Ö_XMEV_Ö_AL41_Ö_48hs), ".", ",")), 0)</f>
        <v>6975</v>
      </c>
      <c r="F71" s="740">
        <f>IFERROR(VALUE(SUBSTITUTE(([1]!osi?MERV_Ö_XMEV_Ö_AL41_Ö_48hs), ".", ",")), 0)</f>
        <v>11284</v>
      </c>
      <c r="G71" s="742">
        <f>IFERROR(VALUE(SUBSTITUTE(([1]!lst?MERV_Ö_XMEV_Ö_AL41_Ö_48hs), ".", ",")), 0)</f>
        <v>6950</v>
      </c>
      <c r="H71" s="743">
        <f>IFERROR(VALUE(SUBSTITUTE(([1]!chgp?MERV_Ö_XMEV_Ö_AL41_Ö_48hs), ".", ",") / 100), 0)</f>
        <v>-1.3500000000000002E-2</v>
      </c>
      <c r="I71" s="744"/>
      <c r="J71" s="744"/>
      <c r="K71" s="744"/>
      <c r="L71" s="744"/>
      <c r="M71" s="745">
        <f>IFERROR(VALUE(SUBSTITUTE(([1]!vole?MERV_Ö_XMEV_Ö_AL41_Ö_48hs), ".", ",")), 0)</f>
        <v>4686992.28</v>
      </c>
      <c r="N71" s="745">
        <f>IFERROR(VALUE(SUBSTITUTE(([1]!voln?MERV_Ö_XMEV_Ö_AL41_Ö_48hs), ".", ",")), 0)</f>
        <v>66909</v>
      </c>
      <c r="O71" s="745">
        <f>IFERROR(VALUE(SUBSTITUTE(([1]!vol?MERV_Ö_XMEV_Ö_AL41_Ö_48hs), ".", ",")), 0)</f>
        <v>0</v>
      </c>
      <c r="P71" s="746">
        <f>IFERROR(VALUE(SUBSTITUTE(([1]!ltu?MERV_Ö_XMEV_Ö_AL41_Ö_48hs), ".", ",")), 0)</f>
        <v>0.70840277777777771</v>
      </c>
      <c r="Q71" s="747">
        <f t="shared" si="2"/>
        <v>70.050251535667854</v>
      </c>
      <c r="S71" s="776" t="s">
        <v>665</v>
      </c>
      <c r="T71" s="740">
        <f>IFERROR(VALUE(SUBSTITUTE(([1]!bsi?MERV_Ö_XMEV_Ö_AL41D_Ö_48hs), ".", ",")), 0)</f>
        <v>9729</v>
      </c>
      <c r="U71" s="741">
        <f>IFERROR(VALUE(SUBSTITUTE(([1]!bpr?MERV_Ö_XMEV_Ö_AL41D_Ö_48hs), ".", ",")), 0)</f>
        <v>34.9</v>
      </c>
      <c r="V71" s="741">
        <f>IFERROR(VALUE(SUBSTITUTE(([1]!opr?MERV_Ö_XMEV_Ö_AL41D_Ö_48hs), ".", ",")), 0)</f>
        <v>35.35</v>
      </c>
      <c r="W71" s="740">
        <f>IFERROR(VALUE(SUBSTITUTE(([1]!osi?MERV_Ö_XMEV_Ö_AL41D_Ö_48hs), ".", ",")), 0)</f>
        <v>6012</v>
      </c>
      <c r="X71" s="742">
        <f>IFERROR(VALUE(SUBSTITUTE(([1]!lst?MERV_Ö_XMEV_Ö_AL41D_Ö_48hs), ".", ",")), 0)</f>
        <v>34.909999999999997</v>
      </c>
      <c r="Y71" s="743">
        <f>IFERROR(VALUE(SUBSTITUTE(([1]!chgp?MERV_Ö_XMEV_Ö_AL41D_Ö_48hs), ".", ",") / 100), 0)</f>
        <v>3.2000000000000002E-3</v>
      </c>
      <c r="Z71" s="744"/>
      <c r="AA71" s="744"/>
      <c r="AB71" s="744"/>
      <c r="AC71" s="744"/>
      <c r="AD71" s="745">
        <f>IFERROR(VALUE(SUBSTITUTE(([1]!vole?MERV_Ö_XMEV_Ö_AL41D_Ö_48hs), ".", ",")), 0)</f>
        <v>16520.63</v>
      </c>
      <c r="AE71" s="745">
        <f>IFERROR(VALUE(SUBSTITUTE(([1]!voln?MERV_Ö_XMEV_Ö_AL41D_Ö_48hs), ".", ",")), 0)</f>
        <v>47172</v>
      </c>
      <c r="AF71" s="745">
        <f>IFERROR(VALUE(SUBSTITUTE(([1]!vol?MERV_Ö_XMEV_Ö_AL41D_Ö_48hs), ".", ",")), 0)</f>
        <v>0</v>
      </c>
      <c r="AG71" s="746">
        <f>IFERROR(VALUE(SUBSTITUTE(([1]!ltu?MERV_Ö_XMEV_Ö_AL41D_Ö_48hs), ".", ",")), 0)</f>
        <v>0.68034722222222221</v>
      </c>
      <c r="AH71" s="747">
        <f t="shared" si="3"/>
        <v>70.050251535667854</v>
      </c>
      <c r="BP71" s="766"/>
      <c r="BQ71" s="766"/>
      <c r="BS71" s="728"/>
    </row>
    <row r="72" spans="1:71" ht="12.75" customHeight="1">
      <c r="A72" s="739"/>
      <c r="B72" s="748" t="s">
        <v>650</v>
      </c>
      <c r="C72" s="749">
        <f>IFERROR(VALUE(SUBSTITUTE(([1]!bsi?MERV_Ö_XMEV_Ö_AL41_Ö_24hs), ".", ",")), 0)</f>
        <v>0</v>
      </c>
      <c r="D72" s="750">
        <f>IFERROR(VALUE(SUBSTITUTE(([1]!bpr?MERV_Ö_XMEV_Ö_AL41_Ö_24hs), ".", ",")), 0)</f>
        <v>0</v>
      </c>
      <c r="E72" s="750">
        <f>IFERROR(VALUE(SUBSTITUTE(([1]!opr?MERV_Ö_XMEV_Ö_AL41_Ö_24hs), ".", ",")), 0)</f>
        <v>7095</v>
      </c>
      <c r="F72" s="749">
        <f>IFERROR(VALUE(SUBSTITUTE(([1]!osi?MERV_Ö_XMEV_Ö_AL41_Ö_24hs), ".", ",")), 0)</f>
        <v>15000</v>
      </c>
      <c r="G72" s="751">
        <f>IFERROR(VALUE(SUBSTITUTE(([1]!lst?MERV_Ö_XMEV_Ö_AL41_Ö_24hs), ".", ",")), 0)</f>
        <v>0</v>
      </c>
      <c r="H72" s="752">
        <f>IFERROR(VALUE(SUBSTITUTE(([1]!chgp?MERV_Ö_XMEV_Ö_AL41_Ö_24hs), ".", ",") / 100), 0)</f>
        <v>0</v>
      </c>
      <c r="I72" s="753"/>
      <c r="J72" s="753"/>
      <c r="K72" s="753"/>
      <c r="L72" s="753"/>
      <c r="M72" s="754">
        <f>IFERROR(VALUE(SUBSTITUTE(([1]!vole?MERV_Ö_XMEV_Ö_AL41_Ö_24hs), ".", ",")), 0)</f>
        <v>0</v>
      </c>
      <c r="N72" s="754">
        <f>IFERROR(VALUE(SUBSTITUTE(([1]!voln?MERV_Ö_XMEV_Ö_AL41_Ö_24hs), ".", ",")), 0)</f>
        <v>0</v>
      </c>
      <c r="O72" s="754">
        <f>IFERROR(VALUE(SUBSTITUTE(([1]!vol?MERV_Ö_XMEV_Ö_AL41_Ö_24hs), ".", ",")), 0)</f>
        <v>0</v>
      </c>
      <c r="P72" s="755">
        <f>IFERROR(VALUE(SUBSTITUTE(([1]!ltu?MERV_Ö_XMEV_Ö_AL41_Ö_24hs), ".", ",")), 0)</f>
        <v>0</v>
      </c>
      <c r="Q72" s="756">
        <f t="shared" si="2"/>
        <v>0</v>
      </c>
      <c r="S72" s="748" t="s">
        <v>666</v>
      </c>
      <c r="T72" s="749">
        <f>IFERROR(VALUE(SUBSTITUTE(([1]!bsi?MERV_Ö_XMEV_Ö_AL41D_Ö_24hs), ".", ",")), 0)</f>
        <v>0</v>
      </c>
      <c r="U72" s="750">
        <f>IFERROR(VALUE(SUBSTITUTE(([1]!bpr?MERV_Ö_XMEV_Ö_AL41D_Ö_24hs), ".", ",")), 0)</f>
        <v>0</v>
      </c>
      <c r="V72" s="750">
        <f>IFERROR(VALUE(SUBSTITUTE(([1]!opr?MERV_Ö_XMEV_Ö_AL41D_Ö_24hs), ".", ",")), 0)</f>
        <v>0</v>
      </c>
      <c r="W72" s="749">
        <f>IFERROR(VALUE(SUBSTITUTE(([1]!osi?MERV_Ö_XMEV_Ö_AL41D_Ö_24hs), ".", ",")), 0)</f>
        <v>0</v>
      </c>
      <c r="X72" s="751">
        <f>IFERROR(VALUE(SUBSTITUTE(([1]!lst?MERV_Ö_XMEV_Ö_AL41D_Ö_24hs), ".", ",")), 0)</f>
        <v>0</v>
      </c>
      <c r="Y72" s="752">
        <f>IFERROR(VALUE(SUBSTITUTE(([1]!chgp?MERV_Ö_XMEV_Ö_AL41D_Ö_24hs), ".", ",") / 100), 0)</f>
        <v>0</v>
      </c>
      <c r="Z72" s="753"/>
      <c r="AA72" s="753"/>
      <c r="AB72" s="753"/>
      <c r="AC72" s="753"/>
      <c r="AD72" s="754">
        <f>IFERROR(VALUE(SUBSTITUTE(([1]!vole?MERV_Ö_XMEV_Ö_AL41D_Ö_24hs), ".", ",")), 0)</f>
        <v>0</v>
      </c>
      <c r="AE72" s="754">
        <f>IFERROR(VALUE(SUBSTITUTE(([1]!voln?MERV_Ö_XMEV_Ö_AL41D_Ö_24hs), ".", ",")), 0)</f>
        <v>0</v>
      </c>
      <c r="AF72" s="754">
        <f>IFERROR(VALUE(SUBSTITUTE(([1]!vol?MERV_Ö_XMEV_Ö_AL41D_Ö_24hs), ".", ",")), 0)</f>
        <v>0</v>
      </c>
      <c r="AG72" s="755">
        <f>IFERROR(VALUE(SUBSTITUTE(([1]!ltu?MERV_Ö_XMEV_Ö_AL41D_Ö_24hs), ".", ",")), 0)</f>
        <v>0</v>
      </c>
      <c r="AH72" s="756">
        <f t="shared" si="3"/>
        <v>0</v>
      </c>
      <c r="BP72" s="766"/>
      <c r="BQ72" s="766"/>
      <c r="BS72" s="728"/>
    </row>
    <row r="73" spans="1:71" ht="12.75" customHeight="1">
      <c r="A73" s="739"/>
      <c r="B73" s="778" t="s">
        <v>651</v>
      </c>
      <c r="C73" s="779">
        <f>IFERROR(VALUE(SUBSTITUTE(([1]!bsi?MERV_Ö_XMEV_Ö_AL41_Ö_CI), ".", ",")), 0)</f>
        <v>300</v>
      </c>
      <c r="D73" s="780">
        <f>IFERROR(VALUE(SUBSTITUTE(([1]!bpr?MERV_Ö_XMEV_Ö_AL41_Ö_CI), ".", ",")), 0)</f>
        <v>6948</v>
      </c>
      <c r="E73" s="780">
        <f>IFERROR(VALUE(SUBSTITUTE(([1]!opr?MERV_Ö_XMEV_Ö_AL41_Ö_CI), ".", ",")), 0)</f>
        <v>7040</v>
      </c>
      <c r="F73" s="779">
        <f>IFERROR(VALUE(SUBSTITUTE(([1]!osi?MERV_Ö_XMEV_Ö_AL41_Ö_CI), ".", ",")), 0)</f>
        <v>2000</v>
      </c>
      <c r="G73" s="781">
        <f>IFERROR(VALUE(SUBSTITUTE(([1]!lst?MERV_Ö_XMEV_Ö_AL41_Ö_CI), ".", ",")), 0)</f>
        <v>7039</v>
      </c>
      <c r="H73" s="782">
        <f>IFERROR(VALUE(SUBSTITUTE(([1]!chgp?MERV_Ö_XMEV_Ö_AL41_Ö_CI), ".", ",") / 100), 0)</f>
        <v>5.6000000000000008E-3</v>
      </c>
      <c r="I73" s="783"/>
      <c r="J73" s="783"/>
      <c r="K73" s="783"/>
      <c r="L73" s="783"/>
      <c r="M73" s="784">
        <f>IFERROR(VALUE(SUBSTITUTE(([1]!vole?MERV_Ö_XMEV_Ö_AL41_Ö_CI), ".", ",")), 0)</f>
        <v>886907.94</v>
      </c>
      <c r="N73" s="784">
        <f>IFERROR(VALUE(SUBSTITUTE(([1]!voln?MERV_Ö_XMEV_Ö_AL41_Ö_CI), ".", ",")), 0)</f>
        <v>12561</v>
      </c>
      <c r="O73" s="784">
        <f>IFERROR(VALUE(SUBSTITUTE(([1]!vol?MERV_Ö_XMEV_Ö_AL41_Ö_CI), ".", ",")), 0)</f>
        <v>0</v>
      </c>
      <c r="P73" s="785">
        <f>IFERROR(VALUE(SUBSTITUTE(([1]!ltu?MERV_Ö_XMEV_Ö_AL41_Ö_CI), ".", ",")), 0)</f>
        <v>0.66696759259259253</v>
      </c>
      <c r="Q73" s="786">
        <f t="shared" si="2"/>
        <v>70.608067828994507</v>
      </c>
      <c r="S73" s="778" t="s">
        <v>667</v>
      </c>
      <c r="T73" s="779">
        <f>IFERROR(VALUE(SUBSTITUTE(([1]!bsi?MERV_Ö_XMEV_Ö_AL41D_Ö_CI), ".", ",")), 0)</f>
        <v>8898</v>
      </c>
      <c r="U73" s="780">
        <f>IFERROR(VALUE(SUBSTITUTE(([1]!bpr?MERV_Ö_XMEV_Ö_AL41D_Ö_CI), ".", ",")), 0)</f>
        <v>34.9</v>
      </c>
      <c r="V73" s="780">
        <f>IFERROR(VALUE(SUBSTITUTE(([1]!opr?MERV_Ö_XMEV_Ö_AL41D_Ö_CI), ".", ",")), 0)</f>
        <v>35.35</v>
      </c>
      <c r="W73" s="779">
        <f>IFERROR(VALUE(SUBSTITUTE(([1]!osi?MERV_Ö_XMEV_Ö_AL41D_Ö_CI), ".", ",")), 0)</f>
        <v>1455</v>
      </c>
      <c r="X73" s="781">
        <f>IFERROR(VALUE(SUBSTITUTE(([1]!lst?MERV_Ö_XMEV_Ö_AL41D_Ö_CI), ".", ",")), 0)</f>
        <v>34.9</v>
      </c>
      <c r="Y73" s="782">
        <f>IFERROR(VALUE(SUBSTITUTE(([1]!chgp?MERV_Ö_XMEV_Ö_AL41D_Ö_CI), ".", ",") / 100), 0)</f>
        <v>1.7500000000000002E-2</v>
      </c>
      <c r="Z73" s="783"/>
      <c r="AA73" s="783"/>
      <c r="AB73" s="783"/>
      <c r="AC73" s="783"/>
      <c r="AD73" s="784">
        <f>IFERROR(VALUE(SUBSTITUTE(([1]!vole?MERV_Ö_XMEV_Ö_AL41D_Ö_CI), ".", ",")), 0)</f>
        <v>2332.7600000000002</v>
      </c>
      <c r="AE73" s="784">
        <f>IFERROR(VALUE(SUBSTITUTE(([1]!voln?MERV_Ö_XMEV_Ö_AL41D_Ö_CI), ".", ",")), 0)</f>
        <v>6681</v>
      </c>
      <c r="AF73" s="784">
        <f>IFERROR(VALUE(SUBSTITUTE(([1]!vol?MERV_Ö_XMEV_Ö_AL41D_Ö_CI), ".", ",")), 0)</f>
        <v>0</v>
      </c>
      <c r="AG73" s="785">
        <f>IFERROR(VALUE(SUBSTITUTE(([1]!ltu?MERV_Ö_XMEV_Ö_AL41D_Ö_CI), ".", ",")), 0)</f>
        <v>0.65900462962962958</v>
      </c>
      <c r="AH73" s="786">
        <f t="shared" si="3"/>
        <v>70.608067828994507</v>
      </c>
      <c r="BP73" s="766"/>
      <c r="BQ73" s="766"/>
      <c r="BS73" s="728"/>
    </row>
    <row r="74" spans="1:71" ht="12.75" customHeight="1">
      <c r="A74" s="739"/>
      <c r="B74" s="776" t="s">
        <v>646</v>
      </c>
      <c r="C74" s="740">
        <f>IFERROR(VALUE(SUBSTITUTE(([1]!bsi?MERV_Ö_XMEV_Ö_AE38_Ö_48hs), ".", ",")), 0)</f>
        <v>50</v>
      </c>
      <c r="D74" s="741">
        <f>IFERROR(VALUE(SUBSTITUTE(([1]!bpr?MERV_Ö_XMEV_Ö_AE38_Ö_48hs), ".", ",")), 0)</f>
        <v>7150</v>
      </c>
      <c r="E74" s="741">
        <f>IFERROR(VALUE(SUBSTITUTE(([1]!opr?MERV_Ö_XMEV_Ö_AE38_Ö_48hs), ".", ",")), 0)</f>
        <v>7180</v>
      </c>
      <c r="F74" s="740">
        <f>IFERROR(VALUE(SUBSTITUTE(([1]!osi?MERV_Ö_XMEV_Ö_AE38_Ö_48hs), ".", ",")), 0)</f>
        <v>8553</v>
      </c>
      <c r="G74" s="742">
        <f>IFERROR(VALUE(SUBSTITUTE(([1]!lst?MERV_Ö_XMEV_Ö_AE38_Ö_48hs), ".", ",")), 0)</f>
        <v>7180</v>
      </c>
      <c r="H74" s="743">
        <f>IFERROR(VALUE(SUBSTITUTE(([1]!chgp?MERV_Ö_XMEV_Ö_AE38_Ö_48hs), ".", ",") / 100), 0)</f>
        <v>-2.0099999999999996E-2</v>
      </c>
      <c r="I74" s="744"/>
      <c r="J74" s="744"/>
      <c r="K74" s="744"/>
      <c r="L74" s="744"/>
      <c r="M74" s="745">
        <f>IFERROR(VALUE(SUBSTITUTE(([1]!vole?MERV_Ö_XMEV_Ö_AE38_Ö_48hs), ".", ",")), 0)</f>
        <v>50862369.030000001</v>
      </c>
      <c r="N74" s="745">
        <f>IFERROR(VALUE(SUBSTITUTE(([1]!voln?MERV_Ö_XMEV_Ö_AE38_Ö_48hs), ".", ",")), 0)</f>
        <v>704174</v>
      </c>
      <c r="O74" s="745">
        <f>IFERROR(VALUE(SUBSTITUTE(([1]!vol?MERV_Ö_XMEV_Ö_AE38_Ö_48hs), ".", ",")), 0)</f>
        <v>0</v>
      </c>
      <c r="P74" s="746">
        <f>IFERROR(VALUE(SUBSTITUTE(([1]!ltu?MERV_Ö_XMEV_Ö_AE38_Ö_48hs), ".", ",")), 0)</f>
        <v>0.70849537037037036</v>
      </c>
      <c r="Q74" s="747">
        <f t="shared" si="2"/>
        <v>72.229831021878113</v>
      </c>
      <c r="S74" s="776" t="s">
        <v>668</v>
      </c>
      <c r="T74" s="740">
        <f>IFERROR(VALUE(SUBSTITUTE(([1]!bsi?MERV_Ö_XMEV_Ö_AE38D_Ö_48hs), ".", ",")), 0)</f>
        <v>5000</v>
      </c>
      <c r="U74" s="741">
        <f>IFERROR(VALUE(SUBSTITUTE(([1]!bpr?MERV_Ö_XMEV_Ö_AE38D_Ö_48hs), ".", ",")), 0)</f>
        <v>36.15</v>
      </c>
      <c r="V74" s="741">
        <f>IFERROR(VALUE(SUBSTITUTE(([1]!opr?MERV_Ö_XMEV_Ö_AE38D_Ö_48hs), ".", ",")), 0)</f>
        <v>36.450000000000003</v>
      </c>
      <c r="W74" s="740">
        <f>IFERROR(VALUE(SUBSTITUTE(([1]!osi?MERV_Ö_XMEV_Ö_AE38D_Ö_48hs), ".", ",")), 0)</f>
        <v>1329</v>
      </c>
      <c r="X74" s="742">
        <f>IFERROR(VALUE(SUBSTITUTE(([1]!lst?MERV_Ö_XMEV_Ö_AE38D_Ö_48hs), ".", ",")), 0)</f>
        <v>36.450000000000003</v>
      </c>
      <c r="Y74" s="743">
        <f>IFERROR(VALUE(SUBSTITUTE(([1]!chgp?MERV_Ö_XMEV_Ö_AE38D_Ö_48hs), ".", ",") / 100), 0)</f>
        <v>1.2500000000000001E-2</v>
      </c>
      <c r="Z74" s="744"/>
      <c r="AA74" s="744"/>
      <c r="AB74" s="744"/>
      <c r="AC74" s="744"/>
      <c r="AD74" s="745">
        <f>IFERROR(VALUE(SUBSTITUTE(([1]!vole?MERV_Ö_XMEV_Ö_AE38D_Ö_48hs), ".", ",")), 0)</f>
        <v>35333.040000000001</v>
      </c>
      <c r="AE74" s="745">
        <f>IFERROR(VALUE(SUBSTITUTE(([1]!voln?MERV_Ö_XMEV_Ö_AE38D_Ö_48hs), ".", ",")), 0)</f>
        <v>97612</v>
      </c>
      <c r="AF74" s="745">
        <f>IFERROR(VALUE(SUBSTITUTE(([1]!vol?MERV_Ö_XMEV_Ö_AE38D_Ö_48hs), ".", ",")), 0)</f>
        <v>0</v>
      </c>
      <c r="AG74" s="746">
        <f>IFERROR(VALUE(SUBSTITUTE(([1]!ltu?MERV_Ö_XMEV_Ö_AE38D_Ö_48hs), ".", ",")), 0)</f>
        <v>0.69740740740740748</v>
      </c>
      <c r="AH74" s="747">
        <f t="shared" si="3"/>
        <v>72.229831021878113</v>
      </c>
      <c r="BP74" s="766"/>
      <c r="BQ74" s="766"/>
      <c r="BS74" s="728"/>
    </row>
    <row r="75" spans="1:71" ht="12.75" customHeight="1">
      <c r="A75" s="739"/>
      <c r="B75" s="748" t="s">
        <v>647</v>
      </c>
      <c r="C75" s="749">
        <f>IFERROR(VALUE(SUBSTITUTE(([1]!bsi?MERV_Ö_XMEV_Ö_AE38_Ö_24hs), ".", ",")), 0)</f>
        <v>20000</v>
      </c>
      <c r="D75" s="750">
        <f>IFERROR(VALUE(SUBSTITUTE(([1]!bpr?MERV_Ö_XMEV_Ö_AE38_Ö_24hs), ".", ",")), 0)</f>
        <v>7010</v>
      </c>
      <c r="E75" s="750">
        <f>IFERROR(VALUE(SUBSTITUTE(([1]!opr?MERV_Ö_XMEV_Ö_AE38_Ö_24hs), ".", ",")), 0)</f>
        <v>0</v>
      </c>
      <c r="F75" s="749">
        <f>IFERROR(VALUE(SUBSTITUTE(([1]!osi?MERV_Ö_XMEV_Ö_AE38_Ö_24hs), ".", ",")), 0)</f>
        <v>0</v>
      </c>
      <c r="G75" s="751">
        <f>IFERROR(VALUE(SUBSTITUTE(([1]!lst?MERV_Ö_XMEV_Ö_AE38_Ö_24hs), ".", ",")), 0)</f>
        <v>0</v>
      </c>
      <c r="H75" s="752">
        <f>IFERROR(VALUE(SUBSTITUTE(([1]!chgp?MERV_Ö_XMEV_Ö_AE38_Ö_24hs), ".", ",") / 100), 0)</f>
        <v>0</v>
      </c>
      <c r="I75" s="753"/>
      <c r="J75" s="753"/>
      <c r="K75" s="753"/>
      <c r="L75" s="753"/>
      <c r="M75" s="754">
        <f>IFERROR(VALUE(SUBSTITUTE(([1]!vole?MERV_Ö_XMEV_Ö_AE38_Ö_24hs), ".", ",")), 0)</f>
        <v>0</v>
      </c>
      <c r="N75" s="754">
        <f>IFERROR(VALUE(SUBSTITUTE(([1]!voln?MERV_Ö_XMEV_Ö_AE38_Ö_24hs), ".", ",")), 0)</f>
        <v>0</v>
      </c>
      <c r="O75" s="754">
        <f>IFERROR(VALUE(SUBSTITUTE(([1]!vol?MERV_Ö_XMEV_Ö_AE38_Ö_24hs), ".", ",")), 0)</f>
        <v>0</v>
      </c>
      <c r="P75" s="755">
        <f>IFERROR(VALUE(SUBSTITUTE(([1]!ltu?MERV_Ö_XMEV_Ö_AE38_Ö_24hs), ".", ",")), 0)</f>
        <v>0</v>
      </c>
      <c r="Q75" s="756">
        <f t="shared" si="2"/>
        <v>0</v>
      </c>
      <c r="S75" s="748" t="s">
        <v>669</v>
      </c>
      <c r="T75" s="749">
        <f>IFERROR(VALUE(SUBSTITUTE(([1]!bsi?MERV_Ö_XMEV_Ö_AE38D_Ö_24hs), ".", ",")), 0)</f>
        <v>0</v>
      </c>
      <c r="U75" s="750">
        <f>IFERROR(VALUE(SUBSTITUTE(([1]!bpr?MERV_Ö_XMEV_Ö_AE38D_Ö_24hs), ".", ",")), 0)</f>
        <v>0</v>
      </c>
      <c r="V75" s="750">
        <f>IFERROR(VALUE(SUBSTITUTE(([1]!opr?MERV_Ö_XMEV_Ö_AE38D_Ö_24hs), ".", ",")), 0)</f>
        <v>0</v>
      </c>
      <c r="W75" s="749">
        <f>IFERROR(VALUE(SUBSTITUTE(([1]!osi?MERV_Ö_XMEV_Ö_AE38D_Ö_24hs), ".", ",")), 0)</f>
        <v>0</v>
      </c>
      <c r="X75" s="751">
        <f>IFERROR(VALUE(SUBSTITUTE(([1]!lst?MERV_Ö_XMEV_Ö_AE38D_Ö_24hs), ".", ",")), 0)</f>
        <v>0</v>
      </c>
      <c r="Y75" s="752">
        <f>IFERROR(VALUE(SUBSTITUTE(([1]!chgp?MERV_Ö_XMEV_Ö_AE38D_Ö_24hs), ".", ",") / 100), 0)</f>
        <v>0</v>
      </c>
      <c r="Z75" s="753"/>
      <c r="AA75" s="753"/>
      <c r="AB75" s="753"/>
      <c r="AC75" s="753"/>
      <c r="AD75" s="754">
        <f>IFERROR(VALUE(SUBSTITUTE(([1]!vole?MERV_Ö_XMEV_Ö_AE38D_Ö_24hs), ".", ",")), 0)</f>
        <v>0</v>
      </c>
      <c r="AE75" s="754">
        <f>IFERROR(VALUE(SUBSTITUTE(([1]!voln?MERV_Ö_XMEV_Ö_AE38D_Ö_24hs), ".", ",")), 0)</f>
        <v>0</v>
      </c>
      <c r="AF75" s="754">
        <f>IFERROR(VALUE(SUBSTITUTE(([1]!vol?MERV_Ö_XMEV_Ö_AE38D_Ö_24hs), ".", ",")), 0)</f>
        <v>0</v>
      </c>
      <c r="AG75" s="755">
        <f>IFERROR(VALUE(SUBSTITUTE(([1]!ltu?MERV_Ö_XMEV_Ö_AE38D_Ö_24hs), ".", ",")), 0)</f>
        <v>0</v>
      </c>
      <c r="AH75" s="756">
        <f t="shared" si="3"/>
        <v>0</v>
      </c>
      <c r="BP75" s="766"/>
      <c r="BQ75" s="766"/>
      <c r="BS75" s="728"/>
    </row>
    <row r="76" spans="1:71" ht="12.75" customHeight="1">
      <c r="A76" s="739"/>
      <c r="B76" s="778" t="s">
        <v>648</v>
      </c>
      <c r="C76" s="779">
        <f>IFERROR(VALUE(SUBSTITUTE(([1]!bsi?MERV_Ö_XMEV_Ö_AE38_Ö_CI), ".", ",")), 0)</f>
        <v>420</v>
      </c>
      <c r="D76" s="780">
        <f>IFERROR(VALUE(SUBSTITUTE(([1]!bpr?MERV_Ö_XMEV_Ö_AE38_Ö_CI), ".", ",")), 0)</f>
        <v>7100</v>
      </c>
      <c r="E76" s="780">
        <f>IFERROR(VALUE(SUBSTITUTE(([1]!opr?MERV_Ö_XMEV_Ö_AE38_Ö_CI), ".", ",")), 0)</f>
        <v>7211</v>
      </c>
      <c r="F76" s="779">
        <f>IFERROR(VALUE(SUBSTITUTE(([1]!osi?MERV_Ö_XMEV_Ö_AE38_Ö_CI), ".", ",")), 0)</f>
        <v>200</v>
      </c>
      <c r="G76" s="781">
        <f>IFERROR(VALUE(SUBSTITUTE(([1]!lst?MERV_Ö_XMEV_Ö_AE38_Ö_CI), ".", ",")), 0)</f>
        <v>7100</v>
      </c>
      <c r="H76" s="782">
        <f>IFERROR(VALUE(SUBSTITUTE(([1]!chgp?MERV_Ö_XMEV_Ö_AE38_Ö_CI), ".", ",") / 100), 0)</f>
        <v>-4.3899999999999995E-2</v>
      </c>
      <c r="I76" s="783"/>
      <c r="J76" s="783"/>
      <c r="K76" s="783"/>
      <c r="L76" s="783"/>
      <c r="M76" s="784">
        <f>IFERROR(VALUE(SUBSTITUTE(([1]!vole?MERV_Ö_XMEV_Ö_AE38_Ö_CI), ".", ",")), 0)</f>
        <v>644188.35</v>
      </c>
      <c r="N76" s="784">
        <f>IFERROR(VALUE(SUBSTITUTE(([1]!voln?MERV_Ö_XMEV_Ö_AE38_Ö_CI), ".", ",")), 0)</f>
        <v>8912</v>
      </c>
      <c r="O76" s="784">
        <f>IFERROR(VALUE(SUBSTITUTE(([1]!vol?MERV_Ö_XMEV_Ö_AE38_Ö_CI), ".", ",")), 0)</f>
        <v>0</v>
      </c>
      <c r="P76" s="785">
        <f>IFERROR(VALUE(SUBSTITUTE(([1]!ltu?MERV_Ö_XMEV_Ö_AE38_Ö_CI), ".", ",")), 0)</f>
        <v>0.65489583333333334</v>
      </c>
      <c r="Q76" s="786">
        <f t="shared" si="2"/>
        <v>72.283252917414714</v>
      </c>
      <c r="S76" s="778" t="s">
        <v>670</v>
      </c>
      <c r="T76" s="779">
        <f>IFERROR(VALUE(SUBSTITUTE(([1]!bsi?MERV_Ö_XMEV_Ö_AE38D_Ö_CI), ".", ",")), 0)</f>
        <v>0</v>
      </c>
      <c r="U76" s="780">
        <f>IFERROR(VALUE(SUBSTITUTE(([1]!bpr?MERV_Ö_XMEV_Ö_AE38D_Ö_CI), ".", ",")), 0)</f>
        <v>0</v>
      </c>
      <c r="V76" s="780">
        <f>IFERROR(VALUE(SUBSTITUTE(([1]!opr?MERV_Ö_XMEV_Ö_AE38D_Ö_CI), ".", ",")), 0)</f>
        <v>36.31</v>
      </c>
      <c r="W76" s="779">
        <f>IFERROR(VALUE(SUBSTITUTE(([1]!osi?MERV_Ö_XMEV_Ö_AE38D_Ö_CI), ".", ",")), 0)</f>
        <v>2000</v>
      </c>
      <c r="X76" s="781">
        <f>IFERROR(VALUE(SUBSTITUTE(([1]!lst?MERV_Ö_XMEV_Ö_AE38D_Ö_CI), ".", ",")), 0)</f>
        <v>35.979999999999997</v>
      </c>
      <c r="Y76" s="782">
        <f>IFERROR(VALUE(SUBSTITUTE(([1]!chgp?MERV_Ö_XMEV_Ö_AE38D_Ö_CI), ".", ",") / 100), 0)</f>
        <v>5.0000000000000001E-3</v>
      </c>
      <c r="Z76" s="783"/>
      <c r="AA76" s="783"/>
      <c r="AB76" s="783"/>
      <c r="AC76" s="783"/>
      <c r="AD76" s="784">
        <f>IFERROR(VALUE(SUBSTITUTE(([1]!vole?MERV_Ö_XMEV_Ö_AE38D_Ö_CI), ".", ",")), 0)</f>
        <v>3075.92</v>
      </c>
      <c r="AE76" s="784">
        <f>IFERROR(VALUE(SUBSTITUTE(([1]!voln?MERV_Ö_XMEV_Ö_AE38D_Ö_CI), ".", ",")), 0)</f>
        <v>8580</v>
      </c>
      <c r="AF76" s="784">
        <f>IFERROR(VALUE(SUBSTITUTE(([1]!vol?MERV_Ö_XMEV_Ö_AE38D_Ö_CI), ".", ",")), 0)</f>
        <v>0</v>
      </c>
      <c r="AG76" s="785">
        <f>IFERROR(VALUE(SUBSTITUTE(([1]!ltu?MERV_Ö_XMEV_Ö_AE38D_Ö_CI), ".", ",")), 0)</f>
        <v>0.64928240740740739</v>
      </c>
      <c r="AH76" s="786">
        <f t="shared" si="3"/>
        <v>72.283252917414714</v>
      </c>
      <c r="BP76" s="766"/>
      <c r="BQ76" s="766"/>
      <c r="BS76" s="728"/>
    </row>
    <row r="77" spans="1:71" ht="12.75" customHeight="1">
      <c r="A77" s="739"/>
      <c r="B77" s="776" t="s">
        <v>133</v>
      </c>
      <c r="C77" s="740">
        <f>IFERROR(VALUE(SUBSTITUTE(([1]!bsi?MERV_Ö_XMEV_Ö_AY24_Ö_48hs), ".", ",")), 0)</f>
        <v>0</v>
      </c>
      <c r="D77" s="741">
        <f>IFERROR(VALUE(SUBSTITUTE(([1]!bpr?MERV_Ö_XMEV_Ö_AY24_Ö_48hs), ".", ",")), 0)</f>
        <v>0</v>
      </c>
      <c r="E77" s="741">
        <f>IFERROR(VALUE(SUBSTITUTE(([1]!opr?MERV_Ö_XMEV_Ö_AY24_Ö_48hs), ".", ",")), 0)</f>
        <v>0</v>
      </c>
      <c r="F77" s="740">
        <f>IFERROR(VALUE(SUBSTITUTE(([1]!osi?MERV_Ö_XMEV_Ö_AY24_Ö_48hs), ".", ",")), 0)</f>
        <v>0</v>
      </c>
      <c r="G77" s="742">
        <f>IFERROR(VALUE(SUBSTITUTE(([1]!lst?MERV_Ö_XMEV_Ö_AY24_Ö_48hs), ".", ",")), 0)</f>
        <v>0</v>
      </c>
      <c r="H77" s="743">
        <f>IFERROR(VALUE(SUBSTITUTE(([1]!chgp?MERV_Ö_XMEV_Ö_AY24_Ö_48hs), ".", ",") / 100), 0)</f>
        <v>0</v>
      </c>
      <c r="I77" s="744"/>
      <c r="J77" s="744"/>
      <c r="K77" s="744"/>
      <c r="L77" s="744"/>
      <c r="M77" s="745">
        <f>IFERROR(VALUE(SUBSTITUTE(([1]!vole?MERV_Ö_XMEV_Ö_AY24_Ö_48hs), ".", ",")), 0)</f>
        <v>0</v>
      </c>
      <c r="N77" s="745">
        <f>IFERROR(VALUE(SUBSTITUTE(([1]!voln?MERV_Ö_XMEV_Ö_AY24_Ö_48hs), ".", ",")), 0)</f>
        <v>0</v>
      </c>
      <c r="O77" s="745">
        <f>IFERROR(VALUE(SUBSTITUTE(([1]!vol?MERV_Ö_XMEV_Ö_AY24_Ö_48hs), ".", ",")), 0)</f>
        <v>0</v>
      </c>
      <c r="P77" s="746">
        <f>IFERROR(VALUE(SUBSTITUTE(([1]!ltu?MERV_Ö_XMEV_Ö_AY24_Ö_48hs), ".", ",")), 0)</f>
        <v>0</v>
      </c>
      <c r="Q77" s="747">
        <f t="shared" si="2"/>
        <v>0</v>
      </c>
      <c r="S77" s="776" t="s">
        <v>598</v>
      </c>
      <c r="T77" s="740">
        <f>IFERROR(VALUE(SUBSTITUTE(([1]!bsi?MERV_Ö_XMEV_Ö_AY24D_Ö_48hs), ".", ",")), 0)</f>
        <v>0</v>
      </c>
      <c r="U77" s="741">
        <f>IFERROR(VALUE(SUBSTITUTE(([1]!bpr?MERV_Ö_XMEV_Ö_AY24D_Ö_48hs), ".", ",")), 0)</f>
        <v>0</v>
      </c>
      <c r="V77" s="741">
        <f>IFERROR(VALUE(SUBSTITUTE(([1]!opr?MERV_Ö_XMEV_Ö_AY24D_Ö_48hs), ".", ",")), 0)</f>
        <v>0</v>
      </c>
      <c r="W77" s="740">
        <f>IFERROR(VALUE(SUBSTITUTE(([1]!osi?MERV_Ö_XMEV_Ö_AY24D_Ö_48hs), ".", ",")), 0)</f>
        <v>0</v>
      </c>
      <c r="X77" s="742">
        <f>IFERROR(VALUE(SUBSTITUTE(([1]!lst?MERV_Ö_XMEV_Ö_AY24D_Ö_48hs), ".", ",")), 0)</f>
        <v>0</v>
      </c>
      <c r="Y77" s="743">
        <f>IFERROR(VALUE(SUBSTITUTE(([1]!chgp?MERV_Ö_XMEV_Ö_AY24D_Ö_48hs), ".", ",") / 100), 0)</f>
        <v>0</v>
      </c>
      <c r="Z77" s="744"/>
      <c r="AA77" s="744"/>
      <c r="AB77" s="744"/>
      <c r="AC77" s="744"/>
      <c r="AD77" s="745">
        <f>IFERROR(VALUE(SUBSTITUTE(([1]!vole?MERV_Ö_XMEV_Ö_AY24D_Ö_48hs), ".", ",")), 0)</f>
        <v>0</v>
      </c>
      <c r="AE77" s="745">
        <f>IFERROR(VALUE(SUBSTITUTE(([1]!voln?MERV_Ö_XMEV_Ö_AY24D_Ö_48hs), ".", ",")), 0)</f>
        <v>0</v>
      </c>
      <c r="AF77" s="745">
        <f>IFERROR(VALUE(SUBSTITUTE(([1]!vol?MERV_Ö_XMEV_Ö_AY24D_Ö_48hs), ".", ",")), 0)</f>
        <v>0</v>
      </c>
      <c r="AG77" s="746">
        <f>IFERROR(VALUE(SUBSTITUTE(([1]!ltu?MERV_Ö_XMEV_Ö_AY24D_Ö_48hs), ".", ",")), 0)</f>
        <v>0</v>
      </c>
      <c r="AH77" s="747">
        <f t="shared" si="3"/>
        <v>0</v>
      </c>
      <c r="BP77" s="766"/>
      <c r="BQ77" s="766"/>
      <c r="BS77" s="728"/>
    </row>
    <row r="78" spans="1:71" ht="12" customHeight="1">
      <c r="A78" s="739"/>
      <c r="B78" s="748" t="s">
        <v>652</v>
      </c>
      <c r="C78" s="749">
        <f>IFERROR(VALUE(SUBSTITUTE(([1]!bsi?MERV_Ö_XMEV_Ö_AY24_Ö_24hs), ".", ",")), 0)</f>
        <v>0</v>
      </c>
      <c r="D78" s="750">
        <f>IFERROR(VALUE(SUBSTITUTE(([1]!bpr?MERV_Ö_XMEV_Ö_AY24_Ö_24hs), ".", ",")), 0)</f>
        <v>0</v>
      </c>
      <c r="E78" s="750">
        <f>IFERROR(VALUE(SUBSTITUTE(([1]!opr?MERV_Ö_XMEV_Ö_AY24_Ö_24hs), ".", ",")), 0)</f>
        <v>0</v>
      </c>
      <c r="F78" s="749">
        <f>IFERROR(VALUE(SUBSTITUTE(([1]!osi?MERV_Ö_XMEV_Ö_AY24_Ö_24hs), ".", ",")), 0)</f>
        <v>0</v>
      </c>
      <c r="G78" s="751">
        <f>IFERROR(VALUE(SUBSTITUTE(([1]!lst?MERV_Ö_XMEV_Ö_AY24_Ö_24hs), ".", ",")), 0)</f>
        <v>0</v>
      </c>
      <c r="H78" s="752">
        <f>IFERROR(VALUE(SUBSTITUTE(([1]!chgp?MERV_Ö_XMEV_Ö_AY24_Ö_24hs), ".", ",") / 100), 0)</f>
        <v>0</v>
      </c>
      <c r="I78" s="753"/>
      <c r="J78" s="753"/>
      <c r="K78" s="753"/>
      <c r="L78" s="753"/>
      <c r="M78" s="754">
        <f>IFERROR(VALUE(SUBSTITUTE(([1]!vole?MERV_Ö_XMEV_Ö_AY24_Ö_24hs), ".", ",")), 0)</f>
        <v>0</v>
      </c>
      <c r="N78" s="754">
        <f>IFERROR(VALUE(SUBSTITUTE(([1]!voln?MERV_Ö_XMEV_Ö_AY24_Ö_24hs), ".", ",")), 0)</f>
        <v>0</v>
      </c>
      <c r="O78" s="754">
        <f>IFERROR(VALUE(SUBSTITUTE(([1]!vol?MERV_Ö_XMEV_Ö_AY24_Ö_24hs), ".", ",")), 0)</f>
        <v>0</v>
      </c>
      <c r="P78" s="755">
        <f>IFERROR(VALUE(SUBSTITUTE(([1]!ltu?MERV_Ö_XMEV_Ö_AY24_Ö_24hs), ".", ",")), 0)</f>
        <v>0</v>
      </c>
      <c r="Q78" s="756">
        <f t="shared" si="2"/>
        <v>0</v>
      </c>
      <c r="S78" s="748" t="s">
        <v>671</v>
      </c>
      <c r="T78" s="749">
        <f>IFERROR(VALUE(SUBSTITUTE(([1]!bsi?MERV_Ö_XMEV_Ö_AY24D_Ö_24hs), ".", ",")), 0)</f>
        <v>0</v>
      </c>
      <c r="U78" s="750">
        <f>IFERROR(VALUE(SUBSTITUTE(([1]!bpr?MERV_Ö_XMEV_Ö_AY24D_Ö_24hs), ".", ",")), 0)</f>
        <v>0</v>
      </c>
      <c r="V78" s="750">
        <f>IFERROR(VALUE(SUBSTITUTE(([1]!opr?MERV_Ö_XMEV_Ö_AY24D_Ö_24hs), ".", ",")), 0)</f>
        <v>0</v>
      </c>
      <c r="W78" s="749">
        <f>IFERROR(VALUE(SUBSTITUTE(([1]!osi?MERV_Ö_XMEV_Ö_AY24D_Ö_24hs), ".", ",")), 0)</f>
        <v>0</v>
      </c>
      <c r="X78" s="751">
        <f>IFERROR(VALUE(SUBSTITUTE(([1]!lst?MERV_Ö_XMEV_Ö_AY24D_Ö_24hs), ".", ",")), 0)</f>
        <v>0</v>
      </c>
      <c r="Y78" s="752">
        <f>IFERROR(VALUE(SUBSTITUTE(([1]!chgp?MERV_Ö_XMEV_Ö_AY24D_Ö_24hs), ".", ",") / 100), 0)</f>
        <v>0</v>
      </c>
      <c r="Z78" s="753"/>
      <c r="AA78" s="753"/>
      <c r="AB78" s="753"/>
      <c r="AC78" s="753"/>
      <c r="AD78" s="754">
        <f>IFERROR(VALUE(SUBSTITUTE(([1]!vole?MERV_Ö_XMEV_Ö_AY24D_Ö_24hs), ".", ",")), 0)</f>
        <v>0</v>
      </c>
      <c r="AE78" s="754">
        <f>IFERROR(VALUE(SUBSTITUTE(([1]!voln?MERV_Ö_XMEV_Ö_AY24D_Ö_24hs), ".", ",")), 0)</f>
        <v>0</v>
      </c>
      <c r="AF78" s="754">
        <f>IFERROR(VALUE(SUBSTITUTE(([1]!vol?MERV_Ö_XMEV_Ö_AY24D_Ö_24hs), ".", ",")), 0)</f>
        <v>0</v>
      </c>
      <c r="AG78" s="755">
        <f>IFERROR(VALUE(SUBSTITUTE(([1]!ltu?MERV_Ö_XMEV_Ö_AY24D_Ö_24hs), ".", ",")), 0)</f>
        <v>0</v>
      </c>
      <c r="AH78" s="756">
        <f t="shared" si="3"/>
        <v>0</v>
      </c>
      <c r="BP78" s="766"/>
      <c r="BQ78" s="766"/>
      <c r="BS78" s="728"/>
    </row>
    <row r="79" spans="1:71" ht="12.75" customHeight="1">
      <c r="A79" s="739"/>
      <c r="B79" s="778" t="s">
        <v>612</v>
      </c>
      <c r="C79" s="779">
        <f>IFERROR(VALUE(SUBSTITUTE(([1]!bsi?MERV_Ö_XMEV_Ö_AY24_Ö_CI), ".", ",")), 0)</f>
        <v>0</v>
      </c>
      <c r="D79" s="780">
        <f>IFERROR(VALUE(SUBSTITUTE(([1]!bpr?MERV_Ö_XMEV_Ö_AY24_Ö_CI), ".", ",")), 0)</f>
        <v>0</v>
      </c>
      <c r="E79" s="780">
        <f>IFERROR(VALUE(SUBSTITUTE(([1]!opr?MERV_Ö_XMEV_Ö_AY24_Ö_CI), ".", ",")), 0)</f>
        <v>0</v>
      </c>
      <c r="F79" s="779">
        <f>IFERROR(VALUE(SUBSTITUTE(([1]!osi?MERV_Ö_XMEV_Ö_AY24_Ö_CI), ".", ",")), 0)</f>
        <v>0</v>
      </c>
      <c r="G79" s="781">
        <f>IFERROR(VALUE(SUBSTITUTE(([1]!lst?MERV_Ö_XMEV_Ö_AY24_Ö_CI), ".", ",")), 0)</f>
        <v>0</v>
      </c>
      <c r="H79" s="782">
        <f>IFERROR(VALUE(SUBSTITUTE(([1]!chgp?MERV_Ö_XMEV_Ö_AY24_Ö_CI), ".", ",") / 100), 0)</f>
        <v>0</v>
      </c>
      <c r="I79" s="783"/>
      <c r="J79" s="783"/>
      <c r="K79" s="783"/>
      <c r="L79" s="783"/>
      <c r="M79" s="784">
        <f>IFERROR(VALUE(SUBSTITUTE(([1]!vole?MERV_Ö_XMEV_Ö_AY24_Ö_CI), ".", ",")), 0)</f>
        <v>0</v>
      </c>
      <c r="N79" s="784">
        <f>IFERROR(VALUE(SUBSTITUTE(([1]!voln?MERV_Ö_XMEV_Ö_AY24_Ö_CI), ".", ",")), 0)</f>
        <v>0</v>
      </c>
      <c r="O79" s="784">
        <f>IFERROR(VALUE(SUBSTITUTE(([1]!vol?MERV_Ö_XMEV_Ö_AY24_Ö_CI), ".", ",")), 0)</f>
        <v>0</v>
      </c>
      <c r="P79" s="785">
        <f>IFERROR(VALUE(SUBSTITUTE(([1]!ltu?MERV_Ö_XMEV_Ö_AY24_Ö_CI), ".", ",")), 0)</f>
        <v>0</v>
      </c>
      <c r="Q79" s="786">
        <f t="shared" si="2"/>
        <v>0</v>
      </c>
      <c r="S79" s="778" t="s">
        <v>613</v>
      </c>
      <c r="T79" s="779">
        <f>IFERROR(VALUE(SUBSTITUTE(([1]!bsi?MERV_Ö_XMEV_Ö_AY24D_Ö_CI), ".", ",")), 0)</f>
        <v>0</v>
      </c>
      <c r="U79" s="780">
        <f>IFERROR(VALUE(SUBSTITUTE(([1]!bpr?MERV_Ö_XMEV_Ö_AY24D_Ö_CI), ".", ",")), 0)</f>
        <v>0</v>
      </c>
      <c r="V79" s="780">
        <f>IFERROR(VALUE(SUBSTITUTE(([1]!opr?MERV_Ö_XMEV_Ö_AY24D_Ö_CI), ".", ",")), 0)</f>
        <v>0</v>
      </c>
      <c r="W79" s="779">
        <f>IFERROR(VALUE(SUBSTITUTE(([1]!osi?MERV_Ö_XMEV_Ö_AY24D_Ö_CI), ".", ",")), 0)</f>
        <v>0</v>
      </c>
      <c r="X79" s="781">
        <f>IFERROR(VALUE(SUBSTITUTE(([1]!lst?MERV_Ö_XMEV_Ö_AY24D_Ö_CI), ".", ",")), 0)</f>
        <v>0</v>
      </c>
      <c r="Y79" s="782">
        <f>IFERROR(VALUE(SUBSTITUTE(([1]!chgp?MERV_Ö_XMEV_Ö_AY24D_Ö_CI), ".", ",") / 100), 0)</f>
        <v>0</v>
      </c>
      <c r="Z79" s="783"/>
      <c r="AA79" s="783"/>
      <c r="AB79" s="783"/>
      <c r="AC79" s="783"/>
      <c r="AD79" s="784">
        <f>IFERROR(VALUE(SUBSTITUTE(([1]!vole?MERV_Ö_XMEV_Ö_AY24D_Ö_CI), ".", ",")), 0)</f>
        <v>0</v>
      </c>
      <c r="AE79" s="784">
        <f>IFERROR(VALUE(SUBSTITUTE(([1]!voln?MERV_Ö_XMEV_Ö_AY24D_Ö_CI), ".", ",")), 0)</f>
        <v>0</v>
      </c>
      <c r="AF79" s="784">
        <f>IFERROR(VALUE(SUBSTITUTE(([1]!vol?MERV_Ö_XMEV_Ö_AY24D_Ö_CI), ".", ",")), 0)</f>
        <v>0</v>
      </c>
      <c r="AG79" s="785">
        <f>IFERROR(VALUE(SUBSTITUTE(([1]!ltu?MERV_Ö_XMEV_Ö_AY24D_Ö_CI), ".", ",")), 0)</f>
        <v>0</v>
      </c>
      <c r="AH79" s="786">
        <f t="shared" si="3"/>
        <v>0</v>
      </c>
      <c r="BP79" s="766"/>
      <c r="BQ79" s="766"/>
      <c r="BS79" s="728"/>
    </row>
    <row r="80" spans="1:71" ht="12.75" customHeight="1">
      <c r="A80" s="739"/>
      <c r="B80" s="776"/>
      <c r="C80" s="740"/>
      <c r="D80" s="741"/>
      <c r="E80" s="741"/>
      <c r="F80" s="740"/>
      <c r="G80" s="742"/>
      <c r="H80" s="743"/>
      <c r="I80" s="744"/>
      <c r="J80" s="744"/>
      <c r="K80" s="744"/>
      <c r="L80" s="744"/>
      <c r="M80" s="745"/>
      <c r="N80" s="745"/>
      <c r="O80" s="745"/>
      <c r="P80" s="746"/>
      <c r="Q80" s="747"/>
      <c r="S80" s="776" t="s">
        <v>672</v>
      </c>
      <c r="T80" s="740">
        <f>IFERROR(VALUE(SUBSTITUTE(([1]!bsi?MERV_Ö_XMEV_Ö_GD30C_Ö_48hs), ".", ",")), 0)</f>
        <v>5000</v>
      </c>
      <c r="U80" s="741">
        <f>IFERROR(VALUE(SUBSTITUTE(([1]!bpr?MERV_Ö_XMEV_Ö_GD30C_Ö_48hs), ".", ",")), 0)</f>
        <v>33.68</v>
      </c>
      <c r="V80" s="741">
        <f>IFERROR(VALUE(SUBSTITUTE(([1]!opr?MERV_Ö_XMEV_Ö_GD30C_Ö_48hs), ".", ",")), 0)</f>
        <v>34</v>
      </c>
      <c r="W80" s="740">
        <f>IFERROR(VALUE(SUBSTITUTE(([1]!osi?MERV_Ö_XMEV_Ö_GD30C_Ö_48hs), ".", ",")), 0)</f>
        <v>10000</v>
      </c>
      <c r="X80" s="742">
        <f>IFERROR(VALUE(SUBSTITUTE(([1]!lst?MERV_Ö_XMEV_Ö_GD30C_Ö_48hs), ".", ",")), 0)</f>
        <v>33.75</v>
      </c>
      <c r="Y80" s="743">
        <f>IFERROR(VALUE(SUBSTITUTE(([1]!chgp?MERV_Ö_XMEV_Ö_GD30C_Ö_48hs), ".", ",") / 100), 0)</f>
        <v>-4.4000000000000003E-3</v>
      </c>
      <c r="Z80" s="744"/>
      <c r="AA80" s="744"/>
      <c r="AB80" s="744"/>
      <c r="AC80" s="744"/>
      <c r="AD80" s="745">
        <f>IFERROR(VALUE(SUBSTITUTE(([1]!vole?MERV_Ö_XMEV_Ö_GD30C_Ö_48hs), ".", ",")), 0)</f>
        <v>1667457.29</v>
      </c>
      <c r="AE80" s="745">
        <f>IFERROR(VALUE(SUBSTITUTE(([1]!voln?MERV_Ö_XMEV_Ö_GD30C_Ö_48hs), ".", ",")), 0)</f>
        <v>4927378</v>
      </c>
      <c r="AF80" s="745">
        <f>IFERROR(VALUE(SUBSTITUTE(([1]!vol?MERV_Ö_XMEV_Ö_GD30C_Ö_48hs), ".", ",")), 0)</f>
        <v>0</v>
      </c>
      <c r="AG80" s="746">
        <f>IFERROR(VALUE(SUBSTITUTE(([1]!ltu?MERV_Ö_XMEV_Ö_GD30C_Ö_48hs), ".", ",")), 0)</f>
        <v>0.70578703703703705</v>
      </c>
      <c r="AH80" s="747">
        <f t="shared" si="3"/>
        <v>0</v>
      </c>
      <c r="BP80" s="766"/>
      <c r="BQ80" s="766"/>
      <c r="BS80" s="728"/>
    </row>
    <row r="81" spans="1:71" ht="12.75" customHeight="1">
      <c r="A81" s="739"/>
      <c r="B81" s="748"/>
      <c r="C81" s="749"/>
      <c r="D81" s="750"/>
      <c r="E81" s="750"/>
      <c r="F81" s="749"/>
      <c r="G81" s="751"/>
      <c r="H81" s="752"/>
      <c r="I81" s="753"/>
      <c r="J81" s="753"/>
      <c r="K81" s="753"/>
      <c r="L81" s="753"/>
      <c r="M81" s="754"/>
      <c r="N81" s="754"/>
      <c r="O81" s="754"/>
      <c r="P81" s="755"/>
      <c r="Q81" s="756"/>
      <c r="S81" s="748" t="s">
        <v>673</v>
      </c>
      <c r="T81" s="749">
        <f>IFERROR(VALUE(SUBSTITUTE(([1]!bsi?MERV_Ö_XMEV_Ö_GD30C_Ö_24hs), ".", ",")), 0)</f>
        <v>746</v>
      </c>
      <c r="U81" s="750">
        <f>IFERROR(VALUE(SUBSTITUTE(([1]!bpr?MERV_Ö_XMEV_Ö_GD30C_Ö_24hs), ".", ",")), 0)</f>
        <v>33.5</v>
      </c>
      <c r="V81" s="750">
        <f>IFERROR(VALUE(SUBSTITUTE(([1]!opr?MERV_Ö_XMEV_Ö_GD30C_Ö_24hs), ".", ",")), 0)</f>
        <v>0</v>
      </c>
      <c r="W81" s="749">
        <f>IFERROR(VALUE(SUBSTITUTE(([1]!osi?MERV_Ö_XMEV_Ö_GD30C_Ö_24hs), ".", ",")), 0)</f>
        <v>0</v>
      </c>
      <c r="X81" s="751">
        <f>IFERROR(VALUE(SUBSTITUTE(([1]!lst?MERV_Ö_XMEV_Ö_GD30C_Ö_24hs), ".", ",")), 0)</f>
        <v>0</v>
      </c>
      <c r="Y81" s="752">
        <f>IFERROR(VALUE(SUBSTITUTE(([1]!chgp?MERV_Ö_XMEV_Ö_GD30C_Ö_24hs), ".", ",") / 100), 0)</f>
        <v>0</v>
      </c>
      <c r="Z81" s="753"/>
      <c r="AA81" s="753"/>
      <c r="AB81" s="753"/>
      <c r="AC81" s="753"/>
      <c r="AD81" s="754">
        <f>IFERROR(VALUE(SUBSTITUTE(([1]!vole?MERV_Ö_XMEV_Ö_GD30C_Ö_24hs), ".", ",")), 0)</f>
        <v>0</v>
      </c>
      <c r="AE81" s="754">
        <f>IFERROR(VALUE(SUBSTITUTE(([1]!voln?MERV_Ö_XMEV_Ö_GD30C_Ö_24hs), ".", ",")), 0)</f>
        <v>0</v>
      </c>
      <c r="AF81" s="754">
        <f>IFERROR(VALUE(SUBSTITUTE(([1]!vol?MERV_Ö_XMEV_Ö_GD30C_Ö_24hs), ".", ",")), 0)</f>
        <v>0</v>
      </c>
      <c r="AG81" s="755">
        <f>IFERROR(VALUE(SUBSTITUTE(([1]!ltu?MERV_Ö_XMEV_Ö_GD30C_Ö_24hs), ".", ",")), 0)</f>
        <v>0</v>
      </c>
      <c r="AH81" s="756">
        <f t="shared" si="3"/>
        <v>0</v>
      </c>
      <c r="BP81" s="766"/>
      <c r="BQ81" s="766"/>
      <c r="BS81" s="728"/>
    </row>
    <row r="82" spans="1:71" ht="12.75" customHeight="1">
      <c r="A82" s="739"/>
      <c r="B82" s="778"/>
      <c r="C82" s="779"/>
      <c r="D82" s="780"/>
      <c r="E82" s="780"/>
      <c r="F82" s="779"/>
      <c r="G82" s="781"/>
      <c r="H82" s="782"/>
      <c r="I82" s="783"/>
      <c r="J82" s="783"/>
      <c r="K82" s="783"/>
      <c r="L82" s="783"/>
      <c r="M82" s="784"/>
      <c r="N82" s="784"/>
      <c r="O82" s="784"/>
      <c r="P82" s="785"/>
      <c r="Q82" s="786"/>
      <c r="S82" s="778" t="s">
        <v>674</v>
      </c>
      <c r="T82" s="779">
        <f>IFERROR(VALUE(SUBSTITUTE(([1]!bsi?MERV_Ö_XMEV_Ö_GD30C_Ö_CI), ".", ",")), 0)</f>
        <v>50000</v>
      </c>
      <c r="U82" s="780">
        <f>IFERROR(VALUE(SUBSTITUTE(([1]!bpr?MERV_Ö_XMEV_Ö_GD30C_Ö_CI), ".", ",")), 0)</f>
        <v>33.590000000000003</v>
      </c>
      <c r="V82" s="780">
        <f>IFERROR(VALUE(SUBSTITUTE(([1]!opr?MERV_Ö_XMEV_Ö_GD30C_Ö_CI), ".", ",")), 0)</f>
        <v>34.049999999999997</v>
      </c>
      <c r="W82" s="779">
        <f>IFERROR(VALUE(SUBSTITUTE(([1]!osi?MERV_Ö_XMEV_Ö_GD30C_Ö_CI), ".", ",")), 0)</f>
        <v>50000</v>
      </c>
      <c r="X82" s="781">
        <f>IFERROR(VALUE(SUBSTITUTE(([1]!lst?MERV_Ö_XMEV_Ö_GD30C_Ö_CI), ".", ",")), 0)</f>
        <v>33.909999999999997</v>
      </c>
      <c r="Y82" s="782">
        <f>IFERROR(VALUE(SUBSTITUTE(([1]!chgp?MERV_Ö_XMEV_Ö_GD30C_Ö_CI), ".", ",") / 100), 0)</f>
        <v>1.8E-3</v>
      </c>
      <c r="Z82" s="783"/>
      <c r="AA82" s="783"/>
      <c r="AB82" s="783"/>
      <c r="AC82" s="783"/>
      <c r="AD82" s="784">
        <f>IFERROR(VALUE(SUBSTITUTE(([1]!vole?MERV_Ö_XMEV_Ö_GD30C_Ö_CI), ".", ",")), 0)</f>
        <v>13940390.18</v>
      </c>
      <c r="AE82" s="784">
        <f>IFERROR(VALUE(SUBSTITUTE(([1]!voln?MERV_Ö_XMEV_Ö_GD30C_Ö_CI), ".", ",")), 0)</f>
        <v>41195026</v>
      </c>
      <c r="AF82" s="784">
        <f>IFERROR(VALUE(SUBSTITUTE(([1]!vol?MERV_Ö_XMEV_Ö_GD30C_Ö_CI), ".", ",")), 0)</f>
        <v>0</v>
      </c>
      <c r="AG82" s="785">
        <f>IFERROR(VALUE(SUBSTITUTE(([1]!ltu?MERV_Ö_XMEV_Ö_GD30C_Ö_CI), ".", ",")), 0)</f>
        <v>0.66695601851851849</v>
      </c>
      <c r="AH82" s="786">
        <f t="shared" si="3"/>
        <v>0</v>
      </c>
      <c r="BP82" s="766"/>
      <c r="BQ82" s="766"/>
      <c r="BS82" s="728"/>
    </row>
    <row r="83" spans="1:71" ht="12.75" customHeight="1">
      <c r="A83" s="739"/>
      <c r="B83" s="776"/>
      <c r="C83" s="740"/>
      <c r="D83" s="741"/>
      <c r="E83" s="741"/>
      <c r="F83" s="740"/>
      <c r="G83" s="742"/>
      <c r="H83" s="743"/>
      <c r="I83" s="744"/>
      <c r="J83" s="744"/>
      <c r="K83" s="744"/>
      <c r="L83" s="744"/>
      <c r="M83" s="745"/>
      <c r="N83" s="745"/>
      <c r="O83" s="745"/>
      <c r="P83" s="746"/>
      <c r="Q83" s="747"/>
      <c r="S83" s="776" t="s">
        <v>675</v>
      </c>
      <c r="T83" s="740">
        <f>IFERROR(VALUE(SUBSTITUTE(([1]!bsi?MERV_Ö_XMEV_Ö_GD29C_Ö_48hs), ".", ",")), 0)</f>
        <v>0</v>
      </c>
      <c r="U83" s="741">
        <f>IFERROR(VALUE(SUBSTITUTE(([1]!bpr?MERV_Ö_XMEV_Ö_GD29C_Ö_48hs), ".", ",")), 0)</f>
        <v>0</v>
      </c>
      <c r="V83" s="741">
        <f>IFERROR(VALUE(SUBSTITUTE(([1]!opr?MERV_Ö_XMEV_Ö_GD29C_Ö_48hs), ".", ",")), 0)</f>
        <v>0</v>
      </c>
      <c r="W83" s="740">
        <f>IFERROR(VALUE(SUBSTITUTE(([1]!osi?MERV_Ö_XMEV_Ö_GD29C_Ö_48hs), ".", ",")), 0)</f>
        <v>0</v>
      </c>
      <c r="X83" s="742">
        <f>IFERROR(VALUE(SUBSTITUTE(([1]!lst?MERV_Ö_XMEV_Ö_GD29C_Ö_48hs), ".", ",")), 0)</f>
        <v>0</v>
      </c>
      <c r="Y83" s="743">
        <f>IFERROR(VALUE(SUBSTITUTE(([1]!chgp?MERV_Ö_XMEV_Ö_GD29C_Ö_48hs), ".", ",") / 100), 0)</f>
        <v>0</v>
      </c>
      <c r="Z83" s="744"/>
      <c r="AA83" s="744"/>
      <c r="AB83" s="744"/>
      <c r="AC83" s="744"/>
      <c r="AD83" s="745">
        <f>IFERROR(VALUE(SUBSTITUTE(([1]!vole?MERV_Ö_XMEV_Ö_GD29C_Ö_48hs), ".", ",")), 0)</f>
        <v>0</v>
      </c>
      <c r="AE83" s="745">
        <f>IFERROR(VALUE(SUBSTITUTE(([1]!voln?MERV_Ö_XMEV_Ö_GD29C_Ö_48hs), ".", ",")), 0)</f>
        <v>0</v>
      </c>
      <c r="AF83" s="745">
        <f>IFERROR(VALUE(SUBSTITUTE(([1]!vol?MERV_Ö_XMEV_Ö_GD29C_Ö_48hs), ".", ",")), 0)</f>
        <v>0</v>
      </c>
      <c r="AG83" s="746">
        <f>IFERROR(VALUE(SUBSTITUTE(([1]!ltu?MERV_Ö_XMEV_Ö_GD29C_Ö_48hs), ".", ",")), 0)</f>
        <v>0</v>
      </c>
      <c r="AH83" s="747">
        <f t="shared" si="3"/>
        <v>0</v>
      </c>
      <c r="BP83" s="766"/>
      <c r="BQ83" s="766"/>
      <c r="BS83" s="728"/>
    </row>
    <row r="84" spans="1:71" ht="12.75" customHeight="1">
      <c r="A84" s="739"/>
      <c r="B84" s="748"/>
      <c r="C84" s="749"/>
      <c r="D84" s="750"/>
      <c r="E84" s="750"/>
      <c r="F84" s="749"/>
      <c r="G84" s="751"/>
      <c r="H84" s="752"/>
      <c r="I84" s="753"/>
      <c r="J84" s="753"/>
      <c r="K84" s="753"/>
      <c r="L84" s="753"/>
      <c r="M84" s="754"/>
      <c r="N84" s="754"/>
      <c r="O84" s="754"/>
      <c r="P84" s="755"/>
      <c r="Q84" s="756"/>
      <c r="S84" s="748" t="s">
        <v>676</v>
      </c>
      <c r="T84" s="749">
        <f>IFERROR(VALUE(SUBSTITUTE(([1]!bsi?MERV_Ö_XMEV_Ö_GD29C_Ö_24hs), ".", ",")), 0)</f>
        <v>0</v>
      </c>
      <c r="U84" s="750">
        <f>IFERROR(VALUE(SUBSTITUTE(([1]!bpr?MERV_Ö_XMEV_Ö_GD29C_Ö_24hs), ".", ",")), 0)</f>
        <v>0</v>
      </c>
      <c r="V84" s="750">
        <f>IFERROR(VALUE(SUBSTITUTE(([1]!opr?MERV_Ö_XMEV_Ö_GD29C_Ö_24hs), ".", ",")), 0)</f>
        <v>0</v>
      </c>
      <c r="W84" s="749">
        <f>IFERROR(VALUE(SUBSTITUTE(([1]!osi?MERV_Ö_XMEV_Ö_GD29C_Ö_24hs), ".", ",")), 0)</f>
        <v>0</v>
      </c>
      <c r="X84" s="751">
        <f>IFERROR(VALUE(SUBSTITUTE(([1]!lst?MERV_Ö_XMEV_Ö_GD29C_Ö_24hs), ".", ",")), 0)</f>
        <v>0</v>
      </c>
      <c r="Y84" s="752">
        <f>IFERROR(VALUE(SUBSTITUTE(([1]!chgp?MERV_Ö_XMEV_Ö_GD29C_Ö_24hs), ".", ",") / 100), 0)</f>
        <v>0</v>
      </c>
      <c r="Z84" s="753"/>
      <c r="AA84" s="753"/>
      <c r="AB84" s="753"/>
      <c r="AC84" s="753"/>
      <c r="AD84" s="754">
        <f>IFERROR(VALUE(SUBSTITUTE(([1]!vole?MERV_Ö_XMEV_Ö_GD29C_Ö_24hs), ".", ",")), 0)</f>
        <v>0</v>
      </c>
      <c r="AE84" s="754">
        <f>IFERROR(VALUE(SUBSTITUTE(([1]!voln?MERV_Ö_XMEV_Ö_GD29C_Ö_24hs), ".", ",")), 0)</f>
        <v>0</v>
      </c>
      <c r="AF84" s="754">
        <f>IFERROR(VALUE(SUBSTITUTE(([1]!vol?MERV_Ö_XMEV_Ö_GD29C_Ö_24hs), ".", ",")), 0)</f>
        <v>0</v>
      </c>
      <c r="AG84" s="755">
        <f>IFERROR(VALUE(SUBSTITUTE(([1]!ltu?MERV_Ö_XMEV_Ö_GD29C_Ö_24hs), ".", ",")), 0)</f>
        <v>0</v>
      </c>
      <c r="AH84" s="756">
        <f t="shared" si="3"/>
        <v>0</v>
      </c>
      <c r="BP84" s="766"/>
      <c r="BQ84" s="766"/>
      <c r="BS84" s="728"/>
    </row>
    <row r="85" spans="1:71" ht="12.75" customHeight="1">
      <c r="A85" s="739"/>
      <c r="B85" s="778"/>
      <c r="C85" s="779"/>
      <c r="D85" s="780"/>
      <c r="E85" s="780"/>
      <c r="F85" s="779"/>
      <c r="G85" s="781"/>
      <c r="H85" s="782"/>
      <c r="I85" s="783"/>
      <c r="J85" s="783"/>
      <c r="K85" s="783"/>
      <c r="L85" s="783"/>
      <c r="M85" s="784"/>
      <c r="N85" s="784"/>
      <c r="O85" s="784"/>
      <c r="P85" s="785"/>
      <c r="Q85" s="786"/>
      <c r="S85" s="778" t="s">
        <v>677</v>
      </c>
      <c r="T85" s="779">
        <f>IFERROR(VALUE(SUBSTITUTE(([1]!bsi?MERV_Ö_XMEV_Ö_GD29C_Ö_CI), ".", ",")), 0)</f>
        <v>0</v>
      </c>
      <c r="U85" s="780">
        <f>IFERROR(VALUE(SUBSTITUTE(([1]!bpr?MERV_Ö_XMEV_Ö_GD29C_Ö_CI), ".", ",")), 0)</f>
        <v>0</v>
      </c>
      <c r="V85" s="780">
        <f>IFERROR(VALUE(SUBSTITUTE(([1]!opr?MERV_Ö_XMEV_Ö_GD29C_Ö_CI), ".", ",")), 0)</f>
        <v>0</v>
      </c>
      <c r="W85" s="779">
        <f>IFERROR(VALUE(SUBSTITUTE(([1]!osi?MERV_Ö_XMEV_Ö_GD29C_Ö_CI), ".", ",")), 0)</f>
        <v>0</v>
      </c>
      <c r="X85" s="781">
        <f>IFERROR(VALUE(SUBSTITUTE(([1]!lst?MERV_Ö_XMEV_Ö_GD29C_Ö_CI), ".", ",")), 0)</f>
        <v>0</v>
      </c>
      <c r="Y85" s="782">
        <f>IFERROR(VALUE(SUBSTITUTE(([1]!chgp?MERV_Ö_XMEV_Ö_GD29C_Ö_CI), ".", ",") / 100), 0)</f>
        <v>0</v>
      </c>
      <c r="Z85" s="783"/>
      <c r="AA85" s="783"/>
      <c r="AB85" s="783"/>
      <c r="AC85" s="783"/>
      <c r="AD85" s="784">
        <f>IFERROR(VALUE(SUBSTITUTE(([1]!vole?MERV_Ö_XMEV_Ö_GD29C_Ö_CI), ".", ",")), 0)</f>
        <v>0</v>
      </c>
      <c r="AE85" s="784">
        <f>IFERROR(VALUE(SUBSTITUTE(([1]!voln?MERV_Ö_XMEV_Ö_GD29C_Ö_CI), ".", ",")), 0)</f>
        <v>0</v>
      </c>
      <c r="AF85" s="784">
        <f>IFERROR(VALUE(SUBSTITUTE(([1]!vol?MERV_Ö_XMEV_Ö_GD29C_Ö_CI), ".", ",")), 0)</f>
        <v>0</v>
      </c>
      <c r="AG85" s="785">
        <f>IFERROR(VALUE(SUBSTITUTE(([1]!ltu?MERV_Ö_XMEV_Ö_GD29C_Ö_CI), ".", ",")), 0)</f>
        <v>0</v>
      </c>
      <c r="AH85" s="786">
        <f t="shared" si="3"/>
        <v>0</v>
      </c>
      <c r="BP85" s="766"/>
      <c r="BQ85" s="766"/>
      <c r="BS85" s="728"/>
    </row>
    <row r="86" spans="1:71" ht="12.75" customHeight="1">
      <c r="A86" s="739"/>
      <c r="B86" s="776"/>
      <c r="C86" s="740"/>
      <c r="D86" s="741"/>
      <c r="E86" s="741"/>
      <c r="F86" s="740"/>
      <c r="G86" s="742"/>
      <c r="H86" s="743"/>
      <c r="I86" s="744"/>
      <c r="J86" s="744"/>
      <c r="K86" s="744"/>
      <c r="L86" s="744"/>
      <c r="M86" s="745"/>
      <c r="N86" s="745"/>
      <c r="O86" s="745"/>
      <c r="P86" s="746"/>
      <c r="Q86" s="747"/>
      <c r="S86" s="776" t="s">
        <v>678</v>
      </c>
      <c r="T86" s="740">
        <f>IFERROR(VALUE(SUBSTITUTE(([1]!bsi?MERV_Ö_XMEV_Ö_GD35C_Ö_48hs), ".", ",")), 0)</f>
        <v>150000</v>
      </c>
      <c r="U86" s="741">
        <f>IFERROR(VALUE(SUBSTITUTE(([1]!bpr?MERV_Ö_XMEV_Ö_GD35C_Ö_48hs), ".", ",")), 0)</f>
        <v>31</v>
      </c>
      <c r="V86" s="741">
        <f>IFERROR(VALUE(SUBSTITUTE(([1]!opr?MERV_Ö_XMEV_Ö_GD35C_Ö_48hs), ".", ",")), 0)</f>
        <v>31.3</v>
      </c>
      <c r="W86" s="740">
        <f>IFERROR(VALUE(SUBSTITUTE(([1]!osi?MERV_Ö_XMEV_Ö_GD35C_Ö_48hs), ".", ",")), 0)</f>
        <v>72319</v>
      </c>
      <c r="X86" s="742">
        <f>IFERROR(VALUE(SUBSTITUTE(([1]!lst?MERV_Ö_XMEV_Ö_GD35C_Ö_48hs), ".", ",")), 0)</f>
        <v>31.34</v>
      </c>
      <c r="Y86" s="743">
        <f>IFERROR(VALUE(SUBSTITUTE(([1]!chgp?MERV_Ö_XMEV_Ö_GD35C_Ö_48hs), ".", ",") / 100), 0)</f>
        <v>-1.9E-3</v>
      </c>
      <c r="Z86" s="744"/>
      <c r="AA86" s="744"/>
      <c r="AB86" s="744"/>
      <c r="AC86" s="744"/>
      <c r="AD86" s="745">
        <f>IFERROR(VALUE(SUBSTITUTE(([1]!vole?MERV_Ö_XMEV_Ö_GD35C_Ö_48hs), ".", ",")), 0)</f>
        <v>498906.59</v>
      </c>
      <c r="AE86" s="745">
        <f>IFERROR(VALUE(SUBSTITUTE(([1]!voln?MERV_Ö_XMEV_Ö_GD35C_Ö_48hs), ".", ",")), 0)</f>
        <v>1595031</v>
      </c>
      <c r="AF86" s="745">
        <f>IFERROR(VALUE(SUBSTITUTE(([1]!vol?MERV_Ö_XMEV_Ö_GD35C_Ö_48hs), ".", ",")), 0)</f>
        <v>0</v>
      </c>
      <c r="AG86" s="746">
        <f>IFERROR(VALUE(SUBSTITUTE(([1]!ltu?MERV_Ö_XMEV_Ö_GD35C_Ö_48hs), ".", ",")), 0)</f>
        <v>0.68334490740740739</v>
      </c>
      <c r="AH86" s="747">
        <f t="shared" si="3"/>
        <v>0</v>
      </c>
      <c r="BP86" s="766"/>
      <c r="BQ86" s="766"/>
      <c r="BS86" s="728"/>
    </row>
    <row r="87" spans="1:71" ht="12.75" customHeight="1">
      <c r="A87" s="739"/>
      <c r="B87" s="748"/>
      <c r="C87" s="749"/>
      <c r="D87" s="750"/>
      <c r="E87" s="750"/>
      <c r="F87" s="749"/>
      <c r="G87" s="751"/>
      <c r="H87" s="752"/>
      <c r="I87" s="753"/>
      <c r="J87" s="753"/>
      <c r="K87" s="753"/>
      <c r="L87" s="753"/>
      <c r="M87" s="754"/>
      <c r="N87" s="754"/>
      <c r="O87" s="754"/>
      <c r="P87" s="755"/>
      <c r="Q87" s="756"/>
      <c r="S87" s="748" t="s">
        <v>679</v>
      </c>
      <c r="T87" s="749">
        <f>IFERROR(VALUE(SUBSTITUTE(([1]!bsi?MERV_Ö_XMEV_Ö_GD35C_Ö_24hs), ".", ",")), 0)</f>
        <v>0</v>
      </c>
      <c r="U87" s="750">
        <f>IFERROR(VALUE(SUBSTITUTE(([1]!bpr?MERV_Ö_XMEV_Ö_GD35C_Ö_24hs), ".", ",")), 0)</f>
        <v>0</v>
      </c>
      <c r="V87" s="750">
        <f>IFERROR(VALUE(SUBSTITUTE(([1]!opr?MERV_Ö_XMEV_Ö_GD35C_Ö_24hs), ".", ",")), 0)</f>
        <v>0</v>
      </c>
      <c r="W87" s="749">
        <f>IFERROR(VALUE(SUBSTITUTE(([1]!osi?MERV_Ö_XMEV_Ö_GD35C_Ö_24hs), ".", ",")), 0)</f>
        <v>0</v>
      </c>
      <c r="X87" s="751">
        <f>IFERROR(VALUE(SUBSTITUTE(([1]!lst?MERV_Ö_XMEV_Ö_GD35C_Ö_24hs), ".", ",")), 0)</f>
        <v>0</v>
      </c>
      <c r="Y87" s="752">
        <f>IFERROR(VALUE(SUBSTITUTE(([1]!chgp?MERV_Ö_XMEV_Ö_GD35C_Ö_24hs), ".", ",") / 100), 0)</f>
        <v>0</v>
      </c>
      <c r="Z87" s="753"/>
      <c r="AA87" s="753"/>
      <c r="AB87" s="753"/>
      <c r="AC87" s="753"/>
      <c r="AD87" s="754">
        <f>IFERROR(VALUE(SUBSTITUTE(([1]!vole?MERV_Ö_XMEV_Ö_GD35C_Ö_24hs), ".", ",")), 0)</f>
        <v>0</v>
      </c>
      <c r="AE87" s="754">
        <f>IFERROR(VALUE(SUBSTITUTE(([1]!voln?MERV_Ö_XMEV_Ö_GD35C_Ö_24hs), ".", ",")), 0)</f>
        <v>0</v>
      </c>
      <c r="AF87" s="754">
        <f>IFERROR(VALUE(SUBSTITUTE(([1]!vol?MERV_Ö_XMEV_Ö_GD35C_Ö_24hs), ".", ",")), 0)</f>
        <v>0</v>
      </c>
      <c r="AG87" s="755">
        <f>IFERROR(VALUE(SUBSTITUTE(([1]!ltu?MERV_Ö_XMEV_Ö_GD35C_Ö_24hs), ".", ",")), 0)</f>
        <v>0</v>
      </c>
      <c r="AH87" s="756">
        <f t="shared" si="3"/>
        <v>0</v>
      </c>
      <c r="BP87" s="766"/>
      <c r="BQ87" s="766"/>
      <c r="BS87" s="728"/>
    </row>
    <row r="88" spans="1:71" ht="12.75" customHeight="1">
      <c r="A88" s="739"/>
      <c r="B88" s="778"/>
      <c r="C88" s="779"/>
      <c r="D88" s="780"/>
      <c r="E88" s="780"/>
      <c r="F88" s="779"/>
      <c r="G88" s="781"/>
      <c r="H88" s="782"/>
      <c r="I88" s="783"/>
      <c r="J88" s="783"/>
      <c r="K88" s="783"/>
      <c r="L88" s="783"/>
      <c r="M88" s="784"/>
      <c r="N88" s="784"/>
      <c r="O88" s="784"/>
      <c r="P88" s="785"/>
      <c r="Q88" s="786"/>
      <c r="S88" s="778" t="s">
        <v>680</v>
      </c>
      <c r="T88" s="779">
        <f>IFERROR(VALUE(SUBSTITUTE(([1]!bsi?MERV_Ö_XMEV_Ö_GD35C_Ö_CI), ".", ",")), 0)</f>
        <v>150000</v>
      </c>
      <c r="U88" s="780">
        <f>IFERROR(VALUE(SUBSTITUTE(([1]!bpr?MERV_Ö_XMEV_Ö_GD35C_Ö_CI), ".", ",")), 0)</f>
        <v>31</v>
      </c>
      <c r="V88" s="780">
        <f>IFERROR(VALUE(SUBSTITUTE(([1]!opr?MERV_Ö_XMEV_Ö_GD35C_Ö_CI), ".", ",")), 0)</f>
        <v>32</v>
      </c>
      <c r="W88" s="779">
        <f>IFERROR(VALUE(SUBSTITUTE(([1]!osi?MERV_Ö_XMEV_Ö_GD35C_Ö_CI), ".", ",")), 0)</f>
        <v>150000</v>
      </c>
      <c r="X88" s="781">
        <f>IFERROR(VALUE(SUBSTITUTE(([1]!lst?MERV_Ö_XMEV_Ö_GD35C_Ö_CI), ".", ",")), 0)</f>
        <v>31.31</v>
      </c>
      <c r="Y88" s="782">
        <f>IFERROR(VALUE(SUBSTITUTE(([1]!chgp?MERV_Ö_XMEV_Ö_GD35C_Ö_CI), ".", ",") / 100), 0)</f>
        <v>1.95E-2</v>
      </c>
      <c r="Z88" s="783"/>
      <c r="AA88" s="783"/>
      <c r="AB88" s="783"/>
      <c r="AC88" s="783"/>
      <c r="AD88" s="784">
        <f>IFERROR(VALUE(SUBSTITUTE(([1]!vole?MERV_Ö_XMEV_Ö_GD35C_Ö_CI), ".", ",")), 0)</f>
        <v>2900.22</v>
      </c>
      <c r="AE88" s="784">
        <f>IFERROR(VALUE(SUBSTITUTE(([1]!voln?MERV_Ö_XMEV_Ö_GD35C_Ö_CI), ".", ",")), 0)</f>
        <v>9274</v>
      </c>
      <c r="AF88" s="784">
        <f>IFERROR(VALUE(SUBSTITUTE(([1]!vol?MERV_Ö_XMEV_Ö_GD35C_Ö_CI), ".", ",")), 0)</f>
        <v>0</v>
      </c>
      <c r="AG88" s="785">
        <f>IFERROR(VALUE(SUBSTITUTE(([1]!ltu?MERV_Ö_XMEV_Ö_GD35C_Ö_CI), ".", ",")), 0)</f>
        <v>0.63180555555555562</v>
      </c>
      <c r="AH88" s="786">
        <f t="shared" si="3"/>
        <v>0</v>
      </c>
      <c r="BP88" s="766"/>
      <c r="BQ88" s="766"/>
      <c r="BS88" s="728"/>
    </row>
    <row r="89" spans="1:71" ht="12.75" customHeight="1">
      <c r="A89" s="739"/>
      <c r="B89" s="776"/>
      <c r="C89" s="740"/>
      <c r="D89" s="741"/>
      <c r="E89" s="741"/>
      <c r="F89" s="740"/>
      <c r="G89" s="742"/>
      <c r="H89" s="743"/>
      <c r="I89" s="744"/>
      <c r="J89" s="744"/>
      <c r="K89" s="744"/>
      <c r="L89" s="744"/>
      <c r="M89" s="745"/>
      <c r="N89" s="745"/>
      <c r="O89" s="745"/>
      <c r="P89" s="746"/>
      <c r="Q89" s="747"/>
      <c r="S89" s="776" t="s">
        <v>633</v>
      </c>
      <c r="T89" s="740">
        <f>IFERROR(VALUE(SUBSTITUTE(([1]!bsi?MERV_Ö_XMEV_Ö_AL30C_Ö_48hs), ".", ",")), 0)</f>
        <v>20000</v>
      </c>
      <c r="U89" s="741">
        <f>IFERROR(VALUE(SUBSTITUTE(([1]!bpr?MERV_Ö_XMEV_Ö_AL30C_Ö_48hs), ".", ",")), 0)</f>
        <v>29</v>
      </c>
      <c r="V89" s="741">
        <f>IFERROR(VALUE(SUBSTITUTE(([1]!opr?MERV_Ö_XMEV_Ö_AL30C_Ö_48hs), ".", ",")), 0)</f>
        <v>0</v>
      </c>
      <c r="W89" s="740">
        <f>IFERROR(VALUE(SUBSTITUTE(([1]!osi?MERV_Ö_XMEV_Ö_AL30C_Ö_48hs), ".", ",")), 0)</f>
        <v>0</v>
      </c>
      <c r="X89" s="742">
        <f>IFERROR(VALUE(SUBSTITUTE(([1]!lst?MERV_Ö_XMEV_Ö_AL30C_Ö_48hs), ".", ",")), 0)</f>
        <v>0</v>
      </c>
      <c r="Y89" s="743">
        <f>IFERROR(VALUE(SUBSTITUTE(([1]!chgp?MERV_Ö_XMEV_Ö_AL30C_Ö_48hs), ".", ",") / 100), 0)</f>
        <v>0</v>
      </c>
      <c r="Z89" s="744"/>
      <c r="AA89" s="744"/>
      <c r="AB89" s="744"/>
      <c r="AC89" s="744"/>
      <c r="AD89" s="745">
        <f>IFERROR(VALUE(SUBSTITUTE(([1]!vole?MERV_Ö_XMEV_Ö_AL30C_Ö_48hs), ".", ",")), 0)</f>
        <v>0</v>
      </c>
      <c r="AE89" s="745">
        <f>IFERROR(VALUE(SUBSTITUTE(([1]!voln?MERV_Ö_XMEV_Ö_AL30C_Ö_48hs), ".", ",")), 0)</f>
        <v>0</v>
      </c>
      <c r="AF89" s="745">
        <f>IFERROR(VALUE(SUBSTITUTE(([1]!vol?MERV_Ö_XMEV_Ö_AL30C_Ö_48hs), ".", ",")), 0)</f>
        <v>0</v>
      </c>
      <c r="AG89" s="746">
        <f>IFERROR(VALUE(SUBSTITUTE(([1]!ltu?MERV_Ö_XMEV_Ö_AL30C_Ö_48hs), ".", ",")), 0)</f>
        <v>0</v>
      </c>
      <c r="AH89" s="747">
        <f t="shared" si="3"/>
        <v>0</v>
      </c>
      <c r="BP89" s="766"/>
      <c r="BQ89" s="766"/>
      <c r="BS89" s="728"/>
    </row>
    <row r="90" spans="1:71" ht="12.75" customHeight="1">
      <c r="A90" s="739"/>
      <c r="B90" s="748"/>
      <c r="C90" s="749"/>
      <c r="D90" s="750"/>
      <c r="E90" s="750"/>
      <c r="F90" s="749"/>
      <c r="G90" s="751"/>
      <c r="H90" s="752"/>
      <c r="I90" s="753"/>
      <c r="J90" s="753"/>
      <c r="K90" s="753"/>
      <c r="L90" s="753"/>
      <c r="M90" s="754"/>
      <c r="N90" s="754"/>
      <c r="O90" s="754"/>
      <c r="P90" s="755"/>
      <c r="Q90" s="756"/>
      <c r="S90" s="748" t="s">
        <v>681</v>
      </c>
      <c r="T90" s="749">
        <f>IFERROR(VALUE(SUBSTITUTE(([1]!bsi?MERV_Ö_XMEV_Ö_AL30C_Ö_24hs), ".", ",")), 0)</f>
        <v>0</v>
      </c>
      <c r="U90" s="750">
        <f>IFERROR(VALUE(SUBSTITUTE(([1]!bpr?MERV_Ö_XMEV_Ö_AL30C_Ö_24hs), ".", ",")), 0)</f>
        <v>0</v>
      </c>
      <c r="V90" s="750">
        <f>IFERROR(VALUE(SUBSTITUTE(([1]!opr?MERV_Ö_XMEV_Ö_AL30C_Ö_24hs), ".", ",")), 0)</f>
        <v>0</v>
      </c>
      <c r="W90" s="749">
        <f>IFERROR(VALUE(SUBSTITUTE(([1]!osi?MERV_Ö_XMEV_Ö_AL30C_Ö_24hs), ".", ",")), 0)</f>
        <v>0</v>
      </c>
      <c r="X90" s="751">
        <f>IFERROR(VALUE(SUBSTITUTE(([1]!lst?MERV_Ö_XMEV_Ö_AL30C_Ö_24hs), ".", ",")), 0)</f>
        <v>0</v>
      </c>
      <c r="Y90" s="752">
        <f>IFERROR(VALUE(SUBSTITUTE(([1]!chgp?MERV_Ö_XMEV_Ö_AL30C_Ö_24hs), ".", ",") / 100), 0)</f>
        <v>0</v>
      </c>
      <c r="Z90" s="753"/>
      <c r="AA90" s="753"/>
      <c r="AB90" s="753"/>
      <c r="AC90" s="753"/>
      <c r="AD90" s="754">
        <f>IFERROR(VALUE(SUBSTITUTE(([1]!vole?MERV_Ö_XMEV_Ö_AL30C_Ö_24hs), ".", ",")), 0)</f>
        <v>0</v>
      </c>
      <c r="AE90" s="754">
        <f>IFERROR(VALUE(SUBSTITUTE(([1]!voln?MERV_Ö_XMEV_Ö_AL30C_Ö_24hs), ".", ",")), 0)</f>
        <v>0</v>
      </c>
      <c r="AF90" s="754">
        <f>IFERROR(VALUE(SUBSTITUTE(([1]!vol?MERV_Ö_XMEV_Ö_AL30C_Ö_24hs), ".", ",")), 0)</f>
        <v>0</v>
      </c>
      <c r="AG90" s="755">
        <f>IFERROR(VALUE(SUBSTITUTE(([1]!ltu?MERV_Ö_XMEV_Ö_AL30C_Ö_24hs), ".", ",")), 0)</f>
        <v>0</v>
      </c>
      <c r="AH90" s="756">
        <f t="shared" si="3"/>
        <v>0</v>
      </c>
      <c r="BP90" s="766"/>
      <c r="BQ90" s="766"/>
      <c r="BS90" s="728"/>
    </row>
    <row r="91" spans="1:71" ht="12.75" customHeight="1">
      <c r="B91" s="787"/>
      <c r="C91" s="788"/>
      <c r="D91" s="789"/>
      <c r="E91" s="789"/>
      <c r="F91" s="788"/>
      <c r="G91" s="790"/>
      <c r="H91" s="791"/>
      <c r="I91" s="792"/>
      <c r="J91" s="792"/>
      <c r="K91" s="792"/>
      <c r="L91" s="792"/>
      <c r="M91" s="793"/>
      <c r="N91" s="793"/>
      <c r="O91" s="793"/>
      <c r="P91" s="794"/>
      <c r="Q91" s="795"/>
      <c r="S91" s="787" t="s">
        <v>682</v>
      </c>
      <c r="T91" s="788">
        <f>IFERROR(VALUE(SUBSTITUTE(([1]!bsi?MERV_Ö_XMEV_Ö_AL30C_Ö_CI), ".", ",")), 0)</f>
        <v>100000</v>
      </c>
      <c r="U91" s="789">
        <f>IFERROR(VALUE(SUBSTITUTE(([1]!bpr?MERV_Ö_XMEV_Ö_AL30C_Ö_CI), ".", ",")), 0)</f>
        <v>29.7</v>
      </c>
      <c r="V91" s="789">
        <f>IFERROR(VALUE(SUBSTITUTE(([1]!opr?MERV_Ö_XMEV_Ö_AL30C_Ö_CI), ".", ",")), 0)</f>
        <v>30.15</v>
      </c>
      <c r="W91" s="788">
        <f>IFERROR(VALUE(SUBSTITUTE(([1]!osi?MERV_Ö_XMEV_Ö_AL30C_Ö_CI), ".", ",")), 0)</f>
        <v>4000</v>
      </c>
      <c r="X91" s="790">
        <f>IFERROR(VALUE(SUBSTITUTE(([1]!lst?MERV_Ö_XMEV_Ö_AL30C_Ö_CI), ".", ",")), 0)</f>
        <v>30.14</v>
      </c>
      <c r="Y91" s="791">
        <f>IFERROR(VALUE(SUBSTITUTE(([1]!chgp?MERV_Ö_XMEV_Ö_AL30C_Ö_CI), ".", ",") / 100), 0)</f>
        <v>3.2199999999999999E-2</v>
      </c>
      <c r="Z91" s="792"/>
      <c r="AA91" s="792"/>
      <c r="AB91" s="792"/>
      <c r="AC91" s="792"/>
      <c r="AD91" s="793">
        <f>IFERROR(VALUE(SUBSTITUTE(([1]!vole?MERV_Ö_XMEV_Ö_AL30C_Ö_CI), ".", ",")), 0)</f>
        <v>13613.97</v>
      </c>
      <c r="AE91" s="793">
        <f>IFERROR(VALUE(SUBSTITUTE(([1]!voln?MERV_Ö_XMEV_Ö_AL30C_Ö_CI), ".", ",")), 0)</f>
        <v>45741</v>
      </c>
      <c r="AF91" s="793">
        <f>IFERROR(VALUE(SUBSTITUTE(([1]!vol?MERV_Ö_XMEV_Ö_AL30C_Ö_CI), ".", ",")), 0)</f>
        <v>0</v>
      </c>
      <c r="AG91" s="794">
        <f>IFERROR(VALUE(SUBSTITUTE(([1]!ltu?MERV_Ö_XMEV_Ö_AL30C_Ö_CI), ".", ",")), 0)</f>
        <v>0.64197916666666666</v>
      </c>
      <c r="AH91" s="795">
        <f t="shared" si="3"/>
        <v>0</v>
      </c>
      <c r="BP91" s="766"/>
      <c r="BQ91" s="766"/>
      <c r="BS91" s="728"/>
    </row>
    <row r="92" spans="1:71" ht="12.75" customHeight="1">
      <c r="B92" s="690" t="s">
        <v>501</v>
      </c>
      <c r="C92" s="691">
        <f>IFERROR(VALUE(SUBSTITUTE(([1]!bsi?MERV_Ö_XMEV_Ö_BYMA_Ö_48hs), ".", ",")), 0)</f>
        <v>0</v>
      </c>
      <c r="D92" s="738">
        <f>IFERROR(VALUE(SUBSTITUTE(([1]!bpr?MERV_Ö_XMEV_Ö_BYMA_Ö_48hs), ".", ",")), 0)</f>
        <v>0</v>
      </c>
      <c r="E92" s="738">
        <f>IFERROR(VALUE(SUBSTITUTE(([1]!opr?MERV_Ö_XMEV_Ö_BYMA_Ö_48hs), ".", ",")), 0)</f>
        <v>0</v>
      </c>
      <c r="F92" s="691">
        <f>IFERROR(VALUE(SUBSTITUTE(([1]!osi?MERV_Ö_XMEV_Ö_BYMA_Ö_48hs), ".", ",")), 0)</f>
        <v>0</v>
      </c>
      <c r="G92" s="165">
        <f>IFERROR(VALUE(SUBSTITUTE(([1]!lst?MERV_Ö_XMEV_Ö_BYMA_Ö_48hs), ".", ",")), 0)</f>
        <v>0</v>
      </c>
      <c r="H92" s="693">
        <f>IFERROR(VALUE(SUBSTITUTE(([1]!chgp?MERV_Ö_XMEV_Ö_BYMA_Ö_48hs), ".", ",") / 100), 0)</f>
        <v>0</v>
      </c>
      <c r="I92" s="694"/>
      <c r="J92" s="694"/>
      <c r="K92" s="694"/>
      <c r="L92" s="694"/>
      <c r="M92" s="695">
        <f>IFERROR(VALUE(SUBSTITUTE(([1]!vole?MERV_Ö_XMEV_Ö_BYMA_Ö_48hs), ".", ",")), 0)</f>
        <v>0</v>
      </c>
      <c r="N92" s="695">
        <f>IFERROR(VALUE(SUBSTITUTE(([1]!voln?MERV_Ö_XMEV_Ö_BYMA_Ö_48hs), ".", ",")), 0)</f>
        <v>0</v>
      </c>
      <c r="O92" s="694">
        <f>IFERROR(VALUE(SUBSTITUTE(([1]!vol?MERV_Ö_XMEV_Ö_BYMA_Ö_48hs), ".", ",")), 0)</f>
        <v>0</v>
      </c>
      <c r="P92" s="696">
        <f>IFERROR(VALUE(SUBSTITUTE(([1]!ltu?MERV_Ö_XMEV_Ö_BYMA_Ö_48hs), ".", ",")), 0)</f>
        <v>0</v>
      </c>
      <c r="Q92" s="757">
        <f t="shared" ref="Q92:Q100" si="4">IFERROR(IF(LEN(B92) &lt; 10, M92/N92, M92/N92/100), 0)</f>
        <v>0</v>
      </c>
      <c r="S92" s="690"/>
      <c r="T92" s="691"/>
      <c r="U92" s="738"/>
      <c r="V92" s="738"/>
      <c r="W92" s="691"/>
      <c r="X92" s="165"/>
      <c r="Y92" s="693"/>
      <c r="Z92" s="694"/>
      <c r="AA92" s="694"/>
      <c r="AB92" s="694"/>
      <c r="AC92" s="694"/>
      <c r="AD92" s="695"/>
      <c r="AE92" s="695"/>
      <c r="AF92" s="694"/>
      <c r="AG92" s="696"/>
      <c r="AH92" s="757"/>
      <c r="BP92" s="766"/>
      <c r="BQ92" s="766"/>
      <c r="BS92" s="728"/>
    </row>
    <row r="93" spans="1:71" ht="12.75" customHeight="1">
      <c r="B93" s="690" t="s">
        <v>379</v>
      </c>
      <c r="C93" s="691">
        <f>IFERROR(VALUE(SUBSTITUTE(([1]!bsi?MERV_Ö_XMEV_Ö_COME_Ö_48hs), ".", ",")), 0)</f>
        <v>0</v>
      </c>
      <c r="D93" s="738">
        <f>IFERROR(VALUE(SUBSTITUTE(([1]!bpr?MERV_Ö_XMEV_Ö_COME_Ö_48hs), ".", ",")), 0)</f>
        <v>0</v>
      </c>
      <c r="E93" s="738">
        <f>IFERROR(VALUE(SUBSTITUTE(([1]!opr?MERV_Ö_XMEV_Ö_COME_Ö_48hs), ".", ",")), 0)</f>
        <v>0</v>
      </c>
      <c r="F93" s="691">
        <f>IFERROR(VALUE(SUBSTITUTE(([1]!osi?MERV_Ö_XMEV_Ö_COME_Ö_48hs), ".", ",")), 0)</f>
        <v>0</v>
      </c>
      <c r="G93" s="165">
        <f>IFERROR(VALUE(SUBSTITUTE(([1]!lst?MERV_Ö_XMEV_Ö_COME_Ö_48hs), ".", ",")), 0)</f>
        <v>0</v>
      </c>
      <c r="H93" s="693">
        <f>IFERROR(VALUE(SUBSTITUTE(([1]!chgp?MERV_Ö_XMEV_Ö_COME_Ö_48hs), ".", ",") / 100), 0)</f>
        <v>0</v>
      </c>
      <c r="I93" s="694"/>
      <c r="J93" s="694"/>
      <c r="K93" s="694"/>
      <c r="L93" s="694"/>
      <c r="M93" s="695">
        <f>IFERROR(VALUE(SUBSTITUTE(([1]!vole?MERV_Ö_XMEV_Ö_COME_Ö_48hs), ".", ",")), 0)</f>
        <v>0</v>
      </c>
      <c r="N93" s="695">
        <f>IFERROR(VALUE(SUBSTITUTE(([1]!voln?MERV_Ö_XMEV_Ö_COME_Ö_48hs), ".", ",")), 0)</f>
        <v>0</v>
      </c>
      <c r="O93" s="694">
        <f>IFERROR(VALUE(SUBSTITUTE(([1]!vol?MERV_Ö_XMEV_Ö_COME_Ö_48hs), ".", ",")), 0)</f>
        <v>0</v>
      </c>
      <c r="P93" s="696">
        <f>IFERROR(VALUE(SUBSTITUTE(([1]!ltu?MERV_Ö_XMEV_Ö_COME_Ö_48hs), ".", ",")), 0)</f>
        <v>0</v>
      </c>
      <c r="Q93" s="757">
        <f t="shared" si="4"/>
        <v>0</v>
      </c>
      <c r="S93" s="690"/>
      <c r="T93" s="691"/>
      <c r="U93" s="738"/>
      <c r="V93" s="738"/>
      <c r="W93" s="691"/>
      <c r="X93" s="165"/>
      <c r="Y93" s="693"/>
      <c r="Z93" s="694"/>
      <c r="AA93" s="694"/>
      <c r="AB93" s="694"/>
      <c r="AC93" s="694"/>
      <c r="AD93" s="695"/>
      <c r="AE93" s="695"/>
      <c r="AF93" s="694"/>
      <c r="AG93" s="696"/>
      <c r="AH93" s="757"/>
      <c r="BP93" s="766"/>
      <c r="BQ93" s="766"/>
      <c r="BS93" s="728"/>
    </row>
    <row r="94" spans="1:71" ht="12.75" customHeight="1">
      <c r="B94" s="690" t="s">
        <v>386</v>
      </c>
      <c r="C94" s="691">
        <f>IFERROR(VALUE(SUBSTITUTE(([1]!bsi?MERV_Ö_XMEV_Ö_EDN_Ö_48hs), ".", ",")), 0)</f>
        <v>0</v>
      </c>
      <c r="D94" s="738">
        <f>IFERROR(VALUE(SUBSTITUTE(([1]!bpr?MERV_Ö_XMEV_Ö_EDN_Ö_48hs), ".", ",")), 0)</f>
        <v>0</v>
      </c>
      <c r="E94" s="738">
        <f>IFERROR(VALUE(SUBSTITUTE(([1]!opr?MERV_Ö_XMEV_Ö_EDN_Ö_48hs), ".", ",")), 0)</f>
        <v>0</v>
      </c>
      <c r="F94" s="691">
        <f>IFERROR(VALUE(SUBSTITUTE(([1]!osi?MERV_Ö_XMEV_Ö_EDN_Ö_48hs), ".", ",")), 0)</f>
        <v>0</v>
      </c>
      <c r="G94" s="165">
        <f>IFERROR(VALUE(SUBSTITUTE(([1]!lst?MERV_Ö_XMEV_Ö_EDN_Ö_48hs), ".", ",")), 0)</f>
        <v>0</v>
      </c>
      <c r="H94" s="693">
        <f>IFERROR(VALUE(SUBSTITUTE(([1]!chgp?MERV_Ö_XMEV_Ö_EDN_Ö_48hs), ".", ",") / 100), 0)</f>
        <v>0</v>
      </c>
      <c r="I94" s="694"/>
      <c r="J94" s="694"/>
      <c r="K94" s="694"/>
      <c r="L94" s="694"/>
      <c r="M94" s="695">
        <f>IFERROR(VALUE(SUBSTITUTE(([1]!vole?MERV_Ö_XMEV_Ö_EDN_Ö_48hs), ".", ",")), 0)</f>
        <v>0</v>
      </c>
      <c r="N94" s="695">
        <f>IFERROR(VALUE(SUBSTITUTE(([1]!voln?MERV_Ö_XMEV_Ö_EDN_Ö_48hs), ".", ",")), 0)</f>
        <v>0</v>
      </c>
      <c r="O94" s="694">
        <f>IFERROR(VALUE(SUBSTITUTE(([1]!vol?MERV_Ö_XMEV_Ö_EDN_Ö_48hs), ".", ",")), 0)</f>
        <v>0</v>
      </c>
      <c r="P94" s="696">
        <f>IFERROR(VALUE(SUBSTITUTE(([1]!ltu?MERV_Ö_XMEV_Ö_EDN_Ö_48hs), ".", ",")), 0)</f>
        <v>0</v>
      </c>
      <c r="Q94" s="757">
        <f t="shared" si="4"/>
        <v>0</v>
      </c>
      <c r="S94" s="690"/>
      <c r="T94" s="691"/>
      <c r="U94" s="738"/>
      <c r="V94" s="738"/>
      <c r="W94" s="691"/>
      <c r="X94" s="165"/>
      <c r="Y94" s="693"/>
      <c r="Z94" s="694"/>
      <c r="AA94" s="694"/>
      <c r="AB94" s="694"/>
      <c r="AC94" s="694"/>
      <c r="AD94" s="695"/>
      <c r="AE94" s="695"/>
      <c r="AF94" s="694"/>
      <c r="AG94" s="696"/>
      <c r="AH94" s="757"/>
      <c r="BP94" s="766"/>
      <c r="BQ94" s="766"/>
      <c r="BS94" s="728"/>
    </row>
    <row r="95" spans="1:71" ht="12.75" customHeight="1">
      <c r="B95" s="690" t="s">
        <v>394</v>
      </c>
      <c r="C95" s="691">
        <f>IFERROR(VALUE(SUBSTITUTE(([1]!bsi?MERV_Ö_XMEV_Ö_MIRG_Ö_48hs), ".", ",")), 0)</f>
        <v>0</v>
      </c>
      <c r="D95" s="738">
        <f>IFERROR(VALUE(SUBSTITUTE(([1]!bpr?MERV_Ö_XMEV_Ö_MIRG_Ö_48hs), ".", ",")), 0)</f>
        <v>0</v>
      </c>
      <c r="E95" s="738">
        <f>IFERROR(VALUE(SUBSTITUTE(([1]!opr?MERV_Ö_XMEV_Ö_MIRG_Ö_48hs), ".", ",")), 0)</f>
        <v>0</v>
      </c>
      <c r="F95" s="691">
        <f>IFERROR(VALUE(SUBSTITUTE(([1]!osi?MERV_Ö_XMEV_Ö_MIRG_Ö_48hs), ".", ",")), 0)</f>
        <v>0</v>
      </c>
      <c r="G95" s="165">
        <f>IFERROR(VALUE(SUBSTITUTE(([1]!lst?MERV_Ö_XMEV_Ö_MIRG_Ö_48hs), ".", ",")), 0)</f>
        <v>0</v>
      </c>
      <c r="H95" s="693">
        <f>IFERROR(VALUE(SUBSTITUTE(([1]!chgp?MERV_Ö_XMEV_Ö_MIRG_Ö_48hs), ".", ",") / 100), 0)</f>
        <v>0</v>
      </c>
      <c r="I95" s="694"/>
      <c r="J95" s="694"/>
      <c r="K95" s="694"/>
      <c r="L95" s="694"/>
      <c r="M95" s="695">
        <f>IFERROR(VALUE(SUBSTITUTE(([1]!vole?MERV_Ö_XMEV_Ö_MIRG_Ö_48hs), ".", ",")), 0)</f>
        <v>0</v>
      </c>
      <c r="N95" s="695">
        <f>IFERROR(VALUE(SUBSTITUTE(([1]!voln?MERV_Ö_XMEV_Ö_MIRG_Ö_48hs), ".", ",")), 0)</f>
        <v>0</v>
      </c>
      <c r="O95" s="694">
        <f>IFERROR(VALUE(SUBSTITUTE(([1]!vol?MERV_Ö_XMEV_Ö_MIRG_Ö_48hs), ".", ",")), 0)</f>
        <v>0</v>
      </c>
      <c r="P95" s="696">
        <f>IFERROR(VALUE(SUBSTITUTE(([1]!ltu?MERV_Ö_XMEV_Ö_MIRG_Ö_48hs), ".", ",")), 0)</f>
        <v>0</v>
      </c>
      <c r="Q95" s="757">
        <f t="shared" si="4"/>
        <v>0</v>
      </c>
      <c r="S95" s="690"/>
      <c r="T95" s="691"/>
      <c r="U95" s="738"/>
      <c r="V95" s="738"/>
      <c r="W95" s="691"/>
      <c r="X95" s="165"/>
      <c r="Y95" s="693"/>
      <c r="Z95" s="694"/>
      <c r="AA95" s="694"/>
      <c r="AB95" s="694"/>
      <c r="AC95" s="694"/>
      <c r="AD95" s="695"/>
      <c r="AE95" s="695"/>
      <c r="AF95" s="694"/>
      <c r="AG95" s="696"/>
      <c r="AH95" s="757"/>
      <c r="BP95" s="766"/>
      <c r="BQ95" s="766"/>
      <c r="BS95" s="728"/>
    </row>
    <row r="96" spans="1:71" ht="12.75" customHeight="1">
      <c r="B96" s="690" t="s">
        <v>396</v>
      </c>
      <c r="C96" s="691">
        <f>IFERROR(VALUE(SUBSTITUTE(([1]!bsi?MERV_Ö_XMEV_Ö_PAMP_Ö_48hs), ".", ",")), 0)</f>
        <v>0</v>
      </c>
      <c r="D96" s="738">
        <f>IFERROR(VALUE(SUBSTITUTE(([1]!bpr?MERV_Ö_XMEV_Ö_PAMP_Ö_48hs), ".", ",")), 0)</f>
        <v>0</v>
      </c>
      <c r="E96" s="738">
        <f>IFERROR(VALUE(SUBSTITUTE(([1]!opr?MERV_Ö_XMEV_Ö_PAMP_Ö_48hs), ".", ",")), 0)</f>
        <v>0</v>
      </c>
      <c r="F96" s="691">
        <f>IFERROR(VALUE(SUBSTITUTE(([1]!osi?MERV_Ö_XMEV_Ö_PAMP_Ö_48hs), ".", ",")), 0)</f>
        <v>0</v>
      </c>
      <c r="G96" s="165">
        <f>IFERROR(VALUE(SUBSTITUTE(([1]!lst?MERV_Ö_XMEV_Ö_PAMP_Ö_48hs), ".", ",")), 0)</f>
        <v>0</v>
      </c>
      <c r="H96" s="693">
        <f>IFERROR(VALUE(SUBSTITUTE(([1]!chgp?MERV_Ö_XMEV_Ö_PAMP_Ö_48hs), ".", ",") / 100), 0)</f>
        <v>0</v>
      </c>
      <c r="I96" s="694"/>
      <c r="J96" s="694"/>
      <c r="K96" s="694"/>
      <c r="L96" s="694"/>
      <c r="M96" s="695">
        <f>IFERROR(VALUE(SUBSTITUTE(([1]!vole?MERV_Ö_XMEV_Ö_PAMP_Ö_48hs), ".", ",")), 0)</f>
        <v>0</v>
      </c>
      <c r="N96" s="695">
        <f>IFERROR(VALUE(SUBSTITUTE(([1]!voln?MERV_Ö_XMEV_Ö_PAMP_Ö_48hs), ".", ",")), 0)</f>
        <v>0</v>
      </c>
      <c r="O96" s="694">
        <f>IFERROR(VALUE(SUBSTITUTE(([1]!vol?MERV_Ö_XMEV_Ö_PAMP_Ö_48hs), ".", ",")), 0)</f>
        <v>0</v>
      </c>
      <c r="P96" s="696">
        <f>IFERROR(VALUE(SUBSTITUTE(([1]!ltu?MERV_Ö_XMEV_Ö_PAMP_Ö_48hs), ".", ",")), 0)</f>
        <v>0</v>
      </c>
      <c r="Q96" s="757">
        <f t="shared" si="4"/>
        <v>0</v>
      </c>
      <c r="S96" s="690"/>
      <c r="T96" s="691"/>
      <c r="U96" s="738"/>
      <c r="V96" s="738"/>
      <c r="W96" s="691"/>
      <c r="X96" s="165"/>
      <c r="Y96" s="693"/>
      <c r="Z96" s="694"/>
      <c r="AA96" s="694"/>
      <c r="AB96" s="694"/>
      <c r="AC96" s="694"/>
      <c r="AD96" s="695"/>
      <c r="AE96" s="695"/>
      <c r="AF96" s="694"/>
      <c r="AG96" s="696"/>
      <c r="AH96" s="757"/>
      <c r="BP96" s="766"/>
      <c r="BQ96" s="766"/>
      <c r="BS96" s="728"/>
    </row>
    <row r="97" spans="2:71" ht="12.75" customHeight="1">
      <c r="B97" s="690" t="s">
        <v>490</v>
      </c>
      <c r="C97" s="691">
        <f>IFERROR(VALUE(SUBSTITUTE(([1]!bsi?MERV_Ö_XMEV_Ö_SUPV_Ö_48hs), ".", ",")), 0)</f>
        <v>0</v>
      </c>
      <c r="D97" s="738">
        <f>IFERROR(VALUE(SUBSTITUTE(([1]!bpr?MERV_Ö_XMEV_Ö_SUPV_Ö_48hs), ".", ",")), 0)</f>
        <v>0</v>
      </c>
      <c r="E97" s="738">
        <f>IFERROR(VALUE(SUBSTITUTE(([1]!opr?MERV_Ö_XMEV_Ö_SUPV_Ö_48hs), ".", ",")), 0)</f>
        <v>0</v>
      </c>
      <c r="F97" s="691">
        <f>IFERROR(VALUE(SUBSTITUTE(([1]!osi?MERV_Ö_XMEV_Ö_SUPV_Ö_48hs), ".", ",")), 0)</f>
        <v>0</v>
      </c>
      <c r="G97" s="165">
        <f>IFERROR(VALUE(SUBSTITUTE(([1]!lst?MERV_Ö_XMEV_Ö_SUPV_Ö_48hs), ".", ",")), 0)</f>
        <v>0</v>
      </c>
      <c r="H97" s="693">
        <f>IFERROR(VALUE(SUBSTITUTE(([1]!chgp?MERV_Ö_XMEV_Ö_SUPV_Ö_48hs), ".", ",") / 100), 0)</f>
        <v>0</v>
      </c>
      <c r="I97" s="694"/>
      <c r="J97" s="694"/>
      <c r="K97" s="694"/>
      <c r="L97" s="694"/>
      <c r="M97" s="695">
        <f>IFERROR(VALUE(SUBSTITUTE(([1]!vole?MERV_Ö_XMEV_Ö_SUPV_Ö_48hs), ".", ",")), 0)</f>
        <v>0</v>
      </c>
      <c r="N97" s="695">
        <f>IFERROR(VALUE(SUBSTITUTE(([1]!voln?MERV_Ö_XMEV_Ö_SUPV_Ö_48hs), ".", ",")), 0)</f>
        <v>0</v>
      </c>
      <c r="O97" s="694">
        <f>IFERROR(VALUE(SUBSTITUTE(([1]!vol?MERV_Ö_XMEV_Ö_SUPV_Ö_48hs), ".", ",")), 0)</f>
        <v>0</v>
      </c>
      <c r="P97" s="696">
        <f>IFERROR(VALUE(SUBSTITUTE(([1]!ltu?MERV_Ö_XMEV_Ö_SUPV_Ö_48hs), ".", ",")), 0)</f>
        <v>0</v>
      </c>
      <c r="Q97" s="757">
        <f t="shared" si="4"/>
        <v>0</v>
      </c>
      <c r="S97" s="690"/>
      <c r="T97" s="691"/>
      <c r="U97" s="738"/>
      <c r="V97" s="738"/>
      <c r="W97" s="691"/>
      <c r="X97" s="165"/>
      <c r="Y97" s="693"/>
      <c r="Z97" s="694"/>
      <c r="AA97" s="694"/>
      <c r="AB97" s="694"/>
      <c r="AC97" s="694"/>
      <c r="AD97" s="695"/>
      <c r="AE97" s="695"/>
      <c r="AF97" s="694"/>
      <c r="AG97" s="696"/>
      <c r="AH97" s="757"/>
      <c r="BP97" s="766"/>
      <c r="BQ97" s="766"/>
      <c r="BS97" s="728"/>
    </row>
    <row r="98" spans="2:71" ht="12.75" customHeight="1">
      <c r="B98" s="690" t="s">
        <v>616</v>
      </c>
      <c r="C98" s="691">
        <f>IFERROR(VALUE(SUBSTITUTE(([1]!bsi?MERV_Ö_XMEV_Ö_TXAR_Ö_48hs), ".", ",")), 0)</f>
        <v>0</v>
      </c>
      <c r="D98" s="738">
        <f>IFERROR(VALUE(SUBSTITUTE(([1]!bpr?MERV_Ö_XMEV_Ö_TXAR_Ö_48hs), ".", ",")), 0)</f>
        <v>0</v>
      </c>
      <c r="E98" s="738">
        <f>IFERROR(VALUE(SUBSTITUTE(([1]!opr?MERV_Ö_XMEV_Ö_TXAR_Ö_48hs), ".", ",")), 0)</f>
        <v>0</v>
      </c>
      <c r="F98" s="691">
        <f>IFERROR(VALUE(SUBSTITUTE(([1]!osi?MERV_Ö_XMEV_Ö_TXAR_Ö_48hs), ".", ",")), 0)</f>
        <v>0</v>
      </c>
      <c r="G98" s="165">
        <f>IFERROR(VALUE(SUBSTITUTE(([1]!lst?MERV_Ö_XMEV_Ö_TXAR_Ö_48hs), ".", ",")), 0)</f>
        <v>0</v>
      </c>
      <c r="H98" s="693">
        <f>IFERROR(VALUE(SUBSTITUTE(([1]!chgp?MERV_Ö_XMEV_Ö_TXAR_Ö_48hs), ".", ",") / 100), 0)</f>
        <v>0</v>
      </c>
      <c r="I98" s="694"/>
      <c r="J98" s="694"/>
      <c r="K98" s="694"/>
      <c r="L98" s="694"/>
      <c r="M98" s="695">
        <f>IFERROR(VALUE(SUBSTITUTE(([1]!vole?MERV_Ö_XMEV_Ö_TXAR_Ö_48hs), ".", ",")), 0)</f>
        <v>0</v>
      </c>
      <c r="N98" s="695">
        <f>IFERROR(VALUE(SUBSTITUTE(([1]!voln?MERV_Ö_XMEV_Ö_TXAR_Ö_48hs), ".", ",")), 0)</f>
        <v>0</v>
      </c>
      <c r="O98" s="694">
        <f>IFERROR(VALUE(SUBSTITUTE(([1]!vol?MERV_Ö_XMEV_Ö_TXAR_Ö_48hs), ".", ",")), 0)</f>
        <v>0</v>
      </c>
      <c r="P98" s="696">
        <f>IFERROR(VALUE(SUBSTITUTE(([1]!ltu?MERV_Ö_XMEV_Ö_TXAR_Ö_48hs), ".", ",")), 0)</f>
        <v>0</v>
      </c>
      <c r="Q98" s="757">
        <f t="shared" si="4"/>
        <v>0</v>
      </c>
      <c r="S98" s="690"/>
      <c r="T98" s="691"/>
      <c r="U98" s="738"/>
      <c r="V98" s="738"/>
      <c r="W98" s="691"/>
      <c r="X98" s="165"/>
      <c r="Y98" s="693"/>
      <c r="Z98" s="694"/>
      <c r="AA98" s="694"/>
      <c r="AB98" s="694"/>
      <c r="AC98" s="694"/>
      <c r="AD98" s="695"/>
      <c r="AE98" s="695"/>
      <c r="AF98" s="694"/>
      <c r="AG98" s="696"/>
      <c r="AH98" s="757"/>
      <c r="BP98" s="766"/>
      <c r="BQ98" s="766"/>
      <c r="BS98" s="728"/>
    </row>
    <row r="99" spans="2:71" ht="12.75" customHeight="1">
      <c r="B99" s="690" t="s">
        <v>498</v>
      </c>
      <c r="C99" s="691">
        <f>IFERROR(VALUE(SUBSTITUTE(([1]!bsi?MERV_Ö_XMEV_Ö_VALO_Ö_48hs), ".", ",")), 0)</f>
        <v>0</v>
      </c>
      <c r="D99" s="738">
        <f>IFERROR(VALUE(SUBSTITUTE(([1]!bpr?MERV_Ö_XMEV_Ö_VALO_Ö_48hs), ".", ",")), 0)</f>
        <v>0</v>
      </c>
      <c r="E99" s="738">
        <f>IFERROR(VALUE(SUBSTITUTE(([1]!opr?MERV_Ö_XMEV_Ö_VALO_Ö_48hs), ".", ",")), 0)</f>
        <v>0</v>
      </c>
      <c r="F99" s="691">
        <f>IFERROR(VALUE(SUBSTITUTE(([1]!osi?MERV_Ö_XMEV_Ö_VALO_Ö_48hs), ".", ",")), 0)</f>
        <v>0</v>
      </c>
      <c r="G99" s="165">
        <f>IFERROR(VALUE(SUBSTITUTE(([1]!lst?MERV_Ö_XMEV_Ö_VALO_Ö_48hs), ".", ",")), 0)</f>
        <v>0</v>
      </c>
      <c r="H99" s="693">
        <f>IFERROR(VALUE(SUBSTITUTE(([1]!chgp?MERV_Ö_XMEV_Ö_VALO_Ö_48hs), ".", ",") / 100), 0)</f>
        <v>0</v>
      </c>
      <c r="I99" s="694"/>
      <c r="J99" s="694"/>
      <c r="K99" s="694"/>
      <c r="L99" s="694"/>
      <c r="M99" s="695">
        <f>IFERROR(VALUE(SUBSTITUTE(([1]!vole?MERV_Ö_XMEV_Ö_VALO_Ö_48hs), ".", ",")), 0)</f>
        <v>0</v>
      </c>
      <c r="N99" s="695">
        <f>IFERROR(VALUE(SUBSTITUTE(([1]!voln?MERV_Ö_XMEV_Ö_VALO_Ö_48hs), ".", ",")), 0)</f>
        <v>0</v>
      </c>
      <c r="O99" s="694">
        <f>IFERROR(VALUE(SUBSTITUTE(([1]!vol?MERV_Ö_XMEV_Ö_VALO_Ö_48hs), ".", ",")), 0)</f>
        <v>0</v>
      </c>
      <c r="P99" s="696">
        <f>IFERROR(VALUE(SUBSTITUTE(([1]!ltu?MERV_Ö_XMEV_Ö_VALO_Ö_48hs), ".", ",")), 0)</f>
        <v>0</v>
      </c>
      <c r="Q99" s="757">
        <f t="shared" si="4"/>
        <v>0</v>
      </c>
      <c r="S99" s="690"/>
      <c r="T99" s="691"/>
      <c r="U99" s="738"/>
      <c r="V99" s="738"/>
      <c r="W99" s="691"/>
      <c r="X99" s="165"/>
      <c r="Y99" s="693"/>
      <c r="Z99" s="694"/>
      <c r="AA99" s="694"/>
      <c r="AB99" s="694"/>
      <c r="AC99" s="694"/>
      <c r="AD99" s="695"/>
      <c r="AE99" s="695"/>
      <c r="AF99" s="694"/>
      <c r="AG99" s="696"/>
      <c r="AH99" s="757"/>
      <c r="BP99" s="766"/>
      <c r="BQ99" s="766"/>
      <c r="BS99" s="728"/>
    </row>
    <row r="100" spans="2:71" ht="12.75" customHeight="1">
      <c r="B100" s="690" t="s">
        <v>406</v>
      </c>
      <c r="C100" s="691">
        <f>IFERROR(VALUE(SUBSTITUTE(([1]!bsi?MERV_Ö_XMEV_Ö_YPFD_Ö_48hs), ".", ",")), 0)</f>
        <v>0</v>
      </c>
      <c r="D100" s="738">
        <f>IFERROR(VALUE(SUBSTITUTE(([1]!bpr?MERV_Ö_XMEV_Ö_YPFD_Ö_48hs), ".", ",")), 0)</f>
        <v>0</v>
      </c>
      <c r="E100" s="738">
        <f>IFERROR(VALUE(SUBSTITUTE(([1]!opr?MERV_Ö_XMEV_Ö_YPFD_Ö_48hs), ".", ",")), 0)</f>
        <v>0</v>
      </c>
      <c r="F100" s="691">
        <f>IFERROR(VALUE(SUBSTITUTE(([1]!osi?MERV_Ö_XMEV_Ö_YPFD_Ö_48hs), ".", ",")), 0)</f>
        <v>0</v>
      </c>
      <c r="G100" s="165">
        <f>IFERROR(VALUE(SUBSTITUTE(([1]!lst?MERV_Ö_XMEV_Ö_YPFD_Ö_48hs), ".", ",")), 0)</f>
        <v>0</v>
      </c>
      <c r="H100" s="693">
        <f>IFERROR(VALUE(SUBSTITUTE(([1]!chgp?MERV_Ö_XMEV_Ö_YPFD_Ö_48hs), ".", ",") / 100), 0)</f>
        <v>0</v>
      </c>
      <c r="I100" s="694"/>
      <c r="J100" s="694"/>
      <c r="K100" s="694"/>
      <c r="L100" s="694"/>
      <c r="M100" s="695">
        <f>IFERROR(VALUE(SUBSTITUTE(([1]!vole?MERV_Ö_XMEV_Ö_YPFD_Ö_48hs), ".", ",")), 0)</f>
        <v>0</v>
      </c>
      <c r="N100" s="695">
        <f>IFERROR(VALUE(SUBSTITUTE(([1]!voln?MERV_Ö_XMEV_Ö_YPFD_Ö_48hs), ".", ",")), 0)</f>
        <v>0</v>
      </c>
      <c r="O100" s="694">
        <f>IFERROR(VALUE(SUBSTITUTE(([1]!vol?MERV_Ö_XMEV_Ö_YPFD_Ö_48hs), ".", ",")), 0)</f>
        <v>0</v>
      </c>
      <c r="P100" s="696">
        <f>IFERROR(VALUE(SUBSTITUTE(([1]!ltu?MERV_Ö_XMEV_Ö_YPFD_Ö_48hs), ".", ",")), 0)</f>
        <v>0</v>
      </c>
      <c r="Q100" s="757">
        <f t="shared" si="4"/>
        <v>0</v>
      </c>
      <c r="S100" s="690"/>
      <c r="T100" s="691"/>
      <c r="U100" s="738"/>
      <c r="V100" s="738"/>
      <c r="W100" s="691"/>
      <c r="X100" s="165"/>
      <c r="Y100" s="693"/>
      <c r="Z100" s="694"/>
      <c r="AA100" s="694"/>
      <c r="AB100" s="694"/>
      <c r="AC100" s="694"/>
      <c r="AD100" s="695"/>
      <c r="AE100" s="695"/>
      <c r="AF100" s="694"/>
      <c r="AG100" s="696"/>
      <c r="AH100" s="757"/>
      <c r="BP100" s="766"/>
      <c r="BQ100" s="766"/>
      <c r="BS100" s="728"/>
    </row>
    <row r="101" spans="2:71" ht="12.75" customHeight="1">
      <c r="B101" s="690"/>
      <c r="C101" s="691"/>
      <c r="D101" s="738"/>
      <c r="E101" s="738"/>
      <c r="F101" s="691"/>
      <c r="G101" s="165"/>
      <c r="H101" s="693"/>
      <c r="I101" s="694"/>
      <c r="J101" s="694"/>
      <c r="K101" s="694"/>
      <c r="L101" s="694"/>
      <c r="M101" s="695"/>
      <c r="N101" s="695"/>
      <c r="O101" s="694"/>
      <c r="P101" s="696"/>
      <c r="Q101" s="757"/>
      <c r="S101" s="690"/>
      <c r="T101" s="691"/>
      <c r="U101" s="738"/>
      <c r="V101" s="738"/>
      <c r="W101" s="691"/>
      <c r="X101" s="165"/>
      <c r="Y101" s="693"/>
      <c r="Z101" s="694"/>
      <c r="AA101" s="694"/>
      <c r="AB101" s="694"/>
      <c r="AC101" s="694"/>
      <c r="AD101" s="695"/>
      <c r="AE101" s="695"/>
      <c r="AF101" s="694"/>
      <c r="AG101" s="696"/>
      <c r="AH101" s="757"/>
      <c r="BP101" s="766"/>
      <c r="BQ101" s="766"/>
      <c r="BS101" s="728"/>
    </row>
    <row r="102" spans="2:71" ht="12.75" customHeight="1">
      <c r="B102" s="690"/>
      <c r="C102" s="691"/>
      <c r="D102" s="738"/>
      <c r="E102" s="738"/>
      <c r="F102" s="691"/>
      <c r="G102" s="165"/>
      <c r="H102" s="693"/>
      <c r="I102" s="694"/>
      <c r="J102" s="694"/>
      <c r="K102" s="694"/>
      <c r="L102" s="694"/>
      <c r="M102" s="695"/>
      <c r="N102" s="695"/>
      <c r="O102" s="694"/>
      <c r="P102" s="696"/>
      <c r="Q102" s="757"/>
      <c r="S102" s="690"/>
      <c r="T102" s="691"/>
      <c r="U102" s="738"/>
      <c r="V102" s="738"/>
      <c r="W102" s="691"/>
      <c r="X102" s="165"/>
      <c r="Y102" s="693"/>
      <c r="Z102" s="694"/>
      <c r="AA102" s="694"/>
      <c r="AB102" s="694"/>
      <c r="AC102" s="694"/>
      <c r="AD102" s="695"/>
      <c r="AE102" s="695"/>
      <c r="AF102" s="694"/>
      <c r="AG102" s="696"/>
      <c r="AH102" s="757"/>
      <c r="BP102" s="766"/>
      <c r="BQ102" s="766"/>
      <c r="BS102" s="728"/>
    </row>
    <row r="103" spans="2:71" ht="12.75" customHeight="1">
      <c r="B103" s="690"/>
      <c r="C103" s="691"/>
      <c r="D103" s="738"/>
      <c r="E103" s="738"/>
      <c r="F103" s="691"/>
      <c r="G103" s="165"/>
      <c r="H103" s="693"/>
      <c r="I103" s="694"/>
      <c r="J103" s="694"/>
      <c r="K103" s="694"/>
      <c r="L103" s="694"/>
      <c r="M103" s="695"/>
      <c r="N103" s="695"/>
      <c r="O103" s="694"/>
      <c r="P103" s="696"/>
      <c r="Q103" s="757"/>
      <c r="S103" s="690"/>
      <c r="T103" s="691"/>
      <c r="U103" s="738"/>
      <c r="V103" s="738"/>
      <c r="W103" s="691"/>
      <c r="X103" s="165"/>
      <c r="Y103" s="693"/>
      <c r="Z103" s="694"/>
      <c r="AA103" s="694"/>
      <c r="AB103" s="694"/>
      <c r="AC103" s="694"/>
      <c r="AD103" s="695"/>
      <c r="AE103" s="695"/>
      <c r="AF103" s="694"/>
      <c r="AG103" s="696"/>
      <c r="AH103" s="757"/>
      <c r="BP103" s="766"/>
      <c r="BQ103" s="766"/>
      <c r="BS103" s="728"/>
    </row>
    <row r="104" spans="2:71" ht="12.75" customHeight="1">
      <c r="B104" s="690"/>
      <c r="C104" s="691"/>
      <c r="D104" s="738"/>
      <c r="E104" s="738"/>
      <c r="F104" s="691"/>
      <c r="G104" s="165"/>
      <c r="H104" s="693"/>
      <c r="I104" s="694"/>
      <c r="J104" s="694"/>
      <c r="K104" s="694"/>
      <c r="L104" s="694"/>
      <c r="M104" s="695"/>
      <c r="N104" s="695"/>
      <c r="O104" s="694"/>
      <c r="P104" s="696"/>
      <c r="Q104" s="757"/>
      <c r="S104" s="690"/>
      <c r="T104" s="691"/>
      <c r="U104" s="738"/>
      <c r="V104" s="738"/>
      <c r="W104" s="691"/>
      <c r="X104" s="165"/>
      <c r="Y104" s="693"/>
      <c r="Z104" s="694"/>
      <c r="AA104" s="694"/>
      <c r="AB104" s="694"/>
      <c r="AC104" s="694"/>
      <c r="AD104" s="695"/>
      <c r="AE104" s="695"/>
      <c r="AF104" s="694"/>
      <c r="AG104" s="696"/>
      <c r="AH104" s="757"/>
      <c r="BP104" s="766"/>
      <c r="BQ104" s="766"/>
      <c r="BS104" s="728"/>
    </row>
    <row r="105" spans="2:71" ht="12.75" customHeight="1">
      <c r="B105" s="690"/>
      <c r="C105" s="691"/>
      <c r="D105" s="738"/>
      <c r="E105" s="738"/>
      <c r="F105" s="691"/>
      <c r="G105" s="165"/>
      <c r="H105" s="693"/>
      <c r="I105" s="694"/>
      <c r="J105" s="694"/>
      <c r="K105" s="694"/>
      <c r="L105" s="694"/>
      <c r="M105" s="695"/>
      <c r="N105" s="695"/>
      <c r="O105" s="694"/>
      <c r="P105" s="696"/>
      <c r="Q105" s="757"/>
      <c r="S105" s="690"/>
      <c r="T105" s="691"/>
      <c r="U105" s="738"/>
      <c r="V105" s="738"/>
      <c r="W105" s="691"/>
      <c r="X105" s="165"/>
      <c r="Y105" s="693"/>
      <c r="Z105" s="694"/>
      <c r="AA105" s="694"/>
      <c r="AB105" s="694"/>
      <c r="AC105" s="694"/>
      <c r="AD105" s="695"/>
      <c r="AE105" s="695"/>
      <c r="AF105" s="694"/>
      <c r="AG105" s="696"/>
      <c r="AH105" s="757"/>
      <c r="BP105" s="766"/>
      <c r="BQ105" s="766"/>
      <c r="BS105" s="728"/>
    </row>
    <row r="106" spans="2:71" ht="12.75" customHeight="1">
      <c r="B106" s="690"/>
      <c r="C106" s="691"/>
      <c r="D106" s="738"/>
      <c r="E106" s="738"/>
      <c r="F106" s="691"/>
      <c r="G106" s="165"/>
      <c r="H106" s="693"/>
      <c r="I106" s="694"/>
      <c r="J106" s="694"/>
      <c r="K106" s="694"/>
      <c r="L106" s="694"/>
      <c r="M106" s="695"/>
      <c r="N106" s="695"/>
      <c r="O106" s="694"/>
      <c r="P106" s="696"/>
      <c r="Q106" s="757"/>
      <c r="S106" s="690"/>
      <c r="T106" s="691"/>
      <c r="U106" s="738"/>
      <c r="V106" s="738"/>
      <c r="W106" s="691"/>
      <c r="X106" s="165"/>
      <c r="Y106" s="693"/>
      <c r="Z106" s="694"/>
      <c r="AA106" s="694"/>
      <c r="AB106" s="694"/>
      <c r="AC106" s="694"/>
      <c r="AD106" s="695"/>
      <c r="AE106" s="695"/>
      <c r="AF106" s="694"/>
      <c r="AG106" s="696"/>
      <c r="AH106" s="757"/>
      <c r="BP106" s="766"/>
      <c r="BQ106" s="766"/>
      <c r="BS106" s="728"/>
    </row>
    <row r="107" spans="2:71" ht="12.75" customHeight="1">
      <c r="B107" s="690"/>
      <c r="C107" s="691"/>
      <c r="D107" s="738"/>
      <c r="E107" s="738"/>
      <c r="F107" s="691"/>
      <c r="G107" s="165"/>
      <c r="H107" s="693"/>
      <c r="I107" s="694"/>
      <c r="J107" s="694"/>
      <c r="K107" s="694"/>
      <c r="L107" s="694"/>
      <c r="M107" s="695"/>
      <c r="N107" s="695"/>
      <c r="O107" s="694"/>
      <c r="P107" s="696"/>
      <c r="Q107" s="757"/>
      <c r="S107" s="690"/>
      <c r="T107" s="691"/>
      <c r="U107" s="738"/>
      <c r="V107" s="738"/>
      <c r="W107" s="691"/>
      <c r="X107" s="165"/>
      <c r="Y107" s="693"/>
      <c r="Z107" s="694"/>
      <c r="AA107" s="694"/>
      <c r="AB107" s="694"/>
      <c r="AC107" s="694"/>
      <c r="AD107" s="695"/>
      <c r="AE107" s="695"/>
      <c r="AF107" s="694"/>
      <c r="AG107" s="696"/>
      <c r="AH107" s="757"/>
      <c r="BP107" s="766"/>
      <c r="BQ107" s="766"/>
      <c r="BS107" s="728"/>
    </row>
    <row r="108" spans="2:71" ht="12.75" customHeight="1">
      <c r="B108" s="690"/>
      <c r="C108" s="691"/>
      <c r="D108" s="738"/>
      <c r="E108" s="738"/>
      <c r="F108" s="691"/>
      <c r="G108" s="165"/>
      <c r="H108" s="693"/>
      <c r="I108" s="694"/>
      <c r="J108" s="694"/>
      <c r="K108" s="694"/>
      <c r="L108" s="694"/>
      <c r="M108" s="695"/>
      <c r="N108" s="695"/>
      <c r="O108" s="694"/>
      <c r="P108" s="696"/>
      <c r="Q108" s="757"/>
      <c r="S108" s="690"/>
      <c r="T108" s="691"/>
      <c r="U108" s="738"/>
      <c r="V108" s="738"/>
      <c r="W108" s="691"/>
      <c r="X108" s="165"/>
      <c r="Y108" s="693"/>
      <c r="Z108" s="694"/>
      <c r="AA108" s="694"/>
      <c r="AB108" s="694"/>
      <c r="AC108" s="694"/>
      <c r="AD108" s="695"/>
      <c r="AE108" s="695"/>
      <c r="AF108" s="694"/>
      <c r="AG108" s="696"/>
      <c r="AH108" s="757"/>
      <c r="BP108" s="766"/>
      <c r="BQ108" s="766"/>
      <c r="BS108" s="728"/>
    </row>
    <row r="109" spans="2:71" ht="12.75" customHeight="1">
      <c r="B109" s="690"/>
      <c r="C109" s="691"/>
      <c r="D109" s="738"/>
      <c r="E109" s="738"/>
      <c r="F109" s="691"/>
      <c r="G109" s="165"/>
      <c r="H109" s="693"/>
      <c r="I109" s="694"/>
      <c r="J109" s="694"/>
      <c r="K109" s="694"/>
      <c r="L109" s="694"/>
      <c r="M109" s="695"/>
      <c r="N109" s="695"/>
      <c r="O109" s="694"/>
      <c r="P109" s="696"/>
      <c r="Q109" s="757"/>
      <c r="S109" s="690"/>
      <c r="T109" s="691"/>
      <c r="U109" s="738"/>
      <c r="V109" s="738"/>
      <c r="W109" s="691"/>
      <c r="X109" s="165"/>
      <c r="Y109" s="693"/>
      <c r="Z109" s="694"/>
      <c r="AA109" s="694"/>
      <c r="AB109" s="694"/>
      <c r="AC109" s="694"/>
      <c r="AD109" s="695"/>
      <c r="AE109" s="695"/>
      <c r="AF109" s="694"/>
      <c r="AG109" s="696"/>
      <c r="AH109" s="757"/>
      <c r="BP109" s="766"/>
      <c r="BQ109" s="766"/>
      <c r="BS109" s="728"/>
    </row>
    <row r="110" spans="2:71" ht="12.75" customHeight="1">
      <c r="B110" s="690"/>
      <c r="C110" s="691"/>
      <c r="D110" s="738"/>
      <c r="E110" s="738"/>
      <c r="F110" s="691"/>
      <c r="G110" s="165"/>
      <c r="H110" s="693"/>
      <c r="I110" s="694"/>
      <c r="J110" s="694"/>
      <c r="K110" s="694"/>
      <c r="L110" s="694"/>
      <c r="M110" s="695"/>
      <c r="N110" s="695"/>
      <c r="O110" s="694"/>
      <c r="P110" s="696"/>
      <c r="Q110" s="757"/>
      <c r="S110" s="690"/>
      <c r="T110" s="691"/>
      <c r="U110" s="738"/>
      <c r="V110" s="738"/>
      <c r="W110" s="691"/>
      <c r="X110" s="165"/>
      <c r="Y110" s="693"/>
      <c r="Z110" s="694"/>
      <c r="AA110" s="694"/>
      <c r="AB110" s="694"/>
      <c r="AC110" s="694"/>
      <c r="AD110" s="695"/>
      <c r="AE110" s="695"/>
      <c r="AF110" s="694"/>
      <c r="AG110" s="696"/>
      <c r="AH110" s="757"/>
      <c r="BP110" s="766"/>
      <c r="BQ110" s="766"/>
      <c r="BS110" s="728"/>
    </row>
    <row r="111" spans="2:71" ht="12.75" customHeight="1">
      <c r="B111" s="690"/>
      <c r="C111" s="691"/>
      <c r="D111" s="738"/>
      <c r="E111" s="738"/>
      <c r="F111" s="691"/>
      <c r="G111" s="165"/>
      <c r="H111" s="693"/>
      <c r="I111" s="694"/>
      <c r="J111" s="694"/>
      <c r="K111" s="694"/>
      <c r="L111" s="694"/>
      <c r="M111" s="695"/>
      <c r="N111" s="695"/>
      <c r="O111" s="694"/>
      <c r="P111" s="696"/>
      <c r="Q111" s="757"/>
      <c r="S111" s="690"/>
      <c r="T111" s="691"/>
      <c r="U111" s="738"/>
      <c r="V111" s="738"/>
      <c r="W111" s="691"/>
      <c r="X111" s="165"/>
      <c r="Y111" s="693"/>
      <c r="Z111" s="694"/>
      <c r="AA111" s="694"/>
      <c r="AB111" s="694"/>
      <c r="AC111" s="694"/>
      <c r="AD111" s="695"/>
      <c r="AE111" s="695"/>
      <c r="AF111" s="694"/>
      <c r="AG111" s="696"/>
      <c r="AH111" s="757"/>
      <c r="BP111" s="766"/>
      <c r="BQ111" s="766"/>
      <c r="BS111" s="728"/>
    </row>
    <row r="112" spans="2:71" ht="12.75" customHeight="1">
      <c r="B112" s="690"/>
      <c r="C112" s="691"/>
      <c r="D112" s="738"/>
      <c r="E112" s="738"/>
      <c r="F112" s="691"/>
      <c r="G112" s="165"/>
      <c r="H112" s="693"/>
      <c r="I112" s="694"/>
      <c r="J112" s="694"/>
      <c r="K112" s="694"/>
      <c r="L112" s="694"/>
      <c r="M112" s="695"/>
      <c r="N112" s="695"/>
      <c r="O112" s="694"/>
      <c r="P112" s="696"/>
      <c r="Q112" s="757"/>
      <c r="S112" s="690"/>
      <c r="T112" s="691"/>
      <c r="U112" s="738"/>
      <c r="V112" s="738"/>
      <c r="W112" s="691"/>
      <c r="X112" s="165"/>
      <c r="Y112" s="693"/>
      <c r="Z112" s="694"/>
      <c r="AA112" s="694"/>
      <c r="AB112" s="694"/>
      <c r="AC112" s="694"/>
      <c r="AD112" s="695"/>
      <c r="AE112" s="695"/>
      <c r="AF112" s="694"/>
      <c r="AG112" s="696"/>
      <c r="AH112" s="757"/>
      <c r="BP112" s="766"/>
      <c r="BQ112" s="766"/>
      <c r="BS112" s="728"/>
    </row>
    <row r="113" spans="2:71" ht="12.75" customHeight="1">
      <c r="B113" s="690"/>
      <c r="C113" s="691"/>
      <c r="D113" s="738"/>
      <c r="E113" s="738"/>
      <c r="F113" s="691"/>
      <c r="G113" s="165"/>
      <c r="H113" s="693"/>
      <c r="I113" s="694"/>
      <c r="J113" s="694"/>
      <c r="K113" s="694"/>
      <c r="L113" s="694"/>
      <c r="M113" s="695"/>
      <c r="N113" s="695"/>
      <c r="O113" s="694"/>
      <c r="P113" s="696"/>
      <c r="Q113" s="757"/>
      <c r="S113" s="690"/>
      <c r="T113" s="691"/>
      <c r="U113" s="738"/>
      <c r="V113" s="738"/>
      <c r="W113" s="691"/>
      <c r="X113" s="165"/>
      <c r="Y113" s="693"/>
      <c r="Z113" s="694"/>
      <c r="AA113" s="694"/>
      <c r="AB113" s="694"/>
      <c r="AC113" s="694"/>
      <c r="AD113" s="695"/>
      <c r="AE113" s="695"/>
      <c r="AF113" s="694"/>
      <c r="AG113" s="696"/>
      <c r="AH113" s="757"/>
      <c r="BP113" s="766"/>
      <c r="BQ113" s="766"/>
      <c r="BS113" s="728"/>
    </row>
    <row r="114" spans="2:71" ht="12.75" customHeight="1">
      <c r="B114" s="690"/>
      <c r="C114" s="691"/>
      <c r="D114" s="738"/>
      <c r="E114" s="738"/>
      <c r="F114" s="691"/>
      <c r="G114" s="165"/>
      <c r="H114" s="693"/>
      <c r="I114" s="694"/>
      <c r="J114" s="694"/>
      <c r="K114" s="694"/>
      <c r="L114" s="694"/>
      <c r="M114" s="695"/>
      <c r="N114" s="695"/>
      <c r="O114" s="694"/>
      <c r="P114" s="696"/>
      <c r="Q114" s="757"/>
      <c r="S114" s="690"/>
      <c r="T114" s="691"/>
      <c r="U114" s="738"/>
      <c r="V114" s="738"/>
      <c r="W114" s="691"/>
      <c r="X114" s="165"/>
      <c r="Y114" s="693"/>
      <c r="Z114" s="694"/>
      <c r="AA114" s="694"/>
      <c r="AB114" s="694"/>
      <c r="AC114" s="694"/>
      <c r="AD114" s="695"/>
      <c r="AE114" s="695"/>
      <c r="AF114" s="694"/>
      <c r="AG114" s="696"/>
      <c r="AH114" s="757"/>
      <c r="BP114" s="766"/>
      <c r="BQ114" s="766"/>
      <c r="BS114" s="728"/>
    </row>
    <row r="115" spans="2:71" ht="12.75" customHeight="1">
      <c r="B115" s="690"/>
      <c r="C115" s="691"/>
      <c r="D115" s="738"/>
      <c r="E115" s="738"/>
      <c r="F115" s="691"/>
      <c r="G115" s="165"/>
      <c r="H115" s="693"/>
      <c r="I115" s="694"/>
      <c r="J115" s="694"/>
      <c r="K115" s="694"/>
      <c r="L115" s="694"/>
      <c r="M115" s="695"/>
      <c r="N115" s="695"/>
      <c r="O115" s="694"/>
      <c r="P115" s="696"/>
      <c r="Q115" s="757"/>
      <c r="S115" s="690"/>
      <c r="T115" s="691"/>
      <c r="U115" s="738"/>
      <c r="V115" s="738"/>
      <c r="W115" s="691"/>
      <c r="X115" s="165"/>
      <c r="Y115" s="693"/>
      <c r="Z115" s="694"/>
      <c r="AA115" s="694"/>
      <c r="AB115" s="694"/>
      <c r="AC115" s="694"/>
      <c r="AD115" s="695"/>
      <c r="AE115" s="695"/>
      <c r="AF115" s="694"/>
      <c r="AG115" s="696"/>
      <c r="AH115" s="757"/>
      <c r="BP115" s="766"/>
      <c r="BQ115" s="766"/>
      <c r="BS115" s="728"/>
    </row>
    <row r="116" spans="2:71" ht="12.75" customHeight="1">
      <c r="B116" s="690"/>
      <c r="C116" s="691"/>
      <c r="D116" s="738"/>
      <c r="E116" s="738"/>
      <c r="F116" s="691"/>
      <c r="G116" s="165"/>
      <c r="H116" s="693"/>
      <c r="I116" s="694"/>
      <c r="J116" s="694"/>
      <c r="K116" s="694"/>
      <c r="L116" s="694"/>
      <c r="M116" s="695"/>
      <c r="N116" s="695"/>
      <c r="O116" s="694"/>
      <c r="P116" s="696"/>
      <c r="Q116" s="757"/>
      <c r="S116" s="690"/>
      <c r="T116" s="691"/>
      <c r="U116" s="738"/>
      <c r="V116" s="738"/>
      <c r="W116" s="691"/>
      <c r="X116" s="165"/>
      <c r="Y116" s="693"/>
      <c r="Z116" s="694"/>
      <c r="AA116" s="694"/>
      <c r="AB116" s="694"/>
      <c r="AC116" s="694"/>
      <c r="AD116" s="695"/>
      <c r="AE116" s="695"/>
      <c r="AF116" s="694"/>
      <c r="AG116" s="696"/>
      <c r="AH116" s="757"/>
      <c r="BP116" s="766"/>
      <c r="BQ116" s="766"/>
      <c r="BS116" s="728"/>
    </row>
    <row r="117" spans="2:71" ht="12.75" customHeight="1">
      <c r="B117" s="690"/>
      <c r="C117" s="691"/>
      <c r="D117" s="738"/>
      <c r="E117" s="738"/>
      <c r="F117" s="691"/>
      <c r="G117" s="165"/>
      <c r="H117" s="693"/>
      <c r="I117" s="694"/>
      <c r="J117" s="694"/>
      <c r="K117" s="694"/>
      <c r="L117" s="694"/>
      <c r="M117" s="695"/>
      <c r="N117" s="695"/>
      <c r="O117" s="694"/>
      <c r="P117" s="696"/>
      <c r="Q117" s="757"/>
      <c r="S117" s="690"/>
      <c r="T117" s="691"/>
      <c r="U117" s="738"/>
      <c r="V117" s="738"/>
      <c r="W117" s="691"/>
      <c r="X117" s="165"/>
      <c r="Y117" s="693"/>
      <c r="Z117" s="694"/>
      <c r="AA117" s="694"/>
      <c r="AB117" s="694"/>
      <c r="AC117" s="694"/>
      <c r="AD117" s="695"/>
      <c r="AE117" s="695"/>
      <c r="AF117" s="694"/>
      <c r="AG117" s="696"/>
      <c r="AH117" s="757"/>
      <c r="BP117" s="766"/>
      <c r="BQ117" s="766"/>
      <c r="BS117" s="728"/>
    </row>
    <row r="118" spans="2:71" ht="12.75" customHeight="1">
      <c r="B118" s="690"/>
      <c r="C118" s="691"/>
      <c r="D118" s="738"/>
      <c r="E118" s="738"/>
      <c r="F118" s="691"/>
      <c r="G118" s="165"/>
      <c r="H118" s="693"/>
      <c r="I118" s="694"/>
      <c r="J118" s="694"/>
      <c r="K118" s="694"/>
      <c r="L118" s="694"/>
      <c r="M118" s="695"/>
      <c r="N118" s="695"/>
      <c r="O118" s="694"/>
      <c r="P118" s="696"/>
      <c r="Q118" s="757"/>
      <c r="S118" s="690"/>
      <c r="T118" s="691"/>
      <c r="U118" s="738"/>
      <c r="V118" s="738"/>
      <c r="W118" s="691"/>
      <c r="X118" s="165"/>
      <c r="Y118" s="693"/>
      <c r="Z118" s="694"/>
      <c r="AA118" s="694"/>
      <c r="AB118" s="694"/>
      <c r="AC118" s="694"/>
      <c r="AD118" s="695"/>
      <c r="AE118" s="695"/>
      <c r="AF118" s="694"/>
      <c r="AG118" s="696"/>
      <c r="AH118" s="757"/>
    </row>
    <row r="119" spans="2:71" ht="12.75" customHeight="1">
      <c r="B119" s="690"/>
      <c r="C119" s="691"/>
      <c r="D119" s="738"/>
      <c r="E119" s="738"/>
      <c r="F119" s="691"/>
      <c r="G119" s="165"/>
      <c r="H119" s="693"/>
      <c r="I119" s="694"/>
      <c r="J119" s="694"/>
      <c r="K119" s="694"/>
      <c r="L119" s="694"/>
      <c r="M119" s="695"/>
      <c r="N119" s="695"/>
      <c r="O119" s="694"/>
      <c r="P119" s="696"/>
      <c r="Q119" s="757"/>
      <c r="S119" s="690"/>
      <c r="T119" s="691"/>
      <c r="U119" s="738"/>
      <c r="V119" s="738"/>
      <c r="W119" s="691"/>
      <c r="X119" s="165"/>
      <c r="Y119" s="693"/>
      <c r="Z119" s="694"/>
      <c r="AA119" s="694"/>
      <c r="AB119" s="694"/>
      <c r="AC119" s="694"/>
      <c r="AD119" s="695"/>
      <c r="AE119" s="695"/>
      <c r="AF119" s="694"/>
      <c r="AG119" s="696"/>
      <c r="AH119" s="757"/>
    </row>
    <row r="120" spans="2:71" ht="12.75" customHeight="1">
      <c r="B120" s="690"/>
      <c r="C120" s="691"/>
      <c r="D120" s="738"/>
      <c r="E120" s="738"/>
      <c r="F120" s="691"/>
      <c r="G120" s="165"/>
      <c r="H120" s="693"/>
      <c r="I120" s="694"/>
      <c r="J120" s="694"/>
      <c r="K120" s="694"/>
      <c r="L120" s="694"/>
      <c r="M120" s="695"/>
      <c r="N120" s="695"/>
      <c r="O120" s="694"/>
      <c r="P120" s="696"/>
      <c r="Q120" s="757"/>
      <c r="S120" s="690"/>
      <c r="T120" s="691"/>
      <c r="U120" s="738"/>
      <c r="V120" s="738"/>
      <c r="W120" s="691"/>
      <c r="X120" s="165"/>
      <c r="Y120" s="693"/>
      <c r="Z120" s="694"/>
      <c r="AA120" s="694"/>
      <c r="AB120" s="694"/>
      <c r="AC120" s="694"/>
      <c r="AD120" s="695"/>
      <c r="AE120" s="695"/>
      <c r="AF120" s="694"/>
      <c r="AG120" s="696"/>
      <c r="AH120" s="757"/>
    </row>
    <row r="121" spans="2:71" ht="12.75" customHeight="1">
      <c r="B121" s="690"/>
      <c r="C121" s="691"/>
      <c r="D121" s="738"/>
      <c r="E121" s="738"/>
      <c r="F121" s="691"/>
      <c r="G121" s="165"/>
      <c r="H121" s="693"/>
      <c r="I121" s="694"/>
      <c r="J121" s="694"/>
      <c r="K121" s="694"/>
      <c r="L121" s="694"/>
      <c r="M121" s="695"/>
      <c r="N121" s="695"/>
      <c r="O121" s="694"/>
      <c r="P121" s="696"/>
      <c r="Q121" s="757"/>
      <c r="S121" s="690"/>
      <c r="T121" s="691"/>
      <c r="U121" s="738"/>
      <c r="V121" s="738"/>
      <c r="W121" s="691"/>
      <c r="X121" s="165"/>
      <c r="Y121" s="693"/>
      <c r="Z121" s="694"/>
      <c r="AA121" s="694"/>
      <c r="AB121" s="694"/>
      <c r="AC121" s="694"/>
      <c r="AD121" s="695"/>
      <c r="AE121" s="695"/>
      <c r="AF121" s="694"/>
      <c r="AG121" s="696"/>
      <c r="AH121" s="757"/>
    </row>
    <row r="122" spans="2:71" ht="12.75" customHeight="1">
      <c r="B122" s="690"/>
      <c r="C122" s="691"/>
      <c r="D122" s="738"/>
      <c r="E122" s="738"/>
      <c r="F122" s="691"/>
      <c r="G122" s="165"/>
      <c r="H122" s="693"/>
      <c r="I122" s="694"/>
      <c r="J122" s="694"/>
      <c r="K122" s="694"/>
      <c r="L122" s="694"/>
      <c r="M122" s="695"/>
      <c r="N122" s="695"/>
      <c r="O122" s="694"/>
      <c r="P122" s="696"/>
      <c r="Q122" s="757"/>
      <c r="S122" s="690"/>
      <c r="T122" s="691"/>
      <c r="U122" s="738"/>
      <c r="V122" s="738"/>
      <c r="W122" s="691"/>
      <c r="X122" s="165"/>
      <c r="Y122" s="693"/>
      <c r="Z122" s="694"/>
      <c r="AA122" s="694"/>
      <c r="AB122" s="694"/>
      <c r="AC122" s="694"/>
      <c r="AD122" s="695"/>
      <c r="AE122" s="695"/>
      <c r="AF122" s="694"/>
      <c r="AG122" s="696"/>
      <c r="AH122" s="757"/>
    </row>
    <row r="123" spans="2:71" ht="12.75" customHeight="1">
      <c r="B123" s="690"/>
      <c r="C123" s="691"/>
      <c r="D123" s="738"/>
      <c r="E123" s="738"/>
      <c r="F123" s="691"/>
      <c r="G123" s="165"/>
      <c r="H123" s="693"/>
      <c r="I123" s="694"/>
      <c r="J123" s="694"/>
      <c r="K123" s="694"/>
      <c r="L123" s="694"/>
      <c r="M123" s="695"/>
      <c r="N123" s="695"/>
      <c r="O123" s="694"/>
      <c r="P123" s="696"/>
      <c r="Q123" s="757"/>
      <c r="S123" s="690"/>
      <c r="T123" s="691"/>
      <c r="U123" s="738"/>
      <c r="V123" s="738"/>
      <c r="W123" s="691"/>
      <c r="X123" s="165"/>
      <c r="Y123" s="693"/>
      <c r="Z123" s="694"/>
      <c r="AA123" s="694"/>
      <c r="AB123" s="694"/>
      <c r="AC123" s="694"/>
      <c r="AD123" s="695"/>
      <c r="AE123" s="695"/>
      <c r="AF123" s="694"/>
      <c r="AG123" s="696"/>
      <c r="AH123" s="757"/>
    </row>
    <row r="124" spans="2:71" ht="12.75" customHeight="1">
      <c r="B124" s="690"/>
      <c r="C124" s="691"/>
      <c r="D124" s="738"/>
      <c r="E124" s="738"/>
      <c r="F124" s="691"/>
      <c r="G124" s="165"/>
      <c r="H124" s="693"/>
      <c r="I124" s="694"/>
      <c r="J124" s="694"/>
      <c r="K124" s="694"/>
      <c r="L124" s="694"/>
      <c r="M124" s="695"/>
      <c r="N124" s="695"/>
      <c r="O124" s="694"/>
      <c r="P124" s="696"/>
      <c r="Q124" s="757"/>
      <c r="S124" s="690"/>
      <c r="T124" s="691"/>
      <c r="U124" s="738"/>
      <c r="V124" s="738"/>
      <c r="W124" s="691"/>
      <c r="X124" s="165"/>
      <c r="Y124" s="693"/>
      <c r="Z124" s="694"/>
      <c r="AA124" s="694"/>
      <c r="AB124" s="694"/>
      <c r="AC124" s="694"/>
      <c r="AD124" s="695"/>
      <c r="AE124" s="695"/>
      <c r="AF124" s="694"/>
      <c r="AG124" s="696"/>
      <c r="AH124" s="757"/>
    </row>
    <row r="125" spans="2:71" ht="12.75" customHeight="1">
      <c r="B125" s="690"/>
      <c r="C125" s="691"/>
      <c r="D125" s="738"/>
      <c r="E125" s="738"/>
      <c r="F125" s="691"/>
      <c r="G125" s="165"/>
      <c r="H125" s="693"/>
      <c r="I125" s="694"/>
      <c r="J125" s="694"/>
      <c r="K125" s="694"/>
      <c r="L125" s="694"/>
      <c r="M125" s="695"/>
      <c r="N125" s="695"/>
      <c r="O125" s="694"/>
      <c r="P125" s="696"/>
      <c r="Q125" s="757"/>
      <c r="S125" s="690"/>
      <c r="T125" s="691"/>
      <c r="U125" s="738"/>
      <c r="V125" s="738"/>
      <c r="W125" s="691"/>
      <c r="X125" s="165"/>
      <c r="Y125" s="693"/>
      <c r="Z125" s="694"/>
      <c r="AA125" s="694"/>
      <c r="AB125" s="694"/>
      <c r="AC125" s="694"/>
      <c r="AD125" s="695"/>
      <c r="AE125" s="695"/>
      <c r="AF125" s="694"/>
      <c r="AG125" s="696"/>
      <c r="AH125" s="757"/>
    </row>
  </sheetData>
  <mergeCells count="23">
    <mergeCell ref="BT5:BT7"/>
    <mergeCell ref="Y3:Y4"/>
    <mergeCell ref="AD3:AD4"/>
    <mergeCell ref="AE3:AE4"/>
    <mergeCell ref="AF3:AF4"/>
    <mergeCell ref="P3:P4"/>
    <mergeCell ref="G3:G4"/>
    <mergeCell ref="H3:H4"/>
    <mergeCell ref="M3:M4"/>
    <mergeCell ref="BS5:BS7"/>
    <mergeCell ref="AG3:AG4"/>
    <mergeCell ref="S5:T5"/>
    <mergeCell ref="U5:V5"/>
    <mergeCell ref="X3:X4"/>
    <mergeCell ref="S3:T4"/>
    <mergeCell ref="U3:V4"/>
    <mergeCell ref="N3:N4"/>
    <mergeCell ref="B5:C5"/>
    <mergeCell ref="D5:E5"/>
    <mergeCell ref="G5:H5"/>
    <mergeCell ref="M5:N5"/>
    <mergeCell ref="B3:C4"/>
    <mergeCell ref="D3:E4"/>
  </mergeCells>
  <conditionalFormatting sqref="N3:N4 H3:H4 AW53 AW43 AR43 AM43 BB22 BL29 BG29 AW50 AR50 AM50 BB29 BL36 BG36 BB36 BL43 AX50:AX56 AR53 AI72:AI85 P3:P4 BG53 BB53 AW3:AW4 AG3:AG4 BG43 BL53 AM53 AI56:AI64 BB43 BL50 BG50 BB50 BL8 BG8 BB8 BL15 BG14:BG15 BB15 BL3:BL4 AZ3:AZ4 BB3:BB4 BL22 BG22 AW8 AR8 AM8 AW15 AR14:AR15 AM15 AW22 AR22 AM22 AW29 AR29 AM29 AW36 AR36 AM36">
    <cfRule type="cellIs" dxfId="907" priority="392" operator="greaterThan">
      <formula>0</formula>
    </cfRule>
    <cfRule type="cellIs" dxfId="906" priority="393" operator="lessThan">
      <formula>0</formula>
    </cfRule>
    <cfRule type="cellIs" dxfId="905" priority="394" operator="equal">
      <formula>0</formula>
    </cfRule>
  </conditionalFormatting>
  <conditionalFormatting sqref="H8:H125 Y8:Y91 Y93:Y125">
    <cfRule type="cellIs" dxfId="904" priority="7" operator="equal">
      <formula>0</formula>
    </cfRule>
    <cfRule type="cellIs" dxfId="903" priority="8" operator="lessThan">
      <formula>0</formula>
    </cfRule>
    <cfRule type="cellIs" dxfId="902" priority="9" operator="greaterThan">
      <formula>0</formula>
    </cfRule>
  </conditionalFormatting>
  <conditionalFormatting sqref="Y92">
    <cfRule type="cellIs" dxfId="901" priority="1" operator="equal">
      <formula>0</formula>
    </cfRule>
    <cfRule type="cellIs" dxfId="900" priority="2" operator="lessThan">
      <formula>0</formula>
    </cfRule>
    <cfRule type="cellIs" dxfId="899" priority="3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0865" r:id="rId4" name="Button 1">
              <controlPr defaultSize="0" print="0" autoFill="0" autoPict="0" macro="[0]!generarCajas">
                <anchor moveWithCells="1" sizeWithCells="1">
                  <from>
                    <xdr:col>72</xdr:col>
                    <xdr:colOff>53340</xdr:colOff>
                    <xdr:row>10</xdr:row>
                    <xdr:rowOff>76200</xdr:rowOff>
                  </from>
                  <to>
                    <xdr:col>73</xdr:col>
                    <xdr:colOff>510540</xdr:colOff>
                    <xdr:row>12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8">
    <tabColor rgb="FF00B050"/>
  </sheetPr>
  <dimension ref="A1:KG1552"/>
  <sheetViews>
    <sheetView tabSelected="1" topLeftCell="M1" zoomScale="95" zoomScaleNormal="95" workbookViewId="0">
      <pane xSplit="79" ySplit="6" topLeftCell="EN10" activePane="bottomRight" state="frozen"/>
      <selection activeCell="X1" sqref="X1"/>
      <selection pane="topRight" activeCell="CN1" sqref="CN1"/>
      <selection pane="bottomLeft" activeCell="X7" sqref="X7"/>
      <selection pane="bottomRight" activeCell="BY18" sqref="BY18"/>
    </sheetView>
    <sheetView tabSelected="1" topLeftCell="EM307" zoomScale="95" zoomScaleNormal="95" workbookViewId="1">
      <pane xSplit="1" ySplit="3" topLeftCell="EN310" activePane="bottomRight" state="frozen"/>
      <selection activeCell="EM307" sqref="EM307"/>
      <selection pane="topRight" activeCell="EN307" sqref="EN307"/>
      <selection pane="bottomLeft" activeCell="EM310" sqref="EM310"/>
      <selection pane="bottomRight" activeCell="EO316" sqref="EO316"/>
    </sheetView>
    <sheetView tabSelected="1" topLeftCell="EN155" zoomScale="95" zoomScaleNormal="95" workbookViewId="2">
      <selection activeCell="EQ169" sqref="EQ169"/>
    </sheetView>
  </sheetViews>
  <sheetFormatPr baseColWidth="10" defaultColWidth="11.44140625" defaultRowHeight="15" customHeight="1" outlineLevelCol="2"/>
  <cols>
    <col min="1" max="1" width="2.6640625" style="141" hidden="1" customWidth="1"/>
    <col min="2" max="2" width="4.6640625" style="141" hidden="1" customWidth="1"/>
    <col min="3" max="4" width="11.44140625" style="141" hidden="1" customWidth="1"/>
    <col min="5" max="5" width="8.6640625" style="141" hidden="1" customWidth="1"/>
    <col min="6" max="7" width="11.44140625" style="141" hidden="1" customWidth="1"/>
    <col min="8" max="8" width="12.44140625" style="141" hidden="1" customWidth="1"/>
    <col min="9" max="11" width="11.44140625" style="141" hidden="1" customWidth="1"/>
    <col min="12" max="12" width="2.6640625" style="141" hidden="1" customWidth="1"/>
    <col min="13" max="13" width="8.6640625" style="141" hidden="1" customWidth="1" outlineLevel="2"/>
    <col min="14" max="14" width="11.6640625" style="141" hidden="1" customWidth="1" outlineLevel="2"/>
    <col min="15" max="15" width="8.6640625" style="141" hidden="1" customWidth="1" outlineLevel="2"/>
    <col min="16" max="16" width="11.44140625" style="141" hidden="1" customWidth="1" outlineLevel="2"/>
    <col min="17" max="17" width="2.6640625" style="141" hidden="1" customWidth="1" outlineLevel="2"/>
    <col min="18" max="18" width="11.6640625" style="141" hidden="1" customWidth="1" outlineLevel="2"/>
    <col min="19" max="19" width="11.44140625" style="141" hidden="1" customWidth="1" outlineLevel="2"/>
    <col min="20" max="20" width="2.6640625" style="141" hidden="1" customWidth="1" outlineLevel="2"/>
    <col min="21" max="22" width="11.44140625" style="141" hidden="1" customWidth="1" outlineLevel="2"/>
    <col min="23" max="23" width="2.6640625" style="141" hidden="1" customWidth="1" outlineLevel="2"/>
    <col min="24" max="24" width="2.88671875" style="109" customWidth="1" collapsed="1"/>
    <col min="25" max="25" width="6.109375" style="141" customWidth="1" outlineLevel="1"/>
    <col min="26" max="26" width="8.6640625" style="141" customWidth="1"/>
    <col min="27" max="27" width="0.5546875" style="141" customWidth="1" outlineLevel="1"/>
    <col min="28" max="28" width="9.6640625" style="141" customWidth="1" outlineLevel="1"/>
    <col min="29" max="29" width="0.5546875" style="141" customWidth="1"/>
    <col min="30" max="30" width="2.88671875" style="141" hidden="1" customWidth="1"/>
    <col min="31" max="31" width="6.33203125" style="141" customWidth="1"/>
    <col min="32" max="32" width="6.33203125" style="141" hidden="1" customWidth="1" outlineLevel="2"/>
    <col min="33" max="33" width="0.5546875" style="141" customWidth="1" collapsed="1"/>
    <col min="34" max="34" width="6.33203125" style="141" customWidth="1"/>
    <col min="35" max="35" width="4.6640625" style="141" hidden="1" customWidth="1"/>
    <col min="36" max="36" width="0.33203125" style="141" customWidth="1"/>
    <col min="37" max="37" width="6.33203125" style="141" customWidth="1" outlineLevel="1"/>
    <col min="38" max="38" width="4.6640625" style="141" hidden="1" customWidth="1" outlineLevel="1"/>
    <col min="39" max="39" width="0.33203125" style="141" customWidth="1" collapsed="1"/>
    <col min="40" max="41" width="4.6640625" style="141" hidden="1" customWidth="1" outlineLevel="2"/>
    <col min="42" max="42" width="0.5546875" style="141" customWidth="1" collapsed="1"/>
    <col min="43" max="43" width="6.33203125" style="141" customWidth="1" outlineLevel="1"/>
    <col min="44" max="44" width="4.6640625" style="141" customWidth="1" outlineLevel="1"/>
    <col min="45" max="45" width="0.33203125" style="141" customWidth="1" outlineLevel="1"/>
    <col min="46" max="46" width="6.33203125" style="141" customWidth="1" outlineLevel="1"/>
    <col min="47" max="47" width="4.6640625" style="141" customWidth="1" outlineLevel="1"/>
    <col min="48" max="48" width="0.5546875" style="141" customWidth="1"/>
    <col min="49" max="49" width="2.6640625" style="141" hidden="1" customWidth="1"/>
    <col min="50" max="50" width="5.6640625" style="141" hidden="1" customWidth="1" outlineLevel="1"/>
    <col min="51" max="51" width="0.5546875" style="141" hidden="1" customWidth="1" outlineLevel="1"/>
    <col min="52" max="52" width="5.6640625" style="141" hidden="1" customWidth="1" outlineLevel="1"/>
    <col min="53" max="53" width="4.6640625" style="141" hidden="1" customWidth="1" outlineLevel="2"/>
    <col min="54" max="54" width="4.6640625" style="141" hidden="1" customWidth="1" outlineLevel="1" collapsed="1"/>
    <col min="55" max="55" width="0.33203125" style="141" hidden="1" customWidth="1" outlineLevel="1"/>
    <col min="56" max="56" width="5.6640625" style="141" hidden="1" customWidth="1" outlineLevel="1"/>
    <col min="57" max="57" width="5.44140625" style="141" hidden="1" customWidth="1" outlineLevel="2"/>
    <col min="58" max="58" width="5.6640625" style="141" hidden="1" customWidth="1" outlineLevel="1"/>
    <col min="59" max="59" width="5.44140625" style="141" hidden="1" customWidth="1" outlineLevel="2"/>
    <col min="60" max="60" width="0.5546875" style="141" hidden="1" customWidth="1" outlineLevel="1"/>
    <col min="61" max="61" width="5.6640625" style="141" hidden="1" customWidth="1" outlineLevel="1"/>
    <col min="62" max="62" width="4.6640625" style="141" hidden="1" customWidth="1" outlineLevel="2"/>
    <col min="63" max="63" width="4.6640625" style="141" hidden="1" customWidth="1" outlineLevel="1" collapsed="1"/>
    <col min="64" max="64" width="0.33203125" style="141" hidden="1" customWidth="1" outlineLevel="1"/>
    <col min="65" max="65" width="5.6640625" style="141" hidden="1" customWidth="1" outlineLevel="1"/>
    <col min="66" max="66" width="5.44140625" style="141" hidden="1" customWidth="1" outlineLevel="2"/>
    <col min="67" max="67" width="5.6640625" style="141" hidden="1" customWidth="1" outlineLevel="1"/>
    <col min="68" max="68" width="5.44140625" style="141" hidden="1" customWidth="1" outlineLevel="2"/>
    <col min="69" max="69" width="0.88671875" style="141" hidden="1" customWidth="1" outlineLevel="1"/>
    <col min="70" max="70" width="0.88671875" style="141" customWidth="1" collapsed="1"/>
    <col min="71" max="71" width="8.6640625" style="141" customWidth="1" outlineLevel="2"/>
    <col min="72" max="72" width="0.88671875" style="141" customWidth="1" outlineLevel="2"/>
    <col min="73" max="73" width="5.6640625" style="141" customWidth="1" outlineLevel="1"/>
    <col min="74" max="74" width="0.5546875" style="141" hidden="1" customWidth="1"/>
    <col min="75" max="75" width="6.6640625" style="141" hidden="1" customWidth="1"/>
    <col min="76" max="76" width="0.88671875" style="141" customWidth="1" outlineLevel="2"/>
    <col min="77" max="77" width="4.6640625" style="141" customWidth="1" outlineLevel="2"/>
    <col min="78" max="78" width="5.6640625" style="141" customWidth="1" outlineLevel="2"/>
    <col min="79" max="79" width="0.88671875" style="141" customWidth="1" outlineLevel="1"/>
    <col min="80" max="80" width="5.6640625" style="141" customWidth="1" outlineLevel="1"/>
    <col min="81" max="81" width="4.6640625" style="141" customWidth="1" outlineLevel="2"/>
    <col min="82" max="82" width="6.33203125" style="141" customWidth="1" outlineLevel="1"/>
    <col min="83" max="83" width="4.6640625" style="141" customWidth="1" outlineLevel="2"/>
    <col min="84" max="84" width="5.6640625" style="141" customWidth="1" outlineLevel="1"/>
    <col min="85" max="85" width="0.88671875" style="141" customWidth="1" outlineLevel="2"/>
    <col min="86" max="86" width="5.6640625" style="141" customWidth="1" outlineLevel="2"/>
    <col min="87" max="87" width="4.6640625" style="141" customWidth="1" outlineLevel="2"/>
    <col min="88" max="88" width="0.5546875" style="141" customWidth="1" outlineLevel="1"/>
    <col min="89" max="89" width="6.6640625" style="141" hidden="1" customWidth="1"/>
    <col min="90" max="90" width="5.6640625" style="141" customWidth="1" outlineLevel="1"/>
    <col min="91" max="91" width="0.88671875" style="141" customWidth="1" outlineLevel="1"/>
    <col min="92" max="92" width="6.33203125" style="141" customWidth="1"/>
    <col min="93" max="93" width="0.33203125" style="141" customWidth="1"/>
    <col min="94" max="94" width="6.33203125" style="141" customWidth="1"/>
    <col min="95" max="95" width="0.33203125" style="141" customWidth="1"/>
    <col min="96" max="96" width="6.33203125" style="141" customWidth="1"/>
    <col min="97" max="97" width="0.33203125" style="141" customWidth="1"/>
    <col min="98" max="98" width="6.33203125" style="141" customWidth="1"/>
    <col min="99" max="99" width="0.33203125" style="141" customWidth="1"/>
    <col min="100" max="100" width="6.33203125" style="141" customWidth="1"/>
    <col min="101" max="101" width="0.33203125" style="141" customWidth="1"/>
    <col min="102" max="102" width="5.6640625" style="141" customWidth="1"/>
    <col min="103" max="103" width="6.33203125" style="141" bestFit="1" customWidth="1"/>
    <col min="104" max="104" width="0.33203125" style="141" customWidth="1"/>
    <col min="105" max="105" width="5.6640625" style="141" customWidth="1"/>
    <col min="106" max="106" width="0.33203125" style="141" customWidth="1"/>
    <col min="107" max="107" width="4.6640625" style="141" customWidth="1"/>
    <col min="108" max="108" width="0.33203125" style="141" customWidth="1"/>
    <col min="109" max="109" width="5.6640625" style="141" customWidth="1"/>
    <col min="110" max="110" width="4.6640625" style="141" hidden="1" customWidth="1" outlineLevel="2"/>
    <col min="111" max="111" width="10.6640625" style="141" customWidth="1" collapsed="1"/>
    <col min="112" max="112" width="10.6640625" style="141" customWidth="1"/>
    <col min="113" max="113" width="5.6640625" style="141" customWidth="1"/>
    <col min="114" max="114" width="4.6640625" style="141" customWidth="1"/>
    <col min="115" max="115" width="9.6640625" style="141" customWidth="1" outlineLevel="1"/>
    <col min="116" max="116" width="0.5546875" style="141" customWidth="1" outlineLevel="1"/>
    <col min="117" max="117" width="9.6640625" style="141" customWidth="1" outlineLevel="1"/>
    <col min="118" max="118" width="9.5546875" style="141" customWidth="1" outlineLevel="1"/>
    <col min="119" max="119" width="5.6640625" style="141" customWidth="1" outlineLevel="1"/>
    <col min="120" max="120" width="0.88671875" style="141" customWidth="1" outlineLevel="1"/>
    <col min="121" max="121" width="9.6640625" style="141" customWidth="1" outlineLevel="1"/>
    <col min="122" max="122" width="0.5546875" style="141" customWidth="1" outlineLevel="1"/>
    <col min="123" max="124" width="8.6640625" style="141" customWidth="1" outlineLevel="1"/>
    <col min="125" max="125" width="5.6640625" style="141" customWidth="1" outlineLevel="1"/>
    <col min="126" max="126" width="0.5546875" style="141" customWidth="1" outlineLevel="1"/>
    <col min="127" max="127" width="7.109375" style="141" customWidth="1" outlineLevel="2"/>
    <col min="128" max="128" width="6.6640625" style="141" customWidth="1" outlineLevel="2"/>
    <col min="129" max="129" width="1.6640625" style="141" customWidth="1"/>
    <col min="130" max="130" width="9.6640625" style="141" customWidth="1" outlineLevel="2"/>
    <col min="131" max="131" width="0.5546875" style="141" customWidth="1" outlineLevel="2"/>
    <col min="132" max="132" width="9.5546875" style="141" customWidth="1" outlineLevel="2"/>
    <col min="133" max="133" width="8.6640625" style="141" customWidth="1" outlineLevel="2"/>
    <col min="134" max="134" width="5.6640625" style="141" customWidth="1" outlineLevel="2"/>
    <col min="135" max="135" width="0.88671875" style="141" customWidth="1" outlineLevel="2"/>
    <col min="136" max="136" width="9.6640625" style="141" customWidth="1" outlineLevel="2"/>
    <col min="137" max="137" width="0.5546875" style="141" customWidth="1" outlineLevel="2"/>
    <col min="138" max="139" width="8.6640625" style="141" customWidth="1" outlineLevel="2"/>
    <col min="140" max="140" width="5.6640625" style="141" customWidth="1" outlineLevel="2"/>
    <col min="141" max="141" width="0.5546875" style="141" customWidth="1" outlineLevel="2"/>
    <col min="142" max="143" width="6.6640625" style="141" customWidth="1" outlineLevel="2"/>
    <col min="144" max="144" width="12.6640625" style="141" customWidth="1"/>
    <col min="145" max="145" width="7.6640625" style="141" customWidth="1"/>
    <col min="146" max="147" width="7.6640625" style="141" customWidth="1" outlineLevel="1"/>
    <col min="148" max="148" width="6.6640625" style="141" customWidth="1"/>
    <col min="149" max="149" width="6.5546875" style="141" customWidth="1" outlineLevel="1"/>
    <col min="150" max="150" width="6.6640625" style="141" customWidth="1" outlineLevel="1"/>
    <col min="151" max="151" width="7.6640625" style="141" customWidth="1"/>
    <col min="152" max="152" width="7" style="141" hidden="1" customWidth="1" outlineLevel="2"/>
    <col min="153" max="153" width="5.6640625" style="141" hidden="1" customWidth="1" outlineLevel="2"/>
    <col min="154" max="155" width="6.33203125" style="141" hidden="1" customWidth="1" outlineLevel="2"/>
    <col min="156" max="156" width="6.88671875" style="141" hidden="1" customWidth="1" outlineLevel="2"/>
    <col min="157" max="157" width="6.33203125" style="141" hidden="1" customWidth="1" outlineLevel="2"/>
    <col min="158" max="158" width="6.6640625" style="141" customWidth="1" collapsed="1"/>
    <col min="159" max="159" width="6.33203125" style="141" customWidth="1"/>
    <col min="160" max="160" width="10.109375" style="141" bestFit="1" customWidth="1"/>
    <col min="161" max="161" width="8.6640625" style="141" customWidth="1"/>
    <col min="162" max="162" width="0.88671875" style="141" customWidth="1"/>
    <col min="163" max="164" width="6.6640625" style="141" customWidth="1"/>
    <col min="165" max="165" width="12.6640625" style="141" customWidth="1"/>
    <col min="166" max="166" width="7.6640625" style="141" customWidth="1"/>
    <col min="167" max="168" width="7.6640625" style="141" customWidth="1" outlineLevel="1"/>
    <col min="169" max="169" width="6.6640625" style="141" customWidth="1"/>
    <col min="170" max="170" width="6.44140625" style="141" customWidth="1" outlineLevel="1"/>
    <col min="171" max="171" width="6.88671875" style="141" customWidth="1" outlineLevel="1"/>
    <col min="172" max="172" width="7.6640625" style="141" customWidth="1"/>
    <col min="173" max="173" width="7" style="141" hidden="1" customWidth="1" outlineLevel="2"/>
    <col min="174" max="174" width="5.6640625" style="141" hidden="1" customWidth="1" outlineLevel="2"/>
    <col min="175" max="177" width="6.33203125" style="141" hidden="1" customWidth="1" outlineLevel="2"/>
    <col min="178" max="178" width="5.6640625" style="141" hidden="1" customWidth="1" outlineLevel="2"/>
    <col min="179" max="179" width="6.33203125" style="141" customWidth="1" collapsed="1"/>
    <col min="180" max="180" width="6.33203125" style="141" customWidth="1"/>
    <col min="181" max="181" width="8.6640625" style="141" customWidth="1"/>
    <col min="182" max="182" width="7.6640625" style="141" customWidth="1"/>
    <col min="183" max="183" width="0.88671875" style="141" customWidth="1"/>
    <col min="184" max="185" width="6.6640625" style="141" hidden="1" customWidth="1"/>
    <col min="186" max="186" width="0.88671875" style="141" customWidth="1"/>
    <col min="187" max="187" width="5.6640625" style="141" customWidth="1"/>
    <col min="188" max="188" width="7.88671875" style="141" customWidth="1"/>
    <col min="189" max="189" width="6.6640625" style="141" customWidth="1"/>
    <col min="190" max="190" width="5.6640625" style="90" hidden="1" customWidth="1"/>
    <col min="191" max="191" width="5.6640625" style="141" hidden="1" customWidth="1"/>
    <col min="192" max="192" width="0.88671875" style="141" customWidth="1"/>
    <col min="193" max="193" width="5.6640625" style="141" customWidth="1"/>
    <col min="194" max="194" width="6.88671875" style="141" customWidth="1"/>
    <col min="195" max="195" width="6.6640625" style="141" customWidth="1"/>
    <col min="196" max="197" width="5.6640625" style="141" hidden="1" customWidth="1"/>
    <col min="198" max="198" width="10" style="141" hidden="1" customWidth="1"/>
    <col min="199" max="199" width="3.33203125" style="141" customWidth="1"/>
    <col min="200" max="200" width="3.109375" style="141" customWidth="1"/>
    <col min="201" max="201" width="5.33203125" style="141" hidden="1" customWidth="1"/>
    <col min="202" max="214" width="5.33203125" style="141" customWidth="1"/>
    <col min="215" max="215" width="0.33203125" style="141" customWidth="1"/>
    <col min="216" max="219" width="5.33203125" style="141" customWidth="1"/>
    <col min="220" max="220" width="3.33203125" style="141" hidden="1" customWidth="1"/>
    <col min="221" max="221" width="3.33203125" style="90" hidden="1" customWidth="1"/>
    <col min="222" max="222" width="4.6640625" style="126" hidden="1" customWidth="1"/>
    <col min="223" max="223" width="4.6640625" style="125" hidden="1" customWidth="1"/>
    <col min="224" max="224" width="4.6640625" style="141" hidden="1" customWidth="1"/>
    <col min="225" max="225" width="4.6640625" style="126" hidden="1" customWidth="1"/>
    <col min="226" max="226" width="4.6640625" style="125" hidden="1" customWidth="1"/>
    <col min="227" max="227" width="4.6640625" style="141" hidden="1" customWidth="1"/>
    <col min="228" max="228" width="4.6640625" style="126" hidden="1" customWidth="1"/>
    <col min="229" max="229" width="4.6640625" style="125" hidden="1" customWidth="1"/>
    <col min="230" max="230" width="3.6640625" style="141" hidden="1" customWidth="1"/>
    <col min="231" max="231" width="1.6640625" style="126" customWidth="1"/>
    <col min="232" max="232" width="4.6640625" style="141" customWidth="1"/>
    <col min="233" max="233" width="0.88671875" style="141" customWidth="1"/>
    <col min="234" max="234" width="8.6640625" style="141" customWidth="1"/>
    <col min="235" max="235" width="8.6640625" style="141" hidden="1" customWidth="1"/>
    <col min="236" max="236" width="8.6640625" style="141" hidden="1" customWidth="1" collapsed="1"/>
    <col min="237" max="241" width="11.44140625" style="141" hidden="1" customWidth="1"/>
    <col min="242" max="242" width="14.5546875" style="141" hidden="1" customWidth="1"/>
    <col min="243" max="243" width="12" style="141" hidden="1" customWidth="1"/>
    <col min="244" max="244" width="5.109375" style="141" hidden="1" customWidth="1"/>
    <col min="245" max="245" width="8.6640625" style="141" hidden="1" customWidth="1"/>
    <col min="246" max="246" width="7.33203125" style="141" hidden="1" customWidth="1"/>
    <col min="247" max="247" width="8.6640625" style="141" hidden="1" customWidth="1"/>
    <col min="248" max="248" width="11.88671875" style="141" hidden="1" customWidth="1"/>
    <col min="249" max="249" width="11.44140625" style="90" hidden="1" customWidth="1"/>
    <col min="250" max="250" width="7.6640625" style="141" hidden="1" customWidth="1"/>
    <col min="251" max="251" width="8.88671875" style="141" hidden="1" customWidth="1"/>
    <col min="252" max="291" width="7.6640625" style="141" hidden="1" customWidth="1"/>
    <col min="292" max="292" width="11.44140625" style="141" hidden="1" customWidth="1"/>
    <col min="293" max="311" width="11.44140625" style="141" customWidth="1"/>
    <col min="312" max="16384" width="11.44140625" style="141"/>
  </cols>
  <sheetData>
    <row r="1" spans="1:290" s="142" customFormat="1" ht="12.9" customHeight="1" thickBot="1">
      <c r="M1" s="142" t="str">
        <f xml:space="preserve"> REPLACE(TEXT(AX7, "#,00"), FIND(",",TEXT(AX7, "#,00")), 1, ".")</f>
        <v>132.00</v>
      </c>
      <c r="N1" s="142">
        <f>+IF(AX7 = "", "",IF(MOD(AX7 * 10, 10) = 0, 10,IF(MOD(AX7 * 100, 10) = 0, 11,IF(MOD(AX7 * 1000, 10) = 0, 12))))</f>
        <v>10</v>
      </c>
      <c r="O1" s="142" t="str">
        <f>TEXT(AX7, "##,0")</f>
        <v>132,0</v>
      </c>
      <c r="P1" s="142">
        <f>LEN(MID(AX7, 1, FIND(",",TEXT(AX7, "#,00")) - 1))</f>
        <v>3</v>
      </c>
      <c r="X1" s="175">
        <f>+COLUMN()</f>
        <v>24</v>
      </c>
      <c r="Y1" s="539" t="s">
        <v>40</v>
      </c>
      <c r="Z1" s="887" t="s">
        <v>3</v>
      </c>
      <c r="AA1" s="888"/>
      <c r="AB1" s="162"/>
      <c r="AC1" s="162"/>
      <c r="AD1" s="162"/>
      <c r="AE1" s="985" t="s">
        <v>45</v>
      </c>
      <c r="AF1" s="987"/>
      <c r="AG1" s="1056">
        <f>+IF(Z1 = "", "", IFERROR(Resumen!G14, 0) + AK1)</f>
        <v>209.65</v>
      </c>
      <c r="AH1" s="1057"/>
      <c r="AI1" s="1057"/>
      <c r="AJ1" s="1058"/>
      <c r="AK1" s="594"/>
      <c r="AL1" s="162"/>
      <c r="AM1" s="173"/>
      <c r="AN1" s="162"/>
      <c r="AO1" s="162"/>
      <c r="AP1" s="162"/>
      <c r="AQ1" s="985" t="s">
        <v>32</v>
      </c>
      <c r="AR1" s="987"/>
      <c r="AS1" s="986"/>
      <c r="AT1" s="991">
        <f>+IF(Z1 = "", "", IFERROR(Resumen!H14, 0))</f>
        <v>2.9500000000000002E-2</v>
      </c>
      <c r="AU1" s="992"/>
      <c r="AV1" s="162"/>
      <c r="AW1" s="162"/>
      <c r="AX1" s="985" t="s">
        <v>59</v>
      </c>
      <c r="AY1" s="986"/>
      <c r="AZ1" s="208">
        <f>+VLOOKUP(Z1, TICKERS_ACCIONES_OPCIONES, 2, FALSE)</f>
        <v>0.39129238424163981</v>
      </c>
      <c r="BA1" s="162"/>
      <c r="BB1" s="162"/>
      <c r="BC1" s="162"/>
      <c r="BD1" s="162"/>
      <c r="BE1" s="162"/>
      <c r="BF1" s="162"/>
      <c r="BG1" s="162"/>
      <c r="BH1" s="162"/>
      <c r="BI1" s="206" t="s">
        <v>352</v>
      </c>
      <c r="BJ1" s="205">
        <f>+BM1/365</f>
        <v>0.13972602739726028</v>
      </c>
      <c r="BK1" s="985" t="s">
        <v>16</v>
      </c>
      <c r="BL1" s="986"/>
      <c r="BM1" s="205">
        <f>+V13-V12</f>
        <v>51</v>
      </c>
      <c r="BN1" s="162"/>
      <c r="BO1" s="162"/>
      <c r="BP1" s="162"/>
      <c r="BQ1" s="171"/>
      <c r="BR1" s="372"/>
      <c r="BS1" s="382"/>
      <c r="BT1" s="382"/>
      <c r="BU1" s="383" t="b">
        <v>0</v>
      </c>
      <c r="BV1" s="383"/>
      <c r="BW1" s="382"/>
      <c r="BX1" s="382"/>
      <c r="BY1" s="382"/>
      <c r="BZ1" s="382"/>
      <c r="CA1" s="382"/>
      <c r="CB1" s="382"/>
      <c r="CC1" s="382"/>
      <c r="CD1" s="382"/>
      <c r="CE1" s="382"/>
      <c r="CF1" s="382"/>
      <c r="CG1" s="382"/>
      <c r="CH1" s="382"/>
      <c r="CI1" s="382"/>
      <c r="CJ1" s="382"/>
      <c r="CK1" s="382"/>
      <c r="CL1" s="382"/>
      <c r="CM1" s="372"/>
      <c r="CN1" s="985" t="s">
        <v>3</v>
      </c>
      <c r="CO1" s="987"/>
      <c r="CP1" s="999">
        <f>+CT1 * CR1 / VLOOKUP(Z1, FACTOR_ADR, 3, FALSE)</f>
        <v>18.805936220011706</v>
      </c>
      <c r="CQ1" s="1000"/>
      <c r="CR1" s="988">
        <f>+V20/V21</f>
        <v>0.89701579871269754</v>
      </c>
      <c r="CS1" s="988"/>
      <c r="CT1" s="989">
        <f>+IF(CN1 = "", "", IFERROR(Resumen!G11, 0))</f>
        <v>209.65</v>
      </c>
      <c r="CU1" s="990"/>
      <c r="CV1" s="170" t="s">
        <v>90</v>
      </c>
      <c r="CW1" s="979">
        <v>8.6</v>
      </c>
      <c r="CX1" s="980"/>
      <c r="CY1" s="981">
        <f>+ IF(ISBLANK(CY4), CW1 * CR1 / VLOOKUP(Z1, FACTOR_ADR, 3, FALSE), CW1 * CY4 / VLOOKUP(Z1, FACTOR_ADR, 3, FALSE))</f>
        <v>0.77143358689291985</v>
      </c>
      <c r="CZ1" s="982"/>
      <c r="DA1" s="172"/>
      <c r="DB1" s="162"/>
      <c r="DC1" s="542" t="s">
        <v>310</v>
      </c>
      <c r="DD1" s="162"/>
      <c r="DE1" s="543">
        <v>0.02</v>
      </c>
      <c r="DF1" s="162"/>
      <c r="DG1" s="544" t="s">
        <v>311</v>
      </c>
      <c r="DH1" s="162"/>
      <c r="DI1" s="162"/>
      <c r="DJ1" s="162"/>
      <c r="DK1" s="162"/>
      <c r="DL1" s="171"/>
      <c r="DM1" s="171"/>
      <c r="DN1" s="171"/>
      <c r="DO1" s="162"/>
      <c r="DP1" s="171"/>
      <c r="DQ1" s="171"/>
      <c r="DR1" s="171"/>
      <c r="DS1" s="171"/>
      <c r="DT1" s="171"/>
      <c r="DU1" s="171"/>
      <c r="DV1" s="171"/>
      <c r="DW1" s="171"/>
      <c r="DX1" s="171"/>
      <c r="DY1" s="171"/>
      <c r="DZ1" s="983" t="s">
        <v>135</v>
      </c>
      <c r="EA1" s="983"/>
      <c r="EB1" s="983"/>
      <c r="EC1" s="983"/>
      <c r="ED1" s="983"/>
      <c r="EE1" s="983"/>
      <c r="EF1" s="983"/>
      <c r="EG1" s="983"/>
      <c r="EH1" s="983"/>
      <c r="EI1" s="983"/>
      <c r="EJ1" s="983"/>
      <c r="EK1" s="983"/>
      <c r="EL1" s="983"/>
      <c r="EM1" s="983"/>
      <c r="EN1" s="219">
        <v>2</v>
      </c>
      <c r="EO1" s="312" t="s">
        <v>167</v>
      </c>
      <c r="EP1" s="984" t="b">
        <v>0</v>
      </c>
      <c r="EQ1" s="984"/>
      <c r="ER1" s="414" t="s">
        <v>261</v>
      </c>
      <c r="ES1" s="312" t="s">
        <v>155</v>
      </c>
      <c r="ET1" s="313"/>
      <c r="EU1" s="265">
        <f>+IF(ER1 = 'Tablas AUXS'!$G$8, 1, IF(ER1 = 'Tablas AUXS'!$G$9, 2))</f>
        <v>2</v>
      </c>
      <c r="EV1" s="266"/>
      <c r="EW1" s="984" t="b">
        <v>0</v>
      </c>
      <c r="EX1" s="984"/>
      <c r="EY1" s="984" t="s">
        <v>180</v>
      </c>
      <c r="EZ1" s="984"/>
      <c r="FA1" s="984" t="b">
        <v>1</v>
      </c>
      <c r="FB1" s="984"/>
      <c r="FC1" s="265">
        <f>+IF(FD1 = 'Tablas AUXS'!$H$8, 1, IF(FD1 = 'Tablas AUXS'!$H$9, 2))</f>
        <v>1</v>
      </c>
      <c r="FD1" s="414" t="s">
        <v>252</v>
      </c>
      <c r="FE1" s="265"/>
      <c r="FF1" s="265"/>
      <c r="FG1" s="217"/>
      <c r="FH1" s="217"/>
      <c r="FI1" s="219">
        <v>3</v>
      </c>
      <c r="FJ1" s="312" t="s">
        <v>181</v>
      </c>
      <c r="FK1" s="984" t="b">
        <v>1</v>
      </c>
      <c r="FL1" s="984"/>
      <c r="FM1" s="414" t="s">
        <v>261</v>
      </c>
      <c r="FN1" s="265">
        <f>+IF(FM1 = 'Tablas AUXS'!$G$8, 1, IF(FM1 = 'Tablas AUXS'!$G$9, 2))</f>
        <v>2</v>
      </c>
      <c r="FO1" s="217"/>
      <c r="FP1" s="217"/>
      <c r="FQ1" s="217"/>
      <c r="FR1" s="217"/>
      <c r="FS1" s="217"/>
      <c r="FT1" s="217"/>
      <c r="FU1" s="217"/>
      <c r="FV1" s="217"/>
      <c r="FW1" s="217"/>
      <c r="FX1" s="265">
        <f>+IF(FY1 = 'Tablas AUXS'!$H$8, 1, IF(FY1 = 'Tablas AUXS'!$H$9, 2))</f>
        <v>1</v>
      </c>
      <c r="FY1" s="414" t="s">
        <v>252</v>
      </c>
      <c r="FZ1" s="217"/>
      <c r="GA1" s="265"/>
      <c r="GB1" s="217"/>
      <c r="GC1" s="217"/>
      <c r="GD1" s="219"/>
      <c r="GE1" s="1018" t="str">
        <f>+IF(MAX(GL7:GL47) &gt; MIN(GF7:GF47), IF(VLOOKUP(1, GH7:GI47, 2, FALSE) &lt; VLOOKUP(1, GN7:GO47, 2, FALSE), "COMPRAR ABAJO (Long Box)", "COMPRAR ARRIBA (Short Box)"), "")</f>
        <v>COMPRAR ABAJO (Long Box)</v>
      </c>
      <c r="GF1" s="1018"/>
      <c r="GG1" s="1018"/>
      <c r="GH1" s="1018"/>
      <c r="GI1" s="1018"/>
      <c r="GJ1" s="178"/>
      <c r="GK1" s="978" t="str">
        <f>+IF(MAX(GL7:GL47) &gt; MIN(GF7:GF47), IF(VLOOKUP(1, GH7:GI47, 2, FALSE) &lt; VLOOKUP(1, GN7:GO47, 2, FALSE), "VENDER ARRIBA", "VENDER ABAJO"), "")</f>
        <v>VENDER ARRIBA</v>
      </c>
      <c r="GL1" s="978"/>
      <c r="GM1" s="978"/>
      <c r="GN1" s="978"/>
      <c r="GO1" s="978"/>
      <c r="GP1" s="217"/>
      <c r="GQ1" s="219"/>
      <c r="GR1" s="219"/>
      <c r="GS1" s="978" t="str">
        <f>+IF(MAX(GS7:HK49) &gt; 0, "OPERAR MARIPOSA", "")</f>
        <v/>
      </c>
      <c r="GT1" s="978"/>
      <c r="GU1" s="978"/>
      <c r="GV1" s="978"/>
      <c r="GW1" s="978"/>
      <c r="GX1" s="978"/>
      <c r="GY1" s="978"/>
      <c r="GZ1" s="978"/>
      <c r="HA1" s="978"/>
      <c r="HB1" s="264"/>
      <c r="HC1" s="978" t="str">
        <f>+IF(MAX(HC7:HF49) &gt; 0, "OPERAR MARIPOSA", "")</f>
        <v/>
      </c>
      <c r="HD1" s="978"/>
      <c r="HE1" s="978"/>
      <c r="HF1" s="978"/>
      <c r="HG1" s="264"/>
      <c r="HH1" s="978" t="str">
        <f>+IF(MAX(HH7:HK49) &gt; 0, "OPERAR MARIPOSA", "")</f>
        <v/>
      </c>
      <c r="HI1" s="978"/>
      <c r="HJ1" s="978"/>
      <c r="HK1" s="978"/>
      <c r="HL1" s="219">
        <v>20</v>
      </c>
      <c r="HM1" s="219">
        <v>1</v>
      </c>
      <c r="HN1" s="328"/>
      <c r="HO1" s="328"/>
      <c r="HP1" s="328"/>
      <c r="HQ1" s="328"/>
      <c r="HR1" s="328"/>
      <c r="HS1" s="328"/>
      <c r="HT1" s="328"/>
      <c r="HU1" s="328"/>
      <c r="HV1" s="328"/>
      <c r="HW1" s="328"/>
      <c r="HX1" s="328"/>
      <c r="HY1" s="328"/>
      <c r="HZ1" s="217"/>
      <c r="IA1" s="162"/>
      <c r="IB1" s="162"/>
      <c r="IC1" s="162"/>
      <c r="ID1" s="162"/>
      <c r="IJ1" s="142" t="s">
        <v>3</v>
      </c>
      <c r="IK1" s="113" t="s">
        <v>148</v>
      </c>
      <c r="IM1" s="144" t="s">
        <v>299</v>
      </c>
      <c r="IN1" s="494" t="s">
        <v>300</v>
      </c>
      <c r="IO1" s="547">
        <f>+ED351</f>
        <v>0</v>
      </c>
      <c r="IP1" s="547">
        <f>ED310</f>
        <v>0</v>
      </c>
      <c r="IQ1" s="547">
        <f>ED311</f>
        <v>0</v>
      </c>
      <c r="IR1" s="547">
        <f>ED312</f>
        <v>0</v>
      </c>
      <c r="IS1" s="547">
        <f>ED313</f>
        <v>0</v>
      </c>
      <c r="IT1" s="547">
        <f>ED314</f>
        <v>0</v>
      </c>
      <c r="IU1" s="547">
        <f>ED315</f>
        <v>0</v>
      </c>
      <c r="IV1" s="547">
        <f>ED316</f>
        <v>0</v>
      </c>
      <c r="IW1" s="547">
        <f>ED317</f>
        <v>0</v>
      </c>
      <c r="IX1" s="547">
        <f>ED318</f>
        <v>0</v>
      </c>
      <c r="IY1" s="547">
        <f>ED319</f>
        <v>0</v>
      </c>
      <c r="IZ1" s="547">
        <f>ED320</f>
        <v>0</v>
      </c>
      <c r="JA1" s="547">
        <f>ED321</f>
        <v>50</v>
      </c>
      <c r="JB1" s="547">
        <f>ED322</f>
        <v>0</v>
      </c>
      <c r="JC1" s="547">
        <f>ED323</f>
        <v>0</v>
      </c>
      <c r="JD1" s="547">
        <f>ED324</f>
        <v>0</v>
      </c>
      <c r="JE1" s="547">
        <f>ED325</f>
        <v>-50</v>
      </c>
      <c r="JF1" s="547">
        <f>ED326</f>
        <v>0</v>
      </c>
      <c r="JG1" s="547">
        <f>ED327</f>
        <v>0</v>
      </c>
      <c r="JH1" s="547">
        <f>ED328</f>
        <v>0</v>
      </c>
      <c r="JI1" s="547">
        <f>ED329</f>
        <v>-25</v>
      </c>
      <c r="JJ1" s="547">
        <f>ED330</f>
        <v>0</v>
      </c>
      <c r="JK1" s="547">
        <f>ED331</f>
        <v>0</v>
      </c>
      <c r="JL1" s="547">
        <f>ED332</f>
        <v>0</v>
      </c>
      <c r="JM1" s="547">
        <f>ED333</f>
        <v>0</v>
      </c>
      <c r="JN1" s="547">
        <f>ED334</f>
        <v>0</v>
      </c>
      <c r="JO1" s="547">
        <f>ED335</f>
        <v>0</v>
      </c>
      <c r="JP1" s="547">
        <f>ED336</f>
        <v>0</v>
      </c>
      <c r="JQ1" s="547">
        <f>ED337</f>
        <v>0</v>
      </c>
      <c r="JR1" s="547">
        <f>ED338</f>
        <v>0</v>
      </c>
      <c r="JS1" s="547">
        <f>ED339</f>
        <v>0</v>
      </c>
      <c r="JT1" s="547">
        <f>ED340</f>
        <v>0</v>
      </c>
      <c r="JU1" s="547">
        <f>ED341</f>
        <v>0</v>
      </c>
      <c r="JV1" s="547">
        <f>ED342</f>
        <v>0</v>
      </c>
      <c r="JW1" s="547">
        <f>ED343</f>
        <v>0</v>
      </c>
      <c r="JX1" s="547">
        <f>ED344</f>
        <v>0</v>
      </c>
      <c r="JY1" s="547">
        <f>ED345</f>
        <v>0</v>
      </c>
      <c r="JZ1" s="547">
        <f>ED346</f>
        <v>0</v>
      </c>
      <c r="KA1" s="547">
        <f>ED347</f>
        <v>0</v>
      </c>
      <c r="KB1" s="547">
        <f>ED348</f>
        <v>0</v>
      </c>
      <c r="KC1" s="547">
        <f>ED349</f>
        <v>0</v>
      </c>
      <c r="KD1" s="547">
        <f>ED350</f>
        <v>0</v>
      </c>
    </row>
    <row r="2" spans="1:290" s="142" customFormat="1" ht="12.9" hidden="1" customHeight="1">
      <c r="X2" s="108"/>
      <c r="AA2" s="162"/>
      <c r="AM2" s="174"/>
      <c r="AP2" s="162"/>
      <c r="AV2" s="162"/>
      <c r="BQ2" s="115"/>
      <c r="BR2" s="372"/>
      <c r="BS2" s="382"/>
      <c r="BT2" s="382"/>
      <c r="BU2" s="382"/>
      <c r="BV2" s="382"/>
      <c r="BW2" s="382"/>
      <c r="BX2" s="382"/>
      <c r="BY2" s="382"/>
      <c r="BZ2" s="382"/>
      <c r="CA2" s="382"/>
      <c r="CB2" s="382"/>
      <c r="CC2" s="382"/>
      <c r="CD2" s="382"/>
      <c r="CE2" s="382"/>
      <c r="CF2" s="382"/>
      <c r="CG2" s="382"/>
      <c r="CH2" s="382"/>
      <c r="CI2" s="382"/>
      <c r="CJ2" s="382"/>
      <c r="CK2" s="382"/>
      <c r="CL2" s="382"/>
      <c r="CM2" s="372"/>
      <c r="CP2" s="1001"/>
      <c r="CQ2" s="1002"/>
      <c r="DG2" s="43"/>
      <c r="DJ2" s="162"/>
      <c r="DK2" s="162"/>
      <c r="DL2" s="171"/>
      <c r="DM2" s="171"/>
      <c r="DN2" s="171"/>
      <c r="DO2" s="162"/>
      <c r="DP2" s="171"/>
      <c r="DQ2" s="171"/>
      <c r="DR2" s="171"/>
      <c r="DS2" s="171"/>
      <c r="DT2" s="171"/>
      <c r="DU2" s="171"/>
      <c r="DV2" s="171"/>
      <c r="DW2" s="171"/>
      <c r="DX2" s="171"/>
      <c r="DY2" s="171"/>
      <c r="DZ2" s="216"/>
      <c r="EA2" s="207"/>
      <c r="EB2" s="207"/>
      <c r="EC2" s="207"/>
      <c r="ED2" s="216"/>
      <c r="EE2" s="207"/>
      <c r="EF2" s="207"/>
      <c r="EG2" s="207"/>
      <c r="EH2" s="207"/>
      <c r="EI2" s="207"/>
      <c r="EJ2" s="207"/>
      <c r="EK2" s="207"/>
      <c r="EL2" s="207"/>
      <c r="EM2" s="207"/>
      <c r="EN2" s="219"/>
      <c r="EO2" s="217"/>
      <c r="EP2" s="217"/>
      <c r="EQ2" s="217"/>
      <c r="ER2" s="217"/>
      <c r="ES2" s="217"/>
      <c r="ET2" s="217"/>
      <c r="EU2" s="217"/>
      <c r="EV2" s="217"/>
      <c r="EW2" s="217"/>
      <c r="EX2" s="217"/>
      <c r="EY2" s="217"/>
      <c r="EZ2" s="217"/>
      <c r="FA2" s="217"/>
      <c r="FB2" s="217"/>
      <c r="FC2" s="217"/>
      <c r="FD2" s="217"/>
      <c r="FE2" s="217"/>
      <c r="FF2" s="217"/>
      <c r="FG2" s="217"/>
      <c r="FH2" s="217"/>
      <c r="FI2" s="217"/>
      <c r="FJ2" s="217"/>
      <c r="FK2" s="217"/>
      <c r="FL2" s="217"/>
      <c r="FM2" s="217"/>
      <c r="FN2" s="217"/>
      <c r="FO2" s="217"/>
      <c r="FP2" s="217"/>
      <c r="FQ2" s="217"/>
      <c r="FR2" s="217"/>
      <c r="FS2" s="217"/>
      <c r="FT2" s="216"/>
      <c r="FU2" s="216"/>
      <c r="FV2" s="216"/>
      <c r="FW2" s="217"/>
      <c r="FX2" s="217"/>
      <c r="FY2" s="217"/>
      <c r="FZ2" s="217"/>
      <c r="GA2" s="217"/>
      <c r="GB2" s="217"/>
      <c r="GC2" s="217"/>
      <c r="GD2" s="219"/>
      <c r="GE2" s="217"/>
      <c r="GF2" s="262"/>
      <c r="GG2" s="217"/>
      <c r="GH2" s="219"/>
      <c r="GI2" s="217"/>
      <c r="GJ2" s="217"/>
      <c r="GK2" s="217"/>
      <c r="GL2" s="217"/>
      <c r="GM2" s="217"/>
      <c r="GN2" s="217"/>
      <c r="GO2" s="217"/>
      <c r="GP2" s="217"/>
      <c r="GQ2" s="219"/>
      <c r="GR2" s="219"/>
      <c r="GS2" s="217"/>
      <c r="GT2" s="217"/>
      <c r="GU2" s="217"/>
      <c r="GV2" s="217"/>
      <c r="GW2" s="217"/>
      <c r="GX2" s="217"/>
      <c r="GY2" s="217"/>
      <c r="GZ2" s="217"/>
      <c r="HA2" s="217"/>
      <c r="HB2" s="219"/>
      <c r="HC2" s="217"/>
      <c r="HD2" s="217"/>
      <c r="HE2" s="217"/>
      <c r="HF2" s="217"/>
      <c r="HG2" s="219"/>
      <c r="HH2" s="217"/>
      <c r="HI2" s="217"/>
      <c r="HJ2" s="217"/>
      <c r="HK2" s="217"/>
      <c r="HL2" s="219"/>
      <c r="HM2" s="443"/>
      <c r="HN2" s="220"/>
      <c r="HO2" s="221"/>
      <c r="HP2" s="217"/>
      <c r="HQ2" s="220"/>
      <c r="HR2" s="221"/>
      <c r="HS2" s="217"/>
      <c r="HT2" s="220"/>
      <c r="HU2" s="221"/>
      <c r="HV2" s="217"/>
      <c r="HW2" s="220"/>
      <c r="HX2" s="217"/>
      <c r="HY2" s="217"/>
      <c r="HZ2" s="217"/>
      <c r="IA2" s="162"/>
      <c r="IB2" s="162"/>
      <c r="IC2" s="162"/>
      <c r="ID2" s="162"/>
      <c r="IO2" s="51"/>
    </row>
    <row r="3" spans="1:290" s="142" customFormat="1" ht="12.9" hidden="1" customHeight="1">
      <c r="X3" s="108"/>
      <c r="AA3" s="162"/>
      <c r="AM3" s="174"/>
      <c r="AP3" s="162"/>
      <c r="AV3" s="162"/>
      <c r="BQ3" s="115"/>
      <c r="BR3" s="372"/>
      <c r="BS3" s="382"/>
      <c r="BT3" s="382"/>
      <c r="BU3" s="382"/>
      <c r="BV3" s="382"/>
      <c r="BW3" s="382"/>
      <c r="BX3" s="382"/>
      <c r="BY3" s="382"/>
      <c r="BZ3" s="382"/>
      <c r="CA3" s="382"/>
      <c r="CB3" s="382"/>
      <c r="CC3" s="382"/>
      <c r="CD3" s="382"/>
      <c r="CE3" s="382"/>
      <c r="CF3" s="382"/>
      <c r="CG3" s="382"/>
      <c r="CH3" s="382"/>
      <c r="CI3" s="382"/>
      <c r="CJ3" s="382"/>
      <c r="CK3" s="382"/>
      <c r="CL3" s="382"/>
      <c r="CM3" s="372"/>
      <c r="CP3" s="1001"/>
      <c r="CQ3" s="1002"/>
      <c r="DG3" s="43"/>
      <c r="DJ3" s="162"/>
      <c r="DK3" s="162"/>
      <c r="DL3" s="171"/>
      <c r="DM3" s="171"/>
      <c r="DN3" s="171"/>
      <c r="DO3" s="162"/>
      <c r="DP3" s="171"/>
      <c r="DQ3" s="171"/>
      <c r="DR3" s="171"/>
      <c r="DS3" s="171"/>
      <c r="DT3" s="171"/>
      <c r="DU3" s="171"/>
      <c r="DV3" s="171"/>
      <c r="DW3" s="171"/>
      <c r="DX3" s="171"/>
      <c r="DY3" s="171"/>
      <c r="DZ3" s="216"/>
      <c r="EA3" s="207"/>
      <c r="EB3" s="207"/>
      <c r="EC3" s="207"/>
      <c r="ED3" s="216"/>
      <c r="EE3" s="207"/>
      <c r="EF3" s="207"/>
      <c r="EG3" s="207"/>
      <c r="EH3" s="207"/>
      <c r="EI3" s="207"/>
      <c r="EJ3" s="207"/>
      <c r="EK3" s="207"/>
      <c r="EL3" s="207"/>
      <c r="EM3" s="207"/>
      <c r="EN3" s="219"/>
      <c r="EO3" s="217"/>
      <c r="EP3" s="217"/>
      <c r="EQ3" s="217"/>
      <c r="ER3" s="217"/>
      <c r="ES3" s="217"/>
      <c r="ET3" s="217"/>
      <c r="EU3" s="217"/>
      <c r="EV3" s="217"/>
      <c r="EW3" s="217"/>
      <c r="EX3" s="217"/>
      <c r="EY3" s="217"/>
      <c r="EZ3" s="217"/>
      <c r="FA3" s="217"/>
      <c r="FB3" s="217"/>
      <c r="FC3" s="217"/>
      <c r="FD3" s="217"/>
      <c r="FE3" s="217"/>
      <c r="FF3" s="217"/>
      <c r="FG3" s="217"/>
      <c r="FH3" s="217"/>
      <c r="FI3" s="217"/>
      <c r="FJ3" s="217"/>
      <c r="FK3" s="217"/>
      <c r="FL3" s="217"/>
      <c r="FM3" s="217"/>
      <c r="FN3" s="217"/>
      <c r="FO3" s="217"/>
      <c r="FP3" s="217"/>
      <c r="FQ3" s="217"/>
      <c r="FR3" s="217"/>
      <c r="FS3" s="217"/>
      <c r="FT3" s="216"/>
      <c r="FU3" s="216"/>
      <c r="FV3" s="216"/>
      <c r="FW3" s="217"/>
      <c r="FX3" s="217"/>
      <c r="FY3" s="217"/>
      <c r="FZ3" s="217"/>
      <c r="GA3" s="217"/>
      <c r="GB3" s="217"/>
      <c r="GC3" s="217"/>
      <c r="GD3" s="219"/>
      <c r="GE3" s="217"/>
      <c r="GF3" s="263"/>
      <c r="GG3" s="217"/>
      <c r="GH3" s="219"/>
      <c r="GI3" s="217"/>
      <c r="GJ3" s="217"/>
      <c r="GK3" s="217"/>
      <c r="GL3" s="217"/>
      <c r="GM3" s="217"/>
      <c r="GN3" s="217"/>
      <c r="GO3" s="217"/>
      <c r="GP3" s="217"/>
      <c r="GQ3" s="219"/>
      <c r="GR3" s="219"/>
      <c r="GS3" s="217"/>
      <c r="GT3" s="217"/>
      <c r="GU3" s="217"/>
      <c r="GV3" s="217"/>
      <c r="GW3" s="217"/>
      <c r="GX3" s="217"/>
      <c r="GY3" s="217"/>
      <c r="GZ3" s="217"/>
      <c r="HA3" s="217"/>
      <c r="HB3" s="219"/>
      <c r="HC3" s="217"/>
      <c r="HD3" s="217"/>
      <c r="HE3" s="217"/>
      <c r="HF3" s="217"/>
      <c r="HG3" s="219"/>
      <c r="HH3" s="217"/>
      <c r="HI3" s="217"/>
      <c r="HJ3" s="217"/>
      <c r="HK3" s="217"/>
      <c r="HL3" s="219"/>
      <c r="HM3" s="443"/>
      <c r="HN3" s="220"/>
      <c r="HO3" s="221"/>
      <c r="HP3" s="217"/>
      <c r="HQ3" s="220"/>
      <c r="HR3" s="221"/>
      <c r="HS3" s="217"/>
      <c r="HT3" s="220"/>
      <c r="HU3" s="221"/>
      <c r="HV3" s="217"/>
      <c r="HW3" s="220"/>
      <c r="HX3" s="217"/>
      <c r="HY3" s="217"/>
      <c r="HZ3" s="217"/>
      <c r="IA3" s="162"/>
      <c r="IB3" s="162"/>
      <c r="IC3" s="162"/>
      <c r="ID3" s="162"/>
      <c r="IO3" s="51"/>
    </row>
    <row r="4" spans="1:290" s="144" customFormat="1" ht="13.8" thickBot="1">
      <c r="A4" s="161"/>
      <c r="B4" s="161"/>
      <c r="C4" s="161"/>
      <c r="D4" s="161"/>
      <c r="E4" s="161"/>
      <c r="F4" s="161"/>
      <c r="G4" s="161"/>
      <c r="H4" s="161"/>
      <c r="I4" s="161"/>
      <c r="J4" s="161"/>
      <c r="K4" s="161"/>
      <c r="L4" s="161"/>
      <c r="M4" s="162" t="str">
        <f>TEXT(AX7, "#,00")</f>
        <v>132,00</v>
      </c>
      <c r="N4" s="162">
        <f>FIND(",",TEXT(AX7, "#,00"))</f>
        <v>4</v>
      </c>
      <c r="O4" s="162" t="str">
        <f>TEXT(AX7, "##,")</f>
        <v>132,</v>
      </c>
      <c r="P4" s="162"/>
      <c r="Q4" s="161"/>
      <c r="R4" s="161"/>
      <c r="S4" s="161"/>
      <c r="T4" s="161"/>
      <c r="U4" s="162"/>
      <c r="V4" s="162"/>
      <c r="W4" s="161"/>
      <c r="X4" s="175"/>
      <c r="Y4" s="229">
        <v>4</v>
      </c>
      <c r="Z4" s="232"/>
      <c r="AA4" s="232"/>
      <c r="AB4" s="229">
        <v>7</v>
      </c>
      <c r="AC4" s="229">
        <v>8</v>
      </c>
      <c r="AD4" s="161"/>
      <c r="AE4" s="229">
        <v>1</v>
      </c>
      <c r="AF4" s="230">
        <v>2</v>
      </c>
      <c r="AG4" s="231">
        <v>3</v>
      </c>
      <c r="AH4" s="229">
        <v>9</v>
      </c>
      <c r="AI4" s="229">
        <v>10</v>
      </c>
      <c r="AJ4" s="231">
        <v>11</v>
      </c>
      <c r="AK4" s="229">
        <v>12</v>
      </c>
      <c r="AL4" s="229">
        <v>13</v>
      </c>
      <c r="AM4" s="231">
        <v>14</v>
      </c>
      <c r="AN4" s="229">
        <v>15</v>
      </c>
      <c r="AO4" s="229">
        <v>16</v>
      </c>
      <c r="AP4" s="229">
        <v>17</v>
      </c>
      <c r="AQ4" s="229">
        <v>18</v>
      </c>
      <c r="AR4" s="512" t="s">
        <v>305</v>
      </c>
      <c r="AS4" s="511"/>
      <c r="AT4" s="511"/>
      <c r="AU4" s="229">
        <v>22</v>
      </c>
      <c r="AV4" s="233"/>
      <c r="AW4" s="233"/>
      <c r="AX4" s="229">
        <v>1</v>
      </c>
      <c r="AY4" s="229">
        <v>2</v>
      </c>
      <c r="AZ4" s="229">
        <v>3</v>
      </c>
      <c r="BA4" s="229">
        <v>4</v>
      </c>
      <c r="BB4" s="229">
        <v>5</v>
      </c>
      <c r="BC4" s="229">
        <v>6</v>
      </c>
      <c r="BD4" s="229">
        <v>7</v>
      </c>
      <c r="BE4" s="229">
        <v>8</v>
      </c>
      <c r="BF4" s="229"/>
      <c r="BG4" s="229">
        <v>10</v>
      </c>
      <c r="BH4" s="231">
        <v>11</v>
      </c>
      <c r="BI4" s="229">
        <v>12</v>
      </c>
      <c r="BJ4" s="229">
        <v>13</v>
      </c>
      <c r="BK4" s="229">
        <v>14</v>
      </c>
      <c r="BL4" s="229">
        <v>15</v>
      </c>
      <c r="BM4" s="229">
        <v>16</v>
      </c>
      <c r="BN4" s="229">
        <v>17</v>
      </c>
      <c r="BO4" s="229">
        <v>18</v>
      </c>
      <c r="BP4" s="161"/>
      <c r="BQ4" s="162"/>
      <c r="BR4" s="380">
        <v>70</v>
      </c>
      <c r="BS4" s="383">
        <v>71</v>
      </c>
      <c r="BT4" s="383">
        <v>72</v>
      </c>
      <c r="BU4" s="383">
        <v>73</v>
      </c>
      <c r="BV4" s="383">
        <v>74</v>
      </c>
      <c r="BW4" s="383">
        <v>75</v>
      </c>
      <c r="BX4" s="383">
        <v>76</v>
      </c>
      <c r="BY4" s="383">
        <v>77</v>
      </c>
      <c r="BZ4" s="383">
        <v>78</v>
      </c>
      <c r="CA4" s="383">
        <v>79</v>
      </c>
      <c r="CB4" s="383">
        <v>80</v>
      </c>
      <c r="CC4" s="383">
        <v>81</v>
      </c>
      <c r="CD4" s="383">
        <v>82</v>
      </c>
      <c r="CE4" s="383">
        <v>83</v>
      </c>
      <c r="CF4" s="383">
        <v>84</v>
      </c>
      <c r="CG4" s="383">
        <v>85</v>
      </c>
      <c r="CH4" s="383">
        <v>86</v>
      </c>
      <c r="CI4" s="383">
        <v>87</v>
      </c>
      <c r="CJ4" s="383">
        <v>88</v>
      </c>
      <c r="CK4" s="383">
        <v>89</v>
      </c>
      <c r="CL4" s="383">
        <v>90</v>
      </c>
      <c r="CM4" s="372"/>
      <c r="CN4" s="162"/>
      <c r="CO4" s="162"/>
      <c r="CP4" s="1003"/>
      <c r="CQ4" s="1004"/>
      <c r="CR4" s="549">
        <f>+CP1-AG1</f>
        <v>-190.84406377998829</v>
      </c>
      <c r="CS4" s="162"/>
      <c r="CT4" s="211"/>
      <c r="CU4" s="162"/>
      <c r="CV4" s="162"/>
      <c r="CW4" s="162"/>
      <c r="CX4" s="162"/>
      <c r="CY4" s="988"/>
      <c r="CZ4" s="988"/>
      <c r="DA4" s="162"/>
      <c r="DB4" s="162"/>
      <c r="DC4" s="162"/>
      <c r="DD4" s="162"/>
      <c r="DE4" s="162"/>
      <c r="DF4" s="162"/>
      <c r="DG4" s="544" t="s">
        <v>312</v>
      </c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2"/>
      <c r="DX4" s="162"/>
      <c r="DY4" s="162"/>
      <c r="DZ4" s="217"/>
      <c r="EA4" s="217"/>
      <c r="EB4" s="217"/>
      <c r="EC4" s="217"/>
      <c r="ED4" s="217"/>
      <c r="EE4" s="217"/>
      <c r="EF4" s="217"/>
      <c r="EG4" s="217"/>
      <c r="EH4" s="217"/>
      <c r="EI4" s="217"/>
      <c r="EJ4" s="217"/>
      <c r="EK4" s="217"/>
      <c r="EL4" s="217"/>
      <c r="EM4" s="217"/>
      <c r="EN4" s="217"/>
      <c r="EO4" s="217"/>
      <c r="EP4" s="217"/>
      <c r="EQ4" s="217"/>
      <c r="ER4" s="217"/>
      <c r="ES4" s="217"/>
      <c r="ET4" s="217"/>
      <c r="EU4" s="217"/>
      <c r="EV4" s="217"/>
      <c r="EW4" s="217"/>
      <c r="EX4" s="217"/>
      <c r="EY4" s="217"/>
      <c r="EZ4" s="217"/>
      <c r="FA4" s="217"/>
      <c r="FB4" s="217"/>
      <c r="FC4" s="217"/>
      <c r="FD4" s="217"/>
      <c r="FE4" s="217"/>
      <c r="FF4" s="217"/>
      <c r="FG4" s="217"/>
      <c r="FH4" s="217"/>
      <c r="FI4" s="219"/>
      <c r="FJ4" s="217"/>
      <c r="FK4" s="217"/>
      <c r="FL4" s="217"/>
      <c r="FM4" s="217"/>
      <c r="FN4" s="217"/>
      <c r="FO4" s="217"/>
      <c r="FP4" s="217">
        <f>+COLUMN()</f>
        <v>172</v>
      </c>
      <c r="FQ4" s="217"/>
      <c r="FR4" s="217"/>
      <c r="FS4" s="217"/>
      <c r="FT4" s="217"/>
      <c r="FU4" s="222"/>
      <c r="FV4" s="222"/>
      <c r="FW4" s="217"/>
      <c r="FX4" s="217"/>
      <c r="FY4" s="217">
        <f t="shared" ref="FY4:FZ4" si="0">+COLUMN()</f>
        <v>181</v>
      </c>
      <c r="FZ4" s="217">
        <f t="shared" si="0"/>
        <v>182</v>
      </c>
      <c r="GA4" s="217"/>
      <c r="GB4" s="217"/>
      <c r="GC4" s="217"/>
      <c r="GD4" s="217"/>
      <c r="GE4" s="813">
        <f>+'Costo Fin.'!I10</f>
        <v>10.545682191780823</v>
      </c>
      <c r="GF4" s="217"/>
      <c r="GG4" s="217"/>
      <c r="GH4" s="217"/>
      <c r="GI4" s="217"/>
      <c r="GJ4" s="217"/>
      <c r="GK4" s="217"/>
      <c r="GL4" s="217"/>
      <c r="GM4" s="217"/>
      <c r="GN4" s="217"/>
      <c r="GO4" s="217">
        <v>1</v>
      </c>
      <c r="GP4" s="217" t="str">
        <f>+IF(OR($HM$1=8, $HM$1=12), VLOOKUP($HL$1 - 1, hojaBasesPrecios, IF($HL$5 = 3, 1, $HL$5) + 1, FALSE),
IF(OR($HM$1=9,   $HM$1=13), VLOOKUP($HL$1 - 2, hojaBasesPrecios, IF($HL$5 = 3, 1, $HL$5) + 1, FALSE),
IF(OR($HM$1=10, $HM$1=14), VLOOKUP($HL$1 - 1, hojaBasesPrecios, IF($HL$5 = 3, 1, $HL$5) + 1, FALSE),
IF(OR($HM$1=11, $HM$1=15), VLOOKUP($HL$1 - 2, hojaBasesPrecios, IF($HL$5 = 3, 1, $HL$5) + 1, FALSE),
VLOOKUP($HL$1 - $HM$1, hojaBasesPrecios, IF($HL$5 = 3, 1, $HL$5) + 1, FALSE)))))</f>
        <v>GFGC240.AB</v>
      </c>
      <c r="GQ4" s="219">
        <f>+IF(OR($HM$1=8, $HM$1=12), VLOOKUP($HL$1 - 1, PRECIOS_EJERCICIOS, 2, FALSE),
IF(OR($HM$1=9,   $HM$1=13), VLOOKUP($HL$1 - 2, PRECIOS_EJERCICIOS, 2, FALSE),
IF(OR($HM$1=10, $HM$1=14), VLOOKUP($HL$1 - 1, PRECIOS_EJERCICIOS, 2, FALSE),
IF(OR($HM$1=11, $HM$1=15), VLOOKUP($HL$1 - 2, PRECIOS_EJERCICIOS, 2, FALSE),
VLOOKUP($HL$1 - $HM$1, PRECIOS_EJERCICIOS, 2, FALSE)))))</f>
        <v>240</v>
      </c>
      <c r="GR4" s="219">
        <f>+HM4 / GCD($HM$4, $HM$5, $HM$6)</f>
        <v>1</v>
      </c>
      <c r="GS4" s="217"/>
      <c r="GT4" s="217"/>
      <c r="GU4" s="217"/>
      <c r="GV4" s="217"/>
      <c r="GW4" s="217"/>
      <c r="GX4" s="217"/>
      <c r="GY4" s="217"/>
      <c r="GZ4" s="217"/>
      <c r="HA4" s="217"/>
      <c r="HB4" s="217"/>
      <c r="HC4" s="217"/>
      <c r="HD4" s="217"/>
      <c r="HE4" s="217"/>
      <c r="HF4" s="217"/>
      <c r="HG4" s="217"/>
      <c r="HH4" s="217"/>
      <c r="HI4" s="217"/>
      <c r="HJ4" s="241"/>
      <c r="HK4" s="241"/>
      <c r="HL4" s="420"/>
      <c r="HM4" s="442">
        <f>+(HM5-(GQ5-GQ4))</f>
        <v>10</v>
      </c>
      <c r="HN4" s="420"/>
      <c r="HO4" s="420"/>
      <c r="HP4" s="420"/>
      <c r="HQ4" s="420"/>
      <c r="HR4" s="420"/>
      <c r="HS4" s="420"/>
      <c r="HT4" s="420"/>
      <c r="HU4" s="420"/>
      <c r="HV4" s="420"/>
      <c r="HW4" s="420"/>
      <c r="HX4" s="421"/>
      <c r="HY4" s="338"/>
      <c r="HZ4" s="338"/>
      <c r="IA4" s="162"/>
      <c r="IB4" s="162"/>
      <c r="IC4" s="162"/>
      <c r="ID4" s="162"/>
      <c r="IE4" s="142"/>
      <c r="IF4" s="142"/>
      <c r="IG4" s="142"/>
      <c r="IH4" s="142"/>
      <c r="II4" s="142"/>
      <c r="IK4" s="144" t="s">
        <v>298</v>
      </c>
      <c r="IN4" s="494" t="s">
        <v>301</v>
      </c>
      <c r="IO4" s="56"/>
      <c r="IP4" s="547">
        <f>EG310</f>
        <v>0</v>
      </c>
      <c r="IQ4" s="547">
        <f>EG311</f>
        <v>0</v>
      </c>
      <c r="IR4" s="547">
        <f>EG312</f>
        <v>0</v>
      </c>
      <c r="IS4" s="547">
        <f>EG313</f>
        <v>0</v>
      </c>
      <c r="IT4" s="547">
        <f>EG314</f>
        <v>0</v>
      </c>
      <c r="IU4" s="547">
        <f>EG315</f>
        <v>0</v>
      </c>
      <c r="IV4" s="547">
        <f>EG316</f>
        <v>0</v>
      </c>
      <c r="IW4" s="547">
        <f>EG317</f>
        <v>0</v>
      </c>
      <c r="IX4" s="547">
        <f>EG318</f>
        <v>0</v>
      </c>
      <c r="IY4" s="547">
        <f>EG319</f>
        <v>0</v>
      </c>
      <c r="IZ4" s="547">
        <f>EG320</f>
        <v>0</v>
      </c>
      <c r="JA4" s="547">
        <f>EG321</f>
        <v>0</v>
      </c>
      <c r="JB4" s="547">
        <f>EG322</f>
        <v>0</v>
      </c>
      <c r="JC4" s="547">
        <f>EG323</f>
        <v>0</v>
      </c>
      <c r="JD4" s="547">
        <f>EG324</f>
        <v>0</v>
      </c>
      <c r="JE4" s="547">
        <f>EG325</f>
        <v>0</v>
      </c>
      <c r="JF4" s="547">
        <f>EG326</f>
        <v>0</v>
      </c>
      <c r="JG4" s="547">
        <f>EG327</f>
        <v>0</v>
      </c>
      <c r="JH4" s="547">
        <f>EG328</f>
        <v>0</v>
      </c>
      <c r="JI4" s="547">
        <f>EG329</f>
        <v>0</v>
      </c>
      <c r="JJ4" s="547">
        <f>EG330</f>
        <v>0</v>
      </c>
      <c r="JK4" s="547">
        <f>EG331</f>
        <v>0</v>
      </c>
      <c r="JL4" s="547">
        <f>EG332</f>
        <v>0</v>
      </c>
      <c r="JM4" s="547">
        <f>EG333</f>
        <v>0</v>
      </c>
      <c r="JN4" s="547">
        <f>EG334</f>
        <v>0</v>
      </c>
      <c r="JO4" s="547">
        <f>EG335</f>
        <v>0</v>
      </c>
      <c r="JP4" s="547">
        <f>EG336</f>
        <v>0</v>
      </c>
      <c r="JQ4" s="547">
        <f>EG337</f>
        <v>0</v>
      </c>
      <c r="JR4" s="547">
        <f>EG338</f>
        <v>0</v>
      </c>
      <c r="JS4" s="547">
        <f>EG339</f>
        <v>0</v>
      </c>
      <c r="JT4" s="547">
        <f>EG340</f>
        <v>0</v>
      </c>
      <c r="JU4" s="547">
        <f>EG341</f>
        <v>0</v>
      </c>
      <c r="JV4" s="547">
        <f>EG342</f>
        <v>0</v>
      </c>
      <c r="JW4" s="547">
        <f>EG343</f>
        <v>0</v>
      </c>
      <c r="JX4" s="547">
        <f>EG344</f>
        <v>0</v>
      </c>
      <c r="JY4" s="547">
        <f>EG345</f>
        <v>0</v>
      </c>
      <c r="JZ4" s="547">
        <f>EG346</f>
        <v>0</v>
      </c>
      <c r="KA4" s="547">
        <f>EG347</f>
        <v>0</v>
      </c>
      <c r="KB4" s="547">
        <f>EG348</f>
        <v>0</v>
      </c>
      <c r="KC4" s="547">
        <f>EG349</f>
        <v>0</v>
      </c>
      <c r="KD4" s="547">
        <f>EG350</f>
        <v>0</v>
      </c>
    </row>
    <row r="5" spans="1:290" s="144" customFormat="1" ht="12.9" customHeight="1" thickBot="1">
      <c r="B5" s="114"/>
      <c r="C5" s="120" t="s">
        <v>99</v>
      </c>
      <c r="D5" s="120" t="s">
        <v>99</v>
      </c>
      <c r="E5" s="120"/>
      <c r="F5" s="120" t="s">
        <v>173</v>
      </c>
      <c r="G5" s="120" t="s">
        <v>173</v>
      </c>
      <c r="H5" s="120" t="s">
        <v>50</v>
      </c>
      <c r="I5" s="120" t="s">
        <v>50</v>
      </c>
      <c r="J5" s="120" t="s">
        <v>172</v>
      </c>
      <c r="K5" s="120" t="s">
        <v>172</v>
      </c>
      <c r="M5" s="120"/>
      <c r="N5" s="120"/>
      <c r="O5" s="120"/>
      <c r="P5" s="120"/>
      <c r="R5" s="120" t="s">
        <v>214</v>
      </c>
      <c r="S5" s="120" t="s">
        <v>216</v>
      </c>
      <c r="U5" s="142"/>
      <c r="V5" s="142"/>
      <c r="X5" s="535"/>
      <c r="Y5" s="190" t="s">
        <v>53</v>
      </c>
      <c r="Z5" s="190" t="s">
        <v>66</v>
      </c>
      <c r="AA5" s="161"/>
      <c r="AB5" s="183" t="s">
        <v>135</v>
      </c>
      <c r="AC5" s="161"/>
      <c r="AD5" s="187"/>
      <c r="AE5" s="183" t="s">
        <v>50</v>
      </c>
      <c r="AF5" s="183" t="s">
        <v>134</v>
      </c>
      <c r="AG5" s="179"/>
      <c r="AH5" s="958">
        <f>+DK5</f>
        <v>0</v>
      </c>
      <c r="AI5" s="959"/>
      <c r="AJ5" s="178"/>
      <c r="AK5" s="960">
        <f>+DQ5</f>
        <v>0</v>
      </c>
      <c r="AL5" s="961"/>
      <c r="AM5" s="179"/>
      <c r="AN5" s="962" t="s">
        <v>152</v>
      </c>
      <c r="AO5" s="962"/>
      <c r="AP5" s="179"/>
      <c r="AQ5" s="563"/>
      <c r="AR5" s="512" t="s">
        <v>324</v>
      </c>
      <c r="AS5" s="511"/>
      <c r="AT5" s="511"/>
      <c r="AU5" s="564"/>
      <c r="AV5" s="179"/>
      <c r="AW5" s="187"/>
      <c r="AX5" s="183" t="s">
        <v>50</v>
      </c>
      <c r="AY5" s="163"/>
      <c r="AZ5" s="187" t="s">
        <v>60</v>
      </c>
      <c r="BA5" s="190"/>
      <c r="BB5" s="183" t="s">
        <v>58</v>
      </c>
      <c r="BC5" s="163"/>
      <c r="BD5" s="963" t="s">
        <v>10</v>
      </c>
      <c r="BE5" s="963"/>
      <c r="BF5" s="963"/>
      <c r="BG5" s="963"/>
      <c r="BH5" s="188"/>
      <c r="BI5" s="187" t="s">
        <v>60</v>
      </c>
      <c r="BJ5" s="190"/>
      <c r="BK5" s="183" t="s">
        <v>58</v>
      </c>
      <c r="BL5" s="163"/>
      <c r="BM5" s="995" t="s">
        <v>11</v>
      </c>
      <c r="BN5" s="995"/>
      <c r="BO5" s="995"/>
      <c r="BP5" s="995"/>
      <c r="BQ5" s="163"/>
      <c r="BR5" s="381"/>
      <c r="BS5" s="376"/>
      <c r="BT5" s="376"/>
      <c r="BU5" s="376"/>
      <c r="BV5" s="385"/>
      <c r="BW5" s="376"/>
      <c r="BX5" s="376"/>
      <c r="BY5" s="996" t="s">
        <v>223</v>
      </c>
      <c r="BZ5" s="996"/>
      <c r="CA5" s="376"/>
      <c r="CB5" s="997" t="str">
        <f>+IF($BU$1=FALSE, "CALL", "PUT")</f>
        <v>CALL</v>
      </c>
      <c r="CC5" s="997"/>
      <c r="CD5" s="997"/>
      <c r="CE5" s="997"/>
      <c r="CF5" s="997"/>
      <c r="CG5" s="376"/>
      <c r="CH5" s="998" t="s">
        <v>224</v>
      </c>
      <c r="CI5" s="998"/>
      <c r="CJ5" s="376"/>
      <c r="CK5" s="386"/>
      <c r="CL5" s="386"/>
      <c r="CM5" s="381"/>
      <c r="CN5" s="209" t="s">
        <v>153</v>
      </c>
      <c r="CO5" s="210"/>
      <c r="CP5" s="956">
        <f>+CP6 + (DM5 + DS5)</f>
        <v>7984.7612499999595</v>
      </c>
      <c r="CQ5" s="956"/>
      <c r="CR5" s="957"/>
      <c r="CS5" s="163"/>
      <c r="CT5" s="212" t="s">
        <v>135</v>
      </c>
      <c r="CU5" s="163"/>
      <c r="CV5" s="948" t="str">
        <f>+IF(GS1 = "OPERAR MARIPOSA", "OPERAR MARIPOSA", "MARIPOSAS")</f>
        <v>MARIPOSAS</v>
      </c>
      <c r="CW5" s="949"/>
      <c r="CX5" s="950"/>
      <c r="CY5" s="948" t="str">
        <f>+IF($HM$2 = 1, "OPERAR BULL SPREAD", "BULL SPREAD")</f>
        <v>BULL SPREAD</v>
      </c>
      <c r="CZ5" s="949"/>
      <c r="DA5" s="950"/>
      <c r="DB5" s="948" t="str">
        <f>+IF($HM$3 = 1, "OPERAR BEAR SPREAD", "BEAR SPREAD")</f>
        <v>BEAR SPREAD</v>
      </c>
      <c r="DC5" s="949"/>
      <c r="DD5" s="949"/>
      <c r="DE5" s="950"/>
      <c r="DF5" s="162"/>
      <c r="DG5" s="954" t="str">
        <f>+IF(OR(GE1 =  "COMPRAR ABAJO (Long Box)", GE1= "COMPRAR ARRIBA (Short Box)"), "OPERAR SINTÉTICO", "SINTÉTICOS")</f>
        <v>OPERAR SINTÉTICO</v>
      </c>
      <c r="DH5" s="954"/>
      <c r="DI5" s="948"/>
      <c r="DJ5" s="949"/>
      <c r="DK5" s="260">
        <f>SUM(DK7:DK48)</f>
        <v>0</v>
      </c>
      <c r="DL5" s="217"/>
      <c r="DM5" s="236">
        <f>SUM(DM7:DM48)</f>
        <v>54500</v>
      </c>
      <c r="DN5" s="236">
        <f>SUM(DN7:DN48)</f>
        <v>54500</v>
      </c>
      <c r="DO5" s="237">
        <f>IF(DK5 = 0, 0, IFERROR( DN5 / ABS(DK5), 0))</f>
        <v>0</v>
      </c>
      <c r="DP5" s="217"/>
      <c r="DQ5" s="238">
        <f>SUM(DQ7:DQ48)</f>
        <v>0</v>
      </c>
      <c r="DR5" s="217"/>
      <c r="DS5" s="236">
        <f>SUM(DS7:DS48)</f>
        <v>0</v>
      </c>
      <c r="DT5" s="236">
        <f>SUM(DT7:DT48)</f>
        <v>0</v>
      </c>
      <c r="DU5" s="239">
        <f>IF(DQ5 = 0, 0, IFERROR( DT5 / ABS(DQ5), 0))</f>
        <v>0</v>
      </c>
      <c r="DV5" s="218"/>
      <c r="DW5" s="429">
        <f>SUM(DW7:DW48)</f>
        <v>6.6475693714697259</v>
      </c>
      <c r="DX5" s="256">
        <f>SUM(DX7:DX48)</f>
        <v>-0.54827452529925658</v>
      </c>
      <c r="DY5" s="163"/>
      <c r="DZ5" s="260">
        <f>SUM(DZ7:DZ48)</f>
        <v>0</v>
      </c>
      <c r="EA5" s="217"/>
      <c r="EB5" s="236">
        <f>SUM(EB7:EB48)</f>
        <v>0</v>
      </c>
      <c r="EC5" s="236">
        <f>SUM(EC7:EC48)</f>
        <v>0</v>
      </c>
      <c r="ED5" s="237">
        <f>IF(DZ5 = 0, 0, IFERROR( EC5 / ABS(DZ5), 0))</f>
        <v>0</v>
      </c>
      <c r="EE5" s="217"/>
      <c r="EF5" s="238">
        <f>SUM(EF7:EF48)</f>
        <v>0</v>
      </c>
      <c r="EG5" s="217"/>
      <c r="EH5" s="236">
        <f>SUM(EH7:EH48)</f>
        <v>0</v>
      </c>
      <c r="EI5" s="236">
        <f>SUM(EI7:EI48)</f>
        <v>0</v>
      </c>
      <c r="EJ5" s="239">
        <f>IF(EF5 = 0, 0, IFERROR( EI5 / ABS(EF5), 0))</f>
        <v>0</v>
      </c>
      <c r="EK5" s="218"/>
      <c r="EL5" s="256">
        <f>SUM(EL7:EL48)</f>
        <v>0</v>
      </c>
      <c r="EM5" s="256">
        <f>SUM(EM7:EM48)</f>
        <v>0</v>
      </c>
      <c r="EN5" s="218"/>
      <c r="EO5" s="994" t="s">
        <v>137</v>
      </c>
      <c r="EP5" s="994"/>
      <c r="EQ5" s="994"/>
      <c r="ER5" s="994"/>
      <c r="ES5" s="994"/>
      <c r="ET5" s="994"/>
      <c r="EU5" s="994"/>
      <c r="EV5" s="994"/>
      <c r="EW5" s="994"/>
      <c r="EX5" s="994"/>
      <c r="EY5" s="994"/>
      <c r="EZ5" s="994"/>
      <c r="FA5" s="994"/>
      <c r="FB5" s="994"/>
      <c r="FC5" s="994"/>
      <c r="FD5" s="994"/>
      <c r="FE5" s="314"/>
      <c r="FF5" s="218"/>
      <c r="FG5" s="945" t="s">
        <v>218</v>
      </c>
      <c r="FH5" s="945"/>
      <c r="FI5" s="218"/>
      <c r="FJ5" s="327"/>
      <c r="FK5" s="327"/>
      <c r="FL5" s="327"/>
      <c r="FM5" s="327"/>
      <c r="FN5" s="327"/>
      <c r="FO5" s="327"/>
      <c r="FP5" s="327"/>
      <c r="FQ5" s="327" t="s">
        <v>138</v>
      </c>
      <c r="FR5" s="327"/>
      <c r="FS5" s="327"/>
      <c r="FT5" s="327"/>
      <c r="FU5" s="327"/>
      <c r="FV5" s="327"/>
      <c r="FW5" s="327"/>
      <c r="FX5" s="327"/>
      <c r="FY5" s="327"/>
      <c r="FZ5" s="327"/>
      <c r="GA5" s="218"/>
      <c r="GB5" s="327" t="s">
        <v>273</v>
      </c>
      <c r="GC5" s="327" t="s">
        <v>96</v>
      </c>
      <c r="GD5" s="218"/>
      <c r="GE5" s="946" t="s">
        <v>119</v>
      </c>
      <c r="GF5" s="946"/>
      <c r="GG5" s="946"/>
      <c r="GH5" s="946"/>
      <c r="GI5" s="946"/>
      <c r="GJ5" s="218"/>
      <c r="GK5" s="448" t="s">
        <v>120</v>
      </c>
      <c r="GL5" s="448"/>
      <c r="GM5" s="448"/>
      <c r="GN5" s="448"/>
      <c r="GO5" s="217">
        <v>2</v>
      </c>
      <c r="GP5" s="217" t="str">
        <f>+IF(OR($HM$1=8, $HM$1=12), VLOOKUP($HL$1, hojaBasesPrecios, IF($HL$5 = 3, 1, $HL$5) + 1, FALSE),
IF(OR($HM$1=9,   $HM$1=13), VLOOKUP($HL$1, hojaBasesPrecios, IF($HL$5 = 3, 1, $HL$5) + 1, FALSE),
IF(OR($HM$1=10, $HM$1=14), VLOOKUP($HL$1, hojaBasesPrecios, IF($HL$5 = 3, 1, $HL$5) + 1, FALSE),
IF(OR($HM$1=11, $HM$1=15), VLOOKUP($HL$1, hojaBasesPrecios, IF($HL$5 = 3, 1, $HL$5) + 1, FALSE),
VLOOKUP($HL$1 + 0, hojaBasesPrecios, IF($HL$5 = 3, 1, $HL$5) + 1, FALSE)))))</f>
        <v>GFGC250.AB</v>
      </c>
      <c r="GQ5" s="219">
        <f>+VLOOKUP($HL$1, PRECIOS_EJERCICIOS,2, FALSE)</f>
        <v>250</v>
      </c>
      <c r="GR5" s="219">
        <f>+HM5 / GCD($HM$4, $HM$5, $HM$6)</f>
        <v>2</v>
      </c>
      <c r="GT5" s="1007" t="s">
        <v>126</v>
      </c>
      <c r="GU5" s="1007"/>
      <c r="GV5" s="1007"/>
      <c r="GW5" s="1007"/>
      <c r="GX5" s="1007"/>
      <c r="GY5" s="1007"/>
      <c r="GZ5" s="1007"/>
      <c r="HA5" s="1007"/>
      <c r="HB5" s="1008"/>
      <c r="HC5" s="947" t="s">
        <v>131</v>
      </c>
      <c r="HD5" s="946"/>
      <c r="HE5" s="946"/>
      <c r="HF5" s="946"/>
      <c r="HG5" s="218"/>
      <c r="HH5" s="946" t="s">
        <v>132</v>
      </c>
      <c r="HI5" s="946"/>
      <c r="HJ5" s="946"/>
      <c r="HK5" s="946"/>
      <c r="HL5" s="430">
        <f>+IF(HM1 &lt;= 9, 1, IF(AND(HM1 &gt;= 10, HM1 &lt;= 13), 2, IF(HM1 &gt;= 14, 3)))</f>
        <v>1</v>
      </c>
      <c r="HM5" s="442">
        <f>((GQ6-GQ4))</f>
        <v>20</v>
      </c>
      <c r="HN5" s="420"/>
      <c r="HO5" s="420"/>
      <c r="HP5" s="420"/>
      <c r="HQ5" s="420"/>
      <c r="HR5" s="420"/>
      <c r="HS5" s="420"/>
      <c r="HT5" s="420"/>
      <c r="HU5" s="420"/>
      <c r="HV5" s="420"/>
      <c r="HW5" s="420"/>
      <c r="HX5" s="422"/>
      <c r="HY5" s="423"/>
      <c r="HZ5" s="338"/>
      <c r="IA5" s="161"/>
      <c r="IB5" s="161"/>
      <c r="IC5" s="162"/>
      <c r="ID5" s="162"/>
      <c r="IE5" s="142"/>
      <c r="IF5" s="142"/>
      <c r="IG5" s="142"/>
      <c r="IH5" s="534"/>
      <c r="IJ5" s="61"/>
      <c r="IK5" s="444" t="s">
        <v>50</v>
      </c>
      <c r="IL5" s="444"/>
      <c r="IM5" s="444"/>
      <c r="IN5" s="444" t="s">
        <v>92</v>
      </c>
      <c r="IO5" s="56"/>
      <c r="IP5" s="56">
        <v>1</v>
      </c>
      <c r="IQ5" s="56">
        <v>2</v>
      </c>
      <c r="IR5" s="56">
        <v>3</v>
      </c>
      <c r="IS5" s="56">
        <v>4</v>
      </c>
      <c r="IT5" s="56">
        <v>5</v>
      </c>
      <c r="IU5" s="56">
        <v>6</v>
      </c>
      <c r="IV5" s="56">
        <v>7</v>
      </c>
      <c r="IW5" s="56">
        <v>8</v>
      </c>
      <c r="IX5" s="56">
        <v>9</v>
      </c>
      <c r="IY5" s="56">
        <v>10</v>
      </c>
      <c r="IZ5" s="56">
        <v>11</v>
      </c>
      <c r="JA5" s="56">
        <v>12</v>
      </c>
      <c r="JB5" s="56">
        <v>13</v>
      </c>
      <c r="JC5" s="56">
        <v>14</v>
      </c>
      <c r="JD5" s="56">
        <v>15</v>
      </c>
      <c r="JE5" s="56">
        <v>16</v>
      </c>
      <c r="JF5" s="56">
        <v>17</v>
      </c>
      <c r="JG5" s="56">
        <v>18</v>
      </c>
      <c r="JH5" s="56">
        <v>19</v>
      </c>
      <c r="JI5" s="56">
        <v>20</v>
      </c>
      <c r="JJ5" s="56">
        <v>21</v>
      </c>
      <c r="JK5" s="56">
        <v>22</v>
      </c>
      <c r="JL5" s="56">
        <v>23</v>
      </c>
      <c r="JM5" s="56">
        <v>24</v>
      </c>
      <c r="JN5" s="56">
        <v>25</v>
      </c>
      <c r="JO5" s="56">
        <v>26</v>
      </c>
      <c r="JP5" s="56">
        <v>27</v>
      </c>
      <c r="JQ5" s="56">
        <v>28</v>
      </c>
      <c r="JR5" s="56">
        <v>29</v>
      </c>
      <c r="JS5" s="56">
        <v>30</v>
      </c>
      <c r="JT5" s="56">
        <v>31</v>
      </c>
      <c r="JU5" s="56">
        <v>32</v>
      </c>
      <c r="JV5" s="56">
        <v>33</v>
      </c>
      <c r="JW5" s="56">
        <v>34</v>
      </c>
      <c r="JX5" s="56">
        <v>35</v>
      </c>
      <c r="JY5" s="56">
        <v>36</v>
      </c>
      <c r="JZ5" s="56">
        <v>37</v>
      </c>
      <c r="KA5" s="56">
        <v>38</v>
      </c>
      <c r="KB5" s="56">
        <v>39</v>
      </c>
      <c r="KC5" s="56">
        <v>40</v>
      </c>
      <c r="KD5" s="56">
        <v>41</v>
      </c>
    </row>
    <row r="6" spans="1:290" s="144" customFormat="1" ht="12.9" customHeight="1" thickBot="1">
      <c r="B6" s="114" t="s">
        <v>8</v>
      </c>
      <c r="C6" s="120" t="s">
        <v>10</v>
      </c>
      <c r="D6" s="120" t="s">
        <v>11</v>
      </c>
      <c r="E6" s="120" t="s">
        <v>72</v>
      </c>
      <c r="F6" s="120" t="s">
        <v>174</v>
      </c>
      <c r="G6" s="120" t="s">
        <v>175</v>
      </c>
      <c r="H6" s="120" t="s">
        <v>176</v>
      </c>
      <c r="I6" s="120" t="s">
        <v>177</v>
      </c>
      <c r="J6" s="120" t="s">
        <v>174</v>
      </c>
      <c r="K6" s="120" t="s">
        <v>175</v>
      </c>
      <c r="M6" s="120" t="s">
        <v>93</v>
      </c>
      <c r="N6" s="120" t="s">
        <v>4</v>
      </c>
      <c r="O6" s="120" t="s">
        <v>93</v>
      </c>
      <c r="P6" s="120" t="s">
        <v>4</v>
      </c>
      <c r="R6" s="120" t="s">
        <v>215</v>
      </c>
      <c r="S6" s="120" t="s">
        <v>215</v>
      </c>
      <c r="U6" s="142"/>
      <c r="V6" s="150"/>
      <c r="X6" s="537" t="s">
        <v>8</v>
      </c>
      <c r="Y6" s="538" t="s">
        <v>313</v>
      </c>
      <c r="Z6" s="184" t="s">
        <v>35</v>
      </c>
      <c r="AA6" s="161"/>
      <c r="AB6" s="184" t="s">
        <v>156</v>
      </c>
      <c r="AC6" s="161"/>
      <c r="AD6" s="449" t="s">
        <v>8</v>
      </c>
      <c r="AE6" s="184" t="s">
        <v>136</v>
      </c>
      <c r="AF6" s="191" t="s">
        <v>125</v>
      </c>
      <c r="AG6" s="179"/>
      <c r="AH6" s="194">
        <f>+SUM(AH7:AH47) + (AH48 / 100)</f>
        <v>-25</v>
      </c>
      <c r="AI6" s="195" t="s">
        <v>50</v>
      </c>
      <c r="AJ6" s="179"/>
      <c r="AK6" s="194">
        <f>+SUM(AK7:AK47)</f>
        <v>0</v>
      </c>
      <c r="AL6" s="193" t="s">
        <v>50</v>
      </c>
      <c r="AM6" s="179"/>
      <c r="AN6" s="180" t="s">
        <v>144</v>
      </c>
      <c r="AO6" s="181" t="s">
        <v>143</v>
      </c>
      <c r="AP6" s="179"/>
      <c r="AQ6" s="194">
        <f>+SUM(AQ7:AQ47) + (AQ48 / 100)</f>
        <v>0</v>
      </c>
      <c r="AR6" s="195" t="s">
        <v>50</v>
      </c>
      <c r="AS6" s="179"/>
      <c r="AT6" s="194">
        <f>+SUM(AT7:AT47)</f>
        <v>0</v>
      </c>
      <c r="AU6" s="193" t="s">
        <v>50</v>
      </c>
      <c r="AV6" s="179"/>
      <c r="AW6" s="449" t="s">
        <v>8</v>
      </c>
      <c r="AX6" s="185" t="s">
        <v>136</v>
      </c>
      <c r="AY6" s="168"/>
      <c r="AZ6" s="169" t="s">
        <v>50</v>
      </c>
      <c r="BA6" s="450" t="s">
        <v>125</v>
      </c>
      <c r="BB6" s="184" t="s">
        <v>12</v>
      </c>
      <c r="BC6" s="168"/>
      <c r="BD6" s="199" t="s">
        <v>123</v>
      </c>
      <c r="BE6" s="192" t="s">
        <v>125</v>
      </c>
      <c r="BF6" s="182" t="s">
        <v>124</v>
      </c>
      <c r="BG6" s="192" t="s">
        <v>125</v>
      </c>
      <c r="BH6" s="188"/>
      <c r="BI6" s="450" t="s">
        <v>50</v>
      </c>
      <c r="BJ6" s="191" t="s">
        <v>125</v>
      </c>
      <c r="BK6" s="184" t="s">
        <v>12</v>
      </c>
      <c r="BL6" s="168"/>
      <c r="BM6" s="198" t="s">
        <v>123</v>
      </c>
      <c r="BN6" s="192" t="s">
        <v>125</v>
      </c>
      <c r="BO6" s="182" t="s">
        <v>124</v>
      </c>
      <c r="BP6" s="192" t="s">
        <v>125</v>
      </c>
      <c r="BQ6" s="163"/>
      <c r="BR6" s="381"/>
      <c r="BS6" s="394" t="s">
        <v>250</v>
      </c>
      <c r="BT6" s="376"/>
      <c r="BU6" s="394" t="s">
        <v>225</v>
      </c>
      <c r="BV6" s="387"/>
      <c r="BW6" s="447" t="s">
        <v>226</v>
      </c>
      <c r="BX6" s="376"/>
      <c r="BY6" s="447" t="s">
        <v>57</v>
      </c>
      <c r="BZ6" s="449" t="s">
        <v>50</v>
      </c>
      <c r="CA6" s="376"/>
      <c r="CB6" s="447" t="s">
        <v>227</v>
      </c>
      <c r="CC6" s="395" t="s">
        <v>57</v>
      </c>
      <c r="CD6" s="395" t="s">
        <v>91</v>
      </c>
      <c r="CE6" s="395" t="s">
        <v>57</v>
      </c>
      <c r="CF6" s="447" t="s">
        <v>228</v>
      </c>
      <c r="CG6" s="376"/>
      <c r="CH6" s="447" t="s">
        <v>50</v>
      </c>
      <c r="CI6" s="449" t="s">
        <v>57</v>
      </c>
      <c r="CJ6" s="376"/>
      <c r="CK6" s="447" t="s">
        <v>229</v>
      </c>
      <c r="CL6" s="447" t="s">
        <v>230</v>
      </c>
      <c r="CM6" s="381"/>
      <c r="CN6" s="445" t="s">
        <v>154</v>
      </c>
      <c r="CO6" s="446"/>
      <c r="CP6" s="942">
        <f>+totalNeto</f>
        <v>-46515.23875000004</v>
      </c>
      <c r="CQ6" s="943"/>
      <c r="CR6" s="944"/>
      <c r="CS6" s="163"/>
      <c r="CT6" s="213"/>
      <c r="CU6" s="163"/>
      <c r="CV6" s="951"/>
      <c r="CW6" s="952"/>
      <c r="CX6" s="953"/>
      <c r="CY6" s="951"/>
      <c r="CZ6" s="952"/>
      <c r="DA6" s="953"/>
      <c r="DB6" s="951"/>
      <c r="DC6" s="952"/>
      <c r="DD6" s="952"/>
      <c r="DE6" s="953"/>
      <c r="DF6" s="162"/>
      <c r="DG6" s="955"/>
      <c r="DH6" s="955"/>
      <c r="DI6" s="951"/>
      <c r="DJ6" s="993"/>
      <c r="DK6" s="492" t="s">
        <v>140</v>
      </c>
      <c r="DL6" s="235"/>
      <c r="DM6" s="261" t="s">
        <v>139</v>
      </c>
      <c r="DN6" s="261" t="s">
        <v>51</v>
      </c>
      <c r="DO6" s="258" t="s">
        <v>52</v>
      </c>
      <c r="DP6" s="235"/>
      <c r="DQ6" s="493" t="s">
        <v>140</v>
      </c>
      <c r="DR6" s="235"/>
      <c r="DS6" s="493" t="s">
        <v>139</v>
      </c>
      <c r="DT6" s="257" t="s">
        <v>51</v>
      </c>
      <c r="DU6" s="257" t="s">
        <v>52</v>
      </c>
      <c r="DV6" s="218"/>
      <c r="DW6" s="250" t="s">
        <v>41</v>
      </c>
      <c r="DX6" s="250" t="s">
        <v>42</v>
      </c>
      <c r="DY6" s="163"/>
      <c r="DZ6" s="259" t="s">
        <v>140</v>
      </c>
      <c r="EA6" s="235"/>
      <c r="EB6" s="258" t="s">
        <v>139</v>
      </c>
      <c r="EC6" s="261" t="s">
        <v>51</v>
      </c>
      <c r="ED6" s="258" t="s">
        <v>52</v>
      </c>
      <c r="EE6" s="235"/>
      <c r="EF6" s="257" t="s">
        <v>140</v>
      </c>
      <c r="EG6" s="235"/>
      <c r="EH6" s="257" t="s">
        <v>139</v>
      </c>
      <c r="EI6" s="257" t="s">
        <v>51</v>
      </c>
      <c r="EJ6" s="257" t="s">
        <v>52</v>
      </c>
      <c r="EK6" s="218"/>
      <c r="EL6" s="250" t="s">
        <v>41</v>
      </c>
      <c r="EM6" s="270" t="s">
        <v>42</v>
      </c>
      <c r="EN6" s="218"/>
      <c r="EO6" s="250" t="s">
        <v>264</v>
      </c>
      <c r="EP6" s="250" t="s">
        <v>262</v>
      </c>
      <c r="EQ6" s="250" t="s">
        <v>263</v>
      </c>
      <c r="ER6" s="250" t="str">
        <f>+IF($EU$1 = 2, "VeU $", IF($EU$1 = 1, "VeU %"))</f>
        <v>VeU $</v>
      </c>
      <c r="ES6" s="250" t="str">
        <f>+IF($EU$1 = 2, "VeC $", IF($EU$1 = 1, "VeC %"))</f>
        <v>VeC $</v>
      </c>
      <c r="ET6" s="250" t="str">
        <f>+IF($EU$1 = 2, "VeV $", IF($EU$1 = 1, "VeV %"))</f>
        <v>VeV $</v>
      </c>
      <c r="EU6" s="250" t="str">
        <f>+IF($FC$1 = 2, "Tasa L.C.", IF($FC$1 = 1, "Gamma"))</f>
        <v>Gamma</v>
      </c>
      <c r="EV6" s="250" t="s">
        <v>54</v>
      </c>
      <c r="EW6" s="250" t="s">
        <v>184</v>
      </c>
      <c r="EX6" s="452" t="s">
        <v>274</v>
      </c>
      <c r="EY6" s="452" t="s">
        <v>275</v>
      </c>
      <c r="EZ6" s="250" t="s">
        <v>182</v>
      </c>
      <c r="FA6" s="250" t="s">
        <v>183</v>
      </c>
      <c r="FB6" s="250" t="str">
        <f>+IF($FC$1 = 2, "Gamma", IF($FC$1 = 1, "Q nom"))</f>
        <v>Q nom</v>
      </c>
      <c r="FC6" s="250" t="str">
        <f>+IF($FC$1 = 2, "Delta", IF($FC$1 = 1, "Q ops"))</f>
        <v>Q ops</v>
      </c>
      <c r="FD6" s="250" t="s">
        <v>185</v>
      </c>
      <c r="FE6" s="250" t="s">
        <v>61</v>
      </c>
      <c r="FF6" s="218"/>
      <c r="FG6" s="306" t="s">
        <v>121</v>
      </c>
      <c r="FH6" s="306" t="s">
        <v>122</v>
      </c>
      <c r="FI6" s="218"/>
      <c r="FJ6" s="250" t="s">
        <v>264</v>
      </c>
      <c r="FK6" s="250" t="s">
        <v>262</v>
      </c>
      <c r="FL6" s="250" t="s">
        <v>263</v>
      </c>
      <c r="FM6" s="250" t="str">
        <f>+IF($FN$1 = 2, "VeU $", IF($FN$1 = 1, "VeU %"))</f>
        <v>VeU $</v>
      </c>
      <c r="FN6" s="250" t="str">
        <f>+IF($FN$1 = 2, "VeC $", IF($FN$1 = 1, "VeC %"))</f>
        <v>VeC $</v>
      </c>
      <c r="FO6" s="250" t="str">
        <f>+IF($FN$1 = 2, "VeV $", IF($FN$1 = 1, "VeV %"))</f>
        <v>VeV $</v>
      </c>
      <c r="FP6" s="250" t="str">
        <f>+IF($FX$1 = 2, "Tasa L.C.", IF($FX$1 = 1, "Gamma"))</f>
        <v>Gamma</v>
      </c>
      <c r="FQ6" s="250" t="s">
        <v>54</v>
      </c>
      <c r="FR6" s="250" t="s">
        <v>184</v>
      </c>
      <c r="FS6" s="452" t="s">
        <v>274</v>
      </c>
      <c r="FT6" s="452" t="s">
        <v>275</v>
      </c>
      <c r="FU6" s="250" t="s">
        <v>182</v>
      </c>
      <c r="FV6" s="250" t="s">
        <v>183</v>
      </c>
      <c r="FW6" s="250" t="str">
        <f>+IF($FX$1 = 2, "Gamma", IF($FX$1 = 1, "Q nom"))</f>
        <v>Q nom</v>
      </c>
      <c r="FX6" s="250" t="str">
        <f>+IF($FX$1 = 2, "Delta", IF($FX$1 = 1, "Q ops"))</f>
        <v>Q ops</v>
      </c>
      <c r="FY6" s="250" t="s">
        <v>185</v>
      </c>
      <c r="FZ6" s="250" t="s">
        <v>61</v>
      </c>
      <c r="GA6" s="218"/>
      <c r="GB6" s="306" t="s">
        <v>121</v>
      </c>
      <c r="GC6" s="306" t="s">
        <v>122</v>
      </c>
      <c r="GD6" s="218"/>
      <c r="GE6" s="250" t="s">
        <v>118</v>
      </c>
      <c r="GF6" s="250" t="s">
        <v>64</v>
      </c>
      <c r="GG6" s="250" t="s">
        <v>164</v>
      </c>
      <c r="GH6" s="223" t="s">
        <v>162</v>
      </c>
      <c r="GI6" s="224" t="s">
        <v>161</v>
      </c>
      <c r="GJ6" s="218"/>
      <c r="GK6" s="250" t="s">
        <v>118</v>
      </c>
      <c r="GL6" s="250" t="s">
        <v>64</v>
      </c>
      <c r="GM6" s="250" t="s">
        <v>164</v>
      </c>
      <c r="GN6" s="223" t="s">
        <v>163</v>
      </c>
      <c r="GO6" s="217">
        <v>3</v>
      </c>
      <c r="GP6" s="217" t="str">
        <f>+IF(OR($HM$1=8,$HM$1=12), VLOOKUP($HL$1 + 2, hojaBasesPrecios, IF($HL$5 = 3, 1, $HL$5) + 1, FALSE),
IF(OR($HM$1=9,  $HM$1=13), VLOOKUP($HL$1 + 1, hojaBasesPrecios, IF($HL$5 = 3, 1, $HL$5) + 1, FALSE),
IF(OR($HM$1=10, $HM$1=14), VLOOKUP($HL$1 + 1, hojaBasesPrecios, IF($HL$5 = 3, 1, $HL$5) + 1, FALSE),
IF(OR($HM$1=11, $HM$1=15), VLOOKUP($HL$1 + 2, hojaBasesPrecios, IF($HL$5 = 3, 1, $HL$5) + 1, FALSE),
VLOOKUP($HL$1 + $HM$1, hojaBasesPrecios, IF($HL$5 = 3, 1, $HL$5) + 1, FALSE)))))</f>
        <v>GFGC260.AB</v>
      </c>
      <c r="GQ6" s="219">
        <f>+IF(OR($HM$1=8,$HM$1=12), VLOOKUP($HL$1 + 2, PRECIOS_EJERCICIOS, 2, FALSE),
IF(OR($HM$1=9,  $HM$1=13), VLOOKUP($HL$1 + 1, PRECIOS_EJERCICIOS, 2, FALSE),
IF(OR($HM$1=10, $HM$1=14), VLOOKUP($HL$1 + 1, PRECIOS_EJERCICIOS, 2, FALSE),
IF(OR($HM$1=11, $HM$1=15), VLOOKUP($HL$1 + 2, PRECIOS_EJERCICIOS, 2, FALSE),
VLOOKUP($HL$1 + $HM$1, PRECIOS_EJERCICIOS, 2, FALSE)))))</f>
        <v>260</v>
      </c>
      <c r="GR6" s="219">
        <f>+HM6 / GCD($HM$4, $HM$5, $HM$6)</f>
        <v>1</v>
      </c>
      <c r="GT6" s="306" t="s">
        <v>128</v>
      </c>
      <c r="GU6" s="306" t="s">
        <v>127</v>
      </c>
      <c r="GV6" s="306" t="s">
        <v>141</v>
      </c>
      <c r="GW6" s="306" t="s">
        <v>142</v>
      </c>
      <c r="GX6" s="306" t="s">
        <v>158</v>
      </c>
      <c r="GY6" s="306" t="s">
        <v>159</v>
      </c>
      <c r="GZ6" s="306" t="s">
        <v>160</v>
      </c>
      <c r="HA6" s="306" t="s">
        <v>129</v>
      </c>
      <c r="HB6" s="306" t="s">
        <v>130</v>
      </c>
      <c r="HC6" s="606" t="s">
        <v>128</v>
      </c>
      <c r="HD6" s="306" t="s">
        <v>127</v>
      </c>
      <c r="HE6" s="306" t="s">
        <v>129</v>
      </c>
      <c r="HF6" s="306" t="s">
        <v>130</v>
      </c>
      <c r="HG6" s="218"/>
      <c r="HH6" s="306" t="s">
        <v>128</v>
      </c>
      <c r="HI6" s="306" t="s">
        <v>127</v>
      </c>
      <c r="HJ6" s="306" t="s">
        <v>129</v>
      </c>
      <c r="HK6" s="306" t="s">
        <v>130</v>
      </c>
      <c r="HL6" s="218">
        <f>+VLOOKUP(HL1, mariposas, IF(HM1&lt;10, HM1+4, IF(HM1&gt;=10, HM1+5, IF(HM1&gt;=14, HM1+6))), FALSE)</f>
        <v>0</v>
      </c>
      <c r="HM6" s="442">
        <f>+HM5- (GQ6-GQ5)</f>
        <v>10</v>
      </c>
      <c r="HN6" s="420"/>
      <c r="HO6" s="420"/>
      <c r="HP6" s="420"/>
      <c r="HQ6" s="306" t="s">
        <v>130</v>
      </c>
      <c r="HR6" s="420"/>
      <c r="HS6" s="420"/>
      <c r="HT6" s="420"/>
      <c r="HU6" s="420"/>
      <c r="HV6" s="420"/>
      <c r="HW6" s="420"/>
      <c r="HX6" s="424"/>
      <c r="HY6" s="423"/>
      <c r="HZ6" s="338"/>
      <c r="IA6" s="161"/>
      <c r="IB6" s="161"/>
      <c r="IC6" s="162"/>
      <c r="ID6" s="162"/>
      <c r="IE6" s="142"/>
      <c r="IF6" s="142"/>
      <c r="IG6" s="142"/>
      <c r="IH6" s="148" t="s">
        <v>625</v>
      </c>
      <c r="IJ6" s="147" t="s">
        <v>8</v>
      </c>
      <c r="IK6" s="148" t="s">
        <v>55</v>
      </c>
      <c r="IL6" s="444" t="s">
        <v>53</v>
      </c>
      <c r="IM6" s="444" t="s">
        <v>64</v>
      </c>
      <c r="IN6" s="444" t="s">
        <v>151</v>
      </c>
      <c r="IO6" s="520" t="str">
        <f>+$Z$1</f>
        <v>GGAL</v>
      </c>
      <c r="IP6" s="151">
        <f>+$AE$7</f>
        <v>132</v>
      </c>
      <c r="IQ6" s="151">
        <f>+$AE$8</f>
        <v>135</v>
      </c>
      <c r="IR6" s="151">
        <f>+$AE$9</f>
        <v>140</v>
      </c>
      <c r="IS6" s="151">
        <f>+$AE$10</f>
        <v>145</v>
      </c>
      <c r="IT6" s="151">
        <f>+$AE$11</f>
        <v>150</v>
      </c>
      <c r="IU6" s="151">
        <f>+$AE$12</f>
        <v>155</v>
      </c>
      <c r="IV6" s="151">
        <f>+$AE$13</f>
        <v>160</v>
      </c>
      <c r="IW6" s="151">
        <f>+$AE$14</f>
        <v>165</v>
      </c>
      <c r="IX6" s="151">
        <f>+$AE$15</f>
        <v>170</v>
      </c>
      <c r="IY6" s="151">
        <f>+$AE$16</f>
        <v>175</v>
      </c>
      <c r="IZ6" s="151">
        <f>+$AE$17</f>
        <v>180</v>
      </c>
      <c r="JA6" s="151">
        <f>+$AE$18</f>
        <v>185</v>
      </c>
      <c r="JB6" s="151">
        <f>+$AE$19</f>
        <v>190</v>
      </c>
      <c r="JC6" s="151">
        <f>+$AE$20</f>
        <v>195</v>
      </c>
      <c r="JD6" s="151">
        <f>+$AE$21</f>
        <v>200</v>
      </c>
      <c r="JE6" s="151">
        <f>+$AE$22</f>
        <v>210</v>
      </c>
      <c r="JF6" s="151">
        <f>+$AE$23</f>
        <v>220</v>
      </c>
      <c r="JG6" s="151">
        <f>+$AE$24</f>
        <v>230</v>
      </c>
      <c r="JH6" s="151">
        <f>+$AE$25</f>
        <v>240</v>
      </c>
      <c r="JI6" s="151">
        <f>+$AE$26</f>
        <v>250</v>
      </c>
      <c r="JJ6" s="151">
        <f>+$AE$27</f>
        <v>260</v>
      </c>
      <c r="JK6" s="151">
        <f>+$AE$28</f>
        <v>270</v>
      </c>
      <c r="JL6" s="151">
        <f>+$AE$29</f>
        <v>280</v>
      </c>
      <c r="JM6" s="151">
        <f>+$AE$30</f>
        <v>290</v>
      </c>
      <c r="JN6" s="151">
        <f>+$AE$31</f>
        <v>300</v>
      </c>
      <c r="JO6" s="151">
        <f>+$AE$32</f>
        <v>310</v>
      </c>
      <c r="JP6" s="151">
        <f>+$AE$33</f>
        <v>320</v>
      </c>
      <c r="JQ6" s="151">
        <f>+$AE$34</f>
        <v>330</v>
      </c>
      <c r="JR6" s="151">
        <f>+$AE$35</f>
        <v>340</v>
      </c>
      <c r="JS6" s="151">
        <f>+$AE$36</f>
        <v>350</v>
      </c>
      <c r="JT6" s="151">
        <f>+$AE$37</f>
        <v>360</v>
      </c>
      <c r="JU6" s="151" t="str">
        <f>+$AE$38</f>
        <v/>
      </c>
      <c r="JV6" s="151" t="str">
        <f>+$AE$39</f>
        <v/>
      </c>
      <c r="JW6" s="151" t="str">
        <f>+$AE$40</f>
        <v/>
      </c>
      <c r="JX6" s="151" t="str">
        <f>+$AE$41</f>
        <v/>
      </c>
      <c r="JY6" s="151" t="str">
        <f>+$AE$42</f>
        <v/>
      </c>
      <c r="JZ6" s="151" t="str">
        <f>+$AE$43</f>
        <v/>
      </c>
      <c r="KA6" s="151" t="str">
        <f>+$AE$44</f>
        <v/>
      </c>
      <c r="KB6" s="151" t="str">
        <f>+$AE$45</f>
        <v/>
      </c>
      <c r="KC6" s="151" t="str">
        <f>+$AE$46</f>
        <v/>
      </c>
      <c r="KD6" s="151" t="str">
        <f>+$AE$47</f>
        <v/>
      </c>
    </row>
    <row r="7" spans="1:290" s="144" customFormat="1" ht="15" customHeight="1" thickBot="1">
      <c r="B7" s="146">
        <v>1</v>
      </c>
      <c r="C7" s="121" t="str">
        <f>+IF(N7 = "", "", N7)</f>
        <v>GFGC132.AB</v>
      </c>
      <c r="D7" s="121" t="str">
        <f>+IF(P7 = "", "", P7)</f>
        <v>GFGV132.AB</v>
      </c>
      <c r="E7" s="122">
        <f t="shared" ref="E7:E47" si="1">+IF(AE7 = "", "", AE7)</f>
        <v>132</v>
      </c>
      <c r="F7" s="123" t="str">
        <f t="shared" ref="F7:F47" si="2">+IF(OR(AH7 = "", AH7 = 0), "", AH7)</f>
        <v/>
      </c>
      <c r="G7" s="123" t="str">
        <f t="shared" ref="G7:G47" si="3">+IF(OR(AK7 = "", AK7 = 0), "", AK7)</f>
        <v/>
      </c>
      <c r="H7" s="124">
        <f t="shared" ref="H7:H47" si="4">+IF(OR(AZ7 = "", AZ7 = 0), "", AZ7)</f>
        <v>75.2</v>
      </c>
      <c r="I7" s="124">
        <f t="shared" ref="I7:I47" si="5">+IF(OR(BI7 = "", BI7 = 0), "", BI7)</f>
        <v>0.155</v>
      </c>
      <c r="J7" s="124" t="str">
        <f t="shared" ref="J7:J47" si="6">+IF(OR(AI7 = "", AI7 = 0), "", AI7)</f>
        <v/>
      </c>
      <c r="K7" s="124" t="str">
        <f t="shared" ref="K7:K47" si="7">+IF(OR(AL7 = "", AL7 = 0), "", AL7)</f>
        <v/>
      </c>
      <c r="M7" s="158">
        <f t="shared" ref="M7:M47" si="8">+IF(AX7 = "", "",LEN(CONCATENATE(VLOOKUP($Z$1, TICKERS_ACCIONES_OPCIONES, 4, FALSE),IF(MID($BD$5,1,1) = "P", "V", "C"),  REPLACE(TEXT(AX7, "#,00"), FIND(",",TEXT(AX7, "#,00")), 1, "."), $BI$1)))</f>
        <v>12</v>
      </c>
      <c r="N7" s="121" t="str">
        <f t="shared" ref="N7:N47" si="9">+IF(AX7 = "", "", IF(R7 = "",IF(M7 = 10, CONCATENATE(VLOOKUP($Z$1, TICKERS_ACCIONES_OPCIONES, 4, FALSE),IF(MID($BD$5,1,1) = "P", "V", "C"),  REPLACE(TEXT(AX7, "#,00"), FIND(",",TEXT(AX7, "#,0")), 1, "."), $BI$1),IF(M7 = 11,CONCATENATE(VLOOKUP($Z$1, TICKERS_ACCIONES_OPCIONES, 4, FALSE),IF(MID($BD$5,1,1) = "P", "V", "C"),  REPLACE(TEXT(AX7, "##,0"), FIND(",",TEXT(AX7, "#,00")), 1, "."), $BI$1),IF(M7 = 12,CONCATENATE(VLOOKUP($Z$1, TICKERS_ACCIONES_OPCIONES, 4, FALSE),IF(MID($BD$5,1,1) = "P", "V", "C"),  REPLACE(TEXT(AX7, "##,"), FIND(",",TEXT(AX7, "#,00")), 1, "."), $BI$1)))),CONCATENATE(VLOOKUP($Z$1, TICKERS_ACCIONES_OPCIONES, 4, FALSE),IF(MID($BD$5,1,1) = "P", "V", "C"), R7)))</f>
        <v>GFGC132.AB</v>
      </c>
      <c r="O7" s="158">
        <f t="shared" ref="O7:O47" si="10">+IF(AX7 = "", "",LEN(CONCATENATE(VLOOKUP($Z$1, TICKERS_ACCIONES_OPCIONES, 4, FALSE),IF(MID($BM$5,1,1) = "P", "V", "C"),  REPLACE(TEXT(AX7, "#,00"), FIND(",",TEXT(AX7, "#,00")), 1, "."), $BI$1)))</f>
        <v>12</v>
      </c>
      <c r="P7" s="121" t="str">
        <f t="shared" ref="P7:P47" si="11">+IF(AX7 = "", "", IF(S7 = "",IF(O7 = 10, CONCATENATE(VLOOKUP($Z$1, TICKERS_ACCIONES_OPCIONES, 4, FALSE),IF(MID($BM$5,1,1) = "P", "V", "C"),  REPLACE(TEXT(AX7, "#,00"), FIND(",",TEXT(AX7, "#,0")), 1, "."), $BI$1),IF(O7 = 11,CONCATENATE(VLOOKUP($Z$1, TICKERS_ACCIONES_OPCIONES, 4, FALSE),IF(MID($BM$5,1,1) = "P", "V", "C"),  REPLACE(TEXT(AX7, "##,0"), FIND(",",TEXT(AX7, "#,00")), 1, "."), $BI$1),IF(O7 = 12,CONCATENATE(VLOOKUP($Z$1, TICKERS_ACCIONES_OPCIONES, 4, FALSE),IF(MID($BM$5,1,1) = "P", "V", "C"),  REPLACE(TEXT(AX7, "##,"), FIND(",",TEXT(AX7, "#,00")), 1, "."), $BI$1)))),CONCATENATE(VLOOKUP($Z$1, TICKERS_ACCIONES_OPCIONES, 4, FALSE),IF(MID($BM$5,1,1) = "P", "V", "C"), S7)))</f>
        <v>GFGV132.AB</v>
      </c>
      <c r="R7" s="159"/>
      <c r="S7" s="160" t="str">
        <f t="shared" ref="S7:S47" si="12">+IF(R7 &lt;&gt; "", R7, "")</f>
        <v/>
      </c>
      <c r="U7" s="234" t="s">
        <v>62</v>
      </c>
      <c r="V7" s="131">
        <v>132</v>
      </c>
      <c r="X7" s="536">
        <v>1</v>
      </c>
      <c r="Y7" s="546">
        <f t="shared" ref="Y7:Y47" si="13">IF($Y$50 = TRUE, IF(IK7 = "", "", IK7), IF(IL7 = "", "", IL7 * 100))</f>
        <v>-37.037920343429533</v>
      </c>
      <c r="Z7" s="541">
        <f t="shared" ref="Z7:Z29" si="14">+IN7</f>
        <v>-46515.23875000004</v>
      </c>
      <c r="AA7" s="179"/>
      <c r="AB7" s="540">
        <f t="shared" ref="AB7:AB29" si="15">+IN56</f>
        <v>0</v>
      </c>
      <c r="AC7" s="161"/>
      <c r="AD7" s="204">
        <v>1</v>
      </c>
      <c r="AE7" s="824">
        <f>+IF(AD7 = 1, $V$7, IF(AE6 &gt; ($V$9 - $V$8), "", IF(ISBLANK(AF7), AE6 + $V$8, AF7)))</f>
        <v>132</v>
      </c>
      <c r="AF7" s="201"/>
      <c r="AG7" s="179"/>
      <c r="AH7" s="177">
        <f>+ED355</f>
        <v>0</v>
      </c>
      <c r="AI7" s="166">
        <f>+EF355</f>
        <v>0</v>
      </c>
      <c r="AJ7" s="179"/>
      <c r="AK7" s="177">
        <f>+EG355</f>
        <v>0</v>
      </c>
      <c r="AL7" s="166">
        <f>+EI355</f>
        <v>0</v>
      </c>
      <c r="AM7" s="179"/>
      <c r="AN7" s="177"/>
      <c r="AO7" s="166"/>
      <c r="AP7" s="179"/>
      <c r="AQ7" s="176">
        <f>+ED98</f>
        <v>0</v>
      </c>
      <c r="AR7" s="165">
        <f>+EF98</f>
        <v>0</v>
      </c>
      <c r="AS7" s="179"/>
      <c r="AT7" s="176">
        <f>+EG98</f>
        <v>0</v>
      </c>
      <c r="AU7" s="165">
        <f>+EI98</f>
        <v>0</v>
      </c>
      <c r="AV7" s="179"/>
      <c r="AW7" s="204">
        <f t="shared" ref="AW7:AW47" si="16">+AD7</f>
        <v>1</v>
      </c>
      <c r="AX7" s="186">
        <f t="shared" ref="AX7:AX47" si="17">+AE7</f>
        <v>132</v>
      </c>
      <c r="AY7" s="164"/>
      <c r="AZ7" s="215">
        <f t="shared" ref="AZ7:AZ47" si="18">+IF(AX7 = "", 0,IF(ISBLANK(BA7), VLOOKUP(N7, PreciosCalls, 6, FALSE), BA7))</f>
        <v>75.2</v>
      </c>
      <c r="BA7" s="197"/>
      <c r="BB7" s="228">
        <f t="shared" ref="BB7:BB47" si="19">+IF(AX7 = "", "", VLOOKUP(N7, PreciosCalls, 7, FALSE) * 1)</f>
        <v>4.4429999999999997E-2</v>
      </c>
      <c r="BC7" s="161"/>
      <c r="BD7" s="240">
        <f t="shared" ref="BD7:BD47" si="20">+IF(AX7 = "", "",
IF(AND($EP$1 = TRUE, AH7 &lt; 0), AI7, IF(AND($EW$1 = TRUE, AQ7 &lt; 0), AR7, IF(ISBLANK(BE7), VLOOKUP(N7, PreciosCalls, 3, FALSE), BE7))))</f>
        <v>75.2</v>
      </c>
      <c r="BE7" s="196"/>
      <c r="BF7" s="240">
        <f t="shared" ref="BF7:BF47" si="21">+IF(AX7 = "", "",
IF(AND($EP$1 = TRUE, AH7 &gt; 0), AI7, IF(AND($EW$1 = TRUE, AQ7 &gt; 0), AR7, IF(ISBLANK(BG7), VLOOKUP(N7, PreciosCalls, 4, FALSE), BG7))))</f>
        <v>0</v>
      </c>
      <c r="BG7" s="196"/>
      <c r="BH7" s="189"/>
      <c r="BI7" s="227">
        <f t="shared" ref="BI7:BI47" si="22">+IF(AX7 = "", 0,IF(ISBLANK(BJ7), VLOOKUP(P7, PreciosPuts, 6, FALSE), BJ7))</f>
        <v>0.155</v>
      </c>
      <c r="BJ7" s="197"/>
      <c r="BK7" s="167">
        <f t="shared" ref="BK7:BK47" si="23">+IF(AX7 = "", "", VLOOKUP(P7, PreciosPuts, 7, FALSE) * 1)</f>
        <v>-0.14365</v>
      </c>
      <c r="BL7" s="161"/>
      <c r="BM7" s="240">
        <f t="shared" ref="BM7:BM47" si="24">+IF(AX7 = "", "",
IF(AND($EP$1 = TRUE, AK7 &lt; 0), AL7, IF(AND($EW$1 = TRUE, AT7 &lt; 0), AU7,  IF(ISBLANK(BN7), VLOOKUP(P7, PreciosPuts, 3, FALSE), BN7))))</f>
        <v>0.155</v>
      </c>
      <c r="BN7" s="196"/>
      <c r="BO7" s="240">
        <f t="shared" ref="BO7:BO47" si="25">+IF(AX7 = "", "",
IF(AND($EP$1 = TRUE, AK7 &gt; 0), AL7, IF(AND($EW$1 = TRUE, AT7 &gt; 0), AU7, IF(ISBLANK(BP7), VLOOKUP(P7, PreciosPuts, 4, FALSE), BP7))))</f>
        <v>0.17499999999999999</v>
      </c>
      <c r="BP7" s="196"/>
      <c r="BQ7" s="161"/>
      <c r="BR7" s="381"/>
      <c r="BS7" s="392">
        <f t="shared" ref="BS7:BS8" si="26">+IF(AE7 = "", "", IF($BU$1=FALSE, FE7, FZ7) )</f>
        <v>396916</v>
      </c>
      <c r="BT7" s="376"/>
      <c r="BU7" s="388" t="str">
        <f t="shared" ref="BU7:BU8" si="27">+IF(OR(CF7="", CB8="", CF7=0, CB8=0), "", IF($BU$1=FALSE, CF7-CB8, -CF7+CB8))</f>
        <v/>
      </c>
      <c r="BV7" s="310"/>
      <c r="BW7" s="384">
        <f>+IF(OR(CB7="", CD7=""), "", IF($BU$1=FALSE, CD7+CB7, ""))</f>
        <v>207.2</v>
      </c>
      <c r="BX7" s="372"/>
      <c r="BY7" s="439"/>
      <c r="BZ7" s="431">
        <v>75.173000000000002</v>
      </c>
      <c r="CA7" s="397"/>
      <c r="CB7" s="570">
        <f t="shared" ref="CB7:CB8" si="28">+IF($BU$1=FALSE, IF(BD7=0, "", BD7), IF(BM7=0,"", BM7))</f>
        <v>75.2</v>
      </c>
      <c r="CC7" s="567">
        <f t="shared" ref="CC7:CC47" si="29">+IF(CD7 &lt;&gt; "", IF($BU$1=FALSE, VLOOKUP(N7, PreciosCalls, 2, FALSE), VLOOKUP(P7, PreciosPuts, 2, FALSE)), "")</f>
        <v>1</v>
      </c>
      <c r="CD7" s="814">
        <f t="shared" ref="CD7:CD47" si="30">+AE7</f>
        <v>132</v>
      </c>
      <c r="CE7" s="568">
        <f t="shared" ref="CE7:CE47" si="31">+IF(CD7 &lt;&gt; "", IF($BU$1=FALSE, VLOOKUP(N7, PreciosCalls, 5, FALSE), VLOOKUP(P7, PreciosPuts, 5, FALSE)), "")</f>
        <v>0</v>
      </c>
      <c r="CF7" s="573" t="str">
        <f t="shared" ref="CF7:CF47" si="32">+IF($BU$1=FALSE, IF(BF7=0, "", BF7), IF(BO7=0,"", BO7))</f>
        <v/>
      </c>
      <c r="CG7" s="399"/>
      <c r="CH7" s="434">
        <v>74</v>
      </c>
      <c r="CI7" s="437"/>
      <c r="CJ7" s="372"/>
      <c r="CK7" s="390" t="str">
        <f>+IF(OR(CD7="", CF7=""), "", IF($BU$1=FALSE, CD7+CF7, ""))</f>
        <v/>
      </c>
      <c r="CL7" s="389" t="str">
        <f>+IF(OR(CF8="", CB7="", CF8=0, CB7=0), "", IF($BU$1=FALSE, CB7-CF8,- CB7+CF8))</f>
        <v/>
      </c>
      <c r="CM7" s="370"/>
      <c r="CN7" s="161"/>
      <c r="CO7" s="161"/>
      <c r="CP7" s="161"/>
      <c r="CQ7" s="161"/>
      <c r="CR7" s="161"/>
      <c r="CS7" s="161"/>
      <c r="CT7" s="161"/>
      <c r="CU7" s="161"/>
      <c r="CV7" s="161"/>
      <c r="CW7" s="161"/>
      <c r="CX7" s="161"/>
      <c r="CY7" s="161"/>
      <c r="CZ7" s="161"/>
      <c r="DA7" s="161"/>
      <c r="DB7" s="161"/>
      <c r="DC7" s="161"/>
      <c r="DD7" s="161"/>
      <c r="DE7" s="161"/>
      <c r="DF7" s="162"/>
      <c r="DG7" s="161"/>
      <c r="DH7" s="161"/>
      <c r="DI7" s="161"/>
      <c r="DJ7" s="1005" t="s">
        <v>178</v>
      </c>
      <c r="DK7" s="242">
        <f t="shared" ref="DK7:DK8" si="33">IF(OR(AE7 = "", AH7 = ""), "", IF(AE7 &lt;&gt; $Z$1,
-(EF310 * AH7 * 100),
-(EF310 * AH7 * 1)  )  )</f>
        <v>0</v>
      </c>
      <c r="DL7" s="217"/>
      <c r="DM7" s="491">
        <f t="shared" ref="DM7:DM48" si="34">IF(OR(AE7 = "", AH7 = ""), "", IF(AE7 &lt;&gt; $Z$1, (AZ7 * AH7 * 100), (AH7 * $AG$1)) )</f>
        <v>0</v>
      </c>
      <c r="DN7" s="252">
        <f t="shared" ref="DN7:DN48" si="35">IF(OR(AE7 = "", AH7 = ""), "", DK7 + DM7)</f>
        <v>0</v>
      </c>
      <c r="DO7" s="253">
        <f t="shared" ref="DO7:DO48" si="36">IF(OR(AE7 = "", AH7 = ""), "", IFERROR(IF(AH7 &gt; 0, DN7 / (-DK7), DN7 / DK7), 0))</f>
        <v>0</v>
      </c>
      <c r="DP7" s="217"/>
      <c r="DQ7" s="252">
        <f t="shared" ref="DQ7" si="37">IF(OR(AE7 = "", AK7 = ""), "",
-(EI310 * AK7 * 100))</f>
        <v>0</v>
      </c>
      <c r="DR7" s="217"/>
      <c r="DS7" s="252">
        <f t="shared" ref="DS7:DS48" si="38">IF(OR(AE7 = "", AK7 = ""), "",  (AK7 * BI7 * 100))</f>
        <v>0</v>
      </c>
      <c r="DT7" s="252">
        <f t="shared" ref="DT7:DT48" si="39">IF(OR(AE7 = "", AK7 = ""), "", DQ7 + DS7)</f>
        <v>0</v>
      </c>
      <c r="DU7" s="254">
        <f t="shared" ref="DU7:DU48" si="40">IF(OR(AE7 = "", AK7 = ""), "", IFERROR(IF(AK7 &gt; 0, DT7 / (-DQ7), DT7 / DQ7), 0))</f>
        <v>0</v>
      </c>
      <c r="DV7" s="217"/>
      <c r="DW7" s="427">
        <f>+IF(OR(AE7 = "", AND(AH7 = "", AK7 = "")), "",IFERROR(+AH7 * CallDelta($AG$1,AE7,($BM$1/365), $V$15, $AZ$1, $V$17), 0) + IFERROR(AK7 * Putdelta($AG$1,AE7,($BM$1/365), $V$15, $AZ$1, $V$17), 0))</f>
        <v>0</v>
      </c>
      <c r="DX7" s="255">
        <f>+IF(OR(AE7 = "", AND(AH7 = "", AK7 = "")), "",IFERROR(+AH7 * OptionGamma($AG$1,AE7,($BM$1/365), $V$15, $AZ$1, $V$17), 0) + IFERROR(AK7 * OptionGamma($AG$1,AE7,($BM$1/365), $V$15, $AZ$1, $V$17), 0))</f>
        <v>0</v>
      </c>
      <c r="DY7" s="161"/>
      <c r="DZ7" s="267">
        <f t="shared" ref="DZ7:DZ10" si="41">IF(OR(AE7 = "", AQ7 = ""), "", IF(AE7 &lt;&gt; $Z$1,
-(EF53 * AQ7 * 100),
-(EF53 * AQ7 * 1)  ))</f>
        <v>0</v>
      </c>
      <c r="EA7" s="217"/>
      <c r="EB7" s="267">
        <f t="shared" ref="EB7:EB48" si="42">IF(OR(AE7 = "", AQ7 = ""), "", IF(AE7 &lt;&gt; $Z$1, (AZ7 * AQ7 * 100), (AQ7 * $AG$1)  ))</f>
        <v>0</v>
      </c>
      <c r="EC7" s="246">
        <f t="shared" ref="EC7:EC48" si="43">IF(OR(AE7 = "", AQ7 = ""), "", DZ7 + EB7)</f>
        <v>0</v>
      </c>
      <c r="ED7" s="247">
        <f t="shared" ref="ED7:ED48" si="44">IF(OR(AE7 = "", AQ7 = ""), "", IFERROR(IF(AQ7 &gt; 0, EC7 / (-DZ7), EC7 / DZ7), 0))</f>
        <v>0</v>
      </c>
      <c r="EE7" s="217"/>
      <c r="EF7" s="267">
        <f t="shared" ref="EF7:EF11" si="45">IF(OR(AE7 = "", AT7 = ""), "",
-(EI53 * AT7 * 100))</f>
        <v>0</v>
      </c>
      <c r="EG7" s="217"/>
      <c r="EH7" s="267">
        <f t="shared" ref="EH7:EH48" si="46">IF(OR(AE7 = "", AT7 = ""), "",  (AT7 * BI7 * 100))</f>
        <v>0</v>
      </c>
      <c r="EI7" s="246">
        <f t="shared" ref="EI7:EI48" si="47">IF(OR(AE7 = "", AT7 = ""), "", EF7 + EH7)</f>
        <v>0</v>
      </c>
      <c r="EJ7" s="248">
        <f t="shared" ref="EJ7:EJ48" si="48">IF(OR(AE7 = "", AT7 = ""), "", IFERROR(IF(AT7 &gt; 0, EI7 / (-EF7), EI7 / EF7), 0))</f>
        <v>0</v>
      </c>
      <c r="EK7" s="217"/>
      <c r="EL7" s="251">
        <f>+IF(OR(AE7 = "", AND(AQ7 = "", AT7 = "")), "",IFERROR(+AQ7 * CallDelta($AG$1,AE7,($BM$1/365), $V$15, $AZ$1, $V$17), 0) + IFERROR(AT7 * Putdelta($AG$1,AE7,($BM$1/365), $V$15, $AZ$1, $V$17), 0))</f>
        <v>0</v>
      </c>
      <c r="EM7" s="251">
        <f>+IF(OR(AE7 = "", AND(AQ7 = "", AT7 = "")), "",IFERROR(+AQ7 * OptionGamma($AG$1,AE7,($BM$1/365), $V$15, $AZ$1, $V$17), 0) + IFERROR(AT7 * OptionGamma($AG$1,AE7,($BM$1/365), $V$15, $AZ$1, $V$17), 0))</f>
        <v>0</v>
      </c>
      <c r="EN7" s="451">
        <f t="shared" ref="EN7:EN47" si="49">+IF($EN$49 = TRUE, IF(AE7 &gt;= $AG$1, IF($EN$1 = 1, EO7, IF($EN$1 = 2, EP7, IF($EN$1 = 3, EQ7))), NA()), IF($EN$1 = 1, EO7, IF($EN$1 = 2, EP7, IF($EN$1 = 3, EQ7))))</f>
        <v>3.814697265625E-3</v>
      </c>
      <c r="EO7" s="524">
        <f>+IF(AE7 = "", "",ImpliedCallVolatility($AG$1, $AE7,($BM$1/365), $V$15, $AZ7, $V$17) * 100)</f>
        <v>3.814697265625E-3</v>
      </c>
      <c r="EP7" s="524">
        <f>+IF(AE7 = "", "",ImpliedCallVolatility($AG$1, $AE7,($BM$1/365), $V$15, BD7, $V$17) * 100)</f>
        <v>3.814697265625E-3</v>
      </c>
      <c r="EQ7" s="524">
        <f>+IF(AE7 = "", "",ImpliedCallVolatility($AG$1, $AE7,($BM$1/365), $V$15, BF7, $V$17) * 100)</f>
        <v>3.814697265625E-3</v>
      </c>
      <c r="ER7" s="525">
        <f t="shared" ref="ER7:ER47" si="50">IF(OR(AE7 = "", AZ7 = 0), "",IF(AE7 &gt; $AG$1, AZ7, AZ7 - ($AG$1 - AE7)) / IF($EU$1 = 1, $AG$1 * 1 / 100, 1))</f>
        <v>-2.4500000000000028</v>
      </c>
      <c r="ES7" s="525">
        <f t="shared" ref="ES7:ES47" si="51">IF(OR(AE7 = "", BD7 = 0), "",IF(AE7 &gt; $AG$1, BD7, BD7 - ($AG$1 - AE7)) / IF($EU$1 = 1, $AG$1 * 1 / 100, 1))</f>
        <v>-2.4500000000000028</v>
      </c>
      <c r="ET7" s="411" t="str">
        <f t="shared" ref="ET7:ET47" si="52">IF(OR(AE7 = "", BF7 = 0), "",IF(AE7 &gt; $AG$1, BF7, BF7 - ($AG$1 - AE7)) / IF($EU$1 = 1, $AG$1 * 1 / 100, 1))</f>
        <v/>
      </c>
      <c r="EU7" s="526">
        <f>IF($FC$1 = 1,
IF(AE7 = "", "",OptionGamma($AG$1,AE7,($BM$1/365), $V$15, $AZ$1, $V$17) * 1000),
IF($FC$1 = 2, IF(OR(AE7 = "", BD7 =  0), "",IF(AE7 &lt; $AG$1, (((AE7 * (1 - COMIS_ACCION)) / (($AG$1 * (1 + COMIS_ACCION)) - (BD7 * (1 - COMIS_OPCION)))) - 1) * 100 / $BM$1 * 365,((($AG$1 * (1 - COMIS_ACCION)) / (($AG$1 * (1 + COMIS_ACCION)) - (BD7 * (1 - COMIS_OPCION)))) - 1) * 100 / $BM$1 * 365))))</f>
        <v>2.1436354670966377E-2</v>
      </c>
      <c r="EV7" s="527">
        <f>+IF(AE7 = "", "",CallOption($AG$1, $AE7,($BM$1/365), $V$15, $AZ$1, $V$17))</f>
        <v>84.126897651237272</v>
      </c>
      <c r="EW7" s="528" t="str">
        <f t="shared" ref="EW7:EW47" si="53">IF(OR(AE7 = "", BF7 = 0), "", -BF7 * (1 + COMIS_OPCION))</f>
        <v/>
      </c>
      <c r="EX7" s="529">
        <f t="shared" ref="EX7:EX47" si="54">IF(OR(AE7 = "", BD7 = ""), "", (-(AX7 * 100 * (1 + (COMIS_ACCION))) + ($AG$1 * 100 * (1 - (COMIS_ACCION)))) / 100)</f>
        <v>76.492489800000016</v>
      </c>
      <c r="EY7" s="529">
        <f t="shared" ref="EY7:EY47" si="55">IF(OR(AE7 = "", BD7 = ""), "", (-($AG$1 * 100 * (1 + (COMIS_ACCION))) + (AX7 * 100 * (1 - (COMIS_ACCION )))) / 100)</f>
        <v>-78.807510199999982</v>
      </c>
      <c r="EZ7" s="529">
        <f t="shared" ref="EZ7:EZ47" si="56">IF(OR(AE7 = "", BD7 = ""), "", (-(AX7 * 100 * (1 + (COMIS_ACCION / 2)))) / 100)</f>
        <v>-132.22360800000001</v>
      </c>
      <c r="FA7" s="529">
        <f t="shared" ref="FA7:FA47" si="57">IF(OR(AE7 = "", BD7 = ""), "", +(AX7 * 100 * (1 - (COMIS_ACCION / 2))) / 100)</f>
        <v>131.77639199999999</v>
      </c>
      <c r="FB7" s="530">
        <f>+IF($FC$1 = 1, IF(AE7 = "", "",IFERROR( VLOOKUP(N7, PreciosCalls, 13, FALSE), 0)),
IF($FC$1 = 2,  IF(AE7 = "", "",OptionGamma($AG$1,AE7,($BM$1/365), $V$15, $AZ$1, $V$17) * 1000)))</f>
        <v>48</v>
      </c>
      <c r="FC7" s="530">
        <f>IF($FC$1 = 1, IF(AE7 = "", "",IFERROR( VLOOKUP(N7, PreciosCalls, 14, FALSE), 0)),
IF($FC$1 = 2, IF(AE7 = "", "",CallDelta($AG$1,AE7,($BM$1/365), $V$15, $AZ$1, $V$17) * 100)))</f>
        <v>0</v>
      </c>
      <c r="FD7" s="531">
        <f t="shared" ref="FD7:FD47" si="58">+IF(AE7 = "", "",IFERROR(VLOOKUP(N7, PreciosCalls, 12, FALSE) / VLOOKUP(N7, PreciosCalls, 13, FALSE) / 100, 0))</f>
        <v>82.690833333333345</v>
      </c>
      <c r="FE7" s="530">
        <f t="shared" ref="FE7:FE47" si="59">+IF(AE7 = "", "", VLOOKUP(N7, PreciosCalls, 12, FALSE))</f>
        <v>396916</v>
      </c>
      <c r="FF7" s="217"/>
      <c r="FG7" s="275" t="str">
        <f t="shared" ref="FG7:FG47" si="60">+IF(OR(AX7 = "", AZ7 = 0, AZ8 = 0), "", AZ7 / AZ8)</f>
        <v/>
      </c>
      <c r="FH7" s="275" t="str">
        <f t="shared" ref="FH7:FH47" si="61">+IF(OR(AX7 = "", AZ7 = 0, AZ9 = 0), "", AZ7 / AZ9)</f>
        <v/>
      </c>
      <c r="FI7" s="451">
        <f t="shared" ref="FI7:FI47" si="62">+IF($FI$49 = TRUE, IF(AE7 &lt;= $AG$1, IF($FI$1 = 1, FJ7, IF($FI$1 = 2, FK7, IF($FI$1 = 3, FL7))), NA()), IF($FI$1 = 1, FJ7, IF($FI$1 = 2, FK7, IF($FI$1 = 3, FL7))))</f>
        <v>61.954498291015625</v>
      </c>
      <c r="FJ7" s="419">
        <f>+IF(AE7 = "", "",ImpliedPutVolatility($AG$1, $AE7,($BM$1/365), $V$15, BI7, $V$17) * 100)</f>
        <v>60.947418212890625</v>
      </c>
      <c r="FK7" s="419">
        <f>+IF(AE7 = "", "",ImpliedPutVolatility($AG$1, $AE7,($BM$1/365), $V$15, BM7, $V$17) * 100)</f>
        <v>60.947418212890625</v>
      </c>
      <c r="FL7" s="419">
        <f>+IF(AE7 = "", "",ImpliedPutVolatility($AG$1, $AE7,($BM$1/365), $V$15, BO7, $V$17) * 100)</f>
        <v>61.954498291015625</v>
      </c>
      <c r="FM7" s="532">
        <f t="shared" ref="FM7:FM47" si="63">IF(OR(AE7 = "", BI7 = 0), "",IF(AE7 &lt; $AG$1, BI7, BI7 - (AE7 - $AG$1)) / IF($FN$1 = 1, $AG$1 / 100, IF($FN$1 = 2, 1)))</f>
        <v>0.155</v>
      </c>
      <c r="FN7" s="532">
        <f t="shared" ref="FN7:FN47" si="64">IF(OR(AE7 = "", BM7 = 0), "",IF(AE7 &lt; $AG$1, BM7, BM7 - (AE7 - $AG$1)) / IF($FN$1 = 1, $AG$1 / 100, IF($FN$1 = 2, 1)))</f>
        <v>0.155</v>
      </c>
      <c r="FO7" s="532">
        <f t="shared" ref="FO7:FO47" si="65">IF(OR(AE7 = "", BO7 = 0), "",IF(AE7 &lt; $AG$1, BO7, BO7 - (AE7 - $AG$1)) / IF($FN$1 = 1, $AG$1 / 100, IF($FN$1 = 2, 1)))</f>
        <v>0.17499999999999999</v>
      </c>
      <c r="FP7" s="533">
        <f>IF($FX$1=1, IF(AE7 = "", "",OptionGamma($AG$1,AE7,($BM$1/365), $V$15, $AZ$1, $V$17) * 1000),
IF($FX$1 = 2, IF(OR(AE7 = "", BM7 =  0), "",((BM7 * (1 - COMIS_OPCION)) / (AE7 * (1 + COMIS_ACCION))) * 100 / $BM$1 * 365)))</f>
        <v>2.1436354670966377E-2</v>
      </c>
      <c r="FQ7" s="288">
        <f>+IF(AE7 = "", "",PutOption($AG$1, $AE7,($BM$1/365), $V$15, $AZ$1, $V$17))</f>
        <v>1.3466984412435143E-3</v>
      </c>
      <c r="FR7" s="283">
        <f>IF(OR(AE7 = "", BO7 = 0), "", -BO7 * (1 + COMIS_OPCION))</f>
        <v>-0.17616462499999999</v>
      </c>
      <c r="FS7" s="284">
        <f t="shared" ref="FS7:FS47" si="66">IF(OR(AE7 = "", BD7 = ""), "", (-($AG$1 * 100 * (1 + (COMIS_ACCION))) + (AX7 * 100 * (1 - (COMIS_ACCION)))) / 100)</f>
        <v>-78.807510199999982</v>
      </c>
      <c r="FT7" s="284">
        <f t="shared" ref="FT7:FT47" si="67">IF(OR(AE7 = "", BD7 = ""), "", (-(AX7 * 100 * (1 + (COMIS_ACCION))) + ($AG$1 * 100 * (1 - (COMIS_ACCION)))) / 100)</f>
        <v>76.492489800000016</v>
      </c>
      <c r="FU7" s="284">
        <f t="shared" ref="FU7:FU19" si="68">IF(OR(AE7 = "", BM7 = ""), "", (-($AG$1 * 1 * (1 + (COMIS_ACCION / 2)))) + (+(AX7* 1 * (1 - (COMIS_ACCION / 2)))))</f>
        <v>-78.228755100000001</v>
      </c>
      <c r="FV7" s="284">
        <f>IF(OR(AE7 = "", BD7 = ""), "", +(AX7 * 100 * (1 - (COMIS_ACCION / 2))) / 100)</f>
        <v>131.77639199999999</v>
      </c>
      <c r="FW7" s="287">
        <f>+IF($FX$1 = 1, IFERROR(VLOOKUP(P7, PreciosPuts, 13, FALSE), 0),
IF($FX$1 = 2, IF(AE7 = "", "",OptionGamma($AG$1,AE7,($BM$1/365), $V$15, $AZ$1, $V$17) * 1000)))</f>
        <v>2975</v>
      </c>
      <c r="FX7" s="287">
        <f>+IF($FX$1=1, IF(AE7 = "", "",IFERROR(VLOOKUP(P7, PreciosPuts, 14, FALSE), 0)),
IF($FX$1=2, IF(AE7 = "", "",Putdelta($AG$1,AE7,($BM$1/365), $V$15, $AZ$1, $V$17) * 100)))</f>
        <v>0</v>
      </c>
      <c r="FY7" s="286">
        <f t="shared" ref="FY7:FY47" si="69">+IF(AE7 = "", "",IFERROR(VLOOKUP(P7, PreciosPuts, 12, FALSE) / VLOOKUP(P7, PreciosPuts, 13, FALSE) / 100, 0))</f>
        <v>0.1645146218487395</v>
      </c>
      <c r="FZ7" s="287">
        <f t="shared" ref="FZ7:FZ47" si="70">+IF(AE7 = "", "", VLOOKUP(P7, PreciosPuts, 12, FALSE))</f>
        <v>48943.1</v>
      </c>
      <c r="GA7" s="217"/>
      <c r="GB7" s="285"/>
      <c r="GC7" s="285"/>
      <c r="GD7" s="217"/>
      <c r="GE7" s="302" t="str">
        <f t="shared" ref="GE7:GE47" si="71">+IF(AX7 = "", "",IF(AND(BF7 &lt;&gt; 0, BM7 &lt;&gt; 0), BF7 - BM7 - $AG$1 + AX7, ""))</f>
        <v/>
      </c>
      <c r="GF7" s="295" t="str">
        <f t="shared" ref="GF7:GF47" si="72">+IF(AX7 = "", "",IF(AND(BF7 &lt;&gt; 0, BM7 &lt;&gt; 0), AX7 + BF7 - BM7, ""))</f>
        <v/>
      </c>
      <c r="GG7" s="296" t="str">
        <f t="shared" ref="GG7:GG47" si="73">+IF(AX7 = "", "",IF(AND(BF7 &lt;&gt; 0, BM7 &lt;&gt; 0), ($AG$1 - GF7) / 365 * $BM$1, ""))</f>
        <v/>
      </c>
      <c r="GH7" s="294" t="str">
        <f>+IF(GF7 = "", "", RANK(GF7,$GF$7:$GF$47, 1))</f>
        <v/>
      </c>
      <c r="GI7" s="294">
        <v>1</v>
      </c>
      <c r="GJ7" s="217"/>
      <c r="GK7" s="304">
        <f t="shared" ref="GK7:GK47" si="74">+IF(AX7 = "", "",IF(AND(BD7 &lt;&gt; 0, BO7 &lt;&gt; 0), BD7 - BO7 - $AG$1 + AX7, ""))</f>
        <v>-2.625</v>
      </c>
      <c r="GL7" s="297">
        <f t="shared" ref="GL7:GL47" si="75">+IF(AX7 = "", "",IF(AND(BD7 &lt;&gt; 0, BO7 &lt;&gt; 0), AX7 + BD7 - BO7, ""))</f>
        <v>207.02499999999998</v>
      </c>
      <c r="GM7" s="298">
        <f t="shared" ref="GM7:GM47" si="76">+IF(AX7 = "", "",IF(AND(BD7 &lt;&gt; 0, BO7 &lt;&gt; 0), ((GL7 / $AG$1) - 1) / $BM$1 * 365, ""))</f>
        <v>-8.9610134537956646E-2</v>
      </c>
      <c r="GN7" s="225">
        <f>+IF(GL7 = "", "", RANK(GL7,$GL$7:$GL$47, 0))</f>
        <v>10</v>
      </c>
      <c r="GO7" s="225">
        <v>1</v>
      </c>
      <c r="GP7" s="217"/>
      <c r="GQ7" s="217"/>
      <c r="GR7" s="401" t="str">
        <f t="shared" ref="GR7:GR12" si="77">+IF(AE7 = $GQ$4, $GR$4,
IF(AE7 = $GQ$5, -$GR$5,
IF(AE7 = $GQ$6, $GR$6, "")))</f>
        <v/>
      </c>
      <c r="GT7" s="282" t="str">
        <f t="shared" ref="GT7:GT47" si="78">IFERROR(IF( AND(BF6 &lt;&gt; "", BF6 &lt;&gt; 0, BD7 &lt;&gt; "", BD7 &lt;&gt; 0, BF8 &lt;&gt; "", BF8 &lt;&gt; 0),
-(BF6 * (1 / (AX8 - AX6) * ABS(AX8 - AX7))) * (1 + COMIS_OPCION)
+ BD7 * (1 / (AX8 - AX6) * ABS(AX8 - AX7)) * (1 - COMIS_OPCION)
+ BD7 * (1 / (AX8 - AX6) * ABS(AX6 - AX7)) * (1 - COMIS_OPCION)
- BF8 * (1 / (AX8 - AX6) * ABS(AX6 - AX7)) * (1 + COMIS_OPCION), ""), "")</f>
        <v/>
      </c>
      <c r="GU7" s="282" t="str">
        <f t="shared" ref="GU7:GU47" si="79">IFERROR(IF( AND(BF5 &lt;&gt; "", BF5 &lt;&gt; 0, BD7 &lt;&gt; "", BD7 &lt;&gt; 0, BF9 &lt;&gt; "", BF9 &lt;&gt; 0),
-(BF5 * (1 / (AX9 - AX5) * ABS(AX9 - AX7))) * (1 + COMIS_OPCION)  + (BD7 * 1) * (1 - COMIS_OPCION)
- BF9 * (1 / (AX9 - AX5) * ABS(AX5 - AX7)) * (1 + COMIS_OPCION), ""), "")</f>
        <v/>
      </c>
      <c r="GV7" s="282" t="str">
        <f t="shared" ref="GV7:GV47" si="80">IFERROR(IF( AND(BF4 &lt;&gt; "", BF4 &lt;&gt; 0, BD7 &lt;&gt; "", BD7 &lt;&gt; 0, BF10 &lt;&gt; "", BF10 &lt;&gt; 0),
 -(BF4 * (1 / (AX10 - AX4) * ABS(AX10 - AX7))) * (1 + COMIS_OPCION) + (BD7 * 1) * (1 - COMIS_OPCION)
 - BF10 * (1 / (AX10 - AX4) * ABS(AX4 - AX7)) * (1 + COMIS_OPCION), ""), "")</f>
        <v/>
      </c>
      <c r="GW7" s="282" t="str">
        <f t="shared" ref="GW7:GW47" si="81">IFERROR(IF( AND(BF3 &lt;&gt; "", BF3 &lt;&gt; 0, BD7 &lt;&gt; "", BD7 &lt;&gt; 0, BF11 &lt;&gt; "", BF11 &lt;&gt; 0),
-(BF3 * (1 / (AX11 - AX3) * ABS(AX11 - AX7))) * (1 + COMIS_OPCION)  + (BD7 * 1) * (1 - COMIS_OPCION)
- BF11 * (1 / (AX11 - AX3) * ABS(AX3 - AX7))  * (1 + COMIS_OPCION), ""), "")</f>
        <v/>
      </c>
      <c r="GX7" s="282" t="str">
        <f t="shared" ref="GX7:GX47" si="82">IFERROR(IF( AND(BF2 &lt;&gt; "", BF2 &lt;&gt; 0, BD7 &lt;&gt; "", BD7 &lt;&gt; 0, BF12 &lt;&gt; "", BF12 &lt;&gt; 0),
-(BF2 * (1 / (AX12 - AX2) * ABS(AX12 - AX7)))  * (1 + COMIS_OPCION) + (BD7 * 1) * (1 - COMIS_OPCION)
- BF12 * (1 / (AX12 - AX2) * ABS(AX2 - AX7))   * (1 + COMIS_OPCION), ""), "")</f>
        <v/>
      </c>
      <c r="GY7" s="282" t="str">
        <f t="shared" ref="GY7:GY47" si="83">IFERROR(IF( AND(BF1 &lt;&gt; "", BF1 &lt;&gt; 0, BD7 &lt;&gt; "", BD7 &lt;&gt; 0, BF13 &lt;&gt; "", BF13 &lt;&gt; 0),
-(BF1 * (1 / (AX13 - AX1) * ABS(AX13 - AX7))) * (1 + COMIS_OPCION) + (BD7 * 1) * (1 - COMIS_OPCION)
- BF13 * (1 / (AX13 - AX1) * ABS(AX1 - AX7)) * (1 + COMIS_OPCION), ""), "")</f>
        <v/>
      </c>
      <c r="GZ7" s="282" t="str">
        <f>IFERROR(IF( AND(#REF! &lt;&gt; "",#REF! &lt;&gt; 0, BD7 &lt;&gt; "", BD7 &lt;&gt; 0, BF14 &lt;&gt; "", BF14 &lt;&gt; 0),
-(#REF! * (1 / (AX14 -#REF!) * ABS(AX14 - AX7))) * (1 + COMIS_OPCION) + (BD7 * 1) * (1 - COMIS_OPCION)
- BF14 * (1 / (AX14 -#REF!) * ABS(#REF! - AX7)) * (1 + COMIS_OPCION), ""), "")</f>
        <v/>
      </c>
      <c r="HA7" s="282" t="str">
        <f t="shared" ref="HA7:HA47" si="84">IFERROR(IF( AND(BF6 &lt;&gt; "", BF6 &lt;&gt; 0, BD7 &lt;&gt; "", BD7 &lt;&gt; 0, BF9 &lt;&gt; "", BF9 &lt;&gt; 0),
-(BF6 * (1 / (AX9 - AX6) * ABS(AX9 - AX7))) * (1 + COMIS_OPCION) + (BD7 * 1) * (1 - COMIS_OPCION)
- BF9  * (1 / (AX9 - AX6) * ABS(AX6 - AX7)) * (1 + COMIS_OPCION), ""), "")</f>
        <v/>
      </c>
      <c r="HB7" s="282" t="str">
        <f>IFERROR(IF( AND(BF5 &lt;&gt; "", BF5 &lt;&gt; 0, BD7 &lt;&gt; "", BD7 &lt;&gt; 0, BF8 &lt;&gt; "", BF8 &lt;&gt; 0),
-(BF5 * (1 / (AX8 - AX5) * ABS(AX8 - AX7))) * (1 + COMIS_OPCION) + (BD7 * 1) * (1 - COMIS_OPCION)
- BF8 * (1 / (AX8 - AX5) * ABS(AX5 - AX7)) * (1 + COMIS_OPCION), ""), "")</f>
        <v/>
      </c>
      <c r="HC7" s="611" t="str">
        <f t="shared" ref="HC7:HC47" si="85">IFERROR(IF( AND(BO6 &lt;&gt; "", BO6 &lt;&gt; 0, BM7 &lt;&gt; "", BM7 &lt;&gt; 0, BO8 &lt;&gt; "", BO8 &lt;&gt; 0),
-(BO6 * (1 / (AX8 - AX6) * ABS(AX8 - AX7))) * (1 + COMIS_OPCION) + (BM7 * 1) * (1 - COMIS_OPCION)
- BO8 * (1 / (AX8 - AX6) * ABS(AX6 - AX7)) * (1 + COMIS_OPCION), ""), "")</f>
        <v/>
      </c>
      <c r="HD7" s="286" t="str">
        <f t="shared" ref="HD7:HD47" si="86">IFERROR(IF( AND(BO5 &lt;&gt; "", BO5 &lt;&gt; 0, BM7 &lt;&gt; "", BM7 &lt;&gt; 0, BO9 &lt;&gt; "", BO9 &lt;&gt; 0),
-(BO5 * (1 / (AX9 - AX5) * ABS(AX9 - AX7))) * (1 + COMIS_OPCION) + (BM7 * 1) * (1 - COMIS_OPCION)
- BO9 * (1 / (AX9 - AX5) * ABS(AX5 - AX7)) * (1 + COMIS_OPCION), ""), "")</f>
        <v/>
      </c>
      <c r="HE7" s="286" t="str">
        <f t="shared" ref="HE7:HE47" si="87">IFERROR(IF( AND(BO6 &lt;&gt; "", BO6 &lt;&gt; 0, BM7 &lt;&gt; "", BM7 &lt;&gt; 0, BO9 &lt;&gt; "", BO9 &lt;&gt; 0),
-(BO6 * (1 / (AX9 - AX6) * ABS(AX9 - AX7))) * (1 + COMIS_OPCION) + (BM7 * 1) * (1 - COMIS_OPCION)
- BO9 * (1 / (AX9 - AX6) * ABS(AX6 - AX7)) * (1 + COMIS_OPCION), ""), "")</f>
        <v/>
      </c>
      <c r="HF7" s="286" t="str">
        <f t="shared" ref="HF7:HF47" si="88">IFERROR(IF( AND(BO5 &lt;&gt; "", BO5 &lt;&gt; 0, BM7 &lt;&gt; "", BM7 &lt;&gt; 0, BO8 &lt;&gt; "", BO8 &lt;&gt; 0),
-(BO5 * (1 / (AX8 - AX5) * ABS(AX8 - AX7))) * (1 + COMIS_OPCION) + (BM7 * 1) * (1 - COMIS_OPCION)
- BO8  * (1 / (AX8 - AX5) * ABS(AX5 - AX7))  * (1 + COMIS_OPCION), ""), "")</f>
        <v/>
      </c>
      <c r="HG7" s="217"/>
      <c r="HH7" s="282" t="str">
        <f t="shared" ref="HH7:HH47" si="89">IFERROR(IF( AND(BO6 &lt;&gt; "", BO6 &lt;&gt; 0, BM7 &lt;&gt; "", BM7 &lt;&gt; 0, BD7 &lt;&gt; "", BD7 &lt;&gt; 0, BF8 &lt;&gt; "", BF8 &lt;&gt; 0),
-(BO6 * (ABS(AX8 - AX7) / ABS(AX7 - AX6))) * (1 + COMIS_OPCION)
+ BM7 * (ABS(AX8 - AX7) / ABS(AX7 - AX6)) * (1 - COMIS_OPCION)
+ BD7 * (1 - COMIS_OPCION)
- BF8 * (1 + COMIS_OPCION) - ABS(AX8 - AX7), ""), "")</f>
        <v/>
      </c>
      <c r="HI7" s="282" t="str">
        <f t="shared" ref="HI7:HI47" si="90">IFERROR(IF( AND(BO5 &lt;&gt; "", BO5 &lt;&gt; 0, BM7 &lt;&gt; "", BM7 &lt;&gt; 0, BD7 &lt;&gt; "", BD7 &lt;&gt; 0, BF9 &lt;&gt; "", BF9 &lt;&gt; 0),
-(BO5 * (ABS(AX9 - AX7) / ABS(AX7 - AX5))) * (1 + COMIS_OPCION)
+ BM7 * (ABS(AX9 - AX7) / ABS(AX7 - AX5)) * (1 - COMIS_OPCION)
+ BD7 * (1 - COMIS_OPCION)
- BF9 * (1 + COMIS_OPCION) - ABS(AX9 - AX7), ""), "")</f>
        <v/>
      </c>
      <c r="HJ7" s="286"/>
      <c r="HK7" s="286"/>
      <c r="HL7" s="217"/>
      <c r="HM7" s="420"/>
      <c r="HN7" s="420"/>
      <c r="HO7" s="420"/>
      <c r="HP7" s="420"/>
      <c r="HQ7" s="282" t="str">
        <f t="shared" ref="HQ7:HQ47" si="91">IFERROR(IF( AND(BF5 &lt;&gt; "", BF5 &lt;&gt; 0, BD7 &lt;&gt; "", BD7 &lt;&gt; 0, BF8 &lt;&gt; "", BF8 &lt;&gt; 0),
-(BF5 * (1 / (AX8 - AX5) * ABS(AX8 - AX7))) * (1 + COMIS_OPCION) + (BD7 * 1) * (1 - COMIS_OPCION)
- BF8 * (1 / (AX8 - AX5) * ABS(AX5 - AX7)) * (1 + COMIS_OPCION), ""), "")</f>
        <v/>
      </c>
      <c r="HR7" s="420"/>
      <c r="HS7" s="420"/>
      <c r="HT7" s="420"/>
      <c r="HU7" s="420"/>
      <c r="HV7" s="420"/>
      <c r="HW7" s="420"/>
      <c r="HX7" s="425"/>
      <c r="HY7" s="338"/>
      <c r="HZ7" s="338"/>
      <c r="IA7" s="161"/>
      <c r="IB7" s="161"/>
      <c r="IC7" s="162"/>
      <c r="ID7" s="162"/>
      <c r="IE7" s="142"/>
      <c r="IF7" s="51"/>
      <c r="IG7" s="142"/>
      <c r="IH7" s="545">
        <f>+IF(IK7 &lt;&gt; "", IF($Y$50 = TRUE, IK7, IL7*100), "")</f>
        <v>-37.037920343429533</v>
      </c>
      <c r="II7" s="144">
        <f>+$AG$1 * ((1-0.02) ^ 13) - 0.01</f>
        <v>161.21554390838074</v>
      </c>
      <c r="IJ7" s="146">
        <v>1</v>
      </c>
      <c r="IK7" s="545">
        <f t="shared" ref="IK7:IK20" si="92">IF($Y$49 = TRUE,  (IK8 * (1 - $DE$1)), IF(AE7 = "", "", AE7))</f>
        <v>132</v>
      </c>
      <c r="IL7" s="106">
        <f t="shared" ref="IL7:IL47" si="93">IF(IK7 = "", "", (IK7 / $AG$1) - 1)</f>
        <v>-0.37037920343429531</v>
      </c>
      <c r="IM7" s="110">
        <f t="shared" ref="IM7:IM10" si="94">+IF(IK7="", "", IK7)</f>
        <v>132</v>
      </c>
      <c r="IN7" s="111">
        <f>+IF(IL7 = "", "", SUM(IO7:KD7) + $CP$6)</f>
        <v>-46515.23875000004</v>
      </c>
      <c r="IO7" s="50">
        <f t="shared" ref="IO7:IX16" si="95" xml:space="preserve"> IF(OR($IL7 = "", IO$6 = ""), "", IF(IO$6 &lt;&gt; $Z$1,
IF($IM7 &gt; IO$6, IO$1 * 100 * ($IM7 - IO$6), 0) +
IF($IM7 &lt; IO$6, IO$4 * 100 * (IO$6 - $IM7), 0),
$IM7 * IO$1))</f>
        <v>0</v>
      </c>
      <c r="IP7" s="50">
        <f t="shared" si="95"/>
        <v>0</v>
      </c>
      <c r="IQ7" s="50">
        <f t="shared" si="95"/>
        <v>0</v>
      </c>
      <c r="IR7" s="50">
        <f t="shared" si="95"/>
        <v>0</v>
      </c>
      <c r="IS7" s="50">
        <f t="shared" si="95"/>
        <v>0</v>
      </c>
      <c r="IT7" s="50">
        <f t="shared" si="95"/>
        <v>0</v>
      </c>
      <c r="IU7" s="50">
        <f t="shared" si="95"/>
        <v>0</v>
      </c>
      <c r="IV7" s="50">
        <f t="shared" si="95"/>
        <v>0</v>
      </c>
      <c r="IW7" s="50">
        <f t="shared" si="95"/>
        <v>0</v>
      </c>
      <c r="IX7" s="50">
        <f t="shared" si="95"/>
        <v>0</v>
      </c>
      <c r="IY7" s="50">
        <f t="shared" ref="IY7:JH16" si="96" xml:space="preserve"> IF(OR($IL7 = "", IY$6 = ""), "", IF(IY$6 &lt;&gt; $Z$1,
IF($IM7 &gt; IY$6, IY$1 * 100 * ($IM7 - IY$6), 0) +
IF($IM7 &lt; IY$6, IY$4 * 100 * (IY$6 - $IM7), 0),
$IM7 * IY$1))</f>
        <v>0</v>
      </c>
      <c r="IZ7" s="50">
        <f t="shared" si="96"/>
        <v>0</v>
      </c>
      <c r="JA7" s="50">
        <f t="shared" si="96"/>
        <v>0</v>
      </c>
      <c r="JB7" s="50">
        <f t="shared" si="96"/>
        <v>0</v>
      </c>
      <c r="JC7" s="50">
        <f t="shared" si="96"/>
        <v>0</v>
      </c>
      <c r="JD7" s="50">
        <f t="shared" si="96"/>
        <v>0</v>
      </c>
      <c r="JE7" s="50">
        <f t="shared" si="96"/>
        <v>0</v>
      </c>
      <c r="JF7" s="50">
        <f t="shared" si="96"/>
        <v>0</v>
      </c>
      <c r="JG7" s="50">
        <f t="shared" si="96"/>
        <v>0</v>
      </c>
      <c r="JH7" s="50">
        <f t="shared" si="96"/>
        <v>0</v>
      </c>
      <c r="JI7" s="50">
        <f t="shared" ref="JI7:JR16" si="97" xml:space="preserve"> IF(OR($IL7 = "", JI$6 = ""), "", IF(JI$6 &lt;&gt; $Z$1,
IF($IM7 &gt; JI$6, JI$1 * 100 * ($IM7 - JI$6), 0) +
IF($IM7 &lt; JI$6, JI$4 * 100 * (JI$6 - $IM7), 0),
$IM7 * JI$1))</f>
        <v>0</v>
      </c>
      <c r="JJ7" s="50">
        <f t="shared" si="97"/>
        <v>0</v>
      </c>
      <c r="JK7" s="50">
        <f t="shared" si="97"/>
        <v>0</v>
      </c>
      <c r="JL7" s="50">
        <f t="shared" si="97"/>
        <v>0</v>
      </c>
      <c r="JM7" s="50">
        <f t="shared" si="97"/>
        <v>0</v>
      </c>
      <c r="JN7" s="50">
        <f t="shared" si="97"/>
        <v>0</v>
      </c>
      <c r="JO7" s="50">
        <f t="shared" si="97"/>
        <v>0</v>
      </c>
      <c r="JP7" s="50">
        <f t="shared" si="97"/>
        <v>0</v>
      </c>
      <c r="JQ7" s="50">
        <f t="shared" si="97"/>
        <v>0</v>
      </c>
      <c r="JR7" s="50">
        <f t="shared" si="97"/>
        <v>0</v>
      </c>
      <c r="JS7" s="50">
        <f t="shared" ref="JS7:KD16" si="98" xml:space="preserve"> IF(OR($IL7 = "", JS$6 = ""), "", IF(JS$6 &lt;&gt; $Z$1,
IF($IM7 &gt; JS$6, JS$1 * 100 * ($IM7 - JS$6), 0) +
IF($IM7 &lt; JS$6, JS$4 * 100 * (JS$6 - $IM7), 0),
$IM7 * JS$1))</f>
        <v>0</v>
      </c>
      <c r="JT7" s="50">
        <f t="shared" si="98"/>
        <v>0</v>
      </c>
      <c r="JU7" s="50" t="str">
        <f t="shared" si="98"/>
        <v/>
      </c>
      <c r="JV7" s="50" t="str">
        <f t="shared" si="98"/>
        <v/>
      </c>
      <c r="JW7" s="50" t="str">
        <f t="shared" si="98"/>
        <v/>
      </c>
      <c r="JX7" s="50" t="str">
        <f t="shared" si="98"/>
        <v/>
      </c>
      <c r="JY7" s="50" t="str">
        <f t="shared" si="98"/>
        <v/>
      </c>
      <c r="JZ7" s="50" t="str">
        <f t="shared" si="98"/>
        <v/>
      </c>
      <c r="KA7" s="50" t="str">
        <f t="shared" si="98"/>
        <v/>
      </c>
      <c r="KB7" s="50" t="str">
        <f t="shared" si="98"/>
        <v/>
      </c>
      <c r="KC7" s="50" t="str">
        <f t="shared" si="98"/>
        <v/>
      </c>
      <c r="KD7" s="50" t="str">
        <f t="shared" si="98"/>
        <v/>
      </c>
    </row>
    <row r="8" spans="1:290" s="144" customFormat="1" ht="15" customHeight="1" thickBot="1">
      <c r="B8" s="146">
        <v>2</v>
      </c>
      <c r="C8" s="121" t="str">
        <f t="shared" ref="C8:C47" si="99">+IF(N8 = "", "", N8)</f>
        <v>GFGC135.AB</v>
      </c>
      <c r="D8" s="121" t="str">
        <f t="shared" ref="D8:D47" si="100">+IF(P8 = "", "", P8)</f>
        <v>GFGV135.AB</v>
      </c>
      <c r="E8" s="122">
        <f t="shared" si="1"/>
        <v>135</v>
      </c>
      <c r="F8" s="123" t="str">
        <f t="shared" si="2"/>
        <v/>
      </c>
      <c r="G8" s="123" t="str">
        <f t="shared" si="3"/>
        <v/>
      </c>
      <c r="H8" s="124" t="str">
        <f t="shared" si="4"/>
        <v/>
      </c>
      <c r="I8" s="124">
        <f t="shared" si="5"/>
        <v>0.16200000000000001</v>
      </c>
      <c r="J8" s="124" t="str">
        <f t="shared" si="6"/>
        <v/>
      </c>
      <c r="K8" s="124" t="str">
        <f t="shared" si="7"/>
        <v/>
      </c>
      <c r="M8" s="158">
        <f t="shared" si="8"/>
        <v>12</v>
      </c>
      <c r="N8" s="121" t="str">
        <f t="shared" si="9"/>
        <v>GFGC135.AB</v>
      </c>
      <c r="O8" s="158">
        <f t="shared" si="10"/>
        <v>12</v>
      </c>
      <c r="P8" s="121" t="str">
        <f t="shared" si="11"/>
        <v>GFGV135.AB</v>
      </c>
      <c r="R8" s="159"/>
      <c r="S8" s="160" t="str">
        <f t="shared" si="12"/>
        <v/>
      </c>
      <c r="U8" s="234" t="s">
        <v>200</v>
      </c>
      <c r="V8" s="131">
        <v>5</v>
      </c>
      <c r="X8" s="200">
        <v>2</v>
      </c>
      <c r="Y8" s="546">
        <f t="shared" si="13"/>
        <v>-35.606963987598384</v>
      </c>
      <c r="Z8" s="540">
        <f t="shared" si="14"/>
        <v>-46515.23875000004</v>
      </c>
      <c r="AA8" s="179"/>
      <c r="AB8" s="540">
        <f t="shared" si="15"/>
        <v>0</v>
      </c>
      <c r="AC8" s="161"/>
      <c r="AD8" s="200">
        <v>2</v>
      </c>
      <c r="AE8" s="825">
        <f t="shared" ref="AE8:AE47" si="101">+IF(AD8 = 1, $V$7, IF(AE7 &gt; ($V$9 - $V$8), "", IF(ISBLANK(AF8), AE7 + $V$8, AF8)))</f>
        <v>135</v>
      </c>
      <c r="AF8" s="201">
        <v>135</v>
      </c>
      <c r="AG8" s="179"/>
      <c r="AH8" s="177">
        <f t="shared" ref="AH8:AH48" si="102">+ED356</f>
        <v>0</v>
      </c>
      <c r="AI8" s="166">
        <f t="shared" ref="AI8:AI48" si="103">+EF356</f>
        <v>0</v>
      </c>
      <c r="AJ8" s="179"/>
      <c r="AK8" s="177">
        <f t="shared" ref="AK8:AK48" si="104">+EG356</f>
        <v>0</v>
      </c>
      <c r="AL8" s="166">
        <f t="shared" ref="AL8:AL48" si="105">+EI356</f>
        <v>0</v>
      </c>
      <c r="AM8" s="179"/>
      <c r="AN8" s="177"/>
      <c r="AO8" s="166"/>
      <c r="AP8" s="179"/>
      <c r="AQ8" s="176">
        <f t="shared" ref="AQ8:AQ48" si="106">+ED99</f>
        <v>0</v>
      </c>
      <c r="AR8" s="165">
        <f t="shared" ref="AR8:AR48" si="107">+EF99</f>
        <v>0</v>
      </c>
      <c r="AS8" s="179"/>
      <c r="AT8" s="176">
        <f t="shared" ref="AT8:AT48" si="108">+EG99</f>
        <v>0</v>
      </c>
      <c r="AU8" s="165">
        <f t="shared" ref="AU8:AU48" si="109">+EI99</f>
        <v>0</v>
      </c>
      <c r="AV8" s="179"/>
      <c r="AW8" s="200">
        <f t="shared" si="16"/>
        <v>2</v>
      </c>
      <c r="AX8" s="170">
        <f t="shared" si="17"/>
        <v>135</v>
      </c>
      <c r="AY8" s="164"/>
      <c r="AZ8" s="215">
        <f t="shared" si="18"/>
        <v>0</v>
      </c>
      <c r="BA8" s="197"/>
      <c r="BB8" s="228">
        <f t="shared" si="19"/>
        <v>0</v>
      </c>
      <c r="BC8" s="161"/>
      <c r="BD8" s="240">
        <f t="shared" si="20"/>
        <v>0</v>
      </c>
      <c r="BE8" s="196"/>
      <c r="BF8" s="240">
        <f t="shared" si="21"/>
        <v>0</v>
      </c>
      <c r="BG8" s="196"/>
      <c r="BH8" s="189"/>
      <c r="BI8" s="227">
        <f t="shared" si="22"/>
        <v>0.16200000000000001</v>
      </c>
      <c r="BJ8" s="197"/>
      <c r="BK8" s="167">
        <f t="shared" si="23"/>
        <v>-0.34412999999999999</v>
      </c>
      <c r="BL8" s="161"/>
      <c r="BM8" s="240">
        <f t="shared" si="24"/>
        <v>0.16200000000000001</v>
      </c>
      <c r="BN8" s="196"/>
      <c r="BO8" s="240">
        <f t="shared" si="25"/>
        <v>0.19900000000000001</v>
      </c>
      <c r="BP8" s="196"/>
      <c r="BQ8" s="161"/>
      <c r="BR8" s="381"/>
      <c r="BS8" s="392">
        <f t="shared" si="26"/>
        <v>0</v>
      </c>
      <c r="BT8" s="376"/>
      <c r="BU8" s="393" t="str">
        <f t="shared" si="27"/>
        <v/>
      </c>
      <c r="BV8" s="310"/>
      <c r="BW8" s="311" t="str">
        <f t="shared" ref="BW8:BW47" si="110">+IF(OR(CB8="", CD8=""), "", IF($BU$1=FALSE, CD8+CB8, ""))</f>
        <v/>
      </c>
      <c r="BX8" s="372"/>
      <c r="BY8" s="440"/>
      <c r="BZ8" s="432">
        <v>75</v>
      </c>
      <c r="CA8" s="372"/>
      <c r="CB8" s="571" t="str">
        <f t="shared" si="28"/>
        <v/>
      </c>
      <c r="CC8" s="567">
        <f t="shared" si="29"/>
        <v>0</v>
      </c>
      <c r="CD8" s="814">
        <f t="shared" si="30"/>
        <v>135</v>
      </c>
      <c r="CE8" s="569">
        <f t="shared" si="31"/>
        <v>0</v>
      </c>
      <c r="CF8" s="574" t="str">
        <f t="shared" si="32"/>
        <v/>
      </c>
      <c r="CG8" s="372"/>
      <c r="CH8" s="435">
        <v>71</v>
      </c>
      <c r="CI8" s="436"/>
      <c r="CJ8" s="372"/>
      <c r="CK8" s="391" t="str">
        <f t="shared" ref="CK8:CK47" si="111">+IF(OR(CD8="", CF8=""), "", IF($BU$1=FALSE, CD8+CF8, ""))</f>
        <v/>
      </c>
      <c r="CL8" s="396" t="str">
        <f t="shared" ref="CL8" si="112">+IF(OR(CF9="", CB8="", CF9=0, CB8=0), "", IF($BU$1=FALSE, CB8-CF9,- CB8+CF9))</f>
        <v/>
      </c>
      <c r="CM8" s="370"/>
      <c r="CN8" s="161"/>
      <c r="CO8" s="161"/>
      <c r="CP8" s="161"/>
      <c r="CQ8" s="161"/>
      <c r="CR8" s="161"/>
      <c r="CS8" s="161"/>
      <c r="CT8" s="161"/>
      <c r="CU8" s="161"/>
      <c r="CV8" s="161"/>
      <c r="CW8" s="161"/>
      <c r="CX8" s="161"/>
      <c r="CY8" s="161"/>
      <c r="CZ8" s="161"/>
      <c r="DA8" s="161"/>
      <c r="DB8" s="161"/>
      <c r="DC8" s="161"/>
      <c r="DD8" s="161"/>
      <c r="DE8" s="161"/>
      <c r="DF8" s="161"/>
      <c r="DG8" s="161"/>
      <c r="DH8" s="161"/>
      <c r="DI8" s="161"/>
      <c r="DJ8" s="1006"/>
      <c r="DK8" s="242">
        <f t="shared" si="33"/>
        <v>0</v>
      </c>
      <c r="DL8" s="217"/>
      <c r="DM8" s="490">
        <f t="shared" si="34"/>
        <v>0</v>
      </c>
      <c r="DN8" s="242">
        <f t="shared" si="35"/>
        <v>0</v>
      </c>
      <c r="DO8" s="243">
        <f t="shared" si="36"/>
        <v>0</v>
      </c>
      <c r="DP8" s="217"/>
      <c r="DQ8" s="252">
        <f>IF(OR(AE8 = "", AK8 = ""), "",
-(EI311 * AK8 * 100))</f>
        <v>0</v>
      </c>
      <c r="DR8" s="217"/>
      <c r="DS8" s="242">
        <f t="shared" si="38"/>
        <v>0</v>
      </c>
      <c r="DT8" s="242">
        <f t="shared" si="39"/>
        <v>0</v>
      </c>
      <c r="DU8" s="244">
        <f t="shared" si="40"/>
        <v>0</v>
      </c>
      <c r="DV8" s="217"/>
      <c r="DW8" s="428">
        <f>+IF(OR(AE8 = "", AND(AH8 = "", AK8 = "")), "",IFERROR(+AH8 * CallDelta($AG$1,AE8,($BM$1/365), $V$15, $AZ$1, $V$17), 0) + IFERROR(AK8 * Putdelta($AG$1,AE8,($BM$1/365), $V$15, $AZ$1, $V$17), 0))</f>
        <v>0</v>
      </c>
      <c r="DX8" s="245">
        <f>+IF(OR(AE8 = "", AND(AH8 = "", AK8 = "")), "",IFERROR(+AH8 * OptionGamma($AG$1,AE8,($BM$1/365), $V$15, $AZ$1, $V$17), 0) + IFERROR(AK8 * OptionGamma($AG$1,AE8,($BM$1/365), $V$15, $AZ$1, $V$17), 0))</f>
        <v>0</v>
      </c>
      <c r="DY8" s="161"/>
      <c r="DZ8" s="267">
        <f t="shared" si="41"/>
        <v>0</v>
      </c>
      <c r="EA8" s="217"/>
      <c r="EB8" s="267">
        <f t="shared" si="42"/>
        <v>0</v>
      </c>
      <c r="EC8" s="267">
        <f t="shared" si="43"/>
        <v>0</v>
      </c>
      <c r="ED8" s="247">
        <f t="shared" si="44"/>
        <v>0</v>
      </c>
      <c r="EE8" s="217"/>
      <c r="EF8" s="267">
        <f t="shared" si="45"/>
        <v>0</v>
      </c>
      <c r="EG8" s="217"/>
      <c r="EH8" s="267">
        <f t="shared" si="46"/>
        <v>0</v>
      </c>
      <c r="EI8" s="246">
        <f t="shared" si="47"/>
        <v>0</v>
      </c>
      <c r="EJ8" s="248">
        <f t="shared" si="48"/>
        <v>0</v>
      </c>
      <c r="EK8" s="217"/>
      <c r="EL8" s="251">
        <f>+IF(OR(AE8 = "", AND(AQ8 = "", AT8 = "")), "",IFERROR(+AQ8 * CallDelta($AG$1,AE8,($BM$1/365), $V$15, $AZ$1, $V$17), 0) + IFERROR(AT8 * Putdelta($AG$1,AE8,($BM$1/365), $V$15, $AZ$1, $V$17), 0))</f>
        <v>0</v>
      </c>
      <c r="EM8" s="249">
        <f>+IF(OR(AE8 = "", AND(AQ8 = "", AT8 = "")), "",IFERROR(+AQ8 * OptionGamma($AG$1,AE8,($BM$1/365), $V$15, $AZ$1, $V$17), 0) + IFERROR(AT8 * OptionGamma($AG$1,AE8,($BM$1/365), $V$15, $AZ$1, $V$17), 0))</f>
        <v>0</v>
      </c>
      <c r="EN8" s="451">
        <f t="shared" si="49"/>
        <v>3.814697265625E-3</v>
      </c>
      <c r="EO8" s="418">
        <f>+IF(AE8 = "", "",ImpliedCallVolatility($AG$1, $AE8,($BM$1/365), $V$15, $AZ8, $V$17) * 100)</f>
        <v>3.814697265625E-3</v>
      </c>
      <c r="EP8" s="418">
        <f>+IF(AE8 = "", "",ImpliedCallVolatility($AG$1, $AE8,($BM$1/365), $V$15, BD8, $V$17) * 100)</f>
        <v>3.814697265625E-3</v>
      </c>
      <c r="EQ8" s="418">
        <f>+IF(AE8 = "", "",ImpliedCallVolatility($AG$1, $AE8,($BM$1/365), $V$15, BF8, $V$17) * 100)</f>
        <v>3.814697265625E-3</v>
      </c>
      <c r="ER8" s="411" t="str">
        <f t="shared" si="50"/>
        <v/>
      </c>
      <c r="ES8" s="411" t="str">
        <f t="shared" si="51"/>
        <v/>
      </c>
      <c r="ET8" s="411" t="str">
        <f t="shared" si="52"/>
        <v/>
      </c>
      <c r="EU8" s="416">
        <f>IF($FC$1 = 1,
IF(AE8 = "", "",OptionGamma($AG$1,AE8,($BM$1/365), $V$15, $AZ$1, $V$17) * 1000),
IF($FC$1 = 2, IF(OR(AE8 = "", BD8 =  0), "",IF(AE8 &lt; $AG$1, (((AE8 * (1 - COMIS_ACCION)) / (($AG$1 * (1 + COMIS_ACCION)) - (BD8 * (1 - COMIS_OPCION)))) - 1) * 100 / $BM$1 * 365,((($AG$1 * (1 - COMIS_ACCION)) / (($AG$1 * (1 + COMIS_ACCION)) - (BD8 * (1 - COMIS_OPCION)))) - 1) * 100 / $BM$1 * 365))))</f>
        <v>3.6720731275018077E-2</v>
      </c>
      <c r="EV8" s="276">
        <f>+IF(AE8 = "", "",CallOption($AG$1, $AE8,($BM$1/365), $V$15, $AZ$1, $V$17))</f>
        <v>81.275207964087514</v>
      </c>
      <c r="EW8" s="271" t="str">
        <f t="shared" si="53"/>
        <v/>
      </c>
      <c r="EX8" s="272">
        <f t="shared" si="54"/>
        <v>73.482325800000012</v>
      </c>
      <c r="EY8" s="274">
        <f t="shared" si="55"/>
        <v>-75.817674199999985</v>
      </c>
      <c r="EZ8" s="272">
        <f t="shared" si="56"/>
        <v>-135.22869</v>
      </c>
      <c r="FA8" s="272">
        <f t="shared" si="57"/>
        <v>134.77131</v>
      </c>
      <c r="FB8" s="530">
        <f>+IF($FC$1 = 1, IF(AE8 = "", "",IFERROR( VLOOKUP(N8, PreciosCalls, 13, FALSE), 0)),
IF($FC$1 = 2,  IF(AE8 = "", "",OptionGamma($AG$1,AE8,($BM$1/365), $V$15, $AZ$1, $V$17) * 1000)))</f>
        <v>0</v>
      </c>
      <c r="FC8" s="530">
        <f>IF($FC$1 = 1, IF(AE8 = "", "",IFERROR( VLOOKUP(N8, PreciosCalls, 14, FALSE), 0)),
IF($FC$1 = 2, IF(AE8 = "", "",CallDelta($AG$1,AE8,($BM$1/365), $V$15, $AZ$1, $V$17) * 100)))</f>
        <v>0</v>
      </c>
      <c r="FD8" s="531">
        <f t="shared" si="58"/>
        <v>0</v>
      </c>
      <c r="FE8" s="530">
        <f t="shared" si="59"/>
        <v>0</v>
      </c>
      <c r="FF8" s="217"/>
      <c r="FG8" s="273" t="str">
        <f t="shared" si="60"/>
        <v/>
      </c>
      <c r="FH8" s="273" t="str">
        <f t="shared" si="61"/>
        <v/>
      </c>
      <c r="FI8" s="451">
        <f t="shared" si="62"/>
        <v>60.581207275390625</v>
      </c>
      <c r="FJ8" s="419">
        <f>+IF(AE8 = "", "",ImpliedPutVolatility($AG$1, $AE8,($BM$1/365), $V$15, BI8, $V$17) * 100)</f>
        <v>58.887481689453125</v>
      </c>
      <c r="FK8" s="419">
        <f>+IF(AE8 = "", "",ImpliedPutVolatility($AG$1, $AE8,($BM$1/365), $V$15, BM8, $V$17) * 100)</f>
        <v>58.887481689453125</v>
      </c>
      <c r="FL8" s="419">
        <f>+IF(AE8 = "", "",ImpliedPutVolatility($AG$1, $AE8,($BM$1/365), $V$15, BO8, $V$17) * 100)</f>
        <v>60.581207275390625</v>
      </c>
      <c r="FM8" s="415">
        <f t="shared" si="63"/>
        <v>0.16200000000000001</v>
      </c>
      <c r="FN8" s="415">
        <f t="shared" si="64"/>
        <v>0.16200000000000001</v>
      </c>
      <c r="FO8" s="415">
        <f t="shared" si="65"/>
        <v>0.19900000000000001</v>
      </c>
      <c r="FP8" s="417">
        <f>IF($FX$1=1, IF(AE8 = "", "",OptionGamma($AG$1,AE8,($BM$1/365), $V$15, $AZ$1, $V$17) * 1000),
IF($FX$1 = 2, IF(OR(AE8 = "", BM8 =  0), "",((BM8 * (1 - COMIS_OPCION)) / (AE8 * (1 + COMIS_ACCION))) * 100 / $BM$1 * 365)))</f>
        <v>3.6720731275018077E-2</v>
      </c>
      <c r="FQ8" s="289">
        <f>+IF(AE8 = "", "",PutOption($AG$1, $AE8,($BM$1/365), $V$15, $AZ$1, $V$17))</f>
        <v>2.4853987279611633E-3</v>
      </c>
      <c r="FR8" s="279"/>
      <c r="FS8" s="284">
        <f t="shared" si="66"/>
        <v>-75.817674199999985</v>
      </c>
      <c r="FT8" s="284">
        <f t="shared" si="67"/>
        <v>73.482325800000012</v>
      </c>
      <c r="FU8" s="280">
        <f t="shared" si="68"/>
        <v>-75.233837100000017</v>
      </c>
      <c r="FV8" s="279"/>
      <c r="FW8" s="287">
        <f>+IF($FX$1 = 1, IFERROR(VLOOKUP(P8, PreciosPuts, 13, FALSE), 0),
IF($FX$1 = 2, IF(AE8 = "", "",OptionGamma($AG$1,AE8,($BM$1/365), $V$15, $AZ$1, $V$17) * 1000)))</f>
        <v>300</v>
      </c>
      <c r="FX8" s="287">
        <f>+IF($FX$1=1, IF(AE8 = "", "",IFERROR(VLOOKUP(P8, PreciosPuts, 14, FALSE), 0)),
IF($FX$1=2, IF(AE8 = "", "",Putdelta($AG$1,AE8,($BM$1/365), $V$15, $AZ$1, $V$17) * 100)))</f>
        <v>0</v>
      </c>
      <c r="FY8" s="286">
        <f t="shared" si="69"/>
        <v>0.16977999999999999</v>
      </c>
      <c r="FZ8" s="287">
        <f t="shared" si="70"/>
        <v>5093.3999999999996</v>
      </c>
      <c r="GA8" s="217"/>
      <c r="GB8" s="281" t="str">
        <f t="shared" ref="GB8:GB12" si="113">+IF(OR(BM9=0, BO8=0), "", BM9 / BO8)</f>
        <v/>
      </c>
      <c r="GC8" s="281">
        <f t="shared" ref="GC8:GC12" si="114">+IF(OR(BM10=0, BO8=0), "", BM10 / BO8)</f>
        <v>1.0150753768844221</v>
      </c>
      <c r="GD8" s="217"/>
      <c r="GE8" s="303" t="str">
        <f t="shared" si="71"/>
        <v/>
      </c>
      <c r="GF8" s="292" t="str">
        <f t="shared" si="72"/>
        <v/>
      </c>
      <c r="GG8" s="293" t="str">
        <f t="shared" si="73"/>
        <v/>
      </c>
      <c r="GH8" s="294" t="str">
        <f>+IF(GF8 = "", "", RANK(GF8,$GF$7:$GF$47, 1))</f>
        <v/>
      </c>
      <c r="GI8" s="294">
        <v>2</v>
      </c>
      <c r="GJ8" s="217"/>
      <c r="GK8" s="305" t="str">
        <f t="shared" si="74"/>
        <v/>
      </c>
      <c r="GL8" s="299" t="str">
        <f t="shared" si="75"/>
        <v/>
      </c>
      <c r="GM8" s="300" t="str">
        <f t="shared" si="76"/>
        <v/>
      </c>
      <c r="GN8" s="225" t="str">
        <f>+IF(GL8 = "", "", RANK(GL8,$GL$7:$GL$47, 0))</f>
        <v/>
      </c>
      <c r="GO8" s="225">
        <v>2</v>
      </c>
      <c r="GP8" s="217"/>
      <c r="GQ8" s="217"/>
      <c r="GR8" s="401" t="str">
        <f t="shared" si="77"/>
        <v/>
      </c>
      <c r="GT8" s="282" t="str">
        <f t="shared" si="78"/>
        <v/>
      </c>
      <c r="GU8" s="282" t="str">
        <f t="shared" si="79"/>
        <v/>
      </c>
      <c r="GV8" s="282" t="str">
        <f t="shared" si="80"/>
        <v/>
      </c>
      <c r="GW8" s="282" t="str">
        <f t="shared" si="81"/>
        <v/>
      </c>
      <c r="GX8" s="282" t="str">
        <f t="shared" si="82"/>
        <v/>
      </c>
      <c r="GY8" s="282" t="str">
        <f t="shared" si="83"/>
        <v/>
      </c>
      <c r="GZ8" s="282" t="str">
        <f t="shared" ref="GZ8:GZ47" si="115">IFERROR(IF( AND(BF1 &lt;&gt; "", BF1 &lt;&gt; 0, BD8 &lt;&gt; "", BD8 &lt;&gt; 0, BF15 &lt;&gt; "", BF15 &lt;&gt; 0),
-(BF1 * (1 / (AX15 - AX1) * ABS(AX15 - AX8))) * (1 + COMIS_OPCION) + (BD8 * 1) * (1 - COMIS_OPCION)
- BF15 * (1 / (AX15 - AX1) * ABS(AX1 - AX8)) * (1 + COMIS_OPCION), ""), "")</f>
        <v/>
      </c>
      <c r="HA8" s="282" t="str">
        <f t="shared" si="84"/>
        <v/>
      </c>
      <c r="HB8" s="282" t="str">
        <f t="shared" ref="HB8:HB47" si="116">IFERROR(IF( AND(BF6 &lt;&gt; "", BF6 &lt;&gt; 0, BD8 &lt;&gt; "", BD8 &lt;&gt; 0, BF9 &lt;&gt; "", BF9 &lt;&gt; 0),
-(BF6 * (1 / (AX9 - AX6) * ABS(AX9 - AX8))) * (1 + COMIS_OPCION)
+ BD8 * (1 / (AX9 - AX6) * ABS(AX9 - AX8)) * (1 - COMIS_OPCION)
+ BD8 * (1 / (AX9 - AX6) * ABS(AX6 - AX8)) * (1 - COMIS_OPCION)
- BF9 * (1 / (AX9 - AX6) * ABS(AX6 - AX8)) * (1 + COMIS_OPCION), ""), "")</f>
        <v/>
      </c>
      <c r="HC8" s="607" t="str">
        <f t="shared" si="85"/>
        <v/>
      </c>
      <c r="HD8" s="282" t="str">
        <f t="shared" si="86"/>
        <v/>
      </c>
      <c r="HE8" s="282">
        <f t="shared" si="87"/>
        <v>-3.8240930000000006E-2</v>
      </c>
      <c r="HF8" s="282" t="str">
        <f t="shared" si="88"/>
        <v/>
      </c>
      <c r="HG8" s="217"/>
      <c r="HH8" s="282" t="str">
        <f t="shared" si="89"/>
        <v/>
      </c>
      <c r="HI8" s="282" t="str">
        <f t="shared" si="90"/>
        <v/>
      </c>
      <c r="HJ8" s="282"/>
      <c r="HK8" s="282"/>
      <c r="HL8" s="217"/>
      <c r="HM8" s="420"/>
      <c r="HN8" s="420"/>
      <c r="HO8" s="420"/>
      <c r="HP8" s="420"/>
      <c r="HQ8" s="282" t="str">
        <f t="shared" si="91"/>
        <v/>
      </c>
      <c r="HR8" s="420"/>
      <c r="HS8" s="420"/>
      <c r="HT8" s="420"/>
      <c r="HU8" s="420"/>
      <c r="HV8" s="420"/>
      <c r="HW8" s="420"/>
      <c r="HX8" s="425"/>
      <c r="HY8" s="338"/>
      <c r="HZ8" s="338"/>
      <c r="IA8" s="161"/>
      <c r="IB8" s="161"/>
      <c r="IC8" s="162"/>
      <c r="ID8" s="162"/>
      <c r="IE8" s="49"/>
      <c r="IF8" s="55"/>
      <c r="IG8" s="58"/>
      <c r="IH8" s="545">
        <f t="shared" ref="IH8:IH47" si="117">+IF(IK8 &lt;&gt; "", IF($Y$50 = TRUE, IK8, IL8*100), "")</f>
        <v>-35.606963987598384</v>
      </c>
      <c r="II8" s="547">
        <f>-$IJ$21 + IFERROR(MATCH(II7, $IK$7:$IK$47, 1), 1)</f>
        <v>-8</v>
      </c>
      <c r="IJ8" s="146">
        <v>2</v>
      </c>
      <c r="IK8" s="545">
        <f t="shared" si="92"/>
        <v>135</v>
      </c>
      <c r="IL8" s="106">
        <f t="shared" si="93"/>
        <v>-0.35606963987598383</v>
      </c>
      <c r="IM8" s="110">
        <f t="shared" si="94"/>
        <v>135</v>
      </c>
      <c r="IN8" s="111">
        <f t="shared" ref="IN8:IN35" si="118">+IF(IL8 = "", "", SUM(IO8:KD8) + $CP$6)</f>
        <v>-46515.23875000004</v>
      </c>
      <c r="IO8" s="50">
        <f t="shared" si="95"/>
        <v>0</v>
      </c>
      <c r="IP8" s="50">
        <f t="shared" si="95"/>
        <v>0</v>
      </c>
      <c r="IQ8" s="50">
        <f t="shared" si="95"/>
        <v>0</v>
      </c>
      <c r="IR8" s="50">
        <f t="shared" si="95"/>
        <v>0</v>
      </c>
      <c r="IS8" s="50">
        <f t="shared" si="95"/>
        <v>0</v>
      </c>
      <c r="IT8" s="50">
        <f t="shared" si="95"/>
        <v>0</v>
      </c>
      <c r="IU8" s="50">
        <f t="shared" si="95"/>
        <v>0</v>
      </c>
      <c r="IV8" s="50">
        <f t="shared" si="95"/>
        <v>0</v>
      </c>
      <c r="IW8" s="50">
        <f t="shared" si="95"/>
        <v>0</v>
      </c>
      <c r="IX8" s="50">
        <f t="shared" si="95"/>
        <v>0</v>
      </c>
      <c r="IY8" s="50">
        <f t="shared" si="96"/>
        <v>0</v>
      </c>
      <c r="IZ8" s="50">
        <f t="shared" si="96"/>
        <v>0</v>
      </c>
      <c r="JA8" s="50">
        <f t="shared" si="96"/>
        <v>0</v>
      </c>
      <c r="JB8" s="50">
        <f t="shared" si="96"/>
        <v>0</v>
      </c>
      <c r="JC8" s="50">
        <f t="shared" si="96"/>
        <v>0</v>
      </c>
      <c r="JD8" s="50">
        <f t="shared" si="96"/>
        <v>0</v>
      </c>
      <c r="JE8" s="50">
        <f t="shared" si="96"/>
        <v>0</v>
      </c>
      <c r="JF8" s="50">
        <f t="shared" si="96"/>
        <v>0</v>
      </c>
      <c r="JG8" s="50">
        <f t="shared" si="96"/>
        <v>0</v>
      </c>
      <c r="JH8" s="50">
        <f t="shared" si="96"/>
        <v>0</v>
      </c>
      <c r="JI8" s="50">
        <f t="shared" si="97"/>
        <v>0</v>
      </c>
      <c r="JJ8" s="50">
        <f t="shared" si="97"/>
        <v>0</v>
      </c>
      <c r="JK8" s="50">
        <f t="shared" si="97"/>
        <v>0</v>
      </c>
      <c r="JL8" s="50">
        <f t="shared" si="97"/>
        <v>0</v>
      </c>
      <c r="JM8" s="50">
        <f t="shared" si="97"/>
        <v>0</v>
      </c>
      <c r="JN8" s="50">
        <f t="shared" si="97"/>
        <v>0</v>
      </c>
      <c r="JO8" s="50">
        <f t="shared" si="97"/>
        <v>0</v>
      </c>
      <c r="JP8" s="50">
        <f t="shared" si="97"/>
        <v>0</v>
      </c>
      <c r="JQ8" s="50">
        <f t="shared" si="97"/>
        <v>0</v>
      </c>
      <c r="JR8" s="50">
        <f t="shared" si="97"/>
        <v>0</v>
      </c>
      <c r="JS8" s="50">
        <f t="shared" si="98"/>
        <v>0</v>
      </c>
      <c r="JT8" s="50">
        <f t="shared" si="98"/>
        <v>0</v>
      </c>
      <c r="JU8" s="50" t="str">
        <f t="shared" si="98"/>
        <v/>
      </c>
      <c r="JV8" s="50" t="str">
        <f t="shared" si="98"/>
        <v/>
      </c>
      <c r="JW8" s="50" t="str">
        <f t="shared" si="98"/>
        <v/>
      </c>
      <c r="JX8" s="50" t="str">
        <f t="shared" si="98"/>
        <v/>
      </c>
      <c r="JY8" s="50" t="str">
        <f t="shared" si="98"/>
        <v/>
      </c>
      <c r="JZ8" s="50" t="str">
        <f t="shared" si="98"/>
        <v/>
      </c>
      <c r="KA8" s="50" t="str">
        <f t="shared" si="98"/>
        <v/>
      </c>
      <c r="KB8" s="50" t="str">
        <f t="shared" si="98"/>
        <v/>
      </c>
      <c r="KC8" s="50" t="str">
        <f t="shared" si="98"/>
        <v/>
      </c>
      <c r="KD8" s="50" t="str">
        <f t="shared" si="98"/>
        <v/>
      </c>
    </row>
    <row r="9" spans="1:290" s="144" customFormat="1" ht="15" customHeight="1" thickBot="1">
      <c r="B9" s="146">
        <v>3</v>
      </c>
      <c r="C9" s="121" t="str">
        <f t="shared" si="99"/>
        <v>GFGC140.AB</v>
      </c>
      <c r="D9" s="121" t="str">
        <f t="shared" si="100"/>
        <v>GFGV140.AB</v>
      </c>
      <c r="E9" s="122">
        <f t="shared" si="1"/>
        <v>140</v>
      </c>
      <c r="F9" s="123" t="str">
        <f t="shared" si="2"/>
        <v/>
      </c>
      <c r="G9" s="123" t="str">
        <f t="shared" si="3"/>
        <v/>
      </c>
      <c r="H9" s="124" t="str">
        <f t="shared" si="4"/>
        <v/>
      </c>
      <c r="I9" s="124" t="str">
        <f t="shared" si="5"/>
        <v/>
      </c>
      <c r="J9" s="124" t="str">
        <f t="shared" si="6"/>
        <v/>
      </c>
      <c r="K9" s="124" t="str">
        <f t="shared" si="7"/>
        <v/>
      </c>
      <c r="M9" s="158">
        <f t="shared" si="8"/>
        <v>12</v>
      </c>
      <c r="N9" s="121" t="str">
        <f t="shared" si="9"/>
        <v>GFGC140.AB</v>
      </c>
      <c r="O9" s="158">
        <f t="shared" si="10"/>
        <v>12</v>
      </c>
      <c r="P9" s="121" t="str">
        <f t="shared" si="11"/>
        <v>GFGV140.AB</v>
      </c>
      <c r="R9" s="159"/>
      <c r="S9" s="160" t="str">
        <f t="shared" si="12"/>
        <v/>
      </c>
      <c r="U9" s="234" t="s">
        <v>63</v>
      </c>
      <c r="V9" s="131">
        <v>360</v>
      </c>
      <c r="X9" s="200">
        <v>3</v>
      </c>
      <c r="Y9" s="546">
        <f t="shared" si="13"/>
        <v>-33.222036727879797</v>
      </c>
      <c r="Z9" s="540">
        <f t="shared" si="14"/>
        <v>-46515.23875000004</v>
      </c>
      <c r="AA9" s="179"/>
      <c r="AB9" s="540">
        <f t="shared" si="15"/>
        <v>0</v>
      </c>
      <c r="AC9" s="161"/>
      <c r="AD9" s="200">
        <v>3</v>
      </c>
      <c r="AE9" s="825">
        <f t="shared" si="101"/>
        <v>140</v>
      </c>
      <c r="AF9" s="201"/>
      <c r="AG9" s="179"/>
      <c r="AH9" s="177">
        <f t="shared" si="102"/>
        <v>0</v>
      </c>
      <c r="AI9" s="166">
        <f t="shared" si="103"/>
        <v>0</v>
      </c>
      <c r="AJ9" s="179"/>
      <c r="AK9" s="177">
        <f t="shared" si="104"/>
        <v>0</v>
      </c>
      <c r="AL9" s="166">
        <f t="shared" si="105"/>
        <v>0</v>
      </c>
      <c r="AM9" s="179"/>
      <c r="AN9" s="177"/>
      <c r="AO9" s="166"/>
      <c r="AP9" s="179"/>
      <c r="AQ9" s="176">
        <f t="shared" si="106"/>
        <v>0</v>
      </c>
      <c r="AR9" s="165">
        <f t="shared" si="107"/>
        <v>0</v>
      </c>
      <c r="AS9" s="179"/>
      <c r="AT9" s="176">
        <f t="shared" si="108"/>
        <v>0</v>
      </c>
      <c r="AU9" s="165">
        <f t="shared" si="109"/>
        <v>0</v>
      </c>
      <c r="AV9" s="179"/>
      <c r="AW9" s="200">
        <f t="shared" si="16"/>
        <v>3</v>
      </c>
      <c r="AX9" s="170">
        <f t="shared" si="17"/>
        <v>140</v>
      </c>
      <c r="AY9" s="164"/>
      <c r="AZ9" s="215">
        <f t="shared" si="18"/>
        <v>0</v>
      </c>
      <c r="BA9" s="197"/>
      <c r="BB9" s="228">
        <f t="shared" si="19"/>
        <v>0</v>
      </c>
      <c r="BC9" s="161"/>
      <c r="BD9" s="240">
        <f t="shared" si="20"/>
        <v>0</v>
      </c>
      <c r="BE9" s="196"/>
      <c r="BF9" s="240">
        <f t="shared" si="21"/>
        <v>0</v>
      </c>
      <c r="BG9" s="196"/>
      <c r="BH9" s="189"/>
      <c r="BI9" s="227">
        <f t="shared" si="22"/>
        <v>0</v>
      </c>
      <c r="BJ9" s="197"/>
      <c r="BK9" s="167">
        <f t="shared" si="23"/>
        <v>0</v>
      </c>
      <c r="BL9" s="161"/>
      <c r="BM9" s="240">
        <f t="shared" si="24"/>
        <v>0</v>
      </c>
      <c r="BN9" s="196"/>
      <c r="BO9" s="240">
        <f t="shared" si="25"/>
        <v>0</v>
      </c>
      <c r="BP9" s="196"/>
      <c r="BQ9" s="161"/>
      <c r="BR9" s="381"/>
      <c r="BS9" s="392">
        <f>+IF(AE9 = "", "", IF($BU$1=FALSE, FE9, FZ9) )</f>
        <v>0</v>
      </c>
      <c r="BT9" s="376"/>
      <c r="BU9" s="393" t="str">
        <f>+IF(OR(CF9="", CB10="", CF9=0, CB10=0), "", IF($BU$1=FALSE, CF9-CB10, -CF9+CB10))</f>
        <v/>
      </c>
      <c r="BV9" s="310"/>
      <c r="BW9" s="311" t="str">
        <f t="shared" si="110"/>
        <v/>
      </c>
      <c r="BX9" s="372"/>
      <c r="BY9" s="440"/>
      <c r="BZ9" s="432">
        <v>61.703000000000003</v>
      </c>
      <c r="CA9" s="372"/>
      <c r="CB9" s="571" t="str">
        <f>+IF($BU$1=FALSE, IF(BD9=0, "", BD9), IF(BM9=0,"", BM9))</f>
        <v/>
      </c>
      <c r="CC9" s="567">
        <f>+IF(CD9 &lt;&gt; "", IF($BU$1=FALSE, VLOOKUP(N9, PreciosCalls, 2, FALSE), VLOOKUP(P9, PreciosPuts, 2, FALSE)), "")</f>
        <v>0</v>
      </c>
      <c r="CD9" s="814">
        <f t="shared" si="30"/>
        <v>140</v>
      </c>
      <c r="CE9" s="569">
        <f t="shared" si="31"/>
        <v>0</v>
      </c>
      <c r="CF9" s="574" t="str">
        <f>+IF($BU$1=FALSE, IF(BF9=0, "", BF9), IF(BO9=0,"", BO9))</f>
        <v/>
      </c>
      <c r="CG9" s="372"/>
      <c r="CH9" s="435">
        <v>62.448</v>
      </c>
      <c r="CI9" s="436"/>
      <c r="CJ9" s="372"/>
      <c r="CK9" s="391" t="str">
        <f t="shared" si="111"/>
        <v/>
      </c>
      <c r="CL9" s="396" t="str">
        <f t="shared" ref="CL9:CL12" si="119">+IF(OR(CF10="", CB9="", CF10=0, CB9=0), "", IF($BU$1=FALSE, CB9-CF10,- CB9+CF10))</f>
        <v/>
      </c>
      <c r="CM9" s="370"/>
      <c r="CN9" s="161"/>
      <c r="CO9" s="161"/>
      <c r="CP9" s="161"/>
      <c r="CQ9" s="161"/>
      <c r="CR9" s="161"/>
      <c r="CS9" s="161"/>
      <c r="CT9" s="161"/>
      <c r="CU9" s="161"/>
      <c r="CV9" s="161"/>
      <c r="CW9" s="161"/>
      <c r="CX9" s="161"/>
      <c r="CY9" s="161"/>
      <c r="CZ9" s="161"/>
      <c r="DA9" s="161"/>
      <c r="DB9" s="161"/>
      <c r="DC9" s="161"/>
      <c r="DD9" s="161"/>
      <c r="DE9" s="161"/>
      <c r="DF9" s="161"/>
      <c r="DG9" s="161"/>
      <c r="DH9" s="161"/>
      <c r="DI9" s="161"/>
      <c r="DJ9" s="1006"/>
      <c r="DK9" s="242">
        <f>IF(OR(AE9 = "", AH9 = ""), "", IF(AE9 &lt;&gt; $Z$1,
-(EF312 * AH9 * 100),
-(EF312 * AH9 * 1)  )  )</f>
        <v>0</v>
      </c>
      <c r="DL9" s="217"/>
      <c r="DM9" s="490">
        <f t="shared" si="34"/>
        <v>0</v>
      </c>
      <c r="DN9" s="242">
        <f t="shared" si="35"/>
        <v>0</v>
      </c>
      <c r="DO9" s="243">
        <f t="shared" si="36"/>
        <v>0</v>
      </c>
      <c r="DP9" s="217"/>
      <c r="DQ9" s="252">
        <f t="shared" ref="DQ9:DQ48" si="120">IF(OR(AE9 = "", AK9 = ""), "",
-(EI312 * AK9 * 100))</f>
        <v>0</v>
      </c>
      <c r="DR9" s="217"/>
      <c r="DS9" s="242">
        <f t="shared" si="38"/>
        <v>0</v>
      </c>
      <c r="DT9" s="242">
        <f t="shared" si="39"/>
        <v>0</v>
      </c>
      <c r="DU9" s="244">
        <f t="shared" si="40"/>
        <v>0</v>
      </c>
      <c r="DV9" s="217"/>
      <c r="DW9" s="428">
        <f>+IF(OR(AE9 = "", AND(AH9 = "", AK9 = "")), "",IFERROR(+AH9 * CallDelta($AG$1,AE9,($BM$1/365), $V$15, $AZ$1, $V$17), 0) + IFERROR(AK9 * Putdelta($AG$1,AE9,($BM$1/365), $V$15, $AZ$1, $V$17), 0))</f>
        <v>0</v>
      </c>
      <c r="DX9" s="245">
        <f>+IF(OR(AE9 = "", AND(AH9 = "", AK9 = "")), "",IFERROR(+AH9 * OptionGamma($AG$1,AE9,($BM$1/365), $V$15, $AZ$1, $V$17), 0) + IFERROR(AK9 * OptionGamma($AG$1,AE9,($BM$1/365), $V$15, $AZ$1, $V$17), 0))</f>
        <v>0</v>
      </c>
      <c r="DY9" s="161"/>
      <c r="DZ9" s="267">
        <f t="shared" si="41"/>
        <v>0</v>
      </c>
      <c r="EA9" s="217"/>
      <c r="EB9" s="267">
        <f t="shared" si="42"/>
        <v>0</v>
      </c>
      <c r="EC9" s="267">
        <f t="shared" si="43"/>
        <v>0</v>
      </c>
      <c r="ED9" s="247">
        <f t="shared" si="44"/>
        <v>0</v>
      </c>
      <c r="EE9" s="217"/>
      <c r="EF9" s="267">
        <f t="shared" si="45"/>
        <v>0</v>
      </c>
      <c r="EG9" s="217"/>
      <c r="EH9" s="267">
        <f t="shared" si="46"/>
        <v>0</v>
      </c>
      <c r="EI9" s="246">
        <f t="shared" si="47"/>
        <v>0</v>
      </c>
      <c r="EJ9" s="248">
        <f t="shared" si="48"/>
        <v>0</v>
      </c>
      <c r="EK9" s="217"/>
      <c r="EL9" s="251">
        <f>+IF(OR(AE9 = "", AND(AQ9 = "", AT9 = "")), "",IFERROR(+AQ9 * CallDelta($AG$1,AE9,($BM$1/365), $V$15, $AZ$1, $V$17), 0) + IFERROR(AT9 * Putdelta($AG$1,AE9,($BM$1/365), $V$15, $AZ$1, $V$17), 0))</f>
        <v>0</v>
      </c>
      <c r="EM9" s="249">
        <f>+IF(OR(AE9 = "", AND(AQ9 = "", AT9 = "")), "",IFERROR(+AQ9 * OptionGamma($AG$1,AE9,($BM$1/365), $V$15, $AZ$1, $V$17), 0) + IFERROR(AT9 * OptionGamma($AG$1,AE9,($BM$1/365), $V$15, $AZ$1, $V$17), 0))</f>
        <v>0</v>
      </c>
      <c r="EN9" s="451">
        <f t="shared" si="49"/>
        <v>3.814697265625E-3</v>
      </c>
      <c r="EO9" s="418">
        <f>+IF(AE9 = "", "",ImpliedCallVolatility($AG$1, $AE9,($BM$1/365), $V$15, $AZ9, $V$17) * 100)</f>
        <v>3.814697265625E-3</v>
      </c>
      <c r="EP9" s="418">
        <f>+IF(AE9 = "", "",ImpliedCallVolatility($AG$1, $AE9,($BM$1/365), $V$15, BD9, $V$17) * 100)</f>
        <v>3.814697265625E-3</v>
      </c>
      <c r="EQ9" s="418">
        <f>+IF(AE9 = "", "",ImpliedCallVolatility($AG$1, $AE9,($BM$1/365), $V$15, BF9, $V$17) * 100)</f>
        <v>3.814697265625E-3</v>
      </c>
      <c r="ER9" s="411" t="str">
        <f t="shared" si="50"/>
        <v/>
      </c>
      <c r="ES9" s="411" t="str">
        <f t="shared" si="51"/>
        <v/>
      </c>
      <c r="ET9" s="411" t="str">
        <f t="shared" si="52"/>
        <v/>
      </c>
      <c r="EU9" s="416">
        <f>IF($FC$1 = 1,
IF(AE9 = "", "",OptionGamma($AG$1,AE9,($BM$1/365), $V$15, $AZ$1, $V$17) * 1000),
IF($FC$1 = 2, IF(OR(AE9 = "", BD9 =  0), "",IF(AE9 &lt; $AG$1, (((AE9 * (1 - COMIS_ACCION)) / (($AG$1 * (1 + COMIS_ACCION)) - (BD9 * (1 - COMIS_OPCION)))) - 1) * 100 / $BM$1 * 365,((($AG$1 * (1 - COMIS_ACCION)) / (($AG$1 * (1 + COMIS_ACCION)) - (BD9 * (1 - COMIS_OPCION)))) - 1) * 100 / $BM$1 * 365))))</f>
        <v>8.3461003879727463E-2</v>
      </c>
      <c r="EV9" s="276">
        <f>+IF(AE9 = "", "",CallOption($AG$1, $AE9,($BM$1/365), $V$15, $AZ$1, $V$17))</f>
        <v>76.524415477857843</v>
      </c>
      <c r="EW9" s="271" t="str">
        <f t="shared" si="53"/>
        <v/>
      </c>
      <c r="EX9" s="272">
        <f t="shared" si="54"/>
        <v>68.465385800000021</v>
      </c>
      <c r="EY9" s="274">
        <f t="shared" si="55"/>
        <v>-70.834614199999976</v>
      </c>
      <c r="EZ9" s="272">
        <f t="shared" si="56"/>
        <v>-140.23716000000002</v>
      </c>
      <c r="FA9" s="272">
        <f t="shared" si="57"/>
        <v>139.76283999999998</v>
      </c>
      <c r="FB9" s="530">
        <f>+IF($FC$1 = 1, IF(AE9 = "", "",IFERROR( VLOOKUP(N9, PreciosCalls, 13, FALSE), 0)),
IF($FC$1 = 2,  IF(AE9 = "", "",OptionGamma($AG$1,AE9,($BM$1/365), $V$15, $AZ$1, $V$17) * 1000)))</f>
        <v>0</v>
      </c>
      <c r="FC9" s="530">
        <f>IF($FC$1 = 1, IF(AE9 = "", "",IFERROR( VLOOKUP(N9, PreciosCalls, 14, FALSE), 0)),
IF($FC$1 = 2, IF(AE9 = "", "",CallDelta($AG$1,AE9,($BM$1/365), $V$15, $AZ$1, $V$17) * 100)))</f>
        <v>0</v>
      </c>
      <c r="FD9" s="531">
        <f t="shared" si="58"/>
        <v>0</v>
      </c>
      <c r="FE9" s="530">
        <f t="shared" si="59"/>
        <v>0</v>
      </c>
      <c r="FF9" s="217"/>
      <c r="FG9" s="273" t="str">
        <f t="shared" si="60"/>
        <v/>
      </c>
      <c r="FH9" s="273" t="str">
        <f t="shared" si="61"/>
        <v/>
      </c>
      <c r="FI9" s="451">
        <f t="shared" si="62"/>
        <v>3.238677978515625</v>
      </c>
      <c r="FJ9" s="419">
        <f>+IF(AE9 = "", "",ImpliedPutVolatility($AG$1, $AE9,($BM$1/365), $V$15, BI9, $V$17) * 100)</f>
        <v>3.238677978515625</v>
      </c>
      <c r="FK9" s="419">
        <f>+IF(AE9 = "", "",ImpliedPutVolatility($AG$1, $AE9,($BM$1/365), $V$15, BM9, $V$17) * 100)</f>
        <v>3.238677978515625</v>
      </c>
      <c r="FL9" s="419">
        <f>+IF(AE9 = "", "",ImpliedPutVolatility($AG$1, $AE9,($BM$1/365), $V$15, BO9, $V$17) * 100)</f>
        <v>3.238677978515625</v>
      </c>
      <c r="FM9" s="415" t="str">
        <f t="shared" si="63"/>
        <v/>
      </c>
      <c r="FN9" s="415" t="str">
        <f t="shared" si="64"/>
        <v/>
      </c>
      <c r="FO9" s="415" t="str">
        <f t="shared" si="65"/>
        <v/>
      </c>
      <c r="FP9" s="417">
        <f>IF($FX$1=1, IF(AE9 = "", "",OptionGamma($AG$1,AE9,($BM$1/365), $V$15, $AZ$1, $V$17) * 1000),
IF($FX$1 = 2, IF(OR(AE9 = "", BM9 =  0), "",((BM9 * (1 - COMIS_OPCION)) / (AE9 * (1 + COMIS_ACCION))) * 100 / $BM$1 * 365)))</f>
        <v>8.3461003879727463E-2</v>
      </c>
      <c r="FQ9" s="289">
        <f>+IF(AE9 = "", "",PutOption($AG$1, $AE9,($BM$1/365), $V$15, $AZ$1, $V$17))</f>
        <v>6.4068915590446696E-3</v>
      </c>
      <c r="FR9" s="279"/>
      <c r="FS9" s="284">
        <f t="shared" si="66"/>
        <v>-70.834614199999976</v>
      </c>
      <c r="FT9" s="284">
        <f t="shared" si="67"/>
        <v>68.465385800000021</v>
      </c>
      <c r="FU9" s="280">
        <f t="shared" si="68"/>
        <v>-70.242307100000005</v>
      </c>
      <c r="FV9" s="279"/>
      <c r="FW9" s="287">
        <f>+IF($FX$1 = 1, IFERROR(VLOOKUP(P9, PreciosPuts, 13, FALSE), 0),
IF($FX$1 = 2, IF(AE9 = "", "",OptionGamma($AG$1,AE9,($BM$1/365), $V$15, $AZ$1, $V$17) * 1000)))</f>
        <v>0</v>
      </c>
      <c r="FX9" s="287">
        <f>+IF($FX$1=1, IF(AE9 = "", "",IFERROR(VLOOKUP(P9, PreciosPuts, 14, FALSE), 0)),
IF($FX$1=2, IF(AE9 = "", "",Putdelta($AG$1,AE9,($BM$1/365), $V$15, $AZ$1, $V$17) * 100)))</f>
        <v>0</v>
      </c>
      <c r="FY9" s="286">
        <f t="shared" si="69"/>
        <v>0</v>
      </c>
      <c r="FZ9" s="287">
        <f t="shared" si="70"/>
        <v>0</v>
      </c>
      <c r="GA9" s="217"/>
      <c r="GB9" s="281" t="str">
        <f t="shared" si="113"/>
        <v/>
      </c>
      <c r="GC9" s="281" t="str">
        <f t="shared" si="114"/>
        <v/>
      </c>
      <c r="GD9" s="217"/>
      <c r="GE9" s="303" t="str">
        <f t="shared" si="71"/>
        <v/>
      </c>
      <c r="GF9" s="292" t="str">
        <f t="shared" si="72"/>
        <v/>
      </c>
      <c r="GG9" s="293" t="str">
        <f t="shared" si="73"/>
        <v/>
      </c>
      <c r="GH9" s="294" t="str">
        <f>+IF(GF9 = "", "", RANK(GF9,$GF$7:$GF$47, 1))</f>
        <v/>
      </c>
      <c r="GI9" s="294">
        <v>3</v>
      </c>
      <c r="GJ9" s="217"/>
      <c r="GK9" s="305" t="str">
        <f t="shared" si="74"/>
        <v/>
      </c>
      <c r="GL9" s="299" t="str">
        <f t="shared" si="75"/>
        <v/>
      </c>
      <c r="GM9" s="300" t="str">
        <f t="shared" si="76"/>
        <v/>
      </c>
      <c r="GN9" s="225" t="str">
        <f t="shared" ref="GN9:GN47" si="121">+IF(GL9 = "", "", RANK(GL9,$GL$7:$GL$47, 0))</f>
        <v/>
      </c>
      <c r="GO9" s="225">
        <v>3</v>
      </c>
      <c r="GP9" s="217"/>
      <c r="GQ9" s="217"/>
      <c r="GR9" s="401" t="str">
        <f t="shared" si="77"/>
        <v/>
      </c>
      <c r="GT9" s="282" t="str">
        <f t="shared" si="78"/>
        <v/>
      </c>
      <c r="GU9" s="282" t="str">
        <f t="shared" si="79"/>
        <v/>
      </c>
      <c r="GV9" s="282" t="str">
        <f t="shared" si="80"/>
        <v/>
      </c>
      <c r="GW9" s="282" t="str">
        <f t="shared" si="81"/>
        <v/>
      </c>
      <c r="GX9" s="282" t="str">
        <f t="shared" si="82"/>
        <v/>
      </c>
      <c r="GY9" s="282" t="str">
        <f t="shared" si="83"/>
        <v/>
      </c>
      <c r="GZ9" s="282" t="str">
        <f t="shared" si="115"/>
        <v/>
      </c>
      <c r="HA9" s="282" t="str">
        <f t="shared" si="84"/>
        <v/>
      </c>
      <c r="HB9" s="282" t="str">
        <f t="shared" si="116"/>
        <v/>
      </c>
      <c r="HC9" s="607" t="str">
        <f t="shared" si="85"/>
        <v/>
      </c>
      <c r="HD9" s="282" t="str">
        <f t="shared" si="86"/>
        <v/>
      </c>
      <c r="HE9" s="282" t="str">
        <f t="shared" si="87"/>
        <v/>
      </c>
      <c r="HF9" s="282" t="str">
        <f t="shared" si="88"/>
        <v/>
      </c>
      <c r="HG9" s="217"/>
      <c r="HH9" s="282" t="str">
        <f t="shared" si="89"/>
        <v/>
      </c>
      <c r="HI9" s="282" t="str">
        <f t="shared" si="90"/>
        <v/>
      </c>
      <c r="HJ9" s="282"/>
      <c r="HK9" s="282"/>
      <c r="HL9" s="217"/>
      <c r="HM9" s="420"/>
      <c r="HN9" s="420"/>
      <c r="HO9" s="420"/>
      <c r="HP9" s="420"/>
      <c r="HQ9" s="282" t="str">
        <f t="shared" si="91"/>
        <v/>
      </c>
      <c r="HR9" s="420"/>
      <c r="HS9" s="420"/>
      <c r="HT9" s="420"/>
      <c r="HU9" s="420"/>
      <c r="HV9" s="420"/>
      <c r="HW9" s="420"/>
      <c r="HX9" s="425"/>
      <c r="HY9" s="338"/>
      <c r="HZ9" s="338"/>
      <c r="IA9" s="161"/>
      <c r="IB9" s="161"/>
      <c r="IC9" s="162"/>
      <c r="ID9" s="162"/>
      <c r="IE9" s="49"/>
      <c r="IF9" s="55"/>
      <c r="IG9" s="58"/>
      <c r="IH9" s="545">
        <f t="shared" si="117"/>
        <v>-33.222036727879797</v>
      </c>
      <c r="IJ9" s="146">
        <v>3</v>
      </c>
      <c r="IK9" s="545">
        <f t="shared" si="92"/>
        <v>140</v>
      </c>
      <c r="IL9" s="106">
        <f t="shared" si="93"/>
        <v>-0.332220367278798</v>
      </c>
      <c r="IM9" s="110">
        <f t="shared" si="94"/>
        <v>140</v>
      </c>
      <c r="IN9" s="111">
        <f t="shared" si="118"/>
        <v>-46515.23875000004</v>
      </c>
      <c r="IO9" s="50">
        <f t="shared" si="95"/>
        <v>0</v>
      </c>
      <c r="IP9" s="50">
        <f t="shared" si="95"/>
        <v>0</v>
      </c>
      <c r="IQ9" s="50">
        <f t="shared" si="95"/>
        <v>0</v>
      </c>
      <c r="IR9" s="50">
        <f t="shared" si="95"/>
        <v>0</v>
      </c>
      <c r="IS9" s="50">
        <f t="shared" si="95"/>
        <v>0</v>
      </c>
      <c r="IT9" s="50">
        <f t="shared" si="95"/>
        <v>0</v>
      </c>
      <c r="IU9" s="50">
        <f t="shared" si="95"/>
        <v>0</v>
      </c>
      <c r="IV9" s="50">
        <f t="shared" si="95"/>
        <v>0</v>
      </c>
      <c r="IW9" s="50">
        <f t="shared" si="95"/>
        <v>0</v>
      </c>
      <c r="IX9" s="50">
        <f t="shared" si="95"/>
        <v>0</v>
      </c>
      <c r="IY9" s="50">
        <f t="shared" si="96"/>
        <v>0</v>
      </c>
      <c r="IZ9" s="50">
        <f t="shared" si="96"/>
        <v>0</v>
      </c>
      <c r="JA9" s="50">
        <f t="shared" si="96"/>
        <v>0</v>
      </c>
      <c r="JB9" s="50">
        <f t="shared" si="96"/>
        <v>0</v>
      </c>
      <c r="JC9" s="50">
        <f t="shared" si="96"/>
        <v>0</v>
      </c>
      <c r="JD9" s="50">
        <f t="shared" si="96"/>
        <v>0</v>
      </c>
      <c r="JE9" s="50">
        <f t="shared" si="96"/>
        <v>0</v>
      </c>
      <c r="JF9" s="50">
        <f t="shared" si="96"/>
        <v>0</v>
      </c>
      <c r="JG9" s="50">
        <f t="shared" si="96"/>
        <v>0</v>
      </c>
      <c r="JH9" s="50">
        <f t="shared" si="96"/>
        <v>0</v>
      </c>
      <c r="JI9" s="50">
        <f t="shared" si="97"/>
        <v>0</v>
      </c>
      <c r="JJ9" s="50">
        <f t="shared" si="97"/>
        <v>0</v>
      </c>
      <c r="JK9" s="50">
        <f t="shared" si="97"/>
        <v>0</v>
      </c>
      <c r="JL9" s="50">
        <f t="shared" si="97"/>
        <v>0</v>
      </c>
      <c r="JM9" s="50">
        <f t="shared" si="97"/>
        <v>0</v>
      </c>
      <c r="JN9" s="50">
        <f t="shared" si="97"/>
        <v>0</v>
      </c>
      <c r="JO9" s="50">
        <f t="shared" si="97"/>
        <v>0</v>
      </c>
      <c r="JP9" s="50">
        <f t="shared" si="97"/>
        <v>0</v>
      </c>
      <c r="JQ9" s="50">
        <f t="shared" si="97"/>
        <v>0</v>
      </c>
      <c r="JR9" s="50">
        <f t="shared" si="97"/>
        <v>0</v>
      </c>
      <c r="JS9" s="50">
        <f t="shared" si="98"/>
        <v>0</v>
      </c>
      <c r="JT9" s="50">
        <f t="shared" si="98"/>
        <v>0</v>
      </c>
      <c r="JU9" s="50" t="str">
        <f t="shared" si="98"/>
        <v/>
      </c>
      <c r="JV9" s="50" t="str">
        <f t="shared" si="98"/>
        <v/>
      </c>
      <c r="JW9" s="50" t="str">
        <f t="shared" si="98"/>
        <v/>
      </c>
      <c r="JX9" s="50" t="str">
        <f t="shared" si="98"/>
        <v/>
      </c>
      <c r="JY9" s="50" t="str">
        <f t="shared" si="98"/>
        <v/>
      </c>
      <c r="JZ9" s="50" t="str">
        <f t="shared" si="98"/>
        <v/>
      </c>
      <c r="KA9" s="50" t="str">
        <f t="shared" si="98"/>
        <v/>
      </c>
      <c r="KB9" s="50" t="str">
        <f t="shared" si="98"/>
        <v/>
      </c>
      <c r="KC9" s="50" t="str">
        <f t="shared" si="98"/>
        <v/>
      </c>
      <c r="KD9" s="50" t="str">
        <f t="shared" si="98"/>
        <v/>
      </c>
    </row>
    <row r="10" spans="1:290" s="144" customFormat="1" ht="15" customHeight="1" thickBot="1">
      <c r="B10" s="146">
        <v>4</v>
      </c>
      <c r="C10" s="121" t="str">
        <f t="shared" si="99"/>
        <v>GFGC145.AB</v>
      </c>
      <c r="D10" s="121" t="str">
        <f t="shared" si="100"/>
        <v>GFGV145.AB</v>
      </c>
      <c r="E10" s="122">
        <f t="shared" si="1"/>
        <v>145</v>
      </c>
      <c r="F10" s="123" t="str">
        <f t="shared" si="2"/>
        <v/>
      </c>
      <c r="G10" s="123" t="str">
        <f t="shared" si="3"/>
        <v/>
      </c>
      <c r="H10" s="124" t="str">
        <f t="shared" si="4"/>
        <v/>
      </c>
      <c r="I10" s="124">
        <f t="shared" si="5"/>
        <v>0.21</v>
      </c>
      <c r="J10" s="124" t="str">
        <f t="shared" si="6"/>
        <v/>
      </c>
      <c r="K10" s="124" t="str">
        <f t="shared" si="7"/>
        <v/>
      </c>
      <c r="M10" s="158">
        <f t="shared" si="8"/>
        <v>12</v>
      </c>
      <c r="N10" s="121" t="str">
        <f t="shared" si="9"/>
        <v>GFGC145.AB</v>
      </c>
      <c r="O10" s="158">
        <f t="shared" si="10"/>
        <v>12</v>
      </c>
      <c r="P10" s="121" t="str">
        <f t="shared" si="11"/>
        <v>GFGV145.AB</v>
      </c>
      <c r="R10" s="159"/>
      <c r="S10" s="160" t="str">
        <f t="shared" si="12"/>
        <v/>
      </c>
      <c r="U10" s="234" t="s">
        <v>201</v>
      </c>
      <c r="V10" s="132">
        <f>((V9-V7) / V8) + 1 + 1</f>
        <v>47.6</v>
      </c>
      <c r="X10" s="226">
        <v>4</v>
      </c>
      <c r="Y10" s="546">
        <f t="shared" si="13"/>
        <v>-30.837109468161227</v>
      </c>
      <c r="Z10" s="540">
        <f t="shared" si="14"/>
        <v>-46515.23875000004</v>
      </c>
      <c r="AA10" s="179"/>
      <c r="AB10" s="540">
        <f t="shared" si="15"/>
        <v>0</v>
      </c>
      <c r="AC10" s="161"/>
      <c r="AD10" s="226">
        <v>4</v>
      </c>
      <c r="AE10" s="825">
        <f t="shared" si="101"/>
        <v>145</v>
      </c>
      <c r="AF10" s="201"/>
      <c r="AG10" s="179"/>
      <c r="AH10" s="177">
        <f t="shared" si="102"/>
        <v>0</v>
      </c>
      <c r="AI10" s="166">
        <f t="shared" si="103"/>
        <v>0</v>
      </c>
      <c r="AJ10" s="179"/>
      <c r="AK10" s="177">
        <f t="shared" si="104"/>
        <v>0</v>
      </c>
      <c r="AL10" s="166">
        <f t="shared" si="105"/>
        <v>0</v>
      </c>
      <c r="AM10" s="179"/>
      <c r="AN10" s="177"/>
      <c r="AO10" s="166"/>
      <c r="AP10" s="179"/>
      <c r="AQ10" s="176">
        <f>+ED101</f>
        <v>0</v>
      </c>
      <c r="AR10" s="165">
        <f t="shared" si="107"/>
        <v>0</v>
      </c>
      <c r="AS10" s="179"/>
      <c r="AT10" s="176">
        <f t="shared" si="108"/>
        <v>0</v>
      </c>
      <c r="AU10" s="165">
        <f t="shared" si="109"/>
        <v>0</v>
      </c>
      <c r="AV10" s="179"/>
      <c r="AW10" s="200">
        <f t="shared" si="16"/>
        <v>4</v>
      </c>
      <c r="AX10" s="170">
        <f t="shared" si="17"/>
        <v>145</v>
      </c>
      <c r="AY10" s="164"/>
      <c r="AZ10" s="215">
        <f t="shared" si="18"/>
        <v>0</v>
      </c>
      <c r="BA10" s="197"/>
      <c r="BB10" s="228">
        <f t="shared" si="19"/>
        <v>0</v>
      </c>
      <c r="BC10" s="161"/>
      <c r="BD10" s="240">
        <f t="shared" si="20"/>
        <v>0</v>
      </c>
      <c r="BE10" s="196"/>
      <c r="BF10" s="240">
        <f t="shared" si="21"/>
        <v>0</v>
      </c>
      <c r="BG10" s="196"/>
      <c r="BH10" s="189"/>
      <c r="BI10" s="227">
        <f t="shared" si="22"/>
        <v>0.21</v>
      </c>
      <c r="BJ10" s="197"/>
      <c r="BK10" s="167">
        <f t="shared" si="23"/>
        <v>-0.27585999999999999</v>
      </c>
      <c r="BL10" s="161"/>
      <c r="BM10" s="240">
        <f t="shared" si="24"/>
        <v>0.20200000000000001</v>
      </c>
      <c r="BN10" s="196"/>
      <c r="BO10" s="240">
        <f t="shared" si="25"/>
        <v>0.27400000000000002</v>
      </c>
      <c r="BP10" s="196"/>
      <c r="BQ10" s="161"/>
      <c r="BR10" s="381"/>
      <c r="BS10" s="392">
        <f t="shared" ref="BS10:BS47" si="122">+IF(AE10 = "", "", IF($BU$1=FALSE, FE10, FZ10) )</f>
        <v>0</v>
      </c>
      <c r="BT10" s="376"/>
      <c r="BU10" s="393" t="str">
        <f>+IF(OR(CF10="", CB11="", CF10=0, CB11=0), "", IF($BU$1=FALSE, CF10-CB11, -CF10+CB11))</f>
        <v/>
      </c>
      <c r="BV10" s="310"/>
      <c r="BW10" s="311" t="str">
        <f t="shared" si="110"/>
        <v/>
      </c>
      <c r="BX10" s="372"/>
      <c r="BY10" s="440"/>
      <c r="BZ10" s="432">
        <v>28.5</v>
      </c>
      <c r="CA10" s="372"/>
      <c r="CB10" s="572" t="str">
        <f>+IF($BU$1=FALSE, IF(BD10=0, "", BD10), IF(BM10=0,"", BM10))</f>
        <v/>
      </c>
      <c r="CC10" s="567">
        <f t="shared" si="29"/>
        <v>0</v>
      </c>
      <c r="CD10" s="814">
        <f t="shared" si="30"/>
        <v>145</v>
      </c>
      <c r="CE10" s="569">
        <f t="shared" si="31"/>
        <v>0</v>
      </c>
      <c r="CF10" s="574" t="str">
        <f t="shared" si="32"/>
        <v/>
      </c>
      <c r="CG10" s="372"/>
      <c r="CH10" s="435">
        <v>28</v>
      </c>
      <c r="CI10" s="436"/>
      <c r="CJ10" s="372"/>
      <c r="CK10" s="391" t="str">
        <f t="shared" si="111"/>
        <v/>
      </c>
      <c r="CL10" s="396" t="str">
        <f t="shared" si="119"/>
        <v/>
      </c>
      <c r="CM10" s="370"/>
      <c r="CN10" s="161"/>
      <c r="CO10" s="161"/>
      <c r="CP10" s="161"/>
      <c r="CQ10" s="161"/>
      <c r="CR10" s="161"/>
      <c r="CS10" s="161"/>
      <c r="CT10" s="161"/>
      <c r="CU10" s="161"/>
      <c r="CV10" s="161"/>
      <c r="CW10" s="161"/>
      <c r="CX10" s="161"/>
      <c r="CY10" s="161"/>
      <c r="CZ10" s="161"/>
      <c r="DA10" s="161"/>
      <c r="DB10" s="161"/>
      <c r="DC10" s="161"/>
      <c r="DD10" s="161"/>
      <c r="DE10" s="161"/>
      <c r="DF10" s="161"/>
      <c r="DG10" s="161"/>
      <c r="DH10" s="161"/>
      <c r="DI10" s="161"/>
      <c r="DJ10" s="214"/>
      <c r="DK10" s="242">
        <f t="shared" ref="DK10:DK48" si="123">IF(OR(AE10 = "", AH10 = ""), "", IF(AE10 &lt;&gt; $Z$1,
-(EF313 * AH10 * 100),
-(EF313 * AH10 * 1)  )  )</f>
        <v>0</v>
      </c>
      <c r="DL10" s="217"/>
      <c r="DM10" s="490">
        <f t="shared" si="34"/>
        <v>0</v>
      </c>
      <c r="DN10" s="242">
        <f t="shared" si="35"/>
        <v>0</v>
      </c>
      <c r="DO10" s="243">
        <f t="shared" si="36"/>
        <v>0</v>
      </c>
      <c r="DP10" s="217"/>
      <c r="DQ10" s="252">
        <f t="shared" si="120"/>
        <v>0</v>
      </c>
      <c r="DR10" s="217"/>
      <c r="DS10" s="242">
        <f t="shared" si="38"/>
        <v>0</v>
      </c>
      <c r="DT10" s="242">
        <f t="shared" si="39"/>
        <v>0</v>
      </c>
      <c r="DU10" s="244">
        <f t="shared" si="40"/>
        <v>0</v>
      </c>
      <c r="DV10" s="217"/>
      <c r="DW10" s="428">
        <f>+IF(OR(AE10 = "", AND(AH10 = "", AK10 = "")), "",IFERROR(+AH10 * CallDelta($AG$1,AE10,($BM$1/365), $V$15, $AZ$1, $V$17), 0) + IFERROR(AK10 * Putdelta($AG$1,AE10,($BM$1/365), $V$15, $AZ$1, $V$17), 0))</f>
        <v>0</v>
      </c>
      <c r="DX10" s="245">
        <f>+IF(OR(AE10 = "", AND(AH10 = "", AK10 = "")), "",IFERROR(+AH10 * OptionGamma($AG$1,AE10,($BM$1/365), $V$15, $AZ$1, $V$17), 0) + IFERROR(AK10 * OptionGamma($AG$1,AE10,($BM$1/365), $V$15, $AZ$1, $V$17), 0))</f>
        <v>0</v>
      </c>
      <c r="DY10" s="161"/>
      <c r="DZ10" s="267">
        <f t="shared" si="41"/>
        <v>0</v>
      </c>
      <c r="EA10" s="217"/>
      <c r="EB10" s="267">
        <f t="shared" si="42"/>
        <v>0</v>
      </c>
      <c r="EC10" s="267">
        <f t="shared" si="43"/>
        <v>0</v>
      </c>
      <c r="ED10" s="247">
        <f t="shared" si="44"/>
        <v>0</v>
      </c>
      <c r="EE10" s="217"/>
      <c r="EF10" s="267">
        <f t="shared" si="45"/>
        <v>0</v>
      </c>
      <c r="EG10" s="217"/>
      <c r="EH10" s="267">
        <f t="shared" si="46"/>
        <v>0</v>
      </c>
      <c r="EI10" s="246">
        <f t="shared" si="47"/>
        <v>0</v>
      </c>
      <c r="EJ10" s="248">
        <f t="shared" si="48"/>
        <v>0</v>
      </c>
      <c r="EK10" s="217"/>
      <c r="EL10" s="251">
        <f>+IF(OR(AE10 = "", AND(AQ10 = "", AT10 = "")), "",IFERROR(+AQ10 * CallDelta($AG$1,AE10,($BM$1/365), $V$15, $AZ$1, $V$17), 0) + IFERROR(AT10 * Putdelta($AG$1,AE10,($BM$1/365), $V$15, $AZ$1, $V$17), 0))</f>
        <v>0</v>
      </c>
      <c r="EM10" s="249">
        <f>+IF(OR(AE10 = "", AND(AQ10 = "", AT10 = "")), "",IFERROR(+AQ10 * OptionGamma($AG$1,AE10,($BM$1/365), $V$15, $AZ$1, $V$17), 0) + IFERROR(AT10 * OptionGamma($AG$1,AE10,($BM$1/365), $V$15, $AZ$1, $V$17), 0))</f>
        <v>0</v>
      </c>
      <c r="EN10" s="451">
        <f t="shared" si="49"/>
        <v>3.814697265625E-3</v>
      </c>
      <c r="EO10" s="418">
        <f>+IF(AE10 = "", "",ImpliedCallVolatility($AG$1, $AE10,($BM$1/365), $V$15, $AZ10, $V$17) * 100)</f>
        <v>3.814697265625E-3</v>
      </c>
      <c r="EP10" s="418">
        <f>+IF(AE10 = "", "",ImpliedCallVolatility($AG$1, $AE10,($BM$1/365), $V$15, BD10, $V$17) * 100)</f>
        <v>3.814697265625E-3</v>
      </c>
      <c r="EQ10" s="418">
        <f>+IF(AE10 = "", "",ImpliedCallVolatility($AG$1, $AE10,($BM$1/365), $V$15, BF10, $V$17) * 100)</f>
        <v>3.814697265625E-3</v>
      </c>
      <c r="ER10" s="411" t="str">
        <f t="shared" si="50"/>
        <v/>
      </c>
      <c r="ES10" s="411" t="str">
        <f t="shared" si="51"/>
        <v/>
      </c>
      <c r="ET10" s="411" t="str">
        <f t="shared" si="52"/>
        <v/>
      </c>
      <c r="EU10" s="416">
        <f>IF($FC$1 = 1,
IF(AE10 = "", "",OptionGamma($AG$1,AE10,($BM$1/365), $V$15, $AZ$1, $V$17) * 1000),
IF($FC$1 = 2, IF(OR(AE10 = "", BD10 =  0), "",IF(AE10 &lt; $AG$1, (((AE10 * (1 - COMIS_ACCION)) / (($AG$1 * (1 + COMIS_ACCION)) - (BD10 * (1 - COMIS_OPCION)))) - 1) * 100 / $BM$1 * 365,((($AG$1 * (1 - COMIS_ACCION)) / (($AG$1 * (1 + COMIS_ACCION)) - (BD10 * (1 - COMIS_OPCION)))) - 1) * 100 / $BM$1 * 365))))</f>
        <v>0.17381588071213719</v>
      </c>
      <c r="EV10" s="276">
        <f>+IF(AE10 = "", "",CallOption($AG$1, $AE10,($BM$1/365), $V$15, $AZ$1, $V$17))</f>
        <v>71.778462988899634</v>
      </c>
      <c r="EW10" s="271" t="str">
        <f t="shared" si="53"/>
        <v/>
      </c>
      <c r="EX10" s="272">
        <f t="shared" si="54"/>
        <v>63.44844580000003</v>
      </c>
      <c r="EY10" s="274">
        <f t="shared" si="55"/>
        <v>-65.851554199999967</v>
      </c>
      <c r="EZ10" s="272">
        <f t="shared" si="56"/>
        <v>-145.24563000000001</v>
      </c>
      <c r="FA10" s="272">
        <f t="shared" si="57"/>
        <v>144.75436999999999</v>
      </c>
      <c r="FB10" s="530">
        <f>+IF($FC$1 = 1, IF(AE10 = "", "",IFERROR( VLOOKUP(N10, PreciosCalls, 13, FALSE), 0)),
IF($FC$1 = 2,  IF(AE10 = "", "",OptionGamma($AG$1,AE10,($BM$1/365), $V$15, $AZ$1, $V$17) * 1000)))</f>
        <v>0</v>
      </c>
      <c r="FC10" s="530">
        <f>IF($FC$1 = 1, IF(AE10 = "", "",IFERROR( VLOOKUP(N10, PreciosCalls, 14, FALSE), 0)),
IF($FC$1 = 2, IF(AE10 = "", "",CallDelta($AG$1,AE10,($BM$1/365), $V$15, $AZ$1, $V$17) * 100)))</f>
        <v>0</v>
      </c>
      <c r="FD10" s="531">
        <f t="shared" si="58"/>
        <v>0</v>
      </c>
      <c r="FE10" s="530">
        <f t="shared" si="59"/>
        <v>0</v>
      </c>
      <c r="FF10" s="217"/>
      <c r="FG10" s="273" t="str">
        <f t="shared" si="60"/>
        <v/>
      </c>
      <c r="FH10" s="273" t="str">
        <f t="shared" si="61"/>
        <v/>
      </c>
      <c r="FI10" s="451">
        <f t="shared" si="62"/>
        <v>55.225372314453125</v>
      </c>
      <c r="FJ10" s="419">
        <f>+IF(AE10 = "", "",ImpliedPutVolatility($AG$1, $AE10,($BM$1/365), $V$15, BI10, $V$17) * 100)</f>
        <v>53.066253662109375</v>
      </c>
      <c r="FK10" s="419">
        <f>+IF(AE10 = "", "",ImpliedPutVolatility($AG$1, $AE10,($BM$1/365), $V$15, BM10, $V$17) * 100)</f>
        <v>52.768707275390625</v>
      </c>
      <c r="FL10" s="419">
        <f>+IF(AE10 = "", "",ImpliedPutVolatility($AG$1, $AE10,($BM$1/365), $V$15, BO10, $V$17) * 100)</f>
        <v>55.225372314453125</v>
      </c>
      <c r="FM10" s="415">
        <f t="shared" si="63"/>
        <v>0.21</v>
      </c>
      <c r="FN10" s="415">
        <f t="shared" si="64"/>
        <v>0.20200000000000001</v>
      </c>
      <c r="FO10" s="415">
        <f t="shared" si="65"/>
        <v>0.27400000000000002</v>
      </c>
      <c r="FP10" s="417">
        <f>IF($FX$1=1, IF(AE10 = "", "",OptionGamma($AG$1,AE10,($BM$1/365), $V$15, $AZ$1, $V$17) * 1000),
IF($FX$1 = 2, IF(OR(AE10 = "", BM10 =  0), "",((BM10 * (1 - COMIS_OPCION)) / (AE10 * (1 + COMIS_ACCION))) * 100 / $BM$1 * 365)))</f>
        <v>0.17381588071213719</v>
      </c>
      <c r="FQ10" s="289">
        <f>+IF(AE10 = "", "",PutOption($AG$1, $AE10,($BM$1/365), $V$15, $AZ$1, $V$17))</f>
        <v>1.5168381661560204E-2</v>
      </c>
      <c r="FR10" s="279"/>
      <c r="FS10" s="284">
        <f t="shared" si="66"/>
        <v>-65.851554199999967</v>
      </c>
      <c r="FT10" s="284">
        <f t="shared" si="67"/>
        <v>63.44844580000003</v>
      </c>
      <c r="FU10" s="280">
        <f t="shared" si="68"/>
        <v>-65.250777100000022</v>
      </c>
      <c r="FV10" s="279"/>
      <c r="FW10" s="287">
        <f>+IF($FX$1 = 1, IFERROR(VLOOKUP(P10, PreciosPuts, 13, FALSE), 0),
IF($FX$1 = 2, IF(AE10 = "", "",OptionGamma($AG$1,AE10,($BM$1/365), $V$15, $AZ$1, $V$17) * 1000)))</f>
        <v>195</v>
      </c>
      <c r="FX10" s="287">
        <f>+IF($FX$1=1, IF(AE10 = "", "",IFERROR(VLOOKUP(P10, PreciosPuts, 14, FALSE), 0)),
IF($FX$1=2, IF(AE10 = "", "",Putdelta($AG$1,AE10,($BM$1/365), $V$15, $AZ$1, $V$17) * 100)))</f>
        <v>0</v>
      </c>
      <c r="FY10" s="286">
        <f t="shared" si="69"/>
        <v>0.25822051282051284</v>
      </c>
      <c r="FZ10" s="287">
        <f t="shared" si="70"/>
        <v>5035.3</v>
      </c>
      <c r="GA10" s="217"/>
      <c r="GB10" s="281" t="str">
        <f t="shared" si="113"/>
        <v/>
      </c>
      <c r="GC10" s="281" t="str">
        <f t="shared" si="114"/>
        <v/>
      </c>
      <c r="GD10" s="217"/>
      <c r="GE10" s="303" t="str">
        <f t="shared" si="71"/>
        <v/>
      </c>
      <c r="GF10" s="292" t="str">
        <f t="shared" si="72"/>
        <v/>
      </c>
      <c r="GG10" s="293" t="str">
        <f t="shared" si="73"/>
        <v/>
      </c>
      <c r="GH10" s="294" t="str">
        <f t="shared" ref="GH10:GH47" si="124">+IF(GF10 = "", "", RANK(GF10,$GF$7:$GF$47, 1))</f>
        <v/>
      </c>
      <c r="GI10" s="294">
        <v>4</v>
      </c>
      <c r="GJ10" s="217"/>
      <c r="GK10" s="305" t="str">
        <f t="shared" si="74"/>
        <v/>
      </c>
      <c r="GL10" s="299" t="str">
        <f t="shared" si="75"/>
        <v/>
      </c>
      <c r="GM10" s="300" t="str">
        <f t="shared" si="76"/>
        <v/>
      </c>
      <c r="GN10" s="225" t="str">
        <f t="shared" si="121"/>
        <v/>
      </c>
      <c r="GO10" s="225">
        <v>4</v>
      </c>
      <c r="GP10" s="217"/>
      <c r="GQ10" s="217"/>
      <c r="GR10" s="401" t="str">
        <f t="shared" si="77"/>
        <v/>
      </c>
      <c r="GT10" s="282" t="str">
        <f t="shared" si="78"/>
        <v/>
      </c>
      <c r="GU10" s="282" t="str">
        <f t="shared" si="79"/>
        <v/>
      </c>
      <c r="GV10" s="282" t="str">
        <f t="shared" si="80"/>
        <v/>
      </c>
      <c r="GW10" s="282" t="str">
        <f t="shared" si="81"/>
        <v/>
      </c>
      <c r="GX10" s="282" t="str">
        <f t="shared" si="82"/>
        <v/>
      </c>
      <c r="GY10" s="282" t="str">
        <f t="shared" si="83"/>
        <v/>
      </c>
      <c r="GZ10" s="282" t="str">
        <f t="shared" si="115"/>
        <v/>
      </c>
      <c r="HA10" s="282" t="str">
        <f t="shared" si="84"/>
        <v/>
      </c>
      <c r="HB10" s="605" t="str">
        <f t="shared" si="116"/>
        <v/>
      </c>
      <c r="HC10" s="607" t="str">
        <f t="shared" si="85"/>
        <v/>
      </c>
      <c r="HD10" s="282" t="str">
        <f t="shared" si="86"/>
        <v/>
      </c>
      <c r="HE10" s="282" t="str">
        <f t="shared" si="87"/>
        <v/>
      </c>
      <c r="HF10" s="282" t="str">
        <f t="shared" si="88"/>
        <v/>
      </c>
      <c r="HG10" s="217"/>
      <c r="HH10" s="282" t="str">
        <f t="shared" si="89"/>
        <v/>
      </c>
      <c r="HI10" s="282" t="str">
        <f t="shared" si="90"/>
        <v/>
      </c>
      <c r="HJ10" s="282"/>
      <c r="HK10" s="282"/>
      <c r="HL10" s="217"/>
      <c r="HM10" s="420"/>
      <c r="HN10" s="420"/>
      <c r="HO10" s="420"/>
      <c r="HP10" s="420"/>
      <c r="HQ10" s="282" t="str">
        <f t="shared" si="91"/>
        <v/>
      </c>
      <c r="HR10" s="420"/>
      <c r="HS10" s="420"/>
      <c r="HT10" s="420"/>
      <c r="HU10" s="420"/>
      <c r="HV10" s="420"/>
      <c r="HW10" s="420"/>
      <c r="HX10" s="425"/>
      <c r="HY10" s="338"/>
      <c r="HZ10" s="338"/>
      <c r="IA10" s="161"/>
      <c r="IB10" s="161"/>
      <c r="IC10" s="162"/>
      <c r="ID10" s="162"/>
      <c r="IE10" s="49"/>
      <c r="IF10" s="55"/>
      <c r="IG10" s="58"/>
      <c r="IH10" s="545">
        <f t="shared" si="117"/>
        <v>-30.837109468161227</v>
      </c>
      <c r="II10" s="144">
        <f>+$AG$1 * ((1+0.02) ^ 15) + 0.01</f>
        <v>282.17129712965368</v>
      </c>
      <c r="IJ10" s="146">
        <v>4</v>
      </c>
      <c r="IK10" s="545">
        <f t="shared" si="92"/>
        <v>145</v>
      </c>
      <c r="IL10" s="106">
        <f t="shared" si="93"/>
        <v>-0.30837109468161228</v>
      </c>
      <c r="IM10" s="110">
        <f t="shared" si="94"/>
        <v>145</v>
      </c>
      <c r="IN10" s="111">
        <f t="shared" si="118"/>
        <v>-46515.23875000004</v>
      </c>
      <c r="IO10" s="50">
        <f t="shared" si="95"/>
        <v>0</v>
      </c>
      <c r="IP10" s="50">
        <f t="shared" si="95"/>
        <v>0</v>
      </c>
      <c r="IQ10" s="50">
        <f t="shared" si="95"/>
        <v>0</v>
      </c>
      <c r="IR10" s="50">
        <f t="shared" si="95"/>
        <v>0</v>
      </c>
      <c r="IS10" s="50">
        <f t="shared" si="95"/>
        <v>0</v>
      </c>
      <c r="IT10" s="50">
        <f t="shared" si="95"/>
        <v>0</v>
      </c>
      <c r="IU10" s="50">
        <f t="shared" si="95"/>
        <v>0</v>
      </c>
      <c r="IV10" s="50">
        <f t="shared" si="95"/>
        <v>0</v>
      </c>
      <c r="IW10" s="50">
        <f t="shared" si="95"/>
        <v>0</v>
      </c>
      <c r="IX10" s="50">
        <f t="shared" si="95"/>
        <v>0</v>
      </c>
      <c r="IY10" s="50">
        <f t="shared" si="96"/>
        <v>0</v>
      </c>
      <c r="IZ10" s="50">
        <f t="shared" si="96"/>
        <v>0</v>
      </c>
      <c r="JA10" s="50">
        <f t="shared" si="96"/>
        <v>0</v>
      </c>
      <c r="JB10" s="50">
        <f t="shared" si="96"/>
        <v>0</v>
      </c>
      <c r="JC10" s="50">
        <f t="shared" si="96"/>
        <v>0</v>
      </c>
      <c r="JD10" s="50">
        <f t="shared" si="96"/>
        <v>0</v>
      </c>
      <c r="JE10" s="50">
        <f t="shared" si="96"/>
        <v>0</v>
      </c>
      <c r="JF10" s="50">
        <f t="shared" si="96"/>
        <v>0</v>
      </c>
      <c r="JG10" s="50">
        <f t="shared" si="96"/>
        <v>0</v>
      </c>
      <c r="JH10" s="50">
        <f t="shared" si="96"/>
        <v>0</v>
      </c>
      <c r="JI10" s="50">
        <f t="shared" si="97"/>
        <v>0</v>
      </c>
      <c r="JJ10" s="50">
        <f t="shared" si="97"/>
        <v>0</v>
      </c>
      <c r="JK10" s="50">
        <f t="shared" si="97"/>
        <v>0</v>
      </c>
      <c r="JL10" s="50">
        <f t="shared" si="97"/>
        <v>0</v>
      </c>
      <c r="JM10" s="50">
        <f t="shared" si="97"/>
        <v>0</v>
      </c>
      <c r="JN10" s="50">
        <f t="shared" si="97"/>
        <v>0</v>
      </c>
      <c r="JO10" s="50">
        <f t="shared" si="97"/>
        <v>0</v>
      </c>
      <c r="JP10" s="50">
        <f t="shared" si="97"/>
        <v>0</v>
      </c>
      <c r="JQ10" s="50">
        <f t="shared" si="97"/>
        <v>0</v>
      </c>
      <c r="JR10" s="50">
        <f t="shared" si="97"/>
        <v>0</v>
      </c>
      <c r="JS10" s="50">
        <f t="shared" si="98"/>
        <v>0</v>
      </c>
      <c r="JT10" s="50">
        <f t="shared" si="98"/>
        <v>0</v>
      </c>
      <c r="JU10" s="50" t="str">
        <f t="shared" si="98"/>
        <v/>
      </c>
      <c r="JV10" s="50" t="str">
        <f t="shared" si="98"/>
        <v/>
      </c>
      <c r="JW10" s="50" t="str">
        <f t="shared" si="98"/>
        <v/>
      </c>
      <c r="JX10" s="50" t="str">
        <f t="shared" si="98"/>
        <v/>
      </c>
      <c r="JY10" s="50" t="str">
        <f t="shared" si="98"/>
        <v/>
      </c>
      <c r="JZ10" s="50" t="str">
        <f t="shared" si="98"/>
        <v/>
      </c>
      <c r="KA10" s="50" t="str">
        <f t="shared" si="98"/>
        <v/>
      </c>
      <c r="KB10" s="50" t="str">
        <f t="shared" si="98"/>
        <v/>
      </c>
      <c r="KC10" s="50" t="str">
        <f t="shared" si="98"/>
        <v/>
      </c>
      <c r="KD10" s="50" t="str">
        <f t="shared" si="98"/>
        <v/>
      </c>
    </row>
    <row r="11" spans="1:290" s="144" customFormat="1" ht="15" customHeight="1" thickBot="1">
      <c r="B11" s="146">
        <v>5</v>
      </c>
      <c r="C11" s="121" t="str">
        <f t="shared" si="99"/>
        <v>GFGC150.AB</v>
      </c>
      <c r="D11" s="121" t="str">
        <f t="shared" si="100"/>
        <v>GFGV150.AB</v>
      </c>
      <c r="E11" s="122">
        <f t="shared" si="1"/>
        <v>150</v>
      </c>
      <c r="F11" s="123" t="str">
        <f t="shared" si="2"/>
        <v/>
      </c>
      <c r="G11" s="123" t="str">
        <f t="shared" si="3"/>
        <v/>
      </c>
      <c r="H11" s="124" t="str">
        <f t="shared" si="4"/>
        <v/>
      </c>
      <c r="I11" s="124" t="str">
        <f t="shared" si="5"/>
        <v/>
      </c>
      <c r="J11" s="124" t="str">
        <f t="shared" si="6"/>
        <v/>
      </c>
      <c r="K11" s="124" t="str">
        <f t="shared" si="7"/>
        <v/>
      </c>
      <c r="M11" s="158">
        <f t="shared" si="8"/>
        <v>12</v>
      </c>
      <c r="N11" s="121" t="str">
        <f t="shared" si="9"/>
        <v>GFGC150.AB</v>
      </c>
      <c r="O11" s="158">
        <f t="shared" si="10"/>
        <v>12</v>
      </c>
      <c r="P11" s="121" t="str">
        <f t="shared" si="11"/>
        <v>GFGV150.AB</v>
      </c>
      <c r="R11" s="159"/>
      <c r="S11" s="160" t="str">
        <f t="shared" si="12"/>
        <v/>
      </c>
      <c r="U11" s="54"/>
      <c r="V11" s="54"/>
      <c r="W11" s="54"/>
      <c r="X11" s="200">
        <v>5</v>
      </c>
      <c r="Y11" s="546">
        <f t="shared" si="13"/>
        <v>-28.452182208442643</v>
      </c>
      <c r="Z11" s="540">
        <f t="shared" si="14"/>
        <v>-46515.23875000004</v>
      </c>
      <c r="AA11" s="179"/>
      <c r="AB11" s="540">
        <f t="shared" si="15"/>
        <v>0</v>
      </c>
      <c r="AC11" s="161"/>
      <c r="AD11" s="200">
        <v>5</v>
      </c>
      <c r="AE11" s="825">
        <f t="shared" si="101"/>
        <v>150</v>
      </c>
      <c r="AF11" s="201"/>
      <c r="AG11" s="179"/>
      <c r="AH11" s="177">
        <f t="shared" si="102"/>
        <v>0</v>
      </c>
      <c r="AI11" s="166">
        <f t="shared" si="103"/>
        <v>0</v>
      </c>
      <c r="AJ11" s="179"/>
      <c r="AK11" s="177">
        <f t="shared" si="104"/>
        <v>0</v>
      </c>
      <c r="AL11" s="166">
        <f t="shared" si="105"/>
        <v>0</v>
      </c>
      <c r="AM11" s="179"/>
      <c r="AN11" s="177"/>
      <c r="AO11" s="166"/>
      <c r="AP11" s="179"/>
      <c r="AQ11" s="176">
        <f t="shared" si="106"/>
        <v>0</v>
      </c>
      <c r="AR11" s="165">
        <f t="shared" si="107"/>
        <v>0</v>
      </c>
      <c r="AS11" s="179"/>
      <c r="AT11" s="176">
        <f t="shared" si="108"/>
        <v>0</v>
      </c>
      <c r="AU11" s="165">
        <f t="shared" si="109"/>
        <v>0</v>
      </c>
      <c r="AV11" s="179"/>
      <c r="AW11" s="200">
        <f t="shared" si="16"/>
        <v>5</v>
      </c>
      <c r="AX11" s="170">
        <f t="shared" si="17"/>
        <v>150</v>
      </c>
      <c r="AY11" s="164"/>
      <c r="AZ11" s="215">
        <f t="shared" si="18"/>
        <v>0</v>
      </c>
      <c r="BA11" s="197"/>
      <c r="BB11" s="228">
        <f t="shared" si="19"/>
        <v>0</v>
      </c>
      <c r="BC11" s="161"/>
      <c r="BD11" s="240">
        <f t="shared" si="20"/>
        <v>0</v>
      </c>
      <c r="BE11" s="196"/>
      <c r="BF11" s="240">
        <f t="shared" si="21"/>
        <v>72</v>
      </c>
      <c r="BG11" s="196"/>
      <c r="BH11" s="189"/>
      <c r="BI11" s="227">
        <f t="shared" si="22"/>
        <v>0</v>
      </c>
      <c r="BJ11" s="197"/>
      <c r="BK11" s="167">
        <f t="shared" si="23"/>
        <v>0</v>
      </c>
      <c r="BL11" s="161"/>
      <c r="BM11" s="240">
        <f t="shared" si="24"/>
        <v>0</v>
      </c>
      <c r="BN11" s="196"/>
      <c r="BO11" s="240">
        <f t="shared" si="25"/>
        <v>0</v>
      </c>
      <c r="BP11" s="196"/>
      <c r="BQ11" s="161"/>
      <c r="BR11" s="381"/>
      <c r="BS11" s="392">
        <f t="shared" si="122"/>
        <v>0</v>
      </c>
      <c r="BT11" s="376"/>
      <c r="BU11" s="393" t="str">
        <f>+IF(OR(CF11="", CB12="", CF11=0, CB12=0), "", IF($BU$1=FALSE, CF11-CB12, -CF11+CB12))</f>
        <v/>
      </c>
      <c r="BV11" s="310"/>
      <c r="BW11" s="311" t="str">
        <f t="shared" si="110"/>
        <v/>
      </c>
      <c r="BX11" s="372"/>
      <c r="BY11" s="440"/>
      <c r="BZ11" s="432">
        <v>48.110999999999997</v>
      </c>
      <c r="CA11" s="372"/>
      <c r="CB11" s="572" t="str">
        <f t="shared" ref="CB11:CB13" si="125">+IF($BU$1=FALSE, IF(BD11=0, "", BD11), IF(BM11=0,"", BM11))</f>
        <v/>
      </c>
      <c r="CC11" s="567">
        <f t="shared" si="29"/>
        <v>0</v>
      </c>
      <c r="CD11" s="814">
        <f t="shared" si="30"/>
        <v>150</v>
      </c>
      <c r="CE11" s="569">
        <f t="shared" si="31"/>
        <v>1</v>
      </c>
      <c r="CF11" s="574">
        <f t="shared" si="32"/>
        <v>72</v>
      </c>
      <c r="CG11" s="372"/>
      <c r="CH11" s="435">
        <v>53.497999999999998</v>
      </c>
      <c r="CI11" s="436"/>
      <c r="CJ11" s="372"/>
      <c r="CK11" s="391">
        <f t="shared" si="111"/>
        <v>222</v>
      </c>
      <c r="CL11" s="396" t="str">
        <f>+IF(OR(CF12="", CB11="", CF12=0, CB11=0), "", IF($BU$1=FALSE, CB11-CF12,- CB11+CF12))</f>
        <v/>
      </c>
      <c r="CM11" s="370"/>
      <c r="CN11" s="161"/>
      <c r="CO11" s="161"/>
      <c r="CP11" s="161"/>
      <c r="CQ11" s="161"/>
      <c r="CR11" s="161"/>
      <c r="CS11" s="161"/>
      <c r="CT11" s="161"/>
      <c r="CU11" s="161"/>
      <c r="CV11" s="161"/>
      <c r="CW11" s="161"/>
      <c r="CX11" s="161"/>
      <c r="CY11" s="161"/>
      <c r="CZ11" s="161"/>
      <c r="DA11" s="161"/>
      <c r="DB11" s="161"/>
      <c r="DC11" s="161"/>
      <c r="DD11" s="161"/>
      <c r="DE11" s="161"/>
      <c r="DF11" s="161"/>
      <c r="DG11" s="161"/>
      <c r="DH11" s="161"/>
      <c r="DI11" s="161"/>
      <c r="DJ11" s="891" t="s">
        <v>165</v>
      </c>
      <c r="DK11" s="242">
        <f t="shared" si="123"/>
        <v>0</v>
      </c>
      <c r="DL11" s="217"/>
      <c r="DM11" s="490">
        <f t="shared" si="34"/>
        <v>0</v>
      </c>
      <c r="DN11" s="242">
        <f t="shared" si="35"/>
        <v>0</v>
      </c>
      <c r="DO11" s="243">
        <f t="shared" si="36"/>
        <v>0</v>
      </c>
      <c r="DP11" s="217"/>
      <c r="DQ11" s="252">
        <f t="shared" si="120"/>
        <v>0</v>
      </c>
      <c r="DR11" s="217"/>
      <c r="DS11" s="242">
        <f t="shared" si="38"/>
        <v>0</v>
      </c>
      <c r="DT11" s="242">
        <f t="shared" si="39"/>
        <v>0</v>
      </c>
      <c r="DU11" s="244">
        <f t="shared" si="40"/>
        <v>0</v>
      </c>
      <c r="DV11" s="217"/>
      <c r="DW11" s="428">
        <f>+IF(OR(AE11 = "", AND(AH11 = "", AK11 = "")), "",IFERROR(+AH11 * CallDelta($AG$1,AE11,($BM$1/365), $V$15, $AZ$1, $V$17), 0) + IFERROR(AK11 * Putdelta($AG$1,AE11,($BM$1/365), $V$15, $AZ$1, $V$17), 0))</f>
        <v>0</v>
      </c>
      <c r="DX11" s="245">
        <f>+IF(OR(AE11 = "", AND(AH11 = "", AK11 = "")), "",IFERROR(+AH11 * OptionGamma($AG$1,AE11,($BM$1/365), $V$15, $AZ$1, $V$17), 0) + IFERROR(AK11 * OptionGamma($AG$1,AE11,($BM$1/365), $V$15, $AZ$1, $V$17), 0))</f>
        <v>0</v>
      </c>
      <c r="DY11" s="161"/>
      <c r="DZ11" s="267">
        <f>IF(OR(AE11 = "", AQ11 = ""), "", IF(AE11 &lt;&gt; $Z$1,
-(EF57 * AQ11 * 100),
-(EF57 * AQ11 * 1)  ))</f>
        <v>0</v>
      </c>
      <c r="EA11" s="217"/>
      <c r="EB11" s="267">
        <f t="shared" si="42"/>
        <v>0</v>
      </c>
      <c r="EC11" s="267">
        <f t="shared" si="43"/>
        <v>0</v>
      </c>
      <c r="ED11" s="247">
        <f t="shared" si="44"/>
        <v>0</v>
      </c>
      <c r="EE11" s="217"/>
      <c r="EF11" s="267">
        <f t="shared" si="45"/>
        <v>0</v>
      </c>
      <c r="EG11" s="217"/>
      <c r="EH11" s="267">
        <f t="shared" si="46"/>
        <v>0</v>
      </c>
      <c r="EI11" s="246">
        <f t="shared" si="47"/>
        <v>0</v>
      </c>
      <c r="EJ11" s="248">
        <f t="shared" si="48"/>
        <v>0</v>
      </c>
      <c r="EK11" s="217"/>
      <c r="EL11" s="251">
        <f>+IF(OR(AE11 = "", AND(AQ11 = "", AT11 = "")), "",IFERROR(+AQ11 * CallDelta($AG$1,AE11,($BM$1/365), $V$15, $AZ$1, $V$17), 0) + IFERROR(AT11 * Putdelta($AG$1,AE11,($BM$1/365), $V$15, $AZ$1, $V$17), 0))</f>
        <v>0</v>
      </c>
      <c r="EM11" s="249">
        <f>+IF(OR(AE11 = "", AND(AQ11 = "", AT11 = "")), "",IFERROR(+AQ11 * OptionGamma($AG$1,AE11,($BM$1/365), $V$15, $AZ$1, $V$17), 0) + IFERROR(AT11 * OptionGamma($AG$1,AE11,($BM$1/365), $V$15, $AZ$1, $V$17), 0))</f>
        <v>0</v>
      </c>
      <c r="EN11" s="451">
        <f t="shared" si="49"/>
        <v>3.814697265625E-3</v>
      </c>
      <c r="EO11" s="418">
        <f>+IF(AE11 = "", "",ImpliedCallVolatility($AG$1, $AE11,($BM$1/365), $V$15, $AZ11, $V$17) * 100)</f>
        <v>3.814697265625E-3</v>
      </c>
      <c r="EP11" s="418">
        <f>+IF(AE11 = "", "",ImpliedCallVolatility($AG$1, $AE11,($BM$1/365), $V$15, BD11, $V$17) * 100)</f>
        <v>3.814697265625E-3</v>
      </c>
      <c r="EQ11" s="418">
        <f>+IF(AE11 = "", "",ImpliedCallVolatility($AG$1, $AE11,($BM$1/365), $V$15, BF11, $V$17) * 100)</f>
        <v>99.765777587890625</v>
      </c>
      <c r="ER11" s="411" t="str">
        <f t="shared" si="50"/>
        <v/>
      </c>
      <c r="ES11" s="411" t="str">
        <f t="shared" si="51"/>
        <v/>
      </c>
      <c r="ET11" s="411">
        <f t="shared" si="52"/>
        <v>12.349999999999994</v>
      </c>
      <c r="EU11" s="416">
        <f>IF($FC$1 = 1,
IF(AE11 = "", "",OptionGamma($AG$1,AE11,($BM$1/365), $V$15, $AZ$1, $V$17) * 1000),
IF($FC$1 = 2, IF(OR(AE11 = "", BD11 =  0), "",IF(AE11 &lt; $AG$1, (((AE11 * (1 - COMIS_ACCION)) / (($AG$1 * (1 + COMIS_ACCION)) - (BD11 * (1 - COMIS_OPCION)))) - 1) * 100 / $BM$1 * 365,((($AG$1 * (1 - COMIS_ACCION)) / (($AG$1 * (1 + COMIS_ACCION)) - (BD11 * (1 - COMIS_OPCION)))) - 1) * 100 / $BM$1 * 365))))</f>
        <v>0.33431206755842868</v>
      </c>
      <c r="EV11" s="276">
        <f>+IF(AE11 = "", "",CallOption($AG$1, $AE11,($BM$1/365), $V$15, $AZ$1, $V$17))</f>
        <v>67.041830858826131</v>
      </c>
      <c r="EW11" s="271">
        <f t="shared" si="53"/>
        <v>-72.479160000000007</v>
      </c>
      <c r="EX11" s="272">
        <f t="shared" si="54"/>
        <v>58.431505800000011</v>
      </c>
      <c r="EY11" s="274">
        <f t="shared" si="55"/>
        <v>-60.868494199999986</v>
      </c>
      <c r="EZ11" s="272">
        <f t="shared" si="56"/>
        <v>-150.25410000000002</v>
      </c>
      <c r="FA11" s="272">
        <f t="shared" si="57"/>
        <v>149.74590000000001</v>
      </c>
      <c r="FB11" s="530">
        <f>+IF($FC$1 = 1, IF(AE11 = "", "",IFERROR( VLOOKUP(N11, PreciosCalls, 13, FALSE), 0)),
IF($FC$1 = 2,  IF(AE11 = "", "",OptionGamma($AG$1,AE11,($BM$1/365), $V$15, $AZ$1, $V$17) * 1000)))</f>
        <v>0</v>
      </c>
      <c r="FC11" s="530">
        <f>IF($FC$1 = 1, IF(AE11 = "", "",IFERROR( VLOOKUP(N11, PreciosCalls, 14, FALSE), 0)),
IF($FC$1 = 2, IF(AE11 = "", "",CallDelta($AG$1,AE11,($BM$1/365), $V$15, $AZ$1, $V$17) * 100)))</f>
        <v>0</v>
      </c>
      <c r="FD11" s="531">
        <f t="shared" si="58"/>
        <v>0</v>
      </c>
      <c r="FE11" s="530">
        <f t="shared" si="59"/>
        <v>0</v>
      </c>
      <c r="FF11" s="217"/>
      <c r="FG11" s="273" t="str">
        <f t="shared" si="60"/>
        <v/>
      </c>
      <c r="FH11" s="273" t="str">
        <f t="shared" si="61"/>
        <v/>
      </c>
      <c r="FI11" s="451">
        <f t="shared" si="62"/>
        <v>2.742767333984375</v>
      </c>
      <c r="FJ11" s="419">
        <f>+IF(AE11 = "", "",ImpliedPutVolatility($AG$1, $AE11,($BM$1/365), $V$15, BI11, $V$17) * 100)</f>
        <v>2.742767333984375</v>
      </c>
      <c r="FK11" s="419">
        <f>+IF(AE11 = "", "",ImpliedPutVolatility($AG$1, $AE11,($BM$1/365), $V$15, BM11, $V$17) * 100)</f>
        <v>2.742767333984375</v>
      </c>
      <c r="FL11" s="419">
        <f>+IF(AE11 = "", "",ImpliedPutVolatility($AG$1, $AE11,($BM$1/365), $V$15, BO11, $V$17) * 100)</f>
        <v>2.742767333984375</v>
      </c>
      <c r="FM11" s="415" t="str">
        <f t="shared" si="63"/>
        <v/>
      </c>
      <c r="FN11" s="415" t="str">
        <f t="shared" si="64"/>
        <v/>
      </c>
      <c r="FO11" s="415" t="str">
        <f t="shared" si="65"/>
        <v/>
      </c>
      <c r="FP11" s="417">
        <f>IF($FX$1=1, IF(AE11 = "", "",OptionGamma($AG$1,AE11,($BM$1/365), $V$15, $AZ$1, $V$17) * 1000),
IF($FX$1 = 2, IF(OR(AE11 = "", BM11 =  0), "",((BM11 * (1 - COMIS_OPCION)) / (AE11 * (1 + COMIS_ACCION))) * 100 / $BM$1 * 365)))</f>
        <v>0.33431206755842868</v>
      </c>
      <c r="FQ11" s="289">
        <f>+IF(AE11 = "", "",PutOption($AG$1, $AE11,($BM$1/365), $V$15, $AZ$1, $V$17))</f>
        <v>3.3250230648827372E-2</v>
      </c>
      <c r="FR11" s="279"/>
      <c r="FS11" s="284">
        <f t="shared" si="66"/>
        <v>-60.868494199999986</v>
      </c>
      <c r="FT11" s="284">
        <f t="shared" si="67"/>
        <v>58.431505800000011</v>
      </c>
      <c r="FU11" s="280">
        <f t="shared" si="68"/>
        <v>-60.25924710000001</v>
      </c>
      <c r="FV11" s="279"/>
      <c r="FW11" s="287">
        <f>+IF($FX$1 = 1, IFERROR(VLOOKUP(P11, PreciosPuts, 13, FALSE), 0),
IF($FX$1 = 2, IF(AE11 = "", "",OptionGamma($AG$1,AE11,($BM$1/365), $V$15, $AZ$1, $V$17) * 1000)))</f>
        <v>0</v>
      </c>
      <c r="FX11" s="287">
        <f>+IF($FX$1=1, IF(AE11 = "", "",IFERROR(VLOOKUP(P11, PreciosPuts, 14, FALSE), 0)),
IF($FX$1=2, IF(AE11 = "", "",Putdelta($AG$1,AE11,($BM$1/365), $V$15, $AZ$1, $V$17) * 100)))</f>
        <v>0</v>
      </c>
      <c r="FY11" s="286">
        <f t="shared" si="69"/>
        <v>0</v>
      </c>
      <c r="FZ11" s="287">
        <f t="shared" si="70"/>
        <v>0</v>
      </c>
      <c r="GA11" s="217"/>
      <c r="GB11" s="281" t="str">
        <f t="shared" si="113"/>
        <v/>
      </c>
      <c r="GC11" s="281" t="str">
        <f t="shared" si="114"/>
        <v/>
      </c>
      <c r="GD11" s="217"/>
      <c r="GE11" s="303" t="str">
        <f t="shared" si="71"/>
        <v/>
      </c>
      <c r="GF11" s="292" t="str">
        <f t="shared" si="72"/>
        <v/>
      </c>
      <c r="GG11" s="293" t="str">
        <f t="shared" si="73"/>
        <v/>
      </c>
      <c r="GH11" s="294" t="str">
        <f t="shared" si="124"/>
        <v/>
      </c>
      <c r="GI11" s="294">
        <v>5</v>
      </c>
      <c r="GJ11" s="217"/>
      <c r="GK11" s="305" t="str">
        <f t="shared" si="74"/>
        <v/>
      </c>
      <c r="GL11" s="299" t="str">
        <f t="shared" si="75"/>
        <v/>
      </c>
      <c r="GM11" s="300" t="str">
        <f t="shared" si="76"/>
        <v/>
      </c>
      <c r="GN11" s="225" t="str">
        <f t="shared" si="121"/>
        <v/>
      </c>
      <c r="GO11" s="225">
        <v>5</v>
      </c>
      <c r="GP11" s="217"/>
      <c r="GQ11" s="217"/>
      <c r="GR11" s="401" t="str">
        <f t="shared" si="77"/>
        <v/>
      </c>
      <c r="GT11" s="282" t="str">
        <f t="shared" si="78"/>
        <v/>
      </c>
      <c r="GU11" s="282" t="str">
        <f t="shared" si="79"/>
        <v/>
      </c>
      <c r="GV11" s="282" t="str">
        <f t="shared" si="80"/>
        <v/>
      </c>
      <c r="GW11" s="282" t="str">
        <f t="shared" si="81"/>
        <v/>
      </c>
      <c r="GX11" s="282" t="str">
        <f t="shared" si="82"/>
        <v/>
      </c>
      <c r="GY11" s="282" t="str">
        <f t="shared" si="83"/>
        <v/>
      </c>
      <c r="GZ11" s="282" t="str">
        <f t="shared" si="115"/>
        <v/>
      </c>
      <c r="HA11" s="282" t="str">
        <f t="shared" si="84"/>
        <v/>
      </c>
      <c r="HB11" s="282" t="str">
        <f t="shared" si="116"/>
        <v/>
      </c>
      <c r="HC11" s="607" t="str">
        <f t="shared" si="85"/>
        <v/>
      </c>
      <c r="HD11" s="610" t="str">
        <f>IFERROR(IF( AND(BO9 &lt;&gt; "", BO9 &lt;&gt; 0, BM11 &lt;&gt; "", BM11 &lt;&gt; 0, BO13 &lt;&gt; "", BO13 &lt;&gt; 0),
-(BO9 * (1 / (AX13 - AX9) * ABS(AX13 - AX11))) * (1 + COMIS_OPCION) + (BM11 * 1) * (1 - COMIS_OPCION)
- BO13 * (1 / (AX13 - AX9) * ABS(AX9 - AX11)) * (1 + COMIS_OPCION), ""), "")</f>
        <v/>
      </c>
      <c r="HE11" s="282" t="str">
        <f t="shared" si="87"/>
        <v/>
      </c>
      <c r="HF11" s="282" t="str">
        <f t="shared" si="88"/>
        <v/>
      </c>
      <c r="HG11" s="217"/>
      <c r="HH11" s="282" t="str">
        <f t="shared" si="89"/>
        <v/>
      </c>
      <c r="HI11" s="282" t="str">
        <f t="shared" si="90"/>
        <v/>
      </c>
      <c r="HJ11" s="282"/>
      <c r="HK11" s="282"/>
      <c r="HL11" s="217"/>
      <c r="HM11" s="420"/>
      <c r="HN11" s="420"/>
      <c r="HO11" s="420"/>
      <c r="HP11" s="420"/>
      <c r="HQ11" s="282" t="str">
        <f t="shared" si="91"/>
        <v/>
      </c>
      <c r="HR11" s="420"/>
      <c r="HS11" s="420"/>
      <c r="HT11" s="420"/>
      <c r="HU11" s="420"/>
      <c r="HV11" s="420"/>
      <c r="HW11" s="420"/>
      <c r="HX11" s="425"/>
      <c r="HY11" s="338"/>
      <c r="HZ11" s="338"/>
      <c r="IA11" s="161"/>
      <c r="IB11" s="161"/>
      <c r="IC11" s="162"/>
      <c r="ID11" s="162"/>
      <c r="IE11" s="49"/>
      <c r="IF11" s="55"/>
      <c r="IG11" s="58"/>
      <c r="IH11" s="545">
        <f t="shared" si="117"/>
        <v>-28.452182208442643</v>
      </c>
      <c r="II11" s="144">
        <f>+MATCH(II10, $IK$7:$IK$47, 1)</f>
        <v>23</v>
      </c>
      <c r="IJ11" s="146">
        <v>5</v>
      </c>
      <c r="IK11" s="545">
        <f t="shared" si="92"/>
        <v>150</v>
      </c>
      <c r="IL11" s="106">
        <f t="shared" si="93"/>
        <v>-0.28452182208442645</v>
      </c>
      <c r="IM11" s="110">
        <f>+IF(IK11="", "", IK11)</f>
        <v>150</v>
      </c>
      <c r="IN11" s="111">
        <f t="shared" si="118"/>
        <v>-46515.23875000004</v>
      </c>
      <c r="IO11" s="50">
        <f t="shared" si="95"/>
        <v>0</v>
      </c>
      <c r="IP11" s="50">
        <f t="shared" si="95"/>
        <v>0</v>
      </c>
      <c r="IQ11" s="50">
        <f t="shared" si="95"/>
        <v>0</v>
      </c>
      <c r="IR11" s="50">
        <f t="shared" si="95"/>
        <v>0</v>
      </c>
      <c r="IS11" s="50">
        <f t="shared" si="95"/>
        <v>0</v>
      </c>
      <c r="IT11" s="50">
        <f t="shared" si="95"/>
        <v>0</v>
      </c>
      <c r="IU11" s="50">
        <f t="shared" si="95"/>
        <v>0</v>
      </c>
      <c r="IV11" s="50">
        <f t="shared" si="95"/>
        <v>0</v>
      </c>
      <c r="IW11" s="50">
        <f t="shared" si="95"/>
        <v>0</v>
      </c>
      <c r="IX11" s="50">
        <f t="shared" si="95"/>
        <v>0</v>
      </c>
      <c r="IY11" s="50">
        <f t="shared" si="96"/>
        <v>0</v>
      </c>
      <c r="IZ11" s="50">
        <f t="shared" si="96"/>
        <v>0</v>
      </c>
      <c r="JA11" s="50">
        <f t="shared" si="96"/>
        <v>0</v>
      </c>
      <c r="JB11" s="50">
        <f t="shared" si="96"/>
        <v>0</v>
      </c>
      <c r="JC11" s="50">
        <f t="shared" si="96"/>
        <v>0</v>
      </c>
      <c r="JD11" s="50">
        <f t="shared" si="96"/>
        <v>0</v>
      </c>
      <c r="JE11" s="50">
        <f t="shared" si="96"/>
        <v>0</v>
      </c>
      <c r="JF11" s="50">
        <f t="shared" si="96"/>
        <v>0</v>
      </c>
      <c r="JG11" s="50">
        <f t="shared" si="96"/>
        <v>0</v>
      </c>
      <c r="JH11" s="50">
        <f t="shared" si="96"/>
        <v>0</v>
      </c>
      <c r="JI11" s="50">
        <f t="shared" si="97"/>
        <v>0</v>
      </c>
      <c r="JJ11" s="50">
        <f t="shared" si="97"/>
        <v>0</v>
      </c>
      <c r="JK11" s="50">
        <f t="shared" si="97"/>
        <v>0</v>
      </c>
      <c r="JL11" s="50">
        <f t="shared" si="97"/>
        <v>0</v>
      </c>
      <c r="JM11" s="50">
        <f t="shared" si="97"/>
        <v>0</v>
      </c>
      <c r="JN11" s="50">
        <f t="shared" si="97"/>
        <v>0</v>
      </c>
      <c r="JO11" s="50">
        <f t="shared" si="97"/>
        <v>0</v>
      </c>
      <c r="JP11" s="50">
        <f t="shared" si="97"/>
        <v>0</v>
      </c>
      <c r="JQ11" s="50">
        <f t="shared" si="97"/>
        <v>0</v>
      </c>
      <c r="JR11" s="50">
        <f t="shared" si="97"/>
        <v>0</v>
      </c>
      <c r="JS11" s="50">
        <f t="shared" si="98"/>
        <v>0</v>
      </c>
      <c r="JT11" s="50">
        <f t="shared" si="98"/>
        <v>0</v>
      </c>
      <c r="JU11" s="50" t="str">
        <f t="shared" si="98"/>
        <v/>
      </c>
      <c r="JV11" s="50" t="str">
        <f t="shared" si="98"/>
        <v/>
      </c>
      <c r="JW11" s="50" t="str">
        <f t="shared" si="98"/>
        <v/>
      </c>
      <c r="JX11" s="50" t="str">
        <f t="shared" si="98"/>
        <v/>
      </c>
      <c r="JY11" s="50" t="str">
        <f t="shared" si="98"/>
        <v/>
      </c>
      <c r="JZ11" s="50" t="str">
        <f t="shared" si="98"/>
        <v/>
      </c>
      <c r="KA11" s="50" t="str">
        <f t="shared" si="98"/>
        <v/>
      </c>
      <c r="KB11" s="50" t="str">
        <f t="shared" si="98"/>
        <v/>
      </c>
      <c r="KC11" s="50" t="str">
        <f t="shared" si="98"/>
        <v/>
      </c>
      <c r="KD11" s="50" t="str">
        <f t="shared" si="98"/>
        <v/>
      </c>
    </row>
    <row r="12" spans="1:290" s="144" customFormat="1" ht="15" customHeight="1" thickBot="1">
      <c r="B12" s="146">
        <v>6</v>
      </c>
      <c r="C12" s="121" t="str">
        <f t="shared" si="99"/>
        <v>GFGC155.AB</v>
      </c>
      <c r="D12" s="121" t="str">
        <f t="shared" si="100"/>
        <v>GFGV155.AB</v>
      </c>
      <c r="E12" s="122">
        <f t="shared" si="1"/>
        <v>155</v>
      </c>
      <c r="F12" s="123" t="str">
        <f t="shared" si="2"/>
        <v/>
      </c>
      <c r="G12" s="123" t="str">
        <f t="shared" si="3"/>
        <v/>
      </c>
      <c r="H12" s="124" t="str">
        <f t="shared" si="4"/>
        <v/>
      </c>
      <c r="I12" s="124" t="str">
        <f t="shared" si="5"/>
        <v/>
      </c>
      <c r="J12" s="124" t="str">
        <f t="shared" si="6"/>
        <v/>
      </c>
      <c r="K12" s="124" t="str">
        <f t="shared" si="7"/>
        <v/>
      </c>
      <c r="M12" s="158">
        <f t="shared" si="8"/>
        <v>12</v>
      </c>
      <c r="N12" s="121" t="str">
        <f t="shared" si="9"/>
        <v>GFGC155.AB</v>
      </c>
      <c r="O12" s="158">
        <f t="shared" si="10"/>
        <v>12</v>
      </c>
      <c r="P12" s="121" t="str">
        <f t="shared" si="11"/>
        <v>GFGV155.AB</v>
      </c>
      <c r="R12" s="159"/>
      <c r="S12" s="160" t="str">
        <f t="shared" si="12"/>
        <v/>
      </c>
      <c r="U12" s="234" t="s">
        <v>202</v>
      </c>
      <c r="V12" s="133">
        <v>44615</v>
      </c>
      <c r="W12" s="54"/>
      <c r="X12" s="200">
        <v>6</v>
      </c>
      <c r="Y12" s="546">
        <f t="shared" si="13"/>
        <v>-26.067254948724063</v>
      </c>
      <c r="Z12" s="540">
        <f t="shared" si="14"/>
        <v>-46515.23875000004</v>
      </c>
      <c r="AA12" s="179"/>
      <c r="AB12" s="540">
        <f t="shared" si="15"/>
        <v>0</v>
      </c>
      <c r="AC12" s="161"/>
      <c r="AD12" s="200">
        <v>6</v>
      </c>
      <c r="AE12" s="825">
        <f t="shared" si="101"/>
        <v>155</v>
      </c>
      <c r="AF12" s="201"/>
      <c r="AG12" s="179"/>
      <c r="AH12" s="177">
        <f t="shared" si="102"/>
        <v>0</v>
      </c>
      <c r="AI12" s="166">
        <f t="shared" si="103"/>
        <v>0</v>
      </c>
      <c r="AJ12" s="179"/>
      <c r="AK12" s="177">
        <f t="shared" si="104"/>
        <v>0</v>
      </c>
      <c r="AL12" s="166">
        <f t="shared" si="105"/>
        <v>0</v>
      </c>
      <c r="AM12" s="179"/>
      <c r="AN12" s="177"/>
      <c r="AO12" s="166"/>
      <c r="AP12" s="179"/>
      <c r="AQ12" s="176">
        <f t="shared" si="106"/>
        <v>0</v>
      </c>
      <c r="AR12" s="165">
        <f t="shared" si="107"/>
        <v>0</v>
      </c>
      <c r="AS12" s="179"/>
      <c r="AT12" s="176">
        <f t="shared" si="108"/>
        <v>0</v>
      </c>
      <c r="AU12" s="165">
        <f t="shared" si="109"/>
        <v>0</v>
      </c>
      <c r="AV12" s="179"/>
      <c r="AW12" s="200">
        <f t="shared" si="16"/>
        <v>6</v>
      </c>
      <c r="AX12" s="170">
        <f t="shared" si="17"/>
        <v>155</v>
      </c>
      <c r="AY12" s="164"/>
      <c r="AZ12" s="215">
        <f t="shared" si="18"/>
        <v>0</v>
      </c>
      <c r="BA12" s="197"/>
      <c r="BB12" s="228">
        <f t="shared" si="19"/>
        <v>0</v>
      </c>
      <c r="BC12" s="161"/>
      <c r="BD12" s="240">
        <f t="shared" si="20"/>
        <v>0</v>
      </c>
      <c r="BE12" s="196"/>
      <c r="BF12" s="240">
        <f t="shared" si="21"/>
        <v>0</v>
      </c>
      <c r="BG12" s="196"/>
      <c r="BH12" s="189"/>
      <c r="BI12" s="227">
        <f t="shared" si="22"/>
        <v>0</v>
      </c>
      <c r="BJ12" s="197"/>
      <c r="BK12" s="167">
        <f t="shared" si="23"/>
        <v>0</v>
      </c>
      <c r="BL12" s="161"/>
      <c r="BM12" s="240">
        <f t="shared" si="24"/>
        <v>0</v>
      </c>
      <c r="BN12" s="196"/>
      <c r="BO12" s="240">
        <f t="shared" si="25"/>
        <v>0</v>
      </c>
      <c r="BP12" s="196"/>
      <c r="BQ12" s="161"/>
      <c r="BR12" s="381"/>
      <c r="BS12" s="392">
        <f t="shared" si="122"/>
        <v>0</v>
      </c>
      <c r="BT12" s="376"/>
      <c r="BU12" s="393" t="str">
        <f t="shared" ref="BU12:BU47" si="126">+IF(OR(CF12="", CB13="", CF12=0, CB13=0), "", IF($BU$1=FALSE, CF12-CB13, -CF12+CB13))</f>
        <v/>
      </c>
      <c r="BV12" s="310"/>
      <c r="BW12" s="311" t="str">
        <f t="shared" si="110"/>
        <v/>
      </c>
      <c r="BX12" s="372"/>
      <c r="BY12" s="440"/>
      <c r="BZ12" s="432">
        <v>0.73299999999999998</v>
      </c>
      <c r="CA12" s="372"/>
      <c r="CB12" s="572" t="str">
        <f>+IF($BU$1=FALSE, IF(BD12=0, "", BD12), IF(BM12=0,"", BM12))</f>
        <v/>
      </c>
      <c r="CC12" s="567">
        <f t="shared" si="29"/>
        <v>0</v>
      </c>
      <c r="CD12" s="814">
        <f t="shared" si="30"/>
        <v>155</v>
      </c>
      <c r="CE12" s="569">
        <f t="shared" si="31"/>
        <v>0</v>
      </c>
      <c r="CF12" s="574" t="str">
        <f>+IF($BU$1=FALSE, IF(BF12=0, "", BF12), IF(BO12=0,"", BO12))</f>
        <v/>
      </c>
      <c r="CG12" s="372"/>
      <c r="CH12" s="435">
        <v>27.448</v>
      </c>
      <c r="CI12" s="436"/>
      <c r="CJ12" s="372"/>
      <c r="CK12" s="391" t="str">
        <f t="shared" si="111"/>
        <v/>
      </c>
      <c r="CL12" s="396" t="str">
        <f t="shared" si="119"/>
        <v/>
      </c>
      <c r="CM12" s="370"/>
      <c r="CN12" s="161"/>
      <c r="CO12" s="161"/>
      <c r="CP12" s="161"/>
      <c r="CQ12" s="161"/>
      <c r="CR12" s="161"/>
      <c r="CS12" s="161"/>
      <c r="CT12" s="161"/>
      <c r="CU12" s="161"/>
      <c r="CV12" s="161"/>
      <c r="CW12" s="161"/>
      <c r="CX12" s="161"/>
      <c r="CY12" s="161"/>
      <c r="CZ12" s="161"/>
      <c r="DA12" s="161"/>
      <c r="DB12" s="161"/>
      <c r="DC12" s="161"/>
      <c r="DD12" s="161"/>
      <c r="DE12" s="161"/>
      <c r="DF12" s="161"/>
      <c r="DG12" s="161"/>
      <c r="DH12" s="161"/>
      <c r="DI12" s="161"/>
      <c r="DJ12" s="892"/>
      <c r="DK12" s="242">
        <f>IF(OR(AE12 = "", AH12 = ""), "", IF(AE12 &lt;&gt; $Z$1,
-(EF315 * AH12 * 100),
-(EF315 * AH12 * 1)  )  )</f>
        <v>0</v>
      </c>
      <c r="DL12" s="217"/>
      <c r="DM12" s="490">
        <f t="shared" si="34"/>
        <v>0</v>
      </c>
      <c r="DN12" s="242">
        <f t="shared" si="35"/>
        <v>0</v>
      </c>
      <c r="DO12" s="243">
        <f t="shared" si="36"/>
        <v>0</v>
      </c>
      <c r="DP12" s="217"/>
      <c r="DQ12" s="252">
        <f t="shared" si="120"/>
        <v>0</v>
      </c>
      <c r="DR12" s="217"/>
      <c r="DS12" s="242">
        <f t="shared" si="38"/>
        <v>0</v>
      </c>
      <c r="DT12" s="242">
        <f t="shared" si="39"/>
        <v>0</v>
      </c>
      <c r="DU12" s="244">
        <f t="shared" si="40"/>
        <v>0</v>
      </c>
      <c r="DV12" s="217"/>
      <c r="DW12" s="428">
        <f>+IF(OR(AE12 = "", AND(AH12 = "", AK12 = "")), "",IFERROR(+AH12 * CallDelta($AG$1,AE12,($BM$1/365), $V$15, $AZ$1, $V$17), 0) + IFERROR(AK12 * Putdelta($AG$1,AE12,($BM$1/365), $V$15, $AZ$1, $V$17), 0))</f>
        <v>0</v>
      </c>
      <c r="DX12" s="245">
        <f>+IF(OR(AE12 = "", AND(AH12 = "", AK12 = "")), "",IFERROR(+AH12 * OptionGamma($AG$1,AE12,($BM$1/365), $V$15, $AZ$1, $V$17), 0) + IFERROR(AK12 * OptionGamma($AG$1,AE12,($BM$1/365), $V$15, $AZ$1, $V$17), 0))</f>
        <v>0</v>
      </c>
      <c r="DY12" s="161"/>
      <c r="DZ12" s="267">
        <f t="shared" ref="DZ12:DZ47" si="127">IF(OR(AE12 = "", AQ12 = ""), "", IF(AE12 &lt;&gt; $Z$1,
-(EF58 * AQ12 * 100),
-(EF58 * AQ12 * 1)  ))</f>
        <v>0</v>
      </c>
      <c r="EA12" s="217"/>
      <c r="EB12" s="267">
        <f t="shared" si="42"/>
        <v>0</v>
      </c>
      <c r="EC12" s="267">
        <f t="shared" si="43"/>
        <v>0</v>
      </c>
      <c r="ED12" s="247">
        <f t="shared" si="44"/>
        <v>0</v>
      </c>
      <c r="EE12" s="217"/>
      <c r="EF12" s="267">
        <f>IF(OR(AE12 = "", AT12 = ""), "",
-(EI58 * AT12 * 100))</f>
        <v>0</v>
      </c>
      <c r="EG12" s="217"/>
      <c r="EH12" s="267">
        <f t="shared" si="46"/>
        <v>0</v>
      </c>
      <c r="EI12" s="246">
        <f t="shared" si="47"/>
        <v>0</v>
      </c>
      <c r="EJ12" s="248">
        <f t="shared" si="48"/>
        <v>0</v>
      </c>
      <c r="EK12" s="217"/>
      <c r="EL12" s="251">
        <f>+IF(OR(AE12 = "", AND(AQ12 = "", AT12 = "")), "",IFERROR(+AQ12 * CallDelta($AG$1,AE12,($BM$1/365), $V$15, $AZ$1, $V$17), 0) + IFERROR(AT12 * Putdelta($AG$1,AE12,($BM$1/365), $V$15, $AZ$1, $V$17), 0))</f>
        <v>0</v>
      </c>
      <c r="EM12" s="249">
        <f>+IF(OR(AE12 = "", AND(AQ12 = "", AT12 = "")), "",IFERROR(+AQ12 * OptionGamma($AG$1,AE12,($BM$1/365), $V$15, $AZ$1, $V$17), 0) + IFERROR(AT12 * OptionGamma($AG$1,AE12,($BM$1/365), $V$15, $AZ$1, $V$17), 0))</f>
        <v>0</v>
      </c>
      <c r="EN12" s="451">
        <f t="shared" si="49"/>
        <v>3.814697265625E-3</v>
      </c>
      <c r="EO12" s="418">
        <f>+IF(AE12 = "", "",ImpliedCallVolatility($AG$1, $AE12,($BM$1/365), $V$15, $AZ12, $V$17) * 100)</f>
        <v>3.814697265625E-3</v>
      </c>
      <c r="EP12" s="418">
        <f>+IF(AE12 = "", "",ImpliedCallVolatility($AG$1, $AE12,($BM$1/365), $V$15, BD12, $V$17) * 100)</f>
        <v>3.814697265625E-3</v>
      </c>
      <c r="EQ12" s="418">
        <f>+IF(AE12 = "", "",ImpliedCallVolatility($AG$1, $AE12,($BM$1/365), $V$15, BF12, $V$17) * 100)</f>
        <v>3.814697265625E-3</v>
      </c>
      <c r="ER12" s="411" t="str">
        <f t="shared" si="50"/>
        <v/>
      </c>
      <c r="ES12" s="411" t="str">
        <f t="shared" si="51"/>
        <v/>
      </c>
      <c r="ET12" s="411" t="str">
        <f t="shared" si="52"/>
        <v/>
      </c>
      <c r="EU12" s="416">
        <f>IF($FC$1 = 1,
IF(AE12 = "", "",OptionGamma($AG$1,AE12,($BM$1/365), $V$15, $AZ$1, $V$17) * 1000),
IF($FC$1 = 2, IF(OR(AE12 = "", BD12 =  0), "",IF(AE12 &lt; $AG$1, (((AE12 * (1 - COMIS_ACCION)) / (($AG$1 * (1 + COMIS_ACCION)) - (BD12 * (1 - COMIS_OPCION)))) - 1) * 100 / $BM$1 * 365,((($AG$1 * (1 - COMIS_ACCION)) / (($AG$1 * (1 + COMIS_ACCION)) - (BD12 * (1 - COMIS_OPCION)))) - 1) * 100 / $BM$1 * 365))))</f>
        <v>0.59800251091431189</v>
      </c>
      <c r="EV12" s="276">
        <f>+IF(AE12 = "", "",CallOption($AG$1, $AE12,($BM$1/365), $V$15, $AZ$1, $V$17))</f>
        <v>62.321841120276702</v>
      </c>
      <c r="EW12" s="271" t="str">
        <f t="shared" si="53"/>
        <v/>
      </c>
      <c r="EX12" s="272">
        <f t="shared" si="54"/>
        <v>53.41456580000002</v>
      </c>
      <c r="EY12" s="274">
        <f t="shared" si="55"/>
        <v>-55.885434199999985</v>
      </c>
      <c r="EZ12" s="272">
        <f t="shared" si="56"/>
        <v>-155.26257000000001</v>
      </c>
      <c r="FA12" s="272">
        <f t="shared" si="57"/>
        <v>154.73743000000002</v>
      </c>
      <c r="FB12" s="530">
        <f>+IF($FC$1 = 1, IF(AE12 = "", "",IFERROR( VLOOKUP(N12, PreciosCalls, 13, FALSE), 0)),
IF($FC$1 = 2,  IF(AE12 = "", "",OptionGamma($AG$1,AE12,($BM$1/365), $V$15, $AZ$1, $V$17) * 1000)))</f>
        <v>0</v>
      </c>
      <c r="FC12" s="530">
        <f>IF($FC$1 = 1, IF(AE12 = "", "",IFERROR( VLOOKUP(N12, PreciosCalls, 14, FALSE), 0)),
IF($FC$1 = 2, IF(AE12 = "", "",CallDelta($AG$1,AE12,($BM$1/365), $V$15, $AZ$1, $V$17) * 100)))</f>
        <v>0</v>
      </c>
      <c r="FD12" s="531">
        <f t="shared" si="58"/>
        <v>0</v>
      </c>
      <c r="FE12" s="530">
        <f t="shared" si="59"/>
        <v>0</v>
      </c>
      <c r="FF12" s="217"/>
      <c r="FG12" s="273" t="str">
        <f t="shared" si="60"/>
        <v/>
      </c>
      <c r="FH12" s="273" t="str">
        <f t="shared" si="61"/>
        <v/>
      </c>
      <c r="FI12" s="451">
        <f t="shared" si="62"/>
        <v>2.513885498046875</v>
      </c>
      <c r="FJ12" s="419">
        <f>+IF(AE12 = "", "",ImpliedPutVolatility($AG$1, $AE12,($BM$1/365), $V$15, BI12, $V$17) * 100)</f>
        <v>2.513885498046875</v>
      </c>
      <c r="FK12" s="419">
        <f>+IF(AE12 = "", "",ImpliedPutVolatility($AG$1, $AE12,($BM$1/365), $V$15, BM12, $V$17) * 100)</f>
        <v>2.513885498046875</v>
      </c>
      <c r="FL12" s="419">
        <f>+IF(AE12 = "", "",ImpliedPutVolatility($AG$1, $AE12,($BM$1/365), $V$15, BO12, $V$17) * 100)</f>
        <v>2.513885498046875</v>
      </c>
      <c r="FM12" s="415" t="str">
        <f t="shared" si="63"/>
        <v/>
      </c>
      <c r="FN12" s="415" t="str">
        <f t="shared" si="64"/>
        <v/>
      </c>
      <c r="FO12" s="415" t="str">
        <f t="shared" si="65"/>
        <v/>
      </c>
      <c r="FP12" s="417">
        <f>IF($FX$1=1, IF(AE12 = "", "",OptionGamma($AG$1,AE12,($BM$1/365), $V$15, $AZ$1, $V$17) * 1000),
IF($FX$1 = 2, IF(OR(AE12 = "", BM12 =  0), "",((BM12 * (1 - COMIS_OPCION)) / (AE12 * (1 + COMIS_ACCION))) * 100 / $BM$1 * 365)))</f>
        <v>0.59800251091431189</v>
      </c>
      <c r="FQ12" s="289">
        <f>+IF(AE12 = "", "",PutOption($AG$1, $AE12,($BM$1/365), $V$15, $AZ$1, $V$17))</f>
        <v>6.7974471160162864E-2</v>
      </c>
      <c r="FR12" s="279"/>
      <c r="FS12" s="284">
        <f t="shared" si="66"/>
        <v>-55.885434199999985</v>
      </c>
      <c r="FT12" s="284">
        <f t="shared" si="67"/>
        <v>53.41456580000002</v>
      </c>
      <c r="FU12" s="280">
        <f t="shared" si="68"/>
        <v>-55.267717099999999</v>
      </c>
      <c r="FV12" s="279"/>
      <c r="FW12" s="287">
        <f>+IF($FX$1 = 1, IFERROR(VLOOKUP(P12, PreciosPuts, 13, FALSE), 0),
IF($FX$1 = 2, IF(AE12 = "", "",OptionGamma($AG$1,AE12,($BM$1/365), $V$15, $AZ$1, $V$17) * 1000)))</f>
        <v>0</v>
      </c>
      <c r="FX12" s="287">
        <f>+IF($FX$1=1, IF(AE12 = "", "",IFERROR(VLOOKUP(P12, PreciosPuts, 14, FALSE), 0)),
IF($FX$1=2, IF(AE12 = "", "",Putdelta($AG$1,AE12,($BM$1/365), $V$15, $AZ$1, $V$17) * 100)))</f>
        <v>0</v>
      </c>
      <c r="FY12" s="286">
        <f t="shared" si="69"/>
        <v>0</v>
      </c>
      <c r="FZ12" s="287">
        <f t="shared" si="70"/>
        <v>0</v>
      </c>
      <c r="GA12" s="217"/>
      <c r="GB12" s="281" t="str">
        <f t="shared" si="113"/>
        <v/>
      </c>
      <c r="GC12" s="281" t="str">
        <f t="shared" si="114"/>
        <v/>
      </c>
      <c r="GD12" s="217"/>
      <c r="GE12" s="303" t="str">
        <f t="shared" si="71"/>
        <v/>
      </c>
      <c r="GF12" s="292" t="str">
        <f t="shared" si="72"/>
        <v/>
      </c>
      <c r="GG12" s="293" t="str">
        <f t="shared" si="73"/>
        <v/>
      </c>
      <c r="GH12" s="294" t="str">
        <f t="shared" si="124"/>
        <v/>
      </c>
      <c r="GI12" s="294">
        <v>6</v>
      </c>
      <c r="GJ12" s="217"/>
      <c r="GK12" s="305" t="str">
        <f t="shared" si="74"/>
        <v/>
      </c>
      <c r="GL12" s="299" t="str">
        <f t="shared" si="75"/>
        <v/>
      </c>
      <c r="GM12" s="300" t="str">
        <f t="shared" si="76"/>
        <v/>
      </c>
      <c r="GN12" s="225" t="str">
        <f t="shared" si="121"/>
        <v/>
      </c>
      <c r="GO12" s="225">
        <v>6</v>
      </c>
      <c r="GP12" s="217"/>
      <c r="GQ12" s="217"/>
      <c r="GR12" s="401" t="str">
        <f t="shared" si="77"/>
        <v/>
      </c>
      <c r="GT12" s="282" t="str">
        <f t="shared" si="78"/>
        <v/>
      </c>
      <c r="GU12" s="282" t="str">
        <f t="shared" si="79"/>
        <v/>
      </c>
      <c r="GV12" s="282" t="str">
        <f t="shared" si="80"/>
        <v/>
      </c>
      <c r="GW12" s="282" t="str">
        <f t="shared" si="81"/>
        <v/>
      </c>
      <c r="GX12" s="282" t="str">
        <f t="shared" si="82"/>
        <v/>
      </c>
      <c r="GY12" s="282" t="str">
        <f t="shared" si="83"/>
        <v/>
      </c>
      <c r="GZ12" s="282" t="str">
        <f t="shared" si="115"/>
        <v/>
      </c>
      <c r="HA12" s="605" t="str">
        <f t="shared" si="84"/>
        <v/>
      </c>
      <c r="HB12" s="607" t="str">
        <f t="shared" si="116"/>
        <v/>
      </c>
      <c r="HC12" s="612" t="str">
        <f t="shared" si="85"/>
        <v/>
      </c>
      <c r="HD12" s="608" t="str">
        <f t="shared" si="86"/>
        <v/>
      </c>
      <c r="HE12" s="609" t="str">
        <f t="shared" si="87"/>
        <v/>
      </c>
      <c r="HF12" s="282" t="str">
        <f t="shared" si="88"/>
        <v/>
      </c>
      <c r="HG12" s="217"/>
      <c r="HH12" s="282" t="str">
        <f t="shared" si="89"/>
        <v/>
      </c>
      <c r="HI12" s="282" t="str">
        <f t="shared" si="90"/>
        <v/>
      </c>
      <c r="HJ12" s="282"/>
      <c r="HK12" s="282"/>
      <c r="HL12" s="217"/>
      <c r="HM12" s="420"/>
      <c r="HN12" s="420"/>
      <c r="HO12" s="420"/>
      <c r="HP12" s="420"/>
      <c r="HQ12" s="282" t="str">
        <f t="shared" si="91"/>
        <v/>
      </c>
      <c r="HR12" s="420"/>
      <c r="HS12" s="420"/>
      <c r="HT12" s="420"/>
      <c r="HU12" s="420"/>
      <c r="HV12" s="420"/>
      <c r="HW12" s="420"/>
      <c r="HX12" s="425"/>
      <c r="HY12" s="338"/>
      <c r="HZ12" s="338"/>
      <c r="IA12" s="161"/>
      <c r="IB12" s="161"/>
      <c r="IC12" s="162"/>
      <c r="ID12" s="162"/>
      <c r="IE12" s="49"/>
      <c r="IF12" s="55"/>
      <c r="IG12" s="58"/>
      <c r="IH12" s="545">
        <f t="shared" si="117"/>
        <v>-26.067254948724063</v>
      </c>
      <c r="IJ12" s="146">
        <v>6</v>
      </c>
      <c r="IK12" s="545">
        <f t="shared" si="92"/>
        <v>155</v>
      </c>
      <c r="IL12" s="106">
        <f t="shared" si="93"/>
        <v>-0.26067254948724061</v>
      </c>
      <c r="IM12" s="110">
        <f t="shared" ref="IM12:IM35" si="128">+IF(IK12="", "", IK12)</f>
        <v>155</v>
      </c>
      <c r="IN12" s="111">
        <f t="shared" si="118"/>
        <v>-46515.23875000004</v>
      </c>
      <c r="IO12" s="50">
        <f t="shared" si="95"/>
        <v>0</v>
      </c>
      <c r="IP12" s="50">
        <f t="shared" si="95"/>
        <v>0</v>
      </c>
      <c r="IQ12" s="50">
        <f t="shared" si="95"/>
        <v>0</v>
      </c>
      <c r="IR12" s="50">
        <f t="shared" si="95"/>
        <v>0</v>
      </c>
      <c r="IS12" s="50">
        <f t="shared" si="95"/>
        <v>0</v>
      </c>
      <c r="IT12" s="50">
        <f t="shared" si="95"/>
        <v>0</v>
      </c>
      <c r="IU12" s="50">
        <f t="shared" si="95"/>
        <v>0</v>
      </c>
      <c r="IV12" s="50">
        <f t="shared" si="95"/>
        <v>0</v>
      </c>
      <c r="IW12" s="50">
        <f t="shared" si="95"/>
        <v>0</v>
      </c>
      <c r="IX12" s="50">
        <f t="shared" si="95"/>
        <v>0</v>
      </c>
      <c r="IY12" s="50">
        <f t="shared" si="96"/>
        <v>0</v>
      </c>
      <c r="IZ12" s="50">
        <f t="shared" si="96"/>
        <v>0</v>
      </c>
      <c r="JA12" s="50">
        <f t="shared" si="96"/>
        <v>0</v>
      </c>
      <c r="JB12" s="50">
        <f t="shared" si="96"/>
        <v>0</v>
      </c>
      <c r="JC12" s="50">
        <f t="shared" si="96"/>
        <v>0</v>
      </c>
      <c r="JD12" s="50">
        <f t="shared" si="96"/>
        <v>0</v>
      </c>
      <c r="JE12" s="50">
        <f t="shared" si="96"/>
        <v>0</v>
      </c>
      <c r="JF12" s="50">
        <f t="shared" si="96"/>
        <v>0</v>
      </c>
      <c r="JG12" s="50">
        <f t="shared" si="96"/>
        <v>0</v>
      </c>
      <c r="JH12" s="50">
        <f t="shared" si="96"/>
        <v>0</v>
      </c>
      <c r="JI12" s="50">
        <f t="shared" si="97"/>
        <v>0</v>
      </c>
      <c r="JJ12" s="50">
        <f t="shared" si="97"/>
        <v>0</v>
      </c>
      <c r="JK12" s="50">
        <f t="shared" si="97"/>
        <v>0</v>
      </c>
      <c r="JL12" s="50">
        <f t="shared" si="97"/>
        <v>0</v>
      </c>
      <c r="JM12" s="50">
        <f t="shared" si="97"/>
        <v>0</v>
      </c>
      <c r="JN12" s="50">
        <f t="shared" si="97"/>
        <v>0</v>
      </c>
      <c r="JO12" s="50">
        <f t="shared" si="97"/>
        <v>0</v>
      </c>
      <c r="JP12" s="50">
        <f t="shared" si="97"/>
        <v>0</v>
      </c>
      <c r="JQ12" s="50">
        <f t="shared" si="97"/>
        <v>0</v>
      </c>
      <c r="JR12" s="50">
        <f t="shared" si="97"/>
        <v>0</v>
      </c>
      <c r="JS12" s="50">
        <f t="shared" si="98"/>
        <v>0</v>
      </c>
      <c r="JT12" s="50">
        <f t="shared" si="98"/>
        <v>0</v>
      </c>
      <c r="JU12" s="50" t="str">
        <f t="shared" si="98"/>
        <v/>
      </c>
      <c r="JV12" s="50" t="str">
        <f t="shared" si="98"/>
        <v/>
      </c>
      <c r="JW12" s="50" t="str">
        <f t="shared" si="98"/>
        <v/>
      </c>
      <c r="JX12" s="50" t="str">
        <f t="shared" si="98"/>
        <v/>
      </c>
      <c r="JY12" s="50" t="str">
        <f t="shared" si="98"/>
        <v/>
      </c>
      <c r="JZ12" s="50" t="str">
        <f t="shared" si="98"/>
        <v/>
      </c>
      <c r="KA12" s="50" t="str">
        <f t="shared" si="98"/>
        <v/>
      </c>
      <c r="KB12" s="50" t="str">
        <f t="shared" si="98"/>
        <v/>
      </c>
      <c r="KC12" s="50" t="str">
        <f t="shared" si="98"/>
        <v/>
      </c>
      <c r="KD12" s="50" t="str">
        <f t="shared" si="98"/>
        <v/>
      </c>
    </row>
    <row r="13" spans="1:290" s="144" customFormat="1" ht="15" customHeight="1" thickBot="1">
      <c r="B13" s="146">
        <v>7</v>
      </c>
      <c r="C13" s="121" t="str">
        <f t="shared" si="99"/>
        <v>GFGC160.AB</v>
      </c>
      <c r="D13" s="121" t="str">
        <f t="shared" si="100"/>
        <v>GFGV160.AB</v>
      </c>
      <c r="E13" s="122">
        <f t="shared" si="1"/>
        <v>160</v>
      </c>
      <c r="F13" s="123" t="str">
        <f t="shared" si="2"/>
        <v/>
      </c>
      <c r="G13" s="123" t="str">
        <f t="shared" si="3"/>
        <v/>
      </c>
      <c r="H13" s="124" t="str">
        <f t="shared" si="4"/>
        <v/>
      </c>
      <c r="I13" s="124">
        <f t="shared" si="5"/>
        <v>0.45</v>
      </c>
      <c r="J13" s="124" t="str">
        <f t="shared" si="6"/>
        <v/>
      </c>
      <c r="K13" s="124" t="str">
        <f t="shared" si="7"/>
        <v/>
      </c>
      <c r="M13" s="158">
        <f t="shared" si="8"/>
        <v>12</v>
      </c>
      <c r="N13" s="121" t="str">
        <f t="shared" si="9"/>
        <v>GFGC160.AB</v>
      </c>
      <c r="O13" s="158">
        <f t="shared" si="10"/>
        <v>12</v>
      </c>
      <c r="P13" s="121" t="str">
        <f t="shared" si="11"/>
        <v>GFGV160.AB</v>
      </c>
      <c r="R13" s="159"/>
      <c r="S13" s="160" t="str">
        <f t="shared" si="12"/>
        <v/>
      </c>
      <c r="U13" s="234" t="s">
        <v>106</v>
      </c>
      <c r="V13" s="133">
        <f>+IF(BI1 = "", "", VLOOKUP(BI1, VENCIMIENTOS_OPCIONES, 2,FALSE ))</f>
        <v>44666</v>
      </c>
      <c r="W13" s="54"/>
      <c r="X13" s="200">
        <v>7</v>
      </c>
      <c r="Y13" s="546">
        <f t="shared" si="13"/>
        <v>-23.68232768900549</v>
      </c>
      <c r="Z13" s="540">
        <f t="shared" si="14"/>
        <v>-46515.23875000004</v>
      </c>
      <c r="AA13" s="179"/>
      <c r="AB13" s="540">
        <f t="shared" si="15"/>
        <v>0</v>
      </c>
      <c r="AC13" s="161"/>
      <c r="AD13" s="200">
        <v>7</v>
      </c>
      <c r="AE13" s="825">
        <f t="shared" si="101"/>
        <v>160</v>
      </c>
      <c r="AF13" s="201"/>
      <c r="AG13" s="179"/>
      <c r="AH13" s="177">
        <f t="shared" si="102"/>
        <v>0</v>
      </c>
      <c r="AI13" s="166">
        <f t="shared" si="103"/>
        <v>0</v>
      </c>
      <c r="AJ13" s="179"/>
      <c r="AK13" s="177">
        <f t="shared" si="104"/>
        <v>0</v>
      </c>
      <c r="AL13" s="166">
        <f t="shared" si="105"/>
        <v>0</v>
      </c>
      <c r="AM13" s="179"/>
      <c r="AN13" s="177"/>
      <c r="AO13" s="166"/>
      <c r="AP13" s="179"/>
      <c r="AQ13" s="176">
        <f t="shared" si="106"/>
        <v>0</v>
      </c>
      <c r="AR13" s="165">
        <f t="shared" si="107"/>
        <v>0</v>
      </c>
      <c r="AS13" s="179"/>
      <c r="AT13" s="176">
        <f t="shared" si="108"/>
        <v>0</v>
      </c>
      <c r="AU13" s="165">
        <f t="shared" si="109"/>
        <v>0</v>
      </c>
      <c r="AV13" s="179"/>
      <c r="AW13" s="200">
        <f t="shared" si="16"/>
        <v>7</v>
      </c>
      <c r="AX13" s="170">
        <f t="shared" si="17"/>
        <v>160</v>
      </c>
      <c r="AY13" s="164"/>
      <c r="AZ13" s="215">
        <f t="shared" si="18"/>
        <v>0</v>
      </c>
      <c r="BA13" s="197"/>
      <c r="BB13" s="228">
        <f t="shared" si="19"/>
        <v>0</v>
      </c>
      <c r="BC13" s="161"/>
      <c r="BD13" s="240">
        <f t="shared" si="20"/>
        <v>0</v>
      </c>
      <c r="BE13" s="196"/>
      <c r="BF13" s="240">
        <f t="shared" si="21"/>
        <v>0</v>
      </c>
      <c r="BG13" s="196"/>
      <c r="BH13" s="189"/>
      <c r="BI13" s="227">
        <f t="shared" si="22"/>
        <v>0.45</v>
      </c>
      <c r="BJ13" s="197"/>
      <c r="BK13" s="167">
        <f t="shared" si="23"/>
        <v>-0.19928999999999999</v>
      </c>
      <c r="BL13" s="161"/>
      <c r="BM13" s="240">
        <f t="shared" si="24"/>
        <v>0.45</v>
      </c>
      <c r="BN13" s="196"/>
      <c r="BO13" s="240">
        <f t="shared" si="25"/>
        <v>0.46</v>
      </c>
      <c r="BP13" s="196"/>
      <c r="BQ13" s="161"/>
      <c r="BR13" s="381"/>
      <c r="BS13" s="392">
        <f t="shared" si="122"/>
        <v>0</v>
      </c>
      <c r="BT13" s="376"/>
      <c r="BU13" s="393" t="str">
        <f t="shared" si="126"/>
        <v/>
      </c>
      <c r="BV13" s="310"/>
      <c r="BW13" s="311" t="str">
        <f t="shared" si="110"/>
        <v/>
      </c>
      <c r="BX13" s="372"/>
      <c r="BY13" s="440"/>
      <c r="BZ13" s="432">
        <v>1.0329999999999999</v>
      </c>
      <c r="CA13" s="372">
        <v>10</v>
      </c>
      <c r="CB13" s="572" t="str">
        <f t="shared" si="125"/>
        <v/>
      </c>
      <c r="CC13" s="567">
        <f t="shared" si="29"/>
        <v>0</v>
      </c>
      <c r="CD13" s="814">
        <f t="shared" si="30"/>
        <v>160</v>
      </c>
      <c r="CE13" s="569">
        <f t="shared" si="31"/>
        <v>0</v>
      </c>
      <c r="CF13" s="574" t="str">
        <f t="shared" si="32"/>
        <v/>
      </c>
      <c r="CG13" s="372"/>
      <c r="CH13" s="435">
        <v>0.69799999999999995</v>
      </c>
      <c r="CI13" s="436"/>
      <c r="CJ13" s="372"/>
      <c r="CK13" s="391" t="str">
        <f t="shared" si="111"/>
        <v/>
      </c>
      <c r="CL13" s="396" t="str">
        <f>+IF(OR(CF14="", CB13="", CF14=0, CB13=0), "", IF($BU$1=FALSE, CB13-CF14,- CB13+CF14))</f>
        <v/>
      </c>
      <c r="CM13" s="370"/>
      <c r="CN13" s="161"/>
      <c r="CO13" s="161"/>
      <c r="CP13" s="161"/>
      <c r="CQ13" s="161"/>
      <c r="CR13" s="161"/>
      <c r="CS13" s="161"/>
      <c r="CT13" s="161"/>
      <c r="CU13" s="161"/>
      <c r="CV13" s="161"/>
      <c r="CW13" s="161"/>
      <c r="CX13" s="161"/>
      <c r="CY13" s="161"/>
      <c r="CZ13" s="161"/>
      <c r="DA13" s="161"/>
      <c r="DB13" s="161"/>
      <c r="DC13" s="161"/>
      <c r="DD13" s="161"/>
      <c r="DE13" s="161"/>
      <c r="DF13" s="161"/>
      <c r="DG13" s="161"/>
      <c r="DH13" s="161"/>
      <c r="DI13" s="161"/>
      <c r="DJ13" s="892"/>
      <c r="DK13" s="242">
        <f t="shared" si="123"/>
        <v>0</v>
      </c>
      <c r="DL13" s="217"/>
      <c r="DM13" s="490">
        <f t="shared" si="34"/>
        <v>0</v>
      </c>
      <c r="DN13" s="242">
        <f t="shared" si="35"/>
        <v>0</v>
      </c>
      <c r="DO13" s="243">
        <f t="shared" si="36"/>
        <v>0</v>
      </c>
      <c r="DP13" s="217"/>
      <c r="DQ13" s="252">
        <f t="shared" si="120"/>
        <v>0</v>
      </c>
      <c r="DR13" s="217"/>
      <c r="DS13" s="242">
        <f t="shared" si="38"/>
        <v>0</v>
      </c>
      <c r="DT13" s="242">
        <f t="shared" si="39"/>
        <v>0</v>
      </c>
      <c r="DU13" s="244">
        <f t="shared" si="40"/>
        <v>0</v>
      </c>
      <c r="DV13" s="217"/>
      <c r="DW13" s="428">
        <f>+IF(OR(AE13 = "", AND(AH13 = "", AK13 = "")), "",IFERROR(+AH13 * CallDelta($AG$1,AE13,($BM$1/365), $V$15, $AZ$1, $V$17), 0) + IFERROR(AK13 * Putdelta($AG$1,AE13,($BM$1/365), $V$15, $AZ$1, $V$17), 0))</f>
        <v>0</v>
      </c>
      <c r="DX13" s="245">
        <f>+IF(OR(AE13 = "", AND(AH13 = "", AK13 = "")), "",IFERROR(+AH13 * OptionGamma($AG$1,AE13,($BM$1/365), $V$15, $AZ$1, $V$17), 0) + IFERROR(AK13 * OptionGamma($AG$1,AE13,($BM$1/365), $V$15, $AZ$1, $V$17), 0))</f>
        <v>0</v>
      </c>
      <c r="DY13" s="161"/>
      <c r="DZ13" s="267">
        <f t="shared" si="127"/>
        <v>0</v>
      </c>
      <c r="EA13" s="217"/>
      <c r="EB13" s="267">
        <f t="shared" si="42"/>
        <v>0</v>
      </c>
      <c r="EC13" s="267">
        <f t="shared" si="43"/>
        <v>0</v>
      </c>
      <c r="ED13" s="247">
        <f t="shared" si="44"/>
        <v>0</v>
      </c>
      <c r="EE13" s="217"/>
      <c r="EF13" s="267">
        <f t="shared" ref="EF13:EF48" si="129">IF(OR(AE13 = "", AT13 = ""), "",
-(EI59 * AT13 * 100))</f>
        <v>0</v>
      </c>
      <c r="EG13" s="217"/>
      <c r="EH13" s="267">
        <f t="shared" si="46"/>
        <v>0</v>
      </c>
      <c r="EI13" s="246">
        <f t="shared" si="47"/>
        <v>0</v>
      </c>
      <c r="EJ13" s="248">
        <f t="shared" si="48"/>
        <v>0</v>
      </c>
      <c r="EK13" s="217"/>
      <c r="EL13" s="251">
        <f>+IF(OR(AE13 = "", AND(AQ13 = "", AT13 = "")), "",IFERROR(+AQ13 * CallDelta($AG$1,AE13,($BM$1/365), $V$15, $AZ$1, $V$17), 0) + IFERROR(AT13 * Putdelta($AG$1,AE13,($BM$1/365), $V$15, $AZ$1, $V$17), 0))</f>
        <v>0</v>
      </c>
      <c r="EM13" s="249">
        <f>+IF(OR(AE13 = "", AND(AQ13 = "", AT13 = "")), "",IFERROR(+AQ13 * OptionGamma($AG$1,AE13,($BM$1/365), $V$15, $AZ$1, $V$17), 0) + IFERROR(AT13 * OptionGamma($AG$1,AE13,($BM$1/365), $V$15, $AZ$1, $V$17), 0))</f>
        <v>0</v>
      </c>
      <c r="EN13" s="451">
        <f>+IF($EN$49 = TRUE, IF(AE13 &gt;= $AG$1, IF($EN$1 = 1, EO13, IF($EN$1 = 2, EP13, IF($EN$1 = 3, EQ13))), NA()), IF($EN$1 = 1, EO13, IF($EN$1 = 2, EP13, IF($EN$1 = 3, EQ13))))</f>
        <v>3.814697265625E-3</v>
      </c>
      <c r="EO13" s="418">
        <f>+IF(AE13 = "", "",ImpliedCallVolatility($AG$1, $AE13,($BM$1/365), $V$15, $AZ13, $V$17) * 100)</f>
        <v>3.814697265625E-3</v>
      </c>
      <c r="EP13" s="418">
        <f>+IF(AE13 = "", "",ImpliedCallVolatility($AG$1, $AE13,($BM$1/365), $V$15, BD13, $V$17) * 100)</f>
        <v>3.814697265625E-3</v>
      </c>
      <c r="EQ13" s="418">
        <f>+IF(AE13 = "", "",ImpliedCallVolatility($AG$1, $AE13,($BM$1/365), $V$15, BF13, $V$17) * 100)</f>
        <v>3.814697265625E-3</v>
      </c>
      <c r="ER13" s="411" t="str">
        <f t="shared" si="50"/>
        <v/>
      </c>
      <c r="ES13" s="411" t="str">
        <f t="shared" si="51"/>
        <v/>
      </c>
      <c r="ET13" s="411" t="str">
        <f t="shared" si="52"/>
        <v/>
      </c>
      <c r="EU13" s="416">
        <f>IF($FC$1 = 1,
IF(AE13 = "", "",OptionGamma($AG$1,AE13,($BM$1/365), $V$15, $AZ$1, $V$17) * 1000),
IF($FC$1 = 2, IF(OR(AE13 = "", BD13 =  0), "",IF(AE13 &lt; $AG$1, (((AE13 * (1 - COMIS_ACCION)) / (($AG$1 * (1 + COMIS_ACCION)) - (BD13 * (1 - COMIS_OPCION)))) - 1) * 100 / $BM$1 * 365,((($AG$1 * (1 - COMIS_ACCION)) / (($AG$1 * (1 + COMIS_ACCION)) - (BD13 * (1 - COMIS_OPCION)))) - 1) * 100 / $BM$1 * 365))))</f>
        <v>1.0010072388554963</v>
      </c>
      <c r="EV13" s="276">
        <f>+IF(AE13 = "", "",CallOption($AG$1, $AE13,($BM$1/365), $V$15, $AZ$1, $V$17))</f>
        <v>57.629586203694714</v>
      </c>
      <c r="EW13" s="271" t="str">
        <f t="shared" si="53"/>
        <v/>
      </c>
      <c r="EX13" s="272">
        <f t="shared" si="54"/>
        <v>48.397625800000021</v>
      </c>
      <c r="EY13" s="274">
        <f t="shared" si="55"/>
        <v>-50.902374199999976</v>
      </c>
      <c r="EZ13" s="272">
        <f t="shared" si="56"/>
        <v>-160.27104</v>
      </c>
      <c r="FA13" s="272">
        <f t="shared" si="57"/>
        <v>159.72896</v>
      </c>
      <c r="FB13" s="530">
        <f>+IF($FC$1 = 1, IF(AE13 = "", "",IFERROR( VLOOKUP(N13, PreciosCalls, 13, FALSE), 0)),
IF($FC$1 = 2,  IF(AE13 = "", "",OptionGamma($AG$1,AE13,($BM$1/365), $V$15, $AZ$1, $V$17) * 1000)))</f>
        <v>0</v>
      </c>
      <c r="FC13" s="530">
        <f>IF($FC$1 = 1, IF(AE13 = "", "",IFERROR( VLOOKUP(N13, PreciosCalls, 14, FALSE), 0)),
IF($FC$1 = 2, IF(AE13 = "", "",CallDelta($AG$1,AE13,($BM$1/365), $V$15, $AZ$1, $V$17) * 100)))</f>
        <v>0</v>
      </c>
      <c r="FD13" s="531">
        <f t="shared" si="58"/>
        <v>0</v>
      </c>
      <c r="FE13" s="530">
        <f t="shared" si="59"/>
        <v>0</v>
      </c>
      <c r="FF13" s="217"/>
      <c r="FG13" s="273" t="str">
        <f t="shared" si="60"/>
        <v/>
      </c>
      <c r="FH13" s="273" t="str">
        <f t="shared" si="61"/>
        <v/>
      </c>
      <c r="FI13" s="451">
        <f t="shared" si="62"/>
        <v>47.779083251953125</v>
      </c>
      <c r="FJ13" s="419">
        <f>+IF(AE13 = "", "",ImpliedPutVolatility($AG$1, $AE13,($BM$1/365), $V$15, BI13, $V$17) * 100)</f>
        <v>47.595977783203125</v>
      </c>
      <c r="FK13" s="419">
        <f>+IF(AE13 = "", "",ImpliedPutVolatility($AG$1, $AE13,($BM$1/365), $V$15, BM13, $V$17) * 100)</f>
        <v>47.595977783203125</v>
      </c>
      <c r="FL13" s="419">
        <f>+IF(AE13 = "", "",ImpliedPutVolatility($AG$1, $AE13,($BM$1/365), $V$15, BO13, $V$17) * 100)</f>
        <v>47.779083251953125</v>
      </c>
      <c r="FM13" s="415">
        <f t="shared" si="63"/>
        <v>0.45</v>
      </c>
      <c r="FN13" s="415">
        <f t="shared" si="64"/>
        <v>0.45</v>
      </c>
      <c r="FO13" s="415">
        <f t="shared" si="65"/>
        <v>0.46</v>
      </c>
      <c r="FP13" s="417">
        <f>IF($FX$1=1, IF(AE13 = "", "",OptionGamma($AG$1,AE13,($BM$1/365), $V$15, $AZ$1, $V$17) * 1000),
IF($FX$1 = 2, IF(OR(AE13 = "", BM13 =  0), "",((BM13 * (1 - COMIS_OPCION)) / (AE13 * (1 + COMIS_ACCION))) * 100 / $BM$1 * 365)))</f>
        <v>1.0010072388554963</v>
      </c>
      <c r="FQ13" s="289">
        <f>+IF(AE13 = "", "",PutOption($AG$1, $AE13,($BM$1/365), $V$15, $AZ$1, $V$17))</f>
        <v>0.13043353363891708</v>
      </c>
      <c r="FR13" s="279"/>
      <c r="FS13" s="284">
        <f t="shared" si="66"/>
        <v>-50.902374199999976</v>
      </c>
      <c r="FT13" s="284">
        <f t="shared" si="67"/>
        <v>48.397625800000021</v>
      </c>
      <c r="FU13" s="280">
        <f t="shared" si="68"/>
        <v>-50.276187100000016</v>
      </c>
      <c r="FV13" s="279"/>
      <c r="FW13" s="287">
        <f>+IF($FX$1 = 1, IFERROR(VLOOKUP(P13, PreciosPuts, 13, FALSE), 0),
IF($FX$1 = 2, IF(AE13 = "", "",OptionGamma($AG$1,AE13,($BM$1/365), $V$15, $AZ$1, $V$17) * 1000)))</f>
        <v>2747</v>
      </c>
      <c r="FX13" s="287">
        <f>+IF($FX$1=1, IF(AE13 = "", "",IFERROR(VLOOKUP(P13, PreciosPuts, 14, FALSE), 0)),
IF($FX$1=2, IF(AE13 = "", "",Putdelta($AG$1,AE13,($BM$1/365), $V$15, $AZ$1, $V$17) * 100)))</f>
        <v>0</v>
      </c>
      <c r="FY13" s="286">
        <f t="shared" si="69"/>
        <v>0.4770069166363306</v>
      </c>
      <c r="FZ13" s="287">
        <f t="shared" si="70"/>
        <v>131033.8</v>
      </c>
      <c r="GA13" s="217"/>
      <c r="GB13" s="281" t="str">
        <f>+IF(OR(BM14=0, BO13=0), "", BM14 / BO13)</f>
        <v/>
      </c>
      <c r="GC13" s="281">
        <f>+IF(OR(BM15=0, BO13=0), "", BM15 / BO13)</f>
        <v>1.5217391304347825</v>
      </c>
      <c r="GD13" s="217"/>
      <c r="GE13" s="303" t="str">
        <f t="shared" si="71"/>
        <v/>
      </c>
      <c r="GF13" s="292" t="str">
        <f t="shared" si="72"/>
        <v/>
      </c>
      <c r="GG13" s="293" t="str">
        <f t="shared" si="73"/>
        <v/>
      </c>
      <c r="GH13" s="294" t="str">
        <f t="shared" si="124"/>
        <v/>
      </c>
      <c r="GI13" s="294">
        <v>7</v>
      </c>
      <c r="GJ13" s="217"/>
      <c r="GK13" s="305" t="str">
        <f t="shared" si="74"/>
        <v/>
      </c>
      <c r="GL13" s="299" t="str">
        <f t="shared" si="75"/>
        <v/>
      </c>
      <c r="GM13" s="300" t="str">
        <f t="shared" si="76"/>
        <v/>
      </c>
      <c r="GN13" s="225" t="str">
        <f t="shared" si="121"/>
        <v/>
      </c>
      <c r="GO13" s="225">
        <v>7</v>
      </c>
      <c r="GP13" s="217"/>
      <c r="GQ13" s="217"/>
      <c r="GR13" s="401" t="str">
        <f>+IF(AE13 = $GQ$4, $GR$4,
IF(AE13 = $GQ$5, -$GR$5,
IF(AE13 = $GQ$6, $GR$6, "")))</f>
        <v/>
      </c>
      <c r="GT13" s="282" t="str">
        <f t="shared" si="78"/>
        <v/>
      </c>
      <c r="GU13" s="282" t="str">
        <f t="shared" si="79"/>
        <v/>
      </c>
      <c r="GV13" s="282" t="str">
        <f t="shared" si="80"/>
        <v/>
      </c>
      <c r="GW13" s="282" t="str">
        <f t="shared" si="81"/>
        <v/>
      </c>
      <c r="GX13" s="282" t="str">
        <f t="shared" si="82"/>
        <v/>
      </c>
      <c r="GY13" s="282" t="str">
        <f t="shared" si="83"/>
        <v/>
      </c>
      <c r="GZ13" s="282" t="str">
        <f t="shared" si="115"/>
        <v/>
      </c>
      <c r="HA13" s="282" t="str">
        <f t="shared" si="84"/>
        <v/>
      </c>
      <c r="HB13" s="282" t="str">
        <f t="shared" si="116"/>
        <v/>
      </c>
      <c r="HC13" s="607" t="str">
        <f t="shared" si="85"/>
        <v/>
      </c>
      <c r="HD13" s="286" t="str">
        <f t="shared" si="86"/>
        <v/>
      </c>
      <c r="HE13" s="282" t="str">
        <f t="shared" si="87"/>
        <v/>
      </c>
      <c r="HF13" s="282" t="str">
        <f t="shared" si="88"/>
        <v/>
      </c>
      <c r="HG13" s="217"/>
      <c r="HH13" s="282" t="str">
        <f t="shared" si="89"/>
        <v/>
      </c>
      <c r="HI13" s="282" t="str">
        <f t="shared" si="90"/>
        <v/>
      </c>
      <c r="HJ13" s="282"/>
      <c r="HK13" s="282"/>
      <c r="HL13" s="217"/>
      <c r="HM13" s="420"/>
      <c r="HN13" s="420"/>
      <c r="HO13" s="420"/>
      <c r="HP13" s="420"/>
      <c r="HQ13" s="282" t="str">
        <f t="shared" si="91"/>
        <v/>
      </c>
      <c r="HR13" s="420"/>
      <c r="HS13" s="420"/>
      <c r="HT13" s="420"/>
      <c r="HU13" s="420"/>
      <c r="HV13" s="420"/>
      <c r="HW13" s="420"/>
      <c r="HX13" s="425"/>
      <c r="HY13" s="338"/>
      <c r="HZ13" s="338"/>
      <c r="IA13" s="161"/>
      <c r="IB13" s="161"/>
      <c r="IC13" s="162"/>
      <c r="ID13" s="162"/>
      <c r="IE13" s="49"/>
      <c r="IF13" s="55"/>
      <c r="IG13" s="58"/>
      <c r="IH13" s="545">
        <f t="shared" si="117"/>
        <v>-23.68232768900549</v>
      </c>
      <c r="IJ13" s="146">
        <v>7</v>
      </c>
      <c r="IK13" s="545">
        <f t="shared" si="92"/>
        <v>160</v>
      </c>
      <c r="IL13" s="106">
        <f t="shared" si="93"/>
        <v>-0.23682327689005489</v>
      </c>
      <c r="IM13" s="110">
        <f t="shared" si="128"/>
        <v>160</v>
      </c>
      <c r="IN13" s="111">
        <f t="shared" si="118"/>
        <v>-46515.23875000004</v>
      </c>
      <c r="IO13" s="50">
        <f t="shared" si="95"/>
        <v>0</v>
      </c>
      <c r="IP13" s="50">
        <f t="shared" si="95"/>
        <v>0</v>
      </c>
      <c r="IQ13" s="50">
        <f t="shared" si="95"/>
        <v>0</v>
      </c>
      <c r="IR13" s="50">
        <f t="shared" si="95"/>
        <v>0</v>
      </c>
      <c r="IS13" s="50">
        <f t="shared" si="95"/>
        <v>0</v>
      </c>
      <c r="IT13" s="50">
        <f t="shared" si="95"/>
        <v>0</v>
      </c>
      <c r="IU13" s="50">
        <f t="shared" si="95"/>
        <v>0</v>
      </c>
      <c r="IV13" s="50">
        <f t="shared" si="95"/>
        <v>0</v>
      </c>
      <c r="IW13" s="50">
        <f t="shared" si="95"/>
        <v>0</v>
      </c>
      <c r="IX13" s="50">
        <f t="shared" si="95"/>
        <v>0</v>
      </c>
      <c r="IY13" s="50">
        <f t="shared" si="96"/>
        <v>0</v>
      </c>
      <c r="IZ13" s="50">
        <f t="shared" si="96"/>
        <v>0</v>
      </c>
      <c r="JA13" s="50">
        <f t="shared" si="96"/>
        <v>0</v>
      </c>
      <c r="JB13" s="50">
        <f t="shared" si="96"/>
        <v>0</v>
      </c>
      <c r="JC13" s="50">
        <f t="shared" si="96"/>
        <v>0</v>
      </c>
      <c r="JD13" s="50">
        <f t="shared" si="96"/>
        <v>0</v>
      </c>
      <c r="JE13" s="50">
        <f t="shared" si="96"/>
        <v>0</v>
      </c>
      <c r="JF13" s="50">
        <f t="shared" si="96"/>
        <v>0</v>
      </c>
      <c r="JG13" s="50">
        <f t="shared" si="96"/>
        <v>0</v>
      </c>
      <c r="JH13" s="50">
        <f t="shared" si="96"/>
        <v>0</v>
      </c>
      <c r="JI13" s="50">
        <f t="shared" si="97"/>
        <v>0</v>
      </c>
      <c r="JJ13" s="50">
        <f t="shared" si="97"/>
        <v>0</v>
      </c>
      <c r="JK13" s="50">
        <f t="shared" si="97"/>
        <v>0</v>
      </c>
      <c r="JL13" s="50">
        <f t="shared" si="97"/>
        <v>0</v>
      </c>
      <c r="JM13" s="50">
        <f t="shared" si="97"/>
        <v>0</v>
      </c>
      <c r="JN13" s="50">
        <f t="shared" si="97"/>
        <v>0</v>
      </c>
      <c r="JO13" s="50">
        <f t="shared" si="97"/>
        <v>0</v>
      </c>
      <c r="JP13" s="50">
        <f t="shared" si="97"/>
        <v>0</v>
      </c>
      <c r="JQ13" s="50">
        <f t="shared" si="97"/>
        <v>0</v>
      </c>
      <c r="JR13" s="50">
        <f t="shared" si="97"/>
        <v>0</v>
      </c>
      <c r="JS13" s="50">
        <f t="shared" si="98"/>
        <v>0</v>
      </c>
      <c r="JT13" s="50">
        <f t="shared" si="98"/>
        <v>0</v>
      </c>
      <c r="JU13" s="50" t="str">
        <f t="shared" si="98"/>
        <v/>
      </c>
      <c r="JV13" s="50" t="str">
        <f t="shared" si="98"/>
        <v/>
      </c>
      <c r="JW13" s="50" t="str">
        <f t="shared" si="98"/>
        <v/>
      </c>
      <c r="JX13" s="50" t="str">
        <f t="shared" si="98"/>
        <v/>
      </c>
      <c r="JY13" s="50" t="str">
        <f t="shared" si="98"/>
        <v/>
      </c>
      <c r="JZ13" s="50" t="str">
        <f t="shared" si="98"/>
        <v/>
      </c>
      <c r="KA13" s="50" t="str">
        <f t="shared" si="98"/>
        <v/>
      </c>
      <c r="KB13" s="50" t="str">
        <f t="shared" si="98"/>
        <v/>
      </c>
      <c r="KC13" s="50" t="str">
        <f t="shared" si="98"/>
        <v/>
      </c>
      <c r="KD13" s="50" t="str">
        <f t="shared" si="98"/>
        <v/>
      </c>
    </row>
    <row r="14" spans="1:290" s="144" customFormat="1" ht="15" customHeight="1" thickBot="1">
      <c r="B14" s="146">
        <v>8</v>
      </c>
      <c r="C14" s="121" t="str">
        <f t="shared" si="99"/>
        <v>GFGC165.AB</v>
      </c>
      <c r="D14" s="121" t="str">
        <f t="shared" si="100"/>
        <v>GFGV165.AB</v>
      </c>
      <c r="E14" s="122">
        <f t="shared" si="1"/>
        <v>165</v>
      </c>
      <c r="F14" s="123" t="str">
        <f t="shared" si="2"/>
        <v/>
      </c>
      <c r="G14" s="123" t="str">
        <f t="shared" si="3"/>
        <v/>
      </c>
      <c r="H14" s="124">
        <f t="shared" si="4"/>
        <v>55</v>
      </c>
      <c r="I14" s="124">
        <f t="shared" si="5"/>
        <v>0.62</v>
      </c>
      <c r="J14" s="124" t="str">
        <f t="shared" si="6"/>
        <v/>
      </c>
      <c r="K14" s="124" t="str">
        <f t="shared" si="7"/>
        <v/>
      </c>
      <c r="M14" s="158">
        <f t="shared" si="8"/>
        <v>12</v>
      </c>
      <c r="N14" s="121" t="str">
        <f t="shared" si="9"/>
        <v>GFGC165.AB</v>
      </c>
      <c r="O14" s="158">
        <f t="shared" si="10"/>
        <v>12</v>
      </c>
      <c r="P14" s="121" t="str">
        <f t="shared" si="11"/>
        <v>GFGV165.AB</v>
      </c>
      <c r="R14" s="159"/>
      <c r="S14" s="160" t="str">
        <f t="shared" si="12"/>
        <v/>
      </c>
      <c r="W14" s="54"/>
      <c r="X14" s="200">
        <v>8</v>
      </c>
      <c r="Y14" s="546">
        <f t="shared" si="13"/>
        <v>-21.297400429286906</v>
      </c>
      <c r="Z14" s="540">
        <f t="shared" si="14"/>
        <v>-46515.23875000004</v>
      </c>
      <c r="AA14" s="179"/>
      <c r="AB14" s="540">
        <f t="shared" si="15"/>
        <v>0</v>
      </c>
      <c r="AC14" s="161"/>
      <c r="AD14" s="200">
        <v>8</v>
      </c>
      <c r="AE14" s="825">
        <f t="shared" si="101"/>
        <v>165</v>
      </c>
      <c r="AF14" s="201"/>
      <c r="AG14" s="179"/>
      <c r="AH14" s="177">
        <f t="shared" si="102"/>
        <v>0</v>
      </c>
      <c r="AI14" s="166">
        <f t="shared" si="103"/>
        <v>0</v>
      </c>
      <c r="AJ14" s="179"/>
      <c r="AK14" s="177">
        <f t="shared" si="104"/>
        <v>0</v>
      </c>
      <c r="AL14" s="166">
        <f t="shared" si="105"/>
        <v>0</v>
      </c>
      <c r="AM14" s="179"/>
      <c r="AN14" s="177"/>
      <c r="AO14" s="166"/>
      <c r="AP14" s="179"/>
      <c r="AQ14" s="176">
        <f t="shared" si="106"/>
        <v>0</v>
      </c>
      <c r="AR14" s="165">
        <f t="shared" si="107"/>
        <v>0</v>
      </c>
      <c r="AS14" s="179"/>
      <c r="AT14" s="176">
        <f t="shared" si="108"/>
        <v>0</v>
      </c>
      <c r="AU14" s="165">
        <f t="shared" si="109"/>
        <v>0</v>
      </c>
      <c r="AV14" s="179"/>
      <c r="AW14" s="200">
        <f t="shared" si="16"/>
        <v>8</v>
      </c>
      <c r="AX14" s="170">
        <f t="shared" si="17"/>
        <v>165</v>
      </c>
      <c r="AY14" s="164"/>
      <c r="AZ14" s="215">
        <f t="shared" si="18"/>
        <v>55</v>
      </c>
      <c r="BA14" s="197"/>
      <c r="BB14" s="228">
        <f t="shared" si="19"/>
        <v>0.14583000000000002</v>
      </c>
      <c r="BC14" s="161"/>
      <c r="BD14" s="240">
        <f t="shared" si="20"/>
        <v>48.381</v>
      </c>
      <c r="BE14" s="196"/>
      <c r="BF14" s="240">
        <f t="shared" si="21"/>
        <v>90</v>
      </c>
      <c r="BG14" s="196"/>
      <c r="BH14" s="189"/>
      <c r="BI14" s="227">
        <f t="shared" si="22"/>
        <v>0.62</v>
      </c>
      <c r="BJ14" s="197"/>
      <c r="BK14" s="167">
        <f t="shared" si="23"/>
        <v>0</v>
      </c>
      <c r="BL14" s="161"/>
      <c r="BM14" s="240">
        <f t="shared" si="24"/>
        <v>0</v>
      </c>
      <c r="BN14" s="196"/>
      <c r="BO14" s="240">
        <f t="shared" si="25"/>
        <v>0.62</v>
      </c>
      <c r="BP14" s="196"/>
      <c r="BQ14" s="161"/>
      <c r="BR14" s="381"/>
      <c r="BS14" s="392">
        <f t="shared" si="122"/>
        <v>27500</v>
      </c>
      <c r="BT14" s="376"/>
      <c r="BU14" s="393" t="str">
        <f>+IF(OR(CF14="", CB15="", CF14=0, CB15=0), "", IF($BU$1=FALSE, CF14-CB15, -CF14+CB15))</f>
        <v/>
      </c>
      <c r="BV14" s="310"/>
      <c r="BW14" s="311">
        <f t="shared" si="110"/>
        <v>213.381</v>
      </c>
      <c r="BX14" s="372"/>
      <c r="BY14" s="440"/>
      <c r="BZ14" s="432">
        <v>1.073</v>
      </c>
      <c r="CA14" s="372"/>
      <c r="CB14" s="572">
        <f>+IF($BU$1=FALSE, IF(BD14=0, "", BD14), IF(BM14=0,"", BM14))</f>
        <v>48.381</v>
      </c>
      <c r="CC14" s="567">
        <f t="shared" si="29"/>
        <v>1</v>
      </c>
      <c r="CD14" s="814">
        <f t="shared" si="30"/>
        <v>165</v>
      </c>
      <c r="CE14" s="569">
        <f t="shared" si="31"/>
        <v>1</v>
      </c>
      <c r="CF14" s="574">
        <f>+IF($BU$1=FALSE, IF(BF14=0, "", BF14), IF(BO14=0,"", BO14))</f>
        <v>90</v>
      </c>
      <c r="CG14" s="372"/>
      <c r="CH14" s="435">
        <v>38.847000000000001</v>
      </c>
      <c r="CI14" s="436"/>
      <c r="CJ14" s="372"/>
      <c r="CK14" s="391">
        <f t="shared" si="111"/>
        <v>255</v>
      </c>
      <c r="CL14" s="396" t="str">
        <f>+IF(OR(CF15="", CB14="", CF15=0, CB14=0), "", IF($BU$1=FALSE, CB14-CF15,- CB14+CF15))</f>
        <v/>
      </c>
      <c r="CM14" s="370"/>
      <c r="CN14" s="161"/>
      <c r="CO14" s="161"/>
      <c r="CP14" s="161"/>
      <c r="CQ14" s="161"/>
      <c r="CR14" s="161"/>
      <c r="CS14" s="161"/>
      <c r="CT14" s="161"/>
      <c r="CU14" s="161"/>
      <c r="CV14" s="161"/>
      <c r="CW14" s="161"/>
      <c r="CX14" s="161"/>
      <c r="CY14" s="161"/>
      <c r="CZ14" s="161"/>
      <c r="DA14" s="161"/>
      <c r="DB14" s="161"/>
      <c r="DC14" s="161"/>
      <c r="DD14" s="161"/>
      <c r="DE14" s="161"/>
      <c r="DF14" s="161"/>
      <c r="DG14" s="161"/>
      <c r="DH14" s="161"/>
      <c r="DI14" s="161"/>
      <c r="DJ14" s="214"/>
      <c r="DK14" s="242">
        <f t="shared" si="123"/>
        <v>0</v>
      </c>
      <c r="DL14" s="217"/>
      <c r="DM14" s="242">
        <f t="shared" si="34"/>
        <v>0</v>
      </c>
      <c r="DN14" s="242">
        <f t="shared" si="35"/>
        <v>0</v>
      </c>
      <c r="DO14" s="243">
        <f t="shared" si="36"/>
        <v>0</v>
      </c>
      <c r="DP14" s="217"/>
      <c r="DQ14" s="252">
        <f t="shared" si="120"/>
        <v>0</v>
      </c>
      <c r="DR14" s="217"/>
      <c r="DS14" s="242">
        <f t="shared" si="38"/>
        <v>0</v>
      </c>
      <c r="DT14" s="242">
        <f t="shared" si="39"/>
        <v>0</v>
      </c>
      <c r="DU14" s="244">
        <f t="shared" si="40"/>
        <v>0</v>
      </c>
      <c r="DV14" s="217"/>
      <c r="DW14" s="428">
        <f>+IF(OR(AE14 = "", AND(AH14 = "", AK14 = "")), "",IFERROR(+AH14 * CallDelta($AG$1,AE14,($BM$1/365), $V$15, $AZ$1, $V$17), 0) + IFERROR(AK14 * Putdelta($AG$1,AE14,($BM$1/365), $V$15, $AZ$1, $V$17), 0))</f>
        <v>0</v>
      </c>
      <c r="DX14" s="245">
        <f>+IF(OR(AE14 = "", AND(AH14 = "", AK14 = "")), "",IFERROR(+AH14 * OptionGamma($AG$1,AE14,($BM$1/365), $V$15, $AZ$1, $V$17), 0) + IFERROR(AK14 * OptionGamma($AG$1,AE14,($BM$1/365), $V$15, $AZ$1, $V$17), 0))</f>
        <v>0</v>
      </c>
      <c r="DY14" s="161"/>
      <c r="DZ14" s="267">
        <f t="shared" si="127"/>
        <v>0</v>
      </c>
      <c r="EA14" s="217"/>
      <c r="EB14" s="267">
        <f t="shared" si="42"/>
        <v>0</v>
      </c>
      <c r="EC14" s="267">
        <f t="shared" si="43"/>
        <v>0</v>
      </c>
      <c r="ED14" s="247">
        <f t="shared" si="44"/>
        <v>0</v>
      </c>
      <c r="EE14" s="217"/>
      <c r="EF14" s="267">
        <f t="shared" si="129"/>
        <v>0</v>
      </c>
      <c r="EG14" s="217"/>
      <c r="EH14" s="267">
        <f t="shared" si="46"/>
        <v>0</v>
      </c>
      <c r="EI14" s="246">
        <f t="shared" si="47"/>
        <v>0</v>
      </c>
      <c r="EJ14" s="248">
        <f t="shared" si="48"/>
        <v>0</v>
      </c>
      <c r="EK14" s="217"/>
      <c r="EL14" s="251">
        <f>+IF(OR(AE14 = "", AND(AQ14 = "", AT14 = "")), "",IFERROR(+AQ14 * CallDelta($AG$1,AE14,($BM$1/365), $V$15, $AZ$1, $V$17), 0) + IFERROR(AT14 * Putdelta($AG$1,AE14,($BM$1/365), $V$15, $AZ$1, $V$17), 0))</f>
        <v>0</v>
      </c>
      <c r="EM14" s="249">
        <f>+IF(OR(AE14 = "", AND(AQ14 = "", AT14 = "")), "",IFERROR(+AQ14 * OptionGamma($AG$1,AE14,($BM$1/365), $V$15, $AZ$1, $V$17), 0) + IFERROR(AT14 * OptionGamma($AG$1,AE14,($BM$1/365), $V$15, $AZ$1, $V$17), 0))</f>
        <v>0</v>
      </c>
      <c r="EN14" s="451">
        <f t="shared" si="49"/>
        <v>3.814697265625E-3</v>
      </c>
      <c r="EO14" s="418">
        <f>+IF(AE14 = "", "",ImpliedCallVolatility($AG$1, $AE14,($BM$1/365), $V$15, $AZ14, $V$17) * 100)</f>
        <v>63.129425048828125</v>
      </c>
      <c r="EP14" s="418">
        <f>+IF(AE14 = "", "",ImpliedCallVolatility($AG$1, $AE14,($BM$1/365), $V$15, BD14, $V$17) * 100)</f>
        <v>3.814697265625E-3</v>
      </c>
      <c r="EQ14" s="418">
        <f>+IF(AE14 = "", "",ImpliedCallVolatility($AG$1, $AE14,($BM$1/365), $V$15, BF14, $V$17) * 100)</f>
        <v>227.64968872070313</v>
      </c>
      <c r="ER14" s="411">
        <f t="shared" si="50"/>
        <v>10.349999999999994</v>
      </c>
      <c r="ES14" s="411">
        <f t="shared" si="51"/>
        <v>3.7309999999999945</v>
      </c>
      <c r="ET14" s="411">
        <f t="shared" si="52"/>
        <v>45.349999999999994</v>
      </c>
      <c r="EU14" s="416">
        <f>IF($FC$1 = 1,
IF(AE14 = "", "",OptionGamma($AG$1,AE14,($BM$1/365), $V$15, $AZ$1, $V$17) * 1000),
IF($FC$1 = 2, IF(OR(AE14 = "", BD14 =  0), "",IF(AE14 &lt; $AG$1, (((AE14 * (1 - COMIS_ACCION)) / (($AG$1 * (1 + COMIS_ACCION)) - (BD14 * (1 - COMIS_OPCION)))) - 1) * 100 / $BM$1 * 365,((($AG$1 * (1 - COMIS_ACCION)) / (($AG$1 * (1 + COMIS_ACCION)) - (BD14 * (1 - COMIS_OPCION)))) - 1) * 100 / $BM$1 * 365))))</f>
        <v>1.5767349666901578</v>
      </c>
      <c r="EV14" s="276">
        <f>+IF(AE14 = "", "",CallOption($AG$1, $AE14,($BM$1/365), $V$15, $AZ$1, $V$17))</f>
        <v>52.980721166575194</v>
      </c>
      <c r="EW14" s="271">
        <f t="shared" si="53"/>
        <v>-90.598950000000002</v>
      </c>
      <c r="EX14" s="272">
        <f t="shared" si="54"/>
        <v>43.38068580000003</v>
      </c>
      <c r="EY14" s="274">
        <f t="shared" si="55"/>
        <v>-45.919314199999974</v>
      </c>
      <c r="EZ14" s="272">
        <f t="shared" si="56"/>
        <v>-165.27951000000002</v>
      </c>
      <c r="FA14" s="272">
        <f t="shared" si="57"/>
        <v>164.72048999999998</v>
      </c>
      <c r="FB14" s="530">
        <f>+IF($FC$1 = 1, IF(AE14 = "", "",IFERROR( VLOOKUP(N14, PreciosCalls, 13, FALSE), 0)),
IF($FC$1 = 2,  IF(AE14 = "", "",OptionGamma($AG$1,AE14,($BM$1/365), $V$15, $AZ$1, $V$17) * 1000)))</f>
        <v>5</v>
      </c>
      <c r="FC14" s="530">
        <f>IF($FC$1 = 1, IF(AE14 = "", "",IFERROR( VLOOKUP(N14, PreciosCalls, 14, FALSE), 0)),
IF($FC$1 = 2, IF(AE14 = "", "",CallDelta($AG$1,AE14,($BM$1/365), $V$15, $AZ$1, $V$17) * 100)))</f>
        <v>0</v>
      </c>
      <c r="FD14" s="531">
        <f t="shared" si="58"/>
        <v>55</v>
      </c>
      <c r="FE14" s="530">
        <f t="shared" si="59"/>
        <v>27500</v>
      </c>
      <c r="FF14" s="217"/>
      <c r="FG14" s="273" t="str">
        <f t="shared" si="60"/>
        <v/>
      </c>
      <c r="FH14" s="273" t="str">
        <f t="shared" si="61"/>
        <v/>
      </c>
      <c r="FI14" s="451">
        <f t="shared" si="62"/>
        <v>46.466827392578125</v>
      </c>
      <c r="FJ14" s="419">
        <f>+IF(AE14 = "", "",ImpliedPutVolatility($AG$1, $AE14,($BM$1/365), $V$15, BI14, $V$17) * 100)</f>
        <v>46.466827392578125</v>
      </c>
      <c r="FK14" s="419">
        <f>+IF(AE14 = "", "",ImpliedPutVolatility($AG$1, $AE14,($BM$1/365), $V$15, BM14, $V$17) * 100)</f>
        <v>2.063751220703125</v>
      </c>
      <c r="FL14" s="419">
        <f>+IF(AE14 = "", "",ImpliedPutVolatility($AG$1, $AE14,($BM$1/365), $V$15, BO14, $V$17) * 100)</f>
        <v>46.466827392578125</v>
      </c>
      <c r="FM14" s="415">
        <f t="shared" si="63"/>
        <v>0.62</v>
      </c>
      <c r="FN14" s="415" t="str">
        <f t="shared" si="64"/>
        <v/>
      </c>
      <c r="FO14" s="415">
        <f t="shared" si="65"/>
        <v>0.62</v>
      </c>
      <c r="FP14" s="417">
        <f>IF($FX$1=1, IF(AE14 = "", "",OptionGamma($AG$1,AE14,($BM$1/365), $V$15, $AZ$1, $V$17) * 1000),
IF($FX$1 = 2, IF(OR(AE14 = "", BM14 =  0), "",((BM14 * (1 - COMIS_OPCION)) / (AE14 * (1 + COMIS_ACCION))) * 100 / $BM$1 * 365)))</f>
        <v>1.5767349666901578</v>
      </c>
      <c r="FQ14" s="289">
        <f>+IF(AE14 = "", "",PutOption($AG$1, $AE14,($BM$1/365), $V$15, $AZ$1, $V$17))</f>
        <v>0.23628247558016735</v>
      </c>
      <c r="FR14" s="279"/>
      <c r="FS14" s="284">
        <f t="shared" si="66"/>
        <v>-45.919314199999974</v>
      </c>
      <c r="FT14" s="284">
        <f t="shared" si="67"/>
        <v>43.38068580000003</v>
      </c>
      <c r="FU14" s="280">
        <f t="shared" si="68"/>
        <v>-45.284657100000004</v>
      </c>
      <c r="FV14" s="279"/>
      <c r="FW14" s="287">
        <f>+IF($FX$1 = 1, IFERROR(VLOOKUP(P14, PreciosPuts, 13, FALSE), 0),
IF($FX$1 = 2, IF(AE14 = "", "",OptionGamma($AG$1,AE14,($BM$1/365), $V$15, $AZ$1, $V$17) * 1000)))</f>
        <v>66</v>
      </c>
      <c r="FX14" s="287">
        <f>+IF($FX$1=1, IF(AE14 = "", "",IFERROR(VLOOKUP(P14, PreciosPuts, 14, FALSE), 0)),
IF($FX$1=2, IF(AE14 = "", "",Putdelta($AG$1,AE14,($BM$1/365), $V$15, $AZ$1, $V$17) * 100)))</f>
        <v>0</v>
      </c>
      <c r="FY14" s="286">
        <f t="shared" si="69"/>
        <v>0.56507575757575756</v>
      </c>
      <c r="FZ14" s="287">
        <f t="shared" si="70"/>
        <v>3729.5</v>
      </c>
      <c r="GA14" s="217"/>
      <c r="GB14" s="281">
        <f t="shared" ref="GB14:GB23" si="130">+IF(OR(BM15=0, BO14=0), "", BM15 / BO14)</f>
        <v>1.129032258064516</v>
      </c>
      <c r="GC14" s="281" t="str">
        <f t="shared" ref="GC14:GC23" si="131">+IF(OR(BM16=0, BO14=0), "", BM16 / BO14)</f>
        <v/>
      </c>
      <c r="GD14" s="217"/>
      <c r="GE14" s="303" t="str">
        <f t="shared" si="71"/>
        <v/>
      </c>
      <c r="GF14" s="292" t="str">
        <f t="shared" si="72"/>
        <v/>
      </c>
      <c r="GG14" s="293" t="str">
        <f t="shared" si="73"/>
        <v/>
      </c>
      <c r="GH14" s="294" t="str">
        <f t="shared" si="124"/>
        <v/>
      </c>
      <c r="GI14" s="294">
        <v>8</v>
      </c>
      <c r="GJ14" s="217"/>
      <c r="GK14" s="305">
        <f t="shared" si="74"/>
        <v>3.11099999999999</v>
      </c>
      <c r="GL14" s="299">
        <f t="shared" si="75"/>
        <v>212.761</v>
      </c>
      <c r="GM14" s="300">
        <f t="shared" si="76"/>
        <v>0.10620081087526724</v>
      </c>
      <c r="GN14" s="225">
        <f t="shared" si="121"/>
        <v>8</v>
      </c>
      <c r="GO14" s="225">
        <v>8</v>
      </c>
      <c r="GP14" s="217"/>
      <c r="GQ14" s="217"/>
      <c r="GR14" s="401" t="str">
        <f t="shared" ref="GR14:GR47" si="132">+IF(AE14 = $GQ$4, $GR$4,
IF(AE14 = $GQ$5, -$GR$5,
IF(AE14 = $GQ$6, $GR$6, "")))</f>
        <v/>
      </c>
      <c r="GT14" s="282" t="str">
        <f t="shared" si="78"/>
        <v/>
      </c>
      <c r="GU14" s="282" t="str">
        <f t="shared" si="79"/>
        <v/>
      </c>
      <c r="GV14" s="282">
        <f t="shared" si="80"/>
        <v>-11.001424405000009</v>
      </c>
      <c r="GW14" s="282" t="str">
        <f t="shared" si="81"/>
        <v/>
      </c>
      <c r="GX14" s="282" t="str">
        <f t="shared" si="82"/>
        <v/>
      </c>
      <c r="GY14" s="282" t="str">
        <f t="shared" si="83"/>
        <v/>
      </c>
      <c r="GZ14" s="282" t="str">
        <f t="shared" si="115"/>
        <v/>
      </c>
      <c r="HA14" s="282" t="str">
        <f t="shared" si="84"/>
        <v/>
      </c>
      <c r="HB14" s="282" t="str">
        <f t="shared" si="116"/>
        <v/>
      </c>
      <c r="HC14" s="607" t="str">
        <f t="shared" si="85"/>
        <v/>
      </c>
      <c r="HD14" s="282" t="str">
        <f t="shared" si="86"/>
        <v/>
      </c>
      <c r="HE14" s="282" t="str">
        <f t="shared" si="87"/>
        <v/>
      </c>
      <c r="HF14" s="282" t="str">
        <f t="shared" si="88"/>
        <v/>
      </c>
      <c r="HG14" s="217"/>
      <c r="HH14" s="282" t="str">
        <f t="shared" si="89"/>
        <v/>
      </c>
      <c r="HI14" s="282" t="str">
        <f t="shared" si="90"/>
        <v/>
      </c>
      <c r="HJ14" s="282"/>
      <c r="HK14" s="282"/>
      <c r="HL14" s="217"/>
      <c r="HM14" s="420"/>
      <c r="HN14" s="420"/>
      <c r="HO14" s="420"/>
      <c r="HP14" s="420"/>
      <c r="HQ14" s="282" t="str">
        <f t="shared" si="91"/>
        <v/>
      </c>
      <c r="HR14" s="420"/>
      <c r="HS14" s="420"/>
      <c r="HT14" s="420"/>
      <c r="HU14" s="420"/>
      <c r="HV14" s="420"/>
      <c r="HW14" s="420"/>
      <c r="HX14" s="425"/>
      <c r="HY14" s="338"/>
      <c r="HZ14" s="338"/>
      <c r="IA14" s="161"/>
      <c r="IB14" s="161"/>
      <c r="IC14" s="162"/>
      <c r="ID14" s="162"/>
      <c r="IE14" s="49"/>
      <c r="IF14" s="55"/>
      <c r="IG14" s="58"/>
      <c r="IH14" s="545">
        <f t="shared" si="117"/>
        <v>-21.297400429286906</v>
      </c>
      <c r="IJ14" s="146">
        <v>8</v>
      </c>
      <c r="IK14" s="545">
        <f t="shared" si="92"/>
        <v>165</v>
      </c>
      <c r="IL14" s="106">
        <f t="shared" si="93"/>
        <v>-0.21297400429286906</v>
      </c>
      <c r="IM14" s="110">
        <f t="shared" si="128"/>
        <v>165</v>
      </c>
      <c r="IN14" s="111">
        <f t="shared" si="118"/>
        <v>-46515.23875000004</v>
      </c>
      <c r="IO14" s="50">
        <f t="shared" si="95"/>
        <v>0</v>
      </c>
      <c r="IP14" s="50">
        <f t="shared" si="95"/>
        <v>0</v>
      </c>
      <c r="IQ14" s="50">
        <f t="shared" si="95"/>
        <v>0</v>
      </c>
      <c r="IR14" s="50">
        <f t="shared" si="95"/>
        <v>0</v>
      </c>
      <c r="IS14" s="50">
        <f t="shared" si="95"/>
        <v>0</v>
      </c>
      <c r="IT14" s="50">
        <f t="shared" si="95"/>
        <v>0</v>
      </c>
      <c r="IU14" s="50">
        <f t="shared" si="95"/>
        <v>0</v>
      </c>
      <c r="IV14" s="50">
        <f t="shared" si="95"/>
        <v>0</v>
      </c>
      <c r="IW14" s="50">
        <f t="shared" si="95"/>
        <v>0</v>
      </c>
      <c r="IX14" s="50">
        <f t="shared" si="95"/>
        <v>0</v>
      </c>
      <c r="IY14" s="50">
        <f t="shared" si="96"/>
        <v>0</v>
      </c>
      <c r="IZ14" s="50">
        <f t="shared" si="96"/>
        <v>0</v>
      </c>
      <c r="JA14" s="50">
        <f t="shared" si="96"/>
        <v>0</v>
      </c>
      <c r="JB14" s="50">
        <f t="shared" si="96"/>
        <v>0</v>
      </c>
      <c r="JC14" s="50">
        <f t="shared" si="96"/>
        <v>0</v>
      </c>
      <c r="JD14" s="50">
        <f t="shared" si="96"/>
        <v>0</v>
      </c>
      <c r="JE14" s="50">
        <f t="shared" si="96"/>
        <v>0</v>
      </c>
      <c r="JF14" s="50">
        <f t="shared" si="96"/>
        <v>0</v>
      </c>
      <c r="JG14" s="50">
        <f t="shared" si="96"/>
        <v>0</v>
      </c>
      <c r="JH14" s="50">
        <f t="shared" si="96"/>
        <v>0</v>
      </c>
      <c r="JI14" s="50">
        <f t="shared" si="97"/>
        <v>0</v>
      </c>
      <c r="JJ14" s="50">
        <f t="shared" si="97"/>
        <v>0</v>
      </c>
      <c r="JK14" s="50">
        <f t="shared" si="97"/>
        <v>0</v>
      </c>
      <c r="JL14" s="50">
        <f t="shared" si="97"/>
        <v>0</v>
      </c>
      <c r="JM14" s="50">
        <f t="shared" si="97"/>
        <v>0</v>
      </c>
      <c r="JN14" s="50">
        <f t="shared" si="97"/>
        <v>0</v>
      </c>
      <c r="JO14" s="50">
        <f t="shared" si="97"/>
        <v>0</v>
      </c>
      <c r="JP14" s="50">
        <f t="shared" si="97"/>
        <v>0</v>
      </c>
      <c r="JQ14" s="50">
        <f t="shared" si="97"/>
        <v>0</v>
      </c>
      <c r="JR14" s="50">
        <f t="shared" si="97"/>
        <v>0</v>
      </c>
      <c r="JS14" s="50">
        <f t="shared" si="98"/>
        <v>0</v>
      </c>
      <c r="JT14" s="50">
        <f t="shared" si="98"/>
        <v>0</v>
      </c>
      <c r="JU14" s="50" t="str">
        <f t="shared" si="98"/>
        <v/>
      </c>
      <c r="JV14" s="50" t="str">
        <f t="shared" si="98"/>
        <v/>
      </c>
      <c r="JW14" s="50" t="str">
        <f t="shared" si="98"/>
        <v/>
      </c>
      <c r="JX14" s="50" t="str">
        <f t="shared" si="98"/>
        <v/>
      </c>
      <c r="JY14" s="50" t="str">
        <f t="shared" si="98"/>
        <v/>
      </c>
      <c r="JZ14" s="50" t="str">
        <f t="shared" si="98"/>
        <v/>
      </c>
      <c r="KA14" s="50" t="str">
        <f t="shared" si="98"/>
        <v/>
      </c>
      <c r="KB14" s="50" t="str">
        <f t="shared" si="98"/>
        <v/>
      </c>
      <c r="KC14" s="50" t="str">
        <f t="shared" si="98"/>
        <v/>
      </c>
      <c r="KD14" s="50" t="str">
        <f t="shared" si="98"/>
        <v/>
      </c>
    </row>
    <row r="15" spans="1:290" s="144" customFormat="1" ht="15" customHeight="1" thickBot="1">
      <c r="B15" s="146">
        <v>9</v>
      </c>
      <c r="C15" s="121" t="str">
        <f t="shared" si="99"/>
        <v>GFGC170.AB</v>
      </c>
      <c r="D15" s="121" t="str">
        <f t="shared" si="100"/>
        <v>GFGV170.AB</v>
      </c>
      <c r="E15" s="122">
        <f t="shared" si="1"/>
        <v>170</v>
      </c>
      <c r="F15" s="123" t="str">
        <f t="shared" si="2"/>
        <v/>
      </c>
      <c r="G15" s="123" t="str">
        <f t="shared" si="3"/>
        <v/>
      </c>
      <c r="H15" s="124" t="str">
        <f t="shared" si="4"/>
        <v/>
      </c>
      <c r="I15" s="124">
        <f t="shared" si="5"/>
        <v>0.7</v>
      </c>
      <c r="J15" s="124" t="str">
        <f t="shared" si="6"/>
        <v/>
      </c>
      <c r="K15" s="124" t="str">
        <f t="shared" si="7"/>
        <v/>
      </c>
      <c r="M15" s="158">
        <f t="shared" si="8"/>
        <v>12</v>
      </c>
      <c r="N15" s="121" t="str">
        <f t="shared" si="9"/>
        <v>GFGC170.AB</v>
      </c>
      <c r="O15" s="158">
        <f t="shared" si="10"/>
        <v>12</v>
      </c>
      <c r="P15" s="121" t="str">
        <f t="shared" si="11"/>
        <v>GFGV170.AB</v>
      </c>
      <c r="R15" s="159"/>
      <c r="S15" s="160" t="str">
        <f t="shared" si="12"/>
        <v/>
      </c>
      <c r="U15" s="234" t="s">
        <v>48</v>
      </c>
      <c r="V15" s="134">
        <f>+Datos!Q28</f>
        <v>0.36</v>
      </c>
      <c r="X15" s="200">
        <v>9</v>
      </c>
      <c r="Y15" s="546">
        <f t="shared" si="13"/>
        <v>-18.912473169568333</v>
      </c>
      <c r="Z15" s="540">
        <f t="shared" si="14"/>
        <v>-46515.23875000004</v>
      </c>
      <c r="AA15" s="179"/>
      <c r="AB15" s="540">
        <f t="shared" si="15"/>
        <v>0</v>
      </c>
      <c r="AC15" s="161"/>
      <c r="AD15" s="200">
        <v>9</v>
      </c>
      <c r="AE15" s="825">
        <f>+IF(AD15 = 1, $V$7, IF(AE14 &gt; ($V$9 - $V$8), "", IF(ISBLANK(AF15), AE14 + $V$8, AF15)))</f>
        <v>170</v>
      </c>
      <c r="AF15" s="201"/>
      <c r="AG15" s="179"/>
      <c r="AH15" s="177">
        <f t="shared" si="102"/>
        <v>0</v>
      </c>
      <c r="AI15" s="166">
        <f t="shared" si="103"/>
        <v>0</v>
      </c>
      <c r="AJ15" s="179"/>
      <c r="AK15" s="177">
        <f t="shared" si="104"/>
        <v>0</v>
      </c>
      <c r="AL15" s="166">
        <f t="shared" si="105"/>
        <v>0</v>
      </c>
      <c r="AM15" s="179"/>
      <c r="AN15" s="177"/>
      <c r="AO15" s="166"/>
      <c r="AP15" s="179"/>
      <c r="AQ15" s="176">
        <f t="shared" si="106"/>
        <v>0</v>
      </c>
      <c r="AR15" s="165">
        <f t="shared" si="107"/>
        <v>0</v>
      </c>
      <c r="AS15" s="179"/>
      <c r="AT15" s="176">
        <f t="shared" si="108"/>
        <v>0</v>
      </c>
      <c r="AU15" s="165">
        <f t="shared" si="109"/>
        <v>0</v>
      </c>
      <c r="AV15" s="179"/>
      <c r="AW15" s="200">
        <f t="shared" si="16"/>
        <v>9</v>
      </c>
      <c r="AX15" s="170">
        <f t="shared" si="17"/>
        <v>170</v>
      </c>
      <c r="AY15" s="164"/>
      <c r="AZ15" s="215">
        <f t="shared" si="18"/>
        <v>0</v>
      </c>
      <c r="BA15" s="197"/>
      <c r="BB15" s="228">
        <f t="shared" si="19"/>
        <v>0</v>
      </c>
      <c r="BC15" s="161"/>
      <c r="BD15" s="240">
        <f t="shared" si="20"/>
        <v>0</v>
      </c>
      <c r="BE15" s="196"/>
      <c r="BF15" s="240">
        <f t="shared" si="21"/>
        <v>0</v>
      </c>
      <c r="BG15" s="196"/>
      <c r="BH15" s="189"/>
      <c r="BI15" s="227">
        <f t="shared" si="22"/>
        <v>0.7</v>
      </c>
      <c r="BJ15" s="197"/>
      <c r="BK15" s="167">
        <f t="shared" si="23"/>
        <v>-0.35185</v>
      </c>
      <c r="BL15" s="161"/>
      <c r="BM15" s="240">
        <f t="shared" si="24"/>
        <v>0.7</v>
      </c>
      <c r="BN15" s="196"/>
      <c r="BO15" s="240">
        <f t="shared" si="25"/>
        <v>0.76</v>
      </c>
      <c r="BP15" s="196"/>
      <c r="BQ15" s="161"/>
      <c r="BR15" s="381"/>
      <c r="BS15" s="392">
        <f t="shared" si="122"/>
        <v>0</v>
      </c>
      <c r="BT15" s="376"/>
      <c r="BU15" s="393" t="str">
        <f>+IF(OR(CF15="", CB16="", CF15=0, CB16=0), "", IF($BU$1=FALSE, CF15-CB16, -CF15+CB16))</f>
        <v/>
      </c>
      <c r="BV15" s="310"/>
      <c r="BW15" s="311" t="str">
        <f t="shared" si="110"/>
        <v/>
      </c>
      <c r="BX15" s="372"/>
      <c r="BY15" s="440"/>
      <c r="BZ15" s="432">
        <v>32.872999999999998</v>
      </c>
      <c r="CA15" s="372"/>
      <c r="CB15" s="572" t="str">
        <f>+IF($BU$1=FALSE, IF(BD15=0, "", BD15), IF(BM15=0,"", BM15))</f>
        <v/>
      </c>
      <c r="CC15" s="567">
        <f t="shared" si="29"/>
        <v>0</v>
      </c>
      <c r="CD15" s="814">
        <f t="shared" si="30"/>
        <v>170</v>
      </c>
      <c r="CE15" s="569">
        <f t="shared" si="31"/>
        <v>0</v>
      </c>
      <c r="CF15" s="574" t="str">
        <f t="shared" si="32"/>
        <v/>
      </c>
      <c r="CG15" s="372"/>
      <c r="CH15" s="435">
        <v>17.398</v>
      </c>
      <c r="CI15" s="436"/>
      <c r="CJ15" s="372"/>
      <c r="CK15" s="391" t="str">
        <f t="shared" si="111"/>
        <v/>
      </c>
      <c r="CL15" s="396" t="str">
        <f>+IF(OR(CF16="", CB15="", CF16=0, CB15=0), "", IF($BU$1=FALSE, CB15-CF16,- CB15+CF16))</f>
        <v/>
      </c>
      <c r="CM15" s="370"/>
      <c r="CN15" s="161"/>
      <c r="CO15" s="161"/>
      <c r="CP15" s="161"/>
      <c r="CQ15" s="161"/>
      <c r="CR15" s="161"/>
      <c r="CS15" s="161"/>
      <c r="CT15" s="161"/>
      <c r="CU15" s="161"/>
      <c r="CV15" s="161"/>
      <c r="CW15" s="161"/>
      <c r="CX15" s="161"/>
      <c r="CY15" s="161"/>
      <c r="CZ15" s="161"/>
      <c r="DA15" s="161"/>
      <c r="DB15" s="161"/>
      <c r="DC15" s="161"/>
      <c r="DD15" s="161"/>
      <c r="DE15" s="161"/>
      <c r="DF15" s="161"/>
      <c r="DG15" s="161"/>
      <c r="DH15" s="161"/>
      <c r="DI15" s="161"/>
      <c r="DJ15" s="891" t="s">
        <v>166</v>
      </c>
      <c r="DK15" s="242">
        <f t="shared" si="123"/>
        <v>0</v>
      </c>
      <c r="DL15" s="217"/>
      <c r="DM15" s="490">
        <f t="shared" si="34"/>
        <v>0</v>
      </c>
      <c r="DN15" s="242">
        <f t="shared" si="35"/>
        <v>0</v>
      </c>
      <c r="DO15" s="243">
        <f t="shared" si="36"/>
        <v>0</v>
      </c>
      <c r="DP15" s="217"/>
      <c r="DQ15" s="252">
        <f t="shared" si="120"/>
        <v>0</v>
      </c>
      <c r="DR15" s="217"/>
      <c r="DS15" s="242">
        <f t="shared" si="38"/>
        <v>0</v>
      </c>
      <c r="DT15" s="269">
        <f t="shared" si="39"/>
        <v>0</v>
      </c>
      <c r="DU15" s="244">
        <f t="shared" si="40"/>
        <v>0</v>
      </c>
      <c r="DV15" s="217"/>
      <c r="DW15" s="428">
        <f>+IF(OR(AE15 = "", AND(AH15 = "", AK15 = "")), "",IFERROR(+AH15 * CallDelta($AG$1,AE15,($BM$1/365), $V$15, $AZ$1, $V$17), 0) + IFERROR(AK15 * Putdelta($AG$1,AE15,($BM$1/365), $V$15, $AZ$1, $V$17), 0))</f>
        <v>0</v>
      </c>
      <c r="DX15" s="245">
        <f>+IF(OR(AE15 = "", AND(AH15 = "", AK15 = "")), "",IFERROR(+AH15 * OptionGamma($AG$1,AE15,($BM$1/365), $V$15, $AZ$1, $V$17), 0) + IFERROR(AK15 * OptionGamma($AG$1,AE15,($BM$1/365), $V$15, $AZ$1, $V$17), 0))</f>
        <v>0</v>
      </c>
      <c r="DY15" s="161"/>
      <c r="DZ15" s="267">
        <f t="shared" si="127"/>
        <v>0</v>
      </c>
      <c r="EA15" s="217"/>
      <c r="EB15" s="267">
        <f t="shared" si="42"/>
        <v>0</v>
      </c>
      <c r="EC15" s="267">
        <f t="shared" si="43"/>
        <v>0</v>
      </c>
      <c r="ED15" s="247">
        <f t="shared" si="44"/>
        <v>0</v>
      </c>
      <c r="EE15" s="217"/>
      <c r="EF15" s="267">
        <f t="shared" si="129"/>
        <v>0</v>
      </c>
      <c r="EG15" s="217"/>
      <c r="EH15" s="267">
        <f t="shared" si="46"/>
        <v>0</v>
      </c>
      <c r="EI15" s="246">
        <f t="shared" si="47"/>
        <v>0</v>
      </c>
      <c r="EJ15" s="248">
        <f t="shared" si="48"/>
        <v>0</v>
      </c>
      <c r="EK15" s="217"/>
      <c r="EL15" s="251">
        <f>+IF(OR(AE15 = "", AND(AQ15 = "", AT15 = "")), "",IFERROR(+AQ15 * CallDelta($AG$1,AE15,($BM$1/365), $V$15, $AZ$1, $V$17), 0) + IFERROR(AT15 * Putdelta($AG$1,AE15,($BM$1/365), $V$15, $AZ$1, $V$17), 0))</f>
        <v>0</v>
      </c>
      <c r="EM15" s="249">
        <f>+IF(OR(AE15 = "", AND(AQ15 = "", AT15 = "")), "",IFERROR(+AQ15 * OptionGamma($AG$1,AE15,($BM$1/365), $V$15, $AZ$1, $V$17), 0) + IFERROR(AT15 * OptionGamma($AG$1,AE15,($BM$1/365), $V$15, $AZ$1, $V$17), 0))</f>
        <v>0</v>
      </c>
      <c r="EN15" s="451">
        <f t="shared" si="49"/>
        <v>3.814697265625E-3</v>
      </c>
      <c r="EO15" s="418">
        <f>+IF(AE15 = "", "",ImpliedCallVolatility($AG$1, $AE15,($BM$1/365), $V$15, $AZ15, $V$17) * 100)</f>
        <v>3.814697265625E-3</v>
      </c>
      <c r="EP15" s="418">
        <f>+IF(AE15 = "", "",ImpliedCallVolatility($AG$1, $AE15,($BM$1/365), $V$15, BD15, $V$17) * 100)</f>
        <v>3.814697265625E-3</v>
      </c>
      <c r="EQ15" s="418">
        <f>+IF(AE15 = "", "",ImpliedCallVolatility($AG$1, $AE15,($BM$1/365), $V$15, BF15, $V$17) * 100)</f>
        <v>3.814697265625E-3</v>
      </c>
      <c r="ER15" s="411" t="str">
        <f t="shared" si="50"/>
        <v/>
      </c>
      <c r="ES15" s="411" t="str">
        <f t="shared" si="51"/>
        <v/>
      </c>
      <c r="ET15" s="411" t="str">
        <f t="shared" si="52"/>
        <v/>
      </c>
      <c r="EU15" s="416">
        <f>IF($FC$1 = 1,
IF(AE15 = "", "",OptionGamma($AG$1,AE15,($BM$1/365), $V$15, $AZ$1, $V$17) * 1000),
IF($FC$1 = 2, IF(OR(AE15 = "", BD15 =  0), "",IF(AE15 &lt; $AG$1, (((AE15 * (1 - COMIS_ACCION)) / (($AG$1 * (1 + COMIS_ACCION)) - (BD15 * (1 - COMIS_OPCION)))) - 1) * 100 / $BM$1 * 365,((($AG$1 * (1 - COMIS_ACCION)) / (($AG$1 * (1 + COMIS_ACCION)) - (BD15 * (1 - COMIS_OPCION)))) - 1) * 100 / $BM$1 * 365))))</f>
        <v>2.3486539493562923</v>
      </c>
      <c r="EV15" s="276">
        <f>+IF(AE15 = "", "",CallOption($AG$1, $AE15,($BM$1/365), $V$15, $AZ$1, $V$17))</f>
        <v>48.395913219998107</v>
      </c>
      <c r="EW15" s="271" t="str">
        <f t="shared" si="53"/>
        <v/>
      </c>
      <c r="EX15" s="272">
        <f t="shared" si="54"/>
        <v>38.363745800000032</v>
      </c>
      <c r="EY15" s="274">
        <f t="shared" si="55"/>
        <v>-40.936254199999965</v>
      </c>
      <c r="EZ15" s="272">
        <f t="shared" si="56"/>
        <v>-170.28798000000003</v>
      </c>
      <c r="FA15" s="272">
        <f t="shared" si="57"/>
        <v>169.71202000000002</v>
      </c>
      <c r="FB15" s="530">
        <f>+IF($FC$1 = 1, IF(AE15 = "", "",IFERROR( VLOOKUP(N15, PreciosCalls, 13, FALSE), 0)),
IF($FC$1 = 2,  IF(AE15 = "", "",OptionGamma($AG$1,AE15,($BM$1/365), $V$15, $AZ$1, $V$17) * 1000)))</f>
        <v>0</v>
      </c>
      <c r="FC15" s="530">
        <f>IF($FC$1 = 1, IF(AE15 = "", "",IFERROR( VLOOKUP(N15, PreciosCalls, 14, FALSE), 0)),
IF($FC$1 = 2, IF(AE15 = "", "",CallDelta($AG$1,AE15,($BM$1/365), $V$15, $AZ$1, $V$17) * 100)))</f>
        <v>0</v>
      </c>
      <c r="FD15" s="531">
        <f t="shared" si="58"/>
        <v>0</v>
      </c>
      <c r="FE15" s="530">
        <f t="shared" si="59"/>
        <v>0</v>
      </c>
      <c r="FF15" s="217"/>
      <c r="FG15" s="273" t="str">
        <f t="shared" si="60"/>
        <v/>
      </c>
      <c r="FH15" s="273" t="str">
        <f t="shared" si="61"/>
        <v/>
      </c>
      <c r="FI15" s="451">
        <f t="shared" si="62"/>
        <v>44.315338134765625</v>
      </c>
      <c r="FJ15" s="419">
        <f>+IF(AE15 = "", "",ImpliedPutVolatility($AG$1, $AE15,($BM$1/365), $V$15, BI15, $V$17) * 100)</f>
        <v>43.552398681640625</v>
      </c>
      <c r="FK15" s="419">
        <f>+IF(AE15 = "", "",ImpliedPutVolatility($AG$1, $AE15,($BM$1/365), $V$15, BM15, $V$17) * 100)</f>
        <v>43.552398681640625</v>
      </c>
      <c r="FL15" s="419">
        <f>+IF(AE15 = "", "",ImpliedPutVolatility($AG$1, $AE15,($BM$1/365), $V$15, BO15, $V$17) * 100)</f>
        <v>44.315338134765625</v>
      </c>
      <c r="FM15" s="415">
        <f t="shared" si="63"/>
        <v>0.7</v>
      </c>
      <c r="FN15" s="415">
        <f t="shared" si="64"/>
        <v>0.7</v>
      </c>
      <c r="FO15" s="415">
        <f t="shared" si="65"/>
        <v>0.76</v>
      </c>
      <c r="FP15" s="417">
        <f>IF($FX$1=1, IF(AE15 = "", "",OptionGamma($AG$1,AE15,($BM$1/365), $V$15, $AZ$1, $V$17) * 1000),
IF($FX$1 = 2, IF(OR(AE15 = "", BM15 =  0), "",((BM15 * (1 - COMIS_OPCION)) / (AE15 * (1 + COMIS_ACCION))) * 100 / $BM$1 * 365)))</f>
        <v>2.3486539493562923</v>
      </c>
      <c r="FQ15" s="289">
        <f>+IF(AE15 = "", "",PutOption($AG$1, $AE15,($BM$1/365), $V$15, $AZ$1, $V$17))</f>
        <v>0.40618850806382056</v>
      </c>
      <c r="FR15" s="279"/>
      <c r="FS15" s="284">
        <f t="shared" si="66"/>
        <v>-40.936254199999965</v>
      </c>
      <c r="FT15" s="284">
        <f t="shared" si="67"/>
        <v>38.363745800000032</v>
      </c>
      <c r="FU15" s="280">
        <f t="shared" si="68"/>
        <v>-40.293127100000021</v>
      </c>
      <c r="FV15" s="279"/>
      <c r="FW15" s="287">
        <f>+IF($FX$1 = 1, IFERROR(VLOOKUP(P15, PreciosPuts, 13, FALSE), 0),
IF($FX$1 = 2, IF(AE15 = "", "",OptionGamma($AG$1,AE15,($BM$1/365), $V$15, $AZ$1, $V$17) * 1000)))</f>
        <v>3731</v>
      </c>
      <c r="FX15" s="287">
        <f>+IF($FX$1=1, IF(AE15 = "", "",IFERROR(VLOOKUP(P15, PreciosPuts, 14, FALSE), 0)),
IF($FX$1=2, IF(AE15 = "", "",Putdelta($AG$1,AE15,($BM$1/365), $V$15, $AZ$1, $V$17) * 100)))</f>
        <v>0</v>
      </c>
      <c r="FY15" s="286">
        <f t="shared" si="69"/>
        <v>0.7782674886089519</v>
      </c>
      <c r="FZ15" s="287">
        <f t="shared" si="70"/>
        <v>290371.59999999998</v>
      </c>
      <c r="GA15" s="217"/>
      <c r="GB15" s="281" t="str">
        <f t="shared" si="130"/>
        <v/>
      </c>
      <c r="GC15" s="281">
        <f t="shared" si="131"/>
        <v>1.7105263157894737</v>
      </c>
      <c r="GD15" s="217"/>
      <c r="GE15" s="303" t="str">
        <f t="shared" si="71"/>
        <v/>
      </c>
      <c r="GF15" s="292" t="str">
        <f t="shared" si="72"/>
        <v/>
      </c>
      <c r="GG15" s="293" t="str">
        <f t="shared" si="73"/>
        <v/>
      </c>
      <c r="GH15" s="294" t="str">
        <f t="shared" si="124"/>
        <v/>
      </c>
      <c r="GI15" s="294">
        <v>9</v>
      </c>
      <c r="GJ15" s="217"/>
      <c r="GK15" s="305" t="str">
        <f t="shared" si="74"/>
        <v/>
      </c>
      <c r="GL15" s="299" t="str">
        <f t="shared" si="75"/>
        <v/>
      </c>
      <c r="GM15" s="300" t="str">
        <f t="shared" si="76"/>
        <v/>
      </c>
      <c r="GN15" s="225" t="str">
        <f t="shared" si="121"/>
        <v/>
      </c>
      <c r="GO15" s="225">
        <v>9</v>
      </c>
      <c r="GP15" s="217"/>
      <c r="GQ15" s="217"/>
      <c r="GR15" s="401" t="str">
        <f t="shared" si="132"/>
        <v/>
      </c>
      <c r="GT15" s="282" t="str">
        <f t="shared" si="78"/>
        <v/>
      </c>
      <c r="GU15" s="282" t="str">
        <f t="shared" si="79"/>
        <v/>
      </c>
      <c r="GV15" s="282" t="str">
        <f t="shared" si="80"/>
        <v/>
      </c>
      <c r="GW15" s="282" t="str">
        <f t="shared" si="81"/>
        <v/>
      </c>
      <c r="GX15" s="282" t="str">
        <f t="shared" si="82"/>
        <v/>
      </c>
      <c r="GY15" s="282" t="str">
        <f t="shared" si="83"/>
        <v/>
      </c>
      <c r="GZ15" s="282" t="str">
        <f t="shared" si="115"/>
        <v/>
      </c>
      <c r="HA15" s="282" t="str">
        <f t="shared" si="84"/>
        <v/>
      </c>
      <c r="HB15" s="282" t="str">
        <f t="shared" si="116"/>
        <v/>
      </c>
      <c r="HC15" s="607">
        <f>IFERROR(IF( AND(BO14 &lt;&gt; "", BO14 &lt;&gt; 0, BM15 &lt;&gt; "", BM15 &lt;&gt; 0, BO16 &lt;&gt; "", BO16 &lt;&gt; 0),
-(BO14 * (1 / (AX16 - AX14) * ABS(AX16 - AX15))) * (1 + COMIS_OPCION) + (BM15 * 1) * (1 - COMIS_OPCION)
- BO16 * (1 / (AX16 - AX14) * ABS(AX14 - AX15)) * (1 + COMIS_OPCION), ""), "")</f>
        <v>-0.32138005000000003</v>
      </c>
      <c r="HD15" s="282">
        <f t="shared" si="86"/>
        <v>-0.26601402500000015</v>
      </c>
      <c r="HE15" s="282">
        <f t="shared" si="87"/>
        <v>-0.20729248333333339</v>
      </c>
      <c r="HF15" s="282">
        <f t="shared" si="88"/>
        <v>-0.39855693333333342</v>
      </c>
      <c r="HG15" s="217"/>
      <c r="HH15" s="282" t="str">
        <f t="shared" si="89"/>
        <v/>
      </c>
      <c r="HI15" s="282" t="str">
        <f t="shared" si="90"/>
        <v/>
      </c>
      <c r="HJ15" s="282"/>
      <c r="HK15" s="282"/>
      <c r="HL15" s="217"/>
      <c r="HM15" s="420"/>
      <c r="HN15" s="420"/>
      <c r="HO15" s="420"/>
      <c r="HP15" s="420"/>
      <c r="HQ15" s="282" t="str">
        <f t="shared" si="91"/>
        <v/>
      </c>
      <c r="HR15" s="420"/>
      <c r="HS15" s="420"/>
      <c r="HT15" s="420"/>
      <c r="HU15" s="420"/>
      <c r="HV15" s="420"/>
      <c r="HW15" s="420"/>
      <c r="HX15" s="425"/>
      <c r="HY15" s="338"/>
      <c r="HZ15" s="338"/>
      <c r="IA15" s="161"/>
      <c r="IB15" s="161"/>
      <c r="IC15" s="162"/>
      <c r="ID15" s="162"/>
      <c r="IE15" s="49"/>
      <c r="IF15" s="55"/>
      <c r="IG15" s="58"/>
      <c r="IH15" s="545">
        <f t="shared" si="117"/>
        <v>-18.912473169568333</v>
      </c>
      <c r="IJ15" s="146">
        <v>9</v>
      </c>
      <c r="IK15" s="545">
        <f t="shared" si="92"/>
        <v>170</v>
      </c>
      <c r="IL15" s="106">
        <f t="shared" si="93"/>
        <v>-0.18912473169568333</v>
      </c>
      <c r="IM15" s="110">
        <f t="shared" si="128"/>
        <v>170</v>
      </c>
      <c r="IN15" s="111">
        <f t="shared" si="118"/>
        <v>-46515.23875000004</v>
      </c>
      <c r="IO15" s="50">
        <f t="shared" si="95"/>
        <v>0</v>
      </c>
      <c r="IP15" s="50">
        <f t="shared" si="95"/>
        <v>0</v>
      </c>
      <c r="IQ15" s="50">
        <f t="shared" si="95"/>
        <v>0</v>
      </c>
      <c r="IR15" s="50">
        <f t="shared" si="95"/>
        <v>0</v>
      </c>
      <c r="IS15" s="50">
        <f t="shared" si="95"/>
        <v>0</v>
      </c>
      <c r="IT15" s="50">
        <f t="shared" si="95"/>
        <v>0</v>
      </c>
      <c r="IU15" s="50">
        <f t="shared" si="95"/>
        <v>0</v>
      </c>
      <c r="IV15" s="50">
        <f t="shared" si="95"/>
        <v>0</v>
      </c>
      <c r="IW15" s="50">
        <f t="shared" si="95"/>
        <v>0</v>
      </c>
      <c r="IX15" s="50">
        <f t="shared" si="95"/>
        <v>0</v>
      </c>
      <c r="IY15" s="50">
        <f t="shared" si="96"/>
        <v>0</v>
      </c>
      <c r="IZ15" s="50">
        <f t="shared" si="96"/>
        <v>0</v>
      </c>
      <c r="JA15" s="50">
        <f t="shared" si="96"/>
        <v>0</v>
      </c>
      <c r="JB15" s="50">
        <f t="shared" si="96"/>
        <v>0</v>
      </c>
      <c r="JC15" s="50">
        <f t="shared" si="96"/>
        <v>0</v>
      </c>
      <c r="JD15" s="50">
        <f t="shared" si="96"/>
        <v>0</v>
      </c>
      <c r="JE15" s="50">
        <f t="shared" si="96"/>
        <v>0</v>
      </c>
      <c r="JF15" s="50">
        <f t="shared" si="96"/>
        <v>0</v>
      </c>
      <c r="JG15" s="50">
        <f t="shared" si="96"/>
        <v>0</v>
      </c>
      <c r="JH15" s="50">
        <f t="shared" si="96"/>
        <v>0</v>
      </c>
      <c r="JI15" s="50">
        <f t="shared" si="97"/>
        <v>0</v>
      </c>
      <c r="JJ15" s="50">
        <f t="shared" si="97"/>
        <v>0</v>
      </c>
      <c r="JK15" s="50">
        <f t="shared" si="97"/>
        <v>0</v>
      </c>
      <c r="JL15" s="50">
        <f t="shared" si="97"/>
        <v>0</v>
      </c>
      <c r="JM15" s="50">
        <f t="shared" si="97"/>
        <v>0</v>
      </c>
      <c r="JN15" s="50">
        <f t="shared" si="97"/>
        <v>0</v>
      </c>
      <c r="JO15" s="50">
        <f t="shared" si="97"/>
        <v>0</v>
      </c>
      <c r="JP15" s="50">
        <f t="shared" si="97"/>
        <v>0</v>
      </c>
      <c r="JQ15" s="50">
        <f t="shared" si="97"/>
        <v>0</v>
      </c>
      <c r="JR15" s="50">
        <f t="shared" si="97"/>
        <v>0</v>
      </c>
      <c r="JS15" s="50">
        <f t="shared" si="98"/>
        <v>0</v>
      </c>
      <c r="JT15" s="50">
        <f t="shared" si="98"/>
        <v>0</v>
      </c>
      <c r="JU15" s="50" t="str">
        <f t="shared" si="98"/>
        <v/>
      </c>
      <c r="JV15" s="50" t="str">
        <f t="shared" si="98"/>
        <v/>
      </c>
      <c r="JW15" s="50" t="str">
        <f t="shared" si="98"/>
        <v/>
      </c>
      <c r="JX15" s="50" t="str">
        <f t="shared" si="98"/>
        <v/>
      </c>
      <c r="JY15" s="50" t="str">
        <f t="shared" si="98"/>
        <v/>
      </c>
      <c r="JZ15" s="50" t="str">
        <f t="shared" si="98"/>
        <v/>
      </c>
      <c r="KA15" s="50" t="str">
        <f t="shared" si="98"/>
        <v/>
      </c>
      <c r="KB15" s="50" t="str">
        <f t="shared" si="98"/>
        <v/>
      </c>
      <c r="KC15" s="50" t="str">
        <f t="shared" si="98"/>
        <v/>
      </c>
      <c r="KD15" s="50" t="str">
        <f t="shared" si="98"/>
        <v/>
      </c>
    </row>
    <row r="16" spans="1:290" s="144" customFormat="1" ht="15" customHeight="1" thickBot="1">
      <c r="B16" s="146">
        <v>10</v>
      </c>
      <c r="C16" s="121" t="str">
        <f t="shared" si="99"/>
        <v>GFGC175.AB</v>
      </c>
      <c r="D16" s="121" t="str">
        <f t="shared" si="100"/>
        <v>GFGV175.AB</v>
      </c>
      <c r="E16" s="122">
        <f t="shared" si="1"/>
        <v>175</v>
      </c>
      <c r="F16" s="123" t="str">
        <f t="shared" si="2"/>
        <v/>
      </c>
      <c r="G16" s="123" t="str">
        <f t="shared" si="3"/>
        <v/>
      </c>
      <c r="H16" s="124" t="str">
        <f t="shared" si="4"/>
        <v/>
      </c>
      <c r="I16" s="124" t="str">
        <f t="shared" si="5"/>
        <v/>
      </c>
      <c r="J16" s="124" t="str">
        <f t="shared" si="6"/>
        <v/>
      </c>
      <c r="K16" s="124" t="str">
        <f t="shared" si="7"/>
        <v/>
      </c>
      <c r="M16" s="158">
        <f t="shared" si="8"/>
        <v>12</v>
      </c>
      <c r="N16" s="121" t="str">
        <f t="shared" si="9"/>
        <v>GFGC175.AB</v>
      </c>
      <c r="O16" s="158">
        <f t="shared" si="10"/>
        <v>12</v>
      </c>
      <c r="P16" s="121" t="str">
        <f>+IF(AX16 = "", "", IF(S16 = "",IF(O16 = 10, CONCATENATE(VLOOKUP($Z$1, TICKERS_ACCIONES_OPCIONES, 4, FALSE),IF(MID($BM$5,1,1) = "P", "V", "C"),  REPLACE(TEXT(AX16, "#,00"), FIND(",",TEXT(AX16, "#,0")), 1, "."), $BI$1),IF(O16 = 11,CONCATENATE(VLOOKUP($Z$1, TICKERS_ACCIONES_OPCIONES, 4, FALSE),IF(MID($BM$5,1,1) = "P", "V", "C"),  REPLACE(TEXT(AX16, "##,0"), FIND(",",TEXT(AX16, "#,00")), 1, "."), $BI$1),IF(O16 = 12,CONCATENATE(VLOOKUP($Z$1, TICKERS_ACCIONES_OPCIONES, 4, FALSE),IF(MID($BM$5,1,1) = "P", "V", "C"),  REPLACE(TEXT(AX16, "##,"), FIND(",",TEXT(AX16, "#,00")), 1, "."), $BI$1)))),CONCATENATE(VLOOKUP($Z$1, TICKERS_ACCIONES_OPCIONES, 4, FALSE),IF(MID($BM$5,1,1) = "P", "V", "C"), S16)))</f>
        <v>GFGV175.AB</v>
      </c>
      <c r="R16" s="159"/>
      <c r="S16" s="160" t="str">
        <f t="shared" si="12"/>
        <v/>
      </c>
      <c r="U16" s="54"/>
      <c r="V16" s="92"/>
      <c r="X16" s="200">
        <v>10</v>
      </c>
      <c r="Y16" s="546">
        <f t="shared" si="13"/>
        <v>-16.527545909849749</v>
      </c>
      <c r="Z16" s="540">
        <f t="shared" si="14"/>
        <v>-46515.23875000004</v>
      </c>
      <c r="AA16" s="179"/>
      <c r="AB16" s="540">
        <f t="shared" si="15"/>
        <v>0</v>
      </c>
      <c r="AC16" s="161"/>
      <c r="AD16" s="200">
        <v>10</v>
      </c>
      <c r="AE16" s="825">
        <f t="shared" si="101"/>
        <v>175</v>
      </c>
      <c r="AF16" s="201"/>
      <c r="AG16" s="179"/>
      <c r="AH16" s="177">
        <f t="shared" si="102"/>
        <v>0</v>
      </c>
      <c r="AI16" s="166">
        <f t="shared" si="103"/>
        <v>0</v>
      </c>
      <c r="AJ16" s="179"/>
      <c r="AK16" s="177">
        <f t="shared" si="104"/>
        <v>0</v>
      </c>
      <c r="AL16" s="166">
        <f t="shared" si="105"/>
        <v>0</v>
      </c>
      <c r="AM16" s="179"/>
      <c r="AN16" s="177"/>
      <c r="AO16" s="166"/>
      <c r="AP16" s="179"/>
      <c r="AQ16" s="176">
        <f t="shared" si="106"/>
        <v>0</v>
      </c>
      <c r="AR16" s="165">
        <f t="shared" si="107"/>
        <v>0</v>
      </c>
      <c r="AS16" s="179"/>
      <c r="AT16" s="176">
        <f t="shared" si="108"/>
        <v>0</v>
      </c>
      <c r="AU16" s="165">
        <f t="shared" si="109"/>
        <v>0</v>
      </c>
      <c r="AV16" s="179"/>
      <c r="AW16" s="200">
        <f t="shared" si="16"/>
        <v>10</v>
      </c>
      <c r="AX16" s="170">
        <f t="shared" si="17"/>
        <v>175</v>
      </c>
      <c r="AY16" s="164"/>
      <c r="AZ16" s="215">
        <f t="shared" si="18"/>
        <v>0</v>
      </c>
      <c r="BA16" s="197"/>
      <c r="BB16" s="228">
        <f t="shared" si="19"/>
        <v>0</v>
      </c>
      <c r="BC16" s="161"/>
      <c r="BD16" s="240">
        <f t="shared" si="20"/>
        <v>0</v>
      </c>
      <c r="BE16" s="196"/>
      <c r="BF16" s="240">
        <f t="shared" si="21"/>
        <v>0</v>
      </c>
      <c r="BG16" s="196"/>
      <c r="BH16" s="189"/>
      <c r="BI16" s="227">
        <f t="shared" si="22"/>
        <v>0</v>
      </c>
      <c r="BJ16" s="197"/>
      <c r="BK16" s="167">
        <f t="shared" si="23"/>
        <v>0</v>
      </c>
      <c r="BL16" s="161"/>
      <c r="BM16" s="240">
        <f t="shared" si="24"/>
        <v>0</v>
      </c>
      <c r="BN16" s="196"/>
      <c r="BO16" s="240">
        <f t="shared" si="25"/>
        <v>1.4</v>
      </c>
      <c r="BP16" s="196"/>
      <c r="BQ16" s="161"/>
      <c r="BR16" s="381"/>
      <c r="BS16" s="392">
        <f t="shared" si="122"/>
        <v>0</v>
      </c>
      <c r="BT16" s="376"/>
      <c r="BU16" s="393" t="str">
        <f>+IF(OR(CF16="", CB17="", CF16=0, CB17=0), "", IF($BU$1=FALSE, CF16-CB17, -CF16+CB17))</f>
        <v/>
      </c>
      <c r="BV16" s="310"/>
      <c r="BW16" s="311" t="str">
        <f t="shared" si="110"/>
        <v/>
      </c>
      <c r="BX16" s="372">
        <v>50</v>
      </c>
      <c r="BY16" s="440"/>
      <c r="BZ16" s="432">
        <v>5.2999999999999999E-2</v>
      </c>
      <c r="CA16" s="372"/>
      <c r="CB16" s="572" t="str">
        <f t="shared" ref="CB16:CB21" si="133">+IF($BU$1=FALSE, IF(BD16=0, "", BD16), IF(BM16=0,"", BM16))</f>
        <v/>
      </c>
      <c r="CC16" s="567">
        <f t="shared" si="29"/>
        <v>0</v>
      </c>
      <c r="CD16" s="814">
        <f t="shared" si="30"/>
        <v>175</v>
      </c>
      <c r="CE16" s="569">
        <f t="shared" si="31"/>
        <v>0</v>
      </c>
      <c r="CF16" s="574" t="str">
        <f>+IF($BU$1=FALSE, IF(BF16=0, "", BF16), IF(BO16=0,"", BO16))</f>
        <v/>
      </c>
      <c r="CG16" s="372"/>
      <c r="CH16" s="435">
        <v>28.396999999999998</v>
      </c>
      <c r="CI16" s="436"/>
      <c r="CJ16" s="372"/>
      <c r="CK16" s="391" t="str">
        <f t="shared" si="111"/>
        <v/>
      </c>
      <c r="CL16" s="396" t="str">
        <f>+IF(OR(CF17="", CB16="", CF17=0, CB16=0), "", IF($BU$1=FALSE, CB16-CF17,- CB16+CF17))</f>
        <v/>
      </c>
      <c r="CM16" s="370"/>
      <c r="CN16" s="161"/>
      <c r="CO16" s="161"/>
      <c r="CP16" s="161"/>
      <c r="CQ16" s="161"/>
      <c r="CR16" s="161"/>
      <c r="CS16" s="161"/>
      <c r="CT16" s="161"/>
      <c r="CU16" s="161"/>
      <c r="CV16" s="161"/>
      <c r="CW16" s="161"/>
      <c r="CX16" s="161"/>
      <c r="CY16" s="161"/>
      <c r="CZ16" s="161"/>
      <c r="DA16" s="161"/>
      <c r="DB16" s="161"/>
      <c r="DC16" s="161"/>
      <c r="DD16" s="161"/>
      <c r="DE16" s="161"/>
      <c r="DF16" s="161"/>
      <c r="DG16" s="161"/>
      <c r="DH16" s="161"/>
      <c r="DI16" s="161"/>
      <c r="DJ16" s="892"/>
      <c r="DK16" s="242">
        <f t="shared" si="123"/>
        <v>0</v>
      </c>
      <c r="DL16" s="217"/>
      <c r="DM16" s="490">
        <f t="shared" si="34"/>
        <v>0</v>
      </c>
      <c r="DN16" s="242">
        <f t="shared" si="35"/>
        <v>0</v>
      </c>
      <c r="DO16" s="243">
        <f t="shared" si="36"/>
        <v>0</v>
      </c>
      <c r="DP16" s="217"/>
      <c r="DQ16" s="252">
        <f t="shared" si="120"/>
        <v>0</v>
      </c>
      <c r="DR16" s="217"/>
      <c r="DS16" s="242">
        <f t="shared" si="38"/>
        <v>0</v>
      </c>
      <c r="DT16" s="242">
        <f t="shared" si="39"/>
        <v>0</v>
      </c>
      <c r="DU16" s="268">
        <f t="shared" si="40"/>
        <v>0</v>
      </c>
      <c r="DV16" s="217"/>
      <c r="DW16" s="428">
        <f>+IF(OR(AE16 = "", AND(AH16 = "", AK16 = "")), "",IFERROR(+AH16 * CallDelta($AG$1,AE16,($BM$1/365), $V$15, $AZ$1, $V$17), 0) + IFERROR(AK16 * Putdelta($AG$1,AE16,($BM$1/365), $V$15, $AZ$1, $V$17), 0))</f>
        <v>0</v>
      </c>
      <c r="DX16" s="245">
        <f>+IF(OR(AE16 = "", AND(AH16 = "", AK16 = "")), "",IFERROR(+AH16 * OptionGamma($AG$1,AE16,($BM$1/365), $V$15, $AZ$1, $V$17), 0) + IFERROR(AK16 * OptionGamma($AG$1,AE16,($BM$1/365), $V$15, $AZ$1, $V$17), 0))</f>
        <v>0</v>
      </c>
      <c r="DY16" s="161"/>
      <c r="DZ16" s="267">
        <f t="shared" si="127"/>
        <v>0</v>
      </c>
      <c r="EA16" s="217"/>
      <c r="EB16" s="267">
        <f t="shared" si="42"/>
        <v>0</v>
      </c>
      <c r="EC16" s="267">
        <f t="shared" si="43"/>
        <v>0</v>
      </c>
      <c r="ED16" s="247">
        <f t="shared" si="44"/>
        <v>0</v>
      </c>
      <c r="EE16" s="217"/>
      <c r="EF16" s="267">
        <f t="shared" si="129"/>
        <v>0</v>
      </c>
      <c r="EG16" s="217"/>
      <c r="EH16" s="267">
        <f t="shared" si="46"/>
        <v>0</v>
      </c>
      <c r="EI16" s="246">
        <f t="shared" si="47"/>
        <v>0</v>
      </c>
      <c r="EJ16" s="248">
        <f t="shared" si="48"/>
        <v>0</v>
      </c>
      <c r="EK16" s="217"/>
      <c r="EL16" s="251">
        <f>+IF(OR(AE16 = "", AND(AQ16 = "", AT16 = "")), "",IFERROR(+AQ16 * CallDelta($AG$1,AE16,($BM$1/365), $V$15, $AZ$1, $V$17), 0) + IFERROR(AT16 * Putdelta($AG$1,AE16,($BM$1/365), $V$15, $AZ$1, $V$17), 0))</f>
        <v>0</v>
      </c>
      <c r="EM16" s="249">
        <f>+IF(OR(AE16 = "", AND(AQ16 = "", AT16 = "")), "",IFERROR(+AQ16 * OptionGamma($AG$1,AE16,($BM$1/365), $V$15, $AZ$1, $V$17), 0) + IFERROR(AT16 * OptionGamma($AG$1,AE16,($BM$1/365), $V$15, $AZ$1, $V$17), 0))</f>
        <v>0</v>
      </c>
      <c r="EN16" s="451">
        <f t="shared" si="49"/>
        <v>3.814697265625E-3</v>
      </c>
      <c r="EO16" s="418">
        <f>+IF(AE16 = "", "",ImpliedCallVolatility($AG$1, $AE16,($BM$1/365), $V$15, $AZ16, $V$17) * 100)</f>
        <v>3.814697265625E-3</v>
      </c>
      <c r="EP16" s="418">
        <f>+IF(AE16 = "", "",ImpliedCallVolatility($AG$1, $AE16,($BM$1/365), $V$15, BD16, $V$17) * 100)</f>
        <v>3.814697265625E-3</v>
      </c>
      <c r="EQ16" s="418">
        <f>+IF(AE16 = "", "",ImpliedCallVolatility($AG$1, $AE16,($BM$1/365), $V$15, BF16, $V$17) * 100)</f>
        <v>3.814697265625E-3</v>
      </c>
      <c r="ER16" s="411" t="str">
        <f t="shared" si="50"/>
        <v/>
      </c>
      <c r="ES16" s="411" t="str">
        <f t="shared" si="51"/>
        <v/>
      </c>
      <c r="ET16" s="411" t="str">
        <f t="shared" si="52"/>
        <v/>
      </c>
      <c r="EU16" s="416">
        <f>IF($FC$1 = 1,
IF(AE16 = "", "",OptionGamma($AG$1,AE16,($BM$1/365), $V$15, $AZ$1, $V$17) * 1000),
IF($FC$1 = 2, IF(OR(AE16 = "", BD16 =  0), "",IF(AE16 &lt; $AG$1, (((AE16 * (1 - COMIS_ACCION)) / (($AG$1 * (1 + COMIS_ACCION)) - (BD16 * (1 - COMIS_OPCION)))) - 1) * 100 / $BM$1 * 365,((($AG$1 * (1 - COMIS_ACCION)) / (($AG$1 * (1 + COMIS_ACCION)) - (BD16 * (1 - COMIS_OPCION)))) - 1) * 100 / $BM$1 * 365))))</f>
        <v>3.3231491061685707</v>
      </c>
      <c r="EV16" s="276">
        <f>+IF(AE16 = "", "",CallOption($AG$1, $AE16,($BM$1/365), $V$15, $AZ$1, $V$17))</f>
        <v>43.900764072537271</v>
      </c>
      <c r="EW16" s="271" t="str">
        <f t="shared" si="53"/>
        <v/>
      </c>
      <c r="EX16" s="272">
        <f t="shared" si="54"/>
        <v>33.346805799999998</v>
      </c>
      <c r="EY16" s="274">
        <f t="shared" si="55"/>
        <v>-35.953194199999999</v>
      </c>
      <c r="EZ16" s="272">
        <f t="shared" si="56"/>
        <v>-175.29644999999999</v>
      </c>
      <c r="FA16" s="272">
        <f t="shared" si="57"/>
        <v>174.70355000000001</v>
      </c>
      <c r="FB16" s="530">
        <f>+IF($FC$1 = 1, IF(AE16 = "", "",IFERROR( VLOOKUP(N16, PreciosCalls, 13, FALSE), 0)),
IF($FC$1 = 2,  IF(AE16 = "", "",OptionGamma($AG$1,AE16,($BM$1/365), $V$15, $AZ$1, $V$17) * 1000)))</f>
        <v>0</v>
      </c>
      <c r="FC16" s="530">
        <f>IF($FC$1 = 1, IF(AE16 = "", "",IFERROR( VLOOKUP(N16, PreciosCalls, 14, FALSE), 0)),
IF($FC$1 = 2, IF(AE16 = "", "",CallDelta($AG$1,AE16,($BM$1/365), $V$15, $AZ$1, $V$17) * 100)))</f>
        <v>0</v>
      </c>
      <c r="FD16" s="531">
        <f t="shared" si="58"/>
        <v>0</v>
      </c>
      <c r="FE16" s="530">
        <f t="shared" si="59"/>
        <v>0</v>
      </c>
      <c r="FF16" s="217"/>
      <c r="FG16" s="273" t="str">
        <f t="shared" si="60"/>
        <v/>
      </c>
      <c r="FH16" s="273" t="str">
        <f t="shared" si="61"/>
        <v/>
      </c>
      <c r="FI16" s="451">
        <f t="shared" si="62"/>
        <v>46.619415283203125</v>
      </c>
      <c r="FJ16" s="419">
        <f>+IF(AE16 = "", "",ImpliedPutVolatility($AG$1, $AE16,($BM$1/365), $V$15, BI16, $V$17) * 100)</f>
        <v>1.644134521484375</v>
      </c>
      <c r="FK16" s="419">
        <f>+IF(AE16 = "", "",ImpliedPutVolatility($AG$1, $AE16,($BM$1/365), $V$15, BM16, $V$17) * 100)</f>
        <v>1.644134521484375</v>
      </c>
      <c r="FL16" s="419">
        <f>+IF(AE16 = "", "",ImpliedPutVolatility($AG$1, $AE16,($BM$1/365), $V$15, BO16, $V$17) * 100)</f>
        <v>46.619415283203125</v>
      </c>
      <c r="FM16" s="415" t="str">
        <f t="shared" si="63"/>
        <v/>
      </c>
      <c r="FN16" s="415" t="str">
        <f t="shared" si="64"/>
        <v/>
      </c>
      <c r="FO16" s="415">
        <f t="shared" si="65"/>
        <v>1.4</v>
      </c>
      <c r="FP16" s="417">
        <f>IF($FX$1=1, IF(AE16 = "", "",OptionGamma($AG$1,AE16,($BM$1/365), $V$15, $AZ$1, $V$17) * 1000),
IF($FX$1 = 2, IF(OR(AE16 = "", BM16 =  0), "",((BM16 * (1 - COMIS_OPCION)) / (AE16 * (1 + COMIS_ACCION))) * 100 / $BM$1 * 365)))</f>
        <v>3.3231491061685707</v>
      </c>
      <c r="FQ16" s="289">
        <f>+IF(AE16 = "", "",PutOption($AG$1, $AE16,($BM$1/365), $V$15, $AZ$1, $V$17))</f>
        <v>0.66575333966377492</v>
      </c>
      <c r="FR16" s="279"/>
      <c r="FS16" s="284">
        <f t="shared" si="66"/>
        <v>-35.953194199999999</v>
      </c>
      <c r="FT16" s="284">
        <f t="shared" si="67"/>
        <v>33.346805799999998</v>
      </c>
      <c r="FU16" s="280">
        <f t="shared" si="68"/>
        <v>-35.301597100000009</v>
      </c>
      <c r="FV16" s="279"/>
      <c r="FW16" s="287">
        <f>+IF($FX$1 = 1, IFERROR(VLOOKUP(P16, PreciosPuts, 13, FALSE), 0),
IF($FX$1 = 2, IF(AE16 = "", "",OptionGamma($AG$1,AE16,($BM$1/365), $V$15, $AZ$1, $V$17) * 1000)))</f>
        <v>0</v>
      </c>
      <c r="FX16" s="287">
        <f>+IF($FX$1=1, IF(AE16 = "", "",IFERROR(VLOOKUP(P16, PreciosPuts, 14, FALSE), 0)),
IF($FX$1=2, IF(AE16 = "", "",Putdelta($AG$1,AE16,($BM$1/365), $V$15, $AZ$1, $V$17) * 100)))</f>
        <v>0</v>
      </c>
      <c r="FY16" s="286">
        <f t="shared" si="69"/>
        <v>0</v>
      </c>
      <c r="FZ16" s="287">
        <f t="shared" si="70"/>
        <v>0</v>
      </c>
      <c r="GA16" s="217"/>
      <c r="GB16" s="281">
        <f t="shared" si="130"/>
        <v>0.92857142857142871</v>
      </c>
      <c r="GC16" s="281">
        <f t="shared" si="131"/>
        <v>1.2142857142857144</v>
      </c>
      <c r="GD16" s="217"/>
      <c r="GE16" s="303" t="str">
        <f t="shared" si="71"/>
        <v/>
      </c>
      <c r="GF16" s="292" t="str">
        <f>+IF(AX16 = "", "",IF(AND(BF16 &lt;&gt; 0, BM16 &lt;&gt; 0), AX16 + BF16 - BM16, ""))</f>
        <v/>
      </c>
      <c r="GG16" s="293" t="str">
        <f t="shared" si="73"/>
        <v/>
      </c>
      <c r="GH16" s="294" t="str">
        <f t="shared" si="124"/>
        <v/>
      </c>
      <c r="GI16" s="294">
        <v>10</v>
      </c>
      <c r="GJ16" s="217"/>
      <c r="GK16" s="305" t="str">
        <f t="shared" si="74"/>
        <v/>
      </c>
      <c r="GL16" s="299" t="str">
        <f t="shared" si="75"/>
        <v/>
      </c>
      <c r="GM16" s="300" t="str">
        <f t="shared" si="76"/>
        <v/>
      </c>
      <c r="GN16" s="225" t="str">
        <f t="shared" si="121"/>
        <v/>
      </c>
      <c r="GO16" s="225">
        <v>10</v>
      </c>
      <c r="GP16" s="217"/>
      <c r="GQ16" s="217"/>
      <c r="GR16" s="401" t="str">
        <f t="shared" si="132"/>
        <v/>
      </c>
      <c r="GT16" s="282" t="str">
        <f t="shared" si="78"/>
        <v/>
      </c>
      <c r="GU16" s="282" t="str">
        <f t="shared" si="79"/>
        <v/>
      </c>
      <c r="GV16" s="282" t="str">
        <f t="shared" si="80"/>
        <v/>
      </c>
      <c r="GW16" s="282" t="str">
        <f t="shared" si="81"/>
        <v/>
      </c>
      <c r="GX16" s="282" t="str">
        <f t="shared" si="82"/>
        <v/>
      </c>
      <c r="GY16" s="282" t="str">
        <f t="shared" si="83"/>
        <v/>
      </c>
      <c r="GZ16" s="282" t="str">
        <f t="shared" si="115"/>
        <v/>
      </c>
      <c r="HA16" s="282" t="str">
        <f t="shared" si="84"/>
        <v/>
      </c>
      <c r="HB16" s="282" t="str">
        <f t="shared" si="116"/>
        <v/>
      </c>
      <c r="HC16" s="607" t="str">
        <f t="shared" si="85"/>
        <v/>
      </c>
      <c r="HD16" s="282" t="str">
        <f t="shared" si="86"/>
        <v/>
      </c>
      <c r="HE16" s="282" t="str">
        <f t="shared" si="87"/>
        <v/>
      </c>
      <c r="HF16" s="282" t="str">
        <f t="shared" si="88"/>
        <v/>
      </c>
      <c r="HG16" s="217"/>
      <c r="HH16" s="282" t="str">
        <f t="shared" si="89"/>
        <v/>
      </c>
      <c r="HI16" s="282" t="str">
        <f t="shared" si="90"/>
        <v/>
      </c>
      <c r="HJ16" s="282"/>
      <c r="HK16" s="282"/>
      <c r="HL16" s="217"/>
      <c r="HM16" s="420"/>
      <c r="HN16" s="420"/>
      <c r="HO16" s="420"/>
      <c r="HP16" s="420"/>
      <c r="HQ16" s="282" t="str">
        <f t="shared" si="91"/>
        <v/>
      </c>
      <c r="HR16" s="420"/>
      <c r="HS16" s="420"/>
      <c r="HT16" s="420"/>
      <c r="HU16" s="420"/>
      <c r="HV16" s="420"/>
      <c r="HW16" s="420"/>
      <c r="HX16" s="425"/>
      <c r="HY16" s="338"/>
      <c r="HZ16" s="338"/>
      <c r="IA16" s="161"/>
      <c r="IB16" s="161"/>
      <c r="IC16" s="162"/>
      <c r="ID16" s="162"/>
      <c r="IE16" s="49"/>
      <c r="IF16" s="55"/>
      <c r="IG16" s="58"/>
      <c r="IH16" s="545">
        <f t="shared" si="117"/>
        <v>-16.527545909849749</v>
      </c>
      <c r="IJ16" s="146">
        <v>10</v>
      </c>
      <c r="IK16" s="545">
        <f t="shared" si="92"/>
        <v>175</v>
      </c>
      <c r="IL16" s="106">
        <f t="shared" si="93"/>
        <v>-0.1652754590984975</v>
      </c>
      <c r="IM16" s="110">
        <f t="shared" si="128"/>
        <v>175</v>
      </c>
      <c r="IN16" s="111">
        <f t="shared" si="118"/>
        <v>-46515.23875000004</v>
      </c>
      <c r="IO16" s="50">
        <f t="shared" si="95"/>
        <v>0</v>
      </c>
      <c r="IP16" s="50">
        <f t="shared" si="95"/>
        <v>0</v>
      </c>
      <c r="IQ16" s="50">
        <f t="shared" si="95"/>
        <v>0</v>
      </c>
      <c r="IR16" s="50">
        <f t="shared" si="95"/>
        <v>0</v>
      </c>
      <c r="IS16" s="50">
        <f t="shared" si="95"/>
        <v>0</v>
      </c>
      <c r="IT16" s="50">
        <f t="shared" si="95"/>
        <v>0</v>
      </c>
      <c r="IU16" s="50">
        <f t="shared" si="95"/>
        <v>0</v>
      </c>
      <c r="IV16" s="50">
        <f t="shared" si="95"/>
        <v>0</v>
      </c>
      <c r="IW16" s="50">
        <f t="shared" si="95"/>
        <v>0</v>
      </c>
      <c r="IX16" s="50">
        <f t="shared" si="95"/>
        <v>0</v>
      </c>
      <c r="IY16" s="50">
        <f t="shared" si="96"/>
        <v>0</v>
      </c>
      <c r="IZ16" s="50">
        <f t="shared" si="96"/>
        <v>0</v>
      </c>
      <c r="JA16" s="50">
        <f t="shared" si="96"/>
        <v>0</v>
      </c>
      <c r="JB16" s="50">
        <f t="shared" si="96"/>
        <v>0</v>
      </c>
      <c r="JC16" s="50">
        <f t="shared" si="96"/>
        <v>0</v>
      </c>
      <c r="JD16" s="50">
        <f t="shared" si="96"/>
        <v>0</v>
      </c>
      <c r="JE16" s="50">
        <f t="shared" si="96"/>
        <v>0</v>
      </c>
      <c r="JF16" s="50">
        <f t="shared" si="96"/>
        <v>0</v>
      </c>
      <c r="JG16" s="50">
        <f t="shared" si="96"/>
        <v>0</v>
      </c>
      <c r="JH16" s="50">
        <f t="shared" si="96"/>
        <v>0</v>
      </c>
      <c r="JI16" s="50">
        <f t="shared" si="97"/>
        <v>0</v>
      </c>
      <c r="JJ16" s="50">
        <f t="shared" si="97"/>
        <v>0</v>
      </c>
      <c r="JK16" s="50">
        <f t="shared" si="97"/>
        <v>0</v>
      </c>
      <c r="JL16" s="50">
        <f t="shared" si="97"/>
        <v>0</v>
      </c>
      <c r="JM16" s="50">
        <f t="shared" si="97"/>
        <v>0</v>
      </c>
      <c r="JN16" s="50">
        <f t="shared" si="97"/>
        <v>0</v>
      </c>
      <c r="JO16" s="50">
        <f t="shared" si="97"/>
        <v>0</v>
      </c>
      <c r="JP16" s="50">
        <f t="shared" si="97"/>
        <v>0</v>
      </c>
      <c r="JQ16" s="50">
        <f t="shared" si="97"/>
        <v>0</v>
      </c>
      <c r="JR16" s="50">
        <f t="shared" si="97"/>
        <v>0</v>
      </c>
      <c r="JS16" s="50">
        <f t="shared" si="98"/>
        <v>0</v>
      </c>
      <c r="JT16" s="50">
        <f t="shared" si="98"/>
        <v>0</v>
      </c>
      <c r="JU16" s="50" t="str">
        <f t="shared" si="98"/>
        <v/>
      </c>
      <c r="JV16" s="50" t="str">
        <f t="shared" si="98"/>
        <v/>
      </c>
      <c r="JW16" s="50" t="str">
        <f t="shared" si="98"/>
        <v/>
      </c>
      <c r="JX16" s="50" t="str">
        <f t="shared" si="98"/>
        <v/>
      </c>
      <c r="JY16" s="50" t="str">
        <f t="shared" si="98"/>
        <v/>
      </c>
      <c r="JZ16" s="50" t="str">
        <f t="shared" si="98"/>
        <v/>
      </c>
      <c r="KA16" s="50" t="str">
        <f t="shared" si="98"/>
        <v/>
      </c>
      <c r="KB16" s="50" t="str">
        <f t="shared" si="98"/>
        <v/>
      </c>
      <c r="KC16" s="50" t="str">
        <f t="shared" si="98"/>
        <v/>
      </c>
      <c r="KD16" s="50" t="str">
        <f t="shared" si="98"/>
        <v/>
      </c>
    </row>
    <row r="17" spans="2:290" s="144" customFormat="1" ht="15" customHeight="1" thickBot="1">
      <c r="B17" s="146">
        <v>11</v>
      </c>
      <c r="C17" s="121" t="str">
        <f t="shared" si="99"/>
        <v>GFGC180.AB</v>
      </c>
      <c r="D17" s="121" t="str">
        <f t="shared" si="100"/>
        <v>GFGV180.AB</v>
      </c>
      <c r="E17" s="122">
        <f t="shared" si="1"/>
        <v>180</v>
      </c>
      <c r="F17" s="123" t="str">
        <f t="shared" si="2"/>
        <v/>
      </c>
      <c r="G17" s="123" t="str">
        <f t="shared" si="3"/>
        <v/>
      </c>
      <c r="H17" s="124" t="str">
        <f t="shared" si="4"/>
        <v/>
      </c>
      <c r="I17" s="124">
        <f t="shared" si="5"/>
        <v>1.37</v>
      </c>
      <c r="J17" s="124" t="str">
        <f t="shared" si="6"/>
        <v/>
      </c>
      <c r="K17" s="124" t="str">
        <f t="shared" si="7"/>
        <v/>
      </c>
      <c r="M17" s="158">
        <f t="shared" si="8"/>
        <v>12</v>
      </c>
      <c r="N17" s="121" t="str">
        <f t="shared" si="9"/>
        <v>GFGC180.AB</v>
      </c>
      <c r="O17" s="158">
        <f t="shared" si="10"/>
        <v>12</v>
      </c>
      <c r="P17" s="121" t="str">
        <f t="shared" si="11"/>
        <v>GFGV180.AB</v>
      </c>
      <c r="R17" s="159"/>
      <c r="S17" s="160" t="str">
        <f t="shared" si="12"/>
        <v/>
      </c>
      <c r="U17" s="234" t="s">
        <v>203</v>
      </c>
      <c r="V17" s="135">
        <f>+VLOOKUP(Z1, TICKERS_ACCIONES_OPCIONES, 3, FALSE)</f>
        <v>0</v>
      </c>
      <c r="X17" s="200">
        <v>11</v>
      </c>
      <c r="Y17" s="546">
        <f t="shared" si="13"/>
        <v>-14.142618650131178</v>
      </c>
      <c r="Z17" s="540">
        <f t="shared" si="14"/>
        <v>-46515.23875000004</v>
      </c>
      <c r="AA17" s="179"/>
      <c r="AB17" s="540">
        <f t="shared" si="15"/>
        <v>0</v>
      </c>
      <c r="AC17" s="161"/>
      <c r="AD17" s="200">
        <v>11</v>
      </c>
      <c r="AE17" s="825">
        <f t="shared" si="101"/>
        <v>180</v>
      </c>
      <c r="AF17" s="201"/>
      <c r="AG17" s="161"/>
      <c r="AH17" s="177">
        <f t="shared" si="102"/>
        <v>0</v>
      </c>
      <c r="AI17" s="166">
        <f t="shared" si="103"/>
        <v>0</v>
      </c>
      <c r="AJ17" s="179"/>
      <c r="AK17" s="177">
        <f t="shared" si="104"/>
        <v>0</v>
      </c>
      <c r="AL17" s="166">
        <f t="shared" si="105"/>
        <v>0</v>
      </c>
      <c r="AM17" s="179"/>
      <c r="AN17" s="177"/>
      <c r="AO17" s="166"/>
      <c r="AP17" s="179"/>
      <c r="AQ17" s="176">
        <f t="shared" si="106"/>
        <v>0</v>
      </c>
      <c r="AR17" s="165">
        <f t="shared" si="107"/>
        <v>0</v>
      </c>
      <c r="AS17" s="179"/>
      <c r="AT17" s="176">
        <f t="shared" si="108"/>
        <v>0</v>
      </c>
      <c r="AU17" s="165">
        <f t="shared" si="109"/>
        <v>0</v>
      </c>
      <c r="AV17" s="179"/>
      <c r="AW17" s="200">
        <f t="shared" si="16"/>
        <v>11</v>
      </c>
      <c r="AX17" s="170">
        <f t="shared" si="17"/>
        <v>180</v>
      </c>
      <c r="AY17" s="164"/>
      <c r="AZ17" s="215">
        <f t="shared" si="18"/>
        <v>0</v>
      </c>
      <c r="BA17" s="197"/>
      <c r="BB17" s="228">
        <f t="shared" si="19"/>
        <v>0</v>
      </c>
      <c r="BC17" s="161"/>
      <c r="BD17" s="240">
        <f t="shared" si="20"/>
        <v>33.299999999999997</v>
      </c>
      <c r="BE17" s="196"/>
      <c r="BF17" s="240">
        <f t="shared" si="21"/>
        <v>45.34</v>
      </c>
      <c r="BG17" s="196"/>
      <c r="BH17" s="189"/>
      <c r="BI17" s="227">
        <f t="shared" si="22"/>
        <v>1.37</v>
      </c>
      <c r="BJ17" s="197"/>
      <c r="BK17" s="167">
        <f t="shared" si="23"/>
        <v>-0.2666</v>
      </c>
      <c r="BL17" s="161"/>
      <c r="BM17" s="240">
        <f t="shared" si="24"/>
        <v>1.3</v>
      </c>
      <c r="BN17" s="196"/>
      <c r="BO17" s="240">
        <f t="shared" si="25"/>
        <v>1.45</v>
      </c>
      <c r="BP17" s="196"/>
      <c r="BQ17" s="161"/>
      <c r="BR17" s="381"/>
      <c r="BS17" s="392">
        <f t="shared" si="122"/>
        <v>0</v>
      </c>
      <c r="BT17" s="376"/>
      <c r="BU17" s="393">
        <f>+IF(OR(CF17="", CB18="", CF17=0, CB18=0), "", IF($BU$1=FALSE, CF17-CB18, -CF17+CB18))</f>
        <v>11.340000000000003</v>
      </c>
      <c r="BV17" s="310"/>
      <c r="BW17" s="311">
        <f t="shared" si="110"/>
        <v>213.3</v>
      </c>
      <c r="BX17" s="372"/>
      <c r="BY17" s="440"/>
      <c r="BZ17" s="432">
        <v>23</v>
      </c>
      <c r="CA17" s="372"/>
      <c r="CB17" s="572">
        <f>+IF($BU$1=FALSE, IF(BD17=0, "", BD17), IF(BM17=0,"", BM17))</f>
        <v>33.299999999999997</v>
      </c>
      <c r="CC17" s="567">
        <f t="shared" si="29"/>
        <v>500</v>
      </c>
      <c r="CD17" s="814">
        <f t="shared" si="30"/>
        <v>180</v>
      </c>
      <c r="CE17" s="569">
        <f t="shared" si="31"/>
        <v>1</v>
      </c>
      <c r="CF17" s="574">
        <f>+IF($BU$1=FALSE, IF(BF17=0, "", BF17), IF(BO17=0,"", BO17))</f>
        <v>45.34</v>
      </c>
      <c r="CG17" s="372"/>
      <c r="CH17" s="435">
        <v>0.127</v>
      </c>
      <c r="CI17" s="436"/>
      <c r="CJ17" s="372"/>
      <c r="CK17" s="391">
        <f t="shared" si="111"/>
        <v>225.34</v>
      </c>
      <c r="CL17" s="396">
        <f t="shared" ref="CL17:CL19" si="134">+IF(OR(CF18="", CB17="", CF18=0, CB17=0), "", IF($BU$1=FALSE, CB17-CF18,- CB17+CF18))</f>
        <v>-9.9400000000000048</v>
      </c>
      <c r="CM17" s="370"/>
      <c r="CN17" s="161"/>
      <c r="CO17" s="161"/>
      <c r="CP17" s="161"/>
      <c r="CQ17" s="161"/>
      <c r="CR17" s="161"/>
      <c r="CS17" s="161"/>
      <c r="CT17" s="161"/>
      <c r="CU17" s="161"/>
      <c r="CV17" s="161"/>
      <c r="CW17" s="161"/>
      <c r="CX17" s="161"/>
      <c r="CY17" s="161"/>
      <c r="CZ17" s="161"/>
      <c r="DA17" s="161"/>
      <c r="DB17" s="161"/>
      <c r="DC17" s="161"/>
      <c r="DD17" s="161"/>
      <c r="DE17" s="161"/>
      <c r="DF17" s="161"/>
      <c r="DG17" s="161"/>
      <c r="DH17" s="161"/>
      <c r="DI17" s="161"/>
      <c r="DJ17" s="892"/>
      <c r="DK17" s="242">
        <f t="shared" si="123"/>
        <v>0</v>
      </c>
      <c r="DL17" s="217"/>
      <c r="DM17" s="490">
        <f t="shared" si="34"/>
        <v>0</v>
      </c>
      <c r="DN17" s="242">
        <f t="shared" si="35"/>
        <v>0</v>
      </c>
      <c r="DO17" s="243">
        <f t="shared" si="36"/>
        <v>0</v>
      </c>
      <c r="DP17" s="217"/>
      <c r="DQ17" s="252">
        <f t="shared" si="120"/>
        <v>0</v>
      </c>
      <c r="DR17" s="217"/>
      <c r="DS17" s="242">
        <f t="shared" si="38"/>
        <v>0</v>
      </c>
      <c r="DT17" s="252">
        <f t="shared" si="39"/>
        <v>0</v>
      </c>
      <c r="DU17" s="244">
        <f t="shared" si="40"/>
        <v>0</v>
      </c>
      <c r="DV17" s="217"/>
      <c r="DW17" s="428">
        <f>+IF(OR(AE17 = "", AND(AH17 = "", AK17 = "")), "",IFERROR(+AH17 * CallDelta($AG$1,AE17,($BM$1/365), $V$15, $AZ$1, $V$17), 0) + IFERROR(AK17 * Putdelta($AG$1,AE17,($BM$1/365), $V$15, $AZ$1, $V$17), 0))</f>
        <v>0</v>
      </c>
      <c r="DX17" s="245">
        <f>+IF(OR(AE17 = "", AND(AH17 = "", AK17 = "")), "",IFERROR(+AH17 * OptionGamma($AG$1,AE17,($BM$1/365), $V$15, $AZ$1, $V$17), 0) + IFERROR(AK17 * OptionGamma($AG$1,AE17,($BM$1/365), $V$15, $AZ$1, $V$17), 0))</f>
        <v>0</v>
      </c>
      <c r="DY17" s="161"/>
      <c r="DZ17" s="267">
        <f t="shared" si="127"/>
        <v>0</v>
      </c>
      <c r="EA17" s="217"/>
      <c r="EB17" s="267">
        <f t="shared" si="42"/>
        <v>0</v>
      </c>
      <c r="EC17" s="267">
        <f t="shared" si="43"/>
        <v>0</v>
      </c>
      <c r="ED17" s="247">
        <f t="shared" si="44"/>
        <v>0</v>
      </c>
      <c r="EE17" s="217"/>
      <c r="EF17" s="267">
        <f t="shared" si="129"/>
        <v>0</v>
      </c>
      <c r="EG17" s="217"/>
      <c r="EH17" s="267">
        <f t="shared" si="46"/>
        <v>0</v>
      </c>
      <c r="EI17" s="278">
        <f t="shared" si="47"/>
        <v>0</v>
      </c>
      <c r="EJ17" s="248">
        <f t="shared" si="48"/>
        <v>0</v>
      </c>
      <c r="EK17" s="217"/>
      <c r="EL17" s="251">
        <f>+IF(OR(AE17 = "", AND(AQ17 = "", AT17 = "")), "",IFERROR(+AQ17 * CallDelta($AG$1,AE17,($BM$1/365), $V$15, $AZ$1, $V$17), 0) + IFERROR(AT17 * Putdelta($AG$1,AE17,($BM$1/365), $V$15, $AZ$1, $V$17), 0))</f>
        <v>0</v>
      </c>
      <c r="EM17" s="249">
        <f>+IF(OR(AE17 = "", AND(AQ17 = "", AT17 = "")), "",IFERROR(+AQ17 * OptionGamma($AG$1,AE17,($BM$1/365), $V$15, $AZ$1, $V$17), 0) + IFERROR(AT17 * OptionGamma($AG$1,AE17,($BM$1/365), $V$15, $AZ$1, $V$17), 0))</f>
        <v>0</v>
      </c>
      <c r="EN17" s="451">
        <f t="shared" si="49"/>
        <v>3.814697265625E-3</v>
      </c>
      <c r="EO17" s="418">
        <f>+IF(AE17 = "", "",ImpliedCallVolatility($AG$1, $AE17,($BM$1/365), $V$15, $AZ17, $V$17) * 100)</f>
        <v>3.814697265625E-3</v>
      </c>
      <c r="EP17" s="418">
        <f>+IF(AE17 = "", "",ImpliedCallVolatility($AG$1, $AE17,($BM$1/365), $V$15, BD17, $V$17) * 100)</f>
        <v>3.814697265625E-3</v>
      </c>
      <c r="EQ17" s="418">
        <f>+IF(AE17 = "", "",ImpliedCallVolatility($AG$1, $AE17,($BM$1/365), $V$15, BF17, $V$17) * 100)</f>
        <v>73.169708251953125</v>
      </c>
      <c r="ER17" s="411" t="str">
        <f t="shared" si="50"/>
        <v/>
      </c>
      <c r="ES17" s="411">
        <f t="shared" si="51"/>
        <v>3.6499999999999915</v>
      </c>
      <c r="ET17" s="411">
        <f t="shared" si="52"/>
        <v>15.689999999999998</v>
      </c>
      <c r="EU17" s="416">
        <f>IF($FC$1 = 1,
IF(AE17 = "", "",OptionGamma($AG$1,AE17,($BM$1/365), $V$15, $AZ$1, $V$17) * 1000),
IF($FC$1 = 2, IF(OR(AE17 = "", BD17 =  0), "",IF(AE17 &lt; $AG$1, (((AE17 * (1 - COMIS_ACCION)) / (($AG$1 * (1 + COMIS_ACCION)) - (BD17 * (1 - COMIS_OPCION)))) - 1) * 100 / $BM$1 * 365,((($AG$1 * (1 - COMIS_ACCION)) / (($AG$1 * (1 + COMIS_ACCION)) - (BD17 * (1 - COMIS_OPCION)))) - 1) * 100 / $BM$1 * 365))))</f>
        <v>4.4842544888064255</v>
      </c>
      <c r="EV17" s="276">
        <f>+IF(AE17 = "", "",CallOption($AG$1, $AE17,($BM$1/365), $V$15, $AZ$1, $V$17))</f>
        <v>39.525094677292032</v>
      </c>
      <c r="EW17" s="271">
        <f t="shared" si="53"/>
        <v>-45.641737700000007</v>
      </c>
      <c r="EX17" s="272">
        <f t="shared" si="54"/>
        <v>28.329865800000007</v>
      </c>
      <c r="EY17" s="274">
        <f t="shared" si="55"/>
        <v>-30.970134199999993</v>
      </c>
      <c r="EZ17" s="272">
        <f t="shared" si="56"/>
        <v>-180.30492000000001</v>
      </c>
      <c r="FA17" s="272">
        <f t="shared" si="57"/>
        <v>179.69508000000002</v>
      </c>
      <c r="FB17" s="530">
        <f>+IF($FC$1 = 1, IF(AE17 = "", "",IFERROR( VLOOKUP(N17, PreciosCalls, 13, FALSE), 0)),
IF($FC$1 = 2,  IF(AE17 = "", "",OptionGamma($AG$1,AE17,($BM$1/365), $V$15, $AZ$1, $V$17) * 1000)))</f>
        <v>0</v>
      </c>
      <c r="FC17" s="530">
        <f>IF($FC$1 = 1, IF(AE17 = "", "",IFERROR( VLOOKUP(N17, PreciosCalls, 14, FALSE), 0)),
IF($FC$1 = 2, IF(AE17 = "", "",CallDelta($AG$1,AE17,($BM$1/365), $V$15, $AZ$1, $V$17) * 100)))</f>
        <v>0</v>
      </c>
      <c r="FD17" s="531">
        <f t="shared" si="58"/>
        <v>0</v>
      </c>
      <c r="FE17" s="530">
        <f t="shared" si="59"/>
        <v>0</v>
      </c>
      <c r="FF17" s="217"/>
      <c r="FG17" s="273" t="str">
        <f t="shared" si="60"/>
        <v/>
      </c>
      <c r="FH17" s="273" t="str">
        <f t="shared" si="61"/>
        <v/>
      </c>
      <c r="FI17" s="451">
        <f t="shared" si="62"/>
        <v>42.606353759765625</v>
      </c>
      <c r="FJ17" s="419">
        <f>+IF(AE17 = "", "",ImpliedPutVolatility($AG$1, $AE17,($BM$1/365), $V$15, BI17, $V$17) * 100)</f>
        <v>41.957855224609375</v>
      </c>
      <c r="FK17" s="419">
        <f>+IF(AE17 = "", "",ImpliedPutVolatility($AG$1, $AE17,($BM$1/365), $V$15, BM17, $V$17) * 100)</f>
        <v>41.378021240234375</v>
      </c>
      <c r="FL17" s="419">
        <f>+IF(AE17 = "", "",ImpliedPutVolatility($AG$1, $AE17,($BM$1/365), $V$15, BO17, $V$17) * 100)</f>
        <v>42.606353759765625</v>
      </c>
      <c r="FM17" s="415">
        <f t="shared" si="63"/>
        <v>1.37</v>
      </c>
      <c r="FN17" s="415">
        <f t="shared" si="64"/>
        <v>1.3</v>
      </c>
      <c r="FO17" s="415">
        <f t="shared" si="65"/>
        <v>1.45</v>
      </c>
      <c r="FP17" s="417">
        <f>IF($FX$1=1, IF(AE17 = "", "",OptionGamma($AG$1,AE17,($BM$1/365), $V$15, $AZ$1, $V$17) * 1000),
IF($FX$1 = 2, IF(OR(AE17 = "", BM17 =  0), "",((BM17 * (1 - COMIS_OPCION)) / (AE17 * (1 + COMIS_ACCION))) * 100 / $BM$1 * 365)))</f>
        <v>4.4842544888064255</v>
      </c>
      <c r="FQ17" s="289">
        <f>+IF(AE17 = "", "",PutOption($AG$1, $AE17,($BM$1/365), $V$15, $AZ$1, $V$17))</f>
        <v>1.0447979234792957</v>
      </c>
      <c r="FR17" s="279"/>
      <c r="FS17" s="284">
        <f t="shared" si="66"/>
        <v>-30.970134199999993</v>
      </c>
      <c r="FT17" s="284">
        <f t="shared" si="67"/>
        <v>28.329865800000007</v>
      </c>
      <c r="FU17" s="280">
        <f t="shared" si="68"/>
        <v>-30.310067099999998</v>
      </c>
      <c r="FV17" s="279"/>
      <c r="FW17" s="287">
        <f>+IF($FX$1 = 1, IFERROR(VLOOKUP(P17, PreciosPuts, 13, FALSE), 0),
IF($FX$1 = 2, IF(AE17 = "", "",OptionGamma($AG$1,AE17,($BM$1/365), $V$15, $AZ$1, $V$17) * 1000)))</f>
        <v>3596</v>
      </c>
      <c r="FX17" s="287">
        <f>+IF($FX$1=1, IF(AE17 = "", "",IFERROR(VLOOKUP(P17, PreciosPuts, 14, FALSE), 0)),
IF($FX$1=2, IF(AE17 = "", "",Putdelta($AG$1,AE17,($BM$1/365), $V$15, $AZ$1, $V$17) * 100)))</f>
        <v>0</v>
      </c>
      <c r="FY17" s="286">
        <f t="shared" si="69"/>
        <v>1.4631307007786429</v>
      </c>
      <c r="FZ17" s="287">
        <f t="shared" si="70"/>
        <v>526141.80000000005</v>
      </c>
      <c r="GA17" s="217"/>
      <c r="GB17" s="281">
        <f t="shared" si="130"/>
        <v>1.1724137931034482</v>
      </c>
      <c r="GC17" s="281">
        <f t="shared" si="131"/>
        <v>1.5931034482758621</v>
      </c>
      <c r="GD17" s="217"/>
      <c r="GE17" s="303">
        <f t="shared" si="71"/>
        <v>14.389999999999986</v>
      </c>
      <c r="GF17" s="292">
        <f t="shared" si="72"/>
        <v>224.04</v>
      </c>
      <c r="GG17" s="293">
        <f t="shared" si="73"/>
        <v>-2.0106575342465733</v>
      </c>
      <c r="GH17" s="294">
        <f t="shared" si="124"/>
        <v>7</v>
      </c>
      <c r="GI17" s="294">
        <v>11</v>
      </c>
      <c r="GJ17" s="217"/>
      <c r="GK17" s="305">
        <f t="shared" si="74"/>
        <v>2.1999999999999886</v>
      </c>
      <c r="GL17" s="299">
        <f t="shared" si="75"/>
        <v>211.85000000000002</v>
      </c>
      <c r="GM17" s="300">
        <f t="shared" si="76"/>
        <v>7.5101827041333988E-2</v>
      </c>
      <c r="GN17" s="225">
        <f t="shared" si="121"/>
        <v>9</v>
      </c>
      <c r="GO17" s="225">
        <v>11</v>
      </c>
      <c r="GP17" s="217"/>
      <c r="GQ17" s="217"/>
      <c r="GR17" s="401" t="str">
        <f t="shared" si="132"/>
        <v/>
      </c>
      <c r="GT17" s="282" t="str">
        <f t="shared" si="78"/>
        <v/>
      </c>
      <c r="GU17" s="282" t="str">
        <f t="shared" si="79"/>
        <v/>
      </c>
      <c r="GV17" s="282">
        <f t="shared" si="80"/>
        <v>-27.069247750000006</v>
      </c>
      <c r="GW17" s="282" t="str">
        <f t="shared" si="81"/>
        <v/>
      </c>
      <c r="GX17" s="282" t="str">
        <f t="shared" si="82"/>
        <v/>
      </c>
      <c r="GY17" s="282">
        <f t="shared" si="83"/>
        <v>-14.714714742857144</v>
      </c>
      <c r="GZ17" s="282" t="str">
        <f t="shared" si="115"/>
        <v/>
      </c>
      <c r="HA17" s="282" t="str">
        <f t="shared" si="84"/>
        <v/>
      </c>
      <c r="HB17" s="282" t="str">
        <f t="shared" si="116"/>
        <v/>
      </c>
      <c r="HC17" s="607">
        <f t="shared" si="85"/>
        <v>-0.50553067500000004</v>
      </c>
      <c r="HD17" s="282">
        <f>IFERROR(IF( AND(BO15 &lt;&gt; "", BO15 &lt;&gt; 0, BM17 &lt;&gt; "", BM17 &lt;&gt; 0, BO19 &lt;&gt; "", BO19 &lt;&gt; 0),
-(BO15 * (1 / (AX19 - AX15) * ABS(AX19 - AX17))) * (1 + COMIS_OPCION) + (BM17 * 1) * (1 - COMIS_OPCION)
- BO19 * (1 / (AX19 - AX15) * ABS(AX15 - AX17)) * (1 + COMIS_OPCION), ""), "")</f>
        <v>-0.39983190000000013</v>
      </c>
      <c r="HE17" s="282">
        <f t="shared" si="87"/>
        <v>-0.52063050000000011</v>
      </c>
      <c r="HF17" s="282">
        <f t="shared" si="88"/>
        <v>-0.41996499999999992</v>
      </c>
      <c r="HG17" s="217"/>
      <c r="HH17" s="282">
        <f t="shared" si="89"/>
        <v>-15.567342200000006</v>
      </c>
      <c r="HI17" s="282">
        <f t="shared" si="90"/>
        <v>-10.620584145000009</v>
      </c>
      <c r="HJ17" s="282"/>
      <c r="HK17" s="282"/>
      <c r="HL17" s="217"/>
      <c r="HM17" s="420"/>
      <c r="HN17" s="420"/>
      <c r="HO17" s="420"/>
      <c r="HP17" s="420"/>
      <c r="HQ17" s="282" t="str">
        <f t="shared" si="91"/>
        <v/>
      </c>
      <c r="HR17" s="420"/>
      <c r="HS17" s="420"/>
      <c r="HT17" s="420"/>
      <c r="HU17" s="420"/>
      <c r="HV17" s="420"/>
      <c r="HW17" s="420"/>
      <c r="HX17" s="425"/>
      <c r="HY17" s="338"/>
      <c r="HZ17" s="338"/>
      <c r="IA17" s="161"/>
      <c r="IB17" s="161"/>
      <c r="IC17" s="162"/>
      <c r="ID17" s="162"/>
      <c r="IE17" s="49"/>
      <c r="IF17" s="55"/>
      <c r="IG17" s="58"/>
      <c r="IH17" s="545">
        <f t="shared" si="117"/>
        <v>-14.142618650131178</v>
      </c>
      <c r="IJ17" s="146">
        <v>11</v>
      </c>
      <c r="IK17" s="545">
        <f t="shared" si="92"/>
        <v>180</v>
      </c>
      <c r="IL17" s="106">
        <f t="shared" si="93"/>
        <v>-0.14142618650131178</v>
      </c>
      <c r="IM17" s="110">
        <f t="shared" si="128"/>
        <v>180</v>
      </c>
      <c r="IN17" s="111">
        <f t="shared" si="118"/>
        <v>-46515.23875000004</v>
      </c>
      <c r="IO17" s="50">
        <f t="shared" ref="IO17:IX26" si="135" xml:space="preserve"> IF(OR($IL17 = "", IO$6 = ""), "", IF(IO$6 &lt;&gt; $Z$1,
IF($IM17 &gt; IO$6, IO$1 * 100 * ($IM17 - IO$6), 0) +
IF($IM17 &lt; IO$6, IO$4 * 100 * (IO$6 - $IM17), 0),
$IM17 * IO$1))</f>
        <v>0</v>
      </c>
      <c r="IP17" s="50">
        <f t="shared" si="135"/>
        <v>0</v>
      </c>
      <c r="IQ17" s="50">
        <f t="shared" si="135"/>
        <v>0</v>
      </c>
      <c r="IR17" s="50">
        <f t="shared" si="135"/>
        <v>0</v>
      </c>
      <c r="IS17" s="50">
        <f t="shared" si="135"/>
        <v>0</v>
      </c>
      <c r="IT17" s="50">
        <f t="shared" si="135"/>
        <v>0</v>
      </c>
      <c r="IU17" s="50">
        <f t="shared" si="135"/>
        <v>0</v>
      </c>
      <c r="IV17" s="50">
        <f t="shared" si="135"/>
        <v>0</v>
      </c>
      <c r="IW17" s="50">
        <f t="shared" si="135"/>
        <v>0</v>
      </c>
      <c r="IX17" s="50">
        <f t="shared" si="135"/>
        <v>0</v>
      </c>
      <c r="IY17" s="50">
        <f t="shared" ref="IY17:JH26" si="136" xml:space="preserve"> IF(OR($IL17 = "", IY$6 = ""), "", IF(IY$6 &lt;&gt; $Z$1,
IF($IM17 &gt; IY$6, IY$1 * 100 * ($IM17 - IY$6), 0) +
IF($IM17 &lt; IY$6, IY$4 * 100 * (IY$6 - $IM17), 0),
$IM17 * IY$1))</f>
        <v>0</v>
      </c>
      <c r="IZ17" s="50">
        <f t="shared" si="136"/>
        <v>0</v>
      </c>
      <c r="JA17" s="50">
        <f t="shared" si="136"/>
        <v>0</v>
      </c>
      <c r="JB17" s="50">
        <f t="shared" si="136"/>
        <v>0</v>
      </c>
      <c r="JC17" s="50">
        <f t="shared" si="136"/>
        <v>0</v>
      </c>
      <c r="JD17" s="50">
        <f t="shared" si="136"/>
        <v>0</v>
      </c>
      <c r="JE17" s="50">
        <f t="shared" si="136"/>
        <v>0</v>
      </c>
      <c r="JF17" s="50">
        <f t="shared" si="136"/>
        <v>0</v>
      </c>
      <c r="JG17" s="50">
        <f t="shared" si="136"/>
        <v>0</v>
      </c>
      <c r="JH17" s="50">
        <f t="shared" si="136"/>
        <v>0</v>
      </c>
      <c r="JI17" s="50">
        <f t="shared" ref="JI17:JR26" si="137" xml:space="preserve"> IF(OR($IL17 = "", JI$6 = ""), "", IF(JI$6 &lt;&gt; $Z$1,
IF($IM17 &gt; JI$6, JI$1 * 100 * ($IM17 - JI$6), 0) +
IF($IM17 &lt; JI$6, JI$4 * 100 * (JI$6 - $IM17), 0),
$IM17 * JI$1))</f>
        <v>0</v>
      </c>
      <c r="JJ17" s="50">
        <f t="shared" si="137"/>
        <v>0</v>
      </c>
      <c r="JK17" s="50">
        <f t="shared" si="137"/>
        <v>0</v>
      </c>
      <c r="JL17" s="50">
        <f t="shared" si="137"/>
        <v>0</v>
      </c>
      <c r="JM17" s="50">
        <f t="shared" si="137"/>
        <v>0</v>
      </c>
      <c r="JN17" s="50">
        <f t="shared" si="137"/>
        <v>0</v>
      </c>
      <c r="JO17" s="50">
        <f t="shared" si="137"/>
        <v>0</v>
      </c>
      <c r="JP17" s="50">
        <f t="shared" si="137"/>
        <v>0</v>
      </c>
      <c r="JQ17" s="50">
        <f t="shared" si="137"/>
        <v>0</v>
      </c>
      <c r="JR17" s="50">
        <f t="shared" si="137"/>
        <v>0</v>
      </c>
      <c r="JS17" s="50">
        <f t="shared" ref="JS17:KD26" si="138" xml:space="preserve"> IF(OR($IL17 = "", JS$6 = ""), "", IF(JS$6 &lt;&gt; $Z$1,
IF($IM17 &gt; JS$6, JS$1 * 100 * ($IM17 - JS$6), 0) +
IF($IM17 &lt; JS$6, JS$4 * 100 * (JS$6 - $IM17), 0),
$IM17 * JS$1))</f>
        <v>0</v>
      </c>
      <c r="JT17" s="50">
        <f t="shared" si="138"/>
        <v>0</v>
      </c>
      <c r="JU17" s="50" t="str">
        <f t="shared" si="138"/>
        <v/>
      </c>
      <c r="JV17" s="50" t="str">
        <f t="shared" si="138"/>
        <v/>
      </c>
      <c r="JW17" s="50" t="str">
        <f t="shared" si="138"/>
        <v/>
      </c>
      <c r="JX17" s="50" t="str">
        <f t="shared" si="138"/>
        <v/>
      </c>
      <c r="JY17" s="50" t="str">
        <f t="shared" si="138"/>
        <v/>
      </c>
      <c r="JZ17" s="50" t="str">
        <f t="shared" si="138"/>
        <v/>
      </c>
      <c r="KA17" s="50" t="str">
        <f t="shared" si="138"/>
        <v/>
      </c>
      <c r="KB17" s="50" t="str">
        <f t="shared" si="138"/>
        <v/>
      </c>
      <c r="KC17" s="50" t="str">
        <f t="shared" si="138"/>
        <v/>
      </c>
      <c r="KD17" s="50" t="str">
        <f t="shared" si="138"/>
        <v/>
      </c>
    </row>
    <row r="18" spans="2:290" s="144" customFormat="1" ht="15" customHeight="1" thickBot="1">
      <c r="B18" s="146">
        <v>12</v>
      </c>
      <c r="C18" s="121" t="str">
        <f t="shared" si="99"/>
        <v>GFGC185.AB</v>
      </c>
      <c r="D18" s="121" t="str">
        <f t="shared" si="100"/>
        <v>GFGV185.AB</v>
      </c>
      <c r="E18" s="122">
        <f t="shared" si="1"/>
        <v>185</v>
      </c>
      <c r="F18" s="123">
        <f t="shared" si="2"/>
        <v>50</v>
      </c>
      <c r="G18" s="123" t="str">
        <f t="shared" si="3"/>
        <v/>
      </c>
      <c r="H18" s="124">
        <f t="shared" si="4"/>
        <v>33</v>
      </c>
      <c r="I18" s="124">
        <f t="shared" si="5"/>
        <v>1.9</v>
      </c>
      <c r="J18" s="124" t="str">
        <f t="shared" si="6"/>
        <v/>
      </c>
      <c r="K18" s="124" t="str">
        <f t="shared" si="7"/>
        <v/>
      </c>
      <c r="M18" s="158">
        <f t="shared" si="8"/>
        <v>12</v>
      </c>
      <c r="N18" s="121" t="str">
        <f t="shared" si="9"/>
        <v>GFGC185.AB</v>
      </c>
      <c r="O18" s="158">
        <f t="shared" si="10"/>
        <v>12</v>
      </c>
      <c r="P18" s="121" t="str">
        <f t="shared" si="11"/>
        <v>GFGV185.AB</v>
      </c>
      <c r="R18" s="159"/>
      <c r="S18" s="160" t="str">
        <f t="shared" si="12"/>
        <v/>
      </c>
      <c r="U18" s="54"/>
      <c r="V18" s="92"/>
      <c r="X18" s="200">
        <v>12</v>
      </c>
      <c r="Y18" s="546">
        <f t="shared" si="13"/>
        <v>-11.757691390412594</v>
      </c>
      <c r="Z18" s="540">
        <f t="shared" si="14"/>
        <v>-46515.23875000004</v>
      </c>
      <c r="AA18" s="179"/>
      <c r="AB18" s="540">
        <f t="shared" si="15"/>
        <v>0</v>
      </c>
      <c r="AC18" s="161"/>
      <c r="AD18" s="200">
        <v>12</v>
      </c>
      <c r="AE18" s="825">
        <f t="shared" si="101"/>
        <v>185</v>
      </c>
      <c r="AF18" s="201"/>
      <c r="AG18" s="161"/>
      <c r="AH18" s="177">
        <f t="shared" si="102"/>
        <v>50</v>
      </c>
      <c r="AI18" s="166">
        <f t="shared" si="103"/>
        <v>0</v>
      </c>
      <c r="AJ18" s="179"/>
      <c r="AK18" s="177">
        <f t="shared" si="104"/>
        <v>0</v>
      </c>
      <c r="AL18" s="166">
        <f t="shared" si="105"/>
        <v>0</v>
      </c>
      <c r="AM18" s="179"/>
      <c r="AN18" s="177"/>
      <c r="AO18" s="166"/>
      <c r="AP18" s="179"/>
      <c r="AQ18" s="176">
        <f t="shared" si="106"/>
        <v>0</v>
      </c>
      <c r="AR18" s="165">
        <f t="shared" si="107"/>
        <v>0</v>
      </c>
      <c r="AS18" s="179"/>
      <c r="AT18" s="176">
        <f t="shared" si="108"/>
        <v>0</v>
      </c>
      <c r="AU18" s="165">
        <f t="shared" si="109"/>
        <v>0</v>
      </c>
      <c r="AV18" s="179"/>
      <c r="AW18" s="200">
        <f t="shared" si="16"/>
        <v>12</v>
      </c>
      <c r="AX18" s="170">
        <f t="shared" si="17"/>
        <v>185</v>
      </c>
      <c r="AY18" s="164"/>
      <c r="AZ18" s="215">
        <f t="shared" si="18"/>
        <v>33</v>
      </c>
      <c r="BA18" s="197"/>
      <c r="BB18" s="228">
        <f t="shared" si="19"/>
        <v>4.4600000000000001E-2</v>
      </c>
      <c r="BC18" s="161"/>
      <c r="BD18" s="240">
        <f t="shared" si="20"/>
        <v>34</v>
      </c>
      <c r="BE18" s="196"/>
      <c r="BF18" s="240">
        <f t="shared" si="21"/>
        <v>43.24</v>
      </c>
      <c r="BG18" s="196"/>
      <c r="BH18" s="189"/>
      <c r="BI18" s="227">
        <f t="shared" si="22"/>
        <v>1.9</v>
      </c>
      <c r="BJ18" s="197"/>
      <c r="BK18" s="167">
        <f t="shared" si="23"/>
        <v>-0.30632000000000004</v>
      </c>
      <c r="BL18" s="161"/>
      <c r="BM18" s="240">
        <f t="shared" si="24"/>
        <v>1.7</v>
      </c>
      <c r="BN18" s="196"/>
      <c r="BO18" s="240">
        <f t="shared" si="25"/>
        <v>2.17</v>
      </c>
      <c r="BP18" s="196"/>
      <c r="BQ18" s="161"/>
      <c r="BR18" s="381"/>
      <c r="BS18" s="392">
        <f t="shared" si="122"/>
        <v>16500</v>
      </c>
      <c r="BT18" s="376"/>
      <c r="BU18" s="393">
        <f>+IF(OR(CF18="", CB19="", CF18=0, CB19=0), "", IF($BU$1=FALSE, CF18-CB19, -CF18+CB19))</f>
        <v>10.740000000000002</v>
      </c>
      <c r="BV18" s="310"/>
      <c r="BW18" s="311">
        <f t="shared" si="110"/>
        <v>219</v>
      </c>
      <c r="BX18" s="372"/>
      <c r="BY18" s="440"/>
      <c r="BZ18" s="432">
        <v>31</v>
      </c>
      <c r="CA18" s="372"/>
      <c r="CB18" s="572">
        <f t="shared" si="133"/>
        <v>34</v>
      </c>
      <c r="CC18" s="567">
        <f>+IF(CD18 &lt;&gt; "", IF($BU$1=FALSE, VLOOKUP(N18, PreciosCalls, 2, FALSE), VLOOKUP(P18, PreciosPuts, 2, FALSE)), "")</f>
        <v>2</v>
      </c>
      <c r="CD18" s="814">
        <f t="shared" si="30"/>
        <v>185</v>
      </c>
      <c r="CE18" s="569">
        <f t="shared" si="31"/>
        <v>10</v>
      </c>
      <c r="CF18" s="574">
        <f>+IF($BU$1=FALSE, IF(BF18=0, "", BF18), IF(BO18=0,"", BO18))</f>
        <v>43.24</v>
      </c>
      <c r="CG18" s="372">
        <v>5</v>
      </c>
      <c r="CH18" s="435">
        <v>20.446999999999999</v>
      </c>
      <c r="CI18" s="436"/>
      <c r="CJ18" s="372"/>
      <c r="CK18" s="391">
        <f t="shared" si="111"/>
        <v>228.24</v>
      </c>
      <c r="CL18" s="396">
        <f>+IF(OR(CF19="", CB18="", CF19=0, CB18=0), "", IF($BU$1=FALSE, CB18-CF19,- CB18+CF19))</f>
        <v>9.9999999999766942E-4</v>
      </c>
      <c r="CM18" s="370"/>
      <c r="CN18" s="161"/>
      <c r="CO18" s="161"/>
      <c r="CP18" s="161"/>
      <c r="CQ18" s="161"/>
      <c r="CR18" s="161"/>
      <c r="CS18" s="161"/>
      <c r="CT18" s="161"/>
      <c r="CU18" s="161"/>
      <c r="CV18" s="161"/>
      <c r="CW18" s="161"/>
      <c r="CX18" s="161"/>
      <c r="CY18" s="161"/>
      <c r="CZ18" s="161"/>
      <c r="DA18" s="161"/>
      <c r="DB18" s="161"/>
      <c r="DC18" s="161"/>
      <c r="DD18" s="161"/>
      <c r="DE18" s="161"/>
      <c r="DF18" s="161"/>
      <c r="DG18" s="161"/>
      <c r="DH18" s="161"/>
      <c r="DI18" s="161"/>
      <c r="DJ18" s="214"/>
      <c r="DK18" s="242">
        <f t="shared" si="123"/>
        <v>0</v>
      </c>
      <c r="DL18" s="217"/>
      <c r="DM18" s="490">
        <f t="shared" si="34"/>
        <v>165000</v>
      </c>
      <c r="DN18" s="242">
        <f t="shared" si="35"/>
        <v>165000</v>
      </c>
      <c r="DO18" s="243">
        <f t="shared" si="36"/>
        <v>0</v>
      </c>
      <c r="DP18" s="217"/>
      <c r="DQ18" s="252">
        <f t="shared" si="120"/>
        <v>0</v>
      </c>
      <c r="DR18" s="217"/>
      <c r="DS18" s="242">
        <f t="shared" si="38"/>
        <v>0</v>
      </c>
      <c r="DT18" s="242">
        <f t="shared" si="39"/>
        <v>0</v>
      </c>
      <c r="DU18" s="244">
        <f t="shared" si="40"/>
        <v>0</v>
      </c>
      <c r="DV18" s="217"/>
      <c r="DW18" s="428">
        <f>+IF(OR(AE18 = "", AND(AH18 = "", AK18 = "")), "",IFERROR(+AH18 * CallDelta($AG$1,AE18,($BM$1/365), $V$15, $AZ$1, $V$17), 0) + IFERROR(AK18 * Putdelta($AG$1,AE18,($BM$1/365), $V$15, $AZ$1, $V$17), 0))</f>
        <v>44.917663761179469</v>
      </c>
      <c r="DX18" s="245">
        <f>+IF(OR(AE18 = "", AND(AH18 = "", AK18 = "")), "",IFERROR(+AH18 * OptionGamma($AG$1,AE18,($BM$1/365), $V$15, $AZ$1, $V$17), 0) + IFERROR(AK18 * OptionGamma($AG$1,AE18,($BM$1/365), $V$15, $AZ$1, $V$17), 0))</f>
        <v>0.28958795393646525</v>
      </c>
      <c r="DY18" s="161"/>
      <c r="DZ18" s="267">
        <f t="shared" si="127"/>
        <v>0</v>
      </c>
      <c r="EA18" s="217"/>
      <c r="EB18" s="267">
        <f t="shared" si="42"/>
        <v>0</v>
      </c>
      <c r="EC18" s="267">
        <f t="shared" si="43"/>
        <v>0</v>
      </c>
      <c r="ED18" s="247">
        <f t="shared" si="44"/>
        <v>0</v>
      </c>
      <c r="EE18" s="217"/>
      <c r="EF18" s="267">
        <f t="shared" si="129"/>
        <v>0</v>
      </c>
      <c r="EG18" s="217"/>
      <c r="EH18" s="267">
        <f t="shared" si="46"/>
        <v>0</v>
      </c>
      <c r="EI18" s="236">
        <f t="shared" si="47"/>
        <v>0</v>
      </c>
      <c r="EJ18" s="277">
        <f t="shared" si="48"/>
        <v>0</v>
      </c>
      <c r="EK18" s="217"/>
      <c r="EL18" s="251">
        <f>+IF(OR(AE18 = "", AND(AQ18 = "", AT18 = "")), "",IFERROR(+AQ18 * CallDelta($AG$1,AE18,($BM$1/365), $V$15, $AZ$1, $V$17), 0) + IFERROR(AT18 * Putdelta($AG$1,AE18,($BM$1/365), $V$15, $AZ$1, $V$17), 0))</f>
        <v>0</v>
      </c>
      <c r="EM18" s="249">
        <f>+IF(OR(AE18 = "", AND(AQ18 = "", AT18 = "")), "",IFERROR(+AQ18 * OptionGamma($AG$1,AE18,($BM$1/365), $V$15, $AZ$1, $V$17), 0) + IFERROR(AT18 * OptionGamma($AG$1,AE18,($BM$1/365), $V$15, $AZ$1, $V$17), 0))</f>
        <v>0</v>
      </c>
      <c r="EN18" s="451">
        <f t="shared" si="49"/>
        <v>26.195526123046875</v>
      </c>
      <c r="EO18" s="418">
        <f>+IF(AE18 = "", "",ImpliedCallVolatility($AG$1, $AE18,($BM$1/365), $V$15, $AZ18, $V$17) * 100)</f>
        <v>3.814697265625E-3</v>
      </c>
      <c r="EP18" s="418">
        <f>+IF(AE18 = "", "",ImpliedCallVolatility($AG$1, $AE18,($BM$1/365), $V$15, BD18, $V$17) * 100)</f>
        <v>26.195526123046875</v>
      </c>
      <c r="EQ18" s="418">
        <f>+IF(AE18 = "", "",ImpliedCallVolatility($AG$1, $AE18,($BM$1/365), $V$15, BF18, $V$17) * 100)</f>
        <v>78.617095947265625</v>
      </c>
      <c r="ER18" s="411">
        <f t="shared" si="50"/>
        <v>8.3499999999999943</v>
      </c>
      <c r="ES18" s="411">
        <f t="shared" si="51"/>
        <v>9.3499999999999943</v>
      </c>
      <c r="ET18" s="411">
        <f t="shared" si="52"/>
        <v>18.589999999999996</v>
      </c>
      <c r="EU18" s="416">
        <f>IF($FC$1 = 1,
IF(AE18 = "", "",OptionGamma($AG$1,AE18,($BM$1/365), $V$15, $AZ$1, $V$17) * 1000),
IF($FC$1 = 2, IF(OR(AE18 = "", BD18 =  0), "",IF(AE18 &lt; $AG$1, (((AE18 * (1 - COMIS_ACCION)) / (($AG$1 * (1 + COMIS_ACCION)) - (BD18 * (1 - COMIS_OPCION)))) - 1) * 100 / $BM$1 * 365,((($AG$1 * (1 - COMIS_ACCION)) / (($AG$1 * (1 + COMIS_ACCION)) - (BD18 * (1 - COMIS_OPCION)))) - 1) * 100 / $BM$1 * 365))))</f>
        <v>5.7917590787293047</v>
      </c>
      <c r="EV18" s="276">
        <f>+IF(AE18 = "", "",CallOption($AG$1, $AE18,($BM$1/365), $V$15, $AZ$1, $V$17))</f>
        <v>35.301592842192491</v>
      </c>
      <c r="EW18" s="271">
        <f t="shared" si="53"/>
        <v>-43.527762200000005</v>
      </c>
      <c r="EX18" s="272">
        <f t="shared" si="54"/>
        <v>23.312925800000013</v>
      </c>
      <c r="EY18" s="274">
        <f t="shared" si="55"/>
        <v>-25.987074199999988</v>
      </c>
      <c r="EZ18" s="272">
        <f t="shared" si="56"/>
        <v>-185.31339</v>
      </c>
      <c r="FA18" s="272">
        <f t="shared" si="57"/>
        <v>184.68661</v>
      </c>
      <c r="FB18" s="530">
        <f>+IF($FC$1 = 1, IF(AE18 = "", "",IFERROR( VLOOKUP(N18, PreciosCalls, 13, FALSE), 0)),
IF($FC$1 = 2,  IF(AE18 = "", "",OptionGamma($AG$1,AE18,($BM$1/365), $V$15, $AZ$1, $V$17) * 1000)))</f>
        <v>5</v>
      </c>
      <c r="FC18" s="530">
        <f>IF($FC$1 = 1, IF(AE18 = "", "",IFERROR( VLOOKUP(N18, PreciosCalls, 14, FALSE), 0)),
IF($FC$1 = 2, IF(AE18 = "", "",CallDelta($AG$1,AE18,($BM$1/365), $V$15, $AZ$1, $V$17) * 100)))</f>
        <v>0</v>
      </c>
      <c r="FD18" s="531">
        <f t="shared" si="58"/>
        <v>33</v>
      </c>
      <c r="FE18" s="530">
        <f t="shared" si="59"/>
        <v>16500</v>
      </c>
      <c r="FF18" s="217"/>
      <c r="FG18" s="273">
        <f t="shared" si="60"/>
        <v>0.97348004365910501</v>
      </c>
      <c r="FH18" s="273">
        <f t="shared" si="61"/>
        <v>1.1379310344827587</v>
      </c>
      <c r="FI18" s="451">
        <f t="shared" si="62"/>
        <v>43.117523193359375</v>
      </c>
      <c r="FJ18" s="419">
        <f>+IF(AE18 = "", "",ImpliedPutVolatility($AG$1, $AE18,($BM$1/365), $V$15, BI18, $V$17) * 100)</f>
        <v>41.370391845703125</v>
      </c>
      <c r="FK18" s="419">
        <f>+IF(AE18 = "", "",ImpliedPutVolatility($AG$1, $AE18,($BM$1/365), $V$15, BM18, $V$17) * 100)</f>
        <v>40.004730224609375</v>
      </c>
      <c r="FL18" s="419">
        <f>+IF(AE18 = "", "",ImpliedPutVolatility($AG$1, $AE18,($BM$1/365), $V$15, BO18, $V$17) * 100)</f>
        <v>43.117523193359375</v>
      </c>
      <c r="FM18" s="415">
        <f t="shared" si="63"/>
        <v>1.9</v>
      </c>
      <c r="FN18" s="415">
        <f t="shared" si="64"/>
        <v>1.7</v>
      </c>
      <c r="FO18" s="415">
        <f t="shared" si="65"/>
        <v>2.17</v>
      </c>
      <c r="FP18" s="417">
        <f>IF($FX$1=1, IF(AE18 = "", "",OptionGamma($AG$1,AE18,($BM$1/365), $V$15, $AZ$1, $V$17) * 1000),
IF($FX$1 = 2, IF(OR(AE18 = "", BM18 =  0), "",((BM18 * (1 - COMIS_OPCION)) / (AE18 * (1 + COMIS_ACCION))) * 100 / $BM$1 * 365)))</f>
        <v>5.7917590787293047</v>
      </c>
      <c r="FQ18" s="289">
        <f>+IF(AE18 = "", "",PutOption($AG$1, $AE18,($BM$1/365), $V$15, $AZ$1, $V$17))</f>
        <v>1.5760100674404747</v>
      </c>
      <c r="FR18" s="279"/>
      <c r="FS18" s="284">
        <f t="shared" si="66"/>
        <v>-25.987074199999988</v>
      </c>
      <c r="FT18" s="284">
        <f t="shared" si="67"/>
        <v>23.312925800000013</v>
      </c>
      <c r="FU18" s="280">
        <f t="shared" si="68"/>
        <v>-25.318537100000015</v>
      </c>
      <c r="FV18" s="279"/>
      <c r="FW18" s="287">
        <f>+IF($FX$1 = 1, IFERROR(VLOOKUP(P18, PreciosPuts, 13, FALSE), 0),
IF($FX$1 = 2, IF(AE18 = "", "",OptionGamma($AG$1,AE18,($BM$1/365), $V$15, $AZ$1, $V$17) * 1000)))</f>
        <v>1138</v>
      </c>
      <c r="FX18" s="287">
        <f>+IF($FX$1=1, IF(AE18 = "", "",IFERROR(VLOOKUP(P18, PreciosPuts, 14, FALSE), 0)),
IF($FX$1=2, IF(AE18 = "", "",Putdelta($AG$1,AE18,($BM$1/365), $V$15, $AZ$1, $V$17) * 100)))</f>
        <v>0</v>
      </c>
      <c r="FY18" s="286">
        <f t="shared" si="69"/>
        <v>2.0759086115992971</v>
      </c>
      <c r="FZ18" s="287">
        <f t="shared" si="70"/>
        <v>236238.4</v>
      </c>
      <c r="GA18" s="217"/>
      <c r="GB18" s="281">
        <f t="shared" si="130"/>
        <v>1.0645161290322582</v>
      </c>
      <c r="GC18" s="281">
        <f t="shared" si="131"/>
        <v>1.6359447004608294</v>
      </c>
      <c r="GD18" s="217"/>
      <c r="GE18" s="301">
        <f t="shared" si="71"/>
        <v>16.889999999999986</v>
      </c>
      <c r="GF18" s="292">
        <f t="shared" si="72"/>
        <v>226.54000000000002</v>
      </c>
      <c r="GG18" s="293">
        <f t="shared" si="73"/>
        <v>-2.3599726027397279</v>
      </c>
      <c r="GH18" s="294">
        <f t="shared" si="124"/>
        <v>8</v>
      </c>
      <c r="GI18" s="294">
        <v>12</v>
      </c>
      <c r="GJ18" s="217"/>
      <c r="GK18" s="305">
        <f t="shared" si="74"/>
        <v>7.1800000000000068</v>
      </c>
      <c r="GL18" s="299">
        <f t="shared" si="75"/>
        <v>216.83</v>
      </c>
      <c r="GM18" s="300">
        <f t="shared" si="76"/>
        <v>0.24510505370762764</v>
      </c>
      <c r="GN18" s="225">
        <f t="shared" si="121"/>
        <v>7</v>
      </c>
      <c r="GO18" s="225">
        <v>12</v>
      </c>
      <c r="GP18" s="217"/>
      <c r="GQ18" s="217"/>
      <c r="GR18" s="401" t="str">
        <f t="shared" si="132"/>
        <v/>
      </c>
      <c r="GT18" s="282">
        <f t="shared" si="78"/>
        <v>-6.1597705225000041</v>
      </c>
      <c r="GU18" s="282" t="str">
        <f t="shared" si="79"/>
        <v/>
      </c>
      <c r="GV18" s="282" t="str">
        <f t="shared" si="80"/>
        <v/>
      </c>
      <c r="GW18" s="282">
        <f t="shared" si="81"/>
        <v>-25.260993222222226</v>
      </c>
      <c r="GX18" s="282" t="str">
        <f t="shared" si="82"/>
        <v/>
      </c>
      <c r="GY18" s="282" t="str">
        <f t="shared" si="83"/>
        <v/>
      </c>
      <c r="GZ18" s="282">
        <f t="shared" si="115"/>
        <v>-13.414844958055561</v>
      </c>
      <c r="HA18" s="282">
        <f t="shared" si="84"/>
        <v>-6.5528693000000011</v>
      </c>
      <c r="HB18" s="282" t="str">
        <f t="shared" si="116"/>
        <v/>
      </c>
      <c r="HC18" s="607">
        <f>IFERROR(IF( AND(BO17 &lt;&gt; "", BO17 &lt;&gt; 0, BM18 &lt;&gt; "", BM18 &lt;&gt; 0, BO19 &lt;&gt; "", BO19 &lt;&gt; 0),
-(BO17 * (1 / (AX19 - AX17) * ABS(AX19 - AX18))) * (1 + COMIS_OPCION) + (BM18 * 1) * (1 - COMIS_OPCION)
- BO19 * (1 / (AX19 - AX17) * ABS(AX17 - AX18)) * (1 + COMIS_OPCION), ""), "")</f>
        <v>-0.34978987500000014</v>
      </c>
      <c r="HD18" s="282">
        <f t="shared" si="86"/>
        <v>-0.92861650000000007</v>
      </c>
      <c r="HE18" s="282">
        <f t="shared" si="87"/>
        <v>-0.55950966666666668</v>
      </c>
      <c r="HF18" s="282">
        <f t="shared" si="88"/>
        <v>-0.52595450000000032</v>
      </c>
      <c r="HG18" s="217"/>
      <c r="HH18" s="282">
        <f t="shared" si="89"/>
        <v>-5.2224965950000026</v>
      </c>
      <c r="HI18" s="282">
        <f t="shared" si="90"/>
        <v>-5.643222999999999</v>
      </c>
      <c r="HJ18" s="282"/>
      <c r="HK18" s="282"/>
      <c r="HL18" s="217"/>
      <c r="HM18" s="420"/>
      <c r="HN18" s="420"/>
      <c r="HO18" s="420"/>
      <c r="HP18" s="420"/>
      <c r="HQ18" s="282" t="str">
        <f t="shared" si="91"/>
        <v/>
      </c>
      <c r="HR18" s="420"/>
      <c r="HS18" s="420"/>
      <c r="HT18" s="420"/>
      <c r="HU18" s="420"/>
      <c r="HV18" s="420"/>
      <c r="HW18" s="420"/>
      <c r="HX18" s="425"/>
      <c r="HY18" s="338"/>
      <c r="HZ18" s="338"/>
      <c r="IA18" s="161"/>
      <c r="IB18" s="161"/>
      <c r="IC18" s="162"/>
      <c r="ID18" s="162"/>
      <c r="IE18" s="49"/>
      <c r="IF18" s="55"/>
      <c r="IG18" s="58"/>
      <c r="IH18" s="545">
        <f t="shared" si="117"/>
        <v>-11.757691390412594</v>
      </c>
      <c r="IJ18" s="146">
        <v>12</v>
      </c>
      <c r="IK18" s="545">
        <f t="shared" si="92"/>
        <v>185</v>
      </c>
      <c r="IL18" s="106">
        <f t="shared" si="93"/>
        <v>-0.11757691390412595</v>
      </c>
      <c r="IM18" s="110">
        <f t="shared" si="128"/>
        <v>185</v>
      </c>
      <c r="IN18" s="111">
        <f t="shared" si="118"/>
        <v>-46515.23875000004</v>
      </c>
      <c r="IO18" s="50">
        <f t="shared" si="135"/>
        <v>0</v>
      </c>
      <c r="IP18" s="50">
        <f t="shared" si="135"/>
        <v>0</v>
      </c>
      <c r="IQ18" s="50">
        <f t="shared" si="135"/>
        <v>0</v>
      </c>
      <c r="IR18" s="50">
        <f t="shared" si="135"/>
        <v>0</v>
      </c>
      <c r="IS18" s="50">
        <f t="shared" si="135"/>
        <v>0</v>
      </c>
      <c r="IT18" s="50">
        <f t="shared" si="135"/>
        <v>0</v>
      </c>
      <c r="IU18" s="50">
        <f t="shared" si="135"/>
        <v>0</v>
      </c>
      <c r="IV18" s="50">
        <f t="shared" si="135"/>
        <v>0</v>
      </c>
      <c r="IW18" s="50">
        <f t="shared" si="135"/>
        <v>0</v>
      </c>
      <c r="IX18" s="50">
        <f t="shared" si="135"/>
        <v>0</v>
      </c>
      <c r="IY18" s="50">
        <f t="shared" si="136"/>
        <v>0</v>
      </c>
      <c r="IZ18" s="50">
        <f t="shared" si="136"/>
        <v>0</v>
      </c>
      <c r="JA18" s="50">
        <f t="shared" si="136"/>
        <v>0</v>
      </c>
      <c r="JB18" s="50">
        <f t="shared" si="136"/>
        <v>0</v>
      </c>
      <c r="JC18" s="50">
        <f t="shared" si="136"/>
        <v>0</v>
      </c>
      <c r="JD18" s="50">
        <f t="shared" si="136"/>
        <v>0</v>
      </c>
      <c r="JE18" s="50">
        <f t="shared" si="136"/>
        <v>0</v>
      </c>
      <c r="JF18" s="50">
        <f t="shared" si="136"/>
        <v>0</v>
      </c>
      <c r="JG18" s="50">
        <f t="shared" si="136"/>
        <v>0</v>
      </c>
      <c r="JH18" s="50">
        <f t="shared" si="136"/>
        <v>0</v>
      </c>
      <c r="JI18" s="50">
        <f t="shared" si="137"/>
        <v>0</v>
      </c>
      <c r="JJ18" s="50">
        <f t="shared" si="137"/>
        <v>0</v>
      </c>
      <c r="JK18" s="50">
        <f t="shared" si="137"/>
        <v>0</v>
      </c>
      <c r="JL18" s="50">
        <f t="shared" si="137"/>
        <v>0</v>
      </c>
      <c r="JM18" s="50">
        <f t="shared" si="137"/>
        <v>0</v>
      </c>
      <c r="JN18" s="50">
        <f t="shared" si="137"/>
        <v>0</v>
      </c>
      <c r="JO18" s="50">
        <f t="shared" si="137"/>
        <v>0</v>
      </c>
      <c r="JP18" s="50">
        <f t="shared" si="137"/>
        <v>0</v>
      </c>
      <c r="JQ18" s="50">
        <f t="shared" si="137"/>
        <v>0</v>
      </c>
      <c r="JR18" s="50">
        <f t="shared" si="137"/>
        <v>0</v>
      </c>
      <c r="JS18" s="50">
        <f t="shared" si="138"/>
        <v>0</v>
      </c>
      <c r="JT18" s="50">
        <f t="shared" si="138"/>
        <v>0</v>
      </c>
      <c r="JU18" s="50" t="str">
        <f t="shared" si="138"/>
        <v/>
      </c>
      <c r="JV18" s="50" t="str">
        <f t="shared" si="138"/>
        <v/>
      </c>
      <c r="JW18" s="50" t="str">
        <f t="shared" si="138"/>
        <v/>
      </c>
      <c r="JX18" s="50" t="str">
        <f t="shared" si="138"/>
        <v/>
      </c>
      <c r="JY18" s="50" t="str">
        <f t="shared" si="138"/>
        <v/>
      </c>
      <c r="JZ18" s="50" t="str">
        <f t="shared" si="138"/>
        <v/>
      </c>
      <c r="KA18" s="50" t="str">
        <f t="shared" si="138"/>
        <v/>
      </c>
      <c r="KB18" s="50" t="str">
        <f t="shared" si="138"/>
        <v/>
      </c>
      <c r="KC18" s="50" t="str">
        <f t="shared" si="138"/>
        <v/>
      </c>
      <c r="KD18" s="50" t="str">
        <f t="shared" si="138"/>
        <v/>
      </c>
    </row>
    <row r="19" spans="2:290" s="144" customFormat="1" ht="15" customHeight="1" thickBot="1">
      <c r="B19" s="146">
        <v>13</v>
      </c>
      <c r="C19" s="121" t="str">
        <f t="shared" si="99"/>
        <v>GFGC190.AB</v>
      </c>
      <c r="D19" s="121" t="str">
        <f t="shared" si="100"/>
        <v>GFGV190.AB</v>
      </c>
      <c r="E19" s="122">
        <f t="shared" si="1"/>
        <v>190</v>
      </c>
      <c r="F19" s="123" t="str">
        <f t="shared" si="2"/>
        <v/>
      </c>
      <c r="G19" s="123" t="str">
        <f t="shared" si="3"/>
        <v/>
      </c>
      <c r="H19" s="124">
        <f t="shared" si="4"/>
        <v>33.899000000000001</v>
      </c>
      <c r="I19" s="124">
        <f t="shared" si="5"/>
        <v>2.6</v>
      </c>
      <c r="J19" s="124" t="str">
        <f t="shared" si="6"/>
        <v/>
      </c>
      <c r="K19" s="124" t="str">
        <f t="shared" si="7"/>
        <v/>
      </c>
      <c r="M19" s="158">
        <f t="shared" si="8"/>
        <v>12</v>
      </c>
      <c r="N19" s="121" t="str">
        <f t="shared" si="9"/>
        <v>GFGC190.AB</v>
      </c>
      <c r="O19" s="158">
        <f t="shared" si="10"/>
        <v>12</v>
      </c>
      <c r="P19" s="121" t="str">
        <f t="shared" si="11"/>
        <v>GFGV190.AB</v>
      </c>
      <c r="R19" s="159"/>
      <c r="S19" s="160" t="str">
        <f t="shared" si="12"/>
        <v/>
      </c>
      <c r="U19" s="139" t="s">
        <v>204</v>
      </c>
      <c r="V19" s="136" t="s">
        <v>634</v>
      </c>
      <c r="X19" s="200">
        <v>13</v>
      </c>
      <c r="Y19" s="546">
        <f t="shared" si="13"/>
        <v>-9.3727641306940122</v>
      </c>
      <c r="Z19" s="540">
        <f t="shared" si="14"/>
        <v>-21515.23875000004</v>
      </c>
      <c r="AA19" s="179"/>
      <c r="AB19" s="540">
        <f t="shared" si="15"/>
        <v>0</v>
      </c>
      <c r="AC19" s="161"/>
      <c r="AD19" s="200">
        <v>13</v>
      </c>
      <c r="AE19" s="825">
        <f t="shared" si="101"/>
        <v>190</v>
      </c>
      <c r="AF19" s="201"/>
      <c r="AG19" s="161"/>
      <c r="AH19" s="177">
        <f t="shared" si="102"/>
        <v>0</v>
      </c>
      <c r="AI19" s="166">
        <f t="shared" si="103"/>
        <v>0</v>
      </c>
      <c r="AJ19" s="179"/>
      <c r="AK19" s="177">
        <f t="shared" si="104"/>
        <v>0</v>
      </c>
      <c r="AL19" s="166">
        <f t="shared" si="105"/>
        <v>0</v>
      </c>
      <c r="AM19" s="179"/>
      <c r="AN19" s="177"/>
      <c r="AO19" s="166"/>
      <c r="AP19" s="179"/>
      <c r="AQ19" s="176">
        <f t="shared" si="106"/>
        <v>0</v>
      </c>
      <c r="AR19" s="165">
        <f t="shared" si="107"/>
        <v>0</v>
      </c>
      <c r="AS19" s="179"/>
      <c r="AT19" s="176">
        <f t="shared" si="108"/>
        <v>0</v>
      </c>
      <c r="AU19" s="165">
        <f t="shared" si="109"/>
        <v>0</v>
      </c>
      <c r="AV19" s="179"/>
      <c r="AW19" s="200">
        <f t="shared" si="16"/>
        <v>13</v>
      </c>
      <c r="AX19" s="170">
        <f t="shared" si="17"/>
        <v>190</v>
      </c>
      <c r="AY19" s="164"/>
      <c r="AZ19" s="215">
        <f t="shared" si="18"/>
        <v>33.899000000000001</v>
      </c>
      <c r="BA19" s="197"/>
      <c r="BB19" s="228">
        <f t="shared" si="19"/>
        <v>0.23832</v>
      </c>
      <c r="BC19" s="161"/>
      <c r="BD19" s="240">
        <f t="shared" si="20"/>
        <v>32.5</v>
      </c>
      <c r="BE19" s="196"/>
      <c r="BF19" s="240">
        <f t="shared" si="21"/>
        <v>33.999000000000002</v>
      </c>
      <c r="BG19" s="196"/>
      <c r="BH19" s="189"/>
      <c r="BI19" s="227">
        <f t="shared" si="22"/>
        <v>2.6</v>
      </c>
      <c r="BJ19" s="197"/>
      <c r="BK19" s="167">
        <f t="shared" si="23"/>
        <v>-0.31973000000000001</v>
      </c>
      <c r="BL19" s="161"/>
      <c r="BM19" s="240">
        <f t="shared" si="24"/>
        <v>2.31</v>
      </c>
      <c r="BN19" s="196"/>
      <c r="BO19" s="240">
        <f t="shared" si="25"/>
        <v>2.6</v>
      </c>
      <c r="BP19" s="196"/>
      <c r="BQ19" s="161"/>
      <c r="BR19" s="381"/>
      <c r="BS19" s="392">
        <f>+IF(AE19 = "", "", IF($BU$1=FALSE, FE19, FZ19) )</f>
        <v>4201484.8</v>
      </c>
      <c r="BT19" s="376"/>
      <c r="BU19" s="393">
        <f t="shared" ref="BU19:BU23" si="139">+IF(OR(CF19="", CB20="", CF19=0, CB20=0), "", IF($BU$1=FALSE, CF19-CB20, -CF19+CB20))</f>
        <v>5.4980000000000011</v>
      </c>
      <c r="BV19" s="310"/>
      <c r="BW19" s="311">
        <f t="shared" si="110"/>
        <v>222.5</v>
      </c>
      <c r="BX19" s="372"/>
      <c r="BY19" s="819"/>
      <c r="BZ19" s="432">
        <v>13.773</v>
      </c>
      <c r="CA19" s="372"/>
      <c r="CB19" s="572">
        <f>+IF($BU$1=FALSE, IF(BD19=0, "", BD19), IF(BM19=0,"", BM19))</f>
        <v>32.5</v>
      </c>
      <c r="CC19" s="567">
        <f t="shared" si="29"/>
        <v>2</v>
      </c>
      <c r="CD19" s="814">
        <f t="shared" si="30"/>
        <v>190</v>
      </c>
      <c r="CE19" s="569">
        <f t="shared" si="31"/>
        <v>30</v>
      </c>
      <c r="CF19" s="574">
        <f>+IF($BU$1=FALSE, IF(BF19=0, "", BF19), IF(BO19=0,"", BO19))</f>
        <v>33.999000000000002</v>
      </c>
      <c r="CG19" s="372"/>
      <c r="CH19" s="435">
        <v>30</v>
      </c>
      <c r="CI19" s="436"/>
      <c r="CJ19" s="372"/>
      <c r="CK19" s="391">
        <f t="shared" si="111"/>
        <v>223.999</v>
      </c>
      <c r="CL19" s="396">
        <f t="shared" si="134"/>
        <v>3</v>
      </c>
      <c r="CM19" s="370"/>
      <c r="CN19" s="161"/>
      <c r="CO19" s="161"/>
      <c r="CP19" s="161"/>
      <c r="CQ19" s="161"/>
      <c r="CR19" s="161"/>
      <c r="CS19" s="161"/>
      <c r="CT19" s="161"/>
      <c r="CU19" s="161"/>
      <c r="CV19" s="161"/>
      <c r="CW19" s="161"/>
      <c r="CX19" s="161"/>
      <c r="CY19" s="161"/>
      <c r="CZ19" s="161"/>
      <c r="DA19" s="161"/>
      <c r="DB19" s="161"/>
      <c r="DC19" s="161"/>
      <c r="DD19" s="161"/>
      <c r="DE19" s="161"/>
      <c r="DF19" s="161"/>
      <c r="DG19" s="161"/>
      <c r="DH19" s="161"/>
      <c r="DI19" s="161"/>
      <c r="DJ19" s="891" t="s">
        <v>179</v>
      </c>
      <c r="DK19" s="242">
        <f t="shared" si="123"/>
        <v>0</v>
      </c>
      <c r="DL19" s="217"/>
      <c r="DM19" s="490">
        <f t="shared" si="34"/>
        <v>0</v>
      </c>
      <c r="DN19" s="242">
        <f t="shared" si="35"/>
        <v>0</v>
      </c>
      <c r="DO19" s="243">
        <f t="shared" si="36"/>
        <v>0</v>
      </c>
      <c r="DP19" s="217"/>
      <c r="DQ19" s="252">
        <f t="shared" si="120"/>
        <v>0</v>
      </c>
      <c r="DR19" s="217"/>
      <c r="DS19" s="242">
        <f t="shared" si="38"/>
        <v>0</v>
      </c>
      <c r="DT19" s="242">
        <f t="shared" si="39"/>
        <v>0</v>
      </c>
      <c r="DU19" s="244">
        <f t="shared" si="40"/>
        <v>0</v>
      </c>
      <c r="DV19" s="217"/>
      <c r="DW19" s="428">
        <f>+IF(OR(AE19 = "", AND(AH19 = "", AK19 = "")), "",IFERROR(+AH19 * CallDelta($AG$1,AE19,($BM$1/365), $V$15, $AZ$1, $V$17), 0) + IFERROR(AK19 * Putdelta($AG$1,AE19,($BM$1/365), $V$15, $AZ$1, $V$17), 0))</f>
        <v>0</v>
      </c>
      <c r="DX19" s="245">
        <f>+IF(OR(AE19 = "", AND(AH19 = "", AK19 = "")), "",IFERROR(+AH19 * OptionGamma($AG$1,AE19,($BM$1/365), $V$15, $AZ$1, $V$17), 0) + IFERROR(AK19 * OptionGamma($AG$1,AE19,($BM$1/365), $V$15, $AZ$1, $V$17), 0))</f>
        <v>0</v>
      </c>
      <c r="DY19" s="161"/>
      <c r="DZ19" s="267">
        <f t="shared" si="127"/>
        <v>0</v>
      </c>
      <c r="EA19" s="217"/>
      <c r="EB19" s="267">
        <f t="shared" si="42"/>
        <v>0</v>
      </c>
      <c r="EC19" s="267">
        <f t="shared" si="43"/>
        <v>0</v>
      </c>
      <c r="ED19" s="247">
        <f t="shared" si="44"/>
        <v>0</v>
      </c>
      <c r="EE19" s="217"/>
      <c r="EF19" s="267">
        <f t="shared" si="129"/>
        <v>0</v>
      </c>
      <c r="EG19" s="217"/>
      <c r="EH19" s="267">
        <f t="shared" si="46"/>
        <v>0</v>
      </c>
      <c r="EI19" s="246">
        <f t="shared" si="47"/>
        <v>0</v>
      </c>
      <c r="EJ19" s="248">
        <f t="shared" si="48"/>
        <v>0</v>
      </c>
      <c r="EK19" s="217"/>
      <c r="EL19" s="251">
        <f>+IF(OR(AE19 = "", AND(AQ19 = "", AT19 = "")), "",IFERROR(+AQ19 * CallDelta($AG$1,AE19,($BM$1/365), $V$15, $AZ$1, $V$17), 0) + IFERROR(AT19 * Putdelta($AG$1,AE19,($BM$1/365), $V$15, $AZ$1, $V$17), 0))</f>
        <v>0</v>
      </c>
      <c r="EM19" s="249">
        <f>+IF(OR(AE19 = "", AND(AQ19 = "", AT19 = "")), "",IFERROR(+AQ19 * OptionGamma($AG$1,AE19,($BM$1/365), $V$15, $AZ$1, $V$17), 0) + IFERROR(AT19 * OptionGamma($AG$1,AE19,($BM$1/365), $V$15, $AZ$1, $V$17), 0))</f>
        <v>0</v>
      </c>
      <c r="EN19" s="451">
        <f t="shared" si="49"/>
        <v>45.772552490234375</v>
      </c>
      <c r="EO19" s="418">
        <f>+IF(AE19 = "", "",ImpliedCallVolatility($AG$1, $AE19,($BM$1/365), $V$15, $AZ19, $V$17) * 100)</f>
        <v>52.494049072265625</v>
      </c>
      <c r="EP19" s="418">
        <f>+IF(AE19 = "", "",ImpliedCallVolatility($AG$1, $AE19,($BM$1/365), $V$15, BD19, $V$17) * 100)</f>
        <v>45.772552490234375</v>
      </c>
      <c r="EQ19" s="418">
        <f>+IF(AE19 = "", "",ImpliedCallVolatility($AG$1, $AE19,($BM$1/365), $V$15, BF19, $V$17) * 100)</f>
        <v>52.959442138671875</v>
      </c>
      <c r="ER19" s="411">
        <f t="shared" si="50"/>
        <v>14.248999999999995</v>
      </c>
      <c r="ES19" s="411">
        <f t="shared" si="51"/>
        <v>12.849999999999994</v>
      </c>
      <c r="ET19" s="411">
        <f t="shared" si="52"/>
        <v>14.348999999999997</v>
      </c>
      <c r="EU19" s="416">
        <f>IF($FC$1 = 1,
IF(AE19 = "", "",OptionGamma($AG$1,AE19,($BM$1/365), $V$15, $AZ$1, $V$17) * 1000),
IF($FC$1 = 2, IF(OR(AE19 = "", BD19 =  0), "",IF(AE19 &lt; $AG$1, (((AE19 * (1 - COMIS_ACCION)) / (($AG$1 * (1 + COMIS_ACCION)) - (BD19 * (1 - COMIS_OPCION)))) - 1) * 100 / $BM$1 * 365,((($AG$1 * (1 - COMIS_ACCION)) / (($AG$1 * (1 + COMIS_ACCION)) - (BD19 * (1 - COMIS_OPCION)))) - 1) * 100 / $BM$1 * 365))))</f>
        <v>7.1834293549945061</v>
      </c>
      <c r="EV19" s="276">
        <f>+IF(AE19 = "", "",CallOption($AG$1, $AE19,($BM$1/365), $V$15, $AZ$1, $V$17))</f>
        <v>31.263944107732897</v>
      </c>
      <c r="EW19" s="271">
        <f t="shared" si="53"/>
        <v>-34.225263345000002</v>
      </c>
      <c r="EX19" s="272">
        <f t="shared" si="54"/>
        <v>18.295985800000018</v>
      </c>
      <c r="EY19" s="274">
        <f t="shared" si="55"/>
        <v>-21.004014199999983</v>
      </c>
      <c r="EZ19" s="272">
        <f t="shared" si="56"/>
        <v>-190.32186000000002</v>
      </c>
      <c r="FA19" s="272">
        <f t="shared" si="57"/>
        <v>189.67814000000001</v>
      </c>
      <c r="FB19" s="530">
        <f>+IF($FC$1 = 1, IF(AE19 = "", "",IFERROR( VLOOKUP(N19, PreciosCalls, 13, FALSE), 0)),
IF($FC$1 = 2,  IF(AE19 = "", "",OptionGamma($AG$1,AE19,($BM$1/365), $V$15, $AZ$1, $V$17) * 1000)))</f>
        <v>1335</v>
      </c>
      <c r="FC19" s="530">
        <f>IF($FC$1 = 1, IF(AE19 = "", "",IFERROR( VLOOKUP(N19, PreciosCalls, 14, FALSE), 0)),
IF($FC$1 = 2, IF(AE19 = "", "",CallDelta($AG$1,AE19,($BM$1/365), $V$15, $AZ$1, $V$17) * 100)))</f>
        <v>0</v>
      </c>
      <c r="FD19" s="531">
        <f t="shared" si="58"/>
        <v>31.471796254681646</v>
      </c>
      <c r="FE19" s="530">
        <f t="shared" si="59"/>
        <v>4201484.8</v>
      </c>
      <c r="FF19" s="217"/>
      <c r="FG19" s="273">
        <f t="shared" si="60"/>
        <v>1.1689310344827586</v>
      </c>
      <c r="FH19" s="273">
        <f t="shared" si="61"/>
        <v>1.335657998423956</v>
      </c>
      <c r="FI19" s="451">
        <f t="shared" si="62"/>
        <v>40.866851806640625</v>
      </c>
      <c r="FJ19" s="419">
        <f>+IF(AE19 = "", "",ImpliedPutVolatility($AG$1, $AE19,($BM$1/365), $V$15, BI19, $V$17) * 100)</f>
        <v>40.866851806640625</v>
      </c>
      <c r="FK19" s="419">
        <f>+IF(AE19 = "", "",ImpliedPutVolatility($AG$1, $AE19,($BM$1/365), $V$15, BM19, $V$17) * 100)</f>
        <v>39.226531982421875</v>
      </c>
      <c r="FL19" s="419">
        <f>+IF(AE19 = "", "",ImpliedPutVolatility($AG$1, $AE19,($BM$1/365), $V$15, BO19, $V$17) * 100)</f>
        <v>40.866851806640625</v>
      </c>
      <c r="FM19" s="415">
        <f t="shared" si="63"/>
        <v>2.6</v>
      </c>
      <c r="FN19" s="415">
        <f t="shared" si="64"/>
        <v>2.31</v>
      </c>
      <c r="FO19" s="415">
        <f t="shared" si="65"/>
        <v>2.6</v>
      </c>
      <c r="FP19" s="417">
        <f>IF($FX$1=1, IF(AE19 = "", "",OptionGamma($AG$1,AE19,($BM$1/365), $V$15, $AZ$1, $V$17) * 1000),
IF($FX$1 = 2, IF(OR(AE19 = "", BM19 =  0), "",((BM19 * (1 - COMIS_OPCION)) / (AE19 * (1 + COMIS_ACCION))) * 100 / $BM$1 * 365)))</f>
        <v>7.1834293549945061</v>
      </c>
      <c r="FQ19" s="289">
        <f>+IF(AE19 = "", "",PutOption($AG$1, $AE19,($BM$1/365), $V$15, $AZ$1, $V$17))</f>
        <v>2.2930753120416725</v>
      </c>
      <c r="FR19" s="279"/>
      <c r="FS19" s="284">
        <f t="shared" si="66"/>
        <v>-21.004014199999983</v>
      </c>
      <c r="FT19" s="284">
        <f t="shared" si="67"/>
        <v>18.295985800000018</v>
      </c>
      <c r="FU19" s="280">
        <f t="shared" si="68"/>
        <v>-20.327007100000003</v>
      </c>
      <c r="FV19" s="279"/>
      <c r="FW19" s="287">
        <f>+IF($FX$1 = 1, IFERROR(VLOOKUP(P19, PreciosPuts, 13, FALSE), 0),
IF($FX$1 = 2, IF(AE19 = "", "",OptionGamma($AG$1,AE19,($BM$1/365), $V$15, $AZ$1, $V$17) * 1000)))</f>
        <v>8686</v>
      </c>
      <c r="FX19" s="287">
        <f>+IF($FX$1=1, IF(AE19 = "", "",IFERROR(VLOOKUP(P19, PreciosPuts, 14, FALSE), 0)),
IF($FX$1=2, IF(AE19 = "", "",Putdelta($AG$1,AE19,($BM$1/365), $V$15, $AZ$1, $V$17) * 100)))</f>
        <v>0</v>
      </c>
      <c r="FY19" s="286">
        <f t="shared" si="69"/>
        <v>2.9634798526364268</v>
      </c>
      <c r="FZ19" s="287">
        <f t="shared" si="70"/>
        <v>2574078.6</v>
      </c>
      <c r="GA19" s="217"/>
      <c r="GB19" s="281">
        <f t="shared" si="130"/>
        <v>1.3653846153846152</v>
      </c>
      <c r="GC19" s="281">
        <f t="shared" si="131"/>
        <v>1.9423076923076921</v>
      </c>
      <c r="GD19" s="217"/>
      <c r="GE19" s="301">
        <f t="shared" si="71"/>
        <v>12.038999999999987</v>
      </c>
      <c r="GF19" s="292">
        <f t="shared" si="72"/>
        <v>221.68899999999999</v>
      </c>
      <c r="GG19" s="293">
        <f t="shared" si="73"/>
        <v>-1.6821616438356148</v>
      </c>
      <c r="GH19" s="294">
        <f t="shared" si="124"/>
        <v>6</v>
      </c>
      <c r="GI19" s="294">
        <v>13</v>
      </c>
      <c r="GJ19" s="217"/>
      <c r="GK19" s="305">
        <f t="shared" si="74"/>
        <v>10.25</v>
      </c>
      <c r="GL19" s="299">
        <f t="shared" si="75"/>
        <v>219.9</v>
      </c>
      <c r="GM19" s="300">
        <f t="shared" si="76"/>
        <v>0.34990623962439776</v>
      </c>
      <c r="GN19" s="225">
        <f t="shared" si="121"/>
        <v>3</v>
      </c>
      <c r="GO19" s="225">
        <v>13</v>
      </c>
      <c r="GP19" s="217"/>
      <c r="GQ19" s="217"/>
      <c r="GR19" s="401" t="str">
        <f t="shared" si="132"/>
        <v/>
      </c>
      <c r="GT19" s="282">
        <f t="shared" si="78"/>
        <v>-4.3283298500000029</v>
      </c>
      <c r="GU19" s="282">
        <f t="shared" si="79"/>
        <v>-3.3065750250000043</v>
      </c>
      <c r="GV19" s="282" t="str">
        <f t="shared" si="80"/>
        <v/>
      </c>
      <c r="GW19" s="282" t="str">
        <f t="shared" si="81"/>
        <v/>
      </c>
      <c r="GX19" s="282">
        <f t="shared" si="82"/>
        <v>-27.573542500000006</v>
      </c>
      <c r="GY19" s="282" t="str">
        <f t="shared" si="83"/>
        <v/>
      </c>
      <c r="GZ19" s="282" t="str">
        <f t="shared" si="115"/>
        <v/>
      </c>
      <c r="HA19" s="282">
        <f t="shared" si="84"/>
        <v>-5.2477414166666723</v>
      </c>
      <c r="HB19" s="282">
        <f t="shared" si="116"/>
        <v>-2.7277483999999994</v>
      </c>
      <c r="HC19" s="607">
        <f t="shared" si="85"/>
        <v>-0.71023822500000011</v>
      </c>
      <c r="HD19" s="282">
        <f t="shared" si="86"/>
        <v>-1.1028336750000001</v>
      </c>
      <c r="HE19" s="282">
        <f t="shared" si="87"/>
        <v>-0.94009111666666656</v>
      </c>
      <c r="HF19" s="282">
        <f t="shared" si="88"/>
        <v>-0.74211563333333341</v>
      </c>
      <c r="HG19" s="217"/>
      <c r="HH19" s="282">
        <f t="shared" si="89"/>
        <v>-2.3024243999999996</v>
      </c>
      <c r="HI19" s="282">
        <f t="shared" si="90"/>
        <v>-2.4201476500000041</v>
      </c>
      <c r="HJ19" s="282"/>
      <c r="HK19" s="282"/>
      <c r="HL19" s="217"/>
      <c r="HM19" s="420"/>
      <c r="HN19" s="420"/>
      <c r="HO19" s="420"/>
      <c r="HP19" s="420"/>
      <c r="HQ19" s="282">
        <f t="shared" si="91"/>
        <v>-2.7277483999999994</v>
      </c>
      <c r="HR19" s="420"/>
      <c r="HS19" s="420"/>
      <c r="HT19" s="420"/>
      <c r="HU19" s="420"/>
      <c r="HV19" s="420"/>
      <c r="HW19" s="420"/>
      <c r="HX19" s="425"/>
      <c r="HY19" s="338"/>
      <c r="HZ19" s="338"/>
      <c r="IA19" s="161"/>
      <c r="IB19" s="161"/>
      <c r="IC19" s="162"/>
      <c r="ID19" s="162"/>
      <c r="IE19" s="49"/>
      <c r="IF19" s="55"/>
      <c r="IG19" s="58"/>
      <c r="IH19" s="545">
        <f t="shared" si="117"/>
        <v>-9.3727641306940122</v>
      </c>
      <c r="IJ19" s="146">
        <v>13</v>
      </c>
      <c r="IK19" s="545">
        <f t="shared" si="92"/>
        <v>190</v>
      </c>
      <c r="IL19" s="106">
        <f t="shared" si="93"/>
        <v>-9.3727641306940113E-2</v>
      </c>
      <c r="IM19" s="110">
        <f t="shared" si="128"/>
        <v>190</v>
      </c>
      <c r="IN19" s="111">
        <f t="shared" si="118"/>
        <v>-21515.23875000004</v>
      </c>
      <c r="IO19" s="50">
        <f t="shared" si="135"/>
        <v>0</v>
      </c>
      <c r="IP19" s="50">
        <f t="shared" si="135"/>
        <v>0</v>
      </c>
      <c r="IQ19" s="50">
        <f t="shared" si="135"/>
        <v>0</v>
      </c>
      <c r="IR19" s="50">
        <f t="shared" si="135"/>
        <v>0</v>
      </c>
      <c r="IS19" s="50">
        <f t="shared" si="135"/>
        <v>0</v>
      </c>
      <c r="IT19" s="50">
        <f t="shared" si="135"/>
        <v>0</v>
      </c>
      <c r="IU19" s="50">
        <f t="shared" si="135"/>
        <v>0</v>
      </c>
      <c r="IV19" s="50">
        <f t="shared" si="135"/>
        <v>0</v>
      </c>
      <c r="IW19" s="50">
        <f t="shared" si="135"/>
        <v>0</v>
      </c>
      <c r="IX19" s="50">
        <f t="shared" si="135"/>
        <v>0</v>
      </c>
      <c r="IY19" s="50">
        <f t="shared" si="136"/>
        <v>0</v>
      </c>
      <c r="IZ19" s="50">
        <f t="shared" si="136"/>
        <v>0</v>
      </c>
      <c r="JA19" s="50">
        <f t="shared" si="136"/>
        <v>25000</v>
      </c>
      <c r="JB19" s="50">
        <f t="shared" si="136"/>
        <v>0</v>
      </c>
      <c r="JC19" s="50">
        <f t="shared" si="136"/>
        <v>0</v>
      </c>
      <c r="JD19" s="50">
        <f t="shared" si="136"/>
        <v>0</v>
      </c>
      <c r="JE19" s="50">
        <f t="shared" si="136"/>
        <v>0</v>
      </c>
      <c r="JF19" s="50">
        <f t="shared" si="136"/>
        <v>0</v>
      </c>
      <c r="JG19" s="50">
        <f t="shared" si="136"/>
        <v>0</v>
      </c>
      <c r="JH19" s="50">
        <f t="shared" si="136"/>
        <v>0</v>
      </c>
      <c r="JI19" s="50">
        <f t="shared" si="137"/>
        <v>0</v>
      </c>
      <c r="JJ19" s="50">
        <f t="shared" si="137"/>
        <v>0</v>
      </c>
      <c r="JK19" s="50">
        <f t="shared" si="137"/>
        <v>0</v>
      </c>
      <c r="JL19" s="50">
        <f t="shared" si="137"/>
        <v>0</v>
      </c>
      <c r="JM19" s="50">
        <f t="shared" si="137"/>
        <v>0</v>
      </c>
      <c r="JN19" s="50">
        <f t="shared" si="137"/>
        <v>0</v>
      </c>
      <c r="JO19" s="50">
        <f t="shared" si="137"/>
        <v>0</v>
      </c>
      <c r="JP19" s="50">
        <f t="shared" si="137"/>
        <v>0</v>
      </c>
      <c r="JQ19" s="50">
        <f t="shared" si="137"/>
        <v>0</v>
      </c>
      <c r="JR19" s="50">
        <f t="shared" si="137"/>
        <v>0</v>
      </c>
      <c r="JS19" s="50">
        <f t="shared" si="138"/>
        <v>0</v>
      </c>
      <c r="JT19" s="50">
        <f t="shared" si="138"/>
        <v>0</v>
      </c>
      <c r="JU19" s="50" t="str">
        <f t="shared" si="138"/>
        <v/>
      </c>
      <c r="JV19" s="50" t="str">
        <f t="shared" si="138"/>
        <v/>
      </c>
      <c r="JW19" s="50" t="str">
        <f t="shared" si="138"/>
        <v/>
      </c>
      <c r="JX19" s="50" t="str">
        <f t="shared" si="138"/>
        <v/>
      </c>
      <c r="JY19" s="50" t="str">
        <f t="shared" si="138"/>
        <v/>
      </c>
      <c r="JZ19" s="50" t="str">
        <f t="shared" si="138"/>
        <v/>
      </c>
      <c r="KA19" s="50" t="str">
        <f t="shared" si="138"/>
        <v/>
      </c>
      <c r="KB19" s="50" t="str">
        <f t="shared" si="138"/>
        <v/>
      </c>
      <c r="KC19" s="50" t="str">
        <f t="shared" si="138"/>
        <v/>
      </c>
      <c r="KD19" s="50" t="str">
        <f t="shared" si="138"/>
        <v/>
      </c>
    </row>
    <row r="20" spans="2:290" s="144" customFormat="1" ht="15" customHeight="1" thickBot="1">
      <c r="B20" s="146">
        <v>14</v>
      </c>
      <c r="C20" s="121" t="str">
        <f t="shared" si="99"/>
        <v>GFGC195.AB</v>
      </c>
      <c r="D20" s="121" t="str">
        <f t="shared" si="100"/>
        <v>GFGV195.AB</v>
      </c>
      <c r="E20" s="122">
        <f t="shared" si="1"/>
        <v>195</v>
      </c>
      <c r="F20" s="123" t="str">
        <f t="shared" si="2"/>
        <v/>
      </c>
      <c r="G20" s="123" t="str">
        <f t="shared" si="3"/>
        <v/>
      </c>
      <c r="H20" s="124">
        <f t="shared" si="4"/>
        <v>29</v>
      </c>
      <c r="I20" s="124">
        <f t="shared" si="5"/>
        <v>3.9</v>
      </c>
      <c r="J20" s="124" t="str">
        <f t="shared" si="6"/>
        <v/>
      </c>
      <c r="K20" s="124" t="str">
        <f t="shared" si="7"/>
        <v/>
      </c>
      <c r="M20" s="158">
        <f t="shared" si="8"/>
        <v>12</v>
      </c>
      <c r="N20" s="121" t="str">
        <f t="shared" si="9"/>
        <v>GFGC195.AB</v>
      </c>
      <c r="O20" s="158">
        <f t="shared" si="10"/>
        <v>12</v>
      </c>
      <c r="P20" s="121" t="str">
        <f t="shared" si="11"/>
        <v>GFGV195.AB</v>
      </c>
      <c r="R20" s="159"/>
      <c r="S20" s="160" t="str">
        <f t="shared" si="12"/>
        <v/>
      </c>
      <c r="U20" s="139" t="s">
        <v>626</v>
      </c>
      <c r="V20" s="137">
        <f>+IF(U20 = "", "", IFERROR(Resumen!X56, 0))</f>
        <v>30.66</v>
      </c>
      <c r="X20" s="200">
        <v>14</v>
      </c>
      <c r="Y20" s="546">
        <f t="shared" si="13"/>
        <v>-6.987836870975439</v>
      </c>
      <c r="Z20" s="540">
        <f t="shared" si="14"/>
        <v>3484.7612499999595</v>
      </c>
      <c r="AA20" s="179"/>
      <c r="AB20" s="540">
        <f t="shared" si="15"/>
        <v>0</v>
      </c>
      <c r="AC20" s="161"/>
      <c r="AD20" s="200">
        <v>14</v>
      </c>
      <c r="AE20" s="825">
        <f t="shared" si="101"/>
        <v>195</v>
      </c>
      <c r="AF20" s="201"/>
      <c r="AG20" s="161"/>
      <c r="AH20" s="177">
        <f t="shared" si="102"/>
        <v>0</v>
      </c>
      <c r="AI20" s="166">
        <f t="shared" si="103"/>
        <v>0</v>
      </c>
      <c r="AJ20" s="179"/>
      <c r="AK20" s="177">
        <f t="shared" si="104"/>
        <v>0</v>
      </c>
      <c r="AL20" s="166">
        <f t="shared" si="105"/>
        <v>0</v>
      </c>
      <c r="AM20" s="179"/>
      <c r="AN20" s="177"/>
      <c r="AO20" s="166"/>
      <c r="AP20" s="179"/>
      <c r="AQ20" s="176">
        <f t="shared" si="106"/>
        <v>0</v>
      </c>
      <c r="AR20" s="165">
        <f t="shared" si="107"/>
        <v>0</v>
      </c>
      <c r="AS20" s="179"/>
      <c r="AT20" s="176">
        <f t="shared" si="108"/>
        <v>0</v>
      </c>
      <c r="AU20" s="165">
        <f t="shared" si="109"/>
        <v>0</v>
      </c>
      <c r="AV20" s="179"/>
      <c r="AW20" s="200">
        <f t="shared" si="16"/>
        <v>14</v>
      </c>
      <c r="AX20" s="170">
        <f t="shared" si="17"/>
        <v>195</v>
      </c>
      <c r="AY20" s="164"/>
      <c r="AZ20" s="215">
        <f t="shared" si="18"/>
        <v>29</v>
      </c>
      <c r="BA20" s="197"/>
      <c r="BB20" s="228">
        <f t="shared" si="19"/>
        <v>0.20827999999999999</v>
      </c>
      <c r="BC20" s="161"/>
      <c r="BD20" s="240">
        <f t="shared" si="20"/>
        <v>28.501000000000001</v>
      </c>
      <c r="BE20" s="196"/>
      <c r="BF20" s="240">
        <f t="shared" si="21"/>
        <v>29.5</v>
      </c>
      <c r="BG20" s="196"/>
      <c r="BH20" s="189"/>
      <c r="BI20" s="227">
        <f t="shared" si="22"/>
        <v>3.9</v>
      </c>
      <c r="BJ20" s="197"/>
      <c r="BK20" s="167">
        <f t="shared" si="23"/>
        <v>-0.24065</v>
      </c>
      <c r="BL20" s="161"/>
      <c r="BM20" s="240">
        <f t="shared" si="24"/>
        <v>3.55</v>
      </c>
      <c r="BN20" s="196"/>
      <c r="BO20" s="240">
        <f t="shared" si="25"/>
        <v>3.8</v>
      </c>
      <c r="BP20" s="196"/>
      <c r="BQ20" s="161"/>
      <c r="BR20" s="381"/>
      <c r="BS20" s="392">
        <f t="shared" si="122"/>
        <v>8036835.0999999996</v>
      </c>
      <c r="BT20" s="376"/>
      <c r="BU20" s="393">
        <f t="shared" si="139"/>
        <v>4.8999999999999986</v>
      </c>
      <c r="BV20" s="310"/>
      <c r="BW20" s="311">
        <f t="shared" si="110"/>
        <v>223.501</v>
      </c>
      <c r="BX20" s="372"/>
      <c r="BY20" s="440"/>
      <c r="BZ20" s="432">
        <v>2.3E-2</v>
      </c>
      <c r="CA20" s="372"/>
      <c r="CB20" s="572">
        <f t="shared" si="133"/>
        <v>28.501000000000001</v>
      </c>
      <c r="CC20" s="567">
        <f t="shared" si="29"/>
        <v>2</v>
      </c>
      <c r="CD20" s="814">
        <f t="shared" si="30"/>
        <v>195</v>
      </c>
      <c r="CE20" s="569">
        <f t="shared" si="31"/>
        <v>54</v>
      </c>
      <c r="CF20" s="574">
        <f t="shared" si="32"/>
        <v>29.5</v>
      </c>
      <c r="CG20" s="372"/>
      <c r="CH20" s="435">
        <v>9.1999999999999993</v>
      </c>
      <c r="CI20" s="436"/>
      <c r="CJ20" s="372"/>
      <c r="CK20" s="391">
        <f t="shared" si="111"/>
        <v>224.5</v>
      </c>
      <c r="CL20" s="396">
        <f t="shared" ref="CL20:CL26" si="140">+IF(OR(CF21="", CB20="", CF21=0, CB20=0), "", IF($BU$1=FALSE, CB20-CF21,- CB20+CF21))</f>
        <v>3.1310000000000002</v>
      </c>
      <c r="CM20" s="370"/>
      <c r="CN20" s="161"/>
      <c r="CO20" s="161"/>
      <c r="CP20" s="161"/>
      <c r="CQ20" s="161"/>
      <c r="CR20" s="161"/>
      <c r="CS20" s="161"/>
      <c r="CT20" s="161"/>
      <c r="CU20" s="161"/>
      <c r="CV20" s="161"/>
      <c r="CW20" s="161"/>
      <c r="CX20" s="161"/>
      <c r="CY20" s="161"/>
      <c r="CZ20" s="161"/>
      <c r="DA20" s="161"/>
      <c r="DB20" s="161"/>
      <c r="DC20" s="161"/>
      <c r="DD20" s="161"/>
      <c r="DE20" s="161"/>
      <c r="DF20" s="161"/>
      <c r="DG20" s="161"/>
      <c r="DH20" s="161"/>
      <c r="DI20" s="161"/>
      <c r="DJ20" s="892"/>
      <c r="DK20" s="242">
        <f t="shared" si="123"/>
        <v>0</v>
      </c>
      <c r="DL20" s="217"/>
      <c r="DM20" s="490">
        <f t="shared" si="34"/>
        <v>0</v>
      </c>
      <c r="DN20" s="242">
        <f t="shared" si="35"/>
        <v>0</v>
      </c>
      <c r="DO20" s="243">
        <f t="shared" si="36"/>
        <v>0</v>
      </c>
      <c r="DP20" s="217"/>
      <c r="DQ20" s="252">
        <f t="shared" si="120"/>
        <v>0</v>
      </c>
      <c r="DR20" s="217"/>
      <c r="DS20" s="242">
        <f t="shared" si="38"/>
        <v>0</v>
      </c>
      <c r="DT20" s="242">
        <f t="shared" si="39"/>
        <v>0</v>
      </c>
      <c r="DU20" s="244">
        <f t="shared" si="40"/>
        <v>0</v>
      </c>
      <c r="DV20" s="217"/>
      <c r="DW20" s="428">
        <f>+IF(OR(AE20 = "", AND(AH20 = "", AK20 = "")), "",IFERROR(+AH20 * CallDelta($AG$1,AE20,($BM$1/365), $V$15, $AZ$1, $V$17), 0) + IFERROR(AK20 * Putdelta($AG$1,AE20,($BM$1/365), $V$15, $AZ$1, $V$17), 0))</f>
        <v>0</v>
      </c>
      <c r="DX20" s="245">
        <f>+IF(OR(AE20 = "", AND(AH20 = "", AK20 = "")), "",IFERROR(+AH20 * OptionGamma($AG$1,AE20,($BM$1/365), $V$15, $AZ$1, $V$17), 0) + IFERROR(AK20 * OptionGamma($AG$1,AE20,($BM$1/365), $V$15, $AZ$1, $V$17), 0))</f>
        <v>0</v>
      </c>
      <c r="DY20" s="161"/>
      <c r="DZ20" s="267">
        <f t="shared" si="127"/>
        <v>0</v>
      </c>
      <c r="EA20" s="217"/>
      <c r="EB20" s="267">
        <f t="shared" si="42"/>
        <v>0</v>
      </c>
      <c r="EC20" s="267">
        <f t="shared" si="43"/>
        <v>0</v>
      </c>
      <c r="ED20" s="247">
        <f t="shared" si="44"/>
        <v>0</v>
      </c>
      <c r="EE20" s="217"/>
      <c r="EF20" s="267">
        <f t="shared" si="129"/>
        <v>0</v>
      </c>
      <c r="EG20" s="217"/>
      <c r="EH20" s="267">
        <f t="shared" si="46"/>
        <v>0</v>
      </c>
      <c r="EI20" s="246">
        <f t="shared" si="47"/>
        <v>0</v>
      </c>
      <c r="EJ20" s="248">
        <f t="shared" si="48"/>
        <v>0</v>
      </c>
      <c r="EK20" s="217"/>
      <c r="EL20" s="251">
        <f>+IF(OR(AE20 = "", AND(AQ20 = "", AT20 = "")), "",IFERROR(+AQ20 * CallDelta($AG$1,AE20,($BM$1/365), $V$15, $AZ$1, $V$17), 0) + IFERROR(AT20 * Putdelta($AG$1,AE20,($BM$1/365), $V$15, $AZ$1, $V$17), 0))</f>
        <v>0</v>
      </c>
      <c r="EM20" s="249">
        <f>+IF(OR(AE20 = "", AND(AQ20 = "", AT20 = "")), "",IFERROR(+AQ20 * OptionGamma($AG$1,AE20,($BM$1/365), $V$15, $AZ$1, $V$17), 0) + IFERROR(AT20 * OptionGamma($AG$1,AE20,($BM$1/365), $V$15, $AZ$1, $V$17), 0))</f>
        <v>0</v>
      </c>
      <c r="EN20" s="451">
        <f t="shared" si="49"/>
        <v>44.055938720703125</v>
      </c>
      <c r="EO20" s="418">
        <f>+IF(AE20 = "", "",ImpliedCallVolatility($AG$1, $AE20,($BM$1/365), $V$15, $AZ20, $V$17) * 100)</f>
        <v>46.276092529296875</v>
      </c>
      <c r="EP20" s="418">
        <f>+IF(AE20 = "", "",ImpliedCallVolatility($AG$1, $AE20,($BM$1/365), $V$15, BD20, $V$17) * 100)</f>
        <v>44.055938720703125</v>
      </c>
      <c r="EQ20" s="418">
        <f>+IF(AE20 = "", "",ImpliedCallVolatility($AG$1, $AE20,($BM$1/365), $V$15, BF20, $V$17) * 100)</f>
        <v>48.442840576171875</v>
      </c>
      <c r="ER20" s="411">
        <f t="shared" si="50"/>
        <v>14.349999999999994</v>
      </c>
      <c r="ES20" s="411">
        <f t="shared" si="51"/>
        <v>13.850999999999996</v>
      </c>
      <c r="ET20" s="411">
        <f t="shared" si="52"/>
        <v>14.849999999999994</v>
      </c>
      <c r="EU20" s="416">
        <f>IF($FC$1 = 1,
IF(AE20 = "", "",OptionGamma($AG$1,AE20,($BM$1/365), $V$15, $AZ$1, $V$17) * 1000),
IF($FC$1 = 2, IF(OR(AE20 = "", BD20 =  0), "",IF(AE20 &lt; $AG$1, (((AE20 * (1 - COMIS_ACCION)) / (($AG$1 * (1 + COMIS_ACCION)) - (BD20 * (1 - COMIS_OPCION)))) - 1) * 100 / $BM$1 * 365,((($AG$1 * (1 - COMIS_ACCION)) / (($AG$1 * (1 + COMIS_ACCION)) - (BD20 * (1 - COMIS_OPCION)))) - 1) * 100 / $BM$1 * 365))))</f>
        <v>8.5811188214946768</v>
      </c>
      <c r="EV20" s="276">
        <f>+IF(AE20 = "", "",CallOption($AG$1, $AE20,($BM$1/365), $V$15, $AZ$1, $V$17))</f>
        <v>27.444664947175681</v>
      </c>
      <c r="EW20" s="271">
        <f t="shared" si="53"/>
        <v>-29.696322500000001</v>
      </c>
      <c r="EX20" s="272">
        <f t="shared" si="54"/>
        <v>13.279045800000022</v>
      </c>
      <c r="EY20" s="274">
        <f t="shared" si="55"/>
        <v>-16.020954199999977</v>
      </c>
      <c r="EZ20" s="272">
        <f t="shared" si="56"/>
        <v>-195.33033000000003</v>
      </c>
      <c r="FA20" s="272">
        <f t="shared" si="57"/>
        <v>194.66967</v>
      </c>
      <c r="FB20" s="530">
        <f>+IF($FC$1 = 1, IF(AE20 = "", "",IFERROR( VLOOKUP(N20, PreciosCalls, 13, FALSE), 0)),
IF($FC$1 = 2,  IF(AE20 = "", "",OptionGamma($AG$1,AE20,($BM$1/365), $V$15, $AZ$1, $V$17) * 1000)))</f>
        <v>2881</v>
      </c>
      <c r="FC20" s="530">
        <f>IF($FC$1 = 1, IF(AE20 = "", "",IFERROR( VLOOKUP(N20, PreciosCalls, 14, FALSE), 0)),
IF($FC$1 = 2, IF(AE20 = "", "",CallDelta($AG$1,AE20,($BM$1/365), $V$15, $AZ$1, $V$17) * 100)))</f>
        <v>0</v>
      </c>
      <c r="FD20" s="531">
        <f t="shared" si="58"/>
        <v>27.89599132245748</v>
      </c>
      <c r="FE20" s="530">
        <f t="shared" si="59"/>
        <v>8036835.0999999996</v>
      </c>
      <c r="FF20" s="217"/>
      <c r="FG20" s="273">
        <f t="shared" si="60"/>
        <v>1.1426319936958236</v>
      </c>
      <c r="FH20" s="273">
        <f t="shared" si="61"/>
        <v>1.4910025706940875</v>
      </c>
      <c r="FI20" s="451">
        <f t="shared" si="62"/>
        <v>41.835784912109375</v>
      </c>
      <c r="FJ20" s="419">
        <f>+IF(AE20 = "", "",ImpliedPutVolatility($AG$1, $AE20,($BM$1/365), $V$15, BI20, $V$17) * 100)</f>
        <v>42.301177978515625</v>
      </c>
      <c r="FK20" s="419">
        <f>+IF(AE20 = "", "",ImpliedPutVolatility($AG$1, $AE20,($BM$1/365), $V$15, BM20, $V$17) * 100)</f>
        <v>40.668487548828125</v>
      </c>
      <c r="FL20" s="419">
        <f>+IF(AE20 = "", "",ImpliedPutVolatility($AG$1, $AE20,($BM$1/365), $V$15, BO20, $V$17) * 100)</f>
        <v>41.835784912109375</v>
      </c>
      <c r="FM20" s="415">
        <f t="shared" si="63"/>
        <v>3.9</v>
      </c>
      <c r="FN20" s="415">
        <f t="shared" si="64"/>
        <v>3.55</v>
      </c>
      <c r="FO20" s="415">
        <f t="shared" si="65"/>
        <v>3.8</v>
      </c>
      <c r="FP20" s="417">
        <f>IF($FX$1=1, IF(AE20 = "", "",OptionGamma($AG$1,AE20,($BM$1/365), $V$15, $AZ$1, $V$17) * 1000),
IF($FX$1 = 2, IF(OR(AE20 = "", BM20 =  0), "",((BM20 * (1 - COMIS_OPCION)) / (AE20 * (1 + COMIS_ACCION))) * 100 / $BM$1 * 365)))</f>
        <v>8.5811188214946768</v>
      </c>
      <c r="FQ20" s="289">
        <f>+IF(AE20 = "", "",PutOption($AG$1, $AE20,($BM$1/365), $V$15, $AZ$1, $V$17))</f>
        <v>3.2285101305452102</v>
      </c>
      <c r="FR20" s="279"/>
      <c r="FS20" s="284">
        <f t="shared" si="66"/>
        <v>-16.020954199999977</v>
      </c>
      <c r="FT20" s="284">
        <f t="shared" si="67"/>
        <v>13.279045800000022</v>
      </c>
      <c r="FU20" s="279"/>
      <c r="FV20" s="279"/>
      <c r="FW20" s="287">
        <f>+IF($FX$1 = 1, IFERROR(VLOOKUP(P20, PreciosPuts, 13, FALSE), 0),
IF($FX$1 = 2, IF(AE20 = "", "",OptionGamma($AG$1,AE20,($BM$1/365), $V$15, $AZ$1, $V$17) * 1000)))</f>
        <v>1715</v>
      </c>
      <c r="FX20" s="287">
        <f>+IF($FX$1=1, IF(AE20 = "", "",IFERROR(VLOOKUP(P20, PreciosPuts, 14, FALSE), 0)),
IF($FX$1=2, IF(AE20 = "", "",Putdelta($AG$1,AE20,($BM$1/365), $V$15, $AZ$1, $V$17) * 100)))</f>
        <v>0</v>
      </c>
      <c r="FY20" s="286">
        <f t="shared" si="69"/>
        <v>4.2169271137026234</v>
      </c>
      <c r="FZ20" s="287">
        <f t="shared" si="70"/>
        <v>723203</v>
      </c>
      <c r="GA20" s="217"/>
      <c r="GB20" s="281">
        <f t="shared" si="130"/>
        <v>1.3289473684210527</v>
      </c>
      <c r="GC20" s="281">
        <f t="shared" si="131"/>
        <v>2.236842105263158</v>
      </c>
      <c r="GD20" s="217"/>
      <c r="GE20" s="301">
        <f t="shared" si="71"/>
        <v>11.299999999999983</v>
      </c>
      <c r="GF20" s="292">
        <f t="shared" si="72"/>
        <v>220.95</v>
      </c>
      <c r="GG20" s="293">
        <f t="shared" si="73"/>
        <v>-1.5789041095890386</v>
      </c>
      <c r="GH20" s="294">
        <f t="shared" si="124"/>
        <v>3</v>
      </c>
      <c r="GI20" s="294">
        <v>14</v>
      </c>
      <c r="GJ20" s="217"/>
      <c r="GK20" s="305">
        <f t="shared" si="74"/>
        <v>10.050999999999988</v>
      </c>
      <c r="GL20" s="309">
        <f t="shared" si="75"/>
        <v>219.70099999999999</v>
      </c>
      <c r="GM20" s="300">
        <f t="shared" si="76"/>
        <v>0.343112937996567</v>
      </c>
      <c r="GN20" s="225">
        <f t="shared" si="121"/>
        <v>4</v>
      </c>
      <c r="GO20" s="225">
        <v>14</v>
      </c>
      <c r="GP20" s="217"/>
      <c r="GQ20" s="217"/>
      <c r="GR20" s="401" t="str">
        <f t="shared" si="132"/>
        <v/>
      </c>
      <c r="GT20" s="282">
        <f t="shared" si="78"/>
        <v>-1.5707245024999992</v>
      </c>
      <c r="GU20" s="282">
        <f t="shared" si="79"/>
        <v>-5.6371073750000003</v>
      </c>
      <c r="GV20" s="282">
        <f t="shared" si="80"/>
        <v>-5.7941455550000001</v>
      </c>
      <c r="GW20" s="282" t="str">
        <f t="shared" si="81"/>
        <v/>
      </c>
      <c r="GX20" s="282" t="str">
        <f t="shared" si="82"/>
        <v/>
      </c>
      <c r="GY20" s="282">
        <f t="shared" si="83"/>
        <v>-32.198114055000012</v>
      </c>
      <c r="GZ20" s="282" t="str">
        <f t="shared" si="115"/>
        <v/>
      </c>
      <c r="HA20" s="282">
        <f t="shared" si="84"/>
        <v>-2.2524816012500031</v>
      </c>
      <c r="HB20" s="282">
        <f t="shared" si="116"/>
        <v>-3.2238197883333335</v>
      </c>
      <c r="HC20" s="607">
        <f t="shared" si="85"/>
        <v>-0.44991250000000038</v>
      </c>
      <c r="HD20" s="282">
        <f t="shared" si="86"/>
        <v>-1.3679818600000009</v>
      </c>
      <c r="HE20" s="282">
        <f t="shared" si="87"/>
        <v>-0.67640987500000049</v>
      </c>
      <c r="HF20" s="282">
        <f t="shared" si="88"/>
        <v>-0.7586200333333335</v>
      </c>
      <c r="HG20" s="217"/>
      <c r="HH20" s="282">
        <f t="shared" si="89"/>
        <v>-1.318439755</v>
      </c>
      <c r="HI20" s="282">
        <f t="shared" si="90"/>
        <v>-4.2552138050000003</v>
      </c>
      <c r="HJ20" s="282"/>
      <c r="HK20" s="282"/>
      <c r="HL20" s="217"/>
      <c r="HM20" s="420"/>
      <c r="HN20" s="420"/>
      <c r="HO20" s="420"/>
      <c r="HP20" s="420"/>
      <c r="HQ20" s="282">
        <f t="shared" si="91"/>
        <v>-3.2238197883333353</v>
      </c>
      <c r="HR20" s="420"/>
      <c r="HS20" s="420"/>
      <c r="HT20" s="420"/>
      <c r="HU20" s="420"/>
      <c r="HV20" s="420"/>
      <c r="HW20" s="420"/>
      <c r="HX20" s="425"/>
      <c r="HY20" s="338"/>
      <c r="HZ20" s="338"/>
      <c r="IA20" s="161"/>
      <c r="IB20" s="161"/>
      <c r="IC20" s="162"/>
      <c r="ID20" s="162"/>
      <c r="IE20" s="49"/>
      <c r="IF20" s="55"/>
      <c r="IG20" s="58"/>
      <c r="IH20" s="545">
        <f t="shared" si="117"/>
        <v>-6.987836870975439</v>
      </c>
      <c r="IJ20" s="146">
        <v>14</v>
      </c>
      <c r="IK20" s="545">
        <f t="shared" si="92"/>
        <v>195</v>
      </c>
      <c r="IL20" s="106">
        <f t="shared" si="93"/>
        <v>-6.987836870975439E-2</v>
      </c>
      <c r="IM20" s="110">
        <f t="shared" si="128"/>
        <v>195</v>
      </c>
      <c r="IN20" s="111">
        <f t="shared" si="118"/>
        <v>3484.7612499999595</v>
      </c>
      <c r="IO20" s="50">
        <f t="shared" si="135"/>
        <v>0</v>
      </c>
      <c r="IP20" s="50">
        <f t="shared" si="135"/>
        <v>0</v>
      </c>
      <c r="IQ20" s="50">
        <f t="shared" si="135"/>
        <v>0</v>
      </c>
      <c r="IR20" s="50">
        <f t="shared" si="135"/>
        <v>0</v>
      </c>
      <c r="IS20" s="50">
        <f t="shared" si="135"/>
        <v>0</v>
      </c>
      <c r="IT20" s="50">
        <f t="shared" si="135"/>
        <v>0</v>
      </c>
      <c r="IU20" s="50">
        <f t="shared" si="135"/>
        <v>0</v>
      </c>
      <c r="IV20" s="50">
        <f t="shared" si="135"/>
        <v>0</v>
      </c>
      <c r="IW20" s="50">
        <f t="shared" si="135"/>
        <v>0</v>
      </c>
      <c r="IX20" s="50">
        <f t="shared" si="135"/>
        <v>0</v>
      </c>
      <c r="IY20" s="50">
        <f t="shared" si="136"/>
        <v>0</v>
      </c>
      <c r="IZ20" s="50">
        <f t="shared" si="136"/>
        <v>0</v>
      </c>
      <c r="JA20" s="50">
        <f t="shared" si="136"/>
        <v>50000</v>
      </c>
      <c r="JB20" s="50">
        <f t="shared" si="136"/>
        <v>0</v>
      </c>
      <c r="JC20" s="50">
        <f t="shared" si="136"/>
        <v>0</v>
      </c>
      <c r="JD20" s="50">
        <f t="shared" si="136"/>
        <v>0</v>
      </c>
      <c r="JE20" s="50">
        <f t="shared" si="136"/>
        <v>0</v>
      </c>
      <c r="JF20" s="50">
        <f t="shared" si="136"/>
        <v>0</v>
      </c>
      <c r="JG20" s="50">
        <f t="shared" si="136"/>
        <v>0</v>
      </c>
      <c r="JH20" s="50">
        <f t="shared" si="136"/>
        <v>0</v>
      </c>
      <c r="JI20" s="50">
        <f t="shared" si="137"/>
        <v>0</v>
      </c>
      <c r="JJ20" s="50">
        <f t="shared" si="137"/>
        <v>0</v>
      </c>
      <c r="JK20" s="50">
        <f t="shared" si="137"/>
        <v>0</v>
      </c>
      <c r="JL20" s="50">
        <f t="shared" si="137"/>
        <v>0</v>
      </c>
      <c r="JM20" s="50">
        <f t="shared" si="137"/>
        <v>0</v>
      </c>
      <c r="JN20" s="50">
        <f t="shared" si="137"/>
        <v>0</v>
      </c>
      <c r="JO20" s="50">
        <f t="shared" si="137"/>
        <v>0</v>
      </c>
      <c r="JP20" s="50">
        <f t="shared" si="137"/>
        <v>0</v>
      </c>
      <c r="JQ20" s="50">
        <f t="shared" si="137"/>
        <v>0</v>
      </c>
      <c r="JR20" s="50">
        <f t="shared" si="137"/>
        <v>0</v>
      </c>
      <c r="JS20" s="50">
        <f t="shared" si="138"/>
        <v>0</v>
      </c>
      <c r="JT20" s="50">
        <f t="shared" si="138"/>
        <v>0</v>
      </c>
      <c r="JU20" s="50" t="str">
        <f t="shared" si="138"/>
        <v/>
      </c>
      <c r="JV20" s="50" t="str">
        <f t="shared" si="138"/>
        <v/>
      </c>
      <c r="JW20" s="50" t="str">
        <f t="shared" si="138"/>
        <v/>
      </c>
      <c r="JX20" s="50" t="str">
        <f t="shared" si="138"/>
        <v/>
      </c>
      <c r="JY20" s="50" t="str">
        <f t="shared" si="138"/>
        <v/>
      </c>
      <c r="JZ20" s="50" t="str">
        <f t="shared" si="138"/>
        <v/>
      </c>
      <c r="KA20" s="50" t="str">
        <f t="shared" si="138"/>
        <v/>
      </c>
      <c r="KB20" s="50" t="str">
        <f t="shared" si="138"/>
        <v/>
      </c>
      <c r="KC20" s="50" t="str">
        <f t="shared" si="138"/>
        <v/>
      </c>
      <c r="KD20" s="50" t="str">
        <f t="shared" si="138"/>
        <v/>
      </c>
    </row>
    <row r="21" spans="2:290" s="144" customFormat="1" ht="15" customHeight="1" thickBot="1">
      <c r="B21" s="146">
        <v>15</v>
      </c>
      <c r="C21" s="121" t="str">
        <f t="shared" si="99"/>
        <v>GFGC200.AB</v>
      </c>
      <c r="D21" s="121" t="str">
        <f t="shared" si="100"/>
        <v>GFGV200.AB</v>
      </c>
      <c r="E21" s="122">
        <f t="shared" si="1"/>
        <v>200</v>
      </c>
      <c r="F21" s="123" t="str">
        <f t="shared" si="2"/>
        <v/>
      </c>
      <c r="G21" s="123" t="str">
        <f t="shared" si="3"/>
        <v/>
      </c>
      <c r="H21" s="124">
        <f t="shared" si="4"/>
        <v>25.38</v>
      </c>
      <c r="I21" s="124">
        <f t="shared" si="5"/>
        <v>5.05</v>
      </c>
      <c r="J21" s="124" t="str">
        <f t="shared" si="6"/>
        <v/>
      </c>
      <c r="K21" s="124" t="str">
        <f t="shared" si="7"/>
        <v/>
      </c>
      <c r="M21" s="158">
        <f t="shared" si="8"/>
        <v>12</v>
      </c>
      <c r="N21" s="121" t="str">
        <f t="shared" si="9"/>
        <v>GFGC200.AB</v>
      </c>
      <c r="O21" s="158">
        <f t="shared" si="10"/>
        <v>12</v>
      </c>
      <c r="P21" s="121" t="str">
        <f t="shared" si="11"/>
        <v>GFGV200.AB</v>
      </c>
      <c r="R21" s="159"/>
      <c r="S21" s="160" t="str">
        <f t="shared" si="12"/>
        <v/>
      </c>
      <c r="U21" s="139" t="s">
        <v>633</v>
      </c>
      <c r="V21" s="138">
        <f>+IF(U21 = "", "", IFERROR(Resumen!X60, 0))</f>
        <v>34.18</v>
      </c>
      <c r="X21" s="200">
        <v>15</v>
      </c>
      <c r="Y21" s="546">
        <f t="shared" si="13"/>
        <v>-4.6029096112568553</v>
      </c>
      <c r="Z21" s="540">
        <f t="shared" si="14"/>
        <v>28484.76124999996</v>
      </c>
      <c r="AA21" s="179"/>
      <c r="AB21" s="540">
        <f t="shared" si="15"/>
        <v>0</v>
      </c>
      <c r="AC21" s="161"/>
      <c r="AD21" s="200">
        <v>15</v>
      </c>
      <c r="AE21" s="825">
        <f t="shared" si="101"/>
        <v>200</v>
      </c>
      <c r="AF21" s="201"/>
      <c r="AG21" s="161"/>
      <c r="AH21" s="177">
        <f t="shared" si="102"/>
        <v>0</v>
      </c>
      <c r="AI21" s="166">
        <f t="shared" si="103"/>
        <v>0</v>
      </c>
      <c r="AJ21" s="179"/>
      <c r="AK21" s="177">
        <f t="shared" si="104"/>
        <v>0</v>
      </c>
      <c r="AL21" s="166">
        <f t="shared" si="105"/>
        <v>0</v>
      </c>
      <c r="AM21" s="179"/>
      <c r="AN21" s="177"/>
      <c r="AO21" s="166"/>
      <c r="AP21" s="179"/>
      <c r="AQ21" s="176">
        <f t="shared" si="106"/>
        <v>0</v>
      </c>
      <c r="AR21" s="165">
        <f t="shared" si="107"/>
        <v>0</v>
      </c>
      <c r="AS21" s="179"/>
      <c r="AT21" s="176">
        <f t="shared" si="108"/>
        <v>0</v>
      </c>
      <c r="AU21" s="165">
        <f t="shared" si="109"/>
        <v>0</v>
      </c>
      <c r="AV21" s="179"/>
      <c r="AW21" s="200">
        <f t="shared" si="16"/>
        <v>15</v>
      </c>
      <c r="AX21" s="170">
        <f t="shared" si="17"/>
        <v>200</v>
      </c>
      <c r="AY21" s="164"/>
      <c r="AZ21" s="215">
        <f t="shared" si="18"/>
        <v>25.38</v>
      </c>
      <c r="BA21" s="197"/>
      <c r="BB21" s="228">
        <f t="shared" si="19"/>
        <v>0.21972000000000003</v>
      </c>
      <c r="BC21" s="161"/>
      <c r="BD21" s="240">
        <f t="shared" si="20"/>
        <v>24.6</v>
      </c>
      <c r="BE21" s="196"/>
      <c r="BF21" s="240">
        <f t="shared" si="21"/>
        <v>25.37</v>
      </c>
      <c r="BG21" s="196"/>
      <c r="BH21" s="189"/>
      <c r="BI21" s="227">
        <f t="shared" si="22"/>
        <v>5.05</v>
      </c>
      <c r="BJ21" s="197"/>
      <c r="BK21" s="167">
        <f t="shared" si="23"/>
        <v>-0.28772999999999999</v>
      </c>
      <c r="BL21" s="161"/>
      <c r="BM21" s="240">
        <f t="shared" si="24"/>
        <v>5.05</v>
      </c>
      <c r="BN21" s="196"/>
      <c r="BO21" s="240">
        <f t="shared" si="25"/>
        <v>5.3</v>
      </c>
      <c r="BP21" s="196"/>
      <c r="BQ21" s="161"/>
      <c r="BR21" s="381"/>
      <c r="BS21" s="392">
        <f t="shared" si="122"/>
        <v>21278090.600000001</v>
      </c>
      <c r="BT21" s="376"/>
      <c r="BU21" s="393">
        <f>+IF(OR(CF21="", CB22="", CF21=0, CB22=0), "", IF($BU$1=FALSE, CF21-CB22, -CF21+CB22))</f>
        <v>6.27</v>
      </c>
      <c r="BV21" s="310"/>
      <c r="BW21" s="311">
        <f t="shared" si="110"/>
        <v>224.6</v>
      </c>
      <c r="BX21" s="372"/>
      <c r="BY21" s="819"/>
      <c r="BZ21" s="432">
        <v>2.5</v>
      </c>
      <c r="CA21" s="372"/>
      <c r="CB21" s="572">
        <f t="shared" si="133"/>
        <v>24.6</v>
      </c>
      <c r="CC21" s="567">
        <f>+IF(CD21 &lt;&gt; "", IF($BU$1=FALSE, VLOOKUP(N21, PreciosCalls, 2, FALSE), VLOOKUP(P21, PreciosPuts, 2, FALSE)), "")</f>
        <v>12</v>
      </c>
      <c r="CD21" s="814">
        <f t="shared" si="30"/>
        <v>200</v>
      </c>
      <c r="CE21" s="569">
        <f t="shared" si="31"/>
        <v>27</v>
      </c>
      <c r="CF21" s="574">
        <f t="shared" ref="CF21:CF29" si="141">+IF($BU$1=FALSE, IF(BF21=0, "", BF21), IF(BO21=0,"", BO21))</f>
        <v>25.37</v>
      </c>
      <c r="CG21" s="372"/>
      <c r="CH21" s="435">
        <v>23.446999999999999</v>
      </c>
      <c r="CI21" s="436"/>
      <c r="CJ21" s="372"/>
      <c r="CK21" s="391">
        <f t="shared" si="111"/>
        <v>225.37</v>
      </c>
      <c r="CL21" s="396">
        <f t="shared" si="140"/>
        <v>5.1500000000000021</v>
      </c>
      <c r="CM21" s="370"/>
      <c r="CN21" s="161"/>
      <c r="CO21" s="161"/>
      <c r="CP21" s="161"/>
      <c r="CQ21" s="161"/>
      <c r="CR21" s="161"/>
      <c r="CS21" s="161"/>
      <c r="CT21" s="161"/>
      <c r="CU21" s="161"/>
      <c r="CV21" s="161"/>
      <c r="CW21" s="161"/>
      <c r="CX21" s="161"/>
      <c r="CY21" s="161"/>
      <c r="CZ21" s="161"/>
      <c r="DA21" s="161"/>
      <c r="DB21" s="161"/>
      <c r="DC21" s="161"/>
      <c r="DD21" s="161"/>
      <c r="DE21" s="161"/>
      <c r="DF21" s="161"/>
      <c r="DG21" s="161"/>
      <c r="DH21" s="161"/>
      <c r="DI21" s="161"/>
      <c r="DJ21" s="892"/>
      <c r="DK21" s="242">
        <f t="shared" si="123"/>
        <v>0</v>
      </c>
      <c r="DL21" s="217"/>
      <c r="DM21" s="490">
        <f t="shared" si="34"/>
        <v>0</v>
      </c>
      <c r="DN21" s="242">
        <f t="shared" si="35"/>
        <v>0</v>
      </c>
      <c r="DO21" s="243">
        <f t="shared" si="36"/>
        <v>0</v>
      </c>
      <c r="DP21" s="217"/>
      <c r="DQ21" s="252">
        <f t="shared" si="120"/>
        <v>0</v>
      </c>
      <c r="DR21" s="217"/>
      <c r="DS21" s="242">
        <f t="shared" si="38"/>
        <v>0</v>
      </c>
      <c r="DT21" s="242">
        <f t="shared" si="39"/>
        <v>0</v>
      </c>
      <c r="DU21" s="244">
        <f t="shared" si="40"/>
        <v>0</v>
      </c>
      <c r="DV21" s="217"/>
      <c r="DW21" s="428">
        <f>+IF(OR(AE21 = "", AND(AH21 = "", AK21 = "")), "",IFERROR(+AH21 * CallDelta($AG$1,AE21,($BM$1/365), $V$15, $AZ$1, $V$17), 0) + IFERROR(AK21 * Putdelta($AG$1,AE21,($BM$1/365), $V$15, $AZ$1, $V$17), 0))</f>
        <v>0</v>
      </c>
      <c r="DX21" s="245">
        <f>+IF(OR(AE21 = "", AND(AH21 = "", AK21 = "")), "",IFERROR(+AH21 * OptionGamma($AG$1,AE21,($BM$1/365), $V$15, $AZ$1, $V$17), 0) + IFERROR(AK21 * OptionGamma($AG$1,AE21,($BM$1/365), $V$15, $AZ$1, $V$17), 0))</f>
        <v>0</v>
      </c>
      <c r="DY21" s="161"/>
      <c r="DZ21" s="267">
        <f t="shared" si="127"/>
        <v>0</v>
      </c>
      <c r="EA21" s="217"/>
      <c r="EB21" s="267">
        <f t="shared" si="42"/>
        <v>0</v>
      </c>
      <c r="EC21" s="267">
        <f t="shared" si="43"/>
        <v>0</v>
      </c>
      <c r="ED21" s="247">
        <f t="shared" si="44"/>
        <v>0</v>
      </c>
      <c r="EE21" s="217"/>
      <c r="EF21" s="267">
        <f t="shared" si="129"/>
        <v>0</v>
      </c>
      <c r="EG21" s="217"/>
      <c r="EH21" s="267">
        <f t="shared" si="46"/>
        <v>0</v>
      </c>
      <c r="EI21" s="246">
        <f t="shared" si="47"/>
        <v>0</v>
      </c>
      <c r="EJ21" s="248">
        <f t="shared" si="48"/>
        <v>0</v>
      </c>
      <c r="EK21" s="217"/>
      <c r="EL21" s="251">
        <f>+IF(OR(AE21 = "", AND(AQ21 = "", AT21 = "")), "",IFERROR(+AQ21 * CallDelta($AG$1,AE21,($BM$1/365), $V$15, $AZ$1, $V$17), 0) + IFERROR(AT21 * Putdelta($AG$1,AE21,($BM$1/365), $V$15, $AZ$1, $V$17), 0))</f>
        <v>0</v>
      </c>
      <c r="EM21" s="249">
        <f>+IF(OR(AE21 = "", AND(AQ21 = "", AT21 = "")), "",IFERROR(+AQ21 * OptionGamma($AG$1,AE21,($BM$1/365), $V$15, $AZ$1, $V$17), 0) + IFERROR(AT21 * OptionGamma($AG$1,AE21,($BM$1/365), $V$15, $AZ$1, $V$17), 0))</f>
        <v>0</v>
      </c>
      <c r="EN21" s="451">
        <f t="shared" si="49"/>
        <v>42.140960693359375</v>
      </c>
      <c r="EO21" s="418">
        <f>+IF(AE21 = "", "",ImpliedCallVolatility($AG$1, $AE21,($BM$1/365), $V$15, $AZ21, $V$17) * 100)</f>
        <v>45.276641845703125</v>
      </c>
      <c r="EP21" s="418">
        <f>+IF(AE21 = "", "",ImpliedCallVolatility($AG$1, $AE21,($BM$1/365), $V$15, BD21, $V$17) * 100)</f>
        <v>42.140960693359375</v>
      </c>
      <c r="EQ21" s="418">
        <f>+IF(AE21 = "", "",ImpliedCallVolatility($AG$1, $AE21,($BM$1/365), $V$15, BF21, $V$17) * 100)</f>
        <v>45.238494873046875</v>
      </c>
      <c r="ER21" s="411">
        <f t="shared" si="50"/>
        <v>15.729999999999993</v>
      </c>
      <c r="ES21" s="411">
        <f t="shared" si="51"/>
        <v>14.949999999999996</v>
      </c>
      <c r="ET21" s="411">
        <f t="shared" si="52"/>
        <v>15.719999999999995</v>
      </c>
      <c r="EU21" s="416">
        <f>IF($FC$1 = 1,
IF(AE21 = "", "",OptionGamma($AG$1,AE21,($BM$1/365), $V$15, $AZ$1, $V$17) * 1000),
IF($FC$1 = 2, IF(OR(AE21 = "", BD21 =  0), "",IF(AE21 &lt; $AG$1, (((AE21 * (1 - COMIS_ACCION)) / (($AG$1 * (1 + COMIS_ACCION)) - (BD21 * (1 - COMIS_OPCION)))) - 1) * 100 / $BM$1 * 365,((($AG$1 * (1 - COMIS_ACCION)) / (($AG$1 * (1 + COMIS_ACCION)) - (BD21 * (1 - COMIS_OPCION)))) - 1) * 100 / $BM$1 * 365))))</f>
        <v>9.8996462804402832</v>
      </c>
      <c r="EV21" s="276">
        <f>+IF(AE21 = "", "",CallOption($AG$1, $AE21,($BM$1/365), $V$15, $AZ$1, $V$17))</f>
        <v>23.872911487446572</v>
      </c>
      <c r="EW21" s="271">
        <f t="shared" si="53"/>
        <v>-25.538837350000001</v>
      </c>
      <c r="EX21" s="272">
        <f t="shared" si="54"/>
        <v>8.2621058000000271</v>
      </c>
      <c r="EY21" s="274">
        <f t="shared" si="55"/>
        <v>-11.037894199999974</v>
      </c>
      <c r="EZ21" s="272">
        <f t="shared" si="56"/>
        <v>-200.33880000000002</v>
      </c>
      <c r="FA21" s="272">
        <f t="shared" si="57"/>
        <v>199.66119999999998</v>
      </c>
      <c r="FB21" s="530">
        <f>+IF($FC$1 = 1, IF(AE21 = "", "",IFERROR( VLOOKUP(N21, PreciosCalls, 13, FALSE), 0)),
IF($FC$1 = 2,  IF(AE21 = "", "",OptionGamma($AG$1,AE21,($BM$1/365), $V$15, $AZ$1, $V$17) * 1000)))</f>
        <v>8726</v>
      </c>
      <c r="FC21" s="530">
        <f>IF($FC$1 = 1, IF(AE21 = "", "",IFERROR( VLOOKUP(N21, PreciosCalls, 14, FALSE), 0)),
IF($FC$1 = 2, IF(AE21 = "", "",CallDelta($AG$1,AE21,($BM$1/365), $V$15, $AZ$1, $V$17) * 100)))</f>
        <v>0</v>
      </c>
      <c r="FD21" s="531">
        <f t="shared" si="58"/>
        <v>24.384701581480634</v>
      </c>
      <c r="FE21" s="530">
        <f t="shared" si="59"/>
        <v>21278090.600000001</v>
      </c>
      <c r="FF21" s="217"/>
      <c r="FG21" s="273">
        <f t="shared" si="60"/>
        <v>1.3048843187660668</v>
      </c>
      <c r="FH21" s="273">
        <f t="shared" si="61"/>
        <v>1.7171853856562922</v>
      </c>
      <c r="FI21" s="451">
        <f t="shared" si="62"/>
        <v>42.797088623046875</v>
      </c>
      <c r="FJ21" s="419">
        <f>+IF(AE21 = "", "",ImpliedPutVolatility($AG$1, $AE21,($BM$1/365), $V$15, BI21, $V$17) * 100)</f>
        <v>41.774749755859375</v>
      </c>
      <c r="FK21" s="419">
        <f>+IF(AE21 = "", "",ImpliedPutVolatility($AG$1, $AE21,($BM$1/365), $V$15, BM21, $V$17) * 100)</f>
        <v>41.774749755859375</v>
      </c>
      <c r="FL21" s="419">
        <f>+IF(AE21 = "", "",ImpliedPutVolatility($AG$1, $AE21,($BM$1/365), $V$15, BO21, $V$17) * 100)</f>
        <v>42.797088623046875</v>
      </c>
      <c r="FM21" s="415">
        <f t="shared" si="63"/>
        <v>5.05</v>
      </c>
      <c r="FN21" s="415">
        <f t="shared" si="64"/>
        <v>5.05</v>
      </c>
      <c r="FO21" s="415">
        <f t="shared" si="65"/>
        <v>5.3</v>
      </c>
      <c r="FP21" s="417">
        <f>IF($FX$1=1, IF(AE21 = "", "",OptionGamma($AG$1,AE21,($BM$1/365), $V$15, $AZ$1, $V$17) * 1000),
IF($FX$1 = 2, IF(OR(AE21 = "", BM21 =  0), "",((BM21 * (1 - COMIS_OPCION)) / (AE21 * (1 + COMIS_ACCION))) * 100 / $BM$1 * 365)))</f>
        <v>9.8996462804402832</v>
      </c>
      <c r="FQ21" s="289">
        <f>+IF(AE21 = "", "",PutOption($AG$1, $AE21,($BM$1/365), $V$15, $AZ$1, $V$17))</f>
        <v>4.4114706498768257</v>
      </c>
      <c r="FR21" s="279"/>
      <c r="FS21" s="284">
        <f t="shared" si="66"/>
        <v>-11.037894199999974</v>
      </c>
      <c r="FT21" s="284">
        <f t="shared" si="67"/>
        <v>8.2621058000000271</v>
      </c>
      <c r="FU21" s="279"/>
      <c r="FV21" s="279"/>
      <c r="FW21" s="287">
        <f>+IF($FX$1 = 1, IFERROR(VLOOKUP(P21, PreciosPuts, 13, FALSE), 0),
IF($FX$1 = 2, IF(AE21 = "", "",OptionGamma($AG$1,AE21,($BM$1/365), $V$15, $AZ$1, $V$17) * 1000)))</f>
        <v>6946</v>
      </c>
      <c r="FX21" s="287">
        <f>+IF($FX$1=1, IF(AE21 = "", "",IFERROR(VLOOKUP(P21, PreciosPuts, 14, FALSE), 0)),
IF($FX$1=2, IF(AE21 = "", "",Putdelta($AG$1,AE21,($BM$1/365), $V$15, $AZ$1, $V$17) * 100)))</f>
        <v>0</v>
      </c>
      <c r="FY21" s="286">
        <f t="shared" si="69"/>
        <v>5.7765357040023035</v>
      </c>
      <c r="FZ21" s="287">
        <f t="shared" si="70"/>
        <v>4012381.7</v>
      </c>
      <c r="GA21" s="217"/>
      <c r="GB21" s="281">
        <f t="shared" si="130"/>
        <v>1.6037735849056605</v>
      </c>
      <c r="GC21" s="281">
        <f t="shared" si="131"/>
        <v>2.5660377358490565</v>
      </c>
      <c r="GD21" s="217"/>
      <c r="GE21" s="301">
        <f t="shared" si="71"/>
        <v>10.669999999999987</v>
      </c>
      <c r="GF21" s="292">
        <f t="shared" si="72"/>
        <v>220.32</v>
      </c>
      <c r="GG21" s="293">
        <f t="shared" si="73"/>
        <v>-1.4908767123287654</v>
      </c>
      <c r="GH21" s="294">
        <f t="shared" si="124"/>
        <v>1</v>
      </c>
      <c r="GI21" s="294">
        <v>15</v>
      </c>
      <c r="GJ21" s="217"/>
      <c r="GK21" s="307">
        <f t="shared" si="74"/>
        <v>9.6500000000000057</v>
      </c>
      <c r="GL21" s="299">
        <f t="shared" si="75"/>
        <v>219.29999999999998</v>
      </c>
      <c r="GM21" s="308">
        <f t="shared" si="76"/>
        <v>0.3294239231585781</v>
      </c>
      <c r="GN21" s="225">
        <f t="shared" si="121"/>
        <v>5</v>
      </c>
      <c r="GO21" s="225">
        <v>15</v>
      </c>
      <c r="GP21" s="217"/>
      <c r="GQ21" s="217"/>
      <c r="GR21" s="401" t="str">
        <f t="shared" si="132"/>
        <v/>
      </c>
      <c r="GT21" s="282">
        <f t="shared" si="78"/>
        <v>-1.8877412499999977</v>
      </c>
      <c r="GU21" s="282">
        <f t="shared" si="79"/>
        <v>-3.340008863333332</v>
      </c>
      <c r="GV21" s="282">
        <f t="shared" si="80"/>
        <v>-8.139068800000004</v>
      </c>
      <c r="GW21" s="282">
        <f t="shared" si="81"/>
        <v>-8.4736138116666648</v>
      </c>
      <c r="GX21" s="282" t="str">
        <f t="shared" si="82"/>
        <v/>
      </c>
      <c r="GY21" s="282" t="str">
        <f t="shared" si="83"/>
        <v/>
      </c>
      <c r="GZ21" s="282">
        <f t="shared" si="115"/>
        <v>-36.795181133333337</v>
      </c>
      <c r="HA21" s="282">
        <f t="shared" si="84"/>
        <v>-2.2964431800000007</v>
      </c>
      <c r="HB21" s="282">
        <f t="shared" si="116"/>
        <v>-2.4660645474999985</v>
      </c>
      <c r="HC21" s="607">
        <f t="shared" si="85"/>
        <v>-0.52021025000000032</v>
      </c>
      <c r="HD21" s="282">
        <f t="shared" si="86"/>
        <v>-1.4261997500000003</v>
      </c>
      <c r="HE21" s="282">
        <f t="shared" si="87"/>
        <v>-0.86247295000000079</v>
      </c>
      <c r="HF21" s="282">
        <f t="shared" si="88"/>
        <v>-0.77187400000000039</v>
      </c>
      <c r="HG21" s="217"/>
      <c r="HH21" s="282">
        <f t="shared" si="89"/>
        <v>-2.7609462499999999</v>
      </c>
      <c r="HI21" s="282">
        <f t="shared" si="90"/>
        <v>-5.6438953999999981</v>
      </c>
      <c r="HJ21" s="282"/>
      <c r="HK21" s="282"/>
      <c r="HL21" s="217"/>
      <c r="HM21" s="420"/>
      <c r="HN21" s="420"/>
      <c r="HO21" s="420"/>
      <c r="HP21" s="420"/>
      <c r="HQ21" s="282">
        <f t="shared" si="91"/>
        <v>-2.4660645474999985</v>
      </c>
      <c r="HR21" s="420"/>
      <c r="HS21" s="420"/>
      <c r="HT21" s="420"/>
      <c r="HU21" s="420"/>
      <c r="HV21" s="420"/>
      <c r="HW21" s="420"/>
      <c r="HX21" s="425"/>
      <c r="HY21" s="338"/>
      <c r="HZ21" s="338"/>
      <c r="IA21" s="161"/>
      <c r="IB21" s="161"/>
      <c r="IC21" s="162"/>
      <c r="ID21" s="162"/>
      <c r="IE21" s="49"/>
      <c r="IF21" s="55"/>
      <c r="IG21" s="58"/>
      <c r="IH21" s="545">
        <f t="shared" si="117"/>
        <v>-4.6029096112568553</v>
      </c>
      <c r="IJ21" s="146">
        <v>15</v>
      </c>
      <c r="IK21" s="545">
        <f>IF($Y$49 = TRUE,  $AG$1, IF(AE21 = "", "", AE21))</f>
        <v>200</v>
      </c>
      <c r="IL21" s="106">
        <f t="shared" si="93"/>
        <v>-4.6029096112568557E-2</v>
      </c>
      <c r="IM21" s="110">
        <f t="shared" si="128"/>
        <v>200</v>
      </c>
      <c r="IN21" s="111">
        <f t="shared" si="118"/>
        <v>28484.76124999996</v>
      </c>
      <c r="IO21" s="50">
        <f t="shared" si="135"/>
        <v>0</v>
      </c>
      <c r="IP21" s="50">
        <f t="shared" si="135"/>
        <v>0</v>
      </c>
      <c r="IQ21" s="50">
        <f t="shared" si="135"/>
        <v>0</v>
      </c>
      <c r="IR21" s="50">
        <f t="shared" si="135"/>
        <v>0</v>
      </c>
      <c r="IS21" s="50">
        <f t="shared" si="135"/>
        <v>0</v>
      </c>
      <c r="IT21" s="50">
        <f t="shared" si="135"/>
        <v>0</v>
      </c>
      <c r="IU21" s="50">
        <f t="shared" si="135"/>
        <v>0</v>
      </c>
      <c r="IV21" s="50">
        <f t="shared" si="135"/>
        <v>0</v>
      </c>
      <c r="IW21" s="50">
        <f t="shared" si="135"/>
        <v>0</v>
      </c>
      <c r="IX21" s="50">
        <f t="shared" si="135"/>
        <v>0</v>
      </c>
      <c r="IY21" s="50">
        <f t="shared" si="136"/>
        <v>0</v>
      </c>
      <c r="IZ21" s="50">
        <f t="shared" si="136"/>
        <v>0</v>
      </c>
      <c r="JA21" s="50">
        <f t="shared" si="136"/>
        <v>75000</v>
      </c>
      <c r="JB21" s="50">
        <f t="shared" si="136"/>
        <v>0</v>
      </c>
      <c r="JC21" s="50">
        <f t="shared" si="136"/>
        <v>0</v>
      </c>
      <c r="JD21" s="50">
        <f t="shared" si="136"/>
        <v>0</v>
      </c>
      <c r="JE21" s="50">
        <f t="shared" si="136"/>
        <v>0</v>
      </c>
      <c r="JF21" s="50">
        <f t="shared" si="136"/>
        <v>0</v>
      </c>
      <c r="JG21" s="50">
        <f t="shared" si="136"/>
        <v>0</v>
      </c>
      <c r="JH21" s="50">
        <f t="shared" si="136"/>
        <v>0</v>
      </c>
      <c r="JI21" s="50">
        <f t="shared" si="137"/>
        <v>0</v>
      </c>
      <c r="JJ21" s="50">
        <f t="shared" si="137"/>
        <v>0</v>
      </c>
      <c r="JK21" s="50">
        <f t="shared" si="137"/>
        <v>0</v>
      </c>
      <c r="JL21" s="50">
        <f t="shared" si="137"/>
        <v>0</v>
      </c>
      <c r="JM21" s="50">
        <f t="shared" si="137"/>
        <v>0</v>
      </c>
      <c r="JN21" s="50">
        <f t="shared" si="137"/>
        <v>0</v>
      </c>
      <c r="JO21" s="50">
        <f t="shared" si="137"/>
        <v>0</v>
      </c>
      <c r="JP21" s="50">
        <f t="shared" si="137"/>
        <v>0</v>
      </c>
      <c r="JQ21" s="50">
        <f t="shared" si="137"/>
        <v>0</v>
      </c>
      <c r="JR21" s="50">
        <f t="shared" si="137"/>
        <v>0</v>
      </c>
      <c r="JS21" s="50">
        <f t="shared" si="138"/>
        <v>0</v>
      </c>
      <c r="JT21" s="50">
        <f t="shared" si="138"/>
        <v>0</v>
      </c>
      <c r="JU21" s="50" t="str">
        <f t="shared" si="138"/>
        <v/>
      </c>
      <c r="JV21" s="50" t="str">
        <f t="shared" si="138"/>
        <v/>
      </c>
      <c r="JW21" s="50" t="str">
        <f t="shared" si="138"/>
        <v/>
      </c>
      <c r="JX21" s="50" t="str">
        <f t="shared" si="138"/>
        <v/>
      </c>
      <c r="JY21" s="50" t="str">
        <f t="shared" si="138"/>
        <v/>
      </c>
      <c r="JZ21" s="50" t="str">
        <f t="shared" si="138"/>
        <v/>
      </c>
      <c r="KA21" s="50" t="str">
        <f t="shared" si="138"/>
        <v/>
      </c>
      <c r="KB21" s="50" t="str">
        <f t="shared" si="138"/>
        <v/>
      </c>
      <c r="KC21" s="50" t="str">
        <f t="shared" si="138"/>
        <v/>
      </c>
      <c r="KD21" s="50" t="str">
        <f t="shared" si="138"/>
        <v/>
      </c>
    </row>
    <row r="22" spans="2:290" s="144" customFormat="1" ht="15" customHeight="1" thickBot="1">
      <c r="B22" s="146">
        <v>16</v>
      </c>
      <c r="C22" s="121" t="str">
        <f t="shared" si="99"/>
        <v>GFGC210.AB</v>
      </c>
      <c r="D22" s="121" t="str">
        <f t="shared" si="100"/>
        <v>GFGV210.AB</v>
      </c>
      <c r="E22" s="122">
        <f t="shared" si="1"/>
        <v>210</v>
      </c>
      <c r="F22" s="123">
        <f t="shared" si="2"/>
        <v>-50</v>
      </c>
      <c r="G22" s="123" t="str">
        <f t="shared" si="3"/>
        <v/>
      </c>
      <c r="H22" s="124">
        <f t="shared" si="4"/>
        <v>19.45</v>
      </c>
      <c r="I22" s="124">
        <f t="shared" si="5"/>
        <v>8.9</v>
      </c>
      <c r="J22" s="124" t="str">
        <f t="shared" si="6"/>
        <v/>
      </c>
      <c r="K22" s="124" t="str">
        <f t="shared" si="7"/>
        <v/>
      </c>
      <c r="M22" s="158">
        <f t="shared" si="8"/>
        <v>12</v>
      </c>
      <c r="N22" s="121" t="str">
        <f t="shared" si="9"/>
        <v>GFGC210.AB</v>
      </c>
      <c r="O22" s="158">
        <f t="shared" si="10"/>
        <v>12</v>
      </c>
      <c r="P22" s="121" t="str">
        <f t="shared" si="11"/>
        <v>GFGV210.AB</v>
      </c>
      <c r="R22" s="159"/>
      <c r="S22" s="160" t="str">
        <f t="shared" si="12"/>
        <v/>
      </c>
      <c r="U22" s="54"/>
      <c r="V22" s="54"/>
      <c r="X22" s="200">
        <v>16</v>
      </c>
      <c r="Y22" s="546">
        <f t="shared" si="13"/>
        <v>0.16694490818029983</v>
      </c>
      <c r="Z22" s="540">
        <f t="shared" si="14"/>
        <v>78484.761249999952</v>
      </c>
      <c r="AA22" s="179"/>
      <c r="AB22" s="540">
        <f t="shared" si="15"/>
        <v>0</v>
      </c>
      <c r="AC22" s="161"/>
      <c r="AD22" s="200">
        <v>16</v>
      </c>
      <c r="AE22" s="825">
        <f t="shared" si="101"/>
        <v>210</v>
      </c>
      <c r="AF22" s="201">
        <v>210</v>
      </c>
      <c r="AG22" s="161"/>
      <c r="AH22" s="177">
        <f t="shared" si="102"/>
        <v>-50</v>
      </c>
      <c r="AI22" s="166">
        <f t="shared" si="103"/>
        <v>0</v>
      </c>
      <c r="AJ22" s="179"/>
      <c r="AK22" s="177">
        <f t="shared" si="104"/>
        <v>0</v>
      </c>
      <c r="AL22" s="166">
        <f t="shared" si="105"/>
        <v>0</v>
      </c>
      <c r="AM22" s="179"/>
      <c r="AN22" s="177"/>
      <c r="AO22" s="166"/>
      <c r="AP22" s="179"/>
      <c r="AQ22" s="176">
        <f t="shared" si="106"/>
        <v>0</v>
      </c>
      <c r="AR22" s="165">
        <f t="shared" si="107"/>
        <v>0</v>
      </c>
      <c r="AS22" s="179"/>
      <c r="AT22" s="176">
        <f t="shared" si="108"/>
        <v>0</v>
      </c>
      <c r="AU22" s="165">
        <f t="shared" si="109"/>
        <v>0</v>
      </c>
      <c r="AV22" s="179"/>
      <c r="AW22" s="200">
        <f t="shared" si="16"/>
        <v>16</v>
      </c>
      <c r="AX22" s="170">
        <f t="shared" si="17"/>
        <v>210</v>
      </c>
      <c r="AY22" s="164"/>
      <c r="AZ22" s="215">
        <f t="shared" si="18"/>
        <v>19.45</v>
      </c>
      <c r="BA22" s="197"/>
      <c r="BB22" s="228">
        <f t="shared" si="19"/>
        <v>0.24872</v>
      </c>
      <c r="BC22" s="161"/>
      <c r="BD22" s="240">
        <f t="shared" si="20"/>
        <v>19.100000000000001</v>
      </c>
      <c r="BE22" s="196"/>
      <c r="BF22" s="240">
        <f t="shared" si="21"/>
        <v>19.45</v>
      </c>
      <c r="BG22" s="196"/>
      <c r="BH22" s="189"/>
      <c r="BI22" s="227">
        <f t="shared" si="22"/>
        <v>8.9</v>
      </c>
      <c r="BJ22" s="197"/>
      <c r="BK22" s="167">
        <f t="shared" si="23"/>
        <v>-0.25833</v>
      </c>
      <c r="BL22" s="161"/>
      <c r="BM22" s="240">
        <f t="shared" si="24"/>
        <v>8.5</v>
      </c>
      <c r="BN22" s="196"/>
      <c r="BO22" s="240">
        <f t="shared" si="25"/>
        <v>8.9</v>
      </c>
      <c r="BP22" s="196"/>
      <c r="BQ22" s="161"/>
      <c r="BR22" s="381"/>
      <c r="BS22" s="392">
        <f t="shared" si="122"/>
        <v>18419037.5</v>
      </c>
      <c r="BT22" s="376"/>
      <c r="BU22" s="393">
        <f>+IF(OR(CF22="", CB23="", CF22=0, CB23=0), "", IF($BU$1=FALSE, CF22-CB23, -CF22+CB23))</f>
        <v>4.75</v>
      </c>
      <c r="BV22" s="310"/>
      <c r="BW22" s="311">
        <f t="shared" si="110"/>
        <v>229.1</v>
      </c>
      <c r="BX22" s="372"/>
      <c r="BY22" s="440"/>
      <c r="BZ22" s="432">
        <v>6.5330000000000004</v>
      </c>
      <c r="CA22" s="372"/>
      <c r="CB22" s="572">
        <f>+IF($BU$1=FALSE, IF(BD22=0, "", BD22), IF(BM22=0,"", BM22))</f>
        <v>19.100000000000001</v>
      </c>
      <c r="CC22" s="567">
        <f t="shared" si="29"/>
        <v>70</v>
      </c>
      <c r="CD22" s="814">
        <f>+AE22</f>
        <v>210</v>
      </c>
      <c r="CE22" s="569">
        <f t="shared" si="31"/>
        <v>21</v>
      </c>
      <c r="CF22" s="574">
        <f t="shared" si="141"/>
        <v>19.45</v>
      </c>
      <c r="CG22" s="372"/>
      <c r="CH22" s="435">
        <v>19.399999999999999</v>
      </c>
      <c r="CI22" s="436"/>
      <c r="CJ22" s="372"/>
      <c r="CK22" s="391">
        <f t="shared" si="111"/>
        <v>229.45</v>
      </c>
      <c r="CL22" s="396">
        <f t="shared" si="140"/>
        <v>4.3200000000000021</v>
      </c>
      <c r="CM22" s="370"/>
      <c r="CN22" s="161"/>
      <c r="CO22" s="161"/>
      <c r="CP22" s="161"/>
      <c r="CQ22" s="161"/>
      <c r="CR22" s="161"/>
      <c r="CS22" s="161"/>
      <c r="CT22" s="161"/>
      <c r="CU22" s="161"/>
      <c r="CV22" s="161"/>
      <c r="CW22" s="161"/>
      <c r="CX22" s="161"/>
      <c r="CY22" s="161"/>
      <c r="CZ22" s="161"/>
      <c r="DA22" s="161"/>
      <c r="DB22" s="161"/>
      <c r="DC22" s="161"/>
      <c r="DD22" s="161"/>
      <c r="DE22" s="161"/>
      <c r="DF22" s="161"/>
      <c r="DG22" s="161"/>
      <c r="DH22" s="161"/>
      <c r="DI22" s="161"/>
      <c r="DJ22" s="214"/>
      <c r="DK22" s="242">
        <f t="shared" si="123"/>
        <v>0</v>
      </c>
      <c r="DL22" s="217"/>
      <c r="DM22" s="490">
        <f t="shared" si="34"/>
        <v>-97250</v>
      </c>
      <c r="DN22" s="242">
        <f t="shared" si="35"/>
        <v>-97250</v>
      </c>
      <c r="DO22" s="243">
        <f t="shared" si="36"/>
        <v>0</v>
      </c>
      <c r="DP22" s="217"/>
      <c r="DQ22" s="252">
        <f t="shared" si="120"/>
        <v>0</v>
      </c>
      <c r="DR22" s="217"/>
      <c r="DS22" s="242">
        <f t="shared" si="38"/>
        <v>0</v>
      </c>
      <c r="DT22" s="242">
        <f t="shared" si="39"/>
        <v>0</v>
      </c>
      <c r="DU22" s="244">
        <f t="shared" si="40"/>
        <v>0</v>
      </c>
      <c r="DV22" s="217"/>
      <c r="DW22" s="428">
        <f>+IF(OR(AE22 = "", AND(AH22 = "", AK22 = "")), "",IFERROR(+AH22 * CallDelta($AG$1,AE22,($BM$1/365), $V$15, $AZ$1, $V$17), 0) + IFERROR(AK22 * Putdelta($AG$1,AE22,($BM$1/365), $V$15, $AZ$1, $V$17), 0))</f>
        <v>-32.874713017475642</v>
      </c>
      <c r="DX22" s="245">
        <f>+IF(OR(AE22 = "", AND(AH22 = "", AK22 = "")), "",IFERROR(+AH22 * OptionGamma($AG$1,AE22,($BM$1/365), $V$15, $AZ$1, $V$17), 0) + IFERROR(AK22 * OptionGamma($AG$1,AE22,($BM$1/365), $V$15, $AZ$1, $V$17), 0))</f>
        <v>-0.59912295519888037</v>
      </c>
      <c r="DY22" s="161"/>
      <c r="DZ22" s="267">
        <f t="shared" si="127"/>
        <v>0</v>
      </c>
      <c r="EA22" s="217"/>
      <c r="EB22" s="267">
        <f t="shared" si="42"/>
        <v>0</v>
      </c>
      <c r="EC22" s="267">
        <f t="shared" si="43"/>
        <v>0</v>
      </c>
      <c r="ED22" s="247">
        <f t="shared" si="44"/>
        <v>0</v>
      </c>
      <c r="EE22" s="217"/>
      <c r="EF22" s="267">
        <f t="shared" si="129"/>
        <v>0</v>
      </c>
      <c r="EG22" s="217"/>
      <c r="EH22" s="267">
        <f t="shared" si="46"/>
        <v>0</v>
      </c>
      <c r="EI22" s="246">
        <f t="shared" si="47"/>
        <v>0</v>
      </c>
      <c r="EJ22" s="248">
        <f t="shared" si="48"/>
        <v>0</v>
      </c>
      <c r="EK22" s="217"/>
      <c r="EL22" s="251">
        <f>+IF(OR(AE22 = "", AND(AQ22 = "", AT22 = "")), "",IFERROR(+AQ22 * CallDelta($AG$1,AE22,($BM$1/365), $V$15, $AZ$1, $V$17), 0) + IFERROR(AT22 * Putdelta($AG$1,AE22,($BM$1/365), $V$15, $AZ$1, $V$17), 0))</f>
        <v>0</v>
      </c>
      <c r="EM22" s="249">
        <f>+IF(OR(AE22 = "", AND(AQ22 = "", AT22 = "")), "",IFERROR(+AQ22 * OptionGamma($AG$1,AE22,($BM$1/365), $V$15, $AZ$1, $V$17), 0) + IFERROR(AT22 * OptionGamma($AG$1,AE22,($BM$1/365), $V$15, $AZ$1, $V$17), 0))</f>
        <v>0</v>
      </c>
      <c r="EN22" s="451">
        <f t="shared" si="49"/>
        <v>44.445037841796875</v>
      </c>
      <c r="EO22" s="418">
        <f>+IF(AE22 = "", "",ImpliedCallVolatility($AG$1, $AE22,($BM$1/365), $V$15, $AZ22, $V$17) * 100)</f>
        <v>45.642852783203125</v>
      </c>
      <c r="EP22" s="418">
        <f>+IF(AE22 = "", "",ImpliedCallVolatility($AG$1, $AE22,($BM$1/365), $V$15, BD22, $V$17) * 100)</f>
        <v>44.445037841796875</v>
      </c>
      <c r="EQ22" s="418">
        <f>+IF(AE22 = "", "",ImpliedCallVolatility($AG$1, $AE22,($BM$1/365), $V$15, BF22, $V$17) * 100)</f>
        <v>45.642852783203125</v>
      </c>
      <c r="ER22" s="411">
        <f t="shared" si="50"/>
        <v>19.45</v>
      </c>
      <c r="ES22" s="411">
        <f t="shared" si="51"/>
        <v>19.100000000000001</v>
      </c>
      <c r="ET22" s="411">
        <f t="shared" si="52"/>
        <v>19.45</v>
      </c>
      <c r="EU22" s="416">
        <f>IF($FC$1 = 1,
IF(AE22 = "", "",OptionGamma($AG$1,AE22,($BM$1/365), $V$15, $AZ$1, $V$17) * 1000),
IF($FC$1 = 2, IF(OR(AE22 = "", BD22 =  0), "",IF(AE22 &lt; $AG$1, (((AE22 * (1 - COMIS_ACCION)) / (($AG$1 * (1 + COMIS_ACCION)) - (BD22 * (1 - COMIS_OPCION)))) - 1) * 100 / $BM$1 * 365,((($AG$1 * (1 - COMIS_ACCION)) / (($AG$1 * (1 + COMIS_ACCION)) - (BD22 * (1 - COMIS_OPCION)))) - 1) * 100 / $BM$1 * 365))))</f>
        <v>11.982459103977607</v>
      </c>
      <c r="EV22" s="276">
        <f>+IF(AE22 = "", "",CallOption($AG$1, $AE22,($BM$1/365), $V$15, $AZ$1, $V$17))</f>
        <v>17.560619957362505</v>
      </c>
      <c r="EW22" s="271">
        <f t="shared" si="53"/>
        <v>-19.579439750000002</v>
      </c>
      <c r="EX22" s="272">
        <f t="shared" si="54"/>
        <v>-1.7717741999999634</v>
      </c>
      <c r="EY22" s="274">
        <f t="shared" si="55"/>
        <v>-1.0717741999999635</v>
      </c>
      <c r="EZ22" s="272">
        <f t="shared" si="56"/>
        <v>-210.35574</v>
      </c>
      <c r="FA22" s="272">
        <f t="shared" si="57"/>
        <v>209.64426</v>
      </c>
      <c r="FB22" s="530">
        <f>+IF($FC$1 = 1, IF(AE22 = "", "",IFERROR( VLOOKUP(N22, PreciosCalls, 13, FALSE), 0)),
IF($FC$1 = 2,  IF(AE22 = "", "",OptionGamma($AG$1,AE22,($BM$1/365), $V$15, $AZ$1, $V$17) * 1000)))</f>
        <v>10076</v>
      </c>
      <c r="FC22" s="530">
        <f>IF($FC$1 = 1, IF(AE22 = "", "",IFERROR( VLOOKUP(N22, PreciosCalls, 14, FALSE), 0)),
IF($FC$1 = 2, IF(AE22 = "", "",CallDelta($AG$1,AE22,($BM$1/365), $V$15, $AZ$1, $V$17) * 100)))</f>
        <v>0</v>
      </c>
      <c r="FD22" s="531">
        <f t="shared" si="58"/>
        <v>18.280108674077013</v>
      </c>
      <c r="FE22" s="530">
        <f t="shared" si="59"/>
        <v>18419037.5</v>
      </c>
      <c r="FF22" s="217"/>
      <c r="FG22" s="273">
        <f t="shared" si="60"/>
        <v>1.3159675236806496</v>
      </c>
      <c r="FH22" s="273">
        <f t="shared" si="61"/>
        <v>1.8349056603773586</v>
      </c>
      <c r="FI22" s="451">
        <f t="shared" si="62"/>
        <v>43.590545654296875</v>
      </c>
      <c r="FJ22" s="419">
        <f>+IF(AE22 = "", "",ImpliedPutVolatility($AG$1, $AE22,($BM$1/365), $V$15, BI22, $V$17) * 100)</f>
        <v>43.590545654296875</v>
      </c>
      <c r="FK22" s="419">
        <f>+IF(AE22 = "", "",ImpliedPutVolatility($AG$1, $AE22,($BM$1/365), $V$15, BM22, $V$17) * 100)</f>
        <v>42.209625244140625</v>
      </c>
      <c r="FL22" s="419">
        <f>+IF(AE22 = "", "",ImpliedPutVolatility($AG$1, $AE22,($BM$1/365), $V$15, BO22, $V$17) * 100)</f>
        <v>43.590545654296875</v>
      </c>
      <c r="FM22" s="415">
        <f t="shared" si="63"/>
        <v>8.550000000000006</v>
      </c>
      <c r="FN22" s="415">
        <f t="shared" si="64"/>
        <v>8.1500000000000057</v>
      </c>
      <c r="FO22" s="415">
        <f t="shared" si="65"/>
        <v>8.550000000000006</v>
      </c>
      <c r="FP22" s="417">
        <f>IF($FX$1=1, IF(AE22 = "", "",OptionGamma($AG$1,AE22,($BM$1/365), $V$15, $AZ$1, $V$17) * 1000),
IF($FX$1 = 2, IF(OR(AE22 = "", BM22 =  0), "",((BM22 * (1 - COMIS_OPCION)) / (AE22 * (1 + COMIS_ACCION))) * 100 / $BM$1 * 365)))</f>
        <v>11.982459103977607</v>
      </c>
      <c r="FQ22" s="289">
        <f>+IF(AE22 = "", "",PutOption($AG$1, $AE22,($BM$1/365), $V$15, $AZ$1, $V$17))</f>
        <v>7.6086070779142574</v>
      </c>
      <c r="FR22" s="279"/>
      <c r="FS22" s="284">
        <f t="shared" si="66"/>
        <v>-1.0717741999999635</v>
      </c>
      <c r="FT22" s="284">
        <f t="shared" si="67"/>
        <v>-1.7717741999999634</v>
      </c>
      <c r="FU22" s="279"/>
      <c r="FV22" s="279"/>
      <c r="FW22" s="287">
        <f>+IF($FX$1 = 1, IFERROR(VLOOKUP(P22, PreciosPuts, 13, FALSE), 0),
IF($FX$1 = 2, IF(AE22 = "", "",OptionGamma($AG$1,AE22,($BM$1/365), $V$15, $AZ$1, $V$17) * 1000)))</f>
        <v>2874</v>
      </c>
      <c r="FX22" s="287">
        <f>+IF($FX$1=1, IF(AE22 = "", "",IFERROR(VLOOKUP(P22, PreciosPuts, 14, FALSE), 0)),
IF($FX$1=2, IF(AE22 = "", "",Putdelta($AG$1,AE22,($BM$1/365), $V$15, $AZ$1, $V$17) * 100)))</f>
        <v>0</v>
      </c>
      <c r="FY22" s="286">
        <f t="shared" si="69"/>
        <v>9.6311955462769667</v>
      </c>
      <c r="FZ22" s="287">
        <f t="shared" si="70"/>
        <v>2768005.6</v>
      </c>
      <c r="GA22" s="217"/>
      <c r="GB22" s="281">
        <f t="shared" si="130"/>
        <v>1.5280898876404494</v>
      </c>
      <c r="GC22" s="281">
        <f t="shared" si="131"/>
        <v>2.2473033707865171</v>
      </c>
      <c r="GD22" s="217"/>
      <c r="GE22" s="301">
        <f t="shared" si="71"/>
        <v>11.299999999999983</v>
      </c>
      <c r="GF22" s="292">
        <f t="shared" si="72"/>
        <v>220.95</v>
      </c>
      <c r="GG22" s="293">
        <f t="shared" si="73"/>
        <v>-1.5789041095890386</v>
      </c>
      <c r="GH22" s="294">
        <f t="shared" si="124"/>
        <v>3</v>
      </c>
      <c r="GI22" s="294">
        <v>16</v>
      </c>
      <c r="GJ22" s="217"/>
      <c r="GK22" s="305">
        <f t="shared" si="74"/>
        <v>10.549999999999983</v>
      </c>
      <c r="GL22" s="299">
        <f t="shared" si="75"/>
        <v>220.2</v>
      </c>
      <c r="GM22" s="300">
        <f t="shared" si="76"/>
        <v>0.36014739785730604</v>
      </c>
      <c r="GN22" s="225">
        <f t="shared" si="121"/>
        <v>2</v>
      </c>
      <c r="GO22" s="225">
        <v>16</v>
      </c>
      <c r="GP22" s="217"/>
      <c r="GQ22" s="217"/>
      <c r="GR22" s="401" t="str">
        <f t="shared" si="132"/>
        <v/>
      </c>
      <c r="GT22" s="282">
        <f t="shared" si="78"/>
        <v>-1.2357096250000001</v>
      </c>
      <c r="GU22" s="282">
        <f t="shared" si="79"/>
        <v>-2.5695275000000031</v>
      </c>
      <c r="GV22" s="282">
        <f t="shared" si="80"/>
        <v>-4.540759321000003</v>
      </c>
      <c r="GW22" s="282">
        <f t="shared" si="81"/>
        <v>-9.8693249500000064</v>
      </c>
      <c r="GX22" s="282">
        <f t="shared" si="82"/>
        <v>-10.949930375000003</v>
      </c>
      <c r="GY22" s="282" t="str">
        <f t="shared" si="83"/>
        <v/>
      </c>
      <c r="GZ22" s="282" t="str">
        <f t="shared" si="115"/>
        <v/>
      </c>
      <c r="HA22" s="282">
        <f t="shared" si="84"/>
        <v>-1.6098497333333346</v>
      </c>
      <c r="HB22" s="282">
        <f t="shared" si="116"/>
        <v>-1.8326560399999989</v>
      </c>
      <c r="HC22" s="607">
        <f t="shared" si="85"/>
        <v>-1.2707882500000007</v>
      </c>
      <c r="HD22" s="282">
        <f t="shared" si="86"/>
        <v>-3.6651890714285713</v>
      </c>
      <c r="HE22" s="282">
        <f t="shared" si="87"/>
        <v>-2.8311034999999993</v>
      </c>
      <c r="HF22" s="282">
        <f t="shared" si="88"/>
        <v>-1.5425851000000019</v>
      </c>
      <c r="HG22" s="217"/>
      <c r="HH22" s="282">
        <f t="shared" si="89"/>
        <v>-2.7973104000000006</v>
      </c>
      <c r="HI22" s="282">
        <f t="shared" si="90"/>
        <v>-5.5401288333333323</v>
      </c>
      <c r="HJ22" s="282"/>
      <c r="HK22" s="282"/>
      <c r="HL22" s="217"/>
      <c r="HM22" s="420"/>
      <c r="HN22" s="420"/>
      <c r="HO22" s="420"/>
      <c r="HP22" s="420"/>
      <c r="HQ22" s="282">
        <f t="shared" si="91"/>
        <v>-1.8326560399999998</v>
      </c>
      <c r="HR22" s="420"/>
      <c r="HS22" s="420"/>
      <c r="HT22" s="420"/>
      <c r="HU22" s="420"/>
      <c r="HV22" s="420"/>
      <c r="HW22" s="420"/>
      <c r="HX22" s="425"/>
      <c r="HY22" s="338"/>
      <c r="HZ22" s="338"/>
      <c r="IA22" s="161"/>
      <c r="IB22" s="161"/>
      <c r="IC22" s="162"/>
      <c r="ID22" s="162"/>
      <c r="IE22" s="49"/>
      <c r="IF22" s="55"/>
      <c r="IG22" s="58"/>
      <c r="IH22" s="545">
        <f t="shared" si="117"/>
        <v>0.16694490818029983</v>
      </c>
      <c r="IJ22" s="146">
        <v>16</v>
      </c>
      <c r="IK22" s="545">
        <f t="shared" ref="IK22:IK47" si="142">IF($Y$49 = TRUE,  (IK21 * (1 + $DE$1)), IF(AE22 = "", "", AE22))</f>
        <v>210</v>
      </c>
      <c r="IL22" s="106">
        <f t="shared" si="93"/>
        <v>1.6694490818029983E-3</v>
      </c>
      <c r="IM22" s="110">
        <f t="shared" si="128"/>
        <v>210</v>
      </c>
      <c r="IN22" s="111">
        <f t="shared" si="118"/>
        <v>78484.761249999952</v>
      </c>
      <c r="IO22" s="50">
        <f t="shared" si="135"/>
        <v>0</v>
      </c>
      <c r="IP22" s="50">
        <f t="shared" si="135"/>
        <v>0</v>
      </c>
      <c r="IQ22" s="50">
        <f t="shared" si="135"/>
        <v>0</v>
      </c>
      <c r="IR22" s="50">
        <f t="shared" si="135"/>
        <v>0</v>
      </c>
      <c r="IS22" s="50">
        <f t="shared" si="135"/>
        <v>0</v>
      </c>
      <c r="IT22" s="50">
        <f t="shared" si="135"/>
        <v>0</v>
      </c>
      <c r="IU22" s="50">
        <f t="shared" si="135"/>
        <v>0</v>
      </c>
      <c r="IV22" s="50">
        <f t="shared" si="135"/>
        <v>0</v>
      </c>
      <c r="IW22" s="50">
        <f t="shared" si="135"/>
        <v>0</v>
      </c>
      <c r="IX22" s="50">
        <f t="shared" si="135"/>
        <v>0</v>
      </c>
      <c r="IY22" s="50">
        <f t="shared" si="136"/>
        <v>0</v>
      </c>
      <c r="IZ22" s="50">
        <f t="shared" si="136"/>
        <v>0</v>
      </c>
      <c r="JA22" s="50">
        <f t="shared" si="136"/>
        <v>125000</v>
      </c>
      <c r="JB22" s="50">
        <f t="shared" si="136"/>
        <v>0</v>
      </c>
      <c r="JC22" s="50">
        <f t="shared" si="136"/>
        <v>0</v>
      </c>
      <c r="JD22" s="50">
        <f t="shared" si="136"/>
        <v>0</v>
      </c>
      <c r="JE22" s="50">
        <f t="shared" si="136"/>
        <v>0</v>
      </c>
      <c r="JF22" s="50">
        <f t="shared" si="136"/>
        <v>0</v>
      </c>
      <c r="JG22" s="50">
        <f t="shared" si="136"/>
        <v>0</v>
      </c>
      <c r="JH22" s="50">
        <f t="shared" si="136"/>
        <v>0</v>
      </c>
      <c r="JI22" s="50">
        <f t="shared" si="137"/>
        <v>0</v>
      </c>
      <c r="JJ22" s="50">
        <f t="shared" si="137"/>
        <v>0</v>
      </c>
      <c r="JK22" s="50">
        <f t="shared" si="137"/>
        <v>0</v>
      </c>
      <c r="JL22" s="50">
        <f t="shared" si="137"/>
        <v>0</v>
      </c>
      <c r="JM22" s="50">
        <f t="shared" si="137"/>
        <v>0</v>
      </c>
      <c r="JN22" s="50">
        <f t="shared" si="137"/>
        <v>0</v>
      </c>
      <c r="JO22" s="50">
        <f t="shared" si="137"/>
        <v>0</v>
      </c>
      <c r="JP22" s="50">
        <f t="shared" si="137"/>
        <v>0</v>
      </c>
      <c r="JQ22" s="50">
        <f t="shared" si="137"/>
        <v>0</v>
      </c>
      <c r="JR22" s="50">
        <f t="shared" si="137"/>
        <v>0</v>
      </c>
      <c r="JS22" s="50">
        <f t="shared" si="138"/>
        <v>0</v>
      </c>
      <c r="JT22" s="50">
        <f t="shared" si="138"/>
        <v>0</v>
      </c>
      <c r="JU22" s="50" t="str">
        <f t="shared" si="138"/>
        <v/>
      </c>
      <c r="JV22" s="50" t="str">
        <f t="shared" si="138"/>
        <v/>
      </c>
      <c r="JW22" s="50" t="str">
        <f t="shared" si="138"/>
        <v/>
      </c>
      <c r="JX22" s="50" t="str">
        <f t="shared" si="138"/>
        <v/>
      </c>
      <c r="JY22" s="50" t="str">
        <f t="shared" si="138"/>
        <v/>
      </c>
      <c r="JZ22" s="50" t="str">
        <f t="shared" si="138"/>
        <v/>
      </c>
      <c r="KA22" s="50" t="str">
        <f t="shared" si="138"/>
        <v/>
      </c>
      <c r="KB22" s="50" t="str">
        <f t="shared" si="138"/>
        <v/>
      </c>
      <c r="KC22" s="50" t="str">
        <f t="shared" si="138"/>
        <v/>
      </c>
      <c r="KD22" s="50" t="str">
        <f t="shared" si="138"/>
        <v/>
      </c>
    </row>
    <row r="23" spans="2:290" s="144" customFormat="1" ht="15" customHeight="1" thickBot="1">
      <c r="B23" s="146">
        <v>17</v>
      </c>
      <c r="C23" s="121" t="str">
        <f t="shared" si="99"/>
        <v>GFGC220.AB</v>
      </c>
      <c r="D23" s="121" t="str">
        <f t="shared" si="100"/>
        <v>GFGV220.AB</v>
      </c>
      <c r="E23" s="122">
        <f t="shared" si="1"/>
        <v>220</v>
      </c>
      <c r="F23" s="123" t="str">
        <f t="shared" si="2"/>
        <v/>
      </c>
      <c r="G23" s="123" t="str">
        <f t="shared" si="3"/>
        <v/>
      </c>
      <c r="H23" s="124">
        <f t="shared" si="4"/>
        <v>14.78</v>
      </c>
      <c r="I23" s="124">
        <f t="shared" si="5"/>
        <v>13.9</v>
      </c>
      <c r="J23" s="124" t="str">
        <f t="shared" si="6"/>
        <v/>
      </c>
      <c r="K23" s="124" t="str">
        <f t="shared" si="7"/>
        <v/>
      </c>
      <c r="M23" s="158">
        <f t="shared" si="8"/>
        <v>12</v>
      </c>
      <c r="N23" s="121" t="str">
        <f t="shared" si="9"/>
        <v>GFGC220.AB</v>
      </c>
      <c r="O23" s="158">
        <f t="shared" si="10"/>
        <v>12</v>
      </c>
      <c r="P23" s="121" t="str">
        <f t="shared" si="11"/>
        <v>GFGV220.AB</v>
      </c>
      <c r="R23" s="159"/>
      <c r="S23" s="160" t="str">
        <f t="shared" si="12"/>
        <v/>
      </c>
      <c r="U23" s="56" t="s">
        <v>205</v>
      </c>
      <c r="V23" s="56" t="s">
        <v>12</v>
      </c>
      <c r="X23" s="200">
        <v>17</v>
      </c>
      <c r="Y23" s="546">
        <f t="shared" si="13"/>
        <v>4.9367994276174443</v>
      </c>
      <c r="Z23" s="540">
        <f t="shared" si="14"/>
        <v>78484.761249999952</v>
      </c>
      <c r="AA23" s="179"/>
      <c r="AB23" s="540">
        <f t="shared" si="15"/>
        <v>0</v>
      </c>
      <c r="AC23" s="161"/>
      <c r="AD23" s="200">
        <v>17</v>
      </c>
      <c r="AE23" s="825">
        <f t="shared" si="101"/>
        <v>220</v>
      </c>
      <c r="AF23" s="201">
        <v>220</v>
      </c>
      <c r="AG23" s="161"/>
      <c r="AH23" s="177">
        <f t="shared" si="102"/>
        <v>0</v>
      </c>
      <c r="AI23" s="166">
        <f t="shared" si="103"/>
        <v>0</v>
      </c>
      <c r="AJ23" s="179"/>
      <c r="AK23" s="177">
        <f t="shared" si="104"/>
        <v>0</v>
      </c>
      <c r="AL23" s="166">
        <f t="shared" si="105"/>
        <v>0</v>
      </c>
      <c r="AM23" s="179"/>
      <c r="AN23" s="177"/>
      <c r="AO23" s="166"/>
      <c r="AP23" s="179"/>
      <c r="AQ23" s="176">
        <f t="shared" si="106"/>
        <v>0</v>
      </c>
      <c r="AR23" s="165">
        <f t="shared" si="107"/>
        <v>0</v>
      </c>
      <c r="AS23" s="179"/>
      <c r="AT23" s="176">
        <f t="shared" si="108"/>
        <v>0</v>
      </c>
      <c r="AU23" s="165">
        <f t="shared" si="109"/>
        <v>0</v>
      </c>
      <c r="AV23" s="179"/>
      <c r="AW23" s="200">
        <f t="shared" si="16"/>
        <v>17</v>
      </c>
      <c r="AX23" s="170">
        <f t="shared" si="17"/>
        <v>220</v>
      </c>
      <c r="AY23" s="164"/>
      <c r="AZ23" s="215">
        <f t="shared" si="18"/>
        <v>14.78</v>
      </c>
      <c r="BA23" s="197"/>
      <c r="BB23" s="228">
        <f t="shared" si="19"/>
        <v>0.29388000000000003</v>
      </c>
      <c r="BC23" s="161"/>
      <c r="BD23" s="240">
        <f t="shared" si="20"/>
        <v>14.7</v>
      </c>
      <c r="BE23" s="196"/>
      <c r="BF23" s="240">
        <f t="shared" si="21"/>
        <v>14.78</v>
      </c>
      <c r="BG23" s="196"/>
      <c r="BH23" s="189"/>
      <c r="BI23" s="227">
        <f t="shared" si="22"/>
        <v>13.9</v>
      </c>
      <c r="BJ23" s="197"/>
      <c r="BK23" s="167">
        <f t="shared" si="23"/>
        <v>-0.24998999999999999</v>
      </c>
      <c r="BL23" s="161"/>
      <c r="BM23" s="240">
        <f t="shared" si="24"/>
        <v>13.6</v>
      </c>
      <c r="BN23" s="196"/>
      <c r="BO23" s="240">
        <f t="shared" si="25"/>
        <v>14</v>
      </c>
      <c r="BP23" s="196"/>
      <c r="BQ23" s="161"/>
      <c r="BR23" s="381"/>
      <c r="BS23" s="392">
        <f t="shared" si="122"/>
        <v>33979404</v>
      </c>
      <c r="BT23" s="376"/>
      <c r="BU23" s="393">
        <f t="shared" si="139"/>
        <v>4.2799999999999994</v>
      </c>
      <c r="BV23" s="310"/>
      <c r="BW23" s="311">
        <f t="shared" si="110"/>
        <v>234.7</v>
      </c>
      <c r="BX23" s="372"/>
      <c r="BY23" s="440"/>
      <c r="BZ23" s="432">
        <v>11.433</v>
      </c>
      <c r="CA23" s="372"/>
      <c r="CB23" s="572">
        <f>+IF($BU$1=FALSE, IF(BD23=0, "", BD23), IF(BM23=0,"", BM23))</f>
        <v>14.7</v>
      </c>
      <c r="CC23" s="567">
        <f>+IF(CD23 &lt;&gt; "", IF($BU$1=FALSE, VLOOKUP(N23, PreciosCalls, 2, FALSE), VLOOKUP(P23, PreciosPuts, 2, FALSE)), "")</f>
        <v>5</v>
      </c>
      <c r="CD23" s="814">
        <f t="shared" si="30"/>
        <v>220</v>
      </c>
      <c r="CE23" s="569">
        <f t="shared" si="31"/>
        <v>75</v>
      </c>
      <c r="CF23" s="574">
        <f t="shared" si="141"/>
        <v>14.78</v>
      </c>
      <c r="CG23" s="372">
        <v>45</v>
      </c>
      <c r="CH23" s="435">
        <v>16.437000000000001</v>
      </c>
      <c r="CI23" s="436"/>
      <c r="CJ23" s="372"/>
      <c r="CK23" s="391">
        <f t="shared" si="111"/>
        <v>234.78</v>
      </c>
      <c r="CL23" s="396">
        <f t="shared" si="140"/>
        <v>4.0999999999999996</v>
      </c>
      <c r="CM23" s="370"/>
      <c r="CN23" s="161"/>
      <c r="CO23" s="161"/>
      <c r="CP23" s="161"/>
      <c r="CQ23" s="161"/>
      <c r="CR23" s="161"/>
      <c r="CS23" s="161"/>
      <c r="CT23" s="161"/>
      <c r="CU23" s="161"/>
      <c r="CV23" s="161"/>
      <c r="CW23" s="161"/>
      <c r="CX23" s="161"/>
      <c r="CY23" s="161"/>
      <c r="CZ23" s="161"/>
      <c r="DA23" s="161"/>
      <c r="DB23" s="161"/>
      <c r="DC23" s="161"/>
      <c r="DD23" s="161"/>
      <c r="DE23" s="161"/>
      <c r="DF23" s="161"/>
      <c r="DG23" s="161"/>
      <c r="DH23" s="161"/>
      <c r="DI23" s="161"/>
      <c r="DJ23" s="161"/>
      <c r="DK23" s="242">
        <f t="shared" si="123"/>
        <v>0</v>
      </c>
      <c r="DL23" s="217"/>
      <c r="DM23" s="490">
        <f t="shared" si="34"/>
        <v>0</v>
      </c>
      <c r="DN23" s="242">
        <f t="shared" si="35"/>
        <v>0</v>
      </c>
      <c r="DO23" s="243">
        <f t="shared" si="36"/>
        <v>0</v>
      </c>
      <c r="DP23" s="217"/>
      <c r="DQ23" s="252">
        <f t="shared" si="120"/>
        <v>0</v>
      </c>
      <c r="DR23" s="217"/>
      <c r="DS23" s="242">
        <f t="shared" si="38"/>
        <v>0</v>
      </c>
      <c r="DT23" s="242">
        <f t="shared" si="39"/>
        <v>0</v>
      </c>
      <c r="DU23" s="244">
        <f t="shared" si="40"/>
        <v>0</v>
      </c>
      <c r="DV23" s="217"/>
      <c r="DW23" s="428">
        <f>+IF(OR(AE23 = "", AND(AH23 = "", AK23 = "")), "",IFERROR(+AH23 * CallDelta($AG$1,AE23,($BM$1/365), $V$15, $AZ$1, $V$17), 0) + IFERROR(AK23 * Putdelta($AG$1,AE23,($BM$1/365), $V$15, $AZ$1, $V$17), 0))</f>
        <v>0</v>
      </c>
      <c r="DX23" s="245">
        <f>+IF(OR(AE23 = "", AND(AH23 = "", AK23 = "")), "",IFERROR(+AH23 * OptionGamma($AG$1,AE23,($BM$1/365), $V$15, $AZ$1, $V$17), 0) + IFERROR(AK23 * OptionGamma($AG$1,AE23,($BM$1/365), $V$15, $AZ$1, $V$17), 0))</f>
        <v>0</v>
      </c>
      <c r="DY23" s="161"/>
      <c r="DZ23" s="267">
        <f t="shared" si="127"/>
        <v>0</v>
      </c>
      <c r="EA23" s="217"/>
      <c r="EB23" s="267">
        <f t="shared" si="42"/>
        <v>0</v>
      </c>
      <c r="EC23" s="267">
        <f t="shared" si="43"/>
        <v>0</v>
      </c>
      <c r="ED23" s="247">
        <f t="shared" si="44"/>
        <v>0</v>
      </c>
      <c r="EE23" s="217"/>
      <c r="EF23" s="267">
        <f t="shared" si="129"/>
        <v>0</v>
      </c>
      <c r="EG23" s="217"/>
      <c r="EH23" s="267">
        <f t="shared" si="46"/>
        <v>0</v>
      </c>
      <c r="EI23" s="246">
        <f t="shared" si="47"/>
        <v>0</v>
      </c>
      <c r="EJ23" s="248">
        <f t="shared" si="48"/>
        <v>0</v>
      </c>
      <c r="EK23" s="217"/>
      <c r="EL23" s="251">
        <f>+IF(OR(AE23 = "", AND(AQ23 = "", AT23 = "")), "",IFERROR(+AQ23 * CallDelta($AG$1,AE23,($BM$1/365), $V$15, $AZ$1, $V$17), 0) + IFERROR(AT23 * Putdelta($AG$1,AE23,($BM$1/365), $V$15, $AZ$1, $V$17), 0))</f>
        <v>0</v>
      </c>
      <c r="EM23" s="249">
        <f>+IF(OR(AE23 = "", AND(AQ23 = "", AT23 = "")), "",IFERROR(+AQ23 * OptionGamma($AG$1,AE23,($BM$1/365), $V$15, $AZ$1, $V$17), 0) + IFERROR(AT23 * OptionGamma($AG$1,AE23,($BM$1/365), $V$15, $AZ$1, $V$17), 0))</f>
        <v>0</v>
      </c>
      <c r="EN23" s="451">
        <f t="shared" si="49"/>
        <v>46.413421630859375</v>
      </c>
      <c r="EO23" s="418">
        <f>+IF(AE23 = "", "",ImpliedCallVolatility($AG$1, $AE23,($BM$1/365), $V$15, $AZ23, $V$17) * 100)</f>
        <v>46.672821044921875</v>
      </c>
      <c r="EP23" s="418">
        <f>+IF(AE23 = "", "",ImpliedCallVolatility($AG$1, $AE23,($BM$1/365), $V$15, BD23, $V$17) * 100)</f>
        <v>46.413421630859375</v>
      </c>
      <c r="EQ23" s="418">
        <f>+IF(AE23 = "", "",ImpliedCallVolatility($AG$1, $AE23,($BM$1/365), $V$15, BF23, $V$17) * 100)</f>
        <v>46.672821044921875</v>
      </c>
      <c r="ER23" s="411">
        <f t="shared" si="50"/>
        <v>14.78</v>
      </c>
      <c r="ES23" s="411">
        <f t="shared" si="51"/>
        <v>14.7</v>
      </c>
      <c r="ET23" s="411">
        <f t="shared" si="52"/>
        <v>14.78</v>
      </c>
      <c r="EU23" s="416">
        <f>IF($FC$1 = 1,
IF(AE23 = "", "",OptionGamma($AG$1,AE23,($BM$1/365), $V$15, $AZ$1, $V$17) * 1000),
IF($FC$1 = 2, IF(OR(AE23 = "", BD23 =  0), "",IF(AE23 &lt; $AG$1, (((AE23 * (1 - COMIS_ACCION)) / (($AG$1 * (1 + COMIS_ACCION)) - (BD23 * (1 - COMIS_OPCION)))) - 1) * 100 / $BM$1 * 365,((($AG$1 * (1 - COMIS_ACCION)) / (($AG$1 * (1 + COMIS_ACCION)) - (BD23 * (1 - COMIS_OPCION)))) - 1) * 100 / $BM$1 * 365))))</f>
        <v>12.96013543895681</v>
      </c>
      <c r="EV23" s="276">
        <f>+IF(AE23 = "", "",CallOption($AG$1, $AE23,($BM$1/365), $V$15, $AZ$1, $V$17))</f>
        <v>12.432105669510136</v>
      </c>
      <c r="EW23" s="271">
        <f t="shared" si="53"/>
        <v>-14.878360900000001</v>
      </c>
      <c r="EX23" s="272">
        <f t="shared" si="54"/>
        <v>-11.80565419999999</v>
      </c>
      <c r="EY23" s="274">
        <f t="shared" si="55"/>
        <v>8.8943458000000106</v>
      </c>
      <c r="EZ23" s="272">
        <f t="shared" si="56"/>
        <v>-220.37268000000003</v>
      </c>
      <c r="FA23" s="272">
        <f t="shared" si="57"/>
        <v>219.62732</v>
      </c>
      <c r="FB23" s="530">
        <f>+IF($FC$1 = 1, IF(AE23 = "", "",IFERROR( VLOOKUP(N23, PreciosCalls, 13, FALSE), 0)),
IF($FC$1 = 2,  IF(AE23 = "", "",OptionGamma($AG$1,AE23,($BM$1/365), $V$15, $AZ$1, $V$17) * 1000)))</f>
        <v>24610</v>
      </c>
      <c r="FC23" s="530">
        <f>IF($FC$1 = 1, IF(AE23 = "", "",IFERROR( VLOOKUP(N23, PreciosCalls, 14, FALSE), 0)),
IF($FC$1 = 2, IF(AE23 = "", "",CallDelta($AG$1,AE23,($BM$1/365), $V$15, $AZ$1, $V$17) * 100)))</f>
        <v>0</v>
      </c>
      <c r="FD23" s="531">
        <f t="shared" si="58"/>
        <v>13.80715318976026</v>
      </c>
      <c r="FE23" s="530">
        <f t="shared" si="59"/>
        <v>33979404</v>
      </c>
      <c r="FF23" s="217"/>
      <c r="FG23" s="273">
        <f t="shared" si="60"/>
        <v>1.3943396226415095</v>
      </c>
      <c r="FH23" s="273">
        <f t="shared" si="61"/>
        <v>1.9981073408138432</v>
      </c>
      <c r="FI23" s="451">
        <f t="shared" si="62"/>
        <v>45.589447021484375</v>
      </c>
      <c r="FJ23" s="419">
        <f>+IF(AE23 = "", "",ImpliedPutVolatility($AG$1, $AE23,($BM$1/365), $V$15, BI23, $V$17) * 100)</f>
        <v>45.269012451171875</v>
      </c>
      <c r="FK23" s="419">
        <f>+IF(AE23 = "", "",ImpliedPutVolatility($AG$1, $AE23,($BM$1/365), $V$15, BM23, $V$17) * 100)</f>
        <v>44.300079345703125</v>
      </c>
      <c r="FL23" s="419">
        <f>+IF(AE23 = "", "",ImpliedPutVolatility($AG$1, $AE23,($BM$1/365), $V$15, BO23, $V$17) * 100)</f>
        <v>45.589447021484375</v>
      </c>
      <c r="FM23" s="415">
        <f t="shared" si="63"/>
        <v>3.550000000000006</v>
      </c>
      <c r="FN23" s="415">
        <f t="shared" si="64"/>
        <v>3.2500000000000053</v>
      </c>
      <c r="FO23" s="415">
        <f t="shared" si="65"/>
        <v>3.6500000000000057</v>
      </c>
      <c r="FP23" s="417">
        <f>IF($FX$1=1, IF(AE23 = "", "",OptionGamma($AG$1,AE23,($BM$1/365), $V$15, $AZ$1, $V$17) * 1000),
IF($FX$1 = 2, IF(OR(AE23 = "", BM23 =  0), "",((BM23 * (1 - COMIS_OPCION)) / (AE23 * (1 + COMIS_ACCION))) * 100 / $BM$1 * 365)))</f>
        <v>12.96013543895681</v>
      </c>
      <c r="FQ23" s="289">
        <f>+IF(AE23 = "", "",PutOption($AG$1, $AE23,($BM$1/365), $V$15, $AZ$1, $V$17))</f>
        <v>11.989520748183452</v>
      </c>
      <c r="FR23" s="279"/>
      <c r="FS23" s="284">
        <f t="shared" si="66"/>
        <v>8.8943458000000106</v>
      </c>
      <c r="FT23" s="284">
        <f t="shared" si="67"/>
        <v>-11.80565419999999</v>
      </c>
      <c r="FU23" s="279"/>
      <c r="FV23" s="279"/>
      <c r="FW23" s="287">
        <f>+IF($FX$1 = 1, IFERROR(VLOOKUP(P23, PreciosPuts, 13, FALSE), 0),
IF($FX$1 = 2, IF(AE23 = "", "",OptionGamma($AG$1,AE23,($BM$1/365), $V$15, $AZ$1, $V$17) * 1000)))</f>
        <v>857</v>
      </c>
      <c r="FX23" s="287">
        <f>+IF($FX$1=1, IF(AE23 = "", "",IFERROR(VLOOKUP(P23, PreciosPuts, 14, FALSE), 0)),
IF($FX$1=2, IF(AE23 = "", "",Putdelta($AG$1,AE23,($BM$1/365), $V$15, $AZ$1, $V$17) * 100)))</f>
        <v>0</v>
      </c>
      <c r="FY23" s="286">
        <f t="shared" si="69"/>
        <v>15.028343057176196</v>
      </c>
      <c r="FZ23" s="287">
        <f t="shared" si="70"/>
        <v>1287929</v>
      </c>
      <c r="GA23" s="217"/>
      <c r="GB23" s="281">
        <f t="shared" si="130"/>
        <v>1.4286428571428573</v>
      </c>
      <c r="GC23" s="281" t="str">
        <f t="shared" si="131"/>
        <v/>
      </c>
      <c r="GD23" s="217"/>
      <c r="GE23" s="301">
        <f t="shared" si="71"/>
        <v>11.530000000000001</v>
      </c>
      <c r="GF23" s="292">
        <f t="shared" si="72"/>
        <v>221.18</v>
      </c>
      <c r="GG23" s="293">
        <f t="shared" si="73"/>
        <v>-1.6110410958904111</v>
      </c>
      <c r="GH23" s="294">
        <f t="shared" si="124"/>
        <v>5</v>
      </c>
      <c r="GI23" s="294">
        <v>17</v>
      </c>
      <c r="GJ23" s="217"/>
      <c r="GK23" s="305">
        <f t="shared" si="74"/>
        <v>11.049999999999983</v>
      </c>
      <c r="GL23" s="299">
        <f t="shared" si="75"/>
        <v>220.7</v>
      </c>
      <c r="GM23" s="300">
        <f t="shared" si="76"/>
        <v>0.37721599491215413</v>
      </c>
      <c r="GN23" s="225">
        <f t="shared" si="121"/>
        <v>1</v>
      </c>
      <c r="GO23" s="225">
        <v>17</v>
      </c>
      <c r="GP23" s="217"/>
      <c r="GQ23" s="217"/>
      <c r="GR23" s="401" t="str">
        <f t="shared" si="132"/>
        <v/>
      </c>
      <c r="GT23" s="282">
        <f t="shared" si="78"/>
        <v>-0.52281987500000238</v>
      </c>
      <c r="GU23" s="282">
        <f t="shared" si="79"/>
        <v>-1.890360692500002</v>
      </c>
      <c r="GV23" s="282">
        <f t="shared" si="80"/>
        <v>-4.0255217045454561</v>
      </c>
      <c r="GW23" s="282">
        <f t="shared" si="81"/>
        <v>-6.5513890542857167</v>
      </c>
      <c r="GX23" s="282">
        <f t="shared" si="82"/>
        <v>-12.030366900000006</v>
      </c>
      <c r="GY23" s="282">
        <f t="shared" si="83"/>
        <v>-13.503636100000005</v>
      </c>
      <c r="GZ23" s="282" t="str">
        <f t="shared" si="115"/>
        <v/>
      </c>
      <c r="HA23" s="282">
        <f t="shared" si="84"/>
        <v>-0.93286401166666666</v>
      </c>
      <c r="HB23" s="282">
        <f t="shared" si="116"/>
        <v>-1.0244696166666678</v>
      </c>
      <c r="HC23" s="607">
        <f t="shared" si="85"/>
        <v>-2.5466552500000024</v>
      </c>
      <c r="HD23" s="282" t="str">
        <f t="shared" si="86"/>
        <v/>
      </c>
      <c r="HE23" s="282" t="str">
        <f t="shared" si="87"/>
        <v/>
      </c>
      <c r="HF23" s="282">
        <f t="shared" si="88"/>
        <v>-3.7043084999999998</v>
      </c>
      <c r="HG23" s="217"/>
      <c r="HH23" s="282">
        <f t="shared" si="89"/>
        <v>-1.5181090000000008</v>
      </c>
      <c r="HI23" s="282">
        <f t="shared" si="90"/>
        <v>-4.6698350349999984</v>
      </c>
      <c r="HJ23" s="282"/>
      <c r="HK23" s="282"/>
      <c r="HL23" s="217"/>
      <c r="HM23" s="420"/>
      <c r="HN23" s="420"/>
      <c r="HO23" s="420"/>
      <c r="HP23" s="420"/>
      <c r="HQ23" s="282">
        <f t="shared" si="91"/>
        <v>-1.0244696166666687</v>
      </c>
      <c r="HR23" s="420"/>
      <c r="HS23" s="420"/>
      <c r="HT23" s="420"/>
      <c r="HU23" s="420"/>
      <c r="HV23" s="420"/>
      <c r="HW23" s="420"/>
      <c r="HX23" s="425"/>
      <c r="HY23" s="338"/>
      <c r="HZ23" s="338"/>
      <c r="IA23" s="161"/>
      <c r="IB23" s="161"/>
      <c r="IC23" s="162"/>
      <c r="ID23" s="162"/>
      <c r="IE23" s="49"/>
      <c r="IF23" s="55"/>
      <c r="IG23" s="58"/>
      <c r="IH23" s="545">
        <f t="shared" si="117"/>
        <v>4.9367994276174443</v>
      </c>
      <c r="IJ23" s="146">
        <v>17</v>
      </c>
      <c r="IK23" s="545">
        <f t="shared" si="142"/>
        <v>220</v>
      </c>
      <c r="IL23" s="106">
        <f t="shared" si="93"/>
        <v>4.9367994276174443E-2</v>
      </c>
      <c r="IM23" s="110">
        <f t="shared" si="128"/>
        <v>220</v>
      </c>
      <c r="IN23" s="111">
        <f t="shared" si="118"/>
        <v>78484.761249999952</v>
      </c>
      <c r="IO23" s="50">
        <f t="shared" si="135"/>
        <v>0</v>
      </c>
      <c r="IP23" s="50">
        <f t="shared" si="135"/>
        <v>0</v>
      </c>
      <c r="IQ23" s="50">
        <f t="shared" si="135"/>
        <v>0</v>
      </c>
      <c r="IR23" s="50">
        <f t="shared" si="135"/>
        <v>0</v>
      </c>
      <c r="IS23" s="50">
        <f t="shared" si="135"/>
        <v>0</v>
      </c>
      <c r="IT23" s="50">
        <f t="shared" si="135"/>
        <v>0</v>
      </c>
      <c r="IU23" s="50">
        <f t="shared" si="135"/>
        <v>0</v>
      </c>
      <c r="IV23" s="50">
        <f t="shared" si="135"/>
        <v>0</v>
      </c>
      <c r="IW23" s="50">
        <f t="shared" si="135"/>
        <v>0</v>
      </c>
      <c r="IX23" s="50">
        <f t="shared" si="135"/>
        <v>0</v>
      </c>
      <c r="IY23" s="50">
        <f t="shared" si="136"/>
        <v>0</v>
      </c>
      <c r="IZ23" s="50">
        <f t="shared" si="136"/>
        <v>0</v>
      </c>
      <c r="JA23" s="50">
        <f t="shared" si="136"/>
        <v>175000</v>
      </c>
      <c r="JB23" s="50">
        <f t="shared" si="136"/>
        <v>0</v>
      </c>
      <c r="JC23" s="50">
        <f t="shared" si="136"/>
        <v>0</v>
      </c>
      <c r="JD23" s="50">
        <f t="shared" si="136"/>
        <v>0</v>
      </c>
      <c r="JE23" s="50">
        <f t="shared" si="136"/>
        <v>-50000</v>
      </c>
      <c r="JF23" s="50">
        <f t="shared" si="136"/>
        <v>0</v>
      </c>
      <c r="JG23" s="50">
        <f t="shared" si="136"/>
        <v>0</v>
      </c>
      <c r="JH23" s="50">
        <f t="shared" si="136"/>
        <v>0</v>
      </c>
      <c r="JI23" s="50">
        <f t="shared" si="137"/>
        <v>0</v>
      </c>
      <c r="JJ23" s="50">
        <f t="shared" si="137"/>
        <v>0</v>
      </c>
      <c r="JK23" s="50">
        <f t="shared" si="137"/>
        <v>0</v>
      </c>
      <c r="JL23" s="50">
        <f t="shared" si="137"/>
        <v>0</v>
      </c>
      <c r="JM23" s="50">
        <f t="shared" si="137"/>
        <v>0</v>
      </c>
      <c r="JN23" s="50">
        <f t="shared" si="137"/>
        <v>0</v>
      </c>
      <c r="JO23" s="50">
        <f t="shared" si="137"/>
        <v>0</v>
      </c>
      <c r="JP23" s="50">
        <f t="shared" si="137"/>
        <v>0</v>
      </c>
      <c r="JQ23" s="50">
        <f t="shared" si="137"/>
        <v>0</v>
      </c>
      <c r="JR23" s="50">
        <f t="shared" si="137"/>
        <v>0</v>
      </c>
      <c r="JS23" s="50">
        <f t="shared" si="138"/>
        <v>0</v>
      </c>
      <c r="JT23" s="50">
        <f t="shared" si="138"/>
        <v>0</v>
      </c>
      <c r="JU23" s="50" t="str">
        <f t="shared" si="138"/>
        <v/>
      </c>
      <c r="JV23" s="50" t="str">
        <f t="shared" si="138"/>
        <v/>
      </c>
      <c r="JW23" s="50" t="str">
        <f t="shared" si="138"/>
        <v/>
      </c>
      <c r="JX23" s="50" t="str">
        <f t="shared" si="138"/>
        <v/>
      </c>
      <c r="JY23" s="50" t="str">
        <f t="shared" si="138"/>
        <v/>
      </c>
      <c r="JZ23" s="50" t="str">
        <f t="shared" si="138"/>
        <v/>
      </c>
      <c r="KA23" s="50" t="str">
        <f t="shared" si="138"/>
        <v/>
      </c>
      <c r="KB23" s="50" t="str">
        <f t="shared" si="138"/>
        <v/>
      </c>
      <c r="KC23" s="50" t="str">
        <f t="shared" si="138"/>
        <v/>
      </c>
      <c r="KD23" s="50" t="str">
        <f t="shared" si="138"/>
        <v/>
      </c>
    </row>
    <row r="24" spans="2:290" s="144" customFormat="1" ht="15" customHeight="1" thickBot="1">
      <c r="B24" s="146">
        <v>18</v>
      </c>
      <c r="C24" s="121" t="str">
        <f t="shared" si="99"/>
        <v>GFGC230.AB</v>
      </c>
      <c r="D24" s="121" t="str">
        <f t="shared" si="100"/>
        <v>GFGV230.AB</v>
      </c>
      <c r="E24" s="122">
        <f t="shared" si="1"/>
        <v>230</v>
      </c>
      <c r="F24" s="123" t="str">
        <f t="shared" si="2"/>
        <v/>
      </c>
      <c r="G24" s="123" t="str">
        <f t="shared" si="3"/>
        <v/>
      </c>
      <c r="H24" s="124">
        <f t="shared" si="4"/>
        <v>10.6</v>
      </c>
      <c r="I24" s="124">
        <f t="shared" si="5"/>
        <v>20.6</v>
      </c>
      <c r="J24" s="124" t="str">
        <f t="shared" si="6"/>
        <v/>
      </c>
      <c r="K24" s="124" t="str">
        <f t="shared" si="7"/>
        <v/>
      </c>
      <c r="M24" s="158">
        <f t="shared" si="8"/>
        <v>12</v>
      </c>
      <c r="N24" s="121" t="str">
        <f t="shared" si="9"/>
        <v>GFGC230.AB</v>
      </c>
      <c r="O24" s="158">
        <f t="shared" si="10"/>
        <v>12</v>
      </c>
      <c r="P24" s="121" t="str">
        <f t="shared" si="11"/>
        <v>GFGV230.AB</v>
      </c>
      <c r="R24" s="159"/>
      <c r="S24" s="160" t="str">
        <f t="shared" si="12"/>
        <v/>
      </c>
      <c r="U24" s="234" t="s">
        <v>208</v>
      </c>
      <c r="V24" s="140">
        <v>100</v>
      </c>
      <c r="X24" s="200">
        <v>18</v>
      </c>
      <c r="Y24" s="546">
        <f t="shared" si="13"/>
        <v>9.7066539470546118</v>
      </c>
      <c r="Z24" s="540">
        <f t="shared" si="14"/>
        <v>78484.761249999952</v>
      </c>
      <c r="AA24" s="179"/>
      <c r="AB24" s="540">
        <f t="shared" si="15"/>
        <v>0</v>
      </c>
      <c r="AC24" s="161"/>
      <c r="AD24" s="200">
        <v>18</v>
      </c>
      <c r="AE24" s="825">
        <f t="shared" si="101"/>
        <v>230</v>
      </c>
      <c r="AF24" s="201">
        <v>230</v>
      </c>
      <c r="AG24" s="161"/>
      <c r="AH24" s="177">
        <f t="shared" si="102"/>
        <v>0</v>
      </c>
      <c r="AI24" s="166">
        <f t="shared" si="103"/>
        <v>0</v>
      </c>
      <c r="AJ24" s="179"/>
      <c r="AK24" s="177">
        <f t="shared" si="104"/>
        <v>0</v>
      </c>
      <c r="AL24" s="166">
        <f t="shared" si="105"/>
        <v>0</v>
      </c>
      <c r="AM24" s="179"/>
      <c r="AN24" s="177"/>
      <c r="AO24" s="166"/>
      <c r="AP24" s="179"/>
      <c r="AQ24" s="176">
        <f t="shared" si="106"/>
        <v>0</v>
      </c>
      <c r="AR24" s="165">
        <f t="shared" si="107"/>
        <v>0</v>
      </c>
      <c r="AS24" s="179"/>
      <c r="AT24" s="176">
        <f t="shared" si="108"/>
        <v>0</v>
      </c>
      <c r="AU24" s="165">
        <f t="shared" si="109"/>
        <v>0</v>
      </c>
      <c r="AV24" s="179"/>
      <c r="AW24" s="200">
        <f t="shared" si="16"/>
        <v>18</v>
      </c>
      <c r="AX24" s="170">
        <f t="shared" si="17"/>
        <v>230</v>
      </c>
      <c r="AY24" s="164"/>
      <c r="AZ24" s="215">
        <f t="shared" si="18"/>
        <v>10.6</v>
      </c>
      <c r="BA24" s="197"/>
      <c r="BB24" s="228">
        <f t="shared" si="19"/>
        <v>0.28734999999999999</v>
      </c>
      <c r="BC24" s="161"/>
      <c r="BD24" s="240">
        <f t="shared" si="20"/>
        <v>10.5</v>
      </c>
      <c r="BE24" s="196"/>
      <c r="BF24" s="240">
        <f t="shared" si="21"/>
        <v>10.6</v>
      </c>
      <c r="BG24" s="196"/>
      <c r="BH24" s="189"/>
      <c r="BI24" s="227">
        <f t="shared" si="22"/>
        <v>20.6</v>
      </c>
      <c r="BJ24" s="197"/>
      <c r="BK24" s="167">
        <f t="shared" si="23"/>
        <v>-0.20768999999999999</v>
      </c>
      <c r="BL24" s="161"/>
      <c r="BM24" s="240">
        <f t="shared" si="24"/>
        <v>20.001000000000001</v>
      </c>
      <c r="BN24" s="196"/>
      <c r="BO24" s="240">
        <f t="shared" si="25"/>
        <v>23</v>
      </c>
      <c r="BP24" s="196"/>
      <c r="BQ24" s="161"/>
      <c r="BR24" s="381"/>
      <c r="BS24" s="392">
        <f t="shared" si="122"/>
        <v>25296632.699999999</v>
      </c>
      <c r="BT24" s="376"/>
      <c r="BU24" s="393">
        <f>+IF(OR(CF24="", CB25="", CF24=0, CB25=0), "", IF($BU$1=FALSE, CF24-CB25, -CF24+CB25))</f>
        <v>3.2449999999999992</v>
      </c>
      <c r="BV24" s="310"/>
      <c r="BW24" s="311">
        <f t="shared" si="110"/>
        <v>240.5</v>
      </c>
      <c r="BX24" s="372"/>
      <c r="BY24" s="440"/>
      <c r="BZ24" s="432">
        <v>7.3</v>
      </c>
      <c r="CA24" s="372"/>
      <c r="CB24" s="572">
        <f>+IF($BU$1=FALSE, IF(BD24=0, "", BD24), IF(BM24=0,"", BM24))</f>
        <v>10.5</v>
      </c>
      <c r="CC24" s="567">
        <f t="shared" si="29"/>
        <v>25</v>
      </c>
      <c r="CD24" s="814">
        <f t="shared" si="30"/>
        <v>230</v>
      </c>
      <c r="CE24" s="569">
        <f t="shared" si="31"/>
        <v>26</v>
      </c>
      <c r="CF24" s="574">
        <f t="shared" si="141"/>
        <v>10.6</v>
      </c>
      <c r="CG24" s="372"/>
      <c r="CH24" s="435">
        <v>27.797000000000001</v>
      </c>
      <c r="CI24" s="436"/>
      <c r="CJ24" s="372"/>
      <c r="CK24" s="391">
        <f t="shared" si="111"/>
        <v>240.6</v>
      </c>
      <c r="CL24" s="396">
        <f t="shared" si="140"/>
        <v>3.1029999999999998</v>
      </c>
      <c r="CM24" s="370"/>
      <c r="CN24" s="161"/>
      <c r="CO24" s="161"/>
      <c r="CP24" s="161"/>
      <c r="CQ24" s="161"/>
      <c r="CR24" s="161"/>
      <c r="CS24" s="161"/>
      <c r="CT24" s="161"/>
      <c r="CU24" s="161"/>
      <c r="CV24" s="161"/>
      <c r="CW24" s="161"/>
      <c r="CX24" s="161"/>
      <c r="CY24" s="161"/>
      <c r="CZ24" s="161"/>
      <c r="DA24" s="161"/>
      <c r="DB24" s="161"/>
      <c r="DC24" s="161"/>
      <c r="DD24" s="161"/>
      <c r="DE24" s="161"/>
      <c r="DF24" s="161"/>
      <c r="DG24" s="161"/>
      <c r="DH24" s="161"/>
      <c r="DI24" s="161"/>
      <c r="DJ24" s="161"/>
      <c r="DK24" s="242">
        <f t="shared" si="123"/>
        <v>0</v>
      </c>
      <c r="DL24" s="217"/>
      <c r="DM24" s="490">
        <f t="shared" si="34"/>
        <v>0</v>
      </c>
      <c r="DN24" s="242">
        <f t="shared" si="35"/>
        <v>0</v>
      </c>
      <c r="DO24" s="243">
        <f t="shared" si="36"/>
        <v>0</v>
      </c>
      <c r="DP24" s="217"/>
      <c r="DQ24" s="252">
        <f t="shared" si="120"/>
        <v>0</v>
      </c>
      <c r="DR24" s="217"/>
      <c r="DS24" s="242">
        <f t="shared" si="38"/>
        <v>0</v>
      </c>
      <c r="DT24" s="242">
        <f t="shared" si="39"/>
        <v>0</v>
      </c>
      <c r="DU24" s="244">
        <f t="shared" si="40"/>
        <v>0</v>
      </c>
      <c r="DV24" s="217"/>
      <c r="DW24" s="428">
        <f>+IF(OR(AE24 = "", AND(AH24 = "", AK24 = "")), "",IFERROR(+AH24 * CallDelta($AG$1,AE24,($BM$1/365), $V$15, $AZ$1, $V$17), 0) + IFERROR(AK24 * Putdelta($AG$1,AE24,($BM$1/365), $V$15, $AZ$1, $V$17), 0))</f>
        <v>0</v>
      </c>
      <c r="DX24" s="245">
        <f>+IF(OR(AE24 = "", AND(AH24 = "", AK24 = "")), "",IFERROR(+AH24 * OptionGamma($AG$1,AE24,($BM$1/365), $V$15, $AZ$1, $V$17), 0) + IFERROR(AK24 * OptionGamma($AG$1,AE24,($BM$1/365), $V$15, $AZ$1, $V$17), 0))</f>
        <v>0</v>
      </c>
      <c r="DY24" s="161"/>
      <c r="DZ24" s="267">
        <f t="shared" si="127"/>
        <v>0</v>
      </c>
      <c r="EA24" s="217"/>
      <c r="EB24" s="267">
        <f t="shared" si="42"/>
        <v>0</v>
      </c>
      <c r="EC24" s="267">
        <f t="shared" si="43"/>
        <v>0</v>
      </c>
      <c r="ED24" s="247">
        <f t="shared" si="44"/>
        <v>0</v>
      </c>
      <c r="EE24" s="217"/>
      <c r="EF24" s="267">
        <f t="shared" si="129"/>
        <v>0</v>
      </c>
      <c r="EG24" s="217"/>
      <c r="EH24" s="267">
        <f t="shared" si="46"/>
        <v>0</v>
      </c>
      <c r="EI24" s="246">
        <f t="shared" si="47"/>
        <v>0</v>
      </c>
      <c r="EJ24" s="248">
        <f t="shared" si="48"/>
        <v>0</v>
      </c>
      <c r="EK24" s="217"/>
      <c r="EL24" s="251">
        <f>+IF(OR(AE24 = "", AND(AQ24 = "", AT24 = "")), "",IFERROR(+AQ24 * CallDelta($AG$1,AE24,($BM$1/365), $V$15, $AZ$1, $V$17), 0) + IFERROR(AT24 * Putdelta($AG$1,AE24,($BM$1/365), $V$15, $AZ$1, $V$17), 0))</f>
        <v>0</v>
      </c>
      <c r="EM24" s="249">
        <f>+IF(OR(AE24 = "", AND(AQ24 = "", AT24 = "")), "",IFERROR(+AQ24 * OptionGamma($AG$1,AE24,($BM$1/365), $V$15, $AZ$1, $V$17), 0) + IFERROR(AT24 * OptionGamma($AG$1,AE24,($BM$1/365), $V$15, $AZ$1, $V$17), 0))</f>
        <v>0</v>
      </c>
      <c r="EN24" s="451">
        <f t="shared" si="49"/>
        <v>45.734405517578125</v>
      </c>
      <c r="EO24" s="418">
        <f>+IF(AE24 = "", "",ImpliedCallVolatility($AG$1, $AE24,($BM$1/365), $V$15, $AZ24, $V$17) * 100)</f>
        <v>46.054840087890625</v>
      </c>
      <c r="EP24" s="418">
        <f>+IF(AE24 = "", "",ImpliedCallVolatility($AG$1, $AE24,($BM$1/365), $V$15, BD24, $V$17) * 100)</f>
        <v>45.734405517578125</v>
      </c>
      <c r="EQ24" s="418">
        <f>+IF(AE24 = "", "",ImpliedCallVolatility($AG$1, $AE24,($BM$1/365), $V$15, BF24, $V$17) * 100)</f>
        <v>46.054840087890625</v>
      </c>
      <c r="ER24" s="411">
        <f t="shared" si="50"/>
        <v>10.6</v>
      </c>
      <c r="ES24" s="411">
        <f t="shared" si="51"/>
        <v>10.5</v>
      </c>
      <c r="ET24" s="411">
        <f t="shared" si="52"/>
        <v>10.6</v>
      </c>
      <c r="EU24" s="416">
        <f>IF($FC$1 = 1,
IF(AE24 = "", "",OptionGamma($AG$1,AE24,($BM$1/365), $V$15, $AZ$1, $V$17) * 1000),
IF($FC$1 = 2, IF(OR(AE24 = "", BD24 =  0), "",IF(AE24 &lt; $AG$1, (((AE24 * (1 - COMIS_ACCION)) / (($AG$1 * (1 + COMIS_ACCION)) - (BD24 * (1 - COMIS_OPCION)))) - 1) * 100 / $BM$1 * 365,((($AG$1 * (1 - COMIS_ACCION)) / (($AG$1 * (1 + COMIS_ACCION)) - (BD24 * (1 - COMIS_OPCION)))) - 1) * 100 / $BM$1 * 365))))</f>
        <v>12.709040626274994</v>
      </c>
      <c r="EV24" s="276">
        <f>+IF(AE24 = "", "",CallOption($AG$1, $AE24,($BM$1/365), $V$15, $AZ$1, $V$17))</f>
        <v>8.4718007108867255</v>
      </c>
      <c r="EW24" s="271">
        <f t="shared" si="53"/>
        <v>-10.670543</v>
      </c>
      <c r="EX24" s="272">
        <f t="shared" si="54"/>
        <v>-21.839534199999981</v>
      </c>
      <c r="EY24" s="274">
        <f t="shared" si="55"/>
        <v>18.860465800000021</v>
      </c>
      <c r="EZ24" s="272">
        <f t="shared" si="56"/>
        <v>-230.38962000000004</v>
      </c>
      <c r="FA24" s="272">
        <f t="shared" si="57"/>
        <v>229.61037999999999</v>
      </c>
      <c r="FB24" s="530">
        <f>+IF($FC$1 = 1, IF(AE24 = "", "",IFERROR( VLOOKUP(N24, PreciosCalls, 13, FALSE), 0)),
IF($FC$1 = 2,  IF(AE24 = "", "",OptionGamma($AG$1,AE24,($BM$1/365), $V$15, $AZ$1, $V$17) * 1000)))</f>
        <v>25292</v>
      </c>
      <c r="FC24" s="530">
        <f>IF($FC$1 = 1, IF(AE24 = "", "",IFERROR( VLOOKUP(N24, PreciosCalls, 14, FALSE), 0)),
IF($FC$1 = 2, IF(AE24 = "", "",CallDelta($AG$1,AE24,($BM$1/365), $V$15, $AZ$1, $V$17) * 100)))</f>
        <v>0</v>
      </c>
      <c r="FD24" s="531">
        <f t="shared" si="58"/>
        <v>10.001831685908588</v>
      </c>
      <c r="FE24" s="530">
        <f t="shared" si="59"/>
        <v>25296632.699999999</v>
      </c>
      <c r="FF24" s="217"/>
      <c r="FG24" s="273">
        <f t="shared" si="60"/>
        <v>1.4330133838042449</v>
      </c>
      <c r="FH24" s="273">
        <f t="shared" si="61"/>
        <v>2</v>
      </c>
      <c r="FI24" s="451">
        <f t="shared" si="62"/>
        <v>56.804656982421875</v>
      </c>
      <c r="FJ24" s="419">
        <f>+IF(AE24 = "", "",ImpliedPutVolatility($AG$1, $AE24,($BM$1/365), $V$15, BI24, $V$17) * 100)</f>
        <v>49.076080322265625</v>
      </c>
      <c r="FK24" s="419">
        <f>+IF(AE24 = "", "",ImpliedPutVolatility($AG$1, $AE24,($BM$1/365), $V$15, BM24, $V$17) * 100)</f>
        <v>47.138214111328125</v>
      </c>
      <c r="FL24" s="419">
        <f>+IF(AE24 = "", "",ImpliedPutVolatility($AG$1, $AE24,($BM$1/365), $V$15, BO24, $V$17) * 100)</f>
        <v>56.804656982421875</v>
      </c>
      <c r="FM24" s="415">
        <f t="shared" si="63"/>
        <v>0.25000000000000711</v>
      </c>
      <c r="FN24" s="415">
        <f t="shared" si="64"/>
        <v>-0.34899999999999309</v>
      </c>
      <c r="FO24" s="415">
        <f t="shared" si="65"/>
        <v>2.6500000000000057</v>
      </c>
      <c r="FP24" s="417">
        <f>IF($FX$1=1, IF(AE24 = "", "",OptionGamma($AG$1,AE24,($BM$1/365), $V$15, $AZ$1, $V$17) * 1000),
IF($FX$1 = 2, IF(OR(AE24 = "", BM24 =  0), "",((BM24 * (1 - COMIS_OPCION)) / (AE24 * (1 + COMIS_ACCION))) * 100 / $BM$1 * 365)))</f>
        <v>12.709040626274994</v>
      </c>
      <c r="FQ24" s="289">
        <f>+IF(AE24 = "", "",PutOption($AG$1, $AE24,($BM$1/365), $V$15, $AZ$1, $V$17))</f>
        <v>17.538643747681547</v>
      </c>
      <c r="FR24" s="279"/>
      <c r="FS24" s="284">
        <f t="shared" si="66"/>
        <v>18.860465800000021</v>
      </c>
      <c r="FT24" s="284">
        <f t="shared" si="67"/>
        <v>-21.839534199999981</v>
      </c>
      <c r="FU24" s="279"/>
      <c r="FV24" s="279"/>
      <c r="FW24" s="287">
        <f>+IF($FX$1 = 1, IFERROR(VLOOKUP(P24, PreciosPuts, 13, FALSE), 0),
IF($FX$1 = 2, IF(AE24 = "", "",OptionGamma($AG$1,AE24,($BM$1/365), $V$15, $AZ$1, $V$17) * 1000)))</f>
        <v>431</v>
      </c>
      <c r="FX24" s="287">
        <f>+IF($FX$1=1, IF(AE24 = "", "",IFERROR(VLOOKUP(P24, PreciosPuts, 14, FALSE), 0)),
IF($FX$1=2, IF(AE24 = "", "",Putdelta($AG$1,AE24,($BM$1/365), $V$15, $AZ$1, $V$17) * 100)))</f>
        <v>0</v>
      </c>
      <c r="FY24" s="286">
        <f t="shared" si="69"/>
        <v>22.265531322505797</v>
      </c>
      <c r="FZ24" s="287">
        <f t="shared" si="70"/>
        <v>959644.4</v>
      </c>
      <c r="GA24" s="217"/>
      <c r="GB24" s="281">
        <f t="shared" ref="GB24" si="143">+IF(OR(BM24=0, BO23=0), "", BM24 / BO23)</f>
        <v>1.4286428571428573</v>
      </c>
      <c r="GC24" s="281"/>
      <c r="GD24" s="217"/>
      <c r="GE24" s="301">
        <f t="shared" si="71"/>
        <v>10.948999999999984</v>
      </c>
      <c r="GF24" s="292">
        <f t="shared" si="72"/>
        <v>220.59899999999999</v>
      </c>
      <c r="GG24" s="293">
        <f t="shared" si="73"/>
        <v>-1.5298602739726004</v>
      </c>
      <c r="GH24" s="294">
        <f t="shared" si="124"/>
        <v>2</v>
      </c>
      <c r="GI24" s="294">
        <v>18</v>
      </c>
      <c r="GJ24" s="217"/>
      <c r="GK24" s="305">
        <f t="shared" si="74"/>
        <v>7.8499999999999943</v>
      </c>
      <c r="GL24" s="299">
        <f t="shared" si="75"/>
        <v>217.5</v>
      </c>
      <c r="GM24" s="300">
        <f t="shared" si="76"/>
        <v>0.26797697376112389</v>
      </c>
      <c r="GN24" s="225">
        <f t="shared" si="121"/>
        <v>6</v>
      </c>
      <c r="GO24" s="225">
        <v>18</v>
      </c>
      <c r="GP24" s="217"/>
      <c r="GQ24" s="217"/>
      <c r="GR24" s="401" t="str">
        <f t="shared" si="132"/>
        <v/>
      </c>
      <c r="GT24" s="282">
        <f t="shared" si="78"/>
        <v>-0.73217146750000106</v>
      </c>
      <c r="GU24" s="282">
        <f t="shared" si="79"/>
        <v>-2.0322664000000015</v>
      </c>
      <c r="GV24" s="282">
        <f t="shared" si="80"/>
        <v>-4.2016079250000011</v>
      </c>
      <c r="GW24" s="282">
        <f t="shared" si="81"/>
        <v>-6.5729515533333345</v>
      </c>
      <c r="GX24" s="282">
        <f t="shared" si="82"/>
        <v>-9.3847626694444504</v>
      </c>
      <c r="GY24" s="282">
        <f t="shared" si="83"/>
        <v>-14.995106642857149</v>
      </c>
      <c r="GZ24" s="282">
        <f t="shared" si="115"/>
        <v>-16.571720116666675</v>
      </c>
      <c r="HA24" s="282">
        <f t="shared" si="84"/>
        <v>-1.2705641166666668</v>
      </c>
      <c r="HB24" s="282">
        <f t="shared" si="116"/>
        <v>-1.0605087733333316</v>
      </c>
      <c r="HC24" s="607" t="str">
        <f t="shared" si="85"/>
        <v/>
      </c>
      <c r="HD24" s="282" t="str">
        <f t="shared" si="86"/>
        <v/>
      </c>
      <c r="HE24" s="282" t="str">
        <f t="shared" si="87"/>
        <v/>
      </c>
      <c r="HF24" s="282" t="str">
        <f t="shared" si="88"/>
        <v/>
      </c>
      <c r="HG24" s="217"/>
      <c r="HH24" s="282">
        <f t="shared" si="89"/>
        <v>-1.2413811899999985</v>
      </c>
      <c r="HI24" s="282">
        <f t="shared" si="90"/>
        <v>-4.0065517049999961</v>
      </c>
      <c r="HJ24" s="282"/>
      <c r="HK24" s="282"/>
      <c r="HL24" s="217"/>
      <c r="HM24" s="420"/>
      <c r="HN24" s="420"/>
      <c r="HO24" s="420"/>
      <c r="HP24" s="420"/>
      <c r="HQ24" s="282">
        <f t="shared" si="91"/>
        <v>-1.0605087733333329</v>
      </c>
      <c r="HR24" s="420"/>
      <c r="HS24" s="420"/>
      <c r="HT24" s="420"/>
      <c r="HU24" s="420"/>
      <c r="HV24" s="420"/>
      <c r="HW24" s="420"/>
      <c r="HX24" s="425"/>
      <c r="HY24" s="338"/>
      <c r="HZ24" s="338"/>
      <c r="IA24" s="161"/>
      <c r="IB24" s="161"/>
      <c r="IC24" s="162"/>
      <c r="ID24" s="162"/>
      <c r="IE24" s="49"/>
      <c r="IF24" s="55"/>
      <c r="IG24" s="58"/>
      <c r="IH24" s="545">
        <f t="shared" si="117"/>
        <v>9.7066539470546118</v>
      </c>
      <c r="IJ24" s="146">
        <v>18</v>
      </c>
      <c r="IK24" s="545">
        <f t="shared" si="142"/>
        <v>230</v>
      </c>
      <c r="IL24" s="106">
        <f t="shared" si="93"/>
        <v>9.7066539470546109E-2</v>
      </c>
      <c r="IM24" s="110">
        <f t="shared" si="128"/>
        <v>230</v>
      </c>
      <c r="IN24" s="111">
        <f t="shared" si="118"/>
        <v>78484.761249999952</v>
      </c>
      <c r="IO24" s="50">
        <f t="shared" si="135"/>
        <v>0</v>
      </c>
      <c r="IP24" s="50">
        <f t="shared" si="135"/>
        <v>0</v>
      </c>
      <c r="IQ24" s="50">
        <f t="shared" si="135"/>
        <v>0</v>
      </c>
      <c r="IR24" s="50">
        <f t="shared" si="135"/>
        <v>0</v>
      </c>
      <c r="IS24" s="50">
        <f t="shared" si="135"/>
        <v>0</v>
      </c>
      <c r="IT24" s="50">
        <f t="shared" si="135"/>
        <v>0</v>
      </c>
      <c r="IU24" s="50">
        <f t="shared" si="135"/>
        <v>0</v>
      </c>
      <c r="IV24" s="50">
        <f t="shared" si="135"/>
        <v>0</v>
      </c>
      <c r="IW24" s="50">
        <f t="shared" si="135"/>
        <v>0</v>
      </c>
      <c r="IX24" s="50">
        <f t="shared" si="135"/>
        <v>0</v>
      </c>
      <c r="IY24" s="50">
        <f t="shared" si="136"/>
        <v>0</v>
      </c>
      <c r="IZ24" s="50">
        <f t="shared" si="136"/>
        <v>0</v>
      </c>
      <c r="JA24" s="50">
        <f t="shared" si="136"/>
        <v>225000</v>
      </c>
      <c r="JB24" s="50">
        <f t="shared" si="136"/>
        <v>0</v>
      </c>
      <c r="JC24" s="50">
        <f t="shared" si="136"/>
        <v>0</v>
      </c>
      <c r="JD24" s="50">
        <f t="shared" si="136"/>
        <v>0</v>
      </c>
      <c r="JE24" s="50">
        <f t="shared" si="136"/>
        <v>-100000</v>
      </c>
      <c r="JF24" s="50">
        <f t="shared" si="136"/>
        <v>0</v>
      </c>
      <c r="JG24" s="50">
        <f t="shared" si="136"/>
        <v>0</v>
      </c>
      <c r="JH24" s="50">
        <f t="shared" si="136"/>
        <v>0</v>
      </c>
      <c r="JI24" s="50">
        <f t="shared" si="137"/>
        <v>0</v>
      </c>
      <c r="JJ24" s="50">
        <f t="shared" si="137"/>
        <v>0</v>
      </c>
      <c r="JK24" s="50">
        <f t="shared" si="137"/>
        <v>0</v>
      </c>
      <c r="JL24" s="50">
        <f t="shared" si="137"/>
        <v>0</v>
      </c>
      <c r="JM24" s="50">
        <f t="shared" si="137"/>
        <v>0</v>
      </c>
      <c r="JN24" s="50">
        <f t="shared" si="137"/>
        <v>0</v>
      </c>
      <c r="JO24" s="50">
        <f t="shared" si="137"/>
        <v>0</v>
      </c>
      <c r="JP24" s="50">
        <f t="shared" si="137"/>
        <v>0</v>
      </c>
      <c r="JQ24" s="50">
        <f t="shared" si="137"/>
        <v>0</v>
      </c>
      <c r="JR24" s="50">
        <f t="shared" si="137"/>
        <v>0</v>
      </c>
      <c r="JS24" s="50">
        <f t="shared" si="138"/>
        <v>0</v>
      </c>
      <c r="JT24" s="50">
        <f t="shared" si="138"/>
        <v>0</v>
      </c>
      <c r="JU24" s="50" t="str">
        <f t="shared" si="138"/>
        <v/>
      </c>
      <c r="JV24" s="50" t="str">
        <f t="shared" si="138"/>
        <v/>
      </c>
      <c r="JW24" s="50" t="str">
        <f t="shared" si="138"/>
        <v/>
      </c>
      <c r="JX24" s="50" t="str">
        <f t="shared" si="138"/>
        <v/>
      </c>
      <c r="JY24" s="50" t="str">
        <f t="shared" si="138"/>
        <v/>
      </c>
      <c r="JZ24" s="50" t="str">
        <f t="shared" si="138"/>
        <v/>
      </c>
      <c r="KA24" s="50" t="str">
        <f t="shared" si="138"/>
        <v/>
      </c>
      <c r="KB24" s="50" t="str">
        <f t="shared" si="138"/>
        <v/>
      </c>
      <c r="KC24" s="50" t="str">
        <f t="shared" si="138"/>
        <v/>
      </c>
      <c r="KD24" s="50" t="str">
        <f t="shared" si="138"/>
        <v/>
      </c>
    </row>
    <row r="25" spans="2:290" s="144" customFormat="1" ht="15" customHeight="1" thickBot="1">
      <c r="B25" s="146">
        <v>19</v>
      </c>
      <c r="C25" s="121" t="str">
        <f t="shared" si="99"/>
        <v>GFGC240.AB</v>
      </c>
      <c r="D25" s="121" t="str">
        <f t="shared" si="100"/>
        <v>GFGV240.AB</v>
      </c>
      <c r="E25" s="122">
        <f t="shared" si="1"/>
        <v>240</v>
      </c>
      <c r="F25" s="123" t="str">
        <f t="shared" si="2"/>
        <v/>
      </c>
      <c r="G25" s="123" t="str">
        <f t="shared" si="3"/>
        <v/>
      </c>
      <c r="H25" s="124">
        <f t="shared" si="4"/>
        <v>7.3970000000000002</v>
      </c>
      <c r="I25" s="124" t="str">
        <f t="shared" si="5"/>
        <v/>
      </c>
      <c r="J25" s="124" t="str">
        <f t="shared" si="6"/>
        <v/>
      </c>
      <c r="K25" s="124" t="str">
        <f t="shared" si="7"/>
        <v/>
      </c>
      <c r="M25" s="158">
        <f t="shared" si="8"/>
        <v>12</v>
      </c>
      <c r="N25" s="121" t="str">
        <f t="shared" si="9"/>
        <v>GFGC240.AB</v>
      </c>
      <c r="O25" s="158">
        <f t="shared" si="10"/>
        <v>12</v>
      </c>
      <c r="P25" s="121" t="str">
        <f t="shared" si="11"/>
        <v>GFGV240.AB</v>
      </c>
      <c r="R25" s="159"/>
      <c r="S25" s="160" t="str">
        <f t="shared" si="12"/>
        <v/>
      </c>
      <c r="U25" s="234" t="s">
        <v>207</v>
      </c>
      <c r="V25" s="140">
        <v>85</v>
      </c>
      <c r="X25" s="200">
        <v>19</v>
      </c>
      <c r="Y25" s="546">
        <f t="shared" si="13"/>
        <v>14.476508466491778</v>
      </c>
      <c r="Z25" s="540">
        <f t="shared" si="14"/>
        <v>78484.761249999952</v>
      </c>
      <c r="AA25" s="179"/>
      <c r="AB25" s="540">
        <f t="shared" si="15"/>
        <v>0</v>
      </c>
      <c r="AC25" s="161"/>
      <c r="AD25" s="200">
        <v>19</v>
      </c>
      <c r="AE25" s="825">
        <f t="shared" si="101"/>
        <v>240</v>
      </c>
      <c r="AF25" s="201">
        <v>240</v>
      </c>
      <c r="AG25" s="161"/>
      <c r="AH25" s="177">
        <f t="shared" si="102"/>
        <v>0</v>
      </c>
      <c r="AI25" s="166">
        <f t="shared" si="103"/>
        <v>0</v>
      </c>
      <c r="AJ25" s="179"/>
      <c r="AK25" s="177">
        <f t="shared" si="104"/>
        <v>0</v>
      </c>
      <c r="AL25" s="166">
        <f t="shared" si="105"/>
        <v>0</v>
      </c>
      <c r="AM25" s="179"/>
      <c r="AN25" s="177"/>
      <c r="AO25" s="166"/>
      <c r="AP25" s="179"/>
      <c r="AQ25" s="176">
        <f t="shared" si="106"/>
        <v>0</v>
      </c>
      <c r="AR25" s="165">
        <f t="shared" si="107"/>
        <v>0</v>
      </c>
      <c r="AS25" s="179"/>
      <c r="AT25" s="176">
        <f t="shared" si="108"/>
        <v>0</v>
      </c>
      <c r="AU25" s="165">
        <f t="shared" si="109"/>
        <v>0</v>
      </c>
      <c r="AV25" s="179"/>
      <c r="AW25" s="200">
        <f t="shared" si="16"/>
        <v>19</v>
      </c>
      <c r="AX25" s="170">
        <f t="shared" si="17"/>
        <v>240</v>
      </c>
      <c r="AY25" s="164"/>
      <c r="AZ25" s="215">
        <f t="shared" si="18"/>
        <v>7.3970000000000002</v>
      </c>
      <c r="BA25" s="197"/>
      <c r="BB25" s="228">
        <f t="shared" si="19"/>
        <v>0.25224000000000002</v>
      </c>
      <c r="BC25" s="161"/>
      <c r="BD25" s="240">
        <f t="shared" si="20"/>
        <v>7.3550000000000004</v>
      </c>
      <c r="BE25" s="196"/>
      <c r="BF25" s="240">
        <f t="shared" si="21"/>
        <v>7.3970000000000002</v>
      </c>
      <c r="BG25" s="196"/>
      <c r="BH25" s="189"/>
      <c r="BI25" s="227">
        <f t="shared" si="22"/>
        <v>0</v>
      </c>
      <c r="BJ25" s="197"/>
      <c r="BK25" s="167">
        <f t="shared" si="23"/>
        <v>0</v>
      </c>
      <c r="BL25" s="161"/>
      <c r="BM25" s="240">
        <f t="shared" si="24"/>
        <v>0</v>
      </c>
      <c r="BN25" s="196"/>
      <c r="BO25" s="240">
        <f t="shared" si="25"/>
        <v>0</v>
      </c>
      <c r="BP25" s="196"/>
      <c r="BQ25" s="161"/>
      <c r="BR25" s="381"/>
      <c r="BS25" s="392">
        <f t="shared" si="122"/>
        <v>12597401.699999999</v>
      </c>
      <c r="BT25" s="376"/>
      <c r="BU25" s="393">
        <f t="shared" ref="BU25:BU28" si="144">+IF(OR(CF25="", CB26="", CF25=0, CB26=0), "", IF($BU$1=FALSE, CF25-CB26, -CF25+CB26))</f>
        <v>2.1870000000000003</v>
      </c>
      <c r="BV25" s="310"/>
      <c r="BW25" s="311">
        <f t="shared" si="110"/>
        <v>247.35499999999999</v>
      </c>
      <c r="BX25" s="372"/>
      <c r="BY25" s="440"/>
      <c r="BZ25" s="432">
        <v>5.5229999999999997</v>
      </c>
      <c r="CA25" s="372"/>
      <c r="CB25" s="572">
        <f>+IF($BU$1=FALSE, IF(BD25=0, "", BD25), IF(BM25=0,"", BM25))</f>
        <v>7.3550000000000004</v>
      </c>
      <c r="CC25" s="567">
        <f t="shared" si="29"/>
        <v>5</v>
      </c>
      <c r="CD25" s="814">
        <f t="shared" si="30"/>
        <v>240</v>
      </c>
      <c r="CE25" s="569">
        <f t="shared" si="31"/>
        <v>11</v>
      </c>
      <c r="CF25" s="574">
        <f t="shared" si="141"/>
        <v>7.3970000000000002</v>
      </c>
      <c r="CG25" s="372"/>
      <c r="CH25" s="435">
        <v>0.127</v>
      </c>
      <c r="CI25" s="436"/>
      <c r="CJ25" s="372">
        <v>50</v>
      </c>
      <c r="CK25" s="391">
        <f t="shared" si="111"/>
        <v>247.39699999999999</v>
      </c>
      <c r="CL25" s="396">
        <f>+IF(OR(CF26="", CB25="", CF26=0, CB25=0), "", IF($BU$1=FALSE, CB25-CF26,- CB25+CF26))</f>
        <v>2.0450000000000008</v>
      </c>
      <c r="CM25" s="370"/>
      <c r="CN25" s="161"/>
      <c r="CO25" s="161"/>
      <c r="CP25" s="161"/>
      <c r="CQ25" s="161"/>
      <c r="CR25" s="161"/>
      <c r="CS25" s="161"/>
      <c r="CT25" s="161"/>
      <c r="CU25" s="161"/>
      <c r="CV25" s="161"/>
      <c r="CW25" s="161"/>
      <c r="CX25" s="161"/>
      <c r="CY25" s="161"/>
      <c r="CZ25" s="161"/>
      <c r="DA25" s="161"/>
      <c r="DB25" s="161"/>
      <c r="DC25" s="161"/>
      <c r="DD25" s="161"/>
      <c r="DE25" s="161"/>
      <c r="DF25" s="161"/>
      <c r="DG25" s="161"/>
      <c r="DH25" s="161"/>
      <c r="DI25" s="161"/>
      <c r="DJ25" s="161"/>
      <c r="DK25" s="242">
        <f t="shared" si="123"/>
        <v>0</v>
      </c>
      <c r="DL25" s="217"/>
      <c r="DM25" s="490">
        <f t="shared" si="34"/>
        <v>0</v>
      </c>
      <c r="DN25" s="242">
        <f t="shared" si="35"/>
        <v>0</v>
      </c>
      <c r="DO25" s="243">
        <f t="shared" si="36"/>
        <v>0</v>
      </c>
      <c r="DP25" s="217"/>
      <c r="DQ25" s="252">
        <f t="shared" si="120"/>
        <v>0</v>
      </c>
      <c r="DR25" s="217"/>
      <c r="DS25" s="242">
        <f t="shared" si="38"/>
        <v>0</v>
      </c>
      <c r="DT25" s="242">
        <f t="shared" si="39"/>
        <v>0</v>
      </c>
      <c r="DU25" s="244">
        <f t="shared" si="40"/>
        <v>0</v>
      </c>
      <c r="DV25" s="217"/>
      <c r="DW25" s="428">
        <f>+IF(OR(AE25 = "", AND(AH25 = "", AK25 = "")), "",IFERROR(+AH25 * CallDelta($AG$1,AE25,($BM$1/365), $V$15, $AZ$1, $V$17), 0) + IFERROR(AK25 * Putdelta($AG$1,AE25,($BM$1/365), $V$15, $AZ$1, $V$17), 0))</f>
        <v>0</v>
      </c>
      <c r="DX25" s="245">
        <f>+IF(OR(AE25 = "", AND(AH25 = "", AK25 = "")), "",IFERROR(+AH25 * OptionGamma($AG$1,AE25,($BM$1/365), $V$15, $AZ$1, $V$17), 0) + IFERROR(AK25 * OptionGamma($AG$1,AE25,($BM$1/365), $V$15, $AZ$1, $V$17), 0))</f>
        <v>0</v>
      </c>
      <c r="DY25" s="161"/>
      <c r="DZ25" s="267">
        <f t="shared" si="127"/>
        <v>0</v>
      </c>
      <c r="EA25" s="217"/>
      <c r="EB25" s="267">
        <f t="shared" si="42"/>
        <v>0</v>
      </c>
      <c r="EC25" s="267">
        <f t="shared" si="43"/>
        <v>0</v>
      </c>
      <c r="ED25" s="247">
        <f t="shared" si="44"/>
        <v>0</v>
      </c>
      <c r="EE25" s="217"/>
      <c r="EF25" s="267">
        <f t="shared" si="129"/>
        <v>0</v>
      </c>
      <c r="EG25" s="217"/>
      <c r="EH25" s="267">
        <f t="shared" si="46"/>
        <v>0</v>
      </c>
      <c r="EI25" s="246">
        <f t="shared" si="47"/>
        <v>0</v>
      </c>
      <c r="EJ25" s="248">
        <f t="shared" si="48"/>
        <v>0</v>
      </c>
      <c r="EK25" s="217"/>
      <c r="EL25" s="251">
        <f>+IF(OR(AE25 = "", AND(AQ25 = "", AT25 = "")), "",IFERROR(+AQ25 * CallDelta($AG$1,AE25,($BM$1/365), $V$15, $AZ$1, $V$17), 0) + IFERROR(AT25 * Putdelta($AG$1,AE25,($BM$1/365), $V$15, $AZ$1, $V$17), 0))</f>
        <v>0</v>
      </c>
      <c r="EM25" s="249">
        <f>+IF(OR(AE25 = "", AND(AQ25 = "", AT25 = "")), "",IFERROR(+AQ25 * OptionGamma($AG$1,AE25,($BM$1/365), $V$15, $AZ$1, $V$17), 0) + IFERROR(AT25 * OptionGamma($AG$1,AE25,($BM$1/365), $V$15, $AZ$1, $V$17), 0))</f>
        <v>0</v>
      </c>
      <c r="EN25" s="451">
        <f t="shared" si="49"/>
        <v>45.497894287109375</v>
      </c>
      <c r="EO25" s="418">
        <f>+IF(AE25 = "", "",ImpliedCallVolatility($AG$1, $AE25,($BM$1/365), $V$15, $AZ25, $V$17) * 100)</f>
        <v>45.650482177734375</v>
      </c>
      <c r="EP25" s="418">
        <f>+IF(AE25 = "", "",ImpliedCallVolatility($AG$1, $AE25,($BM$1/365), $V$15, BD25, $V$17) * 100)</f>
        <v>45.497894287109375</v>
      </c>
      <c r="EQ25" s="418">
        <f>+IF(AE25 = "", "",ImpliedCallVolatility($AG$1, $AE25,($BM$1/365), $V$15, BF25, $V$17) * 100)</f>
        <v>45.650482177734375</v>
      </c>
      <c r="ER25" s="411">
        <f t="shared" si="50"/>
        <v>7.3970000000000002</v>
      </c>
      <c r="ES25" s="411">
        <f t="shared" si="51"/>
        <v>7.3550000000000004</v>
      </c>
      <c r="ET25" s="411">
        <f t="shared" si="52"/>
        <v>7.3970000000000002</v>
      </c>
      <c r="EU25" s="416">
        <f>IF($FC$1 = 1,
IF(AE25 = "", "",OptionGamma($AG$1,AE25,($BM$1/365), $V$15, $AZ$1, $V$17) * 1000),
IF($FC$1 = 2, IF(OR(AE25 = "", BD25 =  0), "",IF(AE25 &lt; $AG$1, (((AE25 * (1 - COMIS_ACCION)) / (($AG$1 * (1 + COMIS_ACCION)) - (BD25 * (1 - COMIS_OPCION)))) - 1) * 100 / $BM$1 * 365,((($AG$1 * (1 - COMIS_ACCION)) / (($AG$1 * (1 + COMIS_ACCION)) - (BD25 * (1 - COMIS_OPCION)))) - 1) * 100 / $BM$1 * 365))))</f>
        <v>11.439045379138262</v>
      </c>
      <c r="EV25" s="276">
        <f>+IF(AE25 = "", "",CallOption($AG$1, $AE25,($BM$1/365), $V$15, $AZ$1, $V$17))</f>
        <v>5.5622740458975528</v>
      </c>
      <c r="EW25" s="271">
        <f t="shared" si="53"/>
        <v>-7.4462270350000006</v>
      </c>
      <c r="EX25" s="272">
        <f t="shared" si="54"/>
        <v>-31.873414199999971</v>
      </c>
      <c r="EY25" s="274">
        <f t="shared" si="55"/>
        <v>28.826585800000029</v>
      </c>
      <c r="EZ25" s="272">
        <f t="shared" si="56"/>
        <v>-240.40656000000001</v>
      </c>
      <c r="FA25" s="272">
        <f t="shared" si="57"/>
        <v>239.59344000000002</v>
      </c>
      <c r="FB25" s="530">
        <f>+IF($FC$1 = 1, IF(AE25 = "", "",IFERROR( VLOOKUP(N25, PreciosCalls, 13, FALSE), 0)),
IF($FC$1 = 2,  IF(AE25 = "", "",OptionGamma($AG$1,AE25,($BM$1/365), $V$15, $AZ$1, $V$17) * 1000)))</f>
        <v>17817</v>
      </c>
      <c r="FC25" s="530">
        <f>IF($FC$1 = 1, IF(AE25 = "", "",IFERROR( VLOOKUP(N25, PreciosCalls, 14, FALSE), 0)),
IF($FC$1 = 2, IF(AE25 = "", "",CallDelta($AG$1,AE25,($BM$1/365), $V$15, $AZ$1, $V$17) * 100)))</f>
        <v>0</v>
      </c>
      <c r="FD25" s="531">
        <f t="shared" si="58"/>
        <v>7.0704392995453773</v>
      </c>
      <c r="FE25" s="530">
        <f t="shared" si="59"/>
        <v>12597401.699999999</v>
      </c>
      <c r="FF25" s="217"/>
      <c r="FG25" s="273">
        <f t="shared" si="60"/>
        <v>1.3956603773584906</v>
      </c>
      <c r="FH25" s="273">
        <f t="shared" si="61"/>
        <v>1.9991891891891891</v>
      </c>
      <c r="FI25" s="451">
        <f t="shared" si="62"/>
        <v>3.814697265625E-3</v>
      </c>
      <c r="FJ25" s="419">
        <f>+IF(AE25 = "", "",ImpliedPutVolatility($AG$1, $AE25,($BM$1/365), $V$15, BI25, $V$17) * 100)</f>
        <v>3.814697265625E-3</v>
      </c>
      <c r="FK25" s="419">
        <f>+IF(AE25 = "", "",ImpliedPutVolatility($AG$1, $AE25,($BM$1/365), $V$15, BM25, $V$17) * 100)</f>
        <v>3.814697265625E-3</v>
      </c>
      <c r="FL25" s="419">
        <f>+IF(AE25 = "", "",ImpliedPutVolatility($AG$1, $AE25,($BM$1/365), $V$15, BO25, $V$17) * 100)</f>
        <v>3.814697265625E-3</v>
      </c>
      <c r="FM25" s="415" t="str">
        <f t="shared" si="63"/>
        <v/>
      </c>
      <c r="FN25" s="415" t="str">
        <f t="shared" si="64"/>
        <v/>
      </c>
      <c r="FO25" s="415" t="str">
        <f t="shared" si="65"/>
        <v/>
      </c>
      <c r="FP25" s="417">
        <f>IF($FX$1=1, IF(AE25 = "", "",OptionGamma($AG$1,AE25,($BM$1/365), $V$15, $AZ$1, $V$17) * 1000),
IF($FX$1 = 2, IF(OR(AE25 = "", BM25 =  0), "",((BM25 * (1 - COMIS_OPCION)) / (AE25 * (1 + COMIS_ACCION))) * 100 / $BM$1 * 365)))</f>
        <v>11.439045379138262</v>
      </c>
      <c r="FQ25" s="289">
        <f>+IF(AE25 = "", "",PutOption($AG$1, $AE25,($BM$1/365), $V$15, $AZ$1, $V$17))</f>
        <v>24.138545040813852</v>
      </c>
      <c r="FR25" s="279"/>
      <c r="FS25" s="284">
        <f t="shared" si="66"/>
        <v>28.826585800000029</v>
      </c>
      <c r="FT25" s="284">
        <f t="shared" si="67"/>
        <v>-31.873414199999971</v>
      </c>
      <c r="FU25" s="279"/>
      <c r="FV25" s="279"/>
      <c r="FW25" s="287">
        <f>+IF($FX$1 = 1, IFERROR(VLOOKUP(P25, PreciosPuts, 13, FALSE), 0),
IF($FX$1 = 2, IF(AE25 = "", "",OptionGamma($AG$1,AE25,($BM$1/365), $V$15, $AZ$1, $V$17) * 1000)))</f>
        <v>0</v>
      </c>
      <c r="FX25" s="287">
        <f>+IF($FX$1=1, IF(AE25 = "", "",IFERROR(VLOOKUP(P25, PreciosPuts, 14, FALSE), 0)),
IF($FX$1=2, IF(AE25 = "", "",Putdelta($AG$1,AE25,($BM$1/365), $V$15, $AZ$1, $V$17) * 100)))</f>
        <v>0</v>
      </c>
      <c r="FY25" s="286">
        <f t="shared" si="69"/>
        <v>0</v>
      </c>
      <c r="FZ25" s="287">
        <f t="shared" si="70"/>
        <v>0</v>
      </c>
      <c r="GA25" s="217"/>
      <c r="GB25" s="281"/>
      <c r="GC25" s="281"/>
      <c r="GD25" s="217"/>
      <c r="GE25" s="301" t="str">
        <f t="shared" si="71"/>
        <v/>
      </c>
      <c r="GF25" s="292" t="str">
        <f t="shared" si="72"/>
        <v/>
      </c>
      <c r="GG25" s="293" t="str">
        <f t="shared" si="73"/>
        <v/>
      </c>
      <c r="GH25" s="294" t="str">
        <f t="shared" si="124"/>
        <v/>
      </c>
      <c r="GI25" s="294">
        <v>19</v>
      </c>
      <c r="GJ25" s="217"/>
      <c r="GK25" s="305" t="str">
        <f t="shared" si="74"/>
        <v/>
      </c>
      <c r="GL25" s="299" t="str">
        <f t="shared" si="75"/>
        <v/>
      </c>
      <c r="GM25" s="300" t="str">
        <f t="shared" si="76"/>
        <v/>
      </c>
      <c r="GN25" s="225" t="str">
        <f t="shared" si="121"/>
        <v/>
      </c>
      <c r="GO25" s="225">
        <v>19</v>
      </c>
      <c r="GP25" s="217"/>
      <c r="GQ25" s="217"/>
      <c r="GR25" s="401">
        <f t="shared" si="132"/>
        <v>1</v>
      </c>
      <c r="GT25" s="282">
        <f t="shared" si="78"/>
        <v>-0.70188804999999954</v>
      </c>
      <c r="GU25" s="282">
        <f t="shared" si="79"/>
        <v>-1.995439725</v>
      </c>
      <c r="GV25" s="282">
        <f t="shared" si="80"/>
        <v>-3.7319196000000008</v>
      </c>
      <c r="GW25" s="282">
        <f t="shared" si="81"/>
        <v>-6.3643224250000001</v>
      </c>
      <c r="GX25" s="282">
        <f t="shared" si="82"/>
        <v>-8.9339417671052637</v>
      </c>
      <c r="GY25" s="282">
        <f t="shared" si="83"/>
        <v>-11.774086394999999</v>
      </c>
      <c r="GZ25" s="282">
        <f t="shared" si="115"/>
        <v>-17.379101168800005</v>
      </c>
      <c r="HA25" s="282">
        <f t="shared" si="84"/>
        <v>-1.0491840249999997</v>
      </c>
      <c r="HB25" s="282">
        <f t="shared" si="116"/>
        <v>-1.216959858333333</v>
      </c>
      <c r="HC25" s="607" t="str">
        <f t="shared" si="85"/>
        <v/>
      </c>
      <c r="HD25" s="282" t="str">
        <f t="shared" si="86"/>
        <v/>
      </c>
      <c r="HE25" s="282" t="str">
        <f t="shared" si="87"/>
        <v/>
      </c>
      <c r="HF25" s="282" t="str">
        <f t="shared" si="88"/>
        <v/>
      </c>
      <c r="HG25" s="217"/>
      <c r="HH25" s="282" t="str">
        <f t="shared" si="89"/>
        <v/>
      </c>
      <c r="HI25" s="282" t="str">
        <f t="shared" si="90"/>
        <v/>
      </c>
      <c r="HJ25" s="282"/>
      <c r="HK25" s="282"/>
      <c r="HL25" s="217"/>
      <c r="HM25" s="420"/>
      <c r="HN25" s="420"/>
      <c r="HO25" s="420"/>
      <c r="HP25" s="420"/>
      <c r="HQ25" s="282">
        <f t="shared" si="91"/>
        <v>-1.2169598583333325</v>
      </c>
      <c r="HR25" s="420"/>
      <c r="HS25" s="420"/>
      <c r="HT25" s="420"/>
      <c r="HU25" s="420"/>
      <c r="HV25" s="420"/>
      <c r="HW25" s="420"/>
      <c r="HX25" s="425"/>
      <c r="HY25" s="338"/>
      <c r="HZ25" s="338"/>
      <c r="IA25" s="161"/>
      <c r="IB25" s="161"/>
      <c r="IC25" s="162"/>
      <c r="ID25" s="162"/>
      <c r="IE25" s="49"/>
      <c r="IF25" s="55"/>
      <c r="IG25" s="58"/>
      <c r="IH25" s="545">
        <f t="shared" si="117"/>
        <v>14.476508466491778</v>
      </c>
      <c r="IJ25" s="146">
        <v>19</v>
      </c>
      <c r="IK25" s="545">
        <f t="shared" si="142"/>
        <v>240</v>
      </c>
      <c r="IL25" s="106">
        <f t="shared" si="93"/>
        <v>0.14476508466491778</v>
      </c>
      <c r="IM25" s="110">
        <f t="shared" si="128"/>
        <v>240</v>
      </c>
      <c r="IN25" s="111">
        <f t="shared" si="118"/>
        <v>78484.761249999952</v>
      </c>
      <c r="IO25" s="50">
        <f t="shared" si="135"/>
        <v>0</v>
      </c>
      <c r="IP25" s="50">
        <f t="shared" si="135"/>
        <v>0</v>
      </c>
      <c r="IQ25" s="50">
        <f t="shared" si="135"/>
        <v>0</v>
      </c>
      <c r="IR25" s="50">
        <f t="shared" si="135"/>
        <v>0</v>
      </c>
      <c r="IS25" s="50">
        <f t="shared" si="135"/>
        <v>0</v>
      </c>
      <c r="IT25" s="50">
        <f t="shared" si="135"/>
        <v>0</v>
      </c>
      <c r="IU25" s="50">
        <f t="shared" si="135"/>
        <v>0</v>
      </c>
      <c r="IV25" s="50">
        <f t="shared" si="135"/>
        <v>0</v>
      </c>
      <c r="IW25" s="50">
        <f t="shared" si="135"/>
        <v>0</v>
      </c>
      <c r="IX25" s="50">
        <f t="shared" si="135"/>
        <v>0</v>
      </c>
      <c r="IY25" s="50">
        <f t="shared" si="136"/>
        <v>0</v>
      </c>
      <c r="IZ25" s="50">
        <f t="shared" si="136"/>
        <v>0</v>
      </c>
      <c r="JA25" s="50">
        <f t="shared" si="136"/>
        <v>275000</v>
      </c>
      <c r="JB25" s="50">
        <f t="shared" si="136"/>
        <v>0</v>
      </c>
      <c r="JC25" s="50">
        <f t="shared" si="136"/>
        <v>0</v>
      </c>
      <c r="JD25" s="50">
        <f t="shared" si="136"/>
        <v>0</v>
      </c>
      <c r="JE25" s="50">
        <f t="shared" si="136"/>
        <v>-150000</v>
      </c>
      <c r="JF25" s="50">
        <f t="shared" si="136"/>
        <v>0</v>
      </c>
      <c r="JG25" s="50">
        <f t="shared" si="136"/>
        <v>0</v>
      </c>
      <c r="JH25" s="50">
        <f t="shared" si="136"/>
        <v>0</v>
      </c>
      <c r="JI25" s="50">
        <f t="shared" si="137"/>
        <v>0</v>
      </c>
      <c r="JJ25" s="50">
        <f t="shared" si="137"/>
        <v>0</v>
      </c>
      <c r="JK25" s="50">
        <f t="shared" si="137"/>
        <v>0</v>
      </c>
      <c r="JL25" s="50">
        <f t="shared" si="137"/>
        <v>0</v>
      </c>
      <c r="JM25" s="50">
        <f t="shared" si="137"/>
        <v>0</v>
      </c>
      <c r="JN25" s="50">
        <f t="shared" si="137"/>
        <v>0</v>
      </c>
      <c r="JO25" s="50">
        <f t="shared" si="137"/>
        <v>0</v>
      </c>
      <c r="JP25" s="50">
        <f t="shared" si="137"/>
        <v>0</v>
      </c>
      <c r="JQ25" s="50">
        <f t="shared" si="137"/>
        <v>0</v>
      </c>
      <c r="JR25" s="50">
        <f t="shared" si="137"/>
        <v>0</v>
      </c>
      <c r="JS25" s="50">
        <f t="shared" si="138"/>
        <v>0</v>
      </c>
      <c r="JT25" s="50">
        <f t="shared" si="138"/>
        <v>0</v>
      </c>
      <c r="JU25" s="50" t="str">
        <f t="shared" si="138"/>
        <v/>
      </c>
      <c r="JV25" s="50" t="str">
        <f t="shared" si="138"/>
        <v/>
      </c>
      <c r="JW25" s="50" t="str">
        <f t="shared" si="138"/>
        <v/>
      </c>
      <c r="JX25" s="50" t="str">
        <f t="shared" si="138"/>
        <v/>
      </c>
      <c r="JY25" s="50" t="str">
        <f t="shared" si="138"/>
        <v/>
      </c>
      <c r="JZ25" s="50" t="str">
        <f t="shared" si="138"/>
        <v/>
      </c>
      <c r="KA25" s="50" t="str">
        <f t="shared" si="138"/>
        <v/>
      </c>
      <c r="KB25" s="50" t="str">
        <f t="shared" si="138"/>
        <v/>
      </c>
      <c r="KC25" s="50" t="str">
        <f t="shared" si="138"/>
        <v/>
      </c>
      <c r="KD25" s="50" t="str">
        <f t="shared" si="138"/>
        <v/>
      </c>
    </row>
    <row r="26" spans="2:290" s="144" customFormat="1" ht="15" customHeight="1" thickBot="1">
      <c r="B26" s="146">
        <v>20</v>
      </c>
      <c r="C26" s="121" t="str">
        <f t="shared" si="99"/>
        <v>GFGC250.AB</v>
      </c>
      <c r="D26" s="121" t="str">
        <f t="shared" si="100"/>
        <v>GFGV250.AB</v>
      </c>
      <c r="E26" s="122">
        <f t="shared" si="1"/>
        <v>250</v>
      </c>
      <c r="F26" s="123">
        <f t="shared" si="2"/>
        <v>-25</v>
      </c>
      <c r="G26" s="123" t="str">
        <f t="shared" si="3"/>
        <v/>
      </c>
      <c r="H26" s="124">
        <f t="shared" si="4"/>
        <v>5.3</v>
      </c>
      <c r="I26" s="124" t="str">
        <f t="shared" si="5"/>
        <v/>
      </c>
      <c r="J26" s="124" t="str">
        <f t="shared" si="6"/>
        <v/>
      </c>
      <c r="K26" s="124" t="str">
        <f t="shared" si="7"/>
        <v/>
      </c>
      <c r="M26" s="158">
        <f t="shared" si="8"/>
        <v>12</v>
      </c>
      <c r="N26" s="121" t="str">
        <f t="shared" si="9"/>
        <v>GFGC250.AB</v>
      </c>
      <c r="O26" s="158">
        <f t="shared" si="10"/>
        <v>12</v>
      </c>
      <c r="P26" s="121" t="str">
        <f t="shared" si="11"/>
        <v>GFGV250.AB</v>
      </c>
      <c r="R26" s="159"/>
      <c r="S26" s="160" t="str">
        <f t="shared" si="12"/>
        <v/>
      </c>
      <c r="U26" s="234" t="s">
        <v>206</v>
      </c>
      <c r="V26" s="140">
        <v>85</v>
      </c>
      <c r="X26" s="200">
        <v>20</v>
      </c>
      <c r="Y26" s="546">
        <f t="shared" si="13"/>
        <v>19.246362985928922</v>
      </c>
      <c r="Z26" s="540">
        <f t="shared" si="14"/>
        <v>78484.761249999952</v>
      </c>
      <c r="AA26" s="179"/>
      <c r="AB26" s="540">
        <f t="shared" si="15"/>
        <v>0</v>
      </c>
      <c r="AC26" s="161"/>
      <c r="AD26" s="200">
        <v>20</v>
      </c>
      <c r="AE26" s="825">
        <f>+IF(AD26 = 1, $V$7, IF(AE25 &gt; ($V$9 - $V$8), "", IF(ISBLANK(AF26), AE25 + $V$8, AF26)))</f>
        <v>250</v>
      </c>
      <c r="AF26" s="201">
        <v>250</v>
      </c>
      <c r="AG26" s="161"/>
      <c r="AH26" s="177">
        <f t="shared" si="102"/>
        <v>-25</v>
      </c>
      <c r="AI26" s="166">
        <f t="shared" si="103"/>
        <v>0</v>
      </c>
      <c r="AJ26" s="179"/>
      <c r="AK26" s="177">
        <f t="shared" si="104"/>
        <v>0</v>
      </c>
      <c r="AL26" s="166">
        <f t="shared" si="105"/>
        <v>0</v>
      </c>
      <c r="AM26" s="179"/>
      <c r="AN26" s="177"/>
      <c r="AO26" s="166"/>
      <c r="AP26" s="179"/>
      <c r="AQ26" s="176">
        <f t="shared" si="106"/>
        <v>0</v>
      </c>
      <c r="AR26" s="165">
        <f t="shared" si="107"/>
        <v>0</v>
      </c>
      <c r="AS26" s="179"/>
      <c r="AT26" s="176">
        <f t="shared" si="108"/>
        <v>0</v>
      </c>
      <c r="AU26" s="165">
        <f t="shared" si="109"/>
        <v>0</v>
      </c>
      <c r="AV26" s="179"/>
      <c r="AW26" s="200">
        <f t="shared" si="16"/>
        <v>20</v>
      </c>
      <c r="AX26" s="170">
        <f t="shared" si="17"/>
        <v>250</v>
      </c>
      <c r="AY26" s="164"/>
      <c r="AZ26" s="215">
        <f t="shared" si="18"/>
        <v>5.3</v>
      </c>
      <c r="BA26" s="197"/>
      <c r="BB26" s="228">
        <f t="shared" si="19"/>
        <v>0.30348999999999998</v>
      </c>
      <c r="BC26" s="161"/>
      <c r="BD26" s="240">
        <f t="shared" si="20"/>
        <v>5.21</v>
      </c>
      <c r="BE26" s="196"/>
      <c r="BF26" s="240">
        <f t="shared" si="21"/>
        <v>5.31</v>
      </c>
      <c r="BG26" s="196"/>
      <c r="BH26" s="189"/>
      <c r="BI26" s="227">
        <f t="shared" si="22"/>
        <v>0</v>
      </c>
      <c r="BJ26" s="197"/>
      <c r="BK26" s="167">
        <f t="shared" si="23"/>
        <v>0</v>
      </c>
      <c r="BL26" s="161"/>
      <c r="BM26" s="240">
        <f t="shared" si="24"/>
        <v>0</v>
      </c>
      <c r="BN26" s="196"/>
      <c r="BO26" s="240">
        <f t="shared" si="25"/>
        <v>0</v>
      </c>
      <c r="BP26" s="196"/>
      <c r="BQ26" s="161"/>
      <c r="BR26" s="381"/>
      <c r="BS26" s="392">
        <f t="shared" si="122"/>
        <v>7148453.7999999998</v>
      </c>
      <c r="BT26" s="376"/>
      <c r="BU26" s="393">
        <f>+IF(OR(CF26="", CB27="", CF26=0, CB27=0), "", IF($BU$1=FALSE, CF26-CB27, -CF26+CB27))</f>
        <v>1.7089999999999996</v>
      </c>
      <c r="BV26" s="310"/>
      <c r="BW26" s="311">
        <f t="shared" si="110"/>
        <v>255.21</v>
      </c>
      <c r="BX26" s="372"/>
      <c r="BY26" s="440"/>
      <c r="BZ26" s="432">
        <v>0.313</v>
      </c>
      <c r="CA26" s="372"/>
      <c r="CB26" s="572">
        <f t="shared" ref="CB26:CB27" si="145">+IF($BU$1=FALSE, IF(BD26=0, "", BD26), IF(BM26=0,"", BM26))</f>
        <v>5.21</v>
      </c>
      <c r="CC26" s="567">
        <f t="shared" si="29"/>
        <v>49</v>
      </c>
      <c r="CD26" s="814">
        <f t="shared" si="30"/>
        <v>250</v>
      </c>
      <c r="CE26" s="569">
        <f t="shared" si="31"/>
        <v>10</v>
      </c>
      <c r="CF26" s="574">
        <f t="shared" si="141"/>
        <v>5.31</v>
      </c>
      <c r="CG26" s="372"/>
      <c r="CH26" s="435">
        <v>5.3</v>
      </c>
      <c r="CI26" s="436"/>
      <c r="CJ26" s="372"/>
      <c r="CK26" s="391">
        <f t="shared" si="111"/>
        <v>255.31</v>
      </c>
      <c r="CL26" s="396">
        <f t="shared" si="140"/>
        <v>1.5099999999999998</v>
      </c>
      <c r="CM26" s="370"/>
      <c r="CN26" s="161"/>
      <c r="CO26" s="161"/>
      <c r="CP26" s="161"/>
      <c r="CQ26" s="161"/>
      <c r="CR26" s="161"/>
      <c r="CS26" s="161"/>
      <c r="CT26" s="161"/>
      <c r="CU26" s="161"/>
      <c r="CV26" s="161"/>
      <c r="CW26" s="161"/>
      <c r="CX26" s="161"/>
      <c r="CY26" s="161"/>
      <c r="CZ26" s="161"/>
      <c r="DA26" s="161"/>
      <c r="DB26" s="161"/>
      <c r="DC26" s="161"/>
      <c r="DD26" s="161"/>
      <c r="DE26" s="161"/>
      <c r="DF26" s="161"/>
      <c r="DG26" s="161"/>
      <c r="DH26" s="161"/>
      <c r="DI26" s="161"/>
      <c r="DJ26" s="161"/>
      <c r="DK26" s="242">
        <f t="shared" si="123"/>
        <v>0</v>
      </c>
      <c r="DL26" s="217"/>
      <c r="DM26" s="490">
        <f t="shared" si="34"/>
        <v>-13250</v>
      </c>
      <c r="DN26" s="242">
        <f t="shared" si="35"/>
        <v>-13250</v>
      </c>
      <c r="DO26" s="243">
        <f t="shared" si="36"/>
        <v>0</v>
      </c>
      <c r="DP26" s="217"/>
      <c r="DQ26" s="252">
        <f t="shared" si="120"/>
        <v>0</v>
      </c>
      <c r="DR26" s="217"/>
      <c r="DS26" s="242">
        <f t="shared" si="38"/>
        <v>0</v>
      </c>
      <c r="DT26" s="242">
        <f t="shared" si="39"/>
        <v>0</v>
      </c>
      <c r="DU26" s="244">
        <f t="shared" si="40"/>
        <v>0</v>
      </c>
      <c r="DV26" s="217"/>
      <c r="DW26" s="428">
        <f>+IF(OR(AE26 = "", AND(AH26 = "", AK26 = "")), "",IFERROR(+AH26 * CallDelta($AG$1,AE26,($BM$1/365), $V$15, $AZ$1, $V$17), 0) + IFERROR(AK26 * Putdelta($AG$1,AE26,($BM$1/365), $V$15, $AZ$1, $V$17), 0))</f>
        <v>-5.3953813722341009</v>
      </c>
      <c r="DX26" s="245">
        <f>+IF(OR(AE26 = "", AND(AH26 = "", AK26 = "")), "",IFERROR(+AH26 * OptionGamma($AG$1,AE26,($BM$1/365), $V$15, $AZ$1, $V$17), 0) + IFERROR(AK26 * OptionGamma($AG$1,AE26,($BM$1/365), $V$15, $AZ$1, $V$17), 0))</f>
        <v>-0.23873952403684146</v>
      </c>
      <c r="DY26" s="161"/>
      <c r="DZ26" s="267">
        <f t="shared" si="127"/>
        <v>0</v>
      </c>
      <c r="EA26" s="217"/>
      <c r="EB26" s="267">
        <f t="shared" si="42"/>
        <v>0</v>
      </c>
      <c r="EC26" s="267">
        <f t="shared" si="43"/>
        <v>0</v>
      </c>
      <c r="ED26" s="247">
        <f t="shared" si="44"/>
        <v>0</v>
      </c>
      <c r="EE26" s="217"/>
      <c r="EF26" s="267">
        <f t="shared" si="129"/>
        <v>0</v>
      </c>
      <c r="EG26" s="217"/>
      <c r="EH26" s="267">
        <f t="shared" si="46"/>
        <v>0</v>
      </c>
      <c r="EI26" s="246">
        <f t="shared" si="47"/>
        <v>0</v>
      </c>
      <c r="EJ26" s="248">
        <f t="shared" si="48"/>
        <v>0</v>
      </c>
      <c r="EK26" s="217"/>
      <c r="EL26" s="251">
        <f>+IF(OR(AE26 = "", AND(AQ26 = "", AT26 = "")), "",IFERROR(+AQ26 * CallDelta($AG$1,AE26,($BM$1/365), $V$15, $AZ$1, $V$17), 0) + IFERROR(AT26 * Putdelta($AG$1,AE26,($BM$1/365), $V$15, $AZ$1, $V$17), 0))</f>
        <v>0</v>
      </c>
      <c r="EM26" s="249">
        <f>+IF(OR(AE26 = "", AND(AQ26 = "", AT26 = "")), "",IFERROR(+AQ26 * OptionGamma($AG$1,AE26,($BM$1/365), $V$15, $AZ$1, $V$17), 0) + IFERROR(AT26 * OptionGamma($AG$1,AE26,($BM$1/365), $V$15, $AZ$1, $V$17), 0))</f>
        <v>0</v>
      </c>
      <c r="EN26" s="451">
        <f t="shared" si="49"/>
        <v>46.077728271484375</v>
      </c>
      <c r="EO26" s="418">
        <f>+IF(AE26 = "", "",ImpliedCallVolatility($AG$1, $AE26,($BM$1/365), $V$15, $AZ26, $V$17) * 100)</f>
        <v>46.428680419921875</v>
      </c>
      <c r="EP26" s="418">
        <f>+IF(AE26 = "", "",ImpliedCallVolatility($AG$1, $AE26,($BM$1/365), $V$15, BD26, $V$17) * 100)</f>
        <v>46.077728271484375</v>
      </c>
      <c r="EQ26" s="418">
        <f>+IF(AE26 = "", "",ImpliedCallVolatility($AG$1, $AE26,($BM$1/365), $V$15, BF26, $V$17) * 100)</f>
        <v>46.466827392578125</v>
      </c>
      <c r="ER26" s="411">
        <f t="shared" si="50"/>
        <v>5.3</v>
      </c>
      <c r="ES26" s="411">
        <f t="shared" si="51"/>
        <v>5.21</v>
      </c>
      <c r="ET26" s="411">
        <f t="shared" si="52"/>
        <v>5.31</v>
      </c>
      <c r="EU26" s="416">
        <f>IF($FC$1 = 1,
IF(AE26 = "", "",OptionGamma($AG$1,AE26,($BM$1/365), $V$15, $AZ$1, $V$17) * 1000),
IF($FC$1 = 2, IF(OR(AE26 = "", BD26 =  0), "",IF(AE26 &lt; $AG$1, (((AE26 * (1 - COMIS_ACCION)) / (($AG$1 * (1 + COMIS_ACCION)) - (BD26 * (1 - COMIS_OPCION)))) - 1) * 100 / $BM$1 * 365,((($AG$1 * (1 - COMIS_ACCION)) / (($AG$1 * (1 + COMIS_ACCION)) - (BD26 * (1 - COMIS_OPCION)))) - 1) * 100 / $BM$1 * 365))))</f>
        <v>9.5495809614736586</v>
      </c>
      <c r="EV26" s="276">
        <f>+IF(AE26 = "", "",CallOption($AG$1, $AE26,($BM$1/365), $V$15, $AZ$1, $V$17))</f>
        <v>3.5241624301909766</v>
      </c>
      <c r="EW26" s="271">
        <f t="shared" si="53"/>
        <v>-5.3453380499999996</v>
      </c>
      <c r="EX26" s="272">
        <f t="shared" si="54"/>
        <v>-41.90729419999996</v>
      </c>
      <c r="EY26" s="274">
        <f t="shared" si="55"/>
        <v>38.792705800000043</v>
      </c>
      <c r="EZ26" s="272">
        <f t="shared" si="56"/>
        <v>-250.42350000000002</v>
      </c>
      <c r="FA26" s="272">
        <f t="shared" si="57"/>
        <v>249.57650000000001</v>
      </c>
      <c r="FB26" s="530">
        <f>+IF($FC$1 = 1, IF(AE26 = "", "",IFERROR( VLOOKUP(N26, PreciosCalls, 13, FALSE), 0)),
IF($FC$1 = 2,  IF(AE26 = "", "",OptionGamma($AG$1,AE26,($BM$1/365), $V$15, $AZ$1, $V$17) * 1000)))</f>
        <v>14445</v>
      </c>
      <c r="FC26" s="530">
        <f>IF($FC$1 = 1, IF(AE26 = "", "",IFERROR( VLOOKUP(N26, PreciosCalls, 14, FALSE), 0)),
IF($FC$1 = 2, IF(AE26 = "", "",CallDelta($AG$1,AE26,($BM$1/365), $V$15, $AZ$1, $V$17) * 100)))</f>
        <v>0</v>
      </c>
      <c r="FD26" s="531">
        <f t="shared" si="58"/>
        <v>4.9487392177223946</v>
      </c>
      <c r="FE26" s="530">
        <f t="shared" si="59"/>
        <v>7148453.7999999998</v>
      </c>
      <c r="FF26" s="217"/>
      <c r="FG26" s="273">
        <f t="shared" si="60"/>
        <v>1.4324324324324322</v>
      </c>
      <c r="FH26" s="273">
        <f t="shared" si="61"/>
        <v>2.1370967741935485</v>
      </c>
      <c r="FI26" s="451">
        <f t="shared" si="62"/>
        <v>3.814697265625E-3</v>
      </c>
      <c r="FJ26" s="419">
        <f>+IF(AE26 = "", "",ImpliedPutVolatility($AG$1, $AE26,($BM$1/365), $V$15, BI26, $V$17) * 100)</f>
        <v>3.814697265625E-3</v>
      </c>
      <c r="FK26" s="419">
        <f>+IF(AE26 = "", "",ImpliedPutVolatility($AG$1, $AE26,($BM$1/365), $V$15, BM26, $V$17) * 100)</f>
        <v>3.814697265625E-3</v>
      </c>
      <c r="FL26" s="419">
        <f>+IF(AE26 = "", "",ImpliedPutVolatility($AG$1, $AE26,($BM$1/365), $V$15, BO26, $V$17) * 100)</f>
        <v>3.814697265625E-3</v>
      </c>
      <c r="FM26" s="415" t="str">
        <f t="shared" si="63"/>
        <v/>
      </c>
      <c r="FN26" s="415" t="str">
        <f t="shared" si="64"/>
        <v/>
      </c>
      <c r="FO26" s="415" t="str">
        <f t="shared" si="65"/>
        <v/>
      </c>
      <c r="FP26" s="417">
        <f>IF($FX$1=1, IF(AE26 = "", "",OptionGamma($AG$1,AE26,($BM$1/365), $V$15, $AZ$1, $V$17) * 1000),
IF($FX$1 = 2, IF(OR(AE26 = "", BM26 =  0), "",((BM26 * (1 - COMIS_OPCION)) / (AE26 * (1 + COMIS_ACCION))) * 100 / $BM$1 * 365)))</f>
        <v>9.5495809614736586</v>
      </c>
      <c r="FQ26" s="289">
        <f>+IF(AE26 = "", "",PutOption($AG$1, $AE26,($BM$1/365), $V$15, $AZ$1, $V$17))</f>
        <v>31.609861383228804</v>
      </c>
      <c r="FR26" s="279"/>
      <c r="FS26" s="284">
        <f t="shared" si="66"/>
        <v>38.792705800000043</v>
      </c>
      <c r="FT26" s="284">
        <f t="shared" si="67"/>
        <v>-41.90729419999996</v>
      </c>
      <c r="FU26" s="279"/>
      <c r="FV26" s="279"/>
      <c r="FW26" s="287">
        <f>+IF($FX$1 = 1, IFERROR(VLOOKUP(P26, PreciosPuts, 13, FALSE), 0),
IF($FX$1 = 2, IF(AE26 = "", "",OptionGamma($AG$1,AE26,($BM$1/365), $V$15, $AZ$1, $V$17) * 1000)))</f>
        <v>0</v>
      </c>
      <c r="FX26" s="287">
        <f>+IF($FX$1=1, IF(AE26 = "", "",IFERROR(VLOOKUP(P26, PreciosPuts, 14, FALSE), 0)),
IF($FX$1=2, IF(AE26 = "", "",Putdelta($AG$1,AE26,($BM$1/365), $V$15, $AZ$1, $V$17) * 100)))</f>
        <v>0</v>
      </c>
      <c r="FY26" s="286">
        <f t="shared" si="69"/>
        <v>0</v>
      </c>
      <c r="FZ26" s="287">
        <f t="shared" si="70"/>
        <v>0</v>
      </c>
      <c r="GA26" s="217"/>
      <c r="GB26" s="281"/>
      <c r="GC26" s="281"/>
      <c r="GD26" s="217"/>
      <c r="GE26" s="301" t="str">
        <f t="shared" si="71"/>
        <v/>
      </c>
      <c r="GF26" s="292" t="str">
        <f t="shared" si="72"/>
        <v/>
      </c>
      <c r="GG26" s="293" t="str">
        <f t="shared" si="73"/>
        <v/>
      </c>
      <c r="GH26" s="294" t="str">
        <f t="shared" si="124"/>
        <v/>
      </c>
      <c r="GI26" s="294">
        <v>20</v>
      </c>
      <c r="GJ26" s="217"/>
      <c r="GK26" s="305" t="str">
        <f t="shared" si="74"/>
        <v/>
      </c>
      <c r="GL26" s="299" t="str">
        <f t="shared" si="75"/>
        <v/>
      </c>
      <c r="GM26" s="300" t="str">
        <f t="shared" si="76"/>
        <v/>
      </c>
      <c r="GN26" s="225" t="str">
        <f t="shared" si="121"/>
        <v/>
      </c>
      <c r="GO26" s="225">
        <v>20</v>
      </c>
      <c r="GP26" s="217"/>
      <c r="GQ26" s="217"/>
      <c r="GR26" s="401">
        <f t="shared" si="132"/>
        <v>-2</v>
      </c>
      <c r="GT26" s="282">
        <f t="shared" si="78"/>
        <v>-0.41009781750000029</v>
      </c>
      <c r="GU26" s="282">
        <f t="shared" si="79"/>
        <v>-1.40819625</v>
      </c>
      <c r="GV26" s="282">
        <f t="shared" si="80"/>
        <v>-3.1648092249999999</v>
      </c>
      <c r="GW26" s="282">
        <f t="shared" si="81"/>
        <v>-5.2586516250000006</v>
      </c>
      <c r="GX26" s="282">
        <f t="shared" si="82"/>
        <v>-8.0470859749999999</v>
      </c>
      <c r="GY26" s="282">
        <f t="shared" si="83"/>
        <v>-10.654935171521741</v>
      </c>
      <c r="GZ26" s="282" t="str">
        <f t="shared" si="115"/>
        <v/>
      </c>
      <c r="HA26" s="282">
        <f t="shared" si="84"/>
        <v>-0.62099203999999941</v>
      </c>
      <c r="HB26" s="282">
        <f t="shared" si="116"/>
        <v>-0.86460255000000052</v>
      </c>
      <c r="HC26" s="607" t="str">
        <f t="shared" si="85"/>
        <v/>
      </c>
      <c r="HD26" s="282" t="str">
        <f t="shared" si="86"/>
        <v/>
      </c>
      <c r="HE26" s="282" t="str">
        <f t="shared" si="87"/>
        <v/>
      </c>
      <c r="HF26" s="282" t="str">
        <f t="shared" si="88"/>
        <v/>
      </c>
      <c r="HG26" s="217"/>
      <c r="HH26" s="282" t="str">
        <f t="shared" si="89"/>
        <v/>
      </c>
      <c r="HI26" s="282" t="str">
        <f t="shared" si="90"/>
        <v/>
      </c>
      <c r="HJ26" s="282"/>
      <c r="HK26" s="282"/>
      <c r="HL26" s="217"/>
      <c r="HM26" s="420"/>
      <c r="HN26" s="420"/>
      <c r="HO26" s="420"/>
      <c r="HP26" s="420"/>
      <c r="HQ26" s="282">
        <f t="shared" si="91"/>
        <v>-0.8646025500000003</v>
      </c>
      <c r="HR26" s="420"/>
      <c r="HS26" s="420"/>
      <c r="HT26" s="420"/>
      <c r="HU26" s="420"/>
      <c r="HV26" s="420"/>
      <c r="HW26" s="420"/>
      <c r="HX26" s="425"/>
      <c r="HY26" s="338"/>
      <c r="HZ26" s="338"/>
      <c r="IA26" s="161"/>
      <c r="IB26" s="161"/>
      <c r="IC26" s="162"/>
      <c r="ID26" s="162"/>
      <c r="IE26" s="49"/>
      <c r="IF26" s="55"/>
      <c r="IG26" s="58"/>
      <c r="IH26" s="545">
        <f t="shared" si="117"/>
        <v>19.246362985928922</v>
      </c>
      <c r="IJ26" s="146">
        <v>20</v>
      </c>
      <c r="IK26" s="545">
        <f t="shared" si="142"/>
        <v>250</v>
      </c>
      <c r="IL26" s="106">
        <f t="shared" si="93"/>
        <v>0.19246362985928922</v>
      </c>
      <c r="IM26" s="110">
        <f t="shared" si="128"/>
        <v>250</v>
      </c>
      <c r="IN26" s="111">
        <f t="shared" si="118"/>
        <v>78484.761249999952</v>
      </c>
      <c r="IO26" s="50">
        <f t="shared" si="135"/>
        <v>0</v>
      </c>
      <c r="IP26" s="50">
        <f t="shared" si="135"/>
        <v>0</v>
      </c>
      <c r="IQ26" s="50">
        <f t="shared" si="135"/>
        <v>0</v>
      </c>
      <c r="IR26" s="50">
        <f t="shared" si="135"/>
        <v>0</v>
      </c>
      <c r="IS26" s="50">
        <f t="shared" si="135"/>
        <v>0</v>
      </c>
      <c r="IT26" s="50">
        <f t="shared" si="135"/>
        <v>0</v>
      </c>
      <c r="IU26" s="50">
        <f t="shared" si="135"/>
        <v>0</v>
      </c>
      <c r="IV26" s="50">
        <f t="shared" si="135"/>
        <v>0</v>
      </c>
      <c r="IW26" s="50">
        <f t="shared" si="135"/>
        <v>0</v>
      </c>
      <c r="IX26" s="50">
        <f t="shared" si="135"/>
        <v>0</v>
      </c>
      <c r="IY26" s="50">
        <f t="shared" si="136"/>
        <v>0</v>
      </c>
      <c r="IZ26" s="50">
        <f t="shared" si="136"/>
        <v>0</v>
      </c>
      <c r="JA26" s="50">
        <f t="shared" si="136"/>
        <v>325000</v>
      </c>
      <c r="JB26" s="50">
        <f t="shared" si="136"/>
        <v>0</v>
      </c>
      <c r="JC26" s="50">
        <f t="shared" si="136"/>
        <v>0</v>
      </c>
      <c r="JD26" s="50">
        <f t="shared" si="136"/>
        <v>0</v>
      </c>
      <c r="JE26" s="50">
        <f t="shared" si="136"/>
        <v>-200000</v>
      </c>
      <c r="JF26" s="50">
        <f t="shared" si="136"/>
        <v>0</v>
      </c>
      <c r="JG26" s="50">
        <f t="shared" si="136"/>
        <v>0</v>
      </c>
      <c r="JH26" s="50">
        <f t="shared" si="136"/>
        <v>0</v>
      </c>
      <c r="JI26" s="50">
        <f t="shared" si="137"/>
        <v>0</v>
      </c>
      <c r="JJ26" s="50">
        <f t="shared" si="137"/>
        <v>0</v>
      </c>
      <c r="JK26" s="50">
        <f t="shared" si="137"/>
        <v>0</v>
      </c>
      <c r="JL26" s="50">
        <f t="shared" si="137"/>
        <v>0</v>
      </c>
      <c r="JM26" s="50">
        <f t="shared" si="137"/>
        <v>0</v>
      </c>
      <c r="JN26" s="50">
        <f t="shared" si="137"/>
        <v>0</v>
      </c>
      <c r="JO26" s="50">
        <f t="shared" si="137"/>
        <v>0</v>
      </c>
      <c r="JP26" s="50">
        <f t="shared" si="137"/>
        <v>0</v>
      </c>
      <c r="JQ26" s="50">
        <f t="shared" si="137"/>
        <v>0</v>
      </c>
      <c r="JR26" s="50">
        <f t="shared" si="137"/>
        <v>0</v>
      </c>
      <c r="JS26" s="50">
        <f t="shared" si="138"/>
        <v>0</v>
      </c>
      <c r="JT26" s="50">
        <f t="shared" si="138"/>
        <v>0</v>
      </c>
      <c r="JU26" s="50" t="str">
        <f t="shared" si="138"/>
        <v/>
      </c>
      <c r="JV26" s="50" t="str">
        <f t="shared" si="138"/>
        <v/>
      </c>
      <c r="JW26" s="50" t="str">
        <f t="shared" si="138"/>
        <v/>
      </c>
      <c r="JX26" s="50" t="str">
        <f t="shared" si="138"/>
        <v/>
      </c>
      <c r="JY26" s="50" t="str">
        <f t="shared" si="138"/>
        <v/>
      </c>
      <c r="JZ26" s="50" t="str">
        <f t="shared" si="138"/>
        <v/>
      </c>
      <c r="KA26" s="50" t="str">
        <f t="shared" si="138"/>
        <v/>
      </c>
      <c r="KB26" s="50" t="str">
        <f t="shared" si="138"/>
        <v/>
      </c>
      <c r="KC26" s="50" t="str">
        <f t="shared" si="138"/>
        <v/>
      </c>
      <c r="KD26" s="50" t="str">
        <f t="shared" si="138"/>
        <v/>
      </c>
    </row>
    <row r="27" spans="2:290" s="144" customFormat="1" ht="15" customHeight="1" thickBot="1">
      <c r="B27" s="146">
        <v>21</v>
      </c>
      <c r="C27" s="121" t="str">
        <f t="shared" si="99"/>
        <v>GFGC260.AB</v>
      </c>
      <c r="D27" s="121" t="str">
        <f t="shared" si="100"/>
        <v>GFGV260.AB</v>
      </c>
      <c r="E27" s="122">
        <f t="shared" si="1"/>
        <v>260</v>
      </c>
      <c r="F27" s="123" t="str">
        <f t="shared" si="2"/>
        <v/>
      </c>
      <c r="G27" s="123" t="str">
        <f t="shared" si="3"/>
        <v/>
      </c>
      <c r="H27" s="124">
        <f t="shared" si="4"/>
        <v>3.7</v>
      </c>
      <c r="I27" s="124" t="str">
        <f t="shared" si="5"/>
        <v/>
      </c>
      <c r="J27" s="124" t="str">
        <f t="shared" si="6"/>
        <v/>
      </c>
      <c r="K27" s="124" t="str">
        <f t="shared" si="7"/>
        <v/>
      </c>
      <c r="M27" s="158">
        <f t="shared" si="8"/>
        <v>12</v>
      </c>
      <c r="N27" s="121" t="str">
        <f t="shared" si="9"/>
        <v>GFGC260.AB</v>
      </c>
      <c r="O27" s="158">
        <f t="shared" si="10"/>
        <v>12</v>
      </c>
      <c r="P27" s="121" t="str">
        <f t="shared" si="11"/>
        <v>GFGV260.AB</v>
      </c>
      <c r="R27" s="159"/>
      <c r="S27" s="160" t="str">
        <f t="shared" si="12"/>
        <v/>
      </c>
      <c r="U27" s="234" t="s">
        <v>209</v>
      </c>
      <c r="V27" s="140">
        <v>85</v>
      </c>
      <c r="X27" s="200">
        <v>21</v>
      </c>
      <c r="Y27" s="546">
        <f t="shared" si="13"/>
        <v>24.01621750536609</v>
      </c>
      <c r="Z27" s="540">
        <f t="shared" si="14"/>
        <v>53484.76124999996</v>
      </c>
      <c r="AA27" s="179"/>
      <c r="AB27" s="540">
        <f>+IN76</f>
        <v>0</v>
      </c>
      <c r="AC27" s="161"/>
      <c r="AD27" s="200">
        <v>21</v>
      </c>
      <c r="AE27" s="825">
        <f t="shared" ref="AE27:AE45" si="146">+IF(AD27 = 1, $V$7, IF(AE26 &gt; ($V$9 - $V$8), "", IF(ISBLANK(AF27), AE26 + $V$8, AF27)))</f>
        <v>260</v>
      </c>
      <c r="AF27" s="201">
        <v>260</v>
      </c>
      <c r="AG27" s="161"/>
      <c r="AH27" s="177">
        <f t="shared" si="102"/>
        <v>0</v>
      </c>
      <c r="AI27" s="166">
        <f t="shared" si="103"/>
        <v>0</v>
      </c>
      <c r="AJ27" s="179"/>
      <c r="AK27" s="177">
        <f t="shared" si="104"/>
        <v>0</v>
      </c>
      <c r="AL27" s="166">
        <f t="shared" si="105"/>
        <v>0</v>
      </c>
      <c r="AM27" s="179"/>
      <c r="AN27" s="177"/>
      <c r="AO27" s="166"/>
      <c r="AP27" s="179"/>
      <c r="AQ27" s="176">
        <f t="shared" si="106"/>
        <v>0</v>
      </c>
      <c r="AR27" s="165">
        <f t="shared" si="107"/>
        <v>0</v>
      </c>
      <c r="AS27" s="179"/>
      <c r="AT27" s="176">
        <f t="shared" si="108"/>
        <v>0</v>
      </c>
      <c r="AU27" s="165">
        <f t="shared" si="109"/>
        <v>0</v>
      </c>
      <c r="AV27" s="179"/>
      <c r="AW27" s="200">
        <f t="shared" si="16"/>
        <v>21</v>
      </c>
      <c r="AX27" s="170">
        <f t="shared" si="17"/>
        <v>260</v>
      </c>
      <c r="AY27" s="164"/>
      <c r="AZ27" s="215">
        <f t="shared" si="18"/>
        <v>3.7</v>
      </c>
      <c r="BA27" s="197"/>
      <c r="BB27" s="228">
        <f t="shared" si="19"/>
        <v>0.26408999999999999</v>
      </c>
      <c r="BC27" s="161"/>
      <c r="BD27" s="240">
        <f t="shared" si="20"/>
        <v>3.601</v>
      </c>
      <c r="BE27" s="196"/>
      <c r="BF27" s="240">
        <f t="shared" si="21"/>
        <v>3.7</v>
      </c>
      <c r="BG27" s="196"/>
      <c r="BH27" s="189"/>
      <c r="BI27" s="227">
        <f t="shared" si="22"/>
        <v>0</v>
      </c>
      <c r="BJ27" s="197"/>
      <c r="BK27" s="167">
        <f t="shared" si="23"/>
        <v>0</v>
      </c>
      <c r="BL27" s="161"/>
      <c r="BM27" s="240">
        <f t="shared" si="24"/>
        <v>0</v>
      </c>
      <c r="BN27" s="196"/>
      <c r="BO27" s="240">
        <f t="shared" si="25"/>
        <v>0</v>
      </c>
      <c r="BP27" s="196"/>
      <c r="BQ27" s="161"/>
      <c r="BR27" s="381"/>
      <c r="BS27" s="392">
        <f>+IF(AE27 = "", "", IF($BU$1=FALSE, FE27, FZ27) )</f>
        <v>3857568.2</v>
      </c>
      <c r="BT27" s="376"/>
      <c r="BU27" s="393">
        <f>+IF(OR(CF27="", CB28="", CF27=0, CB28=0), "", IF($BU$1=FALSE, CF27-CB28, -CF27+CB28))</f>
        <v>1.25</v>
      </c>
      <c r="BV27" s="310"/>
      <c r="BW27" s="311">
        <f t="shared" si="110"/>
        <v>263.601</v>
      </c>
      <c r="BX27" s="372"/>
      <c r="BY27" s="440"/>
      <c r="BZ27" s="432">
        <v>3.4630000000000001</v>
      </c>
      <c r="CA27" s="372"/>
      <c r="CB27" s="572">
        <f t="shared" si="145"/>
        <v>3.601</v>
      </c>
      <c r="CC27" s="567">
        <f t="shared" si="29"/>
        <v>10</v>
      </c>
      <c r="CD27" s="814">
        <f t="shared" si="30"/>
        <v>260</v>
      </c>
      <c r="CE27" s="569">
        <f t="shared" si="31"/>
        <v>290</v>
      </c>
      <c r="CF27" s="574">
        <f t="shared" si="141"/>
        <v>3.7</v>
      </c>
      <c r="CG27" s="372"/>
      <c r="CH27" s="435">
        <v>0.29699999999999999</v>
      </c>
      <c r="CI27" s="436"/>
      <c r="CJ27" s="372"/>
      <c r="CK27" s="391">
        <f t="shared" si="111"/>
        <v>263.7</v>
      </c>
      <c r="CL27" s="396">
        <f>+IF(OR(CF28="", CB27="", CF28=0, CB27=0), "", IF($BU$1=FALSE, CB27-CF28,- CB27+CF28))</f>
        <v>1.121</v>
      </c>
      <c r="CM27" s="370"/>
      <c r="CN27" s="161"/>
      <c r="CO27" s="161"/>
      <c r="CP27" s="1014" t="s">
        <v>306</v>
      </c>
      <c r="CQ27" s="1014"/>
      <c r="CR27" s="1014"/>
      <c r="CS27" s="161"/>
      <c r="CT27" s="161"/>
      <c r="CU27" s="161"/>
      <c r="CV27" s="161"/>
      <c r="CW27" s="161"/>
      <c r="CX27" s="161"/>
      <c r="CY27" s="161"/>
      <c r="CZ27" s="161"/>
      <c r="DA27" s="161"/>
      <c r="DB27" s="161"/>
      <c r="DC27" s="161"/>
      <c r="DD27" s="161"/>
      <c r="DE27" s="161"/>
      <c r="DF27" s="161"/>
      <c r="DG27" s="161"/>
      <c r="DH27" s="161"/>
      <c r="DI27" s="161"/>
      <c r="DJ27" s="161"/>
      <c r="DK27" s="242">
        <f t="shared" si="123"/>
        <v>0</v>
      </c>
      <c r="DL27" s="217"/>
      <c r="DM27" s="490">
        <f t="shared" si="34"/>
        <v>0</v>
      </c>
      <c r="DN27" s="242">
        <f t="shared" si="35"/>
        <v>0</v>
      </c>
      <c r="DO27" s="243">
        <f t="shared" si="36"/>
        <v>0</v>
      </c>
      <c r="DP27" s="217"/>
      <c r="DQ27" s="252">
        <f t="shared" si="120"/>
        <v>0</v>
      </c>
      <c r="DR27" s="217"/>
      <c r="DS27" s="242">
        <f t="shared" si="38"/>
        <v>0</v>
      </c>
      <c r="DT27" s="242">
        <f t="shared" si="39"/>
        <v>0</v>
      </c>
      <c r="DU27" s="244">
        <f t="shared" si="40"/>
        <v>0</v>
      </c>
      <c r="DV27" s="217"/>
      <c r="DW27" s="428">
        <f>+IF(OR(AE27 = "", AND(AH27 = "", AK27 = "")), "",IFERROR(+AH27 * CallDelta($AG$1,AE27,($BM$1/365), $V$15, $AZ$1, $V$17), 0) + IFERROR(AK27 * Putdelta($AG$1,AE27,($BM$1/365), $V$15, $AZ$1, $V$17), 0))</f>
        <v>0</v>
      </c>
      <c r="DX27" s="245">
        <f>+IF(OR(AE27 = "", AND(AH27 = "", AK27 = "")), "",IFERROR(+AH27 * OptionGamma($AG$1,AE27,($BM$1/365), $V$15, $AZ$1, $V$17), 0) + IFERROR(AK27 * OptionGamma($AG$1,AE27,($BM$1/365), $V$15, $AZ$1, $V$17), 0))</f>
        <v>0</v>
      </c>
      <c r="DY27" s="161"/>
      <c r="DZ27" s="267">
        <f t="shared" si="127"/>
        <v>0</v>
      </c>
      <c r="EA27" s="217"/>
      <c r="EB27" s="267">
        <f t="shared" si="42"/>
        <v>0</v>
      </c>
      <c r="EC27" s="267">
        <f t="shared" si="43"/>
        <v>0</v>
      </c>
      <c r="ED27" s="247">
        <f t="shared" si="44"/>
        <v>0</v>
      </c>
      <c r="EE27" s="217"/>
      <c r="EF27" s="267">
        <f t="shared" si="129"/>
        <v>0</v>
      </c>
      <c r="EG27" s="217"/>
      <c r="EH27" s="267">
        <f t="shared" si="46"/>
        <v>0</v>
      </c>
      <c r="EI27" s="246">
        <f t="shared" si="47"/>
        <v>0</v>
      </c>
      <c r="EJ27" s="248">
        <f t="shared" si="48"/>
        <v>0</v>
      </c>
      <c r="EK27" s="217"/>
      <c r="EL27" s="251">
        <f>+IF(OR(AE27 = "", AND(AQ27 = "", AT27 = "")), "",IFERROR(+AQ27 * CallDelta($AG$1,AE27,($BM$1/365), $V$15, $AZ$1, $V$17), 0) + IFERROR(AT27 * Putdelta($AG$1,AE27,($BM$1/365), $V$15, $AZ$1, $V$17), 0))</f>
        <v>0</v>
      </c>
      <c r="EM27" s="249">
        <f>+IF(OR(AE27 = "", AND(AQ27 = "", AT27 = "")), "",IFERROR(+AQ27 * OptionGamma($AG$1,AE27,($BM$1/365), $V$15, $AZ$1, $V$17), 0) + IFERROR(AT27 * OptionGamma($AG$1,AE27,($BM$1/365), $V$15, $AZ$1, $V$17), 0))</f>
        <v>0</v>
      </c>
      <c r="EN27" s="451">
        <f t="shared" si="49"/>
        <v>46.405792236328125</v>
      </c>
      <c r="EO27" s="418">
        <f>+IF(AE27 = "", "",ImpliedCallVolatility($AG$1, $AE27,($BM$1/365), $V$15, $AZ27, $V$17) * 100)</f>
        <v>46.863555908203125</v>
      </c>
      <c r="EP27" s="418">
        <f>+IF(AE27 = "", "",ImpliedCallVolatility($AG$1, $AE27,($BM$1/365), $V$15, BD27, $V$17) * 100)</f>
        <v>46.405792236328125</v>
      </c>
      <c r="EQ27" s="418">
        <f>+IF(AE27 = "", "",ImpliedCallVolatility($AG$1, $AE27,($BM$1/365), $V$15, BF27, $V$17) * 100)</f>
        <v>46.863555908203125</v>
      </c>
      <c r="ER27" s="411">
        <f t="shared" si="50"/>
        <v>3.7</v>
      </c>
      <c r="ES27" s="411">
        <f t="shared" si="51"/>
        <v>3.601</v>
      </c>
      <c r="ET27" s="411">
        <f t="shared" si="52"/>
        <v>3.7</v>
      </c>
      <c r="EU27" s="416">
        <f>IF($FC$1 = 1,
IF(AE27 = "", "",OptionGamma($AG$1,AE27,($BM$1/365), $V$15, $AZ$1, $V$17) * 1000),
IF($FC$1 = 2, IF(OR(AE27 = "", BD27 =  0), "",IF(AE27 &lt; $AG$1, (((AE27 * (1 - COMIS_ACCION)) / (($AG$1 * (1 + COMIS_ACCION)) - (BD27 * (1 - COMIS_OPCION)))) - 1) * 100 / $BM$1 * 365,((($AG$1 * (1 - COMIS_ACCION)) / (($AG$1 * (1 + COMIS_ACCION)) - (BD27 * (1 - COMIS_OPCION)))) - 1) * 100 / $BM$1 * 365))))</f>
        <v>7.4608714250271619</v>
      </c>
      <c r="EV27" s="276">
        <f>+IF(AE27 = "", "",CallOption($AG$1, $AE27,($BM$1/365), $V$15, $AZ$1, $V$17))</f>
        <v>2.158927793507825</v>
      </c>
      <c r="EW27" s="271">
        <f t="shared" si="53"/>
        <v>-3.7246235000000003</v>
      </c>
      <c r="EX27" s="272">
        <f t="shared" si="54"/>
        <v>-51.941174199999985</v>
      </c>
      <c r="EY27" s="274">
        <f t="shared" si="55"/>
        <v>48.758825800000011</v>
      </c>
      <c r="EZ27" s="272">
        <f t="shared" si="56"/>
        <v>-260.44044000000002</v>
      </c>
      <c r="FA27" s="272">
        <f t="shared" si="57"/>
        <v>259.55956000000003</v>
      </c>
      <c r="FB27" s="530">
        <f>+IF($FC$1 = 1, IF(AE27 = "", "",IFERROR( VLOOKUP(N27, PreciosCalls, 13, FALSE), 0)),
IF($FC$1 = 2,  IF(AE27 = "", "",OptionGamma($AG$1,AE27,($BM$1/365), $V$15, $AZ$1, $V$17) * 1000)))</f>
        <v>11568</v>
      </c>
      <c r="FC27" s="530">
        <f>IF($FC$1 = 1, IF(AE27 = "", "",IFERROR( VLOOKUP(N27, PreciosCalls, 14, FALSE), 0)),
IF($FC$1 = 2, IF(AE27 = "", "",CallDelta($AG$1,AE27,($BM$1/365), $V$15, $AZ$1, $V$17) * 100)))</f>
        <v>0</v>
      </c>
      <c r="FD27" s="531">
        <f t="shared" si="58"/>
        <v>3.3346889695712307</v>
      </c>
      <c r="FE27" s="530">
        <f t="shared" si="59"/>
        <v>3857568.2</v>
      </c>
      <c r="FF27" s="217"/>
      <c r="FG27" s="273">
        <f t="shared" si="60"/>
        <v>1.4919354838709677</v>
      </c>
      <c r="FH27" s="273">
        <f t="shared" si="61"/>
        <v>2.1764705882352944</v>
      </c>
      <c r="FI27" s="451">
        <f t="shared" si="62"/>
        <v>3.814697265625E-3</v>
      </c>
      <c r="FJ27" s="419">
        <f>+IF(AE27 = "", "",ImpliedPutVolatility($AG$1, $AE27,($BM$1/365), $V$15, BI27, $V$17) * 100)</f>
        <v>3.814697265625E-3</v>
      </c>
      <c r="FK27" s="419">
        <f>+IF(AE27 = "", "",ImpliedPutVolatility($AG$1, $AE27,($BM$1/365), $V$15, BM27, $V$17) * 100)</f>
        <v>3.814697265625E-3</v>
      </c>
      <c r="FL27" s="419">
        <f>+IF(AE27 = "", "",ImpliedPutVolatility($AG$1, $AE27,($BM$1/365), $V$15, BO27, $V$17) * 100)</f>
        <v>3.814697265625E-3</v>
      </c>
      <c r="FM27" s="415" t="str">
        <f t="shared" si="63"/>
        <v/>
      </c>
      <c r="FN27" s="415" t="str">
        <f t="shared" si="64"/>
        <v/>
      </c>
      <c r="FO27" s="415" t="str">
        <f t="shared" si="65"/>
        <v/>
      </c>
      <c r="FP27" s="417">
        <f>IF($FX$1=1, IF(AE27 = "", "",OptionGamma($AG$1,AE27,($BM$1/365), $V$15, $AZ$1, $V$17) * 1000),
IF($FX$1 = 2, IF(OR(AE27 = "", BM27 =  0), "",((BM27 * (1 - COMIS_OPCION)) / (AE27 * (1 + COMIS_ACCION))) * 100 / $BM$1 * 365)))</f>
        <v>7.4608714250271619</v>
      </c>
      <c r="FQ27" s="289">
        <f>+IF(AE27 = "", "",PutOption($AG$1, $AE27,($BM$1/365), $V$15, $AZ$1, $V$17))</f>
        <v>39.754054704667197</v>
      </c>
      <c r="FR27" s="279"/>
      <c r="FS27" s="284">
        <f t="shared" si="66"/>
        <v>48.758825800000011</v>
      </c>
      <c r="FT27" s="284">
        <f t="shared" si="67"/>
        <v>-51.941174199999985</v>
      </c>
      <c r="FU27" s="279"/>
      <c r="FV27" s="279"/>
      <c r="FW27" s="287">
        <f>+IF($FX$1 = 1, IFERROR(VLOOKUP(P27, PreciosPuts, 13, FALSE), 0),
IF($FX$1 = 2, IF(AE27 = "", "",OptionGamma($AG$1,AE27,($BM$1/365), $V$15, $AZ$1, $V$17) * 1000)))</f>
        <v>0</v>
      </c>
      <c r="FX27" s="287">
        <f>+IF($FX$1=1, IF(AE27 = "", "",IFERROR(VLOOKUP(P27, PreciosPuts, 14, FALSE), 0)),
IF($FX$1=2, IF(AE27 = "", "",Putdelta($AG$1,AE27,($BM$1/365), $V$15, $AZ$1, $V$17) * 100)))</f>
        <v>0</v>
      </c>
      <c r="FY27" s="286">
        <f t="shared" si="69"/>
        <v>0</v>
      </c>
      <c r="FZ27" s="287">
        <f t="shared" si="70"/>
        <v>0</v>
      </c>
      <c r="GA27" s="217"/>
      <c r="GB27" s="281"/>
      <c r="GC27" s="281"/>
      <c r="GD27" s="217"/>
      <c r="GE27" s="301" t="str">
        <f t="shared" si="71"/>
        <v/>
      </c>
      <c r="GF27" s="292" t="str">
        <f t="shared" si="72"/>
        <v/>
      </c>
      <c r="GG27" s="293" t="str">
        <f t="shared" si="73"/>
        <v/>
      </c>
      <c r="GH27" s="294" t="str">
        <f t="shared" si="124"/>
        <v/>
      </c>
      <c r="GI27" s="294">
        <v>21</v>
      </c>
      <c r="GJ27" s="217"/>
      <c r="GK27" s="305" t="str">
        <f t="shared" si="74"/>
        <v/>
      </c>
      <c r="GL27" s="299" t="str">
        <f t="shared" si="75"/>
        <v/>
      </c>
      <c r="GM27" s="300" t="str">
        <f t="shared" si="76"/>
        <v/>
      </c>
      <c r="GN27" s="225" t="str">
        <f t="shared" si="121"/>
        <v/>
      </c>
      <c r="GO27" s="225">
        <v>21</v>
      </c>
      <c r="GP27" s="217"/>
      <c r="GQ27" s="217"/>
      <c r="GR27" s="401">
        <f t="shared" si="132"/>
        <v>1</v>
      </c>
      <c r="GT27" s="282">
        <f t="shared" si="78"/>
        <v>-0.34388587999999976</v>
      </c>
      <c r="GU27" s="282">
        <f t="shared" si="79"/>
        <v>-1.0470343975000003</v>
      </c>
      <c r="GV27" s="282">
        <f t="shared" si="80"/>
        <v>-2.4024953550000001</v>
      </c>
      <c r="GW27" s="282">
        <f t="shared" si="81"/>
        <v>-4.315139855</v>
      </c>
      <c r="GX27" s="282">
        <f t="shared" si="82"/>
        <v>-6.5645104525000004</v>
      </c>
      <c r="GY27" s="282" t="str">
        <f t="shared" si="83"/>
        <v/>
      </c>
      <c r="GZ27" s="282">
        <f t="shared" si="115"/>
        <v>-12.007177127592593</v>
      </c>
      <c r="HA27" s="282">
        <f t="shared" si="84"/>
        <v>-0.5871608383333331</v>
      </c>
      <c r="HB27" s="282">
        <f t="shared" si="116"/>
        <v>-0.56937660000000001</v>
      </c>
      <c r="HC27" s="607" t="str">
        <f t="shared" si="85"/>
        <v/>
      </c>
      <c r="HD27" s="282" t="str">
        <f t="shared" si="86"/>
        <v/>
      </c>
      <c r="HE27" s="282" t="str">
        <f t="shared" si="87"/>
        <v/>
      </c>
      <c r="HF27" s="282" t="str">
        <f t="shared" si="88"/>
        <v/>
      </c>
      <c r="HG27" s="217"/>
      <c r="HH27" s="282" t="str">
        <f t="shared" si="89"/>
        <v/>
      </c>
      <c r="HI27" s="282" t="str">
        <f t="shared" si="90"/>
        <v/>
      </c>
      <c r="HJ27" s="282"/>
      <c r="HK27" s="282"/>
      <c r="HL27" s="217"/>
      <c r="HM27" s="420"/>
      <c r="HN27" s="420"/>
      <c r="HO27" s="420"/>
      <c r="HP27" s="420"/>
      <c r="HQ27" s="282">
        <f t="shared" si="91"/>
        <v>-0.56937659999999979</v>
      </c>
      <c r="HR27" s="420"/>
      <c r="HS27" s="420"/>
      <c r="HT27" s="420"/>
      <c r="HU27" s="420"/>
      <c r="HV27" s="420"/>
      <c r="HW27" s="420"/>
      <c r="HX27" s="425"/>
      <c r="HY27" s="338"/>
      <c r="HZ27" s="338"/>
      <c r="IA27" s="161"/>
      <c r="IB27" s="161"/>
      <c r="IC27" s="162"/>
      <c r="ID27" s="162"/>
      <c r="IE27" s="49"/>
      <c r="IF27" s="55"/>
      <c r="IG27" s="58"/>
      <c r="IH27" s="545">
        <f t="shared" si="117"/>
        <v>24.01621750536609</v>
      </c>
      <c r="IJ27" s="146">
        <v>21</v>
      </c>
      <c r="IK27" s="545">
        <f t="shared" si="142"/>
        <v>260</v>
      </c>
      <c r="IL27" s="106">
        <f t="shared" si="93"/>
        <v>0.24016217505366089</v>
      </c>
      <c r="IM27" s="110">
        <f t="shared" si="128"/>
        <v>260</v>
      </c>
      <c r="IN27" s="111">
        <f t="shared" si="118"/>
        <v>53484.76124999996</v>
      </c>
      <c r="IO27" s="50">
        <f t="shared" ref="IO27:IX36" si="147" xml:space="preserve"> IF(OR($IL27 = "", IO$6 = ""), "", IF(IO$6 &lt;&gt; $Z$1,
IF($IM27 &gt; IO$6, IO$1 * 100 * ($IM27 - IO$6), 0) +
IF($IM27 &lt; IO$6, IO$4 * 100 * (IO$6 - $IM27), 0),
$IM27 * IO$1))</f>
        <v>0</v>
      </c>
      <c r="IP27" s="50">
        <f t="shared" si="147"/>
        <v>0</v>
      </c>
      <c r="IQ27" s="50">
        <f t="shared" si="147"/>
        <v>0</v>
      </c>
      <c r="IR27" s="50">
        <f t="shared" si="147"/>
        <v>0</v>
      </c>
      <c r="IS27" s="50">
        <f t="shared" si="147"/>
        <v>0</v>
      </c>
      <c r="IT27" s="50">
        <f t="shared" si="147"/>
        <v>0</v>
      </c>
      <c r="IU27" s="50">
        <f t="shared" si="147"/>
        <v>0</v>
      </c>
      <c r="IV27" s="50">
        <f t="shared" si="147"/>
        <v>0</v>
      </c>
      <c r="IW27" s="50">
        <f t="shared" si="147"/>
        <v>0</v>
      </c>
      <c r="IX27" s="50">
        <f t="shared" si="147"/>
        <v>0</v>
      </c>
      <c r="IY27" s="50">
        <f t="shared" ref="IY27:JH36" si="148" xml:space="preserve"> IF(OR($IL27 = "", IY$6 = ""), "", IF(IY$6 &lt;&gt; $Z$1,
IF($IM27 &gt; IY$6, IY$1 * 100 * ($IM27 - IY$6), 0) +
IF($IM27 &lt; IY$6, IY$4 * 100 * (IY$6 - $IM27), 0),
$IM27 * IY$1))</f>
        <v>0</v>
      </c>
      <c r="IZ27" s="50">
        <f t="shared" si="148"/>
        <v>0</v>
      </c>
      <c r="JA27" s="50">
        <f t="shared" si="148"/>
        <v>375000</v>
      </c>
      <c r="JB27" s="50">
        <f t="shared" si="148"/>
        <v>0</v>
      </c>
      <c r="JC27" s="50">
        <f t="shared" si="148"/>
        <v>0</v>
      </c>
      <c r="JD27" s="50">
        <f t="shared" si="148"/>
        <v>0</v>
      </c>
      <c r="JE27" s="50">
        <f t="shared" si="148"/>
        <v>-250000</v>
      </c>
      <c r="JF27" s="50">
        <f t="shared" si="148"/>
        <v>0</v>
      </c>
      <c r="JG27" s="50">
        <f t="shared" si="148"/>
        <v>0</v>
      </c>
      <c r="JH27" s="50">
        <f t="shared" si="148"/>
        <v>0</v>
      </c>
      <c r="JI27" s="50">
        <f t="shared" ref="JI27:JR36" si="149" xml:space="preserve"> IF(OR($IL27 = "", JI$6 = ""), "", IF(JI$6 &lt;&gt; $Z$1,
IF($IM27 &gt; JI$6, JI$1 * 100 * ($IM27 - JI$6), 0) +
IF($IM27 &lt; JI$6, JI$4 * 100 * (JI$6 - $IM27), 0),
$IM27 * JI$1))</f>
        <v>-25000</v>
      </c>
      <c r="JJ27" s="50">
        <f t="shared" si="149"/>
        <v>0</v>
      </c>
      <c r="JK27" s="50">
        <f t="shared" si="149"/>
        <v>0</v>
      </c>
      <c r="JL27" s="50">
        <f t="shared" si="149"/>
        <v>0</v>
      </c>
      <c r="JM27" s="50">
        <f t="shared" si="149"/>
        <v>0</v>
      </c>
      <c r="JN27" s="50">
        <f t="shared" si="149"/>
        <v>0</v>
      </c>
      <c r="JO27" s="50">
        <f t="shared" si="149"/>
        <v>0</v>
      </c>
      <c r="JP27" s="50">
        <f t="shared" si="149"/>
        <v>0</v>
      </c>
      <c r="JQ27" s="50">
        <f t="shared" si="149"/>
        <v>0</v>
      </c>
      <c r="JR27" s="50">
        <f t="shared" si="149"/>
        <v>0</v>
      </c>
      <c r="JS27" s="50">
        <f t="shared" ref="JS27:KD36" si="150" xml:space="preserve"> IF(OR($IL27 = "", JS$6 = ""), "", IF(JS$6 &lt;&gt; $Z$1,
IF($IM27 &gt; JS$6, JS$1 * 100 * ($IM27 - JS$6), 0) +
IF($IM27 &lt; JS$6, JS$4 * 100 * (JS$6 - $IM27), 0),
$IM27 * JS$1))</f>
        <v>0</v>
      </c>
      <c r="JT27" s="50">
        <f t="shared" si="150"/>
        <v>0</v>
      </c>
      <c r="JU27" s="50" t="str">
        <f t="shared" si="150"/>
        <v/>
      </c>
      <c r="JV27" s="50" t="str">
        <f t="shared" si="150"/>
        <v/>
      </c>
      <c r="JW27" s="50" t="str">
        <f t="shared" si="150"/>
        <v/>
      </c>
      <c r="JX27" s="50" t="str">
        <f t="shared" si="150"/>
        <v/>
      </c>
      <c r="JY27" s="50" t="str">
        <f t="shared" si="150"/>
        <v/>
      </c>
      <c r="JZ27" s="50" t="str">
        <f t="shared" si="150"/>
        <v/>
      </c>
      <c r="KA27" s="50" t="str">
        <f t="shared" si="150"/>
        <v/>
      </c>
      <c r="KB27" s="50" t="str">
        <f t="shared" si="150"/>
        <v/>
      </c>
      <c r="KC27" s="50" t="str">
        <f t="shared" si="150"/>
        <v/>
      </c>
      <c r="KD27" s="50" t="str">
        <f t="shared" si="150"/>
        <v/>
      </c>
    </row>
    <row r="28" spans="2:290" s="144" customFormat="1" ht="15" customHeight="1" thickBot="1">
      <c r="B28" s="146">
        <v>22</v>
      </c>
      <c r="C28" s="121" t="str">
        <f t="shared" si="99"/>
        <v>GFGC270.AB</v>
      </c>
      <c r="D28" s="121" t="str">
        <f t="shared" si="100"/>
        <v>GFGV270.AB</v>
      </c>
      <c r="E28" s="122">
        <f t="shared" si="1"/>
        <v>270</v>
      </c>
      <c r="F28" s="123" t="str">
        <f t="shared" si="2"/>
        <v/>
      </c>
      <c r="G28" s="123" t="str">
        <f t="shared" si="3"/>
        <v/>
      </c>
      <c r="H28" s="124">
        <f t="shared" si="4"/>
        <v>2.48</v>
      </c>
      <c r="I28" s="124" t="str">
        <f t="shared" si="5"/>
        <v/>
      </c>
      <c r="J28" s="124" t="str">
        <f t="shared" si="6"/>
        <v/>
      </c>
      <c r="K28" s="124" t="str">
        <f t="shared" si="7"/>
        <v/>
      </c>
      <c r="M28" s="158">
        <f t="shared" si="8"/>
        <v>12</v>
      </c>
      <c r="N28" s="121" t="str">
        <f t="shared" si="9"/>
        <v>GFGC270.AB</v>
      </c>
      <c r="O28" s="158">
        <f t="shared" si="10"/>
        <v>12</v>
      </c>
      <c r="P28" s="121" t="str">
        <f t="shared" si="11"/>
        <v>GFGV270.AB</v>
      </c>
      <c r="R28" s="159"/>
      <c r="S28" s="160" t="str">
        <f t="shared" si="12"/>
        <v/>
      </c>
      <c r="U28" s="234" t="s">
        <v>210</v>
      </c>
      <c r="V28" s="140"/>
      <c r="X28" s="200">
        <v>22</v>
      </c>
      <c r="Y28" s="546">
        <f t="shared" si="13"/>
        <v>28.786072024803232</v>
      </c>
      <c r="Z28" s="540">
        <f t="shared" si="14"/>
        <v>28484.76124999996</v>
      </c>
      <c r="AA28" s="179"/>
      <c r="AB28" s="540">
        <f t="shared" si="15"/>
        <v>0</v>
      </c>
      <c r="AC28" s="161"/>
      <c r="AD28" s="200">
        <v>22</v>
      </c>
      <c r="AE28" s="825">
        <f t="shared" si="146"/>
        <v>270</v>
      </c>
      <c r="AF28" s="201">
        <v>270</v>
      </c>
      <c r="AG28" s="161"/>
      <c r="AH28" s="177">
        <f t="shared" si="102"/>
        <v>0</v>
      </c>
      <c r="AI28" s="166">
        <f t="shared" si="103"/>
        <v>0</v>
      </c>
      <c r="AJ28" s="179"/>
      <c r="AK28" s="177">
        <f t="shared" si="104"/>
        <v>0</v>
      </c>
      <c r="AL28" s="166">
        <f t="shared" si="105"/>
        <v>0</v>
      </c>
      <c r="AM28" s="179"/>
      <c r="AN28" s="177"/>
      <c r="AO28" s="166"/>
      <c r="AP28" s="179"/>
      <c r="AQ28" s="176">
        <f t="shared" si="106"/>
        <v>0</v>
      </c>
      <c r="AR28" s="165">
        <f t="shared" si="107"/>
        <v>0</v>
      </c>
      <c r="AS28" s="179"/>
      <c r="AT28" s="176">
        <f t="shared" si="108"/>
        <v>0</v>
      </c>
      <c r="AU28" s="165">
        <f t="shared" si="109"/>
        <v>0</v>
      </c>
      <c r="AV28" s="179"/>
      <c r="AW28" s="200">
        <f t="shared" si="16"/>
        <v>22</v>
      </c>
      <c r="AX28" s="170">
        <f t="shared" si="17"/>
        <v>270</v>
      </c>
      <c r="AY28" s="164"/>
      <c r="AZ28" s="215">
        <f t="shared" si="18"/>
        <v>2.48</v>
      </c>
      <c r="BA28" s="197"/>
      <c r="BB28" s="228">
        <f t="shared" si="19"/>
        <v>0.19633</v>
      </c>
      <c r="BC28" s="161"/>
      <c r="BD28" s="240">
        <f t="shared" si="20"/>
        <v>2.4500000000000002</v>
      </c>
      <c r="BE28" s="196"/>
      <c r="BF28" s="240">
        <f t="shared" si="21"/>
        <v>2.48</v>
      </c>
      <c r="BG28" s="196"/>
      <c r="BH28" s="189"/>
      <c r="BI28" s="227">
        <f t="shared" si="22"/>
        <v>0</v>
      </c>
      <c r="BJ28" s="197"/>
      <c r="BK28" s="167">
        <f t="shared" si="23"/>
        <v>0</v>
      </c>
      <c r="BL28" s="161"/>
      <c r="BM28" s="240">
        <f t="shared" si="24"/>
        <v>0</v>
      </c>
      <c r="BN28" s="196"/>
      <c r="BO28" s="240">
        <f>+IF(AX28 = "", "",
IF(AND($EP$1 = TRUE, AK28 &gt; 0), AL28, IF(AND($EW$1 = TRUE, AT28 &gt; 0), AU28, IF(ISBLANK(BP28), VLOOKUP(P28, PreciosPuts, 4, FALSE), BP28))))</f>
        <v>0</v>
      </c>
      <c r="BP28" s="196"/>
      <c r="BQ28" s="161"/>
      <c r="BR28" s="381"/>
      <c r="BS28" s="392">
        <f t="shared" si="122"/>
        <v>573761.5</v>
      </c>
      <c r="BT28" s="376"/>
      <c r="BU28" s="393">
        <f t="shared" si="144"/>
        <v>0.77</v>
      </c>
      <c r="BV28" s="310"/>
      <c r="BW28" s="311">
        <f t="shared" si="110"/>
        <v>272.45</v>
      </c>
      <c r="BX28" s="372"/>
      <c r="BY28" s="440"/>
      <c r="BZ28" s="432">
        <v>0.42299999999999999</v>
      </c>
      <c r="CA28" s="372"/>
      <c r="CB28" s="572">
        <f>+IF($BU$1=FALSE, IF(BD28=0, "", BD28), IF(BM28=0,"", BM28))</f>
        <v>2.4500000000000002</v>
      </c>
      <c r="CC28" s="567">
        <f t="shared" si="29"/>
        <v>3</v>
      </c>
      <c r="CD28" s="814">
        <f t="shared" si="30"/>
        <v>270</v>
      </c>
      <c r="CE28" s="569">
        <f t="shared" si="31"/>
        <v>189</v>
      </c>
      <c r="CF28" s="574">
        <f t="shared" si="141"/>
        <v>2.48</v>
      </c>
      <c r="CG28" s="372"/>
      <c r="CH28" s="435">
        <v>0.12</v>
      </c>
      <c r="CI28" s="436"/>
      <c r="CJ28" s="372"/>
      <c r="CK28" s="391">
        <f t="shared" si="111"/>
        <v>272.48</v>
      </c>
      <c r="CL28" s="396">
        <f t="shared" ref="CL28" si="151">+IF(OR(CF29="", CB28="", CF29=0, CB28=0), "", IF($BU$1=FALSE, CB28-CF29,- CB28+CF29))</f>
        <v>0.66000000000000014</v>
      </c>
      <c r="CM28" s="370"/>
      <c r="CN28" s="161"/>
      <c r="CO28" s="161"/>
      <c r="CP28" s="161"/>
      <c r="CQ28" s="161"/>
      <c r="CR28" s="161"/>
      <c r="CS28" s="161"/>
      <c r="CT28" s="161"/>
      <c r="CU28" s="161"/>
      <c r="CV28" s="161"/>
      <c r="CW28" s="161"/>
      <c r="CX28" s="161"/>
      <c r="CY28" s="161"/>
      <c r="CZ28" s="161"/>
      <c r="DA28" s="161"/>
      <c r="DB28" s="161"/>
      <c r="DC28" s="161"/>
      <c r="DD28" s="161"/>
      <c r="DE28" s="161"/>
      <c r="DF28" s="161"/>
      <c r="DG28" s="161"/>
      <c r="DH28" s="161"/>
      <c r="DI28" s="161"/>
      <c r="DJ28" s="161"/>
      <c r="DK28" s="242">
        <f t="shared" si="123"/>
        <v>0</v>
      </c>
      <c r="DL28" s="217"/>
      <c r="DM28" s="490">
        <f t="shared" si="34"/>
        <v>0</v>
      </c>
      <c r="DN28" s="242">
        <f t="shared" si="35"/>
        <v>0</v>
      </c>
      <c r="DO28" s="243">
        <f t="shared" si="36"/>
        <v>0</v>
      </c>
      <c r="DP28" s="217"/>
      <c r="DQ28" s="252">
        <f t="shared" si="120"/>
        <v>0</v>
      </c>
      <c r="DR28" s="217"/>
      <c r="DS28" s="242">
        <f t="shared" si="38"/>
        <v>0</v>
      </c>
      <c r="DT28" s="242">
        <f t="shared" si="39"/>
        <v>0</v>
      </c>
      <c r="DU28" s="244">
        <f t="shared" si="40"/>
        <v>0</v>
      </c>
      <c r="DV28" s="217"/>
      <c r="DW28" s="428">
        <f>+IF(OR(AE28 = "", AND(AH28 = "", AK28 = "")), "",IFERROR(+AH28 * CallDelta($AG$1,AE28,($BM$1/365), $V$15, $AZ$1, $V$17), 0) + IFERROR(AK28 * Putdelta($AG$1,AE28,($BM$1/365), $V$15, $AZ$1, $V$17), 0))</f>
        <v>0</v>
      </c>
      <c r="DX28" s="245">
        <f>+IF(OR(AE28 = "", AND(AH28 = "", AK28 = "")), "",IFERROR(+AH28 * OptionGamma($AG$1,AE28,($BM$1/365), $V$15, $AZ$1, $V$17), 0) + IFERROR(AK28 * OptionGamma($AG$1,AE28,($BM$1/365), $V$15, $AZ$1, $V$17), 0))</f>
        <v>0</v>
      </c>
      <c r="DY28" s="161"/>
      <c r="DZ28" s="267">
        <f t="shared" si="127"/>
        <v>0</v>
      </c>
      <c r="EA28" s="217"/>
      <c r="EB28" s="267">
        <f t="shared" si="42"/>
        <v>0</v>
      </c>
      <c r="EC28" s="267">
        <f t="shared" si="43"/>
        <v>0</v>
      </c>
      <c r="ED28" s="247">
        <f t="shared" si="44"/>
        <v>0</v>
      </c>
      <c r="EE28" s="217"/>
      <c r="EF28" s="267">
        <f t="shared" si="129"/>
        <v>0</v>
      </c>
      <c r="EG28" s="217"/>
      <c r="EH28" s="267">
        <f t="shared" si="46"/>
        <v>0</v>
      </c>
      <c r="EI28" s="246">
        <f t="shared" si="47"/>
        <v>0</v>
      </c>
      <c r="EJ28" s="248">
        <f t="shared" si="48"/>
        <v>0</v>
      </c>
      <c r="EK28" s="217"/>
      <c r="EL28" s="251">
        <f>+IF(OR(AE28 = "", AND(AQ28 = "", AT28 = "")), "",IFERROR(+AQ28 * CallDelta($AG$1,AE28,($BM$1/365), $V$15, $AZ$1, $V$17), 0) + IFERROR(AT28 * Putdelta($AG$1,AE28,($BM$1/365), $V$15, $AZ$1, $V$17), 0))</f>
        <v>0</v>
      </c>
      <c r="EM28" s="249">
        <f>+IF(OR(AE28 = "", AND(AQ28 = "", AT28 = "")), "",IFERROR(+AQ28 * OptionGamma($AG$1,AE28,($BM$1/365), $V$15, $AZ$1, $V$17), 0) + IFERROR(AT28 * OptionGamma($AG$1,AE28,($BM$1/365), $V$15, $AZ$1, $V$17), 0))</f>
        <v>0</v>
      </c>
      <c r="EN28" s="451">
        <f t="shared" si="49"/>
        <v>46.680450439453125</v>
      </c>
      <c r="EO28" s="418">
        <f>+IF(AE28 = "", "",ImpliedCallVolatility($AG$1, $AE28,($BM$1/365), $V$15, $AZ28, $V$17) * 100)</f>
        <v>46.848297119140625</v>
      </c>
      <c r="EP28" s="418">
        <f>+IF(AE28 = "", "",ImpliedCallVolatility($AG$1, $AE28,($BM$1/365), $V$15, BD28, $V$17) * 100)</f>
        <v>46.680450439453125</v>
      </c>
      <c r="EQ28" s="418">
        <f>+IF(AE28 = "", "",ImpliedCallVolatility($AG$1, $AE28,($BM$1/365), $V$15, BF28, $V$17) * 100)</f>
        <v>46.848297119140625</v>
      </c>
      <c r="ER28" s="411">
        <f t="shared" si="50"/>
        <v>2.48</v>
      </c>
      <c r="ES28" s="411">
        <f t="shared" si="51"/>
        <v>2.4500000000000002</v>
      </c>
      <c r="ET28" s="411">
        <f t="shared" si="52"/>
        <v>2.48</v>
      </c>
      <c r="EU28" s="416">
        <f>IF($FC$1 = 1,
IF(AE28 = "", "",OptionGamma($AG$1,AE28,($BM$1/365), $V$15, $AZ$1, $V$17) * 1000),
IF($FC$1 = 2, IF(OR(AE28 = "", BD28 =  0), "",IF(AE28 &lt; $AG$1, (((AE28 * (1 - COMIS_ACCION)) / (($AG$1 * (1 + COMIS_ACCION)) - (BD28 * (1 - COMIS_OPCION)))) - 1) * 100 / $BM$1 * 365,((($AG$1 * (1 - COMIS_ACCION)) / (($AG$1 * (1 + COMIS_ACCION)) - (BD28 * (1 - COMIS_OPCION)))) - 1) * 100 / $BM$1 * 365))))</f>
        <v>5.4974245383016402</v>
      </c>
      <c r="EV28" s="276">
        <f>+IF(AE28 = "", "",CallOption($AG$1, $AE28,($BM$1/365), $V$15, $AZ$1, $V$17))</f>
        <v>1.2815853866050304</v>
      </c>
      <c r="EW28" s="271">
        <f t="shared" si="53"/>
        <v>-2.4965044000000001</v>
      </c>
      <c r="EX28" s="272">
        <f t="shared" si="54"/>
        <v>-61.975054199999974</v>
      </c>
      <c r="EY28" s="274">
        <f t="shared" si="55"/>
        <v>58.724945800000022</v>
      </c>
      <c r="EZ28" s="272">
        <f t="shared" si="56"/>
        <v>-270.45738</v>
      </c>
      <c r="FA28" s="272">
        <f t="shared" si="57"/>
        <v>269.54262</v>
      </c>
      <c r="FB28" s="530">
        <f>+IF($FC$1 = 1, IF(AE28 = "", "",IFERROR( VLOOKUP(N28, PreciosCalls, 13, FALSE), 0)),
IF($FC$1 = 2,  IF(AE28 = "", "",OptionGamma($AG$1,AE28,($BM$1/365), $V$15, $AZ$1, $V$17) * 1000)))</f>
        <v>2488</v>
      </c>
      <c r="FC28" s="530">
        <f>IF($FC$1 = 1, IF(AE28 = "", "",IFERROR( VLOOKUP(N28, PreciosCalls, 14, FALSE), 0)),
IF($FC$1 = 2, IF(AE28 = "", "",CallDelta($AG$1,AE28,($BM$1/365), $V$15, $AZ$1, $V$17) * 100)))</f>
        <v>0</v>
      </c>
      <c r="FD28" s="531">
        <f t="shared" si="58"/>
        <v>2.306115353697749</v>
      </c>
      <c r="FE28" s="530">
        <f t="shared" si="59"/>
        <v>573761.5</v>
      </c>
      <c r="FF28" s="217"/>
      <c r="FG28" s="273">
        <f t="shared" si="60"/>
        <v>1.4588235294117646</v>
      </c>
      <c r="FH28" s="273">
        <f t="shared" si="61"/>
        <v>2.1565217391304348</v>
      </c>
      <c r="FI28" s="451">
        <f t="shared" si="62"/>
        <v>3.814697265625E-3</v>
      </c>
      <c r="FJ28" s="419">
        <f>+IF(AE28 = "", "",ImpliedPutVolatility($AG$1, $AE28,($BM$1/365), $V$15, BI28, $V$17) * 100)</f>
        <v>3.814697265625E-3</v>
      </c>
      <c r="FK28" s="419">
        <f>+IF(AE28 = "", "",ImpliedPutVolatility($AG$1, $AE28,($BM$1/365), $V$15, BM28, $V$17) * 100)</f>
        <v>3.814697265625E-3</v>
      </c>
      <c r="FL28" s="419">
        <f>+IF(AE28 = "", "",ImpliedPutVolatility($AG$1, $AE28,($BM$1/365), $V$15, BO28, $V$17) * 100)</f>
        <v>3.814697265625E-3</v>
      </c>
      <c r="FM28" s="415" t="str">
        <f t="shared" si="63"/>
        <v/>
      </c>
      <c r="FN28" s="415" t="str">
        <f t="shared" si="64"/>
        <v/>
      </c>
      <c r="FO28" s="415" t="str">
        <f t="shared" si="65"/>
        <v/>
      </c>
      <c r="FP28" s="417">
        <f>IF($FX$1=1, IF(AE28 = "", "",OptionGamma($AG$1,AE28,($BM$1/365), $V$15, $AZ$1, $V$17) * 1000),
IF($FX$1 = 2, IF(OR(AE28 = "", BM28 =  0), "",((BM28 * (1 - COMIS_OPCION)) / (AE28 * (1 + COMIS_ACCION))) * 100 / $BM$1 * 365)))</f>
        <v>5.4974245383016402</v>
      </c>
      <c r="FQ28" s="289">
        <f>+IF(AE28 = "", "",PutOption($AG$1, $AE28,($BM$1/365), $V$15, $AZ$1, $V$17))</f>
        <v>48.386140255885891</v>
      </c>
      <c r="FR28" s="279"/>
      <c r="FS28" s="284">
        <f t="shared" si="66"/>
        <v>58.724945800000022</v>
      </c>
      <c r="FT28" s="284">
        <f t="shared" si="67"/>
        <v>-61.975054199999974</v>
      </c>
      <c r="FU28" s="279"/>
      <c r="FV28" s="279"/>
      <c r="FW28" s="287">
        <f>+IF($FX$1 = 1, IFERROR(VLOOKUP(P28, PreciosPuts, 13, FALSE), 0),
IF($FX$1 = 2, IF(AE28 = "", "",OptionGamma($AG$1,AE28,($BM$1/365), $V$15, $AZ$1, $V$17) * 1000)))</f>
        <v>0</v>
      </c>
      <c r="FX28" s="287">
        <f>+IF($FX$1=1, IF(AE28 = "", "",IFERROR(VLOOKUP(P28, PreciosPuts, 14, FALSE), 0)),
IF($FX$1=2, IF(AE28 = "", "",Putdelta($AG$1,AE28,($BM$1/365), $V$15, $AZ$1, $V$17) * 100)))</f>
        <v>0</v>
      </c>
      <c r="FY28" s="286">
        <f t="shared" si="69"/>
        <v>0</v>
      </c>
      <c r="FZ28" s="287">
        <f t="shared" si="70"/>
        <v>0</v>
      </c>
      <c r="GA28" s="217"/>
      <c r="GB28" s="281"/>
      <c r="GC28" s="281"/>
      <c r="GD28" s="217"/>
      <c r="GE28" s="301" t="str">
        <f t="shared" si="71"/>
        <v/>
      </c>
      <c r="GF28" s="292" t="str">
        <f t="shared" si="72"/>
        <v/>
      </c>
      <c r="GG28" s="293" t="str">
        <f t="shared" si="73"/>
        <v/>
      </c>
      <c r="GH28" s="294" t="str">
        <f t="shared" si="124"/>
        <v/>
      </c>
      <c r="GI28" s="294">
        <v>22</v>
      </c>
      <c r="GJ28" s="217"/>
      <c r="GK28" s="305" t="str">
        <f t="shared" si="74"/>
        <v/>
      </c>
      <c r="GL28" s="299" t="str">
        <f t="shared" si="75"/>
        <v/>
      </c>
      <c r="GM28" s="300" t="str">
        <f t="shared" si="76"/>
        <v/>
      </c>
      <c r="GN28" s="225" t="str">
        <f t="shared" si="121"/>
        <v/>
      </c>
      <c r="GO28" s="225">
        <v>22</v>
      </c>
      <c r="GP28" s="217"/>
      <c r="GQ28" s="217"/>
      <c r="GR28" s="401" t="str">
        <f t="shared" si="132"/>
        <v/>
      </c>
      <c r="GT28" s="282">
        <f t="shared" si="78"/>
        <v>-0.32957272499999979</v>
      </c>
      <c r="GU28" s="282">
        <f t="shared" si="79"/>
        <v>-0.88323297499999942</v>
      </c>
      <c r="GV28" s="282">
        <f t="shared" si="80"/>
        <v>-1.7424130174999999</v>
      </c>
      <c r="GW28" s="282">
        <f t="shared" si="81"/>
        <v>-3.2534021724999995</v>
      </c>
      <c r="GX28" s="282" t="str">
        <f t="shared" si="82"/>
        <v/>
      </c>
      <c r="GY28" s="282">
        <f t="shared" si="83"/>
        <v>-7.5493023850000007</v>
      </c>
      <c r="GZ28" s="282">
        <f t="shared" si="115"/>
        <v>-10.511888050000001</v>
      </c>
      <c r="HA28" s="282">
        <f t="shared" si="84"/>
        <v>-0.47889321666666673</v>
      </c>
      <c r="HB28" s="282">
        <f t="shared" si="116"/>
        <v>-0.54935906666666667</v>
      </c>
      <c r="HC28" s="607" t="str">
        <f t="shared" si="85"/>
        <v/>
      </c>
      <c r="HD28" s="282" t="str">
        <f t="shared" si="86"/>
        <v/>
      </c>
      <c r="HE28" s="282" t="str">
        <f t="shared" si="87"/>
        <v/>
      </c>
      <c r="HF28" s="282" t="str">
        <f t="shared" si="88"/>
        <v/>
      </c>
      <c r="HG28" s="217"/>
      <c r="HH28" s="282" t="str">
        <f t="shared" si="89"/>
        <v/>
      </c>
      <c r="HI28" s="282" t="str">
        <f t="shared" si="90"/>
        <v/>
      </c>
      <c r="HJ28" s="282"/>
      <c r="HK28" s="282"/>
      <c r="HL28" s="217"/>
      <c r="HM28" s="420"/>
      <c r="HN28" s="420"/>
      <c r="HO28" s="420"/>
      <c r="HP28" s="420"/>
      <c r="HQ28" s="282">
        <f t="shared" si="91"/>
        <v>-0.54935906666666634</v>
      </c>
      <c r="HR28" s="420"/>
      <c r="HS28" s="420"/>
      <c r="HT28" s="420"/>
      <c r="HU28" s="420"/>
      <c r="HV28" s="420"/>
      <c r="HW28" s="420"/>
      <c r="HX28" s="425"/>
      <c r="HY28" s="338"/>
      <c r="HZ28" s="338"/>
      <c r="IA28" s="161"/>
      <c r="IB28" s="161"/>
      <c r="IC28" s="162"/>
      <c r="ID28" s="162"/>
      <c r="IE28" s="49"/>
      <c r="IF28" s="55"/>
      <c r="IG28" s="58"/>
      <c r="IH28" s="545">
        <f t="shared" si="117"/>
        <v>28.786072024803232</v>
      </c>
      <c r="IJ28" s="146">
        <v>22</v>
      </c>
      <c r="IK28" s="545">
        <f t="shared" si="142"/>
        <v>270</v>
      </c>
      <c r="IL28" s="106">
        <f t="shared" si="93"/>
        <v>0.28786072024803233</v>
      </c>
      <c r="IM28" s="110">
        <f t="shared" si="128"/>
        <v>270</v>
      </c>
      <c r="IN28" s="111">
        <f t="shared" si="118"/>
        <v>28484.76124999996</v>
      </c>
      <c r="IO28" s="50">
        <f t="shared" si="147"/>
        <v>0</v>
      </c>
      <c r="IP28" s="50">
        <f t="shared" si="147"/>
        <v>0</v>
      </c>
      <c r="IQ28" s="50">
        <f t="shared" si="147"/>
        <v>0</v>
      </c>
      <c r="IR28" s="50">
        <f t="shared" si="147"/>
        <v>0</v>
      </c>
      <c r="IS28" s="50">
        <f t="shared" si="147"/>
        <v>0</v>
      </c>
      <c r="IT28" s="50">
        <f t="shared" si="147"/>
        <v>0</v>
      </c>
      <c r="IU28" s="50">
        <f t="shared" si="147"/>
        <v>0</v>
      </c>
      <c r="IV28" s="50">
        <f t="shared" si="147"/>
        <v>0</v>
      </c>
      <c r="IW28" s="50">
        <f t="shared" si="147"/>
        <v>0</v>
      </c>
      <c r="IX28" s="50">
        <f t="shared" si="147"/>
        <v>0</v>
      </c>
      <c r="IY28" s="50">
        <f t="shared" si="148"/>
        <v>0</v>
      </c>
      <c r="IZ28" s="50">
        <f t="shared" si="148"/>
        <v>0</v>
      </c>
      <c r="JA28" s="50">
        <f t="shared" si="148"/>
        <v>425000</v>
      </c>
      <c r="JB28" s="50">
        <f t="shared" si="148"/>
        <v>0</v>
      </c>
      <c r="JC28" s="50">
        <f t="shared" si="148"/>
        <v>0</v>
      </c>
      <c r="JD28" s="50">
        <f t="shared" si="148"/>
        <v>0</v>
      </c>
      <c r="JE28" s="50">
        <f t="shared" si="148"/>
        <v>-300000</v>
      </c>
      <c r="JF28" s="50">
        <f t="shared" si="148"/>
        <v>0</v>
      </c>
      <c r="JG28" s="50">
        <f t="shared" si="148"/>
        <v>0</v>
      </c>
      <c r="JH28" s="50">
        <f t="shared" si="148"/>
        <v>0</v>
      </c>
      <c r="JI28" s="50">
        <f t="shared" si="149"/>
        <v>-50000</v>
      </c>
      <c r="JJ28" s="50">
        <f t="shared" si="149"/>
        <v>0</v>
      </c>
      <c r="JK28" s="50">
        <f t="shared" si="149"/>
        <v>0</v>
      </c>
      <c r="JL28" s="50">
        <f t="shared" si="149"/>
        <v>0</v>
      </c>
      <c r="JM28" s="50">
        <f t="shared" si="149"/>
        <v>0</v>
      </c>
      <c r="JN28" s="50">
        <f t="shared" si="149"/>
        <v>0</v>
      </c>
      <c r="JO28" s="50">
        <f t="shared" si="149"/>
        <v>0</v>
      </c>
      <c r="JP28" s="50">
        <f t="shared" si="149"/>
        <v>0</v>
      </c>
      <c r="JQ28" s="50">
        <f t="shared" si="149"/>
        <v>0</v>
      </c>
      <c r="JR28" s="50">
        <f t="shared" si="149"/>
        <v>0</v>
      </c>
      <c r="JS28" s="50">
        <f t="shared" si="150"/>
        <v>0</v>
      </c>
      <c r="JT28" s="50">
        <f t="shared" si="150"/>
        <v>0</v>
      </c>
      <c r="JU28" s="50" t="str">
        <f t="shared" si="150"/>
        <v/>
      </c>
      <c r="JV28" s="50" t="str">
        <f t="shared" si="150"/>
        <v/>
      </c>
      <c r="JW28" s="50" t="str">
        <f t="shared" si="150"/>
        <v/>
      </c>
      <c r="JX28" s="50" t="str">
        <f t="shared" si="150"/>
        <v/>
      </c>
      <c r="JY28" s="50" t="str">
        <f t="shared" si="150"/>
        <v/>
      </c>
      <c r="JZ28" s="50" t="str">
        <f t="shared" si="150"/>
        <v/>
      </c>
      <c r="KA28" s="50" t="str">
        <f t="shared" si="150"/>
        <v/>
      </c>
      <c r="KB28" s="50" t="str">
        <f t="shared" si="150"/>
        <v/>
      </c>
      <c r="KC28" s="50" t="str">
        <f t="shared" si="150"/>
        <v/>
      </c>
      <c r="KD28" s="50" t="str">
        <f t="shared" si="150"/>
        <v/>
      </c>
    </row>
    <row r="29" spans="2:290" s="144" customFormat="1" ht="15" customHeight="1" thickBot="1">
      <c r="B29" s="146">
        <v>23</v>
      </c>
      <c r="C29" s="121" t="str">
        <f t="shared" si="99"/>
        <v>GFGC280.AB</v>
      </c>
      <c r="D29" s="121" t="str">
        <f t="shared" si="100"/>
        <v>GFGV280.AB</v>
      </c>
      <c r="E29" s="122">
        <f t="shared" si="1"/>
        <v>280</v>
      </c>
      <c r="F29" s="123" t="str">
        <f t="shared" si="2"/>
        <v/>
      </c>
      <c r="G29" s="123" t="str">
        <f t="shared" si="3"/>
        <v/>
      </c>
      <c r="H29" s="124">
        <f t="shared" si="4"/>
        <v>1.7</v>
      </c>
      <c r="I29" s="124" t="str">
        <f t="shared" si="5"/>
        <v/>
      </c>
      <c r="J29" s="124" t="str">
        <f t="shared" si="6"/>
        <v/>
      </c>
      <c r="K29" s="124" t="str">
        <f t="shared" si="7"/>
        <v/>
      </c>
      <c r="M29" s="158">
        <f t="shared" si="8"/>
        <v>12</v>
      </c>
      <c r="N29" s="121" t="str">
        <f t="shared" si="9"/>
        <v>GFGC280.AB</v>
      </c>
      <c r="O29" s="158">
        <f t="shared" si="10"/>
        <v>12</v>
      </c>
      <c r="P29" s="121" t="str">
        <f t="shared" si="11"/>
        <v>GFGV280.AB</v>
      </c>
      <c r="R29" s="159"/>
      <c r="S29" s="160" t="str">
        <f t="shared" si="12"/>
        <v/>
      </c>
      <c r="U29" s="54"/>
      <c r="V29" s="54"/>
      <c r="X29" s="200">
        <v>23</v>
      </c>
      <c r="Y29" s="546">
        <f t="shared" si="13"/>
        <v>33.5559265442404</v>
      </c>
      <c r="Z29" s="540">
        <f t="shared" si="14"/>
        <v>3484.7612499999595</v>
      </c>
      <c r="AA29" s="179"/>
      <c r="AB29" s="540">
        <f t="shared" si="15"/>
        <v>0</v>
      </c>
      <c r="AC29" s="161"/>
      <c r="AD29" s="200">
        <v>23</v>
      </c>
      <c r="AE29" s="825">
        <f t="shared" si="146"/>
        <v>280</v>
      </c>
      <c r="AF29" s="201">
        <v>280</v>
      </c>
      <c r="AG29" s="161"/>
      <c r="AH29" s="177">
        <f t="shared" si="102"/>
        <v>0</v>
      </c>
      <c r="AI29" s="166">
        <f t="shared" si="103"/>
        <v>0</v>
      </c>
      <c r="AJ29" s="179"/>
      <c r="AK29" s="177">
        <f t="shared" si="104"/>
        <v>0</v>
      </c>
      <c r="AL29" s="166">
        <f t="shared" si="105"/>
        <v>0</v>
      </c>
      <c r="AM29" s="179"/>
      <c r="AN29" s="177"/>
      <c r="AO29" s="166"/>
      <c r="AP29" s="179"/>
      <c r="AQ29" s="176">
        <f t="shared" si="106"/>
        <v>0</v>
      </c>
      <c r="AR29" s="165">
        <f t="shared" si="107"/>
        <v>0</v>
      </c>
      <c r="AS29" s="179"/>
      <c r="AT29" s="176">
        <f t="shared" si="108"/>
        <v>0</v>
      </c>
      <c r="AU29" s="165">
        <f t="shared" si="109"/>
        <v>0</v>
      </c>
      <c r="AV29" s="179"/>
      <c r="AW29" s="200">
        <f t="shared" si="16"/>
        <v>23</v>
      </c>
      <c r="AX29" s="170">
        <f t="shared" si="17"/>
        <v>280</v>
      </c>
      <c r="AY29" s="164"/>
      <c r="AZ29" s="215">
        <f t="shared" si="18"/>
        <v>1.7</v>
      </c>
      <c r="BA29" s="197"/>
      <c r="BB29" s="228">
        <f t="shared" si="19"/>
        <v>6.3829999999999998E-2</v>
      </c>
      <c r="BC29" s="161"/>
      <c r="BD29" s="240">
        <f t="shared" si="20"/>
        <v>1.71</v>
      </c>
      <c r="BE29" s="196"/>
      <c r="BF29" s="240">
        <f t="shared" si="21"/>
        <v>1.79</v>
      </c>
      <c r="BG29" s="196"/>
      <c r="BH29" s="189"/>
      <c r="BI29" s="227">
        <f t="shared" si="22"/>
        <v>0</v>
      </c>
      <c r="BJ29" s="197"/>
      <c r="BK29" s="167">
        <f t="shared" si="23"/>
        <v>0</v>
      </c>
      <c r="BL29" s="161"/>
      <c r="BM29" s="240">
        <f t="shared" si="24"/>
        <v>0</v>
      </c>
      <c r="BN29" s="196"/>
      <c r="BO29" s="240">
        <f t="shared" si="25"/>
        <v>0</v>
      </c>
      <c r="BP29" s="196"/>
      <c r="BQ29" s="161"/>
      <c r="BR29" s="381"/>
      <c r="BS29" s="392">
        <f t="shared" si="122"/>
        <v>266718.09999999998</v>
      </c>
      <c r="BT29" s="376"/>
      <c r="BU29" s="393">
        <f>+IF(OR(CF29="", CB30="", CF29=0, CB30=0), "", IF($BU$1=FALSE, CF29-CB30, -CF29+CB30))</f>
        <v>0.64000000000000012</v>
      </c>
      <c r="BV29" s="310"/>
      <c r="BW29" s="311">
        <f t="shared" si="110"/>
        <v>281.70999999999998</v>
      </c>
      <c r="BX29" s="372"/>
      <c r="BY29" s="440"/>
      <c r="BZ29" s="432">
        <v>0.34300000000000003</v>
      </c>
      <c r="CA29" s="372"/>
      <c r="CB29" s="572">
        <f t="shared" ref="CB29:CB47" si="152">+IF($BU$1=FALSE, IF(BD29=0, "", BD29), IF(BM29=0,"", BM29))</f>
        <v>1.71</v>
      </c>
      <c r="CC29" s="567">
        <f t="shared" si="29"/>
        <v>8</v>
      </c>
      <c r="CD29" s="814">
        <f t="shared" si="30"/>
        <v>280</v>
      </c>
      <c r="CE29" s="569">
        <f t="shared" si="31"/>
        <v>28</v>
      </c>
      <c r="CF29" s="574">
        <f t="shared" si="141"/>
        <v>1.79</v>
      </c>
      <c r="CG29" s="372"/>
      <c r="CH29" s="435">
        <v>0.27700000000000002</v>
      </c>
      <c r="CI29" s="436"/>
      <c r="CJ29" s="372"/>
      <c r="CK29" s="391">
        <f t="shared" si="111"/>
        <v>281.79000000000002</v>
      </c>
      <c r="CL29" s="396">
        <f>+IF(OR(CF30="", CB29="", CF30=0, CB29=0), "", IF($BU$1=FALSE, CB29-CF30,- CB29+CF30))</f>
        <v>0.42999999999999994</v>
      </c>
      <c r="CM29" s="370"/>
      <c r="CN29" s="161"/>
      <c r="CO29" s="161"/>
      <c r="CP29" s="161"/>
      <c r="CQ29" s="161"/>
      <c r="CR29" s="161"/>
      <c r="CS29" s="161"/>
      <c r="CT29" s="161"/>
      <c r="CU29" s="161"/>
      <c r="CV29" s="161"/>
      <c r="CW29" s="161"/>
      <c r="CX29" s="161"/>
      <c r="CY29" s="161"/>
      <c r="CZ29" s="161"/>
      <c r="DA29" s="161"/>
      <c r="DB29" s="161"/>
      <c r="DC29" s="161"/>
      <c r="DD29" s="161"/>
      <c r="DE29" s="161"/>
      <c r="DF29" s="161"/>
      <c r="DG29" s="161"/>
      <c r="DH29" s="161"/>
      <c r="DI29" s="161"/>
      <c r="DJ29" s="161"/>
      <c r="DK29" s="242">
        <f t="shared" si="123"/>
        <v>0</v>
      </c>
      <c r="DL29" s="217"/>
      <c r="DM29" s="490">
        <f t="shared" si="34"/>
        <v>0</v>
      </c>
      <c r="DN29" s="242">
        <f t="shared" si="35"/>
        <v>0</v>
      </c>
      <c r="DO29" s="243">
        <f t="shared" si="36"/>
        <v>0</v>
      </c>
      <c r="DP29" s="217"/>
      <c r="DQ29" s="252">
        <f t="shared" si="120"/>
        <v>0</v>
      </c>
      <c r="DR29" s="217"/>
      <c r="DS29" s="242">
        <f t="shared" si="38"/>
        <v>0</v>
      </c>
      <c r="DT29" s="242">
        <f t="shared" si="39"/>
        <v>0</v>
      </c>
      <c r="DU29" s="244">
        <f t="shared" si="40"/>
        <v>0</v>
      </c>
      <c r="DV29" s="217"/>
      <c r="DW29" s="428">
        <f>+IF(OR(AE29 = "", AND(AH29 = "", AK29 = "")), "",IFERROR(+AH29 * CallDelta($AG$1,AE29,($BM$1/365), $V$15, $AZ$1, $V$17), 0) + IFERROR(AK29 * Putdelta($AG$1,AE29,($BM$1/365), $V$15, $AZ$1, $V$17), 0))</f>
        <v>0</v>
      </c>
      <c r="DX29" s="245">
        <f>+IF(OR(AE29 = "", AND(AH29 = "", AK29 = "")), "",IFERROR(+AH29 * OptionGamma($AG$1,AE29,($BM$1/365), $V$15, $AZ$1, $V$17), 0) + IFERROR(AK29 * OptionGamma($AG$1,AE29,($BM$1/365), $V$15, $AZ$1, $V$17), 0))</f>
        <v>0</v>
      </c>
      <c r="DY29" s="161"/>
      <c r="DZ29" s="267">
        <f t="shared" si="127"/>
        <v>0</v>
      </c>
      <c r="EA29" s="217"/>
      <c r="EB29" s="267">
        <f t="shared" si="42"/>
        <v>0</v>
      </c>
      <c r="EC29" s="267">
        <f t="shared" si="43"/>
        <v>0</v>
      </c>
      <c r="ED29" s="247">
        <f t="shared" si="44"/>
        <v>0</v>
      </c>
      <c r="EE29" s="217"/>
      <c r="EF29" s="267">
        <f t="shared" si="129"/>
        <v>0</v>
      </c>
      <c r="EG29" s="217"/>
      <c r="EH29" s="267">
        <f t="shared" si="46"/>
        <v>0</v>
      </c>
      <c r="EI29" s="246">
        <f t="shared" si="47"/>
        <v>0</v>
      </c>
      <c r="EJ29" s="248">
        <f t="shared" si="48"/>
        <v>0</v>
      </c>
      <c r="EK29" s="217"/>
      <c r="EL29" s="251">
        <f>+IF(OR(AE29 = "", AND(AQ29 = "", AT29 = "")), "",IFERROR(+AQ29 * CallDelta($AG$1,AE29,($BM$1/365), $V$15, $AZ$1, $V$17), 0) + IFERROR(AT29 * Putdelta($AG$1,AE29,($BM$1/365), $V$15, $AZ$1, $V$17), 0))</f>
        <v>0</v>
      </c>
      <c r="EM29" s="249">
        <f>+IF(OR(AE29 = "", AND(AQ29 = "", AT29 = "")), "",IFERROR(+AQ29 * OptionGamma($AG$1,AE29,($BM$1/365), $V$15, $AZ$1, $V$17), 0) + IFERROR(AT29 * OptionGamma($AG$1,AE29,($BM$1/365), $V$15, $AZ$1, $V$17), 0))</f>
        <v>0</v>
      </c>
      <c r="EN29" s="451">
        <f t="shared" si="49"/>
        <v>47.397613525390625</v>
      </c>
      <c r="EO29" s="418">
        <f>+IF(AE29 = "", "",ImpliedCallVolatility($AG$1, $AE29,($BM$1/365), $V$15, $AZ29, $V$17) * 100)</f>
        <v>47.328948974609375</v>
      </c>
      <c r="EP29" s="418">
        <f>+IF(AE29 = "", "",ImpliedCallVolatility($AG$1, $AE29,($BM$1/365), $V$15, BD29, $V$17) * 100)</f>
        <v>47.397613525390625</v>
      </c>
      <c r="EQ29" s="418">
        <f>+IF(AE29 = "", "",ImpliedCallVolatility($AG$1, $AE29,($BM$1/365), $V$15, BF29, $V$17) * 100)</f>
        <v>47.954559326171875</v>
      </c>
      <c r="ER29" s="411">
        <f t="shared" si="50"/>
        <v>1.7</v>
      </c>
      <c r="ES29" s="411">
        <f t="shared" si="51"/>
        <v>1.71</v>
      </c>
      <c r="ET29" s="411">
        <f t="shared" si="52"/>
        <v>1.79</v>
      </c>
      <c r="EU29" s="416">
        <f>IF($FC$1 = 1,
IF(AE29 = "", "",OptionGamma($AG$1,AE29,($BM$1/365), $V$15, $AZ$1, $V$17) * 1000),
IF($FC$1 = 2, IF(OR(AE29 = "", BD29 =  0), "",IF(AE29 &lt; $AG$1, (((AE29 * (1 - COMIS_ACCION)) / (($AG$1 * (1 + COMIS_ACCION)) - (BD29 * (1 - COMIS_OPCION)))) - 1) * 100 / $BM$1 * 365,((($AG$1 * (1 - COMIS_ACCION)) / (($AG$1 * (1 + COMIS_ACCION)) - (BD29 * (1 - COMIS_OPCION)))) - 1) * 100 / $BM$1 * 365))))</f>
        <v>3.8458902961708352</v>
      </c>
      <c r="EV29" s="276">
        <f>+IF(AE29 = "", "",CallOption($AG$1, $AE29,($BM$1/365), $V$15, $AZ$1, $V$17))</f>
        <v>0.73888046705218891</v>
      </c>
      <c r="EW29" s="271">
        <f t="shared" si="53"/>
        <v>-1.8019124500000001</v>
      </c>
      <c r="EX29" s="272">
        <f t="shared" si="54"/>
        <v>-72.00893419999997</v>
      </c>
      <c r="EY29" s="274">
        <f t="shared" si="55"/>
        <v>68.691065800000032</v>
      </c>
      <c r="EZ29" s="272">
        <f t="shared" si="56"/>
        <v>-280.47432000000003</v>
      </c>
      <c r="FA29" s="272">
        <f t="shared" si="57"/>
        <v>279.52567999999997</v>
      </c>
      <c r="FB29" s="530">
        <f>+IF($FC$1 = 1, IF(AE29 = "", "",IFERROR( VLOOKUP(N29, PreciosCalls, 13, FALSE), 0)),
IF($FC$1 = 2,  IF(AE29 = "", "",OptionGamma($AG$1,AE29,($BM$1/365), $V$15, $AZ$1, $V$17) * 1000)))</f>
        <v>1569</v>
      </c>
      <c r="FC29" s="530">
        <f>IF($FC$1 = 1, IF(AE29 = "", "",IFERROR( VLOOKUP(N29, PreciosCalls, 14, FALSE), 0)),
IF($FC$1 = 2, IF(AE29 = "", "",CallDelta($AG$1,AE29,($BM$1/365), $V$15, $AZ$1, $V$17) * 100)))</f>
        <v>0</v>
      </c>
      <c r="FD29" s="531">
        <f t="shared" si="58"/>
        <v>1.6999241555130655</v>
      </c>
      <c r="FE29" s="530">
        <f t="shared" si="59"/>
        <v>266718.09999999998</v>
      </c>
      <c r="FF29" s="217"/>
      <c r="FG29" s="273">
        <f t="shared" si="60"/>
        <v>1.4782608695652175</v>
      </c>
      <c r="FH29" s="273">
        <f t="shared" si="61"/>
        <v>2</v>
      </c>
      <c r="FI29" s="451">
        <f t="shared" si="62"/>
        <v>3.814697265625E-3</v>
      </c>
      <c r="FJ29" s="419">
        <f>+IF(AE29 = "", "",ImpliedPutVolatility($AG$1, $AE29,($BM$1/365), $V$15, BI29, $V$17) * 100)</f>
        <v>3.814697265625E-3</v>
      </c>
      <c r="FK29" s="419">
        <f>+IF(AE29 = "", "",ImpliedPutVolatility($AG$1, $AE29,($BM$1/365), $V$15, BM29, $V$17) * 100)</f>
        <v>3.814697265625E-3</v>
      </c>
      <c r="FL29" s="419">
        <f>+IF(AE29 = "", "",ImpliedPutVolatility($AG$1, $AE29,($BM$1/365), $V$15, BO29, $V$17) * 100)</f>
        <v>3.814697265625E-3</v>
      </c>
      <c r="FM29" s="415" t="str">
        <f t="shared" si="63"/>
        <v/>
      </c>
      <c r="FN29" s="415" t="str">
        <f t="shared" si="64"/>
        <v/>
      </c>
      <c r="FO29" s="415" t="str">
        <f t="shared" si="65"/>
        <v/>
      </c>
      <c r="FP29" s="417">
        <f>IF($FX$1=1, IF(AE29 = "", "",OptionGamma($AG$1,AE29,($BM$1/365), $V$15, $AZ$1, $V$17) * 1000),
IF($FX$1 = 2, IF(OR(AE29 = "", BM29 =  0), "",((BM29 * (1 - COMIS_OPCION)) / (AE29 * (1 + COMIS_ACCION))) * 100 / $BM$1 * 365)))</f>
        <v>3.8458902961708352</v>
      </c>
      <c r="FQ29" s="289">
        <f>+IF(AE29 = "", "",PutOption($AG$1, $AE29,($BM$1/365), $V$15, $AZ$1, $V$17))</f>
        <v>57.352863294454579</v>
      </c>
      <c r="FR29" s="279"/>
      <c r="FS29" s="284">
        <f t="shared" si="66"/>
        <v>68.691065800000032</v>
      </c>
      <c r="FT29" s="284">
        <f t="shared" si="67"/>
        <v>-72.00893419999997</v>
      </c>
      <c r="FU29" s="279"/>
      <c r="FV29" s="279"/>
      <c r="FW29" s="287">
        <f>+IF($FX$1 = 1, IFERROR(VLOOKUP(P29, PreciosPuts, 13, FALSE), 0),
IF($FX$1 = 2, IF(AE29 = "", "",OptionGamma($AG$1,AE29,($BM$1/365), $V$15, $AZ$1, $V$17) * 1000)))</f>
        <v>0</v>
      </c>
      <c r="FX29" s="287">
        <f>+IF($FX$1=1, IF(AE29 = "", "",IFERROR(VLOOKUP(P29, PreciosPuts, 14, FALSE), 0)),
IF($FX$1=2, IF(AE29 = "", "",Putdelta($AG$1,AE29,($BM$1/365), $V$15, $AZ$1, $V$17) * 100)))</f>
        <v>0</v>
      </c>
      <c r="FY29" s="286">
        <f t="shared" si="69"/>
        <v>0</v>
      </c>
      <c r="FZ29" s="287">
        <f t="shared" si="70"/>
        <v>0</v>
      </c>
      <c r="GA29" s="217"/>
      <c r="GB29" s="281"/>
      <c r="GC29" s="281"/>
      <c r="GD29" s="217"/>
      <c r="GE29" s="301" t="str">
        <f t="shared" si="71"/>
        <v/>
      </c>
      <c r="GF29" s="292" t="str">
        <f t="shared" si="72"/>
        <v/>
      </c>
      <c r="GG29" s="293" t="str">
        <f t="shared" si="73"/>
        <v/>
      </c>
      <c r="GH29" s="294" t="str">
        <f t="shared" si="124"/>
        <v/>
      </c>
      <c r="GI29" s="294">
        <v>23</v>
      </c>
      <c r="GJ29" s="217"/>
      <c r="GK29" s="305" t="str">
        <f t="shared" si="74"/>
        <v/>
      </c>
      <c r="GL29" s="299" t="str">
        <f t="shared" si="75"/>
        <v/>
      </c>
      <c r="GM29" s="300" t="str">
        <f t="shared" si="76"/>
        <v/>
      </c>
      <c r="GN29" s="225" t="str">
        <f t="shared" si="121"/>
        <v/>
      </c>
      <c r="GO29" s="225">
        <v>23</v>
      </c>
      <c r="GP29" s="217"/>
      <c r="GQ29" s="217"/>
      <c r="GR29" s="401" t="str">
        <f t="shared" si="132"/>
        <v/>
      </c>
      <c r="GT29" s="282">
        <f t="shared" si="78"/>
        <v>-0.19389144999999997</v>
      </c>
      <c r="GU29" s="282">
        <f t="shared" si="79"/>
        <v>-0.61668655000000006</v>
      </c>
      <c r="GV29" s="282">
        <f t="shared" si="80"/>
        <v>-1.3258749974999997</v>
      </c>
      <c r="GW29" s="282" t="str">
        <f t="shared" si="81"/>
        <v/>
      </c>
      <c r="GX29" s="282">
        <f t="shared" si="82"/>
        <v>-3.8299293099999998</v>
      </c>
      <c r="GY29" s="282">
        <f t="shared" si="83"/>
        <v>-5.9167251250000001</v>
      </c>
      <c r="GZ29" s="282">
        <f t="shared" si="115"/>
        <v>-8.2169318000000011</v>
      </c>
      <c r="HA29" s="282">
        <f t="shared" si="84"/>
        <v>-0.26771281666666669</v>
      </c>
      <c r="HB29" s="282">
        <f t="shared" si="116"/>
        <v>-0.40193348333333379</v>
      </c>
      <c r="HC29" s="607" t="str">
        <f t="shared" si="85"/>
        <v/>
      </c>
      <c r="HD29" s="282" t="str">
        <f t="shared" si="86"/>
        <v/>
      </c>
      <c r="HE29" s="282" t="str">
        <f t="shared" si="87"/>
        <v/>
      </c>
      <c r="HF29" s="282" t="str">
        <f t="shared" si="88"/>
        <v/>
      </c>
      <c r="HG29" s="217"/>
      <c r="HH29" s="282" t="str">
        <f t="shared" si="89"/>
        <v/>
      </c>
      <c r="HI29" s="282" t="str">
        <f t="shared" si="90"/>
        <v/>
      </c>
      <c r="HJ29" s="282"/>
      <c r="HK29" s="282"/>
      <c r="HL29" s="217"/>
      <c r="HM29" s="420"/>
      <c r="HN29" s="420"/>
      <c r="HO29" s="420"/>
      <c r="HP29" s="420"/>
      <c r="HQ29" s="282">
        <f t="shared" si="91"/>
        <v>-0.40193348333333345</v>
      </c>
      <c r="HR29" s="420"/>
      <c r="HS29" s="420"/>
      <c r="HT29" s="420"/>
      <c r="HU29" s="420"/>
      <c r="HV29" s="420"/>
      <c r="HW29" s="420"/>
      <c r="HX29" s="425"/>
      <c r="HY29" s="338"/>
      <c r="HZ29" s="338"/>
      <c r="IA29" s="161"/>
      <c r="IB29" s="161"/>
      <c r="IC29" s="162"/>
      <c r="ID29" s="162"/>
      <c r="IE29" s="49"/>
      <c r="IF29" s="55"/>
      <c r="IG29" s="58"/>
      <c r="IH29" s="545">
        <f t="shared" si="117"/>
        <v>33.5559265442404</v>
      </c>
      <c r="IJ29" s="146">
        <v>23</v>
      </c>
      <c r="IK29" s="545">
        <f t="shared" si="142"/>
        <v>280</v>
      </c>
      <c r="IL29" s="106">
        <f t="shared" si="93"/>
        <v>0.335559265442404</v>
      </c>
      <c r="IM29" s="110">
        <f t="shared" si="128"/>
        <v>280</v>
      </c>
      <c r="IN29" s="111">
        <f t="shared" si="118"/>
        <v>3484.7612499999595</v>
      </c>
      <c r="IO29" s="50">
        <f t="shared" si="147"/>
        <v>0</v>
      </c>
      <c r="IP29" s="50">
        <f t="shared" si="147"/>
        <v>0</v>
      </c>
      <c r="IQ29" s="50">
        <f t="shared" si="147"/>
        <v>0</v>
      </c>
      <c r="IR29" s="50">
        <f t="shared" si="147"/>
        <v>0</v>
      </c>
      <c r="IS29" s="50">
        <f t="shared" si="147"/>
        <v>0</v>
      </c>
      <c r="IT29" s="50">
        <f t="shared" si="147"/>
        <v>0</v>
      </c>
      <c r="IU29" s="50">
        <f t="shared" si="147"/>
        <v>0</v>
      </c>
      <c r="IV29" s="50">
        <f t="shared" si="147"/>
        <v>0</v>
      </c>
      <c r="IW29" s="50">
        <f t="shared" si="147"/>
        <v>0</v>
      </c>
      <c r="IX29" s="50">
        <f t="shared" si="147"/>
        <v>0</v>
      </c>
      <c r="IY29" s="50">
        <f t="shared" si="148"/>
        <v>0</v>
      </c>
      <c r="IZ29" s="50">
        <f t="shared" si="148"/>
        <v>0</v>
      </c>
      <c r="JA29" s="50">
        <f t="shared" si="148"/>
        <v>475000</v>
      </c>
      <c r="JB29" s="50">
        <f t="shared" si="148"/>
        <v>0</v>
      </c>
      <c r="JC29" s="50">
        <f t="shared" si="148"/>
        <v>0</v>
      </c>
      <c r="JD29" s="50">
        <f t="shared" si="148"/>
        <v>0</v>
      </c>
      <c r="JE29" s="50">
        <f t="shared" si="148"/>
        <v>-350000</v>
      </c>
      <c r="JF29" s="50">
        <f t="shared" si="148"/>
        <v>0</v>
      </c>
      <c r="JG29" s="50">
        <f t="shared" si="148"/>
        <v>0</v>
      </c>
      <c r="JH29" s="50">
        <f t="shared" si="148"/>
        <v>0</v>
      </c>
      <c r="JI29" s="50">
        <f t="shared" si="149"/>
        <v>-75000</v>
      </c>
      <c r="JJ29" s="50">
        <f t="shared" si="149"/>
        <v>0</v>
      </c>
      <c r="JK29" s="50">
        <f t="shared" si="149"/>
        <v>0</v>
      </c>
      <c r="JL29" s="50">
        <f t="shared" si="149"/>
        <v>0</v>
      </c>
      <c r="JM29" s="50">
        <f t="shared" si="149"/>
        <v>0</v>
      </c>
      <c r="JN29" s="50">
        <f t="shared" si="149"/>
        <v>0</v>
      </c>
      <c r="JO29" s="50">
        <f t="shared" si="149"/>
        <v>0</v>
      </c>
      <c r="JP29" s="50">
        <f t="shared" si="149"/>
        <v>0</v>
      </c>
      <c r="JQ29" s="50">
        <f t="shared" si="149"/>
        <v>0</v>
      </c>
      <c r="JR29" s="50">
        <f t="shared" si="149"/>
        <v>0</v>
      </c>
      <c r="JS29" s="50">
        <f t="shared" si="150"/>
        <v>0</v>
      </c>
      <c r="JT29" s="50">
        <f t="shared" si="150"/>
        <v>0</v>
      </c>
      <c r="JU29" s="50" t="str">
        <f t="shared" si="150"/>
        <v/>
      </c>
      <c r="JV29" s="50" t="str">
        <f t="shared" si="150"/>
        <v/>
      </c>
      <c r="JW29" s="50" t="str">
        <f t="shared" si="150"/>
        <v/>
      </c>
      <c r="JX29" s="50" t="str">
        <f t="shared" si="150"/>
        <v/>
      </c>
      <c r="JY29" s="50" t="str">
        <f t="shared" si="150"/>
        <v/>
      </c>
      <c r="JZ29" s="50" t="str">
        <f t="shared" si="150"/>
        <v/>
      </c>
      <c r="KA29" s="50" t="str">
        <f t="shared" si="150"/>
        <v/>
      </c>
      <c r="KB29" s="50" t="str">
        <f t="shared" si="150"/>
        <v/>
      </c>
      <c r="KC29" s="50" t="str">
        <f t="shared" si="150"/>
        <v/>
      </c>
      <c r="KD29" s="50" t="str">
        <f t="shared" si="150"/>
        <v/>
      </c>
    </row>
    <row r="30" spans="2:290" s="144" customFormat="1" ht="15" customHeight="1" thickBot="1">
      <c r="B30" s="146">
        <v>24</v>
      </c>
      <c r="C30" s="121" t="str">
        <f t="shared" si="99"/>
        <v>GFGC290.AB</v>
      </c>
      <c r="D30" s="121" t="str">
        <f t="shared" si="100"/>
        <v>GFGV290.AB</v>
      </c>
      <c r="E30" s="122">
        <f t="shared" si="1"/>
        <v>290</v>
      </c>
      <c r="F30" s="123" t="str">
        <f t="shared" si="2"/>
        <v/>
      </c>
      <c r="G30" s="123" t="str">
        <f t="shared" si="3"/>
        <v/>
      </c>
      <c r="H30" s="124">
        <f t="shared" si="4"/>
        <v>1.1499999999999999</v>
      </c>
      <c r="I30" s="124" t="str">
        <f t="shared" si="5"/>
        <v/>
      </c>
      <c r="J30" s="124" t="str">
        <f t="shared" si="6"/>
        <v/>
      </c>
      <c r="K30" s="124" t="str">
        <f t="shared" si="7"/>
        <v/>
      </c>
      <c r="M30" s="158">
        <f t="shared" si="8"/>
        <v>12</v>
      </c>
      <c r="N30" s="121" t="str">
        <f t="shared" si="9"/>
        <v>GFGC290.AB</v>
      </c>
      <c r="O30" s="158">
        <f t="shared" si="10"/>
        <v>12</v>
      </c>
      <c r="P30" s="121" t="str">
        <f t="shared" si="11"/>
        <v>GFGV290.AB</v>
      </c>
      <c r="R30" s="159"/>
      <c r="S30" s="160" t="str">
        <f t="shared" si="12"/>
        <v/>
      </c>
      <c r="U30" s="54"/>
      <c r="V30" s="54"/>
      <c r="X30" s="200">
        <v>24</v>
      </c>
      <c r="Y30" s="546">
        <f t="shared" si="13"/>
        <v>38.325781063677546</v>
      </c>
      <c r="Z30" s="540">
        <f t="shared" ref="Z30:Z47" si="153">+IN30</f>
        <v>-21515.23875000004</v>
      </c>
      <c r="AA30" s="179"/>
      <c r="AB30" s="540">
        <f t="shared" ref="AB30:AB47" si="154">+IN79</f>
        <v>0</v>
      </c>
      <c r="AC30" s="161"/>
      <c r="AD30" s="200">
        <v>24</v>
      </c>
      <c r="AE30" s="825">
        <f t="shared" si="146"/>
        <v>290</v>
      </c>
      <c r="AF30" s="201">
        <v>290</v>
      </c>
      <c r="AG30" s="161"/>
      <c r="AH30" s="177">
        <f t="shared" si="102"/>
        <v>0</v>
      </c>
      <c r="AI30" s="166">
        <f t="shared" si="103"/>
        <v>0</v>
      </c>
      <c r="AJ30" s="179"/>
      <c r="AK30" s="177">
        <f t="shared" si="104"/>
        <v>0</v>
      </c>
      <c r="AL30" s="166">
        <f t="shared" si="105"/>
        <v>0</v>
      </c>
      <c r="AM30" s="179"/>
      <c r="AN30" s="177"/>
      <c r="AO30" s="166"/>
      <c r="AP30" s="179"/>
      <c r="AQ30" s="176">
        <f t="shared" si="106"/>
        <v>0</v>
      </c>
      <c r="AR30" s="165">
        <f t="shared" si="107"/>
        <v>0</v>
      </c>
      <c r="AS30" s="179"/>
      <c r="AT30" s="176">
        <f t="shared" si="108"/>
        <v>0</v>
      </c>
      <c r="AU30" s="165">
        <f t="shared" si="109"/>
        <v>0</v>
      </c>
      <c r="AV30" s="179"/>
      <c r="AW30" s="200">
        <f t="shared" si="16"/>
        <v>24</v>
      </c>
      <c r="AX30" s="170">
        <f t="shared" si="17"/>
        <v>290</v>
      </c>
      <c r="AY30" s="164"/>
      <c r="AZ30" s="215">
        <f t="shared" si="18"/>
        <v>1.1499999999999999</v>
      </c>
      <c r="BA30" s="197"/>
      <c r="BB30" s="228">
        <f t="shared" si="19"/>
        <v>-2.5419999999999998E-2</v>
      </c>
      <c r="BC30" s="161"/>
      <c r="BD30" s="240">
        <f t="shared" si="20"/>
        <v>1.1499999999999999</v>
      </c>
      <c r="BE30" s="196"/>
      <c r="BF30" s="240">
        <f t="shared" si="21"/>
        <v>1.28</v>
      </c>
      <c r="BG30" s="196"/>
      <c r="BH30" s="189"/>
      <c r="BI30" s="227">
        <f t="shared" si="22"/>
        <v>0</v>
      </c>
      <c r="BJ30" s="197"/>
      <c r="BK30" s="167">
        <f t="shared" si="23"/>
        <v>0</v>
      </c>
      <c r="BL30" s="161"/>
      <c r="BM30" s="240">
        <f t="shared" si="24"/>
        <v>0</v>
      </c>
      <c r="BN30" s="196"/>
      <c r="BO30" s="240">
        <f t="shared" si="25"/>
        <v>0</v>
      </c>
      <c r="BP30" s="196"/>
      <c r="BQ30" s="161"/>
      <c r="BR30" s="381"/>
      <c r="BS30" s="392">
        <f t="shared" si="122"/>
        <v>90585.7</v>
      </c>
      <c r="BT30" s="376"/>
      <c r="BU30" s="393">
        <f>+IF(OR(CF30="", CB31="", CF30=0, CB31=0), "", IF($BU$1=FALSE, CF30-CB31, -CF30+CB31))</f>
        <v>0.47899999999999998</v>
      </c>
      <c r="BV30" s="310"/>
      <c r="BW30" s="311">
        <f t="shared" si="110"/>
        <v>291.14999999999998</v>
      </c>
      <c r="BX30" s="372"/>
      <c r="BY30" s="440"/>
      <c r="BZ30" s="432">
        <v>0.193</v>
      </c>
      <c r="CA30" s="372"/>
      <c r="CB30" s="572">
        <f>+IF($BU$1=FALSE, IF(BD30=0, "", BD30), IF(BM30=0,"", BM30))</f>
        <v>1.1499999999999999</v>
      </c>
      <c r="CC30" s="567">
        <f t="shared" si="29"/>
        <v>13</v>
      </c>
      <c r="CD30" s="814">
        <f t="shared" si="30"/>
        <v>290</v>
      </c>
      <c r="CE30" s="569">
        <f t="shared" si="31"/>
        <v>8</v>
      </c>
      <c r="CF30" s="574">
        <f t="shared" ref="CF30:CF31" si="155">+IF($BU$1=FALSE, IF(BF30=0, "", BF30), IF(BO30=0,"", BO30))</f>
        <v>1.28</v>
      </c>
      <c r="CG30" s="372"/>
      <c r="CH30" s="435">
        <v>0.247</v>
      </c>
      <c r="CI30" s="436"/>
      <c r="CJ30" s="372"/>
      <c r="CK30" s="391">
        <f t="shared" si="111"/>
        <v>291.27999999999997</v>
      </c>
      <c r="CL30" s="396">
        <f>+IF(OR(CF31="", CB30="", CF31=0, CB30=0), "", IF($BU$1=FALSE, CB30-CF31,- CB30+CF31))</f>
        <v>0.24999999999999989</v>
      </c>
      <c r="CM30" s="370"/>
      <c r="CN30" s="161"/>
      <c r="CO30" s="161"/>
      <c r="CP30" s="161"/>
      <c r="CQ30" s="161"/>
      <c r="CR30" s="161"/>
      <c r="CS30" s="161"/>
      <c r="CT30" s="161"/>
      <c r="CU30" s="161"/>
      <c r="CV30" s="161"/>
      <c r="CW30" s="161"/>
      <c r="CX30" s="161"/>
      <c r="CY30" s="161"/>
      <c r="CZ30" s="161"/>
      <c r="DA30" s="161"/>
      <c r="DB30" s="161"/>
      <c r="DC30" s="161"/>
      <c r="DD30" s="161"/>
      <c r="DE30" s="161"/>
      <c r="DF30" s="161"/>
      <c r="DG30" s="161"/>
      <c r="DH30" s="161"/>
      <c r="DI30" s="161"/>
      <c r="DJ30" s="161"/>
      <c r="DK30" s="242">
        <f t="shared" si="123"/>
        <v>0</v>
      </c>
      <c r="DL30" s="217"/>
      <c r="DM30" s="490">
        <f t="shared" si="34"/>
        <v>0</v>
      </c>
      <c r="DN30" s="242">
        <f t="shared" si="35"/>
        <v>0</v>
      </c>
      <c r="DO30" s="243">
        <f t="shared" si="36"/>
        <v>0</v>
      </c>
      <c r="DP30" s="217"/>
      <c r="DQ30" s="252">
        <f t="shared" si="120"/>
        <v>0</v>
      </c>
      <c r="DR30" s="217"/>
      <c r="DS30" s="242">
        <f t="shared" si="38"/>
        <v>0</v>
      </c>
      <c r="DT30" s="242">
        <f t="shared" si="39"/>
        <v>0</v>
      </c>
      <c r="DU30" s="244">
        <f t="shared" si="40"/>
        <v>0</v>
      </c>
      <c r="DV30" s="217"/>
      <c r="DW30" s="428">
        <f>+IF(OR(AE30 = "", AND(AH30 = "", AK30 = "")), "",IFERROR(+AH30 * CallDelta($AG$1,AE30,($BM$1/365), $V$15, $AZ$1, $V$17), 0) + IFERROR(AK30 * Putdelta($AG$1,AE30,($BM$1/365), $V$15, $AZ$1, $V$17), 0))</f>
        <v>0</v>
      </c>
      <c r="DX30" s="245">
        <f>+IF(OR(AE30 = "", AND(AH30 = "", AK30 = "")), "",IFERROR(+AH30 * OptionGamma($AG$1,AE30,($BM$1/365), $V$15, $AZ$1, $V$17), 0) + IFERROR(AK30 * OptionGamma($AG$1,AE30,($BM$1/365), $V$15, $AZ$1, $V$17), 0))</f>
        <v>0</v>
      </c>
      <c r="DY30" s="161"/>
      <c r="DZ30" s="267">
        <f t="shared" si="127"/>
        <v>0</v>
      </c>
      <c r="EA30" s="217"/>
      <c r="EB30" s="267">
        <f t="shared" si="42"/>
        <v>0</v>
      </c>
      <c r="EC30" s="267">
        <f t="shared" si="43"/>
        <v>0</v>
      </c>
      <c r="ED30" s="247">
        <f t="shared" si="44"/>
        <v>0</v>
      </c>
      <c r="EE30" s="217"/>
      <c r="EF30" s="267">
        <f t="shared" si="129"/>
        <v>0</v>
      </c>
      <c r="EG30" s="217"/>
      <c r="EH30" s="267">
        <f t="shared" si="46"/>
        <v>0</v>
      </c>
      <c r="EI30" s="246">
        <f t="shared" si="47"/>
        <v>0</v>
      </c>
      <c r="EJ30" s="248">
        <f t="shared" si="48"/>
        <v>0</v>
      </c>
      <c r="EK30" s="217"/>
      <c r="EL30" s="251">
        <f>+IF(OR(AE30 = "", AND(AQ30 = "", AT30 = "")), "",IFERROR(+AQ30 * CallDelta($AG$1,AE30,($BM$1/365), $V$15, $AZ$1, $V$17), 0) + IFERROR(AT30 * Putdelta($AG$1,AE30,($BM$1/365), $V$15, $AZ$1, $V$17), 0))</f>
        <v>0</v>
      </c>
      <c r="EM30" s="249">
        <f>+IF(OR(AE30 = "", AND(AQ30 = "", AT30 = "")), "",IFERROR(+AQ30 * OptionGamma($AG$1,AE30,($BM$1/365), $V$15, $AZ$1, $V$17), 0) + IFERROR(AT30 * OptionGamma($AG$1,AE30,($BM$1/365), $V$15, $AZ$1, $V$17), 0))</f>
        <v>0</v>
      </c>
      <c r="EN30" s="451">
        <f t="shared" si="49"/>
        <v>47.702789306640625</v>
      </c>
      <c r="EO30" s="418">
        <f>+IF(AE30 = "", "",ImpliedCallVolatility($AG$1, $AE30,($BM$1/365), $V$15, $AZ30, $V$17) * 100)</f>
        <v>47.702789306640625</v>
      </c>
      <c r="EP30" s="418">
        <f>+IF(AE30 = "", "",ImpliedCallVolatility($AG$1, $AE30,($BM$1/365), $V$15, BD30, $V$17) * 100)</f>
        <v>47.702789306640625</v>
      </c>
      <c r="EQ30" s="418">
        <f>+IF(AE30 = "", "",ImpliedCallVolatility($AG$1, $AE30,($BM$1/365), $V$15, BF30, $V$17) * 100)</f>
        <v>48.854827880859375</v>
      </c>
      <c r="ER30" s="411">
        <f t="shared" si="50"/>
        <v>1.1499999999999999</v>
      </c>
      <c r="ES30" s="411">
        <f t="shared" si="51"/>
        <v>1.1499999999999999</v>
      </c>
      <c r="ET30" s="411">
        <f t="shared" si="52"/>
        <v>1.28</v>
      </c>
      <c r="EU30" s="416">
        <f>IF($FC$1 = 1,
IF(AE30 = "", "",OptionGamma($AG$1,AE30,($BM$1/365), $V$15, $AZ$1, $V$17) * 1000),
IF($FC$1 = 2, IF(OR(AE30 = "", BD30 =  0), "",IF(AE30 &lt; $AG$1, (((AE30 * (1 - COMIS_ACCION)) / (($AG$1 * (1 + COMIS_ACCION)) - (BD30 * (1 - COMIS_OPCION)))) - 1) * 100 / $BM$1 * 365,((($AG$1 * (1 - COMIS_ACCION)) / (($AG$1 * (1 + COMIS_ACCION)) - (BD30 * (1 - COMIS_OPCION)))) - 1) * 100 / $BM$1 * 365))))</f>
        <v>2.5693746096799939</v>
      </c>
      <c r="EV30" s="276">
        <f>+IF(AE30 = "", "",CallOption($AG$1, $AE30,($BM$1/365), $V$15, $AZ$1, $V$17))</f>
        <v>0.41467719159539129</v>
      </c>
      <c r="EW30" s="271">
        <f t="shared" si="53"/>
        <v>-1.2885184000000001</v>
      </c>
      <c r="EX30" s="272">
        <f t="shared" si="54"/>
        <v>-82.042814199999953</v>
      </c>
      <c r="EY30" s="274">
        <f t="shared" si="55"/>
        <v>78.657185800000036</v>
      </c>
      <c r="EZ30" s="272">
        <f t="shared" si="56"/>
        <v>-290.49126000000001</v>
      </c>
      <c r="FA30" s="272">
        <f t="shared" si="57"/>
        <v>289.50873999999999</v>
      </c>
      <c r="FB30" s="530">
        <f>+IF($FC$1 = 1, IF(AE30 = "", "",IFERROR( VLOOKUP(N30, PreciosCalls, 13, FALSE), 0)),
IF($FC$1 = 2,  IF(AE30 = "", "",OptionGamma($AG$1,AE30,($BM$1/365), $V$15, $AZ$1, $V$17) * 1000)))</f>
        <v>745</v>
      </c>
      <c r="FC30" s="530">
        <f>IF($FC$1 = 1, IF(AE30 = "", "",IFERROR( VLOOKUP(N30, PreciosCalls, 14, FALSE), 0)),
IF($FC$1 = 2, IF(AE30 = "", "",CallDelta($AG$1,AE30,($BM$1/365), $V$15, $AZ$1, $V$17) * 100)))</f>
        <v>0</v>
      </c>
      <c r="FD30" s="531">
        <f t="shared" si="58"/>
        <v>1.2159154362416107</v>
      </c>
      <c r="FE30" s="530">
        <f t="shared" si="59"/>
        <v>90585.7</v>
      </c>
      <c r="FF30" s="217"/>
      <c r="FG30" s="273">
        <f t="shared" si="60"/>
        <v>1.3529411764705881</v>
      </c>
      <c r="FH30" s="273">
        <f t="shared" si="61"/>
        <v>1.6452074391988556</v>
      </c>
      <c r="FI30" s="451">
        <f t="shared" si="62"/>
        <v>3.814697265625E-3</v>
      </c>
      <c r="FJ30" s="419">
        <f>+IF(AE30 = "", "",ImpliedPutVolatility($AG$1, $AE30,($BM$1/365), $V$15, BI30, $V$17) * 100)</f>
        <v>3.814697265625E-3</v>
      </c>
      <c r="FK30" s="419">
        <f>+IF(AE30 = "", "",ImpliedPutVolatility($AG$1, $AE30,($BM$1/365), $V$15, BM30, $V$17) * 100)</f>
        <v>3.814697265625E-3</v>
      </c>
      <c r="FL30" s="419">
        <f>+IF(AE30 = "", "",ImpliedPutVolatility($AG$1, $AE30,($BM$1/365), $V$15, BO30, $V$17) * 100)</f>
        <v>3.814697265625E-3</v>
      </c>
      <c r="FM30" s="415" t="str">
        <f t="shared" si="63"/>
        <v/>
      </c>
      <c r="FN30" s="415" t="str">
        <f t="shared" si="64"/>
        <v/>
      </c>
      <c r="FO30" s="415" t="str">
        <f t="shared" si="65"/>
        <v/>
      </c>
      <c r="FP30" s="417">
        <f>IF($FX$1=1, IF(AE30 = "", "",OptionGamma($AG$1,AE30,($BM$1/365), $V$15, $AZ$1, $V$17) * 1000),
IF($FX$1 = 2, IF(OR(AE30 = "", BM30 =  0), "",((BM30 * (1 - COMIS_OPCION)) / (AE30 * (1 + COMIS_ACCION))) * 100 / $BM$1 * 365)))</f>
        <v>2.5693746096799939</v>
      </c>
      <c r="FQ30" s="289">
        <f>+IF(AE30 = "", "",PutOption($AG$1, $AE30,($BM$1/365), $V$15, $AZ$1, $V$17))</f>
        <v>66.538087977119233</v>
      </c>
      <c r="FR30" s="279"/>
      <c r="FS30" s="284">
        <f t="shared" si="66"/>
        <v>78.657185800000036</v>
      </c>
      <c r="FT30" s="284">
        <f t="shared" si="67"/>
        <v>-82.042814199999953</v>
      </c>
      <c r="FU30" s="279"/>
      <c r="FV30" s="279"/>
      <c r="FW30" s="287">
        <f>+IF($FX$1 = 1, IFERROR(VLOOKUP(P30, PreciosPuts, 13, FALSE), 0),
IF($FX$1 = 2, IF(AE30 = "", "",OptionGamma($AG$1,AE30,($BM$1/365), $V$15, $AZ$1, $V$17) * 1000)))</f>
        <v>0</v>
      </c>
      <c r="FX30" s="287">
        <f>+IF($FX$1=1, IF(AE30 = "", "",IFERROR(VLOOKUP(P30, PreciosPuts, 14, FALSE), 0)),
IF($FX$1=2, IF(AE30 = "", "",Putdelta($AG$1,AE30,($BM$1/365), $V$15, $AZ$1, $V$17) * 100)))</f>
        <v>0</v>
      </c>
      <c r="FY30" s="286">
        <f t="shared" si="69"/>
        <v>0</v>
      </c>
      <c r="FZ30" s="287">
        <f t="shared" si="70"/>
        <v>0</v>
      </c>
      <c r="GA30" s="217"/>
      <c r="GB30" s="281"/>
      <c r="GC30" s="281"/>
      <c r="GD30" s="217"/>
      <c r="GE30" s="301" t="str">
        <f t="shared" si="71"/>
        <v/>
      </c>
      <c r="GF30" s="292" t="str">
        <f t="shared" si="72"/>
        <v/>
      </c>
      <c r="GG30" s="293" t="str">
        <f t="shared" si="73"/>
        <v/>
      </c>
      <c r="GH30" s="294" t="str">
        <f t="shared" si="124"/>
        <v/>
      </c>
      <c r="GI30" s="294">
        <v>24</v>
      </c>
      <c r="GJ30" s="217"/>
      <c r="GK30" s="305" t="str">
        <f t="shared" si="74"/>
        <v/>
      </c>
      <c r="GL30" s="299" t="str">
        <f t="shared" si="75"/>
        <v/>
      </c>
      <c r="GM30" s="300" t="str">
        <f t="shared" si="76"/>
        <v/>
      </c>
      <c r="GN30" s="225" t="str">
        <f t="shared" si="121"/>
        <v/>
      </c>
      <c r="GO30" s="225">
        <v>24</v>
      </c>
      <c r="GP30" s="217"/>
      <c r="GQ30" s="217"/>
      <c r="GR30" s="401" t="str">
        <f t="shared" si="132"/>
        <v/>
      </c>
      <c r="GT30" s="282">
        <f t="shared" si="78"/>
        <v>-0.21160422500000015</v>
      </c>
      <c r="GU30" s="282">
        <f t="shared" si="79"/>
        <v>-0.45773137250000007</v>
      </c>
      <c r="GV30" s="282" t="str">
        <f t="shared" si="80"/>
        <v/>
      </c>
      <c r="GW30" s="282">
        <f t="shared" si="81"/>
        <v>-1.7236000349999998</v>
      </c>
      <c r="GX30" s="282">
        <f t="shared" si="82"/>
        <v>-2.7569313925000003</v>
      </c>
      <c r="GY30" s="282">
        <f t="shared" si="83"/>
        <v>-4.3187566250000007</v>
      </c>
      <c r="GZ30" s="282">
        <f t="shared" si="115"/>
        <v>-6.3944792350000004</v>
      </c>
      <c r="HA30" s="282">
        <f t="shared" si="84"/>
        <v>-0.29347883166666688</v>
      </c>
      <c r="HB30" s="282">
        <f t="shared" si="116"/>
        <v>-0.29381438333333343</v>
      </c>
      <c r="HC30" s="607" t="str">
        <f t="shared" si="85"/>
        <v/>
      </c>
      <c r="HD30" s="282" t="str">
        <f t="shared" si="86"/>
        <v/>
      </c>
      <c r="HE30" s="282" t="str">
        <f t="shared" si="87"/>
        <v/>
      </c>
      <c r="HF30" s="282" t="str">
        <f t="shared" si="88"/>
        <v/>
      </c>
      <c r="HG30" s="217"/>
      <c r="HH30" s="282" t="str">
        <f t="shared" si="89"/>
        <v/>
      </c>
      <c r="HI30" s="282" t="str">
        <f t="shared" si="90"/>
        <v/>
      </c>
      <c r="HJ30" s="282"/>
      <c r="HK30" s="282"/>
      <c r="HL30" s="217"/>
      <c r="HM30" s="420"/>
      <c r="HN30" s="420"/>
      <c r="HO30" s="420"/>
      <c r="HP30" s="420"/>
      <c r="HQ30" s="282">
        <f t="shared" si="91"/>
        <v>-0.29381438333333343</v>
      </c>
      <c r="HR30" s="420"/>
      <c r="HS30" s="420"/>
      <c r="HT30" s="420"/>
      <c r="HU30" s="420"/>
      <c r="HV30" s="420"/>
      <c r="HW30" s="420"/>
      <c r="HX30" s="425"/>
      <c r="HY30" s="338"/>
      <c r="HZ30" s="338"/>
      <c r="IA30" s="161"/>
      <c r="IB30" s="161"/>
      <c r="IC30" s="162"/>
      <c r="ID30" s="162"/>
      <c r="IE30" s="49"/>
      <c r="IF30" s="55"/>
      <c r="IG30" s="58"/>
      <c r="IH30" s="545">
        <f t="shared" si="117"/>
        <v>38.325781063677546</v>
      </c>
      <c r="IJ30" s="146">
        <v>24</v>
      </c>
      <c r="IK30" s="545">
        <f t="shared" si="142"/>
        <v>290</v>
      </c>
      <c r="IL30" s="106">
        <f t="shared" si="93"/>
        <v>0.38325781063677544</v>
      </c>
      <c r="IM30" s="110">
        <f t="shared" si="128"/>
        <v>290</v>
      </c>
      <c r="IN30" s="111">
        <f t="shared" si="118"/>
        <v>-21515.23875000004</v>
      </c>
      <c r="IO30" s="50">
        <f t="shared" si="147"/>
        <v>0</v>
      </c>
      <c r="IP30" s="50">
        <f t="shared" si="147"/>
        <v>0</v>
      </c>
      <c r="IQ30" s="50">
        <f t="shared" si="147"/>
        <v>0</v>
      </c>
      <c r="IR30" s="50">
        <f t="shared" si="147"/>
        <v>0</v>
      </c>
      <c r="IS30" s="50">
        <f t="shared" si="147"/>
        <v>0</v>
      </c>
      <c r="IT30" s="50">
        <f t="shared" si="147"/>
        <v>0</v>
      </c>
      <c r="IU30" s="50">
        <f t="shared" si="147"/>
        <v>0</v>
      </c>
      <c r="IV30" s="50">
        <f t="shared" si="147"/>
        <v>0</v>
      </c>
      <c r="IW30" s="50">
        <f t="shared" si="147"/>
        <v>0</v>
      </c>
      <c r="IX30" s="50">
        <f t="shared" si="147"/>
        <v>0</v>
      </c>
      <c r="IY30" s="50">
        <f t="shared" si="148"/>
        <v>0</v>
      </c>
      <c r="IZ30" s="50">
        <f t="shared" si="148"/>
        <v>0</v>
      </c>
      <c r="JA30" s="50">
        <f t="shared" si="148"/>
        <v>525000</v>
      </c>
      <c r="JB30" s="50">
        <f t="shared" si="148"/>
        <v>0</v>
      </c>
      <c r="JC30" s="50">
        <f t="shared" si="148"/>
        <v>0</v>
      </c>
      <c r="JD30" s="50">
        <f t="shared" si="148"/>
        <v>0</v>
      </c>
      <c r="JE30" s="50">
        <f t="shared" si="148"/>
        <v>-400000</v>
      </c>
      <c r="JF30" s="50">
        <f t="shared" si="148"/>
        <v>0</v>
      </c>
      <c r="JG30" s="50">
        <f t="shared" si="148"/>
        <v>0</v>
      </c>
      <c r="JH30" s="50">
        <f t="shared" si="148"/>
        <v>0</v>
      </c>
      <c r="JI30" s="50">
        <f t="shared" si="149"/>
        <v>-100000</v>
      </c>
      <c r="JJ30" s="50">
        <f t="shared" si="149"/>
        <v>0</v>
      </c>
      <c r="JK30" s="50">
        <f t="shared" si="149"/>
        <v>0</v>
      </c>
      <c r="JL30" s="50">
        <f t="shared" si="149"/>
        <v>0</v>
      </c>
      <c r="JM30" s="50">
        <f t="shared" si="149"/>
        <v>0</v>
      </c>
      <c r="JN30" s="50">
        <f t="shared" si="149"/>
        <v>0</v>
      </c>
      <c r="JO30" s="50">
        <f t="shared" si="149"/>
        <v>0</v>
      </c>
      <c r="JP30" s="50">
        <f t="shared" si="149"/>
        <v>0</v>
      </c>
      <c r="JQ30" s="50">
        <f t="shared" si="149"/>
        <v>0</v>
      </c>
      <c r="JR30" s="50">
        <f t="shared" si="149"/>
        <v>0</v>
      </c>
      <c r="JS30" s="50">
        <f t="shared" si="150"/>
        <v>0</v>
      </c>
      <c r="JT30" s="50">
        <f t="shared" si="150"/>
        <v>0</v>
      </c>
      <c r="JU30" s="50" t="str">
        <f t="shared" si="150"/>
        <v/>
      </c>
      <c r="JV30" s="50" t="str">
        <f t="shared" si="150"/>
        <v/>
      </c>
      <c r="JW30" s="50" t="str">
        <f t="shared" si="150"/>
        <v/>
      </c>
      <c r="JX30" s="50" t="str">
        <f t="shared" si="150"/>
        <v/>
      </c>
      <c r="JY30" s="50" t="str">
        <f t="shared" si="150"/>
        <v/>
      </c>
      <c r="JZ30" s="50" t="str">
        <f t="shared" si="150"/>
        <v/>
      </c>
      <c r="KA30" s="50" t="str">
        <f t="shared" si="150"/>
        <v/>
      </c>
      <c r="KB30" s="50" t="str">
        <f t="shared" si="150"/>
        <v/>
      </c>
      <c r="KC30" s="50" t="str">
        <f t="shared" si="150"/>
        <v/>
      </c>
      <c r="KD30" s="50" t="str">
        <f t="shared" si="150"/>
        <v/>
      </c>
    </row>
    <row r="31" spans="2:290" s="144" customFormat="1" ht="15" customHeight="1" thickBot="1">
      <c r="B31" s="146">
        <v>25</v>
      </c>
      <c r="C31" s="121" t="str">
        <f t="shared" si="99"/>
        <v>GFGC300.AB</v>
      </c>
      <c r="D31" s="121" t="str">
        <f t="shared" si="100"/>
        <v>GFGV300.AB</v>
      </c>
      <c r="E31" s="122">
        <f t="shared" si="1"/>
        <v>300</v>
      </c>
      <c r="F31" s="123" t="str">
        <f t="shared" si="2"/>
        <v/>
      </c>
      <c r="G31" s="123" t="str">
        <f t="shared" si="3"/>
        <v/>
      </c>
      <c r="H31" s="124">
        <f t="shared" si="4"/>
        <v>0.85</v>
      </c>
      <c r="I31" s="124" t="str">
        <f t="shared" si="5"/>
        <v/>
      </c>
      <c r="J31" s="124" t="str">
        <f t="shared" si="6"/>
        <v/>
      </c>
      <c r="K31" s="124" t="str">
        <f t="shared" si="7"/>
        <v/>
      </c>
      <c r="M31" s="158">
        <f t="shared" si="8"/>
        <v>12</v>
      </c>
      <c r="N31" s="121" t="str">
        <f t="shared" si="9"/>
        <v>GFGC300.AB</v>
      </c>
      <c r="O31" s="158">
        <f t="shared" si="10"/>
        <v>12</v>
      </c>
      <c r="P31" s="121" t="str">
        <f t="shared" si="11"/>
        <v>GFGV300.AB</v>
      </c>
      <c r="R31" s="159"/>
      <c r="S31" s="160" t="str">
        <f t="shared" si="12"/>
        <v/>
      </c>
      <c r="U31" s="54"/>
      <c r="V31" s="54"/>
      <c r="X31" s="200">
        <v>25</v>
      </c>
      <c r="Y31" s="546">
        <f t="shared" si="13"/>
        <v>43.095635583114714</v>
      </c>
      <c r="Z31" s="540">
        <f t="shared" si="153"/>
        <v>-46515.23875000004</v>
      </c>
      <c r="AA31" s="179"/>
      <c r="AB31" s="540">
        <f t="shared" si="154"/>
        <v>0</v>
      </c>
      <c r="AC31" s="161"/>
      <c r="AD31" s="200">
        <v>25</v>
      </c>
      <c r="AE31" s="825">
        <f t="shared" si="146"/>
        <v>300</v>
      </c>
      <c r="AF31" s="201">
        <v>300</v>
      </c>
      <c r="AG31" s="161"/>
      <c r="AH31" s="177">
        <f t="shared" si="102"/>
        <v>0</v>
      </c>
      <c r="AI31" s="166">
        <f t="shared" si="103"/>
        <v>0</v>
      </c>
      <c r="AJ31" s="179"/>
      <c r="AK31" s="177">
        <f t="shared" si="104"/>
        <v>0</v>
      </c>
      <c r="AL31" s="166">
        <f t="shared" si="105"/>
        <v>0</v>
      </c>
      <c r="AM31" s="179"/>
      <c r="AN31" s="177"/>
      <c r="AO31" s="166"/>
      <c r="AP31" s="179"/>
      <c r="AQ31" s="176">
        <f t="shared" si="106"/>
        <v>0</v>
      </c>
      <c r="AR31" s="165">
        <f t="shared" si="107"/>
        <v>0</v>
      </c>
      <c r="AS31" s="179"/>
      <c r="AT31" s="176">
        <f t="shared" si="108"/>
        <v>0</v>
      </c>
      <c r="AU31" s="165">
        <f t="shared" si="109"/>
        <v>0</v>
      </c>
      <c r="AV31" s="179"/>
      <c r="AW31" s="200">
        <f t="shared" si="16"/>
        <v>25</v>
      </c>
      <c r="AX31" s="170">
        <f t="shared" si="17"/>
        <v>300</v>
      </c>
      <c r="AY31" s="164"/>
      <c r="AZ31" s="215">
        <f t="shared" si="18"/>
        <v>0.85</v>
      </c>
      <c r="BA31" s="197"/>
      <c r="BB31" s="228">
        <f t="shared" si="19"/>
        <v>-1.3919999999999998E-2</v>
      </c>
      <c r="BC31" s="161"/>
      <c r="BD31" s="240">
        <f t="shared" si="20"/>
        <v>0.80100000000000005</v>
      </c>
      <c r="BE31" s="196"/>
      <c r="BF31" s="240">
        <f t="shared" si="21"/>
        <v>0.9</v>
      </c>
      <c r="BG31" s="196"/>
      <c r="BH31" s="189"/>
      <c r="BI31" s="227">
        <f t="shared" si="22"/>
        <v>0</v>
      </c>
      <c r="BJ31" s="197"/>
      <c r="BK31" s="167">
        <f t="shared" si="23"/>
        <v>0</v>
      </c>
      <c r="BL31" s="161"/>
      <c r="BM31" s="240">
        <f t="shared" si="24"/>
        <v>0</v>
      </c>
      <c r="BN31" s="196"/>
      <c r="BO31" s="240">
        <f t="shared" si="25"/>
        <v>0</v>
      </c>
      <c r="BP31" s="196"/>
      <c r="BQ31" s="161"/>
      <c r="BR31" s="381"/>
      <c r="BS31" s="392">
        <f t="shared" si="122"/>
        <v>132404.6</v>
      </c>
      <c r="BT31" s="376"/>
      <c r="BU31" s="393">
        <f t="shared" ref="BU31:BU39" si="156">+IF(OR(CF31="", CB32="", CF31=0, CB32=0), "", IF($BU$1=FALSE, CF31-CB32, -CF31+CB32))</f>
        <v>0.33899999999999997</v>
      </c>
      <c r="BV31" s="310"/>
      <c r="BW31" s="311">
        <f t="shared" si="110"/>
        <v>300.80099999999999</v>
      </c>
      <c r="BX31" s="372"/>
      <c r="BY31" s="440"/>
      <c r="BZ31" s="432">
        <v>0.16300000000000001</v>
      </c>
      <c r="CA31" s="372"/>
      <c r="CB31" s="572">
        <f t="shared" si="152"/>
        <v>0.80100000000000005</v>
      </c>
      <c r="CC31" s="567">
        <f t="shared" si="29"/>
        <v>1</v>
      </c>
      <c r="CD31" s="814">
        <f t="shared" si="30"/>
        <v>300</v>
      </c>
      <c r="CE31" s="569">
        <f t="shared" si="31"/>
        <v>23</v>
      </c>
      <c r="CF31" s="574">
        <f t="shared" si="155"/>
        <v>0.9</v>
      </c>
      <c r="CG31" s="372"/>
      <c r="CH31" s="435">
        <v>0.499</v>
      </c>
      <c r="CI31" s="436"/>
      <c r="CJ31" s="372"/>
      <c r="CK31" s="391">
        <f t="shared" si="111"/>
        <v>300.89999999999998</v>
      </c>
      <c r="CL31" s="396">
        <f>+IF(OR(CF32="", CB31="", CF32=0, CB31=0), "", IF($BU$1=FALSE, CB31-CF32,- CB31+CF32))</f>
        <v>0.10200000000000009</v>
      </c>
      <c r="CM31" s="370"/>
      <c r="CN31" s="161"/>
      <c r="CO31" s="161"/>
      <c r="CP31" s="161"/>
      <c r="CQ31" s="161"/>
      <c r="CR31" s="161"/>
      <c r="CS31" s="161"/>
      <c r="CT31" s="161"/>
      <c r="CU31" s="161"/>
      <c r="CV31" s="161"/>
      <c r="CW31" s="161"/>
      <c r="CX31" s="161"/>
      <c r="CY31" s="161"/>
      <c r="CZ31" s="161"/>
      <c r="DA31" s="161"/>
      <c r="DB31" s="161"/>
      <c r="DC31" s="161"/>
      <c r="DD31" s="161"/>
      <c r="DE31" s="161"/>
      <c r="DF31" s="161"/>
      <c r="DG31" s="161"/>
      <c r="DH31" s="161"/>
      <c r="DI31" s="161"/>
      <c r="DJ31" s="161"/>
      <c r="DK31" s="242">
        <f t="shared" si="123"/>
        <v>0</v>
      </c>
      <c r="DL31" s="217"/>
      <c r="DM31" s="490">
        <f t="shared" si="34"/>
        <v>0</v>
      </c>
      <c r="DN31" s="242">
        <f t="shared" si="35"/>
        <v>0</v>
      </c>
      <c r="DO31" s="243">
        <f t="shared" si="36"/>
        <v>0</v>
      </c>
      <c r="DP31" s="217"/>
      <c r="DQ31" s="252">
        <f t="shared" si="120"/>
        <v>0</v>
      </c>
      <c r="DR31" s="217"/>
      <c r="DS31" s="242">
        <f t="shared" si="38"/>
        <v>0</v>
      </c>
      <c r="DT31" s="242">
        <f t="shared" si="39"/>
        <v>0</v>
      </c>
      <c r="DU31" s="244">
        <f t="shared" si="40"/>
        <v>0</v>
      </c>
      <c r="DV31" s="217"/>
      <c r="DW31" s="428">
        <f>+IF(OR(AE31 = "", AND(AH31 = "", AK31 = "")), "",IFERROR(+AH31 * CallDelta($AG$1,AE31,($BM$1/365), $V$15, $AZ$1, $V$17), 0) + IFERROR(AK31 * Putdelta($AG$1,AE31,($BM$1/365), $V$15, $AZ$1, $V$17), 0))</f>
        <v>0</v>
      </c>
      <c r="DX31" s="245">
        <f>+IF(OR(AE31 = "", AND(AH31 = "", AK31 = "")), "",IFERROR(+AH31 * OptionGamma($AG$1,AE31,($BM$1/365), $V$15, $AZ$1, $V$17), 0) + IFERROR(AK31 * OptionGamma($AG$1,AE31,($BM$1/365), $V$15, $AZ$1, $V$17), 0))</f>
        <v>0</v>
      </c>
      <c r="DY31" s="161"/>
      <c r="DZ31" s="267">
        <f t="shared" si="127"/>
        <v>0</v>
      </c>
      <c r="EA31" s="217"/>
      <c r="EB31" s="267">
        <f t="shared" si="42"/>
        <v>0</v>
      </c>
      <c r="EC31" s="267">
        <f t="shared" si="43"/>
        <v>0</v>
      </c>
      <c r="ED31" s="247">
        <f t="shared" si="44"/>
        <v>0</v>
      </c>
      <c r="EE31" s="217"/>
      <c r="EF31" s="267">
        <f t="shared" si="129"/>
        <v>0</v>
      </c>
      <c r="EG31" s="217"/>
      <c r="EH31" s="267">
        <f t="shared" si="46"/>
        <v>0</v>
      </c>
      <c r="EI31" s="246">
        <f t="shared" si="47"/>
        <v>0</v>
      </c>
      <c r="EJ31" s="248">
        <f t="shared" si="48"/>
        <v>0</v>
      </c>
      <c r="EK31" s="217"/>
      <c r="EL31" s="251">
        <f>+IF(OR(AE31 = "", AND(AQ31 = "", AT31 = "")), "",IFERROR(+AQ31 * CallDelta($AG$1,AE31,($BM$1/365), $V$15, $AZ$1, $V$17), 0) + IFERROR(AT31 * Putdelta($AG$1,AE31,($BM$1/365), $V$15, $AZ$1, $V$17), 0))</f>
        <v>0</v>
      </c>
      <c r="EM31" s="249">
        <f>+IF(OR(AE31 = "", AND(AQ31 = "", AT31 = "")), "",IFERROR(+AQ31 * OptionGamma($AG$1,AE31,($BM$1/365), $V$15, $AZ$1, $V$17), 0) + IFERROR(AT31 * OptionGamma($AG$1,AE31,($BM$1/365), $V$15, $AZ$1, $V$17), 0))</f>
        <v>0</v>
      </c>
      <c r="EN31" s="451">
        <f t="shared" si="49"/>
        <v>48.397064208984375</v>
      </c>
      <c r="EO31" s="418">
        <f>+IF(AE31 = "", "",ImpliedCallVolatility($AG$1, $AE31,($BM$1/365), $V$15, $AZ31, $V$17) * 100)</f>
        <v>48.961639404296875</v>
      </c>
      <c r="EP31" s="418">
        <f>+IF(AE31 = "", "",ImpliedCallVolatility($AG$1, $AE31,($BM$1/365), $V$15, BD31, $V$17) * 100)</f>
        <v>48.397064208984375</v>
      </c>
      <c r="EQ31" s="418">
        <f>+IF(AE31 = "", "",ImpliedCallVolatility($AG$1, $AE31,($BM$1/365), $V$15, BF31, $V$17) * 100)</f>
        <v>49.518585205078125</v>
      </c>
      <c r="ER31" s="411">
        <f t="shared" si="50"/>
        <v>0.85</v>
      </c>
      <c r="ES31" s="411">
        <f t="shared" si="51"/>
        <v>0.80100000000000005</v>
      </c>
      <c r="ET31" s="411">
        <f t="shared" si="52"/>
        <v>0.9</v>
      </c>
      <c r="EU31" s="416">
        <f>IF($FC$1 = 1,
IF(AE31 = "", "",OptionGamma($AG$1,AE31,($BM$1/365), $V$15, $AZ$1, $V$17) * 1000),
IF($FC$1 = 2, IF(OR(AE31 = "", BD31 =  0), "",IF(AE31 &lt; $AG$1, (((AE31 * (1 - COMIS_ACCION)) / (($AG$1 * (1 + COMIS_ACCION)) - (BD31 * (1 - COMIS_OPCION)))) - 1) * 100 / $BM$1 * 365,((($AG$1 * (1 - COMIS_ACCION)) / (($AG$1 * (1 + COMIS_ACCION)) - (BD31 * (1 - COMIS_OPCION)))) - 1) * 100 / $BM$1 * 365))))</f>
        <v>1.6476164689871298</v>
      </c>
      <c r="EV31" s="276">
        <f>+IF(AE31 = "", "",CallOption($AG$1, $AE31,($BM$1/365), $V$15, $AZ$1, $V$17))</f>
        <v>0.22705089912681142</v>
      </c>
      <c r="EW31" s="271">
        <f t="shared" si="53"/>
        <v>-0.90598950000000011</v>
      </c>
      <c r="EX31" s="272">
        <f t="shared" si="54"/>
        <v>-92.076694199999977</v>
      </c>
      <c r="EY31" s="274">
        <f t="shared" si="55"/>
        <v>88.623305800000011</v>
      </c>
      <c r="EZ31" s="272">
        <f t="shared" si="56"/>
        <v>-300.50820000000004</v>
      </c>
      <c r="FA31" s="272">
        <f t="shared" si="57"/>
        <v>299.49180000000001</v>
      </c>
      <c r="FB31" s="530">
        <f>+IF($FC$1 = 1, IF(AE31 = "", "",IFERROR( VLOOKUP(N31, PreciosCalls, 13, FALSE), 0)),
IF($FC$1 = 2,  IF(AE31 = "", "",OptionGamma($AG$1,AE31,($BM$1/365), $V$15, $AZ$1, $V$17) * 1000)))</f>
        <v>1506</v>
      </c>
      <c r="FC31" s="530">
        <f>IF($FC$1 = 1, IF(AE31 = "", "",IFERROR( VLOOKUP(N31, PreciosCalls, 14, FALSE), 0)),
IF($FC$1 = 2, IF(AE31 = "", "",CallDelta($AG$1,AE31,($BM$1/365), $V$15, $AZ$1, $V$17) * 100)))</f>
        <v>0</v>
      </c>
      <c r="FD31" s="531">
        <f t="shared" si="58"/>
        <v>0.87918061088977428</v>
      </c>
      <c r="FE31" s="530">
        <f t="shared" si="59"/>
        <v>132404.6</v>
      </c>
      <c r="FF31" s="217"/>
      <c r="FG31" s="273">
        <f t="shared" si="60"/>
        <v>1.2160228898426324</v>
      </c>
      <c r="FH31" s="273">
        <f t="shared" si="61"/>
        <v>1.5454545454545452</v>
      </c>
      <c r="FI31" s="451">
        <f t="shared" si="62"/>
        <v>3.814697265625E-3</v>
      </c>
      <c r="FJ31" s="419">
        <f>+IF(AE31 = "", "",ImpliedPutVolatility($AG$1, $AE31,($BM$1/365), $V$15, BI31, $V$17) * 100)</f>
        <v>3.814697265625E-3</v>
      </c>
      <c r="FK31" s="419">
        <f>+IF(AE31 = "", "",ImpliedPutVolatility($AG$1, $AE31,($BM$1/365), $V$15, BM31, $V$17) * 100)</f>
        <v>3.814697265625E-3</v>
      </c>
      <c r="FL31" s="419">
        <f>+IF(AE31 = "", "",ImpliedPutVolatility($AG$1, $AE31,($BM$1/365), $V$15, BO31, $V$17) * 100)</f>
        <v>3.814697265625E-3</v>
      </c>
      <c r="FM31" s="415" t="str">
        <f t="shared" si="63"/>
        <v/>
      </c>
      <c r="FN31" s="415" t="str">
        <f t="shared" si="64"/>
        <v/>
      </c>
      <c r="FO31" s="415" t="str">
        <f t="shared" si="65"/>
        <v/>
      </c>
      <c r="FP31" s="417">
        <f>IF($FX$1=1, IF(AE31 = "", "",OptionGamma($AG$1,AE31,($BM$1/365), $V$15, $AZ$1, $V$17) * 1000),
IF($FX$1 = 2, IF(OR(AE31 = "", BM31 =  0), "",((BM31 * (1 - COMIS_OPCION)) / (AE31 * (1 + COMIS_ACCION))) * 100 / $BM$1 * 365)))</f>
        <v>1.6476164689871298</v>
      </c>
      <c r="FQ31" s="289">
        <f>+IF(AE31 = "", "",PutOption($AG$1, $AE31,($BM$1/365), $V$15, $AZ$1, $V$17))</f>
        <v>75.859889642772202</v>
      </c>
      <c r="FR31" s="279"/>
      <c r="FS31" s="284">
        <f t="shared" si="66"/>
        <v>88.623305800000011</v>
      </c>
      <c r="FT31" s="284">
        <f t="shared" si="67"/>
        <v>-92.076694199999977</v>
      </c>
      <c r="FU31" s="279"/>
      <c r="FV31" s="279"/>
      <c r="FW31" s="287">
        <f>+IF($FX$1 = 1, IFERROR(VLOOKUP(P31, PreciosPuts, 13, FALSE), 0),
IF($FX$1 = 2, IF(AE31 = "", "",OptionGamma($AG$1,AE31,($BM$1/365), $V$15, $AZ$1, $V$17) * 1000)))</f>
        <v>0</v>
      </c>
      <c r="FX31" s="287">
        <f>+IF($FX$1=1, IF(AE31 = "", "",IFERROR(VLOOKUP(P31, PreciosPuts, 14, FALSE), 0)),
IF($FX$1=2, IF(AE31 = "", "",Putdelta($AG$1,AE31,($BM$1/365), $V$15, $AZ$1, $V$17) * 100)))</f>
        <v>0</v>
      </c>
      <c r="FY31" s="286">
        <f t="shared" si="69"/>
        <v>0</v>
      </c>
      <c r="FZ31" s="287">
        <f t="shared" si="70"/>
        <v>0</v>
      </c>
      <c r="GA31" s="217"/>
      <c r="GB31" s="281"/>
      <c r="GC31" s="281"/>
      <c r="GD31" s="217"/>
      <c r="GE31" s="301" t="str">
        <f t="shared" si="71"/>
        <v/>
      </c>
      <c r="GF31" s="292" t="str">
        <f t="shared" si="72"/>
        <v/>
      </c>
      <c r="GG31" s="293" t="str">
        <f t="shared" si="73"/>
        <v/>
      </c>
      <c r="GH31" s="294" t="str">
        <f t="shared" si="124"/>
        <v/>
      </c>
      <c r="GI31" s="294">
        <v>25</v>
      </c>
      <c r="GJ31" s="217"/>
      <c r="GK31" s="305" t="str">
        <f t="shared" si="74"/>
        <v/>
      </c>
      <c r="GL31" s="299" t="str">
        <f t="shared" si="75"/>
        <v/>
      </c>
      <c r="GM31" s="300" t="str">
        <f t="shared" si="76"/>
        <v/>
      </c>
      <c r="GN31" s="225" t="str">
        <f t="shared" si="121"/>
        <v/>
      </c>
      <c r="GO31" s="225">
        <v>25</v>
      </c>
      <c r="GP31" s="217"/>
      <c r="GQ31" s="217"/>
      <c r="GR31" s="401" t="str">
        <f t="shared" si="132"/>
        <v/>
      </c>
      <c r="GT31" s="282">
        <f t="shared" si="78"/>
        <v>-0.20041577749999995</v>
      </c>
      <c r="GU31" s="282" t="str">
        <f t="shared" si="79"/>
        <v/>
      </c>
      <c r="GV31" s="282">
        <f t="shared" si="80"/>
        <v>-0.64586061499999992</v>
      </c>
      <c r="GW31" s="282">
        <f t="shared" si="81"/>
        <v>-1.24280703</v>
      </c>
      <c r="GX31" s="282">
        <f t="shared" si="82"/>
        <v>-2.0028315549999998</v>
      </c>
      <c r="GY31" s="282">
        <f t="shared" si="83"/>
        <v>-3.0250897075000003</v>
      </c>
      <c r="GZ31" s="282" t="str">
        <f t="shared" si="115"/>
        <v/>
      </c>
      <c r="HA31" s="282" t="str">
        <f t="shared" si="84"/>
        <v/>
      </c>
      <c r="HB31" s="282">
        <f t="shared" si="116"/>
        <v>-0.2740693683333334</v>
      </c>
      <c r="HC31" s="607" t="str">
        <f t="shared" si="85"/>
        <v/>
      </c>
      <c r="HD31" s="282" t="str">
        <f t="shared" si="86"/>
        <v/>
      </c>
      <c r="HE31" s="282" t="str">
        <f t="shared" si="87"/>
        <v/>
      </c>
      <c r="HF31" s="282" t="str">
        <f t="shared" si="88"/>
        <v/>
      </c>
      <c r="HG31" s="217"/>
      <c r="HH31" s="282" t="str">
        <f t="shared" si="89"/>
        <v/>
      </c>
      <c r="HI31" s="282" t="str">
        <f t="shared" si="90"/>
        <v/>
      </c>
      <c r="HJ31" s="282"/>
      <c r="HK31" s="282"/>
      <c r="HL31" s="217"/>
      <c r="HM31" s="420"/>
      <c r="HN31" s="420"/>
      <c r="HO31" s="420"/>
      <c r="HP31" s="420"/>
      <c r="HQ31" s="282">
        <f t="shared" si="91"/>
        <v>-0.27406936833333334</v>
      </c>
      <c r="HR31" s="420"/>
      <c r="HS31" s="420"/>
      <c r="HT31" s="420"/>
      <c r="HU31" s="420"/>
      <c r="HV31" s="420"/>
      <c r="HW31" s="420"/>
      <c r="HX31" s="425"/>
      <c r="HY31" s="338"/>
      <c r="HZ31" s="338"/>
      <c r="IA31" s="161"/>
      <c r="IB31" s="161"/>
      <c r="IC31" s="162"/>
      <c r="ID31" s="162"/>
      <c r="IE31" s="49"/>
      <c r="IF31" s="55"/>
      <c r="IG31" s="58"/>
      <c r="IH31" s="545">
        <f t="shared" si="117"/>
        <v>43.095635583114714</v>
      </c>
      <c r="IJ31" s="146">
        <v>25</v>
      </c>
      <c r="IK31" s="545">
        <f t="shared" si="142"/>
        <v>300</v>
      </c>
      <c r="IL31" s="106">
        <f t="shared" si="93"/>
        <v>0.43095635583114711</v>
      </c>
      <c r="IM31" s="110">
        <f t="shared" si="128"/>
        <v>300</v>
      </c>
      <c r="IN31" s="111">
        <f t="shared" si="118"/>
        <v>-46515.23875000004</v>
      </c>
      <c r="IO31" s="50">
        <f t="shared" si="147"/>
        <v>0</v>
      </c>
      <c r="IP31" s="50">
        <f t="shared" si="147"/>
        <v>0</v>
      </c>
      <c r="IQ31" s="50">
        <f t="shared" si="147"/>
        <v>0</v>
      </c>
      <c r="IR31" s="50">
        <f t="shared" si="147"/>
        <v>0</v>
      </c>
      <c r="IS31" s="50">
        <f t="shared" si="147"/>
        <v>0</v>
      </c>
      <c r="IT31" s="50">
        <f t="shared" si="147"/>
        <v>0</v>
      </c>
      <c r="IU31" s="50">
        <f t="shared" si="147"/>
        <v>0</v>
      </c>
      <c r="IV31" s="50">
        <f t="shared" si="147"/>
        <v>0</v>
      </c>
      <c r="IW31" s="50">
        <f t="shared" si="147"/>
        <v>0</v>
      </c>
      <c r="IX31" s="50">
        <f t="shared" si="147"/>
        <v>0</v>
      </c>
      <c r="IY31" s="50">
        <f t="shared" si="148"/>
        <v>0</v>
      </c>
      <c r="IZ31" s="50">
        <f t="shared" si="148"/>
        <v>0</v>
      </c>
      <c r="JA31" s="50">
        <f t="shared" si="148"/>
        <v>575000</v>
      </c>
      <c r="JB31" s="50">
        <f t="shared" si="148"/>
        <v>0</v>
      </c>
      <c r="JC31" s="50">
        <f t="shared" si="148"/>
        <v>0</v>
      </c>
      <c r="JD31" s="50">
        <f t="shared" si="148"/>
        <v>0</v>
      </c>
      <c r="JE31" s="50">
        <f t="shared" si="148"/>
        <v>-450000</v>
      </c>
      <c r="JF31" s="50">
        <f t="shared" si="148"/>
        <v>0</v>
      </c>
      <c r="JG31" s="50">
        <f t="shared" si="148"/>
        <v>0</v>
      </c>
      <c r="JH31" s="50">
        <f t="shared" si="148"/>
        <v>0</v>
      </c>
      <c r="JI31" s="50">
        <f t="shared" si="149"/>
        <v>-125000</v>
      </c>
      <c r="JJ31" s="50">
        <f t="shared" si="149"/>
        <v>0</v>
      </c>
      <c r="JK31" s="50">
        <f t="shared" si="149"/>
        <v>0</v>
      </c>
      <c r="JL31" s="50">
        <f t="shared" si="149"/>
        <v>0</v>
      </c>
      <c r="JM31" s="50">
        <f t="shared" si="149"/>
        <v>0</v>
      </c>
      <c r="JN31" s="50">
        <f t="shared" si="149"/>
        <v>0</v>
      </c>
      <c r="JO31" s="50">
        <f t="shared" si="149"/>
        <v>0</v>
      </c>
      <c r="JP31" s="50">
        <f t="shared" si="149"/>
        <v>0</v>
      </c>
      <c r="JQ31" s="50">
        <f t="shared" si="149"/>
        <v>0</v>
      </c>
      <c r="JR31" s="50">
        <f t="shared" si="149"/>
        <v>0</v>
      </c>
      <c r="JS31" s="50">
        <f t="shared" si="150"/>
        <v>0</v>
      </c>
      <c r="JT31" s="50">
        <f t="shared" si="150"/>
        <v>0</v>
      </c>
      <c r="JU31" s="50" t="str">
        <f t="shared" si="150"/>
        <v/>
      </c>
      <c r="JV31" s="50" t="str">
        <f t="shared" si="150"/>
        <v/>
      </c>
      <c r="JW31" s="50" t="str">
        <f t="shared" si="150"/>
        <v/>
      </c>
      <c r="JX31" s="50" t="str">
        <f t="shared" si="150"/>
        <v/>
      </c>
      <c r="JY31" s="50" t="str">
        <f t="shared" si="150"/>
        <v/>
      </c>
      <c r="JZ31" s="50" t="str">
        <f t="shared" si="150"/>
        <v/>
      </c>
      <c r="KA31" s="50" t="str">
        <f t="shared" si="150"/>
        <v/>
      </c>
      <c r="KB31" s="50" t="str">
        <f t="shared" si="150"/>
        <v/>
      </c>
      <c r="KC31" s="50" t="str">
        <f t="shared" si="150"/>
        <v/>
      </c>
      <c r="KD31" s="50" t="str">
        <f t="shared" si="150"/>
        <v/>
      </c>
    </row>
    <row r="32" spans="2:290" s="144" customFormat="1" ht="15" customHeight="1" thickBot="1">
      <c r="B32" s="146">
        <v>26</v>
      </c>
      <c r="C32" s="121" t="str">
        <f t="shared" si="99"/>
        <v>GFGC310.AB</v>
      </c>
      <c r="D32" s="121" t="str">
        <f t="shared" si="100"/>
        <v>GFGV310.AB</v>
      </c>
      <c r="E32" s="122">
        <f t="shared" si="1"/>
        <v>310</v>
      </c>
      <c r="F32" s="123" t="str">
        <f t="shared" si="2"/>
        <v/>
      </c>
      <c r="G32" s="123" t="str">
        <f t="shared" si="3"/>
        <v/>
      </c>
      <c r="H32" s="124">
        <f t="shared" si="4"/>
        <v>0.69899999999999995</v>
      </c>
      <c r="I32" s="124" t="str">
        <f t="shared" si="5"/>
        <v/>
      </c>
      <c r="J32" s="124" t="str">
        <f t="shared" si="6"/>
        <v/>
      </c>
      <c r="K32" s="124" t="str">
        <f t="shared" si="7"/>
        <v/>
      </c>
      <c r="M32" s="158">
        <f t="shared" si="8"/>
        <v>12</v>
      </c>
      <c r="N32" s="121" t="str">
        <f t="shared" si="9"/>
        <v>GFGC310.AB</v>
      </c>
      <c r="O32" s="158">
        <f t="shared" si="10"/>
        <v>12</v>
      </c>
      <c r="P32" s="121" t="str">
        <f t="shared" si="11"/>
        <v>GFGV310.AB</v>
      </c>
      <c r="R32" s="159"/>
      <c r="S32" s="160" t="str">
        <f t="shared" si="12"/>
        <v/>
      </c>
      <c r="U32" s="54"/>
      <c r="V32" s="54"/>
      <c r="X32" s="200">
        <v>26</v>
      </c>
      <c r="Y32" s="546">
        <f t="shared" si="13"/>
        <v>47.865490102551874</v>
      </c>
      <c r="Z32" s="540">
        <f t="shared" si="153"/>
        <v>-71515.238750000048</v>
      </c>
      <c r="AA32" s="179"/>
      <c r="AB32" s="540">
        <f t="shared" si="154"/>
        <v>0</v>
      </c>
      <c r="AC32" s="161"/>
      <c r="AD32" s="200">
        <v>26</v>
      </c>
      <c r="AE32" s="825">
        <f t="shared" si="146"/>
        <v>310</v>
      </c>
      <c r="AF32" s="201">
        <v>310</v>
      </c>
      <c r="AG32" s="161"/>
      <c r="AH32" s="177">
        <f t="shared" si="102"/>
        <v>0</v>
      </c>
      <c r="AI32" s="166">
        <f t="shared" si="103"/>
        <v>0</v>
      </c>
      <c r="AJ32" s="179"/>
      <c r="AK32" s="177">
        <f t="shared" si="104"/>
        <v>0</v>
      </c>
      <c r="AL32" s="166">
        <f t="shared" si="105"/>
        <v>0</v>
      </c>
      <c r="AM32" s="179"/>
      <c r="AN32" s="177"/>
      <c r="AO32" s="166"/>
      <c r="AP32" s="179"/>
      <c r="AQ32" s="176">
        <f t="shared" si="106"/>
        <v>0</v>
      </c>
      <c r="AR32" s="165">
        <f t="shared" si="107"/>
        <v>0</v>
      </c>
      <c r="AS32" s="179"/>
      <c r="AT32" s="176">
        <f t="shared" si="108"/>
        <v>0</v>
      </c>
      <c r="AU32" s="165">
        <f t="shared" si="109"/>
        <v>0</v>
      </c>
      <c r="AV32" s="179"/>
      <c r="AW32" s="200">
        <f t="shared" si="16"/>
        <v>26</v>
      </c>
      <c r="AX32" s="170">
        <f t="shared" si="17"/>
        <v>310</v>
      </c>
      <c r="AY32" s="164"/>
      <c r="AZ32" s="215">
        <f t="shared" si="18"/>
        <v>0.69899999999999995</v>
      </c>
      <c r="BA32" s="197"/>
      <c r="BB32" s="228">
        <f t="shared" si="19"/>
        <v>0.10776999999999999</v>
      </c>
      <c r="BC32" s="161"/>
      <c r="BD32" s="240">
        <f t="shared" si="20"/>
        <v>0.56100000000000005</v>
      </c>
      <c r="BE32" s="196"/>
      <c r="BF32" s="240">
        <f t="shared" si="21"/>
        <v>0.69899999999999995</v>
      </c>
      <c r="BG32" s="196"/>
      <c r="BH32" s="189"/>
      <c r="BI32" s="227">
        <f t="shared" si="22"/>
        <v>0</v>
      </c>
      <c r="BJ32" s="197"/>
      <c r="BK32" s="167">
        <f t="shared" si="23"/>
        <v>0</v>
      </c>
      <c r="BL32" s="161"/>
      <c r="BM32" s="240">
        <f t="shared" si="24"/>
        <v>0</v>
      </c>
      <c r="BN32" s="196"/>
      <c r="BO32" s="240">
        <f t="shared" si="25"/>
        <v>0</v>
      </c>
      <c r="BP32" s="196"/>
      <c r="BQ32" s="161"/>
      <c r="BR32" s="381"/>
      <c r="BS32" s="392">
        <f t="shared" si="122"/>
        <v>21598.9</v>
      </c>
      <c r="BT32" s="376"/>
      <c r="BU32" s="393">
        <f t="shared" ref="BU32:BU37" si="157">+IF(OR(CF32="", CB33="", CF32=0, CB33=0), "", IF($BU$1=FALSE, CF32-CB33, -CF32+CB33))</f>
        <v>0.49899999999999994</v>
      </c>
      <c r="BV32" s="310"/>
      <c r="BW32" s="311">
        <f t="shared" si="110"/>
        <v>310.56099999999998</v>
      </c>
      <c r="BX32" s="372"/>
      <c r="BY32" s="440"/>
      <c r="BZ32" s="432">
        <v>1.022</v>
      </c>
      <c r="CA32" s="372"/>
      <c r="CB32" s="572">
        <f t="shared" si="152"/>
        <v>0.56100000000000005</v>
      </c>
      <c r="CC32" s="567">
        <f t="shared" si="29"/>
        <v>18</v>
      </c>
      <c r="CD32" s="814">
        <f t="shared" si="30"/>
        <v>310</v>
      </c>
      <c r="CE32" s="569">
        <f t="shared" si="31"/>
        <v>19</v>
      </c>
      <c r="CF32" s="574">
        <f t="shared" ref="CF32:CF37" si="158">+IF($BU$1=FALSE, IF(BF32=0, "", BF32), IF(BO32=0,"", BO32))</f>
        <v>0.69899999999999995</v>
      </c>
      <c r="CG32" s="372"/>
      <c r="CH32" s="435">
        <v>0.22700000000000001</v>
      </c>
      <c r="CI32" s="436"/>
      <c r="CJ32" s="372"/>
      <c r="CK32" s="391">
        <f t="shared" si="111"/>
        <v>310.69900000000001</v>
      </c>
      <c r="CL32" s="396" t="str">
        <f>+IF(OR(CF33="", CB32="", CF33=0, CB32=0), "", IF($BU$1=FALSE, CB32-CF33,- CB32+CF33))</f>
        <v/>
      </c>
      <c r="CM32" s="370"/>
      <c r="CN32" s="161"/>
      <c r="CO32" s="161"/>
      <c r="CP32" s="161"/>
      <c r="CQ32" s="161"/>
      <c r="CR32" s="161"/>
      <c r="CS32" s="161"/>
      <c r="CT32" s="161"/>
      <c r="CU32" s="161"/>
      <c r="CV32" s="161"/>
      <c r="CW32" s="161"/>
      <c r="CX32" s="161"/>
      <c r="CY32" s="161"/>
      <c r="CZ32" s="161"/>
      <c r="DA32" s="161"/>
      <c r="DB32" s="161"/>
      <c r="DC32" s="161"/>
      <c r="DD32" s="161"/>
      <c r="DE32" s="161"/>
      <c r="DF32" s="161"/>
      <c r="DG32" s="161"/>
      <c r="DH32" s="161"/>
      <c r="DI32" s="161"/>
      <c r="DJ32" s="161"/>
      <c r="DK32" s="242">
        <f t="shared" si="123"/>
        <v>0</v>
      </c>
      <c r="DL32" s="217"/>
      <c r="DM32" s="490">
        <f t="shared" si="34"/>
        <v>0</v>
      </c>
      <c r="DN32" s="242">
        <f t="shared" si="35"/>
        <v>0</v>
      </c>
      <c r="DO32" s="243">
        <f t="shared" si="36"/>
        <v>0</v>
      </c>
      <c r="DP32" s="217"/>
      <c r="DQ32" s="252">
        <f t="shared" si="120"/>
        <v>0</v>
      </c>
      <c r="DR32" s="217"/>
      <c r="DS32" s="242">
        <f t="shared" si="38"/>
        <v>0</v>
      </c>
      <c r="DT32" s="242">
        <f t="shared" si="39"/>
        <v>0</v>
      </c>
      <c r="DU32" s="244">
        <f t="shared" si="40"/>
        <v>0</v>
      </c>
      <c r="DV32" s="217"/>
      <c r="DW32" s="428">
        <f>+IF(OR(AE32 = "", AND(AH32 = "", AK32 = "")), "",IFERROR(+AH32 * CallDelta($AG$1,AE32,($BM$1/365), $V$15, $AZ$1, $V$17), 0) + IFERROR(AK32 * Putdelta($AG$1,AE32,($BM$1/365), $V$15, $AZ$1, $V$17), 0))</f>
        <v>0</v>
      </c>
      <c r="DX32" s="245">
        <f>+IF(OR(AE32 = "", AND(AH32 = "", AK32 = "")), "",IFERROR(+AH32 * OptionGamma($AG$1,AE32,($BM$1/365), $V$15, $AZ$1, $V$17), 0) + IFERROR(AK32 * OptionGamma($AG$1,AE32,($BM$1/365), $V$15, $AZ$1, $V$17), 0))</f>
        <v>0</v>
      </c>
      <c r="DY32" s="161"/>
      <c r="DZ32" s="267">
        <f t="shared" si="127"/>
        <v>0</v>
      </c>
      <c r="EA32" s="217"/>
      <c r="EB32" s="267">
        <f t="shared" si="42"/>
        <v>0</v>
      </c>
      <c r="EC32" s="267">
        <f t="shared" si="43"/>
        <v>0</v>
      </c>
      <c r="ED32" s="247">
        <f t="shared" si="44"/>
        <v>0</v>
      </c>
      <c r="EE32" s="217"/>
      <c r="EF32" s="267">
        <f t="shared" si="129"/>
        <v>0</v>
      </c>
      <c r="EG32" s="217"/>
      <c r="EH32" s="267">
        <f t="shared" si="46"/>
        <v>0</v>
      </c>
      <c r="EI32" s="246">
        <f t="shared" si="47"/>
        <v>0</v>
      </c>
      <c r="EJ32" s="248">
        <f t="shared" si="48"/>
        <v>0</v>
      </c>
      <c r="EK32" s="217"/>
      <c r="EL32" s="251">
        <f>+IF(OR(AE32 = "", AND(AQ32 = "", AT32 = "")), "",IFERROR(+AQ32 * CallDelta($AG$1,AE32,($BM$1/365), $V$15, $AZ$1, $V$17), 0) + IFERROR(AT32 * Putdelta($AG$1,AE32,($BM$1/365), $V$15, $AZ$1, $V$17), 0))</f>
        <v>0</v>
      </c>
      <c r="EM32" s="249">
        <f>+IF(OR(AE32 = "", AND(AQ32 = "", AT32 = "")), "",IFERROR(+AQ32 * OptionGamma($AG$1,AE32,($BM$1/365), $V$15, $AZ$1, $V$17), 0) + IFERROR(AT32 * OptionGamma($AG$1,AE32,($BM$1/365), $V$15, $AZ$1, $V$17), 0))</f>
        <v>0</v>
      </c>
      <c r="EN32" s="451">
        <f t="shared" si="49"/>
        <v>49.091339111328125</v>
      </c>
      <c r="EO32" s="418">
        <f>+IF(AE32 = "", "",ImpliedCallVolatility($AG$1, $AE32,($BM$1/365), $V$15, $AZ32, $V$17) * 100)</f>
        <v>51.052093505859375</v>
      </c>
      <c r="EP32" s="418">
        <f>+IF(AE32 = "", "",ImpliedCallVolatility($AG$1, $AE32,($BM$1/365), $V$15, BD32, $V$17) * 100)</f>
        <v>49.091339111328125</v>
      </c>
      <c r="EQ32" s="418">
        <f>+IF(AE32 = "", "",ImpliedCallVolatility($AG$1, $AE32,($BM$1/365), $V$15, BF32, $V$17) * 100)</f>
        <v>51.052093505859375</v>
      </c>
      <c r="ER32" s="411">
        <f t="shared" si="50"/>
        <v>0.69899999999999995</v>
      </c>
      <c r="ES32" s="411">
        <f t="shared" si="51"/>
        <v>0.56100000000000005</v>
      </c>
      <c r="ET32" s="411">
        <f t="shared" si="52"/>
        <v>0.69899999999999995</v>
      </c>
      <c r="EU32" s="416">
        <f>IF($FC$1 = 1,
IF(AE32 = "", "",OptionGamma($AG$1,AE32,($BM$1/365), $V$15, $AZ$1, $V$17) * 1000),
IF($FC$1 = 2, IF(OR(AE32 = "", BD32 =  0), "",IF(AE32 &lt; $AG$1, (((AE32 * (1 - COMIS_ACCION)) / (($AG$1 * (1 + COMIS_ACCION)) - (BD32 * (1 - COMIS_OPCION)))) - 1) * 100 / $BM$1 * 365,((($AG$1 * (1 - COMIS_ACCION)) / (($AG$1 * (1 + COMIS_ACCION)) - (BD32 * (1 - COMIS_OPCION)))) - 1) * 100 / $BM$1 * 365))))</f>
        <v>1.0186300424953185</v>
      </c>
      <c r="EV32" s="276">
        <f>+IF(AE32 = "", "",CallOption($AG$1, $AE32,($BM$1/365), $V$15, $AZ$1, $V$17))</f>
        <v>0.12154583564876686</v>
      </c>
      <c r="EW32" s="271">
        <f t="shared" si="53"/>
        <v>-0.703651845</v>
      </c>
      <c r="EX32" s="272">
        <f t="shared" si="54"/>
        <v>-102.11057419999997</v>
      </c>
      <c r="EY32" s="274">
        <f t="shared" si="55"/>
        <v>98.589425800000029</v>
      </c>
      <c r="EZ32" s="272">
        <f t="shared" si="56"/>
        <v>-310.52514000000002</v>
      </c>
      <c r="FA32" s="272">
        <f t="shared" si="57"/>
        <v>309.47486000000004</v>
      </c>
      <c r="FB32" s="530">
        <f>+IF($FC$1 = 1, IF(AE32 = "", "",IFERROR( VLOOKUP(N32, PreciosCalls, 13, FALSE), 0)),
IF($FC$1 = 2,  IF(AE32 = "", "",OptionGamma($AG$1,AE32,($BM$1/365), $V$15, $AZ$1, $V$17) * 1000)))</f>
        <v>322</v>
      </c>
      <c r="FC32" s="530">
        <f>IF($FC$1 = 1, IF(AE32 = "", "",IFERROR( VLOOKUP(N32, PreciosCalls, 14, FALSE), 0)),
IF($FC$1 = 2, IF(AE32 = "", "",CallDelta($AG$1,AE32,($BM$1/365), $V$15, $AZ$1, $V$17) * 100)))</f>
        <v>0</v>
      </c>
      <c r="FD32" s="531">
        <f t="shared" si="58"/>
        <v>0.67077329192546586</v>
      </c>
      <c r="FE32" s="530">
        <f t="shared" si="59"/>
        <v>21598.9</v>
      </c>
      <c r="FF32" s="217"/>
      <c r="FG32" s="273">
        <f t="shared" si="60"/>
        <v>1.2709090909090908</v>
      </c>
      <c r="FH32" s="273">
        <f t="shared" si="61"/>
        <v>1.8203124999999998</v>
      </c>
      <c r="FI32" s="451">
        <f t="shared" si="62"/>
        <v>3.814697265625E-3</v>
      </c>
      <c r="FJ32" s="419">
        <f>+IF(AE32 = "", "",ImpliedPutVolatility($AG$1, $AE32,($BM$1/365), $V$15, BI32, $V$17) * 100)</f>
        <v>3.814697265625E-3</v>
      </c>
      <c r="FK32" s="419">
        <f>+IF(AE32 = "", "",ImpliedPutVolatility($AG$1, $AE32,($BM$1/365), $V$15, BM32, $V$17) * 100)</f>
        <v>3.814697265625E-3</v>
      </c>
      <c r="FL32" s="419">
        <f>+IF(AE32 = "", "",ImpliedPutVolatility($AG$1, $AE32,($BM$1/365), $V$15, BO32, $V$17) * 100)</f>
        <v>3.814697265625E-3</v>
      </c>
      <c r="FM32" s="415" t="str">
        <f t="shared" si="63"/>
        <v/>
      </c>
      <c r="FN32" s="415" t="str">
        <f t="shared" si="64"/>
        <v/>
      </c>
      <c r="FO32" s="415" t="str">
        <f t="shared" si="65"/>
        <v/>
      </c>
      <c r="FP32" s="417">
        <f>IF($FX$1=1, IF(AE32 = "", "",OptionGamma($AG$1,AE32,($BM$1/365), $V$15, $AZ$1, $V$17) * 1000),
IF($FX$1 = 2, IF(OR(AE32 = "", BM32 =  0), "",((BM32 * (1 - COMIS_OPCION)) / (AE32 * (1 + COMIS_ACCION))) * 100 / $BM$1 * 365)))</f>
        <v>1.0186300424953185</v>
      </c>
      <c r="FQ32" s="289">
        <f>+IF(AE32 = "", "",PutOption($AG$1, $AE32,($BM$1/365), $V$15, $AZ$1, $V$17))</f>
        <v>85.263812537415646</v>
      </c>
      <c r="FR32" s="279"/>
      <c r="FS32" s="284">
        <f t="shared" si="66"/>
        <v>98.589425800000029</v>
      </c>
      <c r="FT32" s="284">
        <f t="shared" si="67"/>
        <v>-102.11057419999997</v>
      </c>
      <c r="FU32" s="279"/>
      <c r="FV32" s="279"/>
      <c r="FW32" s="287">
        <f>+IF($FX$1 = 1, IFERROR(VLOOKUP(P32, PreciosPuts, 13, FALSE), 0),
IF($FX$1 = 2, IF(AE32 = "", "",OptionGamma($AG$1,AE32,($BM$1/365), $V$15, $AZ$1, $V$17) * 1000)))</f>
        <v>0</v>
      </c>
      <c r="FX32" s="287">
        <f>+IF($FX$1=1, IF(AE32 = "", "",IFERROR(VLOOKUP(P32, PreciosPuts, 14, FALSE), 0)),
IF($FX$1=2, IF(AE32 = "", "",Putdelta($AG$1,AE32,($BM$1/365), $V$15, $AZ$1, $V$17) * 100)))</f>
        <v>0</v>
      </c>
      <c r="FY32" s="286">
        <f t="shared" si="69"/>
        <v>0</v>
      </c>
      <c r="FZ32" s="287">
        <f t="shared" si="70"/>
        <v>0</v>
      </c>
      <c r="GA32" s="217"/>
      <c r="GB32" s="281"/>
      <c r="GC32" s="281"/>
      <c r="GD32" s="217"/>
      <c r="GE32" s="301" t="str">
        <f t="shared" si="71"/>
        <v/>
      </c>
      <c r="GF32" s="292" t="str">
        <f t="shared" si="72"/>
        <v/>
      </c>
      <c r="GG32" s="293" t="str">
        <f t="shared" si="73"/>
        <v/>
      </c>
      <c r="GH32" s="294" t="str">
        <f t="shared" si="124"/>
        <v/>
      </c>
      <c r="GI32" s="294">
        <v>26</v>
      </c>
      <c r="GJ32" s="217"/>
      <c r="GK32" s="305" t="str">
        <f t="shared" si="74"/>
        <v/>
      </c>
      <c r="GL32" s="299" t="str">
        <f t="shared" si="75"/>
        <v/>
      </c>
      <c r="GM32" s="300" t="str">
        <f t="shared" si="76"/>
        <v/>
      </c>
      <c r="GN32" s="225" t="str">
        <f t="shared" si="121"/>
        <v/>
      </c>
      <c r="GO32" s="225">
        <v>26</v>
      </c>
      <c r="GP32" s="217"/>
      <c r="GQ32" s="217"/>
      <c r="GR32" s="401" t="str">
        <f t="shared" si="132"/>
        <v/>
      </c>
      <c r="GT32" s="282" t="str">
        <f t="shared" si="78"/>
        <v/>
      </c>
      <c r="GU32" s="282">
        <f t="shared" si="79"/>
        <v>-0.28027041499999999</v>
      </c>
      <c r="GV32" s="282">
        <f t="shared" si="80"/>
        <v>-0.51985430499999996</v>
      </c>
      <c r="GW32" s="282">
        <f t="shared" si="81"/>
        <v>-0.81681753000000001</v>
      </c>
      <c r="GX32" s="282">
        <f t="shared" si="82"/>
        <v>-1.4026907400000002</v>
      </c>
      <c r="GY32" s="282" t="str">
        <f t="shared" si="83"/>
        <v/>
      </c>
      <c r="GZ32" s="282" t="str">
        <f t="shared" si="115"/>
        <v/>
      </c>
      <c r="HA32" s="282">
        <f t="shared" si="84"/>
        <v>-0.17557829499999997</v>
      </c>
      <c r="HB32" s="282" t="str">
        <f t="shared" si="116"/>
        <v/>
      </c>
      <c r="HC32" s="607" t="str">
        <f t="shared" si="85"/>
        <v/>
      </c>
      <c r="HD32" s="282" t="str">
        <f t="shared" si="86"/>
        <v/>
      </c>
      <c r="HE32" s="282" t="str">
        <f t="shared" si="87"/>
        <v/>
      </c>
      <c r="HF32" s="282" t="str">
        <f t="shared" si="88"/>
        <v/>
      </c>
      <c r="HG32" s="217"/>
      <c r="HH32" s="282" t="str">
        <f t="shared" si="89"/>
        <v/>
      </c>
      <c r="HI32" s="282" t="str">
        <f t="shared" si="90"/>
        <v/>
      </c>
      <c r="HJ32" s="282"/>
      <c r="HK32" s="282"/>
      <c r="HL32" s="217"/>
      <c r="HM32" s="420"/>
      <c r="HN32" s="420"/>
      <c r="HO32" s="420"/>
      <c r="HP32" s="420"/>
      <c r="HQ32" s="282" t="str">
        <f t="shared" si="91"/>
        <v/>
      </c>
      <c r="HR32" s="420"/>
      <c r="HS32" s="420"/>
      <c r="HT32" s="420"/>
      <c r="HU32" s="420"/>
      <c r="HV32" s="420"/>
      <c r="HW32" s="420"/>
      <c r="HX32" s="425"/>
      <c r="HY32" s="338"/>
      <c r="HZ32" s="338"/>
      <c r="IA32" s="161"/>
      <c r="IB32" s="161"/>
      <c r="IC32" s="162"/>
      <c r="ID32" s="162"/>
      <c r="IE32" s="49"/>
      <c r="IF32" s="55"/>
      <c r="IG32" s="58"/>
      <c r="IH32" s="545">
        <f t="shared" si="117"/>
        <v>47.865490102551874</v>
      </c>
      <c r="IJ32" s="146">
        <v>26</v>
      </c>
      <c r="IK32" s="545">
        <f t="shared" si="142"/>
        <v>310</v>
      </c>
      <c r="IL32" s="106">
        <f t="shared" si="93"/>
        <v>0.47865490102551878</v>
      </c>
      <c r="IM32" s="110">
        <f t="shared" si="128"/>
        <v>310</v>
      </c>
      <c r="IN32" s="111">
        <f t="shared" si="118"/>
        <v>-71515.238750000048</v>
      </c>
      <c r="IO32" s="50">
        <f t="shared" si="147"/>
        <v>0</v>
      </c>
      <c r="IP32" s="50">
        <f t="shared" si="147"/>
        <v>0</v>
      </c>
      <c r="IQ32" s="50">
        <f t="shared" si="147"/>
        <v>0</v>
      </c>
      <c r="IR32" s="50">
        <f t="shared" si="147"/>
        <v>0</v>
      </c>
      <c r="IS32" s="50">
        <f t="shared" si="147"/>
        <v>0</v>
      </c>
      <c r="IT32" s="50">
        <f t="shared" si="147"/>
        <v>0</v>
      </c>
      <c r="IU32" s="50">
        <f t="shared" si="147"/>
        <v>0</v>
      </c>
      <c r="IV32" s="50">
        <f t="shared" si="147"/>
        <v>0</v>
      </c>
      <c r="IW32" s="50">
        <f t="shared" si="147"/>
        <v>0</v>
      </c>
      <c r="IX32" s="50">
        <f t="shared" si="147"/>
        <v>0</v>
      </c>
      <c r="IY32" s="50">
        <f t="shared" si="148"/>
        <v>0</v>
      </c>
      <c r="IZ32" s="50">
        <f t="shared" si="148"/>
        <v>0</v>
      </c>
      <c r="JA32" s="50">
        <f t="shared" si="148"/>
        <v>625000</v>
      </c>
      <c r="JB32" s="50">
        <f t="shared" si="148"/>
        <v>0</v>
      </c>
      <c r="JC32" s="50">
        <f t="shared" si="148"/>
        <v>0</v>
      </c>
      <c r="JD32" s="50">
        <f t="shared" si="148"/>
        <v>0</v>
      </c>
      <c r="JE32" s="50">
        <f t="shared" si="148"/>
        <v>-500000</v>
      </c>
      <c r="JF32" s="50">
        <f t="shared" si="148"/>
        <v>0</v>
      </c>
      <c r="JG32" s="50">
        <f t="shared" si="148"/>
        <v>0</v>
      </c>
      <c r="JH32" s="50">
        <f t="shared" si="148"/>
        <v>0</v>
      </c>
      <c r="JI32" s="50">
        <f t="shared" si="149"/>
        <v>-150000</v>
      </c>
      <c r="JJ32" s="50">
        <f t="shared" si="149"/>
        <v>0</v>
      </c>
      <c r="JK32" s="50">
        <f t="shared" si="149"/>
        <v>0</v>
      </c>
      <c r="JL32" s="50">
        <f t="shared" si="149"/>
        <v>0</v>
      </c>
      <c r="JM32" s="50">
        <f t="shared" si="149"/>
        <v>0</v>
      </c>
      <c r="JN32" s="50">
        <f t="shared" si="149"/>
        <v>0</v>
      </c>
      <c r="JO32" s="50">
        <f t="shared" si="149"/>
        <v>0</v>
      </c>
      <c r="JP32" s="50">
        <f t="shared" si="149"/>
        <v>0</v>
      </c>
      <c r="JQ32" s="50">
        <f t="shared" si="149"/>
        <v>0</v>
      </c>
      <c r="JR32" s="50">
        <f t="shared" si="149"/>
        <v>0</v>
      </c>
      <c r="JS32" s="50">
        <f t="shared" si="150"/>
        <v>0</v>
      </c>
      <c r="JT32" s="50">
        <f t="shared" si="150"/>
        <v>0</v>
      </c>
      <c r="JU32" s="50" t="str">
        <f t="shared" si="150"/>
        <v/>
      </c>
      <c r="JV32" s="50" t="str">
        <f t="shared" si="150"/>
        <v/>
      </c>
      <c r="JW32" s="50" t="str">
        <f t="shared" si="150"/>
        <v/>
      </c>
      <c r="JX32" s="50" t="str">
        <f t="shared" si="150"/>
        <v/>
      </c>
      <c r="JY32" s="50" t="str">
        <f t="shared" si="150"/>
        <v/>
      </c>
      <c r="JZ32" s="50" t="str">
        <f t="shared" si="150"/>
        <v/>
      </c>
      <c r="KA32" s="50" t="str">
        <f t="shared" si="150"/>
        <v/>
      </c>
      <c r="KB32" s="50" t="str">
        <f t="shared" si="150"/>
        <v/>
      </c>
      <c r="KC32" s="50" t="str">
        <f t="shared" si="150"/>
        <v/>
      </c>
      <c r="KD32" s="50" t="str">
        <f t="shared" si="150"/>
        <v/>
      </c>
    </row>
    <row r="33" spans="2:290" s="144" customFormat="1" ht="15" customHeight="1" thickBot="1">
      <c r="B33" s="146">
        <v>27</v>
      </c>
      <c r="C33" s="121" t="str">
        <f t="shared" si="99"/>
        <v>GFGC320.AB</v>
      </c>
      <c r="D33" s="121" t="str">
        <f t="shared" si="100"/>
        <v>GFGV320.AB</v>
      </c>
      <c r="E33" s="122">
        <f t="shared" si="1"/>
        <v>320</v>
      </c>
      <c r="F33" s="123" t="str">
        <f t="shared" si="2"/>
        <v/>
      </c>
      <c r="G33" s="123" t="str">
        <f t="shared" si="3"/>
        <v/>
      </c>
      <c r="H33" s="124">
        <f t="shared" si="4"/>
        <v>0.55000000000000004</v>
      </c>
      <c r="I33" s="124" t="str">
        <f t="shared" si="5"/>
        <v/>
      </c>
      <c r="J33" s="124" t="str">
        <f t="shared" si="6"/>
        <v/>
      </c>
      <c r="K33" s="124" t="str">
        <f t="shared" si="7"/>
        <v/>
      </c>
      <c r="M33" s="158">
        <f t="shared" si="8"/>
        <v>12</v>
      </c>
      <c r="N33" s="121" t="str">
        <f t="shared" si="9"/>
        <v>GFGC320.AB</v>
      </c>
      <c r="O33" s="158">
        <f t="shared" si="10"/>
        <v>12</v>
      </c>
      <c r="P33" s="121" t="str">
        <f t="shared" si="11"/>
        <v>GFGV320.AB</v>
      </c>
      <c r="R33" s="159"/>
      <c r="S33" s="160" t="str">
        <f t="shared" si="12"/>
        <v/>
      </c>
      <c r="U33" s="54"/>
      <c r="V33" s="54"/>
      <c r="X33" s="200">
        <v>27</v>
      </c>
      <c r="Y33" s="546">
        <f t="shared" si="13"/>
        <v>52.63534462198902</v>
      </c>
      <c r="Z33" s="540">
        <f t="shared" si="153"/>
        <v>-96515.238750000048</v>
      </c>
      <c r="AA33" s="179"/>
      <c r="AB33" s="540">
        <f t="shared" si="154"/>
        <v>0</v>
      </c>
      <c r="AC33" s="161"/>
      <c r="AD33" s="200">
        <v>27</v>
      </c>
      <c r="AE33" s="825">
        <f t="shared" si="146"/>
        <v>320</v>
      </c>
      <c r="AF33" s="201">
        <v>320</v>
      </c>
      <c r="AG33" s="161"/>
      <c r="AH33" s="177">
        <f t="shared" si="102"/>
        <v>0</v>
      </c>
      <c r="AI33" s="166">
        <f t="shared" si="103"/>
        <v>0</v>
      </c>
      <c r="AJ33" s="179"/>
      <c r="AK33" s="177">
        <f t="shared" si="104"/>
        <v>0</v>
      </c>
      <c r="AL33" s="166">
        <f t="shared" si="105"/>
        <v>0</v>
      </c>
      <c r="AM33" s="179"/>
      <c r="AN33" s="177"/>
      <c r="AO33" s="166"/>
      <c r="AP33" s="179"/>
      <c r="AQ33" s="176">
        <f t="shared" si="106"/>
        <v>0</v>
      </c>
      <c r="AR33" s="165">
        <f t="shared" si="107"/>
        <v>0</v>
      </c>
      <c r="AS33" s="179"/>
      <c r="AT33" s="176">
        <f t="shared" si="108"/>
        <v>0</v>
      </c>
      <c r="AU33" s="165">
        <f t="shared" si="109"/>
        <v>0</v>
      </c>
      <c r="AV33" s="179"/>
      <c r="AW33" s="200">
        <f t="shared" si="16"/>
        <v>27</v>
      </c>
      <c r="AX33" s="170">
        <f t="shared" si="17"/>
        <v>320</v>
      </c>
      <c r="AY33" s="164"/>
      <c r="AZ33" s="215">
        <f t="shared" si="18"/>
        <v>0.55000000000000004</v>
      </c>
      <c r="BA33" s="197"/>
      <c r="BB33" s="228">
        <f t="shared" si="19"/>
        <v>0.12244999999999999</v>
      </c>
      <c r="BC33" s="161"/>
      <c r="BD33" s="240">
        <f t="shared" si="20"/>
        <v>0.2</v>
      </c>
      <c r="BE33" s="196"/>
      <c r="BF33" s="240">
        <f t="shared" si="21"/>
        <v>0</v>
      </c>
      <c r="BG33" s="196"/>
      <c r="BH33" s="189"/>
      <c r="BI33" s="227">
        <f t="shared" si="22"/>
        <v>0</v>
      </c>
      <c r="BJ33" s="197"/>
      <c r="BK33" s="167">
        <f t="shared" si="23"/>
        <v>0</v>
      </c>
      <c r="BL33" s="161"/>
      <c r="BM33" s="240">
        <f t="shared" si="24"/>
        <v>0</v>
      </c>
      <c r="BN33" s="196"/>
      <c r="BO33" s="240">
        <f t="shared" si="25"/>
        <v>0</v>
      </c>
      <c r="BP33" s="196"/>
      <c r="BQ33" s="161"/>
      <c r="BR33" s="381"/>
      <c r="BS33" s="392">
        <f t="shared" si="122"/>
        <v>20096</v>
      </c>
      <c r="BT33" s="376"/>
      <c r="BU33" s="393" t="str">
        <f t="shared" si="157"/>
        <v/>
      </c>
      <c r="BV33" s="310"/>
      <c r="BW33" s="311">
        <f t="shared" si="110"/>
        <v>320.2</v>
      </c>
      <c r="BX33" s="372"/>
      <c r="BY33" s="440"/>
      <c r="BZ33" s="432">
        <v>0.29299999999999998</v>
      </c>
      <c r="CA33" s="372"/>
      <c r="CB33" s="572">
        <f t="shared" si="152"/>
        <v>0.2</v>
      </c>
      <c r="CC33" s="567">
        <f t="shared" si="29"/>
        <v>10</v>
      </c>
      <c r="CD33" s="814">
        <f t="shared" si="30"/>
        <v>320</v>
      </c>
      <c r="CE33" s="569">
        <f t="shared" si="31"/>
        <v>0</v>
      </c>
      <c r="CF33" s="574" t="str">
        <f>+IF($BU$1=FALSE, IF(BF33=0, "", BF33), IF(BO33=0,"", BO33))</f>
        <v/>
      </c>
      <c r="CG33" s="372"/>
      <c r="CH33" s="435">
        <v>0.14799999999999999</v>
      </c>
      <c r="CI33" s="436"/>
      <c r="CJ33" s="372"/>
      <c r="CK33" s="391" t="str">
        <f t="shared" si="111"/>
        <v/>
      </c>
      <c r="CL33" s="396">
        <f>+IF(OR(CF34="", CB33="", CF34=0, CB33=0), "", IF($BU$1=FALSE, CB33-CF34,- CB33+CF34))</f>
        <v>-0.184</v>
      </c>
      <c r="CM33" s="370"/>
      <c r="CN33" s="161"/>
      <c r="CO33" s="161"/>
      <c r="CP33" s="161"/>
      <c r="CQ33" s="161"/>
      <c r="CR33" s="161"/>
      <c r="CS33" s="161"/>
      <c r="CT33" s="161"/>
      <c r="CU33" s="161"/>
      <c r="CV33" s="161"/>
      <c r="CW33" s="161"/>
      <c r="CX33" s="161"/>
      <c r="CY33" s="161"/>
      <c r="CZ33" s="161"/>
      <c r="DA33" s="161"/>
      <c r="DB33" s="161"/>
      <c r="DC33" s="161"/>
      <c r="DD33" s="161"/>
      <c r="DE33" s="161"/>
      <c r="DF33" s="161"/>
      <c r="DG33" s="161"/>
      <c r="DH33" s="161"/>
      <c r="DI33" s="161"/>
      <c r="DJ33" s="161"/>
      <c r="DK33" s="242">
        <f t="shared" si="123"/>
        <v>0</v>
      </c>
      <c r="DL33" s="217"/>
      <c r="DM33" s="490">
        <f t="shared" si="34"/>
        <v>0</v>
      </c>
      <c r="DN33" s="242">
        <f t="shared" si="35"/>
        <v>0</v>
      </c>
      <c r="DO33" s="243">
        <f t="shared" si="36"/>
        <v>0</v>
      </c>
      <c r="DP33" s="217"/>
      <c r="DQ33" s="252">
        <f t="shared" si="120"/>
        <v>0</v>
      </c>
      <c r="DR33" s="217"/>
      <c r="DS33" s="242">
        <f t="shared" si="38"/>
        <v>0</v>
      </c>
      <c r="DT33" s="242">
        <f t="shared" si="39"/>
        <v>0</v>
      </c>
      <c r="DU33" s="244">
        <f t="shared" si="40"/>
        <v>0</v>
      </c>
      <c r="DV33" s="217"/>
      <c r="DW33" s="428">
        <f>+IF(OR(AE33 = "", AND(AH33 = "", AK33 = "")), "",IFERROR(+AH33 * CallDelta($AG$1,AE33,($BM$1/365), $V$15, $AZ$1, $V$17), 0) + IFERROR(AK33 * Putdelta($AG$1,AE33,($BM$1/365), $V$15, $AZ$1, $V$17), 0))</f>
        <v>0</v>
      </c>
      <c r="DX33" s="245">
        <f>+IF(OR(AE33 = "", AND(AH33 = "", AK33 = "")), "",IFERROR(+AH33 * OptionGamma($AG$1,AE33,($BM$1/365), $V$15, $AZ$1, $V$17), 0) + IFERROR(AK33 * OptionGamma($AG$1,AE33,($BM$1/365), $V$15, $AZ$1, $V$17), 0))</f>
        <v>0</v>
      </c>
      <c r="DY33" s="161"/>
      <c r="DZ33" s="267">
        <f t="shared" si="127"/>
        <v>0</v>
      </c>
      <c r="EA33" s="217"/>
      <c r="EB33" s="267">
        <f t="shared" si="42"/>
        <v>0</v>
      </c>
      <c r="EC33" s="267">
        <f t="shared" si="43"/>
        <v>0</v>
      </c>
      <c r="ED33" s="247">
        <f t="shared" si="44"/>
        <v>0</v>
      </c>
      <c r="EE33" s="217"/>
      <c r="EF33" s="267">
        <f t="shared" si="129"/>
        <v>0</v>
      </c>
      <c r="EG33" s="217"/>
      <c r="EH33" s="267">
        <f t="shared" si="46"/>
        <v>0</v>
      </c>
      <c r="EI33" s="246">
        <f t="shared" si="47"/>
        <v>0</v>
      </c>
      <c r="EJ33" s="248">
        <f t="shared" si="48"/>
        <v>0</v>
      </c>
      <c r="EK33" s="217"/>
      <c r="EL33" s="251">
        <f>+IF(OR(AE33 = "", AND(AQ33 = "", AT33 = "")), "",IFERROR(+AQ33 * CallDelta($AG$1,AE33,($BM$1/365), $V$15, $AZ$1, $V$17), 0) + IFERROR(AT33 * Putdelta($AG$1,AE33,($BM$1/365), $V$15, $AZ$1, $V$17), 0))</f>
        <v>0</v>
      </c>
      <c r="EM33" s="249">
        <f>+IF(OR(AE33 = "", AND(AQ33 = "", AT33 = "")), "",IFERROR(+AQ33 * OptionGamma($AG$1,AE33,($BM$1/365), $V$15, $AZ$1, $V$17), 0) + IFERROR(AT33 * OptionGamma($AG$1,AE33,($BM$1/365), $V$15, $AZ$1, $V$17), 0))</f>
        <v>0</v>
      </c>
      <c r="EN33" s="451">
        <f t="shared" si="49"/>
        <v>45.047760009765625</v>
      </c>
      <c r="EO33" s="418">
        <f>+IF(AE33 = "", "",ImpliedCallVolatility($AG$1, $AE33,($BM$1/365), $V$15, $AZ33, $V$17) * 100)</f>
        <v>52.532196044921875</v>
      </c>
      <c r="EP33" s="418">
        <f>+IF(AE33 = "", "",ImpliedCallVolatility($AG$1, $AE33,($BM$1/365), $V$15, BD33, $V$17) * 100)</f>
        <v>45.047760009765625</v>
      </c>
      <c r="EQ33" s="418">
        <f>+IF(AE33 = "", "",ImpliedCallVolatility($AG$1, $AE33,($BM$1/365), $V$15, BF33, $V$17) * 100)</f>
        <v>2.658843994140625</v>
      </c>
      <c r="ER33" s="411">
        <f t="shared" si="50"/>
        <v>0.55000000000000004</v>
      </c>
      <c r="ES33" s="411">
        <f t="shared" si="51"/>
        <v>0.2</v>
      </c>
      <c r="ET33" s="411" t="str">
        <f t="shared" si="52"/>
        <v/>
      </c>
      <c r="EU33" s="416">
        <f>IF($FC$1 = 1,
IF(AE33 = "", "",OptionGamma($AG$1,AE33,($BM$1/365), $V$15, $AZ$1, $V$17) * 1000),
IF($FC$1 = 2, IF(OR(AE33 = "", BD33 =  0), "",IF(AE33 &lt; $AG$1, (((AE33 * (1 - COMIS_ACCION)) / (($AG$1 * (1 + COMIS_ACCION)) - (BD33 * (1 - COMIS_OPCION)))) - 1) * 100 / $BM$1 * 365,((($AG$1 * (1 - COMIS_ACCION)) / (($AG$1 * (1 + COMIS_ACCION)) - (BD33 * (1 - COMIS_OPCION)))) - 1) * 100 / $BM$1 * 365))))</f>
        <v>0.60955081364195407</v>
      </c>
      <c r="EV33" s="276">
        <f>+IF(AE33 = "", "",CallOption($AG$1, $AE33,($BM$1/365), $V$15, $AZ$1, $V$17))</f>
        <v>6.3743578001254519E-2</v>
      </c>
      <c r="EW33" s="271" t="str">
        <f t="shared" si="53"/>
        <v/>
      </c>
      <c r="EX33" s="272">
        <f t="shared" si="54"/>
        <v>-112.14445419999997</v>
      </c>
      <c r="EY33" s="274">
        <f t="shared" si="55"/>
        <v>108.55554580000003</v>
      </c>
      <c r="EZ33" s="272">
        <f t="shared" si="56"/>
        <v>-320.54208</v>
      </c>
      <c r="FA33" s="272">
        <f t="shared" si="57"/>
        <v>319.45792</v>
      </c>
      <c r="FB33" s="530">
        <f>+IF($FC$1 = 1, IF(AE33 = "", "",IFERROR( VLOOKUP(N33, PreciosCalls, 13, FALSE), 0)),
IF($FC$1 = 2,  IF(AE33 = "", "",OptionGamma($AG$1,AE33,($BM$1/365), $V$15, $AZ$1, $V$17) * 1000)))</f>
        <v>401</v>
      </c>
      <c r="FC33" s="530">
        <f>IF($FC$1 = 1, IF(AE33 = "", "",IFERROR( VLOOKUP(N33, PreciosCalls, 14, FALSE), 0)),
IF($FC$1 = 2, IF(AE33 = "", "",CallDelta($AG$1,AE33,($BM$1/365), $V$15, $AZ$1, $V$17) * 100)))</f>
        <v>0</v>
      </c>
      <c r="FD33" s="531">
        <f t="shared" si="58"/>
        <v>0.50114713216957607</v>
      </c>
      <c r="FE33" s="530">
        <f t="shared" si="59"/>
        <v>20096</v>
      </c>
      <c r="FF33" s="217"/>
      <c r="FG33" s="273">
        <f t="shared" si="60"/>
        <v>1.4322916666666667</v>
      </c>
      <c r="FH33" s="273">
        <f t="shared" si="61"/>
        <v>1.5714285714285716</v>
      </c>
      <c r="FI33" s="451">
        <f t="shared" si="62"/>
        <v>3.814697265625E-3</v>
      </c>
      <c r="FJ33" s="419">
        <f>+IF(AE33 = "", "",ImpliedPutVolatility($AG$1, $AE33,($BM$1/365), $V$15, BI33, $V$17) * 100)</f>
        <v>3.814697265625E-3</v>
      </c>
      <c r="FK33" s="419">
        <f>+IF(AE33 = "", "",ImpliedPutVolatility($AG$1, $AE33,($BM$1/365), $V$15, BM33, $V$17) * 100)</f>
        <v>3.814697265625E-3</v>
      </c>
      <c r="FL33" s="419">
        <f>+IF(AE33 = "", "",ImpliedPutVolatility($AG$1, $AE33,($BM$1/365), $V$15, BO33, $V$17) * 100)</f>
        <v>3.814697265625E-3</v>
      </c>
      <c r="FM33" s="415" t="str">
        <f t="shared" si="63"/>
        <v/>
      </c>
      <c r="FN33" s="415" t="str">
        <f t="shared" si="64"/>
        <v/>
      </c>
      <c r="FO33" s="415" t="str">
        <f t="shared" si="65"/>
        <v/>
      </c>
      <c r="FP33" s="417">
        <f>IF($FX$1=1, IF(AE33 = "", "",OptionGamma($AG$1,AE33,($BM$1/365), $V$15, $AZ$1, $V$17) * 1000),
IF($FX$1 = 2, IF(OR(AE33 = "", BM33 =  0), "",((BM33 * (1 - COMIS_OPCION)) / (AE33 * (1 + COMIS_ACCION))) * 100 / $BM$1 * 365)))</f>
        <v>0.60955081364195407</v>
      </c>
      <c r="FQ33" s="289">
        <f>+IF(AE33 = "", "",PutOption($AG$1, $AE33,($BM$1/365), $V$15, $AZ$1, $V$17))</f>
        <v>94.715438237889629</v>
      </c>
      <c r="FR33" s="279"/>
      <c r="FS33" s="284">
        <f t="shared" si="66"/>
        <v>108.55554580000003</v>
      </c>
      <c r="FT33" s="284">
        <f t="shared" si="67"/>
        <v>-112.14445419999997</v>
      </c>
      <c r="FU33" s="279"/>
      <c r="FV33" s="279"/>
      <c r="FW33" s="287">
        <f>+IF($FX$1 = 1, IFERROR(VLOOKUP(P33, PreciosPuts, 13, FALSE), 0),
IF($FX$1 = 2, IF(AE33 = "", "",OptionGamma($AG$1,AE33,($BM$1/365), $V$15, $AZ$1, $V$17) * 1000)))</f>
        <v>0</v>
      </c>
      <c r="FX33" s="287">
        <f>+IF($FX$1=1, IF(AE33 = "", "",IFERROR(VLOOKUP(P33, PreciosPuts, 14, FALSE), 0)),
IF($FX$1=2, IF(AE33 = "", "",Putdelta($AG$1,AE33,($BM$1/365), $V$15, $AZ$1, $V$17) * 100)))</f>
        <v>0</v>
      </c>
      <c r="FY33" s="286">
        <f t="shared" si="69"/>
        <v>0</v>
      </c>
      <c r="FZ33" s="287">
        <f t="shared" si="70"/>
        <v>0</v>
      </c>
      <c r="GA33" s="217"/>
      <c r="GB33" s="281"/>
      <c r="GC33" s="281"/>
      <c r="GD33" s="217"/>
      <c r="GE33" s="301" t="str">
        <f t="shared" si="71"/>
        <v/>
      </c>
      <c r="GF33" s="292" t="str">
        <f t="shared" si="72"/>
        <v/>
      </c>
      <c r="GG33" s="293" t="str">
        <f t="shared" si="73"/>
        <v/>
      </c>
      <c r="GH33" s="294" t="str">
        <f t="shared" si="124"/>
        <v/>
      </c>
      <c r="GI33" s="294">
        <v>27</v>
      </c>
      <c r="GJ33" s="217"/>
      <c r="GK33" s="305" t="str">
        <f t="shared" si="74"/>
        <v/>
      </c>
      <c r="GL33" s="299" t="str">
        <f t="shared" si="75"/>
        <v/>
      </c>
      <c r="GM33" s="300" t="str">
        <f t="shared" si="76"/>
        <v/>
      </c>
      <c r="GN33" s="225" t="str">
        <f t="shared" si="121"/>
        <v/>
      </c>
      <c r="GO33" s="225">
        <v>27</v>
      </c>
      <c r="GP33" s="217"/>
      <c r="GQ33" s="217"/>
      <c r="GR33" s="401" t="str">
        <f t="shared" si="132"/>
        <v/>
      </c>
      <c r="GT33" s="282">
        <f t="shared" si="78"/>
        <v>-0.34643468250000004</v>
      </c>
      <c r="GU33" s="282">
        <f t="shared" si="79"/>
        <v>-0.43049037499999998</v>
      </c>
      <c r="GV33" s="282">
        <f t="shared" si="80"/>
        <v>-0.57142207500000008</v>
      </c>
      <c r="GW33" s="282">
        <f t="shared" si="81"/>
        <v>-0.79993276000000013</v>
      </c>
      <c r="GX33" s="282" t="str">
        <f t="shared" si="82"/>
        <v/>
      </c>
      <c r="GY33" s="282" t="str">
        <f t="shared" si="83"/>
        <v/>
      </c>
      <c r="GZ33" s="282" t="str">
        <f t="shared" si="115"/>
        <v/>
      </c>
      <c r="HA33" s="282">
        <f t="shared" si="84"/>
        <v>-0.38787531333333325</v>
      </c>
      <c r="HB33" s="282">
        <f t="shared" si="116"/>
        <v>-0.36103118000000001</v>
      </c>
      <c r="HC33" s="607" t="str">
        <f t="shared" si="85"/>
        <v/>
      </c>
      <c r="HD33" s="282" t="str">
        <f t="shared" si="86"/>
        <v/>
      </c>
      <c r="HE33" s="282" t="str">
        <f t="shared" si="87"/>
        <v/>
      </c>
      <c r="HF33" s="282" t="str">
        <f t="shared" si="88"/>
        <v/>
      </c>
      <c r="HG33" s="217"/>
      <c r="HH33" s="282" t="str">
        <f t="shared" si="89"/>
        <v/>
      </c>
      <c r="HI33" s="282" t="str">
        <f t="shared" si="90"/>
        <v/>
      </c>
      <c r="HJ33" s="282"/>
      <c r="HK33" s="282"/>
      <c r="HL33" s="217"/>
      <c r="HM33" s="420"/>
      <c r="HN33" s="420"/>
      <c r="HO33" s="420"/>
      <c r="HP33" s="420"/>
      <c r="HQ33" s="282">
        <f t="shared" si="91"/>
        <v>-0.36103118000000001</v>
      </c>
      <c r="HR33" s="420"/>
      <c r="HS33" s="420"/>
      <c r="HT33" s="420"/>
      <c r="HU33" s="420"/>
      <c r="HV33" s="420"/>
      <c r="HW33" s="420"/>
      <c r="HX33" s="425"/>
      <c r="HY33" s="338"/>
      <c r="HZ33" s="338"/>
      <c r="IA33" s="161"/>
      <c r="IB33" s="161"/>
      <c r="IC33" s="162"/>
      <c r="ID33" s="162"/>
      <c r="IE33" s="49"/>
      <c r="IF33" s="55"/>
      <c r="IG33" s="58"/>
      <c r="IH33" s="545">
        <f t="shared" si="117"/>
        <v>52.63534462198902</v>
      </c>
      <c r="IJ33" s="146">
        <v>27</v>
      </c>
      <c r="IK33" s="545">
        <f t="shared" si="142"/>
        <v>320</v>
      </c>
      <c r="IL33" s="106">
        <f t="shared" si="93"/>
        <v>0.52635344621989022</v>
      </c>
      <c r="IM33" s="110">
        <f t="shared" si="128"/>
        <v>320</v>
      </c>
      <c r="IN33" s="111">
        <f t="shared" si="118"/>
        <v>-96515.238750000048</v>
      </c>
      <c r="IO33" s="50">
        <f t="shared" si="147"/>
        <v>0</v>
      </c>
      <c r="IP33" s="50">
        <f t="shared" si="147"/>
        <v>0</v>
      </c>
      <c r="IQ33" s="50">
        <f t="shared" si="147"/>
        <v>0</v>
      </c>
      <c r="IR33" s="50">
        <f t="shared" si="147"/>
        <v>0</v>
      </c>
      <c r="IS33" s="50">
        <f t="shared" si="147"/>
        <v>0</v>
      </c>
      <c r="IT33" s="50">
        <f t="shared" si="147"/>
        <v>0</v>
      </c>
      <c r="IU33" s="50">
        <f t="shared" si="147"/>
        <v>0</v>
      </c>
      <c r="IV33" s="50">
        <f t="shared" si="147"/>
        <v>0</v>
      </c>
      <c r="IW33" s="50">
        <f t="shared" si="147"/>
        <v>0</v>
      </c>
      <c r="IX33" s="50">
        <f t="shared" si="147"/>
        <v>0</v>
      </c>
      <c r="IY33" s="50">
        <f t="shared" si="148"/>
        <v>0</v>
      </c>
      <c r="IZ33" s="50">
        <f t="shared" si="148"/>
        <v>0</v>
      </c>
      <c r="JA33" s="50">
        <f t="shared" si="148"/>
        <v>675000</v>
      </c>
      <c r="JB33" s="50">
        <f t="shared" si="148"/>
        <v>0</v>
      </c>
      <c r="JC33" s="50">
        <f t="shared" si="148"/>
        <v>0</v>
      </c>
      <c r="JD33" s="50">
        <f t="shared" si="148"/>
        <v>0</v>
      </c>
      <c r="JE33" s="50">
        <f t="shared" si="148"/>
        <v>-550000</v>
      </c>
      <c r="JF33" s="50">
        <f t="shared" si="148"/>
        <v>0</v>
      </c>
      <c r="JG33" s="50">
        <f t="shared" si="148"/>
        <v>0</v>
      </c>
      <c r="JH33" s="50">
        <f t="shared" si="148"/>
        <v>0</v>
      </c>
      <c r="JI33" s="50">
        <f t="shared" si="149"/>
        <v>-175000</v>
      </c>
      <c r="JJ33" s="50">
        <f t="shared" si="149"/>
        <v>0</v>
      </c>
      <c r="JK33" s="50">
        <f t="shared" si="149"/>
        <v>0</v>
      </c>
      <c r="JL33" s="50">
        <f t="shared" si="149"/>
        <v>0</v>
      </c>
      <c r="JM33" s="50">
        <f t="shared" si="149"/>
        <v>0</v>
      </c>
      <c r="JN33" s="50">
        <f t="shared" si="149"/>
        <v>0</v>
      </c>
      <c r="JO33" s="50">
        <f t="shared" si="149"/>
        <v>0</v>
      </c>
      <c r="JP33" s="50">
        <f t="shared" si="149"/>
        <v>0</v>
      </c>
      <c r="JQ33" s="50">
        <f t="shared" si="149"/>
        <v>0</v>
      </c>
      <c r="JR33" s="50">
        <f t="shared" si="149"/>
        <v>0</v>
      </c>
      <c r="JS33" s="50">
        <f t="shared" si="150"/>
        <v>0</v>
      </c>
      <c r="JT33" s="50">
        <f t="shared" si="150"/>
        <v>0</v>
      </c>
      <c r="JU33" s="50" t="str">
        <f t="shared" si="150"/>
        <v/>
      </c>
      <c r="JV33" s="50" t="str">
        <f t="shared" si="150"/>
        <v/>
      </c>
      <c r="JW33" s="50" t="str">
        <f t="shared" si="150"/>
        <v/>
      </c>
      <c r="JX33" s="50" t="str">
        <f t="shared" si="150"/>
        <v/>
      </c>
      <c r="JY33" s="50" t="str">
        <f t="shared" si="150"/>
        <v/>
      </c>
      <c r="JZ33" s="50" t="str">
        <f t="shared" si="150"/>
        <v/>
      </c>
      <c r="KA33" s="50" t="str">
        <f t="shared" si="150"/>
        <v/>
      </c>
      <c r="KB33" s="50" t="str">
        <f t="shared" si="150"/>
        <v/>
      </c>
      <c r="KC33" s="50" t="str">
        <f t="shared" si="150"/>
        <v/>
      </c>
      <c r="KD33" s="50" t="str">
        <f t="shared" si="150"/>
        <v/>
      </c>
    </row>
    <row r="34" spans="2:290" s="144" customFormat="1" ht="15" customHeight="1" thickBot="1">
      <c r="B34" s="146">
        <v>28</v>
      </c>
      <c r="C34" s="121" t="str">
        <f t="shared" si="99"/>
        <v>GFGC330.AB</v>
      </c>
      <c r="D34" s="121" t="str">
        <f t="shared" si="100"/>
        <v>GFGV330.AB</v>
      </c>
      <c r="E34" s="122">
        <f t="shared" si="1"/>
        <v>330</v>
      </c>
      <c r="F34" s="123" t="str">
        <f t="shared" si="2"/>
        <v/>
      </c>
      <c r="G34" s="123" t="str">
        <f t="shared" si="3"/>
        <v/>
      </c>
      <c r="H34" s="124">
        <f t="shared" si="4"/>
        <v>0.38400000000000001</v>
      </c>
      <c r="I34" s="124" t="str">
        <f t="shared" si="5"/>
        <v/>
      </c>
      <c r="J34" s="124" t="str">
        <f t="shared" si="6"/>
        <v/>
      </c>
      <c r="K34" s="124" t="str">
        <f t="shared" si="7"/>
        <v/>
      </c>
      <c r="M34" s="158">
        <f t="shared" si="8"/>
        <v>12</v>
      </c>
      <c r="N34" s="121" t="str">
        <f t="shared" si="9"/>
        <v>GFGC330.AB</v>
      </c>
      <c r="O34" s="158">
        <f t="shared" si="10"/>
        <v>12</v>
      </c>
      <c r="P34" s="121" t="str">
        <f t="shared" si="11"/>
        <v>GFGV330.AB</v>
      </c>
      <c r="R34" s="159"/>
      <c r="S34" s="160" t="str">
        <f t="shared" si="12"/>
        <v/>
      </c>
      <c r="U34" s="54"/>
      <c r="V34" s="54"/>
      <c r="X34" s="200">
        <v>28</v>
      </c>
      <c r="Y34" s="546">
        <f t="shared" si="13"/>
        <v>57.405199141426188</v>
      </c>
      <c r="Z34" s="540">
        <f t="shared" si="153"/>
        <v>-121515.23875000005</v>
      </c>
      <c r="AA34" s="179"/>
      <c r="AB34" s="540">
        <f t="shared" si="154"/>
        <v>0</v>
      </c>
      <c r="AC34" s="161"/>
      <c r="AD34" s="200">
        <v>28</v>
      </c>
      <c r="AE34" s="825">
        <f t="shared" si="146"/>
        <v>330</v>
      </c>
      <c r="AF34" s="201">
        <v>330</v>
      </c>
      <c r="AG34" s="161"/>
      <c r="AH34" s="177">
        <f t="shared" si="102"/>
        <v>0</v>
      </c>
      <c r="AI34" s="166">
        <f t="shared" si="103"/>
        <v>0</v>
      </c>
      <c r="AJ34" s="179"/>
      <c r="AK34" s="177">
        <f t="shared" si="104"/>
        <v>0</v>
      </c>
      <c r="AL34" s="166">
        <f t="shared" si="105"/>
        <v>0</v>
      </c>
      <c r="AM34" s="179"/>
      <c r="AN34" s="177"/>
      <c r="AO34" s="166"/>
      <c r="AP34" s="179"/>
      <c r="AQ34" s="176">
        <f t="shared" si="106"/>
        <v>0</v>
      </c>
      <c r="AR34" s="165">
        <f t="shared" si="107"/>
        <v>0</v>
      </c>
      <c r="AS34" s="179"/>
      <c r="AT34" s="176">
        <f t="shared" si="108"/>
        <v>0</v>
      </c>
      <c r="AU34" s="165">
        <f t="shared" si="109"/>
        <v>0</v>
      </c>
      <c r="AV34" s="179"/>
      <c r="AW34" s="200">
        <f t="shared" si="16"/>
        <v>28</v>
      </c>
      <c r="AX34" s="170">
        <f t="shared" si="17"/>
        <v>330</v>
      </c>
      <c r="AY34" s="164"/>
      <c r="AZ34" s="215">
        <f t="shared" si="18"/>
        <v>0.38400000000000001</v>
      </c>
      <c r="BA34" s="197"/>
      <c r="BB34" s="228">
        <f t="shared" si="19"/>
        <v>5.4949999999999999E-2</v>
      </c>
      <c r="BC34" s="161"/>
      <c r="BD34" s="240">
        <f t="shared" si="20"/>
        <v>0.34100000000000003</v>
      </c>
      <c r="BE34" s="196"/>
      <c r="BF34" s="240">
        <f t="shared" si="21"/>
        <v>0.38400000000000001</v>
      </c>
      <c r="BG34" s="196"/>
      <c r="BH34" s="189"/>
      <c r="BI34" s="227">
        <f t="shared" si="22"/>
        <v>0</v>
      </c>
      <c r="BJ34" s="197"/>
      <c r="BK34" s="167">
        <f t="shared" si="23"/>
        <v>0</v>
      </c>
      <c r="BL34" s="161"/>
      <c r="BM34" s="240">
        <f t="shared" si="24"/>
        <v>0</v>
      </c>
      <c r="BN34" s="196"/>
      <c r="BO34" s="240">
        <f t="shared" si="25"/>
        <v>0</v>
      </c>
      <c r="BP34" s="196"/>
      <c r="BQ34" s="161"/>
      <c r="BR34" s="381"/>
      <c r="BS34" s="392">
        <f t="shared" si="122"/>
        <v>46717.4</v>
      </c>
      <c r="BT34" s="376"/>
      <c r="BU34" s="393">
        <f t="shared" si="157"/>
        <v>0.16400000000000001</v>
      </c>
      <c r="BV34" s="310"/>
      <c r="BW34" s="311">
        <f t="shared" si="110"/>
        <v>330.34100000000001</v>
      </c>
      <c r="BX34" s="372"/>
      <c r="BY34" s="440"/>
      <c r="BZ34" s="432">
        <v>2.3E-2</v>
      </c>
      <c r="CA34" s="372"/>
      <c r="CB34" s="572">
        <f t="shared" si="152"/>
        <v>0.34100000000000003</v>
      </c>
      <c r="CC34" s="567">
        <f t="shared" si="29"/>
        <v>40</v>
      </c>
      <c r="CD34" s="814">
        <f t="shared" si="30"/>
        <v>330</v>
      </c>
      <c r="CE34" s="569">
        <f t="shared" si="31"/>
        <v>23</v>
      </c>
      <c r="CF34" s="574">
        <f t="shared" si="158"/>
        <v>0.38400000000000001</v>
      </c>
      <c r="CG34" s="372"/>
      <c r="CH34" s="435">
        <v>0.14000000000000001</v>
      </c>
      <c r="CI34" s="436"/>
      <c r="CJ34" s="372"/>
      <c r="CK34" s="391">
        <f t="shared" si="111"/>
        <v>330.38400000000001</v>
      </c>
      <c r="CL34" s="396">
        <f t="shared" ref="CL34:CL47" si="159">+IF(OR(CF35="", CB34="", CF35=0, CB34=0), "", IF($BU$1=FALSE, CB34-CF35,- CB34+CF35))</f>
        <v>-8.9999999999999525E-3</v>
      </c>
      <c r="CM34" s="370"/>
      <c r="CN34" s="161"/>
      <c r="CO34" s="161"/>
      <c r="CP34" s="161"/>
      <c r="CQ34" s="161"/>
      <c r="CR34" s="161"/>
      <c r="CS34" s="161"/>
      <c r="CT34" s="161"/>
      <c r="CU34" s="161"/>
      <c r="CV34" s="161"/>
      <c r="CW34" s="161"/>
      <c r="CX34" s="161"/>
      <c r="CY34" s="161"/>
      <c r="CZ34" s="161"/>
      <c r="DA34" s="161"/>
      <c r="DB34" s="161"/>
      <c r="DC34" s="161"/>
      <c r="DD34" s="161"/>
      <c r="DE34" s="161"/>
      <c r="DF34" s="161"/>
      <c r="DG34" s="161"/>
      <c r="DH34" s="161"/>
      <c r="DI34" s="161"/>
      <c r="DJ34" s="161"/>
      <c r="DK34" s="242">
        <f t="shared" si="123"/>
        <v>0</v>
      </c>
      <c r="DL34" s="217"/>
      <c r="DM34" s="490">
        <f t="shared" si="34"/>
        <v>0</v>
      </c>
      <c r="DN34" s="242">
        <f t="shared" si="35"/>
        <v>0</v>
      </c>
      <c r="DO34" s="243">
        <f t="shared" si="36"/>
        <v>0</v>
      </c>
      <c r="DP34" s="217"/>
      <c r="DQ34" s="252">
        <f t="shared" si="120"/>
        <v>0</v>
      </c>
      <c r="DR34" s="217"/>
      <c r="DS34" s="242">
        <f t="shared" si="38"/>
        <v>0</v>
      </c>
      <c r="DT34" s="242">
        <f t="shared" si="39"/>
        <v>0</v>
      </c>
      <c r="DU34" s="244">
        <f t="shared" si="40"/>
        <v>0</v>
      </c>
      <c r="DV34" s="217"/>
      <c r="DW34" s="428">
        <f>+IF(OR(AE34 = "", AND(AH34 = "", AK34 = "")), "",IFERROR(+AH34 * CallDelta($AG$1,AE34,($BM$1/365), $V$15, $AZ$1, $V$17), 0) + IFERROR(AK34 * Putdelta($AG$1,AE34,($BM$1/365), $V$15, $AZ$1, $V$17), 0))</f>
        <v>0</v>
      </c>
      <c r="DX34" s="245">
        <f>+IF(OR(AE34 = "", AND(AH34 = "", AK34 = "")), "",IFERROR(+AH34 * OptionGamma($AG$1,AE34,($BM$1/365), $V$15, $AZ$1, $V$17), 0) + IFERROR(AK34 * OptionGamma($AG$1,AE34,($BM$1/365), $V$15, $AZ$1, $V$17), 0))</f>
        <v>0</v>
      </c>
      <c r="DY34" s="161"/>
      <c r="DZ34" s="267">
        <f t="shared" si="127"/>
        <v>0</v>
      </c>
      <c r="EA34" s="217"/>
      <c r="EB34" s="267">
        <f t="shared" si="42"/>
        <v>0</v>
      </c>
      <c r="EC34" s="267">
        <f t="shared" si="43"/>
        <v>0</v>
      </c>
      <c r="ED34" s="247">
        <f t="shared" si="44"/>
        <v>0</v>
      </c>
      <c r="EE34" s="217"/>
      <c r="EF34" s="267">
        <f t="shared" si="129"/>
        <v>0</v>
      </c>
      <c r="EG34" s="217"/>
      <c r="EH34" s="267">
        <f t="shared" si="46"/>
        <v>0</v>
      </c>
      <c r="EI34" s="246">
        <f t="shared" si="47"/>
        <v>0</v>
      </c>
      <c r="EJ34" s="248">
        <f t="shared" si="48"/>
        <v>0</v>
      </c>
      <c r="EK34" s="217"/>
      <c r="EL34" s="251">
        <f>+IF(OR(AE34 = "", AND(AQ34 = "", AT34 = "")), "",IFERROR(+AQ34 * CallDelta($AG$1,AE34,($BM$1/365), $V$15, $AZ$1, $V$17), 0) + IFERROR(AT34 * Putdelta($AG$1,AE34,($BM$1/365), $V$15, $AZ$1, $V$17), 0))</f>
        <v>0</v>
      </c>
      <c r="EM34" s="249">
        <f>+IF(OR(AE34 = "", AND(AQ34 = "", AT34 = "")), "",IFERROR(+AQ34 * OptionGamma($AG$1,AE34,($BM$1/365), $V$15, $AZ$1, $V$17), 0) + IFERROR(AT34 * OptionGamma($AG$1,AE34,($BM$1/365), $V$15, $AZ$1, $V$17), 0))</f>
        <v>0</v>
      </c>
      <c r="EN34" s="451">
        <f t="shared" si="49"/>
        <v>51.929473876953125</v>
      </c>
      <c r="EO34" s="418">
        <f>+IF(AE34 = "", "",ImpliedCallVolatility($AG$1, $AE34,($BM$1/365), $V$15, $AZ34, $V$17) * 100)</f>
        <v>52.875518798828125</v>
      </c>
      <c r="EP34" s="418">
        <f>+IF(AE34 = "", "",ImpliedCallVolatility($AG$1, $AE34,($BM$1/365), $V$15, BD34, $V$17) * 100)</f>
        <v>51.929473876953125</v>
      </c>
      <c r="EQ34" s="418">
        <f>+IF(AE34 = "", "",ImpliedCallVolatility($AG$1, $AE34,($BM$1/365), $V$15, BF34, $V$17) * 100)</f>
        <v>52.875518798828125</v>
      </c>
      <c r="ER34" s="411">
        <f t="shared" si="50"/>
        <v>0.38400000000000001</v>
      </c>
      <c r="ES34" s="411">
        <f t="shared" si="51"/>
        <v>0.34100000000000003</v>
      </c>
      <c r="ET34" s="411">
        <f t="shared" si="52"/>
        <v>0.38400000000000001</v>
      </c>
      <c r="EU34" s="416">
        <f>IF($FC$1 = 1,
IF(AE34 = "", "",OptionGamma($AG$1,AE34,($BM$1/365), $V$15, $AZ$1, $V$17) * 1000),
IF($FC$1 = 2, IF(OR(AE34 = "", BD34 =  0), "",IF(AE34 &lt; $AG$1, (((AE34 * (1 - COMIS_ACCION)) / (($AG$1 * (1 + COMIS_ACCION)) - (BD34 * (1 - COMIS_OPCION)))) - 1) * 100 / $BM$1 * 365,((($AG$1 * (1 - COMIS_ACCION)) / (($AG$1 * (1 + COMIS_ACCION)) - (BD34 * (1 - COMIS_OPCION)))) - 1) * 100 / $BM$1 * 365))))</f>
        <v>0.35427352130863177</v>
      </c>
      <c r="EV34" s="276">
        <f>+IF(AE34 = "", "",CallOption($AG$1, $AE34,($BM$1/365), $V$15, $AZ$1, $V$17))</f>
        <v>3.2811955086448297E-2</v>
      </c>
      <c r="EW34" s="271">
        <f t="shared" si="53"/>
        <v>-0.38655552000000004</v>
      </c>
      <c r="EX34" s="272">
        <f t="shared" si="54"/>
        <v>-122.17833419999995</v>
      </c>
      <c r="EY34" s="274">
        <f t="shared" si="55"/>
        <v>118.52166580000005</v>
      </c>
      <c r="EZ34" s="272">
        <f t="shared" si="56"/>
        <v>-330.55902000000003</v>
      </c>
      <c r="FA34" s="272">
        <f t="shared" si="57"/>
        <v>329.44097999999997</v>
      </c>
      <c r="FB34" s="530">
        <f>+IF($FC$1 = 1, IF(AE34 = "", "",IFERROR( VLOOKUP(N34, PreciosCalls, 13, FALSE), 0)),
IF($FC$1 = 2,  IF(AE34 = "", "",OptionGamma($AG$1,AE34,($BM$1/365), $V$15, $AZ$1, $V$17) * 1000)))</f>
        <v>1237</v>
      </c>
      <c r="FC34" s="530">
        <f>IF($FC$1 = 1, IF(AE34 = "", "",IFERROR( VLOOKUP(N34, PreciosCalls, 14, FALSE), 0)),
IF($FC$1 = 2, IF(AE34 = "", "",CallDelta($AG$1,AE34,($BM$1/365), $V$15, $AZ$1, $V$17) * 100)))</f>
        <v>0</v>
      </c>
      <c r="FD34" s="531">
        <f t="shared" si="58"/>
        <v>0.37766693613581248</v>
      </c>
      <c r="FE34" s="530">
        <f t="shared" si="59"/>
        <v>46717.4</v>
      </c>
      <c r="FF34" s="217"/>
      <c r="FG34" s="273">
        <f t="shared" si="60"/>
        <v>1.0971428571428572</v>
      </c>
      <c r="FH34" s="273">
        <f t="shared" si="61"/>
        <v>1.8285714285714287</v>
      </c>
      <c r="FI34" s="451">
        <f t="shared" si="62"/>
        <v>3.814697265625E-3</v>
      </c>
      <c r="FJ34" s="419">
        <f>+IF(AE34 = "", "",ImpliedPutVolatility($AG$1, $AE34,($BM$1/365), $V$15, BI34, $V$17) * 100)</f>
        <v>3.814697265625E-3</v>
      </c>
      <c r="FK34" s="419">
        <f>+IF(AE34 = "", "",ImpliedPutVolatility($AG$1, $AE34,($BM$1/365), $V$15, BM34, $V$17) * 100)</f>
        <v>3.814697265625E-3</v>
      </c>
      <c r="FL34" s="419">
        <f>+IF(AE34 = "", "",ImpliedPutVolatility($AG$1, $AE34,($BM$1/365), $V$15, BO34, $V$17) * 100)</f>
        <v>3.814697265625E-3</v>
      </c>
      <c r="FM34" s="415" t="str">
        <f t="shared" si="63"/>
        <v/>
      </c>
      <c r="FN34" s="415" t="str">
        <f t="shared" si="64"/>
        <v/>
      </c>
      <c r="FO34" s="415" t="str">
        <f t="shared" si="65"/>
        <v/>
      </c>
      <c r="FP34" s="417">
        <f>IF($FX$1=1, IF(AE34 = "", "",OptionGamma($AG$1,AE34,($BM$1/365), $V$15, $AZ$1, $V$17) * 1000),
IF($FX$1 = 2, IF(OR(AE34 = "", BM34 =  0), "",((BM34 * (1 - COMIS_OPCION)) / (AE34 * (1 + COMIS_ACCION))) * 100 / $BM$1 * 365)))</f>
        <v>0.35427352130863177</v>
      </c>
      <c r="FQ34" s="289">
        <f>+IF(AE34 = "", "",PutOption($AG$1, $AE34,($BM$1/365), $V$15, $AZ$1, $V$17))</f>
        <v>104.19393457309639</v>
      </c>
      <c r="FR34" s="279"/>
      <c r="FS34" s="284">
        <f t="shared" si="66"/>
        <v>118.52166580000005</v>
      </c>
      <c r="FT34" s="284">
        <f t="shared" si="67"/>
        <v>-122.17833419999995</v>
      </c>
      <c r="FU34" s="279"/>
      <c r="FV34" s="279"/>
      <c r="FW34" s="287">
        <f>+IF($FX$1 = 1, IFERROR(VLOOKUP(P34, PreciosPuts, 13, FALSE), 0),
IF($FX$1 = 2, IF(AE34 = "", "",OptionGamma($AG$1,AE34,($BM$1/365), $V$15, $AZ$1, $V$17) * 1000)))</f>
        <v>0</v>
      </c>
      <c r="FX34" s="287">
        <f>+IF($FX$1=1, IF(AE34 = "", "",IFERROR(VLOOKUP(P34, PreciosPuts, 14, FALSE), 0)),
IF($FX$1=2, IF(AE34 = "", "",Putdelta($AG$1,AE34,($BM$1/365), $V$15, $AZ$1, $V$17) * 100)))</f>
        <v>0</v>
      </c>
      <c r="FY34" s="286">
        <f t="shared" si="69"/>
        <v>0</v>
      </c>
      <c r="FZ34" s="287">
        <f t="shared" si="70"/>
        <v>0</v>
      </c>
      <c r="GA34" s="217"/>
      <c r="GB34" s="281"/>
      <c r="GC34" s="281"/>
      <c r="GD34" s="217"/>
      <c r="GE34" s="301" t="str">
        <f t="shared" si="71"/>
        <v/>
      </c>
      <c r="GF34" s="292" t="str">
        <f t="shared" si="72"/>
        <v/>
      </c>
      <c r="GG34" s="293" t="str">
        <f t="shared" si="73"/>
        <v/>
      </c>
      <c r="GH34" s="294" t="str">
        <f t="shared" si="124"/>
        <v/>
      </c>
      <c r="GI34" s="294">
        <v>28</v>
      </c>
      <c r="GJ34" s="217"/>
      <c r="GK34" s="305" t="str">
        <f t="shared" si="74"/>
        <v/>
      </c>
      <c r="GL34" s="299" t="str">
        <f t="shared" si="75"/>
        <v/>
      </c>
      <c r="GM34" s="300" t="str">
        <f t="shared" si="76"/>
        <v/>
      </c>
      <c r="GN34" s="225" t="str">
        <f t="shared" si="121"/>
        <v/>
      </c>
      <c r="GO34" s="225">
        <v>28</v>
      </c>
      <c r="GP34" s="217"/>
      <c r="GQ34" s="217"/>
      <c r="GR34" s="401" t="str">
        <f t="shared" si="132"/>
        <v/>
      </c>
      <c r="GT34" s="282" t="str">
        <f t="shared" si="78"/>
        <v/>
      </c>
      <c r="GU34" s="282">
        <f t="shared" si="79"/>
        <v>-0.13892715249999996</v>
      </c>
      <c r="GV34" s="282">
        <f t="shared" si="80"/>
        <v>-0.21190964000000001</v>
      </c>
      <c r="GW34" s="282" t="str">
        <f t="shared" si="81"/>
        <v/>
      </c>
      <c r="GX34" s="282" t="str">
        <f t="shared" si="82"/>
        <v/>
      </c>
      <c r="GY34" s="282" t="str">
        <f t="shared" si="83"/>
        <v/>
      </c>
      <c r="GZ34" s="282" t="str">
        <f t="shared" si="115"/>
        <v/>
      </c>
      <c r="HA34" s="282" t="str">
        <f t="shared" si="84"/>
        <v/>
      </c>
      <c r="HB34" s="282">
        <f t="shared" si="116"/>
        <v>-0.13070613666666664</v>
      </c>
      <c r="HC34" s="607" t="str">
        <f t="shared" si="85"/>
        <v/>
      </c>
      <c r="HD34" s="282" t="str">
        <f t="shared" si="86"/>
        <v/>
      </c>
      <c r="HE34" s="282" t="str">
        <f t="shared" si="87"/>
        <v/>
      </c>
      <c r="HF34" s="282" t="str">
        <f t="shared" si="88"/>
        <v/>
      </c>
      <c r="HG34" s="217"/>
      <c r="HH34" s="282" t="str">
        <f t="shared" si="89"/>
        <v/>
      </c>
      <c r="HI34" s="282" t="str">
        <f t="shared" si="90"/>
        <v/>
      </c>
      <c r="HJ34" s="282"/>
      <c r="HK34" s="282"/>
      <c r="HL34" s="217"/>
      <c r="HM34" s="420"/>
      <c r="HN34" s="420"/>
      <c r="HO34" s="420"/>
      <c r="HP34" s="420"/>
      <c r="HQ34" s="282">
        <f t="shared" si="91"/>
        <v>-0.13070613666666661</v>
      </c>
      <c r="HR34" s="420"/>
      <c r="HS34" s="420"/>
      <c r="HT34" s="420"/>
      <c r="HU34" s="420"/>
      <c r="HV34" s="420"/>
      <c r="HW34" s="420"/>
      <c r="HX34" s="425"/>
      <c r="HY34" s="338"/>
      <c r="HZ34" s="338"/>
      <c r="IA34" s="161"/>
      <c r="IB34" s="161"/>
      <c r="IC34" s="162"/>
      <c r="ID34" s="162"/>
      <c r="IE34" s="49"/>
      <c r="IF34" s="55"/>
      <c r="IG34" s="58"/>
      <c r="IH34" s="545">
        <f t="shared" si="117"/>
        <v>57.405199141426188</v>
      </c>
      <c r="IJ34" s="146">
        <v>28</v>
      </c>
      <c r="IK34" s="545">
        <f t="shared" si="142"/>
        <v>330</v>
      </c>
      <c r="IL34" s="106">
        <f t="shared" si="93"/>
        <v>0.57405199141426189</v>
      </c>
      <c r="IM34" s="110">
        <f t="shared" si="128"/>
        <v>330</v>
      </c>
      <c r="IN34" s="111">
        <f t="shared" si="118"/>
        <v>-121515.23875000005</v>
      </c>
      <c r="IO34" s="50">
        <f t="shared" si="147"/>
        <v>0</v>
      </c>
      <c r="IP34" s="50">
        <f t="shared" si="147"/>
        <v>0</v>
      </c>
      <c r="IQ34" s="50">
        <f t="shared" si="147"/>
        <v>0</v>
      </c>
      <c r="IR34" s="50">
        <f t="shared" si="147"/>
        <v>0</v>
      </c>
      <c r="IS34" s="50">
        <f t="shared" si="147"/>
        <v>0</v>
      </c>
      <c r="IT34" s="50">
        <f t="shared" si="147"/>
        <v>0</v>
      </c>
      <c r="IU34" s="50">
        <f t="shared" si="147"/>
        <v>0</v>
      </c>
      <c r="IV34" s="50">
        <f t="shared" si="147"/>
        <v>0</v>
      </c>
      <c r="IW34" s="50">
        <f t="shared" si="147"/>
        <v>0</v>
      </c>
      <c r="IX34" s="50">
        <f t="shared" si="147"/>
        <v>0</v>
      </c>
      <c r="IY34" s="50">
        <f t="shared" si="148"/>
        <v>0</v>
      </c>
      <c r="IZ34" s="50">
        <f t="shared" si="148"/>
        <v>0</v>
      </c>
      <c r="JA34" s="50">
        <f t="shared" si="148"/>
        <v>725000</v>
      </c>
      <c r="JB34" s="50">
        <f t="shared" si="148"/>
        <v>0</v>
      </c>
      <c r="JC34" s="50">
        <f t="shared" si="148"/>
        <v>0</v>
      </c>
      <c r="JD34" s="50">
        <f t="shared" si="148"/>
        <v>0</v>
      </c>
      <c r="JE34" s="50">
        <f t="shared" si="148"/>
        <v>-600000</v>
      </c>
      <c r="JF34" s="50">
        <f t="shared" si="148"/>
        <v>0</v>
      </c>
      <c r="JG34" s="50">
        <f t="shared" si="148"/>
        <v>0</v>
      </c>
      <c r="JH34" s="50">
        <f t="shared" si="148"/>
        <v>0</v>
      </c>
      <c r="JI34" s="50">
        <f t="shared" si="149"/>
        <v>-200000</v>
      </c>
      <c r="JJ34" s="50">
        <f t="shared" si="149"/>
        <v>0</v>
      </c>
      <c r="JK34" s="50">
        <f t="shared" si="149"/>
        <v>0</v>
      </c>
      <c r="JL34" s="50">
        <f t="shared" si="149"/>
        <v>0</v>
      </c>
      <c r="JM34" s="50">
        <f t="shared" si="149"/>
        <v>0</v>
      </c>
      <c r="JN34" s="50">
        <f t="shared" si="149"/>
        <v>0</v>
      </c>
      <c r="JO34" s="50">
        <f t="shared" si="149"/>
        <v>0</v>
      </c>
      <c r="JP34" s="50">
        <f t="shared" si="149"/>
        <v>0</v>
      </c>
      <c r="JQ34" s="50">
        <f t="shared" si="149"/>
        <v>0</v>
      </c>
      <c r="JR34" s="50">
        <f t="shared" si="149"/>
        <v>0</v>
      </c>
      <c r="JS34" s="50">
        <f t="shared" si="150"/>
        <v>0</v>
      </c>
      <c r="JT34" s="50">
        <f t="shared" si="150"/>
        <v>0</v>
      </c>
      <c r="JU34" s="50" t="str">
        <f t="shared" si="150"/>
        <v/>
      </c>
      <c r="JV34" s="50" t="str">
        <f t="shared" si="150"/>
        <v/>
      </c>
      <c r="JW34" s="50" t="str">
        <f t="shared" si="150"/>
        <v/>
      </c>
      <c r="JX34" s="50" t="str">
        <f t="shared" si="150"/>
        <v/>
      </c>
      <c r="JY34" s="50" t="str">
        <f t="shared" si="150"/>
        <v/>
      </c>
      <c r="JZ34" s="50" t="str">
        <f t="shared" si="150"/>
        <v/>
      </c>
      <c r="KA34" s="50" t="str">
        <f t="shared" si="150"/>
        <v/>
      </c>
      <c r="KB34" s="50" t="str">
        <f t="shared" si="150"/>
        <v/>
      </c>
      <c r="KC34" s="50" t="str">
        <f t="shared" si="150"/>
        <v/>
      </c>
      <c r="KD34" s="50" t="str">
        <f t="shared" si="150"/>
        <v/>
      </c>
    </row>
    <row r="35" spans="2:290" s="144" customFormat="1" ht="15" customHeight="1" thickBot="1">
      <c r="B35" s="146">
        <v>29</v>
      </c>
      <c r="C35" s="121" t="str">
        <f t="shared" si="99"/>
        <v>GFGC340.AB</v>
      </c>
      <c r="D35" s="121" t="str">
        <f t="shared" si="100"/>
        <v>GFGV340.AB</v>
      </c>
      <c r="E35" s="122">
        <f t="shared" si="1"/>
        <v>340</v>
      </c>
      <c r="F35" s="123" t="str">
        <f t="shared" si="2"/>
        <v/>
      </c>
      <c r="G35" s="123" t="str">
        <f t="shared" si="3"/>
        <v/>
      </c>
      <c r="H35" s="124">
        <f t="shared" si="4"/>
        <v>0.35</v>
      </c>
      <c r="I35" s="124" t="str">
        <f t="shared" si="5"/>
        <v/>
      </c>
      <c r="J35" s="124" t="str">
        <f t="shared" si="6"/>
        <v/>
      </c>
      <c r="K35" s="124" t="str">
        <f t="shared" si="7"/>
        <v/>
      </c>
      <c r="M35" s="158">
        <f t="shared" si="8"/>
        <v>12</v>
      </c>
      <c r="N35" s="121" t="str">
        <f t="shared" si="9"/>
        <v>GFGC340.AB</v>
      </c>
      <c r="O35" s="158">
        <f t="shared" si="10"/>
        <v>12</v>
      </c>
      <c r="P35" s="121" t="str">
        <f t="shared" si="11"/>
        <v>GFGV340.AB</v>
      </c>
      <c r="R35" s="159"/>
      <c r="S35" s="160" t="str">
        <f t="shared" si="12"/>
        <v/>
      </c>
      <c r="U35" s="54"/>
      <c r="V35" s="54"/>
      <c r="X35" s="200">
        <v>29</v>
      </c>
      <c r="Y35" s="546">
        <f t="shared" si="13"/>
        <v>62.175053660863334</v>
      </c>
      <c r="Z35" s="540">
        <f t="shared" si="153"/>
        <v>-146515.23875000005</v>
      </c>
      <c r="AA35" s="179"/>
      <c r="AB35" s="540">
        <f t="shared" si="154"/>
        <v>0</v>
      </c>
      <c r="AC35" s="161"/>
      <c r="AD35" s="200">
        <v>29</v>
      </c>
      <c r="AE35" s="825">
        <f t="shared" si="146"/>
        <v>340</v>
      </c>
      <c r="AF35" s="201">
        <v>340</v>
      </c>
      <c r="AG35" s="161"/>
      <c r="AH35" s="177">
        <f t="shared" si="102"/>
        <v>0</v>
      </c>
      <c r="AI35" s="166">
        <f t="shared" si="103"/>
        <v>0</v>
      </c>
      <c r="AJ35" s="179"/>
      <c r="AK35" s="177">
        <f t="shared" si="104"/>
        <v>0</v>
      </c>
      <c r="AL35" s="166">
        <f t="shared" si="105"/>
        <v>0</v>
      </c>
      <c r="AM35" s="179"/>
      <c r="AN35" s="177"/>
      <c r="AO35" s="166"/>
      <c r="AP35" s="179"/>
      <c r="AQ35" s="176">
        <f t="shared" si="106"/>
        <v>0</v>
      </c>
      <c r="AR35" s="165">
        <f t="shared" si="107"/>
        <v>0</v>
      </c>
      <c r="AS35" s="179"/>
      <c r="AT35" s="176">
        <f t="shared" si="108"/>
        <v>0</v>
      </c>
      <c r="AU35" s="165">
        <f t="shared" si="109"/>
        <v>0</v>
      </c>
      <c r="AV35" s="179"/>
      <c r="AW35" s="200">
        <f t="shared" si="16"/>
        <v>29</v>
      </c>
      <c r="AX35" s="170">
        <f t="shared" si="17"/>
        <v>340</v>
      </c>
      <c r="AY35" s="164"/>
      <c r="AZ35" s="215">
        <f t="shared" si="18"/>
        <v>0.35</v>
      </c>
      <c r="BA35" s="197"/>
      <c r="BB35" s="228">
        <f t="shared" si="19"/>
        <v>0.16667000000000001</v>
      </c>
      <c r="BC35" s="161"/>
      <c r="BD35" s="240">
        <f t="shared" si="20"/>
        <v>0.22</v>
      </c>
      <c r="BE35" s="196"/>
      <c r="BF35" s="240">
        <f t="shared" si="21"/>
        <v>0.35</v>
      </c>
      <c r="BG35" s="196"/>
      <c r="BH35" s="189"/>
      <c r="BI35" s="227">
        <f t="shared" si="22"/>
        <v>0</v>
      </c>
      <c r="BJ35" s="197"/>
      <c r="BK35" s="167">
        <f t="shared" si="23"/>
        <v>0</v>
      </c>
      <c r="BL35" s="161"/>
      <c r="BM35" s="240">
        <f t="shared" si="24"/>
        <v>0</v>
      </c>
      <c r="BN35" s="196"/>
      <c r="BO35" s="240">
        <f t="shared" si="25"/>
        <v>0</v>
      </c>
      <c r="BP35" s="196"/>
      <c r="BQ35" s="161"/>
      <c r="BR35" s="381"/>
      <c r="BS35" s="392">
        <f t="shared" si="122"/>
        <v>420</v>
      </c>
      <c r="BT35" s="376"/>
      <c r="BU35" s="393">
        <f t="shared" si="157"/>
        <v>0.13999999999999999</v>
      </c>
      <c r="BV35" s="310"/>
      <c r="BW35" s="311">
        <f t="shared" si="110"/>
        <v>340.22</v>
      </c>
      <c r="BX35" s="372"/>
      <c r="BY35" s="440"/>
      <c r="BZ35" s="432">
        <v>9.1999999999999998E-2</v>
      </c>
      <c r="CA35" s="372"/>
      <c r="CB35" s="572">
        <f t="shared" si="152"/>
        <v>0.22</v>
      </c>
      <c r="CC35" s="567">
        <f t="shared" si="29"/>
        <v>50</v>
      </c>
      <c r="CD35" s="814">
        <f t="shared" si="30"/>
        <v>340</v>
      </c>
      <c r="CE35" s="569">
        <f t="shared" si="31"/>
        <v>43</v>
      </c>
      <c r="CF35" s="574">
        <f t="shared" si="158"/>
        <v>0.35</v>
      </c>
      <c r="CG35" s="372"/>
      <c r="CH35" s="435">
        <v>0.08</v>
      </c>
      <c r="CI35" s="436"/>
      <c r="CJ35" s="372"/>
      <c r="CK35" s="391">
        <f t="shared" si="111"/>
        <v>340.35</v>
      </c>
      <c r="CL35" s="396">
        <f>+IF(OR(CF36="", CB35="", CF36=0, CB35=0), "", IF($BU$1=FALSE, CB35-CF36,- CB35+CF36))</f>
        <v>-0.03</v>
      </c>
      <c r="CM35" s="370"/>
      <c r="CN35" s="161"/>
      <c r="CO35" s="161"/>
      <c r="CP35" s="161"/>
      <c r="CQ35" s="161"/>
      <c r="CR35" s="161"/>
      <c r="CS35" s="161"/>
      <c r="CT35" s="161"/>
      <c r="CU35" s="161"/>
      <c r="CV35" s="161"/>
      <c r="CW35" s="161"/>
      <c r="CX35" s="161"/>
      <c r="CY35" s="161"/>
      <c r="CZ35" s="161"/>
      <c r="DA35" s="161"/>
      <c r="DB35" s="161"/>
      <c r="DC35" s="161"/>
      <c r="DD35" s="161"/>
      <c r="DE35" s="161"/>
      <c r="DF35" s="161"/>
      <c r="DG35" s="161"/>
      <c r="DH35" s="161"/>
      <c r="DI35" s="161"/>
      <c r="DJ35" s="161"/>
      <c r="DK35" s="242">
        <f t="shared" si="123"/>
        <v>0</v>
      </c>
      <c r="DL35" s="217"/>
      <c r="DM35" s="490">
        <f t="shared" si="34"/>
        <v>0</v>
      </c>
      <c r="DN35" s="242">
        <f t="shared" si="35"/>
        <v>0</v>
      </c>
      <c r="DO35" s="243">
        <f t="shared" si="36"/>
        <v>0</v>
      </c>
      <c r="DP35" s="217"/>
      <c r="DQ35" s="252">
        <f t="shared" si="120"/>
        <v>0</v>
      </c>
      <c r="DR35" s="217"/>
      <c r="DS35" s="242">
        <f t="shared" si="38"/>
        <v>0</v>
      </c>
      <c r="DT35" s="242">
        <f t="shared" si="39"/>
        <v>0</v>
      </c>
      <c r="DU35" s="244">
        <f t="shared" si="40"/>
        <v>0</v>
      </c>
      <c r="DV35" s="217"/>
      <c r="DW35" s="428">
        <f>+IF(OR(AE35 = "", AND(AH35 = "", AK35 = "")), "",IFERROR(+AH35 * CallDelta($AG$1,AE35,($BM$1/365), $V$15, $AZ$1, $V$17), 0) + IFERROR(AK35 * Putdelta($AG$1,AE35,($BM$1/365), $V$15, $AZ$1, $V$17), 0))</f>
        <v>0</v>
      </c>
      <c r="DX35" s="245">
        <f>+IF(OR(AE35 = "", AND(AH35 = "", AK35 = "")), "",IFERROR(+AH35 * OptionGamma($AG$1,AE35,($BM$1/365), $V$15, $AZ$1, $V$17), 0) + IFERROR(AK35 * OptionGamma($AG$1,AE35,($BM$1/365), $V$15, $AZ$1, $V$17), 0))</f>
        <v>0</v>
      </c>
      <c r="DY35" s="161"/>
      <c r="DZ35" s="267">
        <f t="shared" si="127"/>
        <v>0</v>
      </c>
      <c r="EA35" s="217"/>
      <c r="EB35" s="267">
        <f t="shared" si="42"/>
        <v>0</v>
      </c>
      <c r="EC35" s="267">
        <f t="shared" si="43"/>
        <v>0</v>
      </c>
      <c r="ED35" s="247">
        <f t="shared" si="44"/>
        <v>0</v>
      </c>
      <c r="EE35" s="217"/>
      <c r="EF35" s="267">
        <f t="shared" si="129"/>
        <v>0</v>
      </c>
      <c r="EG35" s="217"/>
      <c r="EH35" s="267">
        <f t="shared" si="46"/>
        <v>0</v>
      </c>
      <c r="EI35" s="246">
        <f t="shared" si="47"/>
        <v>0</v>
      </c>
      <c r="EJ35" s="248">
        <f t="shared" si="48"/>
        <v>0</v>
      </c>
      <c r="EK35" s="217"/>
      <c r="EL35" s="251">
        <f>+IF(OR(AE35 = "", AND(AQ35 = "", AT35 = "")), "",IFERROR(+AQ35 * CallDelta($AG$1,AE35,($BM$1/365), $V$15, $AZ$1, $V$17), 0) + IFERROR(AT35 * Putdelta($AG$1,AE35,($BM$1/365), $V$15, $AZ$1, $V$17), 0))</f>
        <v>0</v>
      </c>
      <c r="EM35" s="249">
        <f>+IF(OR(AE35 = "", AND(AQ35 = "", AT35 = "")), "",IFERROR(+AQ35 * OptionGamma($AG$1,AE35,($BM$1/365), $V$15, $AZ$1, $V$17), 0) + IFERROR(AT35 * OptionGamma($AG$1,AE35,($BM$1/365), $V$15, $AZ$1, $V$17), 0))</f>
        <v>0</v>
      </c>
      <c r="EN35" s="451">
        <f t="shared" si="49"/>
        <v>51.784515380859375</v>
      </c>
      <c r="EO35" s="418">
        <f>+IF(AE35 = "", "",ImpliedCallVolatility($AG$1, $AE35,($BM$1/365), $V$15, $AZ35, $V$17) * 100)</f>
        <v>55.278778076171875</v>
      </c>
      <c r="EP35" s="418">
        <f>+IF(AE35 = "", "",ImpliedCallVolatility($AG$1, $AE35,($BM$1/365), $V$15, BD35, $V$17) * 100)</f>
        <v>51.784515380859375</v>
      </c>
      <c r="EQ35" s="418">
        <f>+IF(AE35 = "", "",ImpliedCallVolatility($AG$1, $AE35,($BM$1/365), $V$15, BF35, $V$17) * 100)</f>
        <v>55.278778076171875</v>
      </c>
      <c r="ER35" s="411">
        <f t="shared" si="50"/>
        <v>0.35</v>
      </c>
      <c r="ES35" s="411">
        <f t="shared" si="51"/>
        <v>0.22</v>
      </c>
      <c r="ET35" s="411">
        <f t="shared" si="52"/>
        <v>0.35</v>
      </c>
      <c r="EU35" s="416">
        <f>IF($FC$1 = 1,
IF(AE35 = "", "",OptionGamma($AG$1,AE35,($BM$1/365), $V$15, $AZ$1, $V$17) * 1000),
IF($FC$1 = 2, IF(OR(AE35 = "", BD35 =  0), "",IF(AE35 &lt; $AG$1, (((AE35 * (1 - COMIS_ACCION)) / (($AG$1 * (1 + COMIS_ACCION)) - (BD35 * (1 - COMIS_OPCION)))) - 1) * 100 / $BM$1 * 365,((($AG$1 * (1 - COMIS_ACCION)) / (($AG$1 * (1 + COMIS_ACCION)) - (BD35 * (1 - COMIS_OPCION)))) - 1) * 100 / $BM$1 * 365))))</f>
        <v>0.20060115549120325</v>
      </c>
      <c r="EV35" s="276">
        <f>+IF(AE35 = "", "",CallOption($AG$1, $AE35,($BM$1/365), $V$15, $AZ$1, $V$17))</f>
        <v>1.6606931761353472E-2</v>
      </c>
      <c r="EW35" s="271">
        <f t="shared" si="53"/>
        <v>-0.35232924999999998</v>
      </c>
      <c r="EX35" s="272">
        <f t="shared" si="54"/>
        <v>-132.21221419999995</v>
      </c>
      <c r="EY35" s="274">
        <f t="shared" si="55"/>
        <v>128.48778580000007</v>
      </c>
      <c r="EZ35" s="272">
        <f t="shared" si="56"/>
        <v>-340.57596000000007</v>
      </c>
      <c r="FA35" s="272">
        <f t="shared" si="57"/>
        <v>339.42404000000005</v>
      </c>
      <c r="FB35" s="530">
        <f>+IF($FC$1 = 1, IF(AE35 = "", "",IFERROR( VLOOKUP(N35, PreciosCalls, 13, FALSE), 0)),
IF($FC$1 = 2,  IF(AE35 = "", "",OptionGamma($AG$1,AE35,($BM$1/365), $V$15, $AZ$1, $V$17) * 1000)))</f>
        <v>12</v>
      </c>
      <c r="FC35" s="530">
        <f>IF($FC$1 = 1, IF(AE35 = "", "",IFERROR( VLOOKUP(N35, PreciosCalls, 14, FALSE), 0)),
IF($FC$1 = 2, IF(AE35 = "", "",CallDelta($AG$1,AE35,($BM$1/365), $V$15, $AZ$1, $V$17) * 100)))</f>
        <v>0</v>
      </c>
      <c r="FD35" s="531">
        <f t="shared" si="58"/>
        <v>0.35</v>
      </c>
      <c r="FE35" s="530">
        <f t="shared" si="59"/>
        <v>420</v>
      </c>
      <c r="FF35" s="217"/>
      <c r="FG35" s="273">
        <f t="shared" si="60"/>
        <v>1.6666666666666665</v>
      </c>
      <c r="FH35" s="273">
        <f t="shared" si="61"/>
        <v>1.9886363636363635</v>
      </c>
      <c r="FI35" s="451">
        <f t="shared" si="62"/>
        <v>3.814697265625E-3</v>
      </c>
      <c r="FJ35" s="419">
        <f>+IF(AE35 = "", "",ImpliedPutVolatility($AG$1, $AE35,($BM$1/365), $V$15, BI35, $V$17) * 100)</f>
        <v>3.814697265625E-3</v>
      </c>
      <c r="FK35" s="419">
        <f>+IF(AE35 = "", "",ImpliedPutVolatility($AG$1, $AE35,($BM$1/365), $V$15, BM35, $V$17) * 100)</f>
        <v>3.814697265625E-3</v>
      </c>
      <c r="FL35" s="419">
        <f>+IF(AE35 = "", "",ImpliedPutVolatility($AG$1, $AE35,($BM$1/365), $V$15, BO35, $V$17) * 100)</f>
        <v>3.814697265625E-3</v>
      </c>
      <c r="FM35" s="415" t="str">
        <f t="shared" si="63"/>
        <v/>
      </c>
      <c r="FN35" s="415" t="str">
        <f t="shared" si="64"/>
        <v/>
      </c>
      <c r="FO35" s="415" t="str">
        <f t="shared" si="65"/>
        <v/>
      </c>
      <c r="FP35" s="417">
        <f>IF($FX$1=1, IF(AE35 = "", "",OptionGamma($AG$1,AE35,($BM$1/365), $V$15, $AZ$1, $V$17) * 1000),
IF($FX$1 = 2, IF(OR(AE35 = "", BM35 =  0), "",((BM35 * (1 - COMIS_OPCION)) / (AE35 * (1 + COMIS_ACCION))) * 100 / $BM$1 * 365)))</f>
        <v>0.20060115549120325</v>
      </c>
      <c r="FQ35" s="289">
        <f>+IF(AE35 = "", "",PutOption($AG$1, $AE35,($BM$1/365), $V$15, $AZ$1, $V$17))</f>
        <v>113.68715750789281</v>
      </c>
      <c r="FR35" s="279"/>
      <c r="FS35" s="284">
        <f t="shared" si="66"/>
        <v>128.48778580000007</v>
      </c>
      <c r="FT35" s="284">
        <f t="shared" si="67"/>
        <v>-132.21221419999995</v>
      </c>
      <c r="FU35" s="279"/>
      <c r="FV35" s="279"/>
      <c r="FW35" s="287">
        <f>+IF($FX$1 = 1, IFERROR(VLOOKUP(P35, PreciosPuts, 13, FALSE), 0),
IF($FX$1 = 2, IF(AE35 = "", "",OptionGamma($AG$1,AE35,($BM$1/365), $V$15, $AZ$1, $V$17) * 1000)))</f>
        <v>0</v>
      </c>
      <c r="FX35" s="287">
        <f>+IF($FX$1=1, IF(AE35 = "", "",IFERROR(VLOOKUP(P35, PreciosPuts, 14, FALSE), 0)),
IF($FX$1=2, IF(AE35 = "", "",Putdelta($AG$1,AE35,($BM$1/365), $V$15, $AZ$1, $V$17) * 100)))</f>
        <v>0</v>
      </c>
      <c r="FY35" s="286">
        <f t="shared" si="69"/>
        <v>0</v>
      </c>
      <c r="FZ35" s="287">
        <f t="shared" si="70"/>
        <v>0</v>
      </c>
      <c r="GA35" s="217"/>
      <c r="GB35" s="281"/>
      <c r="GC35" s="281"/>
      <c r="GD35" s="217"/>
      <c r="GE35" s="301" t="str">
        <f t="shared" si="71"/>
        <v/>
      </c>
      <c r="GF35" s="292" t="str">
        <f t="shared" si="72"/>
        <v/>
      </c>
      <c r="GG35" s="293" t="str">
        <f t="shared" si="73"/>
        <v/>
      </c>
      <c r="GH35" s="294" t="str">
        <f t="shared" si="124"/>
        <v/>
      </c>
      <c r="GI35" s="294">
        <v>29</v>
      </c>
      <c r="GJ35" s="217"/>
      <c r="GK35" s="305" t="str">
        <f t="shared" si="74"/>
        <v/>
      </c>
      <c r="GL35" s="299" t="str">
        <f t="shared" si="75"/>
        <v/>
      </c>
      <c r="GM35" s="300" t="str">
        <f t="shared" si="76"/>
        <v/>
      </c>
      <c r="GN35" s="225" t="str">
        <f t="shared" si="121"/>
        <v/>
      </c>
      <c r="GO35" s="225">
        <v>29</v>
      </c>
      <c r="GP35" s="217"/>
      <c r="GQ35" s="217"/>
      <c r="GR35" s="401" t="str">
        <f t="shared" si="132"/>
        <v/>
      </c>
      <c r="GT35" s="282">
        <f t="shared" si="78"/>
        <v>-0.10057373500000003</v>
      </c>
      <c r="GU35" s="282" t="str">
        <f t="shared" si="79"/>
        <v/>
      </c>
      <c r="GV35" s="282" t="str">
        <f t="shared" si="80"/>
        <v/>
      </c>
      <c r="GW35" s="282" t="str">
        <f t="shared" si="81"/>
        <v/>
      </c>
      <c r="GX35" s="282" t="str">
        <f t="shared" si="82"/>
        <v/>
      </c>
      <c r="GY35" s="282" t="str">
        <f t="shared" si="83"/>
        <v/>
      </c>
      <c r="GZ35" s="282" t="str">
        <f t="shared" si="115"/>
        <v/>
      </c>
      <c r="HA35" s="282">
        <f t="shared" si="84"/>
        <v>-0.10426480333333338</v>
      </c>
      <c r="HB35" s="282" t="str">
        <f t="shared" si="116"/>
        <v/>
      </c>
      <c r="HC35" s="607" t="str">
        <f t="shared" si="85"/>
        <v/>
      </c>
      <c r="HD35" s="282" t="str">
        <f t="shared" si="86"/>
        <v/>
      </c>
      <c r="HE35" s="282" t="str">
        <f t="shared" si="87"/>
        <v/>
      </c>
      <c r="HF35" s="282" t="str">
        <f t="shared" si="88"/>
        <v/>
      </c>
      <c r="HG35" s="217"/>
      <c r="HH35" s="282" t="str">
        <f t="shared" si="89"/>
        <v/>
      </c>
      <c r="HI35" s="282" t="str">
        <f t="shared" si="90"/>
        <v/>
      </c>
      <c r="HJ35" s="282"/>
      <c r="HK35" s="282"/>
      <c r="HL35" s="217"/>
      <c r="HM35" s="420"/>
      <c r="HN35" s="420"/>
      <c r="HO35" s="420"/>
      <c r="HP35" s="420"/>
      <c r="HQ35" s="282" t="str">
        <f t="shared" si="91"/>
        <v/>
      </c>
      <c r="HR35" s="420"/>
      <c r="HS35" s="420"/>
      <c r="HT35" s="420"/>
      <c r="HU35" s="420"/>
      <c r="HV35" s="420"/>
      <c r="HW35" s="420"/>
      <c r="HX35" s="425"/>
      <c r="HY35" s="338"/>
      <c r="HZ35" s="338"/>
      <c r="IA35" s="161"/>
      <c r="IB35" s="161"/>
      <c r="IC35" s="162"/>
      <c r="ID35" s="162"/>
      <c r="IE35" s="49"/>
      <c r="IF35" s="55"/>
      <c r="IG35" s="58"/>
      <c r="IH35" s="545">
        <f t="shared" si="117"/>
        <v>62.175053660863334</v>
      </c>
      <c r="IJ35" s="146">
        <v>29</v>
      </c>
      <c r="IK35" s="545">
        <f t="shared" si="142"/>
        <v>340</v>
      </c>
      <c r="IL35" s="106">
        <f t="shared" si="93"/>
        <v>0.62175053660863333</v>
      </c>
      <c r="IM35" s="110">
        <f t="shared" si="128"/>
        <v>340</v>
      </c>
      <c r="IN35" s="111">
        <f t="shared" si="118"/>
        <v>-146515.23875000005</v>
      </c>
      <c r="IO35" s="50">
        <f t="shared" si="147"/>
        <v>0</v>
      </c>
      <c r="IP35" s="50">
        <f t="shared" si="147"/>
        <v>0</v>
      </c>
      <c r="IQ35" s="50">
        <f t="shared" si="147"/>
        <v>0</v>
      </c>
      <c r="IR35" s="50">
        <f t="shared" si="147"/>
        <v>0</v>
      </c>
      <c r="IS35" s="50">
        <f t="shared" si="147"/>
        <v>0</v>
      </c>
      <c r="IT35" s="50">
        <f t="shared" si="147"/>
        <v>0</v>
      </c>
      <c r="IU35" s="50">
        <f t="shared" si="147"/>
        <v>0</v>
      </c>
      <c r="IV35" s="50">
        <f t="shared" si="147"/>
        <v>0</v>
      </c>
      <c r="IW35" s="50">
        <f t="shared" si="147"/>
        <v>0</v>
      </c>
      <c r="IX35" s="50">
        <f t="shared" si="147"/>
        <v>0</v>
      </c>
      <c r="IY35" s="50">
        <f t="shared" si="148"/>
        <v>0</v>
      </c>
      <c r="IZ35" s="50">
        <f t="shared" si="148"/>
        <v>0</v>
      </c>
      <c r="JA35" s="50">
        <f t="shared" si="148"/>
        <v>775000</v>
      </c>
      <c r="JB35" s="50">
        <f t="shared" si="148"/>
        <v>0</v>
      </c>
      <c r="JC35" s="50">
        <f t="shared" si="148"/>
        <v>0</v>
      </c>
      <c r="JD35" s="50">
        <f t="shared" si="148"/>
        <v>0</v>
      </c>
      <c r="JE35" s="50">
        <f t="shared" si="148"/>
        <v>-650000</v>
      </c>
      <c r="JF35" s="50">
        <f t="shared" si="148"/>
        <v>0</v>
      </c>
      <c r="JG35" s="50">
        <f t="shared" si="148"/>
        <v>0</v>
      </c>
      <c r="JH35" s="50">
        <f t="shared" si="148"/>
        <v>0</v>
      </c>
      <c r="JI35" s="50">
        <f t="shared" si="149"/>
        <v>-225000</v>
      </c>
      <c r="JJ35" s="50">
        <f t="shared" si="149"/>
        <v>0</v>
      </c>
      <c r="JK35" s="50">
        <f t="shared" si="149"/>
        <v>0</v>
      </c>
      <c r="JL35" s="50">
        <f t="shared" si="149"/>
        <v>0</v>
      </c>
      <c r="JM35" s="50">
        <f t="shared" si="149"/>
        <v>0</v>
      </c>
      <c r="JN35" s="50">
        <f t="shared" si="149"/>
        <v>0</v>
      </c>
      <c r="JO35" s="50">
        <f t="shared" si="149"/>
        <v>0</v>
      </c>
      <c r="JP35" s="50">
        <f t="shared" si="149"/>
        <v>0</v>
      </c>
      <c r="JQ35" s="50">
        <f t="shared" si="149"/>
        <v>0</v>
      </c>
      <c r="JR35" s="50">
        <f t="shared" si="149"/>
        <v>0</v>
      </c>
      <c r="JS35" s="50">
        <f t="shared" si="150"/>
        <v>0</v>
      </c>
      <c r="JT35" s="50">
        <f t="shared" si="150"/>
        <v>0</v>
      </c>
      <c r="JU35" s="50" t="str">
        <f t="shared" si="150"/>
        <v/>
      </c>
      <c r="JV35" s="50" t="str">
        <f t="shared" si="150"/>
        <v/>
      </c>
      <c r="JW35" s="50" t="str">
        <f t="shared" si="150"/>
        <v/>
      </c>
      <c r="JX35" s="50" t="str">
        <f t="shared" si="150"/>
        <v/>
      </c>
      <c r="JY35" s="50" t="str">
        <f t="shared" si="150"/>
        <v/>
      </c>
      <c r="JZ35" s="50" t="str">
        <f t="shared" si="150"/>
        <v/>
      </c>
      <c r="KA35" s="50" t="str">
        <f t="shared" si="150"/>
        <v/>
      </c>
      <c r="KB35" s="50" t="str">
        <f t="shared" si="150"/>
        <v/>
      </c>
      <c r="KC35" s="50" t="str">
        <f t="shared" si="150"/>
        <v/>
      </c>
      <c r="KD35" s="50" t="str">
        <f t="shared" si="150"/>
        <v/>
      </c>
    </row>
    <row r="36" spans="2:290" s="144" customFormat="1" ht="15" customHeight="1" thickBot="1">
      <c r="B36" s="146">
        <v>30</v>
      </c>
      <c r="C36" s="121" t="str">
        <f t="shared" si="99"/>
        <v>GFGC350.AB</v>
      </c>
      <c r="D36" s="121" t="str">
        <f t="shared" si="100"/>
        <v>GFGV350.AB</v>
      </c>
      <c r="E36" s="122">
        <f t="shared" si="1"/>
        <v>350</v>
      </c>
      <c r="F36" s="123" t="str">
        <f t="shared" si="2"/>
        <v/>
      </c>
      <c r="G36" s="123" t="str">
        <f t="shared" si="3"/>
        <v/>
      </c>
      <c r="H36" s="124">
        <f t="shared" si="4"/>
        <v>0.21</v>
      </c>
      <c r="I36" s="124" t="str">
        <f t="shared" si="5"/>
        <v/>
      </c>
      <c r="J36" s="124" t="str">
        <f t="shared" si="6"/>
        <v/>
      </c>
      <c r="K36" s="124" t="str">
        <f t="shared" si="7"/>
        <v/>
      </c>
      <c r="M36" s="158">
        <f t="shared" si="8"/>
        <v>12</v>
      </c>
      <c r="N36" s="121" t="str">
        <f t="shared" si="9"/>
        <v>GFGC350.AB</v>
      </c>
      <c r="O36" s="158">
        <f t="shared" si="10"/>
        <v>12</v>
      </c>
      <c r="P36" s="121" t="str">
        <f t="shared" si="11"/>
        <v>GFGV350.AB</v>
      </c>
      <c r="R36" s="159"/>
      <c r="S36" s="160" t="str">
        <f t="shared" si="12"/>
        <v/>
      </c>
      <c r="U36" s="54"/>
      <c r="V36" s="54"/>
      <c r="X36" s="200">
        <v>30</v>
      </c>
      <c r="Y36" s="546">
        <f t="shared" si="13"/>
        <v>66.944908180300501</v>
      </c>
      <c r="Z36" s="540">
        <f t="shared" si="153"/>
        <v>-171515.23875000005</v>
      </c>
      <c r="AA36" s="179"/>
      <c r="AB36" s="540">
        <f t="shared" si="154"/>
        <v>0</v>
      </c>
      <c r="AC36" s="161"/>
      <c r="AD36" s="200">
        <v>30</v>
      </c>
      <c r="AE36" s="825">
        <f t="shared" si="146"/>
        <v>350</v>
      </c>
      <c r="AF36" s="201">
        <v>350</v>
      </c>
      <c r="AG36" s="161"/>
      <c r="AH36" s="177">
        <f t="shared" si="102"/>
        <v>0</v>
      </c>
      <c r="AI36" s="166">
        <f t="shared" si="103"/>
        <v>0</v>
      </c>
      <c r="AJ36" s="179"/>
      <c r="AK36" s="177">
        <f t="shared" si="104"/>
        <v>0</v>
      </c>
      <c r="AL36" s="166">
        <f t="shared" si="105"/>
        <v>0</v>
      </c>
      <c r="AM36" s="179"/>
      <c r="AN36" s="177"/>
      <c r="AO36" s="166"/>
      <c r="AP36" s="179"/>
      <c r="AQ36" s="176">
        <f t="shared" si="106"/>
        <v>0</v>
      </c>
      <c r="AR36" s="165">
        <f t="shared" si="107"/>
        <v>0</v>
      </c>
      <c r="AS36" s="179"/>
      <c r="AT36" s="176">
        <f t="shared" si="108"/>
        <v>0</v>
      </c>
      <c r="AU36" s="165">
        <f t="shared" si="109"/>
        <v>0</v>
      </c>
      <c r="AV36" s="179"/>
      <c r="AW36" s="200">
        <f t="shared" si="16"/>
        <v>30</v>
      </c>
      <c r="AX36" s="170">
        <f t="shared" si="17"/>
        <v>350</v>
      </c>
      <c r="AY36" s="164"/>
      <c r="AZ36" s="215">
        <f t="shared" si="18"/>
        <v>0.21</v>
      </c>
      <c r="BA36" s="197"/>
      <c r="BB36" s="228">
        <f t="shared" si="19"/>
        <v>0</v>
      </c>
      <c r="BC36" s="161"/>
      <c r="BD36" s="240">
        <f t="shared" si="20"/>
        <v>0.21</v>
      </c>
      <c r="BE36" s="196"/>
      <c r="BF36" s="240">
        <f t="shared" si="21"/>
        <v>0.25</v>
      </c>
      <c r="BG36" s="196"/>
      <c r="BH36" s="189"/>
      <c r="BI36" s="227">
        <f t="shared" si="22"/>
        <v>0</v>
      </c>
      <c r="BJ36" s="197"/>
      <c r="BK36" s="167">
        <f t="shared" si="23"/>
        <v>0</v>
      </c>
      <c r="BL36" s="161"/>
      <c r="BM36" s="240">
        <f t="shared" si="24"/>
        <v>0</v>
      </c>
      <c r="BN36" s="196"/>
      <c r="BO36" s="240">
        <f t="shared" si="25"/>
        <v>0</v>
      </c>
      <c r="BP36" s="196"/>
      <c r="BQ36" s="161"/>
      <c r="BR36" s="381"/>
      <c r="BS36" s="392">
        <f t="shared" si="122"/>
        <v>10423.9</v>
      </c>
      <c r="BT36" s="376"/>
      <c r="BU36" s="393">
        <f t="shared" si="157"/>
        <v>7.400000000000001E-2</v>
      </c>
      <c r="BV36" s="310"/>
      <c r="BW36" s="311">
        <f t="shared" si="110"/>
        <v>350.21</v>
      </c>
      <c r="BX36" s="372"/>
      <c r="BY36" s="440"/>
      <c r="BZ36" s="432">
        <v>7.1999999999999995E-2</v>
      </c>
      <c r="CA36" s="372"/>
      <c r="CB36" s="572">
        <f t="shared" si="152"/>
        <v>0.21</v>
      </c>
      <c r="CC36" s="567">
        <f t="shared" si="29"/>
        <v>16</v>
      </c>
      <c r="CD36" s="814">
        <f t="shared" si="30"/>
        <v>350</v>
      </c>
      <c r="CE36" s="569">
        <f t="shared" si="31"/>
        <v>13</v>
      </c>
      <c r="CF36" s="574">
        <f t="shared" si="158"/>
        <v>0.25</v>
      </c>
      <c r="CG36" s="372"/>
      <c r="CH36" s="435">
        <v>0.318</v>
      </c>
      <c r="CI36" s="436"/>
      <c r="CJ36" s="372"/>
      <c r="CK36" s="391">
        <f t="shared" si="111"/>
        <v>350.25</v>
      </c>
      <c r="CL36" s="396">
        <f t="shared" si="159"/>
        <v>1.5999999999999986E-2</v>
      </c>
      <c r="CM36" s="370"/>
      <c r="CN36" s="161"/>
      <c r="CO36" s="161"/>
      <c r="CP36" s="161"/>
      <c r="CQ36" s="161"/>
      <c r="CR36" s="161"/>
      <c r="CS36" s="161"/>
      <c r="CT36" s="161"/>
      <c r="CU36" s="161"/>
      <c r="CV36" s="161"/>
      <c r="CW36" s="161"/>
      <c r="CX36" s="161"/>
      <c r="CY36" s="161"/>
      <c r="CZ36" s="161"/>
      <c r="DA36" s="161"/>
      <c r="DB36" s="161"/>
      <c r="DC36" s="161"/>
      <c r="DD36" s="161"/>
      <c r="DE36" s="161"/>
      <c r="DF36" s="161"/>
      <c r="DG36" s="161"/>
      <c r="DH36" s="161"/>
      <c r="DI36" s="161"/>
      <c r="DJ36" s="161"/>
      <c r="DK36" s="242">
        <f t="shared" si="123"/>
        <v>0</v>
      </c>
      <c r="DL36" s="217"/>
      <c r="DM36" s="490">
        <f t="shared" si="34"/>
        <v>0</v>
      </c>
      <c r="DN36" s="242">
        <f t="shared" si="35"/>
        <v>0</v>
      </c>
      <c r="DO36" s="243">
        <f t="shared" si="36"/>
        <v>0</v>
      </c>
      <c r="DP36" s="217"/>
      <c r="DQ36" s="252">
        <f t="shared" si="120"/>
        <v>0</v>
      </c>
      <c r="DR36" s="217"/>
      <c r="DS36" s="242">
        <f t="shared" si="38"/>
        <v>0</v>
      </c>
      <c r="DT36" s="242">
        <f t="shared" si="39"/>
        <v>0</v>
      </c>
      <c r="DU36" s="244">
        <f t="shared" si="40"/>
        <v>0</v>
      </c>
      <c r="DV36" s="217"/>
      <c r="DW36" s="428">
        <f>+IF(OR(AE36 = "", AND(AH36 = "", AK36 = "")), "",IFERROR(+AH36 * CallDelta($AG$1,AE36,($BM$1/365), $V$15, $AZ$1, $V$17), 0) + IFERROR(AK36 * Putdelta($AG$1,AE36,($BM$1/365), $V$15, $AZ$1, $V$17), 0))</f>
        <v>0</v>
      </c>
      <c r="DX36" s="245">
        <f>+IF(OR(AE36 = "", AND(AH36 = "", AK36 = "")), "",IFERROR(+AH36 * OptionGamma($AG$1,AE36,($BM$1/365), $V$15, $AZ$1, $V$17), 0) + IFERROR(AK36 * OptionGamma($AG$1,AE36,($BM$1/365), $V$15, $AZ$1, $V$17), 0))</f>
        <v>0</v>
      </c>
      <c r="DY36" s="161"/>
      <c r="DZ36" s="267">
        <f t="shared" si="127"/>
        <v>0</v>
      </c>
      <c r="EA36" s="217"/>
      <c r="EB36" s="267">
        <f t="shared" si="42"/>
        <v>0</v>
      </c>
      <c r="EC36" s="267">
        <f t="shared" si="43"/>
        <v>0</v>
      </c>
      <c r="ED36" s="247">
        <f t="shared" si="44"/>
        <v>0</v>
      </c>
      <c r="EE36" s="217"/>
      <c r="EF36" s="267">
        <f t="shared" si="129"/>
        <v>0</v>
      </c>
      <c r="EG36" s="217"/>
      <c r="EH36" s="267">
        <f t="shared" si="46"/>
        <v>0</v>
      </c>
      <c r="EI36" s="246">
        <f t="shared" si="47"/>
        <v>0</v>
      </c>
      <c r="EJ36" s="248">
        <f t="shared" si="48"/>
        <v>0</v>
      </c>
      <c r="EK36" s="217"/>
      <c r="EL36" s="251">
        <f>+IF(OR(AE36 = "", AND(AQ36 = "", AT36 = "")), "",IFERROR(+AQ36 * CallDelta($AG$1,AE36,($BM$1/365), $V$15, $AZ$1, $V$17), 0) + IFERROR(AT36 * Putdelta($AG$1,AE36,($BM$1/365), $V$15, $AZ$1, $V$17), 0))</f>
        <v>0</v>
      </c>
      <c r="EM36" s="249">
        <f>+IF(OR(AE36 = "", AND(AQ36 = "", AT36 = "")), "",IFERROR(+AQ36 * OptionGamma($AG$1,AE36,($BM$1/365), $V$15, $AZ$1, $V$17), 0) + IFERROR(AT36 * OptionGamma($AG$1,AE36,($BM$1/365), $V$15, $AZ$1, $V$17), 0))</f>
        <v>0</v>
      </c>
      <c r="EN36" s="451">
        <f t="shared" si="49"/>
        <v>54.332733154296875</v>
      </c>
      <c r="EO36" s="418">
        <f>+IF(AE36 = "", "",ImpliedCallVolatility($AG$1, $AE36,($BM$1/365), $V$15, $AZ36, $V$17) * 100)</f>
        <v>54.332733154296875</v>
      </c>
      <c r="EP36" s="418">
        <f>+IF(AE36 = "", "",ImpliedCallVolatility($AG$1, $AE36,($BM$1/365), $V$15, BD36, $V$17) * 100)</f>
        <v>54.332733154296875</v>
      </c>
      <c r="EQ36" s="418">
        <f>+IF(AE36 = "", "",ImpliedCallVolatility($AG$1, $AE36,($BM$1/365), $V$15, BF36, $V$17) * 100)</f>
        <v>55.614471435546875</v>
      </c>
      <c r="ER36" s="411">
        <f t="shared" si="50"/>
        <v>0.21</v>
      </c>
      <c r="ES36" s="411">
        <f t="shared" si="51"/>
        <v>0.21</v>
      </c>
      <c r="ET36" s="411">
        <f t="shared" si="52"/>
        <v>0.25</v>
      </c>
      <c r="EU36" s="416">
        <f>IF($FC$1 = 1,
IF(AE36 = "", "",OptionGamma($AG$1,AE36,($BM$1/365), $V$15, $AZ$1, $V$17) * 1000),
IF($FC$1 = 2, IF(OR(AE36 = "", BD36 =  0), "",IF(AE36 &lt; $AG$1, (((AE36 * (1 - COMIS_ACCION)) / (($AG$1 * (1 + COMIS_ACCION)) - (BD36 * (1 - COMIS_OPCION)))) - 1) * 100 / $BM$1 * 365,((($AG$1 * (1 - COMIS_ACCION)) / (($AG$1 * (1 + COMIS_ACCION)) - (BD36 * (1 - COMIS_OPCION)))) - 1) * 100 / $BM$1 * 365))))</f>
        <v>0.11096248484006095</v>
      </c>
      <c r="EV36" s="276">
        <f>+IF(AE36 = "", "",CallOption($AG$1, $AE36,($BM$1/365), $V$15, $AZ$1, $V$17))</f>
        <v>8.2777758532576184E-3</v>
      </c>
      <c r="EW36" s="271">
        <f t="shared" si="53"/>
        <v>-0.25166375000000002</v>
      </c>
      <c r="EX36" s="272">
        <f t="shared" si="54"/>
        <v>-142.24609420000002</v>
      </c>
      <c r="EY36" s="274">
        <f t="shared" si="55"/>
        <v>138.4539058</v>
      </c>
      <c r="EZ36" s="272">
        <f t="shared" si="56"/>
        <v>-350.59289999999999</v>
      </c>
      <c r="FA36" s="291">
        <f t="shared" si="57"/>
        <v>349.40710000000001</v>
      </c>
      <c r="FB36" s="530">
        <f>+IF($FC$1 = 1, IF(AE36 = "", "",IFERROR( VLOOKUP(N36, PreciosCalls, 13, FALSE), 0)),
IF($FC$1 = 2,  IF(AE36 = "", "",OptionGamma($AG$1,AE36,($BM$1/365), $V$15, $AZ$1, $V$17) * 1000)))</f>
        <v>498</v>
      </c>
      <c r="FC36" s="530">
        <f>IF($FC$1 = 1, IF(AE36 = "", "",IFERROR( VLOOKUP(N36, PreciosCalls, 14, FALSE), 0)),
IF($FC$1 = 2, IF(AE36 = "", "",CallDelta($AG$1,AE36,($BM$1/365), $V$15, $AZ$1, $V$17) * 100)))</f>
        <v>0</v>
      </c>
      <c r="FD36" s="531">
        <f t="shared" si="58"/>
        <v>0.20931526104417672</v>
      </c>
      <c r="FE36" s="530">
        <f t="shared" si="59"/>
        <v>10423.9</v>
      </c>
      <c r="FF36" s="217"/>
      <c r="FG36" s="273">
        <f t="shared" si="60"/>
        <v>1.1931818181818181</v>
      </c>
      <c r="FH36" s="273" t="str">
        <f t="shared" si="61"/>
        <v/>
      </c>
      <c r="FI36" s="451">
        <f t="shared" si="62"/>
        <v>3.814697265625E-3</v>
      </c>
      <c r="FJ36" s="419">
        <f>+IF(AE36 = "", "",ImpliedPutVolatility($AG$1, $AE36,($BM$1/365), $V$15, BI36, $V$17) * 100)</f>
        <v>3.814697265625E-3</v>
      </c>
      <c r="FK36" s="419">
        <f>+IF(AE36 = "", "",ImpliedPutVolatility($AG$1, $AE36,($BM$1/365), $V$15, BM36, $V$17) * 100)</f>
        <v>3.814697265625E-3</v>
      </c>
      <c r="FL36" s="419">
        <f>+IF(AE36 = "", "",ImpliedPutVolatility($AG$1, $AE36,($BM$1/365), $V$15, BO36, $V$17) * 100)</f>
        <v>3.814697265625E-3</v>
      </c>
      <c r="FM36" s="415" t="str">
        <f t="shared" si="63"/>
        <v/>
      </c>
      <c r="FN36" s="415" t="str">
        <f t="shared" si="64"/>
        <v/>
      </c>
      <c r="FO36" s="415" t="str">
        <f t="shared" si="65"/>
        <v/>
      </c>
      <c r="FP36" s="417">
        <f>IF($FX$1=1, IF(AE36 = "", "",OptionGamma($AG$1,AE36,($BM$1/365), $V$15, $AZ$1, $V$17) * 1000),
IF($FX$1 = 2, IF(OR(AE36 = "", BM36 =  0), "",((BM36 * (1 - COMIS_OPCION)) / (AE36 * (1 + COMIS_ACCION))) * 100 / $BM$1 * 365)))</f>
        <v>0.11096248484006095</v>
      </c>
      <c r="FQ36" s="289">
        <f>+IF(AE36 = "", "",PutOption($AG$1, $AE36,($BM$1/365), $V$15, $AZ$1, $V$17))</f>
        <v>123.18825631010625</v>
      </c>
      <c r="FR36" s="279"/>
      <c r="FS36" s="284">
        <f t="shared" si="66"/>
        <v>138.4539058</v>
      </c>
      <c r="FT36" s="284">
        <f t="shared" si="67"/>
        <v>-142.24609420000002</v>
      </c>
      <c r="FU36" s="279"/>
      <c r="FV36" s="279"/>
      <c r="FW36" s="287">
        <f>+IF($FX$1 = 1, IFERROR(VLOOKUP(P36, PreciosPuts, 13, FALSE), 0),
IF($FX$1 = 2, IF(AE36 = "", "",OptionGamma($AG$1,AE36,($BM$1/365), $V$15, $AZ$1, $V$17) * 1000)))</f>
        <v>0</v>
      </c>
      <c r="FX36" s="287">
        <f>+IF($FX$1=1, IF(AE36 = "", "",IFERROR(VLOOKUP(P36, PreciosPuts, 14, FALSE), 0)),
IF($FX$1=2, IF(AE36 = "", "",Putdelta($AG$1,AE36,($BM$1/365), $V$15, $AZ$1, $V$17) * 100)))</f>
        <v>0</v>
      </c>
      <c r="FY36" s="286">
        <f t="shared" si="69"/>
        <v>0</v>
      </c>
      <c r="FZ36" s="287">
        <f t="shared" si="70"/>
        <v>0</v>
      </c>
      <c r="GA36" s="217"/>
      <c r="GB36" s="281"/>
      <c r="GC36" s="281"/>
      <c r="GD36" s="217"/>
      <c r="GE36" s="301" t="str">
        <f t="shared" si="71"/>
        <v/>
      </c>
      <c r="GF36" s="292" t="str">
        <f t="shared" si="72"/>
        <v/>
      </c>
      <c r="GG36" s="293" t="str">
        <f t="shared" si="73"/>
        <v/>
      </c>
      <c r="GH36" s="294" t="str">
        <f t="shared" si="124"/>
        <v/>
      </c>
      <c r="GI36" s="294">
        <v>30</v>
      </c>
      <c r="GJ36" s="217"/>
      <c r="GK36" s="305" t="str">
        <f t="shared" si="74"/>
        <v/>
      </c>
      <c r="GL36" s="299" t="str">
        <f t="shared" si="75"/>
        <v/>
      </c>
      <c r="GM36" s="300" t="str">
        <f t="shared" si="76"/>
        <v/>
      </c>
      <c r="GN36" s="225" t="str">
        <f t="shared" si="121"/>
        <v/>
      </c>
      <c r="GO36" s="225">
        <v>30</v>
      </c>
      <c r="GP36" s="217"/>
      <c r="GQ36" s="217"/>
      <c r="GR36" s="401" t="str">
        <f t="shared" si="132"/>
        <v/>
      </c>
      <c r="GT36" s="282">
        <f t="shared" si="78"/>
        <v>-6.5207710000000002E-2</v>
      </c>
      <c r="GU36" s="282" t="str">
        <f t="shared" si="79"/>
        <v/>
      </c>
      <c r="GV36" s="282" t="str">
        <f t="shared" si="80"/>
        <v/>
      </c>
      <c r="GW36" s="282" t="str">
        <f t="shared" si="81"/>
        <v/>
      </c>
      <c r="GX36" s="282" t="str">
        <f t="shared" si="82"/>
        <v/>
      </c>
      <c r="GY36" s="282" t="str">
        <f t="shared" si="83"/>
        <v/>
      </c>
      <c r="GZ36" s="282" t="str">
        <f t="shared" si="115"/>
        <v/>
      </c>
      <c r="HA36" s="282" t="str">
        <f t="shared" si="84"/>
        <v/>
      </c>
      <c r="HB36" s="282">
        <f t="shared" si="116"/>
        <v>-5.044343666666673E-2</v>
      </c>
      <c r="HC36" s="607" t="str">
        <f t="shared" si="85"/>
        <v/>
      </c>
      <c r="HD36" s="282" t="str">
        <f t="shared" si="86"/>
        <v/>
      </c>
      <c r="HE36" s="282" t="str">
        <f t="shared" si="87"/>
        <v/>
      </c>
      <c r="HF36" s="282" t="str">
        <f t="shared" si="88"/>
        <v/>
      </c>
      <c r="HG36" s="217"/>
      <c r="HH36" s="282" t="str">
        <f t="shared" si="89"/>
        <v/>
      </c>
      <c r="HI36" s="282" t="str">
        <f t="shared" si="90"/>
        <v/>
      </c>
      <c r="HJ36" s="282"/>
      <c r="HK36" s="282"/>
      <c r="HL36" s="217"/>
      <c r="HM36" s="420"/>
      <c r="HN36" s="420"/>
      <c r="HO36" s="420"/>
      <c r="HP36" s="420"/>
      <c r="HQ36" s="282">
        <f t="shared" si="91"/>
        <v>-5.0443436666666702E-2</v>
      </c>
      <c r="HR36" s="420"/>
      <c r="HS36" s="420"/>
      <c r="HT36" s="420"/>
      <c r="HU36" s="420"/>
      <c r="HV36" s="420"/>
      <c r="HW36" s="420"/>
      <c r="HX36" s="425"/>
      <c r="HY36" s="338"/>
      <c r="HZ36" s="338"/>
      <c r="IA36" s="161"/>
      <c r="IB36" s="161"/>
      <c r="IC36" s="162"/>
      <c r="ID36" s="162"/>
      <c r="IE36" s="49"/>
      <c r="IF36" s="55"/>
      <c r="IG36" s="58"/>
      <c r="IH36" s="545">
        <f t="shared" si="117"/>
        <v>66.944908180300501</v>
      </c>
      <c r="IJ36" s="146">
        <v>30</v>
      </c>
      <c r="IK36" s="545">
        <f t="shared" si="142"/>
        <v>350</v>
      </c>
      <c r="IL36" s="106">
        <f t="shared" si="93"/>
        <v>0.669449081803005</v>
      </c>
      <c r="IM36" s="110">
        <f t="shared" ref="IM36:IM47" si="160">+IF(IK36="", "", IK36)</f>
        <v>350</v>
      </c>
      <c r="IN36" s="111">
        <f t="shared" ref="IN36:IN47" si="161">+IF(IL36 = "", "", SUM(IO36:KD36) + $CP$6)</f>
        <v>-171515.23875000005</v>
      </c>
      <c r="IO36" s="50">
        <f t="shared" si="147"/>
        <v>0</v>
      </c>
      <c r="IP36" s="50">
        <f t="shared" si="147"/>
        <v>0</v>
      </c>
      <c r="IQ36" s="50">
        <f t="shared" si="147"/>
        <v>0</v>
      </c>
      <c r="IR36" s="50">
        <f t="shared" si="147"/>
        <v>0</v>
      </c>
      <c r="IS36" s="50">
        <f t="shared" si="147"/>
        <v>0</v>
      </c>
      <c r="IT36" s="50">
        <f t="shared" si="147"/>
        <v>0</v>
      </c>
      <c r="IU36" s="50">
        <f t="shared" si="147"/>
        <v>0</v>
      </c>
      <c r="IV36" s="50">
        <f t="shared" si="147"/>
        <v>0</v>
      </c>
      <c r="IW36" s="50">
        <f t="shared" si="147"/>
        <v>0</v>
      </c>
      <c r="IX36" s="50">
        <f t="shared" si="147"/>
        <v>0</v>
      </c>
      <c r="IY36" s="50">
        <f t="shared" si="148"/>
        <v>0</v>
      </c>
      <c r="IZ36" s="50">
        <f t="shared" si="148"/>
        <v>0</v>
      </c>
      <c r="JA36" s="50">
        <f t="shared" si="148"/>
        <v>825000</v>
      </c>
      <c r="JB36" s="50">
        <f t="shared" si="148"/>
        <v>0</v>
      </c>
      <c r="JC36" s="50">
        <f t="shared" si="148"/>
        <v>0</v>
      </c>
      <c r="JD36" s="50">
        <f t="shared" si="148"/>
        <v>0</v>
      </c>
      <c r="JE36" s="50">
        <f t="shared" si="148"/>
        <v>-700000</v>
      </c>
      <c r="JF36" s="50">
        <f t="shared" si="148"/>
        <v>0</v>
      </c>
      <c r="JG36" s="50">
        <f t="shared" si="148"/>
        <v>0</v>
      </c>
      <c r="JH36" s="50">
        <f t="shared" si="148"/>
        <v>0</v>
      </c>
      <c r="JI36" s="50">
        <f t="shared" si="149"/>
        <v>-250000</v>
      </c>
      <c r="JJ36" s="50">
        <f t="shared" si="149"/>
        <v>0</v>
      </c>
      <c r="JK36" s="50">
        <f t="shared" si="149"/>
        <v>0</v>
      </c>
      <c r="JL36" s="50">
        <f t="shared" si="149"/>
        <v>0</v>
      </c>
      <c r="JM36" s="50">
        <f t="shared" si="149"/>
        <v>0</v>
      </c>
      <c r="JN36" s="50">
        <f t="shared" si="149"/>
        <v>0</v>
      </c>
      <c r="JO36" s="50">
        <f t="shared" si="149"/>
        <v>0</v>
      </c>
      <c r="JP36" s="50">
        <f t="shared" si="149"/>
        <v>0</v>
      </c>
      <c r="JQ36" s="50">
        <f t="shared" si="149"/>
        <v>0</v>
      </c>
      <c r="JR36" s="50">
        <f t="shared" si="149"/>
        <v>0</v>
      </c>
      <c r="JS36" s="50">
        <f t="shared" si="150"/>
        <v>0</v>
      </c>
      <c r="JT36" s="50">
        <f t="shared" si="150"/>
        <v>0</v>
      </c>
      <c r="JU36" s="50" t="str">
        <f t="shared" si="150"/>
        <v/>
      </c>
      <c r="JV36" s="50" t="str">
        <f t="shared" si="150"/>
        <v/>
      </c>
      <c r="JW36" s="50" t="str">
        <f t="shared" si="150"/>
        <v/>
      </c>
      <c r="JX36" s="50" t="str">
        <f t="shared" si="150"/>
        <v/>
      </c>
      <c r="JY36" s="50" t="str">
        <f t="shared" si="150"/>
        <v/>
      </c>
      <c r="JZ36" s="50" t="str">
        <f t="shared" si="150"/>
        <v/>
      </c>
      <c r="KA36" s="50" t="str">
        <f t="shared" si="150"/>
        <v/>
      </c>
      <c r="KB36" s="50" t="str">
        <f t="shared" si="150"/>
        <v/>
      </c>
      <c r="KC36" s="50" t="str">
        <f t="shared" si="150"/>
        <v/>
      </c>
      <c r="KD36" s="50" t="str">
        <f t="shared" si="150"/>
        <v/>
      </c>
    </row>
    <row r="37" spans="2:290" s="144" customFormat="1" ht="15" customHeight="1" thickBot="1">
      <c r="B37" s="146">
        <v>31</v>
      </c>
      <c r="C37" s="121" t="str">
        <f t="shared" si="99"/>
        <v>GFGC360.AB</v>
      </c>
      <c r="D37" s="121" t="str">
        <f t="shared" si="100"/>
        <v>GFGV360.AB</v>
      </c>
      <c r="E37" s="122">
        <f t="shared" si="1"/>
        <v>360</v>
      </c>
      <c r="F37" s="123" t="str">
        <f t="shared" si="2"/>
        <v/>
      </c>
      <c r="G37" s="123" t="str">
        <f t="shared" si="3"/>
        <v/>
      </c>
      <c r="H37" s="124">
        <f t="shared" si="4"/>
        <v>0.17599999999999999</v>
      </c>
      <c r="I37" s="124" t="str">
        <f t="shared" si="5"/>
        <v/>
      </c>
      <c r="J37" s="124" t="str">
        <f t="shared" si="6"/>
        <v/>
      </c>
      <c r="K37" s="124" t="str">
        <f t="shared" si="7"/>
        <v/>
      </c>
      <c r="M37" s="158">
        <f t="shared" si="8"/>
        <v>12</v>
      </c>
      <c r="N37" s="121" t="str">
        <f t="shared" si="9"/>
        <v>GFGC360.AB</v>
      </c>
      <c r="O37" s="158">
        <f t="shared" si="10"/>
        <v>12</v>
      </c>
      <c r="P37" s="121" t="str">
        <f t="shared" si="11"/>
        <v>GFGV360.AB</v>
      </c>
      <c r="R37" s="159"/>
      <c r="S37" s="160" t="str">
        <f t="shared" si="12"/>
        <v/>
      </c>
      <c r="U37" s="54"/>
      <c r="V37" s="54"/>
      <c r="X37" s="200">
        <v>31</v>
      </c>
      <c r="Y37" s="546">
        <f t="shared" si="13"/>
        <v>71.714762699737648</v>
      </c>
      <c r="Z37" s="540">
        <f t="shared" si="153"/>
        <v>-196515.23875000005</v>
      </c>
      <c r="AA37" s="179"/>
      <c r="AB37" s="540">
        <f t="shared" si="154"/>
        <v>0</v>
      </c>
      <c r="AC37" s="161"/>
      <c r="AD37" s="200">
        <v>31</v>
      </c>
      <c r="AE37" s="825">
        <f t="shared" si="146"/>
        <v>360</v>
      </c>
      <c r="AF37" s="201">
        <v>360</v>
      </c>
      <c r="AG37" s="161"/>
      <c r="AH37" s="177">
        <f t="shared" si="102"/>
        <v>0</v>
      </c>
      <c r="AI37" s="166">
        <f t="shared" si="103"/>
        <v>0</v>
      </c>
      <c r="AJ37" s="179"/>
      <c r="AK37" s="177">
        <f t="shared" si="104"/>
        <v>0</v>
      </c>
      <c r="AL37" s="166">
        <f t="shared" si="105"/>
        <v>0</v>
      </c>
      <c r="AM37" s="179"/>
      <c r="AN37" s="177"/>
      <c r="AO37" s="166"/>
      <c r="AP37" s="179"/>
      <c r="AQ37" s="176">
        <f t="shared" si="106"/>
        <v>0</v>
      </c>
      <c r="AR37" s="165">
        <f t="shared" si="107"/>
        <v>0</v>
      </c>
      <c r="AS37" s="179"/>
      <c r="AT37" s="176">
        <f t="shared" si="108"/>
        <v>0</v>
      </c>
      <c r="AU37" s="165">
        <f t="shared" si="109"/>
        <v>0</v>
      </c>
      <c r="AV37" s="179"/>
      <c r="AW37" s="200">
        <f t="shared" si="16"/>
        <v>31</v>
      </c>
      <c r="AX37" s="170">
        <f t="shared" si="17"/>
        <v>360</v>
      </c>
      <c r="AY37" s="164"/>
      <c r="AZ37" s="215">
        <f t="shared" si="18"/>
        <v>0.17599999999999999</v>
      </c>
      <c r="BA37" s="197"/>
      <c r="BB37" s="228">
        <f t="shared" si="19"/>
        <v>3.5290000000000002E-2</v>
      </c>
      <c r="BC37" s="161"/>
      <c r="BD37" s="240">
        <f t="shared" si="20"/>
        <v>0.17599999999999999</v>
      </c>
      <c r="BE37" s="196"/>
      <c r="BF37" s="240">
        <f t="shared" si="21"/>
        <v>0.19400000000000001</v>
      </c>
      <c r="BG37" s="196"/>
      <c r="BH37" s="189"/>
      <c r="BI37" s="227">
        <f t="shared" si="22"/>
        <v>0</v>
      </c>
      <c r="BJ37" s="197"/>
      <c r="BK37" s="167">
        <f t="shared" si="23"/>
        <v>0</v>
      </c>
      <c r="BL37" s="161"/>
      <c r="BM37" s="240">
        <f t="shared" si="24"/>
        <v>0</v>
      </c>
      <c r="BN37" s="196"/>
      <c r="BO37" s="240">
        <f t="shared" si="25"/>
        <v>0</v>
      </c>
      <c r="BP37" s="196"/>
      <c r="BQ37" s="161"/>
      <c r="BR37" s="381"/>
      <c r="BS37" s="392">
        <f t="shared" si="122"/>
        <v>38073.199999999997</v>
      </c>
      <c r="BT37" s="376"/>
      <c r="BU37" s="393" t="str">
        <f t="shared" si="157"/>
        <v/>
      </c>
      <c r="BV37" s="310"/>
      <c r="BW37" s="311">
        <f t="shared" si="110"/>
        <v>360.17599999999999</v>
      </c>
      <c r="BX37" s="372"/>
      <c r="BY37" s="440"/>
      <c r="BZ37" s="432">
        <v>0.16300000000000001</v>
      </c>
      <c r="CA37" s="372"/>
      <c r="CB37" s="572">
        <f t="shared" si="152"/>
        <v>0.17599999999999999</v>
      </c>
      <c r="CC37" s="567">
        <f t="shared" si="29"/>
        <v>8</v>
      </c>
      <c r="CD37" s="814">
        <f t="shared" si="30"/>
        <v>360</v>
      </c>
      <c r="CE37" s="569">
        <f t="shared" si="31"/>
        <v>7</v>
      </c>
      <c r="CF37" s="574">
        <f t="shared" si="158"/>
        <v>0.19400000000000001</v>
      </c>
      <c r="CG37" s="372"/>
      <c r="CH37" s="435">
        <v>0.28799999999999998</v>
      </c>
      <c r="CI37" s="436"/>
      <c r="CJ37" s="372"/>
      <c r="CK37" s="391">
        <f t="shared" si="111"/>
        <v>360.19400000000002</v>
      </c>
      <c r="CL37" s="396" t="str">
        <f>+IF(OR(CF38="", CB37="", CF38=0, CB37=0), "", IF($BU$1=FALSE, CB37-CF38,- CB37+CF38))</f>
        <v/>
      </c>
      <c r="CM37" s="370"/>
      <c r="CN37" s="161"/>
      <c r="CO37" s="161"/>
      <c r="CP37" s="161"/>
      <c r="CQ37" s="161"/>
      <c r="CR37" s="161"/>
      <c r="CS37" s="161"/>
      <c r="CT37" s="161"/>
      <c r="CU37" s="161"/>
      <c r="CV37" s="161"/>
      <c r="CW37" s="161"/>
      <c r="CX37" s="161"/>
      <c r="CY37" s="161"/>
      <c r="CZ37" s="161"/>
      <c r="DA37" s="161"/>
      <c r="DB37" s="161"/>
      <c r="DC37" s="161"/>
      <c r="DD37" s="161"/>
      <c r="DE37" s="161"/>
      <c r="DF37" s="161"/>
      <c r="DG37" s="161"/>
      <c r="DH37" s="161"/>
      <c r="DI37" s="161"/>
      <c r="DJ37" s="161"/>
      <c r="DK37" s="242">
        <f t="shared" si="123"/>
        <v>0</v>
      </c>
      <c r="DL37" s="217"/>
      <c r="DM37" s="490">
        <f t="shared" si="34"/>
        <v>0</v>
      </c>
      <c r="DN37" s="242">
        <f t="shared" si="35"/>
        <v>0</v>
      </c>
      <c r="DO37" s="243">
        <f t="shared" si="36"/>
        <v>0</v>
      </c>
      <c r="DP37" s="217"/>
      <c r="DQ37" s="252">
        <f t="shared" si="120"/>
        <v>0</v>
      </c>
      <c r="DR37" s="217"/>
      <c r="DS37" s="242">
        <f t="shared" si="38"/>
        <v>0</v>
      </c>
      <c r="DT37" s="242">
        <f t="shared" si="39"/>
        <v>0</v>
      </c>
      <c r="DU37" s="244">
        <f t="shared" si="40"/>
        <v>0</v>
      </c>
      <c r="DV37" s="217"/>
      <c r="DW37" s="428">
        <f>+IF(OR(AE37 = "", AND(AH37 = "", AK37 = "")), "",IFERROR(+AH37 * CallDelta($AG$1,AE37,($BM$1/365), $V$15, $AZ$1, $V$17), 0) + IFERROR(AK37 * Putdelta($AG$1,AE37,($BM$1/365), $V$15, $AZ$1, $V$17), 0))</f>
        <v>0</v>
      </c>
      <c r="DX37" s="245">
        <f>+IF(OR(AE37 = "", AND(AH37 = "", AK37 = "")), "",IFERROR(+AH37 * OptionGamma($AG$1,AE37,($BM$1/365), $V$15, $AZ$1, $V$17), 0) + IFERROR(AK37 * OptionGamma($AG$1,AE37,($BM$1/365), $V$15, $AZ$1, $V$17), 0))</f>
        <v>0</v>
      </c>
      <c r="DY37" s="161"/>
      <c r="DZ37" s="267">
        <f t="shared" si="127"/>
        <v>0</v>
      </c>
      <c r="EA37" s="217"/>
      <c r="EB37" s="267">
        <f t="shared" si="42"/>
        <v>0</v>
      </c>
      <c r="EC37" s="267">
        <f t="shared" si="43"/>
        <v>0</v>
      </c>
      <c r="ED37" s="247">
        <f t="shared" si="44"/>
        <v>0</v>
      </c>
      <c r="EE37" s="217"/>
      <c r="EF37" s="267">
        <f t="shared" si="129"/>
        <v>0</v>
      </c>
      <c r="EG37" s="217"/>
      <c r="EH37" s="267">
        <f t="shared" si="46"/>
        <v>0</v>
      </c>
      <c r="EI37" s="246">
        <f t="shared" si="47"/>
        <v>0</v>
      </c>
      <c r="EJ37" s="248">
        <f t="shared" si="48"/>
        <v>0</v>
      </c>
      <c r="EK37" s="217"/>
      <c r="EL37" s="251">
        <f>+IF(OR(AE37 = "", AND(AQ37 = "", AT37 = "")), "",IFERROR(+AQ37 * CallDelta($AG$1,AE37,($BM$1/365), $V$15, $AZ$1, $V$17), 0) + IFERROR(AT37 * Putdelta($AG$1,AE37,($BM$1/365), $V$15, $AZ$1, $V$17), 0))</f>
        <v>0</v>
      </c>
      <c r="EM37" s="249">
        <f>+IF(OR(AE37 = "", AND(AQ37 = "", AT37 = "")), "",IFERROR(+AQ37 * OptionGamma($AG$1,AE37,($BM$1/365), $V$15, $AZ$1, $V$17), 0) + IFERROR(AT37 * OptionGamma($AG$1,AE37,($BM$1/365), $V$15, $AZ$1, $V$17), 0))</f>
        <v>0</v>
      </c>
      <c r="EN37" s="451">
        <f t="shared" si="49"/>
        <v>55.828094482421875</v>
      </c>
      <c r="EO37" s="418">
        <f>+IF(AE37 = "", "",ImpliedCallVolatility($AG$1, $AE37,($BM$1/365), $V$15, $AZ37, $V$17) * 100)</f>
        <v>55.828094482421875</v>
      </c>
      <c r="EP37" s="418">
        <f>+IF(AE37 = "", "",ImpliedCallVolatility($AG$1, $AE37,($BM$1/365), $V$15, BD37, $V$17) * 100)</f>
        <v>55.828094482421875</v>
      </c>
      <c r="EQ37" s="418">
        <f>+IF(AE37 = "", "",ImpliedCallVolatility($AG$1, $AE37,($BM$1/365), $V$15, BF37, $V$17) * 100)</f>
        <v>56.522369384765625</v>
      </c>
      <c r="ER37" s="411">
        <f t="shared" si="50"/>
        <v>0.17599999999999999</v>
      </c>
      <c r="ES37" s="411">
        <f t="shared" si="51"/>
        <v>0.17599999999999999</v>
      </c>
      <c r="ET37" s="411">
        <f t="shared" si="52"/>
        <v>0.19400000000000001</v>
      </c>
      <c r="EU37" s="416">
        <f>IF($FC$1 = 1,
IF(AE37 = "", "",OptionGamma($AG$1,AE37,($BM$1/365), $V$15, $AZ$1, $V$17) * 1000),
IF($FC$1 = 2, IF(OR(AE37 = "", BD37 =  0), "",IF(AE37 &lt; $AG$1, (((AE37 * (1 - COMIS_ACCION)) / (($AG$1 * (1 + COMIS_ACCION)) - (BD37 * (1 - COMIS_OPCION)))) - 1) * 100 / $BM$1 * 365,((($AG$1 * (1 - COMIS_ACCION)) / (($AG$1 * (1 + COMIS_ACCION)) - (BD37 * (1 - COMIS_OPCION)))) - 1) * 100 / $BM$1 * 365))))</f>
        <v>6.01062856409912E-2</v>
      </c>
      <c r="EV37" s="276">
        <f>+IF(AE37 = "", "",CallOption($AG$1, $AE37,($BM$1/365), $V$15, $AZ$1, $V$17))</f>
        <v>4.069632817099933E-3</v>
      </c>
      <c r="EW37" s="271">
        <f t="shared" si="53"/>
        <v>-0.19529107000000001</v>
      </c>
      <c r="EX37" s="272">
        <f t="shared" si="54"/>
        <v>-152.2799742</v>
      </c>
      <c r="EY37" s="274">
        <f t="shared" si="55"/>
        <v>148.42002579999999</v>
      </c>
      <c r="EZ37" s="290">
        <f t="shared" si="56"/>
        <v>-360.60984000000002</v>
      </c>
      <c r="FA37" s="272">
        <f t="shared" si="57"/>
        <v>359.39016000000004</v>
      </c>
      <c r="FB37" s="530">
        <f>+IF($FC$1 = 1, IF(AE37 = "", "",IFERROR( VLOOKUP(N37, PreciosCalls, 13, FALSE), 0)),
IF($FC$1 = 2,  IF(AE37 = "", "",OptionGamma($AG$1,AE37,($BM$1/365), $V$15, $AZ$1, $V$17) * 1000)))</f>
        <v>2096</v>
      </c>
      <c r="FC37" s="530">
        <f>IF($FC$1 = 1, IF(AE37 = "", "",IFERROR( VLOOKUP(N37, PreciosCalls, 14, FALSE), 0)),
IF($FC$1 = 2, IF(AE37 = "", "",CallDelta($AG$1,AE37,($BM$1/365), $V$15, $AZ$1, $V$17) * 100)))</f>
        <v>0</v>
      </c>
      <c r="FD37" s="531">
        <f t="shared" si="58"/>
        <v>0.1816469465648855</v>
      </c>
      <c r="FE37" s="530">
        <f t="shared" si="59"/>
        <v>38073.199999999997</v>
      </c>
      <c r="FF37" s="217"/>
      <c r="FG37" s="273" t="str">
        <f t="shared" si="60"/>
        <v/>
      </c>
      <c r="FH37" s="273" t="str">
        <f t="shared" si="61"/>
        <v/>
      </c>
      <c r="FI37" s="451">
        <f t="shared" si="62"/>
        <v>3.814697265625E-3</v>
      </c>
      <c r="FJ37" s="419">
        <f>+IF(AE37 = "", "",ImpliedPutVolatility($AG$1, $AE37,($BM$1/365), $V$15, BI37, $V$17) * 100)</f>
        <v>3.814697265625E-3</v>
      </c>
      <c r="FK37" s="419">
        <f>+IF(AE37 = "", "",ImpliedPutVolatility($AG$1, $AE37,($BM$1/365), $V$15, BM37, $V$17) * 100)</f>
        <v>3.814697265625E-3</v>
      </c>
      <c r="FL37" s="419">
        <f>+IF(AE37 = "", "",ImpliedPutVolatility($AG$1, $AE37,($BM$1/365), $V$15, BO37, $V$17) * 100)</f>
        <v>3.814697265625E-3</v>
      </c>
      <c r="FM37" s="415" t="str">
        <f t="shared" si="63"/>
        <v/>
      </c>
      <c r="FN37" s="415" t="str">
        <f t="shared" si="64"/>
        <v/>
      </c>
      <c r="FO37" s="415" t="str">
        <f t="shared" si="65"/>
        <v/>
      </c>
      <c r="FP37" s="417">
        <f>IF($FX$1=1, IF(AE37 = "", "",OptionGamma($AG$1,AE37,($BM$1/365), $V$15, $AZ$1, $V$17) * 1000),
IF($FX$1 = 2, IF(OR(AE37 = "", BM37 =  0), "",((BM37 * (1 - COMIS_OPCION)) / (AE37 * (1 + COMIS_ACCION))) * 100 / $BM$1 * 365)))</f>
        <v>6.01062856409912E-2</v>
      </c>
      <c r="FQ37" s="289">
        <f>+IF(AE37 = "", "",PutOption($AG$1, $AE37,($BM$1/365), $V$15, $AZ$1, $V$17))</f>
        <v>132.69347612519158</v>
      </c>
      <c r="FR37" s="279"/>
      <c r="FS37" s="284">
        <f t="shared" si="66"/>
        <v>148.42002579999999</v>
      </c>
      <c r="FT37" s="284">
        <f t="shared" si="67"/>
        <v>-152.2799742</v>
      </c>
      <c r="FU37" s="279"/>
      <c r="FV37" s="279"/>
      <c r="FW37" s="287">
        <f>+IF($FX$1 = 1, IFERROR(VLOOKUP(P37, PreciosPuts, 13, FALSE), 0),
IF($FX$1 = 2, IF(AE37 = "", "",OptionGamma($AG$1,AE37,($BM$1/365), $V$15, $AZ$1, $V$17) * 1000)))</f>
        <v>0</v>
      </c>
      <c r="FX37" s="287">
        <f>+IF($FX$1=1, IF(AE37 = "", "",IFERROR(VLOOKUP(P37, PreciosPuts, 14, FALSE), 0)),
IF($FX$1=2, IF(AE37 = "", "",Putdelta($AG$1,AE37,($BM$1/365), $V$15, $AZ$1, $V$17) * 100)))</f>
        <v>0</v>
      </c>
      <c r="FY37" s="286">
        <f t="shared" si="69"/>
        <v>0</v>
      </c>
      <c r="FZ37" s="287">
        <f t="shared" si="70"/>
        <v>0</v>
      </c>
      <c r="GA37" s="217"/>
      <c r="GB37" s="281"/>
      <c r="GC37" s="281"/>
      <c r="GD37" s="217"/>
      <c r="GE37" s="301" t="str">
        <f t="shared" si="71"/>
        <v/>
      </c>
      <c r="GF37" s="292" t="str">
        <f t="shared" si="72"/>
        <v/>
      </c>
      <c r="GG37" s="293" t="str">
        <f t="shared" si="73"/>
        <v/>
      </c>
      <c r="GH37" s="294" t="str">
        <f t="shared" si="124"/>
        <v/>
      </c>
      <c r="GI37" s="294">
        <v>31</v>
      </c>
      <c r="GJ37" s="217"/>
      <c r="GK37" s="305" t="str">
        <f t="shared" si="74"/>
        <v/>
      </c>
      <c r="GL37" s="299" t="str">
        <f t="shared" si="75"/>
        <v/>
      </c>
      <c r="GM37" s="300" t="str">
        <f t="shared" si="76"/>
        <v/>
      </c>
      <c r="GN37" s="225" t="str">
        <f t="shared" si="121"/>
        <v/>
      </c>
      <c r="GO37" s="225">
        <v>31</v>
      </c>
      <c r="GP37" s="217"/>
      <c r="GQ37" s="217"/>
      <c r="GR37" s="401" t="str">
        <f t="shared" si="132"/>
        <v/>
      </c>
      <c r="GT37" s="282" t="str">
        <f t="shared" si="78"/>
        <v/>
      </c>
      <c r="GU37" s="282" t="str">
        <f t="shared" si="79"/>
        <v/>
      </c>
      <c r="GV37" s="282" t="str">
        <f t="shared" si="80"/>
        <v/>
      </c>
      <c r="GW37" s="282" t="str">
        <f t="shared" si="81"/>
        <v/>
      </c>
      <c r="GX37" s="282" t="str">
        <f t="shared" si="82"/>
        <v/>
      </c>
      <c r="GY37" s="282" t="str">
        <f t="shared" si="83"/>
        <v/>
      </c>
      <c r="GZ37" s="282" t="str">
        <f t="shared" si="115"/>
        <v/>
      </c>
      <c r="HA37" s="282" t="str">
        <f t="shared" si="84"/>
        <v/>
      </c>
      <c r="HB37" s="282" t="str">
        <f t="shared" si="116"/>
        <v/>
      </c>
      <c r="HC37" s="607" t="str">
        <f t="shared" si="85"/>
        <v/>
      </c>
      <c r="HD37" s="282" t="str">
        <f t="shared" si="86"/>
        <v/>
      </c>
      <c r="HE37" s="282" t="str">
        <f t="shared" si="87"/>
        <v/>
      </c>
      <c r="HF37" s="282" t="str">
        <f t="shared" si="88"/>
        <v/>
      </c>
      <c r="HG37" s="217"/>
      <c r="HH37" s="282" t="str">
        <f t="shared" si="89"/>
        <v/>
      </c>
      <c r="HI37" s="282" t="str">
        <f t="shared" si="90"/>
        <v/>
      </c>
      <c r="HJ37" s="282"/>
      <c r="HK37" s="282"/>
      <c r="HL37" s="217"/>
      <c r="HM37" s="420"/>
      <c r="HN37" s="420"/>
      <c r="HO37" s="420"/>
      <c r="HP37" s="420"/>
      <c r="HQ37" s="282" t="str">
        <f t="shared" si="91"/>
        <v/>
      </c>
      <c r="HR37" s="420"/>
      <c r="HS37" s="420"/>
      <c r="HT37" s="420"/>
      <c r="HU37" s="420"/>
      <c r="HV37" s="420"/>
      <c r="HW37" s="420"/>
      <c r="HX37" s="425"/>
      <c r="HY37" s="338"/>
      <c r="HZ37" s="338"/>
      <c r="IA37" s="161"/>
      <c r="IB37" s="161"/>
      <c r="IC37" s="162"/>
      <c r="ID37" s="162"/>
      <c r="IE37" s="49"/>
      <c r="IF37" s="55"/>
      <c r="IG37" s="58"/>
      <c r="IH37" s="545">
        <f t="shared" si="117"/>
        <v>71.714762699737648</v>
      </c>
      <c r="IJ37" s="146">
        <v>31</v>
      </c>
      <c r="IK37" s="545">
        <f t="shared" si="142"/>
        <v>360</v>
      </c>
      <c r="IL37" s="106">
        <f t="shared" si="93"/>
        <v>0.71714762699737644</v>
      </c>
      <c r="IM37" s="110">
        <f t="shared" si="160"/>
        <v>360</v>
      </c>
      <c r="IN37" s="111">
        <f t="shared" si="161"/>
        <v>-196515.23875000005</v>
      </c>
      <c r="IO37" s="50">
        <f t="shared" ref="IO37:IX47" si="162" xml:space="preserve"> IF(OR($IL37 = "", IO$6 = ""), "", IF(IO$6 &lt;&gt; $Z$1,
IF($IM37 &gt; IO$6, IO$1 * 100 * ($IM37 - IO$6), 0) +
IF($IM37 &lt; IO$6, IO$4 * 100 * (IO$6 - $IM37), 0),
$IM37 * IO$1))</f>
        <v>0</v>
      </c>
      <c r="IP37" s="50">
        <f t="shared" si="162"/>
        <v>0</v>
      </c>
      <c r="IQ37" s="50">
        <f t="shared" si="162"/>
        <v>0</v>
      </c>
      <c r="IR37" s="50">
        <f t="shared" si="162"/>
        <v>0</v>
      </c>
      <c r="IS37" s="50">
        <f t="shared" si="162"/>
        <v>0</v>
      </c>
      <c r="IT37" s="50">
        <f t="shared" si="162"/>
        <v>0</v>
      </c>
      <c r="IU37" s="50">
        <f t="shared" si="162"/>
        <v>0</v>
      </c>
      <c r="IV37" s="50">
        <f t="shared" si="162"/>
        <v>0</v>
      </c>
      <c r="IW37" s="50">
        <f t="shared" si="162"/>
        <v>0</v>
      </c>
      <c r="IX37" s="50">
        <f t="shared" si="162"/>
        <v>0</v>
      </c>
      <c r="IY37" s="50">
        <f t="shared" ref="IY37:JH47" si="163" xml:space="preserve"> IF(OR($IL37 = "", IY$6 = ""), "", IF(IY$6 &lt;&gt; $Z$1,
IF($IM37 &gt; IY$6, IY$1 * 100 * ($IM37 - IY$6), 0) +
IF($IM37 &lt; IY$6, IY$4 * 100 * (IY$6 - $IM37), 0),
$IM37 * IY$1))</f>
        <v>0</v>
      </c>
      <c r="IZ37" s="50">
        <f t="shared" si="163"/>
        <v>0</v>
      </c>
      <c r="JA37" s="50">
        <f t="shared" si="163"/>
        <v>875000</v>
      </c>
      <c r="JB37" s="50">
        <f t="shared" si="163"/>
        <v>0</v>
      </c>
      <c r="JC37" s="50">
        <f t="shared" si="163"/>
        <v>0</v>
      </c>
      <c r="JD37" s="50">
        <f t="shared" si="163"/>
        <v>0</v>
      </c>
      <c r="JE37" s="50">
        <f t="shared" si="163"/>
        <v>-750000</v>
      </c>
      <c r="JF37" s="50">
        <f t="shared" si="163"/>
        <v>0</v>
      </c>
      <c r="JG37" s="50">
        <f t="shared" si="163"/>
        <v>0</v>
      </c>
      <c r="JH37" s="50">
        <f t="shared" si="163"/>
        <v>0</v>
      </c>
      <c r="JI37" s="50">
        <f t="shared" ref="JI37:JR47" si="164" xml:space="preserve"> IF(OR($IL37 = "", JI$6 = ""), "", IF(JI$6 &lt;&gt; $Z$1,
IF($IM37 &gt; JI$6, JI$1 * 100 * ($IM37 - JI$6), 0) +
IF($IM37 &lt; JI$6, JI$4 * 100 * (JI$6 - $IM37), 0),
$IM37 * JI$1))</f>
        <v>-275000</v>
      </c>
      <c r="JJ37" s="50">
        <f t="shared" si="164"/>
        <v>0</v>
      </c>
      <c r="JK37" s="50">
        <f t="shared" si="164"/>
        <v>0</v>
      </c>
      <c r="JL37" s="50">
        <f t="shared" si="164"/>
        <v>0</v>
      </c>
      <c r="JM37" s="50">
        <f t="shared" si="164"/>
        <v>0</v>
      </c>
      <c r="JN37" s="50">
        <f t="shared" si="164"/>
        <v>0</v>
      </c>
      <c r="JO37" s="50">
        <f t="shared" si="164"/>
        <v>0</v>
      </c>
      <c r="JP37" s="50">
        <f t="shared" si="164"/>
        <v>0</v>
      </c>
      <c r="JQ37" s="50">
        <f t="shared" si="164"/>
        <v>0</v>
      </c>
      <c r="JR37" s="50">
        <f t="shared" si="164"/>
        <v>0</v>
      </c>
      <c r="JS37" s="50">
        <f t="shared" ref="JS37:KD47" si="165" xml:space="preserve"> IF(OR($IL37 = "", JS$6 = ""), "", IF(JS$6 &lt;&gt; $Z$1,
IF($IM37 &gt; JS$6, JS$1 * 100 * ($IM37 - JS$6), 0) +
IF($IM37 &lt; JS$6, JS$4 * 100 * (JS$6 - $IM37), 0),
$IM37 * JS$1))</f>
        <v>0</v>
      </c>
      <c r="JT37" s="50">
        <f t="shared" si="165"/>
        <v>0</v>
      </c>
      <c r="JU37" s="50" t="str">
        <f t="shared" si="165"/>
        <v/>
      </c>
      <c r="JV37" s="50" t="str">
        <f t="shared" si="165"/>
        <v/>
      </c>
      <c r="JW37" s="50" t="str">
        <f t="shared" si="165"/>
        <v/>
      </c>
      <c r="JX37" s="50" t="str">
        <f t="shared" si="165"/>
        <v/>
      </c>
      <c r="JY37" s="50" t="str">
        <f t="shared" si="165"/>
        <v/>
      </c>
      <c r="JZ37" s="50" t="str">
        <f t="shared" si="165"/>
        <v/>
      </c>
      <c r="KA37" s="50" t="str">
        <f t="shared" si="165"/>
        <v/>
      </c>
      <c r="KB37" s="50" t="str">
        <f t="shared" si="165"/>
        <v/>
      </c>
      <c r="KC37" s="50" t="str">
        <f t="shared" si="165"/>
        <v/>
      </c>
      <c r="KD37" s="50" t="str">
        <f t="shared" si="165"/>
        <v/>
      </c>
    </row>
    <row r="38" spans="2:290" s="144" customFormat="1" ht="15" customHeight="1" thickBot="1">
      <c r="B38" s="146">
        <v>32</v>
      </c>
      <c r="C38" s="121" t="str">
        <f t="shared" si="99"/>
        <v/>
      </c>
      <c r="D38" s="121" t="str">
        <f t="shared" si="100"/>
        <v/>
      </c>
      <c r="E38" s="122" t="str">
        <f t="shared" si="1"/>
        <v/>
      </c>
      <c r="F38" s="123" t="str">
        <f t="shared" si="2"/>
        <v/>
      </c>
      <c r="G38" s="123" t="str">
        <f t="shared" si="3"/>
        <v/>
      </c>
      <c r="H38" s="124" t="str">
        <f t="shared" si="4"/>
        <v/>
      </c>
      <c r="I38" s="124" t="str">
        <f t="shared" si="5"/>
        <v/>
      </c>
      <c r="J38" s="124" t="str">
        <f t="shared" si="6"/>
        <v/>
      </c>
      <c r="K38" s="124" t="str">
        <f t="shared" si="7"/>
        <v/>
      </c>
      <c r="M38" s="158" t="str">
        <f t="shared" si="8"/>
        <v/>
      </c>
      <c r="N38" s="121" t="str">
        <f t="shared" si="9"/>
        <v/>
      </c>
      <c r="O38" s="158" t="str">
        <f t="shared" si="10"/>
        <v/>
      </c>
      <c r="P38" s="121" t="str">
        <f t="shared" si="11"/>
        <v/>
      </c>
      <c r="R38" s="159"/>
      <c r="S38" s="160" t="str">
        <f t="shared" si="12"/>
        <v/>
      </c>
      <c r="U38" s="54"/>
      <c r="V38" s="54"/>
      <c r="X38" s="200">
        <v>32</v>
      </c>
      <c r="Y38" s="546" t="str">
        <f t="shared" si="13"/>
        <v/>
      </c>
      <c r="Z38" s="540" t="str">
        <f t="shared" si="153"/>
        <v/>
      </c>
      <c r="AA38" s="179"/>
      <c r="AB38" s="540" t="str">
        <f t="shared" si="154"/>
        <v/>
      </c>
      <c r="AC38" s="161"/>
      <c r="AD38" s="200">
        <v>32</v>
      </c>
      <c r="AE38" s="825" t="str">
        <f t="shared" si="146"/>
        <v/>
      </c>
      <c r="AF38" s="201"/>
      <c r="AG38" s="161"/>
      <c r="AH38" s="177">
        <f t="shared" si="102"/>
        <v>0</v>
      </c>
      <c r="AI38" s="166">
        <f t="shared" si="103"/>
        <v>0</v>
      </c>
      <c r="AJ38" s="179"/>
      <c r="AK38" s="177">
        <f t="shared" si="104"/>
        <v>0</v>
      </c>
      <c r="AL38" s="166">
        <f t="shared" si="105"/>
        <v>0</v>
      </c>
      <c r="AM38" s="179"/>
      <c r="AN38" s="177"/>
      <c r="AO38" s="166"/>
      <c r="AP38" s="179"/>
      <c r="AQ38" s="176" t="str">
        <f t="shared" si="106"/>
        <v/>
      </c>
      <c r="AR38" s="165" t="str">
        <f t="shared" si="107"/>
        <v/>
      </c>
      <c r="AS38" s="179"/>
      <c r="AT38" s="176" t="str">
        <f t="shared" si="108"/>
        <v/>
      </c>
      <c r="AU38" s="165" t="str">
        <f t="shared" si="109"/>
        <v/>
      </c>
      <c r="AV38" s="179"/>
      <c r="AW38" s="200">
        <f t="shared" si="16"/>
        <v>32</v>
      </c>
      <c r="AX38" s="170" t="str">
        <f t="shared" si="17"/>
        <v/>
      </c>
      <c r="AY38" s="164"/>
      <c r="AZ38" s="215">
        <f t="shared" si="18"/>
        <v>0</v>
      </c>
      <c r="BA38" s="197"/>
      <c r="BB38" s="228" t="str">
        <f t="shared" si="19"/>
        <v/>
      </c>
      <c r="BC38" s="161"/>
      <c r="BD38" s="240" t="str">
        <f t="shared" si="20"/>
        <v/>
      </c>
      <c r="BE38" s="196"/>
      <c r="BF38" s="240" t="str">
        <f t="shared" si="21"/>
        <v/>
      </c>
      <c r="BG38" s="196"/>
      <c r="BH38" s="189"/>
      <c r="BI38" s="227">
        <f t="shared" si="22"/>
        <v>0</v>
      </c>
      <c r="BJ38" s="197"/>
      <c r="BK38" s="167" t="str">
        <f t="shared" si="23"/>
        <v/>
      </c>
      <c r="BL38" s="161"/>
      <c r="BM38" s="240" t="str">
        <f t="shared" si="24"/>
        <v/>
      </c>
      <c r="BN38" s="196"/>
      <c r="BO38" s="240" t="str">
        <f t="shared" si="25"/>
        <v/>
      </c>
      <c r="BP38" s="196"/>
      <c r="BQ38" s="161"/>
      <c r="BR38" s="381"/>
      <c r="BS38" s="392" t="str">
        <f t="shared" si="122"/>
        <v/>
      </c>
      <c r="BT38" s="376"/>
      <c r="BU38" s="393" t="str">
        <f t="shared" si="156"/>
        <v/>
      </c>
      <c r="BV38" s="310"/>
      <c r="BW38" s="311" t="str">
        <f t="shared" si="110"/>
        <v/>
      </c>
      <c r="BX38" s="372"/>
      <c r="BY38" s="440"/>
      <c r="BZ38" s="432">
        <v>0.11</v>
      </c>
      <c r="CA38" s="372"/>
      <c r="CB38" s="572" t="str">
        <f t="shared" si="152"/>
        <v/>
      </c>
      <c r="CC38" s="567" t="str">
        <f t="shared" si="29"/>
        <v/>
      </c>
      <c r="CD38" s="814" t="str">
        <f t="shared" si="30"/>
        <v/>
      </c>
      <c r="CE38" s="569" t="str">
        <f t="shared" si="31"/>
        <v/>
      </c>
      <c r="CF38" s="574" t="str">
        <f t="shared" si="32"/>
        <v/>
      </c>
      <c r="CG38" s="372"/>
      <c r="CH38" s="435">
        <v>0.58799999999999997</v>
      </c>
      <c r="CI38" s="436"/>
      <c r="CJ38" s="372"/>
      <c r="CK38" s="391" t="str">
        <f t="shared" si="111"/>
        <v/>
      </c>
      <c r="CL38" s="396" t="str">
        <f t="shared" si="159"/>
        <v/>
      </c>
      <c r="CM38" s="370"/>
      <c r="CN38" s="161"/>
      <c r="CO38" s="161"/>
      <c r="CP38" s="161"/>
      <c r="CQ38" s="161"/>
      <c r="CR38" s="161"/>
      <c r="CS38" s="161"/>
      <c r="CT38" s="161"/>
      <c r="CU38" s="161"/>
      <c r="CV38" s="161"/>
      <c r="CW38" s="161"/>
      <c r="CX38" s="161"/>
      <c r="CY38" s="161"/>
      <c r="CZ38" s="161"/>
      <c r="DA38" s="161"/>
      <c r="DB38" s="161"/>
      <c r="DC38" s="161"/>
      <c r="DD38" s="161"/>
      <c r="DE38" s="161"/>
      <c r="DF38" s="161"/>
      <c r="DG38" s="161"/>
      <c r="DH38" s="161"/>
      <c r="DI38" s="161"/>
      <c r="DJ38" s="161"/>
      <c r="DK38" s="242" t="str">
        <f t="shared" si="123"/>
        <v/>
      </c>
      <c r="DL38" s="217"/>
      <c r="DM38" s="490" t="str">
        <f t="shared" si="34"/>
        <v/>
      </c>
      <c r="DN38" s="242" t="str">
        <f t="shared" si="35"/>
        <v/>
      </c>
      <c r="DO38" s="243" t="str">
        <f t="shared" si="36"/>
        <v/>
      </c>
      <c r="DP38" s="217"/>
      <c r="DQ38" s="252" t="str">
        <f t="shared" si="120"/>
        <v/>
      </c>
      <c r="DR38" s="217"/>
      <c r="DS38" s="242" t="str">
        <f t="shared" si="38"/>
        <v/>
      </c>
      <c r="DT38" s="242" t="str">
        <f t="shared" si="39"/>
        <v/>
      </c>
      <c r="DU38" s="244" t="str">
        <f t="shared" si="40"/>
        <v/>
      </c>
      <c r="DV38" s="217"/>
      <c r="DW38" s="428" t="str">
        <f>+IF(OR(AE38 = "", AND(AH38 = "", AK38 = "")), "",IFERROR(+AH38 * CallDelta($AG$1,AE38,($BM$1/365), $V$15, $AZ$1, $V$17), 0) + IFERROR(AK38 * Putdelta($AG$1,AE38,($BM$1/365), $V$15, $AZ$1, $V$17), 0))</f>
        <v/>
      </c>
      <c r="DX38" s="245" t="str">
        <f>+IF(OR(AE38 = "", AND(AH38 = "", AK38 = "")), "",IFERROR(+AH38 * OptionGamma($AG$1,AE38,($BM$1/365), $V$15, $AZ$1, $V$17), 0) + IFERROR(AK38 * OptionGamma($AG$1,AE38,($BM$1/365), $V$15, $AZ$1, $V$17), 0))</f>
        <v/>
      </c>
      <c r="DY38" s="161"/>
      <c r="DZ38" s="267" t="str">
        <f t="shared" si="127"/>
        <v/>
      </c>
      <c r="EA38" s="217"/>
      <c r="EB38" s="267" t="str">
        <f t="shared" si="42"/>
        <v/>
      </c>
      <c r="EC38" s="267" t="str">
        <f t="shared" si="43"/>
        <v/>
      </c>
      <c r="ED38" s="247" t="str">
        <f t="shared" si="44"/>
        <v/>
      </c>
      <c r="EE38" s="217"/>
      <c r="EF38" s="267" t="str">
        <f t="shared" si="129"/>
        <v/>
      </c>
      <c r="EG38" s="217"/>
      <c r="EH38" s="267" t="str">
        <f t="shared" si="46"/>
        <v/>
      </c>
      <c r="EI38" s="246" t="str">
        <f t="shared" si="47"/>
        <v/>
      </c>
      <c r="EJ38" s="248" t="str">
        <f t="shared" si="48"/>
        <v/>
      </c>
      <c r="EK38" s="217"/>
      <c r="EL38" s="251" t="str">
        <f>+IF(OR(AE38 = "", AND(AQ38 = "", AT38 = "")), "",IFERROR(+AQ38 * CallDelta($AG$1,AE38,($BM$1/365), $V$15, $AZ$1, $V$17), 0) + IFERROR(AT38 * Putdelta($AG$1,AE38,($BM$1/365), $V$15, $AZ$1, $V$17), 0))</f>
        <v/>
      </c>
      <c r="EM38" s="249" t="str">
        <f>+IF(OR(AE38 = "", AND(AQ38 = "", AT38 = "")), "",IFERROR(+AQ38 * OptionGamma($AG$1,AE38,($BM$1/365), $V$15, $AZ$1, $V$17), 0) + IFERROR(AT38 * OptionGamma($AG$1,AE38,($BM$1/365), $V$15, $AZ$1, $V$17), 0))</f>
        <v/>
      </c>
      <c r="EN38" s="451" t="str">
        <f t="shared" si="49"/>
        <v/>
      </c>
      <c r="EO38" s="418" t="str">
        <f>+IF(AE38 = "", "",ImpliedCallVolatility($AG$1, $AE38,($BM$1/365), $V$15, $AZ38, $V$17) * 100)</f>
        <v/>
      </c>
      <c r="EP38" s="418" t="str">
        <f>+IF(AE38 = "", "",ImpliedCallVolatility($AG$1, $AE38,($BM$1/365), $V$15, BD38, $V$17) * 100)</f>
        <v/>
      </c>
      <c r="EQ38" s="418" t="str">
        <f>+IF(AE38 = "", "",ImpliedCallVolatility($AG$1, $AE38,($BM$1/365), $V$15, BF38, $V$17) * 100)</f>
        <v/>
      </c>
      <c r="ER38" s="411" t="str">
        <f t="shared" si="50"/>
        <v/>
      </c>
      <c r="ES38" s="411" t="str">
        <f t="shared" si="51"/>
        <v/>
      </c>
      <c r="ET38" s="411" t="str">
        <f t="shared" si="52"/>
        <v/>
      </c>
      <c r="EU38" s="416" t="str">
        <f>IF($FC$1 = 1,
IF(AE38 = "", "",OptionGamma($AG$1,AE38,($BM$1/365), $V$15, $AZ$1, $V$17) * 1000),
IF($FC$1 = 2, IF(OR(AE38 = "", BD38 =  0), "",IF(AE38 &lt; $AG$1, (((AE38 * (1 - COMIS_ACCION)) / (($AG$1 * (1 + COMIS_ACCION)) - (BD38 * (1 - COMIS_OPCION)))) - 1) * 100 / $BM$1 * 365,((($AG$1 * (1 - COMIS_ACCION)) / (($AG$1 * (1 + COMIS_ACCION)) - (BD38 * (1 - COMIS_OPCION)))) - 1) * 100 / $BM$1 * 365))))</f>
        <v/>
      </c>
      <c r="EV38" s="276" t="str">
        <f>+IF(AE38 = "", "",CallOption($AG$1, $AE38,($BM$1/365), $V$15, $AZ$1, $V$17))</f>
        <v/>
      </c>
      <c r="EW38" s="271" t="str">
        <f t="shared" si="53"/>
        <v/>
      </c>
      <c r="EX38" s="272" t="str">
        <f t="shared" si="54"/>
        <v/>
      </c>
      <c r="EY38" s="274" t="str">
        <f t="shared" si="55"/>
        <v/>
      </c>
      <c r="EZ38" s="272" t="str">
        <f t="shared" si="56"/>
        <v/>
      </c>
      <c r="FA38" s="274" t="str">
        <f t="shared" si="57"/>
        <v/>
      </c>
      <c r="FB38" s="530" t="str">
        <f>+IF($FC$1 = 1, IF(AE38 = "", "",IFERROR( VLOOKUP(N38, PreciosCalls, 13, FALSE), 0)),
IF($FC$1 = 2,  IF(AE38 = "", "",OptionGamma($AG$1,AE38,($BM$1/365), $V$15, $AZ$1, $V$17) * 1000)))</f>
        <v/>
      </c>
      <c r="FC38" s="530" t="str">
        <f>IF($FC$1 = 1, IF(AE38 = "", "",IFERROR( VLOOKUP(N38, PreciosCalls, 14, FALSE), 0)),
IF($FC$1 = 2, IF(AE38 = "", "",CallDelta($AG$1,AE38,($BM$1/365), $V$15, $AZ$1, $V$17) * 100)))</f>
        <v/>
      </c>
      <c r="FD38" s="531" t="str">
        <f t="shared" si="58"/>
        <v/>
      </c>
      <c r="FE38" s="530" t="str">
        <f t="shared" si="59"/>
        <v/>
      </c>
      <c r="FF38" s="217"/>
      <c r="FG38" s="273" t="str">
        <f t="shared" si="60"/>
        <v/>
      </c>
      <c r="FH38" s="273" t="str">
        <f t="shared" si="61"/>
        <v/>
      </c>
      <c r="FI38" s="451" t="str">
        <f t="shared" si="62"/>
        <v/>
      </c>
      <c r="FJ38" s="419" t="str">
        <f>+IF(AE38 = "", "",ImpliedPutVolatility($AG$1, $AE38,($BM$1/365), $V$15, BI38, $V$17) * 100)</f>
        <v/>
      </c>
      <c r="FK38" s="419" t="str">
        <f>+IF(AE38 = "", "",ImpliedPutVolatility($AG$1, $AE38,($BM$1/365), $V$15, BM38, $V$17) * 100)</f>
        <v/>
      </c>
      <c r="FL38" s="419" t="str">
        <f>+IF(AE38 = "", "",ImpliedPutVolatility($AG$1, $AE38,($BM$1/365), $V$15, BO38, $V$17) * 100)</f>
        <v/>
      </c>
      <c r="FM38" s="415" t="str">
        <f t="shared" si="63"/>
        <v/>
      </c>
      <c r="FN38" s="415" t="str">
        <f t="shared" si="64"/>
        <v/>
      </c>
      <c r="FO38" s="415" t="str">
        <f t="shared" si="65"/>
        <v/>
      </c>
      <c r="FP38" s="417" t="str">
        <f>IF($FX$1=1, IF(AE38 = "", "",OptionGamma($AG$1,AE38,($BM$1/365), $V$15, $AZ$1, $V$17) * 1000),
IF($FX$1 = 2, IF(OR(AE38 = "", BM38 =  0), "",((BM38 * (1 - COMIS_OPCION)) / (AE38 * (1 + COMIS_ACCION))) * 100 / $BM$1 * 365)))</f>
        <v/>
      </c>
      <c r="FQ38" s="289" t="str">
        <f>+IF(AE38 = "", "",PutOption($AG$1, $AE38,($BM$1/365), $V$15, $AZ$1, $V$17))</f>
        <v/>
      </c>
      <c r="FR38" s="279"/>
      <c r="FS38" s="284" t="str">
        <f t="shared" si="66"/>
        <v/>
      </c>
      <c r="FT38" s="284" t="str">
        <f t="shared" si="67"/>
        <v/>
      </c>
      <c r="FU38" s="279"/>
      <c r="FV38" s="279"/>
      <c r="FW38" s="287">
        <f>+IF($FX$1 = 1, IFERROR(VLOOKUP(P38, PreciosPuts, 13, FALSE), 0),
IF($FX$1 = 2, IF(AE38 = "", "",OptionGamma($AG$1,AE38,($BM$1/365), $V$15, $AZ$1, $V$17) * 1000)))</f>
        <v>0</v>
      </c>
      <c r="FX38" s="287" t="str">
        <f>+IF($FX$1=1, IF(AE38 = "", "",IFERROR(VLOOKUP(P38, PreciosPuts, 14, FALSE), 0)),
IF($FX$1=2, IF(AE38 = "", "",Putdelta($AG$1,AE38,($BM$1/365), $V$15, $AZ$1, $V$17) * 100)))</f>
        <v/>
      </c>
      <c r="FY38" s="286" t="str">
        <f t="shared" si="69"/>
        <v/>
      </c>
      <c r="FZ38" s="287" t="str">
        <f t="shared" si="70"/>
        <v/>
      </c>
      <c r="GA38" s="217"/>
      <c r="GB38" s="281"/>
      <c r="GC38" s="281"/>
      <c r="GD38" s="217"/>
      <c r="GE38" s="301" t="str">
        <f t="shared" si="71"/>
        <v/>
      </c>
      <c r="GF38" s="292" t="str">
        <f t="shared" si="72"/>
        <v/>
      </c>
      <c r="GG38" s="293" t="str">
        <f t="shared" si="73"/>
        <v/>
      </c>
      <c r="GH38" s="294" t="str">
        <f t="shared" si="124"/>
        <v/>
      </c>
      <c r="GI38" s="294">
        <v>32</v>
      </c>
      <c r="GJ38" s="217"/>
      <c r="GK38" s="305" t="str">
        <f t="shared" si="74"/>
        <v/>
      </c>
      <c r="GL38" s="299" t="str">
        <f t="shared" si="75"/>
        <v/>
      </c>
      <c r="GM38" s="300" t="str">
        <f t="shared" si="76"/>
        <v/>
      </c>
      <c r="GN38" s="225" t="str">
        <f t="shared" si="121"/>
        <v/>
      </c>
      <c r="GO38" s="225">
        <v>32</v>
      </c>
      <c r="GP38" s="217"/>
      <c r="GQ38" s="217"/>
      <c r="GR38" s="401" t="str">
        <f t="shared" si="132"/>
        <v/>
      </c>
      <c r="GT38" s="282" t="str">
        <f t="shared" si="78"/>
        <v/>
      </c>
      <c r="GU38" s="282" t="str">
        <f t="shared" si="79"/>
        <v/>
      </c>
      <c r="GV38" s="282" t="str">
        <f t="shared" si="80"/>
        <v/>
      </c>
      <c r="GW38" s="282" t="str">
        <f t="shared" si="81"/>
        <v/>
      </c>
      <c r="GX38" s="282" t="str">
        <f t="shared" si="82"/>
        <v/>
      </c>
      <c r="GY38" s="282" t="str">
        <f t="shared" si="83"/>
        <v/>
      </c>
      <c r="GZ38" s="282" t="str">
        <f t="shared" si="115"/>
        <v/>
      </c>
      <c r="HA38" s="282" t="str">
        <f t="shared" si="84"/>
        <v/>
      </c>
      <c r="HB38" s="282" t="str">
        <f t="shared" si="116"/>
        <v/>
      </c>
      <c r="HC38" s="607" t="str">
        <f t="shared" si="85"/>
        <v/>
      </c>
      <c r="HD38" s="282" t="str">
        <f t="shared" si="86"/>
        <v/>
      </c>
      <c r="HE38" s="282" t="str">
        <f t="shared" si="87"/>
        <v/>
      </c>
      <c r="HF38" s="282" t="str">
        <f t="shared" si="88"/>
        <v/>
      </c>
      <c r="HG38" s="217"/>
      <c r="HH38" s="282" t="str">
        <f t="shared" si="89"/>
        <v/>
      </c>
      <c r="HI38" s="282" t="str">
        <f t="shared" si="90"/>
        <v/>
      </c>
      <c r="HJ38" s="282"/>
      <c r="HK38" s="282"/>
      <c r="HL38" s="217"/>
      <c r="HM38" s="420"/>
      <c r="HN38" s="420"/>
      <c r="HO38" s="420"/>
      <c r="HP38" s="420"/>
      <c r="HQ38" s="282" t="str">
        <f t="shared" si="91"/>
        <v/>
      </c>
      <c r="HR38" s="420"/>
      <c r="HS38" s="420"/>
      <c r="HT38" s="420"/>
      <c r="HU38" s="420"/>
      <c r="HV38" s="420"/>
      <c r="HW38" s="420"/>
      <c r="HX38" s="425"/>
      <c r="HY38" s="338"/>
      <c r="HZ38" s="338"/>
      <c r="IA38" s="161"/>
      <c r="IB38" s="161"/>
      <c r="IC38" s="162"/>
      <c r="ID38" s="162"/>
      <c r="IE38" s="49"/>
      <c r="IF38" s="55"/>
      <c r="IG38" s="58"/>
      <c r="IH38" s="545" t="str">
        <f t="shared" si="117"/>
        <v/>
      </c>
      <c r="IJ38" s="146">
        <v>32</v>
      </c>
      <c r="IK38" s="545" t="str">
        <f t="shared" si="142"/>
        <v/>
      </c>
      <c r="IL38" s="106" t="str">
        <f t="shared" si="93"/>
        <v/>
      </c>
      <c r="IM38" s="110" t="str">
        <f t="shared" si="160"/>
        <v/>
      </c>
      <c r="IN38" s="111" t="str">
        <f t="shared" si="161"/>
        <v/>
      </c>
      <c r="IO38" s="50" t="str">
        <f t="shared" si="162"/>
        <v/>
      </c>
      <c r="IP38" s="50" t="str">
        <f t="shared" si="162"/>
        <v/>
      </c>
      <c r="IQ38" s="50" t="str">
        <f t="shared" si="162"/>
        <v/>
      </c>
      <c r="IR38" s="50" t="str">
        <f t="shared" si="162"/>
        <v/>
      </c>
      <c r="IS38" s="50" t="str">
        <f t="shared" si="162"/>
        <v/>
      </c>
      <c r="IT38" s="50" t="str">
        <f t="shared" si="162"/>
        <v/>
      </c>
      <c r="IU38" s="50" t="str">
        <f t="shared" si="162"/>
        <v/>
      </c>
      <c r="IV38" s="50" t="str">
        <f t="shared" si="162"/>
        <v/>
      </c>
      <c r="IW38" s="50" t="str">
        <f t="shared" si="162"/>
        <v/>
      </c>
      <c r="IX38" s="50" t="str">
        <f t="shared" si="162"/>
        <v/>
      </c>
      <c r="IY38" s="50" t="str">
        <f t="shared" si="163"/>
        <v/>
      </c>
      <c r="IZ38" s="50" t="str">
        <f t="shared" si="163"/>
        <v/>
      </c>
      <c r="JA38" s="50" t="str">
        <f t="shared" si="163"/>
        <v/>
      </c>
      <c r="JB38" s="50" t="str">
        <f t="shared" si="163"/>
        <v/>
      </c>
      <c r="JC38" s="50" t="str">
        <f t="shared" si="163"/>
        <v/>
      </c>
      <c r="JD38" s="50" t="str">
        <f t="shared" si="163"/>
        <v/>
      </c>
      <c r="JE38" s="50" t="str">
        <f t="shared" si="163"/>
        <v/>
      </c>
      <c r="JF38" s="50" t="str">
        <f t="shared" si="163"/>
        <v/>
      </c>
      <c r="JG38" s="50" t="str">
        <f t="shared" si="163"/>
        <v/>
      </c>
      <c r="JH38" s="50" t="str">
        <f t="shared" si="163"/>
        <v/>
      </c>
      <c r="JI38" s="50" t="str">
        <f t="shared" si="164"/>
        <v/>
      </c>
      <c r="JJ38" s="50" t="str">
        <f t="shared" si="164"/>
        <v/>
      </c>
      <c r="JK38" s="50" t="str">
        <f t="shared" si="164"/>
        <v/>
      </c>
      <c r="JL38" s="50" t="str">
        <f t="shared" si="164"/>
        <v/>
      </c>
      <c r="JM38" s="50" t="str">
        <f t="shared" si="164"/>
        <v/>
      </c>
      <c r="JN38" s="50" t="str">
        <f t="shared" si="164"/>
        <v/>
      </c>
      <c r="JO38" s="50" t="str">
        <f t="shared" si="164"/>
        <v/>
      </c>
      <c r="JP38" s="50" t="str">
        <f t="shared" si="164"/>
        <v/>
      </c>
      <c r="JQ38" s="50" t="str">
        <f t="shared" si="164"/>
        <v/>
      </c>
      <c r="JR38" s="50" t="str">
        <f t="shared" si="164"/>
        <v/>
      </c>
      <c r="JS38" s="50" t="str">
        <f t="shared" si="165"/>
        <v/>
      </c>
      <c r="JT38" s="50" t="str">
        <f t="shared" si="165"/>
        <v/>
      </c>
      <c r="JU38" s="50" t="str">
        <f t="shared" si="165"/>
        <v/>
      </c>
      <c r="JV38" s="50" t="str">
        <f t="shared" si="165"/>
        <v/>
      </c>
      <c r="JW38" s="50" t="str">
        <f t="shared" si="165"/>
        <v/>
      </c>
      <c r="JX38" s="50" t="str">
        <f t="shared" si="165"/>
        <v/>
      </c>
      <c r="JY38" s="50" t="str">
        <f t="shared" si="165"/>
        <v/>
      </c>
      <c r="JZ38" s="50" t="str">
        <f t="shared" si="165"/>
        <v/>
      </c>
      <c r="KA38" s="50" t="str">
        <f t="shared" si="165"/>
        <v/>
      </c>
      <c r="KB38" s="50" t="str">
        <f t="shared" si="165"/>
        <v/>
      </c>
      <c r="KC38" s="50" t="str">
        <f t="shared" si="165"/>
        <v/>
      </c>
      <c r="KD38" s="50" t="str">
        <f t="shared" si="165"/>
        <v/>
      </c>
    </row>
    <row r="39" spans="2:290" s="144" customFormat="1" ht="15" customHeight="1" thickBot="1">
      <c r="B39" s="146">
        <v>33</v>
      </c>
      <c r="C39" s="121" t="str">
        <f t="shared" si="99"/>
        <v/>
      </c>
      <c r="D39" s="121" t="str">
        <f t="shared" si="100"/>
        <v/>
      </c>
      <c r="E39" s="122" t="str">
        <f t="shared" si="1"/>
        <v/>
      </c>
      <c r="F39" s="123" t="str">
        <f t="shared" si="2"/>
        <v/>
      </c>
      <c r="G39" s="123" t="str">
        <f t="shared" si="3"/>
        <v/>
      </c>
      <c r="H39" s="124" t="str">
        <f t="shared" si="4"/>
        <v/>
      </c>
      <c r="I39" s="124" t="str">
        <f t="shared" si="5"/>
        <v/>
      </c>
      <c r="J39" s="124" t="str">
        <f t="shared" si="6"/>
        <v/>
      </c>
      <c r="K39" s="124" t="str">
        <f t="shared" si="7"/>
        <v/>
      </c>
      <c r="M39" s="158" t="str">
        <f t="shared" si="8"/>
        <v/>
      </c>
      <c r="N39" s="121" t="str">
        <f t="shared" si="9"/>
        <v/>
      </c>
      <c r="O39" s="158" t="str">
        <f t="shared" si="10"/>
        <v/>
      </c>
      <c r="P39" s="121" t="str">
        <f t="shared" si="11"/>
        <v/>
      </c>
      <c r="R39" s="159"/>
      <c r="S39" s="160" t="str">
        <f t="shared" si="12"/>
        <v/>
      </c>
      <c r="U39" s="54"/>
      <c r="V39" s="54"/>
      <c r="X39" s="200">
        <v>33</v>
      </c>
      <c r="Y39" s="546" t="str">
        <f t="shared" si="13"/>
        <v/>
      </c>
      <c r="Z39" s="540" t="str">
        <f t="shared" si="153"/>
        <v/>
      </c>
      <c r="AA39" s="179"/>
      <c r="AB39" s="540" t="str">
        <f t="shared" si="154"/>
        <v/>
      </c>
      <c r="AC39" s="161"/>
      <c r="AD39" s="200">
        <v>33</v>
      </c>
      <c r="AE39" s="825" t="str">
        <f t="shared" si="146"/>
        <v/>
      </c>
      <c r="AF39" s="201"/>
      <c r="AG39" s="161"/>
      <c r="AH39" s="177">
        <f t="shared" si="102"/>
        <v>0</v>
      </c>
      <c r="AI39" s="166">
        <f t="shared" si="103"/>
        <v>0</v>
      </c>
      <c r="AJ39" s="179"/>
      <c r="AK39" s="177">
        <f t="shared" si="104"/>
        <v>0</v>
      </c>
      <c r="AL39" s="166">
        <f t="shared" si="105"/>
        <v>0</v>
      </c>
      <c r="AM39" s="179"/>
      <c r="AN39" s="177"/>
      <c r="AO39" s="166"/>
      <c r="AP39" s="179"/>
      <c r="AQ39" s="176" t="str">
        <f t="shared" si="106"/>
        <v/>
      </c>
      <c r="AR39" s="165" t="str">
        <f t="shared" si="107"/>
        <v/>
      </c>
      <c r="AS39" s="179"/>
      <c r="AT39" s="176" t="str">
        <f t="shared" si="108"/>
        <v/>
      </c>
      <c r="AU39" s="165" t="str">
        <f t="shared" si="109"/>
        <v/>
      </c>
      <c r="AV39" s="179"/>
      <c r="AW39" s="200">
        <f t="shared" si="16"/>
        <v>33</v>
      </c>
      <c r="AX39" s="170" t="str">
        <f t="shared" si="17"/>
        <v/>
      </c>
      <c r="AY39" s="164"/>
      <c r="AZ39" s="215">
        <f t="shared" si="18"/>
        <v>0</v>
      </c>
      <c r="BA39" s="197"/>
      <c r="BB39" s="228" t="str">
        <f t="shared" si="19"/>
        <v/>
      </c>
      <c r="BC39" s="161"/>
      <c r="BD39" s="240" t="str">
        <f t="shared" si="20"/>
        <v/>
      </c>
      <c r="BE39" s="196"/>
      <c r="BF39" s="240" t="str">
        <f t="shared" si="21"/>
        <v/>
      </c>
      <c r="BG39" s="196"/>
      <c r="BH39" s="189"/>
      <c r="BI39" s="227">
        <f t="shared" si="22"/>
        <v>0</v>
      </c>
      <c r="BJ39" s="197"/>
      <c r="BK39" s="167" t="str">
        <f t="shared" si="23"/>
        <v/>
      </c>
      <c r="BL39" s="161"/>
      <c r="BM39" s="240" t="str">
        <f t="shared" si="24"/>
        <v/>
      </c>
      <c r="BN39" s="196"/>
      <c r="BO39" s="240" t="str">
        <f t="shared" si="25"/>
        <v/>
      </c>
      <c r="BP39" s="196"/>
      <c r="BQ39" s="161"/>
      <c r="BR39" s="381"/>
      <c r="BS39" s="392" t="str">
        <f t="shared" si="122"/>
        <v/>
      </c>
      <c r="BT39" s="376"/>
      <c r="BU39" s="393" t="str">
        <f t="shared" si="156"/>
        <v/>
      </c>
      <c r="BV39" s="310"/>
      <c r="BW39" s="311" t="str">
        <f t="shared" si="110"/>
        <v/>
      </c>
      <c r="BX39" s="372"/>
      <c r="BY39" s="440"/>
      <c r="BZ39" s="432">
        <v>0.7</v>
      </c>
      <c r="CA39" s="372"/>
      <c r="CB39" s="572" t="str">
        <f t="shared" si="152"/>
        <v/>
      </c>
      <c r="CC39" s="567" t="str">
        <f t="shared" si="29"/>
        <v/>
      </c>
      <c r="CD39" s="814" t="str">
        <f t="shared" si="30"/>
        <v/>
      </c>
      <c r="CE39" s="569" t="str">
        <f t="shared" si="31"/>
        <v/>
      </c>
      <c r="CF39" s="574" t="str">
        <f t="shared" si="32"/>
        <v/>
      </c>
      <c r="CG39" s="372"/>
      <c r="CH39" s="435">
        <v>1.9990000000000001</v>
      </c>
      <c r="CI39" s="436"/>
      <c r="CJ39" s="372"/>
      <c r="CK39" s="391" t="str">
        <f t="shared" si="111"/>
        <v/>
      </c>
      <c r="CL39" s="396" t="str">
        <f t="shared" si="159"/>
        <v/>
      </c>
      <c r="CM39" s="370"/>
      <c r="CN39" s="161"/>
      <c r="CO39" s="161"/>
      <c r="CP39" s="161"/>
      <c r="CQ39" s="161"/>
      <c r="CR39" s="161"/>
      <c r="CS39" s="161"/>
      <c r="CT39" s="161"/>
      <c r="CU39" s="161"/>
      <c r="CV39" s="161"/>
      <c r="CW39" s="161"/>
      <c r="CX39" s="161"/>
      <c r="CY39" s="161"/>
      <c r="CZ39" s="161"/>
      <c r="DA39" s="161"/>
      <c r="DB39" s="161"/>
      <c r="DC39" s="161"/>
      <c r="DD39" s="161"/>
      <c r="DE39" s="161"/>
      <c r="DF39" s="161"/>
      <c r="DG39" s="161"/>
      <c r="DH39" s="161"/>
      <c r="DI39" s="161"/>
      <c r="DJ39" s="161"/>
      <c r="DK39" s="242" t="str">
        <f t="shared" si="123"/>
        <v/>
      </c>
      <c r="DL39" s="217"/>
      <c r="DM39" s="490" t="str">
        <f t="shared" si="34"/>
        <v/>
      </c>
      <c r="DN39" s="242" t="str">
        <f t="shared" si="35"/>
        <v/>
      </c>
      <c r="DO39" s="243" t="str">
        <f t="shared" si="36"/>
        <v/>
      </c>
      <c r="DP39" s="217"/>
      <c r="DQ39" s="252" t="str">
        <f t="shared" si="120"/>
        <v/>
      </c>
      <c r="DR39" s="217"/>
      <c r="DS39" s="242" t="str">
        <f t="shared" si="38"/>
        <v/>
      </c>
      <c r="DT39" s="242" t="str">
        <f t="shared" si="39"/>
        <v/>
      </c>
      <c r="DU39" s="244" t="str">
        <f t="shared" si="40"/>
        <v/>
      </c>
      <c r="DV39" s="217"/>
      <c r="DW39" s="428" t="str">
        <f>+IF(OR(AE39 = "", AND(AH39 = "", AK39 = "")), "",IFERROR(+AH39 * CallDelta($AG$1,AE39,($BM$1/365), $V$15, $AZ$1, $V$17), 0) + IFERROR(AK39 * Putdelta($AG$1,AE39,($BM$1/365), $V$15, $AZ$1, $V$17), 0))</f>
        <v/>
      </c>
      <c r="DX39" s="245" t="str">
        <f>+IF(OR(AE39 = "", AND(AH39 = "", AK39 = "")), "",IFERROR(+AH39 * OptionGamma($AG$1,AE39,($BM$1/365), $V$15, $AZ$1, $V$17), 0) + IFERROR(AK39 * OptionGamma($AG$1,AE39,($BM$1/365), $V$15, $AZ$1, $V$17), 0))</f>
        <v/>
      </c>
      <c r="DY39" s="161"/>
      <c r="DZ39" s="267" t="str">
        <f t="shared" si="127"/>
        <v/>
      </c>
      <c r="EA39" s="217"/>
      <c r="EB39" s="267" t="str">
        <f t="shared" si="42"/>
        <v/>
      </c>
      <c r="EC39" s="267" t="str">
        <f t="shared" si="43"/>
        <v/>
      </c>
      <c r="ED39" s="247" t="str">
        <f t="shared" si="44"/>
        <v/>
      </c>
      <c r="EE39" s="217"/>
      <c r="EF39" s="267" t="str">
        <f t="shared" si="129"/>
        <v/>
      </c>
      <c r="EG39" s="217"/>
      <c r="EH39" s="267" t="str">
        <f t="shared" si="46"/>
        <v/>
      </c>
      <c r="EI39" s="246" t="str">
        <f t="shared" si="47"/>
        <v/>
      </c>
      <c r="EJ39" s="248" t="str">
        <f t="shared" si="48"/>
        <v/>
      </c>
      <c r="EK39" s="217"/>
      <c r="EL39" s="251" t="str">
        <f>+IF(OR(AE39 = "", AND(AQ39 = "", AT39 = "")), "",IFERROR(+AQ39 * CallDelta($AG$1,AE39,($BM$1/365), $V$15, $AZ$1, $V$17), 0) + IFERROR(AT39 * Putdelta($AG$1,AE39,($BM$1/365), $V$15, $AZ$1, $V$17), 0))</f>
        <v/>
      </c>
      <c r="EM39" s="249" t="str">
        <f>+IF(OR(AE39 = "", AND(AQ39 = "", AT39 = "")), "",IFERROR(+AQ39 * OptionGamma($AG$1,AE39,($BM$1/365), $V$15, $AZ$1, $V$17), 0) + IFERROR(AT39 * OptionGamma($AG$1,AE39,($BM$1/365), $V$15, $AZ$1, $V$17), 0))</f>
        <v/>
      </c>
      <c r="EN39" s="451" t="str">
        <f t="shared" si="49"/>
        <v/>
      </c>
      <c r="EO39" s="418" t="str">
        <f>+IF(AE39 = "", "",ImpliedCallVolatility($AG$1, $AE39,($BM$1/365), $V$15, $AZ39, $V$17) * 100)</f>
        <v/>
      </c>
      <c r="EP39" s="418" t="str">
        <f>+IF(AE39 = "", "",ImpliedCallVolatility($AG$1, $AE39,($BM$1/365), $V$15, BD39, $V$17) * 100)</f>
        <v/>
      </c>
      <c r="EQ39" s="418" t="str">
        <f>+IF(AE39 = "", "",ImpliedCallVolatility($AG$1, $AE39,($BM$1/365), $V$15, BF39, $V$17) * 100)</f>
        <v/>
      </c>
      <c r="ER39" s="411" t="str">
        <f t="shared" si="50"/>
        <v/>
      </c>
      <c r="ES39" s="411" t="str">
        <f t="shared" si="51"/>
        <v/>
      </c>
      <c r="ET39" s="411" t="str">
        <f t="shared" si="52"/>
        <v/>
      </c>
      <c r="EU39" s="416" t="str">
        <f>IF($FC$1 = 1,
IF(AE39 = "", "",OptionGamma($AG$1,AE39,($BM$1/365), $V$15, $AZ$1, $V$17) * 1000),
IF($FC$1 = 2, IF(OR(AE39 = "", BD39 =  0), "",IF(AE39 &lt; $AG$1, (((AE39 * (1 - COMIS_ACCION)) / (($AG$1 * (1 + COMIS_ACCION)) - (BD39 * (1 - COMIS_OPCION)))) - 1) * 100 / $BM$1 * 365,((($AG$1 * (1 - COMIS_ACCION)) / (($AG$1 * (1 + COMIS_ACCION)) - (BD39 * (1 - COMIS_OPCION)))) - 1) * 100 / $BM$1 * 365))))</f>
        <v/>
      </c>
      <c r="EV39" s="276" t="str">
        <f>+IF(AE39 = "", "",CallOption($AG$1, $AE39,($BM$1/365), $V$15, $AZ$1, $V$17))</f>
        <v/>
      </c>
      <c r="EW39" s="271" t="str">
        <f t="shared" si="53"/>
        <v/>
      </c>
      <c r="EX39" s="272" t="str">
        <f t="shared" si="54"/>
        <v/>
      </c>
      <c r="EY39" s="274" t="str">
        <f t="shared" si="55"/>
        <v/>
      </c>
      <c r="EZ39" s="272" t="str">
        <f t="shared" si="56"/>
        <v/>
      </c>
      <c r="FA39" s="272" t="str">
        <f t="shared" si="57"/>
        <v/>
      </c>
      <c r="FB39" s="530" t="str">
        <f>+IF($FC$1 = 1, IF(AE39 = "", "",IFERROR( VLOOKUP(N39, PreciosCalls, 13, FALSE), 0)),
IF($FC$1 = 2,  IF(AE39 = "", "",OptionGamma($AG$1,AE39,($BM$1/365), $V$15, $AZ$1, $V$17) * 1000)))</f>
        <v/>
      </c>
      <c r="FC39" s="530" t="str">
        <f>IF($FC$1 = 1, IF(AE39 = "", "",IFERROR( VLOOKUP(N39, PreciosCalls, 14, FALSE), 0)),
IF($FC$1 = 2, IF(AE39 = "", "",CallDelta($AG$1,AE39,($BM$1/365), $V$15, $AZ$1, $V$17) * 100)))</f>
        <v/>
      </c>
      <c r="FD39" s="531" t="str">
        <f t="shared" si="58"/>
        <v/>
      </c>
      <c r="FE39" s="530" t="str">
        <f t="shared" si="59"/>
        <v/>
      </c>
      <c r="FF39" s="217"/>
      <c r="FG39" s="273" t="str">
        <f t="shared" si="60"/>
        <v/>
      </c>
      <c r="FH39" s="273" t="str">
        <f t="shared" si="61"/>
        <v/>
      </c>
      <c r="FI39" s="451" t="str">
        <f t="shared" si="62"/>
        <v/>
      </c>
      <c r="FJ39" s="419" t="str">
        <f>+IF(AE39 = "", "",ImpliedPutVolatility($AG$1, $AE39,($BM$1/365), $V$15, BI39, $V$17) * 100)</f>
        <v/>
      </c>
      <c r="FK39" s="419" t="str">
        <f>+IF(AE39 = "", "",ImpliedPutVolatility($AG$1, $AE39,($BM$1/365), $V$15, BM39, $V$17) * 100)</f>
        <v/>
      </c>
      <c r="FL39" s="419" t="str">
        <f>+IF(AE39 = "", "",ImpliedPutVolatility($AG$1, $AE39,($BM$1/365), $V$15, BO39, $V$17) * 100)</f>
        <v/>
      </c>
      <c r="FM39" s="415" t="str">
        <f t="shared" si="63"/>
        <v/>
      </c>
      <c r="FN39" s="415" t="str">
        <f t="shared" si="64"/>
        <v/>
      </c>
      <c r="FO39" s="415" t="str">
        <f t="shared" si="65"/>
        <v/>
      </c>
      <c r="FP39" s="417" t="str">
        <f>IF($FX$1=1, IF(AE39 = "", "",OptionGamma($AG$1,AE39,($BM$1/365), $V$15, $AZ$1, $V$17) * 1000),
IF($FX$1 = 2, IF(OR(AE39 = "", BM39 =  0), "",((BM39 * (1 - COMIS_OPCION)) / (AE39 * (1 + COMIS_ACCION))) * 100 / $BM$1 * 365)))</f>
        <v/>
      </c>
      <c r="FQ39" s="289" t="str">
        <f>+IF(AE39 = "", "",PutOption($AG$1, $AE39,($BM$1/365), $V$15, $AZ$1, $V$17))</f>
        <v/>
      </c>
      <c r="FR39" s="279"/>
      <c r="FS39" s="284" t="str">
        <f t="shared" si="66"/>
        <v/>
      </c>
      <c r="FT39" s="284" t="str">
        <f t="shared" si="67"/>
        <v/>
      </c>
      <c r="FU39" s="279"/>
      <c r="FV39" s="279"/>
      <c r="FW39" s="287">
        <f>+IF($FX$1 = 1, IFERROR(VLOOKUP(P39, PreciosPuts, 13, FALSE), 0),
IF($FX$1 = 2, IF(AE39 = "", "",OptionGamma($AG$1,AE39,($BM$1/365), $V$15, $AZ$1, $V$17) * 1000)))</f>
        <v>0</v>
      </c>
      <c r="FX39" s="287" t="str">
        <f>+IF($FX$1=1, IF(AE39 = "", "",IFERROR(VLOOKUP(P39, PreciosPuts, 14, FALSE), 0)),
IF($FX$1=2, IF(AE39 = "", "",Putdelta($AG$1,AE39,($BM$1/365), $V$15, $AZ$1, $V$17) * 100)))</f>
        <v/>
      </c>
      <c r="FY39" s="286" t="str">
        <f t="shared" si="69"/>
        <v/>
      </c>
      <c r="FZ39" s="287" t="str">
        <f t="shared" si="70"/>
        <v/>
      </c>
      <c r="GA39" s="217"/>
      <c r="GB39" s="281"/>
      <c r="GC39" s="281"/>
      <c r="GD39" s="217"/>
      <c r="GE39" s="301" t="str">
        <f t="shared" si="71"/>
        <v/>
      </c>
      <c r="GF39" s="292" t="str">
        <f t="shared" si="72"/>
        <v/>
      </c>
      <c r="GG39" s="293" t="str">
        <f t="shared" si="73"/>
        <v/>
      </c>
      <c r="GH39" s="294" t="str">
        <f t="shared" si="124"/>
        <v/>
      </c>
      <c r="GI39" s="294">
        <v>33</v>
      </c>
      <c r="GJ39" s="217"/>
      <c r="GK39" s="305" t="str">
        <f t="shared" si="74"/>
        <v/>
      </c>
      <c r="GL39" s="299" t="str">
        <f t="shared" si="75"/>
        <v/>
      </c>
      <c r="GM39" s="300" t="str">
        <f t="shared" si="76"/>
        <v/>
      </c>
      <c r="GN39" s="225" t="str">
        <f t="shared" si="121"/>
        <v/>
      </c>
      <c r="GO39" s="225">
        <v>33</v>
      </c>
      <c r="GP39" s="217"/>
      <c r="GQ39" s="217"/>
      <c r="GR39" s="401" t="str">
        <f t="shared" si="132"/>
        <v/>
      </c>
      <c r="GT39" s="282" t="str">
        <f t="shared" si="78"/>
        <v/>
      </c>
      <c r="GU39" s="282" t="str">
        <f t="shared" si="79"/>
        <v/>
      </c>
      <c r="GV39" s="282" t="str">
        <f t="shared" si="80"/>
        <v/>
      </c>
      <c r="GW39" s="282" t="str">
        <f t="shared" si="81"/>
        <v/>
      </c>
      <c r="GX39" s="282" t="str">
        <f t="shared" si="82"/>
        <v/>
      </c>
      <c r="GY39" s="282" t="str">
        <f t="shared" si="83"/>
        <v/>
      </c>
      <c r="GZ39" s="282" t="str">
        <f t="shared" si="115"/>
        <v/>
      </c>
      <c r="HA39" s="282" t="str">
        <f t="shared" si="84"/>
        <v/>
      </c>
      <c r="HB39" s="282" t="str">
        <f t="shared" si="116"/>
        <v/>
      </c>
      <c r="HC39" s="607" t="str">
        <f t="shared" si="85"/>
        <v/>
      </c>
      <c r="HD39" s="282" t="str">
        <f t="shared" si="86"/>
        <v/>
      </c>
      <c r="HE39" s="282" t="str">
        <f t="shared" si="87"/>
        <v/>
      </c>
      <c r="HF39" s="282" t="str">
        <f t="shared" si="88"/>
        <v/>
      </c>
      <c r="HG39" s="217"/>
      <c r="HH39" s="282" t="str">
        <f t="shared" si="89"/>
        <v/>
      </c>
      <c r="HI39" s="282" t="str">
        <f t="shared" si="90"/>
        <v/>
      </c>
      <c r="HJ39" s="282"/>
      <c r="HK39" s="282"/>
      <c r="HL39" s="217"/>
      <c r="HM39" s="420"/>
      <c r="HN39" s="420"/>
      <c r="HO39" s="420"/>
      <c r="HP39" s="420"/>
      <c r="HQ39" s="282" t="str">
        <f t="shared" si="91"/>
        <v/>
      </c>
      <c r="HR39" s="420"/>
      <c r="HS39" s="420"/>
      <c r="HT39" s="420"/>
      <c r="HU39" s="420"/>
      <c r="HV39" s="420"/>
      <c r="HW39" s="420"/>
      <c r="HX39" s="425"/>
      <c r="HY39" s="338"/>
      <c r="HZ39" s="338"/>
      <c r="IA39" s="161"/>
      <c r="IB39" s="161"/>
      <c r="IC39" s="162"/>
      <c r="ID39" s="162"/>
      <c r="IE39" s="49"/>
      <c r="IF39" s="55"/>
      <c r="IG39" s="58"/>
      <c r="IH39" s="545" t="str">
        <f t="shared" si="117"/>
        <v/>
      </c>
      <c r="IJ39" s="146">
        <v>33</v>
      </c>
      <c r="IK39" s="545" t="str">
        <f t="shared" si="142"/>
        <v/>
      </c>
      <c r="IL39" s="106" t="str">
        <f t="shared" si="93"/>
        <v/>
      </c>
      <c r="IM39" s="110" t="str">
        <f t="shared" si="160"/>
        <v/>
      </c>
      <c r="IN39" s="111" t="str">
        <f t="shared" si="161"/>
        <v/>
      </c>
      <c r="IO39" s="50" t="str">
        <f t="shared" si="162"/>
        <v/>
      </c>
      <c r="IP39" s="50" t="str">
        <f t="shared" si="162"/>
        <v/>
      </c>
      <c r="IQ39" s="50" t="str">
        <f t="shared" si="162"/>
        <v/>
      </c>
      <c r="IR39" s="50" t="str">
        <f t="shared" si="162"/>
        <v/>
      </c>
      <c r="IS39" s="50" t="str">
        <f t="shared" si="162"/>
        <v/>
      </c>
      <c r="IT39" s="50" t="str">
        <f t="shared" si="162"/>
        <v/>
      </c>
      <c r="IU39" s="50" t="str">
        <f t="shared" si="162"/>
        <v/>
      </c>
      <c r="IV39" s="50" t="str">
        <f t="shared" si="162"/>
        <v/>
      </c>
      <c r="IW39" s="50" t="str">
        <f t="shared" si="162"/>
        <v/>
      </c>
      <c r="IX39" s="50" t="str">
        <f t="shared" si="162"/>
        <v/>
      </c>
      <c r="IY39" s="50" t="str">
        <f t="shared" si="163"/>
        <v/>
      </c>
      <c r="IZ39" s="50" t="str">
        <f t="shared" si="163"/>
        <v/>
      </c>
      <c r="JA39" s="50" t="str">
        <f t="shared" si="163"/>
        <v/>
      </c>
      <c r="JB39" s="50" t="str">
        <f t="shared" si="163"/>
        <v/>
      </c>
      <c r="JC39" s="50" t="str">
        <f t="shared" si="163"/>
        <v/>
      </c>
      <c r="JD39" s="50" t="str">
        <f t="shared" si="163"/>
        <v/>
      </c>
      <c r="JE39" s="50" t="str">
        <f t="shared" si="163"/>
        <v/>
      </c>
      <c r="JF39" s="50" t="str">
        <f t="shared" si="163"/>
        <v/>
      </c>
      <c r="JG39" s="50" t="str">
        <f t="shared" si="163"/>
        <v/>
      </c>
      <c r="JH39" s="50" t="str">
        <f t="shared" si="163"/>
        <v/>
      </c>
      <c r="JI39" s="50" t="str">
        <f t="shared" si="164"/>
        <v/>
      </c>
      <c r="JJ39" s="50" t="str">
        <f t="shared" si="164"/>
        <v/>
      </c>
      <c r="JK39" s="50" t="str">
        <f t="shared" si="164"/>
        <v/>
      </c>
      <c r="JL39" s="50" t="str">
        <f t="shared" si="164"/>
        <v/>
      </c>
      <c r="JM39" s="50" t="str">
        <f t="shared" si="164"/>
        <v/>
      </c>
      <c r="JN39" s="50" t="str">
        <f t="shared" si="164"/>
        <v/>
      </c>
      <c r="JO39" s="50" t="str">
        <f t="shared" si="164"/>
        <v/>
      </c>
      <c r="JP39" s="50" t="str">
        <f t="shared" si="164"/>
        <v/>
      </c>
      <c r="JQ39" s="50" t="str">
        <f t="shared" si="164"/>
        <v/>
      </c>
      <c r="JR39" s="50" t="str">
        <f t="shared" si="164"/>
        <v/>
      </c>
      <c r="JS39" s="50" t="str">
        <f t="shared" si="165"/>
        <v/>
      </c>
      <c r="JT39" s="50" t="str">
        <f t="shared" si="165"/>
        <v/>
      </c>
      <c r="JU39" s="50" t="str">
        <f t="shared" si="165"/>
        <v/>
      </c>
      <c r="JV39" s="50" t="str">
        <f t="shared" si="165"/>
        <v/>
      </c>
      <c r="JW39" s="50" t="str">
        <f t="shared" si="165"/>
        <v/>
      </c>
      <c r="JX39" s="50" t="str">
        <f t="shared" si="165"/>
        <v/>
      </c>
      <c r="JY39" s="50" t="str">
        <f t="shared" si="165"/>
        <v/>
      </c>
      <c r="JZ39" s="50" t="str">
        <f t="shared" si="165"/>
        <v/>
      </c>
      <c r="KA39" s="50" t="str">
        <f t="shared" si="165"/>
        <v/>
      </c>
      <c r="KB39" s="50" t="str">
        <f t="shared" si="165"/>
        <v/>
      </c>
      <c r="KC39" s="50" t="str">
        <f t="shared" si="165"/>
        <v/>
      </c>
      <c r="KD39" s="50" t="str">
        <f t="shared" si="165"/>
        <v/>
      </c>
    </row>
    <row r="40" spans="2:290" s="144" customFormat="1" ht="15" customHeight="1" thickBot="1">
      <c r="B40" s="146">
        <v>34</v>
      </c>
      <c r="C40" s="121" t="str">
        <f t="shared" si="99"/>
        <v/>
      </c>
      <c r="D40" s="121" t="str">
        <f t="shared" si="100"/>
        <v/>
      </c>
      <c r="E40" s="122" t="str">
        <f t="shared" si="1"/>
        <v/>
      </c>
      <c r="F40" s="123" t="str">
        <f t="shared" si="2"/>
        <v/>
      </c>
      <c r="G40" s="123" t="str">
        <f t="shared" si="3"/>
        <v/>
      </c>
      <c r="H40" s="124" t="str">
        <f t="shared" si="4"/>
        <v/>
      </c>
      <c r="I40" s="124" t="str">
        <f t="shared" si="5"/>
        <v/>
      </c>
      <c r="J40" s="124" t="str">
        <f t="shared" si="6"/>
        <v/>
      </c>
      <c r="K40" s="124" t="str">
        <f t="shared" si="7"/>
        <v/>
      </c>
      <c r="M40" s="158" t="str">
        <f t="shared" si="8"/>
        <v/>
      </c>
      <c r="N40" s="121" t="str">
        <f t="shared" si="9"/>
        <v/>
      </c>
      <c r="O40" s="158" t="str">
        <f t="shared" si="10"/>
        <v/>
      </c>
      <c r="P40" s="121" t="str">
        <f t="shared" si="11"/>
        <v/>
      </c>
      <c r="R40" s="159"/>
      <c r="S40" s="160" t="str">
        <f t="shared" si="12"/>
        <v/>
      </c>
      <c r="U40" s="54"/>
      <c r="V40" s="54"/>
      <c r="X40" s="200">
        <v>34</v>
      </c>
      <c r="Y40" s="546" t="str">
        <f t="shared" si="13"/>
        <v/>
      </c>
      <c r="Z40" s="540" t="str">
        <f t="shared" si="153"/>
        <v/>
      </c>
      <c r="AA40" s="179"/>
      <c r="AB40" s="540" t="str">
        <f t="shared" si="154"/>
        <v/>
      </c>
      <c r="AC40" s="161"/>
      <c r="AD40" s="200">
        <v>34</v>
      </c>
      <c r="AE40" s="825" t="str">
        <f t="shared" si="146"/>
        <v/>
      </c>
      <c r="AF40" s="201"/>
      <c r="AG40" s="161"/>
      <c r="AH40" s="177">
        <f t="shared" si="102"/>
        <v>0</v>
      </c>
      <c r="AI40" s="166">
        <f t="shared" si="103"/>
        <v>0</v>
      </c>
      <c r="AJ40" s="179"/>
      <c r="AK40" s="177">
        <f t="shared" si="104"/>
        <v>0</v>
      </c>
      <c r="AL40" s="166">
        <f t="shared" si="105"/>
        <v>0</v>
      </c>
      <c r="AM40" s="179"/>
      <c r="AN40" s="177"/>
      <c r="AO40" s="166"/>
      <c r="AP40" s="179"/>
      <c r="AQ40" s="176" t="str">
        <f t="shared" si="106"/>
        <v/>
      </c>
      <c r="AR40" s="165" t="str">
        <f t="shared" si="107"/>
        <v/>
      </c>
      <c r="AS40" s="179"/>
      <c r="AT40" s="176" t="str">
        <f t="shared" si="108"/>
        <v/>
      </c>
      <c r="AU40" s="165" t="str">
        <f t="shared" si="109"/>
        <v/>
      </c>
      <c r="AV40" s="179"/>
      <c r="AW40" s="200">
        <f t="shared" si="16"/>
        <v>34</v>
      </c>
      <c r="AX40" s="170" t="str">
        <f t="shared" si="17"/>
        <v/>
      </c>
      <c r="AY40" s="164"/>
      <c r="AZ40" s="215">
        <f t="shared" si="18"/>
        <v>0</v>
      </c>
      <c r="BA40" s="197"/>
      <c r="BB40" s="228" t="str">
        <f t="shared" si="19"/>
        <v/>
      </c>
      <c r="BC40" s="161"/>
      <c r="BD40" s="240" t="str">
        <f t="shared" si="20"/>
        <v/>
      </c>
      <c r="BE40" s="196"/>
      <c r="BF40" s="240" t="str">
        <f t="shared" si="21"/>
        <v/>
      </c>
      <c r="BG40" s="196"/>
      <c r="BH40" s="189"/>
      <c r="BI40" s="227">
        <f t="shared" si="22"/>
        <v>0</v>
      </c>
      <c r="BJ40" s="197"/>
      <c r="BK40" s="167" t="str">
        <f t="shared" si="23"/>
        <v/>
      </c>
      <c r="BL40" s="161"/>
      <c r="BM40" s="240" t="str">
        <f t="shared" si="24"/>
        <v/>
      </c>
      <c r="BN40" s="196"/>
      <c r="BO40" s="240" t="str">
        <f t="shared" si="25"/>
        <v/>
      </c>
      <c r="BP40" s="196"/>
      <c r="BQ40" s="161"/>
      <c r="BR40" s="381"/>
      <c r="BS40" s="392" t="str">
        <f t="shared" si="122"/>
        <v/>
      </c>
      <c r="BT40" s="376"/>
      <c r="BU40" s="393" t="str">
        <f t="shared" si="126"/>
        <v/>
      </c>
      <c r="BV40" s="310"/>
      <c r="BW40" s="311" t="str">
        <f t="shared" si="110"/>
        <v/>
      </c>
      <c r="BX40" s="372"/>
      <c r="BY40" s="440"/>
      <c r="BZ40" s="432">
        <v>0.45200000000000001</v>
      </c>
      <c r="CA40" s="372"/>
      <c r="CB40" s="572" t="str">
        <f t="shared" si="152"/>
        <v/>
      </c>
      <c r="CC40" s="567" t="str">
        <f t="shared" si="29"/>
        <v/>
      </c>
      <c r="CD40" s="814" t="str">
        <f t="shared" si="30"/>
        <v/>
      </c>
      <c r="CE40" s="569" t="str">
        <f t="shared" si="31"/>
        <v/>
      </c>
      <c r="CF40" s="574" t="str">
        <f t="shared" si="32"/>
        <v/>
      </c>
      <c r="CG40" s="372"/>
      <c r="CH40" s="435">
        <v>1.7</v>
      </c>
      <c r="CI40" s="436"/>
      <c r="CJ40" s="372"/>
      <c r="CK40" s="391" t="str">
        <f t="shared" si="111"/>
        <v/>
      </c>
      <c r="CL40" s="396" t="str">
        <f t="shared" si="159"/>
        <v/>
      </c>
      <c r="CM40" s="370"/>
      <c r="CN40" s="161"/>
      <c r="CO40" s="161"/>
      <c r="CP40" s="161"/>
      <c r="CQ40" s="161"/>
      <c r="CR40" s="161"/>
      <c r="CS40" s="161"/>
      <c r="CT40" s="161"/>
      <c r="CU40" s="161"/>
      <c r="CV40" s="161"/>
      <c r="CW40" s="161"/>
      <c r="CX40" s="161"/>
      <c r="CY40" s="161"/>
      <c r="CZ40" s="161"/>
      <c r="DA40" s="161"/>
      <c r="DB40" s="161"/>
      <c r="DC40" s="161"/>
      <c r="DD40" s="161"/>
      <c r="DE40" s="161"/>
      <c r="DF40" s="161"/>
      <c r="DG40" s="161"/>
      <c r="DH40" s="161"/>
      <c r="DI40" s="161"/>
      <c r="DJ40" s="161"/>
      <c r="DK40" s="242" t="str">
        <f t="shared" si="123"/>
        <v/>
      </c>
      <c r="DL40" s="217"/>
      <c r="DM40" s="490" t="str">
        <f t="shared" si="34"/>
        <v/>
      </c>
      <c r="DN40" s="242" t="str">
        <f t="shared" si="35"/>
        <v/>
      </c>
      <c r="DO40" s="243" t="str">
        <f t="shared" si="36"/>
        <v/>
      </c>
      <c r="DP40" s="217"/>
      <c r="DQ40" s="252" t="str">
        <f t="shared" si="120"/>
        <v/>
      </c>
      <c r="DR40" s="217"/>
      <c r="DS40" s="242" t="str">
        <f t="shared" si="38"/>
        <v/>
      </c>
      <c r="DT40" s="242" t="str">
        <f t="shared" si="39"/>
        <v/>
      </c>
      <c r="DU40" s="244" t="str">
        <f t="shared" si="40"/>
        <v/>
      </c>
      <c r="DV40" s="217"/>
      <c r="DW40" s="428" t="str">
        <f>+IF(OR(AE40 = "", AND(AH40 = "", AK40 = "")), "",IFERROR(+AH40 * CallDelta($AG$1,AE40,($BM$1/365), $V$15, $AZ$1, $V$17), 0) + IFERROR(AK40 * Putdelta($AG$1,AE40,($BM$1/365), $V$15, $AZ$1, $V$17), 0))</f>
        <v/>
      </c>
      <c r="DX40" s="245" t="str">
        <f>+IF(OR(AE40 = "", AND(AH40 = "", AK40 = "")), "",IFERROR(+AH40 * OptionGamma($AG$1,AE40,($BM$1/365), $V$15, $AZ$1, $V$17), 0) + IFERROR(AK40 * OptionGamma($AG$1,AE40,($BM$1/365), $V$15, $AZ$1, $V$17), 0))</f>
        <v/>
      </c>
      <c r="DY40" s="161"/>
      <c r="DZ40" s="267" t="str">
        <f t="shared" si="127"/>
        <v/>
      </c>
      <c r="EA40" s="217"/>
      <c r="EB40" s="267" t="str">
        <f t="shared" si="42"/>
        <v/>
      </c>
      <c r="EC40" s="267" t="str">
        <f t="shared" si="43"/>
        <v/>
      </c>
      <c r="ED40" s="247" t="str">
        <f t="shared" si="44"/>
        <v/>
      </c>
      <c r="EE40" s="217"/>
      <c r="EF40" s="267" t="str">
        <f t="shared" si="129"/>
        <v/>
      </c>
      <c r="EG40" s="217"/>
      <c r="EH40" s="267" t="str">
        <f t="shared" si="46"/>
        <v/>
      </c>
      <c r="EI40" s="246" t="str">
        <f t="shared" si="47"/>
        <v/>
      </c>
      <c r="EJ40" s="248" t="str">
        <f t="shared" si="48"/>
        <v/>
      </c>
      <c r="EK40" s="217"/>
      <c r="EL40" s="251" t="str">
        <f>+IF(OR(AE40 = "", AND(AQ40 = "", AT40 = "")), "",IFERROR(+AQ40 * CallDelta($AG$1,AE40,($BM$1/365), $V$15, $AZ$1, $V$17), 0) + IFERROR(AT40 * Putdelta($AG$1,AE40,($BM$1/365), $V$15, $AZ$1, $V$17), 0))</f>
        <v/>
      </c>
      <c r="EM40" s="249" t="str">
        <f>+IF(OR(AE40 = "", AND(AQ40 = "", AT40 = "")), "",IFERROR(+AQ40 * OptionGamma($AG$1,AE40,($BM$1/365), $V$15, $AZ$1, $V$17), 0) + IFERROR(AT40 * OptionGamma($AG$1,AE40,($BM$1/365), $V$15, $AZ$1, $V$17), 0))</f>
        <v/>
      </c>
      <c r="EN40" s="451" t="str">
        <f t="shared" si="49"/>
        <v/>
      </c>
      <c r="EO40" s="418" t="str">
        <f>+IF(AE40 = "", "",ImpliedCallVolatility($AG$1, $AE40,($BM$1/365), $V$15, $AZ40, $V$17) * 100)</f>
        <v/>
      </c>
      <c r="EP40" s="418" t="str">
        <f>+IF(AE40 = "", "",ImpliedCallVolatility($AG$1, $AE40,($BM$1/365), $V$15, BD40, $V$17) * 100)</f>
        <v/>
      </c>
      <c r="EQ40" s="418" t="str">
        <f>+IF(AE40 = "", "",ImpliedCallVolatility($AG$1, $AE40,($BM$1/365), $V$15, BF40, $V$17) * 100)</f>
        <v/>
      </c>
      <c r="ER40" s="411" t="str">
        <f t="shared" si="50"/>
        <v/>
      </c>
      <c r="ES40" s="411" t="str">
        <f t="shared" si="51"/>
        <v/>
      </c>
      <c r="ET40" s="411" t="str">
        <f t="shared" si="52"/>
        <v/>
      </c>
      <c r="EU40" s="416" t="str">
        <f>IF($FC$1 = 1,
IF(AE40 = "", "",OptionGamma($AG$1,AE40,($BM$1/365), $V$15, $AZ$1, $V$17) * 1000),
IF($FC$1 = 2, IF(OR(AE40 = "", BD40 =  0), "",IF(AE40 &lt; $AG$1, (((AE40 * (1 - COMIS_ACCION)) / (($AG$1 * (1 + COMIS_ACCION)) - (BD40 * (1 - COMIS_OPCION)))) - 1) * 100 / $BM$1 * 365,((($AG$1 * (1 - COMIS_ACCION)) / (($AG$1 * (1 + COMIS_ACCION)) - (BD40 * (1 - COMIS_OPCION)))) - 1) * 100 / $BM$1 * 365))))</f>
        <v/>
      </c>
      <c r="EV40" s="276" t="str">
        <f>+IF(AE40 = "", "",CallOption($AG$1, $AE40,($BM$1/365), $V$15, $AZ$1, $V$17))</f>
        <v/>
      </c>
      <c r="EW40" s="271" t="str">
        <f t="shared" si="53"/>
        <v/>
      </c>
      <c r="EX40" s="272" t="str">
        <f t="shared" si="54"/>
        <v/>
      </c>
      <c r="EY40" s="274" t="str">
        <f t="shared" si="55"/>
        <v/>
      </c>
      <c r="EZ40" s="272" t="str">
        <f t="shared" si="56"/>
        <v/>
      </c>
      <c r="FA40" s="272" t="str">
        <f t="shared" si="57"/>
        <v/>
      </c>
      <c r="FB40" s="530" t="str">
        <f>+IF($FC$1 = 1, IF(AE40 = "", "",IFERROR( VLOOKUP(N40, PreciosCalls, 13, FALSE), 0)),
IF($FC$1 = 2,  IF(AE40 = "", "",OptionGamma($AG$1,AE40,($BM$1/365), $V$15, $AZ$1, $V$17) * 1000)))</f>
        <v/>
      </c>
      <c r="FC40" s="530" t="str">
        <f>IF($FC$1 = 1, IF(AE40 = "", "",IFERROR( VLOOKUP(N40, PreciosCalls, 14, FALSE), 0)),
IF($FC$1 = 2, IF(AE40 = "", "",CallDelta($AG$1,AE40,($BM$1/365), $V$15, $AZ$1, $V$17) * 100)))</f>
        <v/>
      </c>
      <c r="FD40" s="531" t="str">
        <f t="shared" si="58"/>
        <v/>
      </c>
      <c r="FE40" s="530" t="str">
        <f t="shared" si="59"/>
        <v/>
      </c>
      <c r="FF40" s="217"/>
      <c r="FG40" s="273" t="str">
        <f t="shared" si="60"/>
        <v/>
      </c>
      <c r="FH40" s="273" t="str">
        <f t="shared" si="61"/>
        <v/>
      </c>
      <c r="FI40" s="451" t="str">
        <f t="shared" si="62"/>
        <v/>
      </c>
      <c r="FJ40" s="419" t="str">
        <f>+IF(AE40 = "", "",ImpliedPutVolatility($AG$1, $AE40,($BM$1/365), $V$15, BI40, $V$17) * 100)</f>
        <v/>
      </c>
      <c r="FK40" s="419" t="str">
        <f>+IF(AE40 = "", "",ImpliedPutVolatility($AG$1, $AE40,($BM$1/365), $V$15, BM40, $V$17) * 100)</f>
        <v/>
      </c>
      <c r="FL40" s="419" t="str">
        <f>+IF(AE40 = "", "",ImpliedPutVolatility($AG$1, $AE40,($BM$1/365), $V$15, BO40, $V$17) * 100)</f>
        <v/>
      </c>
      <c r="FM40" s="415" t="str">
        <f t="shared" si="63"/>
        <v/>
      </c>
      <c r="FN40" s="415" t="str">
        <f t="shared" si="64"/>
        <v/>
      </c>
      <c r="FO40" s="415" t="str">
        <f t="shared" si="65"/>
        <v/>
      </c>
      <c r="FP40" s="417" t="str">
        <f>IF($FX$1=1, IF(AE40 = "", "",OptionGamma($AG$1,AE40,($BM$1/365), $V$15, $AZ$1, $V$17) * 1000),
IF($FX$1 = 2, IF(OR(AE40 = "", BM40 =  0), "",((BM40 * (1 - COMIS_OPCION)) / (AE40 * (1 + COMIS_ACCION))) * 100 / $BM$1 * 365)))</f>
        <v/>
      </c>
      <c r="FQ40" s="289" t="str">
        <f>+IF(AE40 = "", "",PutOption($AG$1, $AE40,($BM$1/365), $V$15, $AZ$1, $V$17))</f>
        <v/>
      </c>
      <c r="FR40" s="279"/>
      <c r="FS40" s="284" t="str">
        <f t="shared" si="66"/>
        <v/>
      </c>
      <c r="FT40" s="284" t="str">
        <f t="shared" si="67"/>
        <v/>
      </c>
      <c r="FU40" s="279"/>
      <c r="FV40" s="279"/>
      <c r="FW40" s="287">
        <f>+IF($FX$1 = 1, IFERROR(VLOOKUP(P40, PreciosPuts, 13, FALSE), 0),
IF($FX$1 = 2, IF(AE40 = "", "",OptionGamma($AG$1,AE40,($BM$1/365), $V$15, $AZ$1, $V$17) * 1000)))</f>
        <v>0</v>
      </c>
      <c r="FX40" s="287" t="str">
        <f>+IF($FX$1=1, IF(AE40 = "", "",IFERROR(VLOOKUP(P40, PreciosPuts, 14, FALSE), 0)),
IF($FX$1=2, IF(AE40 = "", "",Putdelta($AG$1,AE40,($BM$1/365), $V$15, $AZ$1, $V$17) * 100)))</f>
        <v/>
      </c>
      <c r="FY40" s="286" t="str">
        <f t="shared" si="69"/>
        <v/>
      </c>
      <c r="FZ40" s="287" t="str">
        <f t="shared" si="70"/>
        <v/>
      </c>
      <c r="GA40" s="217"/>
      <c r="GB40" s="281"/>
      <c r="GC40" s="281"/>
      <c r="GD40" s="217"/>
      <c r="GE40" s="301" t="str">
        <f t="shared" si="71"/>
        <v/>
      </c>
      <c r="GF40" s="292" t="str">
        <f t="shared" si="72"/>
        <v/>
      </c>
      <c r="GG40" s="293" t="str">
        <f t="shared" si="73"/>
        <v/>
      </c>
      <c r="GH40" s="294" t="str">
        <f t="shared" si="124"/>
        <v/>
      </c>
      <c r="GI40" s="294">
        <v>34</v>
      </c>
      <c r="GJ40" s="217"/>
      <c r="GK40" s="305" t="str">
        <f t="shared" si="74"/>
        <v/>
      </c>
      <c r="GL40" s="299" t="str">
        <f t="shared" si="75"/>
        <v/>
      </c>
      <c r="GM40" s="300" t="str">
        <f t="shared" si="76"/>
        <v/>
      </c>
      <c r="GN40" s="225" t="str">
        <f t="shared" si="121"/>
        <v/>
      </c>
      <c r="GO40" s="225">
        <v>34</v>
      </c>
      <c r="GP40" s="217"/>
      <c r="GQ40" s="217"/>
      <c r="GR40" s="401" t="str">
        <f t="shared" si="132"/>
        <v/>
      </c>
      <c r="GT40" s="282" t="str">
        <f t="shared" si="78"/>
        <v/>
      </c>
      <c r="GU40" s="282" t="str">
        <f t="shared" si="79"/>
        <v/>
      </c>
      <c r="GV40" s="282" t="str">
        <f t="shared" si="80"/>
        <v/>
      </c>
      <c r="GW40" s="282" t="str">
        <f t="shared" si="81"/>
        <v/>
      </c>
      <c r="GX40" s="282" t="str">
        <f t="shared" si="82"/>
        <v/>
      </c>
      <c r="GY40" s="282" t="str">
        <f t="shared" si="83"/>
        <v/>
      </c>
      <c r="GZ40" s="282" t="str">
        <f t="shared" si="115"/>
        <v/>
      </c>
      <c r="HA40" s="282" t="str">
        <f t="shared" si="84"/>
        <v/>
      </c>
      <c r="HB40" s="282" t="str">
        <f t="shared" si="116"/>
        <v/>
      </c>
      <c r="HC40" s="607" t="str">
        <f t="shared" si="85"/>
        <v/>
      </c>
      <c r="HD40" s="282" t="str">
        <f t="shared" si="86"/>
        <v/>
      </c>
      <c r="HE40" s="282" t="str">
        <f t="shared" si="87"/>
        <v/>
      </c>
      <c r="HF40" s="282" t="str">
        <f t="shared" si="88"/>
        <v/>
      </c>
      <c r="HG40" s="217"/>
      <c r="HH40" s="282" t="str">
        <f t="shared" si="89"/>
        <v/>
      </c>
      <c r="HI40" s="282" t="str">
        <f t="shared" si="90"/>
        <v/>
      </c>
      <c r="HJ40" s="282"/>
      <c r="HK40" s="282"/>
      <c r="HL40" s="217"/>
      <c r="HM40" s="420"/>
      <c r="HN40" s="420"/>
      <c r="HO40" s="420"/>
      <c r="HP40" s="420"/>
      <c r="HQ40" s="282" t="str">
        <f t="shared" si="91"/>
        <v/>
      </c>
      <c r="HR40" s="420"/>
      <c r="HS40" s="420"/>
      <c r="HT40" s="420"/>
      <c r="HU40" s="420"/>
      <c r="HV40" s="420"/>
      <c r="HW40" s="420"/>
      <c r="HX40" s="425"/>
      <c r="HY40" s="338"/>
      <c r="HZ40" s="338"/>
      <c r="IA40" s="161"/>
      <c r="IB40" s="161"/>
      <c r="IC40" s="162"/>
      <c r="ID40" s="162"/>
      <c r="IE40" s="49"/>
      <c r="IF40" s="55"/>
      <c r="IG40" s="58"/>
      <c r="IH40" s="545" t="str">
        <f t="shared" si="117"/>
        <v/>
      </c>
      <c r="IJ40" s="146">
        <v>34</v>
      </c>
      <c r="IK40" s="545" t="str">
        <f t="shared" si="142"/>
        <v/>
      </c>
      <c r="IL40" s="106" t="str">
        <f t="shared" si="93"/>
        <v/>
      </c>
      <c r="IM40" s="110" t="str">
        <f t="shared" si="160"/>
        <v/>
      </c>
      <c r="IN40" s="111" t="str">
        <f t="shared" si="161"/>
        <v/>
      </c>
      <c r="IO40" s="50" t="str">
        <f t="shared" si="162"/>
        <v/>
      </c>
      <c r="IP40" s="50" t="str">
        <f t="shared" si="162"/>
        <v/>
      </c>
      <c r="IQ40" s="50" t="str">
        <f t="shared" si="162"/>
        <v/>
      </c>
      <c r="IR40" s="50" t="str">
        <f t="shared" si="162"/>
        <v/>
      </c>
      <c r="IS40" s="50" t="str">
        <f t="shared" si="162"/>
        <v/>
      </c>
      <c r="IT40" s="50" t="str">
        <f t="shared" si="162"/>
        <v/>
      </c>
      <c r="IU40" s="50" t="str">
        <f t="shared" si="162"/>
        <v/>
      </c>
      <c r="IV40" s="50" t="str">
        <f t="shared" si="162"/>
        <v/>
      </c>
      <c r="IW40" s="50" t="str">
        <f t="shared" si="162"/>
        <v/>
      </c>
      <c r="IX40" s="50" t="str">
        <f t="shared" si="162"/>
        <v/>
      </c>
      <c r="IY40" s="50" t="str">
        <f t="shared" si="163"/>
        <v/>
      </c>
      <c r="IZ40" s="50" t="str">
        <f t="shared" si="163"/>
        <v/>
      </c>
      <c r="JA40" s="50" t="str">
        <f t="shared" si="163"/>
        <v/>
      </c>
      <c r="JB40" s="50" t="str">
        <f t="shared" si="163"/>
        <v/>
      </c>
      <c r="JC40" s="50" t="str">
        <f t="shared" si="163"/>
        <v/>
      </c>
      <c r="JD40" s="50" t="str">
        <f t="shared" si="163"/>
        <v/>
      </c>
      <c r="JE40" s="50" t="str">
        <f t="shared" si="163"/>
        <v/>
      </c>
      <c r="JF40" s="50" t="str">
        <f t="shared" si="163"/>
        <v/>
      </c>
      <c r="JG40" s="50" t="str">
        <f t="shared" si="163"/>
        <v/>
      </c>
      <c r="JH40" s="50" t="str">
        <f t="shared" si="163"/>
        <v/>
      </c>
      <c r="JI40" s="50" t="str">
        <f t="shared" si="164"/>
        <v/>
      </c>
      <c r="JJ40" s="50" t="str">
        <f t="shared" si="164"/>
        <v/>
      </c>
      <c r="JK40" s="50" t="str">
        <f t="shared" si="164"/>
        <v/>
      </c>
      <c r="JL40" s="50" t="str">
        <f t="shared" si="164"/>
        <v/>
      </c>
      <c r="JM40" s="50" t="str">
        <f t="shared" si="164"/>
        <v/>
      </c>
      <c r="JN40" s="50" t="str">
        <f t="shared" si="164"/>
        <v/>
      </c>
      <c r="JO40" s="50" t="str">
        <f t="shared" si="164"/>
        <v/>
      </c>
      <c r="JP40" s="50" t="str">
        <f t="shared" si="164"/>
        <v/>
      </c>
      <c r="JQ40" s="50" t="str">
        <f t="shared" si="164"/>
        <v/>
      </c>
      <c r="JR40" s="50" t="str">
        <f t="shared" si="164"/>
        <v/>
      </c>
      <c r="JS40" s="50" t="str">
        <f t="shared" si="165"/>
        <v/>
      </c>
      <c r="JT40" s="50" t="str">
        <f t="shared" si="165"/>
        <v/>
      </c>
      <c r="JU40" s="50" t="str">
        <f t="shared" si="165"/>
        <v/>
      </c>
      <c r="JV40" s="50" t="str">
        <f t="shared" si="165"/>
        <v/>
      </c>
      <c r="JW40" s="50" t="str">
        <f t="shared" si="165"/>
        <v/>
      </c>
      <c r="JX40" s="50" t="str">
        <f t="shared" si="165"/>
        <v/>
      </c>
      <c r="JY40" s="50" t="str">
        <f t="shared" si="165"/>
        <v/>
      </c>
      <c r="JZ40" s="50" t="str">
        <f t="shared" si="165"/>
        <v/>
      </c>
      <c r="KA40" s="50" t="str">
        <f t="shared" si="165"/>
        <v/>
      </c>
      <c r="KB40" s="50" t="str">
        <f t="shared" si="165"/>
        <v/>
      </c>
      <c r="KC40" s="50" t="str">
        <f t="shared" si="165"/>
        <v/>
      </c>
      <c r="KD40" s="50" t="str">
        <f t="shared" si="165"/>
        <v/>
      </c>
    </row>
    <row r="41" spans="2:290" s="144" customFormat="1" ht="15" customHeight="1" thickBot="1">
      <c r="B41" s="146">
        <v>35</v>
      </c>
      <c r="C41" s="121" t="str">
        <f t="shared" si="99"/>
        <v/>
      </c>
      <c r="D41" s="121" t="str">
        <f t="shared" si="100"/>
        <v/>
      </c>
      <c r="E41" s="122" t="str">
        <f t="shared" si="1"/>
        <v/>
      </c>
      <c r="F41" s="123" t="str">
        <f t="shared" si="2"/>
        <v/>
      </c>
      <c r="G41" s="123" t="str">
        <f t="shared" si="3"/>
        <v/>
      </c>
      <c r="H41" s="124" t="str">
        <f t="shared" si="4"/>
        <v/>
      </c>
      <c r="I41" s="124" t="str">
        <f t="shared" si="5"/>
        <v/>
      </c>
      <c r="J41" s="124" t="str">
        <f t="shared" si="6"/>
        <v/>
      </c>
      <c r="K41" s="124" t="str">
        <f t="shared" si="7"/>
        <v/>
      </c>
      <c r="M41" s="158" t="str">
        <f t="shared" si="8"/>
        <v/>
      </c>
      <c r="N41" s="121" t="str">
        <f t="shared" si="9"/>
        <v/>
      </c>
      <c r="O41" s="158" t="str">
        <f t="shared" si="10"/>
        <v/>
      </c>
      <c r="P41" s="121" t="str">
        <f t="shared" si="11"/>
        <v/>
      </c>
      <c r="R41" s="159"/>
      <c r="S41" s="160" t="str">
        <f t="shared" si="12"/>
        <v/>
      </c>
      <c r="U41" s="54"/>
      <c r="V41" s="54"/>
      <c r="X41" s="200">
        <v>35</v>
      </c>
      <c r="Y41" s="546" t="str">
        <f t="shared" si="13"/>
        <v/>
      </c>
      <c r="Z41" s="540" t="str">
        <f t="shared" si="153"/>
        <v/>
      </c>
      <c r="AA41" s="179"/>
      <c r="AB41" s="540" t="str">
        <f t="shared" si="154"/>
        <v/>
      </c>
      <c r="AC41" s="161"/>
      <c r="AD41" s="200">
        <v>35</v>
      </c>
      <c r="AE41" s="825" t="str">
        <f t="shared" si="146"/>
        <v/>
      </c>
      <c r="AF41" s="201"/>
      <c r="AG41" s="161"/>
      <c r="AH41" s="177">
        <f t="shared" si="102"/>
        <v>0</v>
      </c>
      <c r="AI41" s="166">
        <f t="shared" si="103"/>
        <v>0</v>
      </c>
      <c r="AJ41" s="179"/>
      <c r="AK41" s="177">
        <f t="shared" si="104"/>
        <v>0</v>
      </c>
      <c r="AL41" s="166">
        <f t="shared" si="105"/>
        <v>0</v>
      </c>
      <c r="AM41" s="179"/>
      <c r="AN41" s="177"/>
      <c r="AO41" s="166"/>
      <c r="AP41" s="179"/>
      <c r="AQ41" s="176" t="str">
        <f t="shared" si="106"/>
        <v/>
      </c>
      <c r="AR41" s="165" t="str">
        <f t="shared" si="107"/>
        <v/>
      </c>
      <c r="AS41" s="179"/>
      <c r="AT41" s="176" t="str">
        <f t="shared" si="108"/>
        <v/>
      </c>
      <c r="AU41" s="165" t="str">
        <f t="shared" si="109"/>
        <v/>
      </c>
      <c r="AV41" s="179"/>
      <c r="AW41" s="200">
        <f t="shared" si="16"/>
        <v>35</v>
      </c>
      <c r="AX41" s="170" t="str">
        <f t="shared" si="17"/>
        <v/>
      </c>
      <c r="AY41" s="164"/>
      <c r="AZ41" s="215">
        <f t="shared" si="18"/>
        <v>0</v>
      </c>
      <c r="BA41" s="197"/>
      <c r="BB41" s="228" t="str">
        <f t="shared" si="19"/>
        <v/>
      </c>
      <c r="BC41" s="161"/>
      <c r="BD41" s="240" t="str">
        <f t="shared" si="20"/>
        <v/>
      </c>
      <c r="BE41" s="196"/>
      <c r="BF41" s="240" t="str">
        <f t="shared" si="21"/>
        <v/>
      </c>
      <c r="BG41" s="196"/>
      <c r="BH41" s="189"/>
      <c r="BI41" s="227">
        <f t="shared" si="22"/>
        <v>0</v>
      </c>
      <c r="BJ41" s="197"/>
      <c r="BK41" s="167" t="str">
        <f t="shared" si="23"/>
        <v/>
      </c>
      <c r="BL41" s="161"/>
      <c r="BM41" s="240" t="str">
        <f t="shared" si="24"/>
        <v/>
      </c>
      <c r="BN41" s="196"/>
      <c r="BO41" s="240" t="str">
        <f t="shared" si="25"/>
        <v/>
      </c>
      <c r="BP41" s="196"/>
      <c r="BQ41" s="161"/>
      <c r="BR41" s="381"/>
      <c r="BS41" s="392" t="str">
        <f t="shared" si="122"/>
        <v/>
      </c>
      <c r="BT41" s="376"/>
      <c r="BU41" s="393" t="str">
        <f>+IF(OR(CF41="", CB42="", CF41=0, CB42=0), "", IF($BU$1=FALSE, CF41-CB42, -CF41+CB42))</f>
        <v/>
      </c>
      <c r="BV41" s="310"/>
      <c r="BW41" s="311" t="str">
        <f t="shared" si="110"/>
        <v/>
      </c>
      <c r="BX41" s="372"/>
      <c r="BY41" s="440"/>
      <c r="BZ41" s="432">
        <v>1.401</v>
      </c>
      <c r="CA41" s="372"/>
      <c r="CB41" s="572" t="str">
        <f t="shared" si="152"/>
        <v/>
      </c>
      <c r="CC41" s="567" t="str">
        <f t="shared" si="29"/>
        <v/>
      </c>
      <c r="CD41" s="814" t="str">
        <f t="shared" si="30"/>
        <v/>
      </c>
      <c r="CE41" s="569" t="str">
        <f t="shared" si="31"/>
        <v/>
      </c>
      <c r="CF41" s="574" t="str">
        <f t="shared" si="32"/>
        <v/>
      </c>
      <c r="CG41" s="372"/>
      <c r="CH41" s="435">
        <v>0.4</v>
      </c>
      <c r="CI41" s="436"/>
      <c r="CJ41" s="372"/>
      <c r="CK41" s="391" t="str">
        <f t="shared" si="111"/>
        <v/>
      </c>
      <c r="CL41" s="396" t="str">
        <f t="shared" si="159"/>
        <v/>
      </c>
      <c r="CM41" s="370"/>
      <c r="CN41" s="161"/>
      <c r="CO41" s="161"/>
      <c r="CP41" s="161"/>
      <c r="CQ41" s="161"/>
      <c r="CR41" s="161"/>
      <c r="CS41" s="161"/>
      <c r="CT41" s="161"/>
      <c r="CU41" s="161"/>
      <c r="CV41" s="161"/>
      <c r="CW41" s="161"/>
      <c r="CX41" s="161"/>
      <c r="CY41" s="161"/>
      <c r="CZ41" s="161"/>
      <c r="DA41" s="161"/>
      <c r="DB41" s="161"/>
      <c r="DC41" s="161"/>
      <c r="DD41" s="161"/>
      <c r="DE41" s="161"/>
      <c r="DF41" s="161"/>
      <c r="DG41" s="161"/>
      <c r="DH41" s="161"/>
      <c r="DI41" s="161"/>
      <c r="DJ41" s="161"/>
      <c r="DK41" s="242" t="str">
        <f t="shared" si="123"/>
        <v/>
      </c>
      <c r="DL41" s="217"/>
      <c r="DM41" s="490" t="str">
        <f t="shared" si="34"/>
        <v/>
      </c>
      <c r="DN41" s="242" t="str">
        <f t="shared" si="35"/>
        <v/>
      </c>
      <c r="DO41" s="243" t="str">
        <f t="shared" si="36"/>
        <v/>
      </c>
      <c r="DP41" s="217"/>
      <c r="DQ41" s="252" t="str">
        <f t="shared" si="120"/>
        <v/>
      </c>
      <c r="DR41" s="217"/>
      <c r="DS41" s="242" t="str">
        <f t="shared" si="38"/>
        <v/>
      </c>
      <c r="DT41" s="242" t="str">
        <f t="shared" si="39"/>
        <v/>
      </c>
      <c r="DU41" s="244" t="str">
        <f t="shared" si="40"/>
        <v/>
      </c>
      <c r="DV41" s="217"/>
      <c r="DW41" s="428" t="str">
        <f>+IF(OR(AE41 = "", AND(AH41 = "", AK41 = "")), "",IFERROR(+AH41 * CallDelta($AG$1,AE41,($BM$1/365), $V$15, $AZ$1, $V$17), 0) + IFERROR(AK41 * Putdelta($AG$1,AE41,($BM$1/365), $V$15, $AZ$1, $V$17), 0))</f>
        <v/>
      </c>
      <c r="DX41" s="245" t="str">
        <f>+IF(OR(AE41 = "", AND(AH41 = "", AK41 = "")), "",IFERROR(+AH41 * OptionGamma($AG$1,AE41,($BM$1/365), $V$15, $AZ$1, $V$17), 0) + IFERROR(AK41 * OptionGamma($AG$1,AE41,($BM$1/365), $V$15, $AZ$1, $V$17), 0))</f>
        <v/>
      </c>
      <c r="DY41" s="161"/>
      <c r="DZ41" s="267" t="str">
        <f t="shared" si="127"/>
        <v/>
      </c>
      <c r="EA41" s="217"/>
      <c r="EB41" s="267" t="str">
        <f t="shared" si="42"/>
        <v/>
      </c>
      <c r="EC41" s="267" t="str">
        <f t="shared" si="43"/>
        <v/>
      </c>
      <c r="ED41" s="247" t="str">
        <f t="shared" si="44"/>
        <v/>
      </c>
      <c r="EE41" s="217"/>
      <c r="EF41" s="267" t="str">
        <f t="shared" si="129"/>
        <v/>
      </c>
      <c r="EG41" s="217"/>
      <c r="EH41" s="267" t="str">
        <f t="shared" si="46"/>
        <v/>
      </c>
      <c r="EI41" s="246" t="str">
        <f t="shared" si="47"/>
        <v/>
      </c>
      <c r="EJ41" s="248" t="str">
        <f t="shared" si="48"/>
        <v/>
      </c>
      <c r="EK41" s="217"/>
      <c r="EL41" s="251" t="str">
        <f>+IF(OR(AE41 = "", AND(AQ41 = "", AT41 = "")), "",IFERROR(+AQ41 * CallDelta($AG$1,AE41,($BM$1/365), $V$15, $AZ$1, $V$17), 0) + IFERROR(AT41 * Putdelta($AG$1,AE41,($BM$1/365), $V$15, $AZ$1, $V$17), 0))</f>
        <v/>
      </c>
      <c r="EM41" s="249" t="str">
        <f>+IF(OR(AE41 = "", AND(AQ41 = "", AT41 = "")), "",IFERROR(+AQ41 * OptionGamma($AG$1,AE41,($BM$1/365), $V$15, $AZ$1, $V$17), 0) + IFERROR(AT41 * OptionGamma($AG$1,AE41,($BM$1/365), $V$15, $AZ$1, $V$17), 0))</f>
        <v/>
      </c>
      <c r="EN41" s="451" t="str">
        <f t="shared" si="49"/>
        <v/>
      </c>
      <c r="EO41" s="418" t="str">
        <f>+IF(AE41 = "", "",ImpliedCallVolatility($AG$1, $AE41,($BM$1/365), $V$15, $AZ41, $V$17) * 100)</f>
        <v/>
      </c>
      <c r="EP41" s="418" t="str">
        <f>+IF(AE41 = "", "",ImpliedCallVolatility($AG$1, $AE41,($BM$1/365), $V$15, BD41, $V$17) * 100)</f>
        <v/>
      </c>
      <c r="EQ41" s="418" t="str">
        <f>+IF(AE41 = "", "",ImpliedCallVolatility($AG$1, $AE41,($BM$1/365), $V$15, BF41, $V$17) * 100)</f>
        <v/>
      </c>
      <c r="ER41" s="411" t="str">
        <f t="shared" si="50"/>
        <v/>
      </c>
      <c r="ES41" s="411" t="str">
        <f t="shared" si="51"/>
        <v/>
      </c>
      <c r="ET41" s="411" t="str">
        <f t="shared" si="52"/>
        <v/>
      </c>
      <c r="EU41" s="416" t="str">
        <f>IF($FC$1 = 1,
IF(AE41 = "", "",OptionGamma($AG$1,AE41,($BM$1/365), $V$15, $AZ$1, $V$17) * 1000),
IF($FC$1 = 2, IF(OR(AE41 = "", BD41 =  0), "",IF(AE41 &lt; $AG$1, (((AE41 * (1 - COMIS_ACCION)) / (($AG$1 * (1 + COMIS_ACCION)) - (BD41 * (1 - COMIS_OPCION)))) - 1) * 100 / $BM$1 * 365,((($AG$1 * (1 - COMIS_ACCION)) / (($AG$1 * (1 + COMIS_ACCION)) - (BD41 * (1 - COMIS_OPCION)))) - 1) * 100 / $BM$1 * 365))))</f>
        <v/>
      </c>
      <c r="EV41" s="276" t="str">
        <f>+IF(AE41 = "", "",CallOption($AG$1, $AE41,($BM$1/365), $V$15, $AZ$1, $V$17))</f>
        <v/>
      </c>
      <c r="EW41" s="271" t="str">
        <f t="shared" si="53"/>
        <v/>
      </c>
      <c r="EX41" s="272" t="str">
        <f t="shared" si="54"/>
        <v/>
      </c>
      <c r="EY41" s="274" t="str">
        <f t="shared" si="55"/>
        <v/>
      </c>
      <c r="EZ41" s="272" t="str">
        <f t="shared" si="56"/>
        <v/>
      </c>
      <c r="FA41" s="272" t="str">
        <f t="shared" si="57"/>
        <v/>
      </c>
      <c r="FB41" s="530" t="str">
        <f>+IF($FC$1 = 1, IF(AE41 = "", "",IFERROR( VLOOKUP(N41, PreciosCalls, 13, FALSE), 0)),
IF($FC$1 = 2,  IF(AE41 = "", "",OptionGamma($AG$1,AE41,($BM$1/365), $V$15, $AZ$1, $V$17) * 1000)))</f>
        <v/>
      </c>
      <c r="FC41" s="530" t="str">
        <f>IF($FC$1 = 1, IF(AE41 = "", "",IFERROR( VLOOKUP(N41, PreciosCalls, 14, FALSE), 0)),
IF($FC$1 = 2, IF(AE41 = "", "",CallDelta($AG$1,AE41,($BM$1/365), $V$15, $AZ$1, $V$17) * 100)))</f>
        <v/>
      </c>
      <c r="FD41" s="531" t="str">
        <f t="shared" si="58"/>
        <v/>
      </c>
      <c r="FE41" s="530" t="str">
        <f t="shared" si="59"/>
        <v/>
      </c>
      <c r="FF41" s="217"/>
      <c r="FG41" s="273" t="str">
        <f t="shared" si="60"/>
        <v/>
      </c>
      <c r="FH41" s="273" t="str">
        <f t="shared" si="61"/>
        <v/>
      </c>
      <c r="FI41" s="451" t="str">
        <f t="shared" si="62"/>
        <v/>
      </c>
      <c r="FJ41" s="419" t="str">
        <f>+IF(AE41 = "", "",ImpliedPutVolatility($AG$1, $AE41,($BM$1/365), $V$15, BI41, $V$17) * 100)</f>
        <v/>
      </c>
      <c r="FK41" s="419" t="str">
        <f>+IF(AE41 = "", "",ImpliedPutVolatility($AG$1, $AE41,($BM$1/365), $V$15, BM41, $V$17) * 100)</f>
        <v/>
      </c>
      <c r="FL41" s="419" t="str">
        <f>+IF(AE41 = "", "",ImpliedPutVolatility($AG$1, $AE41,($BM$1/365), $V$15, BO41, $V$17) * 100)</f>
        <v/>
      </c>
      <c r="FM41" s="415" t="str">
        <f t="shared" si="63"/>
        <v/>
      </c>
      <c r="FN41" s="415" t="str">
        <f t="shared" si="64"/>
        <v/>
      </c>
      <c r="FO41" s="415" t="str">
        <f t="shared" si="65"/>
        <v/>
      </c>
      <c r="FP41" s="417" t="str">
        <f>IF($FX$1=1, IF(AE41 = "", "",OptionGamma($AG$1,AE41,($BM$1/365), $V$15, $AZ$1, $V$17) * 1000),
IF($FX$1 = 2, IF(OR(AE41 = "", BM41 =  0), "",((BM41 * (1 - COMIS_OPCION)) / (AE41 * (1 + COMIS_ACCION))) * 100 / $BM$1 * 365)))</f>
        <v/>
      </c>
      <c r="FQ41" s="289" t="str">
        <f>+IF(AE41 = "", "",PutOption($AG$1, $AE41,($BM$1/365), $V$15, $AZ$1, $V$17))</f>
        <v/>
      </c>
      <c r="FR41" s="279"/>
      <c r="FS41" s="284" t="str">
        <f t="shared" si="66"/>
        <v/>
      </c>
      <c r="FT41" s="284" t="str">
        <f t="shared" si="67"/>
        <v/>
      </c>
      <c r="FU41" s="279"/>
      <c r="FV41" s="279"/>
      <c r="FW41" s="287">
        <f>+IF($FX$1 = 1, IFERROR(VLOOKUP(P41, PreciosPuts, 13, FALSE), 0),
IF($FX$1 = 2, IF(AE41 = "", "",OptionGamma($AG$1,AE41,($BM$1/365), $V$15, $AZ$1, $V$17) * 1000)))</f>
        <v>0</v>
      </c>
      <c r="FX41" s="287" t="str">
        <f>+IF($FX$1=1, IF(AE41 = "", "",IFERROR(VLOOKUP(P41, PreciosPuts, 14, FALSE), 0)),
IF($FX$1=2, IF(AE41 = "", "",Putdelta($AG$1,AE41,($BM$1/365), $V$15, $AZ$1, $V$17) * 100)))</f>
        <v/>
      </c>
      <c r="FY41" s="286" t="str">
        <f t="shared" si="69"/>
        <v/>
      </c>
      <c r="FZ41" s="287" t="str">
        <f t="shared" si="70"/>
        <v/>
      </c>
      <c r="GA41" s="217"/>
      <c r="GB41" s="281"/>
      <c r="GC41" s="281"/>
      <c r="GD41" s="217"/>
      <c r="GE41" s="301" t="str">
        <f t="shared" si="71"/>
        <v/>
      </c>
      <c r="GF41" s="292" t="str">
        <f t="shared" si="72"/>
        <v/>
      </c>
      <c r="GG41" s="293" t="str">
        <f t="shared" si="73"/>
        <v/>
      </c>
      <c r="GH41" s="294" t="str">
        <f t="shared" si="124"/>
        <v/>
      </c>
      <c r="GI41" s="294">
        <v>35</v>
      </c>
      <c r="GJ41" s="217"/>
      <c r="GK41" s="305" t="str">
        <f t="shared" si="74"/>
        <v/>
      </c>
      <c r="GL41" s="299" t="str">
        <f t="shared" si="75"/>
        <v/>
      </c>
      <c r="GM41" s="300" t="str">
        <f t="shared" si="76"/>
        <v/>
      </c>
      <c r="GN41" s="225" t="str">
        <f t="shared" si="121"/>
        <v/>
      </c>
      <c r="GO41" s="225">
        <v>35</v>
      </c>
      <c r="GP41" s="217"/>
      <c r="GQ41" s="217"/>
      <c r="GR41" s="401" t="str">
        <f t="shared" si="132"/>
        <v/>
      </c>
      <c r="GT41" s="282" t="str">
        <f t="shared" si="78"/>
        <v/>
      </c>
      <c r="GU41" s="282" t="str">
        <f t="shared" si="79"/>
        <v/>
      </c>
      <c r="GV41" s="282" t="str">
        <f t="shared" si="80"/>
        <v/>
      </c>
      <c r="GW41" s="282" t="str">
        <f t="shared" si="81"/>
        <v/>
      </c>
      <c r="GX41" s="282" t="str">
        <f t="shared" si="82"/>
        <v/>
      </c>
      <c r="GY41" s="282" t="str">
        <f t="shared" si="83"/>
        <v/>
      </c>
      <c r="GZ41" s="282" t="str">
        <f t="shared" si="115"/>
        <v/>
      </c>
      <c r="HA41" s="282" t="str">
        <f t="shared" si="84"/>
        <v/>
      </c>
      <c r="HB41" s="282" t="str">
        <f t="shared" si="116"/>
        <v/>
      </c>
      <c r="HC41" s="607" t="str">
        <f t="shared" si="85"/>
        <v/>
      </c>
      <c r="HD41" s="282" t="str">
        <f t="shared" si="86"/>
        <v/>
      </c>
      <c r="HE41" s="282" t="str">
        <f t="shared" si="87"/>
        <v/>
      </c>
      <c r="HF41" s="282" t="str">
        <f t="shared" si="88"/>
        <v/>
      </c>
      <c r="HG41" s="217"/>
      <c r="HH41" s="282" t="str">
        <f t="shared" si="89"/>
        <v/>
      </c>
      <c r="HI41" s="282" t="str">
        <f t="shared" si="90"/>
        <v/>
      </c>
      <c r="HJ41" s="282"/>
      <c r="HK41" s="282"/>
      <c r="HL41" s="217"/>
      <c r="HM41" s="420"/>
      <c r="HN41" s="420"/>
      <c r="HO41" s="420"/>
      <c r="HP41" s="420"/>
      <c r="HQ41" s="282" t="str">
        <f t="shared" si="91"/>
        <v/>
      </c>
      <c r="HR41" s="420"/>
      <c r="HS41" s="420"/>
      <c r="HT41" s="420"/>
      <c r="HU41" s="420"/>
      <c r="HV41" s="420"/>
      <c r="HW41" s="420"/>
      <c r="HX41" s="425"/>
      <c r="HY41" s="338"/>
      <c r="HZ41" s="338"/>
      <c r="IA41" s="161"/>
      <c r="IB41" s="161"/>
      <c r="IC41" s="162"/>
      <c r="ID41" s="162"/>
      <c r="IE41" s="49"/>
      <c r="IF41" s="55"/>
      <c r="IG41" s="58"/>
      <c r="IH41" s="545" t="str">
        <f t="shared" si="117"/>
        <v/>
      </c>
      <c r="IJ41" s="146">
        <v>35</v>
      </c>
      <c r="IK41" s="545" t="str">
        <f t="shared" si="142"/>
        <v/>
      </c>
      <c r="IL41" s="106" t="str">
        <f t="shared" si="93"/>
        <v/>
      </c>
      <c r="IM41" s="110" t="str">
        <f t="shared" si="160"/>
        <v/>
      </c>
      <c r="IN41" s="111" t="str">
        <f t="shared" si="161"/>
        <v/>
      </c>
      <c r="IO41" s="50" t="str">
        <f t="shared" si="162"/>
        <v/>
      </c>
      <c r="IP41" s="50" t="str">
        <f t="shared" si="162"/>
        <v/>
      </c>
      <c r="IQ41" s="50" t="str">
        <f t="shared" si="162"/>
        <v/>
      </c>
      <c r="IR41" s="50" t="str">
        <f t="shared" si="162"/>
        <v/>
      </c>
      <c r="IS41" s="50" t="str">
        <f t="shared" si="162"/>
        <v/>
      </c>
      <c r="IT41" s="50" t="str">
        <f t="shared" si="162"/>
        <v/>
      </c>
      <c r="IU41" s="50" t="str">
        <f t="shared" si="162"/>
        <v/>
      </c>
      <c r="IV41" s="50" t="str">
        <f t="shared" si="162"/>
        <v/>
      </c>
      <c r="IW41" s="50" t="str">
        <f t="shared" si="162"/>
        <v/>
      </c>
      <c r="IX41" s="50" t="str">
        <f t="shared" si="162"/>
        <v/>
      </c>
      <c r="IY41" s="50" t="str">
        <f t="shared" si="163"/>
        <v/>
      </c>
      <c r="IZ41" s="50" t="str">
        <f t="shared" si="163"/>
        <v/>
      </c>
      <c r="JA41" s="50" t="str">
        <f t="shared" si="163"/>
        <v/>
      </c>
      <c r="JB41" s="50" t="str">
        <f t="shared" si="163"/>
        <v/>
      </c>
      <c r="JC41" s="50" t="str">
        <f t="shared" si="163"/>
        <v/>
      </c>
      <c r="JD41" s="50" t="str">
        <f t="shared" si="163"/>
        <v/>
      </c>
      <c r="JE41" s="50" t="str">
        <f t="shared" si="163"/>
        <v/>
      </c>
      <c r="JF41" s="50" t="str">
        <f t="shared" si="163"/>
        <v/>
      </c>
      <c r="JG41" s="50" t="str">
        <f t="shared" si="163"/>
        <v/>
      </c>
      <c r="JH41" s="50" t="str">
        <f t="shared" si="163"/>
        <v/>
      </c>
      <c r="JI41" s="50" t="str">
        <f t="shared" si="164"/>
        <v/>
      </c>
      <c r="JJ41" s="50" t="str">
        <f t="shared" si="164"/>
        <v/>
      </c>
      <c r="JK41" s="50" t="str">
        <f t="shared" si="164"/>
        <v/>
      </c>
      <c r="JL41" s="50" t="str">
        <f t="shared" si="164"/>
        <v/>
      </c>
      <c r="JM41" s="50" t="str">
        <f t="shared" si="164"/>
        <v/>
      </c>
      <c r="JN41" s="50" t="str">
        <f t="shared" si="164"/>
        <v/>
      </c>
      <c r="JO41" s="50" t="str">
        <f t="shared" si="164"/>
        <v/>
      </c>
      <c r="JP41" s="50" t="str">
        <f t="shared" si="164"/>
        <v/>
      </c>
      <c r="JQ41" s="50" t="str">
        <f t="shared" si="164"/>
        <v/>
      </c>
      <c r="JR41" s="50" t="str">
        <f t="shared" si="164"/>
        <v/>
      </c>
      <c r="JS41" s="50" t="str">
        <f t="shared" si="165"/>
        <v/>
      </c>
      <c r="JT41" s="50" t="str">
        <f t="shared" si="165"/>
        <v/>
      </c>
      <c r="JU41" s="50" t="str">
        <f t="shared" si="165"/>
        <v/>
      </c>
      <c r="JV41" s="50" t="str">
        <f t="shared" si="165"/>
        <v/>
      </c>
      <c r="JW41" s="50" t="str">
        <f t="shared" si="165"/>
        <v/>
      </c>
      <c r="JX41" s="50" t="str">
        <f t="shared" si="165"/>
        <v/>
      </c>
      <c r="JY41" s="50" t="str">
        <f t="shared" si="165"/>
        <v/>
      </c>
      <c r="JZ41" s="50" t="str">
        <f t="shared" si="165"/>
        <v/>
      </c>
      <c r="KA41" s="50" t="str">
        <f t="shared" si="165"/>
        <v/>
      </c>
      <c r="KB41" s="50" t="str">
        <f t="shared" si="165"/>
        <v/>
      </c>
      <c r="KC41" s="50" t="str">
        <f t="shared" si="165"/>
        <v/>
      </c>
      <c r="KD41" s="50" t="str">
        <f t="shared" si="165"/>
        <v/>
      </c>
    </row>
    <row r="42" spans="2:290" s="144" customFormat="1" ht="15" customHeight="1" thickBot="1">
      <c r="B42" s="146">
        <v>36</v>
      </c>
      <c r="C42" s="121" t="str">
        <f t="shared" si="99"/>
        <v/>
      </c>
      <c r="D42" s="121" t="str">
        <f t="shared" si="100"/>
        <v/>
      </c>
      <c r="E42" s="122" t="str">
        <f t="shared" si="1"/>
        <v/>
      </c>
      <c r="F42" s="123" t="str">
        <f t="shared" si="2"/>
        <v/>
      </c>
      <c r="G42" s="123" t="str">
        <f t="shared" si="3"/>
        <v/>
      </c>
      <c r="H42" s="124" t="str">
        <f t="shared" si="4"/>
        <v/>
      </c>
      <c r="I42" s="124" t="str">
        <f t="shared" si="5"/>
        <v/>
      </c>
      <c r="J42" s="124" t="str">
        <f t="shared" si="6"/>
        <v/>
      </c>
      <c r="K42" s="124" t="str">
        <f t="shared" si="7"/>
        <v/>
      </c>
      <c r="M42" s="158" t="str">
        <f t="shared" si="8"/>
        <v/>
      </c>
      <c r="N42" s="121" t="str">
        <f t="shared" si="9"/>
        <v/>
      </c>
      <c r="O42" s="158" t="str">
        <f t="shared" si="10"/>
        <v/>
      </c>
      <c r="P42" s="121" t="str">
        <f t="shared" si="11"/>
        <v/>
      </c>
      <c r="R42" s="159"/>
      <c r="S42" s="160" t="str">
        <f t="shared" si="12"/>
        <v/>
      </c>
      <c r="U42" s="54"/>
      <c r="V42" s="54"/>
      <c r="X42" s="200">
        <v>36</v>
      </c>
      <c r="Y42" s="546" t="str">
        <f t="shared" si="13"/>
        <v/>
      </c>
      <c r="Z42" s="540" t="str">
        <f t="shared" si="153"/>
        <v/>
      </c>
      <c r="AA42" s="179"/>
      <c r="AB42" s="540" t="str">
        <f t="shared" si="154"/>
        <v/>
      </c>
      <c r="AC42" s="161"/>
      <c r="AD42" s="200">
        <v>36</v>
      </c>
      <c r="AE42" s="825" t="str">
        <f t="shared" si="146"/>
        <v/>
      </c>
      <c r="AF42" s="201"/>
      <c r="AG42" s="161"/>
      <c r="AH42" s="177">
        <f t="shared" si="102"/>
        <v>0</v>
      </c>
      <c r="AI42" s="166">
        <f t="shared" si="103"/>
        <v>0</v>
      </c>
      <c r="AJ42" s="179"/>
      <c r="AK42" s="177">
        <f t="shared" si="104"/>
        <v>0</v>
      </c>
      <c r="AL42" s="166">
        <f t="shared" si="105"/>
        <v>0</v>
      </c>
      <c r="AM42" s="179"/>
      <c r="AN42" s="177"/>
      <c r="AO42" s="166"/>
      <c r="AP42" s="179"/>
      <c r="AQ42" s="176" t="str">
        <f t="shared" si="106"/>
        <v/>
      </c>
      <c r="AR42" s="165" t="str">
        <f t="shared" si="107"/>
        <v/>
      </c>
      <c r="AS42" s="179"/>
      <c r="AT42" s="176" t="str">
        <f t="shared" si="108"/>
        <v/>
      </c>
      <c r="AU42" s="165" t="str">
        <f t="shared" si="109"/>
        <v/>
      </c>
      <c r="AV42" s="179"/>
      <c r="AW42" s="200">
        <f t="shared" si="16"/>
        <v>36</v>
      </c>
      <c r="AX42" s="170" t="str">
        <f t="shared" si="17"/>
        <v/>
      </c>
      <c r="AY42" s="164"/>
      <c r="AZ42" s="215">
        <f t="shared" si="18"/>
        <v>0</v>
      </c>
      <c r="BA42" s="197"/>
      <c r="BB42" s="228" t="str">
        <f t="shared" si="19"/>
        <v/>
      </c>
      <c r="BC42" s="161"/>
      <c r="BD42" s="240" t="str">
        <f t="shared" si="20"/>
        <v/>
      </c>
      <c r="BE42" s="196"/>
      <c r="BF42" s="240" t="str">
        <f t="shared" si="21"/>
        <v/>
      </c>
      <c r="BG42" s="196"/>
      <c r="BH42" s="189"/>
      <c r="BI42" s="227">
        <f t="shared" si="22"/>
        <v>0</v>
      </c>
      <c r="BJ42" s="197"/>
      <c r="BK42" s="167" t="str">
        <f t="shared" si="23"/>
        <v/>
      </c>
      <c r="BL42" s="161"/>
      <c r="BM42" s="240" t="str">
        <f t="shared" si="24"/>
        <v/>
      </c>
      <c r="BN42" s="196"/>
      <c r="BO42" s="240" t="str">
        <f t="shared" si="25"/>
        <v/>
      </c>
      <c r="BP42" s="196"/>
      <c r="BQ42" s="161"/>
      <c r="BR42" s="381"/>
      <c r="BS42" s="392" t="str">
        <f t="shared" si="122"/>
        <v/>
      </c>
      <c r="BT42" s="376"/>
      <c r="BU42" s="393" t="str">
        <f>+IF(OR(CF42="", CB43="", CF42=0, CB43=0), "", IF($BU$1=FALSE, CF42-CB43, -CF42+CB43))</f>
        <v/>
      </c>
      <c r="BV42" s="310"/>
      <c r="BW42" s="311" t="str">
        <f t="shared" si="110"/>
        <v/>
      </c>
      <c r="BX42" s="372"/>
      <c r="BY42" s="440"/>
      <c r="BZ42" s="432">
        <v>0</v>
      </c>
      <c r="CA42" s="372"/>
      <c r="CB42" s="572" t="str">
        <f t="shared" si="152"/>
        <v/>
      </c>
      <c r="CC42" s="567" t="str">
        <f t="shared" si="29"/>
        <v/>
      </c>
      <c r="CD42" s="814" t="str">
        <f t="shared" si="30"/>
        <v/>
      </c>
      <c r="CE42" s="569" t="str">
        <f t="shared" si="31"/>
        <v/>
      </c>
      <c r="CF42" s="574" t="str">
        <f t="shared" si="32"/>
        <v/>
      </c>
      <c r="CG42" s="372"/>
      <c r="CH42" s="435">
        <v>0</v>
      </c>
      <c r="CI42" s="436"/>
      <c r="CJ42" s="372"/>
      <c r="CK42" s="391" t="str">
        <f t="shared" si="111"/>
        <v/>
      </c>
      <c r="CL42" s="396" t="str">
        <f t="shared" si="159"/>
        <v/>
      </c>
      <c r="CM42" s="370"/>
      <c r="CN42" s="161"/>
      <c r="CO42" s="161"/>
      <c r="CP42" s="161"/>
      <c r="CQ42" s="161"/>
      <c r="CR42" s="161"/>
      <c r="CS42" s="161"/>
      <c r="CT42" s="161"/>
      <c r="CU42" s="161"/>
      <c r="CV42" s="161"/>
      <c r="CW42" s="161"/>
      <c r="CX42" s="161"/>
      <c r="CY42" s="161"/>
      <c r="CZ42" s="161"/>
      <c r="DA42" s="161"/>
      <c r="DB42" s="161"/>
      <c r="DC42" s="161"/>
      <c r="DD42" s="161"/>
      <c r="DE42" s="161"/>
      <c r="DF42" s="161"/>
      <c r="DG42" s="161"/>
      <c r="DH42" s="161"/>
      <c r="DI42" s="161"/>
      <c r="DJ42" s="161"/>
      <c r="DK42" s="242" t="str">
        <f t="shared" si="123"/>
        <v/>
      </c>
      <c r="DL42" s="217"/>
      <c r="DM42" s="490" t="str">
        <f t="shared" si="34"/>
        <v/>
      </c>
      <c r="DN42" s="242" t="str">
        <f t="shared" si="35"/>
        <v/>
      </c>
      <c r="DO42" s="243" t="str">
        <f t="shared" si="36"/>
        <v/>
      </c>
      <c r="DP42" s="217"/>
      <c r="DQ42" s="252" t="str">
        <f t="shared" si="120"/>
        <v/>
      </c>
      <c r="DR42" s="217"/>
      <c r="DS42" s="242" t="str">
        <f t="shared" si="38"/>
        <v/>
      </c>
      <c r="DT42" s="242" t="str">
        <f t="shared" si="39"/>
        <v/>
      </c>
      <c r="DU42" s="244" t="str">
        <f t="shared" si="40"/>
        <v/>
      </c>
      <c r="DV42" s="217"/>
      <c r="DW42" s="428" t="str">
        <f>+IF(OR(AE42 = "", AND(AH42 = "", AK42 = "")), "",IFERROR(+AH42 * CallDelta($AG$1,AE42,($BM$1/365), $V$15, $AZ$1, $V$17), 0) + IFERROR(AK42 * Putdelta($AG$1,AE42,($BM$1/365), $V$15, $AZ$1, $V$17), 0))</f>
        <v/>
      </c>
      <c r="DX42" s="245" t="str">
        <f>+IF(OR(AE42 = "", AND(AH42 = "", AK42 = "")), "",IFERROR(+AH42 * OptionGamma($AG$1,AE42,($BM$1/365), $V$15, $AZ$1, $V$17), 0) + IFERROR(AK42 * OptionGamma($AG$1,AE42,($BM$1/365), $V$15, $AZ$1, $V$17), 0))</f>
        <v/>
      </c>
      <c r="DY42" s="161"/>
      <c r="DZ42" s="267" t="str">
        <f t="shared" si="127"/>
        <v/>
      </c>
      <c r="EA42" s="217"/>
      <c r="EB42" s="267" t="str">
        <f t="shared" si="42"/>
        <v/>
      </c>
      <c r="EC42" s="267" t="str">
        <f t="shared" si="43"/>
        <v/>
      </c>
      <c r="ED42" s="247" t="str">
        <f t="shared" si="44"/>
        <v/>
      </c>
      <c r="EE42" s="217"/>
      <c r="EF42" s="267" t="str">
        <f t="shared" si="129"/>
        <v/>
      </c>
      <c r="EG42" s="217"/>
      <c r="EH42" s="267" t="str">
        <f t="shared" si="46"/>
        <v/>
      </c>
      <c r="EI42" s="246" t="str">
        <f t="shared" si="47"/>
        <v/>
      </c>
      <c r="EJ42" s="248" t="str">
        <f t="shared" si="48"/>
        <v/>
      </c>
      <c r="EK42" s="217"/>
      <c r="EL42" s="251" t="str">
        <f>+IF(OR(AE42 = "", AND(AQ42 = "", AT42 = "")), "",IFERROR(+AQ42 * CallDelta($AG$1,AE42,($BM$1/365), $V$15, $AZ$1, $V$17), 0) + IFERROR(AT42 * Putdelta($AG$1,AE42,($BM$1/365), $V$15, $AZ$1, $V$17), 0))</f>
        <v/>
      </c>
      <c r="EM42" s="249" t="str">
        <f>+IF(OR(AE42 = "", AND(AQ42 = "", AT42 = "")), "",IFERROR(+AQ42 * OptionGamma($AG$1,AE42,($BM$1/365), $V$15, $AZ$1, $V$17), 0) + IFERROR(AT42 * OptionGamma($AG$1,AE42,($BM$1/365), $V$15, $AZ$1, $V$17), 0))</f>
        <v/>
      </c>
      <c r="EN42" s="451" t="str">
        <f t="shared" si="49"/>
        <v/>
      </c>
      <c r="EO42" s="418" t="str">
        <f>+IF(AE42 = "", "",ImpliedCallVolatility($AG$1, $AE42,($BM$1/365), $V$15, $AZ42, $V$17) * 100)</f>
        <v/>
      </c>
      <c r="EP42" s="418" t="str">
        <f>+IF(AE42 = "", "",ImpliedCallVolatility($AG$1, $AE42,($BM$1/365), $V$15, BD42, $V$17) * 100)</f>
        <v/>
      </c>
      <c r="EQ42" s="418" t="str">
        <f>+IF(AE42 = "", "",ImpliedCallVolatility($AG$1, $AE42,($BM$1/365), $V$15, BF42, $V$17) * 100)</f>
        <v/>
      </c>
      <c r="ER42" s="411" t="str">
        <f t="shared" si="50"/>
        <v/>
      </c>
      <c r="ES42" s="411" t="str">
        <f t="shared" si="51"/>
        <v/>
      </c>
      <c r="ET42" s="411" t="str">
        <f t="shared" si="52"/>
        <v/>
      </c>
      <c r="EU42" s="416" t="str">
        <f>IF($FC$1 = 1,
IF(AE42 = "", "",OptionGamma($AG$1,AE42,($BM$1/365), $V$15, $AZ$1, $V$17) * 1000),
IF($FC$1 = 2, IF(OR(AE42 = "", BD42 =  0), "",IF(AE42 &lt; $AG$1, (((AE42 * (1 - COMIS_ACCION)) / (($AG$1 * (1 + COMIS_ACCION)) - (BD42 * (1 - COMIS_OPCION)))) - 1) * 100 / $BM$1 * 365,((($AG$1 * (1 - COMIS_ACCION)) / (($AG$1 * (1 + COMIS_ACCION)) - (BD42 * (1 - COMIS_OPCION)))) - 1) * 100 / $BM$1 * 365))))</f>
        <v/>
      </c>
      <c r="EV42" s="276" t="str">
        <f>+IF(AE42 = "", "",CallOption($AG$1, $AE42,($BM$1/365), $V$15, $AZ$1, $V$17))</f>
        <v/>
      </c>
      <c r="EW42" s="271" t="str">
        <f t="shared" si="53"/>
        <v/>
      </c>
      <c r="EX42" s="272" t="str">
        <f t="shared" si="54"/>
        <v/>
      </c>
      <c r="EY42" s="274" t="str">
        <f t="shared" si="55"/>
        <v/>
      </c>
      <c r="EZ42" s="272" t="str">
        <f t="shared" si="56"/>
        <v/>
      </c>
      <c r="FA42" s="272" t="str">
        <f t="shared" si="57"/>
        <v/>
      </c>
      <c r="FB42" s="530" t="str">
        <f>+IF($FC$1 = 1, IF(AE42 = "", "",IFERROR( VLOOKUP(N42, PreciosCalls, 13, FALSE), 0)),
IF($FC$1 = 2,  IF(AE42 = "", "",OptionGamma($AG$1,AE42,($BM$1/365), $V$15, $AZ$1, $V$17) * 1000)))</f>
        <v/>
      </c>
      <c r="FC42" s="530" t="str">
        <f>IF($FC$1 = 1, IF(AE42 = "", "",IFERROR( VLOOKUP(N42, PreciosCalls, 14, FALSE), 0)),
IF($FC$1 = 2, IF(AE42 = "", "",CallDelta($AG$1,AE42,($BM$1/365), $V$15, $AZ$1, $V$17) * 100)))</f>
        <v/>
      </c>
      <c r="FD42" s="531" t="str">
        <f t="shared" si="58"/>
        <v/>
      </c>
      <c r="FE42" s="530" t="str">
        <f t="shared" si="59"/>
        <v/>
      </c>
      <c r="FF42" s="217"/>
      <c r="FG42" s="273" t="str">
        <f t="shared" si="60"/>
        <v/>
      </c>
      <c r="FH42" s="273" t="str">
        <f t="shared" si="61"/>
        <v/>
      </c>
      <c r="FI42" s="451" t="str">
        <f t="shared" si="62"/>
        <v/>
      </c>
      <c r="FJ42" s="419" t="str">
        <f>+IF(AE42 = "", "",ImpliedPutVolatility($AG$1, $AE42,($BM$1/365), $V$15, BI42, $V$17) * 100)</f>
        <v/>
      </c>
      <c r="FK42" s="419" t="str">
        <f>+IF(AE42 = "", "",ImpliedPutVolatility($AG$1, $AE42,($BM$1/365), $V$15, BM42, $V$17) * 100)</f>
        <v/>
      </c>
      <c r="FL42" s="419" t="str">
        <f>+IF(AE42 = "", "",ImpliedPutVolatility($AG$1, $AE42,($BM$1/365), $V$15, BO42, $V$17) * 100)</f>
        <v/>
      </c>
      <c r="FM42" s="415" t="str">
        <f t="shared" si="63"/>
        <v/>
      </c>
      <c r="FN42" s="415" t="str">
        <f t="shared" si="64"/>
        <v/>
      </c>
      <c r="FO42" s="415" t="str">
        <f t="shared" si="65"/>
        <v/>
      </c>
      <c r="FP42" s="417" t="str">
        <f>IF($FX$1=1, IF(AE42 = "", "",OptionGamma($AG$1,AE42,($BM$1/365), $V$15, $AZ$1, $V$17) * 1000),
IF($FX$1 = 2, IF(OR(AE42 = "", BM42 =  0), "",((BM42 * (1 - COMIS_OPCION)) / (AE42 * (1 + COMIS_ACCION))) * 100 / $BM$1 * 365)))</f>
        <v/>
      </c>
      <c r="FQ42" s="289" t="str">
        <f>+IF(AE42 = "", "",PutOption($AG$1, $AE42,($BM$1/365), $V$15, $AZ$1, $V$17))</f>
        <v/>
      </c>
      <c r="FR42" s="279"/>
      <c r="FS42" s="284" t="str">
        <f t="shared" si="66"/>
        <v/>
      </c>
      <c r="FT42" s="284" t="str">
        <f t="shared" si="67"/>
        <v/>
      </c>
      <c r="FU42" s="279"/>
      <c r="FV42" s="279"/>
      <c r="FW42" s="287">
        <f>+IF($FX$1 = 1, IFERROR(VLOOKUP(P42, PreciosPuts, 13, FALSE), 0),
IF($FX$1 = 2, IF(AE42 = "", "",OptionGamma($AG$1,AE42,($BM$1/365), $V$15, $AZ$1, $V$17) * 1000)))</f>
        <v>0</v>
      </c>
      <c r="FX42" s="287" t="str">
        <f>+IF($FX$1=1, IF(AE42 = "", "",IFERROR(VLOOKUP(P42, PreciosPuts, 14, FALSE), 0)),
IF($FX$1=2, IF(AE42 = "", "",Putdelta($AG$1,AE42,($BM$1/365), $V$15, $AZ$1, $V$17) * 100)))</f>
        <v/>
      </c>
      <c r="FY42" s="286" t="str">
        <f t="shared" si="69"/>
        <v/>
      </c>
      <c r="FZ42" s="287" t="str">
        <f t="shared" si="70"/>
        <v/>
      </c>
      <c r="GA42" s="217"/>
      <c r="GB42" s="281"/>
      <c r="GC42" s="281"/>
      <c r="GD42" s="217"/>
      <c r="GE42" s="301" t="str">
        <f t="shared" si="71"/>
        <v/>
      </c>
      <c r="GF42" s="292" t="str">
        <f t="shared" si="72"/>
        <v/>
      </c>
      <c r="GG42" s="293" t="str">
        <f t="shared" si="73"/>
        <v/>
      </c>
      <c r="GH42" s="294" t="str">
        <f t="shared" si="124"/>
        <v/>
      </c>
      <c r="GI42" s="294">
        <v>36</v>
      </c>
      <c r="GJ42" s="217"/>
      <c r="GK42" s="305" t="str">
        <f t="shared" si="74"/>
        <v/>
      </c>
      <c r="GL42" s="299" t="str">
        <f t="shared" si="75"/>
        <v/>
      </c>
      <c r="GM42" s="300" t="str">
        <f t="shared" si="76"/>
        <v/>
      </c>
      <c r="GN42" s="225" t="str">
        <f t="shared" si="121"/>
        <v/>
      </c>
      <c r="GO42" s="225">
        <v>36</v>
      </c>
      <c r="GP42" s="217"/>
      <c r="GQ42" s="217"/>
      <c r="GR42" s="401" t="str">
        <f t="shared" si="132"/>
        <v/>
      </c>
      <c r="GT42" s="282" t="str">
        <f t="shared" si="78"/>
        <v/>
      </c>
      <c r="GU42" s="282" t="str">
        <f t="shared" si="79"/>
        <v/>
      </c>
      <c r="GV42" s="282" t="str">
        <f t="shared" si="80"/>
        <v/>
      </c>
      <c r="GW42" s="282" t="str">
        <f t="shared" si="81"/>
        <v/>
      </c>
      <c r="GX42" s="282" t="str">
        <f t="shared" si="82"/>
        <v/>
      </c>
      <c r="GY42" s="282" t="str">
        <f t="shared" si="83"/>
        <v/>
      </c>
      <c r="GZ42" s="282" t="str">
        <f t="shared" si="115"/>
        <v/>
      </c>
      <c r="HA42" s="282" t="str">
        <f t="shared" si="84"/>
        <v/>
      </c>
      <c r="HB42" s="282" t="str">
        <f t="shared" si="116"/>
        <v/>
      </c>
      <c r="HC42" s="607" t="str">
        <f t="shared" si="85"/>
        <v/>
      </c>
      <c r="HD42" s="282" t="str">
        <f t="shared" si="86"/>
        <v/>
      </c>
      <c r="HE42" s="282" t="str">
        <f t="shared" si="87"/>
        <v/>
      </c>
      <c r="HF42" s="282" t="str">
        <f t="shared" si="88"/>
        <v/>
      </c>
      <c r="HG42" s="217"/>
      <c r="HH42" s="282" t="str">
        <f t="shared" si="89"/>
        <v/>
      </c>
      <c r="HI42" s="282" t="str">
        <f t="shared" si="90"/>
        <v/>
      </c>
      <c r="HJ42" s="282"/>
      <c r="HK42" s="282"/>
      <c r="HL42" s="217"/>
      <c r="HM42" s="420"/>
      <c r="HN42" s="420"/>
      <c r="HO42" s="420"/>
      <c r="HP42" s="420"/>
      <c r="HQ42" s="282" t="str">
        <f t="shared" si="91"/>
        <v/>
      </c>
      <c r="HR42" s="420"/>
      <c r="HS42" s="420"/>
      <c r="HT42" s="420"/>
      <c r="HU42" s="420"/>
      <c r="HV42" s="420"/>
      <c r="HW42" s="420"/>
      <c r="HX42" s="425"/>
      <c r="HY42" s="338"/>
      <c r="HZ42" s="338"/>
      <c r="IA42" s="161"/>
      <c r="IB42" s="161"/>
      <c r="IC42" s="162"/>
      <c r="ID42" s="162"/>
      <c r="IE42" s="49"/>
      <c r="IF42" s="55"/>
      <c r="IG42" s="58"/>
      <c r="IH42" s="545" t="str">
        <f t="shared" si="117"/>
        <v/>
      </c>
      <c r="IJ42" s="146">
        <v>36</v>
      </c>
      <c r="IK42" s="545" t="str">
        <f t="shared" si="142"/>
        <v/>
      </c>
      <c r="IL42" s="106" t="str">
        <f t="shared" si="93"/>
        <v/>
      </c>
      <c r="IM42" s="110" t="str">
        <f t="shared" si="160"/>
        <v/>
      </c>
      <c r="IN42" s="111" t="str">
        <f t="shared" si="161"/>
        <v/>
      </c>
      <c r="IO42" s="50" t="str">
        <f t="shared" si="162"/>
        <v/>
      </c>
      <c r="IP42" s="50" t="str">
        <f t="shared" si="162"/>
        <v/>
      </c>
      <c r="IQ42" s="50" t="str">
        <f t="shared" si="162"/>
        <v/>
      </c>
      <c r="IR42" s="50" t="str">
        <f t="shared" si="162"/>
        <v/>
      </c>
      <c r="IS42" s="50" t="str">
        <f t="shared" si="162"/>
        <v/>
      </c>
      <c r="IT42" s="50" t="str">
        <f t="shared" si="162"/>
        <v/>
      </c>
      <c r="IU42" s="50" t="str">
        <f t="shared" si="162"/>
        <v/>
      </c>
      <c r="IV42" s="50" t="str">
        <f t="shared" si="162"/>
        <v/>
      </c>
      <c r="IW42" s="50" t="str">
        <f t="shared" si="162"/>
        <v/>
      </c>
      <c r="IX42" s="50" t="str">
        <f t="shared" si="162"/>
        <v/>
      </c>
      <c r="IY42" s="50" t="str">
        <f t="shared" si="163"/>
        <v/>
      </c>
      <c r="IZ42" s="50" t="str">
        <f t="shared" si="163"/>
        <v/>
      </c>
      <c r="JA42" s="50" t="str">
        <f t="shared" si="163"/>
        <v/>
      </c>
      <c r="JB42" s="50" t="str">
        <f t="shared" si="163"/>
        <v/>
      </c>
      <c r="JC42" s="50" t="str">
        <f t="shared" si="163"/>
        <v/>
      </c>
      <c r="JD42" s="50" t="str">
        <f t="shared" si="163"/>
        <v/>
      </c>
      <c r="JE42" s="50" t="str">
        <f t="shared" si="163"/>
        <v/>
      </c>
      <c r="JF42" s="50" t="str">
        <f t="shared" si="163"/>
        <v/>
      </c>
      <c r="JG42" s="50" t="str">
        <f t="shared" si="163"/>
        <v/>
      </c>
      <c r="JH42" s="50" t="str">
        <f t="shared" si="163"/>
        <v/>
      </c>
      <c r="JI42" s="50" t="str">
        <f t="shared" si="164"/>
        <v/>
      </c>
      <c r="JJ42" s="50" t="str">
        <f t="shared" si="164"/>
        <v/>
      </c>
      <c r="JK42" s="50" t="str">
        <f t="shared" si="164"/>
        <v/>
      </c>
      <c r="JL42" s="50" t="str">
        <f t="shared" si="164"/>
        <v/>
      </c>
      <c r="JM42" s="50" t="str">
        <f t="shared" si="164"/>
        <v/>
      </c>
      <c r="JN42" s="50" t="str">
        <f t="shared" si="164"/>
        <v/>
      </c>
      <c r="JO42" s="50" t="str">
        <f t="shared" si="164"/>
        <v/>
      </c>
      <c r="JP42" s="50" t="str">
        <f t="shared" si="164"/>
        <v/>
      </c>
      <c r="JQ42" s="50" t="str">
        <f t="shared" si="164"/>
        <v/>
      </c>
      <c r="JR42" s="50" t="str">
        <f t="shared" si="164"/>
        <v/>
      </c>
      <c r="JS42" s="50" t="str">
        <f t="shared" si="165"/>
        <v/>
      </c>
      <c r="JT42" s="50" t="str">
        <f t="shared" si="165"/>
        <v/>
      </c>
      <c r="JU42" s="50" t="str">
        <f t="shared" si="165"/>
        <v/>
      </c>
      <c r="JV42" s="50" t="str">
        <f t="shared" si="165"/>
        <v/>
      </c>
      <c r="JW42" s="50" t="str">
        <f t="shared" si="165"/>
        <v/>
      </c>
      <c r="JX42" s="50" t="str">
        <f t="shared" si="165"/>
        <v/>
      </c>
      <c r="JY42" s="50" t="str">
        <f t="shared" si="165"/>
        <v/>
      </c>
      <c r="JZ42" s="50" t="str">
        <f t="shared" si="165"/>
        <v/>
      </c>
      <c r="KA42" s="50" t="str">
        <f t="shared" si="165"/>
        <v/>
      </c>
      <c r="KB42" s="50" t="str">
        <f t="shared" si="165"/>
        <v/>
      </c>
      <c r="KC42" s="50" t="str">
        <f t="shared" si="165"/>
        <v/>
      </c>
      <c r="KD42" s="50" t="str">
        <f t="shared" si="165"/>
        <v/>
      </c>
    </row>
    <row r="43" spans="2:290" s="144" customFormat="1" ht="15" customHeight="1" thickBot="1">
      <c r="B43" s="146">
        <v>37</v>
      </c>
      <c r="C43" s="121" t="str">
        <f t="shared" si="99"/>
        <v/>
      </c>
      <c r="D43" s="121" t="str">
        <f t="shared" si="100"/>
        <v/>
      </c>
      <c r="E43" s="122" t="str">
        <f t="shared" si="1"/>
        <v/>
      </c>
      <c r="F43" s="123" t="str">
        <f t="shared" si="2"/>
        <v/>
      </c>
      <c r="G43" s="123" t="str">
        <f t="shared" si="3"/>
        <v/>
      </c>
      <c r="H43" s="124" t="str">
        <f t="shared" si="4"/>
        <v/>
      </c>
      <c r="I43" s="124" t="str">
        <f t="shared" si="5"/>
        <v/>
      </c>
      <c r="J43" s="124" t="str">
        <f t="shared" si="6"/>
        <v/>
      </c>
      <c r="K43" s="124" t="str">
        <f t="shared" si="7"/>
        <v/>
      </c>
      <c r="M43" s="158" t="str">
        <f t="shared" si="8"/>
        <v/>
      </c>
      <c r="N43" s="121" t="str">
        <f t="shared" si="9"/>
        <v/>
      </c>
      <c r="O43" s="158" t="str">
        <f t="shared" si="10"/>
        <v/>
      </c>
      <c r="P43" s="121" t="str">
        <f t="shared" si="11"/>
        <v/>
      </c>
      <c r="R43" s="159"/>
      <c r="S43" s="160" t="str">
        <f t="shared" si="12"/>
        <v/>
      </c>
      <c r="U43" s="54"/>
      <c r="V43" s="54"/>
      <c r="X43" s="200">
        <v>37</v>
      </c>
      <c r="Y43" s="546" t="str">
        <f t="shared" si="13"/>
        <v/>
      </c>
      <c r="Z43" s="540" t="str">
        <f t="shared" si="153"/>
        <v/>
      </c>
      <c r="AA43" s="179"/>
      <c r="AB43" s="540" t="str">
        <f t="shared" si="154"/>
        <v/>
      </c>
      <c r="AC43" s="161"/>
      <c r="AD43" s="200">
        <v>37</v>
      </c>
      <c r="AE43" s="825" t="str">
        <f t="shared" si="146"/>
        <v/>
      </c>
      <c r="AF43" s="201"/>
      <c r="AG43" s="161"/>
      <c r="AH43" s="177">
        <f t="shared" si="102"/>
        <v>0</v>
      </c>
      <c r="AI43" s="166">
        <f t="shared" si="103"/>
        <v>0</v>
      </c>
      <c r="AJ43" s="179"/>
      <c r="AK43" s="177">
        <f t="shared" si="104"/>
        <v>0</v>
      </c>
      <c r="AL43" s="166">
        <f t="shared" si="105"/>
        <v>0</v>
      </c>
      <c r="AM43" s="179"/>
      <c r="AN43" s="177"/>
      <c r="AO43" s="166"/>
      <c r="AP43" s="179"/>
      <c r="AQ43" s="176" t="str">
        <f t="shared" si="106"/>
        <v/>
      </c>
      <c r="AR43" s="165" t="str">
        <f t="shared" si="107"/>
        <v/>
      </c>
      <c r="AS43" s="179"/>
      <c r="AT43" s="176" t="str">
        <f t="shared" si="108"/>
        <v/>
      </c>
      <c r="AU43" s="165" t="str">
        <f t="shared" si="109"/>
        <v/>
      </c>
      <c r="AV43" s="179"/>
      <c r="AW43" s="200">
        <f t="shared" si="16"/>
        <v>37</v>
      </c>
      <c r="AX43" s="170" t="str">
        <f t="shared" si="17"/>
        <v/>
      </c>
      <c r="AY43" s="164"/>
      <c r="AZ43" s="215">
        <f t="shared" si="18"/>
        <v>0</v>
      </c>
      <c r="BA43" s="197"/>
      <c r="BB43" s="228" t="str">
        <f t="shared" si="19"/>
        <v/>
      </c>
      <c r="BC43" s="161"/>
      <c r="BD43" s="240" t="str">
        <f t="shared" si="20"/>
        <v/>
      </c>
      <c r="BE43" s="196"/>
      <c r="BF43" s="240" t="str">
        <f t="shared" si="21"/>
        <v/>
      </c>
      <c r="BG43" s="196"/>
      <c r="BH43" s="189"/>
      <c r="BI43" s="227">
        <f t="shared" si="22"/>
        <v>0</v>
      </c>
      <c r="BJ43" s="197"/>
      <c r="BK43" s="167" t="str">
        <f t="shared" si="23"/>
        <v/>
      </c>
      <c r="BL43" s="161"/>
      <c r="BM43" s="240" t="str">
        <f t="shared" si="24"/>
        <v/>
      </c>
      <c r="BN43" s="196"/>
      <c r="BO43" s="240" t="str">
        <f t="shared" si="25"/>
        <v/>
      </c>
      <c r="BP43" s="196"/>
      <c r="BQ43" s="161"/>
      <c r="BR43" s="381"/>
      <c r="BS43" s="392" t="str">
        <f t="shared" si="122"/>
        <v/>
      </c>
      <c r="BT43" s="376"/>
      <c r="BU43" s="393" t="str">
        <f t="shared" si="126"/>
        <v/>
      </c>
      <c r="BV43" s="310"/>
      <c r="BW43" s="311" t="str">
        <f t="shared" si="110"/>
        <v/>
      </c>
      <c r="BX43" s="372"/>
      <c r="BY43" s="440"/>
      <c r="BZ43" s="432">
        <v>0.32</v>
      </c>
      <c r="CA43" s="372"/>
      <c r="CB43" s="572" t="str">
        <f t="shared" si="152"/>
        <v/>
      </c>
      <c r="CC43" s="567" t="str">
        <f t="shared" si="29"/>
        <v/>
      </c>
      <c r="CD43" s="814" t="str">
        <f t="shared" si="30"/>
        <v/>
      </c>
      <c r="CE43" s="569" t="str">
        <f t="shared" si="31"/>
        <v/>
      </c>
      <c r="CF43" s="574" t="str">
        <f t="shared" si="32"/>
        <v/>
      </c>
      <c r="CG43" s="372"/>
      <c r="CH43" s="435">
        <v>0</v>
      </c>
      <c r="CI43" s="436"/>
      <c r="CJ43" s="372"/>
      <c r="CK43" s="391" t="str">
        <f t="shared" si="111"/>
        <v/>
      </c>
      <c r="CL43" s="396" t="str">
        <f t="shared" si="159"/>
        <v/>
      </c>
      <c r="CM43" s="370"/>
      <c r="CN43" s="161"/>
      <c r="CO43" s="161"/>
      <c r="CP43" s="161"/>
      <c r="CQ43" s="161"/>
      <c r="CR43" s="161"/>
      <c r="CS43" s="161"/>
      <c r="CT43" s="161"/>
      <c r="CU43" s="161"/>
      <c r="CV43" s="161"/>
      <c r="CW43" s="161"/>
      <c r="CX43" s="161"/>
      <c r="CY43" s="161"/>
      <c r="CZ43" s="161"/>
      <c r="DA43" s="161"/>
      <c r="DB43" s="161"/>
      <c r="DC43" s="161"/>
      <c r="DD43" s="161"/>
      <c r="DE43" s="161"/>
      <c r="DF43" s="161"/>
      <c r="DG43" s="161"/>
      <c r="DH43" s="161"/>
      <c r="DI43" s="161"/>
      <c r="DJ43" s="161"/>
      <c r="DK43" s="242" t="str">
        <f t="shared" si="123"/>
        <v/>
      </c>
      <c r="DL43" s="217"/>
      <c r="DM43" s="490" t="str">
        <f t="shared" si="34"/>
        <v/>
      </c>
      <c r="DN43" s="242" t="str">
        <f t="shared" si="35"/>
        <v/>
      </c>
      <c r="DO43" s="243" t="str">
        <f t="shared" si="36"/>
        <v/>
      </c>
      <c r="DP43" s="217"/>
      <c r="DQ43" s="252" t="str">
        <f t="shared" si="120"/>
        <v/>
      </c>
      <c r="DR43" s="217"/>
      <c r="DS43" s="242" t="str">
        <f t="shared" si="38"/>
        <v/>
      </c>
      <c r="DT43" s="242" t="str">
        <f t="shared" si="39"/>
        <v/>
      </c>
      <c r="DU43" s="244" t="str">
        <f t="shared" si="40"/>
        <v/>
      </c>
      <c r="DV43" s="217"/>
      <c r="DW43" s="428" t="str">
        <f>+IF(OR(AE43 = "", AND(AH43 = "", AK43 = "")), "",IFERROR(+AH43 * CallDelta($AG$1,AE43,($BM$1/365), $V$15, $AZ$1, $V$17), 0) + IFERROR(AK43 * Putdelta($AG$1,AE43,($BM$1/365), $V$15, $AZ$1, $V$17), 0))</f>
        <v/>
      </c>
      <c r="DX43" s="245" t="str">
        <f>+IF(OR(AE43 = "", AND(AH43 = "", AK43 = "")), "",IFERROR(+AH43 * OptionGamma($AG$1,AE43,($BM$1/365), $V$15, $AZ$1, $V$17), 0) + IFERROR(AK43 * OptionGamma($AG$1,AE43,($BM$1/365), $V$15, $AZ$1, $V$17), 0))</f>
        <v/>
      </c>
      <c r="DY43" s="161"/>
      <c r="DZ43" s="267" t="str">
        <f t="shared" si="127"/>
        <v/>
      </c>
      <c r="EA43" s="217"/>
      <c r="EB43" s="267" t="str">
        <f t="shared" si="42"/>
        <v/>
      </c>
      <c r="EC43" s="267" t="str">
        <f t="shared" si="43"/>
        <v/>
      </c>
      <c r="ED43" s="247" t="str">
        <f t="shared" si="44"/>
        <v/>
      </c>
      <c r="EE43" s="217"/>
      <c r="EF43" s="267" t="str">
        <f t="shared" si="129"/>
        <v/>
      </c>
      <c r="EG43" s="217"/>
      <c r="EH43" s="267" t="str">
        <f t="shared" si="46"/>
        <v/>
      </c>
      <c r="EI43" s="246" t="str">
        <f t="shared" si="47"/>
        <v/>
      </c>
      <c r="EJ43" s="248" t="str">
        <f t="shared" si="48"/>
        <v/>
      </c>
      <c r="EK43" s="217"/>
      <c r="EL43" s="251" t="str">
        <f>+IF(OR(AE43 = "", AND(AQ43 = "", AT43 = "")), "",IFERROR(+AQ43 * CallDelta($AG$1,AE43,($BM$1/365), $V$15, $AZ$1, $V$17), 0) + IFERROR(AT43 * Putdelta($AG$1,AE43,($BM$1/365), $V$15, $AZ$1, $V$17), 0))</f>
        <v/>
      </c>
      <c r="EM43" s="249" t="str">
        <f>+IF(OR(AE43 = "", AND(AQ43 = "", AT43 = "")), "",IFERROR(+AQ43 * OptionGamma($AG$1,AE43,($BM$1/365), $V$15, $AZ$1, $V$17), 0) + IFERROR(AT43 * OptionGamma($AG$1,AE43,($BM$1/365), $V$15, $AZ$1, $V$17), 0))</f>
        <v/>
      </c>
      <c r="EN43" s="451" t="str">
        <f t="shared" si="49"/>
        <v/>
      </c>
      <c r="EO43" s="418" t="str">
        <f>+IF(AE43 = "", "",ImpliedCallVolatility($AG$1, $AE43,($BM$1/365), $V$15, $AZ43, $V$17) * 100)</f>
        <v/>
      </c>
      <c r="EP43" s="418" t="str">
        <f>+IF(AE43 = "", "",ImpliedCallVolatility($AG$1, $AE43,($BM$1/365), $V$15, BD43, $V$17) * 100)</f>
        <v/>
      </c>
      <c r="EQ43" s="418" t="str">
        <f>+IF(AE43 = "", "",ImpliedCallVolatility($AG$1, $AE43,($BM$1/365), $V$15, BF43, $V$17) * 100)</f>
        <v/>
      </c>
      <c r="ER43" s="411" t="str">
        <f t="shared" si="50"/>
        <v/>
      </c>
      <c r="ES43" s="411" t="str">
        <f t="shared" si="51"/>
        <v/>
      </c>
      <c r="ET43" s="411" t="str">
        <f t="shared" si="52"/>
        <v/>
      </c>
      <c r="EU43" s="416" t="str">
        <f>IF($FC$1 = 1,
IF(AE43 = "", "",OptionGamma($AG$1,AE43,($BM$1/365), $V$15, $AZ$1, $V$17) * 1000),
IF($FC$1 = 2, IF(OR(AE43 = "", BD43 =  0), "",IF(AE43 &lt; $AG$1, (((AE43 * (1 - COMIS_ACCION)) / (($AG$1 * (1 + COMIS_ACCION)) - (BD43 * (1 - COMIS_OPCION)))) - 1) * 100 / $BM$1 * 365,((($AG$1 * (1 - COMIS_ACCION)) / (($AG$1 * (1 + COMIS_ACCION)) - (BD43 * (1 - COMIS_OPCION)))) - 1) * 100 / $BM$1 * 365))))</f>
        <v/>
      </c>
      <c r="EV43" s="276" t="str">
        <f>+IF(AE43 = "", "",CallOption($AG$1, $AE43,($BM$1/365), $V$15, $AZ$1, $V$17))</f>
        <v/>
      </c>
      <c r="EW43" s="271" t="str">
        <f t="shared" si="53"/>
        <v/>
      </c>
      <c r="EX43" s="272" t="str">
        <f t="shared" si="54"/>
        <v/>
      </c>
      <c r="EY43" s="274" t="str">
        <f t="shared" si="55"/>
        <v/>
      </c>
      <c r="EZ43" s="272" t="str">
        <f t="shared" si="56"/>
        <v/>
      </c>
      <c r="FA43" s="272" t="str">
        <f t="shared" si="57"/>
        <v/>
      </c>
      <c r="FB43" s="530" t="str">
        <f>+IF($FC$1 = 1, IF(AE43 = "", "",IFERROR( VLOOKUP(N43, PreciosCalls, 13, FALSE), 0)),
IF($FC$1 = 2,  IF(AE43 = "", "",OptionGamma($AG$1,AE43,($BM$1/365), $V$15, $AZ$1, $V$17) * 1000)))</f>
        <v/>
      </c>
      <c r="FC43" s="530" t="str">
        <f>IF($FC$1 = 1, IF(AE43 = "", "",IFERROR( VLOOKUP(N43, PreciosCalls, 14, FALSE), 0)),
IF($FC$1 = 2, IF(AE43 = "", "",CallDelta($AG$1,AE43,($BM$1/365), $V$15, $AZ$1, $V$17) * 100)))</f>
        <v/>
      </c>
      <c r="FD43" s="531" t="str">
        <f t="shared" si="58"/>
        <v/>
      </c>
      <c r="FE43" s="530" t="str">
        <f t="shared" si="59"/>
        <v/>
      </c>
      <c r="FF43" s="217"/>
      <c r="FG43" s="273" t="str">
        <f t="shared" si="60"/>
        <v/>
      </c>
      <c r="FH43" s="273" t="str">
        <f t="shared" si="61"/>
        <v/>
      </c>
      <c r="FI43" s="451" t="str">
        <f t="shared" si="62"/>
        <v/>
      </c>
      <c r="FJ43" s="419" t="str">
        <f>+IF(AE43 = "", "",ImpliedPutVolatility($AG$1, $AE43,($BM$1/365), $V$15, BI43, $V$17) * 100)</f>
        <v/>
      </c>
      <c r="FK43" s="419" t="str">
        <f>+IF(AE43 = "", "",ImpliedPutVolatility($AG$1, $AE43,($BM$1/365), $V$15, BM43, $V$17) * 100)</f>
        <v/>
      </c>
      <c r="FL43" s="419" t="str">
        <f>+IF(AE43 = "", "",ImpliedPutVolatility($AG$1, $AE43,($BM$1/365), $V$15, BO43, $V$17) * 100)</f>
        <v/>
      </c>
      <c r="FM43" s="415" t="str">
        <f t="shared" si="63"/>
        <v/>
      </c>
      <c r="FN43" s="415" t="str">
        <f t="shared" si="64"/>
        <v/>
      </c>
      <c r="FO43" s="415" t="str">
        <f t="shared" si="65"/>
        <v/>
      </c>
      <c r="FP43" s="417" t="str">
        <f>IF($FX$1=1, IF(AE43 = "", "",OptionGamma($AG$1,AE43,($BM$1/365), $V$15, $AZ$1, $V$17) * 1000),
IF($FX$1 = 2, IF(OR(AE43 = "", BM43 =  0), "",((BM43 * (1 - COMIS_OPCION)) / (AE43 * (1 + COMIS_ACCION))) * 100 / $BM$1 * 365)))</f>
        <v/>
      </c>
      <c r="FQ43" s="289" t="str">
        <f>+IF(AE43 = "", "",PutOption($AG$1, $AE43,($BM$1/365), $V$15, $AZ$1, $V$17))</f>
        <v/>
      </c>
      <c r="FR43" s="279"/>
      <c r="FS43" s="284" t="str">
        <f t="shared" si="66"/>
        <v/>
      </c>
      <c r="FT43" s="284" t="str">
        <f t="shared" si="67"/>
        <v/>
      </c>
      <c r="FU43" s="279"/>
      <c r="FV43" s="279"/>
      <c r="FW43" s="287">
        <f>+IF($FX$1 = 1, IFERROR(VLOOKUP(P43, PreciosPuts, 13, FALSE), 0),
IF($FX$1 = 2, IF(AE43 = "", "",OptionGamma($AG$1,AE43,($BM$1/365), $V$15, $AZ$1, $V$17) * 1000)))</f>
        <v>0</v>
      </c>
      <c r="FX43" s="287" t="str">
        <f>+IF($FX$1=1, IF(AE43 = "", "",IFERROR(VLOOKUP(P43, PreciosPuts, 14, FALSE), 0)),
IF($FX$1=2, IF(AE43 = "", "",Putdelta($AG$1,AE43,($BM$1/365), $V$15, $AZ$1, $V$17) * 100)))</f>
        <v/>
      </c>
      <c r="FY43" s="286" t="str">
        <f t="shared" si="69"/>
        <v/>
      </c>
      <c r="FZ43" s="287" t="str">
        <f t="shared" si="70"/>
        <v/>
      </c>
      <c r="GA43" s="217"/>
      <c r="GB43" s="281"/>
      <c r="GC43" s="281"/>
      <c r="GD43" s="217"/>
      <c r="GE43" s="301" t="str">
        <f t="shared" si="71"/>
        <v/>
      </c>
      <c r="GF43" s="292" t="str">
        <f t="shared" si="72"/>
        <v/>
      </c>
      <c r="GG43" s="293" t="str">
        <f t="shared" si="73"/>
        <v/>
      </c>
      <c r="GH43" s="294" t="str">
        <f t="shared" si="124"/>
        <v/>
      </c>
      <c r="GI43" s="294">
        <v>37</v>
      </c>
      <c r="GJ43" s="217"/>
      <c r="GK43" s="305" t="str">
        <f t="shared" si="74"/>
        <v/>
      </c>
      <c r="GL43" s="299" t="str">
        <f t="shared" si="75"/>
        <v/>
      </c>
      <c r="GM43" s="300" t="str">
        <f t="shared" si="76"/>
        <v/>
      </c>
      <c r="GN43" s="225" t="str">
        <f t="shared" si="121"/>
        <v/>
      </c>
      <c r="GO43" s="225">
        <v>37</v>
      </c>
      <c r="GP43" s="217"/>
      <c r="GQ43" s="217"/>
      <c r="GR43" s="401" t="str">
        <f t="shared" si="132"/>
        <v/>
      </c>
      <c r="GT43" s="282" t="str">
        <f t="shared" si="78"/>
        <v/>
      </c>
      <c r="GU43" s="282" t="str">
        <f t="shared" si="79"/>
        <v/>
      </c>
      <c r="GV43" s="282" t="str">
        <f t="shared" si="80"/>
        <v/>
      </c>
      <c r="GW43" s="282" t="str">
        <f t="shared" si="81"/>
        <v/>
      </c>
      <c r="GX43" s="282" t="str">
        <f t="shared" si="82"/>
        <v/>
      </c>
      <c r="GY43" s="282" t="str">
        <f t="shared" si="83"/>
        <v/>
      </c>
      <c r="GZ43" s="282" t="str">
        <f t="shared" si="115"/>
        <v/>
      </c>
      <c r="HA43" s="282" t="str">
        <f t="shared" si="84"/>
        <v/>
      </c>
      <c r="HB43" s="282" t="str">
        <f t="shared" si="116"/>
        <v/>
      </c>
      <c r="HC43" s="607" t="str">
        <f t="shared" si="85"/>
        <v/>
      </c>
      <c r="HD43" s="282" t="str">
        <f t="shared" si="86"/>
        <v/>
      </c>
      <c r="HE43" s="282" t="str">
        <f t="shared" si="87"/>
        <v/>
      </c>
      <c r="HF43" s="282" t="str">
        <f t="shared" si="88"/>
        <v/>
      </c>
      <c r="HG43" s="217"/>
      <c r="HH43" s="282" t="str">
        <f t="shared" si="89"/>
        <v/>
      </c>
      <c r="HI43" s="282" t="str">
        <f t="shared" si="90"/>
        <v/>
      </c>
      <c r="HJ43" s="282"/>
      <c r="HK43" s="282"/>
      <c r="HL43" s="217"/>
      <c r="HM43" s="420"/>
      <c r="HN43" s="420"/>
      <c r="HO43" s="420"/>
      <c r="HP43" s="420"/>
      <c r="HQ43" s="282" t="str">
        <f t="shared" si="91"/>
        <v/>
      </c>
      <c r="HR43" s="420"/>
      <c r="HS43" s="420"/>
      <c r="HT43" s="420"/>
      <c r="HU43" s="420"/>
      <c r="HV43" s="420"/>
      <c r="HW43" s="420"/>
      <c r="HX43" s="425"/>
      <c r="HY43" s="338"/>
      <c r="HZ43" s="338"/>
      <c r="IA43" s="161"/>
      <c r="IB43" s="161"/>
      <c r="IC43" s="162"/>
      <c r="ID43" s="162"/>
      <c r="IE43" s="49"/>
      <c r="IF43" s="55"/>
      <c r="IG43" s="58"/>
      <c r="IH43" s="545" t="str">
        <f t="shared" si="117"/>
        <v/>
      </c>
      <c r="IJ43" s="146">
        <v>37</v>
      </c>
      <c r="IK43" s="545" t="str">
        <f t="shared" si="142"/>
        <v/>
      </c>
      <c r="IL43" s="106" t="str">
        <f t="shared" si="93"/>
        <v/>
      </c>
      <c r="IM43" s="110" t="str">
        <f t="shared" si="160"/>
        <v/>
      </c>
      <c r="IN43" s="111" t="str">
        <f t="shared" si="161"/>
        <v/>
      </c>
      <c r="IO43" s="50" t="str">
        <f t="shared" si="162"/>
        <v/>
      </c>
      <c r="IP43" s="50" t="str">
        <f t="shared" si="162"/>
        <v/>
      </c>
      <c r="IQ43" s="50" t="str">
        <f t="shared" si="162"/>
        <v/>
      </c>
      <c r="IR43" s="50" t="str">
        <f t="shared" si="162"/>
        <v/>
      </c>
      <c r="IS43" s="50" t="str">
        <f t="shared" si="162"/>
        <v/>
      </c>
      <c r="IT43" s="50" t="str">
        <f t="shared" si="162"/>
        <v/>
      </c>
      <c r="IU43" s="50" t="str">
        <f t="shared" si="162"/>
        <v/>
      </c>
      <c r="IV43" s="50" t="str">
        <f t="shared" si="162"/>
        <v/>
      </c>
      <c r="IW43" s="50" t="str">
        <f t="shared" si="162"/>
        <v/>
      </c>
      <c r="IX43" s="50" t="str">
        <f t="shared" si="162"/>
        <v/>
      </c>
      <c r="IY43" s="50" t="str">
        <f t="shared" si="163"/>
        <v/>
      </c>
      <c r="IZ43" s="50" t="str">
        <f t="shared" si="163"/>
        <v/>
      </c>
      <c r="JA43" s="50" t="str">
        <f t="shared" si="163"/>
        <v/>
      </c>
      <c r="JB43" s="50" t="str">
        <f t="shared" si="163"/>
        <v/>
      </c>
      <c r="JC43" s="50" t="str">
        <f t="shared" si="163"/>
        <v/>
      </c>
      <c r="JD43" s="50" t="str">
        <f t="shared" si="163"/>
        <v/>
      </c>
      <c r="JE43" s="50" t="str">
        <f t="shared" si="163"/>
        <v/>
      </c>
      <c r="JF43" s="50" t="str">
        <f t="shared" si="163"/>
        <v/>
      </c>
      <c r="JG43" s="50" t="str">
        <f t="shared" si="163"/>
        <v/>
      </c>
      <c r="JH43" s="50" t="str">
        <f t="shared" si="163"/>
        <v/>
      </c>
      <c r="JI43" s="50" t="str">
        <f t="shared" si="164"/>
        <v/>
      </c>
      <c r="JJ43" s="50" t="str">
        <f t="shared" si="164"/>
        <v/>
      </c>
      <c r="JK43" s="50" t="str">
        <f t="shared" si="164"/>
        <v/>
      </c>
      <c r="JL43" s="50" t="str">
        <f t="shared" si="164"/>
        <v/>
      </c>
      <c r="JM43" s="50" t="str">
        <f t="shared" si="164"/>
        <v/>
      </c>
      <c r="JN43" s="50" t="str">
        <f t="shared" si="164"/>
        <v/>
      </c>
      <c r="JO43" s="50" t="str">
        <f t="shared" si="164"/>
        <v/>
      </c>
      <c r="JP43" s="50" t="str">
        <f t="shared" si="164"/>
        <v/>
      </c>
      <c r="JQ43" s="50" t="str">
        <f t="shared" si="164"/>
        <v/>
      </c>
      <c r="JR43" s="50" t="str">
        <f t="shared" si="164"/>
        <v/>
      </c>
      <c r="JS43" s="50" t="str">
        <f t="shared" si="165"/>
        <v/>
      </c>
      <c r="JT43" s="50" t="str">
        <f t="shared" si="165"/>
        <v/>
      </c>
      <c r="JU43" s="50" t="str">
        <f t="shared" si="165"/>
        <v/>
      </c>
      <c r="JV43" s="50" t="str">
        <f t="shared" si="165"/>
        <v/>
      </c>
      <c r="JW43" s="50" t="str">
        <f t="shared" si="165"/>
        <v/>
      </c>
      <c r="JX43" s="50" t="str">
        <f t="shared" si="165"/>
        <v/>
      </c>
      <c r="JY43" s="50" t="str">
        <f t="shared" si="165"/>
        <v/>
      </c>
      <c r="JZ43" s="50" t="str">
        <f t="shared" si="165"/>
        <v/>
      </c>
      <c r="KA43" s="50" t="str">
        <f t="shared" si="165"/>
        <v/>
      </c>
      <c r="KB43" s="50" t="str">
        <f t="shared" si="165"/>
        <v/>
      </c>
      <c r="KC43" s="50" t="str">
        <f t="shared" si="165"/>
        <v/>
      </c>
      <c r="KD43" s="50" t="str">
        <f t="shared" si="165"/>
        <v/>
      </c>
    </row>
    <row r="44" spans="2:290" s="144" customFormat="1" ht="15" customHeight="1" thickBot="1">
      <c r="B44" s="146">
        <v>38</v>
      </c>
      <c r="C44" s="121" t="str">
        <f t="shared" si="99"/>
        <v/>
      </c>
      <c r="D44" s="121" t="str">
        <f t="shared" si="100"/>
        <v/>
      </c>
      <c r="E44" s="122" t="str">
        <f t="shared" si="1"/>
        <v/>
      </c>
      <c r="F44" s="123" t="str">
        <f t="shared" si="2"/>
        <v/>
      </c>
      <c r="G44" s="123" t="str">
        <f t="shared" si="3"/>
        <v/>
      </c>
      <c r="H44" s="124" t="str">
        <f t="shared" si="4"/>
        <v/>
      </c>
      <c r="I44" s="124" t="str">
        <f t="shared" si="5"/>
        <v/>
      </c>
      <c r="J44" s="124" t="str">
        <f t="shared" si="6"/>
        <v/>
      </c>
      <c r="K44" s="124" t="str">
        <f t="shared" si="7"/>
        <v/>
      </c>
      <c r="M44" s="158" t="str">
        <f t="shared" si="8"/>
        <v/>
      </c>
      <c r="N44" s="121" t="str">
        <f t="shared" si="9"/>
        <v/>
      </c>
      <c r="O44" s="158" t="str">
        <f t="shared" si="10"/>
        <v/>
      </c>
      <c r="P44" s="121" t="str">
        <f t="shared" si="11"/>
        <v/>
      </c>
      <c r="R44" s="159"/>
      <c r="S44" s="160" t="str">
        <f t="shared" si="12"/>
        <v/>
      </c>
      <c r="U44" s="54"/>
      <c r="V44" s="54"/>
      <c r="X44" s="200">
        <v>38</v>
      </c>
      <c r="Y44" s="546" t="str">
        <f t="shared" si="13"/>
        <v/>
      </c>
      <c r="Z44" s="540" t="str">
        <f t="shared" si="153"/>
        <v/>
      </c>
      <c r="AA44" s="179"/>
      <c r="AB44" s="540" t="str">
        <f t="shared" si="154"/>
        <v/>
      </c>
      <c r="AC44" s="161"/>
      <c r="AD44" s="200">
        <v>38</v>
      </c>
      <c r="AE44" s="825" t="str">
        <f t="shared" si="146"/>
        <v/>
      </c>
      <c r="AF44" s="201"/>
      <c r="AG44" s="161"/>
      <c r="AH44" s="177">
        <f t="shared" si="102"/>
        <v>0</v>
      </c>
      <c r="AI44" s="166">
        <f t="shared" si="103"/>
        <v>0</v>
      </c>
      <c r="AJ44" s="179"/>
      <c r="AK44" s="177">
        <f t="shared" si="104"/>
        <v>0</v>
      </c>
      <c r="AL44" s="166">
        <f t="shared" si="105"/>
        <v>0</v>
      </c>
      <c r="AM44" s="179"/>
      <c r="AN44" s="177"/>
      <c r="AO44" s="166"/>
      <c r="AP44" s="179"/>
      <c r="AQ44" s="176" t="str">
        <f t="shared" si="106"/>
        <v/>
      </c>
      <c r="AR44" s="165" t="str">
        <f t="shared" si="107"/>
        <v/>
      </c>
      <c r="AS44" s="179"/>
      <c r="AT44" s="176" t="str">
        <f t="shared" si="108"/>
        <v/>
      </c>
      <c r="AU44" s="165" t="str">
        <f t="shared" si="109"/>
        <v/>
      </c>
      <c r="AV44" s="179"/>
      <c r="AW44" s="200">
        <f t="shared" si="16"/>
        <v>38</v>
      </c>
      <c r="AX44" s="170" t="str">
        <f t="shared" si="17"/>
        <v/>
      </c>
      <c r="AY44" s="164"/>
      <c r="AZ44" s="215">
        <f t="shared" si="18"/>
        <v>0</v>
      </c>
      <c r="BA44" s="197"/>
      <c r="BB44" s="228" t="str">
        <f t="shared" si="19"/>
        <v/>
      </c>
      <c r="BC44" s="161"/>
      <c r="BD44" s="240" t="str">
        <f t="shared" si="20"/>
        <v/>
      </c>
      <c r="BE44" s="196"/>
      <c r="BF44" s="240" t="str">
        <f t="shared" si="21"/>
        <v/>
      </c>
      <c r="BG44" s="196"/>
      <c r="BH44" s="189"/>
      <c r="BI44" s="227">
        <f t="shared" si="22"/>
        <v>0</v>
      </c>
      <c r="BJ44" s="197"/>
      <c r="BK44" s="167" t="str">
        <f t="shared" si="23"/>
        <v/>
      </c>
      <c r="BL44" s="161"/>
      <c r="BM44" s="240" t="str">
        <f t="shared" si="24"/>
        <v/>
      </c>
      <c r="BN44" s="196"/>
      <c r="BO44" s="240" t="str">
        <f t="shared" si="25"/>
        <v/>
      </c>
      <c r="BP44" s="196"/>
      <c r="BQ44" s="161"/>
      <c r="BR44" s="381"/>
      <c r="BS44" s="392" t="str">
        <f t="shared" si="122"/>
        <v/>
      </c>
      <c r="BT44" s="376"/>
      <c r="BU44" s="393" t="str">
        <f t="shared" si="126"/>
        <v/>
      </c>
      <c r="BV44" s="310"/>
      <c r="BW44" s="311" t="str">
        <f t="shared" si="110"/>
        <v/>
      </c>
      <c r="BX44" s="372"/>
      <c r="BY44" s="440"/>
      <c r="BZ44" s="432">
        <v>0</v>
      </c>
      <c r="CA44" s="372"/>
      <c r="CB44" s="572" t="str">
        <f t="shared" si="152"/>
        <v/>
      </c>
      <c r="CC44" s="567" t="str">
        <f t="shared" si="29"/>
        <v/>
      </c>
      <c r="CD44" s="814" t="str">
        <f t="shared" si="30"/>
        <v/>
      </c>
      <c r="CE44" s="569" t="str">
        <f t="shared" si="31"/>
        <v/>
      </c>
      <c r="CF44" s="574" t="str">
        <f t="shared" si="32"/>
        <v/>
      </c>
      <c r="CG44" s="372"/>
      <c r="CH44" s="435">
        <v>5.9</v>
      </c>
      <c r="CI44" s="436"/>
      <c r="CJ44" s="372"/>
      <c r="CK44" s="391" t="str">
        <f t="shared" si="111"/>
        <v/>
      </c>
      <c r="CL44" s="396" t="str">
        <f t="shared" si="159"/>
        <v/>
      </c>
      <c r="CM44" s="370"/>
      <c r="CN44" s="161"/>
      <c r="CO44" s="161"/>
      <c r="CP44" s="161"/>
      <c r="CQ44" s="161"/>
      <c r="CR44" s="161"/>
      <c r="CS44" s="161"/>
      <c r="CT44" s="161"/>
      <c r="CU44" s="161"/>
      <c r="CV44" s="161"/>
      <c r="CW44" s="161"/>
      <c r="CX44" s="161"/>
      <c r="CY44" s="161"/>
      <c r="CZ44" s="161"/>
      <c r="DA44" s="161"/>
      <c r="DB44" s="161"/>
      <c r="DC44" s="161"/>
      <c r="DD44" s="161"/>
      <c r="DE44" s="161"/>
      <c r="DF44" s="161"/>
      <c r="DG44" s="161"/>
      <c r="DH44" s="161"/>
      <c r="DI44" s="161"/>
      <c r="DJ44" s="161"/>
      <c r="DK44" s="242" t="str">
        <f t="shared" si="123"/>
        <v/>
      </c>
      <c r="DL44" s="217"/>
      <c r="DM44" s="490" t="str">
        <f t="shared" si="34"/>
        <v/>
      </c>
      <c r="DN44" s="242" t="str">
        <f t="shared" si="35"/>
        <v/>
      </c>
      <c r="DO44" s="243" t="str">
        <f t="shared" si="36"/>
        <v/>
      </c>
      <c r="DP44" s="217"/>
      <c r="DQ44" s="252" t="str">
        <f t="shared" si="120"/>
        <v/>
      </c>
      <c r="DR44" s="217"/>
      <c r="DS44" s="242" t="str">
        <f t="shared" si="38"/>
        <v/>
      </c>
      <c r="DT44" s="242" t="str">
        <f t="shared" si="39"/>
        <v/>
      </c>
      <c r="DU44" s="244" t="str">
        <f t="shared" si="40"/>
        <v/>
      </c>
      <c r="DV44" s="217"/>
      <c r="DW44" s="428" t="str">
        <f>+IF(OR(AE44 = "", AND(AH44 = "", AK44 = "")), "",IFERROR(+AH44 * CallDelta($AG$1,AE44,($BM$1/365), $V$15, $AZ$1, $V$17), 0) + IFERROR(AK44 * Putdelta($AG$1,AE44,($BM$1/365), $V$15, $AZ$1, $V$17), 0))</f>
        <v/>
      </c>
      <c r="DX44" s="245" t="str">
        <f>+IF(OR(AE44 = "", AND(AH44 = "", AK44 = "")), "",IFERROR(+AH44 * OptionGamma($AG$1,AE44,($BM$1/365), $V$15, $AZ$1, $V$17), 0) + IFERROR(AK44 * OptionGamma($AG$1,AE44,($BM$1/365), $V$15, $AZ$1, $V$17), 0))</f>
        <v/>
      </c>
      <c r="DY44" s="161"/>
      <c r="DZ44" s="267" t="str">
        <f t="shared" si="127"/>
        <v/>
      </c>
      <c r="EA44" s="217"/>
      <c r="EB44" s="267" t="str">
        <f t="shared" si="42"/>
        <v/>
      </c>
      <c r="EC44" s="267" t="str">
        <f t="shared" si="43"/>
        <v/>
      </c>
      <c r="ED44" s="247" t="str">
        <f t="shared" si="44"/>
        <v/>
      </c>
      <c r="EE44" s="217"/>
      <c r="EF44" s="267" t="str">
        <f t="shared" si="129"/>
        <v/>
      </c>
      <c r="EG44" s="217"/>
      <c r="EH44" s="267" t="str">
        <f t="shared" si="46"/>
        <v/>
      </c>
      <c r="EI44" s="246" t="str">
        <f t="shared" si="47"/>
        <v/>
      </c>
      <c r="EJ44" s="248" t="str">
        <f t="shared" si="48"/>
        <v/>
      </c>
      <c r="EK44" s="217"/>
      <c r="EL44" s="251" t="str">
        <f>+IF(OR(AE44 = "", AND(AQ44 = "", AT44 = "")), "",IFERROR(+AQ44 * CallDelta($AG$1,AE44,($BM$1/365), $V$15, $AZ$1, $V$17), 0) + IFERROR(AT44 * Putdelta($AG$1,AE44,($BM$1/365), $V$15, $AZ$1, $V$17), 0))</f>
        <v/>
      </c>
      <c r="EM44" s="249" t="str">
        <f>+IF(OR(AE44 = "", AND(AQ44 = "", AT44 = "")), "",IFERROR(+AQ44 * OptionGamma($AG$1,AE44,($BM$1/365), $V$15, $AZ$1, $V$17), 0) + IFERROR(AT44 * OptionGamma($AG$1,AE44,($BM$1/365), $V$15, $AZ$1, $V$17), 0))</f>
        <v/>
      </c>
      <c r="EN44" s="451" t="str">
        <f t="shared" si="49"/>
        <v/>
      </c>
      <c r="EO44" s="418" t="str">
        <f>+IF(AE44 = "", "",ImpliedCallVolatility($AG$1, $AE44,($BM$1/365), $V$15, $AZ44, $V$17) * 100)</f>
        <v/>
      </c>
      <c r="EP44" s="418" t="str">
        <f>+IF(AE44 = "", "",ImpliedCallVolatility($AG$1, $AE44,($BM$1/365), $V$15, BD44, $V$17) * 100)</f>
        <v/>
      </c>
      <c r="EQ44" s="418" t="str">
        <f>+IF(AE44 = "", "",ImpliedCallVolatility($AG$1, $AE44,($BM$1/365), $V$15, BF44, $V$17) * 100)</f>
        <v/>
      </c>
      <c r="ER44" s="411" t="str">
        <f t="shared" si="50"/>
        <v/>
      </c>
      <c r="ES44" s="411" t="str">
        <f t="shared" si="51"/>
        <v/>
      </c>
      <c r="ET44" s="411" t="str">
        <f t="shared" si="52"/>
        <v/>
      </c>
      <c r="EU44" s="416" t="str">
        <f>IF($FC$1 = 1,
IF(AE44 = "", "",OptionGamma($AG$1,AE44,($BM$1/365), $V$15, $AZ$1, $V$17) * 1000),
IF($FC$1 = 2, IF(OR(AE44 = "", BD44 =  0), "",IF(AE44 &lt; $AG$1, (((AE44 * (1 - COMIS_ACCION)) / (($AG$1 * (1 + COMIS_ACCION)) - (BD44 * (1 - COMIS_OPCION)))) - 1) * 100 / $BM$1 * 365,((($AG$1 * (1 - COMIS_ACCION)) / (($AG$1 * (1 + COMIS_ACCION)) - (BD44 * (1 - COMIS_OPCION)))) - 1) * 100 / $BM$1 * 365))))</f>
        <v/>
      </c>
      <c r="EV44" s="276" t="str">
        <f>+IF(AE44 = "", "",CallOption($AG$1, $AE44,($BM$1/365), $V$15, $AZ$1, $V$17))</f>
        <v/>
      </c>
      <c r="EW44" s="271" t="str">
        <f t="shared" si="53"/>
        <v/>
      </c>
      <c r="EX44" s="272" t="str">
        <f t="shared" si="54"/>
        <v/>
      </c>
      <c r="EY44" s="274" t="str">
        <f t="shared" si="55"/>
        <v/>
      </c>
      <c r="EZ44" s="272" t="str">
        <f t="shared" si="56"/>
        <v/>
      </c>
      <c r="FA44" s="272" t="str">
        <f t="shared" si="57"/>
        <v/>
      </c>
      <c r="FB44" s="530" t="str">
        <f>+IF($FC$1 = 1, IF(AE44 = "", "",IFERROR( VLOOKUP(N44, PreciosCalls, 13, FALSE), 0)),
IF($FC$1 = 2,  IF(AE44 = "", "",OptionGamma($AG$1,AE44,($BM$1/365), $V$15, $AZ$1, $V$17) * 1000)))</f>
        <v/>
      </c>
      <c r="FC44" s="530" t="str">
        <f>IF($FC$1 = 1, IF(AE44 = "", "",IFERROR( VLOOKUP(N44, PreciosCalls, 14, FALSE), 0)),
IF($FC$1 = 2, IF(AE44 = "", "",CallDelta($AG$1,AE44,($BM$1/365), $V$15, $AZ$1, $V$17) * 100)))</f>
        <v/>
      </c>
      <c r="FD44" s="531" t="str">
        <f t="shared" si="58"/>
        <v/>
      </c>
      <c r="FE44" s="530" t="str">
        <f t="shared" si="59"/>
        <v/>
      </c>
      <c r="FF44" s="217"/>
      <c r="FG44" s="273" t="str">
        <f t="shared" si="60"/>
        <v/>
      </c>
      <c r="FH44" s="273" t="str">
        <f t="shared" si="61"/>
        <v/>
      </c>
      <c r="FI44" s="451" t="str">
        <f t="shared" si="62"/>
        <v/>
      </c>
      <c r="FJ44" s="419" t="str">
        <f>+IF(AE44 = "", "",ImpliedPutVolatility($AG$1, $AE44,($BM$1/365), $V$15, BI44, $V$17) * 100)</f>
        <v/>
      </c>
      <c r="FK44" s="419" t="str">
        <f>+IF(AE44 = "", "",ImpliedPutVolatility($AG$1, $AE44,($BM$1/365), $V$15, BM44, $V$17) * 100)</f>
        <v/>
      </c>
      <c r="FL44" s="419" t="str">
        <f>+IF(AE44 = "", "",ImpliedPutVolatility($AG$1, $AE44,($BM$1/365), $V$15, BO44, $V$17) * 100)</f>
        <v/>
      </c>
      <c r="FM44" s="415" t="str">
        <f t="shared" si="63"/>
        <v/>
      </c>
      <c r="FN44" s="415" t="str">
        <f t="shared" si="64"/>
        <v/>
      </c>
      <c r="FO44" s="415" t="str">
        <f t="shared" si="65"/>
        <v/>
      </c>
      <c r="FP44" s="417" t="str">
        <f>IF($FX$1=1, IF(AE44 = "", "",OptionGamma($AG$1,AE44,($BM$1/365), $V$15, $AZ$1, $V$17) * 1000),
IF($FX$1 = 2, IF(OR(AE44 = "", BM44 =  0), "",((BM44 * (1 - COMIS_OPCION)) / (AE44 * (1 + COMIS_ACCION))) * 100 / $BM$1 * 365)))</f>
        <v/>
      </c>
      <c r="FQ44" s="289" t="str">
        <f>+IF(AE44 = "", "",PutOption($AG$1, $AE44,($BM$1/365), $V$15, $AZ$1, $V$17))</f>
        <v/>
      </c>
      <c r="FR44" s="279"/>
      <c r="FS44" s="284" t="str">
        <f t="shared" si="66"/>
        <v/>
      </c>
      <c r="FT44" s="284" t="str">
        <f t="shared" si="67"/>
        <v/>
      </c>
      <c r="FU44" s="279"/>
      <c r="FV44" s="279"/>
      <c r="FW44" s="287">
        <f>+IF($FX$1 = 1, IFERROR(VLOOKUP(P44, PreciosPuts, 13, FALSE), 0),
IF($FX$1 = 2, IF(AE44 = "", "",OptionGamma($AG$1,AE44,($BM$1/365), $V$15, $AZ$1, $V$17) * 1000)))</f>
        <v>0</v>
      </c>
      <c r="FX44" s="287" t="str">
        <f>+IF($FX$1=1, IF(AE44 = "", "",IFERROR(VLOOKUP(P44, PreciosPuts, 14, FALSE), 0)),
IF($FX$1=2, IF(AE44 = "", "",Putdelta($AG$1,AE44,($BM$1/365), $V$15, $AZ$1, $V$17) * 100)))</f>
        <v/>
      </c>
      <c r="FY44" s="286" t="str">
        <f t="shared" si="69"/>
        <v/>
      </c>
      <c r="FZ44" s="287" t="str">
        <f t="shared" si="70"/>
        <v/>
      </c>
      <c r="GA44" s="217"/>
      <c r="GB44" s="281"/>
      <c r="GC44" s="281"/>
      <c r="GD44" s="217"/>
      <c r="GE44" s="301" t="str">
        <f t="shared" si="71"/>
        <v/>
      </c>
      <c r="GF44" s="292" t="str">
        <f t="shared" si="72"/>
        <v/>
      </c>
      <c r="GG44" s="293" t="str">
        <f t="shared" si="73"/>
        <v/>
      </c>
      <c r="GH44" s="294" t="str">
        <f t="shared" si="124"/>
        <v/>
      </c>
      <c r="GI44" s="294">
        <v>38</v>
      </c>
      <c r="GJ44" s="217"/>
      <c r="GK44" s="305" t="str">
        <f t="shared" si="74"/>
        <v/>
      </c>
      <c r="GL44" s="299" t="str">
        <f t="shared" si="75"/>
        <v/>
      </c>
      <c r="GM44" s="300" t="str">
        <f t="shared" si="76"/>
        <v/>
      </c>
      <c r="GN44" s="225" t="str">
        <f t="shared" si="121"/>
        <v/>
      </c>
      <c r="GO44" s="225">
        <v>38</v>
      </c>
      <c r="GP44" s="217"/>
      <c r="GQ44" s="217"/>
      <c r="GR44" s="401" t="str">
        <f t="shared" si="132"/>
        <v/>
      </c>
      <c r="GT44" s="282" t="str">
        <f t="shared" si="78"/>
        <v/>
      </c>
      <c r="GU44" s="282" t="str">
        <f t="shared" si="79"/>
        <v/>
      </c>
      <c r="GV44" s="282" t="str">
        <f t="shared" si="80"/>
        <v/>
      </c>
      <c r="GW44" s="282" t="str">
        <f t="shared" si="81"/>
        <v/>
      </c>
      <c r="GX44" s="282" t="str">
        <f t="shared" si="82"/>
        <v/>
      </c>
      <c r="GY44" s="282" t="str">
        <f t="shared" si="83"/>
        <v/>
      </c>
      <c r="GZ44" s="282" t="str">
        <f t="shared" si="115"/>
        <v/>
      </c>
      <c r="HA44" s="282" t="str">
        <f t="shared" si="84"/>
        <v/>
      </c>
      <c r="HB44" s="282" t="str">
        <f t="shared" si="116"/>
        <v/>
      </c>
      <c r="HC44" s="607" t="str">
        <f t="shared" si="85"/>
        <v/>
      </c>
      <c r="HD44" s="282" t="str">
        <f t="shared" si="86"/>
        <v/>
      </c>
      <c r="HE44" s="282" t="str">
        <f t="shared" si="87"/>
        <v/>
      </c>
      <c r="HF44" s="282" t="str">
        <f t="shared" si="88"/>
        <v/>
      </c>
      <c r="HG44" s="217"/>
      <c r="HH44" s="282" t="str">
        <f t="shared" si="89"/>
        <v/>
      </c>
      <c r="HI44" s="282" t="str">
        <f t="shared" si="90"/>
        <v/>
      </c>
      <c r="HJ44" s="282"/>
      <c r="HK44" s="282"/>
      <c r="HL44" s="217"/>
      <c r="HM44" s="420"/>
      <c r="HN44" s="420"/>
      <c r="HO44" s="420"/>
      <c r="HP44" s="420"/>
      <c r="HQ44" s="282" t="str">
        <f t="shared" si="91"/>
        <v/>
      </c>
      <c r="HR44" s="420"/>
      <c r="HS44" s="420"/>
      <c r="HT44" s="420"/>
      <c r="HU44" s="420"/>
      <c r="HV44" s="420"/>
      <c r="HW44" s="420"/>
      <c r="HX44" s="425"/>
      <c r="HY44" s="338"/>
      <c r="HZ44" s="338"/>
      <c r="IA44" s="161"/>
      <c r="IB44" s="161"/>
      <c r="IC44" s="162"/>
      <c r="ID44" s="162"/>
      <c r="IE44" s="49"/>
      <c r="IF44" s="55"/>
      <c r="IG44" s="58"/>
      <c r="IH44" s="545" t="str">
        <f t="shared" si="117"/>
        <v/>
      </c>
      <c r="IJ44" s="146">
        <v>38</v>
      </c>
      <c r="IK44" s="545" t="str">
        <f t="shared" si="142"/>
        <v/>
      </c>
      <c r="IL44" s="106" t="str">
        <f t="shared" si="93"/>
        <v/>
      </c>
      <c r="IM44" s="110" t="str">
        <f t="shared" si="160"/>
        <v/>
      </c>
      <c r="IN44" s="111" t="str">
        <f t="shared" si="161"/>
        <v/>
      </c>
      <c r="IO44" s="50" t="str">
        <f t="shared" si="162"/>
        <v/>
      </c>
      <c r="IP44" s="50" t="str">
        <f t="shared" si="162"/>
        <v/>
      </c>
      <c r="IQ44" s="50" t="str">
        <f t="shared" si="162"/>
        <v/>
      </c>
      <c r="IR44" s="50" t="str">
        <f t="shared" si="162"/>
        <v/>
      </c>
      <c r="IS44" s="50" t="str">
        <f t="shared" si="162"/>
        <v/>
      </c>
      <c r="IT44" s="50" t="str">
        <f t="shared" si="162"/>
        <v/>
      </c>
      <c r="IU44" s="50" t="str">
        <f t="shared" si="162"/>
        <v/>
      </c>
      <c r="IV44" s="50" t="str">
        <f t="shared" si="162"/>
        <v/>
      </c>
      <c r="IW44" s="50" t="str">
        <f t="shared" si="162"/>
        <v/>
      </c>
      <c r="IX44" s="50" t="str">
        <f t="shared" si="162"/>
        <v/>
      </c>
      <c r="IY44" s="50" t="str">
        <f t="shared" si="163"/>
        <v/>
      </c>
      <c r="IZ44" s="50" t="str">
        <f t="shared" si="163"/>
        <v/>
      </c>
      <c r="JA44" s="50" t="str">
        <f t="shared" si="163"/>
        <v/>
      </c>
      <c r="JB44" s="50" t="str">
        <f t="shared" si="163"/>
        <v/>
      </c>
      <c r="JC44" s="50" t="str">
        <f t="shared" si="163"/>
        <v/>
      </c>
      <c r="JD44" s="50" t="str">
        <f t="shared" si="163"/>
        <v/>
      </c>
      <c r="JE44" s="50" t="str">
        <f t="shared" si="163"/>
        <v/>
      </c>
      <c r="JF44" s="50" t="str">
        <f t="shared" si="163"/>
        <v/>
      </c>
      <c r="JG44" s="50" t="str">
        <f t="shared" si="163"/>
        <v/>
      </c>
      <c r="JH44" s="50" t="str">
        <f t="shared" si="163"/>
        <v/>
      </c>
      <c r="JI44" s="50" t="str">
        <f t="shared" si="164"/>
        <v/>
      </c>
      <c r="JJ44" s="50" t="str">
        <f t="shared" si="164"/>
        <v/>
      </c>
      <c r="JK44" s="50" t="str">
        <f t="shared" si="164"/>
        <v/>
      </c>
      <c r="JL44" s="50" t="str">
        <f t="shared" si="164"/>
        <v/>
      </c>
      <c r="JM44" s="50" t="str">
        <f t="shared" si="164"/>
        <v/>
      </c>
      <c r="JN44" s="50" t="str">
        <f t="shared" si="164"/>
        <v/>
      </c>
      <c r="JO44" s="50" t="str">
        <f t="shared" si="164"/>
        <v/>
      </c>
      <c r="JP44" s="50" t="str">
        <f t="shared" si="164"/>
        <v/>
      </c>
      <c r="JQ44" s="50" t="str">
        <f t="shared" si="164"/>
        <v/>
      </c>
      <c r="JR44" s="50" t="str">
        <f t="shared" si="164"/>
        <v/>
      </c>
      <c r="JS44" s="50" t="str">
        <f t="shared" si="165"/>
        <v/>
      </c>
      <c r="JT44" s="50" t="str">
        <f t="shared" si="165"/>
        <v/>
      </c>
      <c r="JU44" s="50" t="str">
        <f t="shared" si="165"/>
        <v/>
      </c>
      <c r="JV44" s="50" t="str">
        <f t="shared" si="165"/>
        <v/>
      </c>
      <c r="JW44" s="50" t="str">
        <f t="shared" si="165"/>
        <v/>
      </c>
      <c r="JX44" s="50" t="str">
        <f t="shared" si="165"/>
        <v/>
      </c>
      <c r="JY44" s="50" t="str">
        <f t="shared" si="165"/>
        <v/>
      </c>
      <c r="JZ44" s="50" t="str">
        <f t="shared" si="165"/>
        <v/>
      </c>
      <c r="KA44" s="50" t="str">
        <f t="shared" si="165"/>
        <v/>
      </c>
      <c r="KB44" s="50" t="str">
        <f t="shared" si="165"/>
        <v/>
      </c>
      <c r="KC44" s="50" t="str">
        <f t="shared" si="165"/>
        <v/>
      </c>
      <c r="KD44" s="50" t="str">
        <f t="shared" si="165"/>
        <v/>
      </c>
    </row>
    <row r="45" spans="2:290" s="144" customFormat="1" ht="15" customHeight="1" thickBot="1">
      <c r="B45" s="146">
        <v>39</v>
      </c>
      <c r="C45" s="121" t="str">
        <f t="shared" si="99"/>
        <v/>
      </c>
      <c r="D45" s="121" t="str">
        <f t="shared" si="100"/>
        <v/>
      </c>
      <c r="E45" s="122" t="str">
        <f t="shared" si="1"/>
        <v/>
      </c>
      <c r="F45" s="123" t="str">
        <f t="shared" si="2"/>
        <v/>
      </c>
      <c r="G45" s="123" t="str">
        <f t="shared" si="3"/>
        <v/>
      </c>
      <c r="H45" s="124" t="str">
        <f t="shared" si="4"/>
        <v/>
      </c>
      <c r="I45" s="124" t="str">
        <f t="shared" si="5"/>
        <v/>
      </c>
      <c r="J45" s="124" t="str">
        <f t="shared" si="6"/>
        <v/>
      </c>
      <c r="K45" s="124" t="str">
        <f t="shared" si="7"/>
        <v/>
      </c>
      <c r="M45" s="158" t="str">
        <f t="shared" si="8"/>
        <v/>
      </c>
      <c r="N45" s="121" t="str">
        <f t="shared" si="9"/>
        <v/>
      </c>
      <c r="O45" s="158" t="str">
        <f t="shared" si="10"/>
        <v/>
      </c>
      <c r="P45" s="121" t="str">
        <f t="shared" si="11"/>
        <v/>
      </c>
      <c r="R45" s="159"/>
      <c r="S45" s="160" t="str">
        <f t="shared" si="12"/>
        <v/>
      </c>
      <c r="U45" s="54"/>
      <c r="V45" s="54"/>
      <c r="X45" s="200">
        <v>39</v>
      </c>
      <c r="Y45" s="546" t="str">
        <f t="shared" si="13"/>
        <v/>
      </c>
      <c r="Z45" s="540" t="str">
        <f t="shared" si="153"/>
        <v/>
      </c>
      <c r="AA45" s="179"/>
      <c r="AB45" s="540" t="str">
        <f t="shared" si="154"/>
        <v/>
      </c>
      <c r="AC45" s="161"/>
      <c r="AD45" s="200">
        <v>39</v>
      </c>
      <c r="AE45" s="825" t="str">
        <f t="shared" si="146"/>
        <v/>
      </c>
      <c r="AF45" s="201"/>
      <c r="AG45" s="161"/>
      <c r="AH45" s="177">
        <f t="shared" si="102"/>
        <v>0</v>
      </c>
      <c r="AI45" s="166">
        <f t="shared" si="103"/>
        <v>0</v>
      </c>
      <c r="AJ45" s="179"/>
      <c r="AK45" s="177">
        <f t="shared" si="104"/>
        <v>0</v>
      </c>
      <c r="AL45" s="166">
        <f t="shared" si="105"/>
        <v>0</v>
      </c>
      <c r="AM45" s="179"/>
      <c r="AN45" s="177"/>
      <c r="AO45" s="166"/>
      <c r="AP45" s="179"/>
      <c r="AQ45" s="176" t="str">
        <f t="shared" si="106"/>
        <v/>
      </c>
      <c r="AR45" s="165" t="str">
        <f t="shared" si="107"/>
        <v/>
      </c>
      <c r="AS45" s="179"/>
      <c r="AT45" s="176" t="str">
        <f t="shared" si="108"/>
        <v/>
      </c>
      <c r="AU45" s="165" t="str">
        <f t="shared" si="109"/>
        <v/>
      </c>
      <c r="AV45" s="179"/>
      <c r="AW45" s="200">
        <f t="shared" si="16"/>
        <v>39</v>
      </c>
      <c r="AX45" s="170" t="str">
        <f t="shared" si="17"/>
        <v/>
      </c>
      <c r="AY45" s="164"/>
      <c r="AZ45" s="215">
        <f t="shared" si="18"/>
        <v>0</v>
      </c>
      <c r="BA45" s="197"/>
      <c r="BB45" s="228" t="str">
        <f t="shared" si="19"/>
        <v/>
      </c>
      <c r="BC45" s="161"/>
      <c r="BD45" s="240" t="str">
        <f t="shared" si="20"/>
        <v/>
      </c>
      <c r="BE45" s="196"/>
      <c r="BF45" s="240" t="str">
        <f t="shared" si="21"/>
        <v/>
      </c>
      <c r="BG45" s="196"/>
      <c r="BH45" s="189"/>
      <c r="BI45" s="227">
        <f t="shared" si="22"/>
        <v>0</v>
      </c>
      <c r="BJ45" s="197"/>
      <c r="BK45" s="167" t="str">
        <f t="shared" si="23"/>
        <v/>
      </c>
      <c r="BL45" s="161"/>
      <c r="BM45" s="240" t="str">
        <f t="shared" si="24"/>
        <v/>
      </c>
      <c r="BN45" s="196"/>
      <c r="BO45" s="240" t="str">
        <f t="shared" si="25"/>
        <v/>
      </c>
      <c r="BP45" s="196"/>
      <c r="BQ45" s="161"/>
      <c r="BR45" s="381"/>
      <c r="BS45" s="392" t="str">
        <f t="shared" si="122"/>
        <v/>
      </c>
      <c r="BT45" s="376"/>
      <c r="BU45" s="393" t="str">
        <f t="shared" si="126"/>
        <v/>
      </c>
      <c r="BV45" s="310"/>
      <c r="BW45" s="311" t="str">
        <f t="shared" si="110"/>
        <v/>
      </c>
      <c r="BX45" s="372"/>
      <c r="BY45" s="440"/>
      <c r="BZ45" s="432">
        <v>0</v>
      </c>
      <c r="CA45" s="372"/>
      <c r="CB45" s="572" t="str">
        <f t="shared" si="152"/>
        <v/>
      </c>
      <c r="CC45" s="567" t="str">
        <f t="shared" si="29"/>
        <v/>
      </c>
      <c r="CD45" s="814" t="str">
        <f t="shared" si="30"/>
        <v/>
      </c>
      <c r="CE45" s="569" t="str">
        <f t="shared" si="31"/>
        <v/>
      </c>
      <c r="CF45" s="574" t="str">
        <f t="shared" si="32"/>
        <v/>
      </c>
      <c r="CG45" s="372"/>
      <c r="CH45" s="435">
        <v>0</v>
      </c>
      <c r="CI45" s="436"/>
      <c r="CJ45" s="372"/>
      <c r="CK45" s="391" t="str">
        <f t="shared" si="111"/>
        <v/>
      </c>
      <c r="CL45" s="396" t="str">
        <f t="shared" si="159"/>
        <v/>
      </c>
      <c r="CM45" s="370"/>
      <c r="CN45" s="161"/>
      <c r="CO45" s="161"/>
      <c r="CP45" s="161"/>
      <c r="CQ45" s="161"/>
      <c r="CR45" s="161"/>
      <c r="CS45" s="161"/>
      <c r="CT45" s="161"/>
      <c r="CU45" s="161"/>
      <c r="CV45" s="161"/>
      <c r="CW45" s="161"/>
      <c r="CX45" s="161"/>
      <c r="CY45" s="161"/>
      <c r="CZ45" s="161"/>
      <c r="DA45" s="161"/>
      <c r="DB45" s="161"/>
      <c r="DC45" s="161"/>
      <c r="DD45" s="161"/>
      <c r="DE45" s="161"/>
      <c r="DF45" s="161"/>
      <c r="DG45" s="161"/>
      <c r="DH45" s="161"/>
      <c r="DI45" s="161"/>
      <c r="DJ45" s="161"/>
      <c r="DK45" s="242" t="str">
        <f t="shared" si="123"/>
        <v/>
      </c>
      <c r="DL45" s="217"/>
      <c r="DM45" s="490" t="str">
        <f t="shared" si="34"/>
        <v/>
      </c>
      <c r="DN45" s="242" t="str">
        <f t="shared" si="35"/>
        <v/>
      </c>
      <c r="DO45" s="243" t="str">
        <f t="shared" si="36"/>
        <v/>
      </c>
      <c r="DP45" s="217"/>
      <c r="DQ45" s="252" t="str">
        <f t="shared" si="120"/>
        <v/>
      </c>
      <c r="DR45" s="217"/>
      <c r="DS45" s="242" t="str">
        <f t="shared" si="38"/>
        <v/>
      </c>
      <c r="DT45" s="242" t="str">
        <f t="shared" si="39"/>
        <v/>
      </c>
      <c r="DU45" s="244" t="str">
        <f t="shared" si="40"/>
        <v/>
      </c>
      <c r="DV45" s="217"/>
      <c r="DW45" s="428" t="str">
        <f>+IF(OR(AE45 = "", AND(AH45 = "", AK45 = "")), "",IFERROR(+AH45 * CallDelta($AG$1,AE45,($BM$1/365), $V$15, $AZ$1, $V$17), 0) + IFERROR(AK45 * Putdelta($AG$1,AE45,($BM$1/365), $V$15, $AZ$1, $V$17), 0))</f>
        <v/>
      </c>
      <c r="DX45" s="245" t="str">
        <f>+IF(OR(AE45 = "", AND(AH45 = "", AK45 = "")), "",IFERROR(+AH45 * OptionGamma($AG$1,AE45,($BM$1/365), $V$15, $AZ$1, $V$17), 0) + IFERROR(AK45 * OptionGamma($AG$1,AE45,($BM$1/365), $V$15, $AZ$1, $V$17), 0))</f>
        <v/>
      </c>
      <c r="DY45" s="161"/>
      <c r="DZ45" s="267" t="str">
        <f t="shared" si="127"/>
        <v/>
      </c>
      <c r="EA45" s="217"/>
      <c r="EB45" s="267" t="str">
        <f t="shared" si="42"/>
        <v/>
      </c>
      <c r="EC45" s="267" t="str">
        <f t="shared" si="43"/>
        <v/>
      </c>
      <c r="ED45" s="247" t="str">
        <f t="shared" si="44"/>
        <v/>
      </c>
      <c r="EE45" s="217"/>
      <c r="EF45" s="267" t="str">
        <f t="shared" si="129"/>
        <v/>
      </c>
      <c r="EG45" s="217"/>
      <c r="EH45" s="267" t="str">
        <f t="shared" si="46"/>
        <v/>
      </c>
      <c r="EI45" s="246" t="str">
        <f t="shared" si="47"/>
        <v/>
      </c>
      <c r="EJ45" s="248" t="str">
        <f t="shared" si="48"/>
        <v/>
      </c>
      <c r="EK45" s="217"/>
      <c r="EL45" s="251" t="str">
        <f>+IF(OR(AE45 = "", AND(AQ45 = "", AT45 = "")), "",IFERROR(+AQ45 * CallDelta($AG$1,AE45,($BM$1/365), $V$15, $AZ$1, $V$17), 0) + IFERROR(AT45 * Putdelta($AG$1,AE45,($BM$1/365), $V$15, $AZ$1, $V$17), 0))</f>
        <v/>
      </c>
      <c r="EM45" s="249" t="str">
        <f>+IF(OR(AE45 = "", AND(AQ45 = "", AT45 = "")), "",IFERROR(+AQ45 * OptionGamma($AG$1,AE45,($BM$1/365), $V$15, $AZ$1, $V$17), 0) + IFERROR(AT45 * OptionGamma($AG$1,AE45,($BM$1/365), $V$15, $AZ$1, $V$17), 0))</f>
        <v/>
      </c>
      <c r="EN45" s="451" t="str">
        <f t="shared" si="49"/>
        <v/>
      </c>
      <c r="EO45" s="418" t="str">
        <f>+IF(AE45 = "", "",ImpliedCallVolatility($AG$1, $AE45,($BM$1/365), $V$15, $AZ45, $V$17) * 100)</f>
        <v/>
      </c>
      <c r="EP45" s="418" t="str">
        <f>+IF(AE45 = "", "",ImpliedCallVolatility($AG$1, $AE45,($BM$1/365), $V$15, BD45, $V$17) * 100)</f>
        <v/>
      </c>
      <c r="EQ45" s="418" t="str">
        <f>+IF(AE45 = "", "",ImpliedCallVolatility($AG$1, $AE45,($BM$1/365), $V$15, BF45, $V$17) * 100)</f>
        <v/>
      </c>
      <c r="ER45" s="411" t="str">
        <f t="shared" si="50"/>
        <v/>
      </c>
      <c r="ES45" s="411" t="str">
        <f t="shared" si="51"/>
        <v/>
      </c>
      <c r="ET45" s="411" t="str">
        <f t="shared" si="52"/>
        <v/>
      </c>
      <c r="EU45" s="416" t="str">
        <f>IF($FC$1 = 1,
IF(AE45 = "", "",OptionGamma($AG$1,AE45,($BM$1/365), $V$15, $AZ$1, $V$17) * 1000),
IF($FC$1 = 2, IF(OR(AE45 = "", BD45 =  0), "",IF(AE45 &lt; $AG$1, (((AE45 * (1 - COMIS_ACCION)) / (($AG$1 * (1 + COMIS_ACCION)) - (BD45 * (1 - COMIS_OPCION)))) - 1) * 100 / $BM$1 * 365,((($AG$1 * (1 - COMIS_ACCION)) / (($AG$1 * (1 + COMIS_ACCION)) - (BD45 * (1 - COMIS_OPCION)))) - 1) * 100 / $BM$1 * 365))))</f>
        <v/>
      </c>
      <c r="EV45" s="276" t="str">
        <f>+IF(AE45 = "", "",CallOption($AG$1, $AE45,($BM$1/365), $V$15, $AZ$1, $V$17))</f>
        <v/>
      </c>
      <c r="EW45" s="271" t="str">
        <f t="shared" si="53"/>
        <v/>
      </c>
      <c r="EX45" s="272" t="str">
        <f t="shared" si="54"/>
        <v/>
      </c>
      <c r="EY45" s="274" t="str">
        <f t="shared" si="55"/>
        <v/>
      </c>
      <c r="EZ45" s="272" t="str">
        <f t="shared" si="56"/>
        <v/>
      </c>
      <c r="FA45" s="272" t="str">
        <f t="shared" si="57"/>
        <v/>
      </c>
      <c r="FB45" s="530" t="str">
        <f>+IF($FC$1 = 1, IF(AE45 = "", "",IFERROR( VLOOKUP(N45, PreciosCalls, 13, FALSE), 0)),
IF($FC$1 = 2,  IF(AE45 = "", "",OptionGamma($AG$1,AE45,($BM$1/365), $V$15, $AZ$1, $V$17) * 1000)))</f>
        <v/>
      </c>
      <c r="FC45" s="530" t="str">
        <f>IF($FC$1 = 1, IF(AE45 = "", "",IFERROR( VLOOKUP(N45, PreciosCalls, 14, FALSE), 0)),
IF($FC$1 = 2, IF(AE45 = "", "",CallDelta($AG$1,AE45,($BM$1/365), $V$15, $AZ$1, $V$17) * 100)))</f>
        <v/>
      </c>
      <c r="FD45" s="531" t="str">
        <f t="shared" si="58"/>
        <v/>
      </c>
      <c r="FE45" s="530" t="str">
        <f t="shared" si="59"/>
        <v/>
      </c>
      <c r="FF45" s="217"/>
      <c r="FG45" s="273" t="str">
        <f t="shared" si="60"/>
        <v/>
      </c>
      <c r="FH45" s="273" t="str">
        <f t="shared" si="61"/>
        <v/>
      </c>
      <c r="FI45" s="451" t="str">
        <f t="shared" si="62"/>
        <v/>
      </c>
      <c r="FJ45" s="419" t="str">
        <f>+IF(AE45 = "", "",ImpliedPutVolatility($AG$1, $AE45,($BM$1/365), $V$15, BI45, $V$17) * 100)</f>
        <v/>
      </c>
      <c r="FK45" s="419" t="str">
        <f>+IF(AE45 = "", "",ImpliedPutVolatility($AG$1, $AE45,($BM$1/365), $V$15, BM45, $V$17) * 100)</f>
        <v/>
      </c>
      <c r="FL45" s="419" t="str">
        <f>+IF(AE45 = "", "",ImpliedPutVolatility($AG$1, $AE45,($BM$1/365), $V$15, BO45, $V$17) * 100)</f>
        <v/>
      </c>
      <c r="FM45" s="415" t="str">
        <f t="shared" si="63"/>
        <v/>
      </c>
      <c r="FN45" s="415" t="str">
        <f t="shared" si="64"/>
        <v/>
      </c>
      <c r="FO45" s="415" t="str">
        <f t="shared" si="65"/>
        <v/>
      </c>
      <c r="FP45" s="417" t="str">
        <f>IF($FX$1=1, IF(AE45 = "", "",OptionGamma($AG$1,AE45,($BM$1/365), $V$15, $AZ$1, $V$17) * 1000),
IF($FX$1 = 2, IF(OR(AE45 = "", BM45 =  0), "",((BM45 * (1 - COMIS_OPCION)) / (AE45 * (1 + COMIS_ACCION))) * 100 / $BM$1 * 365)))</f>
        <v/>
      </c>
      <c r="FQ45" s="289" t="str">
        <f>+IF(AE45 = "", "",PutOption($AG$1, $AE45,($BM$1/365), $V$15, $AZ$1, $V$17))</f>
        <v/>
      </c>
      <c r="FR45" s="279"/>
      <c r="FS45" s="284" t="str">
        <f t="shared" si="66"/>
        <v/>
      </c>
      <c r="FT45" s="284" t="str">
        <f t="shared" si="67"/>
        <v/>
      </c>
      <c r="FU45" s="279"/>
      <c r="FV45" s="279"/>
      <c r="FW45" s="287">
        <f>+IF($FX$1 = 1, IFERROR(VLOOKUP(P45, PreciosPuts, 13, FALSE), 0),
IF($FX$1 = 2, IF(AE45 = "", "",OptionGamma($AG$1,AE45,($BM$1/365), $V$15, $AZ$1, $V$17) * 1000)))</f>
        <v>0</v>
      </c>
      <c r="FX45" s="287" t="str">
        <f>+IF($FX$1=1, IF(AE45 = "", "",IFERROR(VLOOKUP(P45, PreciosPuts, 14, FALSE), 0)),
IF($FX$1=2, IF(AE45 = "", "",Putdelta($AG$1,AE45,($BM$1/365), $V$15, $AZ$1, $V$17) * 100)))</f>
        <v/>
      </c>
      <c r="FY45" s="286" t="str">
        <f t="shared" si="69"/>
        <v/>
      </c>
      <c r="FZ45" s="287" t="str">
        <f t="shared" si="70"/>
        <v/>
      </c>
      <c r="GA45" s="217"/>
      <c r="GB45" s="281"/>
      <c r="GC45" s="281"/>
      <c r="GD45" s="217"/>
      <c r="GE45" s="301" t="str">
        <f t="shared" si="71"/>
        <v/>
      </c>
      <c r="GF45" s="292" t="str">
        <f t="shared" si="72"/>
        <v/>
      </c>
      <c r="GG45" s="293" t="str">
        <f t="shared" si="73"/>
        <v/>
      </c>
      <c r="GH45" s="294" t="str">
        <f t="shared" si="124"/>
        <v/>
      </c>
      <c r="GI45" s="294">
        <v>39</v>
      </c>
      <c r="GJ45" s="217"/>
      <c r="GK45" s="305" t="str">
        <f t="shared" si="74"/>
        <v/>
      </c>
      <c r="GL45" s="299" t="str">
        <f t="shared" si="75"/>
        <v/>
      </c>
      <c r="GM45" s="300" t="str">
        <f t="shared" si="76"/>
        <v/>
      </c>
      <c r="GN45" s="225" t="str">
        <f t="shared" si="121"/>
        <v/>
      </c>
      <c r="GO45" s="225">
        <v>39</v>
      </c>
      <c r="GP45" s="217"/>
      <c r="GQ45" s="217"/>
      <c r="GR45" s="401" t="str">
        <f t="shared" si="132"/>
        <v/>
      </c>
      <c r="GT45" s="282" t="str">
        <f t="shared" si="78"/>
        <v/>
      </c>
      <c r="GU45" s="282" t="str">
        <f t="shared" si="79"/>
        <v/>
      </c>
      <c r="GV45" s="282" t="str">
        <f t="shared" si="80"/>
        <v/>
      </c>
      <c r="GW45" s="282" t="str">
        <f t="shared" si="81"/>
        <v/>
      </c>
      <c r="GX45" s="282" t="str">
        <f t="shared" si="82"/>
        <v/>
      </c>
      <c r="GY45" s="282" t="str">
        <f t="shared" si="83"/>
        <v/>
      </c>
      <c r="GZ45" s="282" t="str">
        <f t="shared" si="115"/>
        <v/>
      </c>
      <c r="HA45" s="282" t="str">
        <f t="shared" si="84"/>
        <v/>
      </c>
      <c r="HB45" s="282" t="str">
        <f t="shared" si="116"/>
        <v/>
      </c>
      <c r="HC45" s="607" t="str">
        <f t="shared" si="85"/>
        <v/>
      </c>
      <c r="HD45" s="282" t="str">
        <f t="shared" si="86"/>
        <v/>
      </c>
      <c r="HE45" s="282" t="str">
        <f t="shared" si="87"/>
        <v/>
      </c>
      <c r="HF45" s="282" t="str">
        <f t="shared" si="88"/>
        <v/>
      </c>
      <c r="HG45" s="217"/>
      <c r="HH45" s="282" t="str">
        <f t="shared" si="89"/>
        <v/>
      </c>
      <c r="HI45" s="282" t="str">
        <f t="shared" si="90"/>
        <v/>
      </c>
      <c r="HJ45" s="282"/>
      <c r="HK45" s="282"/>
      <c r="HL45" s="217"/>
      <c r="HM45" s="420"/>
      <c r="HN45" s="420"/>
      <c r="HO45" s="420"/>
      <c r="HP45" s="420"/>
      <c r="HQ45" s="282" t="str">
        <f t="shared" si="91"/>
        <v/>
      </c>
      <c r="HR45" s="420"/>
      <c r="HS45" s="420"/>
      <c r="HT45" s="420"/>
      <c r="HU45" s="420"/>
      <c r="HV45" s="420"/>
      <c r="HW45" s="420"/>
      <c r="HX45" s="425"/>
      <c r="HY45" s="338"/>
      <c r="HZ45" s="338"/>
      <c r="IA45" s="161"/>
      <c r="IB45" s="161"/>
      <c r="IC45" s="162"/>
      <c r="ID45" s="162"/>
      <c r="IE45" s="49"/>
      <c r="IF45" s="55"/>
      <c r="IG45" s="58"/>
      <c r="IH45" s="545" t="str">
        <f t="shared" si="117"/>
        <v/>
      </c>
      <c r="IJ45" s="146">
        <v>39</v>
      </c>
      <c r="IK45" s="545" t="str">
        <f t="shared" si="142"/>
        <v/>
      </c>
      <c r="IL45" s="106" t="str">
        <f t="shared" si="93"/>
        <v/>
      </c>
      <c r="IM45" s="110" t="str">
        <f t="shared" si="160"/>
        <v/>
      </c>
      <c r="IN45" s="111" t="str">
        <f t="shared" si="161"/>
        <v/>
      </c>
      <c r="IO45" s="50" t="str">
        <f t="shared" si="162"/>
        <v/>
      </c>
      <c r="IP45" s="50" t="str">
        <f t="shared" si="162"/>
        <v/>
      </c>
      <c r="IQ45" s="50" t="str">
        <f t="shared" si="162"/>
        <v/>
      </c>
      <c r="IR45" s="50" t="str">
        <f t="shared" si="162"/>
        <v/>
      </c>
      <c r="IS45" s="50" t="str">
        <f t="shared" si="162"/>
        <v/>
      </c>
      <c r="IT45" s="50" t="str">
        <f t="shared" si="162"/>
        <v/>
      </c>
      <c r="IU45" s="50" t="str">
        <f t="shared" si="162"/>
        <v/>
      </c>
      <c r="IV45" s="50" t="str">
        <f t="shared" si="162"/>
        <v/>
      </c>
      <c r="IW45" s="50" t="str">
        <f t="shared" si="162"/>
        <v/>
      </c>
      <c r="IX45" s="50" t="str">
        <f t="shared" si="162"/>
        <v/>
      </c>
      <c r="IY45" s="50" t="str">
        <f t="shared" si="163"/>
        <v/>
      </c>
      <c r="IZ45" s="50" t="str">
        <f t="shared" si="163"/>
        <v/>
      </c>
      <c r="JA45" s="50" t="str">
        <f t="shared" si="163"/>
        <v/>
      </c>
      <c r="JB45" s="50" t="str">
        <f t="shared" si="163"/>
        <v/>
      </c>
      <c r="JC45" s="50" t="str">
        <f t="shared" si="163"/>
        <v/>
      </c>
      <c r="JD45" s="50" t="str">
        <f t="shared" si="163"/>
        <v/>
      </c>
      <c r="JE45" s="50" t="str">
        <f t="shared" si="163"/>
        <v/>
      </c>
      <c r="JF45" s="50" t="str">
        <f t="shared" si="163"/>
        <v/>
      </c>
      <c r="JG45" s="50" t="str">
        <f t="shared" si="163"/>
        <v/>
      </c>
      <c r="JH45" s="50" t="str">
        <f t="shared" si="163"/>
        <v/>
      </c>
      <c r="JI45" s="50" t="str">
        <f t="shared" si="164"/>
        <v/>
      </c>
      <c r="JJ45" s="50" t="str">
        <f t="shared" si="164"/>
        <v/>
      </c>
      <c r="JK45" s="50" t="str">
        <f t="shared" si="164"/>
        <v/>
      </c>
      <c r="JL45" s="50" t="str">
        <f t="shared" si="164"/>
        <v/>
      </c>
      <c r="JM45" s="50" t="str">
        <f t="shared" si="164"/>
        <v/>
      </c>
      <c r="JN45" s="50" t="str">
        <f t="shared" si="164"/>
        <v/>
      </c>
      <c r="JO45" s="50" t="str">
        <f t="shared" si="164"/>
        <v/>
      </c>
      <c r="JP45" s="50" t="str">
        <f t="shared" si="164"/>
        <v/>
      </c>
      <c r="JQ45" s="50" t="str">
        <f t="shared" si="164"/>
        <v/>
      </c>
      <c r="JR45" s="50" t="str">
        <f t="shared" si="164"/>
        <v/>
      </c>
      <c r="JS45" s="50" t="str">
        <f t="shared" si="165"/>
        <v/>
      </c>
      <c r="JT45" s="50" t="str">
        <f t="shared" si="165"/>
        <v/>
      </c>
      <c r="JU45" s="50" t="str">
        <f t="shared" si="165"/>
        <v/>
      </c>
      <c r="JV45" s="50" t="str">
        <f t="shared" si="165"/>
        <v/>
      </c>
      <c r="JW45" s="50" t="str">
        <f t="shared" si="165"/>
        <v/>
      </c>
      <c r="JX45" s="50" t="str">
        <f t="shared" si="165"/>
        <v/>
      </c>
      <c r="JY45" s="50" t="str">
        <f t="shared" si="165"/>
        <v/>
      </c>
      <c r="JZ45" s="50" t="str">
        <f t="shared" si="165"/>
        <v/>
      </c>
      <c r="KA45" s="50" t="str">
        <f t="shared" si="165"/>
        <v/>
      </c>
      <c r="KB45" s="50" t="str">
        <f t="shared" si="165"/>
        <v/>
      </c>
      <c r="KC45" s="50" t="str">
        <f t="shared" si="165"/>
        <v/>
      </c>
      <c r="KD45" s="50" t="str">
        <f t="shared" si="165"/>
        <v/>
      </c>
    </row>
    <row r="46" spans="2:290" s="144" customFormat="1" ht="15" customHeight="1" thickBot="1">
      <c r="B46" s="146">
        <v>40</v>
      </c>
      <c r="C46" s="121" t="str">
        <f t="shared" si="99"/>
        <v/>
      </c>
      <c r="D46" s="121" t="str">
        <f t="shared" si="100"/>
        <v/>
      </c>
      <c r="E46" s="122" t="str">
        <f t="shared" si="1"/>
        <v/>
      </c>
      <c r="F46" s="123" t="str">
        <f t="shared" si="2"/>
        <v/>
      </c>
      <c r="G46" s="123" t="str">
        <f t="shared" si="3"/>
        <v/>
      </c>
      <c r="H46" s="124" t="str">
        <f t="shared" si="4"/>
        <v/>
      </c>
      <c r="I46" s="124" t="str">
        <f t="shared" si="5"/>
        <v/>
      </c>
      <c r="J46" s="124" t="str">
        <f t="shared" si="6"/>
        <v/>
      </c>
      <c r="K46" s="124" t="str">
        <f t="shared" si="7"/>
        <v/>
      </c>
      <c r="M46" s="158" t="str">
        <f t="shared" si="8"/>
        <v/>
      </c>
      <c r="N46" s="121" t="str">
        <f t="shared" si="9"/>
        <v/>
      </c>
      <c r="O46" s="158" t="str">
        <f t="shared" si="10"/>
        <v/>
      </c>
      <c r="P46" s="121" t="str">
        <f t="shared" si="11"/>
        <v/>
      </c>
      <c r="R46" s="159"/>
      <c r="S46" s="160" t="str">
        <f t="shared" si="12"/>
        <v/>
      </c>
      <c r="U46" s="54"/>
      <c r="V46" s="54"/>
      <c r="X46" s="200">
        <v>40</v>
      </c>
      <c r="Y46" s="546" t="str">
        <f t="shared" si="13"/>
        <v/>
      </c>
      <c r="Z46" s="540" t="str">
        <f t="shared" si="153"/>
        <v/>
      </c>
      <c r="AA46" s="179"/>
      <c r="AB46" s="540" t="str">
        <f t="shared" si="154"/>
        <v/>
      </c>
      <c r="AC46" s="161"/>
      <c r="AD46" s="200">
        <v>40</v>
      </c>
      <c r="AE46" s="825" t="str">
        <f t="shared" si="101"/>
        <v/>
      </c>
      <c r="AF46" s="201"/>
      <c r="AG46" s="161"/>
      <c r="AH46" s="177">
        <f t="shared" si="102"/>
        <v>0</v>
      </c>
      <c r="AI46" s="166">
        <f t="shared" si="103"/>
        <v>0</v>
      </c>
      <c r="AJ46" s="179"/>
      <c r="AK46" s="177">
        <f t="shared" si="104"/>
        <v>0</v>
      </c>
      <c r="AL46" s="166">
        <f t="shared" si="105"/>
        <v>0</v>
      </c>
      <c r="AM46" s="179"/>
      <c r="AN46" s="177"/>
      <c r="AO46" s="166"/>
      <c r="AP46" s="179"/>
      <c r="AQ46" s="176" t="str">
        <f t="shared" si="106"/>
        <v/>
      </c>
      <c r="AR46" s="165" t="str">
        <f t="shared" si="107"/>
        <v/>
      </c>
      <c r="AS46" s="179"/>
      <c r="AT46" s="176" t="str">
        <f t="shared" si="108"/>
        <v/>
      </c>
      <c r="AU46" s="165" t="str">
        <f t="shared" si="109"/>
        <v/>
      </c>
      <c r="AV46" s="179"/>
      <c r="AW46" s="200">
        <f t="shared" si="16"/>
        <v>40</v>
      </c>
      <c r="AX46" s="170" t="str">
        <f t="shared" si="17"/>
        <v/>
      </c>
      <c r="AY46" s="164"/>
      <c r="AZ46" s="215">
        <f t="shared" si="18"/>
        <v>0</v>
      </c>
      <c r="BA46" s="197"/>
      <c r="BB46" s="228" t="str">
        <f t="shared" si="19"/>
        <v/>
      </c>
      <c r="BC46" s="161"/>
      <c r="BD46" s="240" t="str">
        <f t="shared" si="20"/>
        <v/>
      </c>
      <c r="BE46" s="196"/>
      <c r="BF46" s="240" t="str">
        <f t="shared" si="21"/>
        <v/>
      </c>
      <c r="BG46" s="196"/>
      <c r="BH46" s="189"/>
      <c r="BI46" s="227">
        <f t="shared" si="22"/>
        <v>0</v>
      </c>
      <c r="BJ46" s="197"/>
      <c r="BK46" s="167" t="str">
        <f t="shared" si="23"/>
        <v/>
      </c>
      <c r="BL46" s="161"/>
      <c r="BM46" s="240" t="str">
        <f t="shared" si="24"/>
        <v/>
      </c>
      <c r="BN46" s="196"/>
      <c r="BO46" s="240" t="str">
        <f t="shared" si="25"/>
        <v/>
      </c>
      <c r="BP46" s="196"/>
      <c r="BQ46" s="161"/>
      <c r="BR46" s="381"/>
      <c r="BS46" s="392" t="str">
        <f t="shared" si="122"/>
        <v/>
      </c>
      <c r="BT46" s="376"/>
      <c r="BU46" s="393" t="str">
        <f t="shared" si="126"/>
        <v/>
      </c>
      <c r="BV46" s="310"/>
      <c r="BW46" s="311" t="str">
        <f t="shared" si="110"/>
        <v/>
      </c>
      <c r="BX46" s="372"/>
      <c r="BY46" s="440"/>
      <c r="BZ46" s="432">
        <v>0</v>
      </c>
      <c r="CA46" s="372"/>
      <c r="CB46" s="572" t="str">
        <f t="shared" si="152"/>
        <v/>
      </c>
      <c r="CC46" s="567" t="str">
        <f t="shared" si="29"/>
        <v/>
      </c>
      <c r="CD46" s="814" t="str">
        <f t="shared" si="30"/>
        <v/>
      </c>
      <c r="CE46" s="569" t="str">
        <f t="shared" si="31"/>
        <v/>
      </c>
      <c r="CF46" s="574" t="str">
        <f t="shared" si="32"/>
        <v/>
      </c>
      <c r="CG46" s="372"/>
      <c r="CH46" s="435">
        <v>0</v>
      </c>
      <c r="CI46" s="436"/>
      <c r="CJ46" s="372"/>
      <c r="CK46" s="391" t="str">
        <f t="shared" si="111"/>
        <v/>
      </c>
      <c r="CL46" s="396" t="str">
        <f t="shared" si="159"/>
        <v/>
      </c>
      <c r="CM46" s="370"/>
      <c r="CN46" s="161"/>
      <c r="CO46" s="161"/>
      <c r="CP46" s="161"/>
      <c r="CQ46" s="161"/>
      <c r="CR46" s="161"/>
      <c r="CS46" s="161"/>
      <c r="CT46" s="161"/>
      <c r="CU46" s="161"/>
      <c r="CV46" s="161"/>
      <c r="CW46" s="161"/>
      <c r="CX46" s="161"/>
      <c r="CY46" s="161"/>
      <c r="CZ46" s="161"/>
      <c r="DA46" s="161"/>
      <c r="DB46" s="161"/>
      <c r="DC46" s="161"/>
      <c r="DD46" s="161"/>
      <c r="DE46" s="161"/>
      <c r="DF46" s="161"/>
      <c r="DG46" s="161"/>
      <c r="DH46" s="161"/>
      <c r="DI46" s="161"/>
      <c r="DJ46" s="161"/>
      <c r="DK46" s="242" t="str">
        <f t="shared" si="123"/>
        <v/>
      </c>
      <c r="DL46" s="217"/>
      <c r="DM46" s="490" t="str">
        <f t="shared" si="34"/>
        <v/>
      </c>
      <c r="DN46" s="242" t="str">
        <f t="shared" si="35"/>
        <v/>
      </c>
      <c r="DO46" s="243" t="str">
        <f t="shared" si="36"/>
        <v/>
      </c>
      <c r="DP46" s="217"/>
      <c r="DQ46" s="252" t="str">
        <f t="shared" si="120"/>
        <v/>
      </c>
      <c r="DR46" s="217"/>
      <c r="DS46" s="242" t="str">
        <f t="shared" si="38"/>
        <v/>
      </c>
      <c r="DT46" s="242" t="str">
        <f t="shared" si="39"/>
        <v/>
      </c>
      <c r="DU46" s="244" t="str">
        <f t="shared" si="40"/>
        <v/>
      </c>
      <c r="DV46" s="217"/>
      <c r="DW46" s="428" t="str">
        <f>+IF(OR(AE46 = "", AND(AH46 = "", AK46 = "")), "",IFERROR(+AH46 * CallDelta($AG$1,AE46,($BM$1/365), $V$15, $AZ$1, $V$17), 0) + IFERROR(AK46 * Putdelta($AG$1,AE46,($BM$1/365), $V$15, $AZ$1, $V$17), 0))</f>
        <v/>
      </c>
      <c r="DX46" s="245" t="str">
        <f>+IF(OR(AE46 = "", AND(AH46 = "", AK46 = "")), "",IFERROR(+AH46 * OptionGamma($AG$1,AE46,($BM$1/365), $V$15, $AZ$1, $V$17), 0) + IFERROR(AK46 * OptionGamma($AG$1,AE46,($BM$1/365), $V$15, $AZ$1, $V$17), 0))</f>
        <v/>
      </c>
      <c r="DY46" s="161"/>
      <c r="DZ46" s="267" t="str">
        <f t="shared" si="127"/>
        <v/>
      </c>
      <c r="EA46" s="217"/>
      <c r="EB46" s="267" t="str">
        <f t="shared" si="42"/>
        <v/>
      </c>
      <c r="EC46" s="267" t="str">
        <f t="shared" si="43"/>
        <v/>
      </c>
      <c r="ED46" s="247" t="str">
        <f t="shared" si="44"/>
        <v/>
      </c>
      <c r="EE46" s="217"/>
      <c r="EF46" s="267" t="str">
        <f t="shared" si="129"/>
        <v/>
      </c>
      <c r="EG46" s="217"/>
      <c r="EH46" s="267" t="str">
        <f t="shared" si="46"/>
        <v/>
      </c>
      <c r="EI46" s="246" t="str">
        <f t="shared" si="47"/>
        <v/>
      </c>
      <c r="EJ46" s="248" t="str">
        <f t="shared" si="48"/>
        <v/>
      </c>
      <c r="EK46" s="217"/>
      <c r="EL46" s="251" t="str">
        <f>+IF(OR(AE46 = "", AND(AQ46 = "", AT46 = "")), "",IFERROR(+AQ46 * CallDelta($AG$1,AE46,($BM$1/365), $V$15, $AZ$1, $V$17), 0) + IFERROR(AT46 * Putdelta($AG$1,AE46,($BM$1/365), $V$15, $AZ$1, $V$17), 0))</f>
        <v/>
      </c>
      <c r="EM46" s="249" t="str">
        <f>+IF(OR(AE46 = "", AND(AQ46 = "", AT46 = "")), "",IFERROR(+AQ46 * OptionGamma($AG$1,AE46,($BM$1/365), $V$15, $AZ$1, $V$17), 0) + IFERROR(AT46 * OptionGamma($AG$1,AE46,($BM$1/365), $V$15, $AZ$1, $V$17), 0))</f>
        <v/>
      </c>
      <c r="EN46" s="451" t="str">
        <f t="shared" si="49"/>
        <v/>
      </c>
      <c r="EO46" s="418" t="str">
        <f>+IF(AE46 = "", "",ImpliedCallVolatility($AG$1, $AE46,($BM$1/365), $V$15, $AZ46, $V$17) * 100)</f>
        <v/>
      </c>
      <c r="EP46" s="418" t="str">
        <f>+IF(AE46 = "", "",ImpliedCallVolatility($AG$1, $AE46,($BM$1/365), $V$15, BD46, $V$17) * 100)</f>
        <v/>
      </c>
      <c r="EQ46" s="418" t="str">
        <f>+IF(AE46 = "", "",ImpliedCallVolatility($AG$1, $AE46,($BM$1/365), $V$15, BF46, $V$17) * 100)</f>
        <v/>
      </c>
      <c r="ER46" s="411" t="str">
        <f t="shared" si="50"/>
        <v/>
      </c>
      <c r="ES46" s="411" t="str">
        <f t="shared" si="51"/>
        <v/>
      </c>
      <c r="ET46" s="411" t="str">
        <f t="shared" si="52"/>
        <v/>
      </c>
      <c r="EU46" s="416" t="str">
        <f>IF($FC$1 = 1,
IF(AE46 = "", "",OptionGamma($AG$1,AE46,($BM$1/365), $V$15, $AZ$1, $V$17) * 1000),
IF($FC$1 = 2, IF(OR(AE46 = "", BD46 =  0), "",IF(AE46 &lt; $AG$1, (((AE46 * (1 - COMIS_ACCION)) / (($AG$1 * (1 + COMIS_ACCION)) - (BD46 * (1 - COMIS_OPCION)))) - 1) * 100 / $BM$1 * 365,((($AG$1 * (1 - COMIS_ACCION)) / (($AG$1 * (1 + COMIS_ACCION)) - (BD46 * (1 - COMIS_OPCION)))) - 1) * 100 / $BM$1 * 365))))</f>
        <v/>
      </c>
      <c r="EV46" s="276" t="str">
        <f>+IF(AE46 = "", "",CallOption($AG$1, $AE46,($BM$1/365), $V$15, $AZ$1, $V$17))</f>
        <v/>
      </c>
      <c r="EW46" s="271" t="str">
        <f t="shared" si="53"/>
        <v/>
      </c>
      <c r="EX46" s="272" t="str">
        <f t="shared" si="54"/>
        <v/>
      </c>
      <c r="EY46" s="274" t="str">
        <f t="shared" si="55"/>
        <v/>
      </c>
      <c r="EZ46" s="272" t="str">
        <f t="shared" si="56"/>
        <v/>
      </c>
      <c r="FA46" s="272" t="str">
        <f t="shared" si="57"/>
        <v/>
      </c>
      <c r="FB46" s="530" t="str">
        <f>+IF($FC$1 = 1, IF(AE46 = "", "",IFERROR( VLOOKUP(N46, PreciosCalls, 13, FALSE), 0)),
IF($FC$1 = 2,  IF(AE46 = "", "",OptionGamma($AG$1,AE46,($BM$1/365), $V$15, $AZ$1, $V$17) * 1000)))</f>
        <v/>
      </c>
      <c r="FC46" s="530" t="str">
        <f>IF($FC$1 = 1, IF(AE46 = "", "",IFERROR( VLOOKUP(N46, PreciosCalls, 14, FALSE), 0)),
IF($FC$1 = 2, IF(AE46 = "", "",CallDelta($AG$1,AE46,($BM$1/365), $V$15, $AZ$1, $V$17) * 100)))</f>
        <v/>
      </c>
      <c r="FD46" s="531" t="str">
        <f t="shared" si="58"/>
        <v/>
      </c>
      <c r="FE46" s="530" t="str">
        <f t="shared" si="59"/>
        <v/>
      </c>
      <c r="FF46" s="217"/>
      <c r="FG46" s="273" t="str">
        <f t="shared" si="60"/>
        <v/>
      </c>
      <c r="FH46" s="273" t="str">
        <f t="shared" si="61"/>
        <v/>
      </c>
      <c r="FI46" s="451" t="str">
        <f t="shared" si="62"/>
        <v/>
      </c>
      <c r="FJ46" s="419" t="str">
        <f>+IF(AE46 = "", "",ImpliedPutVolatility($AG$1, $AE46,($BM$1/365), $V$15, BI46, $V$17) * 100)</f>
        <v/>
      </c>
      <c r="FK46" s="419" t="str">
        <f>+IF(AE46 = "", "",ImpliedPutVolatility($AG$1, $AE46,($BM$1/365), $V$15, BM46, $V$17) * 100)</f>
        <v/>
      </c>
      <c r="FL46" s="419" t="str">
        <f>+IF(AE46 = "", "",ImpliedPutVolatility($AG$1, $AE46,($BM$1/365), $V$15, BO46, $V$17) * 100)</f>
        <v/>
      </c>
      <c r="FM46" s="415" t="str">
        <f t="shared" si="63"/>
        <v/>
      </c>
      <c r="FN46" s="415" t="str">
        <f t="shared" si="64"/>
        <v/>
      </c>
      <c r="FO46" s="415" t="str">
        <f t="shared" si="65"/>
        <v/>
      </c>
      <c r="FP46" s="417" t="str">
        <f>IF($FX$1=1, IF(AE46 = "", "",OptionGamma($AG$1,AE46,($BM$1/365), $V$15, $AZ$1, $V$17) * 1000),
IF($FX$1 = 2, IF(OR(AE46 = "", BM46 =  0), "",((BM46 * (1 - COMIS_OPCION)) / (AE46 * (1 + COMIS_ACCION))) * 100 / $BM$1 * 365)))</f>
        <v/>
      </c>
      <c r="FQ46" s="289" t="str">
        <f>+IF(AE46 = "", "",PutOption($AG$1, $AE46,($BM$1/365), $V$15, $AZ$1, $V$17))</f>
        <v/>
      </c>
      <c r="FR46" s="279"/>
      <c r="FS46" s="284" t="str">
        <f t="shared" si="66"/>
        <v/>
      </c>
      <c r="FT46" s="284" t="str">
        <f t="shared" si="67"/>
        <v/>
      </c>
      <c r="FU46" s="279"/>
      <c r="FV46" s="279"/>
      <c r="FW46" s="287">
        <f>+IF($FX$1 = 1, IFERROR(VLOOKUP(P46, PreciosPuts, 13, FALSE), 0),
IF($FX$1 = 2, IF(AE46 = "", "",OptionGamma($AG$1,AE46,($BM$1/365), $V$15, $AZ$1, $V$17) * 1000)))</f>
        <v>0</v>
      </c>
      <c r="FX46" s="287" t="str">
        <f>+IF($FX$1=1, IF(AE46 = "", "",IFERROR(VLOOKUP(P46, PreciosPuts, 14, FALSE), 0)),
IF($FX$1=2, IF(AE46 = "", "",Putdelta($AG$1,AE46,($BM$1/365), $V$15, $AZ$1, $V$17) * 100)))</f>
        <v/>
      </c>
      <c r="FY46" s="286" t="str">
        <f t="shared" si="69"/>
        <v/>
      </c>
      <c r="FZ46" s="287" t="str">
        <f t="shared" si="70"/>
        <v/>
      </c>
      <c r="GA46" s="217"/>
      <c r="GB46" s="281"/>
      <c r="GC46" s="281"/>
      <c r="GD46" s="217"/>
      <c r="GE46" s="301" t="str">
        <f t="shared" si="71"/>
        <v/>
      </c>
      <c r="GF46" s="292" t="str">
        <f t="shared" si="72"/>
        <v/>
      </c>
      <c r="GG46" s="293" t="str">
        <f t="shared" si="73"/>
        <v/>
      </c>
      <c r="GH46" s="294" t="str">
        <f t="shared" si="124"/>
        <v/>
      </c>
      <c r="GI46" s="294">
        <v>40</v>
      </c>
      <c r="GJ46" s="217"/>
      <c r="GK46" s="305" t="str">
        <f t="shared" si="74"/>
        <v/>
      </c>
      <c r="GL46" s="299" t="str">
        <f t="shared" si="75"/>
        <v/>
      </c>
      <c r="GM46" s="300" t="str">
        <f t="shared" si="76"/>
        <v/>
      </c>
      <c r="GN46" s="225" t="str">
        <f t="shared" si="121"/>
        <v/>
      </c>
      <c r="GO46" s="225">
        <v>40</v>
      </c>
      <c r="GP46" s="217"/>
      <c r="GQ46" s="217"/>
      <c r="GR46" s="401" t="str">
        <f t="shared" si="132"/>
        <v/>
      </c>
      <c r="GT46" s="282" t="str">
        <f t="shared" si="78"/>
        <v/>
      </c>
      <c r="GU46" s="282" t="str">
        <f t="shared" si="79"/>
        <v/>
      </c>
      <c r="GV46" s="282" t="str">
        <f t="shared" si="80"/>
        <v/>
      </c>
      <c r="GW46" s="282" t="str">
        <f t="shared" si="81"/>
        <v/>
      </c>
      <c r="GX46" s="282" t="str">
        <f t="shared" si="82"/>
        <v/>
      </c>
      <c r="GY46" s="282" t="str">
        <f t="shared" si="83"/>
        <v/>
      </c>
      <c r="GZ46" s="282" t="str">
        <f t="shared" si="115"/>
        <v/>
      </c>
      <c r="HA46" s="282" t="str">
        <f t="shared" si="84"/>
        <v/>
      </c>
      <c r="HB46" s="282" t="str">
        <f t="shared" si="116"/>
        <v/>
      </c>
      <c r="HC46" s="607" t="str">
        <f t="shared" si="85"/>
        <v/>
      </c>
      <c r="HD46" s="282" t="str">
        <f t="shared" si="86"/>
        <v/>
      </c>
      <c r="HE46" s="282" t="str">
        <f t="shared" si="87"/>
        <v/>
      </c>
      <c r="HF46" s="282" t="str">
        <f t="shared" si="88"/>
        <v/>
      </c>
      <c r="HG46" s="217"/>
      <c r="HH46" s="282" t="str">
        <f t="shared" si="89"/>
        <v/>
      </c>
      <c r="HI46" s="282" t="str">
        <f t="shared" si="90"/>
        <v/>
      </c>
      <c r="HJ46" s="282"/>
      <c r="HK46" s="282"/>
      <c r="HL46" s="217"/>
      <c r="HM46" s="420"/>
      <c r="HN46" s="420"/>
      <c r="HO46" s="420"/>
      <c r="HP46" s="420"/>
      <c r="HQ46" s="282" t="str">
        <f t="shared" si="91"/>
        <v/>
      </c>
      <c r="HR46" s="420"/>
      <c r="HS46" s="420"/>
      <c r="HT46" s="420"/>
      <c r="HU46" s="420"/>
      <c r="HV46" s="420"/>
      <c r="HW46" s="420"/>
      <c r="HX46" s="425"/>
      <c r="HY46" s="338"/>
      <c r="HZ46" s="338"/>
      <c r="IA46" s="161"/>
      <c r="IB46" s="161"/>
      <c r="IC46" s="162"/>
      <c r="ID46" s="162"/>
      <c r="IE46" s="49"/>
      <c r="IF46" s="55"/>
      <c r="IG46" s="58"/>
      <c r="IH46" s="545" t="str">
        <f t="shared" si="117"/>
        <v/>
      </c>
      <c r="IJ46" s="146">
        <v>40</v>
      </c>
      <c r="IK46" s="545" t="str">
        <f t="shared" si="142"/>
        <v/>
      </c>
      <c r="IL46" s="106" t="str">
        <f t="shared" si="93"/>
        <v/>
      </c>
      <c r="IM46" s="110" t="str">
        <f t="shared" si="160"/>
        <v/>
      </c>
      <c r="IN46" s="111" t="str">
        <f t="shared" si="161"/>
        <v/>
      </c>
      <c r="IO46" s="50" t="str">
        <f t="shared" si="162"/>
        <v/>
      </c>
      <c r="IP46" s="50" t="str">
        <f t="shared" si="162"/>
        <v/>
      </c>
      <c r="IQ46" s="50" t="str">
        <f t="shared" si="162"/>
        <v/>
      </c>
      <c r="IR46" s="50" t="str">
        <f t="shared" si="162"/>
        <v/>
      </c>
      <c r="IS46" s="50" t="str">
        <f t="shared" si="162"/>
        <v/>
      </c>
      <c r="IT46" s="50" t="str">
        <f t="shared" si="162"/>
        <v/>
      </c>
      <c r="IU46" s="50" t="str">
        <f t="shared" si="162"/>
        <v/>
      </c>
      <c r="IV46" s="50" t="str">
        <f t="shared" si="162"/>
        <v/>
      </c>
      <c r="IW46" s="50" t="str">
        <f t="shared" si="162"/>
        <v/>
      </c>
      <c r="IX46" s="50" t="str">
        <f t="shared" si="162"/>
        <v/>
      </c>
      <c r="IY46" s="50" t="str">
        <f t="shared" si="163"/>
        <v/>
      </c>
      <c r="IZ46" s="50" t="str">
        <f t="shared" si="163"/>
        <v/>
      </c>
      <c r="JA46" s="50" t="str">
        <f t="shared" si="163"/>
        <v/>
      </c>
      <c r="JB46" s="50" t="str">
        <f t="shared" si="163"/>
        <v/>
      </c>
      <c r="JC46" s="50" t="str">
        <f t="shared" si="163"/>
        <v/>
      </c>
      <c r="JD46" s="50" t="str">
        <f t="shared" si="163"/>
        <v/>
      </c>
      <c r="JE46" s="50" t="str">
        <f t="shared" si="163"/>
        <v/>
      </c>
      <c r="JF46" s="50" t="str">
        <f t="shared" si="163"/>
        <v/>
      </c>
      <c r="JG46" s="50" t="str">
        <f t="shared" si="163"/>
        <v/>
      </c>
      <c r="JH46" s="50" t="str">
        <f t="shared" si="163"/>
        <v/>
      </c>
      <c r="JI46" s="50" t="str">
        <f t="shared" si="164"/>
        <v/>
      </c>
      <c r="JJ46" s="50" t="str">
        <f t="shared" si="164"/>
        <v/>
      </c>
      <c r="JK46" s="50" t="str">
        <f t="shared" si="164"/>
        <v/>
      </c>
      <c r="JL46" s="50" t="str">
        <f t="shared" si="164"/>
        <v/>
      </c>
      <c r="JM46" s="50" t="str">
        <f t="shared" si="164"/>
        <v/>
      </c>
      <c r="JN46" s="50" t="str">
        <f t="shared" si="164"/>
        <v/>
      </c>
      <c r="JO46" s="50" t="str">
        <f t="shared" si="164"/>
        <v/>
      </c>
      <c r="JP46" s="50" t="str">
        <f t="shared" si="164"/>
        <v/>
      </c>
      <c r="JQ46" s="50" t="str">
        <f t="shared" si="164"/>
        <v/>
      </c>
      <c r="JR46" s="50" t="str">
        <f t="shared" si="164"/>
        <v/>
      </c>
      <c r="JS46" s="50" t="str">
        <f t="shared" si="165"/>
        <v/>
      </c>
      <c r="JT46" s="50" t="str">
        <f t="shared" si="165"/>
        <v/>
      </c>
      <c r="JU46" s="50" t="str">
        <f t="shared" si="165"/>
        <v/>
      </c>
      <c r="JV46" s="50" t="str">
        <f t="shared" si="165"/>
        <v/>
      </c>
      <c r="JW46" s="50" t="str">
        <f t="shared" si="165"/>
        <v/>
      </c>
      <c r="JX46" s="50" t="str">
        <f t="shared" si="165"/>
        <v/>
      </c>
      <c r="JY46" s="50" t="str">
        <f t="shared" si="165"/>
        <v/>
      </c>
      <c r="JZ46" s="50" t="str">
        <f t="shared" si="165"/>
        <v/>
      </c>
      <c r="KA46" s="50" t="str">
        <f t="shared" si="165"/>
        <v/>
      </c>
      <c r="KB46" s="50" t="str">
        <f t="shared" si="165"/>
        <v/>
      </c>
      <c r="KC46" s="50" t="str">
        <f t="shared" si="165"/>
        <v/>
      </c>
      <c r="KD46" s="50" t="str">
        <f t="shared" si="165"/>
        <v/>
      </c>
    </row>
    <row r="47" spans="2:290" s="144" customFormat="1" ht="15" customHeight="1" thickBot="1">
      <c r="B47" s="146">
        <v>41</v>
      </c>
      <c r="C47" s="121" t="str">
        <f t="shared" si="99"/>
        <v/>
      </c>
      <c r="D47" s="121" t="str">
        <f t="shared" si="100"/>
        <v/>
      </c>
      <c r="E47" s="122" t="str">
        <f t="shared" si="1"/>
        <v/>
      </c>
      <c r="F47" s="123" t="str">
        <f t="shared" si="2"/>
        <v/>
      </c>
      <c r="G47" s="123" t="str">
        <f t="shared" si="3"/>
        <v/>
      </c>
      <c r="H47" s="124" t="str">
        <f t="shared" si="4"/>
        <v/>
      </c>
      <c r="I47" s="124" t="str">
        <f t="shared" si="5"/>
        <v/>
      </c>
      <c r="J47" s="124" t="str">
        <f t="shared" si="6"/>
        <v/>
      </c>
      <c r="K47" s="124" t="str">
        <f t="shared" si="7"/>
        <v/>
      </c>
      <c r="M47" s="158" t="str">
        <f t="shared" si="8"/>
        <v/>
      </c>
      <c r="N47" s="121" t="str">
        <f t="shared" si="9"/>
        <v/>
      </c>
      <c r="O47" s="158" t="str">
        <f t="shared" si="10"/>
        <v/>
      </c>
      <c r="P47" s="121" t="str">
        <f t="shared" si="11"/>
        <v/>
      </c>
      <c r="R47" s="159"/>
      <c r="S47" s="160" t="str">
        <f t="shared" si="12"/>
        <v/>
      </c>
      <c r="U47" s="54"/>
      <c r="V47" s="54"/>
      <c r="X47" s="200">
        <v>41</v>
      </c>
      <c r="Y47" s="546" t="str">
        <f t="shared" si="13"/>
        <v/>
      </c>
      <c r="Z47" s="540" t="str">
        <f t="shared" si="153"/>
        <v/>
      </c>
      <c r="AA47" s="179"/>
      <c r="AB47" s="540" t="str">
        <f t="shared" si="154"/>
        <v/>
      </c>
      <c r="AC47" s="161"/>
      <c r="AD47" s="200">
        <v>41</v>
      </c>
      <c r="AE47" s="825" t="str">
        <f t="shared" si="101"/>
        <v/>
      </c>
      <c r="AF47" s="201"/>
      <c r="AG47" s="161"/>
      <c r="AH47" s="177">
        <f t="shared" si="102"/>
        <v>0</v>
      </c>
      <c r="AI47" s="166">
        <f t="shared" si="103"/>
        <v>0</v>
      </c>
      <c r="AJ47" s="179"/>
      <c r="AK47" s="177">
        <f t="shared" si="104"/>
        <v>0</v>
      </c>
      <c r="AL47" s="166">
        <f t="shared" si="105"/>
        <v>0</v>
      </c>
      <c r="AM47" s="179"/>
      <c r="AN47" s="177"/>
      <c r="AO47" s="166"/>
      <c r="AP47" s="179"/>
      <c r="AQ47" s="176" t="str">
        <f t="shared" si="106"/>
        <v/>
      </c>
      <c r="AR47" s="165" t="str">
        <f t="shared" si="107"/>
        <v/>
      </c>
      <c r="AS47" s="179"/>
      <c r="AT47" s="176" t="str">
        <f t="shared" si="108"/>
        <v/>
      </c>
      <c r="AU47" s="165" t="str">
        <f t="shared" si="109"/>
        <v/>
      </c>
      <c r="AV47" s="179"/>
      <c r="AW47" s="200">
        <f t="shared" si="16"/>
        <v>41</v>
      </c>
      <c r="AX47" s="170" t="str">
        <f t="shared" si="17"/>
        <v/>
      </c>
      <c r="AY47" s="164"/>
      <c r="AZ47" s="215">
        <f t="shared" si="18"/>
        <v>0</v>
      </c>
      <c r="BA47" s="197"/>
      <c r="BB47" s="228" t="str">
        <f t="shared" si="19"/>
        <v/>
      </c>
      <c r="BC47" s="161"/>
      <c r="BD47" s="240" t="str">
        <f t="shared" si="20"/>
        <v/>
      </c>
      <c r="BE47" s="196"/>
      <c r="BF47" s="240" t="str">
        <f t="shared" si="21"/>
        <v/>
      </c>
      <c r="BG47" s="196"/>
      <c r="BH47" s="189"/>
      <c r="BI47" s="227">
        <f t="shared" si="22"/>
        <v>0</v>
      </c>
      <c r="BJ47" s="197"/>
      <c r="BK47" s="167" t="str">
        <f t="shared" si="23"/>
        <v/>
      </c>
      <c r="BL47" s="161"/>
      <c r="BM47" s="240" t="str">
        <f t="shared" si="24"/>
        <v/>
      </c>
      <c r="BN47" s="196"/>
      <c r="BO47" s="240" t="str">
        <f t="shared" si="25"/>
        <v/>
      </c>
      <c r="BP47" s="196"/>
      <c r="BQ47" s="161"/>
      <c r="BR47" s="381"/>
      <c r="BS47" s="392" t="str">
        <f t="shared" si="122"/>
        <v/>
      </c>
      <c r="BT47" s="376"/>
      <c r="BU47" s="393" t="str">
        <f t="shared" si="126"/>
        <v/>
      </c>
      <c r="BV47" s="310"/>
      <c r="BW47" s="311" t="str">
        <f t="shared" si="110"/>
        <v/>
      </c>
      <c r="BX47" s="372"/>
      <c r="BY47" s="441"/>
      <c r="BZ47" s="433">
        <v>0</v>
      </c>
      <c r="CA47" s="398"/>
      <c r="CB47" s="572" t="str">
        <f t="shared" si="152"/>
        <v/>
      </c>
      <c r="CC47" s="567" t="str">
        <f t="shared" si="29"/>
        <v/>
      </c>
      <c r="CD47" s="814" t="str">
        <f t="shared" si="30"/>
        <v/>
      </c>
      <c r="CE47" s="569" t="str">
        <f t="shared" si="31"/>
        <v/>
      </c>
      <c r="CF47" s="575" t="str">
        <f t="shared" si="32"/>
        <v/>
      </c>
      <c r="CG47" s="400"/>
      <c r="CH47" s="435">
        <v>0</v>
      </c>
      <c r="CI47" s="438"/>
      <c r="CJ47" s="372"/>
      <c r="CK47" s="391" t="str">
        <f t="shared" si="111"/>
        <v/>
      </c>
      <c r="CL47" s="396" t="str">
        <f t="shared" si="159"/>
        <v/>
      </c>
      <c r="CM47" s="370"/>
      <c r="CN47" s="161"/>
      <c r="CO47" s="161"/>
      <c r="CP47" s="161"/>
      <c r="CQ47" s="161"/>
      <c r="CR47" s="161"/>
      <c r="CS47" s="161"/>
      <c r="CT47" s="161"/>
      <c r="CU47" s="161"/>
      <c r="CV47" s="161"/>
      <c r="CW47" s="161"/>
      <c r="CX47" s="161"/>
      <c r="CY47" s="161"/>
      <c r="CZ47" s="161"/>
      <c r="DA47" s="161"/>
      <c r="DB47" s="161"/>
      <c r="DC47" s="161"/>
      <c r="DD47" s="161"/>
      <c r="DE47" s="161"/>
      <c r="DF47" s="161"/>
      <c r="DG47" s="161"/>
      <c r="DH47" s="161"/>
      <c r="DI47" s="161"/>
      <c r="DJ47" s="161"/>
      <c r="DK47" s="242" t="str">
        <f t="shared" si="123"/>
        <v/>
      </c>
      <c r="DL47" s="217"/>
      <c r="DM47" s="490" t="str">
        <f t="shared" si="34"/>
        <v/>
      </c>
      <c r="DN47" s="242" t="str">
        <f t="shared" si="35"/>
        <v/>
      </c>
      <c r="DO47" s="243" t="str">
        <f t="shared" si="36"/>
        <v/>
      </c>
      <c r="DP47" s="217"/>
      <c r="DQ47" s="252" t="str">
        <f t="shared" si="120"/>
        <v/>
      </c>
      <c r="DR47" s="217"/>
      <c r="DS47" s="242" t="str">
        <f t="shared" si="38"/>
        <v/>
      </c>
      <c r="DT47" s="242" t="str">
        <f t="shared" si="39"/>
        <v/>
      </c>
      <c r="DU47" s="244" t="str">
        <f t="shared" si="40"/>
        <v/>
      </c>
      <c r="DV47" s="217"/>
      <c r="DW47" s="428" t="str">
        <f>+IF(OR(AE47 = "", AND(AH47 = "", AK47 = "")), "",IFERROR(+AH47 * CallDelta($AG$1,AE47,($BM$1/365), $V$15, $AZ$1, $V$17), 0) + IFERROR(AK47 * Putdelta($AG$1,AE47,($BM$1/365), $V$15, $AZ$1, $V$17), 0))</f>
        <v/>
      </c>
      <c r="DX47" s="245" t="str">
        <f>+IF(OR(AE47 = "", AND(AH47 = "", AK47 = "")), "",IFERROR(+AH47 * OptionGamma($AG$1,AE47,($BM$1/365), $V$15, $AZ$1, $V$17), 0) + IFERROR(AK47 * OptionGamma($AG$1,AE47,($BM$1/365), $V$15, $AZ$1, $V$17), 0))</f>
        <v/>
      </c>
      <c r="DY47" s="161"/>
      <c r="DZ47" s="267" t="str">
        <f t="shared" si="127"/>
        <v/>
      </c>
      <c r="EA47" s="217"/>
      <c r="EB47" s="267" t="str">
        <f t="shared" si="42"/>
        <v/>
      </c>
      <c r="EC47" s="267" t="str">
        <f t="shared" si="43"/>
        <v/>
      </c>
      <c r="ED47" s="247" t="str">
        <f t="shared" si="44"/>
        <v/>
      </c>
      <c r="EE47" s="217"/>
      <c r="EF47" s="267" t="str">
        <f t="shared" si="129"/>
        <v/>
      </c>
      <c r="EG47" s="217"/>
      <c r="EH47" s="267" t="str">
        <f t="shared" si="46"/>
        <v/>
      </c>
      <c r="EI47" s="246" t="str">
        <f t="shared" si="47"/>
        <v/>
      </c>
      <c r="EJ47" s="248" t="str">
        <f t="shared" si="48"/>
        <v/>
      </c>
      <c r="EK47" s="217"/>
      <c r="EL47" s="251" t="str">
        <f>+IF(OR(AE47 = "", AND(AQ47 = "", AT47 = "")), "",IFERROR(+AQ47 * CallDelta($AG$1,AE47,($BM$1/365), $V$15, $AZ$1, $V$17), 0) + IFERROR(AT47 * Putdelta($AG$1,AE47,($BM$1/365), $V$15, $AZ$1, $V$17), 0))</f>
        <v/>
      </c>
      <c r="EM47" s="249" t="str">
        <f>+IF(OR(AE47 = "", AND(AQ47 = "", AT47 = "")), "",IFERROR(+AQ47 * OptionGamma($AG$1,AE47,($BM$1/365), $V$15, $AZ$1, $V$17), 0) + IFERROR(AT47 * OptionGamma($AG$1,AE47,($BM$1/365), $V$15, $AZ$1, $V$17), 0))</f>
        <v/>
      </c>
      <c r="EN47" s="451" t="str">
        <f t="shared" si="49"/>
        <v/>
      </c>
      <c r="EO47" s="418" t="str">
        <f>+IF(AE47 = "", "",ImpliedCallVolatility($AG$1, $AE47,($BM$1/365), $V$15, $AZ47, $V$17) * 100)</f>
        <v/>
      </c>
      <c r="EP47" s="418" t="str">
        <f>+IF(AE47 = "", "",ImpliedCallVolatility($AG$1, $AE47,($BM$1/365), $V$15, BD47, $V$17) * 100)</f>
        <v/>
      </c>
      <c r="EQ47" s="418" t="str">
        <f>+IF(AE47 = "", "",ImpliedCallVolatility($AG$1, $AE47,($BM$1/365), $V$15, BF47, $V$17) * 100)</f>
        <v/>
      </c>
      <c r="ER47" s="411" t="str">
        <f t="shared" si="50"/>
        <v/>
      </c>
      <c r="ES47" s="411" t="str">
        <f t="shared" si="51"/>
        <v/>
      </c>
      <c r="ET47" s="411" t="str">
        <f t="shared" si="52"/>
        <v/>
      </c>
      <c r="EU47" s="416" t="str">
        <f>IF($FC$1 = 1,
IF(AE47 = "", "",OptionGamma($AG$1,AE47,($BM$1/365), $V$15, $AZ$1, $V$17) * 1000),
IF($FC$1 = 2, IF(OR(AE47 = "", BD47 =  0), "",IF(AE47 &lt; $AG$1, (((AE47 * (1 - COMIS_ACCION)) / (($AG$1 * (1 + COMIS_ACCION)) - (BD47 * (1 - COMIS_OPCION)))) - 1) * 100 / $BM$1 * 365,((($AG$1 * (1 - COMIS_ACCION)) / (($AG$1 * (1 + COMIS_ACCION)) - (BD47 * (1 - COMIS_OPCION)))) - 1) * 100 / $BM$1 * 365))))</f>
        <v/>
      </c>
      <c r="EV47" s="276" t="str">
        <f>+IF(AE47 = "", "",CallOption($AG$1, $AE47,($BM$1/365), $V$15, $AZ$1, $V$17))</f>
        <v/>
      </c>
      <c r="EW47" s="271" t="str">
        <f t="shared" si="53"/>
        <v/>
      </c>
      <c r="EX47" s="272" t="str">
        <f t="shared" si="54"/>
        <v/>
      </c>
      <c r="EY47" s="274" t="str">
        <f t="shared" si="55"/>
        <v/>
      </c>
      <c r="EZ47" s="272" t="str">
        <f t="shared" si="56"/>
        <v/>
      </c>
      <c r="FA47" s="272" t="str">
        <f t="shared" si="57"/>
        <v/>
      </c>
      <c r="FB47" s="530" t="str">
        <f>+IF($FC$1 = 1, IF(AE47 = "", "",IFERROR( VLOOKUP(N47, PreciosCalls, 13, FALSE), 0)),
IF($FC$1 = 2,  IF(AE47 = "", "",OptionGamma($AG$1,AE47,($BM$1/365), $V$15, $AZ$1, $V$17) * 1000)))</f>
        <v/>
      </c>
      <c r="FC47" s="530" t="str">
        <f>IF($FC$1 = 1, IF(AE47 = "", "",IFERROR( VLOOKUP(N47, PreciosCalls, 14, FALSE), 0)),
IF($FC$1 = 2, IF(AE47 = "", "",CallDelta($AG$1,AE47,($BM$1/365), $V$15, $AZ$1, $V$17) * 100)))</f>
        <v/>
      </c>
      <c r="FD47" s="531" t="str">
        <f t="shared" si="58"/>
        <v/>
      </c>
      <c r="FE47" s="530" t="str">
        <f t="shared" si="59"/>
        <v/>
      </c>
      <c r="FF47" s="217"/>
      <c r="FG47" s="273" t="str">
        <f t="shared" si="60"/>
        <v/>
      </c>
      <c r="FH47" s="273" t="str">
        <f t="shared" si="61"/>
        <v/>
      </c>
      <c r="FI47" s="451" t="str">
        <f t="shared" si="62"/>
        <v/>
      </c>
      <c r="FJ47" s="419" t="str">
        <f>+IF(AE47 = "", "",ImpliedPutVolatility($AG$1, $AE47,($BM$1/365), $V$15, BI47, $V$17) * 100)</f>
        <v/>
      </c>
      <c r="FK47" s="419" t="str">
        <f>+IF(AE47 = "", "",ImpliedPutVolatility($AG$1, $AE47,($BM$1/365), $V$15, BM47, $V$17) * 100)</f>
        <v/>
      </c>
      <c r="FL47" s="419" t="str">
        <f>+IF(AE47 = "", "",ImpliedPutVolatility($AG$1, $AE47,($BM$1/365), $V$15, BO47, $V$17) * 100)</f>
        <v/>
      </c>
      <c r="FM47" s="415" t="str">
        <f t="shared" si="63"/>
        <v/>
      </c>
      <c r="FN47" s="415" t="str">
        <f t="shared" si="64"/>
        <v/>
      </c>
      <c r="FO47" s="415" t="str">
        <f t="shared" si="65"/>
        <v/>
      </c>
      <c r="FP47" s="417" t="str">
        <f>IF($FX$1=1, IF(AE47 = "", "",OptionGamma($AG$1,AE47,($BM$1/365), $V$15, $AZ$1, $V$17) * 1000),
IF($FX$1 = 2, IF(OR(AE47 = "", BM47 =  0), "",((BM47 * (1 - COMIS_OPCION)) / (AE47 * (1 + COMIS_ACCION))) * 100 / $BM$1 * 365)))</f>
        <v/>
      </c>
      <c r="FQ47" s="289" t="str">
        <f>+IF(AE47 = "", "",PutOption($AG$1, $AE47,($BM$1/365), $V$15, $AZ$1, $V$17))</f>
        <v/>
      </c>
      <c r="FR47" s="279"/>
      <c r="FS47" s="284" t="str">
        <f t="shared" si="66"/>
        <v/>
      </c>
      <c r="FT47" s="284" t="str">
        <f t="shared" si="67"/>
        <v/>
      </c>
      <c r="FU47" s="279"/>
      <c r="FV47" s="279"/>
      <c r="FW47" s="287">
        <f>+IF($FX$1 = 1, IFERROR(VLOOKUP(P47, PreciosPuts, 13, FALSE), 0),
IF($FX$1 = 2, IF(AE47 = "", "",OptionGamma($AG$1,AE47,($BM$1/365), $V$15, $AZ$1, $V$17) * 1000)))</f>
        <v>0</v>
      </c>
      <c r="FX47" s="287" t="str">
        <f>+IF($FX$1=1, IF(AE47 = "", "",IFERROR(VLOOKUP(P47, PreciosPuts, 14, FALSE), 0)),
IF($FX$1=2, IF(AE47 = "", "",Putdelta($AG$1,AE47,($BM$1/365), $V$15, $AZ$1, $V$17) * 100)))</f>
        <v/>
      </c>
      <c r="FY47" s="286" t="str">
        <f t="shared" si="69"/>
        <v/>
      </c>
      <c r="FZ47" s="287" t="str">
        <f t="shared" si="70"/>
        <v/>
      </c>
      <c r="GA47" s="217"/>
      <c r="GB47" s="281"/>
      <c r="GC47" s="281"/>
      <c r="GD47" s="217"/>
      <c r="GE47" s="301" t="str">
        <f t="shared" si="71"/>
        <v/>
      </c>
      <c r="GF47" s="292" t="str">
        <f t="shared" si="72"/>
        <v/>
      </c>
      <c r="GG47" s="293" t="str">
        <f t="shared" si="73"/>
        <v/>
      </c>
      <c r="GH47" s="294" t="str">
        <f t="shared" si="124"/>
        <v/>
      </c>
      <c r="GI47" s="294">
        <v>41</v>
      </c>
      <c r="GJ47" s="217"/>
      <c r="GK47" s="305" t="str">
        <f t="shared" si="74"/>
        <v/>
      </c>
      <c r="GL47" s="299" t="str">
        <f t="shared" si="75"/>
        <v/>
      </c>
      <c r="GM47" s="300" t="str">
        <f t="shared" si="76"/>
        <v/>
      </c>
      <c r="GN47" s="225" t="str">
        <f t="shared" si="121"/>
        <v/>
      </c>
      <c r="GO47" s="225">
        <v>41</v>
      </c>
      <c r="GP47" s="217"/>
      <c r="GQ47" s="217"/>
      <c r="GR47" s="401" t="str">
        <f t="shared" si="132"/>
        <v/>
      </c>
      <c r="GT47" s="282" t="str">
        <f t="shared" si="78"/>
        <v/>
      </c>
      <c r="GU47" s="282" t="str">
        <f t="shared" si="79"/>
        <v/>
      </c>
      <c r="GV47" s="282" t="str">
        <f t="shared" si="80"/>
        <v/>
      </c>
      <c r="GW47" s="282" t="str">
        <f t="shared" si="81"/>
        <v/>
      </c>
      <c r="GX47" s="282" t="str">
        <f t="shared" si="82"/>
        <v/>
      </c>
      <c r="GY47" s="282" t="str">
        <f t="shared" si="83"/>
        <v/>
      </c>
      <c r="GZ47" s="282" t="str">
        <f t="shared" si="115"/>
        <v/>
      </c>
      <c r="HA47" s="282" t="str">
        <f t="shared" si="84"/>
        <v/>
      </c>
      <c r="HB47" s="282" t="str">
        <f t="shared" si="116"/>
        <v/>
      </c>
      <c r="HC47" s="607" t="str">
        <f t="shared" si="85"/>
        <v/>
      </c>
      <c r="HD47" s="282" t="str">
        <f t="shared" si="86"/>
        <v/>
      </c>
      <c r="HE47" s="282" t="str">
        <f t="shared" si="87"/>
        <v/>
      </c>
      <c r="HF47" s="282" t="str">
        <f t="shared" si="88"/>
        <v/>
      </c>
      <c r="HG47" s="217"/>
      <c r="HH47" s="282" t="str">
        <f t="shared" si="89"/>
        <v/>
      </c>
      <c r="HI47" s="282" t="str">
        <f t="shared" si="90"/>
        <v/>
      </c>
      <c r="HJ47" s="282"/>
      <c r="HK47" s="282"/>
      <c r="HL47" s="217"/>
      <c r="HM47" s="420"/>
      <c r="HN47" s="420"/>
      <c r="HO47" s="420"/>
      <c r="HP47" s="420"/>
      <c r="HQ47" s="282" t="str">
        <f t="shared" si="91"/>
        <v/>
      </c>
      <c r="HR47" s="420"/>
      <c r="HS47" s="420"/>
      <c r="HT47" s="420"/>
      <c r="HU47" s="420"/>
      <c r="HV47" s="420"/>
      <c r="HW47" s="420"/>
      <c r="HX47" s="425"/>
      <c r="HY47" s="338"/>
      <c r="HZ47" s="338"/>
      <c r="IA47" s="161"/>
      <c r="IB47" s="161"/>
      <c r="IC47" s="162"/>
      <c r="ID47" s="162"/>
      <c r="IE47" s="49"/>
      <c r="IF47" s="55"/>
      <c r="IG47" s="58"/>
      <c r="IH47" s="545" t="str">
        <f t="shared" si="117"/>
        <v/>
      </c>
      <c r="IJ47" s="146">
        <v>41</v>
      </c>
      <c r="IK47" s="545" t="str">
        <f t="shared" si="142"/>
        <v/>
      </c>
      <c r="IL47" s="106" t="str">
        <f t="shared" si="93"/>
        <v/>
      </c>
      <c r="IM47" s="110" t="str">
        <f t="shared" si="160"/>
        <v/>
      </c>
      <c r="IN47" s="111" t="str">
        <f t="shared" si="161"/>
        <v/>
      </c>
      <c r="IO47" s="50" t="str">
        <f t="shared" si="162"/>
        <v/>
      </c>
      <c r="IP47" s="50" t="str">
        <f t="shared" si="162"/>
        <v/>
      </c>
      <c r="IQ47" s="50" t="str">
        <f t="shared" si="162"/>
        <v/>
      </c>
      <c r="IR47" s="50" t="str">
        <f t="shared" si="162"/>
        <v/>
      </c>
      <c r="IS47" s="50" t="str">
        <f t="shared" si="162"/>
        <v/>
      </c>
      <c r="IT47" s="50" t="str">
        <f t="shared" si="162"/>
        <v/>
      </c>
      <c r="IU47" s="50" t="str">
        <f t="shared" si="162"/>
        <v/>
      </c>
      <c r="IV47" s="50" t="str">
        <f t="shared" si="162"/>
        <v/>
      </c>
      <c r="IW47" s="50" t="str">
        <f t="shared" si="162"/>
        <v/>
      </c>
      <c r="IX47" s="50" t="str">
        <f t="shared" si="162"/>
        <v/>
      </c>
      <c r="IY47" s="50" t="str">
        <f t="shared" si="163"/>
        <v/>
      </c>
      <c r="IZ47" s="50" t="str">
        <f t="shared" si="163"/>
        <v/>
      </c>
      <c r="JA47" s="50" t="str">
        <f t="shared" si="163"/>
        <v/>
      </c>
      <c r="JB47" s="50" t="str">
        <f t="shared" si="163"/>
        <v/>
      </c>
      <c r="JC47" s="50" t="str">
        <f t="shared" si="163"/>
        <v/>
      </c>
      <c r="JD47" s="50" t="str">
        <f t="shared" si="163"/>
        <v/>
      </c>
      <c r="JE47" s="50" t="str">
        <f t="shared" si="163"/>
        <v/>
      </c>
      <c r="JF47" s="50" t="str">
        <f t="shared" si="163"/>
        <v/>
      </c>
      <c r="JG47" s="50" t="str">
        <f t="shared" si="163"/>
        <v/>
      </c>
      <c r="JH47" s="50" t="str">
        <f t="shared" si="163"/>
        <v/>
      </c>
      <c r="JI47" s="50" t="str">
        <f t="shared" si="164"/>
        <v/>
      </c>
      <c r="JJ47" s="50" t="str">
        <f t="shared" si="164"/>
        <v/>
      </c>
      <c r="JK47" s="50" t="str">
        <f t="shared" si="164"/>
        <v/>
      </c>
      <c r="JL47" s="50" t="str">
        <f t="shared" si="164"/>
        <v/>
      </c>
      <c r="JM47" s="50" t="str">
        <f t="shared" si="164"/>
        <v/>
      </c>
      <c r="JN47" s="50" t="str">
        <f t="shared" si="164"/>
        <v/>
      </c>
      <c r="JO47" s="50" t="str">
        <f t="shared" si="164"/>
        <v/>
      </c>
      <c r="JP47" s="50" t="str">
        <f t="shared" si="164"/>
        <v/>
      </c>
      <c r="JQ47" s="50" t="str">
        <f t="shared" si="164"/>
        <v/>
      </c>
      <c r="JR47" s="50" t="str">
        <f t="shared" si="164"/>
        <v/>
      </c>
      <c r="JS47" s="50" t="str">
        <f t="shared" si="165"/>
        <v/>
      </c>
      <c r="JT47" s="50" t="str">
        <f t="shared" si="165"/>
        <v/>
      </c>
      <c r="JU47" s="50" t="str">
        <f t="shared" si="165"/>
        <v/>
      </c>
      <c r="JV47" s="50" t="str">
        <f t="shared" si="165"/>
        <v/>
      </c>
      <c r="JW47" s="50" t="str">
        <f t="shared" si="165"/>
        <v/>
      </c>
      <c r="JX47" s="50" t="str">
        <f t="shared" si="165"/>
        <v/>
      </c>
      <c r="JY47" s="50" t="str">
        <f t="shared" si="165"/>
        <v/>
      </c>
      <c r="JZ47" s="50" t="str">
        <f t="shared" si="165"/>
        <v/>
      </c>
      <c r="KA47" s="50" t="str">
        <f t="shared" si="165"/>
        <v/>
      </c>
      <c r="KB47" s="50" t="str">
        <f t="shared" si="165"/>
        <v/>
      </c>
      <c r="KC47" s="50" t="str">
        <f t="shared" si="165"/>
        <v/>
      </c>
      <c r="KD47" s="50" t="str">
        <f t="shared" si="165"/>
        <v/>
      </c>
    </row>
    <row r="48" spans="2:290" s="144" customFormat="1" ht="15" customHeight="1" thickBot="1">
      <c r="M48" s="142"/>
      <c r="N48" s="142"/>
      <c r="O48" s="142"/>
      <c r="P48" s="142"/>
      <c r="U48" s="142"/>
      <c r="V48" s="142"/>
      <c r="X48" s="200">
        <v>42</v>
      </c>
      <c r="Y48" s="203"/>
      <c r="Z48" s="202"/>
      <c r="AA48" s="179"/>
      <c r="AB48" s="202"/>
      <c r="AC48" s="161"/>
      <c r="AD48" s="200">
        <v>42</v>
      </c>
      <c r="AE48" s="170" t="str">
        <f>+IF(Z1 = "", "", Z1)</f>
        <v>GGAL</v>
      </c>
      <c r="AF48" s="201"/>
      <c r="AG48" s="161"/>
      <c r="AH48" s="177">
        <f t="shared" si="102"/>
        <v>0</v>
      </c>
      <c r="AI48" s="166">
        <f t="shared" si="103"/>
        <v>0</v>
      </c>
      <c r="AJ48" s="179"/>
      <c r="AK48" s="177">
        <f t="shared" si="104"/>
        <v>0</v>
      </c>
      <c r="AL48" s="166">
        <f t="shared" si="105"/>
        <v>0</v>
      </c>
      <c r="AM48" s="179"/>
      <c r="AN48" s="177"/>
      <c r="AO48" s="166"/>
      <c r="AP48" s="179"/>
      <c r="AQ48" s="176">
        <f t="shared" si="106"/>
        <v>0</v>
      </c>
      <c r="AR48" s="165">
        <f t="shared" si="107"/>
        <v>0</v>
      </c>
      <c r="AS48" s="179"/>
      <c r="AT48" s="176">
        <f t="shared" si="108"/>
        <v>0</v>
      </c>
      <c r="AU48" s="165">
        <f t="shared" si="109"/>
        <v>0</v>
      </c>
      <c r="AV48" s="174"/>
      <c r="AW48" s="162"/>
      <c r="AX48" s="162"/>
      <c r="AY48" s="162"/>
      <c r="AZ48" s="162"/>
      <c r="BA48" s="162"/>
      <c r="BB48" s="162"/>
      <c r="BC48" s="162"/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  <c r="BO48" s="162"/>
      <c r="BP48" s="162"/>
      <c r="BQ48" s="162"/>
      <c r="BR48" s="162"/>
      <c r="BS48" s="162"/>
      <c r="BT48" s="162"/>
      <c r="BU48" s="162"/>
      <c r="BV48" s="310"/>
      <c r="BW48" s="162"/>
      <c r="BX48" s="162"/>
      <c r="BY48" s="162"/>
      <c r="BZ48" s="162"/>
      <c r="CA48" s="162"/>
      <c r="CB48" s="162"/>
      <c r="CC48" s="162"/>
      <c r="CD48" s="162"/>
      <c r="CE48" s="162"/>
      <c r="CF48" s="162"/>
      <c r="CG48" s="162"/>
      <c r="CH48" s="162"/>
      <c r="CI48" s="162"/>
      <c r="CJ48" s="174"/>
      <c r="CK48" s="162"/>
      <c r="CL48" s="162"/>
      <c r="CM48" s="162"/>
      <c r="CN48" s="161"/>
      <c r="CO48" s="161"/>
      <c r="CP48" s="161"/>
      <c r="CQ48" s="161"/>
      <c r="CR48" s="161"/>
      <c r="CS48" s="161"/>
      <c r="CT48" s="161"/>
      <c r="CU48" s="161"/>
      <c r="CV48" s="161"/>
      <c r="CW48" s="161"/>
      <c r="CX48" s="161"/>
      <c r="CY48" s="161"/>
      <c r="CZ48" s="161"/>
      <c r="DA48" s="161"/>
      <c r="DB48" s="161"/>
      <c r="DC48" s="161"/>
      <c r="DD48" s="161"/>
      <c r="DE48" s="161"/>
      <c r="DF48" s="161"/>
      <c r="DG48" s="161"/>
      <c r="DH48" s="161"/>
      <c r="DI48" s="161"/>
      <c r="DJ48" s="162"/>
      <c r="DK48" s="242">
        <f t="shared" si="123"/>
        <v>0</v>
      </c>
      <c r="DL48" s="217"/>
      <c r="DM48" s="242">
        <f t="shared" si="34"/>
        <v>0</v>
      </c>
      <c r="DN48" s="242">
        <f t="shared" si="35"/>
        <v>0</v>
      </c>
      <c r="DO48" s="243">
        <f t="shared" si="36"/>
        <v>0</v>
      </c>
      <c r="DP48" s="217"/>
      <c r="DQ48" s="252">
        <f t="shared" si="120"/>
        <v>0</v>
      </c>
      <c r="DR48" s="217"/>
      <c r="DS48" s="242">
        <f t="shared" si="38"/>
        <v>0</v>
      </c>
      <c r="DT48" s="242">
        <f t="shared" si="39"/>
        <v>0</v>
      </c>
      <c r="DU48" s="244">
        <f t="shared" si="40"/>
        <v>0</v>
      </c>
      <c r="DV48" s="217"/>
      <c r="DW48" s="428">
        <f>+IF(OR(AE48 = "", AND(AH48 = "", AK48 = "")), "",IFERROR(+AH48 * CallDelta($AG$1,AE48,($BM$1/365), $V$15, $AZ$1, $V$17), 0) + IFERROR(AK48 * Putdelta($AG$1,AE48,($BM$1/365), $V$15, $AZ$1, $V$17), 0))</f>
        <v>0</v>
      </c>
      <c r="DX48" s="245">
        <f>+IF(OR(AE48 = "", AND(AH48 = "", AK48 = "")), "",IFERROR(+AH48 * OptionGamma($AG$1,AE48,($BM$1/365), $V$15, $AZ$1, $V$17), 0) + IFERROR(AK48 * OptionGamma($AG$1,AE48,($BM$1/365), $V$15, $AZ$1, $V$17), 0))</f>
        <v>0</v>
      </c>
      <c r="DY48" s="161"/>
      <c r="DZ48" s="267">
        <f>IF(OR(AE48 = "", AQ48 = ""), "", IF(AE48 &lt;&gt; $Z$1,
-(EF94 * AQ48 * 100),
-(EF94 * AQ48 * 1)  ))</f>
        <v>0</v>
      </c>
      <c r="EA48" s="217"/>
      <c r="EB48" s="267">
        <f t="shared" si="42"/>
        <v>0</v>
      </c>
      <c r="EC48" s="267">
        <f t="shared" si="43"/>
        <v>0</v>
      </c>
      <c r="ED48" s="247">
        <f t="shared" si="44"/>
        <v>0</v>
      </c>
      <c r="EE48" s="217"/>
      <c r="EF48" s="267">
        <f t="shared" si="129"/>
        <v>0</v>
      </c>
      <c r="EG48" s="217"/>
      <c r="EH48" s="267">
        <f t="shared" si="46"/>
        <v>0</v>
      </c>
      <c r="EI48" s="246">
        <f t="shared" si="47"/>
        <v>0</v>
      </c>
      <c r="EJ48" s="248">
        <f t="shared" si="48"/>
        <v>0</v>
      </c>
      <c r="EK48" s="217"/>
      <c r="EL48" s="251">
        <f>+IF(OR(AE48 = "", AND(AQ48 = "", AT48 = "")), "",IFERROR(+AQ48 * CallDelta($AG$1,AE48,($BM$1/365), $V$15, $AZ$1, $V$17), 0) + IFERROR(AT48 * Putdelta($AG$1,AE48,($BM$1/365), $V$15, $AZ$1, $V$17), 0))</f>
        <v>0</v>
      </c>
      <c r="EM48" s="249">
        <f>+IF(OR(AE48 = "", AND(AQ48 = "", AT48 = "")), "",IFERROR(+AQ48 * OptionGamma($AG$1,AE48,($BM$1/365), $V$15, $AZ$1, $V$17), 0) + IFERROR(AT48 * OptionGamma($AG$1,AE48,($BM$1/365), $V$15, $AZ$1, $V$17), 0))</f>
        <v>0</v>
      </c>
      <c r="EN48" s="331"/>
      <c r="EO48" s="217"/>
      <c r="EP48" s="217"/>
      <c r="EQ48" s="217"/>
      <c r="ER48" s="217"/>
      <c r="ES48" s="217"/>
      <c r="ET48" s="217"/>
      <c r="EU48" s="217"/>
      <c r="EV48" s="217"/>
      <c r="EW48" s="217"/>
      <c r="EX48" s="217"/>
      <c r="EY48" s="217"/>
      <c r="EZ48" s="217"/>
      <c r="FA48" s="217"/>
      <c r="FB48" s="217"/>
      <c r="FC48" s="217"/>
      <c r="FD48" s="531">
        <f>+IF(AE48 = "", "",IFERROR(VLOOKUP(AE48, PreciosCalls, 12, FALSE) / VLOOKUP(AE48, PreciosCalls, 13, FALSE) / 1, 0))</f>
        <v>0</v>
      </c>
      <c r="FE48" s="530" t="e">
        <f>+IF(AE48 = "", "", VLOOKUP(AE48, PreciosCalls, 12, FALSE))</f>
        <v>#N/A</v>
      </c>
      <c r="FF48" s="217"/>
      <c r="FG48" s="217"/>
      <c r="FH48" s="217"/>
      <c r="FI48" s="217"/>
      <c r="FJ48" s="217"/>
      <c r="FK48" s="217"/>
      <c r="FL48" s="217"/>
      <c r="FM48" s="217"/>
      <c r="FN48" s="217"/>
      <c r="FO48" s="217"/>
      <c r="FP48" s="217"/>
      <c r="FQ48" s="217"/>
      <c r="FR48" s="217"/>
      <c r="FS48" s="217"/>
      <c r="FT48" s="217"/>
      <c r="FU48" s="217"/>
      <c r="FV48" s="217"/>
      <c r="FW48" s="217"/>
      <c r="FX48" s="217"/>
      <c r="FY48" s="217"/>
      <c r="FZ48" s="217"/>
      <c r="GA48" s="217"/>
      <c r="GB48" s="217"/>
      <c r="GC48" s="217"/>
      <c r="GD48" s="217"/>
      <c r="GE48" s="217"/>
      <c r="GF48" s="217"/>
      <c r="GG48" s="217"/>
      <c r="GH48" s="217"/>
      <c r="GI48" s="217"/>
      <c r="GJ48" s="217"/>
      <c r="GK48" s="217"/>
      <c r="GL48" s="217"/>
      <c r="GM48" s="217"/>
      <c r="GN48" s="217"/>
      <c r="GO48" s="217"/>
      <c r="GP48" s="217"/>
      <c r="GQ48" s="217"/>
      <c r="GR48" s="217"/>
      <c r="GS48" s="217"/>
      <c r="GT48" s="217"/>
      <c r="GU48" s="217"/>
      <c r="GV48" s="217"/>
      <c r="GW48" s="217"/>
      <c r="GX48" s="217"/>
      <c r="GY48" s="217"/>
      <c r="GZ48" s="217"/>
      <c r="HA48" s="217"/>
      <c r="HB48" s="217"/>
      <c r="HC48" s="217"/>
      <c r="HD48" s="217"/>
      <c r="HE48" s="217"/>
      <c r="HF48" s="217"/>
      <c r="HG48" s="217"/>
      <c r="HH48" s="217"/>
      <c r="HI48" s="217"/>
      <c r="HJ48" s="217"/>
      <c r="HK48" s="217"/>
      <c r="HL48" s="217"/>
      <c r="HM48" s="420"/>
      <c r="HN48" s="420"/>
      <c r="HO48" s="420"/>
      <c r="HP48" s="420"/>
      <c r="HQ48" s="420"/>
      <c r="HR48" s="420"/>
      <c r="HS48" s="420"/>
      <c r="HT48" s="420"/>
      <c r="HU48" s="420"/>
      <c r="HV48" s="420"/>
      <c r="HW48" s="420"/>
      <c r="HX48" s="338"/>
      <c r="HY48" s="338"/>
      <c r="HZ48" s="338"/>
      <c r="IA48" s="162"/>
      <c r="IB48" s="162"/>
      <c r="IC48" s="162"/>
      <c r="ID48" s="162"/>
      <c r="IE48" s="49"/>
      <c r="IF48" s="55"/>
      <c r="IG48" s="58"/>
      <c r="IH48" s="55"/>
      <c r="IO48" s="56"/>
    </row>
    <row r="49" spans="13:293" s="144" customFormat="1" ht="15" customHeight="1">
      <c r="M49" s="333"/>
      <c r="N49" s="333"/>
      <c r="O49" s="333"/>
      <c r="P49" s="333"/>
      <c r="Q49" s="331"/>
      <c r="R49" s="331"/>
      <c r="S49" s="331"/>
      <c r="T49" s="331"/>
      <c r="U49" s="333"/>
      <c r="V49" s="333"/>
      <c r="W49" s="331"/>
      <c r="X49" s="334"/>
      <c r="Y49" s="217" t="b">
        <v>0</v>
      </c>
      <c r="Z49" s="333"/>
      <c r="AA49" s="333"/>
      <c r="AB49" s="333"/>
      <c r="AC49" s="333"/>
      <c r="AD49" s="333"/>
      <c r="AE49" s="333"/>
      <c r="AF49" s="331"/>
      <c r="AG49" s="333"/>
      <c r="AH49" s="333"/>
      <c r="AI49" s="333"/>
      <c r="AJ49" s="333"/>
      <c r="AK49" s="331"/>
      <c r="AL49" s="331"/>
      <c r="AM49" s="333"/>
      <c r="AN49" s="333"/>
      <c r="AO49" s="333"/>
      <c r="AP49" s="333"/>
      <c r="AQ49" s="217" t="b">
        <v>0</v>
      </c>
      <c r="AR49" s="333"/>
      <c r="AS49" s="333"/>
      <c r="AT49" s="333"/>
      <c r="AU49" s="333"/>
      <c r="AV49" s="333"/>
      <c r="AW49" s="333"/>
      <c r="AX49" s="333"/>
      <c r="AY49" s="333"/>
      <c r="AZ49" s="333"/>
      <c r="BA49" s="333"/>
      <c r="BB49" s="333"/>
      <c r="BC49" s="333"/>
      <c r="BD49" s="333"/>
      <c r="BE49" s="333"/>
      <c r="BF49" s="333"/>
      <c r="BG49" s="333"/>
      <c r="BH49" s="333"/>
      <c r="BI49" s="333"/>
      <c r="BJ49" s="333"/>
      <c r="BK49" s="333"/>
      <c r="BL49" s="333"/>
      <c r="BM49" s="333"/>
      <c r="BN49" s="333"/>
      <c r="BO49" s="333"/>
      <c r="BP49" s="333"/>
      <c r="BQ49" s="333"/>
      <c r="BR49" s="333"/>
      <c r="BS49" s="333"/>
      <c r="BT49" s="333"/>
      <c r="BU49" s="333"/>
      <c r="BV49" s="333"/>
      <c r="BW49" s="333"/>
      <c r="BX49" s="333"/>
      <c r="BY49" s="333"/>
      <c r="BZ49" s="333"/>
      <c r="CA49" s="333"/>
      <c r="CB49" s="333"/>
      <c r="CC49" s="333"/>
      <c r="CD49" s="333"/>
      <c r="CE49" s="333"/>
      <c r="CF49" s="333"/>
      <c r="CG49" s="333"/>
      <c r="CH49" s="333"/>
      <c r="CI49" s="333"/>
      <c r="CJ49" s="333"/>
      <c r="CK49" s="333"/>
      <c r="CL49" s="217" t="b">
        <v>0</v>
      </c>
      <c r="CM49" s="333"/>
      <c r="CN49" s="331"/>
      <c r="CO49" s="331"/>
      <c r="CP49" s="331"/>
      <c r="CQ49" s="331"/>
      <c r="CR49" s="331"/>
      <c r="CS49" s="331"/>
      <c r="CT49" s="331"/>
      <c r="CU49" s="331"/>
      <c r="CV49" s="331"/>
      <c r="CW49" s="331"/>
      <c r="CX49" s="331"/>
      <c r="CY49" s="331"/>
      <c r="CZ49" s="331"/>
      <c r="DA49" s="331"/>
      <c r="DB49" s="331"/>
      <c r="DC49" s="331"/>
      <c r="DD49" s="331"/>
      <c r="DE49" s="331"/>
      <c r="DF49" s="331"/>
      <c r="DG49" s="331"/>
      <c r="DH49" s="331"/>
      <c r="DI49" s="331"/>
      <c r="DJ49" s="333"/>
      <c r="DK49" s="333"/>
      <c r="DL49" s="333"/>
      <c r="DM49" s="333"/>
      <c r="DN49" s="333"/>
      <c r="DO49" s="333"/>
      <c r="DP49" s="333"/>
      <c r="DQ49" s="333"/>
      <c r="DR49" s="333"/>
      <c r="DS49" s="333"/>
      <c r="DT49" s="333"/>
      <c r="DU49" s="333"/>
      <c r="DV49" s="333"/>
      <c r="DW49" s="333"/>
      <c r="DX49" s="333"/>
      <c r="DY49" s="333"/>
      <c r="DZ49" s="333"/>
      <c r="EA49" s="333"/>
      <c r="EB49" s="333"/>
      <c r="EC49" s="333"/>
      <c r="ED49" s="333"/>
      <c r="EE49" s="333"/>
      <c r="EF49" s="333"/>
      <c r="EG49" s="333"/>
      <c r="EH49" s="333"/>
      <c r="EI49" s="333"/>
      <c r="EJ49" s="333"/>
      <c r="EK49" s="333"/>
      <c r="EL49" s="329"/>
      <c r="EM49" s="329"/>
      <c r="EN49" s="217" t="b">
        <v>0</v>
      </c>
      <c r="EO49" s="329"/>
      <c r="EP49" s="329"/>
      <c r="EQ49" s="329"/>
      <c r="ER49" s="329"/>
      <c r="ES49" s="329"/>
      <c r="ET49" s="329"/>
      <c r="EU49" s="329"/>
      <c r="EV49" s="329"/>
      <c r="EW49" s="329"/>
      <c r="EX49" s="329"/>
      <c r="EY49" s="329"/>
      <c r="EZ49" s="329"/>
      <c r="FA49" s="329"/>
      <c r="FB49" s="329"/>
      <c r="FC49" s="329"/>
      <c r="FD49" s="329"/>
      <c r="FE49" s="330"/>
      <c r="FF49" s="330"/>
      <c r="FG49" s="330"/>
      <c r="FH49" s="330"/>
      <c r="FI49" s="330" t="b">
        <v>0</v>
      </c>
      <c r="FJ49" s="330"/>
      <c r="FK49" s="330"/>
      <c r="FL49" s="330"/>
      <c r="FM49" s="330"/>
      <c r="FN49" s="330"/>
      <c r="FO49" s="330"/>
      <c r="FP49" s="330"/>
      <c r="FQ49" s="330"/>
      <c r="FR49" s="330"/>
      <c r="FS49" s="330"/>
      <c r="FT49" s="330"/>
      <c r="FU49" s="330"/>
      <c r="FV49" s="330"/>
      <c r="FW49" s="330"/>
      <c r="FX49" s="330"/>
      <c r="FY49" s="330"/>
      <c r="FZ49" s="329"/>
      <c r="GA49" s="329"/>
      <c r="GB49" s="330"/>
      <c r="GC49" s="330"/>
      <c r="GD49" s="330"/>
      <c r="GE49" s="330"/>
      <c r="GF49" s="330"/>
      <c r="GG49" s="330"/>
      <c r="GH49" s="330"/>
      <c r="GI49" s="330"/>
      <c r="GJ49" s="330"/>
      <c r="GK49" s="330"/>
      <c r="GL49" s="330"/>
      <c r="GM49" s="330"/>
      <c r="GN49" s="330"/>
      <c r="GO49" s="330"/>
      <c r="GP49" s="330"/>
      <c r="GQ49" s="330"/>
      <c r="GR49" s="330"/>
      <c r="GS49" s="330"/>
      <c r="GT49" s="330"/>
      <c r="GU49" s="330"/>
      <c r="GV49" s="330"/>
      <c r="GW49" s="330"/>
      <c r="GX49" s="330"/>
      <c r="GY49" s="330"/>
      <c r="GZ49" s="330"/>
      <c r="HA49" s="330"/>
      <c r="HB49" s="330"/>
      <c r="HC49" s="330"/>
      <c r="HD49" s="330"/>
      <c r="HE49" s="330"/>
      <c r="HF49" s="330"/>
      <c r="HG49" s="330"/>
      <c r="HH49" s="330"/>
      <c r="HI49" s="330"/>
      <c r="HJ49" s="331"/>
      <c r="HK49" s="331"/>
      <c r="HL49" s="331"/>
      <c r="HM49" s="420"/>
      <c r="HN49" s="420"/>
      <c r="HO49" s="420"/>
      <c r="HP49" s="420"/>
      <c r="HQ49" s="420"/>
      <c r="HR49" s="420"/>
      <c r="HS49" s="420"/>
      <c r="HT49" s="420"/>
      <c r="HU49" s="420"/>
      <c r="HV49" s="420"/>
      <c r="HW49" s="420"/>
      <c r="HX49" s="329"/>
      <c r="HY49" s="329"/>
      <c r="HZ49" s="329"/>
      <c r="IA49" s="333"/>
      <c r="IB49" s="333"/>
      <c r="IC49" s="333"/>
      <c r="ID49" s="142"/>
      <c r="IE49" s="142"/>
      <c r="IF49" s="142"/>
      <c r="IG49" s="142"/>
      <c r="IH49" s="142"/>
      <c r="IO49" s="56"/>
    </row>
    <row r="50" spans="13:293" s="144" customFormat="1" ht="15" customHeight="1">
      <c r="M50" s="333"/>
      <c r="N50" s="333"/>
      <c r="O50" s="333"/>
      <c r="P50" s="333"/>
      <c r="Q50" s="331"/>
      <c r="R50" s="331"/>
      <c r="S50" s="331"/>
      <c r="T50" s="331"/>
      <c r="U50" s="333"/>
      <c r="V50" s="333"/>
      <c r="W50" s="331"/>
      <c r="X50" s="331"/>
      <c r="Y50" s="217" t="b">
        <v>0</v>
      </c>
      <c r="Z50" s="331"/>
      <c r="AA50" s="331"/>
      <c r="AB50" s="331"/>
      <c r="AC50" s="331"/>
      <c r="AD50" s="331"/>
      <c r="AE50" s="331"/>
      <c r="AF50" s="331"/>
      <c r="AG50" s="331"/>
      <c r="AH50" s="331"/>
      <c r="AI50" s="331"/>
      <c r="AJ50" s="331"/>
      <c r="AK50" s="331"/>
      <c r="AL50" s="331"/>
      <c r="AM50" s="331"/>
      <c r="AN50" s="331"/>
      <c r="AO50" s="331"/>
      <c r="AP50" s="331"/>
      <c r="AQ50" s="217" t="b">
        <v>1</v>
      </c>
      <c r="AR50" s="331"/>
      <c r="AS50" s="331"/>
      <c r="AT50" s="331"/>
      <c r="AU50" s="331"/>
      <c r="AV50" s="331"/>
      <c r="AW50" s="331"/>
      <c r="AX50" s="331"/>
      <c r="AY50" s="331"/>
      <c r="AZ50" s="331"/>
      <c r="BA50" s="331"/>
      <c r="BB50" s="331"/>
      <c r="BC50" s="331"/>
      <c r="BD50" s="331"/>
      <c r="BE50" s="331"/>
      <c r="BF50" s="331"/>
      <c r="BG50" s="331"/>
      <c r="BH50" s="331"/>
      <c r="BI50" s="331"/>
      <c r="BJ50" s="331"/>
      <c r="BK50" s="331"/>
      <c r="BL50" s="331"/>
      <c r="BM50" s="331"/>
      <c r="BN50" s="331"/>
      <c r="BO50" s="331"/>
      <c r="BP50" s="331"/>
      <c r="BQ50" s="331"/>
      <c r="BR50" s="331"/>
      <c r="BS50" s="331"/>
      <c r="BT50" s="331"/>
      <c r="BU50" s="331"/>
      <c r="BV50" s="331"/>
      <c r="BW50" s="331"/>
      <c r="BX50" s="331"/>
      <c r="BY50" s="331"/>
      <c r="BZ50" s="331"/>
      <c r="CA50" s="331"/>
      <c r="CB50" s="331"/>
      <c r="CC50" s="331"/>
      <c r="CD50" s="331"/>
      <c r="CE50" s="331"/>
      <c r="CF50" s="331"/>
      <c r="CG50" s="331"/>
      <c r="CH50" s="331"/>
      <c r="CI50" s="331"/>
      <c r="CJ50" s="331"/>
      <c r="CK50" s="331"/>
      <c r="CL50" s="331"/>
      <c r="CM50" s="331"/>
      <c r="CN50" s="331"/>
      <c r="CO50" s="331"/>
      <c r="CP50" s="331"/>
      <c r="CQ50" s="331"/>
      <c r="CR50" s="331"/>
      <c r="CS50" s="331"/>
      <c r="CT50" s="331"/>
      <c r="CU50" s="331"/>
      <c r="CV50" s="331"/>
      <c r="CW50" s="331"/>
      <c r="CX50" s="331"/>
      <c r="CY50" s="331"/>
      <c r="CZ50" s="331"/>
      <c r="DA50" s="331"/>
      <c r="DB50" s="331"/>
      <c r="DC50" s="331"/>
      <c r="DD50" s="331"/>
      <c r="DE50" s="331"/>
      <c r="DF50" s="331"/>
      <c r="DG50" s="331"/>
      <c r="DH50" s="331"/>
      <c r="DI50" s="331"/>
      <c r="DJ50" s="331"/>
      <c r="DK50" s="333"/>
      <c r="DL50" s="333"/>
      <c r="DM50" s="333"/>
      <c r="DN50" s="333"/>
      <c r="DO50" s="333"/>
      <c r="DP50" s="333"/>
      <c r="DQ50" s="333"/>
      <c r="DR50" s="333"/>
      <c r="DS50" s="333"/>
      <c r="DT50" s="331"/>
      <c r="DU50" s="359"/>
      <c r="DV50" s="359"/>
      <c r="DW50" s="359"/>
      <c r="DX50" s="359"/>
      <c r="DY50" s="359"/>
      <c r="DZ50" s="359"/>
      <c r="EA50" s="359"/>
      <c r="EB50" s="359"/>
      <c r="EC50" s="503" t="s">
        <v>296</v>
      </c>
      <c r="ED50" s="375"/>
      <c r="EE50" s="375"/>
      <c r="EF50" s="375"/>
      <c r="EG50" s="375"/>
      <c r="EH50" s="375"/>
      <c r="EI50" s="375"/>
      <c r="EJ50" s="373"/>
      <c r="EK50" s="373"/>
      <c r="EL50" s="374"/>
      <c r="EM50" s="366"/>
      <c r="EN50" s="367"/>
      <c r="EO50" s="358" t="s">
        <v>155</v>
      </c>
      <c r="EP50" s="340"/>
      <c r="EQ50" s="340"/>
      <c r="ER50" s="340"/>
      <c r="ES50" s="340"/>
      <c r="ET50" s="340"/>
      <c r="EU50" s="340"/>
      <c r="EV50" s="340"/>
      <c r="EW50" s="340"/>
      <c r="EX50" s="340"/>
      <c r="EY50" s="340"/>
      <c r="EZ50" s="340"/>
      <c r="FA50" s="340"/>
      <c r="FB50" s="340"/>
      <c r="FC50" s="340"/>
      <c r="FD50" s="562" t="s">
        <v>323</v>
      </c>
      <c r="FE50" s="970">
        <v>-62621.718800000002</v>
      </c>
      <c r="FF50" s="971"/>
      <c r="FG50" s="972"/>
      <c r="FH50" s="364"/>
      <c r="FI50" s="358" t="s">
        <v>155</v>
      </c>
      <c r="FJ50" s="363"/>
      <c r="FK50" s="340"/>
      <c r="FL50" s="340"/>
      <c r="FM50" s="340"/>
      <c r="FN50" s="340"/>
      <c r="FO50" s="340"/>
      <c r="FP50" s="340"/>
      <c r="FQ50" s="340"/>
      <c r="FR50" s="340"/>
      <c r="FS50" s="340"/>
      <c r="FT50" s="340"/>
      <c r="FU50" s="340"/>
      <c r="FV50" s="340"/>
      <c r="FW50" s="340"/>
      <c r="FX50" s="340"/>
      <c r="FY50" s="340"/>
      <c r="FZ50" s="340"/>
      <c r="GA50" s="341"/>
      <c r="GB50" s="340"/>
      <c r="GC50" s="340"/>
      <c r="GD50" s="340"/>
      <c r="GE50" s="340"/>
      <c r="GF50" s="340"/>
      <c r="GG50" s="377"/>
      <c r="GH50" s="359"/>
      <c r="GI50" s="359"/>
      <c r="GJ50" s="359"/>
      <c r="GK50" s="359"/>
      <c r="GL50" s="359"/>
      <c r="GM50" s="359"/>
      <c r="GN50" s="359"/>
      <c r="GO50" s="359"/>
      <c r="GP50" s="359"/>
      <c r="GQ50" s="359"/>
      <c r="GR50" s="359"/>
      <c r="GS50" s="331"/>
      <c r="GT50" s="331"/>
      <c r="GU50" s="331"/>
      <c r="GV50" s="331"/>
      <c r="GW50" s="331"/>
      <c r="GX50" s="331"/>
      <c r="GY50" s="331"/>
      <c r="GZ50" s="331"/>
      <c r="HA50" s="331"/>
      <c r="HB50" s="331"/>
      <c r="HC50" s="331"/>
      <c r="HD50" s="331"/>
      <c r="HE50" s="331"/>
      <c r="HF50" s="331"/>
      <c r="HG50" s="331"/>
      <c r="HH50" s="330"/>
      <c r="HI50" s="331"/>
      <c r="HJ50" s="331"/>
      <c r="HK50" s="331"/>
      <c r="HL50" s="331"/>
      <c r="HM50" s="420"/>
      <c r="HN50" s="420"/>
      <c r="HO50" s="420"/>
      <c r="HP50" s="420"/>
      <c r="HQ50" s="420"/>
      <c r="HR50" s="420"/>
      <c r="HS50" s="420"/>
      <c r="HT50" s="420"/>
      <c r="HU50" s="420"/>
      <c r="HV50" s="420"/>
      <c r="HW50" s="420"/>
      <c r="HX50" s="331"/>
      <c r="HY50" s="333"/>
      <c r="HZ50" s="333"/>
      <c r="IA50" s="333"/>
      <c r="IB50" s="333"/>
      <c r="IC50" s="333"/>
      <c r="ID50" s="142"/>
      <c r="IE50" s="142"/>
      <c r="IF50" s="142"/>
      <c r="IG50" s="142"/>
      <c r="IH50" s="142"/>
      <c r="IK50" s="113"/>
      <c r="IO50" s="56"/>
    </row>
    <row r="51" spans="13:293" s="144" customFormat="1" ht="15" customHeight="1">
      <c r="M51" s="333"/>
      <c r="N51" s="333"/>
      <c r="O51" s="333"/>
      <c r="P51" s="333"/>
      <c r="Q51" s="331"/>
      <c r="R51" s="331"/>
      <c r="S51" s="331"/>
      <c r="T51" s="331"/>
      <c r="U51" s="333"/>
      <c r="V51" s="333"/>
      <c r="W51" s="331"/>
      <c r="X51" s="331"/>
      <c r="Y51" s="331"/>
      <c r="Z51" s="331"/>
      <c r="AA51" s="331"/>
      <c r="AB51" s="331"/>
      <c r="AC51" s="331"/>
      <c r="AD51" s="331"/>
      <c r="AE51" s="331"/>
      <c r="AF51" s="331"/>
      <c r="AG51" s="331"/>
      <c r="AH51" s="331"/>
      <c r="AI51" s="331"/>
      <c r="AJ51" s="331"/>
      <c r="AK51" s="331"/>
      <c r="AL51" s="331"/>
      <c r="AM51" s="331"/>
      <c r="AN51" s="331"/>
      <c r="AO51" s="331"/>
      <c r="AP51" s="331"/>
      <c r="AQ51" s="331"/>
      <c r="AR51" s="331"/>
      <c r="AS51" s="331"/>
      <c r="AT51" s="331"/>
      <c r="AU51" s="331"/>
      <c r="AV51" s="331"/>
      <c r="AW51" s="331"/>
      <c r="AX51" s="331"/>
      <c r="AY51" s="331"/>
      <c r="AZ51" s="331"/>
      <c r="BA51" s="331"/>
      <c r="BB51" s="331"/>
      <c r="BC51" s="331"/>
      <c r="BD51" s="331"/>
      <c r="BE51" s="331"/>
      <c r="BF51" s="331"/>
      <c r="BG51" s="331"/>
      <c r="BH51" s="331"/>
      <c r="BI51" s="331"/>
      <c r="BJ51" s="331"/>
      <c r="BK51" s="331"/>
      <c r="BL51" s="331"/>
      <c r="BM51" s="331"/>
      <c r="BN51" s="331"/>
      <c r="BO51" s="331"/>
      <c r="BP51" s="331"/>
      <c r="BQ51" s="331"/>
      <c r="BR51" s="331"/>
      <c r="BS51" s="331"/>
      <c r="BT51" s="331"/>
      <c r="BU51" s="331"/>
      <c r="BV51" s="331"/>
      <c r="BW51" s="331"/>
      <c r="BX51" s="331"/>
      <c r="BY51" s="331"/>
      <c r="BZ51" s="331"/>
      <c r="CA51" s="331"/>
      <c r="CB51" s="331"/>
      <c r="CC51" s="331"/>
      <c r="CD51" s="331"/>
      <c r="CE51" s="331"/>
      <c r="CF51" s="331"/>
      <c r="CG51" s="331"/>
      <c r="CH51" s="331"/>
      <c r="CI51" s="331"/>
      <c r="CJ51" s="331"/>
      <c r="CK51" s="331"/>
      <c r="CL51" s="331"/>
      <c r="CM51" s="331"/>
      <c r="CN51" s="331"/>
      <c r="CO51" s="331"/>
      <c r="CP51" s="331"/>
      <c r="CQ51" s="331"/>
      <c r="CR51" s="331"/>
      <c r="CS51" s="331"/>
      <c r="CT51" s="331"/>
      <c r="CU51" s="331"/>
      <c r="CV51" s="331"/>
      <c r="CW51" s="331"/>
      <c r="CX51" s="331"/>
      <c r="CY51" s="331"/>
      <c r="CZ51" s="331"/>
      <c r="DA51" s="331"/>
      <c r="DB51" s="331"/>
      <c r="DC51" s="331"/>
      <c r="DD51" s="331"/>
      <c r="DE51" s="331"/>
      <c r="DF51" s="331"/>
      <c r="DG51" s="331"/>
      <c r="DH51" s="331"/>
      <c r="DI51" s="331"/>
      <c r="DJ51" s="331"/>
      <c r="DK51" s="333"/>
      <c r="DL51" s="333"/>
      <c r="DM51" s="333"/>
      <c r="DN51" s="333"/>
      <c r="DO51" s="333"/>
      <c r="DP51" s="333"/>
      <c r="DQ51" s="333"/>
      <c r="DR51" s="333"/>
      <c r="DS51" s="333"/>
      <c r="DT51" s="331"/>
      <c r="DU51" s="359"/>
      <c r="DV51" s="359"/>
      <c r="DW51" s="359"/>
      <c r="DX51" s="359"/>
      <c r="DY51" s="359"/>
      <c r="DZ51" s="359"/>
      <c r="EA51" s="359"/>
      <c r="EB51" s="359"/>
      <c r="EC51" s="375"/>
      <c r="ED51" s="964" t="s">
        <v>10</v>
      </c>
      <c r="EE51" s="964"/>
      <c r="EF51" s="964"/>
      <c r="EG51" s="965" t="s">
        <v>11</v>
      </c>
      <c r="EH51" s="965"/>
      <c r="EI51" s="965"/>
      <c r="EJ51" s="373"/>
      <c r="EK51" s="373"/>
      <c r="EL51" s="374"/>
      <c r="EM51" s="366"/>
      <c r="EN51" s="364"/>
      <c r="EO51" s="361" t="s">
        <v>149</v>
      </c>
      <c r="EP51" s="340"/>
      <c r="EQ51" s="340"/>
      <c r="ER51" s="340"/>
      <c r="ES51" s="970">
        <f>+ES304</f>
        <v>0</v>
      </c>
      <c r="ET51" s="976"/>
      <c r="EU51" s="977"/>
      <c r="EV51" s="973">
        <f>+EV304</f>
        <v>0</v>
      </c>
      <c r="EW51" s="974"/>
      <c r="EX51" s="974"/>
      <c r="EY51" s="974"/>
      <c r="EZ51" s="974"/>
      <c r="FA51" s="974"/>
      <c r="FB51" s="974"/>
      <c r="FC51" s="974"/>
      <c r="FD51" s="975"/>
      <c r="FE51" s="1009">
        <f>+IF($AQ$49 = TRUE, IF($AQ$50 = FALSE, EV304 + FP304 + totalNeto, EV304 + FP304), IF($AQ$50 = FALSE, EV304 + FP304 + FE50, EV304 + FP304))</f>
        <v>0</v>
      </c>
      <c r="FF51" s="1010"/>
      <c r="FG51" s="1011"/>
      <c r="FH51" s="364"/>
      <c r="FI51" s="362" t="s">
        <v>150</v>
      </c>
      <c r="FJ51" s="340"/>
      <c r="FK51" s="340"/>
      <c r="FL51" s="340"/>
      <c r="FM51" s="1022">
        <f>+FM304</f>
        <v>0</v>
      </c>
      <c r="FN51" s="1023"/>
      <c r="FO51" s="1024"/>
      <c r="FP51" s="1019">
        <f>+FP304</f>
        <v>0</v>
      </c>
      <c r="FQ51" s="1020"/>
      <c r="FR51" s="1020"/>
      <c r="FS51" s="1020"/>
      <c r="FT51" s="1020"/>
      <c r="FU51" s="1020"/>
      <c r="FV51" s="1020"/>
      <c r="FW51" s="1020"/>
      <c r="FX51" s="1021"/>
      <c r="FY51" s="341"/>
      <c r="FZ51" s="341"/>
      <c r="GA51" s="341"/>
      <c r="GB51" s="341"/>
      <c r="GC51" s="340"/>
      <c r="GD51" s="360"/>
      <c r="GE51" s="360"/>
      <c r="GF51" s="340"/>
      <c r="GG51" s="377"/>
      <c r="GH51" s="359"/>
      <c r="GI51" s="359"/>
      <c r="GJ51" s="359"/>
      <c r="GK51" s="359"/>
      <c r="GL51" s="359"/>
      <c r="GM51" s="359"/>
      <c r="GN51" s="359"/>
      <c r="GO51" s="359"/>
      <c r="GP51" s="359"/>
      <c r="GQ51" s="359"/>
      <c r="GR51" s="359"/>
      <c r="GS51" s="331"/>
      <c r="GT51" s="331"/>
      <c r="GU51" s="331"/>
      <c r="GV51" s="331"/>
      <c r="GW51" s="331"/>
      <c r="GX51" s="331"/>
      <c r="GY51" s="331"/>
      <c r="GZ51" s="331"/>
      <c r="HA51" s="331"/>
      <c r="HB51" s="331"/>
      <c r="HC51" s="331"/>
      <c r="HD51" s="331"/>
      <c r="HE51" s="331"/>
      <c r="HF51" s="331"/>
      <c r="HG51" s="331"/>
      <c r="HH51" s="330"/>
      <c r="HI51" s="331"/>
      <c r="HJ51" s="331"/>
      <c r="HK51" s="331"/>
      <c r="HL51" s="331"/>
      <c r="HM51" s="420"/>
      <c r="HN51" s="420"/>
      <c r="HO51" s="420"/>
      <c r="HP51" s="420"/>
      <c r="HQ51" s="420"/>
      <c r="HR51" s="420"/>
      <c r="HS51" s="420"/>
      <c r="HT51" s="420"/>
      <c r="HU51" s="420"/>
      <c r="HV51" s="420"/>
      <c r="HW51" s="420"/>
      <c r="HX51" s="331"/>
      <c r="HY51" s="333"/>
      <c r="HZ51" s="333"/>
      <c r="IA51" s="333"/>
      <c r="IB51" s="333"/>
      <c r="IC51" s="333"/>
      <c r="ID51" s="55"/>
      <c r="IE51" s="47"/>
      <c r="IF51" s="142"/>
      <c r="IG51" s="142"/>
      <c r="IH51" s="142"/>
      <c r="II51" s="548" t="b">
        <v>1</v>
      </c>
      <c r="IJ51" s="142"/>
      <c r="IK51" s="142"/>
      <c r="IL51" s="142"/>
      <c r="IM51" s="142"/>
      <c r="IN51" s="142"/>
      <c r="IO51" s="51"/>
      <c r="IP51" s="142"/>
      <c r="IQ51" s="142"/>
      <c r="IR51" s="142"/>
      <c r="IS51" s="142"/>
      <c r="IT51" s="142"/>
      <c r="IU51" s="142"/>
      <c r="IV51" s="142"/>
      <c r="IW51" s="142"/>
      <c r="IX51" s="142"/>
      <c r="IY51" s="142"/>
      <c r="IZ51" s="142"/>
      <c r="JA51" s="142"/>
      <c r="JB51" s="142"/>
      <c r="JC51" s="142"/>
      <c r="JD51" s="142"/>
      <c r="JE51" s="142"/>
      <c r="JF51" s="142"/>
      <c r="JG51" s="142"/>
      <c r="JH51" s="142"/>
      <c r="JI51" s="142"/>
      <c r="JJ51" s="142"/>
      <c r="JK51" s="142"/>
      <c r="JL51" s="142"/>
      <c r="JM51" s="142"/>
      <c r="JN51" s="142"/>
      <c r="JO51" s="142"/>
      <c r="JP51" s="142"/>
      <c r="JQ51" s="142"/>
      <c r="JR51" s="142"/>
      <c r="JS51" s="142"/>
      <c r="JT51" s="142"/>
      <c r="JU51" s="142"/>
      <c r="JV51" s="142"/>
      <c r="JW51" s="142"/>
      <c r="JX51" s="142"/>
      <c r="JY51" s="142"/>
      <c r="JZ51" s="142"/>
      <c r="KA51" s="142"/>
      <c r="KB51" s="142"/>
      <c r="KC51" s="142"/>
      <c r="KD51" s="142"/>
      <c r="KE51" s="142"/>
      <c r="KF51" s="142"/>
      <c r="KG51" s="142"/>
    </row>
    <row r="52" spans="13:293" s="144" customFormat="1" ht="15" customHeight="1" thickBot="1">
      <c r="M52" s="333"/>
      <c r="N52" s="333"/>
      <c r="O52" s="333"/>
      <c r="P52" s="333"/>
      <c r="Q52" s="331"/>
      <c r="R52" s="331"/>
      <c r="S52" s="331"/>
      <c r="T52" s="331"/>
      <c r="U52" s="333"/>
      <c r="V52" s="333"/>
      <c r="W52" s="331"/>
      <c r="X52" s="331"/>
      <c r="Y52" s="331"/>
      <c r="Z52" s="331"/>
      <c r="AA52" s="331"/>
      <c r="AB52" s="331"/>
      <c r="AC52" s="331"/>
      <c r="AD52" s="331"/>
      <c r="AE52" s="331"/>
      <c r="AF52" s="331"/>
      <c r="AG52" s="331"/>
      <c r="AH52" s="331"/>
      <c r="AI52" s="331"/>
      <c r="AJ52" s="331"/>
      <c r="AK52" s="331"/>
      <c r="AL52" s="331"/>
      <c r="AM52" s="331"/>
      <c r="AN52" s="331"/>
      <c r="AO52" s="331"/>
      <c r="AP52" s="331"/>
      <c r="AQ52" s="331"/>
      <c r="AR52" s="331"/>
      <c r="AS52" s="331"/>
      <c r="AT52" s="331"/>
      <c r="AU52" s="331"/>
      <c r="AV52" s="331"/>
      <c r="AW52" s="331"/>
      <c r="AX52" s="331"/>
      <c r="AY52" s="331"/>
      <c r="AZ52" s="331"/>
      <c r="BA52" s="331"/>
      <c r="BB52" s="331"/>
      <c r="BC52" s="331"/>
      <c r="BD52" s="331"/>
      <c r="BE52" s="331"/>
      <c r="BF52" s="331"/>
      <c r="BG52" s="331"/>
      <c r="BH52" s="331"/>
      <c r="BI52" s="331"/>
      <c r="BJ52" s="331"/>
      <c r="BK52" s="331"/>
      <c r="BL52" s="331"/>
      <c r="BM52" s="331"/>
      <c r="BN52" s="331"/>
      <c r="BO52" s="331"/>
      <c r="BP52" s="331"/>
      <c r="BQ52" s="331"/>
      <c r="BR52" s="331"/>
      <c r="BS52" s="331"/>
      <c r="BT52" s="331"/>
      <c r="BU52" s="331"/>
      <c r="BV52" s="331"/>
      <c r="BW52" s="331"/>
      <c r="BX52" s="331"/>
      <c r="BY52" s="331"/>
      <c r="BZ52" s="331"/>
      <c r="CA52" s="331"/>
      <c r="CB52" s="331"/>
      <c r="CC52" s="331"/>
      <c r="CD52" s="331"/>
      <c r="CE52" s="331"/>
      <c r="CF52" s="331"/>
      <c r="CG52" s="331"/>
      <c r="CH52" s="331"/>
      <c r="CI52" s="331"/>
      <c r="CJ52" s="331"/>
      <c r="CK52" s="331"/>
      <c r="CL52" s="331"/>
      <c r="CM52" s="331"/>
      <c r="CN52" s="331"/>
      <c r="CO52" s="331"/>
      <c r="CP52" s="331"/>
      <c r="CQ52" s="331"/>
      <c r="CR52" s="331"/>
      <c r="CS52" s="331"/>
      <c r="CT52" s="331"/>
      <c r="CU52" s="331"/>
      <c r="CV52" s="331"/>
      <c r="CW52" s="331"/>
      <c r="CX52" s="331"/>
      <c r="CY52" s="331"/>
      <c r="CZ52" s="331"/>
      <c r="DA52" s="331"/>
      <c r="DB52" s="331"/>
      <c r="DC52" s="331"/>
      <c r="DD52" s="331"/>
      <c r="DE52" s="331"/>
      <c r="DF52" s="331"/>
      <c r="DG52" s="331"/>
      <c r="DH52" s="331"/>
      <c r="DI52" s="331"/>
      <c r="DJ52" s="331"/>
      <c r="DK52" s="333"/>
      <c r="DL52" s="333"/>
      <c r="DM52" s="333"/>
      <c r="DN52" s="333"/>
      <c r="DO52" s="333"/>
      <c r="DP52" s="333"/>
      <c r="DQ52" s="333"/>
      <c r="DR52" s="333"/>
      <c r="DS52" s="333"/>
      <c r="DT52" s="331"/>
      <c r="DU52" s="359"/>
      <c r="DV52" s="359"/>
      <c r="DW52" s="359"/>
      <c r="DX52" s="359"/>
      <c r="DY52" s="359"/>
      <c r="DZ52" s="359"/>
      <c r="EA52" s="359"/>
      <c r="EB52" s="359"/>
      <c r="EC52" s="497" t="s">
        <v>4</v>
      </c>
      <c r="ED52" s="894" t="s">
        <v>283</v>
      </c>
      <c r="EE52" s="895"/>
      <c r="EF52" s="461" t="s">
        <v>277</v>
      </c>
      <c r="EG52" s="896" t="s">
        <v>283</v>
      </c>
      <c r="EH52" s="896"/>
      <c r="EI52" s="498" t="s">
        <v>277</v>
      </c>
      <c r="EJ52" s="373"/>
      <c r="EK52" s="373"/>
      <c r="EL52" s="403"/>
      <c r="EM52" s="363"/>
      <c r="EN52" s="364"/>
      <c r="EO52" s="447" t="s">
        <v>134</v>
      </c>
      <c r="EP52" s="191" t="s">
        <v>57</v>
      </c>
      <c r="EQ52" s="191" t="s">
        <v>57</v>
      </c>
      <c r="ER52" s="191" t="s">
        <v>34</v>
      </c>
      <c r="ES52" s="1012" t="s">
        <v>278</v>
      </c>
      <c r="ET52" s="962"/>
      <c r="EU52" s="1013"/>
      <c r="EV52" s="1012" t="s">
        <v>279</v>
      </c>
      <c r="EW52" s="962"/>
      <c r="EX52" s="962"/>
      <c r="EY52" s="962"/>
      <c r="EZ52" s="962"/>
      <c r="FA52" s="962"/>
      <c r="FB52" s="962"/>
      <c r="FC52" s="962"/>
      <c r="FD52" s="1013"/>
      <c r="FE52" s="340"/>
      <c r="FF52" s="340"/>
      <c r="FG52" s="364"/>
      <c r="FH52" s="364"/>
      <c r="FI52" s="496" t="s">
        <v>134</v>
      </c>
      <c r="FJ52" s="191" t="s">
        <v>57</v>
      </c>
      <c r="FK52" s="191" t="s">
        <v>57</v>
      </c>
      <c r="FL52" s="191" t="s">
        <v>34</v>
      </c>
      <c r="FM52" s="1015" t="s">
        <v>278</v>
      </c>
      <c r="FN52" s="1016"/>
      <c r="FO52" s="1017"/>
      <c r="FP52" s="1012" t="s">
        <v>279</v>
      </c>
      <c r="FQ52" s="962"/>
      <c r="FR52" s="962"/>
      <c r="FS52" s="962"/>
      <c r="FT52" s="962"/>
      <c r="FU52" s="962"/>
      <c r="FV52" s="962"/>
      <c r="FW52" s="962"/>
      <c r="FX52" s="1013"/>
      <c r="FY52" s="341"/>
      <c r="FZ52" s="341"/>
      <c r="GA52" s="341"/>
      <c r="GB52" s="499" t="s">
        <v>284</v>
      </c>
      <c r="GC52" s="499" t="s">
        <v>294</v>
      </c>
      <c r="GD52" s="360"/>
      <c r="GE52" s="499" t="s">
        <v>291</v>
      </c>
      <c r="GF52" s="499" t="s">
        <v>304</v>
      </c>
      <c r="GG52" s="470" t="s">
        <v>303</v>
      </c>
      <c r="GH52" s="359"/>
      <c r="GI52" s="359"/>
      <c r="GJ52" s="359"/>
      <c r="GK52" s="470" t="s">
        <v>294</v>
      </c>
      <c r="GL52" s="470" t="s">
        <v>291</v>
      </c>
      <c r="GM52" s="470" t="s">
        <v>304</v>
      </c>
      <c r="GN52" s="359"/>
      <c r="GO52" s="359"/>
      <c r="GP52" s="501"/>
      <c r="GQ52" s="499" t="s">
        <v>303</v>
      </c>
      <c r="GR52" s="359"/>
      <c r="GS52" s="331"/>
      <c r="GT52" s="331"/>
      <c r="GU52" s="331"/>
      <c r="GV52" s="331"/>
      <c r="GW52" s="331"/>
      <c r="GX52" s="331"/>
      <c r="GY52" s="331"/>
      <c r="GZ52" s="331"/>
      <c r="HA52" s="331"/>
      <c r="HB52" s="331"/>
      <c r="HC52" s="331"/>
      <c r="HD52" s="331"/>
      <c r="HE52" s="331"/>
      <c r="HF52" s="331"/>
      <c r="HG52" s="331"/>
      <c r="HH52" s="330"/>
      <c r="HI52" s="331"/>
      <c r="HJ52" s="331"/>
      <c r="HK52" s="331"/>
      <c r="HL52" s="331"/>
      <c r="HM52" s="420"/>
      <c r="HN52" s="420"/>
      <c r="HO52" s="420"/>
      <c r="HP52" s="420"/>
      <c r="HQ52" s="420"/>
      <c r="HR52" s="420"/>
      <c r="HS52" s="420"/>
      <c r="HT52" s="420"/>
      <c r="HU52" s="420"/>
      <c r="HV52" s="420"/>
      <c r="HW52" s="420"/>
      <c r="HX52" s="331"/>
      <c r="HY52" s="333"/>
      <c r="HZ52" s="333"/>
      <c r="IA52" s="333"/>
      <c r="IB52" s="333"/>
      <c r="IC52" s="333"/>
      <c r="ID52" s="55"/>
      <c r="IE52" s="47"/>
      <c r="IF52" s="142"/>
      <c r="IG52" s="142"/>
      <c r="IH52" s="112" t="s">
        <v>155</v>
      </c>
      <c r="II52" s="112" t="s">
        <v>155</v>
      </c>
      <c r="IJ52" s="142"/>
      <c r="IK52" s="112" t="s">
        <v>155</v>
      </c>
      <c r="IL52" s="144" t="s">
        <v>302</v>
      </c>
      <c r="IN52" s="494" t="s">
        <v>300</v>
      </c>
      <c r="IO52" s="547">
        <f>+ED94</f>
        <v>0</v>
      </c>
      <c r="IP52" s="547">
        <f>ED53</f>
        <v>0</v>
      </c>
      <c r="IQ52" s="547">
        <f>ED54</f>
        <v>0</v>
      </c>
      <c r="IR52" s="547">
        <f>ED55</f>
        <v>0</v>
      </c>
      <c r="IS52" s="547">
        <f>ED56</f>
        <v>0</v>
      </c>
      <c r="IT52" s="547">
        <f>ED57</f>
        <v>0</v>
      </c>
      <c r="IU52" s="547">
        <f>ED58</f>
        <v>0</v>
      </c>
      <c r="IV52" s="547">
        <f>ED59</f>
        <v>0</v>
      </c>
      <c r="IW52" s="547">
        <f>ED60</f>
        <v>0</v>
      </c>
      <c r="IX52" s="547">
        <f>ED61</f>
        <v>0</v>
      </c>
      <c r="IY52" s="547">
        <f>ED62</f>
        <v>0</v>
      </c>
      <c r="IZ52" s="547">
        <f>ED63</f>
        <v>0</v>
      </c>
      <c r="JA52" s="547">
        <f>ED64</f>
        <v>0</v>
      </c>
      <c r="JB52" s="547">
        <f>ED65</f>
        <v>0</v>
      </c>
      <c r="JC52" s="547">
        <f>ED66</f>
        <v>0</v>
      </c>
      <c r="JD52" s="547">
        <f>ED67</f>
        <v>0</v>
      </c>
      <c r="JE52" s="547">
        <f>ED68</f>
        <v>0</v>
      </c>
      <c r="JF52" s="547">
        <f>ED69</f>
        <v>0</v>
      </c>
      <c r="JG52" s="547">
        <f>ED70</f>
        <v>0</v>
      </c>
      <c r="JH52" s="547">
        <f>ED71</f>
        <v>0</v>
      </c>
      <c r="JI52" s="547">
        <f>ED72</f>
        <v>0</v>
      </c>
      <c r="JJ52" s="547">
        <f>ED73</f>
        <v>0</v>
      </c>
      <c r="JK52" s="547">
        <f>ED74</f>
        <v>0</v>
      </c>
      <c r="JL52" s="547">
        <f>ED75</f>
        <v>0</v>
      </c>
      <c r="JM52" s="547">
        <f>ED76</f>
        <v>0</v>
      </c>
      <c r="JN52" s="547">
        <f>ED77</f>
        <v>0</v>
      </c>
      <c r="JO52" s="547">
        <f>ED78</f>
        <v>0</v>
      </c>
      <c r="JP52" s="547">
        <f>ED79</f>
        <v>0</v>
      </c>
      <c r="JQ52" s="547">
        <f>ED80</f>
        <v>0</v>
      </c>
      <c r="JR52" s="547">
        <f>ED81</f>
        <v>0</v>
      </c>
      <c r="JS52" s="547">
        <f>ED82</f>
        <v>0</v>
      </c>
      <c r="JT52" s="547">
        <f>ED83</f>
        <v>0</v>
      </c>
      <c r="JU52" s="547" t="str">
        <f>ED84</f>
        <v/>
      </c>
      <c r="JV52" s="547" t="str">
        <f>ED85</f>
        <v/>
      </c>
      <c r="JW52" s="547" t="str">
        <f>ED86</f>
        <v/>
      </c>
      <c r="JX52" s="547" t="str">
        <f>ED87</f>
        <v/>
      </c>
      <c r="JY52" s="547" t="str">
        <f>ED88</f>
        <v/>
      </c>
      <c r="JZ52" s="547" t="str">
        <f>ED89</f>
        <v/>
      </c>
      <c r="KA52" s="547" t="str">
        <f>ED90</f>
        <v/>
      </c>
      <c r="KB52" s="547" t="str">
        <f>ED91</f>
        <v/>
      </c>
      <c r="KC52" s="547" t="str">
        <f>ED92</f>
        <v/>
      </c>
      <c r="KD52" s="547" t="str">
        <f>ED93</f>
        <v/>
      </c>
      <c r="KE52" s="142"/>
      <c r="KF52" s="142"/>
      <c r="KG52" s="142"/>
    </row>
    <row r="53" spans="13:293" s="144" customFormat="1" ht="15" customHeight="1">
      <c r="M53" s="333"/>
      <c r="N53" s="333"/>
      <c r="O53" s="333"/>
      <c r="P53" s="333"/>
      <c r="Q53" s="331"/>
      <c r="R53" s="331"/>
      <c r="S53" s="331"/>
      <c r="T53" s="331"/>
      <c r="U53" s="333"/>
      <c r="V53" s="333"/>
      <c r="W53" s="331"/>
      <c r="X53" s="331"/>
      <c r="Y53" s="331"/>
      <c r="Z53" s="331"/>
      <c r="AA53" s="331"/>
      <c r="AB53" s="331"/>
      <c r="AC53" s="331"/>
      <c r="AD53" s="331"/>
      <c r="AE53" s="331"/>
      <c r="AF53" s="331"/>
      <c r="AG53" s="331"/>
      <c r="AH53" s="331"/>
      <c r="AI53" s="331"/>
      <c r="AJ53" s="331"/>
      <c r="AK53" s="331"/>
      <c r="AL53" s="331"/>
      <c r="AM53" s="331"/>
      <c r="AN53" s="331"/>
      <c r="AO53" s="331"/>
      <c r="AP53" s="331"/>
      <c r="AQ53" s="331"/>
      <c r="AR53" s="331"/>
      <c r="AS53" s="331"/>
      <c r="AT53" s="331"/>
      <c r="AU53" s="331"/>
      <c r="AV53" s="331"/>
      <c r="AW53" s="331"/>
      <c r="AX53" s="331"/>
      <c r="AY53" s="331"/>
      <c r="AZ53" s="331"/>
      <c r="BA53" s="331"/>
      <c r="BB53" s="331"/>
      <c r="BC53" s="331"/>
      <c r="BD53" s="331"/>
      <c r="BE53" s="331"/>
      <c r="BF53" s="331"/>
      <c r="BG53" s="331"/>
      <c r="BH53" s="331"/>
      <c r="BI53" s="331"/>
      <c r="BJ53" s="331"/>
      <c r="BK53" s="331"/>
      <c r="BL53" s="331"/>
      <c r="BM53" s="331"/>
      <c r="BN53" s="331"/>
      <c r="BO53" s="331"/>
      <c r="BP53" s="331"/>
      <c r="BQ53" s="331"/>
      <c r="BR53" s="331"/>
      <c r="BS53" s="331"/>
      <c r="BT53" s="331"/>
      <c r="BU53" s="331"/>
      <c r="BV53" s="331"/>
      <c r="BW53" s="331"/>
      <c r="BX53" s="331"/>
      <c r="BY53" s="331"/>
      <c r="BZ53" s="331"/>
      <c r="CA53" s="331"/>
      <c r="CB53" s="331"/>
      <c r="CC53" s="331"/>
      <c r="CD53" s="331"/>
      <c r="CE53" s="331"/>
      <c r="CF53" s="331"/>
      <c r="CG53" s="331"/>
      <c r="CH53" s="331"/>
      <c r="CI53" s="331"/>
      <c r="CJ53" s="331"/>
      <c r="CK53" s="331"/>
      <c r="CL53" s="331"/>
      <c r="CM53" s="331"/>
      <c r="CN53" s="331"/>
      <c r="CO53" s="331"/>
      <c r="CP53" s="331"/>
      <c r="CQ53" s="331"/>
      <c r="CR53" s="331"/>
      <c r="CS53" s="331"/>
      <c r="CT53" s="331"/>
      <c r="CU53" s="331"/>
      <c r="CV53" s="331"/>
      <c r="CW53" s="331"/>
      <c r="CX53" s="331"/>
      <c r="CY53" s="331"/>
      <c r="CZ53" s="331"/>
      <c r="DA53" s="331"/>
      <c r="DB53" s="331"/>
      <c r="DC53" s="331"/>
      <c r="DD53" s="331"/>
      <c r="DE53" s="331"/>
      <c r="DF53" s="331"/>
      <c r="DG53" s="331"/>
      <c r="DH53" s="331"/>
      <c r="DI53" s="331"/>
      <c r="DJ53" s="331"/>
      <c r="DK53" s="333"/>
      <c r="DL53" s="333"/>
      <c r="DM53" s="333"/>
      <c r="DN53" s="333"/>
      <c r="DO53" s="333"/>
      <c r="DP53" s="333"/>
      <c r="DQ53" s="333"/>
      <c r="DR53" s="333"/>
      <c r="DS53" s="333"/>
      <c r="DT53" s="331"/>
      <c r="DU53" s="359"/>
      <c r="DV53" s="359"/>
      <c r="DW53" s="359"/>
      <c r="DX53" s="359"/>
      <c r="DY53" s="359"/>
      <c r="DZ53" s="359"/>
      <c r="EA53" s="359"/>
      <c r="EB53" s="359"/>
      <c r="EC53" s="768">
        <f t="shared" ref="EC53:EC94" si="166">+IF(AE7 = "", "", AE7)</f>
        <v>132</v>
      </c>
      <c r="ED53" s="897">
        <f>GE53</f>
        <v>0</v>
      </c>
      <c r="EE53" s="898"/>
      <c r="EF53" s="504">
        <f>GG53</f>
        <v>0</v>
      </c>
      <c r="EG53" s="899">
        <f>GL53</f>
        <v>0</v>
      </c>
      <c r="EH53" s="899"/>
      <c r="EI53" s="505">
        <f>GQ53</f>
        <v>0</v>
      </c>
      <c r="EJ53" s="373"/>
      <c r="EK53" s="373"/>
      <c r="EL53" s="366"/>
      <c r="EM53" s="366"/>
      <c r="EN53" s="364">
        <v>1</v>
      </c>
      <c r="EO53" s="356">
        <f>+VLOOKUP(EN53, PRECIOS_EJERCICIOS,  2,FALSE)</f>
        <v>132</v>
      </c>
      <c r="EP53" s="513" t="str">
        <f>+IF($AQ$49 = FALSE, "",
IF(VLOOKUP(EO53, basesCantPrimaBrutoRes, 2,FALSE) &gt;= 0, VLOOKUP(EO53, basesCantPrimaBrutoRes, 2,FALSE), 0))</f>
        <v/>
      </c>
      <c r="EQ53" s="514" t="str">
        <f>+IF($AQ$49 = FALSE, "",
IF(VLOOKUP(EO53, basesCantPrimaBrutoRes, 2,FALSE) &lt; 0, -VLOOKUP(EO53, basesCantPrimaBrutoRes, 2,FALSE), 0))</f>
        <v/>
      </c>
      <c r="ER53" s="521" t="str">
        <f>IF($AQ$49 = FALSE, "",
VLOOKUP(EO53, basesCantPrimaBrutoRes, 4,FALSE))</f>
        <v/>
      </c>
      <c r="ES53" s="926">
        <f>IF(ER53 = "", 0,
IF(AND(EP53 &gt; 0, EQ53 &gt;0), 0, IF(EO53 &lt;&gt; $Z$1,
IF(AND(EP53 &lt;&gt; "", EP53 &lt;&gt; 0), -(EP53 * ER53 * 100),
IF(AND(EQ53 &lt;&gt; "", EQ53 &lt;&gt; 0), (EQ53 * ER53 * 100), 0)),
IF(AND(EP53 &lt;&gt; "", EP53 &lt;&gt; 0), -(EP53 * ER53 * 1),
IF(AND(EQ53 &lt;&gt; "", EQ53 &lt;&gt; 0), (EQ53 * ER53 * 1), 0))  )))</f>
        <v>0</v>
      </c>
      <c r="ET53" s="927"/>
      <c r="EU53" s="928"/>
      <c r="EV53" s="926">
        <f>IF(ER53 = "", 0,
IF(AND(EP53 &gt; 0, EQ53 &gt;0), 0,  IF(EO53 &lt;&gt; $Z$1,
IF(AND(EP53 &lt;&gt; "", EP53 &lt;&gt; 0), -(EP53 * ER53 * 100 * (1 + COMIS_OPCION)),
IF(AND(EQ53 &lt;&gt; "", EQ53 &lt;&gt; 0), (EQ53 * ER53 * 100 * (1 - COMIS_OPCION)), 0)),
IF(AND(EP53 &lt;&gt; "", EP53 &lt;&gt; 0), -(EP53 * ER53 * 1 * (1 + COMIS_ACCION)),
IF(AND(EQ53 &lt;&gt; "", EQ53 &lt;&gt; 0), (EQ53 * ER53 * 1 * (1 - COMIS_ACCION)), 0))  )))</f>
        <v>0</v>
      </c>
      <c r="EW53" s="927"/>
      <c r="EX53" s="927"/>
      <c r="EY53" s="927"/>
      <c r="EZ53" s="927"/>
      <c r="FA53" s="927"/>
      <c r="FB53" s="927"/>
      <c r="FC53" s="927"/>
      <c r="FD53" s="929"/>
      <c r="FE53" s="340"/>
      <c r="FF53" s="340"/>
      <c r="FG53" s="364"/>
      <c r="FH53" s="364">
        <v>1</v>
      </c>
      <c r="FI53" s="357">
        <f>+VLOOKUP(FH53, PRECIOS_EJERCICIOS,  2,FALSE)</f>
        <v>132</v>
      </c>
      <c r="FJ53" s="515" t="str">
        <f>+IF($AQ$49 = FALSE, "",
IF(VLOOKUP(EO53, basesCantPrimaBrutoRes, 5,FALSE) &gt;= 0, VLOOKUP(EO53, basesCantPrimaBrutoRes, 5,FALSE), 0))</f>
        <v/>
      </c>
      <c r="FK53" s="516" t="str">
        <f>+IF($AQ$49 = FALSE, "",
IF(VLOOKUP(EO53, basesCantPrimaBrutoRes, 5,FALSE) &lt; 0, -VLOOKUP(EO53, basesCantPrimaBrutoRes, 5,FALSE), 0))</f>
        <v/>
      </c>
      <c r="FL53" s="517" t="str">
        <f>IF($AQ$49 = FALSE, "",
VLOOKUP(EO53, basesCantPrimaBrutoRes, 7,FALSE))</f>
        <v/>
      </c>
      <c r="FM53" s="934">
        <f>IF(FL53 = "", 0,
IF(AND(FJ53 &gt; 0, FK53 &gt;0), 0,
IF(AND(FJ53 &lt;&gt; "", FJ53 &lt;&gt; 0), -(FJ53 * FL53 * 100),
IF(AND(FK53 &lt;&gt; "", FK53 &lt;&gt; 0), (FK53 * FL53 * 100), 0)) ))</f>
        <v>0</v>
      </c>
      <c r="FN53" s="935"/>
      <c r="FO53" s="936"/>
      <c r="FP53" s="934">
        <f>IF(FL53 = "", 0,
IF(AND(FJ53 &gt; 0, FK53 &gt;0), 0,
IF(AND(FJ53 &lt;&gt; "", FJ53 &lt;&gt; 0), -(FJ53 * FL53 * 100 * (1 + COMIS_OPCION)),
IF(AND(FK53 &lt;&gt; "", FK53 &lt;&gt; 0), (FK53 * FL53 * 100 * (1 - COMIS_OPCION)), 0)) ))</f>
        <v>0</v>
      </c>
      <c r="FQ53" s="935"/>
      <c r="FR53" s="935"/>
      <c r="FS53" s="935"/>
      <c r="FT53" s="935"/>
      <c r="FU53" s="935"/>
      <c r="FV53" s="935"/>
      <c r="FW53" s="935"/>
      <c r="FX53" s="966"/>
      <c r="FY53" s="341"/>
      <c r="FZ53" s="341"/>
      <c r="GA53" s="341"/>
      <c r="GB53" s="495">
        <f>+IF(EN53 = "", "", EO53)</f>
        <v>132</v>
      </c>
      <c r="GC53" s="495" t="str">
        <f>+IF(GB53="", "", IF(EO53 = $Z$1, "ACCION", "CALL"))</f>
        <v>CALL</v>
      </c>
      <c r="GD53" s="500"/>
      <c r="GE53" s="495">
        <f>+IF(GB53= "", "", EO55)</f>
        <v>0</v>
      </c>
      <c r="GF53" s="495">
        <f>+IF(GB53 = "", "", IFERROR(IF(GB53 &lt;&gt; $Z$1,
IF(GE53 &gt; 0, SUMIFS(ES53:ES57, EP53:EP57, "&gt;0", ES53:ES57, "&lt;&gt;0") / SUMIFS(EP53:EP57, EP53:EP57, "&gt;0", ES53:ES57, "&lt;&gt;0") / -100,
IF(GE53 &lt; 0, SUMIFS(ES53:ES57, EQ53:EQ57, "&gt;0", ES53:ES57, "&lt;&gt;0") / SUMIFS(EQ53:EQ57, EQ53:EQ57, "&gt;0", ES53:ES57, "&lt;&gt;0") / 100, 0)),
IF(GE53 &gt; 0, SUMIFS(ES53:ES57, EP53:EP57, "&gt;0", ES53:ES57, "&lt;&gt;0") / SUMIFS(EP53:EP57, EP53:EP57, "&gt;0", ES53:ES57, "&lt;&gt;0") / -1,
IF(GE53 &lt; 0, SUMIFS(ES53:ES57, EQ53:EQ57, "&gt;0", ES53:ES57, "&lt;&gt;0") / SUMIFS(EQ53:EQ57, EQ53:EQ57, "&gt;0", ES53:ES57, "&lt;&gt;0") / 1, 0)) ), 0))</f>
        <v>0</v>
      </c>
      <c r="GG53" s="495">
        <f>+IF(GB53 = "", "", IFERROR(IF(GB53 &lt;&gt; $Z$1,
IF(GE53 &gt; 0, SUMIFS(EV53:EV57, EP53:EP57, "&gt;0", EV53:EV57, "&lt;&gt;0") / SUMIFS(EP53:EP57, EP53:EP57, "&gt;0", EV53:EV57, "&lt;&gt;0") / -100,
IF(GE53 &lt; 0, SUMIFS(EV53:EV57, EQ53:EQ57, "&gt;0", EV53:EV57, "&lt;&gt;0") / SUMIFS(EQ53:EQ57, EQ53:EQ57, "&gt;0", EV53:EV57, "&lt;&gt;0") / 100, 0)),
IF(GE53 &gt; 0, SUMIFS(EV53:EV57, EP53:EP57, "&gt;0", EV53:EV57, "&lt;&gt;0") / SUMIFS(EP53:EP57, EP53:EP57, "&gt;0", EV53:EV57, "&lt;&gt;0") / -1,
IF(GE53 &lt; 0, SUMIFS(EV53:EV57, EQ53:EQ57, "&gt;0", EV53:EV57, "&lt;&gt;0") / SUMIFS(EQ53:EQ57, EQ53:EQ57, "&gt;0", EV53:EV57, "&lt;&gt;0") / 1, 0)) ), 0))</f>
        <v>0</v>
      </c>
      <c r="GH53" s="359"/>
      <c r="GI53" s="359"/>
      <c r="GJ53" s="501"/>
      <c r="GK53" s="495" t="str">
        <f>+IF(GB53="", "", "PUT")</f>
        <v>PUT</v>
      </c>
      <c r="GL53" s="495">
        <f>+IF(GB53 = "", "", FI55)</f>
        <v>0</v>
      </c>
      <c r="GM53" s="495">
        <f>+IF(GB53 = "", "", IFERROR(
IF(FI55 &gt; 0, SUMIFS(FM53:FM57, FJ53:FJ57, "&gt;0", FM53:FM57, "&lt;&gt;0") / SUMIFS(FJ53:FJ57, FJ53:FJ57, "&gt;0", FM53:FM57, "&lt;&gt;0") / -100,
IF(FI55 &lt; 0, SUMIFS(FM53:FM57, FK53:FK57, "&gt;0", FM53:FM57, "&lt;&gt;0") / SUMIFS(FK53:FK57, FK53:FK57, "&gt;0", FM53:FM57, "&lt;&gt;0") / 100, 0)), 0) )</f>
        <v>0</v>
      </c>
      <c r="GN53" s="359"/>
      <c r="GO53" s="359"/>
      <c r="GP53" s="501"/>
      <c r="GQ53" s="502">
        <f>+IF(GB53 = "", "", IFERROR(
IF(FI55 &gt; 0, SUMIFS(FP53:FP57, FJ53:FJ57, "&gt;0", FP53:FP57, "&lt;&gt;0") / SUMIFS(FJ53:FJ57, FJ53:FJ57, "&gt;0", FP53:FP57, "&lt;&gt;0") / -100,
IF(FI55 &lt; 0, SUMIFS(FP53:FP57, FK53:FK57, "&gt;0", FP53:FP57, "&lt;&gt;0") / SUMIFS(FK53:FK57, FK53:FK57, "&gt;0", FP53:FP57, "&lt;&gt;0") / 100, 0)), 0))</f>
        <v>0</v>
      </c>
      <c r="GR53" s="359"/>
      <c r="GS53" s="331"/>
      <c r="GT53" s="331"/>
      <c r="GU53" s="331"/>
      <c r="GV53" s="331"/>
      <c r="GW53" s="331"/>
      <c r="GX53" s="331"/>
      <c r="GY53" s="331"/>
      <c r="GZ53" s="331"/>
      <c r="HA53" s="331"/>
      <c r="HB53" s="331"/>
      <c r="HC53" s="331"/>
      <c r="HD53" s="331"/>
      <c r="HE53" s="331"/>
      <c r="HF53" s="330"/>
      <c r="HG53" s="330"/>
      <c r="HH53" s="330"/>
      <c r="HI53" s="331"/>
      <c r="HJ53" s="331"/>
      <c r="HK53" s="331"/>
      <c r="HL53" s="331"/>
      <c r="HM53" s="420"/>
      <c r="HN53" s="420"/>
      <c r="HO53" s="420"/>
      <c r="HP53" s="420"/>
      <c r="HQ53" s="420"/>
      <c r="HR53" s="420"/>
      <c r="HS53" s="420"/>
      <c r="HT53" s="420"/>
      <c r="HU53" s="420"/>
      <c r="HV53" s="420"/>
      <c r="HW53" s="420"/>
      <c r="HX53" s="331"/>
      <c r="HY53" s="333"/>
      <c r="HZ53" s="333"/>
      <c r="IA53" s="333"/>
      <c r="IB53" s="333"/>
      <c r="IC53" s="333"/>
      <c r="ID53" s="55"/>
      <c r="IE53" s="47"/>
      <c r="IF53" s="142"/>
      <c r="IG53" s="142"/>
      <c r="IH53" s="144" t="s">
        <v>307</v>
      </c>
      <c r="II53" s="144" t="s">
        <v>314</v>
      </c>
      <c r="IK53" s="144" t="s">
        <v>298</v>
      </c>
      <c r="IN53" s="494" t="s">
        <v>301</v>
      </c>
      <c r="IO53" s="56"/>
      <c r="IP53" s="547">
        <f>EG53</f>
        <v>0</v>
      </c>
      <c r="IQ53" s="547">
        <f>EG54</f>
        <v>0</v>
      </c>
      <c r="IR53" s="547">
        <f>EG55</f>
        <v>0</v>
      </c>
      <c r="IS53" s="547">
        <f>EG56</f>
        <v>0</v>
      </c>
      <c r="IT53" s="547">
        <f>EG57</f>
        <v>0</v>
      </c>
      <c r="IU53" s="547">
        <f>EG58</f>
        <v>0</v>
      </c>
      <c r="IV53" s="547">
        <f>EG59</f>
        <v>0</v>
      </c>
      <c r="IW53" s="547">
        <f>EG60</f>
        <v>0</v>
      </c>
      <c r="IX53" s="547">
        <f>EG61</f>
        <v>0</v>
      </c>
      <c r="IY53" s="547">
        <f>EG62</f>
        <v>0</v>
      </c>
      <c r="IZ53" s="547">
        <f>EG63</f>
        <v>0</v>
      </c>
      <c r="JA53" s="547">
        <f>EG64</f>
        <v>0</v>
      </c>
      <c r="JB53" s="547">
        <f>EG65</f>
        <v>0</v>
      </c>
      <c r="JC53" s="547">
        <f>EG66</f>
        <v>0</v>
      </c>
      <c r="JD53" s="547">
        <f>EG67</f>
        <v>0</v>
      </c>
      <c r="JE53" s="547">
        <f>EG68</f>
        <v>0</v>
      </c>
      <c r="JF53" s="547">
        <f>EG69</f>
        <v>0</v>
      </c>
      <c r="JG53" s="547">
        <f>EG70</f>
        <v>0</v>
      </c>
      <c r="JH53" s="547">
        <f>EG71</f>
        <v>0</v>
      </c>
      <c r="JI53" s="547">
        <f>EG72</f>
        <v>0</v>
      </c>
      <c r="JJ53" s="547">
        <f>EG73</f>
        <v>0</v>
      </c>
      <c r="JK53" s="547">
        <f>EG74</f>
        <v>0</v>
      </c>
      <c r="JL53" s="547">
        <f>EG75</f>
        <v>0</v>
      </c>
      <c r="JM53" s="547">
        <f>EG76</f>
        <v>0</v>
      </c>
      <c r="JN53" s="547">
        <f>EG77</f>
        <v>0</v>
      </c>
      <c r="JO53" s="547">
        <f>EG78</f>
        <v>0</v>
      </c>
      <c r="JP53" s="547">
        <f>EG79</f>
        <v>0</v>
      </c>
      <c r="JQ53" s="547">
        <f>EG80</f>
        <v>0</v>
      </c>
      <c r="JR53" s="547">
        <f>EG81</f>
        <v>0</v>
      </c>
      <c r="JS53" s="547">
        <f>EG82</f>
        <v>0</v>
      </c>
      <c r="JT53" s="547">
        <f>EG83</f>
        <v>0</v>
      </c>
      <c r="JU53" s="547" t="str">
        <f>EG84</f>
        <v/>
      </c>
      <c r="JV53" s="547" t="str">
        <f>EG85</f>
        <v/>
      </c>
      <c r="JW53" s="547" t="str">
        <f>EG86</f>
        <v/>
      </c>
      <c r="JX53" s="547" t="str">
        <f>EG87</f>
        <v/>
      </c>
      <c r="JY53" s="547" t="str">
        <f>EG88</f>
        <v/>
      </c>
      <c r="JZ53" s="547" t="str">
        <f>EG89</f>
        <v/>
      </c>
      <c r="KA53" s="547" t="str">
        <f>EG90</f>
        <v/>
      </c>
      <c r="KB53" s="547" t="str">
        <f>EG91</f>
        <v/>
      </c>
      <c r="KC53" s="547" t="str">
        <f>EG92</f>
        <v/>
      </c>
      <c r="KD53" s="547" t="str">
        <f>EG93</f>
        <v/>
      </c>
      <c r="KE53" s="142"/>
      <c r="KF53" s="142"/>
      <c r="KG53" s="142"/>
    </row>
    <row r="54" spans="13:293" s="144" customFormat="1" ht="15" customHeight="1">
      <c r="M54" s="333"/>
      <c r="N54" s="333"/>
      <c r="O54" s="333"/>
      <c r="P54" s="333"/>
      <c r="Q54" s="331"/>
      <c r="R54" s="331"/>
      <c r="S54" s="331"/>
      <c r="T54" s="331"/>
      <c r="U54" s="333"/>
      <c r="V54" s="333"/>
      <c r="W54" s="331"/>
      <c r="X54" s="331"/>
      <c r="Y54" s="331"/>
      <c r="Z54" s="331"/>
      <c r="AA54" s="331"/>
      <c r="AB54" s="331"/>
      <c r="AC54" s="331"/>
      <c r="AD54" s="331"/>
      <c r="AE54" s="331"/>
      <c r="AF54" s="331"/>
      <c r="AG54" s="331"/>
      <c r="AH54" s="331"/>
      <c r="AI54" s="331"/>
      <c r="AJ54" s="331"/>
      <c r="AK54" s="331"/>
      <c r="AL54" s="331"/>
      <c r="AM54" s="331"/>
      <c r="AN54" s="331"/>
      <c r="AO54" s="331"/>
      <c r="AP54" s="331"/>
      <c r="AQ54" s="331"/>
      <c r="AR54" s="331"/>
      <c r="AS54" s="331"/>
      <c r="AT54" s="331"/>
      <c r="AU54" s="331"/>
      <c r="AV54" s="331"/>
      <c r="AW54" s="331"/>
      <c r="AX54" s="331"/>
      <c r="AY54" s="331"/>
      <c r="AZ54" s="331"/>
      <c r="BA54" s="331"/>
      <c r="BB54" s="331"/>
      <c r="BC54" s="331"/>
      <c r="BD54" s="331"/>
      <c r="BE54" s="331"/>
      <c r="BF54" s="331"/>
      <c r="BG54" s="331"/>
      <c r="BH54" s="331"/>
      <c r="BI54" s="331"/>
      <c r="BJ54" s="331"/>
      <c r="BK54" s="331"/>
      <c r="BL54" s="331"/>
      <c r="BM54" s="331"/>
      <c r="BN54" s="331"/>
      <c r="BO54" s="331"/>
      <c r="BP54" s="331"/>
      <c r="BQ54" s="331"/>
      <c r="BR54" s="331"/>
      <c r="BS54" s="331"/>
      <c r="BT54" s="331"/>
      <c r="BU54" s="331"/>
      <c r="BV54" s="331"/>
      <c r="BW54" s="331"/>
      <c r="BX54" s="331"/>
      <c r="BY54" s="331"/>
      <c r="BZ54" s="331"/>
      <c r="CA54" s="331"/>
      <c r="CB54" s="331"/>
      <c r="CC54" s="331"/>
      <c r="CD54" s="331"/>
      <c r="CE54" s="331"/>
      <c r="CF54" s="331"/>
      <c r="CG54" s="331"/>
      <c r="CH54" s="331"/>
      <c r="CI54" s="331"/>
      <c r="CJ54" s="331"/>
      <c r="CK54" s="331"/>
      <c r="CL54" s="331"/>
      <c r="CM54" s="331"/>
      <c r="CN54" s="331"/>
      <c r="CO54" s="331"/>
      <c r="CP54" s="331"/>
      <c r="CQ54" s="331"/>
      <c r="CR54" s="331"/>
      <c r="CS54" s="331"/>
      <c r="CT54" s="331"/>
      <c r="CU54" s="331"/>
      <c r="CV54" s="331"/>
      <c r="CW54" s="331"/>
      <c r="CX54" s="331"/>
      <c r="CY54" s="331"/>
      <c r="CZ54" s="331"/>
      <c r="DA54" s="331"/>
      <c r="DB54" s="331"/>
      <c r="DC54" s="331"/>
      <c r="DD54" s="331"/>
      <c r="DE54" s="331"/>
      <c r="DF54" s="331"/>
      <c r="DG54" s="331"/>
      <c r="DH54" s="331"/>
      <c r="DI54" s="331"/>
      <c r="DJ54" s="331"/>
      <c r="DK54" s="333"/>
      <c r="DL54" s="333"/>
      <c r="DM54" s="333"/>
      <c r="DN54" s="333"/>
      <c r="DO54" s="333"/>
      <c r="DP54" s="333"/>
      <c r="DQ54" s="333"/>
      <c r="DR54" s="333"/>
      <c r="DS54" s="333"/>
      <c r="DT54" s="331"/>
      <c r="DU54" s="359"/>
      <c r="DV54" s="359"/>
      <c r="DW54" s="359"/>
      <c r="DX54" s="359"/>
      <c r="DY54" s="359"/>
      <c r="DZ54" s="359"/>
      <c r="EA54" s="359"/>
      <c r="EB54" s="359"/>
      <c r="EC54" s="769">
        <f t="shared" si="166"/>
        <v>135</v>
      </c>
      <c r="ED54" s="889">
        <f>GE59</f>
        <v>0</v>
      </c>
      <c r="EE54" s="890"/>
      <c r="EF54" s="476">
        <f>GG59</f>
        <v>0</v>
      </c>
      <c r="EG54" s="893">
        <f>GL59</f>
        <v>0</v>
      </c>
      <c r="EH54" s="893"/>
      <c r="EI54" s="506">
        <f>GQ59</f>
        <v>0</v>
      </c>
      <c r="EJ54" s="373"/>
      <c r="EK54" s="373"/>
      <c r="EL54" s="366"/>
      <c r="EM54" s="366"/>
      <c r="EN54" s="364"/>
      <c r="EO54" s="351"/>
      <c r="EP54" s="347"/>
      <c r="EQ54" s="342"/>
      <c r="ER54" s="522"/>
      <c r="ES54" s="916">
        <f>IF(ER54 = "", 0,
IF(AND(EP54 &gt; 0, EQ54 &gt;0), 0, IF(EO53 &lt;&gt; $Z$1,
IF(AND(EP54 &lt;&gt; "", EP54 &lt;&gt; 0), -(EP54 * ER54 * 100),
IF(AND(EQ54 &lt;&gt; "", EQ54 &lt;&gt; 0), (EQ54 * ER54 * 100), 0)),
IF(AND(EP54 &lt;&gt; "", EP54 &lt;&gt; 0), -(EP54 * ER54 * 1),
IF(AND(EQ54 &lt;&gt; "", EQ54 &lt;&gt; 0), (EQ54 * ER54 * 1), 0))  )))</f>
        <v>0</v>
      </c>
      <c r="ET54" s="917"/>
      <c r="EU54" s="918"/>
      <c r="EV54" s="916">
        <f>IF(ER54 = "", 0,
IF(AND(EP54 &gt; 0, EQ54 &gt;0), 0,  IF(EO53 &lt;&gt; $Z$1,
IF(AND(EP54 &lt;&gt; "", EP54 &lt;&gt; 0), -(EP54 * ER54 * 100 * (1 + COMIS_OPCION)),
IF(AND(EQ54 &lt;&gt; "", EQ54 &lt;&gt; 0), (EQ54 * ER54 * 100 * (1 - COMIS_OPCION)), 0)),
IF(AND(EP54 &lt;&gt; "", EP54 &lt;&gt; 0), -(EP54 * ER54 * 1 * (1 + COMIS_ACCION)),
IF(AND(EQ54 &lt;&gt; "", EQ54 &lt;&gt; 0), (EQ54 * ER54 * 1 * (1 - COMIS_ACCION)), 0))  )))</f>
        <v>0</v>
      </c>
      <c r="EW54" s="917"/>
      <c r="EX54" s="917"/>
      <c r="EY54" s="917"/>
      <c r="EZ54" s="917"/>
      <c r="FA54" s="917"/>
      <c r="FB54" s="917"/>
      <c r="FC54" s="917"/>
      <c r="FD54" s="925"/>
      <c r="FE54" s="340"/>
      <c r="FF54" s="340"/>
      <c r="FG54" s="364"/>
      <c r="FH54" s="364"/>
      <c r="FI54" s="339"/>
      <c r="FJ54" s="347"/>
      <c r="FK54" s="342"/>
      <c r="FL54" s="343"/>
      <c r="FM54" s="930">
        <f>IF(FL54 = "", 0,
IF(AND(FJ54 &gt; 0, FK54 &gt;0), 0,
IF(AND(FJ54 &lt;&gt; "", FJ54 &lt;&gt; 0), -(FJ54 * FL54 * 100),
IF(AND(FK54 &lt;&gt; "", FK54 &lt;&gt; 0), (FK54 * FL54 * 100), 0)) ))</f>
        <v>0</v>
      </c>
      <c r="FN54" s="931"/>
      <c r="FO54" s="932"/>
      <c r="FP54" s="930">
        <f>IF(FL54 = "", 0,
IF(AND(FJ54 &gt; 0, FK54 &gt;0), 0,
IF(AND(FJ54 &lt;&gt; "", FJ54 &lt;&gt; 0), -(FJ54 * FL54 * 100 * (1 + COMIS_OPCION)),
IF(AND(FK54 &lt;&gt; "", FK54 &lt;&gt; 0), (FK54 * FL54 * 100 * (1 - COMIS_OPCION)), 0)) ))</f>
        <v>0</v>
      </c>
      <c r="FQ54" s="931"/>
      <c r="FR54" s="931"/>
      <c r="FS54" s="931"/>
      <c r="FT54" s="931"/>
      <c r="FU54" s="931"/>
      <c r="FV54" s="931"/>
      <c r="FW54" s="931"/>
      <c r="FX54" s="933"/>
      <c r="FY54" s="341"/>
      <c r="FZ54" s="341"/>
      <c r="GA54" s="341"/>
      <c r="GB54" s="495">
        <v>0</v>
      </c>
      <c r="GC54" s="495">
        <v>0</v>
      </c>
      <c r="GD54" s="500"/>
      <c r="GE54" s="495">
        <v>0</v>
      </c>
      <c r="GF54" s="495">
        <v>0</v>
      </c>
      <c r="GG54" s="495">
        <v>0</v>
      </c>
      <c r="GH54" s="359"/>
      <c r="GI54" s="359"/>
      <c r="GJ54" s="501"/>
      <c r="GK54" s="495">
        <v>0</v>
      </c>
      <c r="GL54" s="495">
        <v>0</v>
      </c>
      <c r="GM54" s="495">
        <v>0</v>
      </c>
      <c r="GN54" s="359"/>
      <c r="GO54" s="359"/>
      <c r="GP54" s="501"/>
      <c r="GQ54" s="495">
        <v>0</v>
      </c>
      <c r="GR54" s="359"/>
      <c r="GS54" s="331"/>
      <c r="GT54" s="331"/>
      <c r="GU54" s="331"/>
      <c r="GV54" s="331"/>
      <c r="GW54" s="331"/>
      <c r="GX54" s="331"/>
      <c r="GY54" s="331"/>
      <c r="GZ54" s="331"/>
      <c r="HA54" s="331"/>
      <c r="HB54" s="331"/>
      <c r="HC54" s="331"/>
      <c r="HD54" s="331"/>
      <c r="HE54" s="331"/>
      <c r="HF54" s="331"/>
      <c r="HG54" s="331"/>
      <c r="HH54" s="331"/>
      <c r="HI54" s="331"/>
      <c r="HJ54" s="331"/>
      <c r="HK54" s="331"/>
      <c r="HL54" s="331"/>
      <c r="HM54" s="420"/>
      <c r="HN54" s="420"/>
      <c r="HO54" s="420"/>
      <c r="HP54" s="420"/>
      <c r="HQ54" s="420"/>
      <c r="HR54" s="420"/>
      <c r="HS54" s="420"/>
      <c r="HT54" s="420"/>
      <c r="HU54" s="420"/>
      <c r="HV54" s="420"/>
      <c r="HW54" s="420"/>
      <c r="HX54" s="331"/>
      <c r="HY54" s="333"/>
      <c r="HZ54" s="333"/>
      <c r="IA54" s="333"/>
      <c r="IB54" s="333"/>
      <c r="IC54" s="333"/>
      <c r="ID54" s="55"/>
      <c r="IE54" s="47"/>
      <c r="IF54" s="142"/>
      <c r="IG54" s="142"/>
      <c r="IH54" s="510" t="s">
        <v>92</v>
      </c>
      <c r="II54" s="534" t="s">
        <v>92</v>
      </c>
      <c r="IJ54" s="61"/>
      <c r="IK54" s="444" t="s">
        <v>50</v>
      </c>
      <c r="IL54" s="444"/>
      <c r="IM54" s="444"/>
      <c r="IN54" s="444" t="s">
        <v>92</v>
      </c>
      <c r="IO54" s="56"/>
      <c r="IP54" s="56">
        <v>1</v>
      </c>
      <c r="IQ54" s="56">
        <v>2</v>
      </c>
      <c r="IR54" s="56">
        <v>3</v>
      </c>
      <c r="IS54" s="56">
        <v>4</v>
      </c>
      <c r="IT54" s="56">
        <v>5</v>
      </c>
      <c r="IU54" s="56">
        <v>6</v>
      </c>
      <c r="IV54" s="56">
        <v>7</v>
      </c>
      <c r="IW54" s="56">
        <v>8</v>
      </c>
      <c r="IX54" s="56">
        <v>9</v>
      </c>
      <c r="IY54" s="56">
        <v>10</v>
      </c>
      <c r="IZ54" s="56">
        <v>11</v>
      </c>
      <c r="JA54" s="56">
        <v>12</v>
      </c>
      <c r="JB54" s="56">
        <v>13</v>
      </c>
      <c r="JC54" s="56">
        <v>14</v>
      </c>
      <c r="JD54" s="56">
        <v>15</v>
      </c>
      <c r="JE54" s="56">
        <v>16</v>
      </c>
      <c r="JF54" s="56">
        <v>17</v>
      </c>
      <c r="JG54" s="56">
        <v>18</v>
      </c>
      <c r="JH54" s="56">
        <v>19</v>
      </c>
      <c r="JI54" s="56">
        <v>20</v>
      </c>
      <c r="JJ54" s="56">
        <v>21</v>
      </c>
      <c r="JK54" s="56">
        <v>22</v>
      </c>
      <c r="JL54" s="56">
        <v>23</v>
      </c>
      <c r="JM54" s="56">
        <v>24</v>
      </c>
      <c r="JN54" s="56">
        <v>25</v>
      </c>
      <c r="JO54" s="56">
        <v>26</v>
      </c>
      <c r="JP54" s="56">
        <v>27</v>
      </c>
      <c r="JQ54" s="56">
        <v>28</v>
      </c>
      <c r="JR54" s="56">
        <v>29</v>
      </c>
      <c r="JS54" s="56">
        <v>30</v>
      </c>
      <c r="JT54" s="56">
        <v>31</v>
      </c>
      <c r="JU54" s="56">
        <v>32</v>
      </c>
      <c r="JV54" s="56">
        <v>33</v>
      </c>
      <c r="JW54" s="56">
        <v>34</v>
      </c>
      <c r="JX54" s="56">
        <v>35</v>
      </c>
      <c r="JY54" s="56">
        <v>36</v>
      </c>
      <c r="JZ54" s="56">
        <v>37</v>
      </c>
      <c r="KA54" s="56">
        <v>38</v>
      </c>
      <c r="KB54" s="56">
        <v>39</v>
      </c>
      <c r="KC54" s="56">
        <v>40</v>
      </c>
      <c r="KD54" s="56">
        <v>41</v>
      </c>
      <c r="KE54" s="142"/>
      <c r="KF54" s="142"/>
      <c r="KG54" s="142"/>
    </row>
    <row r="55" spans="13:293" s="144" customFormat="1" ht="15" customHeight="1">
      <c r="M55" s="333"/>
      <c r="N55" s="333"/>
      <c r="O55" s="333"/>
      <c r="P55" s="333"/>
      <c r="Q55" s="331"/>
      <c r="R55" s="331"/>
      <c r="S55" s="331"/>
      <c r="T55" s="331"/>
      <c r="U55" s="333"/>
      <c r="V55" s="333"/>
      <c r="W55" s="331"/>
      <c r="X55" s="331"/>
      <c r="Y55" s="331"/>
      <c r="Z55" s="331"/>
      <c r="AA55" s="331"/>
      <c r="AB55" s="331"/>
      <c r="AC55" s="331"/>
      <c r="AD55" s="331"/>
      <c r="AE55" s="331"/>
      <c r="AF55" s="331"/>
      <c r="AG55" s="331"/>
      <c r="AH55" s="331"/>
      <c r="AI55" s="331"/>
      <c r="AJ55" s="331"/>
      <c r="AK55" s="331"/>
      <c r="AL55" s="331"/>
      <c r="AM55" s="331"/>
      <c r="AN55" s="331"/>
      <c r="AO55" s="331"/>
      <c r="AP55" s="331"/>
      <c r="AQ55" s="331"/>
      <c r="AR55" s="331"/>
      <c r="AS55" s="331"/>
      <c r="AT55" s="331"/>
      <c r="AU55" s="331"/>
      <c r="AV55" s="331"/>
      <c r="AW55" s="331"/>
      <c r="AX55" s="331"/>
      <c r="AY55" s="331"/>
      <c r="AZ55" s="331"/>
      <c r="BA55" s="331"/>
      <c r="BB55" s="331"/>
      <c r="BC55" s="331"/>
      <c r="BD55" s="331"/>
      <c r="BE55" s="331"/>
      <c r="BF55" s="331"/>
      <c r="BG55" s="331"/>
      <c r="BH55" s="331"/>
      <c r="BI55" s="331"/>
      <c r="BJ55" s="331"/>
      <c r="BK55" s="331"/>
      <c r="BL55" s="331"/>
      <c r="BM55" s="331"/>
      <c r="BN55" s="331"/>
      <c r="BO55" s="331"/>
      <c r="BP55" s="331"/>
      <c r="BQ55" s="331"/>
      <c r="BR55" s="331"/>
      <c r="BS55" s="331"/>
      <c r="BT55" s="331"/>
      <c r="BU55" s="331"/>
      <c r="BV55" s="331"/>
      <c r="BW55" s="331"/>
      <c r="BX55" s="331"/>
      <c r="BY55" s="331"/>
      <c r="BZ55" s="331"/>
      <c r="CA55" s="331"/>
      <c r="CB55" s="331"/>
      <c r="CC55" s="331"/>
      <c r="CD55" s="331"/>
      <c r="CE55" s="331"/>
      <c r="CF55" s="331"/>
      <c r="CG55" s="331"/>
      <c r="CH55" s="331"/>
      <c r="CI55" s="331"/>
      <c r="CJ55" s="331"/>
      <c r="CK55" s="331"/>
      <c r="CL55" s="331"/>
      <c r="CM55" s="331"/>
      <c r="CN55" s="331"/>
      <c r="CO55" s="331"/>
      <c r="CP55" s="331"/>
      <c r="CQ55" s="331"/>
      <c r="CR55" s="331"/>
      <c r="CS55" s="331"/>
      <c r="CT55" s="331"/>
      <c r="CU55" s="331"/>
      <c r="CV55" s="331"/>
      <c r="CW55" s="331"/>
      <c r="CX55" s="331"/>
      <c r="CY55" s="331"/>
      <c r="CZ55" s="331"/>
      <c r="DA55" s="331"/>
      <c r="DB55" s="331"/>
      <c r="DC55" s="331"/>
      <c r="DD55" s="331"/>
      <c r="DE55" s="331"/>
      <c r="DF55" s="331"/>
      <c r="DG55" s="331"/>
      <c r="DH55" s="331"/>
      <c r="DI55" s="331"/>
      <c r="DJ55" s="331"/>
      <c r="DK55" s="333"/>
      <c r="DL55" s="333"/>
      <c r="DM55" s="333"/>
      <c r="DN55" s="333"/>
      <c r="DO55" s="333"/>
      <c r="DP55" s="333"/>
      <c r="DQ55" s="333"/>
      <c r="DR55" s="333"/>
      <c r="DS55" s="333"/>
      <c r="DT55" s="331"/>
      <c r="DU55" s="359"/>
      <c r="DV55" s="359"/>
      <c r="DW55" s="359"/>
      <c r="DX55" s="359"/>
      <c r="DY55" s="359"/>
      <c r="DZ55" s="359"/>
      <c r="EA55" s="359"/>
      <c r="EB55" s="359"/>
      <c r="EC55" s="769">
        <f t="shared" si="166"/>
        <v>140</v>
      </c>
      <c r="ED55" s="889">
        <f>GE65</f>
        <v>0</v>
      </c>
      <c r="EE55" s="890"/>
      <c r="EF55" s="476">
        <f>GG65</f>
        <v>0</v>
      </c>
      <c r="EG55" s="893">
        <f>GL65</f>
        <v>0</v>
      </c>
      <c r="EH55" s="893"/>
      <c r="EI55" s="506">
        <f>GQ65</f>
        <v>0</v>
      </c>
      <c r="EJ55" s="373"/>
      <c r="EK55" s="373"/>
      <c r="EL55" s="366"/>
      <c r="EM55" s="368"/>
      <c r="EN55" s="365"/>
      <c r="EO55" s="352">
        <f>+SUM(EP53:EP57) - SUM(EQ53:EQ57)</f>
        <v>0</v>
      </c>
      <c r="EP55" s="347"/>
      <c r="EQ55" s="342"/>
      <c r="ER55" s="522"/>
      <c r="ES55" s="916">
        <f>IF(ER55 = "", 0,
IF(AND(EP55 &gt; 0, EQ55 &gt;0), 0, IF(EO53 &lt;&gt; $Z$1,
IF(AND(EP55 &lt;&gt; "", EP55 &lt;&gt; 0), -(EP55 * ER55 * 100),
IF(AND(EQ55 &lt;&gt; "", EQ55 &lt;&gt; 0), (EQ55 * ER55 * 100), 0)),
IF(AND(EP55 &lt;&gt; "", EP55 &lt;&gt; 0), -(EP55 * ER55 * 1),
IF(AND(EQ55 &lt;&gt; "", EQ55 &lt;&gt; 0), (EQ55 * ER55 * 1), 0))  )))</f>
        <v>0</v>
      </c>
      <c r="ET55" s="917"/>
      <c r="EU55" s="918"/>
      <c r="EV55" s="916">
        <f>IF(ER55 = "", 0,
IF(AND(EP55 &gt; 0, EQ55 &gt;0), 0,  IF(EO53 &lt;&gt; $Z$1,
IF(AND(EP55 &lt;&gt; "", EP55 &lt;&gt; 0), -(EP55 * ER55 * 100 * (1 + COMIS_OPCION)),
IF(AND(EQ55 &lt;&gt; "", EQ55 &lt;&gt; 0), (EQ55 * ER55 * 100 * (1 - COMIS_OPCION)), 0)),
IF(AND(EP55 &lt;&gt; "", EP55 &lt;&gt; 0), -(EP55 * ER55 * 1 * (1 + COMIS_ACCION)),
IF(AND(EQ55 &lt;&gt; "", EQ55 &lt;&gt; 0), (EQ55 * ER55 * 1 * (1 - COMIS_ACCION)), 0))  )))</f>
        <v>0</v>
      </c>
      <c r="EW55" s="917"/>
      <c r="EX55" s="917"/>
      <c r="EY55" s="917"/>
      <c r="EZ55" s="917"/>
      <c r="FA55" s="917"/>
      <c r="FB55" s="917"/>
      <c r="FC55" s="917"/>
      <c r="FD55" s="925"/>
      <c r="FE55" s="340"/>
      <c r="FF55" s="340"/>
      <c r="FG55" s="365"/>
      <c r="FH55" s="365"/>
      <c r="FI55" s="354">
        <f>+SUM(FJ53:FJ57) - SUM(FK53:FK57)</f>
        <v>0</v>
      </c>
      <c r="FJ55" s="347"/>
      <c r="FK55" s="342"/>
      <c r="FL55" s="343"/>
      <c r="FM55" s="930">
        <f>IF(FL55 = "", 0,
IF(AND(FJ55 &gt; 0, FK55 &gt;0), 0,
IF(AND(FJ55 &lt;&gt; "", FJ55 &lt;&gt; 0), -(FJ55 * FL55 * 100),
IF(AND(FK55 &lt;&gt; "", FK55 &lt;&gt; 0), (FK55 * FL55 * 100), 0)) ))</f>
        <v>0</v>
      </c>
      <c r="FN55" s="931"/>
      <c r="FO55" s="932"/>
      <c r="FP55" s="930">
        <f>IF(FL55 = "", 0,
IF(AND(FJ55 &gt; 0, FK55 &gt;0), 0,
IF(AND(FJ55 &lt;&gt; "", FJ55 &lt;&gt; 0), -(FJ55 * FL55 * 100 * (1 + COMIS_OPCION)),
IF(AND(FK55 &lt;&gt; "", FK55 &lt;&gt; 0), (FK55 * FL55 * 100 * (1 - COMIS_OPCION)), 0)) ))</f>
        <v>0</v>
      </c>
      <c r="FQ55" s="931"/>
      <c r="FR55" s="931"/>
      <c r="FS55" s="931"/>
      <c r="FT55" s="931"/>
      <c r="FU55" s="931"/>
      <c r="FV55" s="931"/>
      <c r="FW55" s="931"/>
      <c r="FX55" s="933"/>
      <c r="FY55" s="341"/>
      <c r="FZ55" s="341"/>
      <c r="GA55" s="341"/>
      <c r="GB55" s="495">
        <v>0</v>
      </c>
      <c r="GC55" s="495">
        <v>0</v>
      </c>
      <c r="GD55" s="500"/>
      <c r="GE55" s="495">
        <v>0</v>
      </c>
      <c r="GF55" s="495">
        <v>0</v>
      </c>
      <c r="GG55" s="495">
        <v>0</v>
      </c>
      <c r="GH55" s="359"/>
      <c r="GI55" s="359"/>
      <c r="GJ55" s="501"/>
      <c r="GK55" s="495">
        <v>0</v>
      </c>
      <c r="GL55" s="495">
        <v>0</v>
      </c>
      <c r="GM55" s="495">
        <v>0</v>
      </c>
      <c r="GN55" s="359"/>
      <c r="GO55" s="359"/>
      <c r="GP55" s="501"/>
      <c r="GQ55" s="495">
        <v>0</v>
      </c>
      <c r="GR55" s="359"/>
      <c r="GS55" s="331"/>
      <c r="GT55" s="331"/>
      <c r="GU55" s="331"/>
      <c r="GV55" s="331"/>
      <c r="GW55" s="331"/>
      <c r="GX55" s="331"/>
      <c r="GY55" s="331"/>
      <c r="GZ55" s="331"/>
      <c r="HA55" s="331"/>
      <c r="HB55" s="331"/>
      <c r="HC55" s="331"/>
      <c r="HD55" s="331"/>
      <c r="HE55" s="331"/>
      <c r="HF55" s="331"/>
      <c r="HG55" s="331"/>
      <c r="HH55" s="331"/>
      <c r="HI55" s="331"/>
      <c r="HJ55" s="331"/>
      <c r="HK55" s="331"/>
      <c r="HL55" s="331"/>
      <c r="HM55" s="420"/>
      <c r="HN55" s="420"/>
      <c r="HO55" s="420"/>
      <c r="HP55" s="420"/>
      <c r="HQ55" s="420"/>
      <c r="HR55" s="420"/>
      <c r="HS55" s="420"/>
      <c r="HT55" s="420"/>
      <c r="HU55" s="420"/>
      <c r="HV55" s="420"/>
      <c r="HW55" s="420"/>
      <c r="HX55" s="331"/>
      <c r="HY55" s="333"/>
      <c r="HZ55" s="333"/>
      <c r="IA55" s="333"/>
      <c r="IB55" s="333"/>
      <c r="IC55" s="333"/>
      <c r="ID55" s="55"/>
      <c r="IE55" s="47"/>
      <c r="IF55" s="142"/>
      <c r="IG55" s="142"/>
      <c r="IH55" s="510" t="s">
        <v>157</v>
      </c>
      <c r="II55" s="534" t="s">
        <v>157</v>
      </c>
      <c r="IJ55" s="147" t="s">
        <v>8</v>
      </c>
      <c r="IK55" s="148" t="s">
        <v>55</v>
      </c>
      <c r="IL55" s="444" t="s">
        <v>53</v>
      </c>
      <c r="IM55" s="444" t="s">
        <v>64</v>
      </c>
      <c r="IN55" s="444" t="s">
        <v>151</v>
      </c>
      <c r="IO55" s="51" t="str">
        <f t="shared" ref="IO55:KD55" si="167">+IO6</f>
        <v>GGAL</v>
      </c>
      <c r="IP55" s="151">
        <f t="shared" si="167"/>
        <v>132</v>
      </c>
      <c r="IQ55" s="151">
        <f t="shared" si="167"/>
        <v>135</v>
      </c>
      <c r="IR55" s="151">
        <f t="shared" si="167"/>
        <v>140</v>
      </c>
      <c r="IS55" s="151">
        <f t="shared" si="167"/>
        <v>145</v>
      </c>
      <c r="IT55" s="151">
        <f t="shared" si="167"/>
        <v>150</v>
      </c>
      <c r="IU55" s="151">
        <f t="shared" si="167"/>
        <v>155</v>
      </c>
      <c r="IV55" s="151">
        <f t="shared" si="167"/>
        <v>160</v>
      </c>
      <c r="IW55" s="151">
        <f t="shared" si="167"/>
        <v>165</v>
      </c>
      <c r="IX55" s="151">
        <f t="shared" si="167"/>
        <v>170</v>
      </c>
      <c r="IY55" s="151">
        <f t="shared" si="167"/>
        <v>175</v>
      </c>
      <c r="IZ55" s="151">
        <f t="shared" si="167"/>
        <v>180</v>
      </c>
      <c r="JA55" s="151">
        <f t="shared" si="167"/>
        <v>185</v>
      </c>
      <c r="JB55" s="151">
        <f t="shared" si="167"/>
        <v>190</v>
      </c>
      <c r="JC55" s="151">
        <f t="shared" si="167"/>
        <v>195</v>
      </c>
      <c r="JD55" s="151">
        <f t="shared" si="167"/>
        <v>200</v>
      </c>
      <c r="JE55" s="151">
        <f t="shared" si="167"/>
        <v>210</v>
      </c>
      <c r="JF55" s="151">
        <f t="shared" si="167"/>
        <v>220</v>
      </c>
      <c r="JG55" s="151">
        <f t="shared" si="167"/>
        <v>230</v>
      </c>
      <c r="JH55" s="151">
        <f t="shared" si="167"/>
        <v>240</v>
      </c>
      <c r="JI55" s="151">
        <f t="shared" si="167"/>
        <v>250</v>
      </c>
      <c r="JJ55" s="151">
        <f t="shared" si="167"/>
        <v>260</v>
      </c>
      <c r="JK55" s="151">
        <f t="shared" si="167"/>
        <v>270</v>
      </c>
      <c r="JL55" s="151">
        <f t="shared" si="167"/>
        <v>280</v>
      </c>
      <c r="JM55" s="151">
        <f t="shared" si="167"/>
        <v>290</v>
      </c>
      <c r="JN55" s="151">
        <f t="shared" si="167"/>
        <v>300</v>
      </c>
      <c r="JO55" s="151">
        <f t="shared" si="167"/>
        <v>310</v>
      </c>
      <c r="JP55" s="151">
        <f t="shared" si="167"/>
        <v>320</v>
      </c>
      <c r="JQ55" s="151">
        <f t="shared" si="167"/>
        <v>330</v>
      </c>
      <c r="JR55" s="151">
        <f t="shared" si="167"/>
        <v>340</v>
      </c>
      <c r="JS55" s="151">
        <f t="shared" si="167"/>
        <v>350</v>
      </c>
      <c r="JT55" s="151">
        <f t="shared" si="167"/>
        <v>360</v>
      </c>
      <c r="JU55" s="151" t="str">
        <f t="shared" si="167"/>
        <v/>
      </c>
      <c r="JV55" s="151" t="str">
        <f t="shared" si="167"/>
        <v/>
      </c>
      <c r="JW55" s="151" t="str">
        <f t="shared" si="167"/>
        <v/>
      </c>
      <c r="JX55" s="151" t="str">
        <f t="shared" si="167"/>
        <v/>
      </c>
      <c r="JY55" s="151" t="str">
        <f t="shared" si="167"/>
        <v/>
      </c>
      <c r="JZ55" s="151" t="str">
        <f t="shared" si="167"/>
        <v/>
      </c>
      <c r="KA55" s="151" t="str">
        <f t="shared" si="167"/>
        <v/>
      </c>
      <c r="KB55" s="151" t="str">
        <f t="shared" si="167"/>
        <v/>
      </c>
      <c r="KC55" s="151" t="str">
        <f t="shared" si="167"/>
        <v/>
      </c>
      <c r="KD55" s="151" t="str">
        <f t="shared" si="167"/>
        <v/>
      </c>
      <c r="KE55" s="142"/>
      <c r="KF55" s="142"/>
      <c r="KG55" s="142"/>
    </row>
    <row r="56" spans="13:293" s="144" customFormat="1" ht="15" customHeight="1">
      <c r="M56" s="333"/>
      <c r="N56" s="333"/>
      <c r="O56" s="333"/>
      <c r="P56" s="333"/>
      <c r="Q56" s="331"/>
      <c r="R56" s="331"/>
      <c r="S56" s="331"/>
      <c r="T56" s="331"/>
      <c r="U56" s="333"/>
      <c r="V56" s="333"/>
      <c r="W56" s="331"/>
      <c r="X56" s="331"/>
      <c r="Y56" s="331"/>
      <c r="Z56" s="331"/>
      <c r="AA56" s="331"/>
      <c r="AB56" s="331"/>
      <c r="AC56" s="331"/>
      <c r="AD56" s="331"/>
      <c r="AE56" s="331"/>
      <c r="AF56" s="331"/>
      <c r="AG56" s="331"/>
      <c r="AH56" s="331"/>
      <c r="AI56" s="331"/>
      <c r="AJ56" s="331"/>
      <c r="AK56" s="331"/>
      <c r="AL56" s="331"/>
      <c r="AM56" s="331"/>
      <c r="AN56" s="331"/>
      <c r="AO56" s="331"/>
      <c r="AP56" s="331"/>
      <c r="AQ56" s="331"/>
      <c r="AR56" s="331"/>
      <c r="AS56" s="331"/>
      <c r="AT56" s="331"/>
      <c r="AU56" s="331"/>
      <c r="AV56" s="331"/>
      <c r="AW56" s="331"/>
      <c r="AX56" s="331"/>
      <c r="AY56" s="331"/>
      <c r="AZ56" s="331"/>
      <c r="BA56" s="331"/>
      <c r="BB56" s="331"/>
      <c r="BC56" s="331"/>
      <c r="BD56" s="331"/>
      <c r="BE56" s="331"/>
      <c r="BF56" s="331"/>
      <c r="BG56" s="331"/>
      <c r="BH56" s="331"/>
      <c r="BI56" s="331"/>
      <c r="BJ56" s="331"/>
      <c r="BK56" s="331"/>
      <c r="BL56" s="331"/>
      <c r="BM56" s="331"/>
      <c r="BN56" s="331"/>
      <c r="BO56" s="331"/>
      <c r="BP56" s="331"/>
      <c r="BQ56" s="331"/>
      <c r="BR56" s="331"/>
      <c r="BS56" s="331"/>
      <c r="BT56" s="331"/>
      <c r="BU56" s="331"/>
      <c r="BV56" s="331"/>
      <c r="BW56" s="331"/>
      <c r="BX56" s="331"/>
      <c r="BY56" s="331"/>
      <c r="BZ56" s="331"/>
      <c r="CA56" s="331"/>
      <c r="CB56" s="331"/>
      <c r="CC56" s="331"/>
      <c r="CD56" s="331"/>
      <c r="CE56" s="331"/>
      <c r="CF56" s="331"/>
      <c r="CG56" s="331"/>
      <c r="CH56" s="331"/>
      <c r="CI56" s="331"/>
      <c r="CJ56" s="331"/>
      <c r="CK56" s="331"/>
      <c r="CL56" s="331"/>
      <c r="CM56" s="331"/>
      <c r="CN56" s="331"/>
      <c r="CO56" s="331"/>
      <c r="CP56" s="331"/>
      <c r="CQ56" s="331"/>
      <c r="CR56" s="331"/>
      <c r="CS56" s="331"/>
      <c r="CT56" s="331"/>
      <c r="CU56" s="331"/>
      <c r="CV56" s="331"/>
      <c r="CW56" s="331"/>
      <c r="CX56" s="331"/>
      <c r="CY56" s="331"/>
      <c r="CZ56" s="331"/>
      <c r="DA56" s="331"/>
      <c r="DB56" s="331"/>
      <c r="DC56" s="331"/>
      <c r="DD56" s="331"/>
      <c r="DE56" s="331"/>
      <c r="DF56" s="331"/>
      <c r="DG56" s="331"/>
      <c r="DH56" s="331"/>
      <c r="DI56" s="331"/>
      <c r="DJ56" s="331"/>
      <c r="DK56" s="333"/>
      <c r="DL56" s="333"/>
      <c r="DM56" s="333"/>
      <c r="DN56" s="333"/>
      <c r="DO56" s="333"/>
      <c r="DP56" s="333"/>
      <c r="DQ56" s="333"/>
      <c r="DR56" s="333"/>
      <c r="DS56" s="333"/>
      <c r="DT56" s="331"/>
      <c r="DU56" s="359"/>
      <c r="DV56" s="359"/>
      <c r="DW56" s="359"/>
      <c r="DX56" s="359"/>
      <c r="DY56" s="359"/>
      <c r="DZ56" s="359"/>
      <c r="EA56" s="359"/>
      <c r="EB56" s="359"/>
      <c r="EC56" s="769">
        <f t="shared" si="166"/>
        <v>145</v>
      </c>
      <c r="ED56" s="889">
        <f>GE71</f>
        <v>0</v>
      </c>
      <c r="EE56" s="890"/>
      <c r="EF56" s="476">
        <f>GG71</f>
        <v>0</v>
      </c>
      <c r="EG56" s="893">
        <f>GL71</f>
        <v>0</v>
      </c>
      <c r="EH56" s="893"/>
      <c r="EI56" s="506">
        <f>GQ71</f>
        <v>0</v>
      </c>
      <c r="EJ56" s="373"/>
      <c r="EK56" s="373"/>
      <c r="EL56" s="366"/>
      <c r="EM56" s="368"/>
      <c r="EN56" s="365"/>
      <c r="EO56" s="352">
        <f>IF(EO55=0, 0, SUM(EV53:FD57))</f>
        <v>0</v>
      </c>
      <c r="EP56" s="347"/>
      <c r="EQ56" s="342"/>
      <c r="ER56" s="522"/>
      <c r="ES56" s="916">
        <f>IF(ER56 = "", 0,
IF(AND(EP56 &gt; 0, EQ56 &gt;0), 0, IF(EO53 &lt;&gt; $Z$1,
IF(AND(EP56 &lt;&gt; "", EP56 &lt;&gt; 0), -(EP56 * ER56 * 100),
IF(AND(EQ56 &lt;&gt; "", EQ56 &lt;&gt; 0), (EQ56 * ER56 * 100), 0)),
IF(AND(EP56 &lt;&gt; "", EP56 &lt;&gt; 0), -(EP56 * ER56 * 1),
IF(AND(EQ56 &lt;&gt; "", EQ56 &lt;&gt; 0), (EQ56 * ER56 * 1), 0))  )))</f>
        <v>0</v>
      </c>
      <c r="ET56" s="917"/>
      <c r="EU56" s="918"/>
      <c r="EV56" s="916">
        <f>IF(ER56 = "", 0,
IF(AND(EP56 &gt; 0, EQ56 &gt;0), 0,  IF(EO53 &lt;&gt; $Z$1,
IF(AND(EP56 &lt;&gt; "", EP56 &lt;&gt; 0), -(EP56 * ER56 * 100 * (1 + COMIS_OPCION)),
IF(AND(EQ56 &lt;&gt; "", EQ56 &lt;&gt; 0), (EQ56 * ER56 * 100 * (1 - COMIS_OPCION)), 0)),
IF(AND(EP56 &lt;&gt; "", EP56 &lt;&gt; 0), -(EP56 * ER56 * 1 * (1 + COMIS_ACCION)),
IF(AND(EQ56 &lt;&gt; "", EQ56 &lt;&gt; 0), (EQ56 * ER56 * 1 * (1 - COMIS_ACCION)), 0))  )))</f>
        <v>0</v>
      </c>
      <c r="EW56" s="917"/>
      <c r="EX56" s="917"/>
      <c r="EY56" s="917"/>
      <c r="EZ56" s="917"/>
      <c r="FA56" s="917"/>
      <c r="FB56" s="917"/>
      <c r="FC56" s="917"/>
      <c r="FD56" s="925"/>
      <c r="FE56" s="340"/>
      <c r="FF56" s="340"/>
      <c r="FG56" s="365"/>
      <c r="FH56" s="365"/>
      <c r="FI56" s="354">
        <f>IF(FI55=0, 0, SUM(FP53:FX57))</f>
        <v>0</v>
      </c>
      <c r="FJ56" s="347"/>
      <c r="FK56" s="342"/>
      <c r="FL56" s="343"/>
      <c r="FM56" s="930">
        <f>IF(FL56 = "", 0,
IF(AND(FJ56 &gt; 0, FK56 &gt;0), 0,
IF(AND(FJ56 &lt;&gt; "", FJ56 &lt;&gt; 0), -(FJ56 * FL56 * 100),
IF(AND(FK56 &lt;&gt; "", FK56 &lt;&gt; 0), (FK56 * FL56 * 100), 0)) ))</f>
        <v>0</v>
      </c>
      <c r="FN56" s="931"/>
      <c r="FO56" s="932"/>
      <c r="FP56" s="930">
        <f>IF(FL56 = "", 0,
IF(AND(FJ56 &gt; 0, FK56 &gt;0), 0,
IF(AND(FJ56 &lt;&gt; "", FJ56 &lt;&gt; 0), -(FJ56 * FL56 * 100 * (1 + COMIS_OPCION)),
IF(AND(FK56 &lt;&gt; "", FK56 &lt;&gt; 0), (FK56 * FL56 * 100 * (1 - COMIS_OPCION)), 0)) ))</f>
        <v>0</v>
      </c>
      <c r="FQ56" s="931"/>
      <c r="FR56" s="931"/>
      <c r="FS56" s="931"/>
      <c r="FT56" s="931"/>
      <c r="FU56" s="931"/>
      <c r="FV56" s="931"/>
      <c r="FW56" s="931"/>
      <c r="FX56" s="933"/>
      <c r="FY56" s="341"/>
      <c r="FZ56" s="341"/>
      <c r="GA56" s="341"/>
      <c r="GB56" s="495">
        <v>0</v>
      </c>
      <c r="GC56" s="495">
        <v>0</v>
      </c>
      <c r="GD56" s="500"/>
      <c r="GE56" s="495">
        <v>0</v>
      </c>
      <c r="GF56" s="495">
        <v>0</v>
      </c>
      <c r="GG56" s="495">
        <v>0</v>
      </c>
      <c r="GH56" s="359"/>
      <c r="GI56" s="359"/>
      <c r="GJ56" s="501"/>
      <c r="GK56" s="495">
        <v>0</v>
      </c>
      <c r="GL56" s="495">
        <v>0</v>
      </c>
      <c r="GM56" s="495">
        <v>0</v>
      </c>
      <c r="GN56" s="359"/>
      <c r="GO56" s="359"/>
      <c r="GP56" s="501"/>
      <c r="GQ56" s="495">
        <v>0</v>
      </c>
      <c r="GR56" s="359"/>
      <c r="GS56" s="331"/>
      <c r="GT56" s="331"/>
      <c r="GU56" s="331"/>
      <c r="GV56" s="331"/>
      <c r="GW56" s="331"/>
      <c r="GX56" s="331"/>
      <c r="GY56" s="331"/>
      <c r="GZ56" s="331"/>
      <c r="HA56" s="331"/>
      <c r="HB56" s="331"/>
      <c r="HC56" s="331"/>
      <c r="HD56" s="331"/>
      <c r="HE56" s="331"/>
      <c r="HF56" s="331"/>
      <c r="HG56" s="331"/>
      <c r="HH56" s="331"/>
      <c r="HI56" s="331"/>
      <c r="HJ56" s="331"/>
      <c r="HK56" s="331"/>
      <c r="HL56" s="331"/>
      <c r="HM56" s="420"/>
      <c r="HN56" s="420"/>
      <c r="HO56" s="420"/>
      <c r="HP56" s="420"/>
      <c r="HQ56" s="420"/>
      <c r="HR56" s="420"/>
      <c r="HS56" s="420"/>
      <c r="HT56" s="420"/>
      <c r="HU56" s="420"/>
      <c r="HV56" s="420"/>
      <c r="HW56" s="420"/>
      <c r="HX56" s="331"/>
      <c r="HY56" s="333"/>
      <c r="HZ56" s="333"/>
      <c r="IA56" s="333"/>
      <c r="IB56" s="333"/>
      <c r="IC56" s="333"/>
      <c r="ID56" s="55"/>
      <c r="IE56" s="47"/>
      <c r="IF56" s="142"/>
      <c r="IG56" s="142"/>
      <c r="IH56" s="111">
        <f>+IF(IL56 = "", "", IF($CL$49 = FALSE, 0, IN56))</f>
        <v>0</v>
      </c>
      <c r="II56" s="111">
        <f t="shared" ref="II56:II96" si="168">+IF(IL56 = "", "", IF($II$51 = FALSE, 0, IN56))</f>
        <v>0</v>
      </c>
      <c r="IJ56" s="146">
        <v>1</v>
      </c>
      <c r="IK56" s="151">
        <f t="shared" ref="IK56:IM75" si="169">+IF(IK7 = "", "", IK7)</f>
        <v>132</v>
      </c>
      <c r="IL56" s="106">
        <f t="shared" si="169"/>
        <v>-0.37037920343429531</v>
      </c>
      <c r="IM56" s="110">
        <f t="shared" si="169"/>
        <v>132</v>
      </c>
      <c r="IN56" s="111">
        <f t="shared" ref="IN56:IN96" si="170">+IF(IL56 = "", "", SUM(IO56:KD56) + $CP$6 - $CP$6 + totalNetoPrueba)</f>
        <v>0</v>
      </c>
      <c r="IO56" s="50">
        <f t="shared" ref="IO56:IX65" si="171" xml:space="preserve"> IF(OR($IL56 = "", IO$6 = ""), "", IF(IO$6 &lt;&gt; $Z$1,
IF($IM56 &gt; IO$6, IO$52 * 100 * ($IM56 - IO$6), 0) +
IF($IM56 &lt; IO$6, IO$53 * 100 * (IO$6 - $IM56), 0),
$IM56 * IO$52))</f>
        <v>0</v>
      </c>
      <c r="IP56" s="50">
        <f t="shared" si="171"/>
        <v>0</v>
      </c>
      <c r="IQ56" s="50">
        <f t="shared" si="171"/>
        <v>0</v>
      </c>
      <c r="IR56" s="50">
        <f t="shared" si="171"/>
        <v>0</v>
      </c>
      <c r="IS56" s="50">
        <f t="shared" si="171"/>
        <v>0</v>
      </c>
      <c r="IT56" s="50">
        <f t="shared" si="171"/>
        <v>0</v>
      </c>
      <c r="IU56" s="50">
        <f t="shared" si="171"/>
        <v>0</v>
      </c>
      <c r="IV56" s="50">
        <f t="shared" si="171"/>
        <v>0</v>
      </c>
      <c r="IW56" s="50">
        <f t="shared" si="171"/>
        <v>0</v>
      </c>
      <c r="IX56" s="50">
        <f t="shared" si="171"/>
        <v>0</v>
      </c>
      <c r="IY56" s="50">
        <f t="shared" ref="IY56:JH65" si="172" xml:space="preserve"> IF(OR($IL56 = "", IY$6 = ""), "", IF(IY$6 &lt;&gt; $Z$1,
IF($IM56 &gt; IY$6, IY$52 * 100 * ($IM56 - IY$6), 0) +
IF($IM56 &lt; IY$6, IY$53 * 100 * (IY$6 - $IM56), 0),
$IM56 * IY$52))</f>
        <v>0</v>
      </c>
      <c r="IZ56" s="50">
        <f t="shared" si="172"/>
        <v>0</v>
      </c>
      <c r="JA56" s="50">
        <f t="shared" si="172"/>
        <v>0</v>
      </c>
      <c r="JB56" s="50">
        <f t="shared" si="172"/>
        <v>0</v>
      </c>
      <c r="JC56" s="50">
        <f t="shared" si="172"/>
        <v>0</v>
      </c>
      <c r="JD56" s="50">
        <f t="shared" si="172"/>
        <v>0</v>
      </c>
      <c r="JE56" s="50">
        <f t="shared" si="172"/>
        <v>0</v>
      </c>
      <c r="JF56" s="50">
        <f t="shared" si="172"/>
        <v>0</v>
      </c>
      <c r="JG56" s="50">
        <f t="shared" si="172"/>
        <v>0</v>
      </c>
      <c r="JH56" s="50">
        <f t="shared" si="172"/>
        <v>0</v>
      </c>
      <c r="JI56" s="50">
        <f t="shared" ref="JI56:JR65" si="173" xml:space="preserve"> IF(OR($IL56 = "", JI$6 = ""), "", IF(JI$6 &lt;&gt; $Z$1,
IF($IM56 &gt; JI$6, JI$52 * 100 * ($IM56 - JI$6), 0) +
IF($IM56 &lt; JI$6, JI$53 * 100 * (JI$6 - $IM56), 0),
$IM56 * JI$52))</f>
        <v>0</v>
      </c>
      <c r="JJ56" s="50">
        <f t="shared" si="173"/>
        <v>0</v>
      </c>
      <c r="JK56" s="50">
        <f t="shared" si="173"/>
        <v>0</v>
      </c>
      <c r="JL56" s="50">
        <f t="shared" si="173"/>
        <v>0</v>
      </c>
      <c r="JM56" s="50">
        <f t="shared" si="173"/>
        <v>0</v>
      </c>
      <c r="JN56" s="50">
        <f t="shared" si="173"/>
        <v>0</v>
      </c>
      <c r="JO56" s="50">
        <f t="shared" si="173"/>
        <v>0</v>
      </c>
      <c r="JP56" s="50">
        <f t="shared" si="173"/>
        <v>0</v>
      </c>
      <c r="JQ56" s="50">
        <f t="shared" si="173"/>
        <v>0</v>
      </c>
      <c r="JR56" s="50">
        <f t="shared" si="173"/>
        <v>0</v>
      </c>
      <c r="JS56" s="50">
        <f t="shared" ref="JS56:KD65" si="174" xml:space="preserve"> IF(OR($IL56 = "", JS$6 = ""), "", IF(JS$6 &lt;&gt; $Z$1,
IF($IM56 &gt; JS$6, JS$52 * 100 * ($IM56 - JS$6), 0) +
IF($IM56 &lt; JS$6, JS$53 * 100 * (JS$6 - $IM56), 0),
$IM56 * JS$52))</f>
        <v>0</v>
      </c>
      <c r="JT56" s="50">
        <f t="shared" si="174"/>
        <v>0</v>
      </c>
      <c r="JU56" s="50" t="str">
        <f t="shared" si="174"/>
        <v/>
      </c>
      <c r="JV56" s="50" t="str">
        <f t="shared" si="174"/>
        <v/>
      </c>
      <c r="JW56" s="50" t="str">
        <f t="shared" si="174"/>
        <v/>
      </c>
      <c r="JX56" s="50" t="str">
        <f t="shared" si="174"/>
        <v/>
      </c>
      <c r="JY56" s="50" t="str">
        <f t="shared" si="174"/>
        <v/>
      </c>
      <c r="JZ56" s="50" t="str">
        <f t="shared" si="174"/>
        <v/>
      </c>
      <c r="KA56" s="50" t="str">
        <f t="shared" si="174"/>
        <v/>
      </c>
      <c r="KB56" s="50" t="str">
        <f t="shared" si="174"/>
        <v/>
      </c>
      <c r="KC56" s="50" t="str">
        <f t="shared" si="174"/>
        <v/>
      </c>
      <c r="KD56" s="50" t="str">
        <f t="shared" si="174"/>
        <v/>
      </c>
      <c r="KE56" s="142"/>
      <c r="KF56" s="142"/>
      <c r="KG56" s="142"/>
    </row>
    <row r="57" spans="13:293" s="144" customFormat="1" ht="15" customHeight="1" thickBot="1">
      <c r="M57" s="333"/>
      <c r="N57" s="333"/>
      <c r="O57" s="333"/>
      <c r="P57" s="333"/>
      <c r="Q57" s="331"/>
      <c r="R57" s="331"/>
      <c r="S57" s="331"/>
      <c r="T57" s="331"/>
      <c r="U57" s="333"/>
      <c r="V57" s="333"/>
      <c r="W57" s="331"/>
      <c r="X57" s="331"/>
      <c r="Y57" s="331"/>
      <c r="Z57" s="331"/>
      <c r="AA57" s="331"/>
      <c r="AB57" s="331"/>
      <c r="AC57" s="331"/>
      <c r="AD57" s="331"/>
      <c r="AE57" s="331"/>
      <c r="AF57" s="331"/>
      <c r="AG57" s="331"/>
      <c r="AH57" s="331"/>
      <c r="AI57" s="331"/>
      <c r="AJ57" s="331"/>
      <c r="AK57" s="331"/>
      <c r="AL57" s="331"/>
      <c r="AM57" s="331"/>
      <c r="AN57" s="331"/>
      <c r="AO57" s="331"/>
      <c r="AP57" s="331"/>
      <c r="AQ57" s="331"/>
      <c r="AR57" s="331"/>
      <c r="AS57" s="331"/>
      <c r="AT57" s="331"/>
      <c r="AU57" s="331"/>
      <c r="AV57" s="331"/>
      <c r="AW57" s="331"/>
      <c r="AX57" s="331"/>
      <c r="AY57" s="331"/>
      <c r="AZ57" s="331"/>
      <c r="BA57" s="331"/>
      <c r="BB57" s="331"/>
      <c r="BC57" s="331"/>
      <c r="BD57" s="331"/>
      <c r="BE57" s="331"/>
      <c r="BF57" s="331"/>
      <c r="BG57" s="331"/>
      <c r="BH57" s="331"/>
      <c r="BI57" s="331"/>
      <c r="BJ57" s="331"/>
      <c r="BK57" s="331"/>
      <c r="BL57" s="331"/>
      <c r="BM57" s="331"/>
      <c r="BN57" s="331"/>
      <c r="BO57" s="331"/>
      <c r="BP57" s="331"/>
      <c r="BQ57" s="331"/>
      <c r="BR57" s="331"/>
      <c r="BS57" s="331"/>
      <c r="BT57" s="331"/>
      <c r="BU57" s="331"/>
      <c r="BV57" s="331"/>
      <c r="BW57" s="331"/>
      <c r="BX57" s="331"/>
      <c r="BY57" s="331"/>
      <c r="BZ57" s="331"/>
      <c r="CA57" s="331"/>
      <c r="CB57" s="331"/>
      <c r="CC57" s="331"/>
      <c r="CD57" s="331"/>
      <c r="CE57" s="331"/>
      <c r="CF57" s="331"/>
      <c r="CG57" s="331"/>
      <c r="CH57" s="331"/>
      <c r="CI57" s="331"/>
      <c r="CJ57" s="331"/>
      <c r="CK57" s="331"/>
      <c r="CL57" s="331"/>
      <c r="CM57" s="331"/>
      <c r="CN57" s="331"/>
      <c r="CO57" s="331"/>
      <c r="CP57" s="331"/>
      <c r="CQ57" s="331"/>
      <c r="CR57" s="331"/>
      <c r="CS57" s="331"/>
      <c r="CT57" s="331"/>
      <c r="CU57" s="331"/>
      <c r="CV57" s="331"/>
      <c r="CW57" s="331"/>
      <c r="CX57" s="331"/>
      <c r="CY57" s="331"/>
      <c r="CZ57" s="331"/>
      <c r="DA57" s="331"/>
      <c r="DB57" s="331"/>
      <c r="DC57" s="331"/>
      <c r="DD57" s="331"/>
      <c r="DE57" s="331"/>
      <c r="DF57" s="331"/>
      <c r="DG57" s="331"/>
      <c r="DH57" s="331"/>
      <c r="DI57" s="331"/>
      <c r="DJ57" s="331"/>
      <c r="DK57" s="333"/>
      <c r="DL57" s="333"/>
      <c r="DM57" s="333"/>
      <c r="DN57" s="333"/>
      <c r="DO57" s="333"/>
      <c r="DP57" s="333"/>
      <c r="DQ57" s="333"/>
      <c r="DR57" s="333"/>
      <c r="DS57" s="333"/>
      <c r="DT57" s="331"/>
      <c r="DU57" s="359"/>
      <c r="DV57" s="359"/>
      <c r="DW57" s="359"/>
      <c r="DX57" s="359"/>
      <c r="DY57" s="359"/>
      <c r="DZ57" s="359"/>
      <c r="EA57" s="359"/>
      <c r="EB57" s="359"/>
      <c r="EC57" s="769">
        <f t="shared" si="166"/>
        <v>150</v>
      </c>
      <c r="ED57" s="889">
        <f>GE77</f>
        <v>0</v>
      </c>
      <c r="EE57" s="890"/>
      <c r="EF57" s="476">
        <f>GG77</f>
        <v>0</v>
      </c>
      <c r="EG57" s="893">
        <f>GL77</f>
        <v>0</v>
      </c>
      <c r="EH57" s="893"/>
      <c r="EI57" s="506">
        <f>GQ77</f>
        <v>0</v>
      </c>
      <c r="EJ57" s="373"/>
      <c r="EK57" s="373"/>
      <c r="EL57" s="366"/>
      <c r="EM57" s="368"/>
      <c r="EN57" s="365"/>
      <c r="EO57" s="353">
        <f>+IF(EO55= 0, 0, GG53)</f>
        <v>0</v>
      </c>
      <c r="EP57" s="350"/>
      <c r="EQ57" s="344"/>
      <c r="ER57" s="523"/>
      <c r="ES57" s="921">
        <f>IF(ER57 = "", 0,
IF(AND(EP57 &gt; 0, EQ57 &gt;0), 0, IF(EO53 &lt;&gt; $Z$1,
IF(AND(EP57 &lt;&gt; "", EP57 &lt;&gt; 0), -(EP57 * ER57 * 100),
IF(AND(EQ57 &lt;&gt; "", EQ57 &lt;&gt; 0), (EQ57 * ER57 * 100), 0)),
IF(AND(EP57 &lt;&gt; "", EP57 &lt;&gt; 0), -(EP57 * ER57 * 1),
IF(AND(EQ57 &lt;&gt; "", EQ57 &lt;&gt; 0), (EQ57 * ER57 * 1), 0))  )))</f>
        <v>0</v>
      </c>
      <c r="ET57" s="922"/>
      <c r="EU57" s="924"/>
      <c r="EV57" s="921">
        <f>IF(ER57 = "", 0,
IF(AND(EP57 &gt; 0, EQ57 &gt;0), 0,  IF(EO53 &lt;&gt; $Z$1,
IF(AND(EP57 &lt;&gt; "", EP57 &lt;&gt; 0), -(EP57 * ER57 * 100 * (1 + COMIS_OPCION)),
IF(AND(EQ57 &lt;&gt; "", EQ57 &lt;&gt; 0), (EQ57 * ER57 * 100 * (1 - COMIS_OPCION)), 0)),
IF(AND(EP57 &lt;&gt; "", EP57 &lt;&gt; 0), -(EP57 * ER57 * 1 * (1 + COMIS_ACCION)),
IF(AND(EQ57 &lt;&gt; "", EQ57 &lt;&gt; 0), (EQ57 * ER57 * 1 * (1 - COMIS_ACCION)), 0))  )))</f>
        <v>0</v>
      </c>
      <c r="EW57" s="922"/>
      <c r="EX57" s="922"/>
      <c r="EY57" s="922"/>
      <c r="EZ57" s="922"/>
      <c r="FA57" s="922"/>
      <c r="FB57" s="922"/>
      <c r="FC57" s="922"/>
      <c r="FD57" s="923"/>
      <c r="FE57" s="340"/>
      <c r="FF57" s="340"/>
      <c r="FG57" s="365"/>
      <c r="FH57" s="365"/>
      <c r="FI57" s="349">
        <f>+IF(FI55= 0, 0, GQ53)</f>
        <v>0</v>
      </c>
      <c r="FJ57" s="348"/>
      <c r="FK57" s="345"/>
      <c r="FL57" s="346"/>
      <c r="FM57" s="937">
        <f>IF(FL57 = "", 0,
IF(AND(FJ57 &gt; 0, FK57 &gt;0), 0,
IF(AND(FJ57 &lt;&gt; "", FJ57 &lt;&gt; 0), -(FJ57 * FL57 * 100),
IF(AND(FK57 &lt;&gt; "", FK57 &lt;&gt; 0), (FK57 * FL57 * 100), 0)) ))</f>
        <v>0</v>
      </c>
      <c r="FN57" s="938"/>
      <c r="FO57" s="939"/>
      <c r="FP57" s="937">
        <f>IF(FL57 = "", 0,
IF(AND(FJ57 &gt; 0, FK57 &gt;0), 0,
IF(AND(FJ57 &lt;&gt; "", FJ57 &lt;&gt; 0), -(FJ57 * FL57 * 100 * (1 + COMIS_OPCION)),
IF(AND(FK57 &lt;&gt; "", FK57 &lt;&gt; 0), (FK57 * FL57 * 100 * (1 - COMIS_OPCION)), 0)) ))</f>
        <v>0</v>
      </c>
      <c r="FQ57" s="938"/>
      <c r="FR57" s="938"/>
      <c r="FS57" s="938"/>
      <c r="FT57" s="938"/>
      <c r="FU57" s="938"/>
      <c r="FV57" s="938"/>
      <c r="FW57" s="938"/>
      <c r="FX57" s="969"/>
      <c r="FY57" s="341"/>
      <c r="FZ57" s="341"/>
      <c r="GA57" s="341"/>
      <c r="GB57" s="495">
        <v>0</v>
      </c>
      <c r="GC57" s="495">
        <v>0</v>
      </c>
      <c r="GD57" s="500"/>
      <c r="GE57" s="495">
        <v>0</v>
      </c>
      <c r="GF57" s="495">
        <v>0</v>
      </c>
      <c r="GG57" s="495">
        <v>0</v>
      </c>
      <c r="GH57" s="359"/>
      <c r="GI57" s="359"/>
      <c r="GJ57" s="501"/>
      <c r="GK57" s="495">
        <v>0</v>
      </c>
      <c r="GL57" s="495">
        <v>0</v>
      </c>
      <c r="GM57" s="495">
        <v>0</v>
      </c>
      <c r="GN57" s="359"/>
      <c r="GO57" s="359"/>
      <c r="GP57" s="501"/>
      <c r="GQ57" s="495">
        <v>0</v>
      </c>
      <c r="GR57" s="359"/>
      <c r="GS57" s="331"/>
      <c r="GT57" s="331"/>
      <c r="GU57" s="331"/>
      <c r="GV57" s="331"/>
      <c r="GW57" s="331"/>
      <c r="GX57" s="331"/>
      <c r="GY57" s="331"/>
      <c r="GZ57" s="331"/>
      <c r="HA57" s="331"/>
      <c r="HB57" s="331"/>
      <c r="HC57" s="331"/>
      <c r="HD57" s="331"/>
      <c r="HE57" s="331"/>
      <c r="HF57" s="331"/>
      <c r="HG57" s="331"/>
      <c r="HH57" s="331"/>
      <c r="HI57" s="331"/>
      <c r="HJ57" s="331"/>
      <c r="HK57" s="331"/>
      <c r="HL57" s="331"/>
      <c r="HM57" s="420"/>
      <c r="HN57" s="420"/>
      <c r="HO57" s="420"/>
      <c r="HP57" s="420"/>
      <c r="HQ57" s="420"/>
      <c r="HR57" s="420"/>
      <c r="HS57" s="420"/>
      <c r="HT57" s="420"/>
      <c r="HU57" s="420"/>
      <c r="HV57" s="420"/>
      <c r="HW57" s="420"/>
      <c r="HX57" s="331"/>
      <c r="HY57" s="333"/>
      <c r="HZ57" s="333"/>
      <c r="IA57" s="333"/>
      <c r="IB57" s="333"/>
      <c r="IC57" s="333"/>
      <c r="ID57" s="55"/>
      <c r="IE57" s="47"/>
      <c r="IF57" s="142"/>
      <c r="IG57" s="142"/>
      <c r="IH57" s="111">
        <f t="shared" ref="IH57:IH96" si="175">+IF(IL57 = "", "", IF($CL$49 = FALSE, 0, IN57))</f>
        <v>0</v>
      </c>
      <c r="II57" s="111">
        <f t="shared" si="168"/>
        <v>0</v>
      </c>
      <c r="IJ57" s="146">
        <v>2</v>
      </c>
      <c r="IK57" s="151">
        <f t="shared" si="169"/>
        <v>135</v>
      </c>
      <c r="IL57" s="106">
        <f t="shared" si="169"/>
        <v>-0.35606963987598383</v>
      </c>
      <c r="IM57" s="110">
        <f t="shared" si="169"/>
        <v>135</v>
      </c>
      <c r="IN57" s="111">
        <f t="shared" si="170"/>
        <v>0</v>
      </c>
      <c r="IO57" s="50">
        <f t="shared" si="171"/>
        <v>0</v>
      </c>
      <c r="IP57" s="50">
        <f t="shared" si="171"/>
        <v>0</v>
      </c>
      <c r="IQ57" s="50">
        <f t="shared" si="171"/>
        <v>0</v>
      </c>
      <c r="IR57" s="50">
        <f t="shared" si="171"/>
        <v>0</v>
      </c>
      <c r="IS57" s="50">
        <f t="shared" si="171"/>
        <v>0</v>
      </c>
      <c r="IT57" s="50">
        <f t="shared" si="171"/>
        <v>0</v>
      </c>
      <c r="IU57" s="50">
        <f t="shared" si="171"/>
        <v>0</v>
      </c>
      <c r="IV57" s="50">
        <f t="shared" si="171"/>
        <v>0</v>
      </c>
      <c r="IW57" s="50">
        <f t="shared" si="171"/>
        <v>0</v>
      </c>
      <c r="IX57" s="50">
        <f t="shared" si="171"/>
        <v>0</v>
      </c>
      <c r="IY57" s="50">
        <f t="shared" si="172"/>
        <v>0</v>
      </c>
      <c r="IZ57" s="50">
        <f t="shared" si="172"/>
        <v>0</v>
      </c>
      <c r="JA57" s="50">
        <f t="shared" si="172"/>
        <v>0</v>
      </c>
      <c r="JB57" s="50">
        <f t="shared" si="172"/>
        <v>0</v>
      </c>
      <c r="JC57" s="50">
        <f t="shared" si="172"/>
        <v>0</v>
      </c>
      <c r="JD57" s="50">
        <f t="shared" si="172"/>
        <v>0</v>
      </c>
      <c r="JE57" s="50">
        <f t="shared" si="172"/>
        <v>0</v>
      </c>
      <c r="JF57" s="50">
        <f t="shared" si="172"/>
        <v>0</v>
      </c>
      <c r="JG57" s="50">
        <f t="shared" si="172"/>
        <v>0</v>
      </c>
      <c r="JH57" s="50">
        <f t="shared" si="172"/>
        <v>0</v>
      </c>
      <c r="JI57" s="50">
        <f t="shared" si="173"/>
        <v>0</v>
      </c>
      <c r="JJ57" s="50">
        <f t="shared" si="173"/>
        <v>0</v>
      </c>
      <c r="JK57" s="50">
        <f t="shared" si="173"/>
        <v>0</v>
      </c>
      <c r="JL57" s="50">
        <f t="shared" si="173"/>
        <v>0</v>
      </c>
      <c r="JM57" s="50">
        <f t="shared" si="173"/>
        <v>0</v>
      </c>
      <c r="JN57" s="50">
        <f t="shared" si="173"/>
        <v>0</v>
      </c>
      <c r="JO57" s="50">
        <f t="shared" si="173"/>
        <v>0</v>
      </c>
      <c r="JP57" s="50">
        <f t="shared" si="173"/>
        <v>0</v>
      </c>
      <c r="JQ57" s="50">
        <f t="shared" si="173"/>
        <v>0</v>
      </c>
      <c r="JR57" s="50">
        <f t="shared" si="173"/>
        <v>0</v>
      </c>
      <c r="JS57" s="50">
        <f t="shared" si="174"/>
        <v>0</v>
      </c>
      <c r="JT57" s="50">
        <f t="shared" si="174"/>
        <v>0</v>
      </c>
      <c r="JU57" s="50" t="str">
        <f t="shared" si="174"/>
        <v/>
      </c>
      <c r="JV57" s="50" t="str">
        <f t="shared" si="174"/>
        <v/>
      </c>
      <c r="JW57" s="50" t="str">
        <f t="shared" si="174"/>
        <v/>
      </c>
      <c r="JX57" s="50" t="str">
        <f t="shared" si="174"/>
        <v/>
      </c>
      <c r="JY57" s="50" t="str">
        <f t="shared" si="174"/>
        <v/>
      </c>
      <c r="JZ57" s="50" t="str">
        <f t="shared" si="174"/>
        <v/>
      </c>
      <c r="KA57" s="50" t="str">
        <f t="shared" si="174"/>
        <v/>
      </c>
      <c r="KB57" s="50" t="str">
        <f t="shared" si="174"/>
        <v/>
      </c>
      <c r="KC57" s="50" t="str">
        <f t="shared" si="174"/>
        <v/>
      </c>
      <c r="KD57" s="50" t="str">
        <f t="shared" si="174"/>
        <v/>
      </c>
      <c r="KE57" s="142"/>
      <c r="KF57" s="142"/>
      <c r="KG57" s="142"/>
    </row>
    <row r="58" spans="13:293" s="144" customFormat="1" ht="15" customHeight="1" thickBot="1">
      <c r="M58" s="333"/>
      <c r="N58" s="333"/>
      <c r="O58" s="333"/>
      <c r="P58" s="333"/>
      <c r="Q58" s="331"/>
      <c r="R58" s="331"/>
      <c r="S58" s="331"/>
      <c r="T58" s="331"/>
      <c r="U58" s="333"/>
      <c r="V58" s="333"/>
      <c r="W58" s="331"/>
      <c r="X58" s="331"/>
      <c r="Y58" s="331"/>
      <c r="Z58" s="331"/>
      <c r="AA58" s="331"/>
      <c r="AB58" s="331"/>
      <c r="AC58" s="331"/>
      <c r="AD58" s="331"/>
      <c r="AE58" s="331"/>
      <c r="AF58" s="331"/>
      <c r="AG58" s="331"/>
      <c r="AH58" s="331"/>
      <c r="AI58" s="331"/>
      <c r="AJ58" s="331"/>
      <c r="AK58" s="331"/>
      <c r="AL58" s="331"/>
      <c r="AM58" s="331"/>
      <c r="AN58" s="331"/>
      <c r="AO58" s="331"/>
      <c r="AP58" s="331"/>
      <c r="AQ58" s="331"/>
      <c r="AR58" s="331"/>
      <c r="AS58" s="331"/>
      <c r="AT58" s="331"/>
      <c r="AU58" s="331"/>
      <c r="AV58" s="331"/>
      <c r="AW58" s="331"/>
      <c r="AX58" s="331"/>
      <c r="AY58" s="331"/>
      <c r="AZ58" s="331"/>
      <c r="BA58" s="331"/>
      <c r="BB58" s="331"/>
      <c r="BC58" s="331"/>
      <c r="BD58" s="331"/>
      <c r="BE58" s="331"/>
      <c r="BF58" s="331"/>
      <c r="BG58" s="331"/>
      <c r="BH58" s="331"/>
      <c r="BI58" s="331"/>
      <c r="BJ58" s="331"/>
      <c r="BK58" s="331"/>
      <c r="BL58" s="331"/>
      <c r="BM58" s="331"/>
      <c r="BN58" s="331"/>
      <c r="BO58" s="331"/>
      <c r="BP58" s="331"/>
      <c r="BQ58" s="331"/>
      <c r="BR58" s="331"/>
      <c r="BS58" s="331"/>
      <c r="BT58" s="331"/>
      <c r="BU58" s="331"/>
      <c r="BV58" s="331"/>
      <c r="BW58" s="331"/>
      <c r="BX58" s="331"/>
      <c r="BY58" s="331"/>
      <c r="BZ58" s="331"/>
      <c r="CA58" s="331"/>
      <c r="CB58" s="331"/>
      <c r="CC58" s="331"/>
      <c r="CD58" s="331"/>
      <c r="CE58" s="331"/>
      <c r="CF58" s="331"/>
      <c r="CG58" s="331"/>
      <c r="CH58" s="331"/>
      <c r="CI58" s="331"/>
      <c r="CJ58" s="331"/>
      <c r="CK58" s="331"/>
      <c r="CL58" s="331"/>
      <c r="CM58" s="331"/>
      <c r="CN58" s="331"/>
      <c r="CO58" s="331"/>
      <c r="CP58" s="331"/>
      <c r="CQ58" s="331"/>
      <c r="CR58" s="331"/>
      <c r="CS58" s="331"/>
      <c r="CT58" s="331"/>
      <c r="CU58" s="331"/>
      <c r="CV58" s="331"/>
      <c r="CW58" s="331"/>
      <c r="CX58" s="331"/>
      <c r="CY58" s="331"/>
      <c r="CZ58" s="331"/>
      <c r="DA58" s="331"/>
      <c r="DB58" s="331"/>
      <c r="DC58" s="331"/>
      <c r="DD58" s="331"/>
      <c r="DE58" s="331"/>
      <c r="DF58" s="331"/>
      <c r="DG58" s="331"/>
      <c r="DH58" s="331"/>
      <c r="DI58" s="331"/>
      <c r="DJ58" s="331"/>
      <c r="DK58" s="333"/>
      <c r="DL58" s="333"/>
      <c r="DM58" s="333"/>
      <c r="DN58" s="333"/>
      <c r="DO58" s="333"/>
      <c r="DP58" s="333"/>
      <c r="DQ58" s="333"/>
      <c r="DR58" s="333"/>
      <c r="DS58" s="333"/>
      <c r="DT58" s="331"/>
      <c r="DU58" s="359"/>
      <c r="DV58" s="359"/>
      <c r="DW58" s="359"/>
      <c r="DX58" s="359"/>
      <c r="DY58" s="359"/>
      <c r="DZ58" s="359"/>
      <c r="EA58" s="359"/>
      <c r="EB58" s="359"/>
      <c r="EC58" s="769">
        <f t="shared" si="166"/>
        <v>155</v>
      </c>
      <c r="ED58" s="889">
        <f>GE83</f>
        <v>0</v>
      </c>
      <c r="EE58" s="890"/>
      <c r="EF58" s="476">
        <f>GG83</f>
        <v>0</v>
      </c>
      <c r="EG58" s="893">
        <f>GL83</f>
        <v>0</v>
      </c>
      <c r="EH58" s="893"/>
      <c r="EI58" s="506">
        <f>GQ83</f>
        <v>0</v>
      </c>
      <c r="EJ58" s="373"/>
      <c r="EK58" s="373"/>
      <c r="EL58" s="366"/>
      <c r="EM58" s="366"/>
      <c r="EN58" s="364"/>
      <c r="EO58" s="363"/>
      <c r="EP58" s="340"/>
      <c r="EQ58" s="340"/>
      <c r="ER58" s="340"/>
      <c r="ES58" s="363"/>
      <c r="ET58" s="363"/>
      <c r="EU58" s="340"/>
      <c r="EV58" s="340"/>
      <c r="EW58" s="340"/>
      <c r="EX58" s="340"/>
      <c r="EY58" s="340"/>
      <c r="EZ58" s="340"/>
      <c r="FA58" s="340"/>
      <c r="FB58" s="402"/>
      <c r="FC58" s="402"/>
      <c r="FD58" s="340"/>
      <c r="FE58" s="340"/>
      <c r="FF58" s="340"/>
      <c r="FG58" s="364"/>
      <c r="FH58" s="364"/>
      <c r="FI58" s="363"/>
      <c r="FJ58" s="360"/>
      <c r="FK58" s="360"/>
      <c r="FL58" s="340"/>
      <c r="FM58" s="967"/>
      <c r="FN58" s="967"/>
      <c r="FO58" s="967"/>
      <c r="FP58" s="968"/>
      <c r="FQ58" s="968"/>
      <c r="FR58" s="968"/>
      <c r="FS58" s="968"/>
      <c r="FT58" s="968"/>
      <c r="FU58" s="968"/>
      <c r="FV58" s="968"/>
      <c r="FW58" s="968"/>
      <c r="FX58" s="968"/>
      <c r="FY58" s="341"/>
      <c r="FZ58" s="341"/>
      <c r="GA58" s="341"/>
      <c r="GB58" s="495">
        <v>0</v>
      </c>
      <c r="GC58" s="495">
        <v>0</v>
      </c>
      <c r="GD58" s="500"/>
      <c r="GE58" s="495">
        <v>0</v>
      </c>
      <c r="GF58" s="495">
        <v>0</v>
      </c>
      <c r="GG58" s="495">
        <v>0</v>
      </c>
      <c r="GH58" s="359"/>
      <c r="GI58" s="359"/>
      <c r="GJ58" s="501"/>
      <c r="GK58" s="495">
        <v>0</v>
      </c>
      <c r="GL58" s="495">
        <v>0</v>
      </c>
      <c r="GM58" s="495">
        <v>0</v>
      </c>
      <c r="GN58" s="359"/>
      <c r="GO58" s="359"/>
      <c r="GP58" s="501"/>
      <c r="GQ58" s="495">
        <v>0</v>
      </c>
      <c r="GR58" s="359"/>
      <c r="GS58" s="331"/>
      <c r="GT58" s="331"/>
      <c r="GU58" s="331"/>
      <c r="GV58" s="331"/>
      <c r="GW58" s="331"/>
      <c r="GX58" s="331"/>
      <c r="GY58" s="331"/>
      <c r="GZ58" s="331"/>
      <c r="HA58" s="331"/>
      <c r="HB58" s="331"/>
      <c r="HC58" s="331"/>
      <c r="HD58" s="331"/>
      <c r="HE58" s="331"/>
      <c r="HF58" s="331"/>
      <c r="HG58" s="331"/>
      <c r="HH58" s="331"/>
      <c r="HI58" s="331"/>
      <c r="HJ58" s="331"/>
      <c r="HK58" s="331"/>
      <c r="HL58" s="331"/>
      <c r="HM58" s="420"/>
      <c r="HN58" s="420"/>
      <c r="HO58" s="420"/>
      <c r="HP58" s="420"/>
      <c r="HQ58" s="420"/>
      <c r="HR58" s="420"/>
      <c r="HS58" s="420"/>
      <c r="HT58" s="420"/>
      <c r="HU58" s="420"/>
      <c r="HV58" s="420"/>
      <c r="HW58" s="420"/>
      <c r="HX58" s="331"/>
      <c r="HY58" s="333"/>
      <c r="HZ58" s="333"/>
      <c r="IA58" s="333"/>
      <c r="IB58" s="333"/>
      <c r="IC58" s="333"/>
      <c r="ID58" s="55"/>
      <c r="IE58" s="47"/>
      <c r="IF58" s="142"/>
      <c r="IG58" s="142"/>
      <c r="IH58" s="111">
        <f t="shared" si="175"/>
        <v>0</v>
      </c>
      <c r="II58" s="111">
        <f t="shared" si="168"/>
        <v>0</v>
      </c>
      <c r="IJ58" s="146">
        <v>3</v>
      </c>
      <c r="IK58" s="151">
        <f t="shared" si="169"/>
        <v>140</v>
      </c>
      <c r="IL58" s="106">
        <f t="shared" si="169"/>
        <v>-0.332220367278798</v>
      </c>
      <c r="IM58" s="110">
        <f t="shared" si="169"/>
        <v>140</v>
      </c>
      <c r="IN58" s="111">
        <f t="shared" si="170"/>
        <v>0</v>
      </c>
      <c r="IO58" s="50">
        <f t="shared" si="171"/>
        <v>0</v>
      </c>
      <c r="IP58" s="50">
        <f t="shared" si="171"/>
        <v>0</v>
      </c>
      <c r="IQ58" s="50">
        <f t="shared" si="171"/>
        <v>0</v>
      </c>
      <c r="IR58" s="50">
        <f t="shared" si="171"/>
        <v>0</v>
      </c>
      <c r="IS58" s="50">
        <f t="shared" si="171"/>
        <v>0</v>
      </c>
      <c r="IT58" s="50">
        <f t="shared" si="171"/>
        <v>0</v>
      </c>
      <c r="IU58" s="50">
        <f t="shared" si="171"/>
        <v>0</v>
      </c>
      <c r="IV58" s="50">
        <f t="shared" si="171"/>
        <v>0</v>
      </c>
      <c r="IW58" s="50">
        <f t="shared" si="171"/>
        <v>0</v>
      </c>
      <c r="IX58" s="50">
        <f t="shared" si="171"/>
        <v>0</v>
      </c>
      <c r="IY58" s="50">
        <f t="shared" si="172"/>
        <v>0</v>
      </c>
      <c r="IZ58" s="50">
        <f t="shared" si="172"/>
        <v>0</v>
      </c>
      <c r="JA58" s="50">
        <f t="shared" si="172"/>
        <v>0</v>
      </c>
      <c r="JB58" s="50">
        <f t="shared" si="172"/>
        <v>0</v>
      </c>
      <c r="JC58" s="50">
        <f t="shared" si="172"/>
        <v>0</v>
      </c>
      <c r="JD58" s="50">
        <f t="shared" si="172"/>
        <v>0</v>
      </c>
      <c r="JE58" s="50">
        <f t="shared" si="172"/>
        <v>0</v>
      </c>
      <c r="JF58" s="50">
        <f t="shared" si="172"/>
        <v>0</v>
      </c>
      <c r="JG58" s="50">
        <f t="shared" si="172"/>
        <v>0</v>
      </c>
      <c r="JH58" s="50">
        <f t="shared" si="172"/>
        <v>0</v>
      </c>
      <c r="JI58" s="50">
        <f t="shared" si="173"/>
        <v>0</v>
      </c>
      <c r="JJ58" s="50">
        <f t="shared" si="173"/>
        <v>0</v>
      </c>
      <c r="JK58" s="50">
        <f t="shared" si="173"/>
        <v>0</v>
      </c>
      <c r="JL58" s="50">
        <f t="shared" si="173"/>
        <v>0</v>
      </c>
      <c r="JM58" s="50">
        <f t="shared" si="173"/>
        <v>0</v>
      </c>
      <c r="JN58" s="50">
        <f t="shared" si="173"/>
        <v>0</v>
      </c>
      <c r="JO58" s="50">
        <f t="shared" si="173"/>
        <v>0</v>
      </c>
      <c r="JP58" s="50">
        <f t="shared" si="173"/>
        <v>0</v>
      </c>
      <c r="JQ58" s="50">
        <f t="shared" si="173"/>
        <v>0</v>
      </c>
      <c r="JR58" s="50">
        <f t="shared" si="173"/>
        <v>0</v>
      </c>
      <c r="JS58" s="50">
        <f t="shared" si="174"/>
        <v>0</v>
      </c>
      <c r="JT58" s="50">
        <f t="shared" si="174"/>
        <v>0</v>
      </c>
      <c r="JU58" s="50" t="str">
        <f t="shared" si="174"/>
        <v/>
      </c>
      <c r="JV58" s="50" t="str">
        <f t="shared" si="174"/>
        <v/>
      </c>
      <c r="JW58" s="50" t="str">
        <f t="shared" si="174"/>
        <v/>
      </c>
      <c r="JX58" s="50" t="str">
        <f t="shared" si="174"/>
        <v/>
      </c>
      <c r="JY58" s="50" t="str">
        <f t="shared" si="174"/>
        <v/>
      </c>
      <c r="JZ58" s="50" t="str">
        <f t="shared" si="174"/>
        <v/>
      </c>
      <c r="KA58" s="50" t="str">
        <f t="shared" si="174"/>
        <v/>
      </c>
      <c r="KB58" s="50" t="str">
        <f t="shared" si="174"/>
        <v/>
      </c>
      <c r="KC58" s="50" t="str">
        <f t="shared" si="174"/>
        <v/>
      </c>
      <c r="KD58" s="50" t="str">
        <f t="shared" si="174"/>
        <v/>
      </c>
      <c r="KE58" s="142"/>
      <c r="KF58" s="142"/>
      <c r="KG58" s="142"/>
    </row>
    <row r="59" spans="13:293" s="144" customFormat="1" ht="15" customHeight="1">
      <c r="M59" s="333"/>
      <c r="N59" s="333"/>
      <c r="O59" s="333"/>
      <c r="P59" s="333"/>
      <c r="Q59" s="331"/>
      <c r="R59" s="331"/>
      <c r="S59" s="331"/>
      <c r="T59" s="331"/>
      <c r="U59" s="333"/>
      <c r="V59" s="333"/>
      <c r="W59" s="331"/>
      <c r="X59" s="331"/>
      <c r="Y59" s="331"/>
      <c r="Z59" s="331"/>
      <c r="AA59" s="331"/>
      <c r="AB59" s="331"/>
      <c r="AC59" s="331"/>
      <c r="AD59" s="331"/>
      <c r="AE59" s="331"/>
      <c r="AF59" s="331"/>
      <c r="AG59" s="331"/>
      <c r="AH59" s="331"/>
      <c r="AI59" s="331"/>
      <c r="AJ59" s="331"/>
      <c r="AK59" s="331"/>
      <c r="AL59" s="331"/>
      <c r="AM59" s="331"/>
      <c r="AN59" s="331"/>
      <c r="AO59" s="331"/>
      <c r="AP59" s="331"/>
      <c r="AQ59" s="331"/>
      <c r="AR59" s="331"/>
      <c r="AS59" s="331"/>
      <c r="AT59" s="331"/>
      <c r="AU59" s="331"/>
      <c r="AV59" s="331"/>
      <c r="AW59" s="331"/>
      <c r="AX59" s="331"/>
      <c r="AY59" s="331"/>
      <c r="AZ59" s="331"/>
      <c r="BA59" s="331"/>
      <c r="BB59" s="331"/>
      <c r="BC59" s="331"/>
      <c r="BD59" s="331"/>
      <c r="BE59" s="331"/>
      <c r="BF59" s="331"/>
      <c r="BG59" s="331"/>
      <c r="BH59" s="331"/>
      <c r="BI59" s="331"/>
      <c r="BJ59" s="331"/>
      <c r="BK59" s="331"/>
      <c r="BL59" s="331"/>
      <c r="BM59" s="331"/>
      <c r="BN59" s="331"/>
      <c r="BO59" s="331"/>
      <c r="BP59" s="331"/>
      <c r="BQ59" s="331"/>
      <c r="BR59" s="331"/>
      <c r="BS59" s="331"/>
      <c r="BT59" s="331"/>
      <c r="BU59" s="331"/>
      <c r="BV59" s="331"/>
      <c r="BW59" s="331"/>
      <c r="BX59" s="331"/>
      <c r="BY59" s="331"/>
      <c r="BZ59" s="331"/>
      <c r="CA59" s="331"/>
      <c r="CB59" s="331"/>
      <c r="CC59" s="331"/>
      <c r="CD59" s="331"/>
      <c r="CE59" s="331"/>
      <c r="CF59" s="331"/>
      <c r="CG59" s="331"/>
      <c r="CH59" s="331"/>
      <c r="CI59" s="331"/>
      <c r="CJ59" s="331"/>
      <c r="CK59" s="331"/>
      <c r="CL59" s="331"/>
      <c r="CM59" s="331"/>
      <c r="CN59" s="331"/>
      <c r="CO59" s="331"/>
      <c r="CP59" s="331"/>
      <c r="CQ59" s="331"/>
      <c r="CR59" s="331"/>
      <c r="CS59" s="331"/>
      <c r="CT59" s="331"/>
      <c r="CU59" s="331"/>
      <c r="CV59" s="331"/>
      <c r="CW59" s="331"/>
      <c r="CX59" s="331"/>
      <c r="CY59" s="331"/>
      <c r="CZ59" s="331"/>
      <c r="DA59" s="331"/>
      <c r="DB59" s="331"/>
      <c r="DC59" s="331"/>
      <c r="DD59" s="331"/>
      <c r="DE59" s="331"/>
      <c r="DF59" s="331"/>
      <c r="DG59" s="331"/>
      <c r="DH59" s="331"/>
      <c r="DI59" s="331"/>
      <c r="DJ59" s="331"/>
      <c r="DK59" s="333"/>
      <c r="DL59" s="333"/>
      <c r="DM59" s="333"/>
      <c r="DN59" s="333"/>
      <c r="DO59" s="333"/>
      <c r="DP59" s="333"/>
      <c r="DQ59" s="333"/>
      <c r="DR59" s="333"/>
      <c r="DS59" s="333"/>
      <c r="DT59" s="331"/>
      <c r="DU59" s="359"/>
      <c r="DV59" s="359"/>
      <c r="DW59" s="359"/>
      <c r="DX59" s="359"/>
      <c r="DY59" s="359"/>
      <c r="DZ59" s="359"/>
      <c r="EA59" s="359"/>
      <c r="EB59" s="359"/>
      <c r="EC59" s="769">
        <f t="shared" si="166"/>
        <v>160</v>
      </c>
      <c r="ED59" s="889">
        <f>GE89</f>
        <v>0</v>
      </c>
      <c r="EE59" s="890"/>
      <c r="EF59" s="476">
        <f>GG89</f>
        <v>0</v>
      </c>
      <c r="EG59" s="893">
        <f>GL89</f>
        <v>0</v>
      </c>
      <c r="EH59" s="893"/>
      <c r="EI59" s="506">
        <f>GQ89</f>
        <v>0</v>
      </c>
      <c r="EJ59" s="373"/>
      <c r="EK59" s="373"/>
      <c r="EL59" s="366"/>
      <c r="EM59" s="366"/>
      <c r="EN59" s="364">
        <f>+EN53+1</f>
        <v>2</v>
      </c>
      <c r="EO59" s="356">
        <f>+VLOOKUP(EN59, PRECIOS_EJERCICIOS,  2,FALSE)</f>
        <v>135</v>
      </c>
      <c r="EP59" s="513" t="str">
        <f>+IF($AQ$49 = FALSE, "",
IF(VLOOKUP(EO59, basesCantPrimaBrutoRes, 2,FALSE) &gt;= 0, VLOOKUP(EO59, basesCantPrimaBrutoRes, 2,FALSE), 0))</f>
        <v/>
      </c>
      <c r="EQ59" s="514" t="str">
        <f>+IF($AQ$49 = FALSE, "",
IF(VLOOKUP(EO59, basesCantPrimaBrutoRes, 2,FALSE) &lt; 0, -VLOOKUP(EO59, basesCantPrimaBrutoRes, 2,FALSE), 0))</f>
        <v/>
      </c>
      <c r="ER59" s="521" t="str">
        <f>IF($AQ$49 = FALSE, "",
VLOOKUP(EO59, basesCantPrimaBrutoRes, 4,FALSE))</f>
        <v/>
      </c>
      <c r="ES59" s="926">
        <f>IF(ER59 = "", 0,
IF(AND(EP59 &gt; 0, EQ59 &gt;0), 0, IF(EO59 &lt;&gt; $Z$1,
IF(AND(EP59 &lt;&gt; "", EP59 &lt;&gt; 0), -(EP59 * ER59 * 100),
IF(AND(EQ59 &lt;&gt; "", EQ59 &lt;&gt; 0), (EQ59 * ER59 * 100), 0)),
IF(AND(EP59 &lt;&gt; "", EP59 &lt;&gt; 0), -(EP59 * ER59 * 1),
IF(AND(EQ59 &lt;&gt; "", EQ59 &lt;&gt; 0), (EQ59 * ER59 * 1), 0))  )))</f>
        <v>0</v>
      </c>
      <c r="ET59" s="927"/>
      <c r="EU59" s="928"/>
      <c r="EV59" s="926">
        <f>IF(ER59 = "", 0,
IF(AND(EP59 &gt; 0, EQ59 &gt;0), 0,  IF(EO59 &lt;&gt; $Z$1,
IF(AND(EP59 &lt;&gt; "", EP59 &lt;&gt; 0), -(EP59 * ER59 * 100 * (1 + COMIS_OPCION)),
IF(AND(EQ59 &lt;&gt; "", EQ59 &lt;&gt; 0), (EQ59 * ER59 * 100 * (1 - COMIS_OPCION)), 0)),
IF(AND(EP59 &lt;&gt; "", EP59 &lt;&gt; 0), -(EP59 * ER59 * 1 * (1 + COMIS_ACCION)),
IF(AND(EQ59 &lt;&gt; "", EQ59 &lt;&gt; 0), (EQ59 * ER59 * 1 * (1 - COMIS_ACCION)), 0))  )))</f>
        <v>0</v>
      </c>
      <c r="EW59" s="927"/>
      <c r="EX59" s="927"/>
      <c r="EY59" s="927"/>
      <c r="EZ59" s="927"/>
      <c r="FA59" s="927"/>
      <c r="FB59" s="927"/>
      <c r="FC59" s="927"/>
      <c r="FD59" s="929"/>
      <c r="FE59" s="340"/>
      <c r="FF59" s="340"/>
      <c r="FG59" s="364"/>
      <c r="FH59" s="364">
        <f>+FH53+1</f>
        <v>2</v>
      </c>
      <c r="FI59" s="357">
        <f>+VLOOKUP(FH59, PRECIOS_EJERCICIOS,  2,FALSE)</f>
        <v>135</v>
      </c>
      <c r="FJ59" s="515" t="str">
        <f>+IF($AQ$49 = FALSE, "",
IF(VLOOKUP(EO59, basesCantPrimaBrutoRes, 5,FALSE) &gt;= 0, VLOOKUP(EO59, basesCantPrimaBrutoRes, 5,FALSE), 0))</f>
        <v/>
      </c>
      <c r="FK59" s="516" t="str">
        <f>+IF($AQ$49 = FALSE, "",
IF(VLOOKUP(EO59, basesCantPrimaBrutoRes, 5,FALSE) &lt; 0, -VLOOKUP(EO59, basesCantPrimaBrutoRes, 5,FALSE), 0))</f>
        <v/>
      </c>
      <c r="FL59" s="517" t="str">
        <f>IF($AQ$49 = FALSE, "",
VLOOKUP(EO59, basesCantPrimaBrutoRes, 7,FALSE))</f>
        <v/>
      </c>
      <c r="FM59" s="934">
        <f>IF(FL59 = "", 0,
IF(AND(FJ59 &gt; 0, FK59 &gt;0), 0,
IF(AND(FJ59 &lt;&gt; "", FJ59 &lt;&gt; 0), -(FJ59 * FL59 * 100),
IF(AND(FK59 &lt;&gt; "", FK59 &lt;&gt; 0), (FK59 * FL59 * 100), 0)) ))</f>
        <v>0</v>
      </c>
      <c r="FN59" s="935"/>
      <c r="FO59" s="936"/>
      <c r="FP59" s="934">
        <f>IF(FL59 = "", 0,
IF(AND(FJ59 &gt; 0, FK59 &gt;0), 0,
IF(AND(FJ59 &lt;&gt; "", FJ59 &lt;&gt; 0), -(FJ59 * FL59 * 100 * (1 + COMIS_OPCION)),
IF(AND(FK59 &lt;&gt; "", FK59 &lt;&gt; 0), (FK59 * FL59 * 100 * (1 - COMIS_OPCION)), 0)) ))</f>
        <v>0</v>
      </c>
      <c r="FQ59" s="935"/>
      <c r="FR59" s="935"/>
      <c r="FS59" s="935"/>
      <c r="FT59" s="935"/>
      <c r="FU59" s="935"/>
      <c r="FV59" s="935"/>
      <c r="FW59" s="935"/>
      <c r="FX59" s="966"/>
      <c r="FY59" s="341"/>
      <c r="FZ59" s="341"/>
      <c r="GA59" s="341"/>
      <c r="GB59" s="495">
        <f>+IF(EN59 = "", "", EO59)</f>
        <v>135</v>
      </c>
      <c r="GC59" s="495" t="str">
        <f>+IF(GB59="", "", IF(EO59 = $Z$1, "ACCION", "CALL"))</f>
        <v>CALL</v>
      </c>
      <c r="GD59" s="500"/>
      <c r="GE59" s="495">
        <f>+IF(GB59= "", "", EO61)</f>
        <v>0</v>
      </c>
      <c r="GF59" s="495">
        <f>+IF(GB59 = "", "", IFERROR(IF(GB59 &lt;&gt; $Z$1,
IF(GE59 &gt; 0, SUMIFS(ES59:ES63, EP59:EP63, "&gt;0", ES59:ES63, "&lt;&gt;0") / SUMIFS(EP59:EP63, EP59:EP63, "&gt;0", ES59:ES63, "&lt;&gt;0") / -100,
IF(GE59 &lt; 0, SUMIFS(ES59:ES63, EQ59:EQ63, "&gt;0", ES59:ES63, "&lt;&gt;0") / SUMIFS(EQ59:EQ63, EQ59:EQ63, "&gt;0", ES59:ES63, "&lt;&gt;0") / 100, 0)),
IF(GE59 &gt; 0, SUMIFS(ES59:ES63, EP59:EP63, "&gt;0", ES59:ES63, "&lt;&gt;0") / SUMIFS(EP59:EP63, EP59:EP63, "&gt;0", ES59:ES63, "&lt;&gt;0") / -1,
IF(GE59 &lt; 0, SUMIFS(ES59:ES63, EQ59:EQ63, "&gt;0", ES59:ES63, "&lt;&gt;0") / SUMIFS(EQ59:EQ63, EQ59:EQ63, "&gt;0", ES59:ES63, "&lt;&gt;0") / 1, 0)) ), 0))</f>
        <v>0</v>
      </c>
      <c r="GG59" s="495">
        <f>+IF(GB59 = "", "", IFERROR(IF(GB59 &lt;&gt; $Z$1,
IF(GE59 &gt; 0, SUMIFS(EV59:EV63, EP59:EP63, "&gt;0", EV59:EV63, "&lt;&gt;0") / SUMIFS(EP59:EP63, EP59:EP63, "&gt;0", EV59:EV63, "&lt;&gt;0") / -100,
IF(GE59 &lt; 0, SUMIFS(EV59:EV63, EQ59:EQ63, "&gt;0", EV59:EV63, "&lt;&gt;0") / SUMIFS(EQ59:EQ63, EQ59:EQ63, "&gt;0", EV59:EV63, "&lt;&gt;0") / 100, 0)),
IF(GE59 &gt; 0, SUMIFS(EV59:EV63, EP59:EP63, "&gt;0", EV59:EV63, "&lt;&gt;0") / SUMIFS(EP59:EP63, EP59:EP63, "&gt;0", EV59:EV63, "&lt;&gt;0") / -1,
IF(GE59 &lt; 0, SUMIFS(EV59:EV63, EQ59:EQ63, "&gt;0", EV59:EV63, "&lt;&gt;0") / SUMIFS(EQ59:EQ63, EQ59:EQ63, "&gt;0", EV59:EV63, "&lt;&gt;0") / 1, 0)) ), 0))</f>
        <v>0</v>
      </c>
      <c r="GH59" s="359"/>
      <c r="GI59" s="359"/>
      <c r="GJ59" s="501"/>
      <c r="GK59" s="495" t="str">
        <f>+IF(GB59="", "", "PUT")</f>
        <v>PUT</v>
      </c>
      <c r="GL59" s="495">
        <f>+IF(GB59 = "", "", FI61)</f>
        <v>0</v>
      </c>
      <c r="GM59" s="495">
        <f>+IF(GB59 = "", "", IFERROR(
IF(FI61 &gt; 0, SUMIFS(FM59:FM63, FJ59:FJ63, "&gt;0", FM59:FM63, "&lt;&gt;0") / SUMIFS(FJ59:FJ63, FJ59:FJ63, "&gt;0", FM59:FM63, "&lt;&gt;0") / -100,
IF(FI61 &lt; 0, SUMIFS(FM59:FM63, FK59:FK63, "&gt;0", FM59:FM63, "&lt;&gt;0") / SUMIFS(FK59:FK63, FK59:FK63, "&gt;0", FM59:FM63, "&lt;&gt;0") / 100, 0)), 0) )</f>
        <v>0</v>
      </c>
      <c r="GN59" s="359"/>
      <c r="GO59" s="359"/>
      <c r="GP59" s="501"/>
      <c r="GQ59" s="502">
        <f>+IF(GB59 = "", "", IFERROR(
IF(FI61 &gt; 0, SUMIFS(FP59:FP63, FJ59:FJ63, "&gt;0", FP59:FP63, "&lt;&gt;0") / SUMIFS(FJ59:FJ63, FJ59:FJ63, "&gt;0", FP59:FP63, "&lt;&gt;0") / -100,
IF(FI61 &lt; 0, SUMIFS(FP59:FP63, FK59:FK63, "&gt;0", FP59:FP63, "&lt;&gt;0") / SUMIFS(FK59:FK63, FK59:FK63, "&gt;0", FP59:FP63, "&lt;&gt;0") / 100, 0)), 0))</f>
        <v>0</v>
      </c>
      <c r="GR59" s="359"/>
      <c r="GS59" s="331"/>
      <c r="GT59" s="331"/>
      <c r="GU59" s="331"/>
      <c r="GV59" s="331"/>
      <c r="GW59" s="331"/>
      <c r="GX59" s="331"/>
      <c r="GY59" s="331"/>
      <c r="GZ59" s="331"/>
      <c r="HA59" s="331"/>
      <c r="HB59" s="331"/>
      <c r="HC59" s="331"/>
      <c r="HD59" s="331"/>
      <c r="HE59" s="331"/>
      <c r="HF59" s="331"/>
      <c r="HG59" s="331"/>
      <c r="HH59" s="331"/>
      <c r="HI59" s="331"/>
      <c r="HJ59" s="331"/>
      <c r="HK59" s="331"/>
      <c r="HL59" s="331"/>
      <c r="HM59" s="420"/>
      <c r="HN59" s="420"/>
      <c r="HO59" s="420"/>
      <c r="HP59" s="420"/>
      <c r="HQ59" s="420"/>
      <c r="HR59" s="420"/>
      <c r="HS59" s="420"/>
      <c r="HT59" s="420"/>
      <c r="HU59" s="420"/>
      <c r="HV59" s="420"/>
      <c r="HW59" s="420"/>
      <c r="HX59" s="331"/>
      <c r="HY59" s="333"/>
      <c r="HZ59" s="333"/>
      <c r="IA59" s="333"/>
      <c r="IB59" s="333"/>
      <c r="IC59" s="333"/>
      <c r="ID59" s="55"/>
      <c r="IE59" s="47"/>
      <c r="IF59" s="142"/>
      <c r="IG59" s="142"/>
      <c r="IH59" s="111">
        <f t="shared" si="175"/>
        <v>0</v>
      </c>
      <c r="II59" s="111">
        <f t="shared" si="168"/>
        <v>0</v>
      </c>
      <c r="IJ59" s="146">
        <v>4</v>
      </c>
      <c r="IK59" s="151">
        <f t="shared" si="169"/>
        <v>145</v>
      </c>
      <c r="IL59" s="106">
        <f t="shared" si="169"/>
        <v>-0.30837109468161228</v>
      </c>
      <c r="IM59" s="110">
        <f t="shared" si="169"/>
        <v>145</v>
      </c>
      <c r="IN59" s="111">
        <f t="shared" si="170"/>
        <v>0</v>
      </c>
      <c r="IO59" s="50">
        <f t="shared" si="171"/>
        <v>0</v>
      </c>
      <c r="IP59" s="50">
        <f t="shared" si="171"/>
        <v>0</v>
      </c>
      <c r="IQ59" s="50">
        <f t="shared" si="171"/>
        <v>0</v>
      </c>
      <c r="IR59" s="50">
        <f t="shared" si="171"/>
        <v>0</v>
      </c>
      <c r="IS59" s="50">
        <f t="shared" si="171"/>
        <v>0</v>
      </c>
      <c r="IT59" s="50">
        <f t="shared" si="171"/>
        <v>0</v>
      </c>
      <c r="IU59" s="50">
        <f t="shared" si="171"/>
        <v>0</v>
      </c>
      <c r="IV59" s="50">
        <f t="shared" si="171"/>
        <v>0</v>
      </c>
      <c r="IW59" s="50">
        <f t="shared" si="171"/>
        <v>0</v>
      </c>
      <c r="IX59" s="50">
        <f t="shared" si="171"/>
        <v>0</v>
      </c>
      <c r="IY59" s="50">
        <f t="shared" si="172"/>
        <v>0</v>
      </c>
      <c r="IZ59" s="50">
        <f t="shared" si="172"/>
        <v>0</v>
      </c>
      <c r="JA59" s="50">
        <f t="shared" si="172"/>
        <v>0</v>
      </c>
      <c r="JB59" s="50">
        <f t="shared" si="172"/>
        <v>0</v>
      </c>
      <c r="JC59" s="50">
        <f t="shared" si="172"/>
        <v>0</v>
      </c>
      <c r="JD59" s="50">
        <f t="shared" si="172"/>
        <v>0</v>
      </c>
      <c r="JE59" s="50">
        <f t="shared" si="172"/>
        <v>0</v>
      </c>
      <c r="JF59" s="50">
        <f t="shared" si="172"/>
        <v>0</v>
      </c>
      <c r="JG59" s="50">
        <f t="shared" si="172"/>
        <v>0</v>
      </c>
      <c r="JH59" s="50">
        <f t="shared" si="172"/>
        <v>0</v>
      </c>
      <c r="JI59" s="50">
        <f t="shared" si="173"/>
        <v>0</v>
      </c>
      <c r="JJ59" s="50">
        <f t="shared" si="173"/>
        <v>0</v>
      </c>
      <c r="JK59" s="50">
        <f t="shared" si="173"/>
        <v>0</v>
      </c>
      <c r="JL59" s="50">
        <f t="shared" si="173"/>
        <v>0</v>
      </c>
      <c r="JM59" s="50">
        <f t="shared" si="173"/>
        <v>0</v>
      </c>
      <c r="JN59" s="50">
        <f t="shared" si="173"/>
        <v>0</v>
      </c>
      <c r="JO59" s="50">
        <f t="shared" si="173"/>
        <v>0</v>
      </c>
      <c r="JP59" s="50">
        <f t="shared" si="173"/>
        <v>0</v>
      </c>
      <c r="JQ59" s="50">
        <f t="shared" si="173"/>
        <v>0</v>
      </c>
      <c r="JR59" s="50">
        <f t="shared" si="173"/>
        <v>0</v>
      </c>
      <c r="JS59" s="50">
        <f t="shared" si="174"/>
        <v>0</v>
      </c>
      <c r="JT59" s="50">
        <f t="shared" si="174"/>
        <v>0</v>
      </c>
      <c r="JU59" s="50" t="str">
        <f t="shared" si="174"/>
        <v/>
      </c>
      <c r="JV59" s="50" t="str">
        <f t="shared" si="174"/>
        <v/>
      </c>
      <c r="JW59" s="50" t="str">
        <f t="shared" si="174"/>
        <v/>
      </c>
      <c r="JX59" s="50" t="str">
        <f t="shared" si="174"/>
        <v/>
      </c>
      <c r="JY59" s="50" t="str">
        <f t="shared" si="174"/>
        <v/>
      </c>
      <c r="JZ59" s="50" t="str">
        <f t="shared" si="174"/>
        <v/>
      </c>
      <c r="KA59" s="50" t="str">
        <f t="shared" si="174"/>
        <v/>
      </c>
      <c r="KB59" s="50" t="str">
        <f t="shared" si="174"/>
        <v/>
      </c>
      <c r="KC59" s="50" t="str">
        <f t="shared" si="174"/>
        <v/>
      </c>
      <c r="KD59" s="50" t="str">
        <f t="shared" si="174"/>
        <v/>
      </c>
      <c r="KE59" s="142"/>
      <c r="KF59" s="142"/>
      <c r="KG59" s="142"/>
    </row>
    <row r="60" spans="13:293" s="144" customFormat="1" ht="15" customHeight="1">
      <c r="M60" s="333"/>
      <c r="N60" s="333"/>
      <c r="O60" s="333"/>
      <c r="P60" s="333"/>
      <c r="Q60" s="331"/>
      <c r="R60" s="331"/>
      <c r="S60" s="331"/>
      <c r="T60" s="331"/>
      <c r="U60" s="333"/>
      <c r="V60" s="333"/>
      <c r="W60" s="331"/>
      <c r="X60" s="331"/>
      <c r="Y60" s="331"/>
      <c r="Z60" s="331"/>
      <c r="AA60" s="331"/>
      <c r="AB60" s="331"/>
      <c r="AC60" s="331"/>
      <c r="AD60" s="331"/>
      <c r="AE60" s="331"/>
      <c r="AF60" s="331"/>
      <c r="AG60" s="331"/>
      <c r="AH60" s="331"/>
      <c r="AI60" s="331"/>
      <c r="AJ60" s="331"/>
      <c r="AK60" s="331"/>
      <c r="AL60" s="331"/>
      <c r="AM60" s="331"/>
      <c r="AN60" s="331"/>
      <c r="AO60" s="331"/>
      <c r="AP60" s="331"/>
      <c r="AQ60" s="331"/>
      <c r="AR60" s="331"/>
      <c r="AS60" s="331"/>
      <c r="AT60" s="331"/>
      <c r="AU60" s="331"/>
      <c r="AV60" s="331"/>
      <c r="AW60" s="331"/>
      <c r="AX60" s="331"/>
      <c r="AY60" s="331"/>
      <c r="AZ60" s="331"/>
      <c r="BA60" s="331"/>
      <c r="BB60" s="331"/>
      <c r="BC60" s="331"/>
      <c r="BD60" s="331"/>
      <c r="BE60" s="331"/>
      <c r="BF60" s="331"/>
      <c r="BG60" s="331"/>
      <c r="BH60" s="331"/>
      <c r="BI60" s="331"/>
      <c r="BJ60" s="331"/>
      <c r="BK60" s="331"/>
      <c r="BL60" s="331"/>
      <c r="BM60" s="331"/>
      <c r="BN60" s="331"/>
      <c r="BO60" s="331"/>
      <c r="BP60" s="331"/>
      <c r="BQ60" s="331"/>
      <c r="BR60" s="331"/>
      <c r="BS60" s="331"/>
      <c r="BT60" s="331"/>
      <c r="BU60" s="331"/>
      <c r="BV60" s="331"/>
      <c r="BW60" s="331"/>
      <c r="BX60" s="331"/>
      <c r="BY60" s="331"/>
      <c r="BZ60" s="331"/>
      <c r="CA60" s="331"/>
      <c r="CB60" s="331"/>
      <c r="CC60" s="331"/>
      <c r="CD60" s="331"/>
      <c r="CE60" s="331"/>
      <c r="CF60" s="331"/>
      <c r="CG60" s="331"/>
      <c r="CH60" s="331"/>
      <c r="CI60" s="331"/>
      <c r="CJ60" s="331"/>
      <c r="CK60" s="331"/>
      <c r="CL60" s="331"/>
      <c r="CM60" s="331"/>
      <c r="CN60" s="331"/>
      <c r="CO60" s="331"/>
      <c r="CP60" s="331"/>
      <c r="CQ60" s="331"/>
      <c r="CR60" s="331"/>
      <c r="CS60" s="331"/>
      <c r="CT60" s="331"/>
      <c r="CU60" s="331"/>
      <c r="CV60" s="331"/>
      <c r="CW60" s="331"/>
      <c r="CX60" s="331"/>
      <c r="CY60" s="331"/>
      <c r="CZ60" s="331"/>
      <c r="DA60" s="331"/>
      <c r="DB60" s="331"/>
      <c r="DC60" s="331"/>
      <c r="DD60" s="331"/>
      <c r="DE60" s="331"/>
      <c r="DF60" s="331"/>
      <c r="DG60" s="331"/>
      <c r="DH60" s="331"/>
      <c r="DI60" s="331"/>
      <c r="DJ60" s="331"/>
      <c r="DK60" s="333"/>
      <c r="DL60" s="333"/>
      <c r="DM60" s="333"/>
      <c r="DN60" s="333"/>
      <c r="DO60" s="333"/>
      <c r="DP60" s="333"/>
      <c r="DQ60" s="333"/>
      <c r="DR60" s="333"/>
      <c r="DS60" s="333"/>
      <c r="DT60" s="331"/>
      <c r="DU60" s="359"/>
      <c r="DV60" s="359"/>
      <c r="DW60" s="359"/>
      <c r="DX60" s="359"/>
      <c r="DY60" s="359"/>
      <c r="DZ60" s="359"/>
      <c r="EA60" s="359"/>
      <c r="EB60" s="359"/>
      <c r="EC60" s="769">
        <f t="shared" si="166"/>
        <v>165</v>
      </c>
      <c r="ED60" s="889">
        <f>GE95</f>
        <v>0</v>
      </c>
      <c r="EE60" s="890"/>
      <c r="EF60" s="476">
        <f>GG95</f>
        <v>0</v>
      </c>
      <c r="EG60" s="893">
        <f>GL95</f>
        <v>0</v>
      </c>
      <c r="EH60" s="893"/>
      <c r="EI60" s="506">
        <f>GQ95</f>
        <v>0</v>
      </c>
      <c r="EJ60" s="373"/>
      <c r="EK60" s="373"/>
      <c r="EL60" s="366"/>
      <c r="EM60" s="366"/>
      <c r="EN60" s="364"/>
      <c r="EO60" s="351"/>
      <c r="EP60" s="347"/>
      <c r="EQ60" s="342"/>
      <c r="ER60" s="522"/>
      <c r="ES60" s="916">
        <f>IF(ER60 = "", 0,
IF(AND(EP60 &gt; 0, EQ60 &gt;0), 0, IF(EO59 &lt;&gt; $Z$1,
IF(AND(EP60 &lt;&gt; "", EP60 &lt;&gt; 0), -(EP60 * ER60 * 100),
IF(AND(EQ60 &lt;&gt; "", EQ60 &lt;&gt; 0), (EQ60 * ER60 * 100), 0)),
IF(AND(EP60 &lt;&gt; "", EP60 &lt;&gt; 0), -(EP60 * ER60 * 1),
IF(AND(EQ60 &lt;&gt; "", EQ60 &lt;&gt; 0), (EQ60 * ER60 * 1), 0))  )))</f>
        <v>0</v>
      </c>
      <c r="ET60" s="917"/>
      <c r="EU60" s="918"/>
      <c r="EV60" s="916">
        <f>IF(ER60 = "", 0,
IF(AND(EP60 &gt; 0, EQ60 &gt;0), 0,  IF(EO59 &lt;&gt; $Z$1,
IF(AND(EP60 &lt;&gt; "", EP60 &lt;&gt; 0), -(EP60 * ER60 * 100 * (1 + COMIS_OPCION)),
IF(AND(EQ60 &lt;&gt; "", EQ60 &lt;&gt; 0), (EQ60 * ER60 * 100 * (1 - COMIS_OPCION)), 0)),
IF(AND(EP60 &lt;&gt; "", EP60 &lt;&gt; 0), -(EP60 * ER60 * 1 * (1 + COMIS_ACCION)),
IF(AND(EQ60 &lt;&gt; "", EQ60 &lt;&gt; 0), (EQ60 * ER60 * 1 * (1 - COMIS_ACCION)), 0))  )))</f>
        <v>0</v>
      </c>
      <c r="EW60" s="917"/>
      <c r="EX60" s="917"/>
      <c r="EY60" s="917"/>
      <c r="EZ60" s="917"/>
      <c r="FA60" s="917"/>
      <c r="FB60" s="917"/>
      <c r="FC60" s="917"/>
      <c r="FD60" s="925"/>
      <c r="FE60" s="340"/>
      <c r="FF60" s="340"/>
      <c r="FG60" s="364"/>
      <c r="FH60" s="364"/>
      <c r="FI60" s="339"/>
      <c r="FJ60" s="347"/>
      <c r="FK60" s="342"/>
      <c r="FL60" s="343"/>
      <c r="FM60" s="930">
        <f>IF(FL60 = "", 0,
IF(AND(FJ60 &gt; 0, FK60 &gt;0), 0,
IF(AND(FJ60 &lt;&gt; "", FJ60 &lt;&gt; 0), -(FJ60 * FL60 * 100),
IF(AND(FK60 &lt;&gt; "", FK60 &lt;&gt; 0), (FK60 * FL60 * 100), 0)) ))</f>
        <v>0</v>
      </c>
      <c r="FN60" s="931"/>
      <c r="FO60" s="932"/>
      <c r="FP60" s="930">
        <f>IF(FL60 = "", 0,
IF(AND(FJ60 &gt; 0, FK60 &gt;0), 0,
IF(AND(FJ60 &lt;&gt; "", FJ60 &lt;&gt; 0), -(FJ60 * FL60 * 100 * (1 + COMIS_OPCION)),
IF(AND(FK60 &lt;&gt; "", FK60 &lt;&gt; 0), (FK60 * FL60 * 100 * (1 - COMIS_OPCION)), 0)) ))</f>
        <v>0</v>
      </c>
      <c r="FQ60" s="931"/>
      <c r="FR60" s="931"/>
      <c r="FS60" s="931"/>
      <c r="FT60" s="931"/>
      <c r="FU60" s="931"/>
      <c r="FV60" s="931"/>
      <c r="FW60" s="931"/>
      <c r="FX60" s="933"/>
      <c r="FY60" s="341"/>
      <c r="FZ60" s="341"/>
      <c r="GA60" s="341"/>
      <c r="GB60" s="495">
        <v>0</v>
      </c>
      <c r="GC60" s="495">
        <v>0</v>
      </c>
      <c r="GD60" s="500"/>
      <c r="GE60" s="495">
        <v>0</v>
      </c>
      <c r="GF60" s="495">
        <v>0</v>
      </c>
      <c r="GG60" s="495">
        <v>0</v>
      </c>
      <c r="GH60" s="359"/>
      <c r="GI60" s="359"/>
      <c r="GJ60" s="501"/>
      <c r="GK60" s="495">
        <v>0</v>
      </c>
      <c r="GL60" s="495">
        <v>0</v>
      </c>
      <c r="GM60" s="495">
        <v>0</v>
      </c>
      <c r="GN60" s="359"/>
      <c r="GO60" s="359"/>
      <c r="GP60" s="501"/>
      <c r="GQ60" s="495">
        <v>0</v>
      </c>
      <c r="GR60" s="359"/>
      <c r="GS60" s="331"/>
      <c r="GT60" s="331"/>
      <c r="GU60" s="331"/>
      <c r="GV60" s="331"/>
      <c r="GW60" s="331"/>
      <c r="GX60" s="331"/>
      <c r="GY60" s="331"/>
      <c r="GZ60" s="331"/>
      <c r="HA60" s="331"/>
      <c r="HB60" s="331"/>
      <c r="HC60" s="331"/>
      <c r="HD60" s="331"/>
      <c r="HE60" s="331"/>
      <c r="HF60" s="331"/>
      <c r="HG60" s="331"/>
      <c r="HH60" s="331"/>
      <c r="HI60" s="331"/>
      <c r="HJ60" s="331"/>
      <c r="HK60" s="331"/>
      <c r="HL60" s="331"/>
      <c r="HM60" s="420"/>
      <c r="HN60" s="420"/>
      <c r="HO60" s="420"/>
      <c r="HP60" s="420"/>
      <c r="HQ60" s="420"/>
      <c r="HR60" s="420"/>
      <c r="HS60" s="420"/>
      <c r="HT60" s="420"/>
      <c r="HU60" s="420"/>
      <c r="HV60" s="420"/>
      <c r="HW60" s="420"/>
      <c r="HX60" s="331"/>
      <c r="HY60" s="333"/>
      <c r="HZ60" s="333"/>
      <c r="IA60" s="333"/>
      <c r="IB60" s="333"/>
      <c r="IC60" s="333"/>
      <c r="ID60" s="55"/>
      <c r="IE60" s="47"/>
      <c r="IF60" s="142"/>
      <c r="IG60" s="142"/>
      <c r="IH60" s="111">
        <f t="shared" si="175"/>
        <v>0</v>
      </c>
      <c r="II60" s="111">
        <f t="shared" si="168"/>
        <v>0</v>
      </c>
      <c r="IJ60" s="146">
        <v>5</v>
      </c>
      <c r="IK60" s="151">
        <f t="shared" si="169"/>
        <v>150</v>
      </c>
      <c r="IL60" s="106">
        <f t="shared" si="169"/>
        <v>-0.28452182208442645</v>
      </c>
      <c r="IM60" s="110">
        <f t="shared" si="169"/>
        <v>150</v>
      </c>
      <c r="IN60" s="111">
        <f t="shared" si="170"/>
        <v>0</v>
      </c>
      <c r="IO60" s="50">
        <f t="shared" si="171"/>
        <v>0</v>
      </c>
      <c r="IP60" s="50">
        <f t="shared" si="171"/>
        <v>0</v>
      </c>
      <c r="IQ60" s="50">
        <f t="shared" si="171"/>
        <v>0</v>
      </c>
      <c r="IR60" s="50">
        <f t="shared" si="171"/>
        <v>0</v>
      </c>
      <c r="IS60" s="50">
        <f t="shared" si="171"/>
        <v>0</v>
      </c>
      <c r="IT60" s="50">
        <f t="shared" si="171"/>
        <v>0</v>
      </c>
      <c r="IU60" s="50">
        <f t="shared" si="171"/>
        <v>0</v>
      </c>
      <c r="IV60" s="50">
        <f t="shared" si="171"/>
        <v>0</v>
      </c>
      <c r="IW60" s="50">
        <f t="shared" si="171"/>
        <v>0</v>
      </c>
      <c r="IX60" s="50">
        <f t="shared" si="171"/>
        <v>0</v>
      </c>
      <c r="IY60" s="50">
        <f t="shared" si="172"/>
        <v>0</v>
      </c>
      <c r="IZ60" s="50">
        <f t="shared" si="172"/>
        <v>0</v>
      </c>
      <c r="JA60" s="50">
        <f t="shared" si="172"/>
        <v>0</v>
      </c>
      <c r="JB60" s="50">
        <f t="shared" si="172"/>
        <v>0</v>
      </c>
      <c r="JC60" s="50">
        <f t="shared" si="172"/>
        <v>0</v>
      </c>
      <c r="JD60" s="50">
        <f t="shared" si="172"/>
        <v>0</v>
      </c>
      <c r="JE60" s="50">
        <f t="shared" si="172"/>
        <v>0</v>
      </c>
      <c r="JF60" s="50">
        <f t="shared" si="172"/>
        <v>0</v>
      </c>
      <c r="JG60" s="50">
        <f t="shared" si="172"/>
        <v>0</v>
      </c>
      <c r="JH60" s="50">
        <f t="shared" si="172"/>
        <v>0</v>
      </c>
      <c r="JI60" s="50">
        <f t="shared" si="173"/>
        <v>0</v>
      </c>
      <c r="JJ60" s="50">
        <f t="shared" si="173"/>
        <v>0</v>
      </c>
      <c r="JK60" s="50">
        <f t="shared" si="173"/>
        <v>0</v>
      </c>
      <c r="JL60" s="50">
        <f t="shared" si="173"/>
        <v>0</v>
      </c>
      <c r="JM60" s="50">
        <f t="shared" si="173"/>
        <v>0</v>
      </c>
      <c r="JN60" s="50">
        <f t="shared" si="173"/>
        <v>0</v>
      </c>
      <c r="JO60" s="50">
        <f t="shared" si="173"/>
        <v>0</v>
      </c>
      <c r="JP60" s="50">
        <f t="shared" si="173"/>
        <v>0</v>
      </c>
      <c r="JQ60" s="50">
        <f t="shared" si="173"/>
        <v>0</v>
      </c>
      <c r="JR60" s="50">
        <f t="shared" si="173"/>
        <v>0</v>
      </c>
      <c r="JS60" s="50">
        <f t="shared" si="174"/>
        <v>0</v>
      </c>
      <c r="JT60" s="50">
        <f t="shared" si="174"/>
        <v>0</v>
      </c>
      <c r="JU60" s="50" t="str">
        <f t="shared" si="174"/>
        <v/>
      </c>
      <c r="JV60" s="50" t="str">
        <f t="shared" si="174"/>
        <v/>
      </c>
      <c r="JW60" s="50" t="str">
        <f t="shared" si="174"/>
        <v/>
      </c>
      <c r="JX60" s="50" t="str">
        <f t="shared" si="174"/>
        <v/>
      </c>
      <c r="JY60" s="50" t="str">
        <f t="shared" si="174"/>
        <v/>
      </c>
      <c r="JZ60" s="50" t="str">
        <f t="shared" si="174"/>
        <v/>
      </c>
      <c r="KA60" s="50" t="str">
        <f t="shared" si="174"/>
        <v/>
      </c>
      <c r="KB60" s="50" t="str">
        <f t="shared" si="174"/>
        <v/>
      </c>
      <c r="KC60" s="50" t="str">
        <f t="shared" si="174"/>
        <v/>
      </c>
      <c r="KD60" s="50" t="str">
        <f t="shared" si="174"/>
        <v/>
      </c>
      <c r="KE60" s="142"/>
      <c r="KF60" s="142"/>
      <c r="KG60" s="142"/>
    </row>
    <row r="61" spans="13:293" s="144" customFormat="1" ht="15" customHeight="1">
      <c r="M61" s="333"/>
      <c r="N61" s="333"/>
      <c r="O61" s="333"/>
      <c r="P61" s="333"/>
      <c r="Q61" s="331"/>
      <c r="R61" s="331"/>
      <c r="S61" s="331"/>
      <c r="T61" s="331"/>
      <c r="U61" s="333"/>
      <c r="V61" s="333"/>
      <c r="W61" s="331"/>
      <c r="X61" s="331"/>
      <c r="Y61" s="331"/>
      <c r="Z61" s="331"/>
      <c r="AA61" s="331"/>
      <c r="AB61" s="331"/>
      <c r="AC61" s="331"/>
      <c r="AD61" s="331"/>
      <c r="AE61" s="331"/>
      <c r="AF61" s="331"/>
      <c r="AG61" s="331"/>
      <c r="AH61" s="331"/>
      <c r="AI61" s="331"/>
      <c r="AJ61" s="331"/>
      <c r="AK61" s="331"/>
      <c r="AL61" s="331"/>
      <c r="AM61" s="331"/>
      <c r="AN61" s="331"/>
      <c r="AO61" s="331"/>
      <c r="AP61" s="331"/>
      <c r="AQ61" s="331"/>
      <c r="AR61" s="331"/>
      <c r="AS61" s="331"/>
      <c r="AT61" s="331"/>
      <c r="AU61" s="331"/>
      <c r="AV61" s="331"/>
      <c r="AW61" s="331"/>
      <c r="AX61" s="331"/>
      <c r="AY61" s="331"/>
      <c r="AZ61" s="331"/>
      <c r="BA61" s="331"/>
      <c r="BB61" s="331"/>
      <c r="BC61" s="331"/>
      <c r="BD61" s="331"/>
      <c r="BE61" s="331"/>
      <c r="BF61" s="331"/>
      <c r="BG61" s="331"/>
      <c r="BH61" s="331"/>
      <c r="BI61" s="331"/>
      <c r="BJ61" s="331"/>
      <c r="BK61" s="331"/>
      <c r="BL61" s="331"/>
      <c r="BM61" s="331"/>
      <c r="BN61" s="331"/>
      <c r="BO61" s="331"/>
      <c r="BP61" s="331"/>
      <c r="BQ61" s="331"/>
      <c r="BR61" s="331"/>
      <c r="BS61" s="331"/>
      <c r="BT61" s="331"/>
      <c r="BU61" s="331"/>
      <c r="BV61" s="331"/>
      <c r="BW61" s="331"/>
      <c r="BX61" s="331"/>
      <c r="BY61" s="331"/>
      <c r="BZ61" s="331"/>
      <c r="CA61" s="331"/>
      <c r="CB61" s="331"/>
      <c r="CC61" s="331"/>
      <c r="CD61" s="331"/>
      <c r="CE61" s="331"/>
      <c r="CF61" s="331"/>
      <c r="CG61" s="331"/>
      <c r="CH61" s="331"/>
      <c r="CI61" s="331"/>
      <c r="CJ61" s="331"/>
      <c r="CK61" s="331"/>
      <c r="CL61" s="331"/>
      <c r="CM61" s="331"/>
      <c r="CN61" s="331"/>
      <c r="CO61" s="331"/>
      <c r="CP61" s="331"/>
      <c r="CQ61" s="331"/>
      <c r="CR61" s="331"/>
      <c r="CS61" s="331"/>
      <c r="CT61" s="331"/>
      <c r="CU61" s="331"/>
      <c r="CV61" s="331"/>
      <c r="CW61" s="331"/>
      <c r="CX61" s="331"/>
      <c r="CY61" s="331"/>
      <c r="CZ61" s="331"/>
      <c r="DA61" s="331"/>
      <c r="DB61" s="331"/>
      <c r="DC61" s="331"/>
      <c r="DD61" s="331"/>
      <c r="DE61" s="331"/>
      <c r="DF61" s="331"/>
      <c r="DG61" s="331"/>
      <c r="DH61" s="331"/>
      <c r="DI61" s="331"/>
      <c r="DJ61" s="331"/>
      <c r="DK61" s="333"/>
      <c r="DL61" s="333"/>
      <c r="DM61" s="333"/>
      <c r="DN61" s="333"/>
      <c r="DO61" s="333"/>
      <c r="DP61" s="333"/>
      <c r="DQ61" s="333"/>
      <c r="DR61" s="333"/>
      <c r="DS61" s="333"/>
      <c r="DT61" s="331"/>
      <c r="DU61" s="359"/>
      <c r="DV61" s="359"/>
      <c r="DW61" s="359"/>
      <c r="DX61" s="359"/>
      <c r="DY61" s="359"/>
      <c r="DZ61" s="359"/>
      <c r="EA61" s="359"/>
      <c r="EB61" s="359"/>
      <c r="EC61" s="769">
        <f t="shared" si="166"/>
        <v>170</v>
      </c>
      <c r="ED61" s="889">
        <f>GE101</f>
        <v>0</v>
      </c>
      <c r="EE61" s="890"/>
      <c r="EF61" s="476">
        <f>GG101</f>
        <v>0</v>
      </c>
      <c r="EG61" s="893">
        <f>GL101</f>
        <v>0</v>
      </c>
      <c r="EH61" s="893"/>
      <c r="EI61" s="506">
        <f>GQ101</f>
        <v>0</v>
      </c>
      <c r="EJ61" s="373"/>
      <c r="EK61" s="373"/>
      <c r="EL61" s="366"/>
      <c r="EM61" s="368"/>
      <c r="EN61" s="365"/>
      <c r="EO61" s="352">
        <f>+SUM(EP59:EP63) - SUM(EQ59:EQ63)</f>
        <v>0</v>
      </c>
      <c r="EP61" s="347"/>
      <c r="EQ61" s="342"/>
      <c r="ER61" s="522"/>
      <c r="ES61" s="916">
        <f>IF(ER61 = "", 0,
IF(AND(EP61 &gt; 0, EQ61 &gt;0), 0, IF(EO59 &lt;&gt; $Z$1,
IF(AND(EP61 &lt;&gt; "", EP61 &lt;&gt; 0), -(EP61 * ER61 * 100),
IF(AND(EQ61 &lt;&gt; "", EQ61 &lt;&gt; 0), (EQ61 * ER61 * 100), 0)),
IF(AND(EP61 &lt;&gt; "", EP61 &lt;&gt; 0), -(EP61 * ER61 * 1),
IF(AND(EQ61 &lt;&gt; "", EQ61 &lt;&gt; 0), (EQ61 * ER61 * 1), 0))  )))</f>
        <v>0</v>
      </c>
      <c r="ET61" s="917"/>
      <c r="EU61" s="918"/>
      <c r="EV61" s="916">
        <f>IF(ER61 = "", 0,
IF(AND(EP61 &gt; 0, EQ61 &gt;0), 0,  IF(EO59 &lt;&gt; $Z$1,
IF(AND(EP61 &lt;&gt; "", EP61 &lt;&gt; 0), -(EP61 * ER61 * 100 * (1 + COMIS_OPCION)),
IF(AND(EQ61 &lt;&gt; "", EQ61 &lt;&gt; 0), (EQ61 * ER61 * 100 * (1 - COMIS_OPCION)), 0)),
IF(AND(EP61 &lt;&gt; "", EP61 &lt;&gt; 0), -(EP61 * ER61 * 1 * (1 + COMIS_ACCION)),
IF(AND(EQ61 &lt;&gt; "", EQ61 &lt;&gt; 0), (EQ61 * ER61 * 1 * (1 - COMIS_ACCION)), 0))  )))</f>
        <v>0</v>
      </c>
      <c r="EW61" s="917"/>
      <c r="EX61" s="917"/>
      <c r="EY61" s="917"/>
      <c r="EZ61" s="917"/>
      <c r="FA61" s="917"/>
      <c r="FB61" s="917"/>
      <c r="FC61" s="917"/>
      <c r="FD61" s="925"/>
      <c r="FE61" s="340"/>
      <c r="FF61" s="340"/>
      <c r="FG61" s="365"/>
      <c r="FH61" s="365"/>
      <c r="FI61" s="354">
        <f>+SUM(FJ59:FJ63) - SUM(FK59:FK63)</f>
        <v>0</v>
      </c>
      <c r="FJ61" s="347"/>
      <c r="FK61" s="342"/>
      <c r="FL61" s="343"/>
      <c r="FM61" s="930">
        <f>IF(FL61 = "", 0,
IF(AND(FJ61 &gt; 0, FK61 &gt;0), 0,
IF(AND(FJ61 &lt;&gt; "", FJ61 &lt;&gt; 0), -(FJ61 * FL61 * 100),
IF(AND(FK61 &lt;&gt; "", FK61 &lt;&gt; 0), (FK61 * FL61 * 100), 0)) ))</f>
        <v>0</v>
      </c>
      <c r="FN61" s="931"/>
      <c r="FO61" s="932"/>
      <c r="FP61" s="930">
        <f>IF(FL61 = "", 0,
IF(AND(FJ61 &gt; 0, FK61 &gt;0), 0,
IF(AND(FJ61 &lt;&gt; "", FJ61 &lt;&gt; 0), -(FJ61 * FL61 * 100 * (1 + COMIS_OPCION)),
IF(AND(FK61 &lt;&gt; "", FK61 &lt;&gt; 0), (FK61 * FL61 * 100 * (1 - COMIS_OPCION)), 0)) ))</f>
        <v>0</v>
      </c>
      <c r="FQ61" s="931"/>
      <c r="FR61" s="931"/>
      <c r="FS61" s="931"/>
      <c r="FT61" s="931"/>
      <c r="FU61" s="931"/>
      <c r="FV61" s="931"/>
      <c r="FW61" s="931"/>
      <c r="FX61" s="933"/>
      <c r="FY61" s="341"/>
      <c r="FZ61" s="341"/>
      <c r="GA61" s="341"/>
      <c r="GB61" s="495">
        <v>0</v>
      </c>
      <c r="GC61" s="495">
        <v>0</v>
      </c>
      <c r="GD61" s="500"/>
      <c r="GE61" s="495">
        <v>0</v>
      </c>
      <c r="GF61" s="495">
        <v>0</v>
      </c>
      <c r="GG61" s="495">
        <v>0</v>
      </c>
      <c r="GH61" s="359"/>
      <c r="GI61" s="359"/>
      <c r="GJ61" s="501"/>
      <c r="GK61" s="495">
        <v>0</v>
      </c>
      <c r="GL61" s="495">
        <v>0</v>
      </c>
      <c r="GM61" s="495">
        <v>0</v>
      </c>
      <c r="GN61" s="359"/>
      <c r="GO61" s="359"/>
      <c r="GP61" s="501"/>
      <c r="GQ61" s="495">
        <v>0</v>
      </c>
      <c r="GR61" s="359"/>
      <c r="GS61" s="331"/>
      <c r="GT61" s="331"/>
      <c r="GU61" s="331"/>
      <c r="GV61" s="331"/>
      <c r="GW61" s="331"/>
      <c r="GX61" s="331"/>
      <c r="GY61" s="331"/>
      <c r="GZ61" s="331"/>
      <c r="HA61" s="331"/>
      <c r="HB61" s="331"/>
      <c r="HC61" s="331"/>
      <c r="HD61" s="331"/>
      <c r="HE61" s="331"/>
      <c r="HF61" s="331"/>
      <c r="HG61" s="331"/>
      <c r="HH61" s="331"/>
      <c r="HI61" s="331"/>
      <c r="HJ61" s="331"/>
      <c r="HK61" s="331"/>
      <c r="HL61" s="331"/>
      <c r="HM61" s="420"/>
      <c r="HN61" s="420"/>
      <c r="HO61" s="420"/>
      <c r="HP61" s="420"/>
      <c r="HQ61" s="420"/>
      <c r="HR61" s="420"/>
      <c r="HS61" s="420"/>
      <c r="HT61" s="420"/>
      <c r="HU61" s="420"/>
      <c r="HV61" s="420"/>
      <c r="HW61" s="420"/>
      <c r="HX61" s="331"/>
      <c r="HY61" s="333"/>
      <c r="HZ61" s="333"/>
      <c r="IA61" s="333"/>
      <c r="IB61" s="333"/>
      <c r="IC61" s="333"/>
      <c r="ID61" s="55"/>
      <c r="IE61" s="47"/>
      <c r="IF61" s="142"/>
      <c r="IG61" s="142"/>
      <c r="IH61" s="111">
        <f t="shared" si="175"/>
        <v>0</v>
      </c>
      <c r="II61" s="111">
        <f t="shared" si="168"/>
        <v>0</v>
      </c>
      <c r="IJ61" s="146">
        <v>6</v>
      </c>
      <c r="IK61" s="151">
        <f t="shared" si="169"/>
        <v>155</v>
      </c>
      <c r="IL61" s="106">
        <f t="shared" si="169"/>
        <v>-0.26067254948724061</v>
      </c>
      <c r="IM61" s="110">
        <f t="shared" si="169"/>
        <v>155</v>
      </c>
      <c r="IN61" s="111">
        <f t="shared" si="170"/>
        <v>0</v>
      </c>
      <c r="IO61" s="50">
        <f t="shared" si="171"/>
        <v>0</v>
      </c>
      <c r="IP61" s="50">
        <f t="shared" si="171"/>
        <v>0</v>
      </c>
      <c r="IQ61" s="50">
        <f t="shared" si="171"/>
        <v>0</v>
      </c>
      <c r="IR61" s="50">
        <f t="shared" si="171"/>
        <v>0</v>
      </c>
      <c r="IS61" s="50">
        <f t="shared" si="171"/>
        <v>0</v>
      </c>
      <c r="IT61" s="50">
        <f t="shared" si="171"/>
        <v>0</v>
      </c>
      <c r="IU61" s="50">
        <f t="shared" si="171"/>
        <v>0</v>
      </c>
      <c r="IV61" s="50">
        <f t="shared" si="171"/>
        <v>0</v>
      </c>
      <c r="IW61" s="50">
        <f t="shared" si="171"/>
        <v>0</v>
      </c>
      <c r="IX61" s="50">
        <f t="shared" si="171"/>
        <v>0</v>
      </c>
      <c r="IY61" s="50">
        <f t="shared" si="172"/>
        <v>0</v>
      </c>
      <c r="IZ61" s="50">
        <f t="shared" si="172"/>
        <v>0</v>
      </c>
      <c r="JA61" s="50">
        <f t="shared" si="172"/>
        <v>0</v>
      </c>
      <c r="JB61" s="50">
        <f t="shared" si="172"/>
        <v>0</v>
      </c>
      <c r="JC61" s="50">
        <f t="shared" si="172"/>
        <v>0</v>
      </c>
      <c r="JD61" s="50">
        <f t="shared" si="172"/>
        <v>0</v>
      </c>
      <c r="JE61" s="50">
        <f t="shared" si="172"/>
        <v>0</v>
      </c>
      <c r="JF61" s="50">
        <f t="shared" si="172"/>
        <v>0</v>
      </c>
      <c r="JG61" s="50">
        <f t="shared" si="172"/>
        <v>0</v>
      </c>
      <c r="JH61" s="50">
        <f t="shared" si="172"/>
        <v>0</v>
      </c>
      <c r="JI61" s="50">
        <f t="shared" si="173"/>
        <v>0</v>
      </c>
      <c r="JJ61" s="50">
        <f t="shared" si="173"/>
        <v>0</v>
      </c>
      <c r="JK61" s="50">
        <f t="shared" si="173"/>
        <v>0</v>
      </c>
      <c r="JL61" s="50">
        <f t="shared" si="173"/>
        <v>0</v>
      </c>
      <c r="JM61" s="50">
        <f t="shared" si="173"/>
        <v>0</v>
      </c>
      <c r="JN61" s="50">
        <f t="shared" si="173"/>
        <v>0</v>
      </c>
      <c r="JO61" s="50">
        <f t="shared" si="173"/>
        <v>0</v>
      </c>
      <c r="JP61" s="50">
        <f t="shared" si="173"/>
        <v>0</v>
      </c>
      <c r="JQ61" s="50">
        <f t="shared" si="173"/>
        <v>0</v>
      </c>
      <c r="JR61" s="50">
        <f t="shared" si="173"/>
        <v>0</v>
      </c>
      <c r="JS61" s="50">
        <f t="shared" si="174"/>
        <v>0</v>
      </c>
      <c r="JT61" s="50">
        <f t="shared" si="174"/>
        <v>0</v>
      </c>
      <c r="JU61" s="50" t="str">
        <f t="shared" si="174"/>
        <v/>
      </c>
      <c r="JV61" s="50" t="str">
        <f t="shared" si="174"/>
        <v/>
      </c>
      <c r="JW61" s="50" t="str">
        <f t="shared" si="174"/>
        <v/>
      </c>
      <c r="JX61" s="50" t="str">
        <f t="shared" si="174"/>
        <v/>
      </c>
      <c r="JY61" s="50" t="str">
        <f t="shared" si="174"/>
        <v/>
      </c>
      <c r="JZ61" s="50" t="str">
        <f t="shared" si="174"/>
        <v/>
      </c>
      <c r="KA61" s="50" t="str">
        <f t="shared" si="174"/>
        <v/>
      </c>
      <c r="KB61" s="50" t="str">
        <f t="shared" si="174"/>
        <v/>
      </c>
      <c r="KC61" s="50" t="str">
        <f t="shared" si="174"/>
        <v/>
      </c>
      <c r="KD61" s="50" t="str">
        <f t="shared" si="174"/>
        <v/>
      </c>
      <c r="KE61" s="142"/>
      <c r="KF61" s="142"/>
      <c r="KG61" s="142"/>
    </row>
    <row r="62" spans="13:293" s="144" customFormat="1" ht="15" customHeight="1">
      <c r="M62" s="333"/>
      <c r="N62" s="333"/>
      <c r="O62" s="333"/>
      <c r="P62" s="333"/>
      <c r="Q62" s="331"/>
      <c r="R62" s="331"/>
      <c r="S62" s="331"/>
      <c r="T62" s="331"/>
      <c r="U62" s="333"/>
      <c r="V62" s="333"/>
      <c r="W62" s="331"/>
      <c r="X62" s="331"/>
      <c r="Y62" s="331"/>
      <c r="Z62" s="331"/>
      <c r="AA62" s="331"/>
      <c r="AB62" s="331"/>
      <c r="AC62" s="331"/>
      <c r="AD62" s="331"/>
      <c r="AE62" s="331"/>
      <c r="AF62" s="331"/>
      <c r="AG62" s="331"/>
      <c r="AH62" s="331"/>
      <c r="AI62" s="331"/>
      <c r="AJ62" s="331"/>
      <c r="AK62" s="331"/>
      <c r="AL62" s="331"/>
      <c r="AM62" s="331"/>
      <c r="AN62" s="331"/>
      <c r="AO62" s="331"/>
      <c r="AP62" s="331"/>
      <c r="AQ62" s="331"/>
      <c r="AR62" s="331"/>
      <c r="AS62" s="331"/>
      <c r="AT62" s="331"/>
      <c r="AU62" s="331"/>
      <c r="AV62" s="331"/>
      <c r="AW62" s="331"/>
      <c r="AX62" s="331"/>
      <c r="AY62" s="331"/>
      <c r="AZ62" s="331"/>
      <c r="BA62" s="331"/>
      <c r="BB62" s="331"/>
      <c r="BC62" s="331"/>
      <c r="BD62" s="331"/>
      <c r="BE62" s="331"/>
      <c r="BF62" s="331"/>
      <c r="BG62" s="331"/>
      <c r="BH62" s="331"/>
      <c r="BI62" s="331"/>
      <c r="BJ62" s="331"/>
      <c r="BK62" s="331"/>
      <c r="BL62" s="331"/>
      <c r="BM62" s="331"/>
      <c r="BN62" s="331"/>
      <c r="BO62" s="331"/>
      <c r="BP62" s="331"/>
      <c r="BQ62" s="331"/>
      <c r="BR62" s="331"/>
      <c r="BS62" s="331"/>
      <c r="BT62" s="331"/>
      <c r="BU62" s="331"/>
      <c r="BV62" s="331"/>
      <c r="BW62" s="331"/>
      <c r="BX62" s="331"/>
      <c r="BY62" s="331"/>
      <c r="BZ62" s="331"/>
      <c r="CA62" s="331"/>
      <c r="CB62" s="331"/>
      <c r="CC62" s="331"/>
      <c r="CD62" s="331"/>
      <c r="CE62" s="331"/>
      <c r="CF62" s="331"/>
      <c r="CG62" s="331"/>
      <c r="CH62" s="331"/>
      <c r="CI62" s="331"/>
      <c r="CJ62" s="331"/>
      <c r="CK62" s="331"/>
      <c r="CL62" s="331"/>
      <c r="CM62" s="331"/>
      <c r="CN62" s="331"/>
      <c r="CO62" s="331"/>
      <c r="CP62" s="331"/>
      <c r="CQ62" s="331"/>
      <c r="CR62" s="331"/>
      <c r="CS62" s="331"/>
      <c r="CT62" s="331"/>
      <c r="CU62" s="331"/>
      <c r="CV62" s="331"/>
      <c r="CW62" s="331"/>
      <c r="CX62" s="331"/>
      <c r="CY62" s="331"/>
      <c r="CZ62" s="331"/>
      <c r="DA62" s="331"/>
      <c r="DB62" s="331"/>
      <c r="DC62" s="331"/>
      <c r="DD62" s="331"/>
      <c r="DE62" s="331"/>
      <c r="DF62" s="331"/>
      <c r="DG62" s="331"/>
      <c r="DH62" s="331"/>
      <c r="DI62" s="331"/>
      <c r="DJ62" s="331"/>
      <c r="DK62" s="333"/>
      <c r="DL62" s="333"/>
      <c r="DM62" s="333"/>
      <c r="DN62" s="333"/>
      <c r="DO62" s="333"/>
      <c r="DP62" s="333"/>
      <c r="DQ62" s="333"/>
      <c r="DR62" s="333"/>
      <c r="DS62" s="333"/>
      <c r="DT62" s="331"/>
      <c r="DU62" s="359"/>
      <c r="DV62" s="359"/>
      <c r="DW62" s="359"/>
      <c r="DX62" s="359"/>
      <c r="DY62" s="359"/>
      <c r="DZ62" s="359"/>
      <c r="EA62" s="359"/>
      <c r="EB62" s="359"/>
      <c r="EC62" s="769">
        <f t="shared" si="166"/>
        <v>175</v>
      </c>
      <c r="ED62" s="889">
        <f>GE107</f>
        <v>0</v>
      </c>
      <c r="EE62" s="890"/>
      <c r="EF62" s="476">
        <f>GG107</f>
        <v>0</v>
      </c>
      <c r="EG62" s="893">
        <f>GL107</f>
        <v>0</v>
      </c>
      <c r="EH62" s="893"/>
      <c r="EI62" s="506">
        <f>GQ107</f>
        <v>0</v>
      </c>
      <c r="EJ62" s="373"/>
      <c r="EK62" s="373"/>
      <c r="EL62" s="366"/>
      <c r="EM62" s="368"/>
      <c r="EN62" s="365"/>
      <c r="EO62" s="352">
        <f>IF(EO61=0, 0, SUM(EV59:FD63))</f>
        <v>0</v>
      </c>
      <c r="EP62" s="347"/>
      <c r="EQ62" s="342"/>
      <c r="ER62" s="522"/>
      <c r="ES62" s="916">
        <f>IF(ER62 = "", 0,
IF(AND(EP62 &gt; 0, EQ62 &gt;0), 0, IF(EO59 &lt;&gt; $Z$1,
IF(AND(EP62 &lt;&gt; "", EP62 &lt;&gt; 0), -(EP62 * ER62 * 100),
IF(AND(EQ62 &lt;&gt; "", EQ62 &lt;&gt; 0), (EQ62 * ER62 * 100), 0)),
IF(AND(EP62 &lt;&gt; "", EP62 &lt;&gt; 0), -(EP62 * ER62 * 1),
IF(AND(EQ62 &lt;&gt; "", EQ62 &lt;&gt; 0), (EQ62 * ER62 * 1), 0))  )))</f>
        <v>0</v>
      </c>
      <c r="ET62" s="917"/>
      <c r="EU62" s="918"/>
      <c r="EV62" s="916">
        <f>IF(ER62 = "", 0,
IF(AND(EP62 &gt; 0, EQ62 &gt;0), 0,  IF(EO59 &lt;&gt; $Z$1,
IF(AND(EP62 &lt;&gt; "", EP62 &lt;&gt; 0), -(EP62 * ER62 * 100 * (1 + COMIS_OPCION)),
IF(AND(EQ62 &lt;&gt; "", EQ62 &lt;&gt; 0), (EQ62 * ER62 * 100 * (1 - COMIS_OPCION)), 0)),
IF(AND(EP62 &lt;&gt; "", EP62 &lt;&gt; 0), -(EP62 * ER62 * 1 * (1 + COMIS_ACCION)),
IF(AND(EQ62 &lt;&gt; "", EQ62 &lt;&gt; 0), (EQ62 * ER62 * 1 * (1 - COMIS_ACCION)), 0))  )))</f>
        <v>0</v>
      </c>
      <c r="EW62" s="917"/>
      <c r="EX62" s="917"/>
      <c r="EY62" s="917"/>
      <c r="EZ62" s="917"/>
      <c r="FA62" s="917"/>
      <c r="FB62" s="917"/>
      <c r="FC62" s="917"/>
      <c r="FD62" s="925"/>
      <c r="FE62" s="340"/>
      <c r="FF62" s="340"/>
      <c r="FG62" s="365"/>
      <c r="FH62" s="365"/>
      <c r="FI62" s="354">
        <f>IF(FI61=0, 0, SUM(FP59:FX63))</f>
        <v>0</v>
      </c>
      <c r="FJ62" s="347"/>
      <c r="FK62" s="342"/>
      <c r="FL62" s="343"/>
      <c r="FM62" s="930">
        <f>IF(FL62 = "", 0,
IF(AND(FJ62 &gt; 0, FK62 &gt;0), 0,
IF(AND(FJ62 &lt;&gt; "", FJ62 &lt;&gt; 0), -(FJ62 * FL62 * 100),
IF(AND(FK62 &lt;&gt; "", FK62 &lt;&gt; 0), (FK62 * FL62 * 100), 0)) ))</f>
        <v>0</v>
      </c>
      <c r="FN62" s="931"/>
      <c r="FO62" s="932"/>
      <c r="FP62" s="930">
        <f>IF(FL62 = "", 0,
IF(AND(FJ62 &gt; 0, FK62 &gt;0), 0,
IF(AND(FJ62 &lt;&gt; "", FJ62 &lt;&gt; 0), -(FJ62 * FL62 * 100 * (1 + COMIS_OPCION)),
IF(AND(FK62 &lt;&gt; "", FK62 &lt;&gt; 0), (FK62 * FL62 * 100 * (1 - COMIS_OPCION)), 0)) ))</f>
        <v>0</v>
      </c>
      <c r="FQ62" s="931"/>
      <c r="FR62" s="931"/>
      <c r="FS62" s="931"/>
      <c r="FT62" s="931"/>
      <c r="FU62" s="931"/>
      <c r="FV62" s="931"/>
      <c r="FW62" s="931"/>
      <c r="FX62" s="933"/>
      <c r="FY62" s="341"/>
      <c r="FZ62" s="341"/>
      <c r="GA62" s="341"/>
      <c r="GB62" s="495">
        <v>0</v>
      </c>
      <c r="GC62" s="495">
        <v>0</v>
      </c>
      <c r="GD62" s="500"/>
      <c r="GE62" s="495">
        <v>0</v>
      </c>
      <c r="GF62" s="495">
        <v>0</v>
      </c>
      <c r="GG62" s="495">
        <v>0</v>
      </c>
      <c r="GH62" s="359"/>
      <c r="GI62" s="359"/>
      <c r="GJ62" s="501"/>
      <c r="GK62" s="495">
        <v>0</v>
      </c>
      <c r="GL62" s="495">
        <v>0</v>
      </c>
      <c r="GM62" s="495">
        <v>0</v>
      </c>
      <c r="GN62" s="359"/>
      <c r="GO62" s="359"/>
      <c r="GP62" s="501"/>
      <c r="GQ62" s="495">
        <v>0</v>
      </c>
      <c r="GR62" s="359"/>
      <c r="GS62" s="331"/>
      <c r="GT62" s="331"/>
      <c r="GU62" s="331"/>
      <c r="GV62" s="331"/>
      <c r="GW62" s="331"/>
      <c r="GX62" s="331"/>
      <c r="GY62" s="331"/>
      <c r="GZ62" s="331"/>
      <c r="HA62" s="331"/>
      <c r="HB62" s="331"/>
      <c r="HC62" s="331"/>
      <c r="HD62" s="331"/>
      <c r="HE62" s="331"/>
      <c r="HF62" s="331"/>
      <c r="HG62" s="331"/>
      <c r="HH62" s="331"/>
      <c r="HI62" s="331"/>
      <c r="HJ62" s="331"/>
      <c r="HK62" s="331"/>
      <c r="HL62" s="331"/>
      <c r="HM62" s="420"/>
      <c r="HN62" s="420"/>
      <c r="HO62" s="420"/>
      <c r="HP62" s="420"/>
      <c r="HQ62" s="420"/>
      <c r="HR62" s="420"/>
      <c r="HS62" s="420"/>
      <c r="HT62" s="420"/>
      <c r="HU62" s="420"/>
      <c r="HV62" s="420"/>
      <c r="HW62" s="420"/>
      <c r="HX62" s="331"/>
      <c r="HY62" s="333"/>
      <c r="HZ62" s="333"/>
      <c r="IA62" s="333"/>
      <c r="IB62" s="333"/>
      <c r="IC62" s="333"/>
      <c r="ID62" s="55"/>
      <c r="IE62" s="47"/>
      <c r="IF62" s="142"/>
      <c r="IG62" s="142"/>
      <c r="IH62" s="111">
        <f t="shared" si="175"/>
        <v>0</v>
      </c>
      <c r="II62" s="111">
        <f t="shared" si="168"/>
        <v>0</v>
      </c>
      <c r="IJ62" s="146">
        <v>7</v>
      </c>
      <c r="IK62" s="151">
        <f t="shared" si="169"/>
        <v>160</v>
      </c>
      <c r="IL62" s="106">
        <f t="shared" si="169"/>
        <v>-0.23682327689005489</v>
      </c>
      <c r="IM62" s="110">
        <f t="shared" si="169"/>
        <v>160</v>
      </c>
      <c r="IN62" s="111">
        <f t="shared" si="170"/>
        <v>0</v>
      </c>
      <c r="IO62" s="50">
        <f t="shared" si="171"/>
        <v>0</v>
      </c>
      <c r="IP62" s="50">
        <f t="shared" si="171"/>
        <v>0</v>
      </c>
      <c r="IQ62" s="50">
        <f t="shared" si="171"/>
        <v>0</v>
      </c>
      <c r="IR62" s="50">
        <f t="shared" si="171"/>
        <v>0</v>
      </c>
      <c r="IS62" s="50">
        <f t="shared" si="171"/>
        <v>0</v>
      </c>
      <c r="IT62" s="50">
        <f t="shared" si="171"/>
        <v>0</v>
      </c>
      <c r="IU62" s="50">
        <f t="shared" si="171"/>
        <v>0</v>
      </c>
      <c r="IV62" s="50">
        <f t="shared" si="171"/>
        <v>0</v>
      </c>
      <c r="IW62" s="50">
        <f t="shared" si="171"/>
        <v>0</v>
      </c>
      <c r="IX62" s="50">
        <f t="shared" si="171"/>
        <v>0</v>
      </c>
      <c r="IY62" s="50">
        <f t="shared" si="172"/>
        <v>0</v>
      </c>
      <c r="IZ62" s="50">
        <f t="shared" si="172"/>
        <v>0</v>
      </c>
      <c r="JA62" s="50">
        <f t="shared" si="172"/>
        <v>0</v>
      </c>
      <c r="JB62" s="50">
        <f t="shared" si="172"/>
        <v>0</v>
      </c>
      <c r="JC62" s="50">
        <f t="shared" si="172"/>
        <v>0</v>
      </c>
      <c r="JD62" s="50">
        <f t="shared" si="172"/>
        <v>0</v>
      </c>
      <c r="JE62" s="50">
        <f t="shared" si="172"/>
        <v>0</v>
      </c>
      <c r="JF62" s="50">
        <f t="shared" si="172"/>
        <v>0</v>
      </c>
      <c r="JG62" s="50">
        <f t="shared" si="172"/>
        <v>0</v>
      </c>
      <c r="JH62" s="50">
        <f t="shared" si="172"/>
        <v>0</v>
      </c>
      <c r="JI62" s="50">
        <f t="shared" si="173"/>
        <v>0</v>
      </c>
      <c r="JJ62" s="50">
        <f t="shared" si="173"/>
        <v>0</v>
      </c>
      <c r="JK62" s="50">
        <f t="shared" si="173"/>
        <v>0</v>
      </c>
      <c r="JL62" s="50">
        <f t="shared" si="173"/>
        <v>0</v>
      </c>
      <c r="JM62" s="50">
        <f t="shared" si="173"/>
        <v>0</v>
      </c>
      <c r="JN62" s="50">
        <f t="shared" si="173"/>
        <v>0</v>
      </c>
      <c r="JO62" s="50">
        <f t="shared" si="173"/>
        <v>0</v>
      </c>
      <c r="JP62" s="50">
        <f t="shared" si="173"/>
        <v>0</v>
      </c>
      <c r="JQ62" s="50">
        <f t="shared" si="173"/>
        <v>0</v>
      </c>
      <c r="JR62" s="50">
        <f t="shared" si="173"/>
        <v>0</v>
      </c>
      <c r="JS62" s="50">
        <f t="shared" si="174"/>
        <v>0</v>
      </c>
      <c r="JT62" s="50">
        <f t="shared" si="174"/>
        <v>0</v>
      </c>
      <c r="JU62" s="50" t="str">
        <f t="shared" si="174"/>
        <v/>
      </c>
      <c r="JV62" s="50" t="str">
        <f t="shared" si="174"/>
        <v/>
      </c>
      <c r="JW62" s="50" t="str">
        <f t="shared" si="174"/>
        <v/>
      </c>
      <c r="JX62" s="50" t="str">
        <f t="shared" si="174"/>
        <v/>
      </c>
      <c r="JY62" s="50" t="str">
        <f t="shared" si="174"/>
        <v/>
      </c>
      <c r="JZ62" s="50" t="str">
        <f t="shared" si="174"/>
        <v/>
      </c>
      <c r="KA62" s="50" t="str">
        <f t="shared" si="174"/>
        <v/>
      </c>
      <c r="KB62" s="50" t="str">
        <f t="shared" si="174"/>
        <v/>
      </c>
      <c r="KC62" s="50" t="str">
        <f t="shared" si="174"/>
        <v/>
      </c>
      <c r="KD62" s="50" t="str">
        <f t="shared" si="174"/>
        <v/>
      </c>
      <c r="KE62" s="142"/>
      <c r="KF62" s="142"/>
      <c r="KG62" s="142"/>
    </row>
    <row r="63" spans="13:293" s="144" customFormat="1" ht="15" customHeight="1" thickBot="1">
      <c r="M63" s="333"/>
      <c r="N63" s="333"/>
      <c r="O63" s="333"/>
      <c r="P63" s="333"/>
      <c r="Q63" s="331"/>
      <c r="R63" s="331"/>
      <c r="S63" s="331"/>
      <c r="T63" s="331"/>
      <c r="U63" s="333"/>
      <c r="V63" s="333"/>
      <c r="W63" s="331"/>
      <c r="X63" s="331"/>
      <c r="Y63" s="331"/>
      <c r="Z63" s="331"/>
      <c r="AA63" s="331"/>
      <c r="AB63" s="331"/>
      <c r="AC63" s="331"/>
      <c r="AD63" s="331"/>
      <c r="AE63" s="331"/>
      <c r="AF63" s="331"/>
      <c r="AG63" s="331"/>
      <c r="AH63" s="331"/>
      <c r="AI63" s="331"/>
      <c r="AJ63" s="331"/>
      <c r="AK63" s="331"/>
      <c r="AL63" s="331"/>
      <c r="AM63" s="331"/>
      <c r="AN63" s="331"/>
      <c r="AO63" s="331"/>
      <c r="AP63" s="331"/>
      <c r="AQ63" s="331"/>
      <c r="AR63" s="331"/>
      <c r="AS63" s="331"/>
      <c r="AT63" s="331"/>
      <c r="AU63" s="331"/>
      <c r="AV63" s="331"/>
      <c r="AW63" s="331"/>
      <c r="AX63" s="331"/>
      <c r="AY63" s="331"/>
      <c r="AZ63" s="331"/>
      <c r="BA63" s="331"/>
      <c r="BB63" s="331"/>
      <c r="BC63" s="331"/>
      <c r="BD63" s="331"/>
      <c r="BE63" s="331"/>
      <c r="BF63" s="331"/>
      <c r="BG63" s="331"/>
      <c r="BH63" s="331"/>
      <c r="BI63" s="331"/>
      <c r="BJ63" s="331"/>
      <c r="BK63" s="331"/>
      <c r="BL63" s="331"/>
      <c r="BM63" s="331"/>
      <c r="BN63" s="331"/>
      <c r="BO63" s="331"/>
      <c r="BP63" s="331"/>
      <c r="BQ63" s="331"/>
      <c r="BR63" s="331"/>
      <c r="BS63" s="331"/>
      <c r="BT63" s="331"/>
      <c r="BU63" s="331"/>
      <c r="BV63" s="331"/>
      <c r="BW63" s="331"/>
      <c r="BX63" s="331"/>
      <c r="BY63" s="331"/>
      <c r="BZ63" s="331"/>
      <c r="CA63" s="331"/>
      <c r="CB63" s="331"/>
      <c r="CC63" s="331"/>
      <c r="CD63" s="331"/>
      <c r="CE63" s="331"/>
      <c r="CF63" s="331"/>
      <c r="CG63" s="331"/>
      <c r="CH63" s="331"/>
      <c r="CI63" s="331"/>
      <c r="CJ63" s="331"/>
      <c r="CK63" s="331"/>
      <c r="CL63" s="331"/>
      <c r="CM63" s="331"/>
      <c r="CN63" s="331"/>
      <c r="CO63" s="331"/>
      <c r="CP63" s="331"/>
      <c r="CQ63" s="331"/>
      <c r="CR63" s="331"/>
      <c r="CS63" s="331"/>
      <c r="CT63" s="331"/>
      <c r="CU63" s="331"/>
      <c r="CV63" s="331"/>
      <c r="CW63" s="331"/>
      <c r="CX63" s="331"/>
      <c r="CY63" s="331"/>
      <c r="CZ63" s="331"/>
      <c r="DA63" s="331"/>
      <c r="DB63" s="331"/>
      <c r="DC63" s="331"/>
      <c r="DD63" s="331"/>
      <c r="DE63" s="331"/>
      <c r="DF63" s="331"/>
      <c r="DG63" s="331"/>
      <c r="DH63" s="331"/>
      <c r="DI63" s="331"/>
      <c r="DJ63" s="331"/>
      <c r="DK63" s="333"/>
      <c r="DL63" s="333"/>
      <c r="DM63" s="333"/>
      <c r="DN63" s="333"/>
      <c r="DO63" s="333"/>
      <c r="DP63" s="333"/>
      <c r="DQ63" s="333"/>
      <c r="DR63" s="333"/>
      <c r="DS63" s="333"/>
      <c r="DT63" s="331"/>
      <c r="DU63" s="359"/>
      <c r="DV63" s="359"/>
      <c r="DW63" s="359"/>
      <c r="DX63" s="359"/>
      <c r="DY63" s="359"/>
      <c r="DZ63" s="359"/>
      <c r="EA63" s="359"/>
      <c r="EB63" s="359"/>
      <c r="EC63" s="769">
        <f t="shared" si="166"/>
        <v>180</v>
      </c>
      <c r="ED63" s="889">
        <f>GE113</f>
        <v>0</v>
      </c>
      <c r="EE63" s="890"/>
      <c r="EF63" s="476">
        <f>GG113</f>
        <v>0</v>
      </c>
      <c r="EG63" s="893">
        <f>GL113</f>
        <v>0</v>
      </c>
      <c r="EH63" s="893"/>
      <c r="EI63" s="506">
        <f>GQ113</f>
        <v>0</v>
      </c>
      <c r="EJ63" s="373"/>
      <c r="EK63" s="373"/>
      <c r="EL63" s="366"/>
      <c r="EM63" s="368"/>
      <c r="EN63" s="365"/>
      <c r="EO63" s="353">
        <f>+IF(EO61= 0, 0, GG59)</f>
        <v>0</v>
      </c>
      <c r="EP63" s="350"/>
      <c r="EQ63" s="344"/>
      <c r="ER63" s="523"/>
      <c r="ES63" s="921">
        <f>IF(ER63 = "", 0,
IF(AND(EP63 &gt; 0, EQ63 &gt;0), 0, IF(EO59 &lt;&gt; $Z$1,
IF(AND(EP63 &lt;&gt; "", EP63 &lt;&gt; 0), -(EP63 * ER63 * 100),
IF(AND(EQ63 &lt;&gt; "", EQ63 &lt;&gt; 0), (EQ63 * ER63 * 100), 0)),
IF(AND(EP63 &lt;&gt; "", EP63 &lt;&gt; 0), -(EP63 * ER63 * 1),
IF(AND(EQ63 &lt;&gt; "", EQ63 &lt;&gt; 0), (EQ63 * ER63 * 1), 0))  )))</f>
        <v>0</v>
      </c>
      <c r="ET63" s="922"/>
      <c r="EU63" s="924"/>
      <c r="EV63" s="921">
        <f>IF(ER63 = "", 0,
IF(AND(EP63 &gt; 0, EQ63 &gt;0), 0,  IF(EO59 &lt;&gt; $Z$1,
IF(AND(EP63 &lt;&gt; "", EP63 &lt;&gt; 0), -(EP63 * ER63 * 100 * (1 + COMIS_OPCION)),
IF(AND(EQ63 &lt;&gt; "", EQ63 &lt;&gt; 0), (EQ63 * ER63 * 100 * (1 - COMIS_OPCION)), 0)),
IF(AND(EP63 &lt;&gt; "", EP63 &lt;&gt; 0), -(EP63 * ER63 * 1 * (1 + COMIS_ACCION)),
IF(AND(EQ63 &lt;&gt; "", EQ63 &lt;&gt; 0), (EQ63 * ER63 * 1 * (1 - COMIS_ACCION)), 0))  )))</f>
        <v>0</v>
      </c>
      <c r="EW63" s="922"/>
      <c r="EX63" s="922"/>
      <c r="EY63" s="922"/>
      <c r="EZ63" s="922"/>
      <c r="FA63" s="922"/>
      <c r="FB63" s="922"/>
      <c r="FC63" s="922"/>
      <c r="FD63" s="923"/>
      <c r="FE63" s="340"/>
      <c r="FF63" s="340"/>
      <c r="FG63" s="365"/>
      <c r="FH63" s="365"/>
      <c r="FI63" s="349">
        <f>+IF(FI61= 0, 0, GQ59)</f>
        <v>0</v>
      </c>
      <c r="FJ63" s="348"/>
      <c r="FK63" s="345"/>
      <c r="FL63" s="346"/>
      <c r="FM63" s="937">
        <f>IF(FL63 = "", 0,
IF(AND(FJ63 &gt; 0, FK63 &gt;0), 0,
IF(AND(FJ63 &lt;&gt; "", FJ63 &lt;&gt; 0), -(FJ63 * FL63 * 100),
IF(AND(FK63 &lt;&gt; "", FK63 &lt;&gt; 0), (FK63 * FL63 * 100), 0)) ))</f>
        <v>0</v>
      </c>
      <c r="FN63" s="938"/>
      <c r="FO63" s="939"/>
      <c r="FP63" s="937">
        <f>IF(FL63 = "", 0,
IF(AND(FJ63 &gt; 0, FK63 &gt;0), 0,
IF(AND(FJ63 &lt;&gt; "", FJ63 &lt;&gt; 0), -(FJ63 * FL63 * 100 * (1 + COMIS_OPCION)),
IF(AND(FK63 &lt;&gt; "", FK63 &lt;&gt; 0), (FK63 * FL63 * 100 * (1 - COMIS_OPCION)), 0)) ))</f>
        <v>0</v>
      </c>
      <c r="FQ63" s="938"/>
      <c r="FR63" s="938"/>
      <c r="FS63" s="938"/>
      <c r="FT63" s="938"/>
      <c r="FU63" s="938"/>
      <c r="FV63" s="938"/>
      <c r="FW63" s="938"/>
      <c r="FX63" s="969"/>
      <c r="FY63" s="341"/>
      <c r="FZ63" s="341"/>
      <c r="GA63" s="341"/>
      <c r="GB63" s="495">
        <v>0</v>
      </c>
      <c r="GC63" s="495">
        <v>0</v>
      </c>
      <c r="GD63" s="500"/>
      <c r="GE63" s="495">
        <v>0</v>
      </c>
      <c r="GF63" s="495">
        <v>0</v>
      </c>
      <c r="GG63" s="495">
        <v>0</v>
      </c>
      <c r="GH63" s="359"/>
      <c r="GI63" s="359"/>
      <c r="GJ63" s="501"/>
      <c r="GK63" s="495">
        <v>0</v>
      </c>
      <c r="GL63" s="495">
        <v>0</v>
      </c>
      <c r="GM63" s="495">
        <v>0</v>
      </c>
      <c r="GN63" s="359"/>
      <c r="GO63" s="359"/>
      <c r="GP63" s="501"/>
      <c r="GQ63" s="495">
        <v>0</v>
      </c>
      <c r="GR63" s="359"/>
      <c r="GS63" s="331"/>
      <c r="GT63" s="331"/>
      <c r="GU63" s="331"/>
      <c r="GV63" s="331"/>
      <c r="GW63" s="331"/>
      <c r="GX63" s="331"/>
      <c r="GY63" s="331"/>
      <c r="GZ63" s="331"/>
      <c r="HA63" s="331"/>
      <c r="HB63" s="331"/>
      <c r="HC63" s="331"/>
      <c r="HD63" s="331"/>
      <c r="HE63" s="331"/>
      <c r="HF63" s="331"/>
      <c r="HG63" s="331"/>
      <c r="HH63" s="331"/>
      <c r="HI63" s="331"/>
      <c r="HJ63" s="331"/>
      <c r="HK63" s="331"/>
      <c r="HL63" s="331"/>
      <c r="HM63" s="420"/>
      <c r="HN63" s="420"/>
      <c r="HO63" s="420"/>
      <c r="HP63" s="420"/>
      <c r="HQ63" s="420"/>
      <c r="HR63" s="420"/>
      <c r="HS63" s="420"/>
      <c r="HT63" s="420"/>
      <c r="HU63" s="420"/>
      <c r="HV63" s="420"/>
      <c r="HW63" s="420"/>
      <c r="HX63" s="331"/>
      <c r="HY63" s="333"/>
      <c r="HZ63" s="333"/>
      <c r="IA63" s="333"/>
      <c r="IB63" s="333"/>
      <c r="IC63" s="333"/>
      <c r="ID63" s="55"/>
      <c r="IE63" s="47"/>
      <c r="IF63" s="142"/>
      <c r="IG63" s="142"/>
      <c r="IH63" s="111">
        <f>+IF(IL63 = "", "", IF($CL$49 = FALSE, 0, IN63))</f>
        <v>0</v>
      </c>
      <c r="II63" s="111">
        <f t="shared" si="168"/>
        <v>0</v>
      </c>
      <c r="IJ63" s="146">
        <v>8</v>
      </c>
      <c r="IK63" s="151">
        <f>+IF(IK14 = "", "", IK14)</f>
        <v>165</v>
      </c>
      <c r="IL63" s="106">
        <f t="shared" si="169"/>
        <v>-0.21297400429286906</v>
      </c>
      <c r="IM63" s="110">
        <f t="shared" si="169"/>
        <v>165</v>
      </c>
      <c r="IN63" s="111">
        <f t="shared" si="170"/>
        <v>0</v>
      </c>
      <c r="IO63" s="50">
        <f t="shared" si="171"/>
        <v>0</v>
      </c>
      <c r="IP63" s="50">
        <f t="shared" si="171"/>
        <v>0</v>
      </c>
      <c r="IQ63" s="50">
        <f t="shared" si="171"/>
        <v>0</v>
      </c>
      <c r="IR63" s="50">
        <f t="shared" si="171"/>
        <v>0</v>
      </c>
      <c r="IS63" s="50">
        <f t="shared" si="171"/>
        <v>0</v>
      </c>
      <c r="IT63" s="50">
        <f t="shared" si="171"/>
        <v>0</v>
      </c>
      <c r="IU63" s="50">
        <f t="shared" si="171"/>
        <v>0</v>
      </c>
      <c r="IV63" s="50">
        <f t="shared" si="171"/>
        <v>0</v>
      </c>
      <c r="IW63" s="50">
        <f t="shared" si="171"/>
        <v>0</v>
      </c>
      <c r="IX63" s="50">
        <f t="shared" si="171"/>
        <v>0</v>
      </c>
      <c r="IY63" s="50">
        <f t="shared" si="172"/>
        <v>0</v>
      </c>
      <c r="IZ63" s="50">
        <f t="shared" si="172"/>
        <v>0</v>
      </c>
      <c r="JA63" s="50">
        <f t="shared" si="172"/>
        <v>0</v>
      </c>
      <c r="JB63" s="50">
        <f t="shared" si="172"/>
        <v>0</v>
      </c>
      <c r="JC63" s="50">
        <f t="shared" si="172"/>
        <v>0</v>
      </c>
      <c r="JD63" s="50">
        <f t="shared" si="172"/>
        <v>0</v>
      </c>
      <c r="JE63" s="50">
        <f t="shared" si="172"/>
        <v>0</v>
      </c>
      <c r="JF63" s="50">
        <f t="shared" si="172"/>
        <v>0</v>
      </c>
      <c r="JG63" s="50">
        <f t="shared" si="172"/>
        <v>0</v>
      </c>
      <c r="JH63" s="50">
        <f t="shared" si="172"/>
        <v>0</v>
      </c>
      <c r="JI63" s="50">
        <f t="shared" si="173"/>
        <v>0</v>
      </c>
      <c r="JJ63" s="50">
        <f t="shared" si="173"/>
        <v>0</v>
      </c>
      <c r="JK63" s="50">
        <f t="shared" si="173"/>
        <v>0</v>
      </c>
      <c r="JL63" s="50">
        <f t="shared" si="173"/>
        <v>0</v>
      </c>
      <c r="JM63" s="50">
        <f t="shared" si="173"/>
        <v>0</v>
      </c>
      <c r="JN63" s="50">
        <f t="shared" si="173"/>
        <v>0</v>
      </c>
      <c r="JO63" s="50">
        <f t="shared" si="173"/>
        <v>0</v>
      </c>
      <c r="JP63" s="50">
        <f t="shared" si="173"/>
        <v>0</v>
      </c>
      <c r="JQ63" s="50">
        <f t="shared" si="173"/>
        <v>0</v>
      </c>
      <c r="JR63" s="50">
        <f t="shared" si="173"/>
        <v>0</v>
      </c>
      <c r="JS63" s="50">
        <f t="shared" si="174"/>
        <v>0</v>
      </c>
      <c r="JT63" s="50">
        <f t="shared" si="174"/>
        <v>0</v>
      </c>
      <c r="JU63" s="50" t="str">
        <f t="shared" si="174"/>
        <v/>
      </c>
      <c r="JV63" s="50" t="str">
        <f t="shared" si="174"/>
        <v/>
      </c>
      <c r="JW63" s="50" t="str">
        <f t="shared" si="174"/>
        <v/>
      </c>
      <c r="JX63" s="50" t="str">
        <f t="shared" si="174"/>
        <v/>
      </c>
      <c r="JY63" s="50" t="str">
        <f t="shared" si="174"/>
        <v/>
      </c>
      <c r="JZ63" s="50" t="str">
        <f t="shared" si="174"/>
        <v/>
      </c>
      <c r="KA63" s="50" t="str">
        <f t="shared" si="174"/>
        <v/>
      </c>
      <c r="KB63" s="50" t="str">
        <f t="shared" si="174"/>
        <v/>
      </c>
      <c r="KC63" s="50" t="str">
        <f t="shared" si="174"/>
        <v/>
      </c>
      <c r="KD63" s="50" t="str">
        <f t="shared" si="174"/>
        <v/>
      </c>
      <c r="KE63" s="142"/>
      <c r="KF63" s="142"/>
      <c r="KG63" s="142"/>
    </row>
    <row r="64" spans="13:293" s="144" customFormat="1" ht="15" customHeight="1" thickBot="1">
      <c r="M64" s="333"/>
      <c r="N64" s="333"/>
      <c r="O64" s="333"/>
      <c r="P64" s="333"/>
      <c r="Q64" s="331"/>
      <c r="R64" s="331"/>
      <c r="S64" s="331"/>
      <c r="T64" s="331"/>
      <c r="U64" s="333"/>
      <c r="V64" s="333"/>
      <c r="W64" s="331"/>
      <c r="X64" s="331"/>
      <c r="Y64" s="331"/>
      <c r="Z64" s="331"/>
      <c r="AA64" s="331"/>
      <c r="AB64" s="331"/>
      <c r="AC64" s="331"/>
      <c r="AD64" s="331"/>
      <c r="AE64" s="331"/>
      <c r="AF64" s="331"/>
      <c r="AG64" s="331"/>
      <c r="AH64" s="331"/>
      <c r="AI64" s="331"/>
      <c r="AJ64" s="331"/>
      <c r="AK64" s="331"/>
      <c r="AL64" s="331"/>
      <c r="AM64" s="331"/>
      <c r="AN64" s="331"/>
      <c r="AO64" s="331"/>
      <c r="AP64" s="331"/>
      <c r="AQ64" s="331"/>
      <c r="AR64" s="331"/>
      <c r="AS64" s="331"/>
      <c r="AT64" s="331"/>
      <c r="AU64" s="331"/>
      <c r="AV64" s="331"/>
      <c r="AW64" s="331"/>
      <c r="AX64" s="331"/>
      <c r="AY64" s="331"/>
      <c r="AZ64" s="331"/>
      <c r="BA64" s="331"/>
      <c r="BB64" s="331"/>
      <c r="BC64" s="331"/>
      <c r="BD64" s="331"/>
      <c r="BE64" s="331"/>
      <c r="BF64" s="331"/>
      <c r="BG64" s="331"/>
      <c r="BH64" s="331"/>
      <c r="BI64" s="331"/>
      <c r="BJ64" s="331"/>
      <c r="BK64" s="331"/>
      <c r="BL64" s="331"/>
      <c r="BM64" s="331"/>
      <c r="BN64" s="331"/>
      <c r="BO64" s="331"/>
      <c r="BP64" s="331"/>
      <c r="BQ64" s="331"/>
      <c r="BR64" s="331"/>
      <c r="BS64" s="331"/>
      <c r="BT64" s="331"/>
      <c r="BU64" s="331"/>
      <c r="BV64" s="331"/>
      <c r="BW64" s="331"/>
      <c r="BX64" s="331"/>
      <c r="BY64" s="331"/>
      <c r="BZ64" s="331"/>
      <c r="CA64" s="331"/>
      <c r="CB64" s="331"/>
      <c r="CC64" s="331"/>
      <c r="CD64" s="331"/>
      <c r="CE64" s="331"/>
      <c r="CF64" s="331"/>
      <c r="CG64" s="331"/>
      <c r="CH64" s="331"/>
      <c r="CI64" s="331"/>
      <c r="CJ64" s="331"/>
      <c r="CK64" s="331"/>
      <c r="CL64" s="331"/>
      <c r="CM64" s="331"/>
      <c r="CN64" s="331"/>
      <c r="CO64" s="331"/>
      <c r="CP64" s="331"/>
      <c r="CQ64" s="331"/>
      <c r="CR64" s="331"/>
      <c r="CS64" s="331"/>
      <c r="CT64" s="331"/>
      <c r="CU64" s="331"/>
      <c r="CV64" s="331"/>
      <c r="CW64" s="331"/>
      <c r="CX64" s="331"/>
      <c r="CY64" s="331"/>
      <c r="CZ64" s="331"/>
      <c r="DA64" s="331"/>
      <c r="DB64" s="331"/>
      <c r="DC64" s="331"/>
      <c r="DD64" s="331"/>
      <c r="DE64" s="331"/>
      <c r="DF64" s="331"/>
      <c r="DG64" s="331"/>
      <c r="DH64" s="331"/>
      <c r="DI64" s="331"/>
      <c r="DJ64" s="331"/>
      <c r="DK64" s="333"/>
      <c r="DL64" s="333"/>
      <c r="DM64" s="333"/>
      <c r="DN64" s="333"/>
      <c r="DO64" s="333"/>
      <c r="DP64" s="333"/>
      <c r="DQ64" s="333"/>
      <c r="DR64" s="333"/>
      <c r="DS64" s="333"/>
      <c r="DT64" s="331"/>
      <c r="DU64" s="359"/>
      <c r="DV64" s="359"/>
      <c r="DW64" s="359"/>
      <c r="DX64" s="359"/>
      <c r="DY64" s="359"/>
      <c r="DZ64" s="359"/>
      <c r="EA64" s="359"/>
      <c r="EB64" s="359"/>
      <c r="EC64" s="769">
        <f t="shared" si="166"/>
        <v>185</v>
      </c>
      <c r="ED64" s="889">
        <f>GE119</f>
        <v>0</v>
      </c>
      <c r="EE64" s="890"/>
      <c r="EF64" s="476">
        <f>GG119</f>
        <v>0</v>
      </c>
      <c r="EG64" s="893">
        <f>GL119</f>
        <v>0</v>
      </c>
      <c r="EH64" s="893"/>
      <c r="EI64" s="506">
        <f>GQ119</f>
        <v>0</v>
      </c>
      <c r="EJ64" s="373"/>
      <c r="EK64" s="373"/>
      <c r="EL64" s="366"/>
      <c r="EM64" s="366"/>
      <c r="EN64" s="364"/>
      <c r="EO64" s="363"/>
      <c r="EP64" s="340"/>
      <c r="EQ64" s="340"/>
      <c r="ER64" s="340"/>
      <c r="ES64" s="363"/>
      <c r="ET64" s="363"/>
      <c r="EU64" s="340"/>
      <c r="EV64" s="340"/>
      <c r="EW64" s="340"/>
      <c r="EX64" s="340"/>
      <c r="EY64" s="340"/>
      <c r="EZ64" s="340"/>
      <c r="FA64" s="340"/>
      <c r="FB64" s="402"/>
      <c r="FC64" s="402"/>
      <c r="FD64" s="340"/>
      <c r="FE64" s="340"/>
      <c r="FF64" s="340"/>
      <c r="FG64" s="364"/>
      <c r="FH64" s="364"/>
      <c r="FI64" s="363"/>
      <c r="FJ64" s="360"/>
      <c r="FK64" s="360"/>
      <c r="FL64" s="340"/>
      <c r="FM64" s="967"/>
      <c r="FN64" s="967"/>
      <c r="FO64" s="967"/>
      <c r="FP64" s="968"/>
      <c r="FQ64" s="968"/>
      <c r="FR64" s="968"/>
      <c r="FS64" s="968"/>
      <c r="FT64" s="968"/>
      <c r="FU64" s="968"/>
      <c r="FV64" s="968"/>
      <c r="FW64" s="968"/>
      <c r="FX64" s="968"/>
      <c r="FY64" s="341"/>
      <c r="FZ64" s="341"/>
      <c r="GA64" s="341"/>
      <c r="GB64" s="495">
        <v>0</v>
      </c>
      <c r="GC64" s="495">
        <v>0</v>
      </c>
      <c r="GD64" s="500"/>
      <c r="GE64" s="495">
        <v>0</v>
      </c>
      <c r="GF64" s="495">
        <v>0</v>
      </c>
      <c r="GG64" s="495">
        <v>0</v>
      </c>
      <c r="GH64" s="359"/>
      <c r="GI64" s="359"/>
      <c r="GJ64" s="501"/>
      <c r="GK64" s="495">
        <v>0</v>
      </c>
      <c r="GL64" s="495">
        <v>0</v>
      </c>
      <c r="GM64" s="495">
        <v>0</v>
      </c>
      <c r="GN64" s="359"/>
      <c r="GO64" s="359"/>
      <c r="GP64" s="501"/>
      <c r="GQ64" s="495">
        <v>0</v>
      </c>
      <c r="GR64" s="359"/>
      <c r="GS64" s="331"/>
      <c r="GT64" s="331"/>
      <c r="GU64" s="331"/>
      <c r="GV64" s="331"/>
      <c r="GW64" s="331"/>
      <c r="GX64" s="331"/>
      <c r="GY64" s="331"/>
      <c r="GZ64" s="331"/>
      <c r="HA64" s="331"/>
      <c r="HB64" s="331"/>
      <c r="HC64" s="331"/>
      <c r="HD64" s="331"/>
      <c r="HE64" s="331"/>
      <c r="HF64" s="331"/>
      <c r="HG64" s="331"/>
      <c r="HH64" s="331"/>
      <c r="HI64" s="331"/>
      <c r="HJ64" s="331"/>
      <c r="HK64" s="331"/>
      <c r="HL64" s="331"/>
      <c r="HM64" s="420"/>
      <c r="HN64" s="420"/>
      <c r="HO64" s="420"/>
      <c r="HP64" s="420"/>
      <c r="HQ64" s="420"/>
      <c r="HR64" s="420"/>
      <c r="HS64" s="420"/>
      <c r="HT64" s="420"/>
      <c r="HU64" s="420"/>
      <c r="HV64" s="420"/>
      <c r="HW64" s="420"/>
      <c r="HX64" s="331"/>
      <c r="HY64" s="333"/>
      <c r="HZ64" s="333"/>
      <c r="IA64" s="333"/>
      <c r="IB64" s="333"/>
      <c r="IC64" s="333"/>
      <c r="ID64" s="55"/>
      <c r="IE64" s="47"/>
      <c r="IF64" s="142"/>
      <c r="IG64" s="142"/>
      <c r="IH64" s="111">
        <f t="shared" si="175"/>
        <v>0</v>
      </c>
      <c r="II64" s="111">
        <f t="shared" si="168"/>
        <v>0</v>
      </c>
      <c r="IJ64" s="146">
        <v>9</v>
      </c>
      <c r="IK64" s="151">
        <f t="shared" si="169"/>
        <v>170</v>
      </c>
      <c r="IL64" s="106">
        <f t="shared" si="169"/>
        <v>-0.18912473169568333</v>
      </c>
      <c r="IM64" s="110">
        <f t="shared" si="169"/>
        <v>170</v>
      </c>
      <c r="IN64" s="111">
        <f t="shared" si="170"/>
        <v>0</v>
      </c>
      <c r="IO64" s="50">
        <f t="shared" si="171"/>
        <v>0</v>
      </c>
      <c r="IP64" s="50">
        <f t="shared" si="171"/>
        <v>0</v>
      </c>
      <c r="IQ64" s="50">
        <f t="shared" si="171"/>
        <v>0</v>
      </c>
      <c r="IR64" s="50">
        <f t="shared" si="171"/>
        <v>0</v>
      </c>
      <c r="IS64" s="50">
        <f t="shared" si="171"/>
        <v>0</v>
      </c>
      <c r="IT64" s="50">
        <f t="shared" si="171"/>
        <v>0</v>
      </c>
      <c r="IU64" s="50">
        <f t="shared" si="171"/>
        <v>0</v>
      </c>
      <c r="IV64" s="50">
        <f t="shared" si="171"/>
        <v>0</v>
      </c>
      <c r="IW64" s="50">
        <f t="shared" si="171"/>
        <v>0</v>
      </c>
      <c r="IX64" s="50">
        <f t="shared" si="171"/>
        <v>0</v>
      </c>
      <c r="IY64" s="50">
        <f t="shared" si="172"/>
        <v>0</v>
      </c>
      <c r="IZ64" s="50">
        <f t="shared" si="172"/>
        <v>0</v>
      </c>
      <c r="JA64" s="50">
        <f t="shared" si="172"/>
        <v>0</v>
      </c>
      <c r="JB64" s="50">
        <f t="shared" si="172"/>
        <v>0</v>
      </c>
      <c r="JC64" s="50">
        <f t="shared" si="172"/>
        <v>0</v>
      </c>
      <c r="JD64" s="50">
        <f t="shared" si="172"/>
        <v>0</v>
      </c>
      <c r="JE64" s="50">
        <f t="shared" si="172"/>
        <v>0</v>
      </c>
      <c r="JF64" s="50">
        <f t="shared" si="172"/>
        <v>0</v>
      </c>
      <c r="JG64" s="50">
        <f t="shared" si="172"/>
        <v>0</v>
      </c>
      <c r="JH64" s="50">
        <f t="shared" si="172"/>
        <v>0</v>
      </c>
      <c r="JI64" s="50">
        <f t="shared" si="173"/>
        <v>0</v>
      </c>
      <c r="JJ64" s="50">
        <f t="shared" si="173"/>
        <v>0</v>
      </c>
      <c r="JK64" s="50">
        <f t="shared" si="173"/>
        <v>0</v>
      </c>
      <c r="JL64" s="50">
        <f t="shared" si="173"/>
        <v>0</v>
      </c>
      <c r="JM64" s="50">
        <f t="shared" si="173"/>
        <v>0</v>
      </c>
      <c r="JN64" s="50">
        <f t="shared" si="173"/>
        <v>0</v>
      </c>
      <c r="JO64" s="50">
        <f t="shared" si="173"/>
        <v>0</v>
      </c>
      <c r="JP64" s="50">
        <f t="shared" si="173"/>
        <v>0</v>
      </c>
      <c r="JQ64" s="50">
        <f t="shared" si="173"/>
        <v>0</v>
      </c>
      <c r="JR64" s="50">
        <f t="shared" si="173"/>
        <v>0</v>
      </c>
      <c r="JS64" s="50">
        <f t="shared" si="174"/>
        <v>0</v>
      </c>
      <c r="JT64" s="50">
        <f t="shared" si="174"/>
        <v>0</v>
      </c>
      <c r="JU64" s="50" t="str">
        <f t="shared" si="174"/>
        <v/>
      </c>
      <c r="JV64" s="50" t="str">
        <f t="shared" si="174"/>
        <v/>
      </c>
      <c r="JW64" s="50" t="str">
        <f t="shared" si="174"/>
        <v/>
      </c>
      <c r="JX64" s="50" t="str">
        <f t="shared" si="174"/>
        <v/>
      </c>
      <c r="JY64" s="50" t="str">
        <f t="shared" si="174"/>
        <v/>
      </c>
      <c r="JZ64" s="50" t="str">
        <f t="shared" si="174"/>
        <v/>
      </c>
      <c r="KA64" s="50" t="str">
        <f t="shared" si="174"/>
        <v/>
      </c>
      <c r="KB64" s="50" t="str">
        <f t="shared" si="174"/>
        <v/>
      </c>
      <c r="KC64" s="50" t="str">
        <f t="shared" si="174"/>
        <v/>
      </c>
      <c r="KD64" s="50" t="str">
        <f t="shared" si="174"/>
        <v/>
      </c>
      <c r="KE64" s="142"/>
      <c r="KF64" s="142"/>
      <c r="KG64" s="142"/>
    </row>
    <row r="65" spans="13:293" s="144" customFormat="1" ht="15" customHeight="1">
      <c r="M65" s="333"/>
      <c r="N65" s="333"/>
      <c r="O65" s="333"/>
      <c r="P65" s="333"/>
      <c r="Q65" s="331"/>
      <c r="R65" s="331"/>
      <c r="S65" s="331"/>
      <c r="T65" s="331"/>
      <c r="U65" s="333"/>
      <c r="V65" s="333"/>
      <c r="W65" s="331"/>
      <c r="X65" s="331"/>
      <c r="Y65" s="331"/>
      <c r="Z65" s="331"/>
      <c r="AA65" s="331"/>
      <c r="AB65" s="331"/>
      <c r="AC65" s="331"/>
      <c r="AD65" s="331"/>
      <c r="AE65" s="331"/>
      <c r="AF65" s="331"/>
      <c r="AG65" s="331"/>
      <c r="AH65" s="331"/>
      <c r="AI65" s="331"/>
      <c r="AJ65" s="331"/>
      <c r="AK65" s="331"/>
      <c r="AL65" s="331"/>
      <c r="AM65" s="331"/>
      <c r="AN65" s="331"/>
      <c r="AO65" s="331"/>
      <c r="AP65" s="331"/>
      <c r="AQ65" s="331"/>
      <c r="AR65" s="331"/>
      <c r="AS65" s="331"/>
      <c r="AT65" s="331"/>
      <c r="AU65" s="331"/>
      <c r="AV65" s="331"/>
      <c r="AW65" s="331"/>
      <c r="AX65" s="331"/>
      <c r="AY65" s="331"/>
      <c r="AZ65" s="331"/>
      <c r="BA65" s="331"/>
      <c r="BB65" s="331"/>
      <c r="BC65" s="331"/>
      <c r="BD65" s="331"/>
      <c r="BE65" s="331"/>
      <c r="BF65" s="331"/>
      <c r="BG65" s="331"/>
      <c r="BH65" s="331"/>
      <c r="BI65" s="331"/>
      <c r="BJ65" s="331"/>
      <c r="BK65" s="331"/>
      <c r="BL65" s="331"/>
      <c r="BM65" s="331"/>
      <c r="BN65" s="331"/>
      <c r="BO65" s="331"/>
      <c r="BP65" s="331"/>
      <c r="BQ65" s="331"/>
      <c r="BR65" s="331"/>
      <c r="BS65" s="331"/>
      <c r="BT65" s="331"/>
      <c r="BU65" s="331"/>
      <c r="BV65" s="331"/>
      <c r="BW65" s="331"/>
      <c r="BX65" s="331"/>
      <c r="BY65" s="331"/>
      <c r="BZ65" s="331"/>
      <c r="CA65" s="331"/>
      <c r="CB65" s="331"/>
      <c r="CC65" s="331"/>
      <c r="CD65" s="331"/>
      <c r="CE65" s="331"/>
      <c r="CF65" s="331"/>
      <c r="CG65" s="331"/>
      <c r="CH65" s="331"/>
      <c r="CI65" s="331"/>
      <c r="CJ65" s="331"/>
      <c r="CK65" s="331"/>
      <c r="CL65" s="331"/>
      <c r="CM65" s="331"/>
      <c r="CN65" s="331"/>
      <c r="CO65" s="331"/>
      <c r="CP65" s="331"/>
      <c r="CQ65" s="331"/>
      <c r="CR65" s="331"/>
      <c r="CS65" s="331"/>
      <c r="CT65" s="331"/>
      <c r="CU65" s="331"/>
      <c r="CV65" s="331"/>
      <c r="CW65" s="331"/>
      <c r="CX65" s="331"/>
      <c r="CY65" s="331"/>
      <c r="CZ65" s="331"/>
      <c r="DA65" s="331"/>
      <c r="DB65" s="331"/>
      <c r="DC65" s="331"/>
      <c r="DD65" s="331"/>
      <c r="DE65" s="331"/>
      <c r="DF65" s="331"/>
      <c r="DG65" s="331"/>
      <c r="DH65" s="331"/>
      <c r="DI65" s="331"/>
      <c r="DJ65" s="331"/>
      <c r="DK65" s="333"/>
      <c r="DL65" s="333"/>
      <c r="DM65" s="333"/>
      <c r="DN65" s="333"/>
      <c r="DO65" s="333"/>
      <c r="DP65" s="333"/>
      <c r="DQ65" s="333"/>
      <c r="DR65" s="333"/>
      <c r="DS65" s="333"/>
      <c r="DT65" s="331"/>
      <c r="DU65" s="359"/>
      <c r="DV65" s="359"/>
      <c r="DW65" s="359"/>
      <c r="DX65" s="359"/>
      <c r="DY65" s="359"/>
      <c r="DZ65" s="359"/>
      <c r="EA65" s="359"/>
      <c r="EB65" s="359"/>
      <c r="EC65" s="769">
        <f t="shared" si="166"/>
        <v>190</v>
      </c>
      <c r="ED65" s="889">
        <f>GE125</f>
        <v>0</v>
      </c>
      <c r="EE65" s="890"/>
      <c r="EF65" s="476">
        <f>GG125</f>
        <v>0</v>
      </c>
      <c r="EG65" s="893">
        <f>GL125</f>
        <v>0</v>
      </c>
      <c r="EH65" s="893"/>
      <c r="EI65" s="506">
        <f>GQ125</f>
        <v>0</v>
      </c>
      <c r="EJ65" s="373"/>
      <c r="EK65" s="373"/>
      <c r="EL65" s="366"/>
      <c r="EM65" s="366"/>
      <c r="EN65" s="364">
        <f>+EN59+1</f>
        <v>3</v>
      </c>
      <c r="EO65" s="356">
        <f>+VLOOKUP(EN65, PRECIOS_EJERCICIOS,  2,FALSE)</f>
        <v>140</v>
      </c>
      <c r="EP65" s="513" t="str">
        <f>+IF($AQ$49 = FALSE, "",
IF(VLOOKUP(EO65, basesCantPrimaBrutoRes, 2,FALSE) &gt;= 0, VLOOKUP(EO65, basesCantPrimaBrutoRes, 2,FALSE), 0))</f>
        <v/>
      </c>
      <c r="EQ65" s="514" t="str">
        <f>+IF($AQ$49 = FALSE, "",
IF(VLOOKUP(EO65, basesCantPrimaBrutoRes, 2,FALSE) &lt; 0, -VLOOKUP(EO65, basesCantPrimaBrutoRes, 2,FALSE), 0))</f>
        <v/>
      </c>
      <c r="ER65" s="521" t="str">
        <f>IF($AQ$49 = FALSE, "",
VLOOKUP(EO65, basesCantPrimaBrutoRes, 4,FALSE))</f>
        <v/>
      </c>
      <c r="ES65" s="926">
        <f>IF(ER65 = "", 0,
IF(AND(EP65 &gt; 0, EQ65 &gt;0), 0, IF(EO65 &lt;&gt; $Z$1,
IF(AND(EP65 &lt;&gt; "", EP65 &lt;&gt; 0), -(EP65 * ER65 * 100),
IF(AND(EQ65 &lt;&gt; "", EQ65 &lt;&gt; 0), (EQ65 * ER65 * 100), 0)),
IF(AND(EP65 &lt;&gt; "", EP65 &lt;&gt; 0), -(EP65 * ER65 * 1),
IF(AND(EQ65 &lt;&gt; "", EQ65 &lt;&gt; 0), (EQ65 * ER65 * 1), 0))  )))</f>
        <v>0</v>
      </c>
      <c r="ET65" s="927"/>
      <c r="EU65" s="928"/>
      <c r="EV65" s="926">
        <f>IF(ER65 = "", 0,
IF(AND(EP65 &gt; 0, EQ65 &gt;0), 0,  IF(EO65 &lt;&gt; $Z$1,
IF(AND(EP65 &lt;&gt; "", EP65 &lt;&gt; 0), -(EP65 * ER65 * 100 * (1 + COMIS_OPCION)),
IF(AND(EQ65 &lt;&gt; "", EQ65 &lt;&gt; 0), (EQ65 * ER65 * 100 * (1 - COMIS_OPCION)), 0)),
IF(AND(EP65 &lt;&gt; "", EP65 &lt;&gt; 0), -(EP65 * ER65 * 1 * (1 + COMIS_ACCION)),
IF(AND(EQ65 &lt;&gt; "", EQ65 &lt;&gt; 0), (EQ65 * ER65 * 1 * (1 - COMIS_ACCION)), 0))  )))</f>
        <v>0</v>
      </c>
      <c r="EW65" s="927"/>
      <c r="EX65" s="927"/>
      <c r="EY65" s="927"/>
      <c r="EZ65" s="927"/>
      <c r="FA65" s="927"/>
      <c r="FB65" s="927"/>
      <c r="FC65" s="927"/>
      <c r="FD65" s="929"/>
      <c r="FE65" s="340"/>
      <c r="FF65" s="340"/>
      <c r="FG65" s="364"/>
      <c r="FH65" s="364">
        <f>+FH59+1</f>
        <v>3</v>
      </c>
      <c r="FI65" s="357">
        <f>+VLOOKUP(FH65, PRECIOS_EJERCICIOS,  2,FALSE)</f>
        <v>140</v>
      </c>
      <c r="FJ65" s="515" t="str">
        <f>+IF($AQ$49 = FALSE, "",
IF(VLOOKUP(EO65, basesCantPrimaBrutoRes, 5,FALSE) &gt;= 0, VLOOKUP(EO65, basesCantPrimaBrutoRes, 5,FALSE), 0))</f>
        <v/>
      </c>
      <c r="FK65" s="516" t="str">
        <f>+IF($AQ$49 = FALSE, "",
IF(VLOOKUP(EO65, basesCantPrimaBrutoRes, 5,FALSE) &lt; 0, -VLOOKUP(EO65, basesCantPrimaBrutoRes, 5,FALSE), 0))</f>
        <v/>
      </c>
      <c r="FL65" s="517" t="str">
        <f>IF($AQ$49 = FALSE, "",
VLOOKUP(EO65, basesCantPrimaBrutoRes, 7,FALSE))</f>
        <v/>
      </c>
      <c r="FM65" s="934">
        <f>IF(FL65 = "", 0,
IF(AND(FJ65 &gt; 0, FK65 &gt;0), 0,
IF(AND(FJ65 &lt;&gt; "", FJ65 &lt;&gt; 0), -(FJ65 * FL65 * 100),
IF(AND(FK65 &lt;&gt; "", FK65 &lt;&gt; 0), (FK65 * FL65 * 100), 0)) ))</f>
        <v>0</v>
      </c>
      <c r="FN65" s="935"/>
      <c r="FO65" s="936"/>
      <c r="FP65" s="934">
        <f>IF(FL65 = "", 0,
IF(AND(FJ65 &gt; 0, FK65 &gt;0), 0,
IF(AND(FJ65 &lt;&gt; "", FJ65 &lt;&gt; 0), -(FJ65 * FL65 * 100 * (1 + COMIS_OPCION)),
IF(AND(FK65 &lt;&gt; "", FK65 &lt;&gt; 0), (FK65 * FL65 * 100 * (1 - COMIS_OPCION)), 0)) ))</f>
        <v>0</v>
      </c>
      <c r="FQ65" s="935"/>
      <c r="FR65" s="935"/>
      <c r="FS65" s="935"/>
      <c r="FT65" s="935"/>
      <c r="FU65" s="935"/>
      <c r="FV65" s="935"/>
      <c r="FW65" s="935"/>
      <c r="FX65" s="966"/>
      <c r="FY65" s="341"/>
      <c r="FZ65" s="341"/>
      <c r="GA65" s="341"/>
      <c r="GB65" s="495">
        <f>+IF(EN65 = "", "", EO65)</f>
        <v>140</v>
      </c>
      <c r="GC65" s="495" t="str">
        <f>+IF(GB65="", "", IF(EO65 = $Z$1, "ACCION", "CALL"))</f>
        <v>CALL</v>
      </c>
      <c r="GD65" s="500"/>
      <c r="GE65" s="495">
        <f>+IF(GB65= "", "", EO67)</f>
        <v>0</v>
      </c>
      <c r="GF65" s="495">
        <f>+IF(GB65 = "", "", IFERROR(IF(GB65 &lt;&gt; $Z$1,
IF(GE65 &gt; 0, SUMIFS(ES65:ES69, EP65:EP69, "&gt;0", ES65:ES69, "&lt;&gt;0") / SUMIFS(EP65:EP69, EP65:EP69, "&gt;0", ES65:ES69, "&lt;&gt;0") / -100,
IF(GE65 &lt; 0, SUMIFS(ES65:ES69, EQ65:EQ69, "&gt;0", ES65:ES69, "&lt;&gt;0") / SUMIFS(EQ65:EQ69, EQ65:EQ69, "&gt;0", ES65:ES69, "&lt;&gt;0") / 100, 0)),
IF(GE65 &gt; 0, SUMIFS(ES65:ES69, EP65:EP69, "&gt;0", ES65:ES69, "&lt;&gt;0") / SUMIFS(EP65:EP69, EP65:EP69, "&gt;0", ES65:ES69, "&lt;&gt;0") / -1,
IF(GE65 &lt; 0, SUMIFS(ES65:ES69, EQ65:EQ69, "&gt;0", ES65:ES69, "&lt;&gt;0") / SUMIFS(EQ65:EQ69, EQ65:EQ69, "&gt;0", ES65:ES69, "&lt;&gt;0") / 1, 0)) ), 0))</f>
        <v>0</v>
      </c>
      <c r="GG65" s="495">
        <f>+IF(GB65 = "", "", IFERROR(IF(GB65 &lt;&gt; $Z$1,
IF(GE65 &gt; 0, SUMIFS(EV65:EV69, EP65:EP69, "&gt;0", EV65:EV69, "&lt;&gt;0") / SUMIFS(EP65:EP69, EP65:EP69, "&gt;0", EV65:EV69, "&lt;&gt;0") / -100,
IF(GE65 &lt; 0, SUMIFS(EV65:EV69, EQ65:EQ69, "&gt;0", EV65:EV69, "&lt;&gt;0") / SUMIFS(EQ65:EQ69, EQ65:EQ69, "&gt;0", EV65:EV69, "&lt;&gt;0") / 100, 0)),
IF(GE65 &gt; 0, SUMIFS(EV65:EV69, EP65:EP69, "&gt;0", EV65:EV69, "&lt;&gt;0") / SUMIFS(EP65:EP69, EP65:EP69, "&gt;0", EV65:EV69, "&lt;&gt;0") / -1,
IF(GE65 &lt; 0, SUMIFS(EV65:EV69, EQ65:EQ69, "&gt;0", EV65:EV69, "&lt;&gt;0") / SUMIFS(EQ65:EQ69, EQ65:EQ69, "&gt;0", EV65:EV69, "&lt;&gt;0") / 1, 0)) ), 0))</f>
        <v>0</v>
      </c>
      <c r="GH65" s="359"/>
      <c r="GI65" s="359"/>
      <c r="GJ65" s="501"/>
      <c r="GK65" s="495" t="str">
        <f>+IF(GB65="", "", "PUT")</f>
        <v>PUT</v>
      </c>
      <c r="GL65" s="495">
        <f>+IF(GB65 = "", "", FI67)</f>
        <v>0</v>
      </c>
      <c r="GM65" s="495">
        <f>+IF(GB65 = "", "", IFERROR(
IF(FI67 &gt; 0, SUMIFS(FM65:FM69, FJ65:FJ69, "&gt;0", FM65:FM69, "&lt;&gt;0") / SUMIFS(FJ65:FJ69, FJ65:FJ69, "&gt;0", FM65:FM69, "&lt;&gt;0") / -100,
IF(FI67 &lt; 0, SUMIFS(FM65:FM69, FK65:FK69, "&gt;0", FM65:FM69, "&lt;&gt;0") / SUMIFS(FK65:FK69, FK65:FK69, "&gt;0", FM65:FM69, "&lt;&gt;0") / 100, 0)), 0) )</f>
        <v>0</v>
      </c>
      <c r="GN65" s="359"/>
      <c r="GO65" s="359"/>
      <c r="GP65" s="501"/>
      <c r="GQ65" s="502">
        <f>+IF(GB65 = "", "", IFERROR(
IF(FI67 &gt; 0, SUMIFS(FP65:FP69, FJ65:FJ69, "&gt;0", FP65:FP69, "&lt;&gt;0") / SUMIFS(FJ65:FJ69, FJ65:FJ69, "&gt;0", FP65:FP69, "&lt;&gt;0") / -100,
IF(FI67 &lt; 0, SUMIFS(FP65:FP69, FK65:FK69, "&gt;0", FP65:FP69, "&lt;&gt;0") / SUMIFS(FK65:FK69, FK65:FK69, "&gt;0", FP65:FP69, "&lt;&gt;0") / 100, 0)), 0))</f>
        <v>0</v>
      </c>
      <c r="GR65" s="359"/>
      <c r="GS65" s="331"/>
      <c r="GT65" s="331"/>
      <c r="GU65" s="331"/>
      <c r="GV65" s="331"/>
      <c r="GW65" s="331"/>
      <c r="GX65" s="331"/>
      <c r="GY65" s="331"/>
      <c r="GZ65" s="331"/>
      <c r="HA65" s="331"/>
      <c r="HB65" s="331"/>
      <c r="HC65" s="331"/>
      <c r="HD65" s="331"/>
      <c r="HE65" s="331"/>
      <c r="HF65" s="331"/>
      <c r="HG65" s="331"/>
      <c r="HH65" s="331"/>
      <c r="HI65" s="331"/>
      <c r="HJ65" s="331"/>
      <c r="HK65" s="331"/>
      <c r="HL65" s="331"/>
      <c r="HM65" s="420"/>
      <c r="HN65" s="420"/>
      <c r="HO65" s="420"/>
      <c r="HP65" s="420"/>
      <c r="HQ65" s="420"/>
      <c r="HR65" s="420"/>
      <c r="HS65" s="420"/>
      <c r="HT65" s="420"/>
      <c r="HU65" s="420"/>
      <c r="HV65" s="420"/>
      <c r="HW65" s="420"/>
      <c r="HX65" s="331"/>
      <c r="HY65" s="333"/>
      <c r="HZ65" s="333"/>
      <c r="IA65" s="333"/>
      <c r="IB65" s="333"/>
      <c r="IC65" s="333"/>
      <c r="ID65" s="55"/>
      <c r="IE65" s="47"/>
      <c r="IF65" s="142"/>
      <c r="IG65" s="142"/>
      <c r="IH65" s="111">
        <f t="shared" si="175"/>
        <v>0</v>
      </c>
      <c r="II65" s="111">
        <f t="shared" si="168"/>
        <v>0</v>
      </c>
      <c r="IJ65" s="146">
        <v>10</v>
      </c>
      <c r="IK65" s="151">
        <f t="shared" si="169"/>
        <v>175</v>
      </c>
      <c r="IL65" s="106">
        <f t="shared" si="169"/>
        <v>-0.1652754590984975</v>
      </c>
      <c r="IM65" s="110">
        <f t="shared" si="169"/>
        <v>175</v>
      </c>
      <c r="IN65" s="111">
        <f t="shared" si="170"/>
        <v>0</v>
      </c>
      <c r="IO65" s="50">
        <f t="shared" si="171"/>
        <v>0</v>
      </c>
      <c r="IP65" s="50">
        <f t="shared" si="171"/>
        <v>0</v>
      </c>
      <c r="IQ65" s="50">
        <f t="shared" si="171"/>
        <v>0</v>
      </c>
      <c r="IR65" s="50">
        <f t="shared" si="171"/>
        <v>0</v>
      </c>
      <c r="IS65" s="50">
        <f t="shared" si="171"/>
        <v>0</v>
      </c>
      <c r="IT65" s="50">
        <f t="shared" si="171"/>
        <v>0</v>
      </c>
      <c r="IU65" s="50">
        <f t="shared" si="171"/>
        <v>0</v>
      </c>
      <c r="IV65" s="50">
        <f t="shared" si="171"/>
        <v>0</v>
      </c>
      <c r="IW65" s="50">
        <f t="shared" si="171"/>
        <v>0</v>
      </c>
      <c r="IX65" s="50">
        <f t="shared" si="171"/>
        <v>0</v>
      </c>
      <c r="IY65" s="50">
        <f t="shared" si="172"/>
        <v>0</v>
      </c>
      <c r="IZ65" s="50">
        <f t="shared" si="172"/>
        <v>0</v>
      </c>
      <c r="JA65" s="50">
        <f t="shared" si="172"/>
        <v>0</v>
      </c>
      <c r="JB65" s="50">
        <f t="shared" si="172"/>
        <v>0</v>
      </c>
      <c r="JC65" s="50">
        <f t="shared" si="172"/>
        <v>0</v>
      </c>
      <c r="JD65" s="50">
        <f t="shared" si="172"/>
        <v>0</v>
      </c>
      <c r="JE65" s="50">
        <f t="shared" si="172"/>
        <v>0</v>
      </c>
      <c r="JF65" s="50">
        <f t="shared" si="172"/>
        <v>0</v>
      </c>
      <c r="JG65" s="50">
        <f t="shared" si="172"/>
        <v>0</v>
      </c>
      <c r="JH65" s="50">
        <f t="shared" si="172"/>
        <v>0</v>
      </c>
      <c r="JI65" s="50">
        <f t="shared" si="173"/>
        <v>0</v>
      </c>
      <c r="JJ65" s="50">
        <f t="shared" si="173"/>
        <v>0</v>
      </c>
      <c r="JK65" s="50">
        <f t="shared" si="173"/>
        <v>0</v>
      </c>
      <c r="JL65" s="50">
        <f t="shared" si="173"/>
        <v>0</v>
      </c>
      <c r="JM65" s="50">
        <f t="shared" si="173"/>
        <v>0</v>
      </c>
      <c r="JN65" s="50">
        <f t="shared" si="173"/>
        <v>0</v>
      </c>
      <c r="JO65" s="50">
        <f t="shared" si="173"/>
        <v>0</v>
      </c>
      <c r="JP65" s="50">
        <f t="shared" si="173"/>
        <v>0</v>
      </c>
      <c r="JQ65" s="50">
        <f t="shared" si="173"/>
        <v>0</v>
      </c>
      <c r="JR65" s="50">
        <f t="shared" si="173"/>
        <v>0</v>
      </c>
      <c r="JS65" s="50">
        <f t="shared" si="174"/>
        <v>0</v>
      </c>
      <c r="JT65" s="50">
        <f t="shared" si="174"/>
        <v>0</v>
      </c>
      <c r="JU65" s="50" t="str">
        <f t="shared" si="174"/>
        <v/>
      </c>
      <c r="JV65" s="50" t="str">
        <f t="shared" si="174"/>
        <v/>
      </c>
      <c r="JW65" s="50" t="str">
        <f t="shared" si="174"/>
        <v/>
      </c>
      <c r="JX65" s="50" t="str">
        <f t="shared" si="174"/>
        <v/>
      </c>
      <c r="JY65" s="50" t="str">
        <f t="shared" si="174"/>
        <v/>
      </c>
      <c r="JZ65" s="50" t="str">
        <f t="shared" si="174"/>
        <v/>
      </c>
      <c r="KA65" s="50" t="str">
        <f t="shared" si="174"/>
        <v/>
      </c>
      <c r="KB65" s="50" t="str">
        <f t="shared" si="174"/>
        <v/>
      </c>
      <c r="KC65" s="50" t="str">
        <f t="shared" si="174"/>
        <v/>
      </c>
      <c r="KD65" s="50" t="str">
        <f t="shared" si="174"/>
        <v/>
      </c>
      <c r="KE65" s="142"/>
      <c r="KF65" s="142"/>
      <c r="KG65" s="142"/>
    </row>
    <row r="66" spans="13:293" s="144" customFormat="1" ht="15" customHeight="1">
      <c r="M66" s="333"/>
      <c r="N66" s="333"/>
      <c r="O66" s="333"/>
      <c r="P66" s="333"/>
      <c r="Q66" s="331"/>
      <c r="R66" s="331"/>
      <c r="S66" s="331"/>
      <c r="T66" s="331"/>
      <c r="U66" s="333"/>
      <c r="V66" s="333"/>
      <c r="W66" s="331"/>
      <c r="X66" s="331"/>
      <c r="Y66" s="331"/>
      <c r="Z66" s="331"/>
      <c r="AA66" s="331"/>
      <c r="AB66" s="331"/>
      <c r="AC66" s="331"/>
      <c r="AD66" s="331"/>
      <c r="AE66" s="331"/>
      <c r="AF66" s="331"/>
      <c r="AG66" s="331"/>
      <c r="AH66" s="331"/>
      <c r="AI66" s="331"/>
      <c r="AJ66" s="331"/>
      <c r="AK66" s="331"/>
      <c r="AL66" s="331"/>
      <c r="AM66" s="331"/>
      <c r="AN66" s="331"/>
      <c r="AO66" s="331"/>
      <c r="AP66" s="331"/>
      <c r="AQ66" s="331"/>
      <c r="AR66" s="331"/>
      <c r="AS66" s="331"/>
      <c r="AT66" s="331"/>
      <c r="AU66" s="331"/>
      <c r="AV66" s="331"/>
      <c r="AW66" s="331"/>
      <c r="AX66" s="331"/>
      <c r="AY66" s="331"/>
      <c r="AZ66" s="331"/>
      <c r="BA66" s="331"/>
      <c r="BB66" s="331"/>
      <c r="BC66" s="331"/>
      <c r="BD66" s="331"/>
      <c r="BE66" s="331"/>
      <c r="BF66" s="331"/>
      <c r="BG66" s="331"/>
      <c r="BH66" s="331"/>
      <c r="BI66" s="331"/>
      <c r="BJ66" s="331"/>
      <c r="BK66" s="331"/>
      <c r="BL66" s="331"/>
      <c r="BM66" s="331"/>
      <c r="BN66" s="331"/>
      <c r="BO66" s="331"/>
      <c r="BP66" s="331"/>
      <c r="BQ66" s="331"/>
      <c r="BR66" s="331"/>
      <c r="BS66" s="331"/>
      <c r="BT66" s="331"/>
      <c r="BU66" s="331"/>
      <c r="BV66" s="331"/>
      <c r="BW66" s="331"/>
      <c r="BX66" s="331"/>
      <c r="BY66" s="331"/>
      <c r="BZ66" s="331"/>
      <c r="CA66" s="331"/>
      <c r="CB66" s="331"/>
      <c r="CC66" s="331"/>
      <c r="CD66" s="331"/>
      <c r="CE66" s="331"/>
      <c r="CF66" s="331"/>
      <c r="CG66" s="331"/>
      <c r="CH66" s="331"/>
      <c r="CI66" s="331"/>
      <c r="CJ66" s="331"/>
      <c r="CK66" s="331"/>
      <c r="CL66" s="331"/>
      <c r="CM66" s="331"/>
      <c r="CN66" s="331"/>
      <c r="CO66" s="331"/>
      <c r="CP66" s="331"/>
      <c r="CQ66" s="331"/>
      <c r="CR66" s="331"/>
      <c r="CS66" s="331"/>
      <c r="CT66" s="331"/>
      <c r="CU66" s="331"/>
      <c r="CV66" s="331"/>
      <c r="CW66" s="331"/>
      <c r="CX66" s="331"/>
      <c r="CY66" s="331"/>
      <c r="CZ66" s="331"/>
      <c r="DA66" s="331"/>
      <c r="DB66" s="331"/>
      <c r="DC66" s="331"/>
      <c r="DD66" s="331"/>
      <c r="DE66" s="331"/>
      <c r="DF66" s="331"/>
      <c r="DG66" s="331"/>
      <c r="DH66" s="331"/>
      <c r="DI66" s="331"/>
      <c r="DJ66" s="331"/>
      <c r="DK66" s="333"/>
      <c r="DL66" s="333"/>
      <c r="DM66" s="333"/>
      <c r="DN66" s="333"/>
      <c r="DO66" s="333"/>
      <c r="DP66" s="333"/>
      <c r="DQ66" s="333"/>
      <c r="DR66" s="333"/>
      <c r="DS66" s="333"/>
      <c r="DT66" s="331"/>
      <c r="DU66" s="359"/>
      <c r="DV66" s="359"/>
      <c r="DW66" s="359"/>
      <c r="DX66" s="359"/>
      <c r="DY66" s="359"/>
      <c r="DZ66" s="359"/>
      <c r="EA66" s="359"/>
      <c r="EB66" s="359"/>
      <c r="EC66" s="769">
        <f t="shared" si="166"/>
        <v>195</v>
      </c>
      <c r="ED66" s="889">
        <f>GE131</f>
        <v>0</v>
      </c>
      <c r="EE66" s="890"/>
      <c r="EF66" s="476">
        <f>GG131</f>
        <v>0</v>
      </c>
      <c r="EG66" s="893">
        <f>GL131</f>
        <v>0</v>
      </c>
      <c r="EH66" s="893"/>
      <c r="EI66" s="506">
        <f>GQ131</f>
        <v>0</v>
      </c>
      <c r="EJ66" s="373"/>
      <c r="EK66" s="373"/>
      <c r="EL66" s="366"/>
      <c r="EM66" s="366"/>
      <c r="EN66" s="364"/>
      <c r="EO66" s="351"/>
      <c r="EP66" s="347"/>
      <c r="EQ66" s="342"/>
      <c r="ER66" s="522"/>
      <c r="ES66" s="916">
        <f>IF(ER66 = "", 0,
IF(AND(EP66 &gt; 0, EQ66 &gt;0), 0, IF(EO65 &lt;&gt; $Z$1,
IF(AND(EP66 &lt;&gt; "", EP66 &lt;&gt; 0), -(EP66 * ER66 * 100),
IF(AND(EQ66 &lt;&gt; "", EQ66 &lt;&gt; 0), (EQ66 * ER66 * 100), 0)),
IF(AND(EP66 &lt;&gt; "", EP66 &lt;&gt; 0), -(EP66 * ER66 * 1),
IF(AND(EQ66 &lt;&gt; "", EQ66 &lt;&gt; 0), (EQ66 * ER66 * 1), 0))  )))</f>
        <v>0</v>
      </c>
      <c r="ET66" s="917"/>
      <c r="EU66" s="918"/>
      <c r="EV66" s="916">
        <f>IF(ER66 = "", 0,
IF(AND(EP66 &gt; 0, EQ66 &gt;0), 0,  IF(EO65 &lt;&gt; $Z$1,
IF(AND(EP66 &lt;&gt; "", EP66 &lt;&gt; 0), -(EP66 * ER66 * 100 * (1 + COMIS_OPCION)),
IF(AND(EQ66 &lt;&gt; "", EQ66 &lt;&gt; 0), (EQ66 * ER66 * 100 * (1 - COMIS_OPCION)), 0)),
IF(AND(EP66 &lt;&gt; "", EP66 &lt;&gt; 0), -(EP66 * ER66 * 1 * (1 + COMIS_ACCION)),
IF(AND(EQ66 &lt;&gt; "", EQ66 &lt;&gt; 0), (EQ66 * ER66 * 1 * (1 - COMIS_ACCION)), 0))  )))</f>
        <v>0</v>
      </c>
      <c r="EW66" s="917"/>
      <c r="EX66" s="917"/>
      <c r="EY66" s="917"/>
      <c r="EZ66" s="917"/>
      <c r="FA66" s="917"/>
      <c r="FB66" s="917"/>
      <c r="FC66" s="917"/>
      <c r="FD66" s="925"/>
      <c r="FE66" s="340"/>
      <c r="FF66" s="340"/>
      <c r="FG66" s="364"/>
      <c r="FH66" s="364"/>
      <c r="FI66" s="339"/>
      <c r="FJ66" s="347"/>
      <c r="FK66" s="342"/>
      <c r="FL66" s="343"/>
      <c r="FM66" s="930">
        <f>IF(FL66 = "", 0,
IF(AND(FJ66 &gt; 0, FK66 &gt;0), 0,
IF(AND(FJ66 &lt;&gt; "", FJ66 &lt;&gt; 0), -(FJ66 * FL66 * 100),
IF(AND(FK66 &lt;&gt; "", FK66 &lt;&gt; 0), (FK66 * FL66 * 100), 0)) ))</f>
        <v>0</v>
      </c>
      <c r="FN66" s="931"/>
      <c r="FO66" s="932"/>
      <c r="FP66" s="930">
        <f>IF(FL66 = "", 0,
IF(AND(FJ66 &gt; 0, FK66 &gt;0), 0,
IF(AND(FJ66 &lt;&gt; "", FJ66 &lt;&gt; 0), -(FJ66 * FL66 * 100 * (1 + COMIS_OPCION)),
IF(AND(FK66 &lt;&gt; "", FK66 &lt;&gt; 0), (FK66 * FL66 * 100 * (1 - COMIS_OPCION)), 0)) ))</f>
        <v>0</v>
      </c>
      <c r="FQ66" s="931"/>
      <c r="FR66" s="931"/>
      <c r="FS66" s="931"/>
      <c r="FT66" s="931"/>
      <c r="FU66" s="931"/>
      <c r="FV66" s="931"/>
      <c r="FW66" s="931"/>
      <c r="FX66" s="933"/>
      <c r="FY66" s="341"/>
      <c r="FZ66" s="341"/>
      <c r="GA66" s="341"/>
      <c r="GB66" s="495">
        <v>0</v>
      </c>
      <c r="GC66" s="495">
        <v>0</v>
      </c>
      <c r="GD66" s="500"/>
      <c r="GE66" s="495">
        <v>0</v>
      </c>
      <c r="GF66" s="495">
        <v>0</v>
      </c>
      <c r="GG66" s="495">
        <v>0</v>
      </c>
      <c r="GH66" s="359"/>
      <c r="GI66" s="359"/>
      <c r="GJ66" s="501"/>
      <c r="GK66" s="495">
        <v>0</v>
      </c>
      <c r="GL66" s="495">
        <v>0</v>
      </c>
      <c r="GM66" s="495">
        <v>0</v>
      </c>
      <c r="GN66" s="359"/>
      <c r="GO66" s="359"/>
      <c r="GP66" s="501"/>
      <c r="GQ66" s="495">
        <v>0</v>
      </c>
      <c r="GR66" s="359"/>
      <c r="GS66" s="331"/>
      <c r="GT66" s="331"/>
      <c r="GU66" s="331"/>
      <c r="GV66" s="331"/>
      <c r="GW66" s="331"/>
      <c r="GX66" s="331"/>
      <c r="GY66" s="331"/>
      <c r="GZ66" s="331"/>
      <c r="HA66" s="331"/>
      <c r="HB66" s="331"/>
      <c r="HC66" s="331"/>
      <c r="HD66" s="331"/>
      <c r="HE66" s="331"/>
      <c r="HF66" s="331"/>
      <c r="HG66" s="331"/>
      <c r="HH66" s="331"/>
      <c r="HI66" s="331"/>
      <c r="HJ66" s="331"/>
      <c r="HK66" s="331"/>
      <c r="HL66" s="331"/>
      <c r="HM66" s="420"/>
      <c r="HN66" s="420"/>
      <c r="HO66" s="420"/>
      <c r="HP66" s="420"/>
      <c r="HQ66" s="420"/>
      <c r="HR66" s="420"/>
      <c r="HS66" s="420"/>
      <c r="HT66" s="420"/>
      <c r="HU66" s="420"/>
      <c r="HV66" s="420"/>
      <c r="HW66" s="420"/>
      <c r="HX66" s="331"/>
      <c r="HY66" s="333"/>
      <c r="HZ66" s="333"/>
      <c r="IA66" s="333"/>
      <c r="IB66" s="333"/>
      <c r="IC66" s="333"/>
      <c r="ID66" s="55"/>
      <c r="IE66" s="47"/>
      <c r="IF66" s="142"/>
      <c r="IG66" s="142"/>
      <c r="IH66" s="111">
        <f t="shared" si="175"/>
        <v>0</v>
      </c>
      <c r="II66" s="111">
        <f t="shared" si="168"/>
        <v>0</v>
      </c>
      <c r="IJ66" s="146">
        <v>11</v>
      </c>
      <c r="IK66" s="151">
        <f t="shared" si="169"/>
        <v>180</v>
      </c>
      <c r="IL66" s="106">
        <f t="shared" si="169"/>
        <v>-0.14142618650131178</v>
      </c>
      <c r="IM66" s="110">
        <f t="shared" si="169"/>
        <v>180</v>
      </c>
      <c r="IN66" s="111">
        <f t="shared" si="170"/>
        <v>0</v>
      </c>
      <c r="IO66" s="50">
        <f t="shared" ref="IO66:IX75" si="176" xml:space="preserve"> IF(OR($IL66 = "", IO$6 = ""), "", IF(IO$6 &lt;&gt; $Z$1,
IF($IM66 &gt; IO$6, IO$52 * 100 * ($IM66 - IO$6), 0) +
IF($IM66 &lt; IO$6, IO$53 * 100 * (IO$6 - $IM66), 0),
$IM66 * IO$52))</f>
        <v>0</v>
      </c>
      <c r="IP66" s="50">
        <f t="shared" si="176"/>
        <v>0</v>
      </c>
      <c r="IQ66" s="50">
        <f t="shared" si="176"/>
        <v>0</v>
      </c>
      <c r="IR66" s="50">
        <f t="shared" si="176"/>
        <v>0</v>
      </c>
      <c r="IS66" s="50">
        <f t="shared" si="176"/>
        <v>0</v>
      </c>
      <c r="IT66" s="50">
        <f t="shared" si="176"/>
        <v>0</v>
      </c>
      <c r="IU66" s="50">
        <f t="shared" si="176"/>
        <v>0</v>
      </c>
      <c r="IV66" s="50">
        <f t="shared" si="176"/>
        <v>0</v>
      </c>
      <c r="IW66" s="50">
        <f t="shared" si="176"/>
        <v>0</v>
      </c>
      <c r="IX66" s="50">
        <f t="shared" si="176"/>
        <v>0</v>
      </c>
      <c r="IY66" s="50">
        <f t="shared" ref="IY66:JH75" si="177" xml:space="preserve"> IF(OR($IL66 = "", IY$6 = ""), "", IF(IY$6 &lt;&gt; $Z$1,
IF($IM66 &gt; IY$6, IY$52 * 100 * ($IM66 - IY$6), 0) +
IF($IM66 &lt; IY$6, IY$53 * 100 * (IY$6 - $IM66), 0),
$IM66 * IY$52))</f>
        <v>0</v>
      </c>
      <c r="IZ66" s="50">
        <f t="shared" si="177"/>
        <v>0</v>
      </c>
      <c r="JA66" s="50">
        <f t="shared" si="177"/>
        <v>0</v>
      </c>
      <c r="JB66" s="50">
        <f t="shared" si="177"/>
        <v>0</v>
      </c>
      <c r="JC66" s="50">
        <f t="shared" si="177"/>
        <v>0</v>
      </c>
      <c r="JD66" s="50">
        <f t="shared" si="177"/>
        <v>0</v>
      </c>
      <c r="JE66" s="50">
        <f t="shared" si="177"/>
        <v>0</v>
      </c>
      <c r="JF66" s="50">
        <f t="shared" si="177"/>
        <v>0</v>
      </c>
      <c r="JG66" s="50">
        <f t="shared" si="177"/>
        <v>0</v>
      </c>
      <c r="JH66" s="50">
        <f t="shared" si="177"/>
        <v>0</v>
      </c>
      <c r="JI66" s="50">
        <f t="shared" ref="JI66:JR75" si="178" xml:space="preserve"> IF(OR($IL66 = "", JI$6 = ""), "", IF(JI$6 &lt;&gt; $Z$1,
IF($IM66 &gt; JI$6, JI$52 * 100 * ($IM66 - JI$6), 0) +
IF($IM66 &lt; JI$6, JI$53 * 100 * (JI$6 - $IM66), 0),
$IM66 * JI$52))</f>
        <v>0</v>
      </c>
      <c r="JJ66" s="50">
        <f t="shared" si="178"/>
        <v>0</v>
      </c>
      <c r="JK66" s="50">
        <f t="shared" si="178"/>
        <v>0</v>
      </c>
      <c r="JL66" s="50">
        <f t="shared" si="178"/>
        <v>0</v>
      </c>
      <c r="JM66" s="50">
        <f t="shared" si="178"/>
        <v>0</v>
      </c>
      <c r="JN66" s="50">
        <f t="shared" si="178"/>
        <v>0</v>
      </c>
      <c r="JO66" s="50">
        <f t="shared" si="178"/>
        <v>0</v>
      </c>
      <c r="JP66" s="50">
        <f t="shared" si="178"/>
        <v>0</v>
      </c>
      <c r="JQ66" s="50">
        <f t="shared" si="178"/>
        <v>0</v>
      </c>
      <c r="JR66" s="50">
        <f t="shared" si="178"/>
        <v>0</v>
      </c>
      <c r="JS66" s="50">
        <f t="shared" ref="JS66:KD75" si="179" xml:space="preserve"> IF(OR($IL66 = "", JS$6 = ""), "", IF(JS$6 &lt;&gt; $Z$1,
IF($IM66 &gt; JS$6, JS$52 * 100 * ($IM66 - JS$6), 0) +
IF($IM66 &lt; JS$6, JS$53 * 100 * (JS$6 - $IM66), 0),
$IM66 * JS$52))</f>
        <v>0</v>
      </c>
      <c r="JT66" s="50">
        <f t="shared" si="179"/>
        <v>0</v>
      </c>
      <c r="JU66" s="50" t="str">
        <f t="shared" si="179"/>
        <v/>
      </c>
      <c r="JV66" s="50" t="str">
        <f t="shared" si="179"/>
        <v/>
      </c>
      <c r="JW66" s="50" t="str">
        <f t="shared" si="179"/>
        <v/>
      </c>
      <c r="JX66" s="50" t="str">
        <f t="shared" si="179"/>
        <v/>
      </c>
      <c r="JY66" s="50" t="str">
        <f t="shared" si="179"/>
        <v/>
      </c>
      <c r="JZ66" s="50" t="str">
        <f t="shared" si="179"/>
        <v/>
      </c>
      <c r="KA66" s="50" t="str">
        <f t="shared" si="179"/>
        <v/>
      </c>
      <c r="KB66" s="50" t="str">
        <f t="shared" si="179"/>
        <v/>
      </c>
      <c r="KC66" s="50" t="str">
        <f t="shared" si="179"/>
        <v/>
      </c>
      <c r="KD66" s="50" t="str">
        <f t="shared" si="179"/>
        <v/>
      </c>
      <c r="KE66" s="142"/>
      <c r="KF66" s="142"/>
      <c r="KG66" s="142"/>
    </row>
    <row r="67" spans="13:293" s="144" customFormat="1" ht="15" customHeight="1">
      <c r="M67" s="331"/>
      <c r="N67" s="331"/>
      <c r="O67" s="331"/>
      <c r="P67" s="331"/>
      <c r="Q67" s="331"/>
      <c r="R67" s="331"/>
      <c r="S67" s="331"/>
      <c r="T67" s="331"/>
      <c r="U67" s="331"/>
      <c r="V67" s="331"/>
      <c r="W67" s="331"/>
      <c r="X67" s="331"/>
      <c r="Y67" s="331"/>
      <c r="Z67" s="331"/>
      <c r="AA67" s="331"/>
      <c r="AB67" s="331"/>
      <c r="AC67" s="331"/>
      <c r="AD67" s="331"/>
      <c r="AE67" s="331"/>
      <c r="AF67" s="331"/>
      <c r="AG67" s="331"/>
      <c r="AH67" s="331"/>
      <c r="AI67" s="331"/>
      <c r="AJ67" s="331"/>
      <c r="AK67" s="331"/>
      <c r="AL67" s="331"/>
      <c r="AM67" s="331"/>
      <c r="AN67" s="331"/>
      <c r="AO67" s="331"/>
      <c r="AP67" s="331"/>
      <c r="AQ67" s="331"/>
      <c r="AR67" s="331"/>
      <c r="AS67" s="331"/>
      <c r="AT67" s="331"/>
      <c r="AU67" s="331"/>
      <c r="AV67" s="331"/>
      <c r="AW67" s="331"/>
      <c r="AX67" s="331"/>
      <c r="AY67" s="331"/>
      <c r="AZ67" s="331"/>
      <c r="BA67" s="331"/>
      <c r="BB67" s="331"/>
      <c r="BC67" s="331"/>
      <c r="BD67" s="331"/>
      <c r="BE67" s="331"/>
      <c r="BF67" s="331"/>
      <c r="BG67" s="331"/>
      <c r="BH67" s="331"/>
      <c r="BI67" s="331"/>
      <c r="BJ67" s="331"/>
      <c r="BK67" s="331"/>
      <c r="BL67" s="331"/>
      <c r="BM67" s="331"/>
      <c r="BN67" s="331"/>
      <c r="BO67" s="331"/>
      <c r="BP67" s="331"/>
      <c r="BQ67" s="331"/>
      <c r="BR67" s="331"/>
      <c r="BS67" s="331"/>
      <c r="BT67" s="331"/>
      <c r="BU67" s="331"/>
      <c r="BV67" s="331"/>
      <c r="BW67" s="331"/>
      <c r="BX67" s="331"/>
      <c r="BY67" s="331"/>
      <c r="BZ67" s="331"/>
      <c r="CA67" s="331"/>
      <c r="CB67" s="331"/>
      <c r="CC67" s="331"/>
      <c r="CD67" s="331"/>
      <c r="CE67" s="331"/>
      <c r="CF67" s="331"/>
      <c r="CG67" s="331"/>
      <c r="CH67" s="331"/>
      <c r="CI67" s="331"/>
      <c r="CJ67" s="331"/>
      <c r="CK67" s="331"/>
      <c r="CL67" s="331"/>
      <c r="CM67" s="331"/>
      <c r="CN67" s="331"/>
      <c r="CO67" s="331"/>
      <c r="CP67" s="331"/>
      <c r="CQ67" s="331"/>
      <c r="CR67" s="331"/>
      <c r="CS67" s="331"/>
      <c r="CT67" s="331"/>
      <c r="CU67" s="331"/>
      <c r="CV67" s="331"/>
      <c r="CW67" s="331"/>
      <c r="CX67" s="331"/>
      <c r="CY67" s="331"/>
      <c r="CZ67" s="331"/>
      <c r="DA67" s="331"/>
      <c r="DB67" s="331"/>
      <c r="DC67" s="331"/>
      <c r="DD67" s="331"/>
      <c r="DE67" s="331"/>
      <c r="DF67" s="331"/>
      <c r="DG67" s="331"/>
      <c r="DH67" s="331"/>
      <c r="DI67" s="331"/>
      <c r="DJ67" s="331"/>
      <c r="DK67" s="331"/>
      <c r="DL67" s="331"/>
      <c r="DM67" s="331"/>
      <c r="DN67" s="331"/>
      <c r="DO67" s="331"/>
      <c r="DP67" s="331"/>
      <c r="DQ67" s="331"/>
      <c r="DR67" s="331"/>
      <c r="DS67" s="331"/>
      <c r="DT67" s="331"/>
      <c r="DU67" s="359"/>
      <c r="DV67" s="359"/>
      <c r="DW67" s="359"/>
      <c r="DX67" s="359"/>
      <c r="DY67" s="359"/>
      <c r="DZ67" s="359"/>
      <c r="EA67" s="359"/>
      <c r="EB67" s="359"/>
      <c r="EC67" s="769">
        <f t="shared" si="166"/>
        <v>200</v>
      </c>
      <c r="ED67" s="889">
        <f>GE137</f>
        <v>0</v>
      </c>
      <c r="EE67" s="890"/>
      <c r="EF67" s="476">
        <f>GG137</f>
        <v>0</v>
      </c>
      <c r="EG67" s="893">
        <f>GL137</f>
        <v>0</v>
      </c>
      <c r="EH67" s="893"/>
      <c r="EI67" s="506">
        <f>GQ137</f>
        <v>0</v>
      </c>
      <c r="EJ67" s="373"/>
      <c r="EK67" s="373"/>
      <c r="EL67" s="366"/>
      <c r="EM67" s="368"/>
      <c r="EN67" s="365"/>
      <c r="EO67" s="352">
        <f>+SUM(EP65:EP69) - SUM(EQ65:EQ69)</f>
        <v>0</v>
      </c>
      <c r="EP67" s="347"/>
      <c r="EQ67" s="342"/>
      <c r="ER67" s="522"/>
      <c r="ES67" s="916">
        <f>IF(ER67 = "", 0,
IF(AND(EP67 &gt; 0, EQ67 &gt;0), 0, IF(EO65 &lt;&gt; $Z$1,
IF(AND(EP67 &lt;&gt; "", EP67 &lt;&gt; 0), -(EP67 * ER67 * 100),
IF(AND(EQ67 &lt;&gt; "", EQ67 &lt;&gt; 0), (EQ67 * ER67 * 100), 0)),
IF(AND(EP67 &lt;&gt; "", EP67 &lt;&gt; 0), -(EP67 * ER67 * 1),
IF(AND(EQ67 &lt;&gt; "", EQ67 &lt;&gt; 0), (EQ67 * ER67 * 1), 0))  )))</f>
        <v>0</v>
      </c>
      <c r="ET67" s="917"/>
      <c r="EU67" s="918"/>
      <c r="EV67" s="916">
        <f>IF(ER67 = "", 0,
IF(AND(EP67 &gt; 0, EQ67 &gt;0), 0,  IF(EO65 &lt;&gt; $Z$1,
IF(AND(EP67 &lt;&gt; "", EP67 &lt;&gt; 0), -(EP67 * ER67 * 100 * (1 + COMIS_OPCION)),
IF(AND(EQ67 &lt;&gt; "", EQ67 &lt;&gt; 0), (EQ67 * ER67 * 100 * (1 - COMIS_OPCION)), 0)),
IF(AND(EP67 &lt;&gt; "", EP67 &lt;&gt; 0), -(EP67 * ER67 * 1 * (1 + COMIS_ACCION)),
IF(AND(EQ67 &lt;&gt; "", EQ67 &lt;&gt; 0), (EQ67 * ER67 * 1 * (1 - COMIS_ACCION)), 0))  )))</f>
        <v>0</v>
      </c>
      <c r="EW67" s="917"/>
      <c r="EX67" s="917"/>
      <c r="EY67" s="917"/>
      <c r="EZ67" s="917"/>
      <c r="FA67" s="917"/>
      <c r="FB67" s="917"/>
      <c r="FC67" s="917"/>
      <c r="FD67" s="925"/>
      <c r="FE67" s="340"/>
      <c r="FF67" s="340"/>
      <c r="FG67" s="365"/>
      <c r="FH67" s="365"/>
      <c r="FI67" s="354">
        <f>+SUM(FJ65:FJ69) - SUM(FK65:FK69)</f>
        <v>0</v>
      </c>
      <c r="FJ67" s="347"/>
      <c r="FK67" s="342"/>
      <c r="FL67" s="343"/>
      <c r="FM67" s="930">
        <f>IF(FL67 = "", 0,
IF(AND(FJ67 &gt; 0, FK67 &gt;0), 0,
IF(AND(FJ67 &lt;&gt; "", FJ67 &lt;&gt; 0), -(FJ67 * FL67 * 100),
IF(AND(FK67 &lt;&gt; "", FK67 &lt;&gt; 0), (FK67 * FL67 * 100), 0)) ))</f>
        <v>0</v>
      </c>
      <c r="FN67" s="931"/>
      <c r="FO67" s="932"/>
      <c r="FP67" s="930">
        <f>IF(FL67 = "", 0,
IF(AND(FJ67 &gt; 0, FK67 &gt;0), 0,
IF(AND(FJ67 &lt;&gt; "", FJ67 &lt;&gt; 0), -(FJ67 * FL67 * 100 * (1 + COMIS_OPCION)),
IF(AND(FK67 &lt;&gt; "", FK67 &lt;&gt; 0), (FK67 * FL67 * 100 * (1 - COMIS_OPCION)), 0)) ))</f>
        <v>0</v>
      </c>
      <c r="FQ67" s="931"/>
      <c r="FR67" s="931"/>
      <c r="FS67" s="931"/>
      <c r="FT67" s="931"/>
      <c r="FU67" s="931"/>
      <c r="FV67" s="931"/>
      <c r="FW67" s="931"/>
      <c r="FX67" s="933"/>
      <c r="FY67" s="341"/>
      <c r="FZ67" s="341"/>
      <c r="GA67" s="341"/>
      <c r="GB67" s="495">
        <v>0</v>
      </c>
      <c r="GC67" s="495">
        <v>0</v>
      </c>
      <c r="GD67" s="500"/>
      <c r="GE67" s="495">
        <v>0</v>
      </c>
      <c r="GF67" s="495">
        <v>0</v>
      </c>
      <c r="GG67" s="495">
        <v>0</v>
      </c>
      <c r="GH67" s="359"/>
      <c r="GI67" s="359"/>
      <c r="GJ67" s="501"/>
      <c r="GK67" s="495">
        <v>0</v>
      </c>
      <c r="GL67" s="495">
        <v>0</v>
      </c>
      <c r="GM67" s="495">
        <v>0</v>
      </c>
      <c r="GN67" s="359"/>
      <c r="GO67" s="359"/>
      <c r="GP67" s="501"/>
      <c r="GQ67" s="495">
        <v>0</v>
      </c>
      <c r="GR67" s="359"/>
      <c r="GS67" s="331"/>
      <c r="GT67" s="331"/>
      <c r="GU67" s="331"/>
      <c r="GV67" s="331"/>
      <c r="GW67" s="331"/>
      <c r="GX67" s="331"/>
      <c r="GY67" s="331"/>
      <c r="GZ67" s="331"/>
      <c r="HA67" s="331"/>
      <c r="HB67" s="331"/>
      <c r="HC67" s="331"/>
      <c r="HD67" s="331"/>
      <c r="HE67" s="331"/>
      <c r="HF67" s="331"/>
      <c r="HG67" s="331"/>
      <c r="HH67" s="331"/>
      <c r="HI67" s="331"/>
      <c r="HJ67" s="331"/>
      <c r="HK67" s="331"/>
      <c r="HL67" s="331"/>
      <c r="HM67" s="420"/>
      <c r="HN67" s="420"/>
      <c r="HO67" s="420"/>
      <c r="HP67" s="420"/>
      <c r="HQ67" s="420"/>
      <c r="HR67" s="420"/>
      <c r="HS67" s="420"/>
      <c r="HT67" s="420"/>
      <c r="HU67" s="420"/>
      <c r="HV67" s="420"/>
      <c r="HW67" s="420"/>
      <c r="HX67" s="331"/>
      <c r="HY67" s="331"/>
      <c r="HZ67" s="331"/>
      <c r="IA67" s="331"/>
      <c r="IB67" s="331"/>
      <c r="IC67" s="333"/>
      <c r="ID67" s="55"/>
      <c r="IE67" s="47"/>
      <c r="IF67" s="142"/>
      <c r="IG67" s="142"/>
      <c r="IH67" s="111">
        <f t="shared" si="175"/>
        <v>0</v>
      </c>
      <c r="II67" s="111">
        <f t="shared" si="168"/>
        <v>0</v>
      </c>
      <c r="IJ67" s="146">
        <v>12</v>
      </c>
      <c r="IK67" s="151">
        <f t="shared" si="169"/>
        <v>185</v>
      </c>
      <c r="IL67" s="106">
        <f t="shared" si="169"/>
        <v>-0.11757691390412595</v>
      </c>
      <c r="IM67" s="110">
        <f t="shared" si="169"/>
        <v>185</v>
      </c>
      <c r="IN67" s="111">
        <f t="shared" si="170"/>
        <v>0</v>
      </c>
      <c r="IO67" s="50">
        <f t="shared" si="176"/>
        <v>0</v>
      </c>
      <c r="IP67" s="50">
        <f t="shared" si="176"/>
        <v>0</v>
      </c>
      <c r="IQ67" s="50">
        <f t="shared" si="176"/>
        <v>0</v>
      </c>
      <c r="IR67" s="50">
        <f t="shared" si="176"/>
        <v>0</v>
      </c>
      <c r="IS67" s="50">
        <f t="shared" si="176"/>
        <v>0</v>
      </c>
      <c r="IT67" s="50">
        <f t="shared" si="176"/>
        <v>0</v>
      </c>
      <c r="IU67" s="50">
        <f t="shared" si="176"/>
        <v>0</v>
      </c>
      <c r="IV67" s="50">
        <f t="shared" si="176"/>
        <v>0</v>
      </c>
      <c r="IW67" s="50">
        <f t="shared" si="176"/>
        <v>0</v>
      </c>
      <c r="IX67" s="50">
        <f t="shared" si="176"/>
        <v>0</v>
      </c>
      <c r="IY67" s="50">
        <f t="shared" si="177"/>
        <v>0</v>
      </c>
      <c r="IZ67" s="50">
        <f t="shared" si="177"/>
        <v>0</v>
      </c>
      <c r="JA67" s="50">
        <f t="shared" si="177"/>
        <v>0</v>
      </c>
      <c r="JB67" s="50">
        <f t="shared" si="177"/>
        <v>0</v>
      </c>
      <c r="JC67" s="50">
        <f t="shared" si="177"/>
        <v>0</v>
      </c>
      <c r="JD67" s="50">
        <f t="shared" si="177"/>
        <v>0</v>
      </c>
      <c r="JE67" s="50">
        <f t="shared" si="177"/>
        <v>0</v>
      </c>
      <c r="JF67" s="50">
        <f t="shared" si="177"/>
        <v>0</v>
      </c>
      <c r="JG67" s="50">
        <f t="shared" si="177"/>
        <v>0</v>
      </c>
      <c r="JH67" s="50">
        <f t="shared" si="177"/>
        <v>0</v>
      </c>
      <c r="JI67" s="50">
        <f t="shared" si="178"/>
        <v>0</v>
      </c>
      <c r="JJ67" s="50">
        <f t="shared" si="178"/>
        <v>0</v>
      </c>
      <c r="JK67" s="50">
        <f t="shared" si="178"/>
        <v>0</v>
      </c>
      <c r="JL67" s="50">
        <f t="shared" si="178"/>
        <v>0</v>
      </c>
      <c r="JM67" s="50">
        <f t="shared" si="178"/>
        <v>0</v>
      </c>
      <c r="JN67" s="50">
        <f t="shared" si="178"/>
        <v>0</v>
      </c>
      <c r="JO67" s="50">
        <f t="shared" si="178"/>
        <v>0</v>
      </c>
      <c r="JP67" s="50">
        <f t="shared" si="178"/>
        <v>0</v>
      </c>
      <c r="JQ67" s="50">
        <f t="shared" si="178"/>
        <v>0</v>
      </c>
      <c r="JR67" s="50">
        <f t="shared" si="178"/>
        <v>0</v>
      </c>
      <c r="JS67" s="50">
        <f t="shared" si="179"/>
        <v>0</v>
      </c>
      <c r="JT67" s="50">
        <f t="shared" si="179"/>
        <v>0</v>
      </c>
      <c r="JU67" s="50" t="str">
        <f t="shared" si="179"/>
        <v/>
      </c>
      <c r="JV67" s="50" t="str">
        <f t="shared" si="179"/>
        <v/>
      </c>
      <c r="JW67" s="50" t="str">
        <f t="shared" si="179"/>
        <v/>
      </c>
      <c r="JX67" s="50" t="str">
        <f t="shared" si="179"/>
        <v/>
      </c>
      <c r="JY67" s="50" t="str">
        <f t="shared" si="179"/>
        <v/>
      </c>
      <c r="JZ67" s="50" t="str">
        <f t="shared" si="179"/>
        <v/>
      </c>
      <c r="KA67" s="50" t="str">
        <f t="shared" si="179"/>
        <v/>
      </c>
      <c r="KB67" s="50" t="str">
        <f t="shared" si="179"/>
        <v/>
      </c>
      <c r="KC67" s="50" t="str">
        <f t="shared" si="179"/>
        <v/>
      </c>
      <c r="KD67" s="50" t="str">
        <f t="shared" si="179"/>
        <v/>
      </c>
      <c r="KE67" s="142"/>
      <c r="KF67" s="142"/>
      <c r="KG67" s="142"/>
    </row>
    <row r="68" spans="13:293" s="142" customFormat="1" ht="15" customHeight="1">
      <c r="M68" s="333"/>
      <c r="N68" s="333"/>
      <c r="O68" s="333"/>
      <c r="P68" s="333"/>
      <c r="Q68" s="333"/>
      <c r="R68" s="333"/>
      <c r="S68" s="333"/>
      <c r="T68" s="333"/>
      <c r="U68" s="333"/>
      <c r="V68" s="333"/>
      <c r="W68" s="333"/>
      <c r="X68" s="333"/>
      <c r="Y68" s="333"/>
      <c r="Z68" s="333"/>
      <c r="AA68" s="333"/>
      <c r="AB68" s="333"/>
      <c r="AC68" s="333"/>
      <c r="AD68" s="333"/>
      <c r="AE68" s="333"/>
      <c r="AF68" s="333"/>
      <c r="AG68" s="333"/>
      <c r="AH68" s="333"/>
      <c r="AI68" s="333"/>
      <c r="AJ68" s="333"/>
      <c r="AK68" s="333"/>
      <c r="AL68" s="333"/>
      <c r="AM68" s="333"/>
      <c r="AN68" s="333"/>
      <c r="AO68" s="333"/>
      <c r="AP68" s="333"/>
      <c r="AQ68" s="333"/>
      <c r="AR68" s="333"/>
      <c r="AS68" s="333"/>
      <c r="AT68" s="333"/>
      <c r="AU68" s="333"/>
      <c r="AV68" s="333"/>
      <c r="AW68" s="333"/>
      <c r="AX68" s="333"/>
      <c r="AY68" s="333"/>
      <c r="AZ68" s="333"/>
      <c r="BA68" s="333"/>
      <c r="BB68" s="333"/>
      <c r="BC68" s="333"/>
      <c r="BD68" s="333"/>
      <c r="BE68" s="333"/>
      <c r="BF68" s="333"/>
      <c r="BG68" s="333"/>
      <c r="BH68" s="333"/>
      <c r="BI68" s="333"/>
      <c r="BJ68" s="333"/>
      <c r="BK68" s="333"/>
      <c r="BL68" s="333"/>
      <c r="BM68" s="333"/>
      <c r="BN68" s="333"/>
      <c r="BO68" s="333"/>
      <c r="BP68" s="333"/>
      <c r="BQ68" s="333"/>
      <c r="BR68" s="333"/>
      <c r="BS68" s="333"/>
      <c r="BT68" s="333"/>
      <c r="BU68" s="333"/>
      <c r="BV68" s="333"/>
      <c r="BW68" s="333"/>
      <c r="BX68" s="333"/>
      <c r="BY68" s="333"/>
      <c r="BZ68" s="333"/>
      <c r="CA68" s="333"/>
      <c r="CB68" s="333"/>
      <c r="CC68" s="333"/>
      <c r="CD68" s="333"/>
      <c r="CE68" s="333"/>
      <c r="CF68" s="333"/>
      <c r="CG68" s="333"/>
      <c r="CH68" s="333"/>
      <c r="CI68" s="333"/>
      <c r="CJ68" s="333"/>
      <c r="CK68" s="333"/>
      <c r="CL68" s="333"/>
      <c r="CM68" s="333"/>
      <c r="CN68" s="333"/>
      <c r="CO68" s="333"/>
      <c r="CP68" s="333"/>
      <c r="CQ68" s="333"/>
      <c r="CR68" s="333"/>
      <c r="CS68" s="333"/>
      <c r="CT68" s="333"/>
      <c r="CU68" s="333"/>
      <c r="CV68" s="333"/>
      <c r="CW68" s="333"/>
      <c r="CX68" s="333"/>
      <c r="CY68" s="333"/>
      <c r="CZ68" s="333"/>
      <c r="DA68" s="333"/>
      <c r="DB68" s="333"/>
      <c r="DC68" s="333"/>
      <c r="DD68" s="333"/>
      <c r="DE68" s="333"/>
      <c r="DF68" s="333"/>
      <c r="DG68" s="333"/>
      <c r="DH68" s="333"/>
      <c r="DI68" s="333"/>
      <c r="DJ68" s="333"/>
      <c r="DK68" s="333"/>
      <c r="DL68" s="333"/>
      <c r="DM68" s="333"/>
      <c r="DN68" s="333"/>
      <c r="DO68" s="333"/>
      <c r="DP68" s="333"/>
      <c r="DQ68" s="333"/>
      <c r="DR68" s="333"/>
      <c r="DS68" s="333"/>
      <c r="DT68" s="333"/>
      <c r="DU68" s="359"/>
      <c r="DV68" s="359"/>
      <c r="DW68" s="359"/>
      <c r="DX68" s="359"/>
      <c r="DY68" s="359"/>
      <c r="DZ68" s="359"/>
      <c r="EA68" s="359"/>
      <c r="EB68" s="359"/>
      <c r="EC68" s="769">
        <f t="shared" si="166"/>
        <v>210</v>
      </c>
      <c r="ED68" s="889">
        <f>GE143</f>
        <v>0</v>
      </c>
      <c r="EE68" s="890"/>
      <c r="EF68" s="476">
        <f>GG143</f>
        <v>0</v>
      </c>
      <c r="EG68" s="893">
        <f>GL143</f>
        <v>0</v>
      </c>
      <c r="EH68" s="893"/>
      <c r="EI68" s="506">
        <f>GQ143</f>
        <v>0</v>
      </c>
      <c r="EJ68" s="373"/>
      <c r="EK68" s="373"/>
      <c r="EL68" s="366"/>
      <c r="EM68" s="368"/>
      <c r="EN68" s="365"/>
      <c r="EO68" s="352">
        <f>IF(EO67=0, 0, SUM(EV65:FD69))</f>
        <v>0</v>
      </c>
      <c r="EP68" s="347"/>
      <c r="EQ68" s="342"/>
      <c r="ER68" s="522"/>
      <c r="ES68" s="916">
        <f>IF(ER68 = "", 0,
IF(AND(EP68 &gt; 0, EQ68 &gt;0), 0, IF(EO65 &lt;&gt; $Z$1,
IF(AND(EP68 &lt;&gt; "", EP68 &lt;&gt; 0), -(EP68 * ER68 * 100),
IF(AND(EQ68 &lt;&gt; "", EQ68 &lt;&gt; 0), (EQ68 * ER68 * 100), 0)),
IF(AND(EP68 &lt;&gt; "", EP68 &lt;&gt; 0), -(EP68 * ER68 * 1),
IF(AND(EQ68 &lt;&gt; "", EQ68 &lt;&gt; 0), (EQ68 * ER68 * 1), 0))  )))</f>
        <v>0</v>
      </c>
      <c r="ET68" s="917"/>
      <c r="EU68" s="918"/>
      <c r="EV68" s="916">
        <f>IF(ER68 = "", 0,
IF(AND(EP68 &gt; 0, EQ68 &gt;0), 0,  IF(EO65 &lt;&gt; $Z$1,
IF(AND(EP68 &lt;&gt; "", EP68 &lt;&gt; 0), -(EP68 * ER68 * 100 * (1 + COMIS_OPCION)),
IF(AND(EQ68 &lt;&gt; "", EQ68 &lt;&gt; 0), (EQ68 * ER68 * 100 * (1 - COMIS_OPCION)), 0)),
IF(AND(EP68 &lt;&gt; "", EP68 &lt;&gt; 0), -(EP68 * ER68 * 1 * (1 + COMIS_ACCION)),
IF(AND(EQ68 &lt;&gt; "", EQ68 &lt;&gt; 0), (EQ68 * ER68 * 1 * (1 - COMIS_ACCION)), 0))  )))</f>
        <v>0</v>
      </c>
      <c r="EW68" s="917"/>
      <c r="EX68" s="917"/>
      <c r="EY68" s="917"/>
      <c r="EZ68" s="917"/>
      <c r="FA68" s="917"/>
      <c r="FB68" s="917"/>
      <c r="FC68" s="917"/>
      <c r="FD68" s="925"/>
      <c r="FE68" s="340"/>
      <c r="FF68" s="340"/>
      <c r="FG68" s="365"/>
      <c r="FH68" s="365"/>
      <c r="FI68" s="354">
        <f>IF(FI67=0, 0, SUM(FP65:FX69))</f>
        <v>0</v>
      </c>
      <c r="FJ68" s="347"/>
      <c r="FK68" s="342"/>
      <c r="FL68" s="343"/>
      <c r="FM68" s="930">
        <f>IF(FL68 = "", 0,
IF(AND(FJ68 &gt; 0, FK68 &gt;0), 0,
IF(AND(FJ68 &lt;&gt; "", FJ68 &lt;&gt; 0), -(FJ68 * FL68 * 100),
IF(AND(FK68 &lt;&gt; "", FK68 &lt;&gt; 0), (FK68 * FL68 * 100), 0)) ))</f>
        <v>0</v>
      </c>
      <c r="FN68" s="931"/>
      <c r="FO68" s="932"/>
      <c r="FP68" s="930">
        <f>IF(FL68 = "", 0,
IF(AND(FJ68 &gt; 0, FK68 &gt;0), 0,
IF(AND(FJ68 &lt;&gt; "", FJ68 &lt;&gt; 0), -(FJ68 * FL68 * 100 * (1 + COMIS_OPCION)),
IF(AND(FK68 &lt;&gt; "", FK68 &lt;&gt; 0), (FK68 * FL68 * 100 * (1 - COMIS_OPCION)), 0)) ))</f>
        <v>0</v>
      </c>
      <c r="FQ68" s="931"/>
      <c r="FR68" s="931"/>
      <c r="FS68" s="931"/>
      <c r="FT68" s="931"/>
      <c r="FU68" s="931"/>
      <c r="FV68" s="931"/>
      <c r="FW68" s="931"/>
      <c r="FX68" s="933"/>
      <c r="FY68" s="341"/>
      <c r="FZ68" s="341"/>
      <c r="GA68" s="341"/>
      <c r="GB68" s="495">
        <v>0</v>
      </c>
      <c r="GC68" s="495">
        <v>0</v>
      </c>
      <c r="GD68" s="500"/>
      <c r="GE68" s="495">
        <v>0</v>
      </c>
      <c r="GF68" s="495">
        <v>0</v>
      </c>
      <c r="GG68" s="495">
        <v>0</v>
      </c>
      <c r="GH68" s="359"/>
      <c r="GI68" s="359"/>
      <c r="GJ68" s="501"/>
      <c r="GK68" s="495">
        <v>0</v>
      </c>
      <c r="GL68" s="495">
        <v>0</v>
      </c>
      <c r="GM68" s="495">
        <v>0</v>
      </c>
      <c r="GN68" s="359"/>
      <c r="GO68" s="359"/>
      <c r="GP68" s="501"/>
      <c r="GQ68" s="495">
        <v>0</v>
      </c>
      <c r="GR68" s="359"/>
      <c r="GS68" s="333"/>
      <c r="GT68" s="333"/>
      <c r="GU68" s="333"/>
      <c r="GV68" s="333"/>
      <c r="GW68" s="333"/>
      <c r="GX68" s="333"/>
      <c r="GY68" s="333"/>
      <c r="GZ68" s="333"/>
      <c r="HA68" s="333"/>
      <c r="HB68" s="333"/>
      <c r="HC68" s="333"/>
      <c r="HD68" s="333"/>
      <c r="HE68" s="333"/>
      <c r="HF68" s="333"/>
      <c r="HG68" s="331"/>
      <c r="HH68" s="331"/>
      <c r="HI68" s="331"/>
      <c r="HJ68" s="331"/>
      <c r="HK68" s="331"/>
      <c r="HL68" s="331"/>
      <c r="HM68" s="331"/>
      <c r="HN68" s="333"/>
      <c r="HO68" s="333"/>
      <c r="HP68" s="333"/>
      <c r="HQ68" s="333"/>
      <c r="HR68" s="333"/>
      <c r="HS68" s="333"/>
      <c r="HT68" s="333"/>
      <c r="HU68" s="333"/>
      <c r="HV68" s="333"/>
      <c r="HW68" s="333"/>
      <c r="HX68" s="333"/>
      <c r="HY68" s="333"/>
      <c r="HZ68" s="333"/>
      <c r="IA68" s="333"/>
      <c r="IB68" s="333"/>
      <c r="IC68" s="333"/>
      <c r="ID68" s="55"/>
      <c r="IE68" s="47"/>
      <c r="IH68" s="111">
        <f t="shared" si="175"/>
        <v>0</v>
      </c>
      <c r="II68" s="111">
        <f t="shared" si="168"/>
        <v>0</v>
      </c>
      <c r="IJ68" s="146">
        <v>13</v>
      </c>
      <c r="IK68" s="151">
        <f t="shared" si="169"/>
        <v>190</v>
      </c>
      <c r="IL68" s="106">
        <f t="shared" si="169"/>
        <v>-9.3727641306940113E-2</v>
      </c>
      <c r="IM68" s="110">
        <f t="shared" si="169"/>
        <v>190</v>
      </c>
      <c r="IN68" s="111">
        <f t="shared" si="170"/>
        <v>0</v>
      </c>
      <c r="IO68" s="50">
        <f t="shared" si="176"/>
        <v>0</v>
      </c>
      <c r="IP68" s="50">
        <f t="shared" si="176"/>
        <v>0</v>
      </c>
      <c r="IQ68" s="50">
        <f t="shared" si="176"/>
        <v>0</v>
      </c>
      <c r="IR68" s="50">
        <f t="shared" si="176"/>
        <v>0</v>
      </c>
      <c r="IS68" s="50">
        <f t="shared" si="176"/>
        <v>0</v>
      </c>
      <c r="IT68" s="50">
        <f t="shared" si="176"/>
        <v>0</v>
      </c>
      <c r="IU68" s="50">
        <f t="shared" si="176"/>
        <v>0</v>
      </c>
      <c r="IV68" s="50">
        <f t="shared" si="176"/>
        <v>0</v>
      </c>
      <c r="IW68" s="50">
        <f t="shared" si="176"/>
        <v>0</v>
      </c>
      <c r="IX68" s="50">
        <f t="shared" si="176"/>
        <v>0</v>
      </c>
      <c r="IY68" s="50">
        <f t="shared" si="177"/>
        <v>0</v>
      </c>
      <c r="IZ68" s="50">
        <f t="shared" si="177"/>
        <v>0</v>
      </c>
      <c r="JA68" s="50">
        <f t="shared" si="177"/>
        <v>0</v>
      </c>
      <c r="JB68" s="50">
        <f t="shared" si="177"/>
        <v>0</v>
      </c>
      <c r="JC68" s="50">
        <f t="shared" si="177"/>
        <v>0</v>
      </c>
      <c r="JD68" s="50">
        <f t="shared" si="177"/>
        <v>0</v>
      </c>
      <c r="JE68" s="50">
        <f t="shared" si="177"/>
        <v>0</v>
      </c>
      <c r="JF68" s="50">
        <f t="shared" si="177"/>
        <v>0</v>
      </c>
      <c r="JG68" s="50">
        <f t="shared" si="177"/>
        <v>0</v>
      </c>
      <c r="JH68" s="50">
        <f t="shared" si="177"/>
        <v>0</v>
      </c>
      <c r="JI68" s="50">
        <f t="shared" si="178"/>
        <v>0</v>
      </c>
      <c r="JJ68" s="50">
        <f t="shared" si="178"/>
        <v>0</v>
      </c>
      <c r="JK68" s="50">
        <f t="shared" si="178"/>
        <v>0</v>
      </c>
      <c r="JL68" s="50">
        <f t="shared" si="178"/>
        <v>0</v>
      </c>
      <c r="JM68" s="50">
        <f t="shared" si="178"/>
        <v>0</v>
      </c>
      <c r="JN68" s="50">
        <f t="shared" si="178"/>
        <v>0</v>
      </c>
      <c r="JO68" s="50">
        <f t="shared" si="178"/>
        <v>0</v>
      </c>
      <c r="JP68" s="50">
        <f t="shared" si="178"/>
        <v>0</v>
      </c>
      <c r="JQ68" s="50">
        <f t="shared" si="178"/>
        <v>0</v>
      </c>
      <c r="JR68" s="50">
        <f t="shared" si="178"/>
        <v>0</v>
      </c>
      <c r="JS68" s="50">
        <f t="shared" si="179"/>
        <v>0</v>
      </c>
      <c r="JT68" s="50">
        <f t="shared" si="179"/>
        <v>0</v>
      </c>
      <c r="JU68" s="50" t="str">
        <f t="shared" si="179"/>
        <v/>
      </c>
      <c r="JV68" s="50" t="str">
        <f t="shared" si="179"/>
        <v/>
      </c>
      <c r="JW68" s="50" t="str">
        <f t="shared" si="179"/>
        <v/>
      </c>
      <c r="JX68" s="50" t="str">
        <f t="shared" si="179"/>
        <v/>
      </c>
      <c r="JY68" s="50" t="str">
        <f t="shared" si="179"/>
        <v/>
      </c>
      <c r="JZ68" s="50" t="str">
        <f t="shared" si="179"/>
        <v/>
      </c>
      <c r="KA68" s="50" t="str">
        <f t="shared" si="179"/>
        <v/>
      </c>
      <c r="KB68" s="50" t="str">
        <f t="shared" si="179"/>
        <v/>
      </c>
      <c r="KC68" s="50" t="str">
        <f t="shared" si="179"/>
        <v/>
      </c>
      <c r="KD68" s="50" t="str">
        <f t="shared" si="179"/>
        <v/>
      </c>
    </row>
    <row r="69" spans="13:293" s="142" customFormat="1" ht="15" customHeight="1" thickBot="1">
      <c r="M69" s="333"/>
      <c r="N69" s="333"/>
      <c r="O69" s="333"/>
      <c r="P69" s="333"/>
      <c r="Q69" s="333"/>
      <c r="R69" s="333"/>
      <c r="S69" s="333"/>
      <c r="T69" s="333"/>
      <c r="U69" s="333"/>
      <c r="V69" s="333"/>
      <c r="W69" s="333"/>
      <c r="X69" s="333"/>
      <c r="Y69" s="333"/>
      <c r="Z69" s="333"/>
      <c r="AA69" s="333"/>
      <c r="AB69" s="333"/>
      <c r="AC69" s="333"/>
      <c r="AD69" s="333"/>
      <c r="AE69" s="333"/>
      <c r="AF69" s="333"/>
      <c r="AG69" s="333"/>
      <c r="AH69" s="333"/>
      <c r="AI69" s="333"/>
      <c r="AJ69" s="333"/>
      <c r="AK69" s="333"/>
      <c r="AL69" s="333"/>
      <c r="AM69" s="333"/>
      <c r="AN69" s="333"/>
      <c r="AO69" s="333"/>
      <c r="AP69" s="333"/>
      <c r="AQ69" s="333"/>
      <c r="AR69" s="333"/>
      <c r="AS69" s="333"/>
      <c r="AT69" s="333"/>
      <c r="AU69" s="333"/>
      <c r="AV69" s="333"/>
      <c r="AW69" s="333"/>
      <c r="AX69" s="333"/>
      <c r="AY69" s="333"/>
      <c r="AZ69" s="333"/>
      <c r="BA69" s="333"/>
      <c r="BB69" s="333"/>
      <c r="BC69" s="333"/>
      <c r="BD69" s="333"/>
      <c r="BE69" s="333"/>
      <c r="BF69" s="333"/>
      <c r="BG69" s="333"/>
      <c r="BH69" s="333"/>
      <c r="BI69" s="333"/>
      <c r="BJ69" s="333"/>
      <c r="BK69" s="333"/>
      <c r="BL69" s="333"/>
      <c r="BM69" s="333"/>
      <c r="BN69" s="333"/>
      <c r="BO69" s="333"/>
      <c r="BP69" s="333"/>
      <c r="BQ69" s="333"/>
      <c r="BR69" s="333"/>
      <c r="BS69" s="333"/>
      <c r="BT69" s="333"/>
      <c r="BU69" s="333"/>
      <c r="BV69" s="333"/>
      <c r="BW69" s="333"/>
      <c r="BX69" s="333"/>
      <c r="BY69" s="333"/>
      <c r="BZ69" s="333"/>
      <c r="CA69" s="333"/>
      <c r="CB69" s="333"/>
      <c r="CC69" s="333"/>
      <c r="CD69" s="333"/>
      <c r="CE69" s="333"/>
      <c r="CF69" s="333"/>
      <c r="CG69" s="333"/>
      <c r="CH69" s="333"/>
      <c r="CI69" s="333"/>
      <c r="CJ69" s="333"/>
      <c r="CK69" s="333"/>
      <c r="CL69" s="333"/>
      <c r="CM69" s="333"/>
      <c r="CN69" s="333"/>
      <c r="CO69" s="333"/>
      <c r="CP69" s="333"/>
      <c r="CQ69" s="333"/>
      <c r="CR69" s="333"/>
      <c r="CS69" s="333"/>
      <c r="CT69" s="333"/>
      <c r="CU69" s="333"/>
      <c r="CV69" s="333"/>
      <c r="CW69" s="333"/>
      <c r="CX69" s="333"/>
      <c r="CY69" s="333"/>
      <c r="CZ69" s="333"/>
      <c r="DA69" s="333"/>
      <c r="DB69" s="333"/>
      <c r="DC69" s="333"/>
      <c r="DD69" s="333"/>
      <c r="DE69" s="333"/>
      <c r="DF69" s="333"/>
      <c r="DG69" s="333"/>
      <c r="DH69" s="333"/>
      <c r="DI69" s="333"/>
      <c r="DJ69" s="333"/>
      <c r="DK69" s="333"/>
      <c r="DL69" s="333"/>
      <c r="DM69" s="333"/>
      <c r="DN69" s="333"/>
      <c r="DO69" s="333"/>
      <c r="DP69" s="333"/>
      <c r="DQ69" s="333"/>
      <c r="DR69" s="333"/>
      <c r="DS69" s="333"/>
      <c r="DT69" s="333"/>
      <c r="DU69" s="359"/>
      <c r="DV69" s="359"/>
      <c r="DW69" s="359"/>
      <c r="DX69" s="359"/>
      <c r="DY69" s="359"/>
      <c r="DZ69" s="359"/>
      <c r="EA69" s="359"/>
      <c r="EB69" s="359"/>
      <c r="EC69" s="769">
        <f t="shared" si="166"/>
        <v>220</v>
      </c>
      <c r="ED69" s="889">
        <f>GE149</f>
        <v>0</v>
      </c>
      <c r="EE69" s="890"/>
      <c r="EF69" s="476">
        <f>GG149</f>
        <v>0</v>
      </c>
      <c r="EG69" s="893">
        <f>GL149</f>
        <v>0</v>
      </c>
      <c r="EH69" s="893"/>
      <c r="EI69" s="506">
        <f>GQ149</f>
        <v>0</v>
      </c>
      <c r="EJ69" s="373"/>
      <c r="EK69" s="373"/>
      <c r="EL69" s="366"/>
      <c r="EM69" s="368"/>
      <c r="EN69" s="365"/>
      <c r="EO69" s="353">
        <f>+IF(EO67= 0, 0, GG65)</f>
        <v>0</v>
      </c>
      <c r="EP69" s="350"/>
      <c r="EQ69" s="344"/>
      <c r="ER69" s="523"/>
      <c r="ES69" s="921">
        <f>IF(ER69 = "", 0,
IF(AND(EP69 &gt; 0, EQ69 &gt;0), 0, IF(EO65 &lt;&gt; $Z$1,
IF(AND(EP69 &lt;&gt; "", EP69 &lt;&gt; 0), -(EP69 * ER69 * 100),
IF(AND(EQ69 &lt;&gt; "", EQ69 &lt;&gt; 0), (EQ69 * ER69 * 100), 0)),
IF(AND(EP69 &lt;&gt; "", EP69 &lt;&gt; 0), -(EP69 * ER69 * 1),
IF(AND(EQ69 &lt;&gt; "", EQ69 &lt;&gt; 0), (EQ69 * ER69 * 1), 0))  )))</f>
        <v>0</v>
      </c>
      <c r="ET69" s="922"/>
      <c r="EU69" s="924"/>
      <c r="EV69" s="921">
        <f>IF(ER69 = "", 0,
IF(AND(EP69 &gt; 0, EQ69 &gt;0), 0,  IF(EO65 &lt;&gt; $Z$1,
IF(AND(EP69 &lt;&gt; "", EP69 &lt;&gt; 0), -(EP69 * ER69 * 100 * (1 + COMIS_OPCION)),
IF(AND(EQ69 &lt;&gt; "", EQ69 &lt;&gt; 0), (EQ69 * ER69 * 100 * (1 - COMIS_OPCION)), 0)),
IF(AND(EP69 &lt;&gt; "", EP69 &lt;&gt; 0), -(EP69 * ER69 * 1 * (1 + COMIS_ACCION)),
IF(AND(EQ69 &lt;&gt; "", EQ69 &lt;&gt; 0), (EQ69 * ER69 * 1 * (1 - COMIS_ACCION)), 0))  )))</f>
        <v>0</v>
      </c>
      <c r="EW69" s="922"/>
      <c r="EX69" s="922"/>
      <c r="EY69" s="922"/>
      <c r="EZ69" s="922"/>
      <c r="FA69" s="922"/>
      <c r="FB69" s="922"/>
      <c r="FC69" s="922"/>
      <c r="FD69" s="923"/>
      <c r="FE69" s="340"/>
      <c r="FF69" s="340"/>
      <c r="FG69" s="365"/>
      <c r="FH69" s="365"/>
      <c r="FI69" s="349">
        <f>+IF(FI67= 0, 0, GQ65)</f>
        <v>0</v>
      </c>
      <c r="FJ69" s="348"/>
      <c r="FK69" s="345"/>
      <c r="FL69" s="346"/>
      <c r="FM69" s="937">
        <f>IF(FL69 = "", 0,
IF(AND(FJ69 &gt; 0, FK69 &gt;0), 0,
IF(AND(FJ69 &lt;&gt; "", FJ69 &lt;&gt; 0), -(FJ69 * FL69 * 100),
IF(AND(FK69 &lt;&gt; "", FK69 &lt;&gt; 0), (FK69 * FL69 * 100), 0)) ))</f>
        <v>0</v>
      </c>
      <c r="FN69" s="938"/>
      <c r="FO69" s="939"/>
      <c r="FP69" s="937">
        <f>IF(FL69 = "", 0,
IF(AND(FJ69 &gt; 0, FK69 &gt;0), 0,
IF(AND(FJ69 &lt;&gt; "", FJ69 &lt;&gt; 0), -(FJ69 * FL69 * 100 * (1 + COMIS_OPCION)),
IF(AND(FK69 &lt;&gt; "", FK69 &lt;&gt; 0), (FK69 * FL69 * 100 * (1 - COMIS_OPCION)), 0)) ))</f>
        <v>0</v>
      </c>
      <c r="FQ69" s="938"/>
      <c r="FR69" s="938"/>
      <c r="FS69" s="938"/>
      <c r="FT69" s="938"/>
      <c r="FU69" s="938"/>
      <c r="FV69" s="938"/>
      <c r="FW69" s="938"/>
      <c r="FX69" s="969"/>
      <c r="FY69" s="341"/>
      <c r="FZ69" s="341"/>
      <c r="GA69" s="341"/>
      <c r="GB69" s="495">
        <v>0</v>
      </c>
      <c r="GC69" s="495">
        <v>0</v>
      </c>
      <c r="GD69" s="500"/>
      <c r="GE69" s="495">
        <v>0</v>
      </c>
      <c r="GF69" s="495">
        <v>0</v>
      </c>
      <c r="GG69" s="495">
        <v>0</v>
      </c>
      <c r="GH69" s="359"/>
      <c r="GI69" s="359"/>
      <c r="GJ69" s="501"/>
      <c r="GK69" s="495">
        <v>0</v>
      </c>
      <c r="GL69" s="495">
        <v>0</v>
      </c>
      <c r="GM69" s="495">
        <v>0</v>
      </c>
      <c r="GN69" s="359"/>
      <c r="GO69" s="359"/>
      <c r="GP69" s="501"/>
      <c r="GQ69" s="495">
        <v>0</v>
      </c>
      <c r="GR69" s="359"/>
      <c r="GS69" s="333"/>
      <c r="GT69" s="333"/>
      <c r="GU69" s="333"/>
      <c r="GV69" s="333"/>
      <c r="GW69" s="333"/>
      <c r="GX69" s="333"/>
      <c r="GY69" s="333"/>
      <c r="GZ69" s="333"/>
      <c r="HA69" s="333"/>
      <c r="HB69" s="333"/>
      <c r="HC69" s="333"/>
      <c r="HD69" s="333"/>
      <c r="HE69" s="333"/>
      <c r="HF69" s="333"/>
      <c r="HG69" s="331"/>
      <c r="HH69" s="331"/>
      <c r="HI69" s="331"/>
      <c r="HJ69" s="331"/>
      <c r="HK69" s="331"/>
      <c r="HL69" s="331"/>
      <c r="HM69" s="331"/>
      <c r="HN69" s="333"/>
      <c r="HO69" s="333"/>
      <c r="HP69" s="333"/>
      <c r="HQ69" s="333"/>
      <c r="HR69" s="333"/>
      <c r="HS69" s="333"/>
      <c r="HT69" s="333"/>
      <c r="HU69" s="333"/>
      <c r="HV69" s="333"/>
      <c r="HW69" s="333"/>
      <c r="HX69" s="333"/>
      <c r="HY69" s="333"/>
      <c r="HZ69" s="333"/>
      <c r="IA69" s="333"/>
      <c r="IB69" s="333"/>
      <c r="IC69" s="333"/>
      <c r="ID69" s="55"/>
      <c r="IE69" s="47"/>
      <c r="IH69" s="111">
        <f t="shared" si="175"/>
        <v>0</v>
      </c>
      <c r="II69" s="111">
        <f t="shared" si="168"/>
        <v>0</v>
      </c>
      <c r="IJ69" s="146">
        <v>14</v>
      </c>
      <c r="IK69" s="151">
        <f t="shared" si="169"/>
        <v>195</v>
      </c>
      <c r="IL69" s="106">
        <f t="shared" si="169"/>
        <v>-6.987836870975439E-2</v>
      </c>
      <c r="IM69" s="110">
        <f t="shared" si="169"/>
        <v>195</v>
      </c>
      <c r="IN69" s="111">
        <f t="shared" si="170"/>
        <v>0</v>
      </c>
      <c r="IO69" s="50">
        <f t="shared" si="176"/>
        <v>0</v>
      </c>
      <c r="IP69" s="50">
        <f t="shared" si="176"/>
        <v>0</v>
      </c>
      <c r="IQ69" s="50">
        <f t="shared" si="176"/>
        <v>0</v>
      </c>
      <c r="IR69" s="50">
        <f t="shared" si="176"/>
        <v>0</v>
      </c>
      <c r="IS69" s="50">
        <f t="shared" si="176"/>
        <v>0</v>
      </c>
      <c r="IT69" s="50">
        <f t="shared" si="176"/>
        <v>0</v>
      </c>
      <c r="IU69" s="50">
        <f t="shared" si="176"/>
        <v>0</v>
      </c>
      <c r="IV69" s="50">
        <f t="shared" si="176"/>
        <v>0</v>
      </c>
      <c r="IW69" s="50">
        <f t="shared" si="176"/>
        <v>0</v>
      </c>
      <c r="IX69" s="50">
        <f t="shared" si="176"/>
        <v>0</v>
      </c>
      <c r="IY69" s="50">
        <f t="shared" si="177"/>
        <v>0</v>
      </c>
      <c r="IZ69" s="50">
        <f t="shared" si="177"/>
        <v>0</v>
      </c>
      <c r="JA69" s="50">
        <f t="shared" si="177"/>
        <v>0</v>
      </c>
      <c r="JB69" s="50">
        <f t="shared" si="177"/>
        <v>0</v>
      </c>
      <c r="JC69" s="50">
        <f t="shared" si="177"/>
        <v>0</v>
      </c>
      <c r="JD69" s="50">
        <f t="shared" si="177"/>
        <v>0</v>
      </c>
      <c r="JE69" s="50">
        <f t="shared" si="177"/>
        <v>0</v>
      </c>
      <c r="JF69" s="50">
        <f t="shared" si="177"/>
        <v>0</v>
      </c>
      <c r="JG69" s="50">
        <f t="shared" si="177"/>
        <v>0</v>
      </c>
      <c r="JH69" s="50">
        <f t="shared" si="177"/>
        <v>0</v>
      </c>
      <c r="JI69" s="50">
        <f t="shared" si="178"/>
        <v>0</v>
      </c>
      <c r="JJ69" s="50">
        <f t="shared" si="178"/>
        <v>0</v>
      </c>
      <c r="JK69" s="50">
        <f t="shared" si="178"/>
        <v>0</v>
      </c>
      <c r="JL69" s="50">
        <f t="shared" si="178"/>
        <v>0</v>
      </c>
      <c r="JM69" s="50">
        <f t="shared" si="178"/>
        <v>0</v>
      </c>
      <c r="JN69" s="50">
        <f t="shared" si="178"/>
        <v>0</v>
      </c>
      <c r="JO69" s="50">
        <f t="shared" si="178"/>
        <v>0</v>
      </c>
      <c r="JP69" s="50">
        <f t="shared" si="178"/>
        <v>0</v>
      </c>
      <c r="JQ69" s="50">
        <f t="shared" si="178"/>
        <v>0</v>
      </c>
      <c r="JR69" s="50">
        <f t="shared" si="178"/>
        <v>0</v>
      </c>
      <c r="JS69" s="50">
        <f t="shared" si="179"/>
        <v>0</v>
      </c>
      <c r="JT69" s="50">
        <f t="shared" si="179"/>
        <v>0</v>
      </c>
      <c r="JU69" s="50" t="str">
        <f t="shared" si="179"/>
        <v/>
      </c>
      <c r="JV69" s="50" t="str">
        <f t="shared" si="179"/>
        <v/>
      </c>
      <c r="JW69" s="50" t="str">
        <f t="shared" si="179"/>
        <v/>
      </c>
      <c r="JX69" s="50" t="str">
        <f t="shared" si="179"/>
        <v/>
      </c>
      <c r="JY69" s="50" t="str">
        <f t="shared" si="179"/>
        <v/>
      </c>
      <c r="JZ69" s="50" t="str">
        <f t="shared" si="179"/>
        <v/>
      </c>
      <c r="KA69" s="50" t="str">
        <f t="shared" si="179"/>
        <v/>
      </c>
      <c r="KB69" s="50" t="str">
        <f t="shared" si="179"/>
        <v/>
      </c>
      <c r="KC69" s="50" t="str">
        <f t="shared" si="179"/>
        <v/>
      </c>
      <c r="KD69" s="50" t="str">
        <f t="shared" si="179"/>
        <v/>
      </c>
    </row>
    <row r="70" spans="13:293" s="142" customFormat="1" ht="15" customHeight="1" thickBot="1">
      <c r="M70" s="333"/>
      <c r="N70" s="333"/>
      <c r="O70" s="333"/>
      <c r="P70" s="333"/>
      <c r="Q70" s="333"/>
      <c r="R70" s="333"/>
      <c r="S70" s="333"/>
      <c r="T70" s="333"/>
      <c r="U70" s="333"/>
      <c r="V70" s="333"/>
      <c r="W70" s="333"/>
      <c r="X70" s="333"/>
      <c r="Y70" s="333"/>
      <c r="Z70" s="333"/>
      <c r="AA70" s="333"/>
      <c r="AB70" s="333"/>
      <c r="AC70" s="333"/>
      <c r="AD70" s="333"/>
      <c r="AE70" s="333"/>
      <c r="AF70" s="333"/>
      <c r="AG70" s="333"/>
      <c r="AH70" s="333"/>
      <c r="AI70" s="333"/>
      <c r="AJ70" s="333"/>
      <c r="AK70" s="333"/>
      <c r="AL70" s="333"/>
      <c r="AM70" s="333"/>
      <c r="AN70" s="333"/>
      <c r="AO70" s="333"/>
      <c r="AP70" s="333"/>
      <c r="AQ70" s="333"/>
      <c r="AR70" s="333"/>
      <c r="AS70" s="333"/>
      <c r="AT70" s="333"/>
      <c r="AU70" s="333"/>
      <c r="AV70" s="333"/>
      <c r="AW70" s="333"/>
      <c r="AX70" s="333"/>
      <c r="AY70" s="333"/>
      <c r="AZ70" s="333"/>
      <c r="BA70" s="333"/>
      <c r="BB70" s="333"/>
      <c r="BC70" s="333"/>
      <c r="BD70" s="333"/>
      <c r="BE70" s="333"/>
      <c r="BF70" s="333"/>
      <c r="BG70" s="333"/>
      <c r="BH70" s="333"/>
      <c r="BI70" s="333"/>
      <c r="BJ70" s="333"/>
      <c r="BK70" s="333"/>
      <c r="BL70" s="333"/>
      <c r="BM70" s="333"/>
      <c r="BN70" s="333"/>
      <c r="BO70" s="333"/>
      <c r="BP70" s="333"/>
      <c r="BQ70" s="333"/>
      <c r="BR70" s="333"/>
      <c r="BS70" s="333"/>
      <c r="BT70" s="333"/>
      <c r="BU70" s="333"/>
      <c r="BV70" s="333"/>
      <c r="BW70" s="333"/>
      <c r="BX70" s="333"/>
      <c r="BY70" s="333"/>
      <c r="BZ70" s="333"/>
      <c r="CA70" s="333"/>
      <c r="CB70" s="333"/>
      <c r="CC70" s="333"/>
      <c r="CD70" s="333"/>
      <c r="CE70" s="333"/>
      <c r="CF70" s="333"/>
      <c r="CG70" s="333"/>
      <c r="CH70" s="333"/>
      <c r="CI70" s="333"/>
      <c r="CJ70" s="333"/>
      <c r="CK70" s="333"/>
      <c r="CL70" s="333"/>
      <c r="CM70" s="333"/>
      <c r="CN70" s="333"/>
      <c r="CO70" s="333"/>
      <c r="CP70" s="333"/>
      <c r="CQ70" s="333"/>
      <c r="CR70" s="333"/>
      <c r="CS70" s="333"/>
      <c r="CT70" s="333"/>
      <c r="CU70" s="333"/>
      <c r="CV70" s="333"/>
      <c r="CW70" s="333"/>
      <c r="CX70" s="333"/>
      <c r="CY70" s="333"/>
      <c r="CZ70" s="333"/>
      <c r="DA70" s="333"/>
      <c r="DB70" s="333"/>
      <c r="DC70" s="333"/>
      <c r="DD70" s="333"/>
      <c r="DE70" s="333"/>
      <c r="DF70" s="333"/>
      <c r="DG70" s="333"/>
      <c r="DH70" s="333"/>
      <c r="DI70" s="333"/>
      <c r="DJ70" s="333"/>
      <c r="DK70" s="333"/>
      <c r="DL70" s="333"/>
      <c r="DM70" s="333"/>
      <c r="DN70" s="333"/>
      <c r="DO70" s="333"/>
      <c r="DP70" s="333"/>
      <c r="DQ70" s="333"/>
      <c r="DR70" s="333"/>
      <c r="DS70" s="333"/>
      <c r="DT70" s="333"/>
      <c r="DU70" s="359"/>
      <c r="DV70" s="359"/>
      <c r="DW70" s="359"/>
      <c r="DX70" s="359"/>
      <c r="DY70" s="359"/>
      <c r="DZ70" s="359"/>
      <c r="EA70" s="359"/>
      <c r="EB70" s="359"/>
      <c r="EC70" s="769">
        <f t="shared" si="166"/>
        <v>230</v>
      </c>
      <c r="ED70" s="889">
        <f>GE155</f>
        <v>0</v>
      </c>
      <c r="EE70" s="890"/>
      <c r="EF70" s="476">
        <f>GG155</f>
        <v>0</v>
      </c>
      <c r="EG70" s="893">
        <f>GL155</f>
        <v>0</v>
      </c>
      <c r="EH70" s="893"/>
      <c r="EI70" s="506">
        <f>GQ155</f>
        <v>0</v>
      </c>
      <c r="EJ70" s="373"/>
      <c r="EK70" s="373"/>
      <c r="EL70" s="366"/>
      <c r="EM70" s="369"/>
      <c r="EN70" s="364"/>
      <c r="EO70" s="363"/>
      <c r="EP70" s="340"/>
      <c r="EQ70" s="340"/>
      <c r="ER70" s="340"/>
      <c r="ES70" s="363"/>
      <c r="ET70" s="363"/>
      <c r="EU70" s="340"/>
      <c r="EV70" s="340"/>
      <c r="EW70" s="340"/>
      <c r="EX70" s="340"/>
      <c r="EY70" s="340"/>
      <c r="EZ70" s="340"/>
      <c r="FA70" s="340"/>
      <c r="FB70" s="402"/>
      <c r="FC70" s="402"/>
      <c r="FD70" s="340"/>
      <c r="FE70" s="340"/>
      <c r="FF70" s="340"/>
      <c r="FG70" s="364"/>
      <c r="FH70" s="364"/>
      <c r="FI70" s="363"/>
      <c r="FJ70" s="360"/>
      <c r="FK70" s="360"/>
      <c r="FL70" s="340"/>
      <c r="FM70" s="967"/>
      <c r="FN70" s="967"/>
      <c r="FO70" s="967"/>
      <c r="FP70" s="968"/>
      <c r="FQ70" s="968"/>
      <c r="FR70" s="968"/>
      <c r="FS70" s="968"/>
      <c r="FT70" s="968"/>
      <c r="FU70" s="968"/>
      <c r="FV70" s="968"/>
      <c r="FW70" s="968"/>
      <c r="FX70" s="968"/>
      <c r="FY70" s="341"/>
      <c r="FZ70" s="341"/>
      <c r="GA70" s="341"/>
      <c r="GB70" s="495">
        <v>0</v>
      </c>
      <c r="GC70" s="495">
        <v>0</v>
      </c>
      <c r="GD70" s="500"/>
      <c r="GE70" s="495">
        <v>0</v>
      </c>
      <c r="GF70" s="495">
        <v>0</v>
      </c>
      <c r="GG70" s="495">
        <v>0</v>
      </c>
      <c r="GH70" s="359"/>
      <c r="GI70" s="359"/>
      <c r="GJ70" s="501"/>
      <c r="GK70" s="495">
        <v>0</v>
      </c>
      <c r="GL70" s="495">
        <v>0</v>
      </c>
      <c r="GM70" s="495">
        <v>0</v>
      </c>
      <c r="GN70" s="359"/>
      <c r="GO70" s="359"/>
      <c r="GP70" s="501"/>
      <c r="GQ70" s="495">
        <v>0</v>
      </c>
      <c r="GR70" s="359"/>
      <c r="GS70" s="333"/>
      <c r="GT70" s="333"/>
      <c r="GU70" s="333"/>
      <c r="GV70" s="333"/>
      <c r="GW70" s="333"/>
      <c r="GX70" s="333"/>
      <c r="GY70" s="333"/>
      <c r="GZ70" s="333"/>
      <c r="HA70" s="333"/>
      <c r="HB70" s="333"/>
      <c r="HC70" s="333"/>
      <c r="HD70" s="333"/>
      <c r="HE70" s="333"/>
      <c r="HF70" s="333"/>
      <c r="HG70" s="331"/>
      <c r="HH70" s="331"/>
      <c r="HI70" s="331"/>
      <c r="HJ70" s="331"/>
      <c r="HK70" s="331"/>
      <c r="HL70" s="331"/>
      <c r="HM70" s="331"/>
      <c r="HN70" s="333"/>
      <c r="HO70" s="333"/>
      <c r="HP70" s="333"/>
      <c r="HQ70" s="333"/>
      <c r="HR70" s="333"/>
      <c r="HS70" s="333"/>
      <c r="HT70" s="333"/>
      <c r="HU70" s="333"/>
      <c r="HV70" s="333"/>
      <c r="HW70" s="333"/>
      <c r="HX70" s="333"/>
      <c r="HY70" s="333"/>
      <c r="HZ70" s="333"/>
      <c r="IA70" s="333"/>
      <c r="IB70" s="333"/>
      <c r="IC70" s="333"/>
      <c r="ID70" s="55"/>
      <c r="IE70" s="47"/>
      <c r="IH70" s="111">
        <f t="shared" si="175"/>
        <v>0</v>
      </c>
      <c r="II70" s="111">
        <f t="shared" si="168"/>
        <v>0</v>
      </c>
      <c r="IJ70" s="146">
        <v>15</v>
      </c>
      <c r="IK70" s="151">
        <f t="shared" si="169"/>
        <v>200</v>
      </c>
      <c r="IL70" s="106">
        <f t="shared" si="169"/>
        <v>-4.6029096112568557E-2</v>
      </c>
      <c r="IM70" s="110">
        <f t="shared" si="169"/>
        <v>200</v>
      </c>
      <c r="IN70" s="111">
        <f t="shared" si="170"/>
        <v>0</v>
      </c>
      <c r="IO70" s="50">
        <f t="shared" si="176"/>
        <v>0</v>
      </c>
      <c r="IP70" s="50">
        <f t="shared" si="176"/>
        <v>0</v>
      </c>
      <c r="IQ70" s="50">
        <f t="shared" si="176"/>
        <v>0</v>
      </c>
      <c r="IR70" s="50">
        <f t="shared" si="176"/>
        <v>0</v>
      </c>
      <c r="IS70" s="50">
        <f t="shared" si="176"/>
        <v>0</v>
      </c>
      <c r="IT70" s="50">
        <f t="shared" si="176"/>
        <v>0</v>
      </c>
      <c r="IU70" s="50">
        <f t="shared" si="176"/>
        <v>0</v>
      </c>
      <c r="IV70" s="50">
        <f t="shared" si="176"/>
        <v>0</v>
      </c>
      <c r="IW70" s="50">
        <f t="shared" si="176"/>
        <v>0</v>
      </c>
      <c r="IX70" s="50">
        <f t="shared" si="176"/>
        <v>0</v>
      </c>
      <c r="IY70" s="50">
        <f t="shared" si="177"/>
        <v>0</v>
      </c>
      <c r="IZ70" s="50">
        <f t="shared" si="177"/>
        <v>0</v>
      </c>
      <c r="JA70" s="50">
        <f t="shared" si="177"/>
        <v>0</v>
      </c>
      <c r="JB70" s="50">
        <f t="shared" si="177"/>
        <v>0</v>
      </c>
      <c r="JC70" s="50">
        <f t="shared" si="177"/>
        <v>0</v>
      </c>
      <c r="JD70" s="50">
        <f t="shared" si="177"/>
        <v>0</v>
      </c>
      <c r="JE70" s="50">
        <f t="shared" si="177"/>
        <v>0</v>
      </c>
      <c r="JF70" s="50">
        <f t="shared" si="177"/>
        <v>0</v>
      </c>
      <c r="JG70" s="50">
        <f t="shared" si="177"/>
        <v>0</v>
      </c>
      <c r="JH70" s="50">
        <f t="shared" si="177"/>
        <v>0</v>
      </c>
      <c r="JI70" s="50">
        <f t="shared" si="178"/>
        <v>0</v>
      </c>
      <c r="JJ70" s="50">
        <f t="shared" si="178"/>
        <v>0</v>
      </c>
      <c r="JK70" s="50">
        <f t="shared" si="178"/>
        <v>0</v>
      </c>
      <c r="JL70" s="50">
        <f t="shared" si="178"/>
        <v>0</v>
      </c>
      <c r="JM70" s="50">
        <f t="shared" si="178"/>
        <v>0</v>
      </c>
      <c r="JN70" s="50">
        <f t="shared" si="178"/>
        <v>0</v>
      </c>
      <c r="JO70" s="50">
        <f t="shared" si="178"/>
        <v>0</v>
      </c>
      <c r="JP70" s="50">
        <f t="shared" si="178"/>
        <v>0</v>
      </c>
      <c r="JQ70" s="50">
        <f t="shared" si="178"/>
        <v>0</v>
      </c>
      <c r="JR70" s="50">
        <f t="shared" si="178"/>
        <v>0</v>
      </c>
      <c r="JS70" s="50">
        <f t="shared" si="179"/>
        <v>0</v>
      </c>
      <c r="JT70" s="50">
        <f t="shared" si="179"/>
        <v>0</v>
      </c>
      <c r="JU70" s="50" t="str">
        <f t="shared" si="179"/>
        <v/>
      </c>
      <c r="JV70" s="50" t="str">
        <f t="shared" si="179"/>
        <v/>
      </c>
      <c r="JW70" s="50" t="str">
        <f t="shared" si="179"/>
        <v/>
      </c>
      <c r="JX70" s="50" t="str">
        <f t="shared" si="179"/>
        <v/>
      </c>
      <c r="JY70" s="50" t="str">
        <f t="shared" si="179"/>
        <v/>
      </c>
      <c r="JZ70" s="50" t="str">
        <f t="shared" si="179"/>
        <v/>
      </c>
      <c r="KA70" s="50" t="str">
        <f t="shared" si="179"/>
        <v/>
      </c>
      <c r="KB70" s="50" t="str">
        <f t="shared" si="179"/>
        <v/>
      </c>
      <c r="KC70" s="50" t="str">
        <f t="shared" si="179"/>
        <v/>
      </c>
      <c r="KD70" s="50" t="str">
        <f t="shared" si="179"/>
        <v/>
      </c>
    </row>
    <row r="71" spans="13:293" s="142" customFormat="1" ht="15" customHeight="1">
      <c r="M71" s="333"/>
      <c r="N71" s="333"/>
      <c r="O71" s="333"/>
      <c r="P71" s="333"/>
      <c r="Q71" s="333"/>
      <c r="R71" s="333"/>
      <c r="S71" s="333"/>
      <c r="T71" s="333"/>
      <c r="U71" s="333"/>
      <c r="V71" s="333"/>
      <c r="W71" s="333"/>
      <c r="X71" s="333"/>
      <c r="Y71" s="333"/>
      <c r="Z71" s="333"/>
      <c r="AA71" s="333"/>
      <c r="AB71" s="333"/>
      <c r="AC71" s="333"/>
      <c r="AD71" s="333"/>
      <c r="AE71" s="333"/>
      <c r="AF71" s="333"/>
      <c r="AG71" s="333"/>
      <c r="AH71" s="333"/>
      <c r="AI71" s="333"/>
      <c r="AJ71" s="333"/>
      <c r="AK71" s="333"/>
      <c r="AL71" s="333"/>
      <c r="AM71" s="333"/>
      <c r="AN71" s="333"/>
      <c r="AO71" s="333"/>
      <c r="AP71" s="333"/>
      <c r="AQ71" s="333"/>
      <c r="AR71" s="333"/>
      <c r="AS71" s="333"/>
      <c r="AT71" s="333"/>
      <c r="AU71" s="333"/>
      <c r="AV71" s="333"/>
      <c r="AW71" s="333"/>
      <c r="AX71" s="333"/>
      <c r="AY71" s="333"/>
      <c r="AZ71" s="333"/>
      <c r="BA71" s="333"/>
      <c r="BB71" s="333"/>
      <c r="BC71" s="333"/>
      <c r="BD71" s="333"/>
      <c r="BE71" s="333"/>
      <c r="BF71" s="333"/>
      <c r="BG71" s="333"/>
      <c r="BH71" s="333"/>
      <c r="BI71" s="333"/>
      <c r="BJ71" s="333"/>
      <c r="BK71" s="333"/>
      <c r="BL71" s="333"/>
      <c r="BM71" s="333"/>
      <c r="BN71" s="333"/>
      <c r="BO71" s="333"/>
      <c r="BP71" s="333"/>
      <c r="BQ71" s="333"/>
      <c r="BR71" s="333"/>
      <c r="BS71" s="333"/>
      <c r="BT71" s="333"/>
      <c r="BU71" s="333"/>
      <c r="BV71" s="333"/>
      <c r="BW71" s="333"/>
      <c r="BX71" s="333"/>
      <c r="BY71" s="333"/>
      <c r="BZ71" s="333"/>
      <c r="CA71" s="333"/>
      <c r="CB71" s="333"/>
      <c r="CC71" s="333"/>
      <c r="CD71" s="333"/>
      <c r="CE71" s="333"/>
      <c r="CF71" s="333"/>
      <c r="CG71" s="333"/>
      <c r="CH71" s="333"/>
      <c r="CI71" s="333"/>
      <c r="CJ71" s="333"/>
      <c r="CK71" s="333"/>
      <c r="CL71" s="333"/>
      <c r="CM71" s="333"/>
      <c r="CN71" s="333"/>
      <c r="CO71" s="333"/>
      <c r="CP71" s="333"/>
      <c r="CQ71" s="333"/>
      <c r="CR71" s="333"/>
      <c r="CS71" s="333"/>
      <c r="CT71" s="333"/>
      <c r="CU71" s="333"/>
      <c r="CV71" s="333"/>
      <c r="CW71" s="333"/>
      <c r="CX71" s="333"/>
      <c r="CY71" s="333"/>
      <c r="CZ71" s="333"/>
      <c r="DA71" s="333"/>
      <c r="DB71" s="333"/>
      <c r="DC71" s="333"/>
      <c r="DD71" s="333"/>
      <c r="DE71" s="333"/>
      <c r="DF71" s="333"/>
      <c r="DG71" s="333"/>
      <c r="DH71" s="333"/>
      <c r="DI71" s="333"/>
      <c r="DJ71" s="333"/>
      <c r="DK71" s="333"/>
      <c r="DL71" s="333"/>
      <c r="DM71" s="333"/>
      <c r="DN71" s="333"/>
      <c r="DO71" s="333"/>
      <c r="DP71" s="333"/>
      <c r="DQ71" s="333"/>
      <c r="DR71" s="333"/>
      <c r="DS71" s="333"/>
      <c r="DT71" s="333"/>
      <c r="DU71" s="359"/>
      <c r="DV71" s="359"/>
      <c r="DW71" s="359"/>
      <c r="DX71" s="359"/>
      <c r="DY71" s="359"/>
      <c r="DZ71" s="359"/>
      <c r="EA71" s="359"/>
      <c r="EB71" s="359"/>
      <c r="EC71" s="769">
        <f t="shared" si="166"/>
        <v>240</v>
      </c>
      <c r="ED71" s="889">
        <f>GE161</f>
        <v>0</v>
      </c>
      <c r="EE71" s="890"/>
      <c r="EF71" s="476">
        <f>GG161</f>
        <v>0</v>
      </c>
      <c r="EG71" s="893">
        <f>GL161</f>
        <v>0</v>
      </c>
      <c r="EH71" s="893"/>
      <c r="EI71" s="506">
        <f>GQ161</f>
        <v>0</v>
      </c>
      <c r="EJ71" s="373"/>
      <c r="EK71" s="373"/>
      <c r="EL71" s="366"/>
      <c r="EM71" s="366"/>
      <c r="EN71" s="364">
        <f>+EN65+1</f>
        <v>4</v>
      </c>
      <c r="EO71" s="356">
        <f>+VLOOKUP(EN71, PRECIOS_EJERCICIOS,  2,FALSE)</f>
        <v>145</v>
      </c>
      <c r="EP71" s="513" t="str">
        <f>+IF($AQ$49 = FALSE, "",
IF(VLOOKUP(EO71, basesCantPrimaBrutoRes, 2,FALSE) &gt;= 0, VLOOKUP(EO71, basesCantPrimaBrutoRes, 2,FALSE), 0))</f>
        <v/>
      </c>
      <c r="EQ71" s="514" t="str">
        <f>+IF($AQ$49 = FALSE, "",
IF(VLOOKUP(EO71, basesCantPrimaBrutoRes, 2,FALSE) &lt; 0, -VLOOKUP(EO71, basesCantPrimaBrutoRes, 2,FALSE), 0))</f>
        <v/>
      </c>
      <c r="ER71" s="521" t="str">
        <f>IF($AQ$49 = FALSE, "",
VLOOKUP(EO71, basesCantPrimaBrutoRes, 4,FALSE))</f>
        <v/>
      </c>
      <c r="ES71" s="926">
        <f>IF(ER71 = "", 0,
IF(AND(EP71 &gt; 0, EQ71 &gt;0), 0, IF(EO71 &lt;&gt; $Z$1,
IF(AND(EP71 &lt;&gt; "", EP71 &lt;&gt; 0), -(EP71 * ER71 * 100),
IF(AND(EQ71 &lt;&gt; "", EQ71 &lt;&gt; 0), (EQ71 * ER71 * 100), 0)),
IF(AND(EP71 &lt;&gt; "", EP71 &lt;&gt; 0), -(EP71 * ER71 * 1),
IF(AND(EQ71 &lt;&gt; "", EQ71 &lt;&gt; 0), (EQ71 * ER71 * 1), 0))  )))</f>
        <v>0</v>
      </c>
      <c r="ET71" s="927"/>
      <c r="EU71" s="928"/>
      <c r="EV71" s="926">
        <f>IF(ER71 = "", 0,
IF(AND(EP71 &gt; 0, EQ71 &gt;0), 0,  IF(EO71 &lt;&gt; $Z$1,
IF(AND(EP71 &lt;&gt; "", EP71 &lt;&gt; 0), -(EP71 * ER71 * 100 * (1 + COMIS_OPCION)),
IF(AND(EQ71 &lt;&gt; "", EQ71 &lt;&gt; 0), (EQ71 * ER71 * 100 * (1 - COMIS_OPCION)), 0)),
IF(AND(EP71 &lt;&gt; "", EP71 &lt;&gt; 0), -(EP71 * ER71 * 1 * (1 + COMIS_ACCION)),
IF(AND(EQ71 &lt;&gt; "", EQ71 &lt;&gt; 0), (EQ71 * ER71 * 1 * (1 - COMIS_ACCION)), 0))  )))</f>
        <v>0</v>
      </c>
      <c r="EW71" s="927"/>
      <c r="EX71" s="927"/>
      <c r="EY71" s="927"/>
      <c r="EZ71" s="927"/>
      <c r="FA71" s="927"/>
      <c r="FB71" s="927"/>
      <c r="FC71" s="927"/>
      <c r="FD71" s="929"/>
      <c r="FE71" s="340"/>
      <c r="FF71" s="340"/>
      <c r="FG71" s="364"/>
      <c r="FH71" s="364">
        <f>+FH65+1</f>
        <v>4</v>
      </c>
      <c r="FI71" s="357">
        <f>+VLOOKUP(FH71, PRECIOS_EJERCICIOS,  2,FALSE)</f>
        <v>145</v>
      </c>
      <c r="FJ71" s="515" t="str">
        <f>+IF($AQ$49 = FALSE, "",
IF(VLOOKUP(EO71, basesCantPrimaBrutoRes, 5,FALSE) &gt;= 0, VLOOKUP(EO71, basesCantPrimaBrutoRes, 5,FALSE), 0))</f>
        <v/>
      </c>
      <c r="FK71" s="516" t="str">
        <f>+IF($AQ$49 = FALSE, "",
IF(VLOOKUP(EO71, basesCantPrimaBrutoRes, 5,FALSE) &lt; 0, -VLOOKUP(EO71, basesCantPrimaBrutoRes, 5,FALSE), 0))</f>
        <v/>
      </c>
      <c r="FL71" s="517" t="str">
        <f>IF($AQ$49 = FALSE, "",
VLOOKUP(EO71, basesCantPrimaBrutoRes, 7,FALSE))</f>
        <v/>
      </c>
      <c r="FM71" s="934">
        <f>IF(FL71 = "", 0,
IF(AND(FJ71 &gt; 0, FK71 &gt;0), 0,
IF(AND(FJ71 &lt;&gt; "", FJ71 &lt;&gt; 0), -(FJ71 * FL71 * 100),
IF(AND(FK71 &lt;&gt; "", FK71 &lt;&gt; 0), (FK71 * FL71 * 100), 0)) ))</f>
        <v>0</v>
      </c>
      <c r="FN71" s="935"/>
      <c r="FO71" s="936"/>
      <c r="FP71" s="934">
        <f>IF(FL71 = "", 0,
IF(AND(FJ71 &gt; 0, FK71 &gt;0), 0,
IF(AND(FJ71 &lt;&gt; "", FJ71 &lt;&gt; 0), -(FJ71 * FL71 * 100 * (1 + COMIS_OPCION)),
IF(AND(FK71 &lt;&gt; "", FK71 &lt;&gt; 0), (FK71 * FL71 * 100 * (1 - COMIS_OPCION)), 0)) ))</f>
        <v>0</v>
      </c>
      <c r="FQ71" s="935"/>
      <c r="FR71" s="935"/>
      <c r="FS71" s="935"/>
      <c r="FT71" s="935"/>
      <c r="FU71" s="935"/>
      <c r="FV71" s="935"/>
      <c r="FW71" s="935"/>
      <c r="FX71" s="966"/>
      <c r="FY71" s="341"/>
      <c r="FZ71" s="341"/>
      <c r="GA71" s="341"/>
      <c r="GB71" s="495">
        <f>+IF(EN71 = "", "", EO71)</f>
        <v>145</v>
      </c>
      <c r="GC71" s="495" t="str">
        <f>+IF(GB71="", "", IF(EO71 = $Z$1, "ACCION", "CALL"))</f>
        <v>CALL</v>
      </c>
      <c r="GD71" s="500"/>
      <c r="GE71" s="495">
        <f>+IF(GB71= "", "", EO73)</f>
        <v>0</v>
      </c>
      <c r="GF71" s="495">
        <f>+IF(GB71 = "", "", IFERROR(IF(GB71 &lt;&gt; $Z$1,
IF(GE71 &gt; 0, SUMIFS(ES71:ES75, EP71:EP75, "&gt;0", ES71:ES75, "&lt;&gt;0") / SUMIFS(EP71:EP75, EP71:EP75, "&gt;0", ES71:ES75, "&lt;&gt;0") / -100,
IF(GE71 &lt; 0, SUMIFS(ES71:ES75, EQ71:EQ75, "&gt;0", ES71:ES75, "&lt;&gt;0") / SUMIFS(EQ71:EQ75, EQ71:EQ75, "&gt;0", ES71:ES75, "&lt;&gt;0") / 100, 0)),
IF(GE71 &gt; 0, SUMIFS(ES71:ES75, EP71:EP75, "&gt;0", ES71:ES75, "&lt;&gt;0") / SUMIFS(EP71:EP75, EP71:EP75, "&gt;0", ES71:ES75, "&lt;&gt;0") / -1,
IF(GE71 &lt; 0, SUMIFS(ES71:ES75, EQ71:EQ75, "&gt;0", ES71:ES75, "&lt;&gt;0") / SUMIFS(EQ71:EQ75, EQ71:EQ75, "&gt;0", ES71:ES75, "&lt;&gt;0") / 1, 0)) ), 0))</f>
        <v>0</v>
      </c>
      <c r="GG71" s="495">
        <f>+IF(GB71 = "", "", IFERROR(IF(GB71 &lt;&gt; $Z$1,
IF(GE71 &gt; 0, SUMIFS(EV71:EV75, EP71:EP75, "&gt;0", EV71:EV75, "&lt;&gt;0") / SUMIFS(EP71:EP75, EP71:EP75, "&gt;0", EV71:EV75, "&lt;&gt;0") / -100,
IF(GE71 &lt; 0, SUMIFS(EV71:EV75, EQ71:EQ75, "&gt;0", EV71:EV75, "&lt;&gt;0") / SUMIFS(EQ71:EQ75, EQ71:EQ75, "&gt;0", EV71:EV75, "&lt;&gt;0") / 100, 0)),
IF(GE71 &gt; 0, SUMIFS(EV71:EV75, EP71:EP75, "&gt;0", EV71:EV75, "&lt;&gt;0") / SUMIFS(EP71:EP75, EP71:EP75, "&gt;0", EV71:EV75, "&lt;&gt;0") / -1,
IF(GE71 &lt; 0, SUMIFS(EV71:EV75, EQ71:EQ75, "&gt;0", EV71:EV75, "&lt;&gt;0") / SUMIFS(EQ71:EQ75, EQ71:EQ75, "&gt;0", EV71:EV75, "&lt;&gt;0") / 1, 0)) ), 0))</f>
        <v>0</v>
      </c>
      <c r="GH71" s="359"/>
      <c r="GI71" s="359"/>
      <c r="GJ71" s="501"/>
      <c r="GK71" s="495" t="str">
        <f>+IF(GB71="", "", "PUT")</f>
        <v>PUT</v>
      </c>
      <c r="GL71" s="495">
        <f>+IF(GB71 = "", "", FI73)</f>
        <v>0</v>
      </c>
      <c r="GM71" s="495">
        <f>+IF(GB71 = "", "", IFERROR(
IF(FI73 &gt; 0, SUMIFS(FM71:FM75, FJ71:FJ75, "&gt;0", FM71:FM75, "&lt;&gt;0") / SUMIFS(FJ71:FJ75, FJ71:FJ75, "&gt;0", FM71:FM75, "&lt;&gt;0") / -100,
IF(FI73 &lt; 0, SUMIFS(FM71:FM75, FK71:FK75, "&gt;0", FM71:FM75, "&lt;&gt;0") / SUMIFS(FK71:FK75, FK71:FK75, "&gt;0", FM71:FM75, "&lt;&gt;0") / 100, 0)), 0) )</f>
        <v>0</v>
      </c>
      <c r="GN71" s="359"/>
      <c r="GO71" s="359"/>
      <c r="GP71" s="501"/>
      <c r="GQ71" s="502">
        <f>+IF(GB71 = "", "", IFERROR(
IF(FI73 &gt; 0, SUMIFS(FP71:FP75, FJ71:FJ75, "&gt;0", FP71:FP75, "&lt;&gt;0") / SUMIFS(FJ71:FJ75, FJ71:FJ75, "&gt;0", FP71:FP75, "&lt;&gt;0") / -100,
IF(FI73 &lt; 0, SUMIFS(FP71:FP75, FK71:FK75, "&gt;0", FP71:FP75, "&lt;&gt;0") / SUMIFS(FK71:FK75, FK71:FK75, "&gt;0", FP71:FP75, "&lt;&gt;0") / 100, 0)), 0))</f>
        <v>0</v>
      </c>
      <c r="GR71" s="359"/>
      <c r="GS71" s="333"/>
      <c r="GT71" s="333"/>
      <c r="GU71" s="333"/>
      <c r="GV71" s="333"/>
      <c r="GW71" s="333"/>
      <c r="GX71" s="333"/>
      <c r="GY71" s="333"/>
      <c r="GZ71" s="333"/>
      <c r="HA71" s="333"/>
      <c r="HB71" s="333"/>
      <c r="HC71" s="333"/>
      <c r="HD71" s="333"/>
      <c r="HE71" s="333"/>
      <c r="HF71" s="333"/>
      <c r="HG71" s="331"/>
      <c r="HH71" s="331"/>
      <c r="HI71" s="331"/>
      <c r="HJ71" s="331"/>
      <c r="HK71" s="331"/>
      <c r="HL71" s="331"/>
      <c r="HM71" s="331"/>
      <c r="HN71" s="333"/>
      <c r="HO71" s="333"/>
      <c r="HP71" s="333"/>
      <c r="HQ71" s="333"/>
      <c r="HR71" s="333"/>
      <c r="HS71" s="333"/>
      <c r="HT71" s="333"/>
      <c r="HU71" s="333"/>
      <c r="HV71" s="333"/>
      <c r="HW71" s="333"/>
      <c r="HX71" s="333"/>
      <c r="HY71" s="333"/>
      <c r="HZ71" s="333"/>
      <c r="IA71" s="333"/>
      <c r="IB71" s="333"/>
      <c r="IC71" s="333"/>
      <c r="ID71" s="55"/>
      <c r="IE71" s="47"/>
      <c r="IH71" s="111">
        <f t="shared" si="175"/>
        <v>0</v>
      </c>
      <c r="II71" s="111">
        <f t="shared" si="168"/>
        <v>0</v>
      </c>
      <c r="IJ71" s="146">
        <v>16</v>
      </c>
      <c r="IK71" s="151">
        <f t="shared" si="169"/>
        <v>210</v>
      </c>
      <c r="IL71" s="106">
        <f t="shared" si="169"/>
        <v>1.6694490818029983E-3</v>
      </c>
      <c r="IM71" s="110">
        <f t="shared" si="169"/>
        <v>210</v>
      </c>
      <c r="IN71" s="111">
        <f t="shared" si="170"/>
        <v>0</v>
      </c>
      <c r="IO71" s="50">
        <f t="shared" si="176"/>
        <v>0</v>
      </c>
      <c r="IP71" s="50">
        <f t="shared" si="176"/>
        <v>0</v>
      </c>
      <c r="IQ71" s="50">
        <f t="shared" si="176"/>
        <v>0</v>
      </c>
      <c r="IR71" s="50">
        <f t="shared" si="176"/>
        <v>0</v>
      </c>
      <c r="IS71" s="50">
        <f t="shared" si="176"/>
        <v>0</v>
      </c>
      <c r="IT71" s="50">
        <f t="shared" si="176"/>
        <v>0</v>
      </c>
      <c r="IU71" s="50">
        <f t="shared" si="176"/>
        <v>0</v>
      </c>
      <c r="IV71" s="50">
        <f t="shared" si="176"/>
        <v>0</v>
      </c>
      <c r="IW71" s="50">
        <f t="shared" si="176"/>
        <v>0</v>
      </c>
      <c r="IX71" s="50">
        <f t="shared" si="176"/>
        <v>0</v>
      </c>
      <c r="IY71" s="50">
        <f t="shared" si="177"/>
        <v>0</v>
      </c>
      <c r="IZ71" s="50">
        <f t="shared" si="177"/>
        <v>0</v>
      </c>
      <c r="JA71" s="50">
        <f t="shared" si="177"/>
        <v>0</v>
      </c>
      <c r="JB71" s="50">
        <f t="shared" si="177"/>
        <v>0</v>
      </c>
      <c r="JC71" s="50">
        <f t="shared" si="177"/>
        <v>0</v>
      </c>
      <c r="JD71" s="50">
        <f t="shared" si="177"/>
        <v>0</v>
      </c>
      <c r="JE71" s="50">
        <f t="shared" si="177"/>
        <v>0</v>
      </c>
      <c r="JF71" s="50">
        <f t="shared" si="177"/>
        <v>0</v>
      </c>
      <c r="JG71" s="50">
        <f t="shared" si="177"/>
        <v>0</v>
      </c>
      <c r="JH71" s="50">
        <f t="shared" si="177"/>
        <v>0</v>
      </c>
      <c r="JI71" s="50">
        <f t="shared" si="178"/>
        <v>0</v>
      </c>
      <c r="JJ71" s="50">
        <f t="shared" si="178"/>
        <v>0</v>
      </c>
      <c r="JK71" s="50">
        <f t="shared" si="178"/>
        <v>0</v>
      </c>
      <c r="JL71" s="50">
        <f t="shared" si="178"/>
        <v>0</v>
      </c>
      <c r="JM71" s="50">
        <f t="shared" si="178"/>
        <v>0</v>
      </c>
      <c r="JN71" s="50">
        <f t="shared" si="178"/>
        <v>0</v>
      </c>
      <c r="JO71" s="50">
        <f t="shared" si="178"/>
        <v>0</v>
      </c>
      <c r="JP71" s="50">
        <f t="shared" si="178"/>
        <v>0</v>
      </c>
      <c r="JQ71" s="50">
        <f t="shared" si="178"/>
        <v>0</v>
      </c>
      <c r="JR71" s="50">
        <f t="shared" si="178"/>
        <v>0</v>
      </c>
      <c r="JS71" s="50">
        <f t="shared" si="179"/>
        <v>0</v>
      </c>
      <c r="JT71" s="50">
        <f t="shared" si="179"/>
        <v>0</v>
      </c>
      <c r="JU71" s="50" t="str">
        <f t="shared" si="179"/>
        <v/>
      </c>
      <c r="JV71" s="50" t="str">
        <f t="shared" si="179"/>
        <v/>
      </c>
      <c r="JW71" s="50" t="str">
        <f t="shared" si="179"/>
        <v/>
      </c>
      <c r="JX71" s="50" t="str">
        <f t="shared" si="179"/>
        <v/>
      </c>
      <c r="JY71" s="50" t="str">
        <f t="shared" si="179"/>
        <v/>
      </c>
      <c r="JZ71" s="50" t="str">
        <f t="shared" si="179"/>
        <v/>
      </c>
      <c r="KA71" s="50" t="str">
        <f t="shared" si="179"/>
        <v/>
      </c>
      <c r="KB71" s="50" t="str">
        <f t="shared" si="179"/>
        <v/>
      </c>
      <c r="KC71" s="50" t="str">
        <f t="shared" si="179"/>
        <v/>
      </c>
      <c r="KD71" s="50" t="str">
        <f t="shared" si="179"/>
        <v/>
      </c>
    </row>
    <row r="72" spans="13:293" s="142" customFormat="1" ht="15" customHeight="1">
      <c r="M72" s="333"/>
      <c r="N72" s="333"/>
      <c r="O72" s="333"/>
      <c r="P72" s="333"/>
      <c r="Q72" s="333"/>
      <c r="R72" s="333"/>
      <c r="S72" s="333"/>
      <c r="T72" s="333"/>
      <c r="U72" s="333"/>
      <c r="V72" s="333"/>
      <c r="W72" s="333"/>
      <c r="X72" s="333"/>
      <c r="Y72" s="333"/>
      <c r="Z72" s="333"/>
      <c r="AA72" s="333"/>
      <c r="AB72" s="333"/>
      <c r="AC72" s="333"/>
      <c r="AD72" s="333"/>
      <c r="AE72" s="333"/>
      <c r="AF72" s="333"/>
      <c r="AG72" s="333"/>
      <c r="AH72" s="333"/>
      <c r="AI72" s="333"/>
      <c r="AJ72" s="333"/>
      <c r="AK72" s="333"/>
      <c r="AL72" s="333"/>
      <c r="AM72" s="333"/>
      <c r="AN72" s="333"/>
      <c r="AO72" s="333"/>
      <c r="AP72" s="333"/>
      <c r="AQ72" s="333"/>
      <c r="AR72" s="333"/>
      <c r="AS72" s="333"/>
      <c r="AT72" s="333"/>
      <c r="AU72" s="333"/>
      <c r="AV72" s="333"/>
      <c r="AW72" s="333"/>
      <c r="AX72" s="333"/>
      <c r="AY72" s="333"/>
      <c r="AZ72" s="333"/>
      <c r="BA72" s="333"/>
      <c r="BB72" s="333"/>
      <c r="BC72" s="333"/>
      <c r="BD72" s="333"/>
      <c r="BE72" s="333"/>
      <c r="BF72" s="333"/>
      <c r="BG72" s="333"/>
      <c r="BH72" s="333"/>
      <c r="BI72" s="333"/>
      <c r="BJ72" s="333"/>
      <c r="BK72" s="333"/>
      <c r="BL72" s="333"/>
      <c r="BM72" s="333"/>
      <c r="BN72" s="333"/>
      <c r="BO72" s="333"/>
      <c r="BP72" s="333"/>
      <c r="BQ72" s="333"/>
      <c r="BR72" s="333"/>
      <c r="BS72" s="333"/>
      <c r="BT72" s="333"/>
      <c r="BU72" s="333"/>
      <c r="BV72" s="333"/>
      <c r="BW72" s="333"/>
      <c r="BX72" s="333"/>
      <c r="BY72" s="333"/>
      <c r="BZ72" s="333"/>
      <c r="CA72" s="333"/>
      <c r="CB72" s="333"/>
      <c r="CC72" s="333"/>
      <c r="CD72" s="333"/>
      <c r="CE72" s="333"/>
      <c r="CF72" s="333"/>
      <c r="CG72" s="333"/>
      <c r="CH72" s="333"/>
      <c r="CI72" s="333"/>
      <c r="CJ72" s="333"/>
      <c r="CK72" s="333"/>
      <c r="CL72" s="333"/>
      <c r="CM72" s="333"/>
      <c r="CN72" s="333"/>
      <c r="CO72" s="333"/>
      <c r="CP72" s="333"/>
      <c r="CQ72" s="333"/>
      <c r="CR72" s="333"/>
      <c r="CS72" s="333"/>
      <c r="CT72" s="333"/>
      <c r="CU72" s="333"/>
      <c r="CV72" s="333"/>
      <c r="CW72" s="333"/>
      <c r="CX72" s="333"/>
      <c r="CY72" s="333"/>
      <c r="CZ72" s="333"/>
      <c r="DA72" s="333"/>
      <c r="DB72" s="333"/>
      <c r="DC72" s="333"/>
      <c r="DD72" s="333"/>
      <c r="DE72" s="333"/>
      <c r="DF72" s="333"/>
      <c r="DG72" s="333"/>
      <c r="DH72" s="333"/>
      <c r="DI72" s="333"/>
      <c r="DJ72" s="333"/>
      <c r="DK72" s="333"/>
      <c r="DL72" s="333"/>
      <c r="DM72" s="333"/>
      <c r="DN72" s="333"/>
      <c r="DO72" s="333"/>
      <c r="DP72" s="333"/>
      <c r="DQ72" s="333"/>
      <c r="DR72" s="333"/>
      <c r="DS72" s="333"/>
      <c r="DT72" s="333"/>
      <c r="DU72" s="359"/>
      <c r="DV72" s="359"/>
      <c r="DW72" s="359"/>
      <c r="DX72" s="359"/>
      <c r="DY72" s="359"/>
      <c r="DZ72" s="359"/>
      <c r="EA72" s="359"/>
      <c r="EB72" s="359"/>
      <c r="EC72" s="769">
        <f t="shared" si="166"/>
        <v>250</v>
      </c>
      <c r="ED72" s="889">
        <f>GE167</f>
        <v>0</v>
      </c>
      <c r="EE72" s="890"/>
      <c r="EF72" s="476">
        <f>GG167</f>
        <v>0</v>
      </c>
      <c r="EG72" s="893">
        <f>GL167</f>
        <v>0</v>
      </c>
      <c r="EH72" s="893"/>
      <c r="EI72" s="506">
        <f>GQ167</f>
        <v>0</v>
      </c>
      <c r="EJ72" s="373"/>
      <c r="EK72" s="373"/>
      <c r="EL72" s="366"/>
      <c r="EM72" s="366"/>
      <c r="EN72" s="364"/>
      <c r="EO72" s="351"/>
      <c r="EP72" s="347"/>
      <c r="EQ72" s="342"/>
      <c r="ER72" s="522"/>
      <c r="ES72" s="916">
        <f>IF(ER72 = "", 0,
IF(AND(EP72 &gt; 0, EQ72 &gt;0), 0, IF(EO71 &lt;&gt; $Z$1,
IF(AND(EP72 &lt;&gt; "", EP72 &lt;&gt; 0), -(EP72 * ER72 * 100),
IF(AND(EQ72 &lt;&gt; "", EQ72 &lt;&gt; 0), (EQ72 * ER72 * 100), 0)),
IF(AND(EP72 &lt;&gt; "", EP72 &lt;&gt; 0), -(EP72 * ER72 * 1),
IF(AND(EQ72 &lt;&gt; "", EQ72 &lt;&gt; 0), (EQ72 * ER72 * 1), 0))  )))</f>
        <v>0</v>
      </c>
      <c r="ET72" s="917"/>
      <c r="EU72" s="918"/>
      <c r="EV72" s="916">
        <f>IF(ER72 = "", 0,
IF(AND(EP72 &gt; 0, EQ72 &gt;0), 0,  IF(EO71 &lt;&gt; $Z$1,
IF(AND(EP72 &lt;&gt; "", EP72 &lt;&gt; 0), -(EP72 * ER72 * 100 * (1 + COMIS_OPCION)),
IF(AND(EQ72 &lt;&gt; "", EQ72 &lt;&gt; 0), (EQ72 * ER72 * 100 * (1 - COMIS_OPCION)), 0)),
IF(AND(EP72 &lt;&gt; "", EP72 &lt;&gt; 0), -(EP72 * ER72 * 1 * (1 + COMIS_ACCION)),
IF(AND(EQ72 &lt;&gt; "", EQ72 &lt;&gt; 0), (EQ72 * ER72 * 1 * (1 - COMIS_ACCION)), 0))  )))</f>
        <v>0</v>
      </c>
      <c r="EW72" s="917"/>
      <c r="EX72" s="917"/>
      <c r="EY72" s="917"/>
      <c r="EZ72" s="917"/>
      <c r="FA72" s="917"/>
      <c r="FB72" s="917"/>
      <c r="FC72" s="917"/>
      <c r="FD72" s="925"/>
      <c r="FE72" s="340"/>
      <c r="FF72" s="340"/>
      <c r="FG72" s="364"/>
      <c r="FH72" s="364"/>
      <c r="FI72" s="339"/>
      <c r="FJ72" s="347"/>
      <c r="FK72" s="342"/>
      <c r="FL72" s="343"/>
      <c r="FM72" s="930">
        <f>IF(FL72 = "", 0,
IF(AND(FJ72 &gt; 0, FK72 &gt;0), 0,
IF(AND(FJ72 &lt;&gt; "", FJ72 &lt;&gt; 0), -(FJ72 * FL72 * 100),
IF(AND(FK72 &lt;&gt; "", FK72 &lt;&gt; 0), (FK72 * FL72 * 100), 0)) ))</f>
        <v>0</v>
      </c>
      <c r="FN72" s="931"/>
      <c r="FO72" s="932"/>
      <c r="FP72" s="930">
        <f>IF(FL72 = "", 0,
IF(AND(FJ72 &gt; 0, FK72 &gt;0), 0,
IF(AND(FJ72 &lt;&gt; "", FJ72 &lt;&gt; 0), -(FJ72 * FL72 * 100 * (1 + COMIS_OPCION)),
IF(AND(FK72 &lt;&gt; "", FK72 &lt;&gt; 0), (FK72 * FL72 * 100 * (1 - COMIS_OPCION)), 0)) ))</f>
        <v>0</v>
      </c>
      <c r="FQ72" s="931"/>
      <c r="FR72" s="931"/>
      <c r="FS72" s="931"/>
      <c r="FT72" s="931"/>
      <c r="FU72" s="931"/>
      <c r="FV72" s="931"/>
      <c r="FW72" s="931"/>
      <c r="FX72" s="933"/>
      <c r="FY72" s="341"/>
      <c r="FZ72" s="341"/>
      <c r="GA72" s="341"/>
      <c r="GB72" s="495">
        <v>0</v>
      </c>
      <c r="GC72" s="495">
        <v>0</v>
      </c>
      <c r="GD72" s="500"/>
      <c r="GE72" s="495">
        <v>0</v>
      </c>
      <c r="GF72" s="495">
        <v>0</v>
      </c>
      <c r="GG72" s="495">
        <v>0</v>
      </c>
      <c r="GH72" s="359"/>
      <c r="GI72" s="359"/>
      <c r="GJ72" s="501"/>
      <c r="GK72" s="495">
        <v>0</v>
      </c>
      <c r="GL72" s="495">
        <v>0</v>
      </c>
      <c r="GM72" s="495">
        <v>0</v>
      </c>
      <c r="GN72" s="359"/>
      <c r="GO72" s="359"/>
      <c r="GP72" s="501"/>
      <c r="GQ72" s="495">
        <v>0</v>
      </c>
      <c r="GR72" s="359"/>
      <c r="GS72" s="333"/>
      <c r="GT72" s="333"/>
      <c r="GU72" s="333"/>
      <c r="GV72" s="333"/>
      <c r="GW72" s="333"/>
      <c r="GX72" s="333"/>
      <c r="GY72" s="333"/>
      <c r="GZ72" s="333"/>
      <c r="HA72" s="333"/>
      <c r="HB72" s="333"/>
      <c r="HC72" s="333"/>
      <c r="HD72" s="333"/>
      <c r="HE72" s="333"/>
      <c r="HF72" s="333"/>
      <c r="HG72" s="331"/>
      <c r="HH72" s="331"/>
      <c r="HI72" s="331"/>
      <c r="HJ72" s="331"/>
      <c r="HK72" s="331"/>
      <c r="HL72" s="331"/>
      <c r="HM72" s="331"/>
      <c r="HN72" s="333"/>
      <c r="HO72" s="333"/>
      <c r="HP72" s="333"/>
      <c r="HQ72" s="333"/>
      <c r="HR72" s="333"/>
      <c r="HS72" s="333"/>
      <c r="HT72" s="333"/>
      <c r="HU72" s="333"/>
      <c r="HV72" s="333"/>
      <c r="HW72" s="333"/>
      <c r="HX72" s="333"/>
      <c r="HY72" s="333"/>
      <c r="HZ72" s="333"/>
      <c r="IA72" s="333"/>
      <c r="IB72" s="333"/>
      <c r="IC72" s="333"/>
      <c r="ID72" s="55"/>
      <c r="IE72" s="47"/>
      <c r="IH72" s="111">
        <f t="shared" si="175"/>
        <v>0</v>
      </c>
      <c r="II72" s="111">
        <f t="shared" si="168"/>
        <v>0</v>
      </c>
      <c r="IJ72" s="146">
        <v>17</v>
      </c>
      <c r="IK72" s="151">
        <f t="shared" si="169"/>
        <v>220</v>
      </c>
      <c r="IL72" s="106">
        <f t="shared" si="169"/>
        <v>4.9367994276174443E-2</v>
      </c>
      <c r="IM72" s="110">
        <f t="shared" si="169"/>
        <v>220</v>
      </c>
      <c r="IN72" s="111">
        <f t="shared" si="170"/>
        <v>0</v>
      </c>
      <c r="IO72" s="50">
        <f t="shared" si="176"/>
        <v>0</v>
      </c>
      <c r="IP72" s="50">
        <f t="shared" si="176"/>
        <v>0</v>
      </c>
      <c r="IQ72" s="50">
        <f t="shared" si="176"/>
        <v>0</v>
      </c>
      <c r="IR72" s="50">
        <f t="shared" si="176"/>
        <v>0</v>
      </c>
      <c r="IS72" s="50">
        <f t="shared" si="176"/>
        <v>0</v>
      </c>
      <c r="IT72" s="50">
        <f t="shared" si="176"/>
        <v>0</v>
      </c>
      <c r="IU72" s="50">
        <f t="shared" si="176"/>
        <v>0</v>
      </c>
      <c r="IV72" s="50">
        <f t="shared" si="176"/>
        <v>0</v>
      </c>
      <c r="IW72" s="50">
        <f t="shared" si="176"/>
        <v>0</v>
      </c>
      <c r="IX72" s="50">
        <f t="shared" si="176"/>
        <v>0</v>
      </c>
      <c r="IY72" s="50">
        <f t="shared" si="177"/>
        <v>0</v>
      </c>
      <c r="IZ72" s="50">
        <f t="shared" si="177"/>
        <v>0</v>
      </c>
      <c r="JA72" s="50">
        <f t="shared" si="177"/>
        <v>0</v>
      </c>
      <c r="JB72" s="50">
        <f t="shared" si="177"/>
        <v>0</v>
      </c>
      <c r="JC72" s="50">
        <f t="shared" si="177"/>
        <v>0</v>
      </c>
      <c r="JD72" s="50">
        <f t="shared" si="177"/>
        <v>0</v>
      </c>
      <c r="JE72" s="50">
        <f t="shared" si="177"/>
        <v>0</v>
      </c>
      <c r="JF72" s="50">
        <f t="shared" si="177"/>
        <v>0</v>
      </c>
      <c r="JG72" s="50">
        <f t="shared" si="177"/>
        <v>0</v>
      </c>
      <c r="JH72" s="50">
        <f t="shared" si="177"/>
        <v>0</v>
      </c>
      <c r="JI72" s="50">
        <f t="shared" si="178"/>
        <v>0</v>
      </c>
      <c r="JJ72" s="50">
        <f t="shared" si="178"/>
        <v>0</v>
      </c>
      <c r="JK72" s="50">
        <f t="shared" si="178"/>
        <v>0</v>
      </c>
      <c r="JL72" s="50">
        <f t="shared" si="178"/>
        <v>0</v>
      </c>
      <c r="JM72" s="50">
        <f t="shared" si="178"/>
        <v>0</v>
      </c>
      <c r="JN72" s="50">
        <f t="shared" si="178"/>
        <v>0</v>
      </c>
      <c r="JO72" s="50">
        <f t="shared" si="178"/>
        <v>0</v>
      </c>
      <c r="JP72" s="50">
        <f t="shared" si="178"/>
        <v>0</v>
      </c>
      <c r="JQ72" s="50">
        <f t="shared" si="178"/>
        <v>0</v>
      </c>
      <c r="JR72" s="50">
        <f t="shared" si="178"/>
        <v>0</v>
      </c>
      <c r="JS72" s="50">
        <f t="shared" si="179"/>
        <v>0</v>
      </c>
      <c r="JT72" s="50">
        <f t="shared" si="179"/>
        <v>0</v>
      </c>
      <c r="JU72" s="50" t="str">
        <f t="shared" si="179"/>
        <v/>
      </c>
      <c r="JV72" s="50" t="str">
        <f t="shared" si="179"/>
        <v/>
      </c>
      <c r="JW72" s="50" t="str">
        <f t="shared" si="179"/>
        <v/>
      </c>
      <c r="JX72" s="50" t="str">
        <f t="shared" si="179"/>
        <v/>
      </c>
      <c r="JY72" s="50" t="str">
        <f t="shared" si="179"/>
        <v/>
      </c>
      <c r="JZ72" s="50" t="str">
        <f t="shared" si="179"/>
        <v/>
      </c>
      <c r="KA72" s="50" t="str">
        <f t="shared" si="179"/>
        <v/>
      </c>
      <c r="KB72" s="50" t="str">
        <f t="shared" si="179"/>
        <v/>
      </c>
      <c r="KC72" s="50" t="str">
        <f t="shared" si="179"/>
        <v/>
      </c>
      <c r="KD72" s="50" t="str">
        <f t="shared" si="179"/>
        <v/>
      </c>
    </row>
    <row r="73" spans="13:293" s="142" customFormat="1" ht="15" customHeight="1">
      <c r="M73" s="333"/>
      <c r="N73" s="333"/>
      <c r="O73" s="333"/>
      <c r="P73" s="333"/>
      <c r="Q73" s="333"/>
      <c r="R73" s="333"/>
      <c r="S73" s="333"/>
      <c r="T73" s="333"/>
      <c r="U73" s="333"/>
      <c r="V73" s="333"/>
      <c r="W73" s="333"/>
      <c r="X73" s="333"/>
      <c r="Y73" s="333"/>
      <c r="Z73" s="333"/>
      <c r="AA73" s="333"/>
      <c r="AB73" s="333"/>
      <c r="AC73" s="333"/>
      <c r="AD73" s="333"/>
      <c r="AE73" s="333"/>
      <c r="AF73" s="333"/>
      <c r="AG73" s="333"/>
      <c r="AH73" s="333"/>
      <c r="AI73" s="333"/>
      <c r="AJ73" s="333"/>
      <c r="AK73" s="333"/>
      <c r="AL73" s="333"/>
      <c r="AM73" s="333"/>
      <c r="AN73" s="333"/>
      <c r="AO73" s="333"/>
      <c r="AP73" s="333"/>
      <c r="AQ73" s="333"/>
      <c r="AR73" s="333"/>
      <c r="AS73" s="333"/>
      <c r="AT73" s="333"/>
      <c r="AU73" s="333"/>
      <c r="AV73" s="333"/>
      <c r="AW73" s="333"/>
      <c r="AX73" s="333"/>
      <c r="AY73" s="333"/>
      <c r="AZ73" s="333"/>
      <c r="BA73" s="333"/>
      <c r="BB73" s="333"/>
      <c r="BC73" s="333"/>
      <c r="BD73" s="333"/>
      <c r="BE73" s="333"/>
      <c r="BF73" s="333"/>
      <c r="BG73" s="333"/>
      <c r="BH73" s="333"/>
      <c r="BI73" s="333"/>
      <c r="BJ73" s="333"/>
      <c r="BK73" s="333"/>
      <c r="BL73" s="333"/>
      <c r="BM73" s="333"/>
      <c r="BN73" s="333"/>
      <c r="BO73" s="333"/>
      <c r="BP73" s="333"/>
      <c r="BQ73" s="333"/>
      <c r="BR73" s="333"/>
      <c r="BS73" s="333"/>
      <c r="BT73" s="333"/>
      <c r="BU73" s="333"/>
      <c r="BV73" s="333"/>
      <c r="BW73" s="333"/>
      <c r="BX73" s="333"/>
      <c r="BY73" s="333"/>
      <c r="BZ73" s="333"/>
      <c r="CA73" s="333"/>
      <c r="CB73" s="333"/>
      <c r="CC73" s="333"/>
      <c r="CD73" s="333"/>
      <c r="CE73" s="333"/>
      <c r="CF73" s="333"/>
      <c r="CG73" s="333"/>
      <c r="CH73" s="333"/>
      <c r="CI73" s="333"/>
      <c r="CJ73" s="333"/>
      <c r="CK73" s="333"/>
      <c r="CL73" s="333"/>
      <c r="CM73" s="333"/>
      <c r="CN73" s="333"/>
      <c r="CO73" s="333"/>
      <c r="CP73" s="333"/>
      <c r="CQ73" s="333"/>
      <c r="CR73" s="333"/>
      <c r="CS73" s="333"/>
      <c r="CT73" s="333"/>
      <c r="CU73" s="333"/>
      <c r="CV73" s="333"/>
      <c r="CW73" s="333"/>
      <c r="CX73" s="333"/>
      <c r="CY73" s="333"/>
      <c r="CZ73" s="333"/>
      <c r="DA73" s="333"/>
      <c r="DB73" s="333"/>
      <c r="DC73" s="333"/>
      <c r="DD73" s="333"/>
      <c r="DE73" s="333"/>
      <c r="DF73" s="333"/>
      <c r="DG73" s="333"/>
      <c r="DH73" s="333"/>
      <c r="DI73" s="333"/>
      <c r="DJ73" s="333"/>
      <c r="DK73" s="333"/>
      <c r="DL73" s="333"/>
      <c r="DM73" s="333"/>
      <c r="DN73" s="333"/>
      <c r="DO73" s="333"/>
      <c r="DP73" s="333"/>
      <c r="DQ73" s="333"/>
      <c r="DR73" s="333"/>
      <c r="DS73" s="333"/>
      <c r="DT73" s="333"/>
      <c r="DU73" s="359"/>
      <c r="DV73" s="359"/>
      <c r="DW73" s="359"/>
      <c r="DX73" s="359"/>
      <c r="DY73" s="359"/>
      <c r="DZ73" s="359"/>
      <c r="EA73" s="359"/>
      <c r="EB73" s="359"/>
      <c r="EC73" s="769">
        <f t="shared" si="166"/>
        <v>260</v>
      </c>
      <c r="ED73" s="889">
        <f>GE173</f>
        <v>0</v>
      </c>
      <c r="EE73" s="890"/>
      <c r="EF73" s="476">
        <f>GG173</f>
        <v>0</v>
      </c>
      <c r="EG73" s="893">
        <f>GL173</f>
        <v>0</v>
      </c>
      <c r="EH73" s="893"/>
      <c r="EI73" s="506">
        <f>GQ173</f>
        <v>0</v>
      </c>
      <c r="EJ73" s="373"/>
      <c r="EK73" s="373"/>
      <c r="EL73" s="366"/>
      <c r="EM73" s="368"/>
      <c r="EN73" s="365"/>
      <c r="EO73" s="352">
        <f>+SUM(EP71:EP75) - SUM(EQ71:EQ75)</f>
        <v>0</v>
      </c>
      <c r="EP73" s="347"/>
      <c r="EQ73" s="342"/>
      <c r="ER73" s="522"/>
      <c r="ES73" s="916">
        <f>IF(ER73 = "", 0,
IF(AND(EP73 &gt; 0, EQ73 &gt;0), 0, IF(EO71 &lt;&gt; $Z$1,
IF(AND(EP73 &lt;&gt; "", EP73 &lt;&gt; 0), -(EP73 * ER73 * 100),
IF(AND(EQ73 &lt;&gt; "", EQ73 &lt;&gt; 0), (EQ73 * ER73 * 100), 0)),
IF(AND(EP73 &lt;&gt; "", EP73 &lt;&gt; 0), -(EP73 * ER73 * 1),
IF(AND(EQ73 &lt;&gt; "", EQ73 &lt;&gt; 0), (EQ73 * ER73 * 1), 0))  )))</f>
        <v>0</v>
      </c>
      <c r="ET73" s="917"/>
      <c r="EU73" s="918"/>
      <c r="EV73" s="916">
        <f>IF(ER73 = "", 0,
IF(AND(EP73 &gt; 0, EQ73 &gt;0), 0,  IF(EO71 &lt;&gt; $Z$1,
IF(AND(EP73 &lt;&gt; "", EP73 &lt;&gt; 0), -(EP73 * ER73 * 100 * (1 + COMIS_OPCION)),
IF(AND(EQ73 &lt;&gt; "", EQ73 &lt;&gt; 0), (EQ73 * ER73 * 100 * (1 - COMIS_OPCION)), 0)),
IF(AND(EP73 &lt;&gt; "", EP73 &lt;&gt; 0), -(EP73 * ER73 * 1 * (1 + COMIS_ACCION)),
IF(AND(EQ73 &lt;&gt; "", EQ73 &lt;&gt; 0), (EQ73 * ER73 * 1 * (1 - COMIS_ACCION)), 0))  )))</f>
        <v>0</v>
      </c>
      <c r="EW73" s="917"/>
      <c r="EX73" s="917"/>
      <c r="EY73" s="917"/>
      <c r="EZ73" s="917"/>
      <c r="FA73" s="917"/>
      <c r="FB73" s="917"/>
      <c r="FC73" s="917"/>
      <c r="FD73" s="925"/>
      <c r="FE73" s="340"/>
      <c r="FF73" s="340"/>
      <c r="FG73" s="365"/>
      <c r="FH73" s="365"/>
      <c r="FI73" s="354">
        <f>+SUM(FJ71:FJ75) - SUM(FK71:FK75)</f>
        <v>0</v>
      </c>
      <c r="FJ73" s="347"/>
      <c r="FK73" s="342"/>
      <c r="FL73" s="343"/>
      <c r="FM73" s="930">
        <f>IF(FL73 = "", 0,
IF(AND(FJ73 &gt; 0, FK73 &gt;0), 0,
IF(AND(FJ73 &lt;&gt; "", FJ73 &lt;&gt; 0), -(FJ73 * FL73 * 100),
IF(AND(FK73 &lt;&gt; "", FK73 &lt;&gt; 0), (FK73 * FL73 * 100), 0)) ))</f>
        <v>0</v>
      </c>
      <c r="FN73" s="931"/>
      <c r="FO73" s="932"/>
      <c r="FP73" s="930">
        <f>IF(FL73 = "", 0,
IF(AND(FJ73 &gt; 0, FK73 &gt;0), 0,
IF(AND(FJ73 &lt;&gt; "", FJ73 &lt;&gt; 0), -(FJ73 * FL73 * 100 * (1 + COMIS_OPCION)),
IF(AND(FK73 &lt;&gt; "", FK73 &lt;&gt; 0), (FK73 * FL73 * 100 * (1 - COMIS_OPCION)), 0)) ))</f>
        <v>0</v>
      </c>
      <c r="FQ73" s="931"/>
      <c r="FR73" s="931"/>
      <c r="FS73" s="931"/>
      <c r="FT73" s="931"/>
      <c r="FU73" s="931"/>
      <c r="FV73" s="931"/>
      <c r="FW73" s="931"/>
      <c r="FX73" s="933"/>
      <c r="FY73" s="341"/>
      <c r="FZ73" s="341"/>
      <c r="GA73" s="341"/>
      <c r="GB73" s="495">
        <v>0</v>
      </c>
      <c r="GC73" s="495">
        <v>0</v>
      </c>
      <c r="GD73" s="500"/>
      <c r="GE73" s="495">
        <v>0</v>
      </c>
      <c r="GF73" s="495">
        <v>0</v>
      </c>
      <c r="GG73" s="495">
        <v>0</v>
      </c>
      <c r="GH73" s="359"/>
      <c r="GI73" s="359"/>
      <c r="GJ73" s="501"/>
      <c r="GK73" s="495">
        <v>0</v>
      </c>
      <c r="GL73" s="495">
        <v>0</v>
      </c>
      <c r="GM73" s="495">
        <v>0</v>
      </c>
      <c r="GN73" s="359"/>
      <c r="GO73" s="359"/>
      <c r="GP73" s="501"/>
      <c r="GQ73" s="495">
        <v>0</v>
      </c>
      <c r="GR73" s="359"/>
      <c r="GS73" s="333"/>
      <c r="GT73" s="333"/>
      <c r="GU73" s="333"/>
      <c r="GV73" s="333"/>
      <c r="GW73" s="333"/>
      <c r="GX73" s="333"/>
      <c r="GY73" s="333"/>
      <c r="GZ73" s="333"/>
      <c r="HA73" s="333"/>
      <c r="HB73" s="333"/>
      <c r="HC73" s="333"/>
      <c r="HD73" s="333"/>
      <c r="HE73" s="333"/>
      <c r="HF73" s="333"/>
      <c r="HG73" s="331"/>
      <c r="HH73" s="331"/>
      <c r="HI73" s="331"/>
      <c r="HJ73" s="331"/>
      <c r="HK73" s="331"/>
      <c r="HL73" s="331"/>
      <c r="HM73" s="331"/>
      <c r="HN73" s="333"/>
      <c r="HO73" s="333"/>
      <c r="HP73" s="333"/>
      <c r="HQ73" s="333"/>
      <c r="HR73" s="333"/>
      <c r="HS73" s="333"/>
      <c r="HT73" s="333"/>
      <c r="HU73" s="333"/>
      <c r="HV73" s="333"/>
      <c r="HW73" s="333"/>
      <c r="HX73" s="333"/>
      <c r="HY73" s="333"/>
      <c r="HZ73" s="333"/>
      <c r="IA73" s="333"/>
      <c r="IB73" s="333"/>
      <c r="IC73" s="333"/>
      <c r="ID73" s="55"/>
      <c r="IE73" s="47"/>
      <c r="IH73" s="111">
        <f t="shared" si="175"/>
        <v>0</v>
      </c>
      <c r="II73" s="111">
        <f t="shared" si="168"/>
        <v>0</v>
      </c>
      <c r="IJ73" s="146">
        <v>18</v>
      </c>
      <c r="IK73" s="151">
        <f t="shared" si="169"/>
        <v>230</v>
      </c>
      <c r="IL73" s="106">
        <f t="shared" si="169"/>
        <v>9.7066539470546109E-2</v>
      </c>
      <c r="IM73" s="110">
        <f t="shared" si="169"/>
        <v>230</v>
      </c>
      <c r="IN73" s="111">
        <f t="shared" si="170"/>
        <v>0</v>
      </c>
      <c r="IO73" s="50">
        <f t="shared" si="176"/>
        <v>0</v>
      </c>
      <c r="IP73" s="50">
        <f t="shared" si="176"/>
        <v>0</v>
      </c>
      <c r="IQ73" s="50">
        <f t="shared" si="176"/>
        <v>0</v>
      </c>
      <c r="IR73" s="50">
        <f t="shared" si="176"/>
        <v>0</v>
      </c>
      <c r="IS73" s="50">
        <f t="shared" si="176"/>
        <v>0</v>
      </c>
      <c r="IT73" s="50">
        <f t="shared" si="176"/>
        <v>0</v>
      </c>
      <c r="IU73" s="50">
        <f t="shared" si="176"/>
        <v>0</v>
      </c>
      <c r="IV73" s="50">
        <f t="shared" si="176"/>
        <v>0</v>
      </c>
      <c r="IW73" s="50">
        <f t="shared" si="176"/>
        <v>0</v>
      </c>
      <c r="IX73" s="50">
        <f t="shared" si="176"/>
        <v>0</v>
      </c>
      <c r="IY73" s="50">
        <f t="shared" si="177"/>
        <v>0</v>
      </c>
      <c r="IZ73" s="50">
        <f t="shared" si="177"/>
        <v>0</v>
      </c>
      <c r="JA73" s="50">
        <f t="shared" si="177"/>
        <v>0</v>
      </c>
      <c r="JB73" s="50">
        <f t="shared" si="177"/>
        <v>0</v>
      </c>
      <c r="JC73" s="50">
        <f t="shared" si="177"/>
        <v>0</v>
      </c>
      <c r="JD73" s="50">
        <f t="shared" si="177"/>
        <v>0</v>
      </c>
      <c r="JE73" s="50">
        <f t="shared" si="177"/>
        <v>0</v>
      </c>
      <c r="JF73" s="50">
        <f t="shared" si="177"/>
        <v>0</v>
      </c>
      <c r="JG73" s="50">
        <f t="shared" si="177"/>
        <v>0</v>
      </c>
      <c r="JH73" s="50">
        <f t="shared" si="177"/>
        <v>0</v>
      </c>
      <c r="JI73" s="50">
        <f t="shared" si="178"/>
        <v>0</v>
      </c>
      <c r="JJ73" s="50">
        <f t="shared" si="178"/>
        <v>0</v>
      </c>
      <c r="JK73" s="50">
        <f t="shared" si="178"/>
        <v>0</v>
      </c>
      <c r="JL73" s="50">
        <f t="shared" si="178"/>
        <v>0</v>
      </c>
      <c r="JM73" s="50">
        <f t="shared" si="178"/>
        <v>0</v>
      </c>
      <c r="JN73" s="50">
        <f t="shared" si="178"/>
        <v>0</v>
      </c>
      <c r="JO73" s="50">
        <f t="shared" si="178"/>
        <v>0</v>
      </c>
      <c r="JP73" s="50">
        <f t="shared" si="178"/>
        <v>0</v>
      </c>
      <c r="JQ73" s="50">
        <f t="shared" si="178"/>
        <v>0</v>
      </c>
      <c r="JR73" s="50">
        <f t="shared" si="178"/>
        <v>0</v>
      </c>
      <c r="JS73" s="50">
        <f t="shared" si="179"/>
        <v>0</v>
      </c>
      <c r="JT73" s="50">
        <f t="shared" si="179"/>
        <v>0</v>
      </c>
      <c r="JU73" s="50" t="str">
        <f t="shared" si="179"/>
        <v/>
      </c>
      <c r="JV73" s="50" t="str">
        <f t="shared" si="179"/>
        <v/>
      </c>
      <c r="JW73" s="50" t="str">
        <f t="shared" si="179"/>
        <v/>
      </c>
      <c r="JX73" s="50" t="str">
        <f t="shared" si="179"/>
        <v/>
      </c>
      <c r="JY73" s="50" t="str">
        <f t="shared" si="179"/>
        <v/>
      </c>
      <c r="JZ73" s="50" t="str">
        <f t="shared" si="179"/>
        <v/>
      </c>
      <c r="KA73" s="50" t="str">
        <f t="shared" si="179"/>
        <v/>
      </c>
      <c r="KB73" s="50" t="str">
        <f t="shared" si="179"/>
        <v/>
      </c>
      <c r="KC73" s="50" t="str">
        <f t="shared" si="179"/>
        <v/>
      </c>
      <c r="KD73" s="50" t="str">
        <f t="shared" si="179"/>
        <v/>
      </c>
    </row>
    <row r="74" spans="13:293" s="142" customFormat="1" ht="15" customHeight="1">
      <c r="M74" s="333"/>
      <c r="N74" s="333"/>
      <c r="O74" s="333"/>
      <c r="P74" s="333"/>
      <c r="Q74" s="333"/>
      <c r="R74" s="333"/>
      <c r="S74" s="333"/>
      <c r="T74" s="333"/>
      <c r="U74" s="333"/>
      <c r="V74" s="333"/>
      <c r="W74" s="333"/>
      <c r="X74" s="333"/>
      <c r="Y74" s="333"/>
      <c r="Z74" s="333"/>
      <c r="AA74" s="333"/>
      <c r="AB74" s="333"/>
      <c r="AC74" s="333"/>
      <c r="AD74" s="333"/>
      <c r="AE74" s="333"/>
      <c r="AF74" s="333"/>
      <c r="AG74" s="333"/>
      <c r="AH74" s="333"/>
      <c r="AI74" s="333"/>
      <c r="AJ74" s="333"/>
      <c r="AK74" s="333"/>
      <c r="AL74" s="333"/>
      <c r="AM74" s="333"/>
      <c r="AN74" s="333"/>
      <c r="AO74" s="333"/>
      <c r="AP74" s="333"/>
      <c r="AQ74" s="333"/>
      <c r="AR74" s="333"/>
      <c r="AS74" s="333"/>
      <c r="AT74" s="333"/>
      <c r="AU74" s="333"/>
      <c r="AV74" s="333"/>
      <c r="AW74" s="333"/>
      <c r="AX74" s="333"/>
      <c r="AY74" s="333"/>
      <c r="AZ74" s="333"/>
      <c r="BA74" s="333"/>
      <c r="BB74" s="333"/>
      <c r="BC74" s="333"/>
      <c r="BD74" s="333"/>
      <c r="BE74" s="333"/>
      <c r="BF74" s="333"/>
      <c r="BG74" s="333"/>
      <c r="BH74" s="333"/>
      <c r="BI74" s="333"/>
      <c r="BJ74" s="333"/>
      <c r="BK74" s="333"/>
      <c r="BL74" s="333"/>
      <c r="BM74" s="333"/>
      <c r="BN74" s="333"/>
      <c r="BO74" s="333"/>
      <c r="BP74" s="333"/>
      <c r="BQ74" s="333"/>
      <c r="BR74" s="333"/>
      <c r="BS74" s="333"/>
      <c r="BT74" s="333"/>
      <c r="BU74" s="333"/>
      <c r="BV74" s="333"/>
      <c r="BW74" s="333"/>
      <c r="BX74" s="333"/>
      <c r="BY74" s="333"/>
      <c r="BZ74" s="333"/>
      <c r="CA74" s="333"/>
      <c r="CB74" s="333"/>
      <c r="CC74" s="333"/>
      <c r="CD74" s="333"/>
      <c r="CE74" s="333"/>
      <c r="CF74" s="333"/>
      <c r="CG74" s="333"/>
      <c r="CH74" s="333"/>
      <c r="CI74" s="333"/>
      <c r="CJ74" s="333"/>
      <c r="CK74" s="333"/>
      <c r="CL74" s="333"/>
      <c r="CM74" s="333"/>
      <c r="CN74" s="333"/>
      <c r="CO74" s="333"/>
      <c r="CP74" s="333"/>
      <c r="CQ74" s="333"/>
      <c r="CR74" s="333"/>
      <c r="CS74" s="333"/>
      <c r="CT74" s="333"/>
      <c r="CU74" s="333"/>
      <c r="CV74" s="333"/>
      <c r="CW74" s="333"/>
      <c r="CX74" s="333"/>
      <c r="CY74" s="333"/>
      <c r="CZ74" s="333"/>
      <c r="DA74" s="333"/>
      <c r="DB74" s="333"/>
      <c r="DC74" s="333"/>
      <c r="DD74" s="333"/>
      <c r="DE74" s="333"/>
      <c r="DF74" s="333"/>
      <c r="DG74" s="333"/>
      <c r="DH74" s="333"/>
      <c r="DI74" s="333"/>
      <c r="DJ74" s="333"/>
      <c r="DK74" s="333"/>
      <c r="DL74" s="333"/>
      <c r="DM74" s="333"/>
      <c r="DN74" s="333"/>
      <c r="DO74" s="333"/>
      <c r="DP74" s="333"/>
      <c r="DQ74" s="333"/>
      <c r="DR74" s="333"/>
      <c r="DS74" s="333"/>
      <c r="DT74" s="333"/>
      <c r="DU74" s="359"/>
      <c r="DV74" s="359"/>
      <c r="DW74" s="359"/>
      <c r="DX74" s="359"/>
      <c r="DY74" s="359"/>
      <c r="DZ74" s="359"/>
      <c r="EA74" s="359"/>
      <c r="EB74" s="359"/>
      <c r="EC74" s="769">
        <f t="shared" si="166"/>
        <v>270</v>
      </c>
      <c r="ED74" s="889">
        <f>GE179</f>
        <v>0</v>
      </c>
      <c r="EE74" s="890"/>
      <c r="EF74" s="476">
        <f>GG179</f>
        <v>0</v>
      </c>
      <c r="EG74" s="893">
        <f>GL179</f>
        <v>0</v>
      </c>
      <c r="EH74" s="893"/>
      <c r="EI74" s="506">
        <f>GQ179</f>
        <v>0</v>
      </c>
      <c r="EJ74" s="373"/>
      <c r="EK74" s="373"/>
      <c r="EL74" s="366"/>
      <c r="EM74" s="368"/>
      <c r="EN74" s="365"/>
      <c r="EO74" s="352">
        <f>IF(EO73=0, 0, SUM(EV71:FD75))</f>
        <v>0</v>
      </c>
      <c r="EP74" s="347"/>
      <c r="EQ74" s="342"/>
      <c r="ER74" s="522"/>
      <c r="ES74" s="916">
        <f>IF(ER74 = "", 0,
IF(AND(EP74 &gt; 0, EQ74 &gt;0), 0, IF(EO71 &lt;&gt; $Z$1,
IF(AND(EP74 &lt;&gt; "", EP74 &lt;&gt; 0), -(EP74 * ER74 * 100),
IF(AND(EQ74 &lt;&gt; "", EQ74 &lt;&gt; 0), (EQ74 * ER74 * 100), 0)),
IF(AND(EP74 &lt;&gt; "", EP74 &lt;&gt; 0), -(EP74 * ER74 * 1),
IF(AND(EQ74 &lt;&gt; "", EQ74 &lt;&gt; 0), (EQ74 * ER74 * 1), 0))  )))</f>
        <v>0</v>
      </c>
      <c r="ET74" s="917"/>
      <c r="EU74" s="918"/>
      <c r="EV74" s="916">
        <f>IF(ER74 = "", 0,
IF(AND(EP74 &gt; 0, EQ74 &gt;0), 0,  IF(EO71 &lt;&gt; $Z$1,
IF(AND(EP74 &lt;&gt; "", EP74 &lt;&gt; 0), -(EP74 * ER74 * 100 * (1 + COMIS_OPCION)),
IF(AND(EQ74 &lt;&gt; "", EQ74 &lt;&gt; 0), (EQ74 * ER74 * 100 * (1 - COMIS_OPCION)), 0)),
IF(AND(EP74 &lt;&gt; "", EP74 &lt;&gt; 0), -(EP74 * ER74 * 1 * (1 + COMIS_ACCION)),
IF(AND(EQ74 &lt;&gt; "", EQ74 &lt;&gt; 0), (EQ74 * ER74 * 1 * (1 - COMIS_ACCION)), 0))  )))</f>
        <v>0</v>
      </c>
      <c r="EW74" s="917"/>
      <c r="EX74" s="917"/>
      <c r="EY74" s="917"/>
      <c r="EZ74" s="917"/>
      <c r="FA74" s="917"/>
      <c r="FB74" s="917"/>
      <c r="FC74" s="917"/>
      <c r="FD74" s="925"/>
      <c r="FE74" s="340"/>
      <c r="FF74" s="340"/>
      <c r="FG74" s="365"/>
      <c r="FH74" s="365"/>
      <c r="FI74" s="354">
        <f>IF(FI73=0, 0, SUM(FP71:FX75))</f>
        <v>0</v>
      </c>
      <c r="FJ74" s="347"/>
      <c r="FK74" s="342"/>
      <c r="FL74" s="343"/>
      <c r="FM74" s="930">
        <f>IF(FL74 = "", 0,
IF(AND(FJ74 &gt; 0, FK74 &gt;0), 0,
IF(AND(FJ74 &lt;&gt; "", FJ74 &lt;&gt; 0), -(FJ74 * FL74 * 100),
IF(AND(FK74 &lt;&gt; "", FK74 &lt;&gt; 0), (FK74 * FL74 * 100), 0)) ))</f>
        <v>0</v>
      </c>
      <c r="FN74" s="931"/>
      <c r="FO74" s="932"/>
      <c r="FP74" s="930">
        <f>IF(FL74 = "", 0,
IF(AND(FJ74 &gt; 0, FK74 &gt;0), 0,
IF(AND(FJ74 &lt;&gt; "", FJ74 &lt;&gt; 0), -(FJ74 * FL74 * 100 * (1 + COMIS_OPCION)),
IF(AND(FK74 &lt;&gt; "", FK74 &lt;&gt; 0), (FK74 * FL74 * 100 * (1 - COMIS_OPCION)), 0)) ))</f>
        <v>0</v>
      </c>
      <c r="FQ74" s="931"/>
      <c r="FR74" s="931"/>
      <c r="FS74" s="931"/>
      <c r="FT74" s="931"/>
      <c r="FU74" s="931"/>
      <c r="FV74" s="931"/>
      <c r="FW74" s="931"/>
      <c r="FX74" s="933"/>
      <c r="FY74" s="341"/>
      <c r="FZ74" s="341"/>
      <c r="GA74" s="341"/>
      <c r="GB74" s="495">
        <v>0</v>
      </c>
      <c r="GC74" s="495">
        <v>0</v>
      </c>
      <c r="GD74" s="500"/>
      <c r="GE74" s="495">
        <v>0</v>
      </c>
      <c r="GF74" s="495">
        <v>0</v>
      </c>
      <c r="GG74" s="495">
        <v>0</v>
      </c>
      <c r="GH74" s="359"/>
      <c r="GI74" s="359"/>
      <c r="GJ74" s="501"/>
      <c r="GK74" s="495">
        <v>0</v>
      </c>
      <c r="GL74" s="495">
        <v>0</v>
      </c>
      <c r="GM74" s="495">
        <v>0</v>
      </c>
      <c r="GN74" s="359"/>
      <c r="GO74" s="359"/>
      <c r="GP74" s="501"/>
      <c r="GQ74" s="495">
        <v>0</v>
      </c>
      <c r="GR74" s="359"/>
      <c r="GS74" s="333"/>
      <c r="GT74" s="333"/>
      <c r="GU74" s="333"/>
      <c r="GV74" s="333"/>
      <c r="GW74" s="333"/>
      <c r="GX74" s="333"/>
      <c r="GY74" s="333"/>
      <c r="GZ74" s="333"/>
      <c r="HA74" s="333"/>
      <c r="HB74" s="333"/>
      <c r="HC74" s="333"/>
      <c r="HD74" s="333"/>
      <c r="HE74" s="333"/>
      <c r="HF74" s="333"/>
      <c r="HG74" s="331"/>
      <c r="HH74" s="331"/>
      <c r="HI74" s="331"/>
      <c r="HJ74" s="331"/>
      <c r="HK74" s="331"/>
      <c r="HL74" s="331"/>
      <c r="HM74" s="331"/>
      <c r="HN74" s="333"/>
      <c r="HO74" s="333"/>
      <c r="HP74" s="333"/>
      <c r="HQ74" s="333"/>
      <c r="HR74" s="333"/>
      <c r="HS74" s="333"/>
      <c r="HT74" s="333"/>
      <c r="HU74" s="333"/>
      <c r="HV74" s="333"/>
      <c r="HW74" s="333"/>
      <c r="HX74" s="333"/>
      <c r="HY74" s="333"/>
      <c r="HZ74" s="333"/>
      <c r="IA74" s="333"/>
      <c r="IB74" s="333"/>
      <c r="IC74" s="333"/>
      <c r="ID74" s="55"/>
      <c r="IE74" s="47"/>
      <c r="IH74" s="111">
        <f t="shared" si="175"/>
        <v>0</v>
      </c>
      <c r="II74" s="111">
        <f t="shared" si="168"/>
        <v>0</v>
      </c>
      <c r="IJ74" s="146">
        <v>19</v>
      </c>
      <c r="IK74" s="151">
        <f t="shared" si="169"/>
        <v>240</v>
      </c>
      <c r="IL74" s="106">
        <f t="shared" si="169"/>
        <v>0.14476508466491778</v>
      </c>
      <c r="IM74" s="110">
        <f t="shared" si="169"/>
        <v>240</v>
      </c>
      <c r="IN74" s="111">
        <f t="shared" si="170"/>
        <v>0</v>
      </c>
      <c r="IO74" s="50">
        <f t="shared" si="176"/>
        <v>0</v>
      </c>
      <c r="IP74" s="50">
        <f t="shared" si="176"/>
        <v>0</v>
      </c>
      <c r="IQ74" s="50">
        <f t="shared" si="176"/>
        <v>0</v>
      </c>
      <c r="IR74" s="50">
        <f t="shared" si="176"/>
        <v>0</v>
      </c>
      <c r="IS74" s="50">
        <f t="shared" si="176"/>
        <v>0</v>
      </c>
      <c r="IT74" s="50">
        <f t="shared" si="176"/>
        <v>0</v>
      </c>
      <c r="IU74" s="50">
        <f t="shared" si="176"/>
        <v>0</v>
      </c>
      <c r="IV74" s="50">
        <f t="shared" si="176"/>
        <v>0</v>
      </c>
      <c r="IW74" s="50">
        <f t="shared" si="176"/>
        <v>0</v>
      </c>
      <c r="IX74" s="50">
        <f t="shared" si="176"/>
        <v>0</v>
      </c>
      <c r="IY74" s="50">
        <f t="shared" si="177"/>
        <v>0</v>
      </c>
      <c r="IZ74" s="50">
        <f t="shared" si="177"/>
        <v>0</v>
      </c>
      <c r="JA74" s="50">
        <f t="shared" si="177"/>
        <v>0</v>
      </c>
      <c r="JB74" s="50">
        <f t="shared" si="177"/>
        <v>0</v>
      </c>
      <c r="JC74" s="50">
        <f t="shared" si="177"/>
        <v>0</v>
      </c>
      <c r="JD74" s="50">
        <f t="shared" si="177"/>
        <v>0</v>
      </c>
      <c r="JE74" s="50">
        <f t="shared" si="177"/>
        <v>0</v>
      </c>
      <c r="JF74" s="50">
        <f t="shared" si="177"/>
        <v>0</v>
      </c>
      <c r="JG74" s="50">
        <f t="shared" si="177"/>
        <v>0</v>
      </c>
      <c r="JH74" s="50">
        <f t="shared" si="177"/>
        <v>0</v>
      </c>
      <c r="JI74" s="50">
        <f t="shared" si="178"/>
        <v>0</v>
      </c>
      <c r="JJ74" s="50">
        <f t="shared" si="178"/>
        <v>0</v>
      </c>
      <c r="JK74" s="50">
        <f t="shared" si="178"/>
        <v>0</v>
      </c>
      <c r="JL74" s="50">
        <f t="shared" si="178"/>
        <v>0</v>
      </c>
      <c r="JM74" s="50">
        <f t="shared" si="178"/>
        <v>0</v>
      </c>
      <c r="JN74" s="50">
        <f t="shared" si="178"/>
        <v>0</v>
      </c>
      <c r="JO74" s="50">
        <f t="shared" si="178"/>
        <v>0</v>
      </c>
      <c r="JP74" s="50">
        <f t="shared" si="178"/>
        <v>0</v>
      </c>
      <c r="JQ74" s="50">
        <f t="shared" si="178"/>
        <v>0</v>
      </c>
      <c r="JR74" s="50">
        <f t="shared" si="178"/>
        <v>0</v>
      </c>
      <c r="JS74" s="50">
        <f t="shared" si="179"/>
        <v>0</v>
      </c>
      <c r="JT74" s="50">
        <f t="shared" si="179"/>
        <v>0</v>
      </c>
      <c r="JU74" s="50" t="str">
        <f t="shared" si="179"/>
        <v/>
      </c>
      <c r="JV74" s="50" t="str">
        <f t="shared" si="179"/>
        <v/>
      </c>
      <c r="JW74" s="50" t="str">
        <f t="shared" si="179"/>
        <v/>
      </c>
      <c r="JX74" s="50" t="str">
        <f t="shared" si="179"/>
        <v/>
      </c>
      <c r="JY74" s="50" t="str">
        <f t="shared" si="179"/>
        <v/>
      </c>
      <c r="JZ74" s="50" t="str">
        <f t="shared" si="179"/>
        <v/>
      </c>
      <c r="KA74" s="50" t="str">
        <f t="shared" si="179"/>
        <v/>
      </c>
      <c r="KB74" s="50" t="str">
        <f t="shared" si="179"/>
        <v/>
      </c>
      <c r="KC74" s="50" t="str">
        <f t="shared" si="179"/>
        <v/>
      </c>
      <c r="KD74" s="50" t="str">
        <f t="shared" si="179"/>
        <v/>
      </c>
    </row>
    <row r="75" spans="13:293" s="142" customFormat="1" ht="15" customHeight="1" thickBot="1">
      <c r="M75" s="333"/>
      <c r="N75" s="333"/>
      <c r="O75" s="333"/>
      <c r="P75" s="333"/>
      <c r="Q75" s="333"/>
      <c r="R75" s="333"/>
      <c r="S75" s="333"/>
      <c r="T75" s="333"/>
      <c r="U75" s="333"/>
      <c r="V75" s="333"/>
      <c r="W75" s="333"/>
      <c r="X75" s="333"/>
      <c r="Y75" s="333"/>
      <c r="Z75" s="333"/>
      <c r="AA75" s="333"/>
      <c r="AB75" s="333"/>
      <c r="AC75" s="333"/>
      <c r="AD75" s="333"/>
      <c r="AE75" s="333"/>
      <c r="AF75" s="333"/>
      <c r="AG75" s="333"/>
      <c r="AH75" s="333"/>
      <c r="AI75" s="333"/>
      <c r="AJ75" s="333"/>
      <c r="AK75" s="333"/>
      <c r="AL75" s="333"/>
      <c r="AM75" s="333"/>
      <c r="AN75" s="333"/>
      <c r="AO75" s="333"/>
      <c r="AP75" s="333"/>
      <c r="AQ75" s="333"/>
      <c r="AR75" s="333"/>
      <c r="AS75" s="333"/>
      <c r="AT75" s="333"/>
      <c r="AU75" s="333"/>
      <c r="AV75" s="333"/>
      <c r="AW75" s="333"/>
      <c r="AX75" s="333"/>
      <c r="AY75" s="333"/>
      <c r="AZ75" s="333"/>
      <c r="BA75" s="333"/>
      <c r="BB75" s="333"/>
      <c r="BC75" s="333"/>
      <c r="BD75" s="333"/>
      <c r="BE75" s="333"/>
      <c r="BF75" s="333"/>
      <c r="BG75" s="333"/>
      <c r="BH75" s="333"/>
      <c r="BI75" s="333"/>
      <c r="BJ75" s="333"/>
      <c r="BK75" s="333"/>
      <c r="BL75" s="333"/>
      <c r="BM75" s="333"/>
      <c r="BN75" s="333"/>
      <c r="BO75" s="333"/>
      <c r="BP75" s="333"/>
      <c r="BQ75" s="333"/>
      <c r="BR75" s="333"/>
      <c r="BS75" s="333"/>
      <c r="BT75" s="333"/>
      <c r="BU75" s="333"/>
      <c r="BV75" s="333"/>
      <c r="BW75" s="333"/>
      <c r="BX75" s="333"/>
      <c r="BY75" s="333"/>
      <c r="BZ75" s="333"/>
      <c r="CA75" s="333"/>
      <c r="CB75" s="333"/>
      <c r="CC75" s="333"/>
      <c r="CD75" s="333"/>
      <c r="CE75" s="333"/>
      <c r="CF75" s="333"/>
      <c r="CG75" s="333"/>
      <c r="CH75" s="333"/>
      <c r="CI75" s="333"/>
      <c r="CJ75" s="333"/>
      <c r="CK75" s="333"/>
      <c r="CL75" s="333"/>
      <c r="CM75" s="333"/>
      <c r="CN75" s="333"/>
      <c r="CO75" s="333"/>
      <c r="CP75" s="333"/>
      <c r="CQ75" s="333"/>
      <c r="CR75" s="333"/>
      <c r="CS75" s="333"/>
      <c r="CT75" s="333"/>
      <c r="CU75" s="333"/>
      <c r="CV75" s="333"/>
      <c r="CW75" s="333"/>
      <c r="CX75" s="333"/>
      <c r="CY75" s="333"/>
      <c r="CZ75" s="333"/>
      <c r="DA75" s="333"/>
      <c r="DB75" s="333"/>
      <c r="DC75" s="333"/>
      <c r="DD75" s="333"/>
      <c r="DE75" s="333"/>
      <c r="DF75" s="333"/>
      <c r="DG75" s="333"/>
      <c r="DH75" s="333"/>
      <c r="DI75" s="333"/>
      <c r="DJ75" s="333"/>
      <c r="DK75" s="333"/>
      <c r="DL75" s="333"/>
      <c r="DM75" s="333"/>
      <c r="DN75" s="333"/>
      <c r="DO75" s="333"/>
      <c r="DP75" s="333"/>
      <c r="DQ75" s="333"/>
      <c r="DR75" s="333"/>
      <c r="DS75" s="333"/>
      <c r="DT75" s="333"/>
      <c r="DU75" s="359"/>
      <c r="DV75" s="359"/>
      <c r="DW75" s="359"/>
      <c r="DX75" s="359"/>
      <c r="DY75" s="359"/>
      <c r="DZ75" s="359"/>
      <c r="EA75" s="359"/>
      <c r="EB75" s="359"/>
      <c r="EC75" s="769">
        <f t="shared" si="166"/>
        <v>280</v>
      </c>
      <c r="ED75" s="889">
        <f>GE185</f>
        <v>0</v>
      </c>
      <c r="EE75" s="890"/>
      <c r="EF75" s="476">
        <f>GG185</f>
        <v>0</v>
      </c>
      <c r="EG75" s="893">
        <f>GL185</f>
        <v>0</v>
      </c>
      <c r="EH75" s="893"/>
      <c r="EI75" s="506">
        <f>GQ185</f>
        <v>0</v>
      </c>
      <c r="EJ75" s="373"/>
      <c r="EK75" s="373"/>
      <c r="EL75" s="366"/>
      <c r="EM75" s="368"/>
      <c r="EN75" s="365"/>
      <c r="EO75" s="353">
        <f>+IF(EO73= 0, 0, GG71)</f>
        <v>0</v>
      </c>
      <c r="EP75" s="350"/>
      <c r="EQ75" s="344"/>
      <c r="ER75" s="523"/>
      <c r="ES75" s="921">
        <f>IF(ER75 = "", 0,
IF(AND(EP75 &gt; 0, EQ75 &gt;0), 0, IF(EO71 &lt;&gt; $Z$1,
IF(AND(EP75 &lt;&gt; "", EP75 &lt;&gt; 0), -(EP75 * ER75 * 100),
IF(AND(EQ75 &lt;&gt; "", EQ75 &lt;&gt; 0), (EQ75 * ER75 * 100), 0)),
IF(AND(EP75 &lt;&gt; "", EP75 &lt;&gt; 0), -(EP75 * ER75 * 1),
IF(AND(EQ75 &lt;&gt; "", EQ75 &lt;&gt; 0), (EQ75 * ER75 * 1), 0))  )))</f>
        <v>0</v>
      </c>
      <c r="ET75" s="922"/>
      <c r="EU75" s="924"/>
      <c r="EV75" s="921">
        <f>IF(ER75 = "", 0,
IF(AND(EP75 &gt; 0, EQ75 &gt;0), 0,  IF(EO71 &lt;&gt; $Z$1,
IF(AND(EP75 &lt;&gt; "", EP75 &lt;&gt; 0), -(EP75 * ER75 * 100 * (1 + COMIS_OPCION)),
IF(AND(EQ75 &lt;&gt; "", EQ75 &lt;&gt; 0), (EQ75 * ER75 * 100 * (1 - COMIS_OPCION)), 0)),
IF(AND(EP75 &lt;&gt; "", EP75 &lt;&gt; 0), -(EP75 * ER75 * 1 * (1 + COMIS_ACCION)),
IF(AND(EQ75 &lt;&gt; "", EQ75 &lt;&gt; 0), (EQ75 * ER75 * 1 * (1 - COMIS_ACCION)), 0))  )))</f>
        <v>0</v>
      </c>
      <c r="EW75" s="922"/>
      <c r="EX75" s="922"/>
      <c r="EY75" s="922"/>
      <c r="EZ75" s="922"/>
      <c r="FA75" s="922"/>
      <c r="FB75" s="922"/>
      <c r="FC75" s="922"/>
      <c r="FD75" s="923"/>
      <c r="FE75" s="340"/>
      <c r="FF75" s="340"/>
      <c r="FG75" s="365"/>
      <c r="FH75" s="365"/>
      <c r="FI75" s="349">
        <f>+IF(FI73= 0, 0, GQ71)</f>
        <v>0</v>
      </c>
      <c r="FJ75" s="348"/>
      <c r="FK75" s="345"/>
      <c r="FL75" s="346"/>
      <c r="FM75" s="937">
        <f>IF(FL75 = "", 0,
IF(AND(FJ75 &gt; 0, FK75 &gt;0), 0,
IF(AND(FJ75 &lt;&gt; "", FJ75 &lt;&gt; 0), -(FJ75 * FL75 * 100),
IF(AND(FK75 &lt;&gt; "", FK75 &lt;&gt; 0), (FK75 * FL75 * 100), 0)) ))</f>
        <v>0</v>
      </c>
      <c r="FN75" s="938"/>
      <c r="FO75" s="939"/>
      <c r="FP75" s="937">
        <f>IF(FL75 = "", 0,
IF(AND(FJ75 &gt; 0, FK75 &gt;0), 0,
IF(AND(FJ75 &lt;&gt; "", FJ75 &lt;&gt; 0), -(FJ75 * FL75 * 100 * (1 + COMIS_OPCION)),
IF(AND(FK75 &lt;&gt; "", FK75 &lt;&gt; 0), (FK75 * FL75 * 100 * (1 - COMIS_OPCION)), 0)) ))</f>
        <v>0</v>
      </c>
      <c r="FQ75" s="938"/>
      <c r="FR75" s="938"/>
      <c r="FS75" s="938"/>
      <c r="FT75" s="938"/>
      <c r="FU75" s="938"/>
      <c r="FV75" s="938"/>
      <c r="FW75" s="938"/>
      <c r="FX75" s="969"/>
      <c r="FY75" s="341"/>
      <c r="FZ75" s="341"/>
      <c r="GA75" s="341"/>
      <c r="GB75" s="495">
        <v>0</v>
      </c>
      <c r="GC75" s="495">
        <v>0</v>
      </c>
      <c r="GD75" s="500"/>
      <c r="GE75" s="495">
        <v>0</v>
      </c>
      <c r="GF75" s="495">
        <v>0</v>
      </c>
      <c r="GG75" s="495">
        <v>0</v>
      </c>
      <c r="GH75" s="359"/>
      <c r="GI75" s="359"/>
      <c r="GJ75" s="501"/>
      <c r="GK75" s="495">
        <v>0</v>
      </c>
      <c r="GL75" s="495">
        <v>0</v>
      </c>
      <c r="GM75" s="495">
        <v>0</v>
      </c>
      <c r="GN75" s="359"/>
      <c r="GO75" s="359"/>
      <c r="GP75" s="501"/>
      <c r="GQ75" s="495">
        <v>0</v>
      </c>
      <c r="GR75" s="359"/>
      <c r="GS75" s="333"/>
      <c r="GT75" s="333"/>
      <c r="GU75" s="333"/>
      <c r="GV75" s="333"/>
      <c r="GW75" s="333"/>
      <c r="GX75" s="333"/>
      <c r="GY75" s="333"/>
      <c r="GZ75" s="333"/>
      <c r="HA75" s="333"/>
      <c r="HB75" s="333"/>
      <c r="HC75" s="333"/>
      <c r="HD75" s="333"/>
      <c r="HE75" s="333"/>
      <c r="HF75" s="333"/>
      <c r="HG75" s="331"/>
      <c r="HH75" s="331"/>
      <c r="HI75" s="331"/>
      <c r="HJ75" s="331"/>
      <c r="HK75" s="331"/>
      <c r="HL75" s="331"/>
      <c r="HM75" s="331"/>
      <c r="HN75" s="333"/>
      <c r="HO75" s="333"/>
      <c r="HP75" s="333"/>
      <c r="HQ75" s="333"/>
      <c r="HR75" s="333"/>
      <c r="HS75" s="333"/>
      <c r="HT75" s="333"/>
      <c r="HU75" s="333"/>
      <c r="HV75" s="333"/>
      <c r="HW75" s="333"/>
      <c r="HX75" s="333"/>
      <c r="HY75" s="333"/>
      <c r="HZ75" s="333"/>
      <c r="IA75" s="333"/>
      <c r="IB75" s="333"/>
      <c r="IC75" s="333"/>
      <c r="ID75" s="55"/>
      <c r="IE75" s="47"/>
      <c r="IH75" s="111">
        <f t="shared" si="175"/>
        <v>0</v>
      </c>
      <c r="II75" s="111">
        <f t="shared" si="168"/>
        <v>0</v>
      </c>
      <c r="IJ75" s="146">
        <v>20</v>
      </c>
      <c r="IK75" s="151">
        <f t="shared" si="169"/>
        <v>250</v>
      </c>
      <c r="IL75" s="106">
        <f t="shared" si="169"/>
        <v>0.19246362985928922</v>
      </c>
      <c r="IM75" s="110">
        <f t="shared" si="169"/>
        <v>250</v>
      </c>
      <c r="IN75" s="111">
        <f t="shared" si="170"/>
        <v>0</v>
      </c>
      <c r="IO75" s="50">
        <f t="shared" si="176"/>
        <v>0</v>
      </c>
      <c r="IP75" s="50">
        <f t="shared" si="176"/>
        <v>0</v>
      </c>
      <c r="IQ75" s="50">
        <f t="shared" si="176"/>
        <v>0</v>
      </c>
      <c r="IR75" s="50">
        <f t="shared" si="176"/>
        <v>0</v>
      </c>
      <c r="IS75" s="50">
        <f t="shared" si="176"/>
        <v>0</v>
      </c>
      <c r="IT75" s="50">
        <f t="shared" si="176"/>
        <v>0</v>
      </c>
      <c r="IU75" s="50">
        <f t="shared" si="176"/>
        <v>0</v>
      </c>
      <c r="IV75" s="50">
        <f t="shared" si="176"/>
        <v>0</v>
      </c>
      <c r="IW75" s="50">
        <f t="shared" si="176"/>
        <v>0</v>
      </c>
      <c r="IX75" s="50">
        <f t="shared" si="176"/>
        <v>0</v>
      </c>
      <c r="IY75" s="50">
        <f t="shared" si="177"/>
        <v>0</v>
      </c>
      <c r="IZ75" s="50">
        <f t="shared" si="177"/>
        <v>0</v>
      </c>
      <c r="JA75" s="50">
        <f t="shared" si="177"/>
        <v>0</v>
      </c>
      <c r="JB75" s="50">
        <f t="shared" si="177"/>
        <v>0</v>
      </c>
      <c r="JC75" s="50">
        <f t="shared" si="177"/>
        <v>0</v>
      </c>
      <c r="JD75" s="50">
        <f t="shared" si="177"/>
        <v>0</v>
      </c>
      <c r="JE75" s="50">
        <f t="shared" si="177"/>
        <v>0</v>
      </c>
      <c r="JF75" s="50">
        <f t="shared" si="177"/>
        <v>0</v>
      </c>
      <c r="JG75" s="50">
        <f t="shared" si="177"/>
        <v>0</v>
      </c>
      <c r="JH75" s="50">
        <f t="shared" si="177"/>
        <v>0</v>
      </c>
      <c r="JI75" s="50">
        <f t="shared" si="178"/>
        <v>0</v>
      </c>
      <c r="JJ75" s="50">
        <f t="shared" si="178"/>
        <v>0</v>
      </c>
      <c r="JK75" s="50">
        <f t="shared" si="178"/>
        <v>0</v>
      </c>
      <c r="JL75" s="50">
        <f t="shared" si="178"/>
        <v>0</v>
      </c>
      <c r="JM75" s="50">
        <f t="shared" si="178"/>
        <v>0</v>
      </c>
      <c r="JN75" s="50">
        <f t="shared" si="178"/>
        <v>0</v>
      </c>
      <c r="JO75" s="50">
        <f t="shared" si="178"/>
        <v>0</v>
      </c>
      <c r="JP75" s="50">
        <f t="shared" si="178"/>
        <v>0</v>
      </c>
      <c r="JQ75" s="50">
        <f t="shared" si="178"/>
        <v>0</v>
      </c>
      <c r="JR75" s="50">
        <f t="shared" si="178"/>
        <v>0</v>
      </c>
      <c r="JS75" s="50">
        <f t="shared" si="179"/>
        <v>0</v>
      </c>
      <c r="JT75" s="50">
        <f t="shared" si="179"/>
        <v>0</v>
      </c>
      <c r="JU75" s="50" t="str">
        <f t="shared" si="179"/>
        <v/>
      </c>
      <c r="JV75" s="50" t="str">
        <f t="shared" si="179"/>
        <v/>
      </c>
      <c r="JW75" s="50" t="str">
        <f t="shared" si="179"/>
        <v/>
      </c>
      <c r="JX75" s="50" t="str">
        <f t="shared" si="179"/>
        <v/>
      </c>
      <c r="JY75" s="50" t="str">
        <f t="shared" si="179"/>
        <v/>
      </c>
      <c r="JZ75" s="50" t="str">
        <f t="shared" si="179"/>
        <v/>
      </c>
      <c r="KA75" s="50" t="str">
        <f t="shared" si="179"/>
        <v/>
      </c>
      <c r="KB75" s="50" t="str">
        <f t="shared" si="179"/>
        <v/>
      </c>
      <c r="KC75" s="50" t="str">
        <f t="shared" si="179"/>
        <v/>
      </c>
      <c r="KD75" s="50" t="str">
        <f t="shared" si="179"/>
        <v/>
      </c>
    </row>
    <row r="76" spans="13:293" s="142" customFormat="1" ht="15" customHeight="1" thickBot="1">
      <c r="M76" s="333"/>
      <c r="N76" s="333"/>
      <c r="O76" s="333"/>
      <c r="P76" s="333"/>
      <c r="Q76" s="333"/>
      <c r="R76" s="333"/>
      <c r="S76" s="333"/>
      <c r="T76" s="333"/>
      <c r="U76" s="333"/>
      <c r="V76" s="333"/>
      <c r="W76" s="333"/>
      <c r="X76" s="333"/>
      <c r="Y76" s="333"/>
      <c r="Z76" s="333"/>
      <c r="AA76" s="333"/>
      <c r="AB76" s="333"/>
      <c r="AC76" s="333"/>
      <c r="AD76" s="333"/>
      <c r="AE76" s="333"/>
      <c r="AF76" s="333"/>
      <c r="AG76" s="333"/>
      <c r="AH76" s="333"/>
      <c r="AI76" s="333"/>
      <c r="AJ76" s="333"/>
      <c r="AK76" s="333"/>
      <c r="AL76" s="333"/>
      <c r="AM76" s="333"/>
      <c r="AN76" s="333"/>
      <c r="AO76" s="333"/>
      <c r="AP76" s="333"/>
      <c r="AQ76" s="333"/>
      <c r="AR76" s="333"/>
      <c r="AS76" s="333"/>
      <c r="AT76" s="333"/>
      <c r="AU76" s="333"/>
      <c r="AV76" s="333"/>
      <c r="AW76" s="333"/>
      <c r="AX76" s="333"/>
      <c r="AY76" s="333"/>
      <c r="AZ76" s="333"/>
      <c r="BA76" s="333"/>
      <c r="BB76" s="333"/>
      <c r="BC76" s="333"/>
      <c r="BD76" s="333"/>
      <c r="BE76" s="333"/>
      <c r="BF76" s="333"/>
      <c r="BG76" s="333"/>
      <c r="BH76" s="333"/>
      <c r="BI76" s="333"/>
      <c r="BJ76" s="333"/>
      <c r="BK76" s="333"/>
      <c r="BL76" s="333"/>
      <c r="BM76" s="333"/>
      <c r="BN76" s="333"/>
      <c r="BO76" s="333"/>
      <c r="BP76" s="333"/>
      <c r="BQ76" s="333"/>
      <c r="BR76" s="333"/>
      <c r="BS76" s="333"/>
      <c r="BT76" s="333"/>
      <c r="BU76" s="333"/>
      <c r="BV76" s="333"/>
      <c r="BW76" s="333"/>
      <c r="BX76" s="333"/>
      <c r="BY76" s="333"/>
      <c r="BZ76" s="333"/>
      <c r="CA76" s="333"/>
      <c r="CB76" s="333"/>
      <c r="CC76" s="333"/>
      <c r="CD76" s="333"/>
      <c r="CE76" s="333"/>
      <c r="CF76" s="333"/>
      <c r="CG76" s="333"/>
      <c r="CH76" s="333"/>
      <c r="CI76" s="333"/>
      <c r="CJ76" s="333"/>
      <c r="CK76" s="333"/>
      <c r="CL76" s="333"/>
      <c r="CM76" s="333"/>
      <c r="CN76" s="333"/>
      <c r="CO76" s="333"/>
      <c r="CP76" s="333"/>
      <c r="CQ76" s="333"/>
      <c r="CR76" s="333"/>
      <c r="CS76" s="333"/>
      <c r="CT76" s="333"/>
      <c r="CU76" s="333"/>
      <c r="CV76" s="333"/>
      <c r="CW76" s="333"/>
      <c r="CX76" s="333"/>
      <c r="CY76" s="333"/>
      <c r="CZ76" s="333"/>
      <c r="DA76" s="333"/>
      <c r="DB76" s="333"/>
      <c r="DC76" s="333"/>
      <c r="DD76" s="333"/>
      <c r="DE76" s="333"/>
      <c r="DF76" s="333"/>
      <c r="DG76" s="333"/>
      <c r="DH76" s="333"/>
      <c r="DI76" s="333"/>
      <c r="DJ76" s="333"/>
      <c r="DK76" s="333"/>
      <c r="DL76" s="333"/>
      <c r="DM76" s="333"/>
      <c r="DN76" s="333"/>
      <c r="DO76" s="333"/>
      <c r="DP76" s="333"/>
      <c r="DQ76" s="333"/>
      <c r="DR76" s="333"/>
      <c r="DS76" s="333"/>
      <c r="DT76" s="333"/>
      <c r="DU76" s="359"/>
      <c r="DV76" s="359"/>
      <c r="DW76" s="359"/>
      <c r="DX76" s="359"/>
      <c r="DY76" s="359"/>
      <c r="DZ76" s="359"/>
      <c r="EA76" s="359"/>
      <c r="EB76" s="359"/>
      <c r="EC76" s="769">
        <f t="shared" si="166"/>
        <v>290</v>
      </c>
      <c r="ED76" s="889">
        <f>GE191</f>
        <v>0</v>
      </c>
      <c r="EE76" s="890"/>
      <c r="EF76" s="476">
        <f>GG191</f>
        <v>0</v>
      </c>
      <c r="EG76" s="893">
        <f>GL191</f>
        <v>0</v>
      </c>
      <c r="EH76" s="893"/>
      <c r="EI76" s="506">
        <f>GQ191</f>
        <v>0</v>
      </c>
      <c r="EJ76" s="373"/>
      <c r="EK76" s="373"/>
      <c r="EL76" s="366"/>
      <c r="EM76" s="366"/>
      <c r="EN76" s="364"/>
      <c r="EO76" s="363"/>
      <c r="EP76" s="340"/>
      <c r="EQ76" s="340"/>
      <c r="ER76" s="340"/>
      <c r="ES76" s="363"/>
      <c r="ET76" s="363"/>
      <c r="EU76" s="340"/>
      <c r="EV76" s="340"/>
      <c r="EW76" s="340"/>
      <c r="EX76" s="340"/>
      <c r="EY76" s="340"/>
      <c r="EZ76" s="340"/>
      <c r="FA76" s="340"/>
      <c r="FB76" s="402"/>
      <c r="FC76" s="402"/>
      <c r="FD76" s="340"/>
      <c r="FE76" s="340"/>
      <c r="FF76" s="340"/>
      <c r="FG76" s="364"/>
      <c r="FH76" s="364"/>
      <c r="FI76" s="363"/>
      <c r="FJ76" s="360"/>
      <c r="FK76" s="360"/>
      <c r="FL76" s="340"/>
      <c r="FM76" s="967"/>
      <c r="FN76" s="967"/>
      <c r="FO76" s="967"/>
      <c r="FP76" s="968"/>
      <c r="FQ76" s="968"/>
      <c r="FR76" s="968"/>
      <c r="FS76" s="968"/>
      <c r="FT76" s="968"/>
      <c r="FU76" s="968"/>
      <c r="FV76" s="968"/>
      <c r="FW76" s="968"/>
      <c r="FX76" s="968"/>
      <c r="FY76" s="341"/>
      <c r="FZ76" s="341"/>
      <c r="GA76" s="341"/>
      <c r="GB76" s="495">
        <v>0</v>
      </c>
      <c r="GC76" s="495">
        <v>0</v>
      </c>
      <c r="GD76" s="500"/>
      <c r="GE76" s="495">
        <v>0</v>
      </c>
      <c r="GF76" s="495">
        <v>0</v>
      </c>
      <c r="GG76" s="495">
        <v>0</v>
      </c>
      <c r="GH76" s="359"/>
      <c r="GI76" s="359"/>
      <c r="GJ76" s="501"/>
      <c r="GK76" s="495">
        <v>0</v>
      </c>
      <c r="GL76" s="495">
        <v>0</v>
      </c>
      <c r="GM76" s="495">
        <v>0</v>
      </c>
      <c r="GN76" s="359"/>
      <c r="GO76" s="359"/>
      <c r="GP76" s="501"/>
      <c r="GQ76" s="495">
        <v>0</v>
      </c>
      <c r="GR76" s="359"/>
      <c r="GS76" s="333"/>
      <c r="GT76" s="333"/>
      <c r="GU76" s="333"/>
      <c r="GV76" s="333"/>
      <c r="GW76" s="333"/>
      <c r="GX76" s="333"/>
      <c r="GY76" s="333"/>
      <c r="GZ76" s="333"/>
      <c r="HA76" s="333"/>
      <c r="HB76" s="333"/>
      <c r="HC76" s="333"/>
      <c r="HD76" s="333"/>
      <c r="HE76" s="333"/>
      <c r="HF76" s="333"/>
      <c r="HG76" s="331"/>
      <c r="HH76" s="331"/>
      <c r="HI76" s="331"/>
      <c r="HJ76" s="331"/>
      <c r="HK76" s="331"/>
      <c r="HL76" s="331"/>
      <c r="HM76" s="331"/>
      <c r="HN76" s="333"/>
      <c r="HO76" s="333"/>
      <c r="HP76" s="333"/>
      <c r="HQ76" s="333"/>
      <c r="HR76" s="333"/>
      <c r="HS76" s="333"/>
      <c r="HT76" s="333"/>
      <c r="HU76" s="333"/>
      <c r="HV76" s="333"/>
      <c r="HW76" s="333"/>
      <c r="HX76" s="333"/>
      <c r="HY76" s="333"/>
      <c r="HZ76" s="333"/>
      <c r="IA76" s="333"/>
      <c r="IB76" s="333"/>
      <c r="IC76" s="333"/>
      <c r="ID76" s="55"/>
      <c r="IE76" s="47"/>
      <c r="IH76" s="111">
        <f t="shared" si="175"/>
        <v>0</v>
      </c>
      <c r="II76" s="111">
        <f t="shared" si="168"/>
        <v>0</v>
      </c>
      <c r="IJ76" s="146">
        <v>21</v>
      </c>
      <c r="IK76" s="151">
        <f t="shared" ref="IK76:IM95" si="180">+IF(IK27 = "", "", IK27)</f>
        <v>260</v>
      </c>
      <c r="IL76" s="106">
        <f t="shared" si="180"/>
        <v>0.24016217505366089</v>
      </c>
      <c r="IM76" s="110">
        <f t="shared" si="180"/>
        <v>260</v>
      </c>
      <c r="IN76" s="111">
        <f t="shared" si="170"/>
        <v>0</v>
      </c>
      <c r="IO76" s="50">
        <f t="shared" ref="IO76:IX85" si="181" xml:space="preserve"> IF(OR($IL76 = "", IO$6 = ""), "", IF(IO$6 &lt;&gt; $Z$1,
IF($IM76 &gt; IO$6, IO$52 * 100 * ($IM76 - IO$6), 0) +
IF($IM76 &lt; IO$6, IO$53 * 100 * (IO$6 - $IM76), 0),
$IM76 * IO$52))</f>
        <v>0</v>
      </c>
      <c r="IP76" s="50">
        <f t="shared" si="181"/>
        <v>0</v>
      </c>
      <c r="IQ76" s="50">
        <f t="shared" si="181"/>
        <v>0</v>
      </c>
      <c r="IR76" s="50">
        <f t="shared" si="181"/>
        <v>0</v>
      </c>
      <c r="IS76" s="50">
        <f t="shared" si="181"/>
        <v>0</v>
      </c>
      <c r="IT76" s="50">
        <f t="shared" si="181"/>
        <v>0</v>
      </c>
      <c r="IU76" s="50">
        <f t="shared" si="181"/>
        <v>0</v>
      </c>
      <c r="IV76" s="50">
        <f t="shared" si="181"/>
        <v>0</v>
      </c>
      <c r="IW76" s="50">
        <f t="shared" si="181"/>
        <v>0</v>
      </c>
      <c r="IX76" s="50">
        <f t="shared" si="181"/>
        <v>0</v>
      </c>
      <c r="IY76" s="50">
        <f t="shared" ref="IY76:JH85" si="182" xml:space="preserve"> IF(OR($IL76 = "", IY$6 = ""), "", IF(IY$6 &lt;&gt; $Z$1,
IF($IM76 &gt; IY$6, IY$52 * 100 * ($IM76 - IY$6), 0) +
IF($IM76 &lt; IY$6, IY$53 * 100 * (IY$6 - $IM76), 0),
$IM76 * IY$52))</f>
        <v>0</v>
      </c>
      <c r="IZ76" s="50">
        <f t="shared" si="182"/>
        <v>0</v>
      </c>
      <c r="JA76" s="50">
        <f t="shared" si="182"/>
        <v>0</v>
      </c>
      <c r="JB76" s="50">
        <f t="shared" si="182"/>
        <v>0</v>
      </c>
      <c r="JC76" s="50">
        <f t="shared" si="182"/>
        <v>0</v>
      </c>
      <c r="JD76" s="50">
        <f t="shared" si="182"/>
        <v>0</v>
      </c>
      <c r="JE76" s="50">
        <f t="shared" si="182"/>
        <v>0</v>
      </c>
      <c r="JF76" s="50">
        <f t="shared" si="182"/>
        <v>0</v>
      </c>
      <c r="JG76" s="50">
        <f t="shared" si="182"/>
        <v>0</v>
      </c>
      <c r="JH76" s="50">
        <f t="shared" si="182"/>
        <v>0</v>
      </c>
      <c r="JI76" s="50">
        <f t="shared" ref="JI76:JR85" si="183" xml:space="preserve"> IF(OR($IL76 = "", JI$6 = ""), "", IF(JI$6 &lt;&gt; $Z$1,
IF($IM76 &gt; JI$6, JI$52 * 100 * ($IM76 - JI$6), 0) +
IF($IM76 &lt; JI$6, JI$53 * 100 * (JI$6 - $IM76), 0),
$IM76 * JI$52))</f>
        <v>0</v>
      </c>
      <c r="JJ76" s="50">
        <f t="shared" si="183"/>
        <v>0</v>
      </c>
      <c r="JK76" s="50">
        <f t="shared" si="183"/>
        <v>0</v>
      </c>
      <c r="JL76" s="50">
        <f t="shared" si="183"/>
        <v>0</v>
      </c>
      <c r="JM76" s="50">
        <f t="shared" si="183"/>
        <v>0</v>
      </c>
      <c r="JN76" s="50">
        <f t="shared" si="183"/>
        <v>0</v>
      </c>
      <c r="JO76" s="50">
        <f t="shared" si="183"/>
        <v>0</v>
      </c>
      <c r="JP76" s="50">
        <f t="shared" si="183"/>
        <v>0</v>
      </c>
      <c r="JQ76" s="50">
        <f t="shared" si="183"/>
        <v>0</v>
      </c>
      <c r="JR76" s="50">
        <f t="shared" si="183"/>
        <v>0</v>
      </c>
      <c r="JS76" s="50">
        <f t="shared" ref="JS76:KD85" si="184" xml:space="preserve"> IF(OR($IL76 = "", JS$6 = ""), "", IF(JS$6 &lt;&gt; $Z$1,
IF($IM76 &gt; JS$6, JS$52 * 100 * ($IM76 - JS$6), 0) +
IF($IM76 &lt; JS$6, JS$53 * 100 * (JS$6 - $IM76), 0),
$IM76 * JS$52))</f>
        <v>0</v>
      </c>
      <c r="JT76" s="50">
        <f t="shared" si="184"/>
        <v>0</v>
      </c>
      <c r="JU76" s="50" t="str">
        <f t="shared" si="184"/>
        <v/>
      </c>
      <c r="JV76" s="50" t="str">
        <f t="shared" si="184"/>
        <v/>
      </c>
      <c r="JW76" s="50" t="str">
        <f t="shared" si="184"/>
        <v/>
      </c>
      <c r="JX76" s="50" t="str">
        <f t="shared" si="184"/>
        <v/>
      </c>
      <c r="JY76" s="50" t="str">
        <f t="shared" si="184"/>
        <v/>
      </c>
      <c r="JZ76" s="50" t="str">
        <f t="shared" si="184"/>
        <v/>
      </c>
      <c r="KA76" s="50" t="str">
        <f t="shared" si="184"/>
        <v/>
      </c>
      <c r="KB76" s="50" t="str">
        <f t="shared" si="184"/>
        <v/>
      </c>
      <c r="KC76" s="50" t="str">
        <f t="shared" si="184"/>
        <v/>
      </c>
      <c r="KD76" s="50" t="str">
        <f t="shared" si="184"/>
        <v/>
      </c>
    </row>
    <row r="77" spans="13:293" s="142" customFormat="1" ht="15" customHeight="1">
      <c r="M77" s="333"/>
      <c r="N77" s="333"/>
      <c r="O77" s="333"/>
      <c r="P77" s="333"/>
      <c r="Q77" s="333"/>
      <c r="R77" s="333"/>
      <c r="S77" s="333"/>
      <c r="T77" s="333"/>
      <c r="U77" s="333"/>
      <c r="V77" s="333"/>
      <c r="W77" s="333"/>
      <c r="X77" s="333"/>
      <c r="Y77" s="333"/>
      <c r="Z77" s="333"/>
      <c r="AA77" s="333"/>
      <c r="AB77" s="333"/>
      <c r="AC77" s="333"/>
      <c r="AD77" s="333"/>
      <c r="AE77" s="333"/>
      <c r="AF77" s="333"/>
      <c r="AG77" s="333"/>
      <c r="AH77" s="333"/>
      <c r="AI77" s="333"/>
      <c r="AJ77" s="333"/>
      <c r="AK77" s="333"/>
      <c r="AL77" s="333"/>
      <c r="AM77" s="333"/>
      <c r="AN77" s="333"/>
      <c r="AO77" s="333"/>
      <c r="AP77" s="333"/>
      <c r="AQ77" s="333"/>
      <c r="AR77" s="333"/>
      <c r="AS77" s="333"/>
      <c r="AT77" s="333"/>
      <c r="AU77" s="333"/>
      <c r="AV77" s="333"/>
      <c r="AW77" s="333"/>
      <c r="AX77" s="333"/>
      <c r="AY77" s="333"/>
      <c r="AZ77" s="333"/>
      <c r="BA77" s="333"/>
      <c r="BB77" s="333"/>
      <c r="BC77" s="333"/>
      <c r="BD77" s="333"/>
      <c r="BE77" s="333"/>
      <c r="BF77" s="333"/>
      <c r="BG77" s="333"/>
      <c r="BH77" s="333"/>
      <c r="BI77" s="333"/>
      <c r="BJ77" s="333"/>
      <c r="BK77" s="333"/>
      <c r="BL77" s="333"/>
      <c r="BM77" s="333"/>
      <c r="BN77" s="333"/>
      <c r="BO77" s="333"/>
      <c r="BP77" s="333"/>
      <c r="BQ77" s="333"/>
      <c r="BR77" s="333"/>
      <c r="BS77" s="333"/>
      <c r="BT77" s="333"/>
      <c r="BU77" s="333"/>
      <c r="BV77" s="333"/>
      <c r="BW77" s="333"/>
      <c r="BX77" s="333"/>
      <c r="BY77" s="333"/>
      <c r="BZ77" s="333"/>
      <c r="CA77" s="333"/>
      <c r="CB77" s="333"/>
      <c r="CC77" s="333"/>
      <c r="CD77" s="333"/>
      <c r="CE77" s="333"/>
      <c r="CF77" s="333"/>
      <c r="CG77" s="333"/>
      <c r="CH77" s="333"/>
      <c r="CI77" s="333"/>
      <c r="CJ77" s="333"/>
      <c r="CK77" s="333"/>
      <c r="CL77" s="333"/>
      <c r="CM77" s="333"/>
      <c r="CN77" s="333"/>
      <c r="CO77" s="333"/>
      <c r="CP77" s="333"/>
      <c r="CQ77" s="333"/>
      <c r="CR77" s="333"/>
      <c r="CS77" s="333"/>
      <c r="CT77" s="333"/>
      <c r="CU77" s="333"/>
      <c r="CV77" s="333"/>
      <c r="CW77" s="333"/>
      <c r="CX77" s="333"/>
      <c r="CY77" s="333"/>
      <c r="CZ77" s="333"/>
      <c r="DA77" s="333"/>
      <c r="DB77" s="333"/>
      <c r="DC77" s="333"/>
      <c r="DD77" s="333"/>
      <c r="DE77" s="333"/>
      <c r="DF77" s="333"/>
      <c r="DG77" s="333"/>
      <c r="DH77" s="333"/>
      <c r="DI77" s="333"/>
      <c r="DJ77" s="333"/>
      <c r="DK77" s="333"/>
      <c r="DL77" s="333"/>
      <c r="DM77" s="333"/>
      <c r="DN77" s="333"/>
      <c r="DO77" s="333"/>
      <c r="DP77" s="333"/>
      <c r="DQ77" s="333"/>
      <c r="DR77" s="333"/>
      <c r="DS77" s="333"/>
      <c r="DT77" s="333"/>
      <c r="DU77" s="359"/>
      <c r="DV77" s="359"/>
      <c r="DW77" s="359"/>
      <c r="DX77" s="359"/>
      <c r="DY77" s="359"/>
      <c r="DZ77" s="359"/>
      <c r="EA77" s="359"/>
      <c r="EB77" s="359"/>
      <c r="EC77" s="769">
        <f t="shared" si="166"/>
        <v>300</v>
      </c>
      <c r="ED77" s="889">
        <f>GE197</f>
        <v>0</v>
      </c>
      <c r="EE77" s="890"/>
      <c r="EF77" s="476">
        <f>GG197</f>
        <v>0</v>
      </c>
      <c r="EG77" s="893">
        <f>GL197</f>
        <v>0</v>
      </c>
      <c r="EH77" s="893"/>
      <c r="EI77" s="506">
        <f>GQ197</f>
        <v>0</v>
      </c>
      <c r="EJ77" s="373"/>
      <c r="EK77" s="373"/>
      <c r="EL77" s="366"/>
      <c r="EM77" s="366"/>
      <c r="EN77" s="364">
        <f>+EN71+1</f>
        <v>5</v>
      </c>
      <c r="EO77" s="356">
        <f>+VLOOKUP(EN77, PRECIOS_EJERCICIOS,  2,FALSE)</f>
        <v>150</v>
      </c>
      <c r="EP77" s="513" t="str">
        <f>+IF($AQ$49 = FALSE, "",
IF(VLOOKUP(EO77, basesCantPrimaBrutoRes, 2,FALSE) &gt;= 0, VLOOKUP(EO77, basesCantPrimaBrutoRes, 2,FALSE), 0))</f>
        <v/>
      </c>
      <c r="EQ77" s="514" t="str">
        <f>+IF($AQ$49 = FALSE, "",
IF(VLOOKUP(EO77, basesCantPrimaBrutoRes, 2,FALSE) &lt; 0, -VLOOKUP(EO77, basesCantPrimaBrutoRes, 2,FALSE), 0))</f>
        <v/>
      </c>
      <c r="ER77" s="521" t="str">
        <f>IF($AQ$49 = FALSE, "",
VLOOKUP(EO77, basesCantPrimaBrutoRes, 4,FALSE))</f>
        <v/>
      </c>
      <c r="ES77" s="926">
        <f>IF(ER77 = "", 0,
IF(AND(EP77 &gt; 0, EQ77 &gt;0), 0, IF(EO77 &lt;&gt; $Z$1,
IF(AND(EP77 &lt;&gt; "", EP77 &lt;&gt; 0), -(EP77 * ER77 * 100),
IF(AND(EQ77 &lt;&gt; "", EQ77 &lt;&gt; 0), (EQ77 * ER77 * 100), 0)),
IF(AND(EP77 &lt;&gt; "", EP77 &lt;&gt; 0), -(EP77 * ER77 * 1),
IF(AND(EQ77 &lt;&gt; "", EQ77 &lt;&gt; 0), (EQ77 * ER77 * 1), 0))  )))</f>
        <v>0</v>
      </c>
      <c r="ET77" s="927"/>
      <c r="EU77" s="928"/>
      <c r="EV77" s="926">
        <f>IF(ER77 = "", 0,
IF(AND(EP77 &gt; 0, EQ77 &gt;0), 0,  IF(EO77 &lt;&gt; $Z$1,
IF(AND(EP77 &lt;&gt; "", EP77 &lt;&gt; 0), -(EP77 * ER77 * 100 * (1 + COMIS_OPCION)),
IF(AND(EQ77 &lt;&gt; "", EQ77 &lt;&gt; 0), (EQ77 * ER77 * 100 * (1 - COMIS_OPCION)), 0)),
IF(AND(EP77 &lt;&gt; "", EP77 &lt;&gt; 0), -(EP77 * ER77 * 1 * (1 + COMIS_ACCION)),
IF(AND(EQ77 &lt;&gt; "", EQ77 &lt;&gt; 0), (EQ77 * ER77 * 1 * (1 - COMIS_ACCION)), 0))  )))</f>
        <v>0</v>
      </c>
      <c r="EW77" s="927"/>
      <c r="EX77" s="927"/>
      <c r="EY77" s="927"/>
      <c r="EZ77" s="927"/>
      <c r="FA77" s="927"/>
      <c r="FB77" s="927"/>
      <c r="FC77" s="927"/>
      <c r="FD77" s="929"/>
      <c r="FE77" s="340"/>
      <c r="FF77" s="340"/>
      <c r="FG77" s="364"/>
      <c r="FH77" s="364">
        <f>+FH71+1</f>
        <v>5</v>
      </c>
      <c r="FI77" s="357">
        <f>+VLOOKUP(FH77, PRECIOS_EJERCICIOS,  2,FALSE)</f>
        <v>150</v>
      </c>
      <c r="FJ77" s="515" t="str">
        <f>+IF($AQ$49 = FALSE, "",
IF(VLOOKUP(EO77, basesCantPrimaBrutoRes, 5,FALSE) &gt;= 0, VLOOKUP(EO77, basesCantPrimaBrutoRes, 5,FALSE), 0))</f>
        <v/>
      </c>
      <c r="FK77" s="516" t="str">
        <f>+IF($AQ$49 = FALSE, "",
IF(VLOOKUP(EO77, basesCantPrimaBrutoRes, 5,FALSE) &lt; 0, -VLOOKUP(EO77, basesCantPrimaBrutoRes, 5,FALSE), 0))</f>
        <v/>
      </c>
      <c r="FL77" s="517" t="str">
        <f>IF($AQ$49 = FALSE, "",
VLOOKUP(EO77, basesCantPrimaBrutoRes, 7,FALSE))</f>
        <v/>
      </c>
      <c r="FM77" s="934">
        <f>IF(FL77 = "", 0,
IF(AND(FJ77 &gt; 0, FK77 &gt;0), 0,
IF(AND(FJ77 &lt;&gt; "", FJ77 &lt;&gt; 0), -(FJ77 * FL77 * 100),
IF(AND(FK77 &lt;&gt; "", FK77 &lt;&gt; 0), (FK77 * FL77 * 100), 0)) ))</f>
        <v>0</v>
      </c>
      <c r="FN77" s="935"/>
      <c r="FO77" s="936"/>
      <c r="FP77" s="934">
        <f>IF(FL77 = "", 0,
IF(AND(FJ77 &gt; 0, FK77 &gt;0), 0,
IF(AND(FJ77 &lt;&gt; "", FJ77 &lt;&gt; 0), -(FJ77 * FL77 * 100 * (1 + COMIS_OPCION)),
IF(AND(FK77 &lt;&gt; "", FK77 &lt;&gt; 0), (FK77 * FL77 * 100 * (1 - COMIS_OPCION)), 0)) ))</f>
        <v>0</v>
      </c>
      <c r="FQ77" s="935"/>
      <c r="FR77" s="935"/>
      <c r="FS77" s="935"/>
      <c r="FT77" s="935"/>
      <c r="FU77" s="935"/>
      <c r="FV77" s="935"/>
      <c r="FW77" s="935"/>
      <c r="FX77" s="966"/>
      <c r="FY77" s="341"/>
      <c r="FZ77" s="341"/>
      <c r="GA77" s="341"/>
      <c r="GB77" s="495">
        <f>+IF(EN77 = "", "", EO77)</f>
        <v>150</v>
      </c>
      <c r="GC77" s="495" t="str">
        <f>+IF(GB77="", "", IF(EO77 = $Z$1, "ACCION", "CALL"))</f>
        <v>CALL</v>
      </c>
      <c r="GD77" s="500"/>
      <c r="GE77" s="495">
        <f>+IF(GB77= "", "", EO79)</f>
        <v>0</v>
      </c>
      <c r="GF77" s="495">
        <f>+IF(GB77 = "", "", IFERROR(IF(GB77 &lt;&gt; $Z$1,
IF(GE77 &gt; 0, SUMIFS(ES77:ES81, EP77:EP81, "&gt;0", ES77:ES81, "&lt;&gt;0") / SUMIFS(EP77:EP81, EP77:EP81, "&gt;0", ES77:ES81, "&lt;&gt;0") / -100,
IF(GE77 &lt; 0, SUMIFS(ES77:ES81, EQ77:EQ81, "&gt;0", ES77:ES81, "&lt;&gt;0") / SUMIFS(EQ77:EQ81, EQ77:EQ81, "&gt;0", ES77:ES81, "&lt;&gt;0") / 100, 0)),
IF(GE77 &gt; 0, SUMIFS(ES77:ES81, EP77:EP81, "&gt;0", ES77:ES81, "&lt;&gt;0") / SUMIFS(EP77:EP81, EP77:EP81, "&gt;0", ES77:ES81, "&lt;&gt;0") / -1,
IF(GE77 &lt; 0, SUMIFS(ES77:ES81, EQ77:EQ81, "&gt;0", ES77:ES81, "&lt;&gt;0") / SUMIFS(EQ77:EQ81, EQ77:EQ81, "&gt;0", ES77:ES81, "&lt;&gt;0") / 1, 0)) ), 0))</f>
        <v>0</v>
      </c>
      <c r="GG77" s="495">
        <f>+IF(GB77 = "", "", IFERROR(IF(GB77 &lt;&gt; $Z$1,
IF(GE77 &gt; 0, SUMIFS(EV77:EV81, EP77:EP81, "&gt;0", EV77:EV81, "&lt;&gt;0") / SUMIFS(EP77:EP81, EP77:EP81, "&gt;0", EV77:EV81, "&lt;&gt;0") / -100,
IF(GE77 &lt; 0, SUMIFS(EV77:EV81, EQ77:EQ81, "&gt;0", EV77:EV81, "&lt;&gt;0") / SUMIFS(EQ77:EQ81, EQ77:EQ81, "&gt;0", EV77:EV81, "&lt;&gt;0") / 100, 0)),
IF(GE77 &gt; 0, SUMIFS(EV77:EV81, EP77:EP81, "&gt;0", EV77:EV81, "&lt;&gt;0") / SUMIFS(EP77:EP81, EP77:EP81, "&gt;0", EV77:EV81, "&lt;&gt;0") / -1,
IF(GE77 &lt; 0, SUMIFS(EV77:EV81, EQ77:EQ81, "&gt;0", EV77:EV81, "&lt;&gt;0") / SUMIFS(EQ77:EQ81, EQ77:EQ81, "&gt;0", EV77:EV81, "&lt;&gt;0") / 1, 0)) ), 0))</f>
        <v>0</v>
      </c>
      <c r="GH77" s="359"/>
      <c r="GI77" s="359"/>
      <c r="GJ77" s="501"/>
      <c r="GK77" s="495" t="str">
        <f>+IF(GB77="", "", "PUT")</f>
        <v>PUT</v>
      </c>
      <c r="GL77" s="495">
        <f>+IF(GB77 = "", "", FI79)</f>
        <v>0</v>
      </c>
      <c r="GM77" s="495">
        <f>+IF(GB77 = "", "", IFERROR(
IF(FI79 &gt; 0, SUMIFS(FM77:FM81, FJ77:FJ81, "&gt;0", FM77:FM81, "&lt;&gt;0") / SUMIFS(FJ77:FJ81, FJ77:FJ81, "&gt;0", FM77:FM81, "&lt;&gt;0") / -100,
IF(FI79 &lt; 0, SUMIFS(FM77:FM81, FK77:FK81, "&gt;0", FM77:FM81, "&lt;&gt;0") / SUMIFS(FK77:FK81, FK77:FK81, "&gt;0", FM77:FM81, "&lt;&gt;0") / 100, 0)), 0) )</f>
        <v>0</v>
      </c>
      <c r="GN77" s="359"/>
      <c r="GO77" s="359"/>
      <c r="GP77" s="501"/>
      <c r="GQ77" s="502">
        <f>+IF(GB77 = "", "", IFERROR(
IF(FI79 &gt; 0, SUMIFS(FP77:FP81, FJ77:FJ81, "&gt;0", FP77:FP81, "&lt;&gt;0") / SUMIFS(FJ77:FJ81, FJ77:FJ81, "&gt;0", FP77:FP81, "&lt;&gt;0") / -100,
IF(FI79 &lt; 0, SUMIFS(FP77:FP81, FK77:FK81, "&gt;0", FP77:FP81, "&lt;&gt;0") / SUMIFS(FK77:FK81, FK77:FK81, "&gt;0", FP77:FP81, "&lt;&gt;0") / 100, 0)), 0))</f>
        <v>0</v>
      </c>
      <c r="GR77" s="359"/>
      <c r="GS77" s="333"/>
      <c r="GT77" s="333"/>
      <c r="GU77" s="333"/>
      <c r="GV77" s="333"/>
      <c r="GW77" s="333"/>
      <c r="GX77" s="333"/>
      <c r="GY77" s="333"/>
      <c r="GZ77" s="333"/>
      <c r="HA77" s="333"/>
      <c r="HB77" s="333"/>
      <c r="HC77" s="333"/>
      <c r="HD77" s="333"/>
      <c r="HE77" s="333"/>
      <c r="HF77" s="333"/>
      <c r="HG77" s="331"/>
      <c r="HH77" s="331"/>
      <c r="HI77" s="331"/>
      <c r="HJ77" s="331"/>
      <c r="HK77" s="331"/>
      <c r="HL77" s="331"/>
      <c r="HM77" s="331"/>
      <c r="HN77" s="333"/>
      <c r="HO77" s="333"/>
      <c r="HP77" s="333"/>
      <c r="HQ77" s="333"/>
      <c r="HR77" s="333"/>
      <c r="HS77" s="333"/>
      <c r="HT77" s="333"/>
      <c r="HU77" s="333"/>
      <c r="HV77" s="333"/>
      <c r="HW77" s="333"/>
      <c r="HX77" s="333"/>
      <c r="HY77" s="333"/>
      <c r="HZ77" s="333"/>
      <c r="IA77" s="333"/>
      <c r="IB77" s="333"/>
      <c r="IC77" s="333"/>
      <c r="ID77" s="55"/>
      <c r="IE77" s="47"/>
      <c r="IH77" s="111">
        <f t="shared" si="175"/>
        <v>0</v>
      </c>
      <c r="II77" s="111">
        <f t="shared" si="168"/>
        <v>0</v>
      </c>
      <c r="IJ77" s="146">
        <v>22</v>
      </c>
      <c r="IK77" s="151">
        <f t="shared" si="180"/>
        <v>270</v>
      </c>
      <c r="IL77" s="106">
        <f t="shared" si="180"/>
        <v>0.28786072024803233</v>
      </c>
      <c r="IM77" s="110">
        <f t="shared" si="180"/>
        <v>270</v>
      </c>
      <c r="IN77" s="111">
        <f t="shared" si="170"/>
        <v>0</v>
      </c>
      <c r="IO77" s="50">
        <f t="shared" si="181"/>
        <v>0</v>
      </c>
      <c r="IP77" s="50">
        <f t="shared" si="181"/>
        <v>0</v>
      </c>
      <c r="IQ77" s="50">
        <f t="shared" si="181"/>
        <v>0</v>
      </c>
      <c r="IR77" s="50">
        <f t="shared" si="181"/>
        <v>0</v>
      </c>
      <c r="IS77" s="50">
        <f t="shared" si="181"/>
        <v>0</v>
      </c>
      <c r="IT77" s="50">
        <f t="shared" si="181"/>
        <v>0</v>
      </c>
      <c r="IU77" s="50">
        <f t="shared" si="181"/>
        <v>0</v>
      </c>
      <c r="IV77" s="50">
        <f t="shared" si="181"/>
        <v>0</v>
      </c>
      <c r="IW77" s="50">
        <f t="shared" si="181"/>
        <v>0</v>
      </c>
      <c r="IX77" s="50">
        <f t="shared" si="181"/>
        <v>0</v>
      </c>
      <c r="IY77" s="50">
        <f t="shared" si="182"/>
        <v>0</v>
      </c>
      <c r="IZ77" s="50">
        <f t="shared" si="182"/>
        <v>0</v>
      </c>
      <c r="JA77" s="50">
        <f t="shared" si="182"/>
        <v>0</v>
      </c>
      <c r="JB77" s="50">
        <f t="shared" si="182"/>
        <v>0</v>
      </c>
      <c r="JC77" s="50">
        <f t="shared" si="182"/>
        <v>0</v>
      </c>
      <c r="JD77" s="50">
        <f t="shared" si="182"/>
        <v>0</v>
      </c>
      <c r="JE77" s="50">
        <f t="shared" si="182"/>
        <v>0</v>
      </c>
      <c r="JF77" s="50">
        <f t="shared" si="182"/>
        <v>0</v>
      </c>
      <c r="JG77" s="50">
        <f t="shared" si="182"/>
        <v>0</v>
      </c>
      <c r="JH77" s="50">
        <f t="shared" si="182"/>
        <v>0</v>
      </c>
      <c r="JI77" s="50">
        <f t="shared" si="183"/>
        <v>0</v>
      </c>
      <c r="JJ77" s="50">
        <f t="shared" si="183"/>
        <v>0</v>
      </c>
      <c r="JK77" s="50">
        <f t="shared" si="183"/>
        <v>0</v>
      </c>
      <c r="JL77" s="50">
        <f t="shared" si="183"/>
        <v>0</v>
      </c>
      <c r="JM77" s="50">
        <f t="shared" si="183"/>
        <v>0</v>
      </c>
      <c r="JN77" s="50">
        <f t="shared" si="183"/>
        <v>0</v>
      </c>
      <c r="JO77" s="50">
        <f t="shared" si="183"/>
        <v>0</v>
      </c>
      <c r="JP77" s="50">
        <f t="shared" si="183"/>
        <v>0</v>
      </c>
      <c r="JQ77" s="50">
        <f t="shared" si="183"/>
        <v>0</v>
      </c>
      <c r="JR77" s="50">
        <f t="shared" si="183"/>
        <v>0</v>
      </c>
      <c r="JS77" s="50">
        <f t="shared" si="184"/>
        <v>0</v>
      </c>
      <c r="JT77" s="50">
        <f t="shared" si="184"/>
        <v>0</v>
      </c>
      <c r="JU77" s="50" t="str">
        <f t="shared" si="184"/>
        <v/>
      </c>
      <c r="JV77" s="50" t="str">
        <f t="shared" si="184"/>
        <v/>
      </c>
      <c r="JW77" s="50" t="str">
        <f t="shared" si="184"/>
        <v/>
      </c>
      <c r="JX77" s="50" t="str">
        <f t="shared" si="184"/>
        <v/>
      </c>
      <c r="JY77" s="50" t="str">
        <f t="shared" si="184"/>
        <v/>
      </c>
      <c r="JZ77" s="50" t="str">
        <f t="shared" si="184"/>
        <v/>
      </c>
      <c r="KA77" s="50" t="str">
        <f t="shared" si="184"/>
        <v/>
      </c>
      <c r="KB77" s="50" t="str">
        <f t="shared" si="184"/>
        <v/>
      </c>
      <c r="KC77" s="50" t="str">
        <f t="shared" si="184"/>
        <v/>
      </c>
      <c r="KD77" s="50" t="str">
        <f t="shared" si="184"/>
        <v/>
      </c>
    </row>
    <row r="78" spans="13:293" s="142" customFormat="1" ht="15" customHeight="1">
      <c r="M78" s="333"/>
      <c r="N78" s="333"/>
      <c r="O78" s="333"/>
      <c r="P78" s="333"/>
      <c r="Q78" s="333"/>
      <c r="R78" s="333"/>
      <c r="S78" s="333"/>
      <c r="T78" s="333"/>
      <c r="U78" s="333"/>
      <c r="V78" s="333"/>
      <c r="W78" s="333"/>
      <c r="X78" s="333"/>
      <c r="Y78" s="333"/>
      <c r="Z78" s="333"/>
      <c r="AA78" s="333"/>
      <c r="AB78" s="333"/>
      <c r="AC78" s="333"/>
      <c r="AD78" s="333"/>
      <c r="AE78" s="333"/>
      <c r="AF78" s="333"/>
      <c r="AG78" s="333"/>
      <c r="AH78" s="333"/>
      <c r="AI78" s="333"/>
      <c r="AJ78" s="333"/>
      <c r="AK78" s="333"/>
      <c r="AL78" s="333"/>
      <c r="AM78" s="333"/>
      <c r="AN78" s="333"/>
      <c r="AO78" s="333"/>
      <c r="AP78" s="333"/>
      <c r="AQ78" s="333"/>
      <c r="AR78" s="333"/>
      <c r="AS78" s="333"/>
      <c r="AT78" s="333"/>
      <c r="AU78" s="333"/>
      <c r="AV78" s="333"/>
      <c r="AW78" s="333"/>
      <c r="AX78" s="333"/>
      <c r="AY78" s="333"/>
      <c r="AZ78" s="333"/>
      <c r="BA78" s="333"/>
      <c r="BB78" s="333"/>
      <c r="BC78" s="333"/>
      <c r="BD78" s="333"/>
      <c r="BE78" s="333"/>
      <c r="BF78" s="333"/>
      <c r="BG78" s="333"/>
      <c r="BH78" s="333"/>
      <c r="BI78" s="333"/>
      <c r="BJ78" s="333"/>
      <c r="BK78" s="333"/>
      <c r="BL78" s="333"/>
      <c r="BM78" s="333"/>
      <c r="BN78" s="333"/>
      <c r="BO78" s="333"/>
      <c r="BP78" s="333"/>
      <c r="BQ78" s="333"/>
      <c r="BR78" s="333"/>
      <c r="BS78" s="333"/>
      <c r="BT78" s="333"/>
      <c r="BU78" s="333"/>
      <c r="BV78" s="333"/>
      <c r="BW78" s="333"/>
      <c r="BX78" s="333"/>
      <c r="BY78" s="333"/>
      <c r="BZ78" s="333"/>
      <c r="CA78" s="333"/>
      <c r="CB78" s="333"/>
      <c r="CC78" s="333"/>
      <c r="CD78" s="333"/>
      <c r="CE78" s="333"/>
      <c r="CF78" s="333"/>
      <c r="CG78" s="333"/>
      <c r="CH78" s="333"/>
      <c r="CI78" s="333"/>
      <c r="CJ78" s="333"/>
      <c r="CK78" s="333"/>
      <c r="CL78" s="333"/>
      <c r="CM78" s="333"/>
      <c r="CN78" s="333"/>
      <c r="CO78" s="333"/>
      <c r="CP78" s="333"/>
      <c r="CQ78" s="333"/>
      <c r="CR78" s="333"/>
      <c r="CS78" s="333"/>
      <c r="CT78" s="333"/>
      <c r="CU78" s="333"/>
      <c r="CV78" s="333"/>
      <c r="CW78" s="333"/>
      <c r="CX78" s="333"/>
      <c r="CY78" s="333"/>
      <c r="CZ78" s="333"/>
      <c r="DA78" s="333"/>
      <c r="DB78" s="333"/>
      <c r="DC78" s="333"/>
      <c r="DD78" s="333"/>
      <c r="DE78" s="333"/>
      <c r="DF78" s="333"/>
      <c r="DG78" s="333"/>
      <c r="DH78" s="333"/>
      <c r="DI78" s="333"/>
      <c r="DJ78" s="333"/>
      <c r="DK78" s="333"/>
      <c r="DL78" s="333"/>
      <c r="DM78" s="333"/>
      <c r="DN78" s="333"/>
      <c r="DO78" s="333"/>
      <c r="DP78" s="333"/>
      <c r="DQ78" s="333"/>
      <c r="DR78" s="333"/>
      <c r="DS78" s="333"/>
      <c r="DT78" s="333"/>
      <c r="DU78" s="359"/>
      <c r="DV78" s="359"/>
      <c r="DW78" s="359"/>
      <c r="DX78" s="359"/>
      <c r="DY78" s="359"/>
      <c r="DZ78" s="359"/>
      <c r="EA78" s="359"/>
      <c r="EB78" s="359"/>
      <c r="EC78" s="769">
        <f t="shared" si="166"/>
        <v>310</v>
      </c>
      <c r="ED78" s="889">
        <f>GE203</f>
        <v>0</v>
      </c>
      <c r="EE78" s="890"/>
      <c r="EF78" s="476">
        <f>GG203</f>
        <v>0</v>
      </c>
      <c r="EG78" s="893">
        <f>GL203</f>
        <v>0</v>
      </c>
      <c r="EH78" s="893"/>
      <c r="EI78" s="506">
        <f>GQ203</f>
        <v>0</v>
      </c>
      <c r="EJ78" s="373"/>
      <c r="EK78" s="373"/>
      <c r="EL78" s="366"/>
      <c r="EM78" s="366"/>
      <c r="EN78" s="364"/>
      <c r="EO78" s="351"/>
      <c r="EP78" s="347"/>
      <c r="EQ78" s="342"/>
      <c r="ER78" s="522"/>
      <c r="ES78" s="916">
        <f>IF(ER78 = "", 0,
IF(AND(EP78 &gt; 0, EQ78 &gt;0), 0, IF(EO77 &lt;&gt; $Z$1,
IF(AND(EP78 &lt;&gt; "", EP78 &lt;&gt; 0), -(EP78 * ER78 * 100),
IF(AND(EQ78 &lt;&gt; "", EQ78 &lt;&gt; 0), (EQ78 * ER78 * 100), 0)),
IF(AND(EP78 &lt;&gt; "", EP78 &lt;&gt; 0), -(EP78 * ER78 * 1),
IF(AND(EQ78 &lt;&gt; "", EQ78 &lt;&gt; 0), (EQ78 * ER78 * 1), 0))  )))</f>
        <v>0</v>
      </c>
      <c r="ET78" s="917"/>
      <c r="EU78" s="918"/>
      <c r="EV78" s="916">
        <f>IF(ER78 = "", 0,
IF(AND(EP78 &gt; 0, EQ78 &gt;0), 0,  IF(EO77 &lt;&gt; $Z$1,
IF(AND(EP78 &lt;&gt; "", EP78 &lt;&gt; 0), -(EP78 * ER78 * 100 * (1 + COMIS_OPCION)),
IF(AND(EQ78 &lt;&gt; "", EQ78 &lt;&gt; 0), (EQ78 * ER78 * 100 * (1 - COMIS_OPCION)), 0)),
IF(AND(EP78 &lt;&gt; "", EP78 &lt;&gt; 0), -(EP78 * ER78 * 1 * (1 + COMIS_ACCION)),
IF(AND(EQ78 &lt;&gt; "", EQ78 &lt;&gt; 0), (EQ78 * ER78 * 1 * (1 - COMIS_ACCION)), 0))  )))</f>
        <v>0</v>
      </c>
      <c r="EW78" s="917"/>
      <c r="EX78" s="917"/>
      <c r="EY78" s="917"/>
      <c r="EZ78" s="917"/>
      <c r="FA78" s="917"/>
      <c r="FB78" s="917"/>
      <c r="FC78" s="917"/>
      <c r="FD78" s="925"/>
      <c r="FE78" s="340"/>
      <c r="FF78" s="340"/>
      <c r="FG78" s="364"/>
      <c r="FH78" s="364"/>
      <c r="FI78" s="339"/>
      <c r="FJ78" s="347"/>
      <c r="FK78" s="342"/>
      <c r="FL78" s="343"/>
      <c r="FM78" s="930">
        <f>IF(FL78 = "", 0,
IF(AND(FJ78 &gt; 0, FK78 &gt;0), 0,
IF(AND(FJ78 &lt;&gt; "", FJ78 &lt;&gt; 0), -(FJ78 * FL78 * 100),
IF(AND(FK78 &lt;&gt; "", FK78 &lt;&gt; 0), (FK78 * FL78 * 100), 0)) ))</f>
        <v>0</v>
      </c>
      <c r="FN78" s="931"/>
      <c r="FO78" s="932"/>
      <c r="FP78" s="930">
        <f>IF(FL78 = "", 0,
IF(AND(FJ78 &gt; 0, FK78 &gt;0), 0,
IF(AND(FJ78 &lt;&gt; "", FJ78 &lt;&gt; 0), -(FJ78 * FL78 * 100 * (1 + COMIS_OPCION)),
IF(AND(FK78 &lt;&gt; "", FK78 &lt;&gt; 0), (FK78 * FL78 * 100 * (1 - COMIS_OPCION)), 0)) ))</f>
        <v>0</v>
      </c>
      <c r="FQ78" s="931"/>
      <c r="FR78" s="931"/>
      <c r="FS78" s="931"/>
      <c r="FT78" s="931"/>
      <c r="FU78" s="931"/>
      <c r="FV78" s="931"/>
      <c r="FW78" s="931"/>
      <c r="FX78" s="933"/>
      <c r="FY78" s="341"/>
      <c r="FZ78" s="341"/>
      <c r="GA78" s="341"/>
      <c r="GB78" s="495">
        <v>0</v>
      </c>
      <c r="GC78" s="495">
        <v>0</v>
      </c>
      <c r="GD78" s="500"/>
      <c r="GE78" s="495">
        <v>0</v>
      </c>
      <c r="GF78" s="495">
        <v>0</v>
      </c>
      <c r="GG78" s="495">
        <v>0</v>
      </c>
      <c r="GH78" s="359"/>
      <c r="GI78" s="359"/>
      <c r="GJ78" s="501"/>
      <c r="GK78" s="495">
        <v>0</v>
      </c>
      <c r="GL78" s="495">
        <v>0</v>
      </c>
      <c r="GM78" s="495">
        <v>0</v>
      </c>
      <c r="GN78" s="359"/>
      <c r="GO78" s="359"/>
      <c r="GP78" s="501"/>
      <c r="GQ78" s="495">
        <v>0</v>
      </c>
      <c r="GR78" s="359"/>
      <c r="GS78" s="333"/>
      <c r="GT78" s="333"/>
      <c r="GU78" s="333"/>
      <c r="GV78" s="333"/>
      <c r="GW78" s="333"/>
      <c r="GX78" s="333"/>
      <c r="GY78" s="333"/>
      <c r="GZ78" s="333"/>
      <c r="HA78" s="333"/>
      <c r="HB78" s="333"/>
      <c r="HC78" s="333"/>
      <c r="HD78" s="333"/>
      <c r="HE78" s="333"/>
      <c r="HF78" s="333"/>
      <c r="HG78" s="331"/>
      <c r="HH78" s="331"/>
      <c r="HI78" s="331"/>
      <c r="HJ78" s="331"/>
      <c r="HK78" s="331"/>
      <c r="HL78" s="331"/>
      <c r="HM78" s="331"/>
      <c r="HN78" s="333"/>
      <c r="HO78" s="333"/>
      <c r="HP78" s="333"/>
      <c r="HQ78" s="333"/>
      <c r="HR78" s="333"/>
      <c r="HS78" s="333"/>
      <c r="HT78" s="333"/>
      <c r="HU78" s="333"/>
      <c r="HV78" s="333"/>
      <c r="HW78" s="333"/>
      <c r="HX78" s="333"/>
      <c r="HY78" s="333"/>
      <c r="HZ78" s="333"/>
      <c r="IA78" s="333"/>
      <c r="IB78" s="333"/>
      <c r="IC78" s="333"/>
      <c r="ID78" s="55"/>
      <c r="IE78" s="47"/>
      <c r="IH78" s="111">
        <f t="shared" si="175"/>
        <v>0</v>
      </c>
      <c r="II78" s="111">
        <f t="shared" si="168"/>
        <v>0</v>
      </c>
      <c r="IJ78" s="146">
        <v>23</v>
      </c>
      <c r="IK78" s="151">
        <f t="shared" si="180"/>
        <v>280</v>
      </c>
      <c r="IL78" s="106">
        <f t="shared" si="180"/>
        <v>0.335559265442404</v>
      </c>
      <c r="IM78" s="110">
        <f t="shared" si="180"/>
        <v>280</v>
      </c>
      <c r="IN78" s="111">
        <f t="shared" si="170"/>
        <v>0</v>
      </c>
      <c r="IO78" s="50">
        <f t="shared" si="181"/>
        <v>0</v>
      </c>
      <c r="IP78" s="50">
        <f t="shared" si="181"/>
        <v>0</v>
      </c>
      <c r="IQ78" s="50">
        <f t="shared" si="181"/>
        <v>0</v>
      </c>
      <c r="IR78" s="50">
        <f t="shared" si="181"/>
        <v>0</v>
      </c>
      <c r="IS78" s="50">
        <f t="shared" si="181"/>
        <v>0</v>
      </c>
      <c r="IT78" s="50">
        <f t="shared" si="181"/>
        <v>0</v>
      </c>
      <c r="IU78" s="50">
        <f t="shared" si="181"/>
        <v>0</v>
      </c>
      <c r="IV78" s="50">
        <f t="shared" si="181"/>
        <v>0</v>
      </c>
      <c r="IW78" s="50">
        <f t="shared" si="181"/>
        <v>0</v>
      </c>
      <c r="IX78" s="50">
        <f t="shared" si="181"/>
        <v>0</v>
      </c>
      <c r="IY78" s="50">
        <f t="shared" si="182"/>
        <v>0</v>
      </c>
      <c r="IZ78" s="50">
        <f t="shared" si="182"/>
        <v>0</v>
      </c>
      <c r="JA78" s="50">
        <f t="shared" si="182"/>
        <v>0</v>
      </c>
      <c r="JB78" s="50">
        <f t="shared" si="182"/>
        <v>0</v>
      </c>
      <c r="JC78" s="50">
        <f t="shared" si="182"/>
        <v>0</v>
      </c>
      <c r="JD78" s="50">
        <f t="shared" si="182"/>
        <v>0</v>
      </c>
      <c r="JE78" s="50">
        <f t="shared" si="182"/>
        <v>0</v>
      </c>
      <c r="JF78" s="50">
        <f t="shared" si="182"/>
        <v>0</v>
      </c>
      <c r="JG78" s="50">
        <f t="shared" si="182"/>
        <v>0</v>
      </c>
      <c r="JH78" s="50">
        <f t="shared" si="182"/>
        <v>0</v>
      </c>
      <c r="JI78" s="50">
        <f t="shared" si="183"/>
        <v>0</v>
      </c>
      <c r="JJ78" s="50">
        <f t="shared" si="183"/>
        <v>0</v>
      </c>
      <c r="JK78" s="50">
        <f t="shared" si="183"/>
        <v>0</v>
      </c>
      <c r="JL78" s="50">
        <f t="shared" si="183"/>
        <v>0</v>
      </c>
      <c r="JM78" s="50">
        <f t="shared" si="183"/>
        <v>0</v>
      </c>
      <c r="JN78" s="50">
        <f t="shared" si="183"/>
        <v>0</v>
      </c>
      <c r="JO78" s="50">
        <f t="shared" si="183"/>
        <v>0</v>
      </c>
      <c r="JP78" s="50">
        <f t="shared" si="183"/>
        <v>0</v>
      </c>
      <c r="JQ78" s="50">
        <f t="shared" si="183"/>
        <v>0</v>
      </c>
      <c r="JR78" s="50">
        <f t="shared" si="183"/>
        <v>0</v>
      </c>
      <c r="JS78" s="50">
        <f t="shared" si="184"/>
        <v>0</v>
      </c>
      <c r="JT78" s="50">
        <f t="shared" si="184"/>
        <v>0</v>
      </c>
      <c r="JU78" s="50" t="str">
        <f t="shared" si="184"/>
        <v/>
      </c>
      <c r="JV78" s="50" t="str">
        <f t="shared" si="184"/>
        <v/>
      </c>
      <c r="JW78" s="50" t="str">
        <f t="shared" si="184"/>
        <v/>
      </c>
      <c r="JX78" s="50" t="str">
        <f t="shared" si="184"/>
        <v/>
      </c>
      <c r="JY78" s="50" t="str">
        <f t="shared" si="184"/>
        <v/>
      </c>
      <c r="JZ78" s="50" t="str">
        <f t="shared" si="184"/>
        <v/>
      </c>
      <c r="KA78" s="50" t="str">
        <f t="shared" si="184"/>
        <v/>
      </c>
      <c r="KB78" s="50" t="str">
        <f t="shared" si="184"/>
        <v/>
      </c>
      <c r="KC78" s="50" t="str">
        <f t="shared" si="184"/>
        <v/>
      </c>
      <c r="KD78" s="50" t="str">
        <f t="shared" si="184"/>
        <v/>
      </c>
    </row>
    <row r="79" spans="13:293" s="142" customFormat="1" ht="15" customHeight="1">
      <c r="M79" s="333"/>
      <c r="N79" s="333"/>
      <c r="O79" s="333"/>
      <c r="P79" s="333"/>
      <c r="Q79" s="333"/>
      <c r="R79" s="333"/>
      <c r="S79" s="333"/>
      <c r="T79" s="333"/>
      <c r="U79" s="333"/>
      <c r="V79" s="333"/>
      <c r="W79" s="333"/>
      <c r="X79" s="333"/>
      <c r="Y79" s="333"/>
      <c r="Z79" s="333"/>
      <c r="AA79" s="333"/>
      <c r="AB79" s="333"/>
      <c r="AC79" s="333"/>
      <c r="AD79" s="333"/>
      <c r="AE79" s="333"/>
      <c r="AF79" s="333"/>
      <c r="AG79" s="333"/>
      <c r="AH79" s="333"/>
      <c r="AI79" s="333"/>
      <c r="AJ79" s="333"/>
      <c r="AK79" s="333"/>
      <c r="AL79" s="333"/>
      <c r="AM79" s="333"/>
      <c r="AN79" s="333"/>
      <c r="AO79" s="333"/>
      <c r="AP79" s="333"/>
      <c r="AQ79" s="333"/>
      <c r="AR79" s="333"/>
      <c r="AS79" s="333"/>
      <c r="AT79" s="333"/>
      <c r="AU79" s="333"/>
      <c r="AV79" s="333"/>
      <c r="AW79" s="333"/>
      <c r="AX79" s="333"/>
      <c r="AY79" s="333"/>
      <c r="AZ79" s="333"/>
      <c r="BA79" s="333"/>
      <c r="BB79" s="333"/>
      <c r="BC79" s="333"/>
      <c r="BD79" s="333"/>
      <c r="BE79" s="333"/>
      <c r="BF79" s="333"/>
      <c r="BG79" s="333"/>
      <c r="BH79" s="333"/>
      <c r="BI79" s="333"/>
      <c r="BJ79" s="333"/>
      <c r="BK79" s="333"/>
      <c r="BL79" s="333"/>
      <c r="BM79" s="333"/>
      <c r="BN79" s="333"/>
      <c r="BO79" s="333"/>
      <c r="BP79" s="333"/>
      <c r="BQ79" s="333"/>
      <c r="BR79" s="333"/>
      <c r="BS79" s="333"/>
      <c r="BT79" s="333"/>
      <c r="BU79" s="333"/>
      <c r="BV79" s="333"/>
      <c r="BW79" s="333"/>
      <c r="BX79" s="333"/>
      <c r="BY79" s="333"/>
      <c r="BZ79" s="333"/>
      <c r="CA79" s="333"/>
      <c r="CB79" s="333"/>
      <c r="CC79" s="333"/>
      <c r="CD79" s="333"/>
      <c r="CE79" s="333"/>
      <c r="CF79" s="333"/>
      <c r="CG79" s="333"/>
      <c r="CH79" s="333"/>
      <c r="CI79" s="333"/>
      <c r="CJ79" s="333"/>
      <c r="CK79" s="333"/>
      <c r="CL79" s="333"/>
      <c r="CM79" s="333"/>
      <c r="CN79" s="333"/>
      <c r="CO79" s="333"/>
      <c r="CP79" s="333"/>
      <c r="CQ79" s="333"/>
      <c r="CR79" s="333"/>
      <c r="CS79" s="333"/>
      <c r="CT79" s="333"/>
      <c r="CU79" s="333"/>
      <c r="CV79" s="333"/>
      <c r="CW79" s="333"/>
      <c r="CX79" s="333"/>
      <c r="CY79" s="333"/>
      <c r="CZ79" s="333"/>
      <c r="DA79" s="333"/>
      <c r="DB79" s="333"/>
      <c r="DC79" s="333"/>
      <c r="DD79" s="333"/>
      <c r="DE79" s="333"/>
      <c r="DF79" s="333"/>
      <c r="DG79" s="333"/>
      <c r="DH79" s="333"/>
      <c r="DI79" s="333"/>
      <c r="DJ79" s="333"/>
      <c r="DK79" s="333"/>
      <c r="DL79" s="333"/>
      <c r="DM79" s="333"/>
      <c r="DN79" s="333"/>
      <c r="DO79" s="333"/>
      <c r="DP79" s="333"/>
      <c r="DQ79" s="333"/>
      <c r="DR79" s="333"/>
      <c r="DS79" s="333"/>
      <c r="DT79" s="333"/>
      <c r="DU79" s="359"/>
      <c r="DV79" s="359"/>
      <c r="DW79" s="359"/>
      <c r="DX79" s="359"/>
      <c r="DY79" s="359"/>
      <c r="DZ79" s="359"/>
      <c r="EA79" s="359"/>
      <c r="EB79" s="359"/>
      <c r="EC79" s="769">
        <f t="shared" si="166"/>
        <v>320</v>
      </c>
      <c r="ED79" s="889">
        <f>GE209</f>
        <v>0</v>
      </c>
      <c r="EE79" s="890"/>
      <c r="EF79" s="476">
        <f>GG209</f>
        <v>0</v>
      </c>
      <c r="EG79" s="893">
        <f>GL209</f>
        <v>0</v>
      </c>
      <c r="EH79" s="893"/>
      <c r="EI79" s="506">
        <f>GQ209</f>
        <v>0</v>
      </c>
      <c r="EJ79" s="373"/>
      <c r="EK79" s="373"/>
      <c r="EL79" s="366"/>
      <c r="EM79" s="368"/>
      <c r="EN79" s="365"/>
      <c r="EO79" s="352">
        <f>+SUM(EP77:EP81) - SUM(EQ77:EQ81)</f>
        <v>0</v>
      </c>
      <c r="EP79" s="347"/>
      <c r="EQ79" s="342"/>
      <c r="ER79" s="522"/>
      <c r="ES79" s="916">
        <f>IF(ER79 = "", 0,
IF(AND(EP79 &gt; 0, EQ79 &gt;0), 0, IF(EO77 &lt;&gt; $Z$1,
IF(AND(EP79 &lt;&gt; "", EP79 &lt;&gt; 0), -(EP79 * ER79 * 100),
IF(AND(EQ79 &lt;&gt; "", EQ79 &lt;&gt; 0), (EQ79 * ER79 * 100), 0)),
IF(AND(EP79 &lt;&gt; "", EP79 &lt;&gt; 0), -(EP79 * ER79 * 1),
IF(AND(EQ79 &lt;&gt; "", EQ79 &lt;&gt; 0), (EQ79 * ER79 * 1), 0))  )))</f>
        <v>0</v>
      </c>
      <c r="ET79" s="917"/>
      <c r="EU79" s="918"/>
      <c r="EV79" s="916">
        <f>IF(ER79 = "", 0,
IF(AND(EP79 &gt; 0, EQ79 &gt;0), 0,  IF(EO77 &lt;&gt; $Z$1,
IF(AND(EP79 &lt;&gt; "", EP79 &lt;&gt; 0), -(EP79 * ER79 * 100 * (1 + COMIS_OPCION)),
IF(AND(EQ79 &lt;&gt; "", EQ79 &lt;&gt; 0), (EQ79 * ER79 * 100 * (1 - COMIS_OPCION)), 0)),
IF(AND(EP79 &lt;&gt; "", EP79 &lt;&gt; 0), -(EP79 * ER79 * 1 * (1 + COMIS_ACCION)),
IF(AND(EQ79 &lt;&gt; "", EQ79 &lt;&gt; 0), (EQ79 * ER79 * 1 * (1 - COMIS_ACCION)), 0))  )))</f>
        <v>0</v>
      </c>
      <c r="EW79" s="917"/>
      <c r="EX79" s="917"/>
      <c r="EY79" s="917"/>
      <c r="EZ79" s="917"/>
      <c r="FA79" s="917"/>
      <c r="FB79" s="917"/>
      <c r="FC79" s="917"/>
      <c r="FD79" s="925"/>
      <c r="FE79" s="340"/>
      <c r="FF79" s="340"/>
      <c r="FG79" s="365"/>
      <c r="FH79" s="365"/>
      <c r="FI79" s="354">
        <f>+SUM(FJ77:FJ81) - SUM(FK77:FK81)</f>
        <v>0</v>
      </c>
      <c r="FJ79" s="347"/>
      <c r="FK79" s="342"/>
      <c r="FL79" s="343"/>
      <c r="FM79" s="930">
        <f>IF(FL79 = "", 0,
IF(AND(FJ79 &gt; 0, FK79 &gt;0), 0,
IF(AND(FJ79 &lt;&gt; "", FJ79 &lt;&gt; 0), -(FJ79 * FL79 * 100),
IF(AND(FK79 &lt;&gt; "", FK79 &lt;&gt; 0), (FK79 * FL79 * 100), 0)) ))</f>
        <v>0</v>
      </c>
      <c r="FN79" s="931"/>
      <c r="FO79" s="932"/>
      <c r="FP79" s="930">
        <f>IF(FL79 = "", 0,
IF(AND(FJ79 &gt; 0, FK79 &gt;0), 0,
IF(AND(FJ79 &lt;&gt; "", FJ79 &lt;&gt; 0), -(FJ79 * FL79 * 100 * (1 + COMIS_OPCION)),
IF(AND(FK79 &lt;&gt; "", FK79 &lt;&gt; 0), (FK79 * FL79 * 100 * (1 - COMIS_OPCION)), 0)) ))</f>
        <v>0</v>
      </c>
      <c r="FQ79" s="931"/>
      <c r="FR79" s="931"/>
      <c r="FS79" s="931"/>
      <c r="FT79" s="931"/>
      <c r="FU79" s="931"/>
      <c r="FV79" s="931"/>
      <c r="FW79" s="931"/>
      <c r="FX79" s="933"/>
      <c r="FY79" s="341"/>
      <c r="FZ79" s="341"/>
      <c r="GA79" s="341"/>
      <c r="GB79" s="495">
        <v>0</v>
      </c>
      <c r="GC79" s="495">
        <v>0</v>
      </c>
      <c r="GD79" s="500"/>
      <c r="GE79" s="495">
        <v>0</v>
      </c>
      <c r="GF79" s="495">
        <v>0</v>
      </c>
      <c r="GG79" s="495">
        <v>0</v>
      </c>
      <c r="GH79" s="359"/>
      <c r="GI79" s="359"/>
      <c r="GJ79" s="501"/>
      <c r="GK79" s="495">
        <v>0</v>
      </c>
      <c r="GL79" s="495">
        <v>0</v>
      </c>
      <c r="GM79" s="495">
        <v>0</v>
      </c>
      <c r="GN79" s="359"/>
      <c r="GO79" s="359"/>
      <c r="GP79" s="501"/>
      <c r="GQ79" s="495">
        <v>0</v>
      </c>
      <c r="GR79" s="359"/>
      <c r="GS79" s="333"/>
      <c r="GT79" s="333"/>
      <c r="GU79" s="333"/>
      <c r="GV79" s="333"/>
      <c r="GW79" s="333"/>
      <c r="GX79" s="333"/>
      <c r="GY79" s="333"/>
      <c r="GZ79" s="333"/>
      <c r="HA79" s="333"/>
      <c r="HB79" s="333"/>
      <c r="HC79" s="333"/>
      <c r="HD79" s="333"/>
      <c r="HE79" s="333"/>
      <c r="HF79" s="333"/>
      <c r="HG79" s="331"/>
      <c r="HH79" s="331"/>
      <c r="HI79" s="331"/>
      <c r="HJ79" s="331"/>
      <c r="HK79" s="331"/>
      <c r="HL79" s="331"/>
      <c r="HM79" s="331"/>
      <c r="HN79" s="333"/>
      <c r="HO79" s="333"/>
      <c r="HP79" s="333"/>
      <c r="HQ79" s="333"/>
      <c r="HR79" s="333"/>
      <c r="HS79" s="333"/>
      <c r="HT79" s="333"/>
      <c r="HU79" s="333"/>
      <c r="HV79" s="333"/>
      <c r="HW79" s="333"/>
      <c r="HX79" s="333"/>
      <c r="HY79" s="333"/>
      <c r="HZ79" s="333"/>
      <c r="IA79" s="333"/>
      <c r="IB79" s="333"/>
      <c r="IC79" s="333"/>
      <c r="ID79" s="55"/>
      <c r="IE79" s="47"/>
      <c r="IH79" s="111">
        <f t="shared" si="175"/>
        <v>0</v>
      </c>
      <c r="II79" s="111">
        <f t="shared" si="168"/>
        <v>0</v>
      </c>
      <c r="IJ79" s="146">
        <v>24</v>
      </c>
      <c r="IK79" s="151">
        <f t="shared" si="180"/>
        <v>290</v>
      </c>
      <c r="IL79" s="106">
        <f t="shared" si="180"/>
        <v>0.38325781063677544</v>
      </c>
      <c r="IM79" s="110">
        <f t="shared" si="180"/>
        <v>290</v>
      </c>
      <c r="IN79" s="111">
        <f t="shared" si="170"/>
        <v>0</v>
      </c>
      <c r="IO79" s="50">
        <f t="shared" si="181"/>
        <v>0</v>
      </c>
      <c r="IP79" s="50">
        <f t="shared" si="181"/>
        <v>0</v>
      </c>
      <c r="IQ79" s="50">
        <f t="shared" si="181"/>
        <v>0</v>
      </c>
      <c r="IR79" s="50">
        <f t="shared" si="181"/>
        <v>0</v>
      </c>
      <c r="IS79" s="50">
        <f t="shared" si="181"/>
        <v>0</v>
      </c>
      <c r="IT79" s="50">
        <f t="shared" si="181"/>
        <v>0</v>
      </c>
      <c r="IU79" s="50">
        <f t="shared" si="181"/>
        <v>0</v>
      </c>
      <c r="IV79" s="50">
        <f t="shared" si="181"/>
        <v>0</v>
      </c>
      <c r="IW79" s="50">
        <f t="shared" si="181"/>
        <v>0</v>
      </c>
      <c r="IX79" s="50">
        <f t="shared" si="181"/>
        <v>0</v>
      </c>
      <c r="IY79" s="50">
        <f t="shared" si="182"/>
        <v>0</v>
      </c>
      <c r="IZ79" s="50">
        <f t="shared" si="182"/>
        <v>0</v>
      </c>
      <c r="JA79" s="50">
        <f t="shared" si="182"/>
        <v>0</v>
      </c>
      <c r="JB79" s="50">
        <f t="shared" si="182"/>
        <v>0</v>
      </c>
      <c r="JC79" s="50">
        <f t="shared" si="182"/>
        <v>0</v>
      </c>
      <c r="JD79" s="50">
        <f t="shared" si="182"/>
        <v>0</v>
      </c>
      <c r="JE79" s="50">
        <f t="shared" si="182"/>
        <v>0</v>
      </c>
      <c r="JF79" s="50">
        <f t="shared" si="182"/>
        <v>0</v>
      </c>
      <c r="JG79" s="50">
        <f t="shared" si="182"/>
        <v>0</v>
      </c>
      <c r="JH79" s="50">
        <f t="shared" si="182"/>
        <v>0</v>
      </c>
      <c r="JI79" s="50">
        <f t="shared" si="183"/>
        <v>0</v>
      </c>
      <c r="JJ79" s="50">
        <f t="shared" si="183"/>
        <v>0</v>
      </c>
      <c r="JK79" s="50">
        <f t="shared" si="183"/>
        <v>0</v>
      </c>
      <c r="JL79" s="50">
        <f t="shared" si="183"/>
        <v>0</v>
      </c>
      <c r="JM79" s="50">
        <f t="shared" si="183"/>
        <v>0</v>
      </c>
      <c r="JN79" s="50">
        <f t="shared" si="183"/>
        <v>0</v>
      </c>
      <c r="JO79" s="50">
        <f t="shared" si="183"/>
        <v>0</v>
      </c>
      <c r="JP79" s="50">
        <f t="shared" si="183"/>
        <v>0</v>
      </c>
      <c r="JQ79" s="50">
        <f t="shared" si="183"/>
        <v>0</v>
      </c>
      <c r="JR79" s="50">
        <f t="shared" si="183"/>
        <v>0</v>
      </c>
      <c r="JS79" s="50">
        <f t="shared" si="184"/>
        <v>0</v>
      </c>
      <c r="JT79" s="50">
        <f t="shared" si="184"/>
        <v>0</v>
      </c>
      <c r="JU79" s="50" t="str">
        <f t="shared" si="184"/>
        <v/>
      </c>
      <c r="JV79" s="50" t="str">
        <f t="shared" si="184"/>
        <v/>
      </c>
      <c r="JW79" s="50" t="str">
        <f t="shared" si="184"/>
        <v/>
      </c>
      <c r="JX79" s="50" t="str">
        <f t="shared" si="184"/>
        <v/>
      </c>
      <c r="JY79" s="50" t="str">
        <f t="shared" si="184"/>
        <v/>
      </c>
      <c r="JZ79" s="50" t="str">
        <f t="shared" si="184"/>
        <v/>
      </c>
      <c r="KA79" s="50" t="str">
        <f t="shared" si="184"/>
        <v/>
      </c>
      <c r="KB79" s="50" t="str">
        <f t="shared" si="184"/>
        <v/>
      </c>
      <c r="KC79" s="50" t="str">
        <f t="shared" si="184"/>
        <v/>
      </c>
      <c r="KD79" s="50" t="str">
        <f t="shared" si="184"/>
        <v/>
      </c>
    </row>
    <row r="80" spans="13:293" s="142" customFormat="1" ht="15" customHeight="1">
      <c r="M80" s="333"/>
      <c r="N80" s="333"/>
      <c r="O80" s="333"/>
      <c r="P80" s="333"/>
      <c r="Q80" s="333"/>
      <c r="R80" s="333"/>
      <c r="S80" s="333"/>
      <c r="T80" s="333"/>
      <c r="U80" s="333"/>
      <c r="V80" s="333"/>
      <c r="W80" s="333"/>
      <c r="X80" s="333"/>
      <c r="Y80" s="333"/>
      <c r="Z80" s="333"/>
      <c r="AA80" s="333"/>
      <c r="AB80" s="333"/>
      <c r="AC80" s="333"/>
      <c r="AD80" s="333"/>
      <c r="AE80" s="333"/>
      <c r="AF80" s="333"/>
      <c r="AG80" s="333"/>
      <c r="AH80" s="333"/>
      <c r="AI80" s="333"/>
      <c r="AJ80" s="333"/>
      <c r="AK80" s="333"/>
      <c r="AL80" s="333"/>
      <c r="AM80" s="333"/>
      <c r="AN80" s="333"/>
      <c r="AO80" s="333"/>
      <c r="AP80" s="333"/>
      <c r="AQ80" s="333"/>
      <c r="AR80" s="333"/>
      <c r="AS80" s="333"/>
      <c r="AT80" s="333"/>
      <c r="AU80" s="333"/>
      <c r="AV80" s="333"/>
      <c r="AW80" s="333"/>
      <c r="AX80" s="333"/>
      <c r="AY80" s="333"/>
      <c r="AZ80" s="333"/>
      <c r="BA80" s="333"/>
      <c r="BB80" s="333"/>
      <c r="BC80" s="333"/>
      <c r="BD80" s="333"/>
      <c r="BE80" s="333"/>
      <c r="BF80" s="333"/>
      <c r="BG80" s="333"/>
      <c r="BH80" s="333"/>
      <c r="BI80" s="333"/>
      <c r="BJ80" s="333"/>
      <c r="BK80" s="333"/>
      <c r="BL80" s="333"/>
      <c r="BM80" s="333"/>
      <c r="BN80" s="333"/>
      <c r="BO80" s="333"/>
      <c r="BP80" s="333"/>
      <c r="BQ80" s="333"/>
      <c r="BR80" s="333"/>
      <c r="BS80" s="333"/>
      <c r="BT80" s="333"/>
      <c r="BU80" s="333"/>
      <c r="BV80" s="333"/>
      <c r="BW80" s="333"/>
      <c r="BX80" s="333"/>
      <c r="BY80" s="333"/>
      <c r="BZ80" s="333"/>
      <c r="CA80" s="333"/>
      <c r="CB80" s="333"/>
      <c r="CC80" s="333"/>
      <c r="CD80" s="333"/>
      <c r="CE80" s="333"/>
      <c r="CF80" s="333"/>
      <c r="CG80" s="333"/>
      <c r="CH80" s="333"/>
      <c r="CI80" s="333"/>
      <c r="CJ80" s="333"/>
      <c r="CK80" s="333"/>
      <c r="CL80" s="333"/>
      <c r="CM80" s="333"/>
      <c r="CN80" s="333"/>
      <c r="CO80" s="333"/>
      <c r="CP80" s="333"/>
      <c r="CQ80" s="333"/>
      <c r="CR80" s="333"/>
      <c r="CS80" s="333"/>
      <c r="CT80" s="333"/>
      <c r="CU80" s="333"/>
      <c r="CV80" s="333"/>
      <c r="CW80" s="333"/>
      <c r="CX80" s="333"/>
      <c r="CY80" s="333"/>
      <c r="CZ80" s="333"/>
      <c r="DA80" s="333"/>
      <c r="DB80" s="333"/>
      <c r="DC80" s="333"/>
      <c r="DD80" s="333"/>
      <c r="DE80" s="333"/>
      <c r="DF80" s="333"/>
      <c r="DG80" s="333"/>
      <c r="DH80" s="333"/>
      <c r="DI80" s="333"/>
      <c r="DJ80" s="333"/>
      <c r="DK80" s="333"/>
      <c r="DL80" s="333"/>
      <c r="DM80" s="333"/>
      <c r="DN80" s="333"/>
      <c r="DO80" s="333"/>
      <c r="DP80" s="333"/>
      <c r="DQ80" s="333"/>
      <c r="DR80" s="333"/>
      <c r="DS80" s="333"/>
      <c r="DT80" s="333"/>
      <c r="DU80" s="359"/>
      <c r="DV80" s="359"/>
      <c r="DW80" s="359"/>
      <c r="DX80" s="359"/>
      <c r="DY80" s="359"/>
      <c r="DZ80" s="359"/>
      <c r="EA80" s="359"/>
      <c r="EB80" s="359"/>
      <c r="EC80" s="769">
        <f t="shared" si="166"/>
        <v>330</v>
      </c>
      <c r="ED80" s="889">
        <f>GE215</f>
        <v>0</v>
      </c>
      <c r="EE80" s="890"/>
      <c r="EF80" s="476">
        <f>GG215</f>
        <v>0</v>
      </c>
      <c r="EG80" s="893">
        <f>GL215</f>
        <v>0</v>
      </c>
      <c r="EH80" s="893"/>
      <c r="EI80" s="506">
        <f>GQ215</f>
        <v>0</v>
      </c>
      <c r="EJ80" s="373"/>
      <c r="EK80" s="373"/>
      <c r="EL80" s="366"/>
      <c r="EM80" s="368"/>
      <c r="EN80" s="365"/>
      <c r="EO80" s="352">
        <f>IF(EO79=0, 0, SUM(EV77:FD81))</f>
        <v>0</v>
      </c>
      <c r="EP80" s="347"/>
      <c r="EQ80" s="342"/>
      <c r="ER80" s="522"/>
      <c r="ES80" s="916">
        <f>IF(ER80 = "", 0,
IF(AND(EP80 &gt; 0, EQ80 &gt;0), 0, IF(EO77 &lt;&gt; $Z$1,
IF(AND(EP80 &lt;&gt; "", EP80 &lt;&gt; 0), -(EP80 * ER80 * 100),
IF(AND(EQ80 &lt;&gt; "", EQ80 &lt;&gt; 0), (EQ80 * ER80 * 100), 0)),
IF(AND(EP80 &lt;&gt; "", EP80 &lt;&gt; 0), -(EP80 * ER80 * 1),
IF(AND(EQ80 &lt;&gt; "", EQ80 &lt;&gt; 0), (EQ80 * ER80 * 1), 0))  )))</f>
        <v>0</v>
      </c>
      <c r="ET80" s="917"/>
      <c r="EU80" s="918"/>
      <c r="EV80" s="916">
        <f>IF(ER80 = "", 0,
IF(AND(EP80 &gt; 0, EQ80 &gt;0), 0,  IF(EO77 &lt;&gt; $Z$1,
IF(AND(EP80 &lt;&gt; "", EP80 &lt;&gt; 0), -(EP80 * ER80 * 100 * (1 + COMIS_OPCION)),
IF(AND(EQ80 &lt;&gt; "", EQ80 &lt;&gt; 0), (EQ80 * ER80 * 100 * (1 - COMIS_OPCION)), 0)),
IF(AND(EP80 &lt;&gt; "", EP80 &lt;&gt; 0), -(EP80 * ER80 * 1 * (1 + COMIS_ACCION)),
IF(AND(EQ80 &lt;&gt; "", EQ80 &lt;&gt; 0), (EQ80 * ER80 * 1 * (1 - COMIS_ACCION)), 0))  )))</f>
        <v>0</v>
      </c>
      <c r="EW80" s="917"/>
      <c r="EX80" s="917"/>
      <c r="EY80" s="917"/>
      <c r="EZ80" s="917"/>
      <c r="FA80" s="917"/>
      <c r="FB80" s="917"/>
      <c r="FC80" s="917"/>
      <c r="FD80" s="925"/>
      <c r="FE80" s="340"/>
      <c r="FF80" s="340"/>
      <c r="FG80" s="365"/>
      <c r="FH80" s="365"/>
      <c r="FI80" s="354">
        <f>IF(FI79=0, 0, SUM(FP77:FX81))</f>
        <v>0</v>
      </c>
      <c r="FJ80" s="347"/>
      <c r="FK80" s="342"/>
      <c r="FL80" s="343"/>
      <c r="FM80" s="930">
        <f>IF(FL80 = "", 0,
IF(AND(FJ80 &gt; 0, FK80 &gt;0), 0,
IF(AND(FJ80 &lt;&gt; "", FJ80 &lt;&gt; 0), -(FJ80 * FL80 * 100),
IF(AND(FK80 &lt;&gt; "", FK80 &lt;&gt; 0), (FK80 * FL80 * 100), 0)) ))</f>
        <v>0</v>
      </c>
      <c r="FN80" s="931"/>
      <c r="FO80" s="932"/>
      <c r="FP80" s="930">
        <f>IF(FL80 = "", 0,
IF(AND(FJ80 &gt; 0, FK80 &gt;0), 0,
IF(AND(FJ80 &lt;&gt; "", FJ80 &lt;&gt; 0), -(FJ80 * FL80 * 100 * (1 + COMIS_OPCION)),
IF(AND(FK80 &lt;&gt; "", FK80 &lt;&gt; 0), (FK80 * FL80 * 100 * (1 - COMIS_OPCION)), 0)) ))</f>
        <v>0</v>
      </c>
      <c r="FQ80" s="931"/>
      <c r="FR80" s="931"/>
      <c r="FS80" s="931"/>
      <c r="FT80" s="931"/>
      <c r="FU80" s="931"/>
      <c r="FV80" s="931"/>
      <c r="FW80" s="931"/>
      <c r="FX80" s="933"/>
      <c r="FY80" s="341"/>
      <c r="FZ80" s="341"/>
      <c r="GA80" s="341"/>
      <c r="GB80" s="495">
        <v>0</v>
      </c>
      <c r="GC80" s="495">
        <v>0</v>
      </c>
      <c r="GD80" s="500"/>
      <c r="GE80" s="495">
        <v>0</v>
      </c>
      <c r="GF80" s="495">
        <v>0</v>
      </c>
      <c r="GG80" s="495">
        <v>0</v>
      </c>
      <c r="GH80" s="359"/>
      <c r="GI80" s="359"/>
      <c r="GJ80" s="501"/>
      <c r="GK80" s="495">
        <v>0</v>
      </c>
      <c r="GL80" s="495">
        <v>0</v>
      </c>
      <c r="GM80" s="495">
        <v>0</v>
      </c>
      <c r="GN80" s="359"/>
      <c r="GO80" s="359"/>
      <c r="GP80" s="501"/>
      <c r="GQ80" s="495">
        <v>0</v>
      </c>
      <c r="GR80" s="359"/>
      <c r="GS80" s="333"/>
      <c r="GT80" s="333"/>
      <c r="GU80" s="333"/>
      <c r="GV80" s="333"/>
      <c r="GW80" s="333"/>
      <c r="GX80" s="333"/>
      <c r="GY80" s="333"/>
      <c r="GZ80" s="333"/>
      <c r="HA80" s="333"/>
      <c r="HB80" s="333"/>
      <c r="HC80" s="333"/>
      <c r="HD80" s="333"/>
      <c r="HE80" s="333"/>
      <c r="HF80" s="333"/>
      <c r="HG80" s="331"/>
      <c r="HH80" s="331"/>
      <c r="HI80" s="331"/>
      <c r="HJ80" s="331"/>
      <c r="HK80" s="331"/>
      <c r="HL80" s="331"/>
      <c r="HM80" s="331"/>
      <c r="HN80" s="333"/>
      <c r="HO80" s="333"/>
      <c r="HP80" s="333"/>
      <c r="HQ80" s="333"/>
      <c r="HR80" s="333"/>
      <c r="HS80" s="333"/>
      <c r="HT80" s="333"/>
      <c r="HU80" s="333"/>
      <c r="HV80" s="333"/>
      <c r="HW80" s="333"/>
      <c r="HX80" s="333"/>
      <c r="HY80" s="333"/>
      <c r="HZ80" s="333"/>
      <c r="IA80" s="333"/>
      <c r="IB80" s="333"/>
      <c r="IC80" s="333"/>
      <c r="ID80" s="55"/>
      <c r="IE80" s="47"/>
      <c r="IH80" s="111">
        <f t="shared" si="175"/>
        <v>0</v>
      </c>
      <c r="II80" s="111">
        <f t="shared" si="168"/>
        <v>0</v>
      </c>
      <c r="IJ80" s="146">
        <v>25</v>
      </c>
      <c r="IK80" s="151">
        <f t="shared" si="180"/>
        <v>300</v>
      </c>
      <c r="IL80" s="106">
        <f t="shared" si="180"/>
        <v>0.43095635583114711</v>
      </c>
      <c r="IM80" s="110">
        <f t="shared" si="180"/>
        <v>300</v>
      </c>
      <c r="IN80" s="111">
        <f t="shared" si="170"/>
        <v>0</v>
      </c>
      <c r="IO80" s="50">
        <f t="shared" si="181"/>
        <v>0</v>
      </c>
      <c r="IP80" s="50">
        <f t="shared" si="181"/>
        <v>0</v>
      </c>
      <c r="IQ80" s="50">
        <f t="shared" si="181"/>
        <v>0</v>
      </c>
      <c r="IR80" s="50">
        <f t="shared" si="181"/>
        <v>0</v>
      </c>
      <c r="IS80" s="50">
        <f t="shared" si="181"/>
        <v>0</v>
      </c>
      <c r="IT80" s="50">
        <f t="shared" si="181"/>
        <v>0</v>
      </c>
      <c r="IU80" s="50">
        <f t="shared" si="181"/>
        <v>0</v>
      </c>
      <c r="IV80" s="50">
        <f t="shared" si="181"/>
        <v>0</v>
      </c>
      <c r="IW80" s="50">
        <f t="shared" si="181"/>
        <v>0</v>
      </c>
      <c r="IX80" s="50">
        <f t="shared" si="181"/>
        <v>0</v>
      </c>
      <c r="IY80" s="50">
        <f t="shared" si="182"/>
        <v>0</v>
      </c>
      <c r="IZ80" s="50">
        <f t="shared" si="182"/>
        <v>0</v>
      </c>
      <c r="JA80" s="50">
        <f t="shared" si="182"/>
        <v>0</v>
      </c>
      <c r="JB80" s="50">
        <f t="shared" si="182"/>
        <v>0</v>
      </c>
      <c r="JC80" s="50">
        <f t="shared" si="182"/>
        <v>0</v>
      </c>
      <c r="JD80" s="50">
        <f t="shared" si="182"/>
        <v>0</v>
      </c>
      <c r="JE80" s="50">
        <f t="shared" si="182"/>
        <v>0</v>
      </c>
      <c r="JF80" s="50">
        <f t="shared" si="182"/>
        <v>0</v>
      </c>
      <c r="JG80" s="50">
        <f t="shared" si="182"/>
        <v>0</v>
      </c>
      <c r="JH80" s="50">
        <f t="shared" si="182"/>
        <v>0</v>
      </c>
      <c r="JI80" s="50">
        <f t="shared" si="183"/>
        <v>0</v>
      </c>
      <c r="JJ80" s="50">
        <f t="shared" si="183"/>
        <v>0</v>
      </c>
      <c r="JK80" s="50">
        <f t="shared" si="183"/>
        <v>0</v>
      </c>
      <c r="JL80" s="50">
        <f t="shared" si="183"/>
        <v>0</v>
      </c>
      <c r="JM80" s="50">
        <f t="shared" si="183"/>
        <v>0</v>
      </c>
      <c r="JN80" s="50">
        <f t="shared" si="183"/>
        <v>0</v>
      </c>
      <c r="JO80" s="50">
        <f t="shared" si="183"/>
        <v>0</v>
      </c>
      <c r="JP80" s="50">
        <f t="shared" si="183"/>
        <v>0</v>
      </c>
      <c r="JQ80" s="50">
        <f t="shared" si="183"/>
        <v>0</v>
      </c>
      <c r="JR80" s="50">
        <f t="shared" si="183"/>
        <v>0</v>
      </c>
      <c r="JS80" s="50">
        <f t="shared" si="184"/>
        <v>0</v>
      </c>
      <c r="JT80" s="50">
        <f t="shared" si="184"/>
        <v>0</v>
      </c>
      <c r="JU80" s="50" t="str">
        <f t="shared" si="184"/>
        <v/>
      </c>
      <c r="JV80" s="50" t="str">
        <f t="shared" si="184"/>
        <v/>
      </c>
      <c r="JW80" s="50" t="str">
        <f t="shared" si="184"/>
        <v/>
      </c>
      <c r="JX80" s="50" t="str">
        <f t="shared" si="184"/>
        <v/>
      </c>
      <c r="JY80" s="50" t="str">
        <f t="shared" si="184"/>
        <v/>
      </c>
      <c r="JZ80" s="50" t="str">
        <f t="shared" si="184"/>
        <v/>
      </c>
      <c r="KA80" s="50" t="str">
        <f t="shared" si="184"/>
        <v/>
      </c>
      <c r="KB80" s="50" t="str">
        <f t="shared" si="184"/>
        <v/>
      </c>
      <c r="KC80" s="50" t="str">
        <f t="shared" si="184"/>
        <v/>
      </c>
      <c r="KD80" s="50" t="str">
        <f t="shared" si="184"/>
        <v/>
      </c>
    </row>
    <row r="81" spans="13:290" s="142" customFormat="1" ht="15" customHeight="1" thickBot="1">
      <c r="M81" s="333"/>
      <c r="N81" s="333"/>
      <c r="O81" s="333"/>
      <c r="P81" s="333"/>
      <c r="Q81" s="333"/>
      <c r="R81" s="333"/>
      <c r="S81" s="333"/>
      <c r="T81" s="333"/>
      <c r="U81" s="333"/>
      <c r="V81" s="333"/>
      <c r="W81" s="333"/>
      <c r="X81" s="333"/>
      <c r="Y81" s="333"/>
      <c r="Z81" s="333"/>
      <c r="AA81" s="333"/>
      <c r="AB81" s="333"/>
      <c r="AC81" s="333"/>
      <c r="AD81" s="333"/>
      <c r="AE81" s="333"/>
      <c r="AF81" s="333"/>
      <c r="AG81" s="333"/>
      <c r="AH81" s="333"/>
      <c r="AI81" s="333"/>
      <c r="AJ81" s="333"/>
      <c r="AK81" s="333"/>
      <c r="AL81" s="333"/>
      <c r="AM81" s="333"/>
      <c r="AN81" s="333"/>
      <c r="AO81" s="333"/>
      <c r="AP81" s="333"/>
      <c r="AQ81" s="333"/>
      <c r="AR81" s="333"/>
      <c r="AS81" s="333"/>
      <c r="AT81" s="333"/>
      <c r="AU81" s="333"/>
      <c r="AV81" s="333"/>
      <c r="AW81" s="333"/>
      <c r="AX81" s="333"/>
      <c r="AY81" s="333"/>
      <c r="AZ81" s="333"/>
      <c r="BA81" s="333"/>
      <c r="BB81" s="333"/>
      <c r="BC81" s="333"/>
      <c r="BD81" s="333"/>
      <c r="BE81" s="333"/>
      <c r="BF81" s="333"/>
      <c r="BG81" s="333"/>
      <c r="BH81" s="333"/>
      <c r="BI81" s="333"/>
      <c r="BJ81" s="333"/>
      <c r="BK81" s="333"/>
      <c r="BL81" s="333"/>
      <c r="BM81" s="333"/>
      <c r="BN81" s="333"/>
      <c r="BO81" s="333"/>
      <c r="BP81" s="333"/>
      <c r="BQ81" s="333"/>
      <c r="BR81" s="333"/>
      <c r="BS81" s="333"/>
      <c r="BT81" s="333"/>
      <c r="BU81" s="333"/>
      <c r="BV81" s="333"/>
      <c r="BW81" s="333"/>
      <c r="BX81" s="333"/>
      <c r="BY81" s="333"/>
      <c r="BZ81" s="333"/>
      <c r="CA81" s="333"/>
      <c r="CB81" s="333"/>
      <c r="CC81" s="333"/>
      <c r="CD81" s="333"/>
      <c r="CE81" s="333"/>
      <c r="CF81" s="333"/>
      <c r="CG81" s="333"/>
      <c r="CH81" s="333"/>
      <c r="CI81" s="333"/>
      <c r="CJ81" s="333"/>
      <c r="CK81" s="333"/>
      <c r="CL81" s="333"/>
      <c r="CM81" s="333"/>
      <c r="CN81" s="333"/>
      <c r="CO81" s="333"/>
      <c r="CP81" s="333"/>
      <c r="CQ81" s="333"/>
      <c r="CR81" s="333"/>
      <c r="CS81" s="333"/>
      <c r="CT81" s="333"/>
      <c r="CU81" s="333"/>
      <c r="CV81" s="333"/>
      <c r="CW81" s="333"/>
      <c r="CX81" s="333"/>
      <c r="CY81" s="333"/>
      <c r="CZ81" s="333"/>
      <c r="DA81" s="333"/>
      <c r="DB81" s="333"/>
      <c r="DC81" s="333"/>
      <c r="DD81" s="333"/>
      <c r="DE81" s="333"/>
      <c r="DF81" s="333"/>
      <c r="DG81" s="333"/>
      <c r="DH81" s="333"/>
      <c r="DI81" s="333"/>
      <c r="DJ81" s="333"/>
      <c r="DK81" s="333"/>
      <c r="DL81" s="333"/>
      <c r="DM81" s="333"/>
      <c r="DN81" s="333"/>
      <c r="DO81" s="333"/>
      <c r="DP81" s="333"/>
      <c r="DQ81" s="333"/>
      <c r="DR81" s="333"/>
      <c r="DS81" s="333"/>
      <c r="DT81" s="333"/>
      <c r="DU81" s="359"/>
      <c r="DV81" s="359"/>
      <c r="DW81" s="359"/>
      <c r="DX81" s="359"/>
      <c r="DY81" s="359"/>
      <c r="DZ81" s="359"/>
      <c r="EA81" s="359"/>
      <c r="EB81" s="359"/>
      <c r="EC81" s="769">
        <f t="shared" si="166"/>
        <v>340</v>
      </c>
      <c r="ED81" s="889">
        <f>GE221</f>
        <v>0</v>
      </c>
      <c r="EE81" s="890"/>
      <c r="EF81" s="476">
        <f>GG221</f>
        <v>0</v>
      </c>
      <c r="EG81" s="893">
        <f>GL221</f>
        <v>0</v>
      </c>
      <c r="EH81" s="893"/>
      <c r="EI81" s="506">
        <f>GQ221</f>
        <v>0</v>
      </c>
      <c r="EJ81" s="373"/>
      <c r="EK81" s="373"/>
      <c r="EL81" s="366"/>
      <c r="EM81" s="368"/>
      <c r="EN81" s="365"/>
      <c r="EO81" s="353">
        <f>+IF(EO79= 0, 0, GG77)</f>
        <v>0</v>
      </c>
      <c r="EP81" s="350"/>
      <c r="EQ81" s="344"/>
      <c r="ER81" s="523"/>
      <c r="ES81" s="921">
        <f>IF(ER81 = "", 0,
IF(AND(EP81 &gt; 0, EQ81 &gt;0), 0, IF(EO77 &lt;&gt; $Z$1,
IF(AND(EP81 &lt;&gt; "", EP81 &lt;&gt; 0), -(EP81 * ER81 * 100),
IF(AND(EQ81 &lt;&gt; "", EQ81 &lt;&gt; 0), (EQ81 * ER81 * 100), 0)),
IF(AND(EP81 &lt;&gt; "", EP81 &lt;&gt; 0), -(EP81 * ER81 * 1),
IF(AND(EQ81 &lt;&gt; "", EQ81 &lt;&gt; 0), (EQ81 * ER81 * 1), 0))  )))</f>
        <v>0</v>
      </c>
      <c r="ET81" s="922"/>
      <c r="EU81" s="924"/>
      <c r="EV81" s="921">
        <f>IF(ER81 = "", 0,
IF(AND(EP81 &gt; 0, EQ81 &gt;0), 0,  IF(EO77 &lt;&gt; $Z$1,
IF(AND(EP81 &lt;&gt; "", EP81 &lt;&gt; 0), -(EP81 * ER81 * 100 * (1 + COMIS_OPCION)),
IF(AND(EQ81 &lt;&gt; "", EQ81 &lt;&gt; 0), (EQ81 * ER81 * 100 * (1 - COMIS_OPCION)), 0)),
IF(AND(EP81 &lt;&gt; "", EP81 &lt;&gt; 0), -(EP81 * ER81 * 1 * (1 + COMIS_ACCION)),
IF(AND(EQ81 &lt;&gt; "", EQ81 &lt;&gt; 0), (EQ81 * ER81 * 1 * (1 - COMIS_ACCION)), 0))  )))</f>
        <v>0</v>
      </c>
      <c r="EW81" s="922"/>
      <c r="EX81" s="922"/>
      <c r="EY81" s="922"/>
      <c r="EZ81" s="922"/>
      <c r="FA81" s="922"/>
      <c r="FB81" s="922"/>
      <c r="FC81" s="922"/>
      <c r="FD81" s="923"/>
      <c r="FE81" s="340"/>
      <c r="FF81" s="340"/>
      <c r="FG81" s="365"/>
      <c r="FH81" s="365"/>
      <c r="FI81" s="349">
        <f>+IF(FI79= 0, 0, GQ77)</f>
        <v>0</v>
      </c>
      <c r="FJ81" s="348"/>
      <c r="FK81" s="345"/>
      <c r="FL81" s="346"/>
      <c r="FM81" s="937">
        <f>IF(FL81 = "", 0,
IF(AND(FJ81 &gt; 0, FK81 &gt;0), 0,
IF(AND(FJ81 &lt;&gt; "", FJ81 &lt;&gt; 0), -(FJ81 * FL81 * 100),
IF(AND(FK81 &lt;&gt; "", FK81 &lt;&gt; 0), (FK81 * FL81 * 100), 0)) ))</f>
        <v>0</v>
      </c>
      <c r="FN81" s="938"/>
      <c r="FO81" s="939"/>
      <c r="FP81" s="937">
        <f>IF(FL81 = "", 0,
IF(AND(FJ81 &gt; 0, FK81 &gt;0), 0,
IF(AND(FJ81 &lt;&gt; "", FJ81 &lt;&gt; 0), -(FJ81 * FL81 * 100 * (1 + COMIS_OPCION)),
IF(AND(FK81 &lt;&gt; "", FK81 &lt;&gt; 0), (FK81 * FL81 * 100 * (1 - COMIS_OPCION)), 0)) ))</f>
        <v>0</v>
      </c>
      <c r="FQ81" s="938"/>
      <c r="FR81" s="938"/>
      <c r="FS81" s="938"/>
      <c r="FT81" s="938"/>
      <c r="FU81" s="938"/>
      <c r="FV81" s="938"/>
      <c r="FW81" s="938"/>
      <c r="FX81" s="969"/>
      <c r="FY81" s="341"/>
      <c r="FZ81" s="341"/>
      <c r="GA81" s="341"/>
      <c r="GB81" s="495">
        <v>0</v>
      </c>
      <c r="GC81" s="495">
        <v>0</v>
      </c>
      <c r="GD81" s="500"/>
      <c r="GE81" s="495">
        <v>0</v>
      </c>
      <c r="GF81" s="495">
        <v>0</v>
      </c>
      <c r="GG81" s="495">
        <v>0</v>
      </c>
      <c r="GH81" s="359"/>
      <c r="GI81" s="359"/>
      <c r="GJ81" s="501"/>
      <c r="GK81" s="495">
        <v>0</v>
      </c>
      <c r="GL81" s="495">
        <v>0</v>
      </c>
      <c r="GM81" s="495">
        <v>0</v>
      </c>
      <c r="GN81" s="359"/>
      <c r="GO81" s="359"/>
      <c r="GP81" s="501"/>
      <c r="GQ81" s="495">
        <v>0</v>
      </c>
      <c r="GR81" s="359"/>
      <c r="GS81" s="333"/>
      <c r="GT81" s="333"/>
      <c r="GU81" s="333"/>
      <c r="GV81" s="333"/>
      <c r="GW81" s="333"/>
      <c r="GX81" s="333"/>
      <c r="GY81" s="333"/>
      <c r="GZ81" s="333"/>
      <c r="HA81" s="333"/>
      <c r="HB81" s="333"/>
      <c r="HC81" s="333"/>
      <c r="HD81" s="333"/>
      <c r="HE81" s="333"/>
      <c r="HF81" s="333"/>
      <c r="HG81" s="331"/>
      <c r="HH81" s="331"/>
      <c r="HI81" s="331"/>
      <c r="HJ81" s="331"/>
      <c r="HK81" s="331"/>
      <c r="HL81" s="331"/>
      <c r="HM81" s="331"/>
      <c r="HN81" s="333"/>
      <c r="HO81" s="333"/>
      <c r="HP81" s="333"/>
      <c r="HQ81" s="333"/>
      <c r="HR81" s="333"/>
      <c r="HS81" s="333"/>
      <c r="HT81" s="333"/>
      <c r="HU81" s="333"/>
      <c r="HV81" s="333"/>
      <c r="HW81" s="333"/>
      <c r="HX81" s="333"/>
      <c r="HY81" s="333"/>
      <c r="HZ81" s="333"/>
      <c r="IA81" s="333"/>
      <c r="IB81" s="333"/>
      <c r="IC81" s="333"/>
      <c r="ID81" s="55"/>
      <c r="IE81" s="47"/>
      <c r="IH81" s="111">
        <f t="shared" si="175"/>
        <v>0</v>
      </c>
      <c r="II81" s="111">
        <f t="shared" si="168"/>
        <v>0</v>
      </c>
      <c r="IJ81" s="146">
        <v>26</v>
      </c>
      <c r="IK81" s="151">
        <f t="shared" si="180"/>
        <v>310</v>
      </c>
      <c r="IL81" s="106">
        <f t="shared" si="180"/>
        <v>0.47865490102551878</v>
      </c>
      <c r="IM81" s="110">
        <f t="shared" si="180"/>
        <v>310</v>
      </c>
      <c r="IN81" s="111">
        <f t="shared" si="170"/>
        <v>0</v>
      </c>
      <c r="IO81" s="50">
        <f t="shared" si="181"/>
        <v>0</v>
      </c>
      <c r="IP81" s="50">
        <f t="shared" si="181"/>
        <v>0</v>
      </c>
      <c r="IQ81" s="50">
        <f t="shared" si="181"/>
        <v>0</v>
      </c>
      <c r="IR81" s="50">
        <f t="shared" si="181"/>
        <v>0</v>
      </c>
      <c r="IS81" s="50">
        <f t="shared" si="181"/>
        <v>0</v>
      </c>
      <c r="IT81" s="50">
        <f t="shared" si="181"/>
        <v>0</v>
      </c>
      <c r="IU81" s="50">
        <f t="shared" si="181"/>
        <v>0</v>
      </c>
      <c r="IV81" s="50">
        <f t="shared" si="181"/>
        <v>0</v>
      </c>
      <c r="IW81" s="50">
        <f t="shared" si="181"/>
        <v>0</v>
      </c>
      <c r="IX81" s="50">
        <f t="shared" si="181"/>
        <v>0</v>
      </c>
      <c r="IY81" s="50">
        <f t="shared" si="182"/>
        <v>0</v>
      </c>
      <c r="IZ81" s="50">
        <f t="shared" si="182"/>
        <v>0</v>
      </c>
      <c r="JA81" s="50">
        <f t="shared" si="182"/>
        <v>0</v>
      </c>
      <c r="JB81" s="50">
        <f t="shared" si="182"/>
        <v>0</v>
      </c>
      <c r="JC81" s="50">
        <f t="shared" si="182"/>
        <v>0</v>
      </c>
      <c r="JD81" s="50">
        <f t="shared" si="182"/>
        <v>0</v>
      </c>
      <c r="JE81" s="50">
        <f t="shared" si="182"/>
        <v>0</v>
      </c>
      <c r="JF81" s="50">
        <f t="shared" si="182"/>
        <v>0</v>
      </c>
      <c r="JG81" s="50">
        <f t="shared" si="182"/>
        <v>0</v>
      </c>
      <c r="JH81" s="50">
        <f t="shared" si="182"/>
        <v>0</v>
      </c>
      <c r="JI81" s="50">
        <f t="shared" si="183"/>
        <v>0</v>
      </c>
      <c r="JJ81" s="50">
        <f t="shared" si="183"/>
        <v>0</v>
      </c>
      <c r="JK81" s="50">
        <f t="shared" si="183"/>
        <v>0</v>
      </c>
      <c r="JL81" s="50">
        <f t="shared" si="183"/>
        <v>0</v>
      </c>
      <c r="JM81" s="50">
        <f t="shared" si="183"/>
        <v>0</v>
      </c>
      <c r="JN81" s="50">
        <f t="shared" si="183"/>
        <v>0</v>
      </c>
      <c r="JO81" s="50">
        <f t="shared" si="183"/>
        <v>0</v>
      </c>
      <c r="JP81" s="50">
        <f t="shared" si="183"/>
        <v>0</v>
      </c>
      <c r="JQ81" s="50">
        <f t="shared" si="183"/>
        <v>0</v>
      </c>
      <c r="JR81" s="50">
        <f t="shared" si="183"/>
        <v>0</v>
      </c>
      <c r="JS81" s="50">
        <f t="shared" si="184"/>
        <v>0</v>
      </c>
      <c r="JT81" s="50">
        <f t="shared" si="184"/>
        <v>0</v>
      </c>
      <c r="JU81" s="50" t="str">
        <f t="shared" si="184"/>
        <v/>
      </c>
      <c r="JV81" s="50" t="str">
        <f t="shared" si="184"/>
        <v/>
      </c>
      <c r="JW81" s="50" t="str">
        <f t="shared" si="184"/>
        <v/>
      </c>
      <c r="JX81" s="50" t="str">
        <f t="shared" si="184"/>
        <v/>
      </c>
      <c r="JY81" s="50" t="str">
        <f t="shared" si="184"/>
        <v/>
      </c>
      <c r="JZ81" s="50" t="str">
        <f t="shared" si="184"/>
        <v/>
      </c>
      <c r="KA81" s="50" t="str">
        <f t="shared" si="184"/>
        <v/>
      </c>
      <c r="KB81" s="50" t="str">
        <f t="shared" si="184"/>
        <v/>
      </c>
      <c r="KC81" s="50" t="str">
        <f t="shared" si="184"/>
        <v/>
      </c>
      <c r="KD81" s="50" t="str">
        <f t="shared" si="184"/>
        <v/>
      </c>
    </row>
    <row r="82" spans="13:290" s="142" customFormat="1" ht="15" customHeight="1" thickBot="1">
      <c r="M82" s="333"/>
      <c r="N82" s="333"/>
      <c r="O82" s="333"/>
      <c r="P82" s="333"/>
      <c r="Q82" s="333"/>
      <c r="R82" s="333"/>
      <c r="S82" s="333"/>
      <c r="T82" s="333"/>
      <c r="U82" s="333"/>
      <c r="V82" s="333"/>
      <c r="W82" s="333"/>
      <c r="X82" s="333"/>
      <c r="Y82" s="333"/>
      <c r="Z82" s="333"/>
      <c r="AA82" s="333"/>
      <c r="AB82" s="333"/>
      <c r="AC82" s="333"/>
      <c r="AD82" s="333"/>
      <c r="AE82" s="333"/>
      <c r="AF82" s="333"/>
      <c r="AG82" s="333"/>
      <c r="AH82" s="333"/>
      <c r="AI82" s="333"/>
      <c r="AJ82" s="333"/>
      <c r="AK82" s="333"/>
      <c r="AL82" s="333"/>
      <c r="AM82" s="333"/>
      <c r="AN82" s="333"/>
      <c r="AO82" s="333"/>
      <c r="AP82" s="333"/>
      <c r="AQ82" s="333"/>
      <c r="AR82" s="333"/>
      <c r="AS82" s="333"/>
      <c r="AT82" s="333"/>
      <c r="AU82" s="333"/>
      <c r="AV82" s="333"/>
      <c r="AW82" s="333"/>
      <c r="AX82" s="333"/>
      <c r="AY82" s="333"/>
      <c r="AZ82" s="333"/>
      <c r="BA82" s="333"/>
      <c r="BB82" s="333"/>
      <c r="BC82" s="333"/>
      <c r="BD82" s="333"/>
      <c r="BE82" s="333"/>
      <c r="BF82" s="333"/>
      <c r="BG82" s="333"/>
      <c r="BH82" s="333"/>
      <c r="BI82" s="333"/>
      <c r="BJ82" s="333"/>
      <c r="BK82" s="333"/>
      <c r="BL82" s="333"/>
      <c r="BM82" s="333"/>
      <c r="BN82" s="333"/>
      <c r="BO82" s="333"/>
      <c r="BP82" s="333"/>
      <c r="BQ82" s="333"/>
      <c r="BR82" s="333"/>
      <c r="BS82" s="333"/>
      <c r="BT82" s="333"/>
      <c r="BU82" s="333"/>
      <c r="BV82" s="333"/>
      <c r="BW82" s="333"/>
      <c r="BX82" s="333"/>
      <c r="BY82" s="333"/>
      <c r="BZ82" s="333"/>
      <c r="CA82" s="333"/>
      <c r="CB82" s="333"/>
      <c r="CC82" s="333"/>
      <c r="CD82" s="333"/>
      <c r="CE82" s="333"/>
      <c r="CF82" s="333"/>
      <c r="CG82" s="333"/>
      <c r="CH82" s="333"/>
      <c r="CI82" s="333"/>
      <c r="CJ82" s="333"/>
      <c r="CK82" s="333"/>
      <c r="CL82" s="333"/>
      <c r="CM82" s="333"/>
      <c r="CN82" s="333"/>
      <c r="CO82" s="333"/>
      <c r="CP82" s="333"/>
      <c r="CQ82" s="333"/>
      <c r="CR82" s="333"/>
      <c r="CS82" s="333"/>
      <c r="CT82" s="333"/>
      <c r="CU82" s="333"/>
      <c r="CV82" s="333"/>
      <c r="CW82" s="333"/>
      <c r="CX82" s="333"/>
      <c r="CY82" s="333"/>
      <c r="CZ82" s="333"/>
      <c r="DA82" s="333"/>
      <c r="DB82" s="333"/>
      <c r="DC82" s="333"/>
      <c r="DD82" s="333"/>
      <c r="DE82" s="333"/>
      <c r="DF82" s="333"/>
      <c r="DG82" s="333"/>
      <c r="DH82" s="333"/>
      <c r="DI82" s="333"/>
      <c r="DJ82" s="333"/>
      <c r="DK82" s="333"/>
      <c r="DL82" s="333"/>
      <c r="DM82" s="333"/>
      <c r="DN82" s="333"/>
      <c r="DO82" s="333"/>
      <c r="DP82" s="333"/>
      <c r="DQ82" s="333"/>
      <c r="DR82" s="333"/>
      <c r="DS82" s="333"/>
      <c r="DT82" s="333"/>
      <c r="DU82" s="359"/>
      <c r="DV82" s="359"/>
      <c r="DW82" s="359"/>
      <c r="DX82" s="359"/>
      <c r="DY82" s="359"/>
      <c r="DZ82" s="359"/>
      <c r="EA82" s="359"/>
      <c r="EB82" s="359"/>
      <c r="EC82" s="769">
        <f t="shared" si="166"/>
        <v>350</v>
      </c>
      <c r="ED82" s="889">
        <f>GE227</f>
        <v>0</v>
      </c>
      <c r="EE82" s="890"/>
      <c r="EF82" s="476">
        <f>GG227</f>
        <v>0</v>
      </c>
      <c r="EG82" s="893">
        <f>GL227</f>
        <v>0</v>
      </c>
      <c r="EH82" s="893"/>
      <c r="EI82" s="506">
        <f>GQ227</f>
        <v>0</v>
      </c>
      <c r="EJ82" s="373"/>
      <c r="EK82" s="373"/>
      <c r="EL82" s="366"/>
      <c r="EM82" s="369"/>
      <c r="EN82" s="364"/>
      <c r="EO82" s="363"/>
      <c r="EP82" s="340"/>
      <c r="EQ82" s="340"/>
      <c r="ER82" s="340"/>
      <c r="ES82" s="363"/>
      <c r="ET82" s="363"/>
      <c r="EU82" s="340"/>
      <c r="EV82" s="340"/>
      <c r="EW82" s="340"/>
      <c r="EX82" s="340"/>
      <c r="EY82" s="340"/>
      <c r="EZ82" s="340"/>
      <c r="FA82" s="340"/>
      <c r="FB82" s="402"/>
      <c r="FC82" s="402"/>
      <c r="FD82" s="340"/>
      <c r="FE82" s="340"/>
      <c r="FF82" s="340"/>
      <c r="FG82" s="364"/>
      <c r="FH82" s="364"/>
      <c r="FI82" s="363"/>
      <c r="FJ82" s="360"/>
      <c r="FK82" s="360"/>
      <c r="FL82" s="340"/>
      <c r="FM82" s="967"/>
      <c r="FN82" s="967"/>
      <c r="FO82" s="967"/>
      <c r="FP82" s="968"/>
      <c r="FQ82" s="968"/>
      <c r="FR82" s="968"/>
      <c r="FS82" s="968"/>
      <c r="FT82" s="968"/>
      <c r="FU82" s="968"/>
      <c r="FV82" s="968"/>
      <c r="FW82" s="968"/>
      <c r="FX82" s="968"/>
      <c r="FY82" s="341"/>
      <c r="FZ82" s="341"/>
      <c r="GA82" s="341"/>
      <c r="GB82" s="495">
        <v>0</v>
      </c>
      <c r="GC82" s="495">
        <v>0</v>
      </c>
      <c r="GD82" s="500"/>
      <c r="GE82" s="495">
        <v>0</v>
      </c>
      <c r="GF82" s="495">
        <v>0</v>
      </c>
      <c r="GG82" s="495">
        <v>0</v>
      </c>
      <c r="GH82" s="359"/>
      <c r="GI82" s="359"/>
      <c r="GJ82" s="501"/>
      <c r="GK82" s="495">
        <v>0</v>
      </c>
      <c r="GL82" s="495">
        <v>0</v>
      </c>
      <c r="GM82" s="495">
        <v>0</v>
      </c>
      <c r="GN82" s="359"/>
      <c r="GO82" s="359"/>
      <c r="GP82" s="501"/>
      <c r="GQ82" s="495">
        <v>0</v>
      </c>
      <c r="GR82" s="359"/>
      <c r="GS82" s="333"/>
      <c r="GT82" s="333"/>
      <c r="GU82" s="333"/>
      <c r="GV82" s="333"/>
      <c r="GW82" s="333"/>
      <c r="GX82" s="333"/>
      <c r="GY82" s="333"/>
      <c r="GZ82" s="333"/>
      <c r="HA82" s="333"/>
      <c r="HB82" s="333"/>
      <c r="HC82" s="333"/>
      <c r="HD82" s="333"/>
      <c r="HE82" s="333"/>
      <c r="HF82" s="333"/>
      <c r="HG82" s="331"/>
      <c r="HH82" s="331"/>
      <c r="HI82" s="331"/>
      <c r="HJ82" s="331"/>
      <c r="HK82" s="331"/>
      <c r="HL82" s="331"/>
      <c r="HM82" s="331"/>
      <c r="HN82" s="333"/>
      <c r="HO82" s="333"/>
      <c r="HP82" s="333"/>
      <c r="HQ82" s="333"/>
      <c r="HR82" s="333"/>
      <c r="HS82" s="333"/>
      <c r="HT82" s="333"/>
      <c r="HU82" s="333"/>
      <c r="HV82" s="333"/>
      <c r="HW82" s="333"/>
      <c r="HX82" s="333"/>
      <c r="HY82" s="333"/>
      <c r="HZ82" s="333"/>
      <c r="IA82" s="333"/>
      <c r="IB82" s="333"/>
      <c r="IC82" s="333"/>
      <c r="ID82" s="55"/>
      <c r="IE82" s="47"/>
      <c r="IH82" s="111">
        <f t="shared" si="175"/>
        <v>0</v>
      </c>
      <c r="II82" s="111">
        <f t="shared" si="168"/>
        <v>0</v>
      </c>
      <c r="IJ82" s="146">
        <v>27</v>
      </c>
      <c r="IK82" s="151">
        <f t="shared" si="180"/>
        <v>320</v>
      </c>
      <c r="IL82" s="106">
        <f t="shared" si="180"/>
        <v>0.52635344621989022</v>
      </c>
      <c r="IM82" s="110">
        <f t="shared" si="180"/>
        <v>320</v>
      </c>
      <c r="IN82" s="111">
        <f t="shared" si="170"/>
        <v>0</v>
      </c>
      <c r="IO82" s="50">
        <f t="shared" si="181"/>
        <v>0</v>
      </c>
      <c r="IP82" s="50">
        <f t="shared" si="181"/>
        <v>0</v>
      </c>
      <c r="IQ82" s="50">
        <f t="shared" si="181"/>
        <v>0</v>
      </c>
      <c r="IR82" s="50">
        <f t="shared" si="181"/>
        <v>0</v>
      </c>
      <c r="IS82" s="50">
        <f t="shared" si="181"/>
        <v>0</v>
      </c>
      <c r="IT82" s="50">
        <f t="shared" si="181"/>
        <v>0</v>
      </c>
      <c r="IU82" s="50">
        <f t="shared" si="181"/>
        <v>0</v>
      </c>
      <c r="IV82" s="50">
        <f t="shared" si="181"/>
        <v>0</v>
      </c>
      <c r="IW82" s="50">
        <f t="shared" si="181"/>
        <v>0</v>
      </c>
      <c r="IX82" s="50">
        <f t="shared" si="181"/>
        <v>0</v>
      </c>
      <c r="IY82" s="50">
        <f t="shared" si="182"/>
        <v>0</v>
      </c>
      <c r="IZ82" s="50">
        <f t="shared" si="182"/>
        <v>0</v>
      </c>
      <c r="JA82" s="50">
        <f t="shared" si="182"/>
        <v>0</v>
      </c>
      <c r="JB82" s="50">
        <f t="shared" si="182"/>
        <v>0</v>
      </c>
      <c r="JC82" s="50">
        <f t="shared" si="182"/>
        <v>0</v>
      </c>
      <c r="JD82" s="50">
        <f t="shared" si="182"/>
        <v>0</v>
      </c>
      <c r="JE82" s="50">
        <f t="shared" si="182"/>
        <v>0</v>
      </c>
      <c r="JF82" s="50">
        <f t="shared" si="182"/>
        <v>0</v>
      </c>
      <c r="JG82" s="50">
        <f t="shared" si="182"/>
        <v>0</v>
      </c>
      <c r="JH82" s="50">
        <f t="shared" si="182"/>
        <v>0</v>
      </c>
      <c r="JI82" s="50">
        <f t="shared" si="183"/>
        <v>0</v>
      </c>
      <c r="JJ82" s="50">
        <f t="shared" si="183"/>
        <v>0</v>
      </c>
      <c r="JK82" s="50">
        <f t="shared" si="183"/>
        <v>0</v>
      </c>
      <c r="JL82" s="50">
        <f t="shared" si="183"/>
        <v>0</v>
      </c>
      <c r="JM82" s="50">
        <f t="shared" si="183"/>
        <v>0</v>
      </c>
      <c r="JN82" s="50">
        <f t="shared" si="183"/>
        <v>0</v>
      </c>
      <c r="JO82" s="50">
        <f t="shared" si="183"/>
        <v>0</v>
      </c>
      <c r="JP82" s="50">
        <f t="shared" si="183"/>
        <v>0</v>
      </c>
      <c r="JQ82" s="50">
        <f t="shared" si="183"/>
        <v>0</v>
      </c>
      <c r="JR82" s="50">
        <f t="shared" si="183"/>
        <v>0</v>
      </c>
      <c r="JS82" s="50">
        <f t="shared" si="184"/>
        <v>0</v>
      </c>
      <c r="JT82" s="50">
        <f t="shared" si="184"/>
        <v>0</v>
      </c>
      <c r="JU82" s="50" t="str">
        <f t="shared" si="184"/>
        <v/>
      </c>
      <c r="JV82" s="50" t="str">
        <f t="shared" si="184"/>
        <v/>
      </c>
      <c r="JW82" s="50" t="str">
        <f t="shared" si="184"/>
        <v/>
      </c>
      <c r="JX82" s="50" t="str">
        <f t="shared" si="184"/>
        <v/>
      </c>
      <c r="JY82" s="50" t="str">
        <f t="shared" si="184"/>
        <v/>
      </c>
      <c r="JZ82" s="50" t="str">
        <f t="shared" si="184"/>
        <v/>
      </c>
      <c r="KA82" s="50" t="str">
        <f t="shared" si="184"/>
        <v/>
      </c>
      <c r="KB82" s="50" t="str">
        <f t="shared" si="184"/>
        <v/>
      </c>
      <c r="KC82" s="50" t="str">
        <f t="shared" si="184"/>
        <v/>
      </c>
      <c r="KD82" s="50" t="str">
        <f t="shared" si="184"/>
        <v/>
      </c>
    </row>
    <row r="83" spans="13:290" s="142" customFormat="1" ht="15" customHeight="1">
      <c r="M83" s="333"/>
      <c r="N83" s="333"/>
      <c r="O83" s="333"/>
      <c r="P83" s="333"/>
      <c r="Q83" s="333"/>
      <c r="R83" s="333"/>
      <c r="S83" s="333"/>
      <c r="T83" s="333"/>
      <c r="U83" s="333"/>
      <c r="V83" s="333"/>
      <c r="W83" s="333"/>
      <c r="X83" s="333"/>
      <c r="Y83" s="333"/>
      <c r="Z83" s="333"/>
      <c r="AA83" s="333"/>
      <c r="AB83" s="333"/>
      <c r="AC83" s="333"/>
      <c r="AD83" s="333"/>
      <c r="AE83" s="333"/>
      <c r="AF83" s="333"/>
      <c r="AG83" s="333"/>
      <c r="AH83" s="333"/>
      <c r="AI83" s="333"/>
      <c r="AJ83" s="333"/>
      <c r="AK83" s="333"/>
      <c r="AL83" s="333"/>
      <c r="AM83" s="333"/>
      <c r="AN83" s="333"/>
      <c r="AO83" s="333"/>
      <c r="AP83" s="333"/>
      <c r="AQ83" s="333"/>
      <c r="AR83" s="333"/>
      <c r="AS83" s="333"/>
      <c r="AT83" s="333"/>
      <c r="AU83" s="333"/>
      <c r="AV83" s="333"/>
      <c r="AW83" s="333"/>
      <c r="AX83" s="333"/>
      <c r="AY83" s="333"/>
      <c r="AZ83" s="333"/>
      <c r="BA83" s="333"/>
      <c r="BB83" s="333"/>
      <c r="BC83" s="333"/>
      <c r="BD83" s="333"/>
      <c r="BE83" s="333"/>
      <c r="BF83" s="333"/>
      <c r="BG83" s="333"/>
      <c r="BH83" s="333"/>
      <c r="BI83" s="333"/>
      <c r="BJ83" s="333"/>
      <c r="BK83" s="333"/>
      <c r="BL83" s="333"/>
      <c r="BM83" s="333"/>
      <c r="BN83" s="333"/>
      <c r="BO83" s="333"/>
      <c r="BP83" s="333"/>
      <c r="BQ83" s="333"/>
      <c r="BR83" s="333"/>
      <c r="BS83" s="333"/>
      <c r="BT83" s="333"/>
      <c r="BU83" s="333"/>
      <c r="BV83" s="333"/>
      <c r="BW83" s="333"/>
      <c r="BX83" s="333"/>
      <c r="BY83" s="333"/>
      <c r="BZ83" s="333"/>
      <c r="CA83" s="333"/>
      <c r="CB83" s="333"/>
      <c r="CC83" s="333"/>
      <c r="CD83" s="333"/>
      <c r="CE83" s="333"/>
      <c r="CF83" s="333"/>
      <c r="CG83" s="333"/>
      <c r="CH83" s="333"/>
      <c r="CI83" s="333"/>
      <c r="CJ83" s="333"/>
      <c r="CK83" s="333"/>
      <c r="CL83" s="333"/>
      <c r="CM83" s="333"/>
      <c r="CN83" s="333"/>
      <c r="CO83" s="333"/>
      <c r="CP83" s="333"/>
      <c r="CQ83" s="333"/>
      <c r="CR83" s="333"/>
      <c r="CS83" s="333"/>
      <c r="CT83" s="333"/>
      <c r="CU83" s="333"/>
      <c r="CV83" s="333"/>
      <c r="CW83" s="333"/>
      <c r="CX83" s="333"/>
      <c r="CY83" s="333"/>
      <c r="CZ83" s="333"/>
      <c r="DA83" s="333"/>
      <c r="DB83" s="333"/>
      <c r="DC83" s="333"/>
      <c r="DD83" s="333"/>
      <c r="DE83" s="333"/>
      <c r="DF83" s="333"/>
      <c r="DG83" s="333"/>
      <c r="DH83" s="333"/>
      <c r="DI83" s="333"/>
      <c r="DJ83" s="333"/>
      <c r="DK83" s="333"/>
      <c r="DL83" s="333"/>
      <c r="DM83" s="333"/>
      <c r="DN83" s="333"/>
      <c r="DO83" s="333"/>
      <c r="DP83" s="333"/>
      <c r="DQ83" s="333"/>
      <c r="DR83" s="333"/>
      <c r="DS83" s="333"/>
      <c r="DT83" s="333"/>
      <c r="DU83" s="359"/>
      <c r="DV83" s="359"/>
      <c r="DW83" s="359"/>
      <c r="DX83" s="359"/>
      <c r="DY83" s="359"/>
      <c r="DZ83" s="359"/>
      <c r="EA83" s="359"/>
      <c r="EB83" s="359"/>
      <c r="EC83" s="769">
        <f t="shared" si="166"/>
        <v>360</v>
      </c>
      <c r="ED83" s="889">
        <f>GE233</f>
        <v>0</v>
      </c>
      <c r="EE83" s="890"/>
      <c r="EF83" s="476">
        <f>GG233</f>
        <v>0</v>
      </c>
      <c r="EG83" s="893">
        <f>GL233</f>
        <v>0</v>
      </c>
      <c r="EH83" s="893"/>
      <c r="EI83" s="506">
        <f>GQ233</f>
        <v>0</v>
      </c>
      <c r="EJ83" s="373"/>
      <c r="EK83" s="373"/>
      <c r="EL83" s="366"/>
      <c r="EM83" s="366"/>
      <c r="EN83" s="364">
        <f>+EN77+1</f>
        <v>6</v>
      </c>
      <c r="EO83" s="356">
        <f>+VLOOKUP(EN83, PRECIOS_EJERCICIOS,  2,FALSE)</f>
        <v>155</v>
      </c>
      <c r="EP83" s="513" t="str">
        <f>+IF($AQ$49 = FALSE, "",
IF(VLOOKUP(EO83, basesCantPrimaBrutoRes, 2,FALSE) &gt;= 0, VLOOKUP(EO83, basesCantPrimaBrutoRes, 2,FALSE), 0))</f>
        <v/>
      </c>
      <c r="EQ83" s="514" t="str">
        <f>+IF($AQ$49 = FALSE, "",
IF(VLOOKUP(EO83, basesCantPrimaBrutoRes, 2,FALSE) &lt; 0, -VLOOKUP(EO83, basesCantPrimaBrutoRes, 2,FALSE), 0))</f>
        <v/>
      </c>
      <c r="ER83" s="521" t="str">
        <f>IF($AQ$49 = FALSE, "",
VLOOKUP(EO83, basesCantPrimaBrutoRes, 4,FALSE))</f>
        <v/>
      </c>
      <c r="ES83" s="926">
        <f>IF(ER83 = "", 0,
IF(AND(EP83 &gt; 0, EQ83 &gt;0), 0, IF(EO83 &lt;&gt; $Z$1,
IF(AND(EP83 &lt;&gt; "", EP83 &lt;&gt; 0), -(EP83 * ER83 * 100),
IF(AND(EQ83 &lt;&gt; "", EQ83 &lt;&gt; 0), (EQ83 * ER83 * 100), 0)),
IF(AND(EP83 &lt;&gt; "", EP83 &lt;&gt; 0), -(EP83 * ER83 * 1),
IF(AND(EQ83 &lt;&gt; "", EQ83 &lt;&gt; 0), (EQ83 * ER83 * 1), 0))  )))</f>
        <v>0</v>
      </c>
      <c r="ET83" s="927"/>
      <c r="EU83" s="928"/>
      <c r="EV83" s="926">
        <f>IF(ER83 = "", 0,
IF(AND(EP83 &gt; 0, EQ83 &gt;0), 0,  IF(EO83 &lt;&gt; $Z$1,
IF(AND(EP83 &lt;&gt; "", EP83 &lt;&gt; 0), -(EP83 * ER83 * 100 * (1 + COMIS_OPCION)),
IF(AND(EQ83 &lt;&gt; "", EQ83 &lt;&gt; 0), (EQ83 * ER83 * 100 * (1 - COMIS_OPCION)), 0)),
IF(AND(EP83 &lt;&gt; "", EP83 &lt;&gt; 0), -(EP83 * ER83 * 1 * (1 + COMIS_ACCION)),
IF(AND(EQ83 &lt;&gt; "", EQ83 &lt;&gt; 0), (EQ83 * ER83 * 1 * (1 - COMIS_ACCION)), 0))  )))</f>
        <v>0</v>
      </c>
      <c r="EW83" s="927"/>
      <c r="EX83" s="927"/>
      <c r="EY83" s="927"/>
      <c r="EZ83" s="927"/>
      <c r="FA83" s="927"/>
      <c r="FB83" s="927"/>
      <c r="FC83" s="927"/>
      <c r="FD83" s="929"/>
      <c r="FE83" s="340"/>
      <c r="FF83" s="340"/>
      <c r="FG83" s="364"/>
      <c r="FH83" s="364">
        <f>+FH77+1</f>
        <v>6</v>
      </c>
      <c r="FI83" s="357">
        <f>+VLOOKUP(FH83, PRECIOS_EJERCICIOS,  2,FALSE)</f>
        <v>155</v>
      </c>
      <c r="FJ83" s="515" t="str">
        <f>+IF($AQ$49 = FALSE, "",
IF(VLOOKUP(EO83, basesCantPrimaBrutoRes, 5,FALSE) &gt;= 0, VLOOKUP(EO83, basesCantPrimaBrutoRes, 5,FALSE), 0))</f>
        <v/>
      </c>
      <c r="FK83" s="516" t="str">
        <f>+IF($AQ$49 = FALSE, "",
IF(VLOOKUP(EO83, basesCantPrimaBrutoRes, 5,FALSE) &lt; 0, -VLOOKUP(EO83, basesCantPrimaBrutoRes, 5,FALSE), 0))</f>
        <v/>
      </c>
      <c r="FL83" s="517" t="str">
        <f>IF($AQ$49 = FALSE, "",
VLOOKUP(EO83, basesCantPrimaBrutoRes, 7,FALSE))</f>
        <v/>
      </c>
      <c r="FM83" s="934">
        <f>IF(FL83 = "", 0,
IF(AND(FJ83 &gt; 0, FK83 &gt;0), 0,
IF(AND(FJ83 &lt;&gt; "", FJ83 &lt;&gt; 0), -(FJ83 * FL83 * 100),
IF(AND(FK83 &lt;&gt; "", FK83 &lt;&gt; 0), (FK83 * FL83 * 100), 0)) ))</f>
        <v>0</v>
      </c>
      <c r="FN83" s="935"/>
      <c r="FO83" s="936"/>
      <c r="FP83" s="934">
        <f>IF(FL83 = "", 0,
IF(AND(FJ83 &gt; 0, FK83 &gt;0), 0,
IF(AND(FJ83 &lt;&gt; "", FJ83 &lt;&gt; 0), -(FJ83 * FL83 * 100 * (1 + COMIS_OPCION)),
IF(AND(FK83 &lt;&gt; "", FK83 &lt;&gt; 0), (FK83 * FL83 * 100 * (1 - COMIS_OPCION)), 0)) ))</f>
        <v>0</v>
      </c>
      <c r="FQ83" s="935"/>
      <c r="FR83" s="935"/>
      <c r="FS83" s="935"/>
      <c r="FT83" s="935"/>
      <c r="FU83" s="935"/>
      <c r="FV83" s="935"/>
      <c r="FW83" s="935"/>
      <c r="FX83" s="966"/>
      <c r="FY83" s="341"/>
      <c r="FZ83" s="341"/>
      <c r="GA83" s="341"/>
      <c r="GB83" s="495">
        <f>+IF(EN83 = "", "", EO83)</f>
        <v>155</v>
      </c>
      <c r="GC83" s="495" t="str">
        <f>+IF(GB83="", "", IF(EO83 = $Z$1, "ACCION", "CALL"))</f>
        <v>CALL</v>
      </c>
      <c r="GD83" s="500"/>
      <c r="GE83" s="495">
        <f>+IF(GB83= "", "", EO85)</f>
        <v>0</v>
      </c>
      <c r="GF83" s="495">
        <f>+IF(GB83 = "", "", IFERROR(IF(GB83 &lt;&gt; $Z$1,
IF(GE83 &gt; 0, SUMIFS(ES83:ES87, EP83:EP87, "&gt;0", ES83:ES87, "&lt;&gt;0") / SUMIFS(EP83:EP87, EP83:EP87, "&gt;0", ES83:ES87, "&lt;&gt;0") / -100,
IF(GE83 &lt; 0, SUMIFS(ES83:ES87, EQ83:EQ87, "&gt;0", ES83:ES87, "&lt;&gt;0") / SUMIFS(EQ83:EQ87, EQ83:EQ87, "&gt;0", ES83:ES87, "&lt;&gt;0") / 100, 0)),
IF(GE83 &gt; 0, SUMIFS(ES83:ES87, EP83:EP87, "&gt;0", ES83:ES87, "&lt;&gt;0") / SUMIFS(EP83:EP87, EP83:EP87, "&gt;0", ES83:ES87, "&lt;&gt;0") / -1,
IF(GE83 &lt; 0, SUMIFS(ES83:ES87, EQ83:EQ87, "&gt;0", ES83:ES87, "&lt;&gt;0") / SUMIFS(EQ83:EQ87, EQ83:EQ87, "&gt;0", ES83:ES87, "&lt;&gt;0") / 1, 0)) ), 0))</f>
        <v>0</v>
      </c>
      <c r="GG83" s="495">
        <f>+IF(GB83 = "", "", IFERROR(IF(GB83 &lt;&gt; $Z$1,
IF(GE83 &gt; 0, SUMIFS(EV83:EV87, EP83:EP87, "&gt;0", EV83:EV87, "&lt;&gt;0") / SUMIFS(EP83:EP87, EP83:EP87, "&gt;0", EV83:EV87, "&lt;&gt;0") / -100,
IF(GE83 &lt; 0, SUMIFS(EV83:EV87, EQ83:EQ87, "&gt;0", EV83:EV87, "&lt;&gt;0") / SUMIFS(EQ83:EQ87, EQ83:EQ87, "&gt;0", EV83:EV87, "&lt;&gt;0") / 100, 0)),
IF(GE83 &gt; 0, SUMIFS(EV83:EV87, EP83:EP87, "&gt;0", EV83:EV87, "&lt;&gt;0") / SUMIFS(EP83:EP87, EP83:EP87, "&gt;0", EV83:EV87, "&lt;&gt;0") / -1,
IF(GE83 &lt; 0, SUMIFS(EV83:EV87, EQ83:EQ87, "&gt;0", EV83:EV87, "&lt;&gt;0") / SUMIFS(EQ83:EQ87, EQ83:EQ87, "&gt;0", EV83:EV87, "&lt;&gt;0") / 1, 0)) ), 0))</f>
        <v>0</v>
      </c>
      <c r="GH83" s="359"/>
      <c r="GI83" s="359"/>
      <c r="GJ83" s="501"/>
      <c r="GK83" s="495" t="str">
        <f>+IF(GB83="", "", "PUT")</f>
        <v>PUT</v>
      </c>
      <c r="GL83" s="495">
        <f>+IF(GB83 = "", "", FI85)</f>
        <v>0</v>
      </c>
      <c r="GM83" s="495">
        <f>+IF(GB83 = "", "", IFERROR(
IF(FI85 &gt; 0, SUMIFS(FM83:FM87, FJ83:FJ87, "&gt;0", FM83:FM87, "&lt;&gt;0") / SUMIFS(FJ83:FJ87, FJ83:FJ87, "&gt;0", FM83:FM87, "&lt;&gt;0") / -100,
IF(FI85 &lt; 0, SUMIFS(FM83:FM87, FK83:FK87, "&gt;0", FM83:FM87, "&lt;&gt;0") / SUMIFS(FK83:FK87, FK83:FK87, "&gt;0", FM83:FM87, "&lt;&gt;0") / 100, 0)), 0) )</f>
        <v>0</v>
      </c>
      <c r="GN83" s="359"/>
      <c r="GO83" s="359"/>
      <c r="GP83" s="501"/>
      <c r="GQ83" s="502">
        <f>+IF(GB83 = "", "", IFERROR(
IF(FI85 &gt; 0, SUMIFS(FP83:FP87, FJ83:FJ87, "&gt;0", FP83:FP87, "&lt;&gt;0") / SUMIFS(FJ83:FJ87, FJ83:FJ87, "&gt;0", FP83:FP87, "&lt;&gt;0") / -100,
IF(FI85 &lt; 0, SUMIFS(FP83:FP87, FK83:FK87, "&gt;0", FP83:FP87, "&lt;&gt;0") / SUMIFS(FK83:FK87, FK83:FK87, "&gt;0", FP83:FP87, "&lt;&gt;0") / 100, 0)), 0))</f>
        <v>0</v>
      </c>
      <c r="GR83" s="359"/>
      <c r="GS83" s="333"/>
      <c r="GT83" s="333"/>
      <c r="GU83" s="333"/>
      <c r="GV83" s="333"/>
      <c r="GW83" s="333"/>
      <c r="GX83" s="333"/>
      <c r="GY83" s="333"/>
      <c r="GZ83" s="333"/>
      <c r="HA83" s="333"/>
      <c r="HB83" s="333"/>
      <c r="HC83" s="333"/>
      <c r="HD83" s="333"/>
      <c r="HE83" s="333"/>
      <c r="HF83" s="333"/>
      <c r="HG83" s="331"/>
      <c r="HH83" s="331"/>
      <c r="HI83" s="331"/>
      <c r="HJ83" s="331"/>
      <c r="HK83" s="331"/>
      <c r="HL83" s="331"/>
      <c r="HM83" s="331"/>
      <c r="HN83" s="333"/>
      <c r="HO83" s="333"/>
      <c r="HP83" s="333"/>
      <c r="HQ83" s="333"/>
      <c r="HR83" s="333"/>
      <c r="HS83" s="333"/>
      <c r="HT83" s="333"/>
      <c r="HU83" s="333"/>
      <c r="HV83" s="333"/>
      <c r="HW83" s="333"/>
      <c r="HX83" s="333"/>
      <c r="HY83" s="333"/>
      <c r="HZ83" s="333"/>
      <c r="IA83" s="333"/>
      <c r="IB83" s="333"/>
      <c r="IC83" s="333"/>
      <c r="ID83" s="55"/>
      <c r="IE83" s="47"/>
      <c r="IH83" s="111">
        <f t="shared" si="175"/>
        <v>0</v>
      </c>
      <c r="II83" s="111">
        <f t="shared" si="168"/>
        <v>0</v>
      </c>
      <c r="IJ83" s="146">
        <v>28</v>
      </c>
      <c r="IK83" s="151">
        <f t="shared" si="180"/>
        <v>330</v>
      </c>
      <c r="IL83" s="106">
        <f t="shared" si="180"/>
        <v>0.57405199141426189</v>
      </c>
      <c r="IM83" s="110">
        <f t="shared" si="180"/>
        <v>330</v>
      </c>
      <c r="IN83" s="111">
        <f t="shared" si="170"/>
        <v>0</v>
      </c>
      <c r="IO83" s="50">
        <f t="shared" si="181"/>
        <v>0</v>
      </c>
      <c r="IP83" s="50">
        <f t="shared" si="181"/>
        <v>0</v>
      </c>
      <c r="IQ83" s="50">
        <f t="shared" si="181"/>
        <v>0</v>
      </c>
      <c r="IR83" s="50">
        <f t="shared" si="181"/>
        <v>0</v>
      </c>
      <c r="IS83" s="50">
        <f t="shared" si="181"/>
        <v>0</v>
      </c>
      <c r="IT83" s="50">
        <f t="shared" si="181"/>
        <v>0</v>
      </c>
      <c r="IU83" s="50">
        <f t="shared" si="181"/>
        <v>0</v>
      </c>
      <c r="IV83" s="50">
        <f t="shared" si="181"/>
        <v>0</v>
      </c>
      <c r="IW83" s="50">
        <f t="shared" si="181"/>
        <v>0</v>
      </c>
      <c r="IX83" s="50">
        <f t="shared" si="181"/>
        <v>0</v>
      </c>
      <c r="IY83" s="50">
        <f t="shared" si="182"/>
        <v>0</v>
      </c>
      <c r="IZ83" s="50">
        <f t="shared" si="182"/>
        <v>0</v>
      </c>
      <c r="JA83" s="50">
        <f t="shared" si="182"/>
        <v>0</v>
      </c>
      <c r="JB83" s="50">
        <f t="shared" si="182"/>
        <v>0</v>
      </c>
      <c r="JC83" s="50">
        <f t="shared" si="182"/>
        <v>0</v>
      </c>
      <c r="JD83" s="50">
        <f t="shared" si="182"/>
        <v>0</v>
      </c>
      <c r="JE83" s="50">
        <f t="shared" si="182"/>
        <v>0</v>
      </c>
      <c r="JF83" s="50">
        <f t="shared" si="182"/>
        <v>0</v>
      </c>
      <c r="JG83" s="50">
        <f t="shared" si="182"/>
        <v>0</v>
      </c>
      <c r="JH83" s="50">
        <f t="shared" si="182"/>
        <v>0</v>
      </c>
      <c r="JI83" s="50">
        <f t="shared" si="183"/>
        <v>0</v>
      </c>
      <c r="JJ83" s="50">
        <f t="shared" si="183"/>
        <v>0</v>
      </c>
      <c r="JK83" s="50">
        <f t="shared" si="183"/>
        <v>0</v>
      </c>
      <c r="JL83" s="50">
        <f t="shared" si="183"/>
        <v>0</v>
      </c>
      <c r="JM83" s="50">
        <f t="shared" si="183"/>
        <v>0</v>
      </c>
      <c r="JN83" s="50">
        <f t="shared" si="183"/>
        <v>0</v>
      </c>
      <c r="JO83" s="50">
        <f t="shared" si="183"/>
        <v>0</v>
      </c>
      <c r="JP83" s="50">
        <f t="shared" si="183"/>
        <v>0</v>
      </c>
      <c r="JQ83" s="50">
        <f t="shared" si="183"/>
        <v>0</v>
      </c>
      <c r="JR83" s="50">
        <f t="shared" si="183"/>
        <v>0</v>
      </c>
      <c r="JS83" s="50">
        <f t="shared" si="184"/>
        <v>0</v>
      </c>
      <c r="JT83" s="50">
        <f t="shared" si="184"/>
        <v>0</v>
      </c>
      <c r="JU83" s="50" t="str">
        <f t="shared" si="184"/>
        <v/>
      </c>
      <c r="JV83" s="50" t="str">
        <f t="shared" si="184"/>
        <v/>
      </c>
      <c r="JW83" s="50" t="str">
        <f t="shared" si="184"/>
        <v/>
      </c>
      <c r="JX83" s="50" t="str">
        <f t="shared" si="184"/>
        <v/>
      </c>
      <c r="JY83" s="50" t="str">
        <f t="shared" si="184"/>
        <v/>
      </c>
      <c r="JZ83" s="50" t="str">
        <f t="shared" si="184"/>
        <v/>
      </c>
      <c r="KA83" s="50" t="str">
        <f t="shared" si="184"/>
        <v/>
      </c>
      <c r="KB83" s="50" t="str">
        <f t="shared" si="184"/>
        <v/>
      </c>
      <c r="KC83" s="50" t="str">
        <f t="shared" si="184"/>
        <v/>
      </c>
      <c r="KD83" s="50" t="str">
        <f t="shared" si="184"/>
        <v/>
      </c>
    </row>
    <row r="84" spans="13:290" s="142" customFormat="1" ht="15" customHeight="1">
      <c r="M84" s="333"/>
      <c r="N84" s="333"/>
      <c r="O84" s="333"/>
      <c r="P84" s="333"/>
      <c r="Q84" s="333"/>
      <c r="R84" s="333"/>
      <c r="S84" s="333"/>
      <c r="T84" s="333"/>
      <c r="U84" s="333"/>
      <c r="V84" s="333"/>
      <c r="W84" s="333"/>
      <c r="X84" s="333"/>
      <c r="Y84" s="333"/>
      <c r="Z84" s="333"/>
      <c r="AA84" s="333"/>
      <c r="AB84" s="333"/>
      <c r="AC84" s="333"/>
      <c r="AD84" s="333"/>
      <c r="AE84" s="333"/>
      <c r="AF84" s="333"/>
      <c r="AG84" s="333"/>
      <c r="AH84" s="333"/>
      <c r="AI84" s="333"/>
      <c r="AJ84" s="333"/>
      <c r="AK84" s="333"/>
      <c r="AL84" s="333"/>
      <c r="AM84" s="333"/>
      <c r="AN84" s="333"/>
      <c r="AO84" s="333"/>
      <c r="AP84" s="333"/>
      <c r="AQ84" s="333"/>
      <c r="AR84" s="333"/>
      <c r="AS84" s="333"/>
      <c r="AT84" s="333"/>
      <c r="AU84" s="333"/>
      <c r="AV84" s="333"/>
      <c r="AW84" s="333"/>
      <c r="AX84" s="333"/>
      <c r="AY84" s="333"/>
      <c r="AZ84" s="333"/>
      <c r="BA84" s="333"/>
      <c r="BB84" s="333"/>
      <c r="BC84" s="333"/>
      <c r="BD84" s="333"/>
      <c r="BE84" s="333"/>
      <c r="BF84" s="333"/>
      <c r="BG84" s="333"/>
      <c r="BH84" s="333"/>
      <c r="BI84" s="333"/>
      <c r="BJ84" s="333"/>
      <c r="BK84" s="333"/>
      <c r="BL84" s="333"/>
      <c r="BM84" s="333"/>
      <c r="BN84" s="333"/>
      <c r="BO84" s="333"/>
      <c r="BP84" s="333"/>
      <c r="BQ84" s="333"/>
      <c r="BR84" s="333"/>
      <c r="BS84" s="333"/>
      <c r="BT84" s="333"/>
      <c r="BU84" s="333"/>
      <c r="BV84" s="333"/>
      <c r="BW84" s="333"/>
      <c r="BX84" s="333"/>
      <c r="BY84" s="333"/>
      <c r="BZ84" s="333"/>
      <c r="CA84" s="333"/>
      <c r="CB84" s="333"/>
      <c r="CC84" s="333"/>
      <c r="CD84" s="333"/>
      <c r="CE84" s="333"/>
      <c r="CF84" s="333"/>
      <c r="CG84" s="333"/>
      <c r="CH84" s="333"/>
      <c r="CI84" s="333"/>
      <c r="CJ84" s="333"/>
      <c r="CK84" s="333"/>
      <c r="CL84" s="333"/>
      <c r="CM84" s="333"/>
      <c r="CN84" s="333"/>
      <c r="CO84" s="333"/>
      <c r="CP84" s="333"/>
      <c r="CQ84" s="333"/>
      <c r="CR84" s="333"/>
      <c r="CS84" s="333"/>
      <c r="CT84" s="333"/>
      <c r="CU84" s="333"/>
      <c r="CV84" s="333"/>
      <c r="CW84" s="333"/>
      <c r="CX84" s="333"/>
      <c r="CY84" s="333"/>
      <c r="CZ84" s="333"/>
      <c r="DA84" s="333"/>
      <c r="DB84" s="333"/>
      <c r="DC84" s="333"/>
      <c r="DD84" s="333"/>
      <c r="DE84" s="333"/>
      <c r="DF84" s="333"/>
      <c r="DG84" s="333"/>
      <c r="DH84" s="333"/>
      <c r="DI84" s="333"/>
      <c r="DJ84" s="333"/>
      <c r="DK84" s="333"/>
      <c r="DL84" s="333"/>
      <c r="DM84" s="333"/>
      <c r="DN84" s="333"/>
      <c r="DO84" s="333"/>
      <c r="DP84" s="333"/>
      <c r="DQ84" s="333"/>
      <c r="DR84" s="333"/>
      <c r="DS84" s="333"/>
      <c r="DT84" s="333"/>
      <c r="DU84" s="359"/>
      <c r="DV84" s="359"/>
      <c r="DW84" s="359"/>
      <c r="DX84" s="359"/>
      <c r="DY84" s="359"/>
      <c r="DZ84" s="359"/>
      <c r="EA84" s="359"/>
      <c r="EB84" s="359"/>
      <c r="EC84" s="769" t="str">
        <f t="shared" si="166"/>
        <v/>
      </c>
      <c r="ED84" s="889" t="str">
        <f>GE239</f>
        <v/>
      </c>
      <c r="EE84" s="890"/>
      <c r="EF84" s="476" t="str">
        <f>GG239</f>
        <v/>
      </c>
      <c r="EG84" s="893" t="str">
        <f>GL239</f>
        <v/>
      </c>
      <c r="EH84" s="893"/>
      <c r="EI84" s="506" t="str">
        <f>GQ239</f>
        <v/>
      </c>
      <c r="EJ84" s="373"/>
      <c r="EK84" s="373"/>
      <c r="EL84" s="366"/>
      <c r="EM84" s="366"/>
      <c r="EN84" s="364"/>
      <c r="EO84" s="351"/>
      <c r="EP84" s="347"/>
      <c r="EQ84" s="342"/>
      <c r="ER84" s="522"/>
      <c r="ES84" s="916">
        <f>IF(ER84 = "", 0,
IF(AND(EP84 &gt; 0, EQ84 &gt;0), 0, IF(EO83 &lt;&gt; $Z$1,
IF(AND(EP84 &lt;&gt; "", EP84 &lt;&gt; 0), -(EP84 * ER84 * 100),
IF(AND(EQ84 &lt;&gt; "", EQ84 &lt;&gt; 0), (EQ84 * ER84 * 100), 0)),
IF(AND(EP84 &lt;&gt; "", EP84 &lt;&gt; 0), -(EP84 * ER84 * 1),
IF(AND(EQ84 &lt;&gt; "", EQ84 &lt;&gt; 0), (EQ84 * ER84 * 1), 0))  )))</f>
        <v>0</v>
      </c>
      <c r="ET84" s="917"/>
      <c r="EU84" s="918"/>
      <c r="EV84" s="916">
        <f>IF(ER84 = "", 0,
IF(AND(EP84 &gt; 0, EQ84 &gt;0), 0,  IF(EO83 &lt;&gt; $Z$1,
IF(AND(EP84 &lt;&gt; "", EP84 &lt;&gt; 0), -(EP84 * ER84 * 100 * (1 + COMIS_OPCION)),
IF(AND(EQ84 &lt;&gt; "", EQ84 &lt;&gt; 0), (EQ84 * ER84 * 100 * (1 - COMIS_OPCION)), 0)),
IF(AND(EP84 &lt;&gt; "", EP84 &lt;&gt; 0), -(EP84 * ER84 * 1 * (1 + COMIS_ACCION)),
IF(AND(EQ84 &lt;&gt; "", EQ84 &lt;&gt; 0), (EQ84 * ER84 * 1 * (1 - COMIS_ACCION)), 0))  )))</f>
        <v>0</v>
      </c>
      <c r="EW84" s="917"/>
      <c r="EX84" s="917"/>
      <c r="EY84" s="917"/>
      <c r="EZ84" s="917"/>
      <c r="FA84" s="917"/>
      <c r="FB84" s="917"/>
      <c r="FC84" s="917"/>
      <c r="FD84" s="925"/>
      <c r="FE84" s="340"/>
      <c r="FF84" s="340"/>
      <c r="FG84" s="364"/>
      <c r="FH84" s="364"/>
      <c r="FI84" s="339"/>
      <c r="FJ84" s="347"/>
      <c r="FK84" s="342"/>
      <c r="FL84" s="343"/>
      <c r="FM84" s="930">
        <f>IF(FL84 = "", 0,
IF(AND(FJ84 &gt; 0, FK84 &gt;0), 0,
IF(AND(FJ84 &lt;&gt; "", FJ84 &lt;&gt; 0), -(FJ84 * FL84 * 100),
IF(AND(FK84 &lt;&gt; "", FK84 &lt;&gt; 0), (FK84 * FL84 * 100), 0)) ))</f>
        <v>0</v>
      </c>
      <c r="FN84" s="931"/>
      <c r="FO84" s="932"/>
      <c r="FP84" s="930">
        <f>IF(FL84 = "", 0,
IF(AND(FJ84 &gt; 0, FK84 &gt;0), 0,
IF(AND(FJ84 &lt;&gt; "", FJ84 &lt;&gt; 0), -(FJ84 * FL84 * 100 * (1 + COMIS_OPCION)),
IF(AND(FK84 &lt;&gt; "", FK84 &lt;&gt; 0), (FK84 * FL84 * 100 * (1 - COMIS_OPCION)), 0)) ))</f>
        <v>0</v>
      </c>
      <c r="FQ84" s="931"/>
      <c r="FR84" s="931"/>
      <c r="FS84" s="931"/>
      <c r="FT84" s="931"/>
      <c r="FU84" s="931"/>
      <c r="FV84" s="931"/>
      <c r="FW84" s="931"/>
      <c r="FX84" s="933"/>
      <c r="FY84" s="341"/>
      <c r="FZ84" s="341"/>
      <c r="GA84" s="341"/>
      <c r="GB84" s="495">
        <v>0</v>
      </c>
      <c r="GC84" s="495">
        <v>0</v>
      </c>
      <c r="GD84" s="500"/>
      <c r="GE84" s="495">
        <v>0</v>
      </c>
      <c r="GF84" s="495">
        <v>0</v>
      </c>
      <c r="GG84" s="495">
        <v>0</v>
      </c>
      <c r="GH84" s="359"/>
      <c r="GI84" s="359"/>
      <c r="GJ84" s="501"/>
      <c r="GK84" s="495">
        <v>0</v>
      </c>
      <c r="GL84" s="495">
        <v>0</v>
      </c>
      <c r="GM84" s="495">
        <v>0</v>
      </c>
      <c r="GN84" s="359"/>
      <c r="GO84" s="359"/>
      <c r="GP84" s="501"/>
      <c r="GQ84" s="495">
        <v>0</v>
      </c>
      <c r="GR84" s="359"/>
      <c r="GS84" s="333"/>
      <c r="GT84" s="333"/>
      <c r="GU84" s="333"/>
      <c r="GV84" s="333"/>
      <c r="GW84" s="333"/>
      <c r="GX84" s="333"/>
      <c r="GY84" s="333"/>
      <c r="GZ84" s="333"/>
      <c r="HA84" s="333"/>
      <c r="HB84" s="333"/>
      <c r="HC84" s="333"/>
      <c r="HD84" s="333"/>
      <c r="HE84" s="333"/>
      <c r="HF84" s="333"/>
      <c r="HG84" s="331"/>
      <c r="HH84" s="331"/>
      <c r="HI84" s="331"/>
      <c r="HJ84" s="331"/>
      <c r="HK84" s="331"/>
      <c r="HL84" s="331"/>
      <c r="HM84" s="331"/>
      <c r="HN84" s="333"/>
      <c r="HO84" s="333"/>
      <c r="HP84" s="333"/>
      <c r="HQ84" s="333"/>
      <c r="HR84" s="333"/>
      <c r="HS84" s="333"/>
      <c r="HT84" s="333"/>
      <c r="HU84" s="333"/>
      <c r="HV84" s="333"/>
      <c r="HW84" s="333"/>
      <c r="HX84" s="333"/>
      <c r="HY84" s="333"/>
      <c r="HZ84" s="333"/>
      <c r="IA84" s="333"/>
      <c r="IB84" s="333"/>
      <c r="IC84" s="333"/>
      <c r="ID84" s="55"/>
      <c r="IE84" s="47"/>
      <c r="IH84" s="111">
        <f t="shared" si="175"/>
        <v>0</v>
      </c>
      <c r="II84" s="111">
        <f t="shared" si="168"/>
        <v>0</v>
      </c>
      <c r="IJ84" s="146">
        <v>29</v>
      </c>
      <c r="IK84" s="151">
        <f t="shared" si="180"/>
        <v>340</v>
      </c>
      <c r="IL84" s="106">
        <f t="shared" si="180"/>
        <v>0.62175053660863333</v>
      </c>
      <c r="IM84" s="110">
        <f t="shared" si="180"/>
        <v>340</v>
      </c>
      <c r="IN84" s="111">
        <f t="shared" si="170"/>
        <v>0</v>
      </c>
      <c r="IO84" s="50">
        <f t="shared" si="181"/>
        <v>0</v>
      </c>
      <c r="IP84" s="50">
        <f t="shared" si="181"/>
        <v>0</v>
      </c>
      <c r="IQ84" s="50">
        <f t="shared" si="181"/>
        <v>0</v>
      </c>
      <c r="IR84" s="50">
        <f t="shared" si="181"/>
        <v>0</v>
      </c>
      <c r="IS84" s="50">
        <f t="shared" si="181"/>
        <v>0</v>
      </c>
      <c r="IT84" s="50">
        <f t="shared" si="181"/>
        <v>0</v>
      </c>
      <c r="IU84" s="50">
        <f t="shared" si="181"/>
        <v>0</v>
      </c>
      <c r="IV84" s="50">
        <f t="shared" si="181"/>
        <v>0</v>
      </c>
      <c r="IW84" s="50">
        <f t="shared" si="181"/>
        <v>0</v>
      </c>
      <c r="IX84" s="50">
        <f t="shared" si="181"/>
        <v>0</v>
      </c>
      <c r="IY84" s="50">
        <f t="shared" si="182"/>
        <v>0</v>
      </c>
      <c r="IZ84" s="50">
        <f t="shared" si="182"/>
        <v>0</v>
      </c>
      <c r="JA84" s="50">
        <f t="shared" si="182"/>
        <v>0</v>
      </c>
      <c r="JB84" s="50">
        <f t="shared" si="182"/>
        <v>0</v>
      </c>
      <c r="JC84" s="50">
        <f t="shared" si="182"/>
        <v>0</v>
      </c>
      <c r="JD84" s="50">
        <f t="shared" si="182"/>
        <v>0</v>
      </c>
      <c r="JE84" s="50">
        <f t="shared" si="182"/>
        <v>0</v>
      </c>
      <c r="JF84" s="50">
        <f t="shared" si="182"/>
        <v>0</v>
      </c>
      <c r="JG84" s="50">
        <f t="shared" si="182"/>
        <v>0</v>
      </c>
      <c r="JH84" s="50">
        <f t="shared" si="182"/>
        <v>0</v>
      </c>
      <c r="JI84" s="50">
        <f t="shared" si="183"/>
        <v>0</v>
      </c>
      <c r="JJ84" s="50">
        <f t="shared" si="183"/>
        <v>0</v>
      </c>
      <c r="JK84" s="50">
        <f t="shared" si="183"/>
        <v>0</v>
      </c>
      <c r="JL84" s="50">
        <f t="shared" si="183"/>
        <v>0</v>
      </c>
      <c r="JM84" s="50">
        <f t="shared" si="183"/>
        <v>0</v>
      </c>
      <c r="JN84" s="50">
        <f t="shared" si="183"/>
        <v>0</v>
      </c>
      <c r="JO84" s="50">
        <f t="shared" si="183"/>
        <v>0</v>
      </c>
      <c r="JP84" s="50">
        <f t="shared" si="183"/>
        <v>0</v>
      </c>
      <c r="JQ84" s="50">
        <f t="shared" si="183"/>
        <v>0</v>
      </c>
      <c r="JR84" s="50">
        <f t="shared" si="183"/>
        <v>0</v>
      </c>
      <c r="JS84" s="50">
        <f t="shared" si="184"/>
        <v>0</v>
      </c>
      <c r="JT84" s="50">
        <f t="shared" si="184"/>
        <v>0</v>
      </c>
      <c r="JU84" s="50" t="str">
        <f t="shared" si="184"/>
        <v/>
      </c>
      <c r="JV84" s="50" t="str">
        <f t="shared" si="184"/>
        <v/>
      </c>
      <c r="JW84" s="50" t="str">
        <f t="shared" si="184"/>
        <v/>
      </c>
      <c r="JX84" s="50" t="str">
        <f t="shared" si="184"/>
        <v/>
      </c>
      <c r="JY84" s="50" t="str">
        <f t="shared" si="184"/>
        <v/>
      </c>
      <c r="JZ84" s="50" t="str">
        <f t="shared" si="184"/>
        <v/>
      </c>
      <c r="KA84" s="50" t="str">
        <f t="shared" si="184"/>
        <v/>
      </c>
      <c r="KB84" s="50" t="str">
        <f t="shared" si="184"/>
        <v/>
      </c>
      <c r="KC84" s="50" t="str">
        <f t="shared" si="184"/>
        <v/>
      </c>
      <c r="KD84" s="50" t="str">
        <f t="shared" si="184"/>
        <v/>
      </c>
    </row>
    <row r="85" spans="13:290" s="142" customFormat="1" ht="15" customHeight="1">
      <c r="M85" s="333"/>
      <c r="N85" s="333"/>
      <c r="O85" s="333"/>
      <c r="P85" s="333"/>
      <c r="Q85" s="333"/>
      <c r="R85" s="333"/>
      <c r="S85" s="333"/>
      <c r="T85" s="333"/>
      <c r="U85" s="333"/>
      <c r="V85" s="333"/>
      <c r="W85" s="333"/>
      <c r="X85" s="333"/>
      <c r="Y85" s="333"/>
      <c r="Z85" s="333"/>
      <c r="AA85" s="333"/>
      <c r="AB85" s="333"/>
      <c r="AC85" s="333"/>
      <c r="AD85" s="333"/>
      <c r="AE85" s="333"/>
      <c r="AF85" s="333"/>
      <c r="AG85" s="333"/>
      <c r="AH85" s="333"/>
      <c r="AI85" s="333"/>
      <c r="AJ85" s="333"/>
      <c r="AK85" s="333"/>
      <c r="AL85" s="333"/>
      <c r="AM85" s="333"/>
      <c r="AN85" s="333"/>
      <c r="AO85" s="333"/>
      <c r="AP85" s="333"/>
      <c r="AQ85" s="333"/>
      <c r="AR85" s="333"/>
      <c r="AS85" s="333"/>
      <c r="AT85" s="333"/>
      <c r="AU85" s="333"/>
      <c r="AV85" s="333"/>
      <c r="AW85" s="333"/>
      <c r="AX85" s="333"/>
      <c r="AY85" s="333"/>
      <c r="AZ85" s="333"/>
      <c r="BA85" s="333"/>
      <c r="BB85" s="333"/>
      <c r="BC85" s="333"/>
      <c r="BD85" s="333"/>
      <c r="BE85" s="333"/>
      <c r="BF85" s="333"/>
      <c r="BG85" s="333"/>
      <c r="BH85" s="333"/>
      <c r="BI85" s="333"/>
      <c r="BJ85" s="333"/>
      <c r="BK85" s="333"/>
      <c r="BL85" s="333"/>
      <c r="BM85" s="333"/>
      <c r="BN85" s="333"/>
      <c r="BO85" s="333"/>
      <c r="BP85" s="333"/>
      <c r="BQ85" s="333"/>
      <c r="BR85" s="333"/>
      <c r="BS85" s="333"/>
      <c r="BT85" s="333"/>
      <c r="BU85" s="333"/>
      <c r="BV85" s="333"/>
      <c r="BW85" s="333"/>
      <c r="BX85" s="333"/>
      <c r="BY85" s="333"/>
      <c r="BZ85" s="333"/>
      <c r="CA85" s="333"/>
      <c r="CB85" s="333"/>
      <c r="CC85" s="333"/>
      <c r="CD85" s="333"/>
      <c r="CE85" s="333"/>
      <c r="CF85" s="333"/>
      <c r="CG85" s="333"/>
      <c r="CH85" s="333"/>
      <c r="CI85" s="333"/>
      <c r="CJ85" s="333"/>
      <c r="CK85" s="333"/>
      <c r="CL85" s="333"/>
      <c r="CM85" s="333"/>
      <c r="CN85" s="333"/>
      <c r="CO85" s="333"/>
      <c r="CP85" s="333"/>
      <c r="CQ85" s="333"/>
      <c r="CR85" s="333"/>
      <c r="CS85" s="333"/>
      <c r="CT85" s="333"/>
      <c r="CU85" s="333"/>
      <c r="CV85" s="333"/>
      <c r="CW85" s="333"/>
      <c r="CX85" s="333"/>
      <c r="CY85" s="333"/>
      <c r="CZ85" s="333"/>
      <c r="DA85" s="333"/>
      <c r="DB85" s="333"/>
      <c r="DC85" s="333"/>
      <c r="DD85" s="333"/>
      <c r="DE85" s="333"/>
      <c r="DF85" s="333"/>
      <c r="DG85" s="333"/>
      <c r="DH85" s="333"/>
      <c r="DI85" s="333"/>
      <c r="DJ85" s="333"/>
      <c r="DK85" s="333"/>
      <c r="DL85" s="333"/>
      <c r="DM85" s="333"/>
      <c r="DN85" s="333"/>
      <c r="DO85" s="333"/>
      <c r="DP85" s="333"/>
      <c r="DQ85" s="333"/>
      <c r="DR85" s="333"/>
      <c r="DS85" s="333"/>
      <c r="DT85" s="333"/>
      <c r="DU85" s="359"/>
      <c r="DV85" s="359"/>
      <c r="DW85" s="359"/>
      <c r="DX85" s="359"/>
      <c r="DY85" s="359"/>
      <c r="DZ85" s="359"/>
      <c r="EA85" s="359"/>
      <c r="EB85" s="359"/>
      <c r="EC85" s="769" t="str">
        <f t="shared" si="166"/>
        <v/>
      </c>
      <c r="ED85" s="889" t="str">
        <f>GE245</f>
        <v/>
      </c>
      <c r="EE85" s="890"/>
      <c r="EF85" s="476" t="str">
        <f>GG245</f>
        <v/>
      </c>
      <c r="EG85" s="893" t="str">
        <f>GL245</f>
        <v/>
      </c>
      <c r="EH85" s="893"/>
      <c r="EI85" s="506" t="str">
        <f>GQ245</f>
        <v/>
      </c>
      <c r="EJ85" s="373"/>
      <c r="EK85" s="373"/>
      <c r="EL85" s="366"/>
      <c r="EM85" s="368"/>
      <c r="EN85" s="365"/>
      <c r="EO85" s="352">
        <f>+SUM(EP83:EP87) - SUM(EQ83:EQ87)</f>
        <v>0</v>
      </c>
      <c r="EP85" s="347"/>
      <c r="EQ85" s="342"/>
      <c r="ER85" s="522"/>
      <c r="ES85" s="916">
        <f>IF(ER85 = "", 0,
IF(AND(EP85 &gt; 0, EQ85 &gt;0), 0, IF(EO83 &lt;&gt; $Z$1,
IF(AND(EP85 &lt;&gt; "", EP85 &lt;&gt; 0), -(EP85 * ER85 * 100),
IF(AND(EQ85 &lt;&gt; "", EQ85 &lt;&gt; 0), (EQ85 * ER85 * 100), 0)),
IF(AND(EP85 &lt;&gt; "", EP85 &lt;&gt; 0), -(EP85 * ER85 * 1),
IF(AND(EQ85 &lt;&gt; "", EQ85 &lt;&gt; 0), (EQ85 * ER85 * 1), 0))  )))</f>
        <v>0</v>
      </c>
      <c r="ET85" s="917"/>
      <c r="EU85" s="918"/>
      <c r="EV85" s="916">
        <f>IF(ER85 = "", 0,
IF(AND(EP85 &gt; 0, EQ85 &gt;0), 0,  IF(EO83 &lt;&gt; $Z$1,
IF(AND(EP85 &lt;&gt; "", EP85 &lt;&gt; 0), -(EP85 * ER85 * 100 * (1 + COMIS_OPCION)),
IF(AND(EQ85 &lt;&gt; "", EQ85 &lt;&gt; 0), (EQ85 * ER85 * 100 * (1 - COMIS_OPCION)), 0)),
IF(AND(EP85 &lt;&gt; "", EP85 &lt;&gt; 0), -(EP85 * ER85 * 1 * (1 + COMIS_ACCION)),
IF(AND(EQ85 &lt;&gt; "", EQ85 &lt;&gt; 0), (EQ85 * ER85 * 1 * (1 - COMIS_ACCION)), 0))  )))</f>
        <v>0</v>
      </c>
      <c r="EW85" s="917"/>
      <c r="EX85" s="917"/>
      <c r="EY85" s="917"/>
      <c r="EZ85" s="917"/>
      <c r="FA85" s="917"/>
      <c r="FB85" s="917"/>
      <c r="FC85" s="917"/>
      <c r="FD85" s="925"/>
      <c r="FE85" s="340"/>
      <c r="FF85" s="340"/>
      <c r="FG85" s="365"/>
      <c r="FH85" s="365"/>
      <c r="FI85" s="354">
        <f>+SUM(FJ83:FJ87) - SUM(FK83:FK87)</f>
        <v>0</v>
      </c>
      <c r="FJ85" s="347"/>
      <c r="FK85" s="342"/>
      <c r="FL85" s="343"/>
      <c r="FM85" s="930">
        <f>IF(FL85 = "", 0,
IF(AND(FJ85 &gt; 0, FK85 &gt;0), 0,
IF(AND(FJ85 &lt;&gt; "", FJ85 &lt;&gt; 0), -(FJ85 * FL85 * 100),
IF(AND(FK85 &lt;&gt; "", FK85 &lt;&gt; 0), (FK85 * FL85 * 100), 0)) ))</f>
        <v>0</v>
      </c>
      <c r="FN85" s="931"/>
      <c r="FO85" s="932"/>
      <c r="FP85" s="930">
        <f>IF(FL85 = "", 0,
IF(AND(FJ85 &gt; 0, FK85 &gt;0), 0,
IF(AND(FJ85 &lt;&gt; "", FJ85 &lt;&gt; 0), -(FJ85 * FL85 * 100 * (1 + COMIS_OPCION)),
IF(AND(FK85 &lt;&gt; "", FK85 &lt;&gt; 0), (FK85 * FL85 * 100 * (1 - COMIS_OPCION)), 0)) ))</f>
        <v>0</v>
      </c>
      <c r="FQ85" s="931"/>
      <c r="FR85" s="931"/>
      <c r="FS85" s="931"/>
      <c r="FT85" s="931"/>
      <c r="FU85" s="931"/>
      <c r="FV85" s="931"/>
      <c r="FW85" s="931"/>
      <c r="FX85" s="933"/>
      <c r="FY85" s="341"/>
      <c r="FZ85" s="341"/>
      <c r="GA85" s="341"/>
      <c r="GB85" s="495">
        <v>0</v>
      </c>
      <c r="GC85" s="495">
        <v>0</v>
      </c>
      <c r="GD85" s="500"/>
      <c r="GE85" s="495">
        <v>0</v>
      </c>
      <c r="GF85" s="495">
        <v>0</v>
      </c>
      <c r="GG85" s="495">
        <v>0</v>
      </c>
      <c r="GH85" s="359"/>
      <c r="GI85" s="359"/>
      <c r="GJ85" s="501"/>
      <c r="GK85" s="495">
        <v>0</v>
      </c>
      <c r="GL85" s="495">
        <v>0</v>
      </c>
      <c r="GM85" s="495">
        <v>0</v>
      </c>
      <c r="GN85" s="359"/>
      <c r="GO85" s="359"/>
      <c r="GP85" s="501"/>
      <c r="GQ85" s="495">
        <v>0</v>
      </c>
      <c r="GR85" s="359"/>
      <c r="GS85" s="333"/>
      <c r="GT85" s="333"/>
      <c r="GU85" s="333"/>
      <c r="GV85" s="333"/>
      <c r="GW85" s="333"/>
      <c r="GX85" s="333"/>
      <c r="GY85" s="333"/>
      <c r="GZ85" s="333"/>
      <c r="HA85" s="333"/>
      <c r="HB85" s="333"/>
      <c r="HC85" s="333"/>
      <c r="HD85" s="333"/>
      <c r="HE85" s="333"/>
      <c r="HF85" s="333"/>
      <c r="HG85" s="331"/>
      <c r="HH85" s="331"/>
      <c r="HI85" s="331"/>
      <c r="HJ85" s="331"/>
      <c r="HK85" s="331"/>
      <c r="HL85" s="331"/>
      <c r="HM85" s="331"/>
      <c r="HN85" s="333"/>
      <c r="HO85" s="333"/>
      <c r="HP85" s="333"/>
      <c r="HQ85" s="333"/>
      <c r="HR85" s="333"/>
      <c r="HS85" s="333"/>
      <c r="HT85" s="333"/>
      <c r="HU85" s="333"/>
      <c r="HV85" s="333"/>
      <c r="HW85" s="333"/>
      <c r="HX85" s="333"/>
      <c r="HY85" s="333"/>
      <c r="HZ85" s="333"/>
      <c r="IA85" s="333"/>
      <c r="IB85" s="333"/>
      <c r="IC85" s="333"/>
      <c r="ID85" s="55"/>
      <c r="IE85" s="47"/>
      <c r="IH85" s="111">
        <f t="shared" si="175"/>
        <v>0</v>
      </c>
      <c r="II85" s="111">
        <f t="shared" si="168"/>
        <v>0</v>
      </c>
      <c r="IJ85" s="146">
        <v>30</v>
      </c>
      <c r="IK85" s="151">
        <f t="shared" si="180"/>
        <v>350</v>
      </c>
      <c r="IL85" s="106">
        <f t="shared" si="180"/>
        <v>0.669449081803005</v>
      </c>
      <c r="IM85" s="110">
        <f t="shared" si="180"/>
        <v>350</v>
      </c>
      <c r="IN85" s="111">
        <f t="shared" si="170"/>
        <v>0</v>
      </c>
      <c r="IO85" s="50">
        <f t="shared" si="181"/>
        <v>0</v>
      </c>
      <c r="IP85" s="50">
        <f t="shared" si="181"/>
        <v>0</v>
      </c>
      <c r="IQ85" s="50">
        <f t="shared" si="181"/>
        <v>0</v>
      </c>
      <c r="IR85" s="50">
        <f t="shared" si="181"/>
        <v>0</v>
      </c>
      <c r="IS85" s="50">
        <f t="shared" si="181"/>
        <v>0</v>
      </c>
      <c r="IT85" s="50">
        <f t="shared" si="181"/>
        <v>0</v>
      </c>
      <c r="IU85" s="50">
        <f t="shared" si="181"/>
        <v>0</v>
      </c>
      <c r="IV85" s="50">
        <f t="shared" si="181"/>
        <v>0</v>
      </c>
      <c r="IW85" s="50">
        <f t="shared" si="181"/>
        <v>0</v>
      </c>
      <c r="IX85" s="50">
        <f t="shared" si="181"/>
        <v>0</v>
      </c>
      <c r="IY85" s="50">
        <f t="shared" si="182"/>
        <v>0</v>
      </c>
      <c r="IZ85" s="50">
        <f t="shared" si="182"/>
        <v>0</v>
      </c>
      <c r="JA85" s="50">
        <f t="shared" si="182"/>
        <v>0</v>
      </c>
      <c r="JB85" s="50">
        <f t="shared" si="182"/>
        <v>0</v>
      </c>
      <c r="JC85" s="50">
        <f t="shared" si="182"/>
        <v>0</v>
      </c>
      <c r="JD85" s="50">
        <f t="shared" si="182"/>
        <v>0</v>
      </c>
      <c r="JE85" s="50">
        <f t="shared" si="182"/>
        <v>0</v>
      </c>
      <c r="JF85" s="50">
        <f t="shared" si="182"/>
        <v>0</v>
      </c>
      <c r="JG85" s="50">
        <f t="shared" si="182"/>
        <v>0</v>
      </c>
      <c r="JH85" s="50">
        <f t="shared" si="182"/>
        <v>0</v>
      </c>
      <c r="JI85" s="50">
        <f t="shared" si="183"/>
        <v>0</v>
      </c>
      <c r="JJ85" s="50">
        <f t="shared" si="183"/>
        <v>0</v>
      </c>
      <c r="JK85" s="50">
        <f t="shared" si="183"/>
        <v>0</v>
      </c>
      <c r="JL85" s="50">
        <f t="shared" si="183"/>
        <v>0</v>
      </c>
      <c r="JM85" s="50">
        <f t="shared" si="183"/>
        <v>0</v>
      </c>
      <c r="JN85" s="50">
        <f t="shared" si="183"/>
        <v>0</v>
      </c>
      <c r="JO85" s="50">
        <f t="shared" si="183"/>
        <v>0</v>
      </c>
      <c r="JP85" s="50">
        <f t="shared" si="183"/>
        <v>0</v>
      </c>
      <c r="JQ85" s="50">
        <f t="shared" si="183"/>
        <v>0</v>
      </c>
      <c r="JR85" s="50">
        <f t="shared" si="183"/>
        <v>0</v>
      </c>
      <c r="JS85" s="50">
        <f t="shared" si="184"/>
        <v>0</v>
      </c>
      <c r="JT85" s="50">
        <f t="shared" si="184"/>
        <v>0</v>
      </c>
      <c r="JU85" s="50" t="str">
        <f t="shared" si="184"/>
        <v/>
      </c>
      <c r="JV85" s="50" t="str">
        <f t="shared" si="184"/>
        <v/>
      </c>
      <c r="JW85" s="50" t="str">
        <f t="shared" si="184"/>
        <v/>
      </c>
      <c r="JX85" s="50" t="str">
        <f t="shared" si="184"/>
        <v/>
      </c>
      <c r="JY85" s="50" t="str">
        <f t="shared" si="184"/>
        <v/>
      </c>
      <c r="JZ85" s="50" t="str">
        <f t="shared" si="184"/>
        <v/>
      </c>
      <c r="KA85" s="50" t="str">
        <f t="shared" si="184"/>
        <v/>
      </c>
      <c r="KB85" s="50" t="str">
        <f t="shared" si="184"/>
        <v/>
      </c>
      <c r="KC85" s="50" t="str">
        <f t="shared" si="184"/>
        <v/>
      </c>
      <c r="KD85" s="50" t="str">
        <f t="shared" si="184"/>
        <v/>
      </c>
    </row>
    <row r="86" spans="13:290" s="142" customFormat="1" ht="15" customHeight="1">
      <c r="M86" s="333"/>
      <c r="N86" s="333"/>
      <c r="O86" s="333"/>
      <c r="P86" s="333"/>
      <c r="Q86" s="333"/>
      <c r="R86" s="333"/>
      <c r="S86" s="333"/>
      <c r="T86" s="333"/>
      <c r="U86" s="333"/>
      <c r="V86" s="333"/>
      <c r="W86" s="333"/>
      <c r="X86" s="333"/>
      <c r="Y86" s="333"/>
      <c r="Z86" s="333"/>
      <c r="AA86" s="333"/>
      <c r="AB86" s="333"/>
      <c r="AC86" s="333"/>
      <c r="AD86" s="333"/>
      <c r="AE86" s="333"/>
      <c r="AF86" s="333"/>
      <c r="AG86" s="333"/>
      <c r="AH86" s="333"/>
      <c r="AI86" s="333"/>
      <c r="AJ86" s="333"/>
      <c r="AK86" s="333"/>
      <c r="AL86" s="333"/>
      <c r="AM86" s="333"/>
      <c r="AN86" s="333"/>
      <c r="AO86" s="333"/>
      <c r="AP86" s="333"/>
      <c r="AQ86" s="333"/>
      <c r="AR86" s="333"/>
      <c r="AS86" s="333"/>
      <c r="AT86" s="333"/>
      <c r="AU86" s="333"/>
      <c r="AV86" s="333"/>
      <c r="AW86" s="333"/>
      <c r="AX86" s="333"/>
      <c r="AY86" s="333"/>
      <c r="AZ86" s="333"/>
      <c r="BA86" s="333"/>
      <c r="BB86" s="333"/>
      <c r="BC86" s="333"/>
      <c r="BD86" s="333"/>
      <c r="BE86" s="333"/>
      <c r="BF86" s="333"/>
      <c r="BG86" s="333"/>
      <c r="BH86" s="333"/>
      <c r="BI86" s="333"/>
      <c r="BJ86" s="333"/>
      <c r="BK86" s="333"/>
      <c r="BL86" s="333"/>
      <c r="BM86" s="333"/>
      <c r="BN86" s="333"/>
      <c r="BO86" s="333"/>
      <c r="BP86" s="333"/>
      <c r="BQ86" s="333"/>
      <c r="BR86" s="333"/>
      <c r="BS86" s="333"/>
      <c r="BT86" s="333"/>
      <c r="BU86" s="333"/>
      <c r="BV86" s="333"/>
      <c r="BW86" s="333"/>
      <c r="BX86" s="333"/>
      <c r="BY86" s="333"/>
      <c r="BZ86" s="333"/>
      <c r="CA86" s="333"/>
      <c r="CB86" s="333"/>
      <c r="CC86" s="333"/>
      <c r="CD86" s="333"/>
      <c r="CE86" s="333"/>
      <c r="CF86" s="333"/>
      <c r="CG86" s="333"/>
      <c r="CH86" s="333"/>
      <c r="CI86" s="333"/>
      <c r="CJ86" s="333"/>
      <c r="CK86" s="333"/>
      <c r="CL86" s="333"/>
      <c r="CM86" s="333"/>
      <c r="CN86" s="333"/>
      <c r="CO86" s="333"/>
      <c r="CP86" s="333"/>
      <c r="CQ86" s="333"/>
      <c r="CR86" s="333"/>
      <c r="CS86" s="333"/>
      <c r="CT86" s="333"/>
      <c r="CU86" s="333"/>
      <c r="CV86" s="333"/>
      <c r="CW86" s="333"/>
      <c r="CX86" s="333"/>
      <c r="CY86" s="333"/>
      <c r="CZ86" s="333"/>
      <c r="DA86" s="333"/>
      <c r="DB86" s="333"/>
      <c r="DC86" s="333"/>
      <c r="DD86" s="333"/>
      <c r="DE86" s="333"/>
      <c r="DF86" s="333"/>
      <c r="DG86" s="333"/>
      <c r="DH86" s="333"/>
      <c r="DI86" s="333"/>
      <c r="DJ86" s="333"/>
      <c r="DK86" s="333"/>
      <c r="DL86" s="333"/>
      <c r="DM86" s="333"/>
      <c r="DN86" s="333"/>
      <c r="DO86" s="333"/>
      <c r="DP86" s="333"/>
      <c r="DQ86" s="333"/>
      <c r="DR86" s="333"/>
      <c r="DS86" s="333"/>
      <c r="DT86" s="333"/>
      <c r="DU86" s="359"/>
      <c r="DV86" s="359"/>
      <c r="DW86" s="359"/>
      <c r="DX86" s="359"/>
      <c r="DY86" s="359"/>
      <c r="DZ86" s="359"/>
      <c r="EA86" s="359"/>
      <c r="EB86" s="359"/>
      <c r="EC86" s="769" t="str">
        <f t="shared" si="166"/>
        <v/>
      </c>
      <c r="ED86" s="889" t="str">
        <f>GE251</f>
        <v/>
      </c>
      <c r="EE86" s="890"/>
      <c r="EF86" s="476" t="str">
        <f>GG251</f>
        <v/>
      </c>
      <c r="EG86" s="893" t="str">
        <f>GL251</f>
        <v/>
      </c>
      <c r="EH86" s="893"/>
      <c r="EI86" s="506" t="str">
        <f>GQ251</f>
        <v/>
      </c>
      <c r="EJ86" s="373"/>
      <c r="EK86" s="373"/>
      <c r="EL86" s="366"/>
      <c r="EM86" s="368"/>
      <c r="EN86" s="365"/>
      <c r="EO86" s="352">
        <f>IF(EO85=0, 0, SUM(EV83:FD87))</f>
        <v>0</v>
      </c>
      <c r="EP86" s="347"/>
      <c r="EQ86" s="342"/>
      <c r="ER86" s="522"/>
      <c r="ES86" s="916">
        <f>IF(ER86 = "", 0,
IF(AND(EP86 &gt; 0, EQ86 &gt;0), 0, IF(EO83 &lt;&gt; $Z$1,
IF(AND(EP86 &lt;&gt; "", EP86 &lt;&gt; 0), -(EP86 * ER86 * 100),
IF(AND(EQ86 &lt;&gt; "", EQ86 &lt;&gt; 0), (EQ86 * ER86 * 100), 0)),
IF(AND(EP86 &lt;&gt; "", EP86 &lt;&gt; 0), -(EP86 * ER86 * 1),
IF(AND(EQ86 &lt;&gt; "", EQ86 &lt;&gt; 0), (EQ86 * ER86 * 1), 0))  )))</f>
        <v>0</v>
      </c>
      <c r="ET86" s="917"/>
      <c r="EU86" s="918"/>
      <c r="EV86" s="916">
        <f>IF(ER86 = "", 0,
IF(AND(EP86 &gt; 0, EQ86 &gt;0), 0,  IF(EO83 &lt;&gt; $Z$1,
IF(AND(EP86 &lt;&gt; "", EP86 &lt;&gt; 0), -(EP86 * ER86 * 100 * (1 + COMIS_OPCION)),
IF(AND(EQ86 &lt;&gt; "", EQ86 &lt;&gt; 0), (EQ86 * ER86 * 100 * (1 - COMIS_OPCION)), 0)),
IF(AND(EP86 &lt;&gt; "", EP86 &lt;&gt; 0), -(EP86 * ER86 * 1 * (1 + COMIS_ACCION)),
IF(AND(EQ86 &lt;&gt; "", EQ86 &lt;&gt; 0), (EQ86 * ER86 * 1 * (1 - COMIS_ACCION)), 0))  )))</f>
        <v>0</v>
      </c>
      <c r="EW86" s="917"/>
      <c r="EX86" s="917"/>
      <c r="EY86" s="917"/>
      <c r="EZ86" s="917"/>
      <c r="FA86" s="917"/>
      <c r="FB86" s="917"/>
      <c r="FC86" s="917"/>
      <c r="FD86" s="925"/>
      <c r="FE86" s="340"/>
      <c r="FF86" s="340"/>
      <c r="FG86" s="365"/>
      <c r="FH86" s="365"/>
      <c r="FI86" s="354">
        <f>IF(FI85=0, 0, SUM(FP83:FX87))</f>
        <v>0</v>
      </c>
      <c r="FJ86" s="347"/>
      <c r="FK86" s="342"/>
      <c r="FL86" s="343"/>
      <c r="FM86" s="930">
        <f>IF(FL86 = "", 0,
IF(AND(FJ86 &gt; 0, FK86 &gt;0), 0,
IF(AND(FJ86 &lt;&gt; "", FJ86 &lt;&gt; 0), -(FJ86 * FL86 * 100),
IF(AND(FK86 &lt;&gt; "", FK86 &lt;&gt; 0), (FK86 * FL86 * 100), 0)) ))</f>
        <v>0</v>
      </c>
      <c r="FN86" s="931"/>
      <c r="FO86" s="932"/>
      <c r="FP86" s="930">
        <f>IF(FL86 = "", 0,
IF(AND(FJ86 &gt; 0, FK86 &gt;0), 0,
IF(AND(FJ86 &lt;&gt; "", FJ86 &lt;&gt; 0), -(FJ86 * FL86 * 100 * (1 + COMIS_OPCION)),
IF(AND(FK86 &lt;&gt; "", FK86 &lt;&gt; 0), (FK86 * FL86 * 100 * (1 - COMIS_OPCION)), 0)) ))</f>
        <v>0</v>
      </c>
      <c r="FQ86" s="931"/>
      <c r="FR86" s="931"/>
      <c r="FS86" s="931"/>
      <c r="FT86" s="931"/>
      <c r="FU86" s="931"/>
      <c r="FV86" s="931"/>
      <c r="FW86" s="931"/>
      <c r="FX86" s="933"/>
      <c r="FY86" s="341"/>
      <c r="FZ86" s="341"/>
      <c r="GA86" s="341"/>
      <c r="GB86" s="495">
        <v>0</v>
      </c>
      <c r="GC86" s="495">
        <v>0</v>
      </c>
      <c r="GD86" s="500"/>
      <c r="GE86" s="495">
        <v>0</v>
      </c>
      <c r="GF86" s="495">
        <v>0</v>
      </c>
      <c r="GG86" s="495">
        <v>0</v>
      </c>
      <c r="GH86" s="359"/>
      <c r="GI86" s="359"/>
      <c r="GJ86" s="501"/>
      <c r="GK86" s="495">
        <v>0</v>
      </c>
      <c r="GL86" s="495">
        <v>0</v>
      </c>
      <c r="GM86" s="495">
        <v>0</v>
      </c>
      <c r="GN86" s="359"/>
      <c r="GO86" s="359"/>
      <c r="GP86" s="501"/>
      <c r="GQ86" s="495">
        <v>0</v>
      </c>
      <c r="GR86" s="359"/>
      <c r="GS86" s="333"/>
      <c r="GT86" s="333"/>
      <c r="GU86" s="333"/>
      <c r="GV86" s="333"/>
      <c r="GW86" s="333"/>
      <c r="GX86" s="333"/>
      <c r="GY86" s="333"/>
      <c r="GZ86" s="333"/>
      <c r="HA86" s="333"/>
      <c r="HB86" s="333"/>
      <c r="HC86" s="333"/>
      <c r="HD86" s="333"/>
      <c r="HE86" s="333"/>
      <c r="HF86" s="333"/>
      <c r="HG86" s="331"/>
      <c r="HH86" s="331"/>
      <c r="HI86" s="331"/>
      <c r="HJ86" s="331"/>
      <c r="HK86" s="331"/>
      <c r="HL86" s="331"/>
      <c r="HM86" s="331"/>
      <c r="HN86" s="333"/>
      <c r="HO86" s="333"/>
      <c r="HP86" s="333"/>
      <c r="HQ86" s="333"/>
      <c r="HR86" s="333"/>
      <c r="HS86" s="333"/>
      <c r="HT86" s="333"/>
      <c r="HU86" s="333"/>
      <c r="HV86" s="333"/>
      <c r="HW86" s="333"/>
      <c r="HX86" s="333"/>
      <c r="HY86" s="333"/>
      <c r="HZ86" s="333"/>
      <c r="IA86" s="333"/>
      <c r="IB86" s="333"/>
      <c r="IC86" s="333"/>
      <c r="ID86" s="55"/>
      <c r="IE86" s="47"/>
      <c r="IH86" s="111">
        <f t="shared" si="175"/>
        <v>0</v>
      </c>
      <c r="II86" s="111">
        <f t="shared" si="168"/>
        <v>0</v>
      </c>
      <c r="IJ86" s="146">
        <v>31</v>
      </c>
      <c r="IK86" s="151">
        <f t="shared" si="180"/>
        <v>360</v>
      </c>
      <c r="IL86" s="106">
        <f t="shared" si="180"/>
        <v>0.71714762699737644</v>
      </c>
      <c r="IM86" s="110">
        <f t="shared" si="180"/>
        <v>360</v>
      </c>
      <c r="IN86" s="111">
        <f t="shared" si="170"/>
        <v>0</v>
      </c>
      <c r="IO86" s="50">
        <f t="shared" ref="IO86:IX96" si="185" xml:space="preserve"> IF(OR($IL86 = "", IO$6 = ""), "", IF(IO$6 &lt;&gt; $Z$1,
IF($IM86 &gt; IO$6, IO$52 * 100 * ($IM86 - IO$6), 0) +
IF($IM86 &lt; IO$6, IO$53 * 100 * (IO$6 - $IM86), 0),
$IM86 * IO$52))</f>
        <v>0</v>
      </c>
      <c r="IP86" s="50">
        <f t="shared" si="185"/>
        <v>0</v>
      </c>
      <c r="IQ86" s="50">
        <f t="shared" si="185"/>
        <v>0</v>
      </c>
      <c r="IR86" s="50">
        <f t="shared" si="185"/>
        <v>0</v>
      </c>
      <c r="IS86" s="50">
        <f t="shared" si="185"/>
        <v>0</v>
      </c>
      <c r="IT86" s="50">
        <f t="shared" si="185"/>
        <v>0</v>
      </c>
      <c r="IU86" s="50">
        <f t="shared" si="185"/>
        <v>0</v>
      </c>
      <c r="IV86" s="50">
        <f t="shared" si="185"/>
        <v>0</v>
      </c>
      <c r="IW86" s="50">
        <f t="shared" si="185"/>
        <v>0</v>
      </c>
      <c r="IX86" s="50">
        <f t="shared" si="185"/>
        <v>0</v>
      </c>
      <c r="IY86" s="50">
        <f t="shared" ref="IY86:JH96" si="186" xml:space="preserve"> IF(OR($IL86 = "", IY$6 = ""), "", IF(IY$6 &lt;&gt; $Z$1,
IF($IM86 &gt; IY$6, IY$52 * 100 * ($IM86 - IY$6), 0) +
IF($IM86 &lt; IY$6, IY$53 * 100 * (IY$6 - $IM86), 0),
$IM86 * IY$52))</f>
        <v>0</v>
      </c>
      <c r="IZ86" s="50">
        <f t="shared" si="186"/>
        <v>0</v>
      </c>
      <c r="JA86" s="50">
        <f t="shared" si="186"/>
        <v>0</v>
      </c>
      <c r="JB86" s="50">
        <f t="shared" si="186"/>
        <v>0</v>
      </c>
      <c r="JC86" s="50">
        <f t="shared" si="186"/>
        <v>0</v>
      </c>
      <c r="JD86" s="50">
        <f t="shared" si="186"/>
        <v>0</v>
      </c>
      <c r="JE86" s="50">
        <f t="shared" si="186"/>
        <v>0</v>
      </c>
      <c r="JF86" s="50">
        <f t="shared" si="186"/>
        <v>0</v>
      </c>
      <c r="JG86" s="50">
        <f t="shared" si="186"/>
        <v>0</v>
      </c>
      <c r="JH86" s="50">
        <f t="shared" si="186"/>
        <v>0</v>
      </c>
      <c r="JI86" s="50">
        <f t="shared" ref="JI86:JR96" si="187" xml:space="preserve"> IF(OR($IL86 = "", JI$6 = ""), "", IF(JI$6 &lt;&gt; $Z$1,
IF($IM86 &gt; JI$6, JI$52 * 100 * ($IM86 - JI$6), 0) +
IF($IM86 &lt; JI$6, JI$53 * 100 * (JI$6 - $IM86), 0),
$IM86 * JI$52))</f>
        <v>0</v>
      </c>
      <c r="JJ86" s="50">
        <f t="shared" si="187"/>
        <v>0</v>
      </c>
      <c r="JK86" s="50">
        <f t="shared" si="187"/>
        <v>0</v>
      </c>
      <c r="JL86" s="50">
        <f t="shared" si="187"/>
        <v>0</v>
      </c>
      <c r="JM86" s="50">
        <f t="shared" si="187"/>
        <v>0</v>
      </c>
      <c r="JN86" s="50">
        <f t="shared" si="187"/>
        <v>0</v>
      </c>
      <c r="JO86" s="50">
        <f t="shared" si="187"/>
        <v>0</v>
      </c>
      <c r="JP86" s="50">
        <f t="shared" si="187"/>
        <v>0</v>
      </c>
      <c r="JQ86" s="50">
        <f t="shared" si="187"/>
        <v>0</v>
      </c>
      <c r="JR86" s="50">
        <f t="shared" si="187"/>
        <v>0</v>
      </c>
      <c r="JS86" s="50">
        <f t="shared" ref="JS86:KD96" si="188" xml:space="preserve"> IF(OR($IL86 = "", JS$6 = ""), "", IF(JS$6 &lt;&gt; $Z$1,
IF($IM86 &gt; JS$6, JS$52 * 100 * ($IM86 - JS$6), 0) +
IF($IM86 &lt; JS$6, JS$53 * 100 * (JS$6 - $IM86), 0),
$IM86 * JS$52))</f>
        <v>0</v>
      </c>
      <c r="JT86" s="50">
        <f t="shared" si="188"/>
        <v>0</v>
      </c>
      <c r="JU86" s="50" t="str">
        <f t="shared" si="188"/>
        <v/>
      </c>
      <c r="JV86" s="50" t="str">
        <f t="shared" si="188"/>
        <v/>
      </c>
      <c r="JW86" s="50" t="str">
        <f t="shared" si="188"/>
        <v/>
      </c>
      <c r="JX86" s="50" t="str">
        <f t="shared" si="188"/>
        <v/>
      </c>
      <c r="JY86" s="50" t="str">
        <f t="shared" si="188"/>
        <v/>
      </c>
      <c r="JZ86" s="50" t="str">
        <f t="shared" si="188"/>
        <v/>
      </c>
      <c r="KA86" s="50" t="str">
        <f t="shared" si="188"/>
        <v/>
      </c>
      <c r="KB86" s="50" t="str">
        <f t="shared" si="188"/>
        <v/>
      </c>
      <c r="KC86" s="50" t="str">
        <f t="shared" si="188"/>
        <v/>
      </c>
      <c r="KD86" s="50" t="str">
        <f t="shared" si="188"/>
        <v/>
      </c>
    </row>
    <row r="87" spans="13:290" s="142" customFormat="1" ht="15" customHeight="1" thickBot="1">
      <c r="M87" s="333"/>
      <c r="N87" s="333"/>
      <c r="O87" s="333"/>
      <c r="P87" s="333"/>
      <c r="Q87" s="333"/>
      <c r="R87" s="333"/>
      <c r="S87" s="333"/>
      <c r="T87" s="333"/>
      <c r="U87" s="333"/>
      <c r="V87" s="333"/>
      <c r="W87" s="333"/>
      <c r="X87" s="333"/>
      <c r="Y87" s="333"/>
      <c r="Z87" s="333"/>
      <c r="AA87" s="333"/>
      <c r="AB87" s="333"/>
      <c r="AC87" s="333"/>
      <c r="AD87" s="333"/>
      <c r="AE87" s="333"/>
      <c r="AF87" s="333"/>
      <c r="AG87" s="333"/>
      <c r="AH87" s="333"/>
      <c r="AI87" s="333"/>
      <c r="AJ87" s="333"/>
      <c r="AK87" s="333"/>
      <c r="AL87" s="333"/>
      <c r="AM87" s="333"/>
      <c r="AN87" s="333"/>
      <c r="AO87" s="333"/>
      <c r="AP87" s="333"/>
      <c r="AQ87" s="333"/>
      <c r="AR87" s="333"/>
      <c r="AS87" s="333"/>
      <c r="AT87" s="333"/>
      <c r="AU87" s="333"/>
      <c r="AV87" s="333"/>
      <c r="AW87" s="333"/>
      <c r="AX87" s="333"/>
      <c r="AY87" s="333"/>
      <c r="AZ87" s="333"/>
      <c r="BA87" s="333"/>
      <c r="BB87" s="333"/>
      <c r="BC87" s="333"/>
      <c r="BD87" s="333"/>
      <c r="BE87" s="333"/>
      <c r="BF87" s="333"/>
      <c r="BG87" s="333"/>
      <c r="BH87" s="333"/>
      <c r="BI87" s="333"/>
      <c r="BJ87" s="333"/>
      <c r="BK87" s="333"/>
      <c r="BL87" s="333"/>
      <c r="BM87" s="333"/>
      <c r="BN87" s="333"/>
      <c r="BO87" s="333"/>
      <c r="BP87" s="333"/>
      <c r="BQ87" s="333"/>
      <c r="BR87" s="333"/>
      <c r="BS87" s="333"/>
      <c r="BT87" s="333"/>
      <c r="BU87" s="333"/>
      <c r="BV87" s="333"/>
      <c r="BW87" s="333"/>
      <c r="BX87" s="333"/>
      <c r="BY87" s="333"/>
      <c r="BZ87" s="333"/>
      <c r="CA87" s="333"/>
      <c r="CB87" s="333"/>
      <c r="CC87" s="333"/>
      <c r="CD87" s="333"/>
      <c r="CE87" s="333"/>
      <c r="CF87" s="333"/>
      <c r="CG87" s="333"/>
      <c r="CH87" s="333"/>
      <c r="CI87" s="333"/>
      <c r="CJ87" s="333"/>
      <c r="CK87" s="333"/>
      <c r="CL87" s="333"/>
      <c r="CM87" s="333"/>
      <c r="CN87" s="333"/>
      <c r="CO87" s="333"/>
      <c r="CP87" s="333"/>
      <c r="CQ87" s="333"/>
      <c r="CR87" s="333"/>
      <c r="CS87" s="333"/>
      <c r="CT87" s="333"/>
      <c r="CU87" s="333"/>
      <c r="CV87" s="333"/>
      <c r="CW87" s="333"/>
      <c r="CX87" s="333"/>
      <c r="CY87" s="333"/>
      <c r="CZ87" s="333"/>
      <c r="DA87" s="333"/>
      <c r="DB87" s="333"/>
      <c r="DC87" s="333"/>
      <c r="DD87" s="333"/>
      <c r="DE87" s="333"/>
      <c r="DF87" s="333"/>
      <c r="DG87" s="333"/>
      <c r="DH87" s="333"/>
      <c r="DI87" s="333"/>
      <c r="DJ87" s="333"/>
      <c r="DK87" s="333"/>
      <c r="DL87" s="333"/>
      <c r="DM87" s="333"/>
      <c r="DN87" s="333"/>
      <c r="DO87" s="333"/>
      <c r="DP87" s="333"/>
      <c r="DQ87" s="333"/>
      <c r="DR87" s="333"/>
      <c r="DS87" s="333"/>
      <c r="DT87" s="333"/>
      <c r="DU87" s="359"/>
      <c r="DV87" s="359"/>
      <c r="DW87" s="359"/>
      <c r="DX87" s="359"/>
      <c r="DY87" s="359"/>
      <c r="DZ87" s="359"/>
      <c r="EA87" s="359"/>
      <c r="EB87" s="359"/>
      <c r="EC87" s="769" t="str">
        <f t="shared" si="166"/>
        <v/>
      </c>
      <c r="ED87" s="889" t="str">
        <f>GE257</f>
        <v/>
      </c>
      <c r="EE87" s="890"/>
      <c r="EF87" s="476" t="str">
        <f>GG257</f>
        <v/>
      </c>
      <c r="EG87" s="893" t="str">
        <f>GL257</f>
        <v/>
      </c>
      <c r="EH87" s="893"/>
      <c r="EI87" s="506" t="str">
        <f>GQ257</f>
        <v/>
      </c>
      <c r="EJ87" s="373"/>
      <c r="EK87" s="373"/>
      <c r="EL87" s="366"/>
      <c r="EM87" s="368"/>
      <c r="EN87" s="365"/>
      <c r="EO87" s="353">
        <f>+IF(EO85= 0, 0, GG83)</f>
        <v>0</v>
      </c>
      <c r="EP87" s="350"/>
      <c r="EQ87" s="344"/>
      <c r="ER87" s="523"/>
      <c r="ES87" s="921">
        <f>IF(ER87 = "", 0,
IF(AND(EP87 &gt; 0, EQ87 &gt;0), 0, IF(EO83 &lt;&gt; $Z$1,
IF(AND(EP87 &lt;&gt; "", EP87 &lt;&gt; 0), -(EP87 * ER87 * 100),
IF(AND(EQ87 &lt;&gt; "", EQ87 &lt;&gt; 0), (EQ87 * ER87 * 100), 0)),
IF(AND(EP87 &lt;&gt; "", EP87 &lt;&gt; 0), -(EP87 * ER87 * 1),
IF(AND(EQ87 &lt;&gt; "", EQ87 &lt;&gt; 0), (EQ87 * ER87 * 1), 0))  )))</f>
        <v>0</v>
      </c>
      <c r="ET87" s="922"/>
      <c r="EU87" s="924"/>
      <c r="EV87" s="921">
        <f>IF(ER87 = "", 0,
IF(AND(EP87 &gt; 0, EQ87 &gt;0), 0,  IF(EO83 &lt;&gt; $Z$1,
IF(AND(EP87 &lt;&gt; "", EP87 &lt;&gt; 0), -(EP87 * ER87 * 100 * (1 + COMIS_OPCION)),
IF(AND(EQ87 &lt;&gt; "", EQ87 &lt;&gt; 0), (EQ87 * ER87 * 100 * (1 - COMIS_OPCION)), 0)),
IF(AND(EP87 &lt;&gt; "", EP87 &lt;&gt; 0), -(EP87 * ER87 * 1 * (1 + COMIS_ACCION)),
IF(AND(EQ87 &lt;&gt; "", EQ87 &lt;&gt; 0), (EQ87 * ER87 * 1 * (1 - COMIS_ACCION)), 0))  )))</f>
        <v>0</v>
      </c>
      <c r="EW87" s="922"/>
      <c r="EX87" s="922"/>
      <c r="EY87" s="922"/>
      <c r="EZ87" s="922"/>
      <c r="FA87" s="922"/>
      <c r="FB87" s="922"/>
      <c r="FC87" s="922"/>
      <c r="FD87" s="923"/>
      <c r="FE87" s="340"/>
      <c r="FF87" s="340"/>
      <c r="FG87" s="365"/>
      <c r="FH87" s="365"/>
      <c r="FI87" s="349">
        <f>+IF(FI85= 0, 0, GQ83)</f>
        <v>0</v>
      </c>
      <c r="FJ87" s="348"/>
      <c r="FK87" s="345"/>
      <c r="FL87" s="346"/>
      <c r="FM87" s="937">
        <f>IF(FL87 = "", 0,
IF(AND(FJ87 &gt; 0, FK87 &gt;0), 0,
IF(AND(FJ87 &lt;&gt; "", FJ87 &lt;&gt; 0), -(FJ87 * FL87 * 100),
IF(AND(FK87 &lt;&gt; "", FK87 &lt;&gt; 0), (FK87 * FL87 * 100), 0)) ))</f>
        <v>0</v>
      </c>
      <c r="FN87" s="938"/>
      <c r="FO87" s="939"/>
      <c r="FP87" s="937">
        <f>IF(FL87 = "", 0,
IF(AND(FJ87 &gt; 0, FK87 &gt;0), 0,
IF(AND(FJ87 &lt;&gt; "", FJ87 &lt;&gt; 0), -(FJ87 * FL87 * 100 * (1 + COMIS_OPCION)),
IF(AND(FK87 &lt;&gt; "", FK87 &lt;&gt; 0), (FK87 * FL87 * 100 * (1 - COMIS_OPCION)), 0)) ))</f>
        <v>0</v>
      </c>
      <c r="FQ87" s="938"/>
      <c r="FR87" s="938"/>
      <c r="FS87" s="938"/>
      <c r="FT87" s="938"/>
      <c r="FU87" s="938"/>
      <c r="FV87" s="938"/>
      <c r="FW87" s="938"/>
      <c r="FX87" s="969"/>
      <c r="FY87" s="341"/>
      <c r="FZ87" s="341"/>
      <c r="GA87" s="341"/>
      <c r="GB87" s="495">
        <v>0</v>
      </c>
      <c r="GC87" s="495">
        <v>0</v>
      </c>
      <c r="GD87" s="500"/>
      <c r="GE87" s="495">
        <v>0</v>
      </c>
      <c r="GF87" s="495">
        <v>0</v>
      </c>
      <c r="GG87" s="495">
        <v>0</v>
      </c>
      <c r="GH87" s="359"/>
      <c r="GI87" s="359"/>
      <c r="GJ87" s="501"/>
      <c r="GK87" s="495">
        <v>0</v>
      </c>
      <c r="GL87" s="495">
        <v>0</v>
      </c>
      <c r="GM87" s="495">
        <v>0</v>
      </c>
      <c r="GN87" s="359"/>
      <c r="GO87" s="359"/>
      <c r="GP87" s="501"/>
      <c r="GQ87" s="495">
        <v>0</v>
      </c>
      <c r="GR87" s="359"/>
      <c r="GS87" s="333"/>
      <c r="GT87" s="333"/>
      <c r="GU87" s="333"/>
      <c r="GV87" s="333"/>
      <c r="GW87" s="333"/>
      <c r="GX87" s="333"/>
      <c r="GY87" s="333"/>
      <c r="GZ87" s="333"/>
      <c r="HA87" s="333"/>
      <c r="HB87" s="333"/>
      <c r="HC87" s="333"/>
      <c r="HD87" s="333"/>
      <c r="HE87" s="333"/>
      <c r="HF87" s="333"/>
      <c r="HG87" s="331"/>
      <c r="HH87" s="331"/>
      <c r="HI87" s="331"/>
      <c r="HJ87" s="331"/>
      <c r="HK87" s="331"/>
      <c r="HL87" s="331"/>
      <c r="HM87" s="331"/>
      <c r="HN87" s="333"/>
      <c r="HO87" s="333"/>
      <c r="HP87" s="333"/>
      <c r="HQ87" s="333"/>
      <c r="HR87" s="333"/>
      <c r="HS87" s="333"/>
      <c r="HT87" s="333"/>
      <c r="HU87" s="333"/>
      <c r="HV87" s="333"/>
      <c r="HW87" s="333"/>
      <c r="HX87" s="333"/>
      <c r="HY87" s="333"/>
      <c r="HZ87" s="333"/>
      <c r="IA87" s="333"/>
      <c r="IB87" s="333"/>
      <c r="IC87" s="333"/>
      <c r="ID87" s="55"/>
      <c r="IE87" s="47"/>
      <c r="IH87" s="111" t="str">
        <f t="shared" si="175"/>
        <v/>
      </c>
      <c r="II87" s="111" t="str">
        <f t="shared" si="168"/>
        <v/>
      </c>
      <c r="IJ87" s="146">
        <v>32</v>
      </c>
      <c r="IK87" s="151" t="str">
        <f t="shared" si="180"/>
        <v/>
      </c>
      <c r="IL87" s="106" t="str">
        <f t="shared" si="180"/>
        <v/>
      </c>
      <c r="IM87" s="110" t="str">
        <f t="shared" si="180"/>
        <v/>
      </c>
      <c r="IN87" s="111" t="str">
        <f t="shared" si="170"/>
        <v/>
      </c>
      <c r="IO87" s="50" t="str">
        <f t="shared" si="185"/>
        <v/>
      </c>
      <c r="IP87" s="50" t="str">
        <f t="shared" si="185"/>
        <v/>
      </c>
      <c r="IQ87" s="50" t="str">
        <f t="shared" si="185"/>
        <v/>
      </c>
      <c r="IR87" s="50" t="str">
        <f t="shared" si="185"/>
        <v/>
      </c>
      <c r="IS87" s="50" t="str">
        <f t="shared" si="185"/>
        <v/>
      </c>
      <c r="IT87" s="50" t="str">
        <f t="shared" si="185"/>
        <v/>
      </c>
      <c r="IU87" s="50" t="str">
        <f t="shared" si="185"/>
        <v/>
      </c>
      <c r="IV87" s="50" t="str">
        <f t="shared" si="185"/>
        <v/>
      </c>
      <c r="IW87" s="50" t="str">
        <f t="shared" si="185"/>
        <v/>
      </c>
      <c r="IX87" s="50" t="str">
        <f t="shared" si="185"/>
        <v/>
      </c>
      <c r="IY87" s="50" t="str">
        <f t="shared" si="186"/>
        <v/>
      </c>
      <c r="IZ87" s="50" t="str">
        <f t="shared" si="186"/>
        <v/>
      </c>
      <c r="JA87" s="50" t="str">
        <f t="shared" si="186"/>
        <v/>
      </c>
      <c r="JB87" s="50" t="str">
        <f t="shared" si="186"/>
        <v/>
      </c>
      <c r="JC87" s="50" t="str">
        <f t="shared" si="186"/>
        <v/>
      </c>
      <c r="JD87" s="50" t="str">
        <f t="shared" si="186"/>
        <v/>
      </c>
      <c r="JE87" s="50" t="str">
        <f t="shared" si="186"/>
        <v/>
      </c>
      <c r="JF87" s="50" t="str">
        <f t="shared" si="186"/>
        <v/>
      </c>
      <c r="JG87" s="50" t="str">
        <f t="shared" si="186"/>
        <v/>
      </c>
      <c r="JH87" s="50" t="str">
        <f t="shared" si="186"/>
        <v/>
      </c>
      <c r="JI87" s="50" t="str">
        <f t="shared" si="187"/>
        <v/>
      </c>
      <c r="JJ87" s="50" t="str">
        <f t="shared" si="187"/>
        <v/>
      </c>
      <c r="JK87" s="50" t="str">
        <f t="shared" si="187"/>
        <v/>
      </c>
      <c r="JL87" s="50" t="str">
        <f t="shared" si="187"/>
        <v/>
      </c>
      <c r="JM87" s="50" t="str">
        <f t="shared" si="187"/>
        <v/>
      </c>
      <c r="JN87" s="50" t="str">
        <f t="shared" si="187"/>
        <v/>
      </c>
      <c r="JO87" s="50" t="str">
        <f t="shared" si="187"/>
        <v/>
      </c>
      <c r="JP87" s="50" t="str">
        <f t="shared" si="187"/>
        <v/>
      </c>
      <c r="JQ87" s="50" t="str">
        <f t="shared" si="187"/>
        <v/>
      </c>
      <c r="JR87" s="50" t="str">
        <f t="shared" si="187"/>
        <v/>
      </c>
      <c r="JS87" s="50" t="str">
        <f t="shared" si="188"/>
        <v/>
      </c>
      <c r="JT87" s="50" t="str">
        <f t="shared" si="188"/>
        <v/>
      </c>
      <c r="JU87" s="50" t="str">
        <f t="shared" si="188"/>
        <v/>
      </c>
      <c r="JV87" s="50" t="str">
        <f t="shared" si="188"/>
        <v/>
      </c>
      <c r="JW87" s="50" t="str">
        <f t="shared" si="188"/>
        <v/>
      </c>
      <c r="JX87" s="50" t="str">
        <f t="shared" si="188"/>
        <v/>
      </c>
      <c r="JY87" s="50" t="str">
        <f t="shared" si="188"/>
        <v/>
      </c>
      <c r="JZ87" s="50" t="str">
        <f t="shared" si="188"/>
        <v/>
      </c>
      <c r="KA87" s="50" t="str">
        <f t="shared" si="188"/>
        <v/>
      </c>
      <c r="KB87" s="50" t="str">
        <f t="shared" si="188"/>
        <v/>
      </c>
      <c r="KC87" s="50" t="str">
        <f t="shared" si="188"/>
        <v/>
      </c>
      <c r="KD87" s="50" t="str">
        <f t="shared" si="188"/>
        <v/>
      </c>
    </row>
    <row r="88" spans="13:290" s="142" customFormat="1" ht="15" customHeight="1" thickBot="1">
      <c r="M88" s="333"/>
      <c r="N88" s="333"/>
      <c r="O88" s="333"/>
      <c r="P88" s="333"/>
      <c r="Q88" s="333"/>
      <c r="R88" s="333"/>
      <c r="S88" s="333"/>
      <c r="T88" s="333"/>
      <c r="U88" s="333"/>
      <c r="V88" s="333"/>
      <c r="W88" s="333"/>
      <c r="X88" s="333"/>
      <c r="Y88" s="333"/>
      <c r="Z88" s="333"/>
      <c r="AA88" s="333"/>
      <c r="AB88" s="333"/>
      <c r="AC88" s="333"/>
      <c r="AD88" s="333"/>
      <c r="AE88" s="333"/>
      <c r="AF88" s="333"/>
      <c r="AG88" s="333"/>
      <c r="AH88" s="333"/>
      <c r="AI88" s="333"/>
      <c r="AJ88" s="333"/>
      <c r="AK88" s="333"/>
      <c r="AL88" s="333"/>
      <c r="AM88" s="333"/>
      <c r="AN88" s="333"/>
      <c r="AO88" s="333"/>
      <c r="AP88" s="333"/>
      <c r="AQ88" s="333"/>
      <c r="AR88" s="333"/>
      <c r="AS88" s="333"/>
      <c r="AT88" s="333"/>
      <c r="AU88" s="333"/>
      <c r="AV88" s="333"/>
      <c r="AW88" s="333"/>
      <c r="AX88" s="333"/>
      <c r="AY88" s="333"/>
      <c r="AZ88" s="333"/>
      <c r="BA88" s="333"/>
      <c r="BB88" s="333"/>
      <c r="BC88" s="333"/>
      <c r="BD88" s="333"/>
      <c r="BE88" s="333"/>
      <c r="BF88" s="333"/>
      <c r="BG88" s="333"/>
      <c r="BH88" s="333"/>
      <c r="BI88" s="333"/>
      <c r="BJ88" s="333"/>
      <c r="BK88" s="333"/>
      <c r="BL88" s="333"/>
      <c r="BM88" s="333"/>
      <c r="BN88" s="333"/>
      <c r="BO88" s="333"/>
      <c r="BP88" s="333"/>
      <c r="BQ88" s="333"/>
      <c r="BR88" s="333"/>
      <c r="BS88" s="333"/>
      <c r="BT88" s="333"/>
      <c r="BU88" s="333"/>
      <c r="BV88" s="333"/>
      <c r="BW88" s="333"/>
      <c r="BX88" s="333"/>
      <c r="BY88" s="333"/>
      <c r="BZ88" s="333"/>
      <c r="CA88" s="333"/>
      <c r="CB88" s="333"/>
      <c r="CC88" s="333"/>
      <c r="CD88" s="333"/>
      <c r="CE88" s="333"/>
      <c r="CF88" s="333"/>
      <c r="CG88" s="333"/>
      <c r="CH88" s="333"/>
      <c r="CI88" s="333"/>
      <c r="CJ88" s="333"/>
      <c r="CK88" s="333"/>
      <c r="CL88" s="333"/>
      <c r="CM88" s="333"/>
      <c r="CN88" s="333"/>
      <c r="CO88" s="333"/>
      <c r="CP88" s="333"/>
      <c r="CQ88" s="333"/>
      <c r="CR88" s="333"/>
      <c r="CS88" s="333"/>
      <c r="CT88" s="333"/>
      <c r="CU88" s="333"/>
      <c r="CV88" s="333"/>
      <c r="CW88" s="333"/>
      <c r="CX88" s="333"/>
      <c r="CY88" s="333"/>
      <c r="CZ88" s="333"/>
      <c r="DA88" s="333"/>
      <c r="DB88" s="333"/>
      <c r="DC88" s="333"/>
      <c r="DD88" s="333"/>
      <c r="DE88" s="333"/>
      <c r="DF88" s="333"/>
      <c r="DG88" s="333"/>
      <c r="DH88" s="333"/>
      <c r="DI88" s="333"/>
      <c r="DJ88" s="333"/>
      <c r="DK88" s="333"/>
      <c r="DL88" s="333"/>
      <c r="DM88" s="333"/>
      <c r="DN88" s="333"/>
      <c r="DO88" s="333"/>
      <c r="DP88" s="333"/>
      <c r="DQ88" s="333"/>
      <c r="DR88" s="333"/>
      <c r="DS88" s="333"/>
      <c r="DT88" s="333"/>
      <c r="DU88" s="359"/>
      <c r="DV88" s="359"/>
      <c r="DW88" s="359"/>
      <c r="DX88" s="359"/>
      <c r="DY88" s="359"/>
      <c r="DZ88" s="359"/>
      <c r="EA88" s="359"/>
      <c r="EB88" s="359"/>
      <c r="EC88" s="769" t="str">
        <f t="shared" si="166"/>
        <v/>
      </c>
      <c r="ED88" s="889" t="str">
        <f>GE263</f>
        <v/>
      </c>
      <c r="EE88" s="890"/>
      <c r="EF88" s="476" t="str">
        <f>GG263</f>
        <v/>
      </c>
      <c r="EG88" s="893" t="str">
        <f>GL263</f>
        <v/>
      </c>
      <c r="EH88" s="893"/>
      <c r="EI88" s="506" t="str">
        <f>GQ263</f>
        <v/>
      </c>
      <c r="EJ88" s="373"/>
      <c r="EK88" s="373"/>
      <c r="EL88" s="366"/>
      <c r="EM88" s="366"/>
      <c r="EN88" s="364"/>
      <c r="EO88" s="363"/>
      <c r="EP88" s="340"/>
      <c r="EQ88" s="340"/>
      <c r="ER88" s="340"/>
      <c r="ES88" s="363"/>
      <c r="ET88" s="363"/>
      <c r="EU88" s="340"/>
      <c r="EV88" s="340"/>
      <c r="EW88" s="340"/>
      <c r="EX88" s="340"/>
      <c r="EY88" s="340"/>
      <c r="EZ88" s="340"/>
      <c r="FA88" s="340"/>
      <c r="FB88" s="402"/>
      <c r="FC88" s="402"/>
      <c r="FD88" s="340"/>
      <c r="FE88" s="340"/>
      <c r="FF88" s="340"/>
      <c r="FG88" s="364"/>
      <c r="FH88" s="364"/>
      <c r="FI88" s="363"/>
      <c r="FJ88" s="360"/>
      <c r="FK88" s="360"/>
      <c r="FL88" s="340"/>
      <c r="FM88" s="967"/>
      <c r="FN88" s="967"/>
      <c r="FO88" s="967"/>
      <c r="FP88" s="968"/>
      <c r="FQ88" s="968"/>
      <c r="FR88" s="968"/>
      <c r="FS88" s="968"/>
      <c r="FT88" s="968"/>
      <c r="FU88" s="968"/>
      <c r="FV88" s="968"/>
      <c r="FW88" s="968"/>
      <c r="FX88" s="968"/>
      <c r="FY88" s="341"/>
      <c r="FZ88" s="341"/>
      <c r="GA88" s="341"/>
      <c r="GB88" s="495">
        <v>0</v>
      </c>
      <c r="GC88" s="495">
        <v>0</v>
      </c>
      <c r="GD88" s="500"/>
      <c r="GE88" s="495">
        <v>0</v>
      </c>
      <c r="GF88" s="495">
        <v>0</v>
      </c>
      <c r="GG88" s="495">
        <v>0</v>
      </c>
      <c r="GH88" s="359"/>
      <c r="GI88" s="359"/>
      <c r="GJ88" s="501"/>
      <c r="GK88" s="495">
        <v>0</v>
      </c>
      <c r="GL88" s="495">
        <v>0</v>
      </c>
      <c r="GM88" s="495">
        <v>0</v>
      </c>
      <c r="GN88" s="359"/>
      <c r="GO88" s="359"/>
      <c r="GP88" s="501"/>
      <c r="GQ88" s="495">
        <v>0</v>
      </c>
      <c r="GR88" s="359"/>
      <c r="GS88" s="333"/>
      <c r="GT88" s="333"/>
      <c r="GU88" s="333"/>
      <c r="GV88" s="333"/>
      <c r="GW88" s="333"/>
      <c r="GX88" s="333"/>
      <c r="GY88" s="333"/>
      <c r="GZ88" s="333"/>
      <c r="HA88" s="333"/>
      <c r="HB88" s="333"/>
      <c r="HC88" s="333"/>
      <c r="HD88" s="333"/>
      <c r="HE88" s="333"/>
      <c r="HF88" s="333"/>
      <c r="HG88" s="331"/>
      <c r="HH88" s="331"/>
      <c r="HI88" s="331"/>
      <c r="HJ88" s="331"/>
      <c r="HK88" s="331"/>
      <c r="HL88" s="331"/>
      <c r="HM88" s="331"/>
      <c r="HN88" s="333"/>
      <c r="HO88" s="333"/>
      <c r="HP88" s="333"/>
      <c r="HQ88" s="333"/>
      <c r="HR88" s="333"/>
      <c r="HS88" s="333"/>
      <c r="HT88" s="333"/>
      <c r="HU88" s="333"/>
      <c r="HV88" s="333"/>
      <c r="HW88" s="333"/>
      <c r="HX88" s="333"/>
      <c r="HY88" s="333"/>
      <c r="HZ88" s="333"/>
      <c r="IA88" s="333"/>
      <c r="IB88" s="333"/>
      <c r="IC88" s="333"/>
      <c r="ID88" s="55"/>
      <c r="IE88" s="47"/>
      <c r="IH88" s="111" t="str">
        <f t="shared" si="175"/>
        <v/>
      </c>
      <c r="II88" s="111" t="str">
        <f t="shared" si="168"/>
        <v/>
      </c>
      <c r="IJ88" s="146">
        <v>33</v>
      </c>
      <c r="IK88" s="151" t="str">
        <f t="shared" si="180"/>
        <v/>
      </c>
      <c r="IL88" s="106" t="str">
        <f t="shared" si="180"/>
        <v/>
      </c>
      <c r="IM88" s="110" t="str">
        <f t="shared" si="180"/>
        <v/>
      </c>
      <c r="IN88" s="111" t="str">
        <f t="shared" si="170"/>
        <v/>
      </c>
      <c r="IO88" s="50" t="str">
        <f t="shared" si="185"/>
        <v/>
      </c>
      <c r="IP88" s="50" t="str">
        <f t="shared" si="185"/>
        <v/>
      </c>
      <c r="IQ88" s="50" t="str">
        <f t="shared" si="185"/>
        <v/>
      </c>
      <c r="IR88" s="50" t="str">
        <f t="shared" si="185"/>
        <v/>
      </c>
      <c r="IS88" s="50" t="str">
        <f t="shared" si="185"/>
        <v/>
      </c>
      <c r="IT88" s="50" t="str">
        <f t="shared" si="185"/>
        <v/>
      </c>
      <c r="IU88" s="50" t="str">
        <f t="shared" si="185"/>
        <v/>
      </c>
      <c r="IV88" s="50" t="str">
        <f t="shared" si="185"/>
        <v/>
      </c>
      <c r="IW88" s="50" t="str">
        <f t="shared" si="185"/>
        <v/>
      </c>
      <c r="IX88" s="50" t="str">
        <f t="shared" si="185"/>
        <v/>
      </c>
      <c r="IY88" s="50" t="str">
        <f t="shared" si="186"/>
        <v/>
      </c>
      <c r="IZ88" s="50" t="str">
        <f t="shared" si="186"/>
        <v/>
      </c>
      <c r="JA88" s="50" t="str">
        <f t="shared" si="186"/>
        <v/>
      </c>
      <c r="JB88" s="50" t="str">
        <f t="shared" si="186"/>
        <v/>
      </c>
      <c r="JC88" s="50" t="str">
        <f t="shared" si="186"/>
        <v/>
      </c>
      <c r="JD88" s="50" t="str">
        <f t="shared" si="186"/>
        <v/>
      </c>
      <c r="JE88" s="50" t="str">
        <f t="shared" si="186"/>
        <v/>
      </c>
      <c r="JF88" s="50" t="str">
        <f t="shared" si="186"/>
        <v/>
      </c>
      <c r="JG88" s="50" t="str">
        <f t="shared" si="186"/>
        <v/>
      </c>
      <c r="JH88" s="50" t="str">
        <f t="shared" si="186"/>
        <v/>
      </c>
      <c r="JI88" s="50" t="str">
        <f t="shared" si="187"/>
        <v/>
      </c>
      <c r="JJ88" s="50" t="str">
        <f t="shared" si="187"/>
        <v/>
      </c>
      <c r="JK88" s="50" t="str">
        <f t="shared" si="187"/>
        <v/>
      </c>
      <c r="JL88" s="50" t="str">
        <f t="shared" si="187"/>
        <v/>
      </c>
      <c r="JM88" s="50" t="str">
        <f t="shared" si="187"/>
        <v/>
      </c>
      <c r="JN88" s="50" t="str">
        <f t="shared" si="187"/>
        <v/>
      </c>
      <c r="JO88" s="50" t="str">
        <f t="shared" si="187"/>
        <v/>
      </c>
      <c r="JP88" s="50" t="str">
        <f t="shared" si="187"/>
        <v/>
      </c>
      <c r="JQ88" s="50" t="str">
        <f t="shared" si="187"/>
        <v/>
      </c>
      <c r="JR88" s="50" t="str">
        <f t="shared" si="187"/>
        <v/>
      </c>
      <c r="JS88" s="50" t="str">
        <f t="shared" si="188"/>
        <v/>
      </c>
      <c r="JT88" s="50" t="str">
        <f t="shared" si="188"/>
        <v/>
      </c>
      <c r="JU88" s="50" t="str">
        <f t="shared" si="188"/>
        <v/>
      </c>
      <c r="JV88" s="50" t="str">
        <f t="shared" si="188"/>
        <v/>
      </c>
      <c r="JW88" s="50" t="str">
        <f t="shared" si="188"/>
        <v/>
      </c>
      <c r="JX88" s="50" t="str">
        <f t="shared" si="188"/>
        <v/>
      </c>
      <c r="JY88" s="50" t="str">
        <f t="shared" si="188"/>
        <v/>
      </c>
      <c r="JZ88" s="50" t="str">
        <f t="shared" si="188"/>
        <v/>
      </c>
      <c r="KA88" s="50" t="str">
        <f t="shared" si="188"/>
        <v/>
      </c>
      <c r="KB88" s="50" t="str">
        <f t="shared" si="188"/>
        <v/>
      </c>
      <c r="KC88" s="50" t="str">
        <f t="shared" si="188"/>
        <v/>
      </c>
      <c r="KD88" s="50" t="str">
        <f t="shared" si="188"/>
        <v/>
      </c>
    </row>
    <row r="89" spans="13:290" s="142" customFormat="1" ht="15" customHeight="1">
      <c r="M89" s="333"/>
      <c r="N89" s="333"/>
      <c r="O89" s="333"/>
      <c r="P89" s="333"/>
      <c r="Q89" s="333"/>
      <c r="R89" s="333"/>
      <c r="S89" s="333"/>
      <c r="T89" s="333"/>
      <c r="U89" s="333"/>
      <c r="V89" s="333"/>
      <c r="W89" s="333"/>
      <c r="X89" s="333"/>
      <c r="Y89" s="333"/>
      <c r="Z89" s="333"/>
      <c r="AA89" s="333"/>
      <c r="AB89" s="333"/>
      <c r="AC89" s="333"/>
      <c r="AD89" s="333"/>
      <c r="AE89" s="333"/>
      <c r="AF89" s="333"/>
      <c r="AG89" s="333"/>
      <c r="AH89" s="333"/>
      <c r="AI89" s="333"/>
      <c r="AJ89" s="333"/>
      <c r="AK89" s="333"/>
      <c r="AL89" s="333"/>
      <c r="AM89" s="333"/>
      <c r="AN89" s="333"/>
      <c r="AO89" s="333"/>
      <c r="AP89" s="333"/>
      <c r="AQ89" s="333"/>
      <c r="AR89" s="333"/>
      <c r="AS89" s="333"/>
      <c r="AT89" s="333"/>
      <c r="AU89" s="333"/>
      <c r="AV89" s="333"/>
      <c r="AW89" s="333"/>
      <c r="AX89" s="333"/>
      <c r="AY89" s="333"/>
      <c r="AZ89" s="333"/>
      <c r="BA89" s="333"/>
      <c r="BB89" s="333"/>
      <c r="BC89" s="333"/>
      <c r="BD89" s="333"/>
      <c r="BE89" s="333"/>
      <c r="BF89" s="333"/>
      <c r="BG89" s="333"/>
      <c r="BH89" s="333"/>
      <c r="BI89" s="333"/>
      <c r="BJ89" s="333"/>
      <c r="BK89" s="333"/>
      <c r="BL89" s="333"/>
      <c r="BM89" s="333"/>
      <c r="BN89" s="333"/>
      <c r="BO89" s="333"/>
      <c r="BP89" s="333"/>
      <c r="BQ89" s="333"/>
      <c r="BR89" s="333"/>
      <c r="BS89" s="333"/>
      <c r="BT89" s="333"/>
      <c r="BU89" s="333"/>
      <c r="BV89" s="333"/>
      <c r="BW89" s="333"/>
      <c r="BX89" s="333"/>
      <c r="BY89" s="333"/>
      <c r="BZ89" s="333"/>
      <c r="CA89" s="333"/>
      <c r="CB89" s="333"/>
      <c r="CC89" s="333"/>
      <c r="CD89" s="333"/>
      <c r="CE89" s="333"/>
      <c r="CF89" s="333"/>
      <c r="CG89" s="333"/>
      <c r="CH89" s="333"/>
      <c r="CI89" s="333"/>
      <c r="CJ89" s="333"/>
      <c r="CK89" s="333"/>
      <c r="CL89" s="333"/>
      <c r="CM89" s="333"/>
      <c r="CN89" s="333"/>
      <c r="CO89" s="333"/>
      <c r="CP89" s="333"/>
      <c r="CQ89" s="333"/>
      <c r="CR89" s="333"/>
      <c r="CS89" s="333"/>
      <c r="CT89" s="333"/>
      <c r="CU89" s="333"/>
      <c r="CV89" s="333"/>
      <c r="CW89" s="333"/>
      <c r="CX89" s="333"/>
      <c r="CY89" s="333"/>
      <c r="CZ89" s="333"/>
      <c r="DA89" s="333"/>
      <c r="DB89" s="333"/>
      <c r="DC89" s="333"/>
      <c r="DD89" s="333"/>
      <c r="DE89" s="333"/>
      <c r="DF89" s="333"/>
      <c r="DG89" s="333"/>
      <c r="DH89" s="333"/>
      <c r="DI89" s="333"/>
      <c r="DJ89" s="333"/>
      <c r="DK89" s="333"/>
      <c r="DL89" s="333"/>
      <c r="DM89" s="333"/>
      <c r="DN89" s="333"/>
      <c r="DO89" s="333"/>
      <c r="DP89" s="333"/>
      <c r="DQ89" s="333"/>
      <c r="DR89" s="333"/>
      <c r="DS89" s="333"/>
      <c r="DT89" s="333"/>
      <c r="DU89" s="359"/>
      <c r="DV89" s="359"/>
      <c r="DW89" s="359"/>
      <c r="DX89" s="359"/>
      <c r="DY89" s="359"/>
      <c r="DZ89" s="359"/>
      <c r="EA89" s="359"/>
      <c r="EB89" s="359"/>
      <c r="EC89" s="769" t="str">
        <f t="shared" si="166"/>
        <v/>
      </c>
      <c r="ED89" s="889" t="str">
        <f>GE269</f>
        <v/>
      </c>
      <c r="EE89" s="890"/>
      <c r="EF89" s="476" t="str">
        <f>GG269</f>
        <v/>
      </c>
      <c r="EG89" s="893" t="str">
        <f>GL269</f>
        <v/>
      </c>
      <c r="EH89" s="893"/>
      <c r="EI89" s="506" t="str">
        <f>GQ269</f>
        <v/>
      </c>
      <c r="EJ89" s="373"/>
      <c r="EK89" s="373"/>
      <c r="EL89" s="366"/>
      <c r="EM89" s="366"/>
      <c r="EN89" s="364">
        <f>+EN83+1</f>
        <v>7</v>
      </c>
      <c r="EO89" s="356">
        <f>+VLOOKUP(EN89, PRECIOS_EJERCICIOS,  2,FALSE)</f>
        <v>160</v>
      </c>
      <c r="EP89" s="513" t="str">
        <f>+IF($AQ$49 = FALSE, "",
IF(VLOOKUP(EO89, basesCantPrimaBrutoRes, 2,FALSE) &gt;= 0, VLOOKUP(EO89, basesCantPrimaBrutoRes, 2,FALSE), 0))</f>
        <v/>
      </c>
      <c r="EQ89" s="514" t="str">
        <f>+IF($AQ$49 = FALSE, "",
IF(VLOOKUP(EO89, basesCantPrimaBrutoRes, 2,FALSE) &lt; 0, -VLOOKUP(EO89, basesCantPrimaBrutoRes, 2,FALSE), 0))</f>
        <v/>
      </c>
      <c r="ER89" s="521" t="str">
        <f>IF($AQ$49 = FALSE, "",
VLOOKUP(EO89, basesCantPrimaBrutoRes, 4,FALSE))</f>
        <v/>
      </c>
      <c r="ES89" s="926">
        <f>IF(ER89 = "", 0,
IF(AND(EP89 &gt; 0, EQ89 &gt;0), 0, IF(EO89 &lt;&gt; $Z$1,
IF(AND(EP89 &lt;&gt; "", EP89 &lt;&gt; 0), -(EP89 * ER89 * 100),
IF(AND(EQ89 &lt;&gt; "", EQ89 &lt;&gt; 0), (EQ89 * ER89 * 100), 0)),
IF(AND(EP89 &lt;&gt; "", EP89 &lt;&gt; 0), -(EP89 * ER89 * 1),
IF(AND(EQ89 &lt;&gt; "", EQ89 &lt;&gt; 0), (EQ89 * ER89 * 1), 0))  )))</f>
        <v>0</v>
      </c>
      <c r="ET89" s="927"/>
      <c r="EU89" s="928"/>
      <c r="EV89" s="926">
        <f>IF(ER89 = "", 0,
IF(AND(EP89 &gt; 0, EQ89 &gt;0), 0,  IF(EO89 &lt;&gt; $Z$1,
IF(AND(EP89 &lt;&gt; "", EP89 &lt;&gt; 0), -(EP89 * ER89 * 100 * (1 + COMIS_OPCION)),
IF(AND(EQ89 &lt;&gt; "", EQ89 &lt;&gt; 0), (EQ89 * ER89 * 100 * (1 - COMIS_OPCION)), 0)),
IF(AND(EP89 &lt;&gt; "", EP89 &lt;&gt; 0), -(EP89 * ER89 * 1 * (1 + COMIS_ACCION)),
IF(AND(EQ89 &lt;&gt; "", EQ89 &lt;&gt; 0), (EQ89 * ER89 * 1 * (1 - COMIS_ACCION)), 0))  )))</f>
        <v>0</v>
      </c>
      <c r="EW89" s="927"/>
      <c r="EX89" s="927"/>
      <c r="EY89" s="927"/>
      <c r="EZ89" s="927"/>
      <c r="FA89" s="927"/>
      <c r="FB89" s="927"/>
      <c r="FC89" s="927"/>
      <c r="FD89" s="929"/>
      <c r="FE89" s="340"/>
      <c r="FF89" s="340"/>
      <c r="FG89" s="364"/>
      <c r="FH89" s="364">
        <f>+FH83+1</f>
        <v>7</v>
      </c>
      <c r="FI89" s="357">
        <f>+VLOOKUP(FH89, PRECIOS_EJERCICIOS,  2,FALSE)</f>
        <v>160</v>
      </c>
      <c r="FJ89" s="515" t="str">
        <f>+IF($AQ$49 = FALSE, "",
IF(VLOOKUP(EO89, basesCantPrimaBrutoRes, 5,FALSE) &gt;= 0, VLOOKUP(EO89, basesCantPrimaBrutoRes, 5,FALSE), 0))</f>
        <v/>
      </c>
      <c r="FK89" s="516" t="str">
        <f>+IF($AQ$49 = FALSE, "",
IF(VLOOKUP(EO89, basesCantPrimaBrutoRes, 5,FALSE) &lt; 0, -VLOOKUP(EO89, basesCantPrimaBrutoRes, 5,FALSE), 0))</f>
        <v/>
      </c>
      <c r="FL89" s="517" t="str">
        <f>IF($AQ$49 = FALSE, "",
VLOOKUP(EO89, basesCantPrimaBrutoRes, 7,FALSE))</f>
        <v/>
      </c>
      <c r="FM89" s="934">
        <f>IF(FL89 = "", 0,
IF(AND(FJ89 &gt; 0, FK89 &gt;0), 0,
IF(AND(FJ89 &lt;&gt; "", FJ89 &lt;&gt; 0), -(FJ89 * FL89 * 100),
IF(AND(FK89 &lt;&gt; "", FK89 &lt;&gt; 0), (FK89 * FL89 * 100), 0)) ))</f>
        <v>0</v>
      </c>
      <c r="FN89" s="935"/>
      <c r="FO89" s="936"/>
      <c r="FP89" s="934">
        <f>IF(FL89 = "", 0,
IF(AND(FJ89 &gt; 0, FK89 &gt;0), 0,
IF(AND(FJ89 &lt;&gt; "", FJ89 &lt;&gt; 0), -(FJ89 * FL89 * 100 * (1 + COMIS_OPCION)),
IF(AND(FK89 &lt;&gt; "", FK89 &lt;&gt; 0), (FK89 * FL89 * 100 * (1 - COMIS_OPCION)), 0)) ))</f>
        <v>0</v>
      </c>
      <c r="FQ89" s="935"/>
      <c r="FR89" s="935"/>
      <c r="FS89" s="935"/>
      <c r="FT89" s="935"/>
      <c r="FU89" s="935"/>
      <c r="FV89" s="935"/>
      <c r="FW89" s="935"/>
      <c r="FX89" s="966"/>
      <c r="FY89" s="341"/>
      <c r="FZ89" s="341"/>
      <c r="GA89" s="341"/>
      <c r="GB89" s="495">
        <f>+IF(EN89 = "", "", EO89)</f>
        <v>160</v>
      </c>
      <c r="GC89" s="495" t="str">
        <f>+IF(GB89="", "", IF(EO89 = $Z$1, "ACCION", "CALL"))</f>
        <v>CALL</v>
      </c>
      <c r="GD89" s="500"/>
      <c r="GE89" s="495">
        <f>+IF(GB89= "", "", EO91)</f>
        <v>0</v>
      </c>
      <c r="GF89" s="495">
        <f>+IF(GB89 = "", "", IFERROR(IF(GB89 &lt;&gt; $Z$1,
IF(GE89 &gt; 0, SUMIFS(ES89:ES93, EP89:EP93, "&gt;0", ES89:ES93, "&lt;&gt;0") / SUMIFS(EP89:EP93, EP89:EP93, "&gt;0", ES89:ES93, "&lt;&gt;0") / -100,
IF(GE89 &lt; 0, SUMIFS(ES89:ES93, EQ89:EQ93, "&gt;0", ES89:ES93, "&lt;&gt;0") / SUMIFS(EQ89:EQ93, EQ89:EQ93, "&gt;0", ES89:ES93, "&lt;&gt;0") / 100, 0)),
IF(GE89 &gt; 0, SUMIFS(ES89:ES93, EP89:EP93, "&gt;0", ES89:ES93, "&lt;&gt;0") / SUMIFS(EP89:EP93, EP89:EP93, "&gt;0", ES89:ES93, "&lt;&gt;0") / -1,
IF(GE89 &lt; 0, SUMIFS(ES89:ES93, EQ89:EQ93, "&gt;0", ES89:ES93, "&lt;&gt;0") / SUMIFS(EQ89:EQ93, EQ89:EQ93, "&gt;0", ES89:ES93, "&lt;&gt;0") / 1, 0)) ), 0))</f>
        <v>0</v>
      </c>
      <c r="GG89" s="495">
        <f>+IF(GB89 = "", "", IFERROR(IF(GB89 &lt;&gt; $Z$1,
IF(GE89 &gt; 0, SUMIFS(EV89:EV93, EP89:EP93, "&gt;0", EV89:EV93, "&lt;&gt;0") / SUMIFS(EP89:EP93, EP89:EP93, "&gt;0", EV89:EV93, "&lt;&gt;0") / -100,
IF(GE89 &lt; 0, SUMIFS(EV89:EV93, EQ89:EQ93, "&gt;0", EV89:EV93, "&lt;&gt;0") / SUMIFS(EQ89:EQ93, EQ89:EQ93, "&gt;0", EV89:EV93, "&lt;&gt;0") / 100, 0)),
IF(GE89 &gt; 0, SUMIFS(EV89:EV93, EP89:EP93, "&gt;0", EV89:EV93, "&lt;&gt;0") / SUMIFS(EP89:EP93, EP89:EP93, "&gt;0", EV89:EV93, "&lt;&gt;0") / -1,
IF(GE89 &lt; 0, SUMIFS(EV89:EV93, EQ89:EQ93, "&gt;0", EV89:EV93, "&lt;&gt;0") / SUMIFS(EQ89:EQ93, EQ89:EQ93, "&gt;0", EV89:EV93, "&lt;&gt;0") / 1, 0)) ), 0))</f>
        <v>0</v>
      </c>
      <c r="GH89" s="359"/>
      <c r="GI89" s="359"/>
      <c r="GJ89" s="501"/>
      <c r="GK89" s="495" t="str">
        <f>+IF(GB89="", "", "PUT")</f>
        <v>PUT</v>
      </c>
      <c r="GL89" s="495">
        <f>+IF(GB89 = "", "", FI91)</f>
        <v>0</v>
      </c>
      <c r="GM89" s="495">
        <f>+IF(GB89 = "", "", IFERROR(
IF(FI91 &gt; 0, SUMIFS(FM89:FM93, FJ89:FJ93, "&gt;0", FM89:FM93, "&lt;&gt;0") / SUMIFS(FJ89:FJ93, FJ89:FJ93, "&gt;0", FM89:FM93, "&lt;&gt;0") / -100,
IF(FI91 &lt; 0, SUMIFS(FM89:FM93, FK89:FK93, "&gt;0", FM89:FM93, "&lt;&gt;0") / SUMIFS(FK89:FK93, FK89:FK93, "&gt;0", FM89:FM93, "&lt;&gt;0") / 100, 0)), 0) )</f>
        <v>0</v>
      </c>
      <c r="GN89" s="359"/>
      <c r="GO89" s="359"/>
      <c r="GP89" s="501"/>
      <c r="GQ89" s="502">
        <f>+IF(GB89 = "", "", IFERROR(
IF(FI91 &gt; 0, SUMIFS(FP89:FP93, FJ89:FJ93, "&gt;0", FP89:FP93, "&lt;&gt;0") / SUMIFS(FJ89:FJ93, FJ89:FJ93, "&gt;0", FP89:FP93, "&lt;&gt;0") / -100,
IF(FI91 &lt; 0, SUMIFS(FP89:FP93, FK89:FK93, "&gt;0", FP89:FP93, "&lt;&gt;0") / SUMIFS(FK89:FK93, FK89:FK93, "&gt;0", FP89:FP93, "&lt;&gt;0") / 100, 0)), 0))</f>
        <v>0</v>
      </c>
      <c r="GR89" s="359"/>
      <c r="GS89" s="333"/>
      <c r="GT89" s="333"/>
      <c r="GU89" s="333"/>
      <c r="GV89" s="333"/>
      <c r="GW89" s="333"/>
      <c r="GX89" s="333"/>
      <c r="GY89" s="333"/>
      <c r="GZ89" s="333"/>
      <c r="HA89" s="333"/>
      <c r="HB89" s="333"/>
      <c r="HC89" s="333"/>
      <c r="HD89" s="333"/>
      <c r="HE89" s="333"/>
      <c r="HF89" s="333"/>
      <c r="HG89" s="331"/>
      <c r="HH89" s="331"/>
      <c r="HI89" s="331"/>
      <c r="HJ89" s="331"/>
      <c r="HK89" s="331"/>
      <c r="HL89" s="331"/>
      <c r="HM89" s="331"/>
      <c r="HN89" s="333"/>
      <c r="HO89" s="333"/>
      <c r="HP89" s="333"/>
      <c r="HQ89" s="333"/>
      <c r="HR89" s="333"/>
      <c r="HS89" s="333"/>
      <c r="HT89" s="333"/>
      <c r="HU89" s="333"/>
      <c r="HV89" s="333"/>
      <c r="HW89" s="333"/>
      <c r="HX89" s="333"/>
      <c r="HY89" s="333"/>
      <c r="HZ89" s="333"/>
      <c r="IA89" s="333"/>
      <c r="IB89" s="333"/>
      <c r="IC89" s="333"/>
      <c r="ID89" s="55"/>
      <c r="IE89" s="47"/>
      <c r="IH89" s="111" t="str">
        <f t="shared" si="175"/>
        <v/>
      </c>
      <c r="II89" s="111" t="str">
        <f t="shared" si="168"/>
        <v/>
      </c>
      <c r="IJ89" s="146">
        <v>34</v>
      </c>
      <c r="IK89" s="151" t="str">
        <f t="shared" si="180"/>
        <v/>
      </c>
      <c r="IL89" s="106" t="str">
        <f t="shared" si="180"/>
        <v/>
      </c>
      <c r="IM89" s="110" t="str">
        <f t="shared" si="180"/>
        <v/>
      </c>
      <c r="IN89" s="111" t="str">
        <f t="shared" si="170"/>
        <v/>
      </c>
      <c r="IO89" s="50" t="str">
        <f t="shared" si="185"/>
        <v/>
      </c>
      <c r="IP89" s="50" t="str">
        <f t="shared" si="185"/>
        <v/>
      </c>
      <c r="IQ89" s="50" t="str">
        <f t="shared" si="185"/>
        <v/>
      </c>
      <c r="IR89" s="50" t="str">
        <f t="shared" si="185"/>
        <v/>
      </c>
      <c r="IS89" s="50" t="str">
        <f t="shared" si="185"/>
        <v/>
      </c>
      <c r="IT89" s="50" t="str">
        <f t="shared" si="185"/>
        <v/>
      </c>
      <c r="IU89" s="50" t="str">
        <f t="shared" si="185"/>
        <v/>
      </c>
      <c r="IV89" s="50" t="str">
        <f t="shared" si="185"/>
        <v/>
      </c>
      <c r="IW89" s="50" t="str">
        <f t="shared" si="185"/>
        <v/>
      </c>
      <c r="IX89" s="50" t="str">
        <f t="shared" si="185"/>
        <v/>
      </c>
      <c r="IY89" s="50" t="str">
        <f t="shared" si="186"/>
        <v/>
      </c>
      <c r="IZ89" s="50" t="str">
        <f t="shared" si="186"/>
        <v/>
      </c>
      <c r="JA89" s="50" t="str">
        <f t="shared" si="186"/>
        <v/>
      </c>
      <c r="JB89" s="50" t="str">
        <f t="shared" si="186"/>
        <v/>
      </c>
      <c r="JC89" s="50" t="str">
        <f t="shared" si="186"/>
        <v/>
      </c>
      <c r="JD89" s="50" t="str">
        <f t="shared" si="186"/>
        <v/>
      </c>
      <c r="JE89" s="50" t="str">
        <f t="shared" si="186"/>
        <v/>
      </c>
      <c r="JF89" s="50" t="str">
        <f t="shared" si="186"/>
        <v/>
      </c>
      <c r="JG89" s="50" t="str">
        <f t="shared" si="186"/>
        <v/>
      </c>
      <c r="JH89" s="50" t="str">
        <f t="shared" si="186"/>
        <v/>
      </c>
      <c r="JI89" s="50" t="str">
        <f t="shared" si="187"/>
        <v/>
      </c>
      <c r="JJ89" s="50" t="str">
        <f t="shared" si="187"/>
        <v/>
      </c>
      <c r="JK89" s="50" t="str">
        <f t="shared" si="187"/>
        <v/>
      </c>
      <c r="JL89" s="50" t="str">
        <f t="shared" si="187"/>
        <v/>
      </c>
      <c r="JM89" s="50" t="str">
        <f t="shared" si="187"/>
        <v/>
      </c>
      <c r="JN89" s="50" t="str">
        <f t="shared" si="187"/>
        <v/>
      </c>
      <c r="JO89" s="50" t="str">
        <f t="shared" si="187"/>
        <v/>
      </c>
      <c r="JP89" s="50" t="str">
        <f t="shared" si="187"/>
        <v/>
      </c>
      <c r="JQ89" s="50" t="str">
        <f t="shared" si="187"/>
        <v/>
      </c>
      <c r="JR89" s="50" t="str">
        <f t="shared" si="187"/>
        <v/>
      </c>
      <c r="JS89" s="50" t="str">
        <f t="shared" si="188"/>
        <v/>
      </c>
      <c r="JT89" s="50" t="str">
        <f t="shared" si="188"/>
        <v/>
      </c>
      <c r="JU89" s="50" t="str">
        <f t="shared" si="188"/>
        <v/>
      </c>
      <c r="JV89" s="50" t="str">
        <f t="shared" si="188"/>
        <v/>
      </c>
      <c r="JW89" s="50" t="str">
        <f t="shared" si="188"/>
        <v/>
      </c>
      <c r="JX89" s="50" t="str">
        <f t="shared" si="188"/>
        <v/>
      </c>
      <c r="JY89" s="50" t="str">
        <f t="shared" si="188"/>
        <v/>
      </c>
      <c r="JZ89" s="50" t="str">
        <f t="shared" si="188"/>
        <v/>
      </c>
      <c r="KA89" s="50" t="str">
        <f t="shared" si="188"/>
        <v/>
      </c>
      <c r="KB89" s="50" t="str">
        <f t="shared" si="188"/>
        <v/>
      </c>
      <c r="KC89" s="50" t="str">
        <f t="shared" si="188"/>
        <v/>
      </c>
      <c r="KD89" s="50" t="str">
        <f t="shared" si="188"/>
        <v/>
      </c>
    </row>
    <row r="90" spans="13:290" s="142" customFormat="1" ht="15" customHeight="1">
      <c r="M90" s="333"/>
      <c r="N90" s="333"/>
      <c r="O90" s="333"/>
      <c r="P90" s="333"/>
      <c r="Q90" s="333"/>
      <c r="R90" s="333"/>
      <c r="S90" s="333"/>
      <c r="T90" s="333"/>
      <c r="U90" s="333"/>
      <c r="V90" s="333"/>
      <c r="W90" s="333"/>
      <c r="X90" s="333"/>
      <c r="Y90" s="333"/>
      <c r="Z90" s="333"/>
      <c r="AA90" s="333"/>
      <c r="AB90" s="333"/>
      <c r="AC90" s="333"/>
      <c r="AD90" s="333"/>
      <c r="AE90" s="333"/>
      <c r="AF90" s="333"/>
      <c r="AG90" s="333"/>
      <c r="AH90" s="333"/>
      <c r="AI90" s="333"/>
      <c r="AJ90" s="333"/>
      <c r="AK90" s="333"/>
      <c r="AL90" s="333"/>
      <c r="AM90" s="333"/>
      <c r="AN90" s="333"/>
      <c r="AO90" s="333"/>
      <c r="AP90" s="333"/>
      <c r="AQ90" s="333"/>
      <c r="AR90" s="333"/>
      <c r="AS90" s="333"/>
      <c r="AT90" s="333"/>
      <c r="AU90" s="333"/>
      <c r="AV90" s="333"/>
      <c r="AW90" s="333"/>
      <c r="AX90" s="333"/>
      <c r="AY90" s="333"/>
      <c r="AZ90" s="333"/>
      <c r="BA90" s="333"/>
      <c r="BB90" s="333"/>
      <c r="BC90" s="333"/>
      <c r="BD90" s="333"/>
      <c r="BE90" s="333"/>
      <c r="BF90" s="333"/>
      <c r="BG90" s="333"/>
      <c r="BH90" s="333"/>
      <c r="BI90" s="333"/>
      <c r="BJ90" s="333"/>
      <c r="BK90" s="333"/>
      <c r="BL90" s="333"/>
      <c r="BM90" s="333"/>
      <c r="BN90" s="333"/>
      <c r="BO90" s="333"/>
      <c r="BP90" s="333"/>
      <c r="BQ90" s="333"/>
      <c r="BR90" s="333"/>
      <c r="BS90" s="333"/>
      <c r="BT90" s="333"/>
      <c r="BU90" s="333"/>
      <c r="BV90" s="333"/>
      <c r="BW90" s="333"/>
      <c r="BX90" s="333"/>
      <c r="BY90" s="333"/>
      <c r="BZ90" s="333"/>
      <c r="CA90" s="333"/>
      <c r="CB90" s="333"/>
      <c r="CC90" s="333"/>
      <c r="CD90" s="333"/>
      <c r="CE90" s="333"/>
      <c r="CF90" s="333"/>
      <c r="CG90" s="333"/>
      <c r="CH90" s="333"/>
      <c r="CI90" s="333"/>
      <c r="CJ90" s="333"/>
      <c r="CK90" s="333"/>
      <c r="CL90" s="333"/>
      <c r="CM90" s="333"/>
      <c r="CN90" s="333"/>
      <c r="CO90" s="333"/>
      <c r="CP90" s="333"/>
      <c r="CQ90" s="333"/>
      <c r="CR90" s="333"/>
      <c r="CS90" s="333"/>
      <c r="CT90" s="333"/>
      <c r="CU90" s="333"/>
      <c r="CV90" s="333"/>
      <c r="CW90" s="333"/>
      <c r="CX90" s="333"/>
      <c r="CY90" s="333"/>
      <c r="CZ90" s="333"/>
      <c r="DA90" s="333"/>
      <c r="DB90" s="333"/>
      <c r="DC90" s="333"/>
      <c r="DD90" s="333"/>
      <c r="DE90" s="333"/>
      <c r="DF90" s="333"/>
      <c r="DG90" s="333"/>
      <c r="DH90" s="333"/>
      <c r="DI90" s="333"/>
      <c r="DJ90" s="333"/>
      <c r="DK90" s="333"/>
      <c r="DL90" s="333"/>
      <c r="DM90" s="333"/>
      <c r="DN90" s="333"/>
      <c r="DO90" s="333"/>
      <c r="DP90" s="333"/>
      <c r="DQ90" s="333"/>
      <c r="DR90" s="333"/>
      <c r="DS90" s="333"/>
      <c r="DT90" s="333"/>
      <c r="DU90" s="359"/>
      <c r="DV90" s="359"/>
      <c r="DW90" s="359"/>
      <c r="DX90" s="359"/>
      <c r="DY90" s="359"/>
      <c r="DZ90" s="359"/>
      <c r="EA90" s="359"/>
      <c r="EB90" s="359"/>
      <c r="EC90" s="769" t="str">
        <f t="shared" si="166"/>
        <v/>
      </c>
      <c r="ED90" s="889" t="str">
        <f>GE275</f>
        <v/>
      </c>
      <c r="EE90" s="890"/>
      <c r="EF90" s="476" t="str">
        <f>GG275</f>
        <v/>
      </c>
      <c r="EG90" s="893" t="str">
        <f>GL275</f>
        <v/>
      </c>
      <c r="EH90" s="893"/>
      <c r="EI90" s="506" t="str">
        <f>GQ275</f>
        <v/>
      </c>
      <c r="EJ90" s="373"/>
      <c r="EK90" s="373"/>
      <c r="EL90" s="366"/>
      <c r="EM90" s="366"/>
      <c r="EN90" s="364"/>
      <c r="EO90" s="351"/>
      <c r="EP90" s="347"/>
      <c r="EQ90" s="342"/>
      <c r="ER90" s="522"/>
      <c r="ES90" s="916">
        <f>IF(ER90 = "", 0,
IF(AND(EP90 &gt; 0, EQ90 &gt;0), 0, IF(EO89 &lt;&gt; $Z$1,
IF(AND(EP90 &lt;&gt; "", EP90 &lt;&gt; 0), -(EP90 * ER90 * 100),
IF(AND(EQ90 &lt;&gt; "", EQ90 &lt;&gt; 0), (EQ90 * ER90 * 100), 0)),
IF(AND(EP90 &lt;&gt; "", EP90 &lt;&gt; 0), -(EP90 * ER90 * 1),
IF(AND(EQ90 &lt;&gt; "", EQ90 &lt;&gt; 0), (EQ90 * ER90 * 1), 0))  )))</f>
        <v>0</v>
      </c>
      <c r="ET90" s="917"/>
      <c r="EU90" s="918"/>
      <c r="EV90" s="916">
        <f>IF(ER90 = "", 0,
IF(AND(EP90 &gt; 0, EQ90 &gt;0), 0,  IF(EO89 &lt;&gt; $Z$1,
IF(AND(EP90 &lt;&gt; "", EP90 &lt;&gt; 0), -(EP90 * ER90 * 100 * (1 + COMIS_OPCION)),
IF(AND(EQ90 &lt;&gt; "", EQ90 &lt;&gt; 0), (EQ90 * ER90 * 100 * (1 - COMIS_OPCION)), 0)),
IF(AND(EP90 &lt;&gt; "", EP90 &lt;&gt; 0), -(EP90 * ER90 * 1 * (1 + COMIS_ACCION)),
IF(AND(EQ90 &lt;&gt; "", EQ90 &lt;&gt; 0), (EQ90 * ER90 * 1 * (1 - COMIS_ACCION)), 0))  )))</f>
        <v>0</v>
      </c>
      <c r="EW90" s="917"/>
      <c r="EX90" s="917"/>
      <c r="EY90" s="917"/>
      <c r="EZ90" s="917"/>
      <c r="FA90" s="917"/>
      <c r="FB90" s="917"/>
      <c r="FC90" s="917"/>
      <c r="FD90" s="925"/>
      <c r="FE90" s="340"/>
      <c r="FF90" s="340"/>
      <c r="FG90" s="364"/>
      <c r="FH90" s="364"/>
      <c r="FI90" s="339"/>
      <c r="FJ90" s="347"/>
      <c r="FK90" s="342"/>
      <c r="FL90" s="343"/>
      <c r="FM90" s="930">
        <f>IF(FL90 = "", 0,
IF(AND(FJ90 &gt; 0, FK90 &gt;0), 0,
IF(AND(FJ90 &lt;&gt; "", FJ90 &lt;&gt; 0), -(FJ90 * FL90 * 100),
IF(AND(FK90 &lt;&gt; "", FK90 &lt;&gt; 0), (FK90 * FL90 * 100), 0)) ))</f>
        <v>0</v>
      </c>
      <c r="FN90" s="931"/>
      <c r="FO90" s="932"/>
      <c r="FP90" s="930">
        <f>IF(FL90 = "", 0,
IF(AND(FJ90 &gt; 0, FK90 &gt;0), 0,
IF(AND(FJ90 &lt;&gt; "", FJ90 &lt;&gt; 0), -(FJ90 * FL90 * 100 * (1 + COMIS_OPCION)),
IF(AND(FK90 &lt;&gt; "", FK90 &lt;&gt; 0), (FK90 * FL90 * 100 * (1 - COMIS_OPCION)), 0)) ))</f>
        <v>0</v>
      </c>
      <c r="FQ90" s="931"/>
      <c r="FR90" s="931"/>
      <c r="FS90" s="931"/>
      <c r="FT90" s="931"/>
      <c r="FU90" s="931"/>
      <c r="FV90" s="931"/>
      <c r="FW90" s="931"/>
      <c r="FX90" s="933"/>
      <c r="FY90" s="341"/>
      <c r="FZ90" s="341"/>
      <c r="GA90" s="341"/>
      <c r="GB90" s="495">
        <v>0</v>
      </c>
      <c r="GC90" s="495">
        <v>0</v>
      </c>
      <c r="GD90" s="500"/>
      <c r="GE90" s="495">
        <v>0</v>
      </c>
      <c r="GF90" s="495">
        <v>0</v>
      </c>
      <c r="GG90" s="495">
        <v>0</v>
      </c>
      <c r="GH90" s="359"/>
      <c r="GI90" s="359"/>
      <c r="GJ90" s="501"/>
      <c r="GK90" s="495">
        <v>0</v>
      </c>
      <c r="GL90" s="495">
        <v>0</v>
      </c>
      <c r="GM90" s="495">
        <v>0</v>
      </c>
      <c r="GN90" s="359"/>
      <c r="GO90" s="359"/>
      <c r="GP90" s="501"/>
      <c r="GQ90" s="495">
        <v>0</v>
      </c>
      <c r="GR90" s="359"/>
      <c r="GS90" s="333"/>
      <c r="GT90" s="333"/>
      <c r="GU90" s="333"/>
      <c r="GV90" s="333"/>
      <c r="GW90" s="333"/>
      <c r="GX90" s="333"/>
      <c r="GY90" s="333"/>
      <c r="GZ90" s="333"/>
      <c r="HA90" s="333"/>
      <c r="HB90" s="333"/>
      <c r="HC90" s="333"/>
      <c r="HD90" s="333"/>
      <c r="HE90" s="333"/>
      <c r="HF90" s="333"/>
      <c r="HG90" s="331"/>
      <c r="HH90" s="331"/>
      <c r="HI90" s="331"/>
      <c r="HJ90" s="331"/>
      <c r="HK90" s="331"/>
      <c r="HL90" s="331"/>
      <c r="HM90" s="331"/>
      <c r="HN90" s="333"/>
      <c r="HO90" s="333"/>
      <c r="HP90" s="333"/>
      <c r="HQ90" s="333"/>
      <c r="HR90" s="333"/>
      <c r="HS90" s="333"/>
      <c r="HT90" s="333"/>
      <c r="HU90" s="333"/>
      <c r="HV90" s="333"/>
      <c r="HW90" s="333"/>
      <c r="HX90" s="333"/>
      <c r="HY90" s="333"/>
      <c r="HZ90" s="333"/>
      <c r="IA90" s="333"/>
      <c r="IB90" s="333"/>
      <c r="IC90" s="333"/>
      <c r="ID90" s="55"/>
      <c r="IE90" s="47"/>
      <c r="IH90" s="111" t="str">
        <f t="shared" si="175"/>
        <v/>
      </c>
      <c r="II90" s="111" t="str">
        <f t="shared" si="168"/>
        <v/>
      </c>
      <c r="IJ90" s="146">
        <v>35</v>
      </c>
      <c r="IK90" s="151" t="str">
        <f t="shared" si="180"/>
        <v/>
      </c>
      <c r="IL90" s="106" t="str">
        <f t="shared" si="180"/>
        <v/>
      </c>
      <c r="IM90" s="110" t="str">
        <f t="shared" si="180"/>
        <v/>
      </c>
      <c r="IN90" s="111" t="str">
        <f t="shared" si="170"/>
        <v/>
      </c>
      <c r="IO90" s="50" t="str">
        <f t="shared" si="185"/>
        <v/>
      </c>
      <c r="IP90" s="50" t="str">
        <f t="shared" si="185"/>
        <v/>
      </c>
      <c r="IQ90" s="50" t="str">
        <f t="shared" si="185"/>
        <v/>
      </c>
      <c r="IR90" s="50" t="str">
        <f t="shared" si="185"/>
        <v/>
      </c>
      <c r="IS90" s="50" t="str">
        <f t="shared" si="185"/>
        <v/>
      </c>
      <c r="IT90" s="50" t="str">
        <f t="shared" si="185"/>
        <v/>
      </c>
      <c r="IU90" s="50" t="str">
        <f t="shared" si="185"/>
        <v/>
      </c>
      <c r="IV90" s="50" t="str">
        <f t="shared" si="185"/>
        <v/>
      </c>
      <c r="IW90" s="50" t="str">
        <f t="shared" si="185"/>
        <v/>
      </c>
      <c r="IX90" s="50" t="str">
        <f t="shared" si="185"/>
        <v/>
      </c>
      <c r="IY90" s="50" t="str">
        <f t="shared" si="186"/>
        <v/>
      </c>
      <c r="IZ90" s="50" t="str">
        <f t="shared" si="186"/>
        <v/>
      </c>
      <c r="JA90" s="50" t="str">
        <f t="shared" si="186"/>
        <v/>
      </c>
      <c r="JB90" s="50" t="str">
        <f t="shared" si="186"/>
        <v/>
      </c>
      <c r="JC90" s="50" t="str">
        <f t="shared" si="186"/>
        <v/>
      </c>
      <c r="JD90" s="50" t="str">
        <f t="shared" si="186"/>
        <v/>
      </c>
      <c r="JE90" s="50" t="str">
        <f t="shared" si="186"/>
        <v/>
      </c>
      <c r="JF90" s="50" t="str">
        <f t="shared" si="186"/>
        <v/>
      </c>
      <c r="JG90" s="50" t="str">
        <f t="shared" si="186"/>
        <v/>
      </c>
      <c r="JH90" s="50" t="str">
        <f t="shared" si="186"/>
        <v/>
      </c>
      <c r="JI90" s="50" t="str">
        <f t="shared" si="187"/>
        <v/>
      </c>
      <c r="JJ90" s="50" t="str">
        <f t="shared" si="187"/>
        <v/>
      </c>
      <c r="JK90" s="50" t="str">
        <f t="shared" si="187"/>
        <v/>
      </c>
      <c r="JL90" s="50" t="str">
        <f t="shared" si="187"/>
        <v/>
      </c>
      <c r="JM90" s="50" t="str">
        <f t="shared" si="187"/>
        <v/>
      </c>
      <c r="JN90" s="50" t="str">
        <f t="shared" si="187"/>
        <v/>
      </c>
      <c r="JO90" s="50" t="str">
        <f t="shared" si="187"/>
        <v/>
      </c>
      <c r="JP90" s="50" t="str">
        <f t="shared" si="187"/>
        <v/>
      </c>
      <c r="JQ90" s="50" t="str">
        <f t="shared" si="187"/>
        <v/>
      </c>
      <c r="JR90" s="50" t="str">
        <f t="shared" si="187"/>
        <v/>
      </c>
      <c r="JS90" s="50" t="str">
        <f t="shared" si="188"/>
        <v/>
      </c>
      <c r="JT90" s="50" t="str">
        <f t="shared" si="188"/>
        <v/>
      </c>
      <c r="JU90" s="50" t="str">
        <f t="shared" si="188"/>
        <v/>
      </c>
      <c r="JV90" s="50" t="str">
        <f t="shared" si="188"/>
        <v/>
      </c>
      <c r="JW90" s="50" t="str">
        <f t="shared" si="188"/>
        <v/>
      </c>
      <c r="JX90" s="50" t="str">
        <f t="shared" si="188"/>
        <v/>
      </c>
      <c r="JY90" s="50" t="str">
        <f t="shared" si="188"/>
        <v/>
      </c>
      <c r="JZ90" s="50" t="str">
        <f t="shared" si="188"/>
        <v/>
      </c>
      <c r="KA90" s="50" t="str">
        <f t="shared" si="188"/>
        <v/>
      </c>
      <c r="KB90" s="50" t="str">
        <f t="shared" si="188"/>
        <v/>
      </c>
      <c r="KC90" s="50" t="str">
        <f t="shared" si="188"/>
        <v/>
      </c>
      <c r="KD90" s="50" t="str">
        <f t="shared" si="188"/>
        <v/>
      </c>
    </row>
    <row r="91" spans="13:290" s="142" customFormat="1" ht="15" customHeight="1">
      <c r="M91" s="333"/>
      <c r="N91" s="333"/>
      <c r="O91" s="333"/>
      <c r="P91" s="333"/>
      <c r="Q91" s="333"/>
      <c r="R91" s="333"/>
      <c r="S91" s="333"/>
      <c r="T91" s="333"/>
      <c r="U91" s="333"/>
      <c r="V91" s="333"/>
      <c r="W91" s="333"/>
      <c r="X91" s="333"/>
      <c r="Y91" s="333"/>
      <c r="Z91" s="333"/>
      <c r="AA91" s="333"/>
      <c r="AB91" s="333"/>
      <c r="AC91" s="333"/>
      <c r="AD91" s="333"/>
      <c r="AE91" s="333"/>
      <c r="AF91" s="333"/>
      <c r="AG91" s="333"/>
      <c r="AH91" s="333"/>
      <c r="AI91" s="333"/>
      <c r="AJ91" s="333"/>
      <c r="AK91" s="333"/>
      <c r="AL91" s="333"/>
      <c r="AM91" s="333"/>
      <c r="AN91" s="333"/>
      <c r="AO91" s="333"/>
      <c r="AP91" s="333"/>
      <c r="AQ91" s="333"/>
      <c r="AR91" s="333"/>
      <c r="AS91" s="333"/>
      <c r="AT91" s="333"/>
      <c r="AU91" s="333"/>
      <c r="AV91" s="333"/>
      <c r="AW91" s="333"/>
      <c r="AX91" s="333"/>
      <c r="AY91" s="333"/>
      <c r="AZ91" s="333"/>
      <c r="BA91" s="333"/>
      <c r="BB91" s="333"/>
      <c r="BC91" s="333"/>
      <c r="BD91" s="333"/>
      <c r="BE91" s="333"/>
      <c r="BF91" s="333"/>
      <c r="BG91" s="333"/>
      <c r="BH91" s="333"/>
      <c r="BI91" s="333"/>
      <c r="BJ91" s="333"/>
      <c r="BK91" s="333"/>
      <c r="BL91" s="333"/>
      <c r="BM91" s="333"/>
      <c r="BN91" s="333"/>
      <c r="BO91" s="333"/>
      <c r="BP91" s="333"/>
      <c r="BQ91" s="333"/>
      <c r="BR91" s="333"/>
      <c r="BS91" s="333"/>
      <c r="BT91" s="333"/>
      <c r="BU91" s="333"/>
      <c r="BV91" s="333"/>
      <c r="BW91" s="333"/>
      <c r="BX91" s="333"/>
      <c r="BY91" s="333"/>
      <c r="BZ91" s="333"/>
      <c r="CA91" s="333"/>
      <c r="CB91" s="333"/>
      <c r="CC91" s="333"/>
      <c r="CD91" s="333"/>
      <c r="CE91" s="333"/>
      <c r="CF91" s="333"/>
      <c r="CG91" s="333"/>
      <c r="CH91" s="333"/>
      <c r="CI91" s="333"/>
      <c r="CJ91" s="333"/>
      <c r="CK91" s="333"/>
      <c r="CL91" s="333"/>
      <c r="CM91" s="333"/>
      <c r="CN91" s="333"/>
      <c r="CO91" s="333"/>
      <c r="CP91" s="333"/>
      <c r="CQ91" s="333"/>
      <c r="CR91" s="333"/>
      <c r="CS91" s="333"/>
      <c r="CT91" s="333"/>
      <c r="CU91" s="333"/>
      <c r="CV91" s="333"/>
      <c r="CW91" s="333"/>
      <c r="CX91" s="333"/>
      <c r="CY91" s="333"/>
      <c r="CZ91" s="333"/>
      <c r="DA91" s="333"/>
      <c r="DB91" s="333"/>
      <c r="DC91" s="333"/>
      <c r="DD91" s="333"/>
      <c r="DE91" s="333"/>
      <c r="DF91" s="333"/>
      <c r="DG91" s="333"/>
      <c r="DH91" s="333"/>
      <c r="DI91" s="333"/>
      <c r="DJ91" s="333"/>
      <c r="DK91" s="333"/>
      <c r="DL91" s="333"/>
      <c r="DM91" s="333"/>
      <c r="DN91" s="333"/>
      <c r="DO91" s="333"/>
      <c r="DP91" s="333"/>
      <c r="DQ91" s="333"/>
      <c r="DR91" s="333"/>
      <c r="DS91" s="333"/>
      <c r="DT91" s="333"/>
      <c r="DU91" s="359"/>
      <c r="DV91" s="359"/>
      <c r="DW91" s="359"/>
      <c r="DX91" s="359"/>
      <c r="DY91" s="359"/>
      <c r="DZ91" s="359"/>
      <c r="EA91" s="359"/>
      <c r="EB91" s="359"/>
      <c r="EC91" s="769" t="str">
        <f t="shared" si="166"/>
        <v/>
      </c>
      <c r="ED91" s="889" t="str">
        <f>GE281</f>
        <v/>
      </c>
      <c r="EE91" s="890"/>
      <c r="EF91" s="476" t="str">
        <f>GG281</f>
        <v/>
      </c>
      <c r="EG91" s="893" t="str">
        <f>GL281</f>
        <v/>
      </c>
      <c r="EH91" s="893"/>
      <c r="EI91" s="506" t="str">
        <f>GQ281</f>
        <v/>
      </c>
      <c r="EJ91" s="373"/>
      <c r="EK91" s="373"/>
      <c r="EL91" s="366"/>
      <c r="EM91" s="368"/>
      <c r="EN91" s="365"/>
      <c r="EO91" s="352">
        <f>+SUM(EP89:EP93) - SUM(EQ89:EQ93)</f>
        <v>0</v>
      </c>
      <c r="EP91" s="347"/>
      <c r="EQ91" s="342"/>
      <c r="ER91" s="522"/>
      <c r="ES91" s="916">
        <f>IF(ER91 = "", 0,
IF(AND(EP91 &gt; 0, EQ91 &gt;0), 0, IF(EO89 &lt;&gt; $Z$1,
IF(AND(EP91 &lt;&gt; "", EP91 &lt;&gt; 0), -(EP91 * ER91 * 100),
IF(AND(EQ91 &lt;&gt; "", EQ91 &lt;&gt; 0), (EQ91 * ER91 * 100), 0)),
IF(AND(EP91 &lt;&gt; "", EP91 &lt;&gt; 0), -(EP91 * ER91 * 1),
IF(AND(EQ91 &lt;&gt; "", EQ91 &lt;&gt; 0), (EQ91 * ER91 * 1), 0))  )))</f>
        <v>0</v>
      </c>
      <c r="ET91" s="917"/>
      <c r="EU91" s="918"/>
      <c r="EV91" s="916">
        <f>IF(ER91 = "", 0,
IF(AND(EP91 &gt; 0, EQ91 &gt;0), 0,  IF(EO89 &lt;&gt; $Z$1,
IF(AND(EP91 &lt;&gt; "", EP91 &lt;&gt; 0), -(EP91 * ER91 * 100 * (1 + COMIS_OPCION)),
IF(AND(EQ91 &lt;&gt; "", EQ91 &lt;&gt; 0), (EQ91 * ER91 * 100 * (1 - COMIS_OPCION)), 0)),
IF(AND(EP91 &lt;&gt; "", EP91 &lt;&gt; 0), -(EP91 * ER91 * 1 * (1 + COMIS_ACCION)),
IF(AND(EQ91 &lt;&gt; "", EQ91 &lt;&gt; 0), (EQ91 * ER91 * 1 * (1 - COMIS_ACCION)), 0))  )))</f>
        <v>0</v>
      </c>
      <c r="EW91" s="917"/>
      <c r="EX91" s="917"/>
      <c r="EY91" s="917"/>
      <c r="EZ91" s="917"/>
      <c r="FA91" s="917"/>
      <c r="FB91" s="917"/>
      <c r="FC91" s="917"/>
      <c r="FD91" s="925"/>
      <c r="FE91" s="340"/>
      <c r="FF91" s="340"/>
      <c r="FG91" s="365"/>
      <c r="FH91" s="365"/>
      <c r="FI91" s="354">
        <f>+SUM(FJ89:FJ93) - SUM(FK89:FK93)</f>
        <v>0</v>
      </c>
      <c r="FJ91" s="347"/>
      <c r="FK91" s="342"/>
      <c r="FL91" s="343"/>
      <c r="FM91" s="930">
        <f>IF(FL91 = "", 0,
IF(AND(FJ91 &gt; 0, FK91 &gt;0), 0,
IF(AND(FJ91 &lt;&gt; "", FJ91 &lt;&gt; 0), -(FJ91 * FL91 * 100),
IF(AND(FK91 &lt;&gt; "", FK91 &lt;&gt; 0), (FK91 * FL91 * 100), 0)) ))</f>
        <v>0</v>
      </c>
      <c r="FN91" s="931"/>
      <c r="FO91" s="932"/>
      <c r="FP91" s="930">
        <f>IF(FL91 = "", 0,
IF(AND(FJ91 &gt; 0, FK91 &gt;0), 0,
IF(AND(FJ91 &lt;&gt; "", FJ91 &lt;&gt; 0), -(FJ91 * FL91 * 100 * (1 + COMIS_OPCION)),
IF(AND(FK91 &lt;&gt; "", FK91 &lt;&gt; 0), (FK91 * FL91 * 100 * (1 - COMIS_OPCION)), 0)) ))</f>
        <v>0</v>
      </c>
      <c r="FQ91" s="931"/>
      <c r="FR91" s="931"/>
      <c r="FS91" s="931"/>
      <c r="FT91" s="931"/>
      <c r="FU91" s="931"/>
      <c r="FV91" s="931"/>
      <c r="FW91" s="931"/>
      <c r="FX91" s="933"/>
      <c r="FY91" s="341"/>
      <c r="FZ91" s="341"/>
      <c r="GA91" s="341"/>
      <c r="GB91" s="495">
        <v>0</v>
      </c>
      <c r="GC91" s="495">
        <v>0</v>
      </c>
      <c r="GD91" s="500"/>
      <c r="GE91" s="495">
        <v>0</v>
      </c>
      <c r="GF91" s="495">
        <v>0</v>
      </c>
      <c r="GG91" s="495">
        <v>0</v>
      </c>
      <c r="GH91" s="359"/>
      <c r="GI91" s="359"/>
      <c r="GJ91" s="501"/>
      <c r="GK91" s="495">
        <v>0</v>
      </c>
      <c r="GL91" s="495">
        <v>0</v>
      </c>
      <c r="GM91" s="495">
        <v>0</v>
      </c>
      <c r="GN91" s="359"/>
      <c r="GO91" s="359"/>
      <c r="GP91" s="501"/>
      <c r="GQ91" s="495">
        <v>0</v>
      </c>
      <c r="GR91" s="359"/>
      <c r="GS91" s="333"/>
      <c r="GT91" s="333"/>
      <c r="GU91" s="333"/>
      <c r="GV91" s="333"/>
      <c r="GW91" s="333"/>
      <c r="GX91" s="333"/>
      <c r="GY91" s="333"/>
      <c r="GZ91" s="333"/>
      <c r="HA91" s="333"/>
      <c r="HB91" s="333"/>
      <c r="HC91" s="333"/>
      <c r="HD91" s="333"/>
      <c r="HE91" s="333"/>
      <c r="HF91" s="333"/>
      <c r="HG91" s="331"/>
      <c r="HH91" s="331"/>
      <c r="HI91" s="331"/>
      <c r="HJ91" s="331"/>
      <c r="HK91" s="331"/>
      <c r="HL91" s="331"/>
      <c r="HM91" s="331"/>
      <c r="HN91" s="333"/>
      <c r="HO91" s="333"/>
      <c r="HP91" s="333"/>
      <c r="HQ91" s="333"/>
      <c r="HR91" s="333"/>
      <c r="HS91" s="333"/>
      <c r="HT91" s="333"/>
      <c r="HU91" s="333"/>
      <c r="HV91" s="333"/>
      <c r="HW91" s="333"/>
      <c r="HX91" s="333"/>
      <c r="HY91" s="333"/>
      <c r="HZ91" s="333"/>
      <c r="IA91" s="333"/>
      <c r="IB91" s="333"/>
      <c r="IC91" s="333"/>
      <c r="ID91" s="55"/>
      <c r="IE91" s="47"/>
      <c r="IH91" s="111" t="str">
        <f t="shared" si="175"/>
        <v/>
      </c>
      <c r="II91" s="111" t="str">
        <f t="shared" si="168"/>
        <v/>
      </c>
      <c r="IJ91" s="146">
        <v>36</v>
      </c>
      <c r="IK91" s="151" t="str">
        <f t="shared" si="180"/>
        <v/>
      </c>
      <c r="IL91" s="106" t="str">
        <f t="shared" si="180"/>
        <v/>
      </c>
      <c r="IM91" s="110" t="str">
        <f t="shared" si="180"/>
        <v/>
      </c>
      <c r="IN91" s="111" t="str">
        <f t="shared" si="170"/>
        <v/>
      </c>
      <c r="IO91" s="50" t="str">
        <f t="shared" si="185"/>
        <v/>
      </c>
      <c r="IP91" s="50" t="str">
        <f t="shared" si="185"/>
        <v/>
      </c>
      <c r="IQ91" s="50" t="str">
        <f t="shared" si="185"/>
        <v/>
      </c>
      <c r="IR91" s="50" t="str">
        <f t="shared" si="185"/>
        <v/>
      </c>
      <c r="IS91" s="50" t="str">
        <f t="shared" si="185"/>
        <v/>
      </c>
      <c r="IT91" s="50" t="str">
        <f t="shared" si="185"/>
        <v/>
      </c>
      <c r="IU91" s="50" t="str">
        <f t="shared" si="185"/>
        <v/>
      </c>
      <c r="IV91" s="50" t="str">
        <f t="shared" si="185"/>
        <v/>
      </c>
      <c r="IW91" s="50" t="str">
        <f t="shared" si="185"/>
        <v/>
      </c>
      <c r="IX91" s="50" t="str">
        <f t="shared" si="185"/>
        <v/>
      </c>
      <c r="IY91" s="50" t="str">
        <f t="shared" si="186"/>
        <v/>
      </c>
      <c r="IZ91" s="50" t="str">
        <f t="shared" si="186"/>
        <v/>
      </c>
      <c r="JA91" s="50" t="str">
        <f t="shared" si="186"/>
        <v/>
      </c>
      <c r="JB91" s="50" t="str">
        <f t="shared" si="186"/>
        <v/>
      </c>
      <c r="JC91" s="50" t="str">
        <f t="shared" si="186"/>
        <v/>
      </c>
      <c r="JD91" s="50" t="str">
        <f t="shared" si="186"/>
        <v/>
      </c>
      <c r="JE91" s="50" t="str">
        <f t="shared" si="186"/>
        <v/>
      </c>
      <c r="JF91" s="50" t="str">
        <f t="shared" si="186"/>
        <v/>
      </c>
      <c r="JG91" s="50" t="str">
        <f t="shared" si="186"/>
        <v/>
      </c>
      <c r="JH91" s="50" t="str">
        <f t="shared" si="186"/>
        <v/>
      </c>
      <c r="JI91" s="50" t="str">
        <f t="shared" si="187"/>
        <v/>
      </c>
      <c r="JJ91" s="50" t="str">
        <f t="shared" si="187"/>
        <v/>
      </c>
      <c r="JK91" s="50" t="str">
        <f t="shared" si="187"/>
        <v/>
      </c>
      <c r="JL91" s="50" t="str">
        <f t="shared" si="187"/>
        <v/>
      </c>
      <c r="JM91" s="50" t="str">
        <f t="shared" si="187"/>
        <v/>
      </c>
      <c r="JN91" s="50" t="str">
        <f t="shared" si="187"/>
        <v/>
      </c>
      <c r="JO91" s="50" t="str">
        <f t="shared" si="187"/>
        <v/>
      </c>
      <c r="JP91" s="50" t="str">
        <f t="shared" si="187"/>
        <v/>
      </c>
      <c r="JQ91" s="50" t="str">
        <f t="shared" si="187"/>
        <v/>
      </c>
      <c r="JR91" s="50" t="str">
        <f t="shared" si="187"/>
        <v/>
      </c>
      <c r="JS91" s="50" t="str">
        <f t="shared" si="188"/>
        <v/>
      </c>
      <c r="JT91" s="50" t="str">
        <f t="shared" si="188"/>
        <v/>
      </c>
      <c r="JU91" s="50" t="str">
        <f t="shared" si="188"/>
        <v/>
      </c>
      <c r="JV91" s="50" t="str">
        <f t="shared" si="188"/>
        <v/>
      </c>
      <c r="JW91" s="50" t="str">
        <f t="shared" si="188"/>
        <v/>
      </c>
      <c r="JX91" s="50" t="str">
        <f t="shared" si="188"/>
        <v/>
      </c>
      <c r="JY91" s="50" t="str">
        <f t="shared" si="188"/>
        <v/>
      </c>
      <c r="JZ91" s="50" t="str">
        <f t="shared" si="188"/>
        <v/>
      </c>
      <c r="KA91" s="50" t="str">
        <f t="shared" si="188"/>
        <v/>
      </c>
      <c r="KB91" s="50" t="str">
        <f t="shared" si="188"/>
        <v/>
      </c>
      <c r="KC91" s="50" t="str">
        <f t="shared" si="188"/>
        <v/>
      </c>
      <c r="KD91" s="50" t="str">
        <f t="shared" si="188"/>
        <v/>
      </c>
    </row>
    <row r="92" spans="13:290" s="142" customFormat="1" ht="15" customHeight="1">
      <c r="M92" s="333"/>
      <c r="N92" s="333"/>
      <c r="O92" s="333"/>
      <c r="P92" s="333"/>
      <c r="Q92" s="333"/>
      <c r="R92" s="333"/>
      <c r="S92" s="333"/>
      <c r="T92" s="333"/>
      <c r="U92" s="333"/>
      <c r="V92" s="333"/>
      <c r="W92" s="333"/>
      <c r="X92" s="333"/>
      <c r="Y92" s="333"/>
      <c r="Z92" s="333"/>
      <c r="AA92" s="333"/>
      <c r="AB92" s="333"/>
      <c r="AC92" s="333"/>
      <c r="AD92" s="333"/>
      <c r="AE92" s="333"/>
      <c r="AF92" s="333"/>
      <c r="AG92" s="333"/>
      <c r="AH92" s="333"/>
      <c r="AI92" s="333"/>
      <c r="AJ92" s="333"/>
      <c r="AK92" s="333"/>
      <c r="AL92" s="333"/>
      <c r="AM92" s="333"/>
      <c r="AN92" s="333"/>
      <c r="AO92" s="333"/>
      <c r="AP92" s="333"/>
      <c r="AQ92" s="333"/>
      <c r="AR92" s="333"/>
      <c r="AS92" s="333"/>
      <c r="AT92" s="333"/>
      <c r="AU92" s="333"/>
      <c r="AV92" s="333"/>
      <c r="AW92" s="333"/>
      <c r="AX92" s="333"/>
      <c r="AY92" s="333"/>
      <c r="AZ92" s="333"/>
      <c r="BA92" s="333"/>
      <c r="BB92" s="333"/>
      <c r="BC92" s="333"/>
      <c r="BD92" s="333"/>
      <c r="BE92" s="333"/>
      <c r="BF92" s="333"/>
      <c r="BG92" s="333"/>
      <c r="BH92" s="333"/>
      <c r="BI92" s="333"/>
      <c r="BJ92" s="333"/>
      <c r="BK92" s="333"/>
      <c r="BL92" s="333"/>
      <c r="BM92" s="333"/>
      <c r="BN92" s="333"/>
      <c r="BO92" s="333"/>
      <c r="BP92" s="333"/>
      <c r="BQ92" s="333"/>
      <c r="BR92" s="333"/>
      <c r="BS92" s="333"/>
      <c r="BT92" s="333"/>
      <c r="BU92" s="333"/>
      <c r="BV92" s="333"/>
      <c r="BW92" s="333"/>
      <c r="BX92" s="333"/>
      <c r="BY92" s="333"/>
      <c r="BZ92" s="333"/>
      <c r="CA92" s="333"/>
      <c r="CB92" s="333"/>
      <c r="CC92" s="333"/>
      <c r="CD92" s="333"/>
      <c r="CE92" s="333"/>
      <c r="CF92" s="333"/>
      <c r="CG92" s="333"/>
      <c r="CH92" s="333"/>
      <c r="CI92" s="333"/>
      <c r="CJ92" s="333"/>
      <c r="CK92" s="333"/>
      <c r="CL92" s="333"/>
      <c r="CM92" s="333"/>
      <c r="CN92" s="333"/>
      <c r="CO92" s="333"/>
      <c r="CP92" s="333"/>
      <c r="CQ92" s="333"/>
      <c r="CR92" s="333"/>
      <c r="CS92" s="333"/>
      <c r="CT92" s="333"/>
      <c r="CU92" s="333"/>
      <c r="CV92" s="333"/>
      <c r="CW92" s="333"/>
      <c r="CX92" s="333"/>
      <c r="CY92" s="333"/>
      <c r="CZ92" s="333"/>
      <c r="DA92" s="333"/>
      <c r="DB92" s="333"/>
      <c r="DC92" s="333"/>
      <c r="DD92" s="333"/>
      <c r="DE92" s="333"/>
      <c r="DF92" s="333"/>
      <c r="DG92" s="333"/>
      <c r="DH92" s="333"/>
      <c r="DI92" s="333"/>
      <c r="DJ92" s="333"/>
      <c r="DK92" s="333"/>
      <c r="DL92" s="333"/>
      <c r="DM92" s="333"/>
      <c r="DN92" s="333"/>
      <c r="DO92" s="333"/>
      <c r="DP92" s="333"/>
      <c r="DQ92" s="333"/>
      <c r="DR92" s="333"/>
      <c r="DS92" s="333"/>
      <c r="DT92" s="333"/>
      <c r="DU92" s="359"/>
      <c r="DV92" s="359"/>
      <c r="DW92" s="359"/>
      <c r="DX92" s="359"/>
      <c r="DY92" s="359"/>
      <c r="DZ92" s="359"/>
      <c r="EA92" s="359"/>
      <c r="EB92" s="359"/>
      <c r="EC92" s="769" t="str">
        <f t="shared" si="166"/>
        <v/>
      </c>
      <c r="ED92" s="889" t="str">
        <f>GE287</f>
        <v/>
      </c>
      <c r="EE92" s="890"/>
      <c r="EF92" s="476" t="str">
        <f>GG287</f>
        <v/>
      </c>
      <c r="EG92" s="893" t="str">
        <f>GL287</f>
        <v/>
      </c>
      <c r="EH92" s="893"/>
      <c r="EI92" s="506" t="str">
        <f>GQ287</f>
        <v/>
      </c>
      <c r="EJ92" s="373"/>
      <c r="EK92" s="373"/>
      <c r="EL92" s="366"/>
      <c r="EM92" s="368"/>
      <c r="EN92" s="365"/>
      <c r="EO92" s="352">
        <f>IF(EO91=0, 0, SUM(EV89:FD93))</f>
        <v>0</v>
      </c>
      <c r="EP92" s="347"/>
      <c r="EQ92" s="342"/>
      <c r="ER92" s="522"/>
      <c r="ES92" s="916">
        <f>IF(ER92 = "", 0,
IF(AND(EP92 &gt; 0, EQ92 &gt;0), 0, IF(EO89 &lt;&gt; $Z$1,
IF(AND(EP92 &lt;&gt; "", EP92 &lt;&gt; 0), -(EP92 * ER92 * 100),
IF(AND(EQ92 &lt;&gt; "", EQ92 &lt;&gt; 0), (EQ92 * ER92 * 100), 0)),
IF(AND(EP92 &lt;&gt; "", EP92 &lt;&gt; 0), -(EP92 * ER92 * 1),
IF(AND(EQ92 &lt;&gt; "", EQ92 &lt;&gt; 0), (EQ92 * ER92 * 1), 0))  )))</f>
        <v>0</v>
      </c>
      <c r="ET92" s="917"/>
      <c r="EU92" s="918"/>
      <c r="EV92" s="916">
        <f>IF(ER92 = "", 0,
IF(AND(EP92 &gt; 0, EQ92 &gt;0), 0,  IF(EO89 &lt;&gt; $Z$1,
IF(AND(EP92 &lt;&gt; "", EP92 &lt;&gt; 0), -(EP92 * ER92 * 100 * (1 + COMIS_OPCION)),
IF(AND(EQ92 &lt;&gt; "", EQ92 &lt;&gt; 0), (EQ92 * ER92 * 100 * (1 - COMIS_OPCION)), 0)),
IF(AND(EP92 &lt;&gt; "", EP92 &lt;&gt; 0), -(EP92 * ER92 * 1 * (1 + COMIS_ACCION)),
IF(AND(EQ92 &lt;&gt; "", EQ92 &lt;&gt; 0), (EQ92 * ER92 * 1 * (1 - COMIS_ACCION)), 0))  )))</f>
        <v>0</v>
      </c>
      <c r="EW92" s="917"/>
      <c r="EX92" s="917"/>
      <c r="EY92" s="917"/>
      <c r="EZ92" s="917"/>
      <c r="FA92" s="917"/>
      <c r="FB92" s="917"/>
      <c r="FC92" s="917"/>
      <c r="FD92" s="925"/>
      <c r="FE92" s="340"/>
      <c r="FF92" s="340"/>
      <c r="FG92" s="365"/>
      <c r="FH92" s="365"/>
      <c r="FI92" s="354">
        <f>IF(FI91=0, 0, SUM(FP89:FX93))</f>
        <v>0</v>
      </c>
      <c r="FJ92" s="347"/>
      <c r="FK92" s="342"/>
      <c r="FL92" s="343"/>
      <c r="FM92" s="930">
        <f>IF(FL92 = "", 0,
IF(AND(FJ92 &gt; 0, FK92 &gt;0), 0,
IF(AND(FJ92 &lt;&gt; "", FJ92 &lt;&gt; 0), -(FJ92 * FL92 * 100),
IF(AND(FK92 &lt;&gt; "", FK92 &lt;&gt; 0), (FK92 * FL92 * 100), 0)) ))</f>
        <v>0</v>
      </c>
      <c r="FN92" s="931"/>
      <c r="FO92" s="932"/>
      <c r="FP92" s="930">
        <f>IF(FL92 = "", 0,
IF(AND(FJ92 &gt; 0, FK92 &gt;0), 0,
IF(AND(FJ92 &lt;&gt; "", FJ92 &lt;&gt; 0), -(FJ92 * FL92 * 100 * (1 + COMIS_OPCION)),
IF(AND(FK92 &lt;&gt; "", FK92 &lt;&gt; 0), (FK92 * FL92 * 100 * (1 - COMIS_OPCION)), 0)) ))</f>
        <v>0</v>
      </c>
      <c r="FQ92" s="931"/>
      <c r="FR92" s="931"/>
      <c r="FS92" s="931"/>
      <c r="FT92" s="931"/>
      <c r="FU92" s="931"/>
      <c r="FV92" s="931"/>
      <c r="FW92" s="931"/>
      <c r="FX92" s="933"/>
      <c r="FY92" s="341"/>
      <c r="FZ92" s="341"/>
      <c r="GA92" s="341"/>
      <c r="GB92" s="495">
        <v>0</v>
      </c>
      <c r="GC92" s="495">
        <v>0</v>
      </c>
      <c r="GD92" s="500"/>
      <c r="GE92" s="495">
        <v>0</v>
      </c>
      <c r="GF92" s="495">
        <v>0</v>
      </c>
      <c r="GG92" s="495">
        <v>0</v>
      </c>
      <c r="GH92" s="359"/>
      <c r="GI92" s="359"/>
      <c r="GJ92" s="501"/>
      <c r="GK92" s="495">
        <v>0</v>
      </c>
      <c r="GL92" s="495">
        <v>0</v>
      </c>
      <c r="GM92" s="495">
        <v>0</v>
      </c>
      <c r="GN92" s="359"/>
      <c r="GO92" s="359"/>
      <c r="GP92" s="501"/>
      <c r="GQ92" s="495">
        <v>0</v>
      </c>
      <c r="GR92" s="359"/>
      <c r="GS92" s="333"/>
      <c r="GT92" s="333"/>
      <c r="GU92" s="333"/>
      <c r="GV92" s="333"/>
      <c r="GW92" s="333"/>
      <c r="GX92" s="333"/>
      <c r="GY92" s="333"/>
      <c r="GZ92" s="333"/>
      <c r="HA92" s="333"/>
      <c r="HB92" s="333"/>
      <c r="HC92" s="333"/>
      <c r="HD92" s="333"/>
      <c r="HE92" s="333"/>
      <c r="HF92" s="333"/>
      <c r="HG92" s="331"/>
      <c r="HH92" s="331"/>
      <c r="HI92" s="331"/>
      <c r="HJ92" s="331"/>
      <c r="HK92" s="331"/>
      <c r="HL92" s="331"/>
      <c r="HM92" s="331"/>
      <c r="HN92" s="333"/>
      <c r="HO92" s="333"/>
      <c r="HP92" s="333"/>
      <c r="HQ92" s="333"/>
      <c r="HR92" s="333"/>
      <c r="HS92" s="333"/>
      <c r="HT92" s="333"/>
      <c r="HU92" s="333"/>
      <c r="HV92" s="333"/>
      <c r="HW92" s="333"/>
      <c r="HX92" s="333"/>
      <c r="HY92" s="333"/>
      <c r="HZ92" s="333"/>
      <c r="IA92" s="333"/>
      <c r="IB92" s="333"/>
      <c r="IC92" s="333"/>
      <c r="ID92" s="55"/>
      <c r="IE92" s="47"/>
      <c r="IF92" s="52"/>
      <c r="IH92" s="111" t="str">
        <f t="shared" si="175"/>
        <v/>
      </c>
      <c r="II92" s="111" t="str">
        <f t="shared" si="168"/>
        <v/>
      </c>
      <c r="IJ92" s="146">
        <v>37</v>
      </c>
      <c r="IK92" s="151" t="str">
        <f t="shared" si="180"/>
        <v/>
      </c>
      <c r="IL92" s="106" t="str">
        <f t="shared" si="180"/>
        <v/>
      </c>
      <c r="IM92" s="110" t="str">
        <f t="shared" si="180"/>
        <v/>
      </c>
      <c r="IN92" s="111" t="str">
        <f t="shared" si="170"/>
        <v/>
      </c>
      <c r="IO92" s="50" t="str">
        <f t="shared" si="185"/>
        <v/>
      </c>
      <c r="IP92" s="50" t="str">
        <f t="shared" si="185"/>
        <v/>
      </c>
      <c r="IQ92" s="50" t="str">
        <f t="shared" si="185"/>
        <v/>
      </c>
      <c r="IR92" s="50" t="str">
        <f t="shared" si="185"/>
        <v/>
      </c>
      <c r="IS92" s="50" t="str">
        <f t="shared" si="185"/>
        <v/>
      </c>
      <c r="IT92" s="50" t="str">
        <f t="shared" si="185"/>
        <v/>
      </c>
      <c r="IU92" s="50" t="str">
        <f t="shared" si="185"/>
        <v/>
      </c>
      <c r="IV92" s="50" t="str">
        <f t="shared" si="185"/>
        <v/>
      </c>
      <c r="IW92" s="50" t="str">
        <f t="shared" si="185"/>
        <v/>
      </c>
      <c r="IX92" s="50" t="str">
        <f t="shared" si="185"/>
        <v/>
      </c>
      <c r="IY92" s="50" t="str">
        <f t="shared" si="186"/>
        <v/>
      </c>
      <c r="IZ92" s="50" t="str">
        <f t="shared" si="186"/>
        <v/>
      </c>
      <c r="JA92" s="50" t="str">
        <f t="shared" si="186"/>
        <v/>
      </c>
      <c r="JB92" s="50" t="str">
        <f t="shared" si="186"/>
        <v/>
      </c>
      <c r="JC92" s="50" t="str">
        <f t="shared" si="186"/>
        <v/>
      </c>
      <c r="JD92" s="50" t="str">
        <f t="shared" si="186"/>
        <v/>
      </c>
      <c r="JE92" s="50" t="str">
        <f t="shared" si="186"/>
        <v/>
      </c>
      <c r="JF92" s="50" t="str">
        <f t="shared" si="186"/>
        <v/>
      </c>
      <c r="JG92" s="50" t="str">
        <f t="shared" si="186"/>
        <v/>
      </c>
      <c r="JH92" s="50" t="str">
        <f t="shared" si="186"/>
        <v/>
      </c>
      <c r="JI92" s="50" t="str">
        <f t="shared" si="187"/>
        <v/>
      </c>
      <c r="JJ92" s="50" t="str">
        <f t="shared" si="187"/>
        <v/>
      </c>
      <c r="JK92" s="50" t="str">
        <f t="shared" si="187"/>
        <v/>
      </c>
      <c r="JL92" s="50" t="str">
        <f t="shared" si="187"/>
        <v/>
      </c>
      <c r="JM92" s="50" t="str">
        <f t="shared" si="187"/>
        <v/>
      </c>
      <c r="JN92" s="50" t="str">
        <f t="shared" si="187"/>
        <v/>
      </c>
      <c r="JO92" s="50" t="str">
        <f t="shared" si="187"/>
        <v/>
      </c>
      <c r="JP92" s="50" t="str">
        <f t="shared" si="187"/>
        <v/>
      </c>
      <c r="JQ92" s="50" t="str">
        <f t="shared" si="187"/>
        <v/>
      </c>
      <c r="JR92" s="50" t="str">
        <f t="shared" si="187"/>
        <v/>
      </c>
      <c r="JS92" s="50" t="str">
        <f t="shared" si="188"/>
        <v/>
      </c>
      <c r="JT92" s="50" t="str">
        <f t="shared" si="188"/>
        <v/>
      </c>
      <c r="JU92" s="50" t="str">
        <f t="shared" si="188"/>
        <v/>
      </c>
      <c r="JV92" s="50" t="str">
        <f t="shared" si="188"/>
        <v/>
      </c>
      <c r="JW92" s="50" t="str">
        <f t="shared" si="188"/>
        <v/>
      </c>
      <c r="JX92" s="50" t="str">
        <f t="shared" si="188"/>
        <v/>
      </c>
      <c r="JY92" s="50" t="str">
        <f t="shared" si="188"/>
        <v/>
      </c>
      <c r="JZ92" s="50" t="str">
        <f t="shared" si="188"/>
        <v/>
      </c>
      <c r="KA92" s="50" t="str">
        <f t="shared" si="188"/>
        <v/>
      </c>
      <c r="KB92" s="50" t="str">
        <f t="shared" si="188"/>
        <v/>
      </c>
      <c r="KC92" s="50" t="str">
        <f t="shared" si="188"/>
        <v/>
      </c>
      <c r="KD92" s="50" t="str">
        <f t="shared" si="188"/>
        <v/>
      </c>
    </row>
    <row r="93" spans="13:290" s="142" customFormat="1" ht="15" customHeight="1" thickBot="1">
      <c r="M93" s="333"/>
      <c r="N93" s="333"/>
      <c r="O93" s="333"/>
      <c r="P93" s="333"/>
      <c r="Q93" s="333"/>
      <c r="R93" s="333"/>
      <c r="S93" s="333"/>
      <c r="T93" s="333"/>
      <c r="U93" s="333"/>
      <c r="V93" s="333"/>
      <c r="W93" s="333"/>
      <c r="X93" s="333"/>
      <c r="Y93" s="333"/>
      <c r="Z93" s="333"/>
      <c r="AA93" s="333"/>
      <c r="AB93" s="333"/>
      <c r="AC93" s="333"/>
      <c r="AD93" s="333"/>
      <c r="AE93" s="333"/>
      <c r="AF93" s="333"/>
      <c r="AG93" s="333"/>
      <c r="AH93" s="333"/>
      <c r="AI93" s="333"/>
      <c r="AJ93" s="333"/>
      <c r="AK93" s="333"/>
      <c r="AL93" s="333"/>
      <c r="AM93" s="333"/>
      <c r="AN93" s="333"/>
      <c r="AO93" s="333"/>
      <c r="AP93" s="333"/>
      <c r="AQ93" s="333"/>
      <c r="AR93" s="333"/>
      <c r="AS93" s="333"/>
      <c r="AT93" s="333"/>
      <c r="AU93" s="333"/>
      <c r="AV93" s="333"/>
      <c r="AW93" s="333"/>
      <c r="AX93" s="333"/>
      <c r="AY93" s="333"/>
      <c r="AZ93" s="333"/>
      <c r="BA93" s="333"/>
      <c r="BB93" s="333"/>
      <c r="BC93" s="333"/>
      <c r="BD93" s="333"/>
      <c r="BE93" s="333"/>
      <c r="BF93" s="333"/>
      <c r="BG93" s="333"/>
      <c r="BH93" s="333"/>
      <c r="BI93" s="333"/>
      <c r="BJ93" s="333"/>
      <c r="BK93" s="333"/>
      <c r="BL93" s="333"/>
      <c r="BM93" s="333"/>
      <c r="BN93" s="333"/>
      <c r="BO93" s="333"/>
      <c r="BP93" s="333"/>
      <c r="BQ93" s="333"/>
      <c r="BR93" s="333"/>
      <c r="BS93" s="333"/>
      <c r="BT93" s="333"/>
      <c r="BU93" s="333"/>
      <c r="BV93" s="333"/>
      <c r="BW93" s="333"/>
      <c r="BX93" s="333"/>
      <c r="BY93" s="333"/>
      <c r="BZ93" s="333"/>
      <c r="CA93" s="333"/>
      <c r="CB93" s="333"/>
      <c r="CC93" s="333"/>
      <c r="CD93" s="333"/>
      <c r="CE93" s="333"/>
      <c r="CF93" s="333"/>
      <c r="CG93" s="333"/>
      <c r="CH93" s="333"/>
      <c r="CI93" s="333"/>
      <c r="CJ93" s="333"/>
      <c r="CK93" s="333"/>
      <c r="CL93" s="333"/>
      <c r="CM93" s="333"/>
      <c r="CN93" s="333"/>
      <c r="CO93" s="333"/>
      <c r="CP93" s="333"/>
      <c r="CQ93" s="333"/>
      <c r="CR93" s="333"/>
      <c r="CS93" s="333"/>
      <c r="CT93" s="333"/>
      <c r="CU93" s="333"/>
      <c r="CV93" s="333"/>
      <c r="CW93" s="333"/>
      <c r="CX93" s="333"/>
      <c r="CY93" s="333"/>
      <c r="CZ93" s="333"/>
      <c r="DA93" s="333"/>
      <c r="DB93" s="333"/>
      <c r="DC93" s="333"/>
      <c r="DD93" s="333"/>
      <c r="DE93" s="333"/>
      <c r="DF93" s="333"/>
      <c r="DG93" s="333"/>
      <c r="DH93" s="333"/>
      <c r="DI93" s="333"/>
      <c r="DJ93" s="333"/>
      <c r="DK93" s="333"/>
      <c r="DL93" s="333"/>
      <c r="DM93" s="333"/>
      <c r="DN93" s="333"/>
      <c r="DO93" s="333"/>
      <c r="DP93" s="333"/>
      <c r="DQ93" s="333"/>
      <c r="DR93" s="333"/>
      <c r="DS93" s="333"/>
      <c r="DT93" s="333"/>
      <c r="DU93" s="359"/>
      <c r="DV93" s="359"/>
      <c r="DW93" s="359"/>
      <c r="DX93" s="359"/>
      <c r="DY93" s="359"/>
      <c r="DZ93" s="359"/>
      <c r="EA93" s="359"/>
      <c r="EB93" s="359"/>
      <c r="EC93" s="769" t="str">
        <f t="shared" si="166"/>
        <v/>
      </c>
      <c r="ED93" s="889" t="str">
        <f>GE293</f>
        <v/>
      </c>
      <c r="EE93" s="890"/>
      <c r="EF93" s="476" t="str">
        <f>GG293</f>
        <v/>
      </c>
      <c r="EG93" s="893" t="str">
        <f>GL293</f>
        <v/>
      </c>
      <c r="EH93" s="893"/>
      <c r="EI93" s="506" t="str">
        <f>GQ293</f>
        <v/>
      </c>
      <c r="EJ93" s="373"/>
      <c r="EK93" s="373"/>
      <c r="EL93" s="366"/>
      <c r="EM93" s="368"/>
      <c r="EN93" s="365"/>
      <c r="EO93" s="353">
        <f>+IF(EO91= 0, 0, GG89)</f>
        <v>0</v>
      </c>
      <c r="EP93" s="350"/>
      <c r="EQ93" s="344"/>
      <c r="ER93" s="523"/>
      <c r="ES93" s="921">
        <f>IF(ER93 = "", 0,
IF(AND(EP93 &gt; 0, EQ93 &gt;0), 0, IF(EO89 &lt;&gt; $Z$1,
IF(AND(EP93 &lt;&gt; "", EP93 &lt;&gt; 0), -(EP93 * ER93 * 100),
IF(AND(EQ93 &lt;&gt; "", EQ93 &lt;&gt; 0), (EQ93 * ER93 * 100), 0)),
IF(AND(EP93 &lt;&gt; "", EP93 &lt;&gt; 0), -(EP93 * ER93 * 1),
IF(AND(EQ93 &lt;&gt; "", EQ93 &lt;&gt; 0), (EQ93 * ER93 * 1), 0))  )))</f>
        <v>0</v>
      </c>
      <c r="ET93" s="922"/>
      <c r="EU93" s="924"/>
      <c r="EV93" s="921">
        <f>IF(ER93 = "", 0,
IF(AND(EP93 &gt; 0, EQ93 &gt;0), 0,  IF(EO89 &lt;&gt; $Z$1,
IF(AND(EP93 &lt;&gt; "", EP93 &lt;&gt; 0), -(EP93 * ER93 * 100 * (1 + COMIS_OPCION)),
IF(AND(EQ93 &lt;&gt; "", EQ93 &lt;&gt; 0), (EQ93 * ER93 * 100 * (1 - COMIS_OPCION)), 0)),
IF(AND(EP93 &lt;&gt; "", EP93 &lt;&gt; 0), -(EP93 * ER93 * 1 * (1 + COMIS_ACCION)),
IF(AND(EQ93 &lt;&gt; "", EQ93 &lt;&gt; 0), (EQ93 * ER93 * 1 * (1 - COMIS_ACCION)), 0))  )))</f>
        <v>0</v>
      </c>
      <c r="EW93" s="922"/>
      <c r="EX93" s="922"/>
      <c r="EY93" s="922"/>
      <c r="EZ93" s="922"/>
      <c r="FA93" s="922"/>
      <c r="FB93" s="922"/>
      <c r="FC93" s="922"/>
      <c r="FD93" s="923"/>
      <c r="FE93" s="340"/>
      <c r="FF93" s="340"/>
      <c r="FG93" s="365"/>
      <c r="FH93" s="365"/>
      <c r="FI93" s="349">
        <f>+IF(FI91= 0, 0, GQ89)</f>
        <v>0</v>
      </c>
      <c r="FJ93" s="348"/>
      <c r="FK93" s="345"/>
      <c r="FL93" s="346"/>
      <c r="FM93" s="937">
        <f>IF(FL93 = "", 0,
IF(AND(FJ93 &gt; 0, FK93 &gt;0), 0,
IF(AND(FJ93 &lt;&gt; "", FJ93 &lt;&gt; 0), -(FJ93 * FL93 * 100),
IF(AND(FK93 &lt;&gt; "", FK93 &lt;&gt; 0), (FK93 * FL93 * 100), 0)) ))</f>
        <v>0</v>
      </c>
      <c r="FN93" s="938"/>
      <c r="FO93" s="939"/>
      <c r="FP93" s="937">
        <f>IF(FL93 = "", 0,
IF(AND(FJ93 &gt; 0, FK93 &gt;0), 0,
IF(AND(FJ93 &lt;&gt; "", FJ93 &lt;&gt; 0), -(FJ93 * FL93 * 100 * (1 + COMIS_OPCION)),
IF(AND(FK93 &lt;&gt; "", FK93 &lt;&gt; 0), (FK93 * FL93 * 100 * (1 - COMIS_OPCION)), 0)) ))</f>
        <v>0</v>
      </c>
      <c r="FQ93" s="938"/>
      <c r="FR93" s="938"/>
      <c r="FS93" s="938"/>
      <c r="FT93" s="938"/>
      <c r="FU93" s="938"/>
      <c r="FV93" s="938"/>
      <c r="FW93" s="938"/>
      <c r="FX93" s="969"/>
      <c r="FY93" s="341"/>
      <c r="FZ93" s="341"/>
      <c r="GA93" s="341"/>
      <c r="GB93" s="495">
        <v>0</v>
      </c>
      <c r="GC93" s="495">
        <v>0</v>
      </c>
      <c r="GD93" s="500"/>
      <c r="GE93" s="495">
        <v>0</v>
      </c>
      <c r="GF93" s="495">
        <v>0</v>
      </c>
      <c r="GG93" s="495">
        <v>0</v>
      </c>
      <c r="GH93" s="359"/>
      <c r="GI93" s="359"/>
      <c r="GJ93" s="501"/>
      <c r="GK93" s="495">
        <v>0</v>
      </c>
      <c r="GL93" s="495">
        <v>0</v>
      </c>
      <c r="GM93" s="495">
        <v>0</v>
      </c>
      <c r="GN93" s="359"/>
      <c r="GO93" s="359"/>
      <c r="GP93" s="501"/>
      <c r="GQ93" s="495">
        <v>0</v>
      </c>
      <c r="GR93" s="359"/>
      <c r="GS93" s="333"/>
      <c r="GT93" s="333"/>
      <c r="GU93" s="333"/>
      <c r="GV93" s="333"/>
      <c r="GW93" s="333"/>
      <c r="GX93" s="333"/>
      <c r="GY93" s="333"/>
      <c r="GZ93" s="333"/>
      <c r="HA93" s="333"/>
      <c r="HB93" s="333"/>
      <c r="HC93" s="333"/>
      <c r="HD93" s="333"/>
      <c r="HE93" s="333"/>
      <c r="HF93" s="333"/>
      <c r="HG93" s="331"/>
      <c r="HH93" s="331"/>
      <c r="HI93" s="331"/>
      <c r="HJ93" s="331"/>
      <c r="HK93" s="331"/>
      <c r="HL93" s="331"/>
      <c r="HM93" s="331"/>
      <c r="HN93" s="333"/>
      <c r="HO93" s="333"/>
      <c r="HP93" s="333"/>
      <c r="HQ93" s="333"/>
      <c r="HR93" s="333"/>
      <c r="HS93" s="333"/>
      <c r="HT93" s="333"/>
      <c r="HU93" s="333"/>
      <c r="HV93" s="333"/>
      <c r="HW93" s="333"/>
      <c r="HX93" s="333"/>
      <c r="HY93" s="333"/>
      <c r="HZ93" s="333"/>
      <c r="IA93" s="333"/>
      <c r="IB93" s="333"/>
      <c r="IC93" s="333"/>
      <c r="ID93" s="55"/>
      <c r="IE93" s="47"/>
      <c r="IF93" s="52"/>
      <c r="IH93" s="111" t="str">
        <f t="shared" si="175"/>
        <v/>
      </c>
      <c r="II93" s="111" t="str">
        <f t="shared" si="168"/>
        <v/>
      </c>
      <c r="IJ93" s="146">
        <v>38</v>
      </c>
      <c r="IK93" s="151" t="str">
        <f t="shared" si="180"/>
        <v/>
      </c>
      <c r="IL93" s="106" t="str">
        <f t="shared" si="180"/>
        <v/>
      </c>
      <c r="IM93" s="110" t="str">
        <f t="shared" si="180"/>
        <v/>
      </c>
      <c r="IN93" s="111" t="str">
        <f t="shared" si="170"/>
        <v/>
      </c>
      <c r="IO93" s="50" t="str">
        <f t="shared" si="185"/>
        <v/>
      </c>
      <c r="IP93" s="50" t="str">
        <f t="shared" si="185"/>
        <v/>
      </c>
      <c r="IQ93" s="50" t="str">
        <f t="shared" si="185"/>
        <v/>
      </c>
      <c r="IR93" s="50" t="str">
        <f t="shared" si="185"/>
        <v/>
      </c>
      <c r="IS93" s="50" t="str">
        <f t="shared" si="185"/>
        <v/>
      </c>
      <c r="IT93" s="50" t="str">
        <f t="shared" si="185"/>
        <v/>
      </c>
      <c r="IU93" s="50" t="str">
        <f t="shared" si="185"/>
        <v/>
      </c>
      <c r="IV93" s="50" t="str">
        <f t="shared" si="185"/>
        <v/>
      </c>
      <c r="IW93" s="50" t="str">
        <f t="shared" si="185"/>
        <v/>
      </c>
      <c r="IX93" s="50" t="str">
        <f t="shared" si="185"/>
        <v/>
      </c>
      <c r="IY93" s="50" t="str">
        <f t="shared" si="186"/>
        <v/>
      </c>
      <c r="IZ93" s="50" t="str">
        <f t="shared" si="186"/>
        <v/>
      </c>
      <c r="JA93" s="50" t="str">
        <f t="shared" si="186"/>
        <v/>
      </c>
      <c r="JB93" s="50" t="str">
        <f t="shared" si="186"/>
        <v/>
      </c>
      <c r="JC93" s="50" t="str">
        <f t="shared" si="186"/>
        <v/>
      </c>
      <c r="JD93" s="50" t="str">
        <f t="shared" si="186"/>
        <v/>
      </c>
      <c r="JE93" s="50" t="str">
        <f t="shared" si="186"/>
        <v/>
      </c>
      <c r="JF93" s="50" t="str">
        <f t="shared" si="186"/>
        <v/>
      </c>
      <c r="JG93" s="50" t="str">
        <f t="shared" si="186"/>
        <v/>
      </c>
      <c r="JH93" s="50" t="str">
        <f t="shared" si="186"/>
        <v/>
      </c>
      <c r="JI93" s="50" t="str">
        <f t="shared" si="187"/>
        <v/>
      </c>
      <c r="JJ93" s="50" t="str">
        <f t="shared" si="187"/>
        <v/>
      </c>
      <c r="JK93" s="50" t="str">
        <f t="shared" si="187"/>
        <v/>
      </c>
      <c r="JL93" s="50" t="str">
        <f t="shared" si="187"/>
        <v/>
      </c>
      <c r="JM93" s="50" t="str">
        <f t="shared" si="187"/>
        <v/>
      </c>
      <c r="JN93" s="50" t="str">
        <f t="shared" si="187"/>
        <v/>
      </c>
      <c r="JO93" s="50" t="str">
        <f t="shared" si="187"/>
        <v/>
      </c>
      <c r="JP93" s="50" t="str">
        <f t="shared" si="187"/>
        <v/>
      </c>
      <c r="JQ93" s="50" t="str">
        <f t="shared" si="187"/>
        <v/>
      </c>
      <c r="JR93" s="50" t="str">
        <f t="shared" si="187"/>
        <v/>
      </c>
      <c r="JS93" s="50" t="str">
        <f t="shared" si="188"/>
        <v/>
      </c>
      <c r="JT93" s="50" t="str">
        <f t="shared" si="188"/>
        <v/>
      </c>
      <c r="JU93" s="50" t="str">
        <f t="shared" si="188"/>
        <v/>
      </c>
      <c r="JV93" s="50" t="str">
        <f t="shared" si="188"/>
        <v/>
      </c>
      <c r="JW93" s="50" t="str">
        <f t="shared" si="188"/>
        <v/>
      </c>
      <c r="JX93" s="50" t="str">
        <f t="shared" si="188"/>
        <v/>
      </c>
      <c r="JY93" s="50" t="str">
        <f t="shared" si="188"/>
        <v/>
      </c>
      <c r="JZ93" s="50" t="str">
        <f t="shared" si="188"/>
        <v/>
      </c>
      <c r="KA93" s="50" t="str">
        <f t="shared" si="188"/>
        <v/>
      </c>
      <c r="KB93" s="50" t="str">
        <f t="shared" si="188"/>
        <v/>
      </c>
      <c r="KC93" s="50" t="str">
        <f t="shared" si="188"/>
        <v/>
      </c>
      <c r="KD93" s="50" t="str">
        <f t="shared" si="188"/>
        <v/>
      </c>
    </row>
    <row r="94" spans="13:290" s="142" customFormat="1" ht="15" customHeight="1" thickBot="1">
      <c r="M94" s="333"/>
      <c r="N94" s="333"/>
      <c r="O94" s="333"/>
      <c r="P94" s="333"/>
      <c r="Q94" s="333"/>
      <c r="R94" s="333"/>
      <c r="S94" s="333"/>
      <c r="T94" s="333"/>
      <c r="U94" s="333"/>
      <c r="V94" s="333"/>
      <c r="W94" s="333"/>
      <c r="X94" s="333"/>
      <c r="Y94" s="333"/>
      <c r="Z94" s="333"/>
      <c r="AA94" s="333"/>
      <c r="AB94" s="333"/>
      <c r="AC94" s="333"/>
      <c r="AD94" s="333"/>
      <c r="AE94" s="333"/>
      <c r="AF94" s="333"/>
      <c r="AG94" s="333"/>
      <c r="AH94" s="333"/>
      <c r="AI94" s="333"/>
      <c r="AJ94" s="333"/>
      <c r="AK94" s="333"/>
      <c r="AL94" s="333"/>
      <c r="AM94" s="333"/>
      <c r="AN94" s="333"/>
      <c r="AO94" s="333"/>
      <c r="AP94" s="333"/>
      <c r="AQ94" s="333"/>
      <c r="AR94" s="333"/>
      <c r="AS94" s="333"/>
      <c r="AT94" s="333"/>
      <c r="AU94" s="333"/>
      <c r="AV94" s="333"/>
      <c r="AW94" s="333"/>
      <c r="AX94" s="333"/>
      <c r="AY94" s="333"/>
      <c r="AZ94" s="333"/>
      <c r="BA94" s="333"/>
      <c r="BB94" s="333"/>
      <c r="BC94" s="333"/>
      <c r="BD94" s="333"/>
      <c r="BE94" s="333"/>
      <c r="BF94" s="333"/>
      <c r="BG94" s="333"/>
      <c r="BH94" s="333"/>
      <c r="BI94" s="333"/>
      <c r="BJ94" s="333"/>
      <c r="BK94" s="333"/>
      <c r="BL94" s="333"/>
      <c r="BM94" s="333"/>
      <c r="BN94" s="333"/>
      <c r="BO94" s="333"/>
      <c r="BP94" s="333"/>
      <c r="BQ94" s="333"/>
      <c r="BR94" s="333"/>
      <c r="BS94" s="333"/>
      <c r="BT94" s="333"/>
      <c r="BU94" s="333"/>
      <c r="BV94" s="333"/>
      <c r="BW94" s="333"/>
      <c r="BX94" s="333"/>
      <c r="BY94" s="333"/>
      <c r="BZ94" s="333"/>
      <c r="CA94" s="333"/>
      <c r="CB94" s="333"/>
      <c r="CC94" s="333"/>
      <c r="CD94" s="333"/>
      <c r="CE94" s="333"/>
      <c r="CF94" s="333"/>
      <c r="CG94" s="333"/>
      <c r="CH94" s="333"/>
      <c r="CI94" s="333"/>
      <c r="CJ94" s="333"/>
      <c r="CK94" s="333"/>
      <c r="CL94" s="333"/>
      <c r="CM94" s="333"/>
      <c r="CN94" s="333"/>
      <c r="CO94" s="333"/>
      <c r="CP94" s="333"/>
      <c r="CQ94" s="333"/>
      <c r="CR94" s="333"/>
      <c r="CS94" s="333"/>
      <c r="CT94" s="333"/>
      <c r="CU94" s="333"/>
      <c r="CV94" s="333"/>
      <c r="CW94" s="333"/>
      <c r="CX94" s="333"/>
      <c r="CY94" s="333"/>
      <c r="CZ94" s="333"/>
      <c r="DA94" s="333"/>
      <c r="DB94" s="333"/>
      <c r="DC94" s="333"/>
      <c r="DD94" s="333"/>
      <c r="DE94" s="333"/>
      <c r="DF94" s="333"/>
      <c r="DG94" s="333"/>
      <c r="DH94" s="333"/>
      <c r="DI94" s="333"/>
      <c r="DJ94" s="333"/>
      <c r="DK94" s="333"/>
      <c r="DL94" s="333"/>
      <c r="DM94" s="333"/>
      <c r="DN94" s="333"/>
      <c r="DO94" s="333"/>
      <c r="DP94" s="333"/>
      <c r="DQ94" s="333"/>
      <c r="DR94" s="333"/>
      <c r="DS94" s="333"/>
      <c r="DT94" s="333"/>
      <c r="DU94" s="359"/>
      <c r="DV94" s="359"/>
      <c r="DW94" s="359"/>
      <c r="DX94" s="359"/>
      <c r="DY94" s="359"/>
      <c r="DZ94" s="359"/>
      <c r="EA94" s="359"/>
      <c r="EB94" s="359"/>
      <c r="EC94" s="507" t="str">
        <f t="shared" si="166"/>
        <v>GGAL</v>
      </c>
      <c r="ED94" s="900">
        <f>GE299</f>
        <v>0</v>
      </c>
      <c r="EE94" s="901"/>
      <c r="EF94" s="508">
        <f>GG299</f>
        <v>0</v>
      </c>
      <c r="EG94" s="902">
        <f>GL299</f>
        <v>0</v>
      </c>
      <c r="EH94" s="902"/>
      <c r="EI94" s="509">
        <f>GQ299</f>
        <v>0</v>
      </c>
      <c r="EJ94" s="373"/>
      <c r="EK94" s="373"/>
      <c r="EL94" s="366"/>
      <c r="EM94" s="369"/>
      <c r="EN94" s="364"/>
      <c r="EO94" s="363"/>
      <c r="EP94" s="340"/>
      <c r="EQ94" s="340"/>
      <c r="ER94" s="340"/>
      <c r="ES94" s="363"/>
      <c r="ET94" s="363"/>
      <c r="EU94" s="340"/>
      <c r="EV94" s="340"/>
      <c r="EW94" s="340"/>
      <c r="EX94" s="340"/>
      <c r="EY94" s="340"/>
      <c r="EZ94" s="340"/>
      <c r="FA94" s="340"/>
      <c r="FB94" s="402"/>
      <c r="FC94" s="402"/>
      <c r="FD94" s="340"/>
      <c r="FE94" s="340"/>
      <c r="FF94" s="340"/>
      <c r="FG94" s="364"/>
      <c r="FH94" s="364"/>
      <c r="FI94" s="363"/>
      <c r="FJ94" s="360"/>
      <c r="FK94" s="360"/>
      <c r="FL94" s="340"/>
      <c r="FM94" s="967"/>
      <c r="FN94" s="967"/>
      <c r="FO94" s="967"/>
      <c r="FP94" s="968"/>
      <c r="FQ94" s="968"/>
      <c r="FR94" s="968"/>
      <c r="FS94" s="968"/>
      <c r="FT94" s="968"/>
      <c r="FU94" s="968"/>
      <c r="FV94" s="968"/>
      <c r="FW94" s="968"/>
      <c r="FX94" s="968"/>
      <c r="FY94" s="341"/>
      <c r="FZ94" s="341"/>
      <c r="GA94" s="341"/>
      <c r="GB94" s="495">
        <v>0</v>
      </c>
      <c r="GC94" s="495">
        <v>0</v>
      </c>
      <c r="GD94" s="500"/>
      <c r="GE94" s="495">
        <v>0</v>
      </c>
      <c r="GF94" s="495">
        <v>0</v>
      </c>
      <c r="GG94" s="495">
        <v>0</v>
      </c>
      <c r="GH94" s="359"/>
      <c r="GI94" s="359"/>
      <c r="GJ94" s="501"/>
      <c r="GK94" s="495">
        <v>0</v>
      </c>
      <c r="GL94" s="495">
        <v>0</v>
      </c>
      <c r="GM94" s="495">
        <v>0</v>
      </c>
      <c r="GN94" s="359"/>
      <c r="GO94" s="359"/>
      <c r="GP94" s="501"/>
      <c r="GQ94" s="495">
        <v>0</v>
      </c>
      <c r="GR94" s="359"/>
      <c r="GS94" s="333"/>
      <c r="GT94" s="333"/>
      <c r="GU94" s="333"/>
      <c r="GV94" s="333"/>
      <c r="GW94" s="333"/>
      <c r="GX94" s="333"/>
      <c r="GY94" s="333"/>
      <c r="GZ94" s="333"/>
      <c r="HA94" s="333"/>
      <c r="HB94" s="333"/>
      <c r="HC94" s="333"/>
      <c r="HD94" s="333"/>
      <c r="HE94" s="333"/>
      <c r="HF94" s="333"/>
      <c r="HG94" s="331"/>
      <c r="HH94" s="331"/>
      <c r="HI94" s="331"/>
      <c r="HJ94" s="331"/>
      <c r="HK94" s="331"/>
      <c r="HL94" s="331"/>
      <c r="HM94" s="331"/>
      <c r="HN94" s="333"/>
      <c r="HO94" s="333"/>
      <c r="HP94" s="333"/>
      <c r="HQ94" s="333"/>
      <c r="HR94" s="333"/>
      <c r="HS94" s="333"/>
      <c r="HT94" s="333"/>
      <c r="HU94" s="333"/>
      <c r="HV94" s="333"/>
      <c r="HW94" s="333"/>
      <c r="HX94" s="333"/>
      <c r="HY94" s="333"/>
      <c r="HZ94" s="333"/>
      <c r="IA94" s="333"/>
      <c r="IB94" s="333"/>
      <c r="IC94" s="333"/>
      <c r="ID94" s="55"/>
      <c r="IE94" s="47"/>
      <c r="IF94" s="52"/>
      <c r="IH94" s="111" t="str">
        <f t="shared" si="175"/>
        <v/>
      </c>
      <c r="II94" s="111" t="str">
        <f t="shared" si="168"/>
        <v/>
      </c>
      <c r="IJ94" s="146">
        <v>39</v>
      </c>
      <c r="IK94" s="151" t="str">
        <f t="shared" si="180"/>
        <v/>
      </c>
      <c r="IL94" s="106" t="str">
        <f t="shared" si="180"/>
        <v/>
      </c>
      <c r="IM94" s="110" t="str">
        <f t="shared" si="180"/>
        <v/>
      </c>
      <c r="IN94" s="111" t="str">
        <f t="shared" si="170"/>
        <v/>
      </c>
      <c r="IO94" s="50" t="str">
        <f t="shared" si="185"/>
        <v/>
      </c>
      <c r="IP94" s="50" t="str">
        <f t="shared" si="185"/>
        <v/>
      </c>
      <c r="IQ94" s="50" t="str">
        <f t="shared" si="185"/>
        <v/>
      </c>
      <c r="IR94" s="50" t="str">
        <f t="shared" si="185"/>
        <v/>
      </c>
      <c r="IS94" s="50" t="str">
        <f t="shared" si="185"/>
        <v/>
      </c>
      <c r="IT94" s="50" t="str">
        <f t="shared" si="185"/>
        <v/>
      </c>
      <c r="IU94" s="50" t="str">
        <f t="shared" si="185"/>
        <v/>
      </c>
      <c r="IV94" s="50" t="str">
        <f t="shared" si="185"/>
        <v/>
      </c>
      <c r="IW94" s="50" t="str">
        <f t="shared" si="185"/>
        <v/>
      </c>
      <c r="IX94" s="50" t="str">
        <f t="shared" si="185"/>
        <v/>
      </c>
      <c r="IY94" s="50" t="str">
        <f t="shared" si="186"/>
        <v/>
      </c>
      <c r="IZ94" s="50" t="str">
        <f t="shared" si="186"/>
        <v/>
      </c>
      <c r="JA94" s="50" t="str">
        <f t="shared" si="186"/>
        <v/>
      </c>
      <c r="JB94" s="50" t="str">
        <f t="shared" si="186"/>
        <v/>
      </c>
      <c r="JC94" s="50" t="str">
        <f t="shared" si="186"/>
        <v/>
      </c>
      <c r="JD94" s="50" t="str">
        <f t="shared" si="186"/>
        <v/>
      </c>
      <c r="JE94" s="50" t="str">
        <f t="shared" si="186"/>
        <v/>
      </c>
      <c r="JF94" s="50" t="str">
        <f t="shared" si="186"/>
        <v/>
      </c>
      <c r="JG94" s="50" t="str">
        <f t="shared" si="186"/>
        <v/>
      </c>
      <c r="JH94" s="50" t="str">
        <f t="shared" si="186"/>
        <v/>
      </c>
      <c r="JI94" s="50" t="str">
        <f t="shared" si="187"/>
        <v/>
      </c>
      <c r="JJ94" s="50" t="str">
        <f t="shared" si="187"/>
        <v/>
      </c>
      <c r="JK94" s="50" t="str">
        <f t="shared" si="187"/>
        <v/>
      </c>
      <c r="JL94" s="50" t="str">
        <f t="shared" si="187"/>
        <v/>
      </c>
      <c r="JM94" s="50" t="str">
        <f t="shared" si="187"/>
        <v/>
      </c>
      <c r="JN94" s="50" t="str">
        <f t="shared" si="187"/>
        <v/>
      </c>
      <c r="JO94" s="50" t="str">
        <f t="shared" si="187"/>
        <v/>
      </c>
      <c r="JP94" s="50" t="str">
        <f t="shared" si="187"/>
        <v/>
      </c>
      <c r="JQ94" s="50" t="str">
        <f t="shared" si="187"/>
        <v/>
      </c>
      <c r="JR94" s="50" t="str">
        <f t="shared" si="187"/>
        <v/>
      </c>
      <c r="JS94" s="50" t="str">
        <f t="shared" si="188"/>
        <v/>
      </c>
      <c r="JT94" s="50" t="str">
        <f t="shared" si="188"/>
        <v/>
      </c>
      <c r="JU94" s="50" t="str">
        <f t="shared" si="188"/>
        <v/>
      </c>
      <c r="JV94" s="50" t="str">
        <f t="shared" si="188"/>
        <v/>
      </c>
      <c r="JW94" s="50" t="str">
        <f t="shared" si="188"/>
        <v/>
      </c>
      <c r="JX94" s="50" t="str">
        <f t="shared" si="188"/>
        <v/>
      </c>
      <c r="JY94" s="50" t="str">
        <f t="shared" si="188"/>
        <v/>
      </c>
      <c r="JZ94" s="50" t="str">
        <f t="shared" si="188"/>
        <v/>
      </c>
      <c r="KA94" s="50" t="str">
        <f t="shared" si="188"/>
        <v/>
      </c>
      <c r="KB94" s="50" t="str">
        <f t="shared" si="188"/>
        <v/>
      </c>
      <c r="KC94" s="50" t="str">
        <f t="shared" si="188"/>
        <v/>
      </c>
      <c r="KD94" s="50" t="str">
        <f t="shared" si="188"/>
        <v/>
      </c>
    </row>
    <row r="95" spans="13:290" s="142" customFormat="1" ht="15" customHeight="1">
      <c r="M95" s="333"/>
      <c r="N95" s="333"/>
      <c r="O95" s="333"/>
      <c r="P95" s="333"/>
      <c r="Q95" s="333"/>
      <c r="R95" s="333"/>
      <c r="S95" s="333"/>
      <c r="T95" s="333"/>
      <c r="U95" s="333"/>
      <c r="V95" s="333"/>
      <c r="W95" s="333"/>
      <c r="X95" s="333"/>
      <c r="Y95" s="333"/>
      <c r="Z95" s="333"/>
      <c r="AA95" s="333"/>
      <c r="AB95" s="333"/>
      <c r="AC95" s="333"/>
      <c r="AD95" s="333"/>
      <c r="AE95" s="333"/>
      <c r="AF95" s="333"/>
      <c r="AG95" s="333"/>
      <c r="AH95" s="333"/>
      <c r="AI95" s="333"/>
      <c r="AJ95" s="333"/>
      <c r="AK95" s="333"/>
      <c r="AL95" s="333"/>
      <c r="AM95" s="333"/>
      <c r="AN95" s="333"/>
      <c r="AO95" s="333"/>
      <c r="AP95" s="333"/>
      <c r="AQ95" s="333"/>
      <c r="AR95" s="333"/>
      <c r="AS95" s="333"/>
      <c r="AT95" s="333"/>
      <c r="AU95" s="333"/>
      <c r="AV95" s="333"/>
      <c r="AW95" s="333"/>
      <c r="AX95" s="333"/>
      <c r="AY95" s="333"/>
      <c r="AZ95" s="333"/>
      <c r="BA95" s="333"/>
      <c r="BB95" s="333"/>
      <c r="BC95" s="333"/>
      <c r="BD95" s="333"/>
      <c r="BE95" s="333"/>
      <c r="BF95" s="333"/>
      <c r="BG95" s="333"/>
      <c r="BH95" s="333"/>
      <c r="BI95" s="333"/>
      <c r="BJ95" s="333"/>
      <c r="BK95" s="333"/>
      <c r="BL95" s="333"/>
      <c r="BM95" s="333"/>
      <c r="BN95" s="333"/>
      <c r="BO95" s="333"/>
      <c r="BP95" s="333"/>
      <c r="BQ95" s="333"/>
      <c r="BR95" s="333"/>
      <c r="BS95" s="333"/>
      <c r="BT95" s="333"/>
      <c r="BU95" s="333"/>
      <c r="BV95" s="333"/>
      <c r="BW95" s="333"/>
      <c r="BX95" s="333"/>
      <c r="BY95" s="333"/>
      <c r="BZ95" s="333"/>
      <c r="CA95" s="333"/>
      <c r="CB95" s="333"/>
      <c r="CC95" s="333"/>
      <c r="CD95" s="333"/>
      <c r="CE95" s="333"/>
      <c r="CF95" s="333"/>
      <c r="CG95" s="333"/>
      <c r="CH95" s="333"/>
      <c r="CI95" s="333"/>
      <c r="CJ95" s="333"/>
      <c r="CK95" s="333"/>
      <c r="CL95" s="333"/>
      <c r="CM95" s="333"/>
      <c r="CN95" s="333"/>
      <c r="CO95" s="333"/>
      <c r="CP95" s="333"/>
      <c r="CQ95" s="333"/>
      <c r="CR95" s="333"/>
      <c r="CS95" s="333"/>
      <c r="CT95" s="333"/>
      <c r="CU95" s="333"/>
      <c r="CV95" s="333"/>
      <c r="CW95" s="333"/>
      <c r="CX95" s="333"/>
      <c r="CY95" s="333"/>
      <c r="CZ95" s="333"/>
      <c r="DA95" s="333"/>
      <c r="DB95" s="333"/>
      <c r="DC95" s="333"/>
      <c r="DD95" s="333"/>
      <c r="DE95" s="333"/>
      <c r="DF95" s="333"/>
      <c r="DG95" s="333"/>
      <c r="DH95" s="333"/>
      <c r="DI95" s="333"/>
      <c r="DJ95" s="333"/>
      <c r="DK95" s="333"/>
      <c r="DL95" s="333"/>
      <c r="DM95" s="333"/>
      <c r="DN95" s="333"/>
      <c r="DO95" s="333"/>
      <c r="DP95" s="333"/>
      <c r="DQ95" s="333"/>
      <c r="DR95" s="333"/>
      <c r="DS95" s="333"/>
      <c r="DT95" s="333"/>
      <c r="DU95" s="359"/>
      <c r="DV95" s="359"/>
      <c r="DW95" s="359"/>
      <c r="DX95" s="359"/>
      <c r="DY95" s="359"/>
      <c r="DZ95" s="359"/>
      <c r="EA95" s="359"/>
      <c r="EB95" s="359"/>
      <c r="EC95" s="359"/>
      <c r="ED95" s="359"/>
      <c r="EE95" s="359"/>
      <c r="EF95" s="359"/>
      <c r="EG95" s="359"/>
      <c r="EH95" s="359"/>
      <c r="EI95" s="359"/>
      <c r="EJ95" s="359"/>
      <c r="EK95" s="373"/>
      <c r="EL95" s="366"/>
      <c r="EM95" s="366"/>
      <c r="EN95" s="364">
        <f>+EN89+1</f>
        <v>8</v>
      </c>
      <c r="EO95" s="356">
        <f>+VLOOKUP(EN95, PRECIOS_EJERCICIOS,  2,FALSE)</f>
        <v>165</v>
      </c>
      <c r="EP95" s="513" t="str">
        <f>+IF($AQ$49 = FALSE, "",
IF(VLOOKUP(EO95, basesCantPrimaBrutoRes, 2,FALSE) &gt;= 0, VLOOKUP(EO95, basesCantPrimaBrutoRes, 2,FALSE), 0))</f>
        <v/>
      </c>
      <c r="EQ95" s="514" t="str">
        <f>+IF($AQ$49 = FALSE, "",
IF(VLOOKUP(EO95, basesCantPrimaBrutoRes, 2,FALSE) &lt; 0, -VLOOKUP(EO95, basesCantPrimaBrutoRes, 2,FALSE), 0))</f>
        <v/>
      </c>
      <c r="ER95" s="521" t="str">
        <f>IF($AQ$49 = FALSE, "",
VLOOKUP(EO95, basesCantPrimaBrutoRes, 4,FALSE))</f>
        <v/>
      </c>
      <c r="ES95" s="926">
        <f>IF(ER95 = "", 0,
IF(AND(EP95 &gt; 0, EQ95 &gt;0), 0, IF(EO95 &lt;&gt; $Z$1,
IF(AND(EP95 &lt;&gt; "", EP95 &lt;&gt; 0), -(EP95 * ER95 * 100),
IF(AND(EQ95 &lt;&gt; "", EQ95 &lt;&gt; 0), (EQ95 * ER95 * 100), 0)),
IF(AND(EP95 &lt;&gt; "", EP95 &lt;&gt; 0), -(EP95 * ER95 * 1),
IF(AND(EQ95 &lt;&gt; "", EQ95 &lt;&gt; 0), (EQ95 * ER95 * 1), 0))  )))</f>
        <v>0</v>
      </c>
      <c r="ET95" s="927"/>
      <c r="EU95" s="928"/>
      <c r="EV95" s="926">
        <f>IF(ER95 = "", 0,
IF(AND(EP95 &gt; 0, EQ95 &gt;0), 0,  IF(EO95 &lt;&gt; $Z$1,
IF(AND(EP95 &lt;&gt; "", EP95 &lt;&gt; 0), -(EP95 * ER95 * 100 * (1 + COMIS_OPCION)),
IF(AND(EQ95 &lt;&gt; "", EQ95 &lt;&gt; 0), (EQ95 * ER95 * 100 * (1 - COMIS_OPCION)), 0)),
IF(AND(EP95 &lt;&gt; "", EP95 &lt;&gt; 0), -(EP95 * ER95 * 1 * (1 + COMIS_ACCION)),
IF(AND(EQ95 &lt;&gt; "", EQ95 &lt;&gt; 0), (EQ95 * ER95 * 1 * (1 - COMIS_ACCION)), 0))  )))</f>
        <v>0</v>
      </c>
      <c r="EW95" s="927"/>
      <c r="EX95" s="927"/>
      <c r="EY95" s="927"/>
      <c r="EZ95" s="927"/>
      <c r="FA95" s="927"/>
      <c r="FB95" s="927"/>
      <c r="FC95" s="927"/>
      <c r="FD95" s="929"/>
      <c r="FE95" s="340"/>
      <c r="FF95" s="340"/>
      <c r="FG95" s="364"/>
      <c r="FH95" s="364">
        <f>+FH89+1</f>
        <v>8</v>
      </c>
      <c r="FI95" s="357">
        <f>+VLOOKUP(FH95, PRECIOS_EJERCICIOS,  2,FALSE)</f>
        <v>165</v>
      </c>
      <c r="FJ95" s="515" t="str">
        <f>+IF($AQ$49 = FALSE, "",
IF(VLOOKUP(EO95, basesCantPrimaBrutoRes, 5,FALSE) &gt;= 0, VLOOKUP(EO95, basesCantPrimaBrutoRes, 5,FALSE), 0))</f>
        <v/>
      </c>
      <c r="FK95" s="516" t="str">
        <f>+IF($AQ$49 = FALSE, "",
IF(VLOOKUP(EO95, basesCantPrimaBrutoRes, 5,FALSE) &lt; 0, -VLOOKUP(EO95, basesCantPrimaBrutoRes, 5,FALSE), 0))</f>
        <v/>
      </c>
      <c r="FL95" s="517" t="str">
        <f>IF($AQ$49 = FALSE, "",
VLOOKUP(EO95, basesCantPrimaBrutoRes, 7,FALSE))</f>
        <v/>
      </c>
      <c r="FM95" s="934">
        <f>IF(FL95 = "", 0,
IF(AND(FJ95 &gt; 0, FK95 &gt;0), 0,
IF(AND(FJ95 &lt;&gt; "", FJ95 &lt;&gt; 0), -(FJ95 * FL95 * 100),
IF(AND(FK95 &lt;&gt; "", FK95 &lt;&gt; 0), (FK95 * FL95 * 100), 0)) ))</f>
        <v>0</v>
      </c>
      <c r="FN95" s="935"/>
      <c r="FO95" s="936"/>
      <c r="FP95" s="934">
        <f>IF(FL95 = "", 0,
IF(AND(FJ95 &gt; 0, FK95 &gt;0), 0,
IF(AND(FJ95 &lt;&gt; "", FJ95 &lt;&gt; 0), -(FJ95 * FL95 * 100 * (1 + COMIS_OPCION)),
IF(AND(FK95 &lt;&gt; "", FK95 &lt;&gt; 0), (FK95 * FL95 * 100 * (1 - COMIS_OPCION)), 0)) ))</f>
        <v>0</v>
      </c>
      <c r="FQ95" s="935"/>
      <c r="FR95" s="935"/>
      <c r="FS95" s="935"/>
      <c r="FT95" s="935"/>
      <c r="FU95" s="935"/>
      <c r="FV95" s="935"/>
      <c r="FW95" s="935"/>
      <c r="FX95" s="966"/>
      <c r="FY95" s="341"/>
      <c r="FZ95" s="341"/>
      <c r="GA95" s="341"/>
      <c r="GB95" s="495">
        <f>+IF(EN95 = "", "", EO95)</f>
        <v>165</v>
      </c>
      <c r="GC95" s="495" t="str">
        <f>+IF(GB95="", "", IF(EO95 = $Z$1, "ACCION", "CALL"))</f>
        <v>CALL</v>
      </c>
      <c r="GD95" s="500"/>
      <c r="GE95" s="495">
        <f>+IF(GB95= "", "", EO97)</f>
        <v>0</v>
      </c>
      <c r="GF95" s="495">
        <f>+IF(GB95 = "", "", IFERROR(IF(GB95 &lt;&gt; $Z$1,
IF(GE95 &gt; 0, SUMIFS(ES95:ES99, EP95:EP99, "&gt;0", ES95:ES99, "&lt;&gt;0") / SUMIFS(EP95:EP99, EP95:EP99, "&gt;0", ES95:ES99, "&lt;&gt;0") / -100,
IF(GE95 &lt; 0, SUMIFS(ES95:ES99, EQ95:EQ99, "&gt;0", ES95:ES99, "&lt;&gt;0") / SUMIFS(EQ95:EQ99, EQ95:EQ99, "&gt;0", ES95:ES99, "&lt;&gt;0") / 100, 0)),
IF(GE95 &gt; 0, SUMIFS(ES95:ES99, EP95:EP99, "&gt;0", ES95:ES99, "&lt;&gt;0") / SUMIFS(EP95:EP99, EP95:EP99, "&gt;0", ES95:ES99, "&lt;&gt;0") / -1,
IF(GE95 &lt; 0, SUMIFS(ES95:ES99, EQ95:EQ99, "&gt;0", ES95:ES99, "&lt;&gt;0") / SUMIFS(EQ95:EQ99, EQ95:EQ99, "&gt;0", ES95:ES99, "&lt;&gt;0") / 1, 0)) ), 0))</f>
        <v>0</v>
      </c>
      <c r="GG95" s="495">
        <f>+IF(GB95 = "", "", IFERROR(IF(GB95 &lt;&gt; $Z$1,
IF(GE95 &gt; 0, SUMIFS(EV95:EV99, EP95:EP99, "&gt;0", EV95:EV99, "&lt;&gt;0") / SUMIFS(EP95:EP99, EP95:EP99, "&gt;0", EV95:EV99, "&lt;&gt;0") / -100,
IF(GE95 &lt; 0, SUMIFS(EV95:EV99, EQ95:EQ99, "&gt;0", EV95:EV99, "&lt;&gt;0") / SUMIFS(EQ95:EQ99, EQ95:EQ99, "&gt;0", EV95:EV99, "&lt;&gt;0") / 100, 0)),
IF(GE95 &gt; 0, SUMIFS(EV95:EV99, EP95:EP99, "&gt;0", EV95:EV99, "&lt;&gt;0") / SUMIFS(EP95:EP99, EP95:EP99, "&gt;0", EV95:EV99, "&lt;&gt;0") / -1,
IF(GE95 &lt; 0, SUMIFS(EV95:EV99, EQ95:EQ99, "&gt;0", EV95:EV99, "&lt;&gt;0") / SUMIFS(EQ95:EQ99, EQ95:EQ99, "&gt;0", EV95:EV99, "&lt;&gt;0") / 1, 0)) ), 0))</f>
        <v>0</v>
      </c>
      <c r="GH95" s="359"/>
      <c r="GI95" s="359"/>
      <c r="GJ95" s="501"/>
      <c r="GK95" s="495" t="str">
        <f>+IF(GB95="", "", "PUT")</f>
        <v>PUT</v>
      </c>
      <c r="GL95" s="495">
        <f>+IF(GB95 = "", "", FI97)</f>
        <v>0</v>
      </c>
      <c r="GM95" s="495">
        <f>+IF(GB95 = "", "", IFERROR(
IF(FI97 &gt; 0, SUMIFS(FM95:FM99, FJ95:FJ99, "&gt;0", FM95:FM99, "&lt;&gt;0") / SUMIFS(FJ95:FJ99, FJ95:FJ99, "&gt;0", FM95:FM99, "&lt;&gt;0") / -100,
IF(FI97 &lt; 0, SUMIFS(FM95:FM99, FK95:FK99, "&gt;0", FM95:FM99, "&lt;&gt;0") / SUMIFS(FK95:FK99, FK95:FK99, "&gt;0", FM95:FM99, "&lt;&gt;0") / 100, 0)), 0) )</f>
        <v>0</v>
      </c>
      <c r="GN95" s="359"/>
      <c r="GO95" s="359"/>
      <c r="GP95" s="501"/>
      <c r="GQ95" s="502">
        <f>+IF(GB95 = "", "", IFERROR(
IF(FI97 &gt; 0, SUMIFS(FP95:FP99, FJ95:FJ99, "&gt;0", FP95:FP99, "&lt;&gt;0") / SUMIFS(FJ95:FJ99, FJ95:FJ99, "&gt;0", FP95:FP99, "&lt;&gt;0") / -100,
IF(FI97 &lt; 0, SUMIFS(FP95:FP99, FK95:FK99, "&gt;0", FP95:FP99, "&lt;&gt;0") / SUMIFS(FK95:FK99, FK95:FK99, "&gt;0", FP95:FP99, "&lt;&gt;0") / 100, 0)), 0))</f>
        <v>0</v>
      </c>
      <c r="GR95" s="359"/>
      <c r="GS95" s="333"/>
      <c r="GT95" s="333"/>
      <c r="GU95" s="333"/>
      <c r="GV95" s="333"/>
      <c r="GW95" s="333"/>
      <c r="GX95" s="333"/>
      <c r="GY95" s="333"/>
      <c r="GZ95" s="333"/>
      <c r="HA95" s="333"/>
      <c r="HB95" s="333"/>
      <c r="HC95" s="333"/>
      <c r="HD95" s="333"/>
      <c r="HE95" s="333"/>
      <c r="HF95" s="333"/>
      <c r="HG95" s="331"/>
      <c r="HH95" s="331"/>
      <c r="HI95" s="331"/>
      <c r="HJ95" s="331"/>
      <c r="HK95" s="331"/>
      <c r="HL95" s="331"/>
      <c r="HM95" s="331"/>
      <c r="HN95" s="333"/>
      <c r="HO95" s="333"/>
      <c r="HP95" s="333"/>
      <c r="HQ95" s="333"/>
      <c r="HR95" s="333"/>
      <c r="HS95" s="333"/>
      <c r="HT95" s="333"/>
      <c r="HU95" s="333"/>
      <c r="HV95" s="333"/>
      <c r="HW95" s="333"/>
      <c r="HX95" s="333"/>
      <c r="HY95" s="333"/>
      <c r="HZ95" s="333"/>
      <c r="IA95" s="333"/>
      <c r="IB95" s="333"/>
      <c r="IC95" s="333"/>
      <c r="ID95" s="55"/>
      <c r="IE95" s="47"/>
      <c r="IF95" s="52"/>
      <c r="IH95" s="111" t="str">
        <f t="shared" si="175"/>
        <v/>
      </c>
      <c r="II95" s="111" t="str">
        <f t="shared" si="168"/>
        <v/>
      </c>
      <c r="IJ95" s="146">
        <v>40</v>
      </c>
      <c r="IK95" s="151" t="str">
        <f t="shared" si="180"/>
        <v/>
      </c>
      <c r="IL95" s="106" t="str">
        <f t="shared" si="180"/>
        <v/>
      </c>
      <c r="IM95" s="110" t="str">
        <f t="shared" si="180"/>
        <v/>
      </c>
      <c r="IN95" s="111" t="str">
        <f t="shared" si="170"/>
        <v/>
      </c>
      <c r="IO95" s="50" t="str">
        <f t="shared" si="185"/>
        <v/>
      </c>
      <c r="IP95" s="50" t="str">
        <f t="shared" si="185"/>
        <v/>
      </c>
      <c r="IQ95" s="50" t="str">
        <f t="shared" si="185"/>
        <v/>
      </c>
      <c r="IR95" s="50" t="str">
        <f t="shared" si="185"/>
        <v/>
      </c>
      <c r="IS95" s="50" t="str">
        <f t="shared" si="185"/>
        <v/>
      </c>
      <c r="IT95" s="50" t="str">
        <f t="shared" si="185"/>
        <v/>
      </c>
      <c r="IU95" s="50" t="str">
        <f t="shared" si="185"/>
        <v/>
      </c>
      <c r="IV95" s="50" t="str">
        <f t="shared" si="185"/>
        <v/>
      </c>
      <c r="IW95" s="50" t="str">
        <f t="shared" si="185"/>
        <v/>
      </c>
      <c r="IX95" s="50" t="str">
        <f t="shared" si="185"/>
        <v/>
      </c>
      <c r="IY95" s="50" t="str">
        <f t="shared" si="186"/>
        <v/>
      </c>
      <c r="IZ95" s="50" t="str">
        <f t="shared" si="186"/>
        <v/>
      </c>
      <c r="JA95" s="50" t="str">
        <f t="shared" si="186"/>
        <v/>
      </c>
      <c r="JB95" s="50" t="str">
        <f t="shared" si="186"/>
        <v/>
      </c>
      <c r="JC95" s="50" t="str">
        <f t="shared" si="186"/>
        <v/>
      </c>
      <c r="JD95" s="50" t="str">
        <f t="shared" si="186"/>
        <v/>
      </c>
      <c r="JE95" s="50" t="str">
        <f t="shared" si="186"/>
        <v/>
      </c>
      <c r="JF95" s="50" t="str">
        <f t="shared" si="186"/>
        <v/>
      </c>
      <c r="JG95" s="50" t="str">
        <f t="shared" si="186"/>
        <v/>
      </c>
      <c r="JH95" s="50" t="str">
        <f t="shared" si="186"/>
        <v/>
      </c>
      <c r="JI95" s="50" t="str">
        <f t="shared" si="187"/>
        <v/>
      </c>
      <c r="JJ95" s="50" t="str">
        <f t="shared" si="187"/>
        <v/>
      </c>
      <c r="JK95" s="50" t="str">
        <f t="shared" si="187"/>
        <v/>
      </c>
      <c r="JL95" s="50" t="str">
        <f t="shared" si="187"/>
        <v/>
      </c>
      <c r="JM95" s="50" t="str">
        <f t="shared" si="187"/>
        <v/>
      </c>
      <c r="JN95" s="50" t="str">
        <f t="shared" si="187"/>
        <v/>
      </c>
      <c r="JO95" s="50" t="str">
        <f t="shared" si="187"/>
        <v/>
      </c>
      <c r="JP95" s="50" t="str">
        <f t="shared" si="187"/>
        <v/>
      </c>
      <c r="JQ95" s="50" t="str">
        <f t="shared" si="187"/>
        <v/>
      </c>
      <c r="JR95" s="50" t="str">
        <f t="shared" si="187"/>
        <v/>
      </c>
      <c r="JS95" s="50" t="str">
        <f t="shared" si="188"/>
        <v/>
      </c>
      <c r="JT95" s="50" t="str">
        <f t="shared" si="188"/>
        <v/>
      </c>
      <c r="JU95" s="50" t="str">
        <f t="shared" si="188"/>
        <v/>
      </c>
      <c r="JV95" s="50" t="str">
        <f t="shared" si="188"/>
        <v/>
      </c>
      <c r="JW95" s="50" t="str">
        <f t="shared" si="188"/>
        <v/>
      </c>
      <c r="JX95" s="50" t="str">
        <f t="shared" si="188"/>
        <v/>
      </c>
      <c r="JY95" s="50" t="str">
        <f t="shared" si="188"/>
        <v/>
      </c>
      <c r="JZ95" s="50" t="str">
        <f t="shared" si="188"/>
        <v/>
      </c>
      <c r="KA95" s="50" t="str">
        <f t="shared" si="188"/>
        <v/>
      </c>
      <c r="KB95" s="50" t="str">
        <f t="shared" si="188"/>
        <v/>
      </c>
      <c r="KC95" s="50" t="str">
        <f t="shared" si="188"/>
        <v/>
      </c>
      <c r="KD95" s="50" t="str">
        <f t="shared" si="188"/>
        <v/>
      </c>
    </row>
    <row r="96" spans="13:290" s="142" customFormat="1" ht="15" customHeight="1">
      <c r="M96" s="333"/>
      <c r="N96" s="333"/>
      <c r="O96" s="333"/>
      <c r="P96" s="333"/>
      <c r="Q96" s="333"/>
      <c r="R96" s="333"/>
      <c r="S96" s="333"/>
      <c r="T96" s="333"/>
      <c r="U96" s="333"/>
      <c r="V96" s="333"/>
      <c r="W96" s="333"/>
      <c r="X96" s="333"/>
      <c r="Y96" s="333"/>
      <c r="Z96" s="333"/>
      <c r="AA96" s="333"/>
      <c r="AB96" s="333"/>
      <c r="AC96" s="333"/>
      <c r="AD96" s="333"/>
      <c r="AE96" s="333"/>
      <c r="AF96" s="333"/>
      <c r="AG96" s="333"/>
      <c r="AH96" s="333"/>
      <c r="AI96" s="333"/>
      <c r="AJ96" s="333"/>
      <c r="AK96" s="333"/>
      <c r="AL96" s="333"/>
      <c r="AM96" s="333"/>
      <c r="AN96" s="333"/>
      <c r="AO96" s="333"/>
      <c r="AP96" s="333"/>
      <c r="AQ96" s="333"/>
      <c r="AR96" s="333"/>
      <c r="AS96" s="333"/>
      <c r="AT96" s="333"/>
      <c r="AU96" s="333"/>
      <c r="AV96" s="333"/>
      <c r="AW96" s="333"/>
      <c r="AX96" s="333"/>
      <c r="AY96" s="333"/>
      <c r="AZ96" s="333"/>
      <c r="BA96" s="333"/>
      <c r="BB96" s="333"/>
      <c r="BC96" s="333"/>
      <c r="BD96" s="333"/>
      <c r="BE96" s="333"/>
      <c r="BF96" s="333"/>
      <c r="BG96" s="333"/>
      <c r="BH96" s="333"/>
      <c r="BI96" s="333"/>
      <c r="BJ96" s="333"/>
      <c r="BK96" s="333"/>
      <c r="BL96" s="333"/>
      <c r="BM96" s="333"/>
      <c r="BN96" s="333"/>
      <c r="BO96" s="333"/>
      <c r="BP96" s="333"/>
      <c r="BQ96" s="333"/>
      <c r="BR96" s="333"/>
      <c r="BS96" s="333"/>
      <c r="BT96" s="333"/>
      <c r="BU96" s="333"/>
      <c r="BV96" s="333"/>
      <c r="BW96" s="333"/>
      <c r="BX96" s="333"/>
      <c r="BY96" s="333"/>
      <c r="BZ96" s="333"/>
      <c r="CA96" s="333"/>
      <c r="CB96" s="333"/>
      <c r="CC96" s="333"/>
      <c r="CD96" s="333"/>
      <c r="CE96" s="333"/>
      <c r="CF96" s="333"/>
      <c r="CG96" s="333"/>
      <c r="CH96" s="333"/>
      <c r="CI96" s="333"/>
      <c r="CJ96" s="333"/>
      <c r="CK96" s="333"/>
      <c r="CL96" s="333"/>
      <c r="CM96" s="333"/>
      <c r="CN96" s="333"/>
      <c r="CO96" s="333"/>
      <c r="CP96" s="333"/>
      <c r="CQ96" s="333"/>
      <c r="CR96" s="333"/>
      <c r="CS96" s="333"/>
      <c r="CT96" s="333"/>
      <c r="CU96" s="333"/>
      <c r="CV96" s="333"/>
      <c r="CW96" s="333"/>
      <c r="CX96" s="333"/>
      <c r="CY96" s="333"/>
      <c r="CZ96" s="333"/>
      <c r="DA96" s="333"/>
      <c r="DB96" s="333"/>
      <c r="DC96" s="333"/>
      <c r="DD96" s="333"/>
      <c r="DE96" s="333"/>
      <c r="DF96" s="333"/>
      <c r="DG96" s="333"/>
      <c r="DH96" s="333"/>
      <c r="DI96" s="333"/>
      <c r="DJ96" s="333"/>
      <c r="DK96" s="333"/>
      <c r="DL96" s="333"/>
      <c r="DM96" s="333"/>
      <c r="DN96" s="333"/>
      <c r="DO96" s="333"/>
      <c r="DP96" s="333"/>
      <c r="DQ96" s="333"/>
      <c r="DR96" s="333"/>
      <c r="DS96" s="333"/>
      <c r="DT96" s="333"/>
      <c r="DU96" s="359"/>
      <c r="DV96" s="359"/>
      <c r="DW96" s="359"/>
      <c r="DX96" s="359"/>
      <c r="DY96" s="359"/>
      <c r="DZ96" s="359"/>
      <c r="EA96" s="359"/>
      <c r="EB96" s="359"/>
      <c r="EC96" s="503" t="s">
        <v>297</v>
      </c>
      <c r="ED96" s="375"/>
      <c r="EE96" s="375"/>
      <c r="EF96" s="375"/>
      <c r="EG96" s="375"/>
      <c r="EH96" s="375"/>
      <c r="EI96" s="375"/>
      <c r="EJ96" s="373"/>
      <c r="EK96" s="373"/>
      <c r="EL96" s="366"/>
      <c r="EM96" s="366"/>
      <c r="EN96" s="364"/>
      <c r="EO96" s="351"/>
      <c r="EP96" s="347"/>
      <c r="EQ96" s="342"/>
      <c r="ER96" s="522"/>
      <c r="ES96" s="916">
        <f>IF(ER96 = "", 0,
IF(AND(EP96 &gt; 0, EQ96 &gt;0), 0, IF(EO95 &lt;&gt; $Z$1,
IF(AND(EP96 &lt;&gt; "", EP96 &lt;&gt; 0), -(EP96 * ER96 * 100),
IF(AND(EQ96 &lt;&gt; "", EQ96 &lt;&gt; 0), (EQ96 * ER96 * 100), 0)),
IF(AND(EP96 &lt;&gt; "", EP96 &lt;&gt; 0), -(EP96 * ER96 * 1),
IF(AND(EQ96 &lt;&gt; "", EQ96 &lt;&gt; 0), (EQ96 * ER96 * 1), 0))  )))</f>
        <v>0</v>
      </c>
      <c r="ET96" s="917"/>
      <c r="EU96" s="918"/>
      <c r="EV96" s="916">
        <f>IF(ER96 = "", 0,
IF(AND(EP96 &gt; 0, EQ96 &gt;0), 0,  IF(EO95 &lt;&gt; $Z$1,
IF(AND(EP96 &lt;&gt; "", EP96 &lt;&gt; 0), -(EP96 * ER96 * 100 * (1 + COMIS_OPCION)),
IF(AND(EQ96 &lt;&gt; "", EQ96 &lt;&gt; 0), (EQ96 * ER96 * 100 * (1 - COMIS_OPCION)), 0)),
IF(AND(EP96 &lt;&gt; "", EP96 &lt;&gt; 0), -(EP96 * ER96 * 1 * (1 + COMIS_ACCION)),
IF(AND(EQ96 &lt;&gt; "", EQ96 &lt;&gt; 0), (EQ96 * ER96 * 1 * (1 - COMIS_ACCION)), 0))  )))</f>
        <v>0</v>
      </c>
      <c r="EW96" s="917"/>
      <c r="EX96" s="917"/>
      <c r="EY96" s="917"/>
      <c r="EZ96" s="917"/>
      <c r="FA96" s="917"/>
      <c r="FB96" s="917"/>
      <c r="FC96" s="917"/>
      <c r="FD96" s="925"/>
      <c r="FE96" s="340"/>
      <c r="FF96" s="340"/>
      <c r="FG96" s="364"/>
      <c r="FH96" s="364"/>
      <c r="FI96" s="339"/>
      <c r="FJ96" s="347"/>
      <c r="FK96" s="342"/>
      <c r="FL96" s="343"/>
      <c r="FM96" s="930">
        <f>IF(FL96 = "", 0,
IF(AND(FJ96 &gt; 0, FK96 &gt;0), 0,
IF(AND(FJ96 &lt;&gt; "", FJ96 &lt;&gt; 0), -(FJ96 * FL96 * 100),
IF(AND(FK96 &lt;&gt; "", FK96 &lt;&gt; 0), (FK96 * FL96 * 100), 0)) ))</f>
        <v>0</v>
      </c>
      <c r="FN96" s="931"/>
      <c r="FO96" s="932"/>
      <c r="FP96" s="930">
        <f>IF(FL96 = "", 0,
IF(AND(FJ96 &gt; 0, FK96 &gt;0), 0,
IF(AND(FJ96 &lt;&gt; "", FJ96 &lt;&gt; 0), -(FJ96 * FL96 * 100 * (1 + COMIS_OPCION)),
IF(AND(FK96 &lt;&gt; "", FK96 &lt;&gt; 0), (FK96 * FL96 * 100 * (1 - COMIS_OPCION)), 0)) ))</f>
        <v>0</v>
      </c>
      <c r="FQ96" s="931"/>
      <c r="FR96" s="931"/>
      <c r="FS96" s="931"/>
      <c r="FT96" s="931"/>
      <c r="FU96" s="931"/>
      <c r="FV96" s="931"/>
      <c r="FW96" s="931"/>
      <c r="FX96" s="933"/>
      <c r="FY96" s="341"/>
      <c r="FZ96" s="341"/>
      <c r="GA96" s="341"/>
      <c r="GB96" s="495">
        <v>0</v>
      </c>
      <c r="GC96" s="495">
        <v>0</v>
      </c>
      <c r="GD96" s="500"/>
      <c r="GE96" s="495">
        <v>0</v>
      </c>
      <c r="GF96" s="495">
        <v>0</v>
      </c>
      <c r="GG96" s="495">
        <v>0</v>
      </c>
      <c r="GH96" s="359"/>
      <c r="GI96" s="359"/>
      <c r="GJ96" s="501"/>
      <c r="GK96" s="495">
        <v>0</v>
      </c>
      <c r="GL96" s="495">
        <v>0</v>
      </c>
      <c r="GM96" s="495">
        <v>0</v>
      </c>
      <c r="GN96" s="359"/>
      <c r="GO96" s="359"/>
      <c r="GP96" s="501"/>
      <c r="GQ96" s="495">
        <v>0</v>
      </c>
      <c r="GR96" s="359"/>
      <c r="GS96" s="333"/>
      <c r="GT96" s="333"/>
      <c r="GU96" s="333"/>
      <c r="GV96" s="333"/>
      <c r="GW96" s="333"/>
      <c r="GX96" s="333"/>
      <c r="GY96" s="333"/>
      <c r="GZ96" s="333"/>
      <c r="HA96" s="333"/>
      <c r="HB96" s="333"/>
      <c r="HC96" s="333"/>
      <c r="HD96" s="333"/>
      <c r="HE96" s="333"/>
      <c r="HF96" s="333"/>
      <c r="HG96" s="331"/>
      <c r="HH96" s="331"/>
      <c r="HI96" s="331"/>
      <c r="HJ96" s="331"/>
      <c r="HK96" s="331"/>
      <c r="HL96" s="331"/>
      <c r="HM96" s="331"/>
      <c r="HN96" s="333"/>
      <c r="HO96" s="333"/>
      <c r="HP96" s="333"/>
      <c r="HQ96" s="333"/>
      <c r="HR96" s="333"/>
      <c r="HS96" s="333"/>
      <c r="HT96" s="333"/>
      <c r="HU96" s="333"/>
      <c r="HV96" s="333"/>
      <c r="HW96" s="333"/>
      <c r="HX96" s="333"/>
      <c r="HY96" s="333"/>
      <c r="HZ96" s="333"/>
      <c r="IA96" s="333"/>
      <c r="IB96" s="333"/>
      <c r="IC96" s="333"/>
      <c r="ID96" s="55"/>
      <c r="IE96" s="47"/>
      <c r="IF96" s="52"/>
      <c r="IH96" s="111" t="str">
        <f t="shared" si="175"/>
        <v/>
      </c>
      <c r="II96" s="111" t="str">
        <f t="shared" si="168"/>
        <v/>
      </c>
      <c r="IJ96" s="146">
        <v>41</v>
      </c>
      <c r="IK96" s="151" t="str">
        <f t="shared" ref="IK96:IM96" si="189">+IF(IK47 = "", "", IK47)</f>
        <v/>
      </c>
      <c r="IL96" s="106" t="str">
        <f t="shared" si="189"/>
        <v/>
      </c>
      <c r="IM96" s="110" t="str">
        <f t="shared" si="189"/>
        <v/>
      </c>
      <c r="IN96" s="111" t="str">
        <f t="shared" si="170"/>
        <v/>
      </c>
      <c r="IO96" s="50" t="str">
        <f t="shared" si="185"/>
        <v/>
      </c>
      <c r="IP96" s="50" t="str">
        <f t="shared" si="185"/>
        <v/>
      </c>
      <c r="IQ96" s="50" t="str">
        <f t="shared" si="185"/>
        <v/>
      </c>
      <c r="IR96" s="50" t="str">
        <f t="shared" si="185"/>
        <v/>
      </c>
      <c r="IS96" s="50" t="str">
        <f t="shared" si="185"/>
        <v/>
      </c>
      <c r="IT96" s="50" t="str">
        <f t="shared" si="185"/>
        <v/>
      </c>
      <c r="IU96" s="50" t="str">
        <f t="shared" si="185"/>
        <v/>
      </c>
      <c r="IV96" s="50" t="str">
        <f t="shared" si="185"/>
        <v/>
      </c>
      <c r="IW96" s="50" t="str">
        <f t="shared" si="185"/>
        <v/>
      </c>
      <c r="IX96" s="50" t="str">
        <f t="shared" si="185"/>
        <v/>
      </c>
      <c r="IY96" s="50" t="str">
        <f t="shared" si="186"/>
        <v/>
      </c>
      <c r="IZ96" s="50" t="str">
        <f t="shared" si="186"/>
        <v/>
      </c>
      <c r="JA96" s="50" t="str">
        <f t="shared" si="186"/>
        <v/>
      </c>
      <c r="JB96" s="50" t="str">
        <f t="shared" si="186"/>
        <v/>
      </c>
      <c r="JC96" s="50" t="str">
        <f t="shared" si="186"/>
        <v/>
      </c>
      <c r="JD96" s="50" t="str">
        <f t="shared" si="186"/>
        <v/>
      </c>
      <c r="JE96" s="50" t="str">
        <f t="shared" si="186"/>
        <v/>
      </c>
      <c r="JF96" s="50" t="str">
        <f t="shared" si="186"/>
        <v/>
      </c>
      <c r="JG96" s="50" t="str">
        <f t="shared" si="186"/>
        <v/>
      </c>
      <c r="JH96" s="50" t="str">
        <f t="shared" si="186"/>
        <v/>
      </c>
      <c r="JI96" s="50" t="str">
        <f t="shared" si="187"/>
        <v/>
      </c>
      <c r="JJ96" s="50" t="str">
        <f t="shared" si="187"/>
        <v/>
      </c>
      <c r="JK96" s="50" t="str">
        <f t="shared" si="187"/>
        <v/>
      </c>
      <c r="JL96" s="50" t="str">
        <f t="shared" si="187"/>
        <v/>
      </c>
      <c r="JM96" s="50" t="str">
        <f t="shared" si="187"/>
        <v/>
      </c>
      <c r="JN96" s="50" t="str">
        <f t="shared" si="187"/>
        <v/>
      </c>
      <c r="JO96" s="50" t="str">
        <f t="shared" si="187"/>
        <v/>
      </c>
      <c r="JP96" s="50" t="str">
        <f t="shared" si="187"/>
        <v/>
      </c>
      <c r="JQ96" s="50" t="str">
        <f t="shared" si="187"/>
        <v/>
      </c>
      <c r="JR96" s="50" t="str">
        <f t="shared" si="187"/>
        <v/>
      </c>
      <c r="JS96" s="50" t="str">
        <f t="shared" si="188"/>
        <v/>
      </c>
      <c r="JT96" s="50" t="str">
        <f t="shared" si="188"/>
        <v/>
      </c>
      <c r="JU96" s="50" t="str">
        <f t="shared" si="188"/>
        <v/>
      </c>
      <c r="JV96" s="50" t="str">
        <f t="shared" si="188"/>
        <v/>
      </c>
      <c r="JW96" s="50" t="str">
        <f t="shared" si="188"/>
        <v/>
      </c>
      <c r="JX96" s="50" t="str">
        <f t="shared" si="188"/>
        <v/>
      </c>
      <c r="JY96" s="50" t="str">
        <f t="shared" si="188"/>
        <v/>
      </c>
      <c r="JZ96" s="50" t="str">
        <f t="shared" si="188"/>
        <v/>
      </c>
      <c r="KA96" s="50" t="str">
        <f t="shared" si="188"/>
        <v/>
      </c>
      <c r="KB96" s="50" t="str">
        <f t="shared" si="188"/>
        <v/>
      </c>
      <c r="KC96" s="50" t="str">
        <f t="shared" si="188"/>
        <v/>
      </c>
      <c r="KD96" s="50" t="str">
        <f t="shared" si="188"/>
        <v/>
      </c>
    </row>
    <row r="97" spans="13:290" s="142" customFormat="1" ht="15" customHeight="1" thickBot="1">
      <c r="M97" s="333"/>
      <c r="N97" s="333"/>
      <c r="O97" s="333"/>
      <c r="P97" s="333"/>
      <c r="Q97" s="333"/>
      <c r="R97" s="333"/>
      <c r="S97" s="333"/>
      <c r="T97" s="333"/>
      <c r="U97" s="333"/>
      <c r="V97" s="333"/>
      <c r="W97" s="333"/>
      <c r="X97" s="333"/>
      <c r="Y97" s="333"/>
      <c r="Z97" s="333"/>
      <c r="AA97" s="333"/>
      <c r="AB97" s="333"/>
      <c r="AC97" s="333"/>
      <c r="AD97" s="333"/>
      <c r="AE97" s="333"/>
      <c r="AF97" s="333"/>
      <c r="AG97" s="333"/>
      <c r="AH97" s="333"/>
      <c r="AI97" s="333"/>
      <c r="AJ97" s="333"/>
      <c r="AK97" s="333"/>
      <c r="AL97" s="333"/>
      <c r="AM97" s="333"/>
      <c r="AN97" s="333"/>
      <c r="AO97" s="333"/>
      <c r="AP97" s="333"/>
      <c r="AQ97" s="333"/>
      <c r="AR97" s="333"/>
      <c r="AS97" s="333"/>
      <c r="AT97" s="333"/>
      <c r="AU97" s="333"/>
      <c r="AV97" s="333"/>
      <c r="AW97" s="333"/>
      <c r="AX97" s="333"/>
      <c r="AY97" s="333"/>
      <c r="AZ97" s="333"/>
      <c r="BA97" s="333"/>
      <c r="BB97" s="333"/>
      <c r="BC97" s="333"/>
      <c r="BD97" s="333"/>
      <c r="BE97" s="333"/>
      <c r="BF97" s="333"/>
      <c r="BG97" s="333"/>
      <c r="BH97" s="333"/>
      <c r="BI97" s="333"/>
      <c r="BJ97" s="333"/>
      <c r="BK97" s="333"/>
      <c r="BL97" s="333"/>
      <c r="BM97" s="333"/>
      <c r="BN97" s="333"/>
      <c r="BO97" s="333"/>
      <c r="BP97" s="333"/>
      <c r="BQ97" s="333"/>
      <c r="BR97" s="333"/>
      <c r="BS97" s="333"/>
      <c r="BT97" s="333"/>
      <c r="BU97" s="333"/>
      <c r="BV97" s="333"/>
      <c r="BW97" s="333"/>
      <c r="BX97" s="333"/>
      <c r="BY97" s="333"/>
      <c r="BZ97" s="333"/>
      <c r="CA97" s="333"/>
      <c r="CB97" s="333"/>
      <c r="CC97" s="333"/>
      <c r="CD97" s="333"/>
      <c r="CE97" s="333"/>
      <c r="CF97" s="333"/>
      <c r="CG97" s="333"/>
      <c r="CH97" s="333"/>
      <c r="CI97" s="333"/>
      <c r="CJ97" s="333"/>
      <c r="CK97" s="333"/>
      <c r="CL97" s="333"/>
      <c r="CM97" s="333"/>
      <c r="CN97" s="333"/>
      <c r="CO97" s="333"/>
      <c r="CP97" s="333"/>
      <c r="CQ97" s="333"/>
      <c r="CR97" s="333"/>
      <c r="CS97" s="333"/>
      <c r="CT97" s="333"/>
      <c r="CU97" s="333"/>
      <c r="CV97" s="333"/>
      <c r="CW97" s="333"/>
      <c r="CX97" s="333"/>
      <c r="CY97" s="333"/>
      <c r="CZ97" s="333"/>
      <c r="DA97" s="333"/>
      <c r="DB97" s="333"/>
      <c r="DC97" s="333"/>
      <c r="DD97" s="333"/>
      <c r="DE97" s="333"/>
      <c r="DF97" s="333"/>
      <c r="DG97" s="333"/>
      <c r="DH97" s="333"/>
      <c r="DI97" s="333"/>
      <c r="DJ97" s="333"/>
      <c r="DK97" s="333"/>
      <c r="DL97" s="333"/>
      <c r="DM97" s="333"/>
      <c r="DN97" s="333"/>
      <c r="DO97" s="333"/>
      <c r="DP97" s="333"/>
      <c r="DQ97" s="333"/>
      <c r="DR97" s="333"/>
      <c r="DS97" s="333"/>
      <c r="DT97" s="333"/>
      <c r="DU97" s="359"/>
      <c r="DV97" s="359"/>
      <c r="DW97" s="359"/>
      <c r="DX97" s="359"/>
      <c r="DY97" s="359"/>
      <c r="DZ97" s="359"/>
      <c r="EA97" s="359"/>
      <c r="EB97" s="359"/>
      <c r="EC97" s="497" t="s">
        <v>4</v>
      </c>
      <c r="ED97" s="894" t="s">
        <v>283</v>
      </c>
      <c r="EE97" s="895"/>
      <c r="EF97" s="461" t="s">
        <v>277</v>
      </c>
      <c r="EG97" s="896" t="s">
        <v>283</v>
      </c>
      <c r="EH97" s="896"/>
      <c r="EI97" s="498" t="s">
        <v>277</v>
      </c>
      <c r="EJ97" s="373"/>
      <c r="EK97" s="373"/>
      <c r="EL97" s="366"/>
      <c r="EM97" s="368"/>
      <c r="EN97" s="365"/>
      <c r="EO97" s="352">
        <f>+SUM(EP95:EP99) - SUM(EQ95:EQ99)</f>
        <v>0</v>
      </c>
      <c r="EP97" s="347"/>
      <c r="EQ97" s="342"/>
      <c r="ER97" s="522"/>
      <c r="ES97" s="916">
        <f>IF(ER97 = "", 0,
IF(AND(EP97 &gt; 0, EQ97 &gt;0), 0, IF(EO95 &lt;&gt; $Z$1,
IF(AND(EP97 &lt;&gt; "", EP97 &lt;&gt; 0), -(EP97 * ER97 * 100),
IF(AND(EQ97 &lt;&gt; "", EQ97 &lt;&gt; 0), (EQ97 * ER97 * 100), 0)),
IF(AND(EP97 &lt;&gt; "", EP97 &lt;&gt; 0), -(EP97 * ER97 * 1),
IF(AND(EQ97 &lt;&gt; "", EQ97 &lt;&gt; 0), (EQ97 * ER97 * 1), 0))  )))</f>
        <v>0</v>
      </c>
      <c r="ET97" s="917"/>
      <c r="EU97" s="918"/>
      <c r="EV97" s="916">
        <f>IF(ER97 = "", 0,
IF(AND(EP97 &gt; 0, EQ97 &gt;0), 0,  IF(EO95 &lt;&gt; $Z$1,
IF(AND(EP97 &lt;&gt; "", EP97 &lt;&gt; 0), -(EP97 * ER97 * 100 * (1 + COMIS_OPCION)),
IF(AND(EQ97 &lt;&gt; "", EQ97 &lt;&gt; 0), (EQ97 * ER97 * 100 * (1 - COMIS_OPCION)), 0)),
IF(AND(EP97 &lt;&gt; "", EP97 &lt;&gt; 0), -(EP97 * ER97 * 1 * (1 + COMIS_ACCION)),
IF(AND(EQ97 &lt;&gt; "", EQ97 &lt;&gt; 0), (EQ97 * ER97 * 1 * (1 - COMIS_ACCION)), 0))  )))</f>
        <v>0</v>
      </c>
      <c r="EW97" s="917"/>
      <c r="EX97" s="917"/>
      <c r="EY97" s="917"/>
      <c r="EZ97" s="917"/>
      <c r="FA97" s="917"/>
      <c r="FB97" s="917"/>
      <c r="FC97" s="917"/>
      <c r="FD97" s="925"/>
      <c r="FE97" s="340"/>
      <c r="FF97" s="340"/>
      <c r="FG97" s="365"/>
      <c r="FH97" s="365"/>
      <c r="FI97" s="354">
        <f>+SUM(FJ95:FJ99) - SUM(FK95:FK99)</f>
        <v>0</v>
      </c>
      <c r="FJ97" s="347"/>
      <c r="FK97" s="342"/>
      <c r="FL97" s="343"/>
      <c r="FM97" s="930">
        <f>IF(FL97 = "", 0,
IF(AND(FJ97 &gt; 0, FK97 &gt;0), 0,
IF(AND(FJ97 &lt;&gt; "", FJ97 &lt;&gt; 0), -(FJ97 * FL97 * 100),
IF(AND(FK97 &lt;&gt; "", FK97 &lt;&gt; 0), (FK97 * FL97 * 100), 0)) ))</f>
        <v>0</v>
      </c>
      <c r="FN97" s="931"/>
      <c r="FO97" s="932"/>
      <c r="FP97" s="930">
        <f>IF(FL97 = "", 0,
IF(AND(FJ97 &gt; 0, FK97 &gt;0), 0,
IF(AND(FJ97 &lt;&gt; "", FJ97 &lt;&gt; 0), -(FJ97 * FL97 * 100 * (1 + COMIS_OPCION)),
IF(AND(FK97 &lt;&gt; "", FK97 &lt;&gt; 0), (FK97 * FL97 * 100 * (1 - COMIS_OPCION)), 0)) ))</f>
        <v>0</v>
      </c>
      <c r="FQ97" s="931"/>
      <c r="FR97" s="931"/>
      <c r="FS97" s="931"/>
      <c r="FT97" s="931"/>
      <c r="FU97" s="931"/>
      <c r="FV97" s="931"/>
      <c r="FW97" s="931"/>
      <c r="FX97" s="933"/>
      <c r="FY97" s="341"/>
      <c r="FZ97" s="341"/>
      <c r="GA97" s="341"/>
      <c r="GB97" s="495">
        <v>0</v>
      </c>
      <c r="GC97" s="495">
        <v>0</v>
      </c>
      <c r="GD97" s="500"/>
      <c r="GE97" s="495">
        <v>0</v>
      </c>
      <c r="GF97" s="495">
        <v>0</v>
      </c>
      <c r="GG97" s="495">
        <v>0</v>
      </c>
      <c r="GH97" s="359"/>
      <c r="GI97" s="359"/>
      <c r="GJ97" s="501"/>
      <c r="GK97" s="495">
        <v>0</v>
      </c>
      <c r="GL97" s="495">
        <v>0</v>
      </c>
      <c r="GM97" s="495">
        <v>0</v>
      </c>
      <c r="GN97" s="359"/>
      <c r="GO97" s="359"/>
      <c r="GP97" s="501"/>
      <c r="GQ97" s="495">
        <v>0</v>
      </c>
      <c r="GR97" s="359"/>
      <c r="GS97" s="333"/>
      <c r="GT97" s="333"/>
      <c r="GU97" s="333"/>
      <c r="GV97" s="333"/>
      <c r="GW97" s="333"/>
      <c r="GX97" s="333"/>
      <c r="GY97" s="333"/>
      <c r="GZ97" s="333"/>
      <c r="HA97" s="333"/>
      <c r="HB97" s="333"/>
      <c r="HC97" s="333"/>
      <c r="HD97" s="333"/>
      <c r="HE97" s="333"/>
      <c r="HF97" s="333"/>
      <c r="HG97" s="331"/>
      <c r="HH97" s="331"/>
      <c r="HI97" s="331"/>
      <c r="HJ97" s="331"/>
      <c r="HK97" s="331"/>
      <c r="HL97" s="331"/>
      <c r="HM97" s="331"/>
      <c r="HN97" s="333"/>
      <c r="HO97" s="333"/>
      <c r="HP97" s="333"/>
      <c r="HQ97" s="333"/>
      <c r="HR97" s="333"/>
      <c r="HS97" s="333"/>
      <c r="HT97" s="333"/>
      <c r="HU97" s="333"/>
      <c r="HV97" s="333"/>
      <c r="HW97" s="333"/>
      <c r="HX97" s="333"/>
      <c r="HY97" s="333"/>
      <c r="HZ97" s="333"/>
      <c r="IA97" s="333"/>
      <c r="IB97" s="333"/>
      <c r="IC97" s="333"/>
      <c r="ID97" s="55"/>
      <c r="IE97" s="47"/>
      <c r="IF97" s="52"/>
      <c r="IJ97" s="144"/>
      <c r="IK97" s="144"/>
      <c r="IL97" s="144"/>
      <c r="IM97" s="144"/>
      <c r="IN97" s="144"/>
      <c r="IO97" s="56"/>
      <c r="IP97" s="144"/>
      <c r="IQ97" s="144"/>
      <c r="IR97" s="144"/>
      <c r="IS97" s="144"/>
      <c r="IT97" s="144"/>
      <c r="IU97" s="144"/>
      <c r="IV97" s="144"/>
      <c r="IW97" s="144"/>
      <c r="IX97" s="144"/>
      <c r="IY97" s="144"/>
      <c r="IZ97" s="144"/>
      <c r="JA97" s="144"/>
      <c r="JB97" s="144"/>
      <c r="JC97" s="144"/>
      <c r="JD97" s="144"/>
      <c r="JE97" s="144"/>
      <c r="JF97" s="144"/>
      <c r="JG97" s="144"/>
      <c r="JH97" s="144"/>
      <c r="JI97" s="144"/>
      <c r="JJ97" s="144"/>
      <c r="JK97" s="144"/>
      <c r="JL97" s="144"/>
      <c r="JM97" s="144"/>
      <c r="JN97" s="144"/>
      <c r="JO97" s="144"/>
      <c r="JP97" s="144"/>
      <c r="JQ97" s="144"/>
      <c r="JR97" s="144"/>
      <c r="JS97" s="144"/>
      <c r="JT97" s="144"/>
      <c r="JU97" s="144"/>
      <c r="JV97" s="144"/>
      <c r="JW97" s="144"/>
      <c r="JX97" s="144"/>
      <c r="JY97" s="144"/>
      <c r="JZ97" s="144"/>
      <c r="KA97" s="144"/>
      <c r="KB97" s="144"/>
      <c r="KC97" s="144"/>
      <c r="KD97" s="144"/>
    </row>
    <row r="98" spans="13:290" s="142" customFormat="1" ht="15" customHeight="1">
      <c r="M98" s="333"/>
      <c r="N98" s="333"/>
      <c r="O98" s="333"/>
      <c r="P98" s="333"/>
      <c r="Q98" s="333"/>
      <c r="R98" s="333"/>
      <c r="S98" s="333"/>
      <c r="T98" s="333"/>
      <c r="U98" s="333"/>
      <c r="V98" s="333"/>
      <c r="W98" s="333"/>
      <c r="X98" s="333"/>
      <c r="Y98" s="333"/>
      <c r="Z98" s="333"/>
      <c r="AA98" s="333"/>
      <c r="AB98" s="333"/>
      <c r="AC98" s="333"/>
      <c r="AD98" s="333"/>
      <c r="AE98" s="333"/>
      <c r="AF98" s="333"/>
      <c r="AG98" s="333"/>
      <c r="AH98" s="333"/>
      <c r="AI98" s="333"/>
      <c r="AJ98" s="333"/>
      <c r="AK98" s="333"/>
      <c r="AL98" s="333"/>
      <c r="AM98" s="333"/>
      <c r="AN98" s="333"/>
      <c r="AO98" s="333"/>
      <c r="AP98" s="333"/>
      <c r="AQ98" s="333"/>
      <c r="AR98" s="333"/>
      <c r="AS98" s="333"/>
      <c r="AT98" s="333"/>
      <c r="AU98" s="333"/>
      <c r="AV98" s="333"/>
      <c r="AW98" s="333"/>
      <c r="AX98" s="333"/>
      <c r="AY98" s="333"/>
      <c r="AZ98" s="333"/>
      <c r="BA98" s="333"/>
      <c r="BB98" s="333"/>
      <c r="BC98" s="333"/>
      <c r="BD98" s="333"/>
      <c r="BE98" s="333"/>
      <c r="BF98" s="333"/>
      <c r="BG98" s="333"/>
      <c r="BH98" s="333"/>
      <c r="BI98" s="333"/>
      <c r="BJ98" s="333"/>
      <c r="BK98" s="333"/>
      <c r="BL98" s="333"/>
      <c r="BM98" s="333"/>
      <c r="BN98" s="333"/>
      <c r="BO98" s="333"/>
      <c r="BP98" s="333"/>
      <c r="BQ98" s="333"/>
      <c r="BR98" s="333"/>
      <c r="BS98" s="333"/>
      <c r="BT98" s="333"/>
      <c r="BU98" s="333"/>
      <c r="BV98" s="333"/>
      <c r="BW98" s="333"/>
      <c r="BX98" s="333"/>
      <c r="BY98" s="333"/>
      <c r="BZ98" s="333"/>
      <c r="CA98" s="333"/>
      <c r="CB98" s="333"/>
      <c r="CC98" s="333"/>
      <c r="CD98" s="333"/>
      <c r="CE98" s="333"/>
      <c r="CF98" s="333"/>
      <c r="CG98" s="333"/>
      <c r="CH98" s="333"/>
      <c r="CI98" s="333"/>
      <c r="CJ98" s="333"/>
      <c r="CK98" s="333"/>
      <c r="CL98" s="333"/>
      <c r="CM98" s="333"/>
      <c r="CN98" s="333"/>
      <c r="CO98" s="333"/>
      <c r="CP98" s="333"/>
      <c r="CQ98" s="333"/>
      <c r="CR98" s="333"/>
      <c r="CS98" s="333"/>
      <c r="CT98" s="333"/>
      <c r="CU98" s="333"/>
      <c r="CV98" s="333"/>
      <c r="CW98" s="333"/>
      <c r="CX98" s="333"/>
      <c r="CY98" s="333"/>
      <c r="CZ98" s="333"/>
      <c r="DA98" s="333"/>
      <c r="DB98" s="333"/>
      <c r="DC98" s="333"/>
      <c r="DD98" s="333"/>
      <c r="DE98" s="333"/>
      <c r="DF98" s="333"/>
      <c r="DG98" s="333"/>
      <c r="DH98" s="333"/>
      <c r="DI98" s="333"/>
      <c r="DJ98" s="333"/>
      <c r="DK98" s="333"/>
      <c r="DL98" s="333"/>
      <c r="DM98" s="333"/>
      <c r="DN98" s="333"/>
      <c r="DO98" s="333"/>
      <c r="DP98" s="333"/>
      <c r="DQ98" s="333"/>
      <c r="DR98" s="333"/>
      <c r="DS98" s="333"/>
      <c r="DT98" s="333"/>
      <c r="DU98" s="359"/>
      <c r="DV98" s="359"/>
      <c r="DW98" s="359"/>
      <c r="DX98" s="359"/>
      <c r="DY98" s="359"/>
      <c r="DZ98" s="359"/>
      <c r="EA98" s="359"/>
      <c r="EB98" s="359"/>
      <c r="EC98" s="768">
        <f t="shared" ref="EC98:EC139" si="190">+IF(AE7 = "", "", AE7)</f>
        <v>132</v>
      </c>
      <c r="ED98" s="897">
        <f>+ED53</f>
        <v>0</v>
      </c>
      <c r="EE98" s="898"/>
      <c r="EF98" s="504">
        <f>GF53</f>
        <v>0</v>
      </c>
      <c r="EG98" s="899">
        <f>+EG53</f>
        <v>0</v>
      </c>
      <c r="EH98" s="899"/>
      <c r="EI98" s="505">
        <f>GM53</f>
        <v>0</v>
      </c>
      <c r="EJ98" s="373"/>
      <c r="EK98" s="373"/>
      <c r="EL98" s="366"/>
      <c r="EM98" s="368"/>
      <c r="EN98" s="365"/>
      <c r="EO98" s="352">
        <f>IF(EO97=0, 0, SUM(EV95:FD99))</f>
        <v>0</v>
      </c>
      <c r="EP98" s="347"/>
      <c r="EQ98" s="342"/>
      <c r="ER98" s="522"/>
      <c r="ES98" s="916">
        <f>IF(ER98 = "", 0,
IF(AND(EP98 &gt; 0, EQ98 &gt;0), 0, IF(EO95 &lt;&gt; $Z$1,
IF(AND(EP98 &lt;&gt; "", EP98 &lt;&gt; 0), -(EP98 * ER98 * 100),
IF(AND(EQ98 &lt;&gt; "", EQ98 &lt;&gt; 0), (EQ98 * ER98 * 100), 0)),
IF(AND(EP98 &lt;&gt; "", EP98 &lt;&gt; 0), -(EP98 * ER98 * 1),
IF(AND(EQ98 &lt;&gt; "", EQ98 &lt;&gt; 0), (EQ98 * ER98 * 1), 0))  )))</f>
        <v>0</v>
      </c>
      <c r="ET98" s="917"/>
      <c r="EU98" s="918"/>
      <c r="EV98" s="916">
        <f>IF(ER98 = "", 0,
IF(AND(EP98 &gt; 0, EQ98 &gt;0), 0,  IF(EO95 &lt;&gt; $Z$1,
IF(AND(EP98 &lt;&gt; "", EP98 &lt;&gt; 0), -(EP98 * ER98 * 100 * (1 + COMIS_OPCION)),
IF(AND(EQ98 &lt;&gt; "", EQ98 &lt;&gt; 0), (EQ98 * ER98 * 100 * (1 - COMIS_OPCION)), 0)),
IF(AND(EP98 &lt;&gt; "", EP98 &lt;&gt; 0), -(EP98 * ER98 * 1 * (1 + COMIS_ACCION)),
IF(AND(EQ98 &lt;&gt; "", EQ98 &lt;&gt; 0), (EQ98 * ER98 * 1 * (1 - COMIS_ACCION)), 0))  )))</f>
        <v>0</v>
      </c>
      <c r="EW98" s="917"/>
      <c r="EX98" s="917"/>
      <c r="EY98" s="917"/>
      <c r="EZ98" s="917"/>
      <c r="FA98" s="917"/>
      <c r="FB98" s="917"/>
      <c r="FC98" s="917"/>
      <c r="FD98" s="925"/>
      <c r="FE98" s="340"/>
      <c r="FF98" s="340"/>
      <c r="FG98" s="365"/>
      <c r="FH98" s="365"/>
      <c r="FI98" s="354">
        <f>IF(FI97=0, 0, SUM(FP95:FX99))</f>
        <v>0</v>
      </c>
      <c r="FJ98" s="347"/>
      <c r="FK98" s="342"/>
      <c r="FL98" s="343"/>
      <c r="FM98" s="930">
        <f>IF(FL98 = "", 0,
IF(AND(FJ98 &gt; 0, FK98 &gt;0), 0,
IF(AND(FJ98 &lt;&gt; "", FJ98 &lt;&gt; 0), -(FJ98 * FL98 * 100),
IF(AND(FK98 &lt;&gt; "", FK98 &lt;&gt; 0), (FK98 * FL98 * 100), 0)) ))</f>
        <v>0</v>
      </c>
      <c r="FN98" s="931"/>
      <c r="FO98" s="932"/>
      <c r="FP98" s="930">
        <f>IF(FL98 = "", 0,
IF(AND(FJ98 &gt; 0, FK98 &gt;0), 0,
IF(AND(FJ98 &lt;&gt; "", FJ98 &lt;&gt; 0), -(FJ98 * FL98 * 100 * (1 + COMIS_OPCION)),
IF(AND(FK98 &lt;&gt; "", FK98 &lt;&gt; 0), (FK98 * FL98 * 100 * (1 - COMIS_OPCION)), 0)) ))</f>
        <v>0</v>
      </c>
      <c r="FQ98" s="931"/>
      <c r="FR98" s="931"/>
      <c r="FS98" s="931"/>
      <c r="FT98" s="931"/>
      <c r="FU98" s="931"/>
      <c r="FV98" s="931"/>
      <c r="FW98" s="931"/>
      <c r="FX98" s="933"/>
      <c r="FY98" s="341"/>
      <c r="FZ98" s="341"/>
      <c r="GA98" s="341"/>
      <c r="GB98" s="495">
        <v>0</v>
      </c>
      <c r="GC98" s="495">
        <v>0</v>
      </c>
      <c r="GD98" s="500"/>
      <c r="GE98" s="495">
        <v>0</v>
      </c>
      <c r="GF98" s="495">
        <v>0</v>
      </c>
      <c r="GG98" s="495">
        <v>0</v>
      </c>
      <c r="GH98" s="359"/>
      <c r="GI98" s="359"/>
      <c r="GJ98" s="501"/>
      <c r="GK98" s="495">
        <v>0</v>
      </c>
      <c r="GL98" s="495">
        <v>0</v>
      </c>
      <c r="GM98" s="495">
        <v>0</v>
      </c>
      <c r="GN98" s="359"/>
      <c r="GO98" s="359"/>
      <c r="GP98" s="501"/>
      <c r="GQ98" s="495">
        <v>0</v>
      </c>
      <c r="GR98" s="359"/>
      <c r="GS98" s="333"/>
      <c r="GT98" s="333"/>
      <c r="GU98" s="333"/>
      <c r="GV98" s="333"/>
      <c r="GW98" s="333"/>
      <c r="GX98" s="333"/>
      <c r="GY98" s="333"/>
      <c r="GZ98" s="333"/>
      <c r="HA98" s="333"/>
      <c r="HB98" s="333"/>
      <c r="HC98" s="333"/>
      <c r="HD98" s="333"/>
      <c r="HE98" s="333"/>
      <c r="HF98" s="333"/>
      <c r="HG98" s="331"/>
      <c r="HH98" s="331"/>
      <c r="HI98" s="331"/>
      <c r="HJ98" s="331"/>
      <c r="HK98" s="331"/>
      <c r="HL98" s="331"/>
      <c r="HM98" s="331"/>
      <c r="HN98" s="333"/>
      <c r="HO98" s="333"/>
      <c r="HP98" s="333"/>
      <c r="HQ98" s="333"/>
      <c r="HR98" s="333"/>
      <c r="HS98" s="333"/>
      <c r="HT98" s="333"/>
      <c r="HU98" s="333"/>
      <c r="HV98" s="333"/>
      <c r="HW98" s="333"/>
      <c r="HX98" s="333"/>
      <c r="HY98" s="333"/>
      <c r="HZ98" s="333"/>
      <c r="IA98" s="333"/>
      <c r="IB98" s="333"/>
      <c r="IC98" s="333"/>
      <c r="ID98" s="55"/>
      <c r="IE98" s="47"/>
      <c r="IF98" s="52"/>
      <c r="IO98" s="51"/>
    </row>
    <row r="99" spans="13:290" s="142" customFormat="1" ht="15" customHeight="1" thickBot="1">
      <c r="M99" s="333"/>
      <c r="N99" s="333"/>
      <c r="O99" s="333"/>
      <c r="P99" s="333"/>
      <c r="Q99" s="333"/>
      <c r="R99" s="333"/>
      <c r="S99" s="333"/>
      <c r="T99" s="333"/>
      <c r="U99" s="333"/>
      <c r="V99" s="333"/>
      <c r="W99" s="333"/>
      <c r="X99" s="333"/>
      <c r="Y99" s="333"/>
      <c r="Z99" s="333"/>
      <c r="AA99" s="333"/>
      <c r="AB99" s="333"/>
      <c r="AC99" s="333"/>
      <c r="AD99" s="333"/>
      <c r="AE99" s="333"/>
      <c r="AF99" s="333"/>
      <c r="AG99" s="333"/>
      <c r="AH99" s="333"/>
      <c r="AI99" s="333"/>
      <c r="AJ99" s="333"/>
      <c r="AK99" s="333"/>
      <c r="AL99" s="333"/>
      <c r="AM99" s="333"/>
      <c r="AN99" s="333"/>
      <c r="AO99" s="333"/>
      <c r="AP99" s="333"/>
      <c r="AQ99" s="333"/>
      <c r="AR99" s="333"/>
      <c r="AS99" s="333"/>
      <c r="AT99" s="333"/>
      <c r="AU99" s="333"/>
      <c r="AV99" s="333"/>
      <c r="AW99" s="333"/>
      <c r="AX99" s="333"/>
      <c r="AY99" s="333"/>
      <c r="AZ99" s="333"/>
      <c r="BA99" s="333"/>
      <c r="BB99" s="333"/>
      <c r="BC99" s="333"/>
      <c r="BD99" s="333"/>
      <c r="BE99" s="333"/>
      <c r="BF99" s="333"/>
      <c r="BG99" s="333"/>
      <c r="BH99" s="333"/>
      <c r="BI99" s="333"/>
      <c r="BJ99" s="333"/>
      <c r="BK99" s="333"/>
      <c r="BL99" s="333"/>
      <c r="BM99" s="333"/>
      <c r="BN99" s="333"/>
      <c r="BO99" s="333"/>
      <c r="BP99" s="333"/>
      <c r="BQ99" s="333"/>
      <c r="BR99" s="333"/>
      <c r="BS99" s="333"/>
      <c r="BT99" s="333"/>
      <c r="BU99" s="333"/>
      <c r="BV99" s="333"/>
      <c r="BW99" s="333"/>
      <c r="BX99" s="333"/>
      <c r="BY99" s="333"/>
      <c r="BZ99" s="333"/>
      <c r="CA99" s="333"/>
      <c r="CB99" s="333"/>
      <c r="CC99" s="333"/>
      <c r="CD99" s="333"/>
      <c r="CE99" s="333"/>
      <c r="CF99" s="333"/>
      <c r="CG99" s="333"/>
      <c r="CH99" s="333"/>
      <c r="CI99" s="333"/>
      <c r="CJ99" s="333"/>
      <c r="CK99" s="333"/>
      <c r="CL99" s="333"/>
      <c r="CM99" s="333"/>
      <c r="CN99" s="333"/>
      <c r="CO99" s="333"/>
      <c r="CP99" s="333"/>
      <c r="CQ99" s="333"/>
      <c r="CR99" s="333"/>
      <c r="CS99" s="333"/>
      <c r="CT99" s="333"/>
      <c r="CU99" s="333"/>
      <c r="CV99" s="333"/>
      <c r="CW99" s="333"/>
      <c r="CX99" s="333"/>
      <c r="CY99" s="333"/>
      <c r="CZ99" s="333"/>
      <c r="DA99" s="333"/>
      <c r="DB99" s="333"/>
      <c r="DC99" s="333"/>
      <c r="DD99" s="333"/>
      <c r="DE99" s="333"/>
      <c r="DF99" s="333"/>
      <c r="DG99" s="333"/>
      <c r="DH99" s="333"/>
      <c r="DI99" s="333"/>
      <c r="DJ99" s="333"/>
      <c r="DK99" s="333"/>
      <c r="DL99" s="333"/>
      <c r="DM99" s="333"/>
      <c r="DN99" s="333"/>
      <c r="DO99" s="333"/>
      <c r="DP99" s="333"/>
      <c r="DQ99" s="333"/>
      <c r="DR99" s="333"/>
      <c r="DS99" s="333"/>
      <c r="DT99" s="333"/>
      <c r="DU99" s="359"/>
      <c r="DV99" s="359"/>
      <c r="DW99" s="359"/>
      <c r="DX99" s="359"/>
      <c r="DY99" s="359"/>
      <c r="DZ99" s="359"/>
      <c r="EA99" s="359"/>
      <c r="EB99" s="359"/>
      <c r="EC99" s="769">
        <f t="shared" si="190"/>
        <v>135</v>
      </c>
      <c r="ED99" s="889">
        <f t="shared" ref="ED99:ED139" si="191">+ED54</f>
        <v>0</v>
      </c>
      <c r="EE99" s="890"/>
      <c r="EF99" s="476">
        <f>GF59</f>
        <v>0</v>
      </c>
      <c r="EG99" s="889">
        <f t="shared" ref="EG99:EG139" si="192">+EG54</f>
        <v>0</v>
      </c>
      <c r="EH99" s="890"/>
      <c r="EI99" s="506">
        <f>GM59</f>
        <v>0</v>
      </c>
      <c r="EJ99" s="373"/>
      <c r="EK99" s="373"/>
      <c r="EL99" s="366"/>
      <c r="EM99" s="368"/>
      <c r="EN99" s="365"/>
      <c r="EO99" s="353">
        <f>+IF(EO97= 0, 0, GG95)</f>
        <v>0</v>
      </c>
      <c r="EP99" s="350"/>
      <c r="EQ99" s="344"/>
      <c r="ER99" s="523"/>
      <c r="ES99" s="921">
        <f>IF(ER99 = "", 0,
IF(AND(EP99 &gt; 0, EQ99 &gt;0), 0, IF(EO95 &lt;&gt; $Z$1,
IF(AND(EP99 &lt;&gt; "", EP99 &lt;&gt; 0), -(EP99 * ER99 * 100),
IF(AND(EQ99 &lt;&gt; "", EQ99 &lt;&gt; 0), (EQ99 * ER99 * 100), 0)),
IF(AND(EP99 &lt;&gt; "", EP99 &lt;&gt; 0), -(EP99 * ER99 * 1),
IF(AND(EQ99 &lt;&gt; "", EQ99 &lt;&gt; 0), (EQ99 * ER99 * 1), 0))  )))</f>
        <v>0</v>
      </c>
      <c r="ET99" s="922"/>
      <c r="EU99" s="924"/>
      <c r="EV99" s="921">
        <f>IF(ER99 = "", 0,
IF(AND(EP99 &gt; 0, EQ99 &gt;0), 0,  IF(EO95 &lt;&gt; $Z$1,
IF(AND(EP99 &lt;&gt; "", EP99 &lt;&gt; 0), -(EP99 * ER99 * 100 * (1 + COMIS_OPCION)),
IF(AND(EQ99 &lt;&gt; "", EQ99 &lt;&gt; 0), (EQ99 * ER99 * 100 * (1 - COMIS_OPCION)), 0)),
IF(AND(EP99 &lt;&gt; "", EP99 &lt;&gt; 0), -(EP99 * ER99 * 1 * (1 + COMIS_ACCION)),
IF(AND(EQ99 &lt;&gt; "", EQ99 &lt;&gt; 0), (EQ99 * ER99 * 1 * (1 - COMIS_ACCION)), 0))  )))</f>
        <v>0</v>
      </c>
      <c r="EW99" s="922"/>
      <c r="EX99" s="922"/>
      <c r="EY99" s="922"/>
      <c r="EZ99" s="922"/>
      <c r="FA99" s="922"/>
      <c r="FB99" s="922"/>
      <c r="FC99" s="922"/>
      <c r="FD99" s="923"/>
      <c r="FE99" s="340"/>
      <c r="FF99" s="340"/>
      <c r="FG99" s="365"/>
      <c r="FH99" s="365"/>
      <c r="FI99" s="349">
        <f>+IF(FI97= 0, 0, GQ95)</f>
        <v>0</v>
      </c>
      <c r="FJ99" s="348"/>
      <c r="FK99" s="345"/>
      <c r="FL99" s="346"/>
      <c r="FM99" s="937">
        <f>IF(FL99 = "", 0,
IF(AND(FJ99 &gt; 0, FK99 &gt;0), 0,
IF(AND(FJ99 &lt;&gt; "", FJ99 &lt;&gt; 0), -(FJ99 * FL99 * 100),
IF(AND(FK99 &lt;&gt; "", FK99 &lt;&gt; 0), (FK99 * FL99 * 100), 0)) ))</f>
        <v>0</v>
      </c>
      <c r="FN99" s="938"/>
      <c r="FO99" s="939"/>
      <c r="FP99" s="937">
        <f>IF(FL99 = "", 0,
IF(AND(FJ99 &gt; 0, FK99 &gt;0), 0,
IF(AND(FJ99 &lt;&gt; "", FJ99 &lt;&gt; 0), -(FJ99 * FL99 * 100 * (1 + COMIS_OPCION)),
IF(AND(FK99 &lt;&gt; "", FK99 &lt;&gt; 0), (FK99 * FL99 * 100 * (1 - COMIS_OPCION)), 0)) ))</f>
        <v>0</v>
      </c>
      <c r="FQ99" s="938"/>
      <c r="FR99" s="938"/>
      <c r="FS99" s="938"/>
      <c r="FT99" s="938"/>
      <c r="FU99" s="938"/>
      <c r="FV99" s="938"/>
      <c r="FW99" s="938"/>
      <c r="FX99" s="969"/>
      <c r="FY99" s="341"/>
      <c r="FZ99" s="341"/>
      <c r="GA99" s="341"/>
      <c r="GB99" s="495">
        <v>0</v>
      </c>
      <c r="GC99" s="495">
        <v>0</v>
      </c>
      <c r="GD99" s="500"/>
      <c r="GE99" s="495">
        <v>0</v>
      </c>
      <c r="GF99" s="495">
        <v>0</v>
      </c>
      <c r="GG99" s="495">
        <v>0</v>
      </c>
      <c r="GH99" s="359"/>
      <c r="GI99" s="359"/>
      <c r="GJ99" s="501"/>
      <c r="GK99" s="495">
        <v>0</v>
      </c>
      <c r="GL99" s="495">
        <v>0</v>
      </c>
      <c r="GM99" s="495">
        <v>0</v>
      </c>
      <c r="GN99" s="359"/>
      <c r="GO99" s="359"/>
      <c r="GP99" s="501"/>
      <c r="GQ99" s="495">
        <v>0</v>
      </c>
      <c r="GR99" s="359"/>
      <c r="GS99" s="333"/>
      <c r="GT99" s="333"/>
      <c r="GU99" s="333"/>
      <c r="GV99" s="333"/>
      <c r="GW99" s="333"/>
      <c r="GX99" s="333"/>
      <c r="GY99" s="333"/>
      <c r="GZ99" s="333"/>
      <c r="HA99" s="333"/>
      <c r="HB99" s="333"/>
      <c r="HC99" s="333"/>
      <c r="HD99" s="333"/>
      <c r="HE99" s="333"/>
      <c r="HF99" s="333"/>
      <c r="HG99" s="331"/>
      <c r="HH99" s="331"/>
      <c r="HI99" s="331"/>
      <c r="HJ99" s="331"/>
      <c r="HK99" s="331"/>
      <c r="HL99" s="331"/>
      <c r="HM99" s="331"/>
      <c r="HN99" s="333"/>
      <c r="HO99" s="333"/>
      <c r="HP99" s="333"/>
      <c r="HQ99" s="333"/>
      <c r="HR99" s="333"/>
      <c r="HS99" s="333"/>
      <c r="HT99" s="333"/>
      <c r="HU99" s="333"/>
      <c r="HV99" s="333"/>
      <c r="HW99" s="333"/>
      <c r="HX99" s="333"/>
      <c r="HY99" s="333"/>
      <c r="HZ99" s="333"/>
      <c r="IA99" s="333"/>
      <c r="IB99" s="333"/>
      <c r="IC99" s="333"/>
      <c r="ID99" s="55"/>
      <c r="IE99" s="47"/>
      <c r="IF99" s="52"/>
    </row>
    <row r="100" spans="13:290" s="142" customFormat="1" ht="15" customHeight="1" thickBot="1">
      <c r="M100" s="333"/>
      <c r="N100" s="333"/>
      <c r="O100" s="333"/>
      <c r="P100" s="333"/>
      <c r="Q100" s="333"/>
      <c r="R100" s="333"/>
      <c r="S100" s="333"/>
      <c r="T100" s="333"/>
      <c r="U100" s="333"/>
      <c r="V100" s="333"/>
      <c r="W100" s="333"/>
      <c r="X100" s="333"/>
      <c r="Y100" s="333"/>
      <c r="Z100" s="333"/>
      <c r="AA100" s="333"/>
      <c r="AB100" s="333"/>
      <c r="AC100" s="333"/>
      <c r="AD100" s="333"/>
      <c r="AE100" s="333"/>
      <c r="AF100" s="333"/>
      <c r="AG100" s="333"/>
      <c r="AH100" s="333"/>
      <c r="AI100" s="333"/>
      <c r="AJ100" s="333"/>
      <c r="AK100" s="333"/>
      <c r="AL100" s="333"/>
      <c r="AM100" s="333"/>
      <c r="AN100" s="333"/>
      <c r="AO100" s="333"/>
      <c r="AP100" s="333"/>
      <c r="AQ100" s="333"/>
      <c r="AR100" s="333"/>
      <c r="AS100" s="333"/>
      <c r="AT100" s="333"/>
      <c r="AU100" s="333"/>
      <c r="AV100" s="333"/>
      <c r="AW100" s="333"/>
      <c r="AX100" s="333"/>
      <c r="AY100" s="333"/>
      <c r="AZ100" s="333"/>
      <c r="BA100" s="333"/>
      <c r="BB100" s="333"/>
      <c r="BC100" s="333"/>
      <c r="BD100" s="333"/>
      <c r="BE100" s="333"/>
      <c r="BF100" s="333"/>
      <c r="BG100" s="333"/>
      <c r="BH100" s="333"/>
      <c r="BI100" s="333"/>
      <c r="BJ100" s="333"/>
      <c r="BK100" s="333"/>
      <c r="BL100" s="333"/>
      <c r="BM100" s="333"/>
      <c r="BN100" s="333"/>
      <c r="BO100" s="333"/>
      <c r="BP100" s="333"/>
      <c r="BQ100" s="333"/>
      <c r="BR100" s="333"/>
      <c r="BS100" s="333"/>
      <c r="BT100" s="333"/>
      <c r="BU100" s="333"/>
      <c r="BV100" s="333"/>
      <c r="BW100" s="333"/>
      <c r="BX100" s="333"/>
      <c r="BY100" s="333"/>
      <c r="BZ100" s="333"/>
      <c r="CA100" s="333"/>
      <c r="CB100" s="333"/>
      <c r="CC100" s="333"/>
      <c r="CD100" s="333"/>
      <c r="CE100" s="333"/>
      <c r="CF100" s="333"/>
      <c r="CG100" s="333"/>
      <c r="CH100" s="333"/>
      <c r="CI100" s="333"/>
      <c r="CJ100" s="333"/>
      <c r="CK100" s="333"/>
      <c r="CL100" s="333"/>
      <c r="CM100" s="333"/>
      <c r="CN100" s="333"/>
      <c r="CO100" s="333"/>
      <c r="CP100" s="333"/>
      <c r="CQ100" s="333"/>
      <c r="CR100" s="333"/>
      <c r="CS100" s="333"/>
      <c r="CT100" s="333"/>
      <c r="CU100" s="333"/>
      <c r="CV100" s="333"/>
      <c r="CW100" s="333"/>
      <c r="CX100" s="333"/>
      <c r="CY100" s="333"/>
      <c r="CZ100" s="333"/>
      <c r="DA100" s="333"/>
      <c r="DB100" s="333"/>
      <c r="DC100" s="333"/>
      <c r="DD100" s="333"/>
      <c r="DE100" s="333"/>
      <c r="DF100" s="333"/>
      <c r="DG100" s="333"/>
      <c r="DH100" s="333"/>
      <c r="DI100" s="333"/>
      <c r="DJ100" s="333"/>
      <c r="DK100" s="333"/>
      <c r="DL100" s="333"/>
      <c r="DM100" s="333"/>
      <c r="DN100" s="333"/>
      <c r="DO100" s="333"/>
      <c r="DP100" s="333"/>
      <c r="DQ100" s="333"/>
      <c r="DR100" s="333"/>
      <c r="DS100" s="333"/>
      <c r="DT100" s="333"/>
      <c r="DU100" s="359"/>
      <c r="DV100" s="359"/>
      <c r="DW100" s="359"/>
      <c r="DX100" s="359"/>
      <c r="DY100" s="359"/>
      <c r="DZ100" s="359"/>
      <c r="EA100" s="359"/>
      <c r="EB100" s="359"/>
      <c r="EC100" s="769">
        <f t="shared" si="190"/>
        <v>140</v>
      </c>
      <c r="ED100" s="889">
        <f t="shared" si="191"/>
        <v>0</v>
      </c>
      <c r="EE100" s="890"/>
      <c r="EF100" s="476">
        <f>GF65</f>
        <v>0</v>
      </c>
      <c r="EG100" s="889">
        <f t="shared" si="192"/>
        <v>0</v>
      </c>
      <c r="EH100" s="890"/>
      <c r="EI100" s="506">
        <f>GM65</f>
        <v>0</v>
      </c>
      <c r="EJ100" s="373"/>
      <c r="EK100" s="373"/>
      <c r="EL100" s="366"/>
      <c r="EM100" s="366"/>
      <c r="EN100" s="364"/>
      <c r="EO100" s="363"/>
      <c r="EP100" s="340"/>
      <c r="EQ100" s="340"/>
      <c r="ER100" s="340"/>
      <c r="ES100" s="363"/>
      <c r="ET100" s="363"/>
      <c r="EU100" s="340"/>
      <c r="EV100" s="340"/>
      <c r="EW100" s="340"/>
      <c r="EX100" s="340"/>
      <c r="EY100" s="340"/>
      <c r="EZ100" s="340"/>
      <c r="FA100" s="340"/>
      <c r="FB100" s="402"/>
      <c r="FC100" s="402"/>
      <c r="FD100" s="340"/>
      <c r="FE100" s="340"/>
      <c r="FF100" s="340"/>
      <c r="FG100" s="364"/>
      <c r="FH100" s="364"/>
      <c r="FI100" s="363"/>
      <c r="FJ100" s="360"/>
      <c r="FK100" s="360"/>
      <c r="FL100" s="340"/>
      <c r="FM100" s="967"/>
      <c r="FN100" s="967"/>
      <c r="FO100" s="967"/>
      <c r="FP100" s="968"/>
      <c r="FQ100" s="968"/>
      <c r="FR100" s="968"/>
      <c r="FS100" s="968"/>
      <c r="FT100" s="968"/>
      <c r="FU100" s="968"/>
      <c r="FV100" s="968"/>
      <c r="FW100" s="968"/>
      <c r="FX100" s="968"/>
      <c r="FY100" s="341"/>
      <c r="FZ100" s="341"/>
      <c r="GA100" s="341"/>
      <c r="GB100" s="495">
        <v>0</v>
      </c>
      <c r="GC100" s="495">
        <v>0</v>
      </c>
      <c r="GD100" s="500"/>
      <c r="GE100" s="495">
        <v>0</v>
      </c>
      <c r="GF100" s="495">
        <v>0</v>
      </c>
      <c r="GG100" s="495">
        <v>0</v>
      </c>
      <c r="GH100" s="359"/>
      <c r="GI100" s="359"/>
      <c r="GJ100" s="501"/>
      <c r="GK100" s="495">
        <v>0</v>
      </c>
      <c r="GL100" s="495">
        <v>0</v>
      </c>
      <c r="GM100" s="495">
        <v>0</v>
      </c>
      <c r="GN100" s="359"/>
      <c r="GO100" s="359"/>
      <c r="GP100" s="501"/>
      <c r="GQ100" s="495">
        <v>0</v>
      </c>
      <c r="GR100" s="359"/>
      <c r="GS100" s="333"/>
      <c r="GT100" s="333"/>
      <c r="GU100" s="333"/>
      <c r="GV100" s="333"/>
      <c r="GW100" s="333"/>
      <c r="GX100" s="333"/>
      <c r="GY100" s="333"/>
      <c r="GZ100" s="333"/>
      <c r="HA100" s="333"/>
      <c r="HB100" s="333"/>
      <c r="HC100" s="333"/>
      <c r="HD100" s="333"/>
      <c r="HE100" s="333"/>
      <c r="HF100" s="333"/>
      <c r="HG100" s="331"/>
      <c r="HH100" s="331"/>
      <c r="HI100" s="331"/>
      <c r="HJ100" s="331"/>
      <c r="HK100" s="331"/>
      <c r="HL100" s="331"/>
      <c r="HM100" s="331"/>
      <c r="HN100" s="333"/>
      <c r="HO100" s="333"/>
      <c r="HP100" s="333"/>
      <c r="HQ100" s="333"/>
      <c r="HR100" s="333"/>
      <c r="HS100" s="333"/>
      <c r="HT100" s="333"/>
      <c r="HU100" s="333"/>
      <c r="HV100" s="333"/>
      <c r="HW100" s="333"/>
      <c r="HX100" s="333"/>
      <c r="HY100" s="333"/>
      <c r="HZ100" s="333"/>
      <c r="IA100" s="333"/>
      <c r="IB100" s="333"/>
      <c r="IC100" s="333"/>
      <c r="ID100" s="55"/>
      <c r="IE100" s="47"/>
      <c r="IF100" s="52"/>
    </row>
    <row r="101" spans="13:290" s="142" customFormat="1" ht="15" customHeight="1">
      <c r="M101" s="333"/>
      <c r="N101" s="333"/>
      <c r="O101" s="333"/>
      <c r="P101" s="333"/>
      <c r="Q101" s="333"/>
      <c r="R101" s="333"/>
      <c r="S101" s="333"/>
      <c r="T101" s="333"/>
      <c r="U101" s="333"/>
      <c r="V101" s="333"/>
      <c r="W101" s="333"/>
      <c r="X101" s="333"/>
      <c r="Y101" s="333"/>
      <c r="Z101" s="333"/>
      <c r="AA101" s="333"/>
      <c r="AB101" s="333"/>
      <c r="AC101" s="333"/>
      <c r="AD101" s="333"/>
      <c r="AE101" s="333"/>
      <c r="AF101" s="333"/>
      <c r="AG101" s="333"/>
      <c r="AH101" s="333"/>
      <c r="AI101" s="333"/>
      <c r="AJ101" s="333"/>
      <c r="AK101" s="333"/>
      <c r="AL101" s="333"/>
      <c r="AM101" s="333"/>
      <c r="AN101" s="333"/>
      <c r="AO101" s="333"/>
      <c r="AP101" s="333"/>
      <c r="AQ101" s="333"/>
      <c r="AR101" s="333"/>
      <c r="AS101" s="333"/>
      <c r="AT101" s="333"/>
      <c r="AU101" s="333"/>
      <c r="AV101" s="333"/>
      <c r="AW101" s="333"/>
      <c r="AX101" s="333"/>
      <c r="AY101" s="333"/>
      <c r="AZ101" s="333"/>
      <c r="BA101" s="333"/>
      <c r="BB101" s="333"/>
      <c r="BC101" s="333"/>
      <c r="BD101" s="333"/>
      <c r="BE101" s="333"/>
      <c r="BF101" s="333"/>
      <c r="BG101" s="333"/>
      <c r="BH101" s="333"/>
      <c r="BI101" s="333"/>
      <c r="BJ101" s="333"/>
      <c r="BK101" s="333"/>
      <c r="BL101" s="333"/>
      <c r="BM101" s="333"/>
      <c r="BN101" s="333"/>
      <c r="BO101" s="333"/>
      <c r="BP101" s="333"/>
      <c r="BQ101" s="333"/>
      <c r="BR101" s="333"/>
      <c r="BS101" s="333"/>
      <c r="BT101" s="333"/>
      <c r="BU101" s="333"/>
      <c r="BV101" s="333"/>
      <c r="BW101" s="333"/>
      <c r="BX101" s="333"/>
      <c r="BY101" s="333"/>
      <c r="BZ101" s="333"/>
      <c r="CA101" s="333"/>
      <c r="CB101" s="333"/>
      <c r="CC101" s="333"/>
      <c r="CD101" s="333"/>
      <c r="CE101" s="333"/>
      <c r="CF101" s="333"/>
      <c r="CG101" s="333"/>
      <c r="CH101" s="333"/>
      <c r="CI101" s="333"/>
      <c r="CJ101" s="333"/>
      <c r="CK101" s="333"/>
      <c r="CL101" s="333"/>
      <c r="CM101" s="333"/>
      <c r="CN101" s="333"/>
      <c r="CO101" s="333"/>
      <c r="CP101" s="333"/>
      <c r="CQ101" s="333"/>
      <c r="CR101" s="333"/>
      <c r="CS101" s="333"/>
      <c r="CT101" s="333"/>
      <c r="CU101" s="333"/>
      <c r="CV101" s="333"/>
      <c r="CW101" s="333"/>
      <c r="CX101" s="333"/>
      <c r="CY101" s="333"/>
      <c r="CZ101" s="333"/>
      <c r="DA101" s="333"/>
      <c r="DB101" s="333"/>
      <c r="DC101" s="333"/>
      <c r="DD101" s="333"/>
      <c r="DE101" s="333"/>
      <c r="DF101" s="333"/>
      <c r="DG101" s="333"/>
      <c r="DH101" s="333"/>
      <c r="DI101" s="333"/>
      <c r="DJ101" s="333"/>
      <c r="DK101" s="333"/>
      <c r="DL101" s="333"/>
      <c r="DM101" s="333"/>
      <c r="DN101" s="333"/>
      <c r="DO101" s="333"/>
      <c r="DP101" s="333"/>
      <c r="DQ101" s="333"/>
      <c r="DR101" s="333"/>
      <c r="DS101" s="333"/>
      <c r="DT101" s="333"/>
      <c r="DU101" s="359"/>
      <c r="DV101" s="359"/>
      <c r="DW101" s="359"/>
      <c r="DX101" s="359"/>
      <c r="DY101" s="359"/>
      <c r="DZ101" s="359"/>
      <c r="EA101" s="359"/>
      <c r="EB101" s="359"/>
      <c r="EC101" s="769">
        <f t="shared" si="190"/>
        <v>145</v>
      </c>
      <c r="ED101" s="889">
        <f t="shared" si="191"/>
        <v>0</v>
      </c>
      <c r="EE101" s="890"/>
      <c r="EF101" s="476">
        <f>GF71</f>
        <v>0</v>
      </c>
      <c r="EG101" s="889">
        <f t="shared" si="192"/>
        <v>0</v>
      </c>
      <c r="EH101" s="890"/>
      <c r="EI101" s="506">
        <f>GM71</f>
        <v>0</v>
      </c>
      <c r="EJ101" s="373"/>
      <c r="EK101" s="373"/>
      <c r="EL101" s="366"/>
      <c r="EM101" s="366"/>
      <c r="EN101" s="364">
        <f>+EN95+1</f>
        <v>9</v>
      </c>
      <c r="EO101" s="356">
        <f>+VLOOKUP(EN101, PRECIOS_EJERCICIOS,  2,FALSE)</f>
        <v>170</v>
      </c>
      <c r="EP101" s="513" t="str">
        <f>+IF($AQ$49 = FALSE, "",
IF(VLOOKUP(EO101, basesCantPrimaBrutoRes, 2,FALSE) &gt;= 0, VLOOKUP(EO101, basesCantPrimaBrutoRes, 2,FALSE), 0))</f>
        <v/>
      </c>
      <c r="EQ101" s="514" t="str">
        <f>+IF($AQ$49 = FALSE, "",
IF(VLOOKUP(EO101, basesCantPrimaBrutoRes, 2,FALSE) &lt; 0, -VLOOKUP(EO101, basesCantPrimaBrutoRes, 2,FALSE), 0))</f>
        <v/>
      </c>
      <c r="ER101" s="521" t="str">
        <f>IF($AQ$49 = FALSE, "",
VLOOKUP(EO101, basesCantPrimaBrutoRes, 4,FALSE))</f>
        <v/>
      </c>
      <c r="ES101" s="926">
        <f>IF(ER101 = "", 0,
IF(AND(EP101 &gt; 0, EQ101 &gt;0), 0, IF(EO101 &lt;&gt; $Z$1,
IF(AND(EP101 &lt;&gt; "", EP101 &lt;&gt; 0), -(EP101 * ER101 * 100),
IF(AND(EQ101 &lt;&gt; "", EQ101 &lt;&gt; 0), (EQ101 * ER101 * 100), 0)),
IF(AND(EP101 &lt;&gt; "", EP101 &lt;&gt; 0), -(EP101 * ER101 * 1),
IF(AND(EQ101 &lt;&gt; "", EQ101 &lt;&gt; 0), (EQ101 * ER101 * 1), 0))  )))</f>
        <v>0</v>
      </c>
      <c r="ET101" s="927"/>
      <c r="EU101" s="928"/>
      <c r="EV101" s="926">
        <f>IF(ER101 = "", 0,
IF(AND(EP101 &gt; 0, EQ101 &gt;0), 0,  IF(EO101 &lt;&gt; $Z$1,
IF(AND(EP101 &lt;&gt; "", EP101 &lt;&gt; 0), -(EP101 * ER101 * 100 * (1 + COMIS_OPCION)),
IF(AND(EQ101 &lt;&gt; "", EQ101 &lt;&gt; 0), (EQ101 * ER101 * 100 * (1 - COMIS_OPCION)), 0)),
IF(AND(EP101 &lt;&gt; "", EP101 &lt;&gt; 0), -(EP101 * ER101 * 1 * (1 + COMIS_ACCION)),
IF(AND(EQ101 &lt;&gt; "", EQ101 &lt;&gt; 0), (EQ101 * ER101 * 1 * (1 - COMIS_ACCION)), 0))  )))</f>
        <v>0</v>
      </c>
      <c r="EW101" s="927"/>
      <c r="EX101" s="927"/>
      <c r="EY101" s="927"/>
      <c r="EZ101" s="927"/>
      <c r="FA101" s="927"/>
      <c r="FB101" s="927"/>
      <c r="FC101" s="927"/>
      <c r="FD101" s="929"/>
      <c r="FE101" s="340"/>
      <c r="FF101" s="340"/>
      <c r="FG101" s="364"/>
      <c r="FH101" s="364">
        <f>+FH95+1</f>
        <v>9</v>
      </c>
      <c r="FI101" s="357">
        <f>+VLOOKUP(FH101, PRECIOS_EJERCICIOS,  2,FALSE)</f>
        <v>170</v>
      </c>
      <c r="FJ101" s="515" t="str">
        <f>+IF($AQ$49 = FALSE, "",
IF(VLOOKUP(EO101, basesCantPrimaBrutoRes, 5,FALSE) &gt;= 0, VLOOKUP(EO101, basesCantPrimaBrutoRes, 5,FALSE), 0))</f>
        <v/>
      </c>
      <c r="FK101" s="516" t="str">
        <f>+IF($AQ$49 = FALSE, "",
IF(VLOOKUP(EO101, basesCantPrimaBrutoRes, 5,FALSE) &lt; 0, -VLOOKUP(EO101, basesCantPrimaBrutoRes, 5,FALSE), 0))</f>
        <v/>
      </c>
      <c r="FL101" s="517" t="str">
        <f>IF($AQ$49 = FALSE, "",
VLOOKUP(EO101, basesCantPrimaBrutoRes, 7,FALSE))</f>
        <v/>
      </c>
      <c r="FM101" s="934">
        <f>IF(FL101 = "", 0,
IF(AND(FJ101 &gt; 0, FK101 &gt;0), 0,
IF(AND(FJ101 &lt;&gt; "", FJ101 &lt;&gt; 0), -(FJ101 * FL101 * 100),
IF(AND(FK101 &lt;&gt; "", FK101 &lt;&gt; 0), (FK101 * FL101 * 100), 0)) ))</f>
        <v>0</v>
      </c>
      <c r="FN101" s="935"/>
      <c r="FO101" s="936"/>
      <c r="FP101" s="934">
        <f>IF(FL101 = "", 0,
IF(AND(FJ101 &gt; 0, FK101 &gt;0), 0,
IF(AND(FJ101 &lt;&gt; "", FJ101 &lt;&gt; 0), -(FJ101 * FL101 * 100 * (1 + COMIS_OPCION)),
IF(AND(FK101 &lt;&gt; "", FK101 &lt;&gt; 0), (FK101 * FL101 * 100 * (1 - COMIS_OPCION)), 0)) ))</f>
        <v>0</v>
      </c>
      <c r="FQ101" s="935"/>
      <c r="FR101" s="935"/>
      <c r="FS101" s="935"/>
      <c r="FT101" s="935"/>
      <c r="FU101" s="935"/>
      <c r="FV101" s="935"/>
      <c r="FW101" s="935"/>
      <c r="FX101" s="966"/>
      <c r="FY101" s="341"/>
      <c r="FZ101" s="341"/>
      <c r="GA101" s="341"/>
      <c r="GB101" s="495">
        <f>+IF(EN101 = "", "", EO101)</f>
        <v>170</v>
      </c>
      <c r="GC101" s="495" t="str">
        <f>+IF(GB101="", "", IF(EO101 = $Z$1, "ACCION", "CALL"))</f>
        <v>CALL</v>
      </c>
      <c r="GD101" s="500"/>
      <c r="GE101" s="495">
        <f>+IF(GB101= "", "", EO103)</f>
        <v>0</v>
      </c>
      <c r="GF101" s="495">
        <f>+IF(GB101 = "", "", IFERROR(IF(GB101 &lt;&gt; $Z$1,
IF(GE101 &gt; 0, SUMIFS(ES101:ES105, EP101:EP105, "&gt;0", ES101:ES105, "&lt;&gt;0") / SUMIFS(EP101:EP105, EP101:EP105, "&gt;0", ES101:ES105, "&lt;&gt;0") / -100,
IF(GE101 &lt; 0, SUMIFS(ES101:ES105, EQ101:EQ105, "&gt;0", ES101:ES105, "&lt;&gt;0") / SUMIFS(EQ101:EQ105, EQ101:EQ105, "&gt;0", ES101:ES105, "&lt;&gt;0") / 100, 0)),
IF(GE101 &gt; 0, SUMIFS(ES101:ES105, EP101:EP105, "&gt;0", ES101:ES105, "&lt;&gt;0") / SUMIFS(EP101:EP105, EP101:EP105, "&gt;0", ES101:ES105, "&lt;&gt;0") / -1,
IF(GE101 &lt; 0, SUMIFS(ES101:ES105, EQ101:EQ105, "&gt;0", ES101:ES105, "&lt;&gt;0") / SUMIFS(EQ101:EQ105, EQ101:EQ105, "&gt;0", ES101:ES105, "&lt;&gt;0") / 1, 0)) ), 0))</f>
        <v>0</v>
      </c>
      <c r="GG101" s="495">
        <f>+IF(GB101 = "", "", IFERROR(IF(GB101 &lt;&gt; $Z$1,
IF(GE101 &gt; 0, SUMIFS(EV101:EV105, EP101:EP105, "&gt;0", EV101:EV105, "&lt;&gt;0") / SUMIFS(EP101:EP105, EP101:EP105, "&gt;0", EV101:EV105, "&lt;&gt;0") / -100,
IF(GE101 &lt; 0, SUMIFS(EV101:EV105, EQ101:EQ105, "&gt;0", EV101:EV105, "&lt;&gt;0") / SUMIFS(EQ101:EQ105, EQ101:EQ105, "&gt;0", EV101:EV105, "&lt;&gt;0") / 100, 0)),
IF(GE101 &gt; 0, SUMIFS(EV101:EV105, EP101:EP105, "&gt;0", EV101:EV105, "&lt;&gt;0") / SUMIFS(EP101:EP105, EP101:EP105, "&gt;0", EV101:EV105, "&lt;&gt;0") / -1,
IF(GE101 &lt; 0, SUMIFS(EV101:EV105, EQ101:EQ105, "&gt;0", EV101:EV105, "&lt;&gt;0") / SUMIFS(EQ101:EQ105, EQ101:EQ105, "&gt;0", EV101:EV105, "&lt;&gt;0") / 1, 0)) ), 0))</f>
        <v>0</v>
      </c>
      <c r="GH101" s="359"/>
      <c r="GI101" s="359"/>
      <c r="GJ101" s="501"/>
      <c r="GK101" s="495" t="str">
        <f>+IF(GB101="", "", "PUT")</f>
        <v>PUT</v>
      </c>
      <c r="GL101" s="495">
        <f>+IF(GB101 = "", "", FI103)</f>
        <v>0</v>
      </c>
      <c r="GM101" s="495">
        <f>+IF(GB101 = "", "", IFERROR(
IF(FI103 &gt; 0, SUMIFS(FM101:FM105, FJ101:FJ105, "&gt;0", FM101:FM105, "&lt;&gt;0") / SUMIFS(FJ101:FJ105, FJ101:FJ105, "&gt;0", FM101:FM105, "&lt;&gt;0") / -100,
IF(FI103 &lt; 0, SUMIFS(FM101:FM105, FK101:FK105, "&gt;0", FM101:FM105, "&lt;&gt;0") / SUMIFS(FK101:FK105, FK101:FK105, "&gt;0", FM101:FM105, "&lt;&gt;0") / 100, 0)), 0) )</f>
        <v>0</v>
      </c>
      <c r="GN101" s="359"/>
      <c r="GO101" s="359"/>
      <c r="GP101" s="501"/>
      <c r="GQ101" s="502">
        <f>+IF(GB101 = "", "", IFERROR(
IF(FI103 &gt; 0, SUMIFS(FP101:FP105, FJ101:FJ105, "&gt;0", FP101:FP105, "&lt;&gt;0") / SUMIFS(FJ101:FJ105, FJ101:FJ105, "&gt;0", FP101:FP105, "&lt;&gt;0") / -100,
IF(FI103 &lt; 0, SUMIFS(FP101:FP105, FK101:FK105, "&gt;0", FP101:FP105, "&lt;&gt;0") / SUMIFS(FK101:FK105, FK101:FK105, "&gt;0", FP101:FP105, "&lt;&gt;0") / 100, 0)), 0))</f>
        <v>0</v>
      </c>
      <c r="GR101" s="359"/>
      <c r="GS101" s="333"/>
      <c r="GT101" s="333"/>
      <c r="GU101" s="333"/>
      <c r="GV101" s="333"/>
      <c r="GW101" s="333"/>
      <c r="GX101" s="333"/>
      <c r="GY101" s="333"/>
      <c r="GZ101" s="333"/>
      <c r="HA101" s="333"/>
      <c r="HB101" s="333"/>
      <c r="HC101" s="333"/>
      <c r="HD101" s="333"/>
      <c r="HE101" s="333"/>
      <c r="HF101" s="333"/>
      <c r="HG101" s="331"/>
      <c r="HH101" s="331"/>
      <c r="HI101" s="331"/>
      <c r="HJ101" s="331"/>
      <c r="HK101" s="331"/>
      <c r="HL101" s="331"/>
      <c r="HM101" s="331"/>
      <c r="HN101" s="333"/>
      <c r="HO101" s="333"/>
      <c r="HP101" s="333"/>
      <c r="HQ101" s="333"/>
      <c r="HR101" s="333"/>
      <c r="HS101" s="333"/>
      <c r="HT101" s="333"/>
      <c r="HU101" s="333"/>
      <c r="HV101" s="333"/>
      <c r="HW101" s="333"/>
      <c r="HX101" s="333"/>
      <c r="HY101" s="333"/>
      <c r="HZ101" s="333"/>
      <c r="IA101" s="333"/>
      <c r="IB101" s="333"/>
      <c r="IC101" s="333"/>
      <c r="ID101" s="55"/>
      <c r="IE101" s="47"/>
      <c r="IF101" s="52"/>
    </row>
    <row r="102" spans="13:290" s="142" customFormat="1" ht="15" customHeight="1">
      <c r="M102" s="333"/>
      <c r="N102" s="333"/>
      <c r="O102" s="333"/>
      <c r="P102" s="333"/>
      <c r="Q102" s="333"/>
      <c r="R102" s="333"/>
      <c r="S102" s="333"/>
      <c r="T102" s="333"/>
      <c r="U102" s="333"/>
      <c r="V102" s="333"/>
      <c r="W102" s="333"/>
      <c r="X102" s="333"/>
      <c r="Y102" s="333"/>
      <c r="Z102" s="333"/>
      <c r="AA102" s="333"/>
      <c r="AB102" s="333"/>
      <c r="AC102" s="333"/>
      <c r="AD102" s="333"/>
      <c r="AE102" s="333"/>
      <c r="AF102" s="333"/>
      <c r="AG102" s="333"/>
      <c r="AH102" s="333"/>
      <c r="AI102" s="333"/>
      <c r="AJ102" s="333"/>
      <c r="AK102" s="333"/>
      <c r="AL102" s="333"/>
      <c r="AM102" s="333"/>
      <c r="AN102" s="333"/>
      <c r="AO102" s="333"/>
      <c r="AP102" s="333"/>
      <c r="AQ102" s="333"/>
      <c r="AR102" s="333"/>
      <c r="AS102" s="333"/>
      <c r="AT102" s="333"/>
      <c r="AU102" s="333"/>
      <c r="AV102" s="333"/>
      <c r="AW102" s="333"/>
      <c r="AX102" s="333"/>
      <c r="AY102" s="333"/>
      <c r="AZ102" s="333"/>
      <c r="BA102" s="333"/>
      <c r="BB102" s="333"/>
      <c r="BC102" s="333"/>
      <c r="BD102" s="333"/>
      <c r="BE102" s="333"/>
      <c r="BF102" s="333"/>
      <c r="BG102" s="333"/>
      <c r="BH102" s="333"/>
      <c r="BI102" s="333"/>
      <c r="BJ102" s="333"/>
      <c r="BK102" s="333"/>
      <c r="BL102" s="333"/>
      <c r="BM102" s="333"/>
      <c r="BN102" s="333"/>
      <c r="BO102" s="333"/>
      <c r="BP102" s="333"/>
      <c r="BQ102" s="333"/>
      <c r="BR102" s="333"/>
      <c r="BS102" s="333"/>
      <c r="BT102" s="333"/>
      <c r="BU102" s="333"/>
      <c r="BV102" s="333"/>
      <c r="BW102" s="333"/>
      <c r="BX102" s="333"/>
      <c r="BY102" s="333"/>
      <c r="BZ102" s="333"/>
      <c r="CA102" s="333"/>
      <c r="CB102" s="333"/>
      <c r="CC102" s="333"/>
      <c r="CD102" s="333"/>
      <c r="CE102" s="333"/>
      <c r="CF102" s="333"/>
      <c r="CG102" s="333"/>
      <c r="CH102" s="333"/>
      <c r="CI102" s="333"/>
      <c r="CJ102" s="333"/>
      <c r="CK102" s="333"/>
      <c r="CL102" s="333"/>
      <c r="CM102" s="333"/>
      <c r="CN102" s="333"/>
      <c r="CO102" s="333"/>
      <c r="CP102" s="333"/>
      <c r="CQ102" s="333"/>
      <c r="CR102" s="333"/>
      <c r="CS102" s="333"/>
      <c r="CT102" s="333"/>
      <c r="CU102" s="333"/>
      <c r="CV102" s="333"/>
      <c r="CW102" s="333"/>
      <c r="CX102" s="333"/>
      <c r="CY102" s="333"/>
      <c r="CZ102" s="333"/>
      <c r="DA102" s="333"/>
      <c r="DB102" s="333"/>
      <c r="DC102" s="333"/>
      <c r="DD102" s="333"/>
      <c r="DE102" s="333"/>
      <c r="DF102" s="333"/>
      <c r="DG102" s="333"/>
      <c r="DH102" s="333"/>
      <c r="DI102" s="333"/>
      <c r="DJ102" s="333"/>
      <c r="DK102" s="333"/>
      <c r="DL102" s="333"/>
      <c r="DM102" s="333"/>
      <c r="DN102" s="333"/>
      <c r="DO102" s="333"/>
      <c r="DP102" s="333"/>
      <c r="DQ102" s="333"/>
      <c r="DR102" s="333"/>
      <c r="DS102" s="333"/>
      <c r="DT102" s="333"/>
      <c r="DU102" s="359"/>
      <c r="DV102" s="359"/>
      <c r="DW102" s="359"/>
      <c r="DX102" s="359"/>
      <c r="DY102" s="359"/>
      <c r="DZ102" s="359"/>
      <c r="EA102" s="359"/>
      <c r="EB102" s="359"/>
      <c r="EC102" s="769">
        <f t="shared" si="190"/>
        <v>150</v>
      </c>
      <c r="ED102" s="889">
        <f>+ED57</f>
        <v>0</v>
      </c>
      <c r="EE102" s="890"/>
      <c r="EF102" s="476">
        <f>GF77</f>
        <v>0</v>
      </c>
      <c r="EG102" s="889">
        <f t="shared" si="192"/>
        <v>0</v>
      </c>
      <c r="EH102" s="890"/>
      <c r="EI102" s="506">
        <f>GM77</f>
        <v>0</v>
      </c>
      <c r="EJ102" s="373"/>
      <c r="EK102" s="373"/>
      <c r="EL102" s="366"/>
      <c r="EM102" s="366"/>
      <c r="EN102" s="364"/>
      <c r="EO102" s="351"/>
      <c r="EP102" s="347"/>
      <c r="EQ102" s="342"/>
      <c r="ER102" s="522"/>
      <c r="ES102" s="916">
        <f>IF(ER102 = "", 0,
IF(AND(EP102 &gt; 0, EQ102 &gt;0), 0, IF(EO101 &lt;&gt; $Z$1,
IF(AND(EP102 &lt;&gt; "", EP102 &lt;&gt; 0), -(EP102 * ER102 * 100),
IF(AND(EQ102 &lt;&gt; "", EQ102 &lt;&gt; 0), (EQ102 * ER102 * 100), 0)),
IF(AND(EP102 &lt;&gt; "", EP102 &lt;&gt; 0), -(EP102 * ER102 * 1),
IF(AND(EQ102 &lt;&gt; "", EQ102 &lt;&gt; 0), (EQ102 * ER102 * 1), 0))  )))</f>
        <v>0</v>
      </c>
      <c r="ET102" s="917"/>
      <c r="EU102" s="918"/>
      <c r="EV102" s="916">
        <f>IF(ER102 = "", 0,
IF(AND(EP102 &gt; 0, EQ102 &gt;0), 0,  IF(EO101 &lt;&gt; $Z$1,
IF(AND(EP102 &lt;&gt; "", EP102 &lt;&gt; 0), -(EP102 * ER102 * 100 * (1 + COMIS_OPCION)),
IF(AND(EQ102 &lt;&gt; "", EQ102 &lt;&gt; 0), (EQ102 * ER102 * 100 * (1 - COMIS_OPCION)), 0)),
IF(AND(EP102 &lt;&gt; "", EP102 &lt;&gt; 0), -(EP102 * ER102 * 1 * (1 + COMIS_ACCION)),
IF(AND(EQ102 &lt;&gt; "", EQ102 &lt;&gt; 0), (EQ102 * ER102 * 1 * (1 - COMIS_ACCION)), 0))  )))</f>
        <v>0</v>
      </c>
      <c r="EW102" s="917"/>
      <c r="EX102" s="917"/>
      <c r="EY102" s="917"/>
      <c r="EZ102" s="917"/>
      <c r="FA102" s="917"/>
      <c r="FB102" s="917"/>
      <c r="FC102" s="917"/>
      <c r="FD102" s="925"/>
      <c r="FE102" s="340"/>
      <c r="FF102" s="340"/>
      <c r="FG102" s="364"/>
      <c r="FH102" s="364"/>
      <c r="FI102" s="339"/>
      <c r="FJ102" s="347"/>
      <c r="FK102" s="342"/>
      <c r="FL102" s="343"/>
      <c r="FM102" s="930">
        <f>IF(FL102 = "", 0,
IF(AND(FJ102 &gt; 0, FK102 &gt;0), 0,
IF(AND(FJ102 &lt;&gt; "", FJ102 &lt;&gt; 0), -(FJ102 * FL102 * 100),
IF(AND(FK102 &lt;&gt; "", FK102 &lt;&gt; 0), (FK102 * FL102 * 100), 0)) ))</f>
        <v>0</v>
      </c>
      <c r="FN102" s="931"/>
      <c r="FO102" s="932"/>
      <c r="FP102" s="930">
        <f>IF(FL102 = "", 0,
IF(AND(FJ102 &gt; 0, FK102 &gt;0), 0,
IF(AND(FJ102 &lt;&gt; "", FJ102 &lt;&gt; 0), -(FJ102 * FL102 * 100 * (1 + COMIS_OPCION)),
IF(AND(FK102 &lt;&gt; "", FK102 &lt;&gt; 0), (FK102 * FL102 * 100 * (1 - COMIS_OPCION)), 0)) ))</f>
        <v>0</v>
      </c>
      <c r="FQ102" s="931"/>
      <c r="FR102" s="931"/>
      <c r="FS102" s="931"/>
      <c r="FT102" s="931"/>
      <c r="FU102" s="931"/>
      <c r="FV102" s="931"/>
      <c r="FW102" s="931"/>
      <c r="FX102" s="933"/>
      <c r="FY102" s="341"/>
      <c r="FZ102" s="341"/>
      <c r="GA102" s="341"/>
      <c r="GB102" s="495">
        <v>0</v>
      </c>
      <c r="GC102" s="495">
        <v>0</v>
      </c>
      <c r="GD102" s="500"/>
      <c r="GE102" s="495">
        <v>0</v>
      </c>
      <c r="GF102" s="495">
        <v>0</v>
      </c>
      <c r="GG102" s="495">
        <v>0</v>
      </c>
      <c r="GH102" s="359"/>
      <c r="GI102" s="359"/>
      <c r="GJ102" s="501"/>
      <c r="GK102" s="495">
        <v>0</v>
      </c>
      <c r="GL102" s="495">
        <v>0</v>
      </c>
      <c r="GM102" s="495">
        <v>0</v>
      </c>
      <c r="GN102" s="359"/>
      <c r="GO102" s="359"/>
      <c r="GP102" s="501"/>
      <c r="GQ102" s="495">
        <v>0</v>
      </c>
      <c r="GR102" s="359"/>
      <c r="GS102" s="333"/>
      <c r="GT102" s="333"/>
      <c r="GU102" s="333"/>
      <c r="GV102" s="333"/>
      <c r="GW102" s="333"/>
      <c r="GX102" s="333"/>
      <c r="GY102" s="333"/>
      <c r="GZ102" s="333"/>
      <c r="HA102" s="333"/>
      <c r="HB102" s="333"/>
      <c r="HC102" s="333"/>
      <c r="HD102" s="333"/>
      <c r="HE102" s="333"/>
      <c r="HF102" s="333"/>
      <c r="HG102" s="331"/>
      <c r="HH102" s="331"/>
      <c r="HI102" s="331"/>
      <c r="HJ102" s="331"/>
      <c r="HK102" s="331"/>
      <c r="HL102" s="331"/>
      <c r="HM102" s="331"/>
      <c r="HN102" s="333"/>
      <c r="HO102" s="333"/>
      <c r="HP102" s="333"/>
      <c r="HQ102" s="333"/>
      <c r="HR102" s="333"/>
      <c r="HS102" s="333"/>
      <c r="HT102" s="333"/>
      <c r="HU102" s="333"/>
      <c r="HV102" s="333"/>
      <c r="HW102" s="333"/>
      <c r="HX102" s="333"/>
      <c r="HY102" s="333"/>
      <c r="HZ102" s="333"/>
      <c r="IA102" s="333"/>
      <c r="IB102" s="333"/>
      <c r="IC102" s="333"/>
      <c r="ID102" s="55"/>
      <c r="IE102" s="47"/>
      <c r="IF102" s="52"/>
    </row>
    <row r="103" spans="13:290" s="142" customFormat="1" ht="15" customHeight="1">
      <c r="M103" s="333"/>
      <c r="N103" s="333"/>
      <c r="O103" s="333"/>
      <c r="P103" s="333"/>
      <c r="Q103" s="333"/>
      <c r="R103" s="333"/>
      <c r="S103" s="333"/>
      <c r="T103" s="333"/>
      <c r="U103" s="333"/>
      <c r="V103" s="333"/>
      <c r="W103" s="333"/>
      <c r="X103" s="333"/>
      <c r="Y103" s="333"/>
      <c r="Z103" s="333"/>
      <c r="AA103" s="333"/>
      <c r="AB103" s="333"/>
      <c r="AC103" s="333"/>
      <c r="AD103" s="333"/>
      <c r="AE103" s="333"/>
      <c r="AF103" s="333"/>
      <c r="AG103" s="333"/>
      <c r="AH103" s="333"/>
      <c r="AI103" s="333"/>
      <c r="AJ103" s="333"/>
      <c r="AK103" s="333"/>
      <c r="AL103" s="333"/>
      <c r="AM103" s="333"/>
      <c r="AN103" s="333"/>
      <c r="AO103" s="333"/>
      <c r="AP103" s="333"/>
      <c r="AQ103" s="333"/>
      <c r="AR103" s="333"/>
      <c r="AS103" s="333"/>
      <c r="AT103" s="333"/>
      <c r="AU103" s="333"/>
      <c r="AV103" s="333"/>
      <c r="AW103" s="333"/>
      <c r="AX103" s="333"/>
      <c r="AY103" s="333"/>
      <c r="AZ103" s="333"/>
      <c r="BA103" s="333"/>
      <c r="BB103" s="333"/>
      <c r="BC103" s="333"/>
      <c r="BD103" s="333"/>
      <c r="BE103" s="333"/>
      <c r="BF103" s="333"/>
      <c r="BG103" s="333"/>
      <c r="BH103" s="333"/>
      <c r="BI103" s="333"/>
      <c r="BJ103" s="333"/>
      <c r="BK103" s="333"/>
      <c r="BL103" s="333"/>
      <c r="BM103" s="333"/>
      <c r="BN103" s="333"/>
      <c r="BO103" s="333"/>
      <c r="BP103" s="333"/>
      <c r="BQ103" s="333"/>
      <c r="BR103" s="333"/>
      <c r="BS103" s="333"/>
      <c r="BT103" s="333"/>
      <c r="BU103" s="333"/>
      <c r="BV103" s="333"/>
      <c r="BW103" s="333"/>
      <c r="BX103" s="333"/>
      <c r="BY103" s="333"/>
      <c r="BZ103" s="333"/>
      <c r="CA103" s="333"/>
      <c r="CB103" s="333"/>
      <c r="CC103" s="333"/>
      <c r="CD103" s="333"/>
      <c r="CE103" s="333"/>
      <c r="CF103" s="333"/>
      <c r="CG103" s="333"/>
      <c r="CH103" s="333"/>
      <c r="CI103" s="333"/>
      <c r="CJ103" s="333"/>
      <c r="CK103" s="333"/>
      <c r="CL103" s="333"/>
      <c r="CM103" s="333"/>
      <c r="CN103" s="333"/>
      <c r="CO103" s="333"/>
      <c r="CP103" s="333"/>
      <c r="CQ103" s="333"/>
      <c r="CR103" s="333"/>
      <c r="CS103" s="333"/>
      <c r="CT103" s="333"/>
      <c r="CU103" s="333"/>
      <c r="CV103" s="333"/>
      <c r="CW103" s="333"/>
      <c r="CX103" s="333"/>
      <c r="CY103" s="333"/>
      <c r="CZ103" s="333"/>
      <c r="DA103" s="333"/>
      <c r="DB103" s="333"/>
      <c r="DC103" s="333"/>
      <c r="DD103" s="333"/>
      <c r="DE103" s="333"/>
      <c r="DF103" s="333"/>
      <c r="DG103" s="333"/>
      <c r="DH103" s="333"/>
      <c r="DI103" s="333"/>
      <c r="DJ103" s="333"/>
      <c r="DK103" s="333"/>
      <c r="DL103" s="333"/>
      <c r="DM103" s="333"/>
      <c r="DN103" s="333"/>
      <c r="DO103" s="333"/>
      <c r="DP103" s="333"/>
      <c r="DQ103" s="333"/>
      <c r="DR103" s="333"/>
      <c r="DS103" s="333"/>
      <c r="DT103" s="333"/>
      <c r="DU103" s="359"/>
      <c r="DV103" s="359"/>
      <c r="DW103" s="359"/>
      <c r="DX103" s="359"/>
      <c r="DY103" s="359"/>
      <c r="DZ103" s="359"/>
      <c r="EA103" s="359"/>
      <c r="EB103" s="359"/>
      <c r="EC103" s="769">
        <f t="shared" si="190"/>
        <v>155</v>
      </c>
      <c r="ED103" s="889">
        <f t="shared" si="191"/>
        <v>0</v>
      </c>
      <c r="EE103" s="890"/>
      <c r="EF103" s="476">
        <f>GF83</f>
        <v>0</v>
      </c>
      <c r="EG103" s="889">
        <f t="shared" si="192"/>
        <v>0</v>
      </c>
      <c r="EH103" s="890"/>
      <c r="EI103" s="506">
        <f>GM83</f>
        <v>0</v>
      </c>
      <c r="EJ103" s="373"/>
      <c r="EK103" s="373"/>
      <c r="EL103" s="366"/>
      <c r="EM103" s="368"/>
      <c r="EN103" s="365"/>
      <c r="EO103" s="352">
        <f>+SUM(EP101:EP105) - SUM(EQ101:EQ105)</f>
        <v>0</v>
      </c>
      <c r="EP103" s="347"/>
      <c r="EQ103" s="342"/>
      <c r="ER103" s="522"/>
      <c r="ES103" s="916">
        <f>IF(ER103 = "", 0,
IF(AND(EP103 &gt; 0, EQ103 &gt;0), 0, IF(EO101 &lt;&gt; $Z$1,
IF(AND(EP103 &lt;&gt; "", EP103 &lt;&gt; 0), -(EP103 * ER103 * 100),
IF(AND(EQ103 &lt;&gt; "", EQ103 &lt;&gt; 0), (EQ103 * ER103 * 100), 0)),
IF(AND(EP103 &lt;&gt; "", EP103 &lt;&gt; 0), -(EP103 * ER103 * 1),
IF(AND(EQ103 &lt;&gt; "", EQ103 &lt;&gt; 0), (EQ103 * ER103 * 1), 0))  )))</f>
        <v>0</v>
      </c>
      <c r="ET103" s="917"/>
      <c r="EU103" s="918"/>
      <c r="EV103" s="916">
        <f>IF(ER103 = "", 0,
IF(AND(EP103 &gt; 0, EQ103 &gt;0), 0,  IF(EO101 &lt;&gt; $Z$1,
IF(AND(EP103 &lt;&gt; "", EP103 &lt;&gt; 0), -(EP103 * ER103 * 100 * (1 + COMIS_OPCION)),
IF(AND(EQ103 &lt;&gt; "", EQ103 &lt;&gt; 0), (EQ103 * ER103 * 100 * (1 - COMIS_OPCION)), 0)),
IF(AND(EP103 &lt;&gt; "", EP103 &lt;&gt; 0), -(EP103 * ER103 * 1 * (1 + COMIS_ACCION)),
IF(AND(EQ103 &lt;&gt; "", EQ103 &lt;&gt; 0), (EQ103 * ER103 * 1 * (1 - COMIS_ACCION)), 0))  )))</f>
        <v>0</v>
      </c>
      <c r="EW103" s="917"/>
      <c r="EX103" s="917"/>
      <c r="EY103" s="917"/>
      <c r="EZ103" s="917"/>
      <c r="FA103" s="917"/>
      <c r="FB103" s="917"/>
      <c r="FC103" s="917"/>
      <c r="FD103" s="925"/>
      <c r="FE103" s="340"/>
      <c r="FF103" s="340"/>
      <c r="FG103" s="365"/>
      <c r="FH103" s="365"/>
      <c r="FI103" s="354">
        <f>+SUM(FJ101:FJ105) - SUM(FK101:FK105)</f>
        <v>0</v>
      </c>
      <c r="FJ103" s="347"/>
      <c r="FK103" s="342"/>
      <c r="FL103" s="343"/>
      <c r="FM103" s="930">
        <f>IF(FL103 = "", 0,
IF(AND(FJ103 &gt; 0, FK103 &gt;0), 0,
IF(AND(FJ103 &lt;&gt; "", FJ103 &lt;&gt; 0), -(FJ103 * FL103 * 100),
IF(AND(FK103 &lt;&gt; "", FK103 &lt;&gt; 0), (FK103 * FL103 * 100), 0)) ))</f>
        <v>0</v>
      </c>
      <c r="FN103" s="931"/>
      <c r="FO103" s="932"/>
      <c r="FP103" s="930">
        <f>IF(FL103 = "", 0,
IF(AND(FJ103 &gt; 0, FK103 &gt;0), 0,
IF(AND(FJ103 &lt;&gt; "", FJ103 &lt;&gt; 0), -(FJ103 * FL103 * 100 * (1 + COMIS_OPCION)),
IF(AND(FK103 &lt;&gt; "", FK103 &lt;&gt; 0), (FK103 * FL103 * 100 * (1 - COMIS_OPCION)), 0)) ))</f>
        <v>0</v>
      </c>
      <c r="FQ103" s="931"/>
      <c r="FR103" s="931"/>
      <c r="FS103" s="931"/>
      <c r="FT103" s="931"/>
      <c r="FU103" s="931"/>
      <c r="FV103" s="931"/>
      <c r="FW103" s="931"/>
      <c r="FX103" s="933"/>
      <c r="FY103" s="341"/>
      <c r="FZ103" s="341"/>
      <c r="GA103" s="341"/>
      <c r="GB103" s="495">
        <v>0</v>
      </c>
      <c r="GC103" s="495">
        <v>0</v>
      </c>
      <c r="GD103" s="500"/>
      <c r="GE103" s="495">
        <v>0</v>
      </c>
      <c r="GF103" s="495">
        <v>0</v>
      </c>
      <c r="GG103" s="495">
        <v>0</v>
      </c>
      <c r="GH103" s="359"/>
      <c r="GI103" s="359"/>
      <c r="GJ103" s="501"/>
      <c r="GK103" s="495">
        <v>0</v>
      </c>
      <c r="GL103" s="495">
        <v>0</v>
      </c>
      <c r="GM103" s="495">
        <v>0</v>
      </c>
      <c r="GN103" s="359"/>
      <c r="GO103" s="359"/>
      <c r="GP103" s="501"/>
      <c r="GQ103" s="495">
        <v>0</v>
      </c>
      <c r="GR103" s="359"/>
      <c r="GS103" s="333"/>
      <c r="GT103" s="333"/>
      <c r="GU103" s="333"/>
      <c r="GV103" s="333"/>
      <c r="GW103" s="333"/>
      <c r="GX103" s="333"/>
      <c r="GY103" s="333"/>
      <c r="GZ103" s="333"/>
      <c r="HA103" s="333"/>
      <c r="HB103" s="333"/>
      <c r="HC103" s="333"/>
      <c r="HD103" s="333"/>
      <c r="HE103" s="333"/>
      <c r="HF103" s="333"/>
      <c r="HG103" s="331"/>
      <c r="HH103" s="331"/>
      <c r="HI103" s="331"/>
      <c r="HJ103" s="331"/>
      <c r="HK103" s="331"/>
      <c r="HL103" s="331"/>
      <c r="HM103" s="331"/>
      <c r="HN103" s="333"/>
      <c r="HO103" s="333"/>
      <c r="HP103" s="333"/>
      <c r="HQ103" s="333"/>
      <c r="HR103" s="333"/>
      <c r="HS103" s="333"/>
      <c r="HT103" s="333"/>
      <c r="HU103" s="333"/>
      <c r="HV103" s="333"/>
      <c r="HW103" s="333"/>
      <c r="HX103" s="333"/>
      <c r="HY103" s="333"/>
      <c r="HZ103" s="333"/>
      <c r="IA103" s="333"/>
      <c r="IB103" s="333"/>
      <c r="IC103" s="333"/>
      <c r="ID103" s="55"/>
      <c r="IE103" s="47"/>
      <c r="IF103" s="52"/>
    </row>
    <row r="104" spans="13:290" s="142" customFormat="1" ht="15" customHeight="1">
      <c r="M104" s="333"/>
      <c r="N104" s="333"/>
      <c r="O104" s="333"/>
      <c r="P104" s="333"/>
      <c r="Q104" s="333"/>
      <c r="R104" s="333"/>
      <c r="S104" s="333"/>
      <c r="T104" s="333"/>
      <c r="U104" s="333"/>
      <c r="V104" s="333"/>
      <c r="W104" s="333"/>
      <c r="X104" s="333"/>
      <c r="Y104" s="333"/>
      <c r="Z104" s="333"/>
      <c r="AA104" s="333"/>
      <c r="AB104" s="333"/>
      <c r="AC104" s="333"/>
      <c r="AD104" s="333"/>
      <c r="AE104" s="333"/>
      <c r="AF104" s="333"/>
      <c r="AG104" s="333"/>
      <c r="AH104" s="333"/>
      <c r="AI104" s="333"/>
      <c r="AJ104" s="333"/>
      <c r="AK104" s="333"/>
      <c r="AL104" s="333"/>
      <c r="AM104" s="333"/>
      <c r="AN104" s="333"/>
      <c r="AO104" s="333"/>
      <c r="AP104" s="333"/>
      <c r="AQ104" s="333"/>
      <c r="AR104" s="333"/>
      <c r="AS104" s="333"/>
      <c r="AT104" s="333"/>
      <c r="AU104" s="333"/>
      <c r="AV104" s="333"/>
      <c r="AW104" s="333"/>
      <c r="AX104" s="333"/>
      <c r="AY104" s="333"/>
      <c r="AZ104" s="333"/>
      <c r="BA104" s="333"/>
      <c r="BB104" s="333"/>
      <c r="BC104" s="333"/>
      <c r="BD104" s="333"/>
      <c r="BE104" s="333"/>
      <c r="BF104" s="333"/>
      <c r="BG104" s="333"/>
      <c r="BH104" s="333"/>
      <c r="BI104" s="333"/>
      <c r="BJ104" s="333"/>
      <c r="BK104" s="333"/>
      <c r="BL104" s="333"/>
      <c r="BM104" s="333"/>
      <c r="BN104" s="333"/>
      <c r="BO104" s="333"/>
      <c r="BP104" s="333"/>
      <c r="BQ104" s="333"/>
      <c r="BR104" s="333"/>
      <c r="BS104" s="333"/>
      <c r="BT104" s="333"/>
      <c r="BU104" s="333"/>
      <c r="BV104" s="333"/>
      <c r="BW104" s="333"/>
      <c r="BX104" s="333"/>
      <c r="BY104" s="333"/>
      <c r="BZ104" s="333"/>
      <c r="CA104" s="333"/>
      <c r="CB104" s="333"/>
      <c r="CC104" s="333"/>
      <c r="CD104" s="333"/>
      <c r="CE104" s="333"/>
      <c r="CF104" s="333"/>
      <c r="CG104" s="333"/>
      <c r="CH104" s="333"/>
      <c r="CI104" s="333"/>
      <c r="CJ104" s="333"/>
      <c r="CK104" s="333"/>
      <c r="CL104" s="333"/>
      <c r="CM104" s="333"/>
      <c r="CN104" s="333"/>
      <c r="CO104" s="333"/>
      <c r="CP104" s="333"/>
      <c r="CQ104" s="333"/>
      <c r="CR104" s="333"/>
      <c r="CS104" s="333"/>
      <c r="CT104" s="333"/>
      <c r="CU104" s="333"/>
      <c r="CV104" s="333"/>
      <c r="CW104" s="333"/>
      <c r="CX104" s="333"/>
      <c r="CY104" s="333"/>
      <c r="CZ104" s="333"/>
      <c r="DA104" s="333"/>
      <c r="DB104" s="333"/>
      <c r="DC104" s="333"/>
      <c r="DD104" s="333"/>
      <c r="DE104" s="333"/>
      <c r="DF104" s="333"/>
      <c r="DG104" s="333"/>
      <c r="DH104" s="333"/>
      <c r="DI104" s="333"/>
      <c r="DJ104" s="333"/>
      <c r="DK104" s="333"/>
      <c r="DL104" s="333"/>
      <c r="DM104" s="333"/>
      <c r="DN104" s="333"/>
      <c r="DO104" s="333"/>
      <c r="DP104" s="333"/>
      <c r="DQ104" s="333"/>
      <c r="DR104" s="333"/>
      <c r="DS104" s="333"/>
      <c r="DT104" s="333"/>
      <c r="DU104" s="359"/>
      <c r="DV104" s="359"/>
      <c r="DW104" s="359"/>
      <c r="DX104" s="359"/>
      <c r="DY104" s="359"/>
      <c r="DZ104" s="359"/>
      <c r="EA104" s="359"/>
      <c r="EB104" s="359"/>
      <c r="EC104" s="769">
        <f t="shared" si="190"/>
        <v>160</v>
      </c>
      <c r="ED104" s="889">
        <f t="shared" si="191"/>
        <v>0</v>
      </c>
      <c r="EE104" s="890"/>
      <c r="EF104" s="476">
        <f>GF89</f>
        <v>0</v>
      </c>
      <c r="EG104" s="889">
        <f t="shared" si="192"/>
        <v>0</v>
      </c>
      <c r="EH104" s="890"/>
      <c r="EI104" s="506">
        <f>GM89</f>
        <v>0</v>
      </c>
      <c r="EJ104" s="373"/>
      <c r="EK104" s="373"/>
      <c r="EL104" s="366"/>
      <c r="EM104" s="368"/>
      <c r="EN104" s="365"/>
      <c r="EO104" s="352">
        <f>IF(EO103=0, 0, SUM(EV101:FD105))</f>
        <v>0</v>
      </c>
      <c r="EP104" s="347"/>
      <c r="EQ104" s="342"/>
      <c r="ER104" s="522"/>
      <c r="ES104" s="916">
        <f>IF(ER104 = "", 0,
IF(AND(EP104 &gt; 0, EQ104 &gt;0), 0, IF(EO101 &lt;&gt; $Z$1,
IF(AND(EP104 &lt;&gt; "", EP104 &lt;&gt; 0), -(EP104 * ER104 * 100),
IF(AND(EQ104 &lt;&gt; "", EQ104 &lt;&gt; 0), (EQ104 * ER104 * 100), 0)),
IF(AND(EP104 &lt;&gt; "", EP104 &lt;&gt; 0), -(EP104 * ER104 * 1),
IF(AND(EQ104 &lt;&gt; "", EQ104 &lt;&gt; 0), (EQ104 * ER104 * 1), 0))  )))</f>
        <v>0</v>
      </c>
      <c r="ET104" s="917"/>
      <c r="EU104" s="918"/>
      <c r="EV104" s="916">
        <f>IF(ER104 = "", 0,
IF(AND(EP104 &gt; 0, EQ104 &gt;0), 0,  IF(EO101 &lt;&gt; $Z$1,
IF(AND(EP104 &lt;&gt; "", EP104 &lt;&gt; 0), -(EP104 * ER104 * 100 * (1 + COMIS_OPCION)),
IF(AND(EQ104 &lt;&gt; "", EQ104 &lt;&gt; 0), (EQ104 * ER104 * 100 * (1 - COMIS_OPCION)), 0)),
IF(AND(EP104 &lt;&gt; "", EP104 &lt;&gt; 0), -(EP104 * ER104 * 1 * (1 + COMIS_ACCION)),
IF(AND(EQ104 &lt;&gt; "", EQ104 &lt;&gt; 0), (EQ104 * ER104 * 1 * (1 - COMIS_ACCION)), 0))  )))</f>
        <v>0</v>
      </c>
      <c r="EW104" s="917"/>
      <c r="EX104" s="917"/>
      <c r="EY104" s="917"/>
      <c r="EZ104" s="917"/>
      <c r="FA104" s="917"/>
      <c r="FB104" s="917"/>
      <c r="FC104" s="917"/>
      <c r="FD104" s="925"/>
      <c r="FE104" s="340"/>
      <c r="FF104" s="340"/>
      <c r="FG104" s="365"/>
      <c r="FH104" s="365"/>
      <c r="FI104" s="354">
        <f>IF(FI103=0, 0, SUM(FP101:FX105))</f>
        <v>0</v>
      </c>
      <c r="FJ104" s="347"/>
      <c r="FK104" s="342"/>
      <c r="FL104" s="343"/>
      <c r="FM104" s="930">
        <f>IF(FL104 = "", 0,
IF(AND(FJ104 &gt; 0, FK104 &gt;0), 0,
IF(AND(FJ104 &lt;&gt; "", FJ104 &lt;&gt; 0), -(FJ104 * FL104 * 100),
IF(AND(FK104 &lt;&gt; "", FK104 &lt;&gt; 0), (FK104 * FL104 * 100), 0)) ))</f>
        <v>0</v>
      </c>
      <c r="FN104" s="931"/>
      <c r="FO104" s="932"/>
      <c r="FP104" s="930">
        <f>IF(FL104 = "", 0,
IF(AND(FJ104 &gt; 0, FK104 &gt;0), 0,
IF(AND(FJ104 &lt;&gt; "", FJ104 &lt;&gt; 0), -(FJ104 * FL104 * 100 * (1 + COMIS_OPCION)),
IF(AND(FK104 &lt;&gt; "", FK104 &lt;&gt; 0), (FK104 * FL104 * 100 * (1 - COMIS_OPCION)), 0)) ))</f>
        <v>0</v>
      </c>
      <c r="FQ104" s="931"/>
      <c r="FR104" s="931"/>
      <c r="FS104" s="931"/>
      <c r="FT104" s="931"/>
      <c r="FU104" s="931"/>
      <c r="FV104" s="931"/>
      <c r="FW104" s="931"/>
      <c r="FX104" s="933"/>
      <c r="FY104" s="341"/>
      <c r="FZ104" s="341"/>
      <c r="GA104" s="341"/>
      <c r="GB104" s="495">
        <v>0</v>
      </c>
      <c r="GC104" s="495">
        <v>0</v>
      </c>
      <c r="GD104" s="500"/>
      <c r="GE104" s="495">
        <v>0</v>
      </c>
      <c r="GF104" s="495">
        <v>0</v>
      </c>
      <c r="GG104" s="495">
        <v>0</v>
      </c>
      <c r="GH104" s="359"/>
      <c r="GI104" s="359"/>
      <c r="GJ104" s="501"/>
      <c r="GK104" s="495">
        <v>0</v>
      </c>
      <c r="GL104" s="495">
        <v>0</v>
      </c>
      <c r="GM104" s="495">
        <v>0</v>
      </c>
      <c r="GN104" s="359"/>
      <c r="GO104" s="359"/>
      <c r="GP104" s="501"/>
      <c r="GQ104" s="495">
        <v>0</v>
      </c>
      <c r="GR104" s="359"/>
      <c r="GS104" s="333"/>
      <c r="GT104" s="333"/>
      <c r="GU104" s="333"/>
      <c r="GV104" s="333"/>
      <c r="GW104" s="333"/>
      <c r="GX104" s="333"/>
      <c r="GY104" s="333"/>
      <c r="GZ104" s="333"/>
      <c r="HA104" s="333"/>
      <c r="HB104" s="333"/>
      <c r="HC104" s="333"/>
      <c r="HD104" s="333"/>
      <c r="HE104" s="333"/>
      <c r="HF104" s="333"/>
      <c r="HG104" s="331"/>
      <c r="HH104" s="331"/>
      <c r="HI104" s="331"/>
      <c r="HJ104" s="331"/>
      <c r="HK104" s="331"/>
      <c r="HL104" s="331"/>
      <c r="HM104" s="331"/>
      <c r="HN104" s="333"/>
      <c r="HO104" s="333"/>
      <c r="HP104" s="333"/>
      <c r="HQ104" s="333"/>
      <c r="HR104" s="333"/>
      <c r="HS104" s="333"/>
      <c r="HT104" s="333"/>
      <c r="HU104" s="333"/>
      <c r="HV104" s="333"/>
      <c r="HW104" s="333"/>
      <c r="HX104" s="333"/>
      <c r="HY104" s="333"/>
      <c r="HZ104" s="333"/>
      <c r="IA104" s="333"/>
      <c r="IB104" s="333"/>
      <c r="IC104" s="333"/>
      <c r="ID104" s="55"/>
      <c r="IE104" s="47"/>
      <c r="IF104" s="52"/>
    </row>
    <row r="105" spans="13:290" s="142" customFormat="1" ht="15" customHeight="1" thickBot="1">
      <c r="M105" s="333"/>
      <c r="N105" s="333"/>
      <c r="O105" s="333"/>
      <c r="P105" s="333"/>
      <c r="Q105" s="333"/>
      <c r="R105" s="333"/>
      <c r="S105" s="333"/>
      <c r="T105" s="333"/>
      <c r="U105" s="333"/>
      <c r="V105" s="333"/>
      <c r="W105" s="333"/>
      <c r="X105" s="333"/>
      <c r="Y105" s="333"/>
      <c r="Z105" s="333"/>
      <c r="AA105" s="333"/>
      <c r="AB105" s="333"/>
      <c r="AC105" s="333"/>
      <c r="AD105" s="333"/>
      <c r="AE105" s="333"/>
      <c r="AF105" s="333"/>
      <c r="AG105" s="333"/>
      <c r="AH105" s="333"/>
      <c r="AI105" s="333"/>
      <c r="AJ105" s="333"/>
      <c r="AK105" s="333"/>
      <c r="AL105" s="333"/>
      <c r="AM105" s="333"/>
      <c r="AN105" s="333"/>
      <c r="AO105" s="333"/>
      <c r="AP105" s="333"/>
      <c r="AQ105" s="333"/>
      <c r="AR105" s="333"/>
      <c r="AS105" s="333"/>
      <c r="AT105" s="333"/>
      <c r="AU105" s="333"/>
      <c r="AV105" s="333"/>
      <c r="AW105" s="333"/>
      <c r="AX105" s="333"/>
      <c r="AY105" s="333"/>
      <c r="AZ105" s="333"/>
      <c r="BA105" s="333"/>
      <c r="BB105" s="333"/>
      <c r="BC105" s="333"/>
      <c r="BD105" s="333"/>
      <c r="BE105" s="333"/>
      <c r="BF105" s="333"/>
      <c r="BG105" s="333"/>
      <c r="BH105" s="333"/>
      <c r="BI105" s="333"/>
      <c r="BJ105" s="333"/>
      <c r="BK105" s="333"/>
      <c r="BL105" s="333"/>
      <c r="BM105" s="333"/>
      <c r="BN105" s="333"/>
      <c r="BO105" s="333"/>
      <c r="BP105" s="333"/>
      <c r="BQ105" s="333"/>
      <c r="BR105" s="333"/>
      <c r="BS105" s="333"/>
      <c r="BT105" s="333"/>
      <c r="BU105" s="333"/>
      <c r="BV105" s="333"/>
      <c r="BW105" s="333"/>
      <c r="BX105" s="333"/>
      <c r="BY105" s="333"/>
      <c r="BZ105" s="333"/>
      <c r="CA105" s="333"/>
      <c r="CB105" s="333"/>
      <c r="CC105" s="333"/>
      <c r="CD105" s="333"/>
      <c r="CE105" s="333"/>
      <c r="CF105" s="333"/>
      <c r="CG105" s="333"/>
      <c r="CH105" s="333"/>
      <c r="CI105" s="333"/>
      <c r="CJ105" s="333"/>
      <c r="CK105" s="333"/>
      <c r="CL105" s="333"/>
      <c r="CM105" s="333"/>
      <c r="CN105" s="333"/>
      <c r="CO105" s="333"/>
      <c r="CP105" s="333"/>
      <c r="CQ105" s="333"/>
      <c r="CR105" s="333"/>
      <c r="CS105" s="333"/>
      <c r="CT105" s="333"/>
      <c r="CU105" s="333"/>
      <c r="CV105" s="333"/>
      <c r="CW105" s="333"/>
      <c r="CX105" s="333"/>
      <c r="CY105" s="333"/>
      <c r="CZ105" s="333"/>
      <c r="DA105" s="333"/>
      <c r="DB105" s="333"/>
      <c r="DC105" s="333"/>
      <c r="DD105" s="333"/>
      <c r="DE105" s="333"/>
      <c r="DF105" s="333"/>
      <c r="DG105" s="333"/>
      <c r="DH105" s="333"/>
      <c r="DI105" s="333"/>
      <c r="DJ105" s="333"/>
      <c r="DK105" s="333"/>
      <c r="DL105" s="333"/>
      <c r="DM105" s="333"/>
      <c r="DN105" s="333"/>
      <c r="DO105" s="333"/>
      <c r="DP105" s="333"/>
      <c r="DQ105" s="333"/>
      <c r="DR105" s="333"/>
      <c r="DS105" s="333"/>
      <c r="DT105" s="333"/>
      <c r="DU105" s="359"/>
      <c r="DV105" s="359"/>
      <c r="DW105" s="359"/>
      <c r="DX105" s="359"/>
      <c r="DY105" s="359"/>
      <c r="DZ105" s="359"/>
      <c r="EA105" s="359"/>
      <c r="EB105" s="359"/>
      <c r="EC105" s="769">
        <f t="shared" si="190"/>
        <v>165</v>
      </c>
      <c r="ED105" s="889">
        <f t="shared" si="191"/>
        <v>0</v>
      </c>
      <c r="EE105" s="890"/>
      <c r="EF105" s="476">
        <f>GF95</f>
        <v>0</v>
      </c>
      <c r="EG105" s="889">
        <f t="shared" si="192"/>
        <v>0</v>
      </c>
      <c r="EH105" s="890"/>
      <c r="EI105" s="506">
        <f>GM95</f>
        <v>0</v>
      </c>
      <c r="EJ105" s="373"/>
      <c r="EK105" s="373"/>
      <c r="EL105" s="366"/>
      <c r="EM105" s="368"/>
      <c r="EN105" s="365"/>
      <c r="EO105" s="353">
        <f>+IF(EO103= 0, 0, GG101)</f>
        <v>0</v>
      </c>
      <c r="EP105" s="350"/>
      <c r="EQ105" s="344"/>
      <c r="ER105" s="523"/>
      <c r="ES105" s="921">
        <f>IF(ER105 = "", 0,
IF(AND(EP105 &gt; 0, EQ105 &gt;0), 0, IF(EO101 &lt;&gt; $Z$1,
IF(AND(EP105 &lt;&gt; "", EP105 &lt;&gt; 0), -(EP105 * ER105 * 100),
IF(AND(EQ105 &lt;&gt; "", EQ105 &lt;&gt; 0), (EQ105 * ER105 * 100), 0)),
IF(AND(EP105 &lt;&gt; "", EP105 &lt;&gt; 0), -(EP105 * ER105 * 1),
IF(AND(EQ105 &lt;&gt; "", EQ105 &lt;&gt; 0), (EQ105 * ER105 * 1), 0))  )))</f>
        <v>0</v>
      </c>
      <c r="ET105" s="922"/>
      <c r="EU105" s="924"/>
      <c r="EV105" s="921">
        <f>IF(ER105 = "", 0,
IF(AND(EP105 &gt; 0, EQ105 &gt;0), 0,  IF(EO101 &lt;&gt; $Z$1,
IF(AND(EP105 &lt;&gt; "", EP105 &lt;&gt; 0), -(EP105 * ER105 * 100 * (1 + COMIS_OPCION)),
IF(AND(EQ105 &lt;&gt; "", EQ105 &lt;&gt; 0), (EQ105 * ER105 * 100 * (1 - COMIS_OPCION)), 0)),
IF(AND(EP105 &lt;&gt; "", EP105 &lt;&gt; 0), -(EP105 * ER105 * 1 * (1 + COMIS_ACCION)),
IF(AND(EQ105 &lt;&gt; "", EQ105 &lt;&gt; 0), (EQ105 * ER105 * 1 * (1 - COMIS_ACCION)), 0))  )))</f>
        <v>0</v>
      </c>
      <c r="EW105" s="922"/>
      <c r="EX105" s="922"/>
      <c r="EY105" s="922"/>
      <c r="EZ105" s="922"/>
      <c r="FA105" s="922"/>
      <c r="FB105" s="922"/>
      <c r="FC105" s="922"/>
      <c r="FD105" s="923"/>
      <c r="FE105" s="340"/>
      <c r="FF105" s="340"/>
      <c r="FG105" s="365"/>
      <c r="FH105" s="365"/>
      <c r="FI105" s="349">
        <f>+IF(FI103= 0, 0, GQ101)</f>
        <v>0</v>
      </c>
      <c r="FJ105" s="348"/>
      <c r="FK105" s="345"/>
      <c r="FL105" s="346"/>
      <c r="FM105" s="937">
        <f>IF(FL105 = "", 0,
IF(AND(FJ105 &gt; 0, FK105 &gt;0), 0,
IF(AND(FJ105 &lt;&gt; "", FJ105 &lt;&gt; 0), -(FJ105 * FL105 * 100),
IF(AND(FK105 &lt;&gt; "", FK105 &lt;&gt; 0), (FK105 * FL105 * 100), 0)) ))</f>
        <v>0</v>
      </c>
      <c r="FN105" s="938"/>
      <c r="FO105" s="939"/>
      <c r="FP105" s="937">
        <f>IF(FL105 = "", 0,
IF(AND(FJ105 &gt; 0, FK105 &gt;0), 0,
IF(AND(FJ105 &lt;&gt; "", FJ105 &lt;&gt; 0), -(FJ105 * FL105 * 100 * (1 + COMIS_OPCION)),
IF(AND(FK105 &lt;&gt; "", FK105 &lt;&gt; 0), (FK105 * FL105 * 100 * (1 - COMIS_OPCION)), 0)) ))</f>
        <v>0</v>
      </c>
      <c r="FQ105" s="938"/>
      <c r="FR105" s="938"/>
      <c r="FS105" s="938"/>
      <c r="FT105" s="938"/>
      <c r="FU105" s="938"/>
      <c r="FV105" s="938"/>
      <c r="FW105" s="938"/>
      <c r="FX105" s="969"/>
      <c r="FY105" s="341"/>
      <c r="FZ105" s="341"/>
      <c r="GA105" s="341"/>
      <c r="GB105" s="495">
        <v>0</v>
      </c>
      <c r="GC105" s="495">
        <v>0</v>
      </c>
      <c r="GD105" s="500"/>
      <c r="GE105" s="495">
        <v>0</v>
      </c>
      <c r="GF105" s="495">
        <v>0</v>
      </c>
      <c r="GG105" s="495">
        <v>0</v>
      </c>
      <c r="GH105" s="359"/>
      <c r="GI105" s="359"/>
      <c r="GJ105" s="501"/>
      <c r="GK105" s="495">
        <v>0</v>
      </c>
      <c r="GL105" s="495">
        <v>0</v>
      </c>
      <c r="GM105" s="495">
        <v>0</v>
      </c>
      <c r="GN105" s="359"/>
      <c r="GO105" s="359"/>
      <c r="GP105" s="501"/>
      <c r="GQ105" s="495">
        <v>0</v>
      </c>
      <c r="GR105" s="359"/>
      <c r="GS105" s="333"/>
      <c r="GT105" s="333"/>
      <c r="GU105" s="333"/>
      <c r="GV105" s="333"/>
      <c r="GW105" s="333"/>
      <c r="GX105" s="333"/>
      <c r="GY105" s="333"/>
      <c r="GZ105" s="333"/>
      <c r="HA105" s="333"/>
      <c r="HB105" s="333"/>
      <c r="HC105" s="333"/>
      <c r="HD105" s="333"/>
      <c r="HE105" s="333"/>
      <c r="HF105" s="333"/>
      <c r="HG105" s="331"/>
      <c r="HH105" s="331"/>
      <c r="HI105" s="331"/>
      <c r="HJ105" s="331"/>
      <c r="HK105" s="331"/>
      <c r="HL105" s="331"/>
      <c r="HM105" s="331"/>
      <c r="HN105" s="333"/>
      <c r="HO105" s="333"/>
      <c r="HP105" s="333"/>
      <c r="HQ105" s="333"/>
      <c r="HR105" s="333"/>
      <c r="HS105" s="333"/>
      <c r="HT105" s="333"/>
      <c r="HU105" s="333"/>
      <c r="HV105" s="333"/>
      <c r="HW105" s="333"/>
      <c r="HX105" s="333"/>
      <c r="HY105" s="333"/>
      <c r="HZ105" s="333"/>
      <c r="IA105" s="333"/>
      <c r="IB105" s="333"/>
      <c r="IC105" s="333"/>
      <c r="ID105" s="55"/>
      <c r="IE105" s="47"/>
      <c r="IF105" s="52"/>
    </row>
    <row r="106" spans="13:290" s="142" customFormat="1" ht="15" customHeight="1" thickBot="1">
      <c r="M106" s="333"/>
      <c r="N106" s="333"/>
      <c r="O106" s="333"/>
      <c r="P106" s="333"/>
      <c r="Q106" s="333"/>
      <c r="R106" s="333"/>
      <c r="S106" s="333"/>
      <c r="T106" s="333"/>
      <c r="U106" s="333"/>
      <c r="V106" s="333"/>
      <c r="W106" s="333"/>
      <c r="X106" s="333"/>
      <c r="Y106" s="333"/>
      <c r="Z106" s="333"/>
      <c r="AA106" s="333"/>
      <c r="AB106" s="333"/>
      <c r="AC106" s="333"/>
      <c r="AD106" s="333"/>
      <c r="AE106" s="333"/>
      <c r="AF106" s="333"/>
      <c r="AG106" s="333"/>
      <c r="AH106" s="333"/>
      <c r="AI106" s="333"/>
      <c r="AJ106" s="333"/>
      <c r="AK106" s="333"/>
      <c r="AL106" s="333"/>
      <c r="AM106" s="333"/>
      <c r="AN106" s="333"/>
      <c r="AO106" s="333"/>
      <c r="AP106" s="333"/>
      <c r="AQ106" s="333"/>
      <c r="AR106" s="333"/>
      <c r="AS106" s="333"/>
      <c r="AT106" s="333"/>
      <c r="AU106" s="333"/>
      <c r="AV106" s="333"/>
      <c r="AW106" s="333"/>
      <c r="AX106" s="333"/>
      <c r="AY106" s="333"/>
      <c r="AZ106" s="333"/>
      <c r="BA106" s="333"/>
      <c r="BB106" s="333"/>
      <c r="BC106" s="333"/>
      <c r="BD106" s="333"/>
      <c r="BE106" s="333"/>
      <c r="BF106" s="333"/>
      <c r="BG106" s="333"/>
      <c r="BH106" s="333"/>
      <c r="BI106" s="333"/>
      <c r="BJ106" s="333"/>
      <c r="BK106" s="333"/>
      <c r="BL106" s="333"/>
      <c r="BM106" s="333"/>
      <c r="BN106" s="333"/>
      <c r="BO106" s="333"/>
      <c r="BP106" s="333"/>
      <c r="BQ106" s="333"/>
      <c r="BR106" s="333"/>
      <c r="BS106" s="333"/>
      <c r="BT106" s="333"/>
      <c r="BU106" s="333"/>
      <c r="BV106" s="333"/>
      <c r="BW106" s="333"/>
      <c r="BX106" s="333"/>
      <c r="BY106" s="333"/>
      <c r="BZ106" s="333"/>
      <c r="CA106" s="333"/>
      <c r="CB106" s="333"/>
      <c r="CC106" s="333"/>
      <c r="CD106" s="333"/>
      <c r="CE106" s="333"/>
      <c r="CF106" s="333"/>
      <c r="CG106" s="333"/>
      <c r="CH106" s="333"/>
      <c r="CI106" s="333"/>
      <c r="CJ106" s="333"/>
      <c r="CK106" s="333"/>
      <c r="CL106" s="333"/>
      <c r="CM106" s="333"/>
      <c r="CN106" s="333"/>
      <c r="CO106" s="333"/>
      <c r="CP106" s="333"/>
      <c r="CQ106" s="333"/>
      <c r="CR106" s="333"/>
      <c r="CS106" s="333"/>
      <c r="CT106" s="333"/>
      <c r="CU106" s="333"/>
      <c r="CV106" s="333"/>
      <c r="CW106" s="333"/>
      <c r="CX106" s="333"/>
      <c r="CY106" s="333"/>
      <c r="CZ106" s="333"/>
      <c r="DA106" s="333"/>
      <c r="DB106" s="333"/>
      <c r="DC106" s="333"/>
      <c r="DD106" s="333"/>
      <c r="DE106" s="333"/>
      <c r="DF106" s="333"/>
      <c r="DG106" s="333"/>
      <c r="DH106" s="333"/>
      <c r="DI106" s="333"/>
      <c r="DJ106" s="333"/>
      <c r="DK106" s="333"/>
      <c r="DL106" s="333"/>
      <c r="DM106" s="333"/>
      <c r="DN106" s="333"/>
      <c r="DO106" s="333"/>
      <c r="DP106" s="333"/>
      <c r="DQ106" s="333"/>
      <c r="DR106" s="333"/>
      <c r="DS106" s="333"/>
      <c r="DT106" s="333"/>
      <c r="DU106" s="359"/>
      <c r="DV106" s="359"/>
      <c r="DW106" s="359"/>
      <c r="DX106" s="359"/>
      <c r="DY106" s="359"/>
      <c r="DZ106" s="359"/>
      <c r="EA106" s="359"/>
      <c r="EB106" s="359"/>
      <c r="EC106" s="769">
        <f t="shared" si="190"/>
        <v>170</v>
      </c>
      <c r="ED106" s="889">
        <f t="shared" si="191"/>
        <v>0</v>
      </c>
      <c r="EE106" s="890"/>
      <c r="EF106" s="476">
        <f>GF101</f>
        <v>0</v>
      </c>
      <c r="EG106" s="889">
        <f t="shared" si="192"/>
        <v>0</v>
      </c>
      <c r="EH106" s="890"/>
      <c r="EI106" s="506">
        <f>GM101</f>
        <v>0</v>
      </c>
      <c r="EJ106" s="373"/>
      <c r="EK106" s="373"/>
      <c r="EL106" s="366"/>
      <c r="EM106" s="369"/>
      <c r="EN106" s="364"/>
      <c r="EO106" s="363"/>
      <c r="EP106" s="340"/>
      <c r="EQ106" s="340"/>
      <c r="ER106" s="340"/>
      <c r="ES106" s="363"/>
      <c r="ET106" s="363"/>
      <c r="EU106" s="340"/>
      <c r="EV106" s="340"/>
      <c r="EW106" s="340"/>
      <c r="EX106" s="340"/>
      <c r="EY106" s="340"/>
      <c r="EZ106" s="340"/>
      <c r="FA106" s="340"/>
      <c r="FB106" s="402"/>
      <c r="FC106" s="402"/>
      <c r="FD106" s="340"/>
      <c r="FE106" s="340"/>
      <c r="FF106" s="340"/>
      <c r="FG106" s="364"/>
      <c r="FH106" s="364"/>
      <c r="FI106" s="363"/>
      <c r="FJ106" s="360"/>
      <c r="FK106" s="360"/>
      <c r="FL106" s="340"/>
      <c r="FM106" s="967"/>
      <c r="FN106" s="967"/>
      <c r="FO106" s="967"/>
      <c r="FP106" s="968"/>
      <c r="FQ106" s="968"/>
      <c r="FR106" s="968"/>
      <c r="FS106" s="968"/>
      <c r="FT106" s="968"/>
      <c r="FU106" s="968"/>
      <c r="FV106" s="968"/>
      <c r="FW106" s="968"/>
      <c r="FX106" s="968"/>
      <c r="FY106" s="341"/>
      <c r="FZ106" s="341"/>
      <c r="GA106" s="341"/>
      <c r="GB106" s="495">
        <v>0</v>
      </c>
      <c r="GC106" s="495">
        <v>0</v>
      </c>
      <c r="GD106" s="500"/>
      <c r="GE106" s="495">
        <v>0</v>
      </c>
      <c r="GF106" s="495">
        <v>0</v>
      </c>
      <c r="GG106" s="495">
        <v>0</v>
      </c>
      <c r="GH106" s="359"/>
      <c r="GI106" s="359"/>
      <c r="GJ106" s="501"/>
      <c r="GK106" s="495">
        <v>0</v>
      </c>
      <c r="GL106" s="495">
        <v>0</v>
      </c>
      <c r="GM106" s="495">
        <v>0</v>
      </c>
      <c r="GN106" s="359"/>
      <c r="GO106" s="359"/>
      <c r="GP106" s="501"/>
      <c r="GQ106" s="495">
        <v>0</v>
      </c>
      <c r="GR106" s="359"/>
      <c r="GS106" s="333"/>
      <c r="GT106" s="333"/>
      <c r="GU106" s="333"/>
      <c r="GV106" s="333"/>
      <c r="GW106" s="333"/>
      <c r="GX106" s="333"/>
      <c r="GY106" s="333"/>
      <c r="GZ106" s="333"/>
      <c r="HA106" s="333"/>
      <c r="HB106" s="333"/>
      <c r="HC106" s="333"/>
      <c r="HD106" s="333"/>
      <c r="HE106" s="333"/>
      <c r="HF106" s="333"/>
      <c r="HG106" s="331"/>
      <c r="HH106" s="331"/>
      <c r="HI106" s="331"/>
      <c r="HJ106" s="331"/>
      <c r="HK106" s="331"/>
      <c r="HL106" s="331"/>
      <c r="HM106" s="331"/>
      <c r="HN106" s="333"/>
      <c r="HO106" s="333"/>
      <c r="HP106" s="333"/>
      <c r="HQ106" s="333"/>
      <c r="HR106" s="333"/>
      <c r="HS106" s="333"/>
      <c r="HT106" s="333"/>
      <c r="HU106" s="333"/>
      <c r="HV106" s="333"/>
      <c r="HW106" s="333"/>
      <c r="HX106" s="333"/>
      <c r="HY106" s="333"/>
      <c r="HZ106" s="333"/>
      <c r="IA106" s="333"/>
      <c r="IB106" s="333"/>
      <c r="IC106" s="333"/>
      <c r="ID106" s="55"/>
      <c r="IE106" s="47"/>
      <c r="IF106" s="52"/>
    </row>
    <row r="107" spans="13:290" s="142" customFormat="1" ht="15" customHeight="1">
      <c r="M107" s="333"/>
      <c r="N107" s="333"/>
      <c r="O107" s="333"/>
      <c r="P107" s="333"/>
      <c r="Q107" s="333"/>
      <c r="R107" s="333"/>
      <c r="S107" s="333"/>
      <c r="T107" s="333"/>
      <c r="U107" s="333"/>
      <c r="V107" s="333"/>
      <c r="W107" s="333"/>
      <c r="X107" s="333"/>
      <c r="Y107" s="333"/>
      <c r="Z107" s="333"/>
      <c r="AA107" s="333"/>
      <c r="AB107" s="333"/>
      <c r="AC107" s="333"/>
      <c r="AD107" s="333"/>
      <c r="AE107" s="333"/>
      <c r="AF107" s="333"/>
      <c r="AG107" s="333"/>
      <c r="AH107" s="333"/>
      <c r="AI107" s="333"/>
      <c r="AJ107" s="333"/>
      <c r="AK107" s="333"/>
      <c r="AL107" s="333"/>
      <c r="AM107" s="333"/>
      <c r="AN107" s="333"/>
      <c r="AO107" s="333"/>
      <c r="AP107" s="333"/>
      <c r="AQ107" s="333"/>
      <c r="AR107" s="333"/>
      <c r="AS107" s="333"/>
      <c r="AT107" s="333"/>
      <c r="AU107" s="333"/>
      <c r="AV107" s="333"/>
      <c r="AW107" s="333"/>
      <c r="AX107" s="333"/>
      <c r="AY107" s="333"/>
      <c r="AZ107" s="333"/>
      <c r="BA107" s="333"/>
      <c r="BB107" s="333"/>
      <c r="BC107" s="333"/>
      <c r="BD107" s="333"/>
      <c r="BE107" s="333"/>
      <c r="BF107" s="333"/>
      <c r="BG107" s="333"/>
      <c r="BH107" s="333"/>
      <c r="BI107" s="333"/>
      <c r="BJ107" s="333"/>
      <c r="BK107" s="333"/>
      <c r="BL107" s="333"/>
      <c r="BM107" s="333"/>
      <c r="BN107" s="333"/>
      <c r="BO107" s="333"/>
      <c r="BP107" s="333"/>
      <c r="BQ107" s="333"/>
      <c r="BR107" s="333"/>
      <c r="BS107" s="333"/>
      <c r="BT107" s="333"/>
      <c r="BU107" s="333"/>
      <c r="BV107" s="333"/>
      <c r="BW107" s="333"/>
      <c r="BX107" s="333"/>
      <c r="BY107" s="333"/>
      <c r="BZ107" s="333"/>
      <c r="CA107" s="333"/>
      <c r="CB107" s="333"/>
      <c r="CC107" s="333"/>
      <c r="CD107" s="333"/>
      <c r="CE107" s="333"/>
      <c r="CF107" s="333"/>
      <c r="CG107" s="333"/>
      <c r="CH107" s="333"/>
      <c r="CI107" s="333"/>
      <c r="CJ107" s="333"/>
      <c r="CK107" s="333"/>
      <c r="CL107" s="333"/>
      <c r="CM107" s="333"/>
      <c r="CN107" s="333"/>
      <c r="CO107" s="333"/>
      <c r="CP107" s="333"/>
      <c r="CQ107" s="333"/>
      <c r="CR107" s="333"/>
      <c r="CS107" s="333"/>
      <c r="CT107" s="333"/>
      <c r="CU107" s="333"/>
      <c r="CV107" s="333"/>
      <c r="CW107" s="333"/>
      <c r="CX107" s="333"/>
      <c r="CY107" s="333"/>
      <c r="CZ107" s="333"/>
      <c r="DA107" s="333"/>
      <c r="DB107" s="333"/>
      <c r="DC107" s="333"/>
      <c r="DD107" s="333"/>
      <c r="DE107" s="333"/>
      <c r="DF107" s="333"/>
      <c r="DG107" s="333"/>
      <c r="DH107" s="333"/>
      <c r="DI107" s="333"/>
      <c r="DJ107" s="333"/>
      <c r="DK107" s="333"/>
      <c r="DL107" s="333"/>
      <c r="DM107" s="333"/>
      <c r="DN107" s="333"/>
      <c r="DO107" s="333"/>
      <c r="DP107" s="333"/>
      <c r="DQ107" s="333"/>
      <c r="DR107" s="333"/>
      <c r="DS107" s="333"/>
      <c r="DT107" s="333"/>
      <c r="DU107" s="359"/>
      <c r="DV107" s="359"/>
      <c r="DW107" s="359"/>
      <c r="DX107" s="359"/>
      <c r="DY107" s="359"/>
      <c r="DZ107" s="359"/>
      <c r="EA107" s="359"/>
      <c r="EB107" s="359"/>
      <c r="EC107" s="769">
        <f t="shared" si="190"/>
        <v>175</v>
      </c>
      <c r="ED107" s="889">
        <f t="shared" si="191"/>
        <v>0</v>
      </c>
      <c r="EE107" s="890"/>
      <c r="EF107" s="476">
        <f>GF107</f>
        <v>0</v>
      </c>
      <c r="EG107" s="889">
        <f t="shared" si="192"/>
        <v>0</v>
      </c>
      <c r="EH107" s="890"/>
      <c r="EI107" s="506">
        <f>GM107</f>
        <v>0</v>
      </c>
      <c r="EJ107" s="373"/>
      <c r="EK107" s="373"/>
      <c r="EL107" s="366"/>
      <c r="EM107" s="366"/>
      <c r="EN107" s="364">
        <f>+EN101+1</f>
        <v>10</v>
      </c>
      <c r="EO107" s="356">
        <f>+VLOOKUP(EN107, PRECIOS_EJERCICIOS,  2,FALSE)</f>
        <v>175</v>
      </c>
      <c r="EP107" s="513" t="str">
        <f>+IF($AQ$49 = FALSE, "",
IF(VLOOKUP(EO107, basesCantPrimaBrutoRes, 2,FALSE) &gt;= 0, VLOOKUP(EO107, basesCantPrimaBrutoRes, 2,FALSE), 0))</f>
        <v/>
      </c>
      <c r="EQ107" s="514" t="str">
        <f>+IF($AQ$49 = FALSE, "",
IF(VLOOKUP(EO107, basesCantPrimaBrutoRes, 2,FALSE) &lt; 0, -VLOOKUP(EO107, basesCantPrimaBrutoRes, 2,FALSE), 0))</f>
        <v/>
      </c>
      <c r="ER107" s="521" t="str">
        <f>IF($AQ$49 = FALSE, "",
VLOOKUP(EO107, basesCantPrimaBrutoRes, 4,FALSE))</f>
        <v/>
      </c>
      <c r="ES107" s="926">
        <f>IF(ER107 = "", 0,
IF(AND(EP107 &gt; 0, EQ107 &gt;0), 0, IF(EO107 &lt;&gt; $Z$1,
IF(AND(EP107 &lt;&gt; "", EP107 &lt;&gt; 0), -(EP107 * ER107 * 100),
IF(AND(EQ107 &lt;&gt; "", EQ107 &lt;&gt; 0), (EQ107 * ER107 * 100), 0)),
IF(AND(EP107 &lt;&gt; "", EP107 &lt;&gt; 0), -(EP107 * ER107 * 1),
IF(AND(EQ107 &lt;&gt; "", EQ107 &lt;&gt; 0), (EQ107 * ER107 * 1), 0))  )))</f>
        <v>0</v>
      </c>
      <c r="ET107" s="927"/>
      <c r="EU107" s="928"/>
      <c r="EV107" s="926">
        <f>IF(ER107 = "", 0,
IF(AND(EP107 &gt; 0, EQ107 &gt;0), 0,  IF(EO107 &lt;&gt; $Z$1,
IF(AND(EP107 &lt;&gt; "", EP107 &lt;&gt; 0), -(EP107 * ER107 * 100 * (1 + COMIS_OPCION)),
IF(AND(EQ107 &lt;&gt; "", EQ107 &lt;&gt; 0), (EQ107 * ER107 * 100 * (1 - COMIS_OPCION)), 0)),
IF(AND(EP107 &lt;&gt; "", EP107 &lt;&gt; 0), -(EP107 * ER107 * 1 * (1 + COMIS_ACCION)),
IF(AND(EQ107 &lt;&gt; "", EQ107 &lt;&gt; 0), (EQ107 * ER107 * 1 * (1 - COMIS_ACCION)), 0))  )))</f>
        <v>0</v>
      </c>
      <c r="EW107" s="927"/>
      <c r="EX107" s="927"/>
      <c r="EY107" s="927"/>
      <c r="EZ107" s="927"/>
      <c r="FA107" s="927"/>
      <c r="FB107" s="927"/>
      <c r="FC107" s="927"/>
      <c r="FD107" s="929"/>
      <c r="FE107" s="340"/>
      <c r="FF107" s="340"/>
      <c r="FG107" s="364"/>
      <c r="FH107" s="364">
        <f>+FH101+1</f>
        <v>10</v>
      </c>
      <c r="FI107" s="357">
        <f>+VLOOKUP(FH107, PRECIOS_EJERCICIOS,  2,FALSE)</f>
        <v>175</v>
      </c>
      <c r="FJ107" s="515" t="str">
        <f>+IF($AQ$49 = FALSE, "",
IF(VLOOKUP(EO107, basesCantPrimaBrutoRes, 5,FALSE) &gt;= 0, VLOOKUP(EO107, basesCantPrimaBrutoRes, 5,FALSE), 0))</f>
        <v/>
      </c>
      <c r="FK107" s="516" t="str">
        <f>+IF($AQ$49 = FALSE, "",
IF(VLOOKUP(EO107, basesCantPrimaBrutoRes, 5,FALSE) &lt; 0, -VLOOKUP(EO107, basesCantPrimaBrutoRes, 5,FALSE), 0))</f>
        <v/>
      </c>
      <c r="FL107" s="517" t="str">
        <f>IF($AQ$49 = FALSE, "",
VLOOKUP(EO107, basesCantPrimaBrutoRes, 7,FALSE))</f>
        <v/>
      </c>
      <c r="FM107" s="934">
        <f>IF(FL107 = "", 0,
IF(AND(FJ107 &gt; 0, FK107 &gt;0), 0,
IF(AND(FJ107 &lt;&gt; "", FJ107 &lt;&gt; 0), -(FJ107 * FL107 * 100),
IF(AND(FK107 &lt;&gt; "", FK107 &lt;&gt; 0), (FK107 * FL107 * 100), 0)) ))</f>
        <v>0</v>
      </c>
      <c r="FN107" s="935"/>
      <c r="FO107" s="936"/>
      <c r="FP107" s="934">
        <f>IF(FL107 = "", 0,
IF(AND(FJ107 &gt; 0, FK107 &gt;0), 0,
IF(AND(FJ107 &lt;&gt; "", FJ107 &lt;&gt; 0), -(FJ107 * FL107 * 100 * (1 + COMIS_OPCION)),
IF(AND(FK107 &lt;&gt; "", FK107 &lt;&gt; 0), (FK107 * FL107 * 100 * (1 - COMIS_OPCION)), 0)) ))</f>
        <v>0</v>
      </c>
      <c r="FQ107" s="935"/>
      <c r="FR107" s="935"/>
      <c r="FS107" s="935"/>
      <c r="FT107" s="935"/>
      <c r="FU107" s="935"/>
      <c r="FV107" s="935"/>
      <c r="FW107" s="935"/>
      <c r="FX107" s="966"/>
      <c r="FY107" s="341"/>
      <c r="FZ107" s="341"/>
      <c r="GA107" s="341"/>
      <c r="GB107" s="495">
        <f>+IF(EN107 = "", "", EO107)</f>
        <v>175</v>
      </c>
      <c r="GC107" s="495" t="str">
        <f>+IF(GB107="", "", IF(EO107 = $Z$1, "ACCION", "CALL"))</f>
        <v>CALL</v>
      </c>
      <c r="GD107" s="500"/>
      <c r="GE107" s="495">
        <f>+IF(GB107= "", "", EO109)</f>
        <v>0</v>
      </c>
      <c r="GF107" s="495">
        <f>+IF(GB107 = "", "", IFERROR(IF(GB107 &lt;&gt; $Z$1,
IF(GE107 &gt; 0, SUMIFS(ES107:ES111, EP107:EP111, "&gt;0", ES107:ES111, "&lt;&gt;0") / SUMIFS(EP107:EP111, EP107:EP111, "&gt;0", ES107:ES111, "&lt;&gt;0") / -100,
IF(GE107 &lt; 0, SUMIFS(ES107:ES111, EQ107:EQ111, "&gt;0", ES107:ES111, "&lt;&gt;0") / SUMIFS(EQ107:EQ111, EQ107:EQ111, "&gt;0", ES107:ES111, "&lt;&gt;0") / 100, 0)),
IF(GE107 &gt; 0, SUMIFS(ES107:ES111, EP107:EP111, "&gt;0", ES107:ES111, "&lt;&gt;0") / SUMIFS(EP107:EP111, EP107:EP111, "&gt;0", ES107:ES111, "&lt;&gt;0") / -1,
IF(GE107 &lt; 0, SUMIFS(ES107:ES111, EQ107:EQ111, "&gt;0", ES107:ES111, "&lt;&gt;0") / SUMIFS(EQ107:EQ111, EQ107:EQ111, "&gt;0", ES107:ES111, "&lt;&gt;0") / 1, 0)) ), 0))</f>
        <v>0</v>
      </c>
      <c r="GG107" s="495">
        <f>+IF(GB107 = "", "", IFERROR(IF(GB107 &lt;&gt; $Z$1,
IF(GE107 &gt; 0, SUMIFS(EV107:EV111, EP107:EP111, "&gt;0", EV107:EV111, "&lt;&gt;0") / SUMIFS(EP107:EP111, EP107:EP111, "&gt;0", EV107:EV111, "&lt;&gt;0") / -100,
IF(GE107 &lt; 0, SUMIFS(EV107:EV111, EQ107:EQ111, "&gt;0", EV107:EV111, "&lt;&gt;0") / SUMIFS(EQ107:EQ111, EQ107:EQ111, "&gt;0", EV107:EV111, "&lt;&gt;0") / 100, 0)),
IF(GE107 &gt; 0, SUMIFS(EV107:EV111, EP107:EP111, "&gt;0", EV107:EV111, "&lt;&gt;0") / SUMIFS(EP107:EP111, EP107:EP111, "&gt;0", EV107:EV111, "&lt;&gt;0") / -1,
IF(GE107 &lt; 0, SUMIFS(EV107:EV111, EQ107:EQ111, "&gt;0", EV107:EV111, "&lt;&gt;0") / SUMIFS(EQ107:EQ111, EQ107:EQ111, "&gt;0", EV107:EV111, "&lt;&gt;0") / 1, 0)) ), 0))</f>
        <v>0</v>
      </c>
      <c r="GH107" s="359"/>
      <c r="GI107" s="359"/>
      <c r="GJ107" s="501"/>
      <c r="GK107" s="495" t="str">
        <f>+IF(GB107="", "", "PUT")</f>
        <v>PUT</v>
      </c>
      <c r="GL107" s="495">
        <f>+IF(GB107 = "", "", FI109)</f>
        <v>0</v>
      </c>
      <c r="GM107" s="495">
        <f>+IF(GB107 = "", "", IFERROR(
IF(FI109 &gt; 0, SUMIFS(FM107:FM111, FJ107:FJ111, "&gt;0", FM107:FM111, "&lt;&gt;0") / SUMIFS(FJ107:FJ111, FJ107:FJ111, "&gt;0", FM107:FM111, "&lt;&gt;0") / -100,
IF(FI109 &lt; 0, SUMIFS(FM107:FM111, FK107:FK111, "&gt;0", FM107:FM111, "&lt;&gt;0") / SUMIFS(FK107:FK111, FK107:FK111, "&gt;0", FM107:FM111, "&lt;&gt;0") / 100, 0)), 0) )</f>
        <v>0</v>
      </c>
      <c r="GN107" s="359"/>
      <c r="GO107" s="359"/>
      <c r="GP107" s="501"/>
      <c r="GQ107" s="502">
        <f>+IF(GB107 = "", "", IFERROR(
IF(FI109 &gt; 0, SUMIFS(FP107:FP111, FJ107:FJ111, "&gt;0", FP107:FP111, "&lt;&gt;0") / SUMIFS(FJ107:FJ111, FJ107:FJ111, "&gt;0", FP107:FP111, "&lt;&gt;0") / -100,
IF(FI109 &lt; 0, SUMIFS(FP107:FP111, FK107:FK111, "&gt;0", FP107:FP111, "&lt;&gt;0") / SUMIFS(FK107:FK111, FK107:FK111, "&gt;0", FP107:FP111, "&lt;&gt;0") / 100, 0)), 0))</f>
        <v>0</v>
      </c>
      <c r="GR107" s="359"/>
      <c r="GS107" s="333"/>
      <c r="GT107" s="333"/>
      <c r="GU107" s="333"/>
      <c r="GV107" s="333"/>
      <c r="GW107" s="333"/>
      <c r="GX107" s="333"/>
      <c r="GY107" s="333"/>
      <c r="GZ107" s="333"/>
      <c r="HA107" s="333"/>
      <c r="HB107" s="333"/>
      <c r="HC107" s="333"/>
      <c r="HD107" s="333"/>
      <c r="HE107" s="333"/>
      <c r="HF107" s="333"/>
      <c r="HG107" s="331"/>
      <c r="HH107" s="331"/>
      <c r="HI107" s="331"/>
      <c r="HJ107" s="331"/>
      <c r="HK107" s="331"/>
      <c r="HL107" s="331"/>
      <c r="HM107" s="331"/>
      <c r="HN107" s="333"/>
      <c r="HO107" s="333"/>
      <c r="HP107" s="333"/>
      <c r="HQ107" s="333"/>
      <c r="HR107" s="333"/>
      <c r="HS107" s="333"/>
      <c r="HT107" s="333"/>
      <c r="HU107" s="333"/>
      <c r="HV107" s="333"/>
      <c r="HW107" s="333"/>
      <c r="HX107" s="333"/>
      <c r="HY107" s="333"/>
      <c r="HZ107" s="333"/>
      <c r="IA107" s="333"/>
      <c r="IB107" s="333"/>
      <c r="IC107" s="333"/>
      <c r="ID107" s="55"/>
      <c r="IE107" s="47"/>
      <c r="IF107" s="52"/>
    </row>
    <row r="108" spans="13:290" s="142" customFormat="1" ht="15" customHeight="1">
      <c r="M108" s="333"/>
      <c r="N108" s="333"/>
      <c r="O108" s="333"/>
      <c r="P108" s="333"/>
      <c r="Q108" s="333"/>
      <c r="R108" s="333"/>
      <c r="S108" s="333"/>
      <c r="T108" s="333"/>
      <c r="U108" s="333"/>
      <c r="V108" s="333"/>
      <c r="W108" s="333"/>
      <c r="X108" s="333"/>
      <c r="Y108" s="333"/>
      <c r="Z108" s="333"/>
      <c r="AA108" s="333"/>
      <c r="AB108" s="333"/>
      <c r="AC108" s="333"/>
      <c r="AD108" s="333"/>
      <c r="AE108" s="333"/>
      <c r="AF108" s="333"/>
      <c r="AG108" s="333"/>
      <c r="AH108" s="333"/>
      <c r="AI108" s="333"/>
      <c r="AJ108" s="333"/>
      <c r="AK108" s="333"/>
      <c r="AL108" s="333"/>
      <c r="AM108" s="333"/>
      <c r="AN108" s="333"/>
      <c r="AO108" s="333"/>
      <c r="AP108" s="333"/>
      <c r="AQ108" s="333"/>
      <c r="AR108" s="333"/>
      <c r="AS108" s="333"/>
      <c r="AT108" s="333"/>
      <c r="AU108" s="333"/>
      <c r="AV108" s="333"/>
      <c r="AW108" s="333"/>
      <c r="AX108" s="333"/>
      <c r="AY108" s="333"/>
      <c r="AZ108" s="333"/>
      <c r="BA108" s="333"/>
      <c r="BB108" s="333"/>
      <c r="BC108" s="333"/>
      <c r="BD108" s="333"/>
      <c r="BE108" s="333"/>
      <c r="BF108" s="333"/>
      <c r="BG108" s="333"/>
      <c r="BH108" s="333"/>
      <c r="BI108" s="333"/>
      <c r="BJ108" s="333"/>
      <c r="BK108" s="333"/>
      <c r="BL108" s="333"/>
      <c r="BM108" s="333"/>
      <c r="BN108" s="333"/>
      <c r="BO108" s="333"/>
      <c r="BP108" s="333"/>
      <c r="BQ108" s="333"/>
      <c r="BR108" s="333"/>
      <c r="BS108" s="333"/>
      <c r="BT108" s="333"/>
      <c r="BU108" s="333"/>
      <c r="BV108" s="333"/>
      <c r="BW108" s="333"/>
      <c r="BX108" s="333"/>
      <c r="BY108" s="333"/>
      <c r="BZ108" s="333"/>
      <c r="CA108" s="333"/>
      <c r="CB108" s="333"/>
      <c r="CC108" s="333"/>
      <c r="CD108" s="333"/>
      <c r="CE108" s="333"/>
      <c r="CF108" s="333"/>
      <c r="CG108" s="333"/>
      <c r="CH108" s="333"/>
      <c r="CI108" s="333"/>
      <c r="CJ108" s="333"/>
      <c r="CK108" s="333"/>
      <c r="CL108" s="333"/>
      <c r="CM108" s="333"/>
      <c r="CN108" s="333"/>
      <c r="CO108" s="333"/>
      <c r="CP108" s="333"/>
      <c r="CQ108" s="333"/>
      <c r="CR108" s="333"/>
      <c r="CS108" s="333"/>
      <c r="CT108" s="333"/>
      <c r="CU108" s="333"/>
      <c r="CV108" s="333"/>
      <c r="CW108" s="333"/>
      <c r="CX108" s="333"/>
      <c r="CY108" s="333"/>
      <c r="CZ108" s="333"/>
      <c r="DA108" s="333"/>
      <c r="DB108" s="333"/>
      <c r="DC108" s="333"/>
      <c r="DD108" s="333"/>
      <c r="DE108" s="333"/>
      <c r="DF108" s="333"/>
      <c r="DG108" s="333"/>
      <c r="DH108" s="333"/>
      <c r="DI108" s="333"/>
      <c r="DJ108" s="333"/>
      <c r="DK108" s="333"/>
      <c r="DL108" s="333"/>
      <c r="DM108" s="333"/>
      <c r="DN108" s="333"/>
      <c r="DO108" s="333"/>
      <c r="DP108" s="333"/>
      <c r="DQ108" s="333"/>
      <c r="DR108" s="333"/>
      <c r="DS108" s="333"/>
      <c r="DT108" s="333"/>
      <c r="DU108" s="359"/>
      <c r="DV108" s="359"/>
      <c r="DW108" s="359"/>
      <c r="DX108" s="359"/>
      <c r="DY108" s="359"/>
      <c r="DZ108" s="359"/>
      <c r="EA108" s="359"/>
      <c r="EB108" s="359"/>
      <c r="EC108" s="769">
        <f t="shared" si="190"/>
        <v>180</v>
      </c>
      <c r="ED108" s="889">
        <f t="shared" si="191"/>
        <v>0</v>
      </c>
      <c r="EE108" s="890"/>
      <c r="EF108" s="476">
        <f>GF113</f>
        <v>0</v>
      </c>
      <c r="EG108" s="889">
        <f t="shared" si="192"/>
        <v>0</v>
      </c>
      <c r="EH108" s="890"/>
      <c r="EI108" s="506">
        <f>GM113</f>
        <v>0</v>
      </c>
      <c r="EJ108" s="373"/>
      <c r="EK108" s="373"/>
      <c r="EL108" s="366"/>
      <c r="EM108" s="366"/>
      <c r="EN108" s="364"/>
      <c r="EO108" s="351"/>
      <c r="EP108" s="347"/>
      <c r="EQ108" s="342"/>
      <c r="ER108" s="522"/>
      <c r="ES108" s="916">
        <f>IF(ER108 = "", 0,
IF(AND(EP108 &gt; 0, EQ108 &gt;0), 0, IF(EO107 &lt;&gt; $Z$1,
IF(AND(EP108 &lt;&gt; "", EP108 &lt;&gt; 0), -(EP108 * ER108 * 100),
IF(AND(EQ108 &lt;&gt; "", EQ108 &lt;&gt; 0), (EQ108 * ER108 * 100), 0)),
IF(AND(EP108 &lt;&gt; "", EP108 &lt;&gt; 0), -(EP108 * ER108 * 1),
IF(AND(EQ108 &lt;&gt; "", EQ108 &lt;&gt; 0), (EQ108 * ER108 * 1), 0))  )))</f>
        <v>0</v>
      </c>
      <c r="ET108" s="917"/>
      <c r="EU108" s="918"/>
      <c r="EV108" s="916">
        <f>IF(ER108 = "", 0,
IF(AND(EP108 &gt; 0, EQ108 &gt;0), 0,  IF(EO107 &lt;&gt; $Z$1,
IF(AND(EP108 &lt;&gt; "", EP108 &lt;&gt; 0), -(EP108 * ER108 * 100 * (1 + COMIS_OPCION)),
IF(AND(EQ108 &lt;&gt; "", EQ108 &lt;&gt; 0), (EQ108 * ER108 * 100 * (1 - COMIS_OPCION)), 0)),
IF(AND(EP108 &lt;&gt; "", EP108 &lt;&gt; 0), -(EP108 * ER108 * 1 * (1 + COMIS_ACCION)),
IF(AND(EQ108 &lt;&gt; "", EQ108 &lt;&gt; 0), (EQ108 * ER108 * 1 * (1 - COMIS_ACCION)), 0))  )))</f>
        <v>0</v>
      </c>
      <c r="EW108" s="917"/>
      <c r="EX108" s="917"/>
      <c r="EY108" s="917"/>
      <c r="EZ108" s="917"/>
      <c r="FA108" s="917"/>
      <c r="FB108" s="917"/>
      <c r="FC108" s="917"/>
      <c r="FD108" s="925"/>
      <c r="FE108" s="340"/>
      <c r="FF108" s="340"/>
      <c r="FG108" s="364"/>
      <c r="FH108" s="364"/>
      <c r="FI108" s="339"/>
      <c r="FJ108" s="347"/>
      <c r="FK108" s="342"/>
      <c r="FL108" s="343"/>
      <c r="FM108" s="930">
        <f>IF(FL108 = "", 0,
IF(AND(FJ108 &gt; 0, FK108 &gt;0), 0,
IF(AND(FJ108 &lt;&gt; "", FJ108 &lt;&gt; 0), -(FJ108 * FL108 * 100),
IF(AND(FK108 &lt;&gt; "", FK108 &lt;&gt; 0), (FK108 * FL108 * 100), 0)) ))</f>
        <v>0</v>
      </c>
      <c r="FN108" s="931"/>
      <c r="FO108" s="932"/>
      <c r="FP108" s="930">
        <f>IF(FL108 = "", 0,
IF(AND(FJ108 &gt; 0, FK108 &gt;0), 0,
IF(AND(FJ108 &lt;&gt; "", FJ108 &lt;&gt; 0), -(FJ108 * FL108 * 100 * (1 + COMIS_OPCION)),
IF(AND(FK108 &lt;&gt; "", FK108 &lt;&gt; 0), (FK108 * FL108 * 100 * (1 - COMIS_OPCION)), 0)) ))</f>
        <v>0</v>
      </c>
      <c r="FQ108" s="931"/>
      <c r="FR108" s="931"/>
      <c r="FS108" s="931"/>
      <c r="FT108" s="931"/>
      <c r="FU108" s="931"/>
      <c r="FV108" s="931"/>
      <c r="FW108" s="931"/>
      <c r="FX108" s="933"/>
      <c r="FY108" s="341"/>
      <c r="FZ108" s="341"/>
      <c r="GA108" s="341"/>
      <c r="GB108" s="495">
        <v>0</v>
      </c>
      <c r="GC108" s="495">
        <v>0</v>
      </c>
      <c r="GD108" s="500"/>
      <c r="GE108" s="495">
        <v>0</v>
      </c>
      <c r="GF108" s="495">
        <v>0</v>
      </c>
      <c r="GG108" s="495">
        <v>0</v>
      </c>
      <c r="GH108" s="359"/>
      <c r="GI108" s="359"/>
      <c r="GJ108" s="501"/>
      <c r="GK108" s="495">
        <v>0</v>
      </c>
      <c r="GL108" s="495">
        <v>0</v>
      </c>
      <c r="GM108" s="495">
        <v>0</v>
      </c>
      <c r="GN108" s="359"/>
      <c r="GO108" s="359"/>
      <c r="GP108" s="501"/>
      <c r="GQ108" s="495">
        <v>0</v>
      </c>
      <c r="GR108" s="359"/>
      <c r="GS108" s="333"/>
      <c r="GT108" s="333"/>
      <c r="GU108" s="333"/>
      <c r="GV108" s="333"/>
      <c r="GW108" s="333"/>
      <c r="GX108" s="333"/>
      <c r="GY108" s="333"/>
      <c r="GZ108" s="333"/>
      <c r="HA108" s="333"/>
      <c r="HB108" s="333"/>
      <c r="HC108" s="333"/>
      <c r="HD108" s="333"/>
      <c r="HE108" s="333"/>
      <c r="HF108" s="333"/>
      <c r="HG108" s="331"/>
      <c r="HH108" s="331"/>
      <c r="HI108" s="331"/>
      <c r="HJ108" s="331"/>
      <c r="HK108" s="331"/>
      <c r="HL108" s="331"/>
      <c r="HM108" s="331"/>
      <c r="HN108" s="333"/>
      <c r="HO108" s="333"/>
      <c r="HP108" s="333"/>
      <c r="HQ108" s="333"/>
      <c r="HR108" s="333"/>
      <c r="HS108" s="333"/>
      <c r="HT108" s="333"/>
      <c r="HU108" s="333"/>
      <c r="HV108" s="333"/>
      <c r="HW108" s="333"/>
      <c r="HX108" s="333"/>
      <c r="HY108" s="333"/>
      <c r="HZ108" s="333"/>
      <c r="IA108" s="333"/>
      <c r="IB108" s="333"/>
      <c r="IC108" s="333"/>
      <c r="ID108" s="55"/>
      <c r="IE108" s="47"/>
      <c r="IF108" s="52"/>
    </row>
    <row r="109" spans="13:290" s="142" customFormat="1" ht="15" customHeight="1">
      <c r="M109" s="333"/>
      <c r="N109" s="333"/>
      <c r="O109" s="333"/>
      <c r="P109" s="333"/>
      <c r="Q109" s="333"/>
      <c r="R109" s="333"/>
      <c r="S109" s="333"/>
      <c r="T109" s="333"/>
      <c r="U109" s="333"/>
      <c r="V109" s="333"/>
      <c r="W109" s="333"/>
      <c r="X109" s="333"/>
      <c r="Y109" s="333"/>
      <c r="Z109" s="333"/>
      <c r="AA109" s="333"/>
      <c r="AB109" s="333"/>
      <c r="AC109" s="333"/>
      <c r="AD109" s="333"/>
      <c r="AE109" s="333"/>
      <c r="AF109" s="333"/>
      <c r="AG109" s="333"/>
      <c r="AH109" s="333"/>
      <c r="AI109" s="333"/>
      <c r="AJ109" s="333"/>
      <c r="AK109" s="333"/>
      <c r="AL109" s="333"/>
      <c r="AM109" s="333"/>
      <c r="AN109" s="333"/>
      <c r="AO109" s="333"/>
      <c r="AP109" s="333"/>
      <c r="AQ109" s="333"/>
      <c r="AR109" s="333"/>
      <c r="AS109" s="333"/>
      <c r="AT109" s="333"/>
      <c r="AU109" s="333"/>
      <c r="AV109" s="333"/>
      <c r="AW109" s="333"/>
      <c r="AX109" s="333"/>
      <c r="AY109" s="333"/>
      <c r="AZ109" s="333"/>
      <c r="BA109" s="333"/>
      <c r="BB109" s="333"/>
      <c r="BC109" s="333"/>
      <c r="BD109" s="333"/>
      <c r="BE109" s="333"/>
      <c r="BF109" s="333"/>
      <c r="BG109" s="333"/>
      <c r="BH109" s="333"/>
      <c r="BI109" s="333"/>
      <c r="BJ109" s="333"/>
      <c r="BK109" s="333"/>
      <c r="BL109" s="333"/>
      <c r="BM109" s="333"/>
      <c r="BN109" s="333"/>
      <c r="BO109" s="333"/>
      <c r="BP109" s="333"/>
      <c r="BQ109" s="333"/>
      <c r="BR109" s="333"/>
      <c r="BS109" s="333"/>
      <c r="BT109" s="333"/>
      <c r="BU109" s="333"/>
      <c r="BV109" s="333"/>
      <c r="BW109" s="333"/>
      <c r="BX109" s="333"/>
      <c r="BY109" s="333"/>
      <c r="BZ109" s="333"/>
      <c r="CA109" s="333"/>
      <c r="CB109" s="333"/>
      <c r="CC109" s="333"/>
      <c r="CD109" s="333"/>
      <c r="CE109" s="333"/>
      <c r="CF109" s="333"/>
      <c r="CG109" s="333"/>
      <c r="CH109" s="333"/>
      <c r="CI109" s="333"/>
      <c r="CJ109" s="333"/>
      <c r="CK109" s="333"/>
      <c r="CL109" s="333"/>
      <c r="CM109" s="333"/>
      <c r="CN109" s="333"/>
      <c r="CO109" s="333"/>
      <c r="CP109" s="333"/>
      <c r="CQ109" s="333"/>
      <c r="CR109" s="333"/>
      <c r="CS109" s="333"/>
      <c r="CT109" s="333"/>
      <c r="CU109" s="333"/>
      <c r="CV109" s="333"/>
      <c r="CW109" s="333"/>
      <c r="CX109" s="333"/>
      <c r="CY109" s="333"/>
      <c r="CZ109" s="333"/>
      <c r="DA109" s="333"/>
      <c r="DB109" s="333"/>
      <c r="DC109" s="333"/>
      <c r="DD109" s="333"/>
      <c r="DE109" s="333"/>
      <c r="DF109" s="333"/>
      <c r="DG109" s="333"/>
      <c r="DH109" s="333"/>
      <c r="DI109" s="333"/>
      <c r="DJ109" s="333"/>
      <c r="DK109" s="333"/>
      <c r="DL109" s="333"/>
      <c r="DM109" s="333"/>
      <c r="DN109" s="333"/>
      <c r="DO109" s="333"/>
      <c r="DP109" s="333"/>
      <c r="DQ109" s="333"/>
      <c r="DR109" s="333"/>
      <c r="DS109" s="333"/>
      <c r="DT109" s="333"/>
      <c r="DU109" s="359"/>
      <c r="DV109" s="359"/>
      <c r="DW109" s="359"/>
      <c r="DX109" s="359"/>
      <c r="DY109" s="359"/>
      <c r="DZ109" s="359"/>
      <c r="EA109" s="359"/>
      <c r="EB109" s="359"/>
      <c r="EC109" s="769">
        <f t="shared" si="190"/>
        <v>185</v>
      </c>
      <c r="ED109" s="889">
        <f t="shared" si="191"/>
        <v>0</v>
      </c>
      <c r="EE109" s="890"/>
      <c r="EF109" s="476">
        <f>GF119</f>
        <v>0</v>
      </c>
      <c r="EG109" s="889">
        <f t="shared" si="192"/>
        <v>0</v>
      </c>
      <c r="EH109" s="890"/>
      <c r="EI109" s="506">
        <f>GM119</f>
        <v>0</v>
      </c>
      <c r="EJ109" s="373"/>
      <c r="EK109" s="373"/>
      <c r="EL109" s="366"/>
      <c r="EM109" s="368"/>
      <c r="EN109" s="365"/>
      <c r="EO109" s="352">
        <f>+SUM(EP107:EP111) - SUM(EQ107:EQ111)</f>
        <v>0</v>
      </c>
      <c r="EP109" s="347"/>
      <c r="EQ109" s="342"/>
      <c r="ER109" s="522"/>
      <c r="ES109" s="916">
        <f>IF(ER109 = "", 0,
IF(AND(EP109 &gt; 0, EQ109 &gt;0), 0, IF(EO107 &lt;&gt; $Z$1,
IF(AND(EP109 &lt;&gt; "", EP109 &lt;&gt; 0), -(EP109 * ER109 * 100),
IF(AND(EQ109 &lt;&gt; "", EQ109 &lt;&gt; 0), (EQ109 * ER109 * 100), 0)),
IF(AND(EP109 &lt;&gt; "", EP109 &lt;&gt; 0), -(EP109 * ER109 * 1),
IF(AND(EQ109 &lt;&gt; "", EQ109 &lt;&gt; 0), (EQ109 * ER109 * 1), 0))  )))</f>
        <v>0</v>
      </c>
      <c r="ET109" s="917"/>
      <c r="EU109" s="918"/>
      <c r="EV109" s="916">
        <f>IF(ER109 = "", 0,
IF(AND(EP109 &gt; 0, EQ109 &gt;0), 0,  IF(EO107 &lt;&gt; $Z$1,
IF(AND(EP109 &lt;&gt; "", EP109 &lt;&gt; 0), -(EP109 * ER109 * 100 * (1 + COMIS_OPCION)),
IF(AND(EQ109 &lt;&gt; "", EQ109 &lt;&gt; 0), (EQ109 * ER109 * 100 * (1 - COMIS_OPCION)), 0)),
IF(AND(EP109 &lt;&gt; "", EP109 &lt;&gt; 0), -(EP109 * ER109 * 1 * (1 + COMIS_ACCION)),
IF(AND(EQ109 &lt;&gt; "", EQ109 &lt;&gt; 0), (EQ109 * ER109 * 1 * (1 - COMIS_ACCION)), 0))  )))</f>
        <v>0</v>
      </c>
      <c r="EW109" s="917"/>
      <c r="EX109" s="917"/>
      <c r="EY109" s="917"/>
      <c r="EZ109" s="917"/>
      <c r="FA109" s="917"/>
      <c r="FB109" s="917"/>
      <c r="FC109" s="917"/>
      <c r="FD109" s="925"/>
      <c r="FE109" s="340"/>
      <c r="FF109" s="340"/>
      <c r="FG109" s="365"/>
      <c r="FH109" s="365"/>
      <c r="FI109" s="354">
        <f>+SUM(FJ107:FJ111) - SUM(FK107:FK111)</f>
        <v>0</v>
      </c>
      <c r="FJ109" s="347"/>
      <c r="FK109" s="342"/>
      <c r="FL109" s="343"/>
      <c r="FM109" s="930">
        <f>IF(FL109 = "", 0,
IF(AND(FJ109 &gt; 0, FK109 &gt;0), 0,
IF(AND(FJ109 &lt;&gt; "", FJ109 &lt;&gt; 0), -(FJ109 * FL109 * 100),
IF(AND(FK109 &lt;&gt; "", FK109 &lt;&gt; 0), (FK109 * FL109 * 100), 0)) ))</f>
        <v>0</v>
      </c>
      <c r="FN109" s="931"/>
      <c r="FO109" s="932"/>
      <c r="FP109" s="930">
        <f>IF(FL109 = "", 0,
IF(AND(FJ109 &gt; 0, FK109 &gt;0), 0,
IF(AND(FJ109 &lt;&gt; "", FJ109 &lt;&gt; 0), -(FJ109 * FL109 * 100 * (1 + COMIS_OPCION)),
IF(AND(FK109 &lt;&gt; "", FK109 &lt;&gt; 0), (FK109 * FL109 * 100 * (1 - COMIS_OPCION)), 0)) ))</f>
        <v>0</v>
      </c>
      <c r="FQ109" s="931"/>
      <c r="FR109" s="931"/>
      <c r="FS109" s="931"/>
      <c r="FT109" s="931"/>
      <c r="FU109" s="931"/>
      <c r="FV109" s="931"/>
      <c r="FW109" s="931"/>
      <c r="FX109" s="933"/>
      <c r="FY109" s="341"/>
      <c r="FZ109" s="341"/>
      <c r="GA109" s="341"/>
      <c r="GB109" s="495">
        <v>0</v>
      </c>
      <c r="GC109" s="495">
        <v>0</v>
      </c>
      <c r="GD109" s="500"/>
      <c r="GE109" s="495">
        <v>0</v>
      </c>
      <c r="GF109" s="495">
        <v>0</v>
      </c>
      <c r="GG109" s="495">
        <v>0</v>
      </c>
      <c r="GH109" s="359"/>
      <c r="GI109" s="359"/>
      <c r="GJ109" s="501"/>
      <c r="GK109" s="495">
        <v>0</v>
      </c>
      <c r="GL109" s="495">
        <v>0</v>
      </c>
      <c r="GM109" s="495">
        <v>0</v>
      </c>
      <c r="GN109" s="359"/>
      <c r="GO109" s="359"/>
      <c r="GP109" s="501"/>
      <c r="GQ109" s="495">
        <v>0</v>
      </c>
      <c r="GR109" s="359"/>
      <c r="GS109" s="333"/>
      <c r="GT109" s="333"/>
      <c r="GU109" s="333"/>
      <c r="GV109" s="333"/>
      <c r="GW109" s="333"/>
      <c r="GX109" s="333"/>
      <c r="GY109" s="333"/>
      <c r="GZ109" s="333"/>
      <c r="HA109" s="333"/>
      <c r="HB109" s="333"/>
      <c r="HC109" s="333"/>
      <c r="HD109" s="333"/>
      <c r="HE109" s="333"/>
      <c r="HF109" s="333"/>
      <c r="HG109" s="331"/>
      <c r="HH109" s="331"/>
      <c r="HI109" s="331"/>
      <c r="HJ109" s="331"/>
      <c r="HK109" s="331"/>
      <c r="HL109" s="331"/>
      <c r="HM109" s="331"/>
      <c r="HN109" s="333"/>
      <c r="HO109" s="333"/>
      <c r="HP109" s="333"/>
      <c r="HQ109" s="333"/>
      <c r="HR109" s="333"/>
      <c r="HS109" s="333"/>
      <c r="HT109" s="333"/>
      <c r="HU109" s="333"/>
      <c r="HV109" s="333"/>
      <c r="HW109" s="333"/>
      <c r="HX109" s="333"/>
      <c r="HY109" s="333"/>
      <c r="HZ109" s="333"/>
      <c r="IA109" s="333"/>
      <c r="IB109" s="333"/>
      <c r="IC109" s="333"/>
      <c r="ID109" s="55"/>
      <c r="IE109" s="47"/>
      <c r="IF109" s="52"/>
    </row>
    <row r="110" spans="13:290" s="142" customFormat="1" ht="15" customHeight="1">
      <c r="M110" s="333"/>
      <c r="N110" s="333"/>
      <c r="O110" s="333"/>
      <c r="P110" s="333"/>
      <c r="Q110" s="333"/>
      <c r="R110" s="333"/>
      <c r="S110" s="333"/>
      <c r="T110" s="333"/>
      <c r="U110" s="333"/>
      <c r="V110" s="333"/>
      <c r="W110" s="333"/>
      <c r="X110" s="333"/>
      <c r="Y110" s="333"/>
      <c r="Z110" s="333"/>
      <c r="AA110" s="333"/>
      <c r="AB110" s="333"/>
      <c r="AC110" s="333"/>
      <c r="AD110" s="333"/>
      <c r="AE110" s="333"/>
      <c r="AF110" s="333"/>
      <c r="AG110" s="333"/>
      <c r="AH110" s="333"/>
      <c r="AI110" s="333"/>
      <c r="AJ110" s="333"/>
      <c r="AK110" s="333"/>
      <c r="AL110" s="333"/>
      <c r="AM110" s="333"/>
      <c r="AN110" s="333"/>
      <c r="AO110" s="333"/>
      <c r="AP110" s="333"/>
      <c r="AQ110" s="333"/>
      <c r="AR110" s="333"/>
      <c r="AS110" s="333"/>
      <c r="AT110" s="333"/>
      <c r="AU110" s="333"/>
      <c r="AV110" s="333"/>
      <c r="AW110" s="333"/>
      <c r="AX110" s="333"/>
      <c r="AY110" s="333"/>
      <c r="AZ110" s="333"/>
      <c r="BA110" s="333"/>
      <c r="BB110" s="333"/>
      <c r="BC110" s="333"/>
      <c r="BD110" s="333"/>
      <c r="BE110" s="333"/>
      <c r="BF110" s="333"/>
      <c r="BG110" s="333"/>
      <c r="BH110" s="333"/>
      <c r="BI110" s="333"/>
      <c r="BJ110" s="333"/>
      <c r="BK110" s="333"/>
      <c r="BL110" s="333"/>
      <c r="BM110" s="333"/>
      <c r="BN110" s="333"/>
      <c r="BO110" s="333"/>
      <c r="BP110" s="333"/>
      <c r="BQ110" s="333"/>
      <c r="BR110" s="333"/>
      <c r="BS110" s="333"/>
      <c r="BT110" s="333"/>
      <c r="BU110" s="333"/>
      <c r="BV110" s="333"/>
      <c r="BW110" s="333"/>
      <c r="BX110" s="333"/>
      <c r="BY110" s="333"/>
      <c r="BZ110" s="333"/>
      <c r="CA110" s="333"/>
      <c r="CB110" s="333"/>
      <c r="CC110" s="333"/>
      <c r="CD110" s="333"/>
      <c r="CE110" s="333"/>
      <c r="CF110" s="333"/>
      <c r="CG110" s="333"/>
      <c r="CH110" s="333"/>
      <c r="CI110" s="333"/>
      <c r="CJ110" s="333"/>
      <c r="CK110" s="333"/>
      <c r="CL110" s="333"/>
      <c r="CM110" s="333"/>
      <c r="CN110" s="333"/>
      <c r="CO110" s="333"/>
      <c r="CP110" s="333"/>
      <c r="CQ110" s="333"/>
      <c r="CR110" s="333"/>
      <c r="CS110" s="333"/>
      <c r="CT110" s="333"/>
      <c r="CU110" s="333"/>
      <c r="CV110" s="333"/>
      <c r="CW110" s="333"/>
      <c r="CX110" s="333"/>
      <c r="CY110" s="333"/>
      <c r="CZ110" s="333"/>
      <c r="DA110" s="333"/>
      <c r="DB110" s="333"/>
      <c r="DC110" s="333"/>
      <c r="DD110" s="333"/>
      <c r="DE110" s="333"/>
      <c r="DF110" s="333"/>
      <c r="DG110" s="333"/>
      <c r="DH110" s="333"/>
      <c r="DI110" s="333"/>
      <c r="DJ110" s="333"/>
      <c r="DK110" s="333"/>
      <c r="DL110" s="333"/>
      <c r="DM110" s="333"/>
      <c r="DN110" s="333"/>
      <c r="DO110" s="333"/>
      <c r="DP110" s="333"/>
      <c r="DQ110" s="333"/>
      <c r="DR110" s="333"/>
      <c r="DS110" s="333"/>
      <c r="DT110" s="333"/>
      <c r="DU110" s="359"/>
      <c r="DV110" s="359"/>
      <c r="DW110" s="359"/>
      <c r="DX110" s="359"/>
      <c r="DY110" s="359"/>
      <c r="DZ110" s="359"/>
      <c r="EA110" s="359"/>
      <c r="EB110" s="359"/>
      <c r="EC110" s="769">
        <f t="shared" si="190"/>
        <v>190</v>
      </c>
      <c r="ED110" s="889">
        <f t="shared" si="191"/>
        <v>0</v>
      </c>
      <c r="EE110" s="890"/>
      <c r="EF110" s="476">
        <f>GF125</f>
        <v>0</v>
      </c>
      <c r="EG110" s="889">
        <f t="shared" si="192"/>
        <v>0</v>
      </c>
      <c r="EH110" s="890"/>
      <c r="EI110" s="506">
        <f>GM125</f>
        <v>0</v>
      </c>
      <c r="EJ110" s="373"/>
      <c r="EK110" s="373"/>
      <c r="EL110" s="366"/>
      <c r="EM110" s="368"/>
      <c r="EN110" s="365"/>
      <c r="EO110" s="352">
        <f>IF(EO109=0, 0, SUM(EV107:FD111))</f>
        <v>0</v>
      </c>
      <c r="EP110" s="347"/>
      <c r="EQ110" s="342"/>
      <c r="ER110" s="522"/>
      <c r="ES110" s="916">
        <f>IF(ER110 = "", 0,
IF(AND(EP110 &gt; 0, EQ110 &gt;0), 0, IF(EO107 &lt;&gt; $Z$1,
IF(AND(EP110 &lt;&gt; "", EP110 &lt;&gt; 0), -(EP110 * ER110 * 100),
IF(AND(EQ110 &lt;&gt; "", EQ110 &lt;&gt; 0), (EQ110 * ER110 * 100), 0)),
IF(AND(EP110 &lt;&gt; "", EP110 &lt;&gt; 0), -(EP110 * ER110 * 1),
IF(AND(EQ110 &lt;&gt; "", EQ110 &lt;&gt; 0), (EQ110 * ER110 * 1), 0))  )))</f>
        <v>0</v>
      </c>
      <c r="ET110" s="917"/>
      <c r="EU110" s="918"/>
      <c r="EV110" s="916">
        <f>IF(ER110 = "", 0,
IF(AND(EP110 &gt; 0, EQ110 &gt;0), 0,  IF(EO107 &lt;&gt; $Z$1,
IF(AND(EP110 &lt;&gt; "", EP110 &lt;&gt; 0), -(EP110 * ER110 * 100 * (1 + COMIS_OPCION)),
IF(AND(EQ110 &lt;&gt; "", EQ110 &lt;&gt; 0), (EQ110 * ER110 * 100 * (1 - COMIS_OPCION)), 0)),
IF(AND(EP110 &lt;&gt; "", EP110 &lt;&gt; 0), -(EP110 * ER110 * 1 * (1 + COMIS_ACCION)),
IF(AND(EQ110 &lt;&gt; "", EQ110 &lt;&gt; 0), (EQ110 * ER110 * 1 * (1 - COMIS_ACCION)), 0))  )))</f>
        <v>0</v>
      </c>
      <c r="EW110" s="917"/>
      <c r="EX110" s="917"/>
      <c r="EY110" s="917"/>
      <c r="EZ110" s="917"/>
      <c r="FA110" s="917"/>
      <c r="FB110" s="917"/>
      <c r="FC110" s="917"/>
      <c r="FD110" s="925"/>
      <c r="FE110" s="340"/>
      <c r="FF110" s="340"/>
      <c r="FG110" s="365"/>
      <c r="FH110" s="365"/>
      <c r="FI110" s="354">
        <f>IF(FI109=0, 0, SUM(FP107:FX111))</f>
        <v>0</v>
      </c>
      <c r="FJ110" s="347"/>
      <c r="FK110" s="342"/>
      <c r="FL110" s="343"/>
      <c r="FM110" s="930">
        <f>IF(FL110 = "", 0,
IF(AND(FJ110 &gt; 0, FK110 &gt;0), 0,
IF(AND(FJ110 &lt;&gt; "", FJ110 &lt;&gt; 0), -(FJ110 * FL110 * 100),
IF(AND(FK110 &lt;&gt; "", FK110 &lt;&gt; 0), (FK110 * FL110 * 100), 0)) ))</f>
        <v>0</v>
      </c>
      <c r="FN110" s="931"/>
      <c r="FO110" s="932"/>
      <c r="FP110" s="930">
        <f>IF(FL110 = "", 0,
IF(AND(FJ110 &gt; 0, FK110 &gt;0), 0,
IF(AND(FJ110 &lt;&gt; "", FJ110 &lt;&gt; 0), -(FJ110 * FL110 * 100 * (1 + COMIS_OPCION)),
IF(AND(FK110 &lt;&gt; "", FK110 &lt;&gt; 0), (FK110 * FL110 * 100 * (1 - COMIS_OPCION)), 0)) ))</f>
        <v>0</v>
      </c>
      <c r="FQ110" s="931"/>
      <c r="FR110" s="931"/>
      <c r="FS110" s="931"/>
      <c r="FT110" s="931"/>
      <c r="FU110" s="931"/>
      <c r="FV110" s="931"/>
      <c r="FW110" s="931"/>
      <c r="FX110" s="933"/>
      <c r="FY110" s="341"/>
      <c r="FZ110" s="341"/>
      <c r="GA110" s="341"/>
      <c r="GB110" s="495">
        <v>0</v>
      </c>
      <c r="GC110" s="495">
        <v>0</v>
      </c>
      <c r="GD110" s="500"/>
      <c r="GE110" s="495">
        <v>0</v>
      </c>
      <c r="GF110" s="495">
        <v>0</v>
      </c>
      <c r="GG110" s="495">
        <v>0</v>
      </c>
      <c r="GH110" s="359"/>
      <c r="GI110" s="359"/>
      <c r="GJ110" s="501"/>
      <c r="GK110" s="495">
        <v>0</v>
      </c>
      <c r="GL110" s="495">
        <v>0</v>
      </c>
      <c r="GM110" s="495">
        <v>0</v>
      </c>
      <c r="GN110" s="359"/>
      <c r="GO110" s="359"/>
      <c r="GP110" s="501"/>
      <c r="GQ110" s="495">
        <v>0</v>
      </c>
      <c r="GR110" s="359"/>
      <c r="GS110" s="333"/>
      <c r="GT110" s="333"/>
      <c r="GU110" s="333"/>
      <c r="GV110" s="333"/>
      <c r="GW110" s="333"/>
      <c r="GX110" s="333"/>
      <c r="GY110" s="333"/>
      <c r="GZ110" s="333"/>
      <c r="HA110" s="333"/>
      <c r="HB110" s="333"/>
      <c r="HC110" s="333"/>
      <c r="HD110" s="333"/>
      <c r="HE110" s="333"/>
      <c r="HF110" s="333"/>
      <c r="HG110" s="331"/>
      <c r="HH110" s="331"/>
      <c r="HI110" s="331"/>
      <c r="HJ110" s="331"/>
      <c r="HK110" s="331"/>
      <c r="HL110" s="331"/>
      <c r="HM110" s="331"/>
      <c r="HN110" s="333"/>
      <c r="HO110" s="333"/>
      <c r="HP110" s="333"/>
      <c r="HQ110" s="333"/>
      <c r="HR110" s="333"/>
      <c r="HS110" s="333"/>
      <c r="HT110" s="333"/>
      <c r="HU110" s="333"/>
      <c r="HV110" s="333"/>
      <c r="HW110" s="333"/>
      <c r="HX110" s="333"/>
      <c r="HY110" s="333"/>
      <c r="HZ110" s="333"/>
      <c r="IA110" s="333"/>
      <c r="IB110" s="333"/>
      <c r="IC110" s="333"/>
      <c r="ID110" s="55"/>
      <c r="IE110" s="47"/>
      <c r="IF110" s="52"/>
    </row>
    <row r="111" spans="13:290" s="142" customFormat="1" ht="15" customHeight="1" thickBot="1">
      <c r="M111" s="333"/>
      <c r="N111" s="333"/>
      <c r="O111" s="333"/>
      <c r="P111" s="333"/>
      <c r="Q111" s="333"/>
      <c r="R111" s="333"/>
      <c r="S111" s="333"/>
      <c r="T111" s="333"/>
      <c r="U111" s="333"/>
      <c r="V111" s="333"/>
      <c r="W111" s="333"/>
      <c r="X111" s="333"/>
      <c r="Y111" s="333"/>
      <c r="Z111" s="333"/>
      <c r="AA111" s="333"/>
      <c r="AB111" s="333"/>
      <c r="AC111" s="333"/>
      <c r="AD111" s="333"/>
      <c r="AE111" s="333"/>
      <c r="AF111" s="333"/>
      <c r="AG111" s="333"/>
      <c r="AH111" s="333"/>
      <c r="AI111" s="333"/>
      <c r="AJ111" s="333"/>
      <c r="AK111" s="333"/>
      <c r="AL111" s="333"/>
      <c r="AM111" s="333"/>
      <c r="AN111" s="333"/>
      <c r="AO111" s="333"/>
      <c r="AP111" s="333"/>
      <c r="AQ111" s="333"/>
      <c r="AR111" s="333"/>
      <c r="AS111" s="333"/>
      <c r="AT111" s="333"/>
      <c r="AU111" s="333"/>
      <c r="AV111" s="333"/>
      <c r="AW111" s="333"/>
      <c r="AX111" s="333"/>
      <c r="AY111" s="333"/>
      <c r="AZ111" s="333"/>
      <c r="BA111" s="333"/>
      <c r="BB111" s="333"/>
      <c r="BC111" s="333"/>
      <c r="BD111" s="333"/>
      <c r="BE111" s="333"/>
      <c r="BF111" s="333"/>
      <c r="BG111" s="333"/>
      <c r="BH111" s="333"/>
      <c r="BI111" s="333"/>
      <c r="BJ111" s="333"/>
      <c r="BK111" s="333"/>
      <c r="BL111" s="333"/>
      <c r="BM111" s="333"/>
      <c r="BN111" s="333"/>
      <c r="BO111" s="333"/>
      <c r="BP111" s="333"/>
      <c r="BQ111" s="333"/>
      <c r="BR111" s="333"/>
      <c r="BS111" s="333"/>
      <c r="BT111" s="333"/>
      <c r="BU111" s="333"/>
      <c r="BV111" s="333"/>
      <c r="BW111" s="333"/>
      <c r="BX111" s="333"/>
      <c r="BY111" s="333"/>
      <c r="BZ111" s="333"/>
      <c r="CA111" s="333"/>
      <c r="CB111" s="333"/>
      <c r="CC111" s="333"/>
      <c r="CD111" s="333"/>
      <c r="CE111" s="333"/>
      <c r="CF111" s="333"/>
      <c r="CG111" s="333"/>
      <c r="CH111" s="333"/>
      <c r="CI111" s="333"/>
      <c r="CJ111" s="333"/>
      <c r="CK111" s="333"/>
      <c r="CL111" s="333"/>
      <c r="CM111" s="333"/>
      <c r="CN111" s="333"/>
      <c r="CO111" s="333"/>
      <c r="CP111" s="333"/>
      <c r="CQ111" s="333"/>
      <c r="CR111" s="333"/>
      <c r="CS111" s="333"/>
      <c r="CT111" s="333"/>
      <c r="CU111" s="333"/>
      <c r="CV111" s="333"/>
      <c r="CW111" s="333"/>
      <c r="CX111" s="333"/>
      <c r="CY111" s="333"/>
      <c r="CZ111" s="333"/>
      <c r="DA111" s="333"/>
      <c r="DB111" s="333"/>
      <c r="DC111" s="333"/>
      <c r="DD111" s="333"/>
      <c r="DE111" s="333"/>
      <c r="DF111" s="333"/>
      <c r="DG111" s="333"/>
      <c r="DH111" s="333"/>
      <c r="DI111" s="333"/>
      <c r="DJ111" s="333"/>
      <c r="DK111" s="333"/>
      <c r="DL111" s="333"/>
      <c r="DM111" s="333"/>
      <c r="DN111" s="333"/>
      <c r="DO111" s="333"/>
      <c r="DP111" s="333"/>
      <c r="DQ111" s="333"/>
      <c r="DR111" s="333"/>
      <c r="DS111" s="333"/>
      <c r="DT111" s="333"/>
      <c r="DU111" s="359"/>
      <c r="DV111" s="359"/>
      <c r="DW111" s="359"/>
      <c r="DX111" s="359"/>
      <c r="DY111" s="359"/>
      <c r="DZ111" s="359"/>
      <c r="EA111" s="359"/>
      <c r="EB111" s="359"/>
      <c r="EC111" s="769">
        <f t="shared" si="190"/>
        <v>195</v>
      </c>
      <c r="ED111" s="889">
        <f t="shared" si="191"/>
        <v>0</v>
      </c>
      <c r="EE111" s="890"/>
      <c r="EF111" s="476">
        <f>GF131</f>
        <v>0</v>
      </c>
      <c r="EG111" s="889">
        <f t="shared" si="192"/>
        <v>0</v>
      </c>
      <c r="EH111" s="890"/>
      <c r="EI111" s="506">
        <f>GM131</f>
        <v>0</v>
      </c>
      <c r="EJ111" s="373"/>
      <c r="EK111" s="373"/>
      <c r="EL111" s="366"/>
      <c r="EM111" s="368"/>
      <c r="EN111" s="365"/>
      <c r="EO111" s="353">
        <f>+IF(EO109= 0, 0, GG107)</f>
        <v>0</v>
      </c>
      <c r="EP111" s="350"/>
      <c r="EQ111" s="344"/>
      <c r="ER111" s="523"/>
      <c r="ES111" s="921">
        <f>IF(ER111 = "", 0,
IF(AND(EP111 &gt; 0, EQ111 &gt;0), 0, IF(EO107 &lt;&gt; $Z$1,
IF(AND(EP111 &lt;&gt; "", EP111 &lt;&gt; 0), -(EP111 * ER111 * 100),
IF(AND(EQ111 &lt;&gt; "", EQ111 &lt;&gt; 0), (EQ111 * ER111 * 100), 0)),
IF(AND(EP111 &lt;&gt; "", EP111 &lt;&gt; 0), -(EP111 * ER111 * 1),
IF(AND(EQ111 &lt;&gt; "", EQ111 &lt;&gt; 0), (EQ111 * ER111 * 1), 0))  )))</f>
        <v>0</v>
      </c>
      <c r="ET111" s="922"/>
      <c r="EU111" s="924"/>
      <c r="EV111" s="921">
        <f>IF(ER111 = "", 0,
IF(AND(EP111 &gt; 0, EQ111 &gt;0), 0,  IF(EO107 &lt;&gt; $Z$1,
IF(AND(EP111 &lt;&gt; "", EP111 &lt;&gt; 0), -(EP111 * ER111 * 100 * (1 + COMIS_OPCION)),
IF(AND(EQ111 &lt;&gt; "", EQ111 &lt;&gt; 0), (EQ111 * ER111 * 100 * (1 - COMIS_OPCION)), 0)),
IF(AND(EP111 &lt;&gt; "", EP111 &lt;&gt; 0), -(EP111 * ER111 * 1 * (1 + COMIS_ACCION)),
IF(AND(EQ111 &lt;&gt; "", EQ111 &lt;&gt; 0), (EQ111 * ER111 * 1 * (1 - COMIS_ACCION)), 0))  )))</f>
        <v>0</v>
      </c>
      <c r="EW111" s="922"/>
      <c r="EX111" s="922"/>
      <c r="EY111" s="922"/>
      <c r="EZ111" s="922"/>
      <c r="FA111" s="922"/>
      <c r="FB111" s="922"/>
      <c r="FC111" s="922"/>
      <c r="FD111" s="923"/>
      <c r="FE111" s="340"/>
      <c r="FF111" s="340"/>
      <c r="FG111" s="365"/>
      <c r="FH111" s="365"/>
      <c r="FI111" s="349">
        <f>+IF(FI109= 0, 0, GQ107)</f>
        <v>0</v>
      </c>
      <c r="FJ111" s="348"/>
      <c r="FK111" s="345"/>
      <c r="FL111" s="346"/>
      <c r="FM111" s="937">
        <f>IF(FL111 = "", 0,
IF(AND(FJ111 &gt; 0, FK111 &gt;0), 0,
IF(AND(FJ111 &lt;&gt; "", FJ111 &lt;&gt; 0), -(FJ111 * FL111 * 100),
IF(AND(FK111 &lt;&gt; "", FK111 &lt;&gt; 0), (FK111 * FL111 * 100), 0)) ))</f>
        <v>0</v>
      </c>
      <c r="FN111" s="938"/>
      <c r="FO111" s="939"/>
      <c r="FP111" s="937">
        <f>IF(FL111 = "", 0,
IF(AND(FJ111 &gt; 0, FK111 &gt;0), 0,
IF(AND(FJ111 &lt;&gt; "", FJ111 &lt;&gt; 0), -(FJ111 * FL111 * 100 * (1 + COMIS_OPCION)),
IF(AND(FK111 &lt;&gt; "", FK111 &lt;&gt; 0), (FK111 * FL111 * 100 * (1 - COMIS_OPCION)), 0)) ))</f>
        <v>0</v>
      </c>
      <c r="FQ111" s="938"/>
      <c r="FR111" s="938"/>
      <c r="FS111" s="938"/>
      <c r="FT111" s="938"/>
      <c r="FU111" s="938"/>
      <c r="FV111" s="938"/>
      <c r="FW111" s="938"/>
      <c r="FX111" s="969"/>
      <c r="FY111" s="341"/>
      <c r="FZ111" s="341"/>
      <c r="GA111" s="341"/>
      <c r="GB111" s="495">
        <v>0</v>
      </c>
      <c r="GC111" s="495">
        <v>0</v>
      </c>
      <c r="GD111" s="500"/>
      <c r="GE111" s="495">
        <v>0</v>
      </c>
      <c r="GF111" s="495">
        <v>0</v>
      </c>
      <c r="GG111" s="495">
        <v>0</v>
      </c>
      <c r="GH111" s="359"/>
      <c r="GI111" s="359"/>
      <c r="GJ111" s="501"/>
      <c r="GK111" s="495">
        <v>0</v>
      </c>
      <c r="GL111" s="495">
        <v>0</v>
      </c>
      <c r="GM111" s="495">
        <v>0</v>
      </c>
      <c r="GN111" s="359"/>
      <c r="GO111" s="359"/>
      <c r="GP111" s="501"/>
      <c r="GQ111" s="495">
        <v>0</v>
      </c>
      <c r="GR111" s="359"/>
      <c r="GS111" s="333"/>
      <c r="GT111" s="333"/>
      <c r="GU111" s="333"/>
      <c r="GV111" s="333"/>
      <c r="GW111" s="333"/>
      <c r="GX111" s="333"/>
      <c r="GY111" s="333"/>
      <c r="GZ111" s="333"/>
      <c r="HA111" s="333"/>
      <c r="HB111" s="333"/>
      <c r="HC111" s="333"/>
      <c r="HD111" s="333"/>
      <c r="HE111" s="333"/>
      <c r="HF111" s="333"/>
      <c r="HG111" s="331"/>
      <c r="HH111" s="331"/>
      <c r="HI111" s="331"/>
      <c r="HJ111" s="331"/>
      <c r="HK111" s="331"/>
      <c r="HL111" s="331"/>
      <c r="HM111" s="331"/>
      <c r="HN111" s="333"/>
      <c r="HO111" s="333"/>
      <c r="HP111" s="333"/>
      <c r="HQ111" s="333"/>
      <c r="HR111" s="333"/>
      <c r="HS111" s="333"/>
      <c r="HT111" s="333"/>
      <c r="HU111" s="333"/>
      <c r="HV111" s="333"/>
      <c r="HW111" s="333"/>
      <c r="HX111" s="333"/>
      <c r="HY111" s="333"/>
      <c r="HZ111" s="333"/>
      <c r="IA111" s="333"/>
      <c r="IB111" s="333"/>
      <c r="IC111" s="333"/>
      <c r="ID111" s="55"/>
      <c r="IE111" s="47"/>
      <c r="IF111" s="52"/>
    </row>
    <row r="112" spans="13:290" s="142" customFormat="1" ht="15" customHeight="1" thickBot="1">
      <c r="M112" s="333"/>
      <c r="N112" s="333"/>
      <c r="O112" s="333"/>
      <c r="P112" s="333"/>
      <c r="Q112" s="333"/>
      <c r="R112" s="333"/>
      <c r="S112" s="333"/>
      <c r="T112" s="333"/>
      <c r="U112" s="333"/>
      <c r="V112" s="333"/>
      <c r="W112" s="333"/>
      <c r="X112" s="333"/>
      <c r="Y112" s="333"/>
      <c r="Z112" s="333"/>
      <c r="AA112" s="333"/>
      <c r="AB112" s="333"/>
      <c r="AC112" s="333"/>
      <c r="AD112" s="333"/>
      <c r="AE112" s="333"/>
      <c r="AF112" s="333"/>
      <c r="AG112" s="333"/>
      <c r="AH112" s="333"/>
      <c r="AI112" s="333"/>
      <c r="AJ112" s="333"/>
      <c r="AK112" s="333"/>
      <c r="AL112" s="333"/>
      <c r="AM112" s="333"/>
      <c r="AN112" s="333"/>
      <c r="AO112" s="333"/>
      <c r="AP112" s="333"/>
      <c r="AQ112" s="333"/>
      <c r="AR112" s="333"/>
      <c r="AS112" s="333"/>
      <c r="AT112" s="333"/>
      <c r="AU112" s="333"/>
      <c r="AV112" s="333"/>
      <c r="AW112" s="333"/>
      <c r="AX112" s="333"/>
      <c r="AY112" s="333"/>
      <c r="AZ112" s="333"/>
      <c r="BA112" s="333"/>
      <c r="BB112" s="333"/>
      <c r="BC112" s="333"/>
      <c r="BD112" s="333"/>
      <c r="BE112" s="333"/>
      <c r="BF112" s="333"/>
      <c r="BG112" s="333"/>
      <c r="BH112" s="333"/>
      <c r="BI112" s="333"/>
      <c r="BJ112" s="333"/>
      <c r="BK112" s="333"/>
      <c r="BL112" s="333"/>
      <c r="BM112" s="333"/>
      <c r="BN112" s="333"/>
      <c r="BO112" s="333"/>
      <c r="BP112" s="333"/>
      <c r="BQ112" s="333"/>
      <c r="BR112" s="333"/>
      <c r="BS112" s="333"/>
      <c r="BT112" s="333"/>
      <c r="BU112" s="333"/>
      <c r="BV112" s="333"/>
      <c r="BW112" s="333"/>
      <c r="BX112" s="333"/>
      <c r="BY112" s="333"/>
      <c r="BZ112" s="333"/>
      <c r="CA112" s="333"/>
      <c r="CB112" s="333"/>
      <c r="CC112" s="333"/>
      <c r="CD112" s="333"/>
      <c r="CE112" s="333"/>
      <c r="CF112" s="333"/>
      <c r="CG112" s="333"/>
      <c r="CH112" s="333"/>
      <c r="CI112" s="333"/>
      <c r="CJ112" s="333"/>
      <c r="CK112" s="333"/>
      <c r="CL112" s="333"/>
      <c r="CM112" s="333"/>
      <c r="CN112" s="333"/>
      <c r="CO112" s="333"/>
      <c r="CP112" s="333"/>
      <c r="CQ112" s="333"/>
      <c r="CR112" s="333"/>
      <c r="CS112" s="333"/>
      <c r="CT112" s="333"/>
      <c r="CU112" s="333"/>
      <c r="CV112" s="333"/>
      <c r="CW112" s="333"/>
      <c r="CX112" s="333"/>
      <c r="CY112" s="333"/>
      <c r="CZ112" s="333"/>
      <c r="DA112" s="333"/>
      <c r="DB112" s="333"/>
      <c r="DC112" s="333"/>
      <c r="DD112" s="333"/>
      <c r="DE112" s="333"/>
      <c r="DF112" s="333"/>
      <c r="DG112" s="333"/>
      <c r="DH112" s="333"/>
      <c r="DI112" s="333"/>
      <c r="DJ112" s="333"/>
      <c r="DK112" s="333"/>
      <c r="DL112" s="333"/>
      <c r="DM112" s="333"/>
      <c r="DN112" s="333"/>
      <c r="DO112" s="333"/>
      <c r="DP112" s="333"/>
      <c r="DQ112" s="333"/>
      <c r="DR112" s="333"/>
      <c r="DS112" s="333"/>
      <c r="DT112" s="333"/>
      <c r="DU112" s="359"/>
      <c r="DV112" s="359"/>
      <c r="DW112" s="359"/>
      <c r="DX112" s="359"/>
      <c r="DY112" s="359"/>
      <c r="DZ112" s="359"/>
      <c r="EA112" s="359"/>
      <c r="EB112" s="359"/>
      <c r="EC112" s="769">
        <f t="shared" si="190"/>
        <v>200</v>
      </c>
      <c r="ED112" s="889">
        <f t="shared" si="191"/>
        <v>0</v>
      </c>
      <c r="EE112" s="890"/>
      <c r="EF112" s="476">
        <f>GF137</f>
        <v>0</v>
      </c>
      <c r="EG112" s="889">
        <f t="shared" si="192"/>
        <v>0</v>
      </c>
      <c r="EH112" s="890"/>
      <c r="EI112" s="506">
        <f>GM137</f>
        <v>0</v>
      </c>
      <c r="EJ112" s="373"/>
      <c r="EK112" s="373"/>
      <c r="EL112" s="366"/>
      <c r="EM112" s="366"/>
      <c r="EN112" s="364"/>
      <c r="EO112" s="363"/>
      <c r="EP112" s="340"/>
      <c r="EQ112" s="340"/>
      <c r="ER112" s="340"/>
      <c r="ES112" s="363"/>
      <c r="ET112" s="363"/>
      <c r="EU112" s="340"/>
      <c r="EV112" s="340"/>
      <c r="EW112" s="340"/>
      <c r="EX112" s="340"/>
      <c r="EY112" s="340"/>
      <c r="EZ112" s="340"/>
      <c r="FA112" s="340"/>
      <c r="FB112" s="402"/>
      <c r="FC112" s="402"/>
      <c r="FD112" s="340"/>
      <c r="FE112" s="340"/>
      <c r="FF112" s="340"/>
      <c r="FG112" s="364"/>
      <c r="FH112" s="364"/>
      <c r="FI112" s="363"/>
      <c r="FJ112" s="360"/>
      <c r="FK112" s="360"/>
      <c r="FL112" s="340"/>
      <c r="FM112" s="967"/>
      <c r="FN112" s="967"/>
      <c r="FO112" s="967"/>
      <c r="FP112" s="968"/>
      <c r="FQ112" s="968"/>
      <c r="FR112" s="968"/>
      <c r="FS112" s="968"/>
      <c r="FT112" s="968"/>
      <c r="FU112" s="968"/>
      <c r="FV112" s="968"/>
      <c r="FW112" s="968"/>
      <c r="FX112" s="968"/>
      <c r="FY112" s="341"/>
      <c r="FZ112" s="341"/>
      <c r="GA112" s="341"/>
      <c r="GB112" s="495">
        <v>0</v>
      </c>
      <c r="GC112" s="495">
        <v>0</v>
      </c>
      <c r="GD112" s="500"/>
      <c r="GE112" s="495">
        <v>0</v>
      </c>
      <c r="GF112" s="495">
        <v>0</v>
      </c>
      <c r="GG112" s="495">
        <v>0</v>
      </c>
      <c r="GH112" s="359"/>
      <c r="GI112" s="359"/>
      <c r="GJ112" s="501"/>
      <c r="GK112" s="495">
        <v>0</v>
      </c>
      <c r="GL112" s="495">
        <v>0</v>
      </c>
      <c r="GM112" s="495">
        <v>0</v>
      </c>
      <c r="GN112" s="359"/>
      <c r="GO112" s="359"/>
      <c r="GP112" s="501"/>
      <c r="GQ112" s="495">
        <v>0</v>
      </c>
      <c r="GR112" s="359"/>
      <c r="GS112" s="333"/>
      <c r="GT112" s="333"/>
      <c r="GU112" s="333"/>
      <c r="GV112" s="333"/>
      <c r="GW112" s="333"/>
      <c r="GX112" s="333"/>
      <c r="GY112" s="333"/>
      <c r="GZ112" s="333"/>
      <c r="HA112" s="333"/>
      <c r="HB112" s="333"/>
      <c r="HC112" s="333"/>
      <c r="HD112" s="333"/>
      <c r="HE112" s="333"/>
      <c r="HF112" s="333"/>
      <c r="HG112" s="331"/>
      <c r="HH112" s="331"/>
      <c r="HI112" s="331"/>
      <c r="HJ112" s="331"/>
      <c r="HK112" s="331"/>
      <c r="HL112" s="331"/>
      <c r="HM112" s="331"/>
      <c r="HN112" s="333"/>
      <c r="HO112" s="333"/>
      <c r="HP112" s="333"/>
      <c r="HQ112" s="333"/>
      <c r="HR112" s="333"/>
      <c r="HS112" s="333"/>
      <c r="HT112" s="333"/>
      <c r="HU112" s="333"/>
      <c r="HV112" s="333"/>
      <c r="HW112" s="333"/>
      <c r="HX112" s="333"/>
      <c r="HY112" s="333"/>
      <c r="HZ112" s="333"/>
      <c r="IA112" s="333"/>
      <c r="IB112" s="333"/>
      <c r="IC112" s="333"/>
      <c r="ID112" s="55"/>
      <c r="IE112" s="47"/>
      <c r="IF112" s="52"/>
    </row>
    <row r="113" spans="13:240" s="142" customFormat="1" ht="15" customHeight="1">
      <c r="M113" s="333"/>
      <c r="N113" s="333"/>
      <c r="O113" s="333"/>
      <c r="P113" s="333"/>
      <c r="Q113" s="333"/>
      <c r="R113" s="333"/>
      <c r="S113" s="333"/>
      <c r="T113" s="333"/>
      <c r="U113" s="333"/>
      <c r="V113" s="333"/>
      <c r="W113" s="333"/>
      <c r="X113" s="333"/>
      <c r="Y113" s="333"/>
      <c r="Z113" s="333"/>
      <c r="AA113" s="333"/>
      <c r="AB113" s="333"/>
      <c r="AC113" s="333"/>
      <c r="AD113" s="333"/>
      <c r="AE113" s="333"/>
      <c r="AF113" s="333"/>
      <c r="AG113" s="333"/>
      <c r="AH113" s="333"/>
      <c r="AI113" s="333"/>
      <c r="AJ113" s="333"/>
      <c r="AK113" s="333"/>
      <c r="AL113" s="333"/>
      <c r="AM113" s="333"/>
      <c r="AN113" s="333"/>
      <c r="AO113" s="333"/>
      <c r="AP113" s="333"/>
      <c r="AQ113" s="333"/>
      <c r="AR113" s="333"/>
      <c r="AS113" s="333"/>
      <c r="AT113" s="333"/>
      <c r="AU113" s="333"/>
      <c r="AV113" s="333"/>
      <c r="AW113" s="333"/>
      <c r="AX113" s="333"/>
      <c r="AY113" s="333"/>
      <c r="AZ113" s="333"/>
      <c r="BA113" s="333"/>
      <c r="BB113" s="333"/>
      <c r="BC113" s="333"/>
      <c r="BD113" s="333"/>
      <c r="BE113" s="333"/>
      <c r="BF113" s="333"/>
      <c r="BG113" s="333"/>
      <c r="BH113" s="333"/>
      <c r="BI113" s="333"/>
      <c r="BJ113" s="333"/>
      <c r="BK113" s="333"/>
      <c r="BL113" s="333"/>
      <c r="BM113" s="333"/>
      <c r="BN113" s="333"/>
      <c r="BO113" s="333"/>
      <c r="BP113" s="333"/>
      <c r="BQ113" s="333"/>
      <c r="BR113" s="333"/>
      <c r="BS113" s="333"/>
      <c r="BT113" s="333"/>
      <c r="BU113" s="333"/>
      <c r="BV113" s="333"/>
      <c r="BW113" s="333"/>
      <c r="BX113" s="333"/>
      <c r="BY113" s="333"/>
      <c r="BZ113" s="333"/>
      <c r="CA113" s="333"/>
      <c r="CB113" s="333"/>
      <c r="CC113" s="333"/>
      <c r="CD113" s="333"/>
      <c r="CE113" s="333"/>
      <c r="CF113" s="333"/>
      <c r="CG113" s="333"/>
      <c r="CH113" s="333"/>
      <c r="CI113" s="333"/>
      <c r="CJ113" s="333"/>
      <c r="CK113" s="333"/>
      <c r="CL113" s="333"/>
      <c r="CM113" s="333"/>
      <c r="CN113" s="333"/>
      <c r="CO113" s="333"/>
      <c r="CP113" s="333"/>
      <c r="CQ113" s="333"/>
      <c r="CR113" s="333"/>
      <c r="CS113" s="333"/>
      <c r="CT113" s="333"/>
      <c r="CU113" s="333"/>
      <c r="CV113" s="333"/>
      <c r="CW113" s="333"/>
      <c r="CX113" s="333"/>
      <c r="CY113" s="333"/>
      <c r="CZ113" s="333"/>
      <c r="DA113" s="333"/>
      <c r="DB113" s="333"/>
      <c r="DC113" s="333"/>
      <c r="DD113" s="333"/>
      <c r="DE113" s="333"/>
      <c r="DF113" s="333"/>
      <c r="DG113" s="333"/>
      <c r="DH113" s="333"/>
      <c r="DI113" s="333"/>
      <c r="DJ113" s="333"/>
      <c r="DK113" s="333"/>
      <c r="DL113" s="333"/>
      <c r="DM113" s="333"/>
      <c r="DN113" s="333"/>
      <c r="DO113" s="333"/>
      <c r="DP113" s="333"/>
      <c r="DQ113" s="333"/>
      <c r="DR113" s="333"/>
      <c r="DS113" s="333"/>
      <c r="DT113" s="333"/>
      <c r="DU113" s="359"/>
      <c r="DV113" s="359"/>
      <c r="DW113" s="359"/>
      <c r="DX113" s="359"/>
      <c r="DY113" s="359"/>
      <c r="DZ113" s="359"/>
      <c r="EA113" s="359"/>
      <c r="EB113" s="359"/>
      <c r="EC113" s="769">
        <f t="shared" si="190"/>
        <v>210</v>
      </c>
      <c r="ED113" s="889">
        <f t="shared" si="191"/>
        <v>0</v>
      </c>
      <c r="EE113" s="890"/>
      <c r="EF113" s="476">
        <f>GF143</f>
        <v>0</v>
      </c>
      <c r="EG113" s="889">
        <f t="shared" si="192"/>
        <v>0</v>
      </c>
      <c r="EH113" s="890"/>
      <c r="EI113" s="506">
        <f>GM143</f>
        <v>0</v>
      </c>
      <c r="EJ113" s="373"/>
      <c r="EK113" s="373"/>
      <c r="EL113" s="366"/>
      <c r="EM113" s="366"/>
      <c r="EN113" s="364">
        <f>+EN107+1</f>
        <v>11</v>
      </c>
      <c r="EO113" s="356">
        <f>+VLOOKUP(EN113, PRECIOS_EJERCICIOS,  2,FALSE)</f>
        <v>180</v>
      </c>
      <c r="EP113" s="513" t="str">
        <f>+IF($AQ$49 = FALSE, "",
IF(VLOOKUP(EO113, basesCantPrimaBrutoRes, 2,FALSE) &gt;= 0, VLOOKUP(EO113, basesCantPrimaBrutoRes, 2,FALSE), 0))</f>
        <v/>
      </c>
      <c r="EQ113" s="514" t="str">
        <f>+IF($AQ$49 = FALSE, "",
IF(VLOOKUP(EO113, basesCantPrimaBrutoRes, 2,FALSE) &lt; 0, -VLOOKUP(EO113, basesCantPrimaBrutoRes, 2,FALSE), 0))</f>
        <v/>
      </c>
      <c r="ER113" s="521" t="str">
        <f>IF($AQ$49 = FALSE, "",
VLOOKUP(EO113, basesCantPrimaBrutoRes, 4,FALSE))</f>
        <v/>
      </c>
      <c r="ES113" s="926">
        <f>IF(ER113 = "", 0,
IF(AND(EP113 &gt; 0, EQ113 &gt;0), 0, IF(EO113 &lt;&gt; $Z$1,
IF(AND(EP113 &lt;&gt; "", EP113 &lt;&gt; 0), -(EP113 * ER113 * 100),
IF(AND(EQ113 &lt;&gt; "", EQ113 &lt;&gt; 0), (EQ113 * ER113 * 100), 0)),
IF(AND(EP113 &lt;&gt; "", EP113 &lt;&gt; 0), -(EP113 * ER113 * 1),
IF(AND(EQ113 &lt;&gt; "", EQ113 &lt;&gt; 0), (EQ113 * ER113 * 1), 0))  )))</f>
        <v>0</v>
      </c>
      <c r="ET113" s="927"/>
      <c r="EU113" s="928"/>
      <c r="EV113" s="926">
        <f>IF(ER113 = "", 0,
IF(AND(EP113 &gt; 0, EQ113 &gt;0), 0,  IF(EO113 &lt;&gt; $Z$1,
IF(AND(EP113 &lt;&gt; "", EP113 &lt;&gt; 0), -(EP113 * ER113 * 100 * (1 + COMIS_OPCION)),
IF(AND(EQ113 &lt;&gt; "", EQ113 &lt;&gt; 0), (EQ113 * ER113 * 100 * (1 - COMIS_OPCION)), 0)),
IF(AND(EP113 &lt;&gt; "", EP113 &lt;&gt; 0), -(EP113 * ER113 * 1 * (1 + COMIS_ACCION)),
IF(AND(EQ113 &lt;&gt; "", EQ113 &lt;&gt; 0), (EQ113 * ER113 * 1 * (1 - COMIS_ACCION)), 0))  )))</f>
        <v>0</v>
      </c>
      <c r="EW113" s="927"/>
      <c r="EX113" s="927"/>
      <c r="EY113" s="927"/>
      <c r="EZ113" s="927"/>
      <c r="FA113" s="927"/>
      <c r="FB113" s="927"/>
      <c r="FC113" s="927"/>
      <c r="FD113" s="929"/>
      <c r="FE113" s="340"/>
      <c r="FF113" s="340"/>
      <c r="FG113" s="364"/>
      <c r="FH113" s="364">
        <f>+FH107+1</f>
        <v>11</v>
      </c>
      <c r="FI113" s="357">
        <f>+VLOOKUP(FH113, PRECIOS_EJERCICIOS,  2,FALSE)</f>
        <v>180</v>
      </c>
      <c r="FJ113" s="515" t="str">
        <f>+IF($AQ$49 = FALSE, "",
IF(VLOOKUP(EO113, basesCantPrimaBrutoRes, 5,FALSE) &gt;= 0, VLOOKUP(EO113, basesCantPrimaBrutoRes, 5,FALSE), 0))</f>
        <v/>
      </c>
      <c r="FK113" s="516" t="str">
        <f>+IF($AQ$49 = FALSE, "",
IF(VLOOKUP(EO113, basesCantPrimaBrutoRes, 5,FALSE) &lt; 0, -VLOOKUP(EO113, basesCantPrimaBrutoRes, 5,FALSE), 0))</f>
        <v/>
      </c>
      <c r="FL113" s="517" t="str">
        <f>IF($AQ$49 = FALSE, "",
VLOOKUP(EO113, basesCantPrimaBrutoRes, 7,FALSE))</f>
        <v/>
      </c>
      <c r="FM113" s="934">
        <f>IF(FL113 = "", 0,
IF(AND(FJ113 &gt; 0, FK113 &gt;0), 0,
IF(AND(FJ113 &lt;&gt; "", FJ113 &lt;&gt; 0), -(FJ113 * FL113 * 100),
IF(AND(FK113 &lt;&gt; "", FK113 &lt;&gt; 0), (FK113 * FL113 * 100), 0)) ))</f>
        <v>0</v>
      </c>
      <c r="FN113" s="935"/>
      <c r="FO113" s="936"/>
      <c r="FP113" s="934">
        <f>IF(FL113 = "", 0,
IF(AND(FJ113 &gt; 0, FK113 &gt;0), 0,
IF(AND(FJ113 &lt;&gt; "", FJ113 &lt;&gt; 0), -(FJ113 * FL113 * 100 * (1 + COMIS_OPCION)),
IF(AND(FK113 &lt;&gt; "", FK113 &lt;&gt; 0), (FK113 * FL113 * 100 * (1 - COMIS_OPCION)), 0)) ))</f>
        <v>0</v>
      </c>
      <c r="FQ113" s="935"/>
      <c r="FR113" s="935"/>
      <c r="FS113" s="935"/>
      <c r="FT113" s="935"/>
      <c r="FU113" s="935"/>
      <c r="FV113" s="935"/>
      <c r="FW113" s="935"/>
      <c r="FX113" s="966"/>
      <c r="FY113" s="341"/>
      <c r="FZ113" s="341"/>
      <c r="GA113" s="341"/>
      <c r="GB113" s="495">
        <f>+IF(EN113 = "", "", EO113)</f>
        <v>180</v>
      </c>
      <c r="GC113" s="495" t="str">
        <f>+IF(GB113="", "", IF(EO113 = $Z$1, "ACCION", "CALL"))</f>
        <v>CALL</v>
      </c>
      <c r="GD113" s="500"/>
      <c r="GE113" s="495">
        <f>+IF(GB113= "", "", EO115)</f>
        <v>0</v>
      </c>
      <c r="GF113" s="495">
        <f>+IF(GB113 = "", "", IFERROR(IF(GB113 &lt;&gt; $Z$1,
IF(GE113 &gt; 0, SUMIFS(ES113:ES117, EP113:EP117, "&gt;0", ES113:ES117, "&lt;&gt;0") / SUMIFS(EP113:EP117, EP113:EP117, "&gt;0", ES113:ES117, "&lt;&gt;0") / -100,
IF(GE113 &lt; 0, SUMIFS(ES113:ES117, EQ113:EQ117, "&gt;0", ES113:ES117, "&lt;&gt;0") / SUMIFS(EQ113:EQ117, EQ113:EQ117, "&gt;0", ES113:ES117, "&lt;&gt;0") / 100, 0)),
IF(GE113 &gt; 0, SUMIFS(ES113:ES117, EP113:EP117, "&gt;0", ES113:ES117, "&lt;&gt;0") / SUMIFS(EP113:EP117, EP113:EP117, "&gt;0", ES113:ES117, "&lt;&gt;0") / -1,
IF(GE113 &lt; 0, SUMIFS(ES113:ES117, EQ113:EQ117, "&gt;0", ES113:ES117, "&lt;&gt;0") / SUMIFS(EQ113:EQ117, EQ113:EQ117, "&gt;0", ES113:ES117, "&lt;&gt;0") / 1, 0)) ), 0))</f>
        <v>0</v>
      </c>
      <c r="GG113" s="495">
        <f>+IF(GB113 = "", "", IFERROR(IF(GB113 &lt;&gt; $Z$1,
IF(GE113 &gt; 0, SUMIFS(EV113:EV117, EP113:EP117, "&gt;0", EV113:EV117, "&lt;&gt;0") / SUMIFS(EP113:EP117, EP113:EP117, "&gt;0", EV113:EV117, "&lt;&gt;0") / -100,
IF(GE113 &lt; 0, SUMIFS(EV113:EV117, EQ113:EQ117, "&gt;0", EV113:EV117, "&lt;&gt;0") / SUMIFS(EQ113:EQ117, EQ113:EQ117, "&gt;0", EV113:EV117, "&lt;&gt;0") / 100, 0)),
IF(GE113 &gt; 0, SUMIFS(EV113:EV117, EP113:EP117, "&gt;0", EV113:EV117, "&lt;&gt;0") / SUMIFS(EP113:EP117, EP113:EP117, "&gt;0", EV113:EV117, "&lt;&gt;0") / -1,
IF(GE113 &lt; 0, SUMIFS(EV113:EV117, EQ113:EQ117, "&gt;0", EV113:EV117, "&lt;&gt;0") / SUMIFS(EQ113:EQ117, EQ113:EQ117, "&gt;0", EV113:EV117, "&lt;&gt;0") / 1, 0)) ), 0))</f>
        <v>0</v>
      </c>
      <c r="GH113" s="359"/>
      <c r="GI113" s="359"/>
      <c r="GJ113" s="501"/>
      <c r="GK113" s="495" t="str">
        <f>+IF(GB113="", "", "PUT")</f>
        <v>PUT</v>
      </c>
      <c r="GL113" s="495">
        <f>+IF(GB113 = "", "", FI115)</f>
        <v>0</v>
      </c>
      <c r="GM113" s="495">
        <f>+IF(GB113 = "", "", IFERROR(
IF(FI115 &gt; 0, SUMIFS(FM113:FM117, FJ113:FJ117, "&gt;0", FM113:FM117, "&lt;&gt;0") / SUMIFS(FJ113:FJ117, FJ113:FJ117, "&gt;0", FM113:FM117, "&lt;&gt;0") / -100,
IF(FI115 &lt; 0, SUMIFS(FM113:FM117, FK113:FK117, "&gt;0", FM113:FM117, "&lt;&gt;0") / SUMIFS(FK113:FK117, FK113:FK117, "&gt;0", FM113:FM117, "&lt;&gt;0") / 100, 0)), 0) )</f>
        <v>0</v>
      </c>
      <c r="GN113" s="359"/>
      <c r="GO113" s="359"/>
      <c r="GP113" s="501"/>
      <c r="GQ113" s="502">
        <f>+IF(GB113 = "", "", IFERROR(
IF(FI115 &gt; 0, SUMIFS(FP113:FP117, FJ113:FJ117, "&gt;0", FP113:FP117, "&lt;&gt;0") / SUMIFS(FJ113:FJ117, FJ113:FJ117, "&gt;0", FP113:FP117, "&lt;&gt;0") / -100,
IF(FI115 &lt; 0, SUMIFS(FP113:FP117, FK113:FK117, "&gt;0", FP113:FP117, "&lt;&gt;0") / SUMIFS(FK113:FK117, FK113:FK117, "&gt;0", FP113:FP117, "&lt;&gt;0") / 100, 0)), 0))</f>
        <v>0</v>
      </c>
      <c r="GR113" s="359"/>
      <c r="GS113" s="333"/>
      <c r="GT113" s="333"/>
      <c r="GU113" s="333"/>
      <c r="GV113" s="333"/>
      <c r="GW113" s="333"/>
      <c r="GX113" s="333"/>
      <c r="GY113" s="333"/>
      <c r="GZ113" s="333"/>
      <c r="HA113" s="333"/>
      <c r="HB113" s="333"/>
      <c r="HC113" s="333"/>
      <c r="HD113" s="333"/>
      <c r="HE113" s="333"/>
      <c r="HF113" s="333"/>
      <c r="HG113" s="331"/>
      <c r="HH113" s="331"/>
      <c r="HI113" s="331"/>
      <c r="HJ113" s="331"/>
      <c r="HK113" s="331"/>
      <c r="HL113" s="331"/>
      <c r="HM113" s="331"/>
      <c r="HN113" s="333"/>
      <c r="HO113" s="333"/>
      <c r="HP113" s="333"/>
      <c r="HQ113" s="333"/>
      <c r="HR113" s="333"/>
      <c r="HS113" s="333"/>
      <c r="HT113" s="333"/>
      <c r="HU113" s="333"/>
      <c r="HV113" s="333"/>
      <c r="HW113" s="333"/>
      <c r="HX113" s="333"/>
      <c r="HY113" s="333"/>
      <c r="HZ113" s="333"/>
      <c r="IA113" s="333"/>
      <c r="IB113" s="333"/>
      <c r="IC113" s="333"/>
      <c r="ID113" s="55"/>
      <c r="IE113" s="47"/>
      <c r="IF113" s="52"/>
    </row>
    <row r="114" spans="13:240" s="142" customFormat="1" ht="15" customHeight="1">
      <c r="M114" s="333"/>
      <c r="N114" s="333"/>
      <c r="O114" s="333"/>
      <c r="P114" s="333"/>
      <c r="Q114" s="333"/>
      <c r="R114" s="333"/>
      <c r="S114" s="333"/>
      <c r="T114" s="333"/>
      <c r="U114" s="333"/>
      <c r="V114" s="333"/>
      <c r="W114" s="333"/>
      <c r="X114" s="333"/>
      <c r="Y114" s="333"/>
      <c r="Z114" s="333"/>
      <c r="AA114" s="333"/>
      <c r="AB114" s="333"/>
      <c r="AC114" s="333"/>
      <c r="AD114" s="333"/>
      <c r="AE114" s="333"/>
      <c r="AF114" s="333"/>
      <c r="AG114" s="333"/>
      <c r="AH114" s="333"/>
      <c r="AI114" s="333"/>
      <c r="AJ114" s="333"/>
      <c r="AK114" s="333"/>
      <c r="AL114" s="333"/>
      <c r="AM114" s="333"/>
      <c r="AN114" s="333"/>
      <c r="AO114" s="333"/>
      <c r="AP114" s="333"/>
      <c r="AQ114" s="333"/>
      <c r="AR114" s="333"/>
      <c r="AS114" s="333"/>
      <c r="AT114" s="333"/>
      <c r="AU114" s="333"/>
      <c r="AV114" s="333"/>
      <c r="AW114" s="333"/>
      <c r="AX114" s="333"/>
      <c r="AY114" s="333"/>
      <c r="AZ114" s="333"/>
      <c r="BA114" s="333"/>
      <c r="BB114" s="333"/>
      <c r="BC114" s="333"/>
      <c r="BD114" s="333"/>
      <c r="BE114" s="333"/>
      <c r="BF114" s="333"/>
      <c r="BG114" s="333"/>
      <c r="BH114" s="333"/>
      <c r="BI114" s="333"/>
      <c r="BJ114" s="333"/>
      <c r="BK114" s="333"/>
      <c r="BL114" s="333"/>
      <c r="BM114" s="333"/>
      <c r="BN114" s="333"/>
      <c r="BO114" s="333"/>
      <c r="BP114" s="333"/>
      <c r="BQ114" s="333"/>
      <c r="BR114" s="333"/>
      <c r="BS114" s="333"/>
      <c r="BT114" s="333"/>
      <c r="BU114" s="333"/>
      <c r="BV114" s="333"/>
      <c r="BW114" s="333"/>
      <c r="BX114" s="333"/>
      <c r="BY114" s="333"/>
      <c r="BZ114" s="333"/>
      <c r="CA114" s="333"/>
      <c r="CB114" s="333"/>
      <c r="CC114" s="333"/>
      <c r="CD114" s="333"/>
      <c r="CE114" s="333"/>
      <c r="CF114" s="333"/>
      <c r="CG114" s="333"/>
      <c r="CH114" s="333"/>
      <c r="CI114" s="333"/>
      <c r="CJ114" s="333"/>
      <c r="CK114" s="333"/>
      <c r="CL114" s="333"/>
      <c r="CM114" s="333"/>
      <c r="CN114" s="333"/>
      <c r="CO114" s="333"/>
      <c r="CP114" s="333"/>
      <c r="CQ114" s="333"/>
      <c r="CR114" s="333"/>
      <c r="CS114" s="333"/>
      <c r="CT114" s="333"/>
      <c r="CU114" s="333"/>
      <c r="CV114" s="333"/>
      <c r="CW114" s="333"/>
      <c r="CX114" s="333"/>
      <c r="CY114" s="333"/>
      <c r="CZ114" s="333"/>
      <c r="DA114" s="333"/>
      <c r="DB114" s="333"/>
      <c r="DC114" s="333"/>
      <c r="DD114" s="333"/>
      <c r="DE114" s="333"/>
      <c r="DF114" s="333"/>
      <c r="DG114" s="333"/>
      <c r="DH114" s="333"/>
      <c r="DI114" s="333"/>
      <c r="DJ114" s="333"/>
      <c r="DK114" s="333"/>
      <c r="DL114" s="333"/>
      <c r="DM114" s="333"/>
      <c r="DN114" s="333"/>
      <c r="DO114" s="333"/>
      <c r="DP114" s="333"/>
      <c r="DQ114" s="333"/>
      <c r="DR114" s="333"/>
      <c r="DS114" s="333"/>
      <c r="DT114" s="333"/>
      <c r="DU114" s="359"/>
      <c r="DV114" s="359"/>
      <c r="DW114" s="359"/>
      <c r="DX114" s="359"/>
      <c r="DY114" s="359"/>
      <c r="DZ114" s="359"/>
      <c r="EA114" s="359"/>
      <c r="EB114" s="359"/>
      <c r="EC114" s="769">
        <f t="shared" si="190"/>
        <v>220</v>
      </c>
      <c r="ED114" s="889">
        <f t="shared" si="191"/>
        <v>0</v>
      </c>
      <c r="EE114" s="890"/>
      <c r="EF114" s="476">
        <f>GF149</f>
        <v>0</v>
      </c>
      <c r="EG114" s="889">
        <f t="shared" si="192"/>
        <v>0</v>
      </c>
      <c r="EH114" s="890"/>
      <c r="EI114" s="506">
        <f>GM149</f>
        <v>0</v>
      </c>
      <c r="EJ114" s="373"/>
      <c r="EK114" s="373"/>
      <c r="EL114" s="366"/>
      <c r="EM114" s="366"/>
      <c r="EN114" s="364"/>
      <c r="EO114" s="351"/>
      <c r="EP114" s="775"/>
      <c r="EQ114" s="774"/>
      <c r="ER114" s="522"/>
      <c r="ES114" s="916">
        <f>IF(ER114 = "", 0,
IF(AND(EP114 &gt; 0, EQ114 &gt;0), 0, IF(EO113 &lt;&gt; $Z$1,
IF(AND(EP114 &lt;&gt; "", EP114 &lt;&gt; 0), -(EP114 * ER114 * 100),
IF(AND(EQ114 &lt;&gt; "", EQ114 &lt;&gt; 0), (EQ114 * ER114 * 100), 0)),
IF(AND(EP114 &lt;&gt; "", EP114 &lt;&gt; 0), -(EP114 * ER114 * 1),
IF(AND(EQ114 &lt;&gt; "", EQ114 &lt;&gt; 0), (EQ114 * ER114 * 1), 0))  )))</f>
        <v>0</v>
      </c>
      <c r="ET114" s="917"/>
      <c r="EU114" s="918"/>
      <c r="EV114" s="916">
        <f>IF(ER114 = "", 0,
IF(AND(EP114 &gt; 0, EQ114 &gt;0), 0,  IF(EO113 &lt;&gt; $Z$1,
IF(AND(EP114 &lt;&gt; "", EP114 &lt;&gt; 0), -(EP114 * ER114 * 100 * (1 + COMIS_OPCION)),
IF(AND(EQ114 &lt;&gt; "", EQ114 &lt;&gt; 0), (EQ114 * ER114 * 100 * (1 - COMIS_OPCION)), 0)),
IF(AND(EP114 &lt;&gt; "", EP114 &lt;&gt; 0), -(EP114 * ER114 * 1 * (1 + COMIS_ACCION)),
IF(AND(EQ114 &lt;&gt; "", EQ114 &lt;&gt; 0), (EQ114 * ER114 * 1 * (1 - COMIS_ACCION)), 0))  )))</f>
        <v>0</v>
      </c>
      <c r="EW114" s="917"/>
      <c r="EX114" s="917"/>
      <c r="EY114" s="917"/>
      <c r="EZ114" s="917"/>
      <c r="FA114" s="917"/>
      <c r="FB114" s="917"/>
      <c r="FC114" s="917"/>
      <c r="FD114" s="925"/>
      <c r="FE114" s="340"/>
      <c r="FF114" s="340"/>
      <c r="FG114" s="364"/>
      <c r="FH114" s="364"/>
      <c r="FI114" s="339"/>
      <c r="FJ114" s="347"/>
      <c r="FK114" s="342"/>
      <c r="FL114" s="343"/>
      <c r="FM114" s="930">
        <f>IF(FL114 = "", 0,
IF(AND(FJ114 &gt; 0, FK114 &gt;0), 0,
IF(AND(FJ114 &lt;&gt; "", FJ114 &lt;&gt; 0), -(FJ114 * FL114 * 100),
IF(AND(FK114 &lt;&gt; "", FK114 &lt;&gt; 0), (FK114 * FL114 * 100), 0)) ))</f>
        <v>0</v>
      </c>
      <c r="FN114" s="931"/>
      <c r="FO114" s="932"/>
      <c r="FP114" s="930">
        <f>IF(FL114 = "", 0,
IF(AND(FJ114 &gt; 0, FK114 &gt;0), 0,
IF(AND(FJ114 &lt;&gt; "", FJ114 &lt;&gt; 0), -(FJ114 * FL114 * 100 * (1 + COMIS_OPCION)),
IF(AND(FK114 &lt;&gt; "", FK114 &lt;&gt; 0), (FK114 * FL114 * 100 * (1 - COMIS_OPCION)), 0)) ))</f>
        <v>0</v>
      </c>
      <c r="FQ114" s="931"/>
      <c r="FR114" s="931"/>
      <c r="FS114" s="931"/>
      <c r="FT114" s="931"/>
      <c r="FU114" s="931"/>
      <c r="FV114" s="931"/>
      <c r="FW114" s="931"/>
      <c r="FX114" s="933"/>
      <c r="FY114" s="341"/>
      <c r="FZ114" s="341"/>
      <c r="GA114" s="341"/>
      <c r="GB114" s="495">
        <v>0</v>
      </c>
      <c r="GC114" s="495">
        <v>0</v>
      </c>
      <c r="GD114" s="500"/>
      <c r="GE114" s="495">
        <v>0</v>
      </c>
      <c r="GF114" s="495">
        <v>0</v>
      </c>
      <c r="GG114" s="495">
        <v>0</v>
      </c>
      <c r="GH114" s="359"/>
      <c r="GI114" s="359"/>
      <c r="GJ114" s="501"/>
      <c r="GK114" s="495">
        <v>0</v>
      </c>
      <c r="GL114" s="495">
        <v>0</v>
      </c>
      <c r="GM114" s="495">
        <v>0</v>
      </c>
      <c r="GN114" s="359"/>
      <c r="GO114" s="359"/>
      <c r="GP114" s="501"/>
      <c r="GQ114" s="495">
        <v>0</v>
      </c>
      <c r="GR114" s="359"/>
      <c r="GS114" s="333"/>
      <c r="GT114" s="333"/>
      <c r="GU114" s="333"/>
      <c r="GV114" s="333"/>
      <c r="GW114" s="333"/>
      <c r="GX114" s="333"/>
      <c r="GY114" s="333"/>
      <c r="GZ114" s="333"/>
      <c r="HA114" s="333"/>
      <c r="HB114" s="333"/>
      <c r="HC114" s="333"/>
      <c r="HD114" s="333"/>
      <c r="HE114" s="333"/>
      <c r="HF114" s="333"/>
      <c r="HG114" s="331"/>
      <c r="HH114" s="331"/>
      <c r="HI114" s="331"/>
      <c r="HJ114" s="331"/>
      <c r="HK114" s="331"/>
      <c r="HL114" s="331"/>
      <c r="HM114" s="331"/>
      <c r="HN114" s="333"/>
      <c r="HO114" s="333"/>
      <c r="HP114" s="333"/>
      <c r="HQ114" s="333"/>
      <c r="HR114" s="333"/>
      <c r="HS114" s="333"/>
      <c r="HT114" s="333"/>
      <c r="HU114" s="333"/>
      <c r="HV114" s="333"/>
      <c r="HW114" s="333"/>
      <c r="HX114" s="333"/>
      <c r="HY114" s="333"/>
      <c r="HZ114" s="333"/>
      <c r="IA114" s="333"/>
      <c r="IB114" s="333"/>
      <c r="IC114" s="333"/>
      <c r="ID114" s="55"/>
      <c r="IE114" s="47"/>
      <c r="IF114" s="52"/>
    </row>
    <row r="115" spans="13:240" s="142" customFormat="1" ht="15" customHeight="1">
      <c r="M115" s="333"/>
      <c r="N115" s="333"/>
      <c r="O115" s="333"/>
      <c r="P115" s="333"/>
      <c r="Q115" s="333"/>
      <c r="R115" s="333"/>
      <c r="S115" s="333"/>
      <c r="T115" s="333"/>
      <c r="U115" s="333"/>
      <c r="V115" s="333"/>
      <c r="W115" s="333"/>
      <c r="X115" s="333"/>
      <c r="Y115" s="333"/>
      <c r="Z115" s="333"/>
      <c r="AA115" s="333"/>
      <c r="AB115" s="333"/>
      <c r="AC115" s="333"/>
      <c r="AD115" s="333"/>
      <c r="AE115" s="333"/>
      <c r="AF115" s="333"/>
      <c r="AG115" s="333"/>
      <c r="AH115" s="333"/>
      <c r="AI115" s="333"/>
      <c r="AJ115" s="333"/>
      <c r="AK115" s="333"/>
      <c r="AL115" s="333"/>
      <c r="AM115" s="333"/>
      <c r="AN115" s="333"/>
      <c r="AO115" s="333"/>
      <c r="AP115" s="333"/>
      <c r="AQ115" s="333"/>
      <c r="AR115" s="333"/>
      <c r="AS115" s="333"/>
      <c r="AT115" s="333"/>
      <c r="AU115" s="333"/>
      <c r="AV115" s="333"/>
      <c r="AW115" s="333"/>
      <c r="AX115" s="333"/>
      <c r="AY115" s="333"/>
      <c r="AZ115" s="333"/>
      <c r="BA115" s="333"/>
      <c r="BB115" s="333"/>
      <c r="BC115" s="333"/>
      <c r="BD115" s="333"/>
      <c r="BE115" s="333"/>
      <c r="BF115" s="333"/>
      <c r="BG115" s="333"/>
      <c r="BH115" s="333"/>
      <c r="BI115" s="333"/>
      <c r="BJ115" s="333"/>
      <c r="BK115" s="333"/>
      <c r="BL115" s="333"/>
      <c r="BM115" s="333"/>
      <c r="BN115" s="333"/>
      <c r="BO115" s="333"/>
      <c r="BP115" s="333"/>
      <c r="BQ115" s="333"/>
      <c r="BR115" s="333"/>
      <c r="BS115" s="333"/>
      <c r="BT115" s="333"/>
      <c r="BU115" s="333"/>
      <c r="BV115" s="333"/>
      <c r="BW115" s="333"/>
      <c r="BX115" s="333"/>
      <c r="BY115" s="333"/>
      <c r="BZ115" s="333"/>
      <c r="CA115" s="333"/>
      <c r="CB115" s="333"/>
      <c r="CC115" s="333"/>
      <c r="CD115" s="333"/>
      <c r="CE115" s="333"/>
      <c r="CF115" s="333"/>
      <c r="CG115" s="333"/>
      <c r="CH115" s="333"/>
      <c r="CI115" s="333"/>
      <c r="CJ115" s="333"/>
      <c r="CK115" s="333"/>
      <c r="CL115" s="333"/>
      <c r="CM115" s="333"/>
      <c r="CN115" s="333"/>
      <c r="CO115" s="333"/>
      <c r="CP115" s="333"/>
      <c r="CQ115" s="333"/>
      <c r="CR115" s="333"/>
      <c r="CS115" s="333"/>
      <c r="CT115" s="333"/>
      <c r="CU115" s="333"/>
      <c r="CV115" s="333"/>
      <c r="CW115" s="333"/>
      <c r="CX115" s="333"/>
      <c r="CY115" s="333"/>
      <c r="CZ115" s="333"/>
      <c r="DA115" s="333"/>
      <c r="DB115" s="333"/>
      <c r="DC115" s="333"/>
      <c r="DD115" s="333"/>
      <c r="DE115" s="333"/>
      <c r="DF115" s="333"/>
      <c r="DG115" s="333"/>
      <c r="DH115" s="333"/>
      <c r="DI115" s="333"/>
      <c r="DJ115" s="333"/>
      <c r="DK115" s="333"/>
      <c r="DL115" s="333"/>
      <c r="DM115" s="333"/>
      <c r="DN115" s="333"/>
      <c r="DO115" s="333"/>
      <c r="DP115" s="333"/>
      <c r="DQ115" s="333"/>
      <c r="DR115" s="333"/>
      <c r="DS115" s="333"/>
      <c r="DT115" s="333"/>
      <c r="DU115" s="359"/>
      <c r="DV115" s="359"/>
      <c r="DW115" s="359"/>
      <c r="DX115" s="359"/>
      <c r="DY115" s="359"/>
      <c r="DZ115" s="359"/>
      <c r="EA115" s="359"/>
      <c r="EB115" s="359"/>
      <c r="EC115" s="769">
        <f t="shared" si="190"/>
        <v>230</v>
      </c>
      <c r="ED115" s="889">
        <f t="shared" si="191"/>
        <v>0</v>
      </c>
      <c r="EE115" s="890"/>
      <c r="EF115" s="476">
        <f>GF155</f>
        <v>0</v>
      </c>
      <c r="EG115" s="889">
        <f t="shared" si="192"/>
        <v>0</v>
      </c>
      <c r="EH115" s="890"/>
      <c r="EI115" s="506">
        <f>GM155</f>
        <v>0</v>
      </c>
      <c r="EJ115" s="373"/>
      <c r="EK115" s="373"/>
      <c r="EL115" s="366"/>
      <c r="EM115" s="368"/>
      <c r="EN115" s="365"/>
      <c r="EO115" s="352">
        <f>+SUM(EP113:EP117) - SUM(EQ113:EQ117)</f>
        <v>0</v>
      </c>
      <c r="EP115" s="347"/>
      <c r="EQ115" s="342"/>
      <c r="ER115" s="522"/>
      <c r="ES115" s="916">
        <f>IF(ER115 = "", 0,
IF(AND(EP115 &gt; 0, EQ115 &gt;0), 0, IF(EO113 &lt;&gt; $Z$1,
IF(AND(EP115 &lt;&gt; "", EP115 &lt;&gt; 0), -(EP115 * ER115 * 100),
IF(AND(EQ115 &lt;&gt; "", EQ115 &lt;&gt; 0), (EQ115 * ER115 * 100), 0)),
IF(AND(EP115 &lt;&gt; "", EP115 &lt;&gt; 0), -(EP115 * ER115 * 1),
IF(AND(EQ115 &lt;&gt; "", EQ115 &lt;&gt; 0), (EQ115 * ER115 * 1), 0))  )))</f>
        <v>0</v>
      </c>
      <c r="ET115" s="917"/>
      <c r="EU115" s="918"/>
      <c r="EV115" s="916">
        <f>IF(ER115 = "", 0,
IF(AND(EP115 &gt; 0, EQ115 &gt;0), 0,  IF(EO113 &lt;&gt; $Z$1,
IF(AND(EP115 &lt;&gt; "", EP115 &lt;&gt; 0), -(EP115 * ER115 * 100 * (1 + COMIS_OPCION)),
IF(AND(EQ115 &lt;&gt; "", EQ115 &lt;&gt; 0), (EQ115 * ER115 * 100 * (1 - COMIS_OPCION)), 0)),
IF(AND(EP115 &lt;&gt; "", EP115 &lt;&gt; 0), -(EP115 * ER115 * 1 * (1 + COMIS_ACCION)),
IF(AND(EQ115 &lt;&gt; "", EQ115 &lt;&gt; 0), (EQ115 * ER115 * 1 * (1 - COMIS_ACCION)), 0))  )))</f>
        <v>0</v>
      </c>
      <c r="EW115" s="917"/>
      <c r="EX115" s="917"/>
      <c r="EY115" s="917"/>
      <c r="EZ115" s="917"/>
      <c r="FA115" s="917"/>
      <c r="FB115" s="917"/>
      <c r="FC115" s="917"/>
      <c r="FD115" s="925"/>
      <c r="FE115" s="340"/>
      <c r="FF115" s="340"/>
      <c r="FG115" s="365"/>
      <c r="FH115" s="365"/>
      <c r="FI115" s="354">
        <f>+SUM(FJ113:FJ117) - SUM(FK113:FK117)</f>
        <v>0</v>
      </c>
      <c r="FJ115" s="347"/>
      <c r="FK115" s="342"/>
      <c r="FL115" s="343"/>
      <c r="FM115" s="930">
        <f>IF(FL115 = "", 0,
IF(AND(FJ115 &gt; 0, FK115 &gt;0), 0,
IF(AND(FJ115 &lt;&gt; "", FJ115 &lt;&gt; 0), -(FJ115 * FL115 * 100),
IF(AND(FK115 &lt;&gt; "", FK115 &lt;&gt; 0), (FK115 * FL115 * 100), 0)) ))</f>
        <v>0</v>
      </c>
      <c r="FN115" s="931"/>
      <c r="FO115" s="932"/>
      <c r="FP115" s="930">
        <f>IF(FL115 = "", 0,
IF(AND(FJ115 &gt; 0, FK115 &gt;0), 0,
IF(AND(FJ115 &lt;&gt; "", FJ115 &lt;&gt; 0), -(FJ115 * FL115 * 100 * (1 + COMIS_OPCION)),
IF(AND(FK115 &lt;&gt; "", FK115 &lt;&gt; 0), (FK115 * FL115 * 100 * (1 - COMIS_OPCION)), 0)) ))</f>
        <v>0</v>
      </c>
      <c r="FQ115" s="931"/>
      <c r="FR115" s="931"/>
      <c r="FS115" s="931"/>
      <c r="FT115" s="931"/>
      <c r="FU115" s="931"/>
      <c r="FV115" s="931"/>
      <c r="FW115" s="931"/>
      <c r="FX115" s="933"/>
      <c r="FY115" s="341"/>
      <c r="FZ115" s="341"/>
      <c r="GA115" s="341"/>
      <c r="GB115" s="495">
        <v>0</v>
      </c>
      <c r="GC115" s="495">
        <v>0</v>
      </c>
      <c r="GD115" s="500"/>
      <c r="GE115" s="495">
        <v>0</v>
      </c>
      <c r="GF115" s="495">
        <v>0</v>
      </c>
      <c r="GG115" s="495">
        <v>0</v>
      </c>
      <c r="GH115" s="359"/>
      <c r="GI115" s="359"/>
      <c r="GJ115" s="501"/>
      <c r="GK115" s="495">
        <v>0</v>
      </c>
      <c r="GL115" s="495">
        <v>0</v>
      </c>
      <c r="GM115" s="495">
        <v>0</v>
      </c>
      <c r="GN115" s="359"/>
      <c r="GO115" s="359"/>
      <c r="GP115" s="501"/>
      <c r="GQ115" s="495">
        <v>0</v>
      </c>
      <c r="GR115" s="359"/>
      <c r="GS115" s="333"/>
      <c r="GT115" s="333"/>
      <c r="GU115" s="333"/>
      <c r="GV115" s="333"/>
      <c r="GW115" s="333"/>
      <c r="GX115" s="333"/>
      <c r="GY115" s="333"/>
      <c r="GZ115" s="333"/>
      <c r="HA115" s="333"/>
      <c r="HB115" s="333"/>
      <c r="HC115" s="333"/>
      <c r="HD115" s="333"/>
      <c r="HE115" s="333"/>
      <c r="HF115" s="333"/>
      <c r="HG115" s="331"/>
      <c r="HH115" s="331"/>
      <c r="HI115" s="331"/>
      <c r="HJ115" s="331"/>
      <c r="HK115" s="331"/>
      <c r="HL115" s="331"/>
      <c r="HM115" s="331"/>
      <c r="HN115" s="333"/>
      <c r="HO115" s="333"/>
      <c r="HP115" s="333"/>
      <c r="HQ115" s="333"/>
      <c r="HR115" s="333"/>
      <c r="HS115" s="333"/>
      <c r="HT115" s="333"/>
      <c r="HU115" s="333"/>
      <c r="HV115" s="333"/>
      <c r="HW115" s="333"/>
      <c r="HX115" s="333"/>
      <c r="HY115" s="333"/>
      <c r="HZ115" s="333"/>
      <c r="IA115" s="333"/>
      <c r="IB115" s="333"/>
      <c r="IC115" s="333"/>
      <c r="ID115" s="55"/>
      <c r="IE115" s="47"/>
      <c r="IF115" s="52"/>
    </row>
    <row r="116" spans="13:240" s="142" customFormat="1" ht="15" customHeight="1">
      <c r="M116" s="333"/>
      <c r="N116" s="333"/>
      <c r="O116" s="333"/>
      <c r="P116" s="333"/>
      <c r="Q116" s="333"/>
      <c r="R116" s="333"/>
      <c r="S116" s="333"/>
      <c r="T116" s="333"/>
      <c r="U116" s="333"/>
      <c r="V116" s="333"/>
      <c r="W116" s="333"/>
      <c r="X116" s="333"/>
      <c r="Y116" s="333"/>
      <c r="Z116" s="333"/>
      <c r="AA116" s="333"/>
      <c r="AB116" s="333"/>
      <c r="AC116" s="333"/>
      <c r="AD116" s="333"/>
      <c r="AE116" s="333"/>
      <c r="AF116" s="333"/>
      <c r="AG116" s="333"/>
      <c r="AH116" s="333"/>
      <c r="AI116" s="333"/>
      <c r="AJ116" s="333"/>
      <c r="AK116" s="333"/>
      <c r="AL116" s="333"/>
      <c r="AM116" s="333"/>
      <c r="AN116" s="333"/>
      <c r="AO116" s="333"/>
      <c r="AP116" s="333"/>
      <c r="AQ116" s="333"/>
      <c r="AR116" s="333"/>
      <c r="AS116" s="333"/>
      <c r="AT116" s="333"/>
      <c r="AU116" s="333"/>
      <c r="AV116" s="333"/>
      <c r="AW116" s="333"/>
      <c r="AX116" s="333"/>
      <c r="AY116" s="333"/>
      <c r="AZ116" s="333"/>
      <c r="BA116" s="333"/>
      <c r="BB116" s="333"/>
      <c r="BC116" s="333"/>
      <c r="BD116" s="333"/>
      <c r="BE116" s="333"/>
      <c r="BF116" s="333"/>
      <c r="BG116" s="333"/>
      <c r="BH116" s="333"/>
      <c r="BI116" s="333"/>
      <c r="BJ116" s="333"/>
      <c r="BK116" s="333"/>
      <c r="BL116" s="333"/>
      <c r="BM116" s="333"/>
      <c r="BN116" s="333"/>
      <c r="BO116" s="333"/>
      <c r="BP116" s="333"/>
      <c r="BQ116" s="333"/>
      <c r="BR116" s="333"/>
      <c r="BS116" s="333"/>
      <c r="BT116" s="333"/>
      <c r="BU116" s="333"/>
      <c r="BV116" s="333"/>
      <c r="BW116" s="333"/>
      <c r="BX116" s="333"/>
      <c r="BY116" s="333"/>
      <c r="BZ116" s="333"/>
      <c r="CA116" s="333"/>
      <c r="CB116" s="333"/>
      <c r="CC116" s="333"/>
      <c r="CD116" s="333"/>
      <c r="CE116" s="333"/>
      <c r="CF116" s="333"/>
      <c r="CG116" s="333"/>
      <c r="CH116" s="333"/>
      <c r="CI116" s="333"/>
      <c r="CJ116" s="333"/>
      <c r="CK116" s="333"/>
      <c r="CL116" s="333"/>
      <c r="CM116" s="333"/>
      <c r="CN116" s="333"/>
      <c r="CO116" s="333"/>
      <c r="CP116" s="333"/>
      <c r="CQ116" s="333"/>
      <c r="CR116" s="333"/>
      <c r="CS116" s="333"/>
      <c r="CT116" s="333"/>
      <c r="CU116" s="333"/>
      <c r="CV116" s="333"/>
      <c r="CW116" s="333"/>
      <c r="CX116" s="333"/>
      <c r="CY116" s="333"/>
      <c r="CZ116" s="333"/>
      <c r="DA116" s="333"/>
      <c r="DB116" s="333"/>
      <c r="DC116" s="333"/>
      <c r="DD116" s="333"/>
      <c r="DE116" s="333"/>
      <c r="DF116" s="333"/>
      <c r="DG116" s="333"/>
      <c r="DH116" s="333"/>
      <c r="DI116" s="333"/>
      <c r="DJ116" s="333"/>
      <c r="DK116" s="333"/>
      <c r="DL116" s="333"/>
      <c r="DM116" s="333"/>
      <c r="DN116" s="333"/>
      <c r="DO116" s="333"/>
      <c r="DP116" s="333"/>
      <c r="DQ116" s="333"/>
      <c r="DR116" s="333"/>
      <c r="DS116" s="333"/>
      <c r="DT116" s="333"/>
      <c r="DU116" s="359"/>
      <c r="DV116" s="359"/>
      <c r="DW116" s="359"/>
      <c r="DX116" s="359"/>
      <c r="DY116" s="359"/>
      <c r="DZ116" s="359"/>
      <c r="EA116" s="359"/>
      <c r="EB116" s="359"/>
      <c r="EC116" s="769">
        <f t="shared" si="190"/>
        <v>240</v>
      </c>
      <c r="ED116" s="889">
        <f t="shared" si="191"/>
        <v>0</v>
      </c>
      <c r="EE116" s="890"/>
      <c r="EF116" s="476">
        <f>GF161</f>
        <v>0</v>
      </c>
      <c r="EG116" s="889">
        <f t="shared" si="192"/>
        <v>0</v>
      </c>
      <c r="EH116" s="890"/>
      <c r="EI116" s="506">
        <f>GM161</f>
        <v>0</v>
      </c>
      <c r="EJ116" s="373"/>
      <c r="EK116" s="373"/>
      <c r="EL116" s="366"/>
      <c r="EM116" s="368"/>
      <c r="EN116" s="365"/>
      <c r="EO116" s="352">
        <f>IF(EO115=0, 0, SUM(EV113:FD117))</f>
        <v>0</v>
      </c>
      <c r="EP116" s="347"/>
      <c r="EQ116" s="342"/>
      <c r="ER116" s="522"/>
      <c r="ES116" s="916">
        <f>IF(ER116 = "", 0,
IF(AND(EP116 &gt; 0, EQ116 &gt;0), 0, IF(EO113 &lt;&gt; $Z$1,
IF(AND(EP116 &lt;&gt; "", EP116 &lt;&gt; 0), -(EP116 * ER116 * 100),
IF(AND(EQ116 &lt;&gt; "", EQ116 &lt;&gt; 0), (EQ116 * ER116 * 100), 0)),
IF(AND(EP116 &lt;&gt; "", EP116 &lt;&gt; 0), -(EP116 * ER116 * 1),
IF(AND(EQ116 &lt;&gt; "", EQ116 &lt;&gt; 0), (EQ116 * ER116 * 1), 0))  )))</f>
        <v>0</v>
      </c>
      <c r="ET116" s="917"/>
      <c r="EU116" s="918"/>
      <c r="EV116" s="916">
        <f>IF(ER116 = "", 0,
IF(AND(EP116 &gt; 0, EQ116 &gt;0), 0,  IF(EO113 &lt;&gt; $Z$1,
IF(AND(EP116 &lt;&gt; "", EP116 &lt;&gt; 0), -(EP116 * ER116 * 100 * (1 + COMIS_OPCION)),
IF(AND(EQ116 &lt;&gt; "", EQ116 &lt;&gt; 0), (EQ116 * ER116 * 100 * (1 - COMIS_OPCION)), 0)),
IF(AND(EP116 &lt;&gt; "", EP116 &lt;&gt; 0), -(EP116 * ER116 * 1 * (1 + COMIS_ACCION)),
IF(AND(EQ116 &lt;&gt; "", EQ116 &lt;&gt; 0), (EQ116 * ER116 * 1 * (1 - COMIS_ACCION)), 0))  )))</f>
        <v>0</v>
      </c>
      <c r="EW116" s="917"/>
      <c r="EX116" s="917"/>
      <c r="EY116" s="917"/>
      <c r="EZ116" s="917"/>
      <c r="FA116" s="917"/>
      <c r="FB116" s="917"/>
      <c r="FC116" s="917"/>
      <c r="FD116" s="925"/>
      <c r="FE116" s="340"/>
      <c r="FF116" s="340"/>
      <c r="FG116" s="365"/>
      <c r="FH116" s="365"/>
      <c r="FI116" s="354">
        <f>IF(FI115=0, 0, SUM(FP113:FX117))</f>
        <v>0</v>
      </c>
      <c r="FJ116" s="347"/>
      <c r="FK116" s="342"/>
      <c r="FL116" s="343"/>
      <c r="FM116" s="930">
        <f>IF(FL116 = "", 0,
IF(AND(FJ116 &gt; 0, FK116 &gt;0), 0,
IF(AND(FJ116 &lt;&gt; "", FJ116 &lt;&gt; 0), -(FJ116 * FL116 * 100),
IF(AND(FK116 &lt;&gt; "", FK116 &lt;&gt; 0), (FK116 * FL116 * 100), 0)) ))</f>
        <v>0</v>
      </c>
      <c r="FN116" s="931"/>
      <c r="FO116" s="932"/>
      <c r="FP116" s="930">
        <f>IF(FL116 = "", 0,
IF(AND(FJ116 &gt; 0, FK116 &gt;0), 0,
IF(AND(FJ116 &lt;&gt; "", FJ116 &lt;&gt; 0), -(FJ116 * FL116 * 100 * (1 + COMIS_OPCION)),
IF(AND(FK116 &lt;&gt; "", FK116 &lt;&gt; 0), (FK116 * FL116 * 100 * (1 - COMIS_OPCION)), 0)) ))</f>
        <v>0</v>
      </c>
      <c r="FQ116" s="931"/>
      <c r="FR116" s="931"/>
      <c r="FS116" s="931"/>
      <c r="FT116" s="931"/>
      <c r="FU116" s="931"/>
      <c r="FV116" s="931"/>
      <c r="FW116" s="931"/>
      <c r="FX116" s="933"/>
      <c r="FY116" s="341"/>
      <c r="FZ116" s="341"/>
      <c r="GA116" s="341"/>
      <c r="GB116" s="495">
        <v>0</v>
      </c>
      <c r="GC116" s="495">
        <v>0</v>
      </c>
      <c r="GD116" s="500"/>
      <c r="GE116" s="495">
        <v>0</v>
      </c>
      <c r="GF116" s="495">
        <v>0</v>
      </c>
      <c r="GG116" s="495">
        <v>0</v>
      </c>
      <c r="GH116" s="359"/>
      <c r="GI116" s="359"/>
      <c r="GJ116" s="501"/>
      <c r="GK116" s="495">
        <v>0</v>
      </c>
      <c r="GL116" s="495">
        <v>0</v>
      </c>
      <c r="GM116" s="495">
        <v>0</v>
      </c>
      <c r="GN116" s="359"/>
      <c r="GO116" s="359"/>
      <c r="GP116" s="501"/>
      <c r="GQ116" s="495">
        <v>0</v>
      </c>
      <c r="GR116" s="359"/>
      <c r="GS116" s="333"/>
      <c r="GT116" s="333"/>
      <c r="GU116" s="333"/>
      <c r="GV116" s="333"/>
      <c r="GW116" s="333"/>
      <c r="GX116" s="333"/>
      <c r="GY116" s="333"/>
      <c r="GZ116" s="333"/>
      <c r="HA116" s="333"/>
      <c r="HB116" s="333"/>
      <c r="HC116" s="333"/>
      <c r="HD116" s="333"/>
      <c r="HE116" s="333"/>
      <c r="HF116" s="333"/>
      <c r="HG116" s="331"/>
      <c r="HH116" s="331"/>
      <c r="HI116" s="331"/>
      <c r="HJ116" s="331"/>
      <c r="HK116" s="331"/>
      <c r="HL116" s="331"/>
      <c r="HM116" s="331"/>
      <c r="HN116" s="333"/>
      <c r="HO116" s="333"/>
      <c r="HP116" s="333"/>
      <c r="HQ116" s="333"/>
      <c r="HR116" s="333"/>
      <c r="HS116" s="333"/>
      <c r="HT116" s="333"/>
      <c r="HU116" s="333"/>
      <c r="HV116" s="333"/>
      <c r="HW116" s="333"/>
      <c r="HX116" s="333"/>
      <c r="HY116" s="333"/>
      <c r="HZ116" s="333"/>
      <c r="IA116" s="333"/>
      <c r="IB116" s="333"/>
      <c r="IC116" s="333"/>
      <c r="ID116" s="55"/>
      <c r="IE116" s="47"/>
      <c r="IF116" s="52"/>
    </row>
    <row r="117" spans="13:240" s="142" customFormat="1" ht="15" customHeight="1" thickBot="1">
      <c r="M117" s="333"/>
      <c r="N117" s="333"/>
      <c r="O117" s="333"/>
      <c r="P117" s="333"/>
      <c r="Q117" s="333"/>
      <c r="R117" s="333"/>
      <c r="S117" s="333"/>
      <c r="T117" s="333"/>
      <c r="U117" s="333"/>
      <c r="V117" s="333"/>
      <c r="W117" s="333"/>
      <c r="X117" s="333"/>
      <c r="Y117" s="333"/>
      <c r="Z117" s="333"/>
      <c r="AA117" s="333"/>
      <c r="AB117" s="333"/>
      <c r="AC117" s="333"/>
      <c r="AD117" s="333"/>
      <c r="AE117" s="333"/>
      <c r="AF117" s="333"/>
      <c r="AG117" s="333"/>
      <c r="AH117" s="333"/>
      <c r="AI117" s="333"/>
      <c r="AJ117" s="333"/>
      <c r="AK117" s="333"/>
      <c r="AL117" s="333"/>
      <c r="AM117" s="333"/>
      <c r="AN117" s="333"/>
      <c r="AO117" s="333"/>
      <c r="AP117" s="333"/>
      <c r="AQ117" s="333"/>
      <c r="AR117" s="333"/>
      <c r="AS117" s="333"/>
      <c r="AT117" s="333"/>
      <c r="AU117" s="333"/>
      <c r="AV117" s="333"/>
      <c r="AW117" s="333"/>
      <c r="AX117" s="333"/>
      <c r="AY117" s="333"/>
      <c r="AZ117" s="333"/>
      <c r="BA117" s="333"/>
      <c r="BB117" s="333"/>
      <c r="BC117" s="333"/>
      <c r="BD117" s="333"/>
      <c r="BE117" s="333"/>
      <c r="BF117" s="333"/>
      <c r="BG117" s="333"/>
      <c r="BH117" s="333"/>
      <c r="BI117" s="333"/>
      <c r="BJ117" s="333"/>
      <c r="BK117" s="333"/>
      <c r="BL117" s="333"/>
      <c r="BM117" s="333"/>
      <c r="BN117" s="333"/>
      <c r="BO117" s="333"/>
      <c r="BP117" s="333"/>
      <c r="BQ117" s="333"/>
      <c r="BR117" s="333"/>
      <c r="BS117" s="333"/>
      <c r="BT117" s="333"/>
      <c r="BU117" s="333"/>
      <c r="BV117" s="333"/>
      <c r="BW117" s="333"/>
      <c r="BX117" s="333"/>
      <c r="BY117" s="333"/>
      <c r="BZ117" s="333"/>
      <c r="CA117" s="333"/>
      <c r="CB117" s="333"/>
      <c r="CC117" s="333"/>
      <c r="CD117" s="333"/>
      <c r="CE117" s="333"/>
      <c r="CF117" s="333"/>
      <c r="CG117" s="333"/>
      <c r="CH117" s="333"/>
      <c r="CI117" s="333"/>
      <c r="CJ117" s="333"/>
      <c r="CK117" s="333"/>
      <c r="CL117" s="333"/>
      <c r="CM117" s="333"/>
      <c r="CN117" s="333"/>
      <c r="CO117" s="333"/>
      <c r="CP117" s="333"/>
      <c r="CQ117" s="333"/>
      <c r="CR117" s="333"/>
      <c r="CS117" s="333"/>
      <c r="CT117" s="333"/>
      <c r="CU117" s="333"/>
      <c r="CV117" s="333"/>
      <c r="CW117" s="333"/>
      <c r="CX117" s="333"/>
      <c r="CY117" s="333"/>
      <c r="CZ117" s="333"/>
      <c r="DA117" s="333"/>
      <c r="DB117" s="333"/>
      <c r="DC117" s="333"/>
      <c r="DD117" s="333"/>
      <c r="DE117" s="333"/>
      <c r="DF117" s="333"/>
      <c r="DG117" s="333"/>
      <c r="DH117" s="333"/>
      <c r="DI117" s="333"/>
      <c r="DJ117" s="333"/>
      <c r="DK117" s="333"/>
      <c r="DL117" s="333"/>
      <c r="DM117" s="333"/>
      <c r="DN117" s="333"/>
      <c r="DO117" s="333"/>
      <c r="DP117" s="333"/>
      <c r="DQ117" s="333"/>
      <c r="DR117" s="333"/>
      <c r="DS117" s="333"/>
      <c r="DT117" s="333"/>
      <c r="DU117" s="359"/>
      <c r="DV117" s="359"/>
      <c r="DW117" s="359"/>
      <c r="DX117" s="359"/>
      <c r="DY117" s="359"/>
      <c r="DZ117" s="359"/>
      <c r="EA117" s="359"/>
      <c r="EB117" s="359"/>
      <c r="EC117" s="769">
        <f t="shared" si="190"/>
        <v>250</v>
      </c>
      <c r="ED117" s="889">
        <f t="shared" si="191"/>
        <v>0</v>
      </c>
      <c r="EE117" s="890"/>
      <c r="EF117" s="476">
        <f>GF167</f>
        <v>0</v>
      </c>
      <c r="EG117" s="889">
        <f t="shared" si="192"/>
        <v>0</v>
      </c>
      <c r="EH117" s="890"/>
      <c r="EI117" s="506">
        <f>GM167</f>
        <v>0</v>
      </c>
      <c r="EJ117" s="373"/>
      <c r="EK117" s="373"/>
      <c r="EL117" s="366"/>
      <c r="EM117" s="368"/>
      <c r="EN117" s="365"/>
      <c r="EO117" s="353">
        <f>+IF(EO115= 0, 0, GG113)</f>
        <v>0</v>
      </c>
      <c r="EP117" s="350"/>
      <c r="EQ117" s="344"/>
      <c r="ER117" s="523"/>
      <c r="ES117" s="921">
        <f>IF(ER117 = "", 0,
IF(AND(EP117 &gt; 0, EQ117 &gt;0), 0, IF(EO113 &lt;&gt; $Z$1,
IF(AND(EP117 &lt;&gt; "", EP117 &lt;&gt; 0), -(EP117 * ER117 * 100),
IF(AND(EQ117 &lt;&gt; "", EQ117 &lt;&gt; 0), (EQ117 * ER117 * 100), 0)),
IF(AND(EP117 &lt;&gt; "", EP117 &lt;&gt; 0), -(EP117 * ER117 * 1),
IF(AND(EQ117 &lt;&gt; "", EQ117 &lt;&gt; 0), (EQ117 * ER117 * 1), 0))  )))</f>
        <v>0</v>
      </c>
      <c r="ET117" s="922"/>
      <c r="EU117" s="924"/>
      <c r="EV117" s="921">
        <f>IF(ER117 = "", 0,
IF(AND(EP117 &gt; 0, EQ117 &gt;0), 0,  IF(EO113 &lt;&gt; $Z$1,
IF(AND(EP117 &lt;&gt; "", EP117 &lt;&gt; 0), -(EP117 * ER117 * 100 * (1 + COMIS_OPCION)),
IF(AND(EQ117 &lt;&gt; "", EQ117 &lt;&gt; 0), (EQ117 * ER117 * 100 * (1 - COMIS_OPCION)), 0)),
IF(AND(EP117 &lt;&gt; "", EP117 &lt;&gt; 0), -(EP117 * ER117 * 1 * (1 + COMIS_ACCION)),
IF(AND(EQ117 &lt;&gt; "", EQ117 &lt;&gt; 0), (EQ117 * ER117 * 1 * (1 - COMIS_ACCION)), 0))  )))</f>
        <v>0</v>
      </c>
      <c r="EW117" s="922"/>
      <c r="EX117" s="922"/>
      <c r="EY117" s="922"/>
      <c r="EZ117" s="922"/>
      <c r="FA117" s="922"/>
      <c r="FB117" s="922"/>
      <c r="FC117" s="922"/>
      <c r="FD117" s="923"/>
      <c r="FE117" s="340"/>
      <c r="FF117" s="340"/>
      <c r="FG117" s="365"/>
      <c r="FH117" s="365"/>
      <c r="FI117" s="349">
        <f>+IF(FI115= 0, 0, GQ113)</f>
        <v>0</v>
      </c>
      <c r="FJ117" s="348"/>
      <c r="FK117" s="345"/>
      <c r="FL117" s="346"/>
      <c r="FM117" s="937">
        <f>IF(FL117 = "", 0,
IF(AND(FJ117 &gt; 0, FK117 &gt;0), 0,
IF(AND(FJ117 &lt;&gt; "", FJ117 &lt;&gt; 0), -(FJ117 * FL117 * 100),
IF(AND(FK117 &lt;&gt; "", FK117 &lt;&gt; 0), (FK117 * FL117 * 100), 0)) ))</f>
        <v>0</v>
      </c>
      <c r="FN117" s="938"/>
      <c r="FO117" s="939"/>
      <c r="FP117" s="937">
        <f>IF(FL117 = "", 0,
IF(AND(FJ117 &gt; 0, FK117 &gt;0), 0,
IF(AND(FJ117 &lt;&gt; "", FJ117 &lt;&gt; 0), -(FJ117 * FL117 * 100 * (1 + COMIS_OPCION)),
IF(AND(FK117 &lt;&gt; "", FK117 &lt;&gt; 0), (FK117 * FL117 * 100 * (1 - COMIS_OPCION)), 0)) ))</f>
        <v>0</v>
      </c>
      <c r="FQ117" s="938"/>
      <c r="FR117" s="938"/>
      <c r="FS117" s="938"/>
      <c r="FT117" s="938"/>
      <c r="FU117" s="938"/>
      <c r="FV117" s="938"/>
      <c r="FW117" s="938"/>
      <c r="FX117" s="969"/>
      <c r="FY117" s="341"/>
      <c r="FZ117" s="341"/>
      <c r="GA117" s="341"/>
      <c r="GB117" s="495">
        <v>0</v>
      </c>
      <c r="GC117" s="495">
        <v>0</v>
      </c>
      <c r="GD117" s="500"/>
      <c r="GE117" s="495">
        <v>0</v>
      </c>
      <c r="GF117" s="495">
        <v>0</v>
      </c>
      <c r="GG117" s="495">
        <v>0</v>
      </c>
      <c r="GH117" s="359"/>
      <c r="GI117" s="359"/>
      <c r="GJ117" s="501"/>
      <c r="GK117" s="495">
        <v>0</v>
      </c>
      <c r="GL117" s="495">
        <v>0</v>
      </c>
      <c r="GM117" s="495">
        <v>0</v>
      </c>
      <c r="GN117" s="359"/>
      <c r="GO117" s="359"/>
      <c r="GP117" s="501"/>
      <c r="GQ117" s="495">
        <v>0</v>
      </c>
      <c r="GR117" s="359"/>
      <c r="GS117" s="333"/>
      <c r="GT117" s="333"/>
      <c r="GU117" s="333"/>
      <c r="GV117" s="333"/>
      <c r="GW117" s="333"/>
      <c r="GX117" s="333"/>
      <c r="GY117" s="333"/>
      <c r="GZ117" s="333"/>
      <c r="HA117" s="333"/>
      <c r="HB117" s="333"/>
      <c r="HC117" s="333"/>
      <c r="HD117" s="333"/>
      <c r="HE117" s="333"/>
      <c r="HF117" s="333"/>
      <c r="HG117" s="331"/>
      <c r="HH117" s="331"/>
      <c r="HI117" s="331"/>
      <c r="HJ117" s="331"/>
      <c r="HK117" s="331"/>
      <c r="HL117" s="331"/>
      <c r="HM117" s="331"/>
      <c r="HN117" s="333"/>
      <c r="HO117" s="333"/>
      <c r="HP117" s="333"/>
      <c r="HQ117" s="333"/>
      <c r="HR117" s="333"/>
      <c r="HS117" s="333"/>
      <c r="HT117" s="333"/>
      <c r="HU117" s="333"/>
      <c r="HV117" s="333"/>
      <c r="HW117" s="333"/>
      <c r="HX117" s="333"/>
      <c r="HY117" s="333"/>
      <c r="HZ117" s="333"/>
      <c r="IA117" s="333"/>
      <c r="IB117" s="333"/>
      <c r="IC117" s="333"/>
      <c r="ID117" s="55"/>
      <c r="IE117" s="47"/>
      <c r="IF117" s="52"/>
    </row>
    <row r="118" spans="13:240" s="142" customFormat="1" ht="15" customHeight="1" thickBot="1">
      <c r="M118" s="333"/>
      <c r="N118" s="333"/>
      <c r="O118" s="333"/>
      <c r="P118" s="333"/>
      <c r="Q118" s="333"/>
      <c r="R118" s="333"/>
      <c r="S118" s="333"/>
      <c r="T118" s="333"/>
      <c r="U118" s="333"/>
      <c r="V118" s="333"/>
      <c r="W118" s="333"/>
      <c r="X118" s="333"/>
      <c r="Y118" s="333"/>
      <c r="Z118" s="333"/>
      <c r="AA118" s="333"/>
      <c r="AB118" s="333"/>
      <c r="AC118" s="333"/>
      <c r="AD118" s="333"/>
      <c r="AE118" s="333"/>
      <c r="AF118" s="333"/>
      <c r="AG118" s="333"/>
      <c r="AH118" s="333"/>
      <c r="AI118" s="333"/>
      <c r="AJ118" s="333"/>
      <c r="AK118" s="333"/>
      <c r="AL118" s="333"/>
      <c r="AM118" s="333"/>
      <c r="AN118" s="333"/>
      <c r="AO118" s="333"/>
      <c r="AP118" s="333"/>
      <c r="AQ118" s="333"/>
      <c r="AR118" s="333"/>
      <c r="AS118" s="333"/>
      <c r="AT118" s="333"/>
      <c r="AU118" s="333"/>
      <c r="AV118" s="333"/>
      <c r="AW118" s="333"/>
      <c r="AX118" s="333"/>
      <c r="AY118" s="333"/>
      <c r="AZ118" s="333"/>
      <c r="BA118" s="333"/>
      <c r="BB118" s="333"/>
      <c r="BC118" s="333"/>
      <c r="BD118" s="333"/>
      <c r="BE118" s="333"/>
      <c r="BF118" s="333"/>
      <c r="BG118" s="333"/>
      <c r="BH118" s="333"/>
      <c r="BI118" s="333"/>
      <c r="BJ118" s="333"/>
      <c r="BK118" s="333"/>
      <c r="BL118" s="333"/>
      <c r="BM118" s="333"/>
      <c r="BN118" s="333"/>
      <c r="BO118" s="333"/>
      <c r="BP118" s="333"/>
      <c r="BQ118" s="333"/>
      <c r="BR118" s="333"/>
      <c r="BS118" s="333"/>
      <c r="BT118" s="333"/>
      <c r="BU118" s="333"/>
      <c r="BV118" s="333"/>
      <c r="BW118" s="333"/>
      <c r="BX118" s="333"/>
      <c r="BY118" s="333"/>
      <c r="BZ118" s="333"/>
      <c r="CA118" s="333"/>
      <c r="CB118" s="333"/>
      <c r="CC118" s="333"/>
      <c r="CD118" s="333"/>
      <c r="CE118" s="333"/>
      <c r="CF118" s="333"/>
      <c r="CG118" s="333"/>
      <c r="CH118" s="333"/>
      <c r="CI118" s="333"/>
      <c r="CJ118" s="333"/>
      <c r="CK118" s="333"/>
      <c r="CL118" s="333"/>
      <c r="CM118" s="333"/>
      <c r="CN118" s="333"/>
      <c r="CO118" s="333"/>
      <c r="CP118" s="333"/>
      <c r="CQ118" s="333"/>
      <c r="CR118" s="333"/>
      <c r="CS118" s="333"/>
      <c r="CT118" s="333"/>
      <c r="CU118" s="333"/>
      <c r="CV118" s="333"/>
      <c r="CW118" s="333"/>
      <c r="CX118" s="333"/>
      <c r="CY118" s="333"/>
      <c r="CZ118" s="333"/>
      <c r="DA118" s="333"/>
      <c r="DB118" s="333"/>
      <c r="DC118" s="333"/>
      <c r="DD118" s="333"/>
      <c r="DE118" s="333"/>
      <c r="DF118" s="333"/>
      <c r="DG118" s="333"/>
      <c r="DH118" s="333"/>
      <c r="DI118" s="333"/>
      <c r="DJ118" s="333"/>
      <c r="DK118" s="333"/>
      <c r="DL118" s="333"/>
      <c r="DM118" s="333"/>
      <c r="DN118" s="333"/>
      <c r="DO118" s="333"/>
      <c r="DP118" s="333"/>
      <c r="DQ118" s="333"/>
      <c r="DR118" s="333"/>
      <c r="DS118" s="333"/>
      <c r="DT118" s="333"/>
      <c r="DU118" s="359"/>
      <c r="DV118" s="359"/>
      <c r="DW118" s="359"/>
      <c r="DX118" s="359"/>
      <c r="DY118" s="359"/>
      <c r="DZ118" s="359"/>
      <c r="EA118" s="359"/>
      <c r="EB118" s="359"/>
      <c r="EC118" s="769">
        <f t="shared" si="190"/>
        <v>260</v>
      </c>
      <c r="ED118" s="889">
        <f t="shared" si="191"/>
        <v>0</v>
      </c>
      <c r="EE118" s="890"/>
      <c r="EF118" s="476">
        <f>GF173</f>
        <v>0</v>
      </c>
      <c r="EG118" s="889">
        <f t="shared" si="192"/>
        <v>0</v>
      </c>
      <c r="EH118" s="890"/>
      <c r="EI118" s="506">
        <f>GM173</f>
        <v>0</v>
      </c>
      <c r="EJ118" s="373"/>
      <c r="EK118" s="373"/>
      <c r="EL118" s="366"/>
      <c r="EM118" s="369"/>
      <c r="EN118" s="364"/>
      <c r="EO118" s="363"/>
      <c r="EP118" s="340"/>
      <c r="EQ118" s="340"/>
      <c r="ER118" s="340"/>
      <c r="ES118" s="363"/>
      <c r="ET118" s="363"/>
      <c r="EU118" s="340"/>
      <c r="EV118" s="340"/>
      <c r="EW118" s="340"/>
      <c r="EX118" s="340"/>
      <c r="EY118" s="340"/>
      <c r="EZ118" s="340"/>
      <c r="FA118" s="340"/>
      <c r="FB118" s="402"/>
      <c r="FC118" s="402"/>
      <c r="FD118" s="340"/>
      <c r="FE118" s="340"/>
      <c r="FF118" s="340"/>
      <c r="FG118" s="364"/>
      <c r="FH118" s="364"/>
      <c r="FI118" s="363"/>
      <c r="FJ118" s="360"/>
      <c r="FK118" s="360"/>
      <c r="FL118" s="340"/>
      <c r="FM118" s="967"/>
      <c r="FN118" s="967"/>
      <c r="FO118" s="967"/>
      <c r="FP118" s="968"/>
      <c r="FQ118" s="968"/>
      <c r="FR118" s="968"/>
      <c r="FS118" s="968"/>
      <c r="FT118" s="968"/>
      <c r="FU118" s="968"/>
      <c r="FV118" s="968"/>
      <c r="FW118" s="968"/>
      <c r="FX118" s="968"/>
      <c r="FY118" s="341"/>
      <c r="FZ118" s="341"/>
      <c r="GA118" s="341"/>
      <c r="GB118" s="495">
        <v>0</v>
      </c>
      <c r="GC118" s="495">
        <v>0</v>
      </c>
      <c r="GD118" s="500"/>
      <c r="GE118" s="495">
        <v>0</v>
      </c>
      <c r="GF118" s="495">
        <v>0</v>
      </c>
      <c r="GG118" s="495">
        <v>0</v>
      </c>
      <c r="GH118" s="359"/>
      <c r="GI118" s="359"/>
      <c r="GJ118" s="501"/>
      <c r="GK118" s="495">
        <v>0</v>
      </c>
      <c r="GL118" s="495">
        <v>0</v>
      </c>
      <c r="GM118" s="495">
        <v>0</v>
      </c>
      <c r="GN118" s="359"/>
      <c r="GO118" s="359"/>
      <c r="GP118" s="501"/>
      <c r="GQ118" s="495">
        <v>0</v>
      </c>
      <c r="GR118" s="359"/>
      <c r="GS118" s="333"/>
      <c r="GT118" s="333"/>
      <c r="GU118" s="333"/>
      <c r="GV118" s="333"/>
      <c r="GW118" s="333"/>
      <c r="GX118" s="333"/>
      <c r="GY118" s="333"/>
      <c r="GZ118" s="333"/>
      <c r="HA118" s="333"/>
      <c r="HB118" s="333"/>
      <c r="HC118" s="333"/>
      <c r="HD118" s="333"/>
      <c r="HE118" s="333"/>
      <c r="HF118" s="333"/>
      <c r="HG118" s="331"/>
      <c r="HH118" s="331"/>
      <c r="HI118" s="331"/>
      <c r="HJ118" s="331"/>
      <c r="HK118" s="331"/>
      <c r="HL118" s="331"/>
      <c r="HM118" s="331"/>
      <c r="HN118" s="333"/>
      <c r="HO118" s="333"/>
      <c r="HP118" s="333"/>
      <c r="HQ118" s="333"/>
      <c r="HR118" s="333"/>
      <c r="HS118" s="333"/>
      <c r="HT118" s="333"/>
      <c r="HU118" s="333"/>
      <c r="HV118" s="333"/>
      <c r="HW118" s="333"/>
      <c r="HX118" s="333"/>
      <c r="HY118" s="333"/>
      <c r="HZ118" s="333"/>
      <c r="IA118" s="333"/>
      <c r="IB118" s="333"/>
      <c r="IC118" s="333"/>
      <c r="ID118" s="55"/>
      <c r="IE118" s="47"/>
      <c r="IF118" s="52"/>
    </row>
    <row r="119" spans="13:240" s="142" customFormat="1" ht="15" customHeight="1">
      <c r="M119" s="333"/>
      <c r="N119" s="333"/>
      <c r="O119" s="333"/>
      <c r="P119" s="333"/>
      <c r="Q119" s="333"/>
      <c r="R119" s="333"/>
      <c r="S119" s="333"/>
      <c r="T119" s="333"/>
      <c r="U119" s="333"/>
      <c r="V119" s="333"/>
      <c r="W119" s="333"/>
      <c r="X119" s="333"/>
      <c r="Y119" s="333"/>
      <c r="Z119" s="333"/>
      <c r="AA119" s="333"/>
      <c r="AB119" s="333"/>
      <c r="AC119" s="333"/>
      <c r="AD119" s="333"/>
      <c r="AE119" s="333"/>
      <c r="AF119" s="333"/>
      <c r="AG119" s="333"/>
      <c r="AH119" s="333"/>
      <c r="AI119" s="333"/>
      <c r="AJ119" s="333"/>
      <c r="AK119" s="333"/>
      <c r="AL119" s="333"/>
      <c r="AM119" s="333"/>
      <c r="AN119" s="333"/>
      <c r="AO119" s="333"/>
      <c r="AP119" s="333"/>
      <c r="AQ119" s="333"/>
      <c r="AR119" s="333"/>
      <c r="AS119" s="333"/>
      <c r="AT119" s="333"/>
      <c r="AU119" s="333"/>
      <c r="AV119" s="333"/>
      <c r="AW119" s="333"/>
      <c r="AX119" s="333"/>
      <c r="AY119" s="333"/>
      <c r="AZ119" s="333"/>
      <c r="BA119" s="333"/>
      <c r="BB119" s="333"/>
      <c r="BC119" s="333"/>
      <c r="BD119" s="333"/>
      <c r="BE119" s="333"/>
      <c r="BF119" s="333"/>
      <c r="BG119" s="333"/>
      <c r="BH119" s="333"/>
      <c r="BI119" s="333"/>
      <c r="BJ119" s="333"/>
      <c r="BK119" s="333"/>
      <c r="BL119" s="333"/>
      <c r="BM119" s="333"/>
      <c r="BN119" s="333"/>
      <c r="BO119" s="333"/>
      <c r="BP119" s="333"/>
      <c r="BQ119" s="333"/>
      <c r="BR119" s="333"/>
      <c r="BS119" s="333"/>
      <c r="BT119" s="333"/>
      <c r="BU119" s="333"/>
      <c r="BV119" s="333"/>
      <c r="BW119" s="333"/>
      <c r="BX119" s="333"/>
      <c r="BY119" s="333"/>
      <c r="BZ119" s="333"/>
      <c r="CA119" s="333"/>
      <c r="CB119" s="333"/>
      <c r="CC119" s="333"/>
      <c r="CD119" s="333"/>
      <c r="CE119" s="333"/>
      <c r="CF119" s="333"/>
      <c r="CG119" s="333"/>
      <c r="CH119" s="333"/>
      <c r="CI119" s="333"/>
      <c r="CJ119" s="333"/>
      <c r="CK119" s="333"/>
      <c r="CL119" s="333"/>
      <c r="CM119" s="333"/>
      <c r="CN119" s="333"/>
      <c r="CO119" s="333"/>
      <c r="CP119" s="333"/>
      <c r="CQ119" s="333"/>
      <c r="CR119" s="333"/>
      <c r="CS119" s="333"/>
      <c r="CT119" s="333"/>
      <c r="CU119" s="333"/>
      <c r="CV119" s="333"/>
      <c r="CW119" s="333"/>
      <c r="CX119" s="333"/>
      <c r="CY119" s="333"/>
      <c r="CZ119" s="333"/>
      <c r="DA119" s="333"/>
      <c r="DB119" s="333"/>
      <c r="DC119" s="333"/>
      <c r="DD119" s="333"/>
      <c r="DE119" s="333"/>
      <c r="DF119" s="333"/>
      <c r="DG119" s="333"/>
      <c r="DH119" s="333"/>
      <c r="DI119" s="333"/>
      <c r="DJ119" s="333"/>
      <c r="DK119" s="333"/>
      <c r="DL119" s="333"/>
      <c r="DM119" s="333"/>
      <c r="DN119" s="333"/>
      <c r="DO119" s="333"/>
      <c r="DP119" s="333"/>
      <c r="DQ119" s="333"/>
      <c r="DR119" s="333"/>
      <c r="DS119" s="333"/>
      <c r="DT119" s="333"/>
      <c r="DU119" s="359"/>
      <c r="DV119" s="359"/>
      <c r="DW119" s="359"/>
      <c r="DX119" s="359"/>
      <c r="DY119" s="359"/>
      <c r="DZ119" s="359"/>
      <c r="EA119" s="359"/>
      <c r="EB119" s="359"/>
      <c r="EC119" s="769">
        <f t="shared" si="190"/>
        <v>270</v>
      </c>
      <c r="ED119" s="889">
        <f t="shared" si="191"/>
        <v>0</v>
      </c>
      <c r="EE119" s="890"/>
      <c r="EF119" s="476">
        <f>GF179</f>
        <v>0</v>
      </c>
      <c r="EG119" s="889">
        <f t="shared" si="192"/>
        <v>0</v>
      </c>
      <c r="EH119" s="890"/>
      <c r="EI119" s="506">
        <f>GM179</f>
        <v>0</v>
      </c>
      <c r="EJ119" s="373"/>
      <c r="EK119" s="373"/>
      <c r="EL119" s="366"/>
      <c r="EM119" s="366"/>
      <c r="EN119" s="364">
        <f>+EN113+1</f>
        <v>12</v>
      </c>
      <c r="EO119" s="356">
        <f>+VLOOKUP(EN119, PRECIOS_EJERCICIOS,  2,FALSE)</f>
        <v>185</v>
      </c>
      <c r="EP119" s="513" t="str">
        <f>+IF($AQ$49 = FALSE, "",
IF(VLOOKUP(EO119, basesCantPrimaBrutoRes, 2,FALSE) &gt;= 0, VLOOKUP(EO119, basesCantPrimaBrutoRes, 2,FALSE), 0))</f>
        <v/>
      </c>
      <c r="EQ119" s="514" t="str">
        <f>+IF($AQ$49 = FALSE, "",
IF(VLOOKUP(EO119, basesCantPrimaBrutoRes, 2,FALSE) &lt; 0, -VLOOKUP(EO119, basesCantPrimaBrutoRes, 2,FALSE), 0))</f>
        <v/>
      </c>
      <c r="ER119" s="521" t="str">
        <f>IF($AQ$49 = FALSE, "",
VLOOKUP(EO119, basesCantPrimaBrutoRes, 4,FALSE))</f>
        <v/>
      </c>
      <c r="ES119" s="926">
        <f>IF(ER119 = "", 0,
IF(AND(EP119 &gt; 0, EQ119 &gt;0), 0, IF(EO119 &lt;&gt; $Z$1,
IF(AND(EP119 &lt;&gt; "", EP119 &lt;&gt; 0), -(EP119 * ER119 * 100),
IF(AND(EQ119 &lt;&gt; "", EQ119 &lt;&gt; 0), (EQ119 * ER119 * 100), 0)),
IF(AND(EP119 &lt;&gt; "", EP119 &lt;&gt; 0), -(EP119 * ER119 * 1),
IF(AND(EQ119 &lt;&gt; "", EQ119 &lt;&gt; 0), (EQ119 * ER119 * 1), 0))  )))</f>
        <v>0</v>
      </c>
      <c r="ET119" s="927"/>
      <c r="EU119" s="928"/>
      <c r="EV119" s="926">
        <f>IF(ER119 = "", 0,
IF(AND(EP119 &gt; 0, EQ119 &gt;0), 0,  IF(EO119 &lt;&gt; $Z$1,
IF(AND(EP119 &lt;&gt; "", EP119 &lt;&gt; 0), -(EP119 * ER119 * 100 * (1 + COMIS_OPCION)),
IF(AND(EQ119 &lt;&gt; "", EQ119 &lt;&gt; 0), (EQ119 * ER119 * 100 * (1 - COMIS_OPCION)), 0)),
IF(AND(EP119 &lt;&gt; "", EP119 &lt;&gt; 0), -(EP119 * ER119 * 1 * (1 + COMIS_ACCION)),
IF(AND(EQ119 &lt;&gt; "", EQ119 &lt;&gt; 0), (EQ119 * ER119 * 1 * (1 - COMIS_ACCION)), 0))  )))</f>
        <v>0</v>
      </c>
      <c r="EW119" s="927"/>
      <c r="EX119" s="927"/>
      <c r="EY119" s="927"/>
      <c r="EZ119" s="927"/>
      <c r="FA119" s="927"/>
      <c r="FB119" s="927"/>
      <c r="FC119" s="927"/>
      <c r="FD119" s="929"/>
      <c r="FE119" s="340"/>
      <c r="FF119" s="340"/>
      <c r="FG119" s="364"/>
      <c r="FH119" s="364">
        <f>+FH113+1</f>
        <v>12</v>
      </c>
      <c r="FI119" s="357">
        <f>+VLOOKUP(FH119, PRECIOS_EJERCICIOS,  2,FALSE)</f>
        <v>185</v>
      </c>
      <c r="FJ119" s="515" t="str">
        <f>+IF($AQ$49 = FALSE, "",
IF(VLOOKUP(EO119, basesCantPrimaBrutoRes, 5,FALSE) &gt;= 0, VLOOKUP(EO119, basesCantPrimaBrutoRes, 5,FALSE), 0))</f>
        <v/>
      </c>
      <c r="FK119" s="516" t="str">
        <f>+IF($AQ$49 = FALSE, "",
IF(VLOOKUP(EO119, basesCantPrimaBrutoRes, 5,FALSE) &lt; 0, -VLOOKUP(EO119, basesCantPrimaBrutoRes, 5,FALSE), 0))</f>
        <v/>
      </c>
      <c r="FL119" s="517" t="str">
        <f>IF($AQ$49 = FALSE, "",
VLOOKUP(EO119, basesCantPrimaBrutoRes, 7,FALSE))</f>
        <v/>
      </c>
      <c r="FM119" s="934">
        <f>IF(FL119 = "", 0,
IF(AND(FJ119 &gt; 0, FK119 &gt;0), 0,
IF(AND(FJ119 &lt;&gt; "", FJ119 &lt;&gt; 0), -(FJ119 * FL119 * 100),
IF(AND(FK119 &lt;&gt; "", FK119 &lt;&gt; 0), (FK119 * FL119 * 100), 0)) ))</f>
        <v>0</v>
      </c>
      <c r="FN119" s="935"/>
      <c r="FO119" s="936"/>
      <c r="FP119" s="934">
        <f>IF(FL119 = "", 0,
IF(AND(FJ119 &gt; 0, FK119 &gt;0), 0,
IF(AND(FJ119 &lt;&gt; "", FJ119 &lt;&gt; 0), -(FJ119 * FL119 * 100 * (1 + COMIS_OPCION)),
IF(AND(FK119 &lt;&gt; "", FK119 &lt;&gt; 0), (FK119 * FL119 * 100 * (1 - COMIS_OPCION)), 0)) ))</f>
        <v>0</v>
      </c>
      <c r="FQ119" s="935"/>
      <c r="FR119" s="935"/>
      <c r="FS119" s="935"/>
      <c r="FT119" s="935"/>
      <c r="FU119" s="935"/>
      <c r="FV119" s="935"/>
      <c r="FW119" s="935"/>
      <c r="FX119" s="966"/>
      <c r="FY119" s="341"/>
      <c r="FZ119" s="341"/>
      <c r="GA119" s="341"/>
      <c r="GB119" s="495">
        <f>+IF(EN119 = "", "", EO119)</f>
        <v>185</v>
      </c>
      <c r="GC119" s="495" t="str">
        <f>+IF(GB119="", "", IF(EO119 = $Z$1, "ACCION", "CALL"))</f>
        <v>CALL</v>
      </c>
      <c r="GD119" s="500"/>
      <c r="GE119" s="495">
        <f>+IF(GB119= "", "", EO121)</f>
        <v>0</v>
      </c>
      <c r="GF119" s="495">
        <f>+IF(GB119 = "", "", IFERROR(IF(GB119 &lt;&gt; $Z$1,
IF(GE119 &gt; 0, SUMIFS(ES119:ES123, EP119:EP123, "&gt;0", ES119:ES123, "&lt;&gt;0") / SUMIFS(EP119:EP123, EP119:EP123, "&gt;0", ES119:ES123, "&lt;&gt;0") / -100,
IF(GE119 &lt; 0, SUMIFS(ES119:ES123, EQ119:EQ123, "&gt;0", ES119:ES123, "&lt;&gt;0") / SUMIFS(EQ119:EQ123, EQ119:EQ123, "&gt;0", ES119:ES123, "&lt;&gt;0") / 100, 0)),
IF(GE119 &gt; 0, SUMIFS(ES119:ES123, EP119:EP123, "&gt;0", ES119:ES123, "&lt;&gt;0") / SUMIFS(EP119:EP123, EP119:EP123, "&gt;0", ES119:ES123, "&lt;&gt;0") / -1,
IF(GE119 &lt; 0, SUMIFS(ES119:ES123, EQ119:EQ123, "&gt;0", ES119:ES123, "&lt;&gt;0") / SUMIFS(EQ119:EQ123, EQ119:EQ123, "&gt;0", ES119:ES123, "&lt;&gt;0") / 1, 0)) ), 0))</f>
        <v>0</v>
      </c>
      <c r="GG119" s="495">
        <f>+IF(GB119 = "", "", IFERROR(IF(GB119 &lt;&gt; $Z$1,
IF(GE119 &gt; 0, SUMIFS(EV119:EV123, EP119:EP123, "&gt;0", EV119:EV123, "&lt;&gt;0") / SUMIFS(EP119:EP123, EP119:EP123, "&gt;0", EV119:EV123, "&lt;&gt;0") / -100,
IF(GE119 &lt; 0, SUMIFS(EV119:EV123, EQ119:EQ123, "&gt;0", EV119:EV123, "&lt;&gt;0") / SUMIFS(EQ119:EQ123, EQ119:EQ123, "&gt;0", EV119:EV123, "&lt;&gt;0") / 100, 0)),
IF(GE119 &gt; 0, SUMIFS(EV119:EV123, EP119:EP123, "&gt;0", EV119:EV123, "&lt;&gt;0") / SUMIFS(EP119:EP123, EP119:EP123, "&gt;0", EV119:EV123, "&lt;&gt;0") / -1,
IF(GE119 &lt; 0, SUMIFS(EV119:EV123, EQ119:EQ123, "&gt;0", EV119:EV123, "&lt;&gt;0") / SUMIFS(EQ119:EQ123, EQ119:EQ123, "&gt;0", EV119:EV123, "&lt;&gt;0") / 1, 0)) ), 0))</f>
        <v>0</v>
      </c>
      <c r="GH119" s="359"/>
      <c r="GI119" s="359"/>
      <c r="GJ119" s="501"/>
      <c r="GK119" s="495" t="str">
        <f>+IF(GB119="", "", "PUT")</f>
        <v>PUT</v>
      </c>
      <c r="GL119" s="495">
        <f>+IF(GB119 = "", "", FI121)</f>
        <v>0</v>
      </c>
      <c r="GM119" s="495">
        <f>+IF(GB119 = "", "", IFERROR(
IF(FI121 &gt; 0, SUMIFS(FM119:FM123, FJ119:FJ123, "&gt;0", FM119:FM123, "&lt;&gt;0") / SUMIFS(FJ119:FJ123, FJ119:FJ123, "&gt;0", FM119:FM123, "&lt;&gt;0") / -100,
IF(FI121 &lt; 0, SUMIFS(FM119:FM123, FK119:FK123, "&gt;0", FM119:FM123, "&lt;&gt;0") / SUMIFS(FK119:FK123, FK119:FK123, "&gt;0", FM119:FM123, "&lt;&gt;0") / 100, 0)), 0) )</f>
        <v>0</v>
      </c>
      <c r="GN119" s="359"/>
      <c r="GO119" s="359"/>
      <c r="GP119" s="501"/>
      <c r="GQ119" s="502">
        <f>+IF(GB119 = "", "", IFERROR(
IF(FI121 &gt; 0, SUMIFS(FP119:FP123, FJ119:FJ123, "&gt;0", FP119:FP123, "&lt;&gt;0") / SUMIFS(FJ119:FJ123, FJ119:FJ123, "&gt;0", FP119:FP123, "&lt;&gt;0") / -100,
IF(FI121 &lt; 0, SUMIFS(FP119:FP123, FK119:FK123, "&gt;0", FP119:FP123, "&lt;&gt;0") / SUMIFS(FK119:FK123, FK119:FK123, "&gt;0", FP119:FP123, "&lt;&gt;0") / 100, 0)), 0))</f>
        <v>0</v>
      </c>
      <c r="GR119" s="359"/>
      <c r="GS119" s="333"/>
      <c r="GT119" s="333"/>
      <c r="GU119" s="333"/>
      <c r="GV119" s="333"/>
      <c r="GW119" s="333"/>
      <c r="GX119" s="333"/>
      <c r="GY119" s="333"/>
      <c r="GZ119" s="333"/>
      <c r="HA119" s="333"/>
      <c r="HB119" s="333"/>
      <c r="HC119" s="333"/>
      <c r="HD119" s="333"/>
      <c r="HE119" s="333"/>
      <c r="HF119" s="333"/>
      <c r="HG119" s="331"/>
      <c r="HH119" s="331"/>
      <c r="HI119" s="331"/>
      <c r="HJ119" s="331"/>
      <c r="HK119" s="331"/>
      <c r="HL119" s="331"/>
      <c r="HM119" s="331"/>
      <c r="HN119" s="333"/>
      <c r="HO119" s="333"/>
      <c r="HP119" s="333"/>
      <c r="HQ119" s="333"/>
      <c r="HR119" s="333"/>
      <c r="HS119" s="333"/>
      <c r="HT119" s="333"/>
      <c r="HU119" s="333"/>
      <c r="HV119" s="333"/>
      <c r="HW119" s="333"/>
      <c r="HX119" s="333"/>
      <c r="HY119" s="333"/>
      <c r="HZ119" s="333"/>
      <c r="IA119" s="333"/>
      <c r="IB119" s="333"/>
      <c r="IC119" s="333"/>
      <c r="ID119" s="55"/>
      <c r="IE119" s="47"/>
      <c r="IF119" s="52"/>
    </row>
    <row r="120" spans="13:240" s="142" customFormat="1" ht="15" customHeight="1">
      <c r="M120" s="333"/>
      <c r="N120" s="333"/>
      <c r="O120" s="333"/>
      <c r="P120" s="333"/>
      <c r="Q120" s="333"/>
      <c r="R120" s="333"/>
      <c r="S120" s="333"/>
      <c r="T120" s="333"/>
      <c r="U120" s="333"/>
      <c r="V120" s="333"/>
      <c r="W120" s="333"/>
      <c r="X120" s="333"/>
      <c r="Y120" s="333"/>
      <c r="Z120" s="333"/>
      <c r="AA120" s="333"/>
      <c r="AB120" s="333"/>
      <c r="AC120" s="333"/>
      <c r="AD120" s="333"/>
      <c r="AE120" s="333"/>
      <c r="AF120" s="333"/>
      <c r="AG120" s="333"/>
      <c r="AH120" s="333"/>
      <c r="AI120" s="333"/>
      <c r="AJ120" s="333"/>
      <c r="AK120" s="333"/>
      <c r="AL120" s="333"/>
      <c r="AM120" s="333"/>
      <c r="AN120" s="333"/>
      <c r="AO120" s="333"/>
      <c r="AP120" s="333"/>
      <c r="AQ120" s="333"/>
      <c r="AR120" s="333"/>
      <c r="AS120" s="333"/>
      <c r="AT120" s="333"/>
      <c r="AU120" s="333"/>
      <c r="AV120" s="333"/>
      <c r="AW120" s="333"/>
      <c r="AX120" s="333"/>
      <c r="AY120" s="333"/>
      <c r="AZ120" s="333"/>
      <c r="BA120" s="333"/>
      <c r="BB120" s="333"/>
      <c r="BC120" s="333"/>
      <c r="BD120" s="333"/>
      <c r="BE120" s="333"/>
      <c r="BF120" s="333"/>
      <c r="BG120" s="333"/>
      <c r="BH120" s="333"/>
      <c r="BI120" s="333"/>
      <c r="BJ120" s="333"/>
      <c r="BK120" s="333"/>
      <c r="BL120" s="333"/>
      <c r="BM120" s="333"/>
      <c r="BN120" s="333"/>
      <c r="BO120" s="333"/>
      <c r="BP120" s="333"/>
      <c r="BQ120" s="333"/>
      <c r="BR120" s="333"/>
      <c r="BS120" s="333"/>
      <c r="BT120" s="333"/>
      <c r="BU120" s="333"/>
      <c r="BV120" s="333"/>
      <c r="BW120" s="333"/>
      <c r="BX120" s="333"/>
      <c r="BY120" s="333"/>
      <c r="BZ120" s="333"/>
      <c r="CA120" s="333"/>
      <c r="CB120" s="333"/>
      <c r="CC120" s="333"/>
      <c r="CD120" s="333"/>
      <c r="CE120" s="333"/>
      <c r="CF120" s="333"/>
      <c r="CG120" s="333"/>
      <c r="CH120" s="333"/>
      <c r="CI120" s="333"/>
      <c r="CJ120" s="333"/>
      <c r="CK120" s="333"/>
      <c r="CL120" s="333"/>
      <c r="CM120" s="333"/>
      <c r="CN120" s="333"/>
      <c r="CO120" s="333"/>
      <c r="CP120" s="333"/>
      <c r="CQ120" s="333"/>
      <c r="CR120" s="333"/>
      <c r="CS120" s="333"/>
      <c r="CT120" s="333"/>
      <c r="CU120" s="333"/>
      <c r="CV120" s="333"/>
      <c r="CW120" s="333"/>
      <c r="CX120" s="333"/>
      <c r="CY120" s="333"/>
      <c r="CZ120" s="333"/>
      <c r="DA120" s="333"/>
      <c r="DB120" s="333"/>
      <c r="DC120" s="333"/>
      <c r="DD120" s="333"/>
      <c r="DE120" s="333"/>
      <c r="DF120" s="333"/>
      <c r="DG120" s="333"/>
      <c r="DH120" s="333"/>
      <c r="DI120" s="333"/>
      <c r="DJ120" s="333"/>
      <c r="DK120" s="333"/>
      <c r="DL120" s="333"/>
      <c r="DM120" s="333"/>
      <c r="DN120" s="333"/>
      <c r="DO120" s="333"/>
      <c r="DP120" s="333"/>
      <c r="DQ120" s="333"/>
      <c r="DR120" s="333"/>
      <c r="DS120" s="333"/>
      <c r="DT120" s="333"/>
      <c r="DU120" s="359"/>
      <c r="DV120" s="359"/>
      <c r="DW120" s="359"/>
      <c r="DX120" s="359"/>
      <c r="DY120" s="359"/>
      <c r="DZ120" s="359"/>
      <c r="EA120" s="359"/>
      <c r="EB120" s="359"/>
      <c r="EC120" s="769">
        <f t="shared" si="190"/>
        <v>280</v>
      </c>
      <c r="ED120" s="889">
        <f t="shared" si="191"/>
        <v>0</v>
      </c>
      <c r="EE120" s="890"/>
      <c r="EF120" s="476">
        <f>GF185</f>
        <v>0</v>
      </c>
      <c r="EG120" s="889">
        <f t="shared" si="192"/>
        <v>0</v>
      </c>
      <c r="EH120" s="890"/>
      <c r="EI120" s="506">
        <f>GM185</f>
        <v>0</v>
      </c>
      <c r="EJ120" s="373"/>
      <c r="EK120" s="373"/>
      <c r="EL120" s="366"/>
      <c r="EM120" s="366"/>
      <c r="EN120" s="364"/>
      <c r="EO120" s="351"/>
      <c r="EP120" s="347"/>
      <c r="EQ120" s="342"/>
      <c r="ER120" s="522"/>
      <c r="ES120" s="916">
        <f>IF(ER120 = "", 0,
IF(AND(EP120 &gt; 0, EQ120 &gt;0), 0, IF(EO119 &lt;&gt; $Z$1,
IF(AND(EP120 &lt;&gt; "", EP120 &lt;&gt; 0), -(EP120 * ER120 * 100),
IF(AND(EQ120 &lt;&gt; "", EQ120 &lt;&gt; 0), (EQ120 * ER120 * 100), 0)),
IF(AND(EP120 &lt;&gt; "", EP120 &lt;&gt; 0), -(EP120 * ER120 * 1),
IF(AND(EQ120 &lt;&gt; "", EQ120 &lt;&gt; 0), (EQ120 * ER120 * 1), 0))  )))</f>
        <v>0</v>
      </c>
      <c r="ET120" s="917"/>
      <c r="EU120" s="918"/>
      <c r="EV120" s="916">
        <f>IF(ER120 = "", 0,
IF(AND(EP120 &gt; 0, EQ120 &gt;0), 0,  IF(EO119 &lt;&gt; $Z$1,
IF(AND(EP120 &lt;&gt; "", EP120 &lt;&gt; 0), -(EP120 * ER120 * 100 * (1 + COMIS_OPCION)),
IF(AND(EQ120 &lt;&gt; "", EQ120 &lt;&gt; 0), (EQ120 * ER120 * 100 * (1 - COMIS_OPCION)), 0)),
IF(AND(EP120 &lt;&gt; "", EP120 &lt;&gt; 0), -(EP120 * ER120 * 1 * (1 + COMIS_ACCION)),
IF(AND(EQ120 &lt;&gt; "", EQ120 &lt;&gt; 0), (EQ120 * ER120 * 1 * (1 - COMIS_ACCION)), 0))  )))</f>
        <v>0</v>
      </c>
      <c r="EW120" s="917"/>
      <c r="EX120" s="917"/>
      <c r="EY120" s="917"/>
      <c r="EZ120" s="917"/>
      <c r="FA120" s="917"/>
      <c r="FB120" s="917"/>
      <c r="FC120" s="917"/>
      <c r="FD120" s="925"/>
      <c r="FE120" s="340"/>
      <c r="FF120" s="340"/>
      <c r="FG120" s="364"/>
      <c r="FH120" s="364"/>
      <c r="FI120" s="339"/>
      <c r="FJ120" s="347"/>
      <c r="FK120" s="342"/>
      <c r="FL120" s="343"/>
      <c r="FM120" s="930">
        <f>IF(FL120 = "", 0,
IF(AND(FJ120 &gt; 0, FK120 &gt;0), 0,
IF(AND(FJ120 &lt;&gt; "", FJ120 &lt;&gt; 0), -(FJ120 * FL120 * 100),
IF(AND(FK120 &lt;&gt; "", FK120 &lt;&gt; 0), (FK120 * FL120 * 100), 0)) ))</f>
        <v>0</v>
      </c>
      <c r="FN120" s="931"/>
      <c r="FO120" s="932"/>
      <c r="FP120" s="930">
        <f>IF(FL120 = "", 0,
IF(AND(FJ120 &gt; 0, FK120 &gt;0), 0,
IF(AND(FJ120 &lt;&gt; "", FJ120 &lt;&gt; 0), -(FJ120 * FL120 * 100 * (1 + COMIS_OPCION)),
IF(AND(FK120 &lt;&gt; "", FK120 &lt;&gt; 0), (FK120 * FL120 * 100 * (1 - COMIS_OPCION)), 0)) ))</f>
        <v>0</v>
      </c>
      <c r="FQ120" s="931"/>
      <c r="FR120" s="931"/>
      <c r="FS120" s="931"/>
      <c r="FT120" s="931"/>
      <c r="FU120" s="931"/>
      <c r="FV120" s="931"/>
      <c r="FW120" s="931"/>
      <c r="FX120" s="933"/>
      <c r="FY120" s="341"/>
      <c r="FZ120" s="341"/>
      <c r="GA120" s="341"/>
      <c r="GB120" s="495">
        <v>0</v>
      </c>
      <c r="GC120" s="495">
        <v>0</v>
      </c>
      <c r="GD120" s="500"/>
      <c r="GE120" s="495">
        <v>0</v>
      </c>
      <c r="GF120" s="495">
        <v>0</v>
      </c>
      <c r="GG120" s="495">
        <v>0</v>
      </c>
      <c r="GH120" s="359"/>
      <c r="GI120" s="359"/>
      <c r="GJ120" s="501"/>
      <c r="GK120" s="495">
        <v>0</v>
      </c>
      <c r="GL120" s="495">
        <v>0</v>
      </c>
      <c r="GM120" s="495">
        <v>0</v>
      </c>
      <c r="GN120" s="359"/>
      <c r="GO120" s="359"/>
      <c r="GP120" s="501"/>
      <c r="GQ120" s="495">
        <v>0</v>
      </c>
      <c r="GR120" s="359"/>
      <c r="GS120" s="333"/>
      <c r="GT120" s="333"/>
      <c r="GU120" s="333"/>
      <c r="GV120" s="333"/>
      <c r="GW120" s="333"/>
      <c r="GX120" s="333"/>
      <c r="GY120" s="333"/>
      <c r="GZ120" s="333"/>
      <c r="HA120" s="333"/>
      <c r="HB120" s="333"/>
      <c r="HC120" s="333"/>
      <c r="HD120" s="333"/>
      <c r="HE120" s="333"/>
      <c r="HF120" s="333"/>
      <c r="HG120" s="331"/>
      <c r="HH120" s="331"/>
      <c r="HI120" s="331"/>
      <c r="HJ120" s="331"/>
      <c r="HK120" s="331"/>
      <c r="HL120" s="331"/>
      <c r="HM120" s="331"/>
      <c r="HN120" s="333"/>
      <c r="HO120" s="333"/>
      <c r="HP120" s="333"/>
      <c r="HQ120" s="333"/>
      <c r="HR120" s="333"/>
      <c r="HS120" s="333"/>
      <c r="HT120" s="333"/>
      <c r="HU120" s="333"/>
      <c r="HV120" s="333"/>
      <c r="HW120" s="333"/>
      <c r="HX120" s="333"/>
      <c r="HY120" s="333"/>
      <c r="HZ120" s="333"/>
      <c r="IA120" s="333"/>
      <c r="IB120" s="333"/>
      <c r="IC120" s="333"/>
      <c r="ID120" s="55"/>
      <c r="IE120" s="47"/>
      <c r="IF120" s="52"/>
    </row>
    <row r="121" spans="13:240" s="142" customFormat="1" ht="15" customHeight="1">
      <c r="M121" s="333"/>
      <c r="N121" s="333"/>
      <c r="O121" s="333"/>
      <c r="P121" s="333"/>
      <c r="Q121" s="333"/>
      <c r="R121" s="333"/>
      <c r="S121" s="333"/>
      <c r="T121" s="333"/>
      <c r="U121" s="333"/>
      <c r="V121" s="333"/>
      <c r="W121" s="333"/>
      <c r="X121" s="333"/>
      <c r="Y121" s="333"/>
      <c r="Z121" s="333"/>
      <c r="AA121" s="333"/>
      <c r="AB121" s="333"/>
      <c r="AC121" s="333"/>
      <c r="AD121" s="333"/>
      <c r="AE121" s="333"/>
      <c r="AF121" s="333"/>
      <c r="AG121" s="333"/>
      <c r="AH121" s="333"/>
      <c r="AI121" s="333"/>
      <c r="AJ121" s="333"/>
      <c r="AK121" s="333"/>
      <c r="AL121" s="333"/>
      <c r="AM121" s="333"/>
      <c r="AN121" s="333"/>
      <c r="AO121" s="333"/>
      <c r="AP121" s="333"/>
      <c r="AQ121" s="333"/>
      <c r="AR121" s="333"/>
      <c r="AS121" s="333"/>
      <c r="AT121" s="333"/>
      <c r="AU121" s="333"/>
      <c r="AV121" s="333"/>
      <c r="AW121" s="333"/>
      <c r="AX121" s="333"/>
      <c r="AY121" s="333"/>
      <c r="AZ121" s="333"/>
      <c r="BA121" s="333"/>
      <c r="BB121" s="333"/>
      <c r="BC121" s="333"/>
      <c r="BD121" s="333"/>
      <c r="BE121" s="333"/>
      <c r="BF121" s="333"/>
      <c r="BG121" s="333"/>
      <c r="BH121" s="333"/>
      <c r="BI121" s="333"/>
      <c r="BJ121" s="333"/>
      <c r="BK121" s="333"/>
      <c r="BL121" s="333"/>
      <c r="BM121" s="333"/>
      <c r="BN121" s="333"/>
      <c r="BO121" s="333"/>
      <c r="BP121" s="333"/>
      <c r="BQ121" s="333"/>
      <c r="BR121" s="333"/>
      <c r="BS121" s="333"/>
      <c r="BT121" s="333"/>
      <c r="BU121" s="333"/>
      <c r="BV121" s="333"/>
      <c r="BW121" s="333"/>
      <c r="BX121" s="333"/>
      <c r="BY121" s="333"/>
      <c r="BZ121" s="333"/>
      <c r="CA121" s="333"/>
      <c r="CB121" s="333"/>
      <c r="CC121" s="333"/>
      <c r="CD121" s="333"/>
      <c r="CE121" s="333"/>
      <c r="CF121" s="333"/>
      <c r="CG121" s="333"/>
      <c r="CH121" s="333"/>
      <c r="CI121" s="333"/>
      <c r="CJ121" s="333"/>
      <c r="CK121" s="333"/>
      <c r="CL121" s="333"/>
      <c r="CM121" s="333"/>
      <c r="CN121" s="333"/>
      <c r="CO121" s="333"/>
      <c r="CP121" s="333"/>
      <c r="CQ121" s="333"/>
      <c r="CR121" s="333"/>
      <c r="CS121" s="333"/>
      <c r="CT121" s="333"/>
      <c r="CU121" s="333"/>
      <c r="CV121" s="333"/>
      <c r="CW121" s="333"/>
      <c r="CX121" s="333"/>
      <c r="CY121" s="333"/>
      <c r="CZ121" s="333"/>
      <c r="DA121" s="333"/>
      <c r="DB121" s="333"/>
      <c r="DC121" s="333"/>
      <c r="DD121" s="333"/>
      <c r="DE121" s="333"/>
      <c r="DF121" s="333"/>
      <c r="DG121" s="333"/>
      <c r="DH121" s="333"/>
      <c r="DI121" s="333"/>
      <c r="DJ121" s="333"/>
      <c r="DK121" s="333"/>
      <c r="DL121" s="333"/>
      <c r="DM121" s="333"/>
      <c r="DN121" s="333"/>
      <c r="DO121" s="333"/>
      <c r="DP121" s="333"/>
      <c r="DQ121" s="333"/>
      <c r="DR121" s="333"/>
      <c r="DS121" s="333"/>
      <c r="DT121" s="333"/>
      <c r="DU121" s="359"/>
      <c r="DV121" s="359"/>
      <c r="DW121" s="359"/>
      <c r="DX121" s="359"/>
      <c r="DY121" s="359"/>
      <c r="DZ121" s="359"/>
      <c r="EA121" s="359"/>
      <c r="EB121" s="359"/>
      <c r="EC121" s="769">
        <f t="shared" si="190"/>
        <v>290</v>
      </c>
      <c r="ED121" s="889">
        <f t="shared" si="191"/>
        <v>0</v>
      </c>
      <c r="EE121" s="890"/>
      <c r="EF121" s="476">
        <f>GF191</f>
        <v>0</v>
      </c>
      <c r="EG121" s="889">
        <f t="shared" si="192"/>
        <v>0</v>
      </c>
      <c r="EH121" s="890"/>
      <c r="EI121" s="506">
        <f>GM191</f>
        <v>0</v>
      </c>
      <c r="EJ121" s="373"/>
      <c r="EK121" s="373"/>
      <c r="EL121" s="366"/>
      <c r="EM121" s="368"/>
      <c r="EN121" s="365"/>
      <c r="EO121" s="352">
        <f>+SUM(EP119:EP123) - SUM(EQ119:EQ123)</f>
        <v>0</v>
      </c>
      <c r="EP121" s="347"/>
      <c r="EQ121" s="342"/>
      <c r="ER121" s="522"/>
      <c r="ES121" s="916">
        <f>IF(ER121 = "", 0,
IF(AND(EP121 &gt; 0, EQ121 &gt;0), 0, IF(EO119 &lt;&gt; $Z$1,
IF(AND(EP121 &lt;&gt; "", EP121 &lt;&gt; 0), -(EP121 * ER121 * 100),
IF(AND(EQ121 &lt;&gt; "", EQ121 &lt;&gt; 0), (EQ121 * ER121 * 100), 0)),
IF(AND(EP121 &lt;&gt; "", EP121 &lt;&gt; 0), -(EP121 * ER121 * 1),
IF(AND(EQ121 &lt;&gt; "", EQ121 &lt;&gt; 0), (EQ121 * ER121 * 1), 0))  )))</f>
        <v>0</v>
      </c>
      <c r="ET121" s="917"/>
      <c r="EU121" s="918"/>
      <c r="EV121" s="916">
        <f>IF(ER121 = "", 0,
IF(AND(EP121 &gt; 0, EQ121 &gt;0), 0,  IF(EO119 &lt;&gt; $Z$1,
IF(AND(EP121 &lt;&gt; "", EP121 &lt;&gt; 0), -(EP121 * ER121 * 100 * (1 + COMIS_OPCION)),
IF(AND(EQ121 &lt;&gt; "", EQ121 &lt;&gt; 0), (EQ121 * ER121 * 100 * (1 - COMIS_OPCION)), 0)),
IF(AND(EP121 &lt;&gt; "", EP121 &lt;&gt; 0), -(EP121 * ER121 * 1 * (1 + COMIS_ACCION)),
IF(AND(EQ121 &lt;&gt; "", EQ121 &lt;&gt; 0), (EQ121 * ER121 * 1 * (1 - COMIS_ACCION)), 0))  )))</f>
        <v>0</v>
      </c>
      <c r="EW121" s="917"/>
      <c r="EX121" s="917"/>
      <c r="EY121" s="917"/>
      <c r="EZ121" s="917"/>
      <c r="FA121" s="917"/>
      <c r="FB121" s="917"/>
      <c r="FC121" s="917"/>
      <c r="FD121" s="925"/>
      <c r="FE121" s="340"/>
      <c r="FF121" s="340"/>
      <c r="FG121" s="365"/>
      <c r="FH121" s="365"/>
      <c r="FI121" s="354">
        <f>+SUM(FJ119:FJ123) - SUM(FK119:FK123)</f>
        <v>0</v>
      </c>
      <c r="FJ121" s="347"/>
      <c r="FK121" s="342"/>
      <c r="FL121" s="343"/>
      <c r="FM121" s="930">
        <f>IF(FL121 = "", 0,
IF(AND(FJ121 &gt; 0, FK121 &gt;0), 0,
IF(AND(FJ121 &lt;&gt; "", FJ121 &lt;&gt; 0), -(FJ121 * FL121 * 100),
IF(AND(FK121 &lt;&gt; "", FK121 &lt;&gt; 0), (FK121 * FL121 * 100), 0)) ))</f>
        <v>0</v>
      </c>
      <c r="FN121" s="931"/>
      <c r="FO121" s="932"/>
      <c r="FP121" s="930">
        <f>IF(FL121 = "", 0,
IF(AND(FJ121 &gt; 0, FK121 &gt;0), 0,
IF(AND(FJ121 &lt;&gt; "", FJ121 &lt;&gt; 0), -(FJ121 * FL121 * 100 * (1 + COMIS_OPCION)),
IF(AND(FK121 &lt;&gt; "", FK121 &lt;&gt; 0), (FK121 * FL121 * 100 * (1 - COMIS_OPCION)), 0)) ))</f>
        <v>0</v>
      </c>
      <c r="FQ121" s="931"/>
      <c r="FR121" s="931"/>
      <c r="FS121" s="931"/>
      <c r="FT121" s="931"/>
      <c r="FU121" s="931"/>
      <c r="FV121" s="931"/>
      <c r="FW121" s="931"/>
      <c r="FX121" s="933"/>
      <c r="FY121" s="341"/>
      <c r="FZ121" s="341"/>
      <c r="GA121" s="341"/>
      <c r="GB121" s="495">
        <v>0</v>
      </c>
      <c r="GC121" s="495">
        <v>0</v>
      </c>
      <c r="GD121" s="500"/>
      <c r="GE121" s="495">
        <v>0</v>
      </c>
      <c r="GF121" s="495">
        <v>0</v>
      </c>
      <c r="GG121" s="495">
        <v>0</v>
      </c>
      <c r="GH121" s="359"/>
      <c r="GI121" s="359"/>
      <c r="GJ121" s="501"/>
      <c r="GK121" s="495">
        <v>0</v>
      </c>
      <c r="GL121" s="495">
        <v>0</v>
      </c>
      <c r="GM121" s="495">
        <v>0</v>
      </c>
      <c r="GN121" s="359"/>
      <c r="GO121" s="359"/>
      <c r="GP121" s="501"/>
      <c r="GQ121" s="495">
        <v>0</v>
      </c>
      <c r="GR121" s="359"/>
      <c r="GS121" s="333"/>
      <c r="GT121" s="333"/>
      <c r="GU121" s="333"/>
      <c r="GV121" s="333"/>
      <c r="GW121" s="333"/>
      <c r="GX121" s="333"/>
      <c r="GY121" s="333"/>
      <c r="GZ121" s="333"/>
      <c r="HA121" s="333"/>
      <c r="HB121" s="333"/>
      <c r="HC121" s="333"/>
      <c r="HD121" s="333"/>
      <c r="HE121" s="333"/>
      <c r="HF121" s="333"/>
      <c r="HG121" s="331"/>
      <c r="HH121" s="331"/>
      <c r="HI121" s="331"/>
      <c r="HJ121" s="331"/>
      <c r="HK121" s="331"/>
      <c r="HL121" s="331"/>
      <c r="HM121" s="331"/>
      <c r="HN121" s="333"/>
      <c r="HO121" s="333"/>
      <c r="HP121" s="333"/>
      <c r="HQ121" s="333"/>
      <c r="HR121" s="333"/>
      <c r="HS121" s="333"/>
      <c r="HT121" s="333"/>
      <c r="HU121" s="333"/>
      <c r="HV121" s="333"/>
      <c r="HW121" s="333"/>
      <c r="HX121" s="333"/>
      <c r="HY121" s="333"/>
      <c r="HZ121" s="333"/>
      <c r="IA121" s="333"/>
      <c r="IB121" s="333"/>
      <c r="IC121" s="333"/>
      <c r="ID121" s="55"/>
      <c r="IE121" s="47"/>
      <c r="IF121" s="52"/>
    </row>
    <row r="122" spans="13:240" s="142" customFormat="1" ht="15" customHeight="1">
      <c r="M122" s="333"/>
      <c r="N122" s="333"/>
      <c r="O122" s="333"/>
      <c r="P122" s="333"/>
      <c r="Q122" s="333"/>
      <c r="R122" s="333"/>
      <c r="S122" s="333"/>
      <c r="T122" s="333"/>
      <c r="U122" s="333"/>
      <c r="V122" s="333"/>
      <c r="W122" s="333"/>
      <c r="X122" s="333"/>
      <c r="Y122" s="333"/>
      <c r="Z122" s="333"/>
      <c r="AA122" s="333"/>
      <c r="AB122" s="333"/>
      <c r="AC122" s="333"/>
      <c r="AD122" s="333"/>
      <c r="AE122" s="333"/>
      <c r="AF122" s="333"/>
      <c r="AG122" s="333"/>
      <c r="AH122" s="333"/>
      <c r="AI122" s="333"/>
      <c r="AJ122" s="333"/>
      <c r="AK122" s="333"/>
      <c r="AL122" s="333"/>
      <c r="AM122" s="333"/>
      <c r="AN122" s="333"/>
      <c r="AO122" s="333"/>
      <c r="AP122" s="333"/>
      <c r="AQ122" s="333"/>
      <c r="AR122" s="333"/>
      <c r="AS122" s="333"/>
      <c r="AT122" s="333"/>
      <c r="AU122" s="333"/>
      <c r="AV122" s="333"/>
      <c r="AW122" s="333"/>
      <c r="AX122" s="333"/>
      <c r="AY122" s="333"/>
      <c r="AZ122" s="333"/>
      <c r="BA122" s="333"/>
      <c r="BB122" s="333"/>
      <c r="BC122" s="333"/>
      <c r="BD122" s="333"/>
      <c r="BE122" s="333"/>
      <c r="BF122" s="333"/>
      <c r="BG122" s="333"/>
      <c r="BH122" s="333"/>
      <c r="BI122" s="333"/>
      <c r="BJ122" s="333"/>
      <c r="BK122" s="333"/>
      <c r="BL122" s="333"/>
      <c r="BM122" s="333"/>
      <c r="BN122" s="333"/>
      <c r="BO122" s="333"/>
      <c r="BP122" s="333"/>
      <c r="BQ122" s="333"/>
      <c r="BR122" s="333"/>
      <c r="BS122" s="333"/>
      <c r="BT122" s="333"/>
      <c r="BU122" s="333"/>
      <c r="BV122" s="333"/>
      <c r="BW122" s="333"/>
      <c r="BX122" s="333"/>
      <c r="BY122" s="333"/>
      <c r="BZ122" s="333"/>
      <c r="CA122" s="333"/>
      <c r="CB122" s="333"/>
      <c r="CC122" s="333"/>
      <c r="CD122" s="333"/>
      <c r="CE122" s="333"/>
      <c r="CF122" s="333"/>
      <c r="CG122" s="333"/>
      <c r="CH122" s="333"/>
      <c r="CI122" s="333"/>
      <c r="CJ122" s="333"/>
      <c r="CK122" s="333"/>
      <c r="CL122" s="333"/>
      <c r="CM122" s="333"/>
      <c r="CN122" s="333"/>
      <c r="CO122" s="333"/>
      <c r="CP122" s="333"/>
      <c r="CQ122" s="333"/>
      <c r="CR122" s="333"/>
      <c r="CS122" s="333"/>
      <c r="CT122" s="333"/>
      <c r="CU122" s="333"/>
      <c r="CV122" s="333"/>
      <c r="CW122" s="333"/>
      <c r="CX122" s="333"/>
      <c r="CY122" s="333"/>
      <c r="CZ122" s="333"/>
      <c r="DA122" s="333"/>
      <c r="DB122" s="333"/>
      <c r="DC122" s="333"/>
      <c r="DD122" s="333"/>
      <c r="DE122" s="333"/>
      <c r="DF122" s="333"/>
      <c r="DG122" s="333"/>
      <c r="DH122" s="333"/>
      <c r="DI122" s="333"/>
      <c r="DJ122" s="333"/>
      <c r="DK122" s="333"/>
      <c r="DL122" s="333"/>
      <c r="DM122" s="333"/>
      <c r="DN122" s="333"/>
      <c r="DO122" s="333"/>
      <c r="DP122" s="333"/>
      <c r="DQ122" s="333"/>
      <c r="DR122" s="333"/>
      <c r="DS122" s="333"/>
      <c r="DT122" s="333"/>
      <c r="DU122" s="359"/>
      <c r="DV122" s="359"/>
      <c r="DW122" s="359"/>
      <c r="DX122" s="359"/>
      <c r="DY122" s="359"/>
      <c r="DZ122" s="359"/>
      <c r="EA122" s="359"/>
      <c r="EB122" s="359"/>
      <c r="EC122" s="769">
        <f t="shared" si="190"/>
        <v>300</v>
      </c>
      <c r="ED122" s="889">
        <f t="shared" si="191"/>
        <v>0</v>
      </c>
      <c r="EE122" s="890"/>
      <c r="EF122" s="476">
        <f>GF197</f>
        <v>0</v>
      </c>
      <c r="EG122" s="889">
        <f t="shared" si="192"/>
        <v>0</v>
      </c>
      <c r="EH122" s="890"/>
      <c r="EI122" s="506">
        <f>GM197</f>
        <v>0</v>
      </c>
      <c r="EJ122" s="373"/>
      <c r="EK122" s="373"/>
      <c r="EL122" s="366"/>
      <c r="EM122" s="368"/>
      <c r="EN122" s="365"/>
      <c r="EO122" s="352">
        <f>IF(EO121=0, 0, SUM(EV119:FD123))</f>
        <v>0</v>
      </c>
      <c r="EP122" s="347"/>
      <c r="EQ122" s="342"/>
      <c r="ER122" s="522"/>
      <c r="ES122" s="916">
        <f>IF(ER122 = "", 0,
IF(AND(EP122 &gt; 0, EQ122 &gt;0), 0, IF(EO119 &lt;&gt; $Z$1,
IF(AND(EP122 &lt;&gt; "", EP122 &lt;&gt; 0), -(EP122 * ER122 * 100),
IF(AND(EQ122 &lt;&gt; "", EQ122 &lt;&gt; 0), (EQ122 * ER122 * 100), 0)),
IF(AND(EP122 &lt;&gt; "", EP122 &lt;&gt; 0), -(EP122 * ER122 * 1),
IF(AND(EQ122 &lt;&gt; "", EQ122 &lt;&gt; 0), (EQ122 * ER122 * 1), 0))  )))</f>
        <v>0</v>
      </c>
      <c r="ET122" s="917"/>
      <c r="EU122" s="918"/>
      <c r="EV122" s="916">
        <f>IF(ER122 = "", 0,
IF(AND(EP122 &gt; 0, EQ122 &gt;0), 0,  IF(EO119 &lt;&gt; $Z$1,
IF(AND(EP122 &lt;&gt; "", EP122 &lt;&gt; 0), -(EP122 * ER122 * 100 * (1 + COMIS_OPCION)),
IF(AND(EQ122 &lt;&gt; "", EQ122 &lt;&gt; 0), (EQ122 * ER122 * 100 * (1 - COMIS_OPCION)), 0)),
IF(AND(EP122 &lt;&gt; "", EP122 &lt;&gt; 0), -(EP122 * ER122 * 1 * (1 + COMIS_ACCION)),
IF(AND(EQ122 &lt;&gt; "", EQ122 &lt;&gt; 0), (EQ122 * ER122 * 1 * (1 - COMIS_ACCION)), 0))  )))</f>
        <v>0</v>
      </c>
      <c r="EW122" s="917"/>
      <c r="EX122" s="917"/>
      <c r="EY122" s="917"/>
      <c r="EZ122" s="917"/>
      <c r="FA122" s="917"/>
      <c r="FB122" s="917"/>
      <c r="FC122" s="917"/>
      <c r="FD122" s="925"/>
      <c r="FE122" s="340"/>
      <c r="FF122" s="340"/>
      <c r="FG122" s="365"/>
      <c r="FH122" s="365"/>
      <c r="FI122" s="354">
        <f>IF(FI121=0, 0, SUM(FP119:FX123))</f>
        <v>0</v>
      </c>
      <c r="FJ122" s="347"/>
      <c r="FK122" s="342"/>
      <c r="FL122" s="343"/>
      <c r="FM122" s="930">
        <f>IF(FL122 = "", 0,
IF(AND(FJ122 &gt; 0, FK122 &gt;0), 0,
IF(AND(FJ122 &lt;&gt; "", FJ122 &lt;&gt; 0), -(FJ122 * FL122 * 100),
IF(AND(FK122 &lt;&gt; "", FK122 &lt;&gt; 0), (FK122 * FL122 * 100), 0)) ))</f>
        <v>0</v>
      </c>
      <c r="FN122" s="931"/>
      <c r="FO122" s="932"/>
      <c r="FP122" s="930">
        <f>IF(FL122 = "", 0,
IF(AND(FJ122 &gt; 0, FK122 &gt;0), 0,
IF(AND(FJ122 &lt;&gt; "", FJ122 &lt;&gt; 0), -(FJ122 * FL122 * 100 * (1 + COMIS_OPCION)),
IF(AND(FK122 &lt;&gt; "", FK122 &lt;&gt; 0), (FK122 * FL122 * 100 * (1 - COMIS_OPCION)), 0)) ))</f>
        <v>0</v>
      </c>
      <c r="FQ122" s="931"/>
      <c r="FR122" s="931"/>
      <c r="FS122" s="931"/>
      <c r="FT122" s="931"/>
      <c r="FU122" s="931"/>
      <c r="FV122" s="931"/>
      <c r="FW122" s="931"/>
      <c r="FX122" s="933"/>
      <c r="FY122" s="341"/>
      <c r="FZ122" s="341"/>
      <c r="GA122" s="341"/>
      <c r="GB122" s="495">
        <v>0</v>
      </c>
      <c r="GC122" s="495">
        <v>0</v>
      </c>
      <c r="GD122" s="500"/>
      <c r="GE122" s="495">
        <v>0</v>
      </c>
      <c r="GF122" s="495">
        <v>0</v>
      </c>
      <c r="GG122" s="495">
        <v>0</v>
      </c>
      <c r="GH122" s="359"/>
      <c r="GI122" s="359"/>
      <c r="GJ122" s="501"/>
      <c r="GK122" s="495">
        <v>0</v>
      </c>
      <c r="GL122" s="495">
        <v>0</v>
      </c>
      <c r="GM122" s="495">
        <v>0</v>
      </c>
      <c r="GN122" s="359"/>
      <c r="GO122" s="359"/>
      <c r="GP122" s="501"/>
      <c r="GQ122" s="495">
        <v>0</v>
      </c>
      <c r="GR122" s="359"/>
      <c r="GS122" s="333"/>
      <c r="GT122" s="333"/>
      <c r="GU122" s="333"/>
      <c r="GV122" s="333"/>
      <c r="GW122" s="333"/>
      <c r="GX122" s="333"/>
      <c r="GY122" s="333"/>
      <c r="GZ122" s="333"/>
      <c r="HA122" s="333"/>
      <c r="HB122" s="333"/>
      <c r="HC122" s="333"/>
      <c r="HD122" s="333"/>
      <c r="HE122" s="333"/>
      <c r="HF122" s="333"/>
      <c r="HG122" s="331"/>
      <c r="HH122" s="331"/>
      <c r="HI122" s="331"/>
      <c r="HJ122" s="331"/>
      <c r="HK122" s="331"/>
      <c r="HL122" s="331"/>
      <c r="HM122" s="331"/>
      <c r="HN122" s="333"/>
      <c r="HO122" s="333"/>
      <c r="HP122" s="333"/>
      <c r="HQ122" s="333"/>
      <c r="HR122" s="333"/>
      <c r="HS122" s="333"/>
      <c r="HT122" s="333"/>
      <c r="HU122" s="333"/>
      <c r="HV122" s="333"/>
      <c r="HW122" s="333"/>
      <c r="HX122" s="333"/>
      <c r="HY122" s="333"/>
      <c r="HZ122" s="333"/>
      <c r="IA122" s="333"/>
      <c r="IB122" s="333"/>
      <c r="IC122" s="333"/>
      <c r="ID122" s="55"/>
      <c r="IE122" s="47"/>
      <c r="IF122" s="52"/>
    </row>
    <row r="123" spans="13:240" s="142" customFormat="1" ht="15" customHeight="1" thickBot="1">
      <c r="M123" s="333"/>
      <c r="N123" s="333"/>
      <c r="O123" s="333"/>
      <c r="P123" s="333"/>
      <c r="Q123" s="333"/>
      <c r="R123" s="333"/>
      <c r="S123" s="333"/>
      <c r="T123" s="333"/>
      <c r="U123" s="333"/>
      <c r="V123" s="333"/>
      <c r="W123" s="333"/>
      <c r="X123" s="333"/>
      <c r="Y123" s="333"/>
      <c r="Z123" s="333"/>
      <c r="AA123" s="333"/>
      <c r="AB123" s="333"/>
      <c r="AC123" s="333"/>
      <c r="AD123" s="333"/>
      <c r="AE123" s="333"/>
      <c r="AF123" s="333"/>
      <c r="AG123" s="333"/>
      <c r="AH123" s="333"/>
      <c r="AI123" s="333"/>
      <c r="AJ123" s="333"/>
      <c r="AK123" s="333"/>
      <c r="AL123" s="333"/>
      <c r="AM123" s="333"/>
      <c r="AN123" s="333"/>
      <c r="AO123" s="333"/>
      <c r="AP123" s="333"/>
      <c r="AQ123" s="333"/>
      <c r="AR123" s="333"/>
      <c r="AS123" s="333"/>
      <c r="AT123" s="333"/>
      <c r="AU123" s="333"/>
      <c r="AV123" s="333"/>
      <c r="AW123" s="333"/>
      <c r="AX123" s="333"/>
      <c r="AY123" s="333"/>
      <c r="AZ123" s="333"/>
      <c r="BA123" s="333"/>
      <c r="BB123" s="333"/>
      <c r="BC123" s="333"/>
      <c r="BD123" s="333"/>
      <c r="BE123" s="333"/>
      <c r="BF123" s="333"/>
      <c r="BG123" s="333"/>
      <c r="BH123" s="333"/>
      <c r="BI123" s="333"/>
      <c r="BJ123" s="333"/>
      <c r="BK123" s="333"/>
      <c r="BL123" s="333"/>
      <c r="BM123" s="333"/>
      <c r="BN123" s="333"/>
      <c r="BO123" s="333"/>
      <c r="BP123" s="333"/>
      <c r="BQ123" s="333"/>
      <c r="BR123" s="333"/>
      <c r="BS123" s="333"/>
      <c r="BT123" s="333"/>
      <c r="BU123" s="333"/>
      <c r="BV123" s="333"/>
      <c r="BW123" s="333"/>
      <c r="BX123" s="333"/>
      <c r="BY123" s="333"/>
      <c r="BZ123" s="333"/>
      <c r="CA123" s="333"/>
      <c r="CB123" s="333"/>
      <c r="CC123" s="333"/>
      <c r="CD123" s="333"/>
      <c r="CE123" s="333"/>
      <c r="CF123" s="333"/>
      <c r="CG123" s="333"/>
      <c r="CH123" s="333"/>
      <c r="CI123" s="333"/>
      <c r="CJ123" s="333"/>
      <c r="CK123" s="333"/>
      <c r="CL123" s="333"/>
      <c r="CM123" s="333"/>
      <c r="CN123" s="333"/>
      <c r="CO123" s="333"/>
      <c r="CP123" s="333"/>
      <c r="CQ123" s="333"/>
      <c r="CR123" s="333"/>
      <c r="CS123" s="333"/>
      <c r="CT123" s="333"/>
      <c r="CU123" s="333"/>
      <c r="CV123" s="333"/>
      <c r="CW123" s="333"/>
      <c r="CX123" s="333"/>
      <c r="CY123" s="333"/>
      <c r="CZ123" s="333"/>
      <c r="DA123" s="333"/>
      <c r="DB123" s="333"/>
      <c r="DC123" s="333"/>
      <c r="DD123" s="333"/>
      <c r="DE123" s="333"/>
      <c r="DF123" s="333"/>
      <c r="DG123" s="333"/>
      <c r="DH123" s="333"/>
      <c r="DI123" s="333"/>
      <c r="DJ123" s="333"/>
      <c r="DK123" s="333"/>
      <c r="DL123" s="333"/>
      <c r="DM123" s="333"/>
      <c r="DN123" s="333"/>
      <c r="DO123" s="333"/>
      <c r="DP123" s="333"/>
      <c r="DQ123" s="333"/>
      <c r="DR123" s="333"/>
      <c r="DS123" s="333"/>
      <c r="DT123" s="333"/>
      <c r="DU123" s="359"/>
      <c r="DV123" s="359"/>
      <c r="DW123" s="359"/>
      <c r="DX123" s="359"/>
      <c r="DY123" s="359"/>
      <c r="DZ123" s="359"/>
      <c r="EA123" s="359"/>
      <c r="EB123" s="359"/>
      <c r="EC123" s="769">
        <f t="shared" si="190"/>
        <v>310</v>
      </c>
      <c r="ED123" s="889">
        <f t="shared" si="191"/>
        <v>0</v>
      </c>
      <c r="EE123" s="890"/>
      <c r="EF123" s="476">
        <f>GF203</f>
        <v>0</v>
      </c>
      <c r="EG123" s="889">
        <f t="shared" si="192"/>
        <v>0</v>
      </c>
      <c r="EH123" s="890"/>
      <c r="EI123" s="506">
        <f>GM203</f>
        <v>0</v>
      </c>
      <c r="EJ123" s="373"/>
      <c r="EK123" s="373"/>
      <c r="EL123" s="366"/>
      <c r="EM123" s="368"/>
      <c r="EN123" s="365"/>
      <c r="EO123" s="353">
        <f>+IF(EO121= 0, 0, GG119)</f>
        <v>0</v>
      </c>
      <c r="EP123" s="350"/>
      <c r="EQ123" s="344"/>
      <c r="ER123" s="523"/>
      <c r="ES123" s="921">
        <f>IF(ER123 = "", 0,
IF(AND(EP123 &gt; 0, EQ123 &gt;0), 0, IF(EO119 &lt;&gt; $Z$1,
IF(AND(EP123 &lt;&gt; "", EP123 &lt;&gt; 0), -(EP123 * ER123 * 100),
IF(AND(EQ123 &lt;&gt; "", EQ123 &lt;&gt; 0), (EQ123 * ER123 * 100), 0)),
IF(AND(EP123 &lt;&gt; "", EP123 &lt;&gt; 0), -(EP123 * ER123 * 1),
IF(AND(EQ123 &lt;&gt; "", EQ123 &lt;&gt; 0), (EQ123 * ER123 * 1), 0))  )))</f>
        <v>0</v>
      </c>
      <c r="ET123" s="922"/>
      <c r="EU123" s="924"/>
      <c r="EV123" s="921">
        <f>IF(ER123 = "", 0,
IF(AND(EP123 &gt; 0, EQ123 &gt;0), 0,  IF(EO119 &lt;&gt; $Z$1,
IF(AND(EP123 &lt;&gt; "", EP123 &lt;&gt; 0), -(EP123 * ER123 * 100 * (1 + COMIS_OPCION)),
IF(AND(EQ123 &lt;&gt; "", EQ123 &lt;&gt; 0), (EQ123 * ER123 * 100 * (1 - COMIS_OPCION)), 0)),
IF(AND(EP123 &lt;&gt; "", EP123 &lt;&gt; 0), -(EP123 * ER123 * 1 * (1 + COMIS_ACCION)),
IF(AND(EQ123 &lt;&gt; "", EQ123 &lt;&gt; 0), (EQ123 * ER123 * 1 * (1 - COMIS_ACCION)), 0))  )))</f>
        <v>0</v>
      </c>
      <c r="EW123" s="922"/>
      <c r="EX123" s="922"/>
      <c r="EY123" s="922"/>
      <c r="EZ123" s="922"/>
      <c r="FA123" s="922"/>
      <c r="FB123" s="922"/>
      <c r="FC123" s="922"/>
      <c r="FD123" s="923"/>
      <c r="FE123" s="340"/>
      <c r="FF123" s="340"/>
      <c r="FG123" s="365"/>
      <c r="FH123" s="365"/>
      <c r="FI123" s="349">
        <f>+IF(FI121= 0, 0, GQ119)</f>
        <v>0</v>
      </c>
      <c r="FJ123" s="348"/>
      <c r="FK123" s="345"/>
      <c r="FL123" s="346"/>
      <c r="FM123" s="937">
        <f>IF(FL123 = "", 0,
IF(AND(FJ123 &gt; 0, FK123 &gt;0), 0,
IF(AND(FJ123 &lt;&gt; "", FJ123 &lt;&gt; 0), -(FJ123 * FL123 * 100),
IF(AND(FK123 &lt;&gt; "", FK123 &lt;&gt; 0), (FK123 * FL123 * 100), 0)) ))</f>
        <v>0</v>
      </c>
      <c r="FN123" s="938"/>
      <c r="FO123" s="939"/>
      <c r="FP123" s="937">
        <f>IF(FL123 = "", 0,
IF(AND(FJ123 &gt; 0, FK123 &gt;0), 0,
IF(AND(FJ123 &lt;&gt; "", FJ123 &lt;&gt; 0), -(FJ123 * FL123 * 100 * (1 + COMIS_OPCION)),
IF(AND(FK123 &lt;&gt; "", FK123 &lt;&gt; 0), (FK123 * FL123 * 100 * (1 - COMIS_OPCION)), 0)) ))</f>
        <v>0</v>
      </c>
      <c r="FQ123" s="938"/>
      <c r="FR123" s="938"/>
      <c r="FS123" s="938"/>
      <c r="FT123" s="938"/>
      <c r="FU123" s="938"/>
      <c r="FV123" s="938"/>
      <c r="FW123" s="938"/>
      <c r="FX123" s="969"/>
      <c r="FY123" s="341"/>
      <c r="FZ123" s="341"/>
      <c r="GA123" s="341"/>
      <c r="GB123" s="495">
        <v>0</v>
      </c>
      <c r="GC123" s="495">
        <v>0</v>
      </c>
      <c r="GD123" s="500"/>
      <c r="GE123" s="495">
        <v>0</v>
      </c>
      <c r="GF123" s="495">
        <v>0</v>
      </c>
      <c r="GG123" s="495">
        <v>0</v>
      </c>
      <c r="GH123" s="359"/>
      <c r="GI123" s="359"/>
      <c r="GJ123" s="501"/>
      <c r="GK123" s="495">
        <v>0</v>
      </c>
      <c r="GL123" s="495">
        <v>0</v>
      </c>
      <c r="GM123" s="495">
        <v>0</v>
      </c>
      <c r="GN123" s="359"/>
      <c r="GO123" s="359"/>
      <c r="GP123" s="501"/>
      <c r="GQ123" s="495">
        <v>0</v>
      </c>
      <c r="GR123" s="359"/>
      <c r="GS123" s="333"/>
      <c r="GT123" s="333"/>
      <c r="GU123" s="333"/>
      <c r="GV123" s="333"/>
      <c r="GW123" s="333"/>
      <c r="GX123" s="333"/>
      <c r="GY123" s="333"/>
      <c r="GZ123" s="333"/>
      <c r="HA123" s="333"/>
      <c r="HB123" s="333"/>
      <c r="HC123" s="333"/>
      <c r="HD123" s="333"/>
      <c r="HE123" s="333"/>
      <c r="HF123" s="333"/>
      <c r="HG123" s="331"/>
      <c r="HH123" s="331"/>
      <c r="HI123" s="331"/>
      <c r="HJ123" s="331"/>
      <c r="HK123" s="331"/>
      <c r="HL123" s="331"/>
      <c r="HM123" s="331"/>
      <c r="HN123" s="333"/>
      <c r="HO123" s="333"/>
      <c r="HP123" s="333"/>
      <c r="HQ123" s="333"/>
      <c r="HR123" s="333"/>
      <c r="HS123" s="333"/>
      <c r="HT123" s="333"/>
      <c r="HU123" s="333"/>
      <c r="HV123" s="333"/>
      <c r="HW123" s="333"/>
      <c r="HX123" s="333"/>
      <c r="HY123" s="333"/>
      <c r="HZ123" s="333"/>
      <c r="IA123" s="333"/>
      <c r="IB123" s="333"/>
      <c r="IC123" s="333"/>
      <c r="ID123" s="55"/>
      <c r="IE123" s="47"/>
      <c r="IF123" s="52"/>
    </row>
    <row r="124" spans="13:240" s="142" customFormat="1" ht="15" customHeight="1" thickBot="1">
      <c r="M124" s="333"/>
      <c r="N124" s="333"/>
      <c r="O124" s="333"/>
      <c r="P124" s="333"/>
      <c r="Q124" s="333"/>
      <c r="R124" s="333"/>
      <c r="S124" s="333"/>
      <c r="T124" s="333"/>
      <c r="U124" s="333"/>
      <c r="V124" s="333"/>
      <c r="W124" s="333"/>
      <c r="X124" s="333"/>
      <c r="Y124" s="333"/>
      <c r="Z124" s="333"/>
      <c r="AA124" s="333"/>
      <c r="AB124" s="333"/>
      <c r="AC124" s="333"/>
      <c r="AD124" s="333"/>
      <c r="AE124" s="333"/>
      <c r="AF124" s="333"/>
      <c r="AG124" s="333"/>
      <c r="AH124" s="333"/>
      <c r="AI124" s="333"/>
      <c r="AJ124" s="333"/>
      <c r="AK124" s="333"/>
      <c r="AL124" s="333"/>
      <c r="AM124" s="333"/>
      <c r="AN124" s="333"/>
      <c r="AO124" s="333"/>
      <c r="AP124" s="333"/>
      <c r="AQ124" s="333"/>
      <c r="AR124" s="333"/>
      <c r="AS124" s="333"/>
      <c r="AT124" s="333"/>
      <c r="AU124" s="333"/>
      <c r="AV124" s="333"/>
      <c r="AW124" s="333"/>
      <c r="AX124" s="333"/>
      <c r="AY124" s="333"/>
      <c r="AZ124" s="333"/>
      <c r="BA124" s="333"/>
      <c r="BB124" s="333"/>
      <c r="BC124" s="333"/>
      <c r="BD124" s="333"/>
      <c r="BE124" s="333"/>
      <c r="BF124" s="333"/>
      <c r="BG124" s="333"/>
      <c r="BH124" s="333"/>
      <c r="BI124" s="333"/>
      <c r="BJ124" s="333"/>
      <c r="BK124" s="333"/>
      <c r="BL124" s="333"/>
      <c r="BM124" s="333"/>
      <c r="BN124" s="333"/>
      <c r="BO124" s="333"/>
      <c r="BP124" s="333"/>
      <c r="BQ124" s="333"/>
      <c r="BR124" s="333"/>
      <c r="BS124" s="333"/>
      <c r="BT124" s="333"/>
      <c r="BU124" s="333"/>
      <c r="BV124" s="333"/>
      <c r="BW124" s="333"/>
      <c r="BX124" s="333"/>
      <c r="BY124" s="333"/>
      <c r="BZ124" s="333"/>
      <c r="CA124" s="333"/>
      <c r="CB124" s="333"/>
      <c r="CC124" s="333"/>
      <c r="CD124" s="333"/>
      <c r="CE124" s="333"/>
      <c r="CF124" s="333"/>
      <c r="CG124" s="333"/>
      <c r="CH124" s="333"/>
      <c r="CI124" s="333"/>
      <c r="CJ124" s="333"/>
      <c r="CK124" s="333"/>
      <c r="CL124" s="333"/>
      <c r="CM124" s="333"/>
      <c r="CN124" s="333"/>
      <c r="CO124" s="333"/>
      <c r="CP124" s="333"/>
      <c r="CQ124" s="333"/>
      <c r="CR124" s="333"/>
      <c r="CS124" s="333"/>
      <c r="CT124" s="333"/>
      <c r="CU124" s="333"/>
      <c r="CV124" s="333"/>
      <c r="CW124" s="333"/>
      <c r="CX124" s="333"/>
      <c r="CY124" s="333"/>
      <c r="CZ124" s="333"/>
      <c r="DA124" s="333"/>
      <c r="DB124" s="333"/>
      <c r="DC124" s="333"/>
      <c r="DD124" s="333"/>
      <c r="DE124" s="333"/>
      <c r="DF124" s="333"/>
      <c r="DG124" s="333"/>
      <c r="DH124" s="333"/>
      <c r="DI124" s="333"/>
      <c r="DJ124" s="333"/>
      <c r="DK124" s="333"/>
      <c r="DL124" s="333"/>
      <c r="DM124" s="333"/>
      <c r="DN124" s="333"/>
      <c r="DO124" s="333"/>
      <c r="DP124" s="333"/>
      <c r="DQ124" s="333"/>
      <c r="DR124" s="333"/>
      <c r="DS124" s="333"/>
      <c r="DT124" s="333"/>
      <c r="DU124" s="359"/>
      <c r="DV124" s="359"/>
      <c r="DW124" s="359"/>
      <c r="DX124" s="359"/>
      <c r="DY124" s="359"/>
      <c r="DZ124" s="359"/>
      <c r="EA124" s="359"/>
      <c r="EB124" s="359"/>
      <c r="EC124" s="769">
        <f t="shared" si="190"/>
        <v>320</v>
      </c>
      <c r="ED124" s="889">
        <f t="shared" si="191"/>
        <v>0</v>
      </c>
      <c r="EE124" s="890"/>
      <c r="EF124" s="476">
        <f>GF209</f>
        <v>0</v>
      </c>
      <c r="EG124" s="889">
        <f t="shared" si="192"/>
        <v>0</v>
      </c>
      <c r="EH124" s="890"/>
      <c r="EI124" s="506">
        <f>GM209</f>
        <v>0</v>
      </c>
      <c r="EJ124" s="373"/>
      <c r="EK124" s="373"/>
      <c r="EL124" s="366"/>
      <c r="EM124" s="366"/>
      <c r="EN124" s="364"/>
      <c r="EO124" s="363"/>
      <c r="EP124" s="340"/>
      <c r="EQ124" s="340"/>
      <c r="ER124" s="340"/>
      <c r="ES124" s="363"/>
      <c r="ET124" s="363"/>
      <c r="EU124" s="340"/>
      <c r="EV124" s="340"/>
      <c r="EW124" s="340"/>
      <c r="EX124" s="340"/>
      <c r="EY124" s="340"/>
      <c r="EZ124" s="340"/>
      <c r="FA124" s="340"/>
      <c r="FB124" s="402"/>
      <c r="FC124" s="402"/>
      <c r="FD124" s="340"/>
      <c r="FE124" s="340"/>
      <c r="FF124" s="340"/>
      <c r="FG124" s="364"/>
      <c r="FH124" s="364"/>
      <c r="FI124" s="363"/>
      <c r="FJ124" s="360"/>
      <c r="FK124" s="360"/>
      <c r="FL124" s="340"/>
      <c r="FM124" s="967"/>
      <c r="FN124" s="967"/>
      <c r="FO124" s="967"/>
      <c r="FP124" s="968"/>
      <c r="FQ124" s="968"/>
      <c r="FR124" s="968"/>
      <c r="FS124" s="968"/>
      <c r="FT124" s="968"/>
      <c r="FU124" s="968"/>
      <c r="FV124" s="968"/>
      <c r="FW124" s="968"/>
      <c r="FX124" s="968"/>
      <c r="FY124" s="341"/>
      <c r="FZ124" s="341"/>
      <c r="GA124" s="341"/>
      <c r="GB124" s="495">
        <v>0</v>
      </c>
      <c r="GC124" s="495">
        <v>0</v>
      </c>
      <c r="GD124" s="500"/>
      <c r="GE124" s="495">
        <v>0</v>
      </c>
      <c r="GF124" s="495">
        <v>0</v>
      </c>
      <c r="GG124" s="495">
        <v>0</v>
      </c>
      <c r="GH124" s="359"/>
      <c r="GI124" s="359"/>
      <c r="GJ124" s="501"/>
      <c r="GK124" s="495">
        <v>0</v>
      </c>
      <c r="GL124" s="495">
        <v>0</v>
      </c>
      <c r="GM124" s="495">
        <v>0</v>
      </c>
      <c r="GN124" s="359"/>
      <c r="GO124" s="359"/>
      <c r="GP124" s="501"/>
      <c r="GQ124" s="495">
        <v>0</v>
      </c>
      <c r="GR124" s="359"/>
      <c r="GS124" s="333"/>
      <c r="GT124" s="333"/>
      <c r="GU124" s="333"/>
      <c r="GV124" s="333"/>
      <c r="GW124" s="333"/>
      <c r="GX124" s="333"/>
      <c r="GY124" s="333"/>
      <c r="GZ124" s="333"/>
      <c r="HA124" s="333"/>
      <c r="HB124" s="333"/>
      <c r="HC124" s="333"/>
      <c r="HD124" s="333"/>
      <c r="HE124" s="333"/>
      <c r="HF124" s="333"/>
      <c r="HG124" s="331"/>
      <c r="HH124" s="331"/>
      <c r="HI124" s="331"/>
      <c r="HJ124" s="331"/>
      <c r="HK124" s="331"/>
      <c r="HL124" s="331"/>
      <c r="HM124" s="331"/>
      <c r="HN124" s="333"/>
      <c r="HO124" s="333"/>
      <c r="HP124" s="333"/>
      <c r="HQ124" s="333"/>
      <c r="HR124" s="333"/>
      <c r="HS124" s="333"/>
      <c r="HT124" s="333"/>
      <c r="HU124" s="333"/>
      <c r="HV124" s="333"/>
      <c r="HW124" s="333"/>
      <c r="HX124" s="333"/>
      <c r="HY124" s="333"/>
      <c r="HZ124" s="333"/>
      <c r="IA124" s="333"/>
      <c r="IB124" s="333"/>
      <c r="IC124" s="333"/>
      <c r="ID124" s="55"/>
      <c r="IE124" s="47"/>
      <c r="IF124" s="52"/>
    </row>
    <row r="125" spans="13:240" s="142" customFormat="1" ht="15" customHeight="1">
      <c r="M125" s="333"/>
      <c r="N125" s="333"/>
      <c r="O125" s="333"/>
      <c r="P125" s="333"/>
      <c r="Q125" s="333"/>
      <c r="R125" s="333"/>
      <c r="S125" s="333"/>
      <c r="T125" s="333"/>
      <c r="U125" s="333"/>
      <c r="V125" s="333"/>
      <c r="W125" s="333"/>
      <c r="X125" s="333"/>
      <c r="Y125" s="333"/>
      <c r="Z125" s="333"/>
      <c r="AA125" s="333"/>
      <c r="AB125" s="333"/>
      <c r="AC125" s="333"/>
      <c r="AD125" s="333"/>
      <c r="AE125" s="333"/>
      <c r="AF125" s="333"/>
      <c r="AG125" s="333"/>
      <c r="AH125" s="333"/>
      <c r="AI125" s="333"/>
      <c r="AJ125" s="333"/>
      <c r="AK125" s="333"/>
      <c r="AL125" s="333"/>
      <c r="AM125" s="333"/>
      <c r="AN125" s="333"/>
      <c r="AO125" s="333"/>
      <c r="AP125" s="333"/>
      <c r="AQ125" s="333"/>
      <c r="AR125" s="333"/>
      <c r="AS125" s="333"/>
      <c r="AT125" s="333"/>
      <c r="AU125" s="333"/>
      <c r="AV125" s="333"/>
      <c r="AW125" s="333"/>
      <c r="AX125" s="333"/>
      <c r="AY125" s="333"/>
      <c r="AZ125" s="333"/>
      <c r="BA125" s="333"/>
      <c r="BB125" s="333"/>
      <c r="BC125" s="333"/>
      <c r="BD125" s="333"/>
      <c r="BE125" s="333"/>
      <c r="BF125" s="333"/>
      <c r="BG125" s="333"/>
      <c r="BH125" s="333"/>
      <c r="BI125" s="333"/>
      <c r="BJ125" s="333"/>
      <c r="BK125" s="333"/>
      <c r="BL125" s="333"/>
      <c r="BM125" s="333"/>
      <c r="BN125" s="333"/>
      <c r="BO125" s="333"/>
      <c r="BP125" s="333"/>
      <c r="BQ125" s="333"/>
      <c r="BR125" s="333"/>
      <c r="BS125" s="333"/>
      <c r="BT125" s="333"/>
      <c r="BU125" s="333"/>
      <c r="BV125" s="333"/>
      <c r="BW125" s="333"/>
      <c r="BX125" s="333"/>
      <c r="BY125" s="333"/>
      <c r="BZ125" s="333"/>
      <c r="CA125" s="333"/>
      <c r="CB125" s="333"/>
      <c r="CC125" s="333"/>
      <c r="CD125" s="333"/>
      <c r="CE125" s="333"/>
      <c r="CF125" s="333"/>
      <c r="CG125" s="333"/>
      <c r="CH125" s="333"/>
      <c r="CI125" s="333"/>
      <c r="CJ125" s="333"/>
      <c r="CK125" s="333"/>
      <c r="CL125" s="333"/>
      <c r="CM125" s="333"/>
      <c r="CN125" s="333"/>
      <c r="CO125" s="333"/>
      <c r="CP125" s="333"/>
      <c r="CQ125" s="333"/>
      <c r="CR125" s="333"/>
      <c r="CS125" s="333"/>
      <c r="CT125" s="333"/>
      <c r="CU125" s="333"/>
      <c r="CV125" s="333"/>
      <c r="CW125" s="333"/>
      <c r="CX125" s="333"/>
      <c r="CY125" s="333"/>
      <c r="CZ125" s="333"/>
      <c r="DA125" s="333"/>
      <c r="DB125" s="333"/>
      <c r="DC125" s="333"/>
      <c r="DD125" s="333"/>
      <c r="DE125" s="333"/>
      <c r="DF125" s="333"/>
      <c r="DG125" s="333"/>
      <c r="DH125" s="333"/>
      <c r="DI125" s="333"/>
      <c r="DJ125" s="333"/>
      <c r="DK125" s="333"/>
      <c r="DL125" s="333"/>
      <c r="DM125" s="333"/>
      <c r="DN125" s="333"/>
      <c r="DO125" s="333"/>
      <c r="DP125" s="333"/>
      <c r="DQ125" s="333"/>
      <c r="DR125" s="333"/>
      <c r="DS125" s="333"/>
      <c r="DT125" s="333"/>
      <c r="DU125" s="359"/>
      <c r="DV125" s="359"/>
      <c r="DW125" s="359"/>
      <c r="DX125" s="359"/>
      <c r="DY125" s="359"/>
      <c r="DZ125" s="359"/>
      <c r="EA125" s="359"/>
      <c r="EB125" s="359"/>
      <c r="EC125" s="769">
        <f t="shared" si="190"/>
        <v>330</v>
      </c>
      <c r="ED125" s="889">
        <f t="shared" si="191"/>
        <v>0</v>
      </c>
      <c r="EE125" s="890"/>
      <c r="EF125" s="476">
        <f>GF215</f>
        <v>0</v>
      </c>
      <c r="EG125" s="889">
        <f t="shared" si="192"/>
        <v>0</v>
      </c>
      <c r="EH125" s="890"/>
      <c r="EI125" s="506">
        <f>GM215</f>
        <v>0</v>
      </c>
      <c r="EJ125" s="373"/>
      <c r="EK125" s="373"/>
      <c r="EL125" s="366"/>
      <c r="EM125" s="366"/>
      <c r="EN125" s="364">
        <f>+EN119+1</f>
        <v>13</v>
      </c>
      <c r="EO125" s="356">
        <f>+VLOOKUP(EN125, PRECIOS_EJERCICIOS,  2,FALSE)</f>
        <v>190</v>
      </c>
      <c r="EP125" s="513" t="str">
        <f>+IF($AQ$49 = FALSE, "",
IF(VLOOKUP(EO125, basesCantPrimaBrutoRes, 2,FALSE) &gt;= 0, VLOOKUP(EO125, basesCantPrimaBrutoRes, 2,FALSE), 0))</f>
        <v/>
      </c>
      <c r="EQ125" s="514" t="str">
        <f>+IF($AQ$49 = FALSE, "",
IF(VLOOKUP(EO125, basesCantPrimaBrutoRes, 2,FALSE) &lt; 0, -VLOOKUP(EO125, basesCantPrimaBrutoRes, 2,FALSE), 0))</f>
        <v/>
      </c>
      <c r="ER125" s="521" t="str">
        <f>IF($AQ$49 = FALSE, "",
VLOOKUP(EO125, basesCantPrimaBrutoRes, 4,FALSE))</f>
        <v/>
      </c>
      <c r="ES125" s="926">
        <f>IF(ER125 = "", 0,
IF(AND(EP125 &gt; 0, EQ125 &gt;0), 0, IF(EO125 &lt;&gt; $Z$1,
IF(AND(EP125 &lt;&gt; "", EP125 &lt;&gt; 0), -(EP125 * ER125 * 100),
IF(AND(EQ125 &lt;&gt; "", EQ125 &lt;&gt; 0), (EQ125 * ER125 * 100), 0)),
IF(AND(EP125 &lt;&gt; "", EP125 &lt;&gt; 0), -(EP125 * ER125 * 1),
IF(AND(EQ125 &lt;&gt; "", EQ125 &lt;&gt; 0), (EQ125 * ER125 * 1), 0))  )))</f>
        <v>0</v>
      </c>
      <c r="ET125" s="927"/>
      <c r="EU125" s="928"/>
      <c r="EV125" s="926">
        <f>IF(ER125 = "", 0,
IF(AND(EP125 &gt; 0, EQ125 &gt;0), 0,  IF(EO125 &lt;&gt; $Z$1,
IF(AND(EP125 &lt;&gt; "", EP125 &lt;&gt; 0), -(EP125 * ER125 * 100 * (1 + COMIS_OPCION)),
IF(AND(EQ125 &lt;&gt; "", EQ125 &lt;&gt; 0), (EQ125 * ER125 * 100 * (1 - COMIS_OPCION)), 0)),
IF(AND(EP125 &lt;&gt; "", EP125 &lt;&gt; 0), -(EP125 * ER125 * 1 * (1 + COMIS_ACCION)),
IF(AND(EQ125 &lt;&gt; "", EQ125 &lt;&gt; 0), (EQ125 * ER125 * 1 * (1 - COMIS_ACCION)), 0))  )))</f>
        <v>0</v>
      </c>
      <c r="EW125" s="927"/>
      <c r="EX125" s="927"/>
      <c r="EY125" s="927"/>
      <c r="EZ125" s="927"/>
      <c r="FA125" s="927"/>
      <c r="FB125" s="927"/>
      <c r="FC125" s="927"/>
      <c r="FD125" s="929"/>
      <c r="FE125" s="340"/>
      <c r="FF125" s="340"/>
      <c r="FG125" s="364"/>
      <c r="FH125" s="364">
        <f>+FH119+1</f>
        <v>13</v>
      </c>
      <c r="FI125" s="357">
        <f>+VLOOKUP(FH125, PRECIOS_EJERCICIOS,  2,FALSE)</f>
        <v>190</v>
      </c>
      <c r="FJ125" s="515" t="str">
        <f>+IF($AQ$49 = FALSE, "",
IF(VLOOKUP(EO125, basesCantPrimaBrutoRes, 5,FALSE) &gt;= 0, VLOOKUP(EO125, basesCantPrimaBrutoRes, 5,FALSE), 0))</f>
        <v/>
      </c>
      <c r="FK125" s="516" t="str">
        <f>+IF($AQ$49 = FALSE, "",
IF(VLOOKUP(EO125, basesCantPrimaBrutoRes, 5,FALSE) &lt; 0, -VLOOKUP(EO125, basesCantPrimaBrutoRes, 5,FALSE), 0))</f>
        <v/>
      </c>
      <c r="FL125" s="517" t="str">
        <f>IF($AQ$49 = FALSE, "",
VLOOKUP(EO125, basesCantPrimaBrutoRes, 7,FALSE))</f>
        <v/>
      </c>
      <c r="FM125" s="934">
        <f>IF(FL125 = "", 0,
IF(AND(FJ125 &gt; 0, FK125 &gt;0), 0,
IF(AND(FJ125 &lt;&gt; "", FJ125 &lt;&gt; 0), -(FJ125 * FL125 * 100),
IF(AND(FK125 &lt;&gt; "", FK125 &lt;&gt; 0), (FK125 * FL125 * 100), 0)) ))</f>
        <v>0</v>
      </c>
      <c r="FN125" s="935"/>
      <c r="FO125" s="936"/>
      <c r="FP125" s="934">
        <f>IF(FL125 = "", 0,
IF(AND(FJ125 &gt; 0, FK125 &gt;0), 0,
IF(AND(FJ125 &lt;&gt; "", FJ125 &lt;&gt; 0), -(FJ125 * FL125 * 100 * (1 + COMIS_OPCION)),
IF(AND(FK125 &lt;&gt; "", FK125 &lt;&gt; 0), (FK125 * FL125 * 100 * (1 - COMIS_OPCION)), 0)) ))</f>
        <v>0</v>
      </c>
      <c r="FQ125" s="935"/>
      <c r="FR125" s="935"/>
      <c r="FS125" s="935"/>
      <c r="FT125" s="935"/>
      <c r="FU125" s="935"/>
      <c r="FV125" s="935"/>
      <c r="FW125" s="935"/>
      <c r="FX125" s="966"/>
      <c r="FY125" s="341"/>
      <c r="FZ125" s="341"/>
      <c r="GA125" s="341"/>
      <c r="GB125" s="495">
        <f>+IF(EN125 = "", "", EO125)</f>
        <v>190</v>
      </c>
      <c r="GC125" s="495" t="str">
        <f>+IF(GB125="", "", IF(EO125 = $Z$1, "ACCION", "CALL"))</f>
        <v>CALL</v>
      </c>
      <c r="GD125" s="500"/>
      <c r="GE125" s="495">
        <f>+IF(GB125= "", "", EO127)</f>
        <v>0</v>
      </c>
      <c r="GF125" s="495">
        <f>+IF(GB125 = "", "", IFERROR(IF(GB125 &lt;&gt; $Z$1,
IF(GE125 &gt; 0, SUMIFS(ES125:ES129, EP125:EP129, "&gt;0", ES125:ES129, "&lt;&gt;0") / SUMIFS(EP125:EP129, EP125:EP129, "&gt;0", ES125:ES129, "&lt;&gt;0") / -100,
IF(GE125 &lt; 0, SUMIFS(ES125:ES129, EQ125:EQ129, "&gt;0", ES125:ES129, "&lt;&gt;0") / SUMIFS(EQ125:EQ129, EQ125:EQ129, "&gt;0", ES125:ES129, "&lt;&gt;0") / 100, 0)),
IF(GE125 &gt; 0, SUMIFS(ES125:ES129, EP125:EP129, "&gt;0", ES125:ES129, "&lt;&gt;0") / SUMIFS(EP125:EP129, EP125:EP129, "&gt;0", ES125:ES129, "&lt;&gt;0") / -1,
IF(GE125 &lt; 0, SUMIFS(ES125:ES129, EQ125:EQ129, "&gt;0", ES125:ES129, "&lt;&gt;0") / SUMIFS(EQ125:EQ129, EQ125:EQ129, "&gt;0", ES125:ES129, "&lt;&gt;0") / 1, 0)) ), 0))</f>
        <v>0</v>
      </c>
      <c r="GG125" s="495">
        <f>+IF(GB125 = "", "", IFERROR(IF(GB125 &lt;&gt; $Z$1,
IF(GE125 &gt; 0, SUMIFS(EV125:EV129, EP125:EP129, "&gt;0", EV125:EV129, "&lt;&gt;0") / SUMIFS(EP125:EP129, EP125:EP129, "&gt;0", EV125:EV129, "&lt;&gt;0") / -100,
IF(GE125 &lt; 0, SUMIFS(EV125:EV129, EQ125:EQ129, "&gt;0", EV125:EV129, "&lt;&gt;0") / SUMIFS(EQ125:EQ129, EQ125:EQ129, "&gt;0", EV125:EV129, "&lt;&gt;0") / 100, 0)),
IF(GE125 &gt; 0, SUMIFS(EV125:EV129, EP125:EP129, "&gt;0", EV125:EV129, "&lt;&gt;0") / SUMIFS(EP125:EP129, EP125:EP129, "&gt;0", EV125:EV129, "&lt;&gt;0") / -1,
IF(GE125 &lt; 0, SUMIFS(EV125:EV129, EQ125:EQ129, "&gt;0", EV125:EV129, "&lt;&gt;0") / SUMIFS(EQ125:EQ129, EQ125:EQ129, "&gt;0", EV125:EV129, "&lt;&gt;0") / 1, 0)) ), 0))</f>
        <v>0</v>
      </c>
      <c r="GH125" s="359"/>
      <c r="GI125" s="359"/>
      <c r="GJ125" s="501"/>
      <c r="GK125" s="495" t="str">
        <f>+IF(GB125="", "", "PUT")</f>
        <v>PUT</v>
      </c>
      <c r="GL125" s="495">
        <f>+IF(GB125 = "", "", FI127)</f>
        <v>0</v>
      </c>
      <c r="GM125" s="495">
        <f>+IF(GB125 = "", "", IFERROR(
IF(FI127 &gt; 0, SUMIFS(FM125:FM129, FJ125:FJ129, "&gt;0", FM125:FM129, "&lt;&gt;0") / SUMIFS(FJ125:FJ129, FJ125:FJ129, "&gt;0", FM125:FM129, "&lt;&gt;0") / -100,
IF(FI127 &lt; 0, SUMIFS(FM125:FM129, FK125:FK129, "&gt;0", FM125:FM129, "&lt;&gt;0") / SUMIFS(FK125:FK129, FK125:FK129, "&gt;0", FM125:FM129, "&lt;&gt;0") / 100, 0)), 0) )</f>
        <v>0</v>
      </c>
      <c r="GN125" s="359"/>
      <c r="GO125" s="359"/>
      <c r="GP125" s="501"/>
      <c r="GQ125" s="502">
        <f>+IF(GB125 = "", "", IFERROR(
IF(FI127 &gt; 0, SUMIFS(FP125:FP129, FJ125:FJ129, "&gt;0", FP125:FP129, "&lt;&gt;0") / SUMIFS(FJ125:FJ129, FJ125:FJ129, "&gt;0", FP125:FP129, "&lt;&gt;0") / -100,
IF(FI127 &lt; 0, SUMIFS(FP125:FP129, FK125:FK129, "&gt;0", FP125:FP129, "&lt;&gt;0") / SUMIFS(FK125:FK129, FK125:FK129, "&gt;0", FP125:FP129, "&lt;&gt;0") / 100, 0)), 0))</f>
        <v>0</v>
      </c>
      <c r="GR125" s="359"/>
      <c r="GS125" s="333"/>
      <c r="GT125" s="333"/>
      <c r="GU125" s="333"/>
      <c r="GV125" s="333"/>
      <c r="GW125" s="333"/>
      <c r="GX125" s="333"/>
      <c r="GY125" s="333"/>
      <c r="GZ125" s="333"/>
      <c r="HA125" s="333"/>
      <c r="HB125" s="333"/>
      <c r="HC125" s="333"/>
      <c r="HD125" s="333"/>
      <c r="HE125" s="333"/>
      <c r="HF125" s="333"/>
      <c r="HG125" s="331"/>
      <c r="HH125" s="331"/>
      <c r="HI125" s="331"/>
      <c r="HJ125" s="331"/>
      <c r="HK125" s="331"/>
      <c r="HL125" s="331"/>
      <c r="HM125" s="331"/>
      <c r="HN125" s="333"/>
      <c r="HO125" s="333"/>
      <c r="HP125" s="333"/>
      <c r="HQ125" s="333"/>
      <c r="HR125" s="333"/>
      <c r="HS125" s="333"/>
      <c r="HT125" s="333"/>
      <c r="HU125" s="333"/>
      <c r="HV125" s="333"/>
      <c r="HW125" s="333"/>
      <c r="HX125" s="333"/>
      <c r="HY125" s="333"/>
      <c r="HZ125" s="333"/>
      <c r="IA125" s="333"/>
      <c r="IB125" s="333"/>
      <c r="IC125" s="333"/>
      <c r="ID125" s="55"/>
      <c r="IE125" s="47"/>
      <c r="IF125" s="52"/>
    </row>
    <row r="126" spans="13:240" s="142" customFormat="1" ht="15" customHeight="1">
      <c r="M126" s="333"/>
      <c r="N126" s="333"/>
      <c r="O126" s="333"/>
      <c r="P126" s="333"/>
      <c r="Q126" s="333"/>
      <c r="R126" s="333"/>
      <c r="S126" s="333"/>
      <c r="T126" s="333"/>
      <c r="U126" s="333"/>
      <c r="V126" s="333"/>
      <c r="W126" s="333"/>
      <c r="X126" s="333"/>
      <c r="Y126" s="333"/>
      <c r="Z126" s="333"/>
      <c r="AA126" s="333"/>
      <c r="AB126" s="333"/>
      <c r="AC126" s="333"/>
      <c r="AD126" s="333"/>
      <c r="AE126" s="333"/>
      <c r="AF126" s="333"/>
      <c r="AG126" s="333"/>
      <c r="AH126" s="333"/>
      <c r="AI126" s="333"/>
      <c r="AJ126" s="333"/>
      <c r="AK126" s="333"/>
      <c r="AL126" s="333"/>
      <c r="AM126" s="333"/>
      <c r="AN126" s="333"/>
      <c r="AO126" s="333"/>
      <c r="AP126" s="333"/>
      <c r="AQ126" s="333"/>
      <c r="AR126" s="333"/>
      <c r="AS126" s="333"/>
      <c r="AT126" s="333"/>
      <c r="AU126" s="333"/>
      <c r="AV126" s="333"/>
      <c r="AW126" s="333"/>
      <c r="AX126" s="333"/>
      <c r="AY126" s="333"/>
      <c r="AZ126" s="333"/>
      <c r="BA126" s="333"/>
      <c r="BB126" s="333"/>
      <c r="BC126" s="333"/>
      <c r="BD126" s="333"/>
      <c r="BE126" s="333"/>
      <c r="BF126" s="333"/>
      <c r="BG126" s="333"/>
      <c r="BH126" s="333"/>
      <c r="BI126" s="333"/>
      <c r="BJ126" s="333"/>
      <c r="BK126" s="333"/>
      <c r="BL126" s="333"/>
      <c r="BM126" s="333"/>
      <c r="BN126" s="333"/>
      <c r="BO126" s="333"/>
      <c r="BP126" s="333"/>
      <c r="BQ126" s="333"/>
      <c r="BR126" s="333"/>
      <c r="BS126" s="333"/>
      <c r="BT126" s="333"/>
      <c r="BU126" s="333"/>
      <c r="BV126" s="333"/>
      <c r="BW126" s="333"/>
      <c r="BX126" s="333"/>
      <c r="BY126" s="333"/>
      <c r="BZ126" s="333"/>
      <c r="CA126" s="333"/>
      <c r="CB126" s="333"/>
      <c r="CC126" s="333"/>
      <c r="CD126" s="333"/>
      <c r="CE126" s="333"/>
      <c r="CF126" s="333"/>
      <c r="CG126" s="333"/>
      <c r="CH126" s="333"/>
      <c r="CI126" s="333"/>
      <c r="CJ126" s="333"/>
      <c r="CK126" s="333"/>
      <c r="CL126" s="333"/>
      <c r="CM126" s="333"/>
      <c r="CN126" s="333"/>
      <c r="CO126" s="333"/>
      <c r="CP126" s="333"/>
      <c r="CQ126" s="333"/>
      <c r="CR126" s="333"/>
      <c r="CS126" s="333"/>
      <c r="CT126" s="333"/>
      <c r="CU126" s="333"/>
      <c r="CV126" s="333"/>
      <c r="CW126" s="333"/>
      <c r="CX126" s="333"/>
      <c r="CY126" s="333"/>
      <c r="CZ126" s="333"/>
      <c r="DA126" s="333"/>
      <c r="DB126" s="333"/>
      <c r="DC126" s="333"/>
      <c r="DD126" s="333"/>
      <c r="DE126" s="333"/>
      <c r="DF126" s="333"/>
      <c r="DG126" s="333"/>
      <c r="DH126" s="333"/>
      <c r="DI126" s="333"/>
      <c r="DJ126" s="333"/>
      <c r="DK126" s="333"/>
      <c r="DL126" s="333"/>
      <c r="DM126" s="333"/>
      <c r="DN126" s="333"/>
      <c r="DO126" s="333"/>
      <c r="DP126" s="333"/>
      <c r="DQ126" s="333"/>
      <c r="DR126" s="333"/>
      <c r="DS126" s="333"/>
      <c r="DT126" s="333"/>
      <c r="DU126" s="359"/>
      <c r="DV126" s="359"/>
      <c r="DW126" s="359"/>
      <c r="DX126" s="359"/>
      <c r="DY126" s="359"/>
      <c r="DZ126" s="359"/>
      <c r="EA126" s="359"/>
      <c r="EB126" s="359"/>
      <c r="EC126" s="769">
        <f t="shared" si="190"/>
        <v>340</v>
      </c>
      <c r="ED126" s="889">
        <f t="shared" si="191"/>
        <v>0</v>
      </c>
      <c r="EE126" s="890"/>
      <c r="EF126" s="476">
        <f>GF221</f>
        <v>0</v>
      </c>
      <c r="EG126" s="889">
        <f t="shared" si="192"/>
        <v>0</v>
      </c>
      <c r="EH126" s="890"/>
      <c r="EI126" s="506">
        <f>GM221</f>
        <v>0</v>
      </c>
      <c r="EJ126" s="373"/>
      <c r="EK126" s="373"/>
      <c r="EL126" s="366"/>
      <c r="EM126" s="366"/>
      <c r="EN126" s="364"/>
      <c r="EO126" s="351"/>
      <c r="EP126" s="347"/>
      <c r="EQ126" s="342"/>
      <c r="ER126" s="522"/>
      <c r="ES126" s="916">
        <f>IF(ER126 = "", 0,
IF(AND(EP126 &gt; 0, EQ126 &gt;0), 0, IF(EO125 &lt;&gt; $Z$1,
IF(AND(EP126 &lt;&gt; "", EP126 &lt;&gt; 0), -(EP126 * ER126 * 100),
IF(AND(EQ126 &lt;&gt; "", EQ126 &lt;&gt; 0), (EQ126 * ER126 * 100), 0)),
IF(AND(EP126 &lt;&gt; "", EP126 &lt;&gt; 0), -(EP126 * ER126 * 1),
IF(AND(EQ126 &lt;&gt; "", EQ126 &lt;&gt; 0), (EQ126 * ER126 * 1), 0))  )))</f>
        <v>0</v>
      </c>
      <c r="ET126" s="917"/>
      <c r="EU126" s="918"/>
      <c r="EV126" s="916">
        <f>IF(ER126 = "", 0,
IF(AND(EP126 &gt; 0, EQ126 &gt;0), 0,  IF(EO125 &lt;&gt; $Z$1,
IF(AND(EP126 &lt;&gt; "", EP126 &lt;&gt; 0), -(EP126 * ER126 * 100 * (1 + COMIS_OPCION)),
IF(AND(EQ126 &lt;&gt; "", EQ126 &lt;&gt; 0), (EQ126 * ER126 * 100 * (1 - COMIS_OPCION)), 0)),
IF(AND(EP126 &lt;&gt; "", EP126 &lt;&gt; 0), -(EP126 * ER126 * 1 * (1 + COMIS_ACCION)),
IF(AND(EQ126 &lt;&gt; "", EQ126 &lt;&gt; 0), (EQ126 * ER126 * 1 * (1 - COMIS_ACCION)), 0))  )))</f>
        <v>0</v>
      </c>
      <c r="EW126" s="917"/>
      <c r="EX126" s="917"/>
      <c r="EY126" s="917"/>
      <c r="EZ126" s="917"/>
      <c r="FA126" s="917"/>
      <c r="FB126" s="917"/>
      <c r="FC126" s="917"/>
      <c r="FD126" s="925"/>
      <c r="FE126" s="340"/>
      <c r="FF126" s="340"/>
      <c r="FG126" s="364"/>
      <c r="FH126" s="364"/>
      <c r="FI126" s="339"/>
      <c r="FJ126" s="347"/>
      <c r="FK126" s="342"/>
      <c r="FL126" s="343"/>
      <c r="FM126" s="930">
        <f>IF(FL126 = "", 0,
IF(AND(FJ126 &gt; 0, FK126 &gt;0), 0,
IF(AND(FJ126 &lt;&gt; "", FJ126 &lt;&gt; 0), -(FJ126 * FL126 * 100),
IF(AND(FK126 &lt;&gt; "", FK126 &lt;&gt; 0), (FK126 * FL126 * 100), 0)) ))</f>
        <v>0</v>
      </c>
      <c r="FN126" s="931"/>
      <c r="FO126" s="932"/>
      <c r="FP126" s="930">
        <f>IF(FL126 = "", 0,
IF(AND(FJ126 &gt; 0, FK126 &gt;0), 0,
IF(AND(FJ126 &lt;&gt; "", FJ126 &lt;&gt; 0), -(FJ126 * FL126 * 100 * (1 + COMIS_OPCION)),
IF(AND(FK126 &lt;&gt; "", FK126 &lt;&gt; 0), (FK126 * FL126 * 100 * (1 - COMIS_OPCION)), 0)) ))</f>
        <v>0</v>
      </c>
      <c r="FQ126" s="931"/>
      <c r="FR126" s="931"/>
      <c r="FS126" s="931"/>
      <c r="FT126" s="931"/>
      <c r="FU126" s="931"/>
      <c r="FV126" s="931"/>
      <c r="FW126" s="931"/>
      <c r="FX126" s="933"/>
      <c r="FY126" s="341"/>
      <c r="FZ126" s="341"/>
      <c r="GA126" s="341"/>
      <c r="GB126" s="495">
        <v>0</v>
      </c>
      <c r="GC126" s="495">
        <v>0</v>
      </c>
      <c r="GD126" s="500"/>
      <c r="GE126" s="495">
        <v>0</v>
      </c>
      <c r="GF126" s="495">
        <v>0</v>
      </c>
      <c r="GG126" s="495">
        <v>0</v>
      </c>
      <c r="GH126" s="359"/>
      <c r="GI126" s="359"/>
      <c r="GJ126" s="501"/>
      <c r="GK126" s="495">
        <v>0</v>
      </c>
      <c r="GL126" s="495">
        <v>0</v>
      </c>
      <c r="GM126" s="495">
        <v>0</v>
      </c>
      <c r="GN126" s="359"/>
      <c r="GO126" s="359"/>
      <c r="GP126" s="501"/>
      <c r="GQ126" s="495">
        <v>0</v>
      </c>
      <c r="GR126" s="359"/>
      <c r="GS126" s="333"/>
      <c r="GT126" s="333"/>
      <c r="GU126" s="333"/>
      <c r="GV126" s="333"/>
      <c r="GW126" s="333"/>
      <c r="GX126" s="333"/>
      <c r="GY126" s="333"/>
      <c r="GZ126" s="333"/>
      <c r="HA126" s="333"/>
      <c r="HB126" s="333"/>
      <c r="HC126" s="333"/>
      <c r="HD126" s="333"/>
      <c r="HE126" s="333"/>
      <c r="HF126" s="333"/>
      <c r="HG126" s="331"/>
      <c r="HH126" s="331"/>
      <c r="HI126" s="331"/>
      <c r="HJ126" s="331"/>
      <c r="HK126" s="331"/>
      <c r="HL126" s="331"/>
      <c r="HM126" s="331"/>
      <c r="HN126" s="333"/>
      <c r="HO126" s="333"/>
      <c r="HP126" s="333"/>
      <c r="HQ126" s="333"/>
      <c r="HR126" s="333"/>
      <c r="HS126" s="333"/>
      <c r="HT126" s="333"/>
      <c r="HU126" s="333"/>
      <c r="HV126" s="333"/>
      <c r="HW126" s="333"/>
      <c r="HX126" s="333"/>
      <c r="HY126" s="333"/>
      <c r="HZ126" s="333"/>
      <c r="IA126" s="333"/>
      <c r="IB126" s="333"/>
      <c r="IC126" s="333"/>
      <c r="ID126" s="55"/>
      <c r="IE126" s="47"/>
      <c r="IF126" s="52"/>
    </row>
    <row r="127" spans="13:240" s="142" customFormat="1" ht="15" customHeight="1">
      <c r="M127" s="333"/>
      <c r="N127" s="333"/>
      <c r="O127" s="333"/>
      <c r="P127" s="333"/>
      <c r="Q127" s="333"/>
      <c r="R127" s="333"/>
      <c r="S127" s="333"/>
      <c r="T127" s="333"/>
      <c r="U127" s="333"/>
      <c r="V127" s="333"/>
      <c r="W127" s="333"/>
      <c r="X127" s="333"/>
      <c r="Y127" s="333"/>
      <c r="Z127" s="333"/>
      <c r="AA127" s="333"/>
      <c r="AB127" s="333"/>
      <c r="AC127" s="333"/>
      <c r="AD127" s="333"/>
      <c r="AE127" s="333"/>
      <c r="AF127" s="333"/>
      <c r="AG127" s="333"/>
      <c r="AH127" s="333"/>
      <c r="AI127" s="333"/>
      <c r="AJ127" s="333"/>
      <c r="AK127" s="333"/>
      <c r="AL127" s="333"/>
      <c r="AM127" s="333"/>
      <c r="AN127" s="333"/>
      <c r="AO127" s="333"/>
      <c r="AP127" s="333"/>
      <c r="AQ127" s="333"/>
      <c r="AR127" s="333"/>
      <c r="AS127" s="333"/>
      <c r="AT127" s="333"/>
      <c r="AU127" s="333"/>
      <c r="AV127" s="333"/>
      <c r="AW127" s="333"/>
      <c r="AX127" s="333"/>
      <c r="AY127" s="333"/>
      <c r="AZ127" s="333"/>
      <c r="BA127" s="333"/>
      <c r="BB127" s="333"/>
      <c r="BC127" s="333"/>
      <c r="BD127" s="333"/>
      <c r="BE127" s="333"/>
      <c r="BF127" s="333"/>
      <c r="BG127" s="333"/>
      <c r="BH127" s="333"/>
      <c r="BI127" s="333"/>
      <c r="BJ127" s="333"/>
      <c r="BK127" s="333"/>
      <c r="BL127" s="333"/>
      <c r="BM127" s="333"/>
      <c r="BN127" s="333"/>
      <c r="BO127" s="333"/>
      <c r="BP127" s="333"/>
      <c r="BQ127" s="333"/>
      <c r="BR127" s="333"/>
      <c r="BS127" s="333"/>
      <c r="BT127" s="333"/>
      <c r="BU127" s="333"/>
      <c r="BV127" s="333"/>
      <c r="BW127" s="333"/>
      <c r="BX127" s="333"/>
      <c r="BY127" s="333"/>
      <c r="BZ127" s="333"/>
      <c r="CA127" s="333"/>
      <c r="CB127" s="333"/>
      <c r="CC127" s="333"/>
      <c r="CD127" s="333"/>
      <c r="CE127" s="333"/>
      <c r="CF127" s="333"/>
      <c r="CG127" s="333"/>
      <c r="CH127" s="333"/>
      <c r="CI127" s="333"/>
      <c r="CJ127" s="333"/>
      <c r="CK127" s="333"/>
      <c r="CL127" s="333"/>
      <c r="CM127" s="333"/>
      <c r="CN127" s="333"/>
      <c r="CO127" s="333"/>
      <c r="CP127" s="333"/>
      <c r="CQ127" s="333"/>
      <c r="CR127" s="333"/>
      <c r="CS127" s="333"/>
      <c r="CT127" s="333"/>
      <c r="CU127" s="333"/>
      <c r="CV127" s="333"/>
      <c r="CW127" s="333"/>
      <c r="CX127" s="333"/>
      <c r="CY127" s="333"/>
      <c r="CZ127" s="333"/>
      <c r="DA127" s="333"/>
      <c r="DB127" s="333"/>
      <c r="DC127" s="333"/>
      <c r="DD127" s="333"/>
      <c r="DE127" s="333"/>
      <c r="DF127" s="333"/>
      <c r="DG127" s="333"/>
      <c r="DH127" s="333"/>
      <c r="DI127" s="333"/>
      <c r="DJ127" s="333"/>
      <c r="DK127" s="333"/>
      <c r="DL127" s="333"/>
      <c r="DM127" s="333"/>
      <c r="DN127" s="333"/>
      <c r="DO127" s="333"/>
      <c r="DP127" s="333"/>
      <c r="DQ127" s="333"/>
      <c r="DR127" s="333"/>
      <c r="DS127" s="333"/>
      <c r="DT127" s="333"/>
      <c r="DU127" s="359"/>
      <c r="DV127" s="359"/>
      <c r="DW127" s="359"/>
      <c r="DX127" s="359"/>
      <c r="DY127" s="359"/>
      <c r="DZ127" s="359"/>
      <c r="EA127" s="359"/>
      <c r="EB127" s="359"/>
      <c r="EC127" s="769">
        <f t="shared" si="190"/>
        <v>350</v>
      </c>
      <c r="ED127" s="889">
        <f t="shared" si="191"/>
        <v>0</v>
      </c>
      <c r="EE127" s="890"/>
      <c r="EF127" s="476">
        <f>GF227</f>
        <v>0</v>
      </c>
      <c r="EG127" s="889">
        <f t="shared" si="192"/>
        <v>0</v>
      </c>
      <c r="EH127" s="890"/>
      <c r="EI127" s="506">
        <f>GM227</f>
        <v>0</v>
      </c>
      <c r="EJ127" s="373"/>
      <c r="EK127" s="373"/>
      <c r="EL127" s="366"/>
      <c r="EM127" s="368"/>
      <c r="EN127" s="365"/>
      <c r="EO127" s="352">
        <f>+SUM(EP125:EP129) - SUM(EQ125:EQ129)</f>
        <v>0</v>
      </c>
      <c r="EP127" s="347"/>
      <c r="EQ127" s="342"/>
      <c r="ER127" s="522"/>
      <c r="ES127" s="916">
        <f>IF(ER127 = "", 0,
IF(AND(EP127 &gt; 0, EQ127 &gt;0), 0, IF(EO125 &lt;&gt; $Z$1,
IF(AND(EP127 &lt;&gt; "", EP127 &lt;&gt; 0), -(EP127 * ER127 * 100),
IF(AND(EQ127 &lt;&gt; "", EQ127 &lt;&gt; 0), (EQ127 * ER127 * 100), 0)),
IF(AND(EP127 &lt;&gt; "", EP127 &lt;&gt; 0), -(EP127 * ER127 * 1),
IF(AND(EQ127 &lt;&gt; "", EQ127 &lt;&gt; 0), (EQ127 * ER127 * 1), 0))  )))</f>
        <v>0</v>
      </c>
      <c r="ET127" s="917"/>
      <c r="EU127" s="918"/>
      <c r="EV127" s="916">
        <f>IF(ER127 = "", 0,
IF(AND(EP127 &gt; 0, EQ127 &gt;0), 0,  IF(EO125 &lt;&gt; $Z$1,
IF(AND(EP127 &lt;&gt; "", EP127 &lt;&gt; 0), -(EP127 * ER127 * 100 * (1 + COMIS_OPCION)),
IF(AND(EQ127 &lt;&gt; "", EQ127 &lt;&gt; 0), (EQ127 * ER127 * 100 * (1 - COMIS_OPCION)), 0)),
IF(AND(EP127 &lt;&gt; "", EP127 &lt;&gt; 0), -(EP127 * ER127 * 1 * (1 + COMIS_ACCION)),
IF(AND(EQ127 &lt;&gt; "", EQ127 &lt;&gt; 0), (EQ127 * ER127 * 1 * (1 - COMIS_ACCION)), 0))  )))</f>
        <v>0</v>
      </c>
      <c r="EW127" s="917"/>
      <c r="EX127" s="917"/>
      <c r="EY127" s="917"/>
      <c r="EZ127" s="917"/>
      <c r="FA127" s="917"/>
      <c r="FB127" s="917"/>
      <c r="FC127" s="917"/>
      <c r="FD127" s="925"/>
      <c r="FE127" s="340"/>
      <c r="FF127" s="340"/>
      <c r="FG127" s="365"/>
      <c r="FH127" s="365"/>
      <c r="FI127" s="354">
        <f>+SUM(FJ125:FJ129) - SUM(FK125:FK129)</f>
        <v>0</v>
      </c>
      <c r="FJ127" s="347"/>
      <c r="FK127" s="342"/>
      <c r="FL127" s="343"/>
      <c r="FM127" s="930">
        <f>IF(FL127 = "", 0,
IF(AND(FJ127 &gt; 0, FK127 &gt;0), 0,
IF(AND(FJ127 &lt;&gt; "", FJ127 &lt;&gt; 0), -(FJ127 * FL127 * 100),
IF(AND(FK127 &lt;&gt; "", FK127 &lt;&gt; 0), (FK127 * FL127 * 100), 0)) ))</f>
        <v>0</v>
      </c>
      <c r="FN127" s="931"/>
      <c r="FO127" s="932"/>
      <c r="FP127" s="930">
        <f>IF(FL127 = "", 0,
IF(AND(FJ127 &gt; 0, FK127 &gt;0), 0,
IF(AND(FJ127 &lt;&gt; "", FJ127 &lt;&gt; 0), -(FJ127 * FL127 * 100 * (1 + COMIS_OPCION)),
IF(AND(FK127 &lt;&gt; "", FK127 &lt;&gt; 0), (FK127 * FL127 * 100 * (1 - COMIS_OPCION)), 0)) ))</f>
        <v>0</v>
      </c>
      <c r="FQ127" s="931"/>
      <c r="FR127" s="931"/>
      <c r="FS127" s="931"/>
      <c r="FT127" s="931"/>
      <c r="FU127" s="931"/>
      <c r="FV127" s="931"/>
      <c r="FW127" s="931"/>
      <c r="FX127" s="933"/>
      <c r="FY127" s="341"/>
      <c r="FZ127" s="341"/>
      <c r="GA127" s="341"/>
      <c r="GB127" s="495">
        <v>0</v>
      </c>
      <c r="GC127" s="495">
        <v>0</v>
      </c>
      <c r="GD127" s="500"/>
      <c r="GE127" s="495">
        <v>0</v>
      </c>
      <c r="GF127" s="495">
        <v>0</v>
      </c>
      <c r="GG127" s="495">
        <v>0</v>
      </c>
      <c r="GH127" s="359"/>
      <c r="GI127" s="359"/>
      <c r="GJ127" s="501"/>
      <c r="GK127" s="495">
        <v>0</v>
      </c>
      <c r="GL127" s="495">
        <v>0</v>
      </c>
      <c r="GM127" s="495">
        <v>0</v>
      </c>
      <c r="GN127" s="359"/>
      <c r="GO127" s="359"/>
      <c r="GP127" s="501"/>
      <c r="GQ127" s="495">
        <v>0</v>
      </c>
      <c r="GR127" s="359"/>
      <c r="GS127" s="333"/>
      <c r="GT127" s="333"/>
      <c r="GU127" s="333"/>
      <c r="GV127" s="333"/>
      <c r="GW127" s="333"/>
      <c r="GX127" s="333"/>
      <c r="GY127" s="333"/>
      <c r="GZ127" s="333"/>
      <c r="HA127" s="333"/>
      <c r="HB127" s="333"/>
      <c r="HC127" s="333"/>
      <c r="HD127" s="333"/>
      <c r="HE127" s="333"/>
      <c r="HF127" s="333"/>
      <c r="HG127" s="331"/>
      <c r="HH127" s="331"/>
      <c r="HI127" s="331"/>
      <c r="HJ127" s="331"/>
      <c r="HK127" s="331"/>
      <c r="HL127" s="331"/>
      <c r="HM127" s="331"/>
      <c r="HN127" s="333"/>
      <c r="HO127" s="333"/>
      <c r="HP127" s="333"/>
      <c r="HQ127" s="333"/>
      <c r="HR127" s="333"/>
      <c r="HS127" s="333"/>
      <c r="HT127" s="333"/>
      <c r="HU127" s="333"/>
      <c r="HV127" s="333"/>
      <c r="HW127" s="333"/>
      <c r="HX127" s="333"/>
      <c r="HY127" s="333"/>
      <c r="HZ127" s="333"/>
      <c r="IA127" s="333"/>
      <c r="IB127" s="333"/>
      <c r="IC127" s="333"/>
      <c r="ID127" s="55"/>
      <c r="IE127" s="47"/>
      <c r="IF127" s="52"/>
    </row>
    <row r="128" spans="13:240" s="142" customFormat="1" ht="15" customHeight="1">
      <c r="M128" s="333"/>
      <c r="N128" s="333"/>
      <c r="O128" s="333"/>
      <c r="P128" s="333"/>
      <c r="Q128" s="333"/>
      <c r="R128" s="333"/>
      <c r="S128" s="333"/>
      <c r="T128" s="333"/>
      <c r="U128" s="333"/>
      <c r="V128" s="333"/>
      <c r="W128" s="333"/>
      <c r="X128" s="333"/>
      <c r="Y128" s="333"/>
      <c r="Z128" s="333"/>
      <c r="AA128" s="333"/>
      <c r="AB128" s="333"/>
      <c r="AC128" s="333"/>
      <c r="AD128" s="333"/>
      <c r="AE128" s="333"/>
      <c r="AF128" s="333"/>
      <c r="AG128" s="333"/>
      <c r="AH128" s="333"/>
      <c r="AI128" s="333"/>
      <c r="AJ128" s="333"/>
      <c r="AK128" s="333"/>
      <c r="AL128" s="333"/>
      <c r="AM128" s="333"/>
      <c r="AN128" s="333"/>
      <c r="AO128" s="333"/>
      <c r="AP128" s="333"/>
      <c r="AQ128" s="333"/>
      <c r="AR128" s="333"/>
      <c r="AS128" s="333"/>
      <c r="AT128" s="333"/>
      <c r="AU128" s="333"/>
      <c r="AV128" s="333"/>
      <c r="AW128" s="333"/>
      <c r="AX128" s="333"/>
      <c r="AY128" s="333"/>
      <c r="AZ128" s="333"/>
      <c r="BA128" s="333"/>
      <c r="BB128" s="333"/>
      <c r="BC128" s="333"/>
      <c r="BD128" s="333"/>
      <c r="BE128" s="333"/>
      <c r="BF128" s="333"/>
      <c r="BG128" s="333"/>
      <c r="BH128" s="333"/>
      <c r="BI128" s="333"/>
      <c r="BJ128" s="333"/>
      <c r="BK128" s="333"/>
      <c r="BL128" s="333"/>
      <c r="BM128" s="333"/>
      <c r="BN128" s="333"/>
      <c r="BO128" s="333"/>
      <c r="BP128" s="333"/>
      <c r="BQ128" s="333"/>
      <c r="BR128" s="333"/>
      <c r="BS128" s="333"/>
      <c r="BT128" s="333"/>
      <c r="BU128" s="333"/>
      <c r="BV128" s="333"/>
      <c r="BW128" s="333"/>
      <c r="BX128" s="333"/>
      <c r="BY128" s="333"/>
      <c r="BZ128" s="333"/>
      <c r="CA128" s="333"/>
      <c r="CB128" s="333"/>
      <c r="CC128" s="333"/>
      <c r="CD128" s="333"/>
      <c r="CE128" s="333"/>
      <c r="CF128" s="333"/>
      <c r="CG128" s="333"/>
      <c r="CH128" s="333"/>
      <c r="CI128" s="333"/>
      <c r="CJ128" s="333"/>
      <c r="CK128" s="333"/>
      <c r="CL128" s="333"/>
      <c r="CM128" s="333"/>
      <c r="CN128" s="333"/>
      <c r="CO128" s="333"/>
      <c r="CP128" s="333"/>
      <c r="CQ128" s="333"/>
      <c r="CR128" s="333"/>
      <c r="CS128" s="333"/>
      <c r="CT128" s="333"/>
      <c r="CU128" s="333"/>
      <c r="CV128" s="333"/>
      <c r="CW128" s="333"/>
      <c r="CX128" s="333"/>
      <c r="CY128" s="333"/>
      <c r="CZ128" s="333"/>
      <c r="DA128" s="333"/>
      <c r="DB128" s="333"/>
      <c r="DC128" s="333"/>
      <c r="DD128" s="333"/>
      <c r="DE128" s="333"/>
      <c r="DF128" s="333"/>
      <c r="DG128" s="333"/>
      <c r="DH128" s="333"/>
      <c r="DI128" s="333"/>
      <c r="DJ128" s="333"/>
      <c r="DK128" s="333"/>
      <c r="DL128" s="333"/>
      <c r="DM128" s="333"/>
      <c r="DN128" s="333"/>
      <c r="DO128" s="333"/>
      <c r="DP128" s="333"/>
      <c r="DQ128" s="333"/>
      <c r="DR128" s="333"/>
      <c r="DS128" s="333"/>
      <c r="DT128" s="333"/>
      <c r="DU128" s="359"/>
      <c r="DV128" s="359"/>
      <c r="DW128" s="359"/>
      <c r="DX128" s="359"/>
      <c r="DY128" s="359"/>
      <c r="DZ128" s="359"/>
      <c r="EA128" s="359"/>
      <c r="EB128" s="359"/>
      <c r="EC128" s="769">
        <f t="shared" si="190"/>
        <v>360</v>
      </c>
      <c r="ED128" s="889">
        <f t="shared" si="191"/>
        <v>0</v>
      </c>
      <c r="EE128" s="890"/>
      <c r="EF128" s="476">
        <f>GF233</f>
        <v>0</v>
      </c>
      <c r="EG128" s="889">
        <f t="shared" si="192"/>
        <v>0</v>
      </c>
      <c r="EH128" s="890"/>
      <c r="EI128" s="506">
        <f>GM233</f>
        <v>0</v>
      </c>
      <c r="EJ128" s="373"/>
      <c r="EK128" s="373"/>
      <c r="EL128" s="366"/>
      <c r="EM128" s="368"/>
      <c r="EN128" s="365"/>
      <c r="EO128" s="352">
        <f>IF(EO127=0, 0, SUM(EV125:FD129))</f>
        <v>0</v>
      </c>
      <c r="EP128" s="347"/>
      <c r="EQ128" s="342"/>
      <c r="ER128" s="522"/>
      <c r="ES128" s="916">
        <f>IF(ER128 = "", 0,
IF(AND(EP128 &gt; 0, EQ128 &gt;0), 0, IF(EO125 &lt;&gt; $Z$1,
IF(AND(EP128 &lt;&gt; "", EP128 &lt;&gt; 0), -(EP128 * ER128 * 100),
IF(AND(EQ128 &lt;&gt; "", EQ128 &lt;&gt; 0), (EQ128 * ER128 * 100), 0)),
IF(AND(EP128 &lt;&gt; "", EP128 &lt;&gt; 0), -(EP128 * ER128 * 1),
IF(AND(EQ128 &lt;&gt; "", EQ128 &lt;&gt; 0), (EQ128 * ER128 * 1), 0))  )))</f>
        <v>0</v>
      </c>
      <c r="ET128" s="917"/>
      <c r="EU128" s="918"/>
      <c r="EV128" s="916">
        <f>IF(ER128 = "", 0,
IF(AND(EP128 &gt; 0, EQ128 &gt;0), 0,  IF(EO125 &lt;&gt; $Z$1,
IF(AND(EP128 &lt;&gt; "", EP128 &lt;&gt; 0), -(EP128 * ER128 * 100 * (1 + COMIS_OPCION)),
IF(AND(EQ128 &lt;&gt; "", EQ128 &lt;&gt; 0), (EQ128 * ER128 * 100 * (1 - COMIS_OPCION)), 0)),
IF(AND(EP128 &lt;&gt; "", EP128 &lt;&gt; 0), -(EP128 * ER128 * 1 * (1 + COMIS_ACCION)),
IF(AND(EQ128 &lt;&gt; "", EQ128 &lt;&gt; 0), (EQ128 * ER128 * 1 * (1 - COMIS_ACCION)), 0))  )))</f>
        <v>0</v>
      </c>
      <c r="EW128" s="917"/>
      <c r="EX128" s="917"/>
      <c r="EY128" s="917"/>
      <c r="EZ128" s="917"/>
      <c r="FA128" s="917"/>
      <c r="FB128" s="917"/>
      <c r="FC128" s="917"/>
      <c r="FD128" s="925"/>
      <c r="FE128" s="340"/>
      <c r="FF128" s="340"/>
      <c r="FG128" s="365"/>
      <c r="FH128" s="365"/>
      <c r="FI128" s="354">
        <f>IF(FI127=0, 0, SUM(FP125:FX129))</f>
        <v>0</v>
      </c>
      <c r="FJ128" s="347"/>
      <c r="FK128" s="342"/>
      <c r="FL128" s="343"/>
      <c r="FM128" s="930">
        <f>IF(FL128 = "", 0,
IF(AND(FJ128 &gt; 0, FK128 &gt;0), 0,
IF(AND(FJ128 &lt;&gt; "", FJ128 &lt;&gt; 0), -(FJ128 * FL128 * 100),
IF(AND(FK128 &lt;&gt; "", FK128 &lt;&gt; 0), (FK128 * FL128 * 100), 0)) ))</f>
        <v>0</v>
      </c>
      <c r="FN128" s="931"/>
      <c r="FO128" s="932"/>
      <c r="FP128" s="930">
        <f>IF(FL128 = "", 0,
IF(AND(FJ128 &gt; 0, FK128 &gt;0), 0,
IF(AND(FJ128 &lt;&gt; "", FJ128 &lt;&gt; 0), -(FJ128 * FL128 * 100 * (1 + COMIS_OPCION)),
IF(AND(FK128 &lt;&gt; "", FK128 &lt;&gt; 0), (FK128 * FL128 * 100 * (1 - COMIS_OPCION)), 0)) ))</f>
        <v>0</v>
      </c>
      <c r="FQ128" s="931"/>
      <c r="FR128" s="931"/>
      <c r="FS128" s="931"/>
      <c r="FT128" s="931"/>
      <c r="FU128" s="931"/>
      <c r="FV128" s="931"/>
      <c r="FW128" s="931"/>
      <c r="FX128" s="933"/>
      <c r="FY128" s="341"/>
      <c r="FZ128" s="341"/>
      <c r="GA128" s="341"/>
      <c r="GB128" s="495">
        <v>0</v>
      </c>
      <c r="GC128" s="495">
        <v>0</v>
      </c>
      <c r="GD128" s="500"/>
      <c r="GE128" s="495">
        <v>0</v>
      </c>
      <c r="GF128" s="495">
        <v>0</v>
      </c>
      <c r="GG128" s="495">
        <v>0</v>
      </c>
      <c r="GH128" s="359"/>
      <c r="GI128" s="359"/>
      <c r="GJ128" s="501"/>
      <c r="GK128" s="495">
        <v>0</v>
      </c>
      <c r="GL128" s="495">
        <v>0</v>
      </c>
      <c r="GM128" s="495">
        <v>0</v>
      </c>
      <c r="GN128" s="359"/>
      <c r="GO128" s="359"/>
      <c r="GP128" s="501"/>
      <c r="GQ128" s="495">
        <v>0</v>
      </c>
      <c r="GR128" s="359"/>
      <c r="GS128" s="333"/>
      <c r="GT128" s="333"/>
      <c r="GU128" s="333"/>
      <c r="GV128" s="333"/>
      <c r="GW128" s="333"/>
      <c r="GX128" s="333"/>
      <c r="GY128" s="333"/>
      <c r="GZ128" s="333"/>
      <c r="HA128" s="333"/>
      <c r="HB128" s="333"/>
      <c r="HC128" s="333"/>
      <c r="HD128" s="333"/>
      <c r="HE128" s="333"/>
      <c r="HF128" s="333"/>
      <c r="HG128" s="331"/>
      <c r="HH128" s="331"/>
      <c r="HI128" s="331"/>
      <c r="HJ128" s="331"/>
      <c r="HK128" s="331"/>
      <c r="HL128" s="331"/>
      <c r="HM128" s="331"/>
      <c r="HN128" s="333"/>
      <c r="HO128" s="333"/>
      <c r="HP128" s="333"/>
      <c r="HQ128" s="333"/>
      <c r="HR128" s="333"/>
      <c r="HS128" s="333"/>
      <c r="HT128" s="333"/>
      <c r="HU128" s="333"/>
      <c r="HV128" s="333"/>
      <c r="HW128" s="333"/>
      <c r="HX128" s="333"/>
      <c r="HY128" s="333"/>
      <c r="HZ128" s="333"/>
      <c r="IA128" s="333"/>
      <c r="IB128" s="333"/>
      <c r="IC128" s="333"/>
      <c r="ID128" s="55"/>
      <c r="IE128" s="47"/>
      <c r="IF128" s="52"/>
    </row>
    <row r="129" spans="13:240" s="142" customFormat="1" ht="15" customHeight="1" thickBot="1">
      <c r="M129" s="333"/>
      <c r="N129" s="333"/>
      <c r="O129" s="333"/>
      <c r="P129" s="333"/>
      <c r="Q129" s="333"/>
      <c r="R129" s="333"/>
      <c r="S129" s="333"/>
      <c r="T129" s="333"/>
      <c r="U129" s="333"/>
      <c r="V129" s="333"/>
      <c r="W129" s="333"/>
      <c r="X129" s="333"/>
      <c r="Y129" s="333"/>
      <c r="Z129" s="333"/>
      <c r="AA129" s="333"/>
      <c r="AB129" s="333"/>
      <c r="AC129" s="333"/>
      <c r="AD129" s="333"/>
      <c r="AE129" s="333"/>
      <c r="AF129" s="333"/>
      <c r="AG129" s="333"/>
      <c r="AH129" s="333"/>
      <c r="AI129" s="333"/>
      <c r="AJ129" s="333"/>
      <c r="AK129" s="333"/>
      <c r="AL129" s="333"/>
      <c r="AM129" s="333"/>
      <c r="AN129" s="333"/>
      <c r="AO129" s="333"/>
      <c r="AP129" s="333"/>
      <c r="AQ129" s="333"/>
      <c r="AR129" s="333"/>
      <c r="AS129" s="333"/>
      <c r="AT129" s="333"/>
      <c r="AU129" s="333"/>
      <c r="AV129" s="333"/>
      <c r="AW129" s="333"/>
      <c r="AX129" s="333"/>
      <c r="AY129" s="333"/>
      <c r="AZ129" s="333"/>
      <c r="BA129" s="333"/>
      <c r="BB129" s="333"/>
      <c r="BC129" s="333"/>
      <c r="BD129" s="333"/>
      <c r="BE129" s="333"/>
      <c r="BF129" s="333"/>
      <c r="BG129" s="333"/>
      <c r="BH129" s="333"/>
      <c r="BI129" s="333"/>
      <c r="BJ129" s="333"/>
      <c r="BK129" s="333"/>
      <c r="BL129" s="333"/>
      <c r="BM129" s="333"/>
      <c r="BN129" s="333"/>
      <c r="BO129" s="333"/>
      <c r="BP129" s="333"/>
      <c r="BQ129" s="333"/>
      <c r="BR129" s="333"/>
      <c r="BS129" s="333"/>
      <c r="BT129" s="333"/>
      <c r="BU129" s="333"/>
      <c r="BV129" s="333"/>
      <c r="BW129" s="333"/>
      <c r="BX129" s="333"/>
      <c r="BY129" s="333"/>
      <c r="BZ129" s="333"/>
      <c r="CA129" s="333"/>
      <c r="CB129" s="333"/>
      <c r="CC129" s="333"/>
      <c r="CD129" s="333"/>
      <c r="CE129" s="333"/>
      <c r="CF129" s="333"/>
      <c r="CG129" s="333"/>
      <c r="CH129" s="333"/>
      <c r="CI129" s="333"/>
      <c r="CJ129" s="333"/>
      <c r="CK129" s="333"/>
      <c r="CL129" s="333"/>
      <c r="CM129" s="333"/>
      <c r="CN129" s="333"/>
      <c r="CO129" s="333"/>
      <c r="CP129" s="333"/>
      <c r="CQ129" s="333"/>
      <c r="CR129" s="333"/>
      <c r="CS129" s="333"/>
      <c r="CT129" s="333"/>
      <c r="CU129" s="333"/>
      <c r="CV129" s="333"/>
      <c r="CW129" s="333"/>
      <c r="CX129" s="333"/>
      <c r="CY129" s="333"/>
      <c r="CZ129" s="333"/>
      <c r="DA129" s="333"/>
      <c r="DB129" s="333"/>
      <c r="DC129" s="333"/>
      <c r="DD129" s="333"/>
      <c r="DE129" s="333"/>
      <c r="DF129" s="333"/>
      <c r="DG129" s="333"/>
      <c r="DH129" s="333"/>
      <c r="DI129" s="333"/>
      <c r="DJ129" s="333"/>
      <c r="DK129" s="333"/>
      <c r="DL129" s="333"/>
      <c r="DM129" s="333"/>
      <c r="DN129" s="333"/>
      <c r="DO129" s="333"/>
      <c r="DP129" s="333"/>
      <c r="DQ129" s="333"/>
      <c r="DR129" s="333"/>
      <c r="DS129" s="333"/>
      <c r="DT129" s="333"/>
      <c r="DU129" s="375"/>
      <c r="DV129" s="375"/>
      <c r="DW129" s="375"/>
      <c r="DX129" s="375"/>
      <c r="DY129" s="375"/>
      <c r="DZ129" s="375"/>
      <c r="EA129" s="375"/>
      <c r="EB129" s="375"/>
      <c r="EC129" s="769" t="str">
        <f t="shared" si="190"/>
        <v/>
      </c>
      <c r="ED129" s="889" t="str">
        <f t="shared" si="191"/>
        <v/>
      </c>
      <c r="EE129" s="890"/>
      <c r="EF129" s="476" t="str">
        <f>GF239</f>
        <v/>
      </c>
      <c r="EG129" s="889" t="str">
        <f t="shared" si="192"/>
        <v/>
      </c>
      <c r="EH129" s="890"/>
      <c r="EI129" s="506" t="str">
        <f>GM239</f>
        <v/>
      </c>
      <c r="EJ129" s="373"/>
      <c r="EK129" s="373"/>
      <c r="EL129" s="366"/>
      <c r="EM129" s="368"/>
      <c r="EN129" s="365"/>
      <c r="EO129" s="353">
        <f>+IF(EO127= 0, 0, GG125)</f>
        <v>0</v>
      </c>
      <c r="EP129" s="350"/>
      <c r="EQ129" s="344"/>
      <c r="ER129" s="523"/>
      <c r="ES129" s="921">
        <f>IF(ER129 = "", 0,
IF(AND(EP129 &gt; 0, EQ129 &gt;0), 0, IF(EO125 &lt;&gt; $Z$1,
IF(AND(EP129 &lt;&gt; "", EP129 &lt;&gt; 0), -(EP129 * ER129 * 100),
IF(AND(EQ129 &lt;&gt; "", EQ129 &lt;&gt; 0), (EQ129 * ER129 * 100), 0)),
IF(AND(EP129 &lt;&gt; "", EP129 &lt;&gt; 0), -(EP129 * ER129 * 1),
IF(AND(EQ129 &lt;&gt; "", EQ129 &lt;&gt; 0), (EQ129 * ER129 * 1), 0))  )))</f>
        <v>0</v>
      </c>
      <c r="ET129" s="922"/>
      <c r="EU129" s="924"/>
      <c r="EV129" s="921">
        <f>IF(ER129 = "", 0,
IF(AND(EP129 &gt; 0, EQ129 &gt;0), 0,  IF(EO125 &lt;&gt; $Z$1,
IF(AND(EP129 &lt;&gt; "", EP129 &lt;&gt; 0), -(EP129 * ER129 * 100 * (1 + COMIS_OPCION)),
IF(AND(EQ129 &lt;&gt; "", EQ129 &lt;&gt; 0), (EQ129 * ER129 * 100 * (1 - COMIS_OPCION)), 0)),
IF(AND(EP129 &lt;&gt; "", EP129 &lt;&gt; 0), -(EP129 * ER129 * 1 * (1 + COMIS_ACCION)),
IF(AND(EQ129 &lt;&gt; "", EQ129 &lt;&gt; 0), (EQ129 * ER129 * 1 * (1 - COMIS_ACCION)), 0))  )))</f>
        <v>0</v>
      </c>
      <c r="EW129" s="922"/>
      <c r="EX129" s="922"/>
      <c r="EY129" s="922"/>
      <c r="EZ129" s="922"/>
      <c r="FA129" s="922"/>
      <c r="FB129" s="922"/>
      <c r="FC129" s="922"/>
      <c r="FD129" s="923"/>
      <c r="FE129" s="340"/>
      <c r="FF129" s="340"/>
      <c r="FG129" s="365"/>
      <c r="FH129" s="365"/>
      <c r="FI129" s="349">
        <f>+IF(FI127= 0, 0, GQ125)</f>
        <v>0</v>
      </c>
      <c r="FJ129" s="348"/>
      <c r="FK129" s="345"/>
      <c r="FL129" s="346"/>
      <c r="FM129" s="937">
        <f>IF(FL129 = "", 0,
IF(AND(FJ129 &gt; 0, FK129 &gt;0), 0,
IF(AND(FJ129 &lt;&gt; "", FJ129 &lt;&gt; 0), -(FJ129 * FL129 * 100),
IF(AND(FK129 &lt;&gt; "", FK129 &lt;&gt; 0), (FK129 * FL129 * 100), 0)) ))</f>
        <v>0</v>
      </c>
      <c r="FN129" s="938"/>
      <c r="FO129" s="939"/>
      <c r="FP129" s="937">
        <f>IF(FL129 = "", 0,
IF(AND(FJ129 &gt; 0, FK129 &gt;0), 0,
IF(AND(FJ129 &lt;&gt; "", FJ129 &lt;&gt; 0), -(FJ129 * FL129 * 100 * (1 + COMIS_OPCION)),
IF(AND(FK129 &lt;&gt; "", FK129 &lt;&gt; 0), (FK129 * FL129 * 100 * (1 - COMIS_OPCION)), 0)) ))</f>
        <v>0</v>
      </c>
      <c r="FQ129" s="938"/>
      <c r="FR129" s="938"/>
      <c r="FS129" s="938"/>
      <c r="FT129" s="938"/>
      <c r="FU129" s="938"/>
      <c r="FV129" s="938"/>
      <c r="FW129" s="938"/>
      <c r="FX129" s="969"/>
      <c r="FY129" s="341"/>
      <c r="FZ129" s="341"/>
      <c r="GA129" s="341"/>
      <c r="GB129" s="495">
        <v>0</v>
      </c>
      <c r="GC129" s="495">
        <v>0</v>
      </c>
      <c r="GD129" s="500"/>
      <c r="GE129" s="495">
        <v>0</v>
      </c>
      <c r="GF129" s="495">
        <v>0</v>
      </c>
      <c r="GG129" s="495">
        <v>0</v>
      </c>
      <c r="GH129" s="359"/>
      <c r="GI129" s="359"/>
      <c r="GJ129" s="501"/>
      <c r="GK129" s="495">
        <v>0</v>
      </c>
      <c r="GL129" s="495">
        <v>0</v>
      </c>
      <c r="GM129" s="495">
        <v>0</v>
      </c>
      <c r="GN129" s="359"/>
      <c r="GO129" s="359"/>
      <c r="GP129" s="501"/>
      <c r="GQ129" s="495">
        <v>0</v>
      </c>
      <c r="GR129" s="375"/>
      <c r="GS129" s="333"/>
      <c r="GT129" s="333"/>
      <c r="GU129" s="333"/>
      <c r="GV129" s="333"/>
      <c r="GW129" s="333"/>
      <c r="GX129" s="333"/>
      <c r="GY129" s="333"/>
      <c r="GZ129" s="333"/>
      <c r="HA129" s="333"/>
      <c r="HB129" s="333"/>
      <c r="HC129" s="333"/>
      <c r="HD129" s="333"/>
      <c r="HE129" s="333"/>
      <c r="HF129" s="333"/>
      <c r="HG129" s="331"/>
      <c r="HH129" s="331"/>
      <c r="HI129" s="331"/>
      <c r="HJ129" s="331"/>
      <c r="HK129" s="331"/>
      <c r="HL129" s="331"/>
      <c r="HM129" s="331"/>
      <c r="HN129" s="333"/>
      <c r="HO129" s="333"/>
      <c r="HP129" s="333"/>
      <c r="HQ129" s="333"/>
      <c r="HR129" s="333"/>
      <c r="HS129" s="333"/>
      <c r="HT129" s="333"/>
      <c r="HU129" s="333"/>
      <c r="HV129" s="333"/>
      <c r="HW129" s="333"/>
      <c r="HX129" s="333"/>
      <c r="HY129" s="333"/>
      <c r="HZ129" s="333"/>
      <c r="IA129" s="333"/>
      <c r="IB129" s="333"/>
      <c r="IC129" s="333"/>
      <c r="ID129" s="55"/>
      <c r="IE129" s="47"/>
      <c r="IF129" s="52"/>
    </row>
    <row r="130" spans="13:240" s="142" customFormat="1" ht="15" customHeight="1" thickBot="1">
      <c r="M130" s="333"/>
      <c r="N130" s="333"/>
      <c r="O130" s="333"/>
      <c r="P130" s="333"/>
      <c r="Q130" s="333"/>
      <c r="R130" s="333"/>
      <c r="S130" s="333"/>
      <c r="T130" s="333"/>
      <c r="U130" s="333"/>
      <c r="V130" s="333"/>
      <c r="W130" s="333"/>
      <c r="X130" s="333"/>
      <c r="Y130" s="333"/>
      <c r="Z130" s="333"/>
      <c r="AA130" s="333"/>
      <c r="AB130" s="333"/>
      <c r="AC130" s="333"/>
      <c r="AD130" s="333"/>
      <c r="AE130" s="333"/>
      <c r="AF130" s="333"/>
      <c r="AG130" s="333"/>
      <c r="AH130" s="333"/>
      <c r="AI130" s="333"/>
      <c r="AJ130" s="333"/>
      <c r="AK130" s="333"/>
      <c r="AL130" s="333"/>
      <c r="AM130" s="333"/>
      <c r="AN130" s="333"/>
      <c r="AO130" s="333"/>
      <c r="AP130" s="333"/>
      <c r="AQ130" s="333"/>
      <c r="AR130" s="333"/>
      <c r="AS130" s="333"/>
      <c r="AT130" s="333"/>
      <c r="AU130" s="333"/>
      <c r="AV130" s="333"/>
      <c r="AW130" s="333"/>
      <c r="AX130" s="333"/>
      <c r="AY130" s="333"/>
      <c r="AZ130" s="333"/>
      <c r="BA130" s="333"/>
      <c r="BB130" s="333"/>
      <c r="BC130" s="333"/>
      <c r="BD130" s="333"/>
      <c r="BE130" s="333"/>
      <c r="BF130" s="333"/>
      <c r="BG130" s="333"/>
      <c r="BH130" s="333"/>
      <c r="BI130" s="333"/>
      <c r="BJ130" s="333"/>
      <c r="BK130" s="333"/>
      <c r="BL130" s="333"/>
      <c r="BM130" s="333"/>
      <c r="BN130" s="333"/>
      <c r="BO130" s="333"/>
      <c r="BP130" s="333"/>
      <c r="BQ130" s="333"/>
      <c r="BR130" s="333"/>
      <c r="BS130" s="333"/>
      <c r="BT130" s="333"/>
      <c r="BU130" s="333"/>
      <c r="BV130" s="333"/>
      <c r="BW130" s="333"/>
      <c r="BX130" s="333"/>
      <c r="BY130" s="333"/>
      <c r="BZ130" s="333"/>
      <c r="CA130" s="333"/>
      <c r="CB130" s="333"/>
      <c r="CC130" s="333"/>
      <c r="CD130" s="333"/>
      <c r="CE130" s="333"/>
      <c r="CF130" s="333"/>
      <c r="CG130" s="333"/>
      <c r="CH130" s="333"/>
      <c r="CI130" s="333"/>
      <c r="CJ130" s="333"/>
      <c r="CK130" s="333"/>
      <c r="CL130" s="333"/>
      <c r="CM130" s="333"/>
      <c r="CN130" s="333"/>
      <c r="CO130" s="333"/>
      <c r="CP130" s="333"/>
      <c r="CQ130" s="333"/>
      <c r="CR130" s="333"/>
      <c r="CS130" s="333"/>
      <c r="CT130" s="333"/>
      <c r="CU130" s="333"/>
      <c r="CV130" s="333"/>
      <c r="CW130" s="333"/>
      <c r="CX130" s="333"/>
      <c r="CY130" s="333"/>
      <c r="CZ130" s="333"/>
      <c r="DA130" s="333"/>
      <c r="DB130" s="333"/>
      <c r="DC130" s="333"/>
      <c r="DD130" s="333"/>
      <c r="DE130" s="333"/>
      <c r="DF130" s="333"/>
      <c r="DG130" s="333"/>
      <c r="DH130" s="333"/>
      <c r="DI130" s="333"/>
      <c r="DJ130" s="333"/>
      <c r="DK130" s="333"/>
      <c r="DL130" s="333"/>
      <c r="DM130" s="333"/>
      <c r="DN130" s="333"/>
      <c r="DO130" s="333"/>
      <c r="DP130" s="333"/>
      <c r="DQ130" s="333"/>
      <c r="DR130" s="333"/>
      <c r="DS130" s="333"/>
      <c r="DT130" s="333"/>
      <c r="DU130" s="373"/>
      <c r="DV130" s="373"/>
      <c r="DW130" s="373"/>
      <c r="DX130" s="373"/>
      <c r="DY130" s="373"/>
      <c r="DZ130" s="373"/>
      <c r="EA130" s="373"/>
      <c r="EB130" s="373"/>
      <c r="EC130" s="769" t="str">
        <f t="shared" si="190"/>
        <v/>
      </c>
      <c r="ED130" s="889" t="str">
        <f t="shared" si="191"/>
        <v/>
      </c>
      <c r="EE130" s="890"/>
      <c r="EF130" s="476" t="str">
        <f>GF245</f>
        <v/>
      </c>
      <c r="EG130" s="889" t="str">
        <f t="shared" si="192"/>
        <v/>
      </c>
      <c r="EH130" s="890"/>
      <c r="EI130" s="506" t="str">
        <f>GM245</f>
        <v/>
      </c>
      <c r="EJ130" s="373"/>
      <c r="EK130" s="373"/>
      <c r="EL130" s="366"/>
      <c r="EM130" s="369"/>
      <c r="EN130" s="364"/>
      <c r="EO130" s="363"/>
      <c r="EP130" s="340"/>
      <c r="EQ130" s="340"/>
      <c r="ER130" s="340"/>
      <c r="ES130" s="363"/>
      <c r="ET130" s="363"/>
      <c r="EU130" s="340"/>
      <c r="EV130" s="340"/>
      <c r="EW130" s="340"/>
      <c r="EX130" s="340"/>
      <c r="EY130" s="340"/>
      <c r="EZ130" s="340"/>
      <c r="FA130" s="340"/>
      <c r="FB130" s="402"/>
      <c r="FC130" s="402"/>
      <c r="FD130" s="340"/>
      <c r="FE130" s="340"/>
      <c r="FF130" s="340"/>
      <c r="FG130" s="364"/>
      <c r="FH130" s="364"/>
      <c r="FI130" s="363"/>
      <c r="FJ130" s="360"/>
      <c r="FK130" s="360"/>
      <c r="FL130" s="340"/>
      <c r="FM130" s="967"/>
      <c r="FN130" s="967"/>
      <c r="FO130" s="967"/>
      <c r="FP130" s="968"/>
      <c r="FQ130" s="968"/>
      <c r="FR130" s="968"/>
      <c r="FS130" s="968"/>
      <c r="FT130" s="968"/>
      <c r="FU130" s="968"/>
      <c r="FV130" s="968"/>
      <c r="FW130" s="968"/>
      <c r="FX130" s="968"/>
      <c r="FY130" s="341"/>
      <c r="FZ130" s="341"/>
      <c r="GA130" s="341"/>
      <c r="GB130" s="495">
        <v>0</v>
      </c>
      <c r="GC130" s="495">
        <v>0</v>
      </c>
      <c r="GD130" s="500"/>
      <c r="GE130" s="495">
        <v>0</v>
      </c>
      <c r="GF130" s="495">
        <v>0</v>
      </c>
      <c r="GG130" s="495">
        <v>0</v>
      </c>
      <c r="GH130" s="359"/>
      <c r="GI130" s="359"/>
      <c r="GJ130" s="501"/>
      <c r="GK130" s="495">
        <v>0</v>
      </c>
      <c r="GL130" s="495">
        <v>0</v>
      </c>
      <c r="GM130" s="495">
        <v>0</v>
      </c>
      <c r="GN130" s="359"/>
      <c r="GO130" s="359"/>
      <c r="GP130" s="501"/>
      <c r="GQ130" s="495">
        <v>0</v>
      </c>
      <c r="GR130" s="373"/>
      <c r="GS130" s="333"/>
      <c r="GT130" s="333"/>
      <c r="GU130" s="333"/>
      <c r="GV130" s="333"/>
      <c r="GW130" s="333"/>
      <c r="GX130" s="333"/>
      <c r="GY130" s="333"/>
      <c r="GZ130" s="333"/>
      <c r="HA130" s="333"/>
      <c r="HB130" s="333"/>
      <c r="HC130" s="333"/>
      <c r="HD130" s="333"/>
      <c r="HE130" s="333"/>
      <c r="HF130" s="333"/>
      <c r="HG130" s="331"/>
      <c r="HH130" s="331"/>
      <c r="HI130" s="331"/>
      <c r="HJ130" s="331"/>
      <c r="HK130" s="331"/>
      <c r="HL130" s="331"/>
      <c r="HM130" s="331"/>
      <c r="HN130" s="333"/>
      <c r="HO130" s="333"/>
      <c r="HP130" s="333"/>
      <c r="HQ130" s="333"/>
      <c r="HR130" s="333"/>
      <c r="HS130" s="333"/>
      <c r="HT130" s="333"/>
      <c r="HU130" s="333"/>
      <c r="HV130" s="333"/>
      <c r="HW130" s="333"/>
      <c r="HX130" s="333"/>
      <c r="HY130" s="333"/>
      <c r="HZ130" s="333"/>
      <c r="IA130" s="333"/>
      <c r="IB130" s="333"/>
      <c r="IC130" s="333"/>
      <c r="ID130" s="55"/>
      <c r="IE130" s="47"/>
      <c r="IF130" s="52"/>
    </row>
    <row r="131" spans="13:240" s="142" customFormat="1" ht="15" customHeight="1">
      <c r="M131" s="333"/>
      <c r="N131" s="333"/>
      <c r="O131" s="333"/>
      <c r="P131" s="333"/>
      <c r="Q131" s="333"/>
      <c r="R131" s="333"/>
      <c r="S131" s="333"/>
      <c r="T131" s="333"/>
      <c r="U131" s="333"/>
      <c r="V131" s="333"/>
      <c r="W131" s="333"/>
      <c r="X131" s="333"/>
      <c r="Y131" s="333"/>
      <c r="Z131" s="333"/>
      <c r="AA131" s="333"/>
      <c r="AB131" s="333"/>
      <c r="AC131" s="333"/>
      <c r="AD131" s="333"/>
      <c r="AE131" s="333"/>
      <c r="AF131" s="333"/>
      <c r="AG131" s="333"/>
      <c r="AH131" s="333"/>
      <c r="AI131" s="333"/>
      <c r="AJ131" s="333"/>
      <c r="AK131" s="333"/>
      <c r="AL131" s="333"/>
      <c r="AM131" s="333"/>
      <c r="AN131" s="333"/>
      <c r="AO131" s="333"/>
      <c r="AP131" s="333"/>
      <c r="AQ131" s="333"/>
      <c r="AR131" s="333"/>
      <c r="AS131" s="333"/>
      <c r="AT131" s="333"/>
      <c r="AU131" s="333"/>
      <c r="AV131" s="333"/>
      <c r="AW131" s="333"/>
      <c r="AX131" s="333"/>
      <c r="AY131" s="333"/>
      <c r="AZ131" s="333"/>
      <c r="BA131" s="333"/>
      <c r="BB131" s="333"/>
      <c r="BC131" s="333"/>
      <c r="BD131" s="333"/>
      <c r="BE131" s="333"/>
      <c r="BF131" s="333"/>
      <c r="BG131" s="333"/>
      <c r="BH131" s="333"/>
      <c r="BI131" s="333"/>
      <c r="BJ131" s="333"/>
      <c r="BK131" s="333"/>
      <c r="BL131" s="333"/>
      <c r="BM131" s="333"/>
      <c r="BN131" s="333"/>
      <c r="BO131" s="333"/>
      <c r="BP131" s="333"/>
      <c r="BQ131" s="333"/>
      <c r="BR131" s="333"/>
      <c r="BS131" s="333"/>
      <c r="BT131" s="333"/>
      <c r="BU131" s="333"/>
      <c r="BV131" s="333"/>
      <c r="BW131" s="333"/>
      <c r="BX131" s="333"/>
      <c r="BY131" s="333"/>
      <c r="BZ131" s="333"/>
      <c r="CA131" s="333"/>
      <c r="CB131" s="333"/>
      <c r="CC131" s="333"/>
      <c r="CD131" s="333"/>
      <c r="CE131" s="333"/>
      <c r="CF131" s="333"/>
      <c r="CG131" s="333"/>
      <c r="CH131" s="333"/>
      <c r="CI131" s="333"/>
      <c r="CJ131" s="333"/>
      <c r="CK131" s="333"/>
      <c r="CL131" s="333"/>
      <c r="CM131" s="333"/>
      <c r="CN131" s="333"/>
      <c r="CO131" s="333"/>
      <c r="CP131" s="333"/>
      <c r="CQ131" s="333"/>
      <c r="CR131" s="333"/>
      <c r="CS131" s="333"/>
      <c r="CT131" s="333"/>
      <c r="CU131" s="333"/>
      <c r="CV131" s="333"/>
      <c r="CW131" s="333"/>
      <c r="CX131" s="333"/>
      <c r="CY131" s="333"/>
      <c r="CZ131" s="333"/>
      <c r="DA131" s="333"/>
      <c r="DB131" s="333"/>
      <c r="DC131" s="333"/>
      <c r="DD131" s="333"/>
      <c r="DE131" s="333"/>
      <c r="DF131" s="333"/>
      <c r="DG131" s="333"/>
      <c r="DH131" s="333"/>
      <c r="DI131" s="333"/>
      <c r="DJ131" s="333"/>
      <c r="DK131" s="333"/>
      <c r="DL131" s="333"/>
      <c r="DM131" s="333"/>
      <c r="DN131" s="333"/>
      <c r="DO131" s="333"/>
      <c r="DP131" s="333"/>
      <c r="DQ131" s="333"/>
      <c r="DR131" s="333"/>
      <c r="DS131" s="333"/>
      <c r="DT131" s="333"/>
      <c r="DU131" s="373"/>
      <c r="DV131" s="373"/>
      <c r="DW131" s="373"/>
      <c r="DX131" s="373"/>
      <c r="DY131" s="373"/>
      <c r="DZ131" s="373"/>
      <c r="EA131" s="373"/>
      <c r="EB131" s="373"/>
      <c r="EC131" s="769" t="str">
        <f t="shared" si="190"/>
        <v/>
      </c>
      <c r="ED131" s="889" t="str">
        <f t="shared" si="191"/>
        <v/>
      </c>
      <c r="EE131" s="890"/>
      <c r="EF131" s="476" t="str">
        <f>GF251</f>
        <v/>
      </c>
      <c r="EG131" s="889" t="str">
        <f t="shared" si="192"/>
        <v/>
      </c>
      <c r="EH131" s="890"/>
      <c r="EI131" s="506" t="str">
        <f>GM251</f>
        <v/>
      </c>
      <c r="EJ131" s="373"/>
      <c r="EK131" s="373"/>
      <c r="EL131" s="366"/>
      <c r="EM131" s="366"/>
      <c r="EN131" s="364">
        <f>+EN125+1</f>
        <v>14</v>
      </c>
      <c r="EO131" s="356">
        <f>+VLOOKUP(EN131, PRECIOS_EJERCICIOS,  2,FALSE)</f>
        <v>195</v>
      </c>
      <c r="EP131" s="513" t="str">
        <f>+IF($AQ$49 = FALSE, "",
IF(VLOOKUP(EO131, basesCantPrimaBrutoRes, 2,FALSE) &gt;= 0, VLOOKUP(EO131, basesCantPrimaBrutoRes, 2,FALSE), 0))</f>
        <v/>
      </c>
      <c r="EQ131" s="514" t="str">
        <f>+IF($AQ$49 = FALSE, "",
IF(VLOOKUP(EO131, basesCantPrimaBrutoRes, 2,FALSE) &lt; 0, -VLOOKUP(EO131, basesCantPrimaBrutoRes, 2,FALSE), 0))</f>
        <v/>
      </c>
      <c r="ER131" s="521" t="str">
        <f>IF($AQ$49 = FALSE, "",
VLOOKUP(EO131, basesCantPrimaBrutoRes, 4,FALSE))</f>
        <v/>
      </c>
      <c r="ES131" s="926">
        <f>IF(ER131 = "", 0,
IF(AND(EP131 &gt; 0, EQ131 &gt;0), 0, IF(EO131 &lt;&gt; $Z$1,
IF(AND(EP131 &lt;&gt; "", EP131 &lt;&gt; 0), -(EP131 * ER131 * 100),
IF(AND(EQ131 &lt;&gt; "", EQ131 &lt;&gt; 0), (EQ131 * ER131 * 100), 0)),
IF(AND(EP131 &lt;&gt; "", EP131 &lt;&gt; 0), -(EP131 * ER131 * 1),
IF(AND(EQ131 &lt;&gt; "", EQ131 &lt;&gt; 0), (EQ131 * ER131 * 1), 0))  )))</f>
        <v>0</v>
      </c>
      <c r="ET131" s="927"/>
      <c r="EU131" s="928"/>
      <c r="EV131" s="926">
        <f>IF(ER131 = "", 0,
IF(AND(EP131 &gt; 0, EQ131 &gt;0), 0,  IF(EO131 &lt;&gt; $Z$1,
IF(AND(EP131 &lt;&gt; "", EP131 &lt;&gt; 0), -(EP131 * ER131 * 100 * (1 + COMIS_OPCION)),
IF(AND(EQ131 &lt;&gt; "", EQ131 &lt;&gt; 0), (EQ131 * ER131 * 100 * (1 - COMIS_OPCION)), 0)),
IF(AND(EP131 &lt;&gt; "", EP131 &lt;&gt; 0), -(EP131 * ER131 * 1 * (1 + COMIS_ACCION)),
IF(AND(EQ131 &lt;&gt; "", EQ131 &lt;&gt; 0), (EQ131 * ER131 * 1 * (1 - COMIS_ACCION)), 0))  )))</f>
        <v>0</v>
      </c>
      <c r="EW131" s="927"/>
      <c r="EX131" s="927"/>
      <c r="EY131" s="927"/>
      <c r="EZ131" s="927"/>
      <c r="FA131" s="927"/>
      <c r="FB131" s="927"/>
      <c r="FC131" s="927"/>
      <c r="FD131" s="929"/>
      <c r="FE131" s="340"/>
      <c r="FF131" s="340"/>
      <c r="FG131" s="364"/>
      <c r="FH131" s="364">
        <f>+FH125+1</f>
        <v>14</v>
      </c>
      <c r="FI131" s="357">
        <f>+VLOOKUP(FH131, PRECIOS_EJERCICIOS,  2,FALSE)</f>
        <v>195</v>
      </c>
      <c r="FJ131" s="515" t="str">
        <f>+IF($AQ$49 = FALSE, "",
IF(VLOOKUP(EO131, basesCantPrimaBrutoRes, 5,FALSE) &gt;= 0, VLOOKUP(EO131, basesCantPrimaBrutoRes, 5,FALSE), 0))</f>
        <v/>
      </c>
      <c r="FK131" s="516" t="str">
        <f>+IF($AQ$49 = FALSE, "",
IF(VLOOKUP(EO131, basesCantPrimaBrutoRes, 5,FALSE) &lt; 0, -VLOOKUP(EO131, basesCantPrimaBrutoRes, 5,FALSE), 0))</f>
        <v/>
      </c>
      <c r="FL131" s="517" t="str">
        <f>IF($AQ$49 = FALSE, "",
VLOOKUP(EO131, basesCantPrimaBrutoRes, 7,FALSE))</f>
        <v/>
      </c>
      <c r="FM131" s="934">
        <f>IF(FL131 = "", 0,
IF(AND(FJ131 &gt; 0, FK131 &gt;0), 0,
IF(AND(FJ131 &lt;&gt; "", FJ131 &lt;&gt; 0), -(FJ131 * FL131 * 100),
IF(AND(FK131 &lt;&gt; "", FK131 &lt;&gt; 0), (FK131 * FL131 * 100), 0)) ))</f>
        <v>0</v>
      </c>
      <c r="FN131" s="935"/>
      <c r="FO131" s="936"/>
      <c r="FP131" s="934">
        <f>IF(FL131 = "", 0,
IF(AND(FJ131 &gt; 0, FK131 &gt;0), 0,
IF(AND(FJ131 &lt;&gt; "", FJ131 &lt;&gt; 0), -(FJ131 * FL131 * 100 * (1 + COMIS_OPCION)),
IF(AND(FK131 &lt;&gt; "", FK131 &lt;&gt; 0), (FK131 * FL131 * 100 * (1 - COMIS_OPCION)), 0)) ))</f>
        <v>0</v>
      </c>
      <c r="FQ131" s="935"/>
      <c r="FR131" s="935"/>
      <c r="FS131" s="935"/>
      <c r="FT131" s="935"/>
      <c r="FU131" s="935"/>
      <c r="FV131" s="935"/>
      <c r="FW131" s="935"/>
      <c r="FX131" s="966"/>
      <c r="FY131" s="341"/>
      <c r="FZ131" s="341"/>
      <c r="GA131" s="341"/>
      <c r="GB131" s="495">
        <f>+IF(EN131 = "", "", EO131)</f>
        <v>195</v>
      </c>
      <c r="GC131" s="495" t="str">
        <f>+IF(GB131="", "", IF(EO131 = $Z$1, "ACCION", "CALL"))</f>
        <v>CALL</v>
      </c>
      <c r="GD131" s="500"/>
      <c r="GE131" s="495">
        <f>+IF(GB131= "", "", EO133)</f>
        <v>0</v>
      </c>
      <c r="GF131" s="495">
        <f>+IF(GB131 = "", "", IFERROR(IF(GB131 &lt;&gt; $Z$1,
IF(GE131 &gt; 0, SUMIFS(ES131:ES135, EP131:EP135, "&gt;0", ES131:ES135, "&lt;&gt;0") / SUMIFS(EP131:EP135, EP131:EP135, "&gt;0", ES131:ES135, "&lt;&gt;0") / -100,
IF(GE131 &lt; 0, SUMIFS(ES131:ES135, EQ131:EQ135, "&gt;0", ES131:ES135, "&lt;&gt;0") / SUMIFS(EQ131:EQ135, EQ131:EQ135, "&gt;0", ES131:ES135, "&lt;&gt;0") / 100, 0)),
IF(GE131 &gt; 0, SUMIFS(ES131:ES135, EP131:EP135, "&gt;0", ES131:ES135, "&lt;&gt;0") / SUMIFS(EP131:EP135, EP131:EP135, "&gt;0", ES131:ES135, "&lt;&gt;0") / -1,
IF(GE131 &lt; 0, SUMIFS(ES131:ES135, EQ131:EQ135, "&gt;0", ES131:ES135, "&lt;&gt;0") / SUMIFS(EQ131:EQ135, EQ131:EQ135, "&gt;0", ES131:ES135, "&lt;&gt;0") / 1, 0)) ), 0))</f>
        <v>0</v>
      </c>
      <c r="GG131" s="495">
        <f>+IF(GB131 = "", "", IFERROR(IF(GB131 &lt;&gt; $Z$1,
IF(GE131 &gt; 0, SUMIFS(EV131:EV135, EP131:EP135, "&gt;0", EV131:EV135, "&lt;&gt;0") / SUMIFS(EP131:EP135, EP131:EP135, "&gt;0", EV131:EV135, "&lt;&gt;0") / -100,
IF(GE131 &lt; 0, SUMIFS(EV131:EV135, EQ131:EQ135, "&gt;0", EV131:EV135, "&lt;&gt;0") / SUMIFS(EQ131:EQ135, EQ131:EQ135, "&gt;0", EV131:EV135, "&lt;&gt;0") / 100, 0)),
IF(GE131 &gt; 0, SUMIFS(EV131:EV135, EP131:EP135, "&gt;0", EV131:EV135, "&lt;&gt;0") / SUMIFS(EP131:EP135, EP131:EP135, "&gt;0", EV131:EV135, "&lt;&gt;0") / -1,
IF(GE131 &lt; 0, SUMIFS(EV131:EV135, EQ131:EQ135, "&gt;0", EV131:EV135, "&lt;&gt;0") / SUMIFS(EQ131:EQ135, EQ131:EQ135, "&gt;0", EV131:EV135, "&lt;&gt;0") / 1, 0)) ), 0))</f>
        <v>0</v>
      </c>
      <c r="GH131" s="359"/>
      <c r="GI131" s="359"/>
      <c r="GJ131" s="501"/>
      <c r="GK131" s="495" t="str">
        <f>+IF(GB131="", "", "PUT")</f>
        <v>PUT</v>
      </c>
      <c r="GL131" s="495">
        <f>+IF(GB131 = "", "", FI133)</f>
        <v>0</v>
      </c>
      <c r="GM131" s="495">
        <f>+IF(GB131 = "", "", IFERROR(
IF(FI133 &gt; 0, SUMIFS(FM131:FM135, FJ131:FJ135, "&gt;0", FM131:FM135, "&lt;&gt;0") / SUMIFS(FJ131:FJ135, FJ131:FJ135, "&gt;0", FM131:FM135, "&lt;&gt;0") / -100,
IF(FI133 &lt; 0, SUMIFS(FM131:FM135, FK131:FK135, "&gt;0", FM131:FM135, "&lt;&gt;0") / SUMIFS(FK131:FK135, FK131:FK135, "&gt;0", FM131:FM135, "&lt;&gt;0") / 100, 0)), 0) )</f>
        <v>0</v>
      </c>
      <c r="GN131" s="359"/>
      <c r="GO131" s="359"/>
      <c r="GP131" s="501"/>
      <c r="GQ131" s="502">
        <f>+IF(GB131 = "", "", IFERROR(
IF(FI133 &gt; 0, SUMIFS(FP131:FP135, FJ131:FJ135, "&gt;0", FP131:FP135, "&lt;&gt;0") / SUMIFS(FJ131:FJ135, FJ131:FJ135, "&gt;0", FP131:FP135, "&lt;&gt;0") / -100,
IF(FI133 &lt; 0, SUMIFS(FP131:FP135, FK131:FK135, "&gt;0", FP131:FP135, "&lt;&gt;0") / SUMIFS(FK131:FK135, FK131:FK135, "&gt;0", FP131:FP135, "&lt;&gt;0") / 100, 0)), 0))</f>
        <v>0</v>
      </c>
      <c r="GR131" s="373"/>
      <c r="GS131" s="333"/>
      <c r="GT131" s="333"/>
      <c r="GU131" s="333"/>
      <c r="GV131" s="333"/>
      <c r="GW131" s="333"/>
      <c r="GX131" s="333"/>
      <c r="GY131" s="333"/>
      <c r="GZ131" s="333"/>
      <c r="HA131" s="333"/>
      <c r="HB131" s="333"/>
      <c r="HC131" s="333"/>
      <c r="HD131" s="333"/>
      <c r="HE131" s="333"/>
      <c r="HF131" s="333"/>
      <c r="HG131" s="331"/>
      <c r="HH131" s="331"/>
      <c r="HI131" s="331"/>
      <c r="HJ131" s="331"/>
      <c r="HK131" s="331"/>
      <c r="HL131" s="331"/>
      <c r="HM131" s="331"/>
      <c r="HN131" s="333"/>
      <c r="HO131" s="333"/>
      <c r="HP131" s="333"/>
      <c r="HQ131" s="333"/>
      <c r="HR131" s="333"/>
      <c r="HS131" s="333"/>
      <c r="HT131" s="333"/>
      <c r="HU131" s="333"/>
      <c r="HV131" s="333"/>
      <c r="HW131" s="333"/>
      <c r="HX131" s="333"/>
      <c r="HY131" s="333"/>
      <c r="HZ131" s="333"/>
      <c r="IA131" s="333"/>
      <c r="IB131" s="333"/>
      <c r="IC131" s="333"/>
      <c r="ID131" s="55"/>
      <c r="IE131" s="47"/>
      <c r="IF131" s="52"/>
    </row>
    <row r="132" spans="13:240" s="142" customFormat="1" ht="15" customHeight="1">
      <c r="M132" s="333"/>
      <c r="N132" s="333"/>
      <c r="O132" s="333"/>
      <c r="P132" s="333"/>
      <c r="Q132" s="333"/>
      <c r="R132" s="333"/>
      <c r="S132" s="333"/>
      <c r="T132" s="333"/>
      <c r="U132" s="333"/>
      <c r="V132" s="333"/>
      <c r="W132" s="333"/>
      <c r="X132" s="333"/>
      <c r="Y132" s="333"/>
      <c r="Z132" s="333"/>
      <c r="AA132" s="333"/>
      <c r="AB132" s="333"/>
      <c r="AC132" s="333"/>
      <c r="AD132" s="333"/>
      <c r="AE132" s="333"/>
      <c r="AF132" s="333"/>
      <c r="AG132" s="333"/>
      <c r="AH132" s="333"/>
      <c r="AI132" s="333"/>
      <c r="AJ132" s="333"/>
      <c r="AK132" s="333"/>
      <c r="AL132" s="333"/>
      <c r="AM132" s="333"/>
      <c r="AN132" s="333"/>
      <c r="AO132" s="333"/>
      <c r="AP132" s="333"/>
      <c r="AQ132" s="333"/>
      <c r="AR132" s="333"/>
      <c r="AS132" s="333"/>
      <c r="AT132" s="333"/>
      <c r="AU132" s="333"/>
      <c r="AV132" s="333"/>
      <c r="AW132" s="333"/>
      <c r="AX132" s="333"/>
      <c r="AY132" s="333"/>
      <c r="AZ132" s="333"/>
      <c r="BA132" s="333"/>
      <c r="BB132" s="333"/>
      <c r="BC132" s="333"/>
      <c r="BD132" s="333"/>
      <c r="BE132" s="333"/>
      <c r="BF132" s="333"/>
      <c r="BG132" s="333"/>
      <c r="BH132" s="333"/>
      <c r="BI132" s="333"/>
      <c r="BJ132" s="333"/>
      <c r="BK132" s="333"/>
      <c r="BL132" s="333"/>
      <c r="BM132" s="333"/>
      <c r="BN132" s="333"/>
      <c r="BO132" s="333"/>
      <c r="BP132" s="333"/>
      <c r="BQ132" s="333"/>
      <c r="BR132" s="333"/>
      <c r="BS132" s="333"/>
      <c r="BT132" s="333"/>
      <c r="BU132" s="333"/>
      <c r="BV132" s="333"/>
      <c r="BW132" s="333"/>
      <c r="BX132" s="333"/>
      <c r="BY132" s="333"/>
      <c r="BZ132" s="333"/>
      <c r="CA132" s="333"/>
      <c r="CB132" s="333"/>
      <c r="CC132" s="333"/>
      <c r="CD132" s="333"/>
      <c r="CE132" s="333"/>
      <c r="CF132" s="333"/>
      <c r="CG132" s="333"/>
      <c r="CH132" s="333"/>
      <c r="CI132" s="333"/>
      <c r="CJ132" s="333"/>
      <c r="CK132" s="333"/>
      <c r="CL132" s="333"/>
      <c r="CM132" s="333"/>
      <c r="CN132" s="333"/>
      <c r="CO132" s="333"/>
      <c r="CP132" s="333"/>
      <c r="CQ132" s="333"/>
      <c r="CR132" s="333"/>
      <c r="CS132" s="333"/>
      <c r="CT132" s="333"/>
      <c r="CU132" s="333"/>
      <c r="CV132" s="333"/>
      <c r="CW132" s="333"/>
      <c r="CX132" s="333"/>
      <c r="CY132" s="333"/>
      <c r="CZ132" s="333"/>
      <c r="DA132" s="333"/>
      <c r="DB132" s="333"/>
      <c r="DC132" s="333"/>
      <c r="DD132" s="333"/>
      <c r="DE132" s="333"/>
      <c r="DF132" s="333"/>
      <c r="DG132" s="333"/>
      <c r="DH132" s="333"/>
      <c r="DI132" s="333"/>
      <c r="DJ132" s="333"/>
      <c r="DK132" s="333"/>
      <c r="DL132" s="333"/>
      <c r="DM132" s="333"/>
      <c r="DN132" s="333"/>
      <c r="DO132" s="333"/>
      <c r="DP132" s="333"/>
      <c r="DQ132" s="333"/>
      <c r="DR132" s="333"/>
      <c r="DS132" s="333"/>
      <c r="DT132" s="333"/>
      <c r="DU132" s="373"/>
      <c r="DV132" s="373"/>
      <c r="DW132" s="373"/>
      <c r="DX132" s="373"/>
      <c r="DY132" s="373"/>
      <c r="DZ132" s="373"/>
      <c r="EA132" s="373"/>
      <c r="EB132" s="373"/>
      <c r="EC132" s="769" t="str">
        <f t="shared" si="190"/>
        <v/>
      </c>
      <c r="ED132" s="889" t="str">
        <f t="shared" si="191"/>
        <v/>
      </c>
      <c r="EE132" s="890"/>
      <c r="EF132" s="476" t="str">
        <f>GF257</f>
        <v/>
      </c>
      <c r="EG132" s="889" t="str">
        <f t="shared" si="192"/>
        <v/>
      </c>
      <c r="EH132" s="890"/>
      <c r="EI132" s="506" t="str">
        <f>GM257</f>
        <v/>
      </c>
      <c r="EJ132" s="373"/>
      <c r="EK132" s="373"/>
      <c r="EL132" s="366"/>
      <c r="EM132" s="366"/>
      <c r="EN132" s="364"/>
      <c r="EO132" s="351"/>
      <c r="EP132" s="347"/>
      <c r="EQ132" s="342"/>
      <c r="ER132" s="522"/>
      <c r="ES132" s="916">
        <f>IF(ER132 = "", 0,
IF(AND(EP132 &gt; 0, EQ132 &gt;0), 0, IF(EO131 &lt;&gt; $Z$1,
IF(AND(EP132 &lt;&gt; "", EP132 &lt;&gt; 0), -(EP132 * ER132 * 100),
IF(AND(EQ132 &lt;&gt; "", EQ132 &lt;&gt; 0), (EQ132 * ER132 * 100), 0)),
IF(AND(EP132 &lt;&gt; "", EP132 &lt;&gt; 0), -(EP132 * ER132 * 1),
IF(AND(EQ132 &lt;&gt; "", EQ132 &lt;&gt; 0), (EQ132 * ER132 * 1), 0))  )))</f>
        <v>0</v>
      </c>
      <c r="ET132" s="917"/>
      <c r="EU132" s="918"/>
      <c r="EV132" s="916">
        <f>IF(ER132 = "", 0,
IF(AND(EP132 &gt; 0, EQ132 &gt;0), 0,  IF(EO131 &lt;&gt; $Z$1,
IF(AND(EP132 &lt;&gt; "", EP132 &lt;&gt; 0), -(EP132 * ER132 * 100 * (1 + COMIS_OPCION)),
IF(AND(EQ132 &lt;&gt; "", EQ132 &lt;&gt; 0), (EQ132 * ER132 * 100 * (1 - COMIS_OPCION)), 0)),
IF(AND(EP132 &lt;&gt; "", EP132 &lt;&gt; 0), -(EP132 * ER132 * 1 * (1 + COMIS_ACCION)),
IF(AND(EQ132 &lt;&gt; "", EQ132 &lt;&gt; 0), (EQ132 * ER132 * 1 * (1 - COMIS_ACCION)), 0))  )))</f>
        <v>0</v>
      </c>
      <c r="EW132" s="917"/>
      <c r="EX132" s="917"/>
      <c r="EY132" s="917"/>
      <c r="EZ132" s="917"/>
      <c r="FA132" s="917"/>
      <c r="FB132" s="917"/>
      <c r="FC132" s="917"/>
      <c r="FD132" s="925"/>
      <c r="FE132" s="340"/>
      <c r="FF132" s="340"/>
      <c r="FG132" s="364"/>
      <c r="FH132" s="364"/>
      <c r="FI132" s="339"/>
      <c r="FJ132" s="347"/>
      <c r="FK132" s="342"/>
      <c r="FL132" s="343"/>
      <c r="FM132" s="930">
        <f>IF(FL132 = "", 0,
IF(AND(FJ132 &gt; 0, FK132 &gt;0), 0,
IF(AND(FJ132 &lt;&gt; "", FJ132 &lt;&gt; 0), -(FJ132 * FL132 * 100),
IF(AND(FK132 &lt;&gt; "", FK132 &lt;&gt; 0), (FK132 * FL132 * 100), 0)) ))</f>
        <v>0</v>
      </c>
      <c r="FN132" s="931"/>
      <c r="FO132" s="932"/>
      <c r="FP132" s="930">
        <f>IF(FL132 = "", 0,
IF(AND(FJ132 &gt; 0, FK132 &gt;0), 0,
IF(AND(FJ132 &lt;&gt; "", FJ132 &lt;&gt; 0), -(FJ132 * FL132 * 100 * (1 + COMIS_OPCION)),
IF(AND(FK132 &lt;&gt; "", FK132 &lt;&gt; 0), (FK132 * FL132 * 100 * (1 - COMIS_OPCION)), 0)) ))</f>
        <v>0</v>
      </c>
      <c r="FQ132" s="931"/>
      <c r="FR132" s="931"/>
      <c r="FS132" s="931"/>
      <c r="FT132" s="931"/>
      <c r="FU132" s="931"/>
      <c r="FV132" s="931"/>
      <c r="FW132" s="931"/>
      <c r="FX132" s="933"/>
      <c r="FY132" s="341"/>
      <c r="FZ132" s="341"/>
      <c r="GA132" s="341"/>
      <c r="GB132" s="495">
        <v>0</v>
      </c>
      <c r="GC132" s="495">
        <v>0</v>
      </c>
      <c r="GD132" s="500"/>
      <c r="GE132" s="495">
        <v>0</v>
      </c>
      <c r="GF132" s="495">
        <v>0</v>
      </c>
      <c r="GG132" s="495">
        <v>0</v>
      </c>
      <c r="GH132" s="359"/>
      <c r="GI132" s="359"/>
      <c r="GJ132" s="501"/>
      <c r="GK132" s="495">
        <v>0</v>
      </c>
      <c r="GL132" s="495">
        <v>0</v>
      </c>
      <c r="GM132" s="495">
        <v>0</v>
      </c>
      <c r="GN132" s="359"/>
      <c r="GO132" s="359"/>
      <c r="GP132" s="501"/>
      <c r="GQ132" s="495">
        <v>0</v>
      </c>
      <c r="GR132" s="373"/>
      <c r="GS132" s="333"/>
      <c r="GT132" s="333"/>
      <c r="GU132" s="333"/>
      <c r="GV132" s="333"/>
      <c r="GW132" s="333"/>
      <c r="GX132" s="333"/>
      <c r="GY132" s="333"/>
      <c r="GZ132" s="333"/>
      <c r="HA132" s="333"/>
      <c r="HB132" s="333"/>
      <c r="HC132" s="333"/>
      <c r="HD132" s="333"/>
      <c r="HE132" s="333"/>
      <c r="HF132" s="333"/>
      <c r="HG132" s="331"/>
      <c r="HH132" s="331"/>
      <c r="HI132" s="331"/>
      <c r="HJ132" s="331"/>
      <c r="HK132" s="331"/>
      <c r="HL132" s="331"/>
      <c r="HM132" s="331"/>
      <c r="HN132" s="333"/>
      <c r="HO132" s="333"/>
      <c r="HP132" s="333"/>
      <c r="HQ132" s="333"/>
      <c r="HR132" s="333"/>
      <c r="HS132" s="333"/>
      <c r="HT132" s="333"/>
      <c r="HU132" s="333"/>
      <c r="HV132" s="333"/>
      <c r="HW132" s="333"/>
      <c r="HX132" s="333"/>
      <c r="HY132" s="333"/>
      <c r="HZ132" s="333"/>
      <c r="IA132" s="333"/>
      <c r="IB132" s="333"/>
      <c r="IC132" s="333"/>
      <c r="ID132" s="55"/>
      <c r="IE132" s="47"/>
      <c r="IF132" s="52"/>
    </row>
    <row r="133" spans="13:240" s="142" customFormat="1" ht="15" customHeight="1">
      <c r="M133" s="333"/>
      <c r="N133" s="333"/>
      <c r="O133" s="333"/>
      <c r="P133" s="333"/>
      <c r="Q133" s="333"/>
      <c r="R133" s="333"/>
      <c r="S133" s="333"/>
      <c r="T133" s="333"/>
      <c r="U133" s="333"/>
      <c r="V133" s="333"/>
      <c r="W133" s="333"/>
      <c r="X133" s="333"/>
      <c r="Y133" s="333"/>
      <c r="Z133" s="333"/>
      <c r="AA133" s="333"/>
      <c r="AB133" s="333"/>
      <c r="AC133" s="333"/>
      <c r="AD133" s="333"/>
      <c r="AE133" s="333"/>
      <c r="AF133" s="333"/>
      <c r="AG133" s="333"/>
      <c r="AH133" s="333"/>
      <c r="AI133" s="333"/>
      <c r="AJ133" s="333"/>
      <c r="AK133" s="333"/>
      <c r="AL133" s="333"/>
      <c r="AM133" s="333"/>
      <c r="AN133" s="333"/>
      <c r="AO133" s="333"/>
      <c r="AP133" s="333"/>
      <c r="AQ133" s="333"/>
      <c r="AR133" s="333"/>
      <c r="AS133" s="333"/>
      <c r="AT133" s="333"/>
      <c r="AU133" s="333"/>
      <c r="AV133" s="333"/>
      <c r="AW133" s="333"/>
      <c r="AX133" s="333"/>
      <c r="AY133" s="333"/>
      <c r="AZ133" s="333"/>
      <c r="BA133" s="333"/>
      <c r="BB133" s="333"/>
      <c r="BC133" s="333"/>
      <c r="BD133" s="333"/>
      <c r="BE133" s="333"/>
      <c r="BF133" s="333"/>
      <c r="BG133" s="333"/>
      <c r="BH133" s="333"/>
      <c r="BI133" s="333"/>
      <c r="BJ133" s="333"/>
      <c r="BK133" s="333"/>
      <c r="BL133" s="333"/>
      <c r="BM133" s="333"/>
      <c r="BN133" s="333"/>
      <c r="BO133" s="333"/>
      <c r="BP133" s="333"/>
      <c r="BQ133" s="333"/>
      <c r="BR133" s="333"/>
      <c r="BS133" s="333"/>
      <c r="BT133" s="333"/>
      <c r="BU133" s="333"/>
      <c r="BV133" s="333"/>
      <c r="BW133" s="333"/>
      <c r="BX133" s="333"/>
      <c r="BY133" s="333"/>
      <c r="BZ133" s="333"/>
      <c r="CA133" s="333"/>
      <c r="CB133" s="333"/>
      <c r="CC133" s="333"/>
      <c r="CD133" s="333"/>
      <c r="CE133" s="333"/>
      <c r="CF133" s="333"/>
      <c r="CG133" s="333"/>
      <c r="CH133" s="333"/>
      <c r="CI133" s="333"/>
      <c r="CJ133" s="333"/>
      <c r="CK133" s="333"/>
      <c r="CL133" s="333"/>
      <c r="CM133" s="333"/>
      <c r="CN133" s="333"/>
      <c r="CO133" s="333"/>
      <c r="CP133" s="333"/>
      <c r="CQ133" s="333"/>
      <c r="CR133" s="333"/>
      <c r="CS133" s="333"/>
      <c r="CT133" s="333"/>
      <c r="CU133" s="333"/>
      <c r="CV133" s="333"/>
      <c r="CW133" s="333"/>
      <c r="CX133" s="333"/>
      <c r="CY133" s="333"/>
      <c r="CZ133" s="333"/>
      <c r="DA133" s="333"/>
      <c r="DB133" s="333"/>
      <c r="DC133" s="333"/>
      <c r="DD133" s="333"/>
      <c r="DE133" s="333"/>
      <c r="DF133" s="333"/>
      <c r="DG133" s="333"/>
      <c r="DH133" s="333"/>
      <c r="DI133" s="333"/>
      <c r="DJ133" s="333"/>
      <c r="DK133" s="333"/>
      <c r="DL133" s="333"/>
      <c r="DM133" s="333"/>
      <c r="DN133" s="333"/>
      <c r="DO133" s="333"/>
      <c r="DP133" s="333"/>
      <c r="DQ133" s="333"/>
      <c r="DR133" s="333"/>
      <c r="DS133" s="333"/>
      <c r="DT133" s="333"/>
      <c r="DU133" s="373"/>
      <c r="DV133" s="373"/>
      <c r="DW133" s="373"/>
      <c r="DX133" s="373"/>
      <c r="DY133" s="373"/>
      <c r="DZ133" s="373"/>
      <c r="EA133" s="373"/>
      <c r="EB133" s="373"/>
      <c r="EC133" s="769" t="str">
        <f t="shared" si="190"/>
        <v/>
      </c>
      <c r="ED133" s="889" t="str">
        <f t="shared" si="191"/>
        <v/>
      </c>
      <c r="EE133" s="890"/>
      <c r="EF133" s="476" t="str">
        <f>GF263</f>
        <v/>
      </c>
      <c r="EG133" s="889" t="str">
        <f t="shared" si="192"/>
        <v/>
      </c>
      <c r="EH133" s="890"/>
      <c r="EI133" s="506" t="str">
        <f>GM263</f>
        <v/>
      </c>
      <c r="EJ133" s="373"/>
      <c r="EK133" s="373"/>
      <c r="EL133" s="366"/>
      <c r="EM133" s="368"/>
      <c r="EN133" s="364"/>
      <c r="EO133" s="352">
        <f>+SUM(EP131:EP135) - SUM(EQ131:EQ135)</f>
        <v>0</v>
      </c>
      <c r="EP133" s="347"/>
      <c r="EQ133" s="342"/>
      <c r="ER133" s="522"/>
      <c r="ES133" s="916">
        <f>IF(ER133 = "", 0,
IF(AND(EP133 &gt; 0, EQ133 &gt;0), 0, IF(EO131 &lt;&gt; $Z$1,
IF(AND(EP133 &lt;&gt; "", EP133 &lt;&gt; 0), -(EP133 * ER133 * 100),
IF(AND(EQ133 &lt;&gt; "", EQ133 &lt;&gt; 0), (EQ133 * ER133 * 100), 0)),
IF(AND(EP133 &lt;&gt; "", EP133 &lt;&gt; 0), -(EP133 * ER133 * 1),
IF(AND(EQ133 &lt;&gt; "", EQ133 &lt;&gt; 0), (EQ133 * ER133 * 1), 0))  )))</f>
        <v>0</v>
      </c>
      <c r="ET133" s="917"/>
      <c r="EU133" s="918"/>
      <c r="EV133" s="916">
        <f>IF(ER133 = "", 0,
IF(AND(EP133 &gt; 0, EQ133 &gt;0), 0,  IF(EO131 &lt;&gt; $Z$1,
IF(AND(EP133 &lt;&gt; "", EP133 &lt;&gt; 0), -(EP133 * ER133 * 100 * (1 + COMIS_OPCION)),
IF(AND(EQ133 &lt;&gt; "", EQ133 &lt;&gt; 0), (EQ133 * ER133 * 100 * (1 - COMIS_OPCION)), 0)),
IF(AND(EP133 &lt;&gt; "", EP133 &lt;&gt; 0), -(EP133 * ER133 * 1 * (1 + COMIS_ACCION)),
IF(AND(EQ133 &lt;&gt; "", EQ133 &lt;&gt; 0), (EQ133 * ER133 * 1 * (1 - COMIS_ACCION)), 0))  )))</f>
        <v>0</v>
      </c>
      <c r="EW133" s="917"/>
      <c r="EX133" s="917"/>
      <c r="EY133" s="917"/>
      <c r="EZ133" s="917"/>
      <c r="FA133" s="917"/>
      <c r="FB133" s="917"/>
      <c r="FC133" s="917"/>
      <c r="FD133" s="925"/>
      <c r="FE133" s="340"/>
      <c r="FF133" s="340"/>
      <c r="FG133" s="365"/>
      <c r="FH133" s="365"/>
      <c r="FI133" s="354">
        <f>+SUM(FJ131:FJ135) - SUM(FK131:FK135)</f>
        <v>0</v>
      </c>
      <c r="FJ133" s="347"/>
      <c r="FK133" s="342"/>
      <c r="FL133" s="343"/>
      <c r="FM133" s="930">
        <f>IF(FL133 = "", 0,
IF(AND(FJ133 &gt; 0, FK133 &gt;0), 0,
IF(AND(FJ133 &lt;&gt; "", FJ133 &lt;&gt; 0), -(FJ133 * FL133 * 100),
IF(AND(FK133 &lt;&gt; "", FK133 &lt;&gt; 0), (FK133 * FL133 * 100), 0)) ))</f>
        <v>0</v>
      </c>
      <c r="FN133" s="931"/>
      <c r="FO133" s="932"/>
      <c r="FP133" s="930">
        <f>IF(FL133 = "", 0,
IF(AND(FJ133 &gt; 0, FK133 &gt;0), 0,
IF(AND(FJ133 &lt;&gt; "", FJ133 &lt;&gt; 0), -(FJ133 * FL133 * 100 * (1 + COMIS_OPCION)),
IF(AND(FK133 &lt;&gt; "", FK133 &lt;&gt; 0), (FK133 * FL133 * 100 * (1 - COMIS_OPCION)), 0)) ))</f>
        <v>0</v>
      </c>
      <c r="FQ133" s="931"/>
      <c r="FR133" s="931"/>
      <c r="FS133" s="931"/>
      <c r="FT133" s="931"/>
      <c r="FU133" s="931"/>
      <c r="FV133" s="931"/>
      <c r="FW133" s="931"/>
      <c r="FX133" s="933"/>
      <c r="FY133" s="341"/>
      <c r="FZ133" s="341"/>
      <c r="GA133" s="341"/>
      <c r="GB133" s="495">
        <v>0</v>
      </c>
      <c r="GC133" s="495">
        <v>0</v>
      </c>
      <c r="GD133" s="500"/>
      <c r="GE133" s="495">
        <v>0</v>
      </c>
      <c r="GF133" s="495">
        <v>0</v>
      </c>
      <c r="GG133" s="495">
        <v>0</v>
      </c>
      <c r="GH133" s="359"/>
      <c r="GI133" s="359"/>
      <c r="GJ133" s="501"/>
      <c r="GK133" s="495">
        <v>0</v>
      </c>
      <c r="GL133" s="495">
        <v>0</v>
      </c>
      <c r="GM133" s="495">
        <v>0</v>
      </c>
      <c r="GN133" s="359"/>
      <c r="GO133" s="359"/>
      <c r="GP133" s="501"/>
      <c r="GQ133" s="495">
        <v>0</v>
      </c>
      <c r="GR133" s="373"/>
      <c r="GS133" s="333"/>
      <c r="GT133" s="333"/>
      <c r="GU133" s="333"/>
      <c r="GV133" s="333"/>
      <c r="GW133" s="333"/>
      <c r="GX133" s="333"/>
      <c r="GY133" s="333"/>
      <c r="GZ133" s="333"/>
      <c r="HA133" s="333"/>
      <c r="HB133" s="333"/>
      <c r="HC133" s="333"/>
      <c r="HD133" s="333"/>
      <c r="HE133" s="333"/>
      <c r="HF133" s="333"/>
      <c r="HG133" s="331"/>
      <c r="HH133" s="331"/>
      <c r="HI133" s="331"/>
      <c r="HJ133" s="331"/>
      <c r="HK133" s="331"/>
      <c r="HL133" s="331"/>
      <c r="HM133" s="331"/>
      <c r="HN133" s="333"/>
      <c r="HO133" s="333"/>
      <c r="HP133" s="333"/>
      <c r="HQ133" s="333"/>
      <c r="HR133" s="333"/>
      <c r="HS133" s="333"/>
      <c r="HT133" s="333"/>
      <c r="HU133" s="333"/>
      <c r="HV133" s="333"/>
      <c r="HW133" s="333"/>
      <c r="HX133" s="333"/>
      <c r="HY133" s="333"/>
      <c r="HZ133" s="333"/>
      <c r="IA133" s="333"/>
      <c r="IB133" s="333"/>
      <c r="IC133" s="333"/>
      <c r="ID133" s="55"/>
      <c r="IE133" s="47"/>
    </row>
    <row r="134" spans="13:240" s="142" customFormat="1" ht="15" customHeight="1">
      <c r="M134" s="333"/>
      <c r="N134" s="333"/>
      <c r="O134" s="333"/>
      <c r="P134" s="333"/>
      <c r="Q134" s="333"/>
      <c r="R134" s="333"/>
      <c r="S134" s="333"/>
      <c r="T134" s="333"/>
      <c r="U134" s="333"/>
      <c r="V134" s="333"/>
      <c r="W134" s="333"/>
      <c r="X134" s="333"/>
      <c r="Y134" s="333"/>
      <c r="Z134" s="333"/>
      <c r="AA134" s="333"/>
      <c r="AB134" s="333"/>
      <c r="AC134" s="333"/>
      <c r="AD134" s="333"/>
      <c r="AE134" s="333"/>
      <c r="AF134" s="333"/>
      <c r="AG134" s="333"/>
      <c r="AH134" s="333"/>
      <c r="AI134" s="333"/>
      <c r="AJ134" s="333"/>
      <c r="AK134" s="333"/>
      <c r="AL134" s="333"/>
      <c r="AM134" s="333"/>
      <c r="AN134" s="333"/>
      <c r="AO134" s="333"/>
      <c r="AP134" s="333"/>
      <c r="AQ134" s="333"/>
      <c r="AR134" s="333"/>
      <c r="AS134" s="333"/>
      <c r="AT134" s="333"/>
      <c r="AU134" s="333"/>
      <c r="AV134" s="333"/>
      <c r="AW134" s="333"/>
      <c r="AX134" s="333"/>
      <c r="AY134" s="333"/>
      <c r="AZ134" s="333"/>
      <c r="BA134" s="333"/>
      <c r="BB134" s="333"/>
      <c r="BC134" s="333"/>
      <c r="BD134" s="333"/>
      <c r="BE134" s="333"/>
      <c r="BF134" s="333"/>
      <c r="BG134" s="333"/>
      <c r="BH134" s="333"/>
      <c r="BI134" s="333"/>
      <c r="BJ134" s="333"/>
      <c r="BK134" s="333"/>
      <c r="BL134" s="333"/>
      <c r="BM134" s="333"/>
      <c r="BN134" s="333"/>
      <c r="BO134" s="333"/>
      <c r="BP134" s="333"/>
      <c r="BQ134" s="333"/>
      <c r="BR134" s="333"/>
      <c r="BS134" s="333"/>
      <c r="BT134" s="333"/>
      <c r="BU134" s="333"/>
      <c r="BV134" s="333"/>
      <c r="BW134" s="333"/>
      <c r="BX134" s="333"/>
      <c r="BY134" s="333"/>
      <c r="BZ134" s="333"/>
      <c r="CA134" s="333"/>
      <c r="CB134" s="333"/>
      <c r="CC134" s="333"/>
      <c r="CD134" s="333"/>
      <c r="CE134" s="333"/>
      <c r="CF134" s="333"/>
      <c r="CG134" s="333"/>
      <c r="CH134" s="333"/>
      <c r="CI134" s="333"/>
      <c r="CJ134" s="333"/>
      <c r="CK134" s="333"/>
      <c r="CL134" s="333"/>
      <c r="CM134" s="333"/>
      <c r="CN134" s="333"/>
      <c r="CO134" s="333"/>
      <c r="CP134" s="333"/>
      <c r="CQ134" s="333"/>
      <c r="CR134" s="333"/>
      <c r="CS134" s="333"/>
      <c r="CT134" s="333"/>
      <c r="CU134" s="333"/>
      <c r="CV134" s="333"/>
      <c r="CW134" s="333"/>
      <c r="CX134" s="333"/>
      <c r="CY134" s="333"/>
      <c r="CZ134" s="333"/>
      <c r="DA134" s="333"/>
      <c r="DB134" s="333"/>
      <c r="DC134" s="333"/>
      <c r="DD134" s="333"/>
      <c r="DE134" s="333"/>
      <c r="DF134" s="333"/>
      <c r="DG134" s="333"/>
      <c r="DH134" s="333"/>
      <c r="DI134" s="333"/>
      <c r="DJ134" s="333"/>
      <c r="DK134" s="333"/>
      <c r="DL134" s="333"/>
      <c r="DM134" s="333"/>
      <c r="DN134" s="333"/>
      <c r="DO134" s="333"/>
      <c r="DP134" s="333"/>
      <c r="DQ134" s="333"/>
      <c r="DR134" s="333"/>
      <c r="DS134" s="333"/>
      <c r="DT134" s="333"/>
      <c r="DU134" s="373"/>
      <c r="DV134" s="373"/>
      <c r="DW134" s="373"/>
      <c r="DX134" s="373"/>
      <c r="DY134" s="373"/>
      <c r="DZ134" s="373"/>
      <c r="EA134" s="373"/>
      <c r="EB134" s="373"/>
      <c r="EC134" s="769" t="str">
        <f t="shared" si="190"/>
        <v/>
      </c>
      <c r="ED134" s="889" t="str">
        <f t="shared" si="191"/>
        <v/>
      </c>
      <c r="EE134" s="890"/>
      <c r="EF134" s="476" t="str">
        <f>GF269</f>
        <v/>
      </c>
      <c r="EG134" s="889" t="str">
        <f t="shared" si="192"/>
        <v/>
      </c>
      <c r="EH134" s="890"/>
      <c r="EI134" s="506" t="str">
        <f>GM269</f>
        <v/>
      </c>
      <c r="EJ134" s="373"/>
      <c r="EK134" s="373"/>
      <c r="EL134" s="366"/>
      <c r="EM134" s="368"/>
      <c r="EN134" s="364"/>
      <c r="EO134" s="352">
        <f>IF(EO133=0, 0, SUM(EV131:FD135))</f>
        <v>0</v>
      </c>
      <c r="EP134" s="347"/>
      <c r="EQ134" s="342"/>
      <c r="ER134" s="522"/>
      <c r="ES134" s="916">
        <f>IF(ER134 = "", 0,
IF(AND(EP134 &gt; 0, EQ134 &gt;0), 0, IF(EO131 &lt;&gt; $Z$1,
IF(AND(EP134 &lt;&gt; "", EP134 &lt;&gt; 0), -(EP134 * ER134 * 100),
IF(AND(EQ134 &lt;&gt; "", EQ134 &lt;&gt; 0), (EQ134 * ER134 * 100), 0)),
IF(AND(EP134 &lt;&gt; "", EP134 &lt;&gt; 0), -(EP134 * ER134 * 1),
IF(AND(EQ134 &lt;&gt; "", EQ134 &lt;&gt; 0), (EQ134 * ER134 * 1), 0))  )))</f>
        <v>0</v>
      </c>
      <c r="ET134" s="917"/>
      <c r="EU134" s="918"/>
      <c r="EV134" s="916">
        <f>IF(ER134 = "", 0,
IF(AND(EP134 &gt; 0, EQ134 &gt;0), 0,  IF(EO131 &lt;&gt; $Z$1,
IF(AND(EP134 &lt;&gt; "", EP134 &lt;&gt; 0), -(EP134 * ER134 * 100 * (1 + COMIS_OPCION)),
IF(AND(EQ134 &lt;&gt; "", EQ134 &lt;&gt; 0), (EQ134 * ER134 * 100 * (1 - COMIS_OPCION)), 0)),
IF(AND(EP134 &lt;&gt; "", EP134 &lt;&gt; 0), -(EP134 * ER134 * 1 * (1 + COMIS_ACCION)),
IF(AND(EQ134 &lt;&gt; "", EQ134 &lt;&gt; 0), (EQ134 * ER134 * 1 * (1 - COMIS_ACCION)), 0))  )))</f>
        <v>0</v>
      </c>
      <c r="EW134" s="917"/>
      <c r="EX134" s="917"/>
      <c r="EY134" s="917"/>
      <c r="EZ134" s="917"/>
      <c r="FA134" s="917"/>
      <c r="FB134" s="917"/>
      <c r="FC134" s="917"/>
      <c r="FD134" s="925"/>
      <c r="FE134" s="340"/>
      <c r="FF134" s="340"/>
      <c r="FG134" s="365"/>
      <c r="FH134" s="365"/>
      <c r="FI134" s="354">
        <f>IF(FI133=0, 0, SUM(FP131:FX135))</f>
        <v>0</v>
      </c>
      <c r="FJ134" s="347"/>
      <c r="FK134" s="342"/>
      <c r="FL134" s="343"/>
      <c r="FM134" s="930">
        <f>IF(FL134 = "", 0,
IF(AND(FJ134 &gt; 0, FK134 &gt;0), 0,
IF(AND(FJ134 &lt;&gt; "", FJ134 &lt;&gt; 0), -(FJ134 * FL134 * 100),
IF(AND(FK134 &lt;&gt; "", FK134 &lt;&gt; 0), (FK134 * FL134 * 100), 0)) ))</f>
        <v>0</v>
      </c>
      <c r="FN134" s="931"/>
      <c r="FO134" s="932"/>
      <c r="FP134" s="930">
        <f>IF(FL134 = "", 0,
IF(AND(FJ134 &gt; 0, FK134 &gt;0), 0,
IF(AND(FJ134 &lt;&gt; "", FJ134 &lt;&gt; 0), -(FJ134 * FL134 * 100 * (1 + COMIS_OPCION)),
IF(AND(FK134 &lt;&gt; "", FK134 &lt;&gt; 0), (FK134 * FL134 * 100 * (1 - COMIS_OPCION)), 0)) ))</f>
        <v>0</v>
      </c>
      <c r="FQ134" s="931"/>
      <c r="FR134" s="931"/>
      <c r="FS134" s="931"/>
      <c r="FT134" s="931"/>
      <c r="FU134" s="931"/>
      <c r="FV134" s="931"/>
      <c r="FW134" s="931"/>
      <c r="FX134" s="933"/>
      <c r="FY134" s="341"/>
      <c r="FZ134" s="341"/>
      <c r="GA134" s="341"/>
      <c r="GB134" s="495">
        <v>0</v>
      </c>
      <c r="GC134" s="495">
        <v>0</v>
      </c>
      <c r="GD134" s="500"/>
      <c r="GE134" s="495">
        <v>0</v>
      </c>
      <c r="GF134" s="495">
        <v>0</v>
      </c>
      <c r="GG134" s="495">
        <v>0</v>
      </c>
      <c r="GH134" s="359"/>
      <c r="GI134" s="359"/>
      <c r="GJ134" s="501"/>
      <c r="GK134" s="495">
        <v>0</v>
      </c>
      <c r="GL134" s="495">
        <v>0</v>
      </c>
      <c r="GM134" s="495">
        <v>0</v>
      </c>
      <c r="GN134" s="359"/>
      <c r="GO134" s="359"/>
      <c r="GP134" s="501"/>
      <c r="GQ134" s="495">
        <v>0</v>
      </c>
      <c r="GR134" s="373"/>
      <c r="GS134" s="333"/>
      <c r="GT134" s="333"/>
      <c r="GU134" s="333"/>
      <c r="GV134" s="333"/>
      <c r="GW134" s="333"/>
      <c r="GX134" s="333"/>
      <c r="GY134" s="333"/>
      <c r="GZ134" s="333"/>
      <c r="HA134" s="333"/>
      <c r="HB134" s="333"/>
      <c r="HC134" s="333"/>
      <c r="HD134" s="333"/>
      <c r="HE134" s="333"/>
      <c r="HF134" s="333"/>
      <c r="HG134" s="331"/>
      <c r="HH134" s="331"/>
      <c r="HI134" s="331"/>
      <c r="HJ134" s="331"/>
      <c r="HK134" s="331"/>
      <c r="HL134" s="331"/>
      <c r="HM134" s="331"/>
      <c r="HN134" s="333"/>
      <c r="HO134" s="333"/>
      <c r="HP134" s="333"/>
      <c r="HQ134" s="333"/>
      <c r="HR134" s="333"/>
      <c r="HS134" s="333"/>
      <c r="HT134" s="333"/>
      <c r="HU134" s="333"/>
      <c r="HV134" s="333"/>
      <c r="HW134" s="333"/>
      <c r="HX134" s="333"/>
      <c r="HY134" s="333"/>
      <c r="HZ134" s="333"/>
      <c r="IA134" s="333"/>
      <c r="IB134" s="333"/>
      <c r="IC134" s="333"/>
      <c r="ID134" s="55"/>
      <c r="IE134" s="47"/>
    </row>
    <row r="135" spans="13:240" s="142" customFormat="1" ht="15" customHeight="1" thickBot="1">
      <c r="M135" s="333"/>
      <c r="N135" s="333"/>
      <c r="O135" s="333"/>
      <c r="P135" s="333"/>
      <c r="Q135" s="333"/>
      <c r="R135" s="333"/>
      <c r="S135" s="333"/>
      <c r="T135" s="333"/>
      <c r="U135" s="333"/>
      <c r="V135" s="333"/>
      <c r="W135" s="333"/>
      <c r="X135" s="333"/>
      <c r="Y135" s="333"/>
      <c r="Z135" s="333"/>
      <c r="AA135" s="333"/>
      <c r="AB135" s="333"/>
      <c r="AC135" s="333"/>
      <c r="AD135" s="333"/>
      <c r="AE135" s="333"/>
      <c r="AF135" s="333"/>
      <c r="AG135" s="333"/>
      <c r="AH135" s="333"/>
      <c r="AI135" s="333"/>
      <c r="AJ135" s="333"/>
      <c r="AK135" s="333"/>
      <c r="AL135" s="333"/>
      <c r="AM135" s="333"/>
      <c r="AN135" s="333"/>
      <c r="AO135" s="333"/>
      <c r="AP135" s="333"/>
      <c r="AQ135" s="333"/>
      <c r="AR135" s="333"/>
      <c r="AS135" s="333"/>
      <c r="AT135" s="333"/>
      <c r="AU135" s="333"/>
      <c r="AV135" s="333"/>
      <c r="AW135" s="333"/>
      <c r="AX135" s="333"/>
      <c r="AY135" s="333"/>
      <c r="AZ135" s="333"/>
      <c r="BA135" s="333"/>
      <c r="BB135" s="333"/>
      <c r="BC135" s="333"/>
      <c r="BD135" s="333"/>
      <c r="BE135" s="333"/>
      <c r="BF135" s="333"/>
      <c r="BG135" s="333"/>
      <c r="BH135" s="333"/>
      <c r="BI135" s="333"/>
      <c r="BJ135" s="333"/>
      <c r="BK135" s="333"/>
      <c r="BL135" s="333"/>
      <c r="BM135" s="333"/>
      <c r="BN135" s="333"/>
      <c r="BO135" s="333"/>
      <c r="BP135" s="333"/>
      <c r="BQ135" s="333"/>
      <c r="BR135" s="333"/>
      <c r="BS135" s="333"/>
      <c r="BT135" s="333"/>
      <c r="BU135" s="333"/>
      <c r="BV135" s="333"/>
      <c r="BW135" s="333"/>
      <c r="BX135" s="333"/>
      <c r="BY135" s="333"/>
      <c r="BZ135" s="333"/>
      <c r="CA135" s="333"/>
      <c r="CB135" s="333"/>
      <c r="CC135" s="333"/>
      <c r="CD135" s="333"/>
      <c r="CE135" s="333"/>
      <c r="CF135" s="333"/>
      <c r="CG135" s="333"/>
      <c r="CH135" s="333"/>
      <c r="CI135" s="333"/>
      <c r="CJ135" s="333"/>
      <c r="CK135" s="333"/>
      <c r="CL135" s="333"/>
      <c r="CM135" s="333"/>
      <c r="CN135" s="333"/>
      <c r="CO135" s="333"/>
      <c r="CP135" s="333"/>
      <c r="CQ135" s="333"/>
      <c r="CR135" s="333"/>
      <c r="CS135" s="333"/>
      <c r="CT135" s="333"/>
      <c r="CU135" s="333"/>
      <c r="CV135" s="333"/>
      <c r="CW135" s="333"/>
      <c r="CX135" s="333"/>
      <c r="CY135" s="333"/>
      <c r="CZ135" s="333"/>
      <c r="DA135" s="333"/>
      <c r="DB135" s="333"/>
      <c r="DC135" s="333"/>
      <c r="DD135" s="333"/>
      <c r="DE135" s="333"/>
      <c r="DF135" s="333"/>
      <c r="DG135" s="333"/>
      <c r="DH135" s="333"/>
      <c r="DI135" s="333"/>
      <c r="DJ135" s="333"/>
      <c r="DK135" s="333"/>
      <c r="DL135" s="333"/>
      <c r="DM135" s="333"/>
      <c r="DN135" s="333"/>
      <c r="DO135" s="333"/>
      <c r="DP135" s="333"/>
      <c r="DQ135" s="333"/>
      <c r="DR135" s="333"/>
      <c r="DS135" s="333"/>
      <c r="DT135" s="333"/>
      <c r="DU135" s="373"/>
      <c r="DV135" s="373"/>
      <c r="DW135" s="373"/>
      <c r="DX135" s="373"/>
      <c r="DY135" s="373"/>
      <c r="DZ135" s="373"/>
      <c r="EA135" s="373"/>
      <c r="EB135" s="373"/>
      <c r="EC135" s="769" t="str">
        <f t="shared" si="190"/>
        <v/>
      </c>
      <c r="ED135" s="889" t="str">
        <f t="shared" si="191"/>
        <v/>
      </c>
      <c r="EE135" s="890"/>
      <c r="EF135" s="476" t="str">
        <f>GF275</f>
        <v/>
      </c>
      <c r="EG135" s="889" t="str">
        <f t="shared" si="192"/>
        <v/>
      </c>
      <c r="EH135" s="890"/>
      <c r="EI135" s="506" t="str">
        <f>GM275</f>
        <v/>
      </c>
      <c r="EJ135" s="373"/>
      <c r="EK135" s="373"/>
      <c r="EL135" s="366"/>
      <c r="EM135" s="368"/>
      <c r="EN135" s="364"/>
      <c r="EO135" s="353">
        <f>+IF(EO133= 0, 0, GG131)</f>
        <v>0</v>
      </c>
      <c r="EP135" s="350"/>
      <c r="EQ135" s="344"/>
      <c r="ER135" s="523"/>
      <c r="ES135" s="921">
        <f>IF(ER135 = "", 0,
IF(AND(EP135 &gt; 0, EQ135 &gt;0), 0, IF(EO131 &lt;&gt; $Z$1,
IF(AND(EP135 &lt;&gt; "", EP135 &lt;&gt; 0), -(EP135 * ER135 * 100),
IF(AND(EQ135 &lt;&gt; "", EQ135 &lt;&gt; 0), (EQ135 * ER135 * 100), 0)),
IF(AND(EP135 &lt;&gt; "", EP135 &lt;&gt; 0), -(EP135 * ER135 * 1),
IF(AND(EQ135 &lt;&gt; "", EQ135 &lt;&gt; 0), (EQ135 * ER135 * 1), 0))  )))</f>
        <v>0</v>
      </c>
      <c r="ET135" s="922"/>
      <c r="EU135" s="924"/>
      <c r="EV135" s="921">
        <f>IF(ER135 = "", 0,
IF(AND(EP135 &gt; 0, EQ135 &gt;0), 0,  IF(EO131 &lt;&gt; $Z$1,
IF(AND(EP135 &lt;&gt; "", EP135 &lt;&gt; 0), -(EP135 * ER135 * 100 * (1 + COMIS_OPCION)),
IF(AND(EQ135 &lt;&gt; "", EQ135 &lt;&gt; 0), (EQ135 * ER135 * 100 * (1 - COMIS_OPCION)), 0)),
IF(AND(EP135 &lt;&gt; "", EP135 &lt;&gt; 0), -(EP135 * ER135 * 1 * (1 + COMIS_ACCION)),
IF(AND(EQ135 &lt;&gt; "", EQ135 &lt;&gt; 0), (EQ135 * ER135 * 1 * (1 - COMIS_ACCION)), 0))  )))</f>
        <v>0</v>
      </c>
      <c r="EW135" s="922"/>
      <c r="EX135" s="922"/>
      <c r="EY135" s="922"/>
      <c r="EZ135" s="922"/>
      <c r="FA135" s="922"/>
      <c r="FB135" s="922"/>
      <c r="FC135" s="922"/>
      <c r="FD135" s="923"/>
      <c r="FE135" s="340"/>
      <c r="FF135" s="340"/>
      <c r="FG135" s="365"/>
      <c r="FH135" s="365"/>
      <c r="FI135" s="349">
        <f>+IF(FI133= 0, 0, GQ131)</f>
        <v>0</v>
      </c>
      <c r="FJ135" s="348"/>
      <c r="FK135" s="345"/>
      <c r="FL135" s="346"/>
      <c r="FM135" s="937">
        <f>IF(FL135 = "", 0,
IF(AND(FJ135 &gt; 0, FK135 &gt;0), 0,
IF(AND(FJ135 &lt;&gt; "", FJ135 &lt;&gt; 0), -(FJ135 * FL135 * 100),
IF(AND(FK135 &lt;&gt; "", FK135 &lt;&gt; 0), (FK135 * FL135 * 100), 0)) ))</f>
        <v>0</v>
      </c>
      <c r="FN135" s="938"/>
      <c r="FO135" s="939"/>
      <c r="FP135" s="937">
        <f>IF(FL135 = "", 0,
IF(AND(FJ135 &gt; 0, FK135 &gt;0), 0,
IF(AND(FJ135 &lt;&gt; "", FJ135 &lt;&gt; 0), -(FJ135 * FL135 * 100 * (1 + COMIS_OPCION)),
IF(AND(FK135 &lt;&gt; "", FK135 &lt;&gt; 0), (FK135 * FL135 * 100 * (1 - COMIS_OPCION)), 0)) ))</f>
        <v>0</v>
      </c>
      <c r="FQ135" s="938"/>
      <c r="FR135" s="938"/>
      <c r="FS135" s="938"/>
      <c r="FT135" s="938"/>
      <c r="FU135" s="938"/>
      <c r="FV135" s="938"/>
      <c r="FW135" s="938"/>
      <c r="FX135" s="969"/>
      <c r="FY135" s="341"/>
      <c r="FZ135" s="341"/>
      <c r="GA135" s="341"/>
      <c r="GB135" s="495">
        <v>0</v>
      </c>
      <c r="GC135" s="495">
        <v>0</v>
      </c>
      <c r="GD135" s="500"/>
      <c r="GE135" s="495">
        <v>0</v>
      </c>
      <c r="GF135" s="495">
        <v>0</v>
      </c>
      <c r="GG135" s="495">
        <v>0</v>
      </c>
      <c r="GH135" s="359"/>
      <c r="GI135" s="359"/>
      <c r="GJ135" s="501"/>
      <c r="GK135" s="495">
        <v>0</v>
      </c>
      <c r="GL135" s="495">
        <v>0</v>
      </c>
      <c r="GM135" s="495">
        <v>0</v>
      </c>
      <c r="GN135" s="359"/>
      <c r="GO135" s="359"/>
      <c r="GP135" s="501"/>
      <c r="GQ135" s="495">
        <v>0</v>
      </c>
      <c r="GR135" s="373"/>
      <c r="GS135" s="333"/>
      <c r="GT135" s="333"/>
      <c r="GU135" s="333"/>
      <c r="GV135" s="333"/>
      <c r="GW135" s="333"/>
      <c r="GX135" s="333"/>
      <c r="GY135" s="333"/>
      <c r="GZ135" s="333"/>
      <c r="HA135" s="333"/>
      <c r="HB135" s="333"/>
      <c r="HC135" s="333"/>
      <c r="HD135" s="333"/>
      <c r="HE135" s="333"/>
      <c r="HF135" s="333"/>
      <c r="HG135" s="331"/>
      <c r="HH135" s="331"/>
      <c r="HI135" s="331"/>
      <c r="HJ135" s="331"/>
      <c r="HK135" s="331"/>
      <c r="HL135" s="331"/>
      <c r="HM135" s="331"/>
      <c r="HN135" s="333"/>
      <c r="HO135" s="333"/>
      <c r="HP135" s="333"/>
      <c r="HQ135" s="333"/>
      <c r="HR135" s="333"/>
      <c r="HS135" s="333"/>
      <c r="HT135" s="333"/>
      <c r="HU135" s="333"/>
      <c r="HV135" s="333"/>
      <c r="HW135" s="333"/>
      <c r="HX135" s="333"/>
      <c r="HY135" s="333"/>
      <c r="HZ135" s="333"/>
      <c r="IA135" s="333"/>
      <c r="IB135" s="333"/>
      <c r="IC135" s="333"/>
      <c r="ID135" s="55"/>
      <c r="IE135" s="47"/>
    </row>
    <row r="136" spans="13:240" s="142" customFormat="1" ht="15" customHeight="1" thickBot="1">
      <c r="M136" s="333"/>
      <c r="N136" s="333"/>
      <c r="O136" s="333"/>
      <c r="P136" s="333"/>
      <c r="Q136" s="333"/>
      <c r="R136" s="333"/>
      <c r="S136" s="333"/>
      <c r="T136" s="333"/>
      <c r="U136" s="333"/>
      <c r="V136" s="333"/>
      <c r="W136" s="333"/>
      <c r="X136" s="333"/>
      <c r="Y136" s="333"/>
      <c r="Z136" s="333"/>
      <c r="AA136" s="333"/>
      <c r="AB136" s="333"/>
      <c r="AC136" s="333"/>
      <c r="AD136" s="333"/>
      <c r="AE136" s="333"/>
      <c r="AF136" s="333"/>
      <c r="AG136" s="333"/>
      <c r="AH136" s="333"/>
      <c r="AI136" s="333"/>
      <c r="AJ136" s="333"/>
      <c r="AK136" s="333"/>
      <c r="AL136" s="333"/>
      <c r="AM136" s="333"/>
      <c r="AN136" s="333"/>
      <c r="AO136" s="333"/>
      <c r="AP136" s="333"/>
      <c r="AQ136" s="333"/>
      <c r="AR136" s="333"/>
      <c r="AS136" s="333"/>
      <c r="AT136" s="333"/>
      <c r="AU136" s="333"/>
      <c r="AV136" s="333"/>
      <c r="AW136" s="333"/>
      <c r="AX136" s="333"/>
      <c r="AY136" s="333"/>
      <c r="AZ136" s="333"/>
      <c r="BA136" s="333"/>
      <c r="BB136" s="333"/>
      <c r="BC136" s="333"/>
      <c r="BD136" s="333"/>
      <c r="BE136" s="333"/>
      <c r="BF136" s="333"/>
      <c r="BG136" s="333"/>
      <c r="BH136" s="333"/>
      <c r="BI136" s="333"/>
      <c r="BJ136" s="333"/>
      <c r="BK136" s="333"/>
      <c r="BL136" s="333"/>
      <c r="BM136" s="333"/>
      <c r="BN136" s="333"/>
      <c r="BO136" s="333"/>
      <c r="BP136" s="333"/>
      <c r="BQ136" s="333"/>
      <c r="BR136" s="333"/>
      <c r="BS136" s="333"/>
      <c r="BT136" s="333"/>
      <c r="BU136" s="333"/>
      <c r="BV136" s="333"/>
      <c r="BW136" s="333"/>
      <c r="BX136" s="333"/>
      <c r="BY136" s="333"/>
      <c r="BZ136" s="333"/>
      <c r="CA136" s="333"/>
      <c r="CB136" s="333"/>
      <c r="CC136" s="333"/>
      <c r="CD136" s="333"/>
      <c r="CE136" s="333"/>
      <c r="CF136" s="333"/>
      <c r="CG136" s="333"/>
      <c r="CH136" s="333"/>
      <c r="CI136" s="333"/>
      <c r="CJ136" s="333"/>
      <c r="CK136" s="333"/>
      <c r="CL136" s="333"/>
      <c r="CM136" s="333"/>
      <c r="CN136" s="333"/>
      <c r="CO136" s="333"/>
      <c r="CP136" s="333"/>
      <c r="CQ136" s="333"/>
      <c r="CR136" s="333"/>
      <c r="CS136" s="333"/>
      <c r="CT136" s="333"/>
      <c r="CU136" s="333"/>
      <c r="CV136" s="333"/>
      <c r="CW136" s="333"/>
      <c r="CX136" s="333"/>
      <c r="CY136" s="333"/>
      <c r="CZ136" s="333"/>
      <c r="DA136" s="333"/>
      <c r="DB136" s="333"/>
      <c r="DC136" s="333"/>
      <c r="DD136" s="333"/>
      <c r="DE136" s="333"/>
      <c r="DF136" s="333"/>
      <c r="DG136" s="333"/>
      <c r="DH136" s="333"/>
      <c r="DI136" s="333"/>
      <c r="DJ136" s="333"/>
      <c r="DK136" s="333"/>
      <c r="DL136" s="333"/>
      <c r="DM136" s="333"/>
      <c r="DN136" s="333"/>
      <c r="DO136" s="333"/>
      <c r="DP136" s="333"/>
      <c r="DQ136" s="333"/>
      <c r="DR136" s="333"/>
      <c r="DS136" s="333"/>
      <c r="DT136" s="333"/>
      <c r="DU136" s="373"/>
      <c r="DV136" s="373"/>
      <c r="DW136" s="373"/>
      <c r="DX136" s="373"/>
      <c r="DY136" s="373"/>
      <c r="DZ136" s="373"/>
      <c r="EA136" s="373"/>
      <c r="EB136" s="373"/>
      <c r="EC136" s="769" t="str">
        <f t="shared" si="190"/>
        <v/>
      </c>
      <c r="ED136" s="889" t="str">
        <f t="shared" si="191"/>
        <v/>
      </c>
      <c r="EE136" s="890"/>
      <c r="EF136" s="476" t="str">
        <f>GF281</f>
        <v/>
      </c>
      <c r="EG136" s="889" t="str">
        <f t="shared" si="192"/>
        <v/>
      </c>
      <c r="EH136" s="890"/>
      <c r="EI136" s="506" t="str">
        <f>GM281</f>
        <v/>
      </c>
      <c r="EJ136" s="373"/>
      <c r="EK136" s="373"/>
      <c r="EL136" s="366"/>
      <c r="EM136" s="366"/>
      <c r="EN136" s="364"/>
      <c r="EO136" s="363"/>
      <c r="EP136" s="340"/>
      <c r="EQ136" s="340"/>
      <c r="ER136" s="340"/>
      <c r="ES136" s="363"/>
      <c r="ET136" s="363"/>
      <c r="EU136" s="340"/>
      <c r="EV136" s="340"/>
      <c r="EW136" s="340"/>
      <c r="EX136" s="340"/>
      <c r="EY136" s="340"/>
      <c r="EZ136" s="340"/>
      <c r="FA136" s="340"/>
      <c r="FB136" s="402"/>
      <c r="FC136" s="402"/>
      <c r="FD136" s="340"/>
      <c r="FE136" s="340"/>
      <c r="FF136" s="340"/>
      <c r="FG136" s="364"/>
      <c r="FH136" s="364"/>
      <c r="FI136" s="363"/>
      <c r="FJ136" s="360"/>
      <c r="FK136" s="360"/>
      <c r="FL136" s="340"/>
      <c r="FM136" s="967"/>
      <c r="FN136" s="967"/>
      <c r="FO136" s="967"/>
      <c r="FP136" s="968"/>
      <c r="FQ136" s="968"/>
      <c r="FR136" s="968"/>
      <c r="FS136" s="968"/>
      <c r="FT136" s="968"/>
      <c r="FU136" s="968"/>
      <c r="FV136" s="968"/>
      <c r="FW136" s="968"/>
      <c r="FX136" s="968"/>
      <c r="FY136" s="341"/>
      <c r="FZ136" s="341"/>
      <c r="GA136" s="341"/>
      <c r="GB136" s="495">
        <v>0</v>
      </c>
      <c r="GC136" s="495">
        <v>0</v>
      </c>
      <c r="GD136" s="500"/>
      <c r="GE136" s="495">
        <v>0</v>
      </c>
      <c r="GF136" s="495">
        <v>0</v>
      </c>
      <c r="GG136" s="495">
        <v>0</v>
      </c>
      <c r="GH136" s="359"/>
      <c r="GI136" s="359"/>
      <c r="GJ136" s="501"/>
      <c r="GK136" s="495">
        <v>0</v>
      </c>
      <c r="GL136" s="495">
        <v>0</v>
      </c>
      <c r="GM136" s="495">
        <v>0</v>
      </c>
      <c r="GN136" s="359"/>
      <c r="GO136" s="359"/>
      <c r="GP136" s="501"/>
      <c r="GQ136" s="495">
        <v>0</v>
      </c>
      <c r="GR136" s="373"/>
      <c r="GS136" s="333"/>
      <c r="GT136" s="333"/>
      <c r="GU136" s="333"/>
      <c r="GV136" s="333"/>
      <c r="GW136" s="333"/>
      <c r="GX136" s="333"/>
      <c r="GY136" s="333"/>
      <c r="GZ136" s="333"/>
      <c r="HA136" s="333"/>
      <c r="HB136" s="333"/>
      <c r="HC136" s="333"/>
      <c r="HD136" s="333"/>
      <c r="HE136" s="333"/>
      <c r="HF136" s="333"/>
      <c r="HG136" s="331"/>
      <c r="HH136" s="331"/>
      <c r="HI136" s="331"/>
      <c r="HJ136" s="331"/>
      <c r="HK136" s="331"/>
      <c r="HL136" s="331"/>
      <c r="HM136" s="331"/>
      <c r="HN136" s="333"/>
      <c r="HO136" s="333"/>
      <c r="HP136" s="333"/>
      <c r="HQ136" s="333"/>
      <c r="HR136" s="333"/>
      <c r="HS136" s="333"/>
      <c r="HT136" s="333"/>
      <c r="HU136" s="333"/>
      <c r="HV136" s="333"/>
      <c r="HW136" s="333"/>
      <c r="HX136" s="333"/>
      <c r="HY136" s="333"/>
      <c r="HZ136" s="333"/>
      <c r="IA136" s="333"/>
      <c r="IB136" s="333"/>
      <c r="IC136" s="333"/>
      <c r="ID136" s="55"/>
      <c r="IE136" s="47"/>
    </row>
    <row r="137" spans="13:240" s="142" customFormat="1" ht="15" customHeight="1">
      <c r="M137" s="333"/>
      <c r="N137" s="333"/>
      <c r="O137" s="333"/>
      <c r="P137" s="333"/>
      <c r="Q137" s="333"/>
      <c r="R137" s="333"/>
      <c r="S137" s="333"/>
      <c r="T137" s="333"/>
      <c r="U137" s="333"/>
      <c r="V137" s="333"/>
      <c r="W137" s="333"/>
      <c r="X137" s="333"/>
      <c r="Y137" s="333"/>
      <c r="Z137" s="333"/>
      <c r="AA137" s="333"/>
      <c r="AB137" s="333"/>
      <c r="AC137" s="333"/>
      <c r="AD137" s="333"/>
      <c r="AE137" s="333"/>
      <c r="AF137" s="333"/>
      <c r="AG137" s="333"/>
      <c r="AH137" s="333"/>
      <c r="AI137" s="333"/>
      <c r="AJ137" s="333"/>
      <c r="AK137" s="333"/>
      <c r="AL137" s="333"/>
      <c r="AM137" s="333"/>
      <c r="AN137" s="333"/>
      <c r="AO137" s="333"/>
      <c r="AP137" s="333"/>
      <c r="AQ137" s="333"/>
      <c r="AR137" s="333"/>
      <c r="AS137" s="333"/>
      <c r="AT137" s="333"/>
      <c r="AU137" s="333"/>
      <c r="AV137" s="333"/>
      <c r="AW137" s="333"/>
      <c r="AX137" s="333"/>
      <c r="AY137" s="333"/>
      <c r="AZ137" s="333"/>
      <c r="BA137" s="333"/>
      <c r="BB137" s="333"/>
      <c r="BC137" s="333"/>
      <c r="BD137" s="333"/>
      <c r="BE137" s="333"/>
      <c r="BF137" s="333"/>
      <c r="BG137" s="333"/>
      <c r="BH137" s="333"/>
      <c r="BI137" s="333"/>
      <c r="BJ137" s="333"/>
      <c r="BK137" s="333"/>
      <c r="BL137" s="333"/>
      <c r="BM137" s="333"/>
      <c r="BN137" s="333"/>
      <c r="BO137" s="333"/>
      <c r="BP137" s="333"/>
      <c r="BQ137" s="333"/>
      <c r="BR137" s="333"/>
      <c r="BS137" s="333"/>
      <c r="BT137" s="333"/>
      <c r="BU137" s="333"/>
      <c r="BV137" s="333"/>
      <c r="BW137" s="333"/>
      <c r="BX137" s="333"/>
      <c r="BY137" s="333"/>
      <c r="BZ137" s="333"/>
      <c r="CA137" s="333"/>
      <c r="CB137" s="333"/>
      <c r="CC137" s="333"/>
      <c r="CD137" s="333"/>
      <c r="CE137" s="333"/>
      <c r="CF137" s="333"/>
      <c r="CG137" s="333"/>
      <c r="CH137" s="333"/>
      <c r="CI137" s="333"/>
      <c r="CJ137" s="333"/>
      <c r="CK137" s="333"/>
      <c r="CL137" s="333"/>
      <c r="CM137" s="333"/>
      <c r="CN137" s="333"/>
      <c r="CO137" s="333"/>
      <c r="CP137" s="333"/>
      <c r="CQ137" s="333"/>
      <c r="CR137" s="333"/>
      <c r="CS137" s="333"/>
      <c r="CT137" s="333"/>
      <c r="CU137" s="333"/>
      <c r="CV137" s="333"/>
      <c r="CW137" s="333"/>
      <c r="CX137" s="333"/>
      <c r="CY137" s="333"/>
      <c r="CZ137" s="333"/>
      <c r="DA137" s="333"/>
      <c r="DB137" s="333"/>
      <c r="DC137" s="333"/>
      <c r="DD137" s="333"/>
      <c r="DE137" s="333"/>
      <c r="DF137" s="333"/>
      <c r="DG137" s="333"/>
      <c r="DH137" s="333"/>
      <c r="DI137" s="333"/>
      <c r="DJ137" s="333"/>
      <c r="DK137" s="333"/>
      <c r="DL137" s="333"/>
      <c r="DM137" s="333"/>
      <c r="DN137" s="333"/>
      <c r="DO137" s="333"/>
      <c r="DP137" s="333"/>
      <c r="DQ137" s="333"/>
      <c r="DR137" s="333"/>
      <c r="DS137" s="333"/>
      <c r="DT137" s="333"/>
      <c r="DU137" s="373"/>
      <c r="DV137" s="373"/>
      <c r="DW137" s="373"/>
      <c r="DX137" s="373"/>
      <c r="DY137" s="373"/>
      <c r="DZ137" s="373"/>
      <c r="EA137" s="373"/>
      <c r="EB137" s="373"/>
      <c r="EC137" s="769" t="str">
        <f t="shared" si="190"/>
        <v/>
      </c>
      <c r="ED137" s="889" t="str">
        <f t="shared" si="191"/>
        <v/>
      </c>
      <c r="EE137" s="890"/>
      <c r="EF137" s="476" t="str">
        <f>GF287</f>
        <v/>
      </c>
      <c r="EG137" s="889" t="str">
        <f t="shared" si="192"/>
        <v/>
      </c>
      <c r="EH137" s="890"/>
      <c r="EI137" s="506" t="str">
        <f>GM287</f>
        <v/>
      </c>
      <c r="EJ137" s="373"/>
      <c r="EK137" s="373"/>
      <c r="EL137" s="366"/>
      <c r="EM137" s="366"/>
      <c r="EN137" s="364">
        <f>+EN131+1</f>
        <v>15</v>
      </c>
      <c r="EO137" s="356">
        <f>+VLOOKUP(EN137, PRECIOS_EJERCICIOS,  2,FALSE)</f>
        <v>200</v>
      </c>
      <c r="EP137" s="513" t="str">
        <f>+IF($AQ$49 = FALSE, "",
IF(VLOOKUP(EO137, basesCantPrimaBrutoRes, 2,FALSE) &gt;= 0, VLOOKUP(EO137, basesCantPrimaBrutoRes, 2,FALSE), 0))</f>
        <v/>
      </c>
      <c r="EQ137" s="514" t="str">
        <f>+IF($AQ$49 = FALSE, "",
IF(VLOOKUP(EO137, basesCantPrimaBrutoRes, 2,FALSE) &lt; 0, -VLOOKUP(EO137, basesCantPrimaBrutoRes, 2,FALSE), 0))</f>
        <v/>
      </c>
      <c r="ER137" s="521" t="str">
        <f>IF($AQ$49 = FALSE, "",
VLOOKUP(EO137, basesCantPrimaBrutoRes, 4,FALSE))</f>
        <v/>
      </c>
      <c r="ES137" s="926">
        <f>IF(ER137 = "", 0,
IF(AND(EP137 &gt; 0, EQ137 &gt;0), 0, IF(EO137 &lt;&gt; $Z$1,
IF(AND(EP137 &lt;&gt; "", EP137 &lt;&gt; 0), -(EP137 * ER137 * 100),
IF(AND(EQ137 &lt;&gt; "", EQ137 &lt;&gt; 0), (EQ137 * ER137 * 100), 0)),
IF(AND(EP137 &lt;&gt; "", EP137 &lt;&gt; 0), -(EP137 * ER137 * 1),
IF(AND(EQ137 &lt;&gt; "", EQ137 &lt;&gt; 0), (EQ137 * ER137 * 1), 0))  )))</f>
        <v>0</v>
      </c>
      <c r="ET137" s="927"/>
      <c r="EU137" s="928"/>
      <c r="EV137" s="926">
        <f>IF(ER137 = "", 0,
IF(AND(EP137 &gt; 0, EQ137 &gt;0), 0,  IF(EO137 &lt;&gt; $Z$1,
IF(AND(EP137 &lt;&gt; "", EP137 &lt;&gt; 0), -(EP137 * ER137 * 100 * (1 + COMIS_OPCION)),
IF(AND(EQ137 &lt;&gt; "", EQ137 &lt;&gt; 0), (EQ137 * ER137 * 100 * (1 - COMIS_OPCION)), 0)),
IF(AND(EP137 &lt;&gt; "", EP137 &lt;&gt; 0), -(EP137 * ER137 * 1 * (1 + COMIS_ACCION)),
IF(AND(EQ137 &lt;&gt; "", EQ137 &lt;&gt; 0), (EQ137 * ER137 * 1 * (1 - COMIS_ACCION)), 0))  )))</f>
        <v>0</v>
      </c>
      <c r="EW137" s="927"/>
      <c r="EX137" s="927"/>
      <c r="EY137" s="927"/>
      <c r="EZ137" s="927"/>
      <c r="FA137" s="927"/>
      <c r="FB137" s="927"/>
      <c r="FC137" s="927"/>
      <c r="FD137" s="929"/>
      <c r="FE137" s="340"/>
      <c r="FF137" s="340"/>
      <c r="FG137" s="364"/>
      <c r="FH137" s="364">
        <f>+FH131+1</f>
        <v>15</v>
      </c>
      <c r="FI137" s="357">
        <f>+VLOOKUP(FH137, PRECIOS_EJERCICIOS,  2,FALSE)</f>
        <v>200</v>
      </c>
      <c r="FJ137" s="515" t="str">
        <f>+IF($AQ$49 = FALSE, "",
IF(VLOOKUP(EO137, basesCantPrimaBrutoRes, 5,FALSE) &gt;= 0, VLOOKUP(EO137, basesCantPrimaBrutoRes, 5,FALSE), 0))</f>
        <v/>
      </c>
      <c r="FK137" s="516" t="str">
        <f>+IF($AQ$49 = FALSE, "",
IF(VLOOKUP(EO137, basesCantPrimaBrutoRes, 5,FALSE) &lt; 0, -VLOOKUP(EO137, basesCantPrimaBrutoRes, 5,FALSE), 0))</f>
        <v/>
      </c>
      <c r="FL137" s="517" t="str">
        <f>IF($AQ$49 = FALSE, "",
VLOOKUP(EO137, basesCantPrimaBrutoRes, 7,FALSE))</f>
        <v/>
      </c>
      <c r="FM137" s="934">
        <f>IF(FL137 = "", 0,
IF(AND(FJ137 &gt; 0, FK137 &gt;0), 0,
IF(AND(FJ137 &lt;&gt; "", FJ137 &lt;&gt; 0), -(FJ137 * FL137 * 100),
IF(AND(FK137 &lt;&gt; "", FK137 &lt;&gt; 0), (FK137 * FL137 * 100), 0)) ))</f>
        <v>0</v>
      </c>
      <c r="FN137" s="935"/>
      <c r="FO137" s="936"/>
      <c r="FP137" s="934">
        <f>IF(FL137 = "", 0,
IF(AND(FJ137 &gt; 0, FK137 &gt;0), 0,
IF(AND(FJ137 &lt;&gt; "", FJ137 &lt;&gt; 0), -(FJ137 * FL137 * 100 * (1 + COMIS_OPCION)),
IF(AND(FK137 &lt;&gt; "", FK137 &lt;&gt; 0), (FK137 * FL137 * 100 * (1 - COMIS_OPCION)), 0)) ))</f>
        <v>0</v>
      </c>
      <c r="FQ137" s="935"/>
      <c r="FR137" s="935"/>
      <c r="FS137" s="935"/>
      <c r="FT137" s="935"/>
      <c r="FU137" s="935"/>
      <c r="FV137" s="935"/>
      <c r="FW137" s="935"/>
      <c r="FX137" s="966"/>
      <c r="FY137" s="341"/>
      <c r="FZ137" s="341"/>
      <c r="GA137" s="341"/>
      <c r="GB137" s="495">
        <f>+IF(EN137 = "", "", EO137)</f>
        <v>200</v>
      </c>
      <c r="GC137" s="495" t="str">
        <f>+IF(GB137="", "", IF(EO137 = $Z$1, "ACCION", "CALL"))</f>
        <v>CALL</v>
      </c>
      <c r="GD137" s="500"/>
      <c r="GE137" s="495">
        <f>+IF(GB137= "", "", EO139)</f>
        <v>0</v>
      </c>
      <c r="GF137" s="495">
        <f>+IF(GB137 = "", "", IFERROR(IF(GB137 &lt;&gt; $Z$1,
IF(GE137 &gt; 0, SUMIFS(ES137:ES141, EP137:EP141, "&gt;0", ES137:ES141, "&lt;&gt;0") / SUMIFS(EP137:EP141, EP137:EP141, "&gt;0", ES137:ES141, "&lt;&gt;0") / -100,
IF(GE137 &lt; 0, SUMIFS(ES137:ES141, EQ137:EQ141, "&gt;0", ES137:ES141, "&lt;&gt;0") / SUMIFS(EQ137:EQ141, EQ137:EQ141, "&gt;0", ES137:ES141, "&lt;&gt;0") / 100, 0)),
IF(GE137 &gt; 0, SUMIFS(ES137:ES141, EP137:EP141, "&gt;0", ES137:ES141, "&lt;&gt;0") / SUMIFS(EP137:EP141, EP137:EP141, "&gt;0", ES137:ES141, "&lt;&gt;0") / -1,
IF(GE137 &lt; 0, SUMIFS(ES137:ES141, EQ137:EQ141, "&gt;0", ES137:ES141, "&lt;&gt;0") / SUMIFS(EQ137:EQ141, EQ137:EQ141, "&gt;0", ES137:ES141, "&lt;&gt;0") / 1, 0)) ), 0))</f>
        <v>0</v>
      </c>
      <c r="GG137" s="495">
        <f>+IF(GB137 = "", "", IFERROR(IF(GB137 &lt;&gt; $Z$1,
IF(GE137 &gt; 0, SUMIFS(EV137:EV141, EP137:EP141, "&gt;0", EV137:EV141, "&lt;&gt;0") / SUMIFS(EP137:EP141, EP137:EP141, "&gt;0", EV137:EV141, "&lt;&gt;0") / -100,
IF(GE137 &lt; 0, SUMIFS(EV137:EV141, EQ137:EQ141, "&gt;0", EV137:EV141, "&lt;&gt;0") / SUMIFS(EQ137:EQ141, EQ137:EQ141, "&gt;0", EV137:EV141, "&lt;&gt;0") / 100, 0)),
IF(GE137 &gt; 0, SUMIFS(EV137:EV141, EP137:EP141, "&gt;0", EV137:EV141, "&lt;&gt;0") / SUMIFS(EP137:EP141, EP137:EP141, "&gt;0", EV137:EV141, "&lt;&gt;0") / -1,
IF(GE137 &lt; 0, SUMIFS(EV137:EV141, EQ137:EQ141, "&gt;0", EV137:EV141, "&lt;&gt;0") / SUMIFS(EQ137:EQ141, EQ137:EQ141, "&gt;0", EV137:EV141, "&lt;&gt;0") / 1, 0)) ), 0))</f>
        <v>0</v>
      </c>
      <c r="GH137" s="359"/>
      <c r="GI137" s="359"/>
      <c r="GJ137" s="501"/>
      <c r="GK137" s="495" t="str">
        <f>+IF(GB137="", "", "PUT")</f>
        <v>PUT</v>
      </c>
      <c r="GL137" s="495">
        <f>+IF(GB137 = "", "", FI139)</f>
        <v>0</v>
      </c>
      <c r="GM137" s="495">
        <f>+IF(GB137 = "", "", IFERROR(
IF(FI139 &gt; 0, SUMIFS(FM137:FM141, FJ137:FJ141, "&gt;0", FM137:FM141, "&lt;&gt;0") / SUMIFS(FJ137:FJ141, FJ137:FJ141, "&gt;0", FM137:FM141, "&lt;&gt;0") / -100,
IF(FI139 &lt; 0, SUMIFS(FM137:FM141, FK137:FK141, "&gt;0", FM137:FM141, "&lt;&gt;0") / SUMIFS(FK137:FK141, FK137:FK141, "&gt;0", FM137:FM141, "&lt;&gt;0") / 100, 0)), 0) )</f>
        <v>0</v>
      </c>
      <c r="GN137" s="359"/>
      <c r="GO137" s="359"/>
      <c r="GP137" s="501"/>
      <c r="GQ137" s="502">
        <f>+IF(GB137 = "", "", IFERROR(
IF(FI139 &gt; 0, SUMIFS(FP137:FP141, FJ137:FJ141, "&gt;0", FP137:FP141, "&lt;&gt;0") / SUMIFS(FJ137:FJ141, FJ137:FJ141, "&gt;0", FP137:FP141, "&lt;&gt;0") / -100,
IF(FI139 &lt; 0, SUMIFS(FP137:FP141, FK137:FK141, "&gt;0", FP137:FP141, "&lt;&gt;0") / SUMIFS(FK137:FK141, FK137:FK141, "&gt;0", FP137:FP141, "&lt;&gt;0") / 100, 0)), 0))</f>
        <v>0</v>
      </c>
      <c r="GR137" s="373"/>
      <c r="GS137" s="333"/>
      <c r="GT137" s="333"/>
      <c r="GU137" s="333"/>
      <c r="GV137" s="333"/>
      <c r="GW137" s="333"/>
      <c r="GX137" s="333"/>
      <c r="GY137" s="333"/>
      <c r="GZ137" s="333"/>
      <c r="HA137" s="333"/>
      <c r="HB137" s="333"/>
      <c r="HC137" s="333"/>
      <c r="HD137" s="333"/>
      <c r="HE137" s="333"/>
      <c r="HF137" s="333"/>
      <c r="HG137" s="331"/>
      <c r="HH137" s="331"/>
      <c r="HI137" s="331"/>
      <c r="HJ137" s="331"/>
      <c r="HK137" s="331"/>
      <c r="HL137" s="331"/>
      <c r="HM137" s="331"/>
      <c r="HN137" s="333"/>
      <c r="HO137" s="333"/>
      <c r="HP137" s="333"/>
      <c r="HQ137" s="333"/>
      <c r="HR137" s="333"/>
      <c r="HS137" s="333"/>
      <c r="HT137" s="333"/>
      <c r="HU137" s="333"/>
      <c r="HV137" s="333"/>
      <c r="HW137" s="333"/>
      <c r="HX137" s="333"/>
      <c r="HY137" s="333"/>
      <c r="HZ137" s="333"/>
      <c r="IA137" s="333"/>
      <c r="IB137" s="333"/>
      <c r="IC137" s="333"/>
      <c r="ID137" s="55"/>
      <c r="IE137" s="47"/>
    </row>
    <row r="138" spans="13:240" s="142" customFormat="1" ht="15" customHeight="1">
      <c r="M138" s="333"/>
      <c r="N138" s="333"/>
      <c r="O138" s="333"/>
      <c r="P138" s="333"/>
      <c r="Q138" s="333"/>
      <c r="R138" s="333"/>
      <c r="S138" s="333"/>
      <c r="T138" s="333"/>
      <c r="U138" s="333"/>
      <c r="V138" s="333"/>
      <c r="W138" s="333"/>
      <c r="X138" s="333"/>
      <c r="Y138" s="333"/>
      <c r="Z138" s="333"/>
      <c r="AA138" s="333"/>
      <c r="AB138" s="333"/>
      <c r="AC138" s="333"/>
      <c r="AD138" s="333"/>
      <c r="AE138" s="333"/>
      <c r="AF138" s="333"/>
      <c r="AG138" s="333"/>
      <c r="AH138" s="333"/>
      <c r="AI138" s="333"/>
      <c r="AJ138" s="333"/>
      <c r="AK138" s="333"/>
      <c r="AL138" s="333"/>
      <c r="AM138" s="333"/>
      <c r="AN138" s="333"/>
      <c r="AO138" s="333"/>
      <c r="AP138" s="333"/>
      <c r="AQ138" s="333"/>
      <c r="AR138" s="333"/>
      <c r="AS138" s="333"/>
      <c r="AT138" s="333"/>
      <c r="AU138" s="333"/>
      <c r="AV138" s="333"/>
      <c r="AW138" s="333"/>
      <c r="AX138" s="333"/>
      <c r="AY138" s="333"/>
      <c r="AZ138" s="333"/>
      <c r="BA138" s="333"/>
      <c r="BB138" s="333"/>
      <c r="BC138" s="333"/>
      <c r="BD138" s="333"/>
      <c r="BE138" s="333"/>
      <c r="BF138" s="333"/>
      <c r="BG138" s="333"/>
      <c r="BH138" s="333"/>
      <c r="BI138" s="333"/>
      <c r="BJ138" s="333"/>
      <c r="BK138" s="333"/>
      <c r="BL138" s="333"/>
      <c r="BM138" s="333"/>
      <c r="BN138" s="333"/>
      <c r="BO138" s="333"/>
      <c r="BP138" s="333"/>
      <c r="BQ138" s="333"/>
      <c r="BR138" s="333"/>
      <c r="BS138" s="333"/>
      <c r="BT138" s="333"/>
      <c r="BU138" s="333"/>
      <c r="BV138" s="333"/>
      <c r="BW138" s="333"/>
      <c r="BX138" s="333"/>
      <c r="BY138" s="333"/>
      <c r="BZ138" s="333"/>
      <c r="CA138" s="333"/>
      <c r="CB138" s="333"/>
      <c r="CC138" s="333"/>
      <c r="CD138" s="333"/>
      <c r="CE138" s="333"/>
      <c r="CF138" s="333"/>
      <c r="CG138" s="333"/>
      <c r="CH138" s="333"/>
      <c r="CI138" s="333"/>
      <c r="CJ138" s="333"/>
      <c r="CK138" s="333"/>
      <c r="CL138" s="333"/>
      <c r="CM138" s="333"/>
      <c r="CN138" s="333"/>
      <c r="CO138" s="333"/>
      <c r="CP138" s="333"/>
      <c r="CQ138" s="333"/>
      <c r="CR138" s="333"/>
      <c r="CS138" s="333"/>
      <c r="CT138" s="333"/>
      <c r="CU138" s="333"/>
      <c r="CV138" s="333"/>
      <c r="CW138" s="333"/>
      <c r="CX138" s="333"/>
      <c r="CY138" s="333"/>
      <c r="CZ138" s="333"/>
      <c r="DA138" s="333"/>
      <c r="DB138" s="333"/>
      <c r="DC138" s="333"/>
      <c r="DD138" s="333"/>
      <c r="DE138" s="333"/>
      <c r="DF138" s="333"/>
      <c r="DG138" s="333"/>
      <c r="DH138" s="333"/>
      <c r="DI138" s="333"/>
      <c r="DJ138" s="333"/>
      <c r="DK138" s="333"/>
      <c r="DL138" s="333"/>
      <c r="DM138" s="333"/>
      <c r="DN138" s="333"/>
      <c r="DO138" s="333"/>
      <c r="DP138" s="333"/>
      <c r="DQ138" s="333"/>
      <c r="DR138" s="333"/>
      <c r="DS138" s="333"/>
      <c r="DT138" s="333"/>
      <c r="DU138" s="373"/>
      <c r="DV138" s="373"/>
      <c r="DW138" s="373"/>
      <c r="DX138" s="373"/>
      <c r="DY138" s="373"/>
      <c r="DZ138" s="373"/>
      <c r="EA138" s="373"/>
      <c r="EB138" s="373"/>
      <c r="EC138" s="769" t="str">
        <f t="shared" si="190"/>
        <v/>
      </c>
      <c r="ED138" s="889" t="str">
        <f t="shared" si="191"/>
        <v/>
      </c>
      <c r="EE138" s="890"/>
      <c r="EF138" s="476" t="str">
        <f>GF293</f>
        <v/>
      </c>
      <c r="EG138" s="889" t="str">
        <f t="shared" si="192"/>
        <v/>
      </c>
      <c r="EH138" s="890"/>
      <c r="EI138" s="506" t="str">
        <f>GM293</f>
        <v/>
      </c>
      <c r="EJ138" s="373"/>
      <c r="EK138" s="373"/>
      <c r="EL138" s="366"/>
      <c r="EM138" s="366"/>
      <c r="EN138" s="364"/>
      <c r="EO138" s="351"/>
      <c r="EP138" s="775"/>
      <c r="EQ138" s="774"/>
      <c r="ER138" s="522"/>
      <c r="ES138" s="916">
        <f>IF(ER138 = "", 0,
IF(AND(EP138 &gt; 0, EQ138 &gt;0), 0, IF(EO137 &lt;&gt; $Z$1,
IF(AND(EP138 &lt;&gt; "", EP138 &lt;&gt; 0), -(EP138 * ER138 * 100),
IF(AND(EQ138 &lt;&gt; "", EQ138 &lt;&gt; 0), (EQ138 * ER138 * 100), 0)),
IF(AND(EP138 &lt;&gt; "", EP138 &lt;&gt; 0), -(EP138 * ER138 * 1),
IF(AND(EQ138 &lt;&gt; "", EQ138 &lt;&gt; 0), (EQ138 * ER138 * 1), 0))  )))</f>
        <v>0</v>
      </c>
      <c r="ET138" s="917"/>
      <c r="EU138" s="918"/>
      <c r="EV138" s="916">
        <f>IF(ER138 = "", 0,
IF(AND(EP138 &gt; 0, EQ138 &gt;0), 0,  IF(EO137 &lt;&gt; $Z$1,
IF(AND(EP138 &lt;&gt; "", EP138 &lt;&gt; 0), -(EP138 * ER138 * 100 * (1 + COMIS_OPCION)),
IF(AND(EQ138 &lt;&gt; "", EQ138 &lt;&gt; 0), (EQ138 * ER138 * 100 * (1 - COMIS_OPCION)), 0)),
IF(AND(EP138 &lt;&gt; "", EP138 &lt;&gt; 0), -(EP138 * ER138 * 1 * (1 + COMIS_ACCION)),
IF(AND(EQ138 &lt;&gt; "", EQ138 &lt;&gt; 0), (EQ138 * ER138 * 1 * (1 - COMIS_ACCION)), 0))  )))</f>
        <v>0</v>
      </c>
      <c r="EW138" s="917"/>
      <c r="EX138" s="917"/>
      <c r="EY138" s="917"/>
      <c r="EZ138" s="917"/>
      <c r="FA138" s="917"/>
      <c r="FB138" s="917"/>
      <c r="FC138" s="917"/>
      <c r="FD138" s="925"/>
      <c r="FE138" s="340"/>
      <c r="FF138" s="340"/>
      <c r="FG138" s="364"/>
      <c r="FH138" s="364"/>
      <c r="FI138" s="339"/>
      <c r="FJ138" s="347"/>
      <c r="FK138" s="342"/>
      <c r="FL138" s="343"/>
      <c r="FM138" s="930">
        <f>IF(FL138 = "", 0,
IF(AND(FJ138 &gt; 0, FK138 &gt;0), 0,
IF(AND(FJ138 &lt;&gt; "", FJ138 &lt;&gt; 0), -(FJ138 * FL138 * 100),
IF(AND(FK138 &lt;&gt; "", FK138 &lt;&gt; 0), (FK138 * FL138 * 100), 0)) ))</f>
        <v>0</v>
      </c>
      <c r="FN138" s="931"/>
      <c r="FO138" s="932"/>
      <c r="FP138" s="930">
        <f>IF(FL138 = "", 0,
IF(AND(FJ138 &gt; 0, FK138 &gt;0), 0,
IF(AND(FJ138 &lt;&gt; "", FJ138 &lt;&gt; 0), -(FJ138 * FL138 * 100 * (1 + COMIS_OPCION)),
IF(AND(FK138 &lt;&gt; "", FK138 &lt;&gt; 0), (FK138 * FL138 * 100 * (1 - COMIS_OPCION)), 0)) ))</f>
        <v>0</v>
      </c>
      <c r="FQ138" s="931"/>
      <c r="FR138" s="931"/>
      <c r="FS138" s="931"/>
      <c r="FT138" s="931"/>
      <c r="FU138" s="931"/>
      <c r="FV138" s="931"/>
      <c r="FW138" s="931"/>
      <c r="FX138" s="933"/>
      <c r="FY138" s="341"/>
      <c r="FZ138" s="341"/>
      <c r="GA138" s="341"/>
      <c r="GB138" s="495">
        <v>0</v>
      </c>
      <c r="GC138" s="495">
        <v>0</v>
      </c>
      <c r="GD138" s="500"/>
      <c r="GE138" s="495">
        <v>0</v>
      </c>
      <c r="GF138" s="495">
        <v>0</v>
      </c>
      <c r="GG138" s="495">
        <v>0</v>
      </c>
      <c r="GH138" s="359"/>
      <c r="GI138" s="359"/>
      <c r="GJ138" s="501"/>
      <c r="GK138" s="495">
        <v>0</v>
      </c>
      <c r="GL138" s="495">
        <v>0</v>
      </c>
      <c r="GM138" s="495">
        <v>0</v>
      </c>
      <c r="GN138" s="359"/>
      <c r="GO138" s="359"/>
      <c r="GP138" s="501"/>
      <c r="GQ138" s="495">
        <v>0</v>
      </c>
      <c r="GR138" s="373"/>
      <c r="GS138" s="333"/>
      <c r="GT138" s="333"/>
      <c r="GU138" s="333"/>
      <c r="GV138" s="333"/>
      <c r="GW138" s="333"/>
      <c r="GX138" s="333"/>
      <c r="GY138" s="333"/>
      <c r="GZ138" s="333"/>
      <c r="HA138" s="333"/>
      <c r="HB138" s="333"/>
      <c r="HC138" s="333"/>
      <c r="HD138" s="333"/>
      <c r="HE138" s="333"/>
      <c r="HF138" s="333"/>
      <c r="HG138" s="331"/>
      <c r="HH138" s="331"/>
      <c r="HI138" s="331"/>
      <c r="HJ138" s="331"/>
      <c r="HK138" s="331"/>
      <c r="HL138" s="331"/>
      <c r="HM138" s="331"/>
      <c r="HN138" s="333"/>
      <c r="HO138" s="333"/>
      <c r="HP138" s="333"/>
      <c r="HQ138" s="333"/>
      <c r="HR138" s="333"/>
      <c r="HS138" s="333"/>
      <c r="HT138" s="333"/>
      <c r="HU138" s="333"/>
      <c r="HV138" s="333"/>
      <c r="HW138" s="333"/>
      <c r="HX138" s="333"/>
      <c r="HY138" s="333"/>
      <c r="HZ138" s="333"/>
      <c r="IA138" s="333"/>
      <c r="IB138" s="333"/>
      <c r="IC138" s="333"/>
      <c r="ID138" s="55"/>
      <c r="IE138" s="47"/>
    </row>
    <row r="139" spans="13:240" s="142" customFormat="1" ht="15" customHeight="1" thickBot="1">
      <c r="M139" s="333"/>
      <c r="N139" s="333"/>
      <c r="O139" s="333"/>
      <c r="P139" s="333"/>
      <c r="Q139" s="333"/>
      <c r="R139" s="333"/>
      <c r="S139" s="333"/>
      <c r="T139" s="333"/>
      <c r="U139" s="333"/>
      <c r="V139" s="333"/>
      <c r="W139" s="333"/>
      <c r="X139" s="333"/>
      <c r="Y139" s="333"/>
      <c r="Z139" s="333"/>
      <c r="AA139" s="333"/>
      <c r="AB139" s="333"/>
      <c r="AC139" s="333"/>
      <c r="AD139" s="333"/>
      <c r="AE139" s="333"/>
      <c r="AF139" s="333"/>
      <c r="AG139" s="333"/>
      <c r="AH139" s="333"/>
      <c r="AI139" s="333"/>
      <c r="AJ139" s="333"/>
      <c r="AK139" s="333"/>
      <c r="AL139" s="333"/>
      <c r="AM139" s="333"/>
      <c r="AN139" s="333"/>
      <c r="AO139" s="333"/>
      <c r="AP139" s="333"/>
      <c r="AQ139" s="333"/>
      <c r="AR139" s="333"/>
      <c r="AS139" s="333"/>
      <c r="AT139" s="333"/>
      <c r="AU139" s="333"/>
      <c r="AV139" s="333"/>
      <c r="AW139" s="333"/>
      <c r="AX139" s="333"/>
      <c r="AY139" s="333"/>
      <c r="AZ139" s="333"/>
      <c r="BA139" s="333"/>
      <c r="BB139" s="333"/>
      <c r="BC139" s="333"/>
      <c r="BD139" s="333"/>
      <c r="BE139" s="333"/>
      <c r="BF139" s="333"/>
      <c r="BG139" s="333"/>
      <c r="BH139" s="333"/>
      <c r="BI139" s="333"/>
      <c r="BJ139" s="333"/>
      <c r="BK139" s="333"/>
      <c r="BL139" s="333"/>
      <c r="BM139" s="333"/>
      <c r="BN139" s="333"/>
      <c r="BO139" s="333"/>
      <c r="BP139" s="333"/>
      <c r="BQ139" s="333"/>
      <c r="BR139" s="333"/>
      <c r="BS139" s="333"/>
      <c r="BT139" s="333"/>
      <c r="BU139" s="333"/>
      <c r="BV139" s="333"/>
      <c r="BW139" s="333"/>
      <c r="BX139" s="333"/>
      <c r="BY139" s="333"/>
      <c r="BZ139" s="333"/>
      <c r="CA139" s="333"/>
      <c r="CB139" s="333"/>
      <c r="CC139" s="333"/>
      <c r="CD139" s="333"/>
      <c r="CE139" s="333"/>
      <c r="CF139" s="333"/>
      <c r="CG139" s="333"/>
      <c r="CH139" s="333"/>
      <c r="CI139" s="333"/>
      <c r="CJ139" s="333"/>
      <c r="CK139" s="333"/>
      <c r="CL139" s="333"/>
      <c r="CM139" s="333"/>
      <c r="CN139" s="333"/>
      <c r="CO139" s="333"/>
      <c r="CP139" s="333"/>
      <c r="CQ139" s="333"/>
      <c r="CR139" s="333"/>
      <c r="CS139" s="333"/>
      <c r="CT139" s="333"/>
      <c r="CU139" s="333"/>
      <c r="CV139" s="333"/>
      <c r="CW139" s="333"/>
      <c r="CX139" s="333"/>
      <c r="CY139" s="333"/>
      <c r="CZ139" s="333"/>
      <c r="DA139" s="333"/>
      <c r="DB139" s="333"/>
      <c r="DC139" s="333"/>
      <c r="DD139" s="333"/>
      <c r="DE139" s="333"/>
      <c r="DF139" s="333"/>
      <c r="DG139" s="333"/>
      <c r="DH139" s="333"/>
      <c r="DI139" s="333"/>
      <c r="DJ139" s="333"/>
      <c r="DK139" s="333"/>
      <c r="DL139" s="333"/>
      <c r="DM139" s="333"/>
      <c r="DN139" s="333"/>
      <c r="DO139" s="333"/>
      <c r="DP139" s="333"/>
      <c r="DQ139" s="333"/>
      <c r="DR139" s="333"/>
      <c r="DS139" s="333"/>
      <c r="DT139" s="333"/>
      <c r="DU139" s="373"/>
      <c r="DV139" s="373"/>
      <c r="DW139" s="373"/>
      <c r="DX139" s="373"/>
      <c r="DY139" s="373"/>
      <c r="DZ139" s="373"/>
      <c r="EA139" s="373"/>
      <c r="EB139" s="373"/>
      <c r="EC139" s="507" t="str">
        <f t="shared" si="190"/>
        <v>GGAL</v>
      </c>
      <c r="ED139" s="900">
        <f t="shared" si="191"/>
        <v>0</v>
      </c>
      <c r="EE139" s="901"/>
      <c r="EF139" s="508">
        <f>GF299</f>
        <v>0</v>
      </c>
      <c r="EG139" s="900">
        <f t="shared" si="192"/>
        <v>0</v>
      </c>
      <c r="EH139" s="901"/>
      <c r="EI139" s="509">
        <f>GM299</f>
        <v>0</v>
      </c>
      <c r="EJ139" s="373"/>
      <c r="EK139" s="373"/>
      <c r="EL139" s="366"/>
      <c r="EM139" s="368"/>
      <c r="EN139" s="364"/>
      <c r="EO139" s="352">
        <f>+SUM(EP137:EP141) - SUM(EQ137:EQ141)</f>
        <v>0</v>
      </c>
      <c r="EP139" s="347"/>
      <c r="EQ139" s="815"/>
      <c r="ER139" s="816"/>
      <c r="ES139" s="916">
        <f>IF(ER139 = "", 0,
IF(AND(EP139 &gt; 0, EQ139 &gt;0), 0, IF(EO137 &lt;&gt; $Z$1,
IF(AND(EP139 &lt;&gt; "", EP139 &lt;&gt; 0), -(EP139 * ER139 * 100),
IF(AND(EQ139 &lt;&gt; "", EQ139 &lt;&gt; 0), (EQ139 * ER139 * 100), 0)),
IF(AND(EP139 &lt;&gt; "", EP139 &lt;&gt; 0), -(EP139 * ER139 * 1),
IF(AND(EQ139 &lt;&gt; "", EQ139 &lt;&gt; 0), (EQ139 * ER139 * 1), 0))  )))</f>
        <v>0</v>
      </c>
      <c r="ET139" s="917"/>
      <c r="EU139" s="918"/>
      <c r="EV139" s="916">
        <f>IF(ER139 = "", 0,
IF(AND(EP139 &gt; 0, EQ139 &gt;0), 0,  IF(EO137 &lt;&gt; $Z$1,
IF(AND(EP139 &lt;&gt; "", EP139 &lt;&gt; 0), -(EP139 * ER139 * 100 * (1 + COMIS_OPCION)),
IF(AND(EQ139 &lt;&gt; "", EQ139 &lt;&gt; 0), (EQ139 * ER139 * 100 * (1 - COMIS_OPCION)), 0)),
IF(AND(EP139 &lt;&gt; "", EP139 &lt;&gt; 0), -(EP139 * ER139 * 1 * (1 + COMIS_ACCION)),
IF(AND(EQ139 &lt;&gt; "", EQ139 &lt;&gt; 0), (EQ139 * ER139 * 1 * (1 - COMIS_ACCION)), 0))  )))</f>
        <v>0</v>
      </c>
      <c r="EW139" s="917"/>
      <c r="EX139" s="917"/>
      <c r="EY139" s="917"/>
      <c r="EZ139" s="917"/>
      <c r="FA139" s="917"/>
      <c r="FB139" s="917"/>
      <c r="FC139" s="917"/>
      <c r="FD139" s="925"/>
      <c r="FE139" s="340"/>
      <c r="FF139" s="340"/>
      <c r="FG139" s="365"/>
      <c r="FH139" s="365"/>
      <c r="FI139" s="354">
        <f>+SUM(FJ137:FJ141) - SUM(FK137:FK141)</f>
        <v>0</v>
      </c>
      <c r="FJ139" s="347"/>
      <c r="FK139" s="342"/>
      <c r="FL139" s="343"/>
      <c r="FM139" s="930">
        <f>IF(FL139 = "", 0,
IF(AND(FJ139 &gt; 0, FK139 &gt;0), 0,
IF(AND(FJ139 &lt;&gt; "", FJ139 &lt;&gt; 0), -(FJ139 * FL139 * 100),
IF(AND(FK139 &lt;&gt; "", FK139 &lt;&gt; 0), (FK139 * FL139 * 100), 0)) ))</f>
        <v>0</v>
      </c>
      <c r="FN139" s="931"/>
      <c r="FO139" s="932"/>
      <c r="FP139" s="930">
        <f>IF(FL139 = "", 0,
IF(AND(FJ139 &gt; 0, FK139 &gt;0), 0,
IF(AND(FJ139 &lt;&gt; "", FJ139 &lt;&gt; 0), -(FJ139 * FL139 * 100 * (1 + COMIS_OPCION)),
IF(AND(FK139 &lt;&gt; "", FK139 &lt;&gt; 0), (FK139 * FL139 * 100 * (1 - COMIS_OPCION)), 0)) ))</f>
        <v>0</v>
      </c>
      <c r="FQ139" s="931"/>
      <c r="FR139" s="931"/>
      <c r="FS139" s="931"/>
      <c r="FT139" s="931"/>
      <c r="FU139" s="931"/>
      <c r="FV139" s="931"/>
      <c r="FW139" s="931"/>
      <c r="FX139" s="933"/>
      <c r="FY139" s="341"/>
      <c r="FZ139" s="341"/>
      <c r="GA139" s="341"/>
      <c r="GB139" s="495">
        <v>0</v>
      </c>
      <c r="GC139" s="495">
        <v>0</v>
      </c>
      <c r="GD139" s="500"/>
      <c r="GE139" s="495">
        <v>0</v>
      </c>
      <c r="GF139" s="495">
        <v>0</v>
      </c>
      <c r="GG139" s="495">
        <v>0</v>
      </c>
      <c r="GH139" s="359"/>
      <c r="GI139" s="359"/>
      <c r="GJ139" s="501"/>
      <c r="GK139" s="495">
        <v>0</v>
      </c>
      <c r="GL139" s="495">
        <v>0</v>
      </c>
      <c r="GM139" s="495">
        <v>0</v>
      </c>
      <c r="GN139" s="359"/>
      <c r="GO139" s="359"/>
      <c r="GP139" s="501"/>
      <c r="GQ139" s="495">
        <v>0</v>
      </c>
      <c r="GR139" s="373"/>
      <c r="GS139" s="333"/>
      <c r="GT139" s="333"/>
      <c r="GU139" s="333"/>
      <c r="GV139" s="333"/>
      <c r="GW139" s="333"/>
      <c r="GX139" s="333"/>
      <c r="GY139" s="333"/>
      <c r="GZ139" s="333"/>
      <c r="HA139" s="333"/>
      <c r="HB139" s="333"/>
      <c r="HC139" s="333"/>
      <c r="HD139" s="333"/>
      <c r="HE139" s="333"/>
      <c r="HF139" s="333"/>
      <c r="HG139" s="331"/>
      <c r="HH139" s="331"/>
      <c r="HI139" s="331"/>
      <c r="HJ139" s="331"/>
      <c r="HK139" s="331"/>
      <c r="HL139" s="331"/>
      <c r="HM139" s="331"/>
      <c r="HN139" s="333"/>
      <c r="HO139" s="333"/>
      <c r="HP139" s="333"/>
      <c r="HQ139" s="333"/>
      <c r="HR139" s="333"/>
      <c r="HS139" s="333"/>
      <c r="HT139" s="333"/>
      <c r="HU139" s="333"/>
      <c r="HV139" s="333"/>
      <c r="HW139" s="333"/>
      <c r="HX139" s="333"/>
      <c r="HY139" s="333"/>
      <c r="HZ139" s="333"/>
      <c r="IA139" s="333"/>
      <c r="IB139" s="333"/>
      <c r="IC139" s="333"/>
      <c r="ID139" s="55"/>
      <c r="IE139" s="47"/>
    </row>
    <row r="140" spans="13:240" s="142" customFormat="1" ht="15" customHeight="1">
      <c r="M140" s="333"/>
      <c r="N140" s="333"/>
      <c r="O140" s="333"/>
      <c r="P140" s="333"/>
      <c r="Q140" s="333"/>
      <c r="R140" s="333"/>
      <c r="S140" s="333"/>
      <c r="T140" s="333"/>
      <c r="U140" s="333"/>
      <c r="V140" s="333"/>
      <c r="W140" s="333"/>
      <c r="X140" s="333"/>
      <c r="Y140" s="333"/>
      <c r="Z140" s="333"/>
      <c r="AA140" s="333"/>
      <c r="AB140" s="333"/>
      <c r="AC140" s="333"/>
      <c r="AD140" s="333"/>
      <c r="AE140" s="333"/>
      <c r="AF140" s="333"/>
      <c r="AG140" s="333"/>
      <c r="AH140" s="333"/>
      <c r="AI140" s="333"/>
      <c r="AJ140" s="333"/>
      <c r="AK140" s="333"/>
      <c r="AL140" s="333"/>
      <c r="AM140" s="333"/>
      <c r="AN140" s="333"/>
      <c r="AO140" s="333"/>
      <c r="AP140" s="333"/>
      <c r="AQ140" s="333"/>
      <c r="AR140" s="333"/>
      <c r="AS140" s="333"/>
      <c r="AT140" s="333"/>
      <c r="AU140" s="333"/>
      <c r="AV140" s="333"/>
      <c r="AW140" s="333"/>
      <c r="AX140" s="333"/>
      <c r="AY140" s="333"/>
      <c r="AZ140" s="333"/>
      <c r="BA140" s="333"/>
      <c r="BB140" s="333"/>
      <c r="BC140" s="333"/>
      <c r="BD140" s="333"/>
      <c r="BE140" s="333"/>
      <c r="BF140" s="333"/>
      <c r="BG140" s="333"/>
      <c r="BH140" s="333"/>
      <c r="BI140" s="333"/>
      <c r="BJ140" s="333"/>
      <c r="BK140" s="333"/>
      <c r="BL140" s="333"/>
      <c r="BM140" s="333"/>
      <c r="BN140" s="333"/>
      <c r="BO140" s="333"/>
      <c r="BP140" s="333"/>
      <c r="BQ140" s="333"/>
      <c r="BR140" s="333"/>
      <c r="BS140" s="333"/>
      <c r="BT140" s="333"/>
      <c r="BU140" s="333"/>
      <c r="BV140" s="333"/>
      <c r="BW140" s="333"/>
      <c r="BX140" s="333"/>
      <c r="BY140" s="333"/>
      <c r="BZ140" s="333"/>
      <c r="CA140" s="333"/>
      <c r="CB140" s="333"/>
      <c r="CC140" s="333"/>
      <c r="CD140" s="333"/>
      <c r="CE140" s="333"/>
      <c r="CF140" s="333"/>
      <c r="CG140" s="333"/>
      <c r="CH140" s="333"/>
      <c r="CI140" s="333"/>
      <c r="CJ140" s="333"/>
      <c r="CK140" s="333"/>
      <c r="CL140" s="333"/>
      <c r="CM140" s="333"/>
      <c r="CN140" s="333"/>
      <c r="CO140" s="333"/>
      <c r="CP140" s="333"/>
      <c r="CQ140" s="333"/>
      <c r="CR140" s="333"/>
      <c r="CS140" s="333"/>
      <c r="CT140" s="333"/>
      <c r="CU140" s="333"/>
      <c r="CV140" s="333"/>
      <c r="CW140" s="333"/>
      <c r="CX140" s="333"/>
      <c r="CY140" s="333"/>
      <c r="CZ140" s="333"/>
      <c r="DA140" s="333"/>
      <c r="DB140" s="333"/>
      <c r="DC140" s="333"/>
      <c r="DD140" s="333"/>
      <c r="DE140" s="333"/>
      <c r="DF140" s="333"/>
      <c r="DG140" s="333"/>
      <c r="DH140" s="333"/>
      <c r="DI140" s="333"/>
      <c r="DJ140" s="333"/>
      <c r="DK140" s="333"/>
      <c r="DL140" s="333"/>
      <c r="DM140" s="333"/>
      <c r="DN140" s="333"/>
      <c r="DO140" s="333"/>
      <c r="DP140" s="333"/>
      <c r="DQ140" s="333"/>
      <c r="DR140" s="333"/>
      <c r="DS140" s="333"/>
      <c r="DT140" s="333"/>
      <c r="DU140" s="373"/>
      <c r="DV140" s="373"/>
      <c r="DW140" s="373"/>
      <c r="DX140" s="373"/>
      <c r="DY140" s="373"/>
      <c r="DZ140" s="373"/>
      <c r="EA140" s="373"/>
      <c r="EB140" s="373"/>
      <c r="EC140" s="359"/>
      <c r="ED140" s="359"/>
      <c r="EE140" s="359"/>
      <c r="EF140" s="359"/>
      <c r="EG140" s="359"/>
      <c r="EH140" s="359"/>
      <c r="EI140" s="359"/>
      <c r="EJ140" s="373"/>
      <c r="EK140" s="373"/>
      <c r="EL140" s="366"/>
      <c r="EM140" s="368"/>
      <c r="EN140" s="364"/>
      <c r="EO140" s="352">
        <f>IF(EO139=0, 0, SUM(EV137:FD141))</f>
        <v>0</v>
      </c>
      <c r="EP140" s="347"/>
      <c r="EQ140" s="815"/>
      <c r="ER140" s="816"/>
      <c r="ES140" s="916">
        <f>IF(ER140 = "", 0,
IF(AND(EP140 &gt; 0, EQ140 &gt;0), 0, IF(EO137 &lt;&gt; $Z$1,
IF(AND(EP140 &lt;&gt; "", EP140 &lt;&gt; 0), -(EP140 * ER140 * 100),
IF(AND(EQ140 &lt;&gt; "", EQ140 &lt;&gt; 0), (EQ140 * ER140 * 100), 0)),
IF(AND(EP140 &lt;&gt; "", EP140 &lt;&gt; 0), -(EP140 * ER140 * 1),
IF(AND(EQ140 &lt;&gt; "", EQ140 &lt;&gt; 0), (EQ140 * ER140 * 1), 0))  )))</f>
        <v>0</v>
      </c>
      <c r="ET140" s="917"/>
      <c r="EU140" s="918"/>
      <c r="EV140" s="916">
        <f>IF(ER140 = "", 0,
IF(AND(EP140 &gt; 0, EQ140 &gt;0), 0,  IF(EO137 &lt;&gt; $Z$1,
IF(AND(EP140 &lt;&gt; "", EP140 &lt;&gt; 0), -(EP140 * ER140 * 100 * (1 + COMIS_OPCION)),
IF(AND(EQ140 &lt;&gt; "", EQ140 &lt;&gt; 0), (EQ140 * ER140 * 100 * (1 - COMIS_OPCION)), 0)),
IF(AND(EP140 &lt;&gt; "", EP140 &lt;&gt; 0), -(EP140 * ER140 * 1 * (1 + COMIS_ACCION)),
IF(AND(EQ140 &lt;&gt; "", EQ140 &lt;&gt; 0), (EQ140 * ER140 * 1 * (1 - COMIS_ACCION)), 0))  )))</f>
        <v>0</v>
      </c>
      <c r="EW140" s="917"/>
      <c r="EX140" s="917"/>
      <c r="EY140" s="917"/>
      <c r="EZ140" s="917"/>
      <c r="FA140" s="917"/>
      <c r="FB140" s="917"/>
      <c r="FC140" s="917"/>
      <c r="FD140" s="925"/>
      <c r="FE140" s="340"/>
      <c r="FF140" s="340"/>
      <c r="FG140" s="365"/>
      <c r="FH140" s="365"/>
      <c r="FI140" s="354">
        <f>IF(FI139=0, 0, SUM(FP137:FX141))</f>
        <v>0</v>
      </c>
      <c r="FJ140" s="347"/>
      <c r="FK140" s="342"/>
      <c r="FL140" s="343"/>
      <c r="FM140" s="930">
        <f>IF(FL140 = "", 0,
IF(AND(FJ140 &gt; 0, FK140 &gt;0), 0,
IF(AND(FJ140 &lt;&gt; "", FJ140 &lt;&gt; 0), -(FJ140 * FL140 * 100),
IF(AND(FK140 &lt;&gt; "", FK140 &lt;&gt; 0), (FK140 * FL140 * 100), 0)) ))</f>
        <v>0</v>
      </c>
      <c r="FN140" s="931"/>
      <c r="FO140" s="932"/>
      <c r="FP140" s="930">
        <f>IF(FL140 = "", 0,
IF(AND(FJ140 &gt; 0, FK140 &gt;0), 0,
IF(AND(FJ140 &lt;&gt; "", FJ140 &lt;&gt; 0), -(FJ140 * FL140 * 100 * (1 + COMIS_OPCION)),
IF(AND(FK140 &lt;&gt; "", FK140 &lt;&gt; 0), (FK140 * FL140 * 100 * (1 - COMIS_OPCION)), 0)) ))</f>
        <v>0</v>
      </c>
      <c r="FQ140" s="931"/>
      <c r="FR140" s="931"/>
      <c r="FS140" s="931"/>
      <c r="FT140" s="931"/>
      <c r="FU140" s="931"/>
      <c r="FV140" s="931"/>
      <c r="FW140" s="931"/>
      <c r="FX140" s="933"/>
      <c r="FY140" s="341"/>
      <c r="FZ140" s="341"/>
      <c r="GA140" s="341"/>
      <c r="GB140" s="495">
        <v>0</v>
      </c>
      <c r="GC140" s="495">
        <v>0</v>
      </c>
      <c r="GD140" s="500"/>
      <c r="GE140" s="495">
        <v>0</v>
      </c>
      <c r="GF140" s="495">
        <v>0</v>
      </c>
      <c r="GG140" s="495">
        <v>0</v>
      </c>
      <c r="GH140" s="359"/>
      <c r="GI140" s="359"/>
      <c r="GJ140" s="501"/>
      <c r="GK140" s="495">
        <v>0</v>
      </c>
      <c r="GL140" s="495">
        <v>0</v>
      </c>
      <c r="GM140" s="495">
        <v>0</v>
      </c>
      <c r="GN140" s="359"/>
      <c r="GO140" s="359"/>
      <c r="GP140" s="501"/>
      <c r="GQ140" s="495">
        <v>0</v>
      </c>
      <c r="GR140" s="373"/>
      <c r="GS140" s="333"/>
      <c r="GT140" s="333"/>
      <c r="GU140" s="333"/>
      <c r="GV140" s="333"/>
      <c r="GW140" s="333"/>
      <c r="GX140" s="333"/>
      <c r="GY140" s="333"/>
      <c r="GZ140" s="333"/>
      <c r="HA140" s="333"/>
      <c r="HB140" s="333"/>
      <c r="HC140" s="333"/>
      <c r="HD140" s="333"/>
      <c r="HE140" s="333"/>
      <c r="HF140" s="333"/>
      <c r="HG140" s="331"/>
      <c r="HH140" s="331"/>
      <c r="HI140" s="331"/>
      <c r="HJ140" s="331"/>
      <c r="HK140" s="331"/>
      <c r="HL140" s="331"/>
      <c r="HM140" s="331"/>
      <c r="HN140" s="333"/>
      <c r="HO140" s="333"/>
      <c r="HP140" s="333"/>
      <c r="HQ140" s="333"/>
      <c r="HR140" s="333"/>
      <c r="HS140" s="333"/>
      <c r="HT140" s="333"/>
      <c r="HU140" s="333"/>
      <c r="HV140" s="333"/>
      <c r="HW140" s="333"/>
      <c r="HX140" s="333"/>
      <c r="HY140" s="333"/>
      <c r="HZ140" s="333"/>
      <c r="IA140" s="333"/>
      <c r="IB140" s="333"/>
      <c r="IC140" s="333"/>
      <c r="ID140" s="55"/>
      <c r="IE140" s="47"/>
    </row>
    <row r="141" spans="13:240" s="142" customFormat="1" ht="15" customHeight="1" thickBot="1">
      <c r="M141" s="333"/>
      <c r="N141" s="333"/>
      <c r="O141" s="333"/>
      <c r="P141" s="333"/>
      <c r="Q141" s="333"/>
      <c r="R141" s="333"/>
      <c r="S141" s="333"/>
      <c r="T141" s="333"/>
      <c r="U141" s="333"/>
      <c r="V141" s="333"/>
      <c r="W141" s="333"/>
      <c r="X141" s="333"/>
      <c r="Y141" s="333"/>
      <c r="Z141" s="333"/>
      <c r="AA141" s="333"/>
      <c r="AB141" s="333"/>
      <c r="AC141" s="333"/>
      <c r="AD141" s="333"/>
      <c r="AE141" s="333"/>
      <c r="AF141" s="333"/>
      <c r="AG141" s="333"/>
      <c r="AH141" s="333"/>
      <c r="AI141" s="333"/>
      <c r="AJ141" s="333"/>
      <c r="AK141" s="333"/>
      <c r="AL141" s="333"/>
      <c r="AM141" s="333"/>
      <c r="AN141" s="333"/>
      <c r="AO141" s="333"/>
      <c r="AP141" s="333"/>
      <c r="AQ141" s="333"/>
      <c r="AR141" s="333"/>
      <c r="AS141" s="333"/>
      <c r="AT141" s="333"/>
      <c r="AU141" s="333"/>
      <c r="AV141" s="333"/>
      <c r="AW141" s="333"/>
      <c r="AX141" s="333"/>
      <c r="AY141" s="333"/>
      <c r="AZ141" s="333"/>
      <c r="BA141" s="333"/>
      <c r="BB141" s="333"/>
      <c r="BC141" s="333"/>
      <c r="BD141" s="333"/>
      <c r="BE141" s="333"/>
      <c r="BF141" s="333"/>
      <c r="BG141" s="333"/>
      <c r="BH141" s="333"/>
      <c r="BI141" s="333"/>
      <c r="BJ141" s="333"/>
      <c r="BK141" s="333"/>
      <c r="BL141" s="333"/>
      <c r="BM141" s="333"/>
      <c r="BN141" s="333"/>
      <c r="BO141" s="333"/>
      <c r="BP141" s="333"/>
      <c r="BQ141" s="333"/>
      <c r="BR141" s="333"/>
      <c r="BS141" s="333"/>
      <c r="BT141" s="333"/>
      <c r="BU141" s="333"/>
      <c r="BV141" s="333"/>
      <c r="BW141" s="333"/>
      <c r="BX141" s="333"/>
      <c r="BY141" s="333"/>
      <c r="BZ141" s="333"/>
      <c r="CA141" s="333"/>
      <c r="CB141" s="333"/>
      <c r="CC141" s="333"/>
      <c r="CD141" s="333"/>
      <c r="CE141" s="333"/>
      <c r="CF141" s="333"/>
      <c r="CG141" s="333"/>
      <c r="CH141" s="333"/>
      <c r="CI141" s="333"/>
      <c r="CJ141" s="333"/>
      <c r="CK141" s="333"/>
      <c r="CL141" s="333"/>
      <c r="CM141" s="333"/>
      <c r="CN141" s="333"/>
      <c r="CO141" s="333"/>
      <c r="CP141" s="333"/>
      <c r="CQ141" s="333"/>
      <c r="CR141" s="333"/>
      <c r="CS141" s="333"/>
      <c r="CT141" s="333"/>
      <c r="CU141" s="333"/>
      <c r="CV141" s="333"/>
      <c r="CW141" s="333"/>
      <c r="CX141" s="333"/>
      <c r="CY141" s="333"/>
      <c r="CZ141" s="333"/>
      <c r="DA141" s="333"/>
      <c r="DB141" s="333"/>
      <c r="DC141" s="333"/>
      <c r="DD141" s="333"/>
      <c r="DE141" s="333"/>
      <c r="DF141" s="333"/>
      <c r="DG141" s="333"/>
      <c r="DH141" s="333"/>
      <c r="DI141" s="333"/>
      <c r="DJ141" s="333"/>
      <c r="DK141" s="333"/>
      <c r="DL141" s="333"/>
      <c r="DM141" s="333"/>
      <c r="DN141" s="333"/>
      <c r="DO141" s="333"/>
      <c r="DP141" s="333"/>
      <c r="DQ141" s="333"/>
      <c r="DR141" s="333"/>
      <c r="DS141" s="333"/>
      <c r="DT141" s="333"/>
      <c r="DU141" s="375"/>
      <c r="DV141" s="375"/>
      <c r="DW141" s="375"/>
      <c r="DX141" s="375"/>
      <c r="DY141" s="375"/>
      <c r="DZ141" s="375"/>
      <c r="EA141" s="375"/>
      <c r="EB141" s="375"/>
      <c r="EC141" s="359"/>
      <c r="ED141" s="359"/>
      <c r="EE141" s="359"/>
      <c r="EF141" s="359"/>
      <c r="EG141" s="359"/>
      <c r="EH141" s="359"/>
      <c r="EI141" s="359"/>
      <c r="EJ141" s="373"/>
      <c r="EK141" s="373"/>
      <c r="EL141" s="366"/>
      <c r="EM141" s="368"/>
      <c r="EN141" s="364"/>
      <c r="EO141" s="353">
        <f>+IF(EO139= 0, 0, GG137)</f>
        <v>0</v>
      </c>
      <c r="EP141" s="350"/>
      <c r="EQ141" s="817"/>
      <c r="ER141" s="818"/>
      <c r="ES141" s="921">
        <f>IF(ER141 = "", 0,
IF(AND(EP141 &gt; 0, EQ141 &gt;0), 0, IF(EO137 &lt;&gt; $Z$1,
IF(AND(EP141 &lt;&gt; "", EP141 &lt;&gt; 0), -(EP141 * ER141 * 100),
IF(AND(EQ141 &lt;&gt; "", EQ141 &lt;&gt; 0), (EQ141 * ER141 * 100), 0)),
IF(AND(EP141 &lt;&gt; "", EP141 &lt;&gt; 0), -(EP141 * ER141 * 1),
IF(AND(EQ141 &lt;&gt; "", EQ141 &lt;&gt; 0), (EQ141 * ER141 * 1), 0))  )))</f>
        <v>0</v>
      </c>
      <c r="ET141" s="922"/>
      <c r="EU141" s="924"/>
      <c r="EV141" s="921">
        <f>IF(ER141 = "", 0,
IF(AND(EP141 &gt; 0, EQ141 &gt;0), 0,  IF(EO137 &lt;&gt; $Z$1,
IF(AND(EP141 &lt;&gt; "", EP141 &lt;&gt; 0), -(EP141 * ER141 * 100 * (1 + COMIS_OPCION)),
IF(AND(EQ141 &lt;&gt; "", EQ141 &lt;&gt; 0), (EQ141 * ER141 * 100 * (1 - COMIS_OPCION)), 0)),
IF(AND(EP141 &lt;&gt; "", EP141 &lt;&gt; 0), -(EP141 * ER141 * 1 * (1 + COMIS_ACCION)),
IF(AND(EQ141 &lt;&gt; "", EQ141 &lt;&gt; 0), (EQ141 * ER141 * 1 * (1 - COMIS_ACCION)), 0))  )))</f>
        <v>0</v>
      </c>
      <c r="EW141" s="922"/>
      <c r="EX141" s="922"/>
      <c r="EY141" s="922"/>
      <c r="EZ141" s="922"/>
      <c r="FA141" s="922"/>
      <c r="FB141" s="922"/>
      <c r="FC141" s="922"/>
      <c r="FD141" s="923"/>
      <c r="FE141" s="340"/>
      <c r="FF141" s="340"/>
      <c r="FG141" s="365"/>
      <c r="FH141" s="365"/>
      <c r="FI141" s="349">
        <f>+IF(FI139= 0, 0, GQ137)</f>
        <v>0</v>
      </c>
      <c r="FJ141" s="348"/>
      <c r="FK141" s="345"/>
      <c r="FL141" s="346"/>
      <c r="FM141" s="937">
        <f>IF(FL141 = "", 0,
IF(AND(FJ141 &gt; 0, FK141 &gt;0), 0,
IF(AND(FJ141 &lt;&gt; "", FJ141 &lt;&gt; 0), -(FJ141 * FL141 * 100),
IF(AND(FK141 &lt;&gt; "", FK141 &lt;&gt; 0), (FK141 * FL141 * 100), 0)) ))</f>
        <v>0</v>
      </c>
      <c r="FN141" s="938"/>
      <c r="FO141" s="939"/>
      <c r="FP141" s="937">
        <f>IF(FL141 = "", 0,
IF(AND(FJ141 &gt; 0, FK141 &gt;0), 0,
IF(AND(FJ141 &lt;&gt; "", FJ141 &lt;&gt; 0), -(FJ141 * FL141 * 100 * (1 + COMIS_OPCION)),
IF(AND(FK141 &lt;&gt; "", FK141 &lt;&gt; 0), (FK141 * FL141 * 100 * (1 - COMIS_OPCION)), 0)) ))</f>
        <v>0</v>
      </c>
      <c r="FQ141" s="938"/>
      <c r="FR141" s="938"/>
      <c r="FS141" s="938"/>
      <c r="FT141" s="938"/>
      <c r="FU141" s="938"/>
      <c r="FV141" s="938"/>
      <c r="FW141" s="938"/>
      <c r="FX141" s="969"/>
      <c r="FY141" s="341"/>
      <c r="FZ141" s="341"/>
      <c r="GA141" s="341"/>
      <c r="GB141" s="495">
        <v>0</v>
      </c>
      <c r="GC141" s="495">
        <v>0</v>
      </c>
      <c r="GD141" s="500"/>
      <c r="GE141" s="495">
        <v>0</v>
      </c>
      <c r="GF141" s="495">
        <v>0</v>
      </c>
      <c r="GG141" s="495">
        <v>0</v>
      </c>
      <c r="GH141" s="359"/>
      <c r="GI141" s="359"/>
      <c r="GJ141" s="501"/>
      <c r="GK141" s="495">
        <v>0</v>
      </c>
      <c r="GL141" s="495">
        <v>0</v>
      </c>
      <c r="GM141" s="495">
        <v>0</v>
      </c>
      <c r="GN141" s="359"/>
      <c r="GO141" s="359"/>
      <c r="GP141" s="501"/>
      <c r="GQ141" s="495">
        <v>0</v>
      </c>
      <c r="GR141" s="375"/>
      <c r="GS141" s="333"/>
      <c r="GT141" s="333"/>
      <c r="GU141" s="333"/>
      <c r="GV141" s="333"/>
      <c r="GW141" s="333"/>
      <c r="GX141" s="333"/>
      <c r="GY141" s="333"/>
      <c r="GZ141" s="333"/>
      <c r="HA141" s="333"/>
      <c r="HB141" s="333"/>
      <c r="HC141" s="333"/>
      <c r="HD141" s="333"/>
      <c r="HE141" s="333"/>
      <c r="HF141" s="333"/>
      <c r="HG141" s="331"/>
      <c r="HH141" s="331"/>
      <c r="HI141" s="331"/>
      <c r="HJ141" s="331"/>
      <c r="HK141" s="331"/>
      <c r="HL141" s="331"/>
      <c r="HM141" s="331"/>
      <c r="HN141" s="333"/>
      <c r="HO141" s="333"/>
      <c r="HP141" s="333"/>
      <c r="HQ141" s="333"/>
      <c r="HR141" s="333"/>
      <c r="HS141" s="333"/>
      <c r="HT141" s="333"/>
      <c r="HU141" s="333"/>
      <c r="HV141" s="333"/>
      <c r="HW141" s="333"/>
      <c r="HX141" s="333"/>
      <c r="HY141" s="333"/>
      <c r="HZ141" s="333"/>
      <c r="IA141" s="333"/>
      <c r="IB141" s="333"/>
      <c r="IC141" s="333"/>
      <c r="ID141" s="55"/>
      <c r="IE141" s="47"/>
    </row>
    <row r="142" spans="13:240" s="142" customFormat="1" ht="15" customHeight="1" thickBot="1">
      <c r="M142" s="333"/>
      <c r="N142" s="333"/>
      <c r="O142" s="333"/>
      <c r="P142" s="333"/>
      <c r="Q142" s="333"/>
      <c r="R142" s="333"/>
      <c r="S142" s="333"/>
      <c r="T142" s="333"/>
      <c r="U142" s="333"/>
      <c r="V142" s="333"/>
      <c r="W142" s="333"/>
      <c r="X142" s="333"/>
      <c r="Y142" s="333"/>
      <c r="Z142" s="333"/>
      <c r="AA142" s="333"/>
      <c r="AB142" s="333"/>
      <c r="AC142" s="333"/>
      <c r="AD142" s="333"/>
      <c r="AE142" s="333"/>
      <c r="AF142" s="333"/>
      <c r="AG142" s="333"/>
      <c r="AH142" s="333"/>
      <c r="AI142" s="333"/>
      <c r="AJ142" s="333"/>
      <c r="AK142" s="333"/>
      <c r="AL142" s="333"/>
      <c r="AM142" s="333"/>
      <c r="AN142" s="333"/>
      <c r="AO142" s="333"/>
      <c r="AP142" s="333"/>
      <c r="AQ142" s="333"/>
      <c r="AR142" s="333"/>
      <c r="AS142" s="333"/>
      <c r="AT142" s="333"/>
      <c r="AU142" s="333"/>
      <c r="AV142" s="333"/>
      <c r="AW142" s="333"/>
      <c r="AX142" s="333"/>
      <c r="AY142" s="333"/>
      <c r="AZ142" s="333"/>
      <c r="BA142" s="333"/>
      <c r="BB142" s="333"/>
      <c r="BC142" s="333"/>
      <c r="BD142" s="333"/>
      <c r="BE142" s="333"/>
      <c r="BF142" s="333"/>
      <c r="BG142" s="333"/>
      <c r="BH142" s="333"/>
      <c r="BI142" s="333"/>
      <c r="BJ142" s="333"/>
      <c r="BK142" s="333"/>
      <c r="BL142" s="333"/>
      <c r="BM142" s="333"/>
      <c r="BN142" s="333"/>
      <c r="BO142" s="333"/>
      <c r="BP142" s="333"/>
      <c r="BQ142" s="333"/>
      <c r="BR142" s="333"/>
      <c r="BS142" s="333"/>
      <c r="BT142" s="333"/>
      <c r="BU142" s="333"/>
      <c r="BV142" s="333"/>
      <c r="BW142" s="333"/>
      <c r="BX142" s="333"/>
      <c r="BY142" s="333"/>
      <c r="BZ142" s="333"/>
      <c r="CA142" s="333"/>
      <c r="CB142" s="333"/>
      <c r="CC142" s="333"/>
      <c r="CD142" s="333"/>
      <c r="CE142" s="333"/>
      <c r="CF142" s="333"/>
      <c r="CG142" s="333"/>
      <c r="CH142" s="333"/>
      <c r="CI142" s="333"/>
      <c r="CJ142" s="333"/>
      <c r="CK142" s="333"/>
      <c r="CL142" s="333"/>
      <c r="CM142" s="333"/>
      <c r="CN142" s="333"/>
      <c r="CO142" s="333"/>
      <c r="CP142" s="333"/>
      <c r="CQ142" s="333"/>
      <c r="CR142" s="333"/>
      <c r="CS142" s="333"/>
      <c r="CT142" s="333"/>
      <c r="CU142" s="333"/>
      <c r="CV142" s="333"/>
      <c r="CW142" s="333"/>
      <c r="CX142" s="333"/>
      <c r="CY142" s="333"/>
      <c r="CZ142" s="333"/>
      <c r="DA142" s="333"/>
      <c r="DB142" s="333"/>
      <c r="DC142" s="333"/>
      <c r="DD142" s="333"/>
      <c r="DE142" s="333"/>
      <c r="DF142" s="333"/>
      <c r="DG142" s="333"/>
      <c r="DH142" s="333"/>
      <c r="DI142" s="333"/>
      <c r="DJ142" s="333"/>
      <c r="DK142" s="333"/>
      <c r="DL142" s="333"/>
      <c r="DM142" s="333"/>
      <c r="DN142" s="333"/>
      <c r="DO142" s="333"/>
      <c r="DP142" s="333"/>
      <c r="DQ142" s="333"/>
      <c r="DR142" s="333"/>
      <c r="DS142" s="333"/>
      <c r="DT142" s="333"/>
      <c r="DU142" s="375"/>
      <c r="DV142" s="375"/>
      <c r="DW142" s="375"/>
      <c r="DX142" s="375"/>
      <c r="DY142" s="375"/>
      <c r="DZ142" s="375"/>
      <c r="EA142" s="375"/>
      <c r="EB142" s="375"/>
      <c r="EC142" s="359"/>
      <c r="ED142" s="359"/>
      <c r="EE142" s="359"/>
      <c r="EF142" s="359"/>
      <c r="EG142" s="359"/>
      <c r="EH142" s="359"/>
      <c r="EI142" s="359"/>
      <c r="EJ142" s="373"/>
      <c r="EK142" s="373"/>
      <c r="EL142" s="366"/>
      <c r="EM142" s="369"/>
      <c r="EN142" s="364"/>
      <c r="EO142" s="363"/>
      <c r="EP142" s="340"/>
      <c r="EQ142" s="340"/>
      <c r="ER142" s="340"/>
      <c r="ES142" s="363"/>
      <c r="ET142" s="363"/>
      <c r="EU142" s="340"/>
      <c r="EV142" s="340"/>
      <c r="EW142" s="340"/>
      <c r="EX142" s="340"/>
      <c r="EY142" s="340"/>
      <c r="EZ142" s="340"/>
      <c r="FA142" s="340"/>
      <c r="FB142" s="402"/>
      <c r="FC142" s="402"/>
      <c r="FD142" s="340"/>
      <c r="FE142" s="340"/>
      <c r="FF142" s="340"/>
      <c r="FG142" s="364"/>
      <c r="FH142" s="364"/>
      <c r="FI142" s="363"/>
      <c r="FJ142" s="360"/>
      <c r="FK142" s="360"/>
      <c r="FL142" s="340"/>
      <c r="FM142" s="967"/>
      <c r="FN142" s="967"/>
      <c r="FO142" s="967"/>
      <c r="FP142" s="968"/>
      <c r="FQ142" s="968"/>
      <c r="FR142" s="968"/>
      <c r="FS142" s="968"/>
      <c r="FT142" s="968"/>
      <c r="FU142" s="968"/>
      <c r="FV142" s="968"/>
      <c r="FW142" s="968"/>
      <c r="FX142" s="968"/>
      <c r="FY142" s="341"/>
      <c r="FZ142" s="341"/>
      <c r="GA142" s="341"/>
      <c r="GB142" s="495">
        <v>0</v>
      </c>
      <c r="GC142" s="495">
        <v>0</v>
      </c>
      <c r="GD142" s="500"/>
      <c r="GE142" s="495">
        <v>0</v>
      </c>
      <c r="GF142" s="495">
        <v>0</v>
      </c>
      <c r="GG142" s="495">
        <v>0</v>
      </c>
      <c r="GH142" s="359"/>
      <c r="GI142" s="359"/>
      <c r="GJ142" s="501"/>
      <c r="GK142" s="495">
        <v>0</v>
      </c>
      <c r="GL142" s="495">
        <v>0</v>
      </c>
      <c r="GM142" s="495">
        <v>0</v>
      </c>
      <c r="GN142" s="359"/>
      <c r="GO142" s="359"/>
      <c r="GP142" s="501"/>
      <c r="GQ142" s="495">
        <v>0</v>
      </c>
      <c r="GR142" s="375"/>
      <c r="GS142" s="333"/>
      <c r="GT142" s="333"/>
      <c r="GU142" s="333"/>
      <c r="GV142" s="333"/>
      <c r="GW142" s="333"/>
      <c r="GX142" s="333"/>
      <c r="GY142" s="333"/>
      <c r="GZ142" s="333"/>
      <c r="HA142" s="333"/>
      <c r="HB142" s="333"/>
      <c r="HC142" s="333"/>
      <c r="HD142" s="333"/>
      <c r="HE142" s="333"/>
      <c r="HF142" s="333"/>
      <c r="HG142" s="331"/>
      <c r="HH142" s="331"/>
      <c r="HI142" s="331"/>
      <c r="HJ142" s="331"/>
      <c r="HK142" s="331"/>
      <c r="HL142" s="331"/>
      <c r="HM142" s="331"/>
      <c r="HN142" s="333"/>
      <c r="HO142" s="333"/>
      <c r="HP142" s="333"/>
      <c r="HQ142" s="333"/>
      <c r="HR142" s="333"/>
      <c r="HS142" s="333"/>
      <c r="HT142" s="333"/>
      <c r="HU142" s="333"/>
      <c r="HV142" s="333"/>
      <c r="HW142" s="333"/>
      <c r="HX142" s="333"/>
      <c r="HY142" s="333"/>
      <c r="HZ142" s="333"/>
      <c r="IA142" s="333"/>
      <c r="IB142" s="333"/>
      <c r="IC142" s="333"/>
      <c r="ID142" s="55"/>
      <c r="IE142" s="47"/>
    </row>
    <row r="143" spans="13:240" s="142" customFormat="1" ht="15" customHeight="1">
      <c r="M143" s="333"/>
      <c r="N143" s="333"/>
      <c r="O143" s="333"/>
      <c r="P143" s="333"/>
      <c r="Q143" s="333"/>
      <c r="R143" s="333"/>
      <c r="S143" s="333"/>
      <c r="T143" s="333"/>
      <c r="U143" s="333"/>
      <c r="V143" s="333"/>
      <c r="W143" s="333"/>
      <c r="X143" s="333"/>
      <c r="Y143" s="333"/>
      <c r="Z143" s="333"/>
      <c r="AA143" s="333"/>
      <c r="AB143" s="333"/>
      <c r="AC143" s="333"/>
      <c r="AD143" s="333"/>
      <c r="AE143" s="333"/>
      <c r="AF143" s="333"/>
      <c r="AG143" s="333"/>
      <c r="AH143" s="333"/>
      <c r="AI143" s="333"/>
      <c r="AJ143" s="333"/>
      <c r="AK143" s="333"/>
      <c r="AL143" s="333"/>
      <c r="AM143" s="333"/>
      <c r="AN143" s="333"/>
      <c r="AO143" s="333"/>
      <c r="AP143" s="333"/>
      <c r="AQ143" s="333"/>
      <c r="AR143" s="333"/>
      <c r="AS143" s="333"/>
      <c r="AT143" s="333"/>
      <c r="AU143" s="333"/>
      <c r="AV143" s="333"/>
      <c r="AW143" s="333"/>
      <c r="AX143" s="333"/>
      <c r="AY143" s="333"/>
      <c r="AZ143" s="333"/>
      <c r="BA143" s="333"/>
      <c r="BB143" s="333"/>
      <c r="BC143" s="333"/>
      <c r="BD143" s="333"/>
      <c r="BE143" s="333"/>
      <c r="BF143" s="333"/>
      <c r="BG143" s="333"/>
      <c r="BH143" s="333"/>
      <c r="BI143" s="333"/>
      <c r="BJ143" s="333"/>
      <c r="BK143" s="333"/>
      <c r="BL143" s="333"/>
      <c r="BM143" s="333"/>
      <c r="BN143" s="333"/>
      <c r="BO143" s="333"/>
      <c r="BP143" s="333"/>
      <c r="BQ143" s="333"/>
      <c r="BR143" s="333"/>
      <c r="BS143" s="333"/>
      <c r="BT143" s="333"/>
      <c r="BU143" s="333"/>
      <c r="BV143" s="333"/>
      <c r="BW143" s="333"/>
      <c r="BX143" s="333"/>
      <c r="BY143" s="333"/>
      <c r="BZ143" s="333"/>
      <c r="CA143" s="333"/>
      <c r="CB143" s="333"/>
      <c r="CC143" s="333"/>
      <c r="CD143" s="333"/>
      <c r="CE143" s="333"/>
      <c r="CF143" s="333"/>
      <c r="CG143" s="333"/>
      <c r="CH143" s="333"/>
      <c r="CI143" s="333"/>
      <c r="CJ143" s="333"/>
      <c r="CK143" s="333"/>
      <c r="CL143" s="333"/>
      <c r="CM143" s="333"/>
      <c r="CN143" s="333"/>
      <c r="CO143" s="333"/>
      <c r="CP143" s="333"/>
      <c r="CQ143" s="333"/>
      <c r="CR143" s="333"/>
      <c r="CS143" s="333"/>
      <c r="CT143" s="333"/>
      <c r="CU143" s="333"/>
      <c r="CV143" s="333"/>
      <c r="CW143" s="333"/>
      <c r="CX143" s="333"/>
      <c r="CY143" s="333"/>
      <c r="CZ143" s="333"/>
      <c r="DA143" s="333"/>
      <c r="DB143" s="333"/>
      <c r="DC143" s="333"/>
      <c r="DD143" s="333"/>
      <c r="DE143" s="333"/>
      <c r="DF143" s="333"/>
      <c r="DG143" s="333"/>
      <c r="DH143" s="333"/>
      <c r="DI143" s="333"/>
      <c r="DJ143" s="333"/>
      <c r="DK143" s="333"/>
      <c r="DL143" s="333"/>
      <c r="DM143" s="333"/>
      <c r="DN143" s="333"/>
      <c r="DO143" s="333"/>
      <c r="DP143" s="333"/>
      <c r="DQ143" s="333"/>
      <c r="DR143" s="333"/>
      <c r="DS143" s="333"/>
      <c r="DT143" s="333"/>
      <c r="DU143" s="375"/>
      <c r="DV143" s="375"/>
      <c r="DW143" s="375"/>
      <c r="DX143" s="375"/>
      <c r="DY143" s="375"/>
      <c r="DZ143" s="375"/>
      <c r="EA143" s="375"/>
      <c r="EB143" s="375"/>
      <c r="EC143" s="359"/>
      <c r="ED143" s="359"/>
      <c r="EE143" s="359"/>
      <c r="EF143" s="359"/>
      <c r="EG143" s="359"/>
      <c r="EH143" s="359"/>
      <c r="EI143" s="359"/>
      <c r="EJ143" s="373"/>
      <c r="EK143" s="373"/>
      <c r="EL143" s="366"/>
      <c r="EM143" s="366"/>
      <c r="EN143" s="364">
        <f>+EN137+1</f>
        <v>16</v>
      </c>
      <c r="EO143" s="356">
        <f>+VLOOKUP(EN143, PRECIOS_EJERCICIOS,  2,FALSE)</f>
        <v>210</v>
      </c>
      <c r="EP143" s="513" t="str">
        <f>+IF($AQ$49 = FALSE, "",
IF(VLOOKUP(EO143, basesCantPrimaBrutoRes, 2,FALSE) &gt;= 0, VLOOKUP(EO143, basesCantPrimaBrutoRes, 2,FALSE), 0))</f>
        <v/>
      </c>
      <c r="EQ143" s="514" t="str">
        <f>+IF($AQ$49 = FALSE, "",
IF(VLOOKUP(EO143, basesCantPrimaBrutoRes, 2,FALSE) &lt; 0, -VLOOKUP(EO143, basesCantPrimaBrutoRes, 2,FALSE), 0))</f>
        <v/>
      </c>
      <c r="ER143" s="521" t="str">
        <f>IF($AQ$49 = FALSE, "",
VLOOKUP(EO143, basesCantPrimaBrutoRes, 4,FALSE))</f>
        <v/>
      </c>
      <c r="ES143" s="926">
        <f>IF(ER143 = "", 0,
IF(AND(EP143 &gt; 0, EQ143 &gt;0), 0, IF(EO143 &lt;&gt; $Z$1,
IF(AND(EP143 &lt;&gt; "", EP143 &lt;&gt; 0), -(EP143 * ER143 * 100),
IF(AND(EQ143 &lt;&gt; "", EQ143 &lt;&gt; 0), (EQ143 * ER143 * 100), 0)),
IF(AND(EP143 &lt;&gt; "", EP143 &lt;&gt; 0), -(EP143 * ER143 * 1),
IF(AND(EQ143 &lt;&gt; "", EQ143 &lt;&gt; 0), (EQ143 * ER143 * 1), 0))  )))</f>
        <v>0</v>
      </c>
      <c r="ET143" s="927"/>
      <c r="EU143" s="928"/>
      <c r="EV143" s="926">
        <f>IF(ER143 = "", 0,
IF(AND(EP143 &gt; 0, EQ143 &gt;0), 0,  IF(EO143 &lt;&gt; $Z$1,
IF(AND(EP143 &lt;&gt; "", EP143 &lt;&gt; 0), -(EP143 * ER143 * 100 * (1 + COMIS_OPCION)),
IF(AND(EQ143 &lt;&gt; "", EQ143 &lt;&gt; 0), (EQ143 * ER143 * 100 * (1 - COMIS_OPCION)), 0)),
IF(AND(EP143 &lt;&gt; "", EP143 &lt;&gt; 0), -(EP143 * ER143 * 1 * (1 + COMIS_ACCION)),
IF(AND(EQ143 &lt;&gt; "", EQ143 &lt;&gt; 0), (EQ143 * ER143 * 1 * (1 - COMIS_ACCION)), 0))  )))</f>
        <v>0</v>
      </c>
      <c r="EW143" s="927"/>
      <c r="EX143" s="927"/>
      <c r="EY143" s="927"/>
      <c r="EZ143" s="927"/>
      <c r="FA143" s="927"/>
      <c r="FB143" s="927"/>
      <c r="FC143" s="927"/>
      <c r="FD143" s="929"/>
      <c r="FE143" s="340"/>
      <c r="FF143" s="340"/>
      <c r="FG143" s="364"/>
      <c r="FH143" s="364">
        <f>+FH137+1</f>
        <v>16</v>
      </c>
      <c r="FI143" s="357">
        <f>+VLOOKUP(FH143, PRECIOS_EJERCICIOS,  2,FALSE)</f>
        <v>210</v>
      </c>
      <c r="FJ143" s="515" t="str">
        <f>+IF($AQ$49 = FALSE, "",
IF(VLOOKUP(EO143, basesCantPrimaBrutoRes, 5,FALSE) &gt;= 0, VLOOKUP(EO143, basesCantPrimaBrutoRes, 5,FALSE), 0))</f>
        <v/>
      </c>
      <c r="FK143" s="516" t="str">
        <f>+IF($AQ$49 = FALSE, "",
IF(VLOOKUP(EO143, basesCantPrimaBrutoRes, 5,FALSE) &lt; 0, -VLOOKUP(EO143, basesCantPrimaBrutoRes, 5,FALSE), 0))</f>
        <v/>
      </c>
      <c r="FL143" s="517" t="str">
        <f>IF($AQ$49 = FALSE, "",
VLOOKUP(EO143, basesCantPrimaBrutoRes, 7,FALSE))</f>
        <v/>
      </c>
      <c r="FM143" s="934">
        <f>IF(FL143 = "", 0,
IF(AND(FJ143 &gt; 0, FK143 &gt;0), 0,
IF(AND(FJ143 &lt;&gt; "", FJ143 &lt;&gt; 0), -(FJ143 * FL143 * 100),
IF(AND(FK143 &lt;&gt; "", FK143 &lt;&gt; 0), (FK143 * FL143 * 100), 0)) ))</f>
        <v>0</v>
      </c>
      <c r="FN143" s="935"/>
      <c r="FO143" s="936"/>
      <c r="FP143" s="934">
        <f>IF(FL143 = "", 0,
IF(AND(FJ143 &gt; 0, FK143 &gt;0), 0,
IF(AND(FJ143 &lt;&gt; "", FJ143 &lt;&gt; 0), -(FJ143 * FL143 * 100 * (1 + COMIS_OPCION)),
IF(AND(FK143 &lt;&gt; "", FK143 &lt;&gt; 0), (FK143 * FL143 * 100 * (1 - COMIS_OPCION)), 0)) ))</f>
        <v>0</v>
      </c>
      <c r="FQ143" s="935"/>
      <c r="FR143" s="935"/>
      <c r="FS143" s="935"/>
      <c r="FT143" s="935"/>
      <c r="FU143" s="935"/>
      <c r="FV143" s="935"/>
      <c r="FW143" s="935"/>
      <c r="FX143" s="966"/>
      <c r="FY143" s="341"/>
      <c r="FZ143" s="341"/>
      <c r="GA143" s="341"/>
      <c r="GB143" s="495">
        <f>+IF(EN143 = "", "", EO143)</f>
        <v>210</v>
      </c>
      <c r="GC143" s="495" t="str">
        <f>+IF(GB143="", "", IF(EO143 = $Z$1, "ACCION", "CALL"))</f>
        <v>CALL</v>
      </c>
      <c r="GD143" s="500"/>
      <c r="GE143" s="495">
        <f>+IF(GB143= "", "", EO145)</f>
        <v>0</v>
      </c>
      <c r="GF143" s="495">
        <f>+IF(GB143 = "", "", IFERROR(IF(GB143 &lt;&gt; $Z$1,
IF(GE143 &gt; 0, SUMIFS(ES143:ES147, EP143:EP147, "&gt;0", ES143:ES147, "&lt;&gt;0") / SUMIFS(EP143:EP147, EP143:EP147, "&gt;0", ES143:ES147, "&lt;&gt;0") / -100,
IF(GE143 &lt; 0, SUMIFS(ES143:ES147, EQ143:EQ147, "&gt;0", ES143:ES147, "&lt;&gt;0") / SUMIFS(EQ143:EQ147, EQ143:EQ147, "&gt;0", ES143:ES147, "&lt;&gt;0") / 100, 0)),
IF(GE143 &gt; 0, SUMIFS(ES143:ES147, EP143:EP147, "&gt;0", ES143:ES147, "&lt;&gt;0") / SUMIFS(EP143:EP147, EP143:EP147, "&gt;0", ES143:ES147, "&lt;&gt;0") / -1,
IF(GE143 &lt; 0, SUMIFS(ES143:ES147, EQ143:EQ147, "&gt;0", ES143:ES147, "&lt;&gt;0") / SUMIFS(EQ143:EQ147, EQ143:EQ147, "&gt;0", ES143:ES147, "&lt;&gt;0") / 1, 0)) ), 0))</f>
        <v>0</v>
      </c>
      <c r="GG143" s="495">
        <f>+IF(GB143 = "", "", IFERROR(IF(GB143 &lt;&gt; $Z$1,
IF(GE143 &gt; 0, SUMIFS(EV143:EV147, EP143:EP147, "&gt;0", EV143:EV147, "&lt;&gt;0") / SUMIFS(EP143:EP147, EP143:EP147, "&gt;0", EV143:EV147, "&lt;&gt;0") / -100,
IF(GE143 &lt; 0, SUMIFS(EV143:EV147, EQ143:EQ147, "&gt;0", EV143:EV147, "&lt;&gt;0") / SUMIFS(EQ143:EQ147, EQ143:EQ147, "&gt;0", EV143:EV147, "&lt;&gt;0") / 100, 0)),
IF(GE143 &gt; 0, SUMIFS(EV143:EV147, EP143:EP147, "&gt;0", EV143:EV147, "&lt;&gt;0") / SUMIFS(EP143:EP147, EP143:EP147, "&gt;0", EV143:EV147, "&lt;&gt;0") / -1,
IF(GE143 &lt; 0, SUMIFS(EV143:EV147, EQ143:EQ147, "&gt;0", EV143:EV147, "&lt;&gt;0") / SUMIFS(EQ143:EQ147, EQ143:EQ147, "&gt;0", EV143:EV147, "&lt;&gt;0") / 1, 0)) ), 0))</f>
        <v>0</v>
      </c>
      <c r="GH143" s="359"/>
      <c r="GI143" s="359"/>
      <c r="GJ143" s="501"/>
      <c r="GK143" s="495" t="str">
        <f>+IF(GB143="", "", "PUT")</f>
        <v>PUT</v>
      </c>
      <c r="GL143" s="495">
        <f>+IF(GB143 = "", "", FI145)</f>
        <v>0</v>
      </c>
      <c r="GM143" s="495">
        <f>+IF(GB143 = "", "", IFERROR(
IF(FI145 &gt; 0, SUMIFS(FM143:FM147, FJ143:FJ147, "&gt;0", FM143:FM147, "&lt;&gt;0") / SUMIFS(FJ143:FJ147, FJ143:FJ147, "&gt;0", FM143:FM147, "&lt;&gt;0") / -100,
IF(FI145 &lt; 0, SUMIFS(FM143:FM147, FK143:FK147, "&gt;0", FM143:FM147, "&lt;&gt;0") / SUMIFS(FK143:FK147, FK143:FK147, "&gt;0", FM143:FM147, "&lt;&gt;0") / 100, 0)), 0) )</f>
        <v>0</v>
      </c>
      <c r="GN143" s="359"/>
      <c r="GO143" s="359"/>
      <c r="GP143" s="501"/>
      <c r="GQ143" s="502">
        <f>+IF(GB143 = "", "", IFERROR(
IF(FI145 &gt; 0, SUMIFS(FP143:FP147, FJ143:FJ147, "&gt;0", FP143:FP147, "&lt;&gt;0") / SUMIFS(FJ143:FJ147, FJ143:FJ147, "&gt;0", FP143:FP147, "&lt;&gt;0") / -100,
IF(FI145 &lt; 0, SUMIFS(FP143:FP147, FK143:FK147, "&gt;0", FP143:FP147, "&lt;&gt;0") / SUMIFS(FK143:FK147, FK143:FK147, "&gt;0", FP143:FP147, "&lt;&gt;0") / 100, 0)), 0))</f>
        <v>0</v>
      </c>
      <c r="GR143" s="375"/>
      <c r="GS143" s="333"/>
      <c r="GT143" s="333"/>
      <c r="GU143" s="333"/>
      <c r="GV143" s="333"/>
      <c r="GW143" s="333"/>
      <c r="GX143" s="333"/>
      <c r="GY143" s="333"/>
      <c r="GZ143" s="333"/>
      <c r="HA143" s="333"/>
      <c r="HB143" s="333"/>
      <c r="HC143" s="333"/>
      <c r="HD143" s="333"/>
      <c r="HE143" s="333"/>
      <c r="HF143" s="333"/>
      <c r="HG143" s="331"/>
      <c r="HH143" s="331"/>
      <c r="HI143" s="331"/>
      <c r="HJ143" s="331"/>
      <c r="HK143" s="331"/>
      <c r="HL143" s="331"/>
      <c r="HM143" s="331"/>
      <c r="HN143" s="333"/>
      <c r="HO143" s="333"/>
      <c r="HP143" s="333"/>
      <c r="HQ143" s="333"/>
      <c r="HR143" s="333"/>
      <c r="HS143" s="333"/>
      <c r="HT143" s="333"/>
      <c r="HU143" s="333"/>
      <c r="HV143" s="333"/>
      <c r="HW143" s="333"/>
      <c r="HX143" s="333"/>
      <c r="HY143" s="333"/>
      <c r="HZ143" s="333"/>
      <c r="IA143" s="333"/>
      <c r="IB143" s="333"/>
      <c r="IC143" s="333"/>
      <c r="ID143" s="55"/>
      <c r="IE143" s="47"/>
    </row>
    <row r="144" spans="13:240" s="142" customFormat="1" ht="15" customHeight="1">
      <c r="M144" s="333"/>
      <c r="N144" s="333"/>
      <c r="O144" s="333"/>
      <c r="P144" s="333"/>
      <c r="Q144" s="333"/>
      <c r="R144" s="333"/>
      <c r="S144" s="333"/>
      <c r="T144" s="333"/>
      <c r="U144" s="333"/>
      <c r="V144" s="333"/>
      <c r="W144" s="333"/>
      <c r="X144" s="333"/>
      <c r="Y144" s="333"/>
      <c r="Z144" s="333"/>
      <c r="AA144" s="333"/>
      <c r="AB144" s="333"/>
      <c r="AC144" s="333"/>
      <c r="AD144" s="333"/>
      <c r="AE144" s="333"/>
      <c r="AF144" s="333"/>
      <c r="AG144" s="333"/>
      <c r="AH144" s="333"/>
      <c r="AI144" s="333"/>
      <c r="AJ144" s="333"/>
      <c r="AK144" s="333"/>
      <c r="AL144" s="333"/>
      <c r="AM144" s="333"/>
      <c r="AN144" s="333"/>
      <c r="AO144" s="333"/>
      <c r="AP144" s="333"/>
      <c r="AQ144" s="333"/>
      <c r="AR144" s="333"/>
      <c r="AS144" s="333"/>
      <c r="AT144" s="333"/>
      <c r="AU144" s="333"/>
      <c r="AV144" s="333"/>
      <c r="AW144" s="333"/>
      <c r="AX144" s="333"/>
      <c r="AY144" s="333"/>
      <c r="AZ144" s="333"/>
      <c r="BA144" s="333"/>
      <c r="BB144" s="333"/>
      <c r="BC144" s="333"/>
      <c r="BD144" s="333"/>
      <c r="BE144" s="333"/>
      <c r="BF144" s="333"/>
      <c r="BG144" s="333"/>
      <c r="BH144" s="333"/>
      <c r="BI144" s="333"/>
      <c r="BJ144" s="333"/>
      <c r="BK144" s="333"/>
      <c r="BL144" s="333"/>
      <c r="BM144" s="333"/>
      <c r="BN144" s="333"/>
      <c r="BO144" s="333"/>
      <c r="BP144" s="333"/>
      <c r="BQ144" s="333"/>
      <c r="BR144" s="333"/>
      <c r="BS144" s="333"/>
      <c r="BT144" s="333"/>
      <c r="BU144" s="333"/>
      <c r="BV144" s="333"/>
      <c r="BW144" s="333"/>
      <c r="BX144" s="333"/>
      <c r="BY144" s="333"/>
      <c r="BZ144" s="333"/>
      <c r="CA144" s="333"/>
      <c r="CB144" s="333"/>
      <c r="CC144" s="333"/>
      <c r="CD144" s="333"/>
      <c r="CE144" s="333"/>
      <c r="CF144" s="333"/>
      <c r="CG144" s="333"/>
      <c r="CH144" s="333"/>
      <c r="CI144" s="333"/>
      <c r="CJ144" s="333"/>
      <c r="CK144" s="333"/>
      <c r="CL144" s="333"/>
      <c r="CM144" s="333"/>
      <c r="CN144" s="333"/>
      <c r="CO144" s="333"/>
      <c r="CP144" s="333"/>
      <c r="CQ144" s="333"/>
      <c r="CR144" s="333"/>
      <c r="CS144" s="333"/>
      <c r="CT144" s="333"/>
      <c r="CU144" s="333"/>
      <c r="CV144" s="333"/>
      <c r="CW144" s="333"/>
      <c r="CX144" s="333"/>
      <c r="CY144" s="333"/>
      <c r="CZ144" s="333"/>
      <c r="DA144" s="333"/>
      <c r="DB144" s="333"/>
      <c r="DC144" s="333"/>
      <c r="DD144" s="333"/>
      <c r="DE144" s="333"/>
      <c r="DF144" s="333"/>
      <c r="DG144" s="333"/>
      <c r="DH144" s="333"/>
      <c r="DI144" s="333"/>
      <c r="DJ144" s="333"/>
      <c r="DK144" s="333"/>
      <c r="DL144" s="333"/>
      <c r="DM144" s="333"/>
      <c r="DN144" s="333"/>
      <c r="DO144" s="333"/>
      <c r="DP144" s="333"/>
      <c r="DQ144" s="333"/>
      <c r="DR144" s="333"/>
      <c r="DS144" s="333"/>
      <c r="DT144" s="333"/>
      <c r="DU144" s="375"/>
      <c r="DV144" s="375"/>
      <c r="DW144" s="375"/>
      <c r="DX144" s="375"/>
      <c r="DY144" s="375"/>
      <c r="DZ144" s="375"/>
      <c r="EA144" s="375"/>
      <c r="EB144" s="375"/>
      <c r="EC144" s="359"/>
      <c r="ED144" s="359"/>
      <c r="EE144" s="359"/>
      <c r="EF144" s="359"/>
      <c r="EG144" s="359"/>
      <c r="EH144" s="359"/>
      <c r="EI144" s="359"/>
      <c r="EJ144" s="373"/>
      <c r="EK144" s="373"/>
      <c r="EL144" s="366"/>
      <c r="EM144" s="366"/>
      <c r="EN144" s="364"/>
      <c r="EO144" s="351"/>
      <c r="EP144" s="347"/>
      <c r="EQ144" s="342"/>
      <c r="ER144" s="522"/>
      <c r="ES144" s="916">
        <f>IF(ER144 = "", 0,
IF(AND(EP144 &gt; 0, EQ144 &gt;0), 0, IF(EO143 &lt;&gt; $Z$1,
IF(AND(EP144 &lt;&gt; "", EP144 &lt;&gt; 0), -(EP144 * ER144 * 100),
IF(AND(EQ144 &lt;&gt; "", EQ144 &lt;&gt; 0), (EQ144 * ER144 * 100), 0)),
IF(AND(EP144 &lt;&gt; "", EP144 &lt;&gt; 0), -(EP144 * ER144 * 1),
IF(AND(EQ144 &lt;&gt; "", EQ144 &lt;&gt; 0), (EQ144 * ER144 * 1), 0))  )))</f>
        <v>0</v>
      </c>
      <c r="ET144" s="917"/>
      <c r="EU144" s="918"/>
      <c r="EV144" s="916">
        <f>IF(ER144 = "", 0,
IF(AND(EP144 &gt; 0, EQ144 &gt;0), 0,  IF(EO143 &lt;&gt; $Z$1,
IF(AND(EP144 &lt;&gt; "", EP144 &lt;&gt; 0), -(EP144 * ER144 * 100 * (1 + COMIS_OPCION)),
IF(AND(EQ144 &lt;&gt; "", EQ144 &lt;&gt; 0), (EQ144 * ER144 * 100 * (1 - COMIS_OPCION)), 0)),
IF(AND(EP144 &lt;&gt; "", EP144 &lt;&gt; 0), -(EP144 * ER144 * 1 * (1 + COMIS_ACCION)),
IF(AND(EQ144 &lt;&gt; "", EQ144 &lt;&gt; 0), (EQ144 * ER144 * 1 * (1 - COMIS_ACCION)), 0))  )))</f>
        <v>0</v>
      </c>
      <c r="EW144" s="917"/>
      <c r="EX144" s="917"/>
      <c r="EY144" s="917"/>
      <c r="EZ144" s="917"/>
      <c r="FA144" s="917"/>
      <c r="FB144" s="917"/>
      <c r="FC144" s="917"/>
      <c r="FD144" s="925"/>
      <c r="FE144" s="340"/>
      <c r="FF144" s="340"/>
      <c r="FG144" s="364"/>
      <c r="FH144" s="364"/>
      <c r="FI144" s="339"/>
      <c r="FJ144" s="347"/>
      <c r="FK144" s="342"/>
      <c r="FL144" s="343"/>
      <c r="FM144" s="930">
        <f>IF(FL144 = "", 0,
IF(AND(FJ144 &gt; 0, FK144 &gt;0), 0,
IF(AND(FJ144 &lt;&gt; "", FJ144 &lt;&gt; 0), -(FJ144 * FL144 * 100),
IF(AND(FK144 &lt;&gt; "", FK144 &lt;&gt; 0), (FK144 * FL144 * 100), 0)) ))</f>
        <v>0</v>
      </c>
      <c r="FN144" s="931"/>
      <c r="FO144" s="932"/>
      <c r="FP144" s="930">
        <f>IF(FL144 = "", 0,
IF(AND(FJ144 &gt; 0, FK144 &gt;0), 0,
IF(AND(FJ144 &lt;&gt; "", FJ144 &lt;&gt; 0), -(FJ144 * FL144 * 100 * (1 + COMIS_OPCION)),
IF(AND(FK144 &lt;&gt; "", FK144 &lt;&gt; 0), (FK144 * FL144 * 100 * (1 - COMIS_OPCION)), 0)) ))</f>
        <v>0</v>
      </c>
      <c r="FQ144" s="931"/>
      <c r="FR144" s="931"/>
      <c r="FS144" s="931"/>
      <c r="FT144" s="931"/>
      <c r="FU144" s="931"/>
      <c r="FV144" s="931"/>
      <c r="FW144" s="931"/>
      <c r="FX144" s="933"/>
      <c r="FY144" s="341"/>
      <c r="FZ144" s="341"/>
      <c r="GA144" s="341"/>
      <c r="GB144" s="495">
        <v>0</v>
      </c>
      <c r="GC144" s="495">
        <v>0</v>
      </c>
      <c r="GD144" s="500"/>
      <c r="GE144" s="495">
        <v>0</v>
      </c>
      <c r="GF144" s="495">
        <v>0</v>
      </c>
      <c r="GG144" s="495">
        <v>0</v>
      </c>
      <c r="GH144" s="359"/>
      <c r="GI144" s="359"/>
      <c r="GJ144" s="501"/>
      <c r="GK144" s="495">
        <v>0</v>
      </c>
      <c r="GL144" s="495">
        <v>0</v>
      </c>
      <c r="GM144" s="495">
        <v>0</v>
      </c>
      <c r="GN144" s="359"/>
      <c r="GO144" s="359"/>
      <c r="GP144" s="501"/>
      <c r="GQ144" s="495">
        <v>0</v>
      </c>
      <c r="GR144" s="375"/>
      <c r="GS144" s="333"/>
      <c r="GT144" s="333"/>
      <c r="GU144" s="333"/>
      <c r="GV144" s="333"/>
      <c r="GW144" s="333"/>
      <c r="GX144" s="333"/>
      <c r="GY144" s="333"/>
      <c r="GZ144" s="333"/>
      <c r="HA144" s="333"/>
      <c r="HB144" s="333"/>
      <c r="HC144" s="333"/>
      <c r="HD144" s="333"/>
      <c r="HE144" s="333"/>
      <c r="HF144" s="333"/>
      <c r="HG144" s="331"/>
      <c r="HH144" s="331"/>
      <c r="HI144" s="331"/>
      <c r="HJ144" s="331"/>
      <c r="HK144" s="331"/>
      <c r="HL144" s="331"/>
      <c r="HM144" s="331"/>
      <c r="HN144" s="333"/>
      <c r="HO144" s="333"/>
      <c r="HP144" s="333"/>
      <c r="HQ144" s="333"/>
      <c r="HR144" s="333"/>
      <c r="HS144" s="333"/>
      <c r="HT144" s="333"/>
      <c r="HU144" s="333"/>
      <c r="HV144" s="333"/>
      <c r="HW144" s="333"/>
      <c r="HX144" s="333"/>
      <c r="HY144" s="333"/>
      <c r="HZ144" s="333"/>
      <c r="IA144" s="333"/>
      <c r="IB144" s="333"/>
      <c r="IC144" s="333"/>
      <c r="ID144" s="55"/>
      <c r="IE144" s="47"/>
    </row>
    <row r="145" spans="13:290" s="142" customFormat="1" ht="15" customHeight="1">
      <c r="M145" s="333"/>
      <c r="N145" s="333"/>
      <c r="O145" s="333"/>
      <c r="P145" s="333"/>
      <c r="Q145" s="333"/>
      <c r="R145" s="333"/>
      <c r="S145" s="333"/>
      <c r="T145" s="333"/>
      <c r="U145" s="333"/>
      <c r="V145" s="333"/>
      <c r="W145" s="333"/>
      <c r="X145" s="333"/>
      <c r="Y145" s="333"/>
      <c r="Z145" s="333"/>
      <c r="AA145" s="333"/>
      <c r="AB145" s="333"/>
      <c r="AC145" s="333"/>
      <c r="AD145" s="333"/>
      <c r="AE145" s="333"/>
      <c r="AF145" s="333"/>
      <c r="AG145" s="333"/>
      <c r="AH145" s="333"/>
      <c r="AI145" s="333"/>
      <c r="AJ145" s="333"/>
      <c r="AK145" s="333"/>
      <c r="AL145" s="333"/>
      <c r="AM145" s="333"/>
      <c r="AN145" s="333"/>
      <c r="AO145" s="333"/>
      <c r="AP145" s="333"/>
      <c r="AQ145" s="333"/>
      <c r="AR145" s="333"/>
      <c r="AS145" s="333"/>
      <c r="AT145" s="333"/>
      <c r="AU145" s="333"/>
      <c r="AV145" s="333"/>
      <c r="AW145" s="333"/>
      <c r="AX145" s="333"/>
      <c r="AY145" s="333"/>
      <c r="AZ145" s="333"/>
      <c r="BA145" s="333"/>
      <c r="BB145" s="333"/>
      <c r="BC145" s="333"/>
      <c r="BD145" s="333"/>
      <c r="BE145" s="333"/>
      <c r="BF145" s="333"/>
      <c r="BG145" s="333"/>
      <c r="BH145" s="333"/>
      <c r="BI145" s="333"/>
      <c r="BJ145" s="333"/>
      <c r="BK145" s="333"/>
      <c r="BL145" s="333"/>
      <c r="BM145" s="333"/>
      <c r="BN145" s="333"/>
      <c r="BO145" s="333"/>
      <c r="BP145" s="333"/>
      <c r="BQ145" s="333"/>
      <c r="BR145" s="333"/>
      <c r="BS145" s="333"/>
      <c r="BT145" s="333"/>
      <c r="BU145" s="333"/>
      <c r="BV145" s="333"/>
      <c r="BW145" s="333"/>
      <c r="BX145" s="333"/>
      <c r="BY145" s="333"/>
      <c r="BZ145" s="333"/>
      <c r="CA145" s="333"/>
      <c r="CB145" s="333"/>
      <c r="CC145" s="333"/>
      <c r="CD145" s="333"/>
      <c r="CE145" s="333"/>
      <c r="CF145" s="333"/>
      <c r="CG145" s="333"/>
      <c r="CH145" s="333"/>
      <c r="CI145" s="333"/>
      <c r="CJ145" s="333"/>
      <c r="CK145" s="333"/>
      <c r="CL145" s="333"/>
      <c r="CM145" s="333"/>
      <c r="CN145" s="333"/>
      <c r="CO145" s="333"/>
      <c r="CP145" s="333"/>
      <c r="CQ145" s="333"/>
      <c r="CR145" s="333"/>
      <c r="CS145" s="333"/>
      <c r="CT145" s="333"/>
      <c r="CU145" s="333"/>
      <c r="CV145" s="333"/>
      <c r="CW145" s="333"/>
      <c r="CX145" s="333"/>
      <c r="CY145" s="333"/>
      <c r="CZ145" s="333"/>
      <c r="DA145" s="333"/>
      <c r="DB145" s="333"/>
      <c r="DC145" s="333"/>
      <c r="DD145" s="333"/>
      <c r="DE145" s="333"/>
      <c r="DF145" s="333"/>
      <c r="DG145" s="333"/>
      <c r="DH145" s="333"/>
      <c r="DI145" s="333"/>
      <c r="DJ145" s="333"/>
      <c r="DK145" s="333"/>
      <c r="DL145" s="333"/>
      <c r="DM145" s="333"/>
      <c r="DN145" s="333"/>
      <c r="DO145" s="333"/>
      <c r="DP145" s="333"/>
      <c r="DQ145" s="333"/>
      <c r="DR145" s="333"/>
      <c r="DS145" s="333"/>
      <c r="DT145" s="333"/>
      <c r="DU145" s="375"/>
      <c r="DV145" s="375"/>
      <c r="DW145" s="375"/>
      <c r="DX145" s="375"/>
      <c r="DY145" s="375"/>
      <c r="DZ145" s="375"/>
      <c r="EA145" s="375"/>
      <c r="EB145" s="375"/>
      <c r="EC145" s="359"/>
      <c r="ED145" s="359"/>
      <c r="EE145" s="359"/>
      <c r="EF145" s="359"/>
      <c r="EG145" s="359"/>
      <c r="EH145" s="359"/>
      <c r="EI145" s="359"/>
      <c r="EJ145" s="373"/>
      <c r="EK145" s="373"/>
      <c r="EL145" s="366"/>
      <c r="EM145" s="368"/>
      <c r="EN145" s="364"/>
      <c r="EO145" s="352">
        <f>+SUM(EP143:EP147) - SUM(EQ143:EQ147)</f>
        <v>0</v>
      </c>
      <c r="EP145" s="347"/>
      <c r="EQ145" s="342"/>
      <c r="ER145" s="522"/>
      <c r="ES145" s="916">
        <f>IF(ER145 = "", 0,
IF(AND(EP145 &gt; 0, EQ145 &gt;0), 0, IF(EO143 &lt;&gt; $Z$1,
IF(AND(EP145 &lt;&gt; "", EP145 &lt;&gt; 0), -(EP145 * ER145 * 100),
IF(AND(EQ145 &lt;&gt; "", EQ145 &lt;&gt; 0), (EQ145 * ER145 * 100), 0)),
IF(AND(EP145 &lt;&gt; "", EP145 &lt;&gt; 0), -(EP145 * ER145 * 1),
IF(AND(EQ145 &lt;&gt; "", EQ145 &lt;&gt; 0), (EQ145 * ER145 * 1), 0))  )))</f>
        <v>0</v>
      </c>
      <c r="ET145" s="917"/>
      <c r="EU145" s="918"/>
      <c r="EV145" s="916">
        <f>IF(ER145 = "", 0,
IF(AND(EP145 &gt; 0, EQ145 &gt;0), 0,  IF(EO143 &lt;&gt; $Z$1,
IF(AND(EP145 &lt;&gt; "", EP145 &lt;&gt; 0), -(EP145 * ER145 * 100 * (1 + COMIS_OPCION)),
IF(AND(EQ145 &lt;&gt; "", EQ145 &lt;&gt; 0), (EQ145 * ER145 * 100 * (1 - COMIS_OPCION)), 0)),
IF(AND(EP145 &lt;&gt; "", EP145 &lt;&gt; 0), -(EP145 * ER145 * 1 * (1 + COMIS_ACCION)),
IF(AND(EQ145 &lt;&gt; "", EQ145 &lt;&gt; 0), (EQ145 * ER145 * 1 * (1 - COMIS_ACCION)), 0))  )))</f>
        <v>0</v>
      </c>
      <c r="EW145" s="917"/>
      <c r="EX145" s="917"/>
      <c r="EY145" s="917"/>
      <c r="EZ145" s="917"/>
      <c r="FA145" s="917"/>
      <c r="FB145" s="917"/>
      <c r="FC145" s="917"/>
      <c r="FD145" s="925"/>
      <c r="FE145" s="340"/>
      <c r="FF145" s="340"/>
      <c r="FG145" s="365"/>
      <c r="FH145" s="365"/>
      <c r="FI145" s="354">
        <f>+SUM(FJ143:FJ147) - SUM(FK143:FK147)</f>
        <v>0</v>
      </c>
      <c r="FJ145" s="347"/>
      <c r="FK145" s="342"/>
      <c r="FL145" s="343"/>
      <c r="FM145" s="930">
        <f>IF(FL145 = "", 0,
IF(AND(FJ145 &gt; 0, FK145 &gt;0), 0,
IF(AND(FJ145 &lt;&gt; "", FJ145 &lt;&gt; 0), -(FJ145 * FL145 * 100),
IF(AND(FK145 &lt;&gt; "", FK145 &lt;&gt; 0), (FK145 * FL145 * 100), 0)) ))</f>
        <v>0</v>
      </c>
      <c r="FN145" s="931"/>
      <c r="FO145" s="932"/>
      <c r="FP145" s="930">
        <f>IF(FL145 = "", 0,
IF(AND(FJ145 &gt; 0, FK145 &gt;0), 0,
IF(AND(FJ145 &lt;&gt; "", FJ145 &lt;&gt; 0), -(FJ145 * FL145 * 100 * (1 + COMIS_OPCION)),
IF(AND(FK145 &lt;&gt; "", FK145 &lt;&gt; 0), (FK145 * FL145 * 100 * (1 - COMIS_OPCION)), 0)) ))</f>
        <v>0</v>
      </c>
      <c r="FQ145" s="931"/>
      <c r="FR145" s="931"/>
      <c r="FS145" s="931"/>
      <c r="FT145" s="931"/>
      <c r="FU145" s="931"/>
      <c r="FV145" s="931"/>
      <c r="FW145" s="931"/>
      <c r="FX145" s="933"/>
      <c r="FY145" s="341"/>
      <c r="FZ145" s="341"/>
      <c r="GA145" s="341"/>
      <c r="GB145" s="495">
        <v>0</v>
      </c>
      <c r="GC145" s="495">
        <v>0</v>
      </c>
      <c r="GD145" s="500"/>
      <c r="GE145" s="495">
        <v>0</v>
      </c>
      <c r="GF145" s="495">
        <v>0</v>
      </c>
      <c r="GG145" s="495">
        <v>0</v>
      </c>
      <c r="GH145" s="359"/>
      <c r="GI145" s="359"/>
      <c r="GJ145" s="501"/>
      <c r="GK145" s="495">
        <v>0</v>
      </c>
      <c r="GL145" s="495">
        <v>0</v>
      </c>
      <c r="GM145" s="495">
        <v>0</v>
      </c>
      <c r="GN145" s="359"/>
      <c r="GO145" s="359"/>
      <c r="GP145" s="501"/>
      <c r="GQ145" s="495">
        <v>0</v>
      </c>
      <c r="GR145" s="375"/>
      <c r="GS145" s="333"/>
      <c r="GT145" s="333"/>
      <c r="GU145" s="333"/>
      <c r="GV145" s="333"/>
      <c r="GW145" s="333"/>
      <c r="GX145" s="333"/>
      <c r="GY145" s="333"/>
      <c r="GZ145" s="333"/>
      <c r="HA145" s="333"/>
      <c r="HB145" s="333"/>
      <c r="HC145" s="333"/>
      <c r="HD145" s="333"/>
      <c r="HE145" s="333"/>
      <c r="HF145" s="333"/>
      <c r="HG145" s="331"/>
      <c r="HH145" s="331"/>
      <c r="HI145" s="331"/>
      <c r="HJ145" s="331"/>
      <c r="HK145" s="331"/>
      <c r="HL145" s="331"/>
      <c r="HM145" s="331"/>
      <c r="HN145" s="333"/>
      <c r="HO145" s="333"/>
      <c r="HP145" s="333"/>
      <c r="HQ145" s="333"/>
      <c r="HR145" s="333"/>
      <c r="HS145" s="333"/>
      <c r="HT145" s="333"/>
      <c r="HU145" s="333"/>
      <c r="HV145" s="333"/>
      <c r="HW145" s="333"/>
      <c r="HX145" s="333"/>
      <c r="HY145" s="333"/>
      <c r="HZ145" s="333"/>
      <c r="IA145" s="333"/>
      <c r="IB145" s="333"/>
      <c r="IC145" s="333"/>
      <c r="ID145" s="55"/>
      <c r="IE145" s="47"/>
    </row>
    <row r="146" spans="13:290" s="142" customFormat="1" ht="15" customHeight="1">
      <c r="M146" s="333"/>
      <c r="N146" s="333"/>
      <c r="O146" s="333"/>
      <c r="P146" s="333"/>
      <c r="Q146" s="333"/>
      <c r="R146" s="333"/>
      <c r="S146" s="333"/>
      <c r="T146" s="333"/>
      <c r="U146" s="333"/>
      <c r="V146" s="333"/>
      <c r="W146" s="333"/>
      <c r="X146" s="333"/>
      <c r="Y146" s="333"/>
      <c r="Z146" s="333"/>
      <c r="AA146" s="333"/>
      <c r="AB146" s="333"/>
      <c r="AC146" s="333"/>
      <c r="AD146" s="333"/>
      <c r="AE146" s="333"/>
      <c r="AF146" s="333"/>
      <c r="AG146" s="333"/>
      <c r="AH146" s="333"/>
      <c r="AI146" s="333"/>
      <c r="AJ146" s="333"/>
      <c r="AK146" s="333"/>
      <c r="AL146" s="333"/>
      <c r="AM146" s="333"/>
      <c r="AN146" s="333"/>
      <c r="AO146" s="333"/>
      <c r="AP146" s="333"/>
      <c r="AQ146" s="333"/>
      <c r="AR146" s="333"/>
      <c r="AS146" s="333"/>
      <c r="AT146" s="333"/>
      <c r="AU146" s="333"/>
      <c r="AV146" s="333"/>
      <c r="AW146" s="333"/>
      <c r="AX146" s="333"/>
      <c r="AY146" s="333"/>
      <c r="AZ146" s="333"/>
      <c r="BA146" s="333"/>
      <c r="BB146" s="333"/>
      <c r="BC146" s="333"/>
      <c r="BD146" s="333"/>
      <c r="BE146" s="333"/>
      <c r="BF146" s="333"/>
      <c r="BG146" s="333"/>
      <c r="BH146" s="333"/>
      <c r="BI146" s="333"/>
      <c r="BJ146" s="333"/>
      <c r="BK146" s="333"/>
      <c r="BL146" s="333"/>
      <c r="BM146" s="333"/>
      <c r="BN146" s="333"/>
      <c r="BO146" s="333"/>
      <c r="BP146" s="333"/>
      <c r="BQ146" s="333"/>
      <c r="BR146" s="333"/>
      <c r="BS146" s="333"/>
      <c r="BT146" s="333"/>
      <c r="BU146" s="333"/>
      <c r="BV146" s="333"/>
      <c r="BW146" s="333"/>
      <c r="BX146" s="333"/>
      <c r="BY146" s="333"/>
      <c r="BZ146" s="333"/>
      <c r="CA146" s="333"/>
      <c r="CB146" s="333"/>
      <c r="CC146" s="333"/>
      <c r="CD146" s="333"/>
      <c r="CE146" s="333"/>
      <c r="CF146" s="333"/>
      <c r="CG146" s="333"/>
      <c r="CH146" s="333"/>
      <c r="CI146" s="333"/>
      <c r="CJ146" s="333"/>
      <c r="CK146" s="333"/>
      <c r="CL146" s="333"/>
      <c r="CM146" s="333"/>
      <c r="CN146" s="333"/>
      <c r="CO146" s="333"/>
      <c r="CP146" s="333"/>
      <c r="CQ146" s="333"/>
      <c r="CR146" s="333"/>
      <c r="CS146" s="333"/>
      <c r="CT146" s="333"/>
      <c r="CU146" s="333"/>
      <c r="CV146" s="333"/>
      <c r="CW146" s="333"/>
      <c r="CX146" s="333"/>
      <c r="CY146" s="333"/>
      <c r="CZ146" s="333"/>
      <c r="DA146" s="333"/>
      <c r="DB146" s="333"/>
      <c r="DC146" s="333"/>
      <c r="DD146" s="333"/>
      <c r="DE146" s="333"/>
      <c r="DF146" s="333"/>
      <c r="DG146" s="333"/>
      <c r="DH146" s="333"/>
      <c r="DI146" s="333"/>
      <c r="DJ146" s="333"/>
      <c r="DK146" s="333"/>
      <c r="DL146" s="333"/>
      <c r="DM146" s="333"/>
      <c r="DN146" s="333"/>
      <c r="DO146" s="333"/>
      <c r="DP146" s="333"/>
      <c r="DQ146" s="333"/>
      <c r="DR146" s="333"/>
      <c r="DS146" s="333"/>
      <c r="DT146" s="333"/>
      <c r="DU146" s="375"/>
      <c r="DV146" s="375"/>
      <c r="DW146" s="375"/>
      <c r="DX146" s="375"/>
      <c r="DY146" s="375"/>
      <c r="DZ146" s="375"/>
      <c r="EA146" s="375"/>
      <c r="EB146" s="375"/>
      <c r="EC146" s="359"/>
      <c r="ED146" s="359"/>
      <c r="EE146" s="359"/>
      <c r="EF146" s="359"/>
      <c r="EG146" s="359"/>
      <c r="EH146" s="359"/>
      <c r="EI146" s="359"/>
      <c r="EJ146" s="373"/>
      <c r="EK146" s="373"/>
      <c r="EL146" s="366"/>
      <c r="EM146" s="368"/>
      <c r="EN146" s="364"/>
      <c r="EO146" s="352">
        <f>IF(EO145=0, 0, SUM(EV143:FD147))</f>
        <v>0</v>
      </c>
      <c r="EP146" s="347"/>
      <c r="EQ146" s="342"/>
      <c r="ER146" s="522"/>
      <c r="ES146" s="916">
        <f>IF(ER146 = "", 0,
IF(AND(EP146 &gt; 0, EQ146 &gt;0), 0, IF(EO143 &lt;&gt; $Z$1,
IF(AND(EP146 &lt;&gt; "", EP146 &lt;&gt; 0), -(EP146 * ER146 * 100),
IF(AND(EQ146 &lt;&gt; "", EQ146 &lt;&gt; 0), (EQ146 * ER146 * 100), 0)),
IF(AND(EP146 &lt;&gt; "", EP146 &lt;&gt; 0), -(EP146 * ER146 * 1),
IF(AND(EQ146 &lt;&gt; "", EQ146 &lt;&gt; 0), (EQ146 * ER146 * 1), 0))  )))</f>
        <v>0</v>
      </c>
      <c r="ET146" s="917"/>
      <c r="EU146" s="918"/>
      <c r="EV146" s="916">
        <f>IF(ER146 = "", 0,
IF(AND(EP146 &gt; 0, EQ146 &gt;0), 0,  IF(EO143 &lt;&gt; $Z$1,
IF(AND(EP146 &lt;&gt; "", EP146 &lt;&gt; 0), -(EP146 * ER146 * 100 * (1 + COMIS_OPCION)),
IF(AND(EQ146 &lt;&gt; "", EQ146 &lt;&gt; 0), (EQ146 * ER146 * 100 * (1 - COMIS_OPCION)), 0)),
IF(AND(EP146 &lt;&gt; "", EP146 &lt;&gt; 0), -(EP146 * ER146 * 1 * (1 + COMIS_ACCION)),
IF(AND(EQ146 &lt;&gt; "", EQ146 &lt;&gt; 0), (EQ146 * ER146 * 1 * (1 - COMIS_ACCION)), 0))  )))</f>
        <v>0</v>
      </c>
      <c r="EW146" s="917"/>
      <c r="EX146" s="917"/>
      <c r="EY146" s="917"/>
      <c r="EZ146" s="917"/>
      <c r="FA146" s="917"/>
      <c r="FB146" s="917"/>
      <c r="FC146" s="917"/>
      <c r="FD146" s="925"/>
      <c r="FE146" s="340"/>
      <c r="FF146" s="340"/>
      <c r="FG146" s="365"/>
      <c r="FH146" s="365"/>
      <c r="FI146" s="354">
        <f>IF(FI145=0, 0, SUM(FP143:FX147))</f>
        <v>0</v>
      </c>
      <c r="FJ146" s="347"/>
      <c r="FK146" s="342"/>
      <c r="FL146" s="343"/>
      <c r="FM146" s="930">
        <f>IF(FL146 = "", 0,
IF(AND(FJ146 &gt; 0, FK146 &gt;0), 0,
IF(AND(FJ146 &lt;&gt; "", FJ146 &lt;&gt; 0), -(FJ146 * FL146 * 100),
IF(AND(FK146 &lt;&gt; "", FK146 &lt;&gt; 0), (FK146 * FL146 * 100), 0)) ))</f>
        <v>0</v>
      </c>
      <c r="FN146" s="931"/>
      <c r="FO146" s="932"/>
      <c r="FP146" s="930">
        <f>IF(FL146 = "", 0,
IF(AND(FJ146 &gt; 0, FK146 &gt;0), 0,
IF(AND(FJ146 &lt;&gt; "", FJ146 &lt;&gt; 0), -(FJ146 * FL146 * 100 * (1 + COMIS_OPCION)),
IF(AND(FK146 &lt;&gt; "", FK146 &lt;&gt; 0), (FK146 * FL146 * 100 * (1 - COMIS_OPCION)), 0)) ))</f>
        <v>0</v>
      </c>
      <c r="FQ146" s="931"/>
      <c r="FR146" s="931"/>
      <c r="FS146" s="931"/>
      <c r="FT146" s="931"/>
      <c r="FU146" s="931"/>
      <c r="FV146" s="931"/>
      <c r="FW146" s="931"/>
      <c r="FX146" s="933"/>
      <c r="FY146" s="341"/>
      <c r="FZ146" s="341"/>
      <c r="GA146" s="341"/>
      <c r="GB146" s="495">
        <v>0</v>
      </c>
      <c r="GC146" s="495">
        <v>0</v>
      </c>
      <c r="GD146" s="500"/>
      <c r="GE146" s="495">
        <v>0</v>
      </c>
      <c r="GF146" s="495">
        <v>0</v>
      </c>
      <c r="GG146" s="495">
        <v>0</v>
      </c>
      <c r="GH146" s="359"/>
      <c r="GI146" s="359"/>
      <c r="GJ146" s="501"/>
      <c r="GK146" s="495">
        <v>0</v>
      </c>
      <c r="GL146" s="495">
        <v>0</v>
      </c>
      <c r="GM146" s="495">
        <v>0</v>
      </c>
      <c r="GN146" s="359"/>
      <c r="GO146" s="359"/>
      <c r="GP146" s="501"/>
      <c r="GQ146" s="495">
        <v>0</v>
      </c>
      <c r="GR146" s="375"/>
      <c r="GS146" s="333"/>
      <c r="GT146" s="333"/>
      <c r="GU146" s="333"/>
      <c r="GV146" s="333"/>
      <c r="GW146" s="333"/>
      <c r="GX146" s="333"/>
      <c r="GY146" s="333"/>
      <c r="GZ146" s="333"/>
      <c r="HA146" s="333"/>
      <c r="HB146" s="333"/>
      <c r="HC146" s="333"/>
      <c r="HD146" s="333"/>
      <c r="HE146" s="333"/>
      <c r="HF146" s="333"/>
      <c r="HG146" s="331"/>
      <c r="HH146" s="331"/>
      <c r="HI146" s="331"/>
      <c r="HJ146" s="331"/>
      <c r="HK146" s="331"/>
      <c r="HL146" s="331"/>
      <c r="HM146" s="331"/>
      <c r="HN146" s="333"/>
      <c r="HO146" s="333"/>
      <c r="HP146" s="333"/>
      <c r="HQ146" s="333"/>
      <c r="HR146" s="333"/>
      <c r="HS146" s="333"/>
      <c r="HT146" s="333"/>
      <c r="HU146" s="333"/>
      <c r="HV146" s="333"/>
      <c r="HW146" s="333"/>
      <c r="HX146" s="333"/>
      <c r="HY146" s="333"/>
      <c r="HZ146" s="333"/>
      <c r="IA146" s="333"/>
      <c r="IB146" s="333"/>
      <c r="IC146" s="333"/>
      <c r="ID146" s="55"/>
      <c r="IE146" s="47"/>
      <c r="IJ146" s="144"/>
      <c r="IK146" s="144"/>
      <c r="IL146" s="144"/>
      <c r="IM146" s="144"/>
      <c r="IN146" s="144"/>
      <c r="IO146" s="56"/>
      <c r="IP146" s="144"/>
      <c r="IQ146" s="144"/>
      <c r="IR146" s="144"/>
      <c r="IS146" s="144"/>
      <c r="IT146" s="144"/>
      <c r="IU146" s="144"/>
      <c r="IV146" s="144"/>
      <c r="IW146" s="144"/>
      <c r="IX146" s="144"/>
      <c r="IY146" s="144"/>
      <c r="IZ146" s="144"/>
      <c r="JA146" s="144"/>
      <c r="JB146" s="144"/>
      <c r="JC146" s="144"/>
      <c r="JD146" s="144"/>
      <c r="JE146" s="144"/>
      <c r="JF146" s="144"/>
      <c r="JG146" s="144"/>
      <c r="JH146" s="144"/>
      <c r="JI146" s="144"/>
      <c r="JJ146" s="144"/>
      <c r="JK146" s="144"/>
      <c r="JL146" s="144"/>
      <c r="JM146" s="144"/>
      <c r="JN146" s="144"/>
      <c r="JO146" s="144"/>
      <c r="JP146" s="144"/>
      <c r="JQ146" s="144"/>
      <c r="JR146" s="144"/>
      <c r="JS146" s="144"/>
      <c r="JT146" s="144"/>
      <c r="JU146" s="144"/>
      <c r="JV146" s="144"/>
      <c r="JW146" s="144"/>
      <c r="JX146" s="144"/>
      <c r="JY146" s="144"/>
      <c r="JZ146" s="144"/>
      <c r="KA146" s="144"/>
      <c r="KB146" s="144"/>
      <c r="KC146" s="144"/>
      <c r="KD146" s="144"/>
    </row>
    <row r="147" spans="13:290" s="142" customFormat="1" ht="15" customHeight="1" thickBot="1">
      <c r="M147" s="333"/>
      <c r="N147" s="333"/>
      <c r="O147" s="333"/>
      <c r="P147" s="333"/>
      <c r="Q147" s="333"/>
      <c r="R147" s="333"/>
      <c r="S147" s="333"/>
      <c r="T147" s="333"/>
      <c r="U147" s="333"/>
      <c r="V147" s="333"/>
      <c r="W147" s="333"/>
      <c r="X147" s="333"/>
      <c r="Y147" s="333"/>
      <c r="Z147" s="333"/>
      <c r="AA147" s="333"/>
      <c r="AB147" s="333"/>
      <c r="AC147" s="333"/>
      <c r="AD147" s="333"/>
      <c r="AE147" s="333"/>
      <c r="AF147" s="333"/>
      <c r="AG147" s="333"/>
      <c r="AH147" s="333"/>
      <c r="AI147" s="333"/>
      <c r="AJ147" s="333"/>
      <c r="AK147" s="333"/>
      <c r="AL147" s="333"/>
      <c r="AM147" s="333"/>
      <c r="AN147" s="333"/>
      <c r="AO147" s="333"/>
      <c r="AP147" s="333"/>
      <c r="AQ147" s="333"/>
      <c r="AR147" s="333"/>
      <c r="AS147" s="333"/>
      <c r="AT147" s="333"/>
      <c r="AU147" s="333"/>
      <c r="AV147" s="333"/>
      <c r="AW147" s="333"/>
      <c r="AX147" s="333"/>
      <c r="AY147" s="333"/>
      <c r="AZ147" s="333"/>
      <c r="BA147" s="333"/>
      <c r="BB147" s="333"/>
      <c r="BC147" s="333"/>
      <c r="BD147" s="333"/>
      <c r="BE147" s="333"/>
      <c r="BF147" s="333"/>
      <c r="BG147" s="333"/>
      <c r="BH147" s="333"/>
      <c r="BI147" s="333"/>
      <c r="BJ147" s="333"/>
      <c r="BK147" s="333"/>
      <c r="BL147" s="333"/>
      <c r="BM147" s="333"/>
      <c r="BN147" s="333"/>
      <c r="BO147" s="333"/>
      <c r="BP147" s="333"/>
      <c r="BQ147" s="333"/>
      <c r="BR147" s="333"/>
      <c r="BS147" s="333"/>
      <c r="BT147" s="333"/>
      <c r="BU147" s="333"/>
      <c r="BV147" s="333"/>
      <c r="BW147" s="333"/>
      <c r="BX147" s="333"/>
      <c r="BY147" s="333"/>
      <c r="BZ147" s="333"/>
      <c r="CA147" s="333"/>
      <c r="CB147" s="333"/>
      <c r="CC147" s="333"/>
      <c r="CD147" s="333"/>
      <c r="CE147" s="333"/>
      <c r="CF147" s="333"/>
      <c r="CG147" s="333"/>
      <c r="CH147" s="333"/>
      <c r="CI147" s="333"/>
      <c r="CJ147" s="333"/>
      <c r="CK147" s="333"/>
      <c r="CL147" s="333"/>
      <c r="CM147" s="333"/>
      <c r="CN147" s="333"/>
      <c r="CO147" s="333"/>
      <c r="CP147" s="333"/>
      <c r="CQ147" s="333"/>
      <c r="CR147" s="333"/>
      <c r="CS147" s="333"/>
      <c r="CT147" s="333"/>
      <c r="CU147" s="333"/>
      <c r="CV147" s="333"/>
      <c r="CW147" s="333"/>
      <c r="CX147" s="333"/>
      <c r="CY147" s="333"/>
      <c r="CZ147" s="333"/>
      <c r="DA147" s="333"/>
      <c r="DB147" s="333"/>
      <c r="DC147" s="333"/>
      <c r="DD147" s="333"/>
      <c r="DE147" s="333"/>
      <c r="DF147" s="333"/>
      <c r="DG147" s="333"/>
      <c r="DH147" s="333"/>
      <c r="DI147" s="333"/>
      <c r="DJ147" s="333"/>
      <c r="DK147" s="333"/>
      <c r="DL147" s="333"/>
      <c r="DM147" s="333"/>
      <c r="DN147" s="333"/>
      <c r="DO147" s="333"/>
      <c r="DP147" s="333"/>
      <c r="DQ147" s="333"/>
      <c r="DR147" s="333"/>
      <c r="DS147" s="333"/>
      <c r="DT147" s="333"/>
      <c r="DU147" s="375"/>
      <c r="DV147" s="375"/>
      <c r="DW147" s="375"/>
      <c r="DX147" s="375"/>
      <c r="DY147" s="375"/>
      <c r="DZ147" s="375"/>
      <c r="EA147" s="375"/>
      <c r="EB147" s="375"/>
      <c r="EC147" s="359"/>
      <c r="ED147" s="359"/>
      <c r="EE147" s="359"/>
      <c r="EF147" s="359"/>
      <c r="EG147" s="359"/>
      <c r="EH147" s="359"/>
      <c r="EI147" s="359"/>
      <c r="EJ147" s="373"/>
      <c r="EK147" s="373"/>
      <c r="EL147" s="366"/>
      <c r="EM147" s="368"/>
      <c r="EN147" s="364"/>
      <c r="EO147" s="353">
        <f>+IF(EO145= 0, 0, GG143)</f>
        <v>0</v>
      </c>
      <c r="EP147" s="350"/>
      <c r="EQ147" s="344"/>
      <c r="ER147" s="523"/>
      <c r="ES147" s="921">
        <f>IF(ER147 = "", 0,
IF(AND(EP147 &gt; 0, EQ147 &gt;0), 0, IF(EO143 &lt;&gt; $Z$1,
IF(AND(EP147 &lt;&gt; "", EP147 &lt;&gt; 0), -(EP147 * ER147 * 100),
IF(AND(EQ147 &lt;&gt; "", EQ147 &lt;&gt; 0), (EQ147 * ER147 * 100), 0)),
IF(AND(EP147 &lt;&gt; "", EP147 &lt;&gt; 0), -(EP147 * ER147 * 1),
IF(AND(EQ147 &lt;&gt; "", EQ147 &lt;&gt; 0), (EQ147 * ER147 * 1), 0))  )))</f>
        <v>0</v>
      </c>
      <c r="ET147" s="922"/>
      <c r="EU147" s="924"/>
      <c r="EV147" s="921">
        <f>IF(ER147 = "", 0,
IF(AND(EP147 &gt; 0, EQ147 &gt;0), 0,  IF(EO143 &lt;&gt; $Z$1,
IF(AND(EP147 &lt;&gt; "", EP147 &lt;&gt; 0), -(EP147 * ER147 * 100 * (1 + COMIS_OPCION)),
IF(AND(EQ147 &lt;&gt; "", EQ147 &lt;&gt; 0), (EQ147 * ER147 * 100 * (1 - COMIS_OPCION)), 0)),
IF(AND(EP147 &lt;&gt; "", EP147 &lt;&gt; 0), -(EP147 * ER147 * 1 * (1 + COMIS_ACCION)),
IF(AND(EQ147 &lt;&gt; "", EQ147 &lt;&gt; 0), (EQ147 * ER147 * 1 * (1 - COMIS_ACCION)), 0))  )))</f>
        <v>0</v>
      </c>
      <c r="EW147" s="922"/>
      <c r="EX147" s="922"/>
      <c r="EY147" s="922"/>
      <c r="EZ147" s="922"/>
      <c r="FA147" s="922"/>
      <c r="FB147" s="922"/>
      <c r="FC147" s="922"/>
      <c r="FD147" s="923"/>
      <c r="FE147" s="340"/>
      <c r="FF147" s="340"/>
      <c r="FG147" s="365"/>
      <c r="FH147" s="365"/>
      <c r="FI147" s="349">
        <f>+IF(FI145= 0, 0, GQ143)</f>
        <v>0</v>
      </c>
      <c r="FJ147" s="348"/>
      <c r="FK147" s="345"/>
      <c r="FL147" s="346"/>
      <c r="FM147" s="937">
        <f>IF(FL147 = "", 0,
IF(AND(FJ147 &gt; 0, FK147 &gt;0), 0,
IF(AND(FJ147 &lt;&gt; "", FJ147 &lt;&gt; 0), -(FJ147 * FL147 * 100),
IF(AND(FK147 &lt;&gt; "", FK147 &lt;&gt; 0), (FK147 * FL147 * 100), 0)) ))</f>
        <v>0</v>
      </c>
      <c r="FN147" s="938"/>
      <c r="FO147" s="939"/>
      <c r="FP147" s="937">
        <f>IF(FL147 = "", 0,
IF(AND(FJ147 &gt; 0, FK147 &gt;0), 0,
IF(AND(FJ147 &lt;&gt; "", FJ147 &lt;&gt; 0), -(FJ147 * FL147 * 100 * (1 + COMIS_OPCION)),
IF(AND(FK147 &lt;&gt; "", FK147 &lt;&gt; 0), (FK147 * FL147 * 100 * (1 - COMIS_OPCION)), 0)) ))</f>
        <v>0</v>
      </c>
      <c r="FQ147" s="938"/>
      <c r="FR147" s="938"/>
      <c r="FS147" s="938"/>
      <c r="FT147" s="938"/>
      <c r="FU147" s="938"/>
      <c r="FV147" s="938"/>
      <c r="FW147" s="938"/>
      <c r="FX147" s="969"/>
      <c r="FY147" s="341"/>
      <c r="FZ147" s="341"/>
      <c r="GA147" s="341"/>
      <c r="GB147" s="495">
        <v>0</v>
      </c>
      <c r="GC147" s="495">
        <v>0</v>
      </c>
      <c r="GD147" s="500"/>
      <c r="GE147" s="495">
        <v>0</v>
      </c>
      <c r="GF147" s="495">
        <v>0</v>
      </c>
      <c r="GG147" s="495">
        <v>0</v>
      </c>
      <c r="GH147" s="359"/>
      <c r="GI147" s="359"/>
      <c r="GJ147" s="501"/>
      <c r="GK147" s="495">
        <v>0</v>
      </c>
      <c r="GL147" s="495">
        <v>0</v>
      </c>
      <c r="GM147" s="495">
        <v>0</v>
      </c>
      <c r="GN147" s="359"/>
      <c r="GO147" s="359"/>
      <c r="GP147" s="501"/>
      <c r="GQ147" s="495">
        <v>0</v>
      </c>
      <c r="GR147" s="375"/>
      <c r="GS147" s="333"/>
      <c r="GT147" s="333"/>
      <c r="GU147" s="333"/>
      <c r="GV147" s="333"/>
      <c r="GW147" s="333"/>
      <c r="GX147" s="333"/>
      <c r="GY147" s="333"/>
      <c r="GZ147" s="333"/>
      <c r="HA147" s="333"/>
      <c r="HB147" s="333"/>
      <c r="HC147" s="333"/>
      <c r="HD147" s="333"/>
      <c r="HE147" s="333"/>
      <c r="HF147" s="333"/>
      <c r="HG147" s="331"/>
      <c r="HH147" s="331"/>
      <c r="HI147" s="331"/>
      <c r="HJ147" s="331"/>
      <c r="HK147" s="331"/>
      <c r="HL147" s="331"/>
      <c r="HM147" s="331"/>
      <c r="HN147" s="333"/>
      <c r="HO147" s="333"/>
      <c r="HP147" s="333"/>
      <c r="HQ147" s="333"/>
      <c r="HR147" s="333"/>
      <c r="HS147" s="333"/>
      <c r="HT147" s="333"/>
      <c r="HU147" s="333"/>
      <c r="HV147" s="333"/>
      <c r="HW147" s="333"/>
      <c r="HX147" s="333"/>
      <c r="HY147" s="333"/>
      <c r="HZ147" s="333"/>
      <c r="IA147" s="333"/>
      <c r="IB147" s="333"/>
      <c r="IC147" s="333"/>
      <c r="ID147" s="55"/>
      <c r="IE147" s="47"/>
    </row>
    <row r="148" spans="13:290" s="142" customFormat="1" ht="15" customHeight="1" thickBot="1">
      <c r="M148" s="333"/>
      <c r="N148" s="333"/>
      <c r="O148" s="333"/>
      <c r="P148" s="333"/>
      <c r="Q148" s="333"/>
      <c r="R148" s="333"/>
      <c r="S148" s="333"/>
      <c r="T148" s="333"/>
      <c r="U148" s="333"/>
      <c r="V148" s="333"/>
      <c r="W148" s="333"/>
      <c r="X148" s="333"/>
      <c r="Y148" s="333"/>
      <c r="Z148" s="333"/>
      <c r="AA148" s="333"/>
      <c r="AB148" s="333"/>
      <c r="AC148" s="333"/>
      <c r="AD148" s="333"/>
      <c r="AE148" s="333"/>
      <c r="AF148" s="333"/>
      <c r="AG148" s="333"/>
      <c r="AH148" s="333"/>
      <c r="AI148" s="333"/>
      <c r="AJ148" s="333"/>
      <c r="AK148" s="333"/>
      <c r="AL148" s="333"/>
      <c r="AM148" s="333"/>
      <c r="AN148" s="333"/>
      <c r="AO148" s="333"/>
      <c r="AP148" s="333"/>
      <c r="AQ148" s="333"/>
      <c r="AR148" s="333"/>
      <c r="AS148" s="333"/>
      <c r="AT148" s="333"/>
      <c r="AU148" s="333"/>
      <c r="AV148" s="333"/>
      <c r="AW148" s="333"/>
      <c r="AX148" s="333"/>
      <c r="AY148" s="333"/>
      <c r="AZ148" s="333"/>
      <c r="BA148" s="333"/>
      <c r="BB148" s="333"/>
      <c r="BC148" s="333"/>
      <c r="BD148" s="333"/>
      <c r="BE148" s="333"/>
      <c r="BF148" s="333"/>
      <c r="BG148" s="333"/>
      <c r="BH148" s="333"/>
      <c r="BI148" s="333"/>
      <c r="BJ148" s="333"/>
      <c r="BK148" s="333"/>
      <c r="BL148" s="333"/>
      <c r="BM148" s="333"/>
      <c r="BN148" s="333"/>
      <c r="BO148" s="333"/>
      <c r="BP148" s="333"/>
      <c r="BQ148" s="333"/>
      <c r="BR148" s="333"/>
      <c r="BS148" s="333"/>
      <c r="BT148" s="333"/>
      <c r="BU148" s="333"/>
      <c r="BV148" s="333"/>
      <c r="BW148" s="333"/>
      <c r="BX148" s="333"/>
      <c r="BY148" s="333"/>
      <c r="BZ148" s="333"/>
      <c r="CA148" s="333"/>
      <c r="CB148" s="333"/>
      <c r="CC148" s="333"/>
      <c r="CD148" s="333"/>
      <c r="CE148" s="333"/>
      <c r="CF148" s="333"/>
      <c r="CG148" s="333"/>
      <c r="CH148" s="333"/>
      <c r="CI148" s="333"/>
      <c r="CJ148" s="333"/>
      <c r="CK148" s="333"/>
      <c r="CL148" s="333"/>
      <c r="CM148" s="333"/>
      <c r="CN148" s="333"/>
      <c r="CO148" s="333"/>
      <c r="CP148" s="333"/>
      <c r="CQ148" s="333"/>
      <c r="CR148" s="333"/>
      <c r="CS148" s="333"/>
      <c r="CT148" s="333"/>
      <c r="CU148" s="333"/>
      <c r="CV148" s="333"/>
      <c r="CW148" s="333"/>
      <c r="CX148" s="333"/>
      <c r="CY148" s="333"/>
      <c r="CZ148" s="333"/>
      <c r="DA148" s="333"/>
      <c r="DB148" s="333"/>
      <c r="DC148" s="333"/>
      <c r="DD148" s="333"/>
      <c r="DE148" s="333"/>
      <c r="DF148" s="333"/>
      <c r="DG148" s="333"/>
      <c r="DH148" s="333"/>
      <c r="DI148" s="333"/>
      <c r="DJ148" s="333"/>
      <c r="DK148" s="333"/>
      <c r="DL148" s="333"/>
      <c r="DM148" s="333"/>
      <c r="DN148" s="333"/>
      <c r="DO148" s="333"/>
      <c r="DP148" s="333"/>
      <c r="DQ148" s="333"/>
      <c r="DR148" s="333"/>
      <c r="DS148" s="333"/>
      <c r="DT148" s="333"/>
      <c r="DU148" s="375"/>
      <c r="DV148" s="375"/>
      <c r="DW148" s="375"/>
      <c r="DX148" s="375"/>
      <c r="DY148" s="375"/>
      <c r="DZ148" s="375"/>
      <c r="EA148" s="375"/>
      <c r="EB148" s="375"/>
      <c r="EC148" s="359"/>
      <c r="ED148" s="359"/>
      <c r="EE148" s="359"/>
      <c r="EF148" s="359"/>
      <c r="EG148" s="359"/>
      <c r="EH148" s="359"/>
      <c r="EI148" s="359"/>
      <c r="EJ148" s="373"/>
      <c r="EK148" s="373"/>
      <c r="EL148" s="366"/>
      <c r="EM148" s="366"/>
      <c r="EN148" s="364"/>
      <c r="EO148" s="363"/>
      <c r="EP148" s="340"/>
      <c r="EQ148" s="340"/>
      <c r="ER148" s="340"/>
      <c r="ES148" s="363"/>
      <c r="ET148" s="363"/>
      <c r="EU148" s="340"/>
      <c r="EV148" s="340"/>
      <c r="EW148" s="340"/>
      <c r="EX148" s="340"/>
      <c r="EY148" s="340"/>
      <c r="EZ148" s="340"/>
      <c r="FA148" s="340"/>
      <c r="FB148" s="402"/>
      <c r="FC148" s="402"/>
      <c r="FD148" s="340"/>
      <c r="FE148" s="340"/>
      <c r="FF148" s="340"/>
      <c r="FG148" s="364"/>
      <c r="FH148" s="364"/>
      <c r="FI148" s="363"/>
      <c r="FJ148" s="360"/>
      <c r="FK148" s="360"/>
      <c r="FL148" s="340"/>
      <c r="FM148" s="967"/>
      <c r="FN148" s="967"/>
      <c r="FO148" s="967"/>
      <c r="FP148" s="968"/>
      <c r="FQ148" s="968"/>
      <c r="FR148" s="968"/>
      <c r="FS148" s="968"/>
      <c r="FT148" s="968"/>
      <c r="FU148" s="968"/>
      <c r="FV148" s="968"/>
      <c r="FW148" s="968"/>
      <c r="FX148" s="968"/>
      <c r="FY148" s="341"/>
      <c r="FZ148" s="341"/>
      <c r="GA148" s="341"/>
      <c r="GB148" s="495">
        <v>0</v>
      </c>
      <c r="GC148" s="495">
        <v>0</v>
      </c>
      <c r="GD148" s="500"/>
      <c r="GE148" s="495">
        <v>0</v>
      </c>
      <c r="GF148" s="495">
        <v>0</v>
      </c>
      <c r="GG148" s="495">
        <v>0</v>
      </c>
      <c r="GH148" s="359"/>
      <c r="GI148" s="359"/>
      <c r="GJ148" s="501"/>
      <c r="GK148" s="495">
        <v>0</v>
      </c>
      <c r="GL148" s="495">
        <v>0</v>
      </c>
      <c r="GM148" s="495">
        <v>0</v>
      </c>
      <c r="GN148" s="359"/>
      <c r="GO148" s="359"/>
      <c r="GP148" s="501"/>
      <c r="GQ148" s="495">
        <v>0</v>
      </c>
      <c r="GR148" s="375"/>
      <c r="GS148" s="333"/>
      <c r="GT148" s="333"/>
      <c r="GU148" s="333"/>
      <c r="GV148" s="333"/>
      <c r="GW148" s="333"/>
      <c r="GX148" s="333"/>
      <c r="GY148" s="333"/>
      <c r="GZ148" s="333"/>
      <c r="HA148" s="333"/>
      <c r="HB148" s="333"/>
      <c r="HC148" s="333"/>
      <c r="HD148" s="333"/>
      <c r="HE148" s="333"/>
      <c r="HF148" s="333"/>
      <c r="HG148" s="331"/>
      <c r="HH148" s="331"/>
      <c r="HI148" s="331"/>
      <c r="HJ148" s="331"/>
      <c r="HK148" s="331"/>
      <c r="HL148" s="331"/>
      <c r="HM148" s="331"/>
      <c r="HN148" s="333"/>
      <c r="HO148" s="333"/>
      <c r="HP148" s="333"/>
      <c r="HQ148" s="333"/>
      <c r="HR148" s="333"/>
      <c r="HS148" s="333"/>
      <c r="HT148" s="333"/>
      <c r="HU148" s="333"/>
      <c r="HV148" s="333"/>
      <c r="HW148" s="333"/>
      <c r="HX148" s="333"/>
      <c r="HY148" s="333"/>
      <c r="HZ148" s="333"/>
      <c r="IA148" s="333"/>
      <c r="IB148" s="333"/>
      <c r="IC148" s="333"/>
      <c r="ID148" s="55"/>
      <c r="IE148" s="47"/>
    </row>
    <row r="149" spans="13:290" s="142" customFormat="1" ht="15" customHeight="1">
      <c r="M149" s="333"/>
      <c r="N149" s="333"/>
      <c r="O149" s="333"/>
      <c r="P149" s="333"/>
      <c r="Q149" s="333"/>
      <c r="R149" s="333"/>
      <c r="S149" s="333"/>
      <c r="T149" s="333"/>
      <c r="U149" s="333"/>
      <c r="V149" s="333"/>
      <c r="W149" s="333"/>
      <c r="X149" s="333"/>
      <c r="Y149" s="333"/>
      <c r="Z149" s="333"/>
      <c r="AA149" s="333"/>
      <c r="AB149" s="333"/>
      <c r="AC149" s="333"/>
      <c r="AD149" s="333"/>
      <c r="AE149" s="333"/>
      <c r="AF149" s="333"/>
      <c r="AG149" s="333"/>
      <c r="AH149" s="333"/>
      <c r="AI149" s="333"/>
      <c r="AJ149" s="333"/>
      <c r="AK149" s="333"/>
      <c r="AL149" s="333"/>
      <c r="AM149" s="333"/>
      <c r="AN149" s="333"/>
      <c r="AO149" s="333"/>
      <c r="AP149" s="333"/>
      <c r="AQ149" s="333"/>
      <c r="AR149" s="333"/>
      <c r="AS149" s="333"/>
      <c r="AT149" s="333"/>
      <c r="AU149" s="333"/>
      <c r="AV149" s="333"/>
      <c r="AW149" s="333"/>
      <c r="AX149" s="333"/>
      <c r="AY149" s="333"/>
      <c r="AZ149" s="333"/>
      <c r="BA149" s="333"/>
      <c r="BB149" s="333"/>
      <c r="BC149" s="333"/>
      <c r="BD149" s="333"/>
      <c r="BE149" s="333"/>
      <c r="BF149" s="333"/>
      <c r="BG149" s="333"/>
      <c r="BH149" s="333"/>
      <c r="BI149" s="333"/>
      <c r="BJ149" s="333"/>
      <c r="BK149" s="333"/>
      <c r="BL149" s="333"/>
      <c r="BM149" s="333"/>
      <c r="BN149" s="333"/>
      <c r="BO149" s="333"/>
      <c r="BP149" s="333"/>
      <c r="BQ149" s="333"/>
      <c r="BR149" s="333"/>
      <c r="BS149" s="333"/>
      <c r="BT149" s="333"/>
      <c r="BU149" s="333"/>
      <c r="BV149" s="333"/>
      <c r="BW149" s="333"/>
      <c r="BX149" s="333"/>
      <c r="BY149" s="333"/>
      <c r="BZ149" s="333"/>
      <c r="CA149" s="333"/>
      <c r="CB149" s="333"/>
      <c r="CC149" s="333"/>
      <c r="CD149" s="333"/>
      <c r="CE149" s="333"/>
      <c r="CF149" s="333"/>
      <c r="CG149" s="333"/>
      <c r="CH149" s="333"/>
      <c r="CI149" s="333"/>
      <c r="CJ149" s="333"/>
      <c r="CK149" s="333"/>
      <c r="CL149" s="333"/>
      <c r="CM149" s="333"/>
      <c r="CN149" s="333"/>
      <c r="CO149" s="333"/>
      <c r="CP149" s="333"/>
      <c r="CQ149" s="333"/>
      <c r="CR149" s="333"/>
      <c r="CS149" s="333"/>
      <c r="CT149" s="333"/>
      <c r="CU149" s="333"/>
      <c r="CV149" s="333"/>
      <c r="CW149" s="333"/>
      <c r="CX149" s="333"/>
      <c r="CY149" s="333"/>
      <c r="CZ149" s="333"/>
      <c r="DA149" s="333"/>
      <c r="DB149" s="333"/>
      <c r="DC149" s="333"/>
      <c r="DD149" s="333"/>
      <c r="DE149" s="333"/>
      <c r="DF149" s="333"/>
      <c r="DG149" s="333"/>
      <c r="DH149" s="333"/>
      <c r="DI149" s="333"/>
      <c r="DJ149" s="333"/>
      <c r="DK149" s="333"/>
      <c r="DL149" s="333"/>
      <c r="DM149" s="333"/>
      <c r="DN149" s="333"/>
      <c r="DO149" s="333"/>
      <c r="DP149" s="333"/>
      <c r="DQ149" s="333"/>
      <c r="DR149" s="333"/>
      <c r="DS149" s="333"/>
      <c r="DT149" s="333"/>
      <c r="DU149" s="375"/>
      <c r="DV149" s="375"/>
      <c r="DW149" s="375"/>
      <c r="DX149" s="375"/>
      <c r="DY149" s="375"/>
      <c r="DZ149" s="375"/>
      <c r="EA149" s="375"/>
      <c r="EB149" s="375"/>
      <c r="EC149" s="359"/>
      <c r="ED149" s="359"/>
      <c r="EE149" s="359"/>
      <c r="EF149" s="359"/>
      <c r="EG149" s="359"/>
      <c r="EH149" s="359"/>
      <c r="EI149" s="359"/>
      <c r="EJ149" s="373"/>
      <c r="EK149" s="373"/>
      <c r="EL149" s="366"/>
      <c r="EM149" s="366"/>
      <c r="EN149" s="364">
        <f>+EN143+1</f>
        <v>17</v>
      </c>
      <c r="EO149" s="356">
        <f>+VLOOKUP(EN149, PRECIOS_EJERCICIOS,  2,FALSE)</f>
        <v>220</v>
      </c>
      <c r="EP149" s="513" t="str">
        <f>+IF($AQ$49 = FALSE, "",
IF(VLOOKUP(EO149, basesCantPrimaBrutoRes, 2,FALSE) &gt;= 0, VLOOKUP(EO149, basesCantPrimaBrutoRes, 2,FALSE), 0))</f>
        <v/>
      </c>
      <c r="EQ149" s="514" t="str">
        <f>+IF($AQ$49 = FALSE, "",
IF(VLOOKUP(EO149, basesCantPrimaBrutoRes, 2,FALSE) &lt; 0, -VLOOKUP(EO149, basesCantPrimaBrutoRes, 2,FALSE), 0))</f>
        <v/>
      </c>
      <c r="ER149" s="521" t="str">
        <f>IF($AQ$49 = FALSE, "",
VLOOKUP(EO149, basesCantPrimaBrutoRes, 4,FALSE))</f>
        <v/>
      </c>
      <c r="ES149" s="926">
        <f>IF(ER149 = "", 0,
IF(AND(EP149 &gt; 0, EQ149 &gt;0), 0, IF(EO149 &lt;&gt; $Z$1,
IF(AND(EP149 &lt;&gt; "", EP149 &lt;&gt; 0), -(EP149 * ER149 * 100),
IF(AND(EQ149 &lt;&gt; "", EQ149 &lt;&gt; 0), (EQ149 * ER149 * 100), 0)),
IF(AND(EP149 &lt;&gt; "", EP149 &lt;&gt; 0), -(EP149 * ER149 * 1),
IF(AND(EQ149 &lt;&gt; "", EQ149 &lt;&gt; 0), (EQ149 * ER149 * 1), 0))  )))</f>
        <v>0</v>
      </c>
      <c r="ET149" s="927"/>
      <c r="EU149" s="928"/>
      <c r="EV149" s="926">
        <f>IF(ER149 = "", 0,
IF(AND(EP149 &gt; 0, EQ149 &gt;0), 0,  IF(EO149 &lt;&gt; $Z$1,
IF(AND(EP149 &lt;&gt; "", EP149 &lt;&gt; 0), -(EP149 * ER149 * 100 * (1 + COMIS_OPCION)),
IF(AND(EQ149 &lt;&gt; "", EQ149 &lt;&gt; 0), (EQ149 * ER149 * 100 * (1 - COMIS_OPCION)), 0)),
IF(AND(EP149 &lt;&gt; "", EP149 &lt;&gt; 0), -(EP149 * ER149 * 1 * (1 + COMIS_ACCION)),
IF(AND(EQ149 &lt;&gt; "", EQ149 &lt;&gt; 0), (EQ149 * ER149 * 1 * (1 - COMIS_ACCION)), 0))  )))</f>
        <v>0</v>
      </c>
      <c r="EW149" s="927"/>
      <c r="EX149" s="927"/>
      <c r="EY149" s="927"/>
      <c r="EZ149" s="927"/>
      <c r="FA149" s="927"/>
      <c r="FB149" s="927"/>
      <c r="FC149" s="927"/>
      <c r="FD149" s="929"/>
      <c r="FE149" s="340"/>
      <c r="FF149" s="340"/>
      <c r="FG149" s="364"/>
      <c r="FH149" s="364">
        <f>+FH143+1</f>
        <v>17</v>
      </c>
      <c r="FI149" s="357">
        <f>+VLOOKUP(FH149, PRECIOS_EJERCICIOS,  2,FALSE)</f>
        <v>220</v>
      </c>
      <c r="FJ149" s="515" t="str">
        <f>+IF($AQ$49 = FALSE, "",
IF(VLOOKUP(EO149, basesCantPrimaBrutoRes, 5,FALSE) &gt;= 0, VLOOKUP(EO149, basesCantPrimaBrutoRes, 5,FALSE), 0))</f>
        <v/>
      </c>
      <c r="FK149" s="516" t="str">
        <f>+IF($AQ$49 = FALSE, "",
IF(VLOOKUP(EO149, basesCantPrimaBrutoRes, 5,FALSE) &lt; 0, -VLOOKUP(EO149, basesCantPrimaBrutoRes, 5,FALSE), 0))</f>
        <v/>
      </c>
      <c r="FL149" s="517" t="str">
        <f>IF($AQ$49 = FALSE, "",
VLOOKUP(EO149, basesCantPrimaBrutoRes, 7,FALSE))</f>
        <v/>
      </c>
      <c r="FM149" s="934">
        <f>IF(FL149 = "", 0,
IF(AND(FJ149 &gt; 0, FK149 &gt;0), 0,
IF(AND(FJ149 &lt;&gt; "", FJ149 &lt;&gt; 0), -(FJ149 * FL149 * 100),
IF(AND(FK149 &lt;&gt; "", FK149 &lt;&gt; 0), (FK149 * FL149 * 100), 0)) ))</f>
        <v>0</v>
      </c>
      <c r="FN149" s="935"/>
      <c r="FO149" s="936"/>
      <c r="FP149" s="934">
        <f>IF(FL149 = "", 0,
IF(AND(FJ149 &gt; 0, FK149 &gt;0), 0,
IF(AND(FJ149 &lt;&gt; "", FJ149 &lt;&gt; 0), -(FJ149 * FL149 * 100 * (1 + COMIS_OPCION)),
IF(AND(FK149 &lt;&gt; "", FK149 &lt;&gt; 0), (FK149 * FL149 * 100 * (1 - COMIS_OPCION)), 0)) ))</f>
        <v>0</v>
      </c>
      <c r="FQ149" s="935"/>
      <c r="FR149" s="935"/>
      <c r="FS149" s="935"/>
      <c r="FT149" s="935"/>
      <c r="FU149" s="935"/>
      <c r="FV149" s="935"/>
      <c r="FW149" s="935"/>
      <c r="FX149" s="966"/>
      <c r="FY149" s="341"/>
      <c r="FZ149" s="341"/>
      <c r="GA149" s="341"/>
      <c r="GB149" s="495">
        <f>+IF(EN149 = "", "", EO149)</f>
        <v>220</v>
      </c>
      <c r="GC149" s="495" t="str">
        <f>+IF(GB149="", "", IF(EO149 = $Z$1, "ACCION", "CALL"))</f>
        <v>CALL</v>
      </c>
      <c r="GD149" s="500"/>
      <c r="GE149" s="495">
        <f>+IF(GB149= "", "", EO151)</f>
        <v>0</v>
      </c>
      <c r="GF149" s="495">
        <f>+IF(GB149 = "", "", IFERROR(IF(GB149 &lt;&gt; $Z$1,
IF(GE149 &gt; 0, SUMIFS(ES149:ES153, EP149:EP153, "&gt;0", ES149:ES153, "&lt;&gt;0") / SUMIFS(EP149:EP153, EP149:EP153, "&gt;0", ES149:ES153, "&lt;&gt;0") / -100,
IF(GE149 &lt; 0, SUMIFS(ES149:ES153, EQ149:EQ153, "&gt;0", ES149:ES153, "&lt;&gt;0") / SUMIFS(EQ149:EQ153, EQ149:EQ153, "&gt;0", ES149:ES153, "&lt;&gt;0") / 100, 0)),
IF(GE149 &gt; 0, SUMIFS(ES149:ES153, EP149:EP153, "&gt;0", ES149:ES153, "&lt;&gt;0") / SUMIFS(EP149:EP153, EP149:EP153, "&gt;0", ES149:ES153, "&lt;&gt;0") / -1,
IF(GE149 &lt; 0, SUMIFS(ES149:ES153, EQ149:EQ153, "&gt;0", ES149:ES153, "&lt;&gt;0") / SUMIFS(EQ149:EQ153, EQ149:EQ153, "&gt;0", ES149:ES153, "&lt;&gt;0") / 1, 0)) ), 0))</f>
        <v>0</v>
      </c>
      <c r="GG149" s="495">
        <f>+IF(GB149 = "", "", IFERROR(IF(GB149 &lt;&gt; $Z$1,
IF(GE149 &gt; 0, SUMIFS(EV149:EV153, EP149:EP153, "&gt;0", EV149:EV153, "&lt;&gt;0") / SUMIFS(EP149:EP153, EP149:EP153, "&gt;0", EV149:EV153, "&lt;&gt;0") / -100,
IF(GE149 &lt; 0, SUMIFS(EV149:EV153, EQ149:EQ153, "&gt;0", EV149:EV153, "&lt;&gt;0") / SUMIFS(EQ149:EQ153, EQ149:EQ153, "&gt;0", EV149:EV153, "&lt;&gt;0") / 100, 0)),
IF(GE149 &gt; 0, SUMIFS(EV149:EV153, EP149:EP153, "&gt;0", EV149:EV153, "&lt;&gt;0") / SUMIFS(EP149:EP153, EP149:EP153, "&gt;0", EV149:EV153, "&lt;&gt;0") / -1,
IF(GE149 &lt; 0, SUMIFS(EV149:EV153, EQ149:EQ153, "&gt;0", EV149:EV153, "&lt;&gt;0") / SUMIFS(EQ149:EQ153, EQ149:EQ153, "&gt;0", EV149:EV153, "&lt;&gt;0") / 1, 0)) ), 0))</f>
        <v>0</v>
      </c>
      <c r="GH149" s="359"/>
      <c r="GI149" s="359"/>
      <c r="GJ149" s="501"/>
      <c r="GK149" s="495" t="str">
        <f>+IF(GB149="", "", "PUT")</f>
        <v>PUT</v>
      </c>
      <c r="GL149" s="495">
        <f>+IF(GB149 = "", "", FI151)</f>
        <v>0</v>
      </c>
      <c r="GM149" s="495">
        <f>+IF(GB149 = "", "", IFERROR(
IF(FI151 &gt; 0, SUMIFS(FM149:FM153, FJ149:FJ153, "&gt;0", FM149:FM153, "&lt;&gt;0") / SUMIFS(FJ149:FJ153, FJ149:FJ153, "&gt;0", FM149:FM153, "&lt;&gt;0") / -100,
IF(FI151 &lt; 0, SUMIFS(FM149:FM153, FK149:FK153, "&gt;0", FM149:FM153, "&lt;&gt;0") / SUMIFS(FK149:FK153, FK149:FK153, "&gt;0", FM149:FM153, "&lt;&gt;0") / 100, 0)), 0) )</f>
        <v>0</v>
      </c>
      <c r="GN149" s="359"/>
      <c r="GO149" s="359"/>
      <c r="GP149" s="501"/>
      <c r="GQ149" s="502">
        <f>+IF(GB149 = "", "", IFERROR(
IF(FI151 &gt; 0, SUMIFS(FP149:FP153, FJ149:FJ153, "&gt;0", FP149:FP153, "&lt;&gt;0") / SUMIFS(FJ149:FJ153, FJ149:FJ153, "&gt;0", FP149:FP153, "&lt;&gt;0") / -100,
IF(FI151 &lt; 0, SUMIFS(FP149:FP153, FK149:FK153, "&gt;0", FP149:FP153, "&lt;&gt;0") / SUMIFS(FK149:FK153, FK149:FK153, "&gt;0", FP149:FP153, "&lt;&gt;0") / 100, 0)), 0))</f>
        <v>0</v>
      </c>
      <c r="GR149" s="375"/>
      <c r="GS149" s="333"/>
      <c r="GT149" s="333"/>
      <c r="GU149" s="333"/>
      <c r="GV149" s="333"/>
      <c r="GW149" s="333"/>
      <c r="GX149" s="333"/>
      <c r="GY149" s="333"/>
      <c r="GZ149" s="333"/>
      <c r="HA149" s="333"/>
      <c r="HB149" s="333"/>
      <c r="HC149" s="333"/>
      <c r="HD149" s="333"/>
      <c r="HE149" s="333"/>
      <c r="HF149" s="333"/>
      <c r="HG149" s="331"/>
      <c r="HH149" s="331"/>
      <c r="HI149" s="331"/>
      <c r="HJ149" s="331"/>
      <c r="HK149" s="331"/>
      <c r="HL149" s="331"/>
      <c r="HM149" s="331"/>
      <c r="HN149" s="333"/>
      <c r="HO149" s="333"/>
      <c r="HP149" s="333"/>
      <c r="HQ149" s="333"/>
      <c r="HR149" s="333"/>
      <c r="HS149" s="333"/>
      <c r="HT149" s="333"/>
      <c r="HU149" s="333"/>
      <c r="HV149" s="333"/>
      <c r="HW149" s="333"/>
      <c r="HX149" s="333"/>
      <c r="HY149" s="333"/>
      <c r="HZ149" s="333"/>
      <c r="IA149" s="333"/>
      <c r="IB149" s="333"/>
      <c r="IC149" s="333"/>
      <c r="ID149" s="55"/>
      <c r="IE149" s="47"/>
    </row>
    <row r="150" spans="13:290" s="142" customFormat="1" ht="15" customHeight="1">
      <c r="M150" s="333"/>
      <c r="N150" s="333"/>
      <c r="O150" s="333"/>
      <c r="P150" s="333"/>
      <c r="Q150" s="333"/>
      <c r="R150" s="333"/>
      <c r="S150" s="333"/>
      <c r="T150" s="333"/>
      <c r="U150" s="333"/>
      <c r="V150" s="333"/>
      <c r="W150" s="333"/>
      <c r="X150" s="333"/>
      <c r="Y150" s="333"/>
      <c r="Z150" s="333"/>
      <c r="AA150" s="333"/>
      <c r="AB150" s="333"/>
      <c r="AC150" s="333"/>
      <c r="AD150" s="333"/>
      <c r="AE150" s="333"/>
      <c r="AF150" s="333"/>
      <c r="AG150" s="333"/>
      <c r="AH150" s="333"/>
      <c r="AI150" s="333"/>
      <c r="AJ150" s="333"/>
      <c r="AK150" s="333"/>
      <c r="AL150" s="333"/>
      <c r="AM150" s="333"/>
      <c r="AN150" s="333"/>
      <c r="AO150" s="333"/>
      <c r="AP150" s="333"/>
      <c r="AQ150" s="333"/>
      <c r="AR150" s="333"/>
      <c r="AS150" s="333"/>
      <c r="AT150" s="333"/>
      <c r="AU150" s="333"/>
      <c r="AV150" s="333"/>
      <c r="AW150" s="333"/>
      <c r="AX150" s="333"/>
      <c r="AY150" s="333"/>
      <c r="AZ150" s="333"/>
      <c r="BA150" s="333"/>
      <c r="BB150" s="333"/>
      <c r="BC150" s="333"/>
      <c r="BD150" s="333"/>
      <c r="BE150" s="333"/>
      <c r="BF150" s="333"/>
      <c r="BG150" s="333"/>
      <c r="BH150" s="333"/>
      <c r="BI150" s="333"/>
      <c r="BJ150" s="333"/>
      <c r="BK150" s="333"/>
      <c r="BL150" s="333"/>
      <c r="BM150" s="333"/>
      <c r="BN150" s="333"/>
      <c r="BO150" s="333"/>
      <c r="BP150" s="333"/>
      <c r="BQ150" s="333"/>
      <c r="BR150" s="333"/>
      <c r="BS150" s="333"/>
      <c r="BT150" s="333"/>
      <c r="BU150" s="333"/>
      <c r="BV150" s="333"/>
      <c r="BW150" s="333"/>
      <c r="BX150" s="333"/>
      <c r="BY150" s="333"/>
      <c r="BZ150" s="333"/>
      <c r="CA150" s="333"/>
      <c r="CB150" s="333"/>
      <c r="CC150" s="333"/>
      <c r="CD150" s="333"/>
      <c r="CE150" s="333"/>
      <c r="CF150" s="333"/>
      <c r="CG150" s="333"/>
      <c r="CH150" s="333"/>
      <c r="CI150" s="333"/>
      <c r="CJ150" s="333"/>
      <c r="CK150" s="333"/>
      <c r="CL150" s="333"/>
      <c r="CM150" s="333"/>
      <c r="CN150" s="333"/>
      <c r="CO150" s="333"/>
      <c r="CP150" s="333"/>
      <c r="CQ150" s="333"/>
      <c r="CR150" s="333"/>
      <c r="CS150" s="333"/>
      <c r="CT150" s="333"/>
      <c r="CU150" s="333"/>
      <c r="CV150" s="333"/>
      <c r="CW150" s="333"/>
      <c r="CX150" s="333"/>
      <c r="CY150" s="333"/>
      <c r="CZ150" s="333"/>
      <c r="DA150" s="333"/>
      <c r="DB150" s="333"/>
      <c r="DC150" s="333"/>
      <c r="DD150" s="333"/>
      <c r="DE150" s="333"/>
      <c r="DF150" s="333"/>
      <c r="DG150" s="333"/>
      <c r="DH150" s="333"/>
      <c r="DI150" s="333"/>
      <c r="DJ150" s="333"/>
      <c r="DK150" s="333"/>
      <c r="DL150" s="333"/>
      <c r="DM150" s="333"/>
      <c r="DN150" s="333"/>
      <c r="DO150" s="333"/>
      <c r="DP150" s="333"/>
      <c r="DQ150" s="333"/>
      <c r="DR150" s="333"/>
      <c r="DS150" s="333"/>
      <c r="DT150" s="333"/>
      <c r="DU150" s="375"/>
      <c r="DV150" s="375"/>
      <c r="DW150" s="375"/>
      <c r="DX150" s="375"/>
      <c r="DY150" s="375"/>
      <c r="DZ150" s="375"/>
      <c r="EA150" s="375"/>
      <c r="EB150" s="375"/>
      <c r="EC150" s="359"/>
      <c r="ED150" s="359"/>
      <c r="EE150" s="359"/>
      <c r="EF150" s="359"/>
      <c r="EG150" s="359"/>
      <c r="EH150" s="359"/>
      <c r="EI150" s="359"/>
      <c r="EJ150" s="373"/>
      <c r="EK150" s="373"/>
      <c r="EL150" s="366"/>
      <c r="EM150" s="366"/>
      <c r="EN150" s="364"/>
      <c r="EO150" s="351"/>
      <c r="EP150" s="347"/>
      <c r="EQ150" s="342"/>
      <c r="ER150" s="522"/>
      <c r="ES150" s="916">
        <f>IF(ER150 = "", 0,
IF(AND(EP150 &gt; 0, EQ150 &gt;0), 0, IF(EO149 &lt;&gt; $Z$1,
IF(AND(EP150 &lt;&gt; "", EP150 &lt;&gt; 0), -(EP150 * ER150 * 100),
IF(AND(EQ150 &lt;&gt; "", EQ150 &lt;&gt; 0), (EQ150 * ER150 * 100), 0)),
IF(AND(EP150 &lt;&gt; "", EP150 &lt;&gt; 0), -(EP150 * ER150 * 1),
IF(AND(EQ150 &lt;&gt; "", EQ150 &lt;&gt; 0), (EQ150 * ER150 * 1), 0))  )))</f>
        <v>0</v>
      </c>
      <c r="ET150" s="917"/>
      <c r="EU150" s="918"/>
      <c r="EV150" s="916">
        <f>IF(ER150 = "", 0,
IF(AND(EP150 &gt; 0, EQ150 &gt;0), 0,  IF(EO149 &lt;&gt; $Z$1,
IF(AND(EP150 &lt;&gt; "", EP150 &lt;&gt; 0), -(EP150 * ER150 * 100 * (1 + COMIS_OPCION)),
IF(AND(EQ150 &lt;&gt; "", EQ150 &lt;&gt; 0), (EQ150 * ER150 * 100 * (1 - COMIS_OPCION)), 0)),
IF(AND(EP150 &lt;&gt; "", EP150 &lt;&gt; 0), -(EP150 * ER150 * 1 * (1 + COMIS_ACCION)),
IF(AND(EQ150 &lt;&gt; "", EQ150 &lt;&gt; 0), (EQ150 * ER150 * 1 * (1 - COMIS_ACCION)), 0))  )))</f>
        <v>0</v>
      </c>
      <c r="EW150" s="917"/>
      <c r="EX150" s="917"/>
      <c r="EY150" s="917"/>
      <c r="EZ150" s="917"/>
      <c r="FA150" s="917"/>
      <c r="FB150" s="917"/>
      <c r="FC150" s="917"/>
      <c r="FD150" s="925"/>
      <c r="FE150" s="340"/>
      <c r="FF150" s="340"/>
      <c r="FG150" s="364"/>
      <c r="FH150" s="364"/>
      <c r="FI150" s="339"/>
      <c r="FJ150" s="347"/>
      <c r="FK150" s="342"/>
      <c r="FL150" s="343"/>
      <c r="FM150" s="930">
        <f>IF(FL150 = "", 0,
IF(AND(FJ150 &gt; 0, FK150 &gt;0), 0,
IF(AND(FJ150 &lt;&gt; "", FJ150 &lt;&gt; 0), -(FJ150 * FL150 * 100),
IF(AND(FK150 &lt;&gt; "", FK150 &lt;&gt; 0), (FK150 * FL150 * 100), 0)) ))</f>
        <v>0</v>
      </c>
      <c r="FN150" s="931"/>
      <c r="FO150" s="932"/>
      <c r="FP150" s="930">
        <f>IF(FL150 = "", 0,
IF(AND(FJ150 &gt; 0, FK150 &gt;0), 0,
IF(AND(FJ150 &lt;&gt; "", FJ150 &lt;&gt; 0), -(FJ150 * FL150 * 100 * (1 + COMIS_OPCION)),
IF(AND(FK150 &lt;&gt; "", FK150 &lt;&gt; 0), (FK150 * FL150 * 100 * (1 - COMIS_OPCION)), 0)) ))</f>
        <v>0</v>
      </c>
      <c r="FQ150" s="931"/>
      <c r="FR150" s="931"/>
      <c r="FS150" s="931"/>
      <c r="FT150" s="931"/>
      <c r="FU150" s="931"/>
      <c r="FV150" s="931"/>
      <c r="FW150" s="931"/>
      <c r="FX150" s="933"/>
      <c r="FY150" s="341"/>
      <c r="FZ150" s="341"/>
      <c r="GA150" s="341"/>
      <c r="GB150" s="495">
        <v>0</v>
      </c>
      <c r="GC150" s="495">
        <v>0</v>
      </c>
      <c r="GD150" s="500"/>
      <c r="GE150" s="495">
        <v>0</v>
      </c>
      <c r="GF150" s="495">
        <v>0</v>
      </c>
      <c r="GG150" s="495">
        <v>0</v>
      </c>
      <c r="GH150" s="359"/>
      <c r="GI150" s="359"/>
      <c r="GJ150" s="501"/>
      <c r="GK150" s="495">
        <v>0</v>
      </c>
      <c r="GL150" s="495">
        <v>0</v>
      </c>
      <c r="GM150" s="495">
        <v>0</v>
      </c>
      <c r="GN150" s="359"/>
      <c r="GO150" s="359"/>
      <c r="GP150" s="501"/>
      <c r="GQ150" s="495">
        <v>0</v>
      </c>
      <c r="GR150" s="375"/>
      <c r="GS150" s="333"/>
      <c r="GT150" s="333"/>
      <c r="GU150" s="333"/>
      <c r="GV150" s="333"/>
      <c r="GW150" s="333"/>
      <c r="GX150" s="333"/>
      <c r="GY150" s="333"/>
      <c r="GZ150" s="333"/>
      <c r="HA150" s="333"/>
      <c r="HB150" s="333"/>
      <c r="HC150" s="333"/>
      <c r="HD150" s="333"/>
      <c r="HE150" s="333"/>
      <c r="HF150" s="333"/>
      <c r="HG150" s="331"/>
      <c r="HH150" s="331"/>
      <c r="HI150" s="331"/>
      <c r="HJ150" s="331"/>
      <c r="HK150" s="331"/>
      <c r="HL150" s="331"/>
      <c r="HM150" s="331"/>
      <c r="HN150" s="333"/>
      <c r="HO150" s="333"/>
      <c r="HP150" s="333"/>
      <c r="HQ150" s="333"/>
      <c r="HR150" s="333"/>
      <c r="HS150" s="333"/>
      <c r="HT150" s="333"/>
      <c r="HU150" s="333"/>
      <c r="HV150" s="333"/>
      <c r="HW150" s="333"/>
      <c r="HX150" s="333"/>
      <c r="HY150" s="333"/>
      <c r="HZ150" s="333"/>
      <c r="IA150" s="333"/>
      <c r="IB150" s="333"/>
      <c r="IC150" s="333"/>
      <c r="ID150" s="55"/>
      <c r="IE150" s="47"/>
    </row>
    <row r="151" spans="13:290" s="142" customFormat="1" ht="15" customHeight="1">
      <c r="M151" s="333"/>
      <c r="N151" s="333"/>
      <c r="O151" s="333"/>
      <c r="P151" s="333"/>
      <c r="Q151" s="333"/>
      <c r="R151" s="333"/>
      <c r="S151" s="333"/>
      <c r="T151" s="333"/>
      <c r="U151" s="333"/>
      <c r="V151" s="333"/>
      <c r="W151" s="333"/>
      <c r="X151" s="333"/>
      <c r="Y151" s="333"/>
      <c r="Z151" s="333"/>
      <c r="AA151" s="333"/>
      <c r="AB151" s="333"/>
      <c r="AC151" s="333"/>
      <c r="AD151" s="333"/>
      <c r="AE151" s="333"/>
      <c r="AF151" s="333"/>
      <c r="AG151" s="333"/>
      <c r="AH151" s="333"/>
      <c r="AI151" s="333"/>
      <c r="AJ151" s="333"/>
      <c r="AK151" s="333"/>
      <c r="AL151" s="333"/>
      <c r="AM151" s="333"/>
      <c r="AN151" s="333"/>
      <c r="AO151" s="333"/>
      <c r="AP151" s="333"/>
      <c r="AQ151" s="333"/>
      <c r="AR151" s="333"/>
      <c r="AS151" s="333"/>
      <c r="AT151" s="333"/>
      <c r="AU151" s="333"/>
      <c r="AV151" s="333"/>
      <c r="AW151" s="333"/>
      <c r="AX151" s="333"/>
      <c r="AY151" s="333"/>
      <c r="AZ151" s="333"/>
      <c r="BA151" s="333"/>
      <c r="BB151" s="333"/>
      <c r="BC151" s="333"/>
      <c r="BD151" s="333"/>
      <c r="BE151" s="333"/>
      <c r="BF151" s="333"/>
      <c r="BG151" s="333"/>
      <c r="BH151" s="333"/>
      <c r="BI151" s="333"/>
      <c r="BJ151" s="333"/>
      <c r="BK151" s="333"/>
      <c r="BL151" s="333"/>
      <c r="BM151" s="333"/>
      <c r="BN151" s="333"/>
      <c r="BO151" s="333"/>
      <c r="BP151" s="333"/>
      <c r="BQ151" s="333"/>
      <c r="BR151" s="333"/>
      <c r="BS151" s="333"/>
      <c r="BT151" s="333"/>
      <c r="BU151" s="333"/>
      <c r="BV151" s="333"/>
      <c r="BW151" s="333"/>
      <c r="BX151" s="333"/>
      <c r="BY151" s="333"/>
      <c r="BZ151" s="333"/>
      <c r="CA151" s="333"/>
      <c r="CB151" s="333"/>
      <c r="CC151" s="333"/>
      <c r="CD151" s="333"/>
      <c r="CE151" s="333"/>
      <c r="CF151" s="333"/>
      <c r="CG151" s="333"/>
      <c r="CH151" s="333"/>
      <c r="CI151" s="333"/>
      <c r="CJ151" s="333"/>
      <c r="CK151" s="333"/>
      <c r="CL151" s="333"/>
      <c r="CM151" s="333"/>
      <c r="CN151" s="333"/>
      <c r="CO151" s="333"/>
      <c r="CP151" s="333"/>
      <c r="CQ151" s="333"/>
      <c r="CR151" s="333"/>
      <c r="CS151" s="333"/>
      <c r="CT151" s="333"/>
      <c r="CU151" s="333"/>
      <c r="CV151" s="333"/>
      <c r="CW151" s="333"/>
      <c r="CX151" s="333"/>
      <c r="CY151" s="333"/>
      <c r="CZ151" s="333"/>
      <c r="DA151" s="333"/>
      <c r="DB151" s="333"/>
      <c r="DC151" s="333"/>
      <c r="DD151" s="333"/>
      <c r="DE151" s="333"/>
      <c r="DF151" s="333"/>
      <c r="DG151" s="333"/>
      <c r="DH151" s="333"/>
      <c r="DI151" s="333"/>
      <c r="DJ151" s="333"/>
      <c r="DK151" s="333"/>
      <c r="DL151" s="333"/>
      <c r="DM151" s="333"/>
      <c r="DN151" s="333"/>
      <c r="DO151" s="333"/>
      <c r="DP151" s="333"/>
      <c r="DQ151" s="333"/>
      <c r="DR151" s="333"/>
      <c r="DS151" s="333"/>
      <c r="DT151" s="333"/>
      <c r="DU151" s="375"/>
      <c r="DV151" s="375"/>
      <c r="DW151" s="375"/>
      <c r="DX151" s="375"/>
      <c r="DY151" s="375"/>
      <c r="DZ151" s="375"/>
      <c r="EA151" s="375"/>
      <c r="EB151" s="375"/>
      <c r="EC151" s="359"/>
      <c r="ED151" s="359"/>
      <c r="EE151" s="359"/>
      <c r="EF151" s="359"/>
      <c r="EG151" s="359"/>
      <c r="EH151" s="359"/>
      <c r="EI151" s="359"/>
      <c r="EJ151" s="373"/>
      <c r="EK151" s="373"/>
      <c r="EL151" s="366"/>
      <c r="EM151" s="368"/>
      <c r="EN151" s="364"/>
      <c r="EO151" s="352">
        <f>+SUM(EP149:EP153) - SUM(EQ149:EQ153)</f>
        <v>0</v>
      </c>
      <c r="EP151" s="347"/>
      <c r="EQ151" s="342"/>
      <c r="ER151" s="522"/>
      <c r="ES151" s="916">
        <f>IF(ER151 = "", 0,
IF(AND(EP151 &gt; 0, EQ151 &gt;0), 0, IF(EO149 &lt;&gt; $Z$1,
IF(AND(EP151 &lt;&gt; "", EP151 &lt;&gt; 0), -(EP151 * ER151 * 100),
IF(AND(EQ151 &lt;&gt; "", EQ151 &lt;&gt; 0), (EQ151 * ER151 * 100), 0)),
IF(AND(EP151 &lt;&gt; "", EP151 &lt;&gt; 0), -(EP151 * ER151 * 1),
IF(AND(EQ151 &lt;&gt; "", EQ151 &lt;&gt; 0), (EQ151 * ER151 * 1), 0))  )))</f>
        <v>0</v>
      </c>
      <c r="ET151" s="917"/>
      <c r="EU151" s="918"/>
      <c r="EV151" s="916">
        <f>IF(ER151 = "", 0,
IF(AND(EP151 &gt; 0, EQ151 &gt;0), 0,  IF(EO149 &lt;&gt; $Z$1,
IF(AND(EP151 &lt;&gt; "", EP151 &lt;&gt; 0), -(EP151 * ER151 * 100 * (1 + COMIS_OPCION)),
IF(AND(EQ151 &lt;&gt; "", EQ151 &lt;&gt; 0), (EQ151 * ER151 * 100 * (1 - COMIS_OPCION)), 0)),
IF(AND(EP151 &lt;&gt; "", EP151 &lt;&gt; 0), -(EP151 * ER151 * 1 * (1 + COMIS_ACCION)),
IF(AND(EQ151 &lt;&gt; "", EQ151 &lt;&gt; 0), (EQ151 * ER151 * 1 * (1 - COMIS_ACCION)), 0))  )))</f>
        <v>0</v>
      </c>
      <c r="EW151" s="917"/>
      <c r="EX151" s="917"/>
      <c r="EY151" s="917"/>
      <c r="EZ151" s="917"/>
      <c r="FA151" s="917"/>
      <c r="FB151" s="917"/>
      <c r="FC151" s="917"/>
      <c r="FD151" s="925"/>
      <c r="FE151" s="340"/>
      <c r="FF151" s="340"/>
      <c r="FG151" s="365"/>
      <c r="FH151" s="365"/>
      <c r="FI151" s="354">
        <f>+SUM(FJ149:FJ153) - SUM(FK149:FK153)</f>
        <v>0</v>
      </c>
      <c r="FJ151" s="347"/>
      <c r="FK151" s="342"/>
      <c r="FL151" s="343"/>
      <c r="FM151" s="930">
        <f>IF(FL151 = "", 0,
IF(AND(FJ151 &gt; 0, FK151 &gt;0), 0,
IF(AND(FJ151 &lt;&gt; "", FJ151 &lt;&gt; 0), -(FJ151 * FL151 * 100),
IF(AND(FK151 &lt;&gt; "", FK151 &lt;&gt; 0), (FK151 * FL151 * 100), 0)) ))</f>
        <v>0</v>
      </c>
      <c r="FN151" s="931"/>
      <c r="FO151" s="932"/>
      <c r="FP151" s="930">
        <f>IF(FL151 = "", 0,
IF(AND(FJ151 &gt; 0, FK151 &gt;0), 0,
IF(AND(FJ151 &lt;&gt; "", FJ151 &lt;&gt; 0), -(FJ151 * FL151 * 100 * (1 + COMIS_OPCION)),
IF(AND(FK151 &lt;&gt; "", FK151 &lt;&gt; 0), (FK151 * FL151 * 100 * (1 - COMIS_OPCION)), 0)) ))</f>
        <v>0</v>
      </c>
      <c r="FQ151" s="931"/>
      <c r="FR151" s="931"/>
      <c r="FS151" s="931"/>
      <c r="FT151" s="931"/>
      <c r="FU151" s="931"/>
      <c r="FV151" s="931"/>
      <c r="FW151" s="931"/>
      <c r="FX151" s="933"/>
      <c r="FY151" s="341"/>
      <c r="FZ151" s="341"/>
      <c r="GA151" s="341"/>
      <c r="GB151" s="495">
        <v>0</v>
      </c>
      <c r="GC151" s="495">
        <v>0</v>
      </c>
      <c r="GD151" s="500"/>
      <c r="GE151" s="495">
        <v>0</v>
      </c>
      <c r="GF151" s="495">
        <v>0</v>
      </c>
      <c r="GG151" s="495">
        <v>0</v>
      </c>
      <c r="GH151" s="359"/>
      <c r="GI151" s="359"/>
      <c r="GJ151" s="501"/>
      <c r="GK151" s="495">
        <v>0</v>
      </c>
      <c r="GL151" s="495">
        <v>0</v>
      </c>
      <c r="GM151" s="495">
        <v>0</v>
      </c>
      <c r="GN151" s="359"/>
      <c r="GO151" s="359"/>
      <c r="GP151" s="501"/>
      <c r="GQ151" s="495">
        <v>0</v>
      </c>
      <c r="GR151" s="375"/>
      <c r="GS151" s="333"/>
      <c r="GT151" s="333"/>
      <c r="GU151" s="333"/>
      <c r="GV151" s="333"/>
      <c r="GW151" s="333"/>
      <c r="GX151" s="333"/>
      <c r="GY151" s="333"/>
      <c r="GZ151" s="333"/>
      <c r="HA151" s="333"/>
      <c r="HB151" s="333"/>
      <c r="HC151" s="333"/>
      <c r="HD151" s="333"/>
      <c r="HE151" s="333"/>
      <c r="HF151" s="333"/>
      <c r="HG151" s="331"/>
      <c r="HH151" s="331"/>
      <c r="HI151" s="331"/>
      <c r="HJ151" s="331"/>
      <c r="HK151" s="331"/>
      <c r="HL151" s="331"/>
      <c r="HM151" s="331"/>
      <c r="HN151" s="333"/>
      <c r="HO151" s="333"/>
      <c r="HP151" s="333"/>
      <c r="HQ151" s="333"/>
      <c r="HR151" s="333"/>
      <c r="HS151" s="333"/>
      <c r="HT151" s="333"/>
      <c r="HU151" s="333"/>
      <c r="HV151" s="333"/>
      <c r="HW151" s="333"/>
      <c r="HX151" s="333"/>
      <c r="HY151" s="333"/>
      <c r="HZ151" s="333"/>
      <c r="IA151" s="333"/>
      <c r="IB151" s="333"/>
      <c r="IC151" s="333"/>
      <c r="ID151" s="55"/>
      <c r="IE151" s="47"/>
    </row>
    <row r="152" spans="13:290" s="142" customFormat="1" ht="15" customHeight="1">
      <c r="M152" s="333"/>
      <c r="N152" s="333"/>
      <c r="O152" s="333"/>
      <c r="P152" s="333"/>
      <c r="Q152" s="333"/>
      <c r="R152" s="333"/>
      <c r="S152" s="333"/>
      <c r="T152" s="333"/>
      <c r="U152" s="333"/>
      <c r="V152" s="333"/>
      <c r="W152" s="333"/>
      <c r="X152" s="333"/>
      <c r="Y152" s="333"/>
      <c r="Z152" s="333"/>
      <c r="AA152" s="333"/>
      <c r="AB152" s="333"/>
      <c r="AC152" s="333"/>
      <c r="AD152" s="333"/>
      <c r="AE152" s="333"/>
      <c r="AF152" s="333"/>
      <c r="AG152" s="333"/>
      <c r="AH152" s="333"/>
      <c r="AI152" s="333"/>
      <c r="AJ152" s="333"/>
      <c r="AK152" s="333"/>
      <c r="AL152" s="333"/>
      <c r="AM152" s="333"/>
      <c r="AN152" s="333"/>
      <c r="AO152" s="333"/>
      <c r="AP152" s="333"/>
      <c r="AQ152" s="333"/>
      <c r="AR152" s="333"/>
      <c r="AS152" s="333"/>
      <c r="AT152" s="333"/>
      <c r="AU152" s="333"/>
      <c r="AV152" s="333"/>
      <c r="AW152" s="333"/>
      <c r="AX152" s="333"/>
      <c r="AY152" s="333"/>
      <c r="AZ152" s="333"/>
      <c r="BA152" s="333"/>
      <c r="BB152" s="333"/>
      <c r="BC152" s="333"/>
      <c r="BD152" s="333"/>
      <c r="BE152" s="333"/>
      <c r="BF152" s="333"/>
      <c r="BG152" s="333"/>
      <c r="BH152" s="333"/>
      <c r="BI152" s="333"/>
      <c r="BJ152" s="333"/>
      <c r="BK152" s="333"/>
      <c r="BL152" s="333"/>
      <c r="BM152" s="333"/>
      <c r="BN152" s="333"/>
      <c r="BO152" s="333"/>
      <c r="BP152" s="333"/>
      <c r="BQ152" s="333"/>
      <c r="BR152" s="333"/>
      <c r="BS152" s="333"/>
      <c r="BT152" s="333"/>
      <c r="BU152" s="333"/>
      <c r="BV152" s="333"/>
      <c r="BW152" s="333"/>
      <c r="BX152" s="333"/>
      <c r="BY152" s="333"/>
      <c r="BZ152" s="333"/>
      <c r="CA152" s="333"/>
      <c r="CB152" s="333"/>
      <c r="CC152" s="333"/>
      <c r="CD152" s="333"/>
      <c r="CE152" s="333"/>
      <c r="CF152" s="333"/>
      <c r="CG152" s="333"/>
      <c r="CH152" s="333"/>
      <c r="CI152" s="333"/>
      <c r="CJ152" s="333"/>
      <c r="CK152" s="333"/>
      <c r="CL152" s="333"/>
      <c r="CM152" s="333"/>
      <c r="CN152" s="333"/>
      <c r="CO152" s="333"/>
      <c r="CP152" s="333"/>
      <c r="CQ152" s="333"/>
      <c r="CR152" s="333"/>
      <c r="CS152" s="333"/>
      <c r="CT152" s="333"/>
      <c r="CU152" s="333"/>
      <c r="CV152" s="333"/>
      <c r="CW152" s="333"/>
      <c r="CX152" s="333"/>
      <c r="CY152" s="333"/>
      <c r="CZ152" s="333"/>
      <c r="DA152" s="333"/>
      <c r="DB152" s="333"/>
      <c r="DC152" s="333"/>
      <c r="DD152" s="333"/>
      <c r="DE152" s="333"/>
      <c r="DF152" s="333"/>
      <c r="DG152" s="333"/>
      <c r="DH152" s="333"/>
      <c r="DI152" s="333"/>
      <c r="DJ152" s="333"/>
      <c r="DK152" s="333"/>
      <c r="DL152" s="333"/>
      <c r="DM152" s="333"/>
      <c r="DN152" s="333"/>
      <c r="DO152" s="333"/>
      <c r="DP152" s="333"/>
      <c r="DQ152" s="333"/>
      <c r="DR152" s="333"/>
      <c r="DS152" s="333"/>
      <c r="DT152" s="333"/>
      <c r="DU152" s="375"/>
      <c r="DV152" s="375"/>
      <c r="DW152" s="375"/>
      <c r="DX152" s="375"/>
      <c r="DY152" s="375"/>
      <c r="DZ152" s="375"/>
      <c r="EA152" s="375"/>
      <c r="EB152" s="375"/>
      <c r="EC152" s="359"/>
      <c r="ED152" s="359"/>
      <c r="EE152" s="359"/>
      <c r="EF152" s="359"/>
      <c r="EG152" s="359"/>
      <c r="EH152" s="359"/>
      <c r="EI152" s="359"/>
      <c r="EJ152" s="373"/>
      <c r="EK152" s="373"/>
      <c r="EL152" s="366"/>
      <c r="EM152" s="368"/>
      <c r="EN152" s="364"/>
      <c r="EO152" s="352">
        <f>IF(EO151=0, 0, SUM(EV149:FD153))</f>
        <v>0</v>
      </c>
      <c r="EP152" s="347"/>
      <c r="EQ152" s="342"/>
      <c r="ER152" s="522"/>
      <c r="ES152" s="916">
        <f>IF(ER152 = "", 0,
IF(AND(EP152 &gt; 0, EQ152 &gt;0), 0, IF(EO149 &lt;&gt; $Z$1,
IF(AND(EP152 &lt;&gt; "", EP152 &lt;&gt; 0), -(EP152 * ER152 * 100),
IF(AND(EQ152 &lt;&gt; "", EQ152 &lt;&gt; 0), (EQ152 * ER152 * 100), 0)),
IF(AND(EP152 &lt;&gt; "", EP152 &lt;&gt; 0), -(EP152 * ER152 * 1),
IF(AND(EQ152 &lt;&gt; "", EQ152 &lt;&gt; 0), (EQ152 * ER152 * 1), 0))  )))</f>
        <v>0</v>
      </c>
      <c r="ET152" s="917"/>
      <c r="EU152" s="918"/>
      <c r="EV152" s="916">
        <f>IF(ER152 = "", 0,
IF(AND(EP152 &gt; 0, EQ152 &gt;0), 0,  IF(EO149 &lt;&gt; $Z$1,
IF(AND(EP152 &lt;&gt; "", EP152 &lt;&gt; 0), -(EP152 * ER152 * 100 * (1 + COMIS_OPCION)),
IF(AND(EQ152 &lt;&gt; "", EQ152 &lt;&gt; 0), (EQ152 * ER152 * 100 * (1 - COMIS_OPCION)), 0)),
IF(AND(EP152 &lt;&gt; "", EP152 &lt;&gt; 0), -(EP152 * ER152 * 1 * (1 + COMIS_ACCION)),
IF(AND(EQ152 &lt;&gt; "", EQ152 &lt;&gt; 0), (EQ152 * ER152 * 1 * (1 - COMIS_ACCION)), 0))  )))</f>
        <v>0</v>
      </c>
      <c r="EW152" s="917"/>
      <c r="EX152" s="917"/>
      <c r="EY152" s="917"/>
      <c r="EZ152" s="917"/>
      <c r="FA152" s="917"/>
      <c r="FB152" s="917"/>
      <c r="FC152" s="917"/>
      <c r="FD152" s="925"/>
      <c r="FE152" s="340"/>
      <c r="FF152" s="340"/>
      <c r="FG152" s="365"/>
      <c r="FH152" s="365"/>
      <c r="FI152" s="354">
        <f>IF(FI151=0, 0, SUM(FP149:FX153))</f>
        <v>0</v>
      </c>
      <c r="FJ152" s="347"/>
      <c r="FK152" s="342"/>
      <c r="FL152" s="343"/>
      <c r="FM152" s="930">
        <f>IF(FL152 = "", 0,
IF(AND(FJ152 &gt; 0, FK152 &gt;0), 0,
IF(AND(FJ152 &lt;&gt; "", FJ152 &lt;&gt; 0), -(FJ152 * FL152 * 100),
IF(AND(FK152 &lt;&gt; "", FK152 &lt;&gt; 0), (FK152 * FL152 * 100), 0)) ))</f>
        <v>0</v>
      </c>
      <c r="FN152" s="931"/>
      <c r="FO152" s="932"/>
      <c r="FP152" s="930">
        <f>IF(FL152 = "", 0,
IF(AND(FJ152 &gt; 0, FK152 &gt;0), 0,
IF(AND(FJ152 &lt;&gt; "", FJ152 &lt;&gt; 0), -(FJ152 * FL152 * 100 * (1 + COMIS_OPCION)),
IF(AND(FK152 &lt;&gt; "", FK152 &lt;&gt; 0), (FK152 * FL152 * 100 * (1 - COMIS_OPCION)), 0)) ))</f>
        <v>0</v>
      </c>
      <c r="FQ152" s="931"/>
      <c r="FR152" s="931"/>
      <c r="FS152" s="931"/>
      <c r="FT152" s="931"/>
      <c r="FU152" s="931"/>
      <c r="FV152" s="931"/>
      <c r="FW152" s="931"/>
      <c r="FX152" s="933"/>
      <c r="FY152" s="341"/>
      <c r="FZ152" s="341"/>
      <c r="GA152" s="341"/>
      <c r="GB152" s="495">
        <v>0</v>
      </c>
      <c r="GC152" s="495">
        <v>0</v>
      </c>
      <c r="GD152" s="500"/>
      <c r="GE152" s="495">
        <v>0</v>
      </c>
      <c r="GF152" s="495">
        <v>0</v>
      </c>
      <c r="GG152" s="495">
        <v>0</v>
      </c>
      <c r="GH152" s="359"/>
      <c r="GI152" s="359"/>
      <c r="GJ152" s="501"/>
      <c r="GK152" s="495">
        <v>0</v>
      </c>
      <c r="GL152" s="495">
        <v>0</v>
      </c>
      <c r="GM152" s="495">
        <v>0</v>
      </c>
      <c r="GN152" s="359"/>
      <c r="GO152" s="359"/>
      <c r="GP152" s="501"/>
      <c r="GQ152" s="495">
        <v>0</v>
      </c>
      <c r="GR152" s="375"/>
      <c r="GS152" s="333"/>
      <c r="GT152" s="333"/>
      <c r="GU152" s="333"/>
      <c r="GV152" s="333"/>
      <c r="GW152" s="333"/>
      <c r="GX152" s="333"/>
      <c r="GY152" s="333"/>
      <c r="GZ152" s="333"/>
      <c r="HA152" s="333"/>
      <c r="HB152" s="333"/>
      <c r="HC152" s="333"/>
      <c r="HD152" s="333"/>
      <c r="HE152" s="333"/>
      <c r="HF152" s="333"/>
      <c r="HG152" s="331"/>
      <c r="HH152" s="331"/>
      <c r="HI152" s="331"/>
      <c r="HJ152" s="331"/>
      <c r="HK152" s="331"/>
      <c r="HL152" s="331"/>
      <c r="HM152" s="331"/>
      <c r="HN152" s="333"/>
      <c r="HO152" s="333"/>
      <c r="HP152" s="333"/>
      <c r="HQ152" s="333"/>
      <c r="HR152" s="333"/>
      <c r="HS152" s="333"/>
      <c r="HT152" s="333"/>
      <c r="HU152" s="333"/>
      <c r="HV152" s="333"/>
      <c r="HW152" s="333"/>
      <c r="HX152" s="333"/>
      <c r="HY152" s="333"/>
      <c r="HZ152" s="333"/>
      <c r="IA152" s="333"/>
      <c r="IB152" s="333"/>
      <c r="IC152" s="333"/>
      <c r="ID152" s="55"/>
      <c r="IE152" s="47"/>
    </row>
    <row r="153" spans="13:290" s="142" customFormat="1" ht="15" customHeight="1" thickBot="1">
      <c r="M153" s="333"/>
      <c r="N153" s="333"/>
      <c r="O153" s="333"/>
      <c r="P153" s="333"/>
      <c r="Q153" s="333"/>
      <c r="R153" s="333"/>
      <c r="S153" s="333"/>
      <c r="T153" s="333"/>
      <c r="U153" s="333"/>
      <c r="V153" s="333"/>
      <c r="W153" s="333"/>
      <c r="X153" s="333"/>
      <c r="Y153" s="333"/>
      <c r="Z153" s="333"/>
      <c r="AA153" s="333"/>
      <c r="AB153" s="333"/>
      <c r="AC153" s="333"/>
      <c r="AD153" s="333"/>
      <c r="AE153" s="333"/>
      <c r="AF153" s="333"/>
      <c r="AG153" s="333"/>
      <c r="AH153" s="333"/>
      <c r="AI153" s="333"/>
      <c r="AJ153" s="333"/>
      <c r="AK153" s="333"/>
      <c r="AL153" s="333"/>
      <c r="AM153" s="333"/>
      <c r="AN153" s="333"/>
      <c r="AO153" s="333"/>
      <c r="AP153" s="333"/>
      <c r="AQ153" s="333"/>
      <c r="AR153" s="333"/>
      <c r="AS153" s="333"/>
      <c r="AT153" s="333"/>
      <c r="AU153" s="333"/>
      <c r="AV153" s="333"/>
      <c r="AW153" s="333"/>
      <c r="AX153" s="333"/>
      <c r="AY153" s="333"/>
      <c r="AZ153" s="333"/>
      <c r="BA153" s="333"/>
      <c r="BB153" s="333"/>
      <c r="BC153" s="333"/>
      <c r="BD153" s="333"/>
      <c r="BE153" s="333"/>
      <c r="BF153" s="333"/>
      <c r="BG153" s="333"/>
      <c r="BH153" s="333"/>
      <c r="BI153" s="333"/>
      <c r="BJ153" s="333"/>
      <c r="BK153" s="333"/>
      <c r="BL153" s="333"/>
      <c r="BM153" s="333"/>
      <c r="BN153" s="333"/>
      <c r="BO153" s="333"/>
      <c r="BP153" s="333"/>
      <c r="BQ153" s="333"/>
      <c r="BR153" s="333"/>
      <c r="BS153" s="333"/>
      <c r="BT153" s="333"/>
      <c r="BU153" s="333"/>
      <c r="BV153" s="333"/>
      <c r="BW153" s="333"/>
      <c r="BX153" s="333"/>
      <c r="BY153" s="333"/>
      <c r="BZ153" s="333"/>
      <c r="CA153" s="333"/>
      <c r="CB153" s="333"/>
      <c r="CC153" s="333"/>
      <c r="CD153" s="333"/>
      <c r="CE153" s="333"/>
      <c r="CF153" s="333"/>
      <c r="CG153" s="333"/>
      <c r="CH153" s="333"/>
      <c r="CI153" s="333"/>
      <c r="CJ153" s="333"/>
      <c r="CK153" s="333"/>
      <c r="CL153" s="333"/>
      <c r="CM153" s="333"/>
      <c r="CN153" s="333"/>
      <c r="CO153" s="333"/>
      <c r="CP153" s="333"/>
      <c r="CQ153" s="333"/>
      <c r="CR153" s="333"/>
      <c r="CS153" s="333"/>
      <c r="CT153" s="333"/>
      <c r="CU153" s="333"/>
      <c r="CV153" s="333"/>
      <c r="CW153" s="333"/>
      <c r="CX153" s="333"/>
      <c r="CY153" s="333"/>
      <c r="CZ153" s="333"/>
      <c r="DA153" s="333"/>
      <c r="DB153" s="333"/>
      <c r="DC153" s="333"/>
      <c r="DD153" s="333"/>
      <c r="DE153" s="333"/>
      <c r="DF153" s="333"/>
      <c r="DG153" s="333"/>
      <c r="DH153" s="333"/>
      <c r="DI153" s="333"/>
      <c r="DJ153" s="333"/>
      <c r="DK153" s="333"/>
      <c r="DL153" s="333"/>
      <c r="DM153" s="333"/>
      <c r="DN153" s="333"/>
      <c r="DO153" s="333"/>
      <c r="DP153" s="333"/>
      <c r="DQ153" s="333"/>
      <c r="DR153" s="333"/>
      <c r="DS153" s="333"/>
      <c r="DT153" s="333"/>
      <c r="DU153" s="375"/>
      <c r="DV153" s="375"/>
      <c r="DW153" s="375"/>
      <c r="DX153" s="375"/>
      <c r="DY153" s="375"/>
      <c r="DZ153" s="375"/>
      <c r="EA153" s="375"/>
      <c r="EB153" s="375"/>
      <c r="EC153" s="359"/>
      <c r="ED153" s="359"/>
      <c r="EE153" s="359"/>
      <c r="EF153" s="359"/>
      <c r="EG153" s="359"/>
      <c r="EH153" s="359"/>
      <c r="EI153" s="359"/>
      <c r="EJ153" s="373"/>
      <c r="EK153" s="373"/>
      <c r="EL153" s="366"/>
      <c r="EM153" s="368"/>
      <c r="EN153" s="364"/>
      <c r="EO153" s="353">
        <f>+IF(EO151= 0, 0, GG149)</f>
        <v>0</v>
      </c>
      <c r="EP153" s="350"/>
      <c r="EQ153" s="344"/>
      <c r="ER153" s="523"/>
      <c r="ES153" s="921">
        <f>IF(ER153 = "", 0,
IF(AND(EP153 &gt; 0, EQ153 &gt;0), 0, IF(EO149 &lt;&gt; $Z$1,
IF(AND(EP153 &lt;&gt; "", EP153 &lt;&gt; 0), -(EP153 * ER153 * 100),
IF(AND(EQ153 &lt;&gt; "", EQ153 &lt;&gt; 0), (EQ153 * ER153 * 100), 0)),
IF(AND(EP153 &lt;&gt; "", EP153 &lt;&gt; 0), -(EP153 * ER153 * 1),
IF(AND(EQ153 &lt;&gt; "", EQ153 &lt;&gt; 0), (EQ153 * ER153 * 1), 0))  )))</f>
        <v>0</v>
      </c>
      <c r="ET153" s="922"/>
      <c r="EU153" s="924"/>
      <c r="EV153" s="921">
        <f>IF(ER153 = "", 0,
IF(AND(EP153 &gt; 0, EQ153 &gt;0), 0,  IF(EO149 &lt;&gt; $Z$1,
IF(AND(EP153 &lt;&gt; "", EP153 &lt;&gt; 0), -(EP153 * ER153 * 100 * (1 + COMIS_OPCION)),
IF(AND(EQ153 &lt;&gt; "", EQ153 &lt;&gt; 0), (EQ153 * ER153 * 100 * (1 - COMIS_OPCION)), 0)),
IF(AND(EP153 &lt;&gt; "", EP153 &lt;&gt; 0), -(EP153 * ER153 * 1 * (1 + COMIS_ACCION)),
IF(AND(EQ153 &lt;&gt; "", EQ153 &lt;&gt; 0), (EQ153 * ER153 * 1 * (1 - COMIS_ACCION)), 0))  )))</f>
        <v>0</v>
      </c>
      <c r="EW153" s="922"/>
      <c r="EX153" s="922"/>
      <c r="EY153" s="922"/>
      <c r="EZ153" s="922"/>
      <c r="FA153" s="922"/>
      <c r="FB153" s="922"/>
      <c r="FC153" s="922"/>
      <c r="FD153" s="923"/>
      <c r="FE153" s="340"/>
      <c r="FF153" s="340"/>
      <c r="FG153" s="365"/>
      <c r="FH153" s="365"/>
      <c r="FI153" s="349">
        <f>+IF(FI151= 0, 0, GQ149)</f>
        <v>0</v>
      </c>
      <c r="FJ153" s="348"/>
      <c r="FK153" s="345"/>
      <c r="FL153" s="346"/>
      <c r="FM153" s="937">
        <f>IF(FL153 = "", 0,
IF(AND(FJ153 &gt; 0, FK153 &gt;0), 0,
IF(AND(FJ153 &lt;&gt; "", FJ153 &lt;&gt; 0), -(FJ153 * FL153 * 100),
IF(AND(FK153 &lt;&gt; "", FK153 &lt;&gt; 0), (FK153 * FL153 * 100), 0)) ))</f>
        <v>0</v>
      </c>
      <c r="FN153" s="938"/>
      <c r="FO153" s="939"/>
      <c r="FP153" s="937">
        <f>IF(FL153 = "", 0,
IF(AND(FJ153 &gt; 0, FK153 &gt;0), 0,
IF(AND(FJ153 &lt;&gt; "", FJ153 &lt;&gt; 0), -(FJ153 * FL153 * 100 * (1 + COMIS_OPCION)),
IF(AND(FK153 &lt;&gt; "", FK153 &lt;&gt; 0), (FK153 * FL153 * 100 * (1 - COMIS_OPCION)), 0)) ))</f>
        <v>0</v>
      </c>
      <c r="FQ153" s="938"/>
      <c r="FR153" s="938"/>
      <c r="FS153" s="938"/>
      <c r="FT153" s="938"/>
      <c r="FU153" s="938"/>
      <c r="FV153" s="938"/>
      <c r="FW153" s="938"/>
      <c r="FX153" s="969"/>
      <c r="FY153" s="341"/>
      <c r="FZ153" s="341"/>
      <c r="GA153" s="341"/>
      <c r="GB153" s="495">
        <v>0</v>
      </c>
      <c r="GC153" s="495">
        <v>0</v>
      </c>
      <c r="GD153" s="500"/>
      <c r="GE153" s="495">
        <v>0</v>
      </c>
      <c r="GF153" s="495">
        <v>0</v>
      </c>
      <c r="GG153" s="495">
        <v>0</v>
      </c>
      <c r="GH153" s="359"/>
      <c r="GI153" s="359"/>
      <c r="GJ153" s="501"/>
      <c r="GK153" s="495">
        <v>0</v>
      </c>
      <c r="GL153" s="495">
        <v>0</v>
      </c>
      <c r="GM153" s="495">
        <v>0</v>
      </c>
      <c r="GN153" s="359"/>
      <c r="GO153" s="359"/>
      <c r="GP153" s="501"/>
      <c r="GQ153" s="495">
        <v>0</v>
      </c>
      <c r="GR153" s="375"/>
      <c r="GS153" s="333"/>
      <c r="GT153" s="333"/>
      <c r="GU153" s="333"/>
      <c r="GV153" s="333"/>
      <c r="GW153" s="333"/>
      <c r="GX153" s="333"/>
      <c r="GY153" s="333"/>
      <c r="GZ153" s="333"/>
      <c r="HA153" s="333"/>
      <c r="HB153" s="333"/>
      <c r="HC153" s="333"/>
      <c r="HD153" s="333"/>
      <c r="HE153" s="333"/>
      <c r="HF153" s="333"/>
      <c r="HG153" s="331"/>
      <c r="HH153" s="331"/>
      <c r="HI153" s="331"/>
      <c r="HJ153" s="331"/>
      <c r="HK153" s="331"/>
      <c r="HL153" s="331"/>
      <c r="HM153" s="331"/>
      <c r="HN153" s="333"/>
      <c r="HO153" s="333"/>
      <c r="HP153" s="333"/>
      <c r="HQ153" s="333"/>
      <c r="HR153" s="333"/>
      <c r="HS153" s="333"/>
      <c r="HT153" s="333"/>
      <c r="HU153" s="333"/>
      <c r="HV153" s="333"/>
      <c r="HW153" s="333"/>
      <c r="HX153" s="333"/>
      <c r="HY153" s="333"/>
      <c r="HZ153" s="333"/>
      <c r="IA153" s="333"/>
      <c r="IB153" s="333"/>
      <c r="IC153" s="333"/>
      <c r="ID153" s="55"/>
      <c r="IE153" s="47"/>
    </row>
    <row r="154" spans="13:290" s="142" customFormat="1" ht="15" customHeight="1" thickBot="1">
      <c r="M154" s="333"/>
      <c r="N154" s="333"/>
      <c r="O154" s="333"/>
      <c r="P154" s="333"/>
      <c r="Q154" s="333"/>
      <c r="R154" s="333"/>
      <c r="S154" s="333"/>
      <c r="T154" s="333"/>
      <c r="U154" s="333"/>
      <c r="V154" s="333"/>
      <c r="W154" s="333"/>
      <c r="X154" s="333"/>
      <c r="Y154" s="333"/>
      <c r="Z154" s="333"/>
      <c r="AA154" s="333"/>
      <c r="AB154" s="333"/>
      <c r="AC154" s="333"/>
      <c r="AD154" s="333"/>
      <c r="AE154" s="333"/>
      <c r="AF154" s="333"/>
      <c r="AG154" s="333"/>
      <c r="AH154" s="333"/>
      <c r="AI154" s="333"/>
      <c r="AJ154" s="333"/>
      <c r="AK154" s="333"/>
      <c r="AL154" s="333"/>
      <c r="AM154" s="333"/>
      <c r="AN154" s="333"/>
      <c r="AO154" s="333"/>
      <c r="AP154" s="333"/>
      <c r="AQ154" s="333"/>
      <c r="AR154" s="333"/>
      <c r="AS154" s="333"/>
      <c r="AT154" s="333"/>
      <c r="AU154" s="333"/>
      <c r="AV154" s="333"/>
      <c r="AW154" s="333"/>
      <c r="AX154" s="333"/>
      <c r="AY154" s="333"/>
      <c r="AZ154" s="333"/>
      <c r="BA154" s="333"/>
      <c r="BB154" s="333"/>
      <c r="BC154" s="333"/>
      <c r="BD154" s="333"/>
      <c r="BE154" s="333"/>
      <c r="BF154" s="333"/>
      <c r="BG154" s="333"/>
      <c r="BH154" s="333"/>
      <c r="BI154" s="333"/>
      <c r="BJ154" s="333"/>
      <c r="BK154" s="333"/>
      <c r="BL154" s="333"/>
      <c r="BM154" s="333"/>
      <c r="BN154" s="333"/>
      <c r="BO154" s="333"/>
      <c r="BP154" s="333"/>
      <c r="BQ154" s="333"/>
      <c r="BR154" s="333"/>
      <c r="BS154" s="333"/>
      <c r="BT154" s="333"/>
      <c r="BU154" s="333"/>
      <c r="BV154" s="333"/>
      <c r="BW154" s="333"/>
      <c r="BX154" s="333"/>
      <c r="BY154" s="333"/>
      <c r="BZ154" s="333"/>
      <c r="CA154" s="333"/>
      <c r="CB154" s="333"/>
      <c r="CC154" s="333"/>
      <c r="CD154" s="333"/>
      <c r="CE154" s="333"/>
      <c r="CF154" s="333"/>
      <c r="CG154" s="333"/>
      <c r="CH154" s="333"/>
      <c r="CI154" s="333"/>
      <c r="CJ154" s="333"/>
      <c r="CK154" s="333"/>
      <c r="CL154" s="333"/>
      <c r="CM154" s="333"/>
      <c r="CN154" s="333"/>
      <c r="CO154" s="333"/>
      <c r="CP154" s="333"/>
      <c r="CQ154" s="333"/>
      <c r="CR154" s="333"/>
      <c r="CS154" s="333"/>
      <c r="CT154" s="333"/>
      <c r="CU154" s="333"/>
      <c r="CV154" s="333"/>
      <c r="CW154" s="333"/>
      <c r="CX154" s="333"/>
      <c r="CY154" s="333"/>
      <c r="CZ154" s="333"/>
      <c r="DA154" s="333"/>
      <c r="DB154" s="333"/>
      <c r="DC154" s="333"/>
      <c r="DD154" s="333"/>
      <c r="DE154" s="333"/>
      <c r="DF154" s="333"/>
      <c r="DG154" s="333"/>
      <c r="DH154" s="333"/>
      <c r="DI154" s="333"/>
      <c r="DJ154" s="333"/>
      <c r="DK154" s="333"/>
      <c r="DL154" s="333"/>
      <c r="DM154" s="333"/>
      <c r="DN154" s="333"/>
      <c r="DO154" s="333"/>
      <c r="DP154" s="333"/>
      <c r="DQ154" s="333"/>
      <c r="DR154" s="333"/>
      <c r="DS154" s="333"/>
      <c r="DT154" s="333"/>
      <c r="DU154" s="375"/>
      <c r="DV154" s="375"/>
      <c r="DW154" s="375"/>
      <c r="DX154" s="375"/>
      <c r="DY154" s="375"/>
      <c r="DZ154" s="375"/>
      <c r="EA154" s="375"/>
      <c r="EB154" s="375"/>
      <c r="EC154" s="359"/>
      <c r="ED154" s="359"/>
      <c r="EE154" s="359"/>
      <c r="EF154" s="359"/>
      <c r="EG154" s="359"/>
      <c r="EH154" s="359"/>
      <c r="EI154" s="359"/>
      <c r="EJ154" s="373"/>
      <c r="EK154" s="373"/>
      <c r="EL154" s="366"/>
      <c r="EM154" s="369"/>
      <c r="EN154" s="364"/>
      <c r="EO154" s="363"/>
      <c r="EP154" s="340"/>
      <c r="EQ154" s="340"/>
      <c r="ER154" s="340"/>
      <c r="ES154" s="363"/>
      <c r="ET154" s="363"/>
      <c r="EU154" s="340"/>
      <c r="EV154" s="340"/>
      <c r="EW154" s="340"/>
      <c r="EX154" s="340"/>
      <c r="EY154" s="340"/>
      <c r="EZ154" s="340"/>
      <c r="FA154" s="340"/>
      <c r="FB154" s="402"/>
      <c r="FC154" s="402"/>
      <c r="FD154" s="340"/>
      <c r="FE154" s="340"/>
      <c r="FF154" s="340"/>
      <c r="FG154" s="364"/>
      <c r="FH154" s="364"/>
      <c r="FI154" s="363"/>
      <c r="FJ154" s="360"/>
      <c r="FK154" s="360"/>
      <c r="FL154" s="340"/>
      <c r="FM154" s="967"/>
      <c r="FN154" s="967"/>
      <c r="FO154" s="967"/>
      <c r="FP154" s="968"/>
      <c r="FQ154" s="968"/>
      <c r="FR154" s="968"/>
      <c r="FS154" s="968"/>
      <c r="FT154" s="968"/>
      <c r="FU154" s="968"/>
      <c r="FV154" s="968"/>
      <c r="FW154" s="968"/>
      <c r="FX154" s="968"/>
      <c r="FY154" s="341"/>
      <c r="FZ154" s="341"/>
      <c r="GA154" s="341"/>
      <c r="GB154" s="495">
        <v>0</v>
      </c>
      <c r="GC154" s="495">
        <v>0</v>
      </c>
      <c r="GD154" s="500"/>
      <c r="GE154" s="495">
        <v>0</v>
      </c>
      <c r="GF154" s="495">
        <v>0</v>
      </c>
      <c r="GG154" s="495">
        <v>0</v>
      </c>
      <c r="GH154" s="359"/>
      <c r="GI154" s="359"/>
      <c r="GJ154" s="501"/>
      <c r="GK154" s="495">
        <v>0</v>
      </c>
      <c r="GL154" s="495">
        <v>0</v>
      </c>
      <c r="GM154" s="495">
        <v>0</v>
      </c>
      <c r="GN154" s="359"/>
      <c r="GO154" s="359"/>
      <c r="GP154" s="501"/>
      <c r="GQ154" s="495">
        <v>0</v>
      </c>
      <c r="GR154" s="375"/>
      <c r="GS154" s="333"/>
      <c r="GT154" s="333"/>
      <c r="GU154" s="333"/>
      <c r="GV154" s="333"/>
      <c r="GW154" s="333"/>
      <c r="GX154" s="333"/>
      <c r="GY154" s="333"/>
      <c r="GZ154" s="333"/>
      <c r="HA154" s="333"/>
      <c r="HB154" s="333"/>
      <c r="HC154" s="333"/>
      <c r="HD154" s="333"/>
      <c r="HE154" s="333"/>
      <c r="HF154" s="333"/>
      <c r="HG154" s="331"/>
      <c r="HH154" s="331"/>
      <c r="HI154" s="331"/>
      <c r="HJ154" s="331"/>
      <c r="HK154" s="331"/>
      <c r="HL154" s="331"/>
      <c r="HM154" s="331"/>
      <c r="HN154" s="333"/>
      <c r="HO154" s="333"/>
      <c r="HP154" s="333"/>
      <c r="HQ154" s="333"/>
      <c r="HR154" s="333"/>
      <c r="HS154" s="333"/>
      <c r="HT154" s="333"/>
      <c r="HU154" s="333"/>
      <c r="HV154" s="333"/>
      <c r="HW154" s="333"/>
      <c r="HX154" s="333"/>
      <c r="HY154" s="333"/>
      <c r="HZ154" s="333"/>
      <c r="IA154" s="333"/>
      <c r="IB154" s="333"/>
      <c r="IC154" s="333"/>
      <c r="ID154" s="55"/>
      <c r="IE154" s="47"/>
    </row>
    <row r="155" spans="13:290" s="142" customFormat="1" ht="15" customHeight="1">
      <c r="M155" s="333"/>
      <c r="N155" s="333"/>
      <c r="O155" s="333"/>
      <c r="P155" s="333"/>
      <c r="Q155" s="333"/>
      <c r="R155" s="333"/>
      <c r="S155" s="333"/>
      <c r="T155" s="333"/>
      <c r="U155" s="333"/>
      <c r="V155" s="333"/>
      <c r="W155" s="333"/>
      <c r="X155" s="333"/>
      <c r="Y155" s="333"/>
      <c r="Z155" s="333"/>
      <c r="AA155" s="333"/>
      <c r="AB155" s="333"/>
      <c r="AC155" s="333"/>
      <c r="AD155" s="333"/>
      <c r="AE155" s="333"/>
      <c r="AF155" s="333"/>
      <c r="AG155" s="333"/>
      <c r="AH155" s="333"/>
      <c r="AI155" s="333"/>
      <c r="AJ155" s="333"/>
      <c r="AK155" s="333"/>
      <c r="AL155" s="333"/>
      <c r="AM155" s="333"/>
      <c r="AN155" s="333"/>
      <c r="AO155" s="333"/>
      <c r="AP155" s="333"/>
      <c r="AQ155" s="333"/>
      <c r="AR155" s="333"/>
      <c r="AS155" s="333"/>
      <c r="AT155" s="333"/>
      <c r="AU155" s="333"/>
      <c r="AV155" s="333"/>
      <c r="AW155" s="333"/>
      <c r="AX155" s="333"/>
      <c r="AY155" s="333"/>
      <c r="AZ155" s="333"/>
      <c r="BA155" s="333"/>
      <c r="BB155" s="333"/>
      <c r="BC155" s="333"/>
      <c r="BD155" s="333"/>
      <c r="BE155" s="333"/>
      <c r="BF155" s="333"/>
      <c r="BG155" s="333"/>
      <c r="BH155" s="333"/>
      <c r="BI155" s="333"/>
      <c r="BJ155" s="333"/>
      <c r="BK155" s="333"/>
      <c r="BL155" s="333"/>
      <c r="BM155" s="333"/>
      <c r="BN155" s="333"/>
      <c r="BO155" s="333"/>
      <c r="BP155" s="333"/>
      <c r="BQ155" s="333"/>
      <c r="BR155" s="333"/>
      <c r="BS155" s="333"/>
      <c r="BT155" s="333"/>
      <c r="BU155" s="333"/>
      <c r="BV155" s="333"/>
      <c r="BW155" s="333"/>
      <c r="BX155" s="333"/>
      <c r="BY155" s="333"/>
      <c r="BZ155" s="333"/>
      <c r="CA155" s="333"/>
      <c r="CB155" s="333"/>
      <c r="CC155" s="333"/>
      <c r="CD155" s="333"/>
      <c r="CE155" s="333"/>
      <c r="CF155" s="333"/>
      <c r="CG155" s="333"/>
      <c r="CH155" s="333"/>
      <c r="CI155" s="333"/>
      <c r="CJ155" s="333"/>
      <c r="CK155" s="333"/>
      <c r="CL155" s="333"/>
      <c r="CM155" s="333"/>
      <c r="CN155" s="333"/>
      <c r="CO155" s="333"/>
      <c r="CP155" s="333"/>
      <c r="CQ155" s="333"/>
      <c r="CR155" s="333"/>
      <c r="CS155" s="333"/>
      <c r="CT155" s="333"/>
      <c r="CU155" s="333"/>
      <c r="CV155" s="333"/>
      <c r="CW155" s="333"/>
      <c r="CX155" s="333"/>
      <c r="CY155" s="333"/>
      <c r="CZ155" s="333"/>
      <c r="DA155" s="333"/>
      <c r="DB155" s="333"/>
      <c r="DC155" s="333"/>
      <c r="DD155" s="333"/>
      <c r="DE155" s="333"/>
      <c r="DF155" s="333"/>
      <c r="DG155" s="333"/>
      <c r="DH155" s="333"/>
      <c r="DI155" s="333"/>
      <c r="DJ155" s="333"/>
      <c r="DK155" s="333"/>
      <c r="DL155" s="333"/>
      <c r="DM155" s="333"/>
      <c r="DN155" s="333"/>
      <c r="DO155" s="333"/>
      <c r="DP155" s="333"/>
      <c r="DQ155" s="333"/>
      <c r="DR155" s="333"/>
      <c r="DS155" s="333"/>
      <c r="DT155" s="333"/>
      <c r="DU155" s="375"/>
      <c r="DV155" s="375"/>
      <c r="DW155" s="375"/>
      <c r="DX155" s="375"/>
      <c r="DY155" s="375"/>
      <c r="DZ155" s="375"/>
      <c r="EA155" s="375"/>
      <c r="EB155" s="375"/>
      <c r="EC155" s="359"/>
      <c r="ED155" s="359"/>
      <c r="EE155" s="359"/>
      <c r="EF155" s="359"/>
      <c r="EG155" s="359"/>
      <c r="EH155" s="359"/>
      <c r="EI155" s="359"/>
      <c r="EJ155" s="373"/>
      <c r="EK155" s="373"/>
      <c r="EL155" s="366"/>
      <c r="EM155" s="366"/>
      <c r="EN155" s="364">
        <f>+EN149+1</f>
        <v>18</v>
      </c>
      <c r="EO155" s="356">
        <f>+VLOOKUP(EN155, PRECIOS_EJERCICIOS,  2,FALSE)</f>
        <v>230</v>
      </c>
      <c r="EP155" s="513" t="str">
        <f>+IF($AQ$49 = FALSE, "",
IF(VLOOKUP(EO155, basesCantPrimaBrutoRes, 2,FALSE) &gt;= 0, VLOOKUP(EO155, basesCantPrimaBrutoRes, 2,FALSE), 0))</f>
        <v/>
      </c>
      <c r="EQ155" s="514" t="str">
        <f>+IF($AQ$49 = FALSE, "",
IF(VLOOKUP(EO155, basesCantPrimaBrutoRes, 2,FALSE) &lt; 0, -VLOOKUP(EO155, basesCantPrimaBrutoRes, 2,FALSE), 0))</f>
        <v/>
      </c>
      <c r="ER155" s="521" t="str">
        <f>IF($AQ$49 = FALSE, "",
VLOOKUP(EO155, basesCantPrimaBrutoRes, 4,FALSE))</f>
        <v/>
      </c>
      <c r="ES155" s="926">
        <f>IF(ER155 = "", 0,
IF(AND(EP155 &gt; 0, EQ155 &gt;0), 0, IF(EO155 &lt;&gt; $Z$1,
IF(AND(EP155 &lt;&gt; "", EP155 &lt;&gt; 0), -(EP155 * ER155 * 100),
IF(AND(EQ155 &lt;&gt; "", EQ155 &lt;&gt; 0), (EQ155 * ER155 * 100), 0)),
IF(AND(EP155 &lt;&gt; "", EP155 &lt;&gt; 0), -(EP155 * ER155 * 1),
IF(AND(EQ155 &lt;&gt; "", EQ155 &lt;&gt; 0), (EQ155 * ER155 * 1), 0))  )))</f>
        <v>0</v>
      </c>
      <c r="ET155" s="927"/>
      <c r="EU155" s="928"/>
      <c r="EV155" s="926">
        <f>IF(ER155 = "", 0,
IF(AND(EP155 &gt; 0, EQ155 &gt;0), 0,  IF(EO155 &lt;&gt; $Z$1,
IF(AND(EP155 &lt;&gt; "", EP155 &lt;&gt; 0), -(EP155 * ER155 * 100 * (1 + COMIS_OPCION)),
IF(AND(EQ155 &lt;&gt; "", EQ155 &lt;&gt; 0), (EQ155 * ER155 * 100 * (1 - COMIS_OPCION)), 0)),
IF(AND(EP155 &lt;&gt; "", EP155 &lt;&gt; 0), -(EP155 * ER155 * 1 * (1 + COMIS_ACCION)),
IF(AND(EQ155 &lt;&gt; "", EQ155 &lt;&gt; 0), (EQ155 * ER155 * 1 * (1 - COMIS_ACCION)), 0))  )))</f>
        <v>0</v>
      </c>
      <c r="EW155" s="927"/>
      <c r="EX155" s="927"/>
      <c r="EY155" s="927"/>
      <c r="EZ155" s="927"/>
      <c r="FA155" s="927"/>
      <c r="FB155" s="927"/>
      <c r="FC155" s="927"/>
      <c r="FD155" s="929"/>
      <c r="FE155" s="340"/>
      <c r="FF155" s="340"/>
      <c r="FG155" s="364"/>
      <c r="FH155" s="364">
        <f>+FH149+1</f>
        <v>18</v>
      </c>
      <c r="FI155" s="357">
        <f>+VLOOKUP(FH155, PRECIOS_EJERCICIOS,  2,FALSE)</f>
        <v>230</v>
      </c>
      <c r="FJ155" s="515" t="str">
        <f>+IF($AQ$49 = FALSE, "",
IF(VLOOKUP(EO155, basesCantPrimaBrutoRes, 5,FALSE) &gt;= 0, VLOOKUP(EO155, basesCantPrimaBrutoRes, 5,FALSE), 0))</f>
        <v/>
      </c>
      <c r="FK155" s="516" t="str">
        <f>+IF($AQ$49 = FALSE, "",
IF(VLOOKUP(EO155, basesCantPrimaBrutoRes, 5,FALSE) &lt; 0, -VLOOKUP(EO155, basesCantPrimaBrutoRes, 5,FALSE), 0))</f>
        <v/>
      </c>
      <c r="FL155" s="517" t="str">
        <f>IF($AQ$49 = FALSE, "",
VLOOKUP(EO155, basesCantPrimaBrutoRes, 7,FALSE))</f>
        <v/>
      </c>
      <c r="FM155" s="934">
        <f>IF(FL155 = "", 0,
IF(AND(FJ155 &gt; 0, FK155 &gt;0), 0,
IF(AND(FJ155 &lt;&gt; "", FJ155 &lt;&gt; 0), -(FJ155 * FL155 * 100),
IF(AND(FK155 &lt;&gt; "", FK155 &lt;&gt; 0), (FK155 * FL155 * 100), 0)) ))</f>
        <v>0</v>
      </c>
      <c r="FN155" s="935"/>
      <c r="FO155" s="936"/>
      <c r="FP155" s="934">
        <f>IF(FL155 = "", 0,
IF(AND(FJ155 &gt; 0, FK155 &gt;0), 0,
IF(AND(FJ155 &lt;&gt; "", FJ155 &lt;&gt; 0), -(FJ155 * FL155 * 100 * (1 + COMIS_OPCION)),
IF(AND(FK155 &lt;&gt; "", FK155 &lt;&gt; 0), (FK155 * FL155 * 100 * (1 - COMIS_OPCION)), 0)) ))</f>
        <v>0</v>
      </c>
      <c r="FQ155" s="935"/>
      <c r="FR155" s="935"/>
      <c r="FS155" s="935"/>
      <c r="FT155" s="935"/>
      <c r="FU155" s="935"/>
      <c r="FV155" s="935"/>
      <c r="FW155" s="935"/>
      <c r="FX155" s="966"/>
      <c r="FY155" s="341"/>
      <c r="FZ155" s="341"/>
      <c r="GA155" s="341"/>
      <c r="GB155" s="495">
        <f>+IF(EN155 = "", "", EO155)</f>
        <v>230</v>
      </c>
      <c r="GC155" s="495" t="str">
        <f>+IF(GB155="", "", IF(EO155 = $Z$1, "ACCION", "CALL"))</f>
        <v>CALL</v>
      </c>
      <c r="GD155" s="500"/>
      <c r="GE155" s="495">
        <f>+IF(GB155= "", "", EO157)</f>
        <v>0</v>
      </c>
      <c r="GF155" s="495">
        <f>+IF(GB155 = "", "", IFERROR(IF(GB155 &lt;&gt; $Z$1,
IF(GE155 &gt; 0, SUMIFS(ES155:ES159, EP155:EP159, "&gt;0", ES155:ES159, "&lt;&gt;0") / SUMIFS(EP155:EP159, EP155:EP159, "&gt;0", ES155:ES159, "&lt;&gt;0") / -100,
IF(GE155 &lt; 0, SUMIFS(ES155:ES159, EQ155:EQ159, "&gt;0", ES155:ES159, "&lt;&gt;0") / SUMIFS(EQ155:EQ159, EQ155:EQ159, "&gt;0", ES155:ES159, "&lt;&gt;0") / 100, 0)),
IF(GE155 &gt; 0, SUMIFS(ES155:ES159, EP155:EP159, "&gt;0", ES155:ES159, "&lt;&gt;0") / SUMIFS(EP155:EP159, EP155:EP159, "&gt;0", ES155:ES159, "&lt;&gt;0") / -1,
IF(GE155 &lt; 0, SUMIFS(ES155:ES159, EQ155:EQ159, "&gt;0", ES155:ES159, "&lt;&gt;0") / SUMIFS(EQ155:EQ159, EQ155:EQ159, "&gt;0", ES155:ES159, "&lt;&gt;0") / 1, 0)) ), 0))</f>
        <v>0</v>
      </c>
      <c r="GG155" s="495">
        <f>+IF(GB155 = "", "", IFERROR(IF(GB155 &lt;&gt; $Z$1,
IF(GE155 &gt; 0, SUMIFS(EV155:EV159, EP155:EP159, "&gt;0", EV155:EV159, "&lt;&gt;0") / SUMIFS(EP155:EP159, EP155:EP159, "&gt;0", EV155:EV159, "&lt;&gt;0") / -100,
IF(GE155 &lt; 0, SUMIFS(EV155:EV159, EQ155:EQ159, "&gt;0", EV155:EV159, "&lt;&gt;0") / SUMIFS(EQ155:EQ159, EQ155:EQ159, "&gt;0", EV155:EV159, "&lt;&gt;0") / 100, 0)),
IF(GE155 &gt; 0, SUMIFS(EV155:EV159, EP155:EP159, "&gt;0", EV155:EV159, "&lt;&gt;0") / SUMIFS(EP155:EP159, EP155:EP159, "&gt;0", EV155:EV159, "&lt;&gt;0") / -1,
IF(GE155 &lt; 0, SUMIFS(EV155:EV159, EQ155:EQ159, "&gt;0", EV155:EV159, "&lt;&gt;0") / SUMIFS(EQ155:EQ159, EQ155:EQ159, "&gt;0", EV155:EV159, "&lt;&gt;0") / 1, 0)) ), 0))</f>
        <v>0</v>
      </c>
      <c r="GH155" s="359"/>
      <c r="GI155" s="359"/>
      <c r="GJ155" s="501"/>
      <c r="GK155" s="495" t="str">
        <f>+IF(GB155="", "", "PUT")</f>
        <v>PUT</v>
      </c>
      <c r="GL155" s="495">
        <f>+IF(GB155 = "", "", FI157)</f>
        <v>0</v>
      </c>
      <c r="GM155" s="495">
        <f>+IF(GB155 = "", "", IFERROR(
IF(FI157 &gt; 0, SUMIFS(FM155:FM159, FJ155:FJ159, "&gt;0", FM155:FM159, "&lt;&gt;0") / SUMIFS(FJ155:FJ159, FJ155:FJ159, "&gt;0", FM155:FM159, "&lt;&gt;0") / -100,
IF(FI157 &lt; 0, SUMIFS(FM155:FM159, FK155:FK159, "&gt;0", FM155:FM159, "&lt;&gt;0") / SUMIFS(FK155:FK159, FK155:FK159, "&gt;0", FM155:FM159, "&lt;&gt;0") / 100, 0)), 0) )</f>
        <v>0</v>
      </c>
      <c r="GN155" s="359"/>
      <c r="GO155" s="359"/>
      <c r="GP155" s="501"/>
      <c r="GQ155" s="502">
        <f>+IF(GB155 = "", "", IFERROR(
IF(FI157 &gt; 0, SUMIFS(FP155:FP159, FJ155:FJ159, "&gt;0", FP155:FP159, "&lt;&gt;0") / SUMIFS(FJ155:FJ159, FJ155:FJ159, "&gt;0", FP155:FP159, "&lt;&gt;0") / -100,
IF(FI157 &lt; 0, SUMIFS(FP155:FP159, FK155:FK159, "&gt;0", FP155:FP159, "&lt;&gt;0") / SUMIFS(FK155:FK159, FK155:FK159, "&gt;0", FP155:FP159, "&lt;&gt;0") / 100, 0)), 0))</f>
        <v>0</v>
      </c>
      <c r="GR155" s="375"/>
      <c r="GS155" s="333"/>
      <c r="GT155" s="333"/>
      <c r="GU155" s="333"/>
      <c r="GV155" s="333"/>
      <c r="GW155" s="333"/>
      <c r="GX155" s="333"/>
      <c r="GY155" s="333"/>
      <c r="GZ155" s="333"/>
      <c r="HA155" s="333"/>
      <c r="HB155" s="333"/>
      <c r="HC155" s="333"/>
      <c r="HD155" s="333"/>
      <c r="HE155" s="333"/>
      <c r="HF155" s="333"/>
      <c r="HG155" s="331"/>
      <c r="HH155" s="331"/>
      <c r="HI155" s="331"/>
      <c r="HJ155" s="331"/>
      <c r="HK155" s="331"/>
      <c r="HL155" s="331"/>
      <c r="HM155" s="331"/>
      <c r="HN155" s="333"/>
      <c r="HO155" s="333"/>
      <c r="HP155" s="333"/>
      <c r="HQ155" s="333"/>
      <c r="HR155" s="333"/>
      <c r="HS155" s="333"/>
      <c r="HT155" s="333"/>
      <c r="HU155" s="333"/>
      <c r="HV155" s="333"/>
      <c r="HW155" s="333"/>
      <c r="HX155" s="333"/>
      <c r="HY155" s="333"/>
      <c r="HZ155" s="333"/>
      <c r="IA155" s="333"/>
      <c r="IB155" s="333"/>
      <c r="IC155" s="333"/>
      <c r="ID155" s="55"/>
      <c r="IE155" s="47"/>
    </row>
    <row r="156" spans="13:290" s="142" customFormat="1" ht="15" customHeight="1">
      <c r="M156" s="333"/>
      <c r="N156" s="333"/>
      <c r="O156" s="333"/>
      <c r="P156" s="333"/>
      <c r="Q156" s="333"/>
      <c r="R156" s="333"/>
      <c r="S156" s="333"/>
      <c r="T156" s="333"/>
      <c r="U156" s="333"/>
      <c r="V156" s="333"/>
      <c r="W156" s="333"/>
      <c r="X156" s="333"/>
      <c r="Y156" s="333"/>
      <c r="Z156" s="333"/>
      <c r="AA156" s="333"/>
      <c r="AB156" s="333"/>
      <c r="AC156" s="333"/>
      <c r="AD156" s="333"/>
      <c r="AE156" s="333"/>
      <c r="AF156" s="333"/>
      <c r="AG156" s="333"/>
      <c r="AH156" s="333"/>
      <c r="AI156" s="333"/>
      <c r="AJ156" s="333"/>
      <c r="AK156" s="333"/>
      <c r="AL156" s="333"/>
      <c r="AM156" s="333"/>
      <c r="AN156" s="333"/>
      <c r="AO156" s="333"/>
      <c r="AP156" s="333"/>
      <c r="AQ156" s="333"/>
      <c r="AR156" s="333"/>
      <c r="AS156" s="333"/>
      <c r="AT156" s="333"/>
      <c r="AU156" s="333"/>
      <c r="AV156" s="333"/>
      <c r="AW156" s="333"/>
      <c r="AX156" s="333"/>
      <c r="AY156" s="333"/>
      <c r="AZ156" s="333"/>
      <c r="BA156" s="333"/>
      <c r="BB156" s="333"/>
      <c r="BC156" s="333"/>
      <c r="BD156" s="333"/>
      <c r="BE156" s="333"/>
      <c r="BF156" s="333"/>
      <c r="BG156" s="333"/>
      <c r="BH156" s="333"/>
      <c r="BI156" s="333"/>
      <c r="BJ156" s="333"/>
      <c r="BK156" s="333"/>
      <c r="BL156" s="333"/>
      <c r="BM156" s="333"/>
      <c r="BN156" s="333"/>
      <c r="BO156" s="333"/>
      <c r="BP156" s="333"/>
      <c r="BQ156" s="333"/>
      <c r="BR156" s="333"/>
      <c r="BS156" s="333"/>
      <c r="BT156" s="333"/>
      <c r="BU156" s="333"/>
      <c r="BV156" s="333"/>
      <c r="BW156" s="333"/>
      <c r="BX156" s="333"/>
      <c r="BY156" s="333"/>
      <c r="BZ156" s="333"/>
      <c r="CA156" s="333"/>
      <c r="CB156" s="333"/>
      <c r="CC156" s="333"/>
      <c r="CD156" s="333"/>
      <c r="CE156" s="333"/>
      <c r="CF156" s="333"/>
      <c r="CG156" s="333"/>
      <c r="CH156" s="333"/>
      <c r="CI156" s="333"/>
      <c r="CJ156" s="333"/>
      <c r="CK156" s="333"/>
      <c r="CL156" s="333"/>
      <c r="CM156" s="333"/>
      <c r="CN156" s="333"/>
      <c r="CO156" s="333"/>
      <c r="CP156" s="333"/>
      <c r="CQ156" s="333"/>
      <c r="CR156" s="333"/>
      <c r="CS156" s="333"/>
      <c r="CT156" s="333"/>
      <c r="CU156" s="333"/>
      <c r="CV156" s="333"/>
      <c r="CW156" s="333"/>
      <c r="CX156" s="333"/>
      <c r="CY156" s="333"/>
      <c r="CZ156" s="333"/>
      <c r="DA156" s="333"/>
      <c r="DB156" s="333"/>
      <c r="DC156" s="333"/>
      <c r="DD156" s="333"/>
      <c r="DE156" s="333"/>
      <c r="DF156" s="333"/>
      <c r="DG156" s="333"/>
      <c r="DH156" s="333"/>
      <c r="DI156" s="333"/>
      <c r="DJ156" s="333"/>
      <c r="DK156" s="333"/>
      <c r="DL156" s="333"/>
      <c r="DM156" s="333"/>
      <c r="DN156" s="333"/>
      <c r="DO156" s="333"/>
      <c r="DP156" s="333"/>
      <c r="DQ156" s="333"/>
      <c r="DR156" s="333"/>
      <c r="DS156" s="333"/>
      <c r="DT156" s="333"/>
      <c r="DU156" s="375"/>
      <c r="DV156" s="375"/>
      <c r="DW156" s="375"/>
      <c r="DX156" s="375"/>
      <c r="DY156" s="375"/>
      <c r="DZ156" s="375"/>
      <c r="EA156" s="375"/>
      <c r="EB156" s="375"/>
      <c r="EC156" s="359"/>
      <c r="ED156" s="359"/>
      <c r="EE156" s="359"/>
      <c r="EF156" s="359"/>
      <c r="EG156" s="359"/>
      <c r="EH156" s="359"/>
      <c r="EI156" s="359"/>
      <c r="EJ156" s="373"/>
      <c r="EK156" s="373"/>
      <c r="EL156" s="366"/>
      <c r="EM156" s="366"/>
      <c r="EN156" s="364"/>
      <c r="EO156" s="351"/>
      <c r="EP156" s="347"/>
      <c r="EQ156" s="342"/>
      <c r="ER156" s="522"/>
      <c r="ES156" s="916">
        <f>IF(ER156 = "", 0,
IF(AND(EP156 &gt; 0, EQ156 &gt;0), 0, IF(EO155 &lt;&gt; $Z$1,
IF(AND(EP156 &lt;&gt; "", EP156 &lt;&gt; 0), -(EP156 * ER156 * 100),
IF(AND(EQ156 &lt;&gt; "", EQ156 &lt;&gt; 0), (EQ156 * ER156 * 100), 0)),
IF(AND(EP156 &lt;&gt; "", EP156 &lt;&gt; 0), -(EP156 * ER156 * 1),
IF(AND(EQ156 &lt;&gt; "", EQ156 &lt;&gt; 0), (EQ156 * ER156 * 1), 0))  )))</f>
        <v>0</v>
      </c>
      <c r="ET156" s="917"/>
      <c r="EU156" s="918"/>
      <c r="EV156" s="916">
        <f>IF(ER156 = "", 0,
IF(AND(EP156 &gt; 0, EQ156 &gt;0), 0,  IF(EO155 &lt;&gt; $Z$1,
IF(AND(EP156 &lt;&gt; "", EP156 &lt;&gt; 0), -(EP156 * ER156 * 100 * (1 + COMIS_OPCION)),
IF(AND(EQ156 &lt;&gt; "", EQ156 &lt;&gt; 0), (EQ156 * ER156 * 100 * (1 - COMIS_OPCION)), 0)),
IF(AND(EP156 &lt;&gt; "", EP156 &lt;&gt; 0), -(EP156 * ER156 * 1 * (1 + COMIS_ACCION)),
IF(AND(EQ156 &lt;&gt; "", EQ156 &lt;&gt; 0), (EQ156 * ER156 * 1 * (1 - COMIS_ACCION)), 0))  )))</f>
        <v>0</v>
      </c>
      <c r="EW156" s="917"/>
      <c r="EX156" s="917"/>
      <c r="EY156" s="917"/>
      <c r="EZ156" s="917"/>
      <c r="FA156" s="917"/>
      <c r="FB156" s="917"/>
      <c r="FC156" s="917"/>
      <c r="FD156" s="925"/>
      <c r="FE156" s="340"/>
      <c r="FF156" s="340"/>
      <c r="FG156" s="364"/>
      <c r="FH156" s="364"/>
      <c r="FI156" s="339"/>
      <c r="FJ156" s="347"/>
      <c r="FK156" s="342"/>
      <c r="FL156" s="343"/>
      <c r="FM156" s="930">
        <f>IF(FL156 = "", 0,
IF(AND(FJ156 &gt; 0, FK156 &gt;0), 0,
IF(AND(FJ156 &lt;&gt; "", FJ156 &lt;&gt; 0), -(FJ156 * FL156 * 100),
IF(AND(FK156 &lt;&gt; "", FK156 &lt;&gt; 0), (FK156 * FL156 * 100), 0)) ))</f>
        <v>0</v>
      </c>
      <c r="FN156" s="931"/>
      <c r="FO156" s="932"/>
      <c r="FP156" s="930">
        <f>IF(FL156 = "", 0,
IF(AND(FJ156 &gt; 0, FK156 &gt;0), 0,
IF(AND(FJ156 &lt;&gt; "", FJ156 &lt;&gt; 0), -(FJ156 * FL156 * 100 * (1 + COMIS_OPCION)),
IF(AND(FK156 &lt;&gt; "", FK156 &lt;&gt; 0), (FK156 * FL156 * 100 * (1 - COMIS_OPCION)), 0)) ))</f>
        <v>0</v>
      </c>
      <c r="FQ156" s="931"/>
      <c r="FR156" s="931"/>
      <c r="FS156" s="931"/>
      <c r="FT156" s="931"/>
      <c r="FU156" s="931"/>
      <c r="FV156" s="931"/>
      <c r="FW156" s="931"/>
      <c r="FX156" s="933"/>
      <c r="FY156" s="341"/>
      <c r="FZ156" s="341"/>
      <c r="GA156" s="341"/>
      <c r="GB156" s="495">
        <v>0</v>
      </c>
      <c r="GC156" s="495">
        <v>0</v>
      </c>
      <c r="GD156" s="500"/>
      <c r="GE156" s="495">
        <v>0</v>
      </c>
      <c r="GF156" s="495">
        <v>0</v>
      </c>
      <c r="GG156" s="495">
        <v>0</v>
      </c>
      <c r="GH156" s="359"/>
      <c r="GI156" s="359"/>
      <c r="GJ156" s="501"/>
      <c r="GK156" s="495">
        <v>0</v>
      </c>
      <c r="GL156" s="495">
        <v>0</v>
      </c>
      <c r="GM156" s="495">
        <v>0</v>
      </c>
      <c r="GN156" s="359"/>
      <c r="GO156" s="359"/>
      <c r="GP156" s="501"/>
      <c r="GQ156" s="495">
        <v>0</v>
      </c>
      <c r="GR156" s="375"/>
      <c r="GS156" s="333"/>
      <c r="GT156" s="333"/>
      <c r="GU156" s="333"/>
      <c r="GV156" s="333"/>
      <c r="GW156" s="333"/>
      <c r="GX156" s="333"/>
      <c r="GY156" s="333"/>
      <c r="GZ156" s="333"/>
      <c r="HA156" s="333"/>
      <c r="HB156" s="333"/>
      <c r="HC156" s="333"/>
      <c r="HD156" s="333"/>
      <c r="HE156" s="333"/>
      <c r="HF156" s="333"/>
      <c r="HG156" s="331"/>
      <c r="HH156" s="331"/>
      <c r="HI156" s="331"/>
      <c r="HJ156" s="331"/>
      <c r="HK156" s="331"/>
      <c r="HL156" s="331"/>
      <c r="HM156" s="331"/>
      <c r="HN156" s="333"/>
      <c r="HO156" s="333"/>
      <c r="HP156" s="333"/>
      <c r="HQ156" s="333"/>
      <c r="HR156" s="333"/>
      <c r="HS156" s="333"/>
      <c r="HT156" s="333"/>
      <c r="HU156" s="333"/>
      <c r="HV156" s="333"/>
      <c r="HW156" s="333"/>
      <c r="HX156" s="333"/>
      <c r="HY156" s="333"/>
      <c r="HZ156" s="333"/>
      <c r="IA156" s="333"/>
      <c r="IB156" s="333"/>
      <c r="IC156" s="333"/>
      <c r="ID156" s="55"/>
      <c r="IE156" s="47"/>
    </row>
    <row r="157" spans="13:290" s="142" customFormat="1" ht="15" customHeight="1">
      <c r="M157" s="333"/>
      <c r="N157" s="333"/>
      <c r="O157" s="333"/>
      <c r="P157" s="333"/>
      <c r="Q157" s="333"/>
      <c r="R157" s="333"/>
      <c r="S157" s="333"/>
      <c r="T157" s="333"/>
      <c r="U157" s="333"/>
      <c r="V157" s="333"/>
      <c r="W157" s="333"/>
      <c r="X157" s="333"/>
      <c r="Y157" s="333"/>
      <c r="Z157" s="333"/>
      <c r="AA157" s="333"/>
      <c r="AB157" s="333"/>
      <c r="AC157" s="333"/>
      <c r="AD157" s="333"/>
      <c r="AE157" s="333"/>
      <c r="AF157" s="333"/>
      <c r="AG157" s="333"/>
      <c r="AH157" s="333"/>
      <c r="AI157" s="333"/>
      <c r="AJ157" s="333"/>
      <c r="AK157" s="333"/>
      <c r="AL157" s="333"/>
      <c r="AM157" s="333"/>
      <c r="AN157" s="333"/>
      <c r="AO157" s="333"/>
      <c r="AP157" s="333"/>
      <c r="AQ157" s="333"/>
      <c r="AR157" s="333"/>
      <c r="AS157" s="333"/>
      <c r="AT157" s="333"/>
      <c r="AU157" s="333"/>
      <c r="AV157" s="333"/>
      <c r="AW157" s="333"/>
      <c r="AX157" s="333"/>
      <c r="AY157" s="333"/>
      <c r="AZ157" s="333"/>
      <c r="BA157" s="333"/>
      <c r="BB157" s="333"/>
      <c r="BC157" s="333"/>
      <c r="BD157" s="333"/>
      <c r="BE157" s="333"/>
      <c r="BF157" s="333"/>
      <c r="BG157" s="333"/>
      <c r="BH157" s="333"/>
      <c r="BI157" s="333"/>
      <c r="BJ157" s="333"/>
      <c r="BK157" s="333"/>
      <c r="BL157" s="333"/>
      <c r="BM157" s="333"/>
      <c r="BN157" s="333"/>
      <c r="BO157" s="333"/>
      <c r="BP157" s="333"/>
      <c r="BQ157" s="333"/>
      <c r="BR157" s="333"/>
      <c r="BS157" s="333"/>
      <c r="BT157" s="333"/>
      <c r="BU157" s="333"/>
      <c r="BV157" s="333"/>
      <c r="BW157" s="333"/>
      <c r="BX157" s="333"/>
      <c r="BY157" s="333"/>
      <c r="BZ157" s="333"/>
      <c r="CA157" s="333"/>
      <c r="CB157" s="333"/>
      <c r="CC157" s="333"/>
      <c r="CD157" s="333"/>
      <c r="CE157" s="333"/>
      <c r="CF157" s="333"/>
      <c r="CG157" s="333"/>
      <c r="CH157" s="333"/>
      <c r="CI157" s="333"/>
      <c r="CJ157" s="333"/>
      <c r="CK157" s="333"/>
      <c r="CL157" s="333"/>
      <c r="CM157" s="333"/>
      <c r="CN157" s="333"/>
      <c r="CO157" s="333"/>
      <c r="CP157" s="333"/>
      <c r="CQ157" s="333"/>
      <c r="CR157" s="333"/>
      <c r="CS157" s="333"/>
      <c r="CT157" s="333"/>
      <c r="CU157" s="333"/>
      <c r="CV157" s="333"/>
      <c r="CW157" s="333"/>
      <c r="CX157" s="333"/>
      <c r="CY157" s="333"/>
      <c r="CZ157" s="333"/>
      <c r="DA157" s="333"/>
      <c r="DB157" s="333"/>
      <c r="DC157" s="333"/>
      <c r="DD157" s="333"/>
      <c r="DE157" s="333"/>
      <c r="DF157" s="333"/>
      <c r="DG157" s="333"/>
      <c r="DH157" s="333"/>
      <c r="DI157" s="333"/>
      <c r="DJ157" s="333"/>
      <c r="DK157" s="333"/>
      <c r="DL157" s="333"/>
      <c r="DM157" s="333"/>
      <c r="DN157" s="333"/>
      <c r="DO157" s="333"/>
      <c r="DP157" s="333"/>
      <c r="DQ157" s="333"/>
      <c r="DR157" s="333"/>
      <c r="DS157" s="333"/>
      <c r="DT157" s="333"/>
      <c r="DU157" s="375"/>
      <c r="DV157" s="375"/>
      <c r="DW157" s="375"/>
      <c r="DX157" s="375"/>
      <c r="DY157" s="375"/>
      <c r="DZ157" s="375"/>
      <c r="EA157" s="375"/>
      <c r="EB157" s="375"/>
      <c r="EC157" s="359"/>
      <c r="ED157" s="359"/>
      <c r="EE157" s="359"/>
      <c r="EF157" s="359"/>
      <c r="EG157" s="359"/>
      <c r="EH157" s="359"/>
      <c r="EI157" s="359"/>
      <c r="EJ157" s="373"/>
      <c r="EK157" s="373"/>
      <c r="EL157" s="366"/>
      <c r="EM157" s="368"/>
      <c r="EN157" s="364"/>
      <c r="EO157" s="352">
        <f>+SUM(EP155:EP159) - SUM(EQ155:EQ159)</f>
        <v>0</v>
      </c>
      <c r="EP157" s="347"/>
      <c r="EQ157" s="342"/>
      <c r="ER157" s="522"/>
      <c r="ES157" s="916">
        <f>IF(ER157 = "", 0,
IF(AND(EP157 &gt; 0, EQ157 &gt;0), 0, IF(EO155 &lt;&gt; $Z$1,
IF(AND(EP157 &lt;&gt; "", EP157 &lt;&gt; 0), -(EP157 * ER157 * 100),
IF(AND(EQ157 &lt;&gt; "", EQ157 &lt;&gt; 0), (EQ157 * ER157 * 100), 0)),
IF(AND(EP157 &lt;&gt; "", EP157 &lt;&gt; 0), -(EP157 * ER157 * 1),
IF(AND(EQ157 &lt;&gt; "", EQ157 &lt;&gt; 0), (EQ157 * ER157 * 1), 0))  )))</f>
        <v>0</v>
      </c>
      <c r="ET157" s="917"/>
      <c r="EU157" s="918"/>
      <c r="EV157" s="916">
        <f>IF(ER157 = "", 0,
IF(AND(EP157 &gt; 0, EQ157 &gt;0), 0,  IF(EO155 &lt;&gt; $Z$1,
IF(AND(EP157 &lt;&gt; "", EP157 &lt;&gt; 0), -(EP157 * ER157 * 100 * (1 + COMIS_OPCION)),
IF(AND(EQ157 &lt;&gt; "", EQ157 &lt;&gt; 0), (EQ157 * ER157 * 100 * (1 - COMIS_OPCION)), 0)),
IF(AND(EP157 &lt;&gt; "", EP157 &lt;&gt; 0), -(EP157 * ER157 * 1 * (1 + COMIS_ACCION)),
IF(AND(EQ157 &lt;&gt; "", EQ157 &lt;&gt; 0), (EQ157 * ER157 * 1 * (1 - COMIS_ACCION)), 0))  )))</f>
        <v>0</v>
      </c>
      <c r="EW157" s="917"/>
      <c r="EX157" s="917"/>
      <c r="EY157" s="917"/>
      <c r="EZ157" s="917"/>
      <c r="FA157" s="917"/>
      <c r="FB157" s="917"/>
      <c r="FC157" s="917"/>
      <c r="FD157" s="925"/>
      <c r="FE157" s="340"/>
      <c r="FF157" s="340"/>
      <c r="FG157" s="365"/>
      <c r="FH157" s="365"/>
      <c r="FI157" s="354">
        <f>+SUM(FJ155:FJ159) - SUM(FK155:FK159)</f>
        <v>0</v>
      </c>
      <c r="FJ157" s="347"/>
      <c r="FK157" s="342"/>
      <c r="FL157" s="343"/>
      <c r="FM157" s="930">
        <f>IF(FL157 = "", 0,
IF(AND(FJ157 &gt; 0, FK157 &gt;0), 0,
IF(AND(FJ157 &lt;&gt; "", FJ157 &lt;&gt; 0), -(FJ157 * FL157 * 100),
IF(AND(FK157 &lt;&gt; "", FK157 &lt;&gt; 0), (FK157 * FL157 * 100), 0)) ))</f>
        <v>0</v>
      </c>
      <c r="FN157" s="931"/>
      <c r="FO157" s="932"/>
      <c r="FP157" s="930">
        <f>IF(FL157 = "", 0,
IF(AND(FJ157 &gt; 0, FK157 &gt;0), 0,
IF(AND(FJ157 &lt;&gt; "", FJ157 &lt;&gt; 0), -(FJ157 * FL157 * 100 * (1 + COMIS_OPCION)),
IF(AND(FK157 &lt;&gt; "", FK157 &lt;&gt; 0), (FK157 * FL157 * 100 * (1 - COMIS_OPCION)), 0)) ))</f>
        <v>0</v>
      </c>
      <c r="FQ157" s="931"/>
      <c r="FR157" s="931"/>
      <c r="FS157" s="931"/>
      <c r="FT157" s="931"/>
      <c r="FU157" s="931"/>
      <c r="FV157" s="931"/>
      <c r="FW157" s="931"/>
      <c r="FX157" s="933"/>
      <c r="FY157" s="341"/>
      <c r="FZ157" s="341"/>
      <c r="GA157" s="341"/>
      <c r="GB157" s="495">
        <v>0</v>
      </c>
      <c r="GC157" s="495">
        <v>0</v>
      </c>
      <c r="GD157" s="500"/>
      <c r="GE157" s="495">
        <v>0</v>
      </c>
      <c r="GF157" s="495">
        <v>0</v>
      </c>
      <c r="GG157" s="495">
        <v>0</v>
      </c>
      <c r="GH157" s="359"/>
      <c r="GI157" s="359"/>
      <c r="GJ157" s="501"/>
      <c r="GK157" s="495">
        <v>0</v>
      </c>
      <c r="GL157" s="495">
        <v>0</v>
      </c>
      <c r="GM157" s="495">
        <v>0</v>
      </c>
      <c r="GN157" s="359"/>
      <c r="GO157" s="359"/>
      <c r="GP157" s="501"/>
      <c r="GQ157" s="495">
        <v>0</v>
      </c>
      <c r="GR157" s="375"/>
      <c r="GS157" s="333"/>
      <c r="GT157" s="333"/>
      <c r="GU157" s="333"/>
      <c r="GV157" s="333"/>
      <c r="GW157" s="333"/>
      <c r="GX157" s="333"/>
      <c r="GY157" s="333"/>
      <c r="GZ157" s="333"/>
      <c r="HA157" s="333"/>
      <c r="HB157" s="333"/>
      <c r="HC157" s="333"/>
      <c r="HD157" s="333"/>
      <c r="HE157" s="333"/>
      <c r="HF157" s="333"/>
      <c r="HG157" s="331"/>
      <c r="HH157" s="331"/>
      <c r="HI157" s="331"/>
      <c r="HJ157" s="331"/>
      <c r="HK157" s="331"/>
      <c r="HL157" s="331"/>
      <c r="HM157" s="331"/>
      <c r="HN157" s="333"/>
      <c r="HO157" s="333"/>
      <c r="HP157" s="333"/>
      <c r="HQ157" s="333"/>
      <c r="HR157" s="333"/>
      <c r="HS157" s="333"/>
      <c r="HT157" s="333"/>
      <c r="HU157" s="333"/>
      <c r="HV157" s="333"/>
      <c r="HW157" s="333"/>
      <c r="HX157" s="333"/>
      <c r="HY157" s="333"/>
      <c r="HZ157" s="333"/>
      <c r="IA157" s="333"/>
      <c r="IB157" s="333"/>
      <c r="IC157" s="333"/>
      <c r="ID157" s="55"/>
      <c r="IE157" s="47"/>
    </row>
    <row r="158" spans="13:290" s="142" customFormat="1" ht="15" customHeight="1">
      <c r="M158" s="333"/>
      <c r="N158" s="333"/>
      <c r="O158" s="333"/>
      <c r="P158" s="333"/>
      <c r="Q158" s="333"/>
      <c r="R158" s="333"/>
      <c r="S158" s="333"/>
      <c r="T158" s="333"/>
      <c r="U158" s="333"/>
      <c r="V158" s="333"/>
      <c r="W158" s="333"/>
      <c r="X158" s="333"/>
      <c r="Y158" s="333"/>
      <c r="Z158" s="333"/>
      <c r="AA158" s="333"/>
      <c r="AB158" s="333"/>
      <c r="AC158" s="333"/>
      <c r="AD158" s="333"/>
      <c r="AE158" s="333"/>
      <c r="AF158" s="333"/>
      <c r="AG158" s="333"/>
      <c r="AH158" s="333"/>
      <c r="AI158" s="333"/>
      <c r="AJ158" s="333"/>
      <c r="AK158" s="333"/>
      <c r="AL158" s="333"/>
      <c r="AM158" s="333"/>
      <c r="AN158" s="333"/>
      <c r="AO158" s="333"/>
      <c r="AP158" s="333"/>
      <c r="AQ158" s="333"/>
      <c r="AR158" s="333"/>
      <c r="AS158" s="333"/>
      <c r="AT158" s="333"/>
      <c r="AU158" s="333"/>
      <c r="AV158" s="333"/>
      <c r="AW158" s="333"/>
      <c r="AX158" s="333"/>
      <c r="AY158" s="333"/>
      <c r="AZ158" s="333"/>
      <c r="BA158" s="333"/>
      <c r="BB158" s="333"/>
      <c r="BC158" s="333"/>
      <c r="BD158" s="333"/>
      <c r="BE158" s="333"/>
      <c r="BF158" s="333"/>
      <c r="BG158" s="333"/>
      <c r="BH158" s="333"/>
      <c r="BI158" s="333"/>
      <c r="BJ158" s="333"/>
      <c r="BK158" s="333"/>
      <c r="BL158" s="333"/>
      <c r="BM158" s="333"/>
      <c r="BN158" s="333"/>
      <c r="BO158" s="333"/>
      <c r="BP158" s="333"/>
      <c r="BQ158" s="333"/>
      <c r="BR158" s="333"/>
      <c r="BS158" s="333"/>
      <c r="BT158" s="333"/>
      <c r="BU158" s="333"/>
      <c r="BV158" s="333"/>
      <c r="BW158" s="333"/>
      <c r="BX158" s="333"/>
      <c r="BY158" s="333"/>
      <c r="BZ158" s="333"/>
      <c r="CA158" s="333"/>
      <c r="CB158" s="333"/>
      <c r="CC158" s="333"/>
      <c r="CD158" s="333"/>
      <c r="CE158" s="333"/>
      <c r="CF158" s="333"/>
      <c r="CG158" s="333"/>
      <c r="CH158" s="333"/>
      <c r="CI158" s="333"/>
      <c r="CJ158" s="333"/>
      <c r="CK158" s="333"/>
      <c r="CL158" s="333"/>
      <c r="CM158" s="333"/>
      <c r="CN158" s="333"/>
      <c r="CO158" s="333"/>
      <c r="CP158" s="333"/>
      <c r="CQ158" s="333"/>
      <c r="CR158" s="333"/>
      <c r="CS158" s="333"/>
      <c r="CT158" s="333"/>
      <c r="CU158" s="333"/>
      <c r="CV158" s="333"/>
      <c r="CW158" s="333"/>
      <c r="CX158" s="333"/>
      <c r="CY158" s="333"/>
      <c r="CZ158" s="333"/>
      <c r="DA158" s="333"/>
      <c r="DB158" s="333"/>
      <c r="DC158" s="333"/>
      <c r="DD158" s="333"/>
      <c r="DE158" s="333"/>
      <c r="DF158" s="333"/>
      <c r="DG158" s="333"/>
      <c r="DH158" s="333"/>
      <c r="DI158" s="333"/>
      <c r="DJ158" s="333"/>
      <c r="DK158" s="333"/>
      <c r="DL158" s="333"/>
      <c r="DM158" s="333"/>
      <c r="DN158" s="333"/>
      <c r="DO158" s="333"/>
      <c r="DP158" s="333"/>
      <c r="DQ158" s="333"/>
      <c r="DR158" s="333"/>
      <c r="DS158" s="333"/>
      <c r="DT158" s="333"/>
      <c r="DU158" s="375"/>
      <c r="DV158" s="375"/>
      <c r="DW158" s="375"/>
      <c r="DX158" s="375"/>
      <c r="DY158" s="375"/>
      <c r="DZ158" s="375"/>
      <c r="EA158" s="375"/>
      <c r="EB158" s="375"/>
      <c r="EC158" s="359"/>
      <c r="ED158" s="359"/>
      <c r="EE158" s="359"/>
      <c r="EF158" s="359"/>
      <c r="EG158" s="359"/>
      <c r="EH158" s="359"/>
      <c r="EI158" s="359"/>
      <c r="EJ158" s="373"/>
      <c r="EK158" s="373"/>
      <c r="EL158" s="366"/>
      <c r="EM158" s="368"/>
      <c r="EN158" s="364"/>
      <c r="EO158" s="352">
        <f>IF(EO157=0, 0, SUM(EV155:FD159))</f>
        <v>0</v>
      </c>
      <c r="EP158" s="347"/>
      <c r="EQ158" s="342"/>
      <c r="ER158" s="522"/>
      <c r="ES158" s="916">
        <f>IF(ER158 = "", 0,
IF(AND(EP158 &gt; 0, EQ158 &gt;0), 0, IF(EO155 &lt;&gt; $Z$1,
IF(AND(EP158 &lt;&gt; "", EP158 &lt;&gt; 0), -(EP158 * ER158 * 100),
IF(AND(EQ158 &lt;&gt; "", EQ158 &lt;&gt; 0), (EQ158 * ER158 * 100), 0)),
IF(AND(EP158 &lt;&gt; "", EP158 &lt;&gt; 0), -(EP158 * ER158 * 1),
IF(AND(EQ158 &lt;&gt; "", EQ158 &lt;&gt; 0), (EQ158 * ER158 * 1), 0))  )))</f>
        <v>0</v>
      </c>
      <c r="ET158" s="917"/>
      <c r="EU158" s="918"/>
      <c r="EV158" s="916">
        <f>IF(ER158 = "", 0,
IF(AND(EP158 &gt; 0, EQ158 &gt;0), 0,  IF(EO155 &lt;&gt; $Z$1,
IF(AND(EP158 &lt;&gt; "", EP158 &lt;&gt; 0), -(EP158 * ER158 * 100 * (1 + COMIS_OPCION)),
IF(AND(EQ158 &lt;&gt; "", EQ158 &lt;&gt; 0), (EQ158 * ER158 * 100 * (1 - COMIS_OPCION)), 0)),
IF(AND(EP158 &lt;&gt; "", EP158 &lt;&gt; 0), -(EP158 * ER158 * 1 * (1 + COMIS_ACCION)),
IF(AND(EQ158 &lt;&gt; "", EQ158 &lt;&gt; 0), (EQ158 * ER158 * 1 * (1 - COMIS_ACCION)), 0))  )))</f>
        <v>0</v>
      </c>
      <c r="EW158" s="917"/>
      <c r="EX158" s="917"/>
      <c r="EY158" s="917"/>
      <c r="EZ158" s="917"/>
      <c r="FA158" s="917"/>
      <c r="FB158" s="917"/>
      <c r="FC158" s="917"/>
      <c r="FD158" s="925"/>
      <c r="FE158" s="340"/>
      <c r="FF158" s="340"/>
      <c r="FG158" s="365"/>
      <c r="FH158" s="365"/>
      <c r="FI158" s="354">
        <f>IF(FI157=0, 0, SUM(FP155:FX159))</f>
        <v>0</v>
      </c>
      <c r="FJ158" s="347"/>
      <c r="FK158" s="342"/>
      <c r="FL158" s="343"/>
      <c r="FM158" s="930">
        <f>IF(FL158 = "", 0,
IF(AND(FJ158 &gt; 0, FK158 &gt;0), 0,
IF(AND(FJ158 &lt;&gt; "", FJ158 &lt;&gt; 0), -(FJ158 * FL158 * 100),
IF(AND(FK158 &lt;&gt; "", FK158 &lt;&gt; 0), (FK158 * FL158 * 100), 0)) ))</f>
        <v>0</v>
      </c>
      <c r="FN158" s="931"/>
      <c r="FO158" s="932"/>
      <c r="FP158" s="930">
        <f>IF(FL158 = "", 0,
IF(AND(FJ158 &gt; 0, FK158 &gt;0), 0,
IF(AND(FJ158 &lt;&gt; "", FJ158 &lt;&gt; 0), -(FJ158 * FL158 * 100 * (1 + COMIS_OPCION)),
IF(AND(FK158 &lt;&gt; "", FK158 &lt;&gt; 0), (FK158 * FL158 * 100 * (1 - COMIS_OPCION)), 0)) ))</f>
        <v>0</v>
      </c>
      <c r="FQ158" s="931"/>
      <c r="FR158" s="931"/>
      <c r="FS158" s="931"/>
      <c r="FT158" s="931"/>
      <c r="FU158" s="931"/>
      <c r="FV158" s="931"/>
      <c r="FW158" s="931"/>
      <c r="FX158" s="933"/>
      <c r="FY158" s="341"/>
      <c r="FZ158" s="341"/>
      <c r="GA158" s="341"/>
      <c r="GB158" s="495">
        <v>0</v>
      </c>
      <c r="GC158" s="495">
        <v>0</v>
      </c>
      <c r="GD158" s="500"/>
      <c r="GE158" s="495">
        <v>0</v>
      </c>
      <c r="GF158" s="495">
        <v>0</v>
      </c>
      <c r="GG158" s="495">
        <v>0</v>
      </c>
      <c r="GH158" s="359"/>
      <c r="GI158" s="359"/>
      <c r="GJ158" s="501"/>
      <c r="GK158" s="495">
        <v>0</v>
      </c>
      <c r="GL158" s="495">
        <v>0</v>
      </c>
      <c r="GM158" s="495">
        <v>0</v>
      </c>
      <c r="GN158" s="359"/>
      <c r="GO158" s="359"/>
      <c r="GP158" s="501"/>
      <c r="GQ158" s="495">
        <v>0</v>
      </c>
      <c r="GR158" s="375"/>
      <c r="GS158" s="333"/>
      <c r="GT158" s="333"/>
      <c r="GU158" s="333"/>
      <c r="GV158" s="333"/>
      <c r="GW158" s="333"/>
      <c r="GX158" s="333"/>
      <c r="GY158" s="333"/>
      <c r="GZ158" s="333"/>
      <c r="HA158" s="333"/>
      <c r="HB158" s="333"/>
      <c r="HC158" s="333"/>
      <c r="HD158" s="333"/>
      <c r="HE158" s="333"/>
      <c r="HF158" s="333"/>
      <c r="HG158" s="331"/>
      <c r="HH158" s="331"/>
      <c r="HI158" s="331"/>
      <c r="HJ158" s="331"/>
      <c r="HK158" s="331"/>
      <c r="HL158" s="331"/>
      <c r="HM158" s="331"/>
      <c r="HN158" s="333"/>
      <c r="HO158" s="333"/>
      <c r="HP158" s="333"/>
      <c r="HQ158" s="333"/>
      <c r="HR158" s="333"/>
      <c r="HS158" s="333"/>
      <c r="HT158" s="333"/>
      <c r="HU158" s="333"/>
      <c r="HV158" s="333"/>
      <c r="HW158" s="333"/>
      <c r="HX158" s="333"/>
      <c r="HY158" s="333"/>
      <c r="HZ158" s="333"/>
      <c r="IA158" s="333"/>
      <c r="IB158" s="333"/>
      <c r="IC158" s="333"/>
      <c r="ID158" s="55"/>
      <c r="IE158" s="47"/>
    </row>
    <row r="159" spans="13:290" s="142" customFormat="1" ht="15" customHeight="1" thickBot="1">
      <c r="M159" s="333"/>
      <c r="N159" s="333"/>
      <c r="O159" s="333"/>
      <c r="P159" s="333"/>
      <c r="Q159" s="333"/>
      <c r="R159" s="333"/>
      <c r="S159" s="333"/>
      <c r="T159" s="333"/>
      <c r="U159" s="333"/>
      <c r="V159" s="333"/>
      <c r="W159" s="333"/>
      <c r="X159" s="333"/>
      <c r="Y159" s="333"/>
      <c r="Z159" s="333"/>
      <c r="AA159" s="333"/>
      <c r="AB159" s="333"/>
      <c r="AC159" s="333"/>
      <c r="AD159" s="333"/>
      <c r="AE159" s="333"/>
      <c r="AF159" s="333"/>
      <c r="AG159" s="333"/>
      <c r="AH159" s="333"/>
      <c r="AI159" s="333"/>
      <c r="AJ159" s="333"/>
      <c r="AK159" s="333"/>
      <c r="AL159" s="333"/>
      <c r="AM159" s="333"/>
      <c r="AN159" s="333"/>
      <c r="AO159" s="333"/>
      <c r="AP159" s="333"/>
      <c r="AQ159" s="333"/>
      <c r="AR159" s="333"/>
      <c r="AS159" s="333"/>
      <c r="AT159" s="333"/>
      <c r="AU159" s="333"/>
      <c r="AV159" s="333"/>
      <c r="AW159" s="333"/>
      <c r="AX159" s="333"/>
      <c r="AY159" s="333"/>
      <c r="AZ159" s="333"/>
      <c r="BA159" s="333"/>
      <c r="BB159" s="333"/>
      <c r="BC159" s="333"/>
      <c r="BD159" s="333"/>
      <c r="BE159" s="333"/>
      <c r="BF159" s="333"/>
      <c r="BG159" s="333"/>
      <c r="BH159" s="333"/>
      <c r="BI159" s="333"/>
      <c r="BJ159" s="333"/>
      <c r="BK159" s="333"/>
      <c r="BL159" s="333"/>
      <c r="BM159" s="333"/>
      <c r="BN159" s="333"/>
      <c r="BO159" s="333"/>
      <c r="BP159" s="333"/>
      <c r="BQ159" s="333"/>
      <c r="BR159" s="333"/>
      <c r="BS159" s="333"/>
      <c r="BT159" s="333"/>
      <c r="BU159" s="333"/>
      <c r="BV159" s="333"/>
      <c r="BW159" s="333"/>
      <c r="BX159" s="333"/>
      <c r="BY159" s="333"/>
      <c r="BZ159" s="333"/>
      <c r="CA159" s="333"/>
      <c r="CB159" s="333"/>
      <c r="CC159" s="333"/>
      <c r="CD159" s="333"/>
      <c r="CE159" s="333"/>
      <c r="CF159" s="333"/>
      <c r="CG159" s="333"/>
      <c r="CH159" s="333"/>
      <c r="CI159" s="333"/>
      <c r="CJ159" s="333"/>
      <c r="CK159" s="333"/>
      <c r="CL159" s="333"/>
      <c r="CM159" s="333"/>
      <c r="CN159" s="333"/>
      <c r="CO159" s="333"/>
      <c r="CP159" s="333"/>
      <c r="CQ159" s="333"/>
      <c r="CR159" s="333"/>
      <c r="CS159" s="333"/>
      <c r="CT159" s="333"/>
      <c r="CU159" s="333"/>
      <c r="CV159" s="333"/>
      <c r="CW159" s="333"/>
      <c r="CX159" s="333"/>
      <c r="CY159" s="333"/>
      <c r="CZ159" s="333"/>
      <c r="DA159" s="333"/>
      <c r="DB159" s="333"/>
      <c r="DC159" s="333"/>
      <c r="DD159" s="333"/>
      <c r="DE159" s="333"/>
      <c r="DF159" s="333"/>
      <c r="DG159" s="333"/>
      <c r="DH159" s="333"/>
      <c r="DI159" s="333"/>
      <c r="DJ159" s="333"/>
      <c r="DK159" s="333"/>
      <c r="DL159" s="333"/>
      <c r="DM159" s="333"/>
      <c r="DN159" s="333"/>
      <c r="DO159" s="333"/>
      <c r="DP159" s="333"/>
      <c r="DQ159" s="333"/>
      <c r="DR159" s="333"/>
      <c r="DS159" s="333"/>
      <c r="DT159" s="333"/>
      <c r="DU159" s="375"/>
      <c r="DV159" s="375"/>
      <c r="DW159" s="375"/>
      <c r="DX159" s="375"/>
      <c r="DY159" s="375"/>
      <c r="DZ159" s="375"/>
      <c r="EA159" s="375"/>
      <c r="EB159" s="375"/>
      <c r="EC159" s="359"/>
      <c r="ED159" s="359"/>
      <c r="EE159" s="359"/>
      <c r="EF159" s="359"/>
      <c r="EG159" s="359"/>
      <c r="EH159" s="359"/>
      <c r="EI159" s="359"/>
      <c r="EJ159" s="373"/>
      <c r="EK159" s="373"/>
      <c r="EL159" s="366"/>
      <c r="EM159" s="368"/>
      <c r="EN159" s="364"/>
      <c r="EO159" s="353">
        <f>+IF(EO157= 0, 0, GG155)</f>
        <v>0</v>
      </c>
      <c r="EP159" s="350"/>
      <c r="EQ159" s="344"/>
      <c r="ER159" s="523"/>
      <c r="ES159" s="921">
        <f>IF(ER159 = "", 0,
IF(AND(EP159 &gt; 0, EQ159 &gt;0), 0, IF(EO155 &lt;&gt; $Z$1,
IF(AND(EP159 &lt;&gt; "", EP159 &lt;&gt; 0), -(EP159 * ER159 * 100),
IF(AND(EQ159 &lt;&gt; "", EQ159 &lt;&gt; 0), (EQ159 * ER159 * 100), 0)),
IF(AND(EP159 &lt;&gt; "", EP159 &lt;&gt; 0), -(EP159 * ER159 * 1),
IF(AND(EQ159 &lt;&gt; "", EQ159 &lt;&gt; 0), (EQ159 * ER159 * 1), 0))  )))</f>
        <v>0</v>
      </c>
      <c r="ET159" s="922"/>
      <c r="EU159" s="924"/>
      <c r="EV159" s="921">
        <f>IF(ER159 = "", 0,
IF(AND(EP159 &gt; 0, EQ159 &gt;0), 0,  IF(EO155 &lt;&gt; $Z$1,
IF(AND(EP159 &lt;&gt; "", EP159 &lt;&gt; 0), -(EP159 * ER159 * 100 * (1 + COMIS_OPCION)),
IF(AND(EQ159 &lt;&gt; "", EQ159 &lt;&gt; 0), (EQ159 * ER159 * 100 * (1 - COMIS_OPCION)), 0)),
IF(AND(EP159 &lt;&gt; "", EP159 &lt;&gt; 0), -(EP159 * ER159 * 1 * (1 + COMIS_ACCION)),
IF(AND(EQ159 &lt;&gt; "", EQ159 &lt;&gt; 0), (EQ159 * ER159 * 1 * (1 - COMIS_ACCION)), 0))  )))</f>
        <v>0</v>
      </c>
      <c r="EW159" s="922"/>
      <c r="EX159" s="922"/>
      <c r="EY159" s="922"/>
      <c r="EZ159" s="922"/>
      <c r="FA159" s="922"/>
      <c r="FB159" s="922"/>
      <c r="FC159" s="922"/>
      <c r="FD159" s="923"/>
      <c r="FE159" s="340"/>
      <c r="FF159" s="340"/>
      <c r="FG159" s="365"/>
      <c r="FH159" s="365"/>
      <c r="FI159" s="349">
        <f>+IF(FI157= 0, 0, GQ155)</f>
        <v>0</v>
      </c>
      <c r="FJ159" s="348"/>
      <c r="FK159" s="345"/>
      <c r="FL159" s="346"/>
      <c r="FM159" s="937">
        <f>IF(FL159 = "", 0,
IF(AND(FJ159 &gt; 0, FK159 &gt;0), 0,
IF(AND(FJ159 &lt;&gt; "", FJ159 &lt;&gt; 0), -(FJ159 * FL159 * 100),
IF(AND(FK159 &lt;&gt; "", FK159 &lt;&gt; 0), (FK159 * FL159 * 100), 0)) ))</f>
        <v>0</v>
      </c>
      <c r="FN159" s="938"/>
      <c r="FO159" s="939"/>
      <c r="FP159" s="937">
        <f>IF(FL159 = "", 0,
IF(AND(FJ159 &gt; 0, FK159 &gt;0), 0,
IF(AND(FJ159 &lt;&gt; "", FJ159 &lt;&gt; 0), -(FJ159 * FL159 * 100 * (1 + COMIS_OPCION)),
IF(AND(FK159 &lt;&gt; "", FK159 &lt;&gt; 0), (FK159 * FL159 * 100 * (1 - COMIS_OPCION)), 0)) ))</f>
        <v>0</v>
      </c>
      <c r="FQ159" s="938"/>
      <c r="FR159" s="938"/>
      <c r="FS159" s="938"/>
      <c r="FT159" s="938"/>
      <c r="FU159" s="938"/>
      <c r="FV159" s="938"/>
      <c r="FW159" s="938"/>
      <c r="FX159" s="969"/>
      <c r="FY159" s="341"/>
      <c r="FZ159" s="341"/>
      <c r="GA159" s="341"/>
      <c r="GB159" s="495">
        <v>0</v>
      </c>
      <c r="GC159" s="495">
        <v>0</v>
      </c>
      <c r="GD159" s="500"/>
      <c r="GE159" s="495">
        <v>0</v>
      </c>
      <c r="GF159" s="495">
        <v>0</v>
      </c>
      <c r="GG159" s="495">
        <v>0</v>
      </c>
      <c r="GH159" s="359"/>
      <c r="GI159" s="359"/>
      <c r="GJ159" s="501"/>
      <c r="GK159" s="495">
        <v>0</v>
      </c>
      <c r="GL159" s="495">
        <v>0</v>
      </c>
      <c r="GM159" s="495">
        <v>0</v>
      </c>
      <c r="GN159" s="359"/>
      <c r="GO159" s="359"/>
      <c r="GP159" s="501"/>
      <c r="GQ159" s="495">
        <v>0</v>
      </c>
      <c r="GR159" s="375"/>
      <c r="GS159" s="333"/>
      <c r="GT159" s="333"/>
      <c r="GU159" s="333"/>
      <c r="GV159" s="333"/>
      <c r="GW159" s="333"/>
      <c r="GX159" s="333"/>
      <c r="GY159" s="333"/>
      <c r="GZ159" s="333"/>
      <c r="HA159" s="333"/>
      <c r="HB159" s="333"/>
      <c r="HC159" s="333"/>
      <c r="HD159" s="333"/>
      <c r="HE159" s="333"/>
      <c r="HF159" s="333"/>
      <c r="HG159" s="331"/>
      <c r="HH159" s="331"/>
      <c r="HI159" s="331"/>
      <c r="HJ159" s="331"/>
      <c r="HK159" s="331"/>
      <c r="HL159" s="331"/>
      <c r="HM159" s="331"/>
      <c r="HN159" s="333"/>
      <c r="HO159" s="333"/>
      <c r="HP159" s="333"/>
      <c r="HQ159" s="333"/>
      <c r="HR159" s="333"/>
      <c r="HS159" s="333"/>
      <c r="HT159" s="333"/>
      <c r="HU159" s="333"/>
      <c r="HV159" s="333"/>
      <c r="HW159" s="333"/>
      <c r="HX159" s="333"/>
      <c r="HY159" s="333"/>
      <c r="HZ159" s="333"/>
      <c r="IA159" s="333"/>
      <c r="IB159" s="333"/>
      <c r="IC159" s="333"/>
      <c r="ID159" s="55"/>
      <c r="IE159" s="47"/>
    </row>
    <row r="160" spans="13:290" s="142" customFormat="1" ht="15" customHeight="1" thickBot="1">
      <c r="M160" s="333"/>
      <c r="N160" s="333"/>
      <c r="O160" s="333"/>
      <c r="P160" s="333"/>
      <c r="Q160" s="333"/>
      <c r="R160" s="333"/>
      <c r="S160" s="333"/>
      <c r="T160" s="333"/>
      <c r="U160" s="333"/>
      <c r="V160" s="333"/>
      <c r="W160" s="333"/>
      <c r="X160" s="333"/>
      <c r="Y160" s="333"/>
      <c r="Z160" s="333"/>
      <c r="AA160" s="333"/>
      <c r="AB160" s="333"/>
      <c r="AC160" s="333"/>
      <c r="AD160" s="333"/>
      <c r="AE160" s="333"/>
      <c r="AF160" s="333"/>
      <c r="AG160" s="333"/>
      <c r="AH160" s="333"/>
      <c r="AI160" s="333"/>
      <c r="AJ160" s="333"/>
      <c r="AK160" s="333"/>
      <c r="AL160" s="333"/>
      <c r="AM160" s="333"/>
      <c r="AN160" s="333"/>
      <c r="AO160" s="333"/>
      <c r="AP160" s="333"/>
      <c r="AQ160" s="333"/>
      <c r="AR160" s="333"/>
      <c r="AS160" s="333"/>
      <c r="AT160" s="333"/>
      <c r="AU160" s="333"/>
      <c r="AV160" s="333"/>
      <c r="AW160" s="333"/>
      <c r="AX160" s="333"/>
      <c r="AY160" s="333"/>
      <c r="AZ160" s="333"/>
      <c r="BA160" s="333"/>
      <c r="BB160" s="333"/>
      <c r="BC160" s="333"/>
      <c r="BD160" s="333"/>
      <c r="BE160" s="333"/>
      <c r="BF160" s="333"/>
      <c r="BG160" s="333"/>
      <c r="BH160" s="333"/>
      <c r="BI160" s="333"/>
      <c r="BJ160" s="333"/>
      <c r="BK160" s="333"/>
      <c r="BL160" s="333"/>
      <c r="BM160" s="333"/>
      <c r="BN160" s="333"/>
      <c r="BO160" s="333"/>
      <c r="BP160" s="333"/>
      <c r="BQ160" s="333"/>
      <c r="BR160" s="333"/>
      <c r="BS160" s="333"/>
      <c r="BT160" s="333"/>
      <c r="BU160" s="333"/>
      <c r="BV160" s="333"/>
      <c r="BW160" s="333"/>
      <c r="BX160" s="333"/>
      <c r="BY160" s="333"/>
      <c r="BZ160" s="333"/>
      <c r="CA160" s="333"/>
      <c r="CB160" s="333"/>
      <c r="CC160" s="333"/>
      <c r="CD160" s="333"/>
      <c r="CE160" s="333"/>
      <c r="CF160" s="333"/>
      <c r="CG160" s="333"/>
      <c r="CH160" s="333"/>
      <c r="CI160" s="333"/>
      <c r="CJ160" s="333"/>
      <c r="CK160" s="333"/>
      <c r="CL160" s="333"/>
      <c r="CM160" s="333"/>
      <c r="CN160" s="333"/>
      <c r="CO160" s="333"/>
      <c r="CP160" s="333"/>
      <c r="CQ160" s="333"/>
      <c r="CR160" s="333"/>
      <c r="CS160" s="333"/>
      <c r="CT160" s="333"/>
      <c r="CU160" s="333"/>
      <c r="CV160" s="333"/>
      <c r="CW160" s="333"/>
      <c r="CX160" s="333"/>
      <c r="CY160" s="333"/>
      <c r="CZ160" s="333"/>
      <c r="DA160" s="333"/>
      <c r="DB160" s="333"/>
      <c r="DC160" s="333"/>
      <c r="DD160" s="333"/>
      <c r="DE160" s="333"/>
      <c r="DF160" s="333"/>
      <c r="DG160" s="333"/>
      <c r="DH160" s="333"/>
      <c r="DI160" s="333"/>
      <c r="DJ160" s="333"/>
      <c r="DK160" s="333"/>
      <c r="DL160" s="333"/>
      <c r="DM160" s="333"/>
      <c r="DN160" s="333"/>
      <c r="DO160" s="333"/>
      <c r="DP160" s="333"/>
      <c r="DQ160" s="333"/>
      <c r="DR160" s="333"/>
      <c r="DS160" s="333"/>
      <c r="DT160" s="333"/>
      <c r="DU160" s="375"/>
      <c r="DV160" s="375"/>
      <c r="DW160" s="375"/>
      <c r="DX160" s="375"/>
      <c r="DY160" s="375"/>
      <c r="DZ160" s="375"/>
      <c r="EA160" s="375"/>
      <c r="EB160" s="375"/>
      <c r="EC160" s="359"/>
      <c r="ED160" s="359"/>
      <c r="EE160" s="359"/>
      <c r="EF160" s="359"/>
      <c r="EG160" s="359"/>
      <c r="EH160" s="359"/>
      <c r="EI160" s="359"/>
      <c r="EJ160" s="373"/>
      <c r="EK160" s="373"/>
      <c r="EL160" s="366"/>
      <c r="EM160" s="366"/>
      <c r="EN160" s="364"/>
      <c r="EO160" s="363"/>
      <c r="EP160" s="340"/>
      <c r="EQ160" s="340"/>
      <c r="ER160" s="340"/>
      <c r="ES160" s="363"/>
      <c r="ET160" s="363"/>
      <c r="EU160" s="340"/>
      <c r="EV160" s="340"/>
      <c r="EW160" s="340"/>
      <c r="EX160" s="340"/>
      <c r="EY160" s="340"/>
      <c r="EZ160" s="340"/>
      <c r="FA160" s="340"/>
      <c r="FB160" s="402"/>
      <c r="FC160" s="402"/>
      <c r="FD160" s="340"/>
      <c r="FE160" s="340"/>
      <c r="FF160" s="340"/>
      <c r="FG160" s="364"/>
      <c r="FH160" s="364"/>
      <c r="FI160" s="363"/>
      <c r="FJ160" s="360"/>
      <c r="FK160" s="360"/>
      <c r="FL160" s="340"/>
      <c r="FM160" s="967"/>
      <c r="FN160" s="967"/>
      <c r="FO160" s="967"/>
      <c r="FP160" s="968"/>
      <c r="FQ160" s="968"/>
      <c r="FR160" s="968"/>
      <c r="FS160" s="968"/>
      <c r="FT160" s="968"/>
      <c r="FU160" s="968"/>
      <c r="FV160" s="968"/>
      <c r="FW160" s="968"/>
      <c r="FX160" s="968"/>
      <c r="FY160" s="341"/>
      <c r="FZ160" s="341"/>
      <c r="GA160" s="341"/>
      <c r="GB160" s="495">
        <v>0</v>
      </c>
      <c r="GC160" s="495">
        <v>0</v>
      </c>
      <c r="GD160" s="500"/>
      <c r="GE160" s="495">
        <v>0</v>
      </c>
      <c r="GF160" s="495">
        <v>0</v>
      </c>
      <c r="GG160" s="495">
        <v>0</v>
      </c>
      <c r="GH160" s="359"/>
      <c r="GI160" s="359"/>
      <c r="GJ160" s="501"/>
      <c r="GK160" s="495">
        <v>0</v>
      </c>
      <c r="GL160" s="495">
        <v>0</v>
      </c>
      <c r="GM160" s="495">
        <v>0</v>
      </c>
      <c r="GN160" s="359"/>
      <c r="GO160" s="359"/>
      <c r="GP160" s="501"/>
      <c r="GQ160" s="495">
        <v>0</v>
      </c>
      <c r="GR160" s="375"/>
      <c r="GS160" s="333"/>
      <c r="GT160" s="333"/>
      <c r="GU160" s="333"/>
      <c r="GV160" s="333"/>
      <c r="GW160" s="333"/>
      <c r="GX160" s="333"/>
      <c r="GY160" s="333"/>
      <c r="GZ160" s="333"/>
      <c r="HA160" s="333"/>
      <c r="HB160" s="333"/>
      <c r="HC160" s="333"/>
      <c r="HD160" s="333"/>
      <c r="HE160" s="333"/>
      <c r="HF160" s="333"/>
      <c r="HG160" s="331"/>
      <c r="HH160" s="331"/>
      <c r="HI160" s="331"/>
      <c r="HJ160" s="331"/>
      <c r="HK160" s="331"/>
      <c r="HL160" s="331"/>
      <c r="HM160" s="331"/>
      <c r="HN160" s="333"/>
      <c r="HO160" s="333"/>
      <c r="HP160" s="333"/>
      <c r="HQ160" s="333"/>
      <c r="HR160" s="333"/>
      <c r="HS160" s="333"/>
      <c r="HT160" s="333"/>
      <c r="HU160" s="333"/>
      <c r="HV160" s="333"/>
      <c r="HW160" s="333"/>
      <c r="HX160" s="333"/>
      <c r="HY160" s="333"/>
      <c r="HZ160" s="333"/>
      <c r="IA160" s="333"/>
      <c r="IB160" s="333"/>
      <c r="IC160" s="333"/>
      <c r="ID160" s="55"/>
      <c r="IE160" s="47"/>
    </row>
    <row r="161" spans="13:239" s="142" customFormat="1" ht="15" customHeight="1">
      <c r="M161" s="333"/>
      <c r="N161" s="333"/>
      <c r="O161" s="333"/>
      <c r="P161" s="333"/>
      <c r="Q161" s="333"/>
      <c r="R161" s="333"/>
      <c r="S161" s="333"/>
      <c r="T161" s="333"/>
      <c r="U161" s="333"/>
      <c r="V161" s="333"/>
      <c r="W161" s="333"/>
      <c r="X161" s="333"/>
      <c r="Y161" s="333"/>
      <c r="Z161" s="333"/>
      <c r="AA161" s="333"/>
      <c r="AB161" s="333"/>
      <c r="AC161" s="333"/>
      <c r="AD161" s="333"/>
      <c r="AE161" s="333"/>
      <c r="AF161" s="333"/>
      <c r="AG161" s="333"/>
      <c r="AH161" s="333"/>
      <c r="AI161" s="333"/>
      <c r="AJ161" s="333"/>
      <c r="AK161" s="333"/>
      <c r="AL161" s="333"/>
      <c r="AM161" s="333"/>
      <c r="AN161" s="333"/>
      <c r="AO161" s="333"/>
      <c r="AP161" s="333"/>
      <c r="AQ161" s="333"/>
      <c r="AR161" s="333"/>
      <c r="AS161" s="333"/>
      <c r="AT161" s="333"/>
      <c r="AU161" s="333"/>
      <c r="AV161" s="333"/>
      <c r="AW161" s="333"/>
      <c r="AX161" s="333"/>
      <c r="AY161" s="333"/>
      <c r="AZ161" s="333"/>
      <c r="BA161" s="333"/>
      <c r="BB161" s="333"/>
      <c r="BC161" s="333"/>
      <c r="BD161" s="333"/>
      <c r="BE161" s="333"/>
      <c r="BF161" s="333"/>
      <c r="BG161" s="333"/>
      <c r="BH161" s="333"/>
      <c r="BI161" s="333"/>
      <c r="BJ161" s="333"/>
      <c r="BK161" s="333"/>
      <c r="BL161" s="333"/>
      <c r="BM161" s="333"/>
      <c r="BN161" s="333"/>
      <c r="BO161" s="333"/>
      <c r="BP161" s="333"/>
      <c r="BQ161" s="333"/>
      <c r="BR161" s="333"/>
      <c r="BS161" s="333"/>
      <c r="BT161" s="333"/>
      <c r="BU161" s="333"/>
      <c r="BV161" s="333"/>
      <c r="BW161" s="333"/>
      <c r="BX161" s="333"/>
      <c r="BY161" s="333"/>
      <c r="BZ161" s="333"/>
      <c r="CA161" s="333"/>
      <c r="CB161" s="333"/>
      <c r="CC161" s="333"/>
      <c r="CD161" s="333"/>
      <c r="CE161" s="333"/>
      <c r="CF161" s="333"/>
      <c r="CG161" s="333"/>
      <c r="CH161" s="333"/>
      <c r="CI161" s="333"/>
      <c r="CJ161" s="333"/>
      <c r="CK161" s="333"/>
      <c r="CL161" s="333"/>
      <c r="CM161" s="333"/>
      <c r="CN161" s="333"/>
      <c r="CO161" s="333"/>
      <c r="CP161" s="333"/>
      <c r="CQ161" s="333"/>
      <c r="CR161" s="333"/>
      <c r="CS161" s="333"/>
      <c r="CT161" s="333"/>
      <c r="CU161" s="333"/>
      <c r="CV161" s="333"/>
      <c r="CW161" s="333"/>
      <c r="CX161" s="333"/>
      <c r="CY161" s="333"/>
      <c r="CZ161" s="333"/>
      <c r="DA161" s="333"/>
      <c r="DB161" s="333"/>
      <c r="DC161" s="333"/>
      <c r="DD161" s="333"/>
      <c r="DE161" s="333"/>
      <c r="DF161" s="333"/>
      <c r="DG161" s="333"/>
      <c r="DH161" s="333"/>
      <c r="DI161" s="333"/>
      <c r="DJ161" s="333"/>
      <c r="DK161" s="333"/>
      <c r="DL161" s="333"/>
      <c r="DM161" s="333"/>
      <c r="DN161" s="333"/>
      <c r="DO161" s="333"/>
      <c r="DP161" s="333"/>
      <c r="DQ161" s="333"/>
      <c r="DR161" s="333"/>
      <c r="DS161" s="333"/>
      <c r="DT161" s="333"/>
      <c r="DU161" s="375"/>
      <c r="DV161" s="375"/>
      <c r="DW161" s="375"/>
      <c r="DX161" s="375"/>
      <c r="DY161" s="375"/>
      <c r="DZ161" s="375"/>
      <c r="EA161" s="375"/>
      <c r="EB161" s="375"/>
      <c r="EC161" s="359"/>
      <c r="ED161" s="359"/>
      <c r="EE161" s="359"/>
      <c r="EF161" s="359"/>
      <c r="EG161" s="359"/>
      <c r="EH161" s="359"/>
      <c r="EI161" s="359"/>
      <c r="EJ161" s="373"/>
      <c r="EK161" s="373"/>
      <c r="EL161" s="366"/>
      <c r="EM161" s="366"/>
      <c r="EN161" s="364">
        <f>+EN155+1</f>
        <v>19</v>
      </c>
      <c r="EO161" s="356">
        <f>+VLOOKUP(EN161, PRECIOS_EJERCICIOS,  2,FALSE)</f>
        <v>240</v>
      </c>
      <c r="EP161" s="513" t="str">
        <f>+IF($AQ$49 = FALSE, "",
IF(VLOOKUP(EO161, basesCantPrimaBrutoRes, 2,FALSE) &gt;= 0, VLOOKUP(EO161, basesCantPrimaBrutoRes, 2,FALSE), 0))</f>
        <v/>
      </c>
      <c r="EQ161" s="514" t="str">
        <f>+IF($AQ$49 = FALSE, "",
IF(VLOOKUP(EO161, basesCantPrimaBrutoRes, 2,FALSE) &lt; 0, -VLOOKUP(EO161, basesCantPrimaBrutoRes, 2,FALSE), 0))</f>
        <v/>
      </c>
      <c r="ER161" s="521" t="str">
        <f>IF($AQ$49 = FALSE, "",
VLOOKUP(EO161, basesCantPrimaBrutoRes, 4,FALSE))</f>
        <v/>
      </c>
      <c r="ES161" s="926">
        <f>IF(ER161 = "", 0,
IF(AND(EP161 &gt; 0, EQ161 &gt;0), 0, IF(EO161 &lt;&gt; $Z$1,
IF(AND(EP161 &lt;&gt; "", EP161 &lt;&gt; 0), -(EP161 * ER161 * 100),
IF(AND(EQ161 &lt;&gt; "", EQ161 &lt;&gt; 0), (EQ161 * ER161 * 100), 0)),
IF(AND(EP161 &lt;&gt; "", EP161 &lt;&gt; 0), -(EP161 * ER161 * 1),
IF(AND(EQ161 &lt;&gt; "", EQ161 &lt;&gt; 0), (EQ161 * ER161 * 1), 0))  )))</f>
        <v>0</v>
      </c>
      <c r="ET161" s="927"/>
      <c r="EU161" s="928"/>
      <c r="EV161" s="926">
        <f>IF(ER161 = "", 0,
IF(AND(EP161 &gt; 0, EQ161 &gt;0), 0,  IF(EO161 &lt;&gt; $Z$1,
IF(AND(EP161 &lt;&gt; "", EP161 &lt;&gt; 0), -(EP161 * ER161 * 100 * (1 + COMIS_OPCION)),
IF(AND(EQ161 &lt;&gt; "", EQ161 &lt;&gt; 0), (EQ161 * ER161 * 100 * (1 - COMIS_OPCION)), 0)),
IF(AND(EP161 &lt;&gt; "", EP161 &lt;&gt; 0), -(EP161 * ER161 * 1 * (1 + COMIS_ACCION)),
IF(AND(EQ161 &lt;&gt; "", EQ161 &lt;&gt; 0), (EQ161 * ER161 * 1 * (1 - COMIS_ACCION)), 0))  )))</f>
        <v>0</v>
      </c>
      <c r="EW161" s="927"/>
      <c r="EX161" s="927"/>
      <c r="EY161" s="927"/>
      <c r="EZ161" s="927"/>
      <c r="FA161" s="927"/>
      <c r="FB161" s="927"/>
      <c r="FC161" s="927"/>
      <c r="FD161" s="929"/>
      <c r="FE161" s="340"/>
      <c r="FF161" s="340"/>
      <c r="FG161" s="364"/>
      <c r="FH161" s="364">
        <f>+FH155+1</f>
        <v>19</v>
      </c>
      <c r="FI161" s="357">
        <f>+VLOOKUP(FH161, PRECIOS_EJERCICIOS,  2,FALSE)</f>
        <v>240</v>
      </c>
      <c r="FJ161" s="515" t="str">
        <f>+IF($AQ$49 = FALSE, "",
IF(VLOOKUP(EO161, basesCantPrimaBrutoRes, 5,FALSE) &gt;= 0, VLOOKUP(EO161, basesCantPrimaBrutoRes, 5,FALSE), 0))</f>
        <v/>
      </c>
      <c r="FK161" s="516" t="str">
        <f>+IF($AQ$49 = FALSE, "",
IF(VLOOKUP(EO161, basesCantPrimaBrutoRes, 5,FALSE) &lt; 0, -VLOOKUP(EO161, basesCantPrimaBrutoRes, 5,FALSE), 0))</f>
        <v/>
      </c>
      <c r="FL161" s="517" t="str">
        <f>IF($AQ$49 = FALSE, "",
VLOOKUP(EO161, basesCantPrimaBrutoRes, 7,FALSE))</f>
        <v/>
      </c>
      <c r="FM161" s="934">
        <f>IF(FL161 = "", 0,
IF(AND(FJ161 &gt; 0, FK161 &gt;0), 0,
IF(AND(FJ161 &lt;&gt; "", FJ161 &lt;&gt; 0), -(FJ161 * FL161 * 100),
IF(AND(FK161 &lt;&gt; "", FK161 &lt;&gt; 0), (FK161 * FL161 * 100), 0)) ))</f>
        <v>0</v>
      </c>
      <c r="FN161" s="935"/>
      <c r="FO161" s="936"/>
      <c r="FP161" s="934">
        <f>IF(FL161 = "", 0,
IF(AND(FJ161 &gt; 0, FK161 &gt;0), 0,
IF(AND(FJ161 &lt;&gt; "", FJ161 &lt;&gt; 0), -(FJ161 * FL161 * 100 * (1 + COMIS_OPCION)),
IF(AND(FK161 &lt;&gt; "", FK161 &lt;&gt; 0), (FK161 * FL161 * 100 * (1 - COMIS_OPCION)), 0)) ))</f>
        <v>0</v>
      </c>
      <c r="FQ161" s="935"/>
      <c r="FR161" s="935"/>
      <c r="FS161" s="935"/>
      <c r="FT161" s="935"/>
      <c r="FU161" s="935"/>
      <c r="FV161" s="935"/>
      <c r="FW161" s="935"/>
      <c r="FX161" s="966"/>
      <c r="FY161" s="341"/>
      <c r="FZ161" s="341"/>
      <c r="GA161" s="341"/>
      <c r="GB161" s="495">
        <f>+IF(EN161 = "", "", EO161)</f>
        <v>240</v>
      </c>
      <c r="GC161" s="495" t="str">
        <f>+IF(GB161="", "", IF(EO161 = $Z$1, "ACCION", "CALL"))</f>
        <v>CALL</v>
      </c>
      <c r="GD161" s="500"/>
      <c r="GE161" s="495">
        <f>+IF(GB161= "", "", EO163)</f>
        <v>0</v>
      </c>
      <c r="GF161" s="495">
        <f>+IF(GB161 = "", "", IFERROR(IF(GB161 &lt;&gt; $Z$1,
IF(GE161 &gt; 0, SUMIFS(ES161:ES165, EP161:EP165, "&gt;0", ES161:ES165, "&lt;&gt;0") / SUMIFS(EP161:EP165, EP161:EP165, "&gt;0", ES161:ES165, "&lt;&gt;0") / -100,
IF(GE161 &lt; 0, SUMIFS(ES161:ES165, EQ161:EQ165, "&gt;0", ES161:ES165, "&lt;&gt;0") / SUMIFS(EQ161:EQ165, EQ161:EQ165, "&gt;0", ES161:ES165, "&lt;&gt;0") / 100, 0)),
IF(GE161 &gt; 0, SUMIFS(ES161:ES165, EP161:EP165, "&gt;0", ES161:ES165, "&lt;&gt;0") / SUMIFS(EP161:EP165, EP161:EP165, "&gt;0", ES161:ES165, "&lt;&gt;0") / -1,
IF(GE161 &lt; 0, SUMIFS(ES161:ES165, EQ161:EQ165, "&gt;0", ES161:ES165, "&lt;&gt;0") / SUMIFS(EQ161:EQ165, EQ161:EQ165, "&gt;0", ES161:ES165, "&lt;&gt;0") / 1, 0)) ), 0))</f>
        <v>0</v>
      </c>
      <c r="GG161" s="495">
        <f>+IF(GB161 = "", "", IFERROR(IF(GB161 &lt;&gt; $Z$1,
IF(GE161 &gt; 0, SUMIFS(EV161:EV165, EP161:EP165, "&gt;0", EV161:EV165, "&lt;&gt;0") / SUMIFS(EP161:EP165, EP161:EP165, "&gt;0", EV161:EV165, "&lt;&gt;0") / -100,
IF(GE161 &lt; 0, SUMIFS(EV161:EV165, EQ161:EQ165, "&gt;0", EV161:EV165, "&lt;&gt;0") / SUMIFS(EQ161:EQ165, EQ161:EQ165, "&gt;0", EV161:EV165, "&lt;&gt;0") / 100, 0)),
IF(GE161 &gt; 0, SUMIFS(EV161:EV165, EP161:EP165, "&gt;0", EV161:EV165, "&lt;&gt;0") / SUMIFS(EP161:EP165, EP161:EP165, "&gt;0", EV161:EV165, "&lt;&gt;0") / -1,
IF(GE161 &lt; 0, SUMIFS(EV161:EV165, EQ161:EQ165, "&gt;0", EV161:EV165, "&lt;&gt;0") / SUMIFS(EQ161:EQ165, EQ161:EQ165, "&gt;0", EV161:EV165, "&lt;&gt;0") / 1, 0)) ), 0))</f>
        <v>0</v>
      </c>
      <c r="GH161" s="359"/>
      <c r="GI161" s="359"/>
      <c r="GJ161" s="501"/>
      <c r="GK161" s="495" t="str">
        <f>+IF(GB161="", "", "PUT")</f>
        <v>PUT</v>
      </c>
      <c r="GL161" s="495">
        <f>+IF(GB161 = "", "", FI163)</f>
        <v>0</v>
      </c>
      <c r="GM161" s="495">
        <f>+IF(GB161 = "", "", IFERROR(
IF(FI163 &gt; 0, SUMIFS(FM161:FM165, FJ161:FJ165, "&gt;0", FM161:FM165, "&lt;&gt;0") / SUMIFS(FJ161:FJ165, FJ161:FJ165, "&gt;0", FM161:FM165, "&lt;&gt;0") / -100,
IF(FI163 &lt; 0, SUMIFS(FM161:FM165, FK161:FK165, "&gt;0", FM161:FM165, "&lt;&gt;0") / SUMIFS(FK161:FK165, FK161:FK165, "&gt;0", FM161:FM165, "&lt;&gt;0") / 100, 0)), 0) )</f>
        <v>0</v>
      </c>
      <c r="GN161" s="359"/>
      <c r="GO161" s="359"/>
      <c r="GP161" s="501"/>
      <c r="GQ161" s="502">
        <f>+IF(GB161 = "", "", IFERROR(
IF(FI163 &gt; 0, SUMIFS(FP161:FP165, FJ161:FJ165, "&gt;0", FP161:FP165, "&lt;&gt;0") / SUMIFS(FJ161:FJ165, FJ161:FJ165, "&gt;0", FP161:FP165, "&lt;&gt;0") / -100,
IF(FI163 &lt; 0, SUMIFS(FP161:FP165, FK161:FK165, "&gt;0", FP161:FP165, "&lt;&gt;0") / SUMIFS(FK161:FK165, FK161:FK165, "&gt;0", FP161:FP165, "&lt;&gt;0") / 100, 0)), 0))</f>
        <v>0</v>
      </c>
      <c r="GR161" s="375"/>
      <c r="GS161" s="333"/>
      <c r="GT161" s="333"/>
      <c r="GU161" s="333"/>
      <c r="GV161" s="333"/>
      <c r="GW161" s="333"/>
      <c r="GX161" s="333"/>
      <c r="GY161" s="333"/>
      <c r="GZ161" s="333"/>
      <c r="HA161" s="333"/>
      <c r="HB161" s="333"/>
      <c r="HC161" s="333"/>
      <c r="HD161" s="333"/>
      <c r="HE161" s="333"/>
      <c r="HF161" s="333"/>
      <c r="HG161" s="331"/>
      <c r="HH161" s="331"/>
      <c r="HI161" s="331"/>
      <c r="HJ161" s="331"/>
      <c r="HK161" s="331"/>
      <c r="HL161" s="331"/>
      <c r="HM161" s="331"/>
      <c r="HN161" s="333"/>
      <c r="HO161" s="333"/>
      <c r="HP161" s="333"/>
      <c r="HQ161" s="333"/>
      <c r="HR161" s="333"/>
      <c r="HS161" s="333"/>
      <c r="HT161" s="333"/>
      <c r="HU161" s="333"/>
      <c r="HV161" s="333"/>
      <c r="HW161" s="333"/>
      <c r="HX161" s="333"/>
      <c r="HY161" s="333"/>
      <c r="HZ161" s="333"/>
      <c r="IA161" s="333"/>
      <c r="IB161" s="333"/>
      <c r="IC161" s="333"/>
      <c r="ID161" s="55"/>
      <c r="IE161" s="47"/>
    </row>
    <row r="162" spans="13:239" s="142" customFormat="1" ht="15" customHeight="1">
      <c r="M162" s="333"/>
      <c r="N162" s="333"/>
      <c r="O162" s="333"/>
      <c r="P162" s="333"/>
      <c r="Q162" s="333"/>
      <c r="R162" s="333"/>
      <c r="S162" s="333"/>
      <c r="T162" s="333"/>
      <c r="U162" s="333"/>
      <c r="V162" s="333"/>
      <c r="W162" s="333"/>
      <c r="X162" s="333"/>
      <c r="Y162" s="333"/>
      <c r="Z162" s="333"/>
      <c r="AA162" s="333"/>
      <c r="AB162" s="333"/>
      <c r="AC162" s="333"/>
      <c r="AD162" s="333"/>
      <c r="AE162" s="333"/>
      <c r="AF162" s="333"/>
      <c r="AG162" s="333"/>
      <c r="AH162" s="333"/>
      <c r="AI162" s="333"/>
      <c r="AJ162" s="333"/>
      <c r="AK162" s="333"/>
      <c r="AL162" s="333"/>
      <c r="AM162" s="333"/>
      <c r="AN162" s="333"/>
      <c r="AO162" s="333"/>
      <c r="AP162" s="333"/>
      <c r="AQ162" s="333"/>
      <c r="AR162" s="333"/>
      <c r="AS162" s="333"/>
      <c r="AT162" s="333"/>
      <c r="AU162" s="333"/>
      <c r="AV162" s="333"/>
      <c r="AW162" s="333"/>
      <c r="AX162" s="333"/>
      <c r="AY162" s="333"/>
      <c r="AZ162" s="333"/>
      <c r="BA162" s="333"/>
      <c r="BB162" s="333"/>
      <c r="BC162" s="333"/>
      <c r="BD162" s="333"/>
      <c r="BE162" s="333"/>
      <c r="BF162" s="333"/>
      <c r="BG162" s="333"/>
      <c r="BH162" s="333"/>
      <c r="BI162" s="333"/>
      <c r="BJ162" s="333"/>
      <c r="BK162" s="333"/>
      <c r="BL162" s="333"/>
      <c r="BM162" s="333"/>
      <c r="BN162" s="333"/>
      <c r="BO162" s="333"/>
      <c r="BP162" s="333"/>
      <c r="BQ162" s="333"/>
      <c r="BR162" s="333"/>
      <c r="BS162" s="333"/>
      <c r="BT162" s="333"/>
      <c r="BU162" s="333"/>
      <c r="BV162" s="333"/>
      <c r="BW162" s="333"/>
      <c r="BX162" s="333"/>
      <c r="BY162" s="333"/>
      <c r="BZ162" s="333"/>
      <c r="CA162" s="333"/>
      <c r="CB162" s="333"/>
      <c r="CC162" s="333"/>
      <c r="CD162" s="333"/>
      <c r="CE162" s="333"/>
      <c r="CF162" s="333"/>
      <c r="CG162" s="333"/>
      <c r="CH162" s="333"/>
      <c r="CI162" s="333"/>
      <c r="CJ162" s="333"/>
      <c r="CK162" s="333"/>
      <c r="CL162" s="333"/>
      <c r="CM162" s="333"/>
      <c r="CN162" s="333"/>
      <c r="CO162" s="333"/>
      <c r="CP162" s="333"/>
      <c r="CQ162" s="333"/>
      <c r="CR162" s="333"/>
      <c r="CS162" s="333"/>
      <c r="CT162" s="333"/>
      <c r="CU162" s="333"/>
      <c r="CV162" s="333"/>
      <c r="CW162" s="333"/>
      <c r="CX162" s="333"/>
      <c r="CY162" s="333"/>
      <c r="CZ162" s="333"/>
      <c r="DA162" s="333"/>
      <c r="DB162" s="333"/>
      <c r="DC162" s="333"/>
      <c r="DD162" s="333"/>
      <c r="DE162" s="333"/>
      <c r="DF162" s="333"/>
      <c r="DG162" s="333"/>
      <c r="DH162" s="333"/>
      <c r="DI162" s="333"/>
      <c r="DJ162" s="333"/>
      <c r="DK162" s="333"/>
      <c r="DL162" s="333"/>
      <c r="DM162" s="333"/>
      <c r="DN162" s="333"/>
      <c r="DO162" s="333"/>
      <c r="DP162" s="333"/>
      <c r="DQ162" s="333"/>
      <c r="DR162" s="333"/>
      <c r="DS162" s="333"/>
      <c r="DT162" s="333"/>
      <c r="DU162" s="375"/>
      <c r="DV162" s="375"/>
      <c r="DW162" s="375"/>
      <c r="DX162" s="375"/>
      <c r="DY162" s="375"/>
      <c r="DZ162" s="375"/>
      <c r="EA162" s="375"/>
      <c r="EB162" s="375"/>
      <c r="EC162" s="359"/>
      <c r="ED162" s="359"/>
      <c r="EE162" s="359"/>
      <c r="EF162" s="359"/>
      <c r="EG162" s="359"/>
      <c r="EH162" s="359"/>
      <c r="EI162" s="359"/>
      <c r="EJ162" s="373"/>
      <c r="EK162" s="373"/>
      <c r="EL162" s="366"/>
      <c r="EM162" s="366"/>
      <c r="EN162" s="364"/>
      <c r="EO162" s="351"/>
      <c r="EP162" s="347"/>
      <c r="EQ162" s="342"/>
      <c r="ER162" s="522"/>
      <c r="ES162" s="916">
        <f>IF(ER162 = "", 0,
IF(AND(EP162 &gt; 0, EQ162 &gt;0), 0, IF(EO161 &lt;&gt; $Z$1,
IF(AND(EP162 &lt;&gt; "", EP162 &lt;&gt; 0), -(EP162 * ER162 * 100),
IF(AND(EQ162 &lt;&gt; "", EQ162 &lt;&gt; 0), (EQ162 * ER162 * 100), 0)),
IF(AND(EP162 &lt;&gt; "", EP162 &lt;&gt; 0), -(EP162 * ER162 * 1),
IF(AND(EQ162 &lt;&gt; "", EQ162 &lt;&gt; 0), (EQ162 * ER162 * 1), 0))  )))</f>
        <v>0</v>
      </c>
      <c r="ET162" s="917"/>
      <c r="EU162" s="918"/>
      <c r="EV162" s="916">
        <f>IF(ER162 = "", 0,
IF(AND(EP162 &gt; 0, EQ162 &gt;0), 0,  IF(EO161 &lt;&gt; $Z$1,
IF(AND(EP162 &lt;&gt; "", EP162 &lt;&gt; 0), -(EP162 * ER162 * 100 * (1 + COMIS_OPCION)),
IF(AND(EQ162 &lt;&gt; "", EQ162 &lt;&gt; 0), (EQ162 * ER162 * 100 * (1 - COMIS_OPCION)), 0)),
IF(AND(EP162 &lt;&gt; "", EP162 &lt;&gt; 0), -(EP162 * ER162 * 1 * (1 + COMIS_ACCION)),
IF(AND(EQ162 &lt;&gt; "", EQ162 &lt;&gt; 0), (EQ162 * ER162 * 1 * (1 - COMIS_ACCION)), 0))  )))</f>
        <v>0</v>
      </c>
      <c r="EW162" s="917"/>
      <c r="EX162" s="917"/>
      <c r="EY162" s="917"/>
      <c r="EZ162" s="917"/>
      <c r="FA162" s="917"/>
      <c r="FB162" s="917"/>
      <c r="FC162" s="917"/>
      <c r="FD162" s="925"/>
      <c r="FE162" s="340"/>
      <c r="FF162" s="340"/>
      <c r="FG162" s="364"/>
      <c r="FH162" s="364"/>
      <c r="FI162" s="339"/>
      <c r="FJ162" s="347"/>
      <c r="FK162" s="342"/>
      <c r="FL162" s="343"/>
      <c r="FM162" s="930">
        <f>IF(FL162 = "", 0,
IF(AND(FJ162 &gt; 0, FK162 &gt;0), 0,
IF(AND(FJ162 &lt;&gt; "", FJ162 &lt;&gt; 0), -(FJ162 * FL162 * 100),
IF(AND(FK162 &lt;&gt; "", FK162 &lt;&gt; 0), (FK162 * FL162 * 100), 0)) ))</f>
        <v>0</v>
      </c>
      <c r="FN162" s="931"/>
      <c r="FO162" s="932"/>
      <c r="FP162" s="930">
        <f>IF(FL162 = "", 0,
IF(AND(FJ162 &gt; 0, FK162 &gt;0), 0,
IF(AND(FJ162 &lt;&gt; "", FJ162 &lt;&gt; 0), -(FJ162 * FL162 * 100 * (1 + COMIS_OPCION)),
IF(AND(FK162 &lt;&gt; "", FK162 &lt;&gt; 0), (FK162 * FL162 * 100 * (1 - COMIS_OPCION)), 0)) ))</f>
        <v>0</v>
      </c>
      <c r="FQ162" s="931"/>
      <c r="FR162" s="931"/>
      <c r="FS162" s="931"/>
      <c r="FT162" s="931"/>
      <c r="FU162" s="931"/>
      <c r="FV162" s="931"/>
      <c r="FW162" s="931"/>
      <c r="FX162" s="933"/>
      <c r="FY162" s="341"/>
      <c r="FZ162" s="341"/>
      <c r="GA162" s="341"/>
      <c r="GB162" s="495">
        <v>0</v>
      </c>
      <c r="GC162" s="495">
        <v>0</v>
      </c>
      <c r="GD162" s="500"/>
      <c r="GE162" s="495">
        <v>0</v>
      </c>
      <c r="GF162" s="495">
        <v>0</v>
      </c>
      <c r="GG162" s="495">
        <v>0</v>
      </c>
      <c r="GH162" s="359"/>
      <c r="GI162" s="359"/>
      <c r="GJ162" s="501"/>
      <c r="GK162" s="495">
        <v>0</v>
      </c>
      <c r="GL162" s="495">
        <v>0</v>
      </c>
      <c r="GM162" s="495">
        <v>0</v>
      </c>
      <c r="GN162" s="359"/>
      <c r="GO162" s="359"/>
      <c r="GP162" s="501"/>
      <c r="GQ162" s="495">
        <v>0</v>
      </c>
      <c r="GR162" s="375"/>
      <c r="GS162" s="333"/>
      <c r="GT162" s="333"/>
      <c r="GU162" s="333"/>
      <c r="GV162" s="333"/>
      <c r="GW162" s="333"/>
      <c r="GX162" s="333"/>
      <c r="GY162" s="333"/>
      <c r="GZ162" s="333"/>
      <c r="HA162" s="333"/>
      <c r="HB162" s="333"/>
      <c r="HC162" s="333"/>
      <c r="HD162" s="333"/>
      <c r="HE162" s="333"/>
      <c r="HF162" s="333"/>
      <c r="HG162" s="331"/>
      <c r="HH162" s="331"/>
      <c r="HI162" s="331"/>
      <c r="HJ162" s="331"/>
      <c r="HK162" s="331"/>
      <c r="HL162" s="331"/>
      <c r="HM162" s="331"/>
      <c r="HN162" s="333"/>
      <c r="HO162" s="333"/>
      <c r="HP162" s="333"/>
      <c r="HQ162" s="333"/>
      <c r="HR162" s="333"/>
      <c r="HS162" s="333"/>
      <c r="HT162" s="333"/>
      <c r="HU162" s="333"/>
      <c r="HV162" s="333"/>
      <c r="HW162" s="333"/>
      <c r="HX162" s="333"/>
      <c r="HY162" s="333"/>
      <c r="HZ162" s="333"/>
      <c r="IA162" s="333"/>
      <c r="IB162" s="333"/>
      <c r="IC162" s="333"/>
      <c r="ID162" s="55"/>
      <c r="IE162" s="47"/>
    </row>
    <row r="163" spans="13:239" s="142" customFormat="1" ht="15" customHeight="1">
      <c r="M163" s="333"/>
      <c r="N163" s="333"/>
      <c r="O163" s="333"/>
      <c r="P163" s="333"/>
      <c r="Q163" s="333"/>
      <c r="R163" s="333"/>
      <c r="S163" s="333"/>
      <c r="T163" s="333"/>
      <c r="U163" s="333"/>
      <c r="V163" s="333"/>
      <c r="W163" s="333"/>
      <c r="X163" s="333"/>
      <c r="Y163" s="333"/>
      <c r="Z163" s="333"/>
      <c r="AA163" s="333"/>
      <c r="AB163" s="333"/>
      <c r="AC163" s="333"/>
      <c r="AD163" s="333"/>
      <c r="AE163" s="333"/>
      <c r="AF163" s="333"/>
      <c r="AG163" s="333"/>
      <c r="AH163" s="333"/>
      <c r="AI163" s="333"/>
      <c r="AJ163" s="333"/>
      <c r="AK163" s="333"/>
      <c r="AL163" s="333"/>
      <c r="AM163" s="333"/>
      <c r="AN163" s="333"/>
      <c r="AO163" s="333"/>
      <c r="AP163" s="333"/>
      <c r="AQ163" s="333"/>
      <c r="AR163" s="333"/>
      <c r="AS163" s="333"/>
      <c r="AT163" s="333"/>
      <c r="AU163" s="333"/>
      <c r="AV163" s="333"/>
      <c r="AW163" s="333"/>
      <c r="AX163" s="333"/>
      <c r="AY163" s="333"/>
      <c r="AZ163" s="333"/>
      <c r="BA163" s="333"/>
      <c r="BB163" s="333"/>
      <c r="BC163" s="333"/>
      <c r="BD163" s="333"/>
      <c r="BE163" s="333"/>
      <c r="BF163" s="333"/>
      <c r="BG163" s="333"/>
      <c r="BH163" s="333"/>
      <c r="BI163" s="333"/>
      <c r="BJ163" s="333"/>
      <c r="BK163" s="333"/>
      <c r="BL163" s="333"/>
      <c r="BM163" s="333"/>
      <c r="BN163" s="333"/>
      <c r="BO163" s="333"/>
      <c r="BP163" s="333"/>
      <c r="BQ163" s="333"/>
      <c r="BR163" s="333"/>
      <c r="BS163" s="333"/>
      <c r="BT163" s="333"/>
      <c r="BU163" s="333"/>
      <c r="BV163" s="333"/>
      <c r="BW163" s="333"/>
      <c r="BX163" s="333"/>
      <c r="BY163" s="333"/>
      <c r="BZ163" s="333"/>
      <c r="CA163" s="333"/>
      <c r="CB163" s="333"/>
      <c r="CC163" s="333"/>
      <c r="CD163" s="333"/>
      <c r="CE163" s="333"/>
      <c r="CF163" s="333"/>
      <c r="CG163" s="333"/>
      <c r="CH163" s="333"/>
      <c r="CI163" s="333"/>
      <c r="CJ163" s="333"/>
      <c r="CK163" s="333"/>
      <c r="CL163" s="333"/>
      <c r="CM163" s="333"/>
      <c r="CN163" s="333"/>
      <c r="CO163" s="333"/>
      <c r="CP163" s="333"/>
      <c r="CQ163" s="333"/>
      <c r="CR163" s="333"/>
      <c r="CS163" s="333"/>
      <c r="CT163" s="333"/>
      <c r="CU163" s="333"/>
      <c r="CV163" s="333"/>
      <c r="CW163" s="333"/>
      <c r="CX163" s="333"/>
      <c r="CY163" s="333"/>
      <c r="CZ163" s="333"/>
      <c r="DA163" s="333"/>
      <c r="DB163" s="333"/>
      <c r="DC163" s="333"/>
      <c r="DD163" s="333"/>
      <c r="DE163" s="333"/>
      <c r="DF163" s="333"/>
      <c r="DG163" s="333"/>
      <c r="DH163" s="333"/>
      <c r="DI163" s="333"/>
      <c r="DJ163" s="333"/>
      <c r="DK163" s="333"/>
      <c r="DL163" s="333"/>
      <c r="DM163" s="333"/>
      <c r="DN163" s="333"/>
      <c r="DO163" s="333"/>
      <c r="DP163" s="333"/>
      <c r="DQ163" s="333"/>
      <c r="DR163" s="333"/>
      <c r="DS163" s="333"/>
      <c r="DT163" s="333"/>
      <c r="DU163" s="375"/>
      <c r="DV163" s="375"/>
      <c r="DW163" s="375"/>
      <c r="DX163" s="375"/>
      <c r="DY163" s="375"/>
      <c r="DZ163" s="375"/>
      <c r="EA163" s="375"/>
      <c r="EB163" s="375"/>
      <c r="EC163" s="359"/>
      <c r="ED163" s="359"/>
      <c r="EE163" s="359"/>
      <c r="EF163" s="359"/>
      <c r="EG163" s="359"/>
      <c r="EH163" s="359"/>
      <c r="EI163" s="359"/>
      <c r="EJ163" s="373"/>
      <c r="EK163" s="373"/>
      <c r="EL163" s="366"/>
      <c r="EM163" s="368"/>
      <c r="EN163" s="364"/>
      <c r="EO163" s="352">
        <f>+SUM(EP161:EP165) - SUM(EQ161:EQ165)</f>
        <v>0</v>
      </c>
      <c r="EP163" s="347"/>
      <c r="EQ163" s="342"/>
      <c r="ER163" s="522"/>
      <c r="ES163" s="916">
        <f>IF(ER163 = "", 0,
IF(AND(EP163 &gt; 0, EQ163 &gt;0), 0, IF(EO161 &lt;&gt; $Z$1,
IF(AND(EP163 &lt;&gt; "", EP163 &lt;&gt; 0), -(EP163 * ER163 * 100),
IF(AND(EQ163 &lt;&gt; "", EQ163 &lt;&gt; 0), (EQ163 * ER163 * 100), 0)),
IF(AND(EP163 &lt;&gt; "", EP163 &lt;&gt; 0), -(EP163 * ER163 * 1),
IF(AND(EQ163 &lt;&gt; "", EQ163 &lt;&gt; 0), (EQ163 * ER163 * 1), 0))  )))</f>
        <v>0</v>
      </c>
      <c r="ET163" s="917"/>
      <c r="EU163" s="918"/>
      <c r="EV163" s="916">
        <f>IF(ER163 = "", 0,
IF(AND(EP163 &gt; 0, EQ163 &gt;0), 0,  IF(EO161 &lt;&gt; $Z$1,
IF(AND(EP163 &lt;&gt; "", EP163 &lt;&gt; 0), -(EP163 * ER163 * 100 * (1 + COMIS_OPCION)),
IF(AND(EQ163 &lt;&gt; "", EQ163 &lt;&gt; 0), (EQ163 * ER163 * 100 * (1 - COMIS_OPCION)), 0)),
IF(AND(EP163 &lt;&gt; "", EP163 &lt;&gt; 0), -(EP163 * ER163 * 1 * (1 + COMIS_ACCION)),
IF(AND(EQ163 &lt;&gt; "", EQ163 &lt;&gt; 0), (EQ163 * ER163 * 1 * (1 - COMIS_ACCION)), 0))  )))</f>
        <v>0</v>
      </c>
      <c r="EW163" s="917"/>
      <c r="EX163" s="917"/>
      <c r="EY163" s="917"/>
      <c r="EZ163" s="917"/>
      <c r="FA163" s="917"/>
      <c r="FB163" s="917"/>
      <c r="FC163" s="917"/>
      <c r="FD163" s="925"/>
      <c r="FE163" s="340"/>
      <c r="FF163" s="340"/>
      <c r="FG163" s="365"/>
      <c r="FH163" s="365"/>
      <c r="FI163" s="354">
        <f>+SUM(FJ161:FJ165) - SUM(FK161:FK165)</f>
        <v>0</v>
      </c>
      <c r="FJ163" s="347"/>
      <c r="FK163" s="342"/>
      <c r="FL163" s="343"/>
      <c r="FM163" s="930">
        <f>IF(FL163 = "", 0,
IF(AND(FJ163 &gt; 0, FK163 &gt;0), 0,
IF(AND(FJ163 &lt;&gt; "", FJ163 &lt;&gt; 0), -(FJ163 * FL163 * 100),
IF(AND(FK163 &lt;&gt; "", FK163 &lt;&gt; 0), (FK163 * FL163 * 100), 0)) ))</f>
        <v>0</v>
      </c>
      <c r="FN163" s="931"/>
      <c r="FO163" s="932"/>
      <c r="FP163" s="930">
        <f>IF(FL163 = "", 0,
IF(AND(FJ163 &gt; 0, FK163 &gt;0), 0,
IF(AND(FJ163 &lt;&gt; "", FJ163 &lt;&gt; 0), -(FJ163 * FL163 * 100 * (1 + COMIS_OPCION)),
IF(AND(FK163 &lt;&gt; "", FK163 &lt;&gt; 0), (FK163 * FL163 * 100 * (1 - COMIS_OPCION)), 0)) ))</f>
        <v>0</v>
      </c>
      <c r="FQ163" s="931"/>
      <c r="FR163" s="931"/>
      <c r="FS163" s="931"/>
      <c r="FT163" s="931"/>
      <c r="FU163" s="931"/>
      <c r="FV163" s="931"/>
      <c r="FW163" s="931"/>
      <c r="FX163" s="933"/>
      <c r="FY163" s="341"/>
      <c r="FZ163" s="341"/>
      <c r="GA163" s="341"/>
      <c r="GB163" s="495">
        <v>0</v>
      </c>
      <c r="GC163" s="495">
        <v>0</v>
      </c>
      <c r="GD163" s="500"/>
      <c r="GE163" s="495">
        <v>0</v>
      </c>
      <c r="GF163" s="495">
        <v>0</v>
      </c>
      <c r="GG163" s="495">
        <v>0</v>
      </c>
      <c r="GH163" s="359"/>
      <c r="GI163" s="359"/>
      <c r="GJ163" s="501"/>
      <c r="GK163" s="495">
        <v>0</v>
      </c>
      <c r="GL163" s="495">
        <v>0</v>
      </c>
      <c r="GM163" s="495">
        <v>0</v>
      </c>
      <c r="GN163" s="359"/>
      <c r="GO163" s="359"/>
      <c r="GP163" s="501"/>
      <c r="GQ163" s="495">
        <v>0</v>
      </c>
      <c r="GR163" s="375"/>
      <c r="GS163" s="333"/>
      <c r="GT163" s="333"/>
      <c r="GU163" s="333"/>
      <c r="GV163" s="333"/>
      <c r="GW163" s="333"/>
      <c r="GX163" s="333"/>
      <c r="GY163" s="333"/>
      <c r="GZ163" s="333"/>
      <c r="HA163" s="333"/>
      <c r="HB163" s="333"/>
      <c r="HC163" s="333"/>
      <c r="HD163" s="333"/>
      <c r="HE163" s="333"/>
      <c r="HF163" s="333"/>
      <c r="HG163" s="331"/>
      <c r="HH163" s="331"/>
      <c r="HI163" s="331"/>
      <c r="HJ163" s="331"/>
      <c r="HK163" s="331"/>
      <c r="HL163" s="331"/>
      <c r="HM163" s="331"/>
      <c r="HN163" s="333"/>
      <c r="HO163" s="333"/>
      <c r="HP163" s="333"/>
      <c r="HQ163" s="333"/>
      <c r="HR163" s="333"/>
      <c r="HS163" s="333"/>
      <c r="HT163" s="333"/>
      <c r="HU163" s="333"/>
      <c r="HV163" s="333"/>
      <c r="HW163" s="333"/>
      <c r="HX163" s="333"/>
      <c r="HY163" s="333"/>
      <c r="HZ163" s="333"/>
      <c r="IA163" s="333"/>
      <c r="IB163" s="333"/>
      <c r="IC163" s="333"/>
      <c r="ID163" s="55"/>
      <c r="IE163" s="47"/>
    </row>
    <row r="164" spans="13:239" s="142" customFormat="1" ht="15" customHeight="1">
      <c r="M164" s="333"/>
      <c r="N164" s="333"/>
      <c r="O164" s="333"/>
      <c r="P164" s="333"/>
      <c r="Q164" s="333"/>
      <c r="R164" s="333"/>
      <c r="S164" s="333"/>
      <c r="T164" s="333"/>
      <c r="U164" s="333"/>
      <c r="V164" s="333"/>
      <c r="W164" s="333"/>
      <c r="X164" s="333"/>
      <c r="Y164" s="333"/>
      <c r="Z164" s="333"/>
      <c r="AA164" s="333"/>
      <c r="AB164" s="333"/>
      <c r="AC164" s="333"/>
      <c r="AD164" s="333"/>
      <c r="AE164" s="333"/>
      <c r="AF164" s="333"/>
      <c r="AG164" s="333"/>
      <c r="AH164" s="333"/>
      <c r="AI164" s="333"/>
      <c r="AJ164" s="333"/>
      <c r="AK164" s="333"/>
      <c r="AL164" s="333"/>
      <c r="AM164" s="333"/>
      <c r="AN164" s="333"/>
      <c r="AO164" s="333"/>
      <c r="AP164" s="333"/>
      <c r="AQ164" s="333"/>
      <c r="AR164" s="333"/>
      <c r="AS164" s="333"/>
      <c r="AT164" s="333"/>
      <c r="AU164" s="333"/>
      <c r="AV164" s="333"/>
      <c r="AW164" s="333"/>
      <c r="AX164" s="333"/>
      <c r="AY164" s="333"/>
      <c r="AZ164" s="333"/>
      <c r="BA164" s="333"/>
      <c r="BB164" s="333"/>
      <c r="BC164" s="333"/>
      <c r="BD164" s="333"/>
      <c r="BE164" s="333"/>
      <c r="BF164" s="333"/>
      <c r="BG164" s="333"/>
      <c r="BH164" s="333"/>
      <c r="BI164" s="333"/>
      <c r="BJ164" s="333"/>
      <c r="BK164" s="333"/>
      <c r="BL164" s="333"/>
      <c r="BM164" s="333"/>
      <c r="BN164" s="333"/>
      <c r="BO164" s="333"/>
      <c r="BP164" s="333"/>
      <c r="BQ164" s="333"/>
      <c r="BR164" s="333"/>
      <c r="BS164" s="333"/>
      <c r="BT164" s="333"/>
      <c r="BU164" s="333"/>
      <c r="BV164" s="333"/>
      <c r="BW164" s="333"/>
      <c r="BX164" s="333"/>
      <c r="BY164" s="333"/>
      <c r="BZ164" s="333"/>
      <c r="CA164" s="333"/>
      <c r="CB164" s="333"/>
      <c r="CC164" s="333"/>
      <c r="CD164" s="333"/>
      <c r="CE164" s="333"/>
      <c r="CF164" s="333"/>
      <c r="CG164" s="333"/>
      <c r="CH164" s="333"/>
      <c r="CI164" s="333"/>
      <c r="CJ164" s="333"/>
      <c r="CK164" s="333"/>
      <c r="CL164" s="333"/>
      <c r="CM164" s="333"/>
      <c r="CN164" s="333"/>
      <c r="CO164" s="333"/>
      <c r="CP164" s="333"/>
      <c r="CQ164" s="333"/>
      <c r="CR164" s="333"/>
      <c r="CS164" s="333"/>
      <c r="CT164" s="333"/>
      <c r="CU164" s="333"/>
      <c r="CV164" s="333"/>
      <c r="CW164" s="333"/>
      <c r="CX164" s="333"/>
      <c r="CY164" s="333"/>
      <c r="CZ164" s="333"/>
      <c r="DA164" s="333"/>
      <c r="DB164" s="333"/>
      <c r="DC164" s="333"/>
      <c r="DD164" s="333"/>
      <c r="DE164" s="333"/>
      <c r="DF164" s="333"/>
      <c r="DG164" s="333"/>
      <c r="DH164" s="333"/>
      <c r="DI164" s="333"/>
      <c r="DJ164" s="333"/>
      <c r="DK164" s="333"/>
      <c r="DL164" s="333"/>
      <c r="DM164" s="333"/>
      <c r="DN164" s="333"/>
      <c r="DO164" s="333"/>
      <c r="DP164" s="333"/>
      <c r="DQ164" s="333"/>
      <c r="DR164" s="333"/>
      <c r="DS164" s="333"/>
      <c r="DT164" s="333"/>
      <c r="DU164" s="375"/>
      <c r="DV164" s="375"/>
      <c r="DW164" s="375"/>
      <c r="DX164" s="375"/>
      <c r="DY164" s="375"/>
      <c r="DZ164" s="375"/>
      <c r="EA164" s="375"/>
      <c r="EB164" s="375"/>
      <c r="EC164" s="359"/>
      <c r="ED164" s="359"/>
      <c r="EE164" s="359"/>
      <c r="EF164" s="359"/>
      <c r="EG164" s="359"/>
      <c r="EH164" s="359"/>
      <c r="EI164" s="359"/>
      <c r="EJ164" s="373"/>
      <c r="EK164" s="373"/>
      <c r="EL164" s="366"/>
      <c r="EM164" s="368"/>
      <c r="EN164" s="364"/>
      <c r="EO164" s="352">
        <f>IF(EO163=0, 0, SUM(EV161:FD165))</f>
        <v>0</v>
      </c>
      <c r="EP164" s="347"/>
      <c r="EQ164" s="342"/>
      <c r="ER164" s="522"/>
      <c r="ES164" s="916">
        <f>IF(ER164 = "", 0,
IF(AND(EP164 &gt; 0, EQ164 &gt;0), 0, IF(EO161 &lt;&gt; $Z$1,
IF(AND(EP164 &lt;&gt; "", EP164 &lt;&gt; 0), -(EP164 * ER164 * 100),
IF(AND(EQ164 &lt;&gt; "", EQ164 &lt;&gt; 0), (EQ164 * ER164 * 100), 0)),
IF(AND(EP164 &lt;&gt; "", EP164 &lt;&gt; 0), -(EP164 * ER164 * 1),
IF(AND(EQ164 &lt;&gt; "", EQ164 &lt;&gt; 0), (EQ164 * ER164 * 1), 0))  )))</f>
        <v>0</v>
      </c>
      <c r="ET164" s="917"/>
      <c r="EU164" s="918"/>
      <c r="EV164" s="916">
        <f>IF(ER164 = "", 0,
IF(AND(EP164 &gt; 0, EQ164 &gt;0), 0,  IF(EO161 &lt;&gt; $Z$1,
IF(AND(EP164 &lt;&gt; "", EP164 &lt;&gt; 0), -(EP164 * ER164 * 100 * (1 + COMIS_OPCION)),
IF(AND(EQ164 &lt;&gt; "", EQ164 &lt;&gt; 0), (EQ164 * ER164 * 100 * (1 - COMIS_OPCION)), 0)),
IF(AND(EP164 &lt;&gt; "", EP164 &lt;&gt; 0), -(EP164 * ER164 * 1 * (1 + COMIS_ACCION)),
IF(AND(EQ164 &lt;&gt; "", EQ164 &lt;&gt; 0), (EQ164 * ER164 * 1 * (1 - COMIS_ACCION)), 0))  )))</f>
        <v>0</v>
      </c>
      <c r="EW164" s="917"/>
      <c r="EX164" s="917"/>
      <c r="EY164" s="917"/>
      <c r="EZ164" s="917"/>
      <c r="FA164" s="917"/>
      <c r="FB164" s="917"/>
      <c r="FC164" s="917"/>
      <c r="FD164" s="925"/>
      <c r="FE164" s="340"/>
      <c r="FF164" s="340"/>
      <c r="FG164" s="365"/>
      <c r="FH164" s="365"/>
      <c r="FI164" s="354">
        <f>IF(FI163=0, 0, SUM(FP161:FX165))</f>
        <v>0</v>
      </c>
      <c r="FJ164" s="347"/>
      <c r="FK164" s="342"/>
      <c r="FL164" s="343"/>
      <c r="FM164" s="930">
        <f>IF(FL164 = "", 0,
IF(AND(FJ164 &gt; 0, FK164 &gt;0), 0,
IF(AND(FJ164 &lt;&gt; "", FJ164 &lt;&gt; 0), -(FJ164 * FL164 * 100),
IF(AND(FK164 &lt;&gt; "", FK164 &lt;&gt; 0), (FK164 * FL164 * 100), 0)) ))</f>
        <v>0</v>
      </c>
      <c r="FN164" s="931"/>
      <c r="FO164" s="932"/>
      <c r="FP164" s="930">
        <f>IF(FL164 = "", 0,
IF(AND(FJ164 &gt; 0, FK164 &gt;0), 0,
IF(AND(FJ164 &lt;&gt; "", FJ164 &lt;&gt; 0), -(FJ164 * FL164 * 100 * (1 + COMIS_OPCION)),
IF(AND(FK164 &lt;&gt; "", FK164 &lt;&gt; 0), (FK164 * FL164 * 100 * (1 - COMIS_OPCION)), 0)) ))</f>
        <v>0</v>
      </c>
      <c r="FQ164" s="931"/>
      <c r="FR164" s="931"/>
      <c r="FS164" s="931"/>
      <c r="FT164" s="931"/>
      <c r="FU164" s="931"/>
      <c r="FV164" s="931"/>
      <c r="FW164" s="931"/>
      <c r="FX164" s="933"/>
      <c r="FY164" s="341"/>
      <c r="FZ164" s="341"/>
      <c r="GA164" s="341"/>
      <c r="GB164" s="495">
        <v>0</v>
      </c>
      <c r="GC164" s="495">
        <v>0</v>
      </c>
      <c r="GD164" s="500"/>
      <c r="GE164" s="495">
        <v>0</v>
      </c>
      <c r="GF164" s="495">
        <v>0</v>
      </c>
      <c r="GG164" s="495">
        <v>0</v>
      </c>
      <c r="GH164" s="359"/>
      <c r="GI164" s="359"/>
      <c r="GJ164" s="501"/>
      <c r="GK164" s="495">
        <v>0</v>
      </c>
      <c r="GL164" s="495">
        <v>0</v>
      </c>
      <c r="GM164" s="495">
        <v>0</v>
      </c>
      <c r="GN164" s="359"/>
      <c r="GO164" s="359"/>
      <c r="GP164" s="501"/>
      <c r="GQ164" s="495">
        <v>0</v>
      </c>
      <c r="GR164" s="375"/>
      <c r="GS164" s="333"/>
      <c r="GT164" s="333"/>
      <c r="GU164" s="333"/>
      <c r="GV164" s="333"/>
      <c r="GW164" s="333"/>
      <c r="GX164" s="333"/>
      <c r="GY164" s="333"/>
      <c r="GZ164" s="333"/>
      <c r="HA164" s="333"/>
      <c r="HB164" s="333"/>
      <c r="HC164" s="333"/>
      <c r="HD164" s="333"/>
      <c r="HE164" s="333"/>
      <c r="HF164" s="333"/>
      <c r="HG164" s="331"/>
      <c r="HH164" s="331"/>
      <c r="HI164" s="331"/>
      <c r="HJ164" s="331"/>
      <c r="HK164" s="331"/>
      <c r="HL164" s="331"/>
      <c r="HM164" s="331"/>
      <c r="HN164" s="333"/>
      <c r="HO164" s="333"/>
      <c r="HP164" s="333"/>
      <c r="HQ164" s="333"/>
      <c r="HR164" s="333"/>
      <c r="HS164" s="333"/>
      <c r="HT164" s="333"/>
      <c r="HU164" s="333"/>
      <c r="HV164" s="333"/>
      <c r="HW164" s="333"/>
      <c r="HX164" s="333"/>
      <c r="HY164" s="333"/>
      <c r="HZ164" s="333"/>
      <c r="IA164" s="333"/>
      <c r="IB164" s="333"/>
      <c r="IC164" s="333"/>
      <c r="ID164" s="55"/>
      <c r="IE164" s="47"/>
    </row>
    <row r="165" spans="13:239" s="142" customFormat="1" ht="15" customHeight="1" thickBot="1">
      <c r="M165" s="333"/>
      <c r="N165" s="333"/>
      <c r="O165" s="333"/>
      <c r="P165" s="333"/>
      <c r="Q165" s="333"/>
      <c r="R165" s="333"/>
      <c r="S165" s="333"/>
      <c r="T165" s="333"/>
      <c r="U165" s="333"/>
      <c r="V165" s="333"/>
      <c r="W165" s="333"/>
      <c r="X165" s="333"/>
      <c r="Y165" s="333"/>
      <c r="Z165" s="333"/>
      <c r="AA165" s="333"/>
      <c r="AB165" s="333"/>
      <c r="AC165" s="333"/>
      <c r="AD165" s="333"/>
      <c r="AE165" s="333"/>
      <c r="AF165" s="333"/>
      <c r="AG165" s="333"/>
      <c r="AH165" s="333"/>
      <c r="AI165" s="333"/>
      <c r="AJ165" s="333"/>
      <c r="AK165" s="333"/>
      <c r="AL165" s="333"/>
      <c r="AM165" s="333"/>
      <c r="AN165" s="333"/>
      <c r="AO165" s="333"/>
      <c r="AP165" s="333"/>
      <c r="AQ165" s="333"/>
      <c r="AR165" s="333"/>
      <c r="AS165" s="333"/>
      <c r="AT165" s="333"/>
      <c r="AU165" s="333"/>
      <c r="AV165" s="333"/>
      <c r="AW165" s="333"/>
      <c r="AX165" s="333"/>
      <c r="AY165" s="333"/>
      <c r="AZ165" s="333"/>
      <c r="BA165" s="333"/>
      <c r="BB165" s="333"/>
      <c r="BC165" s="333"/>
      <c r="BD165" s="333"/>
      <c r="BE165" s="333"/>
      <c r="BF165" s="333"/>
      <c r="BG165" s="333"/>
      <c r="BH165" s="333"/>
      <c r="BI165" s="333"/>
      <c r="BJ165" s="333"/>
      <c r="BK165" s="333"/>
      <c r="BL165" s="333"/>
      <c r="BM165" s="333"/>
      <c r="BN165" s="333"/>
      <c r="BO165" s="333"/>
      <c r="BP165" s="333"/>
      <c r="BQ165" s="333"/>
      <c r="BR165" s="333"/>
      <c r="BS165" s="333"/>
      <c r="BT165" s="333"/>
      <c r="BU165" s="333"/>
      <c r="BV165" s="333"/>
      <c r="BW165" s="333"/>
      <c r="BX165" s="333"/>
      <c r="BY165" s="333"/>
      <c r="BZ165" s="333"/>
      <c r="CA165" s="333"/>
      <c r="CB165" s="333"/>
      <c r="CC165" s="333"/>
      <c r="CD165" s="333"/>
      <c r="CE165" s="333"/>
      <c r="CF165" s="333"/>
      <c r="CG165" s="333"/>
      <c r="CH165" s="333"/>
      <c r="CI165" s="333"/>
      <c r="CJ165" s="333"/>
      <c r="CK165" s="333"/>
      <c r="CL165" s="333"/>
      <c r="CM165" s="333"/>
      <c r="CN165" s="333"/>
      <c r="CO165" s="333"/>
      <c r="CP165" s="333"/>
      <c r="CQ165" s="333"/>
      <c r="CR165" s="333"/>
      <c r="CS165" s="333"/>
      <c r="CT165" s="333"/>
      <c r="CU165" s="333"/>
      <c r="CV165" s="333"/>
      <c r="CW165" s="333"/>
      <c r="CX165" s="333"/>
      <c r="CY165" s="333"/>
      <c r="CZ165" s="333"/>
      <c r="DA165" s="333"/>
      <c r="DB165" s="333"/>
      <c r="DC165" s="333"/>
      <c r="DD165" s="333"/>
      <c r="DE165" s="333"/>
      <c r="DF165" s="333"/>
      <c r="DG165" s="333"/>
      <c r="DH165" s="333"/>
      <c r="DI165" s="333"/>
      <c r="DJ165" s="333"/>
      <c r="DK165" s="333"/>
      <c r="DL165" s="333"/>
      <c r="DM165" s="333"/>
      <c r="DN165" s="333"/>
      <c r="DO165" s="333"/>
      <c r="DP165" s="333"/>
      <c r="DQ165" s="333"/>
      <c r="DR165" s="333"/>
      <c r="DS165" s="333"/>
      <c r="DT165" s="333"/>
      <c r="DU165" s="375"/>
      <c r="DV165" s="375"/>
      <c r="DW165" s="375"/>
      <c r="DX165" s="375"/>
      <c r="DY165" s="375"/>
      <c r="DZ165" s="375"/>
      <c r="EA165" s="375"/>
      <c r="EB165" s="375"/>
      <c r="EC165" s="359"/>
      <c r="ED165" s="359"/>
      <c r="EE165" s="359"/>
      <c r="EF165" s="359"/>
      <c r="EG165" s="359"/>
      <c r="EH165" s="359"/>
      <c r="EI165" s="359"/>
      <c r="EJ165" s="373"/>
      <c r="EK165" s="373"/>
      <c r="EL165" s="366"/>
      <c r="EM165" s="368"/>
      <c r="EN165" s="364"/>
      <c r="EO165" s="353">
        <f>+IF(EO163= 0, 0, GG161)</f>
        <v>0</v>
      </c>
      <c r="EP165" s="350"/>
      <c r="EQ165" s="344"/>
      <c r="ER165" s="523"/>
      <c r="ES165" s="921">
        <f>IF(ER165 = "", 0,
IF(AND(EP165 &gt; 0, EQ165 &gt;0), 0, IF(EO161 &lt;&gt; $Z$1,
IF(AND(EP165 &lt;&gt; "", EP165 &lt;&gt; 0), -(EP165 * ER165 * 100),
IF(AND(EQ165 &lt;&gt; "", EQ165 &lt;&gt; 0), (EQ165 * ER165 * 100), 0)),
IF(AND(EP165 &lt;&gt; "", EP165 &lt;&gt; 0), -(EP165 * ER165 * 1),
IF(AND(EQ165 &lt;&gt; "", EQ165 &lt;&gt; 0), (EQ165 * ER165 * 1), 0))  )))</f>
        <v>0</v>
      </c>
      <c r="ET165" s="922"/>
      <c r="EU165" s="924"/>
      <c r="EV165" s="921">
        <f>IF(ER165 = "", 0,
IF(AND(EP165 &gt; 0, EQ165 &gt;0), 0,  IF(EO161 &lt;&gt; $Z$1,
IF(AND(EP165 &lt;&gt; "", EP165 &lt;&gt; 0), -(EP165 * ER165 * 100 * (1 + COMIS_OPCION)),
IF(AND(EQ165 &lt;&gt; "", EQ165 &lt;&gt; 0), (EQ165 * ER165 * 100 * (1 - COMIS_OPCION)), 0)),
IF(AND(EP165 &lt;&gt; "", EP165 &lt;&gt; 0), -(EP165 * ER165 * 1 * (1 + COMIS_ACCION)),
IF(AND(EQ165 &lt;&gt; "", EQ165 &lt;&gt; 0), (EQ165 * ER165 * 1 * (1 - COMIS_ACCION)), 0))  )))</f>
        <v>0</v>
      </c>
      <c r="EW165" s="922"/>
      <c r="EX165" s="922"/>
      <c r="EY165" s="922"/>
      <c r="EZ165" s="922"/>
      <c r="FA165" s="922"/>
      <c r="FB165" s="922"/>
      <c r="FC165" s="922"/>
      <c r="FD165" s="923"/>
      <c r="FE165" s="340"/>
      <c r="FF165" s="340"/>
      <c r="FG165" s="365"/>
      <c r="FH165" s="365"/>
      <c r="FI165" s="349">
        <f>+IF(FI163= 0, 0, GQ161)</f>
        <v>0</v>
      </c>
      <c r="FJ165" s="348"/>
      <c r="FK165" s="345"/>
      <c r="FL165" s="346"/>
      <c r="FM165" s="937">
        <f>IF(FL165 = "", 0,
IF(AND(FJ165 &gt; 0, FK165 &gt;0), 0,
IF(AND(FJ165 &lt;&gt; "", FJ165 &lt;&gt; 0), -(FJ165 * FL165 * 100),
IF(AND(FK165 &lt;&gt; "", FK165 &lt;&gt; 0), (FK165 * FL165 * 100), 0)) ))</f>
        <v>0</v>
      </c>
      <c r="FN165" s="938"/>
      <c r="FO165" s="939"/>
      <c r="FP165" s="937">
        <f>IF(FL165 = "", 0,
IF(AND(FJ165 &gt; 0, FK165 &gt;0), 0,
IF(AND(FJ165 &lt;&gt; "", FJ165 &lt;&gt; 0), -(FJ165 * FL165 * 100 * (1 + COMIS_OPCION)),
IF(AND(FK165 &lt;&gt; "", FK165 &lt;&gt; 0), (FK165 * FL165 * 100 * (1 - COMIS_OPCION)), 0)) ))</f>
        <v>0</v>
      </c>
      <c r="FQ165" s="938"/>
      <c r="FR165" s="938"/>
      <c r="FS165" s="938"/>
      <c r="FT165" s="938"/>
      <c r="FU165" s="938"/>
      <c r="FV165" s="938"/>
      <c r="FW165" s="938"/>
      <c r="FX165" s="969"/>
      <c r="FY165" s="341"/>
      <c r="FZ165" s="341"/>
      <c r="GA165" s="341"/>
      <c r="GB165" s="495">
        <v>0</v>
      </c>
      <c r="GC165" s="495">
        <v>0</v>
      </c>
      <c r="GD165" s="500"/>
      <c r="GE165" s="495">
        <v>0</v>
      </c>
      <c r="GF165" s="495">
        <v>0</v>
      </c>
      <c r="GG165" s="495">
        <v>0</v>
      </c>
      <c r="GH165" s="359"/>
      <c r="GI165" s="359"/>
      <c r="GJ165" s="501"/>
      <c r="GK165" s="495">
        <v>0</v>
      </c>
      <c r="GL165" s="495">
        <v>0</v>
      </c>
      <c r="GM165" s="495">
        <v>0</v>
      </c>
      <c r="GN165" s="359"/>
      <c r="GO165" s="359"/>
      <c r="GP165" s="501"/>
      <c r="GQ165" s="495">
        <v>0</v>
      </c>
      <c r="GR165" s="375"/>
      <c r="GS165" s="333"/>
      <c r="GT165" s="333"/>
      <c r="GU165" s="333"/>
      <c r="GV165" s="333"/>
      <c r="GW165" s="333"/>
      <c r="GX165" s="333"/>
      <c r="GY165" s="333"/>
      <c r="GZ165" s="333"/>
      <c r="HA165" s="333"/>
      <c r="HB165" s="333"/>
      <c r="HC165" s="333"/>
      <c r="HD165" s="333"/>
      <c r="HE165" s="333"/>
      <c r="HF165" s="333"/>
      <c r="HG165" s="331"/>
      <c r="HH165" s="331"/>
      <c r="HI165" s="331"/>
      <c r="HJ165" s="331"/>
      <c r="HK165" s="331"/>
      <c r="HL165" s="331"/>
      <c r="HM165" s="331"/>
      <c r="HN165" s="333"/>
      <c r="HO165" s="333"/>
      <c r="HP165" s="333"/>
      <c r="HQ165" s="333"/>
      <c r="HR165" s="333"/>
      <c r="HS165" s="333"/>
      <c r="HT165" s="333"/>
      <c r="HU165" s="333"/>
      <c r="HV165" s="333"/>
      <c r="HW165" s="333"/>
      <c r="HX165" s="333"/>
      <c r="HY165" s="333"/>
      <c r="HZ165" s="333"/>
      <c r="IA165" s="333"/>
      <c r="IB165" s="333"/>
      <c r="IC165" s="333"/>
      <c r="ID165" s="55"/>
      <c r="IE165" s="47"/>
    </row>
    <row r="166" spans="13:239" s="142" customFormat="1" ht="15" customHeight="1" thickBot="1">
      <c r="M166" s="333"/>
      <c r="N166" s="333"/>
      <c r="O166" s="333"/>
      <c r="P166" s="333"/>
      <c r="Q166" s="333"/>
      <c r="R166" s="333"/>
      <c r="S166" s="333"/>
      <c r="T166" s="333"/>
      <c r="U166" s="333"/>
      <c r="V166" s="333"/>
      <c r="W166" s="333"/>
      <c r="X166" s="333"/>
      <c r="Y166" s="333"/>
      <c r="Z166" s="333"/>
      <c r="AA166" s="333"/>
      <c r="AB166" s="333"/>
      <c r="AC166" s="333"/>
      <c r="AD166" s="333"/>
      <c r="AE166" s="333"/>
      <c r="AF166" s="333"/>
      <c r="AG166" s="333"/>
      <c r="AH166" s="333"/>
      <c r="AI166" s="333"/>
      <c r="AJ166" s="333"/>
      <c r="AK166" s="333"/>
      <c r="AL166" s="333"/>
      <c r="AM166" s="333"/>
      <c r="AN166" s="333"/>
      <c r="AO166" s="333"/>
      <c r="AP166" s="333"/>
      <c r="AQ166" s="333"/>
      <c r="AR166" s="333"/>
      <c r="AS166" s="333"/>
      <c r="AT166" s="333"/>
      <c r="AU166" s="333"/>
      <c r="AV166" s="333"/>
      <c r="AW166" s="333"/>
      <c r="AX166" s="333"/>
      <c r="AY166" s="333"/>
      <c r="AZ166" s="333"/>
      <c r="BA166" s="333"/>
      <c r="BB166" s="333"/>
      <c r="BC166" s="333"/>
      <c r="BD166" s="333"/>
      <c r="BE166" s="333"/>
      <c r="BF166" s="333"/>
      <c r="BG166" s="333"/>
      <c r="BH166" s="333"/>
      <c r="BI166" s="333"/>
      <c r="BJ166" s="333"/>
      <c r="BK166" s="333"/>
      <c r="BL166" s="333"/>
      <c r="BM166" s="333"/>
      <c r="BN166" s="333"/>
      <c r="BO166" s="333"/>
      <c r="BP166" s="333"/>
      <c r="BQ166" s="333"/>
      <c r="BR166" s="333"/>
      <c r="BS166" s="333"/>
      <c r="BT166" s="333"/>
      <c r="BU166" s="333"/>
      <c r="BV166" s="333"/>
      <c r="BW166" s="333"/>
      <c r="BX166" s="333"/>
      <c r="BY166" s="333"/>
      <c r="BZ166" s="333"/>
      <c r="CA166" s="333"/>
      <c r="CB166" s="333"/>
      <c r="CC166" s="333"/>
      <c r="CD166" s="333"/>
      <c r="CE166" s="333"/>
      <c r="CF166" s="333"/>
      <c r="CG166" s="333"/>
      <c r="CH166" s="333"/>
      <c r="CI166" s="333"/>
      <c r="CJ166" s="333"/>
      <c r="CK166" s="333"/>
      <c r="CL166" s="333"/>
      <c r="CM166" s="333"/>
      <c r="CN166" s="333"/>
      <c r="CO166" s="333"/>
      <c r="CP166" s="333"/>
      <c r="CQ166" s="333"/>
      <c r="CR166" s="333"/>
      <c r="CS166" s="333"/>
      <c r="CT166" s="333"/>
      <c r="CU166" s="333"/>
      <c r="CV166" s="333"/>
      <c r="CW166" s="333"/>
      <c r="CX166" s="333"/>
      <c r="CY166" s="333"/>
      <c r="CZ166" s="333"/>
      <c r="DA166" s="333"/>
      <c r="DB166" s="333"/>
      <c r="DC166" s="333"/>
      <c r="DD166" s="333"/>
      <c r="DE166" s="333"/>
      <c r="DF166" s="333"/>
      <c r="DG166" s="333"/>
      <c r="DH166" s="333"/>
      <c r="DI166" s="333"/>
      <c r="DJ166" s="333"/>
      <c r="DK166" s="333"/>
      <c r="DL166" s="333"/>
      <c r="DM166" s="333"/>
      <c r="DN166" s="333"/>
      <c r="DO166" s="333"/>
      <c r="DP166" s="333"/>
      <c r="DQ166" s="333"/>
      <c r="DR166" s="333"/>
      <c r="DS166" s="333"/>
      <c r="DT166" s="333"/>
      <c r="DU166" s="375"/>
      <c r="DV166" s="375"/>
      <c r="DW166" s="375"/>
      <c r="DX166" s="375"/>
      <c r="DY166" s="375"/>
      <c r="DZ166" s="375"/>
      <c r="EA166" s="375"/>
      <c r="EB166" s="375"/>
      <c r="EC166" s="359"/>
      <c r="ED166" s="359"/>
      <c r="EE166" s="359"/>
      <c r="EF166" s="359"/>
      <c r="EG166" s="359"/>
      <c r="EH166" s="359"/>
      <c r="EI166" s="359"/>
      <c r="EJ166" s="373"/>
      <c r="EK166" s="373"/>
      <c r="EL166" s="366"/>
      <c r="EM166" s="369"/>
      <c r="EN166" s="364"/>
      <c r="EO166" s="363"/>
      <c r="EP166" s="340"/>
      <c r="EQ166" s="340"/>
      <c r="ER166" s="340"/>
      <c r="ES166" s="363"/>
      <c r="ET166" s="363"/>
      <c r="EU166" s="340"/>
      <c r="EV166" s="340"/>
      <c r="EW166" s="340"/>
      <c r="EX166" s="340"/>
      <c r="EY166" s="340"/>
      <c r="EZ166" s="340"/>
      <c r="FA166" s="340"/>
      <c r="FB166" s="402"/>
      <c r="FC166" s="402"/>
      <c r="FD166" s="340"/>
      <c r="FE166" s="340"/>
      <c r="FF166" s="340"/>
      <c r="FG166" s="364"/>
      <c r="FH166" s="364"/>
      <c r="FI166" s="363"/>
      <c r="FJ166" s="360"/>
      <c r="FK166" s="360"/>
      <c r="FL166" s="340"/>
      <c r="FM166" s="967"/>
      <c r="FN166" s="967"/>
      <c r="FO166" s="967"/>
      <c r="FP166" s="968"/>
      <c r="FQ166" s="968"/>
      <c r="FR166" s="968"/>
      <c r="FS166" s="968"/>
      <c r="FT166" s="968"/>
      <c r="FU166" s="968"/>
      <c r="FV166" s="968"/>
      <c r="FW166" s="968"/>
      <c r="FX166" s="968"/>
      <c r="FY166" s="341"/>
      <c r="FZ166" s="341"/>
      <c r="GA166" s="341"/>
      <c r="GB166" s="495">
        <v>0</v>
      </c>
      <c r="GC166" s="495">
        <v>0</v>
      </c>
      <c r="GD166" s="500"/>
      <c r="GE166" s="495">
        <v>0</v>
      </c>
      <c r="GF166" s="495">
        <v>0</v>
      </c>
      <c r="GG166" s="495">
        <v>0</v>
      </c>
      <c r="GH166" s="359"/>
      <c r="GI166" s="359"/>
      <c r="GJ166" s="501"/>
      <c r="GK166" s="495">
        <v>0</v>
      </c>
      <c r="GL166" s="495">
        <v>0</v>
      </c>
      <c r="GM166" s="495">
        <v>0</v>
      </c>
      <c r="GN166" s="359"/>
      <c r="GO166" s="359"/>
      <c r="GP166" s="501"/>
      <c r="GQ166" s="495">
        <v>0</v>
      </c>
      <c r="GR166" s="375"/>
      <c r="GS166" s="333"/>
      <c r="GT166" s="333"/>
      <c r="GU166" s="333"/>
      <c r="GV166" s="333"/>
      <c r="GW166" s="333"/>
      <c r="GX166" s="333"/>
      <c r="GY166" s="333"/>
      <c r="GZ166" s="333"/>
      <c r="HA166" s="333"/>
      <c r="HB166" s="333"/>
      <c r="HC166" s="333"/>
      <c r="HD166" s="333"/>
      <c r="HE166" s="333"/>
      <c r="HF166" s="333"/>
      <c r="HG166" s="331"/>
      <c r="HH166" s="331"/>
      <c r="HI166" s="331"/>
      <c r="HJ166" s="331"/>
      <c r="HK166" s="331"/>
      <c r="HL166" s="331"/>
      <c r="HM166" s="331"/>
      <c r="HN166" s="333"/>
      <c r="HO166" s="333"/>
      <c r="HP166" s="333"/>
      <c r="HQ166" s="333"/>
      <c r="HR166" s="333"/>
      <c r="HS166" s="333"/>
      <c r="HT166" s="333"/>
      <c r="HU166" s="333"/>
      <c r="HV166" s="333"/>
      <c r="HW166" s="333"/>
      <c r="HX166" s="333"/>
      <c r="HY166" s="333"/>
      <c r="HZ166" s="333"/>
      <c r="IA166" s="333"/>
      <c r="IB166" s="333"/>
      <c r="IC166" s="333"/>
      <c r="ID166" s="55"/>
      <c r="IE166" s="47"/>
    </row>
    <row r="167" spans="13:239" s="142" customFormat="1" ht="15" customHeight="1">
      <c r="M167" s="333"/>
      <c r="N167" s="333"/>
      <c r="O167" s="333"/>
      <c r="P167" s="333"/>
      <c r="Q167" s="333"/>
      <c r="R167" s="333"/>
      <c r="S167" s="333"/>
      <c r="T167" s="333"/>
      <c r="U167" s="333"/>
      <c r="V167" s="333"/>
      <c r="W167" s="333"/>
      <c r="X167" s="333"/>
      <c r="Y167" s="333"/>
      <c r="Z167" s="333"/>
      <c r="AA167" s="333"/>
      <c r="AB167" s="333"/>
      <c r="AC167" s="333"/>
      <c r="AD167" s="333"/>
      <c r="AE167" s="333"/>
      <c r="AF167" s="333"/>
      <c r="AG167" s="333"/>
      <c r="AH167" s="333"/>
      <c r="AI167" s="333"/>
      <c r="AJ167" s="333"/>
      <c r="AK167" s="333"/>
      <c r="AL167" s="333"/>
      <c r="AM167" s="333"/>
      <c r="AN167" s="333"/>
      <c r="AO167" s="333"/>
      <c r="AP167" s="333"/>
      <c r="AQ167" s="333"/>
      <c r="AR167" s="333"/>
      <c r="AS167" s="333"/>
      <c r="AT167" s="333"/>
      <c r="AU167" s="333"/>
      <c r="AV167" s="333"/>
      <c r="AW167" s="333"/>
      <c r="AX167" s="333"/>
      <c r="AY167" s="333"/>
      <c r="AZ167" s="333"/>
      <c r="BA167" s="333"/>
      <c r="BB167" s="333"/>
      <c r="BC167" s="333"/>
      <c r="BD167" s="333"/>
      <c r="BE167" s="333"/>
      <c r="BF167" s="333"/>
      <c r="BG167" s="333"/>
      <c r="BH167" s="333"/>
      <c r="BI167" s="333"/>
      <c r="BJ167" s="333"/>
      <c r="BK167" s="333"/>
      <c r="BL167" s="333"/>
      <c r="BM167" s="333"/>
      <c r="BN167" s="333"/>
      <c r="BO167" s="333"/>
      <c r="BP167" s="333"/>
      <c r="BQ167" s="333"/>
      <c r="BR167" s="333"/>
      <c r="BS167" s="333"/>
      <c r="BT167" s="333"/>
      <c r="BU167" s="333"/>
      <c r="BV167" s="333"/>
      <c r="BW167" s="333"/>
      <c r="BX167" s="333"/>
      <c r="BY167" s="333"/>
      <c r="BZ167" s="333"/>
      <c r="CA167" s="333"/>
      <c r="CB167" s="333"/>
      <c r="CC167" s="333"/>
      <c r="CD167" s="333"/>
      <c r="CE167" s="333"/>
      <c r="CF167" s="333"/>
      <c r="CG167" s="333"/>
      <c r="CH167" s="333"/>
      <c r="CI167" s="333"/>
      <c r="CJ167" s="333"/>
      <c r="CK167" s="333"/>
      <c r="CL167" s="333"/>
      <c r="CM167" s="333"/>
      <c r="CN167" s="333"/>
      <c r="CO167" s="333"/>
      <c r="CP167" s="333"/>
      <c r="CQ167" s="333"/>
      <c r="CR167" s="333"/>
      <c r="CS167" s="333"/>
      <c r="CT167" s="333"/>
      <c r="CU167" s="333"/>
      <c r="CV167" s="333"/>
      <c r="CW167" s="333"/>
      <c r="CX167" s="333"/>
      <c r="CY167" s="333"/>
      <c r="CZ167" s="333"/>
      <c r="DA167" s="333"/>
      <c r="DB167" s="333"/>
      <c r="DC167" s="333"/>
      <c r="DD167" s="333"/>
      <c r="DE167" s="333"/>
      <c r="DF167" s="333"/>
      <c r="DG167" s="333"/>
      <c r="DH167" s="333"/>
      <c r="DI167" s="333"/>
      <c r="DJ167" s="333"/>
      <c r="DK167" s="333"/>
      <c r="DL167" s="333"/>
      <c r="DM167" s="333"/>
      <c r="DN167" s="333"/>
      <c r="DO167" s="333"/>
      <c r="DP167" s="333"/>
      <c r="DQ167" s="333"/>
      <c r="DR167" s="333"/>
      <c r="DS167" s="333"/>
      <c r="DT167" s="333"/>
      <c r="DU167" s="375"/>
      <c r="DV167" s="375"/>
      <c r="DW167" s="375"/>
      <c r="DX167" s="375"/>
      <c r="DY167" s="375"/>
      <c r="DZ167" s="375"/>
      <c r="EA167" s="375"/>
      <c r="EB167" s="375"/>
      <c r="EC167" s="359"/>
      <c r="ED167" s="359"/>
      <c r="EE167" s="359"/>
      <c r="EF167" s="359"/>
      <c r="EG167" s="359"/>
      <c r="EH167" s="359"/>
      <c r="EI167" s="359"/>
      <c r="EJ167" s="373"/>
      <c r="EK167" s="373"/>
      <c r="EL167" s="366"/>
      <c r="EM167" s="366"/>
      <c r="EN167" s="364">
        <f>+EN161+1</f>
        <v>20</v>
      </c>
      <c r="EO167" s="356">
        <f>+VLOOKUP(EN167, PRECIOS_EJERCICIOS,  2,FALSE)</f>
        <v>250</v>
      </c>
      <c r="EP167" s="513" t="str">
        <f>+IF($AQ$49 = FALSE, "",
IF(VLOOKUP(EO167, basesCantPrimaBrutoRes, 2,FALSE) &gt;= 0, VLOOKUP(EO167, basesCantPrimaBrutoRes, 2,FALSE), 0))</f>
        <v/>
      </c>
      <c r="EQ167" s="514" t="str">
        <f>+IF($AQ$49 = FALSE, "",
IF(VLOOKUP(EO167, basesCantPrimaBrutoRes, 2,FALSE) &lt; 0, -VLOOKUP(EO167, basesCantPrimaBrutoRes, 2,FALSE), 0))</f>
        <v/>
      </c>
      <c r="ER167" s="521" t="str">
        <f>IF($AQ$49 = FALSE, "",
VLOOKUP(EO167, basesCantPrimaBrutoRes, 4,FALSE))</f>
        <v/>
      </c>
      <c r="ES167" s="926">
        <f>IF(ER167 = "", 0,
IF(AND(EP167 &gt; 0, EQ167 &gt;0), 0, IF(EO167 &lt;&gt; $Z$1,
IF(AND(EP167 &lt;&gt; "", EP167 &lt;&gt; 0), -(EP167 * ER167 * 100),
IF(AND(EQ167 &lt;&gt; "", EQ167 &lt;&gt; 0), (EQ167 * ER167 * 100), 0)),
IF(AND(EP167 &lt;&gt; "", EP167 &lt;&gt; 0), -(EP167 * ER167 * 1),
IF(AND(EQ167 &lt;&gt; "", EQ167 &lt;&gt; 0), (EQ167 * ER167 * 1), 0))  )))</f>
        <v>0</v>
      </c>
      <c r="ET167" s="927"/>
      <c r="EU167" s="928"/>
      <c r="EV167" s="926">
        <f>IF(ER167 = "", 0,
IF(AND(EP167 &gt; 0, EQ167 &gt;0), 0,  IF(EO167 &lt;&gt; $Z$1,
IF(AND(EP167 &lt;&gt; "", EP167 &lt;&gt; 0), -(EP167 * ER167 * 100 * (1 + COMIS_OPCION)),
IF(AND(EQ167 &lt;&gt; "", EQ167 &lt;&gt; 0), (EQ167 * ER167 * 100 * (1 - COMIS_OPCION)), 0)),
IF(AND(EP167 &lt;&gt; "", EP167 &lt;&gt; 0), -(EP167 * ER167 * 1 * (1 + COMIS_ACCION)),
IF(AND(EQ167 &lt;&gt; "", EQ167 &lt;&gt; 0), (EQ167 * ER167 * 1 * (1 - COMIS_ACCION)), 0))  )))</f>
        <v>0</v>
      </c>
      <c r="EW167" s="927"/>
      <c r="EX167" s="927"/>
      <c r="EY167" s="927"/>
      <c r="EZ167" s="927"/>
      <c r="FA167" s="927"/>
      <c r="FB167" s="927"/>
      <c r="FC167" s="927"/>
      <c r="FD167" s="929"/>
      <c r="FE167" s="340"/>
      <c r="FF167" s="340"/>
      <c r="FG167" s="364"/>
      <c r="FH167" s="364">
        <f>+FH161+1</f>
        <v>20</v>
      </c>
      <c r="FI167" s="357">
        <f>+VLOOKUP(FH167, PRECIOS_EJERCICIOS,  2,FALSE)</f>
        <v>250</v>
      </c>
      <c r="FJ167" s="515" t="str">
        <f>+IF($AQ$49 = FALSE, "",
IF(VLOOKUP(EO167, basesCantPrimaBrutoRes, 5,FALSE) &gt;= 0, VLOOKUP(EO167, basesCantPrimaBrutoRes, 5,FALSE), 0))</f>
        <v/>
      </c>
      <c r="FK167" s="516" t="str">
        <f>+IF($AQ$49 = FALSE, "",
IF(VLOOKUP(EO167, basesCantPrimaBrutoRes, 5,FALSE) &lt; 0, -VLOOKUP(EO167, basesCantPrimaBrutoRes, 5,FALSE), 0))</f>
        <v/>
      </c>
      <c r="FL167" s="517" t="str">
        <f>IF($AQ$49 = FALSE, "",
VLOOKUP(EO167, basesCantPrimaBrutoRes, 7,FALSE))</f>
        <v/>
      </c>
      <c r="FM167" s="934">
        <f>IF(FL167 = "", 0,
IF(AND(FJ167 &gt; 0, FK167 &gt;0), 0,
IF(AND(FJ167 &lt;&gt; "", FJ167 &lt;&gt; 0), -(FJ167 * FL167 * 100),
IF(AND(FK167 &lt;&gt; "", FK167 &lt;&gt; 0), (FK167 * FL167 * 100), 0)) ))</f>
        <v>0</v>
      </c>
      <c r="FN167" s="935"/>
      <c r="FO167" s="936"/>
      <c r="FP167" s="934">
        <f>IF(FL167 = "", 0,
IF(AND(FJ167 &gt; 0, FK167 &gt;0), 0,
IF(AND(FJ167 &lt;&gt; "", FJ167 &lt;&gt; 0), -(FJ167 * FL167 * 100 * (1 + COMIS_OPCION)),
IF(AND(FK167 &lt;&gt; "", FK167 &lt;&gt; 0), (FK167 * FL167 * 100 * (1 - COMIS_OPCION)), 0)) ))</f>
        <v>0</v>
      </c>
      <c r="FQ167" s="935"/>
      <c r="FR167" s="935"/>
      <c r="FS167" s="935"/>
      <c r="FT167" s="935"/>
      <c r="FU167" s="935"/>
      <c r="FV167" s="935"/>
      <c r="FW167" s="935"/>
      <c r="FX167" s="966"/>
      <c r="FY167" s="341"/>
      <c r="FZ167" s="341"/>
      <c r="GA167" s="341"/>
      <c r="GB167" s="495">
        <f>+IF(EN167 = "", "", EO167)</f>
        <v>250</v>
      </c>
      <c r="GC167" s="495" t="str">
        <f>+IF(GB167="", "", IF(EO167 = $Z$1, "ACCION", "CALL"))</f>
        <v>CALL</v>
      </c>
      <c r="GD167" s="500"/>
      <c r="GE167" s="495">
        <f>+IF(GB167= "", "", EO169)</f>
        <v>0</v>
      </c>
      <c r="GF167" s="495">
        <f>+IF(GB167 = "", "", IFERROR(IF(GB167 &lt;&gt; $Z$1,
IF(GE167 &gt; 0, SUMIFS(ES167:ES171, EP167:EP171, "&gt;0", ES167:ES171, "&lt;&gt;0") / SUMIFS(EP167:EP171, EP167:EP171, "&gt;0", ES167:ES171, "&lt;&gt;0") / -100,
IF(GE167 &lt; 0, SUMIFS(ES167:ES171, EQ167:EQ171, "&gt;0", ES167:ES171, "&lt;&gt;0") / SUMIFS(EQ167:EQ171, EQ167:EQ171, "&gt;0", ES167:ES171, "&lt;&gt;0") / 100, 0)),
IF(GE167 &gt; 0, SUMIFS(ES167:ES171, EP167:EP171, "&gt;0", ES167:ES171, "&lt;&gt;0") / SUMIFS(EP167:EP171, EP167:EP171, "&gt;0", ES167:ES171, "&lt;&gt;0") / -1,
IF(GE167 &lt; 0, SUMIFS(ES167:ES171, EQ167:EQ171, "&gt;0", ES167:ES171, "&lt;&gt;0") / SUMIFS(EQ167:EQ171, EQ167:EQ171, "&gt;0", ES167:ES171, "&lt;&gt;0") / 1, 0)) ), 0))</f>
        <v>0</v>
      </c>
      <c r="GG167" s="495">
        <f>+IF(GB167 = "", "", IFERROR(IF(GB167 &lt;&gt; $Z$1,
IF(GE167 &gt; 0, SUMIFS(EV167:EV171, EP167:EP171, "&gt;0", EV167:EV171, "&lt;&gt;0") / SUMIFS(EP167:EP171, EP167:EP171, "&gt;0", EV167:EV171, "&lt;&gt;0") / -100,
IF(GE167 &lt; 0, SUMIFS(EV167:EV171, EQ167:EQ171, "&gt;0", EV167:EV171, "&lt;&gt;0") / SUMIFS(EQ167:EQ171, EQ167:EQ171, "&gt;0", EV167:EV171, "&lt;&gt;0") / 100, 0)),
IF(GE167 &gt; 0, SUMIFS(EV167:EV171, EP167:EP171, "&gt;0", EV167:EV171, "&lt;&gt;0") / SUMIFS(EP167:EP171, EP167:EP171, "&gt;0", EV167:EV171, "&lt;&gt;0") / -1,
IF(GE167 &lt; 0, SUMIFS(EV167:EV171, EQ167:EQ171, "&gt;0", EV167:EV171, "&lt;&gt;0") / SUMIFS(EQ167:EQ171, EQ167:EQ171, "&gt;0", EV167:EV171, "&lt;&gt;0") / 1, 0)) ), 0))</f>
        <v>0</v>
      </c>
      <c r="GH167" s="359"/>
      <c r="GI167" s="359"/>
      <c r="GJ167" s="501"/>
      <c r="GK167" s="495" t="str">
        <f>+IF(GB167="", "", "PUT")</f>
        <v>PUT</v>
      </c>
      <c r="GL167" s="495">
        <f>+IF(GB167 = "", "", FI169)</f>
        <v>0</v>
      </c>
      <c r="GM167" s="495">
        <f>+IF(GB167 = "", "", IFERROR(
IF(FI169 &gt; 0, SUMIFS(FM167:FM171, FJ167:FJ171, "&gt;0", FM167:FM171, "&lt;&gt;0") / SUMIFS(FJ167:FJ171, FJ167:FJ171, "&gt;0", FM167:FM171, "&lt;&gt;0") / -100,
IF(FI169 &lt; 0, SUMIFS(FM167:FM171, FK167:FK171, "&gt;0", FM167:FM171, "&lt;&gt;0") / SUMIFS(FK167:FK171, FK167:FK171, "&gt;0", FM167:FM171, "&lt;&gt;0") / 100, 0)), 0) )</f>
        <v>0</v>
      </c>
      <c r="GN167" s="359"/>
      <c r="GO167" s="359"/>
      <c r="GP167" s="501"/>
      <c r="GQ167" s="502">
        <f>+IF(GB167 = "", "", IFERROR(
IF(FI169 &gt; 0, SUMIFS(FP167:FP171, FJ167:FJ171, "&gt;0", FP167:FP171, "&lt;&gt;0") / SUMIFS(FJ167:FJ171, FJ167:FJ171, "&gt;0", FP167:FP171, "&lt;&gt;0") / -100,
IF(FI169 &lt; 0, SUMIFS(FP167:FP171, FK167:FK171, "&gt;0", FP167:FP171, "&lt;&gt;0") / SUMIFS(FK167:FK171, FK167:FK171, "&gt;0", FP167:FP171, "&lt;&gt;0") / 100, 0)), 0))</f>
        <v>0</v>
      </c>
      <c r="GR167" s="375"/>
      <c r="GS167" s="333"/>
      <c r="GT167" s="333"/>
      <c r="GU167" s="333"/>
      <c r="GV167" s="333"/>
      <c r="GW167" s="333"/>
      <c r="GX167" s="333"/>
      <c r="GY167" s="333"/>
      <c r="GZ167" s="333"/>
      <c r="HA167" s="333"/>
      <c r="HB167" s="333"/>
      <c r="HC167" s="333"/>
      <c r="HD167" s="333"/>
      <c r="HE167" s="333"/>
      <c r="HF167" s="333"/>
      <c r="HG167" s="331"/>
      <c r="HH167" s="331"/>
      <c r="HI167" s="331"/>
      <c r="HJ167" s="331"/>
      <c r="HK167" s="331"/>
      <c r="HL167" s="331"/>
      <c r="HM167" s="331"/>
      <c r="HN167" s="333"/>
      <c r="HO167" s="333"/>
      <c r="HP167" s="333"/>
      <c r="HQ167" s="333"/>
      <c r="HR167" s="333"/>
      <c r="HS167" s="333"/>
      <c r="HT167" s="333"/>
      <c r="HU167" s="333"/>
      <c r="HV167" s="333"/>
      <c r="HW167" s="333"/>
      <c r="HX167" s="333"/>
      <c r="HY167" s="333"/>
      <c r="HZ167" s="333"/>
      <c r="IA167" s="333"/>
      <c r="IB167" s="333"/>
      <c r="IC167" s="333"/>
      <c r="ID167" s="55"/>
      <c r="IE167" s="47"/>
    </row>
    <row r="168" spans="13:239" s="142" customFormat="1" ht="15" customHeight="1">
      <c r="M168" s="333"/>
      <c r="N168" s="333"/>
      <c r="O168" s="333"/>
      <c r="P168" s="333"/>
      <c r="Q168" s="333"/>
      <c r="R168" s="333"/>
      <c r="S168" s="333"/>
      <c r="T168" s="333"/>
      <c r="U168" s="333"/>
      <c r="V168" s="333"/>
      <c r="W168" s="333"/>
      <c r="X168" s="333"/>
      <c r="Y168" s="333"/>
      <c r="Z168" s="333"/>
      <c r="AA168" s="333"/>
      <c r="AB168" s="333"/>
      <c r="AC168" s="333"/>
      <c r="AD168" s="333"/>
      <c r="AE168" s="333"/>
      <c r="AF168" s="333"/>
      <c r="AG168" s="333"/>
      <c r="AH168" s="333"/>
      <c r="AI168" s="333"/>
      <c r="AJ168" s="333"/>
      <c r="AK168" s="333"/>
      <c r="AL168" s="333"/>
      <c r="AM168" s="333"/>
      <c r="AN168" s="333"/>
      <c r="AO168" s="333"/>
      <c r="AP168" s="333"/>
      <c r="AQ168" s="333"/>
      <c r="AR168" s="333"/>
      <c r="AS168" s="333"/>
      <c r="AT168" s="333"/>
      <c r="AU168" s="333"/>
      <c r="AV168" s="333"/>
      <c r="AW168" s="333"/>
      <c r="AX168" s="333"/>
      <c r="AY168" s="333"/>
      <c r="AZ168" s="333"/>
      <c r="BA168" s="333"/>
      <c r="BB168" s="333"/>
      <c r="BC168" s="333"/>
      <c r="BD168" s="333"/>
      <c r="BE168" s="333"/>
      <c r="BF168" s="333"/>
      <c r="BG168" s="333"/>
      <c r="BH168" s="333"/>
      <c r="BI168" s="333"/>
      <c r="BJ168" s="333"/>
      <c r="BK168" s="333"/>
      <c r="BL168" s="333"/>
      <c r="BM168" s="333"/>
      <c r="BN168" s="333"/>
      <c r="BO168" s="333"/>
      <c r="BP168" s="333"/>
      <c r="BQ168" s="333"/>
      <c r="BR168" s="333"/>
      <c r="BS168" s="333"/>
      <c r="BT168" s="333"/>
      <c r="BU168" s="333"/>
      <c r="BV168" s="333"/>
      <c r="BW168" s="333"/>
      <c r="BX168" s="333"/>
      <c r="BY168" s="333"/>
      <c r="BZ168" s="333"/>
      <c r="CA168" s="333"/>
      <c r="CB168" s="333"/>
      <c r="CC168" s="333"/>
      <c r="CD168" s="333"/>
      <c r="CE168" s="333"/>
      <c r="CF168" s="333"/>
      <c r="CG168" s="333"/>
      <c r="CH168" s="333"/>
      <c r="CI168" s="333"/>
      <c r="CJ168" s="333"/>
      <c r="CK168" s="333"/>
      <c r="CL168" s="333"/>
      <c r="CM168" s="333"/>
      <c r="CN168" s="333"/>
      <c r="CO168" s="333"/>
      <c r="CP168" s="333"/>
      <c r="CQ168" s="333"/>
      <c r="CR168" s="333"/>
      <c r="CS168" s="333"/>
      <c r="CT168" s="333"/>
      <c r="CU168" s="333"/>
      <c r="CV168" s="333"/>
      <c r="CW168" s="333"/>
      <c r="CX168" s="333"/>
      <c r="CY168" s="333"/>
      <c r="CZ168" s="333"/>
      <c r="DA168" s="333"/>
      <c r="DB168" s="333"/>
      <c r="DC168" s="333"/>
      <c r="DD168" s="333"/>
      <c r="DE168" s="333"/>
      <c r="DF168" s="333"/>
      <c r="DG168" s="333"/>
      <c r="DH168" s="333"/>
      <c r="DI168" s="333"/>
      <c r="DJ168" s="333"/>
      <c r="DK168" s="333"/>
      <c r="DL168" s="333"/>
      <c r="DM168" s="333"/>
      <c r="DN168" s="333"/>
      <c r="DO168" s="333"/>
      <c r="DP168" s="333"/>
      <c r="DQ168" s="333"/>
      <c r="DR168" s="333"/>
      <c r="DS168" s="333"/>
      <c r="DT168" s="333"/>
      <c r="DU168" s="375"/>
      <c r="DV168" s="375"/>
      <c r="DW168" s="375"/>
      <c r="DX168" s="375"/>
      <c r="DY168" s="375"/>
      <c r="DZ168" s="375"/>
      <c r="EA168" s="375"/>
      <c r="EB168" s="375"/>
      <c r="EC168" s="359"/>
      <c r="ED168" s="359"/>
      <c r="EE168" s="359"/>
      <c r="EF168" s="359"/>
      <c r="EG168" s="359"/>
      <c r="EH168" s="359"/>
      <c r="EI168" s="359"/>
      <c r="EJ168" s="373"/>
      <c r="EK168" s="373"/>
      <c r="EL168" s="366"/>
      <c r="EM168" s="366"/>
      <c r="EN168" s="364"/>
      <c r="EO168" s="351"/>
      <c r="EP168" s="347"/>
      <c r="EQ168" s="342"/>
      <c r="ER168" s="522"/>
      <c r="ES168" s="916">
        <f>IF(ER168 = "", 0,
IF(AND(EP168 &gt; 0, EQ168 &gt;0), 0, IF(EO167 &lt;&gt; $Z$1,
IF(AND(EP168 &lt;&gt; "", EP168 &lt;&gt; 0), -(EP168 * ER168 * 100),
IF(AND(EQ168 &lt;&gt; "", EQ168 &lt;&gt; 0), (EQ168 * ER168 * 100), 0)),
IF(AND(EP168 &lt;&gt; "", EP168 &lt;&gt; 0), -(EP168 * ER168 * 1),
IF(AND(EQ168 &lt;&gt; "", EQ168 &lt;&gt; 0), (EQ168 * ER168 * 1), 0))  )))</f>
        <v>0</v>
      </c>
      <c r="ET168" s="917"/>
      <c r="EU168" s="918"/>
      <c r="EV168" s="916">
        <f>IF(ER168 = "", 0,
IF(AND(EP168 &gt; 0, EQ168 &gt;0), 0,  IF(EO167 &lt;&gt; $Z$1,
IF(AND(EP168 &lt;&gt; "", EP168 &lt;&gt; 0), -(EP168 * ER168 * 100 * (1 + COMIS_OPCION)),
IF(AND(EQ168 &lt;&gt; "", EQ168 &lt;&gt; 0), (EQ168 * ER168 * 100 * (1 - COMIS_OPCION)), 0)),
IF(AND(EP168 &lt;&gt; "", EP168 &lt;&gt; 0), -(EP168 * ER168 * 1 * (1 + COMIS_ACCION)),
IF(AND(EQ168 &lt;&gt; "", EQ168 &lt;&gt; 0), (EQ168 * ER168 * 1 * (1 - COMIS_ACCION)), 0))  )))</f>
        <v>0</v>
      </c>
      <c r="EW168" s="917"/>
      <c r="EX168" s="917"/>
      <c r="EY168" s="917"/>
      <c r="EZ168" s="917"/>
      <c r="FA168" s="917"/>
      <c r="FB168" s="917"/>
      <c r="FC168" s="917"/>
      <c r="FD168" s="925"/>
      <c r="FE168" s="340"/>
      <c r="FF168" s="340"/>
      <c r="FG168" s="364"/>
      <c r="FH168" s="364"/>
      <c r="FI168" s="339"/>
      <c r="FJ168" s="347"/>
      <c r="FK168" s="342"/>
      <c r="FL168" s="343"/>
      <c r="FM168" s="930">
        <f>IF(FL168 = "", 0,
IF(AND(FJ168 &gt; 0, FK168 &gt;0), 0,
IF(AND(FJ168 &lt;&gt; "", FJ168 &lt;&gt; 0), -(FJ168 * FL168 * 100),
IF(AND(FK168 &lt;&gt; "", FK168 &lt;&gt; 0), (FK168 * FL168 * 100), 0)) ))</f>
        <v>0</v>
      </c>
      <c r="FN168" s="931"/>
      <c r="FO168" s="932"/>
      <c r="FP168" s="930">
        <f>IF(FL168 = "", 0,
IF(AND(FJ168 &gt; 0, FK168 &gt;0), 0,
IF(AND(FJ168 &lt;&gt; "", FJ168 &lt;&gt; 0), -(FJ168 * FL168 * 100 * (1 + COMIS_OPCION)),
IF(AND(FK168 &lt;&gt; "", FK168 &lt;&gt; 0), (FK168 * FL168 * 100 * (1 - COMIS_OPCION)), 0)) ))</f>
        <v>0</v>
      </c>
      <c r="FQ168" s="931"/>
      <c r="FR168" s="931"/>
      <c r="FS168" s="931"/>
      <c r="FT168" s="931"/>
      <c r="FU168" s="931"/>
      <c r="FV168" s="931"/>
      <c r="FW168" s="931"/>
      <c r="FX168" s="933"/>
      <c r="FY168" s="341"/>
      <c r="FZ168" s="341"/>
      <c r="GA168" s="341"/>
      <c r="GB168" s="495">
        <v>0</v>
      </c>
      <c r="GC168" s="495">
        <v>0</v>
      </c>
      <c r="GD168" s="500"/>
      <c r="GE168" s="495">
        <v>0</v>
      </c>
      <c r="GF168" s="495">
        <v>0</v>
      </c>
      <c r="GG168" s="495">
        <v>0</v>
      </c>
      <c r="GH168" s="359"/>
      <c r="GI168" s="359"/>
      <c r="GJ168" s="501"/>
      <c r="GK168" s="495">
        <v>0</v>
      </c>
      <c r="GL168" s="495">
        <v>0</v>
      </c>
      <c r="GM168" s="495">
        <v>0</v>
      </c>
      <c r="GN168" s="359"/>
      <c r="GO168" s="359"/>
      <c r="GP168" s="501"/>
      <c r="GQ168" s="495">
        <v>0</v>
      </c>
      <c r="GR168" s="375"/>
      <c r="GS168" s="333"/>
      <c r="GT168" s="333"/>
      <c r="GU168" s="333"/>
      <c r="GV168" s="333"/>
      <c r="GW168" s="333"/>
      <c r="GX168" s="333"/>
      <c r="GY168" s="333"/>
      <c r="GZ168" s="333"/>
      <c r="HA168" s="333"/>
      <c r="HB168" s="333"/>
      <c r="HC168" s="333"/>
      <c r="HD168" s="333"/>
      <c r="HE168" s="333"/>
      <c r="HF168" s="333"/>
      <c r="HG168" s="331"/>
      <c r="HH168" s="331"/>
      <c r="HI168" s="331"/>
      <c r="HJ168" s="331"/>
      <c r="HK168" s="331"/>
      <c r="HL168" s="331"/>
      <c r="HM168" s="331"/>
      <c r="HN168" s="333"/>
      <c r="HO168" s="333"/>
      <c r="HP168" s="333"/>
      <c r="HQ168" s="333"/>
      <c r="HR168" s="333"/>
      <c r="HS168" s="333"/>
      <c r="HT168" s="333"/>
      <c r="HU168" s="333"/>
      <c r="HV168" s="333"/>
      <c r="HW168" s="333"/>
      <c r="HX168" s="333"/>
      <c r="HY168" s="333"/>
      <c r="HZ168" s="333"/>
      <c r="IA168" s="333"/>
      <c r="IB168" s="333"/>
      <c r="IC168" s="333"/>
      <c r="ID168" s="55"/>
      <c r="IE168" s="47"/>
    </row>
    <row r="169" spans="13:239" s="142" customFormat="1" ht="15" customHeight="1">
      <c r="M169" s="333"/>
      <c r="N169" s="333"/>
      <c r="O169" s="333"/>
      <c r="P169" s="333"/>
      <c r="Q169" s="333"/>
      <c r="R169" s="333"/>
      <c r="S169" s="333"/>
      <c r="T169" s="333"/>
      <c r="U169" s="333"/>
      <c r="V169" s="333"/>
      <c r="W169" s="333"/>
      <c r="X169" s="333"/>
      <c r="Y169" s="333"/>
      <c r="Z169" s="333"/>
      <c r="AA169" s="333"/>
      <c r="AB169" s="333"/>
      <c r="AC169" s="333"/>
      <c r="AD169" s="333"/>
      <c r="AE169" s="333"/>
      <c r="AF169" s="333"/>
      <c r="AG169" s="333"/>
      <c r="AH169" s="333"/>
      <c r="AI169" s="333"/>
      <c r="AJ169" s="333"/>
      <c r="AK169" s="333"/>
      <c r="AL169" s="333"/>
      <c r="AM169" s="333"/>
      <c r="AN169" s="333"/>
      <c r="AO169" s="333"/>
      <c r="AP169" s="333"/>
      <c r="AQ169" s="333"/>
      <c r="AR169" s="333"/>
      <c r="AS169" s="333"/>
      <c r="AT169" s="333"/>
      <c r="AU169" s="333"/>
      <c r="AV169" s="333"/>
      <c r="AW169" s="333"/>
      <c r="AX169" s="333"/>
      <c r="AY169" s="333"/>
      <c r="AZ169" s="333"/>
      <c r="BA169" s="333"/>
      <c r="BB169" s="333"/>
      <c r="BC169" s="333"/>
      <c r="BD169" s="333"/>
      <c r="BE169" s="333"/>
      <c r="BF169" s="333"/>
      <c r="BG169" s="333"/>
      <c r="BH169" s="333"/>
      <c r="BI169" s="333"/>
      <c r="BJ169" s="333"/>
      <c r="BK169" s="333"/>
      <c r="BL169" s="333"/>
      <c r="BM169" s="333"/>
      <c r="BN169" s="333"/>
      <c r="BO169" s="333"/>
      <c r="BP169" s="333"/>
      <c r="BQ169" s="333"/>
      <c r="BR169" s="333"/>
      <c r="BS169" s="333"/>
      <c r="BT169" s="333"/>
      <c r="BU169" s="333"/>
      <c r="BV169" s="333"/>
      <c r="BW169" s="333"/>
      <c r="BX169" s="333"/>
      <c r="BY169" s="333"/>
      <c r="BZ169" s="333"/>
      <c r="CA169" s="333"/>
      <c r="CB169" s="333"/>
      <c r="CC169" s="333"/>
      <c r="CD169" s="333"/>
      <c r="CE169" s="333"/>
      <c r="CF169" s="333"/>
      <c r="CG169" s="333"/>
      <c r="CH169" s="333"/>
      <c r="CI169" s="333"/>
      <c r="CJ169" s="333"/>
      <c r="CK169" s="333"/>
      <c r="CL169" s="333"/>
      <c r="CM169" s="333"/>
      <c r="CN169" s="333"/>
      <c r="CO169" s="333"/>
      <c r="CP169" s="333"/>
      <c r="CQ169" s="333"/>
      <c r="CR169" s="333"/>
      <c r="CS169" s="333"/>
      <c r="CT169" s="333"/>
      <c r="CU169" s="333"/>
      <c r="CV169" s="333"/>
      <c r="CW169" s="333"/>
      <c r="CX169" s="333"/>
      <c r="CY169" s="333"/>
      <c r="CZ169" s="333"/>
      <c r="DA169" s="333"/>
      <c r="DB169" s="333"/>
      <c r="DC169" s="333"/>
      <c r="DD169" s="333"/>
      <c r="DE169" s="333"/>
      <c r="DF169" s="333"/>
      <c r="DG169" s="333"/>
      <c r="DH169" s="333"/>
      <c r="DI169" s="333"/>
      <c r="DJ169" s="333"/>
      <c r="DK169" s="333"/>
      <c r="DL169" s="333"/>
      <c r="DM169" s="333"/>
      <c r="DN169" s="333"/>
      <c r="DO169" s="333"/>
      <c r="DP169" s="333"/>
      <c r="DQ169" s="333"/>
      <c r="DR169" s="333"/>
      <c r="DS169" s="333"/>
      <c r="DT169" s="333"/>
      <c r="DU169" s="375"/>
      <c r="DV169" s="375"/>
      <c r="DW169" s="375"/>
      <c r="DX169" s="375"/>
      <c r="DY169" s="375"/>
      <c r="DZ169" s="375"/>
      <c r="EA169" s="375"/>
      <c r="EB169" s="375"/>
      <c r="EC169" s="359"/>
      <c r="ED169" s="359"/>
      <c r="EE169" s="359"/>
      <c r="EF169" s="359"/>
      <c r="EG169" s="359"/>
      <c r="EH169" s="359"/>
      <c r="EI169" s="359"/>
      <c r="EJ169" s="373"/>
      <c r="EK169" s="373"/>
      <c r="EL169" s="366"/>
      <c r="EM169" s="368"/>
      <c r="EN169" s="364"/>
      <c r="EO169" s="352">
        <f>+SUM(EP167:EP171) - SUM(EQ167:EQ171)</f>
        <v>0</v>
      </c>
      <c r="EP169" s="347"/>
      <c r="EQ169" s="342"/>
      <c r="ER169" s="522"/>
      <c r="ES169" s="916">
        <f>IF(ER169 = "", 0,
IF(AND(EP169 &gt; 0, EQ169 &gt;0), 0, IF(EO167 &lt;&gt; $Z$1,
IF(AND(EP169 &lt;&gt; "", EP169 &lt;&gt; 0), -(EP169 * ER169 * 100),
IF(AND(EQ169 &lt;&gt; "", EQ169 &lt;&gt; 0), (EQ169 * ER169 * 100), 0)),
IF(AND(EP169 &lt;&gt; "", EP169 &lt;&gt; 0), -(EP169 * ER169 * 1),
IF(AND(EQ169 &lt;&gt; "", EQ169 &lt;&gt; 0), (EQ169 * ER169 * 1), 0))  )))</f>
        <v>0</v>
      </c>
      <c r="ET169" s="917"/>
      <c r="EU169" s="918"/>
      <c r="EV169" s="916">
        <f>IF(ER169 = "", 0,
IF(AND(EP169 &gt; 0, EQ169 &gt;0), 0,  IF(EO167 &lt;&gt; $Z$1,
IF(AND(EP169 &lt;&gt; "", EP169 &lt;&gt; 0), -(EP169 * ER169 * 100 * (1 + COMIS_OPCION)),
IF(AND(EQ169 &lt;&gt; "", EQ169 &lt;&gt; 0), (EQ169 * ER169 * 100 * (1 - COMIS_OPCION)), 0)),
IF(AND(EP169 &lt;&gt; "", EP169 &lt;&gt; 0), -(EP169 * ER169 * 1 * (1 + COMIS_ACCION)),
IF(AND(EQ169 &lt;&gt; "", EQ169 &lt;&gt; 0), (EQ169 * ER169 * 1 * (1 - COMIS_ACCION)), 0))  )))</f>
        <v>0</v>
      </c>
      <c r="EW169" s="917"/>
      <c r="EX169" s="917"/>
      <c r="EY169" s="917"/>
      <c r="EZ169" s="917"/>
      <c r="FA169" s="917"/>
      <c r="FB169" s="917"/>
      <c r="FC169" s="917"/>
      <c r="FD169" s="925"/>
      <c r="FE169" s="340"/>
      <c r="FF169" s="340"/>
      <c r="FG169" s="365"/>
      <c r="FH169" s="365"/>
      <c r="FI169" s="354">
        <f>+SUM(FJ167:FJ171) - SUM(FK167:FK171)</f>
        <v>0</v>
      </c>
      <c r="FJ169" s="347"/>
      <c r="FK169" s="342"/>
      <c r="FL169" s="343"/>
      <c r="FM169" s="930">
        <f>IF(FL169 = "", 0,
IF(AND(FJ169 &gt; 0, FK169 &gt;0), 0,
IF(AND(FJ169 &lt;&gt; "", FJ169 &lt;&gt; 0), -(FJ169 * FL169 * 100),
IF(AND(FK169 &lt;&gt; "", FK169 &lt;&gt; 0), (FK169 * FL169 * 100), 0)) ))</f>
        <v>0</v>
      </c>
      <c r="FN169" s="931"/>
      <c r="FO169" s="932"/>
      <c r="FP169" s="930">
        <f>IF(FL169 = "", 0,
IF(AND(FJ169 &gt; 0, FK169 &gt;0), 0,
IF(AND(FJ169 &lt;&gt; "", FJ169 &lt;&gt; 0), -(FJ169 * FL169 * 100 * (1 + COMIS_OPCION)),
IF(AND(FK169 &lt;&gt; "", FK169 &lt;&gt; 0), (FK169 * FL169 * 100 * (1 - COMIS_OPCION)), 0)) ))</f>
        <v>0</v>
      </c>
      <c r="FQ169" s="931"/>
      <c r="FR169" s="931"/>
      <c r="FS169" s="931"/>
      <c r="FT169" s="931"/>
      <c r="FU169" s="931"/>
      <c r="FV169" s="931"/>
      <c r="FW169" s="931"/>
      <c r="FX169" s="933"/>
      <c r="FY169" s="341"/>
      <c r="FZ169" s="341"/>
      <c r="GA169" s="341"/>
      <c r="GB169" s="495">
        <v>0</v>
      </c>
      <c r="GC169" s="495">
        <v>0</v>
      </c>
      <c r="GD169" s="500"/>
      <c r="GE169" s="495">
        <v>0</v>
      </c>
      <c r="GF169" s="495">
        <v>0</v>
      </c>
      <c r="GG169" s="495">
        <v>0</v>
      </c>
      <c r="GH169" s="359"/>
      <c r="GI169" s="359"/>
      <c r="GJ169" s="501"/>
      <c r="GK169" s="495">
        <v>0</v>
      </c>
      <c r="GL169" s="495">
        <v>0</v>
      </c>
      <c r="GM169" s="495">
        <v>0</v>
      </c>
      <c r="GN169" s="359"/>
      <c r="GO169" s="359"/>
      <c r="GP169" s="501"/>
      <c r="GQ169" s="495">
        <v>0</v>
      </c>
      <c r="GR169" s="375"/>
      <c r="GS169" s="333"/>
      <c r="GT169" s="333"/>
      <c r="GU169" s="333"/>
      <c r="GV169" s="333"/>
      <c r="GW169" s="333"/>
      <c r="GX169" s="333"/>
      <c r="GY169" s="333"/>
      <c r="GZ169" s="333"/>
      <c r="HA169" s="333"/>
      <c r="HB169" s="333"/>
      <c r="HC169" s="333"/>
      <c r="HD169" s="333"/>
      <c r="HE169" s="333"/>
      <c r="HF169" s="333"/>
      <c r="HG169" s="331"/>
      <c r="HH169" s="331"/>
      <c r="HI169" s="331"/>
      <c r="HJ169" s="331"/>
      <c r="HK169" s="331"/>
      <c r="HL169" s="331"/>
      <c r="HM169" s="331"/>
      <c r="HN169" s="333"/>
      <c r="HO169" s="333"/>
      <c r="HP169" s="333"/>
      <c r="HQ169" s="333"/>
      <c r="HR169" s="333"/>
      <c r="HS169" s="333"/>
      <c r="HT169" s="333"/>
      <c r="HU169" s="333"/>
      <c r="HV169" s="333"/>
      <c r="HW169" s="333"/>
      <c r="HX169" s="333"/>
      <c r="HY169" s="333"/>
      <c r="HZ169" s="333"/>
      <c r="IA169" s="333"/>
      <c r="IB169" s="333"/>
      <c r="IC169" s="333"/>
      <c r="ID169" s="55"/>
      <c r="IE169" s="47"/>
    </row>
    <row r="170" spans="13:239" s="142" customFormat="1" ht="15" customHeight="1">
      <c r="M170" s="333"/>
      <c r="N170" s="333"/>
      <c r="O170" s="333"/>
      <c r="P170" s="333"/>
      <c r="Q170" s="333"/>
      <c r="R170" s="333"/>
      <c r="S170" s="333"/>
      <c r="T170" s="333"/>
      <c r="U170" s="333"/>
      <c r="V170" s="333"/>
      <c r="W170" s="333"/>
      <c r="X170" s="333"/>
      <c r="Y170" s="333"/>
      <c r="Z170" s="333"/>
      <c r="AA170" s="333"/>
      <c r="AB170" s="333"/>
      <c r="AC170" s="333"/>
      <c r="AD170" s="333"/>
      <c r="AE170" s="333"/>
      <c r="AF170" s="333"/>
      <c r="AG170" s="333"/>
      <c r="AH170" s="333"/>
      <c r="AI170" s="333"/>
      <c r="AJ170" s="333"/>
      <c r="AK170" s="333"/>
      <c r="AL170" s="333"/>
      <c r="AM170" s="333"/>
      <c r="AN170" s="333"/>
      <c r="AO170" s="333"/>
      <c r="AP170" s="333"/>
      <c r="AQ170" s="333"/>
      <c r="AR170" s="333"/>
      <c r="AS170" s="333"/>
      <c r="AT170" s="333"/>
      <c r="AU170" s="333"/>
      <c r="AV170" s="333"/>
      <c r="AW170" s="333"/>
      <c r="AX170" s="333"/>
      <c r="AY170" s="333"/>
      <c r="AZ170" s="333"/>
      <c r="BA170" s="333"/>
      <c r="BB170" s="333"/>
      <c r="BC170" s="333"/>
      <c r="BD170" s="333"/>
      <c r="BE170" s="333"/>
      <c r="BF170" s="333"/>
      <c r="BG170" s="333"/>
      <c r="BH170" s="333"/>
      <c r="BI170" s="333"/>
      <c r="BJ170" s="333"/>
      <c r="BK170" s="333"/>
      <c r="BL170" s="333"/>
      <c r="BM170" s="333"/>
      <c r="BN170" s="333"/>
      <c r="BO170" s="333"/>
      <c r="BP170" s="333"/>
      <c r="BQ170" s="333"/>
      <c r="BR170" s="333"/>
      <c r="BS170" s="333"/>
      <c r="BT170" s="333"/>
      <c r="BU170" s="333"/>
      <c r="BV170" s="333"/>
      <c r="BW170" s="333"/>
      <c r="BX170" s="333"/>
      <c r="BY170" s="333"/>
      <c r="BZ170" s="333"/>
      <c r="CA170" s="333"/>
      <c r="CB170" s="333"/>
      <c r="CC170" s="333"/>
      <c r="CD170" s="333"/>
      <c r="CE170" s="333"/>
      <c r="CF170" s="333"/>
      <c r="CG170" s="333"/>
      <c r="CH170" s="333"/>
      <c r="CI170" s="333"/>
      <c r="CJ170" s="333"/>
      <c r="CK170" s="333"/>
      <c r="CL170" s="333"/>
      <c r="CM170" s="333"/>
      <c r="CN170" s="333"/>
      <c r="CO170" s="333"/>
      <c r="CP170" s="333"/>
      <c r="CQ170" s="333"/>
      <c r="CR170" s="333"/>
      <c r="CS170" s="333"/>
      <c r="CT170" s="333"/>
      <c r="CU170" s="333"/>
      <c r="CV170" s="333"/>
      <c r="CW170" s="333"/>
      <c r="CX170" s="333"/>
      <c r="CY170" s="333"/>
      <c r="CZ170" s="333"/>
      <c r="DA170" s="333"/>
      <c r="DB170" s="333"/>
      <c r="DC170" s="333"/>
      <c r="DD170" s="333"/>
      <c r="DE170" s="333"/>
      <c r="DF170" s="333"/>
      <c r="DG170" s="333"/>
      <c r="DH170" s="333"/>
      <c r="DI170" s="333"/>
      <c r="DJ170" s="333"/>
      <c r="DK170" s="333"/>
      <c r="DL170" s="333"/>
      <c r="DM170" s="333"/>
      <c r="DN170" s="333"/>
      <c r="DO170" s="333"/>
      <c r="DP170" s="333"/>
      <c r="DQ170" s="333"/>
      <c r="DR170" s="333"/>
      <c r="DS170" s="333"/>
      <c r="DT170" s="333"/>
      <c r="DU170" s="375"/>
      <c r="DV170" s="375"/>
      <c r="DW170" s="375"/>
      <c r="DX170" s="375"/>
      <c r="DY170" s="375"/>
      <c r="DZ170" s="375"/>
      <c r="EA170" s="375"/>
      <c r="EB170" s="375"/>
      <c r="EC170" s="359"/>
      <c r="ED170" s="359"/>
      <c r="EE170" s="359"/>
      <c r="EF170" s="359"/>
      <c r="EG170" s="359"/>
      <c r="EH170" s="359"/>
      <c r="EI170" s="359"/>
      <c r="EJ170" s="373"/>
      <c r="EK170" s="373"/>
      <c r="EL170" s="366"/>
      <c r="EM170" s="368"/>
      <c r="EN170" s="364"/>
      <c r="EO170" s="352">
        <f>IF(EO169=0, 0, SUM(EV167:FD171))</f>
        <v>0</v>
      </c>
      <c r="EP170" s="347"/>
      <c r="EQ170" s="342"/>
      <c r="ER170" s="522"/>
      <c r="ES170" s="916">
        <f>IF(ER170 = "", 0,
IF(AND(EP170 &gt; 0, EQ170 &gt;0), 0, IF(EO167 &lt;&gt; $Z$1,
IF(AND(EP170 &lt;&gt; "", EP170 &lt;&gt; 0), -(EP170 * ER170 * 100),
IF(AND(EQ170 &lt;&gt; "", EQ170 &lt;&gt; 0), (EQ170 * ER170 * 100), 0)),
IF(AND(EP170 &lt;&gt; "", EP170 &lt;&gt; 0), -(EP170 * ER170 * 1),
IF(AND(EQ170 &lt;&gt; "", EQ170 &lt;&gt; 0), (EQ170 * ER170 * 1), 0))  )))</f>
        <v>0</v>
      </c>
      <c r="ET170" s="917"/>
      <c r="EU170" s="918"/>
      <c r="EV170" s="916">
        <f>IF(ER170 = "", 0,
IF(AND(EP170 &gt; 0, EQ170 &gt;0), 0,  IF(EO167 &lt;&gt; $Z$1,
IF(AND(EP170 &lt;&gt; "", EP170 &lt;&gt; 0), -(EP170 * ER170 * 100 * (1 + COMIS_OPCION)),
IF(AND(EQ170 &lt;&gt; "", EQ170 &lt;&gt; 0), (EQ170 * ER170 * 100 * (1 - COMIS_OPCION)), 0)),
IF(AND(EP170 &lt;&gt; "", EP170 &lt;&gt; 0), -(EP170 * ER170 * 1 * (1 + COMIS_ACCION)),
IF(AND(EQ170 &lt;&gt; "", EQ170 &lt;&gt; 0), (EQ170 * ER170 * 1 * (1 - COMIS_ACCION)), 0))  )))</f>
        <v>0</v>
      </c>
      <c r="EW170" s="917"/>
      <c r="EX170" s="917"/>
      <c r="EY170" s="917"/>
      <c r="EZ170" s="917"/>
      <c r="FA170" s="917"/>
      <c r="FB170" s="917"/>
      <c r="FC170" s="917"/>
      <c r="FD170" s="925"/>
      <c r="FE170" s="340"/>
      <c r="FF170" s="340"/>
      <c r="FG170" s="365"/>
      <c r="FH170" s="365"/>
      <c r="FI170" s="354">
        <f>IF(FI169=0, 0, SUM(FP167:FX171))</f>
        <v>0</v>
      </c>
      <c r="FJ170" s="347"/>
      <c r="FK170" s="342"/>
      <c r="FL170" s="343"/>
      <c r="FM170" s="930">
        <f>IF(FL170 = "", 0,
IF(AND(FJ170 &gt; 0, FK170 &gt;0), 0,
IF(AND(FJ170 &lt;&gt; "", FJ170 &lt;&gt; 0), -(FJ170 * FL170 * 100),
IF(AND(FK170 &lt;&gt; "", FK170 &lt;&gt; 0), (FK170 * FL170 * 100), 0)) ))</f>
        <v>0</v>
      </c>
      <c r="FN170" s="931"/>
      <c r="FO170" s="932"/>
      <c r="FP170" s="930">
        <f>IF(FL170 = "", 0,
IF(AND(FJ170 &gt; 0, FK170 &gt;0), 0,
IF(AND(FJ170 &lt;&gt; "", FJ170 &lt;&gt; 0), -(FJ170 * FL170 * 100 * (1 + COMIS_OPCION)),
IF(AND(FK170 &lt;&gt; "", FK170 &lt;&gt; 0), (FK170 * FL170 * 100 * (1 - COMIS_OPCION)), 0)) ))</f>
        <v>0</v>
      </c>
      <c r="FQ170" s="931"/>
      <c r="FR170" s="931"/>
      <c r="FS170" s="931"/>
      <c r="FT170" s="931"/>
      <c r="FU170" s="931"/>
      <c r="FV170" s="931"/>
      <c r="FW170" s="931"/>
      <c r="FX170" s="933"/>
      <c r="FY170" s="341"/>
      <c r="FZ170" s="341"/>
      <c r="GA170" s="341"/>
      <c r="GB170" s="495">
        <v>0</v>
      </c>
      <c r="GC170" s="495">
        <v>0</v>
      </c>
      <c r="GD170" s="500"/>
      <c r="GE170" s="495">
        <v>0</v>
      </c>
      <c r="GF170" s="495">
        <v>0</v>
      </c>
      <c r="GG170" s="495">
        <v>0</v>
      </c>
      <c r="GH170" s="359"/>
      <c r="GI170" s="359"/>
      <c r="GJ170" s="501"/>
      <c r="GK170" s="495">
        <v>0</v>
      </c>
      <c r="GL170" s="495">
        <v>0</v>
      </c>
      <c r="GM170" s="495">
        <v>0</v>
      </c>
      <c r="GN170" s="359"/>
      <c r="GO170" s="359"/>
      <c r="GP170" s="501"/>
      <c r="GQ170" s="495">
        <v>0</v>
      </c>
      <c r="GR170" s="375"/>
      <c r="GS170" s="333"/>
      <c r="GT170" s="333"/>
      <c r="GU170" s="333"/>
      <c r="GV170" s="333"/>
      <c r="GW170" s="333"/>
      <c r="GX170" s="333"/>
      <c r="GY170" s="333"/>
      <c r="GZ170" s="333"/>
      <c r="HA170" s="333"/>
      <c r="HB170" s="333"/>
      <c r="HC170" s="333"/>
      <c r="HD170" s="333"/>
      <c r="HE170" s="333"/>
      <c r="HF170" s="333"/>
      <c r="HG170" s="331"/>
      <c r="HH170" s="331"/>
      <c r="HI170" s="331"/>
      <c r="HJ170" s="331"/>
      <c r="HK170" s="331"/>
      <c r="HL170" s="331"/>
      <c r="HM170" s="331"/>
      <c r="HN170" s="333"/>
      <c r="HO170" s="333"/>
      <c r="HP170" s="333"/>
      <c r="HQ170" s="333"/>
      <c r="HR170" s="333"/>
      <c r="HS170" s="333"/>
      <c r="HT170" s="333"/>
      <c r="HU170" s="333"/>
      <c r="HV170" s="333"/>
      <c r="HW170" s="333"/>
      <c r="HX170" s="333"/>
      <c r="HY170" s="333"/>
      <c r="HZ170" s="333"/>
      <c r="IA170" s="333"/>
      <c r="IB170" s="333"/>
      <c r="IC170" s="333"/>
      <c r="ID170" s="55"/>
      <c r="IE170" s="47"/>
    </row>
    <row r="171" spans="13:239" s="142" customFormat="1" ht="15" customHeight="1" thickBot="1">
      <c r="M171" s="333"/>
      <c r="N171" s="333"/>
      <c r="O171" s="333"/>
      <c r="P171" s="333"/>
      <c r="Q171" s="333"/>
      <c r="R171" s="333"/>
      <c r="S171" s="333"/>
      <c r="T171" s="333"/>
      <c r="U171" s="333"/>
      <c r="V171" s="333"/>
      <c r="W171" s="333"/>
      <c r="X171" s="333"/>
      <c r="Y171" s="333"/>
      <c r="Z171" s="333"/>
      <c r="AA171" s="333"/>
      <c r="AB171" s="333"/>
      <c r="AC171" s="333"/>
      <c r="AD171" s="333"/>
      <c r="AE171" s="333"/>
      <c r="AF171" s="333"/>
      <c r="AG171" s="333"/>
      <c r="AH171" s="333"/>
      <c r="AI171" s="333"/>
      <c r="AJ171" s="333"/>
      <c r="AK171" s="333"/>
      <c r="AL171" s="333"/>
      <c r="AM171" s="333"/>
      <c r="AN171" s="333"/>
      <c r="AO171" s="333"/>
      <c r="AP171" s="333"/>
      <c r="AQ171" s="333"/>
      <c r="AR171" s="333"/>
      <c r="AS171" s="333"/>
      <c r="AT171" s="333"/>
      <c r="AU171" s="333"/>
      <c r="AV171" s="333"/>
      <c r="AW171" s="333"/>
      <c r="AX171" s="333"/>
      <c r="AY171" s="333"/>
      <c r="AZ171" s="333"/>
      <c r="BA171" s="333"/>
      <c r="BB171" s="333"/>
      <c r="BC171" s="333"/>
      <c r="BD171" s="333"/>
      <c r="BE171" s="333"/>
      <c r="BF171" s="333"/>
      <c r="BG171" s="333"/>
      <c r="BH171" s="333"/>
      <c r="BI171" s="333"/>
      <c r="BJ171" s="333"/>
      <c r="BK171" s="333"/>
      <c r="BL171" s="333"/>
      <c r="BM171" s="333"/>
      <c r="BN171" s="333"/>
      <c r="BO171" s="333"/>
      <c r="BP171" s="333"/>
      <c r="BQ171" s="333"/>
      <c r="BR171" s="333"/>
      <c r="BS171" s="333"/>
      <c r="BT171" s="333"/>
      <c r="BU171" s="333"/>
      <c r="BV171" s="333"/>
      <c r="BW171" s="333"/>
      <c r="BX171" s="333"/>
      <c r="BY171" s="333"/>
      <c r="BZ171" s="333"/>
      <c r="CA171" s="333"/>
      <c r="CB171" s="333"/>
      <c r="CC171" s="333"/>
      <c r="CD171" s="333"/>
      <c r="CE171" s="333"/>
      <c r="CF171" s="333"/>
      <c r="CG171" s="333"/>
      <c r="CH171" s="333"/>
      <c r="CI171" s="333"/>
      <c r="CJ171" s="333"/>
      <c r="CK171" s="333"/>
      <c r="CL171" s="333"/>
      <c r="CM171" s="333"/>
      <c r="CN171" s="333"/>
      <c r="CO171" s="333"/>
      <c r="CP171" s="333"/>
      <c r="CQ171" s="333"/>
      <c r="CR171" s="333"/>
      <c r="CS171" s="333"/>
      <c r="CT171" s="333"/>
      <c r="CU171" s="333"/>
      <c r="CV171" s="333"/>
      <c r="CW171" s="333"/>
      <c r="CX171" s="333"/>
      <c r="CY171" s="333"/>
      <c r="CZ171" s="333"/>
      <c r="DA171" s="333"/>
      <c r="DB171" s="333"/>
      <c r="DC171" s="333"/>
      <c r="DD171" s="333"/>
      <c r="DE171" s="333"/>
      <c r="DF171" s="333"/>
      <c r="DG171" s="333"/>
      <c r="DH171" s="333"/>
      <c r="DI171" s="333"/>
      <c r="DJ171" s="333"/>
      <c r="DK171" s="333"/>
      <c r="DL171" s="333"/>
      <c r="DM171" s="333"/>
      <c r="DN171" s="333"/>
      <c r="DO171" s="333"/>
      <c r="DP171" s="333"/>
      <c r="DQ171" s="333"/>
      <c r="DR171" s="333"/>
      <c r="DS171" s="333"/>
      <c r="DT171" s="333"/>
      <c r="DU171" s="375"/>
      <c r="DV171" s="375"/>
      <c r="DW171" s="375"/>
      <c r="DX171" s="375"/>
      <c r="DY171" s="375"/>
      <c r="DZ171" s="375"/>
      <c r="EA171" s="375"/>
      <c r="EB171" s="375"/>
      <c r="EC171" s="359"/>
      <c r="ED171" s="359"/>
      <c r="EE171" s="359"/>
      <c r="EF171" s="359"/>
      <c r="EG171" s="359"/>
      <c r="EH171" s="359"/>
      <c r="EI171" s="359"/>
      <c r="EJ171" s="373"/>
      <c r="EK171" s="373"/>
      <c r="EL171" s="366"/>
      <c r="EM171" s="368"/>
      <c r="EN171" s="364"/>
      <c r="EO171" s="353">
        <f>+IF(EO169= 0, 0, GG167)</f>
        <v>0</v>
      </c>
      <c r="EP171" s="350"/>
      <c r="EQ171" s="344"/>
      <c r="ER171" s="523"/>
      <c r="ES171" s="921">
        <f>IF(ER171 = "", 0,
IF(AND(EP171 &gt; 0, EQ171 &gt;0), 0, IF(EO167 &lt;&gt; $Z$1,
IF(AND(EP171 &lt;&gt; "", EP171 &lt;&gt; 0), -(EP171 * ER171 * 100),
IF(AND(EQ171 &lt;&gt; "", EQ171 &lt;&gt; 0), (EQ171 * ER171 * 100), 0)),
IF(AND(EP171 &lt;&gt; "", EP171 &lt;&gt; 0), -(EP171 * ER171 * 1),
IF(AND(EQ171 &lt;&gt; "", EQ171 &lt;&gt; 0), (EQ171 * ER171 * 1), 0))  )))</f>
        <v>0</v>
      </c>
      <c r="ET171" s="922"/>
      <c r="EU171" s="924"/>
      <c r="EV171" s="921">
        <f>IF(ER171 = "", 0,
IF(AND(EP171 &gt; 0, EQ171 &gt;0), 0,  IF(EO167 &lt;&gt; $Z$1,
IF(AND(EP171 &lt;&gt; "", EP171 &lt;&gt; 0), -(EP171 * ER171 * 100 * (1 + COMIS_OPCION)),
IF(AND(EQ171 &lt;&gt; "", EQ171 &lt;&gt; 0), (EQ171 * ER171 * 100 * (1 - COMIS_OPCION)), 0)),
IF(AND(EP171 &lt;&gt; "", EP171 &lt;&gt; 0), -(EP171 * ER171 * 1 * (1 + COMIS_ACCION)),
IF(AND(EQ171 &lt;&gt; "", EQ171 &lt;&gt; 0), (EQ171 * ER171 * 1 * (1 - COMIS_ACCION)), 0))  )))</f>
        <v>0</v>
      </c>
      <c r="EW171" s="922"/>
      <c r="EX171" s="922"/>
      <c r="EY171" s="922"/>
      <c r="EZ171" s="922"/>
      <c r="FA171" s="922"/>
      <c r="FB171" s="922"/>
      <c r="FC171" s="922"/>
      <c r="FD171" s="923"/>
      <c r="FE171" s="340"/>
      <c r="FF171" s="340"/>
      <c r="FG171" s="365"/>
      <c r="FH171" s="365"/>
      <c r="FI171" s="349">
        <f>+IF(FI169= 0, 0, GQ167)</f>
        <v>0</v>
      </c>
      <c r="FJ171" s="348"/>
      <c r="FK171" s="345"/>
      <c r="FL171" s="346"/>
      <c r="FM171" s="937">
        <f>IF(FL171 = "", 0,
IF(AND(FJ171 &gt; 0, FK171 &gt;0), 0,
IF(AND(FJ171 &lt;&gt; "", FJ171 &lt;&gt; 0), -(FJ171 * FL171 * 100),
IF(AND(FK171 &lt;&gt; "", FK171 &lt;&gt; 0), (FK171 * FL171 * 100), 0)) ))</f>
        <v>0</v>
      </c>
      <c r="FN171" s="938"/>
      <c r="FO171" s="939"/>
      <c r="FP171" s="937">
        <f>IF(FL171 = "", 0,
IF(AND(FJ171 &gt; 0, FK171 &gt;0), 0,
IF(AND(FJ171 &lt;&gt; "", FJ171 &lt;&gt; 0), -(FJ171 * FL171 * 100 * (1 + COMIS_OPCION)),
IF(AND(FK171 &lt;&gt; "", FK171 &lt;&gt; 0), (FK171 * FL171 * 100 * (1 - COMIS_OPCION)), 0)) ))</f>
        <v>0</v>
      </c>
      <c r="FQ171" s="938"/>
      <c r="FR171" s="938"/>
      <c r="FS171" s="938"/>
      <c r="FT171" s="938"/>
      <c r="FU171" s="938"/>
      <c r="FV171" s="938"/>
      <c r="FW171" s="938"/>
      <c r="FX171" s="969"/>
      <c r="FY171" s="341"/>
      <c r="FZ171" s="341"/>
      <c r="GA171" s="341"/>
      <c r="GB171" s="495">
        <v>0</v>
      </c>
      <c r="GC171" s="495">
        <v>0</v>
      </c>
      <c r="GD171" s="500"/>
      <c r="GE171" s="495">
        <v>0</v>
      </c>
      <c r="GF171" s="495">
        <v>0</v>
      </c>
      <c r="GG171" s="495">
        <v>0</v>
      </c>
      <c r="GH171" s="359"/>
      <c r="GI171" s="359"/>
      <c r="GJ171" s="501"/>
      <c r="GK171" s="495">
        <v>0</v>
      </c>
      <c r="GL171" s="495">
        <v>0</v>
      </c>
      <c r="GM171" s="495">
        <v>0</v>
      </c>
      <c r="GN171" s="359"/>
      <c r="GO171" s="359"/>
      <c r="GP171" s="501"/>
      <c r="GQ171" s="495">
        <v>0</v>
      </c>
      <c r="GR171" s="375"/>
      <c r="GS171" s="333"/>
      <c r="GT171" s="333"/>
      <c r="GU171" s="333"/>
      <c r="GV171" s="333"/>
      <c r="GW171" s="333"/>
      <c r="GX171" s="333"/>
      <c r="GY171" s="333"/>
      <c r="GZ171" s="333"/>
      <c r="HA171" s="333"/>
      <c r="HB171" s="333"/>
      <c r="HC171" s="333"/>
      <c r="HD171" s="333"/>
      <c r="HE171" s="333"/>
      <c r="HF171" s="333"/>
      <c r="HG171" s="331"/>
      <c r="HH171" s="331"/>
      <c r="HI171" s="331"/>
      <c r="HJ171" s="331"/>
      <c r="HK171" s="331"/>
      <c r="HL171" s="331"/>
      <c r="HM171" s="331"/>
      <c r="HN171" s="333"/>
      <c r="HO171" s="333"/>
      <c r="HP171" s="333"/>
      <c r="HQ171" s="333"/>
      <c r="HR171" s="333"/>
      <c r="HS171" s="333"/>
      <c r="HT171" s="333"/>
      <c r="HU171" s="333"/>
      <c r="HV171" s="333"/>
      <c r="HW171" s="333"/>
      <c r="HX171" s="333"/>
      <c r="HY171" s="333"/>
      <c r="HZ171" s="333"/>
      <c r="IA171" s="333"/>
      <c r="IB171" s="333"/>
      <c r="IC171" s="333"/>
      <c r="ID171" s="55"/>
      <c r="IE171" s="47"/>
    </row>
    <row r="172" spans="13:239" s="142" customFormat="1" ht="15" customHeight="1" thickBot="1">
      <c r="M172" s="333"/>
      <c r="N172" s="333"/>
      <c r="O172" s="333"/>
      <c r="P172" s="333"/>
      <c r="Q172" s="333"/>
      <c r="R172" s="333"/>
      <c r="S172" s="333"/>
      <c r="T172" s="333"/>
      <c r="U172" s="333"/>
      <c r="V172" s="333"/>
      <c r="W172" s="333"/>
      <c r="X172" s="333"/>
      <c r="Y172" s="333"/>
      <c r="Z172" s="333"/>
      <c r="AA172" s="333"/>
      <c r="AB172" s="333"/>
      <c r="AC172" s="333"/>
      <c r="AD172" s="333"/>
      <c r="AE172" s="333"/>
      <c r="AF172" s="333"/>
      <c r="AG172" s="333"/>
      <c r="AH172" s="333"/>
      <c r="AI172" s="333"/>
      <c r="AJ172" s="333"/>
      <c r="AK172" s="333"/>
      <c r="AL172" s="333"/>
      <c r="AM172" s="333"/>
      <c r="AN172" s="333"/>
      <c r="AO172" s="333"/>
      <c r="AP172" s="333"/>
      <c r="AQ172" s="333"/>
      <c r="AR172" s="333"/>
      <c r="AS172" s="333"/>
      <c r="AT172" s="333"/>
      <c r="AU172" s="333"/>
      <c r="AV172" s="333"/>
      <c r="AW172" s="333"/>
      <c r="AX172" s="333"/>
      <c r="AY172" s="333"/>
      <c r="AZ172" s="333"/>
      <c r="BA172" s="333"/>
      <c r="BB172" s="333"/>
      <c r="BC172" s="333"/>
      <c r="BD172" s="333"/>
      <c r="BE172" s="333"/>
      <c r="BF172" s="333"/>
      <c r="BG172" s="333"/>
      <c r="BH172" s="333"/>
      <c r="BI172" s="333"/>
      <c r="BJ172" s="333"/>
      <c r="BK172" s="333"/>
      <c r="BL172" s="333"/>
      <c r="BM172" s="333"/>
      <c r="BN172" s="333"/>
      <c r="BO172" s="333"/>
      <c r="BP172" s="333"/>
      <c r="BQ172" s="333"/>
      <c r="BR172" s="333"/>
      <c r="BS172" s="333"/>
      <c r="BT172" s="333"/>
      <c r="BU172" s="333"/>
      <c r="BV172" s="333"/>
      <c r="BW172" s="333"/>
      <c r="BX172" s="333"/>
      <c r="BY172" s="333"/>
      <c r="BZ172" s="333"/>
      <c r="CA172" s="333"/>
      <c r="CB172" s="333"/>
      <c r="CC172" s="333"/>
      <c r="CD172" s="333"/>
      <c r="CE172" s="333"/>
      <c r="CF172" s="333"/>
      <c r="CG172" s="333"/>
      <c r="CH172" s="333"/>
      <c r="CI172" s="333"/>
      <c r="CJ172" s="333"/>
      <c r="CK172" s="333"/>
      <c r="CL172" s="333"/>
      <c r="CM172" s="333"/>
      <c r="CN172" s="333"/>
      <c r="CO172" s="333"/>
      <c r="CP172" s="333"/>
      <c r="CQ172" s="333"/>
      <c r="CR172" s="333"/>
      <c r="CS172" s="333"/>
      <c r="CT172" s="333"/>
      <c r="CU172" s="333"/>
      <c r="CV172" s="333"/>
      <c r="CW172" s="333"/>
      <c r="CX172" s="333"/>
      <c r="CY172" s="333"/>
      <c r="CZ172" s="333"/>
      <c r="DA172" s="333"/>
      <c r="DB172" s="333"/>
      <c r="DC172" s="333"/>
      <c r="DD172" s="333"/>
      <c r="DE172" s="333"/>
      <c r="DF172" s="333"/>
      <c r="DG172" s="333"/>
      <c r="DH172" s="333"/>
      <c r="DI172" s="333"/>
      <c r="DJ172" s="333"/>
      <c r="DK172" s="333"/>
      <c r="DL172" s="333"/>
      <c r="DM172" s="333"/>
      <c r="DN172" s="333"/>
      <c r="DO172" s="333"/>
      <c r="DP172" s="333"/>
      <c r="DQ172" s="333"/>
      <c r="DR172" s="333"/>
      <c r="DS172" s="333"/>
      <c r="DT172" s="333"/>
      <c r="DU172" s="375"/>
      <c r="DV172" s="375"/>
      <c r="DW172" s="375"/>
      <c r="DX172" s="375"/>
      <c r="DY172" s="375"/>
      <c r="DZ172" s="375"/>
      <c r="EA172" s="375"/>
      <c r="EB172" s="375"/>
      <c r="EC172" s="359"/>
      <c r="ED172" s="359"/>
      <c r="EE172" s="359"/>
      <c r="EF172" s="359"/>
      <c r="EG172" s="359"/>
      <c r="EH172" s="359"/>
      <c r="EI172" s="359"/>
      <c r="EJ172" s="373"/>
      <c r="EK172" s="373"/>
      <c r="EL172" s="366"/>
      <c r="EM172" s="366"/>
      <c r="EN172" s="364"/>
      <c r="EO172" s="363"/>
      <c r="EP172" s="340"/>
      <c r="EQ172" s="340"/>
      <c r="ER172" s="340"/>
      <c r="ES172" s="363"/>
      <c r="ET172" s="363"/>
      <c r="EU172" s="340"/>
      <c r="EV172" s="340"/>
      <c r="EW172" s="340"/>
      <c r="EX172" s="340"/>
      <c r="EY172" s="340"/>
      <c r="EZ172" s="340"/>
      <c r="FA172" s="340"/>
      <c r="FB172" s="402"/>
      <c r="FC172" s="402"/>
      <c r="FD172" s="340"/>
      <c r="FE172" s="340"/>
      <c r="FF172" s="340"/>
      <c r="FG172" s="364"/>
      <c r="FH172" s="364"/>
      <c r="FI172" s="363"/>
      <c r="FJ172" s="360"/>
      <c r="FK172" s="360"/>
      <c r="FL172" s="340"/>
      <c r="FM172" s="967"/>
      <c r="FN172" s="967"/>
      <c r="FO172" s="967"/>
      <c r="FP172" s="968"/>
      <c r="FQ172" s="968"/>
      <c r="FR172" s="968"/>
      <c r="FS172" s="968"/>
      <c r="FT172" s="968"/>
      <c r="FU172" s="968"/>
      <c r="FV172" s="968"/>
      <c r="FW172" s="968"/>
      <c r="FX172" s="968"/>
      <c r="FY172" s="341"/>
      <c r="FZ172" s="341"/>
      <c r="GA172" s="341"/>
      <c r="GB172" s="495">
        <v>0</v>
      </c>
      <c r="GC172" s="495">
        <v>0</v>
      </c>
      <c r="GD172" s="500"/>
      <c r="GE172" s="495">
        <v>0</v>
      </c>
      <c r="GF172" s="495">
        <v>0</v>
      </c>
      <c r="GG172" s="495">
        <v>0</v>
      </c>
      <c r="GH172" s="359"/>
      <c r="GI172" s="359"/>
      <c r="GJ172" s="501"/>
      <c r="GK172" s="495">
        <v>0</v>
      </c>
      <c r="GL172" s="495">
        <v>0</v>
      </c>
      <c r="GM172" s="495">
        <v>0</v>
      </c>
      <c r="GN172" s="359"/>
      <c r="GO172" s="359"/>
      <c r="GP172" s="501"/>
      <c r="GQ172" s="495">
        <v>0</v>
      </c>
      <c r="GR172" s="375"/>
      <c r="GS172" s="333"/>
      <c r="GT172" s="333"/>
      <c r="GU172" s="333"/>
      <c r="GV172" s="333"/>
      <c r="GW172" s="333"/>
      <c r="GX172" s="333"/>
      <c r="GY172" s="333"/>
      <c r="GZ172" s="333"/>
      <c r="HA172" s="333"/>
      <c r="HB172" s="333"/>
      <c r="HC172" s="333"/>
      <c r="HD172" s="333"/>
      <c r="HE172" s="333"/>
      <c r="HF172" s="333"/>
      <c r="HG172" s="331"/>
      <c r="HH172" s="331"/>
      <c r="HI172" s="331"/>
      <c r="HJ172" s="331"/>
      <c r="HK172" s="331"/>
      <c r="HL172" s="331"/>
      <c r="HM172" s="331"/>
      <c r="HN172" s="333"/>
      <c r="HO172" s="333"/>
      <c r="HP172" s="333"/>
      <c r="HQ172" s="333"/>
      <c r="HR172" s="333"/>
      <c r="HS172" s="333"/>
      <c r="HT172" s="333"/>
      <c r="HU172" s="333"/>
      <c r="HV172" s="333"/>
      <c r="HW172" s="333"/>
      <c r="HX172" s="333"/>
      <c r="HY172" s="333"/>
      <c r="HZ172" s="333"/>
      <c r="IA172" s="333"/>
      <c r="IB172" s="333"/>
      <c r="IC172" s="333"/>
      <c r="ID172" s="55"/>
      <c r="IE172" s="47"/>
    </row>
    <row r="173" spans="13:239" s="142" customFormat="1" ht="15" customHeight="1">
      <c r="M173" s="333"/>
      <c r="N173" s="333"/>
      <c r="O173" s="333"/>
      <c r="P173" s="333"/>
      <c r="Q173" s="333"/>
      <c r="R173" s="333"/>
      <c r="S173" s="333"/>
      <c r="T173" s="333"/>
      <c r="U173" s="333"/>
      <c r="V173" s="333"/>
      <c r="W173" s="333"/>
      <c r="X173" s="333"/>
      <c r="Y173" s="333"/>
      <c r="Z173" s="333"/>
      <c r="AA173" s="333"/>
      <c r="AB173" s="333"/>
      <c r="AC173" s="333"/>
      <c r="AD173" s="333"/>
      <c r="AE173" s="333"/>
      <c r="AF173" s="333"/>
      <c r="AG173" s="333"/>
      <c r="AH173" s="333"/>
      <c r="AI173" s="333"/>
      <c r="AJ173" s="333"/>
      <c r="AK173" s="333"/>
      <c r="AL173" s="333"/>
      <c r="AM173" s="333"/>
      <c r="AN173" s="333"/>
      <c r="AO173" s="333"/>
      <c r="AP173" s="333"/>
      <c r="AQ173" s="333"/>
      <c r="AR173" s="333"/>
      <c r="AS173" s="333"/>
      <c r="AT173" s="333"/>
      <c r="AU173" s="333"/>
      <c r="AV173" s="333"/>
      <c r="AW173" s="333"/>
      <c r="AX173" s="333"/>
      <c r="AY173" s="333"/>
      <c r="AZ173" s="333"/>
      <c r="BA173" s="333"/>
      <c r="BB173" s="333"/>
      <c r="BC173" s="333"/>
      <c r="BD173" s="333"/>
      <c r="BE173" s="333"/>
      <c r="BF173" s="333"/>
      <c r="BG173" s="333"/>
      <c r="BH173" s="333"/>
      <c r="BI173" s="333"/>
      <c r="BJ173" s="333"/>
      <c r="BK173" s="333"/>
      <c r="BL173" s="333"/>
      <c r="BM173" s="333"/>
      <c r="BN173" s="333"/>
      <c r="BO173" s="333"/>
      <c r="BP173" s="333"/>
      <c r="BQ173" s="333"/>
      <c r="BR173" s="333"/>
      <c r="BS173" s="333"/>
      <c r="BT173" s="333"/>
      <c r="BU173" s="333"/>
      <c r="BV173" s="333"/>
      <c r="BW173" s="333"/>
      <c r="BX173" s="333"/>
      <c r="BY173" s="333"/>
      <c r="BZ173" s="333"/>
      <c r="CA173" s="333"/>
      <c r="CB173" s="333"/>
      <c r="CC173" s="333"/>
      <c r="CD173" s="333"/>
      <c r="CE173" s="333"/>
      <c r="CF173" s="333"/>
      <c r="CG173" s="333"/>
      <c r="CH173" s="333"/>
      <c r="CI173" s="333"/>
      <c r="CJ173" s="333"/>
      <c r="CK173" s="333"/>
      <c r="CL173" s="333"/>
      <c r="CM173" s="333"/>
      <c r="CN173" s="333"/>
      <c r="CO173" s="333"/>
      <c r="CP173" s="333"/>
      <c r="CQ173" s="333"/>
      <c r="CR173" s="333"/>
      <c r="CS173" s="333"/>
      <c r="CT173" s="333"/>
      <c r="CU173" s="333"/>
      <c r="CV173" s="333"/>
      <c r="CW173" s="333"/>
      <c r="CX173" s="333"/>
      <c r="CY173" s="333"/>
      <c r="CZ173" s="333"/>
      <c r="DA173" s="333"/>
      <c r="DB173" s="333"/>
      <c r="DC173" s="333"/>
      <c r="DD173" s="333"/>
      <c r="DE173" s="333"/>
      <c r="DF173" s="333"/>
      <c r="DG173" s="333"/>
      <c r="DH173" s="333"/>
      <c r="DI173" s="333"/>
      <c r="DJ173" s="333"/>
      <c r="DK173" s="333"/>
      <c r="DL173" s="333"/>
      <c r="DM173" s="333"/>
      <c r="DN173" s="333"/>
      <c r="DO173" s="333"/>
      <c r="DP173" s="333"/>
      <c r="DQ173" s="333"/>
      <c r="DR173" s="333"/>
      <c r="DS173" s="333"/>
      <c r="DT173" s="333"/>
      <c r="DU173" s="375"/>
      <c r="DV173" s="375"/>
      <c r="DW173" s="375"/>
      <c r="DX173" s="375"/>
      <c r="DY173" s="375"/>
      <c r="DZ173" s="375"/>
      <c r="EA173" s="375"/>
      <c r="EB173" s="375"/>
      <c r="EC173" s="359"/>
      <c r="ED173" s="359"/>
      <c r="EE173" s="359"/>
      <c r="EF173" s="359"/>
      <c r="EG173" s="359"/>
      <c r="EH173" s="359"/>
      <c r="EI173" s="359"/>
      <c r="EJ173" s="373"/>
      <c r="EK173" s="373"/>
      <c r="EL173" s="366"/>
      <c r="EM173" s="366"/>
      <c r="EN173" s="364">
        <f>+EN167+1</f>
        <v>21</v>
      </c>
      <c r="EO173" s="356">
        <f>+VLOOKUP(EN173, PRECIOS_EJERCICIOS,  2,FALSE)</f>
        <v>260</v>
      </c>
      <c r="EP173" s="513" t="str">
        <f>+IF($AQ$49 = FALSE, "",
IF(VLOOKUP(EO173, basesCantPrimaBrutoRes, 2,FALSE) &gt;= 0, VLOOKUP(EO173, basesCantPrimaBrutoRes, 2,FALSE), 0))</f>
        <v/>
      </c>
      <c r="EQ173" s="514" t="str">
        <f>+IF($AQ$49 = FALSE, "",
IF(VLOOKUP(EO173, basesCantPrimaBrutoRes, 2,FALSE) &lt; 0, -VLOOKUP(EO173, basesCantPrimaBrutoRes, 2,FALSE), 0))</f>
        <v/>
      </c>
      <c r="ER173" s="521" t="str">
        <f>IF($AQ$49 = FALSE, "",
VLOOKUP(EO173, basesCantPrimaBrutoRes, 4,FALSE))</f>
        <v/>
      </c>
      <c r="ES173" s="926">
        <f>IF(ER173 = "", 0,
IF(AND(EP173 &gt; 0, EQ173 &gt;0), 0, IF(EO173 &lt;&gt; $Z$1,
IF(AND(EP173 &lt;&gt; "", EP173 &lt;&gt; 0), -(EP173 * ER173 * 100),
IF(AND(EQ173 &lt;&gt; "", EQ173 &lt;&gt; 0), (EQ173 * ER173 * 100), 0)),
IF(AND(EP173 &lt;&gt; "", EP173 &lt;&gt; 0), -(EP173 * ER173 * 1),
IF(AND(EQ173 &lt;&gt; "", EQ173 &lt;&gt; 0), (EQ173 * ER173 * 1), 0))  )))</f>
        <v>0</v>
      </c>
      <c r="ET173" s="927"/>
      <c r="EU173" s="928"/>
      <c r="EV173" s="926">
        <f>IF(ER173 = "", 0,
IF(AND(EP173 &gt; 0, EQ173 &gt;0), 0,  IF(EO173 &lt;&gt; $Z$1,
IF(AND(EP173 &lt;&gt; "", EP173 &lt;&gt; 0), -(EP173 * ER173 * 100 * (1 + COMIS_OPCION)),
IF(AND(EQ173 &lt;&gt; "", EQ173 &lt;&gt; 0), (EQ173 * ER173 * 100 * (1 - COMIS_OPCION)), 0)),
IF(AND(EP173 &lt;&gt; "", EP173 &lt;&gt; 0), -(EP173 * ER173 * 1 * (1 + COMIS_ACCION)),
IF(AND(EQ173 &lt;&gt; "", EQ173 &lt;&gt; 0), (EQ173 * ER173 * 1 * (1 - COMIS_ACCION)), 0))  )))</f>
        <v>0</v>
      </c>
      <c r="EW173" s="927"/>
      <c r="EX173" s="927"/>
      <c r="EY173" s="927"/>
      <c r="EZ173" s="927"/>
      <c r="FA173" s="927"/>
      <c r="FB173" s="927"/>
      <c r="FC173" s="927"/>
      <c r="FD173" s="929"/>
      <c r="FE173" s="340"/>
      <c r="FF173" s="340"/>
      <c r="FG173" s="364"/>
      <c r="FH173" s="364">
        <f>+FH167+1</f>
        <v>21</v>
      </c>
      <c r="FI173" s="357">
        <f>+VLOOKUP(FH173, PRECIOS_EJERCICIOS,  2,FALSE)</f>
        <v>260</v>
      </c>
      <c r="FJ173" s="515" t="str">
        <f>+IF($AQ$49 = FALSE, "",
IF(VLOOKUP(EO173, basesCantPrimaBrutoRes, 5,FALSE) &gt;= 0, VLOOKUP(EO173, basesCantPrimaBrutoRes, 5,FALSE), 0))</f>
        <v/>
      </c>
      <c r="FK173" s="516" t="str">
        <f>+IF($AQ$49 = FALSE, "",
IF(VLOOKUP(EO173, basesCantPrimaBrutoRes, 5,FALSE) &lt; 0, -VLOOKUP(EO173, basesCantPrimaBrutoRes, 5,FALSE), 0))</f>
        <v/>
      </c>
      <c r="FL173" s="517" t="str">
        <f>IF($AQ$49 = FALSE, "",
VLOOKUP(EO173, basesCantPrimaBrutoRes, 7,FALSE))</f>
        <v/>
      </c>
      <c r="FM173" s="934">
        <f>IF(FL173 = "", 0,
IF(AND(FJ173 &gt; 0, FK173 &gt;0), 0,
IF(AND(FJ173 &lt;&gt; "", FJ173 &lt;&gt; 0), -(FJ173 * FL173 * 100),
IF(AND(FK173 &lt;&gt; "", FK173 &lt;&gt; 0), (FK173 * FL173 * 100), 0)) ))</f>
        <v>0</v>
      </c>
      <c r="FN173" s="935"/>
      <c r="FO173" s="936"/>
      <c r="FP173" s="934">
        <f>IF(FL173 = "", 0,
IF(AND(FJ173 &gt; 0, FK173 &gt;0), 0,
IF(AND(FJ173 &lt;&gt; "", FJ173 &lt;&gt; 0), -(FJ173 * FL173 * 100 * (1 + COMIS_OPCION)),
IF(AND(FK173 &lt;&gt; "", FK173 &lt;&gt; 0), (FK173 * FL173 * 100 * (1 - COMIS_OPCION)), 0)) ))</f>
        <v>0</v>
      </c>
      <c r="FQ173" s="935"/>
      <c r="FR173" s="935"/>
      <c r="FS173" s="935"/>
      <c r="FT173" s="935"/>
      <c r="FU173" s="935"/>
      <c r="FV173" s="935"/>
      <c r="FW173" s="935"/>
      <c r="FX173" s="966"/>
      <c r="FY173" s="341"/>
      <c r="FZ173" s="341"/>
      <c r="GA173" s="341"/>
      <c r="GB173" s="495">
        <f>+IF(EN173 = "", "", EO173)</f>
        <v>260</v>
      </c>
      <c r="GC173" s="495" t="str">
        <f>+IF(GB173="", "", IF(EO173 = $Z$1, "ACCION", "CALL"))</f>
        <v>CALL</v>
      </c>
      <c r="GD173" s="500"/>
      <c r="GE173" s="495">
        <f>+IF(GB173= "", "", EO175)</f>
        <v>0</v>
      </c>
      <c r="GF173" s="495">
        <f>+IF(GB173 = "", "", IFERROR(IF(GB173 &lt;&gt; $Z$1,
IF(GE173 &gt; 0, SUMIFS(ES173:ES177, EP173:EP177, "&gt;0", ES173:ES177, "&lt;&gt;0") / SUMIFS(EP173:EP177, EP173:EP177, "&gt;0", ES173:ES177, "&lt;&gt;0") / -100,
IF(GE173 &lt; 0, SUMIFS(ES173:ES177, EQ173:EQ177, "&gt;0", ES173:ES177, "&lt;&gt;0") / SUMIFS(EQ173:EQ177, EQ173:EQ177, "&gt;0", ES173:ES177, "&lt;&gt;0") / 100, 0)),
IF(GE173 &gt; 0, SUMIFS(ES173:ES177, EP173:EP177, "&gt;0", ES173:ES177, "&lt;&gt;0") / SUMIFS(EP173:EP177, EP173:EP177, "&gt;0", ES173:ES177, "&lt;&gt;0") / -1,
IF(GE173 &lt; 0, SUMIFS(ES173:ES177, EQ173:EQ177, "&gt;0", ES173:ES177, "&lt;&gt;0") / SUMIFS(EQ173:EQ177, EQ173:EQ177, "&gt;0", ES173:ES177, "&lt;&gt;0") / 1, 0)) ), 0))</f>
        <v>0</v>
      </c>
      <c r="GG173" s="495">
        <f>+IF(GB173 = "", "", IFERROR(IF(GB173 &lt;&gt; $Z$1,
IF(GE173 &gt; 0, SUMIFS(EV173:EV177, EP173:EP177, "&gt;0", EV173:EV177, "&lt;&gt;0") / SUMIFS(EP173:EP177, EP173:EP177, "&gt;0", EV173:EV177, "&lt;&gt;0") / -100,
IF(GE173 &lt; 0, SUMIFS(EV173:EV177, EQ173:EQ177, "&gt;0", EV173:EV177, "&lt;&gt;0") / SUMIFS(EQ173:EQ177, EQ173:EQ177, "&gt;0", EV173:EV177, "&lt;&gt;0") / 100, 0)),
IF(GE173 &gt; 0, SUMIFS(EV173:EV177, EP173:EP177, "&gt;0", EV173:EV177, "&lt;&gt;0") / SUMIFS(EP173:EP177, EP173:EP177, "&gt;0", EV173:EV177, "&lt;&gt;0") / -1,
IF(GE173 &lt; 0, SUMIFS(EV173:EV177, EQ173:EQ177, "&gt;0", EV173:EV177, "&lt;&gt;0") / SUMIFS(EQ173:EQ177, EQ173:EQ177, "&gt;0", EV173:EV177, "&lt;&gt;0") / 1, 0)) ), 0))</f>
        <v>0</v>
      </c>
      <c r="GH173" s="359"/>
      <c r="GI173" s="359"/>
      <c r="GJ173" s="501"/>
      <c r="GK173" s="495" t="str">
        <f>+IF(GB173="", "", "PUT")</f>
        <v>PUT</v>
      </c>
      <c r="GL173" s="495">
        <f>+IF(GB173 = "", "", FI175)</f>
        <v>0</v>
      </c>
      <c r="GM173" s="495">
        <f>+IF(GB173 = "", "", IFERROR(
IF(FI175 &gt; 0, SUMIFS(FM173:FM177, FJ173:FJ177, "&gt;0", FM173:FM177, "&lt;&gt;0") / SUMIFS(FJ173:FJ177, FJ173:FJ177, "&gt;0", FM173:FM177, "&lt;&gt;0") / -100,
IF(FI175 &lt; 0, SUMIFS(FM173:FM177, FK173:FK177, "&gt;0", FM173:FM177, "&lt;&gt;0") / SUMIFS(FK173:FK177, FK173:FK177, "&gt;0", FM173:FM177, "&lt;&gt;0") / 100, 0)), 0) )</f>
        <v>0</v>
      </c>
      <c r="GN173" s="359"/>
      <c r="GO173" s="359"/>
      <c r="GP173" s="501"/>
      <c r="GQ173" s="502">
        <f>+IF(GB173 = "", "", IFERROR(
IF(FI175 &gt; 0, SUMIFS(FP173:FP177, FJ173:FJ177, "&gt;0", FP173:FP177, "&lt;&gt;0") / SUMIFS(FJ173:FJ177, FJ173:FJ177, "&gt;0", FP173:FP177, "&lt;&gt;0") / -100,
IF(FI175 &lt; 0, SUMIFS(FP173:FP177, FK173:FK177, "&gt;0", FP173:FP177, "&lt;&gt;0") / SUMIFS(FK173:FK177, FK173:FK177, "&gt;0", FP173:FP177, "&lt;&gt;0") / 100, 0)), 0))</f>
        <v>0</v>
      </c>
      <c r="GR173" s="375"/>
      <c r="GS173" s="333"/>
      <c r="GT173" s="333"/>
      <c r="GU173" s="333"/>
      <c r="GV173" s="333"/>
      <c r="GW173" s="333"/>
      <c r="GX173" s="333"/>
      <c r="GY173" s="333"/>
      <c r="GZ173" s="333"/>
      <c r="HA173" s="333"/>
      <c r="HB173" s="333"/>
      <c r="HC173" s="333"/>
      <c r="HD173" s="333"/>
      <c r="HE173" s="333"/>
      <c r="HF173" s="333"/>
      <c r="HG173" s="331"/>
      <c r="HH173" s="331"/>
      <c r="HI173" s="331"/>
      <c r="HJ173" s="331"/>
      <c r="HK173" s="331"/>
      <c r="HL173" s="331"/>
      <c r="HM173" s="331"/>
      <c r="HN173" s="333"/>
      <c r="HO173" s="333"/>
      <c r="HP173" s="333"/>
      <c r="HQ173" s="333"/>
      <c r="HR173" s="333"/>
      <c r="HS173" s="333"/>
      <c r="HT173" s="333"/>
      <c r="HU173" s="333"/>
      <c r="HV173" s="333"/>
      <c r="HW173" s="333"/>
      <c r="HX173" s="333"/>
      <c r="HY173" s="333"/>
      <c r="HZ173" s="333"/>
      <c r="IA173" s="333"/>
      <c r="IB173" s="333"/>
      <c r="IC173" s="333"/>
      <c r="ID173" s="55"/>
      <c r="IE173" s="47"/>
    </row>
    <row r="174" spans="13:239" s="142" customFormat="1" ht="15" customHeight="1">
      <c r="M174" s="333"/>
      <c r="N174" s="333"/>
      <c r="O174" s="333"/>
      <c r="P174" s="333"/>
      <c r="Q174" s="333"/>
      <c r="R174" s="333"/>
      <c r="S174" s="333"/>
      <c r="T174" s="333"/>
      <c r="U174" s="333"/>
      <c r="V174" s="333"/>
      <c r="W174" s="333"/>
      <c r="X174" s="333"/>
      <c r="Y174" s="333"/>
      <c r="Z174" s="333"/>
      <c r="AA174" s="333"/>
      <c r="AB174" s="333"/>
      <c r="AC174" s="333"/>
      <c r="AD174" s="333"/>
      <c r="AE174" s="333"/>
      <c r="AF174" s="333"/>
      <c r="AG174" s="333"/>
      <c r="AH174" s="333"/>
      <c r="AI174" s="333"/>
      <c r="AJ174" s="333"/>
      <c r="AK174" s="333"/>
      <c r="AL174" s="333"/>
      <c r="AM174" s="333"/>
      <c r="AN174" s="333"/>
      <c r="AO174" s="333"/>
      <c r="AP174" s="333"/>
      <c r="AQ174" s="333"/>
      <c r="AR174" s="333"/>
      <c r="AS174" s="333"/>
      <c r="AT174" s="333"/>
      <c r="AU174" s="333"/>
      <c r="AV174" s="333"/>
      <c r="AW174" s="333"/>
      <c r="AX174" s="333"/>
      <c r="AY174" s="333"/>
      <c r="AZ174" s="333"/>
      <c r="BA174" s="333"/>
      <c r="BB174" s="333"/>
      <c r="BC174" s="333"/>
      <c r="BD174" s="333"/>
      <c r="BE174" s="333"/>
      <c r="BF174" s="333"/>
      <c r="BG174" s="333"/>
      <c r="BH174" s="333"/>
      <c r="BI174" s="333"/>
      <c r="BJ174" s="333"/>
      <c r="BK174" s="333"/>
      <c r="BL174" s="333"/>
      <c r="BM174" s="333"/>
      <c r="BN174" s="333"/>
      <c r="BO174" s="333"/>
      <c r="BP174" s="333"/>
      <c r="BQ174" s="333"/>
      <c r="BR174" s="333"/>
      <c r="BS174" s="333"/>
      <c r="BT174" s="333"/>
      <c r="BU174" s="333"/>
      <c r="BV174" s="333"/>
      <c r="BW174" s="333"/>
      <c r="BX174" s="333"/>
      <c r="BY174" s="333"/>
      <c r="BZ174" s="333"/>
      <c r="CA174" s="333"/>
      <c r="CB174" s="333"/>
      <c r="CC174" s="333"/>
      <c r="CD174" s="333"/>
      <c r="CE174" s="333"/>
      <c r="CF174" s="333"/>
      <c r="CG174" s="333"/>
      <c r="CH174" s="333"/>
      <c r="CI174" s="333"/>
      <c r="CJ174" s="333"/>
      <c r="CK174" s="333"/>
      <c r="CL174" s="333"/>
      <c r="CM174" s="333"/>
      <c r="CN174" s="333"/>
      <c r="CO174" s="333"/>
      <c r="CP174" s="333"/>
      <c r="CQ174" s="333"/>
      <c r="CR174" s="333"/>
      <c r="CS174" s="333"/>
      <c r="CT174" s="333"/>
      <c r="CU174" s="333"/>
      <c r="CV174" s="333"/>
      <c r="CW174" s="333"/>
      <c r="CX174" s="333"/>
      <c r="CY174" s="333"/>
      <c r="CZ174" s="333"/>
      <c r="DA174" s="333"/>
      <c r="DB174" s="333"/>
      <c r="DC174" s="333"/>
      <c r="DD174" s="333"/>
      <c r="DE174" s="333"/>
      <c r="DF174" s="333"/>
      <c r="DG174" s="333"/>
      <c r="DH174" s="333"/>
      <c r="DI174" s="333"/>
      <c r="DJ174" s="333"/>
      <c r="DK174" s="333"/>
      <c r="DL174" s="333"/>
      <c r="DM174" s="333"/>
      <c r="DN174" s="333"/>
      <c r="DO174" s="333"/>
      <c r="DP174" s="333"/>
      <c r="DQ174" s="333"/>
      <c r="DR174" s="333"/>
      <c r="DS174" s="333"/>
      <c r="DT174" s="333"/>
      <c r="DU174" s="375"/>
      <c r="DV174" s="375"/>
      <c r="DW174" s="375"/>
      <c r="DX174" s="375"/>
      <c r="DY174" s="375"/>
      <c r="DZ174" s="375"/>
      <c r="EA174" s="375"/>
      <c r="EB174" s="375"/>
      <c r="EC174" s="359"/>
      <c r="ED174" s="359"/>
      <c r="EE174" s="359"/>
      <c r="EF174" s="359"/>
      <c r="EG174" s="359"/>
      <c r="EH174" s="359"/>
      <c r="EI174" s="359"/>
      <c r="EJ174" s="373"/>
      <c r="EK174" s="373"/>
      <c r="EL174" s="366"/>
      <c r="EM174" s="366"/>
      <c r="EN174" s="364"/>
      <c r="EO174" s="351"/>
      <c r="EP174" s="347"/>
      <c r="EQ174" s="342"/>
      <c r="ER174" s="522"/>
      <c r="ES174" s="916">
        <f>IF(ER174 = "", 0,
IF(AND(EP174 &gt; 0, EQ174 &gt;0), 0, IF(EO173 &lt;&gt; $Z$1,
IF(AND(EP174 &lt;&gt; "", EP174 &lt;&gt; 0), -(EP174 * ER174 * 100),
IF(AND(EQ174 &lt;&gt; "", EQ174 &lt;&gt; 0), (EQ174 * ER174 * 100), 0)),
IF(AND(EP174 &lt;&gt; "", EP174 &lt;&gt; 0), -(EP174 * ER174 * 1),
IF(AND(EQ174 &lt;&gt; "", EQ174 &lt;&gt; 0), (EQ174 * ER174 * 1), 0))  )))</f>
        <v>0</v>
      </c>
      <c r="ET174" s="917"/>
      <c r="EU174" s="918"/>
      <c r="EV174" s="916">
        <f>IF(ER174 = "", 0,
IF(AND(EP174 &gt; 0, EQ174 &gt;0), 0,  IF(EO173 &lt;&gt; $Z$1,
IF(AND(EP174 &lt;&gt; "", EP174 &lt;&gt; 0), -(EP174 * ER174 * 100 * (1 + COMIS_OPCION)),
IF(AND(EQ174 &lt;&gt; "", EQ174 &lt;&gt; 0), (EQ174 * ER174 * 100 * (1 - COMIS_OPCION)), 0)),
IF(AND(EP174 &lt;&gt; "", EP174 &lt;&gt; 0), -(EP174 * ER174 * 1 * (1 + COMIS_ACCION)),
IF(AND(EQ174 &lt;&gt; "", EQ174 &lt;&gt; 0), (EQ174 * ER174 * 1 * (1 - COMIS_ACCION)), 0))  )))</f>
        <v>0</v>
      </c>
      <c r="EW174" s="917"/>
      <c r="EX174" s="917"/>
      <c r="EY174" s="917"/>
      <c r="EZ174" s="917"/>
      <c r="FA174" s="917"/>
      <c r="FB174" s="917"/>
      <c r="FC174" s="917"/>
      <c r="FD174" s="925"/>
      <c r="FE174" s="340"/>
      <c r="FF174" s="340"/>
      <c r="FG174" s="364"/>
      <c r="FH174" s="364"/>
      <c r="FI174" s="339"/>
      <c r="FJ174" s="347"/>
      <c r="FK174" s="342"/>
      <c r="FL174" s="343"/>
      <c r="FM174" s="930">
        <f>IF(FL174 = "", 0,
IF(AND(FJ174 &gt; 0, FK174 &gt;0), 0,
IF(AND(FJ174 &lt;&gt; "", FJ174 &lt;&gt; 0), -(FJ174 * FL174 * 100),
IF(AND(FK174 &lt;&gt; "", FK174 &lt;&gt; 0), (FK174 * FL174 * 100), 0)) ))</f>
        <v>0</v>
      </c>
      <c r="FN174" s="931"/>
      <c r="FO174" s="932"/>
      <c r="FP174" s="930">
        <f>IF(FL174 = "", 0,
IF(AND(FJ174 &gt; 0, FK174 &gt;0), 0,
IF(AND(FJ174 &lt;&gt; "", FJ174 &lt;&gt; 0), -(FJ174 * FL174 * 100 * (1 + COMIS_OPCION)),
IF(AND(FK174 &lt;&gt; "", FK174 &lt;&gt; 0), (FK174 * FL174 * 100 * (1 - COMIS_OPCION)), 0)) ))</f>
        <v>0</v>
      </c>
      <c r="FQ174" s="931"/>
      <c r="FR174" s="931"/>
      <c r="FS174" s="931"/>
      <c r="FT174" s="931"/>
      <c r="FU174" s="931"/>
      <c r="FV174" s="931"/>
      <c r="FW174" s="931"/>
      <c r="FX174" s="933"/>
      <c r="FY174" s="341"/>
      <c r="FZ174" s="341"/>
      <c r="GA174" s="341"/>
      <c r="GB174" s="495">
        <v>0</v>
      </c>
      <c r="GC174" s="495">
        <v>0</v>
      </c>
      <c r="GD174" s="500"/>
      <c r="GE174" s="495">
        <v>0</v>
      </c>
      <c r="GF174" s="495">
        <v>0</v>
      </c>
      <c r="GG174" s="495">
        <v>0</v>
      </c>
      <c r="GH174" s="359"/>
      <c r="GI174" s="359"/>
      <c r="GJ174" s="501"/>
      <c r="GK174" s="495">
        <v>0</v>
      </c>
      <c r="GL174" s="495">
        <v>0</v>
      </c>
      <c r="GM174" s="495">
        <v>0</v>
      </c>
      <c r="GN174" s="359"/>
      <c r="GO174" s="359"/>
      <c r="GP174" s="501"/>
      <c r="GQ174" s="495">
        <v>0</v>
      </c>
      <c r="GR174" s="375"/>
      <c r="GS174" s="333"/>
      <c r="GT174" s="333"/>
      <c r="GU174" s="333"/>
      <c r="GV174" s="333"/>
      <c r="GW174" s="333"/>
      <c r="GX174" s="333"/>
      <c r="GY174" s="333"/>
      <c r="GZ174" s="333"/>
      <c r="HA174" s="333"/>
      <c r="HB174" s="333"/>
      <c r="HC174" s="333"/>
      <c r="HD174" s="333"/>
      <c r="HE174" s="333"/>
      <c r="HF174" s="333"/>
      <c r="HG174" s="331"/>
      <c r="HH174" s="331"/>
      <c r="HI174" s="331"/>
      <c r="HJ174" s="331"/>
      <c r="HK174" s="331"/>
      <c r="HL174" s="331"/>
      <c r="HM174" s="331"/>
      <c r="HN174" s="333"/>
      <c r="HO174" s="333"/>
      <c r="HP174" s="333"/>
      <c r="HQ174" s="333"/>
      <c r="HR174" s="333"/>
      <c r="HS174" s="333"/>
      <c r="HT174" s="333"/>
      <c r="HU174" s="333"/>
      <c r="HV174" s="333"/>
      <c r="HW174" s="333"/>
      <c r="HX174" s="333"/>
      <c r="HY174" s="333"/>
      <c r="HZ174" s="333"/>
      <c r="IA174" s="333"/>
      <c r="IB174" s="333"/>
      <c r="IC174" s="333"/>
      <c r="ID174" s="55"/>
      <c r="IE174" s="47"/>
    </row>
    <row r="175" spans="13:239" s="142" customFormat="1" ht="15" customHeight="1">
      <c r="M175" s="333"/>
      <c r="N175" s="333"/>
      <c r="O175" s="333"/>
      <c r="P175" s="333"/>
      <c r="Q175" s="333"/>
      <c r="R175" s="333"/>
      <c r="S175" s="333"/>
      <c r="T175" s="333"/>
      <c r="U175" s="333"/>
      <c r="V175" s="333"/>
      <c r="W175" s="333"/>
      <c r="X175" s="333"/>
      <c r="Y175" s="333"/>
      <c r="Z175" s="333"/>
      <c r="AA175" s="333"/>
      <c r="AB175" s="333"/>
      <c r="AC175" s="333"/>
      <c r="AD175" s="333"/>
      <c r="AE175" s="333"/>
      <c r="AF175" s="333"/>
      <c r="AG175" s="333"/>
      <c r="AH175" s="333"/>
      <c r="AI175" s="333"/>
      <c r="AJ175" s="333"/>
      <c r="AK175" s="333"/>
      <c r="AL175" s="333"/>
      <c r="AM175" s="333"/>
      <c r="AN175" s="333"/>
      <c r="AO175" s="333"/>
      <c r="AP175" s="333"/>
      <c r="AQ175" s="333"/>
      <c r="AR175" s="333"/>
      <c r="AS175" s="333"/>
      <c r="AT175" s="333"/>
      <c r="AU175" s="333"/>
      <c r="AV175" s="333"/>
      <c r="AW175" s="333"/>
      <c r="AX175" s="333"/>
      <c r="AY175" s="333"/>
      <c r="AZ175" s="333"/>
      <c r="BA175" s="333"/>
      <c r="BB175" s="333"/>
      <c r="BC175" s="333"/>
      <c r="BD175" s="333"/>
      <c r="BE175" s="333"/>
      <c r="BF175" s="333"/>
      <c r="BG175" s="333"/>
      <c r="BH175" s="333"/>
      <c r="BI175" s="333"/>
      <c r="BJ175" s="333"/>
      <c r="BK175" s="333"/>
      <c r="BL175" s="333"/>
      <c r="BM175" s="333"/>
      <c r="BN175" s="333"/>
      <c r="BO175" s="333"/>
      <c r="BP175" s="333"/>
      <c r="BQ175" s="333"/>
      <c r="BR175" s="333"/>
      <c r="BS175" s="333"/>
      <c r="BT175" s="333"/>
      <c r="BU175" s="333"/>
      <c r="BV175" s="333"/>
      <c r="BW175" s="333"/>
      <c r="BX175" s="333"/>
      <c r="BY175" s="333"/>
      <c r="BZ175" s="333"/>
      <c r="CA175" s="333"/>
      <c r="CB175" s="333"/>
      <c r="CC175" s="333"/>
      <c r="CD175" s="333"/>
      <c r="CE175" s="333"/>
      <c r="CF175" s="333"/>
      <c r="CG175" s="333"/>
      <c r="CH175" s="333"/>
      <c r="CI175" s="333"/>
      <c r="CJ175" s="333"/>
      <c r="CK175" s="333"/>
      <c r="CL175" s="333"/>
      <c r="CM175" s="333"/>
      <c r="CN175" s="333"/>
      <c r="CO175" s="333"/>
      <c r="CP175" s="333"/>
      <c r="CQ175" s="333"/>
      <c r="CR175" s="333"/>
      <c r="CS175" s="333"/>
      <c r="CT175" s="333"/>
      <c r="CU175" s="333"/>
      <c r="CV175" s="333"/>
      <c r="CW175" s="333"/>
      <c r="CX175" s="333"/>
      <c r="CY175" s="333"/>
      <c r="CZ175" s="333"/>
      <c r="DA175" s="333"/>
      <c r="DB175" s="333"/>
      <c r="DC175" s="333"/>
      <c r="DD175" s="333"/>
      <c r="DE175" s="333"/>
      <c r="DF175" s="333"/>
      <c r="DG175" s="333"/>
      <c r="DH175" s="333"/>
      <c r="DI175" s="333"/>
      <c r="DJ175" s="333"/>
      <c r="DK175" s="333"/>
      <c r="DL175" s="333"/>
      <c r="DM175" s="333"/>
      <c r="DN175" s="333"/>
      <c r="DO175" s="333"/>
      <c r="DP175" s="333"/>
      <c r="DQ175" s="333"/>
      <c r="DR175" s="333"/>
      <c r="DS175" s="333"/>
      <c r="DT175" s="333"/>
      <c r="DU175" s="375"/>
      <c r="DV175" s="375"/>
      <c r="DW175" s="375"/>
      <c r="DX175" s="375"/>
      <c r="DY175" s="375"/>
      <c r="DZ175" s="375"/>
      <c r="EA175" s="375"/>
      <c r="EB175" s="375"/>
      <c r="EC175" s="359"/>
      <c r="ED175" s="359"/>
      <c r="EE175" s="359"/>
      <c r="EF175" s="359"/>
      <c r="EG175" s="359"/>
      <c r="EH175" s="359"/>
      <c r="EI175" s="359"/>
      <c r="EJ175" s="373"/>
      <c r="EK175" s="373"/>
      <c r="EL175" s="366"/>
      <c r="EM175" s="368"/>
      <c r="EN175" s="364"/>
      <c r="EO175" s="352">
        <f>+SUM(EP173:EP177) - SUM(EQ173:EQ177)</f>
        <v>0</v>
      </c>
      <c r="EP175" s="347"/>
      <c r="EQ175" s="342"/>
      <c r="ER175" s="522"/>
      <c r="ES175" s="916">
        <f>IF(ER175 = "", 0,
IF(AND(EP175 &gt; 0, EQ175 &gt;0), 0, IF(EO173 &lt;&gt; $Z$1,
IF(AND(EP175 &lt;&gt; "", EP175 &lt;&gt; 0), -(EP175 * ER175 * 100),
IF(AND(EQ175 &lt;&gt; "", EQ175 &lt;&gt; 0), (EQ175 * ER175 * 100), 0)),
IF(AND(EP175 &lt;&gt; "", EP175 &lt;&gt; 0), -(EP175 * ER175 * 1),
IF(AND(EQ175 &lt;&gt; "", EQ175 &lt;&gt; 0), (EQ175 * ER175 * 1), 0))  )))</f>
        <v>0</v>
      </c>
      <c r="ET175" s="917"/>
      <c r="EU175" s="918"/>
      <c r="EV175" s="916">
        <f>IF(ER175 = "", 0,
IF(AND(EP175 &gt; 0, EQ175 &gt;0), 0,  IF(EO173 &lt;&gt; $Z$1,
IF(AND(EP175 &lt;&gt; "", EP175 &lt;&gt; 0), -(EP175 * ER175 * 100 * (1 + COMIS_OPCION)),
IF(AND(EQ175 &lt;&gt; "", EQ175 &lt;&gt; 0), (EQ175 * ER175 * 100 * (1 - COMIS_OPCION)), 0)),
IF(AND(EP175 &lt;&gt; "", EP175 &lt;&gt; 0), -(EP175 * ER175 * 1 * (1 + COMIS_ACCION)),
IF(AND(EQ175 &lt;&gt; "", EQ175 &lt;&gt; 0), (EQ175 * ER175 * 1 * (1 - COMIS_ACCION)), 0))  )))</f>
        <v>0</v>
      </c>
      <c r="EW175" s="917"/>
      <c r="EX175" s="917"/>
      <c r="EY175" s="917"/>
      <c r="EZ175" s="917"/>
      <c r="FA175" s="917"/>
      <c r="FB175" s="917"/>
      <c r="FC175" s="917"/>
      <c r="FD175" s="925"/>
      <c r="FE175" s="340"/>
      <c r="FF175" s="340"/>
      <c r="FG175" s="365"/>
      <c r="FH175" s="365"/>
      <c r="FI175" s="354">
        <f>+SUM(FJ173:FJ177) - SUM(FK173:FK177)</f>
        <v>0</v>
      </c>
      <c r="FJ175" s="347"/>
      <c r="FK175" s="342"/>
      <c r="FL175" s="343"/>
      <c r="FM175" s="930">
        <f>IF(FL175 = "", 0,
IF(AND(FJ175 &gt; 0, FK175 &gt;0), 0,
IF(AND(FJ175 &lt;&gt; "", FJ175 &lt;&gt; 0), -(FJ175 * FL175 * 100),
IF(AND(FK175 &lt;&gt; "", FK175 &lt;&gt; 0), (FK175 * FL175 * 100), 0)) ))</f>
        <v>0</v>
      </c>
      <c r="FN175" s="931"/>
      <c r="FO175" s="932"/>
      <c r="FP175" s="930">
        <f>IF(FL175 = "", 0,
IF(AND(FJ175 &gt; 0, FK175 &gt;0), 0,
IF(AND(FJ175 &lt;&gt; "", FJ175 &lt;&gt; 0), -(FJ175 * FL175 * 100 * (1 + COMIS_OPCION)),
IF(AND(FK175 &lt;&gt; "", FK175 &lt;&gt; 0), (FK175 * FL175 * 100 * (1 - COMIS_OPCION)), 0)) ))</f>
        <v>0</v>
      </c>
      <c r="FQ175" s="931"/>
      <c r="FR175" s="931"/>
      <c r="FS175" s="931"/>
      <c r="FT175" s="931"/>
      <c r="FU175" s="931"/>
      <c r="FV175" s="931"/>
      <c r="FW175" s="931"/>
      <c r="FX175" s="933"/>
      <c r="FY175" s="341"/>
      <c r="FZ175" s="341"/>
      <c r="GA175" s="341"/>
      <c r="GB175" s="495">
        <v>0</v>
      </c>
      <c r="GC175" s="495">
        <v>0</v>
      </c>
      <c r="GD175" s="500"/>
      <c r="GE175" s="495">
        <v>0</v>
      </c>
      <c r="GF175" s="495">
        <v>0</v>
      </c>
      <c r="GG175" s="495">
        <v>0</v>
      </c>
      <c r="GH175" s="359"/>
      <c r="GI175" s="359"/>
      <c r="GJ175" s="501"/>
      <c r="GK175" s="495">
        <v>0</v>
      </c>
      <c r="GL175" s="495">
        <v>0</v>
      </c>
      <c r="GM175" s="495">
        <v>0</v>
      </c>
      <c r="GN175" s="359"/>
      <c r="GO175" s="359"/>
      <c r="GP175" s="501"/>
      <c r="GQ175" s="495">
        <v>0</v>
      </c>
      <c r="GR175" s="375"/>
      <c r="GS175" s="333"/>
      <c r="GT175" s="333"/>
      <c r="GU175" s="333"/>
      <c r="GV175" s="333"/>
      <c r="GW175" s="333"/>
      <c r="GX175" s="333"/>
      <c r="GY175" s="333"/>
      <c r="GZ175" s="333"/>
      <c r="HA175" s="333"/>
      <c r="HB175" s="333"/>
      <c r="HC175" s="333"/>
      <c r="HD175" s="333"/>
      <c r="HE175" s="333"/>
      <c r="HF175" s="333"/>
      <c r="HG175" s="331"/>
      <c r="HH175" s="331"/>
      <c r="HI175" s="331"/>
      <c r="HJ175" s="331"/>
      <c r="HK175" s="331"/>
      <c r="HL175" s="331"/>
      <c r="HM175" s="331"/>
      <c r="HN175" s="333"/>
      <c r="HO175" s="333"/>
      <c r="HP175" s="333"/>
      <c r="HQ175" s="333"/>
      <c r="HR175" s="333"/>
      <c r="HS175" s="333"/>
      <c r="HT175" s="333"/>
      <c r="HU175" s="333"/>
      <c r="HV175" s="333"/>
      <c r="HW175" s="333"/>
      <c r="HX175" s="333"/>
      <c r="HY175" s="333"/>
      <c r="HZ175" s="333"/>
      <c r="IA175" s="333"/>
      <c r="IB175" s="333"/>
      <c r="IC175" s="333"/>
      <c r="ID175" s="55"/>
      <c r="IE175" s="47"/>
    </row>
    <row r="176" spans="13:239" s="142" customFormat="1" ht="15" customHeight="1">
      <c r="M176" s="333"/>
      <c r="N176" s="333"/>
      <c r="O176" s="333"/>
      <c r="P176" s="333"/>
      <c r="Q176" s="333"/>
      <c r="R176" s="333"/>
      <c r="S176" s="333"/>
      <c r="T176" s="333"/>
      <c r="U176" s="333"/>
      <c r="V176" s="333"/>
      <c r="W176" s="333"/>
      <c r="X176" s="333"/>
      <c r="Y176" s="333"/>
      <c r="Z176" s="333"/>
      <c r="AA176" s="333"/>
      <c r="AB176" s="333"/>
      <c r="AC176" s="333"/>
      <c r="AD176" s="333"/>
      <c r="AE176" s="333"/>
      <c r="AF176" s="333"/>
      <c r="AG176" s="333"/>
      <c r="AH176" s="333"/>
      <c r="AI176" s="333"/>
      <c r="AJ176" s="333"/>
      <c r="AK176" s="333"/>
      <c r="AL176" s="333"/>
      <c r="AM176" s="333"/>
      <c r="AN176" s="333"/>
      <c r="AO176" s="333"/>
      <c r="AP176" s="333"/>
      <c r="AQ176" s="333"/>
      <c r="AR176" s="333"/>
      <c r="AS176" s="333"/>
      <c r="AT176" s="333"/>
      <c r="AU176" s="333"/>
      <c r="AV176" s="333"/>
      <c r="AW176" s="333"/>
      <c r="AX176" s="333"/>
      <c r="AY176" s="333"/>
      <c r="AZ176" s="333"/>
      <c r="BA176" s="333"/>
      <c r="BB176" s="333"/>
      <c r="BC176" s="333"/>
      <c r="BD176" s="333"/>
      <c r="BE176" s="333"/>
      <c r="BF176" s="333"/>
      <c r="BG176" s="333"/>
      <c r="BH176" s="333"/>
      <c r="BI176" s="333"/>
      <c r="BJ176" s="333"/>
      <c r="BK176" s="333"/>
      <c r="BL176" s="333"/>
      <c r="BM176" s="333"/>
      <c r="BN176" s="333"/>
      <c r="BO176" s="333"/>
      <c r="BP176" s="333"/>
      <c r="BQ176" s="333"/>
      <c r="BR176" s="333"/>
      <c r="BS176" s="333"/>
      <c r="BT176" s="333"/>
      <c r="BU176" s="333"/>
      <c r="BV176" s="333"/>
      <c r="BW176" s="333"/>
      <c r="BX176" s="333"/>
      <c r="BY176" s="333"/>
      <c r="BZ176" s="333"/>
      <c r="CA176" s="333"/>
      <c r="CB176" s="333"/>
      <c r="CC176" s="333"/>
      <c r="CD176" s="333"/>
      <c r="CE176" s="333"/>
      <c r="CF176" s="333"/>
      <c r="CG176" s="333"/>
      <c r="CH176" s="333"/>
      <c r="CI176" s="333"/>
      <c r="CJ176" s="333"/>
      <c r="CK176" s="333"/>
      <c r="CL176" s="333"/>
      <c r="CM176" s="333"/>
      <c r="CN176" s="333"/>
      <c r="CO176" s="333"/>
      <c r="CP176" s="333"/>
      <c r="CQ176" s="333"/>
      <c r="CR176" s="333"/>
      <c r="CS176" s="333"/>
      <c r="CT176" s="333"/>
      <c r="CU176" s="333"/>
      <c r="CV176" s="333"/>
      <c r="CW176" s="333"/>
      <c r="CX176" s="333"/>
      <c r="CY176" s="333"/>
      <c r="CZ176" s="333"/>
      <c r="DA176" s="333"/>
      <c r="DB176" s="333"/>
      <c r="DC176" s="333"/>
      <c r="DD176" s="333"/>
      <c r="DE176" s="333"/>
      <c r="DF176" s="333"/>
      <c r="DG176" s="333"/>
      <c r="DH176" s="333"/>
      <c r="DI176" s="333"/>
      <c r="DJ176" s="333"/>
      <c r="DK176" s="333"/>
      <c r="DL176" s="333"/>
      <c r="DM176" s="333"/>
      <c r="DN176" s="333"/>
      <c r="DO176" s="333"/>
      <c r="DP176" s="333"/>
      <c r="DQ176" s="333"/>
      <c r="DR176" s="333"/>
      <c r="DS176" s="333"/>
      <c r="DT176" s="333"/>
      <c r="DU176" s="375"/>
      <c r="DV176" s="375"/>
      <c r="DW176" s="375"/>
      <c r="DX176" s="375"/>
      <c r="DY176" s="375"/>
      <c r="DZ176" s="375"/>
      <c r="EA176" s="375"/>
      <c r="EB176" s="375"/>
      <c r="EC176" s="359"/>
      <c r="ED176" s="359"/>
      <c r="EE176" s="359"/>
      <c r="EF176" s="359"/>
      <c r="EG176" s="359"/>
      <c r="EH176" s="359"/>
      <c r="EI176" s="359"/>
      <c r="EJ176" s="373"/>
      <c r="EK176" s="373"/>
      <c r="EL176" s="366"/>
      <c r="EM176" s="368"/>
      <c r="EN176" s="364"/>
      <c r="EO176" s="352">
        <f>IF(EO175=0, 0, SUM(EV173:FD177))</f>
        <v>0</v>
      </c>
      <c r="EP176" s="347"/>
      <c r="EQ176" s="342"/>
      <c r="ER176" s="522"/>
      <c r="ES176" s="916">
        <f>IF(ER176 = "", 0,
IF(AND(EP176 &gt; 0, EQ176 &gt;0), 0, IF(EO173 &lt;&gt; $Z$1,
IF(AND(EP176 &lt;&gt; "", EP176 &lt;&gt; 0), -(EP176 * ER176 * 100),
IF(AND(EQ176 &lt;&gt; "", EQ176 &lt;&gt; 0), (EQ176 * ER176 * 100), 0)),
IF(AND(EP176 &lt;&gt; "", EP176 &lt;&gt; 0), -(EP176 * ER176 * 1),
IF(AND(EQ176 &lt;&gt; "", EQ176 &lt;&gt; 0), (EQ176 * ER176 * 1), 0))  )))</f>
        <v>0</v>
      </c>
      <c r="ET176" s="917"/>
      <c r="EU176" s="918"/>
      <c r="EV176" s="916">
        <f>IF(ER176 = "", 0,
IF(AND(EP176 &gt; 0, EQ176 &gt;0), 0,  IF(EO173 &lt;&gt; $Z$1,
IF(AND(EP176 &lt;&gt; "", EP176 &lt;&gt; 0), -(EP176 * ER176 * 100 * (1 + COMIS_OPCION)),
IF(AND(EQ176 &lt;&gt; "", EQ176 &lt;&gt; 0), (EQ176 * ER176 * 100 * (1 - COMIS_OPCION)), 0)),
IF(AND(EP176 &lt;&gt; "", EP176 &lt;&gt; 0), -(EP176 * ER176 * 1 * (1 + COMIS_ACCION)),
IF(AND(EQ176 &lt;&gt; "", EQ176 &lt;&gt; 0), (EQ176 * ER176 * 1 * (1 - COMIS_ACCION)), 0))  )))</f>
        <v>0</v>
      </c>
      <c r="EW176" s="917"/>
      <c r="EX176" s="917"/>
      <c r="EY176" s="917"/>
      <c r="EZ176" s="917"/>
      <c r="FA176" s="917"/>
      <c r="FB176" s="917"/>
      <c r="FC176" s="917"/>
      <c r="FD176" s="925"/>
      <c r="FE176" s="340"/>
      <c r="FF176" s="340"/>
      <c r="FG176" s="365"/>
      <c r="FH176" s="365"/>
      <c r="FI176" s="354">
        <f>IF(FI175=0, 0, SUM(FP173:FX177))</f>
        <v>0</v>
      </c>
      <c r="FJ176" s="347"/>
      <c r="FK176" s="342"/>
      <c r="FL176" s="343"/>
      <c r="FM176" s="930">
        <f>IF(FL176 = "", 0,
IF(AND(FJ176 &gt; 0, FK176 &gt;0), 0,
IF(AND(FJ176 &lt;&gt; "", FJ176 &lt;&gt; 0), -(FJ176 * FL176 * 100),
IF(AND(FK176 &lt;&gt; "", FK176 &lt;&gt; 0), (FK176 * FL176 * 100), 0)) ))</f>
        <v>0</v>
      </c>
      <c r="FN176" s="931"/>
      <c r="FO176" s="932"/>
      <c r="FP176" s="930">
        <f>IF(FL176 = "", 0,
IF(AND(FJ176 &gt; 0, FK176 &gt;0), 0,
IF(AND(FJ176 &lt;&gt; "", FJ176 &lt;&gt; 0), -(FJ176 * FL176 * 100 * (1 + COMIS_OPCION)),
IF(AND(FK176 &lt;&gt; "", FK176 &lt;&gt; 0), (FK176 * FL176 * 100 * (1 - COMIS_OPCION)), 0)) ))</f>
        <v>0</v>
      </c>
      <c r="FQ176" s="931"/>
      <c r="FR176" s="931"/>
      <c r="FS176" s="931"/>
      <c r="FT176" s="931"/>
      <c r="FU176" s="931"/>
      <c r="FV176" s="931"/>
      <c r="FW176" s="931"/>
      <c r="FX176" s="933"/>
      <c r="FY176" s="341"/>
      <c r="FZ176" s="341"/>
      <c r="GA176" s="341"/>
      <c r="GB176" s="495">
        <v>0</v>
      </c>
      <c r="GC176" s="495">
        <v>0</v>
      </c>
      <c r="GD176" s="500"/>
      <c r="GE176" s="495">
        <v>0</v>
      </c>
      <c r="GF176" s="495">
        <v>0</v>
      </c>
      <c r="GG176" s="495">
        <v>0</v>
      </c>
      <c r="GH176" s="359"/>
      <c r="GI176" s="359"/>
      <c r="GJ176" s="501"/>
      <c r="GK176" s="495">
        <v>0</v>
      </c>
      <c r="GL176" s="495">
        <v>0</v>
      </c>
      <c r="GM176" s="495">
        <v>0</v>
      </c>
      <c r="GN176" s="359"/>
      <c r="GO176" s="359"/>
      <c r="GP176" s="501"/>
      <c r="GQ176" s="495">
        <v>0</v>
      </c>
      <c r="GR176" s="375"/>
      <c r="GS176" s="333"/>
      <c r="GT176" s="333"/>
      <c r="GU176" s="333"/>
      <c r="GV176" s="333"/>
      <c r="GW176" s="333"/>
      <c r="GX176" s="333"/>
      <c r="GY176" s="333"/>
      <c r="GZ176" s="333"/>
      <c r="HA176" s="333"/>
      <c r="HB176" s="333"/>
      <c r="HC176" s="333"/>
      <c r="HD176" s="333"/>
      <c r="HE176" s="333"/>
      <c r="HF176" s="333"/>
      <c r="HG176" s="331"/>
      <c r="HH176" s="331"/>
      <c r="HI176" s="331"/>
      <c r="HJ176" s="331"/>
      <c r="HK176" s="331"/>
      <c r="HL176" s="331"/>
      <c r="HM176" s="331"/>
      <c r="HN176" s="333"/>
      <c r="HO176" s="333"/>
      <c r="HP176" s="333"/>
      <c r="HQ176" s="333"/>
      <c r="HR176" s="333"/>
      <c r="HS176" s="333"/>
      <c r="HT176" s="333"/>
      <c r="HU176" s="333"/>
      <c r="HV176" s="333"/>
      <c r="HW176" s="333"/>
      <c r="HX176" s="333"/>
      <c r="HY176" s="333"/>
      <c r="HZ176" s="333"/>
      <c r="IA176" s="333"/>
      <c r="IB176" s="333"/>
      <c r="IC176" s="333"/>
      <c r="ID176" s="55"/>
      <c r="IE176" s="47"/>
    </row>
    <row r="177" spans="13:239" s="142" customFormat="1" ht="15" customHeight="1" thickBot="1">
      <c r="M177" s="333"/>
      <c r="N177" s="333"/>
      <c r="O177" s="333"/>
      <c r="P177" s="333"/>
      <c r="Q177" s="333"/>
      <c r="R177" s="333"/>
      <c r="S177" s="333"/>
      <c r="T177" s="333"/>
      <c r="U177" s="333"/>
      <c r="V177" s="333"/>
      <c r="W177" s="333"/>
      <c r="X177" s="333"/>
      <c r="Y177" s="333"/>
      <c r="Z177" s="333"/>
      <c r="AA177" s="333"/>
      <c r="AB177" s="333"/>
      <c r="AC177" s="333"/>
      <c r="AD177" s="333"/>
      <c r="AE177" s="333"/>
      <c r="AF177" s="333"/>
      <c r="AG177" s="333"/>
      <c r="AH177" s="333"/>
      <c r="AI177" s="333"/>
      <c r="AJ177" s="333"/>
      <c r="AK177" s="333"/>
      <c r="AL177" s="333"/>
      <c r="AM177" s="333"/>
      <c r="AN177" s="333"/>
      <c r="AO177" s="333"/>
      <c r="AP177" s="333"/>
      <c r="AQ177" s="333"/>
      <c r="AR177" s="333"/>
      <c r="AS177" s="333"/>
      <c r="AT177" s="333"/>
      <c r="AU177" s="333"/>
      <c r="AV177" s="333"/>
      <c r="AW177" s="333"/>
      <c r="AX177" s="333"/>
      <c r="AY177" s="333"/>
      <c r="AZ177" s="333"/>
      <c r="BA177" s="333"/>
      <c r="BB177" s="333"/>
      <c r="BC177" s="333"/>
      <c r="BD177" s="333"/>
      <c r="BE177" s="333"/>
      <c r="BF177" s="333"/>
      <c r="BG177" s="333"/>
      <c r="BH177" s="333"/>
      <c r="BI177" s="333"/>
      <c r="BJ177" s="333"/>
      <c r="BK177" s="333"/>
      <c r="BL177" s="333"/>
      <c r="BM177" s="333"/>
      <c r="BN177" s="333"/>
      <c r="BO177" s="333"/>
      <c r="BP177" s="333"/>
      <c r="BQ177" s="333"/>
      <c r="BR177" s="333"/>
      <c r="BS177" s="333"/>
      <c r="BT177" s="333"/>
      <c r="BU177" s="333"/>
      <c r="BV177" s="333"/>
      <c r="BW177" s="333"/>
      <c r="BX177" s="333"/>
      <c r="BY177" s="333"/>
      <c r="BZ177" s="333"/>
      <c r="CA177" s="333"/>
      <c r="CB177" s="333"/>
      <c r="CC177" s="333"/>
      <c r="CD177" s="333"/>
      <c r="CE177" s="333"/>
      <c r="CF177" s="333"/>
      <c r="CG177" s="333"/>
      <c r="CH177" s="333"/>
      <c r="CI177" s="333"/>
      <c r="CJ177" s="333"/>
      <c r="CK177" s="333"/>
      <c r="CL177" s="333"/>
      <c r="CM177" s="333"/>
      <c r="CN177" s="333"/>
      <c r="CO177" s="333"/>
      <c r="CP177" s="333"/>
      <c r="CQ177" s="333"/>
      <c r="CR177" s="333"/>
      <c r="CS177" s="333"/>
      <c r="CT177" s="333"/>
      <c r="CU177" s="333"/>
      <c r="CV177" s="333"/>
      <c r="CW177" s="333"/>
      <c r="CX177" s="333"/>
      <c r="CY177" s="333"/>
      <c r="CZ177" s="333"/>
      <c r="DA177" s="333"/>
      <c r="DB177" s="333"/>
      <c r="DC177" s="333"/>
      <c r="DD177" s="333"/>
      <c r="DE177" s="333"/>
      <c r="DF177" s="333"/>
      <c r="DG177" s="333"/>
      <c r="DH177" s="333"/>
      <c r="DI177" s="333"/>
      <c r="DJ177" s="333"/>
      <c r="DK177" s="333"/>
      <c r="DL177" s="333"/>
      <c r="DM177" s="333"/>
      <c r="DN177" s="333"/>
      <c r="DO177" s="333"/>
      <c r="DP177" s="333"/>
      <c r="DQ177" s="333"/>
      <c r="DR177" s="333"/>
      <c r="DS177" s="333"/>
      <c r="DT177" s="333"/>
      <c r="DU177" s="375"/>
      <c r="DV177" s="375"/>
      <c r="DW177" s="375"/>
      <c r="DX177" s="375"/>
      <c r="DY177" s="375"/>
      <c r="DZ177" s="375"/>
      <c r="EA177" s="375"/>
      <c r="EB177" s="375"/>
      <c r="EC177" s="359"/>
      <c r="ED177" s="359"/>
      <c r="EE177" s="359"/>
      <c r="EF177" s="359"/>
      <c r="EG177" s="359"/>
      <c r="EH177" s="359"/>
      <c r="EI177" s="359"/>
      <c r="EJ177" s="373"/>
      <c r="EK177" s="373"/>
      <c r="EL177" s="366"/>
      <c r="EM177" s="368"/>
      <c r="EN177" s="364"/>
      <c r="EO177" s="353">
        <f>+IF(EO175= 0, 0, GG173)</f>
        <v>0</v>
      </c>
      <c r="EP177" s="350"/>
      <c r="EQ177" s="344"/>
      <c r="ER177" s="523"/>
      <c r="ES177" s="921">
        <f>IF(ER177 = "", 0,
IF(AND(EP177 &gt; 0, EQ177 &gt;0), 0, IF(EO173 &lt;&gt; $Z$1,
IF(AND(EP177 &lt;&gt; "", EP177 &lt;&gt; 0), -(EP177 * ER177 * 100),
IF(AND(EQ177 &lt;&gt; "", EQ177 &lt;&gt; 0), (EQ177 * ER177 * 100), 0)),
IF(AND(EP177 &lt;&gt; "", EP177 &lt;&gt; 0), -(EP177 * ER177 * 1),
IF(AND(EQ177 &lt;&gt; "", EQ177 &lt;&gt; 0), (EQ177 * ER177 * 1), 0))  )))</f>
        <v>0</v>
      </c>
      <c r="ET177" s="922"/>
      <c r="EU177" s="924"/>
      <c r="EV177" s="921">
        <f>IF(ER177 = "", 0,
IF(AND(EP177 &gt; 0, EQ177 &gt;0), 0,  IF(EO173 &lt;&gt; $Z$1,
IF(AND(EP177 &lt;&gt; "", EP177 &lt;&gt; 0), -(EP177 * ER177 * 100 * (1 + COMIS_OPCION)),
IF(AND(EQ177 &lt;&gt; "", EQ177 &lt;&gt; 0), (EQ177 * ER177 * 100 * (1 - COMIS_OPCION)), 0)),
IF(AND(EP177 &lt;&gt; "", EP177 &lt;&gt; 0), -(EP177 * ER177 * 1 * (1 + COMIS_ACCION)),
IF(AND(EQ177 &lt;&gt; "", EQ177 &lt;&gt; 0), (EQ177 * ER177 * 1 * (1 - COMIS_ACCION)), 0))  )))</f>
        <v>0</v>
      </c>
      <c r="EW177" s="922"/>
      <c r="EX177" s="922"/>
      <c r="EY177" s="922"/>
      <c r="EZ177" s="922"/>
      <c r="FA177" s="922"/>
      <c r="FB177" s="922"/>
      <c r="FC177" s="922"/>
      <c r="FD177" s="923"/>
      <c r="FE177" s="340"/>
      <c r="FF177" s="340"/>
      <c r="FG177" s="365"/>
      <c r="FH177" s="365"/>
      <c r="FI177" s="349">
        <f>+IF(FI175= 0, 0, GQ173)</f>
        <v>0</v>
      </c>
      <c r="FJ177" s="348"/>
      <c r="FK177" s="345"/>
      <c r="FL177" s="346"/>
      <c r="FM177" s="937">
        <f>IF(FL177 = "", 0,
IF(AND(FJ177 &gt; 0, FK177 &gt;0), 0,
IF(AND(FJ177 &lt;&gt; "", FJ177 &lt;&gt; 0), -(FJ177 * FL177 * 100),
IF(AND(FK177 &lt;&gt; "", FK177 &lt;&gt; 0), (FK177 * FL177 * 100), 0)) ))</f>
        <v>0</v>
      </c>
      <c r="FN177" s="938"/>
      <c r="FO177" s="939"/>
      <c r="FP177" s="937">
        <f>IF(FL177 = "", 0,
IF(AND(FJ177 &gt; 0, FK177 &gt;0), 0,
IF(AND(FJ177 &lt;&gt; "", FJ177 &lt;&gt; 0), -(FJ177 * FL177 * 100 * (1 + COMIS_OPCION)),
IF(AND(FK177 &lt;&gt; "", FK177 &lt;&gt; 0), (FK177 * FL177 * 100 * (1 - COMIS_OPCION)), 0)) ))</f>
        <v>0</v>
      </c>
      <c r="FQ177" s="938"/>
      <c r="FR177" s="938"/>
      <c r="FS177" s="938"/>
      <c r="FT177" s="938"/>
      <c r="FU177" s="938"/>
      <c r="FV177" s="938"/>
      <c r="FW177" s="938"/>
      <c r="FX177" s="969"/>
      <c r="FY177" s="341"/>
      <c r="FZ177" s="341"/>
      <c r="GA177" s="341"/>
      <c r="GB177" s="495">
        <v>0</v>
      </c>
      <c r="GC177" s="495">
        <v>0</v>
      </c>
      <c r="GD177" s="500"/>
      <c r="GE177" s="495">
        <v>0</v>
      </c>
      <c r="GF177" s="495">
        <v>0</v>
      </c>
      <c r="GG177" s="495">
        <v>0</v>
      </c>
      <c r="GH177" s="359"/>
      <c r="GI177" s="359"/>
      <c r="GJ177" s="501"/>
      <c r="GK177" s="495">
        <v>0</v>
      </c>
      <c r="GL177" s="495">
        <v>0</v>
      </c>
      <c r="GM177" s="495">
        <v>0</v>
      </c>
      <c r="GN177" s="359"/>
      <c r="GO177" s="359"/>
      <c r="GP177" s="501"/>
      <c r="GQ177" s="495">
        <v>0</v>
      </c>
      <c r="GR177" s="375"/>
      <c r="GS177" s="333"/>
      <c r="GT177" s="333"/>
      <c r="GU177" s="333"/>
      <c r="GV177" s="333"/>
      <c r="GW177" s="333"/>
      <c r="GX177" s="333"/>
      <c r="GY177" s="333"/>
      <c r="GZ177" s="333"/>
      <c r="HA177" s="333"/>
      <c r="HB177" s="333"/>
      <c r="HC177" s="333"/>
      <c r="HD177" s="333"/>
      <c r="HE177" s="333"/>
      <c r="HF177" s="333"/>
      <c r="HG177" s="331"/>
      <c r="HH177" s="331"/>
      <c r="HI177" s="331"/>
      <c r="HJ177" s="331"/>
      <c r="HK177" s="331"/>
      <c r="HL177" s="331"/>
      <c r="HM177" s="331"/>
      <c r="HN177" s="333"/>
      <c r="HO177" s="333"/>
      <c r="HP177" s="333"/>
      <c r="HQ177" s="333"/>
      <c r="HR177" s="333"/>
      <c r="HS177" s="333"/>
      <c r="HT177" s="333"/>
      <c r="HU177" s="333"/>
      <c r="HV177" s="333"/>
      <c r="HW177" s="333"/>
      <c r="HX177" s="333"/>
      <c r="HY177" s="333"/>
      <c r="HZ177" s="333"/>
      <c r="IA177" s="333"/>
      <c r="IB177" s="333"/>
      <c r="IC177" s="333"/>
      <c r="ID177" s="55"/>
      <c r="IE177" s="47"/>
    </row>
    <row r="178" spans="13:239" s="142" customFormat="1" ht="15" customHeight="1" thickBot="1">
      <c r="M178" s="333"/>
      <c r="N178" s="333"/>
      <c r="O178" s="333"/>
      <c r="P178" s="333"/>
      <c r="Q178" s="333"/>
      <c r="R178" s="333"/>
      <c r="S178" s="333"/>
      <c r="T178" s="333"/>
      <c r="U178" s="333"/>
      <c r="V178" s="333"/>
      <c r="W178" s="333"/>
      <c r="X178" s="333"/>
      <c r="Y178" s="333"/>
      <c r="Z178" s="333"/>
      <c r="AA178" s="333"/>
      <c r="AB178" s="333"/>
      <c r="AC178" s="333"/>
      <c r="AD178" s="333"/>
      <c r="AE178" s="333"/>
      <c r="AF178" s="333"/>
      <c r="AG178" s="333"/>
      <c r="AH178" s="333"/>
      <c r="AI178" s="333"/>
      <c r="AJ178" s="333"/>
      <c r="AK178" s="333"/>
      <c r="AL178" s="333"/>
      <c r="AM178" s="333"/>
      <c r="AN178" s="333"/>
      <c r="AO178" s="333"/>
      <c r="AP178" s="333"/>
      <c r="AQ178" s="333"/>
      <c r="AR178" s="333"/>
      <c r="AS178" s="333"/>
      <c r="AT178" s="333"/>
      <c r="AU178" s="333"/>
      <c r="AV178" s="333"/>
      <c r="AW178" s="333"/>
      <c r="AX178" s="333"/>
      <c r="AY178" s="333"/>
      <c r="AZ178" s="333"/>
      <c r="BA178" s="333"/>
      <c r="BB178" s="333"/>
      <c r="BC178" s="333"/>
      <c r="BD178" s="333"/>
      <c r="BE178" s="333"/>
      <c r="BF178" s="333"/>
      <c r="BG178" s="333"/>
      <c r="BH178" s="333"/>
      <c r="BI178" s="333"/>
      <c r="BJ178" s="333"/>
      <c r="BK178" s="333"/>
      <c r="BL178" s="333"/>
      <c r="BM178" s="333"/>
      <c r="BN178" s="333"/>
      <c r="BO178" s="333"/>
      <c r="BP178" s="333"/>
      <c r="BQ178" s="333"/>
      <c r="BR178" s="333"/>
      <c r="BS178" s="333"/>
      <c r="BT178" s="333"/>
      <c r="BU178" s="333"/>
      <c r="BV178" s="333"/>
      <c r="BW178" s="333"/>
      <c r="BX178" s="333"/>
      <c r="BY178" s="333"/>
      <c r="BZ178" s="333"/>
      <c r="CA178" s="333"/>
      <c r="CB178" s="333"/>
      <c r="CC178" s="333"/>
      <c r="CD178" s="333"/>
      <c r="CE178" s="333"/>
      <c r="CF178" s="333"/>
      <c r="CG178" s="333"/>
      <c r="CH178" s="333"/>
      <c r="CI178" s="333"/>
      <c r="CJ178" s="333"/>
      <c r="CK178" s="333"/>
      <c r="CL178" s="333"/>
      <c r="CM178" s="333"/>
      <c r="CN178" s="333"/>
      <c r="CO178" s="333"/>
      <c r="CP178" s="333"/>
      <c r="CQ178" s="333"/>
      <c r="CR178" s="333"/>
      <c r="CS178" s="333"/>
      <c r="CT178" s="333"/>
      <c r="CU178" s="333"/>
      <c r="CV178" s="333"/>
      <c r="CW178" s="333"/>
      <c r="CX178" s="333"/>
      <c r="CY178" s="333"/>
      <c r="CZ178" s="333"/>
      <c r="DA178" s="333"/>
      <c r="DB178" s="333"/>
      <c r="DC178" s="333"/>
      <c r="DD178" s="333"/>
      <c r="DE178" s="333"/>
      <c r="DF178" s="333"/>
      <c r="DG178" s="333"/>
      <c r="DH178" s="333"/>
      <c r="DI178" s="333"/>
      <c r="DJ178" s="333"/>
      <c r="DK178" s="333"/>
      <c r="DL178" s="333"/>
      <c r="DM178" s="333"/>
      <c r="DN178" s="333"/>
      <c r="DO178" s="333"/>
      <c r="DP178" s="333"/>
      <c r="DQ178" s="333"/>
      <c r="DR178" s="333"/>
      <c r="DS178" s="333"/>
      <c r="DT178" s="333"/>
      <c r="DU178" s="375"/>
      <c r="DV178" s="375"/>
      <c r="DW178" s="375"/>
      <c r="DX178" s="375"/>
      <c r="DY178" s="375"/>
      <c r="DZ178" s="375"/>
      <c r="EA178" s="375"/>
      <c r="EB178" s="375"/>
      <c r="EC178" s="359"/>
      <c r="ED178" s="359"/>
      <c r="EE178" s="359"/>
      <c r="EF178" s="359"/>
      <c r="EG178" s="359"/>
      <c r="EH178" s="359"/>
      <c r="EI178" s="359"/>
      <c r="EJ178" s="373"/>
      <c r="EK178" s="373"/>
      <c r="EL178" s="366"/>
      <c r="EM178" s="369"/>
      <c r="EN178" s="364"/>
      <c r="EO178" s="363"/>
      <c r="EP178" s="340"/>
      <c r="EQ178" s="340"/>
      <c r="ER178" s="340"/>
      <c r="ES178" s="363"/>
      <c r="ET178" s="363"/>
      <c r="EU178" s="340"/>
      <c r="EV178" s="340"/>
      <c r="EW178" s="340"/>
      <c r="EX178" s="340"/>
      <c r="EY178" s="340"/>
      <c r="EZ178" s="340"/>
      <c r="FA178" s="340"/>
      <c r="FB178" s="402"/>
      <c r="FC178" s="402"/>
      <c r="FD178" s="340"/>
      <c r="FE178" s="340"/>
      <c r="FF178" s="340"/>
      <c r="FG178" s="364"/>
      <c r="FH178" s="364"/>
      <c r="FI178" s="363"/>
      <c r="FJ178" s="360"/>
      <c r="FK178" s="360"/>
      <c r="FL178" s="340"/>
      <c r="FM178" s="967"/>
      <c r="FN178" s="967"/>
      <c r="FO178" s="967"/>
      <c r="FP178" s="968"/>
      <c r="FQ178" s="968"/>
      <c r="FR178" s="968"/>
      <c r="FS178" s="968"/>
      <c r="FT178" s="968"/>
      <c r="FU178" s="968"/>
      <c r="FV178" s="968"/>
      <c r="FW178" s="968"/>
      <c r="FX178" s="968"/>
      <c r="FY178" s="341"/>
      <c r="FZ178" s="341"/>
      <c r="GA178" s="341"/>
      <c r="GB178" s="495">
        <v>0</v>
      </c>
      <c r="GC178" s="495">
        <v>0</v>
      </c>
      <c r="GD178" s="500"/>
      <c r="GE178" s="495">
        <v>0</v>
      </c>
      <c r="GF178" s="495">
        <v>0</v>
      </c>
      <c r="GG178" s="495">
        <v>0</v>
      </c>
      <c r="GH178" s="359"/>
      <c r="GI178" s="359"/>
      <c r="GJ178" s="501"/>
      <c r="GK178" s="495">
        <v>0</v>
      </c>
      <c r="GL178" s="495">
        <v>0</v>
      </c>
      <c r="GM178" s="495">
        <v>0</v>
      </c>
      <c r="GN178" s="359"/>
      <c r="GO178" s="359"/>
      <c r="GP178" s="501"/>
      <c r="GQ178" s="495">
        <v>0</v>
      </c>
      <c r="GR178" s="375"/>
      <c r="GS178" s="333"/>
      <c r="GT178" s="333"/>
      <c r="GU178" s="333"/>
      <c r="GV178" s="333"/>
      <c r="GW178" s="333"/>
      <c r="GX178" s="333"/>
      <c r="GY178" s="333"/>
      <c r="GZ178" s="333"/>
      <c r="HA178" s="333"/>
      <c r="HB178" s="333"/>
      <c r="HC178" s="333"/>
      <c r="HD178" s="333"/>
      <c r="HE178" s="333"/>
      <c r="HF178" s="333"/>
      <c r="HG178" s="331"/>
      <c r="HH178" s="331"/>
      <c r="HI178" s="331"/>
      <c r="HJ178" s="331"/>
      <c r="HK178" s="331"/>
      <c r="HL178" s="331"/>
      <c r="HM178" s="331"/>
      <c r="HN178" s="333"/>
      <c r="HO178" s="333"/>
      <c r="HP178" s="333"/>
      <c r="HQ178" s="333"/>
      <c r="HR178" s="333"/>
      <c r="HS178" s="333"/>
      <c r="HT178" s="333"/>
      <c r="HU178" s="333"/>
      <c r="HV178" s="333"/>
      <c r="HW178" s="333"/>
      <c r="HX178" s="333"/>
      <c r="HY178" s="333"/>
      <c r="HZ178" s="333"/>
      <c r="IA178" s="333"/>
      <c r="IB178" s="333"/>
      <c r="IC178" s="333"/>
      <c r="ID178" s="55"/>
      <c r="IE178" s="47"/>
    </row>
    <row r="179" spans="13:239" s="142" customFormat="1" ht="15" customHeight="1">
      <c r="M179" s="333"/>
      <c r="N179" s="333"/>
      <c r="O179" s="333"/>
      <c r="P179" s="333"/>
      <c r="Q179" s="333"/>
      <c r="R179" s="333"/>
      <c r="S179" s="333"/>
      <c r="T179" s="333"/>
      <c r="U179" s="333"/>
      <c r="V179" s="333"/>
      <c r="W179" s="333"/>
      <c r="X179" s="333"/>
      <c r="Y179" s="333"/>
      <c r="Z179" s="333"/>
      <c r="AA179" s="333"/>
      <c r="AB179" s="333"/>
      <c r="AC179" s="333"/>
      <c r="AD179" s="333"/>
      <c r="AE179" s="333"/>
      <c r="AF179" s="333"/>
      <c r="AG179" s="333"/>
      <c r="AH179" s="333"/>
      <c r="AI179" s="333"/>
      <c r="AJ179" s="333"/>
      <c r="AK179" s="333"/>
      <c r="AL179" s="333"/>
      <c r="AM179" s="333"/>
      <c r="AN179" s="333"/>
      <c r="AO179" s="333"/>
      <c r="AP179" s="333"/>
      <c r="AQ179" s="333"/>
      <c r="AR179" s="333"/>
      <c r="AS179" s="333"/>
      <c r="AT179" s="333"/>
      <c r="AU179" s="333"/>
      <c r="AV179" s="333"/>
      <c r="AW179" s="333"/>
      <c r="AX179" s="333"/>
      <c r="AY179" s="333"/>
      <c r="AZ179" s="333"/>
      <c r="BA179" s="333"/>
      <c r="BB179" s="333"/>
      <c r="BC179" s="333"/>
      <c r="BD179" s="333"/>
      <c r="BE179" s="333"/>
      <c r="BF179" s="333"/>
      <c r="BG179" s="333"/>
      <c r="BH179" s="333"/>
      <c r="BI179" s="333"/>
      <c r="BJ179" s="333"/>
      <c r="BK179" s="333"/>
      <c r="BL179" s="333"/>
      <c r="BM179" s="333"/>
      <c r="BN179" s="333"/>
      <c r="BO179" s="333"/>
      <c r="BP179" s="333"/>
      <c r="BQ179" s="333"/>
      <c r="BR179" s="333"/>
      <c r="BS179" s="333"/>
      <c r="BT179" s="333"/>
      <c r="BU179" s="333"/>
      <c r="BV179" s="333"/>
      <c r="BW179" s="333"/>
      <c r="BX179" s="333"/>
      <c r="BY179" s="333"/>
      <c r="BZ179" s="333"/>
      <c r="CA179" s="333"/>
      <c r="CB179" s="333"/>
      <c r="CC179" s="333"/>
      <c r="CD179" s="333"/>
      <c r="CE179" s="333"/>
      <c r="CF179" s="333"/>
      <c r="CG179" s="333"/>
      <c r="CH179" s="333"/>
      <c r="CI179" s="333"/>
      <c r="CJ179" s="333"/>
      <c r="CK179" s="333"/>
      <c r="CL179" s="333"/>
      <c r="CM179" s="333"/>
      <c r="CN179" s="333"/>
      <c r="CO179" s="333"/>
      <c r="CP179" s="333"/>
      <c r="CQ179" s="333"/>
      <c r="CR179" s="333"/>
      <c r="CS179" s="333"/>
      <c r="CT179" s="333"/>
      <c r="CU179" s="333"/>
      <c r="CV179" s="333"/>
      <c r="CW179" s="333"/>
      <c r="CX179" s="333"/>
      <c r="CY179" s="333"/>
      <c r="CZ179" s="333"/>
      <c r="DA179" s="333"/>
      <c r="DB179" s="333"/>
      <c r="DC179" s="333"/>
      <c r="DD179" s="333"/>
      <c r="DE179" s="333"/>
      <c r="DF179" s="333"/>
      <c r="DG179" s="333"/>
      <c r="DH179" s="333"/>
      <c r="DI179" s="333"/>
      <c r="DJ179" s="333"/>
      <c r="DK179" s="333"/>
      <c r="DL179" s="333"/>
      <c r="DM179" s="333"/>
      <c r="DN179" s="333"/>
      <c r="DO179" s="333"/>
      <c r="DP179" s="333"/>
      <c r="DQ179" s="333"/>
      <c r="DR179" s="333"/>
      <c r="DS179" s="333"/>
      <c r="DT179" s="333"/>
      <c r="DU179" s="375"/>
      <c r="DV179" s="375"/>
      <c r="DW179" s="375"/>
      <c r="DX179" s="375"/>
      <c r="DY179" s="375"/>
      <c r="DZ179" s="375"/>
      <c r="EA179" s="375"/>
      <c r="EB179" s="375"/>
      <c r="EC179" s="359"/>
      <c r="ED179" s="359"/>
      <c r="EE179" s="359"/>
      <c r="EF179" s="359"/>
      <c r="EG179" s="359"/>
      <c r="EH179" s="359"/>
      <c r="EI179" s="359"/>
      <c r="EJ179" s="373"/>
      <c r="EK179" s="373"/>
      <c r="EL179" s="366"/>
      <c r="EM179" s="366"/>
      <c r="EN179" s="364">
        <f>+EN173+1</f>
        <v>22</v>
      </c>
      <c r="EO179" s="356">
        <f>+VLOOKUP(EN179, PRECIOS_EJERCICIOS,  2,FALSE)</f>
        <v>270</v>
      </c>
      <c r="EP179" s="513" t="str">
        <f>+IF($AQ$49 = FALSE, "",
IF(VLOOKUP(EO179, basesCantPrimaBrutoRes, 2,FALSE) &gt;= 0, VLOOKUP(EO179, basesCantPrimaBrutoRes, 2,FALSE), 0))</f>
        <v/>
      </c>
      <c r="EQ179" s="514" t="str">
        <f>+IF($AQ$49 = FALSE, "",
IF(VLOOKUP(EO179, basesCantPrimaBrutoRes, 2,FALSE) &lt; 0, -VLOOKUP(EO179, basesCantPrimaBrutoRes, 2,FALSE), 0))</f>
        <v/>
      </c>
      <c r="ER179" s="521" t="str">
        <f>IF($AQ$49 = FALSE, "",
VLOOKUP(EO179, basesCantPrimaBrutoRes, 4,FALSE))</f>
        <v/>
      </c>
      <c r="ES179" s="926">
        <f>IF(ER179 = "", 0,
IF(AND(EP179 &gt; 0, EQ179 &gt;0), 0, IF(EO179 &lt;&gt; $Z$1,
IF(AND(EP179 &lt;&gt; "", EP179 &lt;&gt; 0), -(EP179 * ER179 * 100),
IF(AND(EQ179 &lt;&gt; "", EQ179 &lt;&gt; 0), (EQ179 * ER179 * 100), 0)),
IF(AND(EP179 &lt;&gt; "", EP179 &lt;&gt; 0), -(EP179 * ER179 * 1),
IF(AND(EQ179 &lt;&gt; "", EQ179 &lt;&gt; 0), (EQ179 * ER179 * 1), 0))  )))</f>
        <v>0</v>
      </c>
      <c r="ET179" s="927"/>
      <c r="EU179" s="928"/>
      <c r="EV179" s="926">
        <f>IF(ER179 = "", 0,
IF(AND(EP179 &gt; 0, EQ179 &gt;0), 0,  IF(EO179 &lt;&gt; $Z$1,
IF(AND(EP179 &lt;&gt; "", EP179 &lt;&gt; 0), -(EP179 * ER179 * 100 * (1 + COMIS_OPCION)),
IF(AND(EQ179 &lt;&gt; "", EQ179 &lt;&gt; 0), (EQ179 * ER179 * 100 * (1 - COMIS_OPCION)), 0)),
IF(AND(EP179 &lt;&gt; "", EP179 &lt;&gt; 0), -(EP179 * ER179 * 1 * (1 + COMIS_ACCION)),
IF(AND(EQ179 &lt;&gt; "", EQ179 &lt;&gt; 0), (EQ179 * ER179 * 1 * (1 - COMIS_ACCION)), 0))  )))</f>
        <v>0</v>
      </c>
      <c r="EW179" s="927"/>
      <c r="EX179" s="927"/>
      <c r="EY179" s="927"/>
      <c r="EZ179" s="927"/>
      <c r="FA179" s="927"/>
      <c r="FB179" s="927"/>
      <c r="FC179" s="927"/>
      <c r="FD179" s="929"/>
      <c r="FE179" s="340"/>
      <c r="FF179" s="340"/>
      <c r="FG179" s="364"/>
      <c r="FH179" s="364">
        <f>+FH173+1</f>
        <v>22</v>
      </c>
      <c r="FI179" s="357">
        <f>+VLOOKUP(FH179, PRECIOS_EJERCICIOS,  2,FALSE)</f>
        <v>270</v>
      </c>
      <c r="FJ179" s="515" t="str">
        <f>+IF($AQ$49 = FALSE, "",
IF(VLOOKUP(EO179, basesCantPrimaBrutoRes, 5,FALSE) &gt;= 0, VLOOKUP(EO179, basesCantPrimaBrutoRes, 5,FALSE), 0))</f>
        <v/>
      </c>
      <c r="FK179" s="516" t="str">
        <f>+IF($AQ$49 = FALSE, "",
IF(VLOOKUP(EO179, basesCantPrimaBrutoRes, 5,FALSE) &lt; 0, -VLOOKUP(EO179, basesCantPrimaBrutoRes, 5,FALSE), 0))</f>
        <v/>
      </c>
      <c r="FL179" s="517" t="str">
        <f>IF($AQ$49 = FALSE, "",
VLOOKUP(EO179, basesCantPrimaBrutoRes, 7,FALSE))</f>
        <v/>
      </c>
      <c r="FM179" s="934">
        <f>IF(FL179 = "", 0,
IF(AND(FJ179 &gt; 0, FK179 &gt;0), 0,
IF(AND(FJ179 &lt;&gt; "", FJ179 &lt;&gt; 0), -(FJ179 * FL179 * 100),
IF(AND(FK179 &lt;&gt; "", FK179 &lt;&gt; 0), (FK179 * FL179 * 100), 0)) ))</f>
        <v>0</v>
      </c>
      <c r="FN179" s="935"/>
      <c r="FO179" s="936"/>
      <c r="FP179" s="934">
        <f>IF(FL179 = "", 0,
IF(AND(FJ179 &gt; 0, FK179 &gt;0), 0,
IF(AND(FJ179 &lt;&gt; "", FJ179 &lt;&gt; 0), -(FJ179 * FL179 * 100 * (1 + COMIS_OPCION)),
IF(AND(FK179 &lt;&gt; "", FK179 &lt;&gt; 0), (FK179 * FL179 * 100 * (1 - COMIS_OPCION)), 0)) ))</f>
        <v>0</v>
      </c>
      <c r="FQ179" s="935"/>
      <c r="FR179" s="935"/>
      <c r="FS179" s="935"/>
      <c r="FT179" s="935"/>
      <c r="FU179" s="935"/>
      <c r="FV179" s="935"/>
      <c r="FW179" s="935"/>
      <c r="FX179" s="966"/>
      <c r="FY179" s="341"/>
      <c r="FZ179" s="341"/>
      <c r="GA179" s="341"/>
      <c r="GB179" s="495">
        <f>+IF(EN179 = "", "", EO179)</f>
        <v>270</v>
      </c>
      <c r="GC179" s="495" t="str">
        <f>+IF(GB179="", "", IF(EO179 = $Z$1, "ACCION", "CALL"))</f>
        <v>CALL</v>
      </c>
      <c r="GD179" s="500"/>
      <c r="GE179" s="495">
        <f>+IF(GB179= "", "", EO181)</f>
        <v>0</v>
      </c>
      <c r="GF179" s="495">
        <f>+IF(GB179 = "", "", IFERROR(IF(GB179 &lt;&gt; $Z$1,
IF(GE179 &gt; 0, SUMIFS(ES179:ES183, EP179:EP183, "&gt;0", ES179:ES183, "&lt;&gt;0") / SUMIFS(EP179:EP183, EP179:EP183, "&gt;0", ES179:ES183, "&lt;&gt;0") / -100,
IF(GE179 &lt; 0, SUMIFS(ES179:ES183, EQ179:EQ183, "&gt;0", ES179:ES183, "&lt;&gt;0") / SUMIFS(EQ179:EQ183, EQ179:EQ183, "&gt;0", ES179:ES183, "&lt;&gt;0") / 100, 0)),
IF(GE179 &gt; 0, SUMIFS(ES179:ES183, EP179:EP183, "&gt;0", ES179:ES183, "&lt;&gt;0") / SUMIFS(EP179:EP183, EP179:EP183, "&gt;0", ES179:ES183, "&lt;&gt;0") / -1,
IF(GE179 &lt; 0, SUMIFS(ES179:ES183, EQ179:EQ183, "&gt;0", ES179:ES183, "&lt;&gt;0") / SUMIFS(EQ179:EQ183, EQ179:EQ183, "&gt;0", ES179:ES183, "&lt;&gt;0") / 1, 0)) ), 0))</f>
        <v>0</v>
      </c>
      <c r="GG179" s="495">
        <f>+IF(GB179 = "", "", IFERROR(IF(GB179 &lt;&gt; $Z$1,
IF(GE179 &gt; 0, SUMIFS(EV179:EV183, EP179:EP183, "&gt;0", EV179:EV183, "&lt;&gt;0") / SUMIFS(EP179:EP183, EP179:EP183, "&gt;0", EV179:EV183, "&lt;&gt;0") / -100,
IF(GE179 &lt; 0, SUMIFS(EV179:EV183, EQ179:EQ183, "&gt;0", EV179:EV183, "&lt;&gt;0") / SUMIFS(EQ179:EQ183, EQ179:EQ183, "&gt;0", EV179:EV183, "&lt;&gt;0") / 100, 0)),
IF(GE179 &gt; 0, SUMIFS(EV179:EV183, EP179:EP183, "&gt;0", EV179:EV183, "&lt;&gt;0") / SUMIFS(EP179:EP183, EP179:EP183, "&gt;0", EV179:EV183, "&lt;&gt;0") / -1,
IF(GE179 &lt; 0, SUMIFS(EV179:EV183, EQ179:EQ183, "&gt;0", EV179:EV183, "&lt;&gt;0") / SUMIFS(EQ179:EQ183, EQ179:EQ183, "&gt;0", EV179:EV183, "&lt;&gt;0") / 1, 0)) ), 0))</f>
        <v>0</v>
      </c>
      <c r="GH179" s="359"/>
      <c r="GI179" s="359"/>
      <c r="GJ179" s="501"/>
      <c r="GK179" s="495" t="str">
        <f>+IF(GB179="", "", "PUT")</f>
        <v>PUT</v>
      </c>
      <c r="GL179" s="495">
        <f>+IF(GB179 = "", "", FI181)</f>
        <v>0</v>
      </c>
      <c r="GM179" s="495">
        <f>+IF(GB179 = "", "", IFERROR(
IF(FI181 &gt; 0, SUMIFS(FM179:FM183, FJ179:FJ183, "&gt;0", FM179:FM183, "&lt;&gt;0") / SUMIFS(FJ179:FJ183, FJ179:FJ183, "&gt;0", FM179:FM183, "&lt;&gt;0") / -100,
IF(FI181 &lt; 0, SUMIFS(FM179:FM183, FK179:FK183, "&gt;0", FM179:FM183, "&lt;&gt;0") / SUMIFS(FK179:FK183, FK179:FK183, "&gt;0", FM179:FM183, "&lt;&gt;0") / 100, 0)), 0) )</f>
        <v>0</v>
      </c>
      <c r="GN179" s="359"/>
      <c r="GO179" s="359"/>
      <c r="GP179" s="501"/>
      <c r="GQ179" s="502">
        <f>+IF(GB179 = "", "", IFERROR(
IF(FI181 &gt; 0, SUMIFS(FP179:FP183, FJ179:FJ183, "&gt;0", FP179:FP183, "&lt;&gt;0") / SUMIFS(FJ179:FJ183, FJ179:FJ183, "&gt;0", FP179:FP183, "&lt;&gt;0") / -100,
IF(FI181 &lt; 0, SUMIFS(FP179:FP183, FK179:FK183, "&gt;0", FP179:FP183, "&lt;&gt;0") / SUMIFS(FK179:FK183, FK179:FK183, "&gt;0", FP179:FP183, "&lt;&gt;0") / 100, 0)), 0))</f>
        <v>0</v>
      </c>
      <c r="GR179" s="375"/>
      <c r="GS179" s="333"/>
      <c r="GT179" s="333"/>
      <c r="GU179" s="333"/>
      <c r="GV179" s="333"/>
      <c r="GW179" s="333"/>
      <c r="GX179" s="333"/>
      <c r="GY179" s="333"/>
      <c r="GZ179" s="333"/>
      <c r="HA179" s="333"/>
      <c r="HB179" s="333"/>
      <c r="HC179" s="333"/>
      <c r="HD179" s="333"/>
      <c r="HE179" s="333"/>
      <c r="HF179" s="333"/>
      <c r="HG179" s="331"/>
      <c r="HH179" s="331"/>
      <c r="HI179" s="331"/>
      <c r="HJ179" s="331"/>
      <c r="HK179" s="331"/>
      <c r="HL179" s="331"/>
      <c r="HM179" s="331"/>
      <c r="HN179" s="333"/>
      <c r="HO179" s="333"/>
      <c r="HP179" s="333"/>
      <c r="HQ179" s="333"/>
      <c r="HR179" s="333"/>
      <c r="HS179" s="333"/>
      <c r="HT179" s="333"/>
      <c r="HU179" s="333"/>
      <c r="HV179" s="333"/>
      <c r="HW179" s="333"/>
      <c r="HX179" s="333"/>
      <c r="HY179" s="333"/>
      <c r="HZ179" s="333"/>
      <c r="IA179" s="333"/>
      <c r="IB179" s="333"/>
      <c r="IC179" s="333"/>
      <c r="ID179" s="55"/>
      <c r="IE179" s="47"/>
    </row>
    <row r="180" spans="13:239" s="142" customFormat="1" ht="15" customHeight="1">
      <c r="M180" s="333"/>
      <c r="N180" s="333"/>
      <c r="O180" s="333"/>
      <c r="P180" s="333"/>
      <c r="Q180" s="333"/>
      <c r="R180" s="333"/>
      <c r="S180" s="333"/>
      <c r="T180" s="333"/>
      <c r="U180" s="333"/>
      <c r="V180" s="333"/>
      <c r="W180" s="333"/>
      <c r="X180" s="333"/>
      <c r="Y180" s="333"/>
      <c r="Z180" s="333"/>
      <c r="AA180" s="333"/>
      <c r="AB180" s="333"/>
      <c r="AC180" s="333"/>
      <c r="AD180" s="333"/>
      <c r="AE180" s="333"/>
      <c r="AF180" s="333"/>
      <c r="AG180" s="333"/>
      <c r="AH180" s="333"/>
      <c r="AI180" s="333"/>
      <c r="AJ180" s="333"/>
      <c r="AK180" s="333"/>
      <c r="AL180" s="333"/>
      <c r="AM180" s="333"/>
      <c r="AN180" s="333"/>
      <c r="AO180" s="333"/>
      <c r="AP180" s="333"/>
      <c r="AQ180" s="333"/>
      <c r="AR180" s="333"/>
      <c r="AS180" s="333"/>
      <c r="AT180" s="333"/>
      <c r="AU180" s="333"/>
      <c r="AV180" s="333"/>
      <c r="AW180" s="333"/>
      <c r="AX180" s="333"/>
      <c r="AY180" s="333"/>
      <c r="AZ180" s="333"/>
      <c r="BA180" s="333"/>
      <c r="BB180" s="333"/>
      <c r="BC180" s="333"/>
      <c r="BD180" s="333"/>
      <c r="BE180" s="333"/>
      <c r="BF180" s="333"/>
      <c r="BG180" s="333"/>
      <c r="BH180" s="333"/>
      <c r="BI180" s="333"/>
      <c r="BJ180" s="333"/>
      <c r="BK180" s="333"/>
      <c r="BL180" s="333"/>
      <c r="BM180" s="333"/>
      <c r="BN180" s="333"/>
      <c r="BO180" s="333"/>
      <c r="BP180" s="333"/>
      <c r="BQ180" s="333"/>
      <c r="BR180" s="333"/>
      <c r="BS180" s="333"/>
      <c r="BT180" s="333"/>
      <c r="BU180" s="333"/>
      <c r="BV180" s="333"/>
      <c r="BW180" s="333"/>
      <c r="BX180" s="333"/>
      <c r="BY180" s="333"/>
      <c r="BZ180" s="333"/>
      <c r="CA180" s="333"/>
      <c r="CB180" s="333"/>
      <c r="CC180" s="333"/>
      <c r="CD180" s="333"/>
      <c r="CE180" s="333"/>
      <c r="CF180" s="333"/>
      <c r="CG180" s="333"/>
      <c r="CH180" s="333"/>
      <c r="CI180" s="333"/>
      <c r="CJ180" s="333"/>
      <c r="CK180" s="333"/>
      <c r="CL180" s="333"/>
      <c r="CM180" s="333"/>
      <c r="CN180" s="333"/>
      <c r="CO180" s="333"/>
      <c r="CP180" s="333"/>
      <c r="CQ180" s="333"/>
      <c r="CR180" s="333"/>
      <c r="CS180" s="333"/>
      <c r="CT180" s="333"/>
      <c r="CU180" s="333"/>
      <c r="CV180" s="333"/>
      <c r="CW180" s="333"/>
      <c r="CX180" s="333"/>
      <c r="CY180" s="333"/>
      <c r="CZ180" s="333"/>
      <c r="DA180" s="333"/>
      <c r="DB180" s="333"/>
      <c r="DC180" s="333"/>
      <c r="DD180" s="333"/>
      <c r="DE180" s="333"/>
      <c r="DF180" s="333"/>
      <c r="DG180" s="333"/>
      <c r="DH180" s="333"/>
      <c r="DI180" s="333"/>
      <c r="DJ180" s="333"/>
      <c r="DK180" s="333"/>
      <c r="DL180" s="333"/>
      <c r="DM180" s="333"/>
      <c r="DN180" s="333"/>
      <c r="DO180" s="333"/>
      <c r="DP180" s="333"/>
      <c r="DQ180" s="333"/>
      <c r="DR180" s="333"/>
      <c r="DS180" s="333"/>
      <c r="DT180" s="333"/>
      <c r="DU180" s="375"/>
      <c r="DV180" s="375"/>
      <c r="DW180" s="375"/>
      <c r="DX180" s="375"/>
      <c r="DY180" s="375"/>
      <c r="DZ180" s="375"/>
      <c r="EA180" s="375"/>
      <c r="EB180" s="375"/>
      <c r="EC180" s="359"/>
      <c r="ED180" s="359"/>
      <c r="EE180" s="359"/>
      <c r="EF180" s="359"/>
      <c r="EG180" s="359"/>
      <c r="EH180" s="359"/>
      <c r="EI180" s="359"/>
      <c r="EJ180" s="373"/>
      <c r="EK180" s="373"/>
      <c r="EL180" s="366"/>
      <c r="EM180" s="366"/>
      <c r="EN180" s="364"/>
      <c r="EO180" s="351"/>
      <c r="EP180" s="347"/>
      <c r="EQ180" s="342"/>
      <c r="ER180" s="522"/>
      <c r="ES180" s="916">
        <f>IF(ER180 = "", 0,
IF(AND(EP180 &gt; 0, EQ180 &gt;0), 0, IF(EO179 &lt;&gt; $Z$1,
IF(AND(EP180 &lt;&gt; "", EP180 &lt;&gt; 0), -(EP180 * ER180 * 100),
IF(AND(EQ180 &lt;&gt; "", EQ180 &lt;&gt; 0), (EQ180 * ER180 * 100), 0)),
IF(AND(EP180 &lt;&gt; "", EP180 &lt;&gt; 0), -(EP180 * ER180 * 1),
IF(AND(EQ180 &lt;&gt; "", EQ180 &lt;&gt; 0), (EQ180 * ER180 * 1), 0))  )))</f>
        <v>0</v>
      </c>
      <c r="ET180" s="917"/>
      <c r="EU180" s="918"/>
      <c r="EV180" s="916">
        <f>IF(ER180 = "", 0,
IF(AND(EP180 &gt; 0, EQ180 &gt;0), 0,  IF(EO179 &lt;&gt; $Z$1,
IF(AND(EP180 &lt;&gt; "", EP180 &lt;&gt; 0), -(EP180 * ER180 * 100 * (1 + COMIS_OPCION)),
IF(AND(EQ180 &lt;&gt; "", EQ180 &lt;&gt; 0), (EQ180 * ER180 * 100 * (1 - COMIS_OPCION)), 0)),
IF(AND(EP180 &lt;&gt; "", EP180 &lt;&gt; 0), -(EP180 * ER180 * 1 * (1 + COMIS_ACCION)),
IF(AND(EQ180 &lt;&gt; "", EQ180 &lt;&gt; 0), (EQ180 * ER180 * 1 * (1 - COMIS_ACCION)), 0))  )))</f>
        <v>0</v>
      </c>
      <c r="EW180" s="917"/>
      <c r="EX180" s="917"/>
      <c r="EY180" s="917"/>
      <c r="EZ180" s="917"/>
      <c r="FA180" s="917"/>
      <c r="FB180" s="917"/>
      <c r="FC180" s="917"/>
      <c r="FD180" s="925"/>
      <c r="FE180" s="340"/>
      <c r="FF180" s="340"/>
      <c r="FG180" s="364"/>
      <c r="FH180" s="364"/>
      <c r="FI180" s="339"/>
      <c r="FJ180" s="347"/>
      <c r="FK180" s="342"/>
      <c r="FL180" s="343"/>
      <c r="FM180" s="930">
        <f>IF(FL180 = "", 0,
IF(AND(FJ180 &gt; 0, FK180 &gt;0), 0,
IF(AND(FJ180 &lt;&gt; "", FJ180 &lt;&gt; 0), -(FJ180 * FL180 * 100),
IF(AND(FK180 &lt;&gt; "", FK180 &lt;&gt; 0), (FK180 * FL180 * 100), 0)) ))</f>
        <v>0</v>
      </c>
      <c r="FN180" s="931"/>
      <c r="FO180" s="932"/>
      <c r="FP180" s="930">
        <f>IF(FL180 = "", 0,
IF(AND(FJ180 &gt; 0, FK180 &gt;0), 0,
IF(AND(FJ180 &lt;&gt; "", FJ180 &lt;&gt; 0), -(FJ180 * FL180 * 100 * (1 + COMIS_OPCION)),
IF(AND(FK180 &lt;&gt; "", FK180 &lt;&gt; 0), (FK180 * FL180 * 100 * (1 - COMIS_OPCION)), 0)) ))</f>
        <v>0</v>
      </c>
      <c r="FQ180" s="931"/>
      <c r="FR180" s="931"/>
      <c r="FS180" s="931"/>
      <c r="FT180" s="931"/>
      <c r="FU180" s="931"/>
      <c r="FV180" s="931"/>
      <c r="FW180" s="931"/>
      <c r="FX180" s="933"/>
      <c r="FY180" s="341"/>
      <c r="FZ180" s="341"/>
      <c r="GA180" s="341"/>
      <c r="GB180" s="495">
        <v>0</v>
      </c>
      <c r="GC180" s="495">
        <v>0</v>
      </c>
      <c r="GD180" s="500"/>
      <c r="GE180" s="495">
        <v>0</v>
      </c>
      <c r="GF180" s="495">
        <v>0</v>
      </c>
      <c r="GG180" s="495">
        <v>0</v>
      </c>
      <c r="GH180" s="359"/>
      <c r="GI180" s="359"/>
      <c r="GJ180" s="501"/>
      <c r="GK180" s="495">
        <v>0</v>
      </c>
      <c r="GL180" s="495">
        <v>0</v>
      </c>
      <c r="GM180" s="495">
        <v>0</v>
      </c>
      <c r="GN180" s="359"/>
      <c r="GO180" s="359"/>
      <c r="GP180" s="501"/>
      <c r="GQ180" s="495">
        <v>0</v>
      </c>
      <c r="GR180" s="375"/>
      <c r="GS180" s="333"/>
      <c r="GT180" s="333"/>
      <c r="GU180" s="333"/>
      <c r="GV180" s="333"/>
      <c r="GW180" s="333"/>
      <c r="GX180" s="333"/>
      <c r="GY180" s="333"/>
      <c r="GZ180" s="333"/>
      <c r="HA180" s="333"/>
      <c r="HB180" s="333"/>
      <c r="HC180" s="333"/>
      <c r="HD180" s="333"/>
      <c r="HE180" s="333"/>
      <c r="HF180" s="333"/>
      <c r="HG180" s="331"/>
      <c r="HH180" s="331"/>
      <c r="HI180" s="331"/>
      <c r="HJ180" s="331"/>
      <c r="HK180" s="331"/>
      <c r="HL180" s="331"/>
      <c r="HM180" s="331"/>
      <c r="HN180" s="333"/>
      <c r="HO180" s="333"/>
      <c r="HP180" s="333"/>
      <c r="HQ180" s="333"/>
      <c r="HR180" s="333"/>
      <c r="HS180" s="333"/>
      <c r="HT180" s="333"/>
      <c r="HU180" s="333"/>
      <c r="HV180" s="333"/>
      <c r="HW180" s="333"/>
      <c r="HX180" s="333"/>
      <c r="HY180" s="333"/>
      <c r="HZ180" s="333"/>
      <c r="IA180" s="333"/>
      <c r="IB180" s="333"/>
      <c r="IC180" s="333"/>
      <c r="ID180" s="55"/>
      <c r="IE180" s="47"/>
    </row>
    <row r="181" spans="13:239" s="142" customFormat="1" ht="15" customHeight="1">
      <c r="M181" s="333"/>
      <c r="N181" s="333"/>
      <c r="O181" s="333"/>
      <c r="P181" s="333"/>
      <c r="Q181" s="333"/>
      <c r="R181" s="333"/>
      <c r="S181" s="333"/>
      <c r="T181" s="333"/>
      <c r="U181" s="333"/>
      <c r="V181" s="333"/>
      <c r="W181" s="333"/>
      <c r="X181" s="333"/>
      <c r="Y181" s="333"/>
      <c r="Z181" s="333"/>
      <c r="AA181" s="333"/>
      <c r="AB181" s="333"/>
      <c r="AC181" s="333"/>
      <c r="AD181" s="333"/>
      <c r="AE181" s="333"/>
      <c r="AF181" s="333"/>
      <c r="AG181" s="333"/>
      <c r="AH181" s="333"/>
      <c r="AI181" s="333"/>
      <c r="AJ181" s="333"/>
      <c r="AK181" s="333"/>
      <c r="AL181" s="333"/>
      <c r="AM181" s="333"/>
      <c r="AN181" s="333"/>
      <c r="AO181" s="333"/>
      <c r="AP181" s="333"/>
      <c r="AQ181" s="333"/>
      <c r="AR181" s="333"/>
      <c r="AS181" s="333"/>
      <c r="AT181" s="333"/>
      <c r="AU181" s="333"/>
      <c r="AV181" s="333"/>
      <c r="AW181" s="333"/>
      <c r="AX181" s="333"/>
      <c r="AY181" s="333"/>
      <c r="AZ181" s="333"/>
      <c r="BA181" s="333"/>
      <c r="BB181" s="333"/>
      <c r="BC181" s="333"/>
      <c r="BD181" s="333"/>
      <c r="BE181" s="333"/>
      <c r="BF181" s="333"/>
      <c r="BG181" s="333"/>
      <c r="BH181" s="333"/>
      <c r="BI181" s="333"/>
      <c r="BJ181" s="333"/>
      <c r="BK181" s="333"/>
      <c r="BL181" s="333"/>
      <c r="BM181" s="333"/>
      <c r="BN181" s="333"/>
      <c r="BO181" s="333"/>
      <c r="BP181" s="333"/>
      <c r="BQ181" s="333"/>
      <c r="BR181" s="333"/>
      <c r="BS181" s="333"/>
      <c r="BT181" s="333"/>
      <c r="BU181" s="333"/>
      <c r="BV181" s="333"/>
      <c r="BW181" s="333"/>
      <c r="BX181" s="333"/>
      <c r="BY181" s="333"/>
      <c r="BZ181" s="333"/>
      <c r="CA181" s="333"/>
      <c r="CB181" s="333"/>
      <c r="CC181" s="333"/>
      <c r="CD181" s="333"/>
      <c r="CE181" s="333"/>
      <c r="CF181" s="333"/>
      <c r="CG181" s="333"/>
      <c r="CH181" s="333"/>
      <c r="CI181" s="333"/>
      <c r="CJ181" s="333"/>
      <c r="CK181" s="333"/>
      <c r="CL181" s="333"/>
      <c r="CM181" s="333"/>
      <c r="CN181" s="333"/>
      <c r="CO181" s="333"/>
      <c r="CP181" s="333"/>
      <c r="CQ181" s="333"/>
      <c r="CR181" s="333"/>
      <c r="CS181" s="333"/>
      <c r="CT181" s="333"/>
      <c r="CU181" s="333"/>
      <c r="CV181" s="333"/>
      <c r="CW181" s="333"/>
      <c r="CX181" s="333"/>
      <c r="CY181" s="333"/>
      <c r="CZ181" s="333"/>
      <c r="DA181" s="333"/>
      <c r="DB181" s="333"/>
      <c r="DC181" s="333"/>
      <c r="DD181" s="333"/>
      <c r="DE181" s="333"/>
      <c r="DF181" s="333"/>
      <c r="DG181" s="333"/>
      <c r="DH181" s="333"/>
      <c r="DI181" s="333"/>
      <c r="DJ181" s="333"/>
      <c r="DK181" s="333"/>
      <c r="DL181" s="333"/>
      <c r="DM181" s="333"/>
      <c r="DN181" s="333"/>
      <c r="DO181" s="333"/>
      <c r="DP181" s="333"/>
      <c r="DQ181" s="333"/>
      <c r="DR181" s="333"/>
      <c r="DS181" s="333"/>
      <c r="DT181" s="333"/>
      <c r="DU181" s="375"/>
      <c r="DV181" s="375"/>
      <c r="DW181" s="375"/>
      <c r="DX181" s="375"/>
      <c r="DY181" s="375"/>
      <c r="DZ181" s="375"/>
      <c r="EA181" s="375"/>
      <c r="EB181" s="375"/>
      <c r="EC181" s="359"/>
      <c r="ED181" s="359"/>
      <c r="EE181" s="359"/>
      <c r="EF181" s="359"/>
      <c r="EG181" s="359"/>
      <c r="EH181" s="359"/>
      <c r="EI181" s="359"/>
      <c r="EJ181" s="373"/>
      <c r="EK181" s="373"/>
      <c r="EL181" s="366"/>
      <c r="EM181" s="368"/>
      <c r="EN181" s="364"/>
      <c r="EO181" s="352">
        <f>+SUM(EP179:EP183) - SUM(EQ179:EQ183)</f>
        <v>0</v>
      </c>
      <c r="EP181" s="347"/>
      <c r="EQ181" s="342"/>
      <c r="ER181" s="522"/>
      <c r="ES181" s="916">
        <f>IF(ER181 = "", 0,
IF(AND(EP181 &gt; 0, EQ181 &gt;0), 0, IF(EO179 &lt;&gt; $Z$1,
IF(AND(EP181 &lt;&gt; "", EP181 &lt;&gt; 0), -(EP181 * ER181 * 100),
IF(AND(EQ181 &lt;&gt; "", EQ181 &lt;&gt; 0), (EQ181 * ER181 * 100), 0)),
IF(AND(EP181 &lt;&gt; "", EP181 &lt;&gt; 0), -(EP181 * ER181 * 1),
IF(AND(EQ181 &lt;&gt; "", EQ181 &lt;&gt; 0), (EQ181 * ER181 * 1), 0))  )))</f>
        <v>0</v>
      </c>
      <c r="ET181" s="917"/>
      <c r="EU181" s="918"/>
      <c r="EV181" s="916">
        <f>IF(ER181 = "", 0,
IF(AND(EP181 &gt; 0, EQ181 &gt;0), 0,  IF(EO179 &lt;&gt; $Z$1,
IF(AND(EP181 &lt;&gt; "", EP181 &lt;&gt; 0), -(EP181 * ER181 * 100 * (1 + COMIS_OPCION)),
IF(AND(EQ181 &lt;&gt; "", EQ181 &lt;&gt; 0), (EQ181 * ER181 * 100 * (1 - COMIS_OPCION)), 0)),
IF(AND(EP181 &lt;&gt; "", EP181 &lt;&gt; 0), -(EP181 * ER181 * 1 * (1 + COMIS_ACCION)),
IF(AND(EQ181 &lt;&gt; "", EQ181 &lt;&gt; 0), (EQ181 * ER181 * 1 * (1 - COMIS_ACCION)), 0))  )))</f>
        <v>0</v>
      </c>
      <c r="EW181" s="917"/>
      <c r="EX181" s="917"/>
      <c r="EY181" s="917"/>
      <c r="EZ181" s="917"/>
      <c r="FA181" s="917"/>
      <c r="FB181" s="917"/>
      <c r="FC181" s="917"/>
      <c r="FD181" s="925"/>
      <c r="FE181" s="340"/>
      <c r="FF181" s="340"/>
      <c r="FG181" s="365"/>
      <c r="FH181" s="365"/>
      <c r="FI181" s="354">
        <f>+SUM(FJ179:FJ183) - SUM(FK179:FK183)</f>
        <v>0</v>
      </c>
      <c r="FJ181" s="347"/>
      <c r="FK181" s="342"/>
      <c r="FL181" s="343"/>
      <c r="FM181" s="930">
        <f>IF(FL181 = "", 0,
IF(AND(FJ181 &gt; 0, FK181 &gt;0), 0,
IF(AND(FJ181 &lt;&gt; "", FJ181 &lt;&gt; 0), -(FJ181 * FL181 * 100),
IF(AND(FK181 &lt;&gt; "", FK181 &lt;&gt; 0), (FK181 * FL181 * 100), 0)) ))</f>
        <v>0</v>
      </c>
      <c r="FN181" s="931"/>
      <c r="FO181" s="932"/>
      <c r="FP181" s="930">
        <f>IF(FL181 = "", 0,
IF(AND(FJ181 &gt; 0, FK181 &gt;0), 0,
IF(AND(FJ181 &lt;&gt; "", FJ181 &lt;&gt; 0), -(FJ181 * FL181 * 100 * (1 + COMIS_OPCION)),
IF(AND(FK181 &lt;&gt; "", FK181 &lt;&gt; 0), (FK181 * FL181 * 100 * (1 - COMIS_OPCION)), 0)) ))</f>
        <v>0</v>
      </c>
      <c r="FQ181" s="931"/>
      <c r="FR181" s="931"/>
      <c r="FS181" s="931"/>
      <c r="FT181" s="931"/>
      <c r="FU181" s="931"/>
      <c r="FV181" s="931"/>
      <c r="FW181" s="931"/>
      <c r="FX181" s="933"/>
      <c r="FY181" s="341"/>
      <c r="FZ181" s="341"/>
      <c r="GA181" s="341"/>
      <c r="GB181" s="495">
        <v>0</v>
      </c>
      <c r="GC181" s="495">
        <v>0</v>
      </c>
      <c r="GD181" s="500"/>
      <c r="GE181" s="495">
        <v>0</v>
      </c>
      <c r="GF181" s="495">
        <v>0</v>
      </c>
      <c r="GG181" s="495">
        <v>0</v>
      </c>
      <c r="GH181" s="359"/>
      <c r="GI181" s="359"/>
      <c r="GJ181" s="501"/>
      <c r="GK181" s="495">
        <v>0</v>
      </c>
      <c r="GL181" s="495">
        <v>0</v>
      </c>
      <c r="GM181" s="495">
        <v>0</v>
      </c>
      <c r="GN181" s="359"/>
      <c r="GO181" s="359"/>
      <c r="GP181" s="501"/>
      <c r="GQ181" s="495">
        <v>0</v>
      </c>
      <c r="GR181" s="375"/>
      <c r="GS181" s="333"/>
      <c r="GT181" s="333"/>
      <c r="GU181" s="333"/>
      <c r="GV181" s="333"/>
      <c r="GW181" s="333"/>
      <c r="GX181" s="333"/>
      <c r="GY181" s="333"/>
      <c r="GZ181" s="333"/>
      <c r="HA181" s="333"/>
      <c r="HB181" s="333"/>
      <c r="HC181" s="333"/>
      <c r="HD181" s="333"/>
      <c r="HE181" s="333"/>
      <c r="HF181" s="333"/>
      <c r="HG181" s="331"/>
      <c r="HH181" s="331"/>
      <c r="HI181" s="331"/>
      <c r="HJ181" s="331"/>
      <c r="HK181" s="331"/>
      <c r="HL181" s="331"/>
      <c r="HM181" s="331"/>
      <c r="HN181" s="333"/>
      <c r="HO181" s="333"/>
      <c r="HP181" s="333"/>
      <c r="HQ181" s="333"/>
      <c r="HR181" s="333"/>
      <c r="HS181" s="333"/>
      <c r="HT181" s="333"/>
      <c r="HU181" s="333"/>
      <c r="HV181" s="333"/>
      <c r="HW181" s="333"/>
      <c r="HX181" s="333"/>
      <c r="HY181" s="333"/>
      <c r="HZ181" s="333"/>
      <c r="IA181" s="333"/>
      <c r="IB181" s="333"/>
      <c r="IC181" s="333"/>
      <c r="ID181" s="55"/>
      <c r="IE181" s="47"/>
    </row>
    <row r="182" spans="13:239" s="142" customFormat="1" ht="15" customHeight="1">
      <c r="M182" s="333"/>
      <c r="N182" s="333"/>
      <c r="O182" s="333"/>
      <c r="P182" s="333"/>
      <c r="Q182" s="333"/>
      <c r="R182" s="333"/>
      <c r="S182" s="333"/>
      <c r="T182" s="333"/>
      <c r="U182" s="333"/>
      <c r="V182" s="333"/>
      <c r="W182" s="333"/>
      <c r="X182" s="333"/>
      <c r="Y182" s="333"/>
      <c r="Z182" s="333"/>
      <c r="AA182" s="333"/>
      <c r="AB182" s="333"/>
      <c r="AC182" s="333"/>
      <c r="AD182" s="333"/>
      <c r="AE182" s="333"/>
      <c r="AF182" s="333"/>
      <c r="AG182" s="333"/>
      <c r="AH182" s="333"/>
      <c r="AI182" s="333"/>
      <c r="AJ182" s="333"/>
      <c r="AK182" s="333"/>
      <c r="AL182" s="333"/>
      <c r="AM182" s="333"/>
      <c r="AN182" s="333"/>
      <c r="AO182" s="333"/>
      <c r="AP182" s="333"/>
      <c r="AQ182" s="333"/>
      <c r="AR182" s="333"/>
      <c r="AS182" s="333"/>
      <c r="AT182" s="333"/>
      <c r="AU182" s="333"/>
      <c r="AV182" s="333"/>
      <c r="AW182" s="333"/>
      <c r="AX182" s="333"/>
      <c r="AY182" s="333"/>
      <c r="AZ182" s="333"/>
      <c r="BA182" s="333"/>
      <c r="BB182" s="333"/>
      <c r="BC182" s="333"/>
      <c r="BD182" s="333"/>
      <c r="BE182" s="333"/>
      <c r="BF182" s="333"/>
      <c r="BG182" s="333"/>
      <c r="BH182" s="333"/>
      <c r="BI182" s="333"/>
      <c r="BJ182" s="333"/>
      <c r="BK182" s="333"/>
      <c r="BL182" s="333"/>
      <c r="BM182" s="333"/>
      <c r="BN182" s="333"/>
      <c r="BO182" s="333"/>
      <c r="BP182" s="333"/>
      <c r="BQ182" s="333"/>
      <c r="BR182" s="333"/>
      <c r="BS182" s="333"/>
      <c r="BT182" s="333"/>
      <c r="BU182" s="333"/>
      <c r="BV182" s="333"/>
      <c r="BW182" s="333"/>
      <c r="BX182" s="333"/>
      <c r="BY182" s="333"/>
      <c r="BZ182" s="333"/>
      <c r="CA182" s="333"/>
      <c r="CB182" s="333"/>
      <c r="CC182" s="333"/>
      <c r="CD182" s="333"/>
      <c r="CE182" s="333"/>
      <c r="CF182" s="333"/>
      <c r="CG182" s="333"/>
      <c r="CH182" s="333"/>
      <c r="CI182" s="333"/>
      <c r="CJ182" s="333"/>
      <c r="CK182" s="333"/>
      <c r="CL182" s="333"/>
      <c r="CM182" s="333"/>
      <c r="CN182" s="333"/>
      <c r="CO182" s="333"/>
      <c r="CP182" s="333"/>
      <c r="CQ182" s="333"/>
      <c r="CR182" s="333"/>
      <c r="CS182" s="333"/>
      <c r="CT182" s="333"/>
      <c r="CU182" s="333"/>
      <c r="CV182" s="333"/>
      <c r="CW182" s="333"/>
      <c r="CX182" s="333"/>
      <c r="CY182" s="333"/>
      <c r="CZ182" s="333"/>
      <c r="DA182" s="333"/>
      <c r="DB182" s="333"/>
      <c r="DC182" s="333"/>
      <c r="DD182" s="333"/>
      <c r="DE182" s="333"/>
      <c r="DF182" s="333"/>
      <c r="DG182" s="333"/>
      <c r="DH182" s="333"/>
      <c r="DI182" s="333"/>
      <c r="DJ182" s="333"/>
      <c r="DK182" s="333"/>
      <c r="DL182" s="333"/>
      <c r="DM182" s="333"/>
      <c r="DN182" s="333"/>
      <c r="DO182" s="333"/>
      <c r="DP182" s="333"/>
      <c r="DQ182" s="333"/>
      <c r="DR182" s="333"/>
      <c r="DS182" s="333"/>
      <c r="DT182" s="333"/>
      <c r="DU182" s="375"/>
      <c r="DV182" s="375"/>
      <c r="DW182" s="375"/>
      <c r="DX182" s="375"/>
      <c r="DY182" s="375"/>
      <c r="DZ182" s="375"/>
      <c r="EA182" s="375"/>
      <c r="EB182" s="375"/>
      <c r="EC182" s="359"/>
      <c r="ED182" s="359"/>
      <c r="EE182" s="359"/>
      <c r="EF182" s="359"/>
      <c r="EG182" s="359"/>
      <c r="EH182" s="359"/>
      <c r="EI182" s="359"/>
      <c r="EJ182" s="373"/>
      <c r="EK182" s="373"/>
      <c r="EL182" s="366"/>
      <c r="EM182" s="368"/>
      <c r="EN182" s="364"/>
      <c r="EO182" s="352">
        <f>IF(EO181=0, 0, SUM(EV179:FD183))</f>
        <v>0</v>
      </c>
      <c r="EP182" s="347"/>
      <c r="EQ182" s="342"/>
      <c r="ER182" s="522"/>
      <c r="ES182" s="916">
        <f>IF(ER182 = "", 0,
IF(AND(EP182 &gt; 0, EQ182 &gt;0), 0, IF(EO179 &lt;&gt; $Z$1,
IF(AND(EP182 &lt;&gt; "", EP182 &lt;&gt; 0), -(EP182 * ER182 * 100),
IF(AND(EQ182 &lt;&gt; "", EQ182 &lt;&gt; 0), (EQ182 * ER182 * 100), 0)),
IF(AND(EP182 &lt;&gt; "", EP182 &lt;&gt; 0), -(EP182 * ER182 * 1),
IF(AND(EQ182 &lt;&gt; "", EQ182 &lt;&gt; 0), (EQ182 * ER182 * 1), 0))  )))</f>
        <v>0</v>
      </c>
      <c r="ET182" s="917"/>
      <c r="EU182" s="918"/>
      <c r="EV182" s="916">
        <f>IF(ER182 = "", 0,
IF(AND(EP182 &gt; 0, EQ182 &gt;0), 0,  IF(EO179 &lt;&gt; $Z$1,
IF(AND(EP182 &lt;&gt; "", EP182 &lt;&gt; 0), -(EP182 * ER182 * 100 * (1 + COMIS_OPCION)),
IF(AND(EQ182 &lt;&gt; "", EQ182 &lt;&gt; 0), (EQ182 * ER182 * 100 * (1 - COMIS_OPCION)), 0)),
IF(AND(EP182 &lt;&gt; "", EP182 &lt;&gt; 0), -(EP182 * ER182 * 1 * (1 + COMIS_ACCION)),
IF(AND(EQ182 &lt;&gt; "", EQ182 &lt;&gt; 0), (EQ182 * ER182 * 1 * (1 - COMIS_ACCION)), 0))  )))</f>
        <v>0</v>
      </c>
      <c r="EW182" s="917"/>
      <c r="EX182" s="917"/>
      <c r="EY182" s="917"/>
      <c r="EZ182" s="917"/>
      <c r="FA182" s="917"/>
      <c r="FB182" s="917"/>
      <c r="FC182" s="917"/>
      <c r="FD182" s="925"/>
      <c r="FE182" s="340"/>
      <c r="FF182" s="340"/>
      <c r="FG182" s="365"/>
      <c r="FH182" s="365"/>
      <c r="FI182" s="354">
        <f>IF(FI181=0, 0, SUM(FP179:FX183))</f>
        <v>0</v>
      </c>
      <c r="FJ182" s="347"/>
      <c r="FK182" s="342"/>
      <c r="FL182" s="343"/>
      <c r="FM182" s="930">
        <f>IF(FL182 = "", 0,
IF(AND(FJ182 &gt; 0, FK182 &gt;0), 0,
IF(AND(FJ182 &lt;&gt; "", FJ182 &lt;&gt; 0), -(FJ182 * FL182 * 100),
IF(AND(FK182 &lt;&gt; "", FK182 &lt;&gt; 0), (FK182 * FL182 * 100), 0)) ))</f>
        <v>0</v>
      </c>
      <c r="FN182" s="931"/>
      <c r="FO182" s="932"/>
      <c r="FP182" s="930">
        <f>IF(FL182 = "", 0,
IF(AND(FJ182 &gt; 0, FK182 &gt;0), 0,
IF(AND(FJ182 &lt;&gt; "", FJ182 &lt;&gt; 0), -(FJ182 * FL182 * 100 * (1 + COMIS_OPCION)),
IF(AND(FK182 &lt;&gt; "", FK182 &lt;&gt; 0), (FK182 * FL182 * 100 * (1 - COMIS_OPCION)), 0)) ))</f>
        <v>0</v>
      </c>
      <c r="FQ182" s="931"/>
      <c r="FR182" s="931"/>
      <c r="FS182" s="931"/>
      <c r="FT182" s="931"/>
      <c r="FU182" s="931"/>
      <c r="FV182" s="931"/>
      <c r="FW182" s="931"/>
      <c r="FX182" s="933"/>
      <c r="FY182" s="341"/>
      <c r="FZ182" s="341"/>
      <c r="GA182" s="341"/>
      <c r="GB182" s="495">
        <v>0</v>
      </c>
      <c r="GC182" s="495">
        <v>0</v>
      </c>
      <c r="GD182" s="500"/>
      <c r="GE182" s="495">
        <v>0</v>
      </c>
      <c r="GF182" s="495">
        <v>0</v>
      </c>
      <c r="GG182" s="495">
        <v>0</v>
      </c>
      <c r="GH182" s="359"/>
      <c r="GI182" s="359"/>
      <c r="GJ182" s="501"/>
      <c r="GK182" s="495">
        <v>0</v>
      </c>
      <c r="GL182" s="495">
        <v>0</v>
      </c>
      <c r="GM182" s="495">
        <v>0</v>
      </c>
      <c r="GN182" s="359"/>
      <c r="GO182" s="359"/>
      <c r="GP182" s="501"/>
      <c r="GQ182" s="495">
        <v>0</v>
      </c>
      <c r="GR182" s="375"/>
      <c r="GS182" s="333"/>
      <c r="GT182" s="333"/>
      <c r="GU182" s="333"/>
      <c r="GV182" s="333"/>
      <c r="GW182" s="333"/>
      <c r="GX182" s="333"/>
      <c r="GY182" s="333"/>
      <c r="GZ182" s="333"/>
      <c r="HA182" s="333"/>
      <c r="HB182" s="333"/>
      <c r="HC182" s="333"/>
      <c r="HD182" s="333"/>
      <c r="HE182" s="333"/>
      <c r="HF182" s="333"/>
      <c r="HG182" s="331"/>
      <c r="HH182" s="331"/>
      <c r="HI182" s="331"/>
      <c r="HJ182" s="331"/>
      <c r="HK182" s="331"/>
      <c r="HL182" s="331"/>
      <c r="HM182" s="331"/>
      <c r="HN182" s="333"/>
      <c r="HO182" s="333"/>
      <c r="HP182" s="333"/>
      <c r="HQ182" s="333"/>
      <c r="HR182" s="333"/>
      <c r="HS182" s="333"/>
      <c r="HT182" s="333"/>
      <c r="HU182" s="333"/>
      <c r="HV182" s="333"/>
      <c r="HW182" s="333"/>
      <c r="HX182" s="333"/>
      <c r="HY182" s="333"/>
      <c r="HZ182" s="333"/>
      <c r="IA182" s="333"/>
      <c r="IB182" s="333"/>
      <c r="IC182" s="333"/>
      <c r="ID182" s="55"/>
      <c r="IE182" s="47"/>
    </row>
    <row r="183" spans="13:239" s="142" customFormat="1" ht="15" customHeight="1" thickBot="1">
      <c r="M183" s="333"/>
      <c r="N183" s="333"/>
      <c r="O183" s="333"/>
      <c r="P183" s="333"/>
      <c r="Q183" s="333"/>
      <c r="R183" s="333"/>
      <c r="S183" s="333"/>
      <c r="T183" s="333"/>
      <c r="U183" s="333"/>
      <c r="V183" s="333"/>
      <c r="W183" s="333"/>
      <c r="X183" s="333"/>
      <c r="Y183" s="333"/>
      <c r="Z183" s="333"/>
      <c r="AA183" s="333"/>
      <c r="AB183" s="333"/>
      <c r="AC183" s="333"/>
      <c r="AD183" s="333"/>
      <c r="AE183" s="333"/>
      <c r="AF183" s="333"/>
      <c r="AG183" s="333"/>
      <c r="AH183" s="333"/>
      <c r="AI183" s="333"/>
      <c r="AJ183" s="333"/>
      <c r="AK183" s="333"/>
      <c r="AL183" s="333"/>
      <c r="AM183" s="333"/>
      <c r="AN183" s="333"/>
      <c r="AO183" s="333"/>
      <c r="AP183" s="333"/>
      <c r="AQ183" s="333"/>
      <c r="AR183" s="333"/>
      <c r="AS183" s="333"/>
      <c r="AT183" s="333"/>
      <c r="AU183" s="333"/>
      <c r="AV183" s="333"/>
      <c r="AW183" s="333"/>
      <c r="AX183" s="333"/>
      <c r="AY183" s="333"/>
      <c r="AZ183" s="333"/>
      <c r="BA183" s="333"/>
      <c r="BB183" s="333"/>
      <c r="BC183" s="333"/>
      <c r="BD183" s="333"/>
      <c r="BE183" s="333"/>
      <c r="BF183" s="333"/>
      <c r="BG183" s="333"/>
      <c r="BH183" s="333"/>
      <c r="BI183" s="333"/>
      <c r="BJ183" s="333"/>
      <c r="BK183" s="333"/>
      <c r="BL183" s="333"/>
      <c r="BM183" s="333"/>
      <c r="BN183" s="333"/>
      <c r="BO183" s="333"/>
      <c r="BP183" s="333"/>
      <c r="BQ183" s="333"/>
      <c r="BR183" s="333"/>
      <c r="BS183" s="333"/>
      <c r="BT183" s="333"/>
      <c r="BU183" s="333"/>
      <c r="BV183" s="333"/>
      <c r="BW183" s="333"/>
      <c r="BX183" s="333"/>
      <c r="BY183" s="333"/>
      <c r="BZ183" s="333"/>
      <c r="CA183" s="333"/>
      <c r="CB183" s="333"/>
      <c r="CC183" s="333"/>
      <c r="CD183" s="333"/>
      <c r="CE183" s="333"/>
      <c r="CF183" s="333"/>
      <c r="CG183" s="333"/>
      <c r="CH183" s="333"/>
      <c r="CI183" s="333"/>
      <c r="CJ183" s="333"/>
      <c r="CK183" s="333"/>
      <c r="CL183" s="333"/>
      <c r="CM183" s="333"/>
      <c r="CN183" s="333"/>
      <c r="CO183" s="333"/>
      <c r="CP183" s="333"/>
      <c r="CQ183" s="333"/>
      <c r="CR183" s="333"/>
      <c r="CS183" s="333"/>
      <c r="CT183" s="333"/>
      <c r="CU183" s="333"/>
      <c r="CV183" s="333"/>
      <c r="CW183" s="333"/>
      <c r="CX183" s="333"/>
      <c r="CY183" s="333"/>
      <c r="CZ183" s="333"/>
      <c r="DA183" s="333"/>
      <c r="DB183" s="333"/>
      <c r="DC183" s="333"/>
      <c r="DD183" s="333"/>
      <c r="DE183" s="333"/>
      <c r="DF183" s="333"/>
      <c r="DG183" s="333"/>
      <c r="DH183" s="333"/>
      <c r="DI183" s="333"/>
      <c r="DJ183" s="333"/>
      <c r="DK183" s="333"/>
      <c r="DL183" s="333"/>
      <c r="DM183" s="333"/>
      <c r="DN183" s="333"/>
      <c r="DO183" s="333"/>
      <c r="DP183" s="333"/>
      <c r="DQ183" s="333"/>
      <c r="DR183" s="333"/>
      <c r="DS183" s="333"/>
      <c r="DT183" s="333"/>
      <c r="DU183" s="375"/>
      <c r="DV183" s="375"/>
      <c r="DW183" s="375"/>
      <c r="DX183" s="375"/>
      <c r="DY183" s="375"/>
      <c r="DZ183" s="375"/>
      <c r="EA183" s="375"/>
      <c r="EB183" s="375"/>
      <c r="EC183" s="375"/>
      <c r="ED183" s="375"/>
      <c r="EE183" s="375"/>
      <c r="EF183" s="375"/>
      <c r="EG183" s="375"/>
      <c r="EH183" s="375"/>
      <c r="EI183" s="375"/>
      <c r="EJ183" s="373"/>
      <c r="EK183" s="373"/>
      <c r="EL183" s="366"/>
      <c r="EM183" s="368"/>
      <c r="EN183" s="364"/>
      <c r="EO183" s="353">
        <f>+IF(EO181= 0, 0, GG179)</f>
        <v>0</v>
      </c>
      <c r="EP183" s="350"/>
      <c r="EQ183" s="344"/>
      <c r="ER183" s="523"/>
      <c r="ES183" s="921">
        <f>IF(ER183 = "", 0,
IF(AND(EP183 &gt; 0, EQ183 &gt;0), 0, IF(EO179 &lt;&gt; $Z$1,
IF(AND(EP183 &lt;&gt; "", EP183 &lt;&gt; 0), -(EP183 * ER183 * 100),
IF(AND(EQ183 &lt;&gt; "", EQ183 &lt;&gt; 0), (EQ183 * ER183 * 100), 0)),
IF(AND(EP183 &lt;&gt; "", EP183 &lt;&gt; 0), -(EP183 * ER183 * 1),
IF(AND(EQ183 &lt;&gt; "", EQ183 &lt;&gt; 0), (EQ183 * ER183 * 1), 0))  )))</f>
        <v>0</v>
      </c>
      <c r="ET183" s="922"/>
      <c r="EU183" s="924"/>
      <c r="EV183" s="921">
        <f>IF(ER183 = "", 0,
IF(AND(EP183 &gt; 0, EQ183 &gt;0), 0,  IF(EO179 &lt;&gt; $Z$1,
IF(AND(EP183 &lt;&gt; "", EP183 &lt;&gt; 0), -(EP183 * ER183 * 100 * (1 + COMIS_OPCION)),
IF(AND(EQ183 &lt;&gt; "", EQ183 &lt;&gt; 0), (EQ183 * ER183 * 100 * (1 - COMIS_OPCION)), 0)),
IF(AND(EP183 &lt;&gt; "", EP183 &lt;&gt; 0), -(EP183 * ER183 * 1 * (1 + COMIS_ACCION)),
IF(AND(EQ183 &lt;&gt; "", EQ183 &lt;&gt; 0), (EQ183 * ER183 * 1 * (1 - COMIS_ACCION)), 0))  )))</f>
        <v>0</v>
      </c>
      <c r="EW183" s="922"/>
      <c r="EX183" s="922"/>
      <c r="EY183" s="922"/>
      <c r="EZ183" s="922"/>
      <c r="FA183" s="922"/>
      <c r="FB183" s="922"/>
      <c r="FC183" s="922"/>
      <c r="FD183" s="923"/>
      <c r="FE183" s="340"/>
      <c r="FF183" s="340"/>
      <c r="FG183" s="365"/>
      <c r="FH183" s="365"/>
      <c r="FI183" s="349">
        <f>+IF(FI181= 0, 0, GQ179)</f>
        <v>0</v>
      </c>
      <c r="FJ183" s="348"/>
      <c r="FK183" s="345"/>
      <c r="FL183" s="346"/>
      <c r="FM183" s="937">
        <f>IF(FL183 = "", 0,
IF(AND(FJ183 &gt; 0, FK183 &gt;0), 0,
IF(AND(FJ183 &lt;&gt; "", FJ183 &lt;&gt; 0), -(FJ183 * FL183 * 100),
IF(AND(FK183 &lt;&gt; "", FK183 &lt;&gt; 0), (FK183 * FL183 * 100), 0)) ))</f>
        <v>0</v>
      </c>
      <c r="FN183" s="938"/>
      <c r="FO183" s="939"/>
      <c r="FP183" s="937">
        <f>IF(FL183 = "", 0,
IF(AND(FJ183 &gt; 0, FK183 &gt;0), 0,
IF(AND(FJ183 &lt;&gt; "", FJ183 &lt;&gt; 0), -(FJ183 * FL183 * 100 * (1 + COMIS_OPCION)),
IF(AND(FK183 &lt;&gt; "", FK183 &lt;&gt; 0), (FK183 * FL183 * 100 * (1 - COMIS_OPCION)), 0)) ))</f>
        <v>0</v>
      </c>
      <c r="FQ183" s="938"/>
      <c r="FR183" s="938"/>
      <c r="FS183" s="938"/>
      <c r="FT183" s="938"/>
      <c r="FU183" s="938"/>
      <c r="FV183" s="938"/>
      <c r="FW183" s="938"/>
      <c r="FX183" s="969"/>
      <c r="FY183" s="341"/>
      <c r="FZ183" s="341"/>
      <c r="GA183" s="341"/>
      <c r="GB183" s="495">
        <v>0</v>
      </c>
      <c r="GC183" s="495">
        <v>0</v>
      </c>
      <c r="GD183" s="500"/>
      <c r="GE183" s="495">
        <v>0</v>
      </c>
      <c r="GF183" s="495">
        <v>0</v>
      </c>
      <c r="GG183" s="495">
        <v>0</v>
      </c>
      <c r="GH183" s="359"/>
      <c r="GI183" s="359"/>
      <c r="GJ183" s="501"/>
      <c r="GK183" s="495">
        <v>0</v>
      </c>
      <c r="GL183" s="495">
        <v>0</v>
      </c>
      <c r="GM183" s="495">
        <v>0</v>
      </c>
      <c r="GN183" s="359"/>
      <c r="GO183" s="359"/>
      <c r="GP183" s="501"/>
      <c r="GQ183" s="495">
        <v>0</v>
      </c>
      <c r="GR183" s="375"/>
      <c r="GS183" s="333"/>
      <c r="GT183" s="333"/>
      <c r="GU183" s="333"/>
      <c r="GV183" s="333"/>
      <c r="GW183" s="333"/>
      <c r="GX183" s="333"/>
      <c r="GY183" s="333"/>
      <c r="GZ183" s="333"/>
      <c r="HA183" s="333"/>
      <c r="HB183" s="333"/>
      <c r="HC183" s="333"/>
      <c r="HD183" s="333"/>
      <c r="HE183" s="333"/>
      <c r="HF183" s="333"/>
      <c r="HG183" s="331"/>
      <c r="HH183" s="331"/>
      <c r="HI183" s="331"/>
      <c r="HJ183" s="331"/>
      <c r="HK183" s="331"/>
      <c r="HL183" s="331"/>
      <c r="HM183" s="331"/>
      <c r="HN183" s="333"/>
      <c r="HO183" s="333"/>
      <c r="HP183" s="333"/>
      <c r="HQ183" s="333"/>
      <c r="HR183" s="333"/>
      <c r="HS183" s="333"/>
      <c r="HT183" s="333"/>
      <c r="HU183" s="333"/>
      <c r="HV183" s="333"/>
      <c r="HW183" s="333"/>
      <c r="HX183" s="333"/>
      <c r="HY183" s="333"/>
      <c r="HZ183" s="333"/>
      <c r="IA183" s="333"/>
      <c r="IB183" s="333"/>
      <c r="IC183" s="333"/>
      <c r="ID183" s="55"/>
      <c r="IE183" s="47"/>
    </row>
    <row r="184" spans="13:239" s="142" customFormat="1" ht="15" customHeight="1" thickBot="1">
      <c r="M184" s="333"/>
      <c r="N184" s="333"/>
      <c r="O184" s="333"/>
      <c r="P184" s="333"/>
      <c r="Q184" s="333"/>
      <c r="R184" s="333"/>
      <c r="S184" s="333"/>
      <c r="T184" s="333"/>
      <c r="U184" s="333"/>
      <c r="V184" s="333"/>
      <c r="W184" s="333"/>
      <c r="X184" s="333"/>
      <c r="Y184" s="333"/>
      <c r="Z184" s="333"/>
      <c r="AA184" s="333"/>
      <c r="AB184" s="333"/>
      <c r="AC184" s="333"/>
      <c r="AD184" s="333"/>
      <c r="AE184" s="333"/>
      <c r="AF184" s="333"/>
      <c r="AG184" s="333"/>
      <c r="AH184" s="333"/>
      <c r="AI184" s="333"/>
      <c r="AJ184" s="333"/>
      <c r="AK184" s="333"/>
      <c r="AL184" s="333"/>
      <c r="AM184" s="333"/>
      <c r="AN184" s="333"/>
      <c r="AO184" s="333"/>
      <c r="AP184" s="333"/>
      <c r="AQ184" s="333"/>
      <c r="AR184" s="333"/>
      <c r="AS184" s="333"/>
      <c r="AT184" s="333"/>
      <c r="AU184" s="333"/>
      <c r="AV184" s="333"/>
      <c r="AW184" s="333"/>
      <c r="AX184" s="333"/>
      <c r="AY184" s="333"/>
      <c r="AZ184" s="333"/>
      <c r="BA184" s="333"/>
      <c r="BB184" s="333"/>
      <c r="BC184" s="333"/>
      <c r="BD184" s="333"/>
      <c r="BE184" s="333"/>
      <c r="BF184" s="333"/>
      <c r="BG184" s="333"/>
      <c r="BH184" s="333"/>
      <c r="BI184" s="333"/>
      <c r="BJ184" s="333"/>
      <c r="BK184" s="333"/>
      <c r="BL184" s="333"/>
      <c r="BM184" s="333"/>
      <c r="BN184" s="333"/>
      <c r="BO184" s="333"/>
      <c r="BP184" s="333"/>
      <c r="BQ184" s="333"/>
      <c r="BR184" s="333"/>
      <c r="BS184" s="333"/>
      <c r="BT184" s="333"/>
      <c r="BU184" s="333"/>
      <c r="BV184" s="333"/>
      <c r="BW184" s="333"/>
      <c r="BX184" s="333"/>
      <c r="BY184" s="333"/>
      <c r="BZ184" s="333"/>
      <c r="CA184" s="333"/>
      <c r="CB184" s="333"/>
      <c r="CC184" s="333"/>
      <c r="CD184" s="333"/>
      <c r="CE184" s="333"/>
      <c r="CF184" s="333"/>
      <c r="CG184" s="333"/>
      <c r="CH184" s="333"/>
      <c r="CI184" s="333"/>
      <c r="CJ184" s="333"/>
      <c r="CK184" s="333"/>
      <c r="CL184" s="333"/>
      <c r="CM184" s="333"/>
      <c r="CN184" s="333"/>
      <c r="CO184" s="333"/>
      <c r="CP184" s="333"/>
      <c r="CQ184" s="333"/>
      <c r="CR184" s="333"/>
      <c r="CS184" s="333"/>
      <c r="CT184" s="333"/>
      <c r="CU184" s="333"/>
      <c r="CV184" s="333"/>
      <c r="CW184" s="333"/>
      <c r="CX184" s="333"/>
      <c r="CY184" s="333"/>
      <c r="CZ184" s="333"/>
      <c r="DA184" s="333"/>
      <c r="DB184" s="333"/>
      <c r="DC184" s="333"/>
      <c r="DD184" s="333"/>
      <c r="DE184" s="333"/>
      <c r="DF184" s="333"/>
      <c r="DG184" s="333"/>
      <c r="DH184" s="333"/>
      <c r="DI184" s="333"/>
      <c r="DJ184" s="333"/>
      <c r="DK184" s="333"/>
      <c r="DL184" s="333"/>
      <c r="DM184" s="333"/>
      <c r="DN184" s="333"/>
      <c r="DO184" s="333"/>
      <c r="DP184" s="333"/>
      <c r="DQ184" s="333"/>
      <c r="DR184" s="333"/>
      <c r="DS184" s="333"/>
      <c r="DT184" s="333"/>
      <c r="DU184" s="375"/>
      <c r="DV184" s="375"/>
      <c r="DW184" s="375"/>
      <c r="DX184" s="375"/>
      <c r="DY184" s="375"/>
      <c r="DZ184" s="375"/>
      <c r="EA184" s="375"/>
      <c r="EB184" s="375"/>
      <c r="EC184" s="375"/>
      <c r="ED184" s="375"/>
      <c r="EE184" s="375"/>
      <c r="EF184" s="375"/>
      <c r="EG184" s="375"/>
      <c r="EH184" s="375"/>
      <c r="EI184" s="375"/>
      <c r="EJ184" s="373"/>
      <c r="EK184" s="373"/>
      <c r="EL184" s="366"/>
      <c r="EM184" s="366"/>
      <c r="EN184" s="364"/>
      <c r="EO184" s="363"/>
      <c r="EP184" s="340"/>
      <c r="EQ184" s="340"/>
      <c r="ER184" s="340"/>
      <c r="ES184" s="363"/>
      <c r="ET184" s="363"/>
      <c r="EU184" s="340"/>
      <c r="EV184" s="340"/>
      <c r="EW184" s="340"/>
      <c r="EX184" s="340"/>
      <c r="EY184" s="340"/>
      <c r="EZ184" s="340"/>
      <c r="FA184" s="340"/>
      <c r="FB184" s="402"/>
      <c r="FC184" s="402"/>
      <c r="FD184" s="340"/>
      <c r="FE184" s="340"/>
      <c r="FF184" s="340"/>
      <c r="FG184" s="364"/>
      <c r="FH184" s="364"/>
      <c r="FI184" s="363"/>
      <c r="FJ184" s="360"/>
      <c r="FK184" s="360"/>
      <c r="FL184" s="340"/>
      <c r="FM184" s="967"/>
      <c r="FN184" s="967"/>
      <c r="FO184" s="967"/>
      <c r="FP184" s="968"/>
      <c r="FQ184" s="968"/>
      <c r="FR184" s="968"/>
      <c r="FS184" s="968"/>
      <c r="FT184" s="968"/>
      <c r="FU184" s="968"/>
      <c r="FV184" s="968"/>
      <c r="FW184" s="968"/>
      <c r="FX184" s="968"/>
      <c r="FY184" s="341"/>
      <c r="FZ184" s="341"/>
      <c r="GA184" s="341"/>
      <c r="GB184" s="495">
        <v>0</v>
      </c>
      <c r="GC184" s="495">
        <v>0</v>
      </c>
      <c r="GD184" s="500"/>
      <c r="GE184" s="495">
        <v>0</v>
      </c>
      <c r="GF184" s="495">
        <v>0</v>
      </c>
      <c r="GG184" s="495">
        <v>0</v>
      </c>
      <c r="GH184" s="359"/>
      <c r="GI184" s="359"/>
      <c r="GJ184" s="501"/>
      <c r="GK184" s="495">
        <v>0</v>
      </c>
      <c r="GL184" s="495">
        <v>0</v>
      </c>
      <c r="GM184" s="495">
        <v>0</v>
      </c>
      <c r="GN184" s="359"/>
      <c r="GO184" s="359"/>
      <c r="GP184" s="501"/>
      <c r="GQ184" s="495">
        <v>0</v>
      </c>
      <c r="GR184" s="375"/>
      <c r="GS184" s="333"/>
      <c r="GT184" s="333"/>
      <c r="GU184" s="333"/>
      <c r="GV184" s="333"/>
      <c r="GW184" s="333"/>
      <c r="GX184" s="333"/>
      <c r="GY184" s="333"/>
      <c r="GZ184" s="333"/>
      <c r="HA184" s="333"/>
      <c r="HB184" s="333"/>
      <c r="HC184" s="333"/>
      <c r="HD184" s="333"/>
      <c r="HE184" s="333"/>
      <c r="HF184" s="333"/>
      <c r="HG184" s="331"/>
      <c r="HH184" s="331"/>
      <c r="HI184" s="331"/>
      <c r="HJ184" s="331"/>
      <c r="HK184" s="331"/>
      <c r="HL184" s="331"/>
      <c r="HM184" s="331"/>
      <c r="HN184" s="333"/>
      <c r="HO184" s="333"/>
      <c r="HP184" s="333"/>
      <c r="HQ184" s="333"/>
      <c r="HR184" s="333"/>
      <c r="HS184" s="333"/>
      <c r="HT184" s="333"/>
      <c r="HU184" s="333"/>
      <c r="HV184" s="333"/>
      <c r="HW184" s="333"/>
      <c r="HX184" s="333"/>
      <c r="HY184" s="333"/>
      <c r="HZ184" s="333"/>
      <c r="IA184" s="333"/>
      <c r="IB184" s="333"/>
      <c r="IC184" s="333"/>
      <c r="ID184" s="55"/>
      <c r="IE184" s="47"/>
    </row>
    <row r="185" spans="13:239" s="142" customFormat="1" ht="15" customHeight="1">
      <c r="M185" s="333"/>
      <c r="N185" s="333"/>
      <c r="O185" s="333"/>
      <c r="P185" s="333"/>
      <c r="Q185" s="333"/>
      <c r="R185" s="333"/>
      <c r="S185" s="333"/>
      <c r="T185" s="333"/>
      <c r="U185" s="333"/>
      <c r="V185" s="333"/>
      <c r="W185" s="333"/>
      <c r="X185" s="333"/>
      <c r="Y185" s="333"/>
      <c r="Z185" s="333"/>
      <c r="AA185" s="333"/>
      <c r="AB185" s="333"/>
      <c r="AC185" s="333"/>
      <c r="AD185" s="333"/>
      <c r="AE185" s="333"/>
      <c r="AF185" s="333"/>
      <c r="AG185" s="333"/>
      <c r="AH185" s="333"/>
      <c r="AI185" s="333"/>
      <c r="AJ185" s="333"/>
      <c r="AK185" s="333"/>
      <c r="AL185" s="333"/>
      <c r="AM185" s="333"/>
      <c r="AN185" s="333"/>
      <c r="AO185" s="333"/>
      <c r="AP185" s="333"/>
      <c r="AQ185" s="333"/>
      <c r="AR185" s="333"/>
      <c r="AS185" s="333"/>
      <c r="AT185" s="333"/>
      <c r="AU185" s="333"/>
      <c r="AV185" s="333"/>
      <c r="AW185" s="333"/>
      <c r="AX185" s="333"/>
      <c r="AY185" s="333"/>
      <c r="AZ185" s="333"/>
      <c r="BA185" s="333"/>
      <c r="BB185" s="333"/>
      <c r="BC185" s="333"/>
      <c r="BD185" s="333"/>
      <c r="BE185" s="333"/>
      <c r="BF185" s="333"/>
      <c r="BG185" s="333"/>
      <c r="BH185" s="333"/>
      <c r="BI185" s="333"/>
      <c r="BJ185" s="333"/>
      <c r="BK185" s="333"/>
      <c r="BL185" s="333"/>
      <c r="BM185" s="333"/>
      <c r="BN185" s="333"/>
      <c r="BO185" s="333"/>
      <c r="BP185" s="333"/>
      <c r="BQ185" s="333"/>
      <c r="BR185" s="333"/>
      <c r="BS185" s="333"/>
      <c r="BT185" s="333"/>
      <c r="BU185" s="333"/>
      <c r="BV185" s="333"/>
      <c r="BW185" s="333"/>
      <c r="BX185" s="333"/>
      <c r="BY185" s="333"/>
      <c r="BZ185" s="333"/>
      <c r="CA185" s="333"/>
      <c r="CB185" s="333"/>
      <c r="CC185" s="333"/>
      <c r="CD185" s="333"/>
      <c r="CE185" s="333"/>
      <c r="CF185" s="333"/>
      <c r="CG185" s="333"/>
      <c r="CH185" s="333"/>
      <c r="CI185" s="333"/>
      <c r="CJ185" s="333"/>
      <c r="CK185" s="333"/>
      <c r="CL185" s="333"/>
      <c r="CM185" s="333"/>
      <c r="CN185" s="333"/>
      <c r="CO185" s="333"/>
      <c r="CP185" s="333"/>
      <c r="CQ185" s="333"/>
      <c r="CR185" s="333"/>
      <c r="CS185" s="333"/>
      <c r="CT185" s="333"/>
      <c r="CU185" s="333"/>
      <c r="CV185" s="333"/>
      <c r="CW185" s="333"/>
      <c r="CX185" s="333"/>
      <c r="CY185" s="333"/>
      <c r="CZ185" s="333"/>
      <c r="DA185" s="333"/>
      <c r="DB185" s="333"/>
      <c r="DC185" s="333"/>
      <c r="DD185" s="333"/>
      <c r="DE185" s="333"/>
      <c r="DF185" s="333"/>
      <c r="DG185" s="333"/>
      <c r="DH185" s="333"/>
      <c r="DI185" s="333"/>
      <c r="DJ185" s="333"/>
      <c r="DK185" s="333"/>
      <c r="DL185" s="333"/>
      <c r="DM185" s="333"/>
      <c r="DN185" s="333"/>
      <c r="DO185" s="333"/>
      <c r="DP185" s="333"/>
      <c r="DQ185" s="333"/>
      <c r="DR185" s="333"/>
      <c r="DS185" s="333"/>
      <c r="DT185" s="333"/>
      <c r="DU185" s="375"/>
      <c r="DV185" s="375"/>
      <c r="DW185" s="375"/>
      <c r="DX185" s="375"/>
      <c r="DY185" s="375"/>
      <c r="DZ185" s="375"/>
      <c r="EA185" s="375"/>
      <c r="EB185" s="375"/>
      <c r="EC185" s="375"/>
      <c r="ED185" s="375"/>
      <c r="EE185" s="375"/>
      <c r="EF185" s="375"/>
      <c r="EG185" s="375"/>
      <c r="EH185" s="375"/>
      <c r="EI185" s="375"/>
      <c r="EJ185" s="373"/>
      <c r="EK185" s="373"/>
      <c r="EL185" s="366"/>
      <c r="EM185" s="366"/>
      <c r="EN185" s="364">
        <f>+EN179+1</f>
        <v>23</v>
      </c>
      <c r="EO185" s="356">
        <f>+VLOOKUP(EN185, PRECIOS_EJERCICIOS,  2,FALSE)</f>
        <v>280</v>
      </c>
      <c r="EP185" s="513" t="str">
        <f>+IF($AQ$49 = FALSE, "",
IF(VLOOKUP(EO185, basesCantPrimaBrutoRes, 2,FALSE) &gt;= 0, VLOOKUP(EO185, basesCantPrimaBrutoRes, 2,FALSE), 0))</f>
        <v/>
      </c>
      <c r="EQ185" s="514" t="str">
        <f>+IF($AQ$49 = FALSE, "",
IF(VLOOKUP(EO185, basesCantPrimaBrutoRes, 2,FALSE) &lt; 0, -VLOOKUP(EO185, basesCantPrimaBrutoRes, 2,FALSE), 0))</f>
        <v/>
      </c>
      <c r="ER185" s="521" t="str">
        <f>IF($AQ$49 = FALSE, "",
VLOOKUP(EO185, basesCantPrimaBrutoRes, 4,FALSE))</f>
        <v/>
      </c>
      <c r="ES185" s="926">
        <f>IF(ER185 = "", 0,
IF(AND(EP185 &gt; 0, EQ185 &gt;0), 0, IF(EO185 &lt;&gt; $Z$1,
IF(AND(EP185 &lt;&gt; "", EP185 &lt;&gt; 0), -(EP185 * ER185 * 100),
IF(AND(EQ185 &lt;&gt; "", EQ185 &lt;&gt; 0), (EQ185 * ER185 * 100), 0)),
IF(AND(EP185 &lt;&gt; "", EP185 &lt;&gt; 0), -(EP185 * ER185 * 1),
IF(AND(EQ185 &lt;&gt; "", EQ185 &lt;&gt; 0), (EQ185 * ER185 * 1), 0))  )))</f>
        <v>0</v>
      </c>
      <c r="ET185" s="927"/>
      <c r="EU185" s="928"/>
      <c r="EV185" s="926">
        <f>IF(ER185 = "", 0,
IF(AND(EP185 &gt; 0, EQ185 &gt;0), 0,  IF(EO185 &lt;&gt; $Z$1,
IF(AND(EP185 &lt;&gt; "", EP185 &lt;&gt; 0), -(EP185 * ER185 * 100 * (1 + COMIS_OPCION)),
IF(AND(EQ185 &lt;&gt; "", EQ185 &lt;&gt; 0), (EQ185 * ER185 * 100 * (1 - COMIS_OPCION)), 0)),
IF(AND(EP185 &lt;&gt; "", EP185 &lt;&gt; 0), -(EP185 * ER185 * 1 * (1 + COMIS_ACCION)),
IF(AND(EQ185 &lt;&gt; "", EQ185 &lt;&gt; 0), (EQ185 * ER185 * 1 * (1 - COMIS_ACCION)), 0))  )))</f>
        <v>0</v>
      </c>
      <c r="EW185" s="927"/>
      <c r="EX185" s="927"/>
      <c r="EY185" s="927"/>
      <c r="EZ185" s="927"/>
      <c r="FA185" s="927"/>
      <c r="FB185" s="927"/>
      <c r="FC185" s="927"/>
      <c r="FD185" s="929"/>
      <c r="FE185" s="340"/>
      <c r="FF185" s="340"/>
      <c r="FG185" s="364"/>
      <c r="FH185" s="364">
        <f>+FH179+1</f>
        <v>23</v>
      </c>
      <c r="FI185" s="357">
        <f>+VLOOKUP(FH185, PRECIOS_EJERCICIOS,  2,FALSE)</f>
        <v>280</v>
      </c>
      <c r="FJ185" s="515" t="str">
        <f>+IF($AQ$49 = FALSE, "",
IF(VLOOKUP(EO185, basesCantPrimaBrutoRes, 5,FALSE) &gt;= 0, VLOOKUP(EO185, basesCantPrimaBrutoRes, 5,FALSE), 0))</f>
        <v/>
      </c>
      <c r="FK185" s="516" t="str">
        <f>+IF($AQ$49 = FALSE, "",
IF(VLOOKUP(EO185, basesCantPrimaBrutoRes, 5,FALSE) &lt; 0, -VLOOKUP(EO185, basesCantPrimaBrutoRes, 5,FALSE), 0))</f>
        <v/>
      </c>
      <c r="FL185" s="517" t="str">
        <f>IF($AQ$49 = FALSE, "",
VLOOKUP(EO185, basesCantPrimaBrutoRes, 7,FALSE))</f>
        <v/>
      </c>
      <c r="FM185" s="934">
        <f>IF(FL185 = "", 0,
IF(AND(FJ185 &gt; 0, FK185 &gt;0), 0,
IF(AND(FJ185 &lt;&gt; "", FJ185 &lt;&gt; 0), -(FJ185 * FL185 * 100),
IF(AND(FK185 &lt;&gt; "", FK185 &lt;&gt; 0), (FK185 * FL185 * 100), 0)) ))</f>
        <v>0</v>
      </c>
      <c r="FN185" s="935"/>
      <c r="FO185" s="936"/>
      <c r="FP185" s="934">
        <f>IF(FL185 = "", 0,
IF(AND(FJ185 &gt; 0, FK185 &gt;0), 0,
IF(AND(FJ185 &lt;&gt; "", FJ185 &lt;&gt; 0), -(FJ185 * FL185 * 100 * (1 + COMIS_OPCION)),
IF(AND(FK185 &lt;&gt; "", FK185 &lt;&gt; 0), (FK185 * FL185 * 100 * (1 - COMIS_OPCION)), 0)) ))</f>
        <v>0</v>
      </c>
      <c r="FQ185" s="935"/>
      <c r="FR185" s="935"/>
      <c r="FS185" s="935"/>
      <c r="FT185" s="935"/>
      <c r="FU185" s="935"/>
      <c r="FV185" s="935"/>
      <c r="FW185" s="935"/>
      <c r="FX185" s="966"/>
      <c r="FY185" s="341"/>
      <c r="FZ185" s="341"/>
      <c r="GA185" s="341"/>
      <c r="GB185" s="495">
        <f>+IF(EN185 = "", "", EO185)</f>
        <v>280</v>
      </c>
      <c r="GC185" s="495" t="str">
        <f>+IF(GB185="", "", IF(EO185 = $Z$1, "ACCION", "CALL"))</f>
        <v>CALL</v>
      </c>
      <c r="GD185" s="500"/>
      <c r="GE185" s="495">
        <f>+IF(GB185= "", "", EO187)</f>
        <v>0</v>
      </c>
      <c r="GF185" s="495">
        <f>+IF(GB185 = "", "", IFERROR(IF(GB185 &lt;&gt; $Z$1,
IF(GE185 &gt; 0, SUMIFS(ES185:ES189, EP185:EP189, "&gt;0", ES185:ES189, "&lt;&gt;0") / SUMIFS(EP185:EP189, EP185:EP189, "&gt;0", ES185:ES189, "&lt;&gt;0") / -100,
IF(GE185 &lt; 0, SUMIFS(ES185:ES189, EQ185:EQ189, "&gt;0", ES185:ES189, "&lt;&gt;0") / SUMIFS(EQ185:EQ189, EQ185:EQ189, "&gt;0", ES185:ES189, "&lt;&gt;0") / 100, 0)),
IF(GE185 &gt; 0, SUMIFS(ES185:ES189, EP185:EP189, "&gt;0", ES185:ES189, "&lt;&gt;0") / SUMIFS(EP185:EP189, EP185:EP189, "&gt;0", ES185:ES189, "&lt;&gt;0") / -1,
IF(GE185 &lt; 0, SUMIFS(ES185:ES189, EQ185:EQ189, "&gt;0", ES185:ES189, "&lt;&gt;0") / SUMIFS(EQ185:EQ189, EQ185:EQ189, "&gt;0", ES185:ES189, "&lt;&gt;0") / 1, 0)) ), 0))</f>
        <v>0</v>
      </c>
      <c r="GG185" s="495">
        <f>+IF(GB185 = "", "", IFERROR(IF(GB185 &lt;&gt; $Z$1,
IF(GE185 &gt; 0, SUMIFS(EV185:EV189, EP185:EP189, "&gt;0", EV185:EV189, "&lt;&gt;0") / SUMIFS(EP185:EP189, EP185:EP189, "&gt;0", EV185:EV189, "&lt;&gt;0") / -100,
IF(GE185 &lt; 0, SUMIFS(EV185:EV189, EQ185:EQ189, "&gt;0", EV185:EV189, "&lt;&gt;0") / SUMIFS(EQ185:EQ189, EQ185:EQ189, "&gt;0", EV185:EV189, "&lt;&gt;0") / 100, 0)),
IF(GE185 &gt; 0, SUMIFS(EV185:EV189, EP185:EP189, "&gt;0", EV185:EV189, "&lt;&gt;0") / SUMIFS(EP185:EP189, EP185:EP189, "&gt;0", EV185:EV189, "&lt;&gt;0") / -1,
IF(GE185 &lt; 0, SUMIFS(EV185:EV189, EQ185:EQ189, "&gt;0", EV185:EV189, "&lt;&gt;0") / SUMIFS(EQ185:EQ189, EQ185:EQ189, "&gt;0", EV185:EV189, "&lt;&gt;0") / 1, 0)) ), 0))</f>
        <v>0</v>
      </c>
      <c r="GH185" s="359"/>
      <c r="GI185" s="359"/>
      <c r="GJ185" s="501"/>
      <c r="GK185" s="495" t="str">
        <f>+IF(GB185="", "", "PUT")</f>
        <v>PUT</v>
      </c>
      <c r="GL185" s="495">
        <f>+IF(GB185 = "", "", FI187)</f>
        <v>0</v>
      </c>
      <c r="GM185" s="495">
        <f>+IF(GB185 = "", "", IFERROR(
IF(FI187 &gt; 0, SUMIFS(FM185:FM189, FJ185:FJ189, "&gt;0", FM185:FM189, "&lt;&gt;0") / SUMIFS(FJ185:FJ189, FJ185:FJ189, "&gt;0", FM185:FM189, "&lt;&gt;0") / -100,
IF(FI187 &lt; 0, SUMIFS(FM185:FM189, FK185:FK189, "&gt;0", FM185:FM189, "&lt;&gt;0") / SUMIFS(FK185:FK189, FK185:FK189, "&gt;0", FM185:FM189, "&lt;&gt;0") / 100, 0)), 0) )</f>
        <v>0</v>
      </c>
      <c r="GN185" s="359"/>
      <c r="GO185" s="359"/>
      <c r="GP185" s="501"/>
      <c r="GQ185" s="502">
        <f>+IF(GB185 = "", "", IFERROR(
IF(FI187 &gt; 0, SUMIFS(FP185:FP189, FJ185:FJ189, "&gt;0", FP185:FP189, "&lt;&gt;0") / SUMIFS(FJ185:FJ189, FJ185:FJ189, "&gt;0", FP185:FP189, "&lt;&gt;0") / -100,
IF(FI187 &lt; 0, SUMIFS(FP185:FP189, FK185:FK189, "&gt;0", FP185:FP189, "&lt;&gt;0") / SUMIFS(FK185:FK189, FK185:FK189, "&gt;0", FP185:FP189, "&lt;&gt;0") / 100, 0)), 0))</f>
        <v>0</v>
      </c>
      <c r="GR185" s="375"/>
      <c r="GS185" s="333"/>
      <c r="GT185" s="333"/>
      <c r="GU185" s="333"/>
      <c r="GV185" s="333"/>
      <c r="GW185" s="333"/>
      <c r="GX185" s="333"/>
      <c r="GY185" s="333"/>
      <c r="GZ185" s="333"/>
      <c r="HA185" s="333"/>
      <c r="HB185" s="333"/>
      <c r="HC185" s="333"/>
      <c r="HD185" s="333"/>
      <c r="HE185" s="333"/>
      <c r="HF185" s="333"/>
      <c r="HG185" s="331"/>
      <c r="HH185" s="331"/>
      <c r="HI185" s="331"/>
      <c r="HJ185" s="331"/>
      <c r="HK185" s="331"/>
      <c r="HL185" s="331"/>
      <c r="HM185" s="331"/>
      <c r="HN185" s="333"/>
      <c r="HO185" s="333"/>
      <c r="HP185" s="333"/>
      <c r="HQ185" s="333"/>
      <c r="HR185" s="333"/>
      <c r="HS185" s="333"/>
      <c r="HT185" s="333"/>
      <c r="HU185" s="333"/>
      <c r="HV185" s="333"/>
      <c r="HW185" s="333"/>
      <c r="HX185" s="333"/>
      <c r="HY185" s="333"/>
      <c r="HZ185" s="333"/>
      <c r="IA185" s="333"/>
      <c r="IB185" s="333"/>
      <c r="IC185" s="333"/>
      <c r="ID185" s="55"/>
      <c r="IE185" s="47"/>
    </row>
    <row r="186" spans="13:239" s="142" customFormat="1" ht="15" customHeight="1">
      <c r="M186" s="333"/>
      <c r="N186" s="333"/>
      <c r="O186" s="333"/>
      <c r="P186" s="333"/>
      <c r="Q186" s="333"/>
      <c r="R186" s="333"/>
      <c r="S186" s="333"/>
      <c r="T186" s="333"/>
      <c r="U186" s="333"/>
      <c r="V186" s="333"/>
      <c r="W186" s="333"/>
      <c r="X186" s="333"/>
      <c r="Y186" s="333"/>
      <c r="Z186" s="333"/>
      <c r="AA186" s="333"/>
      <c r="AB186" s="333"/>
      <c r="AC186" s="333"/>
      <c r="AD186" s="333"/>
      <c r="AE186" s="333"/>
      <c r="AF186" s="333"/>
      <c r="AG186" s="333"/>
      <c r="AH186" s="333"/>
      <c r="AI186" s="333"/>
      <c r="AJ186" s="333"/>
      <c r="AK186" s="333"/>
      <c r="AL186" s="333"/>
      <c r="AM186" s="333"/>
      <c r="AN186" s="333"/>
      <c r="AO186" s="333"/>
      <c r="AP186" s="333"/>
      <c r="AQ186" s="333"/>
      <c r="AR186" s="333"/>
      <c r="AS186" s="333"/>
      <c r="AT186" s="333"/>
      <c r="AU186" s="333"/>
      <c r="AV186" s="333"/>
      <c r="AW186" s="333"/>
      <c r="AX186" s="333"/>
      <c r="AY186" s="333"/>
      <c r="AZ186" s="333"/>
      <c r="BA186" s="333"/>
      <c r="BB186" s="333"/>
      <c r="BC186" s="333"/>
      <c r="BD186" s="333"/>
      <c r="BE186" s="333"/>
      <c r="BF186" s="333"/>
      <c r="BG186" s="333"/>
      <c r="BH186" s="333"/>
      <c r="BI186" s="333"/>
      <c r="BJ186" s="333"/>
      <c r="BK186" s="333"/>
      <c r="BL186" s="333"/>
      <c r="BM186" s="333"/>
      <c r="BN186" s="333"/>
      <c r="BO186" s="333"/>
      <c r="BP186" s="333"/>
      <c r="BQ186" s="333"/>
      <c r="BR186" s="333"/>
      <c r="BS186" s="333"/>
      <c r="BT186" s="333"/>
      <c r="BU186" s="333"/>
      <c r="BV186" s="333"/>
      <c r="BW186" s="333"/>
      <c r="BX186" s="333"/>
      <c r="BY186" s="333"/>
      <c r="BZ186" s="333"/>
      <c r="CA186" s="333"/>
      <c r="CB186" s="333"/>
      <c r="CC186" s="333"/>
      <c r="CD186" s="333"/>
      <c r="CE186" s="333"/>
      <c r="CF186" s="333"/>
      <c r="CG186" s="333"/>
      <c r="CH186" s="333"/>
      <c r="CI186" s="333"/>
      <c r="CJ186" s="333"/>
      <c r="CK186" s="333"/>
      <c r="CL186" s="333"/>
      <c r="CM186" s="333"/>
      <c r="CN186" s="333"/>
      <c r="CO186" s="333"/>
      <c r="CP186" s="333"/>
      <c r="CQ186" s="333"/>
      <c r="CR186" s="333"/>
      <c r="CS186" s="333"/>
      <c r="CT186" s="333"/>
      <c r="CU186" s="333"/>
      <c r="CV186" s="333"/>
      <c r="CW186" s="333"/>
      <c r="CX186" s="333"/>
      <c r="CY186" s="333"/>
      <c r="CZ186" s="333"/>
      <c r="DA186" s="333"/>
      <c r="DB186" s="333"/>
      <c r="DC186" s="333"/>
      <c r="DD186" s="333"/>
      <c r="DE186" s="333"/>
      <c r="DF186" s="333"/>
      <c r="DG186" s="333"/>
      <c r="DH186" s="333"/>
      <c r="DI186" s="333"/>
      <c r="DJ186" s="333"/>
      <c r="DK186" s="333"/>
      <c r="DL186" s="333"/>
      <c r="DM186" s="333"/>
      <c r="DN186" s="333"/>
      <c r="DO186" s="333"/>
      <c r="DP186" s="333"/>
      <c r="DQ186" s="333"/>
      <c r="DR186" s="333"/>
      <c r="DS186" s="333"/>
      <c r="DT186" s="333"/>
      <c r="DU186" s="375"/>
      <c r="DV186" s="375"/>
      <c r="DW186" s="375"/>
      <c r="DX186" s="375"/>
      <c r="DY186" s="375"/>
      <c r="DZ186" s="375"/>
      <c r="EA186" s="375"/>
      <c r="EB186" s="375"/>
      <c r="EC186" s="375"/>
      <c r="ED186" s="375"/>
      <c r="EE186" s="375"/>
      <c r="EF186" s="375"/>
      <c r="EG186" s="375"/>
      <c r="EH186" s="375"/>
      <c r="EI186" s="375"/>
      <c r="EJ186" s="373"/>
      <c r="EK186" s="373"/>
      <c r="EL186" s="366"/>
      <c r="EM186" s="366"/>
      <c r="EN186" s="364"/>
      <c r="EO186" s="351"/>
      <c r="EP186" s="347"/>
      <c r="EQ186" s="342"/>
      <c r="ER186" s="522"/>
      <c r="ES186" s="916">
        <f>IF(ER186 = "", 0,
IF(AND(EP186 &gt; 0, EQ186 &gt;0), 0, IF(EO185 &lt;&gt; $Z$1,
IF(AND(EP186 &lt;&gt; "", EP186 &lt;&gt; 0), -(EP186 * ER186 * 100),
IF(AND(EQ186 &lt;&gt; "", EQ186 &lt;&gt; 0), (EQ186 * ER186 * 100), 0)),
IF(AND(EP186 &lt;&gt; "", EP186 &lt;&gt; 0), -(EP186 * ER186 * 1),
IF(AND(EQ186 &lt;&gt; "", EQ186 &lt;&gt; 0), (EQ186 * ER186 * 1), 0))  )))</f>
        <v>0</v>
      </c>
      <c r="ET186" s="917"/>
      <c r="EU186" s="918"/>
      <c r="EV186" s="916">
        <f>IF(ER186 = "", 0,
IF(AND(EP186 &gt; 0, EQ186 &gt;0), 0,  IF(EO185 &lt;&gt; $Z$1,
IF(AND(EP186 &lt;&gt; "", EP186 &lt;&gt; 0), -(EP186 * ER186 * 100 * (1 + COMIS_OPCION)),
IF(AND(EQ186 &lt;&gt; "", EQ186 &lt;&gt; 0), (EQ186 * ER186 * 100 * (1 - COMIS_OPCION)), 0)),
IF(AND(EP186 &lt;&gt; "", EP186 &lt;&gt; 0), -(EP186 * ER186 * 1 * (1 + COMIS_ACCION)),
IF(AND(EQ186 &lt;&gt; "", EQ186 &lt;&gt; 0), (EQ186 * ER186 * 1 * (1 - COMIS_ACCION)), 0))  )))</f>
        <v>0</v>
      </c>
      <c r="EW186" s="917"/>
      <c r="EX186" s="917"/>
      <c r="EY186" s="917"/>
      <c r="EZ186" s="917"/>
      <c r="FA186" s="917"/>
      <c r="FB186" s="917"/>
      <c r="FC186" s="917"/>
      <c r="FD186" s="925"/>
      <c r="FE186" s="340"/>
      <c r="FF186" s="340"/>
      <c r="FG186" s="364"/>
      <c r="FH186" s="364"/>
      <c r="FI186" s="339"/>
      <c r="FJ186" s="347"/>
      <c r="FK186" s="342"/>
      <c r="FL186" s="343"/>
      <c r="FM186" s="930">
        <f>IF(FL186 = "", 0,
IF(AND(FJ186 &gt; 0, FK186 &gt;0), 0,
IF(AND(FJ186 &lt;&gt; "", FJ186 &lt;&gt; 0), -(FJ186 * FL186 * 100),
IF(AND(FK186 &lt;&gt; "", FK186 &lt;&gt; 0), (FK186 * FL186 * 100), 0)) ))</f>
        <v>0</v>
      </c>
      <c r="FN186" s="931"/>
      <c r="FO186" s="932"/>
      <c r="FP186" s="930">
        <f>IF(FL186 = "", 0,
IF(AND(FJ186 &gt; 0, FK186 &gt;0), 0,
IF(AND(FJ186 &lt;&gt; "", FJ186 &lt;&gt; 0), -(FJ186 * FL186 * 100 * (1 + COMIS_OPCION)),
IF(AND(FK186 &lt;&gt; "", FK186 &lt;&gt; 0), (FK186 * FL186 * 100 * (1 - COMIS_OPCION)), 0)) ))</f>
        <v>0</v>
      </c>
      <c r="FQ186" s="931"/>
      <c r="FR186" s="931"/>
      <c r="FS186" s="931"/>
      <c r="FT186" s="931"/>
      <c r="FU186" s="931"/>
      <c r="FV186" s="931"/>
      <c r="FW186" s="931"/>
      <c r="FX186" s="933"/>
      <c r="FY186" s="341"/>
      <c r="FZ186" s="341"/>
      <c r="GA186" s="341"/>
      <c r="GB186" s="495">
        <v>0</v>
      </c>
      <c r="GC186" s="495">
        <v>0</v>
      </c>
      <c r="GD186" s="500"/>
      <c r="GE186" s="495">
        <v>0</v>
      </c>
      <c r="GF186" s="495">
        <v>0</v>
      </c>
      <c r="GG186" s="495">
        <v>0</v>
      </c>
      <c r="GH186" s="359"/>
      <c r="GI186" s="359"/>
      <c r="GJ186" s="501"/>
      <c r="GK186" s="495">
        <v>0</v>
      </c>
      <c r="GL186" s="495">
        <v>0</v>
      </c>
      <c r="GM186" s="495">
        <v>0</v>
      </c>
      <c r="GN186" s="359"/>
      <c r="GO186" s="359"/>
      <c r="GP186" s="501"/>
      <c r="GQ186" s="495">
        <v>0</v>
      </c>
      <c r="GR186" s="375"/>
      <c r="GS186" s="333"/>
      <c r="GT186" s="333"/>
      <c r="GU186" s="333"/>
      <c r="GV186" s="333"/>
      <c r="GW186" s="333"/>
      <c r="GX186" s="333"/>
      <c r="GY186" s="333"/>
      <c r="GZ186" s="333"/>
      <c r="HA186" s="333"/>
      <c r="HB186" s="333"/>
      <c r="HC186" s="333"/>
      <c r="HD186" s="333"/>
      <c r="HE186" s="333"/>
      <c r="HF186" s="333"/>
      <c r="HG186" s="331"/>
      <c r="HH186" s="331"/>
      <c r="HI186" s="331"/>
      <c r="HJ186" s="331"/>
      <c r="HK186" s="331"/>
      <c r="HL186" s="331"/>
      <c r="HM186" s="331"/>
      <c r="HN186" s="333"/>
      <c r="HO186" s="333"/>
      <c r="HP186" s="333"/>
      <c r="HQ186" s="333"/>
      <c r="HR186" s="333"/>
      <c r="HS186" s="333"/>
      <c r="HT186" s="333"/>
      <c r="HU186" s="333"/>
      <c r="HV186" s="333"/>
      <c r="HW186" s="333"/>
      <c r="HX186" s="333"/>
      <c r="HY186" s="333"/>
      <c r="HZ186" s="333"/>
      <c r="IA186" s="333"/>
      <c r="IB186" s="333"/>
      <c r="IC186" s="333"/>
      <c r="ID186" s="55"/>
      <c r="IE186" s="47"/>
    </row>
    <row r="187" spans="13:239" s="142" customFormat="1" ht="15" customHeight="1">
      <c r="M187" s="333"/>
      <c r="N187" s="333"/>
      <c r="O187" s="333"/>
      <c r="P187" s="333"/>
      <c r="Q187" s="333"/>
      <c r="R187" s="333"/>
      <c r="S187" s="333"/>
      <c r="T187" s="333"/>
      <c r="U187" s="333"/>
      <c r="V187" s="333"/>
      <c r="W187" s="333"/>
      <c r="X187" s="333"/>
      <c r="Y187" s="333"/>
      <c r="Z187" s="333"/>
      <c r="AA187" s="333"/>
      <c r="AB187" s="333"/>
      <c r="AC187" s="333"/>
      <c r="AD187" s="333"/>
      <c r="AE187" s="333"/>
      <c r="AF187" s="333"/>
      <c r="AG187" s="333"/>
      <c r="AH187" s="333"/>
      <c r="AI187" s="333"/>
      <c r="AJ187" s="333"/>
      <c r="AK187" s="333"/>
      <c r="AL187" s="333"/>
      <c r="AM187" s="333"/>
      <c r="AN187" s="333"/>
      <c r="AO187" s="333"/>
      <c r="AP187" s="333"/>
      <c r="AQ187" s="333"/>
      <c r="AR187" s="333"/>
      <c r="AS187" s="333"/>
      <c r="AT187" s="333"/>
      <c r="AU187" s="333"/>
      <c r="AV187" s="333"/>
      <c r="AW187" s="333"/>
      <c r="AX187" s="333"/>
      <c r="AY187" s="333"/>
      <c r="AZ187" s="333"/>
      <c r="BA187" s="333"/>
      <c r="BB187" s="333"/>
      <c r="BC187" s="333"/>
      <c r="BD187" s="333"/>
      <c r="BE187" s="333"/>
      <c r="BF187" s="333"/>
      <c r="BG187" s="333"/>
      <c r="BH187" s="333"/>
      <c r="BI187" s="333"/>
      <c r="BJ187" s="333"/>
      <c r="BK187" s="333"/>
      <c r="BL187" s="333"/>
      <c r="BM187" s="333"/>
      <c r="BN187" s="333"/>
      <c r="BO187" s="333"/>
      <c r="BP187" s="333"/>
      <c r="BQ187" s="333"/>
      <c r="BR187" s="333"/>
      <c r="BS187" s="333"/>
      <c r="BT187" s="333"/>
      <c r="BU187" s="333"/>
      <c r="BV187" s="333"/>
      <c r="BW187" s="333"/>
      <c r="BX187" s="333"/>
      <c r="BY187" s="333"/>
      <c r="BZ187" s="333"/>
      <c r="CA187" s="333"/>
      <c r="CB187" s="333"/>
      <c r="CC187" s="333"/>
      <c r="CD187" s="333"/>
      <c r="CE187" s="333"/>
      <c r="CF187" s="333"/>
      <c r="CG187" s="333"/>
      <c r="CH187" s="333"/>
      <c r="CI187" s="333"/>
      <c r="CJ187" s="333"/>
      <c r="CK187" s="333"/>
      <c r="CL187" s="333"/>
      <c r="CM187" s="333"/>
      <c r="CN187" s="333"/>
      <c r="CO187" s="333"/>
      <c r="CP187" s="333"/>
      <c r="CQ187" s="333"/>
      <c r="CR187" s="333"/>
      <c r="CS187" s="333"/>
      <c r="CT187" s="333"/>
      <c r="CU187" s="333"/>
      <c r="CV187" s="333"/>
      <c r="CW187" s="333"/>
      <c r="CX187" s="333"/>
      <c r="CY187" s="333"/>
      <c r="CZ187" s="333"/>
      <c r="DA187" s="333"/>
      <c r="DB187" s="333"/>
      <c r="DC187" s="333"/>
      <c r="DD187" s="333"/>
      <c r="DE187" s="333"/>
      <c r="DF187" s="333"/>
      <c r="DG187" s="333"/>
      <c r="DH187" s="333"/>
      <c r="DI187" s="333"/>
      <c r="DJ187" s="333"/>
      <c r="DK187" s="333"/>
      <c r="DL187" s="333"/>
      <c r="DM187" s="333"/>
      <c r="DN187" s="333"/>
      <c r="DO187" s="333"/>
      <c r="DP187" s="333"/>
      <c r="DQ187" s="333"/>
      <c r="DR187" s="333"/>
      <c r="DS187" s="333"/>
      <c r="DT187" s="333"/>
      <c r="DU187" s="375"/>
      <c r="DV187" s="375"/>
      <c r="DW187" s="375"/>
      <c r="DX187" s="375"/>
      <c r="DY187" s="375"/>
      <c r="DZ187" s="375"/>
      <c r="EA187" s="375"/>
      <c r="EB187" s="375"/>
      <c r="EC187" s="375"/>
      <c r="ED187" s="375"/>
      <c r="EE187" s="375"/>
      <c r="EF187" s="375"/>
      <c r="EG187" s="375"/>
      <c r="EH187" s="375"/>
      <c r="EI187" s="375"/>
      <c r="EJ187" s="373"/>
      <c r="EK187" s="373"/>
      <c r="EL187" s="366"/>
      <c r="EM187" s="368"/>
      <c r="EN187" s="364"/>
      <c r="EO187" s="352">
        <f>+SUM(EP185:EP189) - SUM(EQ185:EQ189)</f>
        <v>0</v>
      </c>
      <c r="EP187" s="347"/>
      <c r="EQ187" s="342"/>
      <c r="ER187" s="522"/>
      <c r="ES187" s="916">
        <f>IF(ER187 = "", 0,
IF(AND(EP187 &gt; 0, EQ187 &gt;0), 0, IF(EO185 &lt;&gt; $Z$1,
IF(AND(EP187 &lt;&gt; "", EP187 &lt;&gt; 0), -(EP187 * ER187 * 100),
IF(AND(EQ187 &lt;&gt; "", EQ187 &lt;&gt; 0), (EQ187 * ER187 * 100), 0)),
IF(AND(EP187 &lt;&gt; "", EP187 &lt;&gt; 0), -(EP187 * ER187 * 1),
IF(AND(EQ187 &lt;&gt; "", EQ187 &lt;&gt; 0), (EQ187 * ER187 * 1), 0))  )))</f>
        <v>0</v>
      </c>
      <c r="ET187" s="917"/>
      <c r="EU187" s="918"/>
      <c r="EV187" s="916">
        <f>IF(ER187 = "", 0,
IF(AND(EP187 &gt; 0, EQ187 &gt;0), 0,  IF(EO185 &lt;&gt; $Z$1,
IF(AND(EP187 &lt;&gt; "", EP187 &lt;&gt; 0), -(EP187 * ER187 * 100 * (1 + COMIS_OPCION)),
IF(AND(EQ187 &lt;&gt; "", EQ187 &lt;&gt; 0), (EQ187 * ER187 * 100 * (1 - COMIS_OPCION)), 0)),
IF(AND(EP187 &lt;&gt; "", EP187 &lt;&gt; 0), -(EP187 * ER187 * 1 * (1 + COMIS_ACCION)),
IF(AND(EQ187 &lt;&gt; "", EQ187 &lt;&gt; 0), (EQ187 * ER187 * 1 * (1 - COMIS_ACCION)), 0))  )))</f>
        <v>0</v>
      </c>
      <c r="EW187" s="917"/>
      <c r="EX187" s="917"/>
      <c r="EY187" s="917"/>
      <c r="EZ187" s="917"/>
      <c r="FA187" s="917"/>
      <c r="FB187" s="917"/>
      <c r="FC187" s="917"/>
      <c r="FD187" s="925"/>
      <c r="FE187" s="340"/>
      <c r="FF187" s="340"/>
      <c r="FG187" s="365"/>
      <c r="FH187" s="365"/>
      <c r="FI187" s="354">
        <f>+SUM(FJ185:FJ189) - SUM(FK185:FK189)</f>
        <v>0</v>
      </c>
      <c r="FJ187" s="347"/>
      <c r="FK187" s="342"/>
      <c r="FL187" s="343"/>
      <c r="FM187" s="930">
        <f>IF(FL187 = "", 0,
IF(AND(FJ187 &gt; 0, FK187 &gt;0), 0,
IF(AND(FJ187 &lt;&gt; "", FJ187 &lt;&gt; 0), -(FJ187 * FL187 * 100),
IF(AND(FK187 &lt;&gt; "", FK187 &lt;&gt; 0), (FK187 * FL187 * 100), 0)) ))</f>
        <v>0</v>
      </c>
      <c r="FN187" s="931"/>
      <c r="FO187" s="932"/>
      <c r="FP187" s="930">
        <f>IF(FL187 = "", 0,
IF(AND(FJ187 &gt; 0, FK187 &gt;0), 0,
IF(AND(FJ187 &lt;&gt; "", FJ187 &lt;&gt; 0), -(FJ187 * FL187 * 100 * (1 + COMIS_OPCION)),
IF(AND(FK187 &lt;&gt; "", FK187 &lt;&gt; 0), (FK187 * FL187 * 100 * (1 - COMIS_OPCION)), 0)) ))</f>
        <v>0</v>
      </c>
      <c r="FQ187" s="931"/>
      <c r="FR187" s="931"/>
      <c r="FS187" s="931"/>
      <c r="FT187" s="931"/>
      <c r="FU187" s="931"/>
      <c r="FV187" s="931"/>
      <c r="FW187" s="931"/>
      <c r="FX187" s="933"/>
      <c r="FY187" s="341"/>
      <c r="FZ187" s="341"/>
      <c r="GA187" s="341"/>
      <c r="GB187" s="495">
        <v>0</v>
      </c>
      <c r="GC187" s="495">
        <v>0</v>
      </c>
      <c r="GD187" s="500"/>
      <c r="GE187" s="495">
        <v>0</v>
      </c>
      <c r="GF187" s="495">
        <v>0</v>
      </c>
      <c r="GG187" s="495">
        <v>0</v>
      </c>
      <c r="GH187" s="359"/>
      <c r="GI187" s="359"/>
      <c r="GJ187" s="501"/>
      <c r="GK187" s="495">
        <v>0</v>
      </c>
      <c r="GL187" s="495">
        <v>0</v>
      </c>
      <c r="GM187" s="495">
        <v>0</v>
      </c>
      <c r="GN187" s="359"/>
      <c r="GO187" s="359"/>
      <c r="GP187" s="501"/>
      <c r="GQ187" s="495">
        <v>0</v>
      </c>
      <c r="GR187" s="375"/>
      <c r="GS187" s="333"/>
      <c r="GT187" s="333"/>
      <c r="GU187" s="333"/>
      <c r="GV187" s="333"/>
      <c r="GW187" s="333"/>
      <c r="GX187" s="333"/>
      <c r="GY187" s="333"/>
      <c r="GZ187" s="333"/>
      <c r="HA187" s="333"/>
      <c r="HB187" s="333"/>
      <c r="HC187" s="333"/>
      <c r="HD187" s="333"/>
      <c r="HE187" s="333"/>
      <c r="HF187" s="333"/>
      <c r="HG187" s="331"/>
      <c r="HH187" s="331"/>
      <c r="HI187" s="331"/>
      <c r="HJ187" s="331"/>
      <c r="HK187" s="331"/>
      <c r="HL187" s="331"/>
      <c r="HM187" s="331"/>
      <c r="HN187" s="333"/>
      <c r="HO187" s="333"/>
      <c r="HP187" s="333"/>
      <c r="HQ187" s="333"/>
      <c r="HR187" s="333"/>
      <c r="HS187" s="333"/>
      <c r="HT187" s="333"/>
      <c r="HU187" s="333"/>
      <c r="HV187" s="333"/>
      <c r="HW187" s="333"/>
      <c r="HX187" s="333"/>
      <c r="HY187" s="333"/>
      <c r="HZ187" s="333"/>
      <c r="IA187" s="333"/>
      <c r="IB187" s="333"/>
      <c r="IC187" s="333"/>
      <c r="ID187" s="55"/>
      <c r="IE187" s="47"/>
    </row>
    <row r="188" spans="13:239" s="142" customFormat="1" ht="15" customHeight="1">
      <c r="M188" s="333"/>
      <c r="N188" s="333"/>
      <c r="O188" s="333"/>
      <c r="P188" s="333"/>
      <c r="Q188" s="333"/>
      <c r="R188" s="333"/>
      <c r="S188" s="333"/>
      <c r="T188" s="333"/>
      <c r="U188" s="333"/>
      <c r="V188" s="333"/>
      <c r="W188" s="333"/>
      <c r="X188" s="333"/>
      <c r="Y188" s="333"/>
      <c r="Z188" s="333"/>
      <c r="AA188" s="333"/>
      <c r="AB188" s="333"/>
      <c r="AC188" s="333"/>
      <c r="AD188" s="333"/>
      <c r="AE188" s="333"/>
      <c r="AF188" s="333"/>
      <c r="AG188" s="333"/>
      <c r="AH188" s="333"/>
      <c r="AI188" s="333"/>
      <c r="AJ188" s="333"/>
      <c r="AK188" s="333"/>
      <c r="AL188" s="333"/>
      <c r="AM188" s="333"/>
      <c r="AN188" s="333"/>
      <c r="AO188" s="333"/>
      <c r="AP188" s="333"/>
      <c r="AQ188" s="333"/>
      <c r="AR188" s="333"/>
      <c r="AS188" s="333"/>
      <c r="AT188" s="333"/>
      <c r="AU188" s="333"/>
      <c r="AV188" s="333"/>
      <c r="AW188" s="333"/>
      <c r="AX188" s="333"/>
      <c r="AY188" s="333"/>
      <c r="AZ188" s="333"/>
      <c r="BA188" s="333"/>
      <c r="BB188" s="333"/>
      <c r="BC188" s="333"/>
      <c r="BD188" s="333"/>
      <c r="BE188" s="333"/>
      <c r="BF188" s="333"/>
      <c r="BG188" s="333"/>
      <c r="BH188" s="333"/>
      <c r="BI188" s="333"/>
      <c r="BJ188" s="333"/>
      <c r="BK188" s="333"/>
      <c r="BL188" s="333"/>
      <c r="BM188" s="333"/>
      <c r="BN188" s="333"/>
      <c r="BO188" s="333"/>
      <c r="BP188" s="333"/>
      <c r="BQ188" s="333"/>
      <c r="BR188" s="333"/>
      <c r="BS188" s="333"/>
      <c r="BT188" s="333"/>
      <c r="BU188" s="333"/>
      <c r="BV188" s="333"/>
      <c r="BW188" s="333"/>
      <c r="BX188" s="333"/>
      <c r="BY188" s="333"/>
      <c r="BZ188" s="333"/>
      <c r="CA188" s="333"/>
      <c r="CB188" s="333"/>
      <c r="CC188" s="333"/>
      <c r="CD188" s="333"/>
      <c r="CE188" s="333"/>
      <c r="CF188" s="333"/>
      <c r="CG188" s="333"/>
      <c r="CH188" s="333"/>
      <c r="CI188" s="333"/>
      <c r="CJ188" s="333"/>
      <c r="CK188" s="333"/>
      <c r="CL188" s="333"/>
      <c r="CM188" s="333"/>
      <c r="CN188" s="333"/>
      <c r="CO188" s="333"/>
      <c r="CP188" s="333"/>
      <c r="CQ188" s="333"/>
      <c r="CR188" s="333"/>
      <c r="CS188" s="333"/>
      <c r="CT188" s="333"/>
      <c r="CU188" s="333"/>
      <c r="CV188" s="333"/>
      <c r="CW188" s="333"/>
      <c r="CX188" s="333"/>
      <c r="CY188" s="333"/>
      <c r="CZ188" s="333"/>
      <c r="DA188" s="333"/>
      <c r="DB188" s="333"/>
      <c r="DC188" s="333"/>
      <c r="DD188" s="333"/>
      <c r="DE188" s="333"/>
      <c r="DF188" s="333"/>
      <c r="DG188" s="333"/>
      <c r="DH188" s="333"/>
      <c r="DI188" s="333"/>
      <c r="DJ188" s="333"/>
      <c r="DK188" s="333"/>
      <c r="DL188" s="333"/>
      <c r="DM188" s="333"/>
      <c r="DN188" s="333"/>
      <c r="DO188" s="333"/>
      <c r="DP188" s="333"/>
      <c r="DQ188" s="333"/>
      <c r="DR188" s="333"/>
      <c r="DS188" s="333"/>
      <c r="DT188" s="333"/>
      <c r="DU188" s="375"/>
      <c r="DV188" s="375"/>
      <c r="DW188" s="375"/>
      <c r="DX188" s="375"/>
      <c r="DY188" s="375"/>
      <c r="DZ188" s="375"/>
      <c r="EA188" s="375"/>
      <c r="EB188" s="375"/>
      <c r="EC188" s="375"/>
      <c r="ED188" s="375"/>
      <c r="EE188" s="375"/>
      <c r="EF188" s="375"/>
      <c r="EG188" s="375"/>
      <c r="EH188" s="375"/>
      <c r="EI188" s="375"/>
      <c r="EJ188" s="373"/>
      <c r="EK188" s="373"/>
      <c r="EL188" s="366"/>
      <c r="EM188" s="368"/>
      <c r="EN188" s="364"/>
      <c r="EO188" s="352">
        <f>IF(EO187=0, 0, SUM(EV185:FD189))</f>
        <v>0</v>
      </c>
      <c r="EP188" s="347"/>
      <c r="EQ188" s="342"/>
      <c r="ER188" s="522"/>
      <c r="ES188" s="916">
        <f>IF(ER188 = "", 0,
IF(AND(EP188 &gt; 0, EQ188 &gt;0), 0, IF(EO185 &lt;&gt; $Z$1,
IF(AND(EP188 &lt;&gt; "", EP188 &lt;&gt; 0), -(EP188 * ER188 * 100),
IF(AND(EQ188 &lt;&gt; "", EQ188 &lt;&gt; 0), (EQ188 * ER188 * 100), 0)),
IF(AND(EP188 &lt;&gt; "", EP188 &lt;&gt; 0), -(EP188 * ER188 * 1),
IF(AND(EQ188 &lt;&gt; "", EQ188 &lt;&gt; 0), (EQ188 * ER188 * 1), 0))  )))</f>
        <v>0</v>
      </c>
      <c r="ET188" s="917"/>
      <c r="EU188" s="918"/>
      <c r="EV188" s="916">
        <f>IF(ER188 = "", 0,
IF(AND(EP188 &gt; 0, EQ188 &gt;0), 0,  IF(EO185 &lt;&gt; $Z$1,
IF(AND(EP188 &lt;&gt; "", EP188 &lt;&gt; 0), -(EP188 * ER188 * 100 * (1 + COMIS_OPCION)),
IF(AND(EQ188 &lt;&gt; "", EQ188 &lt;&gt; 0), (EQ188 * ER188 * 100 * (1 - COMIS_OPCION)), 0)),
IF(AND(EP188 &lt;&gt; "", EP188 &lt;&gt; 0), -(EP188 * ER188 * 1 * (1 + COMIS_ACCION)),
IF(AND(EQ188 &lt;&gt; "", EQ188 &lt;&gt; 0), (EQ188 * ER188 * 1 * (1 - COMIS_ACCION)), 0))  )))</f>
        <v>0</v>
      </c>
      <c r="EW188" s="917"/>
      <c r="EX188" s="917"/>
      <c r="EY188" s="917"/>
      <c r="EZ188" s="917"/>
      <c r="FA188" s="917"/>
      <c r="FB188" s="917"/>
      <c r="FC188" s="917"/>
      <c r="FD188" s="925"/>
      <c r="FE188" s="340"/>
      <c r="FF188" s="340"/>
      <c r="FG188" s="365"/>
      <c r="FH188" s="365"/>
      <c r="FI188" s="354">
        <f>IF(FI187=0, 0, SUM(FP185:FX189))</f>
        <v>0</v>
      </c>
      <c r="FJ188" s="347"/>
      <c r="FK188" s="342"/>
      <c r="FL188" s="343"/>
      <c r="FM188" s="930">
        <f>IF(FL188 = "", 0,
IF(AND(FJ188 &gt; 0, FK188 &gt;0), 0,
IF(AND(FJ188 &lt;&gt; "", FJ188 &lt;&gt; 0), -(FJ188 * FL188 * 100),
IF(AND(FK188 &lt;&gt; "", FK188 &lt;&gt; 0), (FK188 * FL188 * 100), 0)) ))</f>
        <v>0</v>
      </c>
      <c r="FN188" s="931"/>
      <c r="FO188" s="932"/>
      <c r="FP188" s="930">
        <f>IF(FL188 = "", 0,
IF(AND(FJ188 &gt; 0, FK188 &gt;0), 0,
IF(AND(FJ188 &lt;&gt; "", FJ188 &lt;&gt; 0), -(FJ188 * FL188 * 100 * (1 + COMIS_OPCION)),
IF(AND(FK188 &lt;&gt; "", FK188 &lt;&gt; 0), (FK188 * FL188 * 100 * (1 - COMIS_OPCION)), 0)) ))</f>
        <v>0</v>
      </c>
      <c r="FQ188" s="931"/>
      <c r="FR188" s="931"/>
      <c r="FS188" s="931"/>
      <c r="FT188" s="931"/>
      <c r="FU188" s="931"/>
      <c r="FV188" s="931"/>
      <c r="FW188" s="931"/>
      <c r="FX188" s="933"/>
      <c r="FY188" s="341"/>
      <c r="FZ188" s="341"/>
      <c r="GA188" s="341"/>
      <c r="GB188" s="495">
        <v>0</v>
      </c>
      <c r="GC188" s="495">
        <v>0</v>
      </c>
      <c r="GD188" s="500"/>
      <c r="GE188" s="495">
        <v>0</v>
      </c>
      <c r="GF188" s="495">
        <v>0</v>
      </c>
      <c r="GG188" s="495">
        <v>0</v>
      </c>
      <c r="GH188" s="359"/>
      <c r="GI188" s="359"/>
      <c r="GJ188" s="501"/>
      <c r="GK188" s="495">
        <v>0</v>
      </c>
      <c r="GL188" s="495">
        <v>0</v>
      </c>
      <c r="GM188" s="495">
        <v>0</v>
      </c>
      <c r="GN188" s="359"/>
      <c r="GO188" s="359"/>
      <c r="GP188" s="501"/>
      <c r="GQ188" s="495">
        <v>0</v>
      </c>
      <c r="GR188" s="375"/>
      <c r="GS188" s="333"/>
      <c r="GT188" s="333"/>
      <c r="GU188" s="333"/>
      <c r="GV188" s="333"/>
      <c r="GW188" s="333"/>
      <c r="GX188" s="333"/>
      <c r="GY188" s="333"/>
      <c r="GZ188" s="333"/>
      <c r="HA188" s="333"/>
      <c r="HB188" s="333"/>
      <c r="HC188" s="333"/>
      <c r="HD188" s="333"/>
      <c r="HE188" s="333"/>
      <c r="HF188" s="333"/>
      <c r="HG188" s="331"/>
      <c r="HH188" s="331"/>
      <c r="HI188" s="331"/>
      <c r="HJ188" s="331"/>
      <c r="HK188" s="331"/>
      <c r="HL188" s="331"/>
      <c r="HM188" s="331"/>
      <c r="HN188" s="333"/>
      <c r="HO188" s="333"/>
      <c r="HP188" s="333"/>
      <c r="HQ188" s="333"/>
      <c r="HR188" s="333"/>
      <c r="HS188" s="333"/>
      <c r="HT188" s="333"/>
      <c r="HU188" s="333"/>
      <c r="HV188" s="333"/>
      <c r="HW188" s="333"/>
      <c r="HX188" s="333"/>
      <c r="HY188" s="333"/>
      <c r="HZ188" s="333"/>
      <c r="IA188" s="333"/>
      <c r="IB188" s="333"/>
      <c r="IC188" s="333"/>
      <c r="ID188" s="55"/>
      <c r="IE188" s="47"/>
    </row>
    <row r="189" spans="13:239" s="142" customFormat="1" ht="15" customHeight="1" thickBot="1">
      <c r="M189" s="333"/>
      <c r="N189" s="333"/>
      <c r="O189" s="333"/>
      <c r="P189" s="333"/>
      <c r="Q189" s="333"/>
      <c r="R189" s="333"/>
      <c r="S189" s="333"/>
      <c r="T189" s="333"/>
      <c r="U189" s="333"/>
      <c r="V189" s="333"/>
      <c r="W189" s="333"/>
      <c r="X189" s="333"/>
      <c r="Y189" s="333"/>
      <c r="Z189" s="333"/>
      <c r="AA189" s="333"/>
      <c r="AB189" s="333"/>
      <c r="AC189" s="333"/>
      <c r="AD189" s="333"/>
      <c r="AE189" s="333"/>
      <c r="AF189" s="333"/>
      <c r="AG189" s="333"/>
      <c r="AH189" s="333"/>
      <c r="AI189" s="333"/>
      <c r="AJ189" s="333"/>
      <c r="AK189" s="333"/>
      <c r="AL189" s="333"/>
      <c r="AM189" s="333"/>
      <c r="AN189" s="333"/>
      <c r="AO189" s="333"/>
      <c r="AP189" s="333"/>
      <c r="AQ189" s="333"/>
      <c r="AR189" s="333"/>
      <c r="AS189" s="333"/>
      <c r="AT189" s="333"/>
      <c r="AU189" s="333"/>
      <c r="AV189" s="333"/>
      <c r="AW189" s="333"/>
      <c r="AX189" s="333"/>
      <c r="AY189" s="333"/>
      <c r="AZ189" s="333"/>
      <c r="BA189" s="333"/>
      <c r="BB189" s="333"/>
      <c r="BC189" s="333"/>
      <c r="BD189" s="333"/>
      <c r="BE189" s="333"/>
      <c r="BF189" s="333"/>
      <c r="BG189" s="333"/>
      <c r="BH189" s="333"/>
      <c r="BI189" s="333"/>
      <c r="BJ189" s="333"/>
      <c r="BK189" s="333"/>
      <c r="BL189" s="333"/>
      <c r="BM189" s="333"/>
      <c r="BN189" s="333"/>
      <c r="BO189" s="333"/>
      <c r="BP189" s="333"/>
      <c r="BQ189" s="333"/>
      <c r="BR189" s="333"/>
      <c r="BS189" s="333"/>
      <c r="BT189" s="333"/>
      <c r="BU189" s="333"/>
      <c r="BV189" s="333"/>
      <c r="BW189" s="333"/>
      <c r="BX189" s="333"/>
      <c r="BY189" s="333"/>
      <c r="BZ189" s="333"/>
      <c r="CA189" s="333"/>
      <c r="CB189" s="333"/>
      <c r="CC189" s="333"/>
      <c r="CD189" s="333"/>
      <c r="CE189" s="333"/>
      <c r="CF189" s="333"/>
      <c r="CG189" s="333"/>
      <c r="CH189" s="333"/>
      <c r="CI189" s="333"/>
      <c r="CJ189" s="333"/>
      <c r="CK189" s="333"/>
      <c r="CL189" s="333"/>
      <c r="CM189" s="333"/>
      <c r="CN189" s="333"/>
      <c r="CO189" s="333"/>
      <c r="CP189" s="333"/>
      <c r="CQ189" s="333"/>
      <c r="CR189" s="333"/>
      <c r="CS189" s="333"/>
      <c r="CT189" s="333"/>
      <c r="CU189" s="333"/>
      <c r="CV189" s="333"/>
      <c r="CW189" s="333"/>
      <c r="CX189" s="333"/>
      <c r="CY189" s="333"/>
      <c r="CZ189" s="333"/>
      <c r="DA189" s="333"/>
      <c r="DB189" s="333"/>
      <c r="DC189" s="333"/>
      <c r="DD189" s="333"/>
      <c r="DE189" s="333"/>
      <c r="DF189" s="333"/>
      <c r="DG189" s="333"/>
      <c r="DH189" s="333"/>
      <c r="DI189" s="333"/>
      <c r="DJ189" s="333"/>
      <c r="DK189" s="333"/>
      <c r="DL189" s="333"/>
      <c r="DM189" s="333"/>
      <c r="DN189" s="333"/>
      <c r="DO189" s="333"/>
      <c r="DP189" s="333"/>
      <c r="DQ189" s="333"/>
      <c r="DR189" s="333"/>
      <c r="DS189" s="333"/>
      <c r="DT189" s="333"/>
      <c r="DU189" s="375"/>
      <c r="DV189" s="375"/>
      <c r="DW189" s="375"/>
      <c r="DX189" s="375"/>
      <c r="DY189" s="375"/>
      <c r="DZ189" s="375"/>
      <c r="EA189" s="375"/>
      <c r="EB189" s="375"/>
      <c r="EC189" s="375"/>
      <c r="ED189" s="375"/>
      <c r="EE189" s="375"/>
      <c r="EF189" s="375"/>
      <c r="EG189" s="375"/>
      <c r="EH189" s="375"/>
      <c r="EI189" s="375"/>
      <c r="EJ189" s="373"/>
      <c r="EK189" s="373"/>
      <c r="EL189" s="366"/>
      <c r="EM189" s="368"/>
      <c r="EN189" s="364"/>
      <c r="EO189" s="353">
        <f>+IF(EO187= 0, 0, GG185)</f>
        <v>0</v>
      </c>
      <c r="EP189" s="350"/>
      <c r="EQ189" s="344"/>
      <c r="ER189" s="523"/>
      <c r="ES189" s="921">
        <f>IF(ER189 = "", 0,
IF(AND(EP189 &gt; 0, EQ189 &gt;0), 0, IF(EO185 &lt;&gt; $Z$1,
IF(AND(EP189 &lt;&gt; "", EP189 &lt;&gt; 0), -(EP189 * ER189 * 100),
IF(AND(EQ189 &lt;&gt; "", EQ189 &lt;&gt; 0), (EQ189 * ER189 * 100), 0)),
IF(AND(EP189 &lt;&gt; "", EP189 &lt;&gt; 0), -(EP189 * ER189 * 1),
IF(AND(EQ189 &lt;&gt; "", EQ189 &lt;&gt; 0), (EQ189 * ER189 * 1), 0))  )))</f>
        <v>0</v>
      </c>
      <c r="ET189" s="922"/>
      <c r="EU189" s="924"/>
      <c r="EV189" s="921">
        <f>IF(ER189 = "", 0,
IF(AND(EP189 &gt; 0, EQ189 &gt;0), 0,  IF(EO185 &lt;&gt; $Z$1,
IF(AND(EP189 &lt;&gt; "", EP189 &lt;&gt; 0), -(EP189 * ER189 * 100 * (1 + COMIS_OPCION)),
IF(AND(EQ189 &lt;&gt; "", EQ189 &lt;&gt; 0), (EQ189 * ER189 * 100 * (1 - COMIS_OPCION)), 0)),
IF(AND(EP189 &lt;&gt; "", EP189 &lt;&gt; 0), -(EP189 * ER189 * 1 * (1 + COMIS_ACCION)),
IF(AND(EQ189 &lt;&gt; "", EQ189 &lt;&gt; 0), (EQ189 * ER189 * 1 * (1 - COMIS_ACCION)), 0))  )))</f>
        <v>0</v>
      </c>
      <c r="EW189" s="922"/>
      <c r="EX189" s="922"/>
      <c r="EY189" s="922"/>
      <c r="EZ189" s="922"/>
      <c r="FA189" s="922"/>
      <c r="FB189" s="922"/>
      <c r="FC189" s="922"/>
      <c r="FD189" s="923"/>
      <c r="FE189" s="340"/>
      <c r="FF189" s="340"/>
      <c r="FG189" s="365"/>
      <c r="FH189" s="365"/>
      <c r="FI189" s="349">
        <f>+IF(FI187= 0, 0, GQ185)</f>
        <v>0</v>
      </c>
      <c r="FJ189" s="348"/>
      <c r="FK189" s="345"/>
      <c r="FL189" s="346"/>
      <c r="FM189" s="937">
        <f>IF(FL189 = "", 0,
IF(AND(FJ189 &gt; 0, FK189 &gt;0), 0,
IF(AND(FJ189 &lt;&gt; "", FJ189 &lt;&gt; 0), -(FJ189 * FL189 * 100),
IF(AND(FK189 &lt;&gt; "", FK189 &lt;&gt; 0), (FK189 * FL189 * 100), 0)) ))</f>
        <v>0</v>
      </c>
      <c r="FN189" s="938"/>
      <c r="FO189" s="939"/>
      <c r="FP189" s="937">
        <f>IF(FL189 = "", 0,
IF(AND(FJ189 &gt; 0, FK189 &gt;0), 0,
IF(AND(FJ189 &lt;&gt; "", FJ189 &lt;&gt; 0), -(FJ189 * FL189 * 100 * (1 + COMIS_OPCION)),
IF(AND(FK189 &lt;&gt; "", FK189 &lt;&gt; 0), (FK189 * FL189 * 100 * (1 - COMIS_OPCION)), 0)) ))</f>
        <v>0</v>
      </c>
      <c r="FQ189" s="938"/>
      <c r="FR189" s="938"/>
      <c r="FS189" s="938"/>
      <c r="FT189" s="938"/>
      <c r="FU189" s="938"/>
      <c r="FV189" s="938"/>
      <c r="FW189" s="938"/>
      <c r="FX189" s="969"/>
      <c r="FY189" s="341"/>
      <c r="FZ189" s="341"/>
      <c r="GA189" s="341"/>
      <c r="GB189" s="495">
        <v>0</v>
      </c>
      <c r="GC189" s="495">
        <v>0</v>
      </c>
      <c r="GD189" s="500"/>
      <c r="GE189" s="495">
        <v>0</v>
      </c>
      <c r="GF189" s="495">
        <v>0</v>
      </c>
      <c r="GG189" s="495">
        <v>0</v>
      </c>
      <c r="GH189" s="359"/>
      <c r="GI189" s="359"/>
      <c r="GJ189" s="501"/>
      <c r="GK189" s="495">
        <v>0</v>
      </c>
      <c r="GL189" s="495">
        <v>0</v>
      </c>
      <c r="GM189" s="495">
        <v>0</v>
      </c>
      <c r="GN189" s="359"/>
      <c r="GO189" s="359"/>
      <c r="GP189" s="501"/>
      <c r="GQ189" s="495">
        <v>0</v>
      </c>
      <c r="GR189" s="375"/>
      <c r="GS189" s="333"/>
      <c r="GT189" s="333"/>
      <c r="GU189" s="333"/>
      <c r="GV189" s="333"/>
      <c r="GW189" s="333"/>
      <c r="GX189" s="333"/>
      <c r="GY189" s="333"/>
      <c r="GZ189" s="333"/>
      <c r="HA189" s="333"/>
      <c r="HB189" s="333"/>
      <c r="HC189" s="333"/>
      <c r="HD189" s="333"/>
      <c r="HE189" s="333"/>
      <c r="HF189" s="333"/>
      <c r="HG189" s="331"/>
      <c r="HH189" s="331"/>
      <c r="HI189" s="331"/>
      <c r="HJ189" s="331"/>
      <c r="HK189" s="331"/>
      <c r="HL189" s="331"/>
      <c r="HM189" s="331"/>
      <c r="HN189" s="333"/>
      <c r="HO189" s="333"/>
      <c r="HP189" s="333"/>
      <c r="HQ189" s="333"/>
      <c r="HR189" s="333"/>
      <c r="HS189" s="333"/>
      <c r="HT189" s="333"/>
      <c r="HU189" s="333"/>
      <c r="HV189" s="333"/>
      <c r="HW189" s="333"/>
      <c r="HX189" s="333"/>
      <c r="HY189" s="333"/>
      <c r="HZ189" s="333"/>
      <c r="IA189" s="333"/>
      <c r="IB189" s="333"/>
      <c r="IC189" s="333"/>
      <c r="ID189" s="55"/>
      <c r="IE189" s="47"/>
    </row>
    <row r="190" spans="13:239" s="142" customFormat="1" ht="15" customHeight="1" thickBot="1">
      <c r="M190" s="333"/>
      <c r="N190" s="333"/>
      <c r="O190" s="333"/>
      <c r="P190" s="333"/>
      <c r="Q190" s="333"/>
      <c r="R190" s="333"/>
      <c r="S190" s="333"/>
      <c r="T190" s="333"/>
      <c r="U190" s="333"/>
      <c r="V190" s="333"/>
      <c r="W190" s="333"/>
      <c r="X190" s="333"/>
      <c r="Y190" s="333"/>
      <c r="Z190" s="333"/>
      <c r="AA190" s="333"/>
      <c r="AB190" s="333"/>
      <c r="AC190" s="333"/>
      <c r="AD190" s="333"/>
      <c r="AE190" s="333"/>
      <c r="AF190" s="333"/>
      <c r="AG190" s="333"/>
      <c r="AH190" s="333"/>
      <c r="AI190" s="333"/>
      <c r="AJ190" s="333"/>
      <c r="AK190" s="333"/>
      <c r="AL190" s="333"/>
      <c r="AM190" s="333"/>
      <c r="AN190" s="333"/>
      <c r="AO190" s="333"/>
      <c r="AP190" s="333"/>
      <c r="AQ190" s="333"/>
      <c r="AR190" s="333"/>
      <c r="AS190" s="333"/>
      <c r="AT190" s="333"/>
      <c r="AU190" s="333"/>
      <c r="AV190" s="333"/>
      <c r="AW190" s="333"/>
      <c r="AX190" s="333"/>
      <c r="AY190" s="333"/>
      <c r="AZ190" s="333"/>
      <c r="BA190" s="333"/>
      <c r="BB190" s="333"/>
      <c r="BC190" s="333"/>
      <c r="BD190" s="333"/>
      <c r="BE190" s="333"/>
      <c r="BF190" s="333"/>
      <c r="BG190" s="333"/>
      <c r="BH190" s="333"/>
      <c r="BI190" s="333"/>
      <c r="BJ190" s="333"/>
      <c r="BK190" s="333"/>
      <c r="BL190" s="333"/>
      <c r="BM190" s="333"/>
      <c r="BN190" s="333"/>
      <c r="BO190" s="333"/>
      <c r="BP190" s="333"/>
      <c r="BQ190" s="333"/>
      <c r="BR190" s="333"/>
      <c r="BS190" s="333"/>
      <c r="BT190" s="333"/>
      <c r="BU190" s="333"/>
      <c r="BV190" s="333"/>
      <c r="BW190" s="333"/>
      <c r="BX190" s="333"/>
      <c r="BY190" s="333"/>
      <c r="BZ190" s="333"/>
      <c r="CA190" s="333"/>
      <c r="CB190" s="333"/>
      <c r="CC190" s="333"/>
      <c r="CD190" s="333"/>
      <c r="CE190" s="333"/>
      <c r="CF190" s="333"/>
      <c r="CG190" s="333"/>
      <c r="CH190" s="333"/>
      <c r="CI190" s="333"/>
      <c r="CJ190" s="333"/>
      <c r="CK190" s="333"/>
      <c r="CL190" s="333"/>
      <c r="CM190" s="333"/>
      <c r="CN190" s="333"/>
      <c r="CO190" s="333"/>
      <c r="CP190" s="333"/>
      <c r="CQ190" s="333"/>
      <c r="CR190" s="333"/>
      <c r="CS190" s="333"/>
      <c r="CT190" s="333"/>
      <c r="CU190" s="333"/>
      <c r="CV190" s="333"/>
      <c r="CW190" s="333"/>
      <c r="CX190" s="333"/>
      <c r="CY190" s="333"/>
      <c r="CZ190" s="333"/>
      <c r="DA190" s="333"/>
      <c r="DB190" s="333"/>
      <c r="DC190" s="333"/>
      <c r="DD190" s="333"/>
      <c r="DE190" s="333"/>
      <c r="DF190" s="333"/>
      <c r="DG190" s="333"/>
      <c r="DH190" s="333"/>
      <c r="DI190" s="333"/>
      <c r="DJ190" s="333"/>
      <c r="DK190" s="333"/>
      <c r="DL190" s="333"/>
      <c r="DM190" s="333"/>
      <c r="DN190" s="333"/>
      <c r="DO190" s="333"/>
      <c r="DP190" s="333"/>
      <c r="DQ190" s="333"/>
      <c r="DR190" s="333"/>
      <c r="DS190" s="333"/>
      <c r="DT190" s="333"/>
      <c r="DU190" s="375"/>
      <c r="DV190" s="375"/>
      <c r="DW190" s="375"/>
      <c r="DX190" s="375"/>
      <c r="DY190" s="375"/>
      <c r="DZ190" s="375"/>
      <c r="EA190" s="375"/>
      <c r="EB190" s="375"/>
      <c r="EC190" s="375"/>
      <c r="ED190" s="375"/>
      <c r="EE190" s="375"/>
      <c r="EF190" s="375"/>
      <c r="EG190" s="375"/>
      <c r="EH190" s="375"/>
      <c r="EI190" s="375"/>
      <c r="EJ190" s="373"/>
      <c r="EK190" s="373"/>
      <c r="EL190" s="366"/>
      <c r="EM190" s="369"/>
      <c r="EN190" s="364"/>
      <c r="EO190" s="363"/>
      <c r="EP190" s="340"/>
      <c r="EQ190" s="340"/>
      <c r="ER190" s="340"/>
      <c r="ES190" s="363"/>
      <c r="ET190" s="363"/>
      <c r="EU190" s="340"/>
      <c r="EV190" s="340"/>
      <c r="EW190" s="340"/>
      <c r="EX190" s="340"/>
      <c r="EY190" s="340"/>
      <c r="EZ190" s="340"/>
      <c r="FA190" s="340"/>
      <c r="FB190" s="402"/>
      <c r="FC190" s="402"/>
      <c r="FD190" s="340"/>
      <c r="FE190" s="340"/>
      <c r="FF190" s="340"/>
      <c r="FG190" s="364"/>
      <c r="FH190" s="364"/>
      <c r="FI190" s="363"/>
      <c r="FJ190" s="360"/>
      <c r="FK190" s="360"/>
      <c r="FL190" s="340"/>
      <c r="FM190" s="967"/>
      <c r="FN190" s="967"/>
      <c r="FO190" s="967"/>
      <c r="FP190" s="968"/>
      <c r="FQ190" s="968"/>
      <c r="FR190" s="968"/>
      <c r="FS190" s="968"/>
      <c r="FT190" s="968"/>
      <c r="FU190" s="968"/>
      <c r="FV190" s="968"/>
      <c r="FW190" s="968"/>
      <c r="FX190" s="968"/>
      <c r="FY190" s="341"/>
      <c r="FZ190" s="341"/>
      <c r="GA190" s="341"/>
      <c r="GB190" s="495">
        <v>0</v>
      </c>
      <c r="GC190" s="495">
        <v>0</v>
      </c>
      <c r="GD190" s="500"/>
      <c r="GE190" s="495">
        <v>0</v>
      </c>
      <c r="GF190" s="495">
        <v>0</v>
      </c>
      <c r="GG190" s="495">
        <v>0</v>
      </c>
      <c r="GH190" s="359"/>
      <c r="GI190" s="359"/>
      <c r="GJ190" s="501"/>
      <c r="GK190" s="495">
        <v>0</v>
      </c>
      <c r="GL190" s="495">
        <v>0</v>
      </c>
      <c r="GM190" s="495">
        <v>0</v>
      </c>
      <c r="GN190" s="359"/>
      <c r="GO190" s="359"/>
      <c r="GP190" s="501"/>
      <c r="GQ190" s="495">
        <v>0</v>
      </c>
      <c r="GR190" s="375"/>
      <c r="GS190" s="333"/>
      <c r="GT190" s="333"/>
      <c r="GU190" s="333"/>
      <c r="GV190" s="333"/>
      <c r="GW190" s="333"/>
      <c r="GX190" s="333"/>
      <c r="GY190" s="333"/>
      <c r="GZ190" s="333"/>
      <c r="HA190" s="333"/>
      <c r="HB190" s="333"/>
      <c r="HC190" s="333"/>
      <c r="HD190" s="333"/>
      <c r="HE190" s="333"/>
      <c r="HF190" s="333"/>
      <c r="HG190" s="331"/>
      <c r="HH190" s="331"/>
      <c r="HI190" s="331"/>
      <c r="HJ190" s="331"/>
      <c r="HK190" s="331"/>
      <c r="HL190" s="331"/>
      <c r="HM190" s="331"/>
      <c r="HN190" s="333"/>
      <c r="HO190" s="333"/>
      <c r="HP190" s="333"/>
      <c r="HQ190" s="333"/>
      <c r="HR190" s="333"/>
      <c r="HS190" s="333"/>
      <c r="HT190" s="333"/>
      <c r="HU190" s="333"/>
      <c r="HV190" s="333"/>
      <c r="HW190" s="333"/>
      <c r="HX190" s="333"/>
      <c r="HY190" s="333"/>
      <c r="HZ190" s="333"/>
      <c r="IA190" s="333"/>
      <c r="IB190" s="333"/>
      <c r="IC190" s="333"/>
      <c r="ID190" s="55"/>
      <c r="IE190" s="47"/>
    </row>
    <row r="191" spans="13:239" s="142" customFormat="1" ht="15" customHeight="1">
      <c r="M191" s="333"/>
      <c r="N191" s="333"/>
      <c r="O191" s="333"/>
      <c r="P191" s="333"/>
      <c r="Q191" s="333"/>
      <c r="R191" s="333"/>
      <c r="S191" s="333"/>
      <c r="T191" s="333"/>
      <c r="U191" s="333"/>
      <c r="V191" s="333"/>
      <c r="W191" s="333"/>
      <c r="X191" s="333"/>
      <c r="Y191" s="333"/>
      <c r="Z191" s="333"/>
      <c r="AA191" s="333"/>
      <c r="AB191" s="333"/>
      <c r="AC191" s="333"/>
      <c r="AD191" s="333"/>
      <c r="AE191" s="333"/>
      <c r="AF191" s="333"/>
      <c r="AG191" s="333"/>
      <c r="AH191" s="333"/>
      <c r="AI191" s="333"/>
      <c r="AJ191" s="333"/>
      <c r="AK191" s="333"/>
      <c r="AL191" s="333"/>
      <c r="AM191" s="333"/>
      <c r="AN191" s="333"/>
      <c r="AO191" s="333"/>
      <c r="AP191" s="333"/>
      <c r="AQ191" s="333"/>
      <c r="AR191" s="333"/>
      <c r="AS191" s="333"/>
      <c r="AT191" s="333"/>
      <c r="AU191" s="333"/>
      <c r="AV191" s="333"/>
      <c r="AW191" s="333"/>
      <c r="AX191" s="333"/>
      <c r="AY191" s="333"/>
      <c r="AZ191" s="333"/>
      <c r="BA191" s="333"/>
      <c r="BB191" s="333"/>
      <c r="BC191" s="333"/>
      <c r="BD191" s="333"/>
      <c r="BE191" s="333"/>
      <c r="BF191" s="333"/>
      <c r="BG191" s="333"/>
      <c r="BH191" s="333"/>
      <c r="BI191" s="333"/>
      <c r="BJ191" s="333"/>
      <c r="BK191" s="333"/>
      <c r="BL191" s="333"/>
      <c r="BM191" s="333"/>
      <c r="BN191" s="333"/>
      <c r="BO191" s="333"/>
      <c r="BP191" s="333"/>
      <c r="BQ191" s="333"/>
      <c r="BR191" s="333"/>
      <c r="BS191" s="333"/>
      <c r="BT191" s="333"/>
      <c r="BU191" s="333"/>
      <c r="BV191" s="333"/>
      <c r="BW191" s="333"/>
      <c r="BX191" s="333"/>
      <c r="BY191" s="333"/>
      <c r="BZ191" s="333"/>
      <c r="CA191" s="333"/>
      <c r="CB191" s="333"/>
      <c r="CC191" s="333"/>
      <c r="CD191" s="333"/>
      <c r="CE191" s="333"/>
      <c r="CF191" s="333"/>
      <c r="CG191" s="333"/>
      <c r="CH191" s="333"/>
      <c r="CI191" s="333"/>
      <c r="CJ191" s="333"/>
      <c r="CK191" s="333"/>
      <c r="CL191" s="333"/>
      <c r="CM191" s="333"/>
      <c r="CN191" s="333"/>
      <c r="CO191" s="333"/>
      <c r="CP191" s="333"/>
      <c r="CQ191" s="333"/>
      <c r="CR191" s="333"/>
      <c r="CS191" s="333"/>
      <c r="CT191" s="333"/>
      <c r="CU191" s="333"/>
      <c r="CV191" s="333"/>
      <c r="CW191" s="333"/>
      <c r="CX191" s="333"/>
      <c r="CY191" s="333"/>
      <c r="CZ191" s="333"/>
      <c r="DA191" s="333"/>
      <c r="DB191" s="333"/>
      <c r="DC191" s="333"/>
      <c r="DD191" s="333"/>
      <c r="DE191" s="333"/>
      <c r="DF191" s="333"/>
      <c r="DG191" s="333"/>
      <c r="DH191" s="333"/>
      <c r="DI191" s="333"/>
      <c r="DJ191" s="333"/>
      <c r="DK191" s="333"/>
      <c r="DL191" s="333"/>
      <c r="DM191" s="333"/>
      <c r="DN191" s="333"/>
      <c r="DO191" s="333"/>
      <c r="DP191" s="333"/>
      <c r="DQ191" s="333"/>
      <c r="DR191" s="333"/>
      <c r="DS191" s="333"/>
      <c r="DT191" s="333"/>
      <c r="DU191" s="375"/>
      <c r="DV191" s="375"/>
      <c r="DW191" s="375"/>
      <c r="DX191" s="375"/>
      <c r="DY191" s="375"/>
      <c r="DZ191" s="375"/>
      <c r="EA191" s="375"/>
      <c r="EB191" s="375"/>
      <c r="EC191" s="375"/>
      <c r="ED191" s="375"/>
      <c r="EE191" s="375"/>
      <c r="EF191" s="375"/>
      <c r="EG191" s="375"/>
      <c r="EH191" s="375"/>
      <c r="EI191" s="375"/>
      <c r="EJ191" s="373"/>
      <c r="EK191" s="373"/>
      <c r="EL191" s="366"/>
      <c r="EM191" s="366"/>
      <c r="EN191" s="364">
        <f>+EN185+1</f>
        <v>24</v>
      </c>
      <c r="EO191" s="356">
        <f>+VLOOKUP(EN191, PRECIOS_EJERCICIOS,  2,FALSE)</f>
        <v>290</v>
      </c>
      <c r="EP191" s="513" t="str">
        <f>+IF($AQ$49 = FALSE, "",
IF(VLOOKUP(EO191, basesCantPrimaBrutoRes, 2,FALSE) &gt;= 0, VLOOKUP(EO191, basesCantPrimaBrutoRes, 2,FALSE), 0))</f>
        <v/>
      </c>
      <c r="EQ191" s="514" t="str">
        <f>+IF($AQ$49 = FALSE, "",
IF(VLOOKUP(EO191, basesCantPrimaBrutoRes, 2,FALSE) &lt; 0, -VLOOKUP(EO191, basesCantPrimaBrutoRes, 2,FALSE), 0))</f>
        <v/>
      </c>
      <c r="ER191" s="521" t="str">
        <f>IF($AQ$49 = FALSE, "",
VLOOKUP(EO191, basesCantPrimaBrutoRes, 4,FALSE))</f>
        <v/>
      </c>
      <c r="ES191" s="926">
        <f>IF(ER191 = "", 0,
IF(AND(EP191 &gt; 0, EQ191 &gt;0), 0, IF(EO191 &lt;&gt; $Z$1,
IF(AND(EP191 &lt;&gt; "", EP191 &lt;&gt; 0), -(EP191 * ER191 * 100),
IF(AND(EQ191 &lt;&gt; "", EQ191 &lt;&gt; 0), (EQ191 * ER191 * 100), 0)),
IF(AND(EP191 &lt;&gt; "", EP191 &lt;&gt; 0), -(EP191 * ER191 * 1),
IF(AND(EQ191 &lt;&gt; "", EQ191 &lt;&gt; 0), (EQ191 * ER191 * 1), 0))  )))</f>
        <v>0</v>
      </c>
      <c r="ET191" s="927"/>
      <c r="EU191" s="928"/>
      <c r="EV191" s="926">
        <f>IF(ER191 = "", 0,
IF(AND(EP191 &gt; 0, EQ191 &gt;0), 0,  IF(EO191 &lt;&gt; $Z$1,
IF(AND(EP191 &lt;&gt; "", EP191 &lt;&gt; 0), -(EP191 * ER191 * 100 * (1 + COMIS_OPCION)),
IF(AND(EQ191 &lt;&gt; "", EQ191 &lt;&gt; 0), (EQ191 * ER191 * 100 * (1 - COMIS_OPCION)), 0)),
IF(AND(EP191 &lt;&gt; "", EP191 &lt;&gt; 0), -(EP191 * ER191 * 1 * (1 + COMIS_ACCION)),
IF(AND(EQ191 &lt;&gt; "", EQ191 &lt;&gt; 0), (EQ191 * ER191 * 1 * (1 - COMIS_ACCION)), 0))  )))</f>
        <v>0</v>
      </c>
      <c r="EW191" s="927"/>
      <c r="EX191" s="927"/>
      <c r="EY191" s="927"/>
      <c r="EZ191" s="927"/>
      <c r="FA191" s="927"/>
      <c r="FB191" s="927"/>
      <c r="FC191" s="927"/>
      <c r="FD191" s="929"/>
      <c r="FE191" s="340"/>
      <c r="FF191" s="340"/>
      <c r="FG191" s="364"/>
      <c r="FH191" s="364">
        <f>+FH185+1</f>
        <v>24</v>
      </c>
      <c r="FI191" s="357">
        <f>+VLOOKUP(FH191, PRECIOS_EJERCICIOS,  2,FALSE)</f>
        <v>290</v>
      </c>
      <c r="FJ191" s="515" t="str">
        <f>+IF($AQ$49 = FALSE, "",
IF(VLOOKUP(EO191, basesCantPrimaBrutoRes, 5,FALSE) &gt;= 0, VLOOKUP(EO191, basesCantPrimaBrutoRes, 5,FALSE), 0))</f>
        <v/>
      </c>
      <c r="FK191" s="516" t="str">
        <f>+IF($AQ$49 = FALSE, "",
IF(VLOOKUP(EO191, basesCantPrimaBrutoRes, 5,FALSE) &lt; 0, -VLOOKUP(EO191, basesCantPrimaBrutoRes, 5,FALSE), 0))</f>
        <v/>
      </c>
      <c r="FL191" s="517" t="str">
        <f>IF($AQ$49 = FALSE, "",
VLOOKUP(EO191, basesCantPrimaBrutoRes, 7,FALSE))</f>
        <v/>
      </c>
      <c r="FM191" s="934">
        <f>IF(FL191 = "", 0,
IF(AND(FJ191 &gt; 0, FK191 &gt;0), 0,
IF(AND(FJ191 &lt;&gt; "", FJ191 &lt;&gt; 0), -(FJ191 * FL191 * 100),
IF(AND(FK191 &lt;&gt; "", FK191 &lt;&gt; 0), (FK191 * FL191 * 100), 0)) ))</f>
        <v>0</v>
      </c>
      <c r="FN191" s="935"/>
      <c r="FO191" s="936"/>
      <c r="FP191" s="934">
        <f>IF(FL191 = "", 0,
IF(AND(FJ191 &gt; 0, FK191 &gt;0), 0,
IF(AND(FJ191 &lt;&gt; "", FJ191 &lt;&gt; 0), -(FJ191 * FL191 * 100 * (1 + COMIS_OPCION)),
IF(AND(FK191 &lt;&gt; "", FK191 &lt;&gt; 0), (FK191 * FL191 * 100 * (1 - COMIS_OPCION)), 0)) ))</f>
        <v>0</v>
      </c>
      <c r="FQ191" s="935"/>
      <c r="FR191" s="935"/>
      <c r="FS191" s="935"/>
      <c r="FT191" s="935"/>
      <c r="FU191" s="935"/>
      <c r="FV191" s="935"/>
      <c r="FW191" s="935"/>
      <c r="FX191" s="966"/>
      <c r="FY191" s="341"/>
      <c r="FZ191" s="341"/>
      <c r="GA191" s="341"/>
      <c r="GB191" s="495">
        <f>+IF(EN191 = "", "", EO191)</f>
        <v>290</v>
      </c>
      <c r="GC191" s="495" t="str">
        <f>+IF(GB191="", "", IF(EO191 = $Z$1, "ACCION", "CALL"))</f>
        <v>CALL</v>
      </c>
      <c r="GD191" s="500"/>
      <c r="GE191" s="495">
        <f>+IF(GB191= "", "", EO193)</f>
        <v>0</v>
      </c>
      <c r="GF191" s="495">
        <f>+IF(GB191 = "", "", IFERROR(IF(GB191 &lt;&gt; $Z$1,
IF(GE191 &gt; 0, SUMIFS(ES191:ES195, EP191:EP195, "&gt;0", ES191:ES195, "&lt;&gt;0") / SUMIFS(EP191:EP195, EP191:EP195, "&gt;0", ES191:ES195, "&lt;&gt;0") / -100,
IF(GE191 &lt; 0, SUMIFS(ES191:ES195, EQ191:EQ195, "&gt;0", ES191:ES195, "&lt;&gt;0") / SUMIFS(EQ191:EQ195, EQ191:EQ195, "&gt;0", ES191:ES195, "&lt;&gt;0") / 100, 0)),
IF(GE191 &gt; 0, SUMIFS(ES191:ES195, EP191:EP195, "&gt;0", ES191:ES195, "&lt;&gt;0") / SUMIFS(EP191:EP195, EP191:EP195, "&gt;0", ES191:ES195, "&lt;&gt;0") / -1,
IF(GE191 &lt; 0, SUMIFS(ES191:ES195, EQ191:EQ195, "&gt;0", ES191:ES195, "&lt;&gt;0") / SUMIFS(EQ191:EQ195, EQ191:EQ195, "&gt;0", ES191:ES195, "&lt;&gt;0") / 1, 0)) ), 0))</f>
        <v>0</v>
      </c>
      <c r="GG191" s="495">
        <f>+IF(GB191 = "", "", IFERROR(IF(GB191 &lt;&gt; $Z$1,
IF(GE191 &gt; 0, SUMIFS(EV191:EV195, EP191:EP195, "&gt;0", EV191:EV195, "&lt;&gt;0") / SUMIFS(EP191:EP195, EP191:EP195, "&gt;0", EV191:EV195, "&lt;&gt;0") / -100,
IF(GE191 &lt; 0, SUMIFS(EV191:EV195, EQ191:EQ195, "&gt;0", EV191:EV195, "&lt;&gt;0") / SUMIFS(EQ191:EQ195, EQ191:EQ195, "&gt;0", EV191:EV195, "&lt;&gt;0") / 100, 0)),
IF(GE191 &gt; 0, SUMIFS(EV191:EV195, EP191:EP195, "&gt;0", EV191:EV195, "&lt;&gt;0") / SUMIFS(EP191:EP195, EP191:EP195, "&gt;0", EV191:EV195, "&lt;&gt;0") / -1,
IF(GE191 &lt; 0, SUMIFS(EV191:EV195, EQ191:EQ195, "&gt;0", EV191:EV195, "&lt;&gt;0") / SUMIFS(EQ191:EQ195, EQ191:EQ195, "&gt;0", EV191:EV195, "&lt;&gt;0") / 1, 0)) ), 0))</f>
        <v>0</v>
      </c>
      <c r="GH191" s="359"/>
      <c r="GI191" s="359"/>
      <c r="GJ191" s="501"/>
      <c r="GK191" s="495" t="str">
        <f>+IF(GB191="", "", "PUT")</f>
        <v>PUT</v>
      </c>
      <c r="GL191" s="495">
        <f>+IF(GB191 = "", "", FI193)</f>
        <v>0</v>
      </c>
      <c r="GM191" s="495">
        <f>+IF(GB191 = "", "", IFERROR(
IF(FI193 &gt; 0, SUMIFS(FM191:FM195, FJ191:FJ195, "&gt;0", FM191:FM195, "&lt;&gt;0") / SUMIFS(FJ191:FJ195, FJ191:FJ195, "&gt;0", FM191:FM195, "&lt;&gt;0") / -100,
IF(FI193 &lt; 0, SUMIFS(FM191:FM195, FK191:FK195, "&gt;0", FM191:FM195, "&lt;&gt;0") / SUMIFS(FK191:FK195, FK191:FK195, "&gt;0", FM191:FM195, "&lt;&gt;0") / 100, 0)), 0) )</f>
        <v>0</v>
      </c>
      <c r="GN191" s="359"/>
      <c r="GO191" s="359"/>
      <c r="GP191" s="501"/>
      <c r="GQ191" s="502">
        <f>+IF(GB191 = "", "", IFERROR(
IF(FI193 &gt; 0, SUMIFS(FP191:FP195, FJ191:FJ195, "&gt;0", FP191:FP195, "&lt;&gt;0") / SUMIFS(FJ191:FJ195, FJ191:FJ195, "&gt;0", FP191:FP195, "&lt;&gt;0") / -100,
IF(FI193 &lt; 0, SUMIFS(FP191:FP195, FK191:FK195, "&gt;0", FP191:FP195, "&lt;&gt;0") / SUMIFS(FK191:FK195, FK191:FK195, "&gt;0", FP191:FP195, "&lt;&gt;0") / 100, 0)), 0))</f>
        <v>0</v>
      </c>
      <c r="GR191" s="375"/>
      <c r="GS191" s="333"/>
      <c r="GT191" s="333"/>
      <c r="GU191" s="333"/>
      <c r="GV191" s="333"/>
      <c r="GW191" s="333"/>
      <c r="GX191" s="333"/>
      <c r="GY191" s="333"/>
      <c r="GZ191" s="333"/>
      <c r="HA191" s="333"/>
      <c r="HB191" s="333"/>
      <c r="HC191" s="333"/>
      <c r="HD191" s="333"/>
      <c r="HE191" s="333"/>
      <c r="HF191" s="333"/>
      <c r="HG191" s="331"/>
      <c r="HH191" s="331"/>
      <c r="HI191" s="331"/>
      <c r="HJ191" s="331"/>
      <c r="HK191" s="331"/>
      <c r="HL191" s="331"/>
      <c r="HM191" s="331"/>
      <c r="HN191" s="333"/>
      <c r="HO191" s="333"/>
      <c r="HP191" s="333"/>
      <c r="HQ191" s="333"/>
      <c r="HR191" s="333"/>
      <c r="HS191" s="333"/>
      <c r="HT191" s="333"/>
      <c r="HU191" s="333"/>
      <c r="HV191" s="333"/>
      <c r="HW191" s="333"/>
      <c r="HX191" s="333"/>
      <c r="HY191" s="333"/>
      <c r="HZ191" s="333"/>
      <c r="IA191" s="333"/>
      <c r="IB191" s="333"/>
      <c r="IC191" s="333"/>
      <c r="ID191" s="55"/>
      <c r="IE191" s="47"/>
    </row>
    <row r="192" spans="13:239" s="142" customFormat="1" ht="15" customHeight="1">
      <c r="M192" s="333"/>
      <c r="N192" s="333"/>
      <c r="O192" s="333"/>
      <c r="P192" s="333"/>
      <c r="Q192" s="333"/>
      <c r="R192" s="333"/>
      <c r="S192" s="333"/>
      <c r="T192" s="333"/>
      <c r="U192" s="333"/>
      <c r="V192" s="333"/>
      <c r="W192" s="333"/>
      <c r="X192" s="333"/>
      <c r="Y192" s="333"/>
      <c r="Z192" s="333"/>
      <c r="AA192" s="333"/>
      <c r="AB192" s="333"/>
      <c r="AC192" s="333"/>
      <c r="AD192" s="333"/>
      <c r="AE192" s="333"/>
      <c r="AF192" s="333"/>
      <c r="AG192" s="333"/>
      <c r="AH192" s="333"/>
      <c r="AI192" s="333"/>
      <c r="AJ192" s="333"/>
      <c r="AK192" s="333"/>
      <c r="AL192" s="333"/>
      <c r="AM192" s="333"/>
      <c r="AN192" s="333"/>
      <c r="AO192" s="333"/>
      <c r="AP192" s="333"/>
      <c r="AQ192" s="333"/>
      <c r="AR192" s="333"/>
      <c r="AS192" s="333"/>
      <c r="AT192" s="333"/>
      <c r="AU192" s="333"/>
      <c r="AV192" s="333"/>
      <c r="AW192" s="333"/>
      <c r="AX192" s="333"/>
      <c r="AY192" s="333"/>
      <c r="AZ192" s="333"/>
      <c r="BA192" s="333"/>
      <c r="BB192" s="333"/>
      <c r="BC192" s="333"/>
      <c r="BD192" s="333"/>
      <c r="BE192" s="333"/>
      <c r="BF192" s="333"/>
      <c r="BG192" s="333"/>
      <c r="BH192" s="333"/>
      <c r="BI192" s="333"/>
      <c r="BJ192" s="333"/>
      <c r="BK192" s="333"/>
      <c r="BL192" s="333"/>
      <c r="BM192" s="333"/>
      <c r="BN192" s="333"/>
      <c r="BO192" s="333"/>
      <c r="BP192" s="333"/>
      <c r="BQ192" s="333"/>
      <c r="BR192" s="333"/>
      <c r="BS192" s="333"/>
      <c r="BT192" s="333"/>
      <c r="BU192" s="333"/>
      <c r="BV192" s="333"/>
      <c r="BW192" s="333"/>
      <c r="BX192" s="333"/>
      <c r="BY192" s="333"/>
      <c r="BZ192" s="333"/>
      <c r="CA192" s="333"/>
      <c r="CB192" s="333"/>
      <c r="CC192" s="333"/>
      <c r="CD192" s="333"/>
      <c r="CE192" s="333"/>
      <c r="CF192" s="333"/>
      <c r="CG192" s="333"/>
      <c r="CH192" s="333"/>
      <c r="CI192" s="333"/>
      <c r="CJ192" s="333"/>
      <c r="CK192" s="333"/>
      <c r="CL192" s="333"/>
      <c r="CM192" s="333"/>
      <c r="CN192" s="333"/>
      <c r="CO192" s="333"/>
      <c r="CP192" s="333"/>
      <c r="CQ192" s="333"/>
      <c r="CR192" s="333"/>
      <c r="CS192" s="333"/>
      <c r="CT192" s="333"/>
      <c r="CU192" s="333"/>
      <c r="CV192" s="333"/>
      <c r="CW192" s="333"/>
      <c r="CX192" s="333"/>
      <c r="CY192" s="333"/>
      <c r="CZ192" s="333"/>
      <c r="DA192" s="333"/>
      <c r="DB192" s="333"/>
      <c r="DC192" s="333"/>
      <c r="DD192" s="333"/>
      <c r="DE192" s="333"/>
      <c r="DF192" s="333"/>
      <c r="DG192" s="333"/>
      <c r="DH192" s="333"/>
      <c r="DI192" s="333"/>
      <c r="DJ192" s="333"/>
      <c r="DK192" s="333"/>
      <c r="DL192" s="333"/>
      <c r="DM192" s="333"/>
      <c r="DN192" s="333"/>
      <c r="DO192" s="333"/>
      <c r="DP192" s="333"/>
      <c r="DQ192" s="333"/>
      <c r="DR192" s="333"/>
      <c r="DS192" s="333"/>
      <c r="DT192" s="333"/>
      <c r="DU192" s="375"/>
      <c r="DV192" s="375"/>
      <c r="DW192" s="375"/>
      <c r="DX192" s="375"/>
      <c r="DY192" s="375"/>
      <c r="DZ192" s="375"/>
      <c r="EA192" s="375"/>
      <c r="EB192" s="375"/>
      <c r="EC192" s="375"/>
      <c r="ED192" s="375"/>
      <c r="EE192" s="375"/>
      <c r="EF192" s="375"/>
      <c r="EG192" s="375"/>
      <c r="EH192" s="375"/>
      <c r="EI192" s="375"/>
      <c r="EJ192" s="373"/>
      <c r="EK192" s="373"/>
      <c r="EL192" s="366"/>
      <c r="EM192" s="366"/>
      <c r="EN192" s="364"/>
      <c r="EO192" s="351"/>
      <c r="EP192" s="347"/>
      <c r="EQ192" s="342"/>
      <c r="ER192" s="522"/>
      <c r="ES192" s="916">
        <f>IF(ER192 = "", 0,
IF(AND(EP192 &gt; 0, EQ192 &gt;0), 0, IF(EO191 &lt;&gt; $Z$1,
IF(AND(EP192 &lt;&gt; "", EP192 &lt;&gt; 0), -(EP192 * ER192 * 100),
IF(AND(EQ192 &lt;&gt; "", EQ192 &lt;&gt; 0), (EQ192 * ER192 * 100), 0)),
IF(AND(EP192 &lt;&gt; "", EP192 &lt;&gt; 0), -(EP192 * ER192 * 1),
IF(AND(EQ192 &lt;&gt; "", EQ192 &lt;&gt; 0), (EQ192 * ER192 * 1), 0))  )))</f>
        <v>0</v>
      </c>
      <c r="ET192" s="917"/>
      <c r="EU192" s="918"/>
      <c r="EV192" s="916">
        <f>IF(ER192 = "", 0,
IF(AND(EP192 &gt; 0, EQ192 &gt;0), 0,  IF(EO191 &lt;&gt; $Z$1,
IF(AND(EP192 &lt;&gt; "", EP192 &lt;&gt; 0), -(EP192 * ER192 * 100 * (1 + COMIS_OPCION)),
IF(AND(EQ192 &lt;&gt; "", EQ192 &lt;&gt; 0), (EQ192 * ER192 * 100 * (1 - COMIS_OPCION)), 0)),
IF(AND(EP192 &lt;&gt; "", EP192 &lt;&gt; 0), -(EP192 * ER192 * 1 * (1 + COMIS_ACCION)),
IF(AND(EQ192 &lt;&gt; "", EQ192 &lt;&gt; 0), (EQ192 * ER192 * 1 * (1 - COMIS_ACCION)), 0))  )))</f>
        <v>0</v>
      </c>
      <c r="EW192" s="917"/>
      <c r="EX192" s="917"/>
      <c r="EY192" s="917"/>
      <c r="EZ192" s="917"/>
      <c r="FA192" s="917"/>
      <c r="FB192" s="917"/>
      <c r="FC192" s="917"/>
      <c r="FD192" s="925"/>
      <c r="FE192" s="340"/>
      <c r="FF192" s="340"/>
      <c r="FG192" s="364"/>
      <c r="FH192" s="364"/>
      <c r="FI192" s="339"/>
      <c r="FJ192" s="347"/>
      <c r="FK192" s="342"/>
      <c r="FL192" s="343"/>
      <c r="FM192" s="930">
        <f>IF(FL192 = "", 0,
IF(AND(FJ192 &gt; 0, FK192 &gt;0), 0,
IF(AND(FJ192 &lt;&gt; "", FJ192 &lt;&gt; 0), -(FJ192 * FL192 * 100),
IF(AND(FK192 &lt;&gt; "", FK192 &lt;&gt; 0), (FK192 * FL192 * 100), 0)) ))</f>
        <v>0</v>
      </c>
      <c r="FN192" s="931"/>
      <c r="FO192" s="932"/>
      <c r="FP192" s="930">
        <f>IF(FL192 = "", 0,
IF(AND(FJ192 &gt; 0, FK192 &gt;0), 0,
IF(AND(FJ192 &lt;&gt; "", FJ192 &lt;&gt; 0), -(FJ192 * FL192 * 100 * (1 + COMIS_OPCION)),
IF(AND(FK192 &lt;&gt; "", FK192 &lt;&gt; 0), (FK192 * FL192 * 100 * (1 - COMIS_OPCION)), 0)) ))</f>
        <v>0</v>
      </c>
      <c r="FQ192" s="931"/>
      <c r="FR192" s="931"/>
      <c r="FS192" s="931"/>
      <c r="FT192" s="931"/>
      <c r="FU192" s="931"/>
      <c r="FV192" s="931"/>
      <c r="FW192" s="931"/>
      <c r="FX192" s="933"/>
      <c r="FY192" s="341"/>
      <c r="FZ192" s="341"/>
      <c r="GA192" s="341"/>
      <c r="GB192" s="495">
        <v>0</v>
      </c>
      <c r="GC192" s="495">
        <v>0</v>
      </c>
      <c r="GD192" s="500"/>
      <c r="GE192" s="495">
        <v>0</v>
      </c>
      <c r="GF192" s="495">
        <v>0</v>
      </c>
      <c r="GG192" s="495">
        <v>0</v>
      </c>
      <c r="GH192" s="359"/>
      <c r="GI192" s="359"/>
      <c r="GJ192" s="501"/>
      <c r="GK192" s="495">
        <v>0</v>
      </c>
      <c r="GL192" s="495">
        <v>0</v>
      </c>
      <c r="GM192" s="495">
        <v>0</v>
      </c>
      <c r="GN192" s="359"/>
      <c r="GO192" s="359"/>
      <c r="GP192" s="501"/>
      <c r="GQ192" s="495">
        <v>0</v>
      </c>
      <c r="GR192" s="375"/>
      <c r="GS192" s="333"/>
      <c r="GT192" s="333"/>
      <c r="GU192" s="333"/>
      <c r="GV192" s="333"/>
      <c r="GW192" s="333"/>
      <c r="GX192" s="333"/>
      <c r="GY192" s="333"/>
      <c r="GZ192" s="333"/>
      <c r="HA192" s="333"/>
      <c r="HB192" s="333"/>
      <c r="HC192" s="333"/>
      <c r="HD192" s="333"/>
      <c r="HE192" s="333"/>
      <c r="HF192" s="333"/>
      <c r="HG192" s="331"/>
      <c r="HH192" s="331"/>
      <c r="HI192" s="331"/>
      <c r="HJ192" s="331"/>
      <c r="HK192" s="331"/>
      <c r="HL192" s="331"/>
      <c r="HM192" s="331"/>
      <c r="HN192" s="333"/>
      <c r="HO192" s="333"/>
      <c r="HP192" s="333"/>
      <c r="HQ192" s="333"/>
      <c r="HR192" s="333"/>
      <c r="HS192" s="333"/>
      <c r="HT192" s="333"/>
      <c r="HU192" s="333"/>
      <c r="HV192" s="333"/>
      <c r="HW192" s="333"/>
      <c r="HX192" s="333"/>
      <c r="HY192" s="333"/>
      <c r="HZ192" s="333"/>
      <c r="IA192" s="333"/>
      <c r="IB192" s="333"/>
      <c r="IC192" s="333"/>
      <c r="ID192" s="55"/>
      <c r="IE192" s="47"/>
    </row>
    <row r="193" spans="13:249" s="142" customFormat="1" ht="15" customHeight="1">
      <c r="M193" s="333"/>
      <c r="N193" s="333"/>
      <c r="O193" s="333"/>
      <c r="P193" s="333"/>
      <c r="Q193" s="333"/>
      <c r="R193" s="333"/>
      <c r="S193" s="333"/>
      <c r="T193" s="333"/>
      <c r="U193" s="333"/>
      <c r="V193" s="333"/>
      <c r="W193" s="333"/>
      <c r="X193" s="333"/>
      <c r="Y193" s="333"/>
      <c r="Z193" s="333"/>
      <c r="AA193" s="333"/>
      <c r="AB193" s="333"/>
      <c r="AC193" s="333"/>
      <c r="AD193" s="333"/>
      <c r="AE193" s="333"/>
      <c r="AF193" s="333"/>
      <c r="AG193" s="333"/>
      <c r="AH193" s="333"/>
      <c r="AI193" s="333"/>
      <c r="AJ193" s="333"/>
      <c r="AK193" s="333"/>
      <c r="AL193" s="333"/>
      <c r="AM193" s="333"/>
      <c r="AN193" s="333"/>
      <c r="AO193" s="333"/>
      <c r="AP193" s="333"/>
      <c r="AQ193" s="333"/>
      <c r="AR193" s="333"/>
      <c r="AS193" s="333"/>
      <c r="AT193" s="333"/>
      <c r="AU193" s="333"/>
      <c r="AV193" s="333"/>
      <c r="AW193" s="333"/>
      <c r="AX193" s="333"/>
      <c r="AY193" s="333"/>
      <c r="AZ193" s="333"/>
      <c r="BA193" s="333"/>
      <c r="BB193" s="333"/>
      <c r="BC193" s="333"/>
      <c r="BD193" s="333"/>
      <c r="BE193" s="333"/>
      <c r="BF193" s="333"/>
      <c r="BG193" s="333"/>
      <c r="BH193" s="333"/>
      <c r="BI193" s="333"/>
      <c r="BJ193" s="333"/>
      <c r="BK193" s="333"/>
      <c r="BL193" s="333"/>
      <c r="BM193" s="333"/>
      <c r="BN193" s="333"/>
      <c r="BO193" s="333"/>
      <c r="BP193" s="333"/>
      <c r="BQ193" s="333"/>
      <c r="BR193" s="333"/>
      <c r="BS193" s="333"/>
      <c r="BT193" s="333"/>
      <c r="BU193" s="333"/>
      <c r="BV193" s="333"/>
      <c r="BW193" s="333"/>
      <c r="BX193" s="333"/>
      <c r="BY193" s="333"/>
      <c r="BZ193" s="333"/>
      <c r="CA193" s="333"/>
      <c r="CB193" s="333"/>
      <c r="CC193" s="333"/>
      <c r="CD193" s="333"/>
      <c r="CE193" s="333"/>
      <c r="CF193" s="333"/>
      <c r="CG193" s="333"/>
      <c r="CH193" s="333"/>
      <c r="CI193" s="333"/>
      <c r="CJ193" s="333"/>
      <c r="CK193" s="333"/>
      <c r="CL193" s="333"/>
      <c r="CM193" s="333"/>
      <c r="CN193" s="333"/>
      <c r="CO193" s="333"/>
      <c r="CP193" s="333"/>
      <c r="CQ193" s="333"/>
      <c r="CR193" s="333"/>
      <c r="CS193" s="333"/>
      <c r="CT193" s="333"/>
      <c r="CU193" s="333"/>
      <c r="CV193" s="333"/>
      <c r="CW193" s="333"/>
      <c r="CX193" s="333"/>
      <c r="CY193" s="333"/>
      <c r="CZ193" s="333"/>
      <c r="DA193" s="333"/>
      <c r="DB193" s="333"/>
      <c r="DC193" s="333"/>
      <c r="DD193" s="333"/>
      <c r="DE193" s="333"/>
      <c r="DF193" s="333"/>
      <c r="DG193" s="333"/>
      <c r="DH193" s="333"/>
      <c r="DI193" s="333"/>
      <c r="DJ193" s="333"/>
      <c r="DK193" s="333"/>
      <c r="DL193" s="333"/>
      <c r="DM193" s="333"/>
      <c r="DN193" s="333"/>
      <c r="DO193" s="333"/>
      <c r="DP193" s="333"/>
      <c r="DQ193" s="333"/>
      <c r="DR193" s="333"/>
      <c r="DS193" s="333"/>
      <c r="DT193" s="333"/>
      <c r="DU193" s="375"/>
      <c r="DV193" s="375"/>
      <c r="DW193" s="375"/>
      <c r="DX193" s="375"/>
      <c r="DY193" s="375"/>
      <c r="DZ193" s="375"/>
      <c r="EA193" s="375"/>
      <c r="EB193" s="375"/>
      <c r="EC193" s="375"/>
      <c r="ED193" s="375"/>
      <c r="EE193" s="375"/>
      <c r="EF193" s="375"/>
      <c r="EG193" s="375"/>
      <c r="EH193" s="375"/>
      <c r="EI193" s="375"/>
      <c r="EJ193" s="373"/>
      <c r="EK193" s="373"/>
      <c r="EL193" s="366"/>
      <c r="EM193" s="368"/>
      <c r="EN193" s="364"/>
      <c r="EO193" s="352">
        <f>+SUM(EP191:EP195) - SUM(EQ191:EQ195)</f>
        <v>0</v>
      </c>
      <c r="EP193" s="347"/>
      <c r="EQ193" s="342"/>
      <c r="ER193" s="522"/>
      <c r="ES193" s="916">
        <f>IF(ER193 = "", 0,
IF(AND(EP193 &gt; 0, EQ193 &gt;0), 0, IF(EO191 &lt;&gt; $Z$1,
IF(AND(EP193 &lt;&gt; "", EP193 &lt;&gt; 0), -(EP193 * ER193 * 100),
IF(AND(EQ193 &lt;&gt; "", EQ193 &lt;&gt; 0), (EQ193 * ER193 * 100), 0)),
IF(AND(EP193 &lt;&gt; "", EP193 &lt;&gt; 0), -(EP193 * ER193 * 1),
IF(AND(EQ193 &lt;&gt; "", EQ193 &lt;&gt; 0), (EQ193 * ER193 * 1), 0))  )))</f>
        <v>0</v>
      </c>
      <c r="ET193" s="917"/>
      <c r="EU193" s="918"/>
      <c r="EV193" s="916">
        <f>IF(ER193 = "", 0,
IF(AND(EP193 &gt; 0, EQ193 &gt;0), 0,  IF(EO191 &lt;&gt; $Z$1,
IF(AND(EP193 &lt;&gt; "", EP193 &lt;&gt; 0), -(EP193 * ER193 * 100 * (1 + COMIS_OPCION)),
IF(AND(EQ193 &lt;&gt; "", EQ193 &lt;&gt; 0), (EQ193 * ER193 * 100 * (1 - COMIS_OPCION)), 0)),
IF(AND(EP193 &lt;&gt; "", EP193 &lt;&gt; 0), -(EP193 * ER193 * 1 * (1 + COMIS_ACCION)),
IF(AND(EQ193 &lt;&gt; "", EQ193 &lt;&gt; 0), (EQ193 * ER193 * 1 * (1 - COMIS_ACCION)), 0))  )))</f>
        <v>0</v>
      </c>
      <c r="EW193" s="917"/>
      <c r="EX193" s="917"/>
      <c r="EY193" s="917"/>
      <c r="EZ193" s="917"/>
      <c r="FA193" s="917"/>
      <c r="FB193" s="917"/>
      <c r="FC193" s="917"/>
      <c r="FD193" s="925"/>
      <c r="FE193" s="340"/>
      <c r="FF193" s="340"/>
      <c r="FG193" s="365"/>
      <c r="FH193" s="365"/>
      <c r="FI193" s="354">
        <f>+SUM(FJ191:FJ195) - SUM(FK191:FK195)</f>
        <v>0</v>
      </c>
      <c r="FJ193" s="347"/>
      <c r="FK193" s="342"/>
      <c r="FL193" s="343"/>
      <c r="FM193" s="930">
        <f>IF(FL193 = "", 0,
IF(AND(FJ193 &gt; 0, FK193 &gt;0), 0,
IF(AND(FJ193 &lt;&gt; "", FJ193 &lt;&gt; 0), -(FJ193 * FL193 * 100),
IF(AND(FK193 &lt;&gt; "", FK193 &lt;&gt; 0), (FK193 * FL193 * 100), 0)) ))</f>
        <v>0</v>
      </c>
      <c r="FN193" s="931"/>
      <c r="FO193" s="932"/>
      <c r="FP193" s="930">
        <f>IF(FL193 = "", 0,
IF(AND(FJ193 &gt; 0, FK193 &gt;0), 0,
IF(AND(FJ193 &lt;&gt; "", FJ193 &lt;&gt; 0), -(FJ193 * FL193 * 100 * (1 + COMIS_OPCION)),
IF(AND(FK193 &lt;&gt; "", FK193 &lt;&gt; 0), (FK193 * FL193 * 100 * (1 - COMIS_OPCION)), 0)) ))</f>
        <v>0</v>
      </c>
      <c r="FQ193" s="931"/>
      <c r="FR193" s="931"/>
      <c r="FS193" s="931"/>
      <c r="FT193" s="931"/>
      <c r="FU193" s="931"/>
      <c r="FV193" s="931"/>
      <c r="FW193" s="931"/>
      <c r="FX193" s="933"/>
      <c r="FY193" s="341"/>
      <c r="FZ193" s="341"/>
      <c r="GA193" s="341"/>
      <c r="GB193" s="495">
        <v>0</v>
      </c>
      <c r="GC193" s="495">
        <v>0</v>
      </c>
      <c r="GD193" s="500"/>
      <c r="GE193" s="495">
        <v>0</v>
      </c>
      <c r="GF193" s="495">
        <v>0</v>
      </c>
      <c r="GG193" s="495">
        <v>0</v>
      </c>
      <c r="GH193" s="359"/>
      <c r="GI193" s="359"/>
      <c r="GJ193" s="501"/>
      <c r="GK193" s="495">
        <v>0</v>
      </c>
      <c r="GL193" s="495">
        <v>0</v>
      </c>
      <c r="GM193" s="495">
        <v>0</v>
      </c>
      <c r="GN193" s="359"/>
      <c r="GO193" s="359"/>
      <c r="GP193" s="501"/>
      <c r="GQ193" s="495">
        <v>0</v>
      </c>
      <c r="GR193" s="375"/>
      <c r="GS193" s="333"/>
      <c r="GT193" s="333"/>
      <c r="GU193" s="333"/>
      <c r="GV193" s="333"/>
      <c r="GW193" s="333"/>
      <c r="GX193" s="333"/>
      <c r="GY193" s="333"/>
      <c r="GZ193" s="333"/>
      <c r="HA193" s="333"/>
      <c r="HB193" s="333"/>
      <c r="HC193" s="333"/>
      <c r="HD193" s="333"/>
      <c r="HE193" s="333"/>
      <c r="HF193" s="333"/>
      <c r="HG193" s="331"/>
      <c r="HH193" s="331"/>
      <c r="HI193" s="331"/>
      <c r="HJ193" s="331"/>
      <c r="HK193" s="331"/>
      <c r="HL193" s="331"/>
      <c r="HM193" s="331"/>
      <c r="HN193" s="333"/>
      <c r="HO193" s="333"/>
      <c r="HP193" s="333"/>
      <c r="HQ193" s="333"/>
      <c r="HR193" s="333"/>
      <c r="HS193" s="333"/>
      <c r="HT193" s="333"/>
      <c r="HU193" s="333"/>
      <c r="HV193" s="333"/>
      <c r="HW193" s="333"/>
      <c r="HX193" s="333"/>
      <c r="HY193" s="333"/>
      <c r="HZ193" s="333"/>
      <c r="IA193" s="333"/>
      <c r="IB193" s="333"/>
      <c r="IC193" s="333"/>
      <c r="ID193" s="55"/>
      <c r="IE193" s="47"/>
    </row>
    <row r="194" spans="13:249" s="142" customFormat="1" ht="15" customHeight="1">
      <c r="M194" s="333"/>
      <c r="N194" s="333"/>
      <c r="O194" s="333"/>
      <c r="P194" s="333"/>
      <c r="Q194" s="333"/>
      <c r="R194" s="333"/>
      <c r="S194" s="333"/>
      <c r="T194" s="333"/>
      <c r="U194" s="333"/>
      <c r="V194" s="333"/>
      <c r="W194" s="333"/>
      <c r="X194" s="333"/>
      <c r="Y194" s="333"/>
      <c r="Z194" s="333"/>
      <c r="AA194" s="333"/>
      <c r="AB194" s="333"/>
      <c r="AC194" s="333"/>
      <c r="AD194" s="333"/>
      <c r="AE194" s="333"/>
      <c r="AF194" s="333"/>
      <c r="AG194" s="333"/>
      <c r="AH194" s="333"/>
      <c r="AI194" s="333"/>
      <c r="AJ194" s="333"/>
      <c r="AK194" s="333"/>
      <c r="AL194" s="333"/>
      <c r="AM194" s="333"/>
      <c r="AN194" s="333"/>
      <c r="AO194" s="333"/>
      <c r="AP194" s="333"/>
      <c r="AQ194" s="333"/>
      <c r="AR194" s="333"/>
      <c r="AS194" s="333"/>
      <c r="AT194" s="333"/>
      <c r="AU194" s="333"/>
      <c r="AV194" s="333"/>
      <c r="AW194" s="333"/>
      <c r="AX194" s="333"/>
      <c r="AY194" s="333"/>
      <c r="AZ194" s="333"/>
      <c r="BA194" s="333"/>
      <c r="BB194" s="333"/>
      <c r="BC194" s="333"/>
      <c r="BD194" s="333"/>
      <c r="BE194" s="333"/>
      <c r="BF194" s="333"/>
      <c r="BG194" s="333"/>
      <c r="BH194" s="333"/>
      <c r="BI194" s="333"/>
      <c r="BJ194" s="333"/>
      <c r="BK194" s="333"/>
      <c r="BL194" s="333"/>
      <c r="BM194" s="333"/>
      <c r="BN194" s="333"/>
      <c r="BO194" s="333"/>
      <c r="BP194" s="333"/>
      <c r="BQ194" s="333"/>
      <c r="BR194" s="333"/>
      <c r="BS194" s="333"/>
      <c r="BT194" s="333"/>
      <c r="BU194" s="333"/>
      <c r="BV194" s="333"/>
      <c r="BW194" s="333"/>
      <c r="BX194" s="333"/>
      <c r="BY194" s="333"/>
      <c r="BZ194" s="333"/>
      <c r="CA194" s="333"/>
      <c r="CB194" s="333"/>
      <c r="CC194" s="333"/>
      <c r="CD194" s="333"/>
      <c r="CE194" s="333"/>
      <c r="CF194" s="333"/>
      <c r="CG194" s="333"/>
      <c r="CH194" s="333"/>
      <c r="CI194" s="333"/>
      <c r="CJ194" s="333"/>
      <c r="CK194" s="333"/>
      <c r="CL194" s="333"/>
      <c r="CM194" s="333"/>
      <c r="CN194" s="333"/>
      <c r="CO194" s="333"/>
      <c r="CP194" s="333"/>
      <c r="CQ194" s="333"/>
      <c r="CR194" s="333"/>
      <c r="CS194" s="333"/>
      <c r="CT194" s="333"/>
      <c r="CU194" s="333"/>
      <c r="CV194" s="333"/>
      <c r="CW194" s="333"/>
      <c r="CX194" s="333"/>
      <c r="CY194" s="333"/>
      <c r="CZ194" s="333"/>
      <c r="DA194" s="333"/>
      <c r="DB194" s="333"/>
      <c r="DC194" s="333"/>
      <c r="DD194" s="333"/>
      <c r="DE194" s="333"/>
      <c r="DF194" s="333"/>
      <c r="DG194" s="333"/>
      <c r="DH194" s="333"/>
      <c r="DI194" s="333"/>
      <c r="DJ194" s="333"/>
      <c r="DK194" s="333"/>
      <c r="DL194" s="333"/>
      <c r="DM194" s="333"/>
      <c r="DN194" s="333"/>
      <c r="DO194" s="333"/>
      <c r="DP194" s="333"/>
      <c r="DQ194" s="333"/>
      <c r="DR194" s="333"/>
      <c r="DS194" s="333"/>
      <c r="DT194" s="333"/>
      <c r="DU194" s="375"/>
      <c r="DV194" s="375"/>
      <c r="DW194" s="375"/>
      <c r="DX194" s="375"/>
      <c r="DY194" s="375"/>
      <c r="DZ194" s="375"/>
      <c r="EA194" s="375"/>
      <c r="EB194" s="375"/>
      <c r="EC194" s="375"/>
      <c r="ED194" s="375"/>
      <c r="EE194" s="375"/>
      <c r="EF194" s="375"/>
      <c r="EG194" s="375"/>
      <c r="EH194" s="375"/>
      <c r="EI194" s="375"/>
      <c r="EJ194" s="373"/>
      <c r="EK194" s="373"/>
      <c r="EL194" s="366"/>
      <c r="EM194" s="368"/>
      <c r="EN194" s="364"/>
      <c r="EO194" s="352">
        <f>IF(EO193=0, 0, SUM(EV191:FD195))</f>
        <v>0</v>
      </c>
      <c r="EP194" s="347"/>
      <c r="EQ194" s="342"/>
      <c r="ER194" s="522"/>
      <c r="ES194" s="916">
        <f>IF(ER194 = "", 0,
IF(AND(EP194 &gt; 0, EQ194 &gt;0), 0, IF(EO191 &lt;&gt; $Z$1,
IF(AND(EP194 &lt;&gt; "", EP194 &lt;&gt; 0), -(EP194 * ER194 * 100),
IF(AND(EQ194 &lt;&gt; "", EQ194 &lt;&gt; 0), (EQ194 * ER194 * 100), 0)),
IF(AND(EP194 &lt;&gt; "", EP194 &lt;&gt; 0), -(EP194 * ER194 * 1),
IF(AND(EQ194 &lt;&gt; "", EQ194 &lt;&gt; 0), (EQ194 * ER194 * 1), 0))  )))</f>
        <v>0</v>
      </c>
      <c r="ET194" s="917"/>
      <c r="EU194" s="918"/>
      <c r="EV194" s="916">
        <f>IF(ER194 = "", 0,
IF(AND(EP194 &gt; 0, EQ194 &gt;0), 0,  IF(EO191 &lt;&gt; $Z$1,
IF(AND(EP194 &lt;&gt; "", EP194 &lt;&gt; 0), -(EP194 * ER194 * 100 * (1 + COMIS_OPCION)),
IF(AND(EQ194 &lt;&gt; "", EQ194 &lt;&gt; 0), (EQ194 * ER194 * 100 * (1 - COMIS_OPCION)), 0)),
IF(AND(EP194 &lt;&gt; "", EP194 &lt;&gt; 0), -(EP194 * ER194 * 1 * (1 + COMIS_ACCION)),
IF(AND(EQ194 &lt;&gt; "", EQ194 &lt;&gt; 0), (EQ194 * ER194 * 1 * (1 - COMIS_ACCION)), 0))  )))</f>
        <v>0</v>
      </c>
      <c r="EW194" s="917"/>
      <c r="EX194" s="917"/>
      <c r="EY194" s="917"/>
      <c r="EZ194" s="917"/>
      <c r="FA194" s="917"/>
      <c r="FB194" s="917"/>
      <c r="FC194" s="917"/>
      <c r="FD194" s="925"/>
      <c r="FE194" s="340"/>
      <c r="FF194" s="340"/>
      <c r="FG194" s="365"/>
      <c r="FH194" s="365"/>
      <c r="FI194" s="354">
        <f>IF(FI193=0, 0, SUM(FP191:FX195))</f>
        <v>0</v>
      </c>
      <c r="FJ194" s="347"/>
      <c r="FK194" s="342"/>
      <c r="FL194" s="343"/>
      <c r="FM194" s="930">
        <f>IF(FL194 = "", 0,
IF(AND(FJ194 &gt; 0, FK194 &gt;0), 0,
IF(AND(FJ194 &lt;&gt; "", FJ194 &lt;&gt; 0), -(FJ194 * FL194 * 100),
IF(AND(FK194 &lt;&gt; "", FK194 &lt;&gt; 0), (FK194 * FL194 * 100), 0)) ))</f>
        <v>0</v>
      </c>
      <c r="FN194" s="931"/>
      <c r="FO194" s="932"/>
      <c r="FP194" s="930">
        <f>IF(FL194 = "", 0,
IF(AND(FJ194 &gt; 0, FK194 &gt;0), 0,
IF(AND(FJ194 &lt;&gt; "", FJ194 &lt;&gt; 0), -(FJ194 * FL194 * 100 * (1 + COMIS_OPCION)),
IF(AND(FK194 &lt;&gt; "", FK194 &lt;&gt; 0), (FK194 * FL194 * 100 * (1 - COMIS_OPCION)), 0)) ))</f>
        <v>0</v>
      </c>
      <c r="FQ194" s="931"/>
      <c r="FR194" s="931"/>
      <c r="FS194" s="931"/>
      <c r="FT194" s="931"/>
      <c r="FU194" s="931"/>
      <c r="FV194" s="931"/>
      <c r="FW194" s="931"/>
      <c r="FX194" s="933"/>
      <c r="FY194" s="341"/>
      <c r="FZ194" s="341"/>
      <c r="GA194" s="341"/>
      <c r="GB194" s="495">
        <v>0</v>
      </c>
      <c r="GC194" s="495">
        <v>0</v>
      </c>
      <c r="GD194" s="500"/>
      <c r="GE194" s="495">
        <v>0</v>
      </c>
      <c r="GF194" s="495">
        <v>0</v>
      </c>
      <c r="GG194" s="495">
        <v>0</v>
      </c>
      <c r="GH194" s="359"/>
      <c r="GI194" s="359"/>
      <c r="GJ194" s="501"/>
      <c r="GK194" s="495">
        <v>0</v>
      </c>
      <c r="GL194" s="495">
        <v>0</v>
      </c>
      <c r="GM194" s="495">
        <v>0</v>
      </c>
      <c r="GN194" s="359"/>
      <c r="GO194" s="359"/>
      <c r="GP194" s="501"/>
      <c r="GQ194" s="495">
        <v>0</v>
      </c>
      <c r="GR194" s="375"/>
      <c r="GS194" s="333"/>
      <c r="GT194" s="333"/>
      <c r="GU194" s="333"/>
      <c r="GV194" s="333"/>
      <c r="GW194" s="333"/>
      <c r="GX194" s="333"/>
      <c r="GY194" s="333"/>
      <c r="GZ194" s="333"/>
      <c r="HA194" s="333"/>
      <c r="HB194" s="333"/>
      <c r="HC194" s="333"/>
      <c r="HD194" s="333"/>
      <c r="HE194" s="333"/>
      <c r="HF194" s="333"/>
      <c r="HG194" s="331"/>
      <c r="HH194" s="331"/>
      <c r="HI194" s="331"/>
      <c r="HJ194" s="331"/>
      <c r="HK194" s="331"/>
      <c r="HL194" s="331"/>
      <c r="HM194" s="331"/>
      <c r="HN194" s="333"/>
      <c r="HO194" s="333"/>
      <c r="HP194" s="333"/>
      <c r="HQ194" s="333"/>
      <c r="HR194" s="333"/>
      <c r="HS194" s="333"/>
      <c r="HT194" s="333"/>
      <c r="HU194" s="333"/>
      <c r="HV194" s="333"/>
      <c r="HW194" s="333"/>
      <c r="HX194" s="333"/>
      <c r="HY194" s="333"/>
      <c r="HZ194" s="333"/>
      <c r="IA194" s="333"/>
      <c r="IB194" s="333"/>
      <c r="IC194" s="333"/>
      <c r="ID194" s="55"/>
      <c r="IE194" s="47"/>
    </row>
    <row r="195" spans="13:249" s="142" customFormat="1" ht="15" customHeight="1" thickBot="1">
      <c r="M195" s="333"/>
      <c r="N195" s="333"/>
      <c r="O195" s="333"/>
      <c r="P195" s="333"/>
      <c r="Q195" s="333"/>
      <c r="R195" s="333"/>
      <c r="S195" s="333"/>
      <c r="T195" s="333"/>
      <c r="U195" s="333"/>
      <c r="V195" s="333"/>
      <c r="W195" s="333"/>
      <c r="X195" s="333"/>
      <c r="Y195" s="333"/>
      <c r="Z195" s="333"/>
      <c r="AA195" s="333"/>
      <c r="AB195" s="333"/>
      <c r="AC195" s="333"/>
      <c r="AD195" s="333"/>
      <c r="AE195" s="333"/>
      <c r="AF195" s="333"/>
      <c r="AG195" s="333"/>
      <c r="AH195" s="333"/>
      <c r="AI195" s="333"/>
      <c r="AJ195" s="333"/>
      <c r="AK195" s="333"/>
      <c r="AL195" s="333"/>
      <c r="AM195" s="333"/>
      <c r="AN195" s="333"/>
      <c r="AO195" s="333"/>
      <c r="AP195" s="333"/>
      <c r="AQ195" s="333"/>
      <c r="AR195" s="333"/>
      <c r="AS195" s="333"/>
      <c r="AT195" s="333"/>
      <c r="AU195" s="333"/>
      <c r="AV195" s="333"/>
      <c r="AW195" s="333"/>
      <c r="AX195" s="333"/>
      <c r="AY195" s="333"/>
      <c r="AZ195" s="333"/>
      <c r="BA195" s="333"/>
      <c r="BB195" s="333"/>
      <c r="BC195" s="333"/>
      <c r="BD195" s="333"/>
      <c r="BE195" s="333"/>
      <c r="BF195" s="333"/>
      <c r="BG195" s="333"/>
      <c r="BH195" s="333"/>
      <c r="BI195" s="333"/>
      <c r="BJ195" s="333"/>
      <c r="BK195" s="333"/>
      <c r="BL195" s="333"/>
      <c r="BM195" s="333"/>
      <c r="BN195" s="333"/>
      <c r="BO195" s="333"/>
      <c r="BP195" s="333"/>
      <c r="BQ195" s="333"/>
      <c r="BR195" s="333"/>
      <c r="BS195" s="333"/>
      <c r="BT195" s="333"/>
      <c r="BU195" s="333"/>
      <c r="BV195" s="333"/>
      <c r="BW195" s="333"/>
      <c r="BX195" s="333"/>
      <c r="BY195" s="333"/>
      <c r="BZ195" s="333"/>
      <c r="CA195" s="333"/>
      <c r="CB195" s="333"/>
      <c r="CC195" s="333"/>
      <c r="CD195" s="333"/>
      <c r="CE195" s="333"/>
      <c r="CF195" s="333"/>
      <c r="CG195" s="333"/>
      <c r="CH195" s="333"/>
      <c r="CI195" s="333"/>
      <c r="CJ195" s="333"/>
      <c r="CK195" s="333"/>
      <c r="CL195" s="333"/>
      <c r="CM195" s="333"/>
      <c r="CN195" s="333"/>
      <c r="CO195" s="333"/>
      <c r="CP195" s="333"/>
      <c r="CQ195" s="333"/>
      <c r="CR195" s="333"/>
      <c r="CS195" s="333"/>
      <c r="CT195" s="333"/>
      <c r="CU195" s="333"/>
      <c r="CV195" s="333"/>
      <c r="CW195" s="333"/>
      <c r="CX195" s="333"/>
      <c r="CY195" s="333"/>
      <c r="CZ195" s="333"/>
      <c r="DA195" s="333"/>
      <c r="DB195" s="333"/>
      <c r="DC195" s="333"/>
      <c r="DD195" s="333"/>
      <c r="DE195" s="333"/>
      <c r="DF195" s="333"/>
      <c r="DG195" s="333"/>
      <c r="DH195" s="333"/>
      <c r="DI195" s="333"/>
      <c r="DJ195" s="333"/>
      <c r="DK195" s="333"/>
      <c r="DL195" s="333"/>
      <c r="DM195" s="333"/>
      <c r="DN195" s="333"/>
      <c r="DO195" s="333"/>
      <c r="DP195" s="333"/>
      <c r="DQ195" s="333"/>
      <c r="DR195" s="333"/>
      <c r="DS195" s="333"/>
      <c r="DT195" s="333"/>
      <c r="DU195" s="375"/>
      <c r="DV195" s="375"/>
      <c r="DW195" s="375"/>
      <c r="DX195" s="375"/>
      <c r="DY195" s="375"/>
      <c r="DZ195" s="375"/>
      <c r="EA195" s="375"/>
      <c r="EB195" s="375"/>
      <c r="EC195" s="375"/>
      <c r="ED195" s="375"/>
      <c r="EE195" s="375"/>
      <c r="EF195" s="375"/>
      <c r="EG195" s="375"/>
      <c r="EH195" s="375"/>
      <c r="EI195" s="375"/>
      <c r="EJ195" s="373"/>
      <c r="EK195" s="373"/>
      <c r="EL195" s="366"/>
      <c r="EM195" s="368"/>
      <c r="EN195" s="364"/>
      <c r="EO195" s="353">
        <f>+IF(EO193= 0, 0, GG191)</f>
        <v>0</v>
      </c>
      <c r="EP195" s="350"/>
      <c r="EQ195" s="344"/>
      <c r="ER195" s="523"/>
      <c r="ES195" s="921">
        <f>IF(ER195 = "", 0,
IF(AND(EP195 &gt; 0, EQ195 &gt;0), 0, IF(EO191 &lt;&gt; $Z$1,
IF(AND(EP195 &lt;&gt; "", EP195 &lt;&gt; 0), -(EP195 * ER195 * 100),
IF(AND(EQ195 &lt;&gt; "", EQ195 &lt;&gt; 0), (EQ195 * ER195 * 100), 0)),
IF(AND(EP195 &lt;&gt; "", EP195 &lt;&gt; 0), -(EP195 * ER195 * 1),
IF(AND(EQ195 &lt;&gt; "", EQ195 &lt;&gt; 0), (EQ195 * ER195 * 1), 0))  )))</f>
        <v>0</v>
      </c>
      <c r="ET195" s="922"/>
      <c r="EU195" s="924"/>
      <c r="EV195" s="921">
        <f>IF(ER195 = "", 0,
IF(AND(EP195 &gt; 0, EQ195 &gt;0), 0,  IF(EO191 &lt;&gt; $Z$1,
IF(AND(EP195 &lt;&gt; "", EP195 &lt;&gt; 0), -(EP195 * ER195 * 100 * (1 + COMIS_OPCION)),
IF(AND(EQ195 &lt;&gt; "", EQ195 &lt;&gt; 0), (EQ195 * ER195 * 100 * (1 - COMIS_OPCION)), 0)),
IF(AND(EP195 &lt;&gt; "", EP195 &lt;&gt; 0), -(EP195 * ER195 * 1 * (1 + COMIS_ACCION)),
IF(AND(EQ195 &lt;&gt; "", EQ195 &lt;&gt; 0), (EQ195 * ER195 * 1 * (1 - COMIS_ACCION)), 0))  )))</f>
        <v>0</v>
      </c>
      <c r="EW195" s="922"/>
      <c r="EX195" s="922"/>
      <c r="EY195" s="922"/>
      <c r="EZ195" s="922"/>
      <c r="FA195" s="922"/>
      <c r="FB195" s="922"/>
      <c r="FC195" s="922"/>
      <c r="FD195" s="923"/>
      <c r="FE195" s="340"/>
      <c r="FF195" s="340"/>
      <c r="FG195" s="365"/>
      <c r="FH195" s="365"/>
      <c r="FI195" s="349">
        <f>+IF(FI193= 0, 0, GQ191)</f>
        <v>0</v>
      </c>
      <c r="FJ195" s="348"/>
      <c r="FK195" s="345"/>
      <c r="FL195" s="346"/>
      <c r="FM195" s="937">
        <f>IF(FL195 = "", 0,
IF(AND(FJ195 &gt; 0, FK195 &gt;0), 0,
IF(AND(FJ195 &lt;&gt; "", FJ195 &lt;&gt; 0), -(FJ195 * FL195 * 100),
IF(AND(FK195 &lt;&gt; "", FK195 &lt;&gt; 0), (FK195 * FL195 * 100), 0)) ))</f>
        <v>0</v>
      </c>
      <c r="FN195" s="938"/>
      <c r="FO195" s="939"/>
      <c r="FP195" s="937">
        <f>IF(FL195 = "", 0,
IF(AND(FJ195 &gt; 0, FK195 &gt;0), 0,
IF(AND(FJ195 &lt;&gt; "", FJ195 &lt;&gt; 0), -(FJ195 * FL195 * 100 * (1 + COMIS_OPCION)),
IF(AND(FK195 &lt;&gt; "", FK195 &lt;&gt; 0), (FK195 * FL195 * 100 * (1 - COMIS_OPCION)), 0)) ))</f>
        <v>0</v>
      </c>
      <c r="FQ195" s="938"/>
      <c r="FR195" s="938"/>
      <c r="FS195" s="938"/>
      <c r="FT195" s="938"/>
      <c r="FU195" s="938"/>
      <c r="FV195" s="938"/>
      <c r="FW195" s="938"/>
      <c r="FX195" s="969"/>
      <c r="FY195" s="341"/>
      <c r="FZ195" s="341"/>
      <c r="GA195" s="341"/>
      <c r="GB195" s="495">
        <v>0</v>
      </c>
      <c r="GC195" s="495">
        <v>0</v>
      </c>
      <c r="GD195" s="500"/>
      <c r="GE195" s="495">
        <v>0</v>
      </c>
      <c r="GF195" s="495">
        <v>0</v>
      </c>
      <c r="GG195" s="495">
        <v>0</v>
      </c>
      <c r="GH195" s="359"/>
      <c r="GI195" s="359"/>
      <c r="GJ195" s="501"/>
      <c r="GK195" s="495">
        <v>0</v>
      </c>
      <c r="GL195" s="495">
        <v>0</v>
      </c>
      <c r="GM195" s="495">
        <v>0</v>
      </c>
      <c r="GN195" s="359"/>
      <c r="GO195" s="359"/>
      <c r="GP195" s="501"/>
      <c r="GQ195" s="495">
        <v>0</v>
      </c>
      <c r="GR195" s="375"/>
      <c r="GS195" s="333"/>
      <c r="GT195" s="333"/>
      <c r="GU195" s="333"/>
      <c r="GV195" s="333"/>
      <c r="GW195" s="333"/>
      <c r="GX195" s="333"/>
      <c r="GY195" s="333"/>
      <c r="GZ195" s="333"/>
      <c r="HA195" s="333"/>
      <c r="HB195" s="333"/>
      <c r="HC195" s="333"/>
      <c r="HD195" s="333"/>
      <c r="HE195" s="333"/>
      <c r="HF195" s="333"/>
      <c r="HG195" s="331"/>
      <c r="HH195" s="331"/>
      <c r="HI195" s="331"/>
      <c r="HJ195" s="331"/>
      <c r="HK195" s="331"/>
      <c r="HL195" s="331"/>
      <c r="HM195" s="331"/>
      <c r="HN195" s="333"/>
      <c r="HO195" s="333"/>
      <c r="HP195" s="333"/>
      <c r="HQ195" s="333"/>
      <c r="HR195" s="333"/>
      <c r="HS195" s="333"/>
      <c r="HT195" s="333"/>
      <c r="HU195" s="333"/>
      <c r="HV195" s="333"/>
      <c r="HW195" s="333"/>
      <c r="HX195" s="333"/>
      <c r="HY195" s="333"/>
      <c r="HZ195" s="333"/>
      <c r="IA195" s="333"/>
      <c r="IB195" s="333"/>
      <c r="IC195" s="333"/>
      <c r="ID195" s="55"/>
      <c r="IE195" s="47"/>
    </row>
    <row r="196" spans="13:249" s="142" customFormat="1" ht="15" customHeight="1" thickBot="1">
      <c r="M196" s="333"/>
      <c r="N196" s="333"/>
      <c r="O196" s="333"/>
      <c r="P196" s="333"/>
      <c r="Q196" s="333"/>
      <c r="R196" s="333"/>
      <c r="S196" s="333"/>
      <c r="T196" s="333"/>
      <c r="U196" s="333"/>
      <c r="V196" s="333"/>
      <c r="W196" s="333"/>
      <c r="X196" s="333"/>
      <c r="Y196" s="333"/>
      <c r="Z196" s="333"/>
      <c r="AA196" s="333"/>
      <c r="AB196" s="333"/>
      <c r="AC196" s="333"/>
      <c r="AD196" s="333"/>
      <c r="AE196" s="333"/>
      <c r="AF196" s="333"/>
      <c r="AG196" s="333"/>
      <c r="AH196" s="333"/>
      <c r="AI196" s="333"/>
      <c r="AJ196" s="333"/>
      <c r="AK196" s="333"/>
      <c r="AL196" s="333"/>
      <c r="AM196" s="333"/>
      <c r="AN196" s="333"/>
      <c r="AO196" s="333"/>
      <c r="AP196" s="333"/>
      <c r="AQ196" s="333"/>
      <c r="AR196" s="333"/>
      <c r="AS196" s="333"/>
      <c r="AT196" s="333"/>
      <c r="AU196" s="333"/>
      <c r="AV196" s="333"/>
      <c r="AW196" s="333"/>
      <c r="AX196" s="333"/>
      <c r="AY196" s="333"/>
      <c r="AZ196" s="333"/>
      <c r="BA196" s="333"/>
      <c r="BB196" s="333"/>
      <c r="BC196" s="333"/>
      <c r="BD196" s="333"/>
      <c r="BE196" s="333"/>
      <c r="BF196" s="333"/>
      <c r="BG196" s="333"/>
      <c r="BH196" s="333"/>
      <c r="BI196" s="333"/>
      <c r="BJ196" s="333"/>
      <c r="BK196" s="333"/>
      <c r="BL196" s="333"/>
      <c r="BM196" s="333"/>
      <c r="BN196" s="333"/>
      <c r="BO196" s="333"/>
      <c r="BP196" s="333"/>
      <c r="BQ196" s="333"/>
      <c r="BR196" s="333"/>
      <c r="BS196" s="333"/>
      <c r="BT196" s="333"/>
      <c r="BU196" s="333"/>
      <c r="BV196" s="333"/>
      <c r="BW196" s="333"/>
      <c r="BX196" s="333"/>
      <c r="BY196" s="333"/>
      <c r="BZ196" s="333"/>
      <c r="CA196" s="333"/>
      <c r="CB196" s="333"/>
      <c r="CC196" s="333"/>
      <c r="CD196" s="333"/>
      <c r="CE196" s="333"/>
      <c r="CF196" s="333"/>
      <c r="CG196" s="333"/>
      <c r="CH196" s="333"/>
      <c r="CI196" s="333"/>
      <c r="CJ196" s="333"/>
      <c r="CK196" s="333"/>
      <c r="CL196" s="333"/>
      <c r="CM196" s="333"/>
      <c r="CN196" s="333"/>
      <c r="CO196" s="333"/>
      <c r="CP196" s="333"/>
      <c r="CQ196" s="333"/>
      <c r="CR196" s="333"/>
      <c r="CS196" s="333"/>
      <c r="CT196" s="333"/>
      <c r="CU196" s="333"/>
      <c r="CV196" s="333"/>
      <c r="CW196" s="333"/>
      <c r="CX196" s="333"/>
      <c r="CY196" s="333"/>
      <c r="CZ196" s="333"/>
      <c r="DA196" s="333"/>
      <c r="DB196" s="333"/>
      <c r="DC196" s="333"/>
      <c r="DD196" s="333"/>
      <c r="DE196" s="333"/>
      <c r="DF196" s="333"/>
      <c r="DG196" s="333"/>
      <c r="DH196" s="333"/>
      <c r="DI196" s="333"/>
      <c r="DJ196" s="333"/>
      <c r="DK196" s="333"/>
      <c r="DL196" s="333"/>
      <c r="DM196" s="333"/>
      <c r="DN196" s="333"/>
      <c r="DO196" s="333"/>
      <c r="DP196" s="333"/>
      <c r="DQ196" s="333"/>
      <c r="DR196" s="333"/>
      <c r="DS196" s="333"/>
      <c r="DT196" s="333"/>
      <c r="DU196" s="375"/>
      <c r="DV196" s="375"/>
      <c r="DW196" s="375"/>
      <c r="DX196" s="375"/>
      <c r="DY196" s="375"/>
      <c r="DZ196" s="375"/>
      <c r="EA196" s="375"/>
      <c r="EB196" s="375"/>
      <c r="EC196" s="375"/>
      <c r="ED196" s="375"/>
      <c r="EE196" s="375"/>
      <c r="EF196" s="375"/>
      <c r="EG196" s="375"/>
      <c r="EH196" s="375"/>
      <c r="EI196" s="375"/>
      <c r="EJ196" s="373"/>
      <c r="EK196" s="373"/>
      <c r="EL196" s="366"/>
      <c r="EM196" s="366"/>
      <c r="EN196" s="364"/>
      <c r="EO196" s="363"/>
      <c r="EP196" s="340"/>
      <c r="EQ196" s="340"/>
      <c r="ER196" s="340"/>
      <c r="ES196" s="363"/>
      <c r="ET196" s="363"/>
      <c r="EU196" s="340"/>
      <c r="EV196" s="340"/>
      <c r="EW196" s="340"/>
      <c r="EX196" s="340"/>
      <c r="EY196" s="340"/>
      <c r="EZ196" s="340"/>
      <c r="FA196" s="340"/>
      <c r="FB196" s="402"/>
      <c r="FC196" s="402"/>
      <c r="FD196" s="340"/>
      <c r="FE196" s="340"/>
      <c r="FF196" s="340"/>
      <c r="FG196" s="364"/>
      <c r="FH196" s="364"/>
      <c r="FI196" s="363"/>
      <c r="FJ196" s="360"/>
      <c r="FK196" s="360"/>
      <c r="FL196" s="340"/>
      <c r="FM196" s="967"/>
      <c r="FN196" s="967"/>
      <c r="FO196" s="967"/>
      <c r="FP196" s="968"/>
      <c r="FQ196" s="968"/>
      <c r="FR196" s="968"/>
      <c r="FS196" s="968"/>
      <c r="FT196" s="968"/>
      <c r="FU196" s="968"/>
      <c r="FV196" s="968"/>
      <c r="FW196" s="968"/>
      <c r="FX196" s="968"/>
      <c r="FY196" s="341"/>
      <c r="FZ196" s="341"/>
      <c r="GA196" s="341"/>
      <c r="GB196" s="495">
        <v>0</v>
      </c>
      <c r="GC196" s="495">
        <v>0</v>
      </c>
      <c r="GD196" s="500"/>
      <c r="GE196" s="495">
        <v>0</v>
      </c>
      <c r="GF196" s="495">
        <v>0</v>
      </c>
      <c r="GG196" s="495">
        <v>0</v>
      </c>
      <c r="GH196" s="359"/>
      <c r="GI196" s="359"/>
      <c r="GJ196" s="501"/>
      <c r="GK196" s="495">
        <v>0</v>
      </c>
      <c r="GL196" s="495">
        <v>0</v>
      </c>
      <c r="GM196" s="495">
        <v>0</v>
      </c>
      <c r="GN196" s="359"/>
      <c r="GO196" s="359"/>
      <c r="GP196" s="501"/>
      <c r="GQ196" s="495">
        <v>0</v>
      </c>
      <c r="GR196" s="375"/>
      <c r="GS196" s="333"/>
      <c r="GT196" s="333"/>
      <c r="GU196" s="333"/>
      <c r="GV196" s="333"/>
      <c r="GW196" s="333"/>
      <c r="GX196" s="333"/>
      <c r="GY196" s="333"/>
      <c r="GZ196" s="333"/>
      <c r="HA196" s="333"/>
      <c r="HB196" s="333"/>
      <c r="HC196" s="333"/>
      <c r="HD196" s="333"/>
      <c r="HE196" s="333"/>
      <c r="HF196" s="333"/>
      <c r="HG196" s="331"/>
      <c r="HH196" s="331"/>
      <c r="HI196" s="331"/>
      <c r="HJ196" s="331"/>
      <c r="HK196" s="331"/>
      <c r="HL196" s="331"/>
      <c r="HM196" s="331"/>
      <c r="HN196" s="333"/>
      <c r="HO196" s="333"/>
      <c r="HP196" s="333"/>
      <c r="HQ196" s="333"/>
      <c r="HR196" s="333"/>
      <c r="HS196" s="333"/>
      <c r="HT196" s="333"/>
      <c r="HU196" s="333"/>
      <c r="HV196" s="333"/>
      <c r="HW196" s="333"/>
      <c r="HX196" s="333"/>
      <c r="HY196" s="333"/>
      <c r="HZ196" s="333"/>
      <c r="IA196" s="333"/>
      <c r="IB196" s="333"/>
      <c r="IC196" s="333"/>
      <c r="ID196" s="55"/>
      <c r="IE196" s="47"/>
    </row>
    <row r="197" spans="13:249" s="142" customFormat="1" ht="15" customHeight="1">
      <c r="M197" s="333"/>
      <c r="N197" s="333"/>
      <c r="O197" s="333"/>
      <c r="P197" s="333"/>
      <c r="Q197" s="333"/>
      <c r="R197" s="333"/>
      <c r="S197" s="333"/>
      <c r="T197" s="333"/>
      <c r="U197" s="333"/>
      <c r="V197" s="333"/>
      <c r="W197" s="333"/>
      <c r="X197" s="333"/>
      <c r="Y197" s="333"/>
      <c r="Z197" s="333"/>
      <c r="AA197" s="333"/>
      <c r="AB197" s="333"/>
      <c r="AC197" s="333"/>
      <c r="AD197" s="333"/>
      <c r="AE197" s="333"/>
      <c r="AF197" s="333"/>
      <c r="AG197" s="333"/>
      <c r="AH197" s="333"/>
      <c r="AI197" s="333"/>
      <c r="AJ197" s="333"/>
      <c r="AK197" s="333"/>
      <c r="AL197" s="333"/>
      <c r="AM197" s="333"/>
      <c r="AN197" s="333"/>
      <c r="AO197" s="333"/>
      <c r="AP197" s="333"/>
      <c r="AQ197" s="333"/>
      <c r="AR197" s="333"/>
      <c r="AS197" s="333"/>
      <c r="AT197" s="333"/>
      <c r="AU197" s="333"/>
      <c r="AV197" s="333"/>
      <c r="AW197" s="333"/>
      <c r="AX197" s="333"/>
      <c r="AY197" s="333"/>
      <c r="AZ197" s="333"/>
      <c r="BA197" s="333"/>
      <c r="BB197" s="333"/>
      <c r="BC197" s="333"/>
      <c r="BD197" s="333"/>
      <c r="BE197" s="333"/>
      <c r="BF197" s="333"/>
      <c r="BG197" s="333"/>
      <c r="BH197" s="333"/>
      <c r="BI197" s="333"/>
      <c r="BJ197" s="333"/>
      <c r="BK197" s="333"/>
      <c r="BL197" s="333"/>
      <c r="BM197" s="333"/>
      <c r="BN197" s="333"/>
      <c r="BO197" s="333"/>
      <c r="BP197" s="333"/>
      <c r="BQ197" s="333"/>
      <c r="BR197" s="333"/>
      <c r="BS197" s="333"/>
      <c r="BT197" s="333"/>
      <c r="BU197" s="333"/>
      <c r="BV197" s="333"/>
      <c r="BW197" s="333"/>
      <c r="BX197" s="333"/>
      <c r="BY197" s="333"/>
      <c r="BZ197" s="333"/>
      <c r="CA197" s="333"/>
      <c r="CB197" s="333"/>
      <c r="CC197" s="333"/>
      <c r="CD197" s="333"/>
      <c r="CE197" s="333"/>
      <c r="CF197" s="333"/>
      <c r="CG197" s="333"/>
      <c r="CH197" s="333"/>
      <c r="CI197" s="333"/>
      <c r="CJ197" s="333"/>
      <c r="CK197" s="333"/>
      <c r="CL197" s="333"/>
      <c r="CM197" s="333"/>
      <c r="CN197" s="333"/>
      <c r="CO197" s="333"/>
      <c r="CP197" s="333"/>
      <c r="CQ197" s="333"/>
      <c r="CR197" s="333"/>
      <c r="CS197" s="333"/>
      <c r="CT197" s="333"/>
      <c r="CU197" s="333"/>
      <c r="CV197" s="333"/>
      <c r="CW197" s="333"/>
      <c r="CX197" s="333"/>
      <c r="CY197" s="333"/>
      <c r="CZ197" s="333"/>
      <c r="DA197" s="333"/>
      <c r="DB197" s="333"/>
      <c r="DC197" s="333"/>
      <c r="DD197" s="333"/>
      <c r="DE197" s="333"/>
      <c r="DF197" s="333"/>
      <c r="DG197" s="333"/>
      <c r="DH197" s="333"/>
      <c r="DI197" s="333"/>
      <c r="DJ197" s="333"/>
      <c r="DK197" s="333"/>
      <c r="DL197" s="333"/>
      <c r="DM197" s="333"/>
      <c r="DN197" s="333"/>
      <c r="DO197" s="333"/>
      <c r="DP197" s="333"/>
      <c r="DQ197" s="333"/>
      <c r="DR197" s="333"/>
      <c r="DS197" s="333"/>
      <c r="DT197" s="333"/>
      <c r="DU197" s="375"/>
      <c r="DV197" s="375"/>
      <c r="DW197" s="375"/>
      <c r="DX197" s="375"/>
      <c r="DY197" s="375"/>
      <c r="DZ197" s="375"/>
      <c r="EA197" s="375"/>
      <c r="EB197" s="375"/>
      <c r="EC197" s="375"/>
      <c r="ED197" s="375"/>
      <c r="EE197" s="375"/>
      <c r="EF197" s="375"/>
      <c r="EG197" s="375"/>
      <c r="EH197" s="375"/>
      <c r="EI197" s="375"/>
      <c r="EJ197" s="373"/>
      <c r="EK197" s="373"/>
      <c r="EL197" s="366"/>
      <c r="EM197" s="366"/>
      <c r="EN197" s="364">
        <f>+EN191+1</f>
        <v>25</v>
      </c>
      <c r="EO197" s="356">
        <f>+VLOOKUP(EN197, PRECIOS_EJERCICIOS,  2,FALSE)</f>
        <v>300</v>
      </c>
      <c r="EP197" s="513" t="str">
        <f>+IF($AQ$49 = FALSE, "",
IF(VLOOKUP(EO197, basesCantPrimaBrutoRes, 2,FALSE) &gt;= 0, VLOOKUP(EO197, basesCantPrimaBrutoRes, 2,FALSE), 0))</f>
        <v/>
      </c>
      <c r="EQ197" s="514" t="str">
        <f>+IF($AQ$49 = FALSE, "",
IF(VLOOKUP(EO197, basesCantPrimaBrutoRes, 2,FALSE) &lt; 0, -VLOOKUP(EO197, basesCantPrimaBrutoRes, 2,FALSE), 0))</f>
        <v/>
      </c>
      <c r="ER197" s="521" t="str">
        <f>IF($AQ$49 = FALSE, "",
VLOOKUP(EO197, basesCantPrimaBrutoRes, 4,FALSE))</f>
        <v/>
      </c>
      <c r="ES197" s="926">
        <f>IF(ER197 = "", 0,
IF(AND(EP197 &gt; 0, EQ197 &gt;0), 0, IF(EO197 &lt;&gt; $Z$1,
IF(AND(EP197 &lt;&gt; "", EP197 &lt;&gt; 0), -(EP197 * ER197 * 100),
IF(AND(EQ197 &lt;&gt; "", EQ197 &lt;&gt; 0), (EQ197 * ER197 * 100), 0)),
IF(AND(EP197 &lt;&gt; "", EP197 &lt;&gt; 0), -(EP197 * ER197 * 1),
IF(AND(EQ197 &lt;&gt; "", EQ197 &lt;&gt; 0), (EQ197 * ER197 * 1), 0))  )))</f>
        <v>0</v>
      </c>
      <c r="ET197" s="927"/>
      <c r="EU197" s="928"/>
      <c r="EV197" s="926">
        <f>IF(ER197 = "", 0,
IF(AND(EP197 &gt; 0, EQ197 &gt;0), 0,  IF(EO197 &lt;&gt; $Z$1,
IF(AND(EP197 &lt;&gt; "", EP197 &lt;&gt; 0), -(EP197 * ER197 * 100 * (1 + COMIS_OPCION)),
IF(AND(EQ197 &lt;&gt; "", EQ197 &lt;&gt; 0), (EQ197 * ER197 * 100 * (1 - COMIS_OPCION)), 0)),
IF(AND(EP197 &lt;&gt; "", EP197 &lt;&gt; 0), -(EP197 * ER197 * 1 * (1 + COMIS_ACCION)),
IF(AND(EQ197 &lt;&gt; "", EQ197 &lt;&gt; 0), (EQ197 * ER197 * 1 * (1 - COMIS_ACCION)), 0))  )))</f>
        <v>0</v>
      </c>
      <c r="EW197" s="927"/>
      <c r="EX197" s="927"/>
      <c r="EY197" s="927"/>
      <c r="EZ197" s="927"/>
      <c r="FA197" s="927"/>
      <c r="FB197" s="927"/>
      <c r="FC197" s="927"/>
      <c r="FD197" s="929"/>
      <c r="FE197" s="340"/>
      <c r="FF197" s="340"/>
      <c r="FG197" s="364"/>
      <c r="FH197" s="364">
        <f>+FH191+1</f>
        <v>25</v>
      </c>
      <c r="FI197" s="357">
        <f>+VLOOKUP(FH197, PRECIOS_EJERCICIOS,  2,FALSE)</f>
        <v>300</v>
      </c>
      <c r="FJ197" s="515" t="str">
        <f>+IF($AQ$49 = FALSE, "",
IF(VLOOKUP(EO197, basesCantPrimaBrutoRes, 5,FALSE) &gt;= 0, VLOOKUP(EO197, basesCantPrimaBrutoRes, 5,FALSE), 0))</f>
        <v/>
      </c>
      <c r="FK197" s="516" t="str">
        <f>+IF($AQ$49 = FALSE, "",
IF(VLOOKUP(EO197, basesCantPrimaBrutoRes, 5,FALSE) &lt; 0, -VLOOKUP(EO197, basesCantPrimaBrutoRes, 5,FALSE), 0))</f>
        <v/>
      </c>
      <c r="FL197" s="517" t="str">
        <f>IF($AQ$49 = FALSE, "",
VLOOKUP(EO197, basesCantPrimaBrutoRes, 7,FALSE))</f>
        <v/>
      </c>
      <c r="FM197" s="934">
        <f>IF(FL197 = "", 0,
IF(AND(FJ197 &gt; 0, FK197 &gt;0), 0,
IF(AND(FJ197 &lt;&gt; "", FJ197 &lt;&gt; 0), -(FJ197 * FL197 * 100),
IF(AND(FK197 &lt;&gt; "", FK197 &lt;&gt; 0), (FK197 * FL197 * 100), 0)) ))</f>
        <v>0</v>
      </c>
      <c r="FN197" s="935"/>
      <c r="FO197" s="936"/>
      <c r="FP197" s="934">
        <f>IF(FL197 = "", 0,
IF(AND(FJ197 &gt; 0, FK197 &gt;0), 0,
IF(AND(FJ197 &lt;&gt; "", FJ197 &lt;&gt; 0), -(FJ197 * FL197 * 100 * (1 + COMIS_OPCION)),
IF(AND(FK197 &lt;&gt; "", FK197 &lt;&gt; 0), (FK197 * FL197 * 100 * (1 - COMIS_OPCION)), 0)) ))</f>
        <v>0</v>
      </c>
      <c r="FQ197" s="935"/>
      <c r="FR197" s="935"/>
      <c r="FS197" s="935"/>
      <c r="FT197" s="935"/>
      <c r="FU197" s="935"/>
      <c r="FV197" s="935"/>
      <c r="FW197" s="935"/>
      <c r="FX197" s="966"/>
      <c r="FY197" s="341"/>
      <c r="FZ197" s="341"/>
      <c r="GA197" s="341"/>
      <c r="GB197" s="495">
        <f>+IF(EN197 = "", "", EO197)</f>
        <v>300</v>
      </c>
      <c r="GC197" s="495" t="str">
        <f>+IF(GB197="", "", IF(EO197 = $Z$1, "ACCION", "CALL"))</f>
        <v>CALL</v>
      </c>
      <c r="GD197" s="500"/>
      <c r="GE197" s="495">
        <f>+IF(GB197= "", "", EO199)</f>
        <v>0</v>
      </c>
      <c r="GF197" s="495">
        <f>+IF(GB197 = "", "", IFERROR(IF(GB197 &lt;&gt; $Z$1,
IF(GE197 &gt; 0, SUMIFS(ES197:ES201, EP197:EP201, "&gt;0", ES197:ES201, "&lt;&gt;0") / SUMIFS(EP197:EP201, EP197:EP201, "&gt;0", ES197:ES201, "&lt;&gt;0") / -100,
IF(GE197 &lt; 0, SUMIFS(ES197:ES201, EQ197:EQ201, "&gt;0", ES197:ES201, "&lt;&gt;0") / SUMIFS(EQ197:EQ201, EQ197:EQ201, "&gt;0", ES197:ES201, "&lt;&gt;0") / 100, 0)),
IF(GE197 &gt; 0, SUMIFS(ES197:ES201, EP197:EP201, "&gt;0", ES197:ES201, "&lt;&gt;0") / SUMIFS(EP197:EP201, EP197:EP201, "&gt;0", ES197:ES201, "&lt;&gt;0") / -1,
IF(GE197 &lt; 0, SUMIFS(ES197:ES201, EQ197:EQ201, "&gt;0", ES197:ES201, "&lt;&gt;0") / SUMIFS(EQ197:EQ201, EQ197:EQ201, "&gt;0", ES197:ES201, "&lt;&gt;0") / 1, 0)) ), 0))</f>
        <v>0</v>
      </c>
      <c r="GG197" s="495">
        <f>+IF(GB197 = "", "", IFERROR(IF(GB197 &lt;&gt; $Z$1,
IF(GE197 &gt; 0, SUMIFS(EV197:EV201, EP197:EP201, "&gt;0", EV197:EV201, "&lt;&gt;0") / SUMIFS(EP197:EP201, EP197:EP201, "&gt;0", EV197:EV201, "&lt;&gt;0") / -100,
IF(GE197 &lt; 0, SUMIFS(EV197:EV201, EQ197:EQ201, "&gt;0", EV197:EV201, "&lt;&gt;0") / SUMIFS(EQ197:EQ201, EQ197:EQ201, "&gt;0", EV197:EV201, "&lt;&gt;0") / 100, 0)),
IF(GE197 &gt; 0, SUMIFS(EV197:EV201, EP197:EP201, "&gt;0", EV197:EV201, "&lt;&gt;0") / SUMIFS(EP197:EP201, EP197:EP201, "&gt;0", EV197:EV201, "&lt;&gt;0") / -1,
IF(GE197 &lt; 0, SUMIFS(EV197:EV201, EQ197:EQ201, "&gt;0", EV197:EV201, "&lt;&gt;0") / SUMIFS(EQ197:EQ201, EQ197:EQ201, "&gt;0", EV197:EV201, "&lt;&gt;0") / 1, 0)) ), 0))</f>
        <v>0</v>
      </c>
      <c r="GH197" s="359"/>
      <c r="GI197" s="359"/>
      <c r="GJ197" s="501"/>
      <c r="GK197" s="495" t="str">
        <f>+IF(GB197="", "", "PUT")</f>
        <v>PUT</v>
      </c>
      <c r="GL197" s="495">
        <f>+IF(GB197 = "", "", FI199)</f>
        <v>0</v>
      </c>
      <c r="GM197" s="495">
        <f>+IF(GB197 = "", "", IFERROR(
IF(FI199 &gt; 0, SUMIFS(FM197:FM201, FJ197:FJ201, "&gt;0", FM197:FM201, "&lt;&gt;0") / SUMIFS(FJ197:FJ201, FJ197:FJ201, "&gt;0", FM197:FM201, "&lt;&gt;0") / -100,
IF(FI199 &lt; 0, SUMIFS(FM197:FM201, FK197:FK201, "&gt;0", FM197:FM201, "&lt;&gt;0") / SUMIFS(FK197:FK201, FK197:FK201, "&gt;0", FM197:FM201, "&lt;&gt;0") / 100, 0)), 0) )</f>
        <v>0</v>
      </c>
      <c r="GN197" s="359"/>
      <c r="GO197" s="359"/>
      <c r="GP197" s="501"/>
      <c r="GQ197" s="502">
        <f>+IF(GB197 = "", "", IFERROR(
IF(FI199 &gt; 0, SUMIFS(FP197:FP201, FJ197:FJ201, "&gt;0", FP197:FP201, "&lt;&gt;0") / SUMIFS(FJ197:FJ201, FJ197:FJ201, "&gt;0", FP197:FP201, "&lt;&gt;0") / -100,
IF(FI199 &lt; 0, SUMIFS(FP197:FP201, FK197:FK201, "&gt;0", FP197:FP201, "&lt;&gt;0") / SUMIFS(FK197:FK201, FK197:FK201, "&gt;0", FP197:FP201, "&lt;&gt;0") / 100, 0)), 0))</f>
        <v>0</v>
      </c>
      <c r="GR197" s="375"/>
      <c r="GS197" s="333"/>
      <c r="GT197" s="333"/>
      <c r="GU197" s="333"/>
      <c r="GV197" s="333"/>
      <c r="GW197" s="333"/>
      <c r="GX197" s="333"/>
      <c r="GY197" s="333"/>
      <c r="GZ197" s="333"/>
      <c r="HA197" s="333"/>
      <c r="HB197" s="333"/>
      <c r="HC197" s="333"/>
      <c r="HD197" s="333"/>
      <c r="HE197" s="333"/>
      <c r="HF197" s="333"/>
      <c r="HG197" s="331"/>
      <c r="HH197" s="331"/>
      <c r="HI197" s="331"/>
      <c r="HJ197" s="331"/>
      <c r="HK197" s="331"/>
      <c r="HL197" s="331"/>
      <c r="HM197" s="331"/>
      <c r="HN197" s="333"/>
      <c r="HO197" s="333"/>
      <c r="HP197" s="333"/>
      <c r="HQ197" s="333"/>
      <c r="HR197" s="333"/>
      <c r="HS197" s="333"/>
      <c r="HT197" s="333"/>
      <c r="HU197" s="333"/>
      <c r="HV197" s="333"/>
      <c r="HW197" s="333"/>
      <c r="HX197" s="333"/>
      <c r="HY197" s="333"/>
      <c r="HZ197" s="333"/>
      <c r="IA197" s="333"/>
      <c r="IB197" s="333"/>
      <c r="IC197" s="333"/>
      <c r="ID197" s="55"/>
      <c r="IE197" s="47"/>
    </row>
    <row r="198" spans="13:249" s="142" customFormat="1" ht="15" customHeight="1">
      <c r="M198" s="333"/>
      <c r="N198" s="333"/>
      <c r="O198" s="333"/>
      <c r="P198" s="333"/>
      <c r="Q198" s="333"/>
      <c r="R198" s="333"/>
      <c r="S198" s="333"/>
      <c r="T198" s="333"/>
      <c r="U198" s="333"/>
      <c r="V198" s="333"/>
      <c r="W198" s="333"/>
      <c r="X198" s="333"/>
      <c r="Y198" s="333"/>
      <c r="Z198" s="333"/>
      <c r="AA198" s="333"/>
      <c r="AB198" s="333"/>
      <c r="AC198" s="333"/>
      <c r="AD198" s="333"/>
      <c r="AE198" s="333"/>
      <c r="AF198" s="333"/>
      <c r="AG198" s="333"/>
      <c r="AH198" s="333"/>
      <c r="AI198" s="333"/>
      <c r="AJ198" s="333"/>
      <c r="AK198" s="333"/>
      <c r="AL198" s="333"/>
      <c r="AM198" s="333"/>
      <c r="AN198" s="333"/>
      <c r="AO198" s="333"/>
      <c r="AP198" s="333"/>
      <c r="AQ198" s="333"/>
      <c r="AR198" s="333"/>
      <c r="AS198" s="333"/>
      <c r="AT198" s="333"/>
      <c r="AU198" s="333"/>
      <c r="AV198" s="333"/>
      <c r="AW198" s="333"/>
      <c r="AX198" s="333"/>
      <c r="AY198" s="333"/>
      <c r="AZ198" s="333"/>
      <c r="BA198" s="333"/>
      <c r="BB198" s="333"/>
      <c r="BC198" s="333"/>
      <c r="BD198" s="333"/>
      <c r="BE198" s="333"/>
      <c r="BF198" s="333"/>
      <c r="BG198" s="333"/>
      <c r="BH198" s="333"/>
      <c r="BI198" s="333"/>
      <c r="BJ198" s="333"/>
      <c r="BK198" s="333"/>
      <c r="BL198" s="333"/>
      <c r="BM198" s="333"/>
      <c r="BN198" s="333"/>
      <c r="BO198" s="333"/>
      <c r="BP198" s="333"/>
      <c r="BQ198" s="333"/>
      <c r="BR198" s="333"/>
      <c r="BS198" s="333"/>
      <c r="BT198" s="333"/>
      <c r="BU198" s="333"/>
      <c r="BV198" s="333"/>
      <c r="BW198" s="333"/>
      <c r="BX198" s="333"/>
      <c r="BY198" s="333"/>
      <c r="BZ198" s="333"/>
      <c r="CA198" s="333"/>
      <c r="CB198" s="333"/>
      <c r="CC198" s="333"/>
      <c r="CD198" s="333"/>
      <c r="CE198" s="333"/>
      <c r="CF198" s="333"/>
      <c r="CG198" s="333"/>
      <c r="CH198" s="333"/>
      <c r="CI198" s="333"/>
      <c r="CJ198" s="333"/>
      <c r="CK198" s="333"/>
      <c r="CL198" s="333"/>
      <c r="CM198" s="333"/>
      <c r="CN198" s="333"/>
      <c r="CO198" s="333"/>
      <c r="CP198" s="333"/>
      <c r="CQ198" s="333"/>
      <c r="CR198" s="333"/>
      <c r="CS198" s="333"/>
      <c r="CT198" s="333"/>
      <c r="CU198" s="333"/>
      <c r="CV198" s="333"/>
      <c r="CW198" s="333"/>
      <c r="CX198" s="333"/>
      <c r="CY198" s="333"/>
      <c r="CZ198" s="333"/>
      <c r="DA198" s="333"/>
      <c r="DB198" s="333"/>
      <c r="DC198" s="333"/>
      <c r="DD198" s="333"/>
      <c r="DE198" s="333"/>
      <c r="DF198" s="333"/>
      <c r="DG198" s="333"/>
      <c r="DH198" s="333"/>
      <c r="DI198" s="333"/>
      <c r="DJ198" s="333"/>
      <c r="DK198" s="333"/>
      <c r="DL198" s="333"/>
      <c r="DM198" s="333"/>
      <c r="DN198" s="333"/>
      <c r="DO198" s="333"/>
      <c r="DP198" s="333"/>
      <c r="DQ198" s="333"/>
      <c r="DR198" s="333"/>
      <c r="DS198" s="333"/>
      <c r="DT198" s="333"/>
      <c r="DU198" s="375"/>
      <c r="DV198" s="375"/>
      <c r="DW198" s="375"/>
      <c r="DX198" s="375"/>
      <c r="DY198" s="375"/>
      <c r="DZ198" s="375"/>
      <c r="EA198" s="375"/>
      <c r="EB198" s="375"/>
      <c r="EC198" s="375"/>
      <c r="ED198" s="375"/>
      <c r="EE198" s="375"/>
      <c r="EF198" s="375"/>
      <c r="EG198" s="375"/>
      <c r="EH198" s="375"/>
      <c r="EI198" s="375"/>
      <c r="EJ198" s="373"/>
      <c r="EK198" s="373"/>
      <c r="EL198" s="366"/>
      <c r="EM198" s="366"/>
      <c r="EN198" s="364"/>
      <c r="EO198" s="351"/>
      <c r="EP198" s="347"/>
      <c r="EQ198" s="342"/>
      <c r="ER198" s="522"/>
      <c r="ES198" s="916">
        <f>IF(ER198 = "", 0,
IF(AND(EP198 &gt; 0, EQ198 &gt;0), 0, IF(EO197 &lt;&gt; $Z$1,
IF(AND(EP198 &lt;&gt; "", EP198 &lt;&gt; 0), -(EP198 * ER198 * 100),
IF(AND(EQ198 &lt;&gt; "", EQ198 &lt;&gt; 0), (EQ198 * ER198 * 100), 0)),
IF(AND(EP198 &lt;&gt; "", EP198 &lt;&gt; 0), -(EP198 * ER198 * 1),
IF(AND(EQ198 &lt;&gt; "", EQ198 &lt;&gt; 0), (EQ198 * ER198 * 1), 0))  )))</f>
        <v>0</v>
      </c>
      <c r="ET198" s="917"/>
      <c r="EU198" s="918"/>
      <c r="EV198" s="916">
        <f>IF(ER198 = "", 0,
IF(AND(EP198 &gt; 0, EQ198 &gt;0), 0,  IF(EO197 &lt;&gt; $Z$1,
IF(AND(EP198 &lt;&gt; "", EP198 &lt;&gt; 0), -(EP198 * ER198 * 100 * (1 + COMIS_OPCION)),
IF(AND(EQ198 &lt;&gt; "", EQ198 &lt;&gt; 0), (EQ198 * ER198 * 100 * (1 - COMIS_OPCION)), 0)),
IF(AND(EP198 &lt;&gt; "", EP198 &lt;&gt; 0), -(EP198 * ER198 * 1 * (1 + COMIS_ACCION)),
IF(AND(EQ198 &lt;&gt; "", EQ198 &lt;&gt; 0), (EQ198 * ER198 * 1 * (1 - COMIS_ACCION)), 0))  )))</f>
        <v>0</v>
      </c>
      <c r="EW198" s="917"/>
      <c r="EX198" s="917"/>
      <c r="EY198" s="917"/>
      <c r="EZ198" s="917"/>
      <c r="FA198" s="917"/>
      <c r="FB198" s="917"/>
      <c r="FC198" s="917"/>
      <c r="FD198" s="925"/>
      <c r="FE198" s="340"/>
      <c r="FF198" s="340"/>
      <c r="FG198" s="364"/>
      <c r="FH198" s="364"/>
      <c r="FI198" s="339"/>
      <c r="FJ198" s="347"/>
      <c r="FK198" s="342"/>
      <c r="FL198" s="343"/>
      <c r="FM198" s="930">
        <f>IF(FL198 = "", 0,
IF(AND(FJ198 &gt; 0, FK198 &gt;0), 0,
IF(AND(FJ198 &lt;&gt; "", FJ198 &lt;&gt; 0), -(FJ198 * FL198 * 100),
IF(AND(FK198 &lt;&gt; "", FK198 &lt;&gt; 0), (FK198 * FL198 * 100), 0)) ))</f>
        <v>0</v>
      </c>
      <c r="FN198" s="931"/>
      <c r="FO198" s="932"/>
      <c r="FP198" s="930">
        <f>IF(FL198 = "", 0,
IF(AND(FJ198 &gt; 0, FK198 &gt;0), 0,
IF(AND(FJ198 &lt;&gt; "", FJ198 &lt;&gt; 0), -(FJ198 * FL198 * 100 * (1 + COMIS_OPCION)),
IF(AND(FK198 &lt;&gt; "", FK198 &lt;&gt; 0), (FK198 * FL198 * 100 * (1 - COMIS_OPCION)), 0)) ))</f>
        <v>0</v>
      </c>
      <c r="FQ198" s="931"/>
      <c r="FR198" s="931"/>
      <c r="FS198" s="931"/>
      <c r="FT198" s="931"/>
      <c r="FU198" s="931"/>
      <c r="FV198" s="931"/>
      <c r="FW198" s="931"/>
      <c r="FX198" s="933"/>
      <c r="FY198" s="341"/>
      <c r="FZ198" s="341"/>
      <c r="GA198" s="341"/>
      <c r="GB198" s="495">
        <v>0</v>
      </c>
      <c r="GC198" s="495">
        <v>0</v>
      </c>
      <c r="GD198" s="500"/>
      <c r="GE198" s="495">
        <v>0</v>
      </c>
      <c r="GF198" s="495">
        <v>0</v>
      </c>
      <c r="GG198" s="495">
        <v>0</v>
      </c>
      <c r="GH198" s="359"/>
      <c r="GI198" s="359"/>
      <c r="GJ198" s="501"/>
      <c r="GK198" s="495">
        <v>0</v>
      </c>
      <c r="GL198" s="495">
        <v>0</v>
      </c>
      <c r="GM198" s="495">
        <v>0</v>
      </c>
      <c r="GN198" s="359"/>
      <c r="GO198" s="359"/>
      <c r="GP198" s="501"/>
      <c r="GQ198" s="495">
        <v>0</v>
      </c>
      <c r="GR198" s="375"/>
      <c r="GS198" s="333"/>
      <c r="GT198" s="333"/>
      <c r="GU198" s="333"/>
      <c r="GV198" s="333"/>
      <c r="GW198" s="333"/>
      <c r="GX198" s="333"/>
      <c r="GY198" s="333"/>
      <c r="GZ198" s="333"/>
      <c r="HA198" s="333"/>
      <c r="HB198" s="333"/>
      <c r="HC198" s="333"/>
      <c r="HD198" s="333"/>
      <c r="HE198" s="333"/>
      <c r="HF198" s="333"/>
      <c r="HG198" s="331"/>
      <c r="HH198" s="331"/>
      <c r="HI198" s="331"/>
      <c r="HJ198" s="331"/>
      <c r="HK198" s="331"/>
      <c r="HL198" s="331"/>
      <c r="HM198" s="331"/>
      <c r="HN198" s="333"/>
      <c r="HO198" s="333"/>
      <c r="HP198" s="333"/>
      <c r="HQ198" s="333"/>
      <c r="HR198" s="333"/>
      <c r="HS198" s="333"/>
      <c r="HT198" s="333"/>
      <c r="HU198" s="333"/>
      <c r="HV198" s="333"/>
      <c r="HW198" s="333"/>
      <c r="HX198" s="333"/>
      <c r="HY198" s="333"/>
      <c r="HZ198" s="333"/>
      <c r="IA198" s="333"/>
      <c r="IB198" s="333"/>
      <c r="IC198" s="333"/>
      <c r="ID198" s="55"/>
      <c r="IE198" s="47"/>
    </row>
    <row r="199" spans="13:249" s="142" customFormat="1" ht="15" customHeight="1">
      <c r="M199" s="333"/>
      <c r="N199" s="333"/>
      <c r="O199" s="333"/>
      <c r="P199" s="333"/>
      <c r="Q199" s="333"/>
      <c r="R199" s="333"/>
      <c r="S199" s="333"/>
      <c r="T199" s="333"/>
      <c r="U199" s="333"/>
      <c r="V199" s="333"/>
      <c r="W199" s="333"/>
      <c r="X199" s="333"/>
      <c r="Y199" s="333"/>
      <c r="Z199" s="333"/>
      <c r="AA199" s="333"/>
      <c r="AB199" s="333"/>
      <c r="AC199" s="333"/>
      <c r="AD199" s="333"/>
      <c r="AE199" s="333"/>
      <c r="AF199" s="333"/>
      <c r="AG199" s="333"/>
      <c r="AH199" s="333"/>
      <c r="AI199" s="333"/>
      <c r="AJ199" s="333"/>
      <c r="AK199" s="333"/>
      <c r="AL199" s="333"/>
      <c r="AM199" s="333"/>
      <c r="AN199" s="333"/>
      <c r="AO199" s="333"/>
      <c r="AP199" s="333"/>
      <c r="AQ199" s="333"/>
      <c r="AR199" s="333"/>
      <c r="AS199" s="333"/>
      <c r="AT199" s="333"/>
      <c r="AU199" s="333"/>
      <c r="AV199" s="333"/>
      <c r="AW199" s="333"/>
      <c r="AX199" s="333"/>
      <c r="AY199" s="333"/>
      <c r="AZ199" s="333"/>
      <c r="BA199" s="333"/>
      <c r="BB199" s="333"/>
      <c r="BC199" s="333"/>
      <c r="BD199" s="333"/>
      <c r="BE199" s="333"/>
      <c r="BF199" s="333"/>
      <c r="BG199" s="333"/>
      <c r="BH199" s="333"/>
      <c r="BI199" s="333"/>
      <c r="BJ199" s="333"/>
      <c r="BK199" s="333"/>
      <c r="BL199" s="333"/>
      <c r="BM199" s="333"/>
      <c r="BN199" s="333"/>
      <c r="BO199" s="333"/>
      <c r="BP199" s="333"/>
      <c r="BQ199" s="333"/>
      <c r="BR199" s="333"/>
      <c r="BS199" s="333"/>
      <c r="BT199" s="333"/>
      <c r="BU199" s="333"/>
      <c r="BV199" s="333"/>
      <c r="BW199" s="333"/>
      <c r="BX199" s="333"/>
      <c r="BY199" s="333"/>
      <c r="BZ199" s="333"/>
      <c r="CA199" s="333"/>
      <c r="CB199" s="333"/>
      <c r="CC199" s="333"/>
      <c r="CD199" s="333"/>
      <c r="CE199" s="333"/>
      <c r="CF199" s="333"/>
      <c r="CG199" s="333"/>
      <c r="CH199" s="333"/>
      <c r="CI199" s="333"/>
      <c r="CJ199" s="333"/>
      <c r="CK199" s="333"/>
      <c r="CL199" s="333"/>
      <c r="CM199" s="333"/>
      <c r="CN199" s="333"/>
      <c r="CO199" s="333"/>
      <c r="CP199" s="333"/>
      <c r="CQ199" s="333"/>
      <c r="CR199" s="333"/>
      <c r="CS199" s="333"/>
      <c r="CT199" s="333"/>
      <c r="CU199" s="333"/>
      <c r="CV199" s="333"/>
      <c r="CW199" s="333"/>
      <c r="CX199" s="333"/>
      <c r="CY199" s="333"/>
      <c r="CZ199" s="333"/>
      <c r="DA199" s="333"/>
      <c r="DB199" s="333"/>
      <c r="DC199" s="333"/>
      <c r="DD199" s="333"/>
      <c r="DE199" s="333"/>
      <c r="DF199" s="333"/>
      <c r="DG199" s="333"/>
      <c r="DH199" s="333"/>
      <c r="DI199" s="333"/>
      <c r="DJ199" s="333"/>
      <c r="DK199" s="333"/>
      <c r="DL199" s="333"/>
      <c r="DM199" s="333"/>
      <c r="DN199" s="333"/>
      <c r="DO199" s="333"/>
      <c r="DP199" s="333"/>
      <c r="DQ199" s="333"/>
      <c r="DR199" s="333"/>
      <c r="DS199" s="333"/>
      <c r="DT199" s="333"/>
      <c r="DU199" s="375"/>
      <c r="DV199" s="375"/>
      <c r="DW199" s="375"/>
      <c r="DX199" s="375"/>
      <c r="DY199" s="375"/>
      <c r="DZ199" s="375"/>
      <c r="EA199" s="375"/>
      <c r="EB199" s="375"/>
      <c r="EC199" s="375"/>
      <c r="ED199" s="375"/>
      <c r="EE199" s="375"/>
      <c r="EF199" s="375"/>
      <c r="EG199" s="375"/>
      <c r="EH199" s="375"/>
      <c r="EI199" s="375"/>
      <c r="EJ199" s="373"/>
      <c r="EK199" s="373"/>
      <c r="EL199" s="366"/>
      <c r="EM199" s="368"/>
      <c r="EN199" s="364"/>
      <c r="EO199" s="352">
        <f>+SUM(EP197:EP201) - SUM(EQ197:EQ201)</f>
        <v>0</v>
      </c>
      <c r="EP199" s="347"/>
      <c r="EQ199" s="342"/>
      <c r="ER199" s="522"/>
      <c r="ES199" s="916">
        <f>IF(ER199 = "", 0,
IF(AND(EP199 &gt; 0, EQ199 &gt;0), 0, IF(EO197 &lt;&gt; $Z$1,
IF(AND(EP199 &lt;&gt; "", EP199 &lt;&gt; 0), -(EP199 * ER199 * 100),
IF(AND(EQ199 &lt;&gt; "", EQ199 &lt;&gt; 0), (EQ199 * ER199 * 100), 0)),
IF(AND(EP199 &lt;&gt; "", EP199 &lt;&gt; 0), -(EP199 * ER199 * 1),
IF(AND(EQ199 &lt;&gt; "", EQ199 &lt;&gt; 0), (EQ199 * ER199 * 1), 0))  )))</f>
        <v>0</v>
      </c>
      <c r="ET199" s="917"/>
      <c r="EU199" s="918"/>
      <c r="EV199" s="916">
        <f>IF(ER199 = "", 0,
IF(AND(EP199 &gt; 0, EQ199 &gt;0), 0,  IF(EO197 &lt;&gt; $Z$1,
IF(AND(EP199 &lt;&gt; "", EP199 &lt;&gt; 0), -(EP199 * ER199 * 100 * (1 + COMIS_OPCION)),
IF(AND(EQ199 &lt;&gt; "", EQ199 &lt;&gt; 0), (EQ199 * ER199 * 100 * (1 - COMIS_OPCION)), 0)),
IF(AND(EP199 &lt;&gt; "", EP199 &lt;&gt; 0), -(EP199 * ER199 * 1 * (1 + COMIS_ACCION)),
IF(AND(EQ199 &lt;&gt; "", EQ199 &lt;&gt; 0), (EQ199 * ER199 * 1 * (1 - COMIS_ACCION)), 0))  )))</f>
        <v>0</v>
      </c>
      <c r="EW199" s="917"/>
      <c r="EX199" s="917"/>
      <c r="EY199" s="917"/>
      <c r="EZ199" s="917"/>
      <c r="FA199" s="917"/>
      <c r="FB199" s="917"/>
      <c r="FC199" s="917"/>
      <c r="FD199" s="925"/>
      <c r="FE199" s="340"/>
      <c r="FF199" s="340"/>
      <c r="FG199" s="365"/>
      <c r="FH199" s="365"/>
      <c r="FI199" s="354">
        <f>+SUM(FJ197:FJ201) - SUM(FK197:FK201)</f>
        <v>0</v>
      </c>
      <c r="FJ199" s="347"/>
      <c r="FK199" s="342"/>
      <c r="FL199" s="343"/>
      <c r="FM199" s="930">
        <f>IF(FL199 = "", 0,
IF(AND(FJ199 &gt; 0, FK199 &gt;0), 0,
IF(AND(FJ199 &lt;&gt; "", FJ199 &lt;&gt; 0), -(FJ199 * FL199 * 100),
IF(AND(FK199 &lt;&gt; "", FK199 &lt;&gt; 0), (FK199 * FL199 * 100), 0)) ))</f>
        <v>0</v>
      </c>
      <c r="FN199" s="931"/>
      <c r="FO199" s="932"/>
      <c r="FP199" s="930">
        <f>IF(FL199 = "", 0,
IF(AND(FJ199 &gt; 0, FK199 &gt;0), 0,
IF(AND(FJ199 &lt;&gt; "", FJ199 &lt;&gt; 0), -(FJ199 * FL199 * 100 * (1 + COMIS_OPCION)),
IF(AND(FK199 &lt;&gt; "", FK199 &lt;&gt; 0), (FK199 * FL199 * 100 * (1 - COMIS_OPCION)), 0)) ))</f>
        <v>0</v>
      </c>
      <c r="FQ199" s="931"/>
      <c r="FR199" s="931"/>
      <c r="FS199" s="931"/>
      <c r="FT199" s="931"/>
      <c r="FU199" s="931"/>
      <c r="FV199" s="931"/>
      <c r="FW199" s="931"/>
      <c r="FX199" s="933"/>
      <c r="FY199" s="341"/>
      <c r="FZ199" s="341"/>
      <c r="GA199" s="341"/>
      <c r="GB199" s="495">
        <v>0</v>
      </c>
      <c r="GC199" s="495">
        <v>0</v>
      </c>
      <c r="GD199" s="500"/>
      <c r="GE199" s="495">
        <v>0</v>
      </c>
      <c r="GF199" s="495">
        <v>0</v>
      </c>
      <c r="GG199" s="495">
        <v>0</v>
      </c>
      <c r="GH199" s="359"/>
      <c r="GI199" s="359"/>
      <c r="GJ199" s="501"/>
      <c r="GK199" s="495">
        <v>0</v>
      </c>
      <c r="GL199" s="495">
        <v>0</v>
      </c>
      <c r="GM199" s="495">
        <v>0</v>
      </c>
      <c r="GN199" s="359"/>
      <c r="GO199" s="359"/>
      <c r="GP199" s="501"/>
      <c r="GQ199" s="495">
        <v>0</v>
      </c>
      <c r="GR199" s="375"/>
      <c r="GS199" s="333"/>
      <c r="GT199" s="333"/>
      <c r="GU199" s="333"/>
      <c r="GV199" s="333"/>
      <c r="GW199" s="333"/>
      <c r="GX199" s="333"/>
      <c r="GY199" s="333"/>
      <c r="GZ199" s="333"/>
      <c r="HA199" s="333"/>
      <c r="HB199" s="333"/>
      <c r="HC199" s="333"/>
      <c r="HD199" s="333"/>
      <c r="HE199" s="333"/>
      <c r="HF199" s="333"/>
      <c r="HG199" s="331"/>
      <c r="HH199" s="331"/>
      <c r="HI199" s="331"/>
      <c r="HJ199" s="331"/>
      <c r="HK199" s="331"/>
      <c r="HL199" s="331"/>
      <c r="HM199" s="331"/>
      <c r="HN199" s="333"/>
      <c r="HO199" s="333"/>
      <c r="HP199" s="333"/>
      <c r="HQ199" s="333"/>
      <c r="HR199" s="333"/>
      <c r="HS199" s="333"/>
      <c r="HT199" s="333"/>
      <c r="HU199" s="333"/>
      <c r="HV199" s="333"/>
      <c r="HW199" s="333"/>
      <c r="HX199" s="333"/>
      <c r="HY199" s="333"/>
      <c r="HZ199" s="333"/>
      <c r="IA199" s="333"/>
      <c r="IB199" s="333"/>
      <c r="IC199" s="333"/>
      <c r="ID199" s="55"/>
      <c r="IE199" s="47"/>
    </row>
    <row r="200" spans="13:249" s="142" customFormat="1" ht="15" customHeight="1">
      <c r="M200" s="333"/>
      <c r="N200" s="333"/>
      <c r="O200" s="333"/>
      <c r="P200" s="333"/>
      <c r="Q200" s="333"/>
      <c r="R200" s="333"/>
      <c r="S200" s="333"/>
      <c r="T200" s="333"/>
      <c r="U200" s="333"/>
      <c r="V200" s="333"/>
      <c r="W200" s="333"/>
      <c r="X200" s="333"/>
      <c r="Y200" s="333"/>
      <c r="Z200" s="333"/>
      <c r="AA200" s="333"/>
      <c r="AB200" s="333"/>
      <c r="AC200" s="333"/>
      <c r="AD200" s="333"/>
      <c r="AE200" s="333"/>
      <c r="AF200" s="333"/>
      <c r="AG200" s="333"/>
      <c r="AH200" s="333"/>
      <c r="AI200" s="333"/>
      <c r="AJ200" s="333"/>
      <c r="AK200" s="333"/>
      <c r="AL200" s="333"/>
      <c r="AM200" s="333"/>
      <c r="AN200" s="333"/>
      <c r="AO200" s="333"/>
      <c r="AP200" s="333"/>
      <c r="AQ200" s="333"/>
      <c r="AR200" s="333"/>
      <c r="AS200" s="333"/>
      <c r="AT200" s="333"/>
      <c r="AU200" s="333"/>
      <c r="AV200" s="333"/>
      <c r="AW200" s="333"/>
      <c r="AX200" s="333"/>
      <c r="AY200" s="333"/>
      <c r="AZ200" s="333"/>
      <c r="BA200" s="333"/>
      <c r="BB200" s="333"/>
      <c r="BC200" s="333"/>
      <c r="BD200" s="333"/>
      <c r="BE200" s="333"/>
      <c r="BF200" s="333"/>
      <c r="BG200" s="333"/>
      <c r="BH200" s="333"/>
      <c r="BI200" s="333"/>
      <c r="BJ200" s="333"/>
      <c r="BK200" s="333"/>
      <c r="BL200" s="333"/>
      <c r="BM200" s="333"/>
      <c r="BN200" s="333"/>
      <c r="BO200" s="333"/>
      <c r="BP200" s="333"/>
      <c r="BQ200" s="333"/>
      <c r="BR200" s="333"/>
      <c r="BS200" s="333"/>
      <c r="BT200" s="333"/>
      <c r="BU200" s="333"/>
      <c r="BV200" s="333"/>
      <c r="BW200" s="333"/>
      <c r="BX200" s="333"/>
      <c r="BY200" s="333"/>
      <c r="BZ200" s="333"/>
      <c r="CA200" s="333"/>
      <c r="CB200" s="333"/>
      <c r="CC200" s="333"/>
      <c r="CD200" s="333"/>
      <c r="CE200" s="333"/>
      <c r="CF200" s="333"/>
      <c r="CG200" s="333"/>
      <c r="CH200" s="333"/>
      <c r="CI200" s="333"/>
      <c r="CJ200" s="333"/>
      <c r="CK200" s="333"/>
      <c r="CL200" s="333"/>
      <c r="CM200" s="333"/>
      <c r="CN200" s="333"/>
      <c r="CO200" s="333"/>
      <c r="CP200" s="333"/>
      <c r="CQ200" s="333"/>
      <c r="CR200" s="333"/>
      <c r="CS200" s="333"/>
      <c r="CT200" s="333"/>
      <c r="CU200" s="333"/>
      <c r="CV200" s="333"/>
      <c r="CW200" s="333"/>
      <c r="CX200" s="333"/>
      <c r="CY200" s="333"/>
      <c r="CZ200" s="333"/>
      <c r="DA200" s="333"/>
      <c r="DB200" s="333"/>
      <c r="DC200" s="333"/>
      <c r="DD200" s="333"/>
      <c r="DE200" s="333"/>
      <c r="DF200" s="333"/>
      <c r="DG200" s="333"/>
      <c r="DH200" s="333"/>
      <c r="DI200" s="333"/>
      <c r="DJ200" s="333"/>
      <c r="DK200" s="333"/>
      <c r="DL200" s="333"/>
      <c r="DM200" s="333"/>
      <c r="DN200" s="333"/>
      <c r="DO200" s="333"/>
      <c r="DP200" s="333"/>
      <c r="DQ200" s="333"/>
      <c r="DR200" s="333"/>
      <c r="DS200" s="333"/>
      <c r="DT200" s="333"/>
      <c r="DU200" s="375"/>
      <c r="DV200" s="375"/>
      <c r="DW200" s="375"/>
      <c r="DX200" s="375"/>
      <c r="DY200" s="375"/>
      <c r="DZ200" s="375"/>
      <c r="EA200" s="375"/>
      <c r="EB200" s="375"/>
      <c r="EC200" s="375"/>
      <c r="ED200" s="375"/>
      <c r="EE200" s="375"/>
      <c r="EF200" s="375"/>
      <c r="EG200" s="375"/>
      <c r="EH200" s="375"/>
      <c r="EI200" s="375"/>
      <c r="EJ200" s="373"/>
      <c r="EK200" s="373"/>
      <c r="EL200" s="366"/>
      <c r="EM200" s="368"/>
      <c r="EN200" s="364"/>
      <c r="EO200" s="352">
        <f>IF(EO199=0, 0, SUM(EV197:FD201))</f>
        <v>0</v>
      </c>
      <c r="EP200" s="347"/>
      <c r="EQ200" s="342"/>
      <c r="ER200" s="522"/>
      <c r="ES200" s="916">
        <f>IF(ER200 = "", 0,
IF(AND(EP200 &gt; 0, EQ200 &gt;0), 0, IF(EO197 &lt;&gt; $Z$1,
IF(AND(EP200 &lt;&gt; "", EP200 &lt;&gt; 0), -(EP200 * ER200 * 100),
IF(AND(EQ200 &lt;&gt; "", EQ200 &lt;&gt; 0), (EQ200 * ER200 * 100), 0)),
IF(AND(EP200 &lt;&gt; "", EP200 &lt;&gt; 0), -(EP200 * ER200 * 1),
IF(AND(EQ200 &lt;&gt; "", EQ200 &lt;&gt; 0), (EQ200 * ER200 * 1), 0))  )))</f>
        <v>0</v>
      </c>
      <c r="ET200" s="917"/>
      <c r="EU200" s="918"/>
      <c r="EV200" s="916">
        <f>IF(ER200 = "", 0,
IF(AND(EP200 &gt; 0, EQ200 &gt;0), 0,  IF(EO197 &lt;&gt; $Z$1,
IF(AND(EP200 &lt;&gt; "", EP200 &lt;&gt; 0), -(EP200 * ER200 * 100 * (1 + COMIS_OPCION)),
IF(AND(EQ200 &lt;&gt; "", EQ200 &lt;&gt; 0), (EQ200 * ER200 * 100 * (1 - COMIS_OPCION)), 0)),
IF(AND(EP200 &lt;&gt; "", EP200 &lt;&gt; 0), -(EP200 * ER200 * 1 * (1 + COMIS_ACCION)),
IF(AND(EQ200 &lt;&gt; "", EQ200 &lt;&gt; 0), (EQ200 * ER200 * 1 * (1 - COMIS_ACCION)), 0))  )))</f>
        <v>0</v>
      </c>
      <c r="EW200" s="917"/>
      <c r="EX200" s="917"/>
      <c r="EY200" s="917"/>
      <c r="EZ200" s="917"/>
      <c r="FA200" s="917"/>
      <c r="FB200" s="917"/>
      <c r="FC200" s="917"/>
      <c r="FD200" s="925"/>
      <c r="FE200" s="340"/>
      <c r="FF200" s="340"/>
      <c r="FG200" s="365"/>
      <c r="FH200" s="365"/>
      <c r="FI200" s="354">
        <f>IF(FI199=0, 0, SUM(FP197:FX201))</f>
        <v>0</v>
      </c>
      <c r="FJ200" s="347"/>
      <c r="FK200" s="342"/>
      <c r="FL200" s="343"/>
      <c r="FM200" s="930">
        <f>IF(FL200 = "", 0,
IF(AND(FJ200 &gt; 0, FK200 &gt;0), 0,
IF(AND(FJ200 &lt;&gt; "", FJ200 &lt;&gt; 0), -(FJ200 * FL200 * 100),
IF(AND(FK200 &lt;&gt; "", FK200 &lt;&gt; 0), (FK200 * FL200 * 100), 0)) ))</f>
        <v>0</v>
      </c>
      <c r="FN200" s="931"/>
      <c r="FO200" s="932"/>
      <c r="FP200" s="930">
        <f>IF(FL200 = "", 0,
IF(AND(FJ200 &gt; 0, FK200 &gt;0), 0,
IF(AND(FJ200 &lt;&gt; "", FJ200 &lt;&gt; 0), -(FJ200 * FL200 * 100 * (1 + COMIS_OPCION)),
IF(AND(FK200 &lt;&gt; "", FK200 &lt;&gt; 0), (FK200 * FL200 * 100 * (1 - COMIS_OPCION)), 0)) ))</f>
        <v>0</v>
      </c>
      <c r="FQ200" s="931"/>
      <c r="FR200" s="931"/>
      <c r="FS200" s="931"/>
      <c r="FT200" s="931"/>
      <c r="FU200" s="931"/>
      <c r="FV200" s="931"/>
      <c r="FW200" s="931"/>
      <c r="FX200" s="933"/>
      <c r="FY200" s="341"/>
      <c r="FZ200" s="341"/>
      <c r="GA200" s="341"/>
      <c r="GB200" s="495">
        <v>0</v>
      </c>
      <c r="GC200" s="495">
        <v>0</v>
      </c>
      <c r="GD200" s="500"/>
      <c r="GE200" s="495">
        <v>0</v>
      </c>
      <c r="GF200" s="495">
        <v>0</v>
      </c>
      <c r="GG200" s="495">
        <v>0</v>
      </c>
      <c r="GH200" s="359"/>
      <c r="GI200" s="359"/>
      <c r="GJ200" s="501"/>
      <c r="GK200" s="495">
        <v>0</v>
      </c>
      <c r="GL200" s="495">
        <v>0</v>
      </c>
      <c r="GM200" s="495">
        <v>0</v>
      </c>
      <c r="GN200" s="359"/>
      <c r="GO200" s="359"/>
      <c r="GP200" s="501"/>
      <c r="GQ200" s="495">
        <v>0</v>
      </c>
      <c r="GR200" s="375"/>
      <c r="GS200" s="333"/>
      <c r="GT200" s="333"/>
      <c r="GU200" s="333"/>
      <c r="GV200" s="333"/>
      <c r="GW200" s="333"/>
      <c r="GX200" s="333"/>
      <c r="GY200" s="333"/>
      <c r="GZ200" s="333"/>
      <c r="HA200" s="333"/>
      <c r="HB200" s="333"/>
      <c r="HC200" s="333"/>
      <c r="HD200" s="333"/>
      <c r="HE200" s="333"/>
      <c r="HF200" s="333"/>
      <c r="HG200" s="331"/>
      <c r="HH200" s="331"/>
      <c r="HI200" s="331"/>
      <c r="HJ200" s="331"/>
      <c r="HK200" s="331"/>
      <c r="HL200" s="331"/>
      <c r="HM200" s="331"/>
      <c r="HN200" s="333"/>
      <c r="HO200" s="333"/>
      <c r="HP200" s="333"/>
      <c r="HQ200" s="333"/>
      <c r="HR200" s="333"/>
      <c r="HS200" s="333"/>
      <c r="HT200" s="333"/>
      <c r="HU200" s="333"/>
      <c r="HV200" s="333"/>
      <c r="HW200" s="333"/>
      <c r="HX200" s="333"/>
      <c r="HY200" s="333"/>
      <c r="HZ200" s="333"/>
      <c r="IA200" s="333"/>
      <c r="IB200" s="333"/>
      <c r="IC200" s="333"/>
      <c r="ID200" s="55"/>
      <c r="IE200" s="47"/>
    </row>
    <row r="201" spans="13:249" s="142" customFormat="1" ht="15" customHeight="1" thickBot="1">
      <c r="M201" s="333"/>
      <c r="N201" s="333"/>
      <c r="O201" s="333"/>
      <c r="P201" s="333"/>
      <c r="Q201" s="333"/>
      <c r="R201" s="333"/>
      <c r="S201" s="333"/>
      <c r="T201" s="333"/>
      <c r="U201" s="333"/>
      <c r="V201" s="333"/>
      <c r="W201" s="333"/>
      <c r="X201" s="333"/>
      <c r="Y201" s="333"/>
      <c r="Z201" s="333"/>
      <c r="AA201" s="333"/>
      <c r="AB201" s="333"/>
      <c r="AC201" s="333"/>
      <c r="AD201" s="333"/>
      <c r="AE201" s="333"/>
      <c r="AF201" s="333"/>
      <c r="AG201" s="333"/>
      <c r="AH201" s="333"/>
      <c r="AI201" s="333"/>
      <c r="AJ201" s="333"/>
      <c r="AK201" s="333"/>
      <c r="AL201" s="333"/>
      <c r="AM201" s="333"/>
      <c r="AN201" s="333"/>
      <c r="AO201" s="333"/>
      <c r="AP201" s="333"/>
      <c r="AQ201" s="333"/>
      <c r="AR201" s="333"/>
      <c r="AS201" s="333"/>
      <c r="AT201" s="333"/>
      <c r="AU201" s="333"/>
      <c r="AV201" s="333"/>
      <c r="AW201" s="333"/>
      <c r="AX201" s="333"/>
      <c r="AY201" s="333"/>
      <c r="AZ201" s="333"/>
      <c r="BA201" s="333"/>
      <c r="BB201" s="333"/>
      <c r="BC201" s="333"/>
      <c r="BD201" s="333"/>
      <c r="BE201" s="333"/>
      <c r="BF201" s="333"/>
      <c r="BG201" s="333"/>
      <c r="BH201" s="333"/>
      <c r="BI201" s="333"/>
      <c r="BJ201" s="333"/>
      <c r="BK201" s="333"/>
      <c r="BL201" s="333"/>
      <c r="BM201" s="333"/>
      <c r="BN201" s="333"/>
      <c r="BO201" s="333"/>
      <c r="BP201" s="333"/>
      <c r="BQ201" s="333"/>
      <c r="BR201" s="333"/>
      <c r="BS201" s="333"/>
      <c r="BT201" s="333"/>
      <c r="BU201" s="333"/>
      <c r="BV201" s="333"/>
      <c r="BW201" s="333"/>
      <c r="BX201" s="333"/>
      <c r="BY201" s="333"/>
      <c r="BZ201" s="333"/>
      <c r="CA201" s="333"/>
      <c r="CB201" s="333"/>
      <c r="CC201" s="333"/>
      <c r="CD201" s="333"/>
      <c r="CE201" s="333"/>
      <c r="CF201" s="333"/>
      <c r="CG201" s="333"/>
      <c r="CH201" s="333"/>
      <c r="CI201" s="333"/>
      <c r="CJ201" s="333"/>
      <c r="CK201" s="333"/>
      <c r="CL201" s="333"/>
      <c r="CM201" s="333"/>
      <c r="CN201" s="333"/>
      <c r="CO201" s="333"/>
      <c r="CP201" s="333"/>
      <c r="CQ201" s="333"/>
      <c r="CR201" s="333"/>
      <c r="CS201" s="333"/>
      <c r="CT201" s="333"/>
      <c r="CU201" s="333"/>
      <c r="CV201" s="333"/>
      <c r="CW201" s="333"/>
      <c r="CX201" s="333"/>
      <c r="CY201" s="333"/>
      <c r="CZ201" s="333"/>
      <c r="DA201" s="333"/>
      <c r="DB201" s="333"/>
      <c r="DC201" s="333"/>
      <c r="DD201" s="333"/>
      <c r="DE201" s="333"/>
      <c r="DF201" s="333"/>
      <c r="DG201" s="333"/>
      <c r="DH201" s="333"/>
      <c r="DI201" s="333"/>
      <c r="DJ201" s="333"/>
      <c r="DK201" s="333"/>
      <c r="DL201" s="333"/>
      <c r="DM201" s="333"/>
      <c r="DN201" s="333"/>
      <c r="DO201" s="333"/>
      <c r="DP201" s="333"/>
      <c r="DQ201" s="333"/>
      <c r="DR201" s="333"/>
      <c r="DS201" s="333"/>
      <c r="DT201" s="333"/>
      <c r="DU201" s="375"/>
      <c r="DV201" s="375"/>
      <c r="DW201" s="375"/>
      <c r="DX201" s="375"/>
      <c r="DY201" s="375"/>
      <c r="DZ201" s="375"/>
      <c r="EA201" s="375"/>
      <c r="EB201" s="375"/>
      <c r="EC201" s="375"/>
      <c r="ED201" s="375"/>
      <c r="EE201" s="375"/>
      <c r="EF201" s="375"/>
      <c r="EG201" s="375"/>
      <c r="EH201" s="375"/>
      <c r="EI201" s="375"/>
      <c r="EJ201" s="373"/>
      <c r="EK201" s="373"/>
      <c r="EL201" s="366"/>
      <c r="EM201" s="368"/>
      <c r="EN201" s="364"/>
      <c r="EO201" s="353">
        <f>+IF(EO199= 0, 0, GG197)</f>
        <v>0</v>
      </c>
      <c r="EP201" s="350"/>
      <c r="EQ201" s="344"/>
      <c r="ER201" s="523"/>
      <c r="ES201" s="921">
        <f>IF(ER201 = "", 0,
IF(AND(EP201 &gt; 0, EQ201 &gt;0), 0, IF(EO197 &lt;&gt; $Z$1,
IF(AND(EP201 &lt;&gt; "", EP201 &lt;&gt; 0), -(EP201 * ER201 * 100),
IF(AND(EQ201 &lt;&gt; "", EQ201 &lt;&gt; 0), (EQ201 * ER201 * 100), 0)),
IF(AND(EP201 &lt;&gt; "", EP201 &lt;&gt; 0), -(EP201 * ER201 * 1),
IF(AND(EQ201 &lt;&gt; "", EQ201 &lt;&gt; 0), (EQ201 * ER201 * 1), 0))  )))</f>
        <v>0</v>
      </c>
      <c r="ET201" s="922"/>
      <c r="EU201" s="924"/>
      <c r="EV201" s="921">
        <f>IF(ER201 = "", 0,
IF(AND(EP201 &gt; 0, EQ201 &gt;0), 0,  IF(EO197 &lt;&gt; $Z$1,
IF(AND(EP201 &lt;&gt; "", EP201 &lt;&gt; 0), -(EP201 * ER201 * 100 * (1 + COMIS_OPCION)),
IF(AND(EQ201 &lt;&gt; "", EQ201 &lt;&gt; 0), (EQ201 * ER201 * 100 * (1 - COMIS_OPCION)), 0)),
IF(AND(EP201 &lt;&gt; "", EP201 &lt;&gt; 0), -(EP201 * ER201 * 1 * (1 + COMIS_ACCION)),
IF(AND(EQ201 &lt;&gt; "", EQ201 &lt;&gt; 0), (EQ201 * ER201 * 1 * (1 - COMIS_ACCION)), 0))  )))</f>
        <v>0</v>
      </c>
      <c r="EW201" s="922"/>
      <c r="EX201" s="922"/>
      <c r="EY201" s="922"/>
      <c r="EZ201" s="922"/>
      <c r="FA201" s="922"/>
      <c r="FB201" s="922"/>
      <c r="FC201" s="922"/>
      <c r="FD201" s="923"/>
      <c r="FE201" s="340"/>
      <c r="FF201" s="340"/>
      <c r="FG201" s="365"/>
      <c r="FH201" s="365"/>
      <c r="FI201" s="349">
        <f>+IF(FI199= 0, 0, GQ197)</f>
        <v>0</v>
      </c>
      <c r="FJ201" s="348"/>
      <c r="FK201" s="345"/>
      <c r="FL201" s="346"/>
      <c r="FM201" s="937">
        <f>IF(FL201 = "", 0,
IF(AND(FJ201 &gt; 0, FK201 &gt;0), 0,
IF(AND(FJ201 &lt;&gt; "", FJ201 &lt;&gt; 0), -(FJ201 * FL201 * 100),
IF(AND(FK201 &lt;&gt; "", FK201 &lt;&gt; 0), (FK201 * FL201 * 100), 0)) ))</f>
        <v>0</v>
      </c>
      <c r="FN201" s="938"/>
      <c r="FO201" s="939"/>
      <c r="FP201" s="937">
        <f>IF(FL201 = "", 0,
IF(AND(FJ201 &gt; 0, FK201 &gt;0), 0,
IF(AND(FJ201 &lt;&gt; "", FJ201 &lt;&gt; 0), -(FJ201 * FL201 * 100 * (1 + COMIS_OPCION)),
IF(AND(FK201 &lt;&gt; "", FK201 &lt;&gt; 0), (FK201 * FL201 * 100 * (1 - COMIS_OPCION)), 0)) ))</f>
        <v>0</v>
      </c>
      <c r="FQ201" s="938"/>
      <c r="FR201" s="938"/>
      <c r="FS201" s="938"/>
      <c r="FT201" s="938"/>
      <c r="FU201" s="938"/>
      <c r="FV201" s="938"/>
      <c r="FW201" s="938"/>
      <c r="FX201" s="969"/>
      <c r="FY201" s="341"/>
      <c r="FZ201" s="341"/>
      <c r="GA201" s="341"/>
      <c r="GB201" s="495">
        <v>0</v>
      </c>
      <c r="GC201" s="495">
        <v>0</v>
      </c>
      <c r="GD201" s="500"/>
      <c r="GE201" s="495">
        <v>0</v>
      </c>
      <c r="GF201" s="495">
        <v>0</v>
      </c>
      <c r="GG201" s="495">
        <v>0</v>
      </c>
      <c r="GH201" s="359"/>
      <c r="GI201" s="359"/>
      <c r="GJ201" s="501"/>
      <c r="GK201" s="495">
        <v>0</v>
      </c>
      <c r="GL201" s="495">
        <v>0</v>
      </c>
      <c r="GM201" s="495">
        <v>0</v>
      </c>
      <c r="GN201" s="359"/>
      <c r="GO201" s="359"/>
      <c r="GP201" s="501"/>
      <c r="GQ201" s="495">
        <v>0</v>
      </c>
      <c r="GR201" s="375"/>
      <c r="GS201" s="333"/>
      <c r="GT201" s="333"/>
      <c r="GU201" s="333"/>
      <c r="GV201" s="333"/>
      <c r="GW201" s="333"/>
      <c r="GX201" s="333"/>
      <c r="GY201" s="333"/>
      <c r="GZ201" s="333"/>
      <c r="HA201" s="333"/>
      <c r="HB201" s="333"/>
      <c r="HC201" s="333"/>
      <c r="HD201" s="333"/>
      <c r="HE201" s="333"/>
      <c r="HF201" s="333"/>
      <c r="HG201" s="331"/>
      <c r="HH201" s="331"/>
      <c r="HI201" s="331"/>
      <c r="HJ201" s="331"/>
      <c r="HK201" s="331"/>
      <c r="HL201" s="331"/>
      <c r="HM201" s="331"/>
      <c r="HN201" s="333"/>
      <c r="HO201" s="333"/>
      <c r="HP201" s="333"/>
      <c r="HQ201" s="333"/>
      <c r="HR201" s="333"/>
      <c r="HS201" s="333"/>
      <c r="HT201" s="333"/>
      <c r="HU201" s="333"/>
      <c r="HV201" s="333"/>
      <c r="HW201" s="333"/>
      <c r="HX201" s="333"/>
      <c r="HY201" s="333"/>
      <c r="HZ201" s="333"/>
      <c r="IA201" s="333"/>
      <c r="IB201" s="333"/>
      <c r="IC201" s="333"/>
      <c r="ID201" s="55"/>
      <c r="IE201" s="47"/>
    </row>
    <row r="202" spans="13:249" s="142" customFormat="1" ht="15" customHeight="1" thickBot="1">
      <c r="M202" s="333"/>
      <c r="N202" s="333"/>
      <c r="O202" s="333"/>
      <c r="P202" s="333"/>
      <c r="Q202" s="333"/>
      <c r="R202" s="333"/>
      <c r="S202" s="333"/>
      <c r="T202" s="333"/>
      <c r="U202" s="333"/>
      <c r="V202" s="333"/>
      <c r="W202" s="333"/>
      <c r="X202" s="333"/>
      <c r="Y202" s="333"/>
      <c r="Z202" s="333"/>
      <c r="AA202" s="333"/>
      <c r="AB202" s="333"/>
      <c r="AC202" s="333"/>
      <c r="AD202" s="333"/>
      <c r="AE202" s="333"/>
      <c r="AF202" s="333"/>
      <c r="AG202" s="333"/>
      <c r="AH202" s="333"/>
      <c r="AI202" s="333"/>
      <c r="AJ202" s="333"/>
      <c r="AK202" s="333"/>
      <c r="AL202" s="333"/>
      <c r="AM202" s="333"/>
      <c r="AN202" s="333"/>
      <c r="AO202" s="333"/>
      <c r="AP202" s="333"/>
      <c r="AQ202" s="333"/>
      <c r="AR202" s="333"/>
      <c r="AS202" s="333"/>
      <c r="AT202" s="333"/>
      <c r="AU202" s="333"/>
      <c r="AV202" s="333"/>
      <c r="AW202" s="333"/>
      <c r="AX202" s="333"/>
      <c r="AY202" s="333"/>
      <c r="AZ202" s="333"/>
      <c r="BA202" s="333"/>
      <c r="BB202" s="333"/>
      <c r="BC202" s="333"/>
      <c r="BD202" s="333"/>
      <c r="BE202" s="333"/>
      <c r="BF202" s="333"/>
      <c r="BG202" s="333"/>
      <c r="BH202" s="333"/>
      <c r="BI202" s="333"/>
      <c r="BJ202" s="333"/>
      <c r="BK202" s="333"/>
      <c r="BL202" s="333"/>
      <c r="BM202" s="333"/>
      <c r="BN202" s="333"/>
      <c r="BO202" s="333"/>
      <c r="BP202" s="333"/>
      <c r="BQ202" s="333"/>
      <c r="BR202" s="333"/>
      <c r="BS202" s="333"/>
      <c r="BT202" s="333"/>
      <c r="BU202" s="333"/>
      <c r="BV202" s="333"/>
      <c r="BW202" s="333"/>
      <c r="BX202" s="333"/>
      <c r="BY202" s="333"/>
      <c r="BZ202" s="333"/>
      <c r="CA202" s="333"/>
      <c r="CB202" s="333"/>
      <c r="CC202" s="333"/>
      <c r="CD202" s="333"/>
      <c r="CE202" s="333"/>
      <c r="CF202" s="333"/>
      <c r="CG202" s="333"/>
      <c r="CH202" s="333"/>
      <c r="CI202" s="333"/>
      <c r="CJ202" s="333"/>
      <c r="CK202" s="333"/>
      <c r="CL202" s="333"/>
      <c r="CM202" s="333"/>
      <c r="CN202" s="333"/>
      <c r="CO202" s="333"/>
      <c r="CP202" s="333"/>
      <c r="CQ202" s="333"/>
      <c r="CR202" s="333"/>
      <c r="CS202" s="333"/>
      <c r="CT202" s="333"/>
      <c r="CU202" s="333"/>
      <c r="CV202" s="333"/>
      <c r="CW202" s="333"/>
      <c r="CX202" s="333"/>
      <c r="CY202" s="333"/>
      <c r="CZ202" s="333"/>
      <c r="DA202" s="333"/>
      <c r="DB202" s="333"/>
      <c r="DC202" s="333"/>
      <c r="DD202" s="333"/>
      <c r="DE202" s="333"/>
      <c r="DF202" s="333"/>
      <c r="DG202" s="333"/>
      <c r="DH202" s="333"/>
      <c r="DI202" s="333"/>
      <c r="DJ202" s="333"/>
      <c r="DK202" s="333"/>
      <c r="DL202" s="333"/>
      <c r="DM202" s="333"/>
      <c r="DN202" s="333"/>
      <c r="DO202" s="333"/>
      <c r="DP202" s="333"/>
      <c r="DQ202" s="333"/>
      <c r="DR202" s="333"/>
      <c r="DS202" s="333"/>
      <c r="DT202" s="333"/>
      <c r="DU202" s="375"/>
      <c r="DV202" s="375"/>
      <c r="DW202" s="375"/>
      <c r="DX202" s="375"/>
      <c r="DY202" s="375"/>
      <c r="DZ202" s="375"/>
      <c r="EA202" s="375"/>
      <c r="EB202" s="375"/>
      <c r="EC202" s="375"/>
      <c r="ED202" s="375"/>
      <c r="EE202" s="375"/>
      <c r="EF202" s="375"/>
      <c r="EG202" s="375"/>
      <c r="EH202" s="375"/>
      <c r="EI202" s="375"/>
      <c r="EJ202" s="373"/>
      <c r="EK202" s="373"/>
      <c r="EL202" s="366"/>
      <c r="EM202" s="369"/>
      <c r="EN202" s="364"/>
      <c r="EO202" s="363"/>
      <c r="EP202" s="340"/>
      <c r="EQ202" s="340"/>
      <c r="ER202" s="340"/>
      <c r="ES202" s="363"/>
      <c r="ET202" s="363"/>
      <c r="EU202" s="340"/>
      <c r="EV202" s="340"/>
      <c r="EW202" s="340"/>
      <c r="EX202" s="340"/>
      <c r="EY202" s="340"/>
      <c r="EZ202" s="340"/>
      <c r="FA202" s="340"/>
      <c r="FB202" s="402"/>
      <c r="FC202" s="402"/>
      <c r="FD202" s="340"/>
      <c r="FE202" s="340"/>
      <c r="FF202" s="340"/>
      <c r="FG202" s="364"/>
      <c r="FH202" s="364"/>
      <c r="FI202" s="363"/>
      <c r="FJ202" s="360"/>
      <c r="FK202" s="360"/>
      <c r="FL202" s="340"/>
      <c r="FM202" s="967"/>
      <c r="FN202" s="967"/>
      <c r="FO202" s="967"/>
      <c r="FP202" s="968"/>
      <c r="FQ202" s="968"/>
      <c r="FR202" s="968"/>
      <c r="FS202" s="968"/>
      <c r="FT202" s="968"/>
      <c r="FU202" s="968"/>
      <c r="FV202" s="968"/>
      <c r="FW202" s="968"/>
      <c r="FX202" s="968"/>
      <c r="FY202" s="341"/>
      <c r="FZ202" s="341"/>
      <c r="GA202" s="341"/>
      <c r="GB202" s="495">
        <v>0</v>
      </c>
      <c r="GC202" s="495">
        <v>0</v>
      </c>
      <c r="GD202" s="500"/>
      <c r="GE202" s="495">
        <v>0</v>
      </c>
      <c r="GF202" s="495">
        <v>0</v>
      </c>
      <c r="GG202" s="495">
        <v>0</v>
      </c>
      <c r="GH202" s="359"/>
      <c r="GI202" s="359"/>
      <c r="GJ202" s="501"/>
      <c r="GK202" s="495">
        <v>0</v>
      </c>
      <c r="GL202" s="495">
        <v>0</v>
      </c>
      <c r="GM202" s="495">
        <v>0</v>
      </c>
      <c r="GN202" s="359"/>
      <c r="GO202" s="359"/>
      <c r="GP202" s="501"/>
      <c r="GQ202" s="495">
        <v>0</v>
      </c>
      <c r="GR202" s="375"/>
      <c r="GS202" s="333"/>
      <c r="GT202" s="333"/>
      <c r="GU202" s="333"/>
      <c r="GV202" s="333"/>
      <c r="GW202" s="333"/>
      <c r="GX202" s="333"/>
      <c r="GY202" s="333"/>
      <c r="GZ202" s="333"/>
      <c r="HA202" s="333"/>
      <c r="HB202" s="333"/>
      <c r="HC202" s="333"/>
      <c r="HD202" s="333"/>
      <c r="HE202" s="333"/>
      <c r="HF202" s="333"/>
      <c r="HG202" s="331"/>
      <c r="HH202" s="331"/>
      <c r="HI202" s="331"/>
      <c r="HJ202" s="331"/>
      <c r="HK202" s="331"/>
      <c r="HL202" s="331"/>
      <c r="HM202" s="331"/>
      <c r="HN202" s="333"/>
      <c r="HO202" s="333"/>
      <c r="HP202" s="333"/>
      <c r="HQ202" s="333"/>
      <c r="HR202" s="333"/>
      <c r="HS202" s="333"/>
      <c r="HT202" s="333"/>
      <c r="HU202" s="333"/>
      <c r="HV202" s="333"/>
      <c r="HW202" s="333"/>
      <c r="HX202" s="333"/>
      <c r="HY202" s="333"/>
      <c r="HZ202" s="333"/>
      <c r="IA202" s="333"/>
      <c r="IB202" s="333"/>
      <c r="IC202" s="333"/>
      <c r="ID202" s="55"/>
      <c r="IE202" s="47"/>
      <c r="IO202" s="51"/>
    </row>
    <row r="203" spans="13:249" s="142" customFormat="1" ht="15" customHeight="1">
      <c r="M203" s="333"/>
      <c r="N203" s="333"/>
      <c r="O203" s="333"/>
      <c r="P203" s="333"/>
      <c r="Q203" s="333"/>
      <c r="R203" s="333"/>
      <c r="S203" s="333"/>
      <c r="T203" s="333"/>
      <c r="U203" s="333"/>
      <c r="V203" s="333"/>
      <c r="W203" s="333"/>
      <c r="X203" s="333"/>
      <c r="Y203" s="333"/>
      <c r="Z203" s="333"/>
      <c r="AA203" s="333"/>
      <c r="AB203" s="333"/>
      <c r="AC203" s="333"/>
      <c r="AD203" s="333"/>
      <c r="AE203" s="333"/>
      <c r="AF203" s="333"/>
      <c r="AG203" s="333"/>
      <c r="AH203" s="333"/>
      <c r="AI203" s="333"/>
      <c r="AJ203" s="333"/>
      <c r="AK203" s="333"/>
      <c r="AL203" s="333"/>
      <c r="AM203" s="333"/>
      <c r="AN203" s="333"/>
      <c r="AO203" s="333"/>
      <c r="AP203" s="333"/>
      <c r="AQ203" s="333"/>
      <c r="AR203" s="333"/>
      <c r="AS203" s="333"/>
      <c r="AT203" s="333"/>
      <c r="AU203" s="333"/>
      <c r="AV203" s="333"/>
      <c r="AW203" s="333"/>
      <c r="AX203" s="333"/>
      <c r="AY203" s="333"/>
      <c r="AZ203" s="333"/>
      <c r="BA203" s="333"/>
      <c r="BB203" s="333"/>
      <c r="BC203" s="333"/>
      <c r="BD203" s="333"/>
      <c r="BE203" s="333"/>
      <c r="BF203" s="333"/>
      <c r="BG203" s="333"/>
      <c r="BH203" s="333"/>
      <c r="BI203" s="333"/>
      <c r="BJ203" s="333"/>
      <c r="BK203" s="333"/>
      <c r="BL203" s="333"/>
      <c r="BM203" s="333"/>
      <c r="BN203" s="333"/>
      <c r="BO203" s="333"/>
      <c r="BP203" s="333"/>
      <c r="BQ203" s="333"/>
      <c r="BR203" s="333"/>
      <c r="BS203" s="333"/>
      <c r="BT203" s="333"/>
      <c r="BU203" s="333"/>
      <c r="BV203" s="333"/>
      <c r="BW203" s="333"/>
      <c r="BX203" s="333"/>
      <c r="BY203" s="333"/>
      <c r="BZ203" s="333"/>
      <c r="CA203" s="333"/>
      <c r="CB203" s="333"/>
      <c r="CC203" s="333"/>
      <c r="CD203" s="333"/>
      <c r="CE203" s="333"/>
      <c r="CF203" s="333"/>
      <c r="CG203" s="333"/>
      <c r="CH203" s="333"/>
      <c r="CI203" s="333"/>
      <c r="CJ203" s="333"/>
      <c r="CK203" s="333"/>
      <c r="CL203" s="333"/>
      <c r="CM203" s="333"/>
      <c r="CN203" s="333"/>
      <c r="CO203" s="333"/>
      <c r="CP203" s="333"/>
      <c r="CQ203" s="333"/>
      <c r="CR203" s="333"/>
      <c r="CS203" s="333"/>
      <c r="CT203" s="333"/>
      <c r="CU203" s="333"/>
      <c r="CV203" s="333"/>
      <c r="CW203" s="333"/>
      <c r="CX203" s="333"/>
      <c r="CY203" s="333"/>
      <c r="CZ203" s="333"/>
      <c r="DA203" s="333"/>
      <c r="DB203" s="333"/>
      <c r="DC203" s="333"/>
      <c r="DD203" s="333"/>
      <c r="DE203" s="333"/>
      <c r="DF203" s="333"/>
      <c r="DG203" s="333"/>
      <c r="DH203" s="333"/>
      <c r="DI203" s="333"/>
      <c r="DJ203" s="333"/>
      <c r="DK203" s="333"/>
      <c r="DL203" s="333"/>
      <c r="DM203" s="333"/>
      <c r="DN203" s="333"/>
      <c r="DO203" s="333"/>
      <c r="DP203" s="333"/>
      <c r="DQ203" s="333"/>
      <c r="DR203" s="333"/>
      <c r="DS203" s="333"/>
      <c r="DT203" s="333"/>
      <c r="DU203" s="375"/>
      <c r="DV203" s="375"/>
      <c r="DW203" s="375"/>
      <c r="DX203" s="375"/>
      <c r="DY203" s="375"/>
      <c r="DZ203" s="375"/>
      <c r="EA203" s="375"/>
      <c r="EB203" s="375"/>
      <c r="EC203" s="375"/>
      <c r="ED203" s="375"/>
      <c r="EE203" s="375"/>
      <c r="EF203" s="375"/>
      <c r="EG203" s="375"/>
      <c r="EH203" s="375"/>
      <c r="EI203" s="375"/>
      <c r="EJ203" s="373"/>
      <c r="EK203" s="373"/>
      <c r="EL203" s="366"/>
      <c r="EM203" s="366"/>
      <c r="EN203" s="364">
        <f>+EN197+1</f>
        <v>26</v>
      </c>
      <c r="EO203" s="356">
        <f>+VLOOKUP(EN203, PRECIOS_EJERCICIOS,  2,FALSE)</f>
        <v>310</v>
      </c>
      <c r="EP203" s="513" t="str">
        <f>+IF($AQ$49 = FALSE, "",
IF(VLOOKUP(EO203, basesCantPrimaBrutoRes, 2,FALSE) &gt;= 0, VLOOKUP(EO203, basesCantPrimaBrutoRes, 2,FALSE), 0))</f>
        <v/>
      </c>
      <c r="EQ203" s="514" t="str">
        <f>+IF($AQ$49 = FALSE, "",
IF(VLOOKUP(EO203, basesCantPrimaBrutoRes, 2,FALSE) &lt; 0, -VLOOKUP(EO203, basesCantPrimaBrutoRes, 2,FALSE), 0))</f>
        <v/>
      </c>
      <c r="ER203" s="521" t="str">
        <f>IF($AQ$49 = FALSE, "",
VLOOKUP(EO203, basesCantPrimaBrutoRes, 4,FALSE))</f>
        <v/>
      </c>
      <c r="ES203" s="926">
        <f>IF(ER203 = "", 0,
IF(AND(EP203 &gt; 0, EQ203 &gt;0), 0, IF(EO203 &lt;&gt; $Z$1,
IF(AND(EP203 &lt;&gt; "", EP203 &lt;&gt; 0), -(EP203 * ER203 * 100),
IF(AND(EQ203 &lt;&gt; "", EQ203 &lt;&gt; 0), (EQ203 * ER203 * 100), 0)),
IF(AND(EP203 &lt;&gt; "", EP203 &lt;&gt; 0), -(EP203 * ER203 * 1),
IF(AND(EQ203 &lt;&gt; "", EQ203 &lt;&gt; 0), (EQ203 * ER203 * 1), 0))  )))</f>
        <v>0</v>
      </c>
      <c r="ET203" s="927"/>
      <c r="EU203" s="928"/>
      <c r="EV203" s="926">
        <f>IF(ER203 = "", 0,
IF(AND(EP203 &gt; 0, EQ203 &gt;0), 0,  IF(EO203 &lt;&gt; $Z$1,
IF(AND(EP203 &lt;&gt; "", EP203 &lt;&gt; 0), -(EP203 * ER203 * 100 * (1 + COMIS_OPCION)),
IF(AND(EQ203 &lt;&gt; "", EQ203 &lt;&gt; 0), (EQ203 * ER203 * 100 * (1 - COMIS_OPCION)), 0)),
IF(AND(EP203 &lt;&gt; "", EP203 &lt;&gt; 0), -(EP203 * ER203 * 1 * (1 + COMIS_ACCION)),
IF(AND(EQ203 &lt;&gt; "", EQ203 &lt;&gt; 0), (EQ203 * ER203 * 1 * (1 - COMIS_ACCION)), 0))  )))</f>
        <v>0</v>
      </c>
      <c r="EW203" s="927"/>
      <c r="EX203" s="927"/>
      <c r="EY203" s="927"/>
      <c r="EZ203" s="927"/>
      <c r="FA203" s="927"/>
      <c r="FB203" s="927"/>
      <c r="FC203" s="927"/>
      <c r="FD203" s="929"/>
      <c r="FE203" s="340"/>
      <c r="FF203" s="340"/>
      <c r="FG203" s="364"/>
      <c r="FH203" s="364">
        <f>+FH197+1</f>
        <v>26</v>
      </c>
      <c r="FI203" s="357">
        <f>+VLOOKUP(FH203, PRECIOS_EJERCICIOS,  2,FALSE)</f>
        <v>310</v>
      </c>
      <c r="FJ203" s="515" t="str">
        <f>+IF($AQ$49 = FALSE, "",
IF(VLOOKUP(EO203, basesCantPrimaBrutoRes, 5,FALSE) &gt;= 0, VLOOKUP(EO203, basesCantPrimaBrutoRes, 5,FALSE), 0))</f>
        <v/>
      </c>
      <c r="FK203" s="516" t="str">
        <f>+IF($AQ$49 = FALSE, "",
IF(VLOOKUP(EO203, basesCantPrimaBrutoRes, 5,FALSE) &lt; 0, -VLOOKUP(EO203, basesCantPrimaBrutoRes, 5,FALSE), 0))</f>
        <v/>
      </c>
      <c r="FL203" s="517" t="str">
        <f>IF($AQ$49 = FALSE, "",
VLOOKUP(EO203, basesCantPrimaBrutoRes, 7,FALSE))</f>
        <v/>
      </c>
      <c r="FM203" s="934">
        <f>IF(FL203 = "", 0,
IF(AND(FJ203 &gt; 0, FK203 &gt;0), 0,
IF(AND(FJ203 &lt;&gt; "", FJ203 &lt;&gt; 0), -(FJ203 * FL203 * 100),
IF(AND(FK203 &lt;&gt; "", FK203 &lt;&gt; 0), (FK203 * FL203 * 100), 0)) ))</f>
        <v>0</v>
      </c>
      <c r="FN203" s="935"/>
      <c r="FO203" s="936"/>
      <c r="FP203" s="934">
        <f>IF(FL203 = "", 0,
IF(AND(FJ203 &gt; 0, FK203 &gt;0), 0,
IF(AND(FJ203 &lt;&gt; "", FJ203 &lt;&gt; 0), -(FJ203 * FL203 * 100 * (1 + COMIS_OPCION)),
IF(AND(FK203 &lt;&gt; "", FK203 &lt;&gt; 0), (FK203 * FL203 * 100 * (1 - COMIS_OPCION)), 0)) ))</f>
        <v>0</v>
      </c>
      <c r="FQ203" s="935"/>
      <c r="FR203" s="935"/>
      <c r="FS203" s="935"/>
      <c r="FT203" s="935"/>
      <c r="FU203" s="935"/>
      <c r="FV203" s="935"/>
      <c r="FW203" s="935"/>
      <c r="FX203" s="966"/>
      <c r="FY203" s="341"/>
      <c r="FZ203" s="341"/>
      <c r="GA203" s="341"/>
      <c r="GB203" s="495">
        <f>+IF(EN203 = "", "", EO203)</f>
        <v>310</v>
      </c>
      <c r="GC203" s="495" t="str">
        <f>+IF(GB203="", "", IF(EO203 = $Z$1, "ACCION", "CALL"))</f>
        <v>CALL</v>
      </c>
      <c r="GD203" s="500"/>
      <c r="GE203" s="495">
        <f>+IF(GB203= "", "", EO205)</f>
        <v>0</v>
      </c>
      <c r="GF203" s="495">
        <f>+IF(GB203 = "", "", IFERROR(IF(GB203 &lt;&gt; $Z$1,
IF(GE203 &gt; 0, SUMIFS(ES203:ES207, EP203:EP207, "&gt;0", ES203:ES207, "&lt;&gt;0") / SUMIFS(EP203:EP207, EP203:EP207, "&gt;0", ES203:ES207, "&lt;&gt;0") / -100,
IF(GE203 &lt; 0, SUMIFS(ES203:ES207, EQ203:EQ207, "&gt;0", ES203:ES207, "&lt;&gt;0") / SUMIFS(EQ203:EQ207, EQ203:EQ207, "&gt;0", ES203:ES207, "&lt;&gt;0") / 100, 0)),
IF(GE203 &gt; 0, SUMIFS(ES203:ES207, EP203:EP207, "&gt;0", ES203:ES207, "&lt;&gt;0") / SUMIFS(EP203:EP207, EP203:EP207, "&gt;0", ES203:ES207, "&lt;&gt;0") / -1,
IF(GE203 &lt; 0, SUMIFS(ES203:ES207, EQ203:EQ207, "&gt;0", ES203:ES207, "&lt;&gt;0") / SUMIFS(EQ203:EQ207, EQ203:EQ207, "&gt;0", ES203:ES207, "&lt;&gt;0") / 1, 0)) ), 0))</f>
        <v>0</v>
      </c>
      <c r="GG203" s="495">
        <f>+IF(GB203 = "", "", IFERROR(IF(GB203 &lt;&gt; $Z$1,
IF(GE203 &gt; 0, SUMIFS(EV203:EV207, EP203:EP207, "&gt;0", EV203:EV207, "&lt;&gt;0") / SUMIFS(EP203:EP207, EP203:EP207, "&gt;0", EV203:EV207, "&lt;&gt;0") / -100,
IF(GE203 &lt; 0, SUMIFS(EV203:EV207, EQ203:EQ207, "&gt;0", EV203:EV207, "&lt;&gt;0") / SUMIFS(EQ203:EQ207, EQ203:EQ207, "&gt;0", EV203:EV207, "&lt;&gt;0") / 100, 0)),
IF(GE203 &gt; 0, SUMIFS(EV203:EV207, EP203:EP207, "&gt;0", EV203:EV207, "&lt;&gt;0") / SUMIFS(EP203:EP207, EP203:EP207, "&gt;0", EV203:EV207, "&lt;&gt;0") / -1,
IF(GE203 &lt; 0, SUMIFS(EV203:EV207, EQ203:EQ207, "&gt;0", EV203:EV207, "&lt;&gt;0") / SUMIFS(EQ203:EQ207, EQ203:EQ207, "&gt;0", EV203:EV207, "&lt;&gt;0") / 1, 0)) ), 0))</f>
        <v>0</v>
      </c>
      <c r="GH203" s="359"/>
      <c r="GI203" s="359"/>
      <c r="GJ203" s="501"/>
      <c r="GK203" s="495" t="str">
        <f>+IF(GB203="", "", "PUT")</f>
        <v>PUT</v>
      </c>
      <c r="GL203" s="495">
        <f>+IF(GB203 = "", "", FI205)</f>
        <v>0</v>
      </c>
      <c r="GM203" s="495">
        <f>+IF(GB203 = "", "", IFERROR(
IF(FI205 &gt; 0, SUMIFS(FM203:FM207, FJ203:FJ207, "&gt;0", FM203:FM207, "&lt;&gt;0") / SUMIFS(FJ203:FJ207, FJ203:FJ207, "&gt;0", FM203:FM207, "&lt;&gt;0") / -100,
IF(FI205 &lt; 0, SUMIFS(FM203:FM207, FK203:FK207, "&gt;0", FM203:FM207, "&lt;&gt;0") / SUMIFS(FK203:FK207, FK203:FK207, "&gt;0", FM203:FM207, "&lt;&gt;0") / 100, 0)), 0) )</f>
        <v>0</v>
      </c>
      <c r="GN203" s="359"/>
      <c r="GO203" s="359"/>
      <c r="GP203" s="501"/>
      <c r="GQ203" s="502">
        <f>+IF(GB203 = "", "", IFERROR(
IF(FI205 &gt; 0, SUMIFS(FP203:FP207, FJ203:FJ207, "&gt;0", FP203:FP207, "&lt;&gt;0") / SUMIFS(FJ203:FJ207, FJ203:FJ207, "&gt;0", FP203:FP207, "&lt;&gt;0") / -100,
IF(FI205 &lt; 0, SUMIFS(FP203:FP207, FK203:FK207, "&gt;0", FP203:FP207, "&lt;&gt;0") / SUMIFS(FK203:FK207, FK203:FK207, "&gt;0", FP203:FP207, "&lt;&gt;0") / 100, 0)), 0))</f>
        <v>0</v>
      </c>
      <c r="GR203" s="375"/>
      <c r="GS203" s="333"/>
      <c r="GT203" s="333"/>
      <c r="GU203" s="333"/>
      <c r="GV203" s="333"/>
      <c r="GW203" s="333"/>
      <c r="GX203" s="333"/>
      <c r="GY203" s="333"/>
      <c r="GZ203" s="333"/>
      <c r="HA203" s="333"/>
      <c r="HB203" s="333"/>
      <c r="HC203" s="333"/>
      <c r="HD203" s="333"/>
      <c r="HE203" s="333"/>
      <c r="HF203" s="333"/>
      <c r="HG203" s="331"/>
      <c r="HH203" s="331"/>
      <c r="HI203" s="331"/>
      <c r="HJ203" s="331"/>
      <c r="HK203" s="331"/>
      <c r="HL203" s="331"/>
      <c r="HM203" s="331"/>
      <c r="HN203" s="333"/>
      <c r="HO203" s="333"/>
      <c r="HP203" s="333"/>
      <c r="HQ203" s="333"/>
      <c r="HR203" s="333"/>
      <c r="HS203" s="333"/>
      <c r="HT203" s="333"/>
      <c r="HU203" s="333"/>
      <c r="HV203" s="333"/>
      <c r="HW203" s="333"/>
      <c r="HX203" s="333"/>
      <c r="HY203" s="333"/>
      <c r="HZ203" s="333"/>
      <c r="IA203" s="333"/>
      <c r="IB203" s="333"/>
      <c r="IC203" s="333"/>
      <c r="ID203" s="55"/>
      <c r="IE203" s="47"/>
      <c r="IO203" s="51"/>
    </row>
    <row r="204" spans="13:249" s="142" customFormat="1" ht="15" customHeight="1">
      <c r="M204" s="333"/>
      <c r="N204" s="333"/>
      <c r="O204" s="333"/>
      <c r="P204" s="333"/>
      <c r="Q204" s="333"/>
      <c r="R204" s="333"/>
      <c r="S204" s="333"/>
      <c r="T204" s="333"/>
      <c r="U204" s="333"/>
      <c r="V204" s="333"/>
      <c r="W204" s="333"/>
      <c r="X204" s="333"/>
      <c r="Y204" s="333"/>
      <c r="Z204" s="333"/>
      <c r="AA204" s="333"/>
      <c r="AB204" s="333"/>
      <c r="AC204" s="333"/>
      <c r="AD204" s="333"/>
      <c r="AE204" s="333"/>
      <c r="AF204" s="333"/>
      <c r="AG204" s="333"/>
      <c r="AH204" s="333"/>
      <c r="AI204" s="333"/>
      <c r="AJ204" s="333"/>
      <c r="AK204" s="333"/>
      <c r="AL204" s="333"/>
      <c r="AM204" s="333"/>
      <c r="AN204" s="333"/>
      <c r="AO204" s="333"/>
      <c r="AP204" s="333"/>
      <c r="AQ204" s="333"/>
      <c r="AR204" s="333"/>
      <c r="AS204" s="333"/>
      <c r="AT204" s="333"/>
      <c r="AU204" s="333"/>
      <c r="AV204" s="333"/>
      <c r="AW204" s="333"/>
      <c r="AX204" s="333"/>
      <c r="AY204" s="333"/>
      <c r="AZ204" s="333"/>
      <c r="BA204" s="333"/>
      <c r="BB204" s="333"/>
      <c r="BC204" s="333"/>
      <c r="BD204" s="333"/>
      <c r="BE204" s="333"/>
      <c r="BF204" s="333"/>
      <c r="BG204" s="333"/>
      <c r="BH204" s="333"/>
      <c r="BI204" s="333"/>
      <c r="BJ204" s="333"/>
      <c r="BK204" s="333"/>
      <c r="BL204" s="333"/>
      <c r="BM204" s="333"/>
      <c r="BN204" s="333"/>
      <c r="BO204" s="333"/>
      <c r="BP204" s="333"/>
      <c r="BQ204" s="333"/>
      <c r="BR204" s="333"/>
      <c r="BS204" s="333"/>
      <c r="BT204" s="333"/>
      <c r="BU204" s="333"/>
      <c r="BV204" s="333"/>
      <c r="BW204" s="333"/>
      <c r="BX204" s="333"/>
      <c r="BY204" s="333"/>
      <c r="BZ204" s="333"/>
      <c r="CA204" s="333"/>
      <c r="CB204" s="333"/>
      <c r="CC204" s="333"/>
      <c r="CD204" s="333"/>
      <c r="CE204" s="333"/>
      <c r="CF204" s="333"/>
      <c r="CG204" s="333"/>
      <c r="CH204" s="333"/>
      <c r="CI204" s="333"/>
      <c r="CJ204" s="333"/>
      <c r="CK204" s="333"/>
      <c r="CL204" s="333"/>
      <c r="CM204" s="333"/>
      <c r="CN204" s="333"/>
      <c r="CO204" s="333"/>
      <c r="CP204" s="333"/>
      <c r="CQ204" s="333"/>
      <c r="CR204" s="333"/>
      <c r="CS204" s="333"/>
      <c r="CT204" s="333"/>
      <c r="CU204" s="333"/>
      <c r="CV204" s="333"/>
      <c r="CW204" s="333"/>
      <c r="CX204" s="333"/>
      <c r="CY204" s="333"/>
      <c r="CZ204" s="333"/>
      <c r="DA204" s="333"/>
      <c r="DB204" s="333"/>
      <c r="DC204" s="333"/>
      <c r="DD204" s="333"/>
      <c r="DE204" s="333"/>
      <c r="DF204" s="333"/>
      <c r="DG204" s="333"/>
      <c r="DH204" s="333"/>
      <c r="DI204" s="333"/>
      <c r="DJ204" s="333"/>
      <c r="DK204" s="333"/>
      <c r="DL204" s="333"/>
      <c r="DM204" s="333"/>
      <c r="DN204" s="333"/>
      <c r="DO204" s="333"/>
      <c r="DP204" s="333"/>
      <c r="DQ204" s="333"/>
      <c r="DR204" s="333"/>
      <c r="DS204" s="333"/>
      <c r="DT204" s="333"/>
      <c r="DU204" s="375"/>
      <c r="DV204" s="375"/>
      <c r="DW204" s="375"/>
      <c r="DX204" s="375"/>
      <c r="DY204" s="375"/>
      <c r="DZ204" s="375"/>
      <c r="EA204" s="375"/>
      <c r="EB204" s="375"/>
      <c r="EC204" s="375"/>
      <c r="ED204" s="375"/>
      <c r="EE204" s="375"/>
      <c r="EF204" s="375"/>
      <c r="EG204" s="375"/>
      <c r="EH204" s="375"/>
      <c r="EI204" s="375"/>
      <c r="EJ204" s="373"/>
      <c r="EK204" s="373"/>
      <c r="EL204" s="366"/>
      <c r="EM204" s="366"/>
      <c r="EN204" s="364"/>
      <c r="EO204" s="351"/>
      <c r="EP204" s="347"/>
      <c r="EQ204" s="342"/>
      <c r="ER204" s="522"/>
      <c r="ES204" s="916">
        <f>IF(ER204 = "", 0,
IF(AND(EP204 &gt; 0, EQ204 &gt;0), 0, IF(EO203 &lt;&gt; $Z$1,
IF(AND(EP204 &lt;&gt; "", EP204 &lt;&gt; 0), -(EP204 * ER204 * 100),
IF(AND(EQ204 &lt;&gt; "", EQ204 &lt;&gt; 0), (EQ204 * ER204 * 100), 0)),
IF(AND(EP204 &lt;&gt; "", EP204 &lt;&gt; 0), -(EP204 * ER204 * 1),
IF(AND(EQ204 &lt;&gt; "", EQ204 &lt;&gt; 0), (EQ204 * ER204 * 1), 0))  )))</f>
        <v>0</v>
      </c>
      <c r="ET204" s="917"/>
      <c r="EU204" s="918"/>
      <c r="EV204" s="916">
        <f>IF(ER204 = "", 0,
IF(AND(EP204 &gt; 0, EQ204 &gt;0), 0,  IF(EO203 &lt;&gt; $Z$1,
IF(AND(EP204 &lt;&gt; "", EP204 &lt;&gt; 0), -(EP204 * ER204 * 100 * (1 + COMIS_OPCION)),
IF(AND(EQ204 &lt;&gt; "", EQ204 &lt;&gt; 0), (EQ204 * ER204 * 100 * (1 - COMIS_OPCION)), 0)),
IF(AND(EP204 &lt;&gt; "", EP204 &lt;&gt; 0), -(EP204 * ER204 * 1 * (1 + COMIS_ACCION)),
IF(AND(EQ204 &lt;&gt; "", EQ204 &lt;&gt; 0), (EQ204 * ER204 * 1 * (1 - COMIS_ACCION)), 0))  )))</f>
        <v>0</v>
      </c>
      <c r="EW204" s="917"/>
      <c r="EX204" s="917"/>
      <c r="EY204" s="917"/>
      <c r="EZ204" s="917"/>
      <c r="FA204" s="917"/>
      <c r="FB204" s="917"/>
      <c r="FC204" s="917"/>
      <c r="FD204" s="925"/>
      <c r="FE204" s="340"/>
      <c r="FF204" s="340"/>
      <c r="FG204" s="364"/>
      <c r="FH204" s="364"/>
      <c r="FI204" s="339"/>
      <c r="FJ204" s="347"/>
      <c r="FK204" s="342"/>
      <c r="FL204" s="343"/>
      <c r="FM204" s="930">
        <f>IF(FL204 = "", 0,
IF(AND(FJ204 &gt; 0, FK204 &gt;0), 0,
IF(AND(FJ204 &lt;&gt; "", FJ204 &lt;&gt; 0), -(FJ204 * FL204 * 100),
IF(AND(FK204 &lt;&gt; "", FK204 &lt;&gt; 0), (FK204 * FL204 * 100), 0)) ))</f>
        <v>0</v>
      </c>
      <c r="FN204" s="931"/>
      <c r="FO204" s="932"/>
      <c r="FP204" s="930">
        <f>IF(FL204 = "", 0,
IF(AND(FJ204 &gt; 0, FK204 &gt;0), 0,
IF(AND(FJ204 &lt;&gt; "", FJ204 &lt;&gt; 0), -(FJ204 * FL204 * 100 * (1 + COMIS_OPCION)),
IF(AND(FK204 &lt;&gt; "", FK204 &lt;&gt; 0), (FK204 * FL204 * 100 * (1 - COMIS_OPCION)), 0)) ))</f>
        <v>0</v>
      </c>
      <c r="FQ204" s="931"/>
      <c r="FR204" s="931"/>
      <c r="FS204" s="931"/>
      <c r="FT204" s="931"/>
      <c r="FU204" s="931"/>
      <c r="FV204" s="931"/>
      <c r="FW204" s="931"/>
      <c r="FX204" s="933"/>
      <c r="FY204" s="341"/>
      <c r="FZ204" s="341"/>
      <c r="GA204" s="341"/>
      <c r="GB204" s="495">
        <v>0</v>
      </c>
      <c r="GC204" s="495">
        <v>0</v>
      </c>
      <c r="GD204" s="500"/>
      <c r="GE204" s="495">
        <v>0</v>
      </c>
      <c r="GF204" s="495">
        <v>0</v>
      </c>
      <c r="GG204" s="495">
        <v>0</v>
      </c>
      <c r="GH204" s="359"/>
      <c r="GI204" s="359"/>
      <c r="GJ204" s="501"/>
      <c r="GK204" s="495">
        <v>0</v>
      </c>
      <c r="GL204" s="495">
        <v>0</v>
      </c>
      <c r="GM204" s="495">
        <v>0</v>
      </c>
      <c r="GN204" s="359"/>
      <c r="GO204" s="359"/>
      <c r="GP204" s="501"/>
      <c r="GQ204" s="495">
        <v>0</v>
      </c>
      <c r="GR204" s="375"/>
      <c r="GS204" s="333"/>
      <c r="GT204" s="333"/>
      <c r="GU204" s="333"/>
      <c r="GV204" s="333"/>
      <c r="GW204" s="333"/>
      <c r="GX204" s="333"/>
      <c r="GY204" s="333"/>
      <c r="GZ204" s="333"/>
      <c r="HA204" s="333"/>
      <c r="HB204" s="333"/>
      <c r="HC204" s="333"/>
      <c r="HD204" s="333"/>
      <c r="HE204" s="333"/>
      <c r="HF204" s="333"/>
      <c r="HG204" s="331"/>
      <c r="HH204" s="331"/>
      <c r="HI204" s="331"/>
      <c r="HJ204" s="331"/>
      <c r="HK204" s="331"/>
      <c r="HL204" s="331"/>
      <c r="HM204" s="331"/>
      <c r="HN204" s="333"/>
      <c r="HO204" s="333"/>
      <c r="HP204" s="333"/>
      <c r="HQ204" s="333"/>
      <c r="HR204" s="333"/>
      <c r="HS204" s="333"/>
      <c r="HT204" s="333"/>
      <c r="HU204" s="333"/>
      <c r="HV204" s="333"/>
      <c r="HW204" s="333"/>
      <c r="HX204" s="333"/>
      <c r="HY204" s="333"/>
      <c r="HZ204" s="333"/>
      <c r="IA204" s="333"/>
      <c r="IB204" s="333"/>
      <c r="IC204" s="333"/>
      <c r="ID204" s="55"/>
      <c r="IE204" s="47"/>
      <c r="IO204" s="51"/>
    </row>
    <row r="205" spans="13:249" s="142" customFormat="1" ht="15" customHeight="1">
      <c r="M205" s="333"/>
      <c r="N205" s="333"/>
      <c r="O205" s="333"/>
      <c r="P205" s="333"/>
      <c r="Q205" s="333"/>
      <c r="R205" s="333"/>
      <c r="S205" s="333"/>
      <c r="T205" s="333"/>
      <c r="U205" s="333"/>
      <c r="V205" s="333"/>
      <c r="W205" s="333"/>
      <c r="X205" s="333"/>
      <c r="Y205" s="333"/>
      <c r="Z205" s="333"/>
      <c r="AA205" s="333"/>
      <c r="AB205" s="333"/>
      <c r="AC205" s="333"/>
      <c r="AD205" s="333"/>
      <c r="AE205" s="333"/>
      <c r="AF205" s="333"/>
      <c r="AG205" s="333"/>
      <c r="AH205" s="333"/>
      <c r="AI205" s="333"/>
      <c r="AJ205" s="333"/>
      <c r="AK205" s="333"/>
      <c r="AL205" s="333"/>
      <c r="AM205" s="333"/>
      <c r="AN205" s="333"/>
      <c r="AO205" s="333"/>
      <c r="AP205" s="333"/>
      <c r="AQ205" s="333"/>
      <c r="AR205" s="333"/>
      <c r="AS205" s="333"/>
      <c r="AT205" s="333"/>
      <c r="AU205" s="333"/>
      <c r="AV205" s="333"/>
      <c r="AW205" s="333"/>
      <c r="AX205" s="333"/>
      <c r="AY205" s="333"/>
      <c r="AZ205" s="333"/>
      <c r="BA205" s="333"/>
      <c r="BB205" s="333"/>
      <c r="BC205" s="333"/>
      <c r="BD205" s="333"/>
      <c r="BE205" s="333"/>
      <c r="BF205" s="333"/>
      <c r="BG205" s="333"/>
      <c r="BH205" s="333"/>
      <c r="BI205" s="333"/>
      <c r="BJ205" s="333"/>
      <c r="BK205" s="333"/>
      <c r="BL205" s="333"/>
      <c r="BM205" s="333"/>
      <c r="BN205" s="333"/>
      <c r="BO205" s="333"/>
      <c r="BP205" s="333"/>
      <c r="BQ205" s="333"/>
      <c r="BR205" s="333"/>
      <c r="BS205" s="333"/>
      <c r="BT205" s="333"/>
      <c r="BU205" s="333"/>
      <c r="BV205" s="333"/>
      <c r="BW205" s="333"/>
      <c r="BX205" s="333"/>
      <c r="BY205" s="333"/>
      <c r="BZ205" s="333"/>
      <c r="CA205" s="333"/>
      <c r="CB205" s="333"/>
      <c r="CC205" s="333"/>
      <c r="CD205" s="333"/>
      <c r="CE205" s="333"/>
      <c r="CF205" s="333"/>
      <c r="CG205" s="333"/>
      <c r="CH205" s="333"/>
      <c r="CI205" s="333"/>
      <c r="CJ205" s="333"/>
      <c r="CK205" s="333"/>
      <c r="CL205" s="333"/>
      <c r="CM205" s="333"/>
      <c r="CN205" s="333"/>
      <c r="CO205" s="333"/>
      <c r="CP205" s="333"/>
      <c r="CQ205" s="333"/>
      <c r="CR205" s="333"/>
      <c r="CS205" s="333"/>
      <c r="CT205" s="333"/>
      <c r="CU205" s="333"/>
      <c r="CV205" s="333"/>
      <c r="CW205" s="333"/>
      <c r="CX205" s="333"/>
      <c r="CY205" s="333"/>
      <c r="CZ205" s="333"/>
      <c r="DA205" s="333"/>
      <c r="DB205" s="333"/>
      <c r="DC205" s="333"/>
      <c r="DD205" s="333"/>
      <c r="DE205" s="333"/>
      <c r="DF205" s="333"/>
      <c r="DG205" s="333"/>
      <c r="DH205" s="333"/>
      <c r="DI205" s="333"/>
      <c r="DJ205" s="333"/>
      <c r="DK205" s="333"/>
      <c r="DL205" s="333"/>
      <c r="DM205" s="333"/>
      <c r="DN205" s="333"/>
      <c r="DO205" s="333"/>
      <c r="DP205" s="333"/>
      <c r="DQ205" s="333"/>
      <c r="DR205" s="333"/>
      <c r="DS205" s="333"/>
      <c r="DT205" s="333"/>
      <c r="DU205" s="375"/>
      <c r="DV205" s="375"/>
      <c r="DW205" s="375"/>
      <c r="DX205" s="375"/>
      <c r="DY205" s="375"/>
      <c r="DZ205" s="375"/>
      <c r="EA205" s="375"/>
      <c r="EB205" s="375"/>
      <c r="EC205" s="375"/>
      <c r="ED205" s="375"/>
      <c r="EE205" s="375"/>
      <c r="EF205" s="375"/>
      <c r="EG205" s="375"/>
      <c r="EH205" s="375"/>
      <c r="EI205" s="375"/>
      <c r="EJ205" s="373"/>
      <c r="EK205" s="373"/>
      <c r="EL205" s="366"/>
      <c r="EM205" s="368"/>
      <c r="EN205" s="364"/>
      <c r="EO205" s="352">
        <f>+SUM(EP203:EP207) - SUM(EQ203:EQ207)</f>
        <v>0</v>
      </c>
      <c r="EP205" s="347"/>
      <c r="EQ205" s="342"/>
      <c r="ER205" s="522"/>
      <c r="ES205" s="916">
        <f>IF(ER205 = "", 0,
IF(AND(EP205 &gt; 0, EQ205 &gt;0), 0, IF(EO203 &lt;&gt; $Z$1,
IF(AND(EP205 &lt;&gt; "", EP205 &lt;&gt; 0), -(EP205 * ER205 * 100),
IF(AND(EQ205 &lt;&gt; "", EQ205 &lt;&gt; 0), (EQ205 * ER205 * 100), 0)),
IF(AND(EP205 &lt;&gt; "", EP205 &lt;&gt; 0), -(EP205 * ER205 * 1),
IF(AND(EQ205 &lt;&gt; "", EQ205 &lt;&gt; 0), (EQ205 * ER205 * 1), 0))  )))</f>
        <v>0</v>
      </c>
      <c r="ET205" s="917"/>
      <c r="EU205" s="918"/>
      <c r="EV205" s="916">
        <f>IF(ER205 = "", 0,
IF(AND(EP205 &gt; 0, EQ205 &gt;0), 0,  IF(EO203 &lt;&gt; $Z$1,
IF(AND(EP205 &lt;&gt; "", EP205 &lt;&gt; 0), -(EP205 * ER205 * 100 * (1 + COMIS_OPCION)),
IF(AND(EQ205 &lt;&gt; "", EQ205 &lt;&gt; 0), (EQ205 * ER205 * 100 * (1 - COMIS_OPCION)), 0)),
IF(AND(EP205 &lt;&gt; "", EP205 &lt;&gt; 0), -(EP205 * ER205 * 1 * (1 + COMIS_ACCION)),
IF(AND(EQ205 &lt;&gt; "", EQ205 &lt;&gt; 0), (EQ205 * ER205 * 1 * (1 - COMIS_ACCION)), 0))  )))</f>
        <v>0</v>
      </c>
      <c r="EW205" s="917"/>
      <c r="EX205" s="917"/>
      <c r="EY205" s="917"/>
      <c r="EZ205" s="917"/>
      <c r="FA205" s="917"/>
      <c r="FB205" s="917"/>
      <c r="FC205" s="917"/>
      <c r="FD205" s="925"/>
      <c r="FE205" s="340"/>
      <c r="FF205" s="340"/>
      <c r="FG205" s="365"/>
      <c r="FH205" s="365"/>
      <c r="FI205" s="354">
        <f>+SUM(FJ203:FJ207) - SUM(FK203:FK207)</f>
        <v>0</v>
      </c>
      <c r="FJ205" s="347"/>
      <c r="FK205" s="342"/>
      <c r="FL205" s="343"/>
      <c r="FM205" s="930">
        <f>IF(FL205 = "", 0,
IF(AND(FJ205 &gt; 0, FK205 &gt;0), 0,
IF(AND(FJ205 &lt;&gt; "", FJ205 &lt;&gt; 0), -(FJ205 * FL205 * 100),
IF(AND(FK205 &lt;&gt; "", FK205 &lt;&gt; 0), (FK205 * FL205 * 100), 0)) ))</f>
        <v>0</v>
      </c>
      <c r="FN205" s="931"/>
      <c r="FO205" s="932"/>
      <c r="FP205" s="930">
        <f>IF(FL205 = "", 0,
IF(AND(FJ205 &gt; 0, FK205 &gt;0), 0,
IF(AND(FJ205 &lt;&gt; "", FJ205 &lt;&gt; 0), -(FJ205 * FL205 * 100 * (1 + COMIS_OPCION)),
IF(AND(FK205 &lt;&gt; "", FK205 &lt;&gt; 0), (FK205 * FL205 * 100 * (1 - COMIS_OPCION)), 0)) ))</f>
        <v>0</v>
      </c>
      <c r="FQ205" s="931"/>
      <c r="FR205" s="931"/>
      <c r="FS205" s="931"/>
      <c r="FT205" s="931"/>
      <c r="FU205" s="931"/>
      <c r="FV205" s="931"/>
      <c r="FW205" s="931"/>
      <c r="FX205" s="933"/>
      <c r="FY205" s="341"/>
      <c r="FZ205" s="341"/>
      <c r="GA205" s="341"/>
      <c r="GB205" s="495">
        <v>0</v>
      </c>
      <c r="GC205" s="495">
        <v>0</v>
      </c>
      <c r="GD205" s="500"/>
      <c r="GE205" s="495">
        <v>0</v>
      </c>
      <c r="GF205" s="495">
        <v>0</v>
      </c>
      <c r="GG205" s="495">
        <v>0</v>
      </c>
      <c r="GH205" s="359"/>
      <c r="GI205" s="359"/>
      <c r="GJ205" s="501"/>
      <c r="GK205" s="495">
        <v>0</v>
      </c>
      <c r="GL205" s="495">
        <v>0</v>
      </c>
      <c r="GM205" s="495">
        <v>0</v>
      </c>
      <c r="GN205" s="359"/>
      <c r="GO205" s="359"/>
      <c r="GP205" s="501"/>
      <c r="GQ205" s="495">
        <v>0</v>
      </c>
      <c r="GR205" s="375"/>
      <c r="GS205" s="333"/>
      <c r="GT205" s="333"/>
      <c r="GU205" s="333"/>
      <c r="GV205" s="333"/>
      <c r="GW205" s="333"/>
      <c r="GX205" s="333"/>
      <c r="GY205" s="333"/>
      <c r="GZ205" s="333"/>
      <c r="HA205" s="333"/>
      <c r="HB205" s="333"/>
      <c r="HC205" s="333"/>
      <c r="HD205" s="333"/>
      <c r="HE205" s="333"/>
      <c r="HF205" s="333"/>
      <c r="HG205" s="331"/>
      <c r="HH205" s="331"/>
      <c r="HI205" s="331"/>
      <c r="HJ205" s="331"/>
      <c r="HK205" s="331"/>
      <c r="HL205" s="331"/>
      <c r="HM205" s="331"/>
      <c r="HN205" s="333"/>
      <c r="HO205" s="333"/>
      <c r="HP205" s="333"/>
      <c r="HQ205" s="333"/>
      <c r="HR205" s="333"/>
      <c r="HS205" s="333"/>
      <c r="HT205" s="333"/>
      <c r="HU205" s="333"/>
      <c r="HV205" s="333"/>
      <c r="HW205" s="333"/>
      <c r="HX205" s="333"/>
      <c r="HY205" s="333"/>
      <c r="HZ205" s="333"/>
      <c r="IA205" s="333"/>
      <c r="IB205" s="333"/>
      <c r="IC205" s="333"/>
      <c r="ID205" s="55"/>
      <c r="IE205" s="47"/>
      <c r="IO205" s="51"/>
    </row>
    <row r="206" spans="13:249" s="142" customFormat="1" ht="15" customHeight="1">
      <c r="M206" s="333"/>
      <c r="N206" s="333"/>
      <c r="O206" s="333"/>
      <c r="P206" s="333"/>
      <c r="Q206" s="333"/>
      <c r="R206" s="333"/>
      <c r="S206" s="333"/>
      <c r="T206" s="333"/>
      <c r="U206" s="333"/>
      <c r="V206" s="333"/>
      <c r="W206" s="333"/>
      <c r="X206" s="333"/>
      <c r="Y206" s="333"/>
      <c r="Z206" s="333"/>
      <c r="AA206" s="333"/>
      <c r="AB206" s="333"/>
      <c r="AC206" s="333"/>
      <c r="AD206" s="333"/>
      <c r="AE206" s="333"/>
      <c r="AF206" s="333"/>
      <c r="AG206" s="333"/>
      <c r="AH206" s="333"/>
      <c r="AI206" s="333"/>
      <c r="AJ206" s="333"/>
      <c r="AK206" s="333"/>
      <c r="AL206" s="333"/>
      <c r="AM206" s="333"/>
      <c r="AN206" s="333"/>
      <c r="AO206" s="333"/>
      <c r="AP206" s="333"/>
      <c r="AQ206" s="333"/>
      <c r="AR206" s="333"/>
      <c r="AS206" s="333"/>
      <c r="AT206" s="333"/>
      <c r="AU206" s="333"/>
      <c r="AV206" s="333"/>
      <c r="AW206" s="333"/>
      <c r="AX206" s="333"/>
      <c r="AY206" s="333"/>
      <c r="AZ206" s="333"/>
      <c r="BA206" s="333"/>
      <c r="BB206" s="333"/>
      <c r="BC206" s="333"/>
      <c r="BD206" s="333"/>
      <c r="BE206" s="333"/>
      <c r="BF206" s="333"/>
      <c r="BG206" s="333"/>
      <c r="BH206" s="333"/>
      <c r="BI206" s="333"/>
      <c r="BJ206" s="333"/>
      <c r="BK206" s="333"/>
      <c r="BL206" s="333"/>
      <c r="BM206" s="333"/>
      <c r="BN206" s="333"/>
      <c r="BO206" s="333"/>
      <c r="BP206" s="333"/>
      <c r="BQ206" s="333"/>
      <c r="BR206" s="333"/>
      <c r="BS206" s="333"/>
      <c r="BT206" s="333"/>
      <c r="BU206" s="333"/>
      <c r="BV206" s="333"/>
      <c r="BW206" s="333"/>
      <c r="BX206" s="333"/>
      <c r="BY206" s="333"/>
      <c r="BZ206" s="333"/>
      <c r="CA206" s="333"/>
      <c r="CB206" s="333"/>
      <c r="CC206" s="333"/>
      <c r="CD206" s="333"/>
      <c r="CE206" s="333"/>
      <c r="CF206" s="333"/>
      <c r="CG206" s="333"/>
      <c r="CH206" s="333"/>
      <c r="CI206" s="333"/>
      <c r="CJ206" s="333"/>
      <c r="CK206" s="333"/>
      <c r="CL206" s="333"/>
      <c r="CM206" s="333"/>
      <c r="CN206" s="333"/>
      <c r="CO206" s="333"/>
      <c r="CP206" s="333"/>
      <c r="CQ206" s="333"/>
      <c r="CR206" s="333"/>
      <c r="CS206" s="333"/>
      <c r="CT206" s="333"/>
      <c r="CU206" s="333"/>
      <c r="CV206" s="333"/>
      <c r="CW206" s="333"/>
      <c r="CX206" s="333"/>
      <c r="CY206" s="333"/>
      <c r="CZ206" s="333"/>
      <c r="DA206" s="333"/>
      <c r="DB206" s="333"/>
      <c r="DC206" s="333"/>
      <c r="DD206" s="333"/>
      <c r="DE206" s="333"/>
      <c r="DF206" s="333"/>
      <c r="DG206" s="333"/>
      <c r="DH206" s="333"/>
      <c r="DI206" s="333"/>
      <c r="DJ206" s="333"/>
      <c r="DK206" s="333"/>
      <c r="DL206" s="333"/>
      <c r="DM206" s="333"/>
      <c r="DN206" s="333"/>
      <c r="DO206" s="333"/>
      <c r="DP206" s="333"/>
      <c r="DQ206" s="333"/>
      <c r="DR206" s="333"/>
      <c r="DS206" s="333"/>
      <c r="DT206" s="333"/>
      <c r="DU206" s="375"/>
      <c r="DV206" s="375"/>
      <c r="DW206" s="375"/>
      <c r="DX206" s="375"/>
      <c r="DY206" s="375"/>
      <c r="DZ206" s="375"/>
      <c r="EA206" s="375"/>
      <c r="EB206" s="375"/>
      <c r="EC206" s="375"/>
      <c r="ED206" s="375"/>
      <c r="EE206" s="375"/>
      <c r="EF206" s="375"/>
      <c r="EG206" s="375"/>
      <c r="EH206" s="375"/>
      <c r="EI206" s="375"/>
      <c r="EJ206" s="373"/>
      <c r="EK206" s="373"/>
      <c r="EL206" s="366"/>
      <c r="EM206" s="368"/>
      <c r="EN206" s="364"/>
      <c r="EO206" s="352">
        <f>IF(EO205=0, 0, SUM(EV203:FD207))</f>
        <v>0</v>
      </c>
      <c r="EP206" s="347"/>
      <c r="EQ206" s="342"/>
      <c r="ER206" s="522"/>
      <c r="ES206" s="916">
        <f>IF(ER206 = "", 0,
IF(AND(EP206 &gt; 0, EQ206 &gt;0), 0, IF(EO203 &lt;&gt; $Z$1,
IF(AND(EP206 &lt;&gt; "", EP206 &lt;&gt; 0), -(EP206 * ER206 * 100),
IF(AND(EQ206 &lt;&gt; "", EQ206 &lt;&gt; 0), (EQ206 * ER206 * 100), 0)),
IF(AND(EP206 &lt;&gt; "", EP206 &lt;&gt; 0), -(EP206 * ER206 * 1),
IF(AND(EQ206 &lt;&gt; "", EQ206 &lt;&gt; 0), (EQ206 * ER206 * 1), 0))  )))</f>
        <v>0</v>
      </c>
      <c r="ET206" s="917"/>
      <c r="EU206" s="918"/>
      <c r="EV206" s="916">
        <f>IF(ER206 = "", 0,
IF(AND(EP206 &gt; 0, EQ206 &gt;0), 0,  IF(EO203 &lt;&gt; $Z$1,
IF(AND(EP206 &lt;&gt; "", EP206 &lt;&gt; 0), -(EP206 * ER206 * 100 * (1 + COMIS_OPCION)),
IF(AND(EQ206 &lt;&gt; "", EQ206 &lt;&gt; 0), (EQ206 * ER206 * 100 * (1 - COMIS_OPCION)), 0)),
IF(AND(EP206 &lt;&gt; "", EP206 &lt;&gt; 0), -(EP206 * ER206 * 1 * (1 + COMIS_ACCION)),
IF(AND(EQ206 &lt;&gt; "", EQ206 &lt;&gt; 0), (EQ206 * ER206 * 1 * (1 - COMIS_ACCION)), 0))  )))</f>
        <v>0</v>
      </c>
      <c r="EW206" s="917"/>
      <c r="EX206" s="917"/>
      <c r="EY206" s="917"/>
      <c r="EZ206" s="917"/>
      <c r="FA206" s="917"/>
      <c r="FB206" s="917"/>
      <c r="FC206" s="917"/>
      <c r="FD206" s="925"/>
      <c r="FE206" s="340"/>
      <c r="FF206" s="340"/>
      <c r="FG206" s="365"/>
      <c r="FH206" s="365"/>
      <c r="FI206" s="354">
        <f>IF(FI205=0, 0, SUM(FP203:FX207))</f>
        <v>0</v>
      </c>
      <c r="FJ206" s="347"/>
      <c r="FK206" s="342"/>
      <c r="FL206" s="343"/>
      <c r="FM206" s="930">
        <f>IF(FL206 = "", 0,
IF(AND(FJ206 &gt; 0, FK206 &gt;0), 0,
IF(AND(FJ206 &lt;&gt; "", FJ206 &lt;&gt; 0), -(FJ206 * FL206 * 100),
IF(AND(FK206 &lt;&gt; "", FK206 &lt;&gt; 0), (FK206 * FL206 * 100), 0)) ))</f>
        <v>0</v>
      </c>
      <c r="FN206" s="931"/>
      <c r="FO206" s="932"/>
      <c r="FP206" s="930">
        <f>IF(FL206 = "", 0,
IF(AND(FJ206 &gt; 0, FK206 &gt;0), 0,
IF(AND(FJ206 &lt;&gt; "", FJ206 &lt;&gt; 0), -(FJ206 * FL206 * 100 * (1 + COMIS_OPCION)),
IF(AND(FK206 &lt;&gt; "", FK206 &lt;&gt; 0), (FK206 * FL206 * 100 * (1 - COMIS_OPCION)), 0)) ))</f>
        <v>0</v>
      </c>
      <c r="FQ206" s="931"/>
      <c r="FR206" s="931"/>
      <c r="FS206" s="931"/>
      <c r="FT206" s="931"/>
      <c r="FU206" s="931"/>
      <c r="FV206" s="931"/>
      <c r="FW206" s="931"/>
      <c r="FX206" s="933"/>
      <c r="FY206" s="341"/>
      <c r="FZ206" s="341"/>
      <c r="GA206" s="341"/>
      <c r="GB206" s="495">
        <v>0</v>
      </c>
      <c r="GC206" s="495">
        <v>0</v>
      </c>
      <c r="GD206" s="500"/>
      <c r="GE206" s="495">
        <v>0</v>
      </c>
      <c r="GF206" s="495">
        <v>0</v>
      </c>
      <c r="GG206" s="495">
        <v>0</v>
      </c>
      <c r="GH206" s="359"/>
      <c r="GI206" s="359"/>
      <c r="GJ206" s="501"/>
      <c r="GK206" s="495">
        <v>0</v>
      </c>
      <c r="GL206" s="495">
        <v>0</v>
      </c>
      <c r="GM206" s="495">
        <v>0</v>
      </c>
      <c r="GN206" s="359"/>
      <c r="GO206" s="359"/>
      <c r="GP206" s="501"/>
      <c r="GQ206" s="495">
        <v>0</v>
      </c>
      <c r="GR206" s="375"/>
      <c r="GS206" s="333"/>
      <c r="GT206" s="333"/>
      <c r="GU206" s="333"/>
      <c r="GV206" s="333"/>
      <c r="GW206" s="333"/>
      <c r="GX206" s="333"/>
      <c r="GY206" s="333"/>
      <c r="GZ206" s="333"/>
      <c r="HA206" s="333"/>
      <c r="HB206" s="333"/>
      <c r="HC206" s="333"/>
      <c r="HD206" s="333"/>
      <c r="HE206" s="333"/>
      <c r="HF206" s="333"/>
      <c r="HG206" s="331"/>
      <c r="HH206" s="331"/>
      <c r="HI206" s="331"/>
      <c r="HJ206" s="331"/>
      <c r="HK206" s="331"/>
      <c r="HL206" s="331"/>
      <c r="HM206" s="331"/>
      <c r="HN206" s="333"/>
      <c r="HO206" s="333"/>
      <c r="HP206" s="333"/>
      <c r="HQ206" s="333"/>
      <c r="HR206" s="333"/>
      <c r="HS206" s="333"/>
      <c r="HT206" s="333"/>
      <c r="HU206" s="333"/>
      <c r="HV206" s="333"/>
      <c r="HW206" s="333"/>
      <c r="HX206" s="333"/>
      <c r="HY206" s="333"/>
      <c r="HZ206" s="333"/>
      <c r="IA206" s="333"/>
      <c r="IB206" s="333"/>
      <c r="IC206" s="333"/>
      <c r="ID206" s="55"/>
      <c r="IE206" s="47"/>
      <c r="IO206" s="51"/>
    </row>
    <row r="207" spans="13:249" s="142" customFormat="1" ht="15" customHeight="1" thickBot="1">
      <c r="M207" s="333"/>
      <c r="N207" s="333"/>
      <c r="O207" s="333"/>
      <c r="P207" s="333"/>
      <c r="Q207" s="333"/>
      <c r="R207" s="333"/>
      <c r="S207" s="333"/>
      <c r="T207" s="333"/>
      <c r="U207" s="333"/>
      <c r="V207" s="333"/>
      <c r="W207" s="333"/>
      <c r="X207" s="333"/>
      <c r="Y207" s="333"/>
      <c r="Z207" s="333"/>
      <c r="AA207" s="333"/>
      <c r="AB207" s="333"/>
      <c r="AC207" s="333"/>
      <c r="AD207" s="333"/>
      <c r="AE207" s="333"/>
      <c r="AF207" s="333"/>
      <c r="AG207" s="333"/>
      <c r="AH207" s="333"/>
      <c r="AI207" s="333"/>
      <c r="AJ207" s="333"/>
      <c r="AK207" s="333"/>
      <c r="AL207" s="333"/>
      <c r="AM207" s="333"/>
      <c r="AN207" s="333"/>
      <c r="AO207" s="333"/>
      <c r="AP207" s="333"/>
      <c r="AQ207" s="333"/>
      <c r="AR207" s="333"/>
      <c r="AS207" s="333"/>
      <c r="AT207" s="333"/>
      <c r="AU207" s="333"/>
      <c r="AV207" s="333"/>
      <c r="AW207" s="333"/>
      <c r="AX207" s="333"/>
      <c r="AY207" s="333"/>
      <c r="AZ207" s="333"/>
      <c r="BA207" s="333"/>
      <c r="BB207" s="333"/>
      <c r="BC207" s="333"/>
      <c r="BD207" s="333"/>
      <c r="BE207" s="333"/>
      <c r="BF207" s="333"/>
      <c r="BG207" s="333"/>
      <c r="BH207" s="333"/>
      <c r="BI207" s="333"/>
      <c r="BJ207" s="333"/>
      <c r="BK207" s="333"/>
      <c r="BL207" s="333"/>
      <c r="BM207" s="333"/>
      <c r="BN207" s="333"/>
      <c r="BO207" s="333"/>
      <c r="BP207" s="333"/>
      <c r="BQ207" s="333"/>
      <c r="BR207" s="333"/>
      <c r="BS207" s="333"/>
      <c r="BT207" s="333"/>
      <c r="BU207" s="333"/>
      <c r="BV207" s="333"/>
      <c r="BW207" s="333"/>
      <c r="BX207" s="333"/>
      <c r="BY207" s="333"/>
      <c r="BZ207" s="333"/>
      <c r="CA207" s="333"/>
      <c r="CB207" s="333"/>
      <c r="CC207" s="333"/>
      <c r="CD207" s="333"/>
      <c r="CE207" s="333"/>
      <c r="CF207" s="333"/>
      <c r="CG207" s="333"/>
      <c r="CH207" s="333"/>
      <c r="CI207" s="333"/>
      <c r="CJ207" s="333"/>
      <c r="CK207" s="333"/>
      <c r="CL207" s="333"/>
      <c r="CM207" s="333"/>
      <c r="CN207" s="333"/>
      <c r="CO207" s="333"/>
      <c r="CP207" s="333"/>
      <c r="CQ207" s="333"/>
      <c r="CR207" s="333"/>
      <c r="CS207" s="333"/>
      <c r="CT207" s="333"/>
      <c r="CU207" s="333"/>
      <c r="CV207" s="333"/>
      <c r="CW207" s="333"/>
      <c r="CX207" s="333"/>
      <c r="CY207" s="333"/>
      <c r="CZ207" s="333"/>
      <c r="DA207" s="333"/>
      <c r="DB207" s="333"/>
      <c r="DC207" s="333"/>
      <c r="DD207" s="333"/>
      <c r="DE207" s="333"/>
      <c r="DF207" s="333"/>
      <c r="DG207" s="333"/>
      <c r="DH207" s="333"/>
      <c r="DI207" s="333"/>
      <c r="DJ207" s="333"/>
      <c r="DK207" s="333"/>
      <c r="DL207" s="333"/>
      <c r="DM207" s="333"/>
      <c r="DN207" s="333"/>
      <c r="DO207" s="333"/>
      <c r="DP207" s="333"/>
      <c r="DQ207" s="333"/>
      <c r="DR207" s="333"/>
      <c r="DS207" s="333"/>
      <c r="DT207" s="333"/>
      <c r="DU207" s="375"/>
      <c r="DV207" s="375"/>
      <c r="DW207" s="375"/>
      <c r="DX207" s="375"/>
      <c r="DY207" s="375"/>
      <c r="DZ207" s="375"/>
      <c r="EA207" s="375"/>
      <c r="EB207" s="375"/>
      <c r="EC207" s="375"/>
      <c r="ED207" s="375"/>
      <c r="EE207" s="375"/>
      <c r="EF207" s="375"/>
      <c r="EG207" s="375"/>
      <c r="EH207" s="375"/>
      <c r="EI207" s="375"/>
      <c r="EJ207" s="373"/>
      <c r="EK207" s="373"/>
      <c r="EL207" s="366"/>
      <c r="EM207" s="368"/>
      <c r="EN207" s="364"/>
      <c r="EO207" s="353">
        <f>+IF(EO205= 0, 0, GG203)</f>
        <v>0</v>
      </c>
      <c r="EP207" s="350"/>
      <c r="EQ207" s="344"/>
      <c r="ER207" s="523"/>
      <c r="ES207" s="921">
        <f>IF(ER207 = "", 0,
IF(AND(EP207 &gt; 0, EQ207 &gt;0), 0, IF(EO203 &lt;&gt; $Z$1,
IF(AND(EP207 &lt;&gt; "", EP207 &lt;&gt; 0), -(EP207 * ER207 * 100),
IF(AND(EQ207 &lt;&gt; "", EQ207 &lt;&gt; 0), (EQ207 * ER207 * 100), 0)),
IF(AND(EP207 &lt;&gt; "", EP207 &lt;&gt; 0), -(EP207 * ER207 * 1),
IF(AND(EQ207 &lt;&gt; "", EQ207 &lt;&gt; 0), (EQ207 * ER207 * 1), 0))  )))</f>
        <v>0</v>
      </c>
      <c r="ET207" s="922"/>
      <c r="EU207" s="924"/>
      <c r="EV207" s="921">
        <f>IF(ER207 = "", 0,
IF(AND(EP207 &gt; 0, EQ207 &gt;0), 0,  IF(EO203 &lt;&gt; $Z$1,
IF(AND(EP207 &lt;&gt; "", EP207 &lt;&gt; 0), -(EP207 * ER207 * 100 * (1 + COMIS_OPCION)),
IF(AND(EQ207 &lt;&gt; "", EQ207 &lt;&gt; 0), (EQ207 * ER207 * 100 * (1 - COMIS_OPCION)), 0)),
IF(AND(EP207 &lt;&gt; "", EP207 &lt;&gt; 0), -(EP207 * ER207 * 1 * (1 + COMIS_ACCION)),
IF(AND(EQ207 &lt;&gt; "", EQ207 &lt;&gt; 0), (EQ207 * ER207 * 1 * (1 - COMIS_ACCION)), 0))  )))</f>
        <v>0</v>
      </c>
      <c r="EW207" s="922"/>
      <c r="EX207" s="922"/>
      <c r="EY207" s="922"/>
      <c r="EZ207" s="922"/>
      <c r="FA207" s="922"/>
      <c r="FB207" s="922"/>
      <c r="FC207" s="922"/>
      <c r="FD207" s="923"/>
      <c r="FE207" s="340"/>
      <c r="FF207" s="340"/>
      <c r="FG207" s="365"/>
      <c r="FH207" s="365"/>
      <c r="FI207" s="349">
        <f>+IF(FI205= 0, 0, GQ203)</f>
        <v>0</v>
      </c>
      <c r="FJ207" s="348"/>
      <c r="FK207" s="345"/>
      <c r="FL207" s="346"/>
      <c r="FM207" s="937">
        <f>IF(FL207 = "", 0,
IF(AND(FJ207 &gt; 0, FK207 &gt;0), 0,
IF(AND(FJ207 &lt;&gt; "", FJ207 &lt;&gt; 0), -(FJ207 * FL207 * 100),
IF(AND(FK207 &lt;&gt; "", FK207 &lt;&gt; 0), (FK207 * FL207 * 100), 0)) ))</f>
        <v>0</v>
      </c>
      <c r="FN207" s="938"/>
      <c r="FO207" s="939"/>
      <c r="FP207" s="937">
        <f>IF(FL207 = "", 0,
IF(AND(FJ207 &gt; 0, FK207 &gt;0), 0,
IF(AND(FJ207 &lt;&gt; "", FJ207 &lt;&gt; 0), -(FJ207 * FL207 * 100 * (1 + COMIS_OPCION)),
IF(AND(FK207 &lt;&gt; "", FK207 &lt;&gt; 0), (FK207 * FL207 * 100 * (1 - COMIS_OPCION)), 0)) ))</f>
        <v>0</v>
      </c>
      <c r="FQ207" s="938"/>
      <c r="FR207" s="938"/>
      <c r="FS207" s="938"/>
      <c r="FT207" s="938"/>
      <c r="FU207" s="938"/>
      <c r="FV207" s="938"/>
      <c r="FW207" s="938"/>
      <c r="FX207" s="969"/>
      <c r="FY207" s="341"/>
      <c r="FZ207" s="341"/>
      <c r="GA207" s="341"/>
      <c r="GB207" s="495">
        <v>0</v>
      </c>
      <c r="GC207" s="495">
        <v>0</v>
      </c>
      <c r="GD207" s="500"/>
      <c r="GE207" s="495">
        <v>0</v>
      </c>
      <c r="GF207" s="495">
        <v>0</v>
      </c>
      <c r="GG207" s="495">
        <v>0</v>
      </c>
      <c r="GH207" s="359"/>
      <c r="GI207" s="359"/>
      <c r="GJ207" s="501"/>
      <c r="GK207" s="495">
        <v>0</v>
      </c>
      <c r="GL207" s="495">
        <v>0</v>
      </c>
      <c r="GM207" s="495">
        <v>0</v>
      </c>
      <c r="GN207" s="359"/>
      <c r="GO207" s="359"/>
      <c r="GP207" s="501"/>
      <c r="GQ207" s="495">
        <v>0</v>
      </c>
      <c r="GR207" s="375"/>
      <c r="GS207" s="333"/>
      <c r="GT207" s="333"/>
      <c r="GU207" s="333"/>
      <c r="GV207" s="333"/>
      <c r="GW207" s="333"/>
      <c r="GX207" s="333"/>
      <c r="GY207" s="333"/>
      <c r="GZ207" s="333"/>
      <c r="HA207" s="333"/>
      <c r="HB207" s="333"/>
      <c r="HC207" s="333"/>
      <c r="HD207" s="333"/>
      <c r="HE207" s="333"/>
      <c r="HF207" s="333"/>
      <c r="HG207" s="331"/>
      <c r="HH207" s="331"/>
      <c r="HI207" s="331"/>
      <c r="HJ207" s="331"/>
      <c r="HK207" s="331"/>
      <c r="HL207" s="331"/>
      <c r="HM207" s="331"/>
      <c r="HN207" s="333"/>
      <c r="HO207" s="333"/>
      <c r="HP207" s="333"/>
      <c r="HQ207" s="333"/>
      <c r="HR207" s="333"/>
      <c r="HS207" s="333"/>
      <c r="HT207" s="333"/>
      <c r="HU207" s="333"/>
      <c r="HV207" s="333"/>
      <c r="HW207" s="333"/>
      <c r="HX207" s="333"/>
      <c r="HY207" s="333"/>
      <c r="HZ207" s="333"/>
      <c r="IA207" s="333"/>
      <c r="IB207" s="333"/>
      <c r="IC207" s="333"/>
      <c r="ID207" s="55"/>
      <c r="IE207" s="47"/>
      <c r="IO207" s="51"/>
    </row>
    <row r="208" spans="13:249" s="142" customFormat="1" ht="15" customHeight="1" thickBot="1">
      <c r="M208" s="333"/>
      <c r="N208" s="333"/>
      <c r="O208" s="333"/>
      <c r="P208" s="333"/>
      <c r="Q208" s="333"/>
      <c r="R208" s="333"/>
      <c r="S208" s="333"/>
      <c r="T208" s="333"/>
      <c r="U208" s="333"/>
      <c r="V208" s="333"/>
      <c r="W208" s="333"/>
      <c r="X208" s="333"/>
      <c r="Y208" s="333"/>
      <c r="Z208" s="333"/>
      <c r="AA208" s="333"/>
      <c r="AB208" s="333"/>
      <c r="AC208" s="333"/>
      <c r="AD208" s="333"/>
      <c r="AE208" s="333"/>
      <c r="AF208" s="333"/>
      <c r="AG208" s="333"/>
      <c r="AH208" s="333"/>
      <c r="AI208" s="333"/>
      <c r="AJ208" s="333"/>
      <c r="AK208" s="333"/>
      <c r="AL208" s="333"/>
      <c r="AM208" s="333"/>
      <c r="AN208" s="333"/>
      <c r="AO208" s="333"/>
      <c r="AP208" s="333"/>
      <c r="AQ208" s="333"/>
      <c r="AR208" s="333"/>
      <c r="AS208" s="333"/>
      <c r="AT208" s="333"/>
      <c r="AU208" s="333"/>
      <c r="AV208" s="333"/>
      <c r="AW208" s="333"/>
      <c r="AX208" s="333"/>
      <c r="AY208" s="333"/>
      <c r="AZ208" s="333"/>
      <c r="BA208" s="333"/>
      <c r="BB208" s="333"/>
      <c r="BC208" s="333"/>
      <c r="BD208" s="333"/>
      <c r="BE208" s="333"/>
      <c r="BF208" s="333"/>
      <c r="BG208" s="333"/>
      <c r="BH208" s="333"/>
      <c r="BI208" s="333"/>
      <c r="BJ208" s="333"/>
      <c r="BK208" s="333"/>
      <c r="BL208" s="333"/>
      <c r="BM208" s="333"/>
      <c r="BN208" s="333"/>
      <c r="BO208" s="333"/>
      <c r="BP208" s="333"/>
      <c r="BQ208" s="333"/>
      <c r="BR208" s="333"/>
      <c r="BS208" s="333"/>
      <c r="BT208" s="333"/>
      <c r="BU208" s="333"/>
      <c r="BV208" s="333"/>
      <c r="BW208" s="333"/>
      <c r="BX208" s="333"/>
      <c r="BY208" s="333"/>
      <c r="BZ208" s="333"/>
      <c r="CA208" s="333"/>
      <c r="CB208" s="333"/>
      <c r="CC208" s="333"/>
      <c r="CD208" s="333"/>
      <c r="CE208" s="333"/>
      <c r="CF208" s="333"/>
      <c r="CG208" s="333"/>
      <c r="CH208" s="333"/>
      <c r="CI208" s="333"/>
      <c r="CJ208" s="333"/>
      <c r="CK208" s="333"/>
      <c r="CL208" s="333"/>
      <c r="CM208" s="333"/>
      <c r="CN208" s="333"/>
      <c r="CO208" s="333"/>
      <c r="CP208" s="333"/>
      <c r="CQ208" s="333"/>
      <c r="CR208" s="333"/>
      <c r="CS208" s="333"/>
      <c r="CT208" s="333"/>
      <c r="CU208" s="333"/>
      <c r="CV208" s="333"/>
      <c r="CW208" s="333"/>
      <c r="CX208" s="333"/>
      <c r="CY208" s="333"/>
      <c r="CZ208" s="333"/>
      <c r="DA208" s="333"/>
      <c r="DB208" s="333"/>
      <c r="DC208" s="333"/>
      <c r="DD208" s="333"/>
      <c r="DE208" s="333"/>
      <c r="DF208" s="333"/>
      <c r="DG208" s="333"/>
      <c r="DH208" s="333"/>
      <c r="DI208" s="333"/>
      <c r="DJ208" s="333"/>
      <c r="DK208" s="333"/>
      <c r="DL208" s="333"/>
      <c r="DM208" s="333"/>
      <c r="DN208" s="333"/>
      <c r="DO208" s="333"/>
      <c r="DP208" s="333"/>
      <c r="DQ208" s="333"/>
      <c r="DR208" s="333"/>
      <c r="DS208" s="333"/>
      <c r="DT208" s="333"/>
      <c r="DU208" s="375"/>
      <c r="DV208" s="375"/>
      <c r="DW208" s="375"/>
      <c r="DX208" s="375"/>
      <c r="DY208" s="375"/>
      <c r="DZ208" s="375"/>
      <c r="EA208" s="375"/>
      <c r="EB208" s="375"/>
      <c r="EC208" s="375"/>
      <c r="ED208" s="375"/>
      <c r="EE208" s="375"/>
      <c r="EF208" s="375"/>
      <c r="EG208" s="375"/>
      <c r="EH208" s="375"/>
      <c r="EI208" s="375"/>
      <c r="EJ208" s="373"/>
      <c r="EK208" s="373"/>
      <c r="EL208" s="366"/>
      <c r="EM208" s="366"/>
      <c r="EN208" s="364"/>
      <c r="EO208" s="363"/>
      <c r="EP208" s="340"/>
      <c r="EQ208" s="340"/>
      <c r="ER208" s="340"/>
      <c r="ES208" s="363"/>
      <c r="ET208" s="363"/>
      <c r="EU208" s="340"/>
      <c r="EV208" s="340"/>
      <c r="EW208" s="340"/>
      <c r="EX208" s="340"/>
      <c r="EY208" s="340"/>
      <c r="EZ208" s="340"/>
      <c r="FA208" s="340"/>
      <c r="FB208" s="402"/>
      <c r="FC208" s="402"/>
      <c r="FD208" s="340"/>
      <c r="FE208" s="340"/>
      <c r="FF208" s="340"/>
      <c r="FG208" s="364"/>
      <c r="FH208" s="364"/>
      <c r="FI208" s="363"/>
      <c r="FJ208" s="360"/>
      <c r="FK208" s="360"/>
      <c r="FL208" s="340"/>
      <c r="FM208" s="967"/>
      <c r="FN208" s="967"/>
      <c r="FO208" s="967"/>
      <c r="FP208" s="968"/>
      <c r="FQ208" s="968"/>
      <c r="FR208" s="968"/>
      <c r="FS208" s="968"/>
      <c r="FT208" s="968"/>
      <c r="FU208" s="968"/>
      <c r="FV208" s="968"/>
      <c r="FW208" s="968"/>
      <c r="FX208" s="968"/>
      <c r="FY208" s="341"/>
      <c r="FZ208" s="341"/>
      <c r="GA208" s="341"/>
      <c r="GB208" s="495">
        <v>0</v>
      </c>
      <c r="GC208" s="495">
        <v>0</v>
      </c>
      <c r="GD208" s="500"/>
      <c r="GE208" s="495">
        <v>0</v>
      </c>
      <c r="GF208" s="495">
        <v>0</v>
      </c>
      <c r="GG208" s="495">
        <v>0</v>
      </c>
      <c r="GH208" s="359"/>
      <c r="GI208" s="359"/>
      <c r="GJ208" s="501"/>
      <c r="GK208" s="495">
        <v>0</v>
      </c>
      <c r="GL208" s="495">
        <v>0</v>
      </c>
      <c r="GM208" s="495">
        <v>0</v>
      </c>
      <c r="GN208" s="359"/>
      <c r="GO208" s="359"/>
      <c r="GP208" s="501"/>
      <c r="GQ208" s="495">
        <v>0</v>
      </c>
      <c r="GR208" s="375"/>
      <c r="GS208" s="333"/>
      <c r="GT208" s="333"/>
      <c r="GU208" s="333"/>
      <c r="GV208" s="333"/>
      <c r="GW208" s="333"/>
      <c r="GX208" s="333"/>
      <c r="GY208" s="333"/>
      <c r="GZ208" s="333"/>
      <c r="HA208" s="333"/>
      <c r="HB208" s="333"/>
      <c r="HC208" s="333"/>
      <c r="HD208" s="333"/>
      <c r="HE208" s="333"/>
      <c r="HF208" s="333"/>
      <c r="HG208" s="331"/>
      <c r="HH208" s="331"/>
      <c r="HI208" s="331"/>
      <c r="HJ208" s="331"/>
      <c r="HK208" s="331"/>
      <c r="HL208" s="331"/>
      <c r="HM208" s="331"/>
      <c r="HN208" s="333"/>
      <c r="HO208" s="333"/>
      <c r="HP208" s="333"/>
      <c r="HQ208" s="333"/>
      <c r="HR208" s="333"/>
      <c r="HS208" s="333"/>
      <c r="HT208" s="333"/>
      <c r="HU208" s="333"/>
      <c r="HV208" s="333"/>
      <c r="HW208" s="333"/>
      <c r="HX208" s="333"/>
      <c r="HY208" s="333"/>
      <c r="HZ208" s="333"/>
      <c r="IA208" s="333"/>
      <c r="IB208" s="333"/>
      <c r="IC208" s="333"/>
      <c r="ID208" s="55"/>
      <c r="IE208" s="47"/>
      <c r="IO208" s="51"/>
    </row>
    <row r="209" spans="13:249" s="142" customFormat="1" ht="15" customHeight="1">
      <c r="M209" s="333"/>
      <c r="N209" s="333"/>
      <c r="O209" s="333"/>
      <c r="P209" s="333"/>
      <c r="Q209" s="333"/>
      <c r="R209" s="333"/>
      <c r="S209" s="333"/>
      <c r="T209" s="333"/>
      <c r="U209" s="333"/>
      <c r="V209" s="333"/>
      <c r="W209" s="333"/>
      <c r="X209" s="333"/>
      <c r="Y209" s="333"/>
      <c r="Z209" s="333"/>
      <c r="AA209" s="333"/>
      <c r="AB209" s="333"/>
      <c r="AC209" s="333"/>
      <c r="AD209" s="333"/>
      <c r="AE209" s="333"/>
      <c r="AF209" s="333"/>
      <c r="AG209" s="333"/>
      <c r="AH209" s="333"/>
      <c r="AI209" s="333"/>
      <c r="AJ209" s="333"/>
      <c r="AK209" s="333"/>
      <c r="AL209" s="333"/>
      <c r="AM209" s="333"/>
      <c r="AN209" s="333"/>
      <c r="AO209" s="333"/>
      <c r="AP209" s="333"/>
      <c r="AQ209" s="333"/>
      <c r="AR209" s="333"/>
      <c r="AS209" s="333"/>
      <c r="AT209" s="333"/>
      <c r="AU209" s="333"/>
      <c r="AV209" s="333"/>
      <c r="AW209" s="333"/>
      <c r="AX209" s="333"/>
      <c r="AY209" s="333"/>
      <c r="AZ209" s="333"/>
      <c r="BA209" s="333"/>
      <c r="BB209" s="333"/>
      <c r="BC209" s="333"/>
      <c r="BD209" s="333"/>
      <c r="BE209" s="333"/>
      <c r="BF209" s="333"/>
      <c r="BG209" s="333"/>
      <c r="BH209" s="333"/>
      <c r="BI209" s="333"/>
      <c r="BJ209" s="333"/>
      <c r="BK209" s="333"/>
      <c r="BL209" s="333"/>
      <c r="BM209" s="333"/>
      <c r="BN209" s="333"/>
      <c r="BO209" s="333"/>
      <c r="BP209" s="333"/>
      <c r="BQ209" s="333"/>
      <c r="BR209" s="333"/>
      <c r="BS209" s="333"/>
      <c r="BT209" s="333"/>
      <c r="BU209" s="333"/>
      <c r="BV209" s="333"/>
      <c r="BW209" s="333"/>
      <c r="BX209" s="333"/>
      <c r="BY209" s="333"/>
      <c r="BZ209" s="333"/>
      <c r="CA209" s="333"/>
      <c r="CB209" s="333"/>
      <c r="CC209" s="333"/>
      <c r="CD209" s="333"/>
      <c r="CE209" s="333"/>
      <c r="CF209" s="333"/>
      <c r="CG209" s="333"/>
      <c r="CH209" s="333"/>
      <c r="CI209" s="333"/>
      <c r="CJ209" s="333"/>
      <c r="CK209" s="333"/>
      <c r="CL209" s="333"/>
      <c r="CM209" s="333"/>
      <c r="CN209" s="333"/>
      <c r="CO209" s="333"/>
      <c r="CP209" s="333"/>
      <c r="CQ209" s="333"/>
      <c r="CR209" s="333"/>
      <c r="CS209" s="333"/>
      <c r="CT209" s="333"/>
      <c r="CU209" s="333"/>
      <c r="CV209" s="333"/>
      <c r="CW209" s="333"/>
      <c r="CX209" s="333"/>
      <c r="CY209" s="333"/>
      <c r="CZ209" s="333"/>
      <c r="DA209" s="333"/>
      <c r="DB209" s="333"/>
      <c r="DC209" s="333"/>
      <c r="DD209" s="333"/>
      <c r="DE209" s="333"/>
      <c r="DF209" s="333"/>
      <c r="DG209" s="333"/>
      <c r="DH209" s="333"/>
      <c r="DI209" s="333"/>
      <c r="DJ209" s="333"/>
      <c r="DK209" s="333"/>
      <c r="DL209" s="333"/>
      <c r="DM209" s="333"/>
      <c r="DN209" s="333"/>
      <c r="DO209" s="333"/>
      <c r="DP209" s="333"/>
      <c r="DQ209" s="333"/>
      <c r="DR209" s="333"/>
      <c r="DS209" s="333"/>
      <c r="DT209" s="333"/>
      <c r="DU209" s="375"/>
      <c r="DV209" s="375"/>
      <c r="DW209" s="375"/>
      <c r="DX209" s="375"/>
      <c r="DY209" s="375"/>
      <c r="DZ209" s="375"/>
      <c r="EA209" s="375"/>
      <c r="EB209" s="375"/>
      <c r="EC209" s="375"/>
      <c r="ED209" s="375"/>
      <c r="EE209" s="375"/>
      <c r="EF209" s="375"/>
      <c r="EG209" s="375"/>
      <c r="EH209" s="375"/>
      <c r="EI209" s="375"/>
      <c r="EJ209" s="373"/>
      <c r="EK209" s="373"/>
      <c r="EL209" s="366"/>
      <c r="EM209" s="366"/>
      <c r="EN209" s="364">
        <f>+EN203+1</f>
        <v>27</v>
      </c>
      <c r="EO209" s="356">
        <f>+VLOOKUP(EN209, PRECIOS_EJERCICIOS,  2,FALSE)</f>
        <v>320</v>
      </c>
      <c r="EP209" s="513" t="str">
        <f>+IF($AQ$49 = FALSE, "",
IF(VLOOKUP(EO209, basesCantPrimaBrutoRes, 2,FALSE) &gt;= 0, VLOOKUP(EO209, basesCantPrimaBrutoRes, 2,FALSE), 0))</f>
        <v/>
      </c>
      <c r="EQ209" s="514" t="str">
        <f>+IF($AQ$49 = FALSE, "",
IF(VLOOKUP(EO209, basesCantPrimaBrutoRes, 2,FALSE) &lt; 0, -VLOOKUP(EO209, basesCantPrimaBrutoRes, 2,FALSE), 0))</f>
        <v/>
      </c>
      <c r="ER209" s="521" t="str">
        <f>IF($AQ$49 = FALSE, "",
VLOOKUP(EO209, basesCantPrimaBrutoRes, 4,FALSE))</f>
        <v/>
      </c>
      <c r="ES209" s="926">
        <f>IF(ER209 = "", 0,
IF(AND(EP209 &gt; 0, EQ209 &gt;0), 0, IF(EO209 &lt;&gt; $Z$1,
IF(AND(EP209 &lt;&gt; "", EP209 &lt;&gt; 0), -(EP209 * ER209 * 100),
IF(AND(EQ209 &lt;&gt; "", EQ209 &lt;&gt; 0), (EQ209 * ER209 * 100), 0)),
IF(AND(EP209 &lt;&gt; "", EP209 &lt;&gt; 0), -(EP209 * ER209 * 1),
IF(AND(EQ209 &lt;&gt; "", EQ209 &lt;&gt; 0), (EQ209 * ER209 * 1), 0))  )))</f>
        <v>0</v>
      </c>
      <c r="ET209" s="927"/>
      <c r="EU209" s="928"/>
      <c r="EV209" s="926">
        <f>IF(ER209 = "", 0,
IF(AND(EP209 &gt; 0, EQ209 &gt;0), 0,  IF(EO209 &lt;&gt; $Z$1,
IF(AND(EP209 &lt;&gt; "", EP209 &lt;&gt; 0), -(EP209 * ER209 * 100 * (1 + COMIS_OPCION)),
IF(AND(EQ209 &lt;&gt; "", EQ209 &lt;&gt; 0), (EQ209 * ER209 * 100 * (1 - COMIS_OPCION)), 0)),
IF(AND(EP209 &lt;&gt; "", EP209 &lt;&gt; 0), -(EP209 * ER209 * 1 * (1 + COMIS_ACCION)),
IF(AND(EQ209 &lt;&gt; "", EQ209 &lt;&gt; 0), (EQ209 * ER209 * 1 * (1 - COMIS_ACCION)), 0))  )))</f>
        <v>0</v>
      </c>
      <c r="EW209" s="927"/>
      <c r="EX209" s="927"/>
      <c r="EY209" s="927"/>
      <c r="EZ209" s="927"/>
      <c r="FA209" s="927"/>
      <c r="FB209" s="927"/>
      <c r="FC209" s="927"/>
      <c r="FD209" s="929"/>
      <c r="FE209" s="340"/>
      <c r="FF209" s="340"/>
      <c r="FG209" s="364"/>
      <c r="FH209" s="364">
        <f>+FH203+1</f>
        <v>27</v>
      </c>
      <c r="FI209" s="357">
        <f>+VLOOKUP(FH209, PRECIOS_EJERCICIOS,  2,FALSE)</f>
        <v>320</v>
      </c>
      <c r="FJ209" s="515" t="str">
        <f>+IF($AQ$49 = FALSE, "",
IF(VLOOKUP(EO209, basesCantPrimaBrutoRes, 5,FALSE) &gt;= 0, VLOOKUP(EO209, basesCantPrimaBrutoRes, 5,FALSE), 0))</f>
        <v/>
      </c>
      <c r="FK209" s="516" t="str">
        <f>+IF($AQ$49 = FALSE, "",
IF(VLOOKUP(EO209, basesCantPrimaBrutoRes, 5,FALSE) &lt; 0, -VLOOKUP(EO209, basesCantPrimaBrutoRes, 5,FALSE), 0))</f>
        <v/>
      </c>
      <c r="FL209" s="517" t="str">
        <f>IF($AQ$49 = FALSE, "",
VLOOKUP(EO209, basesCantPrimaBrutoRes, 7,FALSE))</f>
        <v/>
      </c>
      <c r="FM209" s="934">
        <f>IF(FL209 = "", 0,
IF(AND(FJ209 &gt; 0, FK209 &gt;0), 0,
IF(AND(FJ209 &lt;&gt; "", FJ209 &lt;&gt; 0), -(FJ209 * FL209 * 100),
IF(AND(FK209 &lt;&gt; "", FK209 &lt;&gt; 0), (FK209 * FL209 * 100), 0)) ))</f>
        <v>0</v>
      </c>
      <c r="FN209" s="935"/>
      <c r="FO209" s="936"/>
      <c r="FP209" s="934">
        <f>IF(FL209 = "", 0,
IF(AND(FJ209 &gt; 0, FK209 &gt;0), 0,
IF(AND(FJ209 &lt;&gt; "", FJ209 &lt;&gt; 0), -(FJ209 * FL209 * 100 * (1 + COMIS_OPCION)),
IF(AND(FK209 &lt;&gt; "", FK209 &lt;&gt; 0), (FK209 * FL209 * 100 * (1 - COMIS_OPCION)), 0)) ))</f>
        <v>0</v>
      </c>
      <c r="FQ209" s="935"/>
      <c r="FR209" s="935"/>
      <c r="FS209" s="935"/>
      <c r="FT209" s="935"/>
      <c r="FU209" s="935"/>
      <c r="FV209" s="935"/>
      <c r="FW209" s="935"/>
      <c r="FX209" s="966"/>
      <c r="FY209" s="341"/>
      <c r="FZ209" s="341"/>
      <c r="GA209" s="341"/>
      <c r="GB209" s="495">
        <f>+IF(EN209 = "", "", EO209)</f>
        <v>320</v>
      </c>
      <c r="GC209" s="495" t="str">
        <f>+IF(GB209="", "", IF(EO209 = $Z$1, "ACCION", "CALL"))</f>
        <v>CALL</v>
      </c>
      <c r="GD209" s="500"/>
      <c r="GE209" s="495">
        <f>+IF(GB209= "", "", EO211)</f>
        <v>0</v>
      </c>
      <c r="GF209" s="495">
        <f>+IF(GB209 = "", "", IFERROR(IF(GB209 &lt;&gt; $Z$1,
IF(GE209 &gt; 0, SUMIFS(ES209:ES213, EP209:EP213, "&gt;0", ES209:ES213, "&lt;&gt;0") / SUMIFS(EP209:EP213, EP209:EP213, "&gt;0", ES209:ES213, "&lt;&gt;0") / -100,
IF(GE209 &lt; 0, SUMIFS(ES209:ES213, EQ209:EQ213, "&gt;0", ES209:ES213, "&lt;&gt;0") / SUMIFS(EQ209:EQ213, EQ209:EQ213, "&gt;0", ES209:ES213, "&lt;&gt;0") / 100, 0)),
IF(GE209 &gt; 0, SUMIFS(ES209:ES213, EP209:EP213, "&gt;0", ES209:ES213, "&lt;&gt;0") / SUMIFS(EP209:EP213, EP209:EP213, "&gt;0", ES209:ES213, "&lt;&gt;0") / -1,
IF(GE209 &lt; 0, SUMIFS(ES209:ES213, EQ209:EQ213, "&gt;0", ES209:ES213, "&lt;&gt;0") / SUMIFS(EQ209:EQ213, EQ209:EQ213, "&gt;0", ES209:ES213, "&lt;&gt;0") / 1, 0)) ), 0))</f>
        <v>0</v>
      </c>
      <c r="GG209" s="495">
        <f>+IF(GB209 = "", "", IFERROR(IF(GB209 &lt;&gt; $Z$1,
IF(GE209 &gt; 0, SUMIFS(EV209:EV213, EP209:EP213, "&gt;0", EV209:EV213, "&lt;&gt;0") / SUMIFS(EP209:EP213, EP209:EP213, "&gt;0", EV209:EV213, "&lt;&gt;0") / -100,
IF(GE209 &lt; 0, SUMIFS(EV209:EV213, EQ209:EQ213, "&gt;0", EV209:EV213, "&lt;&gt;0") / SUMIFS(EQ209:EQ213, EQ209:EQ213, "&gt;0", EV209:EV213, "&lt;&gt;0") / 100, 0)),
IF(GE209 &gt; 0, SUMIFS(EV209:EV213, EP209:EP213, "&gt;0", EV209:EV213, "&lt;&gt;0") / SUMIFS(EP209:EP213, EP209:EP213, "&gt;0", EV209:EV213, "&lt;&gt;0") / -1,
IF(GE209 &lt; 0, SUMIFS(EV209:EV213, EQ209:EQ213, "&gt;0", EV209:EV213, "&lt;&gt;0") / SUMIFS(EQ209:EQ213, EQ209:EQ213, "&gt;0", EV209:EV213, "&lt;&gt;0") / 1, 0)) ), 0))</f>
        <v>0</v>
      </c>
      <c r="GH209" s="359"/>
      <c r="GI209" s="359"/>
      <c r="GJ209" s="501"/>
      <c r="GK209" s="495" t="str">
        <f>+IF(GB209="", "", "PUT")</f>
        <v>PUT</v>
      </c>
      <c r="GL209" s="495">
        <f>+IF(GB209 = "", "", FI211)</f>
        <v>0</v>
      </c>
      <c r="GM209" s="495">
        <f>+IF(GB209 = "", "", IFERROR(
IF(FI211 &gt; 0, SUMIFS(FM209:FM213, FJ209:FJ213, "&gt;0", FM209:FM213, "&lt;&gt;0") / SUMIFS(FJ209:FJ213, FJ209:FJ213, "&gt;0", FM209:FM213, "&lt;&gt;0") / -100,
IF(FI211 &lt; 0, SUMIFS(FM209:FM213, FK209:FK213, "&gt;0", FM209:FM213, "&lt;&gt;0") / SUMIFS(FK209:FK213, FK209:FK213, "&gt;0", FM209:FM213, "&lt;&gt;0") / 100, 0)), 0) )</f>
        <v>0</v>
      </c>
      <c r="GN209" s="359"/>
      <c r="GO209" s="359"/>
      <c r="GP209" s="501"/>
      <c r="GQ209" s="502">
        <f>+IF(GB209 = "", "", IFERROR(
IF(FI211 &gt; 0, SUMIFS(FP209:FP213, FJ209:FJ213, "&gt;0", FP209:FP213, "&lt;&gt;0") / SUMIFS(FJ209:FJ213, FJ209:FJ213, "&gt;0", FP209:FP213, "&lt;&gt;0") / -100,
IF(FI211 &lt; 0, SUMIFS(FP209:FP213, FK209:FK213, "&gt;0", FP209:FP213, "&lt;&gt;0") / SUMIFS(FK209:FK213, FK209:FK213, "&gt;0", FP209:FP213, "&lt;&gt;0") / 100, 0)), 0))</f>
        <v>0</v>
      </c>
      <c r="GR209" s="375"/>
      <c r="GS209" s="333"/>
      <c r="GT209" s="333"/>
      <c r="GU209" s="333"/>
      <c r="GV209" s="333"/>
      <c r="GW209" s="333"/>
      <c r="GX209" s="333"/>
      <c r="GY209" s="333"/>
      <c r="GZ209" s="333"/>
      <c r="HA209" s="333"/>
      <c r="HB209" s="333"/>
      <c r="HC209" s="333"/>
      <c r="HD209" s="333"/>
      <c r="HE209" s="333"/>
      <c r="HF209" s="333"/>
      <c r="HG209" s="331"/>
      <c r="HH209" s="331"/>
      <c r="HI209" s="331"/>
      <c r="HJ209" s="331"/>
      <c r="HK209" s="331"/>
      <c r="HL209" s="331"/>
      <c r="HM209" s="331"/>
      <c r="HN209" s="333"/>
      <c r="HO209" s="333"/>
      <c r="HP209" s="333"/>
      <c r="HQ209" s="333"/>
      <c r="HR209" s="333"/>
      <c r="HS209" s="333"/>
      <c r="HT209" s="333"/>
      <c r="HU209" s="333"/>
      <c r="HV209" s="333"/>
      <c r="HW209" s="333"/>
      <c r="HX209" s="333"/>
      <c r="HY209" s="333"/>
      <c r="HZ209" s="333"/>
      <c r="IA209" s="333"/>
      <c r="IB209" s="333"/>
      <c r="IC209" s="333"/>
      <c r="ID209" s="55"/>
      <c r="IE209" s="47"/>
      <c r="IO209" s="51"/>
    </row>
    <row r="210" spans="13:249" s="142" customFormat="1" ht="15" customHeight="1">
      <c r="M210" s="333"/>
      <c r="N210" s="333"/>
      <c r="O210" s="333"/>
      <c r="P210" s="333"/>
      <c r="Q210" s="333"/>
      <c r="R210" s="333"/>
      <c r="S210" s="333"/>
      <c r="T210" s="333"/>
      <c r="U210" s="333"/>
      <c r="V210" s="333"/>
      <c r="W210" s="333"/>
      <c r="X210" s="333"/>
      <c r="Y210" s="333"/>
      <c r="Z210" s="333"/>
      <c r="AA210" s="333"/>
      <c r="AB210" s="333"/>
      <c r="AC210" s="333"/>
      <c r="AD210" s="333"/>
      <c r="AE210" s="333"/>
      <c r="AF210" s="333"/>
      <c r="AG210" s="333"/>
      <c r="AH210" s="333"/>
      <c r="AI210" s="333"/>
      <c r="AJ210" s="333"/>
      <c r="AK210" s="333"/>
      <c r="AL210" s="333"/>
      <c r="AM210" s="333"/>
      <c r="AN210" s="333"/>
      <c r="AO210" s="333"/>
      <c r="AP210" s="333"/>
      <c r="AQ210" s="333"/>
      <c r="AR210" s="333"/>
      <c r="AS210" s="333"/>
      <c r="AT210" s="333"/>
      <c r="AU210" s="333"/>
      <c r="AV210" s="333"/>
      <c r="AW210" s="333"/>
      <c r="AX210" s="333"/>
      <c r="AY210" s="333"/>
      <c r="AZ210" s="333"/>
      <c r="BA210" s="333"/>
      <c r="BB210" s="333"/>
      <c r="BC210" s="333"/>
      <c r="BD210" s="333"/>
      <c r="BE210" s="333"/>
      <c r="BF210" s="333"/>
      <c r="BG210" s="333"/>
      <c r="BH210" s="333"/>
      <c r="BI210" s="333"/>
      <c r="BJ210" s="333"/>
      <c r="BK210" s="333"/>
      <c r="BL210" s="333"/>
      <c r="BM210" s="333"/>
      <c r="BN210" s="333"/>
      <c r="BO210" s="333"/>
      <c r="BP210" s="333"/>
      <c r="BQ210" s="333"/>
      <c r="BR210" s="333"/>
      <c r="BS210" s="333"/>
      <c r="BT210" s="333"/>
      <c r="BU210" s="333"/>
      <c r="BV210" s="333"/>
      <c r="BW210" s="333"/>
      <c r="BX210" s="333"/>
      <c r="BY210" s="333"/>
      <c r="BZ210" s="333"/>
      <c r="CA210" s="333"/>
      <c r="CB210" s="333"/>
      <c r="CC210" s="333"/>
      <c r="CD210" s="333"/>
      <c r="CE210" s="333"/>
      <c r="CF210" s="333"/>
      <c r="CG210" s="333"/>
      <c r="CH210" s="333"/>
      <c r="CI210" s="333"/>
      <c r="CJ210" s="333"/>
      <c r="CK210" s="333"/>
      <c r="CL210" s="333"/>
      <c r="CM210" s="333"/>
      <c r="CN210" s="333"/>
      <c r="CO210" s="333"/>
      <c r="CP210" s="333"/>
      <c r="CQ210" s="333"/>
      <c r="CR210" s="333"/>
      <c r="CS210" s="333"/>
      <c r="CT210" s="333"/>
      <c r="CU210" s="333"/>
      <c r="CV210" s="333"/>
      <c r="CW210" s="333"/>
      <c r="CX210" s="333"/>
      <c r="CY210" s="333"/>
      <c r="CZ210" s="333"/>
      <c r="DA210" s="333"/>
      <c r="DB210" s="333"/>
      <c r="DC210" s="333"/>
      <c r="DD210" s="333"/>
      <c r="DE210" s="333"/>
      <c r="DF210" s="333"/>
      <c r="DG210" s="333"/>
      <c r="DH210" s="333"/>
      <c r="DI210" s="333"/>
      <c r="DJ210" s="333"/>
      <c r="DK210" s="333"/>
      <c r="DL210" s="333"/>
      <c r="DM210" s="333"/>
      <c r="DN210" s="333"/>
      <c r="DO210" s="333"/>
      <c r="DP210" s="333"/>
      <c r="DQ210" s="333"/>
      <c r="DR210" s="333"/>
      <c r="DS210" s="333"/>
      <c r="DT210" s="333"/>
      <c r="DU210" s="375"/>
      <c r="DV210" s="375"/>
      <c r="DW210" s="375"/>
      <c r="DX210" s="375"/>
      <c r="DY210" s="375"/>
      <c r="DZ210" s="375"/>
      <c r="EA210" s="375"/>
      <c r="EB210" s="375"/>
      <c r="EC210" s="375"/>
      <c r="ED210" s="375"/>
      <c r="EE210" s="375"/>
      <c r="EF210" s="375"/>
      <c r="EG210" s="375"/>
      <c r="EH210" s="375"/>
      <c r="EI210" s="375"/>
      <c r="EJ210" s="373"/>
      <c r="EK210" s="373"/>
      <c r="EL210" s="366"/>
      <c r="EM210" s="366"/>
      <c r="EN210" s="364"/>
      <c r="EO210" s="351"/>
      <c r="EP210" s="347"/>
      <c r="EQ210" s="342"/>
      <c r="ER210" s="522"/>
      <c r="ES210" s="916">
        <f>IF(ER210 = "", 0,
IF(AND(EP210 &gt; 0, EQ210 &gt;0), 0, IF(EO209 &lt;&gt; $Z$1,
IF(AND(EP210 &lt;&gt; "", EP210 &lt;&gt; 0), -(EP210 * ER210 * 100),
IF(AND(EQ210 &lt;&gt; "", EQ210 &lt;&gt; 0), (EQ210 * ER210 * 100), 0)),
IF(AND(EP210 &lt;&gt; "", EP210 &lt;&gt; 0), -(EP210 * ER210 * 1),
IF(AND(EQ210 &lt;&gt; "", EQ210 &lt;&gt; 0), (EQ210 * ER210 * 1), 0))  )))</f>
        <v>0</v>
      </c>
      <c r="ET210" s="917"/>
      <c r="EU210" s="918"/>
      <c r="EV210" s="916">
        <f>IF(ER210 = "", 0,
IF(AND(EP210 &gt; 0, EQ210 &gt;0), 0,  IF(EO209 &lt;&gt; $Z$1,
IF(AND(EP210 &lt;&gt; "", EP210 &lt;&gt; 0), -(EP210 * ER210 * 100 * (1 + COMIS_OPCION)),
IF(AND(EQ210 &lt;&gt; "", EQ210 &lt;&gt; 0), (EQ210 * ER210 * 100 * (1 - COMIS_OPCION)), 0)),
IF(AND(EP210 &lt;&gt; "", EP210 &lt;&gt; 0), -(EP210 * ER210 * 1 * (1 + COMIS_ACCION)),
IF(AND(EQ210 &lt;&gt; "", EQ210 &lt;&gt; 0), (EQ210 * ER210 * 1 * (1 - COMIS_ACCION)), 0))  )))</f>
        <v>0</v>
      </c>
      <c r="EW210" s="917"/>
      <c r="EX210" s="917"/>
      <c r="EY210" s="917"/>
      <c r="EZ210" s="917"/>
      <c r="FA210" s="917"/>
      <c r="FB210" s="917"/>
      <c r="FC210" s="917"/>
      <c r="FD210" s="925"/>
      <c r="FE210" s="340"/>
      <c r="FF210" s="340"/>
      <c r="FG210" s="364"/>
      <c r="FH210" s="364"/>
      <c r="FI210" s="339"/>
      <c r="FJ210" s="347"/>
      <c r="FK210" s="342"/>
      <c r="FL210" s="343"/>
      <c r="FM210" s="930">
        <f>IF(FL210 = "", 0,
IF(AND(FJ210 &gt; 0, FK210 &gt;0), 0,
IF(AND(FJ210 &lt;&gt; "", FJ210 &lt;&gt; 0), -(FJ210 * FL210 * 100),
IF(AND(FK210 &lt;&gt; "", FK210 &lt;&gt; 0), (FK210 * FL210 * 100), 0)) ))</f>
        <v>0</v>
      </c>
      <c r="FN210" s="931"/>
      <c r="FO210" s="932"/>
      <c r="FP210" s="930">
        <f>IF(FL210 = "", 0,
IF(AND(FJ210 &gt; 0, FK210 &gt;0), 0,
IF(AND(FJ210 &lt;&gt; "", FJ210 &lt;&gt; 0), -(FJ210 * FL210 * 100 * (1 + COMIS_OPCION)),
IF(AND(FK210 &lt;&gt; "", FK210 &lt;&gt; 0), (FK210 * FL210 * 100 * (1 - COMIS_OPCION)), 0)) ))</f>
        <v>0</v>
      </c>
      <c r="FQ210" s="931"/>
      <c r="FR210" s="931"/>
      <c r="FS210" s="931"/>
      <c r="FT210" s="931"/>
      <c r="FU210" s="931"/>
      <c r="FV210" s="931"/>
      <c r="FW210" s="931"/>
      <c r="FX210" s="933"/>
      <c r="FY210" s="341"/>
      <c r="FZ210" s="341"/>
      <c r="GA210" s="341"/>
      <c r="GB210" s="495">
        <v>0</v>
      </c>
      <c r="GC210" s="495">
        <v>0</v>
      </c>
      <c r="GD210" s="500"/>
      <c r="GE210" s="495">
        <v>0</v>
      </c>
      <c r="GF210" s="495">
        <v>0</v>
      </c>
      <c r="GG210" s="495">
        <v>0</v>
      </c>
      <c r="GH210" s="359"/>
      <c r="GI210" s="359"/>
      <c r="GJ210" s="501"/>
      <c r="GK210" s="495">
        <v>0</v>
      </c>
      <c r="GL210" s="495">
        <v>0</v>
      </c>
      <c r="GM210" s="495">
        <v>0</v>
      </c>
      <c r="GN210" s="359"/>
      <c r="GO210" s="359"/>
      <c r="GP210" s="501"/>
      <c r="GQ210" s="495">
        <v>0</v>
      </c>
      <c r="GR210" s="375"/>
      <c r="GS210" s="333"/>
      <c r="GT210" s="333"/>
      <c r="GU210" s="333"/>
      <c r="GV210" s="333"/>
      <c r="GW210" s="333"/>
      <c r="GX210" s="333"/>
      <c r="GY210" s="333"/>
      <c r="GZ210" s="333"/>
      <c r="HA210" s="333"/>
      <c r="HB210" s="333"/>
      <c r="HC210" s="333"/>
      <c r="HD210" s="333"/>
      <c r="HE210" s="333"/>
      <c r="HF210" s="333"/>
      <c r="HG210" s="331"/>
      <c r="HH210" s="331"/>
      <c r="HI210" s="331"/>
      <c r="HJ210" s="331"/>
      <c r="HK210" s="331"/>
      <c r="HL210" s="331"/>
      <c r="HM210" s="331"/>
      <c r="HN210" s="333"/>
      <c r="HO210" s="333"/>
      <c r="HP210" s="333"/>
      <c r="HQ210" s="333"/>
      <c r="HR210" s="333"/>
      <c r="HS210" s="333"/>
      <c r="HT210" s="333"/>
      <c r="HU210" s="333"/>
      <c r="HV210" s="333"/>
      <c r="HW210" s="333"/>
      <c r="HX210" s="333"/>
      <c r="HY210" s="333"/>
      <c r="HZ210" s="333"/>
      <c r="IA210" s="333"/>
      <c r="IB210" s="333"/>
      <c r="IC210" s="333"/>
      <c r="ID210" s="55"/>
      <c r="IE210" s="47"/>
      <c r="IO210" s="51"/>
    </row>
    <row r="211" spans="13:249" s="142" customFormat="1" ht="15" customHeight="1">
      <c r="M211" s="333"/>
      <c r="N211" s="333"/>
      <c r="O211" s="333"/>
      <c r="P211" s="333"/>
      <c r="Q211" s="333"/>
      <c r="R211" s="333"/>
      <c r="S211" s="333"/>
      <c r="T211" s="333"/>
      <c r="U211" s="333"/>
      <c r="V211" s="333"/>
      <c r="W211" s="333"/>
      <c r="X211" s="333"/>
      <c r="Y211" s="333"/>
      <c r="Z211" s="333"/>
      <c r="AA211" s="333"/>
      <c r="AB211" s="333"/>
      <c r="AC211" s="333"/>
      <c r="AD211" s="333"/>
      <c r="AE211" s="333"/>
      <c r="AF211" s="333"/>
      <c r="AG211" s="333"/>
      <c r="AH211" s="333"/>
      <c r="AI211" s="333"/>
      <c r="AJ211" s="333"/>
      <c r="AK211" s="333"/>
      <c r="AL211" s="333"/>
      <c r="AM211" s="333"/>
      <c r="AN211" s="333"/>
      <c r="AO211" s="333"/>
      <c r="AP211" s="333"/>
      <c r="AQ211" s="333"/>
      <c r="AR211" s="333"/>
      <c r="AS211" s="333"/>
      <c r="AT211" s="333"/>
      <c r="AU211" s="333"/>
      <c r="AV211" s="333"/>
      <c r="AW211" s="333"/>
      <c r="AX211" s="333"/>
      <c r="AY211" s="333"/>
      <c r="AZ211" s="333"/>
      <c r="BA211" s="333"/>
      <c r="BB211" s="333"/>
      <c r="BC211" s="333"/>
      <c r="BD211" s="333"/>
      <c r="BE211" s="333"/>
      <c r="BF211" s="333"/>
      <c r="BG211" s="333"/>
      <c r="BH211" s="333"/>
      <c r="BI211" s="333"/>
      <c r="BJ211" s="333"/>
      <c r="BK211" s="333"/>
      <c r="BL211" s="333"/>
      <c r="BM211" s="333"/>
      <c r="BN211" s="333"/>
      <c r="BO211" s="333"/>
      <c r="BP211" s="333"/>
      <c r="BQ211" s="333"/>
      <c r="BR211" s="333"/>
      <c r="BS211" s="333"/>
      <c r="BT211" s="333"/>
      <c r="BU211" s="333"/>
      <c r="BV211" s="333"/>
      <c r="BW211" s="333"/>
      <c r="BX211" s="333"/>
      <c r="BY211" s="333"/>
      <c r="BZ211" s="333"/>
      <c r="CA211" s="333"/>
      <c r="CB211" s="333"/>
      <c r="CC211" s="333"/>
      <c r="CD211" s="333"/>
      <c r="CE211" s="333"/>
      <c r="CF211" s="333"/>
      <c r="CG211" s="333"/>
      <c r="CH211" s="333"/>
      <c r="CI211" s="333"/>
      <c r="CJ211" s="333"/>
      <c r="CK211" s="333"/>
      <c r="CL211" s="333"/>
      <c r="CM211" s="333"/>
      <c r="CN211" s="333"/>
      <c r="CO211" s="333"/>
      <c r="CP211" s="333"/>
      <c r="CQ211" s="333"/>
      <c r="CR211" s="333"/>
      <c r="CS211" s="333"/>
      <c r="CT211" s="333"/>
      <c r="CU211" s="333"/>
      <c r="CV211" s="333"/>
      <c r="CW211" s="333"/>
      <c r="CX211" s="333"/>
      <c r="CY211" s="333"/>
      <c r="CZ211" s="333"/>
      <c r="DA211" s="333"/>
      <c r="DB211" s="333"/>
      <c r="DC211" s="333"/>
      <c r="DD211" s="333"/>
      <c r="DE211" s="333"/>
      <c r="DF211" s="333"/>
      <c r="DG211" s="333"/>
      <c r="DH211" s="333"/>
      <c r="DI211" s="333"/>
      <c r="DJ211" s="333"/>
      <c r="DK211" s="333"/>
      <c r="DL211" s="333"/>
      <c r="DM211" s="333"/>
      <c r="DN211" s="333"/>
      <c r="DO211" s="333"/>
      <c r="DP211" s="333"/>
      <c r="DQ211" s="333"/>
      <c r="DR211" s="333"/>
      <c r="DS211" s="333"/>
      <c r="DT211" s="333"/>
      <c r="DU211" s="375"/>
      <c r="DV211" s="375"/>
      <c r="DW211" s="375"/>
      <c r="DX211" s="375"/>
      <c r="DY211" s="375"/>
      <c r="DZ211" s="375"/>
      <c r="EA211" s="375"/>
      <c r="EB211" s="375"/>
      <c r="EC211" s="375"/>
      <c r="ED211" s="375"/>
      <c r="EE211" s="375"/>
      <c r="EF211" s="375"/>
      <c r="EG211" s="375"/>
      <c r="EH211" s="375"/>
      <c r="EI211" s="375"/>
      <c r="EJ211" s="373"/>
      <c r="EK211" s="373"/>
      <c r="EL211" s="366"/>
      <c r="EM211" s="368"/>
      <c r="EN211" s="364"/>
      <c r="EO211" s="352">
        <f>+SUM(EP209:EP213) - SUM(EQ209:EQ213)</f>
        <v>0</v>
      </c>
      <c r="EP211" s="347"/>
      <c r="EQ211" s="342"/>
      <c r="ER211" s="522"/>
      <c r="ES211" s="916">
        <f>IF(ER211 = "", 0,
IF(AND(EP211 &gt; 0, EQ211 &gt;0), 0, IF(EO209 &lt;&gt; $Z$1,
IF(AND(EP211 &lt;&gt; "", EP211 &lt;&gt; 0), -(EP211 * ER211 * 100),
IF(AND(EQ211 &lt;&gt; "", EQ211 &lt;&gt; 0), (EQ211 * ER211 * 100), 0)),
IF(AND(EP211 &lt;&gt; "", EP211 &lt;&gt; 0), -(EP211 * ER211 * 1),
IF(AND(EQ211 &lt;&gt; "", EQ211 &lt;&gt; 0), (EQ211 * ER211 * 1), 0))  )))</f>
        <v>0</v>
      </c>
      <c r="ET211" s="917"/>
      <c r="EU211" s="918"/>
      <c r="EV211" s="916">
        <f>IF(ER211 = "", 0,
IF(AND(EP211 &gt; 0, EQ211 &gt;0), 0,  IF(EO209 &lt;&gt; $Z$1,
IF(AND(EP211 &lt;&gt; "", EP211 &lt;&gt; 0), -(EP211 * ER211 * 100 * (1 + COMIS_OPCION)),
IF(AND(EQ211 &lt;&gt; "", EQ211 &lt;&gt; 0), (EQ211 * ER211 * 100 * (1 - COMIS_OPCION)), 0)),
IF(AND(EP211 &lt;&gt; "", EP211 &lt;&gt; 0), -(EP211 * ER211 * 1 * (1 + COMIS_ACCION)),
IF(AND(EQ211 &lt;&gt; "", EQ211 &lt;&gt; 0), (EQ211 * ER211 * 1 * (1 - COMIS_ACCION)), 0))  )))</f>
        <v>0</v>
      </c>
      <c r="EW211" s="917"/>
      <c r="EX211" s="917"/>
      <c r="EY211" s="917"/>
      <c r="EZ211" s="917"/>
      <c r="FA211" s="917"/>
      <c r="FB211" s="917"/>
      <c r="FC211" s="917"/>
      <c r="FD211" s="925"/>
      <c r="FE211" s="340"/>
      <c r="FF211" s="340"/>
      <c r="FG211" s="365"/>
      <c r="FH211" s="365"/>
      <c r="FI211" s="354">
        <f>+SUM(FJ209:FJ213) - SUM(FK209:FK213)</f>
        <v>0</v>
      </c>
      <c r="FJ211" s="347"/>
      <c r="FK211" s="342"/>
      <c r="FL211" s="343"/>
      <c r="FM211" s="930">
        <f>IF(FL211 = "", 0,
IF(AND(FJ211 &gt; 0, FK211 &gt;0), 0,
IF(AND(FJ211 &lt;&gt; "", FJ211 &lt;&gt; 0), -(FJ211 * FL211 * 100),
IF(AND(FK211 &lt;&gt; "", FK211 &lt;&gt; 0), (FK211 * FL211 * 100), 0)) ))</f>
        <v>0</v>
      </c>
      <c r="FN211" s="931"/>
      <c r="FO211" s="932"/>
      <c r="FP211" s="930">
        <f>IF(FL211 = "", 0,
IF(AND(FJ211 &gt; 0, FK211 &gt;0), 0,
IF(AND(FJ211 &lt;&gt; "", FJ211 &lt;&gt; 0), -(FJ211 * FL211 * 100 * (1 + COMIS_OPCION)),
IF(AND(FK211 &lt;&gt; "", FK211 &lt;&gt; 0), (FK211 * FL211 * 100 * (1 - COMIS_OPCION)), 0)) ))</f>
        <v>0</v>
      </c>
      <c r="FQ211" s="931"/>
      <c r="FR211" s="931"/>
      <c r="FS211" s="931"/>
      <c r="FT211" s="931"/>
      <c r="FU211" s="931"/>
      <c r="FV211" s="931"/>
      <c r="FW211" s="931"/>
      <c r="FX211" s="933"/>
      <c r="FY211" s="341"/>
      <c r="FZ211" s="341"/>
      <c r="GA211" s="341"/>
      <c r="GB211" s="495">
        <v>0</v>
      </c>
      <c r="GC211" s="495">
        <v>0</v>
      </c>
      <c r="GD211" s="500"/>
      <c r="GE211" s="495">
        <v>0</v>
      </c>
      <c r="GF211" s="495">
        <v>0</v>
      </c>
      <c r="GG211" s="495">
        <v>0</v>
      </c>
      <c r="GH211" s="359"/>
      <c r="GI211" s="359"/>
      <c r="GJ211" s="501"/>
      <c r="GK211" s="495">
        <v>0</v>
      </c>
      <c r="GL211" s="495">
        <v>0</v>
      </c>
      <c r="GM211" s="495">
        <v>0</v>
      </c>
      <c r="GN211" s="359"/>
      <c r="GO211" s="359"/>
      <c r="GP211" s="501"/>
      <c r="GQ211" s="495">
        <v>0</v>
      </c>
      <c r="GR211" s="375"/>
      <c r="GS211" s="333"/>
      <c r="GT211" s="333"/>
      <c r="GU211" s="333"/>
      <c r="GV211" s="333"/>
      <c r="GW211" s="333"/>
      <c r="GX211" s="333"/>
      <c r="GY211" s="333"/>
      <c r="GZ211" s="333"/>
      <c r="HA211" s="333"/>
      <c r="HB211" s="333"/>
      <c r="HC211" s="333"/>
      <c r="HD211" s="333"/>
      <c r="HE211" s="333"/>
      <c r="HF211" s="333"/>
      <c r="HG211" s="331"/>
      <c r="HH211" s="331"/>
      <c r="HI211" s="331"/>
      <c r="HJ211" s="331"/>
      <c r="HK211" s="331"/>
      <c r="HL211" s="331"/>
      <c r="HM211" s="331"/>
      <c r="HN211" s="333"/>
      <c r="HO211" s="333"/>
      <c r="HP211" s="333"/>
      <c r="HQ211" s="333"/>
      <c r="HR211" s="333"/>
      <c r="HS211" s="333"/>
      <c r="HT211" s="333"/>
      <c r="HU211" s="333"/>
      <c r="HV211" s="333"/>
      <c r="HW211" s="333"/>
      <c r="HX211" s="333"/>
      <c r="HY211" s="333"/>
      <c r="HZ211" s="333"/>
      <c r="IA211" s="333"/>
      <c r="IB211" s="333"/>
      <c r="IC211" s="333"/>
      <c r="ID211" s="55"/>
      <c r="IE211" s="47"/>
      <c r="IO211" s="51"/>
    </row>
    <row r="212" spans="13:249" s="142" customFormat="1" ht="15" customHeight="1">
      <c r="M212" s="333"/>
      <c r="N212" s="333"/>
      <c r="O212" s="333"/>
      <c r="P212" s="333"/>
      <c r="Q212" s="333"/>
      <c r="R212" s="333"/>
      <c r="S212" s="333"/>
      <c r="T212" s="333"/>
      <c r="U212" s="333"/>
      <c r="V212" s="333"/>
      <c r="W212" s="333"/>
      <c r="X212" s="333"/>
      <c r="Y212" s="333"/>
      <c r="Z212" s="333"/>
      <c r="AA212" s="333"/>
      <c r="AB212" s="333"/>
      <c r="AC212" s="333"/>
      <c r="AD212" s="333"/>
      <c r="AE212" s="333"/>
      <c r="AF212" s="333"/>
      <c r="AG212" s="333"/>
      <c r="AH212" s="333"/>
      <c r="AI212" s="333"/>
      <c r="AJ212" s="333"/>
      <c r="AK212" s="333"/>
      <c r="AL212" s="333"/>
      <c r="AM212" s="333"/>
      <c r="AN212" s="333"/>
      <c r="AO212" s="333"/>
      <c r="AP212" s="333"/>
      <c r="AQ212" s="333"/>
      <c r="AR212" s="333"/>
      <c r="AS212" s="333"/>
      <c r="AT212" s="333"/>
      <c r="AU212" s="333"/>
      <c r="AV212" s="333"/>
      <c r="AW212" s="333"/>
      <c r="AX212" s="333"/>
      <c r="AY212" s="333"/>
      <c r="AZ212" s="333"/>
      <c r="BA212" s="333"/>
      <c r="BB212" s="333"/>
      <c r="BC212" s="333"/>
      <c r="BD212" s="333"/>
      <c r="BE212" s="333"/>
      <c r="BF212" s="333"/>
      <c r="BG212" s="333"/>
      <c r="BH212" s="333"/>
      <c r="BI212" s="333"/>
      <c r="BJ212" s="333"/>
      <c r="BK212" s="333"/>
      <c r="BL212" s="333"/>
      <c r="BM212" s="333"/>
      <c r="BN212" s="333"/>
      <c r="BO212" s="333"/>
      <c r="BP212" s="333"/>
      <c r="BQ212" s="333"/>
      <c r="BR212" s="333"/>
      <c r="BS212" s="333"/>
      <c r="BT212" s="333"/>
      <c r="BU212" s="333"/>
      <c r="BV212" s="333"/>
      <c r="BW212" s="333"/>
      <c r="BX212" s="333"/>
      <c r="BY212" s="333"/>
      <c r="BZ212" s="333"/>
      <c r="CA212" s="333"/>
      <c r="CB212" s="333"/>
      <c r="CC212" s="333"/>
      <c r="CD212" s="333"/>
      <c r="CE212" s="333"/>
      <c r="CF212" s="333"/>
      <c r="CG212" s="333"/>
      <c r="CH212" s="333"/>
      <c r="CI212" s="333"/>
      <c r="CJ212" s="333"/>
      <c r="CK212" s="333"/>
      <c r="CL212" s="333"/>
      <c r="CM212" s="333"/>
      <c r="CN212" s="333"/>
      <c r="CO212" s="333"/>
      <c r="CP212" s="333"/>
      <c r="CQ212" s="333"/>
      <c r="CR212" s="333"/>
      <c r="CS212" s="333"/>
      <c r="CT212" s="333"/>
      <c r="CU212" s="333"/>
      <c r="CV212" s="333"/>
      <c r="CW212" s="333"/>
      <c r="CX212" s="333"/>
      <c r="CY212" s="333"/>
      <c r="CZ212" s="333"/>
      <c r="DA212" s="333"/>
      <c r="DB212" s="333"/>
      <c r="DC212" s="333"/>
      <c r="DD212" s="333"/>
      <c r="DE212" s="333"/>
      <c r="DF212" s="333"/>
      <c r="DG212" s="333"/>
      <c r="DH212" s="333"/>
      <c r="DI212" s="333"/>
      <c r="DJ212" s="333"/>
      <c r="DK212" s="333"/>
      <c r="DL212" s="333"/>
      <c r="DM212" s="333"/>
      <c r="DN212" s="333"/>
      <c r="DO212" s="333"/>
      <c r="DP212" s="333"/>
      <c r="DQ212" s="333"/>
      <c r="DR212" s="333"/>
      <c r="DS212" s="333"/>
      <c r="DT212" s="333"/>
      <c r="DU212" s="375"/>
      <c r="DV212" s="375"/>
      <c r="DW212" s="375"/>
      <c r="DX212" s="375"/>
      <c r="DY212" s="375"/>
      <c r="DZ212" s="375"/>
      <c r="EA212" s="375"/>
      <c r="EB212" s="375"/>
      <c r="EC212" s="375"/>
      <c r="ED212" s="375"/>
      <c r="EE212" s="375"/>
      <c r="EF212" s="375"/>
      <c r="EG212" s="375"/>
      <c r="EH212" s="375"/>
      <c r="EI212" s="375"/>
      <c r="EJ212" s="373"/>
      <c r="EK212" s="373"/>
      <c r="EL212" s="366"/>
      <c r="EM212" s="368"/>
      <c r="EN212" s="364"/>
      <c r="EO212" s="352">
        <f>IF(EO211=0, 0, SUM(EV209:FD213))</f>
        <v>0</v>
      </c>
      <c r="EP212" s="347"/>
      <c r="EQ212" s="342"/>
      <c r="ER212" s="522"/>
      <c r="ES212" s="916">
        <f>IF(ER212 = "", 0,
IF(AND(EP212 &gt; 0, EQ212 &gt;0), 0, IF(EO209 &lt;&gt; $Z$1,
IF(AND(EP212 &lt;&gt; "", EP212 &lt;&gt; 0), -(EP212 * ER212 * 100),
IF(AND(EQ212 &lt;&gt; "", EQ212 &lt;&gt; 0), (EQ212 * ER212 * 100), 0)),
IF(AND(EP212 &lt;&gt; "", EP212 &lt;&gt; 0), -(EP212 * ER212 * 1),
IF(AND(EQ212 &lt;&gt; "", EQ212 &lt;&gt; 0), (EQ212 * ER212 * 1), 0))  )))</f>
        <v>0</v>
      </c>
      <c r="ET212" s="917"/>
      <c r="EU212" s="918"/>
      <c r="EV212" s="916">
        <f>IF(ER212 = "", 0,
IF(AND(EP212 &gt; 0, EQ212 &gt;0), 0,  IF(EO209 &lt;&gt; $Z$1,
IF(AND(EP212 &lt;&gt; "", EP212 &lt;&gt; 0), -(EP212 * ER212 * 100 * (1 + COMIS_OPCION)),
IF(AND(EQ212 &lt;&gt; "", EQ212 &lt;&gt; 0), (EQ212 * ER212 * 100 * (1 - COMIS_OPCION)), 0)),
IF(AND(EP212 &lt;&gt; "", EP212 &lt;&gt; 0), -(EP212 * ER212 * 1 * (1 + COMIS_ACCION)),
IF(AND(EQ212 &lt;&gt; "", EQ212 &lt;&gt; 0), (EQ212 * ER212 * 1 * (1 - COMIS_ACCION)), 0))  )))</f>
        <v>0</v>
      </c>
      <c r="EW212" s="917"/>
      <c r="EX212" s="917"/>
      <c r="EY212" s="917"/>
      <c r="EZ212" s="917"/>
      <c r="FA212" s="917"/>
      <c r="FB212" s="917"/>
      <c r="FC212" s="917"/>
      <c r="FD212" s="925"/>
      <c r="FE212" s="340"/>
      <c r="FF212" s="340"/>
      <c r="FG212" s="365"/>
      <c r="FH212" s="365"/>
      <c r="FI212" s="354">
        <f>IF(FI211=0, 0, SUM(FP209:FX213))</f>
        <v>0</v>
      </c>
      <c r="FJ212" s="347"/>
      <c r="FK212" s="342"/>
      <c r="FL212" s="343"/>
      <c r="FM212" s="930">
        <f>IF(FL212 = "", 0,
IF(AND(FJ212 &gt; 0, FK212 &gt;0), 0,
IF(AND(FJ212 &lt;&gt; "", FJ212 &lt;&gt; 0), -(FJ212 * FL212 * 100),
IF(AND(FK212 &lt;&gt; "", FK212 &lt;&gt; 0), (FK212 * FL212 * 100), 0)) ))</f>
        <v>0</v>
      </c>
      <c r="FN212" s="931"/>
      <c r="FO212" s="932"/>
      <c r="FP212" s="930">
        <f>IF(FL212 = "", 0,
IF(AND(FJ212 &gt; 0, FK212 &gt;0), 0,
IF(AND(FJ212 &lt;&gt; "", FJ212 &lt;&gt; 0), -(FJ212 * FL212 * 100 * (1 + COMIS_OPCION)),
IF(AND(FK212 &lt;&gt; "", FK212 &lt;&gt; 0), (FK212 * FL212 * 100 * (1 - COMIS_OPCION)), 0)) ))</f>
        <v>0</v>
      </c>
      <c r="FQ212" s="931"/>
      <c r="FR212" s="931"/>
      <c r="FS212" s="931"/>
      <c r="FT212" s="931"/>
      <c r="FU212" s="931"/>
      <c r="FV212" s="931"/>
      <c r="FW212" s="931"/>
      <c r="FX212" s="933"/>
      <c r="FY212" s="341"/>
      <c r="FZ212" s="341"/>
      <c r="GA212" s="341"/>
      <c r="GB212" s="495">
        <v>0</v>
      </c>
      <c r="GC212" s="495">
        <v>0</v>
      </c>
      <c r="GD212" s="500"/>
      <c r="GE212" s="495">
        <v>0</v>
      </c>
      <c r="GF212" s="495">
        <v>0</v>
      </c>
      <c r="GG212" s="495">
        <v>0</v>
      </c>
      <c r="GH212" s="359"/>
      <c r="GI212" s="359"/>
      <c r="GJ212" s="501"/>
      <c r="GK212" s="495">
        <v>0</v>
      </c>
      <c r="GL212" s="495">
        <v>0</v>
      </c>
      <c r="GM212" s="495">
        <v>0</v>
      </c>
      <c r="GN212" s="359"/>
      <c r="GO212" s="359"/>
      <c r="GP212" s="501"/>
      <c r="GQ212" s="495">
        <v>0</v>
      </c>
      <c r="GR212" s="375"/>
      <c r="GS212" s="333"/>
      <c r="GT212" s="333"/>
      <c r="GU212" s="333"/>
      <c r="GV212" s="333"/>
      <c r="GW212" s="333"/>
      <c r="GX212" s="333"/>
      <c r="GY212" s="333"/>
      <c r="GZ212" s="333"/>
      <c r="HA212" s="333"/>
      <c r="HB212" s="333"/>
      <c r="HC212" s="333"/>
      <c r="HD212" s="333"/>
      <c r="HE212" s="333"/>
      <c r="HF212" s="333"/>
      <c r="HG212" s="331"/>
      <c r="HH212" s="331"/>
      <c r="HI212" s="331"/>
      <c r="HJ212" s="331"/>
      <c r="HK212" s="331"/>
      <c r="HL212" s="331"/>
      <c r="HM212" s="331"/>
      <c r="HN212" s="333"/>
      <c r="HO212" s="333"/>
      <c r="HP212" s="333"/>
      <c r="HQ212" s="333"/>
      <c r="HR212" s="333"/>
      <c r="HS212" s="333"/>
      <c r="HT212" s="333"/>
      <c r="HU212" s="333"/>
      <c r="HV212" s="333"/>
      <c r="HW212" s="333"/>
      <c r="HX212" s="333"/>
      <c r="HY212" s="333"/>
      <c r="HZ212" s="333"/>
      <c r="IA212" s="333"/>
      <c r="IB212" s="333"/>
      <c r="IC212" s="333"/>
      <c r="ID212" s="55"/>
      <c r="IE212" s="47"/>
      <c r="IO212" s="51"/>
    </row>
    <row r="213" spans="13:249" s="142" customFormat="1" ht="15" customHeight="1" thickBot="1">
      <c r="M213" s="333"/>
      <c r="N213" s="333"/>
      <c r="O213" s="333"/>
      <c r="P213" s="333"/>
      <c r="Q213" s="333"/>
      <c r="R213" s="333"/>
      <c r="S213" s="333"/>
      <c r="T213" s="333"/>
      <c r="U213" s="333"/>
      <c r="V213" s="333"/>
      <c r="W213" s="333"/>
      <c r="X213" s="333"/>
      <c r="Y213" s="333"/>
      <c r="Z213" s="333"/>
      <c r="AA213" s="333"/>
      <c r="AB213" s="333"/>
      <c r="AC213" s="333"/>
      <c r="AD213" s="333"/>
      <c r="AE213" s="333"/>
      <c r="AF213" s="333"/>
      <c r="AG213" s="333"/>
      <c r="AH213" s="333"/>
      <c r="AI213" s="333"/>
      <c r="AJ213" s="333"/>
      <c r="AK213" s="333"/>
      <c r="AL213" s="333"/>
      <c r="AM213" s="333"/>
      <c r="AN213" s="333"/>
      <c r="AO213" s="333"/>
      <c r="AP213" s="333"/>
      <c r="AQ213" s="333"/>
      <c r="AR213" s="333"/>
      <c r="AS213" s="333"/>
      <c r="AT213" s="333"/>
      <c r="AU213" s="333"/>
      <c r="AV213" s="333"/>
      <c r="AW213" s="333"/>
      <c r="AX213" s="333"/>
      <c r="AY213" s="333"/>
      <c r="AZ213" s="333"/>
      <c r="BA213" s="333"/>
      <c r="BB213" s="333"/>
      <c r="BC213" s="333"/>
      <c r="BD213" s="333"/>
      <c r="BE213" s="333"/>
      <c r="BF213" s="333"/>
      <c r="BG213" s="333"/>
      <c r="BH213" s="333"/>
      <c r="BI213" s="333"/>
      <c r="BJ213" s="333"/>
      <c r="BK213" s="333"/>
      <c r="BL213" s="333"/>
      <c r="BM213" s="333"/>
      <c r="BN213" s="333"/>
      <c r="BO213" s="333"/>
      <c r="BP213" s="333"/>
      <c r="BQ213" s="333"/>
      <c r="BR213" s="333"/>
      <c r="BS213" s="333"/>
      <c r="BT213" s="333"/>
      <c r="BU213" s="333"/>
      <c r="BV213" s="333"/>
      <c r="BW213" s="333"/>
      <c r="BX213" s="333"/>
      <c r="BY213" s="333"/>
      <c r="BZ213" s="333"/>
      <c r="CA213" s="333"/>
      <c r="CB213" s="333"/>
      <c r="CC213" s="333"/>
      <c r="CD213" s="333"/>
      <c r="CE213" s="333"/>
      <c r="CF213" s="333"/>
      <c r="CG213" s="333"/>
      <c r="CH213" s="333"/>
      <c r="CI213" s="333"/>
      <c r="CJ213" s="333"/>
      <c r="CK213" s="333"/>
      <c r="CL213" s="333"/>
      <c r="CM213" s="333"/>
      <c r="CN213" s="333"/>
      <c r="CO213" s="333"/>
      <c r="CP213" s="333"/>
      <c r="CQ213" s="333"/>
      <c r="CR213" s="333"/>
      <c r="CS213" s="333"/>
      <c r="CT213" s="333"/>
      <c r="CU213" s="333"/>
      <c r="CV213" s="333"/>
      <c r="CW213" s="333"/>
      <c r="CX213" s="333"/>
      <c r="CY213" s="333"/>
      <c r="CZ213" s="333"/>
      <c r="DA213" s="333"/>
      <c r="DB213" s="333"/>
      <c r="DC213" s="333"/>
      <c r="DD213" s="333"/>
      <c r="DE213" s="333"/>
      <c r="DF213" s="333"/>
      <c r="DG213" s="333"/>
      <c r="DH213" s="333"/>
      <c r="DI213" s="333"/>
      <c r="DJ213" s="333"/>
      <c r="DK213" s="333"/>
      <c r="DL213" s="333"/>
      <c r="DM213" s="333"/>
      <c r="DN213" s="333"/>
      <c r="DO213" s="333"/>
      <c r="DP213" s="333"/>
      <c r="DQ213" s="333"/>
      <c r="DR213" s="333"/>
      <c r="DS213" s="333"/>
      <c r="DT213" s="333"/>
      <c r="DU213" s="375"/>
      <c r="DV213" s="375"/>
      <c r="DW213" s="375"/>
      <c r="DX213" s="375"/>
      <c r="DY213" s="375"/>
      <c r="DZ213" s="375"/>
      <c r="EA213" s="375"/>
      <c r="EB213" s="375"/>
      <c r="EC213" s="375"/>
      <c r="ED213" s="375"/>
      <c r="EE213" s="375"/>
      <c r="EF213" s="375"/>
      <c r="EG213" s="375"/>
      <c r="EH213" s="375"/>
      <c r="EI213" s="375"/>
      <c r="EJ213" s="373"/>
      <c r="EK213" s="373"/>
      <c r="EL213" s="366"/>
      <c r="EM213" s="368"/>
      <c r="EN213" s="364"/>
      <c r="EO213" s="353">
        <f>+IF(EO211= 0, 0, GG209)</f>
        <v>0</v>
      </c>
      <c r="EP213" s="350"/>
      <c r="EQ213" s="344"/>
      <c r="ER213" s="523"/>
      <c r="ES213" s="921">
        <f>IF(ER213 = "", 0,
IF(AND(EP213 &gt; 0, EQ213 &gt;0), 0, IF(EO209 &lt;&gt; $Z$1,
IF(AND(EP213 &lt;&gt; "", EP213 &lt;&gt; 0), -(EP213 * ER213 * 100),
IF(AND(EQ213 &lt;&gt; "", EQ213 &lt;&gt; 0), (EQ213 * ER213 * 100), 0)),
IF(AND(EP213 &lt;&gt; "", EP213 &lt;&gt; 0), -(EP213 * ER213 * 1),
IF(AND(EQ213 &lt;&gt; "", EQ213 &lt;&gt; 0), (EQ213 * ER213 * 1), 0))  )))</f>
        <v>0</v>
      </c>
      <c r="ET213" s="922"/>
      <c r="EU213" s="924"/>
      <c r="EV213" s="921">
        <f>IF(ER213 = "", 0,
IF(AND(EP213 &gt; 0, EQ213 &gt;0), 0,  IF(EO209 &lt;&gt; $Z$1,
IF(AND(EP213 &lt;&gt; "", EP213 &lt;&gt; 0), -(EP213 * ER213 * 100 * (1 + COMIS_OPCION)),
IF(AND(EQ213 &lt;&gt; "", EQ213 &lt;&gt; 0), (EQ213 * ER213 * 100 * (1 - COMIS_OPCION)), 0)),
IF(AND(EP213 &lt;&gt; "", EP213 &lt;&gt; 0), -(EP213 * ER213 * 1 * (1 + COMIS_ACCION)),
IF(AND(EQ213 &lt;&gt; "", EQ213 &lt;&gt; 0), (EQ213 * ER213 * 1 * (1 - COMIS_ACCION)), 0))  )))</f>
        <v>0</v>
      </c>
      <c r="EW213" s="922"/>
      <c r="EX213" s="922"/>
      <c r="EY213" s="922"/>
      <c r="EZ213" s="922"/>
      <c r="FA213" s="922"/>
      <c r="FB213" s="922"/>
      <c r="FC213" s="922"/>
      <c r="FD213" s="923"/>
      <c r="FE213" s="340"/>
      <c r="FF213" s="340"/>
      <c r="FG213" s="365"/>
      <c r="FH213" s="365"/>
      <c r="FI213" s="349">
        <f>+IF(FI211= 0, 0, GQ209)</f>
        <v>0</v>
      </c>
      <c r="FJ213" s="348"/>
      <c r="FK213" s="345"/>
      <c r="FL213" s="346"/>
      <c r="FM213" s="937">
        <f>IF(FL213 = "", 0,
IF(AND(FJ213 &gt; 0, FK213 &gt;0), 0,
IF(AND(FJ213 &lt;&gt; "", FJ213 &lt;&gt; 0), -(FJ213 * FL213 * 100),
IF(AND(FK213 &lt;&gt; "", FK213 &lt;&gt; 0), (FK213 * FL213 * 100), 0)) ))</f>
        <v>0</v>
      </c>
      <c r="FN213" s="938"/>
      <c r="FO213" s="939"/>
      <c r="FP213" s="937">
        <f>IF(FL213 = "", 0,
IF(AND(FJ213 &gt; 0, FK213 &gt;0), 0,
IF(AND(FJ213 &lt;&gt; "", FJ213 &lt;&gt; 0), -(FJ213 * FL213 * 100 * (1 + COMIS_OPCION)),
IF(AND(FK213 &lt;&gt; "", FK213 &lt;&gt; 0), (FK213 * FL213 * 100 * (1 - COMIS_OPCION)), 0)) ))</f>
        <v>0</v>
      </c>
      <c r="FQ213" s="938"/>
      <c r="FR213" s="938"/>
      <c r="FS213" s="938"/>
      <c r="FT213" s="938"/>
      <c r="FU213" s="938"/>
      <c r="FV213" s="938"/>
      <c r="FW213" s="938"/>
      <c r="FX213" s="969"/>
      <c r="FY213" s="341"/>
      <c r="FZ213" s="341"/>
      <c r="GA213" s="341"/>
      <c r="GB213" s="495">
        <v>0</v>
      </c>
      <c r="GC213" s="495">
        <v>0</v>
      </c>
      <c r="GD213" s="500"/>
      <c r="GE213" s="495">
        <v>0</v>
      </c>
      <c r="GF213" s="495">
        <v>0</v>
      </c>
      <c r="GG213" s="495">
        <v>0</v>
      </c>
      <c r="GH213" s="359"/>
      <c r="GI213" s="359"/>
      <c r="GJ213" s="501"/>
      <c r="GK213" s="495">
        <v>0</v>
      </c>
      <c r="GL213" s="495">
        <v>0</v>
      </c>
      <c r="GM213" s="495">
        <v>0</v>
      </c>
      <c r="GN213" s="359"/>
      <c r="GO213" s="359"/>
      <c r="GP213" s="501"/>
      <c r="GQ213" s="495">
        <v>0</v>
      </c>
      <c r="GR213" s="375"/>
      <c r="GS213" s="333"/>
      <c r="GT213" s="333"/>
      <c r="GU213" s="333"/>
      <c r="GV213" s="333"/>
      <c r="GW213" s="333"/>
      <c r="GX213" s="333"/>
      <c r="GY213" s="333"/>
      <c r="GZ213" s="333"/>
      <c r="HA213" s="333"/>
      <c r="HB213" s="333"/>
      <c r="HC213" s="333"/>
      <c r="HD213" s="333"/>
      <c r="HE213" s="333"/>
      <c r="HF213" s="333"/>
      <c r="HG213" s="331"/>
      <c r="HH213" s="331"/>
      <c r="HI213" s="331"/>
      <c r="HJ213" s="331"/>
      <c r="HK213" s="331"/>
      <c r="HL213" s="331"/>
      <c r="HM213" s="331"/>
      <c r="HN213" s="333"/>
      <c r="HO213" s="333"/>
      <c r="HP213" s="333"/>
      <c r="HQ213" s="333"/>
      <c r="HR213" s="333"/>
      <c r="HS213" s="333"/>
      <c r="HT213" s="333"/>
      <c r="HU213" s="333"/>
      <c r="HV213" s="333"/>
      <c r="HW213" s="333"/>
      <c r="HX213" s="333"/>
      <c r="HY213" s="333"/>
      <c r="HZ213" s="333"/>
      <c r="IA213" s="333"/>
      <c r="IB213" s="333"/>
      <c r="IC213" s="333"/>
      <c r="ID213" s="55"/>
      <c r="IE213" s="47"/>
      <c r="IO213" s="51"/>
    </row>
    <row r="214" spans="13:249" s="142" customFormat="1" ht="15" customHeight="1" thickBot="1">
      <c r="M214" s="333"/>
      <c r="N214" s="333"/>
      <c r="O214" s="333"/>
      <c r="P214" s="333"/>
      <c r="Q214" s="333"/>
      <c r="R214" s="333"/>
      <c r="S214" s="333"/>
      <c r="T214" s="333"/>
      <c r="U214" s="333"/>
      <c r="V214" s="333"/>
      <c r="W214" s="333"/>
      <c r="X214" s="333"/>
      <c r="Y214" s="333"/>
      <c r="Z214" s="333"/>
      <c r="AA214" s="333"/>
      <c r="AB214" s="333"/>
      <c r="AC214" s="333"/>
      <c r="AD214" s="333"/>
      <c r="AE214" s="333"/>
      <c r="AF214" s="333"/>
      <c r="AG214" s="333"/>
      <c r="AH214" s="333"/>
      <c r="AI214" s="333"/>
      <c r="AJ214" s="333"/>
      <c r="AK214" s="333"/>
      <c r="AL214" s="333"/>
      <c r="AM214" s="333"/>
      <c r="AN214" s="333"/>
      <c r="AO214" s="333"/>
      <c r="AP214" s="333"/>
      <c r="AQ214" s="333"/>
      <c r="AR214" s="333"/>
      <c r="AS214" s="333"/>
      <c r="AT214" s="333"/>
      <c r="AU214" s="333"/>
      <c r="AV214" s="333"/>
      <c r="AW214" s="333"/>
      <c r="AX214" s="333"/>
      <c r="AY214" s="333"/>
      <c r="AZ214" s="333"/>
      <c r="BA214" s="333"/>
      <c r="BB214" s="333"/>
      <c r="BC214" s="333"/>
      <c r="BD214" s="333"/>
      <c r="BE214" s="333"/>
      <c r="BF214" s="333"/>
      <c r="BG214" s="333"/>
      <c r="BH214" s="333"/>
      <c r="BI214" s="333"/>
      <c r="BJ214" s="333"/>
      <c r="BK214" s="333"/>
      <c r="BL214" s="333"/>
      <c r="BM214" s="333"/>
      <c r="BN214" s="333"/>
      <c r="BO214" s="333"/>
      <c r="BP214" s="333"/>
      <c r="BQ214" s="333"/>
      <c r="BR214" s="333"/>
      <c r="BS214" s="333"/>
      <c r="BT214" s="333"/>
      <c r="BU214" s="333"/>
      <c r="BV214" s="333"/>
      <c r="BW214" s="333"/>
      <c r="BX214" s="333"/>
      <c r="BY214" s="333"/>
      <c r="BZ214" s="333"/>
      <c r="CA214" s="333"/>
      <c r="CB214" s="333"/>
      <c r="CC214" s="333"/>
      <c r="CD214" s="333"/>
      <c r="CE214" s="333"/>
      <c r="CF214" s="333"/>
      <c r="CG214" s="333"/>
      <c r="CH214" s="333"/>
      <c r="CI214" s="333"/>
      <c r="CJ214" s="333"/>
      <c r="CK214" s="333"/>
      <c r="CL214" s="333"/>
      <c r="CM214" s="333"/>
      <c r="CN214" s="333"/>
      <c r="CO214" s="333"/>
      <c r="CP214" s="333"/>
      <c r="CQ214" s="333"/>
      <c r="CR214" s="333"/>
      <c r="CS214" s="333"/>
      <c r="CT214" s="333"/>
      <c r="CU214" s="333"/>
      <c r="CV214" s="333"/>
      <c r="CW214" s="333"/>
      <c r="CX214" s="333"/>
      <c r="CY214" s="333"/>
      <c r="CZ214" s="333"/>
      <c r="DA214" s="333"/>
      <c r="DB214" s="333"/>
      <c r="DC214" s="333"/>
      <c r="DD214" s="333"/>
      <c r="DE214" s="333"/>
      <c r="DF214" s="333"/>
      <c r="DG214" s="333"/>
      <c r="DH214" s="333"/>
      <c r="DI214" s="333"/>
      <c r="DJ214" s="333"/>
      <c r="DK214" s="333"/>
      <c r="DL214" s="333"/>
      <c r="DM214" s="333"/>
      <c r="DN214" s="333"/>
      <c r="DO214" s="333"/>
      <c r="DP214" s="333"/>
      <c r="DQ214" s="333"/>
      <c r="DR214" s="333"/>
      <c r="DS214" s="333"/>
      <c r="DT214" s="333"/>
      <c r="DU214" s="375"/>
      <c r="DV214" s="375"/>
      <c r="DW214" s="375"/>
      <c r="DX214" s="375"/>
      <c r="DY214" s="375"/>
      <c r="DZ214" s="375"/>
      <c r="EA214" s="375"/>
      <c r="EB214" s="375"/>
      <c r="EC214" s="375"/>
      <c r="ED214" s="375"/>
      <c r="EE214" s="375"/>
      <c r="EF214" s="375"/>
      <c r="EG214" s="375"/>
      <c r="EH214" s="375"/>
      <c r="EI214" s="375"/>
      <c r="EJ214" s="373"/>
      <c r="EK214" s="373"/>
      <c r="EL214" s="366"/>
      <c r="EM214" s="369"/>
      <c r="EN214" s="364"/>
      <c r="EO214" s="363"/>
      <c r="EP214" s="340"/>
      <c r="EQ214" s="340"/>
      <c r="ER214" s="340"/>
      <c r="ES214" s="363"/>
      <c r="ET214" s="363"/>
      <c r="EU214" s="340"/>
      <c r="EV214" s="340"/>
      <c r="EW214" s="340"/>
      <c r="EX214" s="340"/>
      <c r="EY214" s="340"/>
      <c r="EZ214" s="340"/>
      <c r="FA214" s="340"/>
      <c r="FB214" s="402"/>
      <c r="FC214" s="402"/>
      <c r="FD214" s="340"/>
      <c r="FE214" s="340"/>
      <c r="FF214" s="340"/>
      <c r="FG214" s="364"/>
      <c r="FH214" s="364"/>
      <c r="FI214" s="363"/>
      <c r="FJ214" s="360"/>
      <c r="FK214" s="360"/>
      <c r="FL214" s="340"/>
      <c r="FM214" s="967"/>
      <c r="FN214" s="967"/>
      <c r="FO214" s="967"/>
      <c r="FP214" s="968"/>
      <c r="FQ214" s="968"/>
      <c r="FR214" s="968"/>
      <c r="FS214" s="968"/>
      <c r="FT214" s="968"/>
      <c r="FU214" s="968"/>
      <c r="FV214" s="968"/>
      <c r="FW214" s="968"/>
      <c r="FX214" s="968"/>
      <c r="FY214" s="341"/>
      <c r="FZ214" s="341"/>
      <c r="GA214" s="341"/>
      <c r="GB214" s="495">
        <v>0</v>
      </c>
      <c r="GC214" s="495">
        <v>0</v>
      </c>
      <c r="GD214" s="500"/>
      <c r="GE214" s="495">
        <v>0</v>
      </c>
      <c r="GF214" s="495">
        <v>0</v>
      </c>
      <c r="GG214" s="495">
        <v>0</v>
      </c>
      <c r="GH214" s="359"/>
      <c r="GI214" s="359"/>
      <c r="GJ214" s="501"/>
      <c r="GK214" s="495">
        <v>0</v>
      </c>
      <c r="GL214" s="495">
        <v>0</v>
      </c>
      <c r="GM214" s="495">
        <v>0</v>
      </c>
      <c r="GN214" s="359"/>
      <c r="GO214" s="359"/>
      <c r="GP214" s="501"/>
      <c r="GQ214" s="495">
        <v>0</v>
      </c>
      <c r="GR214" s="375"/>
      <c r="GS214" s="333"/>
      <c r="GT214" s="333"/>
      <c r="GU214" s="333"/>
      <c r="GV214" s="333"/>
      <c r="GW214" s="333"/>
      <c r="GX214" s="333"/>
      <c r="GY214" s="333"/>
      <c r="GZ214" s="333"/>
      <c r="HA214" s="333"/>
      <c r="HB214" s="333"/>
      <c r="HC214" s="333"/>
      <c r="HD214" s="333"/>
      <c r="HE214" s="333"/>
      <c r="HF214" s="333"/>
      <c r="HG214" s="331"/>
      <c r="HH214" s="331"/>
      <c r="HI214" s="331"/>
      <c r="HJ214" s="331"/>
      <c r="HK214" s="331"/>
      <c r="HL214" s="331"/>
      <c r="HM214" s="331"/>
      <c r="HN214" s="333"/>
      <c r="HO214" s="333"/>
      <c r="HP214" s="333"/>
      <c r="HQ214" s="333"/>
      <c r="HR214" s="333"/>
      <c r="HS214" s="333"/>
      <c r="HT214" s="333"/>
      <c r="HU214" s="333"/>
      <c r="HV214" s="333"/>
      <c r="HW214" s="333"/>
      <c r="HX214" s="333"/>
      <c r="HY214" s="333"/>
      <c r="HZ214" s="333"/>
      <c r="IA214" s="333"/>
      <c r="IB214" s="333"/>
      <c r="IC214" s="333"/>
      <c r="ID214" s="55"/>
      <c r="IE214" s="47"/>
      <c r="IO214" s="51"/>
    </row>
    <row r="215" spans="13:249" s="142" customFormat="1" ht="15" customHeight="1">
      <c r="M215" s="333"/>
      <c r="N215" s="333"/>
      <c r="O215" s="333"/>
      <c r="P215" s="333"/>
      <c r="Q215" s="333"/>
      <c r="R215" s="333"/>
      <c r="S215" s="333"/>
      <c r="T215" s="333"/>
      <c r="U215" s="333"/>
      <c r="V215" s="333"/>
      <c r="W215" s="333"/>
      <c r="X215" s="333"/>
      <c r="Y215" s="333"/>
      <c r="Z215" s="333"/>
      <c r="AA215" s="333"/>
      <c r="AB215" s="333"/>
      <c r="AC215" s="333"/>
      <c r="AD215" s="333"/>
      <c r="AE215" s="333"/>
      <c r="AF215" s="333"/>
      <c r="AG215" s="333"/>
      <c r="AH215" s="333"/>
      <c r="AI215" s="333"/>
      <c r="AJ215" s="333"/>
      <c r="AK215" s="333"/>
      <c r="AL215" s="333"/>
      <c r="AM215" s="333"/>
      <c r="AN215" s="333"/>
      <c r="AO215" s="333"/>
      <c r="AP215" s="333"/>
      <c r="AQ215" s="333"/>
      <c r="AR215" s="333"/>
      <c r="AS215" s="333"/>
      <c r="AT215" s="333"/>
      <c r="AU215" s="333"/>
      <c r="AV215" s="333"/>
      <c r="AW215" s="333"/>
      <c r="AX215" s="333"/>
      <c r="AY215" s="333"/>
      <c r="AZ215" s="333"/>
      <c r="BA215" s="333"/>
      <c r="BB215" s="333"/>
      <c r="BC215" s="333"/>
      <c r="BD215" s="333"/>
      <c r="BE215" s="333"/>
      <c r="BF215" s="333"/>
      <c r="BG215" s="333"/>
      <c r="BH215" s="333"/>
      <c r="BI215" s="333"/>
      <c r="BJ215" s="333"/>
      <c r="BK215" s="333"/>
      <c r="BL215" s="333"/>
      <c r="BM215" s="333"/>
      <c r="BN215" s="333"/>
      <c r="BO215" s="333"/>
      <c r="BP215" s="333"/>
      <c r="BQ215" s="333"/>
      <c r="BR215" s="333"/>
      <c r="BS215" s="333"/>
      <c r="BT215" s="333"/>
      <c r="BU215" s="333"/>
      <c r="BV215" s="333"/>
      <c r="BW215" s="333"/>
      <c r="BX215" s="333"/>
      <c r="BY215" s="333"/>
      <c r="BZ215" s="333"/>
      <c r="CA215" s="333"/>
      <c r="CB215" s="333"/>
      <c r="CC215" s="333"/>
      <c r="CD215" s="333"/>
      <c r="CE215" s="333"/>
      <c r="CF215" s="333"/>
      <c r="CG215" s="333"/>
      <c r="CH215" s="333"/>
      <c r="CI215" s="333"/>
      <c r="CJ215" s="333"/>
      <c r="CK215" s="333"/>
      <c r="CL215" s="333"/>
      <c r="CM215" s="333"/>
      <c r="CN215" s="333"/>
      <c r="CO215" s="333"/>
      <c r="CP215" s="333"/>
      <c r="CQ215" s="333"/>
      <c r="CR215" s="333"/>
      <c r="CS215" s="333"/>
      <c r="CT215" s="333"/>
      <c r="CU215" s="333"/>
      <c r="CV215" s="333"/>
      <c r="CW215" s="333"/>
      <c r="CX215" s="333"/>
      <c r="CY215" s="333"/>
      <c r="CZ215" s="333"/>
      <c r="DA215" s="333"/>
      <c r="DB215" s="333"/>
      <c r="DC215" s="333"/>
      <c r="DD215" s="333"/>
      <c r="DE215" s="333"/>
      <c r="DF215" s="333"/>
      <c r="DG215" s="333"/>
      <c r="DH215" s="333"/>
      <c r="DI215" s="333"/>
      <c r="DJ215" s="333"/>
      <c r="DK215" s="333"/>
      <c r="DL215" s="333"/>
      <c r="DM215" s="333"/>
      <c r="DN215" s="333"/>
      <c r="DO215" s="333"/>
      <c r="DP215" s="333"/>
      <c r="DQ215" s="333"/>
      <c r="DR215" s="333"/>
      <c r="DS215" s="333"/>
      <c r="DT215" s="333"/>
      <c r="DU215" s="375"/>
      <c r="DV215" s="375"/>
      <c r="DW215" s="375"/>
      <c r="DX215" s="375"/>
      <c r="DY215" s="375"/>
      <c r="DZ215" s="375"/>
      <c r="EA215" s="375"/>
      <c r="EB215" s="375"/>
      <c r="EC215" s="375"/>
      <c r="ED215" s="375"/>
      <c r="EE215" s="375"/>
      <c r="EF215" s="375"/>
      <c r="EG215" s="375"/>
      <c r="EH215" s="375"/>
      <c r="EI215" s="375"/>
      <c r="EJ215" s="373"/>
      <c r="EK215" s="373"/>
      <c r="EL215" s="366"/>
      <c r="EM215" s="366"/>
      <c r="EN215" s="364">
        <f>+EN209+1</f>
        <v>28</v>
      </c>
      <c r="EO215" s="356">
        <f>+VLOOKUP(EN215, PRECIOS_EJERCICIOS,  2,FALSE)</f>
        <v>330</v>
      </c>
      <c r="EP215" s="513" t="str">
        <f>+IF($AQ$49 = FALSE, "",
IF(VLOOKUP(EO215, basesCantPrimaBrutoRes, 2,FALSE) &gt;= 0, VLOOKUP(EO215, basesCantPrimaBrutoRes, 2,FALSE), 0))</f>
        <v/>
      </c>
      <c r="EQ215" s="514" t="str">
        <f>+IF($AQ$49 = FALSE, "",
IF(VLOOKUP(EO215, basesCantPrimaBrutoRes, 2,FALSE) &lt; 0, -VLOOKUP(EO215, basesCantPrimaBrutoRes, 2,FALSE), 0))</f>
        <v/>
      </c>
      <c r="ER215" s="521" t="str">
        <f>IF($AQ$49 = FALSE, "",
VLOOKUP(EO215, basesCantPrimaBrutoRes, 4,FALSE))</f>
        <v/>
      </c>
      <c r="ES215" s="926">
        <f>IF(ER215 = "", 0,
IF(AND(EP215 &gt; 0, EQ215 &gt;0), 0, IF(EO215 &lt;&gt; $Z$1,
IF(AND(EP215 &lt;&gt; "", EP215 &lt;&gt; 0), -(EP215 * ER215 * 100),
IF(AND(EQ215 &lt;&gt; "", EQ215 &lt;&gt; 0), (EQ215 * ER215 * 100), 0)),
IF(AND(EP215 &lt;&gt; "", EP215 &lt;&gt; 0), -(EP215 * ER215 * 1),
IF(AND(EQ215 &lt;&gt; "", EQ215 &lt;&gt; 0), (EQ215 * ER215 * 1), 0))  )))</f>
        <v>0</v>
      </c>
      <c r="ET215" s="927"/>
      <c r="EU215" s="928"/>
      <c r="EV215" s="926">
        <f>IF(ER215 = "", 0,
IF(AND(EP215 &gt; 0, EQ215 &gt;0), 0,  IF(EO215 &lt;&gt; $Z$1,
IF(AND(EP215 &lt;&gt; "", EP215 &lt;&gt; 0), -(EP215 * ER215 * 100 * (1 + COMIS_OPCION)),
IF(AND(EQ215 &lt;&gt; "", EQ215 &lt;&gt; 0), (EQ215 * ER215 * 100 * (1 - COMIS_OPCION)), 0)),
IF(AND(EP215 &lt;&gt; "", EP215 &lt;&gt; 0), -(EP215 * ER215 * 1 * (1 + COMIS_ACCION)),
IF(AND(EQ215 &lt;&gt; "", EQ215 &lt;&gt; 0), (EQ215 * ER215 * 1 * (1 - COMIS_ACCION)), 0))  )))</f>
        <v>0</v>
      </c>
      <c r="EW215" s="927"/>
      <c r="EX215" s="927"/>
      <c r="EY215" s="927"/>
      <c r="EZ215" s="927"/>
      <c r="FA215" s="927"/>
      <c r="FB215" s="927"/>
      <c r="FC215" s="927"/>
      <c r="FD215" s="929"/>
      <c r="FE215" s="340"/>
      <c r="FF215" s="340"/>
      <c r="FG215" s="364"/>
      <c r="FH215" s="364">
        <f>+FH209+1</f>
        <v>28</v>
      </c>
      <c r="FI215" s="357">
        <f>+VLOOKUP(FH215, PRECIOS_EJERCICIOS,  2,FALSE)</f>
        <v>330</v>
      </c>
      <c r="FJ215" s="515" t="str">
        <f>+IF($AQ$49 = FALSE, "",
IF(VLOOKUP(EO215, basesCantPrimaBrutoRes, 5,FALSE) &gt;= 0, VLOOKUP(EO215, basesCantPrimaBrutoRes, 5,FALSE), 0))</f>
        <v/>
      </c>
      <c r="FK215" s="516" t="str">
        <f>+IF($AQ$49 = FALSE, "",
IF(VLOOKUP(EO215, basesCantPrimaBrutoRes, 5,FALSE) &lt; 0, -VLOOKUP(EO215, basesCantPrimaBrutoRes, 5,FALSE), 0))</f>
        <v/>
      </c>
      <c r="FL215" s="517" t="str">
        <f>IF($AQ$49 = FALSE, "",
VLOOKUP(EO215, basesCantPrimaBrutoRes, 7,FALSE))</f>
        <v/>
      </c>
      <c r="FM215" s="934">
        <f>IF(FL215 = "", 0,
IF(AND(FJ215 &gt; 0, FK215 &gt;0), 0,
IF(AND(FJ215 &lt;&gt; "", FJ215 &lt;&gt; 0), -(FJ215 * FL215 * 100),
IF(AND(FK215 &lt;&gt; "", FK215 &lt;&gt; 0), (FK215 * FL215 * 100), 0)) ))</f>
        <v>0</v>
      </c>
      <c r="FN215" s="935"/>
      <c r="FO215" s="936"/>
      <c r="FP215" s="934">
        <f>IF(FL215 = "", 0,
IF(AND(FJ215 &gt; 0, FK215 &gt;0), 0,
IF(AND(FJ215 &lt;&gt; "", FJ215 &lt;&gt; 0), -(FJ215 * FL215 * 100 * (1 + COMIS_OPCION)),
IF(AND(FK215 &lt;&gt; "", FK215 &lt;&gt; 0), (FK215 * FL215 * 100 * (1 - COMIS_OPCION)), 0)) ))</f>
        <v>0</v>
      </c>
      <c r="FQ215" s="935"/>
      <c r="FR215" s="935"/>
      <c r="FS215" s="935"/>
      <c r="FT215" s="935"/>
      <c r="FU215" s="935"/>
      <c r="FV215" s="935"/>
      <c r="FW215" s="935"/>
      <c r="FX215" s="966"/>
      <c r="FY215" s="341"/>
      <c r="FZ215" s="341"/>
      <c r="GA215" s="341"/>
      <c r="GB215" s="495">
        <f>+IF(EN215 = "", "", EO215)</f>
        <v>330</v>
      </c>
      <c r="GC215" s="495" t="str">
        <f>+IF(GB215="", "", IF(EO215 = $Z$1, "ACCION", "CALL"))</f>
        <v>CALL</v>
      </c>
      <c r="GD215" s="500"/>
      <c r="GE215" s="495">
        <f>+IF(GB215= "", "", EO217)</f>
        <v>0</v>
      </c>
      <c r="GF215" s="495">
        <f>+IF(GB215 = "", "", IFERROR(IF(GB215 &lt;&gt; $Z$1,
IF(GE215 &gt; 0, SUMIFS(ES215:ES219, EP215:EP219, "&gt;0", ES215:ES219, "&lt;&gt;0") / SUMIFS(EP215:EP219, EP215:EP219, "&gt;0", ES215:ES219, "&lt;&gt;0") / -100,
IF(GE215 &lt; 0, SUMIFS(ES215:ES219, EQ215:EQ219, "&gt;0", ES215:ES219, "&lt;&gt;0") / SUMIFS(EQ215:EQ219, EQ215:EQ219, "&gt;0", ES215:ES219, "&lt;&gt;0") / 100, 0)),
IF(GE215 &gt; 0, SUMIFS(ES215:ES219, EP215:EP219, "&gt;0", ES215:ES219, "&lt;&gt;0") / SUMIFS(EP215:EP219, EP215:EP219, "&gt;0", ES215:ES219, "&lt;&gt;0") / -1,
IF(GE215 &lt; 0, SUMIFS(ES215:ES219, EQ215:EQ219, "&gt;0", ES215:ES219, "&lt;&gt;0") / SUMIFS(EQ215:EQ219, EQ215:EQ219, "&gt;0", ES215:ES219, "&lt;&gt;0") / 1, 0)) ), 0))</f>
        <v>0</v>
      </c>
      <c r="GG215" s="495">
        <f>+IF(GB215 = "", "", IFERROR(IF(GB215 &lt;&gt; $Z$1,
IF(GE215 &gt; 0, SUMIFS(EV215:EV219, EP215:EP219, "&gt;0", EV215:EV219, "&lt;&gt;0") / SUMIFS(EP215:EP219, EP215:EP219, "&gt;0", EV215:EV219, "&lt;&gt;0") / -100,
IF(GE215 &lt; 0, SUMIFS(EV215:EV219, EQ215:EQ219, "&gt;0", EV215:EV219, "&lt;&gt;0") / SUMIFS(EQ215:EQ219, EQ215:EQ219, "&gt;0", EV215:EV219, "&lt;&gt;0") / 100, 0)),
IF(GE215 &gt; 0, SUMIFS(EV215:EV219, EP215:EP219, "&gt;0", EV215:EV219, "&lt;&gt;0") / SUMIFS(EP215:EP219, EP215:EP219, "&gt;0", EV215:EV219, "&lt;&gt;0") / -1,
IF(GE215 &lt; 0, SUMIFS(EV215:EV219, EQ215:EQ219, "&gt;0", EV215:EV219, "&lt;&gt;0") / SUMIFS(EQ215:EQ219, EQ215:EQ219, "&gt;0", EV215:EV219, "&lt;&gt;0") / 1, 0)) ), 0))</f>
        <v>0</v>
      </c>
      <c r="GH215" s="359"/>
      <c r="GI215" s="359"/>
      <c r="GJ215" s="501"/>
      <c r="GK215" s="495" t="str">
        <f>+IF(GB215="", "", "PUT")</f>
        <v>PUT</v>
      </c>
      <c r="GL215" s="495">
        <f>+IF(GB215 = "", "", FI217)</f>
        <v>0</v>
      </c>
      <c r="GM215" s="495">
        <f>+IF(GB215 = "", "", IFERROR(
IF(FI217 &gt; 0, SUMIFS(FM215:FM219, FJ215:FJ219, "&gt;0", FM215:FM219, "&lt;&gt;0") / SUMIFS(FJ215:FJ219, FJ215:FJ219, "&gt;0", FM215:FM219, "&lt;&gt;0") / -100,
IF(FI217 &lt; 0, SUMIFS(FM215:FM219, FK215:FK219, "&gt;0", FM215:FM219, "&lt;&gt;0") / SUMIFS(FK215:FK219, FK215:FK219, "&gt;0", FM215:FM219, "&lt;&gt;0") / 100, 0)), 0) )</f>
        <v>0</v>
      </c>
      <c r="GN215" s="359"/>
      <c r="GO215" s="359"/>
      <c r="GP215" s="501"/>
      <c r="GQ215" s="502">
        <f>+IF(GB215 = "", "", IFERROR(
IF(FI217 &gt; 0, SUMIFS(FP215:FP219, FJ215:FJ219, "&gt;0", FP215:FP219, "&lt;&gt;0") / SUMIFS(FJ215:FJ219, FJ215:FJ219, "&gt;0", FP215:FP219, "&lt;&gt;0") / -100,
IF(FI217 &lt; 0, SUMIFS(FP215:FP219, FK215:FK219, "&gt;0", FP215:FP219, "&lt;&gt;0") / SUMIFS(FK215:FK219, FK215:FK219, "&gt;0", FP215:FP219, "&lt;&gt;0") / 100, 0)), 0))</f>
        <v>0</v>
      </c>
      <c r="GR215" s="375"/>
      <c r="GS215" s="333"/>
      <c r="GT215" s="333"/>
      <c r="GU215" s="333"/>
      <c r="GV215" s="333"/>
      <c r="GW215" s="333"/>
      <c r="GX215" s="333"/>
      <c r="GY215" s="333"/>
      <c r="GZ215" s="333"/>
      <c r="HA215" s="333"/>
      <c r="HB215" s="333"/>
      <c r="HC215" s="333"/>
      <c r="HD215" s="333"/>
      <c r="HE215" s="333"/>
      <c r="HF215" s="333"/>
      <c r="HG215" s="331"/>
      <c r="HH215" s="331"/>
      <c r="HI215" s="331"/>
      <c r="HJ215" s="331"/>
      <c r="HK215" s="331"/>
      <c r="HL215" s="331"/>
      <c r="HM215" s="331"/>
      <c r="HN215" s="333"/>
      <c r="HO215" s="333"/>
      <c r="HP215" s="333"/>
      <c r="HQ215" s="333"/>
      <c r="HR215" s="333"/>
      <c r="HS215" s="333"/>
      <c r="HT215" s="333"/>
      <c r="HU215" s="333"/>
      <c r="HV215" s="333"/>
      <c r="HW215" s="333"/>
      <c r="HX215" s="333"/>
      <c r="HY215" s="333"/>
      <c r="HZ215" s="333"/>
      <c r="IA215" s="333"/>
      <c r="IB215" s="333"/>
      <c r="IC215" s="333"/>
      <c r="ID215" s="55"/>
      <c r="IE215" s="47"/>
      <c r="IO215" s="51"/>
    </row>
    <row r="216" spans="13:249" s="142" customFormat="1" ht="15" customHeight="1">
      <c r="M216" s="333"/>
      <c r="N216" s="333"/>
      <c r="O216" s="333"/>
      <c r="P216" s="333"/>
      <c r="Q216" s="333"/>
      <c r="R216" s="333"/>
      <c r="S216" s="333"/>
      <c r="T216" s="333"/>
      <c r="U216" s="333"/>
      <c r="V216" s="333"/>
      <c r="W216" s="333"/>
      <c r="X216" s="333"/>
      <c r="Y216" s="333"/>
      <c r="Z216" s="333"/>
      <c r="AA216" s="333"/>
      <c r="AB216" s="333"/>
      <c r="AC216" s="333"/>
      <c r="AD216" s="333"/>
      <c r="AE216" s="333"/>
      <c r="AF216" s="333"/>
      <c r="AG216" s="333"/>
      <c r="AH216" s="333"/>
      <c r="AI216" s="333"/>
      <c r="AJ216" s="333"/>
      <c r="AK216" s="333"/>
      <c r="AL216" s="333"/>
      <c r="AM216" s="333"/>
      <c r="AN216" s="333"/>
      <c r="AO216" s="333"/>
      <c r="AP216" s="333"/>
      <c r="AQ216" s="333"/>
      <c r="AR216" s="333"/>
      <c r="AS216" s="333"/>
      <c r="AT216" s="333"/>
      <c r="AU216" s="333"/>
      <c r="AV216" s="333"/>
      <c r="AW216" s="333"/>
      <c r="AX216" s="333"/>
      <c r="AY216" s="333"/>
      <c r="AZ216" s="333"/>
      <c r="BA216" s="333"/>
      <c r="BB216" s="333"/>
      <c r="BC216" s="333"/>
      <c r="BD216" s="333"/>
      <c r="BE216" s="333"/>
      <c r="BF216" s="333"/>
      <c r="BG216" s="333"/>
      <c r="BH216" s="333"/>
      <c r="BI216" s="333"/>
      <c r="BJ216" s="333"/>
      <c r="BK216" s="333"/>
      <c r="BL216" s="333"/>
      <c r="BM216" s="333"/>
      <c r="BN216" s="333"/>
      <c r="BO216" s="333"/>
      <c r="BP216" s="333"/>
      <c r="BQ216" s="333"/>
      <c r="BR216" s="333"/>
      <c r="BS216" s="333"/>
      <c r="BT216" s="333"/>
      <c r="BU216" s="333"/>
      <c r="BV216" s="333"/>
      <c r="BW216" s="333"/>
      <c r="BX216" s="333"/>
      <c r="BY216" s="333"/>
      <c r="BZ216" s="333"/>
      <c r="CA216" s="333"/>
      <c r="CB216" s="333"/>
      <c r="CC216" s="333"/>
      <c r="CD216" s="333"/>
      <c r="CE216" s="333"/>
      <c r="CF216" s="333"/>
      <c r="CG216" s="333"/>
      <c r="CH216" s="333"/>
      <c r="CI216" s="333"/>
      <c r="CJ216" s="333"/>
      <c r="CK216" s="333"/>
      <c r="CL216" s="333"/>
      <c r="CM216" s="333"/>
      <c r="CN216" s="333"/>
      <c r="CO216" s="333"/>
      <c r="CP216" s="333"/>
      <c r="CQ216" s="333"/>
      <c r="CR216" s="333"/>
      <c r="CS216" s="333"/>
      <c r="CT216" s="333"/>
      <c r="CU216" s="333"/>
      <c r="CV216" s="333"/>
      <c r="CW216" s="333"/>
      <c r="CX216" s="333"/>
      <c r="CY216" s="333"/>
      <c r="CZ216" s="333"/>
      <c r="DA216" s="333"/>
      <c r="DB216" s="333"/>
      <c r="DC216" s="333"/>
      <c r="DD216" s="333"/>
      <c r="DE216" s="333"/>
      <c r="DF216" s="333"/>
      <c r="DG216" s="333"/>
      <c r="DH216" s="333"/>
      <c r="DI216" s="333"/>
      <c r="DJ216" s="333"/>
      <c r="DK216" s="333"/>
      <c r="DL216" s="333"/>
      <c r="DM216" s="333"/>
      <c r="DN216" s="333"/>
      <c r="DO216" s="333"/>
      <c r="DP216" s="333"/>
      <c r="DQ216" s="333"/>
      <c r="DR216" s="333"/>
      <c r="DS216" s="333"/>
      <c r="DT216" s="333"/>
      <c r="DU216" s="375"/>
      <c r="DV216" s="375"/>
      <c r="DW216" s="375"/>
      <c r="DX216" s="375"/>
      <c r="DY216" s="375"/>
      <c r="DZ216" s="375"/>
      <c r="EA216" s="375"/>
      <c r="EB216" s="375"/>
      <c r="EC216" s="375"/>
      <c r="ED216" s="375"/>
      <c r="EE216" s="375"/>
      <c r="EF216" s="375"/>
      <c r="EG216" s="375"/>
      <c r="EH216" s="375"/>
      <c r="EI216" s="375"/>
      <c r="EJ216" s="373"/>
      <c r="EK216" s="373"/>
      <c r="EL216" s="366"/>
      <c r="EM216" s="366"/>
      <c r="EN216" s="364"/>
      <c r="EO216" s="351"/>
      <c r="EP216" s="347"/>
      <c r="EQ216" s="342"/>
      <c r="ER216" s="522"/>
      <c r="ES216" s="916">
        <f>IF(ER216 = "", 0,
IF(AND(EP216 &gt; 0, EQ216 &gt;0), 0, IF(EO215 &lt;&gt; $Z$1,
IF(AND(EP216 &lt;&gt; "", EP216 &lt;&gt; 0), -(EP216 * ER216 * 100),
IF(AND(EQ216 &lt;&gt; "", EQ216 &lt;&gt; 0), (EQ216 * ER216 * 100), 0)),
IF(AND(EP216 &lt;&gt; "", EP216 &lt;&gt; 0), -(EP216 * ER216 * 1),
IF(AND(EQ216 &lt;&gt; "", EQ216 &lt;&gt; 0), (EQ216 * ER216 * 1), 0))  )))</f>
        <v>0</v>
      </c>
      <c r="ET216" s="917"/>
      <c r="EU216" s="918"/>
      <c r="EV216" s="916">
        <f>IF(ER216 = "", 0,
IF(AND(EP216 &gt; 0, EQ216 &gt;0), 0,  IF(EO215 &lt;&gt; $Z$1,
IF(AND(EP216 &lt;&gt; "", EP216 &lt;&gt; 0), -(EP216 * ER216 * 100 * (1 + COMIS_OPCION)),
IF(AND(EQ216 &lt;&gt; "", EQ216 &lt;&gt; 0), (EQ216 * ER216 * 100 * (1 - COMIS_OPCION)), 0)),
IF(AND(EP216 &lt;&gt; "", EP216 &lt;&gt; 0), -(EP216 * ER216 * 1 * (1 + COMIS_ACCION)),
IF(AND(EQ216 &lt;&gt; "", EQ216 &lt;&gt; 0), (EQ216 * ER216 * 1 * (1 - COMIS_ACCION)), 0))  )))</f>
        <v>0</v>
      </c>
      <c r="EW216" s="917"/>
      <c r="EX216" s="917"/>
      <c r="EY216" s="917"/>
      <c r="EZ216" s="917"/>
      <c r="FA216" s="917"/>
      <c r="FB216" s="917"/>
      <c r="FC216" s="917"/>
      <c r="FD216" s="925"/>
      <c r="FE216" s="340"/>
      <c r="FF216" s="340"/>
      <c r="FG216" s="364"/>
      <c r="FH216" s="364"/>
      <c r="FI216" s="339"/>
      <c r="FJ216" s="347"/>
      <c r="FK216" s="342"/>
      <c r="FL216" s="343"/>
      <c r="FM216" s="930">
        <f>IF(FL216 = "", 0,
IF(AND(FJ216 &gt; 0, FK216 &gt;0), 0,
IF(AND(FJ216 &lt;&gt; "", FJ216 &lt;&gt; 0), -(FJ216 * FL216 * 100),
IF(AND(FK216 &lt;&gt; "", FK216 &lt;&gt; 0), (FK216 * FL216 * 100), 0)) ))</f>
        <v>0</v>
      </c>
      <c r="FN216" s="931"/>
      <c r="FO216" s="932"/>
      <c r="FP216" s="930">
        <f>IF(FL216 = "", 0,
IF(AND(FJ216 &gt; 0, FK216 &gt;0), 0,
IF(AND(FJ216 &lt;&gt; "", FJ216 &lt;&gt; 0), -(FJ216 * FL216 * 100 * (1 + COMIS_OPCION)),
IF(AND(FK216 &lt;&gt; "", FK216 &lt;&gt; 0), (FK216 * FL216 * 100 * (1 - COMIS_OPCION)), 0)) ))</f>
        <v>0</v>
      </c>
      <c r="FQ216" s="931"/>
      <c r="FR216" s="931"/>
      <c r="FS216" s="931"/>
      <c r="FT216" s="931"/>
      <c r="FU216" s="931"/>
      <c r="FV216" s="931"/>
      <c r="FW216" s="931"/>
      <c r="FX216" s="933"/>
      <c r="FY216" s="341"/>
      <c r="FZ216" s="341"/>
      <c r="GA216" s="341"/>
      <c r="GB216" s="495">
        <v>0</v>
      </c>
      <c r="GC216" s="495">
        <v>0</v>
      </c>
      <c r="GD216" s="500"/>
      <c r="GE216" s="495">
        <v>0</v>
      </c>
      <c r="GF216" s="495">
        <v>0</v>
      </c>
      <c r="GG216" s="495">
        <v>0</v>
      </c>
      <c r="GH216" s="359"/>
      <c r="GI216" s="359"/>
      <c r="GJ216" s="501"/>
      <c r="GK216" s="495">
        <v>0</v>
      </c>
      <c r="GL216" s="495">
        <v>0</v>
      </c>
      <c r="GM216" s="495">
        <v>0</v>
      </c>
      <c r="GN216" s="359"/>
      <c r="GO216" s="359"/>
      <c r="GP216" s="501"/>
      <c r="GQ216" s="495">
        <v>0</v>
      </c>
      <c r="GR216" s="375"/>
      <c r="GS216" s="333"/>
      <c r="GT216" s="333"/>
      <c r="GU216" s="333"/>
      <c r="GV216" s="333"/>
      <c r="GW216" s="333"/>
      <c r="GX216" s="333"/>
      <c r="GY216" s="333"/>
      <c r="GZ216" s="333"/>
      <c r="HA216" s="333"/>
      <c r="HB216" s="333"/>
      <c r="HC216" s="333"/>
      <c r="HD216" s="333"/>
      <c r="HE216" s="333"/>
      <c r="HF216" s="333"/>
      <c r="HG216" s="331"/>
      <c r="HH216" s="331"/>
      <c r="HI216" s="331"/>
      <c r="HJ216" s="331"/>
      <c r="HK216" s="331"/>
      <c r="HL216" s="331"/>
      <c r="HM216" s="331"/>
      <c r="HN216" s="333"/>
      <c r="HO216" s="333"/>
      <c r="HP216" s="333"/>
      <c r="HQ216" s="333"/>
      <c r="HR216" s="333"/>
      <c r="HS216" s="333"/>
      <c r="HT216" s="333"/>
      <c r="HU216" s="333"/>
      <c r="HV216" s="333"/>
      <c r="HW216" s="333"/>
      <c r="HX216" s="333"/>
      <c r="HY216" s="333"/>
      <c r="HZ216" s="333"/>
      <c r="IA216" s="333"/>
      <c r="IB216" s="333"/>
      <c r="IC216" s="333"/>
      <c r="ID216" s="55"/>
      <c r="IE216" s="47"/>
      <c r="IO216" s="51"/>
    </row>
    <row r="217" spans="13:249" s="142" customFormat="1" ht="15" customHeight="1">
      <c r="M217" s="333"/>
      <c r="N217" s="333"/>
      <c r="O217" s="333"/>
      <c r="P217" s="333"/>
      <c r="Q217" s="333"/>
      <c r="R217" s="333"/>
      <c r="S217" s="333"/>
      <c r="T217" s="333"/>
      <c r="U217" s="333"/>
      <c r="V217" s="333"/>
      <c r="W217" s="333"/>
      <c r="X217" s="333"/>
      <c r="Y217" s="333"/>
      <c r="Z217" s="333"/>
      <c r="AA217" s="333"/>
      <c r="AB217" s="333"/>
      <c r="AC217" s="333"/>
      <c r="AD217" s="333"/>
      <c r="AE217" s="333"/>
      <c r="AF217" s="333"/>
      <c r="AG217" s="333"/>
      <c r="AH217" s="333"/>
      <c r="AI217" s="333"/>
      <c r="AJ217" s="333"/>
      <c r="AK217" s="333"/>
      <c r="AL217" s="333"/>
      <c r="AM217" s="333"/>
      <c r="AN217" s="333"/>
      <c r="AO217" s="333"/>
      <c r="AP217" s="333"/>
      <c r="AQ217" s="333"/>
      <c r="AR217" s="333"/>
      <c r="AS217" s="333"/>
      <c r="AT217" s="333"/>
      <c r="AU217" s="333"/>
      <c r="AV217" s="333"/>
      <c r="AW217" s="333"/>
      <c r="AX217" s="333"/>
      <c r="AY217" s="333"/>
      <c r="AZ217" s="333"/>
      <c r="BA217" s="333"/>
      <c r="BB217" s="333"/>
      <c r="BC217" s="333"/>
      <c r="BD217" s="333"/>
      <c r="BE217" s="333"/>
      <c r="BF217" s="333"/>
      <c r="BG217" s="333"/>
      <c r="BH217" s="333"/>
      <c r="BI217" s="333"/>
      <c r="BJ217" s="333"/>
      <c r="BK217" s="333"/>
      <c r="BL217" s="333"/>
      <c r="BM217" s="333"/>
      <c r="BN217" s="333"/>
      <c r="BO217" s="333"/>
      <c r="BP217" s="333"/>
      <c r="BQ217" s="333"/>
      <c r="BR217" s="333"/>
      <c r="BS217" s="333"/>
      <c r="BT217" s="333"/>
      <c r="BU217" s="333"/>
      <c r="BV217" s="333"/>
      <c r="BW217" s="333"/>
      <c r="BX217" s="333"/>
      <c r="BY217" s="333"/>
      <c r="BZ217" s="333"/>
      <c r="CA217" s="333"/>
      <c r="CB217" s="333"/>
      <c r="CC217" s="333"/>
      <c r="CD217" s="333"/>
      <c r="CE217" s="333"/>
      <c r="CF217" s="333"/>
      <c r="CG217" s="333"/>
      <c r="CH217" s="333"/>
      <c r="CI217" s="333"/>
      <c r="CJ217" s="333"/>
      <c r="CK217" s="333"/>
      <c r="CL217" s="333"/>
      <c r="CM217" s="333"/>
      <c r="CN217" s="333"/>
      <c r="CO217" s="333"/>
      <c r="CP217" s="333"/>
      <c r="CQ217" s="333"/>
      <c r="CR217" s="333"/>
      <c r="CS217" s="333"/>
      <c r="CT217" s="333"/>
      <c r="CU217" s="333"/>
      <c r="CV217" s="333"/>
      <c r="CW217" s="333"/>
      <c r="CX217" s="333"/>
      <c r="CY217" s="333"/>
      <c r="CZ217" s="333"/>
      <c r="DA217" s="333"/>
      <c r="DB217" s="333"/>
      <c r="DC217" s="333"/>
      <c r="DD217" s="333"/>
      <c r="DE217" s="333"/>
      <c r="DF217" s="333"/>
      <c r="DG217" s="333"/>
      <c r="DH217" s="333"/>
      <c r="DI217" s="333"/>
      <c r="DJ217" s="333"/>
      <c r="DK217" s="333"/>
      <c r="DL217" s="333"/>
      <c r="DM217" s="333"/>
      <c r="DN217" s="333"/>
      <c r="DO217" s="333"/>
      <c r="DP217" s="333"/>
      <c r="DQ217" s="333"/>
      <c r="DR217" s="333"/>
      <c r="DS217" s="333"/>
      <c r="DT217" s="333"/>
      <c r="DU217" s="375"/>
      <c r="DV217" s="375"/>
      <c r="DW217" s="375"/>
      <c r="DX217" s="375"/>
      <c r="DY217" s="375"/>
      <c r="DZ217" s="375"/>
      <c r="EA217" s="375"/>
      <c r="EB217" s="375"/>
      <c r="EC217" s="375"/>
      <c r="ED217" s="375"/>
      <c r="EE217" s="375"/>
      <c r="EF217" s="375"/>
      <c r="EG217" s="375"/>
      <c r="EH217" s="375"/>
      <c r="EI217" s="375"/>
      <c r="EJ217" s="373"/>
      <c r="EK217" s="373"/>
      <c r="EL217" s="366"/>
      <c r="EM217" s="368"/>
      <c r="EN217" s="364"/>
      <c r="EO217" s="352">
        <f>+SUM(EP215:EP219) - SUM(EQ215:EQ219)</f>
        <v>0</v>
      </c>
      <c r="EP217" s="347"/>
      <c r="EQ217" s="342"/>
      <c r="ER217" s="522"/>
      <c r="ES217" s="916">
        <f>IF(ER217 = "", 0,
IF(AND(EP217 &gt; 0, EQ217 &gt;0), 0, IF(EO215 &lt;&gt; $Z$1,
IF(AND(EP217 &lt;&gt; "", EP217 &lt;&gt; 0), -(EP217 * ER217 * 100),
IF(AND(EQ217 &lt;&gt; "", EQ217 &lt;&gt; 0), (EQ217 * ER217 * 100), 0)),
IF(AND(EP217 &lt;&gt; "", EP217 &lt;&gt; 0), -(EP217 * ER217 * 1),
IF(AND(EQ217 &lt;&gt; "", EQ217 &lt;&gt; 0), (EQ217 * ER217 * 1), 0))  )))</f>
        <v>0</v>
      </c>
      <c r="ET217" s="917"/>
      <c r="EU217" s="918"/>
      <c r="EV217" s="916">
        <f>IF(ER217 = "", 0,
IF(AND(EP217 &gt; 0, EQ217 &gt;0), 0,  IF(EO215 &lt;&gt; $Z$1,
IF(AND(EP217 &lt;&gt; "", EP217 &lt;&gt; 0), -(EP217 * ER217 * 100 * (1 + COMIS_OPCION)),
IF(AND(EQ217 &lt;&gt; "", EQ217 &lt;&gt; 0), (EQ217 * ER217 * 100 * (1 - COMIS_OPCION)), 0)),
IF(AND(EP217 &lt;&gt; "", EP217 &lt;&gt; 0), -(EP217 * ER217 * 1 * (1 + COMIS_ACCION)),
IF(AND(EQ217 &lt;&gt; "", EQ217 &lt;&gt; 0), (EQ217 * ER217 * 1 * (1 - COMIS_ACCION)), 0))  )))</f>
        <v>0</v>
      </c>
      <c r="EW217" s="917"/>
      <c r="EX217" s="917"/>
      <c r="EY217" s="917"/>
      <c r="EZ217" s="917"/>
      <c r="FA217" s="917"/>
      <c r="FB217" s="917"/>
      <c r="FC217" s="917"/>
      <c r="FD217" s="925"/>
      <c r="FE217" s="340"/>
      <c r="FF217" s="340"/>
      <c r="FG217" s="365"/>
      <c r="FH217" s="365"/>
      <c r="FI217" s="354">
        <f>+SUM(FJ215:FJ219) - SUM(FK215:FK219)</f>
        <v>0</v>
      </c>
      <c r="FJ217" s="347"/>
      <c r="FK217" s="342"/>
      <c r="FL217" s="343"/>
      <c r="FM217" s="930">
        <f>IF(FL217 = "", 0,
IF(AND(FJ217 &gt; 0, FK217 &gt;0), 0,
IF(AND(FJ217 &lt;&gt; "", FJ217 &lt;&gt; 0), -(FJ217 * FL217 * 100),
IF(AND(FK217 &lt;&gt; "", FK217 &lt;&gt; 0), (FK217 * FL217 * 100), 0)) ))</f>
        <v>0</v>
      </c>
      <c r="FN217" s="931"/>
      <c r="FO217" s="932"/>
      <c r="FP217" s="930">
        <f>IF(FL217 = "", 0,
IF(AND(FJ217 &gt; 0, FK217 &gt;0), 0,
IF(AND(FJ217 &lt;&gt; "", FJ217 &lt;&gt; 0), -(FJ217 * FL217 * 100 * (1 + COMIS_OPCION)),
IF(AND(FK217 &lt;&gt; "", FK217 &lt;&gt; 0), (FK217 * FL217 * 100 * (1 - COMIS_OPCION)), 0)) ))</f>
        <v>0</v>
      </c>
      <c r="FQ217" s="931"/>
      <c r="FR217" s="931"/>
      <c r="FS217" s="931"/>
      <c r="FT217" s="931"/>
      <c r="FU217" s="931"/>
      <c r="FV217" s="931"/>
      <c r="FW217" s="931"/>
      <c r="FX217" s="933"/>
      <c r="FY217" s="341"/>
      <c r="FZ217" s="341"/>
      <c r="GA217" s="341"/>
      <c r="GB217" s="495">
        <v>0</v>
      </c>
      <c r="GC217" s="495">
        <v>0</v>
      </c>
      <c r="GD217" s="500"/>
      <c r="GE217" s="495">
        <v>0</v>
      </c>
      <c r="GF217" s="495">
        <v>0</v>
      </c>
      <c r="GG217" s="495">
        <v>0</v>
      </c>
      <c r="GH217" s="359"/>
      <c r="GI217" s="359"/>
      <c r="GJ217" s="501"/>
      <c r="GK217" s="495">
        <v>0</v>
      </c>
      <c r="GL217" s="495">
        <v>0</v>
      </c>
      <c r="GM217" s="495">
        <v>0</v>
      </c>
      <c r="GN217" s="359"/>
      <c r="GO217" s="359"/>
      <c r="GP217" s="501"/>
      <c r="GQ217" s="495">
        <v>0</v>
      </c>
      <c r="GR217" s="375"/>
      <c r="GS217" s="333"/>
      <c r="GT217" s="333"/>
      <c r="GU217" s="333"/>
      <c r="GV217" s="333"/>
      <c r="GW217" s="333"/>
      <c r="GX217" s="333"/>
      <c r="GY217" s="333"/>
      <c r="GZ217" s="333"/>
      <c r="HA217" s="333"/>
      <c r="HB217" s="333"/>
      <c r="HC217" s="333"/>
      <c r="HD217" s="333"/>
      <c r="HE217" s="333"/>
      <c r="HF217" s="333"/>
      <c r="HG217" s="331"/>
      <c r="HH217" s="331"/>
      <c r="HI217" s="331"/>
      <c r="HJ217" s="331"/>
      <c r="HK217" s="331"/>
      <c r="HL217" s="331"/>
      <c r="HM217" s="331"/>
      <c r="HN217" s="333"/>
      <c r="HO217" s="333"/>
      <c r="HP217" s="333"/>
      <c r="HQ217" s="333"/>
      <c r="HR217" s="333"/>
      <c r="HS217" s="333"/>
      <c r="HT217" s="333"/>
      <c r="HU217" s="333"/>
      <c r="HV217" s="333"/>
      <c r="HW217" s="333"/>
      <c r="HX217" s="333"/>
      <c r="HY217" s="333"/>
      <c r="HZ217" s="333"/>
      <c r="IA217" s="333"/>
      <c r="IB217" s="333"/>
      <c r="IC217" s="333"/>
      <c r="ID217" s="55"/>
      <c r="IE217" s="47"/>
      <c r="IO217" s="51"/>
    </row>
    <row r="218" spans="13:249" s="142" customFormat="1" ht="15" customHeight="1">
      <c r="M218" s="333"/>
      <c r="N218" s="333"/>
      <c r="O218" s="333"/>
      <c r="P218" s="333"/>
      <c r="Q218" s="333"/>
      <c r="R218" s="333"/>
      <c r="S218" s="333"/>
      <c r="T218" s="333"/>
      <c r="U218" s="333"/>
      <c r="V218" s="333"/>
      <c r="W218" s="333"/>
      <c r="X218" s="333"/>
      <c r="Y218" s="333"/>
      <c r="Z218" s="333"/>
      <c r="AA218" s="333"/>
      <c r="AB218" s="333"/>
      <c r="AC218" s="333"/>
      <c r="AD218" s="333"/>
      <c r="AE218" s="333"/>
      <c r="AF218" s="333"/>
      <c r="AG218" s="333"/>
      <c r="AH218" s="333"/>
      <c r="AI218" s="333"/>
      <c r="AJ218" s="333"/>
      <c r="AK218" s="333"/>
      <c r="AL218" s="333"/>
      <c r="AM218" s="333"/>
      <c r="AN218" s="333"/>
      <c r="AO218" s="333"/>
      <c r="AP218" s="333"/>
      <c r="AQ218" s="333"/>
      <c r="AR218" s="333"/>
      <c r="AS218" s="333"/>
      <c r="AT218" s="333"/>
      <c r="AU218" s="333"/>
      <c r="AV218" s="333"/>
      <c r="AW218" s="333"/>
      <c r="AX218" s="333"/>
      <c r="AY218" s="333"/>
      <c r="AZ218" s="333"/>
      <c r="BA218" s="333"/>
      <c r="BB218" s="333"/>
      <c r="BC218" s="333"/>
      <c r="BD218" s="333"/>
      <c r="BE218" s="333"/>
      <c r="BF218" s="333"/>
      <c r="BG218" s="333"/>
      <c r="BH218" s="333"/>
      <c r="BI218" s="333"/>
      <c r="BJ218" s="333"/>
      <c r="BK218" s="333"/>
      <c r="BL218" s="333"/>
      <c r="BM218" s="333"/>
      <c r="BN218" s="333"/>
      <c r="BO218" s="333"/>
      <c r="BP218" s="333"/>
      <c r="BQ218" s="333"/>
      <c r="BR218" s="333"/>
      <c r="BS218" s="333"/>
      <c r="BT218" s="333"/>
      <c r="BU218" s="333"/>
      <c r="BV218" s="333"/>
      <c r="BW218" s="333"/>
      <c r="BX218" s="333"/>
      <c r="BY218" s="333"/>
      <c r="BZ218" s="333"/>
      <c r="CA218" s="333"/>
      <c r="CB218" s="333"/>
      <c r="CC218" s="333"/>
      <c r="CD218" s="333"/>
      <c r="CE218" s="333"/>
      <c r="CF218" s="333"/>
      <c r="CG218" s="333"/>
      <c r="CH218" s="333"/>
      <c r="CI218" s="333"/>
      <c r="CJ218" s="333"/>
      <c r="CK218" s="333"/>
      <c r="CL218" s="333"/>
      <c r="CM218" s="333"/>
      <c r="CN218" s="333"/>
      <c r="CO218" s="333"/>
      <c r="CP218" s="333"/>
      <c r="CQ218" s="333"/>
      <c r="CR218" s="333"/>
      <c r="CS218" s="333"/>
      <c r="CT218" s="333"/>
      <c r="CU218" s="333"/>
      <c r="CV218" s="333"/>
      <c r="CW218" s="333"/>
      <c r="CX218" s="333"/>
      <c r="CY218" s="333"/>
      <c r="CZ218" s="333"/>
      <c r="DA218" s="333"/>
      <c r="DB218" s="333"/>
      <c r="DC218" s="333"/>
      <c r="DD218" s="333"/>
      <c r="DE218" s="333"/>
      <c r="DF218" s="333"/>
      <c r="DG218" s="333"/>
      <c r="DH218" s="333"/>
      <c r="DI218" s="333"/>
      <c r="DJ218" s="333"/>
      <c r="DK218" s="333"/>
      <c r="DL218" s="333"/>
      <c r="DM218" s="333"/>
      <c r="DN218" s="333"/>
      <c r="DO218" s="333"/>
      <c r="DP218" s="333"/>
      <c r="DQ218" s="333"/>
      <c r="DR218" s="333"/>
      <c r="DS218" s="333"/>
      <c r="DT218" s="333"/>
      <c r="DU218" s="375"/>
      <c r="DV218" s="375"/>
      <c r="DW218" s="375"/>
      <c r="DX218" s="375"/>
      <c r="DY218" s="375"/>
      <c r="DZ218" s="375"/>
      <c r="EA218" s="375"/>
      <c r="EB218" s="375"/>
      <c r="EC218" s="375"/>
      <c r="ED218" s="375"/>
      <c r="EE218" s="375"/>
      <c r="EF218" s="375"/>
      <c r="EG218" s="375"/>
      <c r="EH218" s="375"/>
      <c r="EI218" s="375"/>
      <c r="EJ218" s="373"/>
      <c r="EK218" s="373"/>
      <c r="EL218" s="366"/>
      <c r="EM218" s="368"/>
      <c r="EN218" s="364"/>
      <c r="EO218" s="352">
        <f>IF(EO217=0, 0, SUM(EV215:FD219))</f>
        <v>0</v>
      </c>
      <c r="EP218" s="347"/>
      <c r="EQ218" s="342"/>
      <c r="ER218" s="522"/>
      <c r="ES218" s="916">
        <f>IF(ER218 = "", 0,
IF(AND(EP218 &gt; 0, EQ218 &gt;0), 0, IF(EO215 &lt;&gt; $Z$1,
IF(AND(EP218 &lt;&gt; "", EP218 &lt;&gt; 0), -(EP218 * ER218 * 100),
IF(AND(EQ218 &lt;&gt; "", EQ218 &lt;&gt; 0), (EQ218 * ER218 * 100), 0)),
IF(AND(EP218 &lt;&gt; "", EP218 &lt;&gt; 0), -(EP218 * ER218 * 1),
IF(AND(EQ218 &lt;&gt; "", EQ218 &lt;&gt; 0), (EQ218 * ER218 * 1), 0))  )))</f>
        <v>0</v>
      </c>
      <c r="ET218" s="917"/>
      <c r="EU218" s="918"/>
      <c r="EV218" s="916">
        <f>IF(ER218 = "", 0,
IF(AND(EP218 &gt; 0, EQ218 &gt;0), 0,  IF(EO215 &lt;&gt; $Z$1,
IF(AND(EP218 &lt;&gt; "", EP218 &lt;&gt; 0), -(EP218 * ER218 * 100 * (1 + COMIS_OPCION)),
IF(AND(EQ218 &lt;&gt; "", EQ218 &lt;&gt; 0), (EQ218 * ER218 * 100 * (1 - COMIS_OPCION)), 0)),
IF(AND(EP218 &lt;&gt; "", EP218 &lt;&gt; 0), -(EP218 * ER218 * 1 * (1 + COMIS_ACCION)),
IF(AND(EQ218 &lt;&gt; "", EQ218 &lt;&gt; 0), (EQ218 * ER218 * 1 * (1 - COMIS_ACCION)), 0))  )))</f>
        <v>0</v>
      </c>
      <c r="EW218" s="917"/>
      <c r="EX218" s="917"/>
      <c r="EY218" s="917"/>
      <c r="EZ218" s="917"/>
      <c r="FA218" s="917"/>
      <c r="FB218" s="917"/>
      <c r="FC218" s="917"/>
      <c r="FD218" s="925"/>
      <c r="FE218" s="340"/>
      <c r="FF218" s="340"/>
      <c r="FG218" s="365"/>
      <c r="FH218" s="365"/>
      <c r="FI218" s="354">
        <f>IF(FI217=0, 0, SUM(FP215:FX219))</f>
        <v>0</v>
      </c>
      <c r="FJ218" s="347"/>
      <c r="FK218" s="342"/>
      <c r="FL218" s="343"/>
      <c r="FM218" s="930">
        <f>IF(FL218 = "", 0,
IF(AND(FJ218 &gt; 0, FK218 &gt;0), 0,
IF(AND(FJ218 &lt;&gt; "", FJ218 &lt;&gt; 0), -(FJ218 * FL218 * 100),
IF(AND(FK218 &lt;&gt; "", FK218 &lt;&gt; 0), (FK218 * FL218 * 100), 0)) ))</f>
        <v>0</v>
      </c>
      <c r="FN218" s="931"/>
      <c r="FO218" s="932"/>
      <c r="FP218" s="930">
        <f>IF(FL218 = "", 0,
IF(AND(FJ218 &gt; 0, FK218 &gt;0), 0,
IF(AND(FJ218 &lt;&gt; "", FJ218 &lt;&gt; 0), -(FJ218 * FL218 * 100 * (1 + COMIS_OPCION)),
IF(AND(FK218 &lt;&gt; "", FK218 &lt;&gt; 0), (FK218 * FL218 * 100 * (1 - COMIS_OPCION)), 0)) ))</f>
        <v>0</v>
      </c>
      <c r="FQ218" s="931"/>
      <c r="FR218" s="931"/>
      <c r="FS218" s="931"/>
      <c r="FT218" s="931"/>
      <c r="FU218" s="931"/>
      <c r="FV218" s="931"/>
      <c r="FW218" s="931"/>
      <c r="FX218" s="933"/>
      <c r="FY218" s="341"/>
      <c r="FZ218" s="341"/>
      <c r="GA218" s="341"/>
      <c r="GB218" s="495">
        <v>0</v>
      </c>
      <c r="GC218" s="495">
        <v>0</v>
      </c>
      <c r="GD218" s="500"/>
      <c r="GE218" s="495">
        <v>0</v>
      </c>
      <c r="GF218" s="495">
        <v>0</v>
      </c>
      <c r="GG218" s="495">
        <v>0</v>
      </c>
      <c r="GH218" s="359"/>
      <c r="GI218" s="359"/>
      <c r="GJ218" s="501"/>
      <c r="GK218" s="495">
        <v>0</v>
      </c>
      <c r="GL218" s="495">
        <v>0</v>
      </c>
      <c r="GM218" s="495">
        <v>0</v>
      </c>
      <c r="GN218" s="359"/>
      <c r="GO218" s="359"/>
      <c r="GP218" s="501"/>
      <c r="GQ218" s="495">
        <v>0</v>
      </c>
      <c r="GR218" s="375"/>
      <c r="GS218" s="333"/>
      <c r="GT218" s="333"/>
      <c r="GU218" s="333"/>
      <c r="GV218" s="333"/>
      <c r="GW218" s="333"/>
      <c r="GX218" s="333"/>
      <c r="GY218" s="333"/>
      <c r="GZ218" s="333"/>
      <c r="HA218" s="333"/>
      <c r="HB218" s="333"/>
      <c r="HC218" s="333"/>
      <c r="HD218" s="333"/>
      <c r="HE218" s="333"/>
      <c r="HF218" s="333"/>
      <c r="HG218" s="331"/>
      <c r="HH218" s="331"/>
      <c r="HI218" s="331"/>
      <c r="HJ218" s="331"/>
      <c r="HK218" s="331"/>
      <c r="HL218" s="331"/>
      <c r="HM218" s="331"/>
      <c r="HN218" s="333"/>
      <c r="HO218" s="333"/>
      <c r="HP218" s="333"/>
      <c r="HQ218" s="333"/>
      <c r="HR218" s="333"/>
      <c r="HS218" s="333"/>
      <c r="HT218" s="333"/>
      <c r="HU218" s="333"/>
      <c r="HV218" s="333"/>
      <c r="HW218" s="333"/>
      <c r="HX218" s="333"/>
      <c r="HY218" s="333"/>
      <c r="HZ218" s="333"/>
      <c r="IA218" s="333"/>
      <c r="IB218" s="333"/>
      <c r="IC218" s="333"/>
      <c r="ID218" s="55"/>
      <c r="IE218" s="47"/>
      <c r="IO218" s="51"/>
    </row>
    <row r="219" spans="13:249" s="142" customFormat="1" ht="15" customHeight="1" thickBot="1">
      <c r="M219" s="333"/>
      <c r="N219" s="333"/>
      <c r="O219" s="333"/>
      <c r="P219" s="333"/>
      <c r="Q219" s="333"/>
      <c r="R219" s="333"/>
      <c r="S219" s="333"/>
      <c r="T219" s="333"/>
      <c r="U219" s="333"/>
      <c r="V219" s="333"/>
      <c r="W219" s="333"/>
      <c r="X219" s="333"/>
      <c r="Y219" s="333"/>
      <c r="Z219" s="333"/>
      <c r="AA219" s="333"/>
      <c r="AB219" s="333"/>
      <c r="AC219" s="333"/>
      <c r="AD219" s="333"/>
      <c r="AE219" s="333"/>
      <c r="AF219" s="333"/>
      <c r="AG219" s="333"/>
      <c r="AH219" s="333"/>
      <c r="AI219" s="333"/>
      <c r="AJ219" s="333"/>
      <c r="AK219" s="333"/>
      <c r="AL219" s="333"/>
      <c r="AM219" s="333"/>
      <c r="AN219" s="333"/>
      <c r="AO219" s="333"/>
      <c r="AP219" s="333"/>
      <c r="AQ219" s="333"/>
      <c r="AR219" s="333"/>
      <c r="AS219" s="333"/>
      <c r="AT219" s="333"/>
      <c r="AU219" s="333"/>
      <c r="AV219" s="333"/>
      <c r="AW219" s="333"/>
      <c r="AX219" s="333"/>
      <c r="AY219" s="333"/>
      <c r="AZ219" s="333"/>
      <c r="BA219" s="333"/>
      <c r="BB219" s="333"/>
      <c r="BC219" s="333"/>
      <c r="BD219" s="333"/>
      <c r="BE219" s="333"/>
      <c r="BF219" s="333"/>
      <c r="BG219" s="333"/>
      <c r="BH219" s="333"/>
      <c r="BI219" s="333"/>
      <c r="BJ219" s="333"/>
      <c r="BK219" s="333"/>
      <c r="BL219" s="333"/>
      <c r="BM219" s="333"/>
      <c r="BN219" s="333"/>
      <c r="BO219" s="333"/>
      <c r="BP219" s="333"/>
      <c r="BQ219" s="333"/>
      <c r="BR219" s="333"/>
      <c r="BS219" s="333"/>
      <c r="BT219" s="333"/>
      <c r="BU219" s="333"/>
      <c r="BV219" s="333"/>
      <c r="BW219" s="333"/>
      <c r="BX219" s="333"/>
      <c r="BY219" s="333"/>
      <c r="BZ219" s="333"/>
      <c r="CA219" s="333"/>
      <c r="CB219" s="333"/>
      <c r="CC219" s="333"/>
      <c r="CD219" s="333"/>
      <c r="CE219" s="333"/>
      <c r="CF219" s="333"/>
      <c r="CG219" s="333"/>
      <c r="CH219" s="333"/>
      <c r="CI219" s="333"/>
      <c r="CJ219" s="333"/>
      <c r="CK219" s="333"/>
      <c r="CL219" s="333"/>
      <c r="CM219" s="333"/>
      <c r="CN219" s="333"/>
      <c r="CO219" s="333"/>
      <c r="CP219" s="333"/>
      <c r="CQ219" s="333"/>
      <c r="CR219" s="333"/>
      <c r="CS219" s="333"/>
      <c r="CT219" s="333"/>
      <c r="CU219" s="333"/>
      <c r="CV219" s="333"/>
      <c r="CW219" s="333"/>
      <c r="CX219" s="333"/>
      <c r="CY219" s="333"/>
      <c r="CZ219" s="333"/>
      <c r="DA219" s="333"/>
      <c r="DB219" s="333"/>
      <c r="DC219" s="333"/>
      <c r="DD219" s="333"/>
      <c r="DE219" s="333"/>
      <c r="DF219" s="333"/>
      <c r="DG219" s="333"/>
      <c r="DH219" s="333"/>
      <c r="DI219" s="333"/>
      <c r="DJ219" s="333"/>
      <c r="DK219" s="333"/>
      <c r="DL219" s="333"/>
      <c r="DM219" s="333"/>
      <c r="DN219" s="333"/>
      <c r="DO219" s="333"/>
      <c r="DP219" s="333"/>
      <c r="DQ219" s="333"/>
      <c r="DR219" s="333"/>
      <c r="DS219" s="333"/>
      <c r="DT219" s="333"/>
      <c r="DU219" s="375"/>
      <c r="DV219" s="375"/>
      <c r="DW219" s="375"/>
      <c r="DX219" s="375"/>
      <c r="DY219" s="375"/>
      <c r="DZ219" s="375"/>
      <c r="EA219" s="375"/>
      <c r="EB219" s="375"/>
      <c r="EC219" s="375"/>
      <c r="ED219" s="375"/>
      <c r="EE219" s="375"/>
      <c r="EF219" s="375"/>
      <c r="EG219" s="375"/>
      <c r="EH219" s="375"/>
      <c r="EI219" s="375"/>
      <c r="EJ219" s="373"/>
      <c r="EK219" s="373"/>
      <c r="EL219" s="366"/>
      <c r="EM219" s="368"/>
      <c r="EN219" s="364"/>
      <c r="EO219" s="353">
        <f>+IF(EO217= 0, 0, GG215)</f>
        <v>0</v>
      </c>
      <c r="EP219" s="350"/>
      <c r="EQ219" s="344"/>
      <c r="ER219" s="523"/>
      <c r="ES219" s="921">
        <f>IF(ER219 = "", 0,
IF(AND(EP219 &gt; 0, EQ219 &gt;0), 0, IF(EO215 &lt;&gt; $Z$1,
IF(AND(EP219 &lt;&gt; "", EP219 &lt;&gt; 0), -(EP219 * ER219 * 100),
IF(AND(EQ219 &lt;&gt; "", EQ219 &lt;&gt; 0), (EQ219 * ER219 * 100), 0)),
IF(AND(EP219 &lt;&gt; "", EP219 &lt;&gt; 0), -(EP219 * ER219 * 1),
IF(AND(EQ219 &lt;&gt; "", EQ219 &lt;&gt; 0), (EQ219 * ER219 * 1), 0))  )))</f>
        <v>0</v>
      </c>
      <c r="ET219" s="922"/>
      <c r="EU219" s="924"/>
      <c r="EV219" s="921">
        <f>IF(ER219 = "", 0,
IF(AND(EP219 &gt; 0, EQ219 &gt;0), 0,  IF(EO215 &lt;&gt; $Z$1,
IF(AND(EP219 &lt;&gt; "", EP219 &lt;&gt; 0), -(EP219 * ER219 * 100 * (1 + COMIS_OPCION)),
IF(AND(EQ219 &lt;&gt; "", EQ219 &lt;&gt; 0), (EQ219 * ER219 * 100 * (1 - COMIS_OPCION)), 0)),
IF(AND(EP219 &lt;&gt; "", EP219 &lt;&gt; 0), -(EP219 * ER219 * 1 * (1 + COMIS_ACCION)),
IF(AND(EQ219 &lt;&gt; "", EQ219 &lt;&gt; 0), (EQ219 * ER219 * 1 * (1 - COMIS_ACCION)), 0))  )))</f>
        <v>0</v>
      </c>
      <c r="EW219" s="922"/>
      <c r="EX219" s="922"/>
      <c r="EY219" s="922"/>
      <c r="EZ219" s="922"/>
      <c r="FA219" s="922"/>
      <c r="FB219" s="922"/>
      <c r="FC219" s="922"/>
      <c r="FD219" s="923"/>
      <c r="FE219" s="340"/>
      <c r="FF219" s="340"/>
      <c r="FG219" s="365"/>
      <c r="FH219" s="365"/>
      <c r="FI219" s="349">
        <f>+IF(FI217= 0, 0, GQ215)</f>
        <v>0</v>
      </c>
      <c r="FJ219" s="348"/>
      <c r="FK219" s="345"/>
      <c r="FL219" s="346"/>
      <c r="FM219" s="937">
        <f>IF(FL219 = "", 0,
IF(AND(FJ219 &gt; 0, FK219 &gt;0), 0,
IF(AND(FJ219 &lt;&gt; "", FJ219 &lt;&gt; 0), -(FJ219 * FL219 * 100),
IF(AND(FK219 &lt;&gt; "", FK219 &lt;&gt; 0), (FK219 * FL219 * 100), 0)) ))</f>
        <v>0</v>
      </c>
      <c r="FN219" s="938"/>
      <c r="FO219" s="939"/>
      <c r="FP219" s="937">
        <f>IF(FL219 = "", 0,
IF(AND(FJ219 &gt; 0, FK219 &gt;0), 0,
IF(AND(FJ219 &lt;&gt; "", FJ219 &lt;&gt; 0), -(FJ219 * FL219 * 100 * (1 + COMIS_OPCION)),
IF(AND(FK219 &lt;&gt; "", FK219 &lt;&gt; 0), (FK219 * FL219 * 100 * (1 - COMIS_OPCION)), 0)) ))</f>
        <v>0</v>
      </c>
      <c r="FQ219" s="938"/>
      <c r="FR219" s="938"/>
      <c r="FS219" s="938"/>
      <c r="FT219" s="938"/>
      <c r="FU219" s="938"/>
      <c r="FV219" s="938"/>
      <c r="FW219" s="938"/>
      <c r="FX219" s="969"/>
      <c r="FY219" s="341"/>
      <c r="FZ219" s="341"/>
      <c r="GA219" s="341"/>
      <c r="GB219" s="495">
        <v>0</v>
      </c>
      <c r="GC219" s="495">
        <v>0</v>
      </c>
      <c r="GD219" s="500"/>
      <c r="GE219" s="495">
        <v>0</v>
      </c>
      <c r="GF219" s="495">
        <v>0</v>
      </c>
      <c r="GG219" s="495">
        <v>0</v>
      </c>
      <c r="GH219" s="359"/>
      <c r="GI219" s="359"/>
      <c r="GJ219" s="501"/>
      <c r="GK219" s="495">
        <v>0</v>
      </c>
      <c r="GL219" s="495">
        <v>0</v>
      </c>
      <c r="GM219" s="495">
        <v>0</v>
      </c>
      <c r="GN219" s="359"/>
      <c r="GO219" s="359"/>
      <c r="GP219" s="501"/>
      <c r="GQ219" s="495">
        <v>0</v>
      </c>
      <c r="GR219" s="375"/>
      <c r="GS219" s="333"/>
      <c r="GT219" s="333"/>
      <c r="GU219" s="333"/>
      <c r="GV219" s="333"/>
      <c r="GW219" s="333"/>
      <c r="GX219" s="333"/>
      <c r="GY219" s="333"/>
      <c r="GZ219" s="333"/>
      <c r="HA219" s="333"/>
      <c r="HB219" s="333"/>
      <c r="HC219" s="333"/>
      <c r="HD219" s="333"/>
      <c r="HE219" s="333"/>
      <c r="HF219" s="333"/>
      <c r="HG219" s="331"/>
      <c r="HH219" s="331"/>
      <c r="HI219" s="331"/>
      <c r="HJ219" s="331"/>
      <c r="HK219" s="331"/>
      <c r="HL219" s="331"/>
      <c r="HM219" s="331"/>
      <c r="HN219" s="333"/>
      <c r="HO219" s="333"/>
      <c r="HP219" s="333"/>
      <c r="HQ219" s="333"/>
      <c r="HR219" s="333"/>
      <c r="HS219" s="333"/>
      <c r="HT219" s="333"/>
      <c r="HU219" s="333"/>
      <c r="HV219" s="333"/>
      <c r="HW219" s="333"/>
      <c r="HX219" s="333"/>
      <c r="HY219" s="333"/>
      <c r="HZ219" s="333"/>
      <c r="IA219" s="333"/>
      <c r="IB219" s="333"/>
      <c r="IC219" s="333"/>
      <c r="ID219" s="55"/>
      <c r="IE219" s="47"/>
      <c r="IO219" s="51"/>
    </row>
    <row r="220" spans="13:249" s="142" customFormat="1" ht="15" customHeight="1" thickBot="1">
      <c r="M220" s="333"/>
      <c r="N220" s="333"/>
      <c r="O220" s="333"/>
      <c r="P220" s="333"/>
      <c r="Q220" s="333"/>
      <c r="R220" s="333"/>
      <c r="S220" s="333"/>
      <c r="T220" s="333"/>
      <c r="U220" s="333"/>
      <c r="V220" s="333"/>
      <c r="W220" s="333"/>
      <c r="X220" s="333"/>
      <c r="Y220" s="333"/>
      <c r="Z220" s="333"/>
      <c r="AA220" s="333"/>
      <c r="AB220" s="333"/>
      <c r="AC220" s="333"/>
      <c r="AD220" s="333"/>
      <c r="AE220" s="333"/>
      <c r="AF220" s="333"/>
      <c r="AG220" s="333"/>
      <c r="AH220" s="333"/>
      <c r="AI220" s="333"/>
      <c r="AJ220" s="333"/>
      <c r="AK220" s="333"/>
      <c r="AL220" s="333"/>
      <c r="AM220" s="333"/>
      <c r="AN220" s="333"/>
      <c r="AO220" s="333"/>
      <c r="AP220" s="333"/>
      <c r="AQ220" s="333"/>
      <c r="AR220" s="333"/>
      <c r="AS220" s="333"/>
      <c r="AT220" s="333"/>
      <c r="AU220" s="333"/>
      <c r="AV220" s="333"/>
      <c r="AW220" s="333"/>
      <c r="AX220" s="333"/>
      <c r="AY220" s="333"/>
      <c r="AZ220" s="333"/>
      <c r="BA220" s="333"/>
      <c r="BB220" s="333"/>
      <c r="BC220" s="333"/>
      <c r="BD220" s="333"/>
      <c r="BE220" s="333"/>
      <c r="BF220" s="333"/>
      <c r="BG220" s="333"/>
      <c r="BH220" s="333"/>
      <c r="BI220" s="333"/>
      <c r="BJ220" s="333"/>
      <c r="BK220" s="333"/>
      <c r="BL220" s="333"/>
      <c r="BM220" s="333"/>
      <c r="BN220" s="333"/>
      <c r="BO220" s="333"/>
      <c r="BP220" s="333"/>
      <c r="BQ220" s="333"/>
      <c r="BR220" s="333"/>
      <c r="BS220" s="333"/>
      <c r="BT220" s="333"/>
      <c r="BU220" s="333"/>
      <c r="BV220" s="333"/>
      <c r="BW220" s="333"/>
      <c r="BX220" s="333"/>
      <c r="BY220" s="333"/>
      <c r="BZ220" s="333"/>
      <c r="CA220" s="333"/>
      <c r="CB220" s="333"/>
      <c r="CC220" s="333"/>
      <c r="CD220" s="333"/>
      <c r="CE220" s="333"/>
      <c r="CF220" s="333"/>
      <c r="CG220" s="333"/>
      <c r="CH220" s="333"/>
      <c r="CI220" s="333"/>
      <c r="CJ220" s="333"/>
      <c r="CK220" s="333"/>
      <c r="CL220" s="333"/>
      <c r="CM220" s="333"/>
      <c r="CN220" s="333"/>
      <c r="CO220" s="333"/>
      <c r="CP220" s="333"/>
      <c r="CQ220" s="333"/>
      <c r="CR220" s="333"/>
      <c r="CS220" s="333"/>
      <c r="CT220" s="333"/>
      <c r="CU220" s="333"/>
      <c r="CV220" s="333"/>
      <c r="CW220" s="333"/>
      <c r="CX220" s="333"/>
      <c r="CY220" s="333"/>
      <c r="CZ220" s="333"/>
      <c r="DA220" s="333"/>
      <c r="DB220" s="333"/>
      <c r="DC220" s="333"/>
      <c r="DD220" s="333"/>
      <c r="DE220" s="333"/>
      <c r="DF220" s="333"/>
      <c r="DG220" s="333"/>
      <c r="DH220" s="333"/>
      <c r="DI220" s="333"/>
      <c r="DJ220" s="333"/>
      <c r="DK220" s="333"/>
      <c r="DL220" s="333"/>
      <c r="DM220" s="333"/>
      <c r="DN220" s="333"/>
      <c r="DO220" s="333"/>
      <c r="DP220" s="333"/>
      <c r="DQ220" s="333"/>
      <c r="DR220" s="333"/>
      <c r="DS220" s="333"/>
      <c r="DT220" s="333"/>
      <c r="DU220" s="375"/>
      <c r="DV220" s="375"/>
      <c r="DW220" s="375"/>
      <c r="DX220" s="375"/>
      <c r="DY220" s="375"/>
      <c r="DZ220" s="375"/>
      <c r="EA220" s="375"/>
      <c r="EB220" s="375"/>
      <c r="EC220" s="375"/>
      <c r="ED220" s="375"/>
      <c r="EE220" s="375"/>
      <c r="EF220" s="375"/>
      <c r="EG220" s="375"/>
      <c r="EH220" s="375"/>
      <c r="EI220" s="375"/>
      <c r="EJ220" s="373"/>
      <c r="EK220" s="373"/>
      <c r="EL220" s="366"/>
      <c r="EM220" s="366"/>
      <c r="EN220" s="364"/>
      <c r="EO220" s="363"/>
      <c r="EP220" s="340"/>
      <c r="EQ220" s="340"/>
      <c r="ER220" s="340"/>
      <c r="ES220" s="363"/>
      <c r="ET220" s="363"/>
      <c r="EU220" s="340"/>
      <c r="EV220" s="340"/>
      <c r="EW220" s="340"/>
      <c r="EX220" s="340"/>
      <c r="EY220" s="340"/>
      <c r="EZ220" s="340"/>
      <c r="FA220" s="340"/>
      <c r="FB220" s="402"/>
      <c r="FC220" s="402"/>
      <c r="FD220" s="340"/>
      <c r="FE220" s="340"/>
      <c r="FF220" s="340"/>
      <c r="FG220" s="364"/>
      <c r="FH220" s="364"/>
      <c r="FI220" s="363"/>
      <c r="FJ220" s="360"/>
      <c r="FK220" s="360"/>
      <c r="FL220" s="340"/>
      <c r="FM220" s="967"/>
      <c r="FN220" s="967"/>
      <c r="FO220" s="967"/>
      <c r="FP220" s="968"/>
      <c r="FQ220" s="968"/>
      <c r="FR220" s="968"/>
      <c r="FS220" s="968"/>
      <c r="FT220" s="968"/>
      <c r="FU220" s="968"/>
      <c r="FV220" s="968"/>
      <c r="FW220" s="968"/>
      <c r="FX220" s="968"/>
      <c r="FY220" s="341"/>
      <c r="FZ220" s="341"/>
      <c r="GA220" s="341"/>
      <c r="GB220" s="495">
        <v>0</v>
      </c>
      <c r="GC220" s="495">
        <v>0</v>
      </c>
      <c r="GD220" s="500"/>
      <c r="GE220" s="495">
        <v>0</v>
      </c>
      <c r="GF220" s="495">
        <v>0</v>
      </c>
      <c r="GG220" s="495">
        <v>0</v>
      </c>
      <c r="GH220" s="359"/>
      <c r="GI220" s="359"/>
      <c r="GJ220" s="501"/>
      <c r="GK220" s="495">
        <v>0</v>
      </c>
      <c r="GL220" s="495">
        <v>0</v>
      </c>
      <c r="GM220" s="495">
        <v>0</v>
      </c>
      <c r="GN220" s="359"/>
      <c r="GO220" s="359"/>
      <c r="GP220" s="501"/>
      <c r="GQ220" s="495">
        <v>0</v>
      </c>
      <c r="GR220" s="375"/>
      <c r="GS220" s="333"/>
      <c r="GT220" s="333"/>
      <c r="GU220" s="333"/>
      <c r="GV220" s="333"/>
      <c r="GW220" s="333"/>
      <c r="GX220" s="333"/>
      <c r="GY220" s="333"/>
      <c r="GZ220" s="333"/>
      <c r="HA220" s="333"/>
      <c r="HB220" s="333"/>
      <c r="HC220" s="333"/>
      <c r="HD220" s="333"/>
      <c r="HE220" s="333"/>
      <c r="HF220" s="333"/>
      <c r="HG220" s="331"/>
      <c r="HH220" s="331"/>
      <c r="HI220" s="331"/>
      <c r="HJ220" s="331"/>
      <c r="HK220" s="331"/>
      <c r="HL220" s="331"/>
      <c r="HM220" s="331"/>
      <c r="HN220" s="333"/>
      <c r="HO220" s="333"/>
      <c r="HP220" s="333"/>
      <c r="HQ220" s="333"/>
      <c r="HR220" s="333"/>
      <c r="HS220" s="333"/>
      <c r="HT220" s="333"/>
      <c r="HU220" s="333"/>
      <c r="HV220" s="333"/>
      <c r="HW220" s="333"/>
      <c r="HX220" s="333"/>
      <c r="HY220" s="333"/>
      <c r="HZ220" s="333"/>
      <c r="IA220" s="333"/>
      <c r="IB220" s="333"/>
      <c r="IC220" s="333"/>
      <c r="ID220" s="55"/>
      <c r="IE220" s="47"/>
      <c r="IO220" s="51"/>
    </row>
    <row r="221" spans="13:249" s="142" customFormat="1" ht="15" customHeight="1">
      <c r="M221" s="333"/>
      <c r="N221" s="333"/>
      <c r="O221" s="333"/>
      <c r="P221" s="333"/>
      <c r="Q221" s="333"/>
      <c r="R221" s="333"/>
      <c r="S221" s="333"/>
      <c r="T221" s="333"/>
      <c r="U221" s="333"/>
      <c r="V221" s="333"/>
      <c r="W221" s="333"/>
      <c r="X221" s="333"/>
      <c r="Y221" s="333"/>
      <c r="Z221" s="333"/>
      <c r="AA221" s="333"/>
      <c r="AB221" s="333"/>
      <c r="AC221" s="333"/>
      <c r="AD221" s="333"/>
      <c r="AE221" s="333"/>
      <c r="AF221" s="333"/>
      <c r="AG221" s="333"/>
      <c r="AH221" s="333"/>
      <c r="AI221" s="333"/>
      <c r="AJ221" s="333"/>
      <c r="AK221" s="333"/>
      <c r="AL221" s="333"/>
      <c r="AM221" s="333"/>
      <c r="AN221" s="333"/>
      <c r="AO221" s="333"/>
      <c r="AP221" s="333"/>
      <c r="AQ221" s="333"/>
      <c r="AR221" s="333"/>
      <c r="AS221" s="333"/>
      <c r="AT221" s="333"/>
      <c r="AU221" s="333"/>
      <c r="AV221" s="333"/>
      <c r="AW221" s="333"/>
      <c r="AX221" s="333"/>
      <c r="AY221" s="333"/>
      <c r="AZ221" s="333"/>
      <c r="BA221" s="333"/>
      <c r="BB221" s="333"/>
      <c r="BC221" s="333"/>
      <c r="BD221" s="333"/>
      <c r="BE221" s="333"/>
      <c r="BF221" s="333"/>
      <c r="BG221" s="333"/>
      <c r="BH221" s="333"/>
      <c r="BI221" s="333"/>
      <c r="BJ221" s="333"/>
      <c r="BK221" s="333"/>
      <c r="BL221" s="333"/>
      <c r="BM221" s="333"/>
      <c r="BN221" s="333"/>
      <c r="BO221" s="333"/>
      <c r="BP221" s="333"/>
      <c r="BQ221" s="333"/>
      <c r="BR221" s="333"/>
      <c r="BS221" s="333"/>
      <c r="BT221" s="333"/>
      <c r="BU221" s="333"/>
      <c r="BV221" s="333"/>
      <c r="BW221" s="333"/>
      <c r="BX221" s="333"/>
      <c r="BY221" s="333"/>
      <c r="BZ221" s="333"/>
      <c r="CA221" s="333"/>
      <c r="CB221" s="333"/>
      <c r="CC221" s="333"/>
      <c r="CD221" s="333"/>
      <c r="CE221" s="333"/>
      <c r="CF221" s="333"/>
      <c r="CG221" s="333"/>
      <c r="CH221" s="333"/>
      <c r="CI221" s="333"/>
      <c r="CJ221" s="333"/>
      <c r="CK221" s="333"/>
      <c r="CL221" s="333"/>
      <c r="CM221" s="333"/>
      <c r="CN221" s="333"/>
      <c r="CO221" s="333"/>
      <c r="CP221" s="333"/>
      <c r="CQ221" s="333"/>
      <c r="CR221" s="333"/>
      <c r="CS221" s="333"/>
      <c r="CT221" s="333"/>
      <c r="CU221" s="333"/>
      <c r="CV221" s="333"/>
      <c r="CW221" s="333"/>
      <c r="CX221" s="333"/>
      <c r="CY221" s="333"/>
      <c r="CZ221" s="333"/>
      <c r="DA221" s="333"/>
      <c r="DB221" s="333"/>
      <c r="DC221" s="333"/>
      <c r="DD221" s="333"/>
      <c r="DE221" s="333"/>
      <c r="DF221" s="333"/>
      <c r="DG221" s="333"/>
      <c r="DH221" s="333"/>
      <c r="DI221" s="333"/>
      <c r="DJ221" s="333"/>
      <c r="DK221" s="333"/>
      <c r="DL221" s="333"/>
      <c r="DM221" s="333"/>
      <c r="DN221" s="333"/>
      <c r="DO221" s="333"/>
      <c r="DP221" s="333"/>
      <c r="DQ221" s="333"/>
      <c r="DR221" s="333"/>
      <c r="DS221" s="333"/>
      <c r="DT221" s="333"/>
      <c r="DU221" s="375"/>
      <c r="DV221" s="375"/>
      <c r="DW221" s="375"/>
      <c r="DX221" s="375"/>
      <c r="DY221" s="375"/>
      <c r="DZ221" s="375"/>
      <c r="EA221" s="375"/>
      <c r="EB221" s="375"/>
      <c r="EC221" s="375"/>
      <c r="ED221" s="375"/>
      <c r="EE221" s="375"/>
      <c r="EF221" s="375"/>
      <c r="EG221" s="375"/>
      <c r="EH221" s="375"/>
      <c r="EI221" s="375"/>
      <c r="EJ221" s="373"/>
      <c r="EK221" s="373"/>
      <c r="EL221" s="366"/>
      <c r="EM221" s="366"/>
      <c r="EN221" s="364">
        <f>+EN215+1</f>
        <v>29</v>
      </c>
      <c r="EO221" s="356">
        <f>+VLOOKUP(EN221, PRECIOS_EJERCICIOS,  2,FALSE)</f>
        <v>340</v>
      </c>
      <c r="EP221" s="513" t="str">
        <f>+IF($AQ$49 = FALSE, "",
IF(VLOOKUP(EO221, basesCantPrimaBrutoRes, 2,FALSE) &gt;= 0, VLOOKUP(EO221, basesCantPrimaBrutoRes, 2,FALSE), 0))</f>
        <v/>
      </c>
      <c r="EQ221" s="514" t="str">
        <f>+IF($AQ$49 = FALSE, "",
IF(VLOOKUP(EO221, basesCantPrimaBrutoRes, 2,FALSE) &lt; 0, -VLOOKUP(EO221, basesCantPrimaBrutoRes, 2,FALSE), 0))</f>
        <v/>
      </c>
      <c r="ER221" s="521" t="str">
        <f>IF($AQ$49 = FALSE, "",
VLOOKUP(EO221, basesCantPrimaBrutoRes, 4,FALSE))</f>
        <v/>
      </c>
      <c r="ES221" s="926">
        <f>IF(ER221 = "", 0,
IF(AND(EP221 &gt; 0, EQ221 &gt;0), 0, IF(EO221 &lt;&gt; $Z$1,
IF(AND(EP221 &lt;&gt; "", EP221 &lt;&gt; 0), -(EP221 * ER221 * 100),
IF(AND(EQ221 &lt;&gt; "", EQ221 &lt;&gt; 0), (EQ221 * ER221 * 100), 0)),
IF(AND(EP221 &lt;&gt; "", EP221 &lt;&gt; 0), -(EP221 * ER221 * 1),
IF(AND(EQ221 &lt;&gt; "", EQ221 &lt;&gt; 0), (EQ221 * ER221 * 1), 0))  )))</f>
        <v>0</v>
      </c>
      <c r="ET221" s="927"/>
      <c r="EU221" s="928"/>
      <c r="EV221" s="926">
        <f>IF(ER221 = "", 0,
IF(AND(EP221 &gt; 0, EQ221 &gt;0), 0,  IF(EO221 &lt;&gt; $Z$1,
IF(AND(EP221 &lt;&gt; "", EP221 &lt;&gt; 0), -(EP221 * ER221 * 100 * (1 + COMIS_OPCION)),
IF(AND(EQ221 &lt;&gt; "", EQ221 &lt;&gt; 0), (EQ221 * ER221 * 100 * (1 - COMIS_OPCION)), 0)),
IF(AND(EP221 &lt;&gt; "", EP221 &lt;&gt; 0), -(EP221 * ER221 * 1 * (1 + COMIS_ACCION)),
IF(AND(EQ221 &lt;&gt; "", EQ221 &lt;&gt; 0), (EQ221 * ER221 * 1 * (1 - COMIS_ACCION)), 0))  )))</f>
        <v>0</v>
      </c>
      <c r="EW221" s="927"/>
      <c r="EX221" s="927"/>
      <c r="EY221" s="927"/>
      <c r="EZ221" s="927"/>
      <c r="FA221" s="927"/>
      <c r="FB221" s="927"/>
      <c r="FC221" s="927"/>
      <c r="FD221" s="929"/>
      <c r="FE221" s="340"/>
      <c r="FF221" s="340"/>
      <c r="FG221" s="364"/>
      <c r="FH221" s="364">
        <f>+FH215+1</f>
        <v>29</v>
      </c>
      <c r="FI221" s="357">
        <f>+VLOOKUP(FH221, PRECIOS_EJERCICIOS,  2,FALSE)</f>
        <v>340</v>
      </c>
      <c r="FJ221" s="515" t="str">
        <f>+IF($AQ$49 = FALSE, "",
IF(VLOOKUP(EO221, basesCantPrimaBrutoRes, 5,FALSE) &gt;= 0, VLOOKUP(EO221, basesCantPrimaBrutoRes, 5,FALSE), 0))</f>
        <v/>
      </c>
      <c r="FK221" s="516" t="str">
        <f>+IF($AQ$49 = FALSE, "",
IF(VLOOKUP(EO221, basesCantPrimaBrutoRes, 5,FALSE) &lt; 0, -VLOOKUP(EO221, basesCantPrimaBrutoRes, 5,FALSE), 0))</f>
        <v/>
      </c>
      <c r="FL221" s="517" t="str">
        <f>IF($AQ$49 = FALSE, "",
VLOOKUP(EO221, basesCantPrimaBrutoRes, 7,FALSE))</f>
        <v/>
      </c>
      <c r="FM221" s="934">
        <f>IF(FL221 = "", 0,
IF(AND(FJ221 &gt; 0, FK221 &gt;0), 0,
IF(AND(FJ221 &lt;&gt; "", FJ221 &lt;&gt; 0), -(FJ221 * FL221 * 100),
IF(AND(FK221 &lt;&gt; "", FK221 &lt;&gt; 0), (FK221 * FL221 * 100), 0)) ))</f>
        <v>0</v>
      </c>
      <c r="FN221" s="935"/>
      <c r="FO221" s="936"/>
      <c r="FP221" s="934">
        <f>IF(FL221 = "", 0,
IF(AND(FJ221 &gt; 0, FK221 &gt;0), 0,
IF(AND(FJ221 &lt;&gt; "", FJ221 &lt;&gt; 0), -(FJ221 * FL221 * 100 * (1 + COMIS_OPCION)),
IF(AND(FK221 &lt;&gt; "", FK221 &lt;&gt; 0), (FK221 * FL221 * 100 * (1 - COMIS_OPCION)), 0)) ))</f>
        <v>0</v>
      </c>
      <c r="FQ221" s="935"/>
      <c r="FR221" s="935"/>
      <c r="FS221" s="935"/>
      <c r="FT221" s="935"/>
      <c r="FU221" s="935"/>
      <c r="FV221" s="935"/>
      <c r="FW221" s="935"/>
      <c r="FX221" s="966"/>
      <c r="FY221" s="341"/>
      <c r="FZ221" s="341"/>
      <c r="GA221" s="341"/>
      <c r="GB221" s="495">
        <f>+IF(EN221 = "", "", EO221)</f>
        <v>340</v>
      </c>
      <c r="GC221" s="495" t="str">
        <f>+IF(GB221="", "", IF(EO221 = $Z$1, "ACCION", "CALL"))</f>
        <v>CALL</v>
      </c>
      <c r="GD221" s="500"/>
      <c r="GE221" s="495">
        <f>+IF(GB221= "", "", EO223)</f>
        <v>0</v>
      </c>
      <c r="GF221" s="495">
        <f>+IF(GB221 = "", "", IFERROR(IF(GB221 &lt;&gt; $Z$1,
IF(GE221 &gt; 0, SUMIFS(ES221:ES225, EP221:EP225, "&gt;0", ES221:ES225, "&lt;&gt;0") / SUMIFS(EP221:EP225, EP221:EP225, "&gt;0", ES221:ES225, "&lt;&gt;0") / -100,
IF(GE221 &lt; 0, SUMIFS(ES221:ES225, EQ221:EQ225, "&gt;0", ES221:ES225, "&lt;&gt;0") / SUMIFS(EQ221:EQ225, EQ221:EQ225, "&gt;0", ES221:ES225, "&lt;&gt;0") / 100, 0)),
IF(GE221 &gt; 0, SUMIFS(ES221:ES225, EP221:EP225, "&gt;0", ES221:ES225, "&lt;&gt;0") / SUMIFS(EP221:EP225, EP221:EP225, "&gt;0", ES221:ES225, "&lt;&gt;0") / -1,
IF(GE221 &lt; 0, SUMIFS(ES221:ES225, EQ221:EQ225, "&gt;0", ES221:ES225, "&lt;&gt;0") / SUMIFS(EQ221:EQ225, EQ221:EQ225, "&gt;0", ES221:ES225, "&lt;&gt;0") / 1, 0)) ), 0))</f>
        <v>0</v>
      </c>
      <c r="GG221" s="495">
        <f>+IF(GB221 = "", "", IFERROR(IF(GB221 &lt;&gt; $Z$1,
IF(GE221 &gt; 0, SUMIFS(EV221:EV225, EP221:EP225, "&gt;0", EV221:EV225, "&lt;&gt;0") / SUMIFS(EP221:EP225, EP221:EP225, "&gt;0", EV221:EV225, "&lt;&gt;0") / -100,
IF(GE221 &lt; 0, SUMIFS(EV221:EV225, EQ221:EQ225, "&gt;0", EV221:EV225, "&lt;&gt;0") / SUMIFS(EQ221:EQ225, EQ221:EQ225, "&gt;0", EV221:EV225, "&lt;&gt;0") / 100, 0)),
IF(GE221 &gt; 0, SUMIFS(EV221:EV225, EP221:EP225, "&gt;0", EV221:EV225, "&lt;&gt;0") / SUMIFS(EP221:EP225, EP221:EP225, "&gt;0", EV221:EV225, "&lt;&gt;0") / -1,
IF(GE221 &lt; 0, SUMIFS(EV221:EV225, EQ221:EQ225, "&gt;0", EV221:EV225, "&lt;&gt;0") / SUMIFS(EQ221:EQ225, EQ221:EQ225, "&gt;0", EV221:EV225, "&lt;&gt;0") / 1, 0)) ), 0))</f>
        <v>0</v>
      </c>
      <c r="GH221" s="359"/>
      <c r="GI221" s="359"/>
      <c r="GJ221" s="501"/>
      <c r="GK221" s="495" t="str">
        <f>+IF(GB221="", "", "PUT")</f>
        <v>PUT</v>
      </c>
      <c r="GL221" s="495">
        <f>+IF(GB221 = "", "", FI223)</f>
        <v>0</v>
      </c>
      <c r="GM221" s="495">
        <f>+IF(GB221 = "", "", IFERROR(
IF(FI223 &gt; 0, SUMIFS(FM221:FM225, FJ221:FJ225, "&gt;0", FM221:FM225, "&lt;&gt;0") / SUMIFS(FJ221:FJ225, FJ221:FJ225, "&gt;0", FM221:FM225, "&lt;&gt;0") / -100,
IF(FI223 &lt; 0, SUMIFS(FM221:FM225, FK221:FK225, "&gt;0", FM221:FM225, "&lt;&gt;0") / SUMIFS(FK221:FK225, FK221:FK225, "&gt;0", FM221:FM225, "&lt;&gt;0") / 100, 0)), 0) )</f>
        <v>0</v>
      </c>
      <c r="GN221" s="359"/>
      <c r="GO221" s="359"/>
      <c r="GP221" s="501"/>
      <c r="GQ221" s="502">
        <f>+IF(GB221 = "", "", IFERROR(
IF(FI223 &gt; 0, SUMIFS(FP221:FP225, FJ221:FJ225, "&gt;0", FP221:FP225, "&lt;&gt;0") / SUMIFS(FJ221:FJ225, FJ221:FJ225, "&gt;0", FP221:FP225, "&lt;&gt;0") / -100,
IF(FI223 &lt; 0, SUMIFS(FP221:FP225, FK221:FK225, "&gt;0", FP221:FP225, "&lt;&gt;0") / SUMIFS(FK221:FK225, FK221:FK225, "&gt;0", FP221:FP225, "&lt;&gt;0") / 100, 0)), 0))</f>
        <v>0</v>
      </c>
      <c r="GR221" s="375"/>
      <c r="GS221" s="333"/>
      <c r="GT221" s="333"/>
      <c r="GU221" s="333"/>
      <c r="GV221" s="333"/>
      <c r="GW221" s="333"/>
      <c r="GX221" s="333"/>
      <c r="GY221" s="333"/>
      <c r="GZ221" s="333"/>
      <c r="HA221" s="333"/>
      <c r="HB221" s="333"/>
      <c r="HC221" s="333"/>
      <c r="HD221" s="333"/>
      <c r="HE221" s="333"/>
      <c r="HF221" s="333"/>
      <c r="HG221" s="331"/>
      <c r="HH221" s="331"/>
      <c r="HI221" s="331"/>
      <c r="HJ221" s="331"/>
      <c r="HK221" s="331"/>
      <c r="HL221" s="331"/>
      <c r="HM221" s="331"/>
      <c r="HN221" s="333"/>
      <c r="HO221" s="333"/>
      <c r="HP221" s="333"/>
      <c r="HQ221" s="333"/>
      <c r="HR221" s="333"/>
      <c r="HS221" s="333"/>
      <c r="HT221" s="333"/>
      <c r="HU221" s="333"/>
      <c r="HV221" s="333"/>
      <c r="HW221" s="333"/>
      <c r="HX221" s="333"/>
      <c r="HY221" s="333"/>
      <c r="HZ221" s="333"/>
      <c r="IA221" s="333"/>
      <c r="IB221" s="333"/>
      <c r="IC221" s="333"/>
      <c r="ID221" s="55"/>
      <c r="IE221" s="47"/>
      <c r="IO221" s="51"/>
    </row>
    <row r="222" spans="13:249" s="142" customFormat="1" ht="15" customHeight="1">
      <c r="M222" s="333"/>
      <c r="N222" s="333"/>
      <c r="O222" s="333"/>
      <c r="P222" s="333"/>
      <c r="Q222" s="333"/>
      <c r="R222" s="333"/>
      <c r="S222" s="333"/>
      <c r="T222" s="333"/>
      <c r="U222" s="333"/>
      <c r="V222" s="333"/>
      <c r="W222" s="333"/>
      <c r="X222" s="333"/>
      <c r="Y222" s="333"/>
      <c r="Z222" s="333"/>
      <c r="AA222" s="333"/>
      <c r="AB222" s="333"/>
      <c r="AC222" s="333"/>
      <c r="AD222" s="333"/>
      <c r="AE222" s="333"/>
      <c r="AF222" s="333"/>
      <c r="AG222" s="333"/>
      <c r="AH222" s="333"/>
      <c r="AI222" s="333"/>
      <c r="AJ222" s="333"/>
      <c r="AK222" s="333"/>
      <c r="AL222" s="333"/>
      <c r="AM222" s="333"/>
      <c r="AN222" s="333"/>
      <c r="AO222" s="333"/>
      <c r="AP222" s="333"/>
      <c r="AQ222" s="333"/>
      <c r="AR222" s="333"/>
      <c r="AS222" s="333"/>
      <c r="AT222" s="333"/>
      <c r="AU222" s="333"/>
      <c r="AV222" s="333"/>
      <c r="AW222" s="333"/>
      <c r="AX222" s="333"/>
      <c r="AY222" s="333"/>
      <c r="AZ222" s="333"/>
      <c r="BA222" s="333"/>
      <c r="BB222" s="333"/>
      <c r="BC222" s="333"/>
      <c r="BD222" s="333"/>
      <c r="BE222" s="333"/>
      <c r="BF222" s="333"/>
      <c r="BG222" s="333"/>
      <c r="BH222" s="333"/>
      <c r="BI222" s="333"/>
      <c r="BJ222" s="333"/>
      <c r="BK222" s="333"/>
      <c r="BL222" s="333"/>
      <c r="BM222" s="333"/>
      <c r="BN222" s="333"/>
      <c r="BO222" s="333"/>
      <c r="BP222" s="333"/>
      <c r="BQ222" s="333"/>
      <c r="BR222" s="333"/>
      <c r="BS222" s="333"/>
      <c r="BT222" s="333"/>
      <c r="BU222" s="333"/>
      <c r="BV222" s="333"/>
      <c r="BW222" s="333"/>
      <c r="BX222" s="333"/>
      <c r="BY222" s="333"/>
      <c r="BZ222" s="333"/>
      <c r="CA222" s="333"/>
      <c r="CB222" s="333"/>
      <c r="CC222" s="333"/>
      <c r="CD222" s="333"/>
      <c r="CE222" s="333"/>
      <c r="CF222" s="333"/>
      <c r="CG222" s="333"/>
      <c r="CH222" s="333"/>
      <c r="CI222" s="333"/>
      <c r="CJ222" s="333"/>
      <c r="CK222" s="333"/>
      <c r="CL222" s="333"/>
      <c r="CM222" s="333"/>
      <c r="CN222" s="333"/>
      <c r="CO222" s="333"/>
      <c r="CP222" s="333"/>
      <c r="CQ222" s="333"/>
      <c r="CR222" s="333"/>
      <c r="CS222" s="333"/>
      <c r="CT222" s="333"/>
      <c r="CU222" s="333"/>
      <c r="CV222" s="333"/>
      <c r="CW222" s="333"/>
      <c r="CX222" s="333"/>
      <c r="CY222" s="333"/>
      <c r="CZ222" s="333"/>
      <c r="DA222" s="333"/>
      <c r="DB222" s="333"/>
      <c r="DC222" s="333"/>
      <c r="DD222" s="333"/>
      <c r="DE222" s="333"/>
      <c r="DF222" s="333"/>
      <c r="DG222" s="333"/>
      <c r="DH222" s="333"/>
      <c r="DI222" s="333"/>
      <c r="DJ222" s="333"/>
      <c r="DK222" s="333"/>
      <c r="DL222" s="333"/>
      <c r="DM222" s="333"/>
      <c r="DN222" s="333"/>
      <c r="DO222" s="333"/>
      <c r="DP222" s="333"/>
      <c r="DQ222" s="333"/>
      <c r="DR222" s="333"/>
      <c r="DS222" s="333"/>
      <c r="DT222" s="333"/>
      <c r="DU222" s="375"/>
      <c r="DV222" s="375"/>
      <c r="DW222" s="375"/>
      <c r="DX222" s="375"/>
      <c r="DY222" s="375"/>
      <c r="DZ222" s="375"/>
      <c r="EA222" s="375"/>
      <c r="EB222" s="375"/>
      <c r="EC222" s="375"/>
      <c r="ED222" s="375"/>
      <c r="EE222" s="375"/>
      <c r="EF222" s="375"/>
      <c r="EG222" s="375"/>
      <c r="EH222" s="375"/>
      <c r="EI222" s="375"/>
      <c r="EJ222" s="373"/>
      <c r="EK222" s="373"/>
      <c r="EL222" s="366"/>
      <c r="EM222" s="366"/>
      <c r="EN222" s="364"/>
      <c r="EO222" s="351"/>
      <c r="EP222" s="347"/>
      <c r="EQ222" s="342"/>
      <c r="ER222" s="522"/>
      <c r="ES222" s="916">
        <f>IF(ER222 = "", 0,
IF(AND(EP222 &gt; 0, EQ222 &gt;0), 0, IF(EO221 &lt;&gt; $Z$1,
IF(AND(EP222 &lt;&gt; "", EP222 &lt;&gt; 0), -(EP222 * ER222 * 100),
IF(AND(EQ222 &lt;&gt; "", EQ222 &lt;&gt; 0), (EQ222 * ER222 * 100), 0)),
IF(AND(EP222 &lt;&gt; "", EP222 &lt;&gt; 0), -(EP222 * ER222 * 1),
IF(AND(EQ222 &lt;&gt; "", EQ222 &lt;&gt; 0), (EQ222 * ER222 * 1), 0))  )))</f>
        <v>0</v>
      </c>
      <c r="ET222" s="917"/>
      <c r="EU222" s="918"/>
      <c r="EV222" s="916">
        <f>IF(ER222 = "", 0,
IF(AND(EP222 &gt; 0, EQ222 &gt;0), 0,  IF(EO221 &lt;&gt; $Z$1,
IF(AND(EP222 &lt;&gt; "", EP222 &lt;&gt; 0), -(EP222 * ER222 * 100 * (1 + COMIS_OPCION)),
IF(AND(EQ222 &lt;&gt; "", EQ222 &lt;&gt; 0), (EQ222 * ER222 * 100 * (1 - COMIS_OPCION)), 0)),
IF(AND(EP222 &lt;&gt; "", EP222 &lt;&gt; 0), -(EP222 * ER222 * 1 * (1 + COMIS_ACCION)),
IF(AND(EQ222 &lt;&gt; "", EQ222 &lt;&gt; 0), (EQ222 * ER222 * 1 * (1 - COMIS_ACCION)), 0))  )))</f>
        <v>0</v>
      </c>
      <c r="EW222" s="917"/>
      <c r="EX222" s="917"/>
      <c r="EY222" s="917"/>
      <c r="EZ222" s="917"/>
      <c r="FA222" s="917"/>
      <c r="FB222" s="917"/>
      <c r="FC222" s="917"/>
      <c r="FD222" s="925"/>
      <c r="FE222" s="340"/>
      <c r="FF222" s="340"/>
      <c r="FG222" s="364"/>
      <c r="FH222" s="364"/>
      <c r="FI222" s="339"/>
      <c r="FJ222" s="347"/>
      <c r="FK222" s="342"/>
      <c r="FL222" s="343"/>
      <c r="FM222" s="930">
        <f>IF(FL222 = "", 0,
IF(AND(FJ222 &gt; 0, FK222 &gt;0), 0,
IF(AND(FJ222 &lt;&gt; "", FJ222 &lt;&gt; 0), -(FJ222 * FL222 * 100),
IF(AND(FK222 &lt;&gt; "", FK222 &lt;&gt; 0), (FK222 * FL222 * 100), 0)) ))</f>
        <v>0</v>
      </c>
      <c r="FN222" s="931"/>
      <c r="FO222" s="932"/>
      <c r="FP222" s="930">
        <f>IF(FL222 = "", 0,
IF(AND(FJ222 &gt; 0, FK222 &gt;0), 0,
IF(AND(FJ222 &lt;&gt; "", FJ222 &lt;&gt; 0), -(FJ222 * FL222 * 100 * (1 + COMIS_OPCION)),
IF(AND(FK222 &lt;&gt; "", FK222 &lt;&gt; 0), (FK222 * FL222 * 100 * (1 - COMIS_OPCION)), 0)) ))</f>
        <v>0</v>
      </c>
      <c r="FQ222" s="931"/>
      <c r="FR222" s="931"/>
      <c r="FS222" s="931"/>
      <c r="FT222" s="931"/>
      <c r="FU222" s="931"/>
      <c r="FV222" s="931"/>
      <c r="FW222" s="931"/>
      <c r="FX222" s="933"/>
      <c r="FY222" s="341"/>
      <c r="FZ222" s="341"/>
      <c r="GA222" s="341"/>
      <c r="GB222" s="495">
        <v>0</v>
      </c>
      <c r="GC222" s="495">
        <v>0</v>
      </c>
      <c r="GD222" s="500"/>
      <c r="GE222" s="495">
        <v>0</v>
      </c>
      <c r="GF222" s="495">
        <v>0</v>
      </c>
      <c r="GG222" s="495">
        <v>0</v>
      </c>
      <c r="GH222" s="359"/>
      <c r="GI222" s="359"/>
      <c r="GJ222" s="501"/>
      <c r="GK222" s="495">
        <v>0</v>
      </c>
      <c r="GL222" s="495">
        <v>0</v>
      </c>
      <c r="GM222" s="495">
        <v>0</v>
      </c>
      <c r="GN222" s="359"/>
      <c r="GO222" s="359"/>
      <c r="GP222" s="501"/>
      <c r="GQ222" s="495">
        <v>0</v>
      </c>
      <c r="GR222" s="375"/>
      <c r="GS222" s="333"/>
      <c r="GT222" s="333"/>
      <c r="GU222" s="333"/>
      <c r="GV222" s="333"/>
      <c r="GW222" s="333"/>
      <c r="GX222" s="333"/>
      <c r="GY222" s="333"/>
      <c r="GZ222" s="333"/>
      <c r="HA222" s="333"/>
      <c r="HB222" s="333"/>
      <c r="HC222" s="333"/>
      <c r="HD222" s="333"/>
      <c r="HE222" s="333"/>
      <c r="HF222" s="333"/>
      <c r="HG222" s="331"/>
      <c r="HH222" s="331"/>
      <c r="HI222" s="331"/>
      <c r="HJ222" s="331"/>
      <c r="HK222" s="331"/>
      <c r="HL222" s="331"/>
      <c r="HM222" s="331"/>
      <c r="HN222" s="333"/>
      <c r="HO222" s="333"/>
      <c r="HP222" s="333"/>
      <c r="HQ222" s="333"/>
      <c r="HR222" s="333"/>
      <c r="HS222" s="333"/>
      <c r="HT222" s="333"/>
      <c r="HU222" s="333"/>
      <c r="HV222" s="333"/>
      <c r="HW222" s="333"/>
      <c r="HX222" s="333"/>
      <c r="HY222" s="333"/>
      <c r="HZ222" s="333"/>
      <c r="IA222" s="333"/>
      <c r="IB222" s="333"/>
      <c r="IC222" s="333"/>
      <c r="ID222" s="55"/>
      <c r="IE222" s="47"/>
      <c r="IO222" s="51"/>
    </row>
    <row r="223" spans="13:249" s="142" customFormat="1" ht="15" customHeight="1">
      <c r="M223" s="333"/>
      <c r="N223" s="333"/>
      <c r="O223" s="333"/>
      <c r="P223" s="333"/>
      <c r="Q223" s="333"/>
      <c r="R223" s="333"/>
      <c r="S223" s="333"/>
      <c r="T223" s="333"/>
      <c r="U223" s="333"/>
      <c r="V223" s="333"/>
      <c r="W223" s="333"/>
      <c r="X223" s="333"/>
      <c r="Y223" s="333"/>
      <c r="Z223" s="333"/>
      <c r="AA223" s="333"/>
      <c r="AB223" s="333"/>
      <c r="AC223" s="333"/>
      <c r="AD223" s="333"/>
      <c r="AE223" s="333"/>
      <c r="AF223" s="333"/>
      <c r="AG223" s="333"/>
      <c r="AH223" s="333"/>
      <c r="AI223" s="333"/>
      <c r="AJ223" s="333"/>
      <c r="AK223" s="333"/>
      <c r="AL223" s="333"/>
      <c r="AM223" s="333"/>
      <c r="AN223" s="333"/>
      <c r="AO223" s="333"/>
      <c r="AP223" s="333"/>
      <c r="AQ223" s="333"/>
      <c r="AR223" s="333"/>
      <c r="AS223" s="333"/>
      <c r="AT223" s="333"/>
      <c r="AU223" s="333"/>
      <c r="AV223" s="333"/>
      <c r="AW223" s="333"/>
      <c r="AX223" s="333"/>
      <c r="AY223" s="333"/>
      <c r="AZ223" s="333"/>
      <c r="BA223" s="333"/>
      <c r="BB223" s="333"/>
      <c r="BC223" s="333"/>
      <c r="BD223" s="333"/>
      <c r="BE223" s="333"/>
      <c r="BF223" s="333"/>
      <c r="BG223" s="333"/>
      <c r="BH223" s="333"/>
      <c r="BI223" s="333"/>
      <c r="BJ223" s="333"/>
      <c r="BK223" s="333"/>
      <c r="BL223" s="333"/>
      <c r="BM223" s="333"/>
      <c r="BN223" s="333"/>
      <c r="BO223" s="333"/>
      <c r="BP223" s="333"/>
      <c r="BQ223" s="333"/>
      <c r="BR223" s="333"/>
      <c r="BS223" s="333"/>
      <c r="BT223" s="333"/>
      <c r="BU223" s="333"/>
      <c r="BV223" s="333"/>
      <c r="BW223" s="333"/>
      <c r="BX223" s="333"/>
      <c r="BY223" s="333"/>
      <c r="BZ223" s="333"/>
      <c r="CA223" s="333"/>
      <c r="CB223" s="333"/>
      <c r="CC223" s="333"/>
      <c r="CD223" s="333"/>
      <c r="CE223" s="333"/>
      <c r="CF223" s="333"/>
      <c r="CG223" s="333"/>
      <c r="CH223" s="333"/>
      <c r="CI223" s="333"/>
      <c r="CJ223" s="333"/>
      <c r="CK223" s="333"/>
      <c r="CL223" s="333"/>
      <c r="CM223" s="333"/>
      <c r="CN223" s="333"/>
      <c r="CO223" s="333"/>
      <c r="CP223" s="333"/>
      <c r="CQ223" s="333"/>
      <c r="CR223" s="333"/>
      <c r="CS223" s="333"/>
      <c r="CT223" s="333"/>
      <c r="CU223" s="333"/>
      <c r="CV223" s="333"/>
      <c r="CW223" s="333"/>
      <c r="CX223" s="333"/>
      <c r="CY223" s="333"/>
      <c r="CZ223" s="333"/>
      <c r="DA223" s="333"/>
      <c r="DB223" s="333"/>
      <c r="DC223" s="333"/>
      <c r="DD223" s="333"/>
      <c r="DE223" s="333"/>
      <c r="DF223" s="333"/>
      <c r="DG223" s="333"/>
      <c r="DH223" s="333"/>
      <c r="DI223" s="333"/>
      <c r="DJ223" s="333"/>
      <c r="DK223" s="333"/>
      <c r="DL223" s="333"/>
      <c r="DM223" s="333"/>
      <c r="DN223" s="333"/>
      <c r="DO223" s="333"/>
      <c r="DP223" s="333"/>
      <c r="DQ223" s="333"/>
      <c r="DR223" s="333"/>
      <c r="DS223" s="333"/>
      <c r="DT223" s="333"/>
      <c r="DU223" s="375"/>
      <c r="DV223" s="375"/>
      <c r="DW223" s="375"/>
      <c r="DX223" s="375"/>
      <c r="DY223" s="375"/>
      <c r="DZ223" s="375"/>
      <c r="EA223" s="375"/>
      <c r="EB223" s="375"/>
      <c r="EC223" s="375"/>
      <c r="ED223" s="375"/>
      <c r="EE223" s="375"/>
      <c r="EF223" s="375"/>
      <c r="EG223" s="375"/>
      <c r="EH223" s="375"/>
      <c r="EI223" s="375"/>
      <c r="EJ223" s="373"/>
      <c r="EK223" s="373"/>
      <c r="EL223" s="366"/>
      <c r="EM223" s="368"/>
      <c r="EN223" s="364"/>
      <c r="EO223" s="352">
        <f>+SUM(EP221:EP225) - SUM(EQ221:EQ225)</f>
        <v>0</v>
      </c>
      <c r="EP223" s="347"/>
      <c r="EQ223" s="342"/>
      <c r="ER223" s="522"/>
      <c r="ES223" s="916">
        <f>IF(ER223 = "", 0,
IF(AND(EP223 &gt; 0, EQ223 &gt;0), 0, IF(EO221 &lt;&gt; $Z$1,
IF(AND(EP223 &lt;&gt; "", EP223 &lt;&gt; 0), -(EP223 * ER223 * 100),
IF(AND(EQ223 &lt;&gt; "", EQ223 &lt;&gt; 0), (EQ223 * ER223 * 100), 0)),
IF(AND(EP223 &lt;&gt; "", EP223 &lt;&gt; 0), -(EP223 * ER223 * 1),
IF(AND(EQ223 &lt;&gt; "", EQ223 &lt;&gt; 0), (EQ223 * ER223 * 1), 0))  )))</f>
        <v>0</v>
      </c>
      <c r="ET223" s="917"/>
      <c r="EU223" s="918"/>
      <c r="EV223" s="916">
        <f>IF(ER223 = "", 0,
IF(AND(EP223 &gt; 0, EQ223 &gt;0), 0,  IF(EO221 &lt;&gt; $Z$1,
IF(AND(EP223 &lt;&gt; "", EP223 &lt;&gt; 0), -(EP223 * ER223 * 100 * (1 + COMIS_OPCION)),
IF(AND(EQ223 &lt;&gt; "", EQ223 &lt;&gt; 0), (EQ223 * ER223 * 100 * (1 - COMIS_OPCION)), 0)),
IF(AND(EP223 &lt;&gt; "", EP223 &lt;&gt; 0), -(EP223 * ER223 * 1 * (1 + COMIS_ACCION)),
IF(AND(EQ223 &lt;&gt; "", EQ223 &lt;&gt; 0), (EQ223 * ER223 * 1 * (1 - COMIS_ACCION)), 0))  )))</f>
        <v>0</v>
      </c>
      <c r="EW223" s="917"/>
      <c r="EX223" s="917"/>
      <c r="EY223" s="917"/>
      <c r="EZ223" s="917"/>
      <c r="FA223" s="917"/>
      <c r="FB223" s="917"/>
      <c r="FC223" s="917"/>
      <c r="FD223" s="925"/>
      <c r="FE223" s="340"/>
      <c r="FF223" s="340"/>
      <c r="FG223" s="365"/>
      <c r="FH223" s="365"/>
      <c r="FI223" s="354">
        <f>+SUM(FJ221:FJ225) - SUM(FK221:FK225)</f>
        <v>0</v>
      </c>
      <c r="FJ223" s="347"/>
      <c r="FK223" s="342"/>
      <c r="FL223" s="343"/>
      <c r="FM223" s="930">
        <f>IF(FL223 = "", 0,
IF(AND(FJ223 &gt; 0, FK223 &gt;0), 0,
IF(AND(FJ223 &lt;&gt; "", FJ223 &lt;&gt; 0), -(FJ223 * FL223 * 100),
IF(AND(FK223 &lt;&gt; "", FK223 &lt;&gt; 0), (FK223 * FL223 * 100), 0)) ))</f>
        <v>0</v>
      </c>
      <c r="FN223" s="931"/>
      <c r="FO223" s="932"/>
      <c r="FP223" s="930">
        <f>IF(FL223 = "", 0,
IF(AND(FJ223 &gt; 0, FK223 &gt;0), 0,
IF(AND(FJ223 &lt;&gt; "", FJ223 &lt;&gt; 0), -(FJ223 * FL223 * 100 * (1 + COMIS_OPCION)),
IF(AND(FK223 &lt;&gt; "", FK223 &lt;&gt; 0), (FK223 * FL223 * 100 * (1 - COMIS_OPCION)), 0)) ))</f>
        <v>0</v>
      </c>
      <c r="FQ223" s="931"/>
      <c r="FR223" s="931"/>
      <c r="FS223" s="931"/>
      <c r="FT223" s="931"/>
      <c r="FU223" s="931"/>
      <c r="FV223" s="931"/>
      <c r="FW223" s="931"/>
      <c r="FX223" s="933"/>
      <c r="FY223" s="341"/>
      <c r="FZ223" s="341"/>
      <c r="GA223" s="341"/>
      <c r="GB223" s="495">
        <v>0</v>
      </c>
      <c r="GC223" s="495">
        <v>0</v>
      </c>
      <c r="GD223" s="500"/>
      <c r="GE223" s="495">
        <v>0</v>
      </c>
      <c r="GF223" s="495">
        <v>0</v>
      </c>
      <c r="GG223" s="495">
        <v>0</v>
      </c>
      <c r="GH223" s="359"/>
      <c r="GI223" s="359"/>
      <c r="GJ223" s="501"/>
      <c r="GK223" s="495">
        <v>0</v>
      </c>
      <c r="GL223" s="495">
        <v>0</v>
      </c>
      <c r="GM223" s="495">
        <v>0</v>
      </c>
      <c r="GN223" s="359"/>
      <c r="GO223" s="359"/>
      <c r="GP223" s="501"/>
      <c r="GQ223" s="495">
        <v>0</v>
      </c>
      <c r="GR223" s="375"/>
      <c r="GS223" s="333"/>
      <c r="GT223" s="333"/>
      <c r="GU223" s="333"/>
      <c r="GV223" s="333"/>
      <c r="GW223" s="333"/>
      <c r="GX223" s="333"/>
      <c r="GY223" s="333"/>
      <c r="GZ223" s="333"/>
      <c r="HA223" s="333"/>
      <c r="HB223" s="333"/>
      <c r="HC223" s="333"/>
      <c r="HD223" s="333"/>
      <c r="HE223" s="333"/>
      <c r="HF223" s="333"/>
      <c r="HG223" s="331"/>
      <c r="HH223" s="331"/>
      <c r="HI223" s="331"/>
      <c r="HJ223" s="331"/>
      <c r="HK223" s="331"/>
      <c r="HL223" s="331"/>
      <c r="HM223" s="331"/>
      <c r="HN223" s="333"/>
      <c r="HO223" s="333"/>
      <c r="HP223" s="333"/>
      <c r="HQ223" s="333"/>
      <c r="HR223" s="333"/>
      <c r="HS223" s="333"/>
      <c r="HT223" s="333"/>
      <c r="HU223" s="333"/>
      <c r="HV223" s="333"/>
      <c r="HW223" s="333"/>
      <c r="HX223" s="333"/>
      <c r="HY223" s="333"/>
      <c r="HZ223" s="333"/>
      <c r="IA223" s="333"/>
      <c r="IB223" s="333"/>
      <c r="IC223" s="333"/>
      <c r="ID223" s="55"/>
      <c r="IE223" s="47"/>
      <c r="IO223" s="51"/>
    </row>
    <row r="224" spans="13:249" s="142" customFormat="1" ht="15" customHeight="1">
      <c r="M224" s="333"/>
      <c r="N224" s="333"/>
      <c r="O224" s="333"/>
      <c r="P224" s="333"/>
      <c r="Q224" s="333"/>
      <c r="R224" s="333"/>
      <c r="S224" s="333"/>
      <c r="T224" s="333"/>
      <c r="U224" s="333"/>
      <c r="V224" s="333"/>
      <c r="W224" s="333"/>
      <c r="X224" s="333"/>
      <c r="Y224" s="333"/>
      <c r="Z224" s="333"/>
      <c r="AA224" s="333"/>
      <c r="AB224" s="333"/>
      <c r="AC224" s="333"/>
      <c r="AD224" s="333"/>
      <c r="AE224" s="333"/>
      <c r="AF224" s="333"/>
      <c r="AG224" s="333"/>
      <c r="AH224" s="333"/>
      <c r="AI224" s="333"/>
      <c r="AJ224" s="333"/>
      <c r="AK224" s="333"/>
      <c r="AL224" s="333"/>
      <c r="AM224" s="333"/>
      <c r="AN224" s="333"/>
      <c r="AO224" s="333"/>
      <c r="AP224" s="333"/>
      <c r="AQ224" s="333"/>
      <c r="AR224" s="333"/>
      <c r="AS224" s="333"/>
      <c r="AT224" s="333"/>
      <c r="AU224" s="333"/>
      <c r="AV224" s="333"/>
      <c r="AW224" s="333"/>
      <c r="AX224" s="333"/>
      <c r="AY224" s="333"/>
      <c r="AZ224" s="333"/>
      <c r="BA224" s="333"/>
      <c r="BB224" s="333"/>
      <c r="BC224" s="333"/>
      <c r="BD224" s="333"/>
      <c r="BE224" s="333"/>
      <c r="BF224" s="333"/>
      <c r="BG224" s="333"/>
      <c r="BH224" s="333"/>
      <c r="BI224" s="333"/>
      <c r="BJ224" s="333"/>
      <c r="BK224" s="333"/>
      <c r="BL224" s="333"/>
      <c r="BM224" s="333"/>
      <c r="BN224" s="333"/>
      <c r="BO224" s="333"/>
      <c r="BP224" s="333"/>
      <c r="BQ224" s="333"/>
      <c r="BR224" s="333"/>
      <c r="BS224" s="333"/>
      <c r="BT224" s="333"/>
      <c r="BU224" s="333"/>
      <c r="BV224" s="333"/>
      <c r="BW224" s="333"/>
      <c r="BX224" s="333"/>
      <c r="BY224" s="333"/>
      <c r="BZ224" s="333"/>
      <c r="CA224" s="333"/>
      <c r="CB224" s="333"/>
      <c r="CC224" s="333"/>
      <c r="CD224" s="333"/>
      <c r="CE224" s="333"/>
      <c r="CF224" s="333"/>
      <c r="CG224" s="333"/>
      <c r="CH224" s="333"/>
      <c r="CI224" s="333"/>
      <c r="CJ224" s="333"/>
      <c r="CK224" s="333"/>
      <c r="CL224" s="333"/>
      <c r="CM224" s="333"/>
      <c r="CN224" s="333"/>
      <c r="CO224" s="333"/>
      <c r="CP224" s="333"/>
      <c r="CQ224" s="333"/>
      <c r="CR224" s="333"/>
      <c r="CS224" s="333"/>
      <c r="CT224" s="333"/>
      <c r="CU224" s="333"/>
      <c r="CV224" s="333"/>
      <c r="CW224" s="333"/>
      <c r="CX224" s="333"/>
      <c r="CY224" s="333"/>
      <c r="CZ224" s="333"/>
      <c r="DA224" s="333"/>
      <c r="DB224" s="333"/>
      <c r="DC224" s="333"/>
      <c r="DD224" s="333"/>
      <c r="DE224" s="333"/>
      <c r="DF224" s="333"/>
      <c r="DG224" s="333"/>
      <c r="DH224" s="333"/>
      <c r="DI224" s="333"/>
      <c r="DJ224" s="333"/>
      <c r="DK224" s="333"/>
      <c r="DL224" s="333"/>
      <c r="DM224" s="333"/>
      <c r="DN224" s="333"/>
      <c r="DO224" s="333"/>
      <c r="DP224" s="333"/>
      <c r="DQ224" s="333"/>
      <c r="DR224" s="333"/>
      <c r="DS224" s="333"/>
      <c r="DT224" s="333"/>
      <c r="DU224" s="375"/>
      <c r="DV224" s="375"/>
      <c r="DW224" s="375"/>
      <c r="DX224" s="375"/>
      <c r="DY224" s="375"/>
      <c r="DZ224" s="375"/>
      <c r="EA224" s="375"/>
      <c r="EB224" s="375"/>
      <c r="EC224" s="375"/>
      <c r="ED224" s="375"/>
      <c r="EE224" s="375"/>
      <c r="EF224" s="375"/>
      <c r="EG224" s="375"/>
      <c r="EH224" s="375"/>
      <c r="EI224" s="375"/>
      <c r="EJ224" s="373"/>
      <c r="EK224" s="373"/>
      <c r="EL224" s="366"/>
      <c r="EM224" s="368"/>
      <c r="EN224" s="364"/>
      <c r="EO224" s="352">
        <f>IF(EO223=0, 0, SUM(EV221:FD225))</f>
        <v>0</v>
      </c>
      <c r="EP224" s="347"/>
      <c r="EQ224" s="342"/>
      <c r="ER224" s="522"/>
      <c r="ES224" s="916">
        <f>IF(ER224 = "", 0,
IF(AND(EP224 &gt; 0, EQ224 &gt;0), 0, IF(EO221 &lt;&gt; $Z$1,
IF(AND(EP224 &lt;&gt; "", EP224 &lt;&gt; 0), -(EP224 * ER224 * 100),
IF(AND(EQ224 &lt;&gt; "", EQ224 &lt;&gt; 0), (EQ224 * ER224 * 100), 0)),
IF(AND(EP224 &lt;&gt; "", EP224 &lt;&gt; 0), -(EP224 * ER224 * 1),
IF(AND(EQ224 &lt;&gt; "", EQ224 &lt;&gt; 0), (EQ224 * ER224 * 1), 0))  )))</f>
        <v>0</v>
      </c>
      <c r="ET224" s="917"/>
      <c r="EU224" s="918"/>
      <c r="EV224" s="916">
        <f>IF(ER224 = "", 0,
IF(AND(EP224 &gt; 0, EQ224 &gt;0), 0,  IF(EO221 &lt;&gt; $Z$1,
IF(AND(EP224 &lt;&gt; "", EP224 &lt;&gt; 0), -(EP224 * ER224 * 100 * (1 + COMIS_OPCION)),
IF(AND(EQ224 &lt;&gt; "", EQ224 &lt;&gt; 0), (EQ224 * ER224 * 100 * (1 - COMIS_OPCION)), 0)),
IF(AND(EP224 &lt;&gt; "", EP224 &lt;&gt; 0), -(EP224 * ER224 * 1 * (1 + COMIS_ACCION)),
IF(AND(EQ224 &lt;&gt; "", EQ224 &lt;&gt; 0), (EQ224 * ER224 * 1 * (1 - COMIS_ACCION)), 0))  )))</f>
        <v>0</v>
      </c>
      <c r="EW224" s="917"/>
      <c r="EX224" s="917"/>
      <c r="EY224" s="917"/>
      <c r="EZ224" s="917"/>
      <c r="FA224" s="917"/>
      <c r="FB224" s="917"/>
      <c r="FC224" s="917"/>
      <c r="FD224" s="925"/>
      <c r="FE224" s="340"/>
      <c r="FF224" s="340"/>
      <c r="FG224" s="365"/>
      <c r="FH224" s="365"/>
      <c r="FI224" s="354">
        <f>IF(FI223=0, 0, SUM(FP221:FX225))</f>
        <v>0</v>
      </c>
      <c r="FJ224" s="347"/>
      <c r="FK224" s="342"/>
      <c r="FL224" s="343"/>
      <c r="FM224" s="930">
        <f>IF(FL224 = "", 0,
IF(AND(FJ224 &gt; 0, FK224 &gt;0), 0,
IF(AND(FJ224 &lt;&gt; "", FJ224 &lt;&gt; 0), -(FJ224 * FL224 * 100),
IF(AND(FK224 &lt;&gt; "", FK224 &lt;&gt; 0), (FK224 * FL224 * 100), 0)) ))</f>
        <v>0</v>
      </c>
      <c r="FN224" s="931"/>
      <c r="FO224" s="932"/>
      <c r="FP224" s="930">
        <f>IF(FL224 = "", 0,
IF(AND(FJ224 &gt; 0, FK224 &gt;0), 0,
IF(AND(FJ224 &lt;&gt; "", FJ224 &lt;&gt; 0), -(FJ224 * FL224 * 100 * (1 + COMIS_OPCION)),
IF(AND(FK224 &lt;&gt; "", FK224 &lt;&gt; 0), (FK224 * FL224 * 100 * (1 - COMIS_OPCION)), 0)) ))</f>
        <v>0</v>
      </c>
      <c r="FQ224" s="931"/>
      <c r="FR224" s="931"/>
      <c r="FS224" s="931"/>
      <c r="FT224" s="931"/>
      <c r="FU224" s="931"/>
      <c r="FV224" s="931"/>
      <c r="FW224" s="931"/>
      <c r="FX224" s="933"/>
      <c r="FY224" s="341"/>
      <c r="FZ224" s="341"/>
      <c r="GA224" s="341"/>
      <c r="GB224" s="495">
        <v>0</v>
      </c>
      <c r="GC224" s="495">
        <v>0</v>
      </c>
      <c r="GD224" s="500"/>
      <c r="GE224" s="495">
        <v>0</v>
      </c>
      <c r="GF224" s="495">
        <v>0</v>
      </c>
      <c r="GG224" s="495">
        <v>0</v>
      </c>
      <c r="GH224" s="359"/>
      <c r="GI224" s="359"/>
      <c r="GJ224" s="501"/>
      <c r="GK224" s="495">
        <v>0</v>
      </c>
      <c r="GL224" s="495">
        <v>0</v>
      </c>
      <c r="GM224" s="495">
        <v>0</v>
      </c>
      <c r="GN224" s="359"/>
      <c r="GO224" s="359"/>
      <c r="GP224" s="501"/>
      <c r="GQ224" s="495">
        <v>0</v>
      </c>
      <c r="GR224" s="375"/>
      <c r="GS224" s="333"/>
      <c r="GT224" s="333"/>
      <c r="GU224" s="333"/>
      <c r="GV224" s="333"/>
      <c r="GW224" s="333"/>
      <c r="GX224" s="333"/>
      <c r="GY224" s="333"/>
      <c r="GZ224" s="333"/>
      <c r="HA224" s="333"/>
      <c r="HB224" s="333"/>
      <c r="HC224" s="333"/>
      <c r="HD224" s="333"/>
      <c r="HE224" s="333"/>
      <c r="HF224" s="333"/>
      <c r="HG224" s="331"/>
      <c r="HH224" s="331"/>
      <c r="HI224" s="331"/>
      <c r="HJ224" s="331"/>
      <c r="HK224" s="331"/>
      <c r="HL224" s="331"/>
      <c r="HM224" s="331"/>
      <c r="HN224" s="333"/>
      <c r="HO224" s="333"/>
      <c r="HP224" s="333"/>
      <c r="HQ224" s="333"/>
      <c r="HR224" s="333"/>
      <c r="HS224" s="333"/>
      <c r="HT224" s="333"/>
      <c r="HU224" s="333"/>
      <c r="HV224" s="333"/>
      <c r="HW224" s="333"/>
      <c r="HX224" s="333"/>
      <c r="HY224" s="333"/>
      <c r="HZ224" s="333"/>
      <c r="IA224" s="333"/>
      <c r="IB224" s="333"/>
      <c r="IC224" s="333"/>
      <c r="ID224" s="55"/>
      <c r="IE224" s="47"/>
      <c r="IO224" s="51"/>
    </row>
    <row r="225" spans="13:249" s="142" customFormat="1" ht="15" customHeight="1" thickBot="1">
      <c r="M225" s="333"/>
      <c r="N225" s="333"/>
      <c r="O225" s="333"/>
      <c r="P225" s="333"/>
      <c r="Q225" s="333"/>
      <c r="R225" s="333"/>
      <c r="S225" s="333"/>
      <c r="T225" s="333"/>
      <c r="U225" s="333"/>
      <c r="V225" s="333"/>
      <c r="W225" s="333"/>
      <c r="X225" s="333"/>
      <c r="Y225" s="333"/>
      <c r="Z225" s="333"/>
      <c r="AA225" s="333"/>
      <c r="AB225" s="333"/>
      <c r="AC225" s="333"/>
      <c r="AD225" s="333"/>
      <c r="AE225" s="333"/>
      <c r="AF225" s="333"/>
      <c r="AG225" s="333"/>
      <c r="AH225" s="333"/>
      <c r="AI225" s="333"/>
      <c r="AJ225" s="333"/>
      <c r="AK225" s="333"/>
      <c r="AL225" s="333"/>
      <c r="AM225" s="333"/>
      <c r="AN225" s="333"/>
      <c r="AO225" s="333"/>
      <c r="AP225" s="333"/>
      <c r="AQ225" s="333"/>
      <c r="AR225" s="333"/>
      <c r="AS225" s="333"/>
      <c r="AT225" s="333"/>
      <c r="AU225" s="333"/>
      <c r="AV225" s="333"/>
      <c r="AW225" s="333"/>
      <c r="AX225" s="333"/>
      <c r="AY225" s="333"/>
      <c r="AZ225" s="333"/>
      <c r="BA225" s="333"/>
      <c r="BB225" s="333"/>
      <c r="BC225" s="333"/>
      <c r="BD225" s="333"/>
      <c r="BE225" s="333"/>
      <c r="BF225" s="333"/>
      <c r="BG225" s="333"/>
      <c r="BH225" s="333"/>
      <c r="BI225" s="333"/>
      <c r="BJ225" s="333"/>
      <c r="BK225" s="333"/>
      <c r="BL225" s="333"/>
      <c r="BM225" s="333"/>
      <c r="BN225" s="333"/>
      <c r="BO225" s="333"/>
      <c r="BP225" s="333"/>
      <c r="BQ225" s="333"/>
      <c r="BR225" s="333"/>
      <c r="BS225" s="333"/>
      <c r="BT225" s="333"/>
      <c r="BU225" s="333"/>
      <c r="BV225" s="333"/>
      <c r="BW225" s="333"/>
      <c r="BX225" s="333"/>
      <c r="BY225" s="333"/>
      <c r="BZ225" s="333"/>
      <c r="CA225" s="333"/>
      <c r="CB225" s="333"/>
      <c r="CC225" s="333"/>
      <c r="CD225" s="333"/>
      <c r="CE225" s="333"/>
      <c r="CF225" s="333"/>
      <c r="CG225" s="333"/>
      <c r="CH225" s="333"/>
      <c r="CI225" s="333"/>
      <c r="CJ225" s="333"/>
      <c r="CK225" s="333"/>
      <c r="CL225" s="333"/>
      <c r="CM225" s="333"/>
      <c r="CN225" s="333"/>
      <c r="CO225" s="333"/>
      <c r="CP225" s="333"/>
      <c r="CQ225" s="333"/>
      <c r="CR225" s="333"/>
      <c r="CS225" s="333"/>
      <c r="CT225" s="333"/>
      <c r="CU225" s="333"/>
      <c r="CV225" s="333"/>
      <c r="CW225" s="333"/>
      <c r="CX225" s="333"/>
      <c r="CY225" s="333"/>
      <c r="CZ225" s="333"/>
      <c r="DA225" s="333"/>
      <c r="DB225" s="333"/>
      <c r="DC225" s="333"/>
      <c r="DD225" s="333"/>
      <c r="DE225" s="333"/>
      <c r="DF225" s="333"/>
      <c r="DG225" s="333"/>
      <c r="DH225" s="333"/>
      <c r="DI225" s="333"/>
      <c r="DJ225" s="333"/>
      <c r="DK225" s="333"/>
      <c r="DL225" s="333"/>
      <c r="DM225" s="333"/>
      <c r="DN225" s="333"/>
      <c r="DO225" s="333"/>
      <c r="DP225" s="333"/>
      <c r="DQ225" s="333"/>
      <c r="DR225" s="333"/>
      <c r="DS225" s="333"/>
      <c r="DT225" s="333"/>
      <c r="DU225" s="375"/>
      <c r="DV225" s="375"/>
      <c r="DW225" s="375"/>
      <c r="DX225" s="375"/>
      <c r="DY225" s="375"/>
      <c r="DZ225" s="375"/>
      <c r="EA225" s="375"/>
      <c r="EB225" s="375"/>
      <c r="EC225" s="375"/>
      <c r="ED225" s="375"/>
      <c r="EE225" s="375"/>
      <c r="EF225" s="375"/>
      <c r="EG225" s="375"/>
      <c r="EH225" s="375"/>
      <c r="EI225" s="375"/>
      <c r="EJ225" s="373"/>
      <c r="EK225" s="373"/>
      <c r="EL225" s="366"/>
      <c r="EM225" s="368"/>
      <c r="EN225" s="364"/>
      <c r="EO225" s="353">
        <f>+IF(EO223= 0, 0, GG221)</f>
        <v>0</v>
      </c>
      <c r="EP225" s="350"/>
      <c r="EQ225" s="344"/>
      <c r="ER225" s="523"/>
      <c r="ES225" s="921">
        <f>IF(ER225 = "", 0,
IF(AND(EP225 &gt; 0, EQ225 &gt;0), 0, IF(EO221 &lt;&gt; $Z$1,
IF(AND(EP225 &lt;&gt; "", EP225 &lt;&gt; 0), -(EP225 * ER225 * 100),
IF(AND(EQ225 &lt;&gt; "", EQ225 &lt;&gt; 0), (EQ225 * ER225 * 100), 0)),
IF(AND(EP225 &lt;&gt; "", EP225 &lt;&gt; 0), -(EP225 * ER225 * 1),
IF(AND(EQ225 &lt;&gt; "", EQ225 &lt;&gt; 0), (EQ225 * ER225 * 1), 0))  )))</f>
        <v>0</v>
      </c>
      <c r="ET225" s="922"/>
      <c r="EU225" s="924"/>
      <c r="EV225" s="921">
        <f>IF(ER225 = "", 0,
IF(AND(EP225 &gt; 0, EQ225 &gt;0), 0,  IF(EO221 &lt;&gt; $Z$1,
IF(AND(EP225 &lt;&gt; "", EP225 &lt;&gt; 0), -(EP225 * ER225 * 100 * (1 + COMIS_OPCION)),
IF(AND(EQ225 &lt;&gt; "", EQ225 &lt;&gt; 0), (EQ225 * ER225 * 100 * (1 - COMIS_OPCION)), 0)),
IF(AND(EP225 &lt;&gt; "", EP225 &lt;&gt; 0), -(EP225 * ER225 * 1 * (1 + COMIS_ACCION)),
IF(AND(EQ225 &lt;&gt; "", EQ225 &lt;&gt; 0), (EQ225 * ER225 * 1 * (1 - COMIS_ACCION)), 0))  )))</f>
        <v>0</v>
      </c>
      <c r="EW225" s="922"/>
      <c r="EX225" s="922"/>
      <c r="EY225" s="922"/>
      <c r="EZ225" s="922"/>
      <c r="FA225" s="922"/>
      <c r="FB225" s="922"/>
      <c r="FC225" s="922"/>
      <c r="FD225" s="923"/>
      <c r="FE225" s="340"/>
      <c r="FF225" s="340"/>
      <c r="FG225" s="365"/>
      <c r="FH225" s="365"/>
      <c r="FI225" s="349">
        <f>+IF(FI223= 0, 0, GQ221)</f>
        <v>0</v>
      </c>
      <c r="FJ225" s="348"/>
      <c r="FK225" s="345"/>
      <c r="FL225" s="346"/>
      <c r="FM225" s="937">
        <f>IF(FL225 = "", 0,
IF(AND(FJ225 &gt; 0, FK225 &gt;0), 0,
IF(AND(FJ225 &lt;&gt; "", FJ225 &lt;&gt; 0), -(FJ225 * FL225 * 100),
IF(AND(FK225 &lt;&gt; "", FK225 &lt;&gt; 0), (FK225 * FL225 * 100), 0)) ))</f>
        <v>0</v>
      </c>
      <c r="FN225" s="938"/>
      <c r="FO225" s="939"/>
      <c r="FP225" s="937">
        <f>IF(FL225 = "", 0,
IF(AND(FJ225 &gt; 0, FK225 &gt;0), 0,
IF(AND(FJ225 &lt;&gt; "", FJ225 &lt;&gt; 0), -(FJ225 * FL225 * 100 * (1 + COMIS_OPCION)),
IF(AND(FK225 &lt;&gt; "", FK225 &lt;&gt; 0), (FK225 * FL225 * 100 * (1 - COMIS_OPCION)), 0)) ))</f>
        <v>0</v>
      </c>
      <c r="FQ225" s="938"/>
      <c r="FR225" s="938"/>
      <c r="FS225" s="938"/>
      <c r="FT225" s="938"/>
      <c r="FU225" s="938"/>
      <c r="FV225" s="938"/>
      <c r="FW225" s="938"/>
      <c r="FX225" s="969"/>
      <c r="FY225" s="341"/>
      <c r="FZ225" s="341"/>
      <c r="GA225" s="341"/>
      <c r="GB225" s="495">
        <v>0</v>
      </c>
      <c r="GC225" s="495">
        <v>0</v>
      </c>
      <c r="GD225" s="500"/>
      <c r="GE225" s="495">
        <v>0</v>
      </c>
      <c r="GF225" s="495">
        <v>0</v>
      </c>
      <c r="GG225" s="495">
        <v>0</v>
      </c>
      <c r="GH225" s="359"/>
      <c r="GI225" s="359"/>
      <c r="GJ225" s="501"/>
      <c r="GK225" s="495">
        <v>0</v>
      </c>
      <c r="GL225" s="495">
        <v>0</v>
      </c>
      <c r="GM225" s="495">
        <v>0</v>
      </c>
      <c r="GN225" s="359"/>
      <c r="GO225" s="359"/>
      <c r="GP225" s="501"/>
      <c r="GQ225" s="495">
        <v>0</v>
      </c>
      <c r="GR225" s="375"/>
      <c r="GS225" s="333"/>
      <c r="GT225" s="333"/>
      <c r="GU225" s="333"/>
      <c r="GV225" s="333"/>
      <c r="GW225" s="333"/>
      <c r="GX225" s="333"/>
      <c r="GY225" s="333"/>
      <c r="GZ225" s="333"/>
      <c r="HA225" s="333"/>
      <c r="HB225" s="333"/>
      <c r="HC225" s="333"/>
      <c r="HD225" s="333"/>
      <c r="HE225" s="333"/>
      <c r="HF225" s="333"/>
      <c r="HG225" s="331"/>
      <c r="HH225" s="331"/>
      <c r="HI225" s="331"/>
      <c r="HJ225" s="331"/>
      <c r="HK225" s="331"/>
      <c r="HL225" s="331"/>
      <c r="HM225" s="331"/>
      <c r="HN225" s="333"/>
      <c r="HO225" s="333"/>
      <c r="HP225" s="333"/>
      <c r="HQ225" s="333"/>
      <c r="HR225" s="333"/>
      <c r="HS225" s="333"/>
      <c r="HT225" s="333"/>
      <c r="HU225" s="333"/>
      <c r="HV225" s="333"/>
      <c r="HW225" s="333"/>
      <c r="HX225" s="333"/>
      <c r="HY225" s="333"/>
      <c r="HZ225" s="333"/>
      <c r="IA225" s="333"/>
      <c r="IB225" s="333"/>
      <c r="IC225" s="333"/>
      <c r="ID225" s="55"/>
      <c r="IE225" s="47"/>
      <c r="IO225" s="51"/>
    </row>
    <row r="226" spans="13:249" s="142" customFormat="1" ht="15" customHeight="1" thickBot="1">
      <c r="M226" s="333"/>
      <c r="N226" s="333"/>
      <c r="O226" s="333"/>
      <c r="P226" s="333"/>
      <c r="Q226" s="333"/>
      <c r="R226" s="333"/>
      <c r="S226" s="333"/>
      <c r="T226" s="333"/>
      <c r="U226" s="333"/>
      <c r="V226" s="333"/>
      <c r="W226" s="333"/>
      <c r="X226" s="333"/>
      <c r="Y226" s="333"/>
      <c r="Z226" s="333"/>
      <c r="AA226" s="333"/>
      <c r="AB226" s="333"/>
      <c r="AC226" s="333"/>
      <c r="AD226" s="333"/>
      <c r="AE226" s="333"/>
      <c r="AF226" s="333"/>
      <c r="AG226" s="333"/>
      <c r="AH226" s="333"/>
      <c r="AI226" s="333"/>
      <c r="AJ226" s="333"/>
      <c r="AK226" s="333"/>
      <c r="AL226" s="333"/>
      <c r="AM226" s="333"/>
      <c r="AN226" s="333"/>
      <c r="AO226" s="333"/>
      <c r="AP226" s="333"/>
      <c r="AQ226" s="333"/>
      <c r="AR226" s="333"/>
      <c r="AS226" s="333"/>
      <c r="AT226" s="333"/>
      <c r="AU226" s="333"/>
      <c r="AV226" s="333"/>
      <c r="AW226" s="333"/>
      <c r="AX226" s="333"/>
      <c r="AY226" s="333"/>
      <c r="AZ226" s="333"/>
      <c r="BA226" s="333"/>
      <c r="BB226" s="333"/>
      <c r="BC226" s="333"/>
      <c r="BD226" s="333"/>
      <c r="BE226" s="333"/>
      <c r="BF226" s="333"/>
      <c r="BG226" s="333"/>
      <c r="BH226" s="333"/>
      <c r="BI226" s="333"/>
      <c r="BJ226" s="333"/>
      <c r="BK226" s="333"/>
      <c r="BL226" s="333"/>
      <c r="BM226" s="333"/>
      <c r="BN226" s="333"/>
      <c r="BO226" s="333"/>
      <c r="BP226" s="333"/>
      <c r="BQ226" s="333"/>
      <c r="BR226" s="333"/>
      <c r="BS226" s="333"/>
      <c r="BT226" s="333"/>
      <c r="BU226" s="333"/>
      <c r="BV226" s="333"/>
      <c r="BW226" s="333"/>
      <c r="BX226" s="333"/>
      <c r="BY226" s="333"/>
      <c r="BZ226" s="333"/>
      <c r="CA226" s="333"/>
      <c r="CB226" s="333"/>
      <c r="CC226" s="333"/>
      <c r="CD226" s="333"/>
      <c r="CE226" s="333"/>
      <c r="CF226" s="333"/>
      <c r="CG226" s="333"/>
      <c r="CH226" s="333"/>
      <c r="CI226" s="333"/>
      <c r="CJ226" s="333"/>
      <c r="CK226" s="333"/>
      <c r="CL226" s="333"/>
      <c r="CM226" s="333"/>
      <c r="CN226" s="333"/>
      <c r="CO226" s="333"/>
      <c r="CP226" s="333"/>
      <c r="CQ226" s="333"/>
      <c r="CR226" s="333"/>
      <c r="CS226" s="333"/>
      <c r="CT226" s="333"/>
      <c r="CU226" s="333"/>
      <c r="CV226" s="333"/>
      <c r="CW226" s="333"/>
      <c r="CX226" s="333"/>
      <c r="CY226" s="333"/>
      <c r="CZ226" s="333"/>
      <c r="DA226" s="333"/>
      <c r="DB226" s="333"/>
      <c r="DC226" s="333"/>
      <c r="DD226" s="333"/>
      <c r="DE226" s="333"/>
      <c r="DF226" s="333"/>
      <c r="DG226" s="333"/>
      <c r="DH226" s="333"/>
      <c r="DI226" s="333"/>
      <c r="DJ226" s="333"/>
      <c r="DK226" s="333"/>
      <c r="DL226" s="333"/>
      <c r="DM226" s="333"/>
      <c r="DN226" s="333"/>
      <c r="DO226" s="333"/>
      <c r="DP226" s="333"/>
      <c r="DQ226" s="333"/>
      <c r="DR226" s="333"/>
      <c r="DS226" s="333"/>
      <c r="DT226" s="333"/>
      <c r="DU226" s="375"/>
      <c r="DV226" s="375"/>
      <c r="DW226" s="375"/>
      <c r="DX226" s="375"/>
      <c r="DY226" s="375"/>
      <c r="DZ226" s="375"/>
      <c r="EA226" s="375"/>
      <c r="EB226" s="375"/>
      <c r="EC226" s="375"/>
      <c r="ED226" s="375"/>
      <c r="EE226" s="375"/>
      <c r="EF226" s="375"/>
      <c r="EG226" s="375"/>
      <c r="EH226" s="375"/>
      <c r="EI226" s="375"/>
      <c r="EJ226" s="373"/>
      <c r="EK226" s="373"/>
      <c r="EL226" s="366"/>
      <c r="EM226" s="369"/>
      <c r="EN226" s="364"/>
      <c r="EO226" s="363"/>
      <c r="EP226" s="340"/>
      <c r="EQ226" s="340"/>
      <c r="ER226" s="340"/>
      <c r="ES226" s="363"/>
      <c r="ET226" s="363"/>
      <c r="EU226" s="340"/>
      <c r="EV226" s="340"/>
      <c r="EW226" s="340"/>
      <c r="EX226" s="340"/>
      <c r="EY226" s="340"/>
      <c r="EZ226" s="340"/>
      <c r="FA226" s="340"/>
      <c r="FB226" s="402"/>
      <c r="FC226" s="402"/>
      <c r="FD226" s="340"/>
      <c r="FE226" s="340"/>
      <c r="FF226" s="340"/>
      <c r="FG226" s="364"/>
      <c r="FH226" s="364"/>
      <c r="FI226" s="363"/>
      <c r="FJ226" s="360"/>
      <c r="FK226" s="360"/>
      <c r="FL226" s="340"/>
      <c r="FM226" s="967"/>
      <c r="FN226" s="967"/>
      <c r="FO226" s="967"/>
      <c r="FP226" s="968"/>
      <c r="FQ226" s="968"/>
      <c r="FR226" s="968"/>
      <c r="FS226" s="968"/>
      <c r="FT226" s="968"/>
      <c r="FU226" s="968"/>
      <c r="FV226" s="968"/>
      <c r="FW226" s="968"/>
      <c r="FX226" s="968"/>
      <c r="FY226" s="341"/>
      <c r="FZ226" s="341"/>
      <c r="GA226" s="341"/>
      <c r="GB226" s="495">
        <v>0</v>
      </c>
      <c r="GC226" s="495">
        <v>0</v>
      </c>
      <c r="GD226" s="500"/>
      <c r="GE226" s="495">
        <v>0</v>
      </c>
      <c r="GF226" s="495">
        <v>0</v>
      </c>
      <c r="GG226" s="495">
        <v>0</v>
      </c>
      <c r="GH226" s="359"/>
      <c r="GI226" s="359"/>
      <c r="GJ226" s="501"/>
      <c r="GK226" s="495">
        <v>0</v>
      </c>
      <c r="GL226" s="495">
        <v>0</v>
      </c>
      <c r="GM226" s="495">
        <v>0</v>
      </c>
      <c r="GN226" s="359"/>
      <c r="GO226" s="359"/>
      <c r="GP226" s="501"/>
      <c r="GQ226" s="495">
        <v>0</v>
      </c>
      <c r="GR226" s="375"/>
      <c r="GS226" s="333"/>
      <c r="GT226" s="333"/>
      <c r="GU226" s="333"/>
      <c r="GV226" s="333"/>
      <c r="GW226" s="333"/>
      <c r="GX226" s="333"/>
      <c r="GY226" s="333"/>
      <c r="GZ226" s="333"/>
      <c r="HA226" s="333"/>
      <c r="HB226" s="333"/>
      <c r="HC226" s="333"/>
      <c r="HD226" s="333"/>
      <c r="HE226" s="333"/>
      <c r="HF226" s="333"/>
      <c r="HG226" s="331"/>
      <c r="HH226" s="331"/>
      <c r="HI226" s="331"/>
      <c r="HJ226" s="331"/>
      <c r="HK226" s="331"/>
      <c r="HL226" s="331"/>
      <c r="HM226" s="331"/>
      <c r="HN226" s="333"/>
      <c r="HO226" s="333"/>
      <c r="HP226" s="333"/>
      <c r="HQ226" s="333"/>
      <c r="HR226" s="333"/>
      <c r="HS226" s="333"/>
      <c r="HT226" s="333"/>
      <c r="HU226" s="333"/>
      <c r="HV226" s="333"/>
      <c r="HW226" s="333"/>
      <c r="HX226" s="333"/>
      <c r="HY226" s="333"/>
      <c r="HZ226" s="333"/>
      <c r="IA226" s="333"/>
      <c r="IB226" s="333"/>
      <c r="IC226" s="333"/>
      <c r="ID226" s="55"/>
      <c r="IE226" s="47"/>
      <c r="IO226" s="51"/>
    </row>
    <row r="227" spans="13:249" s="142" customFormat="1" ht="15" customHeight="1">
      <c r="M227" s="333"/>
      <c r="N227" s="333"/>
      <c r="O227" s="333"/>
      <c r="P227" s="333"/>
      <c r="Q227" s="333"/>
      <c r="R227" s="333"/>
      <c r="S227" s="333"/>
      <c r="T227" s="333"/>
      <c r="U227" s="333"/>
      <c r="V227" s="333"/>
      <c r="W227" s="333"/>
      <c r="X227" s="333"/>
      <c r="Y227" s="333"/>
      <c r="Z227" s="333"/>
      <c r="AA227" s="333"/>
      <c r="AB227" s="333"/>
      <c r="AC227" s="333"/>
      <c r="AD227" s="333"/>
      <c r="AE227" s="333"/>
      <c r="AF227" s="333"/>
      <c r="AG227" s="333"/>
      <c r="AH227" s="333"/>
      <c r="AI227" s="333"/>
      <c r="AJ227" s="333"/>
      <c r="AK227" s="333"/>
      <c r="AL227" s="333"/>
      <c r="AM227" s="333"/>
      <c r="AN227" s="333"/>
      <c r="AO227" s="333"/>
      <c r="AP227" s="333"/>
      <c r="AQ227" s="333"/>
      <c r="AR227" s="333"/>
      <c r="AS227" s="333"/>
      <c r="AT227" s="333"/>
      <c r="AU227" s="333"/>
      <c r="AV227" s="333"/>
      <c r="AW227" s="333"/>
      <c r="AX227" s="333"/>
      <c r="AY227" s="333"/>
      <c r="AZ227" s="333"/>
      <c r="BA227" s="333"/>
      <c r="BB227" s="333"/>
      <c r="BC227" s="333"/>
      <c r="BD227" s="333"/>
      <c r="BE227" s="333"/>
      <c r="BF227" s="333"/>
      <c r="BG227" s="333"/>
      <c r="BH227" s="333"/>
      <c r="BI227" s="333"/>
      <c r="BJ227" s="333"/>
      <c r="BK227" s="333"/>
      <c r="BL227" s="333"/>
      <c r="BM227" s="333"/>
      <c r="BN227" s="333"/>
      <c r="BO227" s="333"/>
      <c r="BP227" s="333"/>
      <c r="BQ227" s="333"/>
      <c r="BR227" s="333"/>
      <c r="BS227" s="333"/>
      <c r="BT227" s="333"/>
      <c r="BU227" s="333"/>
      <c r="BV227" s="333"/>
      <c r="BW227" s="333"/>
      <c r="BX227" s="333"/>
      <c r="BY227" s="333"/>
      <c r="BZ227" s="333"/>
      <c r="CA227" s="333"/>
      <c r="CB227" s="333"/>
      <c r="CC227" s="333"/>
      <c r="CD227" s="333"/>
      <c r="CE227" s="333"/>
      <c r="CF227" s="333"/>
      <c r="CG227" s="333"/>
      <c r="CH227" s="333"/>
      <c r="CI227" s="333"/>
      <c r="CJ227" s="333"/>
      <c r="CK227" s="333"/>
      <c r="CL227" s="333"/>
      <c r="CM227" s="333"/>
      <c r="CN227" s="333"/>
      <c r="CO227" s="333"/>
      <c r="CP227" s="333"/>
      <c r="CQ227" s="333"/>
      <c r="CR227" s="333"/>
      <c r="CS227" s="333"/>
      <c r="CT227" s="333"/>
      <c r="CU227" s="333"/>
      <c r="CV227" s="333"/>
      <c r="CW227" s="333"/>
      <c r="CX227" s="333"/>
      <c r="CY227" s="333"/>
      <c r="CZ227" s="333"/>
      <c r="DA227" s="333"/>
      <c r="DB227" s="333"/>
      <c r="DC227" s="333"/>
      <c r="DD227" s="333"/>
      <c r="DE227" s="333"/>
      <c r="DF227" s="333"/>
      <c r="DG227" s="333"/>
      <c r="DH227" s="333"/>
      <c r="DI227" s="333"/>
      <c r="DJ227" s="333"/>
      <c r="DK227" s="333"/>
      <c r="DL227" s="333"/>
      <c r="DM227" s="333"/>
      <c r="DN227" s="333"/>
      <c r="DO227" s="333"/>
      <c r="DP227" s="333"/>
      <c r="DQ227" s="333"/>
      <c r="DR227" s="333"/>
      <c r="DS227" s="333"/>
      <c r="DT227" s="333"/>
      <c r="DU227" s="375"/>
      <c r="DV227" s="375"/>
      <c r="DW227" s="375"/>
      <c r="DX227" s="375"/>
      <c r="DY227" s="375"/>
      <c r="DZ227" s="375"/>
      <c r="EA227" s="375"/>
      <c r="EB227" s="375"/>
      <c r="EC227" s="375"/>
      <c r="ED227" s="375"/>
      <c r="EE227" s="375"/>
      <c r="EF227" s="375"/>
      <c r="EG227" s="375"/>
      <c r="EH227" s="375"/>
      <c r="EI227" s="375"/>
      <c r="EJ227" s="373"/>
      <c r="EK227" s="373"/>
      <c r="EL227" s="366"/>
      <c r="EM227" s="366"/>
      <c r="EN227" s="364">
        <f>+EN221+1</f>
        <v>30</v>
      </c>
      <c r="EO227" s="356">
        <f>+VLOOKUP(EN227, PRECIOS_EJERCICIOS,  2,FALSE)</f>
        <v>350</v>
      </c>
      <c r="EP227" s="513" t="str">
        <f>+IF($AQ$49 = FALSE, "",
IF(VLOOKUP(EO227, basesCantPrimaBrutoRes, 2,FALSE) &gt;= 0, VLOOKUP(EO227, basesCantPrimaBrutoRes, 2,FALSE), 0))</f>
        <v/>
      </c>
      <c r="EQ227" s="514" t="str">
        <f>+IF($AQ$49 = FALSE, "",
IF(VLOOKUP(EO227, basesCantPrimaBrutoRes, 2,FALSE) &lt; 0, -VLOOKUP(EO227, basesCantPrimaBrutoRes, 2,FALSE), 0))</f>
        <v/>
      </c>
      <c r="ER227" s="521" t="str">
        <f>IF($AQ$49 = FALSE, "",
VLOOKUP(EO227, basesCantPrimaBrutoRes, 4,FALSE))</f>
        <v/>
      </c>
      <c r="ES227" s="926">
        <f>IF(ER227 = "", 0,
IF(AND(EP227 &gt; 0, EQ227 &gt;0), 0, IF(EO227 &lt;&gt; $Z$1,
IF(AND(EP227 &lt;&gt; "", EP227 &lt;&gt; 0), -(EP227 * ER227 * 100),
IF(AND(EQ227 &lt;&gt; "", EQ227 &lt;&gt; 0), (EQ227 * ER227 * 100), 0)),
IF(AND(EP227 &lt;&gt; "", EP227 &lt;&gt; 0), -(EP227 * ER227 * 1),
IF(AND(EQ227 &lt;&gt; "", EQ227 &lt;&gt; 0), (EQ227 * ER227 * 1), 0))  )))</f>
        <v>0</v>
      </c>
      <c r="ET227" s="927"/>
      <c r="EU227" s="928"/>
      <c r="EV227" s="926">
        <f>IF(ER227 = "", 0,
IF(AND(EP227 &gt; 0, EQ227 &gt;0), 0,  IF(EO227 &lt;&gt; $Z$1,
IF(AND(EP227 &lt;&gt; "", EP227 &lt;&gt; 0), -(EP227 * ER227 * 100 * (1 + COMIS_OPCION)),
IF(AND(EQ227 &lt;&gt; "", EQ227 &lt;&gt; 0), (EQ227 * ER227 * 100 * (1 - COMIS_OPCION)), 0)),
IF(AND(EP227 &lt;&gt; "", EP227 &lt;&gt; 0), -(EP227 * ER227 * 1 * (1 + COMIS_ACCION)),
IF(AND(EQ227 &lt;&gt; "", EQ227 &lt;&gt; 0), (EQ227 * ER227 * 1 * (1 - COMIS_ACCION)), 0))  )))</f>
        <v>0</v>
      </c>
      <c r="EW227" s="927"/>
      <c r="EX227" s="927"/>
      <c r="EY227" s="927"/>
      <c r="EZ227" s="927"/>
      <c r="FA227" s="927"/>
      <c r="FB227" s="927"/>
      <c r="FC227" s="927"/>
      <c r="FD227" s="929"/>
      <c r="FE227" s="340"/>
      <c r="FF227" s="340"/>
      <c r="FG227" s="364"/>
      <c r="FH227" s="364">
        <f>+FH221+1</f>
        <v>30</v>
      </c>
      <c r="FI227" s="357">
        <f>+VLOOKUP(FH227, PRECIOS_EJERCICIOS,  2,FALSE)</f>
        <v>350</v>
      </c>
      <c r="FJ227" s="515" t="str">
        <f>+IF($AQ$49 = FALSE, "",
IF(VLOOKUP(EO227, basesCantPrimaBrutoRes, 5,FALSE) &gt;= 0, VLOOKUP(EO227, basesCantPrimaBrutoRes, 5,FALSE), 0))</f>
        <v/>
      </c>
      <c r="FK227" s="516" t="str">
        <f>+IF($AQ$49 = FALSE, "",
IF(VLOOKUP(EO227, basesCantPrimaBrutoRes, 5,FALSE) &lt; 0, -VLOOKUP(EO227, basesCantPrimaBrutoRes, 5,FALSE), 0))</f>
        <v/>
      </c>
      <c r="FL227" s="517" t="str">
        <f>IF($AQ$49 = FALSE, "",
VLOOKUP(EO227, basesCantPrimaBrutoRes, 7,FALSE))</f>
        <v/>
      </c>
      <c r="FM227" s="934">
        <f>IF(FL227 = "", 0,
IF(AND(FJ227 &gt; 0, FK227 &gt;0), 0,
IF(AND(FJ227 &lt;&gt; "", FJ227 &lt;&gt; 0), -(FJ227 * FL227 * 100),
IF(AND(FK227 &lt;&gt; "", FK227 &lt;&gt; 0), (FK227 * FL227 * 100), 0)) ))</f>
        <v>0</v>
      </c>
      <c r="FN227" s="935"/>
      <c r="FO227" s="936"/>
      <c r="FP227" s="934">
        <f>IF(FL227 = "", 0,
IF(AND(FJ227 &gt; 0, FK227 &gt;0), 0,
IF(AND(FJ227 &lt;&gt; "", FJ227 &lt;&gt; 0), -(FJ227 * FL227 * 100 * (1 + COMIS_OPCION)),
IF(AND(FK227 &lt;&gt; "", FK227 &lt;&gt; 0), (FK227 * FL227 * 100 * (1 - COMIS_OPCION)), 0)) ))</f>
        <v>0</v>
      </c>
      <c r="FQ227" s="935"/>
      <c r="FR227" s="935"/>
      <c r="FS227" s="935"/>
      <c r="FT227" s="935"/>
      <c r="FU227" s="935"/>
      <c r="FV227" s="935"/>
      <c r="FW227" s="935"/>
      <c r="FX227" s="966"/>
      <c r="FY227" s="341"/>
      <c r="FZ227" s="341"/>
      <c r="GA227" s="341"/>
      <c r="GB227" s="495">
        <f>+IF(EN227 = "", "", EO227)</f>
        <v>350</v>
      </c>
      <c r="GC227" s="495" t="str">
        <f>+IF(GB227="", "", IF(EO227 = $Z$1, "ACCION", "CALL"))</f>
        <v>CALL</v>
      </c>
      <c r="GD227" s="500"/>
      <c r="GE227" s="495">
        <f>+IF(GB227= "", "", EO229)</f>
        <v>0</v>
      </c>
      <c r="GF227" s="495">
        <f>+IF(GB227 = "", "", IFERROR(IF(GB227 &lt;&gt; $Z$1,
IF(GE227 &gt; 0, SUMIFS(ES227:ES231, EP227:EP231, "&gt;0", ES227:ES231, "&lt;&gt;0") / SUMIFS(EP227:EP231, EP227:EP231, "&gt;0", ES227:ES231, "&lt;&gt;0") / -100,
IF(GE227 &lt; 0, SUMIFS(ES227:ES231, EQ227:EQ231, "&gt;0", ES227:ES231, "&lt;&gt;0") / SUMIFS(EQ227:EQ231, EQ227:EQ231, "&gt;0", ES227:ES231, "&lt;&gt;0") / 100, 0)),
IF(GE227 &gt; 0, SUMIFS(ES227:ES231, EP227:EP231, "&gt;0", ES227:ES231, "&lt;&gt;0") / SUMIFS(EP227:EP231, EP227:EP231, "&gt;0", ES227:ES231, "&lt;&gt;0") / -1,
IF(GE227 &lt; 0, SUMIFS(ES227:ES231, EQ227:EQ231, "&gt;0", ES227:ES231, "&lt;&gt;0") / SUMIFS(EQ227:EQ231, EQ227:EQ231, "&gt;0", ES227:ES231, "&lt;&gt;0") / 1, 0)) ), 0))</f>
        <v>0</v>
      </c>
      <c r="GG227" s="495">
        <f>+IF(GB227 = "", "", IFERROR(IF(GB227 &lt;&gt; $Z$1,
IF(GE227 &gt; 0, SUMIFS(EV227:EV231, EP227:EP231, "&gt;0", EV227:EV231, "&lt;&gt;0") / SUMIFS(EP227:EP231, EP227:EP231, "&gt;0", EV227:EV231, "&lt;&gt;0") / -100,
IF(GE227 &lt; 0, SUMIFS(EV227:EV231, EQ227:EQ231, "&gt;0", EV227:EV231, "&lt;&gt;0") / SUMIFS(EQ227:EQ231, EQ227:EQ231, "&gt;0", EV227:EV231, "&lt;&gt;0") / 100, 0)),
IF(GE227 &gt; 0, SUMIFS(EV227:EV231, EP227:EP231, "&gt;0", EV227:EV231, "&lt;&gt;0") / SUMIFS(EP227:EP231, EP227:EP231, "&gt;0", EV227:EV231, "&lt;&gt;0") / -1,
IF(GE227 &lt; 0, SUMIFS(EV227:EV231, EQ227:EQ231, "&gt;0", EV227:EV231, "&lt;&gt;0") / SUMIFS(EQ227:EQ231, EQ227:EQ231, "&gt;0", EV227:EV231, "&lt;&gt;0") / 1, 0)) ), 0))</f>
        <v>0</v>
      </c>
      <c r="GH227" s="359"/>
      <c r="GI227" s="359"/>
      <c r="GJ227" s="501"/>
      <c r="GK227" s="495" t="str">
        <f>+IF(GB227="", "", "PUT")</f>
        <v>PUT</v>
      </c>
      <c r="GL227" s="495">
        <f>+IF(GB227 = "", "", FI229)</f>
        <v>0</v>
      </c>
      <c r="GM227" s="495">
        <f>+IF(GB227 = "", "", IFERROR(
IF(FI229 &gt; 0, SUMIFS(FM227:FM231, FJ227:FJ231, "&gt;0", FM227:FM231, "&lt;&gt;0") / SUMIFS(FJ227:FJ231, FJ227:FJ231, "&gt;0", FM227:FM231, "&lt;&gt;0") / -100,
IF(FI229 &lt; 0, SUMIFS(FM227:FM231, FK227:FK231, "&gt;0", FM227:FM231, "&lt;&gt;0") / SUMIFS(FK227:FK231, FK227:FK231, "&gt;0", FM227:FM231, "&lt;&gt;0") / 100, 0)), 0) )</f>
        <v>0</v>
      </c>
      <c r="GN227" s="359"/>
      <c r="GO227" s="359"/>
      <c r="GP227" s="501"/>
      <c r="GQ227" s="502">
        <f>+IF(GB227 = "", "", IFERROR(
IF(FI229 &gt; 0, SUMIFS(FP227:FP231, FJ227:FJ231, "&gt;0", FP227:FP231, "&lt;&gt;0") / SUMIFS(FJ227:FJ231, FJ227:FJ231, "&gt;0", FP227:FP231, "&lt;&gt;0") / -100,
IF(FI229 &lt; 0, SUMIFS(FP227:FP231, FK227:FK231, "&gt;0", FP227:FP231, "&lt;&gt;0") / SUMIFS(FK227:FK231, FK227:FK231, "&gt;0", FP227:FP231, "&lt;&gt;0") / 100, 0)), 0))</f>
        <v>0</v>
      </c>
      <c r="GR227" s="375"/>
      <c r="GS227" s="333"/>
      <c r="GT227" s="333"/>
      <c r="GU227" s="333"/>
      <c r="GV227" s="333"/>
      <c r="GW227" s="333"/>
      <c r="GX227" s="333"/>
      <c r="GY227" s="333"/>
      <c r="GZ227" s="333"/>
      <c r="HA227" s="333"/>
      <c r="HB227" s="333"/>
      <c r="HC227" s="333"/>
      <c r="HD227" s="333"/>
      <c r="HE227" s="333"/>
      <c r="HF227" s="333"/>
      <c r="HG227" s="331"/>
      <c r="HH227" s="331"/>
      <c r="HI227" s="331"/>
      <c r="HJ227" s="331"/>
      <c r="HK227" s="331"/>
      <c r="HL227" s="331"/>
      <c r="HM227" s="331"/>
      <c r="HN227" s="333"/>
      <c r="HO227" s="333"/>
      <c r="HP227" s="333"/>
      <c r="HQ227" s="333"/>
      <c r="HR227" s="333"/>
      <c r="HS227" s="333"/>
      <c r="HT227" s="333"/>
      <c r="HU227" s="333"/>
      <c r="HV227" s="333"/>
      <c r="HW227" s="333"/>
      <c r="HX227" s="333"/>
      <c r="HY227" s="333"/>
      <c r="HZ227" s="333"/>
      <c r="IA227" s="333"/>
      <c r="IB227" s="333"/>
      <c r="IC227" s="333"/>
      <c r="ID227" s="55"/>
      <c r="IE227" s="47"/>
      <c r="IO227" s="51"/>
    </row>
    <row r="228" spans="13:249" s="142" customFormat="1" ht="15" customHeight="1">
      <c r="M228" s="333"/>
      <c r="N228" s="333"/>
      <c r="O228" s="333"/>
      <c r="P228" s="333"/>
      <c r="Q228" s="333"/>
      <c r="R228" s="333"/>
      <c r="S228" s="333"/>
      <c r="T228" s="333"/>
      <c r="U228" s="333"/>
      <c r="V228" s="333"/>
      <c r="W228" s="333"/>
      <c r="X228" s="333"/>
      <c r="Y228" s="333"/>
      <c r="Z228" s="333"/>
      <c r="AA228" s="333"/>
      <c r="AB228" s="333"/>
      <c r="AC228" s="333"/>
      <c r="AD228" s="333"/>
      <c r="AE228" s="333"/>
      <c r="AF228" s="333"/>
      <c r="AG228" s="333"/>
      <c r="AH228" s="333"/>
      <c r="AI228" s="333"/>
      <c r="AJ228" s="333"/>
      <c r="AK228" s="333"/>
      <c r="AL228" s="333"/>
      <c r="AM228" s="333"/>
      <c r="AN228" s="333"/>
      <c r="AO228" s="333"/>
      <c r="AP228" s="333"/>
      <c r="AQ228" s="333"/>
      <c r="AR228" s="333"/>
      <c r="AS228" s="333"/>
      <c r="AT228" s="333"/>
      <c r="AU228" s="333"/>
      <c r="AV228" s="333"/>
      <c r="AW228" s="333"/>
      <c r="AX228" s="333"/>
      <c r="AY228" s="333"/>
      <c r="AZ228" s="333"/>
      <c r="BA228" s="333"/>
      <c r="BB228" s="333"/>
      <c r="BC228" s="333"/>
      <c r="BD228" s="333"/>
      <c r="BE228" s="333"/>
      <c r="BF228" s="333"/>
      <c r="BG228" s="333"/>
      <c r="BH228" s="333"/>
      <c r="BI228" s="333"/>
      <c r="BJ228" s="333"/>
      <c r="BK228" s="333"/>
      <c r="BL228" s="333"/>
      <c r="BM228" s="333"/>
      <c r="BN228" s="333"/>
      <c r="BO228" s="333"/>
      <c r="BP228" s="333"/>
      <c r="BQ228" s="333"/>
      <c r="BR228" s="333"/>
      <c r="BS228" s="333"/>
      <c r="BT228" s="333"/>
      <c r="BU228" s="333"/>
      <c r="BV228" s="333"/>
      <c r="BW228" s="333"/>
      <c r="BX228" s="333"/>
      <c r="BY228" s="333"/>
      <c r="BZ228" s="333"/>
      <c r="CA228" s="333"/>
      <c r="CB228" s="333"/>
      <c r="CC228" s="333"/>
      <c r="CD228" s="333"/>
      <c r="CE228" s="333"/>
      <c r="CF228" s="333"/>
      <c r="CG228" s="333"/>
      <c r="CH228" s="333"/>
      <c r="CI228" s="333"/>
      <c r="CJ228" s="333"/>
      <c r="CK228" s="333"/>
      <c r="CL228" s="333"/>
      <c r="CM228" s="333"/>
      <c r="CN228" s="333"/>
      <c r="CO228" s="333"/>
      <c r="CP228" s="333"/>
      <c r="CQ228" s="333"/>
      <c r="CR228" s="333"/>
      <c r="CS228" s="333"/>
      <c r="CT228" s="333"/>
      <c r="CU228" s="333"/>
      <c r="CV228" s="333"/>
      <c r="CW228" s="333"/>
      <c r="CX228" s="333"/>
      <c r="CY228" s="333"/>
      <c r="CZ228" s="333"/>
      <c r="DA228" s="333"/>
      <c r="DB228" s="333"/>
      <c r="DC228" s="333"/>
      <c r="DD228" s="333"/>
      <c r="DE228" s="333"/>
      <c r="DF228" s="333"/>
      <c r="DG228" s="333"/>
      <c r="DH228" s="333"/>
      <c r="DI228" s="333"/>
      <c r="DJ228" s="333"/>
      <c r="DK228" s="333"/>
      <c r="DL228" s="333"/>
      <c r="DM228" s="333"/>
      <c r="DN228" s="333"/>
      <c r="DO228" s="333"/>
      <c r="DP228" s="333"/>
      <c r="DQ228" s="333"/>
      <c r="DR228" s="333"/>
      <c r="DS228" s="333"/>
      <c r="DT228" s="333"/>
      <c r="DU228" s="375"/>
      <c r="DV228" s="375"/>
      <c r="DW228" s="375"/>
      <c r="DX228" s="375"/>
      <c r="DY228" s="375"/>
      <c r="DZ228" s="375"/>
      <c r="EA228" s="375"/>
      <c r="EB228" s="375"/>
      <c r="EC228" s="375"/>
      <c r="ED228" s="375"/>
      <c r="EE228" s="375"/>
      <c r="EF228" s="375"/>
      <c r="EG228" s="375"/>
      <c r="EH228" s="375"/>
      <c r="EI228" s="375"/>
      <c r="EJ228" s="373"/>
      <c r="EK228" s="373"/>
      <c r="EL228" s="366"/>
      <c r="EM228" s="366"/>
      <c r="EN228" s="364"/>
      <c r="EO228" s="351"/>
      <c r="EP228" s="347"/>
      <c r="EQ228" s="342"/>
      <c r="ER228" s="522"/>
      <c r="ES228" s="916">
        <f>IF(ER228 = "", 0,
IF(AND(EP228 &gt; 0, EQ228 &gt;0), 0, IF(EO227 &lt;&gt; $Z$1,
IF(AND(EP228 &lt;&gt; "", EP228 &lt;&gt; 0), -(EP228 * ER228 * 100),
IF(AND(EQ228 &lt;&gt; "", EQ228 &lt;&gt; 0), (EQ228 * ER228 * 100), 0)),
IF(AND(EP228 &lt;&gt; "", EP228 &lt;&gt; 0), -(EP228 * ER228 * 1),
IF(AND(EQ228 &lt;&gt; "", EQ228 &lt;&gt; 0), (EQ228 * ER228 * 1), 0))  )))</f>
        <v>0</v>
      </c>
      <c r="ET228" s="917"/>
      <c r="EU228" s="918"/>
      <c r="EV228" s="916">
        <f>IF(ER228 = "", 0,
IF(AND(EP228 &gt; 0, EQ228 &gt;0), 0,  IF(EO227 &lt;&gt; $Z$1,
IF(AND(EP228 &lt;&gt; "", EP228 &lt;&gt; 0), -(EP228 * ER228 * 100 * (1 + COMIS_OPCION)),
IF(AND(EQ228 &lt;&gt; "", EQ228 &lt;&gt; 0), (EQ228 * ER228 * 100 * (1 - COMIS_OPCION)), 0)),
IF(AND(EP228 &lt;&gt; "", EP228 &lt;&gt; 0), -(EP228 * ER228 * 1 * (1 + COMIS_ACCION)),
IF(AND(EQ228 &lt;&gt; "", EQ228 &lt;&gt; 0), (EQ228 * ER228 * 1 * (1 - COMIS_ACCION)), 0))  )))</f>
        <v>0</v>
      </c>
      <c r="EW228" s="917"/>
      <c r="EX228" s="917"/>
      <c r="EY228" s="917"/>
      <c r="EZ228" s="917"/>
      <c r="FA228" s="917"/>
      <c r="FB228" s="917"/>
      <c r="FC228" s="917"/>
      <c r="FD228" s="925"/>
      <c r="FE228" s="340"/>
      <c r="FF228" s="340"/>
      <c r="FG228" s="364"/>
      <c r="FH228" s="364"/>
      <c r="FI228" s="339"/>
      <c r="FJ228" s="347"/>
      <c r="FK228" s="342"/>
      <c r="FL228" s="343"/>
      <c r="FM228" s="930">
        <f>IF(FL228 = "", 0,
IF(AND(FJ228 &gt; 0, FK228 &gt;0), 0,
IF(AND(FJ228 &lt;&gt; "", FJ228 &lt;&gt; 0), -(FJ228 * FL228 * 100),
IF(AND(FK228 &lt;&gt; "", FK228 &lt;&gt; 0), (FK228 * FL228 * 100), 0)) ))</f>
        <v>0</v>
      </c>
      <c r="FN228" s="931"/>
      <c r="FO228" s="932"/>
      <c r="FP228" s="930">
        <f>IF(FL228 = "", 0,
IF(AND(FJ228 &gt; 0, FK228 &gt;0), 0,
IF(AND(FJ228 &lt;&gt; "", FJ228 &lt;&gt; 0), -(FJ228 * FL228 * 100 * (1 + COMIS_OPCION)),
IF(AND(FK228 &lt;&gt; "", FK228 &lt;&gt; 0), (FK228 * FL228 * 100 * (1 - COMIS_OPCION)), 0)) ))</f>
        <v>0</v>
      </c>
      <c r="FQ228" s="931"/>
      <c r="FR228" s="931"/>
      <c r="FS228" s="931"/>
      <c r="FT228" s="931"/>
      <c r="FU228" s="931"/>
      <c r="FV228" s="931"/>
      <c r="FW228" s="931"/>
      <c r="FX228" s="933"/>
      <c r="FY228" s="341"/>
      <c r="FZ228" s="341"/>
      <c r="GA228" s="341"/>
      <c r="GB228" s="495">
        <v>0</v>
      </c>
      <c r="GC228" s="495">
        <v>0</v>
      </c>
      <c r="GD228" s="500"/>
      <c r="GE228" s="495">
        <v>0</v>
      </c>
      <c r="GF228" s="495">
        <v>0</v>
      </c>
      <c r="GG228" s="495">
        <v>0</v>
      </c>
      <c r="GH228" s="359"/>
      <c r="GI228" s="359"/>
      <c r="GJ228" s="501"/>
      <c r="GK228" s="495">
        <v>0</v>
      </c>
      <c r="GL228" s="495">
        <v>0</v>
      </c>
      <c r="GM228" s="495">
        <v>0</v>
      </c>
      <c r="GN228" s="359"/>
      <c r="GO228" s="359"/>
      <c r="GP228" s="501"/>
      <c r="GQ228" s="495">
        <v>0</v>
      </c>
      <c r="GR228" s="375"/>
      <c r="GS228" s="333"/>
      <c r="GT228" s="333"/>
      <c r="GU228" s="333"/>
      <c r="GV228" s="333"/>
      <c r="GW228" s="333"/>
      <c r="GX228" s="333"/>
      <c r="GY228" s="333"/>
      <c r="GZ228" s="333"/>
      <c r="HA228" s="333"/>
      <c r="HB228" s="333"/>
      <c r="HC228" s="333"/>
      <c r="HD228" s="333"/>
      <c r="HE228" s="333"/>
      <c r="HF228" s="333"/>
      <c r="HG228" s="331"/>
      <c r="HH228" s="331"/>
      <c r="HI228" s="331"/>
      <c r="HJ228" s="331"/>
      <c r="HK228" s="331"/>
      <c r="HL228" s="331"/>
      <c r="HM228" s="331"/>
      <c r="HN228" s="333"/>
      <c r="HO228" s="333"/>
      <c r="HP228" s="333"/>
      <c r="HQ228" s="333"/>
      <c r="HR228" s="333"/>
      <c r="HS228" s="333"/>
      <c r="HT228" s="333"/>
      <c r="HU228" s="333"/>
      <c r="HV228" s="333"/>
      <c r="HW228" s="333"/>
      <c r="HX228" s="333"/>
      <c r="HY228" s="333"/>
      <c r="HZ228" s="333"/>
      <c r="IA228" s="333"/>
      <c r="IB228" s="333"/>
      <c r="IC228" s="333"/>
      <c r="ID228" s="55"/>
      <c r="IE228" s="47"/>
      <c r="IO228" s="51"/>
    </row>
    <row r="229" spans="13:249" s="142" customFormat="1" ht="15" customHeight="1">
      <c r="M229" s="333"/>
      <c r="N229" s="333"/>
      <c r="O229" s="333"/>
      <c r="P229" s="333"/>
      <c r="Q229" s="333"/>
      <c r="R229" s="333"/>
      <c r="S229" s="333"/>
      <c r="T229" s="333"/>
      <c r="U229" s="333"/>
      <c r="V229" s="333"/>
      <c r="W229" s="333"/>
      <c r="X229" s="333"/>
      <c r="Y229" s="333"/>
      <c r="Z229" s="333"/>
      <c r="AA229" s="333"/>
      <c r="AB229" s="333"/>
      <c r="AC229" s="333"/>
      <c r="AD229" s="333"/>
      <c r="AE229" s="333"/>
      <c r="AF229" s="333"/>
      <c r="AG229" s="333"/>
      <c r="AH229" s="333"/>
      <c r="AI229" s="333"/>
      <c r="AJ229" s="333"/>
      <c r="AK229" s="333"/>
      <c r="AL229" s="333"/>
      <c r="AM229" s="333"/>
      <c r="AN229" s="333"/>
      <c r="AO229" s="333"/>
      <c r="AP229" s="333"/>
      <c r="AQ229" s="333"/>
      <c r="AR229" s="333"/>
      <c r="AS229" s="333"/>
      <c r="AT229" s="333"/>
      <c r="AU229" s="333"/>
      <c r="AV229" s="333"/>
      <c r="AW229" s="333"/>
      <c r="AX229" s="333"/>
      <c r="AY229" s="333"/>
      <c r="AZ229" s="333"/>
      <c r="BA229" s="333"/>
      <c r="BB229" s="333"/>
      <c r="BC229" s="333"/>
      <c r="BD229" s="333"/>
      <c r="BE229" s="333"/>
      <c r="BF229" s="333"/>
      <c r="BG229" s="333"/>
      <c r="BH229" s="333"/>
      <c r="BI229" s="333"/>
      <c r="BJ229" s="333"/>
      <c r="BK229" s="333"/>
      <c r="BL229" s="333"/>
      <c r="BM229" s="333"/>
      <c r="BN229" s="333"/>
      <c r="BO229" s="333"/>
      <c r="BP229" s="333"/>
      <c r="BQ229" s="333"/>
      <c r="BR229" s="333"/>
      <c r="BS229" s="333"/>
      <c r="BT229" s="333"/>
      <c r="BU229" s="333"/>
      <c r="BV229" s="333"/>
      <c r="BW229" s="333"/>
      <c r="BX229" s="333"/>
      <c r="BY229" s="333"/>
      <c r="BZ229" s="333"/>
      <c r="CA229" s="333"/>
      <c r="CB229" s="333"/>
      <c r="CC229" s="333"/>
      <c r="CD229" s="333"/>
      <c r="CE229" s="333"/>
      <c r="CF229" s="333"/>
      <c r="CG229" s="333"/>
      <c r="CH229" s="333"/>
      <c r="CI229" s="333"/>
      <c r="CJ229" s="333"/>
      <c r="CK229" s="333"/>
      <c r="CL229" s="333"/>
      <c r="CM229" s="333"/>
      <c r="CN229" s="333"/>
      <c r="CO229" s="333"/>
      <c r="CP229" s="333"/>
      <c r="CQ229" s="333"/>
      <c r="CR229" s="333"/>
      <c r="CS229" s="333"/>
      <c r="CT229" s="333"/>
      <c r="CU229" s="333"/>
      <c r="CV229" s="333"/>
      <c r="CW229" s="333"/>
      <c r="CX229" s="333"/>
      <c r="CY229" s="333"/>
      <c r="CZ229" s="333"/>
      <c r="DA229" s="333"/>
      <c r="DB229" s="333"/>
      <c r="DC229" s="333"/>
      <c r="DD229" s="333"/>
      <c r="DE229" s="333"/>
      <c r="DF229" s="333"/>
      <c r="DG229" s="333"/>
      <c r="DH229" s="333"/>
      <c r="DI229" s="333"/>
      <c r="DJ229" s="333"/>
      <c r="DK229" s="333"/>
      <c r="DL229" s="333"/>
      <c r="DM229" s="333"/>
      <c r="DN229" s="333"/>
      <c r="DO229" s="333"/>
      <c r="DP229" s="333"/>
      <c r="DQ229" s="333"/>
      <c r="DR229" s="333"/>
      <c r="DS229" s="333"/>
      <c r="DT229" s="333"/>
      <c r="DU229" s="375"/>
      <c r="DV229" s="375"/>
      <c r="DW229" s="375"/>
      <c r="DX229" s="375"/>
      <c r="DY229" s="375"/>
      <c r="DZ229" s="375"/>
      <c r="EA229" s="375"/>
      <c r="EB229" s="375"/>
      <c r="EC229" s="375"/>
      <c r="ED229" s="375"/>
      <c r="EE229" s="375"/>
      <c r="EF229" s="375"/>
      <c r="EG229" s="375"/>
      <c r="EH229" s="375"/>
      <c r="EI229" s="375"/>
      <c r="EJ229" s="373"/>
      <c r="EK229" s="373"/>
      <c r="EL229" s="366"/>
      <c r="EM229" s="368"/>
      <c r="EN229" s="364"/>
      <c r="EO229" s="352">
        <f>+SUM(EP227:EP231) - SUM(EQ227:EQ231)</f>
        <v>0</v>
      </c>
      <c r="EP229" s="347"/>
      <c r="EQ229" s="342"/>
      <c r="ER229" s="522"/>
      <c r="ES229" s="916">
        <f>IF(ER229 = "", 0,
IF(AND(EP229 &gt; 0, EQ229 &gt;0), 0, IF(EO227 &lt;&gt; $Z$1,
IF(AND(EP229 &lt;&gt; "", EP229 &lt;&gt; 0), -(EP229 * ER229 * 100),
IF(AND(EQ229 &lt;&gt; "", EQ229 &lt;&gt; 0), (EQ229 * ER229 * 100), 0)),
IF(AND(EP229 &lt;&gt; "", EP229 &lt;&gt; 0), -(EP229 * ER229 * 1),
IF(AND(EQ229 &lt;&gt; "", EQ229 &lt;&gt; 0), (EQ229 * ER229 * 1), 0))  )))</f>
        <v>0</v>
      </c>
      <c r="ET229" s="917"/>
      <c r="EU229" s="918"/>
      <c r="EV229" s="916">
        <f>IF(ER229 = "", 0,
IF(AND(EP229 &gt; 0, EQ229 &gt;0), 0,  IF(EO227 &lt;&gt; $Z$1,
IF(AND(EP229 &lt;&gt; "", EP229 &lt;&gt; 0), -(EP229 * ER229 * 100 * (1 + COMIS_OPCION)),
IF(AND(EQ229 &lt;&gt; "", EQ229 &lt;&gt; 0), (EQ229 * ER229 * 100 * (1 - COMIS_OPCION)), 0)),
IF(AND(EP229 &lt;&gt; "", EP229 &lt;&gt; 0), -(EP229 * ER229 * 1 * (1 + COMIS_ACCION)),
IF(AND(EQ229 &lt;&gt; "", EQ229 &lt;&gt; 0), (EQ229 * ER229 * 1 * (1 - COMIS_ACCION)), 0))  )))</f>
        <v>0</v>
      </c>
      <c r="EW229" s="917"/>
      <c r="EX229" s="917"/>
      <c r="EY229" s="917"/>
      <c r="EZ229" s="917"/>
      <c r="FA229" s="917"/>
      <c r="FB229" s="917"/>
      <c r="FC229" s="917"/>
      <c r="FD229" s="925"/>
      <c r="FE229" s="340"/>
      <c r="FF229" s="340"/>
      <c r="FG229" s="365"/>
      <c r="FH229" s="365"/>
      <c r="FI229" s="354">
        <f>+SUM(FJ227:FJ231) - SUM(FK227:FK231)</f>
        <v>0</v>
      </c>
      <c r="FJ229" s="347"/>
      <c r="FK229" s="342"/>
      <c r="FL229" s="343"/>
      <c r="FM229" s="930">
        <f>IF(FL229 = "", 0,
IF(AND(FJ229 &gt; 0, FK229 &gt;0), 0,
IF(AND(FJ229 &lt;&gt; "", FJ229 &lt;&gt; 0), -(FJ229 * FL229 * 100),
IF(AND(FK229 &lt;&gt; "", FK229 &lt;&gt; 0), (FK229 * FL229 * 100), 0)) ))</f>
        <v>0</v>
      </c>
      <c r="FN229" s="931"/>
      <c r="FO229" s="932"/>
      <c r="FP229" s="930">
        <f>IF(FL229 = "", 0,
IF(AND(FJ229 &gt; 0, FK229 &gt;0), 0,
IF(AND(FJ229 &lt;&gt; "", FJ229 &lt;&gt; 0), -(FJ229 * FL229 * 100 * (1 + COMIS_OPCION)),
IF(AND(FK229 &lt;&gt; "", FK229 &lt;&gt; 0), (FK229 * FL229 * 100 * (1 - COMIS_OPCION)), 0)) ))</f>
        <v>0</v>
      </c>
      <c r="FQ229" s="931"/>
      <c r="FR229" s="931"/>
      <c r="FS229" s="931"/>
      <c r="FT229" s="931"/>
      <c r="FU229" s="931"/>
      <c r="FV229" s="931"/>
      <c r="FW229" s="931"/>
      <c r="FX229" s="933"/>
      <c r="FY229" s="341"/>
      <c r="FZ229" s="341"/>
      <c r="GA229" s="341"/>
      <c r="GB229" s="495">
        <v>0</v>
      </c>
      <c r="GC229" s="495">
        <v>0</v>
      </c>
      <c r="GD229" s="500"/>
      <c r="GE229" s="495">
        <v>0</v>
      </c>
      <c r="GF229" s="495">
        <v>0</v>
      </c>
      <c r="GG229" s="495">
        <v>0</v>
      </c>
      <c r="GH229" s="359"/>
      <c r="GI229" s="359"/>
      <c r="GJ229" s="501"/>
      <c r="GK229" s="495">
        <v>0</v>
      </c>
      <c r="GL229" s="495">
        <v>0</v>
      </c>
      <c r="GM229" s="495">
        <v>0</v>
      </c>
      <c r="GN229" s="359"/>
      <c r="GO229" s="359"/>
      <c r="GP229" s="501"/>
      <c r="GQ229" s="495">
        <v>0</v>
      </c>
      <c r="GR229" s="375"/>
      <c r="GS229" s="333"/>
      <c r="GT229" s="333"/>
      <c r="GU229" s="333"/>
      <c r="GV229" s="333"/>
      <c r="GW229" s="333"/>
      <c r="GX229" s="333"/>
      <c r="GY229" s="333"/>
      <c r="GZ229" s="333"/>
      <c r="HA229" s="333"/>
      <c r="HB229" s="333"/>
      <c r="HC229" s="333"/>
      <c r="HD229" s="333"/>
      <c r="HE229" s="333"/>
      <c r="HF229" s="333"/>
      <c r="HG229" s="331"/>
      <c r="HH229" s="331"/>
      <c r="HI229" s="331"/>
      <c r="HJ229" s="331"/>
      <c r="HK229" s="331"/>
      <c r="HL229" s="331"/>
      <c r="HM229" s="331"/>
      <c r="HN229" s="333"/>
      <c r="HO229" s="333"/>
      <c r="HP229" s="333"/>
      <c r="HQ229" s="333"/>
      <c r="HR229" s="333"/>
      <c r="HS229" s="333"/>
      <c r="HT229" s="333"/>
      <c r="HU229" s="333"/>
      <c r="HV229" s="333"/>
      <c r="HW229" s="333"/>
      <c r="HX229" s="333"/>
      <c r="HY229" s="333"/>
      <c r="HZ229" s="333"/>
      <c r="IA229" s="333"/>
      <c r="IB229" s="333"/>
      <c r="IC229" s="333"/>
      <c r="ID229" s="55"/>
      <c r="IE229" s="47"/>
      <c r="IO229" s="51"/>
    </row>
    <row r="230" spans="13:249" s="142" customFormat="1" ht="15" customHeight="1">
      <c r="M230" s="333"/>
      <c r="N230" s="333"/>
      <c r="O230" s="333"/>
      <c r="P230" s="333"/>
      <c r="Q230" s="333"/>
      <c r="R230" s="333"/>
      <c r="S230" s="333"/>
      <c r="T230" s="333"/>
      <c r="U230" s="333"/>
      <c r="V230" s="333"/>
      <c r="W230" s="333"/>
      <c r="X230" s="333"/>
      <c r="Y230" s="333"/>
      <c r="Z230" s="333"/>
      <c r="AA230" s="333"/>
      <c r="AB230" s="333"/>
      <c r="AC230" s="333"/>
      <c r="AD230" s="333"/>
      <c r="AE230" s="333"/>
      <c r="AF230" s="333"/>
      <c r="AG230" s="333"/>
      <c r="AH230" s="333"/>
      <c r="AI230" s="333"/>
      <c r="AJ230" s="333"/>
      <c r="AK230" s="333"/>
      <c r="AL230" s="333"/>
      <c r="AM230" s="333"/>
      <c r="AN230" s="333"/>
      <c r="AO230" s="333"/>
      <c r="AP230" s="333"/>
      <c r="AQ230" s="333"/>
      <c r="AR230" s="333"/>
      <c r="AS230" s="333"/>
      <c r="AT230" s="333"/>
      <c r="AU230" s="333"/>
      <c r="AV230" s="333"/>
      <c r="AW230" s="333"/>
      <c r="AX230" s="333"/>
      <c r="AY230" s="333"/>
      <c r="AZ230" s="333"/>
      <c r="BA230" s="333"/>
      <c r="BB230" s="333"/>
      <c r="BC230" s="333"/>
      <c r="BD230" s="333"/>
      <c r="BE230" s="333"/>
      <c r="BF230" s="333"/>
      <c r="BG230" s="333"/>
      <c r="BH230" s="333"/>
      <c r="BI230" s="333"/>
      <c r="BJ230" s="333"/>
      <c r="BK230" s="333"/>
      <c r="BL230" s="333"/>
      <c r="BM230" s="333"/>
      <c r="BN230" s="333"/>
      <c r="BO230" s="333"/>
      <c r="BP230" s="333"/>
      <c r="BQ230" s="333"/>
      <c r="BR230" s="333"/>
      <c r="BS230" s="333"/>
      <c r="BT230" s="333"/>
      <c r="BU230" s="333"/>
      <c r="BV230" s="333"/>
      <c r="BW230" s="333"/>
      <c r="BX230" s="333"/>
      <c r="BY230" s="333"/>
      <c r="BZ230" s="333"/>
      <c r="CA230" s="333"/>
      <c r="CB230" s="333"/>
      <c r="CC230" s="333"/>
      <c r="CD230" s="333"/>
      <c r="CE230" s="333"/>
      <c r="CF230" s="333"/>
      <c r="CG230" s="333"/>
      <c r="CH230" s="333"/>
      <c r="CI230" s="333"/>
      <c r="CJ230" s="333"/>
      <c r="CK230" s="333"/>
      <c r="CL230" s="333"/>
      <c r="CM230" s="333"/>
      <c r="CN230" s="333"/>
      <c r="CO230" s="333"/>
      <c r="CP230" s="333"/>
      <c r="CQ230" s="333"/>
      <c r="CR230" s="333"/>
      <c r="CS230" s="333"/>
      <c r="CT230" s="333"/>
      <c r="CU230" s="333"/>
      <c r="CV230" s="333"/>
      <c r="CW230" s="333"/>
      <c r="CX230" s="333"/>
      <c r="CY230" s="333"/>
      <c r="CZ230" s="333"/>
      <c r="DA230" s="333"/>
      <c r="DB230" s="333"/>
      <c r="DC230" s="333"/>
      <c r="DD230" s="333"/>
      <c r="DE230" s="333"/>
      <c r="DF230" s="333"/>
      <c r="DG230" s="333"/>
      <c r="DH230" s="333"/>
      <c r="DI230" s="333"/>
      <c r="DJ230" s="333"/>
      <c r="DK230" s="333"/>
      <c r="DL230" s="333"/>
      <c r="DM230" s="333"/>
      <c r="DN230" s="333"/>
      <c r="DO230" s="333"/>
      <c r="DP230" s="333"/>
      <c r="DQ230" s="333"/>
      <c r="DR230" s="333"/>
      <c r="DS230" s="333"/>
      <c r="DT230" s="333"/>
      <c r="DU230" s="375"/>
      <c r="DV230" s="375"/>
      <c r="DW230" s="375"/>
      <c r="DX230" s="375"/>
      <c r="DY230" s="375"/>
      <c r="DZ230" s="375"/>
      <c r="EA230" s="375"/>
      <c r="EB230" s="375"/>
      <c r="EC230" s="375"/>
      <c r="ED230" s="375"/>
      <c r="EE230" s="375"/>
      <c r="EF230" s="375"/>
      <c r="EG230" s="375"/>
      <c r="EH230" s="375"/>
      <c r="EI230" s="375"/>
      <c r="EJ230" s="373"/>
      <c r="EK230" s="373"/>
      <c r="EL230" s="366"/>
      <c r="EM230" s="368"/>
      <c r="EN230" s="364"/>
      <c r="EO230" s="352">
        <f>IF(EO229=0, 0, SUM(EV227:FD231))</f>
        <v>0</v>
      </c>
      <c r="EP230" s="347"/>
      <c r="EQ230" s="342"/>
      <c r="ER230" s="522"/>
      <c r="ES230" s="916">
        <f>IF(ER230 = "", 0,
IF(AND(EP230 &gt; 0, EQ230 &gt;0), 0, IF(EO227 &lt;&gt; $Z$1,
IF(AND(EP230 &lt;&gt; "", EP230 &lt;&gt; 0), -(EP230 * ER230 * 100),
IF(AND(EQ230 &lt;&gt; "", EQ230 &lt;&gt; 0), (EQ230 * ER230 * 100), 0)),
IF(AND(EP230 &lt;&gt; "", EP230 &lt;&gt; 0), -(EP230 * ER230 * 1),
IF(AND(EQ230 &lt;&gt; "", EQ230 &lt;&gt; 0), (EQ230 * ER230 * 1), 0))  )))</f>
        <v>0</v>
      </c>
      <c r="ET230" s="917"/>
      <c r="EU230" s="918"/>
      <c r="EV230" s="916">
        <f>IF(ER230 = "", 0,
IF(AND(EP230 &gt; 0, EQ230 &gt;0), 0,  IF(EO227 &lt;&gt; $Z$1,
IF(AND(EP230 &lt;&gt; "", EP230 &lt;&gt; 0), -(EP230 * ER230 * 100 * (1 + COMIS_OPCION)),
IF(AND(EQ230 &lt;&gt; "", EQ230 &lt;&gt; 0), (EQ230 * ER230 * 100 * (1 - COMIS_OPCION)), 0)),
IF(AND(EP230 &lt;&gt; "", EP230 &lt;&gt; 0), -(EP230 * ER230 * 1 * (1 + COMIS_ACCION)),
IF(AND(EQ230 &lt;&gt; "", EQ230 &lt;&gt; 0), (EQ230 * ER230 * 1 * (1 - COMIS_ACCION)), 0))  )))</f>
        <v>0</v>
      </c>
      <c r="EW230" s="917"/>
      <c r="EX230" s="917"/>
      <c r="EY230" s="917"/>
      <c r="EZ230" s="917"/>
      <c r="FA230" s="917"/>
      <c r="FB230" s="917"/>
      <c r="FC230" s="917"/>
      <c r="FD230" s="925"/>
      <c r="FE230" s="340"/>
      <c r="FF230" s="340"/>
      <c r="FG230" s="365"/>
      <c r="FH230" s="365"/>
      <c r="FI230" s="354">
        <f>IF(FI229=0, 0, SUM(FP227:FX231))</f>
        <v>0</v>
      </c>
      <c r="FJ230" s="347"/>
      <c r="FK230" s="342"/>
      <c r="FL230" s="343"/>
      <c r="FM230" s="930">
        <f>IF(FL230 = "", 0,
IF(AND(FJ230 &gt; 0, FK230 &gt;0), 0,
IF(AND(FJ230 &lt;&gt; "", FJ230 &lt;&gt; 0), -(FJ230 * FL230 * 100),
IF(AND(FK230 &lt;&gt; "", FK230 &lt;&gt; 0), (FK230 * FL230 * 100), 0)) ))</f>
        <v>0</v>
      </c>
      <c r="FN230" s="931"/>
      <c r="FO230" s="932"/>
      <c r="FP230" s="930">
        <f>IF(FL230 = "", 0,
IF(AND(FJ230 &gt; 0, FK230 &gt;0), 0,
IF(AND(FJ230 &lt;&gt; "", FJ230 &lt;&gt; 0), -(FJ230 * FL230 * 100 * (1 + COMIS_OPCION)),
IF(AND(FK230 &lt;&gt; "", FK230 &lt;&gt; 0), (FK230 * FL230 * 100 * (1 - COMIS_OPCION)), 0)) ))</f>
        <v>0</v>
      </c>
      <c r="FQ230" s="931"/>
      <c r="FR230" s="931"/>
      <c r="FS230" s="931"/>
      <c r="FT230" s="931"/>
      <c r="FU230" s="931"/>
      <c r="FV230" s="931"/>
      <c r="FW230" s="931"/>
      <c r="FX230" s="933"/>
      <c r="FY230" s="341"/>
      <c r="FZ230" s="341"/>
      <c r="GA230" s="341"/>
      <c r="GB230" s="495">
        <v>0</v>
      </c>
      <c r="GC230" s="495">
        <v>0</v>
      </c>
      <c r="GD230" s="500"/>
      <c r="GE230" s="495">
        <v>0</v>
      </c>
      <c r="GF230" s="495">
        <v>0</v>
      </c>
      <c r="GG230" s="495">
        <v>0</v>
      </c>
      <c r="GH230" s="359"/>
      <c r="GI230" s="359"/>
      <c r="GJ230" s="501"/>
      <c r="GK230" s="495">
        <v>0</v>
      </c>
      <c r="GL230" s="495">
        <v>0</v>
      </c>
      <c r="GM230" s="495">
        <v>0</v>
      </c>
      <c r="GN230" s="359"/>
      <c r="GO230" s="359"/>
      <c r="GP230" s="501"/>
      <c r="GQ230" s="495">
        <v>0</v>
      </c>
      <c r="GR230" s="375"/>
      <c r="GS230" s="333"/>
      <c r="GT230" s="333"/>
      <c r="GU230" s="333"/>
      <c r="GV230" s="333"/>
      <c r="GW230" s="333"/>
      <c r="GX230" s="333"/>
      <c r="GY230" s="333"/>
      <c r="GZ230" s="333"/>
      <c r="HA230" s="333"/>
      <c r="HB230" s="333"/>
      <c r="HC230" s="333"/>
      <c r="HD230" s="333"/>
      <c r="HE230" s="333"/>
      <c r="HF230" s="333"/>
      <c r="HG230" s="331"/>
      <c r="HH230" s="331"/>
      <c r="HI230" s="331"/>
      <c r="HJ230" s="331"/>
      <c r="HK230" s="331"/>
      <c r="HL230" s="331"/>
      <c r="HM230" s="331"/>
      <c r="HN230" s="333"/>
      <c r="HO230" s="333"/>
      <c r="HP230" s="333"/>
      <c r="HQ230" s="333"/>
      <c r="HR230" s="333"/>
      <c r="HS230" s="333"/>
      <c r="HT230" s="333"/>
      <c r="HU230" s="333"/>
      <c r="HV230" s="333"/>
      <c r="HW230" s="333"/>
      <c r="HX230" s="333"/>
      <c r="HY230" s="333"/>
      <c r="HZ230" s="333"/>
      <c r="IA230" s="333"/>
      <c r="IB230" s="333"/>
      <c r="IC230" s="333"/>
      <c r="ID230" s="55"/>
      <c r="IE230" s="47"/>
      <c r="IO230" s="51"/>
    </row>
    <row r="231" spans="13:249" s="142" customFormat="1" ht="15" customHeight="1" thickBot="1">
      <c r="M231" s="333"/>
      <c r="N231" s="333"/>
      <c r="O231" s="333"/>
      <c r="P231" s="333"/>
      <c r="Q231" s="333"/>
      <c r="R231" s="333"/>
      <c r="S231" s="333"/>
      <c r="T231" s="333"/>
      <c r="U231" s="333"/>
      <c r="V231" s="333"/>
      <c r="W231" s="333"/>
      <c r="X231" s="333"/>
      <c r="Y231" s="333"/>
      <c r="Z231" s="333"/>
      <c r="AA231" s="333"/>
      <c r="AB231" s="333"/>
      <c r="AC231" s="333"/>
      <c r="AD231" s="333"/>
      <c r="AE231" s="333"/>
      <c r="AF231" s="333"/>
      <c r="AG231" s="333"/>
      <c r="AH231" s="333"/>
      <c r="AI231" s="333"/>
      <c r="AJ231" s="333"/>
      <c r="AK231" s="333"/>
      <c r="AL231" s="333"/>
      <c r="AM231" s="333"/>
      <c r="AN231" s="333"/>
      <c r="AO231" s="333"/>
      <c r="AP231" s="333"/>
      <c r="AQ231" s="333"/>
      <c r="AR231" s="333"/>
      <c r="AS231" s="333"/>
      <c r="AT231" s="333"/>
      <c r="AU231" s="333"/>
      <c r="AV231" s="333"/>
      <c r="AW231" s="333"/>
      <c r="AX231" s="333"/>
      <c r="AY231" s="333"/>
      <c r="AZ231" s="333"/>
      <c r="BA231" s="333"/>
      <c r="BB231" s="333"/>
      <c r="BC231" s="333"/>
      <c r="BD231" s="333"/>
      <c r="BE231" s="333"/>
      <c r="BF231" s="333"/>
      <c r="BG231" s="333"/>
      <c r="BH231" s="333"/>
      <c r="BI231" s="333"/>
      <c r="BJ231" s="333"/>
      <c r="BK231" s="333"/>
      <c r="BL231" s="333"/>
      <c r="BM231" s="333"/>
      <c r="BN231" s="333"/>
      <c r="BO231" s="333"/>
      <c r="BP231" s="333"/>
      <c r="BQ231" s="333"/>
      <c r="BR231" s="333"/>
      <c r="BS231" s="333"/>
      <c r="BT231" s="333"/>
      <c r="BU231" s="333"/>
      <c r="BV231" s="333"/>
      <c r="BW231" s="333"/>
      <c r="BX231" s="333"/>
      <c r="BY231" s="333"/>
      <c r="BZ231" s="333"/>
      <c r="CA231" s="333"/>
      <c r="CB231" s="333"/>
      <c r="CC231" s="333"/>
      <c r="CD231" s="333"/>
      <c r="CE231" s="333"/>
      <c r="CF231" s="333"/>
      <c r="CG231" s="333"/>
      <c r="CH231" s="333"/>
      <c r="CI231" s="333"/>
      <c r="CJ231" s="333"/>
      <c r="CK231" s="333"/>
      <c r="CL231" s="333"/>
      <c r="CM231" s="333"/>
      <c r="CN231" s="333"/>
      <c r="CO231" s="333"/>
      <c r="CP231" s="333"/>
      <c r="CQ231" s="333"/>
      <c r="CR231" s="333"/>
      <c r="CS231" s="333"/>
      <c r="CT231" s="333"/>
      <c r="CU231" s="333"/>
      <c r="CV231" s="333"/>
      <c r="CW231" s="333"/>
      <c r="CX231" s="333"/>
      <c r="CY231" s="333"/>
      <c r="CZ231" s="333"/>
      <c r="DA231" s="333"/>
      <c r="DB231" s="333"/>
      <c r="DC231" s="333"/>
      <c r="DD231" s="333"/>
      <c r="DE231" s="333"/>
      <c r="DF231" s="333"/>
      <c r="DG231" s="333"/>
      <c r="DH231" s="333"/>
      <c r="DI231" s="333"/>
      <c r="DJ231" s="333"/>
      <c r="DK231" s="333"/>
      <c r="DL231" s="333"/>
      <c r="DM231" s="333"/>
      <c r="DN231" s="333"/>
      <c r="DO231" s="333"/>
      <c r="DP231" s="333"/>
      <c r="DQ231" s="333"/>
      <c r="DR231" s="333"/>
      <c r="DS231" s="333"/>
      <c r="DT231" s="333"/>
      <c r="DU231" s="375"/>
      <c r="DV231" s="375"/>
      <c r="DW231" s="375"/>
      <c r="DX231" s="375"/>
      <c r="DY231" s="375"/>
      <c r="DZ231" s="375"/>
      <c r="EA231" s="375"/>
      <c r="EB231" s="375"/>
      <c r="EC231" s="375"/>
      <c r="ED231" s="375"/>
      <c r="EE231" s="375"/>
      <c r="EF231" s="375"/>
      <c r="EG231" s="375"/>
      <c r="EH231" s="375"/>
      <c r="EI231" s="375"/>
      <c r="EJ231" s="373"/>
      <c r="EK231" s="373"/>
      <c r="EL231" s="366"/>
      <c r="EM231" s="368"/>
      <c r="EN231" s="364"/>
      <c r="EO231" s="353">
        <f>+IF(EO229= 0, 0, GG227)</f>
        <v>0</v>
      </c>
      <c r="EP231" s="350"/>
      <c r="EQ231" s="344"/>
      <c r="ER231" s="523"/>
      <c r="ES231" s="921">
        <f>IF(ER231 = "", 0,
IF(AND(EP231 &gt; 0, EQ231 &gt;0), 0, IF(EO227 &lt;&gt; $Z$1,
IF(AND(EP231 &lt;&gt; "", EP231 &lt;&gt; 0), -(EP231 * ER231 * 100),
IF(AND(EQ231 &lt;&gt; "", EQ231 &lt;&gt; 0), (EQ231 * ER231 * 100), 0)),
IF(AND(EP231 &lt;&gt; "", EP231 &lt;&gt; 0), -(EP231 * ER231 * 1),
IF(AND(EQ231 &lt;&gt; "", EQ231 &lt;&gt; 0), (EQ231 * ER231 * 1), 0))  )))</f>
        <v>0</v>
      </c>
      <c r="ET231" s="922"/>
      <c r="EU231" s="924"/>
      <c r="EV231" s="921">
        <f>IF(ER231 = "", 0,
IF(AND(EP231 &gt; 0, EQ231 &gt;0), 0,  IF(EO227 &lt;&gt; $Z$1,
IF(AND(EP231 &lt;&gt; "", EP231 &lt;&gt; 0), -(EP231 * ER231 * 100 * (1 + COMIS_OPCION)),
IF(AND(EQ231 &lt;&gt; "", EQ231 &lt;&gt; 0), (EQ231 * ER231 * 100 * (1 - COMIS_OPCION)), 0)),
IF(AND(EP231 &lt;&gt; "", EP231 &lt;&gt; 0), -(EP231 * ER231 * 1 * (1 + COMIS_ACCION)),
IF(AND(EQ231 &lt;&gt; "", EQ231 &lt;&gt; 0), (EQ231 * ER231 * 1 * (1 - COMIS_ACCION)), 0))  )))</f>
        <v>0</v>
      </c>
      <c r="EW231" s="922"/>
      <c r="EX231" s="922"/>
      <c r="EY231" s="922"/>
      <c r="EZ231" s="922"/>
      <c r="FA231" s="922"/>
      <c r="FB231" s="922"/>
      <c r="FC231" s="922"/>
      <c r="FD231" s="923"/>
      <c r="FE231" s="340"/>
      <c r="FF231" s="340"/>
      <c r="FG231" s="365"/>
      <c r="FH231" s="365"/>
      <c r="FI231" s="349">
        <f>+IF(FI229= 0, 0, GQ227)</f>
        <v>0</v>
      </c>
      <c r="FJ231" s="348"/>
      <c r="FK231" s="345"/>
      <c r="FL231" s="346"/>
      <c r="FM231" s="937">
        <f>IF(FL231 = "", 0,
IF(AND(FJ231 &gt; 0, FK231 &gt;0), 0,
IF(AND(FJ231 &lt;&gt; "", FJ231 &lt;&gt; 0), -(FJ231 * FL231 * 100),
IF(AND(FK231 &lt;&gt; "", FK231 &lt;&gt; 0), (FK231 * FL231 * 100), 0)) ))</f>
        <v>0</v>
      </c>
      <c r="FN231" s="938"/>
      <c r="FO231" s="939"/>
      <c r="FP231" s="937">
        <f>IF(FL231 = "", 0,
IF(AND(FJ231 &gt; 0, FK231 &gt;0), 0,
IF(AND(FJ231 &lt;&gt; "", FJ231 &lt;&gt; 0), -(FJ231 * FL231 * 100 * (1 + COMIS_OPCION)),
IF(AND(FK231 &lt;&gt; "", FK231 &lt;&gt; 0), (FK231 * FL231 * 100 * (1 - COMIS_OPCION)), 0)) ))</f>
        <v>0</v>
      </c>
      <c r="FQ231" s="938"/>
      <c r="FR231" s="938"/>
      <c r="FS231" s="938"/>
      <c r="FT231" s="938"/>
      <c r="FU231" s="938"/>
      <c r="FV231" s="938"/>
      <c r="FW231" s="938"/>
      <c r="FX231" s="969"/>
      <c r="FY231" s="341"/>
      <c r="FZ231" s="341"/>
      <c r="GA231" s="341"/>
      <c r="GB231" s="495">
        <v>0</v>
      </c>
      <c r="GC231" s="495">
        <v>0</v>
      </c>
      <c r="GD231" s="500"/>
      <c r="GE231" s="495">
        <v>0</v>
      </c>
      <c r="GF231" s="495">
        <v>0</v>
      </c>
      <c r="GG231" s="495">
        <v>0</v>
      </c>
      <c r="GH231" s="359"/>
      <c r="GI231" s="359"/>
      <c r="GJ231" s="501"/>
      <c r="GK231" s="495">
        <v>0</v>
      </c>
      <c r="GL231" s="495">
        <v>0</v>
      </c>
      <c r="GM231" s="495">
        <v>0</v>
      </c>
      <c r="GN231" s="359"/>
      <c r="GO231" s="359"/>
      <c r="GP231" s="501"/>
      <c r="GQ231" s="495">
        <v>0</v>
      </c>
      <c r="GR231" s="375"/>
      <c r="GS231" s="333"/>
      <c r="GT231" s="333"/>
      <c r="GU231" s="333"/>
      <c r="GV231" s="333"/>
      <c r="GW231" s="333"/>
      <c r="GX231" s="333"/>
      <c r="GY231" s="333"/>
      <c r="GZ231" s="333"/>
      <c r="HA231" s="333"/>
      <c r="HB231" s="333"/>
      <c r="HC231" s="333"/>
      <c r="HD231" s="333"/>
      <c r="HE231" s="333"/>
      <c r="HF231" s="333"/>
      <c r="HG231" s="331"/>
      <c r="HH231" s="331"/>
      <c r="HI231" s="331"/>
      <c r="HJ231" s="331"/>
      <c r="HK231" s="331"/>
      <c r="HL231" s="331"/>
      <c r="HM231" s="331"/>
      <c r="HN231" s="333"/>
      <c r="HO231" s="333"/>
      <c r="HP231" s="333"/>
      <c r="HQ231" s="333"/>
      <c r="HR231" s="333"/>
      <c r="HS231" s="333"/>
      <c r="HT231" s="333"/>
      <c r="HU231" s="333"/>
      <c r="HV231" s="333"/>
      <c r="HW231" s="333"/>
      <c r="HX231" s="333"/>
      <c r="HY231" s="333"/>
      <c r="HZ231" s="333"/>
      <c r="IA231" s="333"/>
      <c r="IB231" s="333"/>
      <c r="IC231" s="333"/>
      <c r="ID231" s="55"/>
      <c r="IE231" s="47"/>
      <c r="IO231" s="51"/>
    </row>
    <row r="232" spans="13:249" s="142" customFormat="1" ht="15" customHeight="1" thickBot="1">
      <c r="M232" s="333"/>
      <c r="N232" s="333"/>
      <c r="O232" s="333"/>
      <c r="P232" s="333"/>
      <c r="Q232" s="333"/>
      <c r="R232" s="333"/>
      <c r="S232" s="333"/>
      <c r="T232" s="333"/>
      <c r="U232" s="333"/>
      <c r="V232" s="333"/>
      <c r="W232" s="333"/>
      <c r="X232" s="333"/>
      <c r="Y232" s="333"/>
      <c r="Z232" s="333"/>
      <c r="AA232" s="333"/>
      <c r="AB232" s="333"/>
      <c r="AC232" s="333"/>
      <c r="AD232" s="333"/>
      <c r="AE232" s="333"/>
      <c r="AF232" s="333"/>
      <c r="AG232" s="333"/>
      <c r="AH232" s="333"/>
      <c r="AI232" s="333"/>
      <c r="AJ232" s="333"/>
      <c r="AK232" s="333"/>
      <c r="AL232" s="333"/>
      <c r="AM232" s="333"/>
      <c r="AN232" s="333"/>
      <c r="AO232" s="333"/>
      <c r="AP232" s="333"/>
      <c r="AQ232" s="333"/>
      <c r="AR232" s="333"/>
      <c r="AS232" s="333"/>
      <c r="AT232" s="333"/>
      <c r="AU232" s="333"/>
      <c r="AV232" s="333"/>
      <c r="AW232" s="333"/>
      <c r="AX232" s="333"/>
      <c r="AY232" s="333"/>
      <c r="AZ232" s="333"/>
      <c r="BA232" s="333"/>
      <c r="BB232" s="333"/>
      <c r="BC232" s="333"/>
      <c r="BD232" s="333"/>
      <c r="BE232" s="333"/>
      <c r="BF232" s="333"/>
      <c r="BG232" s="333"/>
      <c r="BH232" s="333"/>
      <c r="BI232" s="333"/>
      <c r="BJ232" s="333"/>
      <c r="BK232" s="333"/>
      <c r="BL232" s="333"/>
      <c r="BM232" s="333"/>
      <c r="BN232" s="333"/>
      <c r="BO232" s="333"/>
      <c r="BP232" s="333"/>
      <c r="BQ232" s="333"/>
      <c r="BR232" s="333"/>
      <c r="BS232" s="333"/>
      <c r="BT232" s="333"/>
      <c r="BU232" s="333"/>
      <c r="BV232" s="333"/>
      <c r="BW232" s="333"/>
      <c r="BX232" s="333"/>
      <c r="BY232" s="333"/>
      <c r="BZ232" s="333"/>
      <c r="CA232" s="333"/>
      <c r="CB232" s="333"/>
      <c r="CC232" s="333"/>
      <c r="CD232" s="333"/>
      <c r="CE232" s="333"/>
      <c r="CF232" s="333"/>
      <c r="CG232" s="333"/>
      <c r="CH232" s="333"/>
      <c r="CI232" s="333"/>
      <c r="CJ232" s="333"/>
      <c r="CK232" s="333"/>
      <c r="CL232" s="333"/>
      <c r="CM232" s="333"/>
      <c r="CN232" s="333"/>
      <c r="CO232" s="333"/>
      <c r="CP232" s="333"/>
      <c r="CQ232" s="333"/>
      <c r="CR232" s="333"/>
      <c r="CS232" s="333"/>
      <c r="CT232" s="333"/>
      <c r="CU232" s="333"/>
      <c r="CV232" s="333"/>
      <c r="CW232" s="333"/>
      <c r="CX232" s="333"/>
      <c r="CY232" s="333"/>
      <c r="CZ232" s="333"/>
      <c r="DA232" s="333"/>
      <c r="DB232" s="333"/>
      <c r="DC232" s="333"/>
      <c r="DD232" s="333"/>
      <c r="DE232" s="333"/>
      <c r="DF232" s="333"/>
      <c r="DG232" s="333"/>
      <c r="DH232" s="333"/>
      <c r="DI232" s="333"/>
      <c r="DJ232" s="333"/>
      <c r="DK232" s="333"/>
      <c r="DL232" s="333"/>
      <c r="DM232" s="333"/>
      <c r="DN232" s="333"/>
      <c r="DO232" s="333"/>
      <c r="DP232" s="333"/>
      <c r="DQ232" s="333"/>
      <c r="DR232" s="333"/>
      <c r="DS232" s="333"/>
      <c r="DT232" s="333"/>
      <c r="DU232" s="375"/>
      <c r="DV232" s="375"/>
      <c r="DW232" s="375"/>
      <c r="DX232" s="375"/>
      <c r="DY232" s="375"/>
      <c r="DZ232" s="375"/>
      <c r="EA232" s="375"/>
      <c r="EB232" s="375"/>
      <c r="EC232" s="375"/>
      <c r="ED232" s="375"/>
      <c r="EE232" s="375"/>
      <c r="EF232" s="375"/>
      <c r="EG232" s="375"/>
      <c r="EH232" s="375"/>
      <c r="EI232" s="375"/>
      <c r="EJ232" s="373"/>
      <c r="EK232" s="373"/>
      <c r="EL232" s="366"/>
      <c r="EM232" s="366"/>
      <c r="EN232" s="364"/>
      <c r="EO232" s="363"/>
      <c r="EP232" s="340"/>
      <c r="EQ232" s="340"/>
      <c r="ER232" s="340"/>
      <c r="ES232" s="363"/>
      <c r="ET232" s="363"/>
      <c r="EU232" s="340"/>
      <c r="EV232" s="340"/>
      <c r="EW232" s="340"/>
      <c r="EX232" s="340"/>
      <c r="EY232" s="340"/>
      <c r="EZ232" s="340"/>
      <c r="FA232" s="340"/>
      <c r="FB232" s="402"/>
      <c r="FC232" s="402"/>
      <c r="FD232" s="340"/>
      <c r="FE232" s="340"/>
      <c r="FF232" s="340"/>
      <c r="FG232" s="364"/>
      <c r="FH232" s="364"/>
      <c r="FI232" s="363"/>
      <c r="FJ232" s="360"/>
      <c r="FK232" s="360"/>
      <c r="FL232" s="340"/>
      <c r="FM232" s="967"/>
      <c r="FN232" s="967"/>
      <c r="FO232" s="967"/>
      <c r="FP232" s="968"/>
      <c r="FQ232" s="968"/>
      <c r="FR232" s="968"/>
      <c r="FS232" s="968"/>
      <c r="FT232" s="968"/>
      <c r="FU232" s="968"/>
      <c r="FV232" s="968"/>
      <c r="FW232" s="968"/>
      <c r="FX232" s="968"/>
      <c r="FY232" s="341"/>
      <c r="FZ232" s="341"/>
      <c r="GA232" s="341"/>
      <c r="GB232" s="495">
        <v>0</v>
      </c>
      <c r="GC232" s="495">
        <v>0</v>
      </c>
      <c r="GD232" s="500"/>
      <c r="GE232" s="495">
        <v>0</v>
      </c>
      <c r="GF232" s="495">
        <v>0</v>
      </c>
      <c r="GG232" s="495">
        <v>0</v>
      </c>
      <c r="GH232" s="359"/>
      <c r="GI232" s="359"/>
      <c r="GJ232" s="501"/>
      <c r="GK232" s="495">
        <v>0</v>
      </c>
      <c r="GL232" s="495">
        <v>0</v>
      </c>
      <c r="GM232" s="495">
        <v>0</v>
      </c>
      <c r="GN232" s="359"/>
      <c r="GO232" s="359"/>
      <c r="GP232" s="501"/>
      <c r="GQ232" s="495">
        <v>0</v>
      </c>
      <c r="GR232" s="375"/>
      <c r="GS232" s="333"/>
      <c r="GT232" s="333"/>
      <c r="GU232" s="333"/>
      <c r="GV232" s="333"/>
      <c r="GW232" s="333"/>
      <c r="GX232" s="333"/>
      <c r="GY232" s="333"/>
      <c r="GZ232" s="333"/>
      <c r="HA232" s="333"/>
      <c r="HB232" s="333"/>
      <c r="HC232" s="333"/>
      <c r="HD232" s="333"/>
      <c r="HE232" s="333"/>
      <c r="HF232" s="333"/>
      <c r="HG232" s="331"/>
      <c r="HH232" s="331"/>
      <c r="HI232" s="331"/>
      <c r="HJ232" s="331"/>
      <c r="HK232" s="331"/>
      <c r="HL232" s="331"/>
      <c r="HM232" s="331"/>
      <c r="HN232" s="333"/>
      <c r="HO232" s="333"/>
      <c r="HP232" s="333"/>
      <c r="HQ232" s="333"/>
      <c r="HR232" s="333"/>
      <c r="HS232" s="333"/>
      <c r="HT232" s="333"/>
      <c r="HU232" s="333"/>
      <c r="HV232" s="333"/>
      <c r="HW232" s="333"/>
      <c r="HX232" s="333"/>
      <c r="HY232" s="333"/>
      <c r="HZ232" s="333"/>
      <c r="IA232" s="333"/>
      <c r="IB232" s="333"/>
      <c r="IC232" s="333"/>
      <c r="ID232" s="55"/>
      <c r="IE232" s="47"/>
      <c r="IO232" s="51"/>
    </row>
    <row r="233" spans="13:249" s="142" customFormat="1" ht="15" customHeight="1">
      <c r="M233" s="333"/>
      <c r="N233" s="333"/>
      <c r="O233" s="333"/>
      <c r="P233" s="333"/>
      <c r="Q233" s="333"/>
      <c r="R233" s="333"/>
      <c r="S233" s="333"/>
      <c r="T233" s="333"/>
      <c r="U233" s="333"/>
      <c r="V233" s="333"/>
      <c r="W233" s="333"/>
      <c r="X233" s="333"/>
      <c r="Y233" s="333"/>
      <c r="Z233" s="333"/>
      <c r="AA233" s="333"/>
      <c r="AB233" s="333"/>
      <c r="AC233" s="333"/>
      <c r="AD233" s="333"/>
      <c r="AE233" s="333"/>
      <c r="AF233" s="333"/>
      <c r="AG233" s="333"/>
      <c r="AH233" s="333"/>
      <c r="AI233" s="333"/>
      <c r="AJ233" s="333"/>
      <c r="AK233" s="333"/>
      <c r="AL233" s="333"/>
      <c r="AM233" s="333"/>
      <c r="AN233" s="333"/>
      <c r="AO233" s="333"/>
      <c r="AP233" s="333"/>
      <c r="AQ233" s="333"/>
      <c r="AR233" s="333"/>
      <c r="AS233" s="333"/>
      <c r="AT233" s="333"/>
      <c r="AU233" s="333"/>
      <c r="AV233" s="333"/>
      <c r="AW233" s="333"/>
      <c r="AX233" s="333"/>
      <c r="AY233" s="333"/>
      <c r="AZ233" s="333"/>
      <c r="BA233" s="333"/>
      <c r="BB233" s="333"/>
      <c r="BC233" s="333"/>
      <c r="BD233" s="333"/>
      <c r="BE233" s="333"/>
      <c r="BF233" s="333"/>
      <c r="BG233" s="333"/>
      <c r="BH233" s="333"/>
      <c r="BI233" s="333"/>
      <c r="BJ233" s="333"/>
      <c r="BK233" s="333"/>
      <c r="BL233" s="333"/>
      <c r="BM233" s="333"/>
      <c r="BN233" s="333"/>
      <c r="BO233" s="333"/>
      <c r="BP233" s="333"/>
      <c r="BQ233" s="333"/>
      <c r="BR233" s="333"/>
      <c r="BS233" s="333"/>
      <c r="BT233" s="333"/>
      <c r="BU233" s="333"/>
      <c r="BV233" s="333"/>
      <c r="BW233" s="333"/>
      <c r="BX233" s="333"/>
      <c r="BY233" s="333"/>
      <c r="BZ233" s="333"/>
      <c r="CA233" s="333"/>
      <c r="CB233" s="333"/>
      <c r="CC233" s="333"/>
      <c r="CD233" s="333"/>
      <c r="CE233" s="333"/>
      <c r="CF233" s="333"/>
      <c r="CG233" s="333"/>
      <c r="CH233" s="333"/>
      <c r="CI233" s="333"/>
      <c r="CJ233" s="333"/>
      <c r="CK233" s="333"/>
      <c r="CL233" s="333"/>
      <c r="CM233" s="333"/>
      <c r="CN233" s="333"/>
      <c r="CO233" s="333"/>
      <c r="CP233" s="333"/>
      <c r="CQ233" s="333"/>
      <c r="CR233" s="333"/>
      <c r="CS233" s="333"/>
      <c r="CT233" s="333"/>
      <c r="CU233" s="333"/>
      <c r="CV233" s="333"/>
      <c r="CW233" s="333"/>
      <c r="CX233" s="333"/>
      <c r="CY233" s="333"/>
      <c r="CZ233" s="333"/>
      <c r="DA233" s="333"/>
      <c r="DB233" s="333"/>
      <c r="DC233" s="333"/>
      <c r="DD233" s="333"/>
      <c r="DE233" s="333"/>
      <c r="DF233" s="333"/>
      <c r="DG233" s="333"/>
      <c r="DH233" s="333"/>
      <c r="DI233" s="333"/>
      <c r="DJ233" s="333"/>
      <c r="DK233" s="333"/>
      <c r="DL233" s="333"/>
      <c r="DM233" s="333"/>
      <c r="DN233" s="333"/>
      <c r="DO233" s="333"/>
      <c r="DP233" s="333"/>
      <c r="DQ233" s="333"/>
      <c r="DR233" s="333"/>
      <c r="DS233" s="333"/>
      <c r="DT233" s="333"/>
      <c r="DU233" s="375"/>
      <c r="DV233" s="375"/>
      <c r="DW233" s="375"/>
      <c r="DX233" s="375"/>
      <c r="DY233" s="375"/>
      <c r="DZ233" s="375"/>
      <c r="EA233" s="375"/>
      <c r="EB233" s="375"/>
      <c r="EC233" s="375"/>
      <c r="ED233" s="375"/>
      <c r="EE233" s="375"/>
      <c r="EF233" s="375"/>
      <c r="EG233" s="375"/>
      <c r="EH233" s="375"/>
      <c r="EI233" s="375"/>
      <c r="EJ233" s="373"/>
      <c r="EK233" s="373"/>
      <c r="EL233" s="366"/>
      <c r="EM233" s="366"/>
      <c r="EN233" s="364">
        <f>+EN227+1</f>
        <v>31</v>
      </c>
      <c r="EO233" s="356">
        <f>+VLOOKUP(EN233, PRECIOS_EJERCICIOS,  2,FALSE)</f>
        <v>360</v>
      </c>
      <c r="EP233" s="513" t="str">
        <f>+IF($AQ$49 = FALSE, "",
IF(VLOOKUP(EO233, basesCantPrimaBrutoRes, 2,FALSE) &gt;= 0, VLOOKUP(EO233, basesCantPrimaBrutoRes, 2,FALSE), 0))</f>
        <v/>
      </c>
      <c r="EQ233" s="514" t="str">
        <f>+IF($AQ$49 = FALSE, "",
IF(VLOOKUP(EO233, basesCantPrimaBrutoRes, 2,FALSE) &lt; 0, -VLOOKUP(EO233, basesCantPrimaBrutoRes, 2,FALSE), 0))</f>
        <v/>
      </c>
      <c r="ER233" s="521" t="str">
        <f>IF($AQ$49 = FALSE, "",
VLOOKUP(EO233, basesCantPrimaBrutoRes, 4,FALSE))</f>
        <v/>
      </c>
      <c r="ES233" s="926">
        <f>IF(ER233 = "", 0,
IF(AND(EP233 &gt; 0, EQ233 &gt;0), 0, IF(EO233 &lt;&gt; $Z$1,
IF(AND(EP233 &lt;&gt; "", EP233 &lt;&gt; 0), -(EP233 * ER233 * 100),
IF(AND(EQ233 &lt;&gt; "", EQ233 &lt;&gt; 0), (EQ233 * ER233 * 100), 0)),
IF(AND(EP233 &lt;&gt; "", EP233 &lt;&gt; 0), -(EP233 * ER233 * 1),
IF(AND(EQ233 &lt;&gt; "", EQ233 &lt;&gt; 0), (EQ233 * ER233 * 1), 0))  )))</f>
        <v>0</v>
      </c>
      <c r="ET233" s="927"/>
      <c r="EU233" s="928"/>
      <c r="EV233" s="926">
        <f>IF(ER233 = "", 0,
IF(AND(EP233 &gt; 0, EQ233 &gt;0), 0,  IF(EO233 &lt;&gt; $Z$1,
IF(AND(EP233 &lt;&gt; "", EP233 &lt;&gt; 0), -(EP233 * ER233 * 100 * (1 + COMIS_OPCION)),
IF(AND(EQ233 &lt;&gt; "", EQ233 &lt;&gt; 0), (EQ233 * ER233 * 100 * (1 - COMIS_OPCION)), 0)),
IF(AND(EP233 &lt;&gt; "", EP233 &lt;&gt; 0), -(EP233 * ER233 * 1 * (1 + COMIS_ACCION)),
IF(AND(EQ233 &lt;&gt; "", EQ233 &lt;&gt; 0), (EQ233 * ER233 * 1 * (1 - COMIS_ACCION)), 0))  )))</f>
        <v>0</v>
      </c>
      <c r="EW233" s="927"/>
      <c r="EX233" s="927"/>
      <c r="EY233" s="927"/>
      <c r="EZ233" s="927"/>
      <c r="FA233" s="927"/>
      <c r="FB233" s="927"/>
      <c r="FC233" s="927"/>
      <c r="FD233" s="929"/>
      <c r="FE233" s="340"/>
      <c r="FF233" s="340"/>
      <c r="FG233" s="364"/>
      <c r="FH233" s="364">
        <f>+FH227+1</f>
        <v>31</v>
      </c>
      <c r="FI233" s="357">
        <f>+VLOOKUP(FH233, PRECIOS_EJERCICIOS,  2,FALSE)</f>
        <v>360</v>
      </c>
      <c r="FJ233" s="515" t="str">
        <f>+IF($AQ$49 = FALSE, "",
IF(VLOOKUP(EO233, basesCantPrimaBrutoRes, 5,FALSE) &gt;= 0, VLOOKUP(EO233, basesCantPrimaBrutoRes, 5,FALSE), 0))</f>
        <v/>
      </c>
      <c r="FK233" s="516" t="str">
        <f>+IF($AQ$49 = FALSE, "",
IF(VLOOKUP(EO233, basesCantPrimaBrutoRes, 5,FALSE) &lt; 0, -VLOOKUP(EO233, basesCantPrimaBrutoRes, 5,FALSE), 0))</f>
        <v/>
      </c>
      <c r="FL233" s="517" t="str">
        <f>IF($AQ$49 = FALSE, "",
VLOOKUP(EO233, basesCantPrimaBrutoRes, 7,FALSE))</f>
        <v/>
      </c>
      <c r="FM233" s="934">
        <f>IF(FL233 = "", 0,
IF(AND(FJ233 &gt; 0, FK233 &gt;0), 0,
IF(AND(FJ233 &lt;&gt; "", FJ233 &lt;&gt; 0), -(FJ233 * FL233 * 100),
IF(AND(FK233 &lt;&gt; "", FK233 &lt;&gt; 0), (FK233 * FL233 * 100), 0)) ))</f>
        <v>0</v>
      </c>
      <c r="FN233" s="935"/>
      <c r="FO233" s="936"/>
      <c r="FP233" s="934">
        <f>IF(FL233 = "", 0,
IF(AND(FJ233 &gt; 0, FK233 &gt;0), 0,
IF(AND(FJ233 &lt;&gt; "", FJ233 &lt;&gt; 0), -(FJ233 * FL233 * 100 * (1 + COMIS_OPCION)),
IF(AND(FK233 &lt;&gt; "", FK233 &lt;&gt; 0), (FK233 * FL233 * 100 * (1 - COMIS_OPCION)), 0)) ))</f>
        <v>0</v>
      </c>
      <c r="FQ233" s="935"/>
      <c r="FR233" s="935"/>
      <c r="FS233" s="935"/>
      <c r="FT233" s="935"/>
      <c r="FU233" s="935"/>
      <c r="FV233" s="935"/>
      <c r="FW233" s="935"/>
      <c r="FX233" s="966"/>
      <c r="FY233" s="341"/>
      <c r="FZ233" s="341"/>
      <c r="GA233" s="341"/>
      <c r="GB233" s="495">
        <f>+IF(EN233 = "", "", EO233)</f>
        <v>360</v>
      </c>
      <c r="GC233" s="495" t="str">
        <f>+IF(GB233="", "", IF(EO233 = $Z$1, "ACCION", "CALL"))</f>
        <v>CALL</v>
      </c>
      <c r="GD233" s="500"/>
      <c r="GE233" s="495">
        <f>+IF(GB233= "", "", EO235)</f>
        <v>0</v>
      </c>
      <c r="GF233" s="495">
        <f>+IF(GB233 = "", "", IFERROR(IF(GB233 &lt;&gt; $Z$1,
IF(GE233 &gt; 0, SUMIFS(ES233:ES237, EP233:EP237, "&gt;0", ES233:ES237, "&lt;&gt;0") / SUMIFS(EP233:EP237, EP233:EP237, "&gt;0", ES233:ES237, "&lt;&gt;0") / -100,
IF(GE233 &lt; 0, SUMIFS(ES233:ES237, EQ233:EQ237, "&gt;0", ES233:ES237, "&lt;&gt;0") / SUMIFS(EQ233:EQ237, EQ233:EQ237, "&gt;0", ES233:ES237, "&lt;&gt;0") / 100, 0)),
IF(GE233 &gt; 0, SUMIFS(ES233:ES237, EP233:EP237, "&gt;0", ES233:ES237, "&lt;&gt;0") / SUMIFS(EP233:EP237, EP233:EP237, "&gt;0", ES233:ES237, "&lt;&gt;0") / -1,
IF(GE233 &lt; 0, SUMIFS(ES233:ES237, EQ233:EQ237, "&gt;0", ES233:ES237, "&lt;&gt;0") / SUMIFS(EQ233:EQ237, EQ233:EQ237, "&gt;0", ES233:ES237, "&lt;&gt;0") / 1, 0)) ), 0))</f>
        <v>0</v>
      </c>
      <c r="GG233" s="495">
        <f>+IF(GB233 = "", "", IFERROR(IF(GB233 &lt;&gt; $Z$1,
IF(GE233 &gt; 0, SUMIFS(EV233:EV237, EP233:EP237, "&gt;0", EV233:EV237, "&lt;&gt;0") / SUMIFS(EP233:EP237, EP233:EP237, "&gt;0", EV233:EV237, "&lt;&gt;0") / -100,
IF(GE233 &lt; 0, SUMIFS(EV233:EV237, EQ233:EQ237, "&gt;0", EV233:EV237, "&lt;&gt;0") / SUMIFS(EQ233:EQ237, EQ233:EQ237, "&gt;0", EV233:EV237, "&lt;&gt;0") / 100, 0)),
IF(GE233 &gt; 0, SUMIFS(EV233:EV237, EP233:EP237, "&gt;0", EV233:EV237, "&lt;&gt;0") / SUMIFS(EP233:EP237, EP233:EP237, "&gt;0", EV233:EV237, "&lt;&gt;0") / -1,
IF(GE233 &lt; 0, SUMIFS(EV233:EV237, EQ233:EQ237, "&gt;0", EV233:EV237, "&lt;&gt;0") / SUMIFS(EQ233:EQ237, EQ233:EQ237, "&gt;0", EV233:EV237, "&lt;&gt;0") / 1, 0)) ), 0))</f>
        <v>0</v>
      </c>
      <c r="GH233" s="359"/>
      <c r="GI233" s="359"/>
      <c r="GJ233" s="501"/>
      <c r="GK233" s="495" t="str">
        <f>+IF(GB233="", "", "PUT")</f>
        <v>PUT</v>
      </c>
      <c r="GL233" s="495">
        <f>+IF(GB233 = "", "", FI235)</f>
        <v>0</v>
      </c>
      <c r="GM233" s="495">
        <f>+IF(GB233 = "", "", IFERROR(
IF(FI235 &gt; 0, SUMIFS(FM233:FM237, FJ233:FJ237, "&gt;0", FM233:FM237, "&lt;&gt;0") / SUMIFS(FJ233:FJ237, FJ233:FJ237, "&gt;0", FM233:FM237, "&lt;&gt;0") / -100,
IF(FI235 &lt; 0, SUMIFS(FM233:FM237, FK233:FK237, "&gt;0", FM233:FM237, "&lt;&gt;0") / SUMIFS(FK233:FK237, FK233:FK237, "&gt;0", FM233:FM237, "&lt;&gt;0") / 100, 0)), 0) )</f>
        <v>0</v>
      </c>
      <c r="GN233" s="359"/>
      <c r="GO233" s="359"/>
      <c r="GP233" s="501"/>
      <c r="GQ233" s="502">
        <f>+IF(GB233 = "", "", IFERROR(
IF(FI235 &gt; 0, SUMIFS(FP233:FP237, FJ233:FJ237, "&gt;0", FP233:FP237, "&lt;&gt;0") / SUMIFS(FJ233:FJ237, FJ233:FJ237, "&gt;0", FP233:FP237, "&lt;&gt;0") / -100,
IF(FI235 &lt; 0, SUMIFS(FP233:FP237, FK233:FK237, "&gt;0", FP233:FP237, "&lt;&gt;0") / SUMIFS(FK233:FK237, FK233:FK237, "&gt;0", FP233:FP237, "&lt;&gt;0") / 100, 0)), 0))</f>
        <v>0</v>
      </c>
      <c r="GR233" s="375"/>
      <c r="GS233" s="333"/>
      <c r="GT233" s="333"/>
      <c r="GU233" s="333"/>
      <c r="GV233" s="333"/>
      <c r="GW233" s="333"/>
      <c r="GX233" s="333"/>
      <c r="GY233" s="333"/>
      <c r="GZ233" s="333"/>
      <c r="HA233" s="333"/>
      <c r="HB233" s="333"/>
      <c r="HC233" s="333"/>
      <c r="HD233" s="333"/>
      <c r="HE233" s="333"/>
      <c r="HF233" s="333"/>
      <c r="HG233" s="331"/>
      <c r="HH233" s="331"/>
      <c r="HI233" s="331"/>
      <c r="HJ233" s="331"/>
      <c r="HK233" s="331"/>
      <c r="HL233" s="331"/>
      <c r="HM233" s="331"/>
      <c r="HN233" s="333"/>
      <c r="HO233" s="333"/>
      <c r="HP233" s="333"/>
      <c r="HQ233" s="333"/>
      <c r="HR233" s="333"/>
      <c r="HS233" s="333"/>
      <c r="HT233" s="333"/>
      <c r="HU233" s="333"/>
      <c r="HV233" s="333"/>
      <c r="HW233" s="333"/>
      <c r="HX233" s="333"/>
      <c r="HY233" s="333"/>
      <c r="HZ233" s="333"/>
      <c r="IA233" s="333"/>
      <c r="IB233" s="333"/>
      <c r="IC233" s="333"/>
      <c r="ID233" s="55"/>
      <c r="IE233" s="47"/>
      <c r="IO233" s="51"/>
    </row>
    <row r="234" spans="13:249" s="142" customFormat="1" ht="15" customHeight="1">
      <c r="M234" s="333"/>
      <c r="N234" s="333"/>
      <c r="O234" s="333"/>
      <c r="P234" s="333"/>
      <c r="Q234" s="333"/>
      <c r="R234" s="333"/>
      <c r="S234" s="333"/>
      <c r="T234" s="333"/>
      <c r="U234" s="333"/>
      <c r="V234" s="333"/>
      <c r="W234" s="333"/>
      <c r="X234" s="333"/>
      <c r="Y234" s="333"/>
      <c r="Z234" s="333"/>
      <c r="AA234" s="333"/>
      <c r="AB234" s="333"/>
      <c r="AC234" s="333"/>
      <c r="AD234" s="333"/>
      <c r="AE234" s="333"/>
      <c r="AF234" s="333"/>
      <c r="AG234" s="333"/>
      <c r="AH234" s="333"/>
      <c r="AI234" s="333"/>
      <c r="AJ234" s="333"/>
      <c r="AK234" s="333"/>
      <c r="AL234" s="333"/>
      <c r="AM234" s="333"/>
      <c r="AN234" s="333"/>
      <c r="AO234" s="333"/>
      <c r="AP234" s="333"/>
      <c r="AQ234" s="333"/>
      <c r="AR234" s="333"/>
      <c r="AS234" s="333"/>
      <c r="AT234" s="333"/>
      <c r="AU234" s="333"/>
      <c r="AV234" s="333"/>
      <c r="AW234" s="333"/>
      <c r="AX234" s="333"/>
      <c r="AY234" s="333"/>
      <c r="AZ234" s="333"/>
      <c r="BA234" s="333"/>
      <c r="BB234" s="333"/>
      <c r="BC234" s="333"/>
      <c r="BD234" s="333"/>
      <c r="BE234" s="333"/>
      <c r="BF234" s="333"/>
      <c r="BG234" s="333"/>
      <c r="BH234" s="333"/>
      <c r="BI234" s="333"/>
      <c r="BJ234" s="333"/>
      <c r="BK234" s="333"/>
      <c r="BL234" s="333"/>
      <c r="BM234" s="333"/>
      <c r="BN234" s="333"/>
      <c r="BO234" s="333"/>
      <c r="BP234" s="333"/>
      <c r="BQ234" s="333"/>
      <c r="BR234" s="333"/>
      <c r="BS234" s="333"/>
      <c r="BT234" s="333"/>
      <c r="BU234" s="333"/>
      <c r="BV234" s="333"/>
      <c r="BW234" s="333"/>
      <c r="BX234" s="333"/>
      <c r="BY234" s="333"/>
      <c r="BZ234" s="333"/>
      <c r="CA234" s="333"/>
      <c r="CB234" s="333"/>
      <c r="CC234" s="333"/>
      <c r="CD234" s="333"/>
      <c r="CE234" s="333"/>
      <c r="CF234" s="333"/>
      <c r="CG234" s="333"/>
      <c r="CH234" s="333"/>
      <c r="CI234" s="333"/>
      <c r="CJ234" s="333"/>
      <c r="CK234" s="333"/>
      <c r="CL234" s="333"/>
      <c r="CM234" s="333"/>
      <c r="CN234" s="333"/>
      <c r="CO234" s="333"/>
      <c r="CP234" s="333"/>
      <c r="CQ234" s="333"/>
      <c r="CR234" s="333"/>
      <c r="CS234" s="333"/>
      <c r="CT234" s="333"/>
      <c r="CU234" s="333"/>
      <c r="CV234" s="333"/>
      <c r="CW234" s="333"/>
      <c r="CX234" s="333"/>
      <c r="CY234" s="333"/>
      <c r="CZ234" s="333"/>
      <c r="DA234" s="333"/>
      <c r="DB234" s="333"/>
      <c r="DC234" s="333"/>
      <c r="DD234" s="333"/>
      <c r="DE234" s="333"/>
      <c r="DF234" s="333"/>
      <c r="DG234" s="333"/>
      <c r="DH234" s="333"/>
      <c r="DI234" s="333"/>
      <c r="DJ234" s="333"/>
      <c r="DK234" s="333"/>
      <c r="DL234" s="333"/>
      <c r="DM234" s="333"/>
      <c r="DN234" s="333"/>
      <c r="DO234" s="333"/>
      <c r="DP234" s="333"/>
      <c r="DQ234" s="333"/>
      <c r="DR234" s="333"/>
      <c r="DS234" s="333"/>
      <c r="DT234" s="333"/>
      <c r="DU234" s="375"/>
      <c r="DV234" s="375"/>
      <c r="DW234" s="375"/>
      <c r="DX234" s="375"/>
      <c r="DY234" s="375"/>
      <c r="DZ234" s="375"/>
      <c r="EA234" s="375"/>
      <c r="EB234" s="375"/>
      <c r="EC234" s="375"/>
      <c r="ED234" s="375"/>
      <c r="EE234" s="375"/>
      <c r="EF234" s="375"/>
      <c r="EG234" s="375"/>
      <c r="EH234" s="375"/>
      <c r="EI234" s="375"/>
      <c r="EJ234" s="373"/>
      <c r="EK234" s="373"/>
      <c r="EL234" s="366"/>
      <c r="EM234" s="366"/>
      <c r="EN234" s="364"/>
      <c r="EO234" s="351"/>
      <c r="EP234" s="347"/>
      <c r="EQ234" s="342"/>
      <c r="ER234" s="522"/>
      <c r="ES234" s="916">
        <f>IF(ER234 = "", 0,
IF(AND(EP234 &gt; 0, EQ234 &gt;0), 0, IF(EO233 &lt;&gt; $Z$1,
IF(AND(EP234 &lt;&gt; "", EP234 &lt;&gt; 0), -(EP234 * ER234 * 100),
IF(AND(EQ234 &lt;&gt; "", EQ234 &lt;&gt; 0), (EQ234 * ER234 * 100), 0)),
IF(AND(EP234 &lt;&gt; "", EP234 &lt;&gt; 0), -(EP234 * ER234 * 1),
IF(AND(EQ234 &lt;&gt; "", EQ234 &lt;&gt; 0), (EQ234 * ER234 * 1), 0))  )))</f>
        <v>0</v>
      </c>
      <c r="ET234" s="917"/>
      <c r="EU234" s="918"/>
      <c r="EV234" s="916">
        <f>IF(ER234 = "", 0,
IF(AND(EP234 &gt; 0, EQ234 &gt;0), 0,  IF(EO233 &lt;&gt; $Z$1,
IF(AND(EP234 &lt;&gt; "", EP234 &lt;&gt; 0), -(EP234 * ER234 * 100 * (1 + COMIS_OPCION)),
IF(AND(EQ234 &lt;&gt; "", EQ234 &lt;&gt; 0), (EQ234 * ER234 * 100 * (1 - COMIS_OPCION)), 0)),
IF(AND(EP234 &lt;&gt; "", EP234 &lt;&gt; 0), -(EP234 * ER234 * 1 * (1 + COMIS_ACCION)),
IF(AND(EQ234 &lt;&gt; "", EQ234 &lt;&gt; 0), (EQ234 * ER234 * 1 * (1 - COMIS_ACCION)), 0))  )))</f>
        <v>0</v>
      </c>
      <c r="EW234" s="917"/>
      <c r="EX234" s="917"/>
      <c r="EY234" s="917"/>
      <c r="EZ234" s="917"/>
      <c r="FA234" s="917"/>
      <c r="FB234" s="917"/>
      <c r="FC234" s="917"/>
      <c r="FD234" s="925"/>
      <c r="FE234" s="340"/>
      <c r="FF234" s="340"/>
      <c r="FG234" s="364"/>
      <c r="FH234" s="364"/>
      <c r="FI234" s="339"/>
      <c r="FJ234" s="347"/>
      <c r="FK234" s="342"/>
      <c r="FL234" s="343"/>
      <c r="FM234" s="930">
        <f>IF(FL234 = "", 0,
IF(AND(FJ234 &gt; 0, FK234 &gt;0), 0,
IF(AND(FJ234 &lt;&gt; "", FJ234 &lt;&gt; 0), -(FJ234 * FL234 * 100),
IF(AND(FK234 &lt;&gt; "", FK234 &lt;&gt; 0), (FK234 * FL234 * 100), 0)) ))</f>
        <v>0</v>
      </c>
      <c r="FN234" s="931"/>
      <c r="FO234" s="932"/>
      <c r="FP234" s="930">
        <f>IF(FL234 = "", 0,
IF(AND(FJ234 &gt; 0, FK234 &gt;0), 0,
IF(AND(FJ234 &lt;&gt; "", FJ234 &lt;&gt; 0), -(FJ234 * FL234 * 100 * (1 + COMIS_OPCION)),
IF(AND(FK234 &lt;&gt; "", FK234 &lt;&gt; 0), (FK234 * FL234 * 100 * (1 - COMIS_OPCION)), 0)) ))</f>
        <v>0</v>
      </c>
      <c r="FQ234" s="931"/>
      <c r="FR234" s="931"/>
      <c r="FS234" s="931"/>
      <c r="FT234" s="931"/>
      <c r="FU234" s="931"/>
      <c r="FV234" s="931"/>
      <c r="FW234" s="931"/>
      <c r="FX234" s="933"/>
      <c r="FY234" s="341"/>
      <c r="FZ234" s="341"/>
      <c r="GA234" s="341"/>
      <c r="GB234" s="495">
        <v>0</v>
      </c>
      <c r="GC234" s="495">
        <v>0</v>
      </c>
      <c r="GD234" s="500"/>
      <c r="GE234" s="495">
        <v>0</v>
      </c>
      <c r="GF234" s="495">
        <v>0</v>
      </c>
      <c r="GG234" s="495">
        <v>0</v>
      </c>
      <c r="GH234" s="359"/>
      <c r="GI234" s="359"/>
      <c r="GJ234" s="501"/>
      <c r="GK234" s="495">
        <v>0</v>
      </c>
      <c r="GL234" s="495">
        <v>0</v>
      </c>
      <c r="GM234" s="495">
        <v>0</v>
      </c>
      <c r="GN234" s="359"/>
      <c r="GO234" s="359"/>
      <c r="GP234" s="501"/>
      <c r="GQ234" s="495">
        <v>0</v>
      </c>
      <c r="GR234" s="375"/>
      <c r="GS234" s="333"/>
      <c r="GT234" s="333"/>
      <c r="GU234" s="333"/>
      <c r="GV234" s="333"/>
      <c r="GW234" s="333"/>
      <c r="GX234" s="333"/>
      <c r="GY234" s="333"/>
      <c r="GZ234" s="333"/>
      <c r="HA234" s="333"/>
      <c r="HB234" s="333"/>
      <c r="HC234" s="333"/>
      <c r="HD234" s="333"/>
      <c r="HE234" s="333"/>
      <c r="HF234" s="333"/>
      <c r="HG234" s="331"/>
      <c r="HH234" s="331"/>
      <c r="HI234" s="331"/>
      <c r="HJ234" s="331"/>
      <c r="HK234" s="331"/>
      <c r="HL234" s="331"/>
      <c r="HM234" s="331"/>
      <c r="HN234" s="333"/>
      <c r="HO234" s="333"/>
      <c r="HP234" s="333"/>
      <c r="HQ234" s="333"/>
      <c r="HR234" s="333"/>
      <c r="HS234" s="333"/>
      <c r="HT234" s="333"/>
      <c r="HU234" s="333"/>
      <c r="HV234" s="333"/>
      <c r="HW234" s="333"/>
      <c r="HX234" s="333"/>
      <c r="HY234" s="333"/>
      <c r="HZ234" s="333"/>
      <c r="IA234" s="333"/>
      <c r="IB234" s="333"/>
      <c r="IC234" s="333"/>
      <c r="ID234" s="55"/>
      <c r="IE234" s="47"/>
      <c r="IO234" s="51"/>
    </row>
    <row r="235" spans="13:249" s="142" customFormat="1" ht="15" customHeight="1">
      <c r="M235" s="333"/>
      <c r="N235" s="333"/>
      <c r="O235" s="333"/>
      <c r="P235" s="333"/>
      <c r="Q235" s="333"/>
      <c r="R235" s="333"/>
      <c r="S235" s="333"/>
      <c r="T235" s="333"/>
      <c r="U235" s="333"/>
      <c r="V235" s="333"/>
      <c r="W235" s="333"/>
      <c r="X235" s="333"/>
      <c r="Y235" s="333"/>
      <c r="Z235" s="333"/>
      <c r="AA235" s="333"/>
      <c r="AB235" s="333"/>
      <c r="AC235" s="333"/>
      <c r="AD235" s="333"/>
      <c r="AE235" s="333"/>
      <c r="AF235" s="333"/>
      <c r="AG235" s="333"/>
      <c r="AH235" s="333"/>
      <c r="AI235" s="333"/>
      <c r="AJ235" s="333"/>
      <c r="AK235" s="333"/>
      <c r="AL235" s="333"/>
      <c r="AM235" s="333"/>
      <c r="AN235" s="333"/>
      <c r="AO235" s="333"/>
      <c r="AP235" s="333"/>
      <c r="AQ235" s="333"/>
      <c r="AR235" s="333"/>
      <c r="AS235" s="333"/>
      <c r="AT235" s="333"/>
      <c r="AU235" s="333"/>
      <c r="AV235" s="333"/>
      <c r="AW235" s="333"/>
      <c r="AX235" s="333"/>
      <c r="AY235" s="333"/>
      <c r="AZ235" s="333"/>
      <c r="BA235" s="333"/>
      <c r="BB235" s="333"/>
      <c r="BC235" s="333"/>
      <c r="BD235" s="333"/>
      <c r="BE235" s="333"/>
      <c r="BF235" s="333"/>
      <c r="BG235" s="333"/>
      <c r="BH235" s="333"/>
      <c r="BI235" s="333"/>
      <c r="BJ235" s="333"/>
      <c r="BK235" s="333"/>
      <c r="BL235" s="333"/>
      <c r="BM235" s="333"/>
      <c r="BN235" s="333"/>
      <c r="BO235" s="333"/>
      <c r="BP235" s="333"/>
      <c r="BQ235" s="333"/>
      <c r="BR235" s="333"/>
      <c r="BS235" s="333"/>
      <c r="BT235" s="333"/>
      <c r="BU235" s="333"/>
      <c r="BV235" s="333"/>
      <c r="BW235" s="333"/>
      <c r="BX235" s="333"/>
      <c r="BY235" s="333"/>
      <c r="BZ235" s="333"/>
      <c r="CA235" s="333"/>
      <c r="CB235" s="333"/>
      <c r="CC235" s="333"/>
      <c r="CD235" s="333"/>
      <c r="CE235" s="333"/>
      <c r="CF235" s="333"/>
      <c r="CG235" s="333"/>
      <c r="CH235" s="333"/>
      <c r="CI235" s="333"/>
      <c r="CJ235" s="333"/>
      <c r="CK235" s="333"/>
      <c r="CL235" s="333"/>
      <c r="CM235" s="333"/>
      <c r="CN235" s="333"/>
      <c r="CO235" s="333"/>
      <c r="CP235" s="333"/>
      <c r="CQ235" s="333"/>
      <c r="CR235" s="333"/>
      <c r="CS235" s="333"/>
      <c r="CT235" s="333"/>
      <c r="CU235" s="333"/>
      <c r="CV235" s="333"/>
      <c r="CW235" s="333"/>
      <c r="CX235" s="333"/>
      <c r="CY235" s="333"/>
      <c r="CZ235" s="333"/>
      <c r="DA235" s="333"/>
      <c r="DB235" s="333"/>
      <c r="DC235" s="333"/>
      <c r="DD235" s="333"/>
      <c r="DE235" s="333"/>
      <c r="DF235" s="333"/>
      <c r="DG235" s="333"/>
      <c r="DH235" s="333"/>
      <c r="DI235" s="333"/>
      <c r="DJ235" s="333"/>
      <c r="DK235" s="333"/>
      <c r="DL235" s="333"/>
      <c r="DM235" s="333"/>
      <c r="DN235" s="333"/>
      <c r="DO235" s="333"/>
      <c r="DP235" s="333"/>
      <c r="DQ235" s="333"/>
      <c r="DR235" s="333"/>
      <c r="DS235" s="333"/>
      <c r="DT235" s="333"/>
      <c r="DU235" s="375"/>
      <c r="DV235" s="375"/>
      <c r="DW235" s="375"/>
      <c r="DX235" s="375"/>
      <c r="DY235" s="375"/>
      <c r="DZ235" s="375"/>
      <c r="EA235" s="375"/>
      <c r="EB235" s="375"/>
      <c r="EC235" s="375"/>
      <c r="ED235" s="375"/>
      <c r="EE235" s="375"/>
      <c r="EF235" s="375"/>
      <c r="EG235" s="375"/>
      <c r="EH235" s="375"/>
      <c r="EI235" s="375"/>
      <c r="EJ235" s="373"/>
      <c r="EK235" s="373"/>
      <c r="EL235" s="366"/>
      <c r="EM235" s="368"/>
      <c r="EN235" s="364"/>
      <c r="EO235" s="352">
        <f>+SUM(EP233:EP237) - SUM(EQ233:EQ237)</f>
        <v>0</v>
      </c>
      <c r="EP235" s="347"/>
      <c r="EQ235" s="342"/>
      <c r="ER235" s="522"/>
      <c r="ES235" s="916">
        <f>IF(ER235 = "", 0,
IF(AND(EP235 &gt; 0, EQ235 &gt;0), 0, IF(EO233 &lt;&gt; $Z$1,
IF(AND(EP235 &lt;&gt; "", EP235 &lt;&gt; 0), -(EP235 * ER235 * 100),
IF(AND(EQ235 &lt;&gt; "", EQ235 &lt;&gt; 0), (EQ235 * ER235 * 100), 0)),
IF(AND(EP235 &lt;&gt; "", EP235 &lt;&gt; 0), -(EP235 * ER235 * 1),
IF(AND(EQ235 &lt;&gt; "", EQ235 &lt;&gt; 0), (EQ235 * ER235 * 1), 0))  )))</f>
        <v>0</v>
      </c>
      <c r="ET235" s="917"/>
      <c r="EU235" s="918"/>
      <c r="EV235" s="916">
        <f>IF(ER235 = "", 0,
IF(AND(EP235 &gt; 0, EQ235 &gt;0), 0,  IF(EO233 &lt;&gt; $Z$1,
IF(AND(EP235 &lt;&gt; "", EP235 &lt;&gt; 0), -(EP235 * ER235 * 100 * (1 + COMIS_OPCION)),
IF(AND(EQ235 &lt;&gt; "", EQ235 &lt;&gt; 0), (EQ235 * ER235 * 100 * (1 - COMIS_OPCION)), 0)),
IF(AND(EP235 &lt;&gt; "", EP235 &lt;&gt; 0), -(EP235 * ER235 * 1 * (1 + COMIS_ACCION)),
IF(AND(EQ235 &lt;&gt; "", EQ235 &lt;&gt; 0), (EQ235 * ER235 * 1 * (1 - COMIS_ACCION)), 0))  )))</f>
        <v>0</v>
      </c>
      <c r="EW235" s="917"/>
      <c r="EX235" s="917"/>
      <c r="EY235" s="917"/>
      <c r="EZ235" s="917"/>
      <c r="FA235" s="917"/>
      <c r="FB235" s="917"/>
      <c r="FC235" s="917"/>
      <c r="FD235" s="925"/>
      <c r="FE235" s="340"/>
      <c r="FF235" s="340"/>
      <c r="FG235" s="365"/>
      <c r="FH235" s="365"/>
      <c r="FI235" s="354">
        <f>+SUM(FJ233:FJ237) - SUM(FK233:FK237)</f>
        <v>0</v>
      </c>
      <c r="FJ235" s="347"/>
      <c r="FK235" s="342"/>
      <c r="FL235" s="343"/>
      <c r="FM235" s="930">
        <f>IF(FL235 = "", 0,
IF(AND(FJ235 &gt; 0, FK235 &gt;0), 0,
IF(AND(FJ235 &lt;&gt; "", FJ235 &lt;&gt; 0), -(FJ235 * FL235 * 100),
IF(AND(FK235 &lt;&gt; "", FK235 &lt;&gt; 0), (FK235 * FL235 * 100), 0)) ))</f>
        <v>0</v>
      </c>
      <c r="FN235" s="931"/>
      <c r="FO235" s="932"/>
      <c r="FP235" s="930">
        <f>IF(FL235 = "", 0,
IF(AND(FJ235 &gt; 0, FK235 &gt;0), 0,
IF(AND(FJ235 &lt;&gt; "", FJ235 &lt;&gt; 0), -(FJ235 * FL235 * 100 * (1 + COMIS_OPCION)),
IF(AND(FK235 &lt;&gt; "", FK235 &lt;&gt; 0), (FK235 * FL235 * 100 * (1 - COMIS_OPCION)), 0)) ))</f>
        <v>0</v>
      </c>
      <c r="FQ235" s="931"/>
      <c r="FR235" s="931"/>
      <c r="FS235" s="931"/>
      <c r="FT235" s="931"/>
      <c r="FU235" s="931"/>
      <c r="FV235" s="931"/>
      <c r="FW235" s="931"/>
      <c r="FX235" s="933"/>
      <c r="FY235" s="341"/>
      <c r="FZ235" s="341"/>
      <c r="GA235" s="341"/>
      <c r="GB235" s="495">
        <v>0</v>
      </c>
      <c r="GC235" s="495">
        <v>0</v>
      </c>
      <c r="GD235" s="500"/>
      <c r="GE235" s="495">
        <v>0</v>
      </c>
      <c r="GF235" s="495">
        <v>0</v>
      </c>
      <c r="GG235" s="495">
        <v>0</v>
      </c>
      <c r="GH235" s="359"/>
      <c r="GI235" s="359"/>
      <c r="GJ235" s="501"/>
      <c r="GK235" s="495">
        <v>0</v>
      </c>
      <c r="GL235" s="495">
        <v>0</v>
      </c>
      <c r="GM235" s="495">
        <v>0</v>
      </c>
      <c r="GN235" s="359"/>
      <c r="GO235" s="359"/>
      <c r="GP235" s="501"/>
      <c r="GQ235" s="495">
        <v>0</v>
      </c>
      <c r="GR235" s="375"/>
      <c r="GS235" s="333"/>
      <c r="GT235" s="333"/>
      <c r="GU235" s="333"/>
      <c r="GV235" s="333"/>
      <c r="GW235" s="333"/>
      <c r="GX235" s="333"/>
      <c r="GY235" s="333"/>
      <c r="GZ235" s="333"/>
      <c r="HA235" s="333"/>
      <c r="HB235" s="333"/>
      <c r="HC235" s="333"/>
      <c r="HD235" s="333"/>
      <c r="HE235" s="333"/>
      <c r="HF235" s="333"/>
      <c r="HG235" s="331"/>
      <c r="HH235" s="331"/>
      <c r="HI235" s="331"/>
      <c r="HJ235" s="331"/>
      <c r="HK235" s="331"/>
      <c r="HL235" s="331"/>
      <c r="HM235" s="331"/>
      <c r="HN235" s="333"/>
      <c r="HO235" s="333"/>
      <c r="HP235" s="333"/>
      <c r="HQ235" s="333"/>
      <c r="HR235" s="333"/>
      <c r="HS235" s="333"/>
      <c r="HT235" s="333"/>
      <c r="HU235" s="333"/>
      <c r="HV235" s="333"/>
      <c r="HW235" s="333"/>
      <c r="HX235" s="333"/>
      <c r="HY235" s="333"/>
      <c r="HZ235" s="333"/>
      <c r="IA235" s="333"/>
      <c r="IB235" s="333"/>
      <c r="IC235" s="333"/>
      <c r="ID235" s="55"/>
      <c r="IE235" s="47"/>
      <c r="IO235" s="51"/>
    </row>
    <row r="236" spans="13:249" s="142" customFormat="1" ht="15" customHeight="1">
      <c r="M236" s="333"/>
      <c r="N236" s="333"/>
      <c r="O236" s="333"/>
      <c r="P236" s="333"/>
      <c r="Q236" s="333"/>
      <c r="R236" s="333"/>
      <c r="S236" s="333"/>
      <c r="T236" s="333"/>
      <c r="U236" s="333"/>
      <c r="V236" s="333"/>
      <c r="W236" s="333"/>
      <c r="X236" s="333"/>
      <c r="Y236" s="333"/>
      <c r="Z236" s="333"/>
      <c r="AA236" s="333"/>
      <c r="AB236" s="333"/>
      <c r="AC236" s="333"/>
      <c r="AD236" s="333"/>
      <c r="AE236" s="333"/>
      <c r="AF236" s="333"/>
      <c r="AG236" s="333"/>
      <c r="AH236" s="333"/>
      <c r="AI236" s="333"/>
      <c r="AJ236" s="333"/>
      <c r="AK236" s="333"/>
      <c r="AL236" s="333"/>
      <c r="AM236" s="333"/>
      <c r="AN236" s="333"/>
      <c r="AO236" s="333"/>
      <c r="AP236" s="333"/>
      <c r="AQ236" s="333"/>
      <c r="AR236" s="333"/>
      <c r="AS236" s="333"/>
      <c r="AT236" s="333"/>
      <c r="AU236" s="333"/>
      <c r="AV236" s="333"/>
      <c r="AW236" s="333"/>
      <c r="AX236" s="333"/>
      <c r="AY236" s="333"/>
      <c r="AZ236" s="333"/>
      <c r="BA236" s="333"/>
      <c r="BB236" s="333"/>
      <c r="BC236" s="333"/>
      <c r="BD236" s="333"/>
      <c r="BE236" s="333"/>
      <c r="BF236" s="333"/>
      <c r="BG236" s="333"/>
      <c r="BH236" s="333"/>
      <c r="BI236" s="333"/>
      <c r="BJ236" s="333"/>
      <c r="BK236" s="333"/>
      <c r="BL236" s="333"/>
      <c r="BM236" s="333"/>
      <c r="BN236" s="333"/>
      <c r="BO236" s="333"/>
      <c r="BP236" s="333"/>
      <c r="BQ236" s="333"/>
      <c r="BR236" s="333"/>
      <c r="BS236" s="333"/>
      <c r="BT236" s="333"/>
      <c r="BU236" s="333"/>
      <c r="BV236" s="333"/>
      <c r="BW236" s="333"/>
      <c r="BX236" s="333"/>
      <c r="BY236" s="333"/>
      <c r="BZ236" s="333"/>
      <c r="CA236" s="333"/>
      <c r="CB236" s="333"/>
      <c r="CC236" s="333"/>
      <c r="CD236" s="333"/>
      <c r="CE236" s="333"/>
      <c r="CF236" s="333"/>
      <c r="CG236" s="333"/>
      <c r="CH236" s="333"/>
      <c r="CI236" s="333"/>
      <c r="CJ236" s="333"/>
      <c r="CK236" s="333"/>
      <c r="CL236" s="333"/>
      <c r="CM236" s="333"/>
      <c r="CN236" s="333"/>
      <c r="CO236" s="333"/>
      <c r="CP236" s="333"/>
      <c r="CQ236" s="333"/>
      <c r="CR236" s="333"/>
      <c r="CS236" s="333"/>
      <c r="CT236" s="333"/>
      <c r="CU236" s="333"/>
      <c r="CV236" s="333"/>
      <c r="CW236" s="333"/>
      <c r="CX236" s="333"/>
      <c r="CY236" s="333"/>
      <c r="CZ236" s="333"/>
      <c r="DA236" s="333"/>
      <c r="DB236" s="333"/>
      <c r="DC236" s="333"/>
      <c r="DD236" s="333"/>
      <c r="DE236" s="333"/>
      <c r="DF236" s="333"/>
      <c r="DG236" s="333"/>
      <c r="DH236" s="333"/>
      <c r="DI236" s="333"/>
      <c r="DJ236" s="333"/>
      <c r="DK236" s="333"/>
      <c r="DL236" s="333"/>
      <c r="DM236" s="333"/>
      <c r="DN236" s="333"/>
      <c r="DO236" s="333"/>
      <c r="DP236" s="333"/>
      <c r="DQ236" s="333"/>
      <c r="DR236" s="333"/>
      <c r="DS236" s="333"/>
      <c r="DT236" s="333"/>
      <c r="DU236" s="375"/>
      <c r="DV236" s="375"/>
      <c r="DW236" s="375"/>
      <c r="DX236" s="375"/>
      <c r="DY236" s="375"/>
      <c r="DZ236" s="375"/>
      <c r="EA236" s="375"/>
      <c r="EB236" s="375"/>
      <c r="EC236" s="375"/>
      <c r="ED236" s="375"/>
      <c r="EE236" s="375"/>
      <c r="EF236" s="375"/>
      <c r="EG236" s="375"/>
      <c r="EH236" s="375"/>
      <c r="EI236" s="375"/>
      <c r="EJ236" s="373"/>
      <c r="EK236" s="373"/>
      <c r="EL236" s="366"/>
      <c r="EM236" s="368"/>
      <c r="EN236" s="364"/>
      <c r="EO236" s="352">
        <f>IF(EO235=0, 0, SUM(EV233:FD237))</f>
        <v>0</v>
      </c>
      <c r="EP236" s="347"/>
      <c r="EQ236" s="342"/>
      <c r="ER236" s="522"/>
      <c r="ES236" s="916">
        <f>IF(ER236 = "", 0,
IF(AND(EP236 &gt; 0, EQ236 &gt;0), 0, IF(EO233 &lt;&gt; $Z$1,
IF(AND(EP236 &lt;&gt; "", EP236 &lt;&gt; 0), -(EP236 * ER236 * 100),
IF(AND(EQ236 &lt;&gt; "", EQ236 &lt;&gt; 0), (EQ236 * ER236 * 100), 0)),
IF(AND(EP236 &lt;&gt; "", EP236 &lt;&gt; 0), -(EP236 * ER236 * 1),
IF(AND(EQ236 &lt;&gt; "", EQ236 &lt;&gt; 0), (EQ236 * ER236 * 1), 0))  )))</f>
        <v>0</v>
      </c>
      <c r="ET236" s="917"/>
      <c r="EU236" s="918"/>
      <c r="EV236" s="916">
        <f>IF(ER236 = "", 0,
IF(AND(EP236 &gt; 0, EQ236 &gt;0), 0,  IF(EO233 &lt;&gt; $Z$1,
IF(AND(EP236 &lt;&gt; "", EP236 &lt;&gt; 0), -(EP236 * ER236 * 100 * (1 + COMIS_OPCION)),
IF(AND(EQ236 &lt;&gt; "", EQ236 &lt;&gt; 0), (EQ236 * ER236 * 100 * (1 - COMIS_OPCION)), 0)),
IF(AND(EP236 &lt;&gt; "", EP236 &lt;&gt; 0), -(EP236 * ER236 * 1 * (1 + COMIS_ACCION)),
IF(AND(EQ236 &lt;&gt; "", EQ236 &lt;&gt; 0), (EQ236 * ER236 * 1 * (1 - COMIS_ACCION)), 0))  )))</f>
        <v>0</v>
      </c>
      <c r="EW236" s="917"/>
      <c r="EX236" s="917"/>
      <c r="EY236" s="917"/>
      <c r="EZ236" s="917"/>
      <c r="FA236" s="917"/>
      <c r="FB236" s="917"/>
      <c r="FC236" s="917"/>
      <c r="FD236" s="925"/>
      <c r="FE236" s="340"/>
      <c r="FF236" s="340"/>
      <c r="FG236" s="365"/>
      <c r="FH236" s="365"/>
      <c r="FI236" s="354">
        <f>IF(FI235=0, 0, SUM(FP233:FX237))</f>
        <v>0</v>
      </c>
      <c r="FJ236" s="347"/>
      <c r="FK236" s="342"/>
      <c r="FL236" s="343"/>
      <c r="FM236" s="930">
        <f>IF(FL236 = "", 0,
IF(AND(FJ236 &gt; 0, FK236 &gt;0), 0,
IF(AND(FJ236 &lt;&gt; "", FJ236 &lt;&gt; 0), -(FJ236 * FL236 * 100),
IF(AND(FK236 &lt;&gt; "", FK236 &lt;&gt; 0), (FK236 * FL236 * 100), 0)) ))</f>
        <v>0</v>
      </c>
      <c r="FN236" s="931"/>
      <c r="FO236" s="932"/>
      <c r="FP236" s="930">
        <f>IF(FL236 = "", 0,
IF(AND(FJ236 &gt; 0, FK236 &gt;0), 0,
IF(AND(FJ236 &lt;&gt; "", FJ236 &lt;&gt; 0), -(FJ236 * FL236 * 100 * (1 + COMIS_OPCION)),
IF(AND(FK236 &lt;&gt; "", FK236 &lt;&gt; 0), (FK236 * FL236 * 100 * (1 - COMIS_OPCION)), 0)) ))</f>
        <v>0</v>
      </c>
      <c r="FQ236" s="931"/>
      <c r="FR236" s="931"/>
      <c r="FS236" s="931"/>
      <c r="FT236" s="931"/>
      <c r="FU236" s="931"/>
      <c r="FV236" s="931"/>
      <c r="FW236" s="931"/>
      <c r="FX236" s="933"/>
      <c r="FY236" s="341"/>
      <c r="FZ236" s="341"/>
      <c r="GA236" s="341"/>
      <c r="GB236" s="495">
        <v>0</v>
      </c>
      <c r="GC236" s="495">
        <v>0</v>
      </c>
      <c r="GD236" s="500"/>
      <c r="GE236" s="495">
        <v>0</v>
      </c>
      <c r="GF236" s="495">
        <v>0</v>
      </c>
      <c r="GG236" s="495">
        <v>0</v>
      </c>
      <c r="GH236" s="359"/>
      <c r="GI236" s="359"/>
      <c r="GJ236" s="501"/>
      <c r="GK236" s="495">
        <v>0</v>
      </c>
      <c r="GL236" s="495">
        <v>0</v>
      </c>
      <c r="GM236" s="495">
        <v>0</v>
      </c>
      <c r="GN236" s="359"/>
      <c r="GO236" s="359"/>
      <c r="GP236" s="501"/>
      <c r="GQ236" s="495">
        <v>0</v>
      </c>
      <c r="GR236" s="375"/>
      <c r="GS236" s="333"/>
      <c r="GT236" s="333"/>
      <c r="GU236" s="333"/>
      <c r="GV236" s="333"/>
      <c r="GW236" s="333"/>
      <c r="GX236" s="333"/>
      <c r="GY236" s="333"/>
      <c r="GZ236" s="333"/>
      <c r="HA236" s="333"/>
      <c r="HB236" s="333"/>
      <c r="HC236" s="333"/>
      <c r="HD236" s="333"/>
      <c r="HE236" s="333"/>
      <c r="HF236" s="333"/>
      <c r="HG236" s="331"/>
      <c r="HH236" s="331"/>
      <c r="HI236" s="331"/>
      <c r="HJ236" s="331"/>
      <c r="HK236" s="331"/>
      <c r="HL236" s="331"/>
      <c r="HM236" s="331"/>
      <c r="HN236" s="333"/>
      <c r="HO236" s="333"/>
      <c r="HP236" s="333"/>
      <c r="HQ236" s="333"/>
      <c r="HR236" s="333"/>
      <c r="HS236" s="333"/>
      <c r="HT236" s="333"/>
      <c r="HU236" s="333"/>
      <c r="HV236" s="333"/>
      <c r="HW236" s="333"/>
      <c r="HX236" s="333"/>
      <c r="HY236" s="333"/>
      <c r="HZ236" s="333"/>
      <c r="IA236" s="333"/>
      <c r="IB236" s="333"/>
      <c r="IC236" s="333"/>
      <c r="ID236" s="55"/>
      <c r="IE236" s="47"/>
      <c r="IO236" s="51"/>
    </row>
    <row r="237" spans="13:249" s="142" customFormat="1" ht="15" customHeight="1" thickBot="1">
      <c r="M237" s="333"/>
      <c r="N237" s="333"/>
      <c r="O237" s="333"/>
      <c r="P237" s="333"/>
      <c r="Q237" s="333"/>
      <c r="R237" s="333"/>
      <c r="S237" s="333"/>
      <c r="T237" s="333"/>
      <c r="U237" s="333"/>
      <c r="V237" s="333"/>
      <c r="W237" s="333"/>
      <c r="X237" s="333"/>
      <c r="Y237" s="333"/>
      <c r="Z237" s="333"/>
      <c r="AA237" s="333"/>
      <c r="AB237" s="333"/>
      <c r="AC237" s="333"/>
      <c r="AD237" s="333"/>
      <c r="AE237" s="333"/>
      <c r="AF237" s="333"/>
      <c r="AG237" s="333"/>
      <c r="AH237" s="333"/>
      <c r="AI237" s="333"/>
      <c r="AJ237" s="333"/>
      <c r="AK237" s="333"/>
      <c r="AL237" s="333"/>
      <c r="AM237" s="333"/>
      <c r="AN237" s="333"/>
      <c r="AO237" s="333"/>
      <c r="AP237" s="333"/>
      <c r="AQ237" s="333"/>
      <c r="AR237" s="333"/>
      <c r="AS237" s="333"/>
      <c r="AT237" s="333"/>
      <c r="AU237" s="333"/>
      <c r="AV237" s="333"/>
      <c r="AW237" s="333"/>
      <c r="AX237" s="333"/>
      <c r="AY237" s="333"/>
      <c r="AZ237" s="333"/>
      <c r="BA237" s="333"/>
      <c r="BB237" s="333"/>
      <c r="BC237" s="333"/>
      <c r="BD237" s="333"/>
      <c r="BE237" s="333"/>
      <c r="BF237" s="333"/>
      <c r="BG237" s="333"/>
      <c r="BH237" s="333"/>
      <c r="BI237" s="333"/>
      <c r="BJ237" s="333"/>
      <c r="BK237" s="333"/>
      <c r="BL237" s="333"/>
      <c r="BM237" s="333"/>
      <c r="BN237" s="333"/>
      <c r="BO237" s="333"/>
      <c r="BP237" s="333"/>
      <c r="BQ237" s="333"/>
      <c r="BR237" s="333"/>
      <c r="BS237" s="333"/>
      <c r="BT237" s="333"/>
      <c r="BU237" s="333"/>
      <c r="BV237" s="333"/>
      <c r="BW237" s="333"/>
      <c r="BX237" s="333"/>
      <c r="BY237" s="333"/>
      <c r="BZ237" s="333"/>
      <c r="CA237" s="333"/>
      <c r="CB237" s="333"/>
      <c r="CC237" s="333"/>
      <c r="CD237" s="333"/>
      <c r="CE237" s="333"/>
      <c r="CF237" s="333"/>
      <c r="CG237" s="333"/>
      <c r="CH237" s="333"/>
      <c r="CI237" s="333"/>
      <c r="CJ237" s="333"/>
      <c r="CK237" s="333"/>
      <c r="CL237" s="333"/>
      <c r="CM237" s="333"/>
      <c r="CN237" s="333"/>
      <c r="CO237" s="333"/>
      <c r="CP237" s="333"/>
      <c r="CQ237" s="333"/>
      <c r="CR237" s="333"/>
      <c r="CS237" s="333"/>
      <c r="CT237" s="333"/>
      <c r="CU237" s="333"/>
      <c r="CV237" s="333"/>
      <c r="CW237" s="333"/>
      <c r="CX237" s="333"/>
      <c r="CY237" s="333"/>
      <c r="CZ237" s="333"/>
      <c r="DA237" s="333"/>
      <c r="DB237" s="333"/>
      <c r="DC237" s="333"/>
      <c r="DD237" s="333"/>
      <c r="DE237" s="333"/>
      <c r="DF237" s="333"/>
      <c r="DG237" s="333"/>
      <c r="DH237" s="333"/>
      <c r="DI237" s="333"/>
      <c r="DJ237" s="333"/>
      <c r="DK237" s="333"/>
      <c r="DL237" s="333"/>
      <c r="DM237" s="333"/>
      <c r="DN237" s="333"/>
      <c r="DO237" s="333"/>
      <c r="DP237" s="333"/>
      <c r="DQ237" s="333"/>
      <c r="DR237" s="333"/>
      <c r="DS237" s="333"/>
      <c r="DT237" s="333"/>
      <c r="DU237" s="375"/>
      <c r="DV237" s="375"/>
      <c r="DW237" s="375"/>
      <c r="DX237" s="375"/>
      <c r="DY237" s="375"/>
      <c r="DZ237" s="375"/>
      <c r="EA237" s="375"/>
      <c r="EB237" s="375"/>
      <c r="EC237" s="375"/>
      <c r="ED237" s="375"/>
      <c r="EE237" s="375"/>
      <c r="EF237" s="375"/>
      <c r="EG237" s="375"/>
      <c r="EH237" s="375"/>
      <c r="EI237" s="375"/>
      <c r="EJ237" s="373"/>
      <c r="EK237" s="373"/>
      <c r="EL237" s="366"/>
      <c r="EM237" s="368"/>
      <c r="EN237" s="364"/>
      <c r="EO237" s="353">
        <f>+IF(EO235= 0, 0, GG233)</f>
        <v>0</v>
      </c>
      <c r="EP237" s="350"/>
      <c r="EQ237" s="344"/>
      <c r="ER237" s="523"/>
      <c r="ES237" s="921">
        <f>IF(ER237 = "", 0,
IF(AND(EP237 &gt; 0, EQ237 &gt;0), 0, IF(EO233 &lt;&gt; $Z$1,
IF(AND(EP237 &lt;&gt; "", EP237 &lt;&gt; 0), -(EP237 * ER237 * 100),
IF(AND(EQ237 &lt;&gt; "", EQ237 &lt;&gt; 0), (EQ237 * ER237 * 100), 0)),
IF(AND(EP237 &lt;&gt; "", EP237 &lt;&gt; 0), -(EP237 * ER237 * 1),
IF(AND(EQ237 &lt;&gt; "", EQ237 &lt;&gt; 0), (EQ237 * ER237 * 1), 0))  )))</f>
        <v>0</v>
      </c>
      <c r="ET237" s="922"/>
      <c r="EU237" s="924"/>
      <c r="EV237" s="921">
        <f>IF(ER237 = "", 0,
IF(AND(EP237 &gt; 0, EQ237 &gt;0), 0,  IF(EO233 &lt;&gt; $Z$1,
IF(AND(EP237 &lt;&gt; "", EP237 &lt;&gt; 0), -(EP237 * ER237 * 100 * (1 + COMIS_OPCION)),
IF(AND(EQ237 &lt;&gt; "", EQ237 &lt;&gt; 0), (EQ237 * ER237 * 100 * (1 - COMIS_OPCION)), 0)),
IF(AND(EP237 &lt;&gt; "", EP237 &lt;&gt; 0), -(EP237 * ER237 * 1 * (1 + COMIS_ACCION)),
IF(AND(EQ237 &lt;&gt; "", EQ237 &lt;&gt; 0), (EQ237 * ER237 * 1 * (1 - COMIS_ACCION)), 0))  )))</f>
        <v>0</v>
      </c>
      <c r="EW237" s="922"/>
      <c r="EX237" s="922"/>
      <c r="EY237" s="922"/>
      <c r="EZ237" s="922"/>
      <c r="FA237" s="922"/>
      <c r="FB237" s="922"/>
      <c r="FC237" s="922"/>
      <c r="FD237" s="923"/>
      <c r="FE237" s="340"/>
      <c r="FF237" s="340"/>
      <c r="FG237" s="365"/>
      <c r="FH237" s="365"/>
      <c r="FI237" s="349">
        <f>+IF(FI235= 0, 0, GQ233)</f>
        <v>0</v>
      </c>
      <c r="FJ237" s="348"/>
      <c r="FK237" s="345"/>
      <c r="FL237" s="346"/>
      <c r="FM237" s="937">
        <f>IF(FL237 = "", 0,
IF(AND(FJ237 &gt; 0, FK237 &gt;0), 0,
IF(AND(FJ237 &lt;&gt; "", FJ237 &lt;&gt; 0), -(FJ237 * FL237 * 100),
IF(AND(FK237 &lt;&gt; "", FK237 &lt;&gt; 0), (FK237 * FL237 * 100), 0)) ))</f>
        <v>0</v>
      </c>
      <c r="FN237" s="938"/>
      <c r="FO237" s="939"/>
      <c r="FP237" s="937">
        <f>IF(FL237 = "", 0,
IF(AND(FJ237 &gt; 0, FK237 &gt;0), 0,
IF(AND(FJ237 &lt;&gt; "", FJ237 &lt;&gt; 0), -(FJ237 * FL237 * 100 * (1 + COMIS_OPCION)),
IF(AND(FK237 &lt;&gt; "", FK237 &lt;&gt; 0), (FK237 * FL237 * 100 * (1 - COMIS_OPCION)), 0)) ))</f>
        <v>0</v>
      </c>
      <c r="FQ237" s="938"/>
      <c r="FR237" s="938"/>
      <c r="FS237" s="938"/>
      <c r="FT237" s="938"/>
      <c r="FU237" s="938"/>
      <c r="FV237" s="938"/>
      <c r="FW237" s="938"/>
      <c r="FX237" s="969"/>
      <c r="FY237" s="341"/>
      <c r="FZ237" s="341"/>
      <c r="GA237" s="341"/>
      <c r="GB237" s="495">
        <v>0</v>
      </c>
      <c r="GC237" s="495">
        <v>0</v>
      </c>
      <c r="GD237" s="500"/>
      <c r="GE237" s="495">
        <v>0</v>
      </c>
      <c r="GF237" s="495">
        <v>0</v>
      </c>
      <c r="GG237" s="495">
        <v>0</v>
      </c>
      <c r="GH237" s="359"/>
      <c r="GI237" s="359"/>
      <c r="GJ237" s="501"/>
      <c r="GK237" s="495">
        <v>0</v>
      </c>
      <c r="GL237" s="495">
        <v>0</v>
      </c>
      <c r="GM237" s="495">
        <v>0</v>
      </c>
      <c r="GN237" s="359"/>
      <c r="GO237" s="359"/>
      <c r="GP237" s="501"/>
      <c r="GQ237" s="495">
        <v>0</v>
      </c>
      <c r="GR237" s="375"/>
      <c r="GS237" s="333"/>
      <c r="GT237" s="333"/>
      <c r="GU237" s="333"/>
      <c r="GV237" s="333"/>
      <c r="GW237" s="333"/>
      <c r="GX237" s="333"/>
      <c r="GY237" s="333"/>
      <c r="GZ237" s="333"/>
      <c r="HA237" s="333"/>
      <c r="HB237" s="333"/>
      <c r="HC237" s="333"/>
      <c r="HD237" s="333"/>
      <c r="HE237" s="333"/>
      <c r="HF237" s="333"/>
      <c r="HG237" s="331"/>
      <c r="HH237" s="331"/>
      <c r="HI237" s="331"/>
      <c r="HJ237" s="331"/>
      <c r="HK237" s="331"/>
      <c r="HL237" s="331"/>
      <c r="HM237" s="331"/>
      <c r="HN237" s="333"/>
      <c r="HO237" s="333"/>
      <c r="HP237" s="333"/>
      <c r="HQ237" s="333"/>
      <c r="HR237" s="333"/>
      <c r="HS237" s="333"/>
      <c r="HT237" s="333"/>
      <c r="HU237" s="333"/>
      <c r="HV237" s="333"/>
      <c r="HW237" s="333"/>
      <c r="HX237" s="333"/>
      <c r="HY237" s="333"/>
      <c r="HZ237" s="333"/>
      <c r="IA237" s="333"/>
      <c r="IB237" s="333"/>
      <c r="IC237" s="333"/>
      <c r="ID237" s="55"/>
      <c r="IE237" s="47"/>
      <c r="IO237" s="51"/>
    </row>
    <row r="238" spans="13:249" s="142" customFormat="1" ht="15" customHeight="1" thickBot="1">
      <c r="M238" s="333"/>
      <c r="N238" s="333"/>
      <c r="O238" s="333"/>
      <c r="P238" s="333"/>
      <c r="Q238" s="333"/>
      <c r="R238" s="333"/>
      <c r="S238" s="333"/>
      <c r="T238" s="333"/>
      <c r="U238" s="333"/>
      <c r="V238" s="333"/>
      <c r="W238" s="333"/>
      <c r="X238" s="333"/>
      <c r="Y238" s="333"/>
      <c r="Z238" s="333"/>
      <c r="AA238" s="333"/>
      <c r="AB238" s="333"/>
      <c r="AC238" s="333"/>
      <c r="AD238" s="333"/>
      <c r="AE238" s="333"/>
      <c r="AF238" s="333"/>
      <c r="AG238" s="333"/>
      <c r="AH238" s="333"/>
      <c r="AI238" s="333"/>
      <c r="AJ238" s="333"/>
      <c r="AK238" s="333"/>
      <c r="AL238" s="333"/>
      <c r="AM238" s="333"/>
      <c r="AN238" s="333"/>
      <c r="AO238" s="333"/>
      <c r="AP238" s="333"/>
      <c r="AQ238" s="333"/>
      <c r="AR238" s="333"/>
      <c r="AS238" s="333"/>
      <c r="AT238" s="333"/>
      <c r="AU238" s="333"/>
      <c r="AV238" s="333"/>
      <c r="AW238" s="333"/>
      <c r="AX238" s="333"/>
      <c r="AY238" s="333"/>
      <c r="AZ238" s="333"/>
      <c r="BA238" s="333"/>
      <c r="BB238" s="333"/>
      <c r="BC238" s="333"/>
      <c r="BD238" s="333"/>
      <c r="BE238" s="333"/>
      <c r="BF238" s="333"/>
      <c r="BG238" s="333"/>
      <c r="BH238" s="333"/>
      <c r="BI238" s="333"/>
      <c r="BJ238" s="333"/>
      <c r="BK238" s="333"/>
      <c r="BL238" s="333"/>
      <c r="BM238" s="333"/>
      <c r="BN238" s="333"/>
      <c r="BO238" s="333"/>
      <c r="BP238" s="333"/>
      <c r="BQ238" s="333"/>
      <c r="BR238" s="333"/>
      <c r="BS238" s="333"/>
      <c r="BT238" s="333"/>
      <c r="BU238" s="333"/>
      <c r="BV238" s="333"/>
      <c r="BW238" s="333"/>
      <c r="BX238" s="333"/>
      <c r="BY238" s="333"/>
      <c r="BZ238" s="333"/>
      <c r="CA238" s="333"/>
      <c r="CB238" s="333"/>
      <c r="CC238" s="333"/>
      <c r="CD238" s="333"/>
      <c r="CE238" s="333"/>
      <c r="CF238" s="333"/>
      <c r="CG238" s="333"/>
      <c r="CH238" s="333"/>
      <c r="CI238" s="333"/>
      <c r="CJ238" s="333"/>
      <c r="CK238" s="333"/>
      <c r="CL238" s="333"/>
      <c r="CM238" s="333"/>
      <c r="CN238" s="333"/>
      <c r="CO238" s="333"/>
      <c r="CP238" s="333"/>
      <c r="CQ238" s="333"/>
      <c r="CR238" s="333"/>
      <c r="CS238" s="333"/>
      <c r="CT238" s="333"/>
      <c r="CU238" s="333"/>
      <c r="CV238" s="333"/>
      <c r="CW238" s="333"/>
      <c r="CX238" s="333"/>
      <c r="CY238" s="333"/>
      <c r="CZ238" s="333"/>
      <c r="DA238" s="333"/>
      <c r="DB238" s="333"/>
      <c r="DC238" s="333"/>
      <c r="DD238" s="333"/>
      <c r="DE238" s="333"/>
      <c r="DF238" s="333"/>
      <c r="DG238" s="333"/>
      <c r="DH238" s="333"/>
      <c r="DI238" s="333"/>
      <c r="DJ238" s="333"/>
      <c r="DK238" s="333"/>
      <c r="DL238" s="333"/>
      <c r="DM238" s="333"/>
      <c r="DN238" s="333"/>
      <c r="DO238" s="333"/>
      <c r="DP238" s="333"/>
      <c r="DQ238" s="333"/>
      <c r="DR238" s="333"/>
      <c r="DS238" s="333"/>
      <c r="DT238" s="333"/>
      <c r="DU238" s="375"/>
      <c r="DV238" s="375"/>
      <c r="DW238" s="375"/>
      <c r="DX238" s="375"/>
      <c r="DY238" s="375"/>
      <c r="DZ238" s="375"/>
      <c r="EA238" s="375"/>
      <c r="EB238" s="375"/>
      <c r="EC238" s="375"/>
      <c r="ED238" s="375"/>
      <c r="EE238" s="375"/>
      <c r="EF238" s="375"/>
      <c r="EG238" s="375"/>
      <c r="EH238" s="375"/>
      <c r="EI238" s="375"/>
      <c r="EJ238" s="373"/>
      <c r="EK238" s="373"/>
      <c r="EL238" s="366"/>
      <c r="EM238" s="369"/>
      <c r="EN238" s="364"/>
      <c r="EO238" s="363"/>
      <c r="EP238" s="340"/>
      <c r="EQ238" s="340"/>
      <c r="ER238" s="340"/>
      <c r="ES238" s="363"/>
      <c r="ET238" s="363"/>
      <c r="EU238" s="340"/>
      <c r="EV238" s="340"/>
      <c r="EW238" s="340"/>
      <c r="EX238" s="340"/>
      <c r="EY238" s="340"/>
      <c r="EZ238" s="340"/>
      <c r="FA238" s="340"/>
      <c r="FB238" s="402"/>
      <c r="FC238" s="402"/>
      <c r="FD238" s="340"/>
      <c r="FE238" s="340"/>
      <c r="FF238" s="340"/>
      <c r="FG238" s="364"/>
      <c r="FH238" s="364"/>
      <c r="FI238" s="363"/>
      <c r="FJ238" s="360"/>
      <c r="FK238" s="360"/>
      <c r="FL238" s="340"/>
      <c r="FM238" s="967"/>
      <c r="FN238" s="967"/>
      <c r="FO238" s="967"/>
      <c r="FP238" s="968"/>
      <c r="FQ238" s="968"/>
      <c r="FR238" s="968"/>
      <c r="FS238" s="968"/>
      <c r="FT238" s="968"/>
      <c r="FU238" s="968"/>
      <c r="FV238" s="968"/>
      <c r="FW238" s="968"/>
      <c r="FX238" s="968"/>
      <c r="FY238" s="341"/>
      <c r="FZ238" s="341"/>
      <c r="GA238" s="341"/>
      <c r="GB238" s="495">
        <v>0</v>
      </c>
      <c r="GC238" s="495">
        <v>0</v>
      </c>
      <c r="GD238" s="500"/>
      <c r="GE238" s="495">
        <v>0</v>
      </c>
      <c r="GF238" s="495">
        <v>0</v>
      </c>
      <c r="GG238" s="495">
        <v>0</v>
      </c>
      <c r="GH238" s="359"/>
      <c r="GI238" s="359"/>
      <c r="GJ238" s="501"/>
      <c r="GK238" s="495">
        <v>0</v>
      </c>
      <c r="GL238" s="495">
        <v>0</v>
      </c>
      <c r="GM238" s="495">
        <v>0</v>
      </c>
      <c r="GN238" s="359"/>
      <c r="GO238" s="359"/>
      <c r="GP238" s="501"/>
      <c r="GQ238" s="495">
        <v>0</v>
      </c>
      <c r="GR238" s="375"/>
      <c r="GS238" s="333"/>
      <c r="GT238" s="333"/>
      <c r="GU238" s="333"/>
      <c r="GV238" s="333"/>
      <c r="GW238" s="333"/>
      <c r="GX238" s="333"/>
      <c r="GY238" s="333"/>
      <c r="GZ238" s="333"/>
      <c r="HA238" s="333"/>
      <c r="HB238" s="333"/>
      <c r="HC238" s="333"/>
      <c r="HD238" s="333"/>
      <c r="HE238" s="333"/>
      <c r="HF238" s="333"/>
      <c r="HG238" s="331"/>
      <c r="HH238" s="331"/>
      <c r="HI238" s="331"/>
      <c r="HJ238" s="331"/>
      <c r="HK238" s="331"/>
      <c r="HL238" s="331"/>
      <c r="HM238" s="331"/>
      <c r="HN238" s="333"/>
      <c r="HO238" s="333"/>
      <c r="HP238" s="333"/>
      <c r="HQ238" s="333"/>
      <c r="HR238" s="333"/>
      <c r="HS238" s="333"/>
      <c r="HT238" s="333"/>
      <c r="HU238" s="333"/>
      <c r="HV238" s="333"/>
      <c r="HW238" s="333"/>
      <c r="HX238" s="333"/>
      <c r="HY238" s="333"/>
      <c r="HZ238" s="333"/>
      <c r="IA238" s="333"/>
      <c r="IB238" s="333"/>
      <c r="IC238" s="333"/>
      <c r="ID238" s="55"/>
      <c r="IE238" s="47"/>
      <c r="IO238" s="51"/>
    </row>
    <row r="239" spans="13:249" s="142" customFormat="1" ht="15" customHeight="1">
      <c r="M239" s="333"/>
      <c r="N239" s="333"/>
      <c r="O239" s="333"/>
      <c r="P239" s="333"/>
      <c r="Q239" s="333"/>
      <c r="R239" s="333"/>
      <c r="S239" s="333"/>
      <c r="T239" s="333"/>
      <c r="U239" s="333"/>
      <c r="V239" s="333"/>
      <c r="W239" s="333"/>
      <c r="X239" s="333"/>
      <c r="Y239" s="333"/>
      <c r="Z239" s="333"/>
      <c r="AA239" s="333"/>
      <c r="AB239" s="333"/>
      <c r="AC239" s="333"/>
      <c r="AD239" s="333"/>
      <c r="AE239" s="333"/>
      <c r="AF239" s="333"/>
      <c r="AG239" s="333"/>
      <c r="AH239" s="333"/>
      <c r="AI239" s="333"/>
      <c r="AJ239" s="333"/>
      <c r="AK239" s="333"/>
      <c r="AL239" s="333"/>
      <c r="AM239" s="333"/>
      <c r="AN239" s="333"/>
      <c r="AO239" s="333"/>
      <c r="AP239" s="333"/>
      <c r="AQ239" s="333"/>
      <c r="AR239" s="333"/>
      <c r="AS239" s="333"/>
      <c r="AT239" s="333"/>
      <c r="AU239" s="333"/>
      <c r="AV239" s="333"/>
      <c r="AW239" s="333"/>
      <c r="AX239" s="333"/>
      <c r="AY239" s="333"/>
      <c r="AZ239" s="333"/>
      <c r="BA239" s="333"/>
      <c r="BB239" s="333"/>
      <c r="BC239" s="333"/>
      <c r="BD239" s="333"/>
      <c r="BE239" s="333"/>
      <c r="BF239" s="333"/>
      <c r="BG239" s="333"/>
      <c r="BH239" s="333"/>
      <c r="BI239" s="333"/>
      <c r="BJ239" s="333"/>
      <c r="BK239" s="333"/>
      <c r="BL239" s="333"/>
      <c r="BM239" s="333"/>
      <c r="BN239" s="333"/>
      <c r="BO239" s="333"/>
      <c r="BP239" s="333"/>
      <c r="BQ239" s="333"/>
      <c r="BR239" s="333"/>
      <c r="BS239" s="333"/>
      <c r="BT239" s="333"/>
      <c r="BU239" s="333"/>
      <c r="BV239" s="333"/>
      <c r="BW239" s="333"/>
      <c r="BX239" s="333"/>
      <c r="BY239" s="333"/>
      <c r="BZ239" s="333"/>
      <c r="CA239" s="333"/>
      <c r="CB239" s="333"/>
      <c r="CC239" s="333"/>
      <c r="CD239" s="333"/>
      <c r="CE239" s="333"/>
      <c r="CF239" s="333"/>
      <c r="CG239" s="333"/>
      <c r="CH239" s="333"/>
      <c r="CI239" s="333"/>
      <c r="CJ239" s="333"/>
      <c r="CK239" s="333"/>
      <c r="CL239" s="333"/>
      <c r="CM239" s="333"/>
      <c r="CN239" s="333"/>
      <c r="CO239" s="333"/>
      <c r="CP239" s="333"/>
      <c r="CQ239" s="333"/>
      <c r="CR239" s="333"/>
      <c r="CS239" s="333"/>
      <c r="CT239" s="333"/>
      <c r="CU239" s="333"/>
      <c r="CV239" s="333"/>
      <c r="CW239" s="333"/>
      <c r="CX239" s="333"/>
      <c r="CY239" s="333"/>
      <c r="CZ239" s="333"/>
      <c r="DA239" s="333"/>
      <c r="DB239" s="333"/>
      <c r="DC239" s="333"/>
      <c r="DD239" s="333"/>
      <c r="DE239" s="333"/>
      <c r="DF239" s="333"/>
      <c r="DG239" s="333"/>
      <c r="DH239" s="333"/>
      <c r="DI239" s="333"/>
      <c r="DJ239" s="333"/>
      <c r="DK239" s="333"/>
      <c r="DL239" s="333"/>
      <c r="DM239" s="333"/>
      <c r="DN239" s="333"/>
      <c r="DO239" s="333"/>
      <c r="DP239" s="333"/>
      <c r="DQ239" s="333"/>
      <c r="DR239" s="333"/>
      <c r="DS239" s="333"/>
      <c r="DT239" s="333"/>
      <c r="DU239" s="375"/>
      <c r="DV239" s="375"/>
      <c r="DW239" s="375"/>
      <c r="DX239" s="375"/>
      <c r="DY239" s="375"/>
      <c r="DZ239" s="375"/>
      <c r="EA239" s="375"/>
      <c r="EB239" s="375"/>
      <c r="EC239" s="375"/>
      <c r="ED239" s="375"/>
      <c r="EE239" s="375"/>
      <c r="EF239" s="375"/>
      <c r="EG239" s="375"/>
      <c r="EH239" s="375"/>
      <c r="EI239" s="375"/>
      <c r="EJ239" s="373"/>
      <c r="EK239" s="373"/>
      <c r="EL239" s="366"/>
      <c r="EM239" s="366"/>
      <c r="EN239" s="364">
        <f>+EN233+1</f>
        <v>32</v>
      </c>
      <c r="EO239" s="356" t="str">
        <f>+VLOOKUP(EN239, PRECIOS_EJERCICIOS,  2,FALSE)</f>
        <v/>
      </c>
      <c r="EP239" s="513" t="str">
        <f>+IF($AQ$49 = FALSE, "",
IF(VLOOKUP(EO239, basesCantPrimaBrutoRes, 2,FALSE) &gt;= 0, VLOOKUP(EO239, basesCantPrimaBrutoRes, 2,FALSE), 0))</f>
        <v/>
      </c>
      <c r="EQ239" s="514" t="str">
        <f>+IF($AQ$49 = FALSE, "",
IF(VLOOKUP(EO239, basesCantPrimaBrutoRes, 2,FALSE) &lt; 0, -VLOOKUP(EO239, basesCantPrimaBrutoRes, 2,FALSE), 0))</f>
        <v/>
      </c>
      <c r="ER239" s="521" t="str">
        <f>IF($AQ$49 = FALSE, "",
VLOOKUP(EO239, basesCantPrimaBrutoRes, 4,FALSE))</f>
        <v/>
      </c>
      <c r="ES239" s="926">
        <f>IF(ER239 = "", 0,
IF(AND(EP239 &gt; 0, EQ239 &gt;0), 0, IF(EO239 &lt;&gt; $Z$1,
IF(AND(EP239 &lt;&gt; "", EP239 &lt;&gt; 0), -(EP239 * ER239 * 100),
IF(AND(EQ239 &lt;&gt; "", EQ239 &lt;&gt; 0), (EQ239 * ER239 * 100), 0)),
IF(AND(EP239 &lt;&gt; "", EP239 &lt;&gt; 0), -(EP239 * ER239 * 1),
IF(AND(EQ239 &lt;&gt; "", EQ239 &lt;&gt; 0), (EQ239 * ER239 * 1), 0))  )))</f>
        <v>0</v>
      </c>
      <c r="ET239" s="927"/>
      <c r="EU239" s="928"/>
      <c r="EV239" s="926">
        <f>IF(ER239 = "", 0,
IF(AND(EP239 &gt; 0, EQ239 &gt;0), 0,  IF(EO239 &lt;&gt; $Z$1,
IF(AND(EP239 &lt;&gt; "", EP239 &lt;&gt; 0), -(EP239 * ER239 * 100 * (1 + COMIS_OPCION)),
IF(AND(EQ239 &lt;&gt; "", EQ239 &lt;&gt; 0), (EQ239 * ER239 * 100 * (1 - COMIS_OPCION)), 0)),
IF(AND(EP239 &lt;&gt; "", EP239 &lt;&gt; 0), -(EP239 * ER239 * 1 * (1 + COMIS_ACCION)),
IF(AND(EQ239 &lt;&gt; "", EQ239 &lt;&gt; 0), (EQ239 * ER239 * 1 * (1 - COMIS_ACCION)), 0))  )))</f>
        <v>0</v>
      </c>
      <c r="EW239" s="927"/>
      <c r="EX239" s="927"/>
      <c r="EY239" s="927"/>
      <c r="EZ239" s="927"/>
      <c r="FA239" s="927"/>
      <c r="FB239" s="927"/>
      <c r="FC239" s="927"/>
      <c r="FD239" s="929"/>
      <c r="FE239" s="340"/>
      <c r="FF239" s="340"/>
      <c r="FG239" s="364"/>
      <c r="FH239" s="364">
        <f>+FH233+1</f>
        <v>32</v>
      </c>
      <c r="FI239" s="357" t="str">
        <f>+VLOOKUP(FH239, PRECIOS_EJERCICIOS,  2,FALSE)</f>
        <v/>
      </c>
      <c r="FJ239" s="515" t="str">
        <f>+IF($AQ$49 = FALSE, "",
IF(VLOOKUP(EO239, basesCantPrimaBrutoRes, 5,FALSE) &gt;= 0, VLOOKUP(EO239, basesCantPrimaBrutoRes, 5,FALSE), 0))</f>
        <v/>
      </c>
      <c r="FK239" s="516" t="str">
        <f>+IF($AQ$49 = FALSE, "",
IF(VLOOKUP(EO239, basesCantPrimaBrutoRes, 5,FALSE) &lt; 0, -VLOOKUP(EO239, basesCantPrimaBrutoRes, 5,FALSE), 0))</f>
        <v/>
      </c>
      <c r="FL239" s="517" t="str">
        <f>IF($AQ$49 = FALSE, "",
VLOOKUP(EO239, basesCantPrimaBrutoRes, 7,FALSE))</f>
        <v/>
      </c>
      <c r="FM239" s="934">
        <f>IF(FL239 = "", 0,
IF(AND(FJ239 &gt; 0, FK239 &gt;0), 0,
IF(AND(FJ239 &lt;&gt; "", FJ239 &lt;&gt; 0), -(FJ239 * FL239 * 100),
IF(AND(FK239 &lt;&gt; "", FK239 &lt;&gt; 0), (FK239 * FL239 * 100), 0)) ))</f>
        <v>0</v>
      </c>
      <c r="FN239" s="935"/>
      <c r="FO239" s="936"/>
      <c r="FP239" s="934">
        <f>IF(FL239 = "", 0,
IF(AND(FJ239 &gt; 0, FK239 &gt;0), 0,
IF(AND(FJ239 &lt;&gt; "", FJ239 &lt;&gt; 0), -(FJ239 * FL239 * 100 * (1 + COMIS_OPCION)),
IF(AND(FK239 &lt;&gt; "", FK239 &lt;&gt; 0), (FK239 * FL239 * 100 * (1 - COMIS_OPCION)), 0)) ))</f>
        <v>0</v>
      </c>
      <c r="FQ239" s="935"/>
      <c r="FR239" s="935"/>
      <c r="FS239" s="935"/>
      <c r="FT239" s="935"/>
      <c r="FU239" s="935"/>
      <c r="FV239" s="935"/>
      <c r="FW239" s="935"/>
      <c r="FX239" s="966"/>
      <c r="FY239" s="341"/>
      <c r="FZ239" s="341"/>
      <c r="GA239" s="341"/>
      <c r="GB239" s="495" t="str">
        <f>+IF(EN239 = "", "", EO239)</f>
        <v/>
      </c>
      <c r="GC239" s="495" t="str">
        <f>+IF(GB239="", "", IF(EO239 = $Z$1, "ACCION", "CALL"))</f>
        <v/>
      </c>
      <c r="GD239" s="500"/>
      <c r="GE239" s="495" t="str">
        <f>+IF(GB239= "", "", EO241)</f>
        <v/>
      </c>
      <c r="GF239" s="495" t="str">
        <f>+IF(GB239 = "", "", IFERROR(IF(GB239 &lt;&gt; $Z$1,
IF(GE239 &gt; 0, SUMIFS(ES239:ES243, EP239:EP243, "&gt;0", ES239:ES243, "&lt;&gt;0") / SUMIFS(EP239:EP243, EP239:EP243, "&gt;0", ES239:ES243, "&lt;&gt;0") / -100,
IF(GE239 &lt; 0, SUMIFS(ES239:ES243, EQ239:EQ243, "&gt;0", ES239:ES243, "&lt;&gt;0") / SUMIFS(EQ239:EQ243, EQ239:EQ243, "&gt;0", ES239:ES243, "&lt;&gt;0") / 100, 0)),
IF(GE239 &gt; 0, SUMIFS(ES239:ES243, EP239:EP243, "&gt;0", ES239:ES243, "&lt;&gt;0") / SUMIFS(EP239:EP243, EP239:EP243, "&gt;0", ES239:ES243, "&lt;&gt;0") / -1,
IF(GE239 &lt; 0, SUMIFS(ES239:ES243, EQ239:EQ243, "&gt;0", ES239:ES243, "&lt;&gt;0") / SUMIFS(EQ239:EQ243, EQ239:EQ243, "&gt;0", ES239:ES243, "&lt;&gt;0") / 1, 0)) ), 0))</f>
        <v/>
      </c>
      <c r="GG239" s="495" t="str">
        <f>+IF(GB239 = "", "", IFERROR(IF(GB239 &lt;&gt; $Z$1,
IF(GE239 &gt; 0, SUMIFS(EV239:EV243, EP239:EP243, "&gt;0", EV239:EV243, "&lt;&gt;0") / SUMIFS(EP239:EP243, EP239:EP243, "&gt;0", EV239:EV243, "&lt;&gt;0") / -100,
IF(GE239 &lt; 0, SUMIFS(EV239:EV243, EQ239:EQ243, "&gt;0", EV239:EV243, "&lt;&gt;0") / SUMIFS(EQ239:EQ243, EQ239:EQ243, "&gt;0", EV239:EV243, "&lt;&gt;0") / 100, 0)),
IF(GE239 &gt; 0, SUMIFS(EV239:EV243, EP239:EP243, "&gt;0", EV239:EV243, "&lt;&gt;0") / SUMIFS(EP239:EP243, EP239:EP243, "&gt;0", EV239:EV243, "&lt;&gt;0") / -1,
IF(GE239 &lt; 0, SUMIFS(EV239:EV243, EQ239:EQ243, "&gt;0", EV239:EV243, "&lt;&gt;0") / SUMIFS(EQ239:EQ243, EQ239:EQ243, "&gt;0", EV239:EV243, "&lt;&gt;0") / 1, 0)) ), 0))</f>
        <v/>
      </c>
      <c r="GH239" s="359"/>
      <c r="GI239" s="359"/>
      <c r="GJ239" s="501"/>
      <c r="GK239" s="495" t="str">
        <f>+IF(GB239="", "", "PUT")</f>
        <v/>
      </c>
      <c r="GL239" s="495" t="str">
        <f>+IF(GB239 = "", "", FI241)</f>
        <v/>
      </c>
      <c r="GM239" s="495" t="str">
        <f>+IF(GB239 = "", "", IFERROR(
IF(FI241 &gt; 0, SUMIFS(FM239:FM243, FJ239:FJ243, "&gt;0", FM239:FM243, "&lt;&gt;0") / SUMIFS(FJ239:FJ243, FJ239:FJ243, "&gt;0", FM239:FM243, "&lt;&gt;0") / -100,
IF(FI241 &lt; 0, SUMIFS(FM239:FM243, FK239:FK243, "&gt;0", FM239:FM243, "&lt;&gt;0") / SUMIFS(FK239:FK243, FK239:FK243, "&gt;0", FM239:FM243, "&lt;&gt;0") / 100, 0)), 0) )</f>
        <v/>
      </c>
      <c r="GN239" s="359"/>
      <c r="GO239" s="359"/>
      <c r="GP239" s="501"/>
      <c r="GQ239" s="502" t="str">
        <f>+IF(GB239 = "", "", IFERROR(
IF(FI241 &gt; 0, SUMIFS(FP239:FP243, FJ239:FJ243, "&gt;0", FP239:FP243, "&lt;&gt;0") / SUMIFS(FJ239:FJ243, FJ239:FJ243, "&gt;0", FP239:FP243, "&lt;&gt;0") / -100,
IF(FI241 &lt; 0, SUMIFS(FP239:FP243, FK239:FK243, "&gt;0", FP239:FP243, "&lt;&gt;0") / SUMIFS(FK239:FK243, FK239:FK243, "&gt;0", FP239:FP243, "&lt;&gt;0") / 100, 0)), 0))</f>
        <v/>
      </c>
      <c r="GR239" s="375"/>
      <c r="GS239" s="333"/>
      <c r="GT239" s="333"/>
      <c r="GU239" s="333"/>
      <c r="GV239" s="333"/>
      <c r="GW239" s="333"/>
      <c r="GX239" s="333"/>
      <c r="GY239" s="333"/>
      <c r="GZ239" s="333"/>
      <c r="HA239" s="333"/>
      <c r="HB239" s="333"/>
      <c r="HC239" s="333"/>
      <c r="HD239" s="333"/>
      <c r="HE239" s="333"/>
      <c r="HF239" s="333"/>
      <c r="HG239" s="331"/>
      <c r="HH239" s="331"/>
      <c r="HI239" s="331"/>
      <c r="HJ239" s="331"/>
      <c r="HK239" s="331"/>
      <c r="HL239" s="331"/>
      <c r="HM239" s="331"/>
      <c r="HN239" s="333"/>
      <c r="HO239" s="333"/>
      <c r="HP239" s="333"/>
      <c r="HQ239" s="333"/>
      <c r="HR239" s="333"/>
      <c r="HS239" s="333"/>
      <c r="HT239" s="333"/>
      <c r="HU239" s="333"/>
      <c r="HV239" s="333"/>
      <c r="HW239" s="333"/>
      <c r="HX239" s="333"/>
      <c r="HY239" s="333"/>
      <c r="HZ239" s="333"/>
      <c r="IA239" s="333"/>
      <c r="IB239" s="333"/>
      <c r="IC239" s="333"/>
      <c r="ID239" s="55"/>
      <c r="IE239" s="47"/>
      <c r="IO239" s="51"/>
    </row>
    <row r="240" spans="13:249" s="142" customFormat="1" ht="15" customHeight="1">
      <c r="M240" s="333"/>
      <c r="N240" s="333"/>
      <c r="O240" s="333"/>
      <c r="P240" s="333"/>
      <c r="Q240" s="333"/>
      <c r="R240" s="333"/>
      <c r="S240" s="333"/>
      <c r="T240" s="333"/>
      <c r="U240" s="333"/>
      <c r="V240" s="333"/>
      <c r="W240" s="333"/>
      <c r="X240" s="333"/>
      <c r="Y240" s="333"/>
      <c r="Z240" s="333"/>
      <c r="AA240" s="333"/>
      <c r="AB240" s="333"/>
      <c r="AC240" s="333"/>
      <c r="AD240" s="333"/>
      <c r="AE240" s="333"/>
      <c r="AF240" s="333"/>
      <c r="AG240" s="333"/>
      <c r="AH240" s="333"/>
      <c r="AI240" s="333"/>
      <c r="AJ240" s="333"/>
      <c r="AK240" s="333"/>
      <c r="AL240" s="333"/>
      <c r="AM240" s="333"/>
      <c r="AN240" s="333"/>
      <c r="AO240" s="333"/>
      <c r="AP240" s="333"/>
      <c r="AQ240" s="333"/>
      <c r="AR240" s="333"/>
      <c r="AS240" s="333"/>
      <c r="AT240" s="333"/>
      <c r="AU240" s="333"/>
      <c r="AV240" s="333"/>
      <c r="AW240" s="333"/>
      <c r="AX240" s="333"/>
      <c r="AY240" s="333"/>
      <c r="AZ240" s="333"/>
      <c r="BA240" s="333"/>
      <c r="BB240" s="333"/>
      <c r="BC240" s="333"/>
      <c r="BD240" s="333"/>
      <c r="BE240" s="333"/>
      <c r="BF240" s="333"/>
      <c r="BG240" s="333"/>
      <c r="BH240" s="333"/>
      <c r="BI240" s="333"/>
      <c r="BJ240" s="333"/>
      <c r="BK240" s="333"/>
      <c r="BL240" s="333"/>
      <c r="BM240" s="333"/>
      <c r="BN240" s="333"/>
      <c r="BO240" s="333"/>
      <c r="BP240" s="333"/>
      <c r="BQ240" s="333"/>
      <c r="BR240" s="333"/>
      <c r="BS240" s="333"/>
      <c r="BT240" s="333"/>
      <c r="BU240" s="333"/>
      <c r="BV240" s="333"/>
      <c r="BW240" s="333"/>
      <c r="BX240" s="333"/>
      <c r="BY240" s="333"/>
      <c r="BZ240" s="333"/>
      <c r="CA240" s="333"/>
      <c r="CB240" s="333"/>
      <c r="CC240" s="333"/>
      <c r="CD240" s="333"/>
      <c r="CE240" s="333"/>
      <c r="CF240" s="333"/>
      <c r="CG240" s="333"/>
      <c r="CH240" s="333"/>
      <c r="CI240" s="333"/>
      <c r="CJ240" s="333"/>
      <c r="CK240" s="333"/>
      <c r="CL240" s="333"/>
      <c r="CM240" s="333"/>
      <c r="CN240" s="333"/>
      <c r="CO240" s="333"/>
      <c r="CP240" s="333"/>
      <c r="CQ240" s="333"/>
      <c r="CR240" s="333"/>
      <c r="CS240" s="333"/>
      <c r="CT240" s="333"/>
      <c r="CU240" s="333"/>
      <c r="CV240" s="333"/>
      <c r="CW240" s="333"/>
      <c r="CX240" s="333"/>
      <c r="CY240" s="333"/>
      <c r="CZ240" s="333"/>
      <c r="DA240" s="333"/>
      <c r="DB240" s="333"/>
      <c r="DC240" s="333"/>
      <c r="DD240" s="333"/>
      <c r="DE240" s="333"/>
      <c r="DF240" s="333"/>
      <c r="DG240" s="333"/>
      <c r="DH240" s="333"/>
      <c r="DI240" s="333"/>
      <c r="DJ240" s="333"/>
      <c r="DK240" s="333"/>
      <c r="DL240" s="333"/>
      <c r="DM240" s="333"/>
      <c r="DN240" s="333"/>
      <c r="DO240" s="333"/>
      <c r="DP240" s="333"/>
      <c r="DQ240" s="333"/>
      <c r="DR240" s="333"/>
      <c r="DS240" s="333"/>
      <c r="DT240" s="333"/>
      <c r="DU240" s="375"/>
      <c r="DV240" s="375"/>
      <c r="DW240" s="375"/>
      <c r="DX240" s="375"/>
      <c r="DY240" s="375"/>
      <c r="DZ240" s="375"/>
      <c r="EA240" s="375"/>
      <c r="EB240" s="375"/>
      <c r="EC240" s="375"/>
      <c r="ED240" s="375"/>
      <c r="EE240" s="375"/>
      <c r="EF240" s="375"/>
      <c r="EG240" s="375"/>
      <c r="EH240" s="375"/>
      <c r="EI240" s="375"/>
      <c r="EJ240" s="373"/>
      <c r="EK240" s="373"/>
      <c r="EL240" s="366"/>
      <c r="EM240" s="366"/>
      <c r="EN240" s="364"/>
      <c r="EO240" s="351"/>
      <c r="EP240" s="347"/>
      <c r="EQ240" s="342"/>
      <c r="ER240" s="522"/>
      <c r="ES240" s="916">
        <f>IF(ER240 = "", 0,
IF(AND(EP240 &gt; 0, EQ240 &gt;0), 0, IF(EO239 &lt;&gt; $Z$1,
IF(AND(EP240 &lt;&gt; "", EP240 &lt;&gt; 0), -(EP240 * ER240 * 100),
IF(AND(EQ240 &lt;&gt; "", EQ240 &lt;&gt; 0), (EQ240 * ER240 * 100), 0)),
IF(AND(EP240 &lt;&gt; "", EP240 &lt;&gt; 0), -(EP240 * ER240 * 1),
IF(AND(EQ240 &lt;&gt; "", EQ240 &lt;&gt; 0), (EQ240 * ER240 * 1), 0))  )))</f>
        <v>0</v>
      </c>
      <c r="ET240" s="917"/>
      <c r="EU240" s="918"/>
      <c r="EV240" s="916">
        <f>IF(ER240 = "", 0,
IF(AND(EP240 &gt; 0, EQ240 &gt;0), 0,  IF(EO239 &lt;&gt; $Z$1,
IF(AND(EP240 &lt;&gt; "", EP240 &lt;&gt; 0), -(EP240 * ER240 * 100 * (1 + COMIS_OPCION)),
IF(AND(EQ240 &lt;&gt; "", EQ240 &lt;&gt; 0), (EQ240 * ER240 * 100 * (1 - COMIS_OPCION)), 0)),
IF(AND(EP240 &lt;&gt; "", EP240 &lt;&gt; 0), -(EP240 * ER240 * 1 * (1 + COMIS_ACCION)),
IF(AND(EQ240 &lt;&gt; "", EQ240 &lt;&gt; 0), (EQ240 * ER240 * 1 * (1 - COMIS_ACCION)), 0))  )))</f>
        <v>0</v>
      </c>
      <c r="EW240" s="917"/>
      <c r="EX240" s="917"/>
      <c r="EY240" s="917"/>
      <c r="EZ240" s="917"/>
      <c r="FA240" s="917"/>
      <c r="FB240" s="917"/>
      <c r="FC240" s="917"/>
      <c r="FD240" s="925"/>
      <c r="FE240" s="340"/>
      <c r="FF240" s="340"/>
      <c r="FG240" s="364"/>
      <c r="FH240" s="364"/>
      <c r="FI240" s="339"/>
      <c r="FJ240" s="347"/>
      <c r="FK240" s="342"/>
      <c r="FL240" s="343"/>
      <c r="FM240" s="930">
        <f>IF(FL240 = "", 0,
IF(AND(FJ240 &gt; 0, FK240 &gt;0), 0,
IF(AND(FJ240 &lt;&gt; "", FJ240 &lt;&gt; 0), -(FJ240 * FL240 * 100),
IF(AND(FK240 &lt;&gt; "", FK240 &lt;&gt; 0), (FK240 * FL240 * 100), 0)) ))</f>
        <v>0</v>
      </c>
      <c r="FN240" s="931"/>
      <c r="FO240" s="932"/>
      <c r="FP240" s="930">
        <f>IF(FL240 = "", 0,
IF(AND(FJ240 &gt; 0, FK240 &gt;0), 0,
IF(AND(FJ240 &lt;&gt; "", FJ240 &lt;&gt; 0), -(FJ240 * FL240 * 100 * (1 + COMIS_OPCION)),
IF(AND(FK240 &lt;&gt; "", FK240 &lt;&gt; 0), (FK240 * FL240 * 100 * (1 - COMIS_OPCION)), 0)) ))</f>
        <v>0</v>
      </c>
      <c r="FQ240" s="931"/>
      <c r="FR240" s="931"/>
      <c r="FS240" s="931"/>
      <c r="FT240" s="931"/>
      <c r="FU240" s="931"/>
      <c r="FV240" s="931"/>
      <c r="FW240" s="931"/>
      <c r="FX240" s="933"/>
      <c r="FY240" s="341"/>
      <c r="FZ240" s="341"/>
      <c r="GA240" s="341"/>
      <c r="GB240" s="495">
        <v>0</v>
      </c>
      <c r="GC240" s="495">
        <v>0</v>
      </c>
      <c r="GD240" s="500"/>
      <c r="GE240" s="495">
        <v>0</v>
      </c>
      <c r="GF240" s="495">
        <v>0</v>
      </c>
      <c r="GG240" s="495">
        <v>0</v>
      </c>
      <c r="GH240" s="359"/>
      <c r="GI240" s="359"/>
      <c r="GJ240" s="501"/>
      <c r="GK240" s="495">
        <v>0</v>
      </c>
      <c r="GL240" s="495">
        <v>0</v>
      </c>
      <c r="GM240" s="495">
        <v>0</v>
      </c>
      <c r="GN240" s="359"/>
      <c r="GO240" s="359"/>
      <c r="GP240" s="501"/>
      <c r="GQ240" s="495">
        <v>0</v>
      </c>
      <c r="GR240" s="375"/>
      <c r="GS240" s="333"/>
      <c r="GT240" s="333"/>
      <c r="GU240" s="333"/>
      <c r="GV240" s="333"/>
      <c r="GW240" s="333"/>
      <c r="GX240" s="333"/>
      <c r="GY240" s="333"/>
      <c r="GZ240" s="333"/>
      <c r="HA240" s="333"/>
      <c r="HB240" s="333"/>
      <c r="HC240" s="333"/>
      <c r="HD240" s="333"/>
      <c r="HE240" s="333"/>
      <c r="HF240" s="333"/>
      <c r="HG240" s="331"/>
      <c r="HH240" s="331"/>
      <c r="HI240" s="331"/>
      <c r="HJ240" s="331"/>
      <c r="HK240" s="331"/>
      <c r="HL240" s="331"/>
      <c r="HM240" s="331"/>
      <c r="HN240" s="333"/>
      <c r="HO240" s="333"/>
      <c r="HP240" s="333"/>
      <c r="HQ240" s="333"/>
      <c r="HR240" s="333"/>
      <c r="HS240" s="333"/>
      <c r="HT240" s="333"/>
      <c r="HU240" s="333"/>
      <c r="HV240" s="333"/>
      <c r="HW240" s="333"/>
      <c r="HX240" s="333"/>
      <c r="HY240" s="333"/>
      <c r="HZ240" s="333"/>
      <c r="IA240" s="333"/>
      <c r="IB240" s="333"/>
      <c r="IC240" s="333"/>
      <c r="ID240" s="55"/>
      <c r="IE240" s="47"/>
      <c r="IO240" s="51"/>
    </row>
    <row r="241" spans="13:249" s="142" customFormat="1" ht="15" customHeight="1">
      <c r="M241" s="333"/>
      <c r="N241" s="333"/>
      <c r="O241" s="333"/>
      <c r="P241" s="333"/>
      <c r="Q241" s="333"/>
      <c r="R241" s="333"/>
      <c r="S241" s="333"/>
      <c r="T241" s="333"/>
      <c r="U241" s="333"/>
      <c r="V241" s="333"/>
      <c r="W241" s="333"/>
      <c r="X241" s="333"/>
      <c r="Y241" s="333"/>
      <c r="Z241" s="333"/>
      <c r="AA241" s="333"/>
      <c r="AB241" s="333"/>
      <c r="AC241" s="333"/>
      <c r="AD241" s="333"/>
      <c r="AE241" s="333"/>
      <c r="AF241" s="333"/>
      <c r="AG241" s="333"/>
      <c r="AH241" s="333"/>
      <c r="AI241" s="333"/>
      <c r="AJ241" s="333"/>
      <c r="AK241" s="333"/>
      <c r="AL241" s="333"/>
      <c r="AM241" s="333"/>
      <c r="AN241" s="333"/>
      <c r="AO241" s="333"/>
      <c r="AP241" s="333"/>
      <c r="AQ241" s="333"/>
      <c r="AR241" s="333"/>
      <c r="AS241" s="333"/>
      <c r="AT241" s="333"/>
      <c r="AU241" s="333"/>
      <c r="AV241" s="333"/>
      <c r="AW241" s="333"/>
      <c r="AX241" s="333"/>
      <c r="AY241" s="333"/>
      <c r="AZ241" s="333"/>
      <c r="BA241" s="333"/>
      <c r="BB241" s="333"/>
      <c r="BC241" s="333"/>
      <c r="BD241" s="333"/>
      <c r="BE241" s="333"/>
      <c r="BF241" s="333"/>
      <c r="BG241" s="333"/>
      <c r="BH241" s="333"/>
      <c r="BI241" s="333"/>
      <c r="BJ241" s="333"/>
      <c r="BK241" s="333"/>
      <c r="BL241" s="333"/>
      <c r="BM241" s="333"/>
      <c r="BN241" s="333"/>
      <c r="BO241" s="333"/>
      <c r="BP241" s="333"/>
      <c r="BQ241" s="333"/>
      <c r="BR241" s="333"/>
      <c r="BS241" s="333"/>
      <c r="BT241" s="333"/>
      <c r="BU241" s="333"/>
      <c r="BV241" s="333"/>
      <c r="BW241" s="333"/>
      <c r="BX241" s="333"/>
      <c r="BY241" s="333"/>
      <c r="BZ241" s="333"/>
      <c r="CA241" s="333"/>
      <c r="CB241" s="333"/>
      <c r="CC241" s="333"/>
      <c r="CD241" s="333"/>
      <c r="CE241" s="333"/>
      <c r="CF241" s="333"/>
      <c r="CG241" s="333"/>
      <c r="CH241" s="333"/>
      <c r="CI241" s="333"/>
      <c r="CJ241" s="333"/>
      <c r="CK241" s="333"/>
      <c r="CL241" s="333"/>
      <c r="CM241" s="333"/>
      <c r="CN241" s="333"/>
      <c r="CO241" s="333"/>
      <c r="CP241" s="333"/>
      <c r="CQ241" s="333"/>
      <c r="CR241" s="333"/>
      <c r="CS241" s="333"/>
      <c r="CT241" s="333"/>
      <c r="CU241" s="333"/>
      <c r="CV241" s="333"/>
      <c r="CW241" s="333"/>
      <c r="CX241" s="333"/>
      <c r="CY241" s="333"/>
      <c r="CZ241" s="333"/>
      <c r="DA241" s="333"/>
      <c r="DB241" s="333"/>
      <c r="DC241" s="333"/>
      <c r="DD241" s="333"/>
      <c r="DE241" s="333"/>
      <c r="DF241" s="333"/>
      <c r="DG241" s="333"/>
      <c r="DH241" s="333"/>
      <c r="DI241" s="333"/>
      <c r="DJ241" s="333"/>
      <c r="DK241" s="333"/>
      <c r="DL241" s="333"/>
      <c r="DM241" s="333"/>
      <c r="DN241" s="333"/>
      <c r="DO241" s="333"/>
      <c r="DP241" s="333"/>
      <c r="DQ241" s="333"/>
      <c r="DR241" s="333"/>
      <c r="DS241" s="333"/>
      <c r="DT241" s="333"/>
      <c r="DU241" s="375"/>
      <c r="DV241" s="375"/>
      <c r="DW241" s="375"/>
      <c r="DX241" s="375"/>
      <c r="DY241" s="375"/>
      <c r="DZ241" s="375"/>
      <c r="EA241" s="375"/>
      <c r="EB241" s="375"/>
      <c r="EC241" s="375"/>
      <c r="ED241" s="375"/>
      <c r="EE241" s="375"/>
      <c r="EF241" s="375"/>
      <c r="EG241" s="375"/>
      <c r="EH241" s="375"/>
      <c r="EI241" s="375"/>
      <c r="EJ241" s="373"/>
      <c r="EK241" s="373"/>
      <c r="EL241" s="366"/>
      <c r="EM241" s="368"/>
      <c r="EN241" s="364"/>
      <c r="EO241" s="352">
        <f>+SUM(EP239:EP243) - SUM(EQ239:EQ243)</f>
        <v>0</v>
      </c>
      <c r="EP241" s="347"/>
      <c r="EQ241" s="342"/>
      <c r="ER241" s="522"/>
      <c r="ES241" s="916">
        <f>IF(ER241 = "", 0,
IF(AND(EP241 &gt; 0, EQ241 &gt;0), 0, IF(EO239 &lt;&gt; $Z$1,
IF(AND(EP241 &lt;&gt; "", EP241 &lt;&gt; 0), -(EP241 * ER241 * 100),
IF(AND(EQ241 &lt;&gt; "", EQ241 &lt;&gt; 0), (EQ241 * ER241 * 100), 0)),
IF(AND(EP241 &lt;&gt; "", EP241 &lt;&gt; 0), -(EP241 * ER241 * 1),
IF(AND(EQ241 &lt;&gt; "", EQ241 &lt;&gt; 0), (EQ241 * ER241 * 1), 0))  )))</f>
        <v>0</v>
      </c>
      <c r="ET241" s="917"/>
      <c r="EU241" s="918"/>
      <c r="EV241" s="916">
        <f>IF(ER241 = "", 0,
IF(AND(EP241 &gt; 0, EQ241 &gt;0), 0,  IF(EO239 &lt;&gt; $Z$1,
IF(AND(EP241 &lt;&gt; "", EP241 &lt;&gt; 0), -(EP241 * ER241 * 100 * (1 + COMIS_OPCION)),
IF(AND(EQ241 &lt;&gt; "", EQ241 &lt;&gt; 0), (EQ241 * ER241 * 100 * (1 - COMIS_OPCION)), 0)),
IF(AND(EP241 &lt;&gt; "", EP241 &lt;&gt; 0), -(EP241 * ER241 * 1 * (1 + COMIS_ACCION)),
IF(AND(EQ241 &lt;&gt; "", EQ241 &lt;&gt; 0), (EQ241 * ER241 * 1 * (1 - COMIS_ACCION)), 0))  )))</f>
        <v>0</v>
      </c>
      <c r="EW241" s="917"/>
      <c r="EX241" s="917"/>
      <c r="EY241" s="917"/>
      <c r="EZ241" s="917"/>
      <c r="FA241" s="917"/>
      <c r="FB241" s="917"/>
      <c r="FC241" s="917"/>
      <c r="FD241" s="925"/>
      <c r="FE241" s="340"/>
      <c r="FF241" s="340"/>
      <c r="FG241" s="365"/>
      <c r="FH241" s="365"/>
      <c r="FI241" s="354">
        <f>+SUM(FJ239:FJ243) - SUM(FK239:FK243)</f>
        <v>0</v>
      </c>
      <c r="FJ241" s="347"/>
      <c r="FK241" s="342"/>
      <c r="FL241" s="343"/>
      <c r="FM241" s="930">
        <f>IF(FL241 = "", 0,
IF(AND(FJ241 &gt; 0, FK241 &gt;0), 0,
IF(AND(FJ241 &lt;&gt; "", FJ241 &lt;&gt; 0), -(FJ241 * FL241 * 100),
IF(AND(FK241 &lt;&gt; "", FK241 &lt;&gt; 0), (FK241 * FL241 * 100), 0)) ))</f>
        <v>0</v>
      </c>
      <c r="FN241" s="931"/>
      <c r="FO241" s="932"/>
      <c r="FP241" s="930">
        <f>IF(FL241 = "", 0,
IF(AND(FJ241 &gt; 0, FK241 &gt;0), 0,
IF(AND(FJ241 &lt;&gt; "", FJ241 &lt;&gt; 0), -(FJ241 * FL241 * 100 * (1 + COMIS_OPCION)),
IF(AND(FK241 &lt;&gt; "", FK241 &lt;&gt; 0), (FK241 * FL241 * 100 * (1 - COMIS_OPCION)), 0)) ))</f>
        <v>0</v>
      </c>
      <c r="FQ241" s="931"/>
      <c r="FR241" s="931"/>
      <c r="FS241" s="931"/>
      <c r="FT241" s="931"/>
      <c r="FU241" s="931"/>
      <c r="FV241" s="931"/>
      <c r="FW241" s="931"/>
      <c r="FX241" s="933"/>
      <c r="FY241" s="341"/>
      <c r="FZ241" s="341"/>
      <c r="GA241" s="341"/>
      <c r="GB241" s="495">
        <v>0</v>
      </c>
      <c r="GC241" s="495">
        <v>0</v>
      </c>
      <c r="GD241" s="500"/>
      <c r="GE241" s="495">
        <v>0</v>
      </c>
      <c r="GF241" s="495">
        <v>0</v>
      </c>
      <c r="GG241" s="495">
        <v>0</v>
      </c>
      <c r="GH241" s="359"/>
      <c r="GI241" s="359"/>
      <c r="GJ241" s="501"/>
      <c r="GK241" s="495">
        <v>0</v>
      </c>
      <c r="GL241" s="495">
        <v>0</v>
      </c>
      <c r="GM241" s="495">
        <v>0</v>
      </c>
      <c r="GN241" s="359"/>
      <c r="GO241" s="359"/>
      <c r="GP241" s="501"/>
      <c r="GQ241" s="495">
        <v>0</v>
      </c>
      <c r="GR241" s="375"/>
      <c r="GS241" s="333"/>
      <c r="GT241" s="333"/>
      <c r="GU241" s="333"/>
      <c r="GV241" s="333"/>
      <c r="GW241" s="333"/>
      <c r="GX241" s="333"/>
      <c r="GY241" s="333"/>
      <c r="GZ241" s="333"/>
      <c r="HA241" s="333"/>
      <c r="HB241" s="333"/>
      <c r="HC241" s="333"/>
      <c r="HD241" s="333"/>
      <c r="HE241" s="333"/>
      <c r="HF241" s="333"/>
      <c r="HG241" s="331"/>
      <c r="HH241" s="331"/>
      <c r="HI241" s="331"/>
      <c r="HJ241" s="331"/>
      <c r="HK241" s="331"/>
      <c r="HL241" s="331"/>
      <c r="HM241" s="331"/>
      <c r="HN241" s="333"/>
      <c r="HO241" s="333"/>
      <c r="HP241" s="333"/>
      <c r="HQ241" s="333"/>
      <c r="HR241" s="333"/>
      <c r="HS241" s="333"/>
      <c r="HT241" s="333"/>
      <c r="HU241" s="333"/>
      <c r="HV241" s="333"/>
      <c r="HW241" s="333"/>
      <c r="HX241" s="333"/>
      <c r="HY241" s="333"/>
      <c r="HZ241" s="333"/>
      <c r="IA241" s="333"/>
      <c r="IB241" s="333"/>
      <c r="IC241" s="333"/>
      <c r="ID241" s="55"/>
      <c r="IE241" s="47"/>
      <c r="IO241" s="51"/>
    </row>
    <row r="242" spans="13:249" s="142" customFormat="1" ht="15" customHeight="1">
      <c r="M242" s="333"/>
      <c r="N242" s="333"/>
      <c r="O242" s="333"/>
      <c r="P242" s="333"/>
      <c r="Q242" s="333"/>
      <c r="R242" s="333"/>
      <c r="S242" s="333"/>
      <c r="T242" s="333"/>
      <c r="U242" s="333"/>
      <c r="V242" s="333"/>
      <c r="W242" s="333"/>
      <c r="X242" s="333"/>
      <c r="Y242" s="333"/>
      <c r="Z242" s="333"/>
      <c r="AA242" s="333"/>
      <c r="AB242" s="333"/>
      <c r="AC242" s="333"/>
      <c r="AD242" s="333"/>
      <c r="AE242" s="333"/>
      <c r="AF242" s="333"/>
      <c r="AG242" s="333"/>
      <c r="AH242" s="333"/>
      <c r="AI242" s="333"/>
      <c r="AJ242" s="333"/>
      <c r="AK242" s="333"/>
      <c r="AL242" s="333"/>
      <c r="AM242" s="333"/>
      <c r="AN242" s="333"/>
      <c r="AO242" s="333"/>
      <c r="AP242" s="333"/>
      <c r="AQ242" s="333"/>
      <c r="AR242" s="333"/>
      <c r="AS242" s="333"/>
      <c r="AT242" s="333"/>
      <c r="AU242" s="333"/>
      <c r="AV242" s="333"/>
      <c r="AW242" s="333"/>
      <c r="AX242" s="333"/>
      <c r="AY242" s="333"/>
      <c r="AZ242" s="333"/>
      <c r="BA242" s="333"/>
      <c r="BB242" s="333"/>
      <c r="BC242" s="333"/>
      <c r="BD242" s="333"/>
      <c r="BE242" s="333"/>
      <c r="BF242" s="333"/>
      <c r="BG242" s="333"/>
      <c r="BH242" s="333"/>
      <c r="BI242" s="333"/>
      <c r="BJ242" s="333"/>
      <c r="BK242" s="333"/>
      <c r="BL242" s="333"/>
      <c r="BM242" s="333"/>
      <c r="BN242" s="333"/>
      <c r="BO242" s="333"/>
      <c r="BP242" s="333"/>
      <c r="BQ242" s="333"/>
      <c r="BR242" s="333"/>
      <c r="BS242" s="333"/>
      <c r="BT242" s="333"/>
      <c r="BU242" s="333"/>
      <c r="BV242" s="333"/>
      <c r="BW242" s="333"/>
      <c r="BX242" s="333"/>
      <c r="BY242" s="333"/>
      <c r="BZ242" s="333"/>
      <c r="CA242" s="333"/>
      <c r="CB242" s="333"/>
      <c r="CC242" s="333"/>
      <c r="CD242" s="333"/>
      <c r="CE242" s="333"/>
      <c r="CF242" s="333"/>
      <c r="CG242" s="333"/>
      <c r="CH242" s="333"/>
      <c r="CI242" s="333"/>
      <c r="CJ242" s="333"/>
      <c r="CK242" s="333"/>
      <c r="CL242" s="333"/>
      <c r="CM242" s="333"/>
      <c r="CN242" s="333"/>
      <c r="CO242" s="333"/>
      <c r="CP242" s="333"/>
      <c r="CQ242" s="333"/>
      <c r="CR242" s="333"/>
      <c r="CS242" s="333"/>
      <c r="CT242" s="333"/>
      <c r="CU242" s="333"/>
      <c r="CV242" s="333"/>
      <c r="CW242" s="333"/>
      <c r="CX242" s="333"/>
      <c r="CY242" s="333"/>
      <c r="CZ242" s="333"/>
      <c r="DA242" s="333"/>
      <c r="DB242" s="333"/>
      <c r="DC242" s="333"/>
      <c r="DD242" s="333"/>
      <c r="DE242" s="333"/>
      <c r="DF242" s="333"/>
      <c r="DG242" s="333"/>
      <c r="DH242" s="333"/>
      <c r="DI242" s="333"/>
      <c r="DJ242" s="333"/>
      <c r="DK242" s="333"/>
      <c r="DL242" s="333"/>
      <c r="DM242" s="333"/>
      <c r="DN242" s="333"/>
      <c r="DO242" s="333"/>
      <c r="DP242" s="333"/>
      <c r="DQ242" s="333"/>
      <c r="DR242" s="333"/>
      <c r="DS242" s="333"/>
      <c r="DT242" s="333"/>
      <c r="DU242" s="375"/>
      <c r="DV242" s="375"/>
      <c r="DW242" s="375"/>
      <c r="DX242" s="375"/>
      <c r="DY242" s="375"/>
      <c r="DZ242" s="375"/>
      <c r="EA242" s="375"/>
      <c r="EB242" s="375"/>
      <c r="EC242" s="375"/>
      <c r="ED242" s="375"/>
      <c r="EE242" s="375"/>
      <c r="EF242" s="375"/>
      <c r="EG242" s="375"/>
      <c r="EH242" s="375"/>
      <c r="EI242" s="375"/>
      <c r="EJ242" s="373"/>
      <c r="EK242" s="373"/>
      <c r="EL242" s="366"/>
      <c r="EM242" s="368"/>
      <c r="EN242" s="364"/>
      <c r="EO242" s="352">
        <f>IF(EO241=0, 0, SUM(EV239:FD243))</f>
        <v>0</v>
      </c>
      <c r="EP242" s="347"/>
      <c r="EQ242" s="342"/>
      <c r="ER242" s="522"/>
      <c r="ES242" s="916">
        <f>IF(ER242 = "", 0,
IF(AND(EP242 &gt; 0, EQ242 &gt;0), 0, IF(EO239 &lt;&gt; $Z$1,
IF(AND(EP242 &lt;&gt; "", EP242 &lt;&gt; 0), -(EP242 * ER242 * 100),
IF(AND(EQ242 &lt;&gt; "", EQ242 &lt;&gt; 0), (EQ242 * ER242 * 100), 0)),
IF(AND(EP242 &lt;&gt; "", EP242 &lt;&gt; 0), -(EP242 * ER242 * 1),
IF(AND(EQ242 &lt;&gt; "", EQ242 &lt;&gt; 0), (EQ242 * ER242 * 1), 0))  )))</f>
        <v>0</v>
      </c>
      <c r="ET242" s="917"/>
      <c r="EU242" s="918"/>
      <c r="EV242" s="916">
        <f>IF(ER242 = "", 0,
IF(AND(EP242 &gt; 0, EQ242 &gt;0), 0,  IF(EO239 &lt;&gt; $Z$1,
IF(AND(EP242 &lt;&gt; "", EP242 &lt;&gt; 0), -(EP242 * ER242 * 100 * (1 + COMIS_OPCION)),
IF(AND(EQ242 &lt;&gt; "", EQ242 &lt;&gt; 0), (EQ242 * ER242 * 100 * (1 - COMIS_OPCION)), 0)),
IF(AND(EP242 &lt;&gt; "", EP242 &lt;&gt; 0), -(EP242 * ER242 * 1 * (1 + COMIS_ACCION)),
IF(AND(EQ242 &lt;&gt; "", EQ242 &lt;&gt; 0), (EQ242 * ER242 * 1 * (1 - COMIS_ACCION)), 0))  )))</f>
        <v>0</v>
      </c>
      <c r="EW242" s="917"/>
      <c r="EX242" s="917"/>
      <c r="EY242" s="917"/>
      <c r="EZ242" s="917"/>
      <c r="FA242" s="917"/>
      <c r="FB242" s="917"/>
      <c r="FC242" s="917"/>
      <c r="FD242" s="925"/>
      <c r="FE242" s="340"/>
      <c r="FF242" s="340"/>
      <c r="FG242" s="365"/>
      <c r="FH242" s="365"/>
      <c r="FI242" s="354">
        <f>IF(FI241=0, 0, SUM(FP239:FX243))</f>
        <v>0</v>
      </c>
      <c r="FJ242" s="347"/>
      <c r="FK242" s="342"/>
      <c r="FL242" s="343"/>
      <c r="FM242" s="930">
        <f>IF(FL242 = "", 0,
IF(AND(FJ242 &gt; 0, FK242 &gt;0), 0,
IF(AND(FJ242 &lt;&gt; "", FJ242 &lt;&gt; 0), -(FJ242 * FL242 * 100),
IF(AND(FK242 &lt;&gt; "", FK242 &lt;&gt; 0), (FK242 * FL242 * 100), 0)) ))</f>
        <v>0</v>
      </c>
      <c r="FN242" s="931"/>
      <c r="FO242" s="932"/>
      <c r="FP242" s="930">
        <f>IF(FL242 = "", 0,
IF(AND(FJ242 &gt; 0, FK242 &gt;0), 0,
IF(AND(FJ242 &lt;&gt; "", FJ242 &lt;&gt; 0), -(FJ242 * FL242 * 100 * (1 + COMIS_OPCION)),
IF(AND(FK242 &lt;&gt; "", FK242 &lt;&gt; 0), (FK242 * FL242 * 100 * (1 - COMIS_OPCION)), 0)) ))</f>
        <v>0</v>
      </c>
      <c r="FQ242" s="931"/>
      <c r="FR242" s="931"/>
      <c r="FS242" s="931"/>
      <c r="FT242" s="931"/>
      <c r="FU242" s="931"/>
      <c r="FV242" s="931"/>
      <c r="FW242" s="931"/>
      <c r="FX242" s="933"/>
      <c r="FY242" s="341"/>
      <c r="FZ242" s="341"/>
      <c r="GA242" s="341"/>
      <c r="GB242" s="495">
        <v>0</v>
      </c>
      <c r="GC242" s="495">
        <v>0</v>
      </c>
      <c r="GD242" s="500"/>
      <c r="GE242" s="495">
        <v>0</v>
      </c>
      <c r="GF242" s="495">
        <v>0</v>
      </c>
      <c r="GG242" s="495">
        <v>0</v>
      </c>
      <c r="GH242" s="359"/>
      <c r="GI242" s="359"/>
      <c r="GJ242" s="501"/>
      <c r="GK242" s="495">
        <v>0</v>
      </c>
      <c r="GL242" s="495">
        <v>0</v>
      </c>
      <c r="GM242" s="495">
        <v>0</v>
      </c>
      <c r="GN242" s="359"/>
      <c r="GO242" s="359"/>
      <c r="GP242" s="501"/>
      <c r="GQ242" s="495">
        <v>0</v>
      </c>
      <c r="GR242" s="375"/>
      <c r="GS242" s="333"/>
      <c r="GT242" s="333"/>
      <c r="GU242" s="333"/>
      <c r="GV242" s="333"/>
      <c r="GW242" s="333"/>
      <c r="GX242" s="333"/>
      <c r="GY242" s="333"/>
      <c r="GZ242" s="333"/>
      <c r="HA242" s="333"/>
      <c r="HB242" s="333"/>
      <c r="HC242" s="333"/>
      <c r="HD242" s="333"/>
      <c r="HE242" s="333"/>
      <c r="HF242" s="333"/>
      <c r="HG242" s="331"/>
      <c r="HH242" s="331"/>
      <c r="HI242" s="331"/>
      <c r="HJ242" s="331"/>
      <c r="HK242" s="331"/>
      <c r="HL242" s="331"/>
      <c r="HM242" s="331"/>
      <c r="HN242" s="333"/>
      <c r="HO242" s="333"/>
      <c r="HP242" s="333"/>
      <c r="HQ242" s="333"/>
      <c r="HR242" s="333"/>
      <c r="HS242" s="333"/>
      <c r="HT242" s="333"/>
      <c r="HU242" s="333"/>
      <c r="HV242" s="333"/>
      <c r="HW242" s="333"/>
      <c r="HX242" s="333"/>
      <c r="HY242" s="333"/>
      <c r="HZ242" s="333"/>
      <c r="IA242" s="333"/>
      <c r="IB242" s="333"/>
      <c r="IC242" s="333"/>
      <c r="ID242" s="55"/>
      <c r="IE242" s="47"/>
      <c r="IO242" s="51"/>
    </row>
    <row r="243" spans="13:249" s="142" customFormat="1" ht="15" customHeight="1" thickBot="1">
      <c r="M243" s="333"/>
      <c r="N243" s="333"/>
      <c r="O243" s="333"/>
      <c r="P243" s="333"/>
      <c r="Q243" s="333"/>
      <c r="R243" s="333"/>
      <c r="S243" s="333"/>
      <c r="T243" s="333"/>
      <c r="U243" s="333"/>
      <c r="V243" s="333"/>
      <c r="W243" s="333"/>
      <c r="X243" s="333"/>
      <c r="Y243" s="333"/>
      <c r="Z243" s="333"/>
      <c r="AA243" s="333"/>
      <c r="AB243" s="333"/>
      <c r="AC243" s="333"/>
      <c r="AD243" s="333"/>
      <c r="AE243" s="333"/>
      <c r="AF243" s="333"/>
      <c r="AG243" s="333"/>
      <c r="AH243" s="333"/>
      <c r="AI243" s="333"/>
      <c r="AJ243" s="333"/>
      <c r="AK243" s="333"/>
      <c r="AL243" s="333"/>
      <c r="AM243" s="333"/>
      <c r="AN243" s="333"/>
      <c r="AO243" s="333"/>
      <c r="AP243" s="333"/>
      <c r="AQ243" s="333"/>
      <c r="AR243" s="333"/>
      <c r="AS243" s="333"/>
      <c r="AT243" s="333"/>
      <c r="AU243" s="333"/>
      <c r="AV243" s="333"/>
      <c r="AW243" s="333"/>
      <c r="AX243" s="333"/>
      <c r="AY243" s="333"/>
      <c r="AZ243" s="333"/>
      <c r="BA243" s="333"/>
      <c r="BB243" s="333"/>
      <c r="BC243" s="333"/>
      <c r="BD243" s="333"/>
      <c r="BE243" s="333"/>
      <c r="BF243" s="333"/>
      <c r="BG243" s="333"/>
      <c r="BH243" s="333"/>
      <c r="BI243" s="333"/>
      <c r="BJ243" s="333"/>
      <c r="BK243" s="333"/>
      <c r="BL243" s="333"/>
      <c r="BM243" s="333"/>
      <c r="BN243" s="333"/>
      <c r="BO243" s="333"/>
      <c r="BP243" s="333"/>
      <c r="BQ243" s="333"/>
      <c r="BR243" s="333"/>
      <c r="BS243" s="333"/>
      <c r="BT243" s="333"/>
      <c r="BU243" s="333"/>
      <c r="BV243" s="333"/>
      <c r="BW243" s="333"/>
      <c r="BX243" s="333"/>
      <c r="BY243" s="333"/>
      <c r="BZ243" s="333"/>
      <c r="CA243" s="333"/>
      <c r="CB243" s="333"/>
      <c r="CC243" s="333"/>
      <c r="CD243" s="333"/>
      <c r="CE243" s="333"/>
      <c r="CF243" s="333"/>
      <c r="CG243" s="333"/>
      <c r="CH243" s="333"/>
      <c r="CI243" s="333"/>
      <c r="CJ243" s="333"/>
      <c r="CK243" s="333"/>
      <c r="CL243" s="333"/>
      <c r="CM243" s="333"/>
      <c r="CN243" s="333"/>
      <c r="CO243" s="333"/>
      <c r="CP243" s="333"/>
      <c r="CQ243" s="333"/>
      <c r="CR243" s="333"/>
      <c r="CS243" s="333"/>
      <c r="CT243" s="333"/>
      <c r="CU243" s="333"/>
      <c r="CV243" s="333"/>
      <c r="CW243" s="333"/>
      <c r="CX243" s="333"/>
      <c r="CY243" s="333"/>
      <c r="CZ243" s="333"/>
      <c r="DA243" s="333"/>
      <c r="DB243" s="333"/>
      <c r="DC243" s="333"/>
      <c r="DD243" s="333"/>
      <c r="DE243" s="333"/>
      <c r="DF243" s="333"/>
      <c r="DG243" s="333"/>
      <c r="DH243" s="333"/>
      <c r="DI243" s="333"/>
      <c r="DJ243" s="333"/>
      <c r="DK243" s="333"/>
      <c r="DL243" s="333"/>
      <c r="DM243" s="333"/>
      <c r="DN243" s="333"/>
      <c r="DO243" s="333"/>
      <c r="DP243" s="333"/>
      <c r="DQ243" s="333"/>
      <c r="DR243" s="333"/>
      <c r="DS243" s="333"/>
      <c r="DT243" s="333"/>
      <c r="DU243" s="375"/>
      <c r="DV243" s="375"/>
      <c r="DW243" s="375"/>
      <c r="DX243" s="375"/>
      <c r="DY243" s="375"/>
      <c r="DZ243" s="375"/>
      <c r="EA243" s="375"/>
      <c r="EB243" s="375"/>
      <c r="EC243" s="375"/>
      <c r="ED243" s="375"/>
      <c r="EE243" s="375"/>
      <c r="EF243" s="375"/>
      <c r="EG243" s="375"/>
      <c r="EH243" s="375"/>
      <c r="EI243" s="375"/>
      <c r="EJ243" s="373"/>
      <c r="EK243" s="373"/>
      <c r="EL243" s="366"/>
      <c r="EM243" s="368"/>
      <c r="EN243" s="364"/>
      <c r="EO243" s="353">
        <f>+IF(EO241= 0, 0, GG239)</f>
        <v>0</v>
      </c>
      <c r="EP243" s="350"/>
      <c r="EQ243" s="344"/>
      <c r="ER243" s="523"/>
      <c r="ES243" s="921">
        <f>IF(ER243 = "", 0,
IF(AND(EP243 &gt; 0, EQ243 &gt;0), 0, IF(EO239 &lt;&gt; $Z$1,
IF(AND(EP243 &lt;&gt; "", EP243 &lt;&gt; 0), -(EP243 * ER243 * 100),
IF(AND(EQ243 &lt;&gt; "", EQ243 &lt;&gt; 0), (EQ243 * ER243 * 100), 0)),
IF(AND(EP243 &lt;&gt; "", EP243 &lt;&gt; 0), -(EP243 * ER243 * 1),
IF(AND(EQ243 &lt;&gt; "", EQ243 &lt;&gt; 0), (EQ243 * ER243 * 1), 0))  )))</f>
        <v>0</v>
      </c>
      <c r="ET243" s="922"/>
      <c r="EU243" s="924"/>
      <c r="EV243" s="921">
        <f>IF(ER243 = "", 0,
IF(AND(EP243 &gt; 0, EQ243 &gt;0), 0,  IF(EO239 &lt;&gt; $Z$1,
IF(AND(EP243 &lt;&gt; "", EP243 &lt;&gt; 0), -(EP243 * ER243 * 100 * (1 + COMIS_OPCION)),
IF(AND(EQ243 &lt;&gt; "", EQ243 &lt;&gt; 0), (EQ243 * ER243 * 100 * (1 - COMIS_OPCION)), 0)),
IF(AND(EP243 &lt;&gt; "", EP243 &lt;&gt; 0), -(EP243 * ER243 * 1 * (1 + COMIS_ACCION)),
IF(AND(EQ243 &lt;&gt; "", EQ243 &lt;&gt; 0), (EQ243 * ER243 * 1 * (1 - COMIS_ACCION)), 0))  )))</f>
        <v>0</v>
      </c>
      <c r="EW243" s="922"/>
      <c r="EX243" s="922"/>
      <c r="EY243" s="922"/>
      <c r="EZ243" s="922"/>
      <c r="FA243" s="922"/>
      <c r="FB243" s="922"/>
      <c r="FC243" s="922"/>
      <c r="FD243" s="923"/>
      <c r="FE243" s="340"/>
      <c r="FF243" s="340"/>
      <c r="FG243" s="365"/>
      <c r="FH243" s="365"/>
      <c r="FI243" s="349">
        <f>+IF(FI241= 0, 0, GQ239)</f>
        <v>0</v>
      </c>
      <c r="FJ243" s="348"/>
      <c r="FK243" s="345"/>
      <c r="FL243" s="346"/>
      <c r="FM243" s="937">
        <f>IF(FL243 = "", 0,
IF(AND(FJ243 &gt; 0, FK243 &gt;0), 0,
IF(AND(FJ243 &lt;&gt; "", FJ243 &lt;&gt; 0), -(FJ243 * FL243 * 100),
IF(AND(FK243 &lt;&gt; "", FK243 &lt;&gt; 0), (FK243 * FL243 * 100), 0)) ))</f>
        <v>0</v>
      </c>
      <c r="FN243" s="938"/>
      <c r="FO243" s="939"/>
      <c r="FP243" s="937">
        <f>IF(FL243 = "", 0,
IF(AND(FJ243 &gt; 0, FK243 &gt;0), 0,
IF(AND(FJ243 &lt;&gt; "", FJ243 &lt;&gt; 0), -(FJ243 * FL243 * 100 * (1 + COMIS_OPCION)),
IF(AND(FK243 &lt;&gt; "", FK243 &lt;&gt; 0), (FK243 * FL243 * 100 * (1 - COMIS_OPCION)), 0)) ))</f>
        <v>0</v>
      </c>
      <c r="FQ243" s="938"/>
      <c r="FR243" s="938"/>
      <c r="FS243" s="938"/>
      <c r="FT243" s="938"/>
      <c r="FU243" s="938"/>
      <c r="FV243" s="938"/>
      <c r="FW243" s="938"/>
      <c r="FX243" s="969"/>
      <c r="FY243" s="341"/>
      <c r="FZ243" s="341"/>
      <c r="GA243" s="341"/>
      <c r="GB243" s="495">
        <v>0</v>
      </c>
      <c r="GC243" s="495">
        <v>0</v>
      </c>
      <c r="GD243" s="500"/>
      <c r="GE243" s="495">
        <v>0</v>
      </c>
      <c r="GF243" s="495">
        <v>0</v>
      </c>
      <c r="GG243" s="495">
        <v>0</v>
      </c>
      <c r="GH243" s="359"/>
      <c r="GI243" s="359"/>
      <c r="GJ243" s="501"/>
      <c r="GK243" s="495">
        <v>0</v>
      </c>
      <c r="GL243" s="495">
        <v>0</v>
      </c>
      <c r="GM243" s="495">
        <v>0</v>
      </c>
      <c r="GN243" s="359"/>
      <c r="GO243" s="359"/>
      <c r="GP243" s="501"/>
      <c r="GQ243" s="495">
        <v>0</v>
      </c>
      <c r="GR243" s="375"/>
      <c r="GS243" s="333"/>
      <c r="GT243" s="333"/>
      <c r="GU243" s="333"/>
      <c r="GV243" s="333"/>
      <c r="GW243" s="333"/>
      <c r="GX243" s="333"/>
      <c r="GY243" s="333"/>
      <c r="GZ243" s="333"/>
      <c r="HA243" s="333"/>
      <c r="HB243" s="333"/>
      <c r="HC243" s="333"/>
      <c r="HD243" s="333"/>
      <c r="HE243" s="333"/>
      <c r="HF243" s="333"/>
      <c r="HG243" s="331"/>
      <c r="HH243" s="331"/>
      <c r="HI243" s="331"/>
      <c r="HJ243" s="331"/>
      <c r="HK243" s="331"/>
      <c r="HL243" s="331"/>
      <c r="HM243" s="331"/>
      <c r="HN243" s="333"/>
      <c r="HO243" s="333"/>
      <c r="HP243" s="333"/>
      <c r="HQ243" s="333"/>
      <c r="HR243" s="333"/>
      <c r="HS243" s="333"/>
      <c r="HT243" s="333"/>
      <c r="HU243" s="333"/>
      <c r="HV243" s="333"/>
      <c r="HW243" s="333"/>
      <c r="HX243" s="333"/>
      <c r="HY243" s="333"/>
      <c r="HZ243" s="333"/>
      <c r="IA243" s="333"/>
      <c r="IB243" s="333"/>
      <c r="IC243" s="333"/>
      <c r="ID243" s="55"/>
      <c r="IE243" s="47"/>
      <c r="IO243" s="51"/>
    </row>
    <row r="244" spans="13:249" s="142" customFormat="1" ht="15" customHeight="1" thickBot="1">
      <c r="M244" s="333"/>
      <c r="N244" s="333"/>
      <c r="O244" s="333"/>
      <c r="P244" s="333"/>
      <c r="Q244" s="333"/>
      <c r="R244" s="333"/>
      <c r="S244" s="333"/>
      <c r="T244" s="333"/>
      <c r="U244" s="333"/>
      <c r="V244" s="333"/>
      <c r="W244" s="333"/>
      <c r="X244" s="333"/>
      <c r="Y244" s="333"/>
      <c r="Z244" s="333"/>
      <c r="AA244" s="333"/>
      <c r="AB244" s="333"/>
      <c r="AC244" s="333"/>
      <c r="AD244" s="333"/>
      <c r="AE244" s="333"/>
      <c r="AF244" s="333"/>
      <c r="AG244" s="333"/>
      <c r="AH244" s="333"/>
      <c r="AI244" s="333"/>
      <c r="AJ244" s="333"/>
      <c r="AK244" s="333"/>
      <c r="AL244" s="333"/>
      <c r="AM244" s="333"/>
      <c r="AN244" s="333"/>
      <c r="AO244" s="333"/>
      <c r="AP244" s="333"/>
      <c r="AQ244" s="333"/>
      <c r="AR244" s="333"/>
      <c r="AS244" s="333"/>
      <c r="AT244" s="333"/>
      <c r="AU244" s="333"/>
      <c r="AV244" s="333"/>
      <c r="AW244" s="333"/>
      <c r="AX244" s="333"/>
      <c r="AY244" s="333"/>
      <c r="AZ244" s="333"/>
      <c r="BA244" s="333"/>
      <c r="BB244" s="333"/>
      <c r="BC244" s="333"/>
      <c r="BD244" s="333"/>
      <c r="BE244" s="333"/>
      <c r="BF244" s="333"/>
      <c r="BG244" s="333"/>
      <c r="BH244" s="333"/>
      <c r="BI244" s="333"/>
      <c r="BJ244" s="333"/>
      <c r="BK244" s="333"/>
      <c r="BL244" s="333"/>
      <c r="BM244" s="333"/>
      <c r="BN244" s="333"/>
      <c r="BO244" s="333"/>
      <c r="BP244" s="333"/>
      <c r="BQ244" s="333"/>
      <c r="BR244" s="333"/>
      <c r="BS244" s="333"/>
      <c r="BT244" s="333"/>
      <c r="BU244" s="333"/>
      <c r="BV244" s="333"/>
      <c r="BW244" s="333"/>
      <c r="BX244" s="333"/>
      <c r="BY244" s="333"/>
      <c r="BZ244" s="333"/>
      <c r="CA244" s="333"/>
      <c r="CB244" s="333"/>
      <c r="CC244" s="333"/>
      <c r="CD244" s="333"/>
      <c r="CE244" s="333"/>
      <c r="CF244" s="333"/>
      <c r="CG244" s="333"/>
      <c r="CH244" s="333"/>
      <c r="CI244" s="333"/>
      <c r="CJ244" s="333"/>
      <c r="CK244" s="333"/>
      <c r="CL244" s="333"/>
      <c r="CM244" s="333"/>
      <c r="CN244" s="333"/>
      <c r="CO244" s="333"/>
      <c r="CP244" s="333"/>
      <c r="CQ244" s="333"/>
      <c r="CR244" s="333"/>
      <c r="CS244" s="333"/>
      <c r="CT244" s="333"/>
      <c r="CU244" s="333"/>
      <c r="CV244" s="333"/>
      <c r="CW244" s="333"/>
      <c r="CX244" s="333"/>
      <c r="CY244" s="333"/>
      <c r="CZ244" s="333"/>
      <c r="DA244" s="333"/>
      <c r="DB244" s="333"/>
      <c r="DC244" s="333"/>
      <c r="DD244" s="333"/>
      <c r="DE244" s="333"/>
      <c r="DF244" s="333"/>
      <c r="DG244" s="333"/>
      <c r="DH244" s="333"/>
      <c r="DI244" s="333"/>
      <c r="DJ244" s="333"/>
      <c r="DK244" s="333"/>
      <c r="DL244" s="333"/>
      <c r="DM244" s="333"/>
      <c r="DN244" s="333"/>
      <c r="DO244" s="333"/>
      <c r="DP244" s="333"/>
      <c r="DQ244" s="333"/>
      <c r="DR244" s="333"/>
      <c r="DS244" s="333"/>
      <c r="DT244" s="333"/>
      <c r="DU244" s="375"/>
      <c r="DV244" s="375"/>
      <c r="DW244" s="375"/>
      <c r="DX244" s="375"/>
      <c r="DY244" s="375"/>
      <c r="DZ244" s="375"/>
      <c r="EA244" s="375"/>
      <c r="EB244" s="375"/>
      <c r="EC244" s="375"/>
      <c r="ED244" s="375"/>
      <c r="EE244" s="375"/>
      <c r="EF244" s="375"/>
      <c r="EG244" s="375"/>
      <c r="EH244" s="375"/>
      <c r="EI244" s="375"/>
      <c r="EJ244" s="373"/>
      <c r="EK244" s="373"/>
      <c r="EL244" s="366"/>
      <c r="EM244" s="366"/>
      <c r="EN244" s="364"/>
      <c r="EO244" s="363"/>
      <c r="EP244" s="340"/>
      <c r="EQ244" s="340"/>
      <c r="ER244" s="340"/>
      <c r="ES244" s="363"/>
      <c r="ET244" s="363"/>
      <c r="EU244" s="340"/>
      <c r="EV244" s="340"/>
      <c r="EW244" s="340"/>
      <c r="EX244" s="340"/>
      <c r="EY244" s="340"/>
      <c r="EZ244" s="340"/>
      <c r="FA244" s="340"/>
      <c r="FB244" s="402"/>
      <c r="FC244" s="402"/>
      <c r="FD244" s="340"/>
      <c r="FE244" s="340"/>
      <c r="FF244" s="340"/>
      <c r="FG244" s="364"/>
      <c r="FH244" s="364"/>
      <c r="FI244" s="363"/>
      <c r="FJ244" s="360"/>
      <c r="FK244" s="360"/>
      <c r="FL244" s="340"/>
      <c r="FM244" s="967"/>
      <c r="FN244" s="967"/>
      <c r="FO244" s="967"/>
      <c r="FP244" s="968"/>
      <c r="FQ244" s="968"/>
      <c r="FR244" s="968"/>
      <c r="FS244" s="968"/>
      <c r="FT244" s="968"/>
      <c r="FU244" s="968"/>
      <c r="FV244" s="968"/>
      <c r="FW244" s="968"/>
      <c r="FX244" s="968"/>
      <c r="FY244" s="341"/>
      <c r="FZ244" s="341"/>
      <c r="GA244" s="341"/>
      <c r="GB244" s="495">
        <v>0</v>
      </c>
      <c r="GC244" s="495">
        <v>0</v>
      </c>
      <c r="GD244" s="500"/>
      <c r="GE244" s="495">
        <v>0</v>
      </c>
      <c r="GF244" s="495">
        <v>0</v>
      </c>
      <c r="GG244" s="495">
        <v>0</v>
      </c>
      <c r="GH244" s="359"/>
      <c r="GI244" s="359"/>
      <c r="GJ244" s="501"/>
      <c r="GK244" s="495">
        <v>0</v>
      </c>
      <c r="GL244" s="495">
        <v>0</v>
      </c>
      <c r="GM244" s="495">
        <v>0</v>
      </c>
      <c r="GN244" s="359"/>
      <c r="GO244" s="359"/>
      <c r="GP244" s="501"/>
      <c r="GQ244" s="495">
        <v>0</v>
      </c>
      <c r="GR244" s="375"/>
      <c r="GS244" s="333"/>
      <c r="GT244" s="333"/>
      <c r="GU244" s="333"/>
      <c r="GV244" s="333"/>
      <c r="GW244" s="333"/>
      <c r="GX244" s="333"/>
      <c r="GY244" s="333"/>
      <c r="GZ244" s="333"/>
      <c r="HA244" s="333"/>
      <c r="HB244" s="333"/>
      <c r="HC244" s="333"/>
      <c r="HD244" s="333"/>
      <c r="HE244" s="333"/>
      <c r="HF244" s="333"/>
      <c r="HG244" s="331"/>
      <c r="HH244" s="331"/>
      <c r="HI244" s="331"/>
      <c r="HJ244" s="331"/>
      <c r="HK244" s="331"/>
      <c r="HL244" s="331"/>
      <c r="HM244" s="331"/>
      <c r="HN244" s="333"/>
      <c r="HO244" s="333"/>
      <c r="HP244" s="333"/>
      <c r="HQ244" s="333"/>
      <c r="HR244" s="333"/>
      <c r="HS244" s="333"/>
      <c r="HT244" s="333"/>
      <c r="HU244" s="333"/>
      <c r="HV244" s="333"/>
      <c r="HW244" s="333"/>
      <c r="HX244" s="333"/>
      <c r="HY244" s="333"/>
      <c r="HZ244" s="333"/>
      <c r="IA244" s="333"/>
      <c r="IB244" s="333"/>
      <c r="IC244" s="333"/>
      <c r="ID244" s="55"/>
      <c r="IE244" s="47"/>
      <c r="IO244" s="51"/>
    </row>
    <row r="245" spans="13:249" s="142" customFormat="1" ht="15" customHeight="1">
      <c r="M245" s="333"/>
      <c r="N245" s="333"/>
      <c r="O245" s="333"/>
      <c r="P245" s="333"/>
      <c r="Q245" s="333"/>
      <c r="R245" s="333"/>
      <c r="S245" s="333"/>
      <c r="T245" s="333"/>
      <c r="U245" s="333"/>
      <c r="V245" s="333"/>
      <c r="W245" s="333"/>
      <c r="X245" s="333"/>
      <c r="Y245" s="333"/>
      <c r="Z245" s="333"/>
      <c r="AA245" s="333"/>
      <c r="AB245" s="333"/>
      <c r="AC245" s="333"/>
      <c r="AD245" s="333"/>
      <c r="AE245" s="333"/>
      <c r="AF245" s="333"/>
      <c r="AG245" s="333"/>
      <c r="AH245" s="333"/>
      <c r="AI245" s="333"/>
      <c r="AJ245" s="333"/>
      <c r="AK245" s="333"/>
      <c r="AL245" s="333"/>
      <c r="AM245" s="333"/>
      <c r="AN245" s="333"/>
      <c r="AO245" s="333"/>
      <c r="AP245" s="333"/>
      <c r="AQ245" s="333"/>
      <c r="AR245" s="333"/>
      <c r="AS245" s="333"/>
      <c r="AT245" s="333"/>
      <c r="AU245" s="333"/>
      <c r="AV245" s="333"/>
      <c r="AW245" s="333"/>
      <c r="AX245" s="333"/>
      <c r="AY245" s="333"/>
      <c r="AZ245" s="333"/>
      <c r="BA245" s="333"/>
      <c r="BB245" s="333"/>
      <c r="BC245" s="333"/>
      <c r="BD245" s="333"/>
      <c r="BE245" s="333"/>
      <c r="BF245" s="333"/>
      <c r="BG245" s="333"/>
      <c r="BH245" s="333"/>
      <c r="BI245" s="333"/>
      <c r="BJ245" s="333"/>
      <c r="BK245" s="333"/>
      <c r="BL245" s="333"/>
      <c r="BM245" s="333"/>
      <c r="BN245" s="333"/>
      <c r="BO245" s="333"/>
      <c r="BP245" s="333"/>
      <c r="BQ245" s="333"/>
      <c r="BR245" s="333"/>
      <c r="BS245" s="333"/>
      <c r="BT245" s="333"/>
      <c r="BU245" s="333"/>
      <c r="BV245" s="333"/>
      <c r="BW245" s="333"/>
      <c r="BX245" s="333"/>
      <c r="BY245" s="333"/>
      <c r="BZ245" s="333"/>
      <c r="CA245" s="333"/>
      <c r="CB245" s="333"/>
      <c r="CC245" s="333"/>
      <c r="CD245" s="333"/>
      <c r="CE245" s="333"/>
      <c r="CF245" s="333"/>
      <c r="CG245" s="333"/>
      <c r="CH245" s="333"/>
      <c r="CI245" s="333"/>
      <c r="CJ245" s="333"/>
      <c r="CK245" s="333"/>
      <c r="CL245" s="333"/>
      <c r="CM245" s="333"/>
      <c r="CN245" s="333"/>
      <c r="CO245" s="333"/>
      <c r="CP245" s="333"/>
      <c r="CQ245" s="333"/>
      <c r="CR245" s="333"/>
      <c r="CS245" s="333"/>
      <c r="CT245" s="333"/>
      <c r="CU245" s="333"/>
      <c r="CV245" s="333"/>
      <c r="CW245" s="333"/>
      <c r="CX245" s="333"/>
      <c r="CY245" s="333"/>
      <c r="CZ245" s="333"/>
      <c r="DA245" s="333"/>
      <c r="DB245" s="333"/>
      <c r="DC245" s="333"/>
      <c r="DD245" s="333"/>
      <c r="DE245" s="333"/>
      <c r="DF245" s="333"/>
      <c r="DG245" s="333"/>
      <c r="DH245" s="333"/>
      <c r="DI245" s="333"/>
      <c r="DJ245" s="333"/>
      <c r="DK245" s="333"/>
      <c r="DL245" s="333"/>
      <c r="DM245" s="333"/>
      <c r="DN245" s="333"/>
      <c r="DO245" s="333"/>
      <c r="DP245" s="333"/>
      <c r="DQ245" s="333"/>
      <c r="DR245" s="333"/>
      <c r="DS245" s="333"/>
      <c r="DT245" s="333"/>
      <c r="DU245" s="375"/>
      <c r="DV245" s="375"/>
      <c r="DW245" s="375"/>
      <c r="DX245" s="375"/>
      <c r="DY245" s="375"/>
      <c r="DZ245" s="375"/>
      <c r="EA245" s="375"/>
      <c r="EB245" s="375"/>
      <c r="EC245" s="375"/>
      <c r="ED245" s="375"/>
      <c r="EE245" s="375"/>
      <c r="EF245" s="375"/>
      <c r="EG245" s="375"/>
      <c r="EH245" s="375"/>
      <c r="EI245" s="375"/>
      <c r="EJ245" s="373"/>
      <c r="EK245" s="373"/>
      <c r="EL245" s="366"/>
      <c r="EM245" s="366"/>
      <c r="EN245" s="364">
        <f>+EN239+1</f>
        <v>33</v>
      </c>
      <c r="EO245" s="356" t="str">
        <f>+VLOOKUP(EN245, PRECIOS_EJERCICIOS,  2,FALSE)</f>
        <v/>
      </c>
      <c r="EP245" s="513" t="str">
        <f>+IF($AQ$49 = FALSE, "",
IF(VLOOKUP(EO245, basesCantPrimaBrutoRes, 2,FALSE) &gt;= 0, VLOOKUP(EO245, basesCantPrimaBrutoRes, 2,FALSE), 0))</f>
        <v/>
      </c>
      <c r="EQ245" s="514" t="str">
        <f>+IF($AQ$49 = FALSE, "",
IF(VLOOKUP(EO245, basesCantPrimaBrutoRes, 2,FALSE) &lt; 0, -VLOOKUP(EO245, basesCantPrimaBrutoRes, 2,FALSE), 0))</f>
        <v/>
      </c>
      <c r="ER245" s="521" t="str">
        <f>IF($AQ$49 = FALSE, "",
VLOOKUP(EO245, basesCantPrimaBrutoRes, 4,FALSE))</f>
        <v/>
      </c>
      <c r="ES245" s="926">
        <f>IF(ER245 = "", 0,
IF(AND(EP245 &gt; 0, EQ245 &gt;0), 0, IF(EO245 &lt;&gt; $Z$1,
IF(AND(EP245 &lt;&gt; "", EP245 &lt;&gt; 0), -(EP245 * ER245 * 100),
IF(AND(EQ245 &lt;&gt; "", EQ245 &lt;&gt; 0), (EQ245 * ER245 * 100), 0)),
IF(AND(EP245 &lt;&gt; "", EP245 &lt;&gt; 0), -(EP245 * ER245 * 1),
IF(AND(EQ245 &lt;&gt; "", EQ245 &lt;&gt; 0), (EQ245 * ER245 * 1), 0))  )))</f>
        <v>0</v>
      </c>
      <c r="ET245" s="927"/>
      <c r="EU245" s="928"/>
      <c r="EV245" s="926">
        <f>IF(ER245 = "", 0,
IF(AND(EP245 &gt; 0, EQ245 &gt;0), 0,  IF(EO245 &lt;&gt; $Z$1,
IF(AND(EP245 &lt;&gt; "", EP245 &lt;&gt; 0), -(EP245 * ER245 * 100 * (1 + COMIS_OPCION)),
IF(AND(EQ245 &lt;&gt; "", EQ245 &lt;&gt; 0), (EQ245 * ER245 * 100 * (1 - COMIS_OPCION)), 0)),
IF(AND(EP245 &lt;&gt; "", EP245 &lt;&gt; 0), -(EP245 * ER245 * 1 * (1 + COMIS_ACCION)),
IF(AND(EQ245 &lt;&gt; "", EQ245 &lt;&gt; 0), (EQ245 * ER245 * 1 * (1 - COMIS_ACCION)), 0))  )))</f>
        <v>0</v>
      </c>
      <c r="EW245" s="927"/>
      <c r="EX245" s="927"/>
      <c r="EY245" s="927"/>
      <c r="EZ245" s="927"/>
      <c r="FA245" s="927"/>
      <c r="FB245" s="927"/>
      <c r="FC245" s="927"/>
      <c r="FD245" s="929"/>
      <c r="FE245" s="340"/>
      <c r="FF245" s="340"/>
      <c r="FG245" s="364"/>
      <c r="FH245" s="364">
        <f>+FH239+1</f>
        <v>33</v>
      </c>
      <c r="FI245" s="357" t="str">
        <f>+VLOOKUP(FH245, PRECIOS_EJERCICIOS,  2,FALSE)</f>
        <v/>
      </c>
      <c r="FJ245" s="515" t="str">
        <f>+IF($AQ$49 = FALSE, "",
IF(VLOOKUP(EO245, basesCantPrimaBrutoRes, 5,FALSE) &gt;= 0, VLOOKUP(EO245, basesCantPrimaBrutoRes, 5,FALSE), 0))</f>
        <v/>
      </c>
      <c r="FK245" s="516" t="str">
        <f>+IF($AQ$49 = FALSE, "",
IF(VLOOKUP(EO245, basesCantPrimaBrutoRes, 5,FALSE) &lt; 0, -VLOOKUP(EO245, basesCantPrimaBrutoRes, 5,FALSE), 0))</f>
        <v/>
      </c>
      <c r="FL245" s="517" t="str">
        <f>IF($AQ$49 = FALSE, "",
VLOOKUP(EO245, basesCantPrimaBrutoRes, 7,FALSE))</f>
        <v/>
      </c>
      <c r="FM245" s="934">
        <f>IF(FL245 = "", 0,
IF(AND(FJ245 &gt; 0, FK245 &gt;0), 0,
IF(AND(FJ245 &lt;&gt; "", FJ245 &lt;&gt; 0), -(FJ245 * FL245 * 100),
IF(AND(FK245 &lt;&gt; "", FK245 &lt;&gt; 0), (FK245 * FL245 * 100), 0)) ))</f>
        <v>0</v>
      </c>
      <c r="FN245" s="935"/>
      <c r="FO245" s="936"/>
      <c r="FP245" s="934">
        <f>IF(FL245 = "", 0,
IF(AND(FJ245 &gt; 0, FK245 &gt;0), 0,
IF(AND(FJ245 &lt;&gt; "", FJ245 &lt;&gt; 0), -(FJ245 * FL245 * 100 * (1 + COMIS_OPCION)),
IF(AND(FK245 &lt;&gt; "", FK245 &lt;&gt; 0), (FK245 * FL245 * 100 * (1 - COMIS_OPCION)), 0)) ))</f>
        <v>0</v>
      </c>
      <c r="FQ245" s="935"/>
      <c r="FR245" s="935"/>
      <c r="FS245" s="935"/>
      <c r="FT245" s="935"/>
      <c r="FU245" s="935"/>
      <c r="FV245" s="935"/>
      <c r="FW245" s="935"/>
      <c r="FX245" s="966"/>
      <c r="FY245" s="341"/>
      <c r="FZ245" s="341"/>
      <c r="GA245" s="341"/>
      <c r="GB245" s="495" t="str">
        <f>+IF(EN245 = "", "", EO245)</f>
        <v/>
      </c>
      <c r="GC245" s="495" t="str">
        <f>+IF(GB245="", "", IF(EO245 = $Z$1, "ACCION", "CALL"))</f>
        <v/>
      </c>
      <c r="GD245" s="500"/>
      <c r="GE245" s="495" t="str">
        <f>+IF(GB245= "", "", EO247)</f>
        <v/>
      </c>
      <c r="GF245" s="495" t="str">
        <f>+IF(GB245 = "", "", IFERROR(IF(GB245 &lt;&gt; $Z$1,
IF(GE245 &gt; 0, SUMIFS(ES245:ES249, EP245:EP249, "&gt;0", ES245:ES249, "&lt;&gt;0") / SUMIFS(EP245:EP249, EP245:EP249, "&gt;0", ES245:ES249, "&lt;&gt;0") / -100,
IF(GE245 &lt; 0, SUMIFS(ES245:ES249, EQ245:EQ249, "&gt;0", ES245:ES249, "&lt;&gt;0") / SUMIFS(EQ245:EQ249, EQ245:EQ249, "&gt;0", ES245:ES249, "&lt;&gt;0") / 100, 0)),
IF(GE245 &gt; 0, SUMIFS(ES245:ES249, EP245:EP249, "&gt;0", ES245:ES249, "&lt;&gt;0") / SUMIFS(EP245:EP249, EP245:EP249, "&gt;0", ES245:ES249, "&lt;&gt;0") / -1,
IF(GE245 &lt; 0, SUMIFS(ES245:ES249, EQ245:EQ249, "&gt;0", ES245:ES249, "&lt;&gt;0") / SUMIFS(EQ245:EQ249, EQ245:EQ249, "&gt;0", ES245:ES249, "&lt;&gt;0") / 1, 0)) ), 0))</f>
        <v/>
      </c>
      <c r="GG245" s="495" t="str">
        <f>+IF(GB245 = "", "", IFERROR(IF(GB245 &lt;&gt; $Z$1,
IF(GE245 &gt; 0, SUMIFS(EV245:EV249, EP245:EP249, "&gt;0", EV245:EV249, "&lt;&gt;0") / SUMIFS(EP245:EP249, EP245:EP249, "&gt;0", EV245:EV249, "&lt;&gt;0") / -100,
IF(GE245 &lt; 0, SUMIFS(EV245:EV249, EQ245:EQ249, "&gt;0", EV245:EV249, "&lt;&gt;0") / SUMIFS(EQ245:EQ249, EQ245:EQ249, "&gt;0", EV245:EV249, "&lt;&gt;0") / 100, 0)),
IF(GE245 &gt; 0, SUMIFS(EV245:EV249, EP245:EP249, "&gt;0", EV245:EV249, "&lt;&gt;0") / SUMIFS(EP245:EP249, EP245:EP249, "&gt;0", EV245:EV249, "&lt;&gt;0") / -1,
IF(GE245 &lt; 0, SUMIFS(EV245:EV249, EQ245:EQ249, "&gt;0", EV245:EV249, "&lt;&gt;0") / SUMIFS(EQ245:EQ249, EQ245:EQ249, "&gt;0", EV245:EV249, "&lt;&gt;0") / 1, 0)) ), 0))</f>
        <v/>
      </c>
      <c r="GH245" s="359"/>
      <c r="GI245" s="359"/>
      <c r="GJ245" s="501"/>
      <c r="GK245" s="495" t="str">
        <f>+IF(GB245="", "", "PUT")</f>
        <v/>
      </c>
      <c r="GL245" s="495" t="str">
        <f>+IF(GB245 = "", "", FI247)</f>
        <v/>
      </c>
      <c r="GM245" s="495" t="str">
        <f>+IF(GB245 = "", "", IFERROR(
IF(FI247 &gt; 0, SUMIFS(FM245:FM249, FJ245:FJ249, "&gt;0", FM245:FM249, "&lt;&gt;0") / SUMIFS(FJ245:FJ249, FJ245:FJ249, "&gt;0", FM245:FM249, "&lt;&gt;0") / -100,
IF(FI247 &lt; 0, SUMIFS(FM245:FM249, FK245:FK249, "&gt;0", FM245:FM249, "&lt;&gt;0") / SUMIFS(FK245:FK249, FK245:FK249, "&gt;0", FM245:FM249, "&lt;&gt;0") / 100, 0)), 0) )</f>
        <v/>
      </c>
      <c r="GN245" s="359"/>
      <c r="GO245" s="359"/>
      <c r="GP245" s="501"/>
      <c r="GQ245" s="502" t="str">
        <f>+IF(GB245 = "", "", IFERROR(
IF(FI247 &gt; 0, SUMIFS(FP245:FP249, FJ245:FJ249, "&gt;0", FP245:FP249, "&lt;&gt;0") / SUMIFS(FJ245:FJ249, FJ245:FJ249, "&gt;0", FP245:FP249, "&lt;&gt;0") / -100,
IF(FI247 &lt; 0, SUMIFS(FP245:FP249, FK245:FK249, "&gt;0", FP245:FP249, "&lt;&gt;0") / SUMIFS(FK245:FK249, FK245:FK249, "&gt;0", FP245:FP249, "&lt;&gt;0") / 100, 0)), 0))</f>
        <v/>
      </c>
      <c r="GR245" s="375"/>
      <c r="GS245" s="333"/>
      <c r="GT245" s="333"/>
      <c r="GU245" s="333"/>
      <c r="GV245" s="333"/>
      <c r="GW245" s="333"/>
      <c r="GX245" s="333"/>
      <c r="GY245" s="333"/>
      <c r="GZ245" s="333"/>
      <c r="HA245" s="333"/>
      <c r="HB245" s="333"/>
      <c r="HC245" s="333"/>
      <c r="HD245" s="333"/>
      <c r="HE245" s="333"/>
      <c r="HF245" s="333"/>
      <c r="HG245" s="331"/>
      <c r="HH245" s="331"/>
      <c r="HI245" s="331"/>
      <c r="HJ245" s="331"/>
      <c r="HK245" s="331"/>
      <c r="HL245" s="331"/>
      <c r="HM245" s="331"/>
      <c r="HN245" s="333"/>
      <c r="HO245" s="333"/>
      <c r="HP245" s="333"/>
      <c r="HQ245" s="333"/>
      <c r="HR245" s="333"/>
      <c r="HS245" s="333"/>
      <c r="HT245" s="333"/>
      <c r="HU245" s="333"/>
      <c r="HV245" s="333"/>
      <c r="HW245" s="333"/>
      <c r="HX245" s="333"/>
      <c r="HY245" s="333"/>
      <c r="HZ245" s="333"/>
      <c r="IA245" s="333"/>
      <c r="IB245" s="333"/>
      <c r="IC245" s="333"/>
      <c r="ID245" s="55"/>
      <c r="IE245" s="47"/>
      <c r="IO245" s="51"/>
    </row>
    <row r="246" spans="13:249" s="142" customFormat="1" ht="15" customHeight="1">
      <c r="M246" s="333"/>
      <c r="N246" s="333"/>
      <c r="O246" s="333"/>
      <c r="P246" s="333"/>
      <c r="Q246" s="333"/>
      <c r="R246" s="333"/>
      <c r="S246" s="333"/>
      <c r="T246" s="333"/>
      <c r="U246" s="333"/>
      <c r="V246" s="333"/>
      <c r="W246" s="333"/>
      <c r="X246" s="333"/>
      <c r="Y246" s="333"/>
      <c r="Z246" s="333"/>
      <c r="AA246" s="333"/>
      <c r="AB246" s="333"/>
      <c r="AC246" s="333"/>
      <c r="AD246" s="333"/>
      <c r="AE246" s="333"/>
      <c r="AF246" s="333"/>
      <c r="AG246" s="333"/>
      <c r="AH246" s="333"/>
      <c r="AI246" s="333"/>
      <c r="AJ246" s="333"/>
      <c r="AK246" s="333"/>
      <c r="AL246" s="333"/>
      <c r="AM246" s="333"/>
      <c r="AN246" s="333"/>
      <c r="AO246" s="333"/>
      <c r="AP246" s="333"/>
      <c r="AQ246" s="333"/>
      <c r="AR246" s="333"/>
      <c r="AS246" s="333"/>
      <c r="AT246" s="333"/>
      <c r="AU246" s="333"/>
      <c r="AV246" s="333"/>
      <c r="AW246" s="333"/>
      <c r="AX246" s="333"/>
      <c r="AY246" s="333"/>
      <c r="AZ246" s="333"/>
      <c r="BA246" s="333"/>
      <c r="BB246" s="333"/>
      <c r="BC246" s="333"/>
      <c r="BD246" s="333"/>
      <c r="BE246" s="333"/>
      <c r="BF246" s="333"/>
      <c r="BG246" s="333"/>
      <c r="BH246" s="333"/>
      <c r="BI246" s="333"/>
      <c r="BJ246" s="333"/>
      <c r="BK246" s="333"/>
      <c r="BL246" s="333"/>
      <c r="BM246" s="333"/>
      <c r="BN246" s="333"/>
      <c r="BO246" s="333"/>
      <c r="BP246" s="333"/>
      <c r="BQ246" s="333"/>
      <c r="BR246" s="333"/>
      <c r="BS246" s="333"/>
      <c r="BT246" s="333"/>
      <c r="BU246" s="333"/>
      <c r="BV246" s="333"/>
      <c r="BW246" s="333"/>
      <c r="BX246" s="333"/>
      <c r="BY246" s="333"/>
      <c r="BZ246" s="333"/>
      <c r="CA246" s="333"/>
      <c r="CB246" s="333"/>
      <c r="CC246" s="333"/>
      <c r="CD246" s="333"/>
      <c r="CE246" s="333"/>
      <c r="CF246" s="333"/>
      <c r="CG246" s="333"/>
      <c r="CH246" s="333"/>
      <c r="CI246" s="333"/>
      <c r="CJ246" s="333"/>
      <c r="CK246" s="333"/>
      <c r="CL246" s="333"/>
      <c r="CM246" s="333"/>
      <c r="CN246" s="333"/>
      <c r="CO246" s="333"/>
      <c r="CP246" s="333"/>
      <c r="CQ246" s="333"/>
      <c r="CR246" s="333"/>
      <c r="CS246" s="333"/>
      <c r="CT246" s="333"/>
      <c r="CU246" s="333"/>
      <c r="CV246" s="333"/>
      <c r="CW246" s="333"/>
      <c r="CX246" s="333"/>
      <c r="CY246" s="333"/>
      <c r="CZ246" s="333"/>
      <c r="DA246" s="333"/>
      <c r="DB246" s="333"/>
      <c r="DC246" s="333"/>
      <c r="DD246" s="333"/>
      <c r="DE246" s="333"/>
      <c r="DF246" s="333"/>
      <c r="DG246" s="333"/>
      <c r="DH246" s="333"/>
      <c r="DI246" s="333"/>
      <c r="DJ246" s="333"/>
      <c r="DK246" s="333"/>
      <c r="DL246" s="333"/>
      <c r="DM246" s="333"/>
      <c r="DN246" s="333"/>
      <c r="DO246" s="333"/>
      <c r="DP246" s="333"/>
      <c r="DQ246" s="333"/>
      <c r="DR246" s="333"/>
      <c r="DS246" s="333"/>
      <c r="DT246" s="333"/>
      <c r="DU246" s="375"/>
      <c r="DV246" s="375"/>
      <c r="DW246" s="375"/>
      <c r="DX246" s="375"/>
      <c r="DY246" s="375"/>
      <c r="DZ246" s="375"/>
      <c r="EA246" s="375"/>
      <c r="EB246" s="375"/>
      <c r="EC246" s="375"/>
      <c r="ED246" s="375"/>
      <c r="EE246" s="375"/>
      <c r="EF246" s="375"/>
      <c r="EG246" s="375"/>
      <c r="EH246" s="375"/>
      <c r="EI246" s="375"/>
      <c r="EJ246" s="373"/>
      <c r="EK246" s="373"/>
      <c r="EL246" s="366"/>
      <c r="EM246" s="366"/>
      <c r="EN246" s="364"/>
      <c r="EO246" s="351"/>
      <c r="EP246" s="347"/>
      <c r="EQ246" s="342"/>
      <c r="ER246" s="522"/>
      <c r="ES246" s="916">
        <f>IF(ER246 = "", 0,
IF(AND(EP246 &gt; 0, EQ246 &gt;0), 0, IF(EO245 &lt;&gt; $Z$1,
IF(AND(EP246 &lt;&gt; "", EP246 &lt;&gt; 0), -(EP246 * ER246 * 100),
IF(AND(EQ246 &lt;&gt; "", EQ246 &lt;&gt; 0), (EQ246 * ER246 * 100), 0)),
IF(AND(EP246 &lt;&gt; "", EP246 &lt;&gt; 0), -(EP246 * ER246 * 1),
IF(AND(EQ246 &lt;&gt; "", EQ246 &lt;&gt; 0), (EQ246 * ER246 * 1), 0))  )))</f>
        <v>0</v>
      </c>
      <c r="ET246" s="917"/>
      <c r="EU246" s="918"/>
      <c r="EV246" s="916">
        <f>IF(ER246 = "", 0,
IF(AND(EP246 &gt; 0, EQ246 &gt;0), 0,  IF(EO245 &lt;&gt; $Z$1,
IF(AND(EP246 &lt;&gt; "", EP246 &lt;&gt; 0), -(EP246 * ER246 * 100 * (1 + COMIS_OPCION)),
IF(AND(EQ246 &lt;&gt; "", EQ246 &lt;&gt; 0), (EQ246 * ER246 * 100 * (1 - COMIS_OPCION)), 0)),
IF(AND(EP246 &lt;&gt; "", EP246 &lt;&gt; 0), -(EP246 * ER246 * 1 * (1 + COMIS_ACCION)),
IF(AND(EQ246 &lt;&gt; "", EQ246 &lt;&gt; 0), (EQ246 * ER246 * 1 * (1 - COMIS_ACCION)), 0))  )))</f>
        <v>0</v>
      </c>
      <c r="EW246" s="917"/>
      <c r="EX246" s="917"/>
      <c r="EY246" s="917"/>
      <c r="EZ246" s="917"/>
      <c r="FA246" s="917"/>
      <c r="FB246" s="917"/>
      <c r="FC246" s="917"/>
      <c r="FD246" s="925"/>
      <c r="FE246" s="340"/>
      <c r="FF246" s="340"/>
      <c r="FG246" s="364"/>
      <c r="FH246" s="364"/>
      <c r="FI246" s="339"/>
      <c r="FJ246" s="347"/>
      <c r="FK246" s="342"/>
      <c r="FL246" s="343"/>
      <c r="FM246" s="930">
        <f>IF(FL246 = "", 0,
IF(AND(FJ246 &gt; 0, FK246 &gt;0), 0,
IF(AND(FJ246 &lt;&gt; "", FJ246 &lt;&gt; 0), -(FJ246 * FL246 * 100),
IF(AND(FK246 &lt;&gt; "", FK246 &lt;&gt; 0), (FK246 * FL246 * 100), 0)) ))</f>
        <v>0</v>
      </c>
      <c r="FN246" s="931"/>
      <c r="FO246" s="932"/>
      <c r="FP246" s="930">
        <f>IF(FL246 = "", 0,
IF(AND(FJ246 &gt; 0, FK246 &gt;0), 0,
IF(AND(FJ246 &lt;&gt; "", FJ246 &lt;&gt; 0), -(FJ246 * FL246 * 100 * (1 + COMIS_OPCION)),
IF(AND(FK246 &lt;&gt; "", FK246 &lt;&gt; 0), (FK246 * FL246 * 100 * (1 - COMIS_OPCION)), 0)) ))</f>
        <v>0</v>
      </c>
      <c r="FQ246" s="931"/>
      <c r="FR246" s="931"/>
      <c r="FS246" s="931"/>
      <c r="FT246" s="931"/>
      <c r="FU246" s="931"/>
      <c r="FV246" s="931"/>
      <c r="FW246" s="931"/>
      <c r="FX246" s="933"/>
      <c r="FY246" s="341"/>
      <c r="FZ246" s="341"/>
      <c r="GA246" s="341"/>
      <c r="GB246" s="495">
        <v>0</v>
      </c>
      <c r="GC246" s="495">
        <v>0</v>
      </c>
      <c r="GD246" s="500"/>
      <c r="GE246" s="495">
        <v>0</v>
      </c>
      <c r="GF246" s="495">
        <v>0</v>
      </c>
      <c r="GG246" s="495">
        <v>0</v>
      </c>
      <c r="GH246" s="359"/>
      <c r="GI246" s="359"/>
      <c r="GJ246" s="501"/>
      <c r="GK246" s="495">
        <v>0</v>
      </c>
      <c r="GL246" s="495">
        <v>0</v>
      </c>
      <c r="GM246" s="495">
        <v>0</v>
      </c>
      <c r="GN246" s="359"/>
      <c r="GO246" s="359"/>
      <c r="GP246" s="501"/>
      <c r="GQ246" s="495">
        <v>0</v>
      </c>
      <c r="GR246" s="375"/>
      <c r="GS246" s="333"/>
      <c r="GT246" s="333"/>
      <c r="GU246" s="333"/>
      <c r="GV246" s="333"/>
      <c r="GW246" s="333"/>
      <c r="GX246" s="333"/>
      <c r="GY246" s="333"/>
      <c r="GZ246" s="333"/>
      <c r="HA246" s="333"/>
      <c r="HB246" s="333"/>
      <c r="HC246" s="333"/>
      <c r="HD246" s="333"/>
      <c r="HE246" s="333"/>
      <c r="HF246" s="333"/>
      <c r="HG246" s="331"/>
      <c r="HH246" s="331"/>
      <c r="HI246" s="331"/>
      <c r="HJ246" s="331"/>
      <c r="HK246" s="331"/>
      <c r="HL246" s="331"/>
      <c r="HM246" s="331"/>
      <c r="HN246" s="333"/>
      <c r="HO246" s="333"/>
      <c r="HP246" s="333"/>
      <c r="HQ246" s="333"/>
      <c r="HR246" s="333"/>
      <c r="HS246" s="333"/>
      <c r="HT246" s="333"/>
      <c r="HU246" s="333"/>
      <c r="HV246" s="333"/>
      <c r="HW246" s="333"/>
      <c r="HX246" s="333"/>
      <c r="HY246" s="333"/>
      <c r="HZ246" s="333"/>
      <c r="IA246" s="333"/>
      <c r="IB246" s="333"/>
      <c r="IC246" s="333"/>
      <c r="ID246" s="55"/>
      <c r="IE246" s="47"/>
      <c r="IO246" s="51"/>
    </row>
    <row r="247" spans="13:249" s="142" customFormat="1" ht="15" customHeight="1">
      <c r="M247" s="333"/>
      <c r="N247" s="333"/>
      <c r="O247" s="333"/>
      <c r="P247" s="333"/>
      <c r="Q247" s="333"/>
      <c r="R247" s="333"/>
      <c r="S247" s="333"/>
      <c r="T247" s="333"/>
      <c r="U247" s="333"/>
      <c r="V247" s="333"/>
      <c r="W247" s="333"/>
      <c r="X247" s="333"/>
      <c r="Y247" s="333"/>
      <c r="Z247" s="333"/>
      <c r="AA247" s="333"/>
      <c r="AB247" s="333"/>
      <c r="AC247" s="333"/>
      <c r="AD247" s="333"/>
      <c r="AE247" s="333"/>
      <c r="AF247" s="333"/>
      <c r="AG247" s="333"/>
      <c r="AH247" s="333"/>
      <c r="AI247" s="333"/>
      <c r="AJ247" s="333"/>
      <c r="AK247" s="333"/>
      <c r="AL247" s="333"/>
      <c r="AM247" s="333"/>
      <c r="AN247" s="333"/>
      <c r="AO247" s="333"/>
      <c r="AP247" s="333"/>
      <c r="AQ247" s="333"/>
      <c r="AR247" s="333"/>
      <c r="AS247" s="333"/>
      <c r="AT247" s="333"/>
      <c r="AU247" s="333"/>
      <c r="AV247" s="333"/>
      <c r="AW247" s="333"/>
      <c r="AX247" s="333"/>
      <c r="AY247" s="333"/>
      <c r="AZ247" s="333"/>
      <c r="BA247" s="333"/>
      <c r="BB247" s="333"/>
      <c r="BC247" s="333"/>
      <c r="BD247" s="333"/>
      <c r="BE247" s="333"/>
      <c r="BF247" s="333"/>
      <c r="BG247" s="333"/>
      <c r="BH247" s="333"/>
      <c r="BI247" s="333"/>
      <c r="BJ247" s="333"/>
      <c r="BK247" s="333"/>
      <c r="BL247" s="333"/>
      <c r="BM247" s="333"/>
      <c r="BN247" s="333"/>
      <c r="BO247" s="333"/>
      <c r="BP247" s="333"/>
      <c r="BQ247" s="333"/>
      <c r="BR247" s="333"/>
      <c r="BS247" s="333"/>
      <c r="BT247" s="333"/>
      <c r="BU247" s="333"/>
      <c r="BV247" s="333"/>
      <c r="BW247" s="333"/>
      <c r="BX247" s="333"/>
      <c r="BY247" s="333"/>
      <c r="BZ247" s="333"/>
      <c r="CA247" s="333"/>
      <c r="CB247" s="333"/>
      <c r="CC247" s="333"/>
      <c r="CD247" s="333"/>
      <c r="CE247" s="333"/>
      <c r="CF247" s="333"/>
      <c r="CG247" s="333"/>
      <c r="CH247" s="333"/>
      <c r="CI247" s="333"/>
      <c r="CJ247" s="333"/>
      <c r="CK247" s="333"/>
      <c r="CL247" s="333"/>
      <c r="CM247" s="333"/>
      <c r="CN247" s="333"/>
      <c r="CO247" s="333"/>
      <c r="CP247" s="333"/>
      <c r="CQ247" s="333"/>
      <c r="CR247" s="333"/>
      <c r="CS247" s="333"/>
      <c r="CT247" s="333"/>
      <c r="CU247" s="333"/>
      <c r="CV247" s="333"/>
      <c r="CW247" s="333"/>
      <c r="CX247" s="333"/>
      <c r="CY247" s="333"/>
      <c r="CZ247" s="333"/>
      <c r="DA247" s="333"/>
      <c r="DB247" s="333"/>
      <c r="DC247" s="333"/>
      <c r="DD247" s="333"/>
      <c r="DE247" s="333"/>
      <c r="DF247" s="333"/>
      <c r="DG247" s="333"/>
      <c r="DH247" s="333"/>
      <c r="DI247" s="333"/>
      <c r="DJ247" s="333"/>
      <c r="DK247" s="333"/>
      <c r="DL247" s="333"/>
      <c r="DM247" s="333"/>
      <c r="DN247" s="333"/>
      <c r="DO247" s="333"/>
      <c r="DP247" s="333"/>
      <c r="DQ247" s="333"/>
      <c r="DR247" s="333"/>
      <c r="DS247" s="333"/>
      <c r="DT247" s="333"/>
      <c r="DU247" s="375"/>
      <c r="DV247" s="375"/>
      <c r="DW247" s="375"/>
      <c r="DX247" s="375"/>
      <c r="DY247" s="375"/>
      <c r="DZ247" s="375"/>
      <c r="EA247" s="375"/>
      <c r="EB247" s="375"/>
      <c r="EC247" s="375"/>
      <c r="ED247" s="375"/>
      <c r="EE247" s="375"/>
      <c r="EF247" s="375"/>
      <c r="EG247" s="375"/>
      <c r="EH247" s="375"/>
      <c r="EI247" s="375"/>
      <c r="EJ247" s="373"/>
      <c r="EK247" s="373"/>
      <c r="EL247" s="366"/>
      <c r="EM247" s="368"/>
      <c r="EN247" s="364"/>
      <c r="EO247" s="352">
        <f>+SUM(EP245:EP249) - SUM(EQ245:EQ249)</f>
        <v>0</v>
      </c>
      <c r="EP247" s="347"/>
      <c r="EQ247" s="342"/>
      <c r="ER247" s="522"/>
      <c r="ES247" s="916">
        <f>IF(ER247 = "", 0,
IF(AND(EP247 &gt; 0, EQ247 &gt;0), 0, IF(EO245 &lt;&gt; $Z$1,
IF(AND(EP247 &lt;&gt; "", EP247 &lt;&gt; 0), -(EP247 * ER247 * 100),
IF(AND(EQ247 &lt;&gt; "", EQ247 &lt;&gt; 0), (EQ247 * ER247 * 100), 0)),
IF(AND(EP247 &lt;&gt; "", EP247 &lt;&gt; 0), -(EP247 * ER247 * 1),
IF(AND(EQ247 &lt;&gt; "", EQ247 &lt;&gt; 0), (EQ247 * ER247 * 1), 0))  )))</f>
        <v>0</v>
      </c>
      <c r="ET247" s="917"/>
      <c r="EU247" s="918"/>
      <c r="EV247" s="916">
        <f>IF(ER247 = "", 0,
IF(AND(EP247 &gt; 0, EQ247 &gt;0), 0,  IF(EO245 &lt;&gt; $Z$1,
IF(AND(EP247 &lt;&gt; "", EP247 &lt;&gt; 0), -(EP247 * ER247 * 100 * (1 + COMIS_OPCION)),
IF(AND(EQ247 &lt;&gt; "", EQ247 &lt;&gt; 0), (EQ247 * ER247 * 100 * (1 - COMIS_OPCION)), 0)),
IF(AND(EP247 &lt;&gt; "", EP247 &lt;&gt; 0), -(EP247 * ER247 * 1 * (1 + COMIS_ACCION)),
IF(AND(EQ247 &lt;&gt; "", EQ247 &lt;&gt; 0), (EQ247 * ER247 * 1 * (1 - COMIS_ACCION)), 0))  )))</f>
        <v>0</v>
      </c>
      <c r="EW247" s="917"/>
      <c r="EX247" s="917"/>
      <c r="EY247" s="917"/>
      <c r="EZ247" s="917"/>
      <c r="FA247" s="917"/>
      <c r="FB247" s="917"/>
      <c r="FC247" s="917"/>
      <c r="FD247" s="925"/>
      <c r="FE247" s="340"/>
      <c r="FF247" s="340"/>
      <c r="FG247" s="365"/>
      <c r="FH247" s="365"/>
      <c r="FI247" s="354">
        <f>+SUM(FJ245:FJ249) - SUM(FK245:FK249)</f>
        <v>0</v>
      </c>
      <c r="FJ247" s="347"/>
      <c r="FK247" s="342"/>
      <c r="FL247" s="343"/>
      <c r="FM247" s="930">
        <f>IF(FL247 = "", 0,
IF(AND(FJ247 &gt; 0, FK247 &gt;0), 0,
IF(AND(FJ247 &lt;&gt; "", FJ247 &lt;&gt; 0), -(FJ247 * FL247 * 100),
IF(AND(FK247 &lt;&gt; "", FK247 &lt;&gt; 0), (FK247 * FL247 * 100), 0)) ))</f>
        <v>0</v>
      </c>
      <c r="FN247" s="931"/>
      <c r="FO247" s="932"/>
      <c r="FP247" s="930">
        <f>IF(FL247 = "", 0,
IF(AND(FJ247 &gt; 0, FK247 &gt;0), 0,
IF(AND(FJ247 &lt;&gt; "", FJ247 &lt;&gt; 0), -(FJ247 * FL247 * 100 * (1 + COMIS_OPCION)),
IF(AND(FK247 &lt;&gt; "", FK247 &lt;&gt; 0), (FK247 * FL247 * 100 * (1 - COMIS_OPCION)), 0)) ))</f>
        <v>0</v>
      </c>
      <c r="FQ247" s="931"/>
      <c r="FR247" s="931"/>
      <c r="FS247" s="931"/>
      <c r="FT247" s="931"/>
      <c r="FU247" s="931"/>
      <c r="FV247" s="931"/>
      <c r="FW247" s="931"/>
      <c r="FX247" s="933"/>
      <c r="FY247" s="341"/>
      <c r="FZ247" s="341"/>
      <c r="GA247" s="341"/>
      <c r="GB247" s="495">
        <v>0</v>
      </c>
      <c r="GC247" s="495">
        <v>0</v>
      </c>
      <c r="GD247" s="500"/>
      <c r="GE247" s="495">
        <v>0</v>
      </c>
      <c r="GF247" s="495">
        <v>0</v>
      </c>
      <c r="GG247" s="495">
        <v>0</v>
      </c>
      <c r="GH247" s="359"/>
      <c r="GI247" s="359"/>
      <c r="GJ247" s="501"/>
      <c r="GK247" s="495">
        <v>0</v>
      </c>
      <c r="GL247" s="495">
        <v>0</v>
      </c>
      <c r="GM247" s="495">
        <v>0</v>
      </c>
      <c r="GN247" s="359"/>
      <c r="GO247" s="359"/>
      <c r="GP247" s="501"/>
      <c r="GQ247" s="495">
        <v>0</v>
      </c>
      <c r="GR247" s="375"/>
      <c r="GS247" s="333"/>
      <c r="GT247" s="333"/>
      <c r="GU247" s="333"/>
      <c r="GV247" s="333"/>
      <c r="GW247" s="333"/>
      <c r="GX247" s="333"/>
      <c r="GY247" s="333"/>
      <c r="GZ247" s="333"/>
      <c r="HA247" s="333"/>
      <c r="HB247" s="333"/>
      <c r="HC247" s="333"/>
      <c r="HD247" s="333"/>
      <c r="HE247" s="333"/>
      <c r="HF247" s="333"/>
      <c r="HG247" s="331"/>
      <c r="HH247" s="331"/>
      <c r="HI247" s="331"/>
      <c r="HJ247" s="331"/>
      <c r="HK247" s="331"/>
      <c r="HL247" s="331"/>
      <c r="HM247" s="331"/>
      <c r="HN247" s="333"/>
      <c r="HO247" s="333"/>
      <c r="HP247" s="333"/>
      <c r="HQ247" s="333"/>
      <c r="HR247" s="333"/>
      <c r="HS247" s="333"/>
      <c r="HT247" s="333"/>
      <c r="HU247" s="333"/>
      <c r="HV247" s="333"/>
      <c r="HW247" s="333"/>
      <c r="HX247" s="333"/>
      <c r="HY247" s="333"/>
      <c r="HZ247" s="333"/>
      <c r="IA247" s="333"/>
      <c r="IB247" s="333"/>
      <c r="IC247" s="333"/>
      <c r="ID247" s="55"/>
      <c r="IE247" s="47"/>
      <c r="IO247" s="51"/>
    </row>
    <row r="248" spans="13:249" s="142" customFormat="1" ht="15" customHeight="1">
      <c r="M248" s="333"/>
      <c r="N248" s="333"/>
      <c r="O248" s="333"/>
      <c r="P248" s="333"/>
      <c r="Q248" s="333"/>
      <c r="R248" s="333"/>
      <c r="S248" s="333"/>
      <c r="T248" s="333"/>
      <c r="U248" s="333"/>
      <c r="V248" s="333"/>
      <c r="W248" s="333"/>
      <c r="X248" s="333"/>
      <c r="Y248" s="333"/>
      <c r="Z248" s="333"/>
      <c r="AA248" s="333"/>
      <c r="AB248" s="333"/>
      <c r="AC248" s="333"/>
      <c r="AD248" s="333"/>
      <c r="AE248" s="333"/>
      <c r="AF248" s="333"/>
      <c r="AG248" s="333"/>
      <c r="AH248" s="333"/>
      <c r="AI248" s="333"/>
      <c r="AJ248" s="333"/>
      <c r="AK248" s="333"/>
      <c r="AL248" s="333"/>
      <c r="AM248" s="333"/>
      <c r="AN248" s="333"/>
      <c r="AO248" s="333"/>
      <c r="AP248" s="333"/>
      <c r="AQ248" s="333"/>
      <c r="AR248" s="333"/>
      <c r="AS248" s="333"/>
      <c r="AT248" s="333"/>
      <c r="AU248" s="333"/>
      <c r="AV248" s="333"/>
      <c r="AW248" s="333"/>
      <c r="AX248" s="333"/>
      <c r="AY248" s="333"/>
      <c r="AZ248" s="333"/>
      <c r="BA248" s="333"/>
      <c r="BB248" s="333"/>
      <c r="BC248" s="333"/>
      <c r="BD248" s="333"/>
      <c r="BE248" s="333"/>
      <c r="BF248" s="333"/>
      <c r="BG248" s="333"/>
      <c r="BH248" s="333"/>
      <c r="BI248" s="333"/>
      <c r="BJ248" s="333"/>
      <c r="BK248" s="333"/>
      <c r="BL248" s="333"/>
      <c r="BM248" s="333"/>
      <c r="BN248" s="333"/>
      <c r="BO248" s="333"/>
      <c r="BP248" s="333"/>
      <c r="BQ248" s="333"/>
      <c r="BR248" s="333"/>
      <c r="BS248" s="333"/>
      <c r="BT248" s="333"/>
      <c r="BU248" s="333"/>
      <c r="BV248" s="333"/>
      <c r="BW248" s="333"/>
      <c r="BX248" s="333"/>
      <c r="BY248" s="333"/>
      <c r="BZ248" s="333"/>
      <c r="CA248" s="333"/>
      <c r="CB248" s="333"/>
      <c r="CC248" s="333"/>
      <c r="CD248" s="333"/>
      <c r="CE248" s="333"/>
      <c r="CF248" s="333"/>
      <c r="CG248" s="333"/>
      <c r="CH248" s="333"/>
      <c r="CI248" s="333"/>
      <c r="CJ248" s="333"/>
      <c r="CK248" s="333"/>
      <c r="CL248" s="333"/>
      <c r="CM248" s="333"/>
      <c r="CN248" s="333"/>
      <c r="CO248" s="333"/>
      <c r="CP248" s="333"/>
      <c r="CQ248" s="333"/>
      <c r="CR248" s="333"/>
      <c r="CS248" s="333"/>
      <c r="CT248" s="333"/>
      <c r="CU248" s="333"/>
      <c r="CV248" s="333"/>
      <c r="CW248" s="333"/>
      <c r="CX248" s="333"/>
      <c r="CY248" s="333"/>
      <c r="CZ248" s="333"/>
      <c r="DA248" s="333"/>
      <c r="DB248" s="333"/>
      <c r="DC248" s="333"/>
      <c r="DD248" s="333"/>
      <c r="DE248" s="333"/>
      <c r="DF248" s="333"/>
      <c r="DG248" s="333"/>
      <c r="DH248" s="333"/>
      <c r="DI248" s="333"/>
      <c r="DJ248" s="333"/>
      <c r="DK248" s="333"/>
      <c r="DL248" s="333"/>
      <c r="DM248" s="333"/>
      <c r="DN248" s="333"/>
      <c r="DO248" s="333"/>
      <c r="DP248" s="333"/>
      <c r="DQ248" s="333"/>
      <c r="DR248" s="333"/>
      <c r="DS248" s="333"/>
      <c r="DT248" s="333"/>
      <c r="DU248" s="375"/>
      <c r="DV248" s="375"/>
      <c r="DW248" s="375"/>
      <c r="DX248" s="375"/>
      <c r="DY248" s="375"/>
      <c r="DZ248" s="375"/>
      <c r="EA248" s="375"/>
      <c r="EB248" s="375"/>
      <c r="EC248" s="375"/>
      <c r="ED248" s="375"/>
      <c r="EE248" s="375"/>
      <c r="EF248" s="375"/>
      <c r="EG248" s="375"/>
      <c r="EH248" s="375"/>
      <c r="EI248" s="375"/>
      <c r="EJ248" s="373"/>
      <c r="EK248" s="373"/>
      <c r="EL248" s="366"/>
      <c r="EM248" s="368"/>
      <c r="EN248" s="364"/>
      <c r="EO248" s="352">
        <f>IF(EO247=0, 0, SUM(EV245:FD249))</f>
        <v>0</v>
      </c>
      <c r="EP248" s="347"/>
      <c r="EQ248" s="342"/>
      <c r="ER248" s="522"/>
      <c r="ES248" s="916">
        <f>IF(ER248 = "", 0,
IF(AND(EP248 &gt; 0, EQ248 &gt;0), 0, IF(EO245 &lt;&gt; $Z$1,
IF(AND(EP248 &lt;&gt; "", EP248 &lt;&gt; 0), -(EP248 * ER248 * 100),
IF(AND(EQ248 &lt;&gt; "", EQ248 &lt;&gt; 0), (EQ248 * ER248 * 100), 0)),
IF(AND(EP248 &lt;&gt; "", EP248 &lt;&gt; 0), -(EP248 * ER248 * 1),
IF(AND(EQ248 &lt;&gt; "", EQ248 &lt;&gt; 0), (EQ248 * ER248 * 1), 0))  )))</f>
        <v>0</v>
      </c>
      <c r="ET248" s="917"/>
      <c r="EU248" s="918"/>
      <c r="EV248" s="916">
        <f>IF(ER248 = "", 0,
IF(AND(EP248 &gt; 0, EQ248 &gt;0), 0,  IF(EO245 &lt;&gt; $Z$1,
IF(AND(EP248 &lt;&gt; "", EP248 &lt;&gt; 0), -(EP248 * ER248 * 100 * (1 + COMIS_OPCION)),
IF(AND(EQ248 &lt;&gt; "", EQ248 &lt;&gt; 0), (EQ248 * ER248 * 100 * (1 - COMIS_OPCION)), 0)),
IF(AND(EP248 &lt;&gt; "", EP248 &lt;&gt; 0), -(EP248 * ER248 * 1 * (1 + COMIS_ACCION)),
IF(AND(EQ248 &lt;&gt; "", EQ248 &lt;&gt; 0), (EQ248 * ER248 * 1 * (1 - COMIS_ACCION)), 0))  )))</f>
        <v>0</v>
      </c>
      <c r="EW248" s="917"/>
      <c r="EX248" s="917"/>
      <c r="EY248" s="917"/>
      <c r="EZ248" s="917"/>
      <c r="FA248" s="917"/>
      <c r="FB248" s="917"/>
      <c r="FC248" s="917"/>
      <c r="FD248" s="925"/>
      <c r="FE248" s="340"/>
      <c r="FF248" s="340"/>
      <c r="FG248" s="365"/>
      <c r="FH248" s="365"/>
      <c r="FI248" s="354">
        <f>IF(FI247=0, 0, SUM(FP245:FX249))</f>
        <v>0</v>
      </c>
      <c r="FJ248" s="347"/>
      <c r="FK248" s="342"/>
      <c r="FL248" s="343"/>
      <c r="FM248" s="930">
        <f>IF(FL248 = "", 0,
IF(AND(FJ248 &gt; 0, FK248 &gt;0), 0,
IF(AND(FJ248 &lt;&gt; "", FJ248 &lt;&gt; 0), -(FJ248 * FL248 * 100),
IF(AND(FK248 &lt;&gt; "", FK248 &lt;&gt; 0), (FK248 * FL248 * 100), 0)) ))</f>
        <v>0</v>
      </c>
      <c r="FN248" s="931"/>
      <c r="FO248" s="932"/>
      <c r="FP248" s="930">
        <f>IF(FL248 = "", 0,
IF(AND(FJ248 &gt; 0, FK248 &gt;0), 0,
IF(AND(FJ248 &lt;&gt; "", FJ248 &lt;&gt; 0), -(FJ248 * FL248 * 100 * (1 + COMIS_OPCION)),
IF(AND(FK248 &lt;&gt; "", FK248 &lt;&gt; 0), (FK248 * FL248 * 100 * (1 - COMIS_OPCION)), 0)) ))</f>
        <v>0</v>
      </c>
      <c r="FQ248" s="931"/>
      <c r="FR248" s="931"/>
      <c r="FS248" s="931"/>
      <c r="FT248" s="931"/>
      <c r="FU248" s="931"/>
      <c r="FV248" s="931"/>
      <c r="FW248" s="931"/>
      <c r="FX248" s="933"/>
      <c r="FY248" s="341"/>
      <c r="FZ248" s="341"/>
      <c r="GA248" s="341"/>
      <c r="GB248" s="495">
        <v>0</v>
      </c>
      <c r="GC248" s="495">
        <v>0</v>
      </c>
      <c r="GD248" s="500"/>
      <c r="GE248" s="495">
        <v>0</v>
      </c>
      <c r="GF248" s="495">
        <v>0</v>
      </c>
      <c r="GG248" s="495">
        <v>0</v>
      </c>
      <c r="GH248" s="359"/>
      <c r="GI248" s="359"/>
      <c r="GJ248" s="501"/>
      <c r="GK248" s="495">
        <v>0</v>
      </c>
      <c r="GL248" s="495">
        <v>0</v>
      </c>
      <c r="GM248" s="495">
        <v>0</v>
      </c>
      <c r="GN248" s="359"/>
      <c r="GO248" s="359"/>
      <c r="GP248" s="501"/>
      <c r="GQ248" s="495">
        <v>0</v>
      </c>
      <c r="GR248" s="375"/>
      <c r="GS248" s="333"/>
      <c r="GT248" s="333"/>
      <c r="GU248" s="333"/>
      <c r="GV248" s="333"/>
      <c r="GW248" s="333"/>
      <c r="GX248" s="333"/>
      <c r="GY248" s="333"/>
      <c r="GZ248" s="333"/>
      <c r="HA248" s="333"/>
      <c r="HB248" s="333"/>
      <c r="HC248" s="333"/>
      <c r="HD248" s="333"/>
      <c r="HE248" s="333"/>
      <c r="HF248" s="333"/>
      <c r="HG248" s="331"/>
      <c r="HH248" s="331"/>
      <c r="HI248" s="331"/>
      <c r="HJ248" s="331"/>
      <c r="HK248" s="331"/>
      <c r="HL248" s="331"/>
      <c r="HM248" s="331"/>
      <c r="HN248" s="333"/>
      <c r="HO248" s="333"/>
      <c r="HP248" s="333"/>
      <c r="HQ248" s="333"/>
      <c r="HR248" s="333"/>
      <c r="HS248" s="333"/>
      <c r="HT248" s="333"/>
      <c r="HU248" s="333"/>
      <c r="HV248" s="333"/>
      <c r="HW248" s="333"/>
      <c r="HX248" s="333"/>
      <c r="HY248" s="333"/>
      <c r="HZ248" s="333"/>
      <c r="IA248" s="333"/>
      <c r="IB248" s="333"/>
      <c r="IC248" s="333"/>
      <c r="ID248" s="55"/>
      <c r="IE248" s="47"/>
      <c r="IO248" s="51"/>
    </row>
    <row r="249" spans="13:249" s="142" customFormat="1" ht="15" customHeight="1" thickBot="1">
      <c r="M249" s="333"/>
      <c r="N249" s="333"/>
      <c r="O249" s="333"/>
      <c r="P249" s="333"/>
      <c r="Q249" s="333"/>
      <c r="R249" s="333"/>
      <c r="S249" s="333"/>
      <c r="T249" s="333"/>
      <c r="U249" s="333"/>
      <c r="V249" s="333"/>
      <c r="W249" s="333"/>
      <c r="X249" s="333"/>
      <c r="Y249" s="333"/>
      <c r="Z249" s="333"/>
      <c r="AA249" s="333"/>
      <c r="AB249" s="333"/>
      <c r="AC249" s="333"/>
      <c r="AD249" s="333"/>
      <c r="AE249" s="333"/>
      <c r="AF249" s="333"/>
      <c r="AG249" s="333"/>
      <c r="AH249" s="333"/>
      <c r="AI249" s="333"/>
      <c r="AJ249" s="333"/>
      <c r="AK249" s="333"/>
      <c r="AL249" s="333"/>
      <c r="AM249" s="333"/>
      <c r="AN249" s="333"/>
      <c r="AO249" s="333"/>
      <c r="AP249" s="333"/>
      <c r="AQ249" s="333"/>
      <c r="AR249" s="333"/>
      <c r="AS249" s="333"/>
      <c r="AT249" s="333"/>
      <c r="AU249" s="333"/>
      <c r="AV249" s="333"/>
      <c r="AW249" s="333"/>
      <c r="AX249" s="333"/>
      <c r="AY249" s="333"/>
      <c r="AZ249" s="333"/>
      <c r="BA249" s="333"/>
      <c r="BB249" s="333"/>
      <c r="BC249" s="333"/>
      <c r="BD249" s="333"/>
      <c r="BE249" s="333"/>
      <c r="BF249" s="333"/>
      <c r="BG249" s="333"/>
      <c r="BH249" s="333"/>
      <c r="BI249" s="333"/>
      <c r="BJ249" s="333"/>
      <c r="BK249" s="333"/>
      <c r="BL249" s="333"/>
      <c r="BM249" s="333"/>
      <c r="BN249" s="333"/>
      <c r="BO249" s="333"/>
      <c r="BP249" s="333"/>
      <c r="BQ249" s="333"/>
      <c r="BR249" s="333"/>
      <c r="BS249" s="333"/>
      <c r="BT249" s="333"/>
      <c r="BU249" s="333"/>
      <c r="BV249" s="333"/>
      <c r="BW249" s="333"/>
      <c r="BX249" s="333"/>
      <c r="BY249" s="333"/>
      <c r="BZ249" s="333"/>
      <c r="CA249" s="333"/>
      <c r="CB249" s="333"/>
      <c r="CC249" s="333"/>
      <c r="CD249" s="333"/>
      <c r="CE249" s="333"/>
      <c r="CF249" s="333"/>
      <c r="CG249" s="333"/>
      <c r="CH249" s="333"/>
      <c r="CI249" s="333"/>
      <c r="CJ249" s="333"/>
      <c r="CK249" s="333"/>
      <c r="CL249" s="333"/>
      <c r="CM249" s="333"/>
      <c r="CN249" s="333"/>
      <c r="CO249" s="333"/>
      <c r="CP249" s="333"/>
      <c r="CQ249" s="333"/>
      <c r="CR249" s="333"/>
      <c r="CS249" s="333"/>
      <c r="CT249" s="333"/>
      <c r="CU249" s="333"/>
      <c r="CV249" s="333"/>
      <c r="CW249" s="333"/>
      <c r="CX249" s="333"/>
      <c r="CY249" s="333"/>
      <c r="CZ249" s="333"/>
      <c r="DA249" s="333"/>
      <c r="DB249" s="333"/>
      <c r="DC249" s="333"/>
      <c r="DD249" s="333"/>
      <c r="DE249" s="333"/>
      <c r="DF249" s="333"/>
      <c r="DG249" s="333"/>
      <c r="DH249" s="333"/>
      <c r="DI249" s="333"/>
      <c r="DJ249" s="333"/>
      <c r="DK249" s="333"/>
      <c r="DL249" s="333"/>
      <c r="DM249" s="333"/>
      <c r="DN249" s="333"/>
      <c r="DO249" s="333"/>
      <c r="DP249" s="333"/>
      <c r="DQ249" s="333"/>
      <c r="DR249" s="333"/>
      <c r="DS249" s="333"/>
      <c r="DT249" s="333"/>
      <c r="DU249" s="375"/>
      <c r="DV249" s="375"/>
      <c r="DW249" s="375"/>
      <c r="DX249" s="375"/>
      <c r="DY249" s="375"/>
      <c r="DZ249" s="375"/>
      <c r="EA249" s="375"/>
      <c r="EB249" s="375"/>
      <c r="EC249" s="375"/>
      <c r="ED249" s="375"/>
      <c r="EE249" s="375"/>
      <c r="EF249" s="375"/>
      <c r="EG249" s="375"/>
      <c r="EH249" s="375"/>
      <c r="EI249" s="375"/>
      <c r="EJ249" s="373"/>
      <c r="EK249" s="373"/>
      <c r="EL249" s="366"/>
      <c r="EM249" s="368"/>
      <c r="EN249" s="364"/>
      <c r="EO249" s="353">
        <f>+IF(EO247= 0, 0, GG245)</f>
        <v>0</v>
      </c>
      <c r="EP249" s="350"/>
      <c r="EQ249" s="344"/>
      <c r="ER249" s="523"/>
      <c r="ES249" s="921">
        <f>IF(ER249 = "", 0,
IF(AND(EP249 &gt; 0, EQ249 &gt;0), 0, IF(EO245 &lt;&gt; $Z$1,
IF(AND(EP249 &lt;&gt; "", EP249 &lt;&gt; 0), -(EP249 * ER249 * 100),
IF(AND(EQ249 &lt;&gt; "", EQ249 &lt;&gt; 0), (EQ249 * ER249 * 100), 0)),
IF(AND(EP249 &lt;&gt; "", EP249 &lt;&gt; 0), -(EP249 * ER249 * 1),
IF(AND(EQ249 &lt;&gt; "", EQ249 &lt;&gt; 0), (EQ249 * ER249 * 1), 0))  )))</f>
        <v>0</v>
      </c>
      <c r="ET249" s="922"/>
      <c r="EU249" s="924"/>
      <c r="EV249" s="921">
        <f>IF(ER249 = "", 0,
IF(AND(EP249 &gt; 0, EQ249 &gt;0), 0,  IF(EO245 &lt;&gt; $Z$1,
IF(AND(EP249 &lt;&gt; "", EP249 &lt;&gt; 0), -(EP249 * ER249 * 100 * (1 + COMIS_OPCION)),
IF(AND(EQ249 &lt;&gt; "", EQ249 &lt;&gt; 0), (EQ249 * ER249 * 100 * (1 - COMIS_OPCION)), 0)),
IF(AND(EP249 &lt;&gt; "", EP249 &lt;&gt; 0), -(EP249 * ER249 * 1 * (1 + COMIS_ACCION)),
IF(AND(EQ249 &lt;&gt; "", EQ249 &lt;&gt; 0), (EQ249 * ER249 * 1 * (1 - COMIS_ACCION)), 0))  )))</f>
        <v>0</v>
      </c>
      <c r="EW249" s="922"/>
      <c r="EX249" s="922"/>
      <c r="EY249" s="922"/>
      <c r="EZ249" s="922"/>
      <c r="FA249" s="922"/>
      <c r="FB249" s="922"/>
      <c r="FC249" s="922"/>
      <c r="FD249" s="923"/>
      <c r="FE249" s="340"/>
      <c r="FF249" s="340"/>
      <c r="FG249" s="365"/>
      <c r="FH249" s="365"/>
      <c r="FI249" s="349">
        <f>+IF(FI247= 0, 0, GQ245)</f>
        <v>0</v>
      </c>
      <c r="FJ249" s="348"/>
      <c r="FK249" s="345"/>
      <c r="FL249" s="346"/>
      <c r="FM249" s="937">
        <f>IF(FL249 = "", 0,
IF(AND(FJ249 &gt; 0, FK249 &gt;0), 0,
IF(AND(FJ249 &lt;&gt; "", FJ249 &lt;&gt; 0), -(FJ249 * FL249 * 100),
IF(AND(FK249 &lt;&gt; "", FK249 &lt;&gt; 0), (FK249 * FL249 * 100), 0)) ))</f>
        <v>0</v>
      </c>
      <c r="FN249" s="938"/>
      <c r="FO249" s="939"/>
      <c r="FP249" s="937">
        <f>IF(FL249 = "", 0,
IF(AND(FJ249 &gt; 0, FK249 &gt;0), 0,
IF(AND(FJ249 &lt;&gt; "", FJ249 &lt;&gt; 0), -(FJ249 * FL249 * 100 * (1 + COMIS_OPCION)),
IF(AND(FK249 &lt;&gt; "", FK249 &lt;&gt; 0), (FK249 * FL249 * 100 * (1 - COMIS_OPCION)), 0)) ))</f>
        <v>0</v>
      </c>
      <c r="FQ249" s="938"/>
      <c r="FR249" s="938"/>
      <c r="FS249" s="938"/>
      <c r="FT249" s="938"/>
      <c r="FU249" s="938"/>
      <c r="FV249" s="938"/>
      <c r="FW249" s="938"/>
      <c r="FX249" s="969"/>
      <c r="FY249" s="341"/>
      <c r="FZ249" s="341"/>
      <c r="GA249" s="341"/>
      <c r="GB249" s="495">
        <v>0</v>
      </c>
      <c r="GC249" s="495">
        <v>0</v>
      </c>
      <c r="GD249" s="500"/>
      <c r="GE249" s="495">
        <v>0</v>
      </c>
      <c r="GF249" s="495">
        <v>0</v>
      </c>
      <c r="GG249" s="495">
        <v>0</v>
      </c>
      <c r="GH249" s="359"/>
      <c r="GI249" s="359"/>
      <c r="GJ249" s="501"/>
      <c r="GK249" s="495">
        <v>0</v>
      </c>
      <c r="GL249" s="495">
        <v>0</v>
      </c>
      <c r="GM249" s="495">
        <v>0</v>
      </c>
      <c r="GN249" s="359"/>
      <c r="GO249" s="359"/>
      <c r="GP249" s="501"/>
      <c r="GQ249" s="495">
        <v>0</v>
      </c>
      <c r="GR249" s="375"/>
      <c r="GS249" s="333"/>
      <c r="GT249" s="333"/>
      <c r="GU249" s="333"/>
      <c r="GV249" s="333"/>
      <c r="GW249" s="333"/>
      <c r="GX249" s="333"/>
      <c r="GY249" s="333"/>
      <c r="GZ249" s="333"/>
      <c r="HA249" s="333"/>
      <c r="HB249" s="333"/>
      <c r="HC249" s="333"/>
      <c r="HD249" s="333"/>
      <c r="HE249" s="333"/>
      <c r="HF249" s="333"/>
      <c r="HG249" s="331"/>
      <c r="HH249" s="331"/>
      <c r="HI249" s="331"/>
      <c r="HJ249" s="331"/>
      <c r="HK249" s="331"/>
      <c r="HL249" s="331"/>
      <c r="HM249" s="331"/>
      <c r="HN249" s="333"/>
      <c r="HO249" s="333"/>
      <c r="HP249" s="333"/>
      <c r="HQ249" s="333"/>
      <c r="HR249" s="333"/>
      <c r="HS249" s="333"/>
      <c r="HT249" s="333"/>
      <c r="HU249" s="333"/>
      <c r="HV249" s="333"/>
      <c r="HW249" s="333"/>
      <c r="HX249" s="333"/>
      <c r="HY249" s="333"/>
      <c r="HZ249" s="333"/>
      <c r="IA249" s="333"/>
      <c r="IB249" s="333"/>
      <c r="IC249" s="333"/>
      <c r="ID249" s="55"/>
      <c r="IE249" s="47"/>
      <c r="IO249" s="51"/>
    </row>
    <row r="250" spans="13:249" s="142" customFormat="1" ht="15" customHeight="1" thickBot="1">
      <c r="M250" s="333"/>
      <c r="N250" s="333"/>
      <c r="O250" s="333"/>
      <c r="P250" s="333"/>
      <c r="Q250" s="333"/>
      <c r="R250" s="333"/>
      <c r="S250" s="333"/>
      <c r="T250" s="333"/>
      <c r="U250" s="333"/>
      <c r="V250" s="333"/>
      <c r="W250" s="333"/>
      <c r="X250" s="333"/>
      <c r="Y250" s="333"/>
      <c r="Z250" s="333"/>
      <c r="AA250" s="333"/>
      <c r="AB250" s="333"/>
      <c r="AC250" s="333"/>
      <c r="AD250" s="333"/>
      <c r="AE250" s="333"/>
      <c r="AF250" s="333"/>
      <c r="AG250" s="333"/>
      <c r="AH250" s="333"/>
      <c r="AI250" s="333"/>
      <c r="AJ250" s="333"/>
      <c r="AK250" s="333"/>
      <c r="AL250" s="333"/>
      <c r="AM250" s="333"/>
      <c r="AN250" s="333"/>
      <c r="AO250" s="333"/>
      <c r="AP250" s="333"/>
      <c r="AQ250" s="333"/>
      <c r="AR250" s="333"/>
      <c r="AS250" s="333"/>
      <c r="AT250" s="333"/>
      <c r="AU250" s="333"/>
      <c r="AV250" s="333"/>
      <c r="AW250" s="333"/>
      <c r="AX250" s="333"/>
      <c r="AY250" s="333"/>
      <c r="AZ250" s="333"/>
      <c r="BA250" s="333"/>
      <c r="BB250" s="333"/>
      <c r="BC250" s="333"/>
      <c r="BD250" s="333"/>
      <c r="BE250" s="333"/>
      <c r="BF250" s="333"/>
      <c r="BG250" s="333"/>
      <c r="BH250" s="333"/>
      <c r="BI250" s="333"/>
      <c r="BJ250" s="333"/>
      <c r="BK250" s="333"/>
      <c r="BL250" s="333"/>
      <c r="BM250" s="333"/>
      <c r="BN250" s="333"/>
      <c r="BO250" s="333"/>
      <c r="BP250" s="333"/>
      <c r="BQ250" s="333"/>
      <c r="BR250" s="333"/>
      <c r="BS250" s="333"/>
      <c r="BT250" s="333"/>
      <c r="BU250" s="333"/>
      <c r="BV250" s="333"/>
      <c r="BW250" s="333"/>
      <c r="BX250" s="333"/>
      <c r="BY250" s="333"/>
      <c r="BZ250" s="333"/>
      <c r="CA250" s="333"/>
      <c r="CB250" s="333"/>
      <c r="CC250" s="333"/>
      <c r="CD250" s="333"/>
      <c r="CE250" s="333"/>
      <c r="CF250" s="333"/>
      <c r="CG250" s="333"/>
      <c r="CH250" s="333"/>
      <c r="CI250" s="333"/>
      <c r="CJ250" s="333"/>
      <c r="CK250" s="333"/>
      <c r="CL250" s="333"/>
      <c r="CM250" s="333"/>
      <c r="CN250" s="333"/>
      <c r="CO250" s="333"/>
      <c r="CP250" s="333"/>
      <c r="CQ250" s="333"/>
      <c r="CR250" s="333"/>
      <c r="CS250" s="333"/>
      <c r="CT250" s="333"/>
      <c r="CU250" s="333"/>
      <c r="CV250" s="333"/>
      <c r="CW250" s="333"/>
      <c r="CX250" s="333"/>
      <c r="CY250" s="333"/>
      <c r="CZ250" s="333"/>
      <c r="DA250" s="333"/>
      <c r="DB250" s="333"/>
      <c r="DC250" s="333"/>
      <c r="DD250" s="333"/>
      <c r="DE250" s="333"/>
      <c r="DF250" s="333"/>
      <c r="DG250" s="333"/>
      <c r="DH250" s="333"/>
      <c r="DI250" s="333"/>
      <c r="DJ250" s="333"/>
      <c r="DK250" s="333"/>
      <c r="DL250" s="333"/>
      <c r="DM250" s="333"/>
      <c r="DN250" s="333"/>
      <c r="DO250" s="333"/>
      <c r="DP250" s="333"/>
      <c r="DQ250" s="333"/>
      <c r="DR250" s="333"/>
      <c r="DS250" s="333"/>
      <c r="DT250" s="333"/>
      <c r="DU250" s="375"/>
      <c r="DV250" s="375"/>
      <c r="DW250" s="375"/>
      <c r="DX250" s="375"/>
      <c r="DY250" s="375"/>
      <c r="DZ250" s="375"/>
      <c r="EA250" s="375"/>
      <c r="EB250" s="375"/>
      <c r="EC250" s="375"/>
      <c r="ED250" s="375"/>
      <c r="EE250" s="375"/>
      <c r="EF250" s="375"/>
      <c r="EG250" s="375"/>
      <c r="EH250" s="375"/>
      <c r="EI250" s="375"/>
      <c r="EJ250" s="373"/>
      <c r="EK250" s="373"/>
      <c r="EL250" s="366"/>
      <c r="EM250" s="369"/>
      <c r="EN250" s="364"/>
      <c r="EO250" s="363"/>
      <c r="EP250" s="340"/>
      <c r="EQ250" s="340"/>
      <c r="ER250" s="340"/>
      <c r="ES250" s="363"/>
      <c r="ET250" s="363"/>
      <c r="EU250" s="340"/>
      <c r="EV250" s="340"/>
      <c r="EW250" s="340"/>
      <c r="EX250" s="340"/>
      <c r="EY250" s="340"/>
      <c r="EZ250" s="340"/>
      <c r="FA250" s="340"/>
      <c r="FB250" s="402"/>
      <c r="FC250" s="402"/>
      <c r="FD250" s="340"/>
      <c r="FE250" s="340"/>
      <c r="FF250" s="340"/>
      <c r="FG250" s="364"/>
      <c r="FH250" s="364"/>
      <c r="FI250" s="363"/>
      <c r="FJ250" s="360"/>
      <c r="FK250" s="360"/>
      <c r="FL250" s="340"/>
      <c r="FM250" s="967"/>
      <c r="FN250" s="967"/>
      <c r="FO250" s="967"/>
      <c r="FP250" s="968"/>
      <c r="FQ250" s="968"/>
      <c r="FR250" s="968"/>
      <c r="FS250" s="968"/>
      <c r="FT250" s="968"/>
      <c r="FU250" s="968"/>
      <c r="FV250" s="968"/>
      <c r="FW250" s="968"/>
      <c r="FX250" s="968"/>
      <c r="FY250" s="341"/>
      <c r="FZ250" s="341"/>
      <c r="GA250" s="341"/>
      <c r="GB250" s="495">
        <v>0</v>
      </c>
      <c r="GC250" s="495">
        <v>0</v>
      </c>
      <c r="GD250" s="500"/>
      <c r="GE250" s="495">
        <v>0</v>
      </c>
      <c r="GF250" s="495">
        <v>0</v>
      </c>
      <c r="GG250" s="495">
        <v>0</v>
      </c>
      <c r="GH250" s="359"/>
      <c r="GI250" s="359"/>
      <c r="GJ250" s="501"/>
      <c r="GK250" s="495">
        <v>0</v>
      </c>
      <c r="GL250" s="495">
        <v>0</v>
      </c>
      <c r="GM250" s="495">
        <v>0</v>
      </c>
      <c r="GN250" s="359"/>
      <c r="GO250" s="359"/>
      <c r="GP250" s="501"/>
      <c r="GQ250" s="495">
        <v>0</v>
      </c>
      <c r="GR250" s="375"/>
      <c r="GS250" s="333"/>
      <c r="GT250" s="333"/>
      <c r="GU250" s="333"/>
      <c r="GV250" s="333"/>
      <c r="GW250" s="333"/>
      <c r="GX250" s="333"/>
      <c r="GY250" s="333"/>
      <c r="GZ250" s="333"/>
      <c r="HA250" s="333"/>
      <c r="HB250" s="333"/>
      <c r="HC250" s="333"/>
      <c r="HD250" s="333"/>
      <c r="HE250" s="333"/>
      <c r="HF250" s="333"/>
      <c r="HG250" s="331"/>
      <c r="HH250" s="331"/>
      <c r="HI250" s="331"/>
      <c r="HJ250" s="331"/>
      <c r="HK250" s="331"/>
      <c r="HL250" s="331"/>
      <c r="HM250" s="331"/>
      <c r="HN250" s="333"/>
      <c r="HO250" s="333"/>
      <c r="HP250" s="333"/>
      <c r="HQ250" s="333"/>
      <c r="HR250" s="333"/>
      <c r="HS250" s="333"/>
      <c r="HT250" s="333"/>
      <c r="HU250" s="333"/>
      <c r="HV250" s="333"/>
      <c r="HW250" s="333"/>
      <c r="HX250" s="333"/>
      <c r="HY250" s="333"/>
      <c r="HZ250" s="333"/>
      <c r="IA250" s="333"/>
      <c r="IB250" s="333"/>
      <c r="IC250" s="333"/>
      <c r="ID250" s="55"/>
      <c r="IE250" s="47"/>
      <c r="IO250" s="51"/>
    </row>
    <row r="251" spans="13:249" s="142" customFormat="1" ht="15" customHeight="1">
      <c r="M251" s="333"/>
      <c r="N251" s="333"/>
      <c r="O251" s="333"/>
      <c r="P251" s="333"/>
      <c r="Q251" s="333"/>
      <c r="R251" s="333"/>
      <c r="S251" s="333"/>
      <c r="T251" s="333"/>
      <c r="U251" s="333"/>
      <c r="V251" s="333"/>
      <c r="W251" s="333"/>
      <c r="X251" s="333"/>
      <c r="Y251" s="333"/>
      <c r="Z251" s="333"/>
      <c r="AA251" s="333"/>
      <c r="AB251" s="333"/>
      <c r="AC251" s="333"/>
      <c r="AD251" s="333"/>
      <c r="AE251" s="333"/>
      <c r="AF251" s="333"/>
      <c r="AG251" s="333"/>
      <c r="AH251" s="333"/>
      <c r="AI251" s="333"/>
      <c r="AJ251" s="333"/>
      <c r="AK251" s="333"/>
      <c r="AL251" s="333"/>
      <c r="AM251" s="333"/>
      <c r="AN251" s="333"/>
      <c r="AO251" s="333"/>
      <c r="AP251" s="333"/>
      <c r="AQ251" s="333"/>
      <c r="AR251" s="333"/>
      <c r="AS251" s="333"/>
      <c r="AT251" s="333"/>
      <c r="AU251" s="333"/>
      <c r="AV251" s="333"/>
      <c r="AW251" s="333"/>
      <c r="AX251" s="333"/>
      <c r="AY251" s="333"/>
      <c r="AZ251" s="333"/>
      <c r="BA251" s="333"/>
      <c r="BB251" s="333"/>
      <c r="BC251" s="333"/>
      <c r="BD251" s="333"/>
      <c r="BE251" s="333"/>
      <c r="BF251" s="333"/>
      <c r="BG251" s="333"/>
      <c r="BH251" s="333"/>
      <c r="BI251" s="333"/>
      <c r="BJ251" s="333"/>
      <c r="BK251" s="333"/>
      <c r="BL251" s="333"/>
      <c r="BM251" s="333"/>
      <c r="BN251" s="333"/>
      <c r="BO251" s="333"/>
      <c r="BP251" s="333"/>
      <c r="BQ251" s="333"/>
      <c r="BR251" s="333"/>
      <c r="BS251" s="333"/>
      <c r="BT251" s="333"/>
      <c r="BU251" s="333"/>
      <c r="BV251" s="333"/>
      <c r="BW251" s="333"/>
      <c r="BX251" s="333"/>
      <c r="BY251" s="333"/>
      <c r="BZ251" s="333"/>
      <c r="CA251" s="333"/>
      <c r="CB251" s="333"/>
      <c r="CC251" s="333"/>
      <c r="CD251" s="333"/>
      <c r="CE251" s="333"/>
      <c r="CF251" s="333"/>
      <c r="CG251" s="333"/>
      <c r="CH251" s="333"/>
      <c r="CI251" s="333"/>
      <c r="CJ251" s="333"/>
      <c r="CK251" s="333"/>
      <c r="CL251" s="333"/>
      <c r="CM251" s="333"/>
      <c r="CN251" s="333"/>
      <c r="CO251" s="333"/>
      <c r="CP251" s="333"/>
      <c r="CQ251" s="333"/>
      <c r="CR251" s="333"/>
      <c r="CS251" s="333"/>
      <c r="CT251" s="333"/>
      <c r="CU251" s="333"/>
      <c r="CV251" s="333"/>
      <c r="CW251" s="333"/>
      <c r="CX251" s="333"/>
      <c r="CY251" s="333"/>
      <c r="CZ251" s="333"/>
      <c r="DA251" s="333"/>
      <c r="DB251" s="333"/>
      <c r="DC251" s="333"/>
      <c r="DD251" s="333"/>
      <c r="DE251" s="333"/>
      <c r="DF251" s="333"/>
      <c r="DG251" s="333"/>
      <c r="DH251" s="333"/>
      <c r="DI251" s="333"/>
      <c r="DJ251" s="333"/>
      <c r="DK251" s="333"/>
      <c r="DL251" s="333"/>
      <c r="DM251" s="333"/>
      <c r="DN251" s="333"/>
      <c r="DO251" s="333"/>
      <c r="DP251" s="333"/>
      <c r="DQ251" s="333"/>
      <c r="DR251" s="333"/>
      <c r="DS251" s="333"/>
      <c r="DT251" s="333"/>
      <c r="DU251" s="375"/>
      <c r="DV251" s="375"/>
      <c r="DW251" s="375"/>
      <c r="DX251" s="375"/>
      <c r="DY251" s="375"/>
      <c r="DZ251" s="375"/>
      <c r="EA251" s="375"/>
      <c r="EB251" s="375"/>
      <c r="EC251" s="375"/>
      <c r="ED251" s="375"/>
      <c r="EE251" s="375"/>
      <c r="EF251" s="375"/>
      <c r="EG251" s="375"/>
      <c r="EH251" s="375"/>
      <c r="EI251" s="375"/>
      <c r="EJ251" s="373"/>
      <c r="EK251" s="373"/>
      <c r="EL251" s="366"/>
      <c r="EM251" s="366"/>
      <c r="EN251" s="364">
        <f>+EN245+1</f>
        <v>34</v>
      </c>
      <c r="EO251" s="356" t="str">
        <f>+VLOOKUP(EN251, PRECIOS_EJERCICIOS,  2,FALSE)</f>
        <v/>
      </c>
      <c r="EP251" s="513" t="str">
        <f>+IF($AQ$49 = FALSE, "",
IF(VLOOKUP(EO251, basesCantPrimaBrutoRes, 2,FALSE) &gt;= 0, VLOOKUP(EO251, basesCantPrimaBrutoRes, 2,FALSE), 0))</f>
        <v/>
      </c>
      <c r="EQ251" s="514" t="str">
        <f>+IF($AQ$49 = FALSE, "",
IF(VLOOKUP(EO251, basesCantPrimaBrutoRes, 2,FALSE) &lt; 0, -VLOOKUP(EO251, basesCantPrimaBrutoRes, 2,FALSE), 0))</f>
        <v/>
      </c>
      <c r="ER251" s="521" t="str">
        <f>IF($AQ$49 = FALSE, "",
VLOOKUP(EO251, basesCantPrimaBrutoRes, 4,FALSE))</f>
        <v/>
      </c>
      <c r="ES251" s="926">
        <f>IF(ER251 = "", 0,
IF(AND(EP251 &gt; 0, EQ251 &gt;0), 0, IF(EO251 &lt;&gt; $Z$1,
IF(AND(EP251 &lt;&gt; "", EP251 &lt;&gt; 0), -(EP251 * ER251 * 100),
IF(AND(EQ251 &lt;&gt; "", EQ251 &lt;&gt; 0), (EQ251 * ER251 * 100), 0)),
IF(AND(EP251 &lt;&gt; "", EP251 &lt;&gt; 0), -(EP251 * ER251 * 1),
IF(AND(EQ251 &lt;&gt; "", EQ251 &lt;&gt; 0), (EQ251 * ER251 * 1), 0))  )))</f>
        <v>0</v>
      </c>
      <c r="ET251" s="927"/>
      <c r="EU251" s="928"/>
      <c r="EV251" s="926">
        <f>IF(ER251 = "", 0,
IF(AND(EP251 &gt; 0, EQ251 &gt;0), 0,  IF(EO251 &lt;&gt; $Z$1,
IF(AND(EP251 &lt;&gt; "", EP251 &lt;&gt; 0), -(EP251 * ER251 * 100 * (1 + COMIS_OPCION)),
IF(AND(EQ251 &lt;&gt; "", EQ251 &lt;&gt; 0), (EQ251 * ER251 * 100 * (1 - COMIS_OPCION)), 0)),
IF(AND(EP251 &lt;&gt; "", EP251 &lt;&gt; 0), -(EP251 * ER251 * 1 * (1 + COMIS_ACCION)),
IF(AND(EQ251 &lt;&gt; "", EQ251 &lt;&gt; 0), (EQ251 * ER251 * 1 * (1 - COMIS_ACCION)), 0))  )))</f>
        <v>0</v>
      </c>
      <c r="EW251" s="927"/>
      <c r="EX251" s="927"/>
      <c r="EY251" s="927"/>
      <c r="EZ251" s="927"/>
      <c r="FA251" s="927"/>
      <c r="FB251" s="927"/>
      <c r="FC251" s="927"/>
      <c r="FD251" s="929"/>
      <c r="FE251" s="340"/>
      <c r="FF251" s="340"/>
      <c r="FG251" s="364"/>
      <c r="FH251" s="364">
        <f>+FH245+1</f>
        <v>34</v>
      </c>
      <c r="FI251" s="357" t="str">
        <f>+VLOOKUP(FH251, PRECIOS_EJERCICIOS,  2,FALSE)</f>
        <v/>
      </c>
      <c r="FJ251" s="515" t="str">
        <f>+IF($AQ$49 = FALSE, "",
IF(VLOOKUP(EO251, basesCantPrimaBrutoRes, 5,FALSE) &gt;= 0, VLOOKUP(EO251, basesCantPrimaBrutoRes, 5,FALSE), 0))</f>
        <v/>
      </c>
      <c r="FK251" s="516" t="str">
        <f>+IF($AQ$49 = FALSE, "",
IF(VLOOKUP(EO251, basesCantPrimaBrutoRes, 5,FALSE) &lt; 0, -VLOOKUP(EO251, basesCantPrimaBrutoRes, 5,FALSE), 0))</f>
        <v/>
      </c>
      <c r="FL251" s="517" t="str">
        <f>IF($AQ$49 = FALSE, "",
VLOOKUP(EO251, basesCantPrimaBrutoRes, 7,FALSE))</f>
        <v/>
      </c>
      <c r="FM251" s="934">
        <f>IF(FL251 = "", 0,
IF(AND(FJ251 &gt; 0, FK251 &gt;0), 0,
IF(AND(FJ251 &lt;&gt; "", FJ251 &lt;&gt; 0), -(FJ251 * FL251 * 100),
IF(AND(FK251 &lt;&gt; "", FK251 &lt;&gt; 0), (FK251 * FL251 * 100), 0)) ))</f>
        <v>0</v>
      </c>
      <c r="FN251" s="935"/>
      <c r="FO251" s="936"/>
      <c r="FP251" s="934">
        <f>IF(FL251 = "", 0,
IF(AND(FJ251 &gt; 0, FK251 &gt;0), 0,
IF(AND(FJ251 &lt;&gt; "", FJ251 &lt;&gt; 0), -(FJ251 * FL251 * 100 * (1 + COMIS_OPCION)),
IF(AND(FK251 &lt;&gt; "", FK251 &lt;&gt; 0), (FK251 * FL251 * 100 * (1 - COMIS_OPCION)), 0)) ))</f>
        <v>0</v>
      </c>
      <c r="FQ251" s="935"/>
      <c r="FR251" s="935"/>
      <c r="FS251" s="935"/>
      <c r="FT251" s="935"/>
      <c r="FU251" s="935"/>
      <c r="FV251" s="935"/>
      <c r="FW251" s="935"/>
      <c r="FX251" s="966"/>
      <c r="FY251" s="341"/>
      <c r="FZ251" s="341"/>
      <c r="GA251" s="341"/>
      <c r="GB251" s="495" t="str">
        <f>+IF(EN251 = "", "", EO251)</f>
        <v/>
      </c>
      <c r="GC251" s="495" t="str">
        <f>+IF(GB251="", "", IF(EO251 = $Z$1, "ACCION", "CALL"))</f>
        <v/>
      </c>
      <c r="GD251" s="500"/>
      <c r="GE251" s="495" t="str">
        <f>+IF(GB251= "", "", EO253)</f>
        <v/>
      </c>
      <c r="GF251" s="495" t="str">
        <f>+IF(GB251 = "", "", IFERROR(IF(GB251 &lt;&gt; $Z$1,
IF(GE251 &gt; 0, SUMIFS(ES251:ES255, EP251:EP255, "&gt;0", ES251:ES255, "&lt;&gt;0") / SUMIFS(EP251:EP255, EP251:EP255, "&gt;0", ES251:ES255, "&lt;&gt;0") / -100,
IF(GE251 &lt; 0, SUMIFS(ES251:ES255, EQ251:EQ255, "&gt;0", ES251:ES255, "&lt;&gt;0") / SUMIFS(EQ251:EQ255, EQ251:EQ255, "&gt;0", ES251:ES255, "&lt;&gt;0") / 100, 0)),
IF(GE251 &gt; 0, SUMIFS(ES251:ES255, EP251:EP255, "&gt;0", ES251:ES255, "&lt;&gt;0") / SUMIFS(EP251:EP255, EP251:EP255, "&gt;0", ES251:ES255, "&lt;&gt;0") / -1,
IF(GE251 &lt; 0, SUMIFS(ES251:ES255, EQ251:EQ255, "&gt;0", ES251:ES255, "&lt;&gt;0") / SUMIFS(EQ251:EQ255, EQ251:EQ255, "&gt;0", ES251:ES255, "&lt;&gt;0") / 1, 0)) ), 0))</f>
        <v/>
      </c>
      <c r="GG251" s="495" t="str">
        <f>+IF(GB251 = "", "", IFERROR(IF(GB251 &lt;&gt; $Z$1,
IF(GE251 &gt; 0, SUMIFS(EV251:EV255, EP251:EP255, "&gt;0", EV251:EV255, "&lt;&gt;0") / SUMIFS(EP251:EP255, EP251:EP255, "&gt;0", EV251:EV255, "&lt;&gt;0") / -100,
IF(GE251 &lt; 0, SUMIFS(EV251:EV255, EQ251:EQ255, "&gt;0", EV251:EV255, "&lt;&gt;0") / SUMIFS(EQ251:EQ255, EQ251:EQ255, "&gt;0", EV251:EV255, "&lt;&gt;0") / 100, 0)),
IF(GE251 &gt; 0, SUMIFS(EV251:EV255, EP251:EP255, "&gt;0", EV251:EV255, "&lt;&gt;0") / SUMIFS(EP251:EP255, EP251:EP255, "&gt;0", EV251:EV255, "&lt;&gt;0") / -1,
IF(GE251 &lt; 0, SUMIFS(EV251:EV255, EQ251:EQ255, "&gt;0", EV251:EV255, "&lt;&gt;0") / SUMIFS(EQ251:EQ255, EQ251:EQ255, "&gt;0", EV251:EV255, "&lt;&gt;0") / 1, 0)) ), 0))</f>
        <v/>
      </c>
      <c r="GH251" s="359"/>
      <c r="GI251" s="359"/>
      <c r="GJ251" s="501"/>
      <c r="GK251" s="495" t="str">
        <f>+IF(GB251="", "", "PUT")</f>
        <v/>
      </c>
      <c r="GL251" s="495" t="str">
        <f>+IF(GB251 = "", "", FI253)</f>
        <v/>
      </c>
      <c r="GM251" s="495" t="str">
        <f>+IF(GB251 = "", "", IFERROR(
IF(FI253 &gt; 0, SUMIFS(FM251:FM255, FJ251:FJ255, "&gt;0", FM251:FM255, "&lt;&gt;0") / SUMIFS(FJ251:FJ255, FJ251:FJ255, "&gt;0", FM251:FM255, "&lt;&gt;0") / -100,
IF(FI253 &lt; 0, SUMIFS(FM251:FM255, FK251:FK255, "&gt;0", FM251:FM255, "&lt;&gt;0") / SUMIFS(FK251:FK255, FK251:FK255, "&gt;0", FM251:FM255, "&lt;&gt;0") / 100, 0)), 0) )</f>
        <v/>
      </c>
      <c r="GN251" s="359"/>
      <c r="GO251" s="359"/>
      <c r="GP251" s="501"/>
      <c r="GQ251" s="502" t="str">
        <f>+IF(GB251 = "", "", IFERROR(
IF(FI253 &gt; 0, SUMIFS(FP251:FP255, FJ251:FJ255, "&gt;0", FP251:FP255, "&lt;&gt;0") / SUMIFS(FJ251:FJ255, FJ251:FJ255, "&gt;0", FP251:FP255, "&lt;&gt;0") / -100,
IF(FI253 &lt; 0, SUMIFS(FP251:FP255, FK251:FK255, "&gt;0", FP251:FP255, "&lt;&gt;0") / SUMIFS(FK251:FK255, FK251:FK255, "&gt;0", FP251:FP255, "&lt;&gt;0") / 100, 0)), 0))</f>
        <v/>
      </c>
      <c r="GR251" s="375"/>
      <c r="GS251" s="333"/>
      <c r="GT251" s="333"/>
      <c r="GU251" s="333"/>
      <c r="GV251" s="333"/>
      <c r="GW251" s="333"/>
      <c r="GX251" s="333"/>
      <c r="GY251" s="333"/>
      <c r="GZ251" s="333"/>
      <c r="HA251" s="333"/>
      <c r="HB251" s="333"/>
      <c r="HC251" s="333"/>
      <c r="HD251" s="333"/>
      <c r="HE251" s="333"/>
      <c r="HF251" s="333"/>
      <c r="HG251" s="331"/>
      <c r="HH251" s="331"/>
      <c r="HI251" s="331"/>
      <c r="HJ251" s="331"/>
      <c r="HK251" s="331"/>
      <c r="HL251" s="331"/>
      <c r="HM251" s="331"/>
      <c r="HN251" s="333"/>
      <c r="HO251" s="333"/>
      <c r="HP251" s="333"/>
      <c r="HQ251" s="333"/>
      <c r="HR251" s="333"/>
      <c r="HS251" s="333"/>
      <c r="HT251" s="333"/>
      <c r="HU251" s="333"/>
      <c r="HV251" s="333"/>
      <c r="HW251" s="333"/>
      <c r="HX251" s="333"/>
      <c r="HY251" s="333"/>
      <c r="HZ251" s="333"/>
      <c r="IA251" s="333"/>
      <c r="IB251" s="333"/>
      <c r="IC251" s="333"/>
      <c r="ID251" s="55"/>
      <c r="IE251" s="47"/>
      <c r="IO251" s="51"/>
    </row>
    <row r="252" spans="13:249" s="142" customFormat="1" ht="15" customHeight="1">
      <c r="M252" s="333"/>
      <c r="N252" s="333"/>
      <c r="O252" s="333"/>
      <c r="P252" s="333"/>
      <c r="Q252" s="333"/>
      <c r="R252" s="333"/>
      <c r="S252" s="333"/>
      <c r="T252" s="333"/>
      <c r="U252" s="333"/>
      <c r="V252" s="333"/>
      <c r="W252" s="333"/>
      <c r="X252" s="333"/>
      <c r="Y252" s="333"/>
      <c r="Z252" s="333"/>
      <c r="AA252" s="333"/>
      <c r="AB252" s="333"/>
      <c r="AC252" s="333"/>
      <c r="AD252" s="333"/>
      <c r="AE252" s="333"/>
      <c r="AF252" s="333"/>
      <c r="AG252" s="333"/>
      <c r="AH252" s="333"/>
      <c r="AI252" s="333"/>
      <c r="AJ252" s="333"/>
      <c r="AK252" s="333"/>
      <c r="AL252" s="333"/>
      <c r="AM252" s="333"/>
      <c r="AN252" s="333"/>
      <c r="AO252" s="333"/>
      <c r="AP252" s="333"/>
      <c r="AQ252" s="333"/>
      <c r="AR252" s="333"/>
      <c r="AS252" s="333"/>
      <c r="AT252" s="333"/>
      <c r="AU252" s="333"/>
      <c r="AV252" s="333"/>
      <c r="AW252" s="333"/>
      <c r="AX252" s="333"/>
      <c r="AY252" s="333"/>
      <c r="AZ252" s="333"/>
      <c r="BA252" s="333"/>
      <c r="BB252" s="333"/>
      <c r="BC252" s="333"/>
      <c r="BD252" s="333"/>
      <c r="BE252" s="333"/>
      <c r="BF252" s="333"/>
      <c r="BG252" s="333"/>
      <c r="BH252" s="333"/>
      <c r="BI252" s="333"/>
      <c r="BJ252" s="333"/>
      <c r="BK252" s="333"/>
      <c r="BL252" s="333"/>
      <c r="BM252" s="333"/>
      <c r="BN252" s="333"/>
      <c r="BO252" s="333"/>
      <c r="BP252" s="333"/>
      <c r="BQ252" s="333"/>
      <c r="BR252" s="333"/>
      <c r="BS252" s="333"/>
      <c r="BT252" s="333"/>
      <c r="BU252" s="333"/>
      <c r="BV252" s="333"/>
      <c r="BW252" s="333"/>
      <c r="BX252" s="333"/>
      <c r="BY252" s="333"/>
      <c r="BZ252" s="333"/>
      <c r="CA252" s="333"/>
      <c r="CB252" s="333"/>
      <c r="CC252" s="333"/>
      <c r="CD252" s="333"/>
      <c r="CE252" s="333"/>
      <c r="CF252" s="333"/>
      <c r="CG252" s="333"/>
      <c r="CH252" s="333"/>
      <c r="CI252" s="333"/>
      <c r="CJ252" s="333"/>
      <c r="CK252" s="333"/>
      <c r="CL252" s="333"/>
      <c r="CM252" s="333"/>
      <c r="CN252" s="333"/>
      <c r="CO252" s="333"/>
      <c r="CP252" s="333"/>
      <c r="CQ252" s="333"/>
      <c r="CR252" s="333"/>
      <c r="CS252" s="333"/>
      <c r="CT252" s="333"/>
      <c r="CU252" s="333"/>
      <c r="CV252" s="333"/>
      <c r="CW252" s="333"/>
      <c r="CX252" s="333"/>
      <c r="CY252" s="333"/>
      <c r="CZ252" s="333"/>
      <c r="DA252" s="333"/>
      <c r="DB252" s="333"/>
      <c r="DC252" s="333"/>
      <c r="DD252" s="333"/>
      <c r="DE252" s="333"/>
      <c r="DF252" s="333"/>
      <c r="DG252" s="333"/>
      <c r="DH252" s="333"/>
      <c r="DI252" s="333"/>
      <c r="DJ252" s="333"/>
      <c r="DK252" s="333"/>
      <c r="DL252" s="333"/>
      <c r="DM252" s="333"/>
      <c r="DN252" s="333"/>
      <c r="DO252" s="333"/>
      <c r="DP252" s="333"/>
      <c r="DQ252" s="333"/>
      <c r="DR252" s="333"/>
      <c r="DS252" s="333"/>
      <c r="DT252" s="333"/>
      <c r="DU252" s="375"/>
      <c r="DV252" s="375"/>
      <c r="DW252" s="375"/>
      <c r="DX252" s="375"/>
      <c r="DY252" s="375"/>
      <c r="DZ252" s="375"/>
      <c r="EA252" s="375"/>
      <c r="EB252" s="375"/>
      <c r="EC252" s="375"/>
      <c r="ED252" s="375"/>
      <c r="EE252" s="375"/>
      <c r="EF252" s="375"/>
      <c r="EG252" s="375"/>
      <c r="EH252" s="375"/>
      <c r="EI252" s="375"/>
      <c r="EJ252" s="373"/>
      <c r="EK252" s="373"/>
      <c r="EL252" s="366"/>
      <c r="EM252" s="366"/>
      <c r="EN252" s="364"/>
      <c r="EO252" s="351"/>
      <c r="EP252" s="347"/>
      <c r="EQ252" s="342"/>
      <c r="ER252" s="522"/>
      <c r="ES252" s="916">
        <f>IF(ER252 = "", 0,
IF(AND(EP252 &gt; 0, EQ252 &gt;0), 0, IF(EO251 &lt;&gt; $Z$1,
IF(AND(EP252 &lt;&gt; "", EP252 &lt;&gt; 0), -(EP252 * ER252 * 100),
IF(AND(EQ252 &lt;&gt; "", EQ252 &lt;&gt; 0), (EQ252 * ER252 * 100), 0)),
IF(AND(EP252 &lt;&gt; "", EP252 &lt;&gt; 0), -(EP252 * ER252 * 1),
IF(AND(EQ252 &lt;&gt; "", EQ252 &lt;&gt; 0), (EQ252 * ER252 * 1), 0))  )))</f>
        <v>0</v>
      </c>
      <c r="ET252" s="917"/>
      <c r="EU252" s="918"/>
      <c r="EV252" s="916">
        <f>IF(ER252 = "", 0,
IF(AND(EP252 &gt; 0, EQ252 &gt;0), 0,  IF(EO251 &lt;&gt; $Z$1,
IF(AND(EP252 &lt;&gt; "", EP252 &lt;&gt; 0), -(EP252 * ER252 * 100 * (1 + COMIS_OPCION)),
IF(AND(EQ252 &lt;&gt; "", EQ252 &lt;&gt; 0), (EQ252 * ER252 * 100 * (1 - COMIS_OPCION)), 0)),
IF(AND(EP252 &lt;&gt; "", EP252 &lt;&gt; 0), -(EP252 * ER252 * 1 * (1 + COMIS_ACCION)),
IF(AND(EQ252 &lt;&gt; "", EQ252 &lt;&gt; 0), (EQ252 * ER252 * 1 * (1 - COMIS_ACCION)), 0))  )))</f>
        <v>0</v>
      </c>
      <c r="EW252" s="917"/>
      <c r="EX252" s="917"/>
      <c r="EY252" s="917"/>
      <c r="EZ252" s="917"/>
      <c r="FA252" s="917"/>
      <c r="FB252" s="917"/>
      <c r="FC252" s="917"/>
      <c r="FD252" s="925"/>
      <c r="FE252" s="340"/>
      <c r="FF252" s="340"/>
      <c r="FG252" s="364"/>
      <c r="FH252" s="364"/>
      <c r="FI252" s="339"/>
      <c r="FJ252" s="347"/>
      <c r="FK252" s="342"/>
      <c r="FL252" s="343"/>
      <c r="FM252" s="930">
        <f>IF(FL252 = "", 0,
IF(AND(FJ252 &gt; 0, FK252 &gt;0), 0,
IF(AND(FJ252 &lt;&gt; "", FJ252 &lt;&gt; 0), -(FJ252 * FL252 * 100),
IF(AND(FK252 &lt;&gt; "", FK252 &lt;&gt; 0), (FK252 * FL252 * 100), 0)) ))</f>
        <v>0</v>
      </c>
      <c r="FN252" s="931"/>
      <c r="FO252" s="932"/>
      <c r="FP252" s="930">
        <f>IF(FL252 = "", 0,
IF(AND(FJ252 &gt; 0, FK252 &gt;0), 0,
IF(AND(FJ252 &lt;&gt; "", FJ252 &lt;&gt; 0), -(FJ252 * FL252 * 100 * (1 + COMIS_OPCION)),
IF(AND(FK252 &lt;&gt; "", FK252 &lt;&gt; 0), (FK252 * FL252 * 100 * (1 - COMIS_OPCION)), 0)) ))</f>
        <v>0</v>
      </c>
      <c r="FQ252" s="931"/>
      <c r="FR252" s="931"/>
      <c r="FS252" s="931"/>
      <c r="FT252" s="931"/>
      <c r="FU252" s="931"/>
      <c r="FV252" s="931"/>
      <c r="FW252" s="931"/>
      <c r="FX252" s="933"/>
      <c r="FY252" s="341"/>
      <c r="FZ252" s="341"/>
      <c r="GA252" s="341"/>
      <c r="GB252" s="495">
        <v>0</v>
      </c>
      <c r="GC252" s="495">
        <v>0</v>
      </c>
      <c r="GD252" s="500"/>
      <c r="GE252" s="495">
        <v>0</v>
      </c>
      <c r="GF252" s="495">
        <v>0</v>
      </c>
      <c r="GG252" s="495">
        <v>0</v>
      </c>
      <c r="GH252" s="359"/>
      <c r="GI252" s="359"/>
      <c r="GJ252" s="501"/>
      <c r="GK252" s="495">
        <v>0</v>
      </c>
      <c r="GL252" s="495">
        <v>0</v>
      </c>
      <c r="GM252" s="495">
        <v>0</v>
      </c>
      <c r="GN252" s="359"/>
      <c r="GO252" s="359"/>
      <c r="GP252" s="501"/>
      <c r="GQ252" s="495">
        <v>0</v>
      </c>
      <c r="GR252" s="375"/>
      <c r="GS252" s="333"/>
      <c r="GT252" s="333"/>
      <c r="GU252" s="333"/>
      <c r="GV252" s="333"/>
      <c r="GW252" s="333"/>
      <c r="GX252" s="333"/>
      <c r="GY252" s="333"/>
      <c r="GZ252" s="333"/>
      <c r="HA252" s="333"/>
      <c r="HB252" s="333"/>
      <c r="HC252" s="333"/>
      <c r="HD252" s="333"/>
      <c r="HE252" s="333"/>
      <c r="HF252" s="333"/>
      <c r="HG252" s="331"/>
      <c r="HH252" s="331"/>
      <c r="HI252" s="331"/>
      <c r="HJ252" s="331"/>
      <c r="HK252" s="331"/>
      <c r="HL252" s="331"/>
      <c r="HM252" s="331"/>
      <c r="HN252" s="333"/>
      <c r="HO252" s="333"/>
      <c r="HP252" s="333"/>
      <c r="HQ252" s="333"/>
      <c r="HR252" s="333"/>
      <c r="HS252" s="333"/>
      <c r="HT252" s="333"/>
      <c r="HU252" s="333"/>
      <c r="HV252" s="333"/>
      <c r="HW252" s="333"/>
      <c r="HX252" s="333"/>
      <c r="HY252" s="333"/>
      <c r="HZ252" s="333"/>
      <c r="IA252" s="333"/>
      <c r="IB252" s="333"/>
      <c r="IC252" s="333"/>
      <c r="ID252" s="55"/>
      <c r="IE252" s="47"/>
      <c r="IO252" s="51"/>
    </row>
    <row r="253" spans="13:249" s="142" customFormat="1" ht="15" customHeight="1">
      <c r="M253" s="333"/>
      <c r="N253" s="333"/>
      <c r="O253" s="333"/>
      <c r="P253" s="333"/>
      <c r="Q253" s="333"/>
      <c r="R253" s="333"/>
      <c r="S253" s="333"/>
      <c r="T253" s="333"/>
      <c r="U253" s="333"/>
      <c r="V253" s="333"/>
      <c r="W253" s="333"/>
      <c r="X253" s="333"/>
      <c r="Y253" s="333"/>
      <c r="Z253" s="333"/>
      <c r="AA253" s="333"/>
      <c r="AB253" s="333"/>
      <c r="AC253" s="333"/>
      <c r="AD253" s="333"/>
      <c r="AE253" s="333"/>
      <c r="AF253" s="333"/>
      <c r="AG253" s="333"/>
      <c r="AH253" s="333"/>
      <c r="AI253" s="333"/>
      <c r="AJ253" s="333"/>
      <c r="AK253" s="333"/>
      <c r="AL253" s="333"/>
      <c r="AM253" s="333"/>
      <c r="AN253" s="333"/>
      <c r="AO253" s="333"/>
      <c r="AP253" s="333"/>
      <c r="AQ253" s="333"/>
      <c r="AR253" s="333"/>
      <c r="AS253" s="333"/>
      <c r="AT253" s="333"/>
      <c r="AU253" s="333"/>
      <c r="AV253" s="333"/>
      <c r="AW253" s="333"/>
      <c r="AX253" s="333"/>
      <c r="AY253" s="333"/>
      <c r="AZ253" s="333"/>
      <c r="BA253" s="333"/>
      <c r="BB253" s="333"/>
      <c r="BC253" s="333"/>
      <c r="BD253" s="333"/>
      <c r="BE253" s="333"/>
      <c r="BF253" s="333"/>
      <c r="BG253" s="333"/>
      <c r="BH253" s="333"/>
      <c r="BI253" s="333"/>
      <c r="BJ253" s="333"/>
      <c r="BK253" s="333"/>
      <c r="BL253" s="333"/>
      <c r="BM253" s="333"/>
      <c r="BN253" s="333"/>
      <c r="BO253" s="333"/>
      <c r="BP253" s="333"/>
      <c r="BQ253" s="333"/>
      <c r="BR253" s="333"/>
      <c r="BS253" s="333"/>
      <c r="BT253" s="333"/>
      <c r="BU253" s="333"/>
      <c r="BV253" s="333"/>
      <c r="BW253" s="333"/>
      <c r="BX253" s="333"/>
      <c r="BY253" s="333"/>
      <c r="BZ253" s="333"/>
      <c r="CA253" s="333"/>
      <c r="CB253" s="333"/>
      <c r="CC253" s="333"/>
      <c r="CD253" s="333"/>
      <c r="CE253" s="333"/>
      <c r="CF253" s="333"/>
      <c r="CG253" s="333"/>
      <c r="CH253" s="333"/>
      <c r="CI253" s="333"/>
      <c r="CJ253" s="333"/>
      <c r="CK253" s="333"/>
      <c r="CL253" s="333"/>
      <c r="CM253" s="333"/>
      <c r="CN253" s="333"/>
      <c r="CO253" s="333"/>
      <c r="CP253" s="333"/>
      <c r="CQ253" s="333"/>
      <c r="CR253" s="333"/>
      <c r="CS253" s="333"/>
      <c r="CT253" s="333"/>
      <c r="CU253" s="333"/>
      <c r="CV253" s="333"/>
      <c r="CW253" s="333"/>
      <c r="CX253" s="333"/>
      <c r="CY253" s="333"/>
      <c r="CZ253" s="333"/>
      <c r="DA253" s="333"/>
      <c r="DB253" s="333"/>
      <c r="DC253" s="333"/>
      <c r="DD253" s="333"/>
      <c r="DE253" s="333"/>
      <c r="DF253" s="333"/>
      <c r="DG253" s="333"/>
      <c r="DH253" s="333"/>
      <c r="DI253" s="333"/>
      <c r="DJ253" s="333"/>
      <c r="DK253" s="333"/>
      <c r="DL253" s="333"/>
      <c r="DM253" s="333"/>
      <c r="DN253" s="333"/>
      <c r="DO253" s="333"/>
      <c r="DP253" s="333"/>
      <c r="DQ253" s="333"/>
      <c r="DR253" s="333"/>
      <c r="DS253" s="333"/>
      <c r="DT253" s="333"/>
      <c r="DU253" s="375"/>
      <c r="DV253" s="375"/>
      <c r="DW253" s="375"/>
      <c r="DX253" s="375"/>
      <c r="DY253" s="375"/>
      <c r="DZ253" s="375"/>
      <c r="EA253" s="375"/>
      <c r="EB253" s="375"/>
      <c r="EC253" s="375"/>
      <c r="ED253" s="375"/>
      <c r="EE253" s="375"/>
      <c r="EF253" s="375"/>
      <c r="EG253" s="375"/>
      <c r="EH253" s="375"/>
      <c r="EI253" s="375"/>
      <c r="EJ253" s="373"/>
      <c r="EK253" s="373"/>
      <c r="EL253" s="366"/>
      <c r="EM253" s="368"/>
      <c r="EN253" s="364"/>
      <c r="EO253" s="352">
        <f>+SUM(EP251:EP255) - SUM(EQ251:EQ255)</f>
        <v>0</v>
      </c>
      <c r="EP253" s="347"/>
      <c r="EQ253" s="342"/>
      <c r="ER253" s="522"/>
      <c r="ES253" s="916">
        <f>IF(ER253 = "", 0,
IF(AND(EP253 &gt; 0, EQ253 &gt;0), 0, IF(EO251 &lt;&gt; $Z$1,
IF(AND(EP253 &lt;&gt; "", EP253 &lt;&gt; 0), -(EP253 * ER253 * 100),
IF(AND(EQ253 &lt;&gt; "", EQ253 &lt;&gt; 0), (EQ253 * ER253 * 100), 0)),
IF(AND(EP253 &lt;&gt; "", EP253 &lt;&gt; 0), -(EP253 * ER253 * 1),
IF(AND(EQ253 &lt;&gt; "", EQ253 &lt;&gt; 0), (EQ253 * ER253 * 1), 0))  )))</f>
        <v>0</v>
      </c>
      <c r="ET253" s="917"/>
      <c r="EU253" s="918"/>
      <c r="EV253" s="916">
        <f>IF(ER253 = "", 0,
IF(AND(EP253 &gt; 0, EQ253 &gt;0), 0,  IF(EO251 &lt;&gt; $Z$1,
IF(AND(EP253 &lt;&gt; "", EP253 &lt;&gt; 0), -(EP253 * ER253 * 100 * (1 + COMIS_OPCION)),
IF(AND(EQ253 &lt;&gt; "", EQ253 &lt;&gt; 0), (EQ253 * ER253 * 100 * (1 - COMIS_OPCION)), 0)),
IF(AND(EP253 &lt;&gt; "", EP253 &lt;&gt; 0), -(EP253 * ER253 * 1 * (1 + COMIS_ACCION)),
IF(AND(EQ253 &lt;&gt; "", EQ253 &lt;&gt; 0), (EQ253 * ER253 * 1 * (1 - COMIS_ACCION)), 0))  )))</f>
        <v>0</v>
      </c>
      <c r="EW253" s="917"/>
      <c r="EX253" s="917"/>
      <c r="EY253" s="917"/>
      <c r="EZ253" s="917"/>
      <c r="FA253" s="917"/>
      <c r="FB253" s="917"/>
      <c r="FC253" s="917"/>
      <c r="FD253" s="925"/>
      <c r="FE253" s="340"/>
      <c r="FF253" s="340"/>
      <c r="FG253" s="365"/>
      <c r="FH253" s="365"/>
      <c r="FI253" s="354">
        <f>+SUM(FJ251:FJ255) - SUM(FK251:FK255)</f>
        <v>0</v>
      </c>
      <c r="FJ253" s="347"/>
      <c r="FK253" s="342"/>
      <c r="FL253" s="343"/>
      <c r="FM253" s="930">
        <f>IF(FL253 = "", 0,
IF(AND(FJ253 &gt; 0, FK253 &gt;0), 0,
IF(AND(FJ253 &lt;&gt; "", FJ253 &lt;&gt; 0), -(FJ253 * FL253 * 100),
IF(AND(FK253 &lt;&gt; "", FK253 &lt;&gt; 0), (FK253 * FL253 * 100), 0)) ))</f>
        <v>0</v>
      </c>
      <c r="FN253" s="931"/>
      <c r="FO253" s="932"/>
      <c r="FP253" s="930">
        <f>IF(FL253 = "", 0,
IF(AND(FJ253 &gt; 0, FK253 &gt;0), 0,
IF(AND(FJ253 &lt;&gt; "", FJ253 &lt;&gt; 0), -(FJ253 * FL253 * 100 * (1 + COMIS_OPCION)),
IF(AND(FK253 &lt;&gt; "", FK253 &lt;&gt; 0), (FK253 * FL253 * 100 * (1 - COMIS_OPCION)), 0)) ))</f>
        <v>0</v>
      </c>
      <c r="FQ253" s="931"/>
      <c r="FR253" s="931"/>
      <c r="FS253" s="931"/>
      <c r="FT253" s="931"/>
      <c r="FU253" s="931"/>
      <c r="FV253" s="931"/>
      <c r="FW253" s="931"/>
      <c r="FX253" s="933"/>
      <c r="FY253" s="341"/>
      <c r="FZ253" s="341"/>
      <c r="GA253" s="341"/>
      <c r="GB253" s="495">
        <v>0</v>
      </c>
      <c r="GC253" s="495">
        <v>0</v>
      </c>
      <c r="GD253" s="500"/>
      <c r="GE253" s="495">
        <v>0</v>
      </c>
      <c r="GF253" s="495">
        <v>0</v>
      </c>
      <c r="GG253" s="495">
        <v>0</v>
      </c>
      <c r="GH253" s="359"/>
      <c r="GI253" s="359"/>
      <c r="GJ253" s="501"/>
      <c r="GK253" s="495">
        <v>0</v>
      </c>
      <c r="GL253" s="495">
        <v>0</v>
      </c>
      <c r="GM253" s="495">
        <v>0</v>
      </c>
      <c r="GN253" s="359"/>
      <c r="GO253" s="359"/>
      <c r="GP253" s="501"/>
      <c r="GQ253" s="495">
        <v>0</v>
      </c>
      <c r="GR253" s="375"/>
      <c r="GS253" s="333"/>
      <c r="GT253" s="333"/>
      <c r="GU253" s="333"/>
      <c r="GV253" s="333"/>
      <c r="GW253" s="333"/>
      <c r="GX253" s="333"/>
      <c r="GY253" s="333"/>
      <c r="GZ253" s="333"/>
      <c r="HA253" s="333"/>
      <c r="HB253" s="333"/>
      <c r="HC253" s="333"/>
      <c r="HD253" s="333"/>
      <c r="HE253" s="333"/>
      <c r="HF253" s="333"/>
      <c r="HG253" s="331"/>
      <c r="HH253" s="331"/>
      <c r="HI253" s="331"/>
      <c r="HJ253" s="331"/>
      <c r="HK253" s="331"/>
      <c r="HL253" s="331"/>
      <c r="HM253" s="331"/>
      <c r="HN253" s="333"/>
      <c r="HO253" s="333"/>
      <c r="HP253" s="333"/>
      <c r="HQ253" s="333"/>
      <c r="HR253" s="333"/>
      <c r="HS253" s="333"/>
      <c r="HT253" s="333"/>
      <c r="HU253" s="333"/>
      <c r="HV253" s="333"/>
      <c r="HW253" s="333"/>
      <c r="HX253" s="333"/>
      <c r="HY253" s="333"/>
      <c r="HZ253" s="333"/>
      <c r="IA253" s="333"/>
      <c r="IB253" s="333"/>
      <c r="IC253" s="333"/>
      <c r="ID253" s="55"/>
      <c r="IE253" s="47"/>
      <c r="IO253" s="51"/>
    </row>
    <row r="254" spans="13:249" s="142" customFormat="1" ht="15" customHeight="1">
      <c r="M254" s="333"/>
      <c r="N254" s="333"/>
      <c r="O254" s="333"/>
      <c r="P254" s="333"/>
      <c r="Q254" s="333"/>
      <c r="R254" s="333"/>
      <c r="S254" s="333"/>
      <c r="T254" s="333"/>
      <c r="U254" s="333"/>
      <c r="V254" s="333"/>
      <c r="W254" s="333"/>
      <c r="X254" s="333"/>
      <c r="Y254" s="333"/>
      <c r="Z254" s="333"/>
      <c r="AA254" s="333"/>
      <c r="AB254" s="333"/>
      <c r="AC254" s="333"/>
      <c r="AD254" s="333"/>
      <c r="AE254" s="333"/>
      <c r="AF254" s="333"/>
      <c r="AG254" s="333"/>
      <c r="AH254" s="333"/>
      <c r="AI254" s="333"/>
      <c r="AJ254" s="333"/>
      <c r="AK254" s="333"/>
      <c r="AL254" s="333"/>
      <c r="AM254" s="333"/>
      <c r="AN254" s="333"/>
      <c r="AO254" s="333"/>
      <c r="AP254" s="333"/>
      <c r="AQ254" s="333"/>
      <c r="AR254" s="333"/>
      <c r="AS254" s="333"/>
      <c r="AT254" s="333"/>
      <c r="AU254" s="333"/>
      <c r="AV254" s="333"/>
      <c r="AW254" s="333"/>
      <c r="AX254" s="333"/>
      <c r="AY254" s="333"/>
      <c r="AZ254" s="333"/>
      <c r="BA254" s="333"/>
      <c r="BB254" s="333"/>
      <c r="BC254" s="333"/>
      <c r="BD254" s="333"/>
      <c r="BE254" s="333"/>
      <c r="BF254" s="333"/>
      <c r="BG254" s="333"/>
      <c r="BH254" s="333"/>
      <c r="BI254" s="333"/>
      <c r="BJ254" s="333"/>
      <c r="BK254" s="333"/>
      <c r="BL254" s="333"/>
      <c r="BM254" s="333"/>
      <c r="BN254" s="333"/>
      <c r="BO254" s="333"/>
      <c r="BP254" s="333"/>
      <c r="BQ254" s="333"/>
      <c r="BR254" s="333"/>
      <c r="BS254" s="333"/>
      <c r="BT254" s="333"/>
      <c r="BU254" s="333"/>
      <c r="BV254" s="333"/>
      <c r="BW254" s="333"/>
      <c r="BX254" s="333"/>
      <c r="BY254" s="333"/>
      <c r="BZ254" s="333"/>
      <c r="CA254" s="333"/>
      <c r="CB254" s="333"/>
      <c r="CC254" s="333"/>
      <c r="CD254" s="333"/>
      <c r="CE254" s="333"/>
      <c r="CF254" s="333"/>
      <c r="CG254" s="333"/>
      <c r="CH254" s="333"/>
      <c r="CI254" s="333"/>
      <c r="CJ254" s="333"/>
      <c r="CK254" s="333"/>
      <c r="CL254" s="333"/>
      <c r="CM254" s="333"/>
      <c r="CN254" s="333"/>
      <c r="CO254" s="333"/>
      <c r="CP254" s="333"/>
      <c r="CQ254" s="333"/>
      <c r="CR254" s="333"/>
      <c r="CS254" s="333"/>
      <c r="CT254" s="333"/>
      <c r="CU254" s="333"/>
      <c r="CV254" s="333"/>
      <c r="CW254" s="333"/>
      <c r="CX254" s="333"/>
      <c r="CY254" s="333"/>
      <c r="CZ254" s="333"/>
      <c r="DA254" s="333"/>
      <c r="DB254" s="333"/>
      <c r="DC254" s="333"/>
      <c r="DD254" s="333"/>
      <c r="DE254" s="333"/>
      <c r="DF254" s="333"/>
      <c r="DG254" s="333"/>
      <c r="DH254" s="333"/>
      <c r="DI254" s="333"/>
      <c r="DJ254" s="333"/>
      <c r="DK254" s="333"/>
      <c r="DL254" s="333"/>
      <c r="DM254" s="333"/>
      <c r="DN254" s="333"/>
      <c r="DO254" s="333"/>
      <c r="DP254" s="333"/>
      <c r="DQ254" s="333"/>
      <c r="DR254" s="333"/>
      <c r="DS254" s="333"/>
      <c r="DT254" s="333"/>
      <c r="DU254" s="375"/>
      <c r="DV254" s="375"/>
      <c r="DW254" s="375"/>
      <c r="DX254" s="375"/>
      <c r="DY254" s="375"/>
      <c r="DZ254" s="375"/>
      <c r="EA254" s="375"/>
      <c r="EB254" s="375"/>
      <c r="EC254" s="375"/>
      <c r="ED254" s="375"/>
      <c r="EE254" s="375"/>
      <c r="EF254" s="375"/>
      <c r="EG254" s="375"/>
      <c r="EH254" s="375"/>
      <c r="EI254" s="375"/>
      <c r="EJ254" s="373"/>
      <c r="EK254" s="373"/>
      <c r="EL254" s="366"/>
      <c r="EM254" s="368"/>
      <c r="EN254" s="364"/>
      <c r="EO254" s="352">
        <f>IF(EO253=0, 0, SUM(EV251:FD255))</f>
        <v>0</v>
      </c>
      <c r="EP254" s="347"/>
      <c r="EQ254" s="342"/>
      <c r="ER254" s="522"/>
      <c r="ES254" s="916">
        <f>IF(ER254 = "", 0,
IF(AND(EP254 &gt; 0, EQ254 &gt;0), 0, IF(EO251 &lt;&gt; $Z$1,
IF(AND(EP254 &lt;&gt; "", EP254 &lt;&gt; 0), -(EP254 * ER254 * 100),
IF(AND(EQ254 &lt;&gt; "", EQ254 &lt;&gt; 0), (EQ254 * ER254 * 100), 0)),
IF(AND(EP254 &lt;&gt; "", EP254 &lt;&gt; 0), -(EP254 * ER254 * 1),
IF(AND(EQ254 &lt;&gt; "", EQ254 &lt;&gt; 0), (EQ254 * ER254 * 1), 0))  )))</f>
        <v>0</v>
      </c>
      <c r="ET254" s="917"/>
      <c r="EU254" s="918"/>
      <c r="EV254" s="916">
        <f>IF(ER254 = "", 0,
IF(AND(EP254 &gt; 0, EQ254 &gt;0), 0,  IF(EO251 &lt;&gt; $Z$1,
IF(AND(EP254 &lt;&gt; "", EP254 &lt;&gt; 0), -(EP254 * ER254 * 100 * (1 + COMIS_OPCION)),
IF(AND(EQ254 &lt;&gt; "", EQ254 &lt;&gt; 0), (EQ254 * ER254 * 100 * (1 - COMIS_OPCION)), 0)),
IF(AND(EP254 &lt;&gt; "", EP254 &lt;&gt; 0), -(EP254 * ER254 * 1 * (1 + COMIS_ACCION)),
IF(AND(EQ254 &lt;&gt; "", EQ254 &lt;&gt; 0), (EQ254 * ER254 * 1 * (1 - COMIS_ACCION)), 0))  )))</f>
        <v>0</v>
      </c>
      <c r="EW254" s="917"/>
      <c r="EX254" s="917"/>
      <c r="EY254" s="917"/>
      <c r="EZ254" s="917"/>
      <c r="FA254" s="917"/>
      <c r="FB254" s="917"/>
      <c r="FC254" s="917"/>
      <c r="FD254" s="925"/>
      <c r="FE254" s="340"/>
      <c r="FF254" s="340"/>
      <c r="FG254" s="365"/>
      <c r="FH254" s="365"/>
      <c r="FI254" s="354">
        <f>IF(FI253=0, 0, SUM(FP251:FX255))</f>
        <v>0</v>
      </c>
      <c r="FJ254" s="347"/>
      <c r="FK254" s="342"/>
      <c r="FL254" s="343"/>
      <c r="FM254" s="930">
        <f>IF(FL254 = "", 0,
IF(AND(FJ254 &gt; 0, FK254 &gt;0), 0,
IF(AND(FJ254 &lt;&gt; "", FJ254 &lt;&gt; 0), -(FJ254 * FL254 * 100),
IF(AND(FK254 &lt;&gt; "", FK254 &lt;&gt; 0), (FK254 * FL254 * 100), 0)) ))</f>
        <v>0</v>
      </c>
      <c r="FN254" s="931"/>
      <c r="FO254" s="932"/>
      <c r="FP254" s="930">
        <f>IF(FL254 = "", 0,
IF(AND(FJ254 &gt; 0, FK254 &gt;0), 0,
IF(AND(FJ254 &lt;&gt; "", FJ254 &lt;&gt; 0), -(FJ254 * FL254 * 100 * (1 + COMIS_OPCION)),
IF(AND(FK254 &lt;&gt; "", FK254 &lt;&gt; 0), (FK254 * FL254 * 100 * (1 - COMIS_OPCION)), 0)) ))</f>
        <v>0</v>
      </c>
      <c r="FQ254" s="931"/>
      <c r="FR254" s="931"/>
      <c r="FS254" s="931"/>
      <c r="FT254" s="931"/>
      <c r="FU254" s="931"/>
      <c r="FV254" s="931"/>
      <c r="FW254" s="931"/>
      <c r="FX254" s="933"/>
      <c r="FY254" s="341"/>
      <c r="FZ254" s="341"/>
      <c r="GA254" s="341"/>
      <c r="GB254" s="495">
        <v>0</v>
      </c>
      <c r="GC254" s="495">
        <v>0</v>
      </c>
      <c r="GD254" s="500"/>
      <c r="GE254" s="495">
        <v>0</v>
      </c>
      <c r="GF254" s="495">
        <v>0</v>
      </c>
      <c r="GG254" s="495">
        <v>0</v>
      </c>
      <c r="GH254" s="359"/>
      <c r="GI254" s="359"/>
      <c r="GJ254" s="501"/>
      <c r="GK254" s="495">
        <v>0</v>
      </c>
      <c r="GL254" s="495">
        <v>0</v>
      </c>
      <c r="GM254" s="495">
        <v>0</v>
      </c>
      <c r="GN254" s="359"/>
      <c r="GO254" s="359"/>
      <c r="GP254" s="501"/>
      <c r="GQ254" s="495">
        <v>0</v>
      </c>
      <c r="GR254" s="375"/>
      <c r="GS254" s="333"/>
      <c r="GT254" s="333"/>
      <c r="GU254" s="333"/>
      <c r="GV254" s="333"/>
      <c r="GW254" s="333"/>
      <c r="GX254" s="333"/>
      <c r="GY254" s="333"/>
      <c r="GZ254" s="333"/>
      <c r="HA254" s="333"/>
      <c r="HB254" s="333"/>
      <c r="HC254" s="333"/>
      <c r="HD254" s="333"/>
      <c r="HE254" s="333"/>
      <c r="HF254" s="333"/>
      <c r="HG254" s="331"/>
      <c r="HH254" s="331"/>
      <c r="HI254" s="331"/>
      <c r="HJ254" s="331"/>
      <c r="HK254" s="331"/>
      <c r="HL254" s="331"/>
      <c r="HM254" s="331"/>
      <c r="HN254" s="333"/>
      <c r="HO254" s="333"/>
      <c r="HP254" s="333"/>
      <c r="HQ254" s="333"/>
      <c r="HR254" s="333"/>
      <c r="HS254" s="333"/>
      <c r="HT254" s="333"/>
      <c r="HU254" s="333"/>
      <c r="HV254" s="333"/>
      <c r="HW254" s="333"/>
      <c r="HX254" s="333"/>
      <c r="HY254" s="333"/>
      <c r="HZ254" s="333"/>
      <c r="IA254" s="333"/>
      <c r="IB254" s="333"/>
      <c r="IC254" s="333"/>
      <c r="ID254" s="55"/>
      <c r="IE254" s="47"/>
      <c r="IO254" s="51"/>
    </row>
    <row r="255" spans="13:249" s="142" customFormat="1" ht="15" customHeight="1" thickBot="1">
      <c r="M255" s="333"/>
      <c r="N255" s="333"/>
      <c r="O255" s="333"/>
      <c r="P255" s="333"/>
      <c r="Q255" s="333"/>
      <c r="R255" s="333"/>
      <c r="S255" s="333"/>
      <c r="T255" s="333"/>
      <c r="U255" s="333"/>
      <c r="V255" s="333"/>
      <c r="W255" s="333"/>
      <c r="X255" s="333"/>
      <c r="Y255" s="333"/>
      <c r="Z255" s="333"/>
      <c r="AA255" s="333"/>
      <c r="AB255" s="333"/>
      <c r="AC255" s="333"/>
      <c r="AD255" s="333"/>
      <c r="AE255" s="333"/>
      <c r="AF255" s="333"/>
      <c r="AG255" s="333"/>
      <c r="AH255" s="333"/>
      <c r="AI255" s="333"/>
      <c r="AJ255" s="333"/>
      <c r="AK255" s="333"/>
      <c r="AL255" s="333"/>
      <c r="AM255" s="333"/>
      <c r="AN255" s="333"/>
      <c r="AO255" s="333"/>
      <c r="AP255" s="333"/>
      <c r="AQ255" s="333"/>
      <c r="AR255" s="333"/>
      <c r="AS255" s="333"/>
      <c r="AT255" s="333"/>
      <c r="AU255" s="333"/>
      <c r="AV255" s="333"/>
      <c r="AW255" s="333"/>
      <c r="AX255" s="333"/>
      <c r="AY255" s="333"/>
      <c r="AZ255" s="333"/>
      <c r="BA255" s="333"/>
      <c r="BB255" s="333"/>
      <c r="BC255" s="333"/>
      <c r="BD255" s="333"/>
      <c r="BE255" s="333"/>
      <c r="BF255" s="333"/>
      <c r="BG255" s="333"/>
      <c r="BH255" s="333"/>
      <c r="BI255" s="333"/>
      <c r="BJ255" s="333"/>
      <c r="BK255" s="333"/>
      <c r="BL255" s="333"/>
      <c r="BM255" s="333"/>
      <c r="BN255" s="333"/>
      <c r="BO255" s="333"/>
      <c r="BP255" s="333"/>
      <c r="BQ255" s="333"/>
      <c r="BR255" s="333"/>
      <c r="BS255" s="333"/>
      <c r="BT255" s="333"/>
      <c r="BU255" s="333"/>
      <c r="BV255" s="333"/>
      <c r="BW255" s="333"/>
      <c r="BX255" s="333"/>
      <c r="BY255" s="333"/>
      <c r="BZ255" s="333"/>
      <c r="CA255" s="333"/>
      <c r="CB255" s="333"/>
      <c r="CC255" s="333"/>
      <c r="CD255" s="333"/>
      <c r="CE255" s="333"/>
      <c r="CF255" s="333"/>
      <c r="CG255" s="333"/>
      <c r="CH255" s="333"/>
      <c r="CI255" s="333"/>
      <c r="CJ255" s="333"/>
      <c r="CK255" s="333"/>
      <c r="CL255" s="333"/>
      <c r="CM255" s="333"/>
      <c r="CN255" s="333"/>
      <c r="CO255" s="333"/>
      <c r="CP255" s="333"/>
      <c r="CQ255" s="333"/>
      <c r="CR255" s="333"/>
      <c r="CS255" s="333"/>
      <c r="CT255" s="333"/>
      <c r="CU255" s="333"/>
      <c r="CV255" s="333"/>
      <c r="CW255" s="333"/>
      <c r="CX255" s="333"/>
      <c r="CY255" s="333"/>
      <c r="CZ255" s="333"/>
      <c r="DA255" s="333"/>
      <c r="DB255" s="333"/>
      <c r="DC255" s="333"/>
      <c r="DD255" s="333"/>
      <c r="DE255" s="333"/>
      <c r="DF255" s="333"/>
      <c r="DG255" s="333"/>
      <c r="DH255" s="333"/>
      <c r="DI255" s="333"/>
      <c r="DJ255" s="333"/>
      <c r="DK255" s="333"/>
      <c r="DL255" s="333"/>
      <c r="DM255" s="333"/>
      <c r="DN255" s="333"/>
      <c r="DO255" s="333"/>
      <c r="DP255" s="333"/>
      <c r="DQ255" s="333"/>
      <c r="DR255" s="333"/>
      <c r="DS255" s="333"/>
      <c r="DT255" s="333"/>
      <c r="DU255" s="375"/>
      <c r="DV255" s="375"/>
      <c r="DW255" s="375"/>
      <c r="DX255" s="375"/>
      <c r="DY255" s="375"/>
      <c r="DZ255" s="375"/>
      <c r="EA255" s="375"/>
      <c r="EB255" s="375"/>
      <c r="EC255" s="375"/>
      <c r="ED255" s="375"/>
      <c r="EE255" s="375"/>
      <c r="EF255" s="375"/>
      <c r="EG255" s="375"/>
      <c r="EH255" s="375"/>
      <c r="EI255" s="375"/>
      <c r="EJ255" s="373"/>
      <c r="EK255" s="373"/>
      <c r="EL255" s="366"/>
      <c r="EM255" s="368"/>
      <c r="EN255" s="364"/>
      <c r="EO255" s="353">
        <f>+IF(EO253= 0, 0, GG251)</f>
        <v>0</v>
      </c>
      <c r="EP255" s="350"/>
      <c r="EQ255" s="344"/>
      <c r="ER255" s="523"/>
      <c r="ES255" s="921">
        <f>IF(ER255 = "", 0,
IF(AND(EP255 &gt; 0, EQ255 &gt;0), 0, IF(EO251 &lt;&gt; $Z$1,
IF(AND(EP255 &lt;&gt; "", EP255 &lt;&gt; 0), -(EP255 * ER255 * 100),
IF(AND(EQ255 &lt;&gt; "", EQ255 &lt;&gt; 0), (EQ255 * ER255 * 100), 0)),
IF(AND(EP255 &lt;&gt; "", EP255 &lt;&gt; 0), -(EP255 * ER255 * 1),
IF(AND(EQ255 &lt;&gt; "", EQ255 &lt;&gt; 0), (EQ255 * ER255 * 1), 0))  )))</f>
        <v>0</v>
      </c>
      <c r="ET255" s="922"/>
      <c r="EU255" s="924"/>
      <c r="EV255" s="921">
        <f>IF(ER255 = "", 0,
IF(AND(EP255 &gt; 0, EQ255 &gt;0), 0,  IF(EO251 &lt;&gt; $Z$1,
IF(AND(EP255 &lt;&gt; "", EP255 &lt;&gt; 0), -(EP255 * ER255 * 100 * (1 + COMIS_OPCION)),
IF(AND(EQ255 &lt;&gt; "", EQ255 &lt;&gt; 0), (EQ255 * ER255 * 100 * (1 - COMIS_OPCION)), 0)),
IF(AND(EP255 &lt;&gt; "", EP255 &lt;&gt; 0), -(EP255 * ER255 * 1 * (1 + COMIS_ACCION)),
IF(AND(EQ255 &lt;&gt; "", EQ255 &lt;&gt; 0), (EQ255 * ER255 * 1 * (1 - COMIS_ACCION)), 0))  )))</f>
        <v>0</v>
      </c>
      <c r="EW255" s="922"/>
      <c r="EX255" s="922"/>
      <c r="EY255" s="922"/>
      <c r="EZ255" s="922"/>
      <c r="FA255" s="922"/>
      <c r="FB255" s="922"/>
      <c r="FC255" s="922"/>
      <c r="FD255" s="923"/>
      <c r="FE255" s="340"/>
      <c r="FF255" s="340"/>
      <c r="FG255" s="365"/>
      <c r="FH255" s="365"/>
      <c r="FI255" s="349">
        <f>+IF(FI253= 0, 0, GQ251)</f>
        <v>0</v>
      </c>
      <c r="FJ255" s="348"/>
      <c r="FK255" s="345"/>
      <c r="FL255" s="346"/>
      <c r="FM255" s="937">
        <f>IF(FL255 = "", 0,
IF(AND(FJ255 &gt; 0, FK255 &gt;0), 0,
IF(AND(FJ255 &lt;&gt; "", FJ255 &lt;&gt; 0), -(FJ255 * FL255 * 100),
IF(AND(FK255 &lt;&gt; "", FK255 &lt;&gt; 0), (FK255 * FL255 * 100), 0)) ))</f>
        <v>0</v>
      </c>
      <c r="FN255" s="938"/>
      <c r="FO255" s="939"/>
      <c r="FP255" s="937">
        <f>IF(FL255 = "", 0,
IF(AND(FJ255 &gt; 0, FK255 &gt;0), 0,
IF(AND(FJ255 &lt;&gt; "", FJ255 &lt;&gt; 0), -(FJ255 * FL255 * 100 * (1 + COMIS_OPCION)),
IF(AND(FK255 &lt;&gt; "", FK255 &lt;&gt; 0), (FK255 * FL255 * 100 * (1 - COMIS_OPCION)), 0)) ))</f>
        <v>0</v>
      </c>
      <c r="FQ255" s="938"/>
      <c r="FR255" s="938"/>
      <c r="FS255" s="938"/>
      <c r="FT255" s="938"/>
      <c r="FU255" s="938"/>
      <c r="FV255" s="938"/>
      <c r="FW255" s="938"/>
      <c r="FX255" s="969"/>
      <c r="FY255" s="341"/>
      <c r="FZ255" s="341"/>
      <c r="GA255" s="341"/>
      <c r="GB255" s="495">
        <v>0</v>
      </c>
      <c r="GC255" s="495">
        <v>0</v>
      </c>
      <c r="GD255" s="500"/>
      <c r="GE255" s="495">
        <v>0</v>
      </c>
      <c r="GF255" s="495">
        <v>0</v>
      </c>
      <c r="GG255" s="495">
        <v>0</v>
      </c>
      <c r="GH255" s="359"/>
      <c r="GI255" s="359"/>
      <c r="GJ255" s="501"/>
      <c r="GK255" s="495">
        <v>0</v>
      </c>
      <c r="GL255" s="495">
        <v>0</v>
      </c>
      <c r="GM255" s="495">
        <v>0</v>
      </c>
      <c r="GN255" s="359"/>
      <c r="GO255" s="359"/>
      <c r="GP255" s="501"/>
      <c r="GQ255" s="495">
        <v>0</v>
      </c>
      <c r="GR255" s="375"/>
      <c r="GS255" s="333"/>
      <c r="GT255" s="333"/>
      <c r="GU255" s="333"/>
      <c r="GV255" s="333"/>
      <c r="GW255" s="333"/>
      <c r="GX255" s="333"/>
      <c r="GY255" s="333"/>
      <c r="GZ255" s="333"/>
      <c r="HA255" s="333"/>
      <c r="HB255" s="333"/>
      <c r="HC255" s="333"/>
      <c r="HD255" s="333"/>
      <c r="HE255" s="333"/>
      <c r="HF255" s="333"/>
      <c r="HG255" s="331"/>
      <c r="HH255" s="331"/>
      <c r="HI255" s="331"/>
      <c r="HJ255" s="331"/>
      <c r="HK255" s="331"/>
      <c r="HL255" s="331"/>
      <c r="HM255" s="331"/>
      <c r="HN255" s="333"/>
      <c r="HO255" s="333"/>
      <c r="HP255" s="333"/>
      <c r="HQ255" s="333"/>
      <c r="HR255" s="333"/>
      <c r="HS255" s="333"/>
      <c r="HT255" s="333"/>
      <c r="HU255" s="333"/>
      <c r="HV255" s="333"/>
      <c r="HW255" s="333"/>
      <c r="HX255" s="333"/>
      <c r="HY255" s="333"/>
      <c r="HZ255" s="333"/>
      <c r="IA255" s="333"/>
      <c r="IB255" s="333"/>
      <c r="IC255" s="333"/>
      <c r="ID255" s="55"/>
      <c r="IE255" s="47"/>
      <c r="IO255" s="51"/>
    </row>
    <row r="256" spans="13:249" s="142" customFormat="1" ht="15" customHeight="1" thickBot="1">
      <c r="M256" s="333"/>
      <c r="N256" s="333"/>
      <c r="O256" s="333"/>
      <c r="P256" s="333"/>
      <c r="Q256" s="333"/>
      <c r="R256" s="333"/>
      <c r="S256" s="333"/>
      <c r="T256" s="333"/>
      <c r="U256" s="333"/>
      <c r="V256" s="333"/>
      <c r="W256" s="333"/>
      <c r="X256" s="333"/>
      <c r="Y256" s="333"/>
      <c r="Z256" s="333"/>
      <c r="AA256" s="333"/>
      <c r="AB256" s="333"/>
      <c r="AC256" s="333"/>
      <c r="AD256" s="333"/>
      <c r="AE256" s="333"/>
      <c r="AF256" s="333"/>
      <c r="AG256" s="333"/>
      <c r="AH256" s="333"/>
      <c r="AI256" s="333"/>
      <c r="AJ256" s="333"/>
      <c r="AK256" s="333"/>
      <c r="AL256" s="333"/>
      <c r="AM256" s="333"/>
      <c r="AN256" s="333"/>
      <c r="AO256" s="333"/>
      <c r="AP256" s="333"/>
      <c r="AQ256" s="333"/>
      <c r="AR256" s="333"/>
      <c r="AS256" s="333"/>
      <c r="AT256" s="333"/>
      <c r="AU256" s="333"/>
      <c r="AV256" s="333"/>
      <c r="AW256" s="333"/>
      <c r="AX256" s="333"/>
      <c r="AY256" s="333"/>
      <c r="AZ256" s="333"/>
      <c r="BA256" s="333"/>
      <c r="BB256" s="333"/>
      <c r="BC256" s="333"/>
      <c r="BD256" s="333"/>
      <c r="BE256" s="333"/>
      <c r="BF256" s="333"/>
      <c r="BG256" s="333"/>
      <c r="BH256" s="333"/>
      <c r="BI256" s="333"/>
      <c r="BJ256" s="333"/>
      <c r="BK256" s="333"/>
      <c r="BL256" s="333"/>
      <c r="BM256" s="333"/>
      <c r="BN256" s="333"/>
      <c r="BO256" s="333"/>
      <c r="BP256" s="333"/>
      <c r="BQ256" s="333"/>
      <c r="BR256" s="333"/>
      <c r="BS256" s="333"/>
      <c r="BT256" s="333"/>
      <c r="BU256" s="333"/>
      <c r="BV256" s="333"/>
      <c r="BW256" s="333"/>
      <c r="BX256" s="333"/>
      <c r="BY256" s="333"/>
      <c r="BZ256" s="333"/>
      <c r="CA256" s="333"/>
      <c r="CB256" s="333"/>
      <c r="CC256" s="333"/>
      <c r="CD256" s="333"/>
      <c r="CE256" s="333"/>
      <c r="CF256" s="333"/>
      <c r="CG256" s="333"/>
      <c r="CH256" s="333"/>
      <c r="CI256" s="333"/>
      <c r="CJ256" s="333"/>
      <c r="CK256" s="333"/>
      <c r="CL256" s="333"/>
      <c r="CM256" s="333"/>
      <c r="CN256" s="333"/>
      <c r="CO256" s="333"/>
      <c r="CP256" s="333"/>
      <c r="CQ256" s="333"/>
      <c r="CR256" s="333"/>
      <c r="CS256" s="333"/>
      <c r="CT256" s="333"/>
      <c r="CU256" s="333"/>
      <c r="CV256" s="333"/>
      <c r="CW256" s="333"/>
      <c r="CX256" s="333"/>
      <c r="CY256" s="333"/>
      <c r="CZ256" s="333"/>
      <c r="DA256" s="333"/>
      <c r="DB256" s="333"/>
      <c r="DC256" s="333"/>
      <c r="DD256" s="333"/>
      <c r="DE256" s="333"/>
      <c r="DF256" s="333"/>
      <c r="DG256" s="333"/>
      <c r="DH256" s="333"/>
      <c r="DI256" s="333"/>
      <c r="DJ256" s="333"/>
      <c r="DK256" s="333"/>
      <c r="DL256" s="333"/>
      <c r="DM256" s="333"/>
      <c r="DN256" s="333"/>
      <c r="DO256" s="333"/>
      <c r="DP256" s="333"/>
      <c r="DQ256" s="333"/>
      <c r="DR256" s="333"/>
      <c r="DS256" s="333"/>
      <c r="DT256" s="333"/>
      <c r="DU256" s="375"/>
      <c r="DV256" s="375"/>
      <c r="DW256" s="375"/>
      <c r="DX256" s="375"/>
      <c r="DY256" s="375"/>
      <c r="DZ256" s="375"/>
      <c r="EA256" s="375"/>
      <c r="EB256" s="375"/>
      <c r="EC256" s="375"/>
      <c r="ED256" s="375"/>
      <c r="EE256" s="375"/>
      <c r="EF256" s="375"/>
      <c r="EG256" s="375"/>
      <c r="EH256" s="375"/>
      <c r="EI256" s="375"/>
      <c r="EJ256" s="373"/>
      <c r="EK256" s="373"/>
      <c r="EL256" s="366"/>
      <c r="EM256" s="366"/>
      <c r="EN256" s="364"/>
      <c r="EO256" s="363"/>
      <c r="EP256" s="340"/>
      <c r="EQ256" s="340"/>
      <c r="ER256" s="340"/>
      <c r="ES256" s="363"/>
      <c r="ET256" s="363"/>
      <c r="EU256" s="340"/>
      <c r="EV256" s="340"/>
      <c r="EW256" s="340"/>
      <c r="EX256" s="340"/>
      <c r="EY256" s="340"/>
      <c r="EZ256" s="340"/>
      <c r="FA256" s="340"/>
      <c r="FB256" s="402"/>
      <c r="FC256" s="402"/>
      <c r="FD256" s="340"/>
      <c r="FE256" s="340"/>
      <c r="FF256" s="340"/>
      <c r="FG256" s="364"/>
      <c r="FH256" s="364"/>
      <c r="FI256" s="363"/>
      <c r="FJ256" s="360"/>
      <c r="FK256" s="360"/>
      <c r="FL256" s="340"/>
      <c r="FM256" s="967"/>
      <c r="FN256" s="967"/>
      <c r="FO256" s="967"/>
      <c r="FP256" s="968"/>
      <c r="FQ256" s="968"/>
      <c r="FR256" s="968"/>
      <c r="FS256" s="968"/>
      <c r="FT256" s="968"/>
      <c r="FU256" s="968"/>
      <c r="FV256" s="968"/>
      <c r="FW256" s="968"/>
      <c r="FX256" s="968"/>
      <c r="FY256" s="341"/>
      <c r="FZ256" s="341"/>
      <c r="GA256" s="341"/>
      <c r="GB256" s="495">
        <v>0</v>
      </c>
      <c r="GC256" s="495">
        <v>0</v>
      </c>
      <c r="GD256" s="500"/>
      <c r="GE256" s="495">
        <v>0</v>
      </c>
      <c r="GF256" s="495">
        <v>0</v>
      </c>
      <c r="GG256" s="495">
        <v>0</v>
      </c>
      <c r="GH256" s="359"/>
      <c r="GI256" s="359"/>
      <c r="GJ256" s="501"/>
      <c r="GK256" s="495">
        <v>0</v>
      </c>
      <c r="GL256" s="495">
        <v>0</v>
      </c>
      <c r="GM256" s="495">
        <v>0</v>
      </c>
      <c r="GN256" s="359"/>
      <c r="GO256" s="359"/>
      <c r="GP256" s="501"/>
      <c r="GQ256" s="495">
        <v>0</v>
      </c>
      <c r="GR256" s="375"/>
      <c r="GS256" s="333"/>
      <c r="GT256" s="333"/>
      <c r="GU256" s="333"/>
      <c r="GV256" s="333"/>
      <c r="GW256" s="333"/>
      <c r="GX256" s="333"/>
      <c r="GY256" s="333"/>
      <c r="GZ256" s="333"/>
      <c r="HA256" s="333"/>
      <c r="HB256" s="333"/>
      <c r="HC256" s="333"/>
      <c r="HD256" s="333"/>
      <c r="HE256" s="333"/>
      <c r="HF256" s="333"/>
      <c r="HG256" s="331"/>
      <c r="HH256" s="331"/>
      <c r="HI256" s="331"/>
      <c r="HJ256" s="331"/>
      <c r="HK256" s="331"/>
      <c r="HL256" s="331"/>
      <c r="HM256" s="331"/>
      <c r="HN256" s="333"/>
      <c r="HO256" s="333"/>
      <c r="HP256" s="333"/>
      <c r="HQ256" s="333"/>
      <c r="HR256" s="333"/>
      <c r="HS256" s="333"/>
      <c r="HT256" s="333"/>
      <c r="HU256" s="333"/>
      <c r="HV256" s="333"/>
      <c r="HW256" s="333"/>
      <c r="HX256" s="333"/>
      <c r="HY256" s="333"/>
      <c r="HZ256" s="333"/>
      <c r="IA256" s="333"/>
      <c r="IB256" s="333"/>
      <c r="IC256" s="333"/>
      <c r="ID256" s="55"/>
      <c r="IE256" s="47"/>
      <c r="IO256" s="51"/>
    </row>
    <row r="257" spans="13:249" s="142" customFormat="1" ht="15" customHeight="1">
      <c r="M257" s="333"/>
      <c r="N257" s="333"/>
      <c r="O257" s="333"/>
      <c r="P257" s="333"/>
      <c r="Q257" s="333"/>
      <c r="R257" s="333"/>
      <c r="S257" s="333"/>
      <c r="T257" s="333"/>
      <c r="U257" s="333"/>
      <c r="V257" s="333"/>
      <c r="W257" s="333"/>
      <c r="X257" s="333"/>
      <c r="Y257" s="333"/>
      <c r="Z257" s="333"/>
      <c r="AA257" s="333"/>
      <c r="AB257" s="333"/>
      <c r="AC257" s="333"/>
      <c r="AD257" s="333"/>
      <c r="AE257" s="333"/>
      <c r="AF257" s="333"/>
      <c r="AG257" s="333"/>
      <c r="AH257" s="333"/>
      <c r="AI257" s="333"/>
      <c r="AJ257" s="333"/>
      <c r="AK257" s="333"/>
      <c r="AL257" s="333"/>
      <c r="AM257" s="333"/>
      <c r="AN257" s="333"/>
      <c r="AO257" s="333"/>
      <c r="AP257" s="333"/>
      <c r="AQ257" s="333"/>
      <c r="AR257" s="333"/>
      <c r="AS257" s="333"/>
      <c r="AT257" s="333"/>
      <c r="AU257" s="333"/>
      <c r="AV257" s="333"/>
      <c r="AW257" s="333"/>
      <c r="AX257" s="333"/>
      <c r="AY257" s="333"/>
      <c r="AZ257" s="333"/>
      <c r="BA257" s="333"/>
      <c r="BB257" s="333"/>
      <c r="BC257" s="333"/>
      <c r="BD257" s="333"/>
      <c r="BE257" s="333"/>
      <c r="BF257" s="333"/>
      <c r="BG257" s="333"/>
      <c r="BH257" s="333"/>
      <c r="BI257" s="333"/>
      <c r="BJ257" s="333"/>
      <c r="BK257" s="333"/>
      <c r="BL257" s="333"/>
      <c r="BM257" s="333"/>
      <c r="BN257" s="333"/>
      <c r="BO257" s="333"/>
      <c r="BP257" s="333"/>
      <c r="BQ257" s="333"/>
      <c r="BR257" s="333"/>
      <c r="BS257" s="333"/>
      <c r="BT257" s="333"/>
      <c r="BU257" s="333"/>
      <c r="BV257" s="333"/>
      <c r="BW257" s="333"/>
      <c r="BX257" s="333"/>
      <c r="BY257" s="333"/>
      <c r="BZ257" s="333"/>
      <c r="CA257" s="333"/>
      <c r="CB257" s="333"/>
      <c r="CC257" s="333"/>
      <c r="CD257" s="333"/>
      <c r="CE257" s="333"/>
      <c r="CF257" s="333"/>
      <c r="CG257" s="333"/>
      <c r="CH257" s="333"/>
      <c r="CI257" s="333"/>
      <c r="CJ257" s="333"/>
      <c r="CK257" s="333"/>
      <c r="CL257" s="333"/>
      <c r="CM257" s="333"/>
      <c r="CN257" s="333"/>
      <c r="CO257" s="333"/>
      <c r="CP257" s="333"/>
      <c r="CQ257" s="333"/>
      <c r="CR257" s="333"/>
      <c r="CS257" s="333"/>
      <c r="CT257" s="333"/>
      <c r="CU257" s="333"/>
      <c r="CV257" s="333"/>
      <c r="CW257" s="333"/>
      <c r="CX257" s="333"/>
      <c r="CY257" s="333"/>
      <c r="CZ257" s="333"/>
      <c r="DA257" s="333"/>
      <c r="DB257" s="333"/>
      <c r="DC257" s="333"/>
      <c r="DD257" s="333"/>
      <c r="DE257" s="333"/>
      <c r="DF257" s="333"/>
      <c r="DG257" s="333"/>
      <c r="DH257" s="333"/>
      <c r="DI257" s="333"/>
      <c r="DJ257" s="333"/>
      <c r="DK257" s="333"/>
      <c r="DL257" s="333"/>
      <c r="DM257" s="333"/>
      <c r="DN257" s="333"/>
      <c r="DO257" s="333"/>
      <c r="DP257" s="333"/>
      <c r="DQ257" s="333"/>
      <c r="DR257" s="333"/>
      <c r="DS257" s="333"/>
      <c r="DT257" s="333"/>
      <c r="DU257" s="375"/>
      <c r="DV257" s="375"/>
      <c r="DW257" s="375"/>
      <c r="DX257" s="375"/>
      <c r="DY257" s="375"/>
      <c r="DZ257" s="375"/>
      <c r="EA257" s="375"/>
      <c r="EB257" s="375"/>
      <c r="EC257" s="375"/>
      <c r="ED257" s="375"/>
      <c r="EE257" s="375"/>
      <c r="EF257" s="375"/>
      <c r="EG257" s="375"/>
      <c r="EH257" s="375"/>
      <c r="EI257" s="375"/>
      <c r="EJ257" s="373"/>
      <c r="EK257" s="373"/>
      <c r="EL257" s="366"/>
      <c r="EM257" s="366"/>
      <c r="EN257" s="364">
        <f>+EN251+1</f>
        <v>35</v>
      </c>
      <c r="EO257" s="356" t="str">
        <f>+VLOOKUP(EN257, PRECIOS_EJERCICIOS,  2,FALSE)</f>
        <v/>
      </c>
      <c r="EP257" s="513" t="str">
        <f>+IF($AQ$49 = FALSE, "",
IF(VLOOKUP(EO257, basesCantPrimaBrutoRes, 2,FALSE) &gt;= 0, VLOOKUP(EO257, basesCantPrimaBrutoRes, 2,FALSE), 0))</f>
        <v/>
      </c>
      <c r="EQ257" s="514" t="str">
        <f>+IF($AQ$49 = FALSE, "",
IF(VLOOKUP(EO257, basesCantPrimaBrutoRes, 2,FALSE) &lt; 0, -VLOOKUP(EO257, basesCantPrimaBrutoRes, 2,FALSE), 0))</f>
        <v/>
      </c>
      <c r="ER257" s="521" t="str">
        <f>IF($AQ$49 = FALSE, "",
VLOOKUP(EO257, basesCantPrimaBrutoRes, 4,FALSE))</f>
        <v/>
      </c>
      <c r="ES257" s="926">
        <f>IF(ER257 = "", 0,
IF(AND(EP257 &gt; 0, EQ257 &gt;0), 0, IF(EO257 &lt;&gt; $Z$1,
IF(AND(EP257 &lt;&gt; "", EP257 &lt;&gt; 0), -(EP257 * ER257 * 100),
IF(AND(EQ257 &lt;&gt; "", EQ257 &lt;&gt; 0), (EQ257 * ER257 * 100), 0)),
IF(AND(EP257 &lt;&gt; "", EP257 &lt;&gt; 0), -(EP257 * ER257 * 1),
IF(AND(EQ257 &lt;&gt; "", EQ257 &lt;&gt; 0), (EQ257 * ER257 * 1), 0))  )))</f>
        <v>0</v>
      </c>
      <c r="ET257" s="927"/>
      <c r="EU257" s="928"/>
      <c r="EV257" s="926">
        <f>IF(ER257 = "", 0,
IF(AND(EP257 &gt; 0, EQ257 &gt;0), 0,  IF(EO257 &lt;&gt; $Z$1,
IF(AND(EP257 &lt;&gt; "", EP257 &lt;&gt; 0), -(EP257 * ER257 * 100 * (1 + COMIS_OPCION)),
IF(AND(EQ257 &lt;&gt; "", EQ257 &lt;&gt; 0), (EQ257 * ER257 * 100 * (1 - COMIS_OPCION)), 0)),
IF(AND(EP257 &lt;&gt; "", EP257 &lt;&gt; 0), -(EP257 * ER257 * 1 * (1 + COMIS_ACCION)),
IF(AND(EQ257 &lt;&gt; "", EQ257 &lt;&gt; 0), (EQ257 * ER257 * 1 * (1 - COMIS_ACCION)), 0))  )))</f>
        <v>0</v>
      </c>
      <c r="EW257" s="927"/>
      <c r="EX257" s="927"/>
      <c r="EY257" s="927"/>
      <c r="EZ257" s="927"/>
      <c r="FA257" s="927"/>
      <c r="FB257" s="927"/>
      <c r="FC257" s="927"/>
      <c r="FD257" s="929"/>
      <c r="FE257" s="340"/>
      <c r="FF257" s="340"/>
      <c r="FG257" s="364"/>
      <c r="FH257" s="364">
        <f>+FH251+1</f>
        <v>35</v>
      </c>
      <c r="FI257" s="357" t="str">
        <f>+VLOOKUP(FH257, PRECIOS_EJERCICIOS,  2,FALSE)</f>
        <v/>
      </c>
      <c r="FJ257" s="515" t="str">
        <f>+IF($AQ$49 = FALSE, "",
IF(VLOOKUP(EO257, basesCantPrimaBrutoRes, 5,FALSE) &gt;= 0, VLOOKUP(EO257, basesCantPrimaBrutoRes, 5,FALSE), 0))</f>
        <v/>
      </c>
      <c r="FK257" s="516" t="str">
        <f>+IF($AQ$49 = FALSE, "",
IF(VLOOKUP(EO257, basesCantPrimaBrutoRes, 5,FALSE) &lt; 0, -VLOOKUP(EO257, basesCantPrimaBrutoRes, 5,FALSE), 0))</f>
        <v/>
      </c>
      <c r="FL257" s="517" t="str">
        <f>IF($AQ$49 = FALSE, "",
VLOOKUP(EO257, basesCantPrimaBrutoRes, 7,FALSE))</f>
        <v/>
      </c>
      <c r="FM257" s="934">
        <f>IF(FL257 = "", 0,
IF(AND(FJ257 &gt; 0, FK257 &gt;0), 0,
IF(AND(FJ257 &lt;&gt; "", FJ257 &lt;&gt; 0), -(FJ257 * FL257 * 100),
IF(AND(FK257 &lt;&gt; "", FK257 &lt;&gt; 0), (FK257 * FL257 * 100), 0)) ))</f>
        <v>0</v>
      </c>
      <c r="FN257" s="935"/>
      <c r="FO257" s="936"/>
      <c r="FP257" s="934">
        <f>IF(FL257 = "", 0,
IF(AND(FJ257 &gt; 0, FK257 &gt;0), 0,
IF(AND(FJ257 &lt;&gt; "", FJ257 &lt;&gt; 0), -(FJ257 * FL257 * 100 * (1 + COMIS_OPCION)),
IF(AND(FK257 &lt;&gt; "", FK257 &lt;&gt; 0), (FK257 * FL257 * 100 * (1 - COMIS_OPCION)), 0)) ))</f>
        <v>0</v>
      </c>
      <c r="FQ257" s="935"/>
      <c r="FR257" s="935"/>
      <c r="FS257" s="935"/>
      <c r="FT257" s="935"/>
      <c r="FU257" s="935"/>
      <c r="FV257" s="935"/>
      <c r="FW257" s="935"/>
      <c r="FX257" s="966"/>
      <c r="FY257" s="341"/>
      <c r="FZ257" s="341"/>
      <c r="GA257" s="341"/>
      <c r="GB257" s="495" t="str">
        <f>+IF(EN257 = "", "", EO257)</f>
        <v/>
      </c>
      <c r="GC257" s="495" t="str">
        <f>+IF(GB257="", "", IF(EO257 = $Z$1, "ACCION", "CALL"))</f>
        <v/>
      </c>
      <c r="GD257" s="500"/>
      <c r="GE257" s="495" t="str">
        <f>+IF(GB257= "", "", EO259)</f>
        <v/>
      </c>
      <c r="GF257" s="495" t="str">
        <f>+IF(GB257 = "", "", IFERROR(IF(GB257 &lt;&gt; $Z$1,
IF(GE257 &gt; 0, SUMIFS(ES257:ES261, EP257:EP261, "&gt;0", ES257:ES261, "&lt;&gt;0") / SUMIFS(EP257:EP261, EP257:EP261, "&gt;0", ES257:ES261, "&lt;&gt;0") / -100,
IF(GE257 &lt; 0, SUMIFS(ES257:ES261, EQ257:EQ261, "&gt;0", ES257:ES261, "&lt;&gt;0") / SUMIFS(EQ257:EQ261, EQ257:EQ261, "&gt;0", ES257:ES261, "&lt;&gt;0") / 100, 0)),
IF(GE257 &gt; 0, SUMIFS(ES257:ES261, EP257:EP261, "&gt;0", ES257:ES261, "&lt;&gt;0") / SUMIFS(EP257:EP261, EP257:EP261, "&gt;0", ES257:ES261, "&lt;&gt;0") / -1,
IF(GE257 &lt; 0, SUMIFS(ES257:ES261, EQ257:EQ261, "&gt;0", ES257:ES261, "&lt;&gt;0") / SUMIFS(EQ257:EQ261, EQ257:EQ261, "&gt;0", ES257:ES261, "&lt;&gt;0") / 1, 0)) ), 0))</f>
        <v/>
      </c>
      <c r="GG257" s="495" t="str">
        <f>+IF(GB257 = "", "", IFERROR(IF(GB257 &lt;&gt; $Z$1,
IF(GE257 &gt; 0, SUMIFS(EV257:EV261, EP257:EP261, "&gt;0", EV257:EV261, "&lt;&gt;0") / SUMIFS(EP257:EP261, EP257:EP261, "&gt;0", EV257:EV261, "&lt;&gt;0") / -100,
IF(GE257 &lt; 0, SUMIFS(EV257:EV261, EQ257:EQ261, "&gt;0", EV257:EV261, "&lt;&gt;0") / SUMIFS(EQ257:EQ261, EQ257:EQ261, "&gt;0", EV257:EV261, "&lt;&gt;0") / 100, 0)),
IF(GE257 &gt; 0, SUMIFS(EV257:EV261, EP257:EP261, "&gt;0", EV257:EV261, "&lt;&gt;0") / SUMIFS(EP257:EP261, EP257:EP261, "&gt;0", EV257:EV261, "&lt;&gt;0") / -1,
IF(GE257 &lt; 0, SUMIFS(EV257:EV261, EQ257:EQ261, "&gt;0", EV257:EV261, "&lt;&gt;0") / SUMIFS(EQ257:EQ261, EQ257:EQ261, "&gt;0", EV257:EV261, "&lt;&gt;0") / 1, 0)) ), 0))</f>
        <v/>
      </c>
      <c r="GH257" s="359"/>
      <c r="GI257" s="359"/>
      <c r="GJ257" s="501"/>
      <c r="GK257" s="495" t="str">
        <f>+IF(GB257="", "", "PUT")</f>
        <v/>
      </c>
      <c r="GL257" s="495" t="str">
        <f>+IF(GB257 = "", "", FI259)</f>
        <v/>
      </c>
      <c r="GM257" s="495" t="str">
        <f>+IF(GB257 = "", "", IFERROR(
IF(FI259 &gt; 0, SUMIFS(FM257:FM261, FJ257:FJ261, "&gt;0", FM257:FM261, "&lt;&gt;0") / SUMIFS(FJ257:FJ261, FJ257:FJ261, "&gt;0", FM257:FM261, "&lt;&gt;0") / -100,
IF(FI259 &lt; 0, SUMIFS(FM257:FM261, FK257:FK261, "&gt;0", FM257:FM261, "&lt;&gt;0") / SUMIFS(FK257:FK261, FK257:FK261, "&gt;0", FM257:FM261, "&lt;&gt;0") / 100, 0)), 0) )</f>
        <v/>
      </c>
      <c r="GN257" s="359"/>
      <c r="GO257" s="359"/>
      <c r="GP257" s="501"/>
      <c r="GQ257" s="502" t="str">
        <f>+IF(GB257 = "", "", IFERROR(
IF(FI259 &gt; 0, SUMIFS(FP257:FP261, FJ257:FJ261, "&gt;0", FP257:FP261, "&lt;&gt;0") / SUMIFS(FJ257:FJ261, FJ257:FJ261, "&gt;0", FP257:FP261, "&lt;&gt;0") / -100,
IF(FI259 &lt; 0, SUMIFS(FP257:FP261, FK257:FK261, "&gt;0", FP257:FP261, "&lt;&gt;0") / SUMIFS(FK257:FK261, FK257:FK261, "&gt;0", FP257:FP261, "&lt;&gt;0") / 100, 0)), 0))</f>
        <v/>
      </c>
      <c r="GR257" s="375"/>
      <c r="GS257" s="333"/>
      <c r="GT257" s="333"/>
      <c r="GU257" s="333"/>
      <c r="GV257" s="333"/>
      <c r="GW257" s="333"/>
      <c r="GX257" s="333"/>
      <c r="GY257" s="333"/>
      <c r="GZ257" s="333"/>
      <c r="HA257" s="333"/>
      <c r="HB257" s="333"/>
      <c r="HC257" s="333"/>
      <c r="HD257" s="333"/>
      <c r="HE257" s="333"/>
      <c r="HF257" s="333"/>
      <c r="HG257" s="331"/>
      <c r="HH257" s="331"/>
      <c r="HI257" s="331"/>
      <c r="HJ257" s="331"/>
      <c r="HK257" s="331"/>
      <c r="HL257" s="331"/>
      <c r="HM257" s="331"/>
      <c r="HN257" s="333"/>
      <c r="HO257" s="333"/>
      <c r="HP257" s="333"/>
      <c r="HQ257" s="333"/>
      <c r="HR257" s="333"/>
      <c r="HS257" s="333"/>
      <c r="HT257" s="333"/>
      <c r="HU257" s="333"/>
      <c r="HV257" s="333"/>
      <c r="HW257" s="333"/>
      <c r="HX257" s="333"/>
      <c r="HY257" s="333"/>
      <c r="HZ257" s="333"/>
      <c r="IA257" s="333"/>
      <c r="IB257" s="333"/>
      <c r="IC257" s="333"/>
      <c r="ID257" s="55"/>
      <c r="IE257" s="47"/>
      <c r="IO257" s="51"/>
    </row>
    <row r="258" spans="13:249" s="142" customFormat="1" ht="15" customHeight="1">
      <c r="M258" s="333"/>
      <c r="N258" s="333"/>
      <c r="O258" s="333"/>
      <c r="P258" s="333"/>
      <c r="Q258" s="333"/>
      <c r="R258" s="333"/>
      <c r="S258" s="333"/>
      <c r="T258" s="333"/>
      <c r="U258" s="333"/>
      <c r="V258" s="333"/>
      <c r="W258" s="333"/>
      <c r="X258" s="333"/>
      <c r="Y258" s="333"/>
      <c r="Z258" s="333"/>
      <c r="AA258" s="333"/>
      <c r="AB258" s="333"/>
      <c r="AC258" s="333"/>
      <c r="AD258" s="333"/>
      <c r="AE258" s="333"/>
      <c r="AF258" s="333"/>
      <c r="AG258" s="333"/>
      <c r="AH258" s="333"/>
      <c r="AI258" s="333"/>
      <c r="AJ258" s="333"/>
      <c r="AK258" s="333"/>
      <c r="AL258" s="333"/>
      <c r="AM258" s="333"/>
      <c r="AN258" s="333"/>
      <c r="AO258" s="333"/>
      <c r="AP258" s="333"/>
      <c r="AQ258" s="333"/>
      <c r="AR258" s="333"/>
      <c r="AS258" s="333"/>
      <c r="AT258" s="333"/>
      <c r="AU258" s="333"/>
      <c r="AV258" s="333"/>
      <c r="AW258" s="333"/>
      <c r="AX258" s="333"/>
      <c r="AY258" s="333"/>
      <c r="AZ258" s="333"/>
      <c r="BA258" s="333"/>
      <c r="BB258" s="333"/>
      <c r="BC258" s="333"/>
      <c r="BD258" s="333"/>
      <c r="BE258" s="333"/>
      <c r="BF258" s="333"/>
      <c r="BG258" s="333"/>
      <c r="BH258" s="333"/>
      <c r="BI258" s="333"/>
      <c r="BJ258" s="333"/>
      <c r="BK258" s="333"/>
      <c r="BL258" s="333"/>
      <c r="BM258" s="333"/>
      <c r="BN258" s="333"/>
      <c r="BO258" s="333"/>
      <c r="BP258" s="333"/>
      <c r="BQ258" s="333"/>
      <c r="BR258" s="333"/>
      <c r="BS258" s="333"/>
      <c r="BT258" s="333"/>
      <c r="BU258" s="333"/>
      <c r="BV258" s="333"/>
      <c r="BW258" s="333"/>
      <c r="BX258" s="333"/>
      <c r="BY258" s="333"/>
      <c r="BZ258" s="333"/>
      <c r="CA258" s="333"/>
      <c r="CB258" s="333"/>
      <c r="CC258" s="333"/>
      <c r="CD258" s="333"/>
      <c r="CE258" s="333"/>
      <c r="CF258" s="333"/>
      <c r="CG258" s="333"/>
      <c r="CH258" s="333"/>
      <c r="CI258" s="333"/>
      <c r="CJ258" s="333"/>
      <c r="CK258" s="333"/>
      <c r="CL258" s="333"/>
      <c r="CM258" s="333"/>
      <c r="CN258" s="333"/>
      <c r="CO258" s="333"/>
      <c r="CP258" s="333"/>
      <c r="CQ258" s="333"/>
      <c r="CR258" s="333"/>
      <c r="CS258" s="333"/>
      <c r="CT258" s="333"/>
      <c r="CU258" s="333"/>
      <c r="CV258" s="333"/>
      <c r="CW258" s="333"/>
      <c r="CX258" s="333"/>
      <c r="CY258" s="333"/>
      <c r="CZ258" s="333"/>
      <c r="DA258" s="333"/>
      <c r="DB258" s="333"/>
      <c r="DC258" s="333"/>
      <c r="DD258" s="333"/>
      <c r="DE258" s="333"/>
      <c r="DF258" s="333"/>
      <c r="DG258" s="333"/>
      <c r="DH258" s="333"/>
      <c r="DI258" s="333"/>
      <c r="DJ258" s="333"/>
      <c r="DK258" s="333"/>
      <c r="DL258" s="333"/>
      <c r="DM258" s="333"/>
      <c r="DN258" s="333"/>
      <c r="DO258" s="333"/>
      <c r="DP258" s="333"/>
      <c r="DQ258" s="333"/>
      <c r="DR258" s="333"/>
      <c r="DS258" s="333"/>
      <c r="DT258" s="333"/>
      <c r="DU258" s="375"/>
      <c r="DV258" s="375"/>
      <c r="DW258" s="375"/>
      <c r="DX258" s="375"/>
      <c r="DY258" s="375"/>
      <c r="DZ258" s="375"/>
      <c r="EA258" s="375"/>
      <c r="EB258" s="375"/>
      <c r="EC258" s="375"/>
      <c r="ED258" s="375"/>
      <c r="EE258" s="375"/>
      <c r="EF258" s="375"/>
      <c r="EG258" s="375"/>
      <c r="EH258" s="375"/>
      <c r="EI258" s="375"/>
      <c r="EJ258" s="373"/>
      <c r="EK258" s="373"/>
      <c r="EL258" s="366"/>
      <c r="EM258" s="366"/>
      <c r="EN258" s="364"/>
      <c r="EO258" s="351"/>
      <c r="EP258" s="347"/>
      <c r="EQ258" s="342"/>
      <c r="ER258" s="522"/>
      <c r="ES258" s="916">
        <f>IF(ER258 = "", 0,
IF(AND(EP258 &gt; 0, EQ258 &gt;0), 0, IF(EO257 &lt;&gt; $Z$1,
IF(AND(EP258 &lt;&gt; "", EP258 &lt;&gt; 0), -(EP258 * ER258 * 100),
IF(AND(EQ258 &lt;&gt; "", EQ258 &lt;&gt; 0), (EQ258 * ER258 * 100), 0)),
IF(AND(EP258 &lt;&gt; "", EP258 &lt;&gt; 0), -(EP258 * ER258 * 1),
IF(AND(EQ258 &lt;&gt; "", EQ258 &lt;&gt; 0), (EQ258 * ER258 * 1), 0))  )))</f>
        <v>0</v>
      </c>
      <c r="ET258" s="917"/>
      <c r="EU258" s="918"/>
      <c r="EV258" s="916">
        <f>IF(ER258 = "", 0,
IF(AND(EP258 &gt; 0, EQ258 &gt;0), 0,  IF(EO257 &lt;&gt; $Z$1,
IF(AND(EP258 &lt;&gt; "", EP258 &lt;&gt; 0), -(EP258 * ER258 * 100 * (1 + COMIS_OPCION)),
IF(AND(EQ258 &lt;&gt; "", EQ258 &lt;&gt; 0), (EQ258 * ER258 * 100 * (1 - COMIS_OPCION)), 0)),
IF(AND(EP258 &lt;&gt; "", EP258 &lt;&gt; 0), -(EP258 * ER258 * 1 * (1 + COMIS_ACCION)),
IF(AND(EQ258 &lt;&gt; "", EQ258 &lt;&gt; 0), (EQ258 * ER258 * 1 * (1 - COMIS_ACCION)), 0))  )))</f>
        <v>0</v>
      </c>
      <c r="EW258" s="917"/>
      <c r="EX258" s="917"/>
      <c r="EY258" s="917"/>
      <c r="EZ258" s="917"/>
      <c r="FA258" s="917"/>
      <c r="FB258" s="917"/>
      <c r="FC258" s="917"/>
      <c r="FD258" s="925"/>
      <c r="FE258" s="340"/>
      <c r="FF258" s="340"/>
      <c r="FG258" s="364"/>
      <c r="FH258" s="364"/>
      <c r="FI258" s="339"/>
      <c r="FJ258" s="347"/>
      <c r="FK258" s="342"/>
      <c r="FL258" s="343"/>
      <c r="FM258" s="930">
        <f>IF(FL258 = "", 0,
IF(AND(FJ258 &gt; 0, FK258 &gt;0), 0,
IF(AND(FJ258 &lt;&gt; "", FJ258 &lt;&gt; 0), -(FJ258 * FL258 * 100),
IF(AND(FK258 &lt;&gt; "", FK258 &lt;&gt; 0), (FK258 * FL258 * 100), 0)) ))</f>
        <v>0</v>
      </c>
      <c r="FN258" s="931"/>
      <c r="FO258" s="932"/>
      <c r="FP258" s="930">
        <f>IF(FL258 = "", 0,
IF(AND(FJ258 &gt; 0, FK258 &gt;0), 0,
IF(AND(FJ258 &lt;&gt; "", FJ258 &lt;&gt; 0), -(FJ258 * FL258 * 100 * (1 + COMIS_OPCION)),
IF(AND(FK258 &lt;&gt; "", FK258 &lt;&gt; 0), (FK258 * FL258 * 100 * (1 - COMIS_OPCION)), 0)) ))</f>
        <v>0</v>
      </c>
      <c r="FQ258" s="931"/>
      <c r="FR258" s="931"/>
      <c r="FS258" s="931"/>
      <c r="FT258" s="931"/>
      <c r="FU258" s="931"/>
      <c r="FV258" s="931"/>
      <c r="FW258" s="931"/>
      <c r="FX258" s="933"/>
      <c r="FY258" s="341"/>
      <c r="FZ258" s="341"/>
      <c r="GA258" s="341"/>
      <c r="GB258" s="495">
        <v>0</v>
      </c>
      <c r="GC258" s="495">
        <v>0</v>
      </c>
      <c r="GD258" s="500"/>
      <c r="GE258" s="495">
        <v>0</v>
      </c>
      <c r="GF258" s="495">
        <v>0</v>
      </c>
      <c r="GG258" s="495">
        <v>0</v>
      </c>
      <c r="GH258" s="359"/>
      <c r="GI258" s="359"/>
      <c r="GJ258" s="501"/>
      <c r="GK258" s="495">
        <v>0</v>
      </c>
      <c r="GL258" s="495">
        <v>0</v>
      </c>
      <c r="GM258" s="495">
        <v>0</v>
      </c>
      <c r="GN258" s="359"/>
      <c r="GO258" s="359"/>
      <c r="GP258" s="501"/>
      <c r="GQ258" s="495">
        <v>0</v>
      </c>
      <c r="GR258" s="375"/>
      <c r="GS258" s="333"/>
      <c r="GT258" s="333"/>
      <c r="GU258" s="333"/>
      <c r="GV258" s="333"/>
      <c r="GW258" s="333"/>
      <c r="GX258" s="333"/>
      <c r="GY258" s="333"/>
      <c r="GZ258" s="333"/>
      <c r="HA258" s="333"/>
      <c r="HB258" s="333"/>
      <c r="HC258" s="333"/>
      <c r="HD258" s="333"/>
      <c r="HE258" s="333"/>
      <c r="HF258" s="333"/>
      <c r="HG258" s="331"/>
      <c r="HH258" s="331"/>
      <c r="HI258" s="331"/>
      <c r="HJ258" s="331"/>
      <c r="HK258" s="331"/>
      <c r="HL258" s="331"/>
      <c r="HM258" s="331"/>
      <c r="HN258" s="333"/>
      <c r="HO258" s="333"/>
      <c r="HP258" s="333"/>
      <c r="HQ258" s="333"/>
      <c r="HR258" s="333"/>
      <c r="HS258" s="333"/>
      <c r="HT258" s="333"/>
      <c r="HU258" s="333"/>
      <c r="HV258" s="333"/>
      <c r="HW258" s="333"/>
      <c r="HX258" s="333"/>
      <c r="HY258" s="333"/>
      <c r="HZ258" s="333"/>
      <c r="IA258" s="333"/>
      <c r="IB258" s="333"/>
      <c r="IC258" s="333"/>
      <c r="ID258" s="55"/>
      <c r="IE258" s="47"/>
      <c r="IO258" s="51"/>
    </row>
    <row r="259" spans="13:249" s="142" customFormat="1" ht="15" customHeight="1">
      <c r="M259" s="333"/>
      <c r="N259" s="333"/>
      <c r="O259" s="333"/>
      <c r="P259" s="333"/>
      <c r="Q259" s="333"/>
      <c r="R259" s="333"/>
      <c r="S259" s="333"/>
      <c r="T259" s="333"/>
      <c r="U259" s="333"/>
      <c r="V259" s="333"/>
      <c r="W259" s="333"/>
      <c r="X259" s="333"/>
      <c r="Y259" s="333"/>
      <c r="Z259" s="333"/>
      <c r="AA259" s="333"/>
      <c r="AB259" s="333"/>
      <c r="AC259" s="333"/>
      <c r="AD259" s="333"/>
      <c r="AE259" s="333"/>
      <c r="AF259" s="333"/>
      <c r="AG259" s="333"/>
      <c r="AH259" s="333"/>
      <c r="AI259" s="333"/>
      <c r="AJ259" s="333"/>
      <c r="AK259" s="333"/>
      <c r="AL259" s="333"/>
      <c r="AM259" s="333"/>
      <c r="AN259" s="333"/>
      <c r="AO259" s="333"/>
      <c r="AP259" s="333"/>
      <c r="AQ259" s="333"/>
      <c r="AR259" s="333"/>
      <c r="AS259" s="333"/>
      <c r="AT259" s="333"/>
      <c r="AU259" s="333"/>
      <c r="AV259" s="333"/>
      <c r="AW259" s="333"/>
      <c r="AX259" s="333"/>
      <c r="AY259" s="333"/>
      <c r="AZ259" s="333"/>
      <c r="BA259" s="333"/>
      <c r="BB259" s="333"/>
      <c r="BC259" s="333"/>
      <c r="BD259" s="333"/>
      <c r="BE259" s="333"/>
      <c r="BF259" s="333"/>
      <c r="BG259" s="333"/>
      <c r="BH259" s="333"/>
      <c r="BI259" s="333"/>
      <c r="BJ259" s="333"/>
      <c r="BK259" s="333"/>
      <c r="BL259" s="333"/>
      <c r="BM259" s="333"/>
      <c r="BN259" s="333"/>
      <c r="BO259" s="333"/>
      <c r="BP259" s="333"/>
      <c r="BQ259" s="333"/>
      <c r="BR259" s="333"/>
      <c r="BS259" s="333"/>
      <c r="BT259" s="333"/>
      <c r="BU259" s="333"/>
      <c r="BV259" s="333"/>
      <c r="BW259" s="333"/>
      <c r="BX259" s="333"/>
      <c r="BY259" s="333"/>
      <c r="BZ259" s="333"/>
      <c r="CA259" s="333"/>
      <c r="CB259" s="333"/>
      <c r="CC259" s="333"/>
      <c r="CD259" s="333"/>
      <c r="CE259" s="333"/>
      <c r="CF259" s="333"/>
      <c r="CG259" s="333"/>
      <c r="CH259" s="333"/>
      <c r="CI259" s="333"/>
      <c r="CJ259" s="333"/>
      <c r="CK259" s="333"/>
      <c r="CL259" s="333"/>
      <c r="CM259" s="333"/>
      <c r="CN259" s="333"/>
      <c r="CO259" s="333"/>
      <c r="CP259" s="333"/>
      <c r="CQ259" s="333"/>
      <c r="CR259" s="333"/>
      <c r="CS259" s="333"/>
      <c r="CT259" s="333"/>
      <c r="CU259" s="333"/>
      <c r="CV259" s="333"/>
      <c r="CW259" s="333"/>
      <c r="CX259" s="333"/>
      <c r="CY259" s="333"/>
      <c r="CZ259" s="333"/>
      <c r="DA259" s="333"/>
      <c r="DB259" s="333"/>
      <c r="DC259" s="333"/>
      <c r="DD259" s="333"/>
      <c r="DE259" s="333"/>
      <c r="DF259" s="333"/>
      <c r="DG259" s="333"/>
      <c r="DH259" s="333"/>
      <c r="DI259" s="333"/>
      <c r="DJ259" s="333"/>
      <c r="DK259" s="333"/>
      <c r="DL259" s="333"/>
      <c r="DM259" s="333"/>
      <c r="DN259" s="333"/>
      <c r="DO259" s="333"/>
      <c r="DP259" s="333"/>
      <c r="DQ259" s="333"/>
      <c r="DR259" s="333"/>
      <c r="DS259" s="333"/>
      <c r="DT259" s="333"/>
      <c r="DU259" s="375"/>
      <c r="DV259" s="375"/>
      <c r="DW259" s="375"/>
      <c r="DX259" s="375"/>
      <c r="DY259" s="375"/>
      <c r="DZ259" s="375"/>
      <c r="EA259" s="375"/>
      <c r="EB259" s="375"/>
      <c r="EC259" s="375"/>
      <c r="ED259" s="375"/>
      <c r="EE259" s="375"/>
      <c r="EF259" s="375"/>
      <c r="EG259" s="375"/>
      <c r="EH259" s="375"/>
      <c r="EI259" s="375"/>
      <c r="EJ259" s="373"/>
      <c r="EK259" s="373"/>
      <c r="EL259" s="366"/>
      <c r="EM259" s="368"/>
      <c r="EN259" s="364"/>
      <c r="EO259" s="352">
        <f>+SUM(EP257:EP261) - SUM(EQ257:EQ261)</f>
        <v>0</v>
      </c>
      <c r="EP259" s="347"/>
      <c r="EQ259" s="342"/>
      <c r="ER259" s="522"/>
      <c r="ES259" s="916">
        <f>IF(ER259 = "", 0,
IF(AND(EP259 &gt; 0, EQ259 &gt;0), 0, IF(EO257 &lt;&gt; $Z$1,
IF(AND(EP259 &lt;&gt; "", EP259 &lt;&gt; 0), -(EP259 * ER259 * 100),
IF(AND(EQ259 &lt;&gt; "", EQ259 &lt;&gt; 0), (EQ259 * ER259 * 100), 0)),
IF(AND(EP259 &lt;&gt; "", EP259 &lt;&gt; 0), -(EP259 * ER259 * 1),
IF(AND(EQ259 &lt;&gt; "", EQ259 &lt;&gt; 0), (EQ259 * ER259 * 1), 0))  )))</f>
        <v>0</v>
      </c>
      <c r="ET259" s="917"/>
      <c r="EU259" s="918"/>
      <c r="EV259" s="916">
        <f>IF(ER259 = "", 0,
IF(AND(EP259 &gt; 0, EQ259 &gt;0), 0,  IF(EO257 &lt;&gt; $Z$1,
IF(AND(EP259 &lt;&gt; "", EP259 &lt;&gt; 0), -(EP259 * ER259 * 100 * (1 + COMIS_OPCION)),
IF(AND(EQ259 &lt;&gt; "", EQ259 &lt;&gt; 0), (EQ259 * ER259 * 100 * (1 - COMIS_OPCION)), 0)),
IF(AND(EP259 &lt;&gt; "", EP259 &lt;&gt; 0), -(EP259 * ER259 * 1 * (1 + COMIS_ACCION)),
IF(AND(EQ259 &lt;&gt; "", EQ259 &lt;&gt; 0), (EQ259 * ER259 * 1 * (1 - COMIS_ACCION)), 0))  )))</f>
        <v>0</v>
      </c>
      <c r="EW259" s="917"/>
      <c r="EX259" s="917"/>
      <c r="EY259" s="917"/>
      <c r="EZ259" s="917"/>
      <c r="FA259" s="917"/>
      <c r="FB259" s="917"/>
      <c r="FC259" s="917"/>
      <c r="FD259" s="925"/>
      <c r="FE259" s="340"/>
      <c r="FF259" s="340"/>
      <c r="FG259" s="365"/>
      <c r="FH259" s="365"/>
      <c r="FI259" s="354">
        <f>+SUM(FJ257:FJ261) - SUM(FK257:FK261)</f>
        <v>0</v>
      </c>
      <c r="FJ259" s="347"/>
      <c r="FK259" s="342"/>
      <c r="FL259" s="343"/>
      <c r="FM259" s="930">
        <f>IF(FL259 = "", 0,
IF(AND(FJ259 &gt; 0, FK259 &gt;0), 0,
IF(AND(FJ259 &lt;&gt; "", FJ259 &lt;&gt; 0), -(FJ259 * FL259 * 100),
IF(AND(FK259 &lt;&gt; "", FK259 &lt;&gt; 0), (FK259 * FL259 * 100), 0)) ))</f>
        <v>0</v>
      </c>
      <c r="FN259" s="931"/>
      <c r="FO259" s="932"/>
      <c r="FP259" s="930">
        <f>IF(FL259 = "", 0,
IF(AND(FJ259 &gt; 0, FK259 &gt;0), 0,
IF(AND(FJ259 &lt;&gt; "", FJ259 &lt;&gt; 0), -(FJ259 * FL259 * 100 * (1 + COMIS_OPCION)),
IF(AND(FK259 &lt;&gt; "", FK259 &lt;&gt; 0), (FK259 * FL259 * 100 * (1 - COMIS_OPCION)), 0)) ))</f>
        <v>0</v>
      </c>
      <c r="FQ259" s="931"/>
      <c r="FR259" s="931"/>
      <c r="FS259" s="931"/>
      <c r="FT259" s="931"/>
      <c r="FU259" s="931"/>
      <c r="FV259" s="931"/>
      <c r="FW259" s="931"/>
      <c r="FX259" s="933"/>
      <c r="FY259" s="341"/>
      <c r="FZ259" s="341"/>
      <c r="GA259" s="341"/>
      <c r="GB259" s="495">
        <v>0</v>
      </c>
      <c r="GC259" s="495">
        <v>0</v>
      </c>
      <c r="GD259" s="500"/>
      <c r="GE259" s="495">
        <v>0</v>
      </c>
      <c r="GF259" s="495">
        <v>0</v>
      </c>
      <c r="GG259" s="495">
        <v>0</v>
      </c>
      <c r="GH259" s="359"/>
      <c r="GI259" s="359"/>
      <c r="GJ259" s="501"/>
      <c r="GK259" s="495">
        <v>0</v>
      </c>
      <c r="GL259" s="495">
        <v>0</v>
      </c>
      <c r="GM259" s="495">
        <v>0</v>
      </c>
      <c r="GN259" s="359"/>
      <c r="GO259" s="359"/>
      <c r="GP259" s="501"/>
      <c r="GQ259" s="495">
        <v>0</v>
      </c>
      <c r="GR259" s="375"/>
      <c r="GS259" s="333"/>
      <c r="GT259" s="333"/>
      <c r="GU259" s="333"/>
      <c r="GV259" s="333"/>
      <c r="GW259" s="333"/>
      <c r="GX259" s="333"/>
      <c r="GY259" s="333"/>
      <c r="GZ259" s="333"/>
      <c r="HA259" s="333"/>
      <c r="HB259" s="333"/>
      <c r="HC259" s="333"/>
      <c r="HD259" s="333"/>
      <c r="HE259" s="333"/>
      <c r="HF259" s="333"/>
      <c r="HG259" s="331"/>
      <c r="HH259" s="331"/>
      <c r="HI259" s="331"/>
      <c r="HJ259" s="331"/>
      <c r="HK259" s="331"/>
      <c r="HL259" s="331"/>
      <c r="HM259" s="331"/>
      <c r="HN259" s="333"/>
      <c r="HO259" s="333"/>
      <c r="HP259" s="333"/>
      <c r="HQ259" s="333"/>
      <c r="HR259" s="333"/>
      <c r="HS259" s="333"/>
      <c r="HT259" s="333"/>
      <c r="HU259" s="333"/>
      <c r="HV259" s="333"/>
      <c r="HW259" s="333"/>
      <c r="HX259" s="333"/>
      <c r="HY259" s="333"/>
      <c r="HZ259" s="333"/>
      <c r="IA259" s="333"/>
      <c r="IB259" s="333"/>
      <c r="IC259" s="333"/>
      <c r="ID259" s="55"/>
      <c r="IE259" s="47"/>
      <c r="IO259" s="51"/>
    </row>
    <row r="260" spans="13:249" s="142" customFormat="1" ht="15" customHeight="1">
      <c r="M260" s="333"/>
      <c r="N260" s="333"/>
      <c r="O260" s="333"/>
      <c r="P260" s="333"/>
      <c r="Q260" s="333"/>
      <c r="R260" s="333"/>
      <c r="S260" s="333"/>
      <c r="T260" s="333"/>
      <c r="U260" s="333"/>
      <c r="V260" s="333"/>
      <c r="W260" s="333"/>
      <c r="X260" s="333"/>
      <c r="Y260" s="333"/>
      <c r="Z260" s="333"/>
      <c r="AA260" s="333"/>
      <c r="AB260" s="333"/>
      <c r="AC260" s="333"/>
      <c r="AD260" s="333"/>
      <c r="AE260" s="333"/>
      <c r="AF260" s="333"/>
      <c r="AG260" s="333"/>
      <c r="AH260" s="333"/>
      <c r="AI260" s="333"/>
      <c r="AJ260" s="333"/>
      <c r="AK260" s="333"/>
      <c r="AL260" s="333"/>
      <c r="AM260" s="333"/>
      <c r="AN260" s="333"/>
      <c r="AO260" s="333"/>
      <c r="AP260" s="333"/>
      <c r="AQ260" s="333"/>
      <c r="AR260" s="333"/>
      <c r="AS260" s="333"/>
      <c r="AT260" s="333"/>
      <c r="AU260" s="333"/>
      <c r="AV260" s="333"/>
      <c r="AW260" s="333"/>
      <c r="AX260" s="333"/>
      <c r="AY260" s="333"/>
      <c r="AZ260" s="333"/>
      <c r="BA260" s="333"/>
      <c r="BB260" s="333"/>
      <c r="BC260" s="333"/>
      <c r="BD260" s="333"/>
      <c r="BE260" s="333"/>
      <c r="BF260" s="333"/>
      <c r="BG260" s="333"/>
      <c r="BH260" s="333"/>
      <c r="BI260" s="333"/>
      <c r="BJ260" s="333"/>
      <c r="BK260" s="333"/>
      <c r="BL260" s="333"/>
      <c r="BM260" s="333"/>
      <c r="BN260" s="333"/>
      <c r="BO260" s="333"/>
      <c r="BP260" s="333"/>
      <c r="BQ260" s="333"/>
      <c r="BR260" s="333"/>
      <c r="BS260" s="333"/>
      <c r="BT260" s="333"/>
      <c r="BU260" s="333"/>
      <c r="BV260" s="333"/>
      <c r="BW260" s="333"/>
      <c r="BX260" s="333"/>
      <c r="BY260" s="333"/>
      <c r="BZ260" s="333"/>
      <c r="CA260" s="333"/>
      <c r="CB260" s="333"/>
      <c r="CC260" s="333"/>
      <c r="CD260" s="333"/>
      <c r="CE260" s="333"/>
      <c r="CF260" s="333"/>
      <c r="CG260" s="333"/>
      <c r="CH260" s="333"/>
      <c r="CI260" s="333"/>
      <c r="CJ260" s="333"/>
      <c r="CK260" s="333"/>
      <c r="CL260" s="333"/>
      <c r="CM260" s="333"/>
      <c r="CN260" s="333"/>
      <c r="CO260" s="333"/>
      <c r="CP260" s="333"/>
      <c r="CQ260" s="333"/>
      <c r="CR260" s="333"/>
      <c r="CS260" s="333"/>
      <c r="CT260" s="333"/>
      <c r="CU260" s="333"/>
      <c r="CV260" s="333"/>
      <c r="CW260" s="333"/>
      <c r="CX260" s="333"/>
      <c r="CY260" s="333"/>
      <c r="CZ260" s="333"/>
      <c r="DA260" s="333"/>
      <c r="DB260" s="333"/>
      <c r="DC260" s="333"/>
      <c r="DD260" s="333"/>
      <c r="DE260" s="333"/>
      <c r="DF260" s="333"/>
      <c r="DG260" s="333"/>
      <c r="DH260" s="333"/>
      <c r="DI260" s="333"/>
      <c r="DJ260" s="333"/>
      <c r="DK260" s="333"/>
      <c r="DL260" s="333"/>
      <c r="DM260" s="333"/>
      <c r="DN260" s="333"/>
      <c r="DO260" s="333"/>
      <c r="DP260" s="333"/>
      <c r="DQ260" s="333"/>
      <c r="DR260" s="333"/>
      <c r="DS260" s="333"/>
      <c r="DT260" s="333"/>
      <c r="DU260" s="375"/>
      <c r="DV260" s="375"/>
      <c r="DW260" s="375"/>
      <c r="DX260" s="375"/>
      <c r="DY260" s="375"/>
      <c r="DZ260" s="375"/>
      <c r="EA260" s="375"/>
      <c r="EB260" s="375"/>
      <c r="EC260" s="375"/>
      <c r="ED260" s="375"/>
      <c r="EE260" s="375"/>
      <c r="EF260" s="375"/>
      <c r="EG260" s="375"/>
      <c r="EH260" s="375"/>
      <c r="EI260" s="375"/>
      <c r="EJ260" s="373"/>
      <c r="EK260" s="373"/>
      <c r="EL260" s="366"/>
      <c r="EM260" s="368"/>
      <c r="EN260" s="364"/>
      <c r="EO260" s="352">
        <f>IF(EO259=0, 0, SUM(EV257:FD261))</f>
        <v>0</v>
      </c>
      <c r="EP260" s="347"/>
      <c r="EQ260" s="342"/>
      <c r="ER260" s="522"/>
      <c r="ES260" s="916">
        <f>IF(ER260 = "", 0,
IF(AND(EP260 &gt; 0, EQ260 &gt;0), 0, IF(EO257 &lt;&gt; $Z$1,
IF(AND(EP260 &lt;&gt; "", EP260 &lt;&gt; 0), -(EP260 * ER260 * 100),
IF(AND(EQ260 &lt;&gt; "", EQ260 &lt;&gt; 0), (EQ260 * ER260 * 100), 0)),
IF(AND(EP260 &lt;&gt; "", EP260 &lt;&gt; 0), -(EP260 * ER260 * 1),
IF(AND(EQ260 &lt;&gt; "", EQ260 &lt;&gt; 0), (EQ260 * ER260 * 1), 0))  )))</f>
        <v>0</v>
      </c>
      <c r="ET260" s="917"/>
      <c r="EU260" s="918"/>
      <c r="EV260" s="916">
        <f>IF(ER260 = "", 0,
IF(AND(EP260 &gt; 0, EQ260 &gt;0), 0,  IF(EO257 &lt;&gt; $Z$1,
IF(AND(EP260 &lt;&gt; "", EP260 &lt;&gt; 0), -(EP260 * ER260 * 100 * (1 + COMIS_OPCION)),
IF(AND(EQ260 &lt;&gt; "", EQ260 &lt;&gt; 0), (EQ260 * ER260 * 100 * (1 - COMIS_OPCION)), 0)),
IF(AND(EP260 &lt;&gt; "", EP260 &lt;&gt; 0), -(EP260 * ER260 * 1 * (1 + COMIS_ACCION)),
IF(AND(EQ260 &lt;&gt; "", EQ260 &lt;&gt; 0), (EQ260 * ER260 * 1 * (1 - COMIS_ACCION)), 0))  )))</f>
        <v>0</v>
      </c>
      <c r="EW260" s="917"/>
      <c r="EX260" s="917"/>
      <c r="EY260" s="917"/>
      <c r="EZ260" s="917"/>
      <c r="FA260" s="917"/>
      <c r="FB260" s="917"/>
      <c r="FC260" s="917"/>
      <c r="FD260" s="925"/>
      <c r="FE260" s="340"/>
      <c r="FF260" s="340"/>
      <c r="FG260" s="365"/>
      <c r="FH260" s="365"/>
      <c r="FI260" s="354">
        <f>IF(FI259=0, 0, SUM(FP257:FX261))</f>
        <v>0</v>
      </c>
      <c r="FJ260" s="347"/>
      <c r="FK260" s="342"/>
      <c r="FL260" s="343"/>
      <c r="FM260" s="930">
        <f>IF(FL260 = "", 0,
IF(AND(FJ260 &gt; 0, FK260 &gt;0), 0,
IF(AND(FJ260 &lt;&gt; "", FJ260 &lt;&gt; 0), -(FJ260 * FL260 * 100),
IF(AND(FK260 &lt;&gt; "", FK260 &lt;&gt; 0), (FK260 * FL260 * 100), 0)) ))</f>
        <v>0</v>
      </c>
      <c r="FN260" s="931"/>
      <c r="FO260" s="932"/>
      <c r="FP260" s="930">
        <f>IF(FL260 = "", 0,
IF(AND(FJ260 &gt; 0, FK260 &gt;0), 0,
IF(AND(FJ260 &lt;&gt; "", FJ260 &lt;&gt; 0), -(FJ260 * FL260 * 100 * (1 + COMIS_OPCION)),
IF(AND(FK260 &lt;&gt; "", FK260 &lt;&gt; 0), (FK260 * FL260 * 100 * (1 - COMIS_OPCION)), 0)) ))</f>
        <v>0</v>
      </c>
      <c r="FQ260" s="931"/>
      <c r="FR260" s="931"/>
      <c r="FS260" s="931"/>
      <c r="FT260" s="931"/>
      <c r="FU260" s="931"/>
      <c r="FV260" s="931"/>
      <c r="FW260" s="931"/>
      <c r="FX260" s="933"/>
      <c r="FY260" s="341"/>
      <c r="FZ260" s="341"/>
      <c r="GA260" s="341"/>
      <c r="GB260" s="495">
        <v>0</v>
      </c>
      <c r="GC260" s="495">
        <v>0</v>
      </c>
      <c r="GD260" s="500"/>
      <c r="GE260" s="495">
        <v>0</v>
      </c>
      <c r="GF260" s="495">
        <v>0</v>
      </c>
      <c r="GG260" s="495">
        <v>0</v>
      </c>
      <c r="GH260" s="359"/>
      <c r="GI260" s="359"/>
      <c r="GJ260" s="501"/>
      <c r="GK260" s="495">
        <v>0</v>
      </c>
      <c r="GL260" s="495">
        <v>0</v>
      </c>
      <c r="GM260" s="495">
        <v>0</v>
      </c>
      <c r="GN260" s="359"/>
      <c r="GO260" s="359"/>
      <c r="GP260" s="501"/>
      <c r="GQ260" s="495">
        <v>0</v>
      </c>
      <c r="GR260" s="375"/>
      <c r="GS260" s="333"/>
      <c r="GT260" s="333"/>
      <c r="GU260" s="333"/>
      <c r="GV260" s="333"/>
      <c r="GW260" s="333"/>
      <c r="GX260" s="333"/>
      <c r="GY260" s="333"/>
      <c r="GZ260" s="333"/>
      <c r="HA260" s="333"/>
      <c r="HB260" s="333"/>
      <c r="HC260" s="333"/>
      <c r="HD260" s="333"/>
      <c r="HE260" s="333"/>
      <c r="HF260" s="333"/>
      <c r="HG260" s="331"/>
      <c r="HH260" s="331"/>
      <c r="HI260" s="331"/>
      <c r="HJ260" s="331"/>
      <c r="HK260" s="331"/>
      <c r="HL260" s="331"/>
      <c r="HM260" s="331"/>
      <c r="HN260" s="333"/>
      <c r="HO260" s="333"/>
      <c r="HP260" s="333"/>
      <c r="HQ260" s="333"/>
      <c r="HR260" s="333"/>
      <c r="HS260" s="333"/>
      <c r="HT260" s="333"/>
      <c r="HU260" s="333"/>
      <c r="HV260" s="333"/>
      <c r="HW260" s="333"/>
      <c r="HX260" s="333"/>
      <c r="HY260" s="333"/>
      <c r="HZ260" s="333"/>
      <c r="IA260" s="333"/>
      <c r="IB260" s="333"/>
      <c r="IC260" s="333"/>
      <c r="ID260" s="55"/>
      <c r="IE260" s="47"/>
      <c r="IO260" s="51"/>
    </row>
    <row r="261" spans="13:249" s="142" customFormat="1" ht="15" customHeight="1" thickBot="1">
      <c r="M261" s="333"/>
      <c r="N261" s="333"/>
      <c r="O261" s="333"/>
      <c r="P261" s="333"/>
      <c r="Q261" s="333"/>
      <c r="R261" s="333"/>
      <c r="S261" s="333"/>
      <c r="T261" s="333"/>
      <c r="U261" s="333"/>
      <c r="V261" s="333"/>
      <c r="W261" s="333"/>
      <c r="X261" s="333"/>
      <c r="Y261" s="333"/>
      <c r="Z261" s="333"/>
      <c r="AA261" s="333"/>
      <c r="AB261" s="333"/>
      <c r="AC261" s="333"/>
      <c r="AD261" s="333"/>
      <c r="AE261" s="333"/>
      <c r="AF261" s="333"/>
      <c r="AG261" s="333"/>
      <c r="AH261" s="333"/>
      <c r="AI261" s="333"/>
      <c r="AJ261" s="333"/>
      <c r="AK261" s="333"/>
      <c r="AL261" s="333"/>
      <c r="AM261" s="333"/>
      <c r="AN261" s="333"/>
      <c r="AO261" s="333"/>
      <c r="AP261" s="333"/>
      <c r="AQ261" s="333"/>
      <c r="AR261" s="333"/>
      <c r="AS261" s="333"/>
      <c r="AT261" s="333"/>
      <c r="AU261" s="333"/>
      <c r="AV261" s="333"/>
      <c r="AW261" s="333"/>
      <c r="AX261" s="333"/>
      <c r="AY261" s="333"/>
      <c r="AZ261" s="333"/>
      <c r="BA261" s="333"/>
      <c r="BB261" s="333"/>
      <c r="BC261" s="333"/>
      <c r="BD261" s="333"/>
      <c r="BE261" s="333"/>
      <c r="BF261" s="333"/>
      <c r="BG261" s="333"/>
      <c r="BH261" s="333"/>
      <c r="BI261" s="333"/>
      <c r="BJ261" s="333"/>
      <c r="BK261" s="333"/>
      <c r="BL261" s="333"/>
      <c r="BM261" s="333"/>
      <c r="BN261" s="333"/>
      <c r="BO261" s="333"/>
      <c r="BP261" s="333"/>
      <c r="BQ261" s="333"/>
      <c r="BR261" s="333"/>
      <c r="BS261" s="333"/>
      <c r="BT261" s="333"/>
      <c r="BU261" s="333"/>
      <c r="BV261" s="333"/>
      <c r="BW261" s="333"/>
      <c r="BX261" s="333"/>
      <c r="BY261" s="333"/>
      <c r="BZ261" s="333"/>
      <c r="CA261" s="333"/>
      <c r="CB261" s="333"/>
      <c r="CC261" s="333"/>
      <c r="CD261" s="333"/>
      <c r="CE261" s="333"/>
      <c r="CF261" s="333"/>
      <c r="CG261" s="333"/>
      <c r="CH261" s="333"/>
      <c r="CI261" s="333"/>
      <c r="CJ261" s="333"/>
      <c r="CK261" s="333"/>
      <c r="CL261" s="333"/>
      <c r="CM261" s="333"/>
      <c r="CN261" s="333"/>
      <c r="CO261" s="333"/>
      <c r="CP261" s="333"/>
      <c r="CQ261" s="333"/>
      <c r="CR261" s="333"/>
      <c r="CS261" s="333"/>
      <c r="CT261" s="333"/>
      <c r="CU261" s="333"/>
      <c r="CV261" s="333"/>
      <c r="CW261" s="333"/>
      <c r="CX261" s="333"/>
      <c r="CY261" s="333"/>
      <c r="CZ261" s="333"/>
      <c r="DA261" s="333"/>
      <c r="DB261" s="333"/>
      <c r="DC261" s="333"/>
      <c r="DD261" s="333"/>
      <c r="DE261" s="333"/>
      <c r="DF261" s="333"/>
      <c r="DG261" s="333"/>
      <c r="DH261" s="333"/>
      <c r="DI261" s="333"/>
      <c r="DJ261" s="333"/>
      <c r="DK261" s="333"/>
      <c r="DL261" s="333"/>
      <c r="DM261" s="333"/>
      <c r="DN261" s="333"/>
      <c r="DO261" s="333"/>
      <c r="DP261" s="333"/>
      <c r="DQ261" s="333"/>
      <c r="DR261" s="333"/>
      <c r="DS261" s="333"/>
      <c r="DT261" s="333"/>
      <c r="DU261" s="375"/>
      <c r="DV261" s="375"/>
      <c r="DW261" s="375"/>
      <c r="DX261" s="375"/>
      <c r="DY261" s="375"/>
      <c r="DZ261" s="375"/>
      <c r="EA261" s="375"/>
      <c r="EB261" s="375"/>
      <c r="EC261" s="375"/>
      <c r="ED261" s="375"/>
      <c r="EE261" s="375"/>
      <c r="EF261" s="375"/>
      <c r="EG261" s="375"/>
      <c r="EH261" s="375"/>
      <c r="EI261" s="375"/>
      <c r="EJ261" s="373"/>
      <c r="EK261" s="373"/>
      <c r="EL261" s="366"/>
      <c r="EM261" s="368"/>
      <c r="EN261" s="364"/>
      <c r="EO261" s="353">
        <f>+IF(EO259= 0, 0, GG257)</f>
        <v>0</v>
      </c>
      <c r="EP261" s="350"/>
      <c r="EQ261" s="344"/>
      <c r="ER261" s="523"/>
      <c r="ES261" s="921">
        <f>IF(ER261 = "", 0,
IF(AND(EP261 &gt; 0, EQ261 &gt;0), 0, IF(EO257 &lt;&gt; $Z$1,
IF(AND(EP261 &lt;&gt; "", EP261 &lt;&gt; 0), -(EP261 * ER261 * 100),
IF(AND(EQ261 &lt;&gt; "", EQ261 &lt;&gt; 0), (EQ261 * ER261 * 100), 0)),
IF(AND(EP261 &lt;&gt; "", EP261 &lt;&gt; 0), -(EP261 * ER261 * 1),
IF(AND(EQ261 &lt;&gt; "", EQ261 &lt;&gt; 0), (EQ261 * ER261 * 1), 0))  )))</f>
        <v>0</v>
      </c>
      <c r="ET261" s="922"/>
      <c r="EU261" s="924"/>
      <c r="EV261" s="921">
        <f>IF(ER261 = "", 0,
IF(AND(EP261 &gt; 0, EQ261 &gt;0), 0,  IF(EO257 &lt;&gt; $Z$1,
IF(AND(EP261 &lt;&gt; "", EP261 &lt;&gt; 0), -(EP261 * ER261 * 100 * (1 + COMIS_OPCION)),
IF(AND(EQ261 &lt;&gt; "", EQ261 &lt;&gt; 0), (EQ261 * ER261 * 100 * (1 - COMIS_OPCION)), 0)),
IF(AND(EP261 &lt;&gt; "", EP261 &lt;&gt; 0), -(EP261 * ER261 * 1 * (1 + COMIS_ACCION)),
IF(AND(EQ261 &lt;&gt; "", EQ261 &lt;&gt; 0), (EQ261 * ER261 * 1 * (1 - COMIS_ACCION)), 0))  )))</f>
        <v>0</v>
      </c>
      <c r="EW261" s="922"/>
      <c r="EX261" s="922"/>
      <c r="EY261" s="922"/>
      <c r="EZ261" s="922"/>
      <c r="FA261" s="922"/>
      <c r="FB261" s="922"/>
      <c r="FC261" s="922"/>
      <c r="FD261" s="923"/>
      <c r="FE261" s="340"/>
      <c r="FF261" s="340"/>
      <c r="FG261" s="365"/>
      <c r="FH261" s="365"/>
      <c r="FI261" s="349">
        <f>+IF(FI259= 0, 0, GQ257)</f>
        <v>0</v>
      </c>
      <c r="FJ261" s="348"/>
      <c r="FK261" s="345"/>
      <c r="FL261" s="346"/>
      <c r="FM261" s="937">
        <f>IF(FL261 = "", 0,
IF(AND(FJ261 &gt; 0, FK261 &gt;0), 0,
IF(AND(FJ261 &lt;&gt; "", FJ261 &lt;&gt; 0), -(FJ261 * FL261 * 100),
IF(AND(FK261 &lt;&gt; "", FK261 &lt;&gt; 0), (FK261 * FL261 * 100), 0)) ))</f>
        <v>0</v>
      </c>
      <c r="FN261" s="938"/>
      <c r="FO261" s="939"/>
      <c r="FP261" s="937">
        <f>IF(FL261 = "", 0,
IF(AND(FJ261 &gt; 0, FK261 &gt;0), 0,
IF(AND(FJ261 &lt;&gt; "", FJ261 &lt;&gt; 0), -(FJ261 * FL261 * 100 * (1 + COMIS_OPCION)),
IF(AND(FK261 &lt;&gt; "", FK261 &lt;&gt; 0), (FK261 * FL261 * 100 * (1 - COMIS_OPCION)), 0)) ))</f>
        <v>0</v>
      </c>
      <c r="FQ261" s="938"/>
      <c r="FR261" s="938"/>
      <c r="FS261" s="938"/>
      <c r="FT261" s="938"/>
      <c r="FU261" s="938"/>
      <c r="FV261" s="938"/>
      <c r="FW261" s="938"/>
      <c r="FX261" s="969"/>
      <c r="FY261" s="341"/>
      <c r="FZ261" s="341"/>
      <c r="GA261" s="341"/>
      <c r="GB261" s="495">
        <v>0</v>
      </c>
      <c r="GC261" s="495">
        <v>0</v>
      </c>
      <c r="GD261" s="500"/>
      <c r="GE261" s="495">
        <v>0</v>
      </c>
      <c r="GF261" s="495">
        <v>0</v>
      </c>
      <c r="GG261" s="495">
        <v>0</v>
      </c>
      <c r="GH261" s="359"/>
      <c r="GI261" s="359"/>
      <c r="GJ261" s="501"/>
      <c r="GK261" s="495">
        <v>0</v>
      </c>
      <c r="GL261" s="495">
        <v>0</v>
      </c>
      <c r="GM261" s="495">
        <v>0</v>
      </c>
      <c r="GN261" s="359"/>
      <c r="GO261" s="359"/>
      <c r="GP261" s="501"/>
      <c r="GQ261" s="495">
        <v>0</v>
      </c>
      <c r="GR261" s="375"/>
      <c r="GS261" s="333"/>
      <c r="GT261" s="333"/>
      <c r="GU261" s="333"/>
      <c r="GV261" s="333"/>
      <c r="GW261" s="333"/>
      <c r="GX261" s="333"/>
      <c r="GY261" s="333"/>
      <c r="GZ261" s="333"/>
      <c r="HA261" s="333"/>
      <c r="HB261" s="333"/>
      <c r="HC261" s="333"/>
      <c r="HD261" s="333"/>
      <c r="HE261" s="333"/>
      <c r="HF261" s="333"/>
      <c r="HG261" s="331"/>
      <c r="HH261" s="331"/>
      <c r="HI261" s="331"/>
      <c r="HJ261" s="331"/>
      <c r="HK261" s="331"/>
      <c r="HL261" s="331"/>
      <c r="HM261" s="331"/>
      <c r="HN261" s="333"/>
      <c r="HO261" s="333"/>
      <c r="HP261" s="333"/>
      <c r="HQ261" s="333"/>
      <c r="HR261" s="333"/>
      <c r="HS261" s="333"/>
      <c r="HT261" s="333"/>
      <c r="HU261" s="333"/>
      <c r="HV261" s="333"/>
      <c r="HW261" s="333"/>
      <c r="HX261" s="333"/>
      <c r="HY261" s="333"/>
      <c r="HZ261" s="333"/>
      <c r="IA261" s="333"/>
      <c r="IB261" s="333"/>
      <c r="IC261" s="333"/>
      <c r="ID261" s="55"/>
      <c r="IE261" s="47"/>
      <c r="IO261" s="51"/>
    </row>
    <row r="262" spans="13:249" s="142" customFormat="1" ht="15" customHeight="1" thickBot="1">
      <c r="M262" s="333"/>
      <c r="N262" s="333"/>
      <c r="O262" s="333"/>
      <c r="P262" s="333"/>
      <c r="Q262" s="333"/>
      <c r="R262" s="333"/>
      <c r="S262" s="333"/>
      <c r="T262" s="333"/>
      <c r="U262" s="333"/>
      <c r="V262" s="333"/>
      <c r="W262" s="333"/>
      <c r="X262" s="333"/>
      <c r="Y262" s="333"/>
      <c r="Z262" s="333"/>
      <c r="AA262" s="333"/>
      <c r="AB262" s="333"/>
      <c r="AC262" s="333"/>
      <c r="AD262" s="333"/>
      <c r="AE262" s="333"/>
      <c r="AF262" s="333"/>
      <c r="AG262" s="333"/>
      <c r="AH262" s="333"/>
      <c r="AI262" s="333"/>
      <c r="AJ262" s="333"/>
      <c r="AK262" s="333"/>
      <c r="AL262" s="333"/>
      <c r="AM262" s="333"/>
      <c r="AN262" s="333"/>
      <c r="AO262" s="333"/>
      <c r="AP262" s="333"/>
      <c r="AQ262" s="333"/>
      <c r="AR262" s="333"/>
      <c r="AS262" s="333"/>
      <c r="AT262" s="333"/>
      <c r="AU262" s="333"/>
      <c r="AV262" s="333"/>
      <c r="AW262" s="333"/>
      <c r="AX262" s="333"/>
      <c r="AY262" s="333"/>
      <c r="AZ262" s="333"/>
      <c r="BA262" s="333"/>
      <c r="BB262" s="333"/>
      <c r="BC262" s="333"/>
      <c r="BD262" s="333"/>
      <c r="BE262" s="333"/>
      <c r="BF262" s="333"/>
      <c r="BG262" s="333"/>
      <c r="BH262" s="333"/>
      <c r="BI262" s="333"/>
      <c r="BJ262" s="333"/>
      <c r="BK262" s="333"/>
      <c r="BL262" s="333"/>
      <c r="BM262" s="333"/>
      <c r="BN262" s="333"/>
      <c r="BO262" s="333"/>
      <c r="BP262" s="333"/>
      <c r="BQ262" s="333"/>
      <c r="BR262" s="333"/>
      <c r="BS262" s="333"/>
      <c r="BT262" s="333"/>
      <c r="BU262" s="333"/>
      <c r="BV262" s="333"/>
      <c r="BW262" s="333"/>
      <c r="BX262" s="333"/>
      <c r="BY262" s="333"/>
      <c r="BZ262" s="333"/>
      <c r="CA262" s="333"/>
      <c r="CB262" s="333"/>
      <c r="CC262" s="333"/>
      <c r="CD262" s="333"/>
      <c r="CE262" s="333"/>
      <c r="CF262" s="333"/>
      <c r="CG262" s="333"/>
      <c r="CH262" s="333"/>
      <c r="CI262" s="333"/>
      <c r="CJ262" s="333"/>
      <c r="CK262" s="333"/>
      <c r="CL262" s="333"/>
      <c r="CM262" s="333"/>
      <c r="CN262" s="333"/>
      <c r="CO262" s="333"/>
      <c r="CP262" s="333"/>
      <c r="CQ262" s="333"/>
      <c r="CR262" s="333"/>
      <c r="CS262" s="333"/>
      <c r="CT262" s="333"/>
      <c r="CU262" s="333"/>
      <c r="CV262" s="333"/>
      <c r="CW262" s="333"/>
      <c r="CX262" s="333"/>
      <c r="CY262" s="333"/>
      <c r="CZ262" s="333"/>
      <c r="DA262" s="333"/>
      <c r="DB262" s="333"/>
      <c r="DC262" s="333"/>
      <c r="DD262" s="333"/>
      <c r="DE262" s="333"/>
      <c r="DF262" s="333"/>
      <c r="DG262" s="333"/>
      <c r="DH262" s="333"/>
      <c r="DI262" s="333"/>
      <c r="DJ262" s="333"/>
      <c r="DK262" s="333"/>
      <c r="DL262" s="333"/>
      <c r="DM262" s="333"/>
      <c r="DN262" s="333"/>
      <c r="DO262" s="333"/>
      <c r="DP262" s="333"/>
      <c r="DQ262" s="333"/>
      <c r="DR262" s="333"/>
      <c r="DS262" s="333"/>
      <c r="DT262" s="333"/>
      <c r="DU262" s="375"/>
      <c r="DV262" s="375"/>
      <c r="DW262" s="375"/>
      <c r="DX262" s="375"/>
      <c r="DY262" s="375"/>
      <c r="DZ262" s="375"/>
      <c r="EA262" s="375"/>
      <c r="EB262" s="375"/>
      <c r="EC262" s="375"/>
      <c r="ED262" s="375"/>
      <c r="EE262" s="375"/>
      <c r="EF262" s="375"/>
      <c r="EG262" s="375"/>
      <c r="EH262" s="375"/>
      <c r="EI262" s="375"/>
      <c r="EJ262" s="373"/>
      <c r="EK262" s="373"/>
      <c r="EL262" s="366"/>
      <c r="EM262" s="369"/>
      <c r="EN262" s="364"/>
      <c r="EO262" s="363"/>
      <c r="EP262" s="340"/>
      <c r="EQ262" s="340"/>
      <c r="ER262" s="340"/>
      <c r="ES262" s="363"/>
      <c r="ET262" s="363"/>
      <c r="EU262" s="340"/>
      <c r="EV262" s="340"/>
      <c r="EW262" s="340"/>
      <c r="EX262" s="340"/>
      <c r="EY262" s="340"/>
      <c r="EZ262" s="340"/>
      <c r="FA262" s="340"/>
      <c r="FB262" s="402"/>
      <c r="FC262" s="402"/>
      <c r="FD262" s="340"/>
      <c r="FE262" s="340"/>
      <c r="FF262" s="340"/>
      <c r="FG262" s="364"/>
      <c r="FH262" s="364"/>
      <c r="FI262" s="363"/>
      <c r="FJ262" s="360"/>
      <c r="FK262" s="360"/>
      <c r="FL262" s="340"/>
      <c r="FM262" s="967"/>
      <c r="FN262" s="967"/>
      <c r="FO262" s="967"/>
      <c r="FP262" s="968"/>
      <c r="FQ262" s="968"/>
      <c r="FR262" s="968"/>
      <c r="FS262" s="968"/>
      <c r="FT262" s="968"/>
      <c r="FU262" s="968"/>
      <c r="FV262" s="968"/>
      <c r="FW262" s="968"/>
      <c r="FX262" s="968"/>
      <c r="FY262" s="341"/>
      <c r="FZ262" s="341"/>
      <c r="GA262" s="341"/>
      <c r="GB262" s="495">
        <v>0</v>
      </c>
      <c r="GC262" s="495">
        <v>0</v>
      </c>
      <c r="GD262" s="500"/>
      <c r="GE262" s="495">
        <v>0</v>
      </c>
      <c r="GF262" s="495">
        <v>0</v>
      </c>
      <c r="GG262" s="495">
        <v>0</v>
      </c>
      <c r="GH262" s="359"/>
      <c r="GI262" s="359"/>
      <c r="GJ262" s="501"/>
      <c r="GK262" s="495">
        <v>0</v>
      </c>
      <c r="GL262" s="495">
        <v>0</v>
      </c>
      <c r="GM262" s="495">
        <v>0</v>
      </c>
      <c r="GN262" s="359"/>
      <c r="GO262" s="359"/>
      <c r="GP262" s="501"/>
      <c r="GQ262" s="495">
        <v>0</v>
      </c>
      <c r="GR262" s="375"/>
      <c r="GS262" s="333"/>
      <c r="GT262" s="333"/>
      <c r="GU262" s="333"/>
      <c r="GV262" s="333"/>
      <c r="GW262" s="333"/>
      <c r="GX262" s="333"/>
      <c r="GY262" s="333"/>
      <c r="GZ262" s="333"/>
      <c r="HA262" s="333"/>
      <c r="HB262" s="333"/>
      <c r="HC262" s="333"/>
      <c r="HD262" s="333"/>
      <c r="HE262" s="333"/>
      <c r="HF262" s="333"/>
      <c r="HG262" s="331"/>
      <c r="HH262" s="331"/>
      <c r="HI262" s="331"/>
      <c r="HJ262" s="331"/>
      <c r="HK262" s="331"/>
      <c r="HL262" s="331"/>
      <c r="HM262" s="331"/>
      <c r="HN262" s="333"/>
      <c r="HO262" s="333"/>
      <c r="HP262" s="333"/>
      <c r="HQ262" s="333"/>
      <c r="HR262" s="333"/>
      <c r="HS262" s="333"/>
      <c r="HT262" s="333"/>
      <c r="HU262" s="333"/>
      <c r="HV262" s="333"/>
      <c r="HW262" s="333"/>
      <c r="HX262" s="333"/>
      <c r="HY262" s="333"/>
      <c r="HZ262" s="333"/>
      <c r="IA262" s="333"/>
      <c r="IB262" s="333"/>
      <c r="IC262" s="333"/>
      <c r="ID262" s="55"/>
      <c r="IE262" s="47"/>
      <c r="IO262" s="51"/>
    </row>
    <row r="263" spans="13:249" s="142" customFormat="1" ht="15" customHeight="1">
      <c r="M263" s="333"/>
      <c r="N263" s="333"/>
      <c r="O263" s="333"/>
      <c r="P263" s="333"/>
      <c r="Q263" s="333"/>
      <c r="R263" s="333"/>
      <c r="S263" s="333"/>
      <c r="T263" s="333"/>
      <c r="U263" s="333"/>
      <c r="V263" s="333"/>
      <c r="W263" s="333"/>
      <c r="X263" s="333"/>
      <c r="Y263" s="333"/>
      <c r="Z263" s="333"/>
      <c r="AA263" s="333"/>
      <c r="AB263" s="333"/>
      <c r="AC263" s="333"/>
      <c r="AD263" s="333"/>
      <c r="AE263" s="333"/>
      <c r="AF263" s="333"/>
      <c r="AG263" s="333"/>
      <c r="AH263" s="333"/>
      <c r="AI263" s="333"/>
      <c r="AJ263" s="333"/>
      <c r="AK263" s="333"/>
      <c r="AL263" s="333"/>
      <c r="AM263" s="333"/>
      <c r="AN263" s="333"/>
      <c r="AO263" s="333"/>
      <c r="AP263" s="333"/>
      <c r="AQ263" s="333"/>
      <c r="AR263" s="333"/>
      <c r="AS263" s="333"/>
      <c r="AT263" s="333"/>
      <c r="AU263" s="333"/>
      <c r="AV263" s="333"/>
      <c r="AW263" s="333"/>
      <c r="AX263" s="333"/>
      <c r="AY263" s="333"/>
      <c r="AZ263" s="333"/>
      <c r="BA263" s="333"/>
      <c r="BB263" s="333"/>
      <c r="BC263" s="333"/>
      <c r="BD263" s="333"/>
      <c r="BE263" s="333"/>
      <c r="BF263" s="333"/>
      <c r="BG263" s="333"/>
      <c r="BH263" s="333"/>
      <c r="BI263" s="333"/>
      <c r="BJ263" s="333"/>
      <c r="BK263" s="333"/>
      <c r="BL263" s="333"/>
      <c r="BM263" s="333"/>
      <c r="BN263" s="333"/>
      <c r="BO263" s="333"/>
      <c r="BP263" s="333"/>
      <c r="BQ263" s="333"/>
      <c r="BR263" s="333"/>
      <c r="BS263" s="333"/>
      <c r="BT263" s="333"/>
      <c r="BU263" s="333"/>
      <c r="BV263" s="333"/>
      <c r="BW263" s="333"/>
      <c r="BX263" s="333"/>
      <c r="BY263" s="333"/>
      <c r="BZ263" s="333"/>
      <c r="CA263" s="333"/>
      <c r="CB263" s="333"/>
      <c r="CC263" s="333"/>
      <c r="CD263" s="333"/>
      <c r="CE263" s="333"/>
      <c r="CF263" s="333"/>
      <c r="CG263" s="333"/>
      <c r="CH263" s="333"/>
      <c r="CI263" s="333"/>
      <c r="CJ263" s="333"/>
      <c r="CK263" s="333"/>
      <c r="CL263" s="333"/>
      <c r="CM263" s="333"/>
      <c r="CN263" s="333"/>
      <c r="CO263" s="333"/>
      <c r="CP263" s="333"/>
      <c r="CQ263" s="333"/>
      <c r="CR263" s="333"/>
      <c r="CS263" s="333"/>
      <c r="CT263" s="333"/>
      <c r="CU263" s="333"/>
      <c r="CV263" s="333"/>
      <c r="CW263" s="333"/>
      <c r="CX263" s="333"/>
      <c r="CY263" s="333"/>
      <c r="CZ263" s="333"/>
      <c r="DA263" s="333"/>
      <c r="DB263" s="333"/>
      <c r="DC263" s="333"/>
      <c r="DD263" s="333"/>
      <c r="DE263" s="333"/>
      <c r="DF263" s="333"/>
      <c r="DG263" s="333"/>
      <c r="DH263" s="333"/>
      <c r="DI263" s="333"/>
      <c r="DJ263" s="333"/>
      <c r="DK263" s="333"/>
      <c r="DL263" s="333"/>
      <c r="DM263" s="333"/>
      <c r="DN263" s="333"/>
      <c r="DO263" s="333"/>
      <c r="DP263" s="333"/>
      <c r="DQ263" s="333"/>
      <c r="DR263" s="333"/>
      <c r="DS263" s="333"/>
      <c r="DT263" s="333"/>
      <c r="DU263" s="375"/>
      <c r="DV263" s="375"/>
      <c r="DW263" s="375"/>
      <c r="DX263" s="375"/>
      <c r="DY263" s="375"/>
      <c r="DZ263" s="375"/>
      <c r="EA263" s="375"/>
      <c r="EB263" s="375"/>
      <c r="EC263" s="375"/>
      <c r="ED263" s="375"/>
      <c r="EE263" s="375"/>
      <c r="EF263" s="375"/>
      <c r="EG263" s="375"/>
      <c r="EH263" s="375"/>
      <c r="EI263" s="375"/>
      <c r="EJ263" s="373"/>
      <c r="EK263" s="373"/>
      <c r="EL263" s="366"/>
      <c r="EM263" s="366"/>
      <c r="EN263" s="364">
        <f>+EN257+1</f>
        <v>36</v>
      </c>
      <c r="EO263" s="356" t="str">
        <f>+VLOOKUP(EN263, PRECIOS_EJERCICIOS,  2,FALSE)</f>
        <v/>
      </c>
      <c r="EP263" s="513" t="str">
        <f>+IF($AQ$49 = FALSE, "",
IF(VLOOKUP(EO263, basesCantPrimaBrutoRes, 2,FALSE) &gt;= 0, VLOOKUP(EO263, basesCantPrimaBrutoRes, 2,FALSE), 0))</f>
        <v/>
      </c>
      <c r="EQ263" s="514" t="str">
        <f>+IF($AQ$49 = FALSE, "",
IF(VLOOKUP(EO263, basesCantPrimaBrutoRes, 2,FALSE) &lt; 0, -VLOOKUP(EO263, basesCantPrimaBrutoRes, 2,FALSE), 0))</f>
        <v/>
      </c>
      <c r="ER263" s="521" t="str">
        <f>IF($AQ$49 = FALSE, "",
VLOOKUP(EO263, basesCantPrimaBrutoRes, 4,FALSE))</f>
        <v/>
      </c>
      <c r="ES263" s="926">
        <f>IF(ER263 = "", 0,
IF(AND(EP263 &gt; 0, EQ263 &gt;0), 0, IF(EO263 &lt;&gt; $Z$1,
IF(AND(EP263 &lt;&gt; "", EP263 &lt;&gt; 0), -(EP263 * ER263 * 100),
IF(AND(EQ263 &lt;&gt; "", EQ263 &lt;&gt; 0), (EQ263 * ER263 * 100), 0)),
IF(AND(EP263 &lt;&gt; "", EP263 &lt;&gt; 0), -(EP263 * ER263 * 1),
IF(AND(EQ263 &lt;&gt; "", EQ263 &lt;&gt; 0), (EQ263 * ER263 * 1), 0))  )))</f>
        <v>0</v>
      </c>
      <c r="ET263" s="927"/>
      <c r="EU263" s="928"/>
      <c r="EV263" s="926">
        <f>IF(ER263 = "", 0,
IF(AND(EP263 &gt; 0, EQ263 &gt;0), 0,  IF(EO263 &lt;&gt; $Z$1,
IF(AND(EP263 &lt;&gt; "", EP263 &lt;&gt; 0), -(EP263 * ER263 * 100 * (1 + COMIS_OPCION)),
IF(AND(EQ263 &lt;&gt; "", EQ263 &lt;&gt; 0), (EQ263 * ER263 * 100 * (1 - COMIS_OPCION)), 0)),
IF(AND(EP263 &lt;&gt; "", EP263 &lt;&gt; 0), -(EP263 * ER263 * 1 * (1 + COMIS_ACCION)),
IF(AND(EQ263 &lt;&gt; "", EQ263 &lt;&gt; 0), (EQ263 * ER263 * 1 * (1 - COMIS_ACCION)), 0))  )))</f>
        <v>0</v>
      </c>
      <c r="EW263" s="927"/>
      <c r="EX263" s="927"/>
      <c r="EY263" s="927"/>
      <c r="EZ263" s="927"/>
      <c r="FA263" s="927"/>
      <c r="FB263" s="927"/>
      <c r="FC263" s="927"/>
      <c r="FD263" s="929"/>
      <c r="FE263" s="340"/>
      <c r="FF263" s="340"/>
      <c r="FG263" s="364"/>
      <c r="FH263" s="364">
        <f>+FH257+1</f>
        <v>36</v>
      </c>
      <c r="FI263" s="357" t="str">
        <f>+VLOOKUP(FH263, PRECIOS_EJERCICIOS,  2,FALSE)</f>
        <v/>
      </c>
      <c r="FJ263" s="515" t="str">
        <f>+IF($AQ$49 = FALSE, "",
IF(VLOOKUP(EO263, basesCantPrimaBrutoRes, 5,FALSE) &gt;= 0, VLOOKUP(EO263, basesCantPrimaBrutoRes, 5,FALSE), 0))</f>
        <v/>
      </c>
      <c r="FK263" s="516" t="str">
        <f>+IF($AQ$49 = FALSE, "",
IF(VLOOKUP(EO263, basesCantPrimaBrutoRes, 5,FALSE) &lt; 0, -VLOOKUP(EO263, basesCantPrimaBrutoRes, 5,FALSE), 0))</f>
        <v/>
      </c>
      <c r="FL263" s="517" t="str">
        <f>IF($AQ$49 = FALSE, "",
VLOOKUP(EO263, basesCantPrimaBrutoRes, 7,FALSE))</f>
        <v/>
      </c>
      <c r="FM263" s="934">
        <f>IF(FL263 = "", 0,
IF(AND(FJ263 &gt; 0, FK263 &gt;0), 0,
IF(AND(FJ263 &lt;&gt; "", FJ263 &lt;&gt; 0), -(FJ263 * FL263 * 100),
IF(AND(FK263 &lt;&gt; "", FK263 &lt;&gt; 0), (FK263 * FL263 * 100), 0)) ))</f>
        <v>0</v>
      </c>
      <c r="FN263" s="935"/>
      <c r="FO263" s="936"/>
      <c r="FP263" s="934">
        <f>IF(FL263 = "", 0,
IF(AND(FJ263 &gt; 0, FK263 &gt;0), 0,
IF(AND(FJ263 &lt;&gt; "", FJ263 &lt;&gt; 0), -(FJ263 * FL263 * 100 * (1 + COMIS_OPCION)),
IF(AND(FK263 &lt;&gt; "", FK263 &lt;&gt; 0), (FK263 * FL263 * 100 * (1 - COMIS_OPCION)), 0)) ))</f>
        <v>0</v>
      </c>
      <c r="FQ263" s="935"/>
      <c r="FR263" s="935"/>
      <c r="FS263" s="935"/>
      <c r="FT263" s="935"/>
      <c r="FU263" s="935"/>
      <c r="FV263" s="935"/>
      <c r="FW263" s="935"/>
      <c r="FX263" s="966"/>
      <c r="FY263" s="341"/>
      <c r="FZ263" s="341"/>
      <c r="GA263" s="341"/>
      <c r="GB263" s="495" t="str">
        <f>+IF(EN263 = "", "", EO263)</f>
        <v/>
      </c>
      <c r="GC263" s="495" t="str">
        <f>+IF(GB263="", "", IF(EO263 = $Z$1, "ACCION", "CALL"))</f>
        <v/>
      </c>
      <c r="GD263" s="500"/>
      <c r="GE263" s="495" t="str">
        <f>+IF(GB263= "", "", EO265)</f>
        <v/>
      </c>
      <c r="GF263" s="495" t="str">
        <f>+IF(GB263 = "", "", IFERROR(IF(GB263 &lt;&gt; $Z$1,
IF(GE263 &gt; 0, SUMIFS(ES263:ES267, EP263:EP267, "&gt;0", ES263:ES267, "&lt;&gt;0") / SUMIFS(EP263:EP267, EP263:EP267, "&gt;0", ES263:ES267, "&lt;&gt;0") / -100,
IF(GE263 &lt; 0, SUMIFS(ES263:ES267, EQ263:EQ267, "&gt;0", ES263:ES267, "&lt;&gt;0") / SUMIFS(EQ263:EQ267, EQ263:EQ267, "&gt;0", ES263:ES267, "&lt;&gt;0") / 100, 0)),
IF(GE263 &gt; 0, SUMIFS(ES263:ES267, EP263:EP267, "&gt;0", ES263:ES267, "&lt;&gt;0") / SUMIFS(EP263:EP267, EP263:EP267, "&gt;0", ES263:ES267, "&lt;&gt;0") / -1,
IF(GE263 &lt; 0, SUMIFS(ES263:ES267, EQ263:EQ267, "&gt;0", ES263:ES267, "&lt;&gt;0") / SUMIFS(EQ263:EQ267, EQ263:EQ267, "&gt;0", ES263:ES267, "&lt;&gt;0") / 1, 0)) ), 0))</f>
        <v/>
      </c>
      <c r="GG263" s="495" t="str">
        <f>+IF(GB263 = "", "", IFERROR(IF(GB263 &lt;&gt; $Z$1,
IF(GE263 &gt; 0, SUMIFS(EV263:EV267, EP263:EP267, "&gt;0", EV263:EV267, "&lt;&gt;0") / SUMIFS(EP263:EP267, EP263:EP267, "&gt;0", EV263:EV267, "&lt;&gt;0") / -100,
IF(GE263 &lt; 0, SUMIFS(EV263:EV267, EQ263:EQ267, "&gt;0", EV263:EV267, "&lt;&gt;0") / SUMIFS(EQ263:EQ267, EQ263:EQ267, "&gt;0", EV263:EV267, "&lt;&gt;0") / 100, 0)),
IF(GE263 &gt; 0, SUMIFS(EV263:EV267, EP263:EP267, "&gt;0", EV263:EV267, "&lt;&gt;0") / SUMIFS(EP263:EP267, EP263:EP267, "&gt;0", EV263:EV267, "&lt;&gt;0") / -1,
IF(GE263 &lt; 0, SUMIFS(EV263:EV267, EQ263:EQ267, "&gt;0", EV263:EV267, "&lt;&gt;0") / SUMIFS(EQ263:EQ267, EQ263:EQ267, "&gt;0", EV263:EV267, "&lt;&gt;0") / 1, 0)) ), 0))</f>
        <v/>
      </c>
      <c r="GH263" s="359"/>
      <c r="GI263" s="359"/>
      <c r="GJ263" s="501"/>
      <c r="GK263" s="495" t="str">
        <f>+IF(GB263="", "", "PUT")</f>
        <v/>
      </c>
      <c r="GL263" s="495" t="str">
        <f>+IF(GB263 = "", "", FI265)</f>
        <v/>
      </c>
      <c r="GM263" s="495" t="str">
        <f>+IF(GB263 = "", "", IFERROR(
IF(FI265 &gt; 0, SUMIFS(FM263:FM267, FJ263:FJ267, "&gt;0", FM263:FM267, "&lt;&gt;0") / SUMIFS(FJ263:FJ267, FJ263:FJ267, "&gt;0", FM263:FM267, "&lt;&gt;0") / -100,
IF(FI265 &lt; 0, SUMIFS(FM263:FM267, FK263:FK267, "&gt;0", FM263:FM267, "&lt;&gt;0") / SUMIFS(FK263:FK267, FK263:FK267, "&gt;0", FM263:FM267, "&lt;&gt;0") / 100, 0)), 0) )</f>
        <v/>
      </c>
      <c r="GN263" s="359"/>
      <c r="GO263" s="359"/>
      <c r="GP263" s="501"/>
      <c r="GQ263" s="502" t="str">
        <f>+IF(GB263 = "", "", IFERROR(
IF(FI265 &gt; 0, SUMIFS(FP263:FP267, FJ263:FJ267, "&gt;0", FP263:FP267, "&lt;&gt;0") / SUMIFS(FJ263:FJ267, FJ263:FJ267, "&gt;0", FP263:FP267, "&lt;&gt;0") / -100,
IF(FI265 &lt; 0, SUMIFS(FP263:FP267, FK263:FK267, "&gt;0", FP263:FP267, "&lt;&gt;0") / SUMIFS(FK263:FK267, FK263:FK267, "&gt;0", FP263:FP267, "&lt;&gt;0") / 100, 0)), 0))</f>
        <v/>
      </c>
      <c r="GR263" s="375"/>
      <c r="GS263" s="333"/>
      <c r="GT263" s="333"/>
      <c r="GU263" s="333"/>
      <c r="GV263" s="333"/>
      <c r="GW263" s="333"/>
      <c r="GX263" s="333"/>
      <c r="GY263" s="333"/>
      <c r="GZ263" s="333"/>
      <c r="HA263" s="333"/>
      <c r="HB263" s="333"/>
      <c r="HC263" s="333"/>
      <c r="HD263" s="333"/>
      <c r="HE263" s="333"/>
      <c r="HF263" s="333"/>
      <c r="HG263" s="331"/>
      <c r="HH263" s="331"/>
      <c r="HI263" s="331"/>
      <c r="HJ263" s="331"/>
      <c r="HK263" s="331"/>
      <c r="HL263" s="331"/>
      <c r="HM263" s="331"/>
      <c r="HN263" s="333"/>
      <c r="HO263" s="333"/>
      <c r="HP263" s="333"/>
      <c r="HQ263" s="333"/>
      <c r="HR263" s="333"/>
      <c r="HS263" s="333"/>
      <c r="HT263" s="333"/>
      <c r="HU263" s="333"/>
      <c r="HV263" s="333"/>
      <c r="HW263" s="333"/>
      <c r="HX263" s="333"/>
      <c r="HY263" s="333"/>
      <c r="HZ263" s="333"/>
      <c r="IA263" s="333"/>
      <c r="IB263" s="333"/>
      <c r="IC263" s="333"/>
      <c r="ID263" s="55"/>
      <c r="IE263" s="47"/>
      <c r="IO263" s="51"/>
    </row>
    <row r="264" spans="13:249" s="142" customFormat="1" ht="15" customHeight="1">
      <c r="M264" s="333"/>
      <c r="N264" s="333"/>
      <c r="O264" s="333"/>
      <c r="P264" s="333"/>
      <c r="Q264" s="333"/>
      <c r="R264" s="333"/>
      <c r="S264" s="333"/>
      <c r="T264" s="333"/>
      <c r="U264" s="333"/>
      <c r="V264" s="333"/>
      <c r="W264" s="333"/>
      <c r="X264" s="333"/>
      <c r="Y264" s="333"/>
      <c r="Z264" s="333"/>
      <c r="AA264" s="333"/>
      <c r="AB264" s="333"/>
      <c r="AC264" s="333"/>
      <c r="AD264" s="333"/>
      <c r="AE264" s="333"/>
      <c r="AF264" s="333"/>
      <c r="AG264" s="333"/>
      <c r="AH264" s="333"/>
      <c r="AI264" s="333"/>
      <c r="AJ264" s="333"/>
      <c r="AK264" s="333"/>
      <c r="AL264" s="333"/>
      <c r="AM264" s="333"/>
      <c r="AN264" s="333"/>
      <c r="AO264" s="333"/>
      <c r="AP264" s="333"/>
      <c r="AQ264" s="333"/>
      <c r="AR264" s="333"/>
      <c r="AS264" s="333"/>
      <c r="AT264" s="333"/>
      <c r="AU264" s="333"/>
      <c r="AV264" s="333"/>
      <c r="AW264" s="333"/>
      <c r="AX264" s="333"/>
      <c r="AY264" s="333"/>
      <c r="AZ264" s="333"/>
      <c r="BA264" s="333"/>
      <c r="BB264" s="333"/>
      <c r="BC264" s="333"/>
      <c r="BD264" s="333"/>
      <c r="BE264" s="333"/>
      <c r="BF264" s="333"/>
      <c r="BG264" s="333"/>
      <c r="BH264" s="333"/>
      <c r="BI264" s="333"/>
      <c r="BJ264" s="333"/>
      <c r="BK264" s="333"/>
      <c r="BL264" s="333"/>
      <c r="BM264" s="333"/>
      <c r="BN264" s="333"/>
      <c r="BO264" s="333"/>
      <c r="BP264" s="333"/>
      <c r="BQ264" s="333"/>
      <c r="BR264" s="333"/>
      <c r="BS264" s="333"/>
      <c r="BT264" s="333"/>
      <c r="BU264" s="333"/>
      <c r="BV264" s="333"/>
      <c r="BW264" s="333"/>
      <c r="BX264" s="333"/>
      <c r="BY264" s="333"/>
      <c r="BZ264" s="333"/>
      <c r="CA264" s="333"/>
      <c r="CB264" s="333"/>
      <c r="CC264" s="333"/>
      <c r="CD264" s="333"/>
      <c r="CE264" s="333"/>
      <c r="CF264" s="333"/>
      <c r="CG264" s="333"/>
      <c r="CH264" s="333"/>
      <c r="CI264" s="333"/>
      <c r="CJ264" s="333"/>
      <c r="CK264" s="333"/>
      <c r="CL264" s="333"/>
      <c r="CM264" s="333"/>
      <c r="CN264" s="333"/>
      <c r="CO264" s="333"/>
      <c r="CP264" s="333"/>
      <c r="CQ264" s="333"/>
      <c r="CR264" s="333"/>
      <c r="CS264" s="333"/>
      <c r="CT264" s="333"/>
      <c r="CU264" s="333"/>
      <c r="CV264" s="333"/>
      <c r="CW264" s="333"/>
      <c r="CX264" s="333"/>
      <c r="CY264" s="333"/>
      <c r="CZ264" s="333"/>
      <c r="DA264" s="333"/>
      <c r="DB264" s="333"/>
      <c r="DC264" s="333"/>
      <c r="DD264" s="333"/>
      <c r="DE264" s="333"/>
      <c r="DF264" s="333"/>
      <c r="DG264" s="333"/>
      <c r="DH264" s="333"/>
      <c r="DI264" s="333"/>
      <c r="DJ264" s="333"/>
      <c r="DK264" s="333"/>
      <c r="DL264" s="333"/>
      <c r="DM264" s="333"/>
      <c r="DN264" s="333"/>
      <c r="DO264" s="333"/>
      <c r="DP264" s="333"/>
      <c r="DQ264" s="333"/>
      <c r="DR264" s="333"/>
      <c r="DS264" s="333"/>
      <c r="DT264" s="333"/>
      <c r="DU264" s="375"/>
      <c r="DV264" s="375"/>
      <c r="DW264" s="375"/>
      <c r="DX264" s="375"/>
      <c r="DY264" s="375"/>
      <c r="DZ264" s="375"/>
      <c r="EA264" s="375"/>
      <c r="EB264" s="375"/>
      <c r="EC264" s="375"/>
      <c r="ED264" s="375"/>
      <c r="EE264" s="375"/>
      <c r="EF264" s="375"/>
      <c r="EG264" s="375"/>
      <c r="EH264" s="375"/>
      <c r="EI264" s="375"/>
      <c r="EJ264" s="373"/>
      <c r="EK264" s="373"/>
      <c r="EL264" s="366"/>
      <c r="EM264" s="366"/>
      <c r="EN264" s="364"/>
      <c r="EO264" s="351"/>
      <c r="EP264" s="347"/>
      <c r="EQ264" s="342"/>
      <c r="ER264" s="522"/>
      <c r="ES264" s="916">
        <f>IF(ER264 = "", 0,
IF(AND(EP264 &gt; 0, EQ264 &gt;0), 0, IF(EO263 &lt;&gt; $Z$1,
IF(AND(EP264 &lt;&gt; "", EP264 &lt;&gt; 0), -(EP264 * ER264 * 100),
IF(AND(EQ264 &lt;&gt; "", EQ264 &lt;&gt; 0), (EQ264 * ER264 * 100), 0)),
IF(AND(EP264 &lt;&gt; "", EP264 &lt;&gt; 0), -(EP264 * ER264 * 1),
IF(AND(EQ264 &lt;&gt; "", EQ264 &lt;&gt; 0), (EQ264 * ER264 * 1), 0))  )))</f>
        <v>0</v>
      </c>
      <c r="ET264" s="917"/>
      <c r="EU264" s="918"/>
      <c r="EV264" s="916">
        <f>IF(ER264 = "", 0,
IF(AND(EP264 &gt; 0, EQ264 &gt;0), 0,  IF(EO263 &lt;&gt; $Z$1,
IF(AND(EP264 &lt;&gt; "", EP264 &lt;&gt; 0), -(EP264 * ER264 * 100 * (1 + COMIS_OPCION)),
IF(AND(EQ264 &lt;&gt; "", EQ264 &lt;&gt; 0), (EQ264 * ER264 * 100 * (1 - COMIS_OPCION)), 0)),
IF(AND(EP264 &lt;&gt; "", EP264 &lt;&gt; 0), -(EP264 * ER264 * 1 * (1 + COMIS_ACCION)),
IF(AND(EQ264 &lt;&gt; "", EQ264 &lt;&gt; 0), (EQ264 * ER264 * 1 * (1 - COMIS_ACCION)), 0))  )))</f>
        <v>0</v>
      </c>
      <c r="EW264" s="917"/>
      <c r="EX264" s="917"/>
      <c r="EY264" s="917"/>
      <c r="EZ264" s="917"/>
      <c r="FA264" s="917"/>
      <c r="FB264" s="917"/>
      <c r="FC264" s="917"/>
      <c r="FD264" s="925"/>
      <c r="FE264" s="340"/>
      <c r="FF264" s="340"/>
      <c r="FG264" s="364"/>
      <c r="FH264" s="364"/>
      <c r="FI264" s="339"/>
      <c r="FJ264" s="347"/>
      <c r="FK264" s="342"/>
      <c r="FL264" s="343"/>
      <c r="FM264" s="930">
        <f>IF(FL264 = "", 0,
IF(AND(FJ264 &gt; 0, FK264 &gt;0), 0,
IF(AND(FJ264 &lt;&gt; "", FJ264 &lt;&gt; 0), -(FJ264 * FL264 * 100),
IF(AND(FK264 &lt;&gt; "", FK264 &lt;&gt; 0), (FK264 * FL264 * 100), 0)) ))</f>
        <v>0</v>
      </c>
      <c r="FN264" s="931"/>
      <c r="FO264" s="932"/>
      <c r="FP264" s="930">
        <f>IF(FL264 = "", 0,
IF(AND(FJ264 &gt; 0, FK264 &gt;0), 0,
IF(AND(FJ264 &lt;&gt; "", FJ264 &lt;&gt; 0), -(FJ264 * FL264 * 100 * (1 + COMIS_OPCION)),
IF(AND(FK264 &lt;&gt; "", FK264 &lt;&gt; 0), (FK264 * FL264 * 100 * (1 - COMIS_OPCION)), 0)) ))</f>
        <v>0</v>
      </c>
      <c r="FQ264" s="931"/>
      <c r="FR264" s="931"/>
      <c r="FS264" s="931"/>
      <c r="FT264" s="931"/>
      <c r="FU264" s="931"/>
      <c r="FV264" s="931"/>
      <c r="FW264" s="931"/>
      <c r="FX264" s="933"/>
      <c r="FY264" s="341"/>
      <c r="FZ264" s="341"/>
      <c r="GA264" s="341"/>
      <c r="GB264" s="495">
        <v>0</v>
      </c>
      <c r="GC264" s="495">
        <v>0</v>
      </c>
      <c r="GD264" s="500"/>
      <c r="GE264" s="495">
        <v>0</v>
      </c>
      <c r="GF264" s="495">
        <v>0</v>
      </c>
      <c r="GG264" s="495">
        <v>0</v>
      </c>
      <c r="GH264" s="359"/>
      <c r="GI264" s="359"/>
      <c r="GJ264" s="501"/>
      <c r="GK264" s="495">
        <v>0</v>
      </c>
      <c r="GL264" s="495">
        <v>0</v>
      </c>
      <c r="GM264" s="495">
        <v>0</v>
      </c>
      <c r="GN264" s="359"/>
      <c r="GO264" s="359"/>
      <c r="GP264" s="501"/>
      <c r="GQ264" s="495">
        <v>0</v>
      </c>
      <c r="GR264" s="375"/>
      <c r="GS264" s="333"/>
      <c r="GT264" s="333"/>
      <c r="GU264" s="333"/>
      <c r="GV264" s="333"/>
      <c r="GW264" s="333"/>
      <c r="GX264" s="333"/>
      <c r="GY264" s="333"/>
      <c r="GZ264" s="333"/>
      <c r="HA264" s="333"/>
      <c r="HB264" s="333"/>
      <c r="HC264" s="333"/>
      <c r="HD264" s="333"/>
      <c r="HE264" s="333"/>
      <c r="HF264" s="333"/>
      <c r="HG264" s="331"/>
      <c r="HH264" s="331"/>
      <c r="HI264" s="331"/>
      <c r="HJ264" s="331"/>
      <c r="HK264" s="331"/>
      <c r="HL264" s="331"/>
      <c r="HM264" s="331"/>
      <c r="HN264" s="333"/>
      <c r="HO264" s="333"/>
      <c r="HP264" s="333"/>
      <c r="HQ264" s="333"/>
      <c r="HR264" s="333"/>
      <c r="HS264" s="333"/>
      <c r="HT264" s="333"/>
      <c r="HU264" s="333"/>
      <c r="HV264" s="333"/>
      <c r="HW264" s="333"/>
      <c r="HX264" s="333"/>
      <c r="HY264" s="333"/>
      <c r="HZ264" s="333"/>
      <c r="IA264" s="333"/>
      <c r="IB264" s="333"/>
      <c r="IC264" s="333"/>
      <c r="ID264" s="55"/>
      <c r="IE264" s="47"/>
      <c r="IO264" s="51"/>
    </row>
    <row r="265" spans="13:249" s="142" customFormat="1" ht="15" customHeight="1">
      <c r="M265" s="333"/>
      <c r="N265" s="333"/>
      <c r="O265" s="333"/>
      <c r="P265" s="333"/>
      <c r="Q265" s="333"/>
      <c r="R265" s="333"/>
      <c r="S265" s="333"/>
      <c r="T265" s="333"/>
      <c r="U265" s="333"/>
      <c r="V265" s="333"/>
      <c r="W265" s="333"/>
      <c r="X265" s="333"/>
      <c r="Y265" s="333"/>
      <c r="Z265" s="333"/>
      <c r="AA265" s="333"/>
      <c r="AB265" s="333"/>
      <c r="AC265" s="333"/>
      <c r="AD265" s="333"/>
      <c r="AE265" s="333"/>
      <c r="AF265" s="333"/>
      <c r="AG265" s="333"/>
      <c r="AH265" s="333"/>
      <c r="AI265" s="333"/>
      <c r="AJ265" s="333"/>
      <c r="AK265" s="333"/>
      <c r="AL265" s="333"/>
      <c r="AM265" s="333"/>
      <c r="AN265" s="333"/>
      <c r="AO265" s="333"/>
      <c r="AP265" s="333"/>
      <c r="AQ265" s="333"/>
      <c r="AR265" s="333"/>
      <c r="AS265" s="333"/>
      <c r="AT265" s="333"/>
      <c r="AU265" s="333"/>
      <c r="AV265" s="333"/>
      <c r="AW265" s="333"/>
      <c r="AX265" s="333"/>
      <c r="AY265" s="333"/>
      <c r="AZ265" s="333"/>
      <c r="BA265" s="333"/>
      <c r="BB265" s="333"/>
      <c r="BC265" s="333"/>
      <c r="BD265" s="333"/>
      <c r="BE265" s="333"/>
      <c r="BF265" s="333"/>
      <c r="BG265" s="333"/>
      <c r="BH265" s="333"/>
      <c r="BI265" s="333"/>
      <c r="BJ265" s="333"/>
      <c r="BK265" s="333"/>
      <c r="BL265" s="333"/>
      <c r="BM265" s="333"/>
      <c r="BN265" s="333"/>
      <c r="BO265" s="333"/>
      <c r="BP265" s="333"/>
      <c r="BQ265" s="333"/>
      <c r="BR265" s="333"/>
      <c r="BS265" s="333"/>
      <c r="BT265" s="333"/>
      <c r="BU265" s="333"/>
      <c r="BV265" s="333"/>
      <c r="BW265" s="333"/>
      <c r="BX265" s="333"/>
      <c r="BY265" s="333"/>
      <c r="BZ265" s="333"/>
      <c r="CA265" s="333"/>
      <c r="CB265" s="333"/>
      <c r="CC265" s="333"/>
      <c r="CD265" s="333"/>
      <c r="CE265" s="333"/>
      <c r="CF265" s="333"/>
      <c r="CG265" s="333"/>
      <c r="CH265" s="333"/>
      <c r="CI265" s="333"/>
      <c r="CJ265" s="333"/>
      <c r="CK265" s="333"/>
      <c r="CL265" s="333"/>
      <c r="CM265" s="333"/>
      <c r="CN265" s="333"/>
      <c r="CO265" s="333"/>
      <c r="CP265" s="333"/>
      <c r="CQ265" s="333"/>
      <c r="CR265" s="333"/>
      <c r="CS265" s="333"/>
      <c r="CT265" s="333"/>
      <c r="CU265" s="333"/>
      <c r="CV265" s="333"/>
      <c r="CW265" s="333"/>
      <c r="CX265" s="333"/>
      <c r="CY265" s="333"/>
      <c r="CZ265" s="333"/>
      <c r="DA265" s="333"/>
      <c r="DB265" s="333"/>
      <c r="DC265" s="333"/>
      <c r="DD265" s="333"/>
      <c r="DE265" s="333"/>
      <c r="DF265" s="333"/>
      <c r="DG265" s="333"/>
      <c r="DH265" s="333"/>
      <c r="DI265" s="333"/>
      <c r="DJ265" s="333"/>
      <c r="DK265" s="333"/>
      <c r="DL265" s="333"/>
      <c r="DM265" s="333"/>
      <c r="DN265" s="333"/>
      <c r="DO265" s="333"/>
      <c r="DP265" s="333"/>
      <c r="DQ265" s="333"/>
      <c r="DR265" s="333"/>
      <c r="DS265" s="333"/>
      <c r="DT265" s="333"/>
      <c r="DU265" s="375"/>
      <c r="DV265" s="375"/>
      <c r="DW265" s="375"/>
      <c r="DX265" s="375"/>
      <c r="DY265" s="375"/>
      <c r="DZ265" s="375"/>
      <c r="EA265" s="375"/>
      <c r="EB265" s="375"/>
      <c r="EC265" s="375"/>
      <c r="ED265" s="375"/>
      <c r="EE265" s="375"/>
      <c r="EF265" s="375"/>
      <c r="EG265" s="375"/>
      <c r="EH265" s="375"/>
      <c r="EI265" s="375"/>
      <c r="EJ265" s="373"/>
      <c r="EK265" s="373"/>
      <c r="EL265" s="366"/>
      <c r="EM265" s="368"/>
      <c r="EN265" s="364"/>
      <c r="EO265" s="352">
        <f>+SUM(EP263:EP267) - SUM(EQ263:EQ267)</f>
        <v>0</v>
      </c>
      <c r="EP265" s="347"/>
      <c r="EQ265" s="342"/>
      <c r="ER265" s="522"/>
      <c r="ES265" s="916">
        <f>IF(ER265 = "", 0,
IF(AND(EP265 &gt; 0, EQ265 &gt;0), 0, IF(EO263 &lt;&gt; $Z$1,
IF(AND(EP265 &lt;&gt; "", EP265 &lt;&gt; 0), -(EP265 * ER265 * 100),
IF(AND(EQ265 &lt;&gt; "", EQ265 &lt;&gt; 0), (EQ265 * ER265 * 100), 0)),
IF(AND(EP265 &lt;&gt; "", EP265 &lt;&gt; 0), -(EP265 * ER265 * 1),
IF(AND(EQ265 &lt;&gt; "", EQ265 &lt;&gt; 0), (EQ265 * ER265 * 1), 0))  )))</f>
        <v>0</v>
      </c>
      <c r="ET265" s="917"/>
      <c r="EU265" s="918"/>
      <c r="EV265" s="916">
        <f>IF(ER265 = "", 0,
IF(AND(EP265 &gt; 0, EQ265 &gt;0), 0,  IF(EO263 &lt;&gt; $Z$1,
IF(AND(EP265 &lt;&gt; "", EP265 &lt;&gt; 0), -(EP265 * ER265 * 100 * (1 + COMIS_OPCION)),
IF(AND(EQ265 &lt;&gt; "", EQ265 &lt;&gt; 0), (EQ265 * ER265 * 100 * (1 - COMIS_OPCION)), 0)),
IF(AND(EP265 &lt;&gt; "", EP265 &lt;&gt; 0), -(EP265 * ER265 * 1 * (1 + COMIS_ACCION)),
IF(AND(EQ265 &lt;&gt; "", EQ265 &lt;&gt; 0), (EQ265 * ER265 * 1 * (1 - COMIS_ACCION)), 0))  )))</f>
        <v>0</v>
      </c>
      <c r="EW265" s="917"/>
      <c r="EX265" s="917"/>
      <c r="EY265" s="917"/>
      <c r="EZ265" s="917"/>
      <c r="FA265" s="917"/>
      <c r="FB265" s="917"/>
      <c r="FC265" s="917"/>
      <c r="FD265" s="925"/>
      <c r="FE265" s="340"/>
      <c r="FF265" s="340"/>
      <c r="FG265" s="365"/>
      <c r="FH265" s="365"/>
      <c r="FI265" s="354">
        <f>+SUM(FJ263:FJ267) - SUM(FK263:FK267)</f>
        <v>0</v>
      </c>
      <c r="FJ265" s="347"/>
      <c r="FK265" s="342"/>
      <c r="FL265" s="343"/>
      <c r="FM265" s="930">
        <f>IF(FL265 = "", 0,
IF(AND(FJ265 &gt; 0, FK265 &gt;0), 0,
IF(AND(FJ265 &lt;&gt; "", FJ265 &lt;&gt; 0), -(FJ265 * FL265 * 100),
IF(AND(FK265 &lt;&gt; "", FK265 &lt;&gt; 0), (FK265 * FL265 * 100), 0)) ))</f>
        <v>0</v>
      </c>
      <c r="FN265" s="931"/>
      <c r="FO265" s="932"/>
      <c r="FP265" s="930">
        <f>IF(FL265 = "", 0,
IF(AND(FJ265 &gt; 0, FK265 &gt;0), 0,
IF(AND(FJ265 &lt;&gt; "", FJ265 &lt;&gt; 0), -(FJ265 * FL265 * 100 * (1 + COMIS_OPCION)),
IF(AND(FK265 &lt;&gt; "", FK265 &lt;&gt; 0), (FK265 * FL265 * 100 * (1 - COMIS_OPCION)), 0)) ))</f>
        <v>0</v>
      </c>
      <c r="FQ265" s="931"/>
      <c r="FR265" s="931"/>
      <c r="FS265" s="931"/>
      <c r="FT265" s="931"/>
      <c r="FU265" s="931"/>
      <c r="FV265" s="931"/>
      <c r="FW265" s="931"/>
      <c r="FX265" s="933"/>
      <c r="FY265" s="341"/>
      <c r="FZ265" s="341"/>
      <c r="GA265" s="341"/>
      <c r="GB265" s="495">
        <v>0</v>
      </c>
      <c r="GC265" s="495">
        <v>0</v>
      </c>
      <c r="GD265" s="500"/>
      <c r="GE265" s="495">
        <v>0</v>
      </c>
      <c r="GF265" s="495">
        <v>0</v>
      </c>
      <c r="GG265" s="495">
        <v>0</v>
      </c>
      <c r="GH265" s="359"/>
      <c r="GI265" s="359"/>
      <c r="GJ265" s="501"/>
      <c r="GK265" s="495">
        <v>0</v>
      </c>
      <c r="GL265" s="495">
        <v>0</v>
      </c>
      <c r="GM265" s="495">
        <v>0</v>
      </c>
      <c r="GN265" s="359"/>
      <c r="GO265" s="359"/>
      <c r="GP265" s="501"/>
      <c r="GQ265" s="495">
        <v>0</v>
      </c>
      <c r="GR265" s="375"/>
      <c r="GS265" s="333"/>
      <c r="GT265" s="333"/>
      <c r="GU265" s="333"/>
      <c r="GV265" s="333"/>
      <c r="GW265" s="333"/>
      <c r="GX265" s="333"/>
      <c r="GY265" s="333"/>
      <c r="GZ265" s="333"/>
      <c r="HA265" s="333"/>
      <c r="HB265" s="333"/>
      <c r="HC265" s="333"/>
      <c r="HD265" s="333"/>
      <c r="HE265" s="333"/>
      <c r="HF265" s="333"/>
      <c r="HG265" s="331"/>
      <c r="HH265" s="331"/>
      <c r="HI265" s="331"/>
      <c r="HJ265" s="331"/>
      <c r="HK265" s="331"/>
      <c r="HL265" s="331"/>
      <c r="HM265" s="331"/>
      <c r="HN265" s="333"/>
      <c r="HO265" s="333"/>
      <c r="HP265" s="333"/>
      <c r="HQ265" s="333"/>
      <c r="HR265" s="333"/>
      <c r="HS265" s="333"/>
      <c r="HT265" s="333"/>
      <c r="HU265" s="333"/>
      <c r="HV265" s="333"/>
      <c r="HW265" s="333"/>
      <c r="HX265" s="333"/>
      <c r="HY265" s="333"/>
      <c r="HZ265" s="333"/>
      <c r="IA265" s="333"/>
      <c r="IB265" s="333"/>
      <c r="IC265" s="333"/>
      <c r="ID265" s="55"/>
      <c r="IE265" s="47"/>
      <c r="IO265" s="51"/>
    </row>
    <row r="266" spans="13:249" s="142" customFormat="1" ht="15" customHeight="1">
      <c r="M266" s="333"/>
      <c r="N266" s="333"/>
      <c r="O266" s="333"/>
      <c r="P266" s="333"/>
      <c r="Q266" s="333"/>
      <c r="R266" s="333"/>
      <c r="S266" s="333"/>
      <c r="T266" s="333"/>
      <c r="U266" s="333"/>
      <c r="V266" s="333"/>
      <c r="W266" s="333"/>
      <c r="X266" s="333"/>
      <c r="Y266" s="333"/>
      <c r="Z266" s="333"/>
      <c r="AA266" s="333"/>
      <c r="AB266" s="333"/>
      <c r="AC266" s="333"/>
      <c r="AD266" s="333"/>
      <c r="AE266" s="333"/>
      <c r="AF266" s="333"/>
      <c r="AG266" s="333"/>
      <c r="AH266" s="333"/>
      <c r="AI266" s="333"/>
      <c r="AJ266" s="333"/>
      <c r="AK266" s="333"/>
      <c r="AL266" s="333"/>
      <c r="AM266" s="333"/>
      <c r="AN266" s="333"/>
      <c r="AO266" s="333"/>
      <c r="AP266" s="333"/>
      <c r="AQ266" s="333"/>
      <c r="AR266" s="333"/>
      <c r="AS266" s="333"/>
      <c r="AT266" s="333"/>
      <c r="AU266" s="333"/>
      <c r="AV266" s="333"/>
      <c r="AW266" s="333"/>
      <c r="AX266" s="333"/>
      <c r="AY266" s="333"/>
      <c r="AZ266" s="333"/>
      <c r="BA266" s="333"/>
      <c r="BB266" s="333"/>
      <c r="BC266" s="333"/>
      <c r="BD266" s="333"/>
      <c r="BE266" s="333"/>
      <c r="BF266" s="333"/>
      <c r="BG266" s="333"/>
      <c r="BH266" s="333"/>
      <c r="BI266" s="333"/>
      <c r="BJ266" s="333"/>
      <c r="BK266" s="333"/>
      <c r="BL266" s="333"/>
      <c r="BM266" s="333"/>
      <c r="BN266" s="333"/>
      <c r="BO266" s="333"/>
      <c r="BP266" s="333"/>
      <c r="BQ266" s="333"/>
      <c r="BR266" s="333"/>
      <c r="BS266" s="333"/>
      <c r="BT266" s="333"/>
      <c r="BU266" s="333"/>
      <c r="BV266" s="333"/>
      <c r="BW266" s="333"/>
      <c r="BX266" s="333"/>
      <c r="BY266" s="333"/>
      <c r="BZ266" s="333"/>
      <c r="CA266" s="333"/>
      <c r="CB266" s="333"/>
      <c r="CC266" s="333"/>
      <c r="CD266" s="333"/>
      <c r="CE266" s="333"/>
      <c r="CF266" s="333"/>
      <c r="CG266" s="333"/>
      <c r="CH266" s="333"/>
      <c r="CI266" s="333"/>
      <c r="CJ266" s="333"/>
      <c r="CK266" s="333"/>
      <c r="CL266" s="333"/>
      <c r="CM266" s="333"/>
      <c r="CN266" s="333"/>
      <c r="CO266" s="333"/>
      <c r="CP266" s="333"/>
      <c r="CQ266" s="333"/>
      <c r="CR266" s="333"/>
      <c r="CS266" s="333"/>
      <c r="CT266" s="333"/>
      <c r="CU266" s="333"/>
      <c r="CV266" s="333"/>
      <c r="CW266" s="333"/>
      <c r="CX266" s="333"/>
      <c r="CY266" s="333"/>
      <c r="CZ266" s="333"/>
      <c r="DA266" s="333"/>
      <c r="DB266" s="333"/>
      <c r="DC266" s="333"/>
      <c r="DD266" s="333"/>
      <c r="DE266" s="333"/>
      <c r="DF266" s="333"/>
      <c r="DG266" s="333"/>
      <c r="DH266" s="333"/>
      <c r="DI266" s="333"/>
      <c r="DJ266" s="333"/>
      <c r="DK266" s="333"/>
      <c r="DL266" s="333"/>
      <c r="DM266" s="333"/>
      <c r="DN266" s="333"/>
      <c r="DO266" s="333"/>
      <c r="DP266" s="333"/>
      <c r="DQ266" s="333"/>
      <c r="DR266" s="333"/>
      <c r="DS266" s="333"/>
      <c r="DT266" s="333"/>
      <c r="DU266" s="375"/>
      <c r="DV266" s="375"/>
      <c r="DW266" s="375"/>
      <c r="DX266" s="375"/>
      <c r="DY266" s="375"/>
      <c r="DZ266" s="375"/>
      <c r="EA266" s="375"/>
      <c r="EB266" s="375"/>
      <c r="EC266" s="375"/>
      <c r="ED266" s="375"/>
      <c r="EE266" s="375"/>
      <c r="EF266" s="375"/>
      <c r="EG266" s="375"/>
      <c r="EH266" s="375"/>
      <c r="EI266" s="375"/>
      <c r="EJ266" s="373"/>
      <c r="EK266" s="373"/>
      <c r="EL266" s="366"/>
      <c r="EM266" s="368"/>
      <c r="EN266" s="364"/>
      <c r="EO266" s="352">
        <f>IF(EO265=0, 0, SUM(EV263:FD267))</f>
        <v>0</v>
      </c>
      <c r="EP266" s="347"/>
      <c r="EQ266" s="342"/>
      <c r="ER266" s="522"/>
      <c r="ES266" s="916">
        <f>IF(ER266 = "", 0,
IF(AND(EP266 &gt; 0, EQ266 &gt;0), 0, IF(EO263 &lt;&gt; $Z$1,
IF(AND(EP266 &lt;&gt; "", EP266 &lt;&gt; 0), -(EP266 * ER266 * 100),
IF(AND(EQ266 &lt;&gt; "", EQ266 &lt;&gt; 0), (EQ266 * ER266 * 100), 0)),
IF(AND(EP266 &lt;&gt; "", EP266 &lt;&gt; 0), -(EP266 * ER266 * 1),
IF(AND(EQ266 &lt;&gt; "", EQ266 &lt;&gt; 0), (EQ266 * ER266 * 1), 0))  )))</f>
        <v>0</v>
      </c>
      <c r="ET266" s="917"/>
      <c r="EU266" s="918"/>
      <c r="EV266" s="916">
        <f>IF(ER266 = "", 0,
IF(AND(EP266 &gt; 0, EQ266 &gt;0), 0,  IF(EO263 &lt;&gt; $Z$1,
IF(AND(EP266 &lt;&gt; "", EP266 &lt;&gt; 0), -(EP266 * ER266 * 100 * (1 + COMIS_OPCION)),
IF(AND(EQ266 &lt;&gt; "", EQ266 &lt;&gt; 0), (EQ266 * ER266 * 100 * (1 - COMIS_OPCION)), 0)),
IF(AND(EP266 &lt;&gt; "", EP266 &lt;&gt; 0), -(EP266 * ER266 * 1 * (1 + COMIS_ACCION)),
IF(AND(EQ266 &lt;&gt; "", EQ266 &lt;&gt; 0), (EQ266 * ER266 * 1 * (1 - COMIS_ACCION)), 0))  )))</f>
        <v>0</v>
      </c>
      <c r="EW266" s="917"/>
      <c r="EX266" s="917"/>
      <c r="EY266" s="917"/>
      <c r="EZ266" s="917"/>
      <c r="FA266" s="917"/>
      <c r="FB266" s="917"/>
      <c r="FC266" s="917"/>
      <c r="FD266" s="925"/>
      <c r="FE266" s="340"/>
      <c r="FF266" s="340"/>
      <c r="FG266" s="365"/>
      <c r="FH266" s="365"/>
      <c r="FI266" s="354">
        <f>IF(FI265=0, 0, SUM(FP263:FX267))</f>
        <v>0</v>
      </c>
      <c r="FJ266" s="347"/>
      <c r="FK266" s="342"/>
      <c r="FL266" s="343"/>
      <c r="FM266" s="930">
        <f>IF(FL266 = "", 0,
IF(AND(FJ266 &gt; 0, FK266 &gt;0), 0,
IF(AND(FJ266 &lt;&gt; "", FJ266 &lt;&gt; 0), -(FJ266 * FL266 * 100),
IF(AND(FK266 &lt;&gt; "", FK266 &lt;&gt; 0), (FK266 * FL266 * 100), 0)) ))</f>
        <v>0</v>
      </c>
      <c r="FN266" s="931"/>
      <c r="FO266" s="932"/>
      <c r="FP266" s="930">
        <f>IF(FL266 = "", 0,
IF(AND(FJ266 &gt; 0, FK266 &gt;0), 0,
IF(AND(FJ266 &lt;&gt; "", FJ266 &lt;&gt; 0), -(FJ266 * FL266 * 100 * (1 + COMIS_OPCION)),
IF(AND(FK266 &lt;&gt; "", FK266 &lt;&gt; 0), (FK266 * FL266 * 100 * (1 - COMIS_OPCION)), 0)) ))</f>
        <v>0</v>
      </c>
      <c r="FQ266" s="931"/>
      <c r="FR266" s="931"/>
      <c r="FS266" s="931"/>
      <c r="FT266" s="931"/>
      <c r="FU266" s="931"/>
      <c r="FV266" s="931"/>
      <c r="FW266" s="931"/>
      <c r="FX266" s="933"/>
      <c r="FY266" s="341"/>
      <c r="FZ266" s="341"/>
      <c r="GA266" s="341"/>
      <c r="GB266" s="495">
        <v>0</v>
      </c>
      <c r="GC266" s="495">
        <v>0</v>
      </c>
      <c r="GD266" s="500"/>
      <c r="GE266" s="495">
        <v>0</v>
      </c>
      <c r="GF266" s="495">
        <v>0</v>
      </c>
      <c r="GG266" s="495">
        <v>0</v>
      </c>
      <c r="GH266" s="359"/>
      <c r="GI266" s="359"/>
      <c r="GJ266" s="501"/>
      <c r="GK266" s="495">
        <v>0</v>
      </c>
      <c r="GL266" s="495">
        <v>0</v>
      </c>
      <c r="GM266" s="495">
        <v>0</v>
      </c>
      <c r="GN266" s="359"/>
      <c r="GO266" s="359"/>
      <c r="GP266" s="501"/>
      <c r="GQ266" s="495">
        <v>0</v>
      </c>
      <c r="GR266" s="375"/>
      <c r="GS266" s="333"/>
      <c r="GT266" s="333"/>
      <c r="GU266" s="333"/>
      <c r="GV266" s="333"/>
      <c r="GW266" s="333"/>
      <c r="GX266" s="333"/>
      <c r="GY266" s="333"/>
      <c r="GZ266" s="333"/>
      <c r="HA266" s="333"/>
      <c r="HB266" s="333"/>
      <c r="HC266" s="333"/>
      <c r="HD266" s="333"/>
      <c r="HE266" s="333"/>
      <c r="HF266" s="333"/>
      <c r="HG266" s="331"/>
      <c r="HH266" s="331"/>
      <c r="HI266" s="331"/>
      <c r="HJ266" s="331"/>
      <c r="HK266" s="331"/>
      <c r="HL266" s="331"/>
      <c r="HM266" s="331"/>
      <c r="HN266" s="333"/>
      <c r="HO266" s="333"/>
      <c r="HP266" s="333"/>
      <c r="HQ266" s="333"/>
      <c r="HR266" s="333"/>
      <c r="HS266" s="333"/>
      <c r="HT266" s="333"/>
      <c r="HU266" s="333"/>
      <c r="HV266" s="333"/>
      <c r="HW266" s="333"/>
      <c r="HX266" s="333"/>
      <c r="HY266" s="333"/>
      <c r="HZ266" s="333"/>
      <c r="IA266" s="333"/>
      <c r="IB266" s="333"/>
      <c r="IC266" s="333"/>
      <c r="ID266" s="55"/>
      <c r="IE266" s="47"/>
      <c r="IO266" s="51"/>
    </row>
    <row r="267" spans="13:249" s="142" customFormat="1" ht="15" customHeight="1" thickBot="1">
      <c r="M267" s="333"/>
      <c r="N267" s="333"/>
      <c r="O267" s="333"/>
      <c r="P267" s="333"/>
      <c r="Q267" s="333"/>
      <c r="R267" s="333"/>
      <c r="S267" s="333"/>
      <c r="T267" s="333"/>
      <c r="U267" s="333"/>
      <c r="V267" s="333"/>
      <c r="W267" s="333"/>
      <c r="X267" s="333"/>
      <c r="Y267" s="333"/>
      <c r="Z267" s="333"/>
      <c r="AA267" s="333"/>
      <c r="AB267" s="333"/>
      <c r="AC267" s="333"/>
      <c r="AD267" s="333"/>
      <c r="AE267" s="333"/>
      <c r="AF267" s="333"/>
      <c r="AG267" s="333"/>
      <c r="AH267" s="333"/>
      <c r="AI267" s="333"/>
      <c r="AJ267" s="333"/>
      <c r="AK267" s="333"/>
      <c r="AL267" s="333"/>
      <c r="AM267" s="333"/>
      <c r="AN267" s="333"/>
      <c r="AO267" s="333"/>
      <c r="AP267" s="333"/>
      <c r="AQ267" s="333"/>
      <c r="AR267" s="333"/>
      <c r="AS267" s="333"/>
      <c r="AT267" s="333"/>
      <c r="AU267" s="333"/>
      <c r="AV267" s="333"/>
      <c r="AW267" s="333"/>
      <c r="AX267" s="333"/>
      <c r="AY267" s="333"/>
      <c r="AZ267" s="333"/>
      <c r="BA267" s="333"/>
      <c r="BB267" s="333"/>
      <c r="BC267" s="333"/>
      <c r="BD267" s="333"/>
      <c r="BE267" s="333"/>
      <c r="BF267" s="333"/>
      <c r="BG267" s="333"/>
      <c r="BH267" s="333"/>
      <c r="BI267" s="333"/>
      <c r="BJ267" s="333"/>
      <c r="BK267" s="333"/>
      <c r="BL267" s="333"/>
      <c r="BM267" s="333"/>
      <c r="BN267" s="333"/>
      <c r="BO267" s="333"/>
      <c r="BP267" s="333"/>
      <c r="BQ267" s="333"/>
      <c r="BR267" s="333"/>
      <c r="BS267" s="333"/>
      <c r="BT267" s="333"/>
      <c r="BU267" s="333"/>
      <c r="BV267" s="333"/>
      <c r="BW267" s="333"/>
      <c r="BX267" s="333"/>
      <c r="BY267" s="333"/>
      <c r="BZ267" s="333"/>
      <c r="CA267" s="333"/>
      <c r="CB267" s="333"/>
      <c r="CC267" s="333"/>
      <c r="CD267" s="333"/>
      <c r="CE267" s="333"/>
      <c r="CF267" s="333"/>
      <c r="CG267" s="333"/>
      <c r="CH267" s="333"/>
      <c r="CI267" s="333"/>
      <c r="CJ267" s="333"/>
      <c r="CK267" s="333"/>
      <c r="CL267" s="333"/>
      <c r="CM267" s="333"/>
      <c r="CN267" s="333"/>
      <c r="CO267" s="333"/>
      <c r="CP267" s="333"/>
      <c r="CQ267" s="333"/>
      <c r="CR267" s="333"/>
      <c r="CS267" s="333"/>
      <c r="CT267" s="333"/>
      <c r="CU267" s="333"/>
      <c r="CV267" s="333"/>
      <c r="CW267" s="333"/>
      <c r="CX267" s="333"/>
      <c r="CY267" s="333"/>
      <c r="CZ267" s="333"/>
      <c r="DA267" s="333"/>
      <c r="DB267" s="333"/>
      <c r="DC267" s="333"/>
      <c r="DD267" s="333"/>
      <c r="DE267" s="333"/>
      <c r="DF267" s="333"/>
      <c r="DG267" s="333"/>
      <c r="DH267" s="333"/>
      <c r="DI267" s="333"/>
      <c r="DJ267" s="333"/>
      <c r="DK267" s="333"/>
      <c r="DL267" s="333"/>
      <c r="DM267" s="333"/>
      <c r="DN267" s="333"/>
      <c r="DO267" s="333"/>
      <c r="DP267" s="333"/>
      <c r="DQ267" s="333"/>
      <c r="DR267" s="333"/>
      <c r="DS267" s="333"/>
      <c r="DT267" s="333"/>
      <c r="DU267" s="375"/>
      <c r="DV267" s="375"/>
      <c r="DW267" s="375"/>
      <c r="DX267" s="375"/>
      <c r="DY267" s="375"/>
      <c r="DZ267" s="375"/>
      <c r="EA267" s="375"/>
      <c r="EB267" s="375"/>
      <c r="EC267" s="375"/>
      <c r="ED267" s="375"/>
      <c r="EE267" s="375"/>
      <c r="EF267" s="375"/>
      <c r="EG267" s="375"/>
      <c r="EH267" s="375"/>
      <c r="EI267" s="375"/>
      <c r="EJ267" s="373"/>
      <c r="EK267" s="373"/>
      <c r="EL267" s="366"/>
      <c r="EM267" s="368"/>
      <c r="EN267" s="364"/>
      <c r="EO267" s="353">
        <f>+IF(EO265= 0, 0, GG263)</f>
        <v>0</v>
      </c>
      <c r="EP267" s="350"/>
      <c r="EQ267" s="344"/>
      <c r="ER267" s="523"/>
      <c r="ES267" s="921">
        <f>IF(ER267 = "", 0,
IF(AND(EP267 &gt; 0, EQ267 &gt;0), 0, IF(EO263 &lt;&gt; $Z$1,
IF(AND(EP267 &lt;&gt; "", EP267 &lt;&gt; 0), -(EP267 * ER267 * 100),
IF(AND(EQ267 &lt;&gt; "", EQ267 &lt;&gt; 0), (EQ267 * ER267 * 100), 0)),
IF(AND(EP267 &lt;&gt; "", EP267 &lt;&gt; 0), -(EP267 * ER267 * 1),
IF(AND(EQ267 &lt;&gt; "", EQ267 &lt;&gt; 0), (EQ267 * ER267 * 1), 0))  )))</f>
        <v>0</v>
      </c>
      <c r="ET267" s="922"/>
      <c r="EU267" s="924"/>
      <c r="EV267" s="921">
        <f>IF(ER267 = "", 0,
IF(AND(EP267 &gt; 0, EQ267 &gt;0), 0,  IF(EO263 &lt;&gt; $Z$1,
IF(AND(EP267 &lt;&gt; "", EP267 &lt;&gt; 0), -(EP267 * ER267 * 100 * (1 + COMIS_OPCION)),
IF(AND(EQ267 &lt;&gt; "", EQ267 &lt;&gt; 0), (EQ267 * ER267 * 100 * (1 - COMIS_OPCION)), 0)),
IF(AND(EP267 &lt;&gt; "", EP267 &lt;&gt; 0), -(EP267 * ER267 * 1 * (1 + COMIS_ACCION)),
IF(AND(EQ267 &lt;&gt; "", EQ267 &lt;&gt; 0), (EQ267 * ER267 * 1 * (1 - COMIS_ACCION)), 0))  )))</f>
        <v>0</v>
      </c>
      <c r="EW267" s="922"/>
      <c r="EX267" s="922"/>
      <c r="EY267" s="922"/>
      <c r="EZ267" s="922"/>
      <c r="FA267" s="922"/>
      <c r="FB267" s="922"/>
      <c r="FC267" s="922"/>
      <c r="FD267" s="923"/>
      <c r="FE267" s="340"/>
      <c r="FF267" s="340"/>
      <c r="FG267" s="365"/>
      <c r="FH267" s="365"/>
      <c r="FI267" s="349">
        <f>+IF(FI265= 0, 0, GQ263)</f>
        <v>0</v>
      </c>
      <c r="FJ267" s="348"/>
      <c r="FK267" s="345"/>
      <c r="FL267" s="346"/>
      <c r="FM267" s="937">
        <f>IF(FL267 = "", 0,
IF(AND(FJ267 &gt; 0, FK267 &gt;0), 0,
IF(AND(FJ267 &lt;&gt; "", FJ267 &lt;&gt; 0), -(FJ267 * FL267 * 100),
IF(AND(FK267 &lt;&gt; "", FK267 &lt;&gt; 0), (FK267 * FL267 * 100), 0)) ))</f>
        <v>0</v>
      </c>
      <c r="FN267" s="938"/>
      <c r="FO267" s="939"/>
      <c r="FP267" s="937">
        <f>IF(FL267 = "", 0,
IF(AND(FJ267 &gt; 0, FK267 &gt;0), 0,
IF(AND(FJ267 &lt;&gt; "", FJ267 &lt;&gt; 0), -(FJ267 * FL267 * 100 * (1 + COMIS_OPCION)),
IF(AND(FK267 &lt;&gt; "", FK267 &lt;&gt; 0), (FK267 * FL267 * 100 * (1 - COMIS_OPCION)), 0)) ))</f>
        <v>0</v>
      </c>
      <c r="FQ267" s="938"/>
      <c r="FR267" s="938"/>
      <c r="FS267" s="938"/>
      <c r="FT267" s="938"/>
      <c r="FU267" s="938"/>
      <c r="FV267" s="938"/>
      <c r="FW267" s="938"/>
      <c r="FX267" s="969"/>
      <c r="FY267" s="341"/>
      <c r="FZ267" s="341"/>
      <c r="GA267" s="341"/>
      <c r="GB267" s="495">
        <v>0</v>
      </c>
      <c r="GC267" s="495">
        <v>0</v>
      </c>
      <c r="GD267" s="500"/>
      <c r="GE267" s="495">
        <v>0</v>
      </c>
      <c r="GF267" s="495">
        <v>0</v>
      </c>
      <c r="GG267" s="495">
        <v>0</v>
      </c>
      <c r="GH267" s="359"/>
      <c r="GI267" s="359"/>
      <c r="GJ267" s="501"/>
      <c r="GK267" s="495">
        <v>0</v>
      </c>
      <c r="GL267" s="495">
        <v>0</v>
      </c>
      <c r="GM267" s="495">
        <v>0</v>
      </c>
      <c r="GN267" s="359"/>
      <c r="GO267" s="359"/>
      <c r="GP267" s="501"/>
      <c r="GQ267" s="495">
        <v>0</v>
      </c>
      <c r="GR267" s="375"/>
      <c r="GS267" s="333"/>
      <c r="GT267" s="333"/>
      <c r="GU267" s="333"/>
      <c r="GV267" s="333"/>
      <c r="GW267" s="333"/>
      <c r="GX267" s="333"/>
      <c r="GY267" s="333"/>
      <c r="GZ267" s="333"/>
      <c r="HA267" s="333"/>
      <c r="HB267" s="333"/>
      <c r="HC267" s="333"/>
      <c r="HD267" s="333"/>
      <c r="HE267" s="333"/>
      <c r="HF267" s="333"/>
      <c r="HG267" s="331"/>
      <c r="HH267" s="331"/>
      <c r="HI267" s="331"/>
      <c r="HJ267" s="331"/>
      <c r="HK267" s="331"/>
      <c r="HL267" s="331"/>
      <c r="HM267" s="331"/>
      <c r="HN267" s="333"/>
      <c r="HO267" s="333"/>
      <c r="HP267" s="333"/>
      <c r="HQ267" s="333"/>
      <c r="HR267" s="333"/>
      <c r="HS267" s="333"/>
      <c r="HT267" s="333"/>
      <c r="HU267" s="333"/>
      <c r="HV267" s="333"/>
      <c r="HW267" s="333"/>
      <c r="HX267" s="333"/>
      <c r="HY267" s="333"/>
      <c r="HZ267" s="333"/>
      <c r="IA267" s="333"/>
      <c r="IB267" s="333"/>
      <c r="IC267" s="333"/>
      <c r="ID267" s="55"/>
      <c r="IE267" s="47"/>
      <c r="IO267" s="51"/>
    </row>
    <row r="268" spans="13:249" s="142" customFormat="1" ht="15" customHeight="1" thickBot="1">
      <c r="M268" s="333"/>
      <c r="N268" s="333"/>
      <c r="O268" s="333"/>
      <c r="P268" s="333"/>
      <c r="Q268" s="333"/>
      <c r="R268" s="333"/>
      <c r="S268" s="333"/>
      <c r="T268" s="333"/>
      <c r="U268" s="333"/>
      <c r="V268" s="333"/>
      <c r="W268" s="333"/>
      <c r="X268" s="333"/>
      <c r="Y268" s="333"/>
      <c r="Z268" s="333"/>
      <c r="AA268" s="333"/>
      <c r="AB268" s="333"/>
      <c r="AC268" s="333"/>
      <c r="AD268" s="333"/>
      <c r="AE268" s="333"/>
      <c r="AF268" s="333"/>
      <c r="AG268" s="333"/>
      <c r="AH268" s="333"/>
      <c r="AI268" s="333"/>
      <c r="AJ268" s="333"/>
      <c r="AK268" s="333"/>
      <c r="AL268" s="333"/>
      <c r="AM268" s="333"/>
      <c r="AN268" s="333"/>
      <c r="AO268" s="333"/>
      <c r="AP268" s="333"/>
      <c r="AQ268" s="333"/>
      <c r="AR268" s="333"/>
      <c r="AS268" s="333"/>
      <c r="AT268" s="333"/>
      <c r="AU268" s="333"/>
      <c r="AV268" s="333"/>
      <c r="AW268" s="333"/>
      <c r="AX268" s="333"/>
      <c r="AY268" s="333"/>
      <c r="AZ268" s="333"/>
      <c r="BA268" s="333"/>
      <c r="BB268" s="333"/>
      <c r="BC268" s="333"/>
      <c r="BD268" s="333"/>
      <c r="BE268" s="333"/>
      <c r="BF268" s="333"/>
      <c r="BG268" s="333"/>
      <c r="BH268" s="333"/>
      <c r="BI268" s="333"/>
      <c r="BJ268" s="333"/>
      <c r="BK268" s="333"/>
      <c r="BL268" s="333"/>
      <c r="BM268" s="333"/>
      <c r="BN268" s="333"/>
      <c r="BO268" s="333"/>
      <c r="BP268" s="333"/>
      <c r="BQ268" s="333"/>
      <c r="BR268" s="333"/>
      <c r="BS268" s="333"/>
      <c r="BT268" s="333"/>
      <c r="BU268" s="333"/>
      <c r="BV268" s="333"/>
      <c r="BW268" s="333"/>
      <c r="BX268" s="333"/>
      <c r="BY268" s="333"/>
      <c r="BZ268" s="333"/>
      <c r="CA268" s="333"/>
      <c r="CB268" s="333"/>
      <c r="CC268" s="333"/>
      <c r="CD268" s="333"/>
      <c r="CE268" s="333"/>
      <c r="CF268" s="333"/>
      <c r="CG268" s="333"/>
      <c r="CH268" s="333"/>
      <c r="CI268" s="333"/>
      <c r="CJ268" s="333"/>
      <c r="CK268" s="333"/>
      <c r="CL268" s="333"/>
      <c r="CM268" s="333"/>
      <c r="CN268" s="333"/>
      <c r="CO268" s="333"/>
      <c r="CP268" s="333"/>
      <c r="CQ268" s="333"/>
      <c r="CR268" s="333"/>
      <c r="CS268" s="333"/>
      <c r="CT268" s="333"/>
      <c r="CU268" s="333"/>
      <c r="CV268" s="333"/>
      <c r="CW268" s="333"/>
      <c r="CX268" s="333"/>
      <c r="CY268" s="333"/>
      <c r="CZ268" s="333"/>
      <c r="DA268" s="333"/>
      <c r="DB268" s="333"/>
      <c r="DC268" s="333"/>
      <c r="DD268" s="333"/>
      <c r="DE268" s="333"/>
      <c r="DF268" s="333"/>
      <c r="DG268" s="333"/>
      <c r="DH268" s="333"/>
      <c r="DI268" s="333"/>
      <c r="DJ268" s="333"/>
      <c r="DK268" s="333"/>
      <c r="DL268" s="333"/>
      <c r="DM268" s="333"/>
      <c r="DN268" s="333"/>
      <c r="DO268" s="333"/>
      <c r="DP268" s="333"/>
      <c r="DQ268" s="333"/>
      <c r="DR268" s="333"/>
      <c r="DS268" s="333"/>
      <c r="DT268" s="333"/>
      <c r="DU268" s="375"/>
      <c r="DV268" s="375"/>
      <c r="DW268" s="375"/>
      <c r="DX268" s="375"/>
      <c r="DY268" s="375"/>
      <c r="DZ268" s="375"/>
      <c r="EA268" s="375"/>
      <c r="EB268" s="375"/>
      <c r="EC268" s="375"/>
      <c r="ED268" s="375"/>
      <c r="EE268" s="375"/>
      <c r="EF268" s="375"/>
      <c r="EG268" s="375"/>
      <c r="EH268" s="375"/>
      <c r="EI268" s="375"/>
      <c r="EJ268" s="373"/>
      <c r="EK268" s="373"/>
      <c r="EL268" s="366"/>
      <c r="EM268" s="366"/>
      <c r="EN268" s="364"/>
      <c r="EO268" s="363"/>
      <c r="EP268" s="340"/>
      <c r="EQ268" s="340"/>
      <c r="ER268" s="340"/>
      <c r="ES268" s="363"/>
      <c r="ET268" s="363"/>
      <c r="EU268" s="340"/>
      <c r="EV268" s="340"/>
      <c r="EW268" s="340"/>
      <c r="EX268" s="340"/>
      <c r="EY268" s="340"/>
      <c r="EZ268" s="340"/>
      <c r="FA268" s="340"/>
      <c r="FB268" s="402"/>
      <c r="FC268" s="402"/>
      <c r="FD268" s="340"/>
      <c r="FE268" s="340"/>
      <c r="FF268" s="340"/>
      <c r="FG268" s="364"/>
      <c r="FH268" s="364"/>
      <c r="FI268" s="363"/>
      <c r="FJ268" s="360"/>
      <c r="FK268" s="360"/>
      <c r="FL268" s="340"/>
      <c r="FM268" s="967"/>
      <c r="FN268" s="967"/>
      <c r="FO268" s="967"/>
      <c r="FP268" s="968"/>
      <c r="FQ268" s="968"/>
      <c r="FR268" s="968"/>
      <c r="FS268" s="968"/>
      <c r="FT268" s="968"/>
      <c r="FU268" s="968"/>
      <c r="FV268" s="968"/>
      <c r="FW268" s="968"/>
      <c r="FX268" s="968"/>
      <c r="FY268" s="341"/>
      <c r="FZ268" s="341"/>
      <c r="GA268" s="341"/>
      <c r="GB268" s="495">
        <v>0</v>
      </c>
      <c r="GC268" s="495">
        <v>0</v>
      </c>
      <c r="GD268" s="500"/>
      <c r="GE268" s="495">
        <v>0</v>
      </c>
      <c r="GF268" s="495">
        <v>0</v>
      </c>
      <c r="GG268" s="495">
        <v>0</v>
      </c>
      <c r="GH268" s="359"/>
      <c r="GI268" s="359"/>
      <c r="GJ268" s="501"/>
      <c r="GK268" s="495">
        <v>0</v>
      </c>
      <c r="GL268" s="495">
        <v>0</v>
      </c>
      <c r="GM268" s="495">
        <v>0</v>
      </c>
      <c r="GN268" s="359"/>
      <c r="GO268" s="359"/>
      <c r="GP268" s="501"/>
      <c r="GQ268" s="495">
        <v>0</v>
      </c>
      <c r="GR268" s="375"/>
      <c r="GS268" s="333"/>
      <c r="GT268" s="333"/>
      <c r="GU268" s="333"/>
      <c r="GV268" s="333"/>
      <c r="GW268" s="333"/>
      <c r="GX268" s="333"/>
      <c r="GY268" s="333"/>
      <c r="GZ268" s="333"/>
      <c r="HA268" s="333"/>
      <c r="HB268" s="333"/>
      <c r="HC268" s="333"/>
      <c r="HD268" s="333"/>
      <c r="HE268" s="333"/>
      <c r="HF268" s="333"/>
      <c r="HG268" s="331"/>
      <c r="HH268" s="331"/>
      <c r="HI268" s="331"/>
      <c r="HJ268" s="331"/>
      <c r="HK268" s="331"/>
      <c r="HL268" s="331"/>
      <c r="HM268" s="331"/>
      <c r="HN268" s="333"/>
      <c r="HO268" s="333"/>
      <c r="HP268" s="333"/>
      <c r="HQ268" s="333"/>
      <c r="HR268" s="333"/>
      <c r="HS268" s="333"/>
      <c r="HT268" s="333"/>
      <c r="HU268" s="333"/>
      <c r="HV268" s="333"/>
      <c r="HW268" s="333"/>
      <c r="HX268" s="333"/>
      <c r="HY268" s="333"/>
      <c r="HZ268" s="333"/>
      <c r="IA268" s="333"/>
      <c r="IB268" s="333"/>
      <c r="IC268" s="333"/>
      <c r="ID268" s="55"/>
      <c r="IE268" s="47"/>
      <c r="IO268" s="51"/>
    </row>
    <row r="269" spans="13:249" s="142" customFormat="1" ht="15" customHeight="1">
      <c r="M269" s="333"/>
      <c r="N269" s="333"/>
      <c r="O269" s="333"/>
      <c r="P269" s="333"/>
      <c r="Q269" s="333"/>
      <c r="R269" s="333"/>
      <c r="S269" s="333"/>
      <c r="T269" s="333"/>
      <c r="U269" s="333"/>
      <c r="V269" s="333"/>
      <c r="W269" s="333"/>
      <c r="X269" s="333"/>
      <c r="Y269" s="333"/>
      <c r="Z269" s="333"/>
      <c r="AA269" s="333"/>
      <c r="AB269" s="333"/>
      <c r="AC269" s="333"/>
      <c r="AD269" s="333"/>
      <c r="AE269" s="333"/>
      <c r="AF269" s="333"/>
      <c r="AG269" s="333"/>
      <c r="AH269" s="333"/>
      <c r="AI269" s="333"/>
      <c r="AJ269" s="333"/>
      <c r="AK269" s="333"/>
      <c r="AL269" s="333"/>
      <c r="AM269" s="333"/>
      <c r="AN269" s="333"/>
      <c r="AO269" s="333"/>
      <c r="AP269" s="333"/>
      <c r="AQ269" s="333"/>
      <c r="AR269" s="333"/>
      <c r="AS269" s="333"/>
      <c r="AT269" s="333"/>
      <c r="AU269" s="333"/>
      <c r="AV269" s="333"/>
      <c r="AW269" s="333"/>
      <c r="AX269" s="333"/>
      <c r="AY269" s="333"/>
      <c r="AZ269" s="333"/>
      <c r="BA269" s="333"/>
      <c r="BB269" s="333"/>
      <c r="BC269" s="333"/>
      <c r="BD269" s="333"/>
      <c r="BE269" s="333"/>
      <c r="BF269" s="333"/>
      <c r="BG269" s="333"/>
      <c r="BH269" s="333"/>
      <c r="BI269" s="333"/>
      <c r="BJ269" s="333"/>
      <c r="BK269" s="333"/>
      <c r="BL269" s="333"/>
      <c r="BM269" s="333"/>
      <c r="BN269" s="333"/>
      <c r="BO269" s="333"/>
      <c r="BP269" s="333"/>
      <c r="BQ269" s="333"/>
      <c r="BR269" s="333"/>
      <c r="BS269" s="333"/>
      <c r="BT269" s="333"/>
      <c r="BU269" s="333"/>
      <c r="BV269" s="333"/>
      <c r="BW269" s="333"/>
      <c r="BX269" s="333"/>
      <c r="BY269" s="333"/>
      <c r="BZ269" s="333"/>
      <c r="CA269" s="333"/>
      <c r="CB269" s="333"/>
      <c r="CC269" s="333"/>
      <c r="CD269" s="333"/>
      <c r="CE269" s="333"/>
      <c r="CF269" s="333"/>
      <c r="CG269" s="333"/>
      <c r="CH269" s="333"/>
      <c r="CI269" s="333"/>
      <c r="CJ269" s="333"/>
      <c r="CK269" s="333"/>
      <c r="CL269" s="333"/>
      <c r="CM269" s="333"/>
      <c r="CN269" s="333"/>
      <c r="CO269" s="333"/>
      <c r="CP269" s="333"/>
      <c r="CQ269" s="333"/>
      <c r="CR269" s="333"/>
      <c r="CS269" s="333"/>
      <c r="CT269" s="333"/>
      <c r="CU269" s="333"/>
      <c r="CV269" s="333"/>
      <c r="CW269" s="333"/>
      <c r="CX269" s="333"/>
      <c r="CY269" s="333"/>
      <c r="CZ269" s="333"/>
      <c r="DA269" s="333"/>
      <c r="DB269" s="333"/>
      <c r="DC269" s="333"/>
      <c r="DD269" s="333"/>
      <c r="DE269" s="333"/>
      <c r="DF269" s="333"/>
      <c r="DG269" s="333"/>
      <c r="DH269" s="333"/>
      <c r="DI269" s="333"/>
      <c r="DJ269" s="333"/>
      <c r="DK269" s="333"/>
      <c r="DL269" s="333"/>
      <c r="DM269" s="333"/>
      <c r="DN269" s="333"/>
      <c r="DO269" s="333"/>
      <c r="DP269" s="333"/>
      <c r="DQ269" s="333"/>
      <c r="DR269" s="333"/>
      <c r="DS269" s="333"/>
      <c r="DT269" s="333"/>
      <c r="DU269" s="375"/>
      <c r="DV269" s="375"/>
      <c r="DW269" s="375"/>
      <c r="DX269" s="375"/>
      <c r="DY269" s="375"/>
      <c r="DZ269" s="375"/>
      <c r="EA269" s="375"/>
      <c r="EB269" s="375"/>
      <c r="EC269" s="375"/>
      <c r="ED269" s="375"/>
      <c r="EE269" s="375"/>
      <c r="EF269" s="375"/>
      <c r="EG269" s="375"/>
      <c r="EH269" s="375"/>
      <c r="EI269" s="375"/>
      <c r="EJ269" s="373"/>
      <c r="EK269" s="373"/>
      <c r="EL269" s="366"/>
      <c r="EM269" s="366"/>
      <c r="EN269" s="364">
        <f>+EN263+1</f>
        <v>37</v>
      </c>
      <c r="EO269" s="356" t="str">
        <f>+VLOOKUP(EN269, PRECIOS_EJERCICIOS,  2,FALSE)</f>
        <v/>
      </c>
      <c r="EP269" s="513" t="str">
        <f>+IF($AQ$49 = FALSE, "",
IF(VLOOKUP(EO269, basesCantPrimaBrutoRes, 2,FALSE) &gt;= 0, VLOOKUP(EO269, basesCantPrimaBrutoRes, 2,FALSE), 0))</f>
        <v/>
      </c>
      <c r="EQ269" s="514" t="str">
        <f>+IF($AQ$49 = FALSE, "",
IF(VLOOKUP(EO269, basesCantPrimaBrutoRes, 2,FALSE) &lt; 0, -VLOOKUP(EO269, basesCantPrimaBrutoRes, 2,FALSE), 0))</f>
        <v/>
      </c>
      <c r="ER269" s="521" t="str">
        <f>IF($AQ$49 = FALSE, "",
VLOOKUP(EO269, basesCantPrimaBrutoRes, 4,FALSE))</f>
        <v/>
      </c>
      <c r="ES269" s="926">
        <f>IF(ER269 = "", 0,
IF(AND(EP269 &gt; 0, EQ269 &gt;0), 0, IF(EO269 &lt;&gt; $Z$1,
IF(AND(EP269 &lt;&gt; "", EP269 &lt;&gt; 0), -(EP269 * ER269 * 100),
IF(AND(EQ269 &lt;&gt; "", EQ269 &lt;&gt; 0), (EQ269 * ER269 * 100), 0)),
IF(AND(EP269 &lt;&gt; "", EP269 &lt;&gt; 0), -(EP269 * ER269 * 1),
IF(AND(EQ269 &lt;&gt; "", EQ269 &lt;&gt; 0), (EQ269 * ER269 * 1), 0))  )))</f>
        <v>0</v>
      </c>
      <c r="ET269" s="927"/>
      <c r="EU269" s="928"/>
      <c r="EV269" s="926">
        <f>IF(ER269 = "", 0,
IF(AND(EP269 &gt; 0, EQ269 &gt;0), 0,  IF(EO269 &lt;&gt; $Z$1,
IF(AND(EP269 &lt;&gt; "", EP269 &lt;&gt; 0), -(EP269 * ER269 * 100 * (1 + COMIS_OPCION)),
IF(AND(EQ269 &lt;&gt; "", EQ269 &lt;&gt; 0), (EQ269 * ER269 * 100 * (1 - COMIS_OPCION)), 0)),
IF(AND(EP269 &lt;&gt; "", EP269 &lt;&gt; 0), -(EP269 * ER269 * 1 * (1 + COMIS_ACCION)),
IF(AND(EQ269 &lt;&gt; "", EQ269 &lt;&gt; 0), (EQ269 * ER269 * 1 * (1 - COMIS_ACCION)), 0))  )))</f>
        <v>0</v>
      </c>
      <c r="EW269" s="927"/>
      <c r="EX269" s="927"/>
      <c r="EY269" s="927"/>
      <c r="EZ269" s="927"/>
      <c r="FA269" s="927"/>
      <c r="FB269" s="927"/>
      <c r="FC269" s="927"/>
      <c r="FD269" s="929"/>
      <c r="FE269" s="340"/>
      <c r="FF269" s="340"/>
      <c r="FG269" s="364"/>
      <c r="FH269" s="364">
        <f>+FH263+1</f>
        <v>37</v>
      </c>
      <c r="FI269" s="357" t="str">
        <f>+VLOOKUP(FH269, PRECIOS_EJERCICIOS,  2,FALSE)</f>
        <v/>
      </c>
      <c r="FJ269" s="515" t="str">
        <f>+IF($AQ$49 = FALSE, "",
IF(VLOOKUP(EO269, basesCantPrimaBrutoRes, 5,FALSE) &gt;= 0, VLOOKUP(EO269, basesCantPrimaBrutoRes, 5,FALSE), 0))</f>
        <v/>
      </c>
      <c r="FK269" s="516" t="str">
        <f>+IF($AQ$49 = FALSE, "",
IF(VLOOKUP(EO269, basesCantPrimaBrutoRes, 5,FALSE) &lt; 0, -VLOOKUP(EO269, basesCantPrimaBrutoRes, 5,FALSE), 0))</f>
        <v/>
      </c>
      <c r="FL269" s="517" t="str">
        <f>IF($AQ$49 = FALSE, "",
VLOOKUP(EO269, basesCantPrimaBrutoRes, 7,FALSE))</f>
        <v/>
      </c>
      <c r="FM269" s="934">
        <f>IF(FL269 = "", 0,
IF(AND(FJ269 &gt; 0, FK269 &gt;0), 0,
IF(AND(FJ269 &lt;&gt; "", FJ269 &lt;&gt; 0), -(FJ269 * FL269 * 100),
IF(AND(FK269 &lt;&gt; "", FK269 &lt;&gt; 0), (FK269 * FL269 * 100), 0)) ))</f>
        <v>0</v>
      </c>
      <c r="FN269" s="935"/>
      <c r="FO269" s="936"/>
      <c r="FP269" s="934">
        <f>IF(FL269 = "", 0,
IF(AND(FJ269 &gt; 0, FK269 &gt;0), 0,
IF(AND(FJ269 &lt;&gt; "", FJ269 &lt;&gt; 0), -(FJ269 * FL269 * 100 * (1 + COMIS_OPCION)),
IF(AND(FK269 &lt;&gt; "", FK269 &lt;&gt; 0), (FK269 * FL269 * 100 * (1 - COMIS_OPCION)), 0)) ))</f>
        <v>0</v>
      </c>
      <c r="FQ269" s="935"/>
      <c r="FR269" s="935"/>
      <c r="FS269" s="935"/>
      <c r="FT269" s="935"/>
      <c r="FU269" s="935"/>
      <c r="FV269" s="935"/>
      <c r="FW269" s="935"/>
      <c r="FX269" s="966"/>
      <c r="FY269" s="341"/>
      <c r="FZ269" s="341"/>
      <c r="GA269" s="341"/>
      <c r="GB269" s="495" t="str">
        <f>+IF(EN269 = "", "", EO269)</f>
        <v/>
      </c>
      <c r="GC269" s="495" t="str">
        <f>+IF(GB269="", "", IF(EO269 = $Z$1, "ACCION", "CALL"))</f>
        <v/>
      </c>
      <c r="GD269" s="500"/>
      <c r="GE269" s="495" t="str">
        <f>+IF(GB269= "", "", EO271)</f>
        <v/>
      </c>
      <c r="GF269" s="495" t="str">
        <f>+IF(GB269 = "", "", IFERROR(IF(GB269 &lt;&gt; $Z$1,
IF(GE269 &gt; 0, SUMIFS(ES269:ES273, EP269:EP273, "&gt;0", ES269:ES273, "&lt;&gt;0") / SUMIFS(EP269:EP273, EP269:EP273, "&gt;0", ES269:ES273, "&lt;&gt;0") / -100,
IF(GE269 &lt; 0, SUMIFS(ES269:ES273, EQ269:EQ273, "&gt;0", ES269:ES273, "&lt;&gt;0") / SUMIFS(EQ269:EQ273, EQ269:EQ273, "&gt;0", ES269:ES273, "&lt;&gt;0") / 100, 0)),
IF(GE269 &gt; 0, SUMIFS(ES269:ES273, EP269:EP273, "&gt;0", ES269:ES273, "&lt;&gt;0") / SUMIFS(EP269:EP273, EP269:EP273, "&gt;0", ES269:ES273, "&lt;&gt;0") / -1,
IF(GE269 &lt; 0, SUMIFS(ES269:ES273, EQ269:EQ273, "&gt;0", ES269:ES273, "&lt;&gt;0") / SUMIFS(EQ269:EQ273, EQ269:EQ273, "&gt;0", ES269:ES273, "&lt;&gt;0") / 1, 0)) ), 0))</f>
        <v/>
      </c>
      <c r="GG269" s="495" t="str">
        <f>+IF(GB269 = "", "", IFERROR(IF(GB269 &lt;&gt; $Z$1,
IF(GE269 &gt; 0, SUMIFS(EV269:EV273, EP269:EP273, "&gt;0", EV269:EV273, "&lt;&gt;0") / SUMIFS(EP269:EP273, EP269:EP273, "&gt;0", EV269:EV273, "&lt;&gt;0") / -100,
IF(GE269 &lt; 0, SUMIFS(EV269:EV273, EQ269:EQ273, "&gt;0", EV269:EV273, "&lt;&gt;0") / SUMIFS(EQ269:EQ273, EQ269:EQ273, "&gt;0", EV269:EV273, "&lt;&gt;0") / 100, 0)),
IF(GE269 &gt; 0, SUMIFS(EV269:EV273, EP269:EP273, "&gt;0", EV269:EV273, "&lt;&gt;0") / SUMIFS(EP269:EP273, EP269:EP273, "&gt;0", EV269:EV273, "&lt;&gt;0") / -1,
IF(GE269 &lt; 0, SUMIFS(EV269:EV273, EQ269:EQ273, "&gt;0", EV269:EV273, "&lt;&gt;0") / SUMIFS(EQ269:EQ273, EQ269:EQ273, "&gt;0", EV269:EV273, "&lt;&gt;0") / 1, 0)) ), 0))</f>
        <v/>
      </c>
      <c r="GH269" s="359"/>
      <c r="GI269" s="359"/>
      <c r="GJ269" s="501"/>
      <c r="GK269" s="495" t="str">
        <f>+IF(GB269="", "", "PUT")</f>
        <v/>
      </c>
      <c r="GL269" s="495" t="str">
        <f>+IF(GB269 = "", "", FI271)</f>
        <v/>
      </c>
      <c r="GM269" s="495" t="str">
        <f>+IF(GB269 = "", "", IFERROR(
IF(FI271 &gt; 0, SUMIFS(FM269:FM273, FJ269:FJ273, "&gt;0", FM269:FM273, "&lt;&gt;0") / SUMIFS(FJ269:FJ273, FJ269:FJ273, "&gt;0", FM269:FM273, "&lt;&gt;0") / -100,
IF(FI271 &lt; 0, SUMIFS(FM269:FM273, FK269:FK273, "&gt;0", FM269:FM273, "&lt;&gt;0") / SUMIFS(FK269:FK273, FK269:FK273, "&gt;0", FM269:FM273, "&lt;&gt;0") / 100, 0)), 0) )</f>
        <v/>
      </c>
      <c r="GN269" s="359"/>
      <c r="GO269" s="359"/>
      <c r="GP269" s="501"/>
      <c r="GQ269" s="502" t="str">
        <f>+IF(GB269 = "", "", IFERROR(
IF(FI271 &gt; 0, SUMIFS(FP269:FP273, FJ269:FJ273, "&gt;0", FP269:FP273, "&lt;&gt;0") / SUMIFS(FJ269:FJ273, FJ269:FJ273, "&gt;0", FP269:FP273, "&lt;&gt;0") / -100,
IF(FI271 &lt; 0, SUMIFS(FP269:FP273, FK269:FK273, "&gt;0", FP269:FP273, "&lt;&gt;0") / SUMIFS(FK269:FK273, FK269:FK273, "&gt;0", FP269:FP273, "&lt;&gt;0") / 100, 0)), 0))</f>
        <v/>
      </c>
      <c r="GR269" s="375"/>
      <c r="GS269" s="333"/>
      <c r="GT269" s="333"/>
      <c r="GU269" s="333"/>
      <c r="GV269" s="333"/>
      <c r="GW269" s="333"/>
      <c r="GX269" s="333"/>
      <c r="GY269" s="333"/>
      <c r="GZ269" s="333"/>
      <c r="HA269" s="333"/>
      <c r="HB269" s="333"/>
      <c r="HC269" s="333"/>
      <c r="HD269" s="333"/>
      <c r="HE269" s="333"/>
      <c r="HF269" s="333"/>
      <c r="HG269" s="331"/>
      <c r="HH269" s="331"/>
      <c r="HI269" s="331"/>
      <c r="HJ269" s="331"/>
      <c r="HK269" s="331"/>
      <c r="HL269" s="331"/>
      <c r="HM269" s="331"/>
      <c r="HN269" s="333"/>
      <c r="HO269" s="333"/>
      <c r="HP269" s="333"/>
      <c r="HQ269" s="333"/>
      <c r="HR269" s="333"/>
      <c r="HS269" s="333"/>
      <c r="HT269" s="333"/>
      <c r="HU269" s="333"/>
      <c r="HV269" s="333"/>
      <c r="HW269" s="333"/>
      <c r="HX269" s="333"/>
      <c r="HY269" s="333"/>
      <c r="HZ269" s="333"/>
      <c r="IA269" s="333"/>
      <c r="IB269" s="333"/>
      <c r="IC269" s="333"/>
      <c r="ID269" s="55"/>
      <c r="IE269" s="47"/>
      <c r="IO269" s="51"/>
    </row>
    <row r="270" spans="13:249" s="142" customFormat="1" ht="15" customHeight="1">
      <c r="M270" s="333"/>
      <c r="N270" s="333"/>
      <c r="O270" s="333"/>
      <c r="P270" s="333"/>
      <c r="Q270" s="333"/>
      <c r="R270" s="333"/>
      <c r="S270" s="333"/>
      <c r="T270" s="333"/>
      <c r="U270" s="333"/>
      <c r="V270" s="333"/>
      <c r="W270" s="333"/>
      <c r="X270" s="333"/>
      <c r="Y270" s="333"/>
      <c r="Z270" s="333"/>
      <c r="AA270" s="333"/>
      <c r="AB270" s="333"/>
      <c r="AC270" s="333"/>
      <c r="AD270" s="333"/>
      <c r="AE270" s="333"/>
      <c r="AF270" s="333"/>
      <c r="AG270" s="333"/>
      <c r="AH270" s="333"/>
      <c r="AI270" s="333"/>
      <c r="AJ270" s="333"/>
      <c r="AK270" s="333"/>
      <c r="AL270" s="333"/>
      <c r="AM270" s="333"/>
      <c r="AN270" s="333"/>
      <c r="AO270" s="333"/>
      <c r="AP270" s="333"/>
      <c r="AQ270" s="333"/>
      <c r="AR270" s="333"/>
      <c r="AS270" s="333"/>
      <c r="AT270" s="333"/>
      <c r="AU270" s="333"/>
      <c r="AV270" s="333"/>
      <c r="AW270" s="333"/>
      <c r="AX270" s="333"/>
      <c r="AY270" s="333"/>
      <c r="AZ270" s="333"/>
      <c r="BA270" s="333"/>
      <c r="BB270" s="333"/>
      <c r="BC270" s="333"/>
      <c r="BD270" s="333"/>
      <c r="BE270" s="333"/>
      <c r="BF270" s="333"/>
      <c r="BG270" s="333"/>
      <c r="BH270" s="333"/>
      <c r="BI270" s="333"/>
      <c r="BJ270" s="333"/>
      <c r="BK270" s="333"/>
      <c r="BL270" s="333"/>
      <c r="BM270" s="333"/>
      <c r="BN270" s="333"/>
      <c r="BO270" s="333"/>
      <c r="BP270" s="333"/>
      <c r="BQ270" s="333"/>
      <c r="BR270" s="333"/>
      <c r="BS270" s="333"/>
      <c r="BT270" s="333"/>
      <c r="BU270" s="333"/>
      <c r="BV270" s="333"/>
      <c r="BW270" s="333"/>
      <c r="BX270" s="333"/>
      <c r="BY270" s="333"/>
      <c r="BZ270" s="333"/>
      <c r="CA270" s="333"/>
      <c r="CB270" s="333"/>
      <c r="CC270" s="333"/>
      <c r="CD270" s="333"/>
      <c r="CE270" s="333"/>
      <c r="CF270" s="333"/>
      <c r="CG270" s="333"/>
      <c r="CH270" s="333"/>
      <c r="CI270" s="333"/>
      <c r="CJ270" s="333"/>
      <c r="CK270" s="333"/>
      <c r="CL270" s="333"/>
      <c r="CM270" s="333"/>
      <c r="CN270" s="333"/>
      <c r="CO270" s="333"/>
      <c r="CP270" s="333"/>
      <c r="CQ270" s="333"/>
      <c r="CR270" s="333"/>
      <c r="CS270" s="333"/>
      <c r="CT270" s="333"/>
      <c r="CU270" s="333"/>
      <c r="CV270" s="333"/>
      <c r="CW270" s="333"/>
      <c r="CX270" s="333"/>
      <c r="CY270" s="333"/>
      <c r="CZ270" s="333"/>
      <c r="DA270" s="333"/>
      <c r="DB270" s="333"/>
      <c r="DC270" s="333"/>
      <c r="DD270" s="333"/>
      <c r="DE270" s="333"/>
      <c r="DF270" s="333"/>
      <c r="DG270" s="333"/>
      <c r="DH270" s="333"/>
      <c r="DI270" s="333"/>
      <c r="DJ270" s="333"/>
      <c r="DK270" s="333"/>
      <c r="DL270" s="333"/>
      <c r="DM270" s="333"/>
      <c r="DN270" s="333"/>
      <c r="DO270" s="333"/>
      <c r="DP270" s="333"/>
      <c r="DQ270" s="333"/>
      <c r="DR270" s="333"/>
      <c r="DS270" s="333"/>
      <c r="DT270" s="333"/>
      <c r="DU270" s="375"/>
      <c r="DV270" s="375"/>
      <c r="DW270" s="375"/>
      <c r="DX270" s="375"/>
      <c r="DY270" s="375"/>
      <c r="DZ270" s="375"/>
      <c r="EA270" s="375"/>
      <c r="EB270" s="375"/>
      <c r="EC270" s="375"/>
      <c r="ED270" s="375"/>
      <c r="EE270" s="375"/>
      <c r="EF270" s="375"/>
      <c r="EG270" s="375"/>
      <c r="EH270" s="375"/>
      <c r="EI270" s="375"/>
      <c r="EJ270" s="373"/>
      <c r="EK270" s="373"/>
      <c r="EL270" s="366"/>
      <c r="EM270" s="366"/>
      <c r="EN270" s="364"/>
      <c r="EO270" s="351"/>
      <c r="EP270" s="347"/>
      <c r="EQ270" s="342"/>
      <c r="ER270" s="522"/>
      <c r="ES270" s="916">
        <f>IF(ER270 = "", 0,
IF(AND(EP270 &gt; 0, EQ270 &gt;0), 0, IF(EO269 &lt;&gt; $Z$1,
IF(AND(EP270 &lt;&gt; "", EP270 &lt;&gt; 0), -(EP270 * ER270 * 100),
IF(AND(EQ270 &lt;&gt; "", EQ270 &lt;&gt; 0), (EQ270 * ER270 * 100), 0)),
IF(AND(EP270 &lt;&gt; "", EP270 &lt;&gt; 0), -(EP270 * ER270 * 1),
IF(AND(EQ270 &lt;&gt; "", EQ270 &lt;&gt; 0), (EQ270 * ER270 * 1), 0))  )))</f>
        <v>0</v>
      </c>
      <c r="ET270" s="917"/>
      <c r="EU270" s="918"/>
      <c r="EV270" s="916">
        <f>IF(ER270 = "", 0,
IF(AND(EP270 &gt; 0, EQ270 &gt;0), 0,  IF(EO269 &lt;&gt; $Z$1,
IF(AND(EP270 &lt;&gt; "", EP270 &lt;&gt; 0), -(EP270 * ER270 * 100 * (1 + COMIS_OPCION)),
IF(AND(EQ270 &lt;&gt; "", EQ270 &lt;&gt; 0), (EQ270 * ER270 * 100 * (1 - COMIS_OPCION)), 0)),
IF(AND(EP270 &lt;&gt; "", EP270 &lt;&gt; 0), -(EP270 * ER270 * 1 * (1 + COMIS_ACCION)),
IF(AND(EQ270 &lt;&gt; "", EQ270 &lt;&gt; 0), (EQ270 * ER270 * 1 * (1 - COMIS_ACCION)), 0))  )))</f>
        <v>0</v>
      </c>
      <c r="EW270" s="917"/>
      <c r="EX270" s="917"/>
      <c r="EY270" s="917"/>
      <c r="EZ270" s="917"/>
      <c r="FA270" s="917"/>
      <c r="FB270" s="917"/>
      <c r="FC270" s="917"/>
      <c r="FD270" s="925"/>
      <c r="FE270" s="340"/>
      <c r="FF270" s="340"/>
      <c r="FG270" s="364"/>
      <c r="FH270" s="364"/>
      <c r="FI270" s="339"/>
      <c r="FJ270" s="347"/>
      <c r="FK270" s="342"/>
      <c r="FL270" s="343"/>
      <c r="FM270" s="930">
        <f>IF(FL270 = "", 0,
IF(AND(FJ270 &gt; 0, FK270 &gt;0), 0,
IF(AND(FJ270 &lt;&gt; "", FJ270 &lt;&gt; 0), -(FJ270 * FL270 * 100),
IF(AND(FK270 &lt;&gt; "", FK270 &lt;&gt; 0), (FK270 * FL270 * 100), 0)) ))</f>
        <v>0</v>
      </c>
      <c r="FN270" s="931"/>
      <c r="FO270" s="932"/>
      <c r="FP270" s="930">
        <f>IF(FL270 = "", 0,
IF(AND(FJ270 &gt; 0, FK270 &gt;0), 0,
IF(AND(FJ270 &lt;&gt; "", FJ270 &lt;&gt; 0), -(FJ270 * FL270 * 100 * (1 + COMIS_OPCION)),
IF(AND(FK270 &lt;&gt; "", FK270 &lt;&gt; 0), (FK270 * FL270 * 100 * (1 - COMIS_OPCION)), 0)) ))</f>
        <v>0</v>
      </c>
      <c r="FQ270" s="931"/>
      <c r="FR270" s="931"/>
      <c r="FS270" s="931"/>
      <c r="FT270" s="931"/>
      <c r="FU270" s="931"/>
      <c r="FV270" s="931"/>
      <c r="FW270" s="931"/>
      <c r="FX270" s="933"/>
      <c r="FY270" s="341"/>
      <c r="FZ270" s="341"/>
      <c r="GA270" s="341"/>
      <c r="GB270" s="495">
        <v>0</v>
      </c>
      <c r="GC270" s="495">
        <v>0</v>
      </c>
      <c r="GD270" s="500"/>
      <c r="GE270" s="495">
        <v>0</v>
      </c>
      <c r="GF270" s="495">
        <v>0</v>
      </c>
      <c r="GG270" s="495">
        <v>0</v>
      </c>
      <c r="GH270" s="359"/>
      <c r="GI270" s="359"/>
      <c r="GJ270" s="501"/>
      <c r="GK270" s="495">
        <v>0</v>
      </c>
      <c r="GL270" s="495">
        <v>0</v>
      </c>
      <c r="GM270" s="495">
        <v>0</v>
      </c>
      <c r="GN270" s="359"/>
      <c r="GO270" s="359"/>
      <c r="GP270" s="501"/>
      <c r="GQ270" s="495">
        <v>0</v>
      </c>
      <c r="GR270" s="375"/>
      <c r="GS270" s="333"/>
      <c r="GT270" s="333"/>
      <c r="GU270" s="333"/>
      <c r="GV270" s="333"/>
      <c r="GW270" s="333"/>
      <c r="GX270" s="333"/>
      <c r="GY270" s="333"/>
      <c r="GZ270" s="333"/>
      <c r="HA270" s="333"/>
      <c r="HB270" s="333"/>
      <c r="HC270" s="333"/>
      <c r="HD270" s="333"/>
      <c r="HE270" s="333"/>
      <c r="HF270" s="333"/>
      <c r="HG270" s="331"/>
      <c r="HH270" s="331"/>
      <c r="HI270" s="331"/>
      <c r="HJ270" s="331"/>
      <c r="HK270" s="331"/>
      <c r="HL270" s="331"/>
      <c r="HM270" s="331"/>
      <c r="HN270" s="333"/>
      <c r="HO270" s="333"/>
      <c r="HP270" s="333"/>
      <c r="HQ270" s="333"/>
      <c r="HR270" s="333"/>
      <c r="HS270" s="333"/>
      <c r="HT270" s="333"/>
      <c r="HU270" s="333"/>
      <c r="HV270" s="333"/>
      <c r="HW270" s="333"/>
      <c r="HX270" s="333"/>
      <c r="HY270" s="333"/>
      <c r="HZ270" s="333"/>
      <c r="IA270" s="333"/>
      <c r="IB270" s="333"/>
      <c r="IC270" s="333"/>
      <c r="ID270" s="55"/>
      <c r="IE270" s="47"/>
      <c r="IO270" s="51"/>
    </row>
    <row r="271" spans="13:249" s="142" customFormat="1" ht="15" customHeight="1">
      <c r="M271" s="333"/>
      <c r="N271" s="333"/>
      <c r="O271" s="333"/>
      <c r="P271" s="333"/>
      <c r="Q271" s="333"/>
      <c r="R271" s="333"/>
      <c r="S271" s="333"/>
      <c r="T271" s="333"/>
      <c r="U271" s="333"/>
      <c r="V271" s="333"/>
      <c r="W271" s="333"/>
      <c r="X271" s="333"/>
      <c r="Y271" s="333"/>
      <c r="Z271" s="333"/>
      <c r="AA271" s="333"/>
      <c r="AB271" s="333"/>
      <c r="AC271" s="333"/>
      <c r="AD271" s="333"/>
      <c r="AE271" s="333"/>
      <c r="AF271" s="333"/>
      <c r="AG271" s="333"/>
      <c r="AH271" s="333"/>
      <c r="AI271" s="333"/>
      <c r="AJ271" s="333"/>
      <c r="AK271" s="333"/>
      <c r="AL271" s="333"/>
      <c r="AM271" s="333"/>
      <c r="AN271" s="333"/>
      <c r="AO271" s="333"/>
      <c r="AP271" s="333"/>
      <c r="AQ271" s="333"/>
      <c r="AR271" s="333"/>
      <c r="AS271" s="333"/>
      <c r="AT271" s="333"/>
      <c r="AU271" s="333"/>
      <c r="AV271" s="333"/>
      <c r="AW271" s="333"/>
      <c r="AX271" s="333"/>
      <c r="AY271" s="333"/>
      <c r="AZ271" s="333"/>
      <c r="BA271" s="333"/>
      <c r="BB271" s="333"/>
      <c r="BC271" s="333"/>
      <c r="BD271" s="333"/>
      <c r="BE271" s="333"/>
      <c r="BF271" s="333"/>
      <c r="BG271" s="333"/>
      <c r="BH271" s="333"/>
      <c r="BI271" s="333"/>
      <c r="BJ271" s="333"/>
      <c r="BK271" s="333"/>
      <c r="BL271" s="333"/>
      <c r="BM271" s="333"/>
      <c r="BN271" s="333"/>
      <c r="BO271" s="333"/>
      <c r="BP271" s="333"/>
      <c r="BQ271" s="333"/>
      <c r="BR271" s="333"/>
      <c r="BS271" s="333"/>
      <c r="BT271" s="333"/>
      <c r="BU271" s="333"/>
      <c r="BV271" s="333"/>
      <c r="BW271" s="333"/>
      <c r="BX271" s="333"/>
      <c r="BY271" s="333"/>
      <c r="BZ271" s="333"/>
      <c r="CA271" s="333"/>
      <c r="CB271" s="333"/>
      <c r="CC271" s="333"/>
      <c r="CD271" s="333"/>
      <c r="CE271" s="333"/>
      <c r="CF271" s="333"/>
      <c r="CG271" s="333"/>
      <c r="CH271" s="333"/>
      <c r="CI271" s="333"/>
      <c r="CJ271" s="333"/>
      <c r="CK271" s="333"/>
      <c r="CL271" s="333"/>
      <c r="CM271" s="333"/>
      <c r="CN271" s="333"/>
      <c r="CO271" s="333"/>
      <c r="CP271" s="333"/>
      <c r="CQ271" s="333"/>
      <c r="CR271" s="333"/>
      <c r="CS271" s="333"/>
      <c r="CT271" s="333"/>
      <c r="CU271" s="333"/>
      <c r="CV271" s="333"/>
      <c r="CW271" s="333"/>
      <c r="CX271" s="333"/>
      <c r="CY271" s="333"/>
      <c r="CZ271" s="333"/>
      <c r="DA271" s="333"/>
      <c r="DB271" s="333"/>
      <c r="DC271" s="333"/>
      <c r="DD271" s="333"/>
      <c r="DE271" s="333"/>
      <c r="DF271" s="333"/>
      <c r="DG271" s="333"/>
      <c r="DH271" s="333"/>
      <c r="DI271" s="333"/>
      <c r="DJ271" s="333"/>
      <c r="DK271" s="333"/>
      <c r="DL271" s="333"/>
      <c r="DM271" s="333"/>
      <c r="DN271" s="333"/>
      <c r="DO271" s="333"/>
      <c r="DP271" s="333"/>
      <c r="DQ271" s="333"/>
      <c r="DR271" s="333"/>
      <c r="DS271" s="333"/>
      <c r="DT271" s="333"/>
      <c r="DU271" s="375"/>
      <c r="DV271" s="375"/>
      <c r="DW271" s="375"/>
      <c r="DX271" s="375"/>
      <c r="DY271" s="375"/>
      <c r="DZ271" s="375"/>
      <c r="EA271" s="375"/>
      <c r="EB271" s="375"/>
      <c r="EC271" s="375"/>
      <c r="ED271" s="375"/>
      <c r="EE271" s="375"/>
      <c r="EF271" s="375"/>
      <c r="EG271" s="375"/>
      <c r="EH271" s="375"/>
      <c r="EI271" s="375"/>
      <c r="EJ271" s="373"/>
      <c r="EK271" s="373"/>
      <c r="EL271" s="366"/>
      <c r="EM271" s="368"/>
      <c r="EN271" s="364"/>
      <c r="EO271" s="352">
        <f>+SUM(EP269:EP273) - SUM(EQ269:EQ273)</f>
        <v>0</v>
      </c>
      <c r="EP271" s="347"/>
      <c r="EQ271" s="342"/>
      <c r="ER271" s="522"/>
      <c r="ES271" s="916">
        <f>IF(ER271 = "", 0,
IF(AND(EP271 &gt; 0, EQ271 &gt;0), 0, IF(EO269 &lt;&gt; $Z$1,
IF(AND(EP271 &lt;&gt; "", EP271 &lt;&gt; 0), -(EP271 * ER271 * 100),
IF(AND(EQ271 &lt;&gt; "", EQ271 &lt;&gt; 0), (EQ271 * ER271 * 100), 0)),
IF(AND(EP271 &lt;&gt; "", EP271 &lt;&gt; 0), -(EP271 * ER271 * 1),
IF(AND(EQ271 &lt;&gt; "", EQ271 &lt;&gt; 0), (EQ271 * ER271 * 1), 0))  )))</f>
        <v>0</v>
      </c>
      <c r="ET271" s="917"/>
      <c r="EU271" s="918"/>
      <c r="EV271" s="916">
        <f>IF(ER271 = "", 0,
IF(AND(EP271 &gt; 0, EQ271 &gt;0), 0,  IF(EO269 &lt;&gt; $Z$1,
IF(AND(EP271 &lt;&gt; "", EP271 &lt;&gt; 0), -(EP271 * ER271 * 100 * (1 + COMIS_OPCION)),
IF(AND(EQ271 &lt;&gt; "", EQ271 &lt;&gt; 0), (EQ271 * ER271 * 100 * (1 - COMIS_OPCION)), 0)),
IF(AND(EP271 &lt;&gt; "", EP271 &lt;&gt; 0), -(EP271 * ER271 * 1 * (1 + COMIS_ACCION)),
IF(AND(EQ271 &lt;&gt; "", EQ271 &lt;&gt; 0), (EQ271 * ER271 * 1 * (1 - COMIS_ACCION)), 0))  )))</f>
        <v>0</v>
      </c>
      <c r="EW271" s="917"/>
      <c r="EX271" s="917"/>
      <c r="EY271" s="917"/>
      <c r="EZ271" s="917"/>
      <c r="FA271" s="917"/>
      <c r="FB271" s="917"/>
      <c r="FC271" s="917"/>
      <c r="FD271" s="925"/>
      <c r="FE271" s="340"/>
      <c r="FF271" s="340"/>
      <c r="FG271" s="365"/>
      <c r="FH271" s="365"/>
      <c r="FI271" s="354">
        <f>+SUM(FJ269:FJ273) - SUM(FK269:FK273)</f>
        <v>0</v>
      </c>
      <c r="FJ271" s="347"/>
      <c r="FK271" s="342"/>
      <c r="FL271" s="343"/>
      <c r="FM271" s="930">
        <f>IF(FL271 = "", 0,
IF(AND(FJ271 &gt; 0, FK271 &gt;0), 0,
IF(AND(FJ271 &lt;&gt; "", FJ271 &lt;&gt; 0), -(FJ271 * FL271 * 100),
IF(AND(FK271 &lt;&gt; "", FK271 &lt;&gt; 0), (FK271 * FL271 * 100), 0)) ))</f>
        <v>0</v>
      </c>
      <c r="FN271" s="931"/>
      <c r="FO271" s="932"/>
      <c r="FP271" s="930">
        <f>IF(FL271 = "", 0,
IF(AND(FJ271 &gt; 0, FK271 &gt;0), 0,
IF(AND(FJ271 &lt;&gt; "", FJ271 &lt;&gt; 0), -(FJ271 * FL271 * 100 * (1 + COMIS_OPCION)),
IF(AND(FK271 &lt;&gt; "", FK271 &lt;&gt; 0), (FK271 * FL271 * 100 * (1 - COMIS_OPCION)), 0)) ))</f>
        <v>0</v>
      </c>
      <c r="FQ271" s="931"/>
      <c r="FR271" s="931"/>
      <c r="FS271" s="931"/>
      <c r="FT271" s="931"/>
      <c r="FU271" s="931"/>
      <c r="FV271" s="931"/>
      <c r="FW271" s="931"/>
      <c r="FX271" s="933"/>
      <c r="FY271" s="341"/>
      <c r="FZ271" s="341"/>
      <c r="GA271" s="341"/>
      <c r="GB271" s="495">
        <v>0</v>
      </c>
      <c r="GC271" s="495">
        <v>0</v>
      </c>
      <c r="GD271" s="500"/>
      <c r="GE271" s="495">
        <v>0</v>
      </c>
      <c r="GF271" s="495">
        <v>0</v>
      </c>
      <c r="GG271" s="495">
        <v>0</v>
      </c>
      <c r="GH271" s="359"/>
      <c r="GI271" s="359"/>
      <c r="GJ271" s="501"/>
      <c r="GK271" s="495">
        <v>0</v>
      </c>
      <c r="GL271" s="495">
        <v>0</v>
      </c>
      <c r="GM271" s="495">
        <v>0</v>
      </c>
      <c r="GN271" s="359"/>
      <c r="GO271" s="359"/>
      <c r="GP271" s="501"/>
      <c r="GQ271" s="495">
        <v>0</v>
      </c>
      <c r="GR271" s="375"/>
      <c r="GS271" s="333"/>
      <c r="GT271" s="333"/>
      <c r="GU271" s="333"/>
      <c r="GV271" s="333"/>
      <c r="GW271" s="333"/>
      <c r="GX271" s="333"/>
      <c r="GY271" s="333"/>
      <c r="GZ271" s="333"/>
      <c r="HA271" s="333"/>
      <c r="HB271" s="333"/>
      <c r="HC271" s="333"/>
      <c r="HD271" s="333"/>
      <c r="HE271" s="333"/>
      <c r="HF271" s="333"/>
      <c r="HG271" s="331"/>
      <c r="HH271" s="331"/>
      <c r="HI271" s="331"/>
      <c r="HJ271" s="331"/>
      <c r="HK271" s="331"/>
      <c r="HL271" s="331"/>
      <c r="HM271" s="331"/>
      <c r="HN271" s="333"/>
      <c r="HO271" s="333"/>
      <c r="HP271" s="333"/>
      <c r="HQ271" s="333"/>
      <c r="HR271" s="333"/>
      <c r="HS271" s="333"/>
      <c r="HT271" s="333"/>
      <c r="HU271" s="333"/>
      <c r="HV271" s="333"/>
      <c r="HW271" s="333"/>
      <c r="HX271" s="333"/>
      <c r="HY271" s="333"/>
      <c r="HZ271" s="333"/>
      <c r="IA271" s="333"/>
      <c r="IB271" s="333"/>
      <c r="IC271" s="333"/>
      <c r="ID271" s="55"/>
      <c r="IE271" s="47"/>
      <c r="IO271" s="51"/>
    </row>
    <row r="272" spans="13:249" s="142" customFormat="1" ht="15" customHeight="1">
      <c r="M272" s="333"/>
      <c r="N272" s="333"/>
      <c r="O272" s="333"/>
      <c r="P272" s="333"/>
      <c r="Q272" s="333"/>
      <c r="R272" s="333"/>
      <c r="S272" s="333"/>
      <c r="T272" s="333"/>
      <c r="U272" s="333"/>
      <c r="V272" s="333"/>
      <c r="W272" s="333"/>
      <c r="X272" s="333"/>
      <c r="Y272" s="333"/>
      <c r="Z272" s="333"/>
      <c r="AA272" s="333"/>
      <c r="AB272" s="333"/>
      <c r="AC272" s="333"/>
      <c r="AD272" s="333"/>
      <c r="AE272" s="333"/>
      <c r="AF272" s="333"/>
      <c r="AG272" s="333"/>
      <c r="AH272" s="333"/>
      <c r="AI272" s="333"/>
      <c r="AJ272" s="333"/>
      <c r="AK272" s="333"/>
      <c r="AL272" s="333"/>
      <c r="AM272" s="333"/>
      <c r="AN272" s="333"/>
      <c r="AO272" s="333"/>
      <c r="AP272" s="333"/>
      <c r="AQ272" s="333"/>
      <c r="AR272" s="333"/>
      <c r="AS272" s="333"/>
      <c r="AT272" s="333"/>
      <c r="AU272" s="333"/>
      <c r="AV272" s="333"/>
      <c r="AW272" s="333"/>
      <c r="AX272" s="333"/>
      <c r="AY272" s="333"/>
      <c r="AZ272" s="333"/>
      <c r="BA272" s="333"/>
      <c r="BB272" s="333"/>
      <c r="BC272" s="333"/>
      <c r="BD272" s="333"/>
      <c r="BE272" s="333"/>
      <c r="BF272" s="333"/>
      <c r="BG272" s="333"/>
      <c r="BH272" s="333"/>
      <c r="BI272" s="333"/>
      <c r="BJ272" s="333"/>
      <c r="BK272" s="333"/>
      <c r="BL272" s="333"/>
      <c r="BM272" s="333"/>
      <c r="BN272" s="333"/>
      <c r="BO272" s="333"/>
      <c r="BP272" s="333"/>
      <c r="BQ272" s="333"/>
      <c r="BR272" s="333"/>
      <c r="BS272" s="333"/>
      <c r="BT272" s="333"/>
      <c r="BU272" s="333"/>
      <c r="BV272" s="333"/>
      <c r="BW272" s="333"/>
      <c r="BX272" s="333"/>
      <c r="BY272" s="333"/>
      <c r="BZ272" s="333"/>
      <c r="CA272" s="333"/>
      <c r="CB272" s="333"/>
      <c r="CC272" s="333"/>
      <c r="CD272" s="333"/>
      <c r="CE272" s="333"/>
      <c r="CF272" s="333"/>
      <c r="CG272" s="333"/>
      <c r="CH272" s="333"/>
      <c r="CI272" s="333"/>
      <c r="CJ272" s="333"/>
      <c r="CK272" s="333"/>
      <c r="CL272" s="333"/>
      <c r="CM272" s="333"/>
      <c r="CN272" s="333"/>
      <c r="CO272" s="333"/>
      <c r="CP272" s="333"/>
      <c r="CQ272" s="333"/>
      <c r="CR272" s="333"/>
      <c r="CS272" s="333"/>
      <c r="CT272" s="333"/>
      <c r="CU272" s="333"/>
      <c r="CV272" s="333"/>
      <c r="CW272" s="333"/>
      <c r="CX272" s="333"/>
      <c r="CY272" s="333"/>
      <c r="CZ272" s="333"/>
      <c r="DA272" s="333"/>
      <c r="DB272" s="333"/>
      <c r="DC272" s="333"/>
      <c r="DD272" s="333"/>
      <c r="DE272" s="333"/>
      <c r="DF272" s="333"/>
      <c r="DG272" s="333"/>
      <c r="DH272" s="333"/>
      <c r="DI272" s="333"/>
      <c r="DJ272" s="333"/>
      <c r="DK272" s="333"/>
      <c r="DL272" s="333"/>
      <c r="DM272" s="333"/>
      <c r="DN272" s="333"/>
      <c r="DO272" s="333"/>
      <c r="DP272" s="333"/>
      <c r="DQ272" s="333"/>
      <c r="DR272" s="333"/>
      <c r="DS272" s="333"/>
      <c r="DT272" s="333"/>
      <c r="DU272" s="375"/>
      <c r="DV272" s="375"/>
      <c r="DW272" s="375"/>
      <c r="DX272" s="375"/>
      <c r="DY272" s="375"/>
      <c r="DZ272" s="375"/>
      <c r="EA272" s="375"/>
      <c r="EB272" s="375"/>
      <c r="EC272" s="375"/>
      <c r="ED272" s="375"/>
      <c r="EE272" s="375"/>
      <c r="EF272" s="375"/>
      <c r="EG272" s="375"/>
      <c r="EH272" s="375"/>
      <c r="EI272" s="375"/>
      <c r="EJ272" s="373"/>
      <c r="EK272" s="373"/>
      <c r="EL272" s="366"/>
      <c r="EM272" s="368"/>
      <c r="EN272" s="364"/>
      <c r="EO272" s="352">
        <f>IF(EO271=0, 0, SUM(EV269:FD273))</f>
        <v>0</v>
      </c>
      <c r="EP272" s="347"/>
      <c r="EQ272" s="342"/>
      <c r="ER272" s="522"/>
      <c r="ES272" s="916">
        <f>IF(ER272 = "", 0,
IF(AND(EP272 &gt; 0, EQ272 &gt;0), 0, IF(EO269 &lt;&gt; $Z$1,
IF(AND(EP272 &lt;&gt; "", EP272 &lt;&gt; 0), -(EP272 * ER272 * 100),
IF(AND(EQ272 &lt;&gt; "", EQ272 &lt;&gt; 0), (EQ272 * ER272 * 100), 0)),
IF(AND(EP272 &lt;&gt; "", EP272 &lt;&gt; 0), -(EP272 * ER272 * 1),
IF(AND(EQ272 &lt;&gt; "", EQ272 &lt;&gt; 0), (EQ272 * ER272 * 1), 0))  )))</f>
        <v>0</v>
      </c>
      <c r="ET272" s="917"/>
      <c r="EU272" s="918"/>
      <c r="EV272" s="916">
        <f>IF(ER272 = "", 0,
IF(AND(EP272 &gt; 0, EQ272 &gt;0), 0,  IF(EO269 &lt;&gt; $Z$1,
IF(AND(EP272 &lt;&gt; "", EP272 &lt;&gt; 0), -(EP272 * ER272 * 100 * (1 + COMIS_OPCION)),
IF(AND(EQ272 &lt;&gt; "", EQ272 &lt;&gt; 0), (EQ272 * ER272 * 100 * (1 - COMIS_OPCION)), 0)),
IF(AND(EP272 &lt;&gt; "", EP272 &lt;&gt; 0), -(EP272 * ER272 * 1 * (1 + COMIS_ACCION)),
IF(AND(EQ272 &lt;&gt; "", EQ272 &lt;&gt; 0), (EQ272 * ER272 * 1 * (1 - COMIS_ACCION)), 0))  )))</f>
        <v>0</v>
      </c>
      <c r="EW272" s="917"/>
      <c r="EX272" s="917"/>
      <c r="EY272" s="917"/>
      <c r="EZ272" s="917"/>
      <c r="FA272" s="917"/>
      <c r="FB272" s="917"/>
      <c r="FC272" s="917"/>
      <c r="FD272" s="925"/>
      <c r="FE272" s="340"/>
      <c r="FF272" s="340"/>
      <c r="FG272" s="365"/>
      <c r="FH272" s="365"/>
      <c r="FI272" s="354">
        <f>IF(FI271=0, 0, SUM(FP269:FX273))</f>
        <v>0</v>
      </c>
      <c r="FJ272" s="347"/>
      <c r="FK272" s="342"/>
      <c r="FL272" s="343"/>
      <c r="FM272" s="930">
        <f>IF(FL272 = "", 0,
IF(AND(FJ272 &gt; 0, FK272 &gt;0), 0,
IF(AND(FJ272 &lt;&gt; "", FJ272 &lt;&gt; 0), -(FJ272 * FL272 * 100),
IF(AND(FK272 &lt;&gt; "", FK272 &lt;&gt; 0), (FK272 * FL272 * 100), 0)) ))</f>
        <v>0</v>
      </c>
      <c r="FN272" s="931"/>
      <c r="FO272" s="932"/>
      <c r="FP272" s="930">
        <f>IF(FL272 = "", 0,
IF(AND(FJ272 &gt; 0, FK272 &gt;0), 0,
IF(AND(FJ272 &lt;&gt; "", FJ272 &lt;&gt; 0), -(FJ272 * FL272 * 100 * (1 + COMIS_OPCION)),
IF(AND(FK272 &lt;&gt; "", FK272 &lt;&gt; 0), (FK272 * FL272 * 100 * (1 - COMIS_OPCION)), 0)) ))</f>
        <v>0</v>
      </c>
      <c r="FQ272" s="931"/>
      <c r="FR272" s="931"/>
      <c r="FS272" s="931"/>
      <c r="FT272" s="931"/>
      <c r="FU272" s="931"/>
      <c r="FV272" s="931"/>
      <c r="FW272" s="931"/>
      <c r="FX272" s="933"/>
      <c r="FY272" s="341"/>
      <c r="FZ272" s="341"/>
      <c r="GA272" s="341"/>
      <c r="GB272" s="495">
        <v>0</v>
      </c>
      <c r="GC272" s="495">
        <v>0</v>
      </c>
      <c r="GD272" s="500"/>
      <c r="GE272" s="495">
        <v>0</v>
      </c>
      <c r="GF272" s="495">
        <v>0</v>
      </c>
      <c r="GG272" s="495">
        <v>0</v>
      </c>
      <c r="GH272" s="359"/>
      <c r="GI272" s="359"/>
      <c r="GJ272" s="501"/>
      <c r="GK272" s="495">
        <v>0</v>
      </c>
      <c r="GL272" s="495">
        <v>0</v>
      </c>
      <c r="GM272" s="495">
        <v>0</v>
      </c>
      <c r="GN272" s="359"/>
      <c r="GO272" s="359"/>
      <c r="GP272" s="501"/>
      <c r="GQ272" s="495">
        <v>0</v>
      </c>
      <c r="GR272" s="375"/>
      <c r="GS272" s="333"/>
      <c r="GT272" s="333"/>
      <c r="GU272" s="333"/>
      <c r="GV272" s="333"/>
      <c r="GW272" s="333"/>
      <c r="GX272" s="333"/>
      <c r="GY272" s="333"/>
      <c r="GZ272" s="333"/>
      <c r="HA272" s="333"/>
      <c r="HB272" s="333"/>
      <c r="HC272" s="333"/>
      <c r="HD272" s="333"/>
      <c r="HE272" s="333"/>
      <c r="HF272" s="333"/>
      <c r="HG272" s="331"/>
      <c r="HH272" s="331"/>
      <c r="HI272" s="331"/>
      <c r="HJ272" s="331"/>
      <c r="HK272" s="331"/>
      <c r="HL272" s="331"/>
      <c r="HM272" s="331"/>
      <c r="HN272" s="333"/>
      <c r="HO272" s="333"/>
      <c r="HP272" s="333"/>
      <c r="HQ272" s="333"/>
      <c r="HR272" s="333"/>
      <c r="HS272" s="333"/>
      <c r="HT272" s="333"/>
      <c r="HU272" s="333"/>
      <c r="HV272" s="333"/>
      <c r="HW272" s="333"/>
      <c r="HX272" s="333"/>
      <c r="HY272" s="333"/>
      <c r="HZ272" s="333"/>
      <c r="IA272" s="333"/>
      <c r="IB272" s="333"/>
      <c r="IC272" s="333"/>
      <c r="ID272" s="55"/>
      <c r="IE272" s="47"/>
      <c r="IO272" s="51"/>
    </row>
    <row r="273" spans="13:249" s="142" customFormat="1" ht="15" customHeight="1" thickBot="1">
      <c r="M273" s="333"/>
      <c r="N273" s="333"/>
      <c r="O273" s="333"/>
      <c r="P273" s="333"/>
      <c r="Q273" s="333"/>
      <c r="R273" s="333"/>
      <c r="S273" s="333"/>
      <c r="T273" s="333"/>
      <c r="U273" s="333"/>
      <c r="V273" s="333"/>
      <c r="W273" s="333"/>
      <c r="X273" s="333"/>
      <c r="Y273" s="333"/>
      <c r="Z273" s="333"/>
      <c r="AA273" s="333"/>
      <c r="AB273" s="333"/>
      <c r="AC273" s="333"/>
      <c r="AD273" s="333"/>
      <c r="AE273" s="333"/>
      <c r="AF273" s="333"/>
      <c r="AG273" s="333"/>
      <c r="AH273" s="333"/>
      <c r="AI273" s="333"/>
      <c r="AJ273" s="333"/>
      <c r="AK273" s="333"/>
      <c r="AL273" s="333"/>
      <c r="AM273" s="333"/>
      <c r="AN273" s="333"/>
      <c r="AO273" s="333"/>
      <c r="AP273" s="333"/>
      <c r="AQ273" s="333"/>
      <c r="AR273" s="333"/>
      <c r="AS273" s="333"/>
      <c r="AT273" s="333"/>
      <c r="AU273" s="333"/>
      <c r="AV273" s="333"/>
      <c r="AW273" s="333"/>
      <c r="AX273" s="333"/>
      <c r="AY273" s="333"/>
      <c r="AZ273" s="333"/>
      <c r="BA273" s="333"/>
      <c r="BB273" s="333"/>
      <c r="BC273" s="333"/>
      <c r="BD273" s="333"/>
      <c r="BE273" s="333"/>
      <c r="BF273" s="333"/>
      <c r="BG273" s="333"/>
      <c r="BH273" s="333"/>
      <c r="BI273" s="333"/>
      <c r="BJ273" s="333"/>
      <c r="BK273" s="333"/>
      <c r="BL273" s="333"/>
      <c r="BM273" s="333"/>
      <c r="BN273" s="333"/>
      <c r="BO273" s="333"/>
      <c r="BP273" s="333"/>
      <c r="BQ273" s="333"/>
      <c r="BR273" s="333"/>
      <c r="BS273" s="333"/>
      <c r="BT273" s="333"/>
      <c r="BU273" s="333"/>
      <c r="BV273" s="333"/>
      <c r="BW273" s="333"/>
      <c r="BX273" s="333"/>
      <c r="BY273" s="333"/>
      <c r="BZ273" s="333"/>
      <c r="CA273" s="333"/>
      <c r="CB273" s="333"/>
      <c r="CC273" s="333"/>
      <c r="CD273" s="333"/>
      <c r="CE273" s="333"/>
      <c r="CF273" s="333"/>
      <c r="CG273" s="333"/>
      <c r="CH273" s="333"/>
      <c r="CI273" s="333"/>
      <c r="CJ273" s="333"/>
      <c r="CK273" s="333"/>
      <c r="CL273" s="333"/>
      <c r="CM273" s="333"/>
      <c r="CN273" s="333"/>
      <c r="CO273" s="333"/>
      <c r="CP273" s="333"/>
      <c r="CQ273" s="333"/>
      <c r="CR273" s="333"/>
      <c r="CS273" s="333"/>
      <c r="CT273" s="333"/>
      <c r="CU273" s="333"/>
      <c r="CV273" s="333"/>
      <c r="CW273" s="333"/>
      <c r="CX273" s="333"/>
      <c r="CY273" s="333"/>
      <c r="CZ273" s="333"/>
      <c r="DA273" s="333"/>
      <c r="DB273" s="333"/>
      <c r="DC273" s="333"/>
      <c r="DD273" s="333"/>
      <c r="DE273" s="333"/>
      <c r="DF273" s="333"/>
      <c r="DG273" s="333"/>
      <c r="DH273" s="333"/>
      <c r="DI273" s="333"/>
      <c r="DJ273" s="333"/>
      <c r="DK273" s="333"/>
      <c r="DL273" s="333"/>
      <c r="DM273" s="333"/>
      <c r="DN273" s="333"/>
      <c r="DO273" s="333"/>
      <c r="DP273" s="333"/>
      <c r="DQ273" s="333"/>
      <c r="DR273" s="333"/>
      <c r="DS273" s="333"/>
      <c r="DT273" s="333"/>
      <c r="DU273" s="375"/>
      <c r="DV273" s="375"/>
      <c r="DW273" s="375"/>
      <c r="DX273" s="375"/>
      <c r="DY273" s="375"/>
      <c r="DZ273" s="375"/>
      <c r="EA273" s="375"/>
      <c r="EB273" s="375"/>
      <c r="EC273" s="375"/>
      <c r="ED273" s="375"/>
      <c r="EE273" s="375"/>
      <c r="EF273" s="375"/>
      <c r="EG273" s="375"/>
      <c r="EH273" s="375"/>
      <c r="EI273" s="375"/>
      <c r="EJ273" s="373"/>
      <c r="EK273" s="373"/>
      <c r="EL273" s="366"/>
      <c r="EM273" s="368"/>
      <c r="EN273" s="364"/>
      <c r="EO273" s="353">
        <f>+IF(EO271= 0, 0, GG269)</f>
        <v>0</v>
      </c>
      <c r="EP273" s="350"/>
      <c r="EQ273" s="344"/>
      <c r="ER273" s="523"/>
      <c r="ES273" s="921">
        <f>IF(ER273 = "", 0,
IF(AND(EP273 &gt; 0, EQ273 &gt;0), 0, IF(EO269 &lt;&gt; $Z$1,
IF(AND(EP273 &lt;&gt; "", EP273 &lt;&gt; 0), -(EP273 * ER273 * 100),
IF(AND(EQ273 &lt;&gt; "", EQ273 &lt;&gt; 0), (EQ273 * ER273 * 100), 0)),
IF(AND(EP273 &lt;&gt; "", EP273 &lt;&gt; 0), -(EP273 * ER273 * 1),
IF(AND(EQ273 &lt;&gt; "", EQ273 &lt;&gt; 0), (EQ273 * ER273 * 1), 0))  )))</f>
        <v>0</v>
      </c>
      <c r="ET273" s="922"/>
      <c r="EU273" s="924"/>
      <c r="EV273" s="921">
        <f>IF(ER273 = "", 0,
IF(AND(EP273 &gt; 0, EQ273 &gt;0), 0,  IF(EO269 &lt;&gt; $Z$1,
IF(AND(EP273 &lt;&gt; "", EP273 &lt;&gt; 0), -(EP273 * ER273 * 100 * (1 + COMIS_OPCION)),
IF(AND(EQ273 &lt;&gt; "", EQ273 &lt;&gt; 0), (EQ273 * ER273 * 100 * (1 - COMIS_OPCION)), 0)),
IF(AND(EP273 &lt;&gt; "", EP273 &lt;&gt; 0), -(EP273 * ER273 * 1 * (1 + COMIS_ACCION)),
IF(AND(EQ273 &lt;&gt; "", EQ273 &lt;&gt; 0), (EQ273 * ER273 * 1 * (1 - COMIS_ACCION)), 0))  )))</f>
        <v>0</v>
      </c>
      <c r="EW273" s="922"/>
      <c r="EX273" s="922"/>
      <c r="EY273" s="922"/>
      <c r="EZ273" s="922"/>
      <c r="FA273" s="922"/>
      <c r="FB273" s="922"/>
      <c r="FC273" s="922"/>
      <c r="FD273" s="923"/>
      <c r="FE273" s="340"/>
      <c r="FF273" s="340"/>
      <c r="FG273" s="365"/>
      <c r="FH273" s="365"/>
      <c r="FI273" s="349">
        <f>+IF(FI271= 0, 0, GQ269)</f>
        <v>0</v>
      </c>
      <c r="FJ273" s="348"/>
      <c r="FK273" s="345"/>
      <c r="FL273" s="346"/>
      <c r="FM273" s="937">
        <f>IF(FL273 = "", 0,
IF(AND(FJ273 &gt; 0, FK273 &gt;0), 0,
IF(AND(FJ273 &lt;&gt; "", FJ273 &lt;&gt; 0), -(FJ273 * FL273 * 100),
IF(AND(FK273 &lt;&gt; "", FK273 &lt;&gt; 0), (FK273 * FL273 * 100), 0)) ))</f>
        <v>0</v>
      </c>
      <c r="FN273" s="938"/>
      <c r="FO273" s="939"/>
      <c r="FP273" s="937">
        <f>IF(FL273 = "", 0,
IF(AND(FJ273 &gt; 0, FK273 &gt;0), 0,
IF(AND(FJ273 &lt;&gt; "", FJ273 &lt;&gt; 0), -(FJ273 * FL273 * 100 * (1 + COMIS_OPCION)),
IF(AND(FK273 &lt;&gt; "", FK273 &lt;&gt; 0), (FK273 * FL273 * 100 * (1 - COMIS_OPCION)), 0)) ))</f>
        <v>0</v>
      </c>
      <c r="FQ273" s="938"/>
      <c r="FR273" s="938"/>
      <c r="FS273" s="938"/>
      <c r="FT273" s="938"/>
      <c r="FU273" s="938"/>
      <c r="FV273" s="938"/>
      <c r="FW273" s="938"/>
      <c r="FX273" s="969"/>
      <c r="FY273" s="341"/>
      <c r="FZ273" s="341"/>
      <c r="GA273" s="341"/>
      <c r="GB273" s="495">
        <v>0</v>
      </c>
      <c r="GC273" s="495">
        <v>0</v>
      </c>
      <c r="GD273" s="500"/>
      <c r="GE273" s="495">
        <v>0</v>
      </c>
      <c r="GF273" s="495">
        <v>0</v>
      </c>
      <c r="GG273" s="495">
        <v>0</v>
      </c>
      <c r="GH273" s="359"/>
      <c r="GI273" s="359"/>
      <c r="GJ273" s="501"/>
      <c r="GK273" s="495">
        <v>0</v>
      </c>
      <c r="GL273" s="495">
        <v>0</v>
      </c>
      <c r="GM273" s="495">
        <v>0</v>
      </c>
      <c r="GN273" s="359"/>
      <c r="GO273" s="359"/>
      <c r="GP273" s="501"/>
      <c r="GQ273" s="495">
        <v>0</v>
      </c>
      <c r="GR273" s="375"/>
      <c r="GS273" s="333"/>
      <c r="GT273" s="333"/>
      <c r="GU273" s="333"/>
      <c r="GV273" s="333"/>
      <c r="GW273" s="333"/>
      <c r="GX273" s="333"/>
      <c r="GY273" s="333"/>
      <c r="GZ273" s="333"/>
      <c r="HA273" s="333"/>
      <c r="HB273" s="333"/>
      <c r="HC273" s="333"/>
      <c r="HD273" s="333"/>
      <c r="HE273" s="333"/>
      <c r="HF273" s="333"/>
      <c r="HG273" s="331"/>
      <c r="HH273" s="331"/>
      <c r="HI273" s="331"/>
      <c r="HJ273" s="331"/>
      <c r="HK273" s="331"/>
      <c r="HL273" s="331"/>
      <c r="HM273" s="331"/>
      <c r="HN273" s="333"/>
      <c r="HO273" s="333"/>
      <c r="HP273" s="333"/>
      <c r="HQ273" s="333"/>
      <c r="HR273" s="333"/>
      <c r="HS273" s="333"/>
      <c r="HT273" s="333"/>
      <c r="HU273" s="333"/>
      <c r="HV273" s="333"/>
      <c r="HW273" s="333"/>
      <c r="HX273" s="333"/>
      <c r="HY273" s="333"/>
      <c r="HZ273" s="333"/>
      <c r="IA273" s="333"/>
      <c r="IB273" s="333"/>
      <c r="IC273" s="333"/>
      <c r="ID273" s="55"/>
      <c r="IE273" s="47"/>
      <c r="IO273" s="51"/>
    </row>
    <row r="274" spans="13:249" s="142" customFormat="1" ht="15" customHeight="1" thickBot="1">
      <c r="M274" s="333"/>
      <c r="N274" s="333"/>
      <c r="O274" s="333"/>
      <c r="P274" s="333"/>
      <c r="Q274" s="333"/>
      <c r="R274" s="333"/>
      <c r="S274" s="333"/>
      <c r="T274" s="333"/>
      <c r="U274" s="333"/>
      <c r="V274" s="333"/>
      <c r="W274" s="333"/>
      <c r="X274" s="333"/>
      <c r="Y274" s="333"/>
      <c r="Z274" s="333"/>
      <c r="AA274" s="333"/>
      <c r="AB274" s="333"/>
      <c r="AC274" s="333"/>
      <c r="AD274" s="333"/>
      <c r="AE274" s="333"/>
      <c r="AF274" s="333"/>
      <c r="AG274" s="333"/>
      <c r="AH274" s="333"/>
      <c r="AI274" s="333"/>
      <c r="AJ274" s="333"/>
      <c r="AK274" s="333"/>
      <c r="AL274" s="333"/>
      <c r="AM274" s="333"/>
      <c r="AN274" s="333"/>
      <c r="AO274" s="333"/>
      <c r="AP274" s="333"/>
      <c r="AQ274" s="333"/>
      <c r="AR274" s="333"/>
      <c r="AS274" s="333"/>
      <c r="AT274" s="333"/>
      <c r="AU274" s="333"/>
      <c r="AV274" s="333"/>
      <c r="AW274" s="333"/>
      <c r="AX274" s="333"/>
      <c r="AY274" s="333"/>
      <c r="AZ274" s="333"/>
      <c r="BA274" s="333"/>
      <c r="BB274" s="333"/>
      <c r="BC274" s="333"/>
      <c r="BD274" s="333"/>
      <c r="BE274" s="333"/>
      <c r="BF274" s="333"/>
      <c r="BG274" s="333"/>
      <c r="BH274" s="333"/>
      <c r="BI274" s="333"/>
      <c r="BJ274" s="333"/>
      <c r="BK274" s="333"/>
      <c r="BL274" s="333"/>
      <c r="BM274" s="333"/>
      <c r="BN274" s="333"/>
      <c r="BO274" s="333"/>
      <c r="BP274" s="333"/>
      <c r="BQ274" s="333"/>
      <c r="BR274" s="333"/>
      <c r="BS274" s="333"/>
      <c r="BT274" s="333"/>
      <c r="BU274" s="333"/>
      <c r="BV274" s="333"/>
      <c r="BW274" s="333"/>
      <c r="BX274" s="333"/>
      <c r="BY274" s="333"/>
      <c r="BZ274" s="333"/>
      <c r="CA274" s="333"/>
      <c r="CB274" s="333"/>
      <c r="CC274" s="333"/>
      <c r="CD274" s="333"/>
      <c r="CE274" s="333"/>
      <c r="CF274" s="333"/>
      <c r="CG274" s="333"/>
      <c r="CH274" s="333"/>
      <c r="CI274" s="333"/>
      <c r="CJ274" s="333"/>
      <c r="CK274" s="333"/>
      <c r="CL274" s="333"/>
      <c r="CM274" s="333"/>
      <c r="CN274" s="333"/>
      <c r="CO274" s="333"/>
      <c r="CP274" s="333"/>
      <c r="CQ274" s="333"/>
      <c r="CR274" s="333"/>
      <c r="CS274" s="333"/>
      <c r="CT274" s="333"/>
      <c r="CU274" s="333"/>
      <c r="CV274" s="333"/>
      <c r="CW274" s="333"/>
      <c r="CX274" s="333"/>
      <c r="CY274" s="333"/>
      <c r="CZ274" s="333"/>
      <c r="DA274" s="333"/>
      <c r="DB274" s="333"/>
      <c r="DC274" s="333"/>
      <c r="DD274" s="333"/>
      <c r="DE274" s="333"/>
      <c r="DF274" s="333"/>
      <c r="DG274" s="333"/>
      <c r="DH274" s="333"/>
      <c r="DI274" s="333"/>
      <c r="DJ274" s="333"/>
      <c r="DK274" s="333"/>
      <c r="DL274" s="333"/>
      <c r="DM274" s="333"/>
      <c r="DN274" s="333"/>
      <c r="DO274" s="333"/>
      <c r="DP274" s="333"/>
      <c r="DQ274" s="333"/>
      <c r="DR274" s="333"/>
      <c r="DS274" s="333"/>
      <c r="DT274" s="333"/>
      <c r="DU274" s="375"/>
      <c r="DV274" s="375"/>
      <c r="DW274" s="375"/>
      <c r="DX274" s="375"/>
      <c r="DY274" s="375"/>
      <c r="DZ274" s="375"/>
      <c r="EA274" s="375"/>
      <c r="EB274" s="375"/>
      <c r="EC274" s="375"/>
      <c r="ED274" s="375"/>
      <c r="EE274" s="375"/>
      <c r="EF274" s="375"/>
      <c r="EG274" s="375"/>
      <c r="EH274" s="375"/>
      <c r="EI274" s="375"/>
      <c r="EJ274" s="373"/>
      <c r="EK274" s="373"/>
      <c r="EL274" s="366"/>
      <c r="EM274" s="369"/>
      <c r="EN274" s="364"/>
      <c r="EO274" s="363"/>
      <c r="EP274" s="340"/>
      <c r="EQ274" s="340"/>
      <c r="ER274" s="340"/>
      <c r="ES274" s="363"/>
      <c r="ET274" s="363"/>
      <c r="EU274" s="340"/>
      <c r="EV274" s="340"/>
      <c r="EW274" s="340"/>
      <c r="EX274" s="340"/>
      <c r="EY274" s="340"/>
      <c r="EZ274" s="340"/>
      <c r="FA274" s="340"/>
      <c r="FB274" s="402"/>
      <c r="FC274" s="402"/>
      <c r="FD274" s="340"/>
      <c r="FE274" s="340"/>
      <c r="FF274" s="340"/>
      <c r="FG274" s="364"/>
      <c r="FH274" s="364"/>
      <c r="FI274" s="363"/>
      <c r="FJ274" s="360"/>
      <c r="FK274" s="360"/>
      <c r="FL274" s="340"/>
      <c r="FM274" s="967"/>
      <c r="FN274" s="967"/>
      <c r="FO274" s="967"/>
      <c r="FP274" s="968"/>
      <c r="FQ274" s="968"/>
      <c r="FR274" s="968"/>
      <c r="FS274" s="968"/>
      <c r="FT274" s="968"/>
      <c r="FU274" s="968"/>
      <c r="FV274" s="968"/>
      <c r="FW274" s="968"/>
      <c r="FX274" s="968"/>
      <c r="FY274" s="341"/>
      <c r="FZ274" s="341"/>
      <c r="GA274" s="341"/>
      <c r="GB274" s="495">
        <v>0</v>
      </c>
      <c r="GC274" s="495">
        <v>0</v>
      </c>
      <c r="GD274" s="500"/>
      <c r="GE274" s="495">
        <v>0</v>
      </c>
      <c r="GF274" s="495">
        <v>0</v>
      </c>
      <c r="GG274" s="495">
        <v>0</v>
      </c>
      <c r="GH274" s="359"/>
      <c r="GI274" s="359"/>
      <c r="GJ274" s="501"/>
      <c r="GK274" s="495">
        <v>0</v>
      </c>
      <c r="GL274" s="495">
        <v>0</v>
      </c>
      <c r="GM274" s="495">
        <v>0</v>
      </c>
      <c r="GN274" s="359"/>
      <c r="GO274" s="359"/>
      <c r="GP274" s="501"/>
      <c r="GQ274" s="495">
        <v>0</v>
      </c>
      <c r="GR274" s="375"/>
      <c r="GS274" s="333"/>
      <c r="GT274" s="333"/>
      <c r="GU274" s="333"/>
      <c r="GV274" s="333"/>
      <c r="GW274" s="333"/>
      <c r="GX274" s="333"/>
      <c r="GY274" s="333"/>
      <c r="GZ274" s="333"/>
      <c r="HA274" s="333"/>
      <c r="HB274" s="333"/>
      <c r="HC274" s="333"/>
      <c r="HD274" s="333"/>
      <c r="HE274" s="333"/>
      <c r="HF274" s="333"/>
      <c r="HG274" s="331"/>
      <c r="HH274" s="331"/>
      <c r="HI274" s="331"/>
      <c r="HJ274" s="331"/>
      <c r="HK274" s="331"/>
      <c r="HL274" s="331"/>
      <c r="HM274" s="331"/>
      <c r="HN274" s="333"/>
      <c r="HO274" s="333"/>
      <c r="HP274" s="333"/>
      <c r="HQ274" s="333"/>
      <c r="HR274" s="333"/>
      <c r="HS274" s="333"/>
      <c r="HT274" s="333"/>
      <c r="HU274" s="333"/>
      <c r="HV274" s="333"/>
      <c r="HW274" s="333"/>
      <c r="HX274" s="333"/>
      <c r="HY274" s="333"/>
      <c r="HZ274" s="333"/>
      <c r="IA274" s="333"/>
      <c r="IB274" s="333"/>
      <c r="IC274" s="333"/>
      <c r="ID274" s="55"/>
      <c r="IE274" s="47"/>
      <c r="IO274" s="51"/>
    </row>
    <row r="275" spans="13:249" s="142" customFormat="1" ht="15" customHeight="1">
      <c r="M275" s="333"/>
      <c r="N275" s="333"/>
      <c r="O275" s="333"/>
      <c r="P275" s="333"/>
      <c r="Q275" s="333"/>
      <c r="R275" s="333"/>
      <c r="S275" s="333"/>
      <c r="T275" s="333"/>
      <c r="U275" s="333"/>
      <c r="V275" s="333"/>
      <c r="W275" s="333"/>
      <c r="X275" s="333"/>
      <c r="Y275" s="333"/>
      <c r="Z275" s="333"/>
      <c r="AA275" s="333"/>
      <c r="AB275" s="333"/>
      <c r="AC275" s="333"/>
      <c r="AD275" s="333"/>
      <c r="AE275" s="333"/>
      <c r="AF275" s="333"/>
      <c r="AG275" s="333"/>
      <c r="AH275" s="333"/>
      <c r="AI275" s="333"/>
      <c r="AJ275" s="333"/>
      <c r="AK275" s="333"/>
      <c r="AL275" s="333"/>
      <c r="AM275" s="333"/>
      <c r="AN275" s="333"/>
      <c r="AO275" s="333"/>
      <c r="AP275" s="333"/>
      <c r="AQ275" s="333"/>
      <c r="AR275" s="333"/>
      <c r="AS275" s="333"/>
      <c r="AT275" s="333"/>
      <c r="AU275" s="333"/>
      <c r="AV275" s="333"/>
      <c r="AW275" s="333"/>
      <c r="AX275" s="333"/>
      <c r="AY275" s="333"/>
      <c r="AZ275" s="333"/>
      <c r="BA275" s="333"/>
      <c r="BB275" s="333"/>
      <c r="BC275" s="333"/>
      <c r="BD275" s="333"/>
      <c r="BE275" s="333"/>
      <c r="BF275" s="333"/>
      <c r="BG275" s="333"/>
      <c r="BH275" s="333"/>
      <c r="BI275" s="333"/>
      <c r="BJ275" s="333"/>
      <c r="BK275" s="333"/>
      <c r="BL275" s="333"/>
      <c r="BM275" s="333"/>
      <c r="BN275" s="333"/>
      <c r="BO275" s="333"/>
      <c r="BP275" s="333"/>
      <c r="BQ275" s="333"/>
      <c r="BR275" s="333"/>
      <c r="BS275" s="333"/>
      <c r="BT275" s="333"/>
      <c r="BU275" s="333"/>
      <c r="BV275" s="333"/>
      <c r="BW275" s="333"/>
      <c r="BX275" s="333"/>
      <c r="BY275" s="333"/>
      <c r="BZ275" s="333"/>
      <c r="CA275" s="333"/>
      <c r="CB275" s="333"/>
      <c r="CC275" s="333"/>
      <c r="CD275" s="333"/>
      <c r="CE275" s="333"/>
      <c r="CF275" s="333"/>
      <c r="CG275" s="333"/>
      <c r="CH275" s="333"/>
      <c r="CI275" s="333"/>
      <c r="CJ275" s="333"/>
      <c r="CK275" s="333"/>
      <c r="CL275" s="333"/>
      <c r="CM275" s="333"/>
      <c r="CN275" s="333"/>
      <c r="CO275" s="333"/>
      <c r="CP275" s="333"/>
      <c r="CQ275" s="333"/>
      <c r="CR275" s="333"/>
      <c r="CS275" s="333"/>
      <c r="CT275" s="333"/>
      <c r="CU275" s="333"/>
      <c r="CV275" s="333"/>
      <c r="CW275" s="333"/>
      <c r="CX275" s="333"/>
      <c r="CY275" s="333"/>
      <c r="CZ275" s="333"/>
      <c r="DA275" s="333"/>
      <c r="DB275" s="333"/>
      <c r="DC275" s="333"/>
      <c r="DD275" s="333"/>
      <c r="DE275" s="333"/>
      <c r="DF275" s="333"/>
      <c r="DG275" s="333"/>
      <c r="DH275" s="333"/>
      <c r="DI275" s="333"/>
      <c r="DJ275" s="333"/>
      <c r="DK275" s="333"/>
      <c r="DL275" s="333"/>
      <c r="DM275" s="333"/>
      <c r="DN275" s="333"/>
      <c r="DO275" s="333"/>
      <c r="DP275" s="333"/>
      <c r="DQ275" s="333"/>
      <c r="DR275" s="333"/>
      <c r="DS275" s="333"/>
      <c r="DT275" s="333"/>
      <c r="DU275" s="375"/>
      <c r="DV275" s="375"/>
      <c r="DW275" s="375"/>
      <c r="DX275" s="375"/>
      <c r="DY275" s="375"/>
      <c r="DZ275" s="375"/>
      <c r="EA275" s="375"/>
      <c r="EB275" s="375"/>
      <c r="EC275" s="375"/>
      <c r="ED275" s="375"/>
      <c r="EE275" s="375"/>
      <c r="EF275" s="375"/>
      <c r="EG275" s="375"/>
      <c r="EH275" s="375"/>
      <c r="EI275" s="375"/>
      <c r="EJ275" s="373"/>
      <c r="EK275" s="373"/>
      <c r="EL275" s="366"/>
      <c r="EM275" s="366"/>
      <c r="EN275" s="364">
        <f>+EN269+1</f>
        <v>38</v>
      </c>
      <c r="EO275" s="356" t="str">
        <f>+VLOOKUP(EN275, PRECIOS_EJERCICIOS,  2,FALSE)</f>
        <v/>
      </c>
      <c r="EP275" s="513" t="str">
        <f>+IF($AQ$49 = FALSE, "",
IF(VLOOKUP(EO275, basesCantPrimaBrutoRes, 2,FALSE) &gt;= 0, VLOOKUP(EO275, basesCantPrimaBrutoRes, 2,FALSE), 0))</f>
        <v/>
      </c>
      <c r="EQ275" s="514" t="str">
        <f>+IF($AQ$49 = FALSE, "",
IF(VLOOKUP(EO275, basesCantPrimaBrutoRes, 2,FALSE) &lt; 0, -VLOOKUP(EO275, basesCantPrimaBrutoRes, 2,FALSE), 0))</f>
        <v/>
      </c>
      <c r="ER275" s="521" t="str">
        <f>IF($AQ$49 = FALSE, "",
VLOOKUP(EO275, basesCantPrimaBrutoRes, 4,FALSE))</f>
        <v/>
      </c>
      <c r="ES275" s="926">
        <f>IF(ER275 = "", 0,
IF(AND(EP275 &gt; 0, EQ275 &gt;0), 0, IF(EO275 &lt;&gt; $Z$1,
IF(AND(EP275 &lt;&gt; "", EP275 &lt;&gt; 0), -(EP275 * ER275 * 100),
IF(AND(EQ275 &lt;&gt; "", EQ275 &lt;&gt; 0), (EQ275 * ER275 * 100), 0)),
IF(AND(EP275 &lt;&gt; "", EP275 &lt;&gt; 0), -(EP275 * ER275 * 1),
IF(AND(EQ275 &lt;&gt; "", EQ275 &lt;&gt; 0), (EQ275 * ER275 * 1), 0))  )))</f>
        <v>0</v>
      </c>
      <c r="ET275" s="927"/>
      <c r="EU275" s="928"/>
      <c r="EV275" s="926">
        <f>IF(ER275 = "", 0,
IF(AND(EP275 &gt; 0, EQ275 &gt;0), 0,  IF(EO275 &lt;&gt; $Z$1,
IF(AND(EP275 &lt;&gt; "", EP275 &lt;&gt; 0), -(EP275 * ER275 * 100 * (1 + COMIS_OPCION)),
IF(AND(EQ275 &lt;&gt; "", EQ275 &lt;&gt; 0), (EQ275 * ER275 * 100 * (1 - COMIS_OPCION)), 0)),
IF(AND(EP275 &lt;&gt; "", EP275 &lt;&gt; 0), -(EP275 * ER275 * 1 * (1 + COMIS_ACCION)),
IF(AND(EQ275 &lt;&gt; "", EQ275 &lt;&gt; 0), (EQ275 * ER275 * 1 * (1 - COMIS_ACCION)), 0))  )))</f>
        <v>0</v>
      </c>
      <c r="EW275" s="927"/>
      <c r="EX275" s="927"/>
      <c r="EY275" s="927"/>
      <c r="EZ275" s="927"/>
      <c r="FA275" s="927"/>
      <c r="FB275" s="927"/>
      <c r="FC275" s="927"/>
      <c r="FD275" s="929"/>
      <c r="FE275" s="340"/>
      <c r="FF275" s="340"/>
      <c r="FG275" s="364"/>
      <c r="FH275" s="364">
        <f>+FH269+1</f>
        <v>38</v>
      </c>
      <c r="FI275" s="357" t="str">
        <f>+VLOOKUP(FH275, PRECIOS_EJERCICIOS,  2,FALSE)</f>
        <v/>
      </c>
      <c r="FJ275" s="515" t="str">
        <f>+IF($AQ$49 = FALSE, "",
IF(VLOOKUP(EO275, basesCantPrimaBrutoRes, 5,FALSE) &gt;= 0, VLOOKUP(EO275, basesCantPrimaBrutoRes, 5,FALSE), 0))</f>
        <v/>
      </c>
      <c r="FK275" s="516" t="str">
        <f>+IF($AQ$49 = FALSE, "",
IF(VLOOKUP(EO275, basesCantPrimaBrutoRes, 5,FALSE) &lt; 0, -VLOOKUP(EO275, basesCantPrimaBrutoRes, 5,FALSE), 0))</f>
        <v/>
      </c>
      <c r="FL275" s="517" t="str">
        <f>IF($AQ$49 = FALSE, "",
VLOOKUP(EO275, basesCantPrimaBrutoRes, 7,FALSE))</f>
        <v/>
      </c>
      <c r="FM275" s="934">
        <f>IF(FL275 = "", 0,
IF(AND(FJ275 &gt; 0, FK275 &gt;0), 0,
IF(AND(FJ275 &lt;&gt; "", FJ275 &lt;&gt; 0), -(FJ275 * FL275 * 100),
IF(AND(FK275 &lt;&gt; "", FK275 &lt;&gt; 0), (FK275 * FL275 * 100), 0)) ))</f>
        <v>0</v>
      </c>
      <c r="FN275" s="935"/>
      <c r="FO275" s="936"/>
      <c r="FP275" s="934">
        <f>IF(FL275 = "", 0,
IF(AND(FJ275 &gt; 0, FK275 &gt;0), 0,
IF(AND(FJ275 &lt;&gt; "", FJ275 &lt;&gt; 0), -(FJ275 * FL275 * 100 * (1 + COMIS_OPCION)),
IF(AND(FK275 &lt;&gt; "", FK275 &lt;&gt; 0), (FK275 * FL275 * 100 * (1 - COMIS_OPCION)), 0)) ))</f>
        <v>0</v>
      </c>
      <c r="FQ275" s="935"/>
      <c r="FR275" s="935"/>
      <c r="FS275" s="935"/>
      <c r="FT275" s="935"/>
      <c r="FU275" s="935"/>
      <c r="FV275" s="935"/>
      <c r="FW275" s="935"/>
      <c r="FX275" s="966"/>
      <c r="FY275" s="341"/>
      <c r="FZ275" s="341"/>
      <c r="GA275" s="341"/>
      <c r="GB275" s="495" t="str">
        <f>+IF(EN275 = "", "", EO275)</f>
        <v/>
      </c>
      <c r="GC275" s="495" t="str">
        <f>+IF(GB275="", "", IF(EO275 = $Z$1, "ACCION", "CALL"))</f>
        <v/>
      </c>
      <c r="GD275" s="500"/>
      <c r="GE275" s="495" t="str">
        <f>+IF(GB275= "", "", EO277)</f>
        <v/>
      </c>
      <c r="GF275" s="495" t="str">
        <f>+IF(GB275 = "", "", IFERROR(IF(GB275 &lt;&gt; $Z$1,
IF(GE275 &gt; 0, SUMIFS(ES275:ES279, EP275:EP279, "&gt;0", ES275:ES279, "&lt;&gt;0") / SUMIFS(EP275:EP279, EP275:EP279, "&gt;0", ES275:ES279, "&lt;&gt;0") / -100,
IF(GE275 &lt; 0, SUMIFS(ES275:ES279, EQ275:EQ279, "&gt;0", ES275:ES279, "&lt;&gt;0") / SUMIFS(EQ275:EQ279, EQ275:EQ279, "&gt;0", ES275:ES279, "&lt;&gt;0") / 100, 0)),
IF(GE275 &gt; 0, SUMIFS(ES275:ES279, EP275:EP279, "&gt;0", ES275:ES279, "&lt;&gt;0") / SUMIFS(EP275:EP279, EP275:EP279, "&gt;0", ES275:ES279, "&lt;&gt;0") / -1,
IF(GE275 &lt; 0, SUMIFS(ES275:ES279, EQ275:EQ279, "&gt;0", ES275:ES279, "&lt;&gt;0") / SUMIFS(EQ275:EQ279, EQ275:EQ279, "&gt;0", ES275:ES279, "&lt;&gt;0") / 1, 0)) ), 0))</f>
        <v/>
      </c>
      <c r="GG275" s="495" t="str">
        <f>+IF(GB275 = "", "", IFERROR(IF(GB275 &lt;&gt; $Z$1,
IF(GE275 &gt; 0, SUMIFS(EV275:EV279, EP275:EP279, "&gt;0", EV275:EV279, "&lt;&gt;0") / SUMIFS(EP275:EP279, EP275:EP279, "&gt;0", EV275:EV279, "&lt;&gt;0") / -100,
IF(GE275 &lt; 0, SUMIFS(EV275:EV279, EQ275:EQ279, "&gt;0", EV275:EV279, "&lt;&gt;0") / SUMIFS(EQ275:EQ279, EQ275:EQ279, "&gt;0", EV275:EV279, "&lt;&gt;0") / 100, 0)),
IF(GE275 &gt; 0, SUMIFS(EV275:EV279, EP275:EP279, "&gt;0", EV275:EV279, "&lt;&gt;0") / SUMIFS(EP275:EP279, EP275:EP279, "&gt;0", EV275:EV279, "&lt;&gt;0") / -1,
IF(GE275 &lt; 0, SUMIFS(EV275:EV279, EQ275:EQ279, "&gt;0", EV275:EV279, "&lt;&gt;0") / SUMIFS(EQ275:EQ279, EQ275:EQ279, "&gt;0", EV275:EV279, "&lt;&gt;0") / 1, 0)) ), 0))</f>
        <v/>
      </c>
      <c r="GH275" s="359"/>
      <c r="GI275" s="359"/>
      <c r="GJ275" s="501"/>
      <c r="GK275" s="495" t="str">
        <f>+IF(GB275="", "", "PUT")</f>
        <v/>
      </c>
      <c r="GL275" s="495" t="str">
        <f>+IF(GB275 = "", "", FI277)</f>
        <v/>
      </c>
      <c r="GM275" s="495" t="str">
        <f>+IF(GB275 = "", "", IFERROR(
IF(FI277 &gt; 0, SUMIFS(FM275:FM279, FJ275:FJ279, "&gt;0", FM275:FM279, "&lt;&gt;0") / SUMIFS(FJ275:FJ279, FJ275:FJ279, "&gt;0", FM275:FM279, "&lt;&gt;0") / -100,
IF(FI277 &lt; 0, SUMIFS(FM275:FM279, FK275:FK279, "&gt;0", FM275:FM279, "&lt;&gt;0") / SUMIFS(FK275:FK279, FK275:FK279, "&gt;0", FM275:FM279, "&lt;&gt;0") / 100, 0)), 0) )</f>
        <v/>
      </c>
      <c r="GN275" s="359"/>
      <c r="GO275" s="359"/>
      <c r="GP275" s="501"/>
      <c r="GQ275" s="502" t="str">
        <f>+IF(GB275 = "", "", IFERROR(
IF(FI277 &gt; 0, SUMIFS(FP275:FP279, FJ275:FJ279, "&gt;0", FP275:FP279, "&lt;&gt;0") / SUMIFS(FJ275:FJ279, FJ275:FJ279, "&gt;0", FP275:FP279, "&lt;&gt;0") / -100,
IF(FI277 &lt; 0, SUMIFS(FP275:FP279, FK275:FK279, "&gt;0", FP275:FP279, "&lt;&gt;0") / SUMIFS(FK275:FK279, FK275:FK279, "&gt;0", FP275:FP279, "&lt;&gt;0") / 100, 0)), 0))</f>
        <v/>
      </c>
      <c r="GR275" s="375"/>
      <c r="GS275" s="333"/>
      <c r="GT275" s="333"/>
      <c r="GU275" s="333"/>
      <c r="GV275" s="333"/>
      <c r="GW275" s="333"/>
      <c r="GX275" s="333"/>
      <c r="GY275" s="333"/>
      <c r="GZ275" s="333"/>
      <c r="HA275" s="333"/>
      <c r="HB275" s="333"/>
      <c r="HC275" s="333"/>
      <c r="HD275" s="333"/>
      <c r="HE275" s="333"/>
      <c r="HF275" s="333"/>
      <c r="HG275" s="331"/>
      <c r="HH275" s="331"/>
      <c r="HI275" s="331"/>
      <c r="HJ275" s="331"/>
      <c r="HK275" s="331"/>
      <c r="HL275" s="331"/>
      <c r="HM275" s="331"/>
      <c r="HN275" s="333"/>
      <c r="HO275" s="333"/>
      <c r="HP275" s="333"/>
      <c r="HQ275" s="333"/>
      <c r="HR275" s="333"/>
      <c r="HS275" s="333"/>
      <c r="HT275" s="333"/>
      <c r="HU275" s="333"/>
      <c r="HV275" s="333"/>
      <c r="HW275" s="333"/>
      <c r="HX275" s="333"/>
      <c r="HY275" s="333"/>
      <c r="HZ275" s="333"/>
      <c r="IA275" s="333"/>
      <c r="IB275" s="333"/>
      <c r="IC275" s="333"/>
      <c r="ID275" s="55"/>
      <c r="IE275" s="47"/>
      <c r="IO275" s="51"/>
    </row>
    <row r="276" spans="13:249" s="142" customFormat="1" ht="15" customHeight="1">
      <c r="M276" s="333"/>
      <c r="N276" s="333"/>
      <c r="O276" s="333"/>
      <c r="P276" s="333"/>
      <c r="Q276" s="333"/>
      <c r="R276" s="333"/>
      <c r="S276" s="333"/>
      <c r="T276" s="333"/>
      <c r="U276" s="333"/>
      <c r="V276" s="333"/>
      <c r="W276" s="333"/>
      <c r="X276" s="333"/>
      <c r="Y276" s="333"/>
      <c r="Z276" s="333"/>
      <c r="AA276" s="333"/>
      <c r="AB276" s="333"/>
      <c r="AC276" s="333"/>
      <c r="AD276" s="333"/>
      <c r="AE276" s="333"/>
      <c r="AF276" s="333"/>
      <c r="AG276" s="333"/>
      <c r="AH276" s="333"/>
      <c r="AI276" s="333"/>
      <c r="AJ276" s="333"/>
      <c r="AK276" s="333"/>
      <c r="AL276" s="333"/>
      <c r="AM276" s="333"/>
      <c r="AN276" s="333"/>
      <c r="AO276" s="333"/>
      <c r="AP276" s="333"/>
      <c r="AQ276" s="333"/>
      <c r="AR276" s="333"/>
      <c r="AS276" s="333"/>
      <c r="AT276" s="333"/>
      <c r="AU276" s="333"/>
      <c r="AV276" s="333"/>
      <c r="AW276" s="333"/>
      <c r="AX276" s="333"/>
      <c r="AY276" s="333"/>
      <c r="AZ276" s="333"/>
      <c r="BA276" s="333"/>
      <c r="BB276" s="333"/>
      <c r="BC276" s="333"/>
      <c r="BD276" s="333"/>
      <c r="BE276" s="333"/>
      <c r="BF276" s="333"/>
      <c r="BG276" s="333"/>
      <c r="BH276" s="333"/>
      <c r="BI276" s="333"/>
      <c r="BJ276" s="333"/>
      <c r="BK276" s="333"/>
      <c r="BL276" s="333"/>
      <c r="BM276" s="333"/>
      <c r="BN276" s="333"/>
      <c r="BO276" s="333"/>
      <c r="BP276" s="333"/>
      <c r="BQ276" s="333"/>
      <c r="BR276" s="333"/>
      <c r="BS276" s="333"/>
      <c r="BT276" s="333"/>
      <c r="BU276" s="333"/>
      <c r="BV276" s="333"/>
      <c r="BW276" s="333"/>
      <c r="BX276" s="333"/>
      <c r="BY276" s="333"/>
      <c r="BZ276" s="333"/>
      <c r="CA276" s="333"/>
      <c r="CB276" s="333"/>
      <c r="CC276" s="333"/>
      <c r="CD276" s="333"/>
      <c r="CE276" s="333"/>
      <c r="CF276" s="333"/>
      <c r="CG276" s="333"/>
      <c r="CH276" s="333"/>
      <c r="CI276" s="333"/>
      <c r="CJ276" s="333"/>
      <c r="CK276" s="333"/>
      <c r="CL276" s="333"/>
      <c r="CM276" s="333"/>
      <c r="CN276" s="333"/>
      <c r="CO276" s="333"/>
      <c r="CP276" s="333"/>
      <c r="CQ276" s="333"/>
      <c r="CR276" s="333"/>
      <c r="CS276" s="333"/>
      <c r="CT276" s="333"/>
      <c r="CU276" s="333"/>
      <c r="CV276" s="333"/>
      <c r="CW276" s="333"/>
      <c r="CX276" s="333"/>
      <c r="CY276" s="333"/>
      <c r="CZ276" s="333"/>
      <c r="DA276" s="333"/>
      <c r="DB276" s="333"/>
      <c r="DC276" s="333"/>
      <c r="DD276" s="333"/>
      <c r="DE276" s="333"/>
      <c r="DF276" s="333"/>
      <c r="DG276" s="333"/>
      <c r="DH276" s="333"/>
      <c r="DI276" s="333"/>
      <c r="DJ276" s="333"/>
      <c r="DK276" s="333"/>
      <c r="DL276" s="333"/>
      <c r="DM276" s="333"/>
      <c r="DN276" s="333"/>
      <c r="DO276" s="333"/>
      <c r="DP276" s="333"/>
      <c r="DQ276" s="333"/>
      <c r="DR276" s="333"/>
      <c r="DS276" s="333"/>
      <c r="DT276" s="333"/>
      <c r="DU276" s="375"/>
      <c r="DV276" s="375"/>
      <c r="DW276" s="375"/>
      <c r="DX276" s="375"/>
      <c r="DY276" s="375"/>
      <c r="DZ276" s="375"/>
      <c r="EA276" s="375"/>
      <c r="EB276" s="375"/>
      <c r="EC276" s="375"/>
      <c r="ED276" s="375"/>
      <c r="EE276" s="375"/>
      <c r="EF276" s="375"/>
      <c r="EG276" s="375"/>
      <c r="EH276" s="375"/>
      <c r="EI276" s="375"/>
      <c r="EJ276" s="373"/>
      <c r="EK276" s="373"/>
      <c r="EL276" s="366"/>
      <c r="EM276" s="366"/>
      <c r="EN276" s="364"/>
      <c r="EO276" s="351"/>
      <c r="EP276" s="347"/>
      <c r="EQ276" s="342"/>
      <c r="ER276" s="522"/>
      <c r="ES276" s="916">
        <f>IF(ER276 = "", 0,
IF(AND(EP276 &gt; 0, EQ276 &gt;0), 0, IF(EO275 &lt;&gt; $Z$1,
IF(AND(EP276 &lt;&gt; "", EP276 &lt;&gt; 0), -(EP276 * ER276 * 100),
IF(AND(EQ276 &lt;&gt; "", EQ276 &lt;&gt; 0), (EQ276 * ER276 * 100), 0)),
IF(AND(EP276 &lt;&gt; "", EP276 &lt;&gt; 0), -(EP276 * ER276 * 1),
IF(AND(EQ276 &lt;&gt; "", EQ276 &lt;&gt; 0), (EQ276 * ER276 * 1), 0))  )))</f>
        <v>0</v>
      </c>
      <c r="ET276" s="917"/>
      <c r="EU276" s="918"/>
      <c r="EV276" s="916">
        <f>IF(ER276 = "", 0,
IF(AND(EP276 &gt; 0, EQ276 &gt;0), 0,  IF(EO275 &lt;&gt; $Z$1,
IF(AND(EP276 &lt;&gt; "", EP276 &lt;&gt; 0), -(EP276 * ER276 * 100 * (1 + COMIS_OPCION)),
IF(AND(EQ276 &lt;&gt; "", EQ276 &lt;&gt; 0), (EQ276 * ER276 * 100 * (1 - COMIS_OPCION)), 0)),
IF(AND(EP276 &lt;&gt; "", EP276 &lt;&gt; 0), -(EP276 * ER276 * 1 * (1 + COMIS_ACCION)),
IF(AND(EQ276 &lt;&gt; "", EQ276 &lt;&gt; 0), (EQ276 * ER276 * 1 * (1 - COMIS_ACCION)), 0))  )))</f>
        <v>0</v>
      </c>
      <c r="EW276" s="917"/>
      <c r="EX276" s="917"/>
      <c r="EY276" s="917"/>
      <c r="EZ276" s="917"/>
      <c r="FA276" s="917"/>
      <c r="FB276" s="917"/>
      <c r="FC276" s="917"/>
      <c r="FD276" s="925"/>
      <c r="FE276" s="340"/>
      <c r="FF276" s="340"/>
      <c r="FG276" s="364"/>
      <c r="FH276" s="364"/>
      <c r="FI276" s="339"/>
      <c r="FJ276" s="347"/>
      <c r="FK276" s="342"/>
      <c r="FL276" s="343"/>
      <c r="FM276" s="930">
        <f>IF(FL276 = "", 0,
IF(AND(FJ276 &gt; 0, FK276 &gt;0), 0,
IF(AND(FJ276 &lt;&gt; "", FJ276 &lt;&gt; 0), -(FJ276 * FL276 * 100),
IF(AND(FK276 &lt;&gt; "", FK276 &lt;&gt; 0), (FK276 * FL276 * 100), 0)) ))</f>
        <v>0</v>
      </c>
      <c r="FN276" s="931"/>
      <c r="FO276" s="932"/>
      <c r="FP276" s="930">
        <f>IF(FL276 = "", 0,
IF(AND(FJ276 &gt; 0, FK276 &gt;0), 0,
IF(AND(FJ276 &lt;&gt; "", FJ276 &lt;&gt; 0), -(FJ276 * FL276 * 100 * (1 + COMIS_OPCION)),
IF(AND(FK276 &lt;&gt; "", FK276 &lt;&gt; 0), (FK276 * FL276 * 100 * (1 - COMIS_OPCION)), 0)) ))</f>
        <v>0</v>
      </c>
      <c r="FQ276" s="931"/>
      <c r="FR276" s="931"/>
      <c r="FS276" s="931"/>
      <c r="FT276" s="931"/>
      <c r="FU276" s="931"/>
      <c r="FV276" s="931"/>
      <c r="FW276" s="931"/>
      <c r="FX276" s="933"/>
      <c r="FY276" s="341"/>
      <c r="FZ276" s="341"/>
      <c r="GA276" s="341"/>
      <c r="GB276" s="495">
        <v>0</v>
      </c>
      <c r="GC276" s="495">
        <v>0</v>
      </c>
      <c r="GD276" s="500"/>
      <c r="GE276" s="495">
        <v>0</v>
      </c>
      <c r="GF276" s="495">
        <v>0</v>
      </c>
      <c r="GG276" s="495">
        <v>0</v>
      </c>
      <c r="GH276" s="359"/>
      <c r="GI276" s="359"/>
      <c r="GJ276" s="501"/>
      <c r="GK276" s="495">
        <v>0</v>
      </c>
      <c r="GL276" s="495">
        <v>0</v>
      </c>
      <c r="GM276" s="495">
        <v>0</v>
      </c>
      <c r="GN276" s="359"/>
      <c r="GO276" s="359"/>
      <c r="GP276" s="501"/>
      <c r="GQ276" s="495">
        <v>0</v>
      </c>
      <c r="GR276" s="375"/>
      <c r="GS276" s="333"/>
      <c r="GT276" s="333"/>
      <c r="GU276" s="333"/>
      <c r="GV276" s="333"/>
      <c r="GW276" s="333"/>
      <c r="GX276" s="333"/>
      <c r="GY276" s="333"/>
      <c r="GZ276" s="333"/>
      <c r="HA276" s="333"/>
      <c r="HB276" s="333"/>
      <c r="HC276" s="333"/>
      <c r="HD276" s="333"/>
      <c r="HE276" s="333"/>
      <c r="HF276" s="333"/>
      <c r="HG276" s="331"/>
      <c r="HH276" s="331"/>
      <c r="HI276" s="331"/>
      <c r="HJ276" s="331"/>
      <c r="HK276" s="331"/>
      <c r="HL276" s="331"/>
      <c r="HM276" s="331"/>
      <c r="HN276" s="333"/>
      <c r="HO276" s="333"/>
      <c r="HP276" s="333"/>
      <c r="HQ276" s="333"/>
      <c r="HR276" s="333"/>
      <c r="HS276" s="333"/>
      <c r="HT276" s="333"/>
      <c r="HU276" s="333"/>
      <c r="HV276" s="333"/>
      <c r="HW276" s="333"/>
      <c r="HX276" s="333"/>
      <c r="HY276" s="333"/>
      <c r="HZ276" s="333"/>
      <c r="IA276" s="333"/>
      <c r="IB276" s="333"/>
      <c r="IC276" s="333"/>
      <c r="ID276" s="55"/>
      <c r="IE276" s="47"/>
      <c r="IO276" s="51"/>
    </row>
    <row r="277" spans="13:249" s="142" customFormat="1" ht="15" customHeight="1">
      <c r="M277" s="333"/>
      <c r="N277" s="333"/>
      <c r="O277" s="333"/>
      <c r="P277" s="333"/>
      <c r="Q277" s="333"/>
      <c r="R277" s="333"/>
      <c r="S277" s="333"/>
      <c r="T277" s="333"/>
      <c r="U277" s="333"/>
      <c r="V277" s="333"/>
      <c r="W277" s="333"/>
      <c r="X277" s="333"/>
      <c r="Y277" s="333"/>
      <c r="Z277" s="333"/>
      <c r="AA277" s="333"/>
      <c r="AB277" s="333"/>
      <c r="AC277" s="333"/>
      <c r="AD277" s="333"/>
      <c r="AE277" s="333"/>
      <c r="AF277" s="333"/>
      <c r="AG277" s="333"/>
      <c r="AH277" s="333"/>
      <c r="AI277" s="333"/>
      <c r="AJ277" s="333"/>
      <c r="AK277" s="333"/>
      <c r="AL277" s="333"/>
      <c r="AM277" s="333"/>
      <c r="AN277" s="333"/>
      <c r="AO277" s="333"/>
      <c r="AP277" s="333"/>
      <c r="AQ277" s="333"/>
      <c r="AR277" s="333"/>
      <c r="AS277" s="333"/>
      <c r="AT277" s="333"/>
      <c r="AU277" s="333"/>
      <c r="AV277" s="333"/>
      <c r="AW277" s="333"/>
      <c r="AX277" s="333"/>
      <c r="AY277" s="333"/>
      <c r="AZ277" s="333"/>
      <c r="BA277" s="333"/>
      <c r="BB277" s="333"/>
      <c r="BC277" s="333"/>
      <c r="BD277" s="333"/>
      <c r="BE277" s="333"/>
      <c r="BF277" s="333"/>
      <c r="BG277" s="333"/>
      <c r="BH277" s="333"/>
      <c r="BI277" s="333"/>
      <c r="BJ277" s="333"/>
      <c r="BK277" s="333"/>
      <c r="BL277" s="333"/>
      <c r="BM277" s="333"/>
      <c r="BN277" s="333"/>
      <c r="BO277" s="333"/>
      <c r="BP277" s="333"/>
      <c r="BQ277" s="333"/>
      <c r="BR277" s="333"/>
      <c r="BS277" s="333"/>
      <c r="BT277" s="333"/>
      <c r="BU277" s="333"/>
      <c r="BV277" s="333"/>
      <c r="BW277" s="333"/>
      <c r="BX277" s="333"/>
      <c r="BY277" s="333"/>
      <c r="BZ277" s="333"/>
      <c r="CA277" s="333"/>
      <c r="CB277" s="333"/>
      <c r="CC277" s="333"/>
      <c r="CD277" s="333"/>
      <c r="CE277" s="333"/>
      <c r="CF277" s="333"/>
      <c r="CG277" s="333"/>
      <c r="CH277" s="333"/>
      <c r="CI277" s="333"/>
      <c r="CJ277" s="333"/>
      <c r="CK277" s="333"/>
      <c r="CL277" s="333"/>
      <c r="CM277" s="333"/>
      <c r="CN277" s="333"/>
      <c r="CO277" s="333"/>
      <c r="CP277" s="333"/>
      <c r="CQ277" s="333"/>
      <c r="CR277" s="333"/>
      <c r="CS277" s="333"/>
      <c r="CT277" s="333"/>
      <c r="CU277" s="333"/>
      <c r="CV277" s="333"/>
      <c r="CW277" s="333"/>
      <c r="CX277" s="333"/>
      <c r="CY277" s="333"/>
      <c r="CZ277" s="333"/>
      <c r="DA277" s="333"/>
      <c r="DB277" s="333"/>
      <c r="DC277" s="333"/>
      <c r="DD277" s="333"/>
      <c r="DE277" s="333"/>
      <c r="DF277" s="333"/>
      <c r="DG277" s="333"/>
      <c r="DH277" s="333"/>
      <c r="DI277" s="333"/>
      <c r="DJ277" s="333"/>
      <c r="DK277" s="333"/>
      <c r="DL277" s="333"/>
      <c r="DM277" s="333"/>
      <c r="DN277" s="333"/>
      <c r="DO277" s="333"/>
      <c r="DP277" s="333"/>
      <c r="DQ277" s="333"/>
      <c r="DR277" s="333"/>
      <c r="DS277" s="333"/>
      <c r="DT277" s="333"/>
      <c r="DU277" s="375"/>
      <c r="DV277" s="375"/>
      <c r="DW277" s="375"/>
      <c r="DX277" s="375"/>
      <c r="DY277" s="375"/>
      <c r="DZ277" s="375"/>
      <c r="EA277" s="375"/>
      <c r="EB277" s="375"/>
      <c r="EC277" s="375"/>
      <c r="ED277" s="375"/>
      <c r="EE277" s="375"/>
      <c r="EF277" s="375"/>
      <c r="EG277" s="375"/>
      <c r="EH277" s="375"/>
      <c r="EI277" s="375"/>
      <c r="EJ277" s="373"/>
      <c r="EK277" s="373"/>
      <c r="EL277" s="366"/>
      <c r="EM277" s="368"/>
      <c r="EN277" s="364"/>
      <c r="EO277" s="352">
        <f>+SUM(EP275:EP279) - SUM(EQ275:EQ279)</f>
        <v>0</v>
      </c>
      <c r="EP277" s="347"/>
      <c r="EQ277" s="342"/>
      <c r="ER277" s="522"/>
      <c r="ES277" s="916">
        <f>IF(ER277 = "", 0,
IF(AND(EP277 &gt; 0, EQ277 &gt;0), 0, IF(EO275 &lt;&gt; $Z$1,
IF(AND(EP277 &lt;&gt; "", EP277 &lt;&gt; 0), -(EP277 * ER277 * 100),
IF(AND(EQ277 &lt;&gt; "", EQ277 &lt;&gt; 0), (EQ277 * ER277 * 100), 0)),
IF(AND(EP277 &lt;&gt; "", EP277 &lt;&gt; 0), -(EP277 * ER277 * 1),
IF(AND(EQ277 &lt;&gt; "", EQ277 &lt;&gt; 0), (EQ277 * ER277 * 1), 0))  )))</f>
        <v>0</v>
      </c>
      <c r="ET277" s="917"/>
      <c r="EU277" s="918"/>
      <c r="EV277" s="916">
        <f>IF(ER277 = "", 0,
IF(AND(EP277 &gt; 0, EQ277 &gt;0), 0,  IF(EO275 &lt;&gt; $Z$1,
IF(AND(EP277 &lt;&gt; "", EP277 &lt;&gt; 0), -(EP277 * ER277 * 100 * (1 + COMIS_OPCION)),
IF(AND(EQ277 &lt;&gt; "", EQ277 &lt;&gt; 0), (EQ277 * ER277 * 100 * (1 - COMIS_OPCION)), 0)),
IF(AND(EP277 &lt;&gt; "", EP277 &lt;&gt; 0), -(EP277 * ER277 * 1 * (1 + COMIS_ACCION)),
IF(AND(EQ277 &lt;&gt; "", EQ277 &lt;&gt; 0), (EQ277 * ER277 * 1 * (1 - COMIS_ACCION)), 0))  )))</f>
        <v>0</v>
      </c>
      <c r="EW277" s="917"/>
      <c r="EX277" s="917"/>
      <c r="EY277" s="917"/>
      <c r="EZ277" s="917"/>
      <c r="FA277" s="917"/>
      <c r="FB277" s="917"/>
      <c r="FC277" s="917"/>
      <c r="FD277" s="925"/>
      <c r="FE277" s="340"/>
      <c r="FF277" s="340"/>
      <c r="FG277" s="365"/>
      <c r="FH277" s="365"/>
      <c r="FI277" s="354">
        <f>+SUM(FJ275:FJ279) - SUM(FK275:FK279)</f>
        <v>0</v>
      </c>
      <c r="FJ277" s="347"/>
      <c r="FK277" s="342"/>
      <c r="FL277" s="343"/>
      <c r="FM277" s="930">
        <f>IF(FL277 = "", 0,
IF(AND(FJ277 &gt; 0, FK277 &gt;0), 0,
IF(AND(FJ277 &lt;&gt; "", FJ277 &lt;&gt; 0), -(FJ277 * FL277 * 100),
IF(AND(FK277 &lt;&gt; "", FK277 &lt;&gt; 0), (FK277 * FL277 * 100), 0)) ))</f>
        <v>0</v>
      </c>
      <c r="FN277" s="931"/>
      <c r="FO277" s="932"/>
      <c r="FP277" s="930">
        <f>IF(FL277 = "", 0,
IF(AND(FJ277 &gt; 0, FK277 &gt;0), 0,
IF(AND(FJ277 &lt;&gt; "", FJ277 &lt;&gt; 0), -(FJ277 * FL277 * 100 * (1 + COMIS_OPCION)),
IF(AND(FK277 &lt;&gt; "", FK277 &lt;&gt; 0), (FK277 * FL277 * 100 * (1 - COMIS_OPCION)), 0)) ))</f>
        <v>0</v>
      </c>
      <c r="FQ277" s="931"/>
      <c r="FR277" s="931"/>
      <c r="FS277" s="931"/>
      <c r="FT277" s="931"/>
      <c r="FU277" s="931"/>
      <c r="FV277" s="931"/>
      <c r="FW277" s="931"/>
      <c r="FX277" s="933"/>
      <c r="FY277" s="341"/>
      <c r="FZ277" s="341"/>
      <c r="GA277" s="341"/>
      <c r="GB277" s="495">
        <v>0</v>
      </c>
      <c r="GC277" s="495">
        <v>0</v>
      </c>
      <c r="GD277" s="500"/>
      <c r="GE277" s="495">
        <v>0</v>
      </c>
      <c r="GF277" s="495">
        <v>0</v>
      </c>
      <c r="GG277" s="495">
        <v>0</v>
      </c>
      <c r="GH277" s="359"/>
      <c r="GI277" s="359"/>
      <c r="GJ277" s="501"/>
      <c r="GK277" s="495">
        <v>0</v>
      </c>
      <c r="GL277" s="495">
        <v>0</v>
      </c>
      <c r="GM277" s="495">
        <v>0</v>
      </c>
      <c r="GN277" s="359"/>
      <c r="GO277" s="359"/>
      <c r="GP277" s="501"/>
      <c r="GQ277" s="495">
        <v>0</v>
      </c>
      <c r="GR277" s="375"/>
      <c r="GS277" s="333"/>
      <c r="GT277" s="333"/>
      <c r="GU277" s="333"/>
      <c r="GV277" s="333"/>
      <c r="GW277" s="333"/>
      <c r="GX277" s="333"/>
      <c r="GY277" s="333"/>
      <c r="GZ277" s="333"/>
      <c r="HA277" s="333"/>
      <c r="HB277" s="333"/>
      <c r="HC277" s="333"/>
      <c r="HD277" s="333"/>
      <c r="HE277" s="333"/>
      <c r="HF277" s="333"/>
      <c r="HG277" s="331"/>
      <c r="HH277" s="331"/>
      <c r="HI277" s="331"/>
      <c r="HJ277" s="331"/>
      <c r="HK277" s="331"/>
      <c r="HL277" s="331"/>
      <c r="HM277" s="331"/>
      <c r="HN277" s="333"/>
      <c r="HO277" s="333"/>
      <c r="HP277" s="333"/>
      <c r="HQ277" s="333"/>
      <c r="HR277" s="333"/>
      <c r="HS277" s="333"/>
      <c r="HT277" s="333"/>
      <c r="HU277" s="333"/>
      <c r="HV277" s="333"/>
      <c r="HW277" s="333"/>
      <c r="HX277" s="333"/>
      <c r="HY277" s="333"/>
      <c r="HZ277" s="333"/>
      <c r="IA277" s="333"/>
      <c r="IB277" s="333"/>
      <c r="IC277" s="333"/>
      <c r="ID277" s="55"/>
      <c r="IE277" s="47"/>
      <c r="IO277" s="51"/>
    </row>
    <row r="278" spans="13:249" s="142" customFormat="1" ht="15" customHeight="1">
      <c r="M278" s="333"/>
      <c r="N278" s="333"/>
      <c r="O278" s="333"/>
      <c r="P278" s="333"/>
      <c r="Q278" s="333"/>
      <c r="R278" s="333"/>
      <c r="S278" s="333"/>
      <c r="T278" s="333"/>
      <c r="U278" s="333"/>
      <c r="V278" s="333"/>
      <c r="W278" s="333"/>
      <c r="X278" s="333"/>
      <c r="Y278" s="333"/>
      <c r="Z278" s="333"/>
      <c r="AA278" s="333"/>
      <c r="AB278" s="333"/>
      <c r="AC278" s="333"/>
      <c r="AD278" s="333"/>
      <c r="AE278" s="333"/>
      <c r="AF278" s="333"/>
      <c r="AG278" s="333"/>
      <c r="AH278" s="333"/>
      <c r="AI278" s="333"/>
      <c r="AJ278" s="333"/>
      <c r="AK278" s="333"/>
      <c r="AL278" s="333"/>
      <c r="AM278" s="333"/>
      <c r="AN278" s="333"/>
      <c r="AO278" s="333"/>
      <c r="AP278" s="333"/>
      <c r="AQ278" s="333"/>
      <c r="AR278" s="333"/>
      <c r="AS278" s="333"/>
      <c r="AT278" s="333"/>
      <c r="AU278" s="333"/>
      <c r="AV278" s="333"/>
      <c r="AW278" s="333"/>
      <c r="AX278" s="333"/>
      <c r="AY278" s="333"/>
      <c r="AZ278" s="333"/>
      <c r="BA278" s="333"/>
      <c r="BB278" s="333"/>
      <c r="BC278" s="333"/>
      <c r="BD278" s="333"/>
      <c r="BE278" s="333"/>
      <c r="BF278" s="333"/>
      <c r="BG278" s="333"/>
      <c r="BH278" s="333"/>
      <c r="BI278" s="333"/>
      <c r="BJ278" s="333"/>
      <c r="BK278" s="333"/>
      <c r="BL278" s="333"/>
      <c r="BM278" s="333"/>
      <c r="BN278" s="333"/>
      <c r="BO278" s="333"/>
      <c r="BP278" s="333"/>
      <c r="BQ278" s="333"/>
      <c r="BR278" s="333"/>
      <c r="BS278" s="333"/>
      <c r="BT278" s="333"/>
      <c r="BU278" s="333"/>
      <c r="BV278" s="333"/>
      <c r="BW278" s="333"/>
      <c r="BX278" s="333"/>
      <c r="BY278" s="333"/>
      <c r="BZ278" s="333"/>
      <c r="CA278" s="333"/>
      <c r="CB278" s="333"/>
      <c r="CC278" s="333"/>
      <c r="CD278" s="333"/>
      <c r="CE278" s="333"/>
      <c r="CF278" s="333"/>
      <c r="CG278" s="333"/>
      <c r="CH278" s="333"/>
      <c r="CI278" s="333"/>
      <c r="CJ278" s="333"/>
      <c r="CK278" s="333"/>
      <c r="CL278" s="333"/>
      <c r="CM278" s="333"/>
      <c r="CN278" s="333"/>
      <c r="CO278" s="333"/>
      <c r="CP278" s="333"/>
      <c r="CQ278" s="333"/>
      <c r="CR278" s="333"/>
      <c r="CS278" s="333"/>
      <c r="CT278" s="333"/>
      <c r="CU278" s="333"/>
      <c r="CV278" s="333"/>
      <c r="CW278" s="333"/>
      <c r="CX278" s="333"/>
      <c r="CY278" s="333"/>
      <c r="CZ278" s="333"/>
      <c r="DA278" s="333"/>
      <c r="DB278" s="333"/>
      <c r="DC278" s="333"/>
      <c r="DD278" s="333"/>
      <c r="DE278" s="333"/>
      <c r="DF278" s="333"/>
      <c r="DG278" s="333"/>
      <c r="DH278" s="333"/>
      <c r="DI278" s="333"/>
      <c r="DJ278" s="333"/>
      <c r="DK278" s="333"/>
      <c r="DL278" s="333"/>
      <c r="DM278" s="333"/>
      <c r="DN278" s="333"/>
      <c r="DO278" s="333"/>
      <c r="DP278" s="333"/>
      <c r="DQ278" s="333"/>
      <c r="DR278" s="333"/>
      <c r="DS278" s="333"/>
      <c r="DT278" s="333"/>
      <c r="DU278" s="375"/>
      <c r="DV278" s="375"/>
      <c r="DW278" s="375"/>
      <c r="DX278" s="375"/>
      <c r="DY278" s="375"/>
      <c r="DZ278" s="375"/>
      <c r="EA278" s="375"/>
      <c r="EB278" s="375"/>
      <c r="EC278" s="375"/>
      <c r="ED278" s="375"/>
      <c r="EE278" s="375"/>
      <c r="EF278" s="375"/>
      <c r="EG278" s="375"/>
      <c r="EH278" s="375"/>
      <c r="EI278" s="375"/>
      <c r="EJ278" s="373"/>
      <c r="EK278" s="373"/>
      <c r="EL278" s="366"/>
      <c r="EM278" s="368"/>
      <c r="EN278" s="364"/>
      <c r="EO278" s="352">
        <f>IF(EO277=0, 0, SUM(EV275:FD279))</f>
        <v>0</v>
      </c>
      <c r="EP278" s="347"/>
      <c r="EQ278" s="342"/>
      <c r="ER278" s="522"/>
      <c r="ES278" s="916">
        <f>IF(ER278 = "", 0,
IF(AND(EP278 &gt; 0, EQ278 &gt;0), 0, IF(EO275 &lt;&gt; $Z$1,
IF(AND(EP278 &lt;&gt; "", EP278 &lt;&gt; 0), -(EP278 * ER278 * 100),
IF(AND(EQ278 &lt;&gt; "", EQ278 &lt;&gt; 0), (EQ278 * ER278 * 100), 0)),
IF(AND(EP278 &lt;&gt; "", EP278 &lt;&gt; 0), -(EP278 * ER278 * 1),
IF(AND(EQ278 &lt;&gt; "", EQ278 &lt;&gt; 0), (EQ278 * ER278 * 1), 0))  )))</f>
        <v>0</v>
      </c>
      <c r="ET278" s="917"/>
      <c r="EU278" s="918"/>
      <c r="EV278" s="916">
        <f>IF(ER278 = "", 0,
IF(AND(EP278 &gt; 0, EQ278 &gt;0), 0,  IF(EO275 &lt;&gt; $Z$1,
IF(AND(EP278 &lt;&gt; "", EP278 &lt;&gt; 0), -(EP278 * ER278 * 100 * (1 + COMIS_OPCION)),
IF(AND(EQ278 &lt;&gt; "", EQ278 &lt;&gt; 0), (EQ278 * ER278 * 100 * (1 - COMIS_OPCION)), 0)),
IF(AND(EP278 &lt;&gt; "", EP278 &lt;&gt; 0), -(EP278 * ER278 * 1 * (1 + COMIS_ACCION)),
IF(AND(EQ278 &lt;&gt; "", EQ278 &lt;&gt; 0), (EQ278 * ER278 * 1 * (1 - COMIS_ACCION)), 0))  )))</f>
        <v>0</v>
      </c>
      <c r="EW278" s="917"/>
      <c r="EX278" s="917"/>
      <c r="EY278" s="917"/>
      <c r="EZ278" s="917"/>
      <c r="FA278" s="917"/>
      <c r="FB278" s="917"/>
      <c r="FC278" s="917"/>
      <c r="FD278" s="925"/>
      <c r="FE278" s="340"/>
      <c r="FF278" s="340"/>
      <c r="FG278" s="365"/>
      <c r="FH278" s="365"/>
      <c r="FI278" s="354">
        <f>IF(FI277=0, 0, SUM(FP275:FX279))</f>
        <v>0</v>
      </c>
      <c r="FJ278" s="347"/>
      <c r="FK278" s="342"/>
      <c r="FL278" s="343"/>
      <c r="FM278" s="930">
        <f>IF(FL278 = "", 0,
IF(AND(FJ278 &gt; 0, FK278 &gt;0), 0,
IF(AND(FJ278 &lt;&gt; "", FJ278 &lt;&gt; 0), -(FJ278 * FL278 * 100),
IF(AND(FK278 &lt;&gt; "", FK278 &lt;&gt; 0), (FK278 * FL278 * 100), 0)) ))</f>
        <v>0</v>
      </c>
      <c r="FN278" s="931"/>
      <c r="FO278" s="932"/>
      <c r="FP278" s="930">
        <f>IF(FL278 = "", 0,
IF(AND(FJ278 &gt; 0, FK278 &gt;0), 0,
IF(AND(FJ278 &lt;&gt; "", FJ278 &lt;&gt; 0), -(FJ278 * FL278 * 100 * (1 + COMIS_OPCION)),
IF(AND(FK278 &lt;&gt; "", FK278 &lt;&gt; 0), (FK278 * FL278 * 100 * (1 - COMIS_OPCION)), 0)) ))</f>
        <v>0</v>
      </c>
      <c r="FQ278" s="931"/>
      <c r="FR278" s="931"/>
      <c r="FS278" s="931"/>
      <c r="FT278" s="931"/>
      <c r="FU278" s="931"/>
      <c r="FV278" s="931"/>
      <c r="FW278" s="931"/>
      <c r="FX278" s="933"/>
      <c r="FY278" s="341"/>
      <c r="FZ278" s="341"/>
      <c r="GA278" s="341"/>
      <c r="GB278" s="495">
        <v>0</v>
      </c>
      <c r="GC278" s="495">
        <v>0</v>
      </c>
      <c r="GD278" s="500"/>
      <c r="GE278" s="495">
        <v>0</v>
      </c>
      <c r="GF278" s="495">
        <v>0</v>
      </c>
      <c r="GG278" s="495">
        <v>0</v>
      </c>
      <c r="GH278" s="359"/>
      <c r="GI278" s="359"/>
      <c r="GJ278" s="501"/>
      <c r="GK278" s="495">
        <v>0</v>
      </c>
      <c r="GL278" s="495">
        <v>0</v>
      </c>
      <c r="GM278" s="495">
        <v>0</v>
      </c>
      <c r="GN278" s="359"/>
      <c r="GO278" s="359"/>
      <c r="GP278" s="501"/>
      <c r="GQ278" s="495">
        <v>0</v>
      </c>
      <c r="GR278" s="375"/>
      <c r="GS278" s="333"/>
      <c r="GT278" s="333"/>
      <c r="GU278" s="333"/>
      <c r="GV278" s="333"/>
      <c r="GW278" s="333"/>
      <c r="GX278" s="333"/>
      <c r="GY278" s="333"/>
      <c r="GZ278" s="333"/>
      <c r="HA278" s="333"/>
      <c r="HB278" s="333"/>
      <c r="HC278" s="333"/>
      <c r="HD278" s="333"/>
      <c r="HE278" s="333"/>
      <c r="HF278" s="333"/>
      <c r="HG278" s="331"/>
      <c r="HH278" s="331"/>
      <c r="HI278" s="331"/>
      <c r="HJ278" s="331"/>
      <c r="HK278" s="331"/>
      <c r="HL278" s="331"/>
      <c r="HM278" s="331"/>
      <c r="HN278" s="333"/>
      <c r="HO278" s="333"/>
      <c r="HP278" s="333"/>
      <c r="HQ278" s="333"/>
      <c r="HR278" s="333"/>
      <c r="HS278" s="333"/>
      <c r="HT278" s="333"/>
      <c r="HU278" s="333"/>
      <c r="HV278" s="333"/>
      <c r="HW278" s="333"/>
      <c r="HX278" s="333"/>
      <c r="HY278" s="333"/>
      <c r="HZ278" s="333"/>
      <c r="IA278" s="333"/>
      <c r="IB278" s="333"/>
      <c r="IC278" s="333"/>
      <c r="ID278" s="55"/>
      <c r="IE278" s="47"/>
      <c r="IO278" s="51"/>
    </row>
    <row r="279" spans="13:249" s="142" customFormat="1" ht="15" customHeight="1" thickBot="1">
      <c r="M279" s="333"/>
      <c r="N279" s="333"/>
      <c r="O279" s="333"/>
      <c r="P279" s="333"/>
      <c r="Q279" s="333"/>
      <c r="R279" s="333"/>
      <c r="S279" s="333"/>
      <c r="T279" s="333"/>
      <c r="U279" s="333"/>
      <c r="V279" s="333"/>
      <c r="W279" s="333"/>
      <c r="X279" s="333"/>
      <c r="Y279" s="333"/>
      <c r="Z279" s="333"/>
      <c r="AA279" s="333"/>
      <c r="AB279" s="333"/>
      <c r="AC279" s="333"/>
      <c r="AD279" s="333"/>
      <c r="AE279" s="333"/>
      <c r="AF279" s="333"/>
      <c r="AG279" s="333"/>
      <c r="AH279" s="333"/>
      <c r="AI279" s="333"/>
      <c r="AJ279" s="333"/>
      <c r="AK279" s="333"/>
      <c r="AL279" s="333"/>
      <c r="AM279" s="333"/>
      <c r="AN279" s="333"/>
      <c r="AO279" s="333"/>
      <c r="AP279" s="333"/>
      <c r="AQ279" s="333"/>
      <c r="AR279" s="333"/>
      <c r="AS279" s="333"/>
      <c r="AT279" s="333"/>
      <c r="AU279" s="333"/>
      <c r="AV279" s="333"/>
      <c r="AW279" s="333"/>
      <c r="AX279" s="333"/>
      <c r="AY279" s="333"/>
      <c r="AZ279" s="333"/>
      <c r="BA279" s="333"/>
      <c r="BB279" s="333"/>
      <c r="BC279" s="333"/>
      <c r="BD279" s="333"/>
      <c r="BE279" s="333"/>
      <c r="BF279" s="333"/>
      <c r="BG279" s="333"/>
      <c r="BH279" s="333"/>
      <c r="BI279" s="333"/>
      <c r="BJ279" s="333"/>
      <c r="BK279" s="333"/>
      <c r="BL279" s="333"/>
      <c r="BM279" s="333"/>
      <c r="BN279" s="333"/>
      <c r="BO279" s="333"/>
      <c r="BP279" s="333"/>
      <c r="BQ279" s="333"/>
      <c r="BR279" s="333"/>
      <c r="BS279" s="333"/>
      <c r="BT279" s="333"/>
      <c r="BU279" s="333"/>
      <c r="BV279" s="333"/>
      <c r="BW279" s="333"/>
      <c r="BX279" s="333"/>
      <c r="BY279" s="333"/>
      <c r="BZ279" s="333"/>
      <c r="CA279" s="333"/>
      <c r="CB279" s="333"/>
      <c r="CC279" s="333"/>
      <c r="CD279" s="333"/>
      <c r="CE279" s="333"/>
      <c r="CF279" s="333"/>
      <c r="CG279" s="333"/>
      <c r="CH279" s="333"/>
      <c r="CI279" s="333"/>
      <c r="CJ279" s="333"/>
      <c r="CK279" s="333"/>
      <c r="CL279" s="333"/>
      <c r="CM279" s="333"/>
      <c r="CN279" s="333"/>
      <c r="CO279" s="333"/>
      <c r="CP279" s="333"/>
      <c r="CQ279" s="333"/>
      <c r="CR279" s="333"/>
      <c r="CS279" s="333"/>
      <c r="CT279" s="333"/>
      <c r="CU279" s="333"/>
      <c r="CV279" s="333"/>
      <c r="CW279" s="333"/>
      <c r="CX279" s="333"/>
      <c r="CY279" s="333"/>
      <c r="CZ279" s="333"/>
      <c r="DA279" s="333"/>
      <c r="DB279" s="333"/>
      <c r="DC279" s="333"/>
      <c r="DD279" s="333"/>
      <c r="DE279" s="333"/>
      <c r="DF279" s="333"/>
      <c r="DG279" s="333"/>
      <c r="DH279" s="333"/>
      <c r="DI279" s="333"/>
      <c r="DJ279" s="333"/>
      <c r="DK279" s="333"/>
      <c r="DL279" s="333"/>
      <c r="DM279" s="333"/>
      <c r="DN279" s="333"/>
      <c r="DO279" s="333"/>
      <c r="DP279" s="333"/>
      <c r="DQ279" s="333"/>
      <c r="DR279" s="333"/>
      <c r="DS279" s="333"/>
      <c r="DT279" s="333"/>
      <c r="DU279" s="375"/>
      <c r="DV279" s="375"/>
      <c r="DW279" s="375"/>
      <c r="DX279" s="375"/>
      <c r="DY279" s="375"/>
      <c r="DZ279" s="375"/>
      <c r="EA279" s="375"/>
      <c r="EB279" s="375"/>
      <c r="EC279" s="375"/>
      <c r="ED279" s="375"/>
      <c r="EE279" s="375"/>
      <c r="EF279" s="375"/>
      <c r="EG279" s="375"/>
      <c r="EH279" s="375"/>
      <c r="EI279" s="375"/>
      <c r="EJ279" s="373"/>
      <c r="EK279" s="373"/>
      <c r="EL279" s="366"/>
      <c r="EM279" s="368"/>
      <c r="EN279" s="364"/>
      <c r="EO279" s="353">
        <f>+IF(EO277= 0, 0, GG275)</f>
        <v>0</v>
      </c>
      <c r="EP279" s="350"/>
      <c r="EQ279" s="344"/>
      <c r="ER279" s="523"/>
      <c r="ES279" s="921">
        <f>IF(ER279 = "", 0,
IF(AND(EP279 &gt; 0, EQ279 &gt;0), 0, IF(EO275 &lt;&gt; $Z$1,
IF(AND(EP279 &lt;&gt; "", EP279 &lt;&gt; 0), -(EP279 * ER279 * 100),
IF(AND(EQ279 &lt;&gt; "", EQ279 &lt;&gt; 0), (EQ279 * ER279 * 100), 0)),
IF(AND(EP279 &lt;&gt; "", EP279 &lt;&gt; 0), -(EP279 * ER279 * 1),
IF(AND(EQ279 &lt;&gt; "", EQ279 &lt;&gt; 0), (EQ279 * ER279 * 1), 0))  )))</f>
        <v>0</v>
      </c>
      <c r="ET279" s="922"/>
      <c r="EU279" s="924"/>
      <c r="EV279" s="921">
        <f>IF(ER279 = "", 0,
IF(AND(EP279 &gt; 0, EQ279 &gt;0), 0,  IF(EO275 &lt;&gt; $Z$1,
IF(AND(EP279 &lt;&gt; "", EP279 &lt;&gt; 0), -(EP279 * ER279 * 100 * (1 + COMIS_OPCION)),
IF(AND(EQ279 &lt;&gt; "", EQ279 &lt;&gt; 0), (EQ279 * ER279 * 100 * (1 - COMIS_OPCION)), 0)),
IF(AND(EP279 &lt;&gt; "", EP279 &lt;&gt; 0), -(EP279 * ER279 * 1 * (1 + COMIS_ACCION)),
IF(AND(EQ279 &lt;&gt; "", EQ279 &lt;&gt; 0), (EQ279 * ER279 * 1 * (1 - COMIS_ACCION)), 0))  )))</f>
        <v>0</v>
      </c>
      <c r="EW279" s="922"/>
      <c r="EX279" s="922"/>
      <c r="EY279" s="922"/>
      <c r="EZ279" s="922"/>
      <c r="FA279" s="922"/>
      <c r="FB279" s="922"/>
      <c r="FC279" s="922"/>
      <c r="FD279" s="923"/>
      <c r="FE279" s="340"/>
      <c r="FF279" s="340"/>
      <c r="FG279" s="365"/>
      <c r="FH279" s="365"/>
      <c r="FI279" s="349">
        <f>+IF(FI277= 0, 0, GQ275)</f>
        <v>0</v>
      </c>
      <c r="FJ279" s="348"/>
      <c r="FK279" s="345"/>
      <c r="FL279" s="346"/>
      <c r="FM279" s="937">
        <f>IF(FL279 = "", 0,
IF(AND(FJ279 &gt; 0, FK279 &gt;0), 0,
IF(AND(FJ279 &lt;&gt; "", FJ279 &lt;&gt; 0), -(FJ279 * FL279 * 100),
IF(AND(FK279 &lt;&gt; "", FK279 &lt;&gt; 0), (FK279 * FL279 * 100), 0)) ))</f>
        <v>0</v>
      </c>
      <c r="FN279" s="938"/>
      <c r="FO279" s="939"/>
      <c r="FP279" s="937">
        <f>IF(FL279 = "", 0,
IF(AND(FJ279 &gt; 0, FK279 &gt;0), 0,
IF(AND(FJ279 &lt;&gt; "", FJ279 &lt;&gt; 0), -(FJ279 * FL279 * 100 * (1 + COMIS_OPCION)),
IF(AND(FK279 &lt;&gt; "", FK279 &lt;&gt; 0), (FK279 * FL279 * 100 * (1 - COMIS_OPCION)), 0)) ))</f>
        <v>0</v>
      </c>
      <c r="FQ279" s="938"/>
      <c r="FR279" s="938"/>
      <c r="FS279" s="938"/>
      <c r="FT279" s="938"/>
      <c r="FU279" s="938"/>
      <c r="FV279" s="938"/>
      <c r="FW279" s="938"/>
      <c r="FX279" s="969"/>
      <c r="FY279" s="341"/>
      <c r="FZ279" s="341"/>
      <c r="GA279" s="341"/>
      <c r="GB279" s="495">
        <v>0</v>
      </c>
      <c r="GC279" s="495">
        <v>0</v>
      </c>
      <c r="GD279" s="500"/>
      <c r="GE279" s="495">
        <v>0</v>
      </c>
      <c r="GF279" s="495">
        <v>0</v>
      </c>
      <c r="GG279" s="495">
        <v>0</v>
      </c>
      <c r="GH279" s="359"/>
      <c r="GI279" s="359"/>
      <c r="GJ279" s="501"/>
      <c r="GK279" s="495">
        <v>0</v>
      </c>
      <c r="GL279" s="495">
        <v>0</v>
      </c>
      <c r="GM279" s="495">
        <v>0</v>
      </c>
      <c r="GN279" s="359"/>
      <c r="GO279" s="359"/>
      <c r="GP279" s="501"/>
      <c r="GQ279" s="495">
        <v>0</v>
      </c>
      <c r="GR279" s="375"/>
      <c r="GS279" s="333"/>
      <c r="GT279" s="333"/>
      <c r="GU279" s="333"/>
      <c r="GV279" s="333"/>
      <c r="GW279" s="333"/>
      <c r="GX279" s="333"/>
      <c r="GY279" s="333"/>
      <c r="GZ279" s="333"/>
      <c r="HA279" s="333"/>
      <c r="HB279" s="333"/>
      <c r="HC279" s="333"/>
      <c r="HD279" s="333"/>
      <c r="HE279" s="333"/>
      <c r="HF279" s="333"/>
      <c r="HG279" s="331"/>
      <c r="HH279" s="331"/>
      <c r="HI279" s="331"/>
      <c r="HJ279" s="331"/>
      <c r="HK279" s="331"/>
      <c r="HL279" s="331"/>
      <c r="HM279" s="331"/>
      <c r="HN279" s="333"/>
      <c r="HO279" s="333"/>
      <c r="HP279" s="333"/>
      <c r="HQ279" s="333"/>
      <c r="HR279" s="333"/>
      <c r="HS279" s="333"/>
      <c r="HT279" s="333"/>
      <c r="HU279" s="333"/>
      <c r="HV279" s="333"/>
      <c r="HW279" s="333"/>
      <c r="HX279" s="333"/>
      <c r="HY279" s="333"/>
      <c r="HZ279" s="333"/>
      <c r="IA279" s="333"/>
      <c r="IB279" s="333"/>
      <c r="IC279" s="333"/>
      <c r="ID279" s="55"/>
      <c r="IE279" s="47"/>
      <c r="IO279" s="51"/>
    </row>
    <row r="280" spans="13:249" s="142" customFormat="1" ht="15" customHeight="1" thickBot="1">
      <c r="M280" s="333"/>
      <c r="N280" s="333"/>
      <c r="O280" s="333"/>
      <c r="P280" s="333"/>
      <c r="Q280" s="333"/>
      <c r="R280" s="333"/>
      <c r="S280" s="333"/>
      <c r="T280" s="333"/>
      <c r="U280" s="333"/>
      <c r="V280" s="333"/>
      <c r="W280" s="333"/>
      <c r="X280" s="333"/>
      <c r="Y280" s="333"/>
      <c r="Z280" s="333"/>
      <c r="AA280" s="333"/>
      <c r="AB280" s="333"/>
      <c r="AC280" s="333"/>
      <c r="AD280" s="333"/>
      <c r="AE280" s="333"/>
      <c r="AF280" s="333"/>
      <c r="AG280" s="333"/>
      <c r="AH280" s="333"/>
      <c r="AI280" s="333"/>
      <c r="AJ280" s="333"/>
      <c r="AK280" s="333"/>
      <c r="AL280" s="333"/>
      <c r="AM280" s="333"/>
      <c r="AN280" s="333"/>
      <c r="AO280" s="333"/>
      <c r="AP280" s="333"/>
      <c r="AQ280" s="333"/>
      <c r="AR280" s="333"/>
      <c r="AS280" s="333"/>
      <c r="AT280" s="333"/>
      <c r="AU280" s="333"/>
      <c r="AV280" s="333"/>
      <c r="AW280" s="333"/>
      <c r="AX280" s="333"/>
      <c r="AY280" s="333"/>
      <c r="AZ280" s="333"/>
      <c r="BA280" s="333"/>
      <c r="BB280" s="333"/>
      <c r="BC280" s="333"/>
      <c r="BD280" s="333"/>
      <c r="BE280" s="333"/>
      <c r="BF280" s="333"/>
      <c r="BG280" s="333"/>
      <c r="BH280" s="333"/>
      <c r="BI280" s="333"/>
      <c r="BJ280" s="333"/>
      <c r="BK280" s="333"/>
      <c r="BL280" s="333"/>
      <c r="BM280" s="333"/>
      <c r="BN280" s="333"/>
      <c r="BO280" s="333"/>
      <c r="BP280" s="333"/>
      <c r="BQ280" s="333"/>
      <c r="BR280" s="333"/>
      <c r="BS280" s="333"/>
      <c r="BT280" s="333"/>
      <c r="BU280" s="333"/>
      <c r="BV280" s="333"/>
      <c r="BW280" s="333"/>
      <c r="BX280" s="333"/>
      <c r="BY280" s="333"/>
      <c r="BZ280" s="333"/>
      <c r="CA280" s="333"/>
      <c r="CB280" s="333"/>
      <c r="CC280" s="333"/>
      <c r="CD280" s="333"/>
      <c r="CE280" s="333"/>
      <c r="CF280" s="333"/>
      <c r="CG280" s="333"/>
      <c r="CH280" s="333"/>
      <c r="CI280" s="333"/>
      <c r="CJ280" s="333"/>
      <c r="CK280" s="333"/>
      <c r="CL280" s="333"/>
      <c r="CM280" s="333"/>
      <c r="CN280" s="333"/>
      <c r="CO280" s="333"/>
      <c r="CP280" s="333"/>
      <c r="CQ280" s="333"/>
      <c r="CR280" s="333"/>
      <c r="CS280" s="333"/>
      <c r="CT280" s="333"/>
      <c r="CU280" s="333"/>
      <c r="CV280" s="333"/>
      <c r="CW280" s="333"/>
      <c r="CX280" s="333"/>
      <c r="CY280" s="333"/>
      <c r="CZ280" s="333"/>
      <c r="DA280" s="333"/>
      <c r="DB280" s="333"/>
      <c r="DC280" s="333"/>
      <c r="DD280" s="333"/>
      <c r="DE280" s="333"/>
      <c r="DF280" s="333"/>
      <c r="DG280" s="333"/>
      <c r="DH280" s="333"/>
      <c r="DI280" s="333"/>
      <c r="DJ280" s="333"/>
      <c r="DK280" s="333"/>
      <c r="DL280" s="333"/>
      <c r="DM280" s="333"/>
      <c r="DN280" s="333"/>
      <c r="DO280" s="333"/>
      <c r="DP280" s="333"/>
      <c r="DQ280" s="333"/>
      <c r="DR280" s="333"/>
      <c r="DS280" s="333"/>
      <c r="DT280" s="333"/>
      <c r="DU280" s="375"/>
      <c r="DV280" s="375"/>
      <c r="DW280" s="375"/>
      <c r="DX280" s="375"/>
      <c r="DY280" s="375"/>
      <c r="DZ280" s="375"/>
      <c r="EA280" s="375"/>
      <c r="EB280" s="375"/>
      <c r="EC280" s="375"/>
      <c r="ED280" s="375"/>
      <c r="EE280" s="375"/>
      <c r="EF280" s="375"/>
      <c r="EG280" s="375"/>
      <c r="EH280" s="375"/>
      <c r="EI280" s="375"/>
      <c r="EJ280" s="373"/>
      <c r="EK280" s="373"/>
      <c r="EL280" s="366"/>
      <c r="EM280" s="366"/>
      <c r="EN280" s="364"/>
      <c r="EO280" s="363"/>
      <c r="EP280" s="340"/>
      <c r="EQ280" s="340"/>
      <c r="ER280" s="340"/>
      <c r="ES280" s="363"/>
      <c r="ET280" s="363"/>
      <c r="EU280" s="340"/>
      <c r="EV280" s="340"/>
      <c r="EW280" s="340"/>
      <c r="EX280" s="340"/>
      <c r="EY280" s="340"/>
      <c r="EZ280" s="340"/>
      <c r="FA280" s="340"/>
      <c r="FB280" s="402"/>
      <c r="FC280" s="402"/>
      <c r="FD280" s="340"/>
      <c r="FE280" s="340"/>
      <c r="FF280" s="340"/>
      <c r="FG280" s="364"/>
      <c r="FH280" s="364"/>
      <c r="FI280" s="363"/>
      <c r="FJ280" s="360"/>
      <c r="FK280" s="360"/>
      <c r="FL280" s="340"/>
      <c r="FM280" s="967"/>
      <c r="FN280" s="967"/>
      <c r="FO280" s="967"/>
      <c r="FP280" s="968"/>
      <c r="FQ280" s="968"/>
      <c r="FR280" s="968"/>
      <c r="FS280" s="968"/>
      <c r="FT280" s="968"/>
      <c r="FU280" s="968"/>
      <c r="FV280" s="968"/>
      <c r="FW280" s="968"/>
      <c r="FX280" s="968"/>
      <c r="FY280" s="341"/>
      <c r="FZ280" s="341"/>
      <c r="GA280" s="341"/>
      <c r="GB280" s="495">
        <v>0</v>
      </c>
      <c r="GC280" s="495">
        <v>0</v>
      </c>
      <c r="GD280" s="500"/>
      <c r="GE280" s="495">
        <v>0</v>
      </c>
      <c r="GF280" s="495">
        <v>0</v>
      </c>
      <c r="GG280" s="495">
        <v>0</v>
      </c>
      <c r="GH280" s="359"/>
      <c r="GI280" s="359"/>
      <c r="GJ280" s="501"/>
      <c r="GK280" s="495">
        <v>0</v>
      </c>
      <c r="GL280" s="495">
        <v>0</v>
      </c>
      <c r="GM280" s="495">
        <v>0</v>
      </c>
      <c r="GN280" s="359"/>
      <c r="GO280" s="359"/>
      <c r="GP280" s="501"/>
      <c r="GQ280" s="495">
        <v>0</v>
      </c>
      <c r="GR280" s="375"/>
      <c r="GS280" s="333"/>
      <c r="GT280" s="333"/>
      <c r="GU280" s="333"/>
      <c r="GV280" s="333"/>
      <c r="GW280" s="333"/>
      <c r="GX280" s="333"/>
      <c r="GY280" s="333"/>
      <c r="GZ280" s="333"/>
      <c r="HA280" s="333"/>
      <c r="HB280" s="333"/>
      <c r="HC280" s="333"/>
      <c r="HD280" s="333"/>
      <c r="HE280" s="333"/>
      <c r="HF280" s="333"/>
      <c r="HG280" s="331"/>
      <c r="HH280" s="331"/>
      <c r="HI280" s="331"/>
      <c r="HJ280" s="331"/>
      <c r="HK280" s="331"/>
      <c r="HL280" s="331"/>
      <c r="HM280" s="331"/>
      <c r="HN280" s="333"/>
      <c r="HO280" s="333"/>
      <c r="HP280" s="333"/>
      <c r="HQ280" s="333"/>
      <c r="HR280" s="333"/>
      <c r="HS280" s="333"/>
      <c r="HT280" s="333"/>
      <c r="HU280" s="333"/>
      <c r="HV280" s="333"/>
      <c r="HW280" s="333"/>
      <c r="HX280" s="333"/>
      <c r="HY280" s="333"/>
      <c r="HZ280" s="333"/>
      <c r="IA280" s="333"/>
      <c r="IB280" s="333"/>
      <c r="IC280" s="333"/>
      <c r="ID280" s="55"/>
      <c r="IE280" s="47"/>
      <c r="IO280" s="51"/>
    </row>
    <row r="281" spans="13:249" s="142" customFormat="1" ht="15" customHeight="1">
      <c r="M281" s="333"/>
      <c r="N281" s="333"/>
      <c r="O281" s="333"/>
      <c r="P281" s="333"/>
      <c r="Q281" s="333"/>
      <c r="R281" s="333"/>
      <c r="S281" s="333"/>
      <c r="T281" s="333"/>
      <c r="U281" s="333"/>
      <c r="V281" s="333"/>
      <c r="W281" s="333"/>
      <c r="X281" s="333"/>
      <c r="Y281" s="333"/>
      <c r="Z281" s="333"/>
      <c r="AA281" s="333"/>
      <c r="AB281" s="333"/>
      <c r="AC281" s="333"/>
      <c r="AD281" s="333"/>
      <c r="AE281" s="333"/>
      <c r="AF281" s="333"/>
      <c r="AG281" s="333"/>
      <c r="AH281" s="333"/>
      <c r="AI281" s="333"/>
      <c r="AJ281" s="333"/>
      <c r="AK281" s="333"/>
      <c r="AL281" s="333"/>
      <c r="AM281" s="333"/>
      <c r="AN281" s="333"/>
      <c r="AO281" s="333"/>
      <c r="AP281" s="333"/>
      <c r="AQ281" s="333"/>
      <c r="AR281" s="333"/>
      <c r="AS281" s="333"/>
      <c r="AT281" s="333"/>
      <c r="AU281" s="333"/>
      <c r="AV281" s="333"/>
      <c r="AW281" s="333"/>
      <c r="AX281" s="333"/>
      <c r="AY281" s="333"/>
      <c r="AZ281" s="333"/>
      <c r="BA281" s="333"/>
      <c r="BB281" s="333"/>
      <c r="BC281" s="333"/>
      <c r="BD281" s="333"/>
      <c r="BE281" s="333"/>
      <c r="BF281" s="333"/>
      <c r="BG281" s="333"/>
      <c r="BH281" s="333"/>
      <c r="BI281" s="333"/>
      <c r="BJ281" s="333"/>
      <c r="BK281" s="333"/>
      <c r="BL281" s="333"/>
      <c r="BM281" s="333"/>
      <c r="BN281" s="333"/>
      <c r="BO281" s="333"/>
      <c r="BP281" s="333"/>
      <c r="BQ281" s="333"/>
      <c r="BR281" s="333"/>
      <c r="BS281" s="333"/>
      <c r="BT281" s="333"/>
      <c r="BU281" s="333"/>
      <c r="BV281" s="333"/>
      <c r="BW281" s="333"/>
      <c r="BX281" s="333"/>
      <c r="BY281" s="333"/>
      <c r="BZ281" s="333"/>
      <c r="CA281" s="333"/>
      <c r="CB281" s="333"/>
      <c r="CC281" s="333"/>
      <c r="CD281" s="333"/>
      <c r="CE281" s="333"/>
      <c r="CF281" s="333"/>
      <c r="CG281" s="333"/>
      <c r="CH281" s="333"/>
      <c r="CI281" s="333"/>
      <c r="CJ281" s="333"/>
      <c r="CK281" s="333"/>
      <c r="CL281" s="333"/>
      <c r="CM281" s="333"/>
      <c r="CN281" s="333"/>
      <c r="CO281" s="333"/>
      <c r="CP281" s="333"/>
      <c r="CQ281" s="333"/>
      <c r="CR281" s="333"/>
      <c r="CS281" s="333"/>
      <c r="CT281" s="333"/>
      <c r="CU281" s="333"/>
      <c r="CV281" s="333"/>
      <c r="CW281" s="333"/>
      <c r="CX281" s="333"/>
      <c r="CY281" s="333"/>
      <c r="CZ281" s="333"/>
      <c r="DA281" s="333"/>
      <c r="DB281" s="333"/>
      <c r="DC281" s="333"/>
      <c r="DD281" s="333"/>
      <c r="DE281" s="333"/>
      <c r="DF281" s="333"/>
      <c r="DG281" s="333"/>
      <c r="DH281" s="333"/>
      <c r="DI281" s="333"/>
      <c r="DJ281" s="333"/>
      <c r="DK281" s="333"/>
      <c r="DL281" s="333"/>
      <c r="DM281" s="333"/>
      <c r="DN281" s="333"/>
      <c r="DO281" s="333"/>
      <c r="DP281" s="333"/>
      <c r="DQ281" s="333"/>
      <c r="DR281" s="333"/>
      <c r="DS281" s="333"/>
      <c r="DT281" s="333"/>
      <c r="DU281" s="375"/>
      <c r="DV281" s="375"/>
      <c r="DW281" s="375"/>
      <c r="DX281" s="375"/>
      <c r="DY281" s="375"/>
      <c r="DZ281" s="375"/>
      <c r="EA281" s="375"/>
      <c r="EB281" s="375"/>
      <c r="EC281" s="375"/>
      <c r="ED281" s="375"/>
      <c r="EE281" s="375"/>
      <c r="EF281" s="375"/>
      <c r="EG281" s="375"/>
      <c r="EH281" s="375"/>
      <c r="EI281" s="375"/>
      <c r="EJ281" s="373"/>
      <c r="EK281" s="373"/>
      <c r="EL281" s="366"/>
      <c r="EM281" s="366"/>
      <c r="EN281" s="364">
        <f>+EN275+1</f>
        <v>39</v>
      </c>
      <c r="EO281" s="356" t="str">
        <f>+VLOOKUP(EN281, PRECIOS_EJERCICIOS,  2,FALSE)</f>
        <v/>
      </c>
      <c r="EP281" s="513" t="str">
        <f>+IF($AQ$49 = FALSE, "",
IF(VLOOKUP(EO281, basesCantPrimaBrutoRes, 2,FALSE) &gt;= 0, VLOOKUP(EO281, basesCantPrimaBrutoRes, 2,FALSE), 0))</f>
        <v/>
      </c>
      <c r="EQ281" s="514" t="str">
        <f>+IF($AQ$49 = FALSE, "",
IF(VLOOKUP(EO281, basesCantPrimaBrutoRes, 2,FALSE) &lt; 0, -VLOOKUP(EO281, basesCantPrimaBrutoRes, 2,FALSE), 0))</f>
        <v/>
      </c>
      <c r="ER281" s="521" t="str">
        <f>IF($AQ$49 = FALSE, "",
VLOOKUP(EO281, basesCantPrimaBrutoRes, 4,FALSE))</f>
        <v/>
      </c>
      <c r="ES281" s="926">
        <f>IF(ER281 = "", 0,
IF(AND(EP281 &gt; 0, EQ281 &gt;0), 0, IF(EO281 &lt;&gt; $Z$1,
IF(AND(EP281 &lt;&gt; "", EP281 &lt;&gt; 0), -(EP281 * ER281 * 100),
IF(AND(EQ281 &lt;&gt; "", EQ281 &lt;&gt; 0), (EQ281 * ER281 * 100), 0)),
IF(AND(EP281 &lt;&gt; "", EP281 &lt;&gt; 0), -(EP281 * ER281 * 1),
IF(AND(EQ281 &lt;&gt; "", EQ281 &lt;&gt; 0), (EQ281 * ER281 * 1), 0))  )))</f>
        <v>0</v>
      </c>
      <c r="ET281" s="927"/>
      <c r="EU281" s="928"/>
      <c r="EV281" s="926">
        <f>IF(ER281 = "", 0,
IF(AND(EP281 &gt; 0, EQ281 &gt;0), 0,  IF(EO281 &lt;&gt; $Z$1,
IF(AND(EP281 &lt;&gt; "", EP281 &lt;&gt; 0), -(EP281 * ER281 * 100 * (1 + COMIS_OPCION)),
IF(AND(EQ281 &lt;&gt; "", EQ281 &lt;&gt; 0), (EQ281 * ER281 * 100 * (1 - COMIS_OPCION)), 0)),
IF(AND(EP281 &lt;&gt; "", EP281 &lt;&gt; 0), -(EP281 * ER281 * 1 * (1 + COMIS_ACCION)),
IF(AND(EQ281 &lt;&gt; "", EQ281 &lt;&gt; 0), (EQ281 * ER281 * 1 * (1 - COMIS_ACCION)), 0))  )))</f>
        <v>0</v>
      </c>
      <c r="EW281" s="927"/>
      <c r="EX281" s="927"/>
      <c r="EY281" s="927"/>
      <c r="EZ281" s="927"/>
      <c r="FA281" s="927"/>
      <c r="FB281" s="927"/>
      <c r="FC281" s="927"/>
      <c r="FD281" s="929"/>
      <c r="FE281" s="340"/>
      <c r="FF281" s="340"/>
      <c r="FG281" s="364"/>
      <c r="FH281" s="364">
        <f>+FH275+1</f>
        <v>39</v>
      </c>
      <c r="FI281" s="357" t="str">
        <f>+VLOOKUP(FH281, PRECIOS_EJERCICIOS,  2,FALSE)</f>
        <v/>
      </c>
      <c r="FJ281" s="515" t="str">
        <f>+IF($AQ$49 = FALSE, "",
IF(VLOOKUP(EO281, basesCantPrimaBrutoRes, 5,FALSE) &gt;= 0, VLOOKUP(EO281, basesCantPrimaBrutoRes, 5,FALSE), 0))</f>
        <v/>
      </c>
      <c r="FK281" s="516" t="str">
        <f>+IF($AQ$49 = FALSE, "",
IF(VLOOKUP(EO281, basesCantPrimaBrutoRes, 5,FALSE) &lt; 0, -VLOOKUP(EO281, basesCantPrimaBrutoRes, 5,FALSE), 0))</f>
        <v/>
      </c>
      <c r="FL281" s="517" t="str">
        <f>IF($AQ$49 = FALSE, "",
VLOOKUP(EO281, basesCantPrimaBrutoRes, 7,FALSE))</f>
        <v/>
      </c>
      <c r="FM281" s="934">
        <f>IF(FL281 = "", 0,
IF(AND(FJ281 &gt; 0, FK281 &gt;0), 0,
IF(AND(FJ281 &lt;&gt; "", FJ281 &lt;&gt; 0), -(FJ281 * FL281 * 100),
IF(AND(FK281 &lt;&gt; "", FK281 &lt;&gt; 0), (FK281 * FL281 * 100), 0)) ))</f>
        <v>0</v>
      </c>
      <c r="FN281" s="935"/>
      <c r="FO281" s="936"/>
      <c r="FP281" s="934">
        <f>IF(FL281 = "", 0,
IF(AND(FJ281 &gt; 0, FK281 &gt;0), 0,
IF(AND(FJ281 &lt;&gt; "", FJ281 &lt;&gt; 0), -(FJ281 * FL281 * 100 * (1 + COMIS_OPCION)),
IF(AND(FK281 &lt;&gt; "", FK281 &lt;&gt; 0), (FK281 * FL281 * 100 * (1 - COMIS_OPCION)), 0)) ))</f>
        <v>0</v>
      </c>
      <c r="FQ281" s="935"/>
      <c r="FR281" s="935"/>
      <c r="FS281" s="935"/>
      <c r="FT281" s="935"/>
      <c r="FU281" s="935"/>
      <c r="FV281" s="935"/>
      <c r="FW281" s="935"/>
      <c r="FX281" s="966"/>
      <c r="FY281" s="341"/>
      <c r="FZ281" s="341"/>
      <c r="GA281" s="341"/>
      <c r="GB281" s="495" t="str">
        <f>+IF(EN281 = "", "", EO281)</f>
        <v/>
      </c>
      <c r="GC281" s="495" t="str">
        <f>+IF(GB281="", "", IF(EO281 = $Z$1, "ACCION", "CALL"))</f>
        <v/>
      </c>
      <c r="GD281" s="500"/>
      <c r="GE281" s="495" t="str">
        <f>+IF(GB281= "", "", EO283)</f>
        <v/>
      </c>
      <c r="GF281" s="495" t="str">
        <f>+IF(GB281 = "", "", IFERROR(IF(GB281 &lt;&gt; $Z$1,
IF(GE281 &gt; 0, SUMIFS(ES281:ES285, EP281:EP285, "&gt;0", ES281:ES285, "&lt;&gt;0") / SUMIFS(EP281:EP285, EP281:EP285, "&gt;0", ES281:ES285, "&lt;&gt;0") / -100,
IF(GE281 &lt; 0, SUMIFS(ES281:ES285, EQ281:EQ285, "&gt;0", ES281:ES285, "&lt;&gt;0") / SUMIFS(EQ281:EQ285, EQ281:EQ285, "&gt;0", ES281:ES285, "&lt;&gt;0") / 100, 0)),
IF(GE281 &gt; 0, SUMIFS(ES281:ES285, EP281:EP285, "&gt;0", ES281:ES285, "&lt;&gt;0") / SUMIFS(EP281:EP285, EP281:EP285, "&gt;0", ES281:ES285, "&lt;&gt;0") / -1,
IF(GE281 &lt; 0, SUMIFS(ES281:ES285, EQ281:EQ285, "&gt;0", ES281:ES285, "&lt;&gt;0") / SUMIFS(EQ281:EQ285, EQ281:EQ285, "&gt;0", ES281:ES285, "&lt;&gt;0") / 1, 0)) ), 0))</f>
        <v/>
      </c>
      <c r="GG281" s="495" t="str">
        <f>+IF(GB281 = "", "", IFERROR(IF(GB281 &lt;&gt; $Z$1,
IF(GE281 &gt; 0, SUMIFS(EV281:EV285, EP281:EP285, "&gt;0", EV281:EV285, "&lt;&gt;0") / SUMIFS(EP281:EP285, EP281:EP285, "&gt;0", EV281:EV285, "&lt;&gt;0") / -100,
IF(GE281 &lt; 0, SUMIFS(EV281:EV285, EQ281:EQ285, "&gt;0", EV281:EV285, "&lt;&gt;0") / SUMIFS(EQ281:EQ285, EQ281:EQ285, "&gt;0", EV281:EV285, "&lt;&gt;0") / 100, 0)),
IF(GE281 &gt; 0, SUMIFS(EV281:EV285, EP281:EP285, "&gt;0", EV281:EV285, "&lt;&gt;0") / SUMIFS(EP281:EP285, EP281:EP285, "&gt;0", EV281:EV285, "&lt;&gt;0") / -1,
IF(GE281 &lt; 0, SUMIFS(EV281:EV285, EQ281:EQ285, "&gt;0", EV281:EV285, "&lt;&gt;0") / SUMIFS(EQ281:EQ285, EQ281:EQ285, "&gt;0", EV281:EV285, "&lt;&gt;0") / 1, 0)) ), 0))</f>
        <v/>
      </c>
      <c r="GH281" s="359"/>
      <c r="GI281" s="359"/>
      <c r="GJ281" s="501"/>
      <c r="GK281" s="495" t="str">
        <f>+IF(GB281="", "", "PUT")</f>
        <v/>
      </c>
      <c r="GL281" s="495" t="str">
        <f>+IF(GB281 = "", "", FI283)</f>
        <v/>
      </c>
      <c r="GM281" s="495" t="str">
        <f>+IF(GB281 = "", "", IFERROR(
IF(FI283 &gt; 0, SUMIFS(FM281:FM285, FJ281:FJ285, "&gt;0", FM281:FM285, "&lt;&gt;0") / SUMIFS(FJ281:FJ285, FJ281:FJ285, "&gt;0", FM281:FM285, "&lt;&gt;0") / -100,
IF(FI283 &lt; 0, SUMIFS(FM281:FM285, FK281:FK285, "&gt;0", FM281:FM285, "&lt;&gt;0") / SUMIFS(FK281:FK285, FK281:FK285, "&gt;0", FM281:FM285, "&lt;&gt;0") / 100, 0)), 0) )</f>
        <v/>
      </c>
      <c r="GN281" s="359"/>
      <c r="GO281" s="359"/>
      <c r="GP281" s="501"/>
      <c r="GQ281" s="502" t="str">
        <f>+IF(GB281 = "", "", IFERROR(
IF(FI283 &gt; 0, SUMIFS(FP281:FP285, FJ281:FJ285, "&gt;0", FP281:FP285, "&lt;&gt;0") / SUMIFS(FJ281:FJ285, FJ281:FJ285, "&gt;0", FP281:FP285, "&lt;&gt;0") / -100,
IF(FI283 &lt; 0, SUMIFS(FP281:FP285, FK281:FK285, "&gt;0", FP281:FP285, "&lt;&gt;0") / SUMIFS(FK281:FK285, FK281:FK285, "&gt;0", FP281:FP285, "&lt;&gt;0") / 100, 0)), 0))</f>
        <v/>
      </c>
      <c r="GR281" s="375"/>
      <c r="GS281" s="333"/>
      <c r="GT281" s="333"/>
      <c r="GU281" s="333"/>
      <c r="GV281" s="333"/>
      <c r="GW281" s="333"/>
      <c r="GX281" s="333"/>
      <c r="GY281" s="333"/>
      <c r="GZ281" s="333"/>
      <c r="HA281" s="333"/>
      <c r="HB281" s="333"/>
      <c r="HC281" s="333"/>
      <c r="HD281" s="333"/>
      <c r="HE281" s="333"/>
      <c r="HF281" s="333"/>
      <c r="HG281" s="331"/>
      <c r="HH281" s="331"/>
      <c r="HI281" s="331"/>
      <c r="HJ281" s="331"/>
      <c r="HK281" s="331"/>
      <c r="HL281" s="331"/>
      <c r="HM281" s="331"/>
      <c r="HN281" s="333"/>
      <c r="HO281" s="333"/>
      <c r="HP281" s="333"/>
      <c r="HQ281" s="333"/>
      <c r="HR281" s="333"/>
      <c r="HS281" s="333"/>
      <c r="HT281" s="333"/>
      <c r="HU281" s="333"/>
      <c r="HV281" s="333"/>
      <c r="HW281" s="333"/>
      <c r="HX281" s="333"/>
      <c r="HY281" s="333"/>
      <c r="HZ281" s="333"/>
      <c r="IA281" s="333"/>
      <c r="IB281" s="333"/>
      <c r="IC281" s="333"/>
      <c r="ID281" s="55"/>
      <c r="IE281" s="47"/>
      <c r="IO281" s="51"/>
    </row>
    <row r="282" spans="13:249" s="142" customFormat="1" ht="15" customHeight="1">
      <c r="M282" s="333"/>
      <c r="N282" s="333"/>
      <c r="O282" s="333"/>
      <c r="P282" s="333"/>
      <c r="Q282" s="333"/>
      <c r="R282" s="333"/>
      <c r="S282" s="333"/>
      <c r="T282" s="333"/>
      <c r="U282" s="333"/>
      <c r="V282" s="333"/>
      <c r="W282" s="333"/>
      <c r="X282" s="333"/>
      <c r="Y282" s="333"/>
      <c r="Z282" s="333"/>
      <c r="AA282" s="333"/>
      <c r="AB282" s="333"/>
      <c r="AC282" s="333"/>
      <c r="AD282" s="333"/>
      <c r="AE282" s="333"/>
      <c r="AF282" s="333"/>
      <c r="AG282" s="333"/>
      <c r="AH282" s="333"/>
      <c r="AI282" s="333"/>
      <c r="AJ282" s="333"/>
      <c r="AK282" s="333"/>
      <c r="AL282" s="333"/>
      <c r="AM282" s="333"/>
      <c r="AN282" s="333"/>
      <c r="AO282" s="333"/>
      <c r="AP282" s="333"/>
      <c r="AQ282" s="333"/>
      <c r="AR282" s="333"/>
      <c r="AS282" s="333"/>
      <c r="AT282" s="333"/>
      <c r="AU282" s="333"/>
      <c r="AV282" s="333"/>
      <c r="AW282" s="333"/>
      <c r="AX282" s="333"/>
      <c r="AY282" s="333"/>
      <c r="AZ282" s="333"/>
      <c r="BA282" s="333"/>
      <c r="BB282" s="333"/>
      <c r="BC282" s="333"/>
      <c r="BD282" s="333"/>
      <c r="BE282" s="333"/>
      <c r="BF282" s="333"/>
      <c r="BG282" s="333"/>
      <c r="BH282" s="333"/>
      <c r="BI282" s="333"/>
      <c r="BJ282" s="333"/>
      <c r="BK282" s="333"/>
      <c r="BL282" s="333"/>
      <c r="BM282" s="333"/>
      <c r="BN282" s="333"/>
      <c r="BO282" s="333"/>
      <c r="BP282" s="333"/>
      <c r="BQ282" s="333"/>
      <c r="BR282" s="333"/>
      <c r="BS282" s="333"/>
      <c r="BT282" s="333"/>
      <c r="BU282" s="333"/>
      <c r="BV282" s="333"/>
      <c r="BW282" s="333"/>
      <c r="BX282" s="333"/>
      <c r="BY282" s="333"/>
      <c r="BZ282" s="333"/>
      <c r="CA282" s="333"/>
      <c r="CB282" s="333"/>
      <c r="CC282" s="333"/>
      <c r="CD282" s="333"/>
      <c r="CE282" s="333"/>
      <c r="CF282" s="333"/>
      <c r="CG282" s="333"/>
      <c r="CH282" s="333"/>
      <c r="CI282" s="333"/>
      <c r="CJ282" s="333"/>
      <c r="CK282" s="333"/>
      <c r="CL282" s="333"/>
      <c r="CM282" s="333"/>
      <c r="CN282" s="333"/>
      <c r="CO282" s="333"/>
      <c r="CP282" s="333"/>
      <c r="CQ282" s="333"/>
      <c r="CR282" s="333"/>
      <c r="CS282" s="333"/>
      <c r="CT282" s="333"/>
      <c r="CU282" s="333"/>
      <c r="CV282" s="333"/>
      <c r="CW282" s="333"/>
      <c r="CX282" s="333"/>
      <c r="CY282" s="333"/>
      <c r="CZ282" s="333"/>
      <c r="DA282" s="333"/>
      <c r="DB282" s="333"/>
      <c r="DC282" s="333"/>
      <c r="DD282" s="333"/>
      <c r="DE282" s="333"/>
      <c r="DF282" s="333"/>
      <c r="DG282" s="333"/>
      <c r="DH282" s="333"/>
      <c r="DI282" s="333"/>
      <c r="DJ282" s="333"/>
      <c r="DK282" s="333"/>
      <c r="DL282" s="333"/>
      <c r="DM282" s="333"/>
      <c r="DN282" s="333"/>
      <c r="DO282" s="333"/>
      <c r="DP282" s="333"/>
      <c r="DQ282" s="333"/>
      <c r="DR282" s="333"/>
      <c r="DS282" s="333"/>
      <c r="DT282" s="333"/>
      <c r="DU282" s="375"/>
      <c r="DV282" s="375"/>
      <c r="DW282" s="375"/>
      <c r="DX282" s="375"/>
      <c r="DY282" s="375"/>
      <c r="DZ282" s="375"/>
      <c r="EA282" s="375"/>
      <c r="EB282" s="375"/>
      <c r="EC282" s="375"/>
      <c r="ED282" s="375"/>
      <c r="EE282" s="375"/>
      <c r="EF282" s="375"/>
      <c r="EG282" s="375"/>
      <c r="EH282" s="375"/>
      <c r="EI282" s="375"/>
      <c r="EJ282" s="373"/>
      <c r="EK282" s="373"/>
      <c r="EL282" s="366"/>
      <c r="EM282" s="366"/>
      <c r="EN282" s="364"/>
      <c r="EO282" s="351"/>
      <c r="EP282" s="347"/>
      <c r="EQ282" s="342"/>
      <c r="ER282" s="522"/>
      <c r="ES282" s="916">
        <f>IF(ER282 = "", 0,
IF(AND(EP282 &gt; 0, EQ282 &gt;0), 0, IF(EO281 &lt;&gt; $Z$1,
IF(AND(EP282 &lt;&gt; "", EP282 &lt;&gt; 0), -(EP282 * ER282 * 100),
IF(AND(EQ282 &lt;&gt; "", EQ282 &lt;&gt; 0), (EQ282 * ER282 * 100), 0)),
IF(AND(EP282 &lt;&gt; "", EP282 &lt;&gt; 0), -(EP282 * ER282 * 1),
IF(AND(EQ282 &lt;&gt; "", EQ282 &lt;&gt; 0), (EQ282 * ER282 * 1), 0))  )))</f>
        <v>0</v>
      </c>
      <c r="ET282" s="917"/>
      <c r="EU282" s="918"/>
      <c r="EV282" s="916">
        <f>IF(ER282 = "", 0,
IF(AND(EP282 &gt; 0, EQ282 &gt;0), 0,  IF(EO281 &lt;&gt; $Z$1,
IF(AND(EP282 &lt;&gt; "", EP282 &lt;&gt; 0), -(EP282 * ER282 * 100 * (1 + COMIS_OPCION)),
IF(AND(EQ282 &lt;&gt; "", EQ282 &lt;&gt; 0), (EQ282 * ER282 * 100 * (1 - COMIS_OPCION)), 0)),
IF(AND(EP282 &lt;&gt; "", EP282 &lt;&gt; 0), -(EP282 * ER282 * 1 * (1 + COMIS_ACCION)),
IF(AND(EQ282 &lt;&gt; "", EQ282 &lt;&gt; 0), (EQ282 * ER282 * 1 * (1 - COMIS_ACCION)), 0))  )))</f>
        <v>0</v>
      </c>
      <c r="EW282" s="917"/>
      <c r="EX282" s="917"/>
      <c r="EY282" s="917"/>
      <c r="EZ282" s="917"/>
      <c r="FA282" s="917"/>
      <c r="FB282" s="917"/>
      <c r="FC282" s="917"/>
      <c r="FD282" s="925"/>
      <c r="FE282" s="340"/>
      <c r="FF282" s="340"/>
      <c r="FG282" s="364"/>
      <c r="FH282" s="364"/>
      <c r="FI282" s="339"/>
      <c r="FJ282" s="347"/>
      <c r="FK282" s="342"/>
      <c r="FL282" s="343"/>
      <c r="FM282" s="930">
        <f>IF(FL282 = "", 0,
IF(AND(FJ282 &gt; 0, FK282 &gt;0), 0,
IF(AND(FJ282 &lt;&gt; "", FJ282 &lt;&gt; 0), -(FJ282 * FL282 * 100),
IF(AND(FK282 &lt;&gt; "", FK282 &lt;&gt; 0), (FK282 * FL282 * 100), 0)) ))</f>
        <v>0</v>
      </c>
      <c r="FN282" s="931"/>
      <c r="FO282" s="932"/>
      <c r="FP282" s="930">
        <f>IF(FL282 = "", 0,
IF(AND(FJ282 &gt; 0, FK282 &gt;0), 0,
IF(AND(FJ282 &lt;&gt; "", FJ282 &lt;&gt; 0), -(FJ282 * FL282 * 100 * (1 + COMIS_OPCION)),
IF(AND(FK282 &lt;&gt; "", FK282 &lt;&gt; 0), (FK282 * FL282 * 100 * (1 - COMIS_OPCION)), 0)) ))</f>
        <v>0</v>
      </c>
      <c r="FQ282" s="931"/>
      <c r="FR282" s="931"/>
      <c r="FS282" s="931"/>
      <c r="FT282" s="931"/>
      <c r="FU282" s="931"/>
      <c r="FV282" s="931"/>
      <c r="FW282" s="931"/>
      <c r="FX282" s="933"/>
      <c r="FY282" s="341"/>
      <c r="FZ282" s="341"/>
      <c r="GA282" s="341"/>
      <c r="GB282" s="495">
        <v>0</v>
      </c>
      <c r="GC282" s="495">
        <v>0</v>
      </c>
      <c r="GD282" s="500"/>
      <c r="GE282" s="495">
        <v>0</v>
      </c>
      <c r="GF282" s="495">
        <v>0</v>
      </c>
      <c r="GG282" s="495">
        <v>0</v>
      </c>
      <c r="GH282" s="359"/>
      <c r="GI282" s="359"/>
      <c r="GJ282" s="501"/>
      <c r="GK282" s="495">
        <v>0</v>
      </c>
      <c r="GL282" s="495">
        <v>0</v>
      </c>
      <c r="GM282" s="495">
        <v>0</v>
      </c>
      <c r="GN282" s="359"/>
      <c r="GO282" s="359"/>
      <c r="GP282" s="501"/>
      <c r="GQ282" s="495">
        <v>0</v>
      </c>
      <c r="GR282" s="375"/>
      <c r="GS282" s="333"/>
      <c r="GT282" s="333"/>
      <c r="GU282" s="333"/>
      <c r="GV282" s="333"/>
      <c r="GW282" s="333"/>
      <c r="GX282" s="333"/>
      <c r="GY282" s="333"/>
      <c r="GZ282" s="333"/>
      <c r="HA282" s="333"/>
      <c r="HB282" s="333"/>
      <c r="HC282" s="333"/>
      <c r="HD282" s="333"/>
      <c r="HE282" s="333"/>
      <c r="HF282" s="333"/>
      <c r="HG282" s="331"/>
      <c r="HH282" s="331"/>
      <c r="HI282" s="331"/>
      <c r="HJ282" s="331"/>
      <c r="HK282" s="331"/>
      <c r="HL282" s="331"/>
      <c r="HM282" s="331"/>
      <c r="HN282" s="333"/>
      <c r="HO282" s="333"/>
      <c r="HP282" s="333"/>
      <c r="HQ282" s="333"/>
      <c r="HR282" s="333"/>
      <c r="HS282" s="333"/>
      <c r="HT282" s="333"/>
      <c r="HU282" s="333"/>
      <c r="HV282" s="333"/>
      <c r="HW282" s="333"/>
      <c r="HX282" s="333"/>
      <c r="HY282" s="333"/>
      <c r="HZ282" s="333"/>
      <c r="IA282" s="333"/>
      <c r="IB282" s="333"/>
      <c r="IC282" s="333"/>
      <c r="ID282" s="55"/>
      <c r="IE282" s="47"/>
      <c r="IO282" s="51"/>
    </row>
    <row r="283" spans="13:249" s="142" customFormat="1" ht="15" customHeight="1">
      <c r="M283" s="333"/>
      <c r="N283" s="333"/>
      <c r="O283" s="333"/>
      <c r="P283" s="333"/>
      <c r="Q283" s="333"/>
      <c r="R283" s="333"/>
      <c r="S283" s="333"/>
      <c r="T283" s="333"/>
      <c r="U283" s="333"/>
      <c r="V283" s="333"/>
      <c r="W283" s="333"/>
      <c r="X283" s="333"/>
      <c r="Y283" s="333"/>
      <c r="Z283" s="333"/>
      <c r="AA283" s="333"/>
      <c r="AB283" s="333"/>
      <c r="AC283" s="333"/>
      <c r="AD283" s="333"/>
      <c r="AE283" s="333"/>
      <c r="AF283" s="333"/>
      <c r="AG283" s="333"/>
      <c r="AH283" s="333"/>
      <c r="AI283" s="333"/>
      <c r="AJ283" s="333"/>
      <c r="AK283" s="333"/>
      <c r="AL283" s="333"/>
      <c r="AM283" s="333"/>
      <c r="AN283" s="333"/>
      <c r="AO283" s="333"/>
      <c r="AP283" s="333"/>
      <c r="AQ283" s="333"/>
      <c r="AR283" s="333"/>
      <c r="AS283" s="333"/>
      <c r="AT283" s="333"/>
      <c r="AU283" s="333"/>
      <c r="AV283" s="333"/>
      <c r="AW283" s="333"/>
      <c r="AX283" s="333"/>
      <c r="AY283" s="333"/>
      <c r="AZ283" s="333"/>
      <c r="BA283" s="333"/>
      <c r="BB283" s="333"/>
      <c r="BC283" s="333"/>
      <c r="BD283" s="333"/>
      <c r="BE283" s="333"/>
      <c r="BF283" s="333"/>
      <c r="BG283" s="333"/>
      <c r="BH283" s="333"/>
      <c r="BI283" s="333"/>
      <c r="BJ283" s="333"/>
      <c r="BK283" s="333"/>
      <c r="BL283" s="333"/>
      <c r="BM283" s="333"/>
      <c r="BN283" s="333"/>
      <c r="BO283" s="333"/>
      <c r="BP283" s="333"/>
      <c r="BQ283" s="333"/>
      <c r="BR283" s="333"/>
      <c r="BS283" s="333"/>
      <c r="BT283" s="333"/>
      <c r="BU283" s="333"/>
      <c r="BV283" s="333"/>
      <c r="BW283" s="333"/>
      <c r="BX283" s="333"/>
      <c r="BY283" s="333"/>
      <c r="BZ283" s="333"/>
      <c r="CA283" s="333"/>
      <c r="CB283" s="333"/>
      <c r="CC283" s="333"/>
      <c r="CD283" s="333"/>
      <c r="CE283" s="333"/>
      <c r="CF283" s="333"/>
      <c r="CG283" s="333"/>
      <c r="CH283" s="333"/>
      <c r="CI283" s="333"/>
      <c r="CJ283" s="333"/>
      <c r="CK283" s="333"/>
      <c r="CL283" s="333"/>
      <c r="CM283" s="333"/>
      <c r="CN283" s="333"/>
      <c r="CO283" s="333"/>
      <c r="CP283" s="333"/>
      <c r="CQ283" s="333"/>
      <c r="CR283" s="333"/>
      <c r="CS283" s="333"/>
      <c r="CT283" s="333"/>
      <c r="CU283" s="333"/>
      <c r="CV283" s="333"/>
      <c r="CW283" s="333"/>
      <c r="CX283" s="333"/>
      <c r="CY283" s="333"/>
      <c r="CZ283" s="333"/>
      <c r="DA283" s="333"/>
      <c r="DB283" s="333"/>
      <c r="DC283" s="333"/>
      <c r="DD283" s="333"/>
      <c r="DE283" s="333"/>
      <c r="DF283" s="333"/>
      <c r="DG283" s="333"/>
      <c r="DH283" s="333"/>
      <c r="DI283" s="333"/>
      <c r="DJ283" s="333"/>
      <c r="DK283" s="333"/>
      <c r="DL283" s="333"/>
      <c r="DM283" s="333"/>
      <c r="DN283" s="333"/>
      <c r="DO283" s="333"/>
      <c r="DP283" s="333"/>
      <c r="DQ283" s="333"/>
      <c r="DR283" s="333"/>
      <c r="DS283" s="333"/>
      <c r="DT283" s="333"/>
      <c r="DU283" s="375"/>
      <c r="DV283" s="375"/>
      <c r="DW283" s="375"/>
      <c r="DX283" s="375"/>
      <c r="DY283" s="375"/>
      <c r="DZ283" s="375"/>
      <c r="EA283" s="375"/>
      <c r="EB283" s="375"/>
      <c r="EC283" s="375"/>
      <c r="ED283" s="375"/>
      <c r="EE283" s="375"/>
      <c r="EF283" s="375"/>
      <c r="EG283" s="375"/>
      <c r="EH283" s="375"/>
      <c r="EI283" s="375"/>
      <c r="EJ283" s="373"/>
      <c r="EK283" s="373"/>
      <c r="EL283" s="366"/>
      <c r="EM283" s="368"/>
      <c r="EN283" s="364"/>
      <c r="EO283" s="352">
        <f>+SUM(EP281:EP285) - SUM(EQ281:EQ285)</f>
        <v>0</v>
      </c>
      <c r="EP283" s="347"/>
      <c r="EQ283" s="342"/>
      <c r="ER283" s="522"/>
      <c r="ES283" s="916">
        <f>IF(ER283 = "", 0,
IF(AND(EP283 &gt; 0, EQ283 &gt;0), 0, IF(EO281 &lt;&gt; $Z$1,
IF(AND(EP283 &lt;&gt; "", EP283 &lt;&gt; 0), -(EP283 * ER283 * 100),
IF(AND(EQ283 &lt;&gt; "", EQ283 &lt;&gt; 0), (EQ283 * ER283 * 100), 0)),
IF(AND(EP283 &lt;&gt; "", EP283 &lt;&gt; 0), -(EP283 * ER283 * 1),
IF(AND(EQ283 &lt;&gt; "", EQ283 &lt;&gt; 0), (EQ283 * ER283 * 1), 0))  )))</f>
        <v>0</v>
      </c>
      <c r="ET283" s="917"/>
      <c r="EU283" s="918"/>
      <c r="EV283" s="916">
        <f>IF(ER283 = "", 0,
IF(AND(EP283 &gt; 0, EQ283 &gt;0), 0,  IF(EO281 &lt;&gt; $Z$1,
IF(AND(EP283 &lt;&gt; "", EP283 &lt;&gt; 0), -(EP283 * ER283 * 100 * (1 + COMIS_OPCION)),
IF(AND(EQ283 &lt;&gt; "", EQ283 &lt;&gt; 0), (EQ283 * ER283 * 100 * (1 - COMIS_OPCION)), 0)),
IF(AND(EP283 &lt;&gt; "", EP283 &lt;&gt; 0), -(EP283 * ER283 * 1 * (1 + COMIS_ACCION)),
IF(AND(EQ283 &lt;&gt; "", EQ283 &lt;&gt; 0), (EQ283 * ER283 * 1 * (1 - COMIS_ACCION)), 0))  )))</f>
        <v>0</v>
      </c>
      <c r="EW283" s="917"/>
      <c r="EX283" s="917"/>
      <c r="EY283" s="917"/>
      <c r="EZ283" s="917"/>
      <c r="FA283" s="917"/>
      <c r="FB283" s="917"/>
      <c r="FC283" s="917"/>
      <c r="FD283" s="925"/>
      <c r="FE283" s="340"/>
      <c r="FF283" s="340"/>
      <c r="FG283" s="365"/>
      <c r="FH283" s="365"/>
      <c r="FI283" s="354">
        <f>+SUM(FJ281:FJ285) - SUM(FK281:FK285)</f>
        <v>0</v>
      </c>
      <c r="FJ283" s="347"/>
      <c r="FK283" s="342"/>
      <c r="FL283" s="343"/>
      <c r="FM283" s="930">
        <f>IF(FL283 = "", 0,
IF(AND(FJ283 &gt; 0, FK283 &gt;0), 0,
IF(AND(FJ283 &lt;&gt; "", FJ283 &lt;&gt; 0), -(FJ283 * FL283 * 100),
IF(AND(FK283 &lt;&gt; "", FK283 &lt;&gt; 0), (FK283 * FL283 * 100), 0)) ))</f>
        <v>0</v>
      </c>
      <c r="FN283" s="931"/>
      <c r="FO283" s="932"/>
      <c r="FP283" s="930">
        <f>IF(FL283 = "", 0,
IF(AND(FJ283 &gt; 0, FK283 &gt;0), 0,
IF(AND(FJ283 &lt;&gt; "", FJ283 &lt;&gt; 0), -(FJ283 * FL283 * 100 * (1 + COMIS_OPCION)),
IF(AND(FK283 &lt;&gt; "", FK283 &lt;&gt; 0), (FK283 * FL283 * 100 * (1 - COMIS_OPCION)), 0)) ))</f>
        <v>0</v>
      </c>
      <c r="FQ283" s="931"/>
      <c r="FR283" s="931"/>
      <c r="FS283" s="931"/>
      <c r="FT283" s="931"/>
      <c r="FU283" s="931"/>
      <c r="FV283" s="931"/>
      <c r="FW283" s="931"/>
      <c r="FX283" s="933"/>
      <c r="FY283" s="341"/>
      <c r="FZ283" s="341"/>
      <c r="GA283" s="341"/>
      <c r="GB283" s="495">
        <v>0</v>
      </c>
      <c r="GC283" s="495">
        <v>0</v>
      </c>
      <c r="GD283" s="500"/>
      <c r="GE283" s="495">
        <v>0</v>
      </c>
      <c r="GF283" s="495">
        <v>0</v>
      </c>
      <c r="GG283" s="495">
        <v>0</v>
      </c>
      <c r="GH283" s="359"/>
      <c r="GI283" s="359"/>
      <c r="GJ283" s="501"/>
      <c r="GK283" s="495">
        <v>0</v>
      </c>
      <c r="GL283" s="495">
        <v>0</v>
      </c>
      <c r="GM283" s="495">
        <v>0</v>
      </c>
      <c r="GN283" s="359"/>
      <c r="GO283" s="359"/>
      <c r="GP283" s="501"/>
      <c r="GQ283" s="495">
        <v>0</v>
      </c>
      <c r="GR283" s="375"/>
      <c r="GS283" s="333"/>
      <c r="GT283" s="333"/>
      <c r="GU283" s="333"/>
      <c r="GV283" s="333"/>
      <c r="GW283" s="333"/>
      <c r="GX283" s="333"/>
      <c r="GY283" s="333"/>
      <c r="GZ283" s="333"/>
      <c r="HA283" s="333"/>
      <c r="HB283" s="333"/>
      <c r="HC283" s="333"/>
      <c r="HD283" s="333"/>
      <c r="HE283" s="333"/>
      <c r="HF283" s="333"/>
      <c r="HG283" s="331"/>
      <c r="HH283" s="331"/>
      <c r="HI283" s="331"/>
      <c r="HJ283" s="331"/>
      <c r="HK283" s="331"/>
      <c r="HL283" s="331"/>
      <c r="HM283" s="331"/>
      <c r="HN283" s="333"/>
      <c r="HO283" s="333"/>
      <c r="HP283" s="333"/>
      <c r="HQ283" s="333"/>
      <c r="HR283" s="333"/>
      <c r="HS283" s="333"/>
      <c r="HT283" s="333"/>
      <c r="HU283" s="333"/>
      <c r="HV283" s="333"/>
      <c r="HW283" s="333"/>
      <c r="HX283" s="333"/>
      <c r="HY283" s="333"/>
      <c r="HZ283" s="333"/>
      <c r="IA283" s="333"/>
      <c r="IB283" s="333"/>
      <c r="IC283" s="333"/>
      <c r="ID283" s="55"/>
      <c r="IE283" s="47"/>
      <c r="IO283" s="51"/>
    </row>
    <row r="284" spans="13:249" s="142" customFormat="1" ht="15" customHeight="1">
      <c r="M284" s="333"/>
      <c r="N284" s="333"/>
      <c r="O284" s="333"/>
      <c r="P284" s="333"/>
      <c r="Q284" s="333"/>
      <c r="R284" s="333"/>
      <c r="S284" s="333"/>
      <c r="T284" s="333"/>
      <c r="U284" s="333"/>
      <c r="V284" s="333"/>
      <c r="W284" s="333"/>
      <c r="X284" s="333"/>
      <c r="Y284" s="333"/>
      <c r="Z284" s="333"/>
      <c r="AA284" s="333"/>
      <c r="AB284" s="333"/>
      <c r="AC284" s="333"/>
      <c r="AD284" s="333"/>
      <c r="AE284" s="333"/>
      <c r="AF284" s="333"/>
      <c r="AG284" s="333"/>
      <c r="AH284" s="333"/>
      <c r="AI284" s="333"/>
      <c r="AJ284" s="333"/>
      <c r="AK284" s="333"/>
      <c r="AL284" s="333"/>
      <c r="AM284" s="333"/>
      <c r="AN284" s="333"/>
      <c r="AO284" s="333"/>
      <c r="AP284" s="333"/>
      <c r="AQ284" s="333"/>
      <c r="AR284" s="333"/>
      <c r="AS284" s="333"/>
      <c r="AT284" s="333"/>
      <c r="AU284" s="333"/>
      <c r="AV284" s="333"/>
      <c r="AW284" s="333"/>
      <c r="AX284" s="333"/>
      <c r="AY284" s="333"/>
      <c r="AZ284" s="333"/>
      <c r="BA284" s="333"/>
      <c r="BB284" s="333"/>
      <c r="BC284" s="333"/>
      <c r="BD284" s="333"/>
      <c r="BE284" s="333"/>
      <c r="BF284" s="333"/>
      <c r="BG284" s="333"/>
      <c r="BH284" s="333"/>
      <c r="BI284" s="333"/>
      <c r="BJ284" s="333"/>
      <c r="BK284" s="333"/>
      <c r="BL284" s="333"/>
      <c r="BM284" s="333"/>
      <c r="BN284" s="333"/>
      <c r="BO284" s="333"/>
      <c r="BP284" s="333"/>
      <c r="BQ284" s="333"/>
      <c r="BR284" s="333"/>
      <c r="BS284" s="333"/>
      <c r="BT284" s="333"/>
      <c r="BU284" s="333"/>
      <c r="BV284" s="333"/>
      <c r="BW284" s="333"/>
      <c r="BX284" s="333"/>
      <c r="BY284" s="333"/>
      <c r="BZ284" s="333"/>
      <c r="CA284" s="333"/>
      <c r="CB284" s="333"/>
      <c r="CC284" s="333"/>
      <c r="CD284" s="333"/>
      <c r="CE284" s="333"/>
      <c r="CF284" s="333"/>
      <c r="CG284" s="333"/>
      <c r="CH284" s="333"/>
      <c r="CI284" s="333"/>
      <c r="CJ284" s="333"/>
      <c r="CK284" s="333"/>
      <c r="CL284" s="333"/>
      <c r="CM284" s="333"/>
      <c r="CN284" s="333"/>
      <c r="CO284" s="333"/>
      <c r="CP284" s="333"/>
      <c r="CQ284" s="333"/>
      <c r="CR284" s="333"/>
      <c r="CS284" s="333"/>
      <c r="CT284" s="333"/>
      <c r="CU284" s="333"/>
      <c r="CV284" s="333"/>
      <c r="CW284" s="333"/>
      <c r="CX284" s="333"/>
      <c r="CY284" s="333"/>
      <c r="CZ284" s="333"/>
      <c r="DA284" s="333"/>
      <c r="DB284" s="333"/>
      <c r="DC284" s="333"/>
      <c r="DD284" s="333"/>
      <c r="DE284" s="333"/>
      <c r="DF284" s="333"/>
      <c r="DG284" s="333"/>
      <c r="DH284" s="333"/>
      <c r="DI284" s="333"/>
      <c r="DJ284" s="333"/>
      <c r="DK284" s="333"/>
      <c r="DL284" s="333"/>
      <c r="DM284" s="333"/>
      <c r="DN284" s="333"/>
      <c r="DO284" s="333"/>
      <c r="DP284" s="333"/>
      <c r="DQ284" s="333"/>
      <c r="DR284" s="333"/>
      <c r="DS284" s="333"/>
      <c r="DT284" s="333"/>
      <c r="DU284" s="375"/>
      <c r="DV284" s="375"/>
      <c r="DW284" s="375"/>
      <c r="DX284" s="375"/>
      <c r="DY284" s="375"/>
      <c r="DZ284" s="375"/>
      <c r="EA284" s="375"/>
      <c r="EB284" s="375"/>
      <c r="EC284" s="375"/>
      <c r="ED284" s="375"/>
      <c r="EE284" s="375"/>
      <c r="EF284" s="375"/>
      <c r="EG284" s="375"/>
      <c r="EH284" s="375"/>
      <c r="EI284" s="375"/>
      <c r="EJ284" s="373"/>
      <c r="EK284" s="373"/>
      <c r="EL284" s="366"/>
      <c r="EM284" s="368"/>
      <c r="EN284" s="364"/>
      <c r="EO284" s="352">
        <f>IF(EO283=0, 0, SUM(EV281:FD285))</f>
        <v>0</v>
      </c>
      <c r="EP284" s="347"/>
      <c r="EQ284" s="342"/>
      <c r="ER284" s="522"/>
      <c r="ES284" s="916">
        <f>IF(ER284 = "", 0,
IF(AND(EP284 &gt; 0, EQ284 &gt;0), 0, IF(EO281 &lt;&gt; $Z$1,
IF(AND(EP284 &lt;&gt; "", EP284 &lt;&gt; 0), -(EP284 * ER284 * 100),
IF(AND(EQ284 &lt;&gt; "", EQ284 &lt;&gt; 0), (EQ284 * ER284 * 100), 0)),
IF(AND(EP284 &lt;&gt; "", EP284 &lt;&gt; 0), -(EP284 * ER284 * 1),
IF(AND(EQ284 &lt;&gt; "", EQ284 &lt;&gt; 0), (EQ284 * ER284 * 1), 0))  )))</f>
        <v>0</v>
      </c>
      <c r="ET284" s="917"/>
      <c r="EU284" s="918"/>
      <c r="EV284" s="916">
        <f>IF(ER284 = "", 0,
IF(AND(EP284 &gt; 0, EQ284 &gt;0), 0,  IF(EO281 &lt;&gt; $Z$1,
IF(AND(EP284 &lt;&gt; "", EP284 &lt;&gt; 0), -(EP284 * ER284 * 100 * (1 + COMIS_OPCION)),
IF(AND(EQ284 &lt;&gt; "", EQ284 &lt;&gt; 0), (EQ284 * ER284 * 100 * (1 - COMIS_OPCION)), 0)),
IF(AND(EP284 &lt;&gt; "", EP284 &lt;&gt; 0), -(EP284 * ER284 * 1 * (1 + COMIS_ACCION)),
IF(AND(EQ284 &lt;&gt; "", EQ284 &lt;&gt; 0), (EQ284 * ER284 * 1 * (1 - COMIS_ACCION)), 0))  )))</f>
        <v>0</v>
      </c>
      <c r="EW284" s="917"/>
      <c r="EX284" s="917"/>
      <c r="EY284" s="917"/>
      <c r="EZ284" s="917"/>
      <c r="FA284" s="917"/>
      <c r="FB284" s="917"/>
      <c r="FC284" s="917"/>
      <c r="FD284" s="925"/>
      <c r="FE284" s="340"/>
      <c r="FF284" s="340"/>
      <c r="FG284" s="365"/>
      <c r="FH284" s="365"/>
      <c r="FI284" s="354">
        <f>IF(FI283=0, 0, SUM(FP281:FX285))</f>
        <v>0</v>
      </c>
      <c r="FJ284" s="347"/>
      <c r="FK284" s="342"/>
      <c r="FL284" s="343"/>
      <c r="FM284" s="930">
        <f>IF(FL284 = "", 0,
IF(AND(FJ284 &gt; 0, FK284 &gt;0), 0,
IF(AND(FJ284 &lt;&gt; "", FJ284 &lt;&gt; 0), -(FJ284 * FL284 * 100),
IF(AND(FK284 &lt;&gt; "", FK284 &lt;&gt; 0), (FK284 * FL284 * 100), 0)) ))</f>
        <v>0</v>
      </c>
      <c r="FN284" s="931"/>
      <c r="FO284" s="932"/>
      <c r="FP284" s="930">
        <f>IF(FL284 = "", 0,
IF(AND(FJ284 &gt; 0, FK284 &gt;0), 0,
IF(AND(FJ284 &lt;&gt; "", FJ284 &lt;&gt; 0), -(FJ284 * FL284 * 100 * (1 + COMIS_OPCION)),
IF(AND(FK284 &lt;&gt; "", FK284 &lt;&gt; 0), (FK284 * FL284 * 100 * (1 - COMIS_OPCION)), 0)) ))</f>
        <v>0</v>
      </c>
      <c r="FQ284" s="931"/>
      <c r="FR284" s="931"/>
      <c r="FS284" s="931"/>
      <c r="FT284" s="931"/>
      <c r="FU284" s="931"/>
      <c r="FV284" s="931"/>
      <c r="FW284" s="931"/>
      <c r="FX284" s="933"/>
      <c r="FY284" s="341"/>
      <c r="FZ284" s="341"/>
      <c r="GA284" s="341"/>
      <c r="GB284" s="495">
        <v>0</v>
      </c>
      <c r="GC284" s="495">
        <v>0</v>
      </c>
      <c r="GD284" s="500"/>
      <c r="GE284" s="495">
        <v>0</v>
      </c>
      <c r="GF284" s="495">
        <v>0</v>
      </c>
      <c r="GG284" s="495">
        <v>0</v>
      </c>
      <c r="GH284" s="359"/>
      <c r="GI284" s="359"/>
      <c r="GJ284" s="501"/>
      <c r="GK284" s="495">
        <v>0</v>
      </c>
      <c r="GL284" s="495">
        <v>0</v>
      </c>
      <c r="GM284" s="495">
        <v>0</v>
      </c>
      <c r="GN284" s="359"/>
      <c r="GO284" s="359"/>
      <c r="GP284" s="501"/>
      <c r="GQ284" s="495">
        <v>0</v>
      </c>
      <c r="GR284" s="375"/>
      <c r="GS284" s="333"/>
      <c r="GT284" s="333"/>
      <c r="GU284" s="333"/>
      <c r="GV284" s="333"/>
      <c r="GW284" s="333"/>
      <c r="GX284" s="333"/>
      <c r="GY284" s="333"/>
      <c r="GZ284" s="333"/>
      <c r="HA284" s="333"/>
      <c r="HB284" s="333"/>
      <c r="HC284" s="333"/>
      <c r="HD284" s="333"/>
      <c r="HE284" s="333"/>
      <c r="HF284" s="333"/>
      <c r="HG284" s="331"/>
      <c r="HH284" s="331"/>
      <c r="HI284" s="331"/>
      <c r="HJ284" s="331"/>
      <c r="HK284" s="331"/>
      <c r="HL284" s="331"/>
      <c r="HM284" s="331"/>
      <c r="HN284" s="333"/>
      <c r="HO284" s="333"/>
      <c r="HP284" s="333"/>
      <c r="HQ284" s="333"/>
      <c r="HR284" s="333"/>
      <c r="HS284" s="333"/>
      <c r="HT284" s="333"/>
      <c r="HU284" s="333"/>
      <c r="HV284" s="333"/>
      <c r="HW284" s="333"/>
      <c r="HX284" s="333"/>
      <c r="HY284" s="333"/>
      <c r="HZ284" s="333"/>
      <c r="IA284" s="333"/>
      <c r="IB284" s="333"/>
      <c r="IC284" s="333"/>
      <c r="ID284" s="55"/>
      <c r="IE284" s="47"/>
      <c r="IO284" s="51"/>
    </row>
    <row r="285" spans="13:249" s="142" customFormat="1" ht="15" customHeight="1" thickBot="1">
      <c r="M285" s="333"/>
      <c r="N285" s="333"/>
      <c r="O285" s="333"/>
      <c r="P285" s="333"/>
      <c r="Q285" s="333"/>
      <c r="R285" s="333"/>
      <c r="S285" s="333"/>
      <c r="T285" s="333"/>
      <c r="U285" s="333"/>
      <c r="V285" s="333"/>
      <c r="W285" s="333"/>
      <c r="X285" s="333"/>
      <c r="Y285" s="333"/>
      <c r="Z285" s="333"/>
      <c r="AA285" s="333"/>
      <c r="AB285" s="333"/>
      <c r="AC285" s="333"/>
      <c r="AD285" s="333"/>
      <c r="AE285" s="333"/>
      <c r="AF285" s="333"/>
      <c r="AG285" s="333"/>
      <c r="AH285" s="333"/>
      <c r="AI285" s="333"/>
      <c r="AJ285" s="333"/>
      <c r="AK285" s="333"/>
      <c r="AL285" s="333"/>
      <c r="AM285" s="333"/>
      <c r="AN285" s="333"/>
      <c r="AO285" s="333"/>
      <c r="AP285" s="333"/>
      <c r="AQ285" s="333"/>
      <c r="AR285" s="333"/>
      <c r="AS285" s="333"/>
      <c r="AT285" s="333"/>
      <c r="AU285" s="333"/>
      <c r="AV285" s="333"/>
      <c r="AW285" s="333"/>
      <c r="AX285" s="333"/>
      <c r="AY285" s="333"/>
      <c r="AZ285" s="333"/>
      <c r="BA285" s="333"/>
      <c r="BB285" s="333"/>
      <c r="BC285" s="333"/>
      <c r="BD285" s="333"/>
      <c r="BE285" s="333"/>
      <c r="BF285" s="333"/>
      <c r="BG285" s="333"/>
      <c r="BH285" s="333"/>
      <c r="BI285" s="333"/>
      <c r="BJ285" s="333"/>
      <c r="BK285" s="333"/>
      <c r="BL285" s="333"/>
      <c r="BM285" s="333"/>
      <c r="BN285" s="333"/>
      <c r="BO285" s="333"/>
      <c r="BP285" s="333"/>
      <c r="BQ285" s="333"/>
      <c r="BR285" s="333"/>
      <c r="BS285" s="333"/>
      <c r="BT285" s="333"/>
      <c r="BU285" s="333"/>
      <c r="BV285" s="333"/>
      <c r="BW285" s="333"/>
      <c r="BX285" s="333"/>
      <c r="BY285" s="333"/>
      <c r="BZ285" s="333"/>
      <c r="CA285" s="333"/>
      <c r="CB285" s="333"/>
      <c r="CC285" s="333"/>
      <c r="CD285" s="333"/>
      <c r="CE285" s="333"/>
      <c r="CF285" s="333"/>
      <c r="CG285" s="333"/>
      <c r="CH285" s="333"/>
      <c r="CI285" s="333"/>
      <c r="CJ285" s="333"/>
      <c r="CK285" s="333"/>
      <c r="CL285" s="333"/>
      <c r="CM285" s="333"/>
      <c r="CN285" s="333"/>
      <c r="CO285" s="333"/>
      <c r="CP285" s="333"/>
      <c r="CQ285" s="333"/>
      <c r="CR285" s="333"/>
      <c r="CS285" s="333"/>
      <c r="CT285" s="333"/>
      <c r="CU285" s="333"/>
      <c r="CV285" s="333"/>
      <c r="CW285" s="333"/>
      <c r="CX285" s="333"/>
      <c r="CY285" s="333"/>
      <c r="CZ285" s="333"/>
      <c r="DA285" s="333"/>
      <c r="DB285" s="333"/>
      <c r="DC285" s="333"/>
      <c r="DD285" s="333"/>
      <c r="DE285" s="333"/>
      <c r="DF285" s="333"/>
      <c r="DG285" s="333"/>
      <c r="DH285" s="333"/>
      <c r="DI285" s="333"/>
      <c r="DJ285" s="333"/>
      <c r="DK285" s="333"/>
      <c r="DL285" s="333"/>
      <c r="DM285" s="333"/>
      <c r="DN285" s="333"/>
      <c r="DO285" s="333"/>
      <c r="DP285" s="333"/>
      <c r="DQ285" s="333"/>
      <c r="DR285" s="333"/>
      <c r="DS285" s="333"/>
      <c r="DT285" s="333"/>
      <c r="DU285" s="375"/>
      <c r="DV285" s="375"/>
      <c r="DW285" s="375"/>
      <c r="DX285" s="375"/>
      <c r="DY285" s="375"/>
      <c r="DZ285" s="375"/>
      <c r="EA285" s="375"/>
      <c r="EB285" s="375"/>
      <c r="EC285" s="375"/>
      <c r="ED285" s="375"/>
      <c r="EE285" s="375"/>
      <c r="EF285" s="375"/>
      <c r="EG285" s="375"/>
      <c r="EH285" s="375"/>
      <c r="EI285" s="375"/>
      <c r="EJ285" s="373"/>
      <c r="EK285" s="373"/>
      <c r="EL285" s="366"/>
      <c r="EM285" s="368"/>
      <c r="EN285" s="364"/>
      <c r="EO285" s="353">
        <f>+IF(EO283= 0, 0, GG281)</f>
        <v>0</v>
      </c>
      <c r="EP285" s="350"/>
      <c r="EQ285" s="344"/>
      <c r="ER285" s="523"/>
      <c r="ES285" s="921">
        <f>IF(ER285 = "", 0,
IF(AND(EP285 &gt; 0, EQ285 &gt;0), 0, IF(EO281 &lt;&gt; $Z$1,
IF(AND(EP285 &lt;&gt; "", EP285 &lt;&gt; 0), -(EP285 * ER285 * 100),
IF(AND(EQ285 &lt;&gt; "", EQ285 &lt;&gt; 0), (EQ285 * ER285 * 100), 0)),
IF(AND(EP285 &lt;&gt; "", EP285 &lt;&gt; 0), -(EP285 * ER285 * 1),
IF(AND(EQ285 &lt;&gt; "", EQ285 &lt;&gt; 0), (EQ285 * ER285 * 1), 0))  )))</f>
        <v>0</v>
      </c>
      <c r="ET285" s="922"/>
      <c r="EU285" s="924"/>
      <c r="EV285" s="921">
        <f>IF(ER285 = "", 0,
IF(AND(EP285 &gt; 0, EQ285 &gt;0), 0,  IF(EO281 &lt;&gt; $Z$1,
IF(AND(EP285 &lt;&gt; "", EP285 &lt;&gt; 0), -(EP285 * ER285 * 100 * (1 + COMIS_OPCION)),
IF(AND(EQ285 &lt;&gt; "", EQ285 &lt;&gt; 0), (EQ285 * ER285 * 100 * (1 - COMIS_OPCION)), 0)),
IF(AND(EP285 &lt;&gt; "", EP285 &lt;&gt; 0), -(EP285 * ER285 * 1 * (1 + COMIS_ACCION)),
IF(AND(EQ285 &lt;&gt; "", EQ285 &lt;&gt; 0), (EQ285 * ER285 * 1 * (1 - COMIS_ACCION)), 0))  )))</f>
        <v>0</v>
      </c>
      <c r="EW285" s="922"/>
      <c r="EX285" s="922"/>
      <c r="EY285" s="922"/>
      <c r="EZ285" s="922"/>
      <c r="FA285" s="922"/>
      <c r="FB285" s="922"/>
      <c r="FC285" s="922"/>
      <c r="FD285" s="923"/>
      <c r="FE285" s="340"/>
      <c r="FF285" s="340"/>
      <c r="FG285" s="365"/>
      <c r="FH285" s="365"/>
      <c r="FI285" s="349">
        <f>+IF(FI283= 0, 0, GQ281)</f>
        <v>0</v>
      </c>
      <c r="FJ285" s="348"/>
      <c r="FK285" s="345"/>
      <c r="FL285" s="346"/>
      <c r="FM285" s="937">
        <f>IF(FL285 = "", 0,
IF(AND(FJ285 &gt; 0, FK285 &gt;0), 0,
IF(AND(FJ285 &lt;&gt; "", FJ285 &lt;&gt; 0), -(FJ285 * FL285 * 100),
IF(AND(FK285 &lt;&gt; "", FK285 &lt;&gt; 0), (FK285 * FL285 * 100), 0)) ))</f>
        <v>0</v>
      </c>
      <c r="FN285" s="938"/>
      <c r="FO285" s="939"/>
      <c r="FP285" s="937">
        <f>IF(FL285 = "", 0,
IF(AND(FJ285 &gt; 0, FK285 &gt;0), 0,
IF(AND(FJ285 &lt;&gt; "", FJ285 &lt;&gt; 0), -(FJ285 * FL285 * 100 * (1 + COMIS_OPCION)),
IF(AND(FK285 &lt;&gt; "", FK285 &lt;&gt; 0), (FK285 * FL285 * 100 * (1 - COMIS_OPCION)), 0)) ))</f>
        <v>0</v>
      </c>
      <c r="FQ285" s="938"/>
      <c r="FR285" s="938"/>
      <c r="FS285" s="938"/>
      <c r="FT285" s="938"/>
      <c r="FU285" s="938"/>
      <c r="FV285" s="938"/>
      <c r="FW285" s="938"/>
      <c r="FX285" s="969"/>
      <c r="FY285" s="341"/>
      <c r="FZ285" s="341"/>
      <c r="GA285" s="341"/>
      <c r="GB285" s="495">
        <v>0</v>
      </c>
      <c r="GC285" s="495">
        <v>0</v>
      </c>
      <c r="GD285" s="500"/>
      <c r="GE285" s="495">
        <v>0</v>
      </c>
      <c r="GF285" s="495">
        <v>0</v>
      </c>
      <c r="GG285" s="495">
        <v>0</v>
      </c>
      <c r="GH285" s="359"/>
      <c r="GI285" s="359"/>
      <c r="GJ285" s="501"/>
      <c r="GK285" s="495">
        <v>0</v>
      </c>
      <c r="GL285" s="495">
        <v>0</v>
      </c>
      <c r="GM285" s="495">
        <v>0</v>
      </c>
      <c r="GN285" s="359"/>
      <c r="GO285" s="359"/>
      <c r="GP285" s="501"/>
      <c r="GQ285" s="495">
        <v>0</v>
      </c>
      <c r="GR285" s="375"/>
      <c r="GS285" s="333"/>
      <c r="GT285" s="333"/>
      <c r="GU285" s="333"/>
      <c r="GV285" s="333"/>
      <c r="GW285" s="333"/>
      <c r="GX285" s="333"/>
      <c r="GY285" s="333"/>
      <c r="GZ285" s="333"/>
      <c r="HA285" s="333"/>
      <c r="HB285" s="333"/>
      <c r="HC285" s="333"/>
      <c r="HD285" s="333"/>
      <c r="HE285" s="333"/>
      <c r="HF285" s="333"/>
      <c r="HG285" s="331"/>
      <c r="HH285" s="331"/>
      <c r="HI285" s="331"/>
      <c r="HJ285" s="331"/>
      <c r="HK285" s="331"/>
      <c r="HL285" s="331"/>
      <c r="HM285" s="331"/>
      <c r="HN285" s="333"/>
      <c r="HO285" s="333"/>
      <c r="HP285" s="333"/>
      <c r="HQ285" s="333"/>
      <c r="HR285" s="333"/>
      <c r="HS285" s="333"/>
      <c r="HT285" s="333"/>
      <c r="HU285" s="333"/>
      <c r="HV285" s="333"/>
      <c r="HW285" s="333"/>
      <c r="HX285" s="333"/>
      <c r="HY285" s="333"/>
      <c r="HZ285" s="333"/>
      <c r="IA285" s="333"/>
      <c r="IB285" s="333"/>
      <c r="IC285" s="333"/>
      <c r="ID285" s="55"/>
      <c r="IE285" s="47"/>
      <c r="IO285" s="51"/>
    </row>
    <row r="286" spans="13:249" s="142" customFormat="1" ht="15" customHeight="1" thickBot="1">
      <c r="M286" s="333"/>
      <c r="N286" s="333"/>
      <c r="O286" s="333"/>
      <c r="P286" s="333"/>
      <c r="Q286" s="333"/>
      <c r="R286" s="333"/>
      <c r="S286" s="333"/>
      <c r="T286" s="333"/>
      <c r="U286" s="333"/>
      <c r="V286" s="333"/>
      <c r="W286" s="333"/>
      <c r="X286" s="333"/>
      <c r="Y286" s="333"/>
      <c r="Z286" s="333"/>
      <c r="AA286" s="333"/>
      <c r="AB286" s="333"/>
      <c r="AC286" s="333"/>
      <c r="AD286" s="333"/>
      <c r="AE286" s="333"/>
      <c r="AF286" s="333"/>
      <c r="AG286" s="333"/>
      <c r="AH286" s="333"/>
      <c r="AI286" s="333"/>
      <c r="AJ286" s="333"/>
      <c r="AK286" s="333"/>
      <c r="AL286" s="333"/>
      <c r="AM286" s="333"/>
      <c r="AN286" s="333"/>
      <c r="AO286" s="333"/>
      <c r="AP286" s="333"/>
      <c r="AQ286" s="333"/>
      <c r="AR286" s="333"/>
      <c r="AS286" s="333"/>
      <c r="AT286" s="333"/>
      <c r="AU286" s="333"/>
      <c r="AV286" s="333"/>
      <c r="AW286" s="333"/>
      <c r="AX286" s="333"/>
      <c r="AY286" s="333"/>
      <c r="AZ286" s="333"/>
      <c r="BA286" s="333"/>
      <c r="BB286" s="333"/>
      <c r="BC286" s="333"/>
      <c r="BD286" s="333"/>
      <c r="BE286" s="333"/>
      <c r="BF286" s="333"/>
      <c r="BG286" s="333"/>
      <c r="BH286" s="333"/>
      <c r="BI286" s="333"/>
      <c r="BJ286" s="333"/>
      <c r="BK286" s="333"/>
      <c r="BL286" s="333"/>
      <c r="BM286" s="333"/>
      <c r="BN286" s="333"/>
      <c r="BO286" s="333"/>
      <c r="BP286" s="333"/>
      <c r="BQ286" s="333"/>
      <c r="BR286" s="333"/>
      <c r="BS286" s="333"/>
      <c r="BT286" s="333"/>
      <c r="BU286" s="333"/>
      <c r="BV286" s="333"/>
      <c r="BW286" s="333"/>
      <c r="BX286" s="333"/>
      <c r="BY286" s="333"/>
      <c r="BZ286" s="333"/>
      <c r="CA286" s="333"/>
      <c r="CB286" s="333"/>
      <c r="CC286" s="333"/>
      <c r="CD286" s="333"/>
      <c r="CE286" s="333"/>
      <c r="CF286" s="333"/>
      <c r="CG286" s="333"/>
      <c r="CH286" s="333"/>
      <c r="CI286" s="333"/>
      <c r="CJ286" s="333"/>
      <c r="CK286" s="333"/>
      <c r="CL286" s="333"/>
      <c r="CM286" s="333"/>
      <c r="CN286" s="333"/>
      <c r="CO286" s="333"/>
      <c r="CP286" s="333"/>
      <c r="CQ286" s="333"/>
      <c r="CR286" s="333"/>
      <c r="CS286" s="333"/>
      <c r="CT286" s="333"/>
      <c r="CU286" s="333"/>
      <c r="CV286" s="333"/>
      <c r="CW286" s="333"/>
      <c r="CX286" s="333"/>
      <c r="CY286" s="333"/>
      <c r="CZ286" s="333"/>
      <c r="DA286" s="333"/>
      <c r="DB286" s="333"/>
      <c r="DC286" s="333"/>
      <c r="DD286" s="333"/>
      <c r="DE286" s="333"/>
      <c r="DF286" s="333"/>
      <c r="DG286" s="333"/>
      <c r="DH286" s="333"/>
      <c r="DI286" s="333"/>
      <c r="DJ286" s="333"/>
      <c r="DK286" s="333"/>
      <c r="DL286" s="333"/>
      <c r="DM286" s="333"/>
      <c r="DN286" s="333"/>
      <c r="DO286" s="333"/>
      <c r="DP286" s="333"/>
      <c r="DQ286" s="333"/>
      <c r="DR286" s="333"/>
      <c r="DS286" s="333"/>
      <c r="DT286" s="333"/>
      <c r="DU286" s="375"/>
      <c r="DV286" s="375"/>
      <c r="DW286" s="375"/>
      <c r="DX286" s="375"/>
      <c r="DY286" s="375"/>
      <c r="DZ286" s="375"/>
      <c r="EA286" s="375"/>
      <c r="EB286" s="375"/>
      <c r="EC286" s="375"/>
      <c r="ED286" s="375"/>
      <c r="EE286" s="375"/>
      <c r="EF286" s="375"/>
      <c r="EG286" s="375"/>
      <c r="EH286" s="375"/>
      <c r="EI286" s="375"/>
      <c r="EJ286" s="373"/>
      <c r="EK286" s="373"/>
      <c r="EL286" s="366"/>
      <c r="EM286" s="369"/>
      <c r="EN286" s="364"/>
      <c r="EO286" s="363"/>
      <c r="EP286" s="340"/>
      <c r="EQ286" s="340"/>
      <c r="ER286" s="340"/>
      <c r="ES286" s="363"/>
      <c r="ET286" s="363"/>
      <c r="EU286" s="340"/>
      <c r="EV286" s="340"/>
      <c r="EW286" s="340"/>
      <c r="EX286" s="340"/>
      <c r="EY286" s="340"/>
      <c r="EZ286" s="340"/>
      <c r="FA286" s="340"/>
      <c r="FB286" s="402"/>
      <c r="FC286" s="402"/>
      <c r="FD286" s="340"/>
      <c r="FE286" s="340"/>
      <c r="FF286" s="340"/>
      <c r="FG286" s="364"/>
      <c r="FH286" s="364"/>
      <c r="FI286" s="363"/>
      <c r="FJ286" s="360"/>
      <c r="FK286" s="360"/>
      <c r="FL286" s="340"/>
      <c r="FM286" s="967"/>
      <c r="FN286" s="967"/>
      <c r="FO286" s="967"/>
      <c r="FP286" s="968"/>
      <c r="FQ286" s="968"/>
      <c r="FR286" s="968"/>
      <c r="FS286" s="968"/>
      <c r="FT286" s="968"/>
      <c r="FU286" s="968"/>
      <c r="FV286" s="968"/>
      <c r="FW286" s="968"/>
      <c r="FX286" s="968"/>
      <c r="FY286" s="341"/>
      <c r="FZ286" s="341"/>
      <c r="GA286" s="341"/>
      <c r="GB286" s="495">
        <v>0</v>
      </c>
      <c r="GC286" s="495">
        <v>0</v>
      </c>
      <c r="GD286" s="500"/>
      <c r="GE286" s="495">
        <v>0</v>
      </c>
      <c r="GF286" s="495">
        <v>0</v>
      </c>
      <c r="GG286" s="495">
        <v>0</v>
      </c>
      <c r="GH286" s="359"/>
      <c r="GI286" s="359"/>
      <c r="GJ286" s="501"/>
      <c r="GK286" s="495">
        <v>0</v>
      </c>
      <c r="GL286" s="495">
        <v>0</v>
      </c>
      <c r="GM286" s="495">
        <v>0</v>
      </c>
      <c r="GN286" s="359"/>
      <c r="GO286" s="359"/>
      <c r="GP286" s="501"/>
      <c r="GQ286" s="495">
        <v>0</v>
      </c>
      <c r="GR286" s="375"/>
      <c r="GS286" s="333"/>
      <c r="GT286" s="333"/>
      <c r="GU286" s="333"/>
      <c r="GV286" s="333"/>
      <c r="GW286" s="333"/>
      <c r="GX286" s="333"/>
      <c r="GY286" s="333"/>
      <c r="GZ286" s="333"/>
      <c r="HA286" s="333"/>
      <c r="HB286" s="333"/>
      <c r="HC286" s="333"/>
      <c r="HD286" s="333"/>
      <c r="HE286" s="333"/>
      <c r="HF286" s="333"/>
      <c r="HG286" s="331"/>
      <c r="HH286" s="331"/>
      <c r="HI286" s="331"/>
      <c r="HJ286" s="331"/>
      <c r="HK286" s="331"/>
      <c r="HL286" s="331"/>
      <c r="HM286" s="331"/>
      <c r="HN286" s="333"/>
      <c r="HO286" s="333"/>
      <c r="HP286" s="333"/>
      <c r="HQ286" s="333"/>
      <c r="HR286" s="333"/>
      <c r="HS286" s="333"/>
      <c r="HT286" s="333"/>
      <c r="HU286" s="333"/>
      <c r="HV286" s="333"/>
      <c r="HW286" s="333"/>
      <c r="HX286" s="333"/>
      <c r="HY286" s="333"/>
      <c r="HZ286" s="333"/>
      <c r="IA286" s="333"/>
      <c r="IB286" s="333"/>
      <c r="IC286" s="333"/>
      <c r="ID286" s="55"/>
      <c r="IE286" s="47"/>
      <c r="IO286" s="51"/>
    </row>
    <row r="287" spans="13:249" s="142" customFormat="1" ht="15" customHeight="1">
      <c r="M287" s="333"/>
      <c r="N287" s="333"/>
      <c r="O287" s="333"/>
      <c r="P287" s="333"/>
      <c r="Q287" s="333"/>
      <c r="R287" s="333"/>
      <c r="S287" s="333"/>
      <c r="T287" s="333"/>
      <c r="U287" s="333"/>
      <c r="V287" s="333"/>
      <c r="W287" s="333"/>
      <c r="X287" s="333"/>
      <c r="Y287" s="333"/>
      <c r="Z287" s="333"/>
      <c r="AA287" s="333"/>
      <c r="AB287" s="333"/>
      <c r="AC287" s="333"/>
      <c r="AD287" s="333"/>
      <c r="AE287" s="333"/>
      <c r="AF287" s="333"/>
      <c r="AG287" s="333"/>
      <c r="AH287" s="333"/>
      <c r="AI287" s="333"/>
      <c r="AJ287" s="333"/>
      <c r="AK287" s="333"/>
      <c r="AL287" s="333"/>
      <c r="AM287" s="333"/>
      <c r="AN287" s="333"/>
      <c r="AO287" s="333"/>
      <c r="AP287" s="333"/>
      <c r="AQ287" s="333"/>
      <c r="AR287" s="333"/>
      <c r="AS287" s="333"/>
      <c r="AT287" s="333"/>
      <c r="AU287" s="333"/>
      <c r="AV287" s="333"/>
      <c r="AW287" s="333"/>
      <c r="AX287" s="333"/>
      <c r="AY287" s="333"/>
      <c r="AZ287" s="333"/>
      <c r="BA287" s="333"/>
      <c r="BB287" s="333"/>
      <c r="BC287" s="333"/>
      <c r="BD287" s="333"/>
      <c r="BE287" s="333"/>
      <c r="BF287" s="333"/>
      <c r="BG287" s="333"/>
      <c r="BH287" s="333"/>
      <c r="BI287" s="333"/>
      <c r="BJ287" s="333"/>
      <c r="BK287" s="333"/>
      <c r="BL287" s="333"/>
      <c r="BM287" s="333"/>
      <c r="BN287" s="333"/>
      <c r="BO287" s="333"/>
      <c r="BP287" s="333"/>
      <c r="BQ287" s="333"/>
      <c r="BR287" s="333"/>
      <c r="BS287" s="333"/>
      <c r="BT287" s="333"/>
      <c r="BU287" s="333"/>
      <c r="BV287" s="333"/>
      <c r="BW287" s="333"/>
      <c r="BX287" s="333"/>
      <c r="BY287" s="333"/>
      <c r="BZ287" s="333"/>
      <c r="CA287" s="333"/>
      <c r="CB287" s="333"/>
      <c r="CC287" s="333"/>
      <c r="CD287" s="333"/>
      <c r="CE287" s="333"/>
      <c r="CF287" s="333"/>
      <c r="CG287" s="333"/>
      <c r="CH287" s="333"/>
      <c r="CI287" s="333"/>
      <c r="CJ287" s="333"/>
      <c r="CK287" s="333"/>
      <c r="CL287" s="333"/>
      <c r="CM287" s="333"/>
      <c r="CN287" s="333"/>
      <c r="CO287" s="333"/>
      <c r="CP287" s="333"/>
      <c r="CQ287" s="333"/>
      <c r="CR287" s="333"/>
      <c r="CS287" s="333"/>
      <c r="CT287" s="333"/>
      <c r="CU287" s="333"/>
      <c r="CV287" s="333"/>
      <c r="CW287" s="333"/>
      <c r="CX287" s="333"/>
      <c r="CY287" s="333"/>
      <c r="CZ287" s="333"/>
      <c r="DA287" s="333"/>
      <c r="DB287" s="333"/>
      <c r="DC287" s="333"/>
      <c r="DD287" s="333"/>
      <c r="DE287" s="333"/>
      <c r="DF287" s="333"/>
      <c r="DG287" s="333"/>
      <c r="DH287" s="333"/>
      <c r="DI287" s="333"/>
      <c r="DJ287" s="333"/>
      <c r="DK287" s="333"/>
      <c r="DL287" s="333"/>
      <c r="DM287" s="333"/>
      <c r="DN287" s="333"/>
      <c r="DO287" s="333"/>
      <c r="DP287" s="333"/>
      <c r="DQ287" s="333"/>
      <c r="DR287" s="333"/>
      <c r="DS287" s="333"/>
      <c r="DT287" s="333"/>
      <c r="DU287" s="375"/>
      <c r="DV287" s="375"/>
      <c r="DW287" s="375"/>
      <c r="DX287" s="375"/>
      <c r="DY287" s="375"/>
      <c r="DZ287" s="375"/>
      <c r="EA287" s="375"/>
      <c r="EB287" s="375"/>
      <c r="EC287" s="375"/>
      <c r="ED287" s="375"/>
      <c r="EE287" s="375"/>
      <c r="EF287" s="375"/>
      <c r="EG287" s="375"/>
      <c r="EH287" s="375"/>
      <c r="EI287" s="375"/>
      <c r="EJ287" s="373"/>
      <c r="EK287" s="373"/>
      <c r="EL287" s="366"/>
      <c r="EM287" s="369"/>
      <c r="EN287" s="364">
        <f>+EN281+1</f>
        <v>40</v>
      </c>
      <c r="EO287" s="356" t="str">
        <f>+VLOOKUP(EN287, PRECIOS_EJERCICIOS,  2,FALSE)</f>
        <v/>
      </c>
      <c r="EP287" s="513" t="str">
        <f>+IF($AQ$49 = FALSE, "",
IF(VLOOKUP(EO287, basesCantPrimaBrutoRes, 2,FALSE) &gt;= 0, VLOOKUP(EO287, basesCantPrimaBrutoRes, 2,FALSE), 0))</f>
        <v/>
      </c>
      <c r="EQ287" s="514" t="str">
        <f>+IF($AQ$49 = FALSE, "",
IF(VLOOKUP(EO287, basesCantPrimaBrutoRes, 2,FALSE) &lt; 0, -VLOOKUP(EO287, basesCantPrimaBrutoRes, 2,FALSE), 0))</f>
        <v/>
      </c>
      <c r="ER287" s="521" t="str">
        <f>IF($AQ$49 = FALSE, "",
VLOOKUP(EO287, basesCantPrimaBrutoRes, 4,FALSE))</f>
        <v/>
      </c>
      <c r="ES287" s="926">
        <f>IF(ER287 = "", 0,
IF(AND(EP287 &gt; 0, EQ287 &gt;0), 0, IF(EO287 &lt;&gt; $Z$1,
IF(AND(EP287 &lt;&gt; "", EP287 &lt;&gt; 0), -(EP287 * ER287 * 100),
IF(AND(EQ287 &lt;&gt; "", EQ287 &lt;&gt; 0), (EQ287 * ER287 * 100), 0)),
IF(AND(EP287 &lt;&gt; "", EP287 &lt;&gt; 0), -(EP287 * ER287 * 1),
IF(AND(EQ287 &lt;&gt; "", EQ287 &lt;&gt; 0), (EQ287 * ER287 * 1), 0))  )))</f>
        <v>0</v>
      </c>
      <c r="ET287" s="927"/>
      <c r="EU287" s="928"/>
      <c r="EV287" s="926">
        <f>IF(ER287 = "", 0,
IF(AND(EP287 &gt; 0, EQ287 &gt;0), 0,  IF(EO287 &lt;&gt; $Z$1,
IF(AND(EP287 &lt;&gt; "", EP287 &lt;&gt; 0), -(EP287 * ER287 * 100 * (1 + COMIS_OPCION)),
IF(AND(EQ287 &lt;&gt; "", EQ287 &lt;&gt; 0), (EQ287 * ER287 * 100 * (1 - COMIS_OPCION)), 0)),
IF(AND(EP287 &lt;&gt; "", EP287 &lt;&gt; 0), -(EP287 * ER287 * 1 * (1 + COMIS_ACCION)),
IF(AND(EQ287 &lt;&gt; "", EQ287 &lt;&gt; 0), (EQ287 * ER287 * 1 * (1 - COMIS_ACCION)), 0))  )))</f>
        <v>0</v>
      </c>
      <c r="EW287" s="927"/>
      <c r="EX287" s="927"/>
      <c r="EY287" s="927"/>
      <c r="EZ287" s="927"/>
      <c r="FA287" s="927"/>
      <c r="FB287" s="927"/>
      <c r="FC287" s="927"/>
      <c r="FD287" s="929"/>
      <c r="FE287" s="340"/>
      <c r="FF287" s="340"/>
      <c r="FG287" s="364"/>
      <c r="FH287" s="364">
        <f>+FH281+1</f>
        <v>40</v>
      </c>
      <c r="FI287" s="357" t="str">
        <f>+VLOOKUP(FH287, PRECIOS_EJERCICIOS,  2,FALSE)</f>
        <v/>
      </c>
      <c r="FJ287" s="515" t="str">
        <f>+IF($AQ$49 = FALSE, "",
IF(VLOOKUP(EO287, basesCantPrimaBrutoRes, 5,FALSE) &gt;= 0, VLOOKUP(EO287, basesCantPrimaBrutoRes, 5,FALSE), 0))</f>
        <v/>
      </c>
      <c r="FK287" s="516" t="str">
        <f>+IF($AQ$49 = FALSE, "",
IF(VLOOKUP(EO287, basesCantPrimaBrutoRes, 5,FALSE) &lt; 0, -VLOOKUP(EO287, basesCantPrimaBrutoRes, 5,FALSE), 0))</f>
        <v/>
      </c>
      <c r="FL287" s="517" t="str">
        <f>IF($AQ$49 = FALSE, "",
VLOOKUP(EO287, basesCantPrimaBrutoRes, 7,FALSE))</f>
        <v/>
      </c>
      <c r="FM287" s="934">
        <f>IF(FL287 = "", 0,
IF(AND(FJ287 &gt; 0, FK287 &gt;0), 0,
IF(AND(FJ287 &lt;&gt; "", FJ287 &lt;&gt; 0), -(FJ287 * FL287 * 100),
IF(AND(FK287 &lt;&gt; "", FK287 &lt;&gt; 0), (FK287 * FL287 * 100), 0)) ))</f>
        <v>0</v>
      </c>
      <c r="FN287" s="935"/>
      <c r="FO287" s="936"/>
      <c r="FP287" s="934">
        <f>IF(FL287 = "", 0,
IF(AND(FJ287 &gt; 0, FK287 &gt;0), 0,
IF(AND(FJ287 &lt;&gt; "", FJ287 &lt;&gt; 0), -(FJ287 * FL287 * 100 * (1 + COMIS_OPCION)),
IF(AND(FK287 &lt;&gt; "", FK287 &lt;&gt; 0), (FK287 * FL287 * 100 * (1 - COMIS_OPCION)), 0)) ))</f>
        <v>0</v>
      </c>
      <c r="FQ287" s="935"/>
      <c r="FR287" s="935"/>
      <c r="FS287" s="935"/>
      <c r="FT287" s="935"/>
      <c r="FU287" s="935"/>
      <c r="FV287" s="935"/>
      <c r="FW287" s="935"/>
      <c r="FX287" s="966"/>
      <c r="FY287" s="341"/>
      <c r="FZ287" s="341"/>
      <c r="GA287" s="341"/>
      <c r="GB287" s="495" t="str">
        <f>+IF(EN287 = "", "", EO287)</f>
        <v/>
      </c>
      <c r="GC287" s="495" t="str">
        <f>+IF(GB287="", "", IF(EO287 = $Z$1, "ACCION", "CALL"))</f>
        <v/>
      </c>
      <c r="GD287" s="500"/>
      <c r="GE287" s="495" t="str">
        <f>+IF(GB287= "", "", EO289)</f>
        <v/>
      </c>
      <c r="GF287" s="495" t="str">
        <f>+IF(GB287 = "", "", IFERROR(IF(GB287 &lt;&gt; $Z$1,
IF(GE287 &gt; 0, SUMIFS(ES287:ES291, EP287:EP291, "&gt;0", ES287:ES291, "&lt;&gt;0") / SUMIFS(EP287:EP291, EP287:EP291, "&gt;0", ES287:ES291, "&lt;&gt;0") / -100,
IF(GE287 &lt; 0, SUMIFS(ES287:ES291, EQ287:EQ291, "&gt;0", ES287:ES291, "&lt;&gt;0") / SUMIFS(EQ287:EQ291, EQ287:EQ291, "&gt;0", ES287:ES291, "&lt;&gt;0") / 100, 0)),
IF(GE287 &gt; 0, SUMIFS(ES287:ES291, EP287:EP291, "&gt;0", ES287:ES291, "&lt;&gt;0") / SUMIFS(EP287:EP291, EP287:EP291, "&gt;0", ES287:ES291, "&lt;&gt;0") / -1,
IF(GE287 &lt; 0, SUMIFS(ES287:ES291, EQ287:EQ291, "&gt;0", ES287:ES291, "&lt;&gt;0") / SUMIFS(EQ287:EQ291, EQ287:EQ291, "&gt;0", ES287:ES291, "&lt;&gt;0") / 1, 0)) ), 0))</f>
        <v/>
      </c>
      <c r="GG287" s="495" t="str">
        <f>+IF(GB287 = "", "", IFERROR(IF(GB287 &lt;&gt; $Z$1,
IF(GE287 &gt; 0, SUMIFS(EV287:EV291, EP287:EP291, "&gt;0", EV287:EV291, "&lt;&gt;0") / SUMIFS(EP287:EP291, EP287:EP291, "&gt;0", EV287:EV291, "&lt;&gt;0") / -100,
IF(GE287 &lt; 0, SUMIFS(EV287:EV291, EQ287:EQ291, "&gt;0", EV287:EV291, "&lt;&gt;0") / SUMIFS(EQ287:EQ291, EQ287:EQ291, "&gt;0", EV287:EV291, "&lt;&gt;0") / 100, 0)),
IF(GE287 &gt; 0, SUMIFS(EV287:EV291, EP287:EP291, "&gt;0", EV287:EV291, "&lt;&gt;0") / SUMIFS(EP287:EP291, EP287:EP291, "&gt;0", EV287:EV291, "&lt;&gt;0") / -1,
IF(GE287 &lt; 0, SUMIFS(EV287:EV291, EQ287:EQ291, "&gt;0", EV287:EV291, "&lt;&gt;0") / SUMIFS(EQ287:EQ291, EQ287:EQ291, "&gt;0", EV287:EV291, "&lt;&gt;0") / 1, 0)) ), 0))</f>
        <v/>
      </c>
      <c r="GH287" s="359"/>
      <c r="GI287" s="359"/>
      <c r="GJ287" s="501"/>
      <c r="GK287" s="495" t="str">
        <f>+IF(GB287="", "", "PUT")</f>
        <v/>
      </c>
      <c r="GL287" s="495" t="str">
        <f>+IF(GB287 = "", "", FI289)</f>
        <v/>
      </c>
      <c r="GM287" s="495" t="str">
        <f>+IF(GB287 = "", "", IFERROR(
IF(FI289 &gt; 0, SUMIFS(FM287:FM291, FJ287:FJ291, "&gt;0", FM287:FM291, "&lt;&gt;0") / SUMIFS(FJ287:FJ291, FJ287:FJ291, "&gt;0", FM287:FM291, "&lt;&gt;0") / -100,
IF(FI289 &lt; 0, SUMIFS(FM287:FM291, FK287:FK291, "&gt;0", FM287:FM291, "&lt;&gt;0") / SUMIFS(FK287:FK291, FK287:FK291, "&gt;0", FM287:FM291, "&lt;&gt;0") / 100, 0)), 0) )</f>
        <v/>
      </c>
      <c r="GN287" s="359"/>
      <c r="GO287" s="359"/>
      <c r="GP287" s="501"/>
      <c r="GQ287" s="502" t="str">
        <f>+IF(GB287 = "", "", IFERROR(
IF(FI289 &gt; 0, SUMIFS(FP287:FP291, FJ287:FJ291, "&gt;0", FP287:FP291, "&lt;&gt;0") / SUMIFS(FJ287:FJ291, FJ287:FJ291, "&gt;0", FP287:FP291, "&lt;&gt;0") / -100,
IF(FI289 &lt; 0, SUMIFS(FP287:FP291, FK287:FK291, "&gt;0", FP287:FP291, "&lt;&gt;0") / SUMIFS(FK287:FK291, FK287:FK291, "&gt;0", FP287:FP291, "&lt;&gt;0") / 100, 0)), 0))</f>
        <v/>
      </c>
      <c r="GR287" s="375"/>
      <c r="GS287" s="333"/>
      <c r="GT287" s="333"/>
      <c r="GU287" s="333"/>
      <c r="GV287" s="333"/>
      <c r="GW287" s="333"/>
      <c r="GX287" s="333"/>
      <c r="GY287" s="333"/>
      <c r="GZ287" s="333"/>
      <c r="HA287" s="333"/>
      <c r="HB287" s="333"/>
      <c r="HC287" s="333"/>
      <c r="HD287" s="333"/>
      <c r="HE287" s="333"/>
      <c r="HF287" s="333"/>
      <c r="HG287" s="331"/>
      <c r="HH287" s="331"/>
      <c r="HI287" s="331"/>
      <c r="HJ287" s="331"/>
      <c r="HK287" s="331"/>
      <c r="HL287" s="331"/>
      <c r="HM287" s="331"/>
      <c r="HN287" s="333"/>
      <c r="HO287" s="333"/>
      <c r="HP287" s="333"/>
      <c r="HQ287" s="333"/>
      <c r="HR287" s="333"/>
      <c r="HS287" s="333"/>
      <c r="HT287" s="333"/>
      <c r="HU287" s="333"/>
      <c r="HV287" s="333"/>
      <c r="HW287" s="333"/>
      <c r="HX287" s="333"/>
      <c r="HY287" s="333"/>
      <c r="HZ287" s="333"/>
      <c r="IA287" s="333"/>
      <c r="IB287" s="333"/>
      <c r="IC287" s="333"/>
      <c r="ID287" s="55"/>
      <c r="IE287" s="47"/>
      <c r="IO287" s="51"/>
    </row>
    <row r="288" spans="13:249" s="142" customFormat="1" ht="15" customHeight="1">
      <c r="M288" s="333"/>
      <c r="N288" s="333"/>
      <c r="O288" s="333"/>
      <c r="P288" s="333"/>
      <c r="Q288" s="333"/>
      <c r="R288" s="333"/>
      <c r="S288" s="333"/>
      <c r="T288" s="333"/>
      <c r="U288" s="333"/>
      <c r="V288" s="333"/>
      <c r="W288" s="333"/>
      <c r="X288" s="333"/>
      <c r="Y288" s="333"/>
      <c r="Z288" s="333"/>
      <c r="AA288" s="333"/>
      <c r="AB288" s="333"/>
      <c r="AC288" s="333"/>
      <c r="AD288" s="333"/>
      <c r="AE288" s="333"/>
      <c r="AF288" s="333"/>
      <c r="AG288" s="333"/>
      <c r="AH288" s="333"/>
      <c r="AI288" s="333"/>
      <c r="AJ288" s="333"/>
      <c r="AK288" s="333"/>
      <c r="AL288" s="333"/>
      <c r="AM288" s="333"/>
      <c r="AN288" s="333"/>
      <c r="AO288" s="333"/>
      <c r="AP288" s="333"/>
      <c r="AQ288" s="333"/>
      <c r="AR288" s="333"/>
      <c r="AS288" s="333"/>
      <c r="AT288" s="333"/>
      <c r="AU288" s="333"/>
      <c r="AV288" s="333"/>
      <c r="AW288" s="333"/>
      <c r="AX288" s="333"/>
      <c r="AY288" s="333"/>
      <c r="AZ288" s="333"/>
      <c r="BA288" s="333"/>
      <c r="BB288" s="333"/>
      <c r="BC288" s="333"/>
      <c r="BD288" s="333"/>
      <c r="BE288" s="333"/>
      <c r="BF288" s="333"/>
      <c r="BG288" s="333"/>
      <c r="BH288" s="333"/>
      <c r="BI288" s="333"/>
      <c r="BJ288" s="333"/>
      <c r="BK288" s="333"/>
      <c r="BL288" s="333"/>
      <c r="BM288" s="333"/>
      <c r="BN288" s="333"/>
      <c r="BO288" s="333"/>
      <c r="BP288" s="333"/>
      <c r="BQ288" s="333"/>
      <c r="BR288" s="333"/>
      <c r="BS288" s="333"/>
      <c r="BT288" s="333"/>
      <c r="BU288" s="333"/>
      <c r="BV288" s="333"/>
      <c r="BW288" s="333"/>
      <c r="BX288" s="333"/>
      <c r="BY288" s="333"/>
      <c r="BZ288" s="333"/>
      <c r="CA288" s="333"/>
      <c r="CB288" s="333"/>
      <c r="CC288" s="333"/>
      <c r="CD288" s="333"/>
      <c r="CE288" s="333"/>
      <c r="CF288" s="333"/>
      <c r="CG288" s="333"/>
      <c r="CH288" s="333"/>
      <c r="CI288" s="333"/>
      <c r="CJ288" s="333"/>
      <c r="CK288" s="333"/>
      <c r="CL288" s="333"/>
      <c r="CM288" s="333"/>
      <c r="CN288" s="333"/>
      <c r="CO288" s="333"/>
      <c r="CP288" s="333"/>
      <c r="CQ288" s="333"/>
      <c r="CR288" s="333"/>
      <c r="CS288" s="333"/>
      <c r="CT288" s="333"/>
      <c r="CU288" s="333"/>
      <c r="CV288" s="333"/>
      <c r="CW288" s="333"/>
      <c r="CX288" s="333"/>
      <c r="CY288" s="333"/>
      <c r="CZ288" s="333"/>
      <c r="DA288" s="333"/>
      <c r="DB288" s="333"/>
      <c r="DC288" s="333"/>
      <c r="DD288" s="333"/>
      <c r="DE288" s="333"/>
      <c r="DF288" s="333"/>
      <c r="DG288" s="333"/>
      <c r="DH288" s="333"/>
      <c r="DI288" s="333"/>
      <c r="DJ288" s="333"/>
      <c r="DK288" s="333"/>
      <c r="DL288" s="333"/>
      <c r="DM288" s="333"/>
      <c r="DN288" s="333"/>
      <c r="DO288" s="333"/>
      <c r="DP288" s="333"/>
      <c r="DQ288" s="333"/>
      <c r="DR288" s="333"/>
      <c r="DS288" s="333"/>
      <c r="DT288" s="333"/>
      <c r="DU288" s="375"/>
      <c r="DV288" s="375"/>
      <c r="DW288" s="375"/>
      <c r="DX288" s="375"/>
      <c r="DY288" s="375"/>
      <c r="DZ288" s="375"/>
      <c r="EA288" s="375"/>
      <c r="EB288" s="375"/>
      <c r="EC288" s="375"/>
      <c r="ED288" s="375"/>
      <c r="EE288" s="375"/>
      <c r="EF288" s="375"/>
      <c r="EG288" s="375"/>
      <c r="EH288" s="375"/>
      <c r="EI288" s="375"/>
      <c r="EJ288" s="373"/>
      <c r="EK288" s="373"/>
      <c r="EL288" s="366"/>
      <c r="EM288" s="369"/>
      <c r="EN288" s="364"/>
      <c r="EO288" s="351"/>
      <c r="EP288" s="347"/>
      <c r="EQ288" s="342"/>
      <c r="ER288" s="522"/>
      <c r="ES288" s="916">
        <f>IF(ER288 = "", 0,
IF(AND(EP288 &gt; 0, EQ288 &gt;0), 0, IF(EO287 &lt;&gt; $Z$1,
IF(AND(EP288 &lt;&gt; "", EP288 &lt;&gt; 0), -(EP288 * ER288 * 100),
IF(AND(EQ288 &lt;&gt; "", EQ288 &lt;&gt; 0), (EQ288 * ER288 * 100), 0)),
IF(AND(EP288 &lt;&gt; "", EP288 &lt;&gt; 0), -(EP288 * ER288 * 1),
IF(AND(EQ288 &lt;&gt; "", EQ288 &lt;&gt; 0), (EQ288 * ER288 * 1), 0))  )))</f>
        <v>0</v>
      </c>
      <c r="ET288" s="917"/>
      <c r="EU288" s="918"/>
      <c r="EV288" s="916">
        <f>IF(ER288 = "", 0,
IF(AND(EP288 &gt; 0, EQ288 &gt;0), 0,  IF(EO287 &lt;&gt; $Z$1,
IF(AND(EP288 &lt;&gt; "", EP288 &lt;&gt; 0), -(EP288 * ER288 * 100 * (1 + COMIS_OPCION)),
IF(AND(EQ288 &lt;&gt; "", EQ288 &lt;&gt; 0), (EQ288 * ER288 * 100 * (1 - COMIS_OPCION)), 0)),
IF(AND(EP288 &lt;&gt; "", EP288 &lt;&gt; 0), -(EP288 * ER288 * 1 * (1 + COMIS_ACCION)),
IF(AND(EQ288 &lt;&gt; "", EQ288 &lt;&gt; 0), (EQ288 * ER288 * 1 * (1 - COMIS_ACCION)), 0))  )))</f>
        <v>0</v>
      </c>
      <c r="EW288" s="917"/>
      <c r="EX288" s="917"/>
      <c r="EY288" s="917"/>
      <c r="EZ288" s="917"/>
      <c r="FA288" s="917"/>
      <c r="FB288" s="917"/>
      <c r="FC288" s="917"/>
      <c r="FD288" s="925"/>
      <c r="FE288" s="340"/>
      <c r="FF288" s="340"/>
      <c r="FG288" s="364"/>
      <c r="FH288" s="364"/>
      <c r="FI288" s="339"/>
      <c r="FJ288" s="347"/>
      <c r="FK288" s="342"/>
      <c r="FL288" s="343"/>
      <c r="FM288" s="930">
        <f>IF(FL288 = "", 0,
IF(AND(FJ288 &gt; 0, FK288 &gt;0), 0,
IF(AND(FJ288 &lt;&gt; "", FJ288 &lt;&gt; 0), -(FJ288 * FL288 * 100),
IF(AND(FK288 &lt;&gt; "", FK288 &lt;&gt; 0), (FK288 * FL288 * 100), 0)) ))</f>
        <v>0</v>
      </c>
      <c r="FN288" s="931"/>
      <c r="FO288" s="932"/>
      <c r="FP288" s="930">
        <f>IF(FL288 = "", 0,
IF(AND(FJ288 &gt; 0, FK288 &gt;0), 0,
IF(AND(FJ288 &lt;&gt; "", FJ288 &lt;&gt; 0), -(FJ288 * FL288 * 100 * (1 + COMIS_OPCION)),
IF(AND(FK288 &lt;&gt; "", FK288 &lt;&gt; 0), (FK288 * FL288 * 100 * (1 - COMIS_OPCION)), 0)) ))</f>
        <v>0</v>
      </c>
      <c r="FQ288" s="931"/>
      <c r="FR288" s="931"/>
      <c r="FS288" s="931"/>
      <c r="FT288" s="931"/>
      <c r="FU288" s="931"/>
      <c r="FV288" s="931"/>
      <c r="FW288" s="931"/>
      <c r="FX288" s="933"/>
      <c r="FY288" s="341"/>
      <c r="FZ288" s="341"/>
      <c r="GA288" s="341"/>
      <c r="GB288" s="495">
        <v>0</v>
      </c>
      <c r="GC288" s="495">
        <v>0</v>
      </c>
      <c r="GD288" s="500"/>
      <c r="GE288" s="495">
        <v>0</v>
      </c>
      <c r="GF288" s="495">
        <v>0</v>
      </c>
      <c r="GG288" s="495">
        <v>0</v>
      </c>
      <c r="GH288" s="359"/>
      <c r="GI288" s="359"/>
      <c r="GJ288" s="501"/>
      <c r="GK288" s="495">
        <v>0</v>
      </c>
      <c r="GL288" s="495">
        <v>0</v>
      </c>
      <c r="GM288" s="495">
        <v>0</v>
      </c>
      <c r="GN288" s="359"/>
      <c r="GO288" s="359"/>
      <c r="GP288" s="501"/>
      <c r="GQ288" s="495">
        <v>0</v>
      </c>
      <c r="GR288" s="375"/>
      <c r="GS288" s="333"/>
      <c r="GT288" s="333"/>
      <c r="GU288" s="333"/>
      <c r="GV288" s="333"/>
      <c r="GW288" s="333"/>
      <c r="GX288" s="333"/>
      <c r="GY288" s="333"/>
      <c r="GZ288" s="333"/>
      <c r="HA288" s="333"/>
      <c r="HB288" s="333"/>
      <c r="HC288" s="333"/>
      <c r="HD288" s="333"/>
      <c r="HE288" s="333"/>
      <c r="HF288" s="333"/>
      <c r="HG288" s="331"/>
      <c r="HH288" s="331"/>
      <c r="HI288" s="331"/>
      <c r="HJ288" s="331"/>
      <c r="HK288" s="331"/>
      <c r="HL288" s="331"/>
      <c r="HM288" s="331"/>
      <c r="HN288" s="333"/>
      <c r="HO288" s="333"/>
      <c r="HP288" s="333"/>
      <c r="HQ288" s="333"/>
      <c r="HR288" s="333"/>
      <c r="HS288" s="333"/>
      <c r="HT288" s="333"/>
      <c r="HU288" s="333"/>
      <c r="HV288" s="333"/>
      <c r="HW288" s="333"/>
      <c r="HX288" s="333"/>
      <c r="HY288" s="333"/>
      <c r="HZ288" s="333"/>
      <c r="IA288" s="333"/>
      <c r="IB288" s="333"/>
      <c r="IC288" s="333"/>
      <c r="ID288" s="55"/>
      <c r="IE288" s="47"/>
      <c r="IO288" s="51"/>
    </row>
    <row r="289" spans="13:249" s="142" customFormat="1" ht="15" customHeight="1">
      <c r="M289" s="333"/>
      <c r="N289" s="333"/>
      <c r="O289" s="333"/>
      <c r="P289" s="333"/>
      <c r="Q289" s="333"/>
      <c r="R289" s="333"/>
      <c r="S289" s="333"/>
      <c r="T289" s="333"/>
      <c r="U289" s="333"/>
      <c r="V289" s="333"/>
      <c r="W289" s="333"/>
      <c r="X289" s="333"/>
      <c r="Y289" s="333"/>
      <c r="Z289" s="333"/>
      <c r="AA289" s="333"/>
      <c r="AB289" s="333"/>
      <c r="AC289" s="333"/>
      <c r="AD289" s="333"/>
      <c r="AE289" s="333"/>
      <c r="AF289" s="333"/>
      <c r="AG289" s="333"/>
      <c r="AH289" s="333"/>
      <c r="AI289" s="333"/>
      <c r="AJ289" s="333"/>
      <c r="AK289" s="333"/>
      <c r="AL289" s="333"/>
      <c r="AM289" s="333"/>
      <c r="AN289" s="333"/>
      <c r="AO289" s="333"/>
      <c r="AP289" s="333"/>
      <c r="AQ289" s="333"/>
      <c r="AR289" s="333"/>
      <c r="AS289" s="333"/>
      <c r="AT289" s="333"/>
      <c r="AU289" s="333"/>
      <c r="AV289" s="333"/>
      <c r="AW289" s="333"/>
      <c r="AX289" s="333"/>
      <c r="AY289" s="333"/>
      <c r="AZ289" s="333"/>
      <c r="BA289" s="333"/>
      <c r="BB289" s="333"/>
      <c r="BC289" s="333"/>
      <c r="BD289" s="333"/>
      <c r="BE289" s="333"/>
      <c r="BF289" s="333"/>
      <c r="BG289" s="333"/>
      <c r="BH289" s="333"/>
      <c r="BI289" s="333"/>
      <c r="BJ289" s="333"/>
      <c r="BK289" s="333"/>
      <c r="BL289" s="333"/>
      <c r="BM289" s="333"/>
      <c r="BN289" s="333"/>
      <c r="BO289" s="333"/>
      <c r="BP289" s="333"/>
      <c r="BQ289" s="333"/>
      <c r="BR289" s="333"/>
      <c r="BS289" s="333"/>
      <c r="BT289" s="333"/>
      <c r="BU289" s="333"/>
      <c r="BV289" s="333"/>
      <c r="BW289" s="333"/>
      <c r="BX289" s="333"/>
      <c r="BY289" s="333"/>
      <c r="BZ289" s="333"/>
      <c r="CA289" s="333"/>
      <c r="CB289" s="333"/>
      <c r="CC289" s="333"/>
      <c r="CD289" s="333"/>
      <c r="CE289" s="333"/>
      <c r="CF289" s="333"/>
      <c r="CG289" s="333"/>
      <c r="CH289" s="333"/>
      <c r="CI289" s="333"/>
      <c r="CJ289" s="333"/>
      <c r="CK289" s="333"/>
      <c r="CL289" s="333"/>
      <c r="CM289" s="333"/>
      <c r="CN289" s="333"/>
      <c r="CO289" s="333"/>
      <c r="CP289" s="333"/>
      <c r="CQ289" s="333"/>
      <c r="CR289" s="333"/>
      <c r="CS289" s="333"/>
      <c r="CT289" s="333"/>
      <c r="CU289" s="333"/>
      <c r="CV289" s="333"/>
      <c r="CW289" s="333"/>
      <c r="CX289" s="333"/>
      <c r="CY289" s="333"/>
      <c r="CZ289" s="333"/>
      <c r="DA289" s="333"/>
      <c r="DB289" s="333"/>
      <c r="DC289" s="333"/>
      <c r="DD289" s="333"/>
      <c r="DE289" s="333"/>
      <c r="DF289" s="333"/>
      <c r="DG289" s="333"/>
      <c r="DH289" s="333"/>
      <c r="DI289" s="333"/>
      <c r="DJ289" s="333"/>
      <c r="DK289" s="333"/>
      <c r="DL289" s="333"/>
      <c r="DM289" s="333"/>
      <c r="DN289" s="333"/>
      <c r="DO289" s="333"/>
      <c r="DP289" s="333"/>
      <c r="DQ289" s="333"/>
      <c r="DR289" s="333"/>
      <c r="DS289" s="333"/>
      <c r="DT289" s="333"/>
      <c r="DU289" s="375"/>
      <c r="DV289" s="375"/>
      <c r="DW289" s="375"/>
      <c r="DX289" s="375"/>
      <c r="DY289" s="375"/>
      <c r="DZ289" s="375"/>
      <c r="EA289" s="375"/>
      <c r="EB289" s="375"/>
      <c r="EC289" s="375"/>
      <c r="ED289" s="375"/>
      <c r="EE289" s="375"/>
      <c r="EF289" s="375"/>
      <c r="EG289" s="375"/>
      <c r="EH289" s="375"/>
      <c r="EI289" s="375"/>
      <c r="EJ289" s="373"/>
      <c r="EK289" s="373"/>
      <c r="EL289" s="366"/>
      <c r="EM289" s="369"/>
      <c r="EN289" s="364"/>
      <c r="EO289" s="352">
        <f>+SUM(EP287:EP291) - SUM(EQ287:EQ291)</f>
        <v>0</v>
      </c>
      <c r="EP289" s="347"/>
      <c r="EQ289" s="342"/>
      <c r="ER289" s="522"/>
      <c r="ES289" s="916">
        <f>IF(ER289 = "", 0,
IF(AND(EP289 &gt; 0, EQ289 &gt;0), 0, IF(EO287 &lt;&gt; $Z$1,
IF(AND(EP289 &lt;&gt; "", EP289 &lt;&gt; 0), -(EP289 * ER289 * 100),
IF(AND(EQ289 &lt;&gt; "", EQ289 &lt;&gt; 0), (EQ289 * ER289 * 100), 0)),
IF(AND(EP289 &lt;&gt; "", EP289 &lt;&gt; 0), -(EP289 * ER289 * 1),
IF(AND(EQ289 &lt;&gt; "", EQ289 &lt;&gt; 0), (EQ289 * ER289 * 1), 0))  )))</f>
        <v>0</v>
      </c>
      <c r="ET289" s="917"/>
      <c r="EU289" s="918"/>
      <c r="EV289" s="916">
        <f>IF(ER289 = "", 0,
IF(AND(EP289 &gt; 0, EQ289 &gt;0), 0,  IF(EO287 &lt;&gt; $Z$1,
IF(AND(EP289 &lt;&gt; "", EP289 &lt;&gt; 0), -(EP289 * ER289 * 100 * (1 + COMIS_OPCION)),
IF(AND(EQ289 &lt;&gt; "", EQ289 &lt;&gt; 0), (EQ289 * ER289 * 100 * (1 - COMIS_OPCION)), 0)),
IF(AND(EP289 &lt;&gt; "", EP289 &lt;&gt; 0), -(EP289 * ER289 * 1 * (1 + COMIS_ACCION)),
IF(AND(EQ289 &lt;&gt; "", EQ289 &lt;&gt; 0), (EQ289 * ER289 * 1 * (1 - COMIS_ACCION)), 0))  )))</f>
        <v>0</v>
      </c>
      <c r="EW289" s="917"/>
      <c r="EX289" s="917"/>
      <c r="EY289" s="917"/>
      <c r="EZ289" s="917"/>
      <c r="FA289" s="917"/>
      <c r="FB289" s="917"/>
      <c r="FC289" s="917"/>
      <c r="FD289" s="925"/>
      <c r="FE289" s="340"/>
      <c r="FF289" s="340"/>
      <c r="FG289" s="365"/>
      <c r="FH289" s="365"/>
      <c r="FI289" s="354">
        <f>+SUM(FJ287:FJ291) - SUM(FK287:FK291)</f>
        <v>0</v>
      </c>
      <c r="FJ289" s="347"/>
      <c r="FK289" s="342"/>
      <c r="FL289" s="343"/>
      <c r="FM289" s="930">
        <f>IF(FL289 = "", 0,
IF(AND(FJ289 &gt; 0, FK289 &gt;0), 0,
IF(AND(FJ289 &lt;&gt; "", FJ289 &lt;&gt; 0), -(FJ289 * FL289 * 100),
IF(AND(FK289 &lt;&gt; "", FK289 &lt;&gt; 0), (FK289 * FL289 * 100), 0)) ))</f>
        <v>0</v>
      </c>
      <c r="FN289" s="931"/>
      <c r="FO289" s="932"/>
      <c r="FP289" s="930">
        <f>IF(FL289 = "", 0,
IF(AND(FJ289 &gt; 0, FK289 &gt;0), 0,
IF(AND(FJ289 &lt;&gt; "", FJ289 &lt;&gt; 0), -(FJ289 * FL289 * 100 * (1 + COMIS_OPCION)),
IF(AND(FK289 &lt;&gt; "", FK289 &lt;&gt; 0), (FK289 * FL289 * 100 * (1 - COMIS_OPCION)), 0)) ))</f>
        <v>0</v>
      </c>
      <c r="FQ289" s="931"/>
      <c r="FR289" s="931"/>
      <c r="FS289" s="931"/>
      <c r="FT289" s="931"/>
      <c r="FU289" s="931"/>
      <c r="FV289" s="931"/>
      <c r="FW289" s="931"/>
      <c r="FX289" s="933"/>
      <c r="FY289" s="341"/>
      <c r="FZ289" s="341"/>
      <c r="GA289" s="341"/>
      <c r="GB289" s="495">
        <v>0</v>
      </c>
      <c r="GC289" s="495">
        <v>0</v>
      </c>
      <c r="GD289" s="500"/>
      <c r="GE289" s="495">
        <v>0</v>
      </c>
      <c r="GF289" s="495">
        <v>0</v>
      </c>
      <c r="GG289" s="495">
        <v>0</v>
      </c>
      <c r="GH289" s="359"/>
      <c r="GI289" s="359"/>
      <c r="GJ289" s="501"/>
      <c r="GK289" s="495">
        <v>0</v>
      </c>
      <c r="GL289" s="495">
        <v>0</v>
      </c>
      <c r="GM289" s="495">
        <v>0</v>
      </c>
      <c r="GN289" s="359"/>
      <c r="GO289" s="359"/>
      <c r="GP289" s="501"/>
      <c r="GQ289" s="495">
        <v>0</v>
      </c>
      <c r="GR289" s="375"/>
      <c r="GS289" s="333"/>
      <c r="GT289" s="333"/>
      <c r="GU289" s="333"/>
      <c r="GV289" s="333"/>
      <c r="GW289" s="333"/>
      <c r="GX289" s="333"/>
      <c r="GY289" s="333"/>
      <c r="GZ289" s="333"/>
      <c r="HA289" s="333"/>
      <c r="HB289" s="333"/>
      <c r="HC289" s="333"/>
      <c r="HD289" s="333"/>
      <c r="HE289" s="333"/>
      <c r="HF289" s="333"/>
      <c r="HG289" s="331"/>
      <c r="HH289" s="331"/>
      <c r="HI289" s="331"/>
      <c r="HJ289" s="331"/>
      <c r="HK289" s="331"/>
      <c r="HL289" s="331"/>
      <c r="HM289" s="331"/>
      <c r="HN289" s="333"/>
      <c r="HO289" s="333"/>
      <c r="HP289" s="333"/>
      <c r="HQ289" s="333"/>
      <c r="HR289" s="333"/>
      <c r="HS289" s="333"/>
      <c r="HT289" s="333"/>
      <c r="HU289" s="333"/>
      <c r="HV289" s="333"/>
      <c r="HW289" s="333"/>
      <c r="HX289" s="333"/>
      <c r="HY289" s="333"/>
      <c r="HZ289" s="333"/>
      <c r="IA289" s="333"/>
      <c r="IB289" s="333"/>
      <c r="IC289" s="333"/>
      <c r="ID289" s="55"/>
      <c r="IE289" s="47"/>
      <c r="IO289" s="51"/>
    </row>
    <row r="290" spans="13:249" s="142" customFormat="1" ht="15" customHeight="1">
      <c r="M290" s="333"/>
      <c r="N290" s="333"/>
      <c r="O290" s="333"/>
      <c r="P290" s="333"/>
      <c r="Q290" s="333"/>
      <c r="R290" s="333"/>
      <c r="S290" s="333"/>
      <c r="T290" s="333"/>
      <c r="U290" s="333"/>
      <c r="V290" s="333"/>
      <c r="W290" s="333"/>
      <c r="X290" s="333"/>
      <c r="Y290" s="333"/>
      <c r="Z290" s="333"/>
      <c r="AA290" s="333"/>
      <c r="AB290" s="333"/>
      <c r="AC290" s="333"/>
      <c r="AD290" s="333"/>
      <c r="AE290" s="333"/>
      <c r="AF290" s="333"/>
      <c r="AG290" s="333"/>
      <c r="AH290" s="333"/>
      <c r="AI290" s="333"/>
      <c r="AJ290" s="333"/>
      <c r="AK290" s="333"/>
      <c r="AL290" s="333"/>
      <c r="AM290" s="333"/>
      <c r="AN290" s="333"/>
      <c r="AO290" s="333"/>
      <c r="AP290" s="333"/>
      <c r="AQ290" s="333"/>
      <c r="AR290" s="333"/>
      <c r="AS290" s="333"/>
      <c r="AT290" s="333"/>
      <c r="AU290" s="333"/>
      <c r="AV290" s="333"/>
      <c r="AW290" s="333"/>
      <c r="AX290" s="333"/>
      <c r="AY290" s="333"/>
      <c r="AZ290" s="333"/>
      <c r="BA290" s="333"/>
      <c r="BB290" s="333"/>
      <c r="BC290" s="333"/>
      <c r="BD290" s="333"/>
      <c r="BE290" s="333"/>
      <c r="BF290" s="333"/>
      <c r="BG290" s="333"/>
      <c r="BH290" s="333"/>
      <c r="BI290" s="333"/>
      <c r="BJ290" s="333"/>
      <c r="BK290" s="333"/>
      <c r="BL290" s="333"/>
      <c r="BM290" s="333"/>
      <c r="BN290" s="333"/>
      <c r="BO290" s="333"/>
      <c r="BP290" s="333"/>
      <c r="BQ290" s="333"/>
      <c r="BR290" s="333"/>
      <c r="BS290" s="333"/>
      <c r="BT290" s="333"/>
      <c r="BU290" s="333"/>
      <c r="BV290" s="333"/>
      <c r="BW290" s="333"/>
      <c r="BX290" s="333"/>
      <c r="BY290" s="333"/>
      <c r="BZ290" s="333"/>
      <c r="CA290" s="333"/>
      <c r="CB290" s="333"/>
      <c r="CC290" s="333"/>
      <c r="CD290" s="333"/>
      <c r="CE290" s="333"/>
      <c r="CF290" s="333"/>
      <c r="CG290" s="333"/>
      <c r="CH290" s="333"/>
      <c r="CI290" s="333"/>
      <c r="CJ290" s="333"/>
      <c r="CK290" s="333"/>
      <c r="CL290" s="333"/>
      <c r="CM290" s="333"/>
      <c r="CN290" s="333"/>
      <c r="CO290" s="333"/>
      <c r="CP290" s="333"/>
      <c r="CQ290" s="333"/>
      <c r="CR290" s="333"/>
      <c r="CS290" s="333"/>
      <c r="CT290" s="333"/>
      <c r="CU290" s="333"/>
      <c r="CV290" s="333"/>
      <c r="CW290" s="333"/>
      <c r="CX290" s="333"/>
      <c r="CY290" s="333"/>
      <c r="CZ290" s="333"/>
      <c r="DA290" s="333"/>
      <c r="DB290" s="333"/>
      <c r="DC290" s="333"/>
      <c r="DD290" s="333"/>
      <c r="DE290" s="333"/>
      <c r="DF290" s="333"/>
      <c r="DG290" s="333"/>
      <c r="DH290" s="333"/>
      <c r="DI290" s="333"/>
      <c r="DJ290" s="333"/>
      <c r="DK290" s="333"/>
      <c r="DL290" s="333"/>
      <c r="DM290" s="333"/>
      <c r="DN290" s="333"/>
      <c r="DO290" s="333"/>
      <c r="DP290" s="333"/>
      <c r="DQ290" s="333"/>
      <c r="DR290" s="333"/>
      <c r="DS290" s="333"/>
      <c r="DT290" s="333"/>
      <c r="DU290" s="375"/>
      <c r="DV290" s="375"/>
      <c r="DW290" s="375"/>
      <c r="DX290" s="375"/>
      <c r="DY290" s="375"/>
      <c r="DZ290" s="375"/>
      <c r="EA290" s="375"/>
      <c r="EB290" s="375"/>
      <c r="EC290" s="375"/>
      <c r="ED290" s="375"/>
      <c r="EE290" s="375"/>
      <c r="EF290" s="375"/>
      <c r="EG290" s="375"/>
      <c r="EH290" s="375"/>
      <c r="EI290" s="375"/>
      <c r="EJ290" s="373"/>
      <c r="EK290" s="373"/>
      <c r="EL290" s="366"/>
      <c r="EM290" s="369"/>
      <c r="EN290" s="364"/>
      <c r="EO290" s="352">
        <f>IF(EO289=0, 0, SUM(EV287:FD291))</f>
        <v>0</v>
      </c>
      <c r="EP290" s="347"/>
      <c r="EQ290" s="342"/>
      <c r="ER290" s="522"/>
      <c r="ES290" s="916">
        <f>IF(ER290 = "", 0,
IF(AND(EP290 &gt; 0, EQ290 &gt;0), 0, IF(EO287 &lt;&gt; $Z$1,
IF(AND(EP290 &lt;&gt; "", EP290 &lt;&gt; 0), -(EP290 * ER290 * 100),
IF(AND(EQ290 &lt;&gt; "", EQ290 &lt;&gt; 0), (EQ290 * ER290 * 100), 0)),
IF(AND(EP290 &lt;&gt; "", EP290 &lt;&gt; 0), -(EP290 * ER290 * 1),
IF(AND(EQ290 &lt;&gt; "", EQ290 &lt;&gt; 0), (EQ290 * ER290 * 1), 0))  )))</f>
        <v>0</v>
      </c>
      <c r="ET290" s="917"/>
      <c r="EU290" s="918"/>
      <c r="EV290" s="916">
        <f>IF(ER290 = "", 0,
IF(AND(EP290 &gt; 0, EQ290 &gt;0), 0,  IF(EO287 &lt;&gt; $Z$1,
IF(AND(EP290 &lt;&gt; "", EP290 &lt;&gt; 0), -(EP290 * ER290 * 100 * (1 + COMIS_OPCION)),
IF(AND(EQ290 &lt;&gt; "", EQ290 &lt;&gt; 0), (EQ290 * ER290 * 100 * (1 - COMIS_OPCION)), 0)),
IF(AND(EP290 &lt;&gt; "", EP290 &lt;&gt; 0), -(EP290 * ER290 * 1 * (1 + COMIS_ACCION)),
IF(AND(EQ290 &lt;&gt; "", EQ290 &lt;&gt; 0), (EQ290 * ER290 * 1 * (1 - COMIS_ACCION)), 0))  )))</f>
        <v>0</v>
      </c>
      <c r="EW290" s="917"/>
      <c r="EX290" s="917"/>
      <c r="EY290" s="917"/>
      <c r="EZ290" s="917"/>
      <c r="FA290" s="917"/>
      <c r="FB290" s="917"/>
      <c r="FC290" s="917"/>
      <c r="FD290" s="925"/>
      <c r="FE290" s="340"/>
      <c r="FF290" s="340"/>
      <c r="FG290" s="365"/>
      <c r="FH290" s="365"/>
      <c r="FI290" s="354">
        <f>IF(FI289=0, 0, SUM(FP287:FX291))</f>
        <v>0</v>
      </c>
      <c r="FJ290" s="347"/>
      <c r="FK290" s="342"/>
      <c r="FL290" s="343"/>
      <c r="FM290" s="930">
        <f>IF(FL290 = "", 0,
IF(AND(FJ290 &gt; 0, FK290 &gt;0), 0,
IF(AND(FJ290 &lt;&gt; "", FJ290 &lt;&gt; 0), -(FJ290 * FL290 * 100),
IF(AND(FK290 &lt;&gt; "", FK290 &lt;&gt; 0), (FK290 * FL290 * 100), 0)) ))</f>
        <v>0</v>
      </c>
      <c r="FN290" s="931"/>
      <c r="FO290" s="932"/>
      <c r="FP290" s="930">
        <f>IF(FL290 = "", 0,
IF(AND(FJ290 &gt; 0, FK290 &gt;0), 0,
IF(AND(FJ290 &lt;&gt; "", FJ290 &lt;&gt; 0), -(FJ290 * FL290 * 100 * (1 + COMIS_OPCION)),
IF(AND(FK290 &lt;&gt; "", FK290 &lt;&gt; 0), (FK290 * FL290 * 100 * (1 - COMIS_OPCION)), 0)) ))</f>
        <v>0</v>
      </c>
      <c r="FQ290" s="931"/>
      <c r="FR290" s="931"/>
      <c r="FS290" s="931"/>
      <c r="FT290" s="931"/>
      <c r="FU290" s="931"/>
      <c r="FV290" s="931"/>
      <c r="FW290" s="931"/>
      <c r="FX290" s="933"/>
      <c r="FY290" s="341"/>
      <c r="FZ290" s="341"/>
      <c r="GA290" s="341"/>
      <c r="GB290" s="495">
        <v>0</v>
      </c>
      <c r="GC290" s="495">
        <v>0</v>
      </c>
      <c r="GD290" s="500"/>
      <c r="GE290" s="495">
        <v>0</v>
      </c>
      <c r="GF290" s="495">
        <v>0</v>
      </c>
      <c r="GG290" s="495">
        <v>0</v>
      </c>
      <c r="GH290" s="359"/>
      <c r="GI290" s="359"/>
      <c r="GJ290" s="501"/>
      <c r="GK290" s="495">
        <v>0</v>
      </c>
      <c r="GL290" s="495">
        <v>0</v>
      </c>
      <c r="GM290" s="495">
        <v>0</v>
      </c>
      <c r="GN290" s="359"/>
      <c r="GO290" s="359"/>
      <c r="GP290" s="501"/>
      <c r="GQ290" s="495">
        <v>0</v>
      </c>
      <c r="GR290" s="375"/>
      <c r="GS290" s="333"/>
      <c r="GT290" s="333"/>
      <c r="GU290" s="333"/>
      <c r="GV290" s="333"/>
      <c r="GW290" s="333"/>
      <c r="GX290" s="333"/>
      <c r="GY290" s="333"/>
      <c r="GZ290" s="333"/>
      <c r="HA290" s="333"/>
      <c r="HB290" s="333"/>
      <c r="HC290" s="333"/>
      <c r="HD290" s="333"/>
      <c r="HE290" s="333"/>
      <c r="HF290" s="333"/>
      <c r="HG290" s="331"/>
      <c r="HH290" s="331"/>
      <c r="HI290" s="331"/>
      <c r="HJ290" s="331"/>
      <c r="HK290" s="331"/>
      <c r="HL290" s="331"/>
      <c r="HM290" s="331"/>
      <c r="HN290" s="333"/>
      <c r="HO290" s="333"/>
      <c r="HP290" s="333"/>
      <c r="HQ290" s="333"/>
      <c r="HR290" s="333"/>
      <c r="HS290" s="333"/>
      <c r="HT290" s="333"/>
      <c r="HU290" s="333"/>
      <c r="HV290" s="333"/>
      <c r="HW290" s="333"/>
      <c r="HX290" s="333"/>
      <c r="HY290" s="333"/>
      <c r="HZ290" s="333"/>
      <c r="IA290" s="333"/>
      <c r="IB290" s="333"/>
      <c r="IC290" s="333"/>
      <c r="ID290" s="55"/>
      <c r="IE290" s="47"/>
      <c r="IO290" s="51"/>
    </row>
    <row r="291" spans="13:249" s="142" customFormat="1" ht="15" customHeight="1" thickBot="1">
      <c r="M291" s="333"/>
      <c r="N291" s="333"/>
      <c r="O291" s="333"/>
      <c r="P291" s="333"/>
      <c r="Q291" s="333"/>
      <c r="R291" s="333"/>
      <c r="S291" s="333"/>
      <c r="T291" s="333"/>
      <c r="U291" s="333"/>
      <c r="V291" s="333"/>
      <c r="W291" s="333"/>
      <c r="X291" s="333"/>
      <c r="Y291" s="333"/>
      <c r="Z291" s="333"/>
      <c r="AA291" s="333"/>
      <c r="AB291" s="333"/>
      <c r="AC291" s="333"/>
      <c r="AD291" s="333"/>
      <c r="AE291" s="333"/>
      <c r="AF291" s="333"/>
      <c r="AG291" s="333"/>
      <c r="AH291" s="333"/>
      <c r="AI291" s="333"/>
      <c r="AJ291" s="333"/>
      <c r="AK291" s="333"/>
      <c r="AL291" s="333"/>
      <c r="AM291" s="333"/>
      <c r="AN291" s="333"/>
      <c r="AO291" s="333"/>
      <c r="AP291" s="333"/>
      <c r="AQ291" s="333"/>
      <c r="AR291" s="333"/>
      <c r="AS291" s="333"/>
      <c r="AT291" s="333"/>
      <c r="AU291" s="333"/>
      <c r="AV291" s="333"/>
      <c r="AW291" s="333"/>
      <c r="AX291" s="333"/>
      <c r="AY291" s="333"/>
      <c r="AZ291" s="333"/>
      <c r="BA291" s="333"/>
      <c r="BB291" s="333"/>
      <c r="BC291" s="333"/>
      <c r="BD291" s="333"/>
      <c r="BE291" s="333"/>
      <c r="BF291" s="333"/>
      <c r="BG291" s="333"/>
      <c r="BH291" s="333"/>
      <c r="BI291" s="333"/>
      <c r="BJ291" s="333"/>
      <c r="BK291" s="333"/>
      <c r="BL291" s="333"/>
      <c r="BM291" s="333"/>
      <c r="BN291" s="333"/>
      <c r="BO291" s="333"/>
      <c r="BP291" s="333"/>
      <c r="BQ291" s="333"/>
      <c r="BR291" s="333"/>
      <c r="BS291" s="333"/>
      <c r="BT291" s="333"/>
      <c r="BU291" s="333"/>
      <c r="BV291" s="333"/>
      <c r="BW291" s="333"/>
      <c r="BX291" s="333"/>
      <c r="BY291" s="333"/>
      <c r="BZ291" s="333"/>
      <c r="CA291" s="333"/>
      <c r="CB291" s="333"/>
      <c r="CC291" s="333"/>
      <c r="CD291" s="333"/>
      <c r="CE291" s="333"/>
      <c r="CF291" s="333"/>
      <c r="CG291" s="333"/>
      <c r="CH291" s="333"/>
      <c r="CI291" s="333"/>
      <c r="CJ291" s="333"/>
      <c r="CK291" s="333"/>
      <c r="CL291" s="333"/>
      <c r="CM291" s="333"/>
      <c r="CN291" s="333"/>
      <c r="CO291" s="333"/>
      <c r="CP291" s="333"/>
      <c r="CQ291" s="333"/>
      <c r="CR291" s="333"/>
      <c r="CS291" s="333"/>
      <c r="CT291" s="333"/>
      <c r="CU291" s="333"/>
      <c r="CV291" s="333"/>
      <c r="CW291" s="333"/>
      <c r="CX291" s="333"/>
      <c r="CY291" s="333"/>
      <c r="CZ291" s="333"/>
      <c r="DA291" s="333"/>
      <c r="DB291" s="333"/>
      <c r="DC291" s="333"/>
      <c r="DD291" s="333"/>
      <c r="DE291" s="333"/>
      <c r="DF291" s="333"/>
      <c r="DG291" s="333"/>
      <c r="DH291" s="333"/>
      <c r="DI291" s="333"/>
      <c r="DJ291" s="333"/>
      <c r="DK291" s="333"/>
      <c r="DL291" s="333"/>
      <c r="DM291" s="333"/>
      <c r="DN291" s="333"/>
      <c r="DO291" s="333"/>
      <c r="DP291" s="333"/>
      <c r="DQ291" s="333"/>
      <c r="DR291" s="333"/>
      <c r="DS291" s="333"/>
      <c r="DT291" s="333"/>
      <c r="DU291" s="375"/>
      <c r="DV291" s="375"/>
      <c r="DW291" s="375"/>
      <c r="DX291" s="375"/>
      <c r="DY291" s="375"/>
      <c r="DZ291" s="375"/>
      <c r="EA291" s="375"/>
      <c r="EB291" s="375"/>
      <c r="EC291" s="375"/>
      <c r="ED291" s="375"/>
      <c r="EE291" s="375"/>
      <c r="EF291" s="375"/>
      <c r="EG291" s="375"/>
      <c r="EH291" s="375"/>
      <c r="EI291" s="375"/>
      <c r="EJ291" s="373"/>
      <c r="EK291" s="373"/>
      <c r="EL291" s="366"/>
      <c r="EM291" s="369"/>
      <c r="EN291" s="364"/>
      <c r="EO291" s="353">
        <f>+IF(EO289= 0, 0, GG287)</f>
        <v>0</v>
      </c>
      <c r="EP291" s="350"/>
      <c r="EQ291" s="344"/>
      <c r="ER291" s="523"/>
      <c r="ES291" s="921">
        <f>IF(ER291 = "", 0,
IF(AND(EP291 &gt; 0, EQ291 &gt;0), 0, IF(EO287 &lt;&gt; $Z$1,
IF(AND(EP291 &lt;&gt; "", EP291 &lt;&gt; 0), -(EP291 * ER291 * 100),
IF(AND(EQ291 &lt;&gt; "", EQ291 &lt;&gt; 0), (EQ291 * ER291 * 100), 0)),
IF(AND(EP291 &lt;&gt; "", EP291 &lt;&gt; 0), -(EP291 * ER291 * 1),
IF(AND(EQ291 &lt;&gt; "", EQ291 &lt;&gt; 0), (EQ291 * ER291 * 1), 0))  )))</f>
        <v>0</v>
      </c>
      <c r="ET291" s="922"/>
      <c r="EU291" s="924"/>
      <c r="EV291" s="921">
        <f>IF(ER291 = "", 0,
IF(AND(EP291 &gt; 0, EQ291 &gt;0), 0,  IF(EO287 &lt;&gt; $Z$1,
IF(AND(EP291 &lt;&gt; "", EP291 &lt;&gt; 0), -(EP291 * ER291 * 100 * (1 + COMIS_OPCION)),
IF(AND(EQ291 &lt;&gt; "", EQ291 &lt;&gt; 0), (EQ291 * ER291 * 100 * (1 - COMIS_OPCION)), 0)),
IF(AND(EP291 &lt;&gt; "", EP291 &lt;&gt; 0), -(EP291 * ER291 * 1 * (1 + COMIS_ACCION)),
IF(AND(EQ291 &lt;&gt; "", EQ291 &lt;&gt; 0), (EQ291 * ER291 * 1 * (1 - COMIS_ACCION)), 0))  )))</f>
        <v>0</v>
      </c>
      <c r="EW291" s="922"/>
      <c r="EX291" s="922"/>
      <c r="EY291" s="922"/>
      <c r="EZ291" s="922"/>
      <c r="FA291" s="922"/>
      <c r="FB291" s="922"/>
      <c r="FC291" s="922"/>
      <c r="FD291" s="923"/>
      <c r="FE291" s="340"/>
      <c r="FF291" s="340"/>
      <c r="FG291" s="365"/>
      <c r="FH291" s="365"/>
      <c r="FI291" s="349">
        <f>+IF(FI289= 0, 0, GQ287)</f>
        <v>0</v>
      </c>
      <c r="FJ291" s="348"/>
      <c r="FK291" s="345"/>
      <c r="FL291" s="346"/>
      <c r="FM291" s="937">
        <f>IF(FL291 = "", 0,
IF(AND(FJ291 &gt; 0, FK291 &gt;0), 0,
IF(AND(FJ291 &lt;&gt; "", FJ291 &lt;&gt; 0), -(FJ291 * FL291 * 100),
IF(AND(FK291 &lt;&gt; "", FK291 &lt;&gt; 0), (FK291 * FL291 * 100), 0)) ))</f>
        <v>0</v>
      </c>
      <c r="FN291" s="938"/>
      <c r="FO291" s="939"/>
      <c r="FP291" s="937">
        <f>IF(FL291 = "", 0,
IF(AND(FJ291 &gt; 0, FK291 &gt;0), 0,
IF(AND(FJ291 &lt;&gt; "", FJ291 &lt;&gt; 0), -(FJ291 * FL291 * 100 * (1 + COMIS_OPCION)),
IF(AND(FK291 &lt;&gt; "", FK291 &lt;&gt; 0), (FK291 * FL291 * 100 * (1 - COMIS_OPCION)), 0)) ))</f>
        <v>0</v>
      </c>
      <c r="FQ291" s="938"/>
      <c r="FR291" s="938"/>
      <c r="FS291" s="938"/>
      <c r="FT291" s="938"/>
      <c r="FU291" s="938"/>
      <c r="FV291" s="938"/>
      <c r="FW291" s="938"/>
      <c r="FX291" s="969"/>
      <c r="FY291" s="341"/>
      <c r="FZ291" s="341"/>
      <c r="GA291" s="341"/>
      <c r="GB291" s="495">
        <v>0</v>
      </c>
      <c r="GC291" s="495">
        <v>0</v>
      </c>
      <c r="GD291" s="500"/>
      <c r="GE291" s="495">
        <v>0</v>
      </c>
      <c r="GF291" s="495">
        <v>0</v>
      </c>
      <c r="GG291" s="495">
        <v>0</v>
      </c>
      <c r="GH291" s="359"/>
      <c r="GI291" s="359"/>
      <c r="GJ291" s="501"/>
      <c r="GK291" s="495">
        <v>0</v>
      </c>
      <c r="GL291" s="495">
        <v>0</v>
      </c>
      <c r="GM291" s="495">
        <v>0</v>
      </c>
      <c r="GN291" s="359"/>
      <c r="GO291" s="359"/>
      <c r="GP291" s="501"/>
      <c r="GQ291" s="495">
        <v>0</v>
      </c>
      <c r="GR291" s="375"/>
      <c r="GS291" s="333"/>
      <c r="GT291" s="333"/>
      <c r="GU291" s="333"/>
      <c r="GV291" s="333"/>
      <c r="GW291" s="333"/>
      <c r="GX291" s="333"/>
      <c r="GY291" s="333"/>
      <c r="GZ291" s="333"/>
      <c r="HA291" s="333"/>
      <c r="HB291" s="333"/>
      <c r="HC291" s="333"/>
      <c r="HD291" s="333"/>
      <c r="HE291" s="333"/>
      <c r="HF291" s="333"/>
      <c r="HG291" s="331"/>
      <c r="HH291" s="331"/>
      <c r="HI291" s="331"/>
      <c r="HJ291" s="331"/>
      <c r="HK291" s="331"/>
      <c r="HL291" s="331"/>
      <c r="HM291" s="331"/>
      <c r="HN291" s="333"/>
      <c r="HO291" s="333"/>
      <c r="HP291" s="333"/>
      <c r="HQ291" s="333"/>
      <c r="HR291" s="333"/>
      <c r="HS291" s="333"/>
      <c r="HT291" s="333"/>
      <c r="HU291" s="333"/>
      <c r="HV291" s="333"/>
      <c r="HW291" s="333"/>
      <c r="HX291" s="333"/>
      <c r="HY291" s="333"/>
      <c r="HZ291" s="333"/>
      <c r="IA291" s="333"/>
      <c r="IB291" s="333"/>
      <c r="IC291" s="333"/>
      <c r="ID291" s="55"/>
      <c r="IE291" s="47"/>
      <c r="IO291" s="51"/>
    </row>
    <row r="292" spans="13:249" s="142" customFormat="1" ht="15" customHeight="1" thickBot="1">
      <c r="M292" s="333"/>
      <c r="N292" s="333"/>
      <c r="O292" s="333"/>
      <c r="P292" s="333"/>
      <c r="Q292" s="333"/>
      <c r="R292" s="333"/>
      <c r="S292" s="333"/>
      <c r="T292" s="333"/>
      <c r="U292" s="333"/>
      <c r="V292" s="333"/>
      <c r="W292" s="333"/>
      <c r="X292" s="333"/>
      <c r="Y292" s="333"/>
      <c r="Z292" s="333"/>
      <c r="AA292" s="333"/>
      <c r="AB292" s="333"/>
      <c r="AC292" s="333"/>
      <c r="AD292" s="333"/>
      <c r="AE292" s="333"/>
      <c r="AF292" s="333"/>
      <c r="AG292" s="333"/>
      <c r="AH292" s="333"/>
      <c r="AI292" s="333"/>
      <c r="AJ292" s="333"/>
      <c r="AK292" s="333"/>
      <c r="AL292" s="333"/>
      <c r="AM292" s="333"/>
      <c r="AN292" s="333"/>
      <c r="AO292" s="333"/>
      <c r="AP292" s="333"/>
      <c r="AQ292" s="333"/>
      <c r="AR292" s="333"/>
      <c r="AS292" s="333"/>
      <c r="AT292" s="333"/>
      <c r="AU292" s="333"/>
      <c r="AV292" s="333"/>
      <c r="AW292" s="333"/>
      <c r="AX292" s="333"/>
      <c r="AY292" s="333"/>
      <c r="AZ292" s="333"/>
      <c r="BA292" s="333"/>
      <c r="BB292" s="333"/>
      <c r="BC292" s="333"/>
      <c r="BD292" s="333"/>
      <c r="BE292" s="333"/>
      <c r="BF292" s="333"/>
      <c r="BG292" s="333"/>
      <c r="BH292" s="333"/>
      <c r="BI292" s="333"/>
      <c r="BJ292" s="333"/>
      <c r="BK292" s="333"/>
      <c r="BL292" s="333"/>
      <c r="BM292" s="333"/>
      <c r="BN292" s="333"/>
      <c r="BO292" s="333"/>
      <c r="BP292" s="333"/>
      <c r="BQ292" s="333"/>
      <c r="BR292" s="333"/>
      <c r="BS292" s="333"/>
      <c r="BT292" s="333"/>
      <c r="BU292" s="333"/>
      <c r="BV292" s="333"/>
      <c r="BW292" s="333"/>
      <c r="BX292" s="333"/>
      <c r="BY292" s="333"/>
      <c r="BZ292" s="333"/>
      <c r="CA292" s="333"/>
      <c r="CB292" s="333"/>
      <c r="CC292" s="333"/>
      <c r="CD292" s="333"/>
      <c r="CE292" s="333"/>
      <c r="CF292" s="333"/>
      <c r="CG292" s="333"/>
      <c r="CH292" s="333"/>
      <c r="CI292" s="333"/>
      <c r="CJ292" s="333"/>
      <c r="CK292" s="333"/>
      <c r="CL292" s="333"/>
      <c r="CM292" s="333"/>
      <c r="CN292" s="333"/>
      <c r="CO292" s="333"/>
      <c r="CP292" s="333"/>
      <c r="CQ292" s="333"/>
      <c r="CR292" s="333"/>
      <c r="CS292" s="333"/>
      <c r="CT292" s="333"/>
      <c r="CU292" s="333"/>
      <c r="CV292" s="333"/>
      <c r="CW292" s="333"/>
      <c r="CX292" s="333"/>
      <c r="CY292" s="333"/>
      <c r="CZ292" s="333"/>
      <c r="DA292" s="333"/>
      <c r="DB292" s="333"/>
      <c r="DC292" s="333"/>
      <c r="DD292" s="333"/>
      <c r="DE292" s="333"/>
      <c r="DF292" s="333"/>
      <c r="DG292" s="333"/>
      <c r="DH292" s="333"/>
      <c r="DI292" s="333"/>
      <c r="DJ292" s="333"/>
      <c r="DK292" s="333"/>
      <c r="DL292" s="333"/>
      <c r="DM292" s="333"/>
      <c r="DN292" s="333"/>
      <c r="DO292" s="333"/>
      <c r="DP292" s="333"/>
      <c r="DQ292" s="333"/>
      <c r="DR292" s="333"/>
      <c r="DS292" s="333"/>
      <c r="DT292" s="333"/>
      <c r="DU292" s="375"/>
      <c r="DV292" s="375"/>
      <c r="DW292" s="375"/>
      <c r="DX292" s="375"/>
      <c r="DY292" s="375"/>
      <c r="DZ292" s="375"/>
      <c r="EA292" s="375"/>
      <c r="EB292" s="375"/>
      <c r="EC292" s="375"/>
      <c r="ED292" s="375"/>
      <c r="EE292" s="375"/>
      <c r="EF292" s="375"/>
      <c r="EG292" s="375"/>
      <c r="EH292" s="375"/>
      <c r="EI292" s="375"/>
      <c r="EJ292" s="373"/>
      <c r="EK292" s="373"/>
      <c r="EL292" s="366"/>
      <c r="EM292" s="369"/>
      <c r="EN292" s="364"/>
      <c r="EO292" s="363"/>
      <c r="EP292" s="340"/>
      <c r="EQ292" s="340"/>
      <c r="ER292" s="340"/>
      <c r="ES292" s="363"/>
      <c r="ET292" s="363"/>
      <c r="EU292" s="340"/>
      <c r="EV292" s="340"/>
      <c r="EW292" s="340"/>
      <c r="EX292" s="340"/>
      <c r="EY292" s="340"/>
      <c r="EZ292" s="340"/>
      <c r="FA292" s="340"/>
      <c r="FB292" s="402"/>
      <c r="FC292" s="402"/>
      <c r="FD292" s="340"/>
      <c r="FE292" s="340"/>
      <c r="FF292" s="340"/>
      <c r="FG292" s="364"/>
      <c r="FH292" s="364"/>
      <c r="FI292" s="363"/>
      <c r="FJ292" s="360"/>
      <c r="FK292" s="360"/>
      <c r="FL292" s="340"/>
      <c r="FM292" s="967"/>
      <c r="FN292" s="967"/>
      <c r="FO292" s="967"/>
      <c r="FP292" s="968"/>
      <c r="FQ292" s="968"/>
      <c r="FR292" s="968"/>
      <c r="FS292" s="968"/>
      <c r="FT292" s="968"/>
      <c r="FU292" s="968"/>
      <c r="FV292" s="968"/>
      <c r="FW292" s="968"/>
      <c r="FX292" s="968"/>
      <c r="FY292" s="341"/>
      <c r="FZ292" s="341"/>
      <c r="GA292" s="341"/>
      <c r="GB292" s="495">
        <v>0</v>
      </c>
      <c r="GC292" s="495">
        <v>0</v>
      </c>
      <c r="GD292" s="500"/>
      <c r="GE292" s="495">
        <v>0</v>
      </c>
      <c r="GF292" s="495">
        <v>0</v>
      </c>
      <c r="GG292" s="495">
        <v>0</v>
      </c>
      <c r="GH292" s="359"/>
      <c r="GI292" s="359"/>
      <c r="GJ292" s="501"/>
      <c r="GK292" s="495">
        <v>0</v>
      </c>
      <c r="GL292" s="495">
        <v>0</v>
      </c>
      <c r="GM292" s="495">
        <v>0</v>
      </c>
      <c r="GN292" s="359"/>
      <c r="GO292" s="359"/>
      <c r="GP292" s="501"/>
      <c r="GQ292" s="495">
        <v>0</v>
      </c>
      <c r="GR292" s="375"/>
      <c r="GS292" s="333"/>
      <c r="GT292" s="333"/>
      <c r="GU292" s="333"/>
      <c r="GV292" s="333"/>
      <c r="GW292" s="333"/>
      <c r="GX292" s="333"/>
      <c r="GY292" s="333"/>
      <c r="GZ292" s="333"/>
      <c r="HA292" s="333"/>
      <c r="HB292" s="333"/>
      <c r="HC292" s="333"/>
      <c r="HD292" s="333"/>
      <c r="HE292" s="333"/>
      <c r="HF292" s="333"/>
      <c r="HG292" s="331"/>
      <c r="HH292" s="331"/>
      <c r="HI292" s="331"/>
      <c r="HJ292" s="331"/>
      <c r="HK292" s="331"/>
      <c r="HL292" s="331"/>
      <c r="HM292" s="331"/>
      <c r="HN292" s="333"/>
      <c r="HO292" s="333"/>
      <c r="HP292" s="333"/>
      <c r="HQ292" s="333"/>
      <c r="HR292" s="333"/>
      <c r="HS292" s="333"/>
      <c r="HT292" s="333"/>
      <c r="HU292" s="333"/>
      <c r="HV292" s="333"/>
      <c r="HW292" s="333"/>
      <c r="HX292" s="333"/>
      <c r="HY292" s="333"/>
      <c r="HZ292" s="333"/>
      <c r="IA292" s="333"/>
      <c r="IB292" s="333"/>
      <c r="IC292" s="333"/>
      <c r="ID292" s="55"/>
      <c r="IE292" s="47"/>
      <c r="IO292" s="51"/>
    </row>
    <row r="293" spans="13:249" s="142" customFormat="1" ht="15" customHeight="1">
      <c r="M293" s="333"/>
      <c r="N293" s="333"/>
      <c r="O293" s="333"/>
      <c r="P293" s="333"/>
      <c r="Q293" s="333"/>
      <c r="R293" s="333"/>
      <c r="S293" s="333"/>
      <c r="T293" s="333"/>
      <c r="U293" s="333"/>
      <c r="V293" s="333"/>
      <c r="W293" s="333"/>
      <c r="X293" s="333"/>
      <c r="Y293" s="333"/>
      <c r="Z293" s="333"/>
      <c r="AA293" s="333"/>
      <c r="AB293" s="333"/>
      <c r="AC293" s="333"/>
      <c r="AD293" s="333"/>
      <c r="AE293" s="333"/>
      <c r="AF293" s="333"/>
      <c r="AG293" s="333"/>
      <c r="AH293" s="333"/>
      <c r="AI293" s="333"/>
      <c r="AJ293" s="333"/>
      <c r="AK293" s="333"/>
      <c r="AL293" s="333"/>
      <c r="AM293" s="333"/>
      <c r="AN293" s="333"/>
      <c r="AO293" s="333"/>
      <c r="AP293" s="333"/>
      <c r="AQ293" s="333"/>
      <c r="AR293" s="333"/>
      <c r="AS293" s="333"/>
      <c r="AT293" s="333"/>
      <c r="AU293" s="333"/>
      <c r="AV293" s="333"/>
      <c r="AW293" s="333"/>
      <c r="AX293" s="333"/>
      <c r="AY293" s="333"/>
      <c r="AZ293" s="333"/>
      <c r="BA293" s="333"/>
      <c r="BB293" s="333"/>
      <c r="BC293" s="333"/>
      <c r="BD293" s="333"/>
      <c r="BE293" s="333"/>
      <c r="BF293" s="333"/>
      <c r="BG293" s="333"/>
      <c r="BH293" s="333"/>
      <c r="BI293" s="333"/>
      <c r="BJ293" s="333"/>
      <c r="BK293" s="333"/>
      <c r="BL293" s="333"/>
      <c r="BM293" s="333"/>
      <c r="BN293" s="333"/>
      <c r="BO293" s="333"/>
      <c r="BP293" s="333"/>
      <c r="BQ293" s="333"/>
      <c r="BR293" s="333"/>
      <c r="BS293" s="333"/>
      <c r="BT293" s="333"/>
      <c r="BU293" s="333"/>
      <c r="BV293" s="333"/>
      <c r="BW293" s="333"/>
      <c r="BX293" s="333"/>
      <c r="BY293" s="333"/>
      <c r="BZ293" s="333"/>
      <c r="CA293" s="333"/>
      <c r="CB293" s="333"/>
      <c r="CC293" s="333"/>
      <c r="CD293" s="333"/>
      <c r="CE293" s="333"/>
      <c r="CF293" s="333"/>
      <c r="CG293" s="333"/>
      <c r="CH293" s="333"/>
      <c r="CI293" s="333"/>
      <c r="CJ293" s="333"/>
      <c r="CK293" s="333"/>
      <c r="CL293" s="333"/>
      <c r="CM293" s="333"/>
      <c r="CN293" s="333"/>
      <c r="CO293" s="333"/>
      <c r="CP293" s="333"/>
      <c r="CQ293" s="333"/>
      <c r="CR293" s="333"/>
      <c r="CS293" s="333"/>
      <c r="CT293" s="333"/>
      <c r="CU293" s="333"/>
      <c r="CV293" s="333"/>
      <c r="CW293" s="333"/>
      <c r="CX293" s="333"/>
      <c r="CY293" s="333"/>
      <c r="CZ293" s="333"/>
      <c r="DA293" s="333"/>
      <c r="DB293" s="333"/>
      <c r="DC293" s="333"/>
      <c r="DD293" s="333"/>
      <c r="DE293" s="333"/>
      <c r="DF293" s="333"/>
      <c r="DG293" s="333"/>
      <c r="DH293" s="333"/>
      <c r="DI293" s="333"/>
      <c r="DJ293" s="333"/>
      <c r="DK293" s="333"/>
      <c r="DL293" s="333"/>
      <c r="DM293" s="333"/>
      <c r="DN293" s="333"/>
      <c r="DO293" s="333"/>
      <c r="DP293" s="333"/>
      <c r="DQ293" s="333"/>
      <c r="DR293" s="333"/>
      <c r="DS293" s="333"/>
      <c r="DT293" s="333"/>
      <c r="DU293" s="375"/>
      <c r="DV293" s="375"/>
      <c r="DW293" s="375"/>
      <c r="DX293" s="375"/>
      <c r="DY293" s="375"/>
      <c r="DZ293" s="375"/>
      <c r="EA293" s="375"/>
      <c r="EB293" s="375"/>
      <c r="EC293" s="375"/>
      <c r="ED293" s="375"/>
      <c r="EE293" s="375"/>
      <c r="EF293" s="375"/>
      <c r="EG293" s="375"/>
      <c r="EH293" s="375"/>
      <c r="EI293" s="375"/>
      <c r="EJ293" s="373"/>
      <c r="EK293" s="373"/>
      <c r="EL293" s="366"/>
      <c r="EM293" s="366"/>
      <c r="EN293" s="364">
        <f>+EN287+1</f>
        <v>41</v>
      </c>
      <c r="EO293" s="356" t="str">
        <f>+VLOOKUP(EN293, PRECIOS_EJERCICIOS,  2,FALSE)</f>
        <v/>
      </c>
      <c r="EP293" s="513" t="str">
        <f>+IF($AQ$49 = FALSE, "",
IF(VLOOKUP(EO293, basesCantPrimaBrutoRes, 2,FALSE) &gt;= 0, VLOOKUP(EO293, basesCantPrimaBrutoRes, 2,FALSE), 0))</f>
        <v/>
      </c>
      <c r="EQ293" s="514" t="str">
        <f>+IF($AQ$49 = FALSE, "",
IF(VLOOKUP(EO293, basesCantPrimaBrutoRes, 2,FALSE) &lt; 0, -VLOOKUP(EO293, basesCantPrimaBrutoRes, 2,FALSE), 0))</f>
        <v/>
      </c>
      <c r="ER293" s="521" t="str">
        <f>IF($AQ$49 = FALSE, "",
VLOOKUP(EO293, basesCantPrimaBrutoRes, 4,FALSE))</f>
        <v/>
      </c>
      <c r="ES293" s="926">
        <f>IF(ER293 = "", 0,
IF(AND(EP293 &gt; 0, EQ293 &gt;0), 0, IF(EO293 &lt;&gt; $Z$1,
IF(AND(EP293 &lt;&gt; "", EP293 &lt;&gt; 0), -(EP293 * ER293 * 100),
IF(AND(EQ293 &lt;&gt; "", EQ293 &lt;&gt; 0), (EQ293 * ER293 * 100), 0)),
IF(AND(EP293 &lt;&gt; "", EP293 &lt;&gt; 0), -(EP293 * ER293 * 1),
IF(AND(EQ293 &lt;&gt; "", EQ293 &lt;&gt; 0), (EQ293 * ER293 * 1), 0))  )))</f>
        <v>0</v>
      </c>
      <c r="ET293" s="927"/>
      <c r="EU293" s="928"/>
      <c r="EV293" s="926">
        <f>IF(ER293 = "", 0,
IF(AND(EP293 &gt; 0, EQ293 &gt;0), 0,  IF(EO293 &lt;&gt; $Z$1,
IF(AND(EP293 &lt;&gt; "", EP293 &lt;&gt; 0), -(EP293 * ER293 * 100 * (1 + COMIS_OPCION)),
IF(AND(EQ293 &lt;&gt; "", EQ293 &lt;&gt; 0), (EQ293 * ER293 * 100 * (1 - COMIS_OPCION)), 0)),
IF(AND(EP293 &lt;&gt; "", EP293 &lt;&gt; 0), -(EP293 * ER293 * 1 * (1 + COMIS_ACCION)),
IF(AND(EQ293 &lt;&gt; "", EQ293 &lt;&gt; 0), (EQ293 * ER293 * 1 * (1 - COMIS_ACCION)), 0))  )))</f>
        <v>0</v>
      </c>
      <c r="EW293" s="927"/>
      <c r="EX293" s="927"/>
      <c r="EY293" s="927"/>
      <c r="EZ293" s="927"/>
      <c r="FA293" s="927"/>
      <c r="FB293" s="927"/>
      <c r="FC293" s="927"/>
      <c r="FD293" s="929"/>
      <c r="FE293" s="340"/>
      <c r="FF293" s="340"/>
      <c r="FG293" s="364"/>
      <c r="FH293" s="364">
        <f>+FH287+1</f>
        <v>41</v>
      </c>
      <c r="FI293" s="357" t="str">
        <f>+VLOOKUP(FH293, PRECIOS_EJERCICIOS,  2,FALSE)</f>
        <v/>
      </c>
      <c r="FJ293" s="515" t="str">
        <f>+IF($AQ$49 = FALSE, "",
IF(VLOOKUP(EO293, basesCantPrimaBrutoRes, 5,FALSE) &gt;= 0, VLOOKUP(EO293, basesCantPrimaBrutoRes, 5,FALSE), 0))</f>
        <v/>
      </c>
      <c r="FK293" s="516" t="str">
        <f>+IF($AQ$49 = FALSE, "",
IF(VLOOKUP(EO293, basesCantPrimaBrutoRes, 5,FALSE) &lt; 0, -VLOOKUP(EO293, basesCantPrimaBrutoRes, 5,FALSE), 0))</f>
        <v/>
      </c>
      <c r="FL293" s="517" t="str">
        <f>IF($AQ$49 = FALSE, "",
VLOOKUP(EO293, basesCantPrimaBrutoRes, 7,FALSE))</f>
        <v/>
      </c>
      <c r="FM293" s="934">
        <f>IF(FL293 = "", 0,
IF(AND(FJ293 &gt; 0, FK293 &gt;0), 0,
IF(AND(FJ293 &lt;&gt; "", FJ293 &lt;&gt; 0), -(FJ293 * FL293 * 100),
IF(AND(FK293 &lt;&gt; "", FK293 &lt;&gt; 0), (FK293 * FL293 * 100), 0)) ))</f>
        <v>0</v>
      </c>
      <c r="FN293" s="935"/>
      <c r="FO293" s="936"/>
      <c r="FP293" s="934">
        <f>IF(FL293 = "", 0,
IF(AND(FJ293 &gt; 0, FK293 &gt;0), 0,
IF(AND(FJ293 &lt;&gt; "", FJ293 &lt;&gt; 0), -(FJ293 * FL293 * 100 * (1 + COMIS_OPCION)),
IF(AND(FK293 &lt;&gt; "", FK293 &lt;&gt; 0), (FK293 * FL293 * 100 * (1 - COMIS_OPCION)), 0)) ))</f>
        <v>0</v>
      </c>
      <c r="FQ293" s="935"/>
      <c r="FR293" s="935"/>
      <c r="FS293" s="935"/>
      <c r="FT293" s="935"/>
      <c r="FU293" s="935"/>
      <c r="FV293" s="935"/>
      <c r="FW293" s="935"/>
      <c r="FX293" s="966"/>
      <c r="FY293" s="341"/>
      <c r="FZ293" s="341"/>
      <c r="GA293" s="341"/>
      <c r="GB293" s="495" t="str">
        <f>+IF(EN293 = "", "", EO293)</f>
        <v/>
      </c>
      <c r="GC293" s="495" t="str">
        <f>+IF(GB293="", "", IF(EO293 = $Z$1, "ACCION", "CALL"))</f>
        <v/>
      </c>
      <c r="GD293" s="500"/>
      <c r="GE293" s="495" t="str">
        <f>+IF(GB293= "", "", EO295)</f>
        <v/>
      </c>
      <c r="GF293" s="495" t="str">
        <f>+IF(GB293 = "", "", IFERROR(IF(GB293 &lt;&gt; $Z$1,
IF(GE293 &gt; 0, SUMIFS(ES293:ES297, EP293:EP297, "&gt;0", ES293:ES297, "&lt;&gt;0") / SUMIFS(EP293:EP297, EP293:EP297, "&gt;0", ES293:ES297, "&lt;&gt;0") / -100,
IF(GE293 &lt; 0, SUMIFS(ES293:ES297, EQ293:EQ297, "&gt;0", ES293:ES297, "&lt;&gt;0") / SUMIFS(EQ293:EQ297, EQ293:EQ297, "&gt;0", ES293:ES297, "&lt;&gt;0") / 100, 0)),
IF(GE293 &gt; 0, SUMIFS(ES293:ES297, EP293:EP297, "&gt;0", ES293:ES297, "&lt;&gt;0") / SUMIFS(EP293:EP297, EP293:EP297, "&gt;0", ES293:ES297, "&lt;&gt;0") / -1,
IF(GE293 &lt; 0, SUMIFS(ES293:ES297, EQ293:EQ297, "&gt;0", ES293:ES297, "&lt;&gt;0") / SUMIFS(EQ293:EQ297, EQ293:EQ297, "&gt;0", ES293:ES297, "&lt;&gt;0") / 1, 0)) ), 0))</f>
        <v/>
      </c>
      <c r="GG293" s="495" t="str">
        <f>+IF(GB293 = "", "", IFERROR(IF(GB293 &lt;&gt; $Z$1,
IF(GE293 &gt; 0, SUMIFS(EV293:EV297, EP293:EP297, "&gt;0", EV293:EV297, "&lt;&gt;0") / SUMIFS(EP293:EP297, EP293:EP297, "&gt;0", EV293:EV297, "&lt;&gt;0") / -100,
IF(GE293 &lt; 0, SUMIFS(EV293:EV297, EQ293:EQ297, "&gt;0", EV293:EV297, "&lt;&gt;0") / SUMIFS(EQ293:EQ297, EQ293:EQ297, "&gt;0", EV293:EV297, "&lt;&gt;0") / 100, 0)),
IF(GE293 &gt; 0, SUMIFS(EV293:EV297, EP293:EP297, "&gt;0", EV293:EV297, "&lt;&gt;0") / SUMIFS(EP293:EP297, EP293:EP297, "&gt;0", EV293:EV297, "&lt;&gt;0") / -1,
IF(GE293 &lt; 0, SUMIFS(EV293:EV297, EQ293:EQ297, "&gt;0", EV293:EV297, "&lt;&gt;0") / SUMIFS(EQ293:EQ297, EQ293:EQ297, "&gt;0", EV293:EV297, "&lt;&gt;0") / 1, 0)) ), 0))</f>
        <v/>
      </c>
      <c r="GH293" s="359"/>
      <c r="GI293" s="359"/>
      <c r="GJ293" s="501"/>
      <c r="GK293" s="495" t="str">
        <f>+IF(GB293="", "", "PUT")</f>
        <v/>
      </c>
      <c r="GL293" s="495" t="str">
        <f>+IF(GB293 = "", "", FI295)</f>
        <v/>
      </c>
      <c r="GM293" s="495" t="str">
        <f>+IF(GB293 = "", "", IFERROR(
IF(FI295 &gt; 0, SUMIFS(FM293:FM297, FJ293:FJ297, "&gt;0", FM293:FM297, "&lt;&gt;0") / SUMIFS(FJ293:FJ297, FJ293:FJ297, "&gt;0", FM293:FM297, "&lt;&gt;0") / -100,
IF(FI295 &lt; 0, SUMIFS(FM293:FM297, FK293:FK297, "&gt;0", FM293:FM297, "&lt;&gt;0") / SUMIFS(FK293:FK297, FK293:FK297, "&gt;0", FM293:FM297, "&lt;&gt;0") / 100, 0)), 0) )</f>
        <v/>
      </c>
      <c r="GN293" s="359"/>
      <c r="GO293" s="359"/>
      <c r="GP293" s="501"/>
      <c r="GQ293" s="502" t="str">
        <f>+IF(GB293 = "", "", IFERROR(
IF(FI295 &gt; 0, SUMIFS(FP293:FP297, FJ293:FJ297, "&gt;0", FP293:FP297, "&lt;&gt;0") / SUMIFS(FJ293:FJ297, FJ293:FJ297, "&gt;0", FP293:FP297, "&lt;&gt;0") / -100,
IF(FI295 &lt; 0, SUMIFS(FP293:FP297, FK293:FK297, "&gt;0", FP293:FP297, "&lt;&gt;0") / SUMIFS(FK293:FK297, FK293:FK297, "&gt;0", FP293:FP297, "&lt;&gt;0") / 100, 0)), 0))</f>
        <v/>
      </c>
      <c r="GR293" s="375"/>
      <c r="GS293" s="333"/>
      <c r="GT293" s="333"/>
      <c r="GU293" s="333"/>
      <c r="GV293" s="333"/>
      <c r="GW293" s="333"/>
      <c r="GX293" s="333"/>
      <c r="GY293" s="333"/>
      <c r="GZ293" s="333"/>
      <c r="HA293" s="333"/>
      <c r="HB293" s="333"/>
      <c r="HC293" s="333"/>
      <c r="HD293" s="333"/>
      <c r="HE293" s="333"/>
      <c r="HF293" s="333"/>
      <c r="HG293" s="331"/>
      <c r="HH293" s="331"/>
      <c r="HI293" s="331"/>
      <c r="HJ293" s="331"/>
      <c r="HK293" s="331"/>
      <c r="HL293" s="331"/>
      <c r="HM293" s="331"/>
      <c r="HN293" s="333"/>
      <c r="HO293" s="333"/>
      <c r="HP293" s="333"/>
      <c r="HQ293" s="333"/>
      <c r="HR293" s="333"/>
      <c r="HS293" s="333"/>
      <c r="HT293" s="333"/>
      <c r="HU293" s="333"/>
      <c r="HV293" s="333"/>
      <c r="HW293" s="333"/>
      <c r="HX293" s="333"/>
      <c r="HY293" s="333"/>
      <c r="HZ293" s="333"/>
      <c r="IA293" s="333"/>
      <c r="IB293" s="333"/>
      <c r="IC293" s="333"/>
      <c r="ID293" s="55"/>
      <c r="IE293" s="47"/>
      <c r="IO293" s="51"/>
    </row>
    <row r="294" spans="13:249" s="142" customFormat="1" ht="15" customHeight="1">
      <c r="M294" s="333"/>
      <c r="N294" s="333"/>
      <c r="O294" s="333"/>
      <c r="P294" s="333"/>
      <c r="Q294" s="333"/>
      <c r="R294" s="333"/>
      <c r="S294" s="333"/>
      <c r="T294" s="333"/>
      <c r="U294" s="333"/>
      <c r="V294" s="333"/>
      <c r="W294" s="333"/>
      <c r="X294" s="333"/>
      <c r="Y294" s="333"/>
      <c r="Z294" s="333"/>
      <c r="AA294" s="333"/>
      <c r="AB294" s="333"/>
      <c r="AC294" s="333"/>
      <c r="AD294" s="333"/>
      <c r="AE294" s="333"/>
      <c r="AF294" s="333"/>
      <c r="AG294" s="333"/>
      <c r="AH294" s="333"/>
      <c r="AI294" s="333"/>
      <c r="AJ294" s="333"/>
      <c r="AK294" s="333"/>
      <c r="AL294" s="333"/>
      <c r="AM294" s="333"/>
      <c r="AN294" s="333"/>
      <c r="AO294" s="333"/>
      <c r="AP294" s="333"/>
      <c r="AQ294" s="333"/>
      <c r="AR294" s="333"/>
      <c r="AS294" s="333"/>
      <c r="AT294" s="333"/>
      <c r="AU294" s="333"/>
      <c r="AV294" s="333"/>
      <c r="AW294" s="333"/>
      <c r="AX294" s="333"/>
      <c r="AY294" s="333"/>
      <c r="AZ294" s="333"/>
      <c r="BA294" s="333"/>
      <c r="BB294" s="333"/>
      <c r="BC294" s="333"/>
      <c r="BD294" s="333"/>
      <c r="BE294" s="333"/>
      <c r="BF294" s="333"/>
      <c r="BG294" s="333"/>
      <c r="BH294" s="333"/>
      <c r="BI294" s="333"/>
      <c r="BJ294" s="333"/>
      <c r="BK294" s="333"/>
      <c r="BL294" s="333"/>
      <c r="BM294" s="333"/>
      <c r="BN294" s="333"/>
      <c r="BO294" s="333"/>
      <c r="BP294" s="333"/>
      <c r="BQ294" s="333"/>
      <c r="BR294" s="333"/>
      <c r="BS294" s="333"/>
      <c r="BT294" s="333"/>
      <c r="BU294" s="333"/>
      <c r="BV294" s="333"/>
      <c r="BW294" s="333"/>
      <c r="BX294" s="333"/>
      <c r="BY294" s="333"/>
      <c r="BZ294" s="333"/>
      <c r="CA294" s="333"/>
      <c r="CB294" s="333"/>
      <c r="CC294" s="333"/>
      <c r="CD294" s="333"/>
      <c r="CE294" s="333"/>
      <c r="CF294" s="333"/>
      <c r="CG294" s="333"/>
      <c r="CH294" s="333"/>
      <c r="CI294" s="333"/>
      <c r="CJ294" s="333"/>
      <c r="CK294" s="333"/>
      <c r="CL294" s="333"/>
      <c r="CM294" s="333"/>
      <c r="CN294" s="333"/>
      <c r="CO294" s="333"/>
      <c r="CP294" s="333"/>
      <c r="CQ294" s="333"/>
      <c r="CR294" s="333"/>
      <c r="CS294" s="333"/>
      <c r="CT294" s="333"/>
      <c r="CU294" s="333"/>
      <c r="CV294" s="333"/>
      <c r="CW294" s="333"/>
      <c r="CX294" s="333"/>
      <c r="CY294" s="333"/>
      <c r="CZ294" s="333"/>
      <c r="DA294" s="333"/>
      <c r="DB294" s="333"/>
      <c r="DC294" s="333"/>
      <c r="DD294" s="333"/>
      <c r="DE294" s="333"/>
      <c r="DF294" s="333"/>
      <c r="DG294" s="333"/>
      <c r="DH294" s="333"/>
      <c r="DI294" s="333"/>
      <c r="DJ294" s="333"/>
      <c r="DK294" s="333"/>
      <c r="DL294" s="333"/>
      <c r="DM294" s="333"/>
      <c r="DN294" s="333"/>
      <c r="DO294" s="333"/>
      <c r="DP294" s="333"/>
      <c r="DQ294" s="333"/>
      <c r="DR294" s="333"/>
      <c r="DS294" s="333"/>
      <c r="DT294" s="333"/>
      <c r="DU294" s="375"/>
      <c r="DV294" s="375"/>
      <c r="DW294" s="375"/>
      <c r="DX294" s="375"/>
      <c r="DY294" s="375"/>
      <c r="DZ294" s="375"/>
      <c r="EA294" s="375"/>
      <c r="EB294" s="375"/>
      <c r="EC294" s="375"/>
      <c r="ED294" s="375"/>
      <c r="EE294" s="375"/>
      <c r="EF294" s="375"/>
      <c r="EG294" s="375"/>
      <c r="EH294" s="375"/>
      <c r="EI294" s="375"/>
      <c r="EJ294" s="373"/>
      <c r="EK294" s="373"/>
      <c r="EL294" s="366"/>
      <c r="EM294" s="366"/>
      <c r="EN294" s="364"/>
      <c r="EO294" s="351"/>
      <c r="EP294" s="347"/>
      <c r="EQ294" s="342"/>
      <c r="ER294" s="522"/>
      <c r="ES294" s="916">
        <f>IF(ER294 = "", 0,
IF(AND(EP294 &gt; 0, EQ294 &gt;0), 0, IF(EO293 &lt;&gt; $Z$1,
IF(AND(EP294 &lt;&gt; "", EP294 &lt;&gt; 0), -(EP294 * ER294 * 100),
IF(AND(EQ294 &lt;&gt; "", EQ294 &lt;&gt; 0), (EQ294 * ER294 * 100), 0)),
IF(AND(EP294 &lt;&gt; "", EP294 &lt;&gt; 0), -(EP294 * ER294 * 1),
IF(AND(EQ294 &lt;&gt; "", EQ294 &lt;&gt; 0), (EQ294 * ER294 * 1), 0))  )))</f>
        <v>0</v>
      </c>
      <c r="ET294" s="917"/>
      <c r="EU294" s="918"/>
      <c r="EV294" s="916">
        <f>IF(ER294 = "", 0,
IF(AND(EP294 &gt; 0, EQ294 &gt;0), 0,  IF(EO293 &lt;&gt; $Z$1,
IF(AND(EP294 &lt;&gt; "", EP294 &lt;&gt; 0), -(EP294 * ER294 * 100 * (1 + COMIS_OPCION)),
IF(AND(EQ294 &lt;&gt; "", EQ294 &lt;&gt; 0), (EQ294 * ER294 * 100 * (1 - COMIS_OPCION)), 0)),
IF(AND(EP294 &lt;&gt; "", EP294 &lt;&gt; 0), -(EP294 * ER294 * 1 * (1 + COMIS_ACCION)),
IF(AND(EQ294 &lt;&gt; "", EQ294 &lt;&gt; 0), (EQ294 * ER294 * 1 * (1 - COMIS_ACCION)), 0))  )))</f>
        <v>0</v>
      </c>
      <c r="EW294" s="917"/>
      <c r="EX294" s="917"/>
      <c r="EY294" s="917"/>
      <c r="EZ294" s="917"/>
      <c r="FA294" s="917"/>
      <c r="FB294" s="917"/>
      <c r="FC294" s="917"/>
      <c r="FD294" s="925"/>
      <c r="FE294" s="340"/>
      <c r="FF294" s="340"/>
      <c r="FG294" s="364"/>
      <c r="FH294" s="364"/>
      <c r="FI294" s="339"/>
      <c r="FJ294" s="347"/>
      <c r="FK294" s="342"/>
      <c r="FL294" s="343"/>
      <c r="FM294" s="930">
        <f>IF(FL294 = "", 0,
IF(AND(FJ294 &gt; 0, FK294 &gt;0), 0,
IF(AND(FJ294 &lt;&gt; "", FJ294 &lt;&gt; 0), -(FJ294 * FL294 * 100),
IF(AND(FK294 &lt;&gt; "", FK294 &lt;&gt; 0), (FK294 * FL294 * 100), 0)) ))</f>
        <v>0</v>
      </c>
      <c r="FN294" s="931"/>
      <c r="FO294" s="932"/>
      <c r="FP294" s="930">
        <f>IF(FL294 = "", 0,
IF(AND(FJ294 &gt; 0, FK294 &gt;0), 0,
IF(AND(FJ294 &lt;&gt; "", FJ294 &lt;&gt; 0), -(FJ294 * FL294 * 100 * (1 + COMIS_OPCION)),
IF(AND(FK294 &lt;&gt; "", FK294 &lt;&gt; 0), (FK294 * FL294 * 100 * (1 - COMIS_OPCION)), 0)) ))</f>
        <v>0</v>
      </c>
      <c r="FQ294" s="931"/>
      <c r="FR294" s="931"/>
      <c r="FS294" s="931"/>
      <c r="FT294" s="931"/>
      <c r="FU294" s="931"/>
      <c r="FV294" s="931"/>
      <c r="FW294" s="931"/>
      <c r="FX294" s="933"/>
      <c r="FY294" s="341"/>
      <c r="FZ294" s="341"/>
      <c r="GA294" s="341"/>
      <c r="GB294" s="495">
        <v>0</v>
      </c>
      <c r="GC294" s="495">
        <v>0</v>
      </c>
      <c r="GD294" s="500"/>
      <c r="GE294" s="495">
        <v>0</v>
      </c>
      <c r="GF294" s="495">
        <v>0</v>
      </c>
      <c r="GG294" s="495">
        <v>0</v>
      </c>
      <c r="GH294" s="359"/>
      <c r="GI294" s="359"/>
      <c r="GJ294" s="501"/>
      <c r="GK294" s="495">
        <v>0</v>
      </c>
      <c r="GL294" s="495">
        <v>0</v>
      </c>
      <c r="GM294" s="495">
        <v>0</v>
      </c>
      <c r="GN294" s="359"/>
      <c r="GO294" s="359"/>
      <c r="GP294" s="501"/>
      <c r="GQ294" s="495">
        <v>0</v>
      </c>
      <c r="GR294" s="375"/>
      <c r="GS294" s="333"/>
      <c r="GT294" s="333"/>
      <c r="GU294" s="333"/>
      <c r="GV294" s="333"/>
      <c r="GW294" s="333"/>
      <c r="GX294" s="333"/>
      <c r="GY294" s="333"/>
      <c r="GZ294" s="333"/>
      <c r="HA294" s="333"/>
      <c r="HB294" s="333"/>
      <c r="HC294" s="333"/>
      <c r="HD294" s="333"/>
      <c r="HE294" s="333"/>
      <c r="HF294" s="333"/>
      <c r="HG294" s="331"/>
      <c r="HH294" s="331"/>
      <c r="HI294" s="331"/>
      <c r="HJ294" s="331"/>
      <c r="HK294" s="331"/>
      <c r="HL294" s="331"/>
      <c r="HM294" s="331"/>
      <c r="HN294" s="333"/>
      <c r="HO294" s="333"/>
      <c r="HP294" s="333"/>
      <c r="HQ294" s="333"/>
      <c r="HR294" s="333"/>
      <c r="HS294" s="333"/>
      <c r="HT294" s="333"/>
      <c r="HU294" s="333"/>
      <c r="HV294" s="333"/>
      <c r="HW294" s="333"/>
      <c r="HX294" s="333"/>
      <c r="HY294" s="333"/>
      <c r="HZ294" s="333"/>
      <c r="IA294" s="333"/>
      <c r="IB294" s="333"/>
      <c r="IC294" s="333"/>
      <c r="ID294" s="55"/>
      <c r="IE294" s="47"/>
      <c r="IO294" s="51"/>
    </row>
    <row r="295" spans="13:249" s="142" customFormat="1" ht="15" customHeight="1">
      <c r="M295" s="333"/>
      <c r="N295" s="333"/>
      <c r="O295" s="333"/>
      <c r="P295" s="333"/>
      <c r="Q295" s="333"/>
      <c r="R295" s="333"/>
      <c r="S295" s="333"/>
      <c r="T295" s="333"/>
      <c r="U295" s="333"/>
      <c r="V295" s="333"/>
      <c r="W295" s="333"/>
      <c r="X295" s="333"/>
      <c r="Y295" s="333"/>
      <c r="Z295" s="333"/>
      <c r="AA295" s="333"/>
      <c r="AB295" s="333"/>
      <c r="AC295" s="333"/>
      <c r="AD295" s="333"/>
      <c r="AE295" s="333"/>
      <c r="AF295" s="333"/>
      <c r="AG295" s="333"/>
      <c r="AH295" s="333"/>
      <c r="AI295" s="333"/>
      <c r="AJ295" s="333"/>
      <c r="AK295" s="333"/>
      <c r="AL295" s="333"/>
      <c r="AM295" s="333"/>
      <c r="AN295" s="333"/>
      <c r="AO295" s="333"/>
      <c r="AP295" s="333"/>
      <c r="AQ295" s="333"/>
      <c r="AR295" s="333"/>
      <c r="AS295" s="333"/>
      <c r="AT295" s="333"/>
      <c r="AU295" s="333"/>
      <c r="AV295" s="333"/>
      <c r="AW295" s="333"/>
      <c r="AX295" s="333"/>
      <c r="AY295" s="333"/>
      <c r="AZ295" s="333"/>
      <c r="BA295" s="333"/>
      <c r="BB295" s="333"/>
      <c r="BC295" s="333"/>
      <c r="BD295" s="333"/>
      <c r="BE295" s="333"/>
      <c r="BF295" s="333"/>
      <c r="BG295" s="333"/>
      <c r="BH295" s="333"/>
      <c r="BI295" s="333"/>
      <c r="BJ295" s="333"/>
      <c r="BK295" s="333"/>
      <c r="BL295" s="333"/>
      <c r="BM295" s="333"/>
      <c r="BN295" s="333"/>
      <c r="BO295" s="333"/>
      <c r="BP295" s="333"/>
      <c r="BQ295" s="333"/>
      <c r="BR295" s="333"/>
      <c r="BS295" s="333"/>
      <c r="BT295" s="333"/>
      <c r="BU295" s="333"/>
      <c r="BV295" s="333"/>
      <c r="BW295" s="333"/>
      <c r="BX295" s="333"/>
      <c r="BY295" s="333"/>
      <c r="BZ295" s="333"/>
      <c r="CA295" s="333"/>
      <c r="CB295" s="333"/>
      <c r="CC295" s="333"/>
      <c r="CD295" s="333"/>
      <c r="CE295" s="333"/>
      <c r="CF295" s="333"/>
      <c r="CG295" s="333"/>
      <c r="CH295" s="333"/>
      <c r="CI295" s="333"/>
      <c r="CJ295" s="333"/>
      <c r="CK295" s="333"/>
      <c r="CL295" s="333"/>
      <c r="CM295" s="333"/>
      <c r="CN295" s="333"/>
      <c r="CO295" s="333"/>
      <c r="CP295" s="333"/>
      <c r="CQ295" s="333"/>
      <c r="CR295" s="333"/>
      <c r="CS295" s="333"/>
      <c r="CT295" s="333"/>
      <c r="CU295" s="333"/>
      <c r="CV295" s="333"/>
      <c r="CW295" s="333"/>
      <c r="CX295" s="333"/>
      <c r="CY295" s="333"/>
      <c r="CZ295" s="333"/>
      <c r="DA295" s="333"/>
      <c r="DB295" s="333"/>
      <c r="DC295" s="333"/>
      <c r="DD295" s="333"/>
      <c r="DE295" s="333"/>
      <c r="DF295" s="333"/>
      <c r="DG295" s="333"/>
      <c r="DH295" s="333"/>
      <c r="DI295" s="333"/>
      <c r="DJ295" s="333"/>
      <c r="DK295" s="333"/>
      <c r="DL295" s="333"/>
      <c r="DM295" s="333"/>
      <c r="DN295" s="333"/>
      <c r="DO295" s="333"/>
      <c r="DP295" s="333"/>
      <c r="DQ295" s="333"/>
      <c r="DR295" s="333"/>
      <c r="DS295" s="333"/>
      <c r="DT295" s="333"/>
      <c r="DU295" s="375"/>
      <c r="DV295" s="375"/>
      <c r="DW295" s="375"/>
      <c r="DX295" s="375"/>
      <c r="DY295" s="375"/>
      <c r="DZ295" s="375"/>
      <c r="EA295" s="375"/>
      <c r="EB295" s="375"/>
      <c r="EC295" s="375"/>
      <c r="ED295" s="375"/>
      <c r="EE295" s="375"/>
      <c r="EF295" s="375"/>
      <c r="EG295" s="375"/>
      <c r="EH295" s="375"/>
      <c r="EI295" s="375"/>
      <c r="EJ295" s="373"/>
      <c r="EK295" s="373"/>
      <c r="EL295" s="366"/>
      <c r="EM295" s="368"/>
      <c r="EN295" s="364"/>
      <c r="EO295" s="352">
        <f>+SUM(EP293:EP297) - SUM(EQ293:EQ297)</f>
        <v>0</v>
      </c>
      <c r="EP295" s="347"/>
      <c r="EQ295" s="342"/>
      <c r="ER295" s="522"/>
      <c r="ES295" s="916">
        <f>IF(ER295 = "", 0,
IF(AND(EP295 &gt; 0, EQ295 &gt;0), 0, IF(EO293 &lt;&gt; $Z$1,
IF(AND(EP295 &lt;&gt; "", EP295 &lt;&gt; 0), -(EP295 * ER295 * 100),
IF(AND(EQ295 &lt;&gt; "", EQ295 &lt;&gt; 0), (EQ295 * ER295 * 100), 0)),
IF(AND(EP295 &lt;&gt; "", EP295 &lt;&gt; 0), -(EP295 * ER295 * 1),
IF(AND(EQ295 &lt;&gt; "", EQ295 &lt;&gt; 0), (EQ295 * ER295 * 1), 0))  )))</f>
        <v>0</v>
      </c>
      <c r="ET295" s="917"/>
      <c r="EU295" s="918"/>
      <c r="EV295" s="916">
        <f>IF(ER295 = "", 0,
IF(AND(EP295 &gt; 0, EQ295 &gt;0), 0,  IF(EO293 &lt;&gt; $Z$1,
IF(AND(EP295 &lt;&gt; "", EP295 &lt;&gt; 0), -(EP295 * ER295 * 100 * (1 + COMIS_OPCION)),
IF(AND(EQ295 &lt;&gt; "", EQ295 &lt;&gt; 0), (EQ295 * ER295 * 100 * (1 - COMIS_OPCION)), 0)),
IF(AND(EP295 &lt;&gt; "", EP295 &lt;&gt; 0), -(EP295 * ER295 * 1 * (1 + COMIS_ACCION)),
IF(AND(EQ295 &lt;&gt; "", EQ295 &lt;&gt; 0), (EQ295 * ER295 * 1 * (1 - COMIS_ACCION)), 0))  )))</f>
        <v>0</v>
      </c>
      <c r="EW295" s="917"/>
      <c r="EX295" s="917"/>
      <c r="EY295" s="917"/>
      <c r="EZ295" s="917"/>
      <c r="FA295" s="917"/>
      <c r="FB295" s="917"/>
      <c r="FC295" s="917"/>
      <c r="FD295" s="925"/>
      <c r="FE295" s="340"/>
      <c r="FF295" s="340"/>
      <c r="FG295" s="365"/>
      <c r="FH295" s="365"/>
      <c r="FI295" s="354">
        <f>+SUM(FJ293:FJ297) - SUM(FK293:FK297)</f>
        <v>0</v>
      </c>
      <c r="FJ295" s="347"/>
      <c r="FK295" s="342"/>
      <c r="FL295" s="343"/>
      <c r="FM295" s="930">
        <f>IF(FL295 = "", 0,
IF(AND(FJ295 &gt; 0, FK295 &gt;0), 0,
IF(AND(FJ295 &lt;&gt; "", FJ295 &lt;&gt; 0), -(FJ295 * FL295 * 100),
IF(AND(FK295 &lt;&gt; "", FK295 &lt;&gt; 0), (FK295 * FL295 * 100), 0)) ))</f>
        <v>0</v>
      </c>
      <c r="FN295" s="931"/>
      <c r="FO295" s="932"/>
      <c r="FP295" s="930">
        <f>IF(FL295 = "", 0,
IF(AND(FJ295 &gt; 0, FK295 &gt;0), 0,
IF(AND(FJ295 &lt;&gt; "", FJ295 &lt;&gt; 0), -(FJ295 * FL295 * 100 * (1 + COMIS_OPCION)),
IF(AND(FK295 &lt;&gt; "", FK295 &lt;&gt; 0), (FK295 * FL295 * 100 * (1 - COMIS_OPCION)), 0)) ))</f>
        <v>0</v>
      </c>
      <c r="FQ295" s="931"/>
      <c r="FR295" s="931"/>
      <c r="FS295" s="931"/>
      <c r="FT295" s="931"/>
      <c r="FU295" s="931"/>
      <c r="FV295" s="931"/>
      <c r="FW295" s="931"/>
      <c r="FX295" s="933"/>
      <c r="FY295" s="341"/>
      <c r="FZ295" s="341"/>
      <c r="GA295" s="341"/>
      <c r="GB295" s="495">
        <v>0</v>
      </c>
      <c r="GC295" s="495">
        <v>0</v>
      </c>
      <c r="GD295" s="500"/>
      <c r="GE295" s="495">
        <v>0</v>
      </c>
      <c r="GF295" s="495">
        <v>0</v>
      </c>
      <c r="GG295" s="495">
        <v>0</v>
      </c>
      <c r="GH295" s="359"/>
      <c r="GI295" s="359"/>
      <c r="GJ295" s="501"/>
      <c r="GK295" s="495">
        <v>0</v>
      </c>
      <c r="GL295" s="495">
        <v>0</v>
      </c>
      <c r="GM295" s="495">
        <v>0</v>
      </c>
      <c r="GN295" s="359"/>
      <c r="GO295" s="359"/>
      <c r="GP295" s="501"/>
      <c r="GQ295" s="495">
        <v>0</v>
      </c>
      <c r="GR295" s="375"/>
      <c r="GS295" s="333"/>
      <c r="GT295" s="333"/>
      <c r="GU295" s="333"/>
      <c r="GV295" s="333"/>
      <c r="GW295" s="333"/>
      <c r="GX295" s="333"/>
      <c r="GY295" s="333"/>
      <c r="GZ295" s="333"/>
      <c r="HA295" s="333"/>
      <c r="HB295" s="333"/>
      <c r="HC295" s="333"/>
      <c r="HD295" s="333"/>
      <c r="HE295" s="333"/>
      <c r="HF295" s="333"/>
      <c r="HG295" s="331"/>
      <c r="HH295" s="331"/>
      <c r="HI295" s="331"/>
      <c r="HJ295" s="331"/>
      <c r="HK295" s="331"/>
      <c r="HL295" s="331"/>
      <c r="HM295" s="331"/>
      <c r="HN295" s="333"/>
      <c r="HO295" s="333"/>
      <c r="HP295" s="333"/>
      <c r="HQ295" s="333"/>
      <c r="HR295" s="333"/>
      <c r="HS295" s="333"/>
      <c r="HT295" s="333"/>
      <c r="HU295" s="333"/>
      <c r="HV295" s="333"/>
      <c r="HW295" s="333"/>
      <c r="HX295" s="333"/>
      <c r="HY295" s="333"/>
      <c r="HZ295" s="333"/>
      <c r="IA295" s="333"/>
      <c r="IB295" s="333"/>
      <c r="IC295" s="333"/>
      <c r="ID295" s="55"/>
      <c r="IE295" s="47"/>
      <c r="IO295" s="51"/>
    </row>
    <row r="296" spans="13:249" s="142" customFormat="1" ht="15" customHeight="1">
      <c r="M296" s="333"/>
      <c r="N296" s="333"/>
      <c r="O296" s="333"/>
      <c r="P296" s="333"/>
      <c r="Q296" s="333"/>
      <c r="R296" s="333"/>
      <c r="S296" s="333"/>
      <c r="T296" s="333"/>
      <c r="U296" s="333"/>
      <c r="V296" s="333"/>
      <c r="W296" s="333"/>
      <c r="X296" s="333"/>
      <c r="Y296" s="333"/>
      <c r="Z296" s="333"/>
      <c r="AA296" s="333"/>
      <c r="AB296" s="333"/>
      <c r="AC296" s="333"/>
      <c r="AD296" s="333"/>
      <c r="AE296" s="333"/>
      <c r="AF296" s="333"/>
      <c r="AG296" s="333"/>
      <c r="AH296" s="333"/>
      <c r="AI296" s="333"/>
      <c r="AJ296" s="333"/>
      <c r="AK296" s="333"/>
      <c r="AL296" s="333"/>
      <c r="AM296" s="333"/>
      <c r="AN296" s="333"/>
      <c r="AO296" s="333"/>
      <c r="AP296" s="333"/>
      <c r="AQ296" s="333"/>
      <c r="AR296" s="333"/>
      <c r="AS296" s="333"/>
      <c r="AT296" s="333"/>
      <c r="AU296" s="333"/>
      <c r="AV296" s="333"/>
      <c r="AW296" s="333"/>
      <c r="AX296" s="333"/>
      <c r="AY296" s="333"/>
      <c r="AZ296" s="333"/>
      <c r="BA296" s="333"/>
      <c r="BB296" s="333"/>
      <c r="BC296" s="333"/>
      <c r="BD296" s="333"/>
      <c r="BE296" s="333"/>
      <c r="BF296" s="333"/>
      <c r="BG296" s="333"/>
      <c r="BH296" s="333"/>
      <c r="BI296" s="333"/>
      <c r="BJ296" s="333"/>
      <c r="BK296" s="333"/>
      <c r="BL296" s="333"/>
      <c r="BM296" s="333"/>
      <c r="BN296" s="333"/>
      <c r="BO296" s="333"/>
      <c r="BP296" s="333"/>
      <c r="BQ296" s="333"/>
      <c r="BR296" s="333"/>
      <c r="BS296" s="333"/>
      <c r="BT296" s="333"/>
      <c r="BU296" s="333"/>
      <c r="BV296" s="333"/>
      <c r="BW296" s="333"/>
      <c r="BX296" s="333"/>
      <c r="BY296" s="333"/>
      <c r="BZ296" s="333"/>
      <c r="CA296" s="333"/>
      <c r="CB296" s="333"/>
      <c r="CC296" s="333"/>
      <c r="CD296" s="333"/>
      <c r="CE296" s="333"/>
      <c r="CF296" s="333"/>
      <c r="CG296" s="333"/>
      <c r="CH296" s="333"/>
      <c r="CI296" s="333"/>
      <c r="CJ296" s="333"/>
      <c r="CK296" s="333"/>
      <c r="CL296" s="333"/>
      <c r="CM296" s="333"/>
      <c r="CN296" s="333"/>
      <c r="CO296" s="333"/>
      <c r="CP296" s="333"/>
      <c r="CQ296" s="333"/>
      <c r="CR296" s="333"/>
      <c r="CS296" s="333"/>
      <c r="CT296" s="333"/>
      <c r="CU296" s="333"/>
      <c r="CV296" s="333"/>
      <c r="CW296" s="333"/>
      <c r="CX296" s="333"/>
      <c r="CY296" s="333"/>
      <c r="CZ296" s="333"/>
      <c r="DA296" s="333"/>
      <c r="DB296" s="333"/>
      <c r="DC296" s="333"/>
      <c r="DD296" s="333"/>
      <c r="DE296" s="333"/>
      <c r="DF296" s="333"/>
      <c r="DG296" s="333"/>
      <c r="DH296" s="333"/>
      <c r="DI296" s="333"/>
      <c r="DJ296" s="333"/>
      <c r="DK296" s="333"/>
      <c r="DL296" s="333"/>
      <c r="DM296" s="333"/>
      <c r="DN296" s="333"/>
      <c r="DO296" s="333"/>
      <c r="DP296" s="333"/>
      <c r="DQ296" s="333"/>
      <c r="DR296" s="333"/>
      <c r="DS296" s="333"/>
      <c r="DT296" s="333"/>
      <c r="DU296" s="375"/>
      <c r="DV296" s="375"/>
      <c r="DW296" s="375"/>
      <c r="DX296" s="375"/>
      <c r="DY296" s="375"/>
      <c r="DZ296" s="375"/>
      <c r="EA296" s="375"/>
      <c r="EB296" s="375"/>
      <c r="EC296" s="375"/>
      <c r="ED296" s="375"/>
      <c r="EE296" s="375"/>
      <c r="EF296" s="375"/>
      <c r="EG296" s="375"/>
      <c r="EH296" s="375"/>
      <c r="EI296" s="375"/>
      <c r="EJ296" s="373"/>
      <c r="EK296" s="373"/>
      <c r="EL296" s="366"/>
      <c r="EM296" s="368"/>
      <c r="EN296" s="364"/>
      <c r="EO296" s="352">
        <f>IF(EO295=0, 0, SUM(EV293:FD297))</f>
        <v>0</v>
      </c>
      <c r="EP296" s="347"/>
      <c r="EQ296" s="342"/>
      <c r="ER296" s="522"/>
      <c r="ES296" s="916">
        <f>IF(ER296 = "", 0,
IF(AND(EP296 &gt; 0, EQ296 &gt;0), 0, IF(EO293 &lt;&gt; $Z$1,
IF(AND(EP296 &lt;&gt; "", EP296 &lt;&gt; 0), -(EP296 * ER296 * 100),
IF(AND(EQ296 &lt;&gt; "", EQ296 &lt;&gt; 0), (EQ296 * ER296 * 100), 0)),
IF(AND(EP296 &lt;&gt; "", EP296 &lt;&gt; 0), -(EP296 * ER296 * 1),
IF(AND(EQ296 &lt;&gt; "", EQ296 &lt;&gt; 0), (EQ296 * ER296 * 1), 0))  )))</f>
        <v>0</v>
      </c>
      <c r="ET296" s="917"/>
      <c r="EU296" s="918"/>
      <c r="EV296" s="916">
        <f>IF(ER296 = "", 0,
IF(AND(EP296 &gt; 0, EQ296 &gt;0), 0,  IF(EO293 &lt;&gt; $Z$1,
IF(AND(EP296 &lt;&gt; "", EP296 &lt;&gt; 0), -(EP296 * ER296 * 100 * (1 + COMIS_OPCION)),
IF(AND(EQ296 &lt;&gt; "", EQ296 &lt;&gt; 0), (EQ296 * ER296 * 100 * (1 - COMIS_OPCION)), 0)),
IF(AND(EP296 &lt;&gt; "", EP296 &lt;&gt; 0), -(EP296 * ER296 * 1 * (1 + COMIS_ACCION)),
IF(AND(EQ296 &lt;&gt; "", EQ296 &lt;&gt; 0), (EQ296 * ER296 * 1 * (1 - COMIS_ACCION)), 0))  )))</f>
        <v>0</v>
      </c>
      <c r="EW296" s="917"/>
      <c r="EX296" s="917"/>
      <c r="EY296" s="917"/>
      <c r="EZ296" s="917"/>
      <c r="FA296" s="917"/>
      <c r="FB296" s="917"/>
      <c r="FC296" s="917"/>
      <c r="FD296" s="925"/>
      <c r="FE296" s="340"/>
      <c r="FF296" s="340"/>
      <c r="FG296" s="365"/>
      <c r="FH296" s="365"/>
      <c r="FI296" s="354">
        <f>IF(FI295=0, 0, SUM(FP293:FX297))</f>
        <v>0</v>
      </c>
      <c r="FJ296" s="347"/>
      <c r="FK296" s="342"/>
      <c r="FL296" s="343"/>
      <c r="FM296" s="930">
        <f>IF(FL296 = "", 0,
IF(AND(FJ296 &gt; 0, FK296 &gt;0), 0,
IF(AND(FJ296 &lt;&gt; "", FJ296 &lt;&gt; 0), -(FJ296 * FL296 * 100),
IF(AND(FK296 &lt;&gt; "", FK296 &lt;&gt; 0), (FK296 * FL296 * 100), 0)) ))</f>
        <v>0</v>
      </c>
      <c r="FN296" s="931"/>
      <c r="FO296" s="932"/>
      <c r="FP296" s="930">
        <f>IF(FL296 = "", 0,
IF(AND(FJ296 &gt; 0, FK296 &gt;0), 0,
IF(AND(FJ296 &lt;&gt; "", FJ296 &lt;&gt; 0), -(FJ296 * FL296 * 100 * (1 + COMIS_OPCION)),
IF(AND(FK296 &lt;&gt; "", FK296 &lt;&gt; 0), (FK296 * FL296 * 100 * (1 - COMIS_OPCION)), 0)) ))</f>
        <v>0</v>
      </c>
      <c r="FQ296" s="931"/>
      <c r="FR296" s="931"/>
      <c r="FS296" s="931"/>
      <c r="FT296" s="931"/>
      <c r="FU296" s="931"/>
      <c r="FV296" s="931"/>
      <c r="FW296" s="931"/>
      <c r="FX296" s="933"/>
      <c r="FY296" s="341"/>
      <c r="FZ296" s="341"/>
      <c r="GA296" s="341"/>
      <c r="GB296" s="495">
        <v>0</v>
      </c>
      <c r="GC296" s="495">
        <v>0</v>
      </c>
      <c r="GD296" s="500"/>
      <c r="GE296" s="495">
        <v>0</v>
      </c>
      <c r="GF296" s="495">
        <v>0</v>
      </c>
      <c r="GG296" s="495">
        <v>0</v>
      </c>
      <c r="GH296" s="359"/>
      <c r="GI296" s="359"/>
      <c r="GJ296" s="501"/>
      <c r="GK296" s="495">
        <v>0</v>
      </c>
      <c r="GL296" s="495">
        <v>0</v>
      </c>
      <c r="GM296" s="495">
        <v>0</v>
      </c>
      <c r="GN296" s="359"/>
      <c r="GO296" s="359"/>
      <c r="GP296" s="501"/>
      <c r="GQ296" s="495">
        <v>0</v>
      </c>
      <c r="GR296" s="375"/>
      <c r="GS296" s="333"/>
      <c r="GT296" s="333"/>
      <c r="GU296" s="333"/>
      <c r="GV296" s="333"/>
      <c r="GW296" s="333"/>
      <c r="GX296" s="333"/>
      <c r="GY296" s="333"/>
      <c r="GZ296" s="333"/>
      <c r="HA296" s="333"/>
      <c r="HB296" s="333"/>
      <c r="HC296" s="333"/>
      <c r="HD296" s="333"/>
      <c r="HE296" s="333"/>
      <c r="HF296" s="333"/>
      <c r="HG296" s="331"/>
      <c r="HH296" s="331"/>
      <c r="HI296" s="331"/>
      <c r="HJ296" s="331"/>
      <c r="HK296" s="331"/>
      <c r="HL296" s="331"/>
      <c r="HM296" s="331"/>
      <c r="HN296" s="333"/>
      <c r="HO296" s="333"/>
      <c r="HP296" s="333"/>
      <c r="HQ296" s="333"/>
      <c r="HR296" s="333"/>
      <c r="HS296" s="333"/>
      <c r="HT296" s="333"/>
      <c r="HU296" s="333"/>
      <c r="HV296" s="333"/>
      <c r="HW296" s="333"/>
      <c r="HX296" s="333"/>
      <c r="HY296" s="333"/>
      <c r="HZ296" s="333"/>
      <c r="IA296" s="333"/>
      <c r="IB296" s="333"/>
      <c r="IC296" s="333"/>
      <c r="ID296" s="55"/>
      <c r="IE296" s="47"/>
      <c r="IO296" s="51"/>
    </row>
    <row r="297" spans="13:249" s="142" customFormat="1" ht="15" customHeight="1" thickBot="1">
      <c r="M297" s="333"/>
      <c r="N297" s="333"/>
      <c r="O297" s="333"/>
      <c r="P297" s="333"/>
      <c r="Q297" s="333"/>
      <c r="R297" s="333"/>
      <c r="S297" s="333"/>
      <c r="T297" s="333"/>
      <c r="U297" s="333"/>
      <c r="V297" s="333"/>
      <c r="W297" s="333"/>
      <c r="X297" s="333"/>
      <c r="Y297" s="333"/>
      <c r="Z297" s="333"/>
      <c r="AA297" s="333"/>
      <c r="AB297" s="333"/>
      <c r="AC297" s="333"/>
      <c r="AD297" s="333"/>
      <c r="AE297" s="333"/>
      <c r="AF297" s="333"/>
      <c r="AG297" s="333"/>
      <c r="AH297" s="333"/>
      <c r="AI297" s="333"/>
      <c r="AJ297" s="333"/>
      <c r="AK297" s="333"/>
      <c r="AL297" s="333"/>
      <c r="AM297" s="333"/>
      <c r="AN297" s="333"/>
      <c r="AO297" s="333"/>
      <c r="AP297" s="333"/>
      <c r="AQ297" s="333"/>
      <c r="AR297" s="333"/>
      <c r="AS297" s="333"/>
      <c r="AT297" s="333"/>
      <c r="AU297" s="333"/>
      <c r="AV297" s="333"/>
      <c r="AW297" s="333"/>
      <c r="AX297" s="333"/>
      <c r="AY297" s="333"/>
      <c r="AZ297" s="333"/>
      <c r="BA297" s="333"/>
      <c r="BB297" s="333"/>
      <c r="BC297" s="333"/>
      <c r="BD297" s="333"/>
      <c r="BE297" s="333"/>
      <c r="BF297" s="333"/>
      <c r="BG297" s="333"/>
      <c r="BH297" s="333"/>
      <c r="BI297" s="333"/>
      <c r="BJ297" s="333"/>
      <c r="BK297" s="333"/>
      <c r="BL297" s="333"/>
      <c r="BM297" s="333"/>
      <c r="BN297" s="333"/>
      <c r="BO297" s="333"/>
      <c r="BP297" s="333"/>
      <c r="BQ297" s="333"/>
      <c r="BR297" s="333"/>
      <c r="BS297" s="333"/>
      <c r="BT297" s="333"/>
      <c r="BU297" s="333"/>
      <c r="BV297" s="333"/>
      <c r="BW297" s="333"/>
      <c r="BX297" s="333"/>
      <c r="BY297" s="333"/>
      <c r="BZ297" s="333"/>
      <c r="CA297" s="333"/>
      <c r="CB297" s="333"/>
      <c r="CC297" s="333"/>
      <c r="CD297" s="333"/>
      <c r="CE297" s="333"/>
      <c r="CF297" s="333"/>
      <c r="CG297" s="333"/>
      <c r="CH297" s="333"/>
      <c r="CI297" s="333"/>
      <c r="CJ297" s="333"/>
      <c r="CK297" s="333"/>
      <c r="CL297" s="333"/>
      <c r="CM297" s="333"/>
      <c r="CN297" s="333"/>
      <c r="CO297" s="333"/>
      <c r="CP297" s="333"/>
      <c r="CQ297" s="333"/>
      <c r="CR297" s="333"/>
      <c r="CS297" s="333"/>
      <c r="CT297" s="333"/>
      <c r="CU297" s="333"/>
      <c r="CV297" s="333"/>
      <c r="CW297" s="333"/>
      <c r="CX297" s="333"/>
      <c r="CY297" s="333"/>
      <c r="CZ297" s="333"/>
      <c r="DA297" s="333"/>
      <c r="DB297" s="333"/>
      <c r="DC297" s="333"/>
      <c r="DD297" s="333"/>
      <c r="DE297" s="333"/>
      <c r="DF297" s="333"/>
      <c r="DG297" s="333"/>
      <c r="DH297" s="333"/>
      <c r="DI297" s="333"/>
      <c r="DJ297" s="333"/>
      <c r="DK297" s="333"/>
      <c r="DL297" s="333"/>
      <c r="DM297" s="333"/>
      <c r="DN297" s="333"/>
      <c r="DO297" s="333"/>
      <c r="DP297" s="333"/>
      <c r="DQ297" s="333"/>
      <c r="DR297" s="333"/>
      <c r="DS297" s="333"/>
      <c r="DT297" s="333"/>
      <c r="DU297" s="375"/>
      <c r="DV297" s="375"/>
      <c r="DW297" s="375"/>
      <c r="DX297" s="375"/>
      <c r="DY297" s="375"/>
      <c r="DZ297" s="375"/>
      <c r="EA297" s="375"/>
      <c r="EB297" s="375"/>
      <c r="EC297" s="375"/>
      <c r="ED297" s="375"/>
      <c r="EE297" s="375"/>
      <c r="EF297" s="375"/>
      <c r="EG297" s="375"/>
      <c r="EH297" s="375"/>
      <c r="EI297" s="375"/>
      <c r="EJ297" s="373"/>
      <c r="EK297" s="373"/>
      <c r="EL297" s="366"/>
      <c r="EM297" s="368"/>
      <c r="EN297" s="364"/>
      <c r="EO297" s="353">
        <f>+IF(EO295= 0, 0, GG293)</f>
        <v>0</v>
      </c>
      <c r="EP297" s="350"/>
      <c r="EQ297" s="344"/>
      <c r="ER297" s="523"/>
      <c r="ES297" s="921">
        <f>IF(ER297 = "", 0,
IF(AND(EP297 &gt; 0, EQ297 &gt;0), 0, IF(EO293 &lt;&gt; $Z$1,
IF(AND(EP297 &lt;&gt; "", EP297 &lt;&gt; 0), -(EP297 * ER297 * 100),
IF(AND(EQ297 &lt;&gt; "", EQ297 &lt;&gt; 0), (EQ297 * ER297 * 100), 0)),
IF(AND(EP297 &lt;&gt; "", EP297 &lt;&gt; 0), -(EP297 * ER297 * 1),
IF(AND(EQ297 &lt;&gt; "", EQ297 &lt;&gt; 0), (EQ297 * ER297 * 1), 0))  )))</f>
        <v>0</v>
      </c>
      <c r="ET297" s="922"/>
      <c r="EU297" s="924"/>
      <c r="EV297" s="921">
        <f>IF(ER297 = "", 0,
IF(AND(EP297 &gt; 0, EQ297 &gt;0), 0,  IF(EO293 &lt;&gt; $Z$1,
IF(AND(EP297 &lt;&gt; "", EP297 &lt;&gt; 0), -(EP297 * ER297 * 100 * (1 + COMIS_OPCION)),
IF(AND(EQ297 &lt;&gt; "", EQ297 &lt;&gt; 0), (EQ297 * ER297 * 100 * (1 - COMIS_OPCION)), 0)),
IF(AND(EP297 &lt;&gt; "", EP297 &lt;&gt; 0), -(EP297 * ER297 * 1 * (1 + COMIS_ACCION)),
IF(AND(EQ297 &lt;&gt; "", EQ297 &lt;&gt; 0), (EQ297 * ER297 * 1 * (1 - COMIS_ACCION)), 0))  )))</f>
        <v>0</v>
      </c>
      <c r="EW297" s="922"/>
      <c r="EX297" s="922"/>
      <c r="EY297" s="922"/>
      <c r="EZ297" s="922"/>
      <c r="FA297" s="922"/>
      <c r="FB297" s="922"/>
      <c r="FC297" s="922"/>
      <c r="FD297" s="923"/>
      <c r="FE297" s="340"/>
      <c r="FF297" s="340"/>
      <c r="FG297" s="365"/>
      <c r="FH297" s="365"/>
      <c r="FI297" s="349">
        <f>+IF(FI295= 0, 0, GQ293)</f>
        <v>0</v>
      </c>
      <c r="FJ297" s="348"/>
      <c r="FK297" s="345"/>
      <c r="FL297" s="346"/>
      <c r="FM297" s="937">
        <f>IF(FL297 = "", 0,
IF(AND(FJ297 &gt; 0, FK297 &gt;0), 0,
IF(AND(FJ297 &lt;&gt; "", FJ297 &lt;&gt; 0), -(FJ297 * FL297 * 100),
IF(AND(FK297 &lt;&gt; "", FK297 &lt;&gt; 0), (FK297 * FL297 * 100), 0)) ))</f>
        <v>0</v>
      </c>
      <c r="FN297" s="938"/>
      <c r="FO297" s="939"/>
      <c r="FP297" s="937">
        <f>IF(FL297 = "", 0,
IF(AND(FJ297 &gt; 0, FK297 &gt;0), 0,
IF(AND(FJ297 &lt;&gt; "", FJ297 &lt;&gt; 0), -(FJ297 * FL297 * 100 * (1 + COMIS_OPCION)),
IF(AND(FK297 &lt;&gt; "", FK297 &lt;&gt; 0), (FK297 * FL297 * 100 * (1 - COMIS_OPCION)), 0)) ))</f>
        <v>0</v>
      </c>
      <c r="FQ297" s="938"/>
      <c r="FR297" s="938"/>
      <c r="FS297" s="938"/>
      <c r="FT297" s="938"/>
      <c r="FU297" s="938"/>
      <c r="FV297" s="938"/>
      <c r="FW297" s="938"/>
      <c r="FX297" s="969"/>
      <c r="FY297" s="341"/>
      <c r="FZ297" s="341"/>
      <c r="GA297" s="341"/>
      <c r="GB297" s="495">
        <v>0</v>
      </c>
      <c r="GC297" s="495">
        <v>0</v>
      </c>
      <c r="GD297" s="500"/>
      <c r="GE297" s="495">
        <v>0</v>
      </c>
      <c r="GF297" s="495">
        <v>0</v>
      </c>
      <c r="GG297" s="495">
        <v>0</v>
      </c>
      <c r="GH297" s="359"/>
      <c r="GI297" s="359"/>
      <c r="GJ297" s="501"/>
      <c r="GK297" s="495">
        <v>0</v>
      </c>
      <c r="GL297" s="495">
        <v>0</v>
      </c>
      <c r="GM297" s="495">
        <v>0</v>
      </c>
      <c r="GN297" s="359"/>
      <c r="GO297" s="359"/>
      <c r="GP297" s="501"/>
      <c r="GQ297" s="495">
        <v>0</v>
      </c>
      <c r="GR297" s="375"/>
      <c r="GS297" s="333"/>
      <c r="GT297" s="333"/>
      <c r="GU297" s="333"/>
      <c r="GV297" s="333"/>
      <c r="GW297" s="333"/>
      <c r="GX297" s="333"/>
      <c r="GY297" s="333"/>
      <c r="GZ297" s="333"/>
      <c r="HA297" s="333"/>
      <c r="HB297" s="333"/>
      <c r="HC297" s="333"/>
      <c r="HD297" s="333"/>
      <c r="HE297" s="333"/>
      <c r="HF297" s="333"/>
      <c r="HG297" s="331"/>
      <c r="HH297" s="331"/>
      <c r="HI297" s="331"/>
      <c r="HJ297" s="331"/>
      <c r="HK297" s="331"/>
      <c r="HL297" s="331"/>
      <c r="HM297" s="331"/>
      <c r="HN297" s="333"/>
      <c r="HO297" s="333"/>
      <c r="HP297" s="333"/>
      <c r="HQ297" s="333"/>
      <c r="HR297" s="333"/>
      <c r="HS297" s="333"/>
      <c r="HT297" s="333"/>
      <c r="HU297" s="333"/>
      <c r="HV297" s="333"/>
      <c r="HW297" s="333"/>
      <c r="HX297" s="333"/>
      <c r="HY297" s="333"/>
      <c r="HZ297" s="333"/>
      <c r="IA297" s="333"/>
      <c r="IB297" s="333"/>
      <c r="IC297" s="333"/>
      <c r="ID297" s="55"/>
      <c r="IE297" s="47"/>
      <c r="IO297" s="51"/>
    </row>
    <row r="298" spans="13:249" s="142" customFormat="1" ht="15" customHeight="1" thickBot="1">
      <c r="M298" s="333"/>
      <c r="N298" s="333"/>
      <c r="O298" s="333"/>
      <c r="P298" s="333"/>
      <c r="Q298" s="333"/>
      <c r="R298" s="333"/>
      <c r="S298" s="333"/>
      <c r="T298" s="333"/>
      <c r="U298" s="333"/>
      <c r="V298" s="333"/>
      <c r="W298" s="333"/>
      <c r="X298" s="333"/>
      <c r="Y298" s="333"/>
      <c r="Z298" s="333"/>
      <c r="AA298" s="333"/>
      <c r="AB298" s="333"/>
      <c r="AC298" s="333"/>
      <c r="AD298" s="333"/>
      <c r="AE298" s="333"/>
      <c r="AF298" s="333"/>
      <c r="AG298" s="333"/>
      <c r="AH298" s="333"/>
      <c r="AI298" s="333"/>
      <c r="AJ298" s="333"/>
      <c r="AK298" s="333"/>
      <c r="AL298" s="333"/>
      <c r="AM298" s="333"/>
      <c r="AN298" s="333"/>
      <c r="AO298" s="333"/>
      <c r="AP298" s="333"/>
      <c r="AQ298" s="333"/>
      <c r="AR298" s="333"/>
      <c r="AS298" s="333"/>
      <c r="AT298" s="333"/>
      <c r="AU298" s="333"/>
      <c r="AV298" s="333"/>
      <c r="AW298" s="333"/>
      <c r="AX298" s="333"/>
      <c r="AY298" s="333"/>
      <c r="AZ298" s="333"/>
      <c r="BA298" s="333"/>
      <c r="BB298" s="333"/>
      <c r="BC298" s="333"/>
      <c r="BD298" s="333"/>
      <c r="BE298" s="333"/>
      <c r="BF298" s="333"/>
      <c r="BG298" s="333"/>
      <c r="BH298" s="333"/>
      <c r="BI298" s="333"/>
      <c r="BJ298" s="333"/>
      <c r="BK298" s="333"/>
      <c r="BL298" s="333"/>
      <c r="BM298" s="333"/>
      <c r="BN298" s="333"/>
      <c r="BO298" s="333"/>
      <c r="BP298" s="333"/>
      <c r="BQ298" s="333"/>
      <c r="BR298" s="333"/>
      <c r="BS298" s="333"/>
      <c r="BT298" s="333"/>
      <c r="BU298" s="333"/>
      <c r="BV298" s="333"/>
      <c r="BW298" s="333"/>
      <c r="BX298" s="333"/>
      <c r="BY298" s="333"/>
      <c r="BZ298" s="333"/>
      <c r="CA298" s="333"/>
      <c r="CB298" s="333"/>
      <c r="CC298" s="333"/>
      <c r="CD298" s="333"/>
      <c r="CE298" s="333"/>
      <c r="CF298" s="333"/>
      <c r="CG298" s="333"/>
      <c r="CH298" s="333"/>
      <c r="CI298" s="333"/>
      <c r="CJ298" s="333"/>
      <c r="CK298" s="333"/>
      <c r="CL298" s="333"/>
      <c r="CM298" s="333"/>
      <c r="CN298" s="333"/>
      <c r="CO298" s="333"/>
      <c r="CP298" s="333"/>
      <c r="CQ298" s="333"/>
      <c r="CR298" s="333"/>
      <c r="CS298" s="333"/>
      <c r="CT298" s="333"/>
      <c r="CU298" s="333"/>
      <c r="CV298" s="333"/>
      <c r="CW298" s="333"/>
      <c r="CX298" s="333"/>
      <c r="CY298" s="333"/>
      <c r="CZ298" s="333"/>
      <c r="DA298" s="333"/>
      <c r="DB298" s="333"/>
      <c r="DC298" s="333"/>
      <c r="DD298" s="333"/>
      <c r="DE298" s="333"/>
      <c r="DF298" s="333"/>
      <c r="DG298" s="333"/>
      <c r="DH298" s="333"/>
      <c r="DI298" s="333"/>
      <c r="DJ298" s="333"/>
      <c r="DK298" s="333"/>
      <c r="DL298" s="333"/>
      <c r="DM298" s="333"/>
      <c r="DN298" s="333"/>
      <c r="DO298" s="333"/>
      <c r="DP298" s="333"/>
      <c r="DQ298" s="333"/>
      <c r="DR298" s="333"/>
      <c r="DS298" s="333"/>
      <c r="DT298" s="333"/>
      <c r="DU298" s="375"/>
      <c r="DV298" s="375"/>
      <c r="DW298" s="375"/>
      <c r="DX298" s="375"/>
      <c r="DY298" s="375"/>
      <c r="DZ298" s="375"/>
      <c r="EA298" s="375"/>
      <c r="EB298" s="375"/>
      <c r="EC298" s="375"/>
      <c r="ED298" s="375"/>
      <c r="EE298" s="375"/>
      <c r="EF298" s="375"/>
      <c r="EG298" s="375"/>
      <c r="EH298" s="375"/>
      <c r="EI298" s="375"/>
      <c r="EJ298" s="373"/>
      <c r="EK298" s="373"/>
      <c r="EL298" s="366"/>
      <c r="EM298" s="366"/>
      <c r="EN298" s="364"/>
      <c r="EO298" s="363"/>
      <c r="EP298" s="340"/>
      <c r="EQ298" s="340"/>
      <c r="ER298" s="340"/>
      <c r="ES298" s="363"/>
      <c r="ET298" s="363"/>
      <c r="EU298" s="340"/>
      <c r="EV298" s="340"/>
      <c r="EW298" s="340"/>
      <c r="EX298" s="340"/>
      <c r="EY298" s="340"/>
      <c r="EZ298" s="340"/>
      <c r="FA298" s="340"/>
      <c r="FB298" s="402"/>
      <c r="FC298" s="402"/>
      <c r="FD298" s="340"/>
      <c r="FE298" s="340"/>
      <c r="FF298" s="340"/>
      <c r="FG298" s="364"/>
      <c r="FH298" s="364"/>
      <c r="FI298" s="363"/>
      <c r="FJ298" s="360"/>
      <c r="FK298" s="360"/>
      <c r="FL298" s="340"/>
      <c r="FM298" s="967"/>
      <c r="FN298" s="967"/>
      <c r="FO298" s="967"/>
      <c r="FP298" s="968"/>
      <c r="FQ298" s="968"/>
      <c r="FR298" s="968"/>
      <c r="FS298" s="968"/>
      <c r="FT298" s="968"/>
      <c r="FU298" s="968"/>
      <c r="FV298" s="968"/>
      <c r="FW298" s="968"/>
      <c r="FX298" s="968"/>
      <c r="FY298" s="341"/>
      <c r="FZ298" s="341"/>
      <c r="GA298" s="341"/>
      <c r="GB298" s="495">
        <v>0</v>
      </c>
      <c r="GC298" s="495">
        <v>0</v>
      </c>
      <c r="GD298" s="500"/>
      <c r="GE298" s="495">
        <v>0</v>
      </c>
      <c r="GF298" s="495">
        <v>0</v>
      </c>
      <c r="GG298" s="495">
        <v>0</v>
      </c>
      <c r="GH298" s="359"/>
      <c r="GI298" s="359"/>
      <c r="GJ298" s="501"/>
      <c r="GK298" s="495">
        <v>0</v>
      </c>
      <c r="GL298" s="495">
        <v>0</v>
      </c>
      <c r="GM298" s="495">
        <v>0</v>
      </c>
      <c r="GN298" s="359"/>
      <c r="GO298" s="359"/>
      <c r="GP298" s="501"/>
      <c r="GQ298" s="495">
        <v>0</v>
      </c>
      <c r="GR298" s="375"/>
      <c r="GS298" s="333"/>
      <c r="GT298" s="333"/>
      <c r="GU298" s="333"/>
      <c r="GV298" s="333"/>
      <c r="GW298" s="333"/>
      <c r="GX298" s="333"/>
      <c r="GY298" s="333"/>
      <c r="GZ298" s="333"/>
      <c r="HA298" s="333"/>
      <c r="HB298" s="333"/>
      <c r="HC298" s="333"/>
      <c r="HD298" s="333"/>
      <c r="HE298" s="333"/>
      <c r="HF298" s="333"/>
      <c r="HG298" s="331"/>
      <c r="HH298" s="331"/>
      <c r="HI298" s="331"/>
      <c r="HJ298" s="331"/>
      <c r="HK298" s="331"/>
      <c r="HL298" s="331"/>
      <c r="HM298" s="331"/>
      <c r="HN298" s="333"/>
      <c r="HO298" s="333"/>
      <c r="HP298" s="333"/>
      <c r="HQ298" s="333"/>
      <c r="HR298" s="333"/>
      <c r="HS298" s="333"/>
      <c r="HT298" s="333"/>
      <c r="HU298" s="333"/>
      <c r="HV298" s="333"/>
      <c r="HW298" s="333"/>
      <c r="HX298" s="333"/>
      <c r="HY298" s="333"/>
      <c r="HZ298" s="333"/>
      <c r="IA298" s="333"/>
      <c r="IB298" s="333"/>
      <c r="IC298" s="333"/>
      <c r="ID298" s="55"/>
      <c r="IE298" s="47"/>
      <c r="IO298" s="51"/>
    </row>
    <row r="299" spans="13:249" s="142" customFormat="1" ht="15" customHeight="1">
      <c r="M299" s="333"/>
      <c r="N299" s="333"/>
      <c r="O299" s="333"/>
      <c r="P299" s="333"/>
      <c r="Q299" s="333"/>
      <c r="R299" s="333"/>
      <c r="S299" s="333"/>
      <c r="T299" s="333"/>
      <c r="U299" s="333"/>
      <c r="V299" s="333"/>
      <c r="W299" s="333"/>
      <c r="X299" s="333"/>
      <c r="Y299" s="333"/>
      <c r="Z299" s="333"/>
      <c r="AA299" s="333"/>
      <c r="AB299" s="333"/>
      <c r="AC299" s="333"/>
      <c r="AD299" s="333"/>
      <c r="AE299" s="333"/>
      <c r="AF299" s="333"/>
      <c r="AG299" s="333"/>
      <c r="AH299" s="333"/>
      <c r="AI299" s="333"/>
      <c r="AJ299" s="333"/>
      <c r="AK299" s="333"/>
      <c r="AL299" s="333"/>
      <c r="AM299" s="333"/>
      <c r="AN299" s="333"/>
      <c r="AO299" s="333"/>
      <c r="AP299" s="333"/>
      <c r="AQ299" s="333"/>
      <c r="AR299" s="333"/>
      <c r="AS299" s="333"/>
      <c r="AT299" s="333"/>
      <c r="AU299" s="333"/>
      <c r="AV299" s="333"/>
      <c r="AW299" s="333"/>
      <c r="AX299" s="333"/>
      <c r="AY299" s="333"/>
      <c r="AZ299" s="333"/>
      <c r="BA299" s="333"/>
      <c r="BB299" s="333"/>
      <c r="BC299" s="333"/>
      <c r="BD299" s="333"/>
      <c r="BE299" s="333"/>
      <c r="BF299" s="333"/>
      <c r="BG299" s="333"/>
      <c r="BH299" s="333"/>
      <c r="BI299" s="333"/>
      <c r="BJ299" s="333"/>
      <c r="BK299" s="333"/>
      <c r="BL299" s="333"/>
      <c r="BM299" s="333"/>
      <c r="BN299" s="333"/>
      <c r="BO299" s="333"/>
      <c r="BP299" s="333"/>
      <c r="BQ299" s="333"/>
      <c r="BR299" s="333"/>
      <c r="BS299" s="333"/>
      <c r="BT299" s="333"/>
      <c r="BU299" s="333"/>
      <c r="BV299" s="333"/>
      <c r="BW299" s="333"/>
      <c r="BX299" s="333"/>
      <c r="BY299" s="333"/>
      <c r="BZ299" s="333"/>
      <c r="CA299" s="333"/>
      <c r="CB299" s="333"/>
      <c r="CC299" s="333"/>
      <c r="CD299" s="333"/>
      <c r="CE299" s="333"/>
      <c r="CF299" s="333"/>
      <c r="CG299" s="333"/>
      <c r="CH299" s="333"/>
      <c r="CI299" s="333"/>
      <c r="CJ299" s="333"/>
      <c r="CK299" s="333"/>
      <c r="CL299" s="333"/>
      <c r="CM299" s="333"/>
      <c r="CN299" s="333"/>
      <c r="CO299" s="333"/>
      <c r="CP299" s="333"/>
      <c r="CQ299" s="333"/>
      <c r="CR299" s="333"/>
      <c r="CS299" s="333"/>
      <c r="CT299" s="333"/>
      <c r="CU299" s="333"/>
      <c r="CV299" s="333"/>
      <c r="CW299" s="333"/>
      <c r="CX299" s="333"/>
      <c r="CY299" s="333"/>
      <c r="CZ299" s="333"/>
      <c r="DA299" s="333"/>
      <c r="DB299" s="333"/>
      <c r="DC299" s="333"/>
      <c r="DD299" s="333"/>
      <c r="DE299" s="333"/>
      <c r="DF299" s="333"/>
      <c r="DG299" s="333"/>
      <c r="DH299" s="333"/>
      <c r="DI299" s="333"/>
      <c r="DJ299" s="333"/>
      <c r="DK299" s="333"/>
      <c r="DL299" s="333"/>
      <c r="DM299" s="333"/>
      <c r="DN299" s="333"/>
      <c r="DO299" s="333"/>
      <c r="DP299" s="333"/>
      <c r="DQ299" s="333"/>
      <c r="DR299" s="333"/>
      <c r="DS299" s="333"/>
      <c r="DT299" s="333"/>
      <c r="DU299" s="375"/>
      <c r="DV299" s="375"/>
      <c r="DW299" s="375"/>
      <c r="DX299" s="375"/>
      <c r="DY299" s="375"/>
      <c r="DZ299" s="375"/>
      <c r="EA299" s="375"/>
      <c r="EB299" s="375"/>
      <c r="EC299" s="375"/>
      <c r="ED299" s="375"/>
      <c r="EE299" s="375"/>
      <c r="EF299" s="375"/>
      <c r="EG299" s="375"/>
      <c r="EH299" s="375"/>
      <c r="EI299" s="375"/>
      <c r="EJ299" s="373"/>
      <c r="EK299" s="373"/>
      <c r="EL299" s="366"/>
      <c r="EM299" s="366"/>
      <c r="EN299" s="364">
        <f>+EN293+1</f>
        <v>42</v>
      </c>
      <c r="EO299" s="356" t="str">
        <f>+VLOOKUP(EN299, PRECIOS_EJERCICIOS,  2,FALSE)</f>
        <v>GGAL</v>
      </c>
      <c r="EP299" s="513" t="str">
        <f>+IF($AQ$49 = FALSE, "",
IF(VLOOKUP(EO299, basesCantPrimaBrutoRes, 2,FALSE) &gt;= 0, VLOOKUP(EO299, basesCantPrimaBrutoRes, 2,FALSE), 0))</f>
        <v/>
      </c>
      <c r="EQ299" s="514" t="str">
        <f>+IF($AQ$49 = FALSE, "",
IF(VLOOKUP(EO299, basesCantPrimaBrutoRes, 2,FALSE) &lt; 0, -VLOOKUP(EO299, basesCantPrimaBrutoRes, 2,FALSE), 0))</f>
        <v/>
      </c>
      <c r="ER299" s="521" t="str">
        <f>IF($AQ$49 = FALSE, "",
VLOOKUP(EO299, basesCantPrimaBrutoRes, 4,FALSE))</f>
        <v/>
      </c>
      <c r="ES299" s="926">
        <f>IF(ER299 = "", 0,
IF(AND(EP299 &gt; 0, EQ299 &gt;0), 0, IF(EO299 &lt;&gt; $Z$1,
IF(AND(EP299 &lt;&gt; "", EP299 &lt;&gt; 0), -(EP299 * ER299 * 100),
IF(AND(EQ299 &lt;&gt; "", EQ299 &lt;&gt; 0), (EQ299 * ER299 * 100), 0)),
IF(AND(EP299 &lt;&gt; "", EP299 &lt;&gt; 0), -(EP299 * ER299 * 1),
IF(AND(EQ299 &lt;&gt; "", EQ299 &lt;&gt; 0), (EQ299 * ER299 * 1), 0))  )))</f>
        <v>0</v>
      </c>
      <c r="ET299" s="927"/>
      <c r="EU299" s="928"/>
      <c r="EV299" s="926">
        <f>IF(ER299 = "", 0,
IF(AND(EP299 &gt; 0, EQ299 &gt;0), 0,  IF(EO299 &lt;&gt; $Z$1,
IF(AND(EP299 &lt;&gt; "", EP299 &lt;&gt; 0), -(EP299 * ER299 * 100 * (1 + COMIS_OPCION)),
IF(AND(EQ299 &lt;&gt; "", EQ299 &lt;&gt; 0), (EQ299 * ER299 * 100 * (1 - COMIS_OPCION)), 0)),
IF(AND(EP299 &lt;&gt; "", EP299 &lt;&gt; 0), -(EP299 * ER299 * 1 * (1 + COMIS_ACCION)),
IF(AND(EQ299 &lt;&gt; "", EQ299 &lt;&gt; 0), (EQ299 * ER299 * 1 * (1 - COMIS_ACCION)), 0))  )))</f>
        <v>0</v>
      </c>
      <c r="EW299" s="927"/>
      <c r="EX299" s="927"/>
      <c r="EY299" s="927"/>
      <c r="EZ299" s="927"/>
      <c r="FA299" s="927"/>
      <c r="FB299" s="927"/>
      <c r="FC299" s="927"/>
      <c r="FD299" s="929"/>
      <c r="FE299" s="340"/>
      <c r="FF299" s="340"/>
      <c r="FG299" s="364"/>
      <c r="FH299" s="364">
        <f>+FH293+1</f>
        <v>42</v>
      </c>
      <c r="FI299" s="357" t="str">
        <f>+VLOOKUP(FH299, PRECIOS_EJERCICIOS,  2,FALSE)</f>
        <v>GGAL</v>
      </c>
      <c r="FJ299" s="515" t="str">
        <f>+IF($AQ$49 = FALSE, "",
IF(VLOOKUP(EO299, basesCantPrimaBrutoRes, 5,FALSE) &gt;= 0, VLOOKUP(EO299, basesCantPrimaBrutoRes, 5,FALSE), 0))</f>
        <v/>
      </c>
      <c r="FK299" s="516" t="str">
        <f>+IF($AQ$49 = FALSE, "",
IF(VLOOKUP(EO299, basesCantPrimaBrutoRes, 5,FALSE) &lt; 0, -VLOOKUP(EO299, basesCantPrimaBrutoRes, 5,FALSE), 0))</f>
        <v/>
      </c>
      <c r="FL299" s="517" t="str">
        <f>IF($AQ$49 = FALSE, "",
VLOOKUP(EO299, basesCantPrimaBrutoRes, 7,FALSE))</f>
        <v/>
      </c>
      <c r="FM299" s="934">
        <f>IF(FL299 = "", 0,
IF(AND(FJ299 &gt; 0, FK299 &gt;0), 0,
IF(AND(FJ299 &lt;&gt; "", FJ299 &lt;&gt; 0), -(FJ299 * FL299 * 100),
IF(AND(FK299 &lt;&gt; "", FK299 &lt;&gt; 0), (FK299 * FL299 * 100), 0)) ))</f>
        <v>0</v>
      </c>
      <c r="FN299" s="935"/>
      <c r="FO299" s="936"/>
      <c r="FP299" s="934">
        <f>IF(FL299 = "", 0,
IF(AND(FJ299 &gt; 0, FK299 &gt;0), 0,
IF(AND(FJ299 &lt;&gt; "", FJ299 &lt;&gt; 0), -(FJ299 * FL299 * 100 * (1 + COMIS_OPCION)),
IF(AND(FK299 &lt;&gt; "", FK299 &lt;&gt; 0), (FK299 * FL299 * 100 * (1 - COMIS_OPCION)), 0)) ))</f>
        <v>0</v>
      </c>
      <c r="FQ299" s="935"/>
      <c r="FR299" s="935"/>
      <c r="FS299" s="935"/>
      <c r="FT299" s="935"/>
      <c r="FU299" s="935"/>
      <c r="FV299" s="935"/>
      <c r="FW299" s="935"/>
      <c r="FX299" s="966"/>
      <c r="FY299" s="341"/>
      <c r="FZ299" s="341"/>
      <c r="GA299" s="341"/>
      <c r="GB299" s="495" t="str">
        <f>+IF(EN299 = "", "", EO299)</f>
        <v>GGAL</v>
      </c>
      <c r="GC299" s="495" t="str">
        <f>+IF(GB299="", "", IF(EO299 = $Z$1, "ACCION", "CALL"))</f>
        <v>ACCION</v>
      </c>
      <c r="GD299" s="500"/>
      <c r="GE299" s="495">
        <f>+IF(GB299= "", "", EO301)</f>
        <v>0</v>
      </c>
      <c r="GF299" s="495">
        <f>+IF(GB299 = "", "", IFERROR(IF(GB299 &lt;&gt; $Z$1,
IF(GE299 &gt; 0, SUMIFS(ES299:ES303, EP299:EP303, "&gt;0", ES299:ES303, "&lt;&gt;0") / SUMIFS(EP299:EP303, EP299:EP303, "&gt;0", ES299:ES303, "&lt;&gt;0") / -100,
IF(GE299 &lt; 0, SUMIFS(ES299:ES303, EQ299:EQ303, "&gt;0", ES299:ES303, "&lt;&gt;0") / SUMIFS(EQ299:EQ303, EQ299:EQ303, "&gt;0", ES299:ES303, "&lt;&gt;0") / 100, 0)),
IF(GE299 &gt; 0, SUMIFS(ES299:ES303, EP299:EP303, "&gt;0", ES299:ES303, "&lt;&gt;0") / SUMIFS(EP299:EP303, EP299:EP303, "&gt;0", ES299:ES303, "&lt;&gt;0") / -1,
IF(GE299 &lt; 0, SUMIFS(ES299:ES303, EQ299:EQ303, "&gt;0", ES299:ES303, "&lt;&gt;0") / SUMIFS(EQ299:EQ303, EQ299:EQ303, "&gt;0", ES299:ES303, "&lt;&gt;0") / 1, 0)) ), 0))</f>
        <v>0</v>
      </c>
      <c r="GG299" s="495">
        <f>+IF(GB299 = "", "", IFERROR(IF(GB299 &lt;&gt; $Z$1,
IF(GE299 &gt; 0, SUMIFS(EV299:EV303, EP299:EP303, "&gt;0", EV299:EV303, "&lt;&gt;0") / SUMIFS(EP299:EP303, EP299:EP303, "&gt;0", EV299:EV303, "&lt;&gt;0") / -100,
IF(GE299 &lt; 0, SUMIFS(EV299:EV303, EQ299:EQ303, "&gt;0", EV299:EV303, "&lt;&gt;0") / SUMIFS(EQ299:EQ303, EQ299:EQ303, "&gt;0", EV299:EV303, "&lt;&gt;0") / 100, 0)),
IF(GE299 &gt; 0, SUMIFS(EV299:EV303, EP299:EP303, "&gt;0", EV299:EV303, "&lt;&gt;0") / SUMIFS(EP299:EP303, EP299:EP303, "&gt;0", EV299:EV303, "&lt;&gt;0") / -1,
IF(GE299 &lt; 0, SUMIFS(EV299:EV303, EQ299:EQ303, "&gt;0", EV299:EV303, "&lt;&gt;0") / SUMIFS(EQ299:EQ303, EQ299:EQ303, "&gt;0", EV299:EV303, "&lt;&gt;0") / 1, 0)) ), 0))</f>
        <v>0</v>
      </c>
      <c r="GH299" s="359"/>
      <c r="GI299" s="359"/>
      <c r="GJ299" s="501"/>
      <c r="GK299" s="495" t="str">
        <f>+IF(GB299="", "", "PUT")</f>
        <v>PUT</v>
      </c>
      <c r="GL299" s="495">
        <f>+IF(GB299 = "", "", FI301)</f>
        <v>0</v>
      </c>
      <c r="GM299" s="495">
        <f>+IF(GB299 = "", "", IFERROR(
IF(FI301 &gt; 0, SUMIFS(FM299:FM303, FJ299:FJ303, "&gt;0", FM299:FM303, "&lt;&gt;0") / SUMIFS(FJ299:FJ303, FJ299:FJ303, "&gt;0", FM299:FM303, "&lt;&gt;0") / -100,
IF(FI301 &lt; 0, SUMIFS(FM299:FM303, FK299:FK303, "&gt;0", FM299:FM303, "&lt;&gt;0") / SUMIFS(FK299:FK303, FK299:FK303, "&gt;0", FM299:FM303, "&lt;&gt;0") / 100, 0)), 0) )</f>
        <v>0</v>
      </c>
      <c r="GN299" s="359"/>
      <c r="GO299" s="359"/>
      <c r="GP299" s="501"/>
      <c r="GQ299" s="502">
        <f>+IF(GB299 = "", "", IFERROR(
IF(FI301 &gt; 0, SUMIFS(FP299:FP303, FJ299:FJ303, "&gt;0", FP299:FP303, "&lt;&gt;0") / SUMIFS(FJ299:FJ303, FJ299:FJ303, "&gt;0", FP299:FP303, "&lt;&gt;0") / -100,
IF(FI301 &lt; 0, SUMIFS(FP299:FP303, FK299:FK303, "&gt;0", FP299:FP303, "&lt;&gt;0") / SUMIFS(FK299:FK303, FK299:FK303, "&gt;0", FP299:FP303, "&lt;&gt;0") / 100, 0)), 0))</f>
        <v>0</v>
      </c>
      <c r="GR299" s="375"/>
      <c r="GS299" s="333"/>
      <c r="GT299" s="333"/>
      <c r="GU299" s="333"/>
      <c r="GV299" s="333"/>
      <c r="GW299" s="333"/>
      <c r="GX299" s="333"/>
      <c r="GY299" s="333"/>
      <c r="GZ299" s="333"/>
      <c r="HA299" s="333"/>
      <c r="HB299" s="333"/>
      <c r="HC299" s="333"/>
      <c r="HD299" s="333"/>
      <c r="HE299" s="333"/>
      <c r="HF299" s="333"/>
      <c r="HG299" s="331"/>
      <c r="HH299" s="331"/>
      <c r="HI299" s="331"/>
      <c r="HJ299" s="331"/>
      <c r="HK299" s="331"/>
      <c r="HL299" s="331"/>
      <c r="HM299" s="331"/>
      <c r="HN299" s="333"/>
      <c r="HO299" s="333"/>
      <c r="HP299" s="333"/>
      <c r="HQ299" s="333"/>
      <c r="HR299" s="333"/>
      <c r="HS299" s="333"/>
      <c r="HT299" s="333"/>
      <c r="HU299" s="333"/>
      <c r="HV299" s="333"/>
      <c r="HW299" s="333"/>
      <c r="HX299" s="333"/>
      <c r="HY299" s="333"/>
      <c r="HZ299" s="333"/>
      <c r="IA299" s="333"/>
      <c r="IB299" s="333"/>
      <c r="IC299" s="333"/>
      <c r="ID299" s="55"/>
      <c r="IE299" s="47"/>
      <c r="IO299" s="51"/>
    </row>
    <row r="300" spans="13:249" s="142" customFormat="1" ht="15" customHeight="1">
      <c r="M300" s="333"/>
      <c r="N300" s="333"/>
      <c r="O300" s="333"/>
      <c r="P300" s="333"/>
      <c r="Q300" s="333"/>
      <c r="R300" s="333"/>
      <c r="S300" s="333"/>
      <c r="T300" s="333"/>
      <c r="U300" s="333"/>
      <c r="V300" s="333"/>
      <c r="W300" s="333"/>
      <c r="X300" s="333"/>
      <c r="Y300" s="333"/>
      <c r="Z300" s="333"/>
      <c r="AA300" s="333"/>
      <c r="AB300" s="333"/>
      <c r="AC300" s="333"/>
      <c r="AD300" s="333"/>
      <c r="AE300" s="333"/>
      <c r="AF300" s="333"/>
      <c r="AG300" s="333"/>
      <c r="AH300" s="333"/>
      <c r="AI300" s="333"/>
      <c r="AJ300" s="333"/>
      <c r="AK300" s="333"/>
      <c r="AL300" s="333"/>
      <c r="AM300" s="333"/>
      <c r="AN300" s="333"/>
      <c r="AO300" s="333"/>
      <c r="AP300" s="333"/>
      <c r="AQ300" s="333"/>
      <c r="AR300" s="333"/>
      <c r="AS300" s="333"/>
      <c r="AT300" s="333"/>
      <c r="AU300" s="333"/>
      <c r="AV300" s="333"/>
      <c r="AW300" s="333"/>
      <c r="AX300" s="333"/>
      <c r="AY300" s="333"/>
      <c r="AZ300" s="333"/>
      <c r="BA300" s="333"/>
      <c r="BB300" s="333"/>
      <c r="BC300" s="333"/>
      <c r="BD300" s="333"/>
      <c r="BE300" s="333"/>
      <c r="BF300" s="333"/>
      <c r="BG300" s="333"/>
      <c r="BH300" s="333"/>
      <c r="BI300" s="333"/>
      <c r="BJ300" s="333"/>
      <c r="BK300" s="333"/>
      <c r="BL300" s="333"/>
      <c r="BM300" s="333"/>
      <c r="BN300" s="333"/>
      <c r="BO300" s="333"/>
      <c r="BP300" s="333"/>
      <c r="BQ300" s="333"/>
      <c r="BR300" s="333"/>
      <c r="BS300" s="333"/>
      <c r="BT300" s="333"/>
      <c r="BU300" s="333"/>
      <c r="BV300" s="333"/>
      <c r="BW300" s="333"/>
      <c r="BX300" s="333"/>
      <c r="BY300" s="333"/>
      <c r="BZ300" s="333"/>
      <c r="CA300" s="333"/>
      <c r="CB300" s="333"/>
      <c r="CC300" s="333"/>
      <c r="CD300" s="333"/>
      <c r="CE300" s="333"/>
      <c r="CF300" s="333"/>
      <c r="CG300" s="333"/>
      <c r="CH300" s="333"/>
      <c r="CI300" s="333"/>
      <c r="CJ300" s="333"/>
      <c r="CK300" s="333"/>
      <c r="CL300" s="333"/>
      <c r="CM300" s="333"/>
      <c r="CN300" s="333"/>
      <c r="CO300" s="333"/>
      <c r="CP300" s="333"/>
      <c r="CQ300" s="333"/>
      <c r="CR300" s="333"/>
      <c r="CS300" s="333"/>
      <c r="CT300" s="333"/>
      <c r="CU300" s="333"/>
      <c r="CV300" s="333"/>
      <c r="CW300" s="333"/>
      <c r="CX300" s="333"/>
      <c r="CY300" s="333"/>
      <c r="CZ300" s="333"/>
      <c r="DA300" s="333"/>
      <c r="DB300" s="333"/>
      <c r="DC300" s="333"/>
      <c r="DD300" s="333"/>
      <c r="DE300" s="333"/>
      <c r="DF300" s="333"/>
      <c r="DG300" s="333"/>
      <c r="DH300" s="333"/>
      <c r="DI300" s="333"/>
      <c r="DJ300" s="333"/>
      <c r="DK300" s="333"/>
      <c r="DL300" s="333"/>
      <c r="DM300" s="333"/>
      <c r="DN300" s="333"/>
      <c r="DO300" s="333"/>
      <c r="DP300" s="333"/>
      <c r="DQ300" s="333"/>
      <c r="DR300" s="333"/>
      <c r="DS300" s="333"/>
      <c r="DT300" s="333"/>
      <c r="DU300" s="375"/>
      <c r="DV300" s="375"/>
      <c r="DW300" s="375"/>
      <c r="DX300" s="375"/>
      <c r="DY300" s="375"/>
      <c r="DZ300" s="375"/>
      <c r="EA300" s="375"/>
      <c r="EB300" s="375"/>
      <c r="EC300" s="375"/>
      <c r="ED300" s="375"/>
      <c r="EE300" s="375"/>
      <c r="EF300" s="375"/>
      <c r="EG300" s="375"/>
      <c r="EH300" s="375"/>
      <c r="EI300" s="375"/>
      <c r="EJ300" s="373"/>
      <c r="EK300" s="373"/>
      <c r="EL300" s="366"/>
      <c r="EM300" s="366"/>
      <c r="EN300" s="364"/>
      <c r="EO300" s="351"/>
      <c r="EP300" s="347"/>
      <c r="EQ300" s="342"/>
      <c r="ER300" s="522"/>
      <c r="ES300" s="916">
        <f>IF(ER300 = "", 0,
IF(AND(EP300 &gt; 0, EQ300 &gt;0), 0, IF(EO299 &lt;&gt; $Z$1,
IF(AND(EP300 &lt;&gt; "", EP300 &lt;&gt; 0), -(EP300 * ER300 * 100),
IF(AND(EQ300 &lt;&gt; "", EQ300 &lt;&gt; 0), (EQ300 * ER300 * 100), 0)),
IF(AND(EP300 &lt;&gt; "", EP300 &lt;&gt; 0), -(EP300 * ER300 * 1),
IF(AND(EQ300 &lt;&gt; "", EQ300 &lt;&gt; 0), (EQ300 * ER300 * 1), 0))  )))</f>
        <v>0</v>
      </c>
      <c r="ET300" s="917"/>
      <c r="EU300" s="918"/>
      <c r="EV300" s="916">
        <f>IF(ER300 = "", 0,
IF(AND(EP300 &gt; 0, EQ300 &gt;0), 0,  IF(EO299 &lt;&gt; $Z$1,
IF(AND(EP300 &lt;&gt; "", EP300 &lt;&gt; 0), -(EP300 * ER300 * 100 * (1 + COMIS_OPCION)),
IF(AND(EQ300 &lt;&gt; "", EQ300 &lt;&gt; 0), (EQ300 * ER300 * 100 * (1 - COMIS_OPCION)), 0)),
IF(AND(EP300 &lt;&gt; "", EP300 &lt;&gt; 0), -(EP300 * ER300 * 1 * (1 + COMIS_ACCION)),
IF(AND(EQ300 &lt;&gt; "", EQ300 &lt;&gt; 0), (EQ300 * ER300 * 1 * (1 - COMIS_ACCION)), 0))  )))</f>
        <v>0</v>
      </c>
      <c r="EW300" s="917"/>
      <c r="EX300" s="917"/>
      <c r="EY300" s="917"/>
      <c r="EZ300" s="917"/>
      <c r="FA300" s="917"/>
      <c r="FB300" s="917"/>
      <c r="FC300" s="917"/>
      <c r="FD300" s="925"/>
      <c r="FE300" s="340"/>
      <c r="FF300" s="340"/>
      <c r="FG300" s="364"/>
      <c r="FH300" s="364"/>
      <c r="FI300" s="339"/>
      <c r="FJ300" s="347"/>
      <c r="FK300" s="342"/>
      <c r="FL300" s="343"/>
      <c r="FM300" s="930">
        <f>IF(FL300 = "", 0,
IF(AND(FJ300 &gt; 0, FK300 &gt;0), 0,
IF(AND(FJ300 &lt;&gt; "", FJ300 &lt;&gt; 0), -(FJ300 * FL300 * 100),
IF(AND(FK300 &lt;&gt; "", FK300 &lt;&gt; 0), (FK300 * FL300 * 100), 0)) ))</f>
        <v>0</v>
      </c>
      <c r="FN300" s="931"/>
      <c r="FO300" s="932"/>
      <c r="FP300" s="930">
        <f>IF(FL300 = "", 0,
IF(AND(FJ300 &gt; 0, FK300 &gt;0), 0,
IF(AND(FJ300 &lt;&gt; "", FJ300 &lt;&gt; 0), -(FJ300 * FL300 * 100 * (1 + COMIS_OPCION)),
IF(AND(FK300 &lt;&gt; "", FK300 &lt;&gt; 0), (FK300 * FL300 * 100 * (1 - COMIS_OPCION)), 0)) ))</f>
        <v>0</v>
      </c>
      <c r="FQ300" s="931"/>
      <c r="FR300" s="931"/>
      <c r="FS300" s="931"/>
      <c r="FT300" s="931"/>
      <c r="FU300" s="931"/>
      <c r="FV300" s="931"/>
      <c r="FW300" s="931"/>
      <c r="FX300" s="933"/>
      <c r="FY300" s="341"/>
      <c r="FZ300" s="341"/>
      <c r="GA300" s="341"/>
      <c r="GB300" s="495">
        <v>0</v>
      </c>
      <c r="GC300" s="495">
        <v>0</v>
      </c>
      <c r="GD300" s="500"/>
      <c r="GE300" s="495">
        <v>0</v>
      </c>
      <c r="GF300" s="495">
        <v>0</v>
      </c>
      <c r="GG300" s="495">
        <v>0</v>
      </c>
      <c r="GH300" s="359"/>
      <c r="GI300" s="359"/>
      <c r="GJ300" s="501"/>
      <c r="GK300" s="495">
        <v>0</v>
      </c>
      <c r="GL300" s="495">
        <v>0</v>
      </c>
      <c r="GM300" s="495">
        <v>0</v>
      </c>
      <c r="GN300" s="359"/>
      <c r="GO300" s="359"/>
      <c r="GP300" s="501"/>
      <c r="GQ300" s="495">
        <v>0</v>
      </c>
      <c r="GR300" s="375"/>
      <c r="GS300" s="333"/>
      <c r="GT300" s="333"/>
      <c r="GU300" s="333"/>
      <c r="GV300" s="333"/>
      <c r="GW300" s="333"/>
      <c r="GX300" s="333"/>
      <c r="GY300" s="333"/>
      <c r="GZ300" s="333"/>
      <c r="HA300" s="333"/>
      <c r="HB300" s="333"/>
      <c r="HC300" s="333"/>
      <c r="HD300" s="333"/>
      <c r="HE300" s="333"/>
      <c r="HF300" s="333"/>
      <c r="HG300" s="331"/>
      <c r="HH300" s="331"/>
      <c r="HI300" s="331"/>
      <c r="HJ300" s="331"/>
      <c r="HK300" s="331"/>
      <c r="HL300" s="331"/>
      <c r="HM300" s="331"/>
      <c r="HN300" s="333"/>
      <c r="HO300" s="333"/>
      <c r="HP300" s="333"/>
      <c r="HQ300" s="333"/>
      <c r="HR300" s="333"/>
      <c r="HS300" s="333"/>
      <c r="HT300" s="333"/>
      <c r="HU300" s="333"/>
      <c r="HV300" s="333"/>
      <c r="HW300" s="333"/>
      <c r="HX300" s="333"/>
      <c r="HY300" s="333"/>
      <c r="HZ300" s="333"/>
      <c r="IA300" s="333"/>
      <c r="IB300" s="333"/>
      <c r="IC300" s="333"/>
      <c r="ID300" s="55"/>
      <c r="IE300" s="47"/>
      <c r="IO300" s="51"/>
    </row>
    <row r="301" spans="13:249" s="142" customFormat="1" ht="15" customHeight="1">
      <c r="M301" s="333"/>
      <c r="N301" s="333"/>
      <c r="O301" s="333"/>
      <c r="P301" s="333"/>
      <c r="Q301" s="333"/>
      <c r="R301" s="333"/>
      <c r="S301" s="333"/>
      <c r="T301" s="333"/>
      <c r="U301" s="333"/>
      <c r="V301" s="333"/>
      <c r="W301" s="333"/>
      <c r="X301" s="333"/>
      <c r="Y301" s="333"/>
      <c r="Z301" s="333"/>
      <c r="AA301" s="333"/>
      <c r="AB301" s="333"/>
      <c r="AC301" s="333"/>
      <c r="AD301" s="333"/>
      <c r="AE301" s="333"/>
      <c r="AF301" s="333"/>
      <c r="AG301" s="333"/>
      <c r="AH301" s="333"/>
      <c r="AI301" s="333"/>
      <c r="AJ301" s="333"/>
      <c r="AK301" s="333"/>
      <c r="AL301" s="333"/>
      <c r="AM301" s="333"/>
      <c r="AN301" s="333"/>
      <c r="AO301" s="333"/>
      <c r="AP301" s="333"/>
      <c r="AQ301" s="333"/>
      <c r="AR301" s="333"/>
      <c r="AS301" s="333"/>
      <c r="AT301" s="333"/>
      <c r="AU301" s="333"/>
      <c r="AV301" s="333"/>
      <c r="AW301" s="333"/>
      <c r="AX301" s="333"/>
      <c r="AY301" s="333"/>
      <c r="AZ301" s="333"/>
      <c r="BA301" s="333"/>
      <c r="BB301" s="333"/>
      <c r="BC301" s="333"/>
      <c r="BD301" s="333"/>
      <c r="BE301" s="333"/>
      <c r="BF301" s="333"/>
      <c r="BG301" s="333"/>
      <c r="BH301" s="333"/>
      <c r="BI301" s="333"/>
      <c r="BJ301" s="333"/>
      <c r="BK301" s="333"/>
      <c r="BL301" s="333"/>
      <c r="BM301" s="333"/>
      <c r="BN301" s="333"/>
      <c r="BO301" s="333"/>
      <c r="BP301" s="333"/>
      <c r="BQ301" s="333"/>
      <c r="BR301" s="333"/>
      <c r="BS301" s="333"/>
      <c r="BT301" s="333"/>
      <c r="BU301" s="333"/>
      <c r="BV301" s="333"/>
      <c r="BW301" s="333"/>
      <c r="BX301" s="333"/>
      <c r="BY301" s="333"/>
      <c r="BZ301" s="333"/>
      <c r="CA301" s="333"/>
      <c r="CB301" s="333"/>
      <c r="CC301" s="333"/>
      <c r="CD301" s="333"/>
      <c r="CE301" s="333"/>
      <c r="CF301" s="333"/>
      <c r="CG301" s="333"/>
      <c r="CH301" s="333"/>
      <c r="CI301" s="333"/>
      <c r="CJ301" s="333"/>
      <c r="CK301" s="333"/>
      <c r="CL301" s="333"/>
      <c r="CM301" s="333"/>
      <c r="CN301" s="333"/>
      <c r="CO301" s="333"/>
      <c r="CP301" s="333"/>
      <c r="CQ301" s="333"/>
      <c r="CR301" s="333"/>
      <c r="CS301" s="333"/>
      <c r="CT301" s="333"/>
      <c r="CU301" s="333"/>
      <c r="CV301" s="333"/>
      <c r="CW301" s="333"/>
      <c r="CX301" s="333"/>
      <c r="CY301" s="333"/>
      <c r="CZ301" s="333"/>
      <c r="DA301" s="333"/>
      <c r="DB301" s="333"/>
      <c r="DC301" s="333"/>
      <c r="DD301" s="333"/>
      <c r="DE301" s="333"/>
      <c r="DF301" s="333"/>
      <c r="DG301" s="333"/>
      <c r="DH301" s="333"/>
      <c r="DI301" s="333"/>
      <c r="DJ301" s="333"/>
      <c r="DK301" s="333"/>
      <c r="DL301" s="333"/>
      <c r="DM301" s="333"/>
      <c r="DN301" s="333"/>
      <c r="DO301" s="333"/>
      <c r="DP301" s="333"/>
      <c r="DQ301" s="333"/>
      <c r="DR301" s="333"/>
      <c r="DS301" s="333"/>
      <c r="DT301" s="333"/>
      <c r="DU301" s="375"/>
      <c r="DV301" s="375"/>
      <c r="DW301" s="375"/>
      <c r="DX301" s="375"/>
      <c r="DY301" s="375"/>
      <c r="DZ301" s="375"/>
      <c r="EA301" s="375"/>
      <c r="EB301" s="375"/>
      <c r="EC301" s="375"/>
      <c r="ED301" s="375"/>
      <c r="EE301" s="375"/>
      <c r="EF301" s="375"/>
      <c r="EG301" s="375"/>
      <c r="EH301" s="375"/>
      <c r="EI301" s="375"/>
      <c r="EJ301" s="373"/>
      <c r="EK301" s="373"/>
      <c r="EL301" s="366"/>
      <c r="EM301" s="368"/>
      <c r="EN301" s="364"/>
      <c r="EO301" s="352">
        <f>+SUM(EP299:EP303) - SUM(EQ299:EQ303)</f>
        <v>0</v>
      </c>
      <c r="EP301" s="347"/>
      <c r="EQ301" s="342"/>
      <c r="ER301" s="522"/>
      <c r="ES301" s="916">
        <f>IF(ER301 = "", 0,
IF(AND(EP301 &gt; 0, EQ301 &gt;0), 0, IF(EO299 &lt;&gt; $Z$1,
IF(AND(EP301 &lt;&gt; "", EP301 &lt;&gt; 0), -(EP301 * ER301 * 100),
IF(AND(EQ301 &lt;&gt; "", EQ301 &lt;&gt; 0), (EQ301 * ER301 * 100), 0)),
IF(AND(EP301 &lt;&gt; "", EP301 &lt;&gt; 0), -(EP301 * ER301 * 1),
IF(AND(EQ301 &lt;&gt; "", EQ301 &lt;&gt; 0), (EQ301 * ER301 * 1), 0))  )))</f>
        <v>0</v>
      </c>
      <c r="ET301" s="917"/>
      <c r="EU301" s="918"/>
      <c r="EV301" s="916">
        <f>IF(ER301 = "", 0,
IF(AND(EP301 &gt; 0, EQ301 &gt;0), 0,  IF(EO299 &lt;&gt; $Z$1,
IF(AND(EP301 &lt;&gt; "", EP301 &lt;&gt; 0), -(EP301 * ER301 * 100 * (1 + COMIS_OPCION)),
IF(AND(EQ301 &lt;&gt; "", EQ301 &lt;&gt; 0), (EQ301 * ER301 * 100 * (1 - COMIS_OPCION)), 0)),
IF(AND(EP301 &lt;&gt; "", EP301 &lt;&gt; 0), -(EP301 * ER301 * 1 * (1 + COMIS_ACCION)),
IF(AND(EQ301 &lt;&gt; "", EQ301 &lt;&gt; 0), (EQ301 * ER301 * 1 * (1 - COMIS_ACCION)), 0))  )))</f>
        <v>0</v>
      </c>
      <c r="EW301" s="917"/>
      <c r="EX301" s="917"/>
      <c r="EY301" s="917"/>
      <c r="EZ301" s="917"/>
      <c r="FA301" s="917"/>
      <c r="FB301" s="917"/>
      <c r="FC301" s="917"/>
      <c r="FD301" s="925"/>
      <c r="FE301" s="340"/>
      <c r="FF301" s="340"/>
      <c r="FG301" s="365"/>
      <c r="FH301" s="365"/>
      <c r="FI301" s="354">
        <f>+SUM(FJ299:FJ303) - SUM(FK299:FK303)</f>
        <v>0</v>
      </c>
      <c r="FJ301" s="347"/>
      <c r="FK301" s="342"/>
      <c r="FL301" s="343"/>
      <c r="FM301" s="930">
        <f>IF(FL301 = "", 0,
IF(AND(FJ301 &gt; 0, FK301 &gt;0), 0,
IF(AND(FJ301 &lt;&gt; "", FJ301 &lt;&gt; 0), -(FJ301 * FL301 * 100),
IF(AND(FK301 &lt;&gt; "", FK301 &lt;&gt; 0), (FK301 * FL301 * 100), 0)) ))</f>
        <v>0</v>
      </c>
      <c r="FN301" s="931"/>
      <c r="FO301" s="932"/>
      <c r="FP301" s="930">
        <f>IF(FL301 = "", 0,
IF(AND(FJ301 &gt; 0, FK301 &gt;0), 0,
IF(AND(FJ301 &lt;&gt; "", FJ301 &lt;&gt; 0), -(FJ301 * FL301 * 100 * (1 + COMIS_OPCION)),
IF(AND(FK301 &lt;&gt; "", FK301 &lt;&gt; 0), (FK301 * FL301 * 100 * (1 - COMIS_OPCION)), 0)) ))</f>
        <v>0</v>
      </c>
      <c r="FQ301" s="931"/>
      <c r="FR301" s="931"/>
      <c r="FS301" s="931"/>
      <c r="FT301" s="931"/>
      <c r="FU301" s="931"/>
      <c r="FV301" s="931"/>
      <c r="FW301" s="931"/>
      <c r="FX301" s="933"/>
      <c r="FY301" s="341"/>
      <c r="FZ301" s="341"/>
      <c r="GA301" s="341"/>
      <c r="GB301" s="495">
        <v>0</v>
      </c>
      <c r="GC301" s="495">
        <v>0</v>
      </c>
      <c r="GD301" s="500"/>
      <c r="GE301" s="495">
        <v>0</v>
      </c>
      <c r="GF301" s="495">
        <v>0</v>
      </c>
      <c r="GG301" s="495">
        <v>0</v>
      </c>
      <c r="GH301" s="359"/>
      <c r="GI301" s="359"/>
      <c r="GJ301" s="501"/>
      <c r="GK301" s="495">
        <v>0</v>
      </c>
      <c r="GL301" s="495">
        <v>0</v>
      </c>
      <c r="GM301" s="495">
        <v>0</v>
      </c>
      <c r="GN301" s="359"/>
      <c r="GO301" s="359"/>
      <c r="GP301" s="501"/>
      <c r="GQ301" s="495">
        <v>0</v>
      </c>
      <c r="GR301" s="375"/>
      <c r="GS301" s="333"/>
      <c r="GT301" s="333"/>
      <c r="GU301" s="333"/>
      <c r="GV301" s="333"/>
      <c r="GW301" s="333"/>
      <c r="GX301" s="333"/>
      <c r="GY301" s="333"/>
      <c r="GZ301" s="333"/>
      <c r="HA301" s="333"/>
      <c r="HB301" s="333"/>
      <c r="HC301" s="333"/>
      <c r="HD301" s="333"/>
      <c r="HE301" s="333"/>
      <c r="HF301" s="333"/>
      <c r="HG301" s="331"/>
      <c r="HH301" s="331"/>
      <c r="HI301" s="331"/>
      <c r="HJ301" s="331"/>
      <c r="HK301" s="331"/>
      <c r="HL301" s="331"/>
      <c r="HM301" s="331"/>
      <c r="HN301" s="333"/>
      <c r="HO301" s="333"/>
      <c r="HP301" s="333"/>
      <c r="HQ301" s="333"/>
      <c r="HR301" s="333"/>
      <c r="HS301" s="333"/>
      <c r="HT301" s="333"/>
      <c r="HU301" s="333"/>
      <c r="HV301" s="333"/>
      <c r="HW301" s="333"/>
      <c r="HX301" s="333"/>
      <c r="HY301" s="333"/>
      <c r="HZ301" s="333"/>
      <c r="IA301" s="333"/>
      <c r="IB301" s="333"/>
      <c r="IC301" s="333"/>
      <c r="ID301" s="55"/>
      <c r="IE301" s="47"/>
      <c r="IO301" s="51"/>
    </row>
    <row r="302" spans="13:249" s="142" customFormat="1" ht="15" customHeight="1">
      <c r="M302" s="333"/>
      <c r="N302" s="333"/>
      <c r="O302" s="333"/>
      <c r="P302" s="333"/>
      <c r="Q302" s="333"/>
      <c r="R302" s="333"/>
      <c r="S302" s="333"/>
      <c r="T302" s="333"/>
      <c r="U302" s="333"/>
      <c r="V302" s="333"/>
      <c r="W302" s="333"/>
      <c r="X302" s="333"/>
      <c r="Y302" s="333"/>
      <c r="Z302" s="333"/>
      <c r="AA302" s="333"/>
      <c r="AB302" s="333"/>
      <c r="AC302" s="333"/>
      <c r="AD302" s="333"/>
      <c r="AE302" s="333"/>
      <c r="AF302" s="333"/>
      <c r="AG302" s="333"/>
      <c r="AH302" s="333"/>
      <c r="AI302" s="333"/>
      <c r="AJ302" s="333"/>
      <c r="AK302" s="333"/>
      <c r="AL302" s="333"/>
      <c r="AM302" s="333"/>
      <c r="AN302" s="333"/>
      <c r="AO302" s="333"/>
      <c r="AP302" s="333"/>
      <c r="AQ302" s="333"/>
      <c r="AR302" s="333"/>
      <c r="AS302" s="333"/>
      <c r="AT302" s="333"/>
      <c r="AU302" s="333"/>
      <c r="AV302" s="333"/>
      <c r="AW302" s="333"/>
      <c r="AX302" s="333"/>
      <c r="AY302" s="333"/>
      <c r="AZ302" s="333"/>
      <c r="BA302" s="333"/>
      <c r="BB302" s="333"/>
      <c r="BC302" s="333"/>
      <c r="BD302" s="333"/>
      <c r="BE302" s="333"/>
      <c r="BF302" s="333"/>
      <c r="BG302" s="333"/>
      <c r="BH302" s="333"/>
      <c r="BI302" s="333"/>
      <c r="BJ302" s="333"/>
      <c r="BK302" s="333"/>
      <c r="BL302" s="333"/>
      <c r="BM302" s="333"/>
      <c r="BN302" s="333"/>
      <c r="BO302" s="333"/>
      <c r="BP302" s="333"/>
      <c r="BQ302" s="333"/>
      <c r="BR302" s="333"/>
      <c r="BS302" s="333"/>
      <c r="BT302" s="333"/>
      <c r="BU302" s="333"/>
      <c r="BV302" s="333"/>
      <c r="BW302" s="333"/>
      <c r="BX302" s="333"/>
      <c r="BY302" s="333"/>
      <c r="BZ302" s="333"/>
      <c r="CA302" s="333"/>
      <c r="CB302" s="333"/>
      <c r="CC302" s="333"/>
      <c r="CD302" s="333"/>
      <c r="CE302" s="333"/>
      <c r="CF302" s="333"/>
      <c r="CG302" s="333"/>
      <c r="CH302" s="333"/>
      <c r="CI302" s="333"/>
      <c r="CJ302" s="333"/>
      <c r="CK302" s="333"/>
      <c r="CL302" s="333"/>
      <c r="CM302" s="333"/>
      <c r="CN302" s="333"/>
      <c r="CO302" s="333"/>
      <c r="CP302" s="333"/>
      <c r="CQ302" s="333"/>
      <c r="CR302" s="333"/>
      <c r="CS302" s="333"/>
      <c r="CT302" s="333"/>
      <c r="CU302" s="333"/>
      <c r="CV302" s="333"/>
      <c r="CW302" s="333"/>
      <c r="CX302" s="333"/>
      <c r="CY302" s="333"/>
      <c r="CZ302" s="333"/>
      <c r="DA302" s="333"/>
      <c r="DB302" s="333"/>
      <c r="DC302" s="333"/>
      <c r="DD302" s="333"/>
      <c r="DE302" s="333"/>
      <c r="DF302" s="333"/>
      <c r="DG302" s="333"/>
      <c r="DH302" s="333"/>
      <c r="DI302" s="333"/>
      <c r="DJ302" s="333"/>
      <c r="DK302" s="333"/>
      <c r="DL302" s="333"/>
      <c r="DM302" s="333"/>
      <c r="DN302" s="333"/>
      <c r="DO302" s="333"/>
      <c r="DP302" s="333"/>
      <c r="DQ302" s="333"/>
      <c r="DR302" s="333"/>
      <c r="DS302" s="333"/>
      <c r="DT302" s="333"/>
      <c r="DU302" s="375"/>
      <c r="DV302" s="375"/>
      <c r="DW302" s="375"/>
      <c r="DX302" s="375"/>
      <c r="DY302" s="375"/>
      <c r="DZ302" s="375"/>
      <c r="EA302" s="375"/>
      <c r="EB302" s="375"/>
      <c r="EC302" s="375"/>
      <c r="ED302" s="375"/>
      <c r="EE302" s="375"/>
      <c r="EF302" s="375"/>
      <c r="EG302" s="375"/>
      <c r="EH302" s="375"/>
      <c r="EI302" s="375"/>
      <c r="EJ302" s="373"/>
      <c r="EK302" s="373"/>
      <c r="EL302" s="366"/>
      <c r="EM302" s="368"/>
      <c r="EN302" s="364"/>
      <c r="EO302" s="352">
        <f>IF(EO301=0, 0, SUM(EV299:FD303))</f>
        <v>0</v>
      </c>
      <c r="EP302" s="347"/>
      <c r="EQ302" s="342"/>
      <c r="ER302" s="522"/>
      <c r="ES302" s="916">
        <f>IF(ER302 = "", 0,
IF(AND(EP302 &gt; 0, EQ302 &gt;0), 0, IF(EO299 &lt;&gt; $Z$1,
IF(AND(EP302 &lt;&gt; "", EP302 &lt;&gt; 0), -(EP302 * ER302 * 100),
IF(AND(EQ302 &lt;&gt; "", EQ302 &lt;&gt; 0), (EQ302 * ER302 * 100), 0)),
IF(AND(EP302 &lt;&gt; "", EP302 &lt;&gt; 0), -(EP302 * ER302 * 1),
IF(AND(EQ302 &lt;&gt; "", EQ302 &lt;&gt; 0), (EQ302 * ER302 * 1), 0))  )))</f>
        <v>0</v>
      </c>
      <c r="ET302" s="917"/>
      <c r="EU302" s="918"/>
      <c r="EV302" s="916">
        <f>IF(ER302 = "", 0,
IF(AND(EP302 &gt; 0, EQ302 &gt;0), 0,  IF(EO299 &lt;&gt; $Z$1,
IF(AND(EP302 &lt;&gt; "", EP302 &lt;&gt; 0), -(EP302 * ER302 * 100 * (1 + COMIS_OPCION)),
IF(AND(EQ302 &lt;&gt; "", EQ302 &lt;&gt; 0), (EQ302 * ER302 * 100 * (1 - COMIS_OPCION)), 0)),
IF(AND(EP302 &lt;&gt; "", EP302 &lt;&gt; 0), -(EP302 * ER302 * 1 * (1 + COMIS_ACCION)),
IF(AND(EQ302 &lt;&gt; "", EQ302 &lt;&gt; 0), (EQ302 * ER302 * 1 * (1 - COMIS_ACCION)), 0))  )))</f>
        <v>0</v>
      </c>
      <c r="EW302" s="917"/>
      <c r="EX302" s="917"/>
      <c r="EY302" s="917"/>
      <c r="EZ302" s="917"/>
      <c r="FA302" s="917"/>
      <c r="FB302" s="917"/>
      <c r="FC302" s="917"/>
      <c r="FD302" s="925"/>
      <c r="FE302" s="340"/>
      <c r="FF302" s="340"/>
      <c r="FG302" s="365"/>
      <c r="FH302" s="365"/>
      <c r="FI302" s="354">
        <f>IF(FI301=0, 0, SUM(FP299:FX303))</f>
        <v>0</v>
      </c>
      <c r="FJ302" s="347"/>
      <c r="FK302" s="342"/>
      <c r="FL302" s="343"/>
      <c r="FM302" s="930">
        <f>IF(FL302 = "", 0,
IF(AND(FJ302 &gt; 0, FK302 &gt;0), 0,
IF(AND(FJ302 &lt;&gt; "", FJ302 &lt;&gt; 0), -(FJ302 * FL302 * 100),
IF(AND(FK302 &lt;&gt; "", FK302 &lt;&gt; 0), (FK302 * FL302 * 100), 0)) ))</f>
        <v>0</v>
      </c>
      <c r="FN302" s="931"/>
      <c r="FO302" s="932"/>
      <c r="FP302" s="930">
        <f>IF(FL302 = "", 0,
IF(AND(FJ302 &gt; 0, FK302 &gt;0), 0,
IF(AND(FJ302 &lt;&gt; "", FJ302 &lt;&gt; 0), -(FJ302 * FL302 * 100 * (1 + COMIS_OPCION)),
IF(AND(FK302 &lt;&gt; "", FK302 &lt;&gt; 0), (FK302 * FL302 * 100 * (1 - COMIS_OPCION)), 0)) ))</f>
        <v>0</v>
      </c>
      <c r="FQ302" s="931"/>
      <c r="FR302" s="931"/>
      <c r="FS302" s="931"/>
      <c r="FT302" s="931"/>
      <c r="FU302" s="931"/>
      <c r="FV302" s="931"/>
      <c r="FW302" s="931"/>
      <c r="FX302" s="933"/>
      <c r="FY302" s="341"/>
      <c r="FZ302" s="341"/>
      <c r="GA302" s="341"/>
      <c r="GB302" s="495">
        <v>0</v>
      </c>
      <c r="GC302" s="495">
        <v>0</v>
      </c>
      <c r="GD302" s="500"/>
      <c r="GE302" s="495">
        <v>0</v>
      </c>
      <c r="GF302" s="495">
        <v>0</v>
      </c>
      <c r="GG302" s="495">
        <v>0</v>
      </c>
      <c r="GH302" s="359"/>
      <c r="GI302" s="359"/>
      <c r="GJ302" s="501"/>
      <c r="GK302" s="495">
        <v>0</v>
      </c>
      <c r="GL302" s="495">
        <v>0</v>
      </c>
      <c r="GM302" s="495">
        <v>0</v>
      </c>
      <c r="GN302" s="359"/>
      <c r="GO302" s="359"/>
      <c r="GP302" s="501"/>
      <c r="GQ302" s="495">
        <v>0</v>
      </c>
      <c r="GR302" s="375"/>
      <c r="GS302" s="333"/>
      <c r="GT302" s="333"/>
      <c r="GU302" s="333"/>
      <c r="GV302" s="333"/>
      <c r="GW302" s="333"/>
      <c r="GX302" s="333"/>
      <c r="GY302" s="333"/>
      <c r="GZ302" s="333"/>
      <c r="HA302" s="333"/>
      <c r="HB302" s="333"/>
      <c r="HC302" s="333"/>
      <c r="HD302" s="333"/>
      <c r="HE302" s="333"/>
      <c r="HF302" s="333"/>
      <c r="HG302" s="331"/>
      <c r="HH302" s="331"/>
      <c r="HI302" s="331"/>
      <c r="HJ302" s="331"/>
      <c r="HK302" s="331"/>
      <c r="HL302" s="331"/>
      <c r="HM302" s="331"/>
      <c r="HN302" s="333"/>
      <c r="HO302" s="333"/>
      <c r="HP302" s="333"/>
      <c r="HQ302" s="333"/>
      <c r="HR302" s="333"/>
      <c r="HS302" s="333"/>
      <c r="HT302" s="333"/>
      <c r="HU302" s="333"/>
      <c r="HV302" s="333"/>
      <c r="HW302" s="333"/>
      <c r="HX302" s="333"/>
      <c r="HY302" s="333"/>
      <c r="HZ302" s="333"/>
      <c r="IA302" s="333"/>
      <c r="IB302" s="333"/>
      <c r="IC302" s="333"/>
      <c r="ID302" s="55"/>
      <c r="IE302" s="47"/>
      <c r="IO302" s="51"/>
    </row>
    <row r="303" spans="13:249" s="142" customFormat="1" ht="15" customHeight="1" thickBot="1">
      <c r="M303" s="333"/>
      <c r="N303" s="333"/>
      <c r="O303" s="333"/>
      <c r="P303" s="333"/>
      <c r="Q303" s="333"/>
      <c r="R303" s="333"/>
      <c r="S303" s="333"/>
      <c r="T303" s="333"/>
      <c r="U303" s="333"/>
      <c r="V303" s="333"/>
      <c r="W303" s="333"/>
      <c r="X303" s="333"/>
      <c r="Y303" s="333"/>
      <c r="Z303" s="333"/>
      <c r="AA303" s="333"/>
      <c r="AB303" s="333"/>
      <c r="AC303" s="333"/>
      <c r="AD303" s="333"/>
      <c r="AE303" s="333"/>
      <c r="AF303" s="333"/>
      <c r="AG303" s="333"/>
      <c r="AH303" s="333"/>
      <c r="AI303" s="333"/>
      <c r="AJ303" s="333"/>
      <c r="AK303" s="333"/>
      <c r="AL303" s="333"/>
      <c r="AM303" s="333"/>
      <c r="AN303" s="333"/>
      <c r="AO303" s="333"/>
      <c r="AP303" s="333"/>
      <c r="AQ303" s="333"/>
      <c r="AR303" s="333"/>
      <c r="AS303" s="333"/>
      <c r="AT303" s="333"/>
      <c r="AU303" s="333"/>
      <c r="AV303" s="333"/>
      <c r="AW303" s="333"/>
      <c r="AX303" s="333"/>
      <c r="AY303" s="333"/>
      <c r="AZ303" s="333"/>
      <c r="BA303" s="333"/>
      <c r="BB303" s="333"/>
      <c r="BC303" s="333"/>
      <c r="BD303" s="333"/>
      <c r="BE303" s="333"/>
      <c r="BF303" s="333"/>
      <c r="BG303" s="333"/>
      <c r="BH303" s="333"/>
      <c r="BI303" s="333"/>
      <c r="BJ303" s="333"/>
      <c r="BK303" s="333"/>
      <c r="BL303" s="333"/>
      <c r="BM303" s="333"/>
      <c r="BN303" s="333"/>
      <c r="BO303" s="333"/>
      <c r="BP303" s="333"/>
      <c r="BQ303" s="333"/>
      <c r="BR303" s="333"/>
      <c r="BS303" s="333"/>
      <c r="BT303" s="333"/>
      <c r="BU303" s="333"/>
      <c r="BV303" s="333"/>
      <c r="BW303" s="333"/>
      <c r="BX303" s="333"/>
      <c r="BY303" s="333"/>
      <c r="BZ303" s="333"/>
      <c r="CA303" s="333"/>
      <c r="CB303" s="333"/>
      <c r="CC303" s="333"/>
      <c r="CD303" s="333"/>
      <c r="CE303" s="333"/>
      <c r="CF303" s="333"/>
      <c r="CG303" s="333"/>
      <c r="CH303" s="333"/>
      <c r="CI303" s="333"/>
      <c r="CJ303" s="333"/>
      <c r="CK303" s="333"/>
      <c r="CL303" s="333"/>
      <c r="CM303" s="333"/>
      <c r="CN303" s="333"/>
      <c r="CO303" s="333"/>
      <c r="CP303" s="333"/>
      <c r="CQ303" s="333"/>
      <c r="CR303" s="333"/>
      <c r="CS303" s="333"/>
      <c r="CT303" s="333"/>
      <c r="CU303" s="333"/>
      <c r="CV303" s="333"/>
      <c r="CW303" s="333"/>
      <c r="CX303" s="333"/>
      <c r="CY303" s="333"/>
      <c r="CZ303" s="333"/>
      <c r="DA303" s="333"/>
      <c r="DB303" s="333"/>
      <c r="DC303" s="333"/>
      <c r="DD303" s="333"/>
      <c r="DE303" s="333"/>
      <c r="DF303" s="333"/>
      <c r="DG303" s="333"/>
      <c r="DH303" s="333"/>
      <c r="DI303" s="333"/>
      <c r="DJ303" s="333"/>
      <c r="DK303" s="333"/>
      <c r="DL303" s="333"/>
      <c r="DM303" s="333"/>
      <c r="DN303" s="333"/>
      <c r="DO303" s="333"/>
      <c r="DP303" s="333"/>
      <c r="DQ303" s="333"/>
      <c r="DR303" s="333"/>
      <c r="DS303" s="333"/>
      <c r="DT303" s="333"/>
      <c r="DU303" s="375"/>
      <c r="DV303" s="375"/>
      <c r="DW303" s="375"/>
      <c r="DX303" s="375"/>
      <c r="DY303" s="375"/>
      <c r="DZ303" s="375"/>
      <c r="EA303" s="375"/>
      <c r="EB303" s="375"/>
      <c r="EC303" s="375"/>
      <c r="ED303" s="375"/>
      <c r="EE303" s="375"/>
      <c r="EF303" s="375"/>
      <c r="EG303" s="375"/>
      <c r="EH303" s="375"/>
      <c r="EI303" s="375"/>
      <c r="EJ303" s="373"/>
      <c r="EK303" s="373"/>
      <c r="EL303" s="366"/>
      <c r="EM303" s="368"/>
      <c r="EN303" s="364"/>
      <c r="EO303" s="353">
        <f>+IF(EO301= 0, 0, GG299)</f>
        <v>0</v>
      </c>
      <c r="EP303" s="350"/>
      <c r="EQ303" s="344"/>
      <c r="ER303" s="523"/>
      <c r="ES303" s="921">
        <f>IF(ER303 = "", 0,
IF(AND(EP303 &gt; 0, EQ303 &gt;0), 0, IF(EO299 &lt;&gt; $Z$1,
IF(AND(EP303 &lt;&gt; "", EP303 &lt;&gt; 0), -(EP303 * ER303 * 100),
IF(AND(EQ303 &lt;&gt; "", EQ303 &lt;&gt; 0), (EQ303 * ER303 * 100), 0)),
IF(AND(EP303 &lt;&gt; "", EP303 &lt;&gt; 0), -(EP303 * ER303 * 1),
IF(AND(EQ303 &lt;&gt; "", EQ303 &lt;&gt; 0), (EQ303 * ER303 * 1), 0))  )))</f>
        <v>0</v>
      </c>
      <c r="ET303" s="922"/>
      <c r="EU303" s="924"/>
      <c r="EV303" s="921">
        <f>IF(ER303 = "", 0,
IF(AND(EP303 &gt; 0, EQ303 &gt;0), 0,  IF(EO299 &lt;&gt; $Z$1,
IF(AND(EP303 &lt;&gt; "", EP303 &lt;&gt; 0), -(EP303 * ER303 * 100 * (1 + COMIS_OPCION)),
IF(AND(EQ303 &lt;&gt; "", EQ303 &lt;&gt; 0), (EQ303 * ER303 * 100 * (1 - COMIS_OPCION)), 0)),
IF(AND(EP303 &lt;&gt; "", EP303 &lt;&gt; 0), -(EP303 * ER303 * 1 * (1 + COMIS_ACCION)),
IF(AND(EQ303 &lt;&gt; "", EQ303 &lt;&gt; 0), (EQ303 * ER303 * 1 * (1 - COMIS_ACCION)), 0))  )))</f>
        <v>0</v>
      </c>
      <c r="EW303" s="922"/>
      <c r="EX303" s="922"/>
      <c r="EY303" s="922"/>
      <c r="EZ303" s="922"/>
      <c r="FA303" s="922"/>
      <c r="FB303" s="922"/>
      <c r="FC303" s="922"/>
      <c r="FD303" s="923"/>
      <c r="FE303" s="340"/>
      <c r="FF303" s="340"/>
      <c r="FG303" s="365"/>
      <c r="FH303" s="365"/>
      <c r="FI303" s="349">
        <f>+IF(FI301= 0, 0, GQ299)</f>
        <v>0</v>
      </c>
      <c r="FJ303" s="348"/>
      <c r="FK303" s="345"/>
      <c r="FL303" s="346"/>
      <c r="FM303" s="937">
        <f>IF(FL303 = "", 0,
IF(AND(FJ303 &gt; 0, FK303 &gt;0), 0,
IF(AND(FJ303 &lt;&gt; "", FJ303 &lt;&gt; 0), -(FJ303 * FL303 * 100),
IF(AND(FK303 &lt;&gt; "", FK303 &lt;&gt; 0), (FK303 * FL303 * 100), 0)) ))</f>
        <v>0</v>
      </c>
      <c r="FN303" s="938"/>
      <c r="FO303" s="939"/>
      <c r="FP303" s="937">
        <f>IF(FL303 = "", 0,
IF(AND(FJ303 &gt; 0, FK303 &gt;0), 0,
IF(AND(FJ303 &lt;&gt; "", FJ303 &lt;&gt; 0), -(FJ303 * FL303 * 100 * (1 + COMIS_OPCION)),
IF(AND(FK303 &lt;&gt; "", FK303 &lt;&gt; 0), (FK303 * FL303 * 100 * (1 - COMIS_OPCION)), 0)) ))</f>
        <v>0</v>
      </c>
      <c r="FQ303" s="938"/>
      <c r="FR303" s="938"/>
      <c r="FS303" s="938"/>
      <c r="FT303" s="938"/>
      <c r="FU303" s="938"/>
      <c r="FV303" s="938"/>
      <c r="FW303" s="938"/>
      <c r="FX303" s="969"/>
      <c r="FY303" s="341"/>
      <c r="FZ303" s="341"/>
      <c r="GA303" s="341"/>
      <c r="GB303" s="495">
        <v>0</v>
      </c>
      <c r="GC303" s="495">
        <v>0</v>
      </c>
      <c r="GD303" s="500"/>
      <c r="GE303" s="495">
        <v>0</v>
      </c>
      <c r="GF303" s="495">
        <v>0</v>
      </c>
      <c r="GG303" s="495">
        <v>0</v>
      </c>
      <c r="GH303" s="359"/>
      <c r="GI303" s="359"/>
      <c r="GJ303" s="501"/>
      <c r="GK303" s="495">
        <v>0</v>
      </c>
      <c r="GL303" s="495">
        <v>0</v>
      </c>
      <c r="GM303" s="495">
        <v>0</v>
      </c>
      <c r="GN303" s="359"/>
      <c r="GO303" s="359"/>
      <c r="GP303" s="501"/>
      <c r="GQ303" s="495">
        <v>0</v>
      </c>
      <c r="GR303" s="375"/>
      <c r="GS303" s="333"/>
      <c r="GT303" s="333"/>
      <c r="GU303" s="333"/>
      <c r="GV303" s="333"/>
      <c r="GW303" s="333"/>
      <c r="GX303" s="333"/>
      <c r="GY303" s="333"/>
      <c r="GZ303" s="333"/>
      <c r="HA303" s="333"/>
      <c r="HB303" s="333"/>
      <c r="HC303" s="333"/>
      <c r="HD303" s="333"/>
      <c r="HE303" s="333"/>
      <c r="HF303" s="333"/>
      <c r="HG303" s="331"/>
      <c r="HH303" s="331"/>
      <c r="HI303" s="331"/>
      <c r="HJ303" s="331"/>
      <c r="HK303" s="331"/>
      <c r="HL303" s="331"/>
      <c r="HM303" s="331"/>
      <c r="HN303" s="333"/>
      <c r="HO303" s="333"/>
      <c r="HP303" s="333"/>
      <c r="HQ303" s="333"/>
      <c r="HR303" s="333"/>
      <c r="HS303" s="333"/>
      <c r="HT303" s="333"/>
      <c r="HU303" s="333"/>
      <c r="HV303" s="333"/>
      <c r="HW303" s="333"/>
      <c r="HX303" s="333"/>
      <c r="HY303" s="333"/>
      <c r="HZ303" s="333"/>
      <c r="IA303" s="333"/>
      <c r="IB303" s="333"/>
      <c r="IC303" s="333"/>
      <c r="ID303" s="55"/>
      <c r="IE303" s="47"/>
      <c r="IO303" s="51"/>
    </row>
    <row r="304" spans="13:249" s="142" customFormat="1" ht="15" customHeight="1">
      <c r="M304" s="333"/>
      <c r="N304" s="333"/>
      <c r="O304" s="333"/>
      <c r="P304" s="333"/>
      <c r="Q304" s="333"/>
      <c r="R304" s="333"/>
      <c r="S304" s="333"/>
      <c r="T304" s="333"/>
      <c r="U304" s="333"/>
      <c r="V304" s="333"/>
      <c r="W304" s="333"/>
      <c r="X304" s="333"/>
      <c r="Y304" s="333"/>
      <c r="Z304" s="333"/>
      <c r="AA304" s="333"/>
      <c r="AB304" s="333"/>
      <c r="AC304" s="333"/>
      <c r="AD304" s="333"/>
      <c r="AE304" s="333"/>
      <c r="AF304" s="333"/>
      <c r="AG304" s="333"/>
      <c r="AH304" s="333"/>
      <c r="AI304" s="333"/>
      <c r="AJ304" s="333"/>
      <c r="AK304" s="333"/>
      <c r="AL304" s="333"/>
      <c r="AM304" s="333"/>
      <c r="AN304" s="333"/>
      <c r="AO304" s="333"/>
      <c r="AP304" s="333"/>
      <c r="AQ304" s="333"/>
      <c r="AR304" s="333"/>
      <c r="AS304" s="333"/>
      <c r="AT304" s="333"/>
      <c r="AU304" s="333"/>
      <c r="AV304" s="333"/>
      <c r="AW304" s="333"/>
      <c r="AX304" s="333"/>
      <c r="AY304" s="333"/>
      <c r="AZ304" s="333"/>
      <c r="BA304" s="333"/>
      <c r="BB304" s="333"/>
      <c r="BC304" s="333"/>
      <c r="BD304" s="333"/>
      <c r="BE304" s="333"/>
      <c r="BF304" s="333"/>
      <c r="BG304" s="333"/>
      <c r="BH304" s="333"/>
      <c r="BI304" s="333"/>
      <c r="BJ304" s="333"/>
      <c r="BK304" s="333"/>
      <c r="BL304" s="333"/>
      <c r="BM304" s="333"/>
      <c r="BN304" s="333"/>
      <c r="BO304" s="333"/>
      <c r="BP304" s="333"/>
      <c r="BQ304" s="333"/>
      <c r="BR304" s="333"/>
      <c r="BS304" s="333"/>
      <c r="BT304" s="333"/>
      <c r="BU304" s="333"/>
      <c r="BV304" s="333"/>
      <c r="BW304" s="333"/>
      <c r="BX304" s="333"/>
      <c r="BY304" s="333"/>
      <c r="BZ304" s="333"/>
      <c r="CA304" s="333"/>
      <c r="CB304" s="333"/>
      <c r="CC304" s="333"/>
      <c r="CD304" s="333"/>
      <c r="CE304" s="333"/>
      <c r="CF304" s="333"/>
      <c r="CG304" s="333"/>
      <c r="CH304" s="333"/>
      <c r="CI304" s="333"/>
      <c r="CJ304" s="333"/>
      <c r="CK304" s="333"/>
      <c r="CL304" s="333"/>
      <c r="CM304" s="333"/>
      <c r="CN304" s="333"/>
      <c r="CO304" s="333"/>
      <c r="CP304" s="333"/>
      <c r="CQ304" s="333"/>
      <c r="CR304" s="333"/>
      <c r="CS304" s="333"/>
      <c r="CT304" s="333"/>
      <c r="CU304" s="333"/>
      <c r="CV304" s="333"/>
      <c r="CW304" s="333"/>
      <c r="CX304" s="333"/>
      <c r="CY304" s="333"/>
      <c r="CZ304" s="333"/>
      <c r="DA304" s="333"/>
      <c r="DB304" s="333"/>
      <c r="DC304" s="333"/>
      <c r="DD304" s="333"/>
      <c r="DE304" s="333"/>
      <c r="DF304" s="333"/>
      <c r="DG304" s="333"/>
      <c r="DH304" s="333"/>
      <c r="DI304" s="333"/>
      <c r="DJ304" s="333"/>
      <c r="DK304" s="333"/>
      <c r="DL304" s="333"/>
      <c r="DM304" s="333"/>
      <c r="DN304" s="333"/>
      <c r="DO304" s="333"/>
      <c r="DP304" s="333"/>
      <c r="DQ304" s="333"/>
      <c r="DR304" s="333"/>
      <c r="DS304" s="333"/>
      <c r="DT304" s="333"/>
      <c r="DU304" s="375"/>
      <c r="DV304" s="375"/>
      <c r="DW304" s="375"/>
      <c r="DX304" s="375"/>
      <c r="DY304" s="375"/>
      <c r="DZ304" s="375"/>
      <c r="EA304" s="375"/>
      <c r="EB304" s="375"/>
      <c r="EC304" s="375"/>
      <c r="ED304" s="375"/>
      <c r="EE304" s="375"/>
      <c r="EF304" s="375"/>
      <c r="EG304" s="375"/>
      <c r="EH304" s="375"/>
      <c r="EI304" s="375"/>
      <c r="EJ304" s="373"/>
      <c r="EK304" s="373"/>
      <c r="EL304" s="374"/>
      <c r="EM304" s="366"/>
      <c r="EN304" s="364"/>
      <c r="EO304" s="363"/>
      <c r="EP304" s="340"/>
      <c r="EQ304" s="340"/>
      <c r="ER304" s="340"/>
      <c r="ES304" s="915">
        <f>SUM(ES53:EU303)</f>
        <v>0</v>
      </c>
      <c r="ET304" s="915"/>
      <c r="EU304" s="915"/>
      <c r="EV304" s="919">
        <f>SUM(EV53:FD303)</f>
        <v>0</v>
      </c>
      <c r="EW304" s="920"/>
      <c r="EX304" s="920"/>
      <c r="EY304" s="920"/>
      <c r="EZ304" s="920"/>
      <c r="FA304" s="920"/>
      <c r="FB304" s="920"/>
      <c r="FC304" s="920"/>
      <c r="FD304" s="920"/>
      <c r="FE304" s="340"/>
      <c r="FF304" s="340"/>
      <c r="FG304" s="364"/>
      <c r="FH304" s="364"/>
      <c r="FI304" s="363"/>
      <c r="FJ304" s="360"/>
      <c r="FK304" s="360"/>
      <c r="FL304" s="340"/>
      <c r="FM304" s="1054">
        <f>SUM(FM53:FO303)</f>
        <v>0</v>
      </c>
      <c r="FN304" s="1054"/>
      <c r="FO304" s="1054"/>
      <c r="FP304" s="934">
        <f>SUM(FP53:FX303)</f>
        <v>0</v>
      </c>
      <c r="FQ304" s="935"/>
      <c r="FR304" s="935"/>
      <c r="FS304" s="935"/>
      <c r="FT304" s="935"/>
      <c r="FU304" s="935"/>
      <c r="FV304" s="935"/>
      <c r="FW304" s="935"/>
      <c r="FX304" s="935"/>
      <c r="FY304" s="341"/>
      <c r="FZ304" s="341"/>
      <c r="GA304" s="341"/>
      <c r="GB304" s="341"/>
      <c r="GC304" s="360"/>
      <c r="GD304" s="360"/>
      <c r="GE304" s="360"/>
      <c r="GF304" s="360"/>
      <c r="GG304" s="375"/>
      <c r="GH304" s="378"/>
      <c r="GI304" s="375"/>
      <c r="GJ304" s="375"/>
      <c r="GK304" s="375"/>
      <c r="GL304" s="375"/>
      <c r="GM304" s="375"/>
      <c r="GN304" s="375"/>
      <c r="GO304" s="375"/>
      <c r="GP304" s="375"/>
      <c r="GQ304" s="375"/>
      <c r="GR304" s="375"/>
      <c r="GS304" s="333"/>
      <c r="GT304" s="333"/>
      <c r="GU304" s="333"/>
      <c r="GV304" s="333"/>
      <c r="GW304" s="333"/>
      <c r="GX304" s="333"/>
      <c r="GY304" s="333"/>
      <c r="GZ304" s="333"/>
      <c r="HA304" s="333"/>
      <c r="HB304" s="333"/>
      <c r="HC304" s="333"/>
      <c r="HD304" s="333"/>
      <c r="HE304" s="333"/>
      <c r="HF304" s="333"/>
      <c r="HG304" s="331"/>
      <c r="HH304" s="331"/>
      <c r="HI304" s="331"/>
      <c r="HJ304" s="331"/>
      <c r="HK304" s="331"/>
      <c r="HL304" s="331"/>
      <c r="HM304" s="331"/>
      <c r="HN304" s="333"/>
      <c r="HO304" s="333"/>
      <c r="HP304" s="333"/>
      <c r="HQ304" s="333"/>
      <c r="HR304" s="333"/>
      <c r="HS304" s="333"/>
      <c r="HT304" s="333"/>
      <c r="HU304" s="333"/>
      <c r="HV304" s="333"/>
      <c r="HW304" s="333"/>
      <c r="HX304" s="333"/>
      <c r="HY304" s="333"/>
      <c r="HZ304" s="333"/>
      <c r="IA304" s="333"/>
      <c r="IB304" s="333"/>
      <c r="IC304" s="333"/>
      <c r="ID304" s="55"/>
      <c r="IE304" s="47"/>
      <c r="IO304" s="51"/>
    </row>
    <row r="305" spans="13:231" ht="15" customHeight="1">
      <c r="M305" s="332"/>
      <c r="N305" s="332"/>
      <c r="O305" s="332"/>
      <c r="P305" s="332"/>
      <c r="Q305" s="332"/>
      <c r="R305" s="332"/>
      <c r="S305" s="332"/>
      <c r="T305" s="332"/>
      <c r="U305" s="332"/>
      <c r="V305" s="332"/>
      <c r="W305" s="332"/>
      <c r="X305" s="335"/>
      <c r="Y305" s="336"/>
      <c r="Z305" s="336"/>
      <c r="AA305" s="336"/>
      <c r="AB305" s="336"/>
      <c r="AC305" s="336"/>
      <c r="AD305" s="336"/>
      <c r="AE305" s="336"/>
      <c r="AF305" s="336"/>
      <c r="AG305" s="336"/>
      <c r="AH305" s="336"/>
      <c r="AI305" s="336"/>
      <c r="AJ305" s="336"/>
      <c r="AK305" s="336"/>
      <c r="AL305" s="336"/>
      <c r="AM305" s="336"/>
      <c r="AN305" s="336"/>
      <c r="AO305" s="336"/>
      <c r="AP305" s="336"/>
      <c r="AQ305" s="336"/>
      <c r="AR305" s="336"/>
      <c r="AS305" s="336"/>
      <c r="AT305" s="336"/>
      <c r="AU305" s="336"/>
      <c r="AV305" s="336"/>
      <c r="AW305" s="336"/>
      <c r="AX305" s="336"/>
      <c r="AY305" s="336"/>
      <c r="AZ305" s="336"/>
      <c r="BA305" s="336"/>
      <c r="BB305" s="336"/>
      <c r="BC305" s="336"/>
      <c r="BD305" s="336"/>
      <c r="BE305" s="336"/>
      <c r="BF305" s="336"/>
      <c r="BG305" s="336"/>
      <c r="BH305" s="336"/>
      <c r="BI305" s="336"/>
      <c r="BJ305" s="336"/>
      <c r="BK305" s="336"/>
      <c r="BL305" s="336"/>
      <c r="BM305" s="336"/>
      <c r="BN305" s="336"/>
      <c r="BO305" s="336"/>
      <c r="BP305" s="336"/>
      <c r="BQ305" s="336"/>
      <c r="BR305" s="336"/>
      <c r="BS305" s="336"/>
      <c r="BT305" s="336"/>
      <c r="BU305" s="336"/>
      <c r="BV305" s="336"/>
      <c r="BW305" s="336"/>
      <c r="BX305" s="336"/>
      <c r="BY305" s="336"/>
      <c r="BZ305" s="336"/>
      <c r="CA305" s="336"/>
      <c r="CB305" s="336"/>
      <c r="CC305" s="336"/>
      <c r="CD305" s="336"/>
      <c r="CE305" s="336"/>
      <c r="CF305" s="336"/>
      <c r="CG305" s="336"/>
      <c r="CH305" s="336"/>
      <c r="CI305" s="336"/>
      <c r="CJ305" s="336"/>
      <c r="CK305" s="336"/>
      <c r="CL305" s="336"/>
      <c r="CM305" s="336"/>
      <c r="CN305" s="336"/>
      <c r="CO305" s="336"/>
      <c r="CP305" s="336"/>
      <c r="CQ305" s="336"/>
      <c r="CR305" s="336"/>
      <c r="CS305" s="336"/>
      <c r="CT305" s="336"/>
      <c r="CU305" s="336"/>
      <c r="CV305" s="336"/>
      <c r="CW305" s="336"/>
      <c r="CX305" s="336"/>
      <c r="CY305" s="336"/>
      <c r="CZ305" s="336"/>
      <c r="DA305" s="336"/>
      <c r="DB305" s="336"/>
      <c r="DC305" s="336"/>
      <c r="DD305" s="336"/>
      <c r="DE305" s="336"/>
      <c r="DF305" s="336"/>
      <c r="DG305" s="336"/>
      <c r="DH305" s="336"/>
      <c r="DI305" s="336"/>
      <c r="DJ305" s="336"/>
      <c r="DK305" s="332"/>
      <c r="DL305" s="332"/>
      <c r="DM305" s="332"/>
      <c r="DN305" s="332"/>
      <c r="DO305" s="332"/>
      <c r="DP305" s="332"/>
      <c r="DQ305" s="332"/>
      <c r="DR305" s="332"/>
      <c r="DS305" s="332"/>
      <c r="DT305" s="332"/>
      <c r="DU305" s="453"/>
      <c r="DV305" s="453"/>
      <c r="DW305" s="453"/>
      <c r="DX305" s="453"/>
      <c r="DY305" s="453"/>
      <c r="DZ305" s="453"/>
      <c r="EA305" s="453"/>
      <c r="EB305" s="453"/>
      <c r="EC305" s="453"/>
      <c r="ED305" s="453"/>
      <c r="EE305" s="453"/>
      <c r="EF305" s="453"/>
      <c r="EG305" s="453"/>
      <c r="EH305" s="453"/>
      <c r="EI305" s="453"/>
      <c r="EJ305" s="453"/>
      <c r="EK305" s="453"/>
      <c r="EL305" s="370"/>
      <c r="EM305" s="371"/>
      <c r="EN305" s="371"/>
      <c r="EO305" s="370"/>
      <c r="EP305" s="370"/>
      <c r="EQ305" s="370"/>
      <c r="ER305" s="370"/>
      <c r="ES305" s="370"/>
      <c r="ET305" s="370"/>
      <c r="EU305" s="370"/>
      <c r="EV305" s="370"/>
      <c r="EW305" s="370"/>
      <c r="EX305" s="370"/>
      <c r="EY305" s="370"/>
      <c r="EZ305" s="370"/>
      <c r="FA305" s="370"/>
      <c r="FB305" s="370"/>
      <c r="FC305" s="370"/>
      <c r="FD305" s="370"/>
      <c r="FE305" s="370"/>
      <c r="FF305" s="370"/>
      <c r="FG305" s="370"/>
      <c r="FH305" s="370"/>
      <c r="FI305" s="370"/>
      <c r="FJ305" s="370"/>
      <c r="FK305" s="370"/>
      <c r="FL305" s="370"/>
      <c r="FM305" s="370"/>
      <c r="FN305" s="370"/>
      <c r="FO305" s="370"/>
      <c r="FP305" s="370"/>
      <c r="FQ305" s="370"/>
      <c r="FR305" s="370"/>
      <c r="FS305" s="370"/>
      <c r="FT305" s="370"/>
      <c r="FU305" s="370"/>
      <c r="FV305" s="370"/>
      <c r="FW305" s="370"/>
      <c r="FX305" s="370"/>
      <c r="FY305" s="370"/>
      <c r="FZ305" s="370"/>
      <c r="GA305" s="370"/>
      <c r="GB305" s="370"/>
      <c r="GC305" s="370"/>
      <c r="GD305" s="370"/>
      <c r="GE305" s="370"/>
      <c r="GF305" s="370"/>
      <c r="GG305" s="370"/>
      <c r="GH305" s="370"/>
      <c r="GI305" s="370"/>
      <c r="GJ305" s="370"/>
      <c r="GK305" s="370"/>
      <c r="GL305" s="370"/>
      <c r="GM305" s="370"/>
      <c r="GN305" s="370"/>
      <c r="GO305" s="370"/>
      <c r="GP305" s="370"/>
      <c r="GQ305" s="370"/>
      <c r="GR305" s="370"/>
      <c r="GS305" s="370"/>
      <c r="GT305" s="370"/>
      <c r="GU305" s="370"/>
      <c r="GV305" s="370"/>
      <c r="GW305" s="370"/>
      <c r="GX305" s="370"/>
      <c r="GY305" s="370"/>
      <c r="GZ305" s="370"/>
      <c r="HA305" s="370"/>
      <c r="HB305" s="370"/>
      <c r="HC305" s="370"/>
      <c r="HD305" s="370"/>
      <c r="HE305" s="370"/>
      <c r="HF305" s="370"/>
      <c r="HG305" s="370"/>
      <c r="HH305" s="370"/>
      <c r="HI305" s="370"/>
      <c r="HJ305" s="370"/>
      <c r="HK305" s="370"/>
      <c r="HL305" s="370"/>
      <c r="HM305" s="370"/>
      <c r="HN305" s="464"/>
      <c r="HO305" s="465"/>
      <c r="HP305" s="453"/>
      <c r="HQ305" s="464"/>
      <c r="HR305" s="465"/>
      <c r="HS305" s="453"/>
      <c r="HT305" s="464"/>
      <c r="HU305" s="465"/>
      <c r="HV305" s="453"/>
      <c r="HW305" s="464"/>
    </row>
    <row r="306" spans="13:231" ht="15" customHeight="1">
      <c r="M306" s="332"/>
      <c r="N306" s="332"/>
      <c r="O306" s="332"/>
      <c r="P306" s="332"/>
      <c r="Q306" s="332"/>
      <c r="R306" s="332"/>
      <c r="S306" s="332"/>
      <c r="T306" s="332"/>
      <c r="U306" s="332"/>
      <c r="V306" s="332"/>
      <c r="W306" s="332"/>
      <c r="X306" s="335"/>
      <c r="Y306" s="336"/>
      <c r="Z306" s="336"/>
      <c r="AA306" s="336"/>
      <c r="AB306" s="336"/>
      <c r="AC306" s="336"/>
      <c r="AD306" s="336"/>
      <c r="AE306" s="336"/>
      <c r="AF306" s="336"/>
      <c r="AG306" s="336"/>
      <c r="AH306" s="336"/>
      <c r="AI306" s="336"/>
      <c r="AJ306" s="336"/>
      <c r="AK306" s="336"/>
      <c r="AL306" s="336"/>
      <c r="AM306" s="336"/>
      <c r="AN306" s="336"/>
      <c r="AO306" s="336"/>
      <c r="AP306" s="336"/>
      <c r="AQ306" s="336"/>
      <c r="AR306" s="336"/>
      <c r="AS306" s="336"/>
      <c r="AT306" s="336"/>
      <c r="AU306" s="336"/>
      <c r="AV306" s="336"/>
      <c r="AW306" s="336"/>
      <c r="AX306" s="336"/>
      <c r="AY306" s="336"/>
      <c r="AZ306" s="336"/>
      <c r="BA306" s="336"/>
      <c r="BB306" s="336"/>
      <c r="BC306" s="336"/>
      <c r="BD306" s="336"/>
      <c r="BE306" s="336"/>
      <c r="BF306" s="336"/>
      <c r="BG306" s="336"/>
      <c r="BH306" s="336"/>
      <c r="BI306" s="336"/>
      <c r="BJ306" s="336"/>
      <c r="BK306" s="336"/>
      <c r="BL306" s="336"/>
      <c r="BM306" s="336"/>
      <c r="BN306" s="336"/>
      <c r="BO306" s="336"/>
      <c r="BP306" s="336"/>
      <c r="BQ306" s="336"/>
      <c r="BR306" s="336"/>
      <c r="BS306" s="336"/>
      <c r="BT306" s="336"/>
      <c r="BU306" s="336"/>
      <c r="BV306" s="336"/>
      <c r="BW306" s="336"/>
      <c r="BX306" s="336"/>
      <c r="BY306" s="336"/>
      <c r="BZ306" s="336"/>
      <c r="CA306" s="336"/>
      <c r="CB306" s="336"/>
      <c r="CC306" s="336"/>
      <c r="CD306" s="336"/>
      <c r="CE306" s="336"/>
      <c r="CF306" s="336"/>
      <c r="CG306" s="336"/>
      <c r="CH306" s="336"/>
      <c r="CI306" s="336"/>
      <c r="CJ306" s="336"/>
      <c r="CK306" s="336"/>
      <c r="CL306" s="336"/>
      <c r="CM306" s="336"/>
      <c r="CN306" s="336"/>
      <c r="CO306" s="336"/>
      <c r="CP306" s="336"/>
      <c r="CQ306" s="336"/>
      <c r="CR306" s="336"/>
      <c r="CS306" s="336"/>
      <c r="CT306" s="336"/>
      <c r="CU306" s="336"/>
      <c r="CV306" s="336"/>
      <c r="CW306" s="336"/>
      <c r="CX306" s="336"/>
      <c r="CY306" s="336"/>
      <c r="CZ306" s="336"/>
      <c r="DA306" s="336"/>
      <c r="DB306" s="336"/>
      <c r="DC306" s="336"/>
      <c r="DD306" s="336"/>
      <c r="DE306" s="336"/>
      <c r="DF306" s="336"/>
      <c r="DG306" s="336"/>
      <c r="DH306" s="336"/>
      <c r="DI306" s="336"/>
      <c r="DJ306" s="336"/>
      <c r="DK306" s="332"/>
      <c r="DL306" s="332"/>
      <c r="DM306" s="332"/>
      <c r="DN306" s="332"/>
      <c r="DO306" s="332"/>
      <c r="DP306" s="332"/>
      <c r="DQ306" s="332"/>
      <c r="DR306" s="332"/>
      <c r="DS306" s="332"/>
      <c r="DT306" s="332"/>
      <c r="DU306" s="453"/>
      <c r="DV306" s="453"/>
      <c r="DW306" s="453"/>
      <c r="DX306" s="453"/>
      <c r="DY306" s="453"/>
      <c r="DZ306" s="453"/>
      <c r="EA306" s="453"/>
      <c r="EB306" s="453"/>
      <c r="EC306" s="453"/>
      <c r="ED306" s="453"/>
      <c r="EE306" s="453"/>
      <c r="EF306" s="453"/>
      <c r="EG306" s="453"/>
      <c r="EH306" s="453"/>
      <c r="EI306" s="453"/>
      <c r="EJ306" s="453"/>
      <c r="EK306" s="453"/>
      <c r="EL306" s="370"/>
      <c r="EM306" s="370"/>
      <c r="EN306" s="370"/>
      <c r="EO306" s="455"/>
      <c r="EP306" s="370"/>
      <c r="EQ306" s="370"/>
      <c r="ER306" s="370"/>
      <c r="ES306" s="370"/>
      <c r="ET306" s="370"/>
      <c r="EU306" s="370"/>
      <c r="EV306" s="370"/>
      <c r="EW306" s="370"/>
      <c r="EX306" s="370"/>
      <c r="EY306" s="370"/>
      <c r="EZ306" s="370"/>
      <c r="FA306" s="370"/>
      <c r="FB306" s="370"/>
      <c r="FC306" s="370"/>
      <c r="FD306" s="370"/>
      <c r="FE306" s="370"/>
      <c r="FF306" s="370"/>
      <c r="FG306" s="370"/>
      <c r="FH306" s="370"/>
      <c r="FI306" s="370"/>
      <c r="FJ306" s="370"/>
      <c r="FK306" s="370"/>
      <c r="FL306" s="370"/>
      <c r="FM306" s="370"/>
      <c r="FN306" s="370"/>
      <c r="FO306" s="370"/>
      <c r="FP306" s="370"/>
      <c r="FQ306" s="370"/>
      <c r="FR306" s="370"/>
      <c r="FS306" s="370"/>
      <c r="FT306" s="370"/>
      <c r="FU306" s="370"/>
      <c r="FV306" s="370"/>
      <c r="FW306" s="370"/>
      <c r="FX306" s="370"/>
      <c r="FY306" s="370"/>
      <c r="FZ306" s="370"/>
      <c r="GA306" s="370"/>
      <c r="GB306" s="370"/>
      <c r="GC306" s="370"/>
      <c r="GD306" s="370"/>
      <c r="GE306" s="370"/>
      <c r="GF306" s="370"/>
      <c r="GG306" s="370"/>
      <c r="GH306" s="370"/>
      <c r="GI306" s="370"/>
      <c r="GJ306" s="370"/>
      <c r="GK306" s="370"/>
      <c r="GL306" s="370"/>
      <c r="GM306" s="370"/>
      <c r="GN306" s="370"/>
      <c r="GO306" s="370"/>
      <c r="GP306" s="370"/>
      <c r="GQ306" s="370"/>
      <c r="GR306" s="370"/>
      <c r="GS306" s="370"/>
      <c r="GT306" s="370"/>
      <c r="GU306" s="370"/>
      <c r="GV306" s="370"/>
      <c r="GW306" s="370"/>
      <c r="GX306" s="370"/>
      <c r="GY306" s="370"/>
      <c r="GZ306" s="370"/>
      <c r="HA306" s="370"/>
      <c r="HB306" s="370"/>
      <c r="HC306" s="370"/>
      <c r="HD306" s="370"/>
      <c r="HE306" s="370"/>
      <c r="HF306" s="370"/>
      <c r="HG306" s="370"/>
      <c r="HH306" s="370"/>
      <c r="HI306" s="370"/>
      <c r="HJ306" s="370"/>
      <c r="HK306" s="370"/>
      <c r="HL306" s="370"/>
      <c r="HM306" s="370"/>
      <c r="HN306" s="464"/>
      <c r="HO306" s="465"/>
      <c r="HP306" s="453"/>
      <c r="HQ306" s="464"/>
      <c r="HR306" s="465"/>
      <c r="HS306" s="453"/>
      <c r="HT306" s="464"/>
      <c r="HU306" s="465"/>
      <c r="HV306" s="453"/>
      <c r="HW306" s="464"/>
    </row>
    <row r="307" spans="13:231" ht="15" customHeight="1">
      <c r="M307" s="332"/>
      <c r="N307" s="332"/>
      <c r="O307" s="332"/>
      <c r="P307" s="332"/>
      <c r="Q307" s="332"/>
      <c r="R307" s="332"/>
      <c r="S307" s="332"/>
      <c r="T307" s="332"/>
      <c r="U307" s="332"/>
      <c r="V307" s="332"/>
      <c r="W307" s="332"/>
      <c r="X307" s="335"/>
      <c r="Y307" s="336"/>
      <c r="Z307" s="336"/>
      <c r="AA307" s="336"/>
      <c r="AB307" s="336"/>
      <c r="AC307" s="336"/>
      <c r="AD307" s="336"/>
      <c r="AE307" s="336"/>
      <c r="AF307" s="336"/>
      <c r="AG307" s="336"/>
      <c r="AH307" s="336"/>
      <c r="AI307" s="336"/>
      <c r="AJ307" s="336"/>
      <c r="AK307" s="336"/>
      <c r="AL307" s="336"/>
      <c r="AM307" s="336"/>
      <c r="AN307" s="336"/>
      <c r="AO307" s="336"/>
      <c r="AP307" s="336"/>
      <c r="AQ307" s="336"/>
      <c r="AR307" s="336"/>
      <c r="AS307" s="336"/>
      <c r="AT307" s="336"/>
      <c r="AU307" s="336"/>
      <c r="AV307" s="336"/>
      <c r="AW307" s="336"/>
      <c r="AX307" s="336"/>
      <c r="AY307" s="336"/>
      <c r="AZ307" s="336"/>
      <c r="BA307" s="336"/>
      <c r="BB307" s="336"/>
      <c r="BC307" s="336"/>
      <c r="BD307" s="336"/>
      <c r="BE307" s="336"/>
      <c r="BF307" s="336"/>
      <c r="BG307" s="336"/>
      <c r="BH307" s="336"/>
      <c r="BI307" s="336"/>
      <c r="BJ307" s="336"/>
      <c r="BK307" s="336"/>
      <c r="BL307" s="336"/>
      <c r="BM307" s="336"/>
      <c r="BN307" s="336"/>
      <c r="BO307" s="336"/>
      <c r="BP307" s="336"/>
      <c r="BQ307" s="336"/>
      <c r="BR307" s="336"/>
      <c r="BS307" s="336"/>
      <c r="BT307" s="336"/>
      <c r="BU307" s="336"/>
      <c r="BV307" s="336"/>
      <c r="BW307" s="336"/>
      <c r="BX307" s="336"/>
      <c r="BY307" s="336"/>
      <c r="BZ307" s="336"/>
      <c r="CA307" s="336"/>
      <c r="CB307" s="336"/>
      <c r="CC307" s="336"/>
      <c r="CD307" s="336"/>
      <c r="CE307" s="336"/>
      <c r="CF307" s="336"/>
      <c r="CG307" s="336"/>
      <c r="CH307" s="336"/>
      <c r="CI307" s="336"/>
      <c r="CJ307" s="336"/>
      <c r="CK307" s="336"/>
      <c r="CL307" s="336"/>
      <c r="CM307" s="336"/>
      <c r="CN307" s="336"/>
      <c r="CO307" s="336"/>
      <c r="CP307" s="336"/>
      <c r="CQ307" s="336"/>
      <c r="CR307" s="336"/>
      <c r="CS307" s="336"/>
      <c r="CT307" s="336"/>
      <c r="CU307" s="336"/>
      <c r="CV307" s="336"/>
      <c r="CW307" s="336"/>
      <c r="CX307" s="336"/>
      <c r="CY307" s="336"/>
      <c r="CZ307" s="336"/>
      <c r="DA307" s="336"/>
      <c r="DB307" s="336"/>
      <c r="DC307" s="336"/>
      <c r="DD307" s="336"/>
      <c r="DE307" s="336"/>
      <c r="DF307" s="336"/>
      <c r="DG307" s="336"/>
      <c r="DH307" s="336"/>
      <c r="DI307" s="336"/>
      <c r="DJ307" s="336"/>
      <c r="DK307" s="332"/>
      <c r="DL307" s="332"/>
      <c r="DM307" s="332"/>
      <c r="DN307" s="332"/>
      <c r="DO307" s="332"/>
      <c r="DP307" s="332"/>
      <c r="DQ307" s="332"/>
      <c r="DR307" s="332"/>
      <c r="DS307" s="332"/>
      <c r="DT307" s="332"/>
      <c r="DU307" s="453"/>
      <c r="DV307" s="453"/>
      <c r="DW307" s="453"/>
      <c r="DX307" s="453"/>
      <c r="DY307" s="453"/>
      <c r="DZ307" s="453"/>
      <c r="EA307" s="453"/>
      <c r="EB307" s="453"/>
      <c r="EC307" s="455" t="s">
        <v>296</v>
      </c>
      <c r="ED307" s="453"/>
      <c r="EE307" s="453"/>
      <c r="EF307" s="453"/>
      <c r="EG307" s="453"/>
      <c r="EH307" s="453"/>
      <c r="EI307" s="453"/>
      <c r="EJ307" s="453"/>
      <c r="EK307" s="453"/>
      <c r="EL307" s="370"/>
      <c r="EM307" s="455"/>
      <c r="EN307" s="455" t="s">
        <v>276</v>
      </c>
      <c r="EO307" s="370"/>
      <c r="EP307" s="370"/>
      <c r="EQ307" s="370"/>
      <c r="ER307" s="370"/>
      <c r="ES307" s="370"/>
      <c r="ET307" s="370"/>
      <c r="EU307" s="370"/>
      <c r="EV307" s="370"/>
      <c r="EW307" s="370"/>
      <c r="EX307" s="370"/>
      <c r="EY307" s="370"/>
      <c r="EZ307" s="370"/>
      <c r="FA307" s="370"/>
      <c r="FB307" s="970">
        <f>totalBruto - totalNeto</f>
        <v>1765.2387500000259</v>
      </c>
      <c r="FC307" s="976"/>
      <c r="FD307" s="976"/>
      <c r="FE307" s="370"/>
      <c r="FF307" s="370"/>
      <c r="FG307" s="370"/>
      <c r="FH307" s="370"/>
      <c r="FI307" s="370"/>
      <c r="FJ307" s="370"/>
      <c r="FK307" s="370"/>
      <c r="FL307" s="370"/>
      <c r="FM307" s="370"/>
      <c r="FN307" s="370"/>
      <c r="FO307" s="370"/>
      <c r="FP307" s="370"/>
      <c r="FQ307" s="370"/>
      <c r="FR307" s="370"/>
      <c r="FS307" s="370"/>
      <c r="FT307" s="370"/>
      <c r="FU307" s="370"/>
      <c r="FV307" s="370"/>
      <c r="FW307" s="370"/>
      <c r="FX307" s="370"/>
      <c r="FY307" s="370"/>
      <c r="FZ307" s="370"/>
      <c r="GA307" s="370"/>
      <c r="GB307" s="370"/>
      <c r="GC307" s="370"/>
      <c r="GD307" s="370"/>
      <c r="GE307" s="370"/>
      <c r="GF307" s="370"/>
      <c r="GG307" s="370"/>
      <c r="GH307" s="370"/>
      <c r="GI307" s="370"/>
      <c r="GJ307" s="370"/>
      <c r="GK307" s="370"/>
      <c r="GL307" s="370"/>
      <c r="GM307" s="370"/>
      <c r="GN307" s="370"/>
      <c r="GO307" s="370"/>
      <c r="GP307" s="370"/>
      <c r="GQ307" s="370"/>
      <c r="GR307" s="370"/>
      <c r="GS307" s="370"/>
      <c r="GT307" s="370"/>
      <c r="GU307" s="370"/>
      <c r="GV307" s="370"/>
      <c r="GW307" s="370"/>
      <c r="GX307" s="370"/>
      <c r="GY307" s="370"/>
      <c r="GZ307" s="370"/>
      <c r="HA307" s="370"/>
      <c r="HB307" s="370"/>
      <c r="HC307" s="370"/>
      <c r="HD307" s="370"/>
      <c r="HE307" s="370"/>
      <c r="HF307" s="370"/>
      <c r="HG307" s="370"/>
      <c r="HH307" s="370"/>
      <c r="HI307" s="370"/>
      <c r="HJ307" s="370"/>
      <c r="HK307" s="370"/>
      <c r="HL307" s="370"/>
      <c r="HM307" s="370"/>
      <c r="HN307" s="464"/>
      <c r="HO307" s="465"/>
      <c r="HP307" s="453"/>
      <c r="HQ307" s="464"/>
      <c r="HR307" s="465"/>
      <c r="HS307" s="453"/>
      <c r="HT307" s="464"/>
      <c r="HU307" s="465"/>
      <c r="HV307" s="453"/>
      <c r="HW307" s="464"/>
    </row>
    <row r="308" spans="13:231" ht="15" customHeight="1">
      <c r="M308" s="332"/>
      <c r="N308" s="332"/>
      <c r="O308" s="332"/>
      <c r="P308" s="332"/>
      <c r="Q308" s="332"/>
      <c r="R308" s="332"/>
      <c r="S308" s="332"/>
      <c r="T308" s="332"/>
      <c r="U308" s="332"/>
      <c r="V308" s="332"/>
      <c r="W308" s="332"/>
      <c r="X308" s="335"/>
      <c r="Y308" s="336"/>
      <c r="Z308" s="336"/>
      <c r="AA308" s="336"/>
      <c r="AB308" s="336"/>
      <c r="AC308" s="336"/>
      <c r="AD308" s="336"/>
      <c r="AE308" s="336"/>
      <c r="AF308" s="336"/>
      <c r="AG308" s="336"/>
      <c r="AH308" s="336"/>
      <c r="AI308" s="336"/>
      <c r="AJ308" s="336"/>
      <c r="AK308" s="336"/>
      <c r="AL308" s="336"/>
      <c r="AM308" s="336"/>
      <c r="AN308" s="336"/>
      <c r="AO308" s="336"/>
      <c r="AP308" s="336"/>
      <c r="AQ308" s="336"/>
      <c r="AR308" s="336"/>
      <c r="AS308" s="336"/>
      <c r="AT308" s="336"/>
      <c r="AU308" s="336"/>
      <c r="AV308" s="336"/>
      <c r="AW308" s="336"/>
      <c r="AX308" s="336"/>
      <c r="AY308" s="336"/>
      <c r="AZ308" s="336"/>
      <c r="BA308" s="336"/>
      <c r="BB308" s="336"/>
      <c r="BC308" s="336"/>
      <c r="BD308" s="336"/>
      <c r="BE308" s="336"/>
      <c r="BF308" s="336"/>
      <c r="BG308" s="336"/>
      <c r="BH308" s="336"/>
      <c r="BI308" s="336"/>
      <c r="BJ308" s="336"/>
      <c r="BK308" s="336"/>
      <c r="BL308" s="336"/>
      <c r="BM308" s="336"/>
      <c r="BN308" s="336"/>
      <c r="BO308" s="336"/>
      <c r="BP308" s="336"/>
      <c r="BQ308" s="336"/>
      <c r="BR308" s="336"/>
      <c r="BS308" s="336"/>
      <c r="BT308" s="336"/>
      <c r="BU308" s="336"/>
      <c r="BV308" s="336"/>
      <c r="BW308" s="336"/>
      <c r="BX308" s="336"/>
      <c r="BY308" s="336"/>
      <c r="BZ308" s="336"/>
      <c r="CA308" s="336"/>
      <c r="CB308" s="336"/>
      <c r="CC308" s="336"/>
      <c r="CD308" s="336"/>
      <c r="CE308" s="336"/>
      <c r="CF308" s="336"/>
      <c r="CG308" s="336"/>
      <c r="CH308" s="336"/>
      <c r="CI308" s="336"/>
      <c r="CJ308" s="336"/>
      <c r="CK308" s="336"/>
      <c r="CL308" s="336"/>
      <c r="CM308" s="336"/>
      <c r="CN308" s="336"/>
      <c r="CO308" s="336"/>
      <c r="CP308" s="336"/>
      <c r="CQ308" s="336"/>
      <c r="CR308" s="336"/>
      <c r="CS308" s="336"/>
      <c r="CT308" s="336"/>
      <c r="CU308" s="336"/>
      <c r="CV308" s="336"/>
      <c r="CW308" s="336"/>
      <c r="CX308" s="336"/>
      <c r="CY308" s="336"/>
      <c r="CZ308" s="336"/>
      <c r="DA308" s="336"/>
      <c r="DB308" s="336"/>
      <c r="DC308" s="336"/>
      <c r="DD308" s="336"/>
      <c r="DE308" s="336"/>
      <c r="DF308" s="336"/>
      <c r="DG308" s="336"/>
      <c r="DH308" s="336"/>
      <c r="DI308" s="336"/>
      <c r="DJ308" s="336"/>
      <c r="DK308" s="332"/>
      <c r="DL308" s="332"/>
      <c r="DM308" s="332"/>
      <c r="DN308" s="332"/>
      <c r="DO308" s="332"/>
      <c r="DP308" s="332"/>
      <c r="DQ308" s="332"/>
      <c r="DR308" s="332"/>
      <c r="DS308" s="332"/>
      <c r="DT308" s="332"/>
      <c r="DU308" s="453"/>
      <c r="DV308" s="453"/>
      <c r="DW308" s="453"/>
      <c r="DX308" s="453"/>
      <c r="DY308" s="453"/>
      <c r="DZ308" s="453"/>
      <c r="EA308" s="453"/>
      <c r="EB308" s="453"/>
      <c r="EC308" s="453"/>
      <c r="ED308" s="964" t="s">
        <v>10</v>
      </c>
      <c r="EE308" s="964"/>
      <c r="EF308" s="964"/>
      <c r="EG308" s="965" t="s">
        <v>11</v>
      </c>
      <c r="EH308" s="965"/>
      <c r="EI308" s="965"/>
      <c r="EJ308" s="453"/>
      <c r="EK308" s="370"/>
      <c r="EL308" s="370"/>
      <c r="EM308" s="355"/>
      <c r="EN308" s="355" t="s">
        <v>149</v>
      </c>
      <c r="EO308" s="337"/>
      <c r="EP308" s="337"/>
      <c r="EQ308" s="337"/>
      <c r="ER308" s="337"/>
      <c r="ES308" s="909">
        <f>+totalBruto</f>
        <v>-44750.000000000015</v>
      </c>
      <c r="ET308" s="910"/>
      <c r="EU308" s="911"/>
      <c r="EV308" s="909">
        <f>+totalNeto</f>
        <v>-46515.23875000004</v>
      </c>
      <c r="EW308" s="910"/>
      <c r="EX308" s="910"/>
      <c r="EY308" s="910"/>
      <c r="EZ308" s="910"/>
      <c r="FA308" s="910"/>
      <c r="FB308" s="910"/>
      <c r="FC308" s="910"/>
      <c r="FD308" s="910"/>
      <c r="FE308" s="370"/>
      <c r="FF308" s="370"/>
      <c r="FG308" s="370"/>
      <c r="FH308" s="370"/>
      <c r="FI308" s="370"/>
      <c r="FJ308" s="370"/>
      <c r="FK308" s="370"/>
      <c r="FL308" s="370"/>
      <c r="FM308" s="370"/>
      <c r="FN308" s="370"/>
      <c r="FO308" s="370"/>
      <c r="FP308" s="370"/>
      <c r="FQ308" s="370"/>
      <c r="FR308" s="370"/>
      <c r="FS308" s="370"/>
      <c r="FT308" s="370"/>
      <c r="FU308" s="370"/>
      <c r="FV308" s="370"/>
      <c r="FW308" s="370"/>
      <c r="FX308" s="370"/>
      <c r="FY308" s="370"/>
      <c r="FZ308" s="370"/>
      <c r="GA308" s="370"/>
      <c r="GB308" s="370"/>
      <c r="GC308" s="370"/>
      <c r="GD308" s="370"/>
      <c r="GE308" s="370"/>
      <c r="GF308" s="370"/>
      <c r="GG308" s="370"/>
      <c r="GH308" s="370"/>
      <c r="GI308" s="370"/>
      <c r="GJ308" s="370"/>
      <c r="GK308" s="370"/>
      <c r="GL308" s="370"/>
      <c r="GM308" s="370"/>
      <c r="GN308" s="370"/>
      <c r="GO308" s="370"/>
      <c r="GP308" s="370"/>
      <c r="GQ308" s="370"/>
      <c r="GR308" s="370"/>
      <c r="GS308" s="370"/>
      <c r="GT308" s="370"/>
      <c r="GU308" s="370"/>
      <c r="GV308" s="453"/>
      <c r="GW308" s="453"/>
      <c r="GX308" s="370"/>
      <c r="GY308" s="370"/>
      <c r="GZ308" s="370"/>
      <c r="HA308" s="370"/>
      <c r="HB308" s="370"/>
      <c r="HC308" s="370"/>
      <c r="HD308" s="370"/>
      <c r="HE308" s="370"/>
      <c r="HF308" s="370"/>
      <c r="HG308" s="370"/>
      <c r="HH308" s="370"/>
      <c r="HI308" s="370"/>
      <c r="HJ308" s="370"/>
      <c r="HK308" s="370"/>
      <c r="HL308" s="370"/>
      <c r="HM308" s="370"/>
      <c r="HN308" s="464"/>
      <c r="HO308" s="465"/>
      <c r="HP308" s="453"/>
      <c r="HQ308" s="464"/>
      <c r="HR308" s="465"/>
      <c r="HS308" s="453"/>
      <c r="HT308" s="464"/>
      <c r="HU308" s="465"/>
      <c r="HV308" s="453"/>
      <c r="HW308" s="464"/>
    </row>
    <row r="309" spans="13:231" ht="15" customHeight="1" thickBot="1">
      <c r="M309" s="332"/>
      <c r="N309" s="332"/>
      <c r="O309" s="332"/>
      <c r="P309" s="332"/>
      <c r="Q309" s="332"/>
      <c r="R309" s="332"/>
      <c r="S309" s="332"/>
      <c r="T309" s="332"/>
      <c r="U309" s="332"/>
      <c r="V309" s="332"/>
      <c r="W309" s="332"/>
      <c r="X309" s="335"/>
      <c r="Y309" s="336"/>
      <c r="Z309" s="336"/>
      <c r="AA309" s="336"/>
      <c r="AB309" s="336"/>
      <c r="AC309" s="336"/>
      <c r="AD309" s="336"/>
      <c r="AE309" s="336"/>
      <c r="AF309" s="336"/>
      <c r="AG309" s="336"/>
      <c r="AH309" s="336"/>
      <c r="AI309" s="336"/>
      <c r="AJ309" s="336"/>
      <c r="AK309" s="336"/>
      <c r="AL309" s="336"/>
      <c r="AM309" s="336"/>
      <c r="AN309" s="336"/>
      <c r="AO309" s="336"/>
      <c r="AP309" s="336"/>
      <c r="AQ309" s="336"/>
      <c r="AR309" s="336"/>
      <c r="AS309" s="336"/>
      <c r="AT309" s="336"/>
      <c r="AU309" s="336"/>
      <c r="AV309" s="336"/>
      <c r="AW309" s="336"/>
      <c r="AX309" s="336"/>
      <c r="AY309" s="336"/>
      <c r="AZ309" s="336"/>
      <c r="BA309" s="336"/>
      <c r="BB309" s="336"/>
      <c r="BC309" s="336"/>
      <c r="BD309" s="336"/>
      <c r="BE309" s="336"/>
      <c r="BF309" s="336"/>
      <c r="BG309" s="336"/>
      <c r="BH309" s="336"/>
      <c r="BI309" s="336"/>
      <c r="BJ309" s="336"/>
      <c r="BK309" s="336"/>
      <c r="BL309" s="336"/>
      <c r="BM309" s="336"/>
      <c r="BN309" s="336"/>
      <c r="BO309" s="336"/>
      <c r="BP309" s="336"/>
      <c r="BQ309" s="336"/>
      <c r="BR309" s="336"/>
      <c r="BS309" s="336"/>
      <c r="BT309" s="336"/>
      <c r="BU309" s="336"/>
      <c r="BV309" s="336"/>
      <c r="BW309" s="336"/>
      <c r="BX309" s="336"/>
      <c r="BY309" s="336"/>
      <c r="BZ309" s="336"/>
      <c r="CA309" s="336"/>
      <c r="CB309" s="336"/>
      <c r="CC309" s="336"/>
      <c r="CD309" s="336"/>
      <c r="CE309" s="336"/>
      <c r="CF309" s="336"/>
      <c r="CG309" s="336"/>
      <c r="CH309" s="336"/>
      <c r="CI309" s="336"/>
      <c r="CJ309" s="336"/>
      <c r="CK309" s="336"/>
      <c r="CL309" s="336"/>
      <c r="CM309" s="336"/>
      <c r="CN309" s="336"/>
      <c r="CO309" s="336"/>
      <c r="CP309" s="336"/>
      <c r="CQ309" s="336"/>
      <c r="CR309" s="336"/>
      <c r="CS309" s="336"/>
      <c r="CT309" s="336"/>
      <c r="CU309" s="336"/>
      <c r="CV309" s="336"/>
      <c r="CW309" s="336"/>
      <c r="CX309" s="336"/>
      <c r="CY309" s="336"/>
      <c r="CZ309" s="336"/>
      <c r="DA309" s="336"/>
      <c r="DB309" s="336"/>
      <c r="DC309" s="336"/>
      <c r="DD309" s="336"/>
      <c r="DE309" s="336"/>
      <c r="DF309" s="336"/>
      <c r="DG309" s="336"/>
      <c r="DH309" s="336"/>
      <c r="DI309" s="336"/>
      <c r="DJ309" s="336"/>
      <c r="DK309" s="332"/>
      <c r="DL309" s="332"/>
      <c r="DM309" s="332"/>
      <c r="DN309" s="332"/>
      <c r="DO309" s="332"/>
      <c r="DP309" s="332"/>
      <c r="DQ309" s="332"/>
      <c r="DR309" s="332"/>
      <c r="DS309" s="332"/>
      <c r="DT309" s="332"/>
      <c r="DU309" s="453"/>
      <c r="DV309" s="453"/>
      <c r="DW309" s="453"/>
      <c r="DX309" s="453"/>
      <c r="DY309" s="453"/>
      <c r="DZ309" s="453"/>
      <c r="EA309" s="453"/>
      <c r="EB309" s="453"/>
      <c r="EC309" s="456" t="s">
        <v>4</v>
      </c>
      <c r="ED309" s="894" t="s">
        <v>283</v>
      </c>
      <c r="EE309" s="895"/>
      <c r="EF309" s="461" t="s">
        <v>277</v>
      </c>
      <c r="EG309" s="896" t="s">
        <v>283</v>
      </c>
      <c r="EH309" s="896"/>
      <c r="EI309" s="462" t="s">
        <v>277</v>
      </c>
      <c r="EJ309" s="453"/>
      <c r="EK309" s="453"/>
      <c r="EL309" s="453"/>
      <c r="EM309" s="481" t="s">
        <v>8</v>
      </c>
      <c r="EN309" s="191" t="s">
        <v>22</v>
      </c>
      <c r="EO309" s="191" t="s">
        <v>280</v>
      </c>
      <c r="EP309" s="466" t="s">
        <v>57</v>
      </c>
      <c r="EQ309" s="191" t="s">
        <v>4</v>
      </c>
      <c r="ER309" s="821" t="s">
        <v>277</v>
      </c>
      <c r="ES309" s="940" t="s">
        <v>278</v>
      </c>
      <c r="ET309" s="896"/>
      <c r="EU309" s="941"/>
      <c r="EV309" s="940" t="s">
        <v>279</v>
      </c>
      <c r="EW309" s="896"/>
      <c r="EX309" s="896"/>
      <c r="EY309" s="896"/>
      <c r="EZ309" s="896"/>
      <c r="FA309" s="896"/>
      <c r="FB309" s="896"/>
      <c r="FC309" s="896"/>
      <c r="FD309" s="941"/>
      <c r="FE309" s="940" t="s">
        <v>281</v>
      </c>
      <c r="FF309" s="896"/>
      <c r="FG309" s="896"/>
      <c r="FH309" s="896"/>
      <c r="FI309" s="896"/>
      <c r="FJ309" s="896"/>
      <c r="FK309" s="896"/>
      <c r="FL309" s="1012" t="s">
        <v>282</v>
      </c>
      <c r="FM309" s="962"/>
      <c r="FN309" s="962"/>
      <c r="FO309" s="962"/>
      <c r="FP309" s="962"/>
      <c r="FQ309" s="962"/>
      <c r="FR309" s="962"/>
      <c r="FS309" s="962"/>
      <c r="FT309" s="962"/>
      <c r="FU309" s="962"/>
      <c r="FV309" s="962"/>
      <c r="FW309" s="962"/>
      <c r="FX309" s="962"/>
      <c r="FY309" s="962"/>
      <c r="FZ309" s="962"/>
      <c r="GA309" s="962"/>
      <c r="GB309" s="962"/>
      <c r="GC309" s="370"/>
      <c r="GD309" s="453"/>
      <c r="GE309" s="453"/>
      <c r="GF309" s="453"/>
      <c r="GG309" s="453"/>
      <c r="GH309" s="454"/>
      <c r="GI309" s="453"/>
      <c r="GJ309" s="453"/>
      <c r="GK309" s="453"/>
      <c r="GL309" s="453"/>
      <c r="GM309" s="453"/>
      <c r="GN309" s="453"/>
      <c r="GO309" s="453"/>
      <c r="GP309" s="453"/>
      <c r="GQ309" s="453"/>
      <c r="GR309" s="453"/>
      <c r="GS309" s="469" t="s">
        <v>284</v>
      </c>
      <c r="GT309" s="470" t="s">
        <v>291</v>
      </c>
      <c r="GU309" s="471" t="s">
        <v>292</v>
      </c>
      <c r="GV309" s="454"/>
      <c r="GW309" s="454"/>
      <c r="GX309" s="903" t="s">
        <v>285</v>
      </c>
      <c r="GY309" s="904"/>
      <c r="GZ309" s="903" t="s">
        <v>286</v>
      </c>
      <c r="HA309" s="904"/>
      <c r="HB309" s="454"/>
      <c r="HC309" s="903" t="s">
        <v>287</v>
      </c>
      <c r="HD309" s="904"/>
      <c r="HE309" s="903" t="s">
        <v>288</v>
      </c>
      <c r="HF309" s="904"/>
      <c r="HG309" s="454"/>
      <c r="HH309" s="903" t="s">
        <v>289</v>
      </c>
      <c r="HI309" s="904"/>
      <c r="HJ309" s="903" t="s">
        <v>293</v>
      </c>
      <c r="HK309" s="904"/>
      <c r="HL309" s="474"/>
      <c r="HM309" s="903" t="s">
        <v>284</v>
      </c>
      <c r="HN309" s="904"/>
      <c r="HO309" s="903" t="s">
        <v>291</v>
      </c>
      <c r="HP309" s="904"/>
      <c r="HQ309" s="903" t="s">
        <v>290</v>
      </c>
      <c r="HR309" s="904"/>
      <c r="HS309" s="903" t="s">
        <v>294</v>
      </c>
      <c r="HT309" s="904"/>
      <c r="HU309" s="488" t="s">
        <v>295</v>
      </c>
      <c r="HV309" s="903" t="s">
        <v>290</v>
      </c>
      <c r="HW309" s="904"/>
    </row>
    <row r="310" spans="13:231" ht="15" customHeight="1">
      <c r="M310" s="332"/>
      <c r="N310" s="332"/>
      <c r="O310" s="332"/>
      <c r="P310" s="332"/>
      <c r="Q310" s="332"/>
      <c r="R310" s="332"/>
      <c r="S310" s="332"/>
      <c r="T310" s="332"/>
      <c r="U310" s="332"/>
      <c r="V310" s="332"/>
      <c r="W310" s="332"/>
      <c r="X310" s="335"/>
      <c r="Y310" s="336"/>
      <c r="Z310" s="336"/>
      <c r="AA310" s="336"/>
      <c r="AB310" s="336"/>
      <c r="AC310" s="336"/>
      <c r="AD310" s="336"/>
      <c r="AE310" s="336"/>
      <c r="AF310" s="336"/>
      <c r="AG310" s="336"/>
      <c r="AH310" s="336"/>
      <c r="AI310" s="336"/>
      <c r="AJ310" s="336"/>
      <c r="AK310" s="336"/>
      <c r="AL310" s="336"/>
      <c r="AM310" s="336"/>
      <c r="AN310" s="336"/>
      <c r="AO310" s="336"/>
      <c r="AP310" s="336"/>
      <c r="AQ310" s="336"/>
      <c r="AR310" s="336"/>
      <c r="AS310" s="336"/>
      <c r="AT310" s="336"/>
      <c r="AU310" s="336"/>
      <c r="AV310" s="336"/>
      <c r="AW310" s="336"/>
      <c r="AX310" s="336"/>
      <c r="AY310" s="336"/>
      <c r="AZ310" s="336"/>
      <c r="BA310" s="336"/>
      <c r="BB310" s="336"/>
      <c r="BC310" s="336"/>
      <c r="BD310" s="336"/>
      <c r="BE310" s="336"/>
      <c r="BF310" s="336"/>
      <c r="BG310" s="336"/>
      <c r="BH310" s="336"/>
      <c r="BI310" s="336"/>
      <c r="BJ310" s="336"/>
      <c r="BK310" s="336"/>
      <c r="BL310" s="336"/>
      <c r="BM310" s="336"/>
      <c r="BN310" s="336"/>
      <c r="BO310" s="336"/>
      <c r="BP310" s="336"/>
      <c r="BQ310" s="336"/>
      <c r="BR310" s="336"/>
      <c r="BS310" s="336"/>
      <c r="BT310" s="336"/>
      <c r="BU310" s="336"/>
      <c r="BV310" s="336"/>
      <c r="BW310" s="336"/>
      <c r="BX310" s="336"/>
      <c r="BY310" s="336"/>
      <c r="BZ310" s="336"/>
      <c r="CA310" s="336"/>
      <c r="CB310" s="336"/>
      <c r="CC310" s="336"/>
      <c r="CD310" s="336"/>
      <c r="CE310" s="336"/>
      <c r="CF310" s="336"/>
      <c r="CG310" s="336"/>
      <c r="CH310" s="336"/>
      <c r="CI310" s="336"/>
      <c r="CJ310" s="336"/>
      <c r="CK310" s="336"/>
      <c r="CL310" s="336"/>
      <c r="CM310" s="336"/>
      <c r="CN310" s="336"/>
      <c r="CO310" s="336"/>
      <c r="CP310" s="336"/>
      <c r="CQ310" s="336"/>
      <c r="CR310" s="336"/>
      <c r="CS310" s="336"/>
      <c r="CT310" s="336"/>
      <c r="CU310" s="336"/>
      <c r="CV310" s="336"/>
      <c r="CW310" s="336"/>
      <c r="CX310" s="336"/>
      <c r="CY310" s="336"/>
      <c r="CZ310" s="336"/>
      <c r="DA310" s="336"/>
      <c r="DB310" s="336"/>
      <c r="DC310" s="336"/>
      <c r="DD310" s="336"/>
      <c r="DE310" s="336"/>
      <c r="DF310" s="336"/>
      <c r="DG310" s="336"/>
      <c r="DH310" s="336"/>
      <c r="DI310" s="336"/>
      <c r="DJ310" s="336"/>
      <c r="DK310" s="332"/>
      <c r="DL310" s="332"/>
      <c r="DM310" s="332"/>
      <c r="DN310" s="332"/>
      <c r="DO310" s="332"/>
      <c r="DP310" s="332"/>
      <c r="DQ310" s="332"/>
      <c r="DR310" s="332"/>
      <c r="DS310" s="332"/>
      <c r="DT310" s="332"/>
      <c r="DU310" s="453"/>
      <c r="DV310" s="453"/>
      <c r="DW310" s="453"/>
      <c r="DX310" s="453"/>
      <c r="DY310" s="453"/>
      <c r="DZ310" s="453"/>
      <c r="EA310" s="453"/>
      <c r="EB310" s="453"/>
      <c r="EC310" s="560">
        <f t="shared" ref="EC310:EC351" si="193">+IF(AE7 = "", "", AE7)</f>
        <v>132</v>
      </c>
      <c r="ED310" s="905">
        <f t="shared" ref="ED310:ED351" si="194">+IF(EC310 &lt;&gt; $Z$1, SUMIFS($EP$310:$EP$1507, $EO$310:$EO$1507, "CALL", $EQ$310:$EQ$1507, EC310),
SUMIFS($EP$310:$EP$1507, $EO$310:$EO$1507, "ACCION", $EQ$310:$EQ$1507, EC310))</f>
        <v>0</v>
      </c>
      <c r="EE310" s="906"/>
      <c r="EF310" s="477">
        <v>0</v>
      </c>
      <c r="EG310" s="1053">
        <f t="shared" ref="EG310:EG349" si="195">+SUMIFS($EP$310:$EP$1507, $EO$310:$EO$1507, "PUT", $EQ$310:$EQ$1507, EC310)</f>
        <v>0</v>
      </c>
      <c r="EH310" s="1053"/>
      <c r="EI310" s="479">
        <v>0</v>
      </c>
      <c r="EJ310" s="453"/>
      <c r="EK310" s="453"/>
      <c r="EL310" s="453"/>
      <c r="EM310" s="482">
        <v>1</v>
      </c>
      <c r="EN310" s="484">
        <v>44615</v>
      </c>
      <c r="EO310" s="809" t="s">
        <v>10</v>
      </c>
      <c r="EP310" s="810">
        <v>50</v>
      </c>
      <c r="EQ310" s="811">
        <v>185</v>
      </c>
      <c r="ER310" s="812">
        <v>31</v>
      </c>
      <c r="ES310" s="1031">
        <f t="shared" ref="ES310:ES315" si="196">IF(OR(EO310 = "", EP310 = 0, EP310 = "", EQ310 = 0, EQ310 = "", ER310 = 0, ER310 = ""), 0,
IF(EO310 &lt;&gt; "ACCION", EP310 * ER310 * -100,  EP310 * ER310 * -1))</f>
        <v>-155000</v>
      </c>
      <c r="ET310" s="1032"/>
      <c r="EU310" s="1033"/>
      <c r="EV310" s="1037">
        <f t="shared" ref="EV310:EV373" si="197">+IF(OR(EO310 = "", EP310 = 0, EP310 = "", EQ310 = 0, EQ310 = "", ER310 = 0, ER310 = ""), 0,
IF(EO310 &lt;&gt; "ACCION",
IF(EP310 &gt; 0, EP310 * ER310 * -100 * ( 1 + COMIS_OPCION), EP310 * ER310 * -100 * ( 1 - COMIS_OPCION)),
IF(EP310 &gt; 0, EP310 * ER310 * -1 * ( 1 + COMIS_ACCION), EP310 * ER310 * -1 * ( 1 - COMIS_ACCION))  ))</f>
        <v>-156031.52500000002</v>
      </c>
      <c r="EW310" s="1038"/>
      <c r="EX310" s="1038"/>
      <c r="EY310" s="1038"/>
      <c r="EZ310" s="1038"/>
      <c r="FA310" s="1038"/>
      <c r="FB310" s="1038"/>
      <c r="FC310" s="1038"/>
      <c r="FD310" s="1039"/>
      <c r="FE310" s="1025"/>
      <c r="FF310" s="1026"/>
      <c r="FG310" s="1026"/>
      <c r="FH310" s="1026"/>
      <c r="FI310" s="1026"/>
      <c r="FJ310" s="1026"/>
      <c r="FK310" s="1027"/>
      <c r="FL310" s="1034"/>
      <c r="FM310" s="1035"/>
      <c r="FN310" s="1035"/>
      <c r="FO310" s="1035"/>
      <c r="FP310" s="1035"/>
      <c r="FQ310" s="1035"/>
      <c r="FR310" s="1035"/>
      <c r="FS310" s="1035"/>
      <c r="FT310" s="1035"/>
      <c r="FU310" s="1035"/>
      <c r="FV310" s="1035"/>
      <c r="FW310" s="1035"/>
      <c r="FX310" s="1035"/>
      <c r="FY310" s="1035"/>
      <c r="FZ310" s="1035"/>
      <c r="GA310" s="1035"/>
      <c r="GB310" s="1036"/>
      <c r="GC310" s="370"/>
      <c r="GD310" s="453"/>
      <c r="GE310" s="453"/>
      <c r="GF310" s="453"/>
      <c r="GG310" s="453"/>
      <c r="GH310" s="454"/>
      <c r="GI310" s="453"/>
      <c r="GJ310" s="453"/>
      <c r="GK310" s="453"/>
      <c r="GL310" s="453"/>
      <c r="GM310" s="453"/>
      <c r="GN310" s="453"/>
      <c r="GO310" s="453"/>
      <c r="GP310" s="453"/>
      <c r="GQ310" s="453"/>
      <c r="GR310" s="453"/>
      <c r="GS310" s="561">
        <f t="shared" ref="GS310" si="198">+IF(OR(EQ310 = "", EQ310 = 0, ER310 = "", ER310 = 0, EP310 = "", EP310 = 0, EO310 = ""), "", EQ310)</f>
        <v>185</v>
      </c>
      <c r="GT310" s="475">
        <f t="shared" ref="GT310" si="199">+IF(GS310 = "", "", EP310)</f>
        <v>50</v>
      </c>
      <c r="GU310" s="472">
        <f t="shared" ref="GU310" si="200">+IF(GS310 = "", "", ER310)</f>
        <v>31</v>
      </c>
      <c r="GV310" s="453"/>
      <c r="GW310" s="453"/>
      <c r="GX310" s="867">
        <f t="shared" ref="GX310" si="201">+IF(GS310 = "", "", IF(OR(EO310 = "CALL", EO310 = "ACCION"), VLOOKUP(GS310, basesCantPrimaNetoRes, 2, FALSE), VLOOKUP(GS310, basesCantPrimaNetoRes, 5, FALSE)))</f>
        <v>50</v>
      </c>
      <c r="GY310" s="868"/>
      <c r="GZ310" s="867">
        <f>+IFERROR(IF(VLOOKUP(GS310, GS311:$GS$1507, 1, FALSE) = GS310, ""), 1)</f>
        <v>1</v>
      </c>
      <c r="HA310" s="868"/>
      <c r="HB310" s="473"/>
      <c r="HC310" s="869">
        <f>+IF(GS310 = "", "",
IF(HS310 = "CALL",
IF(GX310 &gt; 0,
IF(OR(GS310 = "", SUMIFS(HH311:$HH$1507, GS311:$GS$1507, GS310, GT311:$GT$1507, "&gt;0", HS311:$HS$1507, "CALL") &gt; 0, GT310 &lt; 0), "",
SUMIFS(GT310:$GT$1507, GS310:$GS$1507, GS310, GT310:$GT$1507, "&gt;0", HS310:$HS$1507, "CALL")),
IF(GX310 &lt; 0,
IF(OR(GS310 = "", SUMIFS(HH311:$HH$1507, GS311:$GS$1507, GS310, GT311:$GT$1507, "&lt;0", HS311:$HS$1507, "CALL") &gt; 0, GT310 &gt; 0), "",
SUMIFS(GT310:$GT$1507, GS310:$GS$1507, GS310, GT310:$GT$1507, "&lt;0", HS310:$HS$1507, "CALL")),
IF(GX310 = 0, 0))),
IF(HS310 = "PUT",
IF(GX310 &gt; 0,
IF(OR(GS310 = "", SUMIFS(HH311:$HH$1507, GS311:$GS$1507, GS310, GT311:$GT$1507, "&gt;0", HS311:$HS$1507, "PUT") &gt; 0, GT310 &lt; 0), "",
SUMIFS(GT310:$GT$1507, GS310:$GS$1507, GS310, GT310:$GT$1507, "&gt;0", HS310:$HS$1507, "PUT")),
IF(GX310 &lt; 0,
IF(OR(GS310 = "", SUMIFS(HH311:$HH$1507, GS311:$GS$1507, GS310, GT311:$GT$1507, "&lt;0", HS311:$HS$1507, "PUT") &gt; 0, GT310 &gt; 0), "",
SUMIFS(GT310:$GT$1507, GS310:$GS$1507, GS310, GT310:$GT$1507, "&lt;0", HS310:$HS$1507, "PUT")),
IF(GX310 = 0, 0))),
IF(HS310 = "ACCION",
IF(GX310 &gt; 0,
IF(OR(GS310 = "", SUMIFS(HH311:$HH$1507, GS311:$GS$1507, GS310, GT311:$GT$1507, "&gt;0", HS311:$HS$1507, "ACCION") &gt; 0, GT310 &lt; 0), "",
SUMIFS(GT310:$GT$1507, GS310:$GS$1507, GS310, GT310:$GT$1507, "&gt;0", HS310:$HS$1507, "ACCION")),
IF(GX310 &lt; 0,
IF(OR(GS310 = "", SUMIFS(HH311:$HH$1507, GS311:$GS$1507, GS310, GT311:$GT$1507, "&lt;0", HS311:$HS$1507, "ACCION") &gt; 0, GT310 &gt; 0), "",
SUMIFS(GT310:$GT$1507, GS310:$GS$1507, GS310, GT310:$GT$1507, "&lt;0", HS310:$HS$1507, "ACCION")),
IF(GX310 = 0, 0))))
)   ))</f>
        <v>50</v>
      </c>
      <c r="HD310" s="870"/>
      <c r="HE310" s="867">
        <f>+IF(GS310 = "", "", IF(HS310 = "CALL",
IF(GX310 &gt; 0,
IF(HC310 = "", "",
IF(HC310 &lt;= GX310, GT310,
IF(SUMIFS(GT311:$GT$1507, GS311:$GS$1507, GS310, GT311:$GT$1507, "&lt;0", HS311:$HS$1507, "CALL") = 0,
GX310 - SUMIFS(HE311:$HE$1507, GS311:$GS$1507, GS310, GT311:$GT$1507, "&gt;0", HS311:$HS$1507, "CALL"),
IF(AND(HC310 &lt;= GX310 - SUMIFS(GT311:$GT$1507, GS311:$GS$1507, GS310, GT311:$GT$1507, "&lt;0", HS311:$HS$1507, "CALL"), GT310 &gt; 0), GT310,
GX310 - SUMIFS(GT311:$GT$1507, GS311:$GS$1507, GS310, GT311:$GT$1507, "&gt;0", HS311:$HS$1507, "CALL") + SUMIFS(HE311:$HE$1507, GS311:$GS$1507, GS310, GT311:$GT$1507, "&lt;0", HS311:$HS$1507, "CALL")       ))
)),
IF(GX310 &lt; 0,
IF(HC310 = "", "",
IF(HC310 &gt;= GX310, GT310,
IF(SUMIFS(GT311:$GT$1507, GS311:$GS$1507, GS310, GT311:$GT$1507, "&gt;0", HS311:$HS$1507, "CALL") = 0,
-ABS(GX310) + ABS(SUMIFS(HE311:$HE$1507, GS311:$GS$1507, GS310, GT311:$GT$1507, "&lt;0", HS311:$HS$1507, "CALL")),
IF(AND(HC310 &gt;= GX310 - SUMIFS(GT311:$GT$1507, GS311:$GS$1507, GS310, GT311:$GT$1507, "&gt;0", HS311:$HS$1507, "CALL"), GT310 &lt; 0), GT310,
GX310 + SUMIFS(GT311:$GT$1507, GS311:$GS$1507, GS310, GT311:$GT$1507, "&lt;0", HS311:$HS$1507, "CALL") - SUMIFS(HE311:$HE$1507, GS311:$GS$1507, GS310, GT311:$GT$1507, "&gt;0", HS311:$HS$1507, "CALL")       ))
)),
IF(GX310 = 0, 0))),
IF(HS310 = "PUT",
IF(GX310 &gt; 0,
IF(HC310 = "", "",
IF(HC310 &lt;= GX310, GT310,
IF(SUMIFS(GT311:$GT$1507, GS311:$GS$1507, GS310, GT311:$GT$1507, "&lt;0", HS311:$HS$1507, "PUT") = 0,
GX310 - SUMIFS(HE311:$HE$1507, GS311:$GS$1507, GS310, GT311:$GT$1507, "&gt;0", HS311:$HS$1507, "PUT"),
IF(AND(HC310 &lt;= GX310 - SUMIFS(GT311:$GT$1507, GS311:$GS$1507, GS310, GT311:$GT$1507, "&lt;0", HS311:$HS$1507, "PUT"), GT310 &gt; 0), GT310,
GX310 - SUMIFS(GT311:$GT$1507, GS311:$GS$1507, GS310, GT311:$GT$1507, "&gt;0", HS311:$HS$1507, "PUT") + SUMIFS(HE311:$HE$1507, GS311:$GS$1507, GS310, GT311:$GT$1507, "&lt;0", HS311:$HS$1507, "PUT")       ))
)),
IF(GX310 &lt; 0,
IF(HC310 = "", "",
IF(HC310 &gt;= GX310, GT310,
IF(SUMIFS(GT311:$GT$1507, GS311:$GS$1507, GS310, GT311:$GT$1507, "&gt;0", HS311:$HS$1507, "PUT") = 0,
-ABS(GX310) + ABS(SUMIFS(HE311:$HE$1507, GS311:$GS$1507, GS310, GT311:$GT$1507, "&lt;0", HS311:$HS$1507, "PUT")),
IF(AND(HC310 &gt;= GX310 - SUMIFS(GT311:$GT$1507, GS311:$GS$1507, GS310, GT311:$GT$1507, "&gt;0", HS311:$HS$1507, "PUT"), GT310 &lt; 0), GT310,
GX310 + SUMIFS(GT311:$GT$1507, GS311:$GS$1507, GS310, GT311:$GT$1507, "&lt;0", HS311:$HS$1507, "PUT") - SUMIFS(HE311:$HE$1507, GS311:$GS$1507, GS310, GT311:$GT$1507, "&gt;0", HS311:$HS$1507, "PUT")       ))
)),
IF(GX310 = 0, 0))),
IF(HS310 = "ACCION",
IF(GX310 &gt; 0,
IF(HC310 = "", "",
IF(HC310 &lt;= GX310, GT310,
IF(SUMIFS(GT311:$GT$1507, GS311:$GS$1507, GS310, GT311:$GT$1507, "&lt;0", HS311:$HS$1507, "ACCION") = 0,
GX310 - SUMIFS(HE311:$HE$1507, GS311:$GS$1507, GS310, GT311:$GT$1507, "&gt;0", HS311:$HS$1507, "ACCION"),
IF(AND(HC310 &lt;= GX310 - SUMIFS(GT311:$GT$1507, GS311:$GS$1507, GS310, GT311:$GT$1507, "&lt;0", HS311:$HS$1507, "ACCION"), GT310 &gt; 0), GT310,
GX310 - SUMIFS(GT311:$GT$1507, GS311:$GS$1507, GS310, GT311:$GT$1507, "&gt;0", HS311:$HS$1507, "ACCION") + SUMIFS(HE311:$HE$1507, GS311:$GS$1507, GS310, GT311:$GT$1507, "&lt;0", HS311:$HS$1507, "ACCION")       ))
)),
IF(GX310 &lt; 0,
IF(HC310 = "", "",
IF(HC310 &gt;= GX310, GT310,
IF(SUMIFS(GT311:$GT$1507, GS311:$GS$1507, GS310, GT311:$GT$1507, "&gt;0", HS311:$HS$1507, "ACCION") = 0,
-ABS(GX310) + ABS(SUMIFS(HE311:$HE$1507, GS311:$GS$1507, GS310, GT311:$GT$1507, "&lt;0", HS311:$HS$1507, "ACCION")),
IF(AND(HC310 &gt;= GX310 - SUMIFS(GT311:$GT$1507, GS311:$GS$1507, GS310, GT311:$GT$1507, "&gt;0", HS311:$HS$1507, "ACCION"), GT310 &lt; 0), GT310,
GX310 + SUMIFS(GT311:$GT$1507, GS311:$GS$1507, GS310, GT311:$GT$1507, "&lt;0", HS311:$HS$1507, "ACCION") - SUMIFS(HE311:$HE$1507, GS311:$GS$1507, GS310, GT311:$GT$1507, "&gt;0", HS311:$HS$1507, "ACCION")       ))
)),
IF(GX310 = 0, 0))))   ))           )</f>
        <v>50</v>
      </c>
      <c r="HF310" s="868"/>
      <c r="HG310" s="473"/>
      <c r="HH310" s="867">
        <f>+IF(GS310 = "", "", IF(HS310 = "CALL",
IF(GX310 &gt; 0,
IF(OR(GS310 = "", SUMIFS(HH311:$HH$1507, GS311:$GS$1507, GS310, GT311:$GT$1507, "&gt;0", HS311:$HS$1507, "CALL") &gt;0), "",
IF(SUMIFS(GT310:$GT$1507, GS310:$GS$1507, GS310, GT310:$GT$1507, "&gt;0", HS310:$HS$1507, "CALL") &gt;= (GX310 - SUMIFS(GT311:$GT$1507, GS311:$GS$1507, GS310, GT311:$GT$1507, "&lt;0", HS311:$HS$1507, "CALL")), 1, "")),
IF(GX310 &lt; 0,
IF(OR(GS310 = "", SUMIFS(HH311:$HH$1507, GS311:$GS$1507, GS310, GT311:$GT$1507, "&lt;0", HS311:$HS$1507, "CALL") &gt;0), "",
IF(SUMIFS(GT310:$GT$1507, GS310:$GS$1507, GS310, GT310:$GT$1507, "&lt;0", HS310:$HS$1507, "CALL") &lt;= (GX310 - SUMIFS(GT311:$GT$1507, GS311:$GS$1507, GS310, GT311:$GT$1507, "&gt;0", HS311:$HS$1507, "CALL")), 1, "")),
IF(GX310 = 0, ""))),
IF(HS310 = "PUT",
IF(GX310 &gt; 0,
IF(OR(GS310 = "", SUMIFS(HH311:$HH$1507, GS311:$GS$1507, GS310, GT311:$GT$1507, "&gt;0", HS311:$HS$1507, "PUT") &gt;0), "",
IF(SUMIFS(GT310:$GT$1507, GS310:$GS$1507, GS310, GT310:$GT$1507, "&gt;0", HS310:$HS$1507, "PUT") &gt;= (GX310 - SUMIFS(GT311:$GT$1507, GS311:$GS$1507, GS310, GT311:$GT$1507, "&lt;0", HS311:$HS$1507, "PUT")), 1, "")),
IF(GX310 &lt; 0,
IF(OR(GS310 = "", SUMIFS(HH311:$HH$1507, GS311:$GS$1507, GS310, GT311:$GT$1507, "&lt;0", HS311:$HS$1507, "PUT") &gt;0), "",
IF(SUMIFS(GT310:$GT$1507, GS310:$GS$1507, GS310, GT310:$GT$1507, "&lt;0", HS310:$HS$1507, "PUT") &lt;= (GX310 - SUMIFS(GT311:$GT$1507, GS311:$GS$1507, GS310, GT311:$GT$1507, "&gt;0", HS311:$HS$1507, "PUT")), 1, "")),
IF(GX310 = 0, ""))),
IF(HS310 = "ACCION",
IF(GX310 &gt; 0,
IF(OR(GS310 = "", SUMIFS(HH311:$HH$1507, GS311:$GS$1507, GS310, GT311:$GT$1507, "&gt;0", HS311:$HS$1507, "ACCION") &gt;0), "",
IF(SUMIFS(GT310:$GT$1507, GS310:$GS$1507, GS310, GT310:$GT$1507, "&gt;0", HS310:$HS$1507, "ACCION") &gt;= (GX310 - SUMIFS(GT311:$GT$1507, GS311:$GS$1507, GS310, GT311:$GT$1507, "&lt;0", HS311:$HS$1507, "ACCION")), 1, "")),
IF(GX310 &lt; 0,
IF(OR(GS310 = "", SUMIFS(HH311:$HH$1507, GS311:$GS$1507, GS310, GT311:$GT$1507, "&lt;0", HS311:$HS$1507, "ACCION") &gt;0), "",
IF(SUMIFS(GT310:$GT$1507, GS310:$GS$1507, GS310, GT310:$GT$1507, "&lt;0", HS310:$HS$1507, "ACCION") &lt;= (GX310 - SUMIFS(GT311:$GT$1507, GS311:$GS$1507, GS310, GT311:$GT$1507, "&gt;0", HS311:$HS$1507, "ACCION")), 1, "")),
IF(GX310 = 0, ""))))
)))</f>
        <v>1</v>
      </c>
      <c r="HI310" s="868"/>
      <c r="HJ310" s="867">
        <f>+IF(HC310 = "", "", IF(HS310 = "CALL",
IF(GX310 &gt; 0,
SUMIFS(EV311:$EV$1507, GS311:$GS$1507, GS310, GT311:$GT$1507, "&gt;0", HS311:$HS$1507, "CALL") + (SUMIFS(EV310, GS310, GS310, GT310, "&gt;0", HS310, "CALL") / GT310 * HE310),
IF(GX310 &lt; 0,
SUMIFS(EV311:$EV$1507, GS311:$GS$1507, GS310, GT311:$GT$1507, "&lt;0", HS311:$HS$1507, "CALL") + (SUMIFS(EV310, GS310, GS310, GT310, "&lt;0", HS310, "CALL") / GT310 * HE310),
IF(GX310 = 0, 0))),
IF(HS310 = "PUT",
IF(GX310 &gt; 0,
SUMIFS(EV311:$EV$1507, GS311:$GS$1507, GS310, GT311:$GT$1507, "&gt;0", HS311:$HS$1507, "PUT") + (SUMIFS(EV310, GS310, GS310, GT310, "&gt;0", HS310, "PUT") / GT310 * HE310),
IF(GX310 &lt; 0,
SUMIFS(EV311:$EV$1507, GS311:$GS$1507, GS310, GT311:$GT$1507, "&lt;0", HS311:$HS$1507, "PUT") + (SUMIFS(EV310, GS310, GS310, GT310, "&lt;0", HS310, "PUT") / GT310 * HE310),
IF(GX310 = 0, 0))),
IF(HS310 = "ACCION",
IF(GX310 &gt; 0,
SUMIFS(EV311:$EV$1507, GS311:$GS$1507, GS310, GT311:$GT$1507, "&gt;0", HS311:$HS$1507, "ACCION") + (SUMIFS(EV310, GS310, GS310, GT310, "&gt;0", HS310, "ACCION") / GT310 * HE310),
IF(GX310 &lt; 0,
SUMIFS(EV311:$EV$1507, GS311:$GS$1507, GS310, GT311:$GT$1507, "&lt;0", HS311:$HS$1507, "ACCION") + (SUMIFS(EV310, GS310, GS310, GT310, "&lt;0", HS310, "ACCION") / GT310 * HE310),
IF(GX310 = 0, 0))))  )))</f>
        <v>-156031.52500000002</v>
      </c>
      <c r="HK310" s="868"/>
      <c r="HL310" s="370"/>
      <c r="HM310" s="865">
        <f t="shared" ref="HM310" si="202">+IF(HH310 = 1, GS310, "")</f>
        <v>185</v>
      </c>
      <c r="HN310" s="866"/>
      <c r="HO310" s="865">
        <f t="shared" ref="HO310" si="203">+IF(HH310 = 1, GT310, "")</f>
        <v>50</v>
      </c>
      <c r="HP310" s="866"/>
      <c r="HQ310" s="865">
        <f>+IF(HC310 = "", "", IF(HH310 = 1, IF(HS310 = "CALL",
IF(GX310 &gt; 0,
IF(SUMIFS(GT311:$GT$1507, GS311:$GS$1507, GS310, GT311:$GT$1507, "&lt;0", HS311:$HS$1507, "CALL") &lt;&gt; 0,
IFERROR(ABS(HJ310 / SUMIFS(HE310:$HE$1507, GS310:$GS$1507, GS310, GT310:$GT$1507, "&gt;0", HS310:$HS$1507, "CALL") / 100), 0),
IFERROR(ABS(HJ310 / GX310 / 100), 0)  ),
IF(GX310 &lt; 0,
IF(SUMIFS(GT311:$GT$1507, GS311:$GS$1507, GS310, GT311:$GT$1507, "&gt;0", HS311:$HS$1507, "CALL") &lt;&gt; 0,
IFERROR(ABS(HJ310 / SUMIFS(HE310:$HE$1507, GS310:$GS$1507, GS310, GT310:$GT$1507, "&lt;0", HS310:$HS$1507, "CALL") / 100), 0),
IFERROR(ABS(HJ310 / GX310 / 100), 0)  ),
IF(GX310 = 0, 0))    ),
IF(HS310 = "PUT",
IF(GX310 &gt; 0,
IF(SUMIFS(GT311:$GT$1507, GS311:$GS$1507, GS310, GT311:$GT$1507, "&lt;0", HS311:$HS$1507, "PUT") &lt;&gt; 0,
IFERROR(ABS(HJ310 / SUMIFS(HE310:$HE$1507, GS310:$GS$1507, GS310, GT310:$GT$1507, "&gt;0", HS310:$HS$1507, "PUT") / 100), 0),
IFERROR(ABS(HJ310 / GX310 / 100), 0)  ),
IF(GX310 &lt; 0,
IF(SUMIFS(GT311:$GT$1507, GS311:$GS$1507, GS310, GT311:$GT$1507, "&gt;0", HS311:$HS$1507, "PUT") &lt;&gt; 0,
IFERROR(ABS(HJ310 / SUMIFS(HE310:$HE$1507, GS310:$GS$1507, GS310, GT310:$GT$1507, "&lt;0", HS310:$HS$1507, "PUT") / 100), 0),
IFERROR(ABS(HJ310 / GX310 / 100), 0)  ),
IF(GX310 = 0, 0))),
IF(HS310 = "ACCION",
IF(GX310 &gt; 0,
IF(SUMIFS(GT311:$GT$1507, GS311:$GS$1507, GS310, GT311:$GT$1507, "&lt;0", HS311:$HS$1507, "ACCION") &lt;&gt; 0,
IFERROR(ABS(HJ310 / SUMIFS(HE310:$HE$1507, GS310:$GS$1507, GS310, GT310:$GT$1507, "&gt;0", HS310:$HS$1507, "ACCION") / 1), 0),
IFERROR(ABS(HJ310 / GX310 / 1), 0)  ),
IF(GX310 &lt; 0,
IF(SUMIFS(GT311:$GT$1507, GS311:$GS$1507, GS310, GT311:$GT$1507, "&gt;0", HS311:$HS$1507, "ACCION") &lt;&gt; 0,
IFERROR(ABS(HJ310 / SUMIFS(HE310:$HE$1507, GS310:$GS$1507, GS310, GT310:$GT$1507, "&lt;0", HS310:$HS$1507, "ACCION") / 1), 0),
IFERROR(ABS(HJ310 / GX310 / 1), 0)  ),
IF(GX310 = 0, 0))))    )),
 ""))</f>
        <v>31.206305000000008</v>
      </c>
      <c r="HR310" s="866"/>
      <c r="HS310" s="867" t="str">
        <f t="shared" ref="HS310" si="204">+IF(GS310 = "", "", EO310)</f>
        <v>CALL</v>
      </c>
      <c r="HT310" s="868"/>
      <c r="HU310" s="489">
        <f>+IF(HC310 = "", "", IF(HS310 = "CALL",
IF(GX310 &gt; 0,
SUMIFS(ES311:$ES$1507, GS311:$GS$1507, GS310, GT311:$GT$1507, "&gt;0", HS311:$HS$1507, "CALL") + (SUMIFS(ES310, GS310, GS310, GT310, "&gt;0", HS310, "CALL") / GT310 * HE310),
IF(GX310 &lt; 0,
SUMIFS(ES311:$ES$1507, GS311:$GS$1507, GS310, GT311:$GT$1507, "&lt;0", HS311:$HS$1507, "CALL") + (SUMIFS(ES310, GS310, GS310, GT310, "&lt;0", HS310, "CALL") / GT310 * HE310),
IF(GX310 = 0, ""))),
IF(HS310 = "PUT",
IF(GX310 &gt; 0,
SUMIFS(ES311:$ES$1507, GS311:$GS$1507, GS310, GT311:$GT$1507, "&gt;0", HS311:$HS$1507, "PUT") + (SUMIFS(ES310, GS310, GS310, GT310, "&gt;0", HS310, "PUT") / GT310 * HE310),
IF(GX310 &lt; 0,
SUMIFS(ES311:$ES$1507, GS311:$GS$1507, GS310, GT311:$GT$1507, "&lt;0", HS311:$HS$1507, "PUT") + (SUMIFS(ES310, GS310, GS310, GT310, "&lt;0", HS310, "PUT") / GT310 * HE310),
IF(GX310 = 0, ""))),
IF(HS310 = "ACCION",
IF(GX310 &gt; 0,
SUMIFS(ES311:$ES$1507, GS311:$GS$1507, GS310, GT311:$GT$1507, "&gt;0", HS311:$HS$1507, "ACCION") + (SUMIFS(ES310, GS310, GS310, GT310, "&gt;0", HS310, "ACCION") / GT310 * HE310),
IF(GX310 &lt; 0,
SUMIFS(ES311:$ES$1507, GS311:$GS$1507, GS310, GT311:$GT$1507, "&lt;0", HS311:$HS$1507, "ACCION") + (SUMIFS(ES310, GS310, GS310, GT310, "&lt;0", HS310, "ACCION") / GT310 * HE310),
IF(GX310 = 0, ""))))  )))</f>
        <v>-155000</v>
      </c>
      <c r="HV310" s="865">
        <f>+IF(HC310 = "", "", IF(HH310 = 1, IF(HS310 = "CALL",
IF(GX310 &gt; 0,
IF(SUMIFS(GT311:$GT$1507, GS311:$GS$1507, GS310, GT311:$GT$1507, "&lt;0", HS311:$HS$1507, "CALL") &lt;&gt; 0,
IFERROR(ABS(HU310 / SUMIFS(HE310:$HE$1507, GS310:$GS$1507, GS310, GT310:$GT$1507, "&gt;0", HS310:$HS$1507, "CALL") / 100), 0),
IFERROR(ABS(HU310 / GX310 / 100), 0)  ),
IF(GX310 &lt; 0,
IF(SUMIFS(GT311:$GT$1507, GS311:$GS$1507, GS310, GT311:$GT$1507, "&gt;0", HS311:$HS$1507, "CALL") &lt;&gt; 0,
IFERROR(ABS(HU310 / SUMIFS(HE310:$HE$1507, GS310:$GS$1507, GS310, GT310:$GT$1507, "&lt;0", HS310:$HS$1507, "CALL") / 100), 0),
IFERROR(ABS(HU310 / GX310 / 100), 0)  ),
IF(GX310 = 0, 0))    ),
IF(HS310 = "PUT",
IF(GX310 &gt; 0,
IF(SUMIFS(GT311:$GT$1507, GS311:$GS$1507, GS310, GT311:$GT$1507, "&lt;0", HS311:$HS$1507, "PUT") &lt;&gt; 0,
IFERROR(ABS(HU310 / SUMIFS(HE310:$HE$1507, GS310:$GS$1507, GS310, GT310:$GT$1507, "&gt;0", HS310:$HS$1507, "PUT") / 100), 0),
IFERROR(ABS(HU310 / GX310 / 100), 0)  ),
IF(GX310 &lt; 0,
IF(SUMIFS(GT311:$GT$1507, GS311:$GS$1507, GS310, GT311:$GT$1507, "&gt;0", HS311:$HS$1507, "PUT") &lt;&gt; 0,
IFERROR(ABS(HU310 / SUMIFS(HE310:$HE$1507, GS310:$GS$1507, GS310, GT310:$GT$1507, "&lt;0", HS310:$HS$1507, "PUT") / 100), 0),
IFERROR(ABS(HU310 / GX310 / 100), 0)  ),
IF(GX310 = 0, 0))),
IF(HS310 = "ACCION",
IF(GX310 &gt; 0,
IF(SUMIFS(GT311:$GT$1507, GS311:$GS$1507, GS310, GT311:$GT$1507, "&lt;0", HS311:$HS$1507, "ACCION") &lt;&gt; 0,
IFERROR(ABS(HU310 / SUMIFS(HE310:$HE$1507, GS310:$GS$1507, GS310, GT310:$GT$1507, "&gt;0", HS310:$HS$1507, "ACCION") / 1), 0),
IFERROR(ABS(HU310 / GX310 / 1), 0)  ),
IF(GX310 &lt; 0,
IF(SUMIFS(GT311:$GT$1507, GS311:$GS$1507, GS310, GT311:$GT$1507, "&gt;0", HS311:$HS$1507, "ACCION") &lt;&gt; 0,
IFERROR(ABS(HU310 / SUMIFS(HE310:$HE$1507, GS310:$GS$1507, GS310, GT310:$GT$1507, "&lt;0", HS310:$HS$1507, "ACCION") / 1), 0),
IFERROR(ABS(HU310 / GX310 / 1), 0)  ),
IF(GX310 = 0, 0))))      )),
 ""))</f>
        <v>31</v>
      </c>
      <c r="HW310" s="866"/>
    </row>
    <row r="311" spans="13:231" ht="15" customHeight="1">
      <c r="M311" s="332"/>
      <c r="N311" s="332"/>
      <c r="O311" s="332"/>
      <c r="P311" s="332"/>
      <c r="Q311" s="332"/>
      <c r="R311" s="332"/>
      <c r="S311" s="332"/>
      <c r="T311" s="332"/>
      <c r="U311" s="332"/>
      <c r="V311" s="332"/>
      <c r="W311" s="332"/>
      <c r="X311" s="335"/>
      <c r="Y311" s="336"/>
      <c r="Z311" s="336"/>
      <c r="AA311" s="336"/>
      <c r="AB311" s="336"/>
      <c r="AC311" s="336"/>
      <c r="AD311" s="336"/>
      <c r="AE311" s="336"/>
      <c r="AF311" s="336"/>
      <c r="AG311" s="336"/>
      <c r="AH311" s="336"/>
      <c r="AI311" s="336"/>
      <c r="AJ311" s="336"/>
      <c r="AK311" s="336"/>
      <c r="AL311" s="336"/>
      <c r="AM311" s="336"/>
      <c r="AN311" s="336"/>
      <c r="AO311" s="336"/>
      <c r="AP311" s="336"/>
      <c r="AQ311" s="336"/>
      <c r="AR311" s="336"/>
      <c r="AS311" s="336"/>
      <c r="AT311" s="336"/>
      <c r="AU311" s="336"/>
      <c r="AV311" s="336"/>
      <c r="AW311" s="336"/>
      <c r="AX311" s="336"/>
      <c r="AY311" s="336"/>
      <c r="AZ311" s="336"/>
      <c r="BA311" s="336"/>
      <c r="BB311" s="336"/>
      <c r="BC311" s="336"/>
      <c r="BD311" s="336"/>
      <c r="BE311" s="336"/>
      <c r="BF311" s="336"/>
      <c r="BG311" s="336"/>
      <c r="BH311" s="336"/>
      <c r="BI311" s="336"/>
      <c r="BJ311" s="336"/>
      <c r="BK311" s="336"/>
      <c r="BL311" s="336"/>
      <c r="BM311" s="336"/>
      <c r="BN311" s="336"/>
      <c r="BO311" s="336"/>
      <c r="BP311" s="336"/>
      <c r="BQ311" s="336"/>
      <c r="BR311" s="336"/>
      <c r="BS311" s="336"/>
      <c r="BT311" s="336"/>
      <c r="BU311" s="336"/>
      <c r="BV311" s="336"/>
      <c r="BW311" s="336"/>
      <c r="BX311" s="336"/>
      <c r="BY311" s="336"/>
      <c r="BZ311" s="336"/>
      <c r="CA311" s="336"/>
      <c r="CB311" s="336"/>
      <c r="CC311" s="336"/>
      <c r="CD311" s="336"/>
      <c r="CE311" s="336"/>
      <c r="CF311" s="336"/>
      <c r="CG311" s="336"/>
      <c r="CH311" s="336"/>
      <c r="CI311" s="336"/>
      <c r="CJ311" s="336"/>
      <c r="CK311" s="336"/>
      <c r="CL311" s="336"/>
      <c r="CM311" s="336"/>
      <c r="CN311" s="336"/>
      <c r="CO311" s="336"/>
      <c r="CP311" s="336"/>
      <c r="CQ311" s="336"/>
      <c r="CR311" s="336"/>
      <c r="CS311" s="336"/>
      <c r="CT311" s="336"/>
      <c r="CU311" s="336"/>
      <c r="CV311" s="336"/>
      <c r="CW311" s="336"/>
      <c r="CX311" s="336"/>
      <c r="CY311" s="336"/>
      <c r="CZ311" s="336"/>
      <c r="DA311" s="336"/>
      <c r="DB311" s="336"/>
      <c r="DC311" s="336"/>
      <c r="DD311" s="336"/>
      <c r="DE311" s="336"/>
      <c r="DF311" s="336"/>
      <c r="DG311" s="336"/>
      <c r="DH311" s="336"/>
      <c r="DI311" s="336"/>
      <c r="DJ311" s="336"/>
      <c r="DK311" s="332"/>
      <c r="DL311" s="332"/>
      <c r="DM311" s="332"/>
      <c r="DN311" s="332"/>
      <c r="DO311" s="332"/>
      <c r="DP311" s="332"/>
      <c r="DQ311" s="332"/>
      <c r="DR311" s="332"/>
      <c r="DS311" s="332"/>
      <c r="DT311" s="332"/>
      <c r="DU311" s="453"/>
      <c r="DV311" s="453"/>
      <c r="DW311" s="453"/>
      <c r="DX311" s="453"/>
      <c r="DY311" s="453"/>
      <c r="DZ311" s="453"/>
      <c r="EA311" s="453"/>
      <c r="EB311" s="453"/>
      <c r="EC311" s="559">
        <f t="shared" si="193"/>
        <v>135</v>
      </c>
      <c r="ED311" s="889">
        <f t="shared" si="194"/>
        <v>0</v>
      </c>
      <c r="EE311" s="890"/>
      <c r="EF311" s="476">
        <v>0</v>
      </c>
      <c r="EG311" s="893">
        <f t="shared" si="195"/>
        <v>0</v>
      </c>
      <c r="EH311" s="893"/>
      <c r="EI311" s="480">
        <v>0</v>
      </c>
      <c r="EJ311" s="453"/>
      <c r="EK311" s="453"/>
      <c r="EL311" s="453"/>
      <c r="EM311" s="483">
        <f>+EM310+1</f>
        <v>2</v>
      </c>
      <c r="EN311" s="485"/>
      <c r="EO311" s="804" t="s">
        <v>10</v>
      </c>
      <c r="EP311" s="805">
        <v>-50</v>
      </c>
      <c r="EQ311" s="806">
        <v>210</v>
      </c>
      <c r="ER311" s="808">
        <v>19.399999999999999</v>
      </c>
      <c r="ES311" s="881">
        <f t="shared" si="196"/>
        <v>96999.999999999985</v>
      </c>
      <c r="ET311" s="882"/>
      <c r="EU311" s="883"/>
      <c r="EV311" s="884">
        <f t="shared" si="197"/>
        <v>96354.464999999982</v>
      </c>
      <c r="EW311" s="885"/>
      <c r="EX311" s="885"/>
      <c r="EY311" s="885"/>
      <c r="EZ311" s="885"/>
      <c r="FA311" s="885"/>
      <c r="FB311" s="885"/>
      <c r="FC311" s="885"/>
      <c r="FD311" s="886"/>
      <c r="FE311" s="877"/>
      <c r="FF311" s="877"/>
      <c r="FG311" s="877"/>
      <c r="FH311" s="877"/>
      <c r="FI311" s="877"/>
      <c r="FJ311" s="877"/>
      <c r="FK311" s="877"/>
      <c r="FL311" s="1028"/>
      <c r="FM311" s="1029"/>
      <c r="FN311" s="1029"/>
      <c r="FO311" s="1029"/>
      <c r="FP311" s="1029"/>
      <c r="FQ311" s="1029"/>
      <c r="FR311" s="1029"/>
      <c r="FS311" s="1029"/>
      <c r="FT311" s="1029"/>
      <c r="FU311" s="1029"/>
      <c r="FV311" s="1029"/>
      <c r="FW311" s="1029"/>
      <c r="FX311" s="1029"/>
      <c r="FY311" s="1029"/>
      <c r="FZ311" s="1029"/>
      <c r="GA311" s="1029"/>
      <c r="GB311" s="1030"/>
      <c r="GC311" s="370"/>
      <c r="GD311" s="453"/>
      <c r="GE311" s="453"/>
      <c r="GF311" s="453"/>
      <c r="GG311" s="453"/>
      <c r="GH311" s="454"/>
      <c r="GI311" s="453"/>
      <c r="GJ311" s="453"/>
      <c r="GK311" s="453"/>
      <c r="GL311" s="453"/>
      <c r="GM311" s="453"/>
      <c r="GN311" s="453"/>
      <c r="GO311" s="453"/>
      <c r="GP311" s="453"/>
      <c r="GQ311" s="453"/>
      <c r="GR311" s="453"/>
      <c r="GS311" s="561"/>
      <c r="GT311" s="475"/>
      <c r="GU311" s="472"/>
      <c r="GV311" s="453"/>
      <c r="GW311" s="453"/>
      <c r="GX311" s="869"/>
      <c r="GY311" s="870"/>
      <c r="GZ311" s="867"/>
      <c r="HA311" s="868"/>
      <c r="HB311" s="473"/>
      <c r="HC311" s="869"/>
      <c r="HD311" s="870"/>
      <c r="HE311" s="867"/>
      <c r="HF311" s="868"/>
      <c r="HG311" s="473"/>
      <c r="HH311" s="867"/>
      <c r="HI311" s="868"/>
      <c r="HJ311" s="867"/>
      <c r="HK311" s="868"/>
      <c r="HL311" s="370"/>
      <c r="HM311" s="865"/>
      <c r="HN311" s="866"/>
      <c r="HO311" s="865"/>
      <c r="HP311" s="866"/>
      <c r="HQ311" s="865"/>
      <c r="HR311" s="866"/>
      <c r="HS311" s="867"/>
      <c r="HT311" s="868"/>
      <c r="HU311" s="489"/>
      <c r="HV311" s="865"/>
      <c r="HW311" s="866"/>
    </row>
    <row r="312" spans="13:231" ht="15" customHeight="1">
      <c r="M312" s="332"/>
      <c r="N312" s="332"/>
      <c r="O312" s="332"/>
      <c r="P312" s="332"/>
      <c r="Q312" s="332"/>
      <c r="R312" s="332"/>
      <c r="S312" s="332"/>
      <c r="T312" s="332"/>
      <c r="U312" s="332"/>
      <c r="V312" s="332"/>
      <c r="W312" s="332"/>
      <c r="X312" s="335"/>
      <c r="Y312" s="336"/>
      <c r="Z312" s="336"/>
      <c r="AA312" s="336"/>
      <c r="AB312" s="336"/>
      <c r="AC312" s="336"/>
      <c r="AD312" s="336"/>
      <c r="AE312" s="336"/>
      <c r="AF312" s="336"/>
      <c r="AG312" s="336"/>
      <c r="AH312" s="336"/>
      <c r="AI312" s="336"/>
      <c r="AJ312" s="336"/>
      <c r="AK312" s="336"/>
      <c r="AL312" s="336"/>
      <c r="AM312" s="336"/>
      <c r="AN312" s="336"/>
      <c r="AO312" s="336"/>
      <c r="AP312" s="336"/>
      <c r="AQ312" s="336"/>
      <c r="AR312" s="336"/>
      <c r="AS312" s="336"/>
      <c r="AT312" s="336"/>
      <c r="AU312" s="336"/>
      <c r="AV312" s="336"/>
      <c r="AW312" s="336"/>
      <c r="AX312" s="336"/>
      <c r="AY312" s="336"/>
      <c r="AZ312" s="336"/>
      <c r="BA312" s="336"/>
      <c r="BB312" s="336"/>
      <c r="BC312" s="336"/>
      <c r="BD312" s="336"/>
      <c r="BE312" s="336"/>
      <c r="BF312" s="336"/>
      <c r="BG312" s="336"/>
      <c r="BH312" s="336"/>
      <c r="BI312" s="336"/>
      <c r="BJ312" s="336"/>
      <c r="BK312" s="336"/>
      <c r="BL312" s="336"/>
      <c r="BM312" s="336"/>
      <c r="BN312" s="336"/>
      <c r="BO312" s="336"/>
      <c r="BP312" s="336"/>
      <c r="BQ312" s="336"/>
      <c r="BR312" s="336"/>
      <c r="BS312" s="336"/>
      <c r="BT312" s="336"/>
      <c r="BU312" s="336"/>
      <c r="BV312" s="336"/>
      <c r="BW312" s="336"/>
      <c r="BX312" s="336"/>
      <c r="BY312" s="336"/>
      <c r="BZ312" s="336"/>
      <c r="CA312" s="336"/>
      <c r="CB312" s="336"/>
      <c r="CC312" s="336"/>
      <c r="CD312" s="336"/>
      <c r="CE312" s="336"/>
      <c r="CF312" s="336"/>
      <c r="CG312" s="336"/>
      <c r="CH312" s="336"/>
      <c r="CI312" s="336"/>
      <c r="CJ312" s="336"/>
      <c r="CK312" s="336"/>
      <c r="CL312" s="336"/>
      <c r="CM312" s="336"/>
      <c r="CN312" s="336"/>
      <c r="CO312" s="336"/>
      <c r="CP312" s="336"/>
      <c r="CQ312" s="336"/>
      <c r="CR312" s="336"/>
      <c r="CS312" s="336"/>
      <c r="CT312" s="336"/>
      <c r="CU312" s="336"/>
      <c r="CV312" s="336"/>
      <c r="CW312" s="336"/>
      <c r="CX312" s="336"/>
      <c r="CY312" s="336"/>
      <c r="CZ312" s="336"/>
      <c r="DA312" s="336"/>
      <c r="DB312" s="336"/>
      <c r="DC312" s="336"/>
      <c r="DD312" s="336"/>
      <c r="DE312" s="336"/>
      <c r="DF312" s="336"/>
      <c r="DG312" s="336"/>
      <c r="DH312" s="336"/>
      <c r="DI312" s="336"/>
      <c r="DJ312" s="336"/>
      <c r="DK312" s="332"/>
      <c r="DL312" s="332"/>
      <c r="DM312" s="332"/>
      <c r="DN312" s="332"/>
      <c r="DO312" s="332"/>
      <c r="DP312" s="332"/>
      <c r="DQ312" s="332"/>
      <c r="DR312" s="332"/>
      <c r="DS312" s="332"/>
      <c r="DT312" s="332"/>
      <c r="DU312" s="453"/>
      <c r="DV312" s="453"/>
      <c r="DW312" s="453"/>
      <c r="DX312" s="453"/>
      <c r="DY312" s="453"/>
      <c r="DZ312" s="453"/>
      <c r="EA312" s="453"/>
      <c r="EB312" s="453"/>
      <c r="EC312" s="559">
        <f t="shared" si="193"/>
        <v>140</v>
      </c>
      <c r="ED312" s="889">
        <f t="shared" si="194"/>
        <v>0</v>
      </c>
      <c r="EE312" s="890"/>
      <c r="EF312" s="476">
        <v>0</v>
      </c>
      <c r="EG312" s="893">
        <f t="shared" si="195"/>
        <v>0</v>
      </c>
      <c r="EH312" s="893"/>
      <c r="EI312" s="480">
        <v>0</v>
      </c>
      <c r="EJ312" s="453"/>
      <c r="EK312" s="453"/>
      <c r="EL312" s="453"/>
      <c r="EM312" s="483">
        <f t="shared" ref="EM312:EM375" si="205">+EM311+1</f>
        <v>3</v>
      </c>
      <c r="EN312" s="485"/>
      <c r="EO312" s="804" t="s">
        <v>10</v>
      </c>
      <c r="EP312" s="805">
        <v>-25</v>
      </c>
      <c r="EQ312" s="806">
        <v>250</v>
      </c>
      <c r="ER312" s="808">
        <v>5.3</v>
      </c>
      <c r="ES312" s="881">
        <f t="shared" si="196"/>
        <v>13250</v>
      </c>
      <c r="ET312" s="882"/>
      <c r="EU312" s="883"/>
      <c r="EV312" s="884">
        <f t="shared" si="197"/>
        <v>13161.821250000001</v>
      </c>
      <c r="EW312" s="885"/>
      <c r="EX312" s="885"/>
      <c r="EY312" s="885"/>
      <c r="EZ312" s="885"/>
      <c r="FA312" s="885"/>
      <c r="FB312" s="885"/>
      <c r="FC312" s="885"/>
      <c r="FD312" s="886"/>
      <c r="FE312" s="877"/>
      <c r="FF312" s="877"/>
      <c r="FG312" s="877"/>
      <c r="FH312" s="877"/>
      <c r="FI312" s="877"/>
      <c r="FJ312" s="877"/>
      <c r="FK312" s="877"/>
      <c r="FL312" s="1028"/>
      <c r="FM312" s="1029"/>
      <c r="FN312" s="1029"/>
      <c r="FO312" s="1029"/>
      <c r="FP312" s="1029"/>
      <c r="FQ312" s="1029"/>
      <c r="FR312" s="1029"/>
      <c r="FS312" s="1029"/>
      <c r="FT312" s="1029"/>
      <c r="FU312" s="1029"/>
      <c r="FV312" s="1029"/>
      <c r="FW312" s="1029"/>
      <c r="FX312" s="1029"/>
      <c r="FY312" s="1029"/>
      <c r="FZ312" s="1029"/>
      <c r="GA312" s="1029"/>
      <c r="GB312" s="1030"/>
      <c r="GC312" s="370"/>
      <c r="GD312" s="453"/>
      <c r="GE312" s="453"/>
      <c r="GF312" s="453"/>
      <c r="GG312" s="453"/>
      <c r="GH312" s="454"/>
      <c r="GI312" s="453"/>
      <c r="GJ312" s="453"/>
      <c r="GK312" s="453"/>
      <c r="GL312" s="453"/>
      <c r="GM312" s="453"/>
      <c r="GN312" s="453"/>
      <c r="GO312" s="453"/>
      <c r="GP312" s="453"/>
      <c r="GQ312" s="453"/>
      <c r="GR312" s="453"/>
      <c r="GS312" s="561"/>
      <c r="GT312" s="475"/>
      <c r="GU312" s="472"/>
      <c r="GV312" s="453"/>
      <c r="GW312" s="453"/>
      <c r="GX312" s="869"/>
      <c r="GY312" s="870"/>
      <c r="GZ312" s="867"/>
      <c r="HA312" s="868"/>
      <c r="HB312" s="473"/>
      <c r="HC312" s="869"/>
      <c r="HD312" s="870"/>
      <c r="HE312" s="867"/>
      <c r="HF312" s="868"/>
      <c r="HG312" s="473"/>
      <c r="HH312" s="867"/>
      <c r="HI312" s="868"/>
      <c r="HJ312" s="867"/>
      <c r="HK312" s="868"/>
      <c r="HL312" s="370"/>
      <c r="HM312" s="865"/>
      <c r="HN312" s="866"/>
      <c r="HO312" s="865"/>
      <c r="HP312" s="866"/>
      <c r="HQ312" s="865"/>
      <c r="HR312" s="866"/>
      <c r="HS312" s="867"/>
      <c r="HT312" s="868"/>
      <c r="HU312" s="489"/>
      <c r="HV312" s="865"/>
      <c r="HW312" s="866"/>
    </row>
    <row r="313" spans="13:231" ht="15" customHeight="1">
      <c r="M313" s="332"/>
      <c r="N313" s="332"/>
      <c r="O313" s="332"/>
      <c r="P313" s="332"/>
      <c r="Q313" s="332"/>
      <c r="R313" s="332"/>
      <c r="S313" s="332"/>
      <c r="T313" s="332"/>
      <c r="U313" s="332"/>
      <c r="V313" s="332"/>
      <c r="W313" s="332"/>
      <c r="X313" s="335"/>
      <c r="Y313" s="336"/>
      <c r="Z313" s="336"/>
      <c r="AA313" s="336"/>
      <c r="AB313" s="336"/>
      <c r="AC313" s="336"/>
      <c r="AD313" s="336"/>
      <c r="AE313" s="336"/>
      <c r="AF313" s="336"/>
      <c r="AG313" s="336"/>
      <c r="AH313" s="336"/>
      <c r="AI313" s="336"/>
      <c r="AJ313" s="336"/>
      <c r="AK313" s="336"/>
      <c r="AL313" s="336"/>
      <c r="AM313" s="336"/>
      <c r="AN313" s="336"/>
      <c r="AO313" s="336"/>
      <c r="AP313" s="336"/>
      <c r="AQ313" s="336"/>
      <c r="AR313" s="336"/>
      <c r="AS313" s="336"/>
      <c r="AT313" s="336"/>
      <c r="AU313" s="336"/>
      <c r="AV313" s="336"/>
      <c r="AW313" s="336"/>
      <c r="AX313" s="336"/>
      <c r="AY313" s="336"/>
      <c r="AZ313" s="336"/>
      <c r="BA313" s="336"/>
      <c r="BB313" s="336"/>
      <c r="BC313" s="336"/>
      <c r="BD313" s="336"/>
      <c r="BE313" s="336"/>
      <c r="BF313" s="336"/>
      <c r="BG313" s="336"/>
      <c r="BH313" s="336"/>
      <c r="BI313" s="336"/>
      <c r="BJ313" s="336"/>
      <c r="BK313" s="336"/>
      <c r="BL313" s="336"/>
      <c r="BM313" s="336"/>
      <c r="BN313" s="336"/>
      <c r="BO313" s="336"/>
      <c r="BP313" s="336"/>
      <c r="BQ313" s="336"/>
      <c r="BR313" s="336"/>
      <c r="BS313" s="336"/>
      <c r="BT313" s="336"/>
      <c r="BU313" s="336"/>
      <c r="BV313" s="336"/>
      <c r="BW313" s="336"/>
      <c r="BX313" s="336"/>
      <c r="BY313" s="336"/>
      <c r="BZ313" s="336"/>
      <c r="CA313" s="336"/>
      <c r="CB313" s="336"/>
      <c r="CC313" s="336"/>
      <c r="CD313" s="336"/>
      <c r="CE313" s="336"/>
      <c r="CF313" s="336"/>
      <c r="CG313" s="336"/>
      <c r="CH313" s="336"/>
      <c r="CI313" s="336"/>
      <c r="CJ313" s="336"/>
      <c r="CK313" s="336"/>
      <c r="CL313" s="336"/>
      <c r="CM313" s="336"/>
      <c r="CN313" s="336"/>
      <c r="CO313" s="336"/>
      <c r="CP313" s="336"/>
      <c r="CQ313" s="336"/>
      <c r="CR313" s="336"/>
      <c r="CS313" s="336"/>
      <c r="CT313" s="336"/>
      <c r="CU313" s="336"/>
      <c r="CV313" s="336"/>
      <c r="CW313" s="336"/>
      <c r="CX313" s="336"/>
      <c r="CY313" s="336"/>
      <c r="CZ313" s="336"/>
      <c r="DA313" s="336"/>
      <c r="DB313" s="336"/>
      <c r="DC313" s="336"/>
      <c r="DD313" s="336"/>
      <c r="DE313" s="336"/>
      <c r="DF313" s="336"/>
      <c r="DG313" s="336"/>
      <c r="DH313" s="336"/>
      <c r="DI313" s="336"/>
      <c r="DJ313" s="336"/>
      <c r="DK313" s="332"/>
      <c r="DL313" s="332"/>
      <c r="DM313" s="332"/>
      <c r="DN313" s="332"/>
      <c r="DO313" s="332"/>
      <c r="DP313" s="332"/>
      <c r="DQ313" s="332"/>
      <c r="DR313" s="332"/>
      <c r="DS313" s="332"/>
      <c r="DT313" s="332"/>
      <c r="DU313" s="453"/>
      <c r="DV313" s="453"/>
      <c r="DW313" s="453"/>
      <c r="DX313" s="453"/>
      <c r="DY313" s="453"/>
      <c r="DZ313" s="453"/>
      <c r="EA313" s="453"/>
      <c r="EB313" s="453"/>
      <c r="EC313" s="559">
        <f t="shared" si="193"/>
        <v>145</v>
      </c>
      <c r="ED313" s="889">
        <f t="shared" si="194"/>
        <v>0</v>
      </c>
      <c r="EE313" s="890"/>
      <c r="EF313" s="476">
        <v>0</v>
      </c>
      <c r="EG313" s="893">
        <f t="shared" si="195"/>
        <v>0</v>
      </c>
      <c r="EH313" s="893"/>
      <c r="EI313" s="480">
        <v>0</v>
      </c>
      <c r="EJ313" s="453"/>
      <c r="EK313" s="453"/>
      <c r="EL313" s="453"/>
      <c r="EM313" s="483">
        <f t="shared" si="205"/>
        <v>4</v>
      </c>
      <c r="EN313" s="485"/>
      <c r="EO313" s="804"/>
      <c r="EP313" s="805"/>
      <c r="EQ313" s="806"/>
      <c r="ER313" s="808"/>
      <c r="ES313" s="881">
        <f t="shared" si="196"/>
        <v>0</v>
      </c>
      <c r="ET313" s="882"/>
      <c r="EU313" s="883"/>
      <c r="EV313" s="884">
        <f t="shared" si="197"/>
        <v>0</v>
      </c>
      <c r="EW313" s="885"/>
      <c r="EX313" s="885"/>
      <c r="EY313" s="885"/>
      <c r="EZ313" s="885"/>
      <c r="FA313" s="885"/>
      <c r="FB313" s="885"/>
      <c r="FC313" s="885"/>
      <c r="FD313" s="886"/>
      <c r="FE313" s="877"/>
      <c r="FF313" s="877"/>
      <c r="FG313" s="877"/>
      <c r="FH313" s="877"/>
      <c r="FI313" s="877"/>
      <c r="FJ313" s="877"/>
      <c r="FK313" s="877"/>
      <c r="FL313" s="1028"/>
      <c r="FM313" s="1029"/>
      <c r="FN313" s="1029"/>
      <c r="FO313" s="1029"/>
      <c r="FP313" s="1029"/>
      <c r="FQ313" s="1029"/>
      <c r="FR313" s="1029"/>
      <c r="FS313" s="1029"/>
      <c r="FT313" s="1029"/>
      <c r="FU313" s="1029"/>
      <c r="FV313" s="1029"/>
      <c r="FW313" s="1029"/>
      <c r="FX313" s="1029"/>
      <c r="FY313" s="1029"/>
      <c r="FZ313" s="1029"/>
      <c r="GA313" s="1029"/>
      <c r="GB313" s="1030"/>
      <c r="GC313" s="370"/>
      <c r="GD313" s="453"/>
      <c r="GE313" s="453"/>
      <c r="GF313" s="453"/>
      <c r="GG313" s="453"/>
      <c r="GH313" s="454"/>
      <c r="GI313" s="453"/>
      <c r="GJ313" s="453"/>
      <c r="GK313" s="453"/>
      <c r="GL313" s="453"/>
      <c r="GM313" s="453"/>
      <c r="GN313" s="453"/>
      <c r="GO313" s="453"/>
      <c r="GP313" s="453"/>
      <c r="GQ313" s="453"/>
      <c r="GR313" s="453"/>
      <c r="GS313" s="561"/>
      <c r="GT313" s="475"/>
      <c r="GU313" s="472"/>
      <c r="GV313" s="453"/>
      <c r="GW313" s="453"/>
      <c r="GX313" s="869"/>
      <c r="GY313" s="870"/>
      <c r="GZ313" s="867"/>
      <c r="HA313" s="868"/>
      <c r="HB313" s="473"/>
      <c r="HC313" s="869"/>
      <c r="HD313" s="870"/>
      <c r="HE313" s="867"/>
      <c r="HF313" s="868"/>
      <c r="HG313" s="473"/>
      <c r="HH313" s="867"/>
      <c r="HI313" s="868"/>
      <c r="HJ313" s="867"/>
      <c r="HK313" s="868"/>
      <c r="HL313" s="370"/>
      <c r="HM313" s="865"/>
      <c r="HN313" s="866"/>
      <c r="HO313" s="865"/>
      <c r="HP313" s="866"/>
      <c r="HQ313" s="865"/>
      <c r="HR313" s="866"/>
      <c r="HS313" s="867"/>
      <c r="HT313" s="868"/>
      <c r="HU313" s="489"/>
      <c r="HV313" s="865"/>
      <c r="HW313" s="866"/>
    </row>
    <row r="314" spans="13:231" ht="15" customHeight="1">
      <c r="M314" s="332"/>
      <c r="N314" s="332"/>
      <c r="O314" s="332"/>
      <c r="P314" s="332"/>
      <c r="Q314" s="332"/>
      <c r="R314" s="332"/>
      <c r="S314" s="332"/>
      <c r="T314" s="332"/>
      <c r="U314" s="332"/>
      <c r="V314" s="332"/>
      <c r="W314" s="332"/>
      <c r="X314" s="335"/>
      <c r="Y314" s="332"/>
      <c r="Z314" s="332"/>
      <c r="AA314" s="332"/>
      <c r="AB314" s="332"/>
      <c r="AC314" s="332"/>
      <c r="AD314" s="332"/>
      <c r="AE314" s="332"/>
      <c r="AF314" s="332"/>
      <c r="AG314" s="332"/>
      <c r="AH314" s="332"/>
      <c r="AI314" s="332"/>
      <c r="AJ314" s="332"/>
      <c r="AK314" s="332"/>
      <c r="AL314" s="332"/>
      <c r="AM314" s="332"/>
      <c r="AN314" s="332"/>
      <c r="AO314" s="332"/>
      <c r="AP314" s="332"/>
      <c r="AQ314" s="332"/>
      <c r="AR314" s="332"/>
      <c r="AS314" s="332"/>
      <c r="AT314" s="332"/>
      <c r="AU314" s="332"/>
      <c r="AV314" s="332"/>
      <c r="AW314" s="332"/>
      <c r="AX314" s="332"/>
      <c r="AY314" s="332"/>
      <c r="AZ314" s="332"/>
      <c r="BA314" s="332"/>
      <c r="BB314" s="332"/>
      <c r="BC314" s="332"/>
      <c r="BD314" s="332"/>
      <c r="BE314" s="332"/>
      <c r="BF314" s="332"/>
      <c r="BG314" s="332"/>
      <c r="BH314" s="332"/>
      <c r="BI314" s="332"/>
      <c r="BJ314" s="332"/>
      <c r="BK314" s="332"/>
      <c r="BL314" s="332"/>
      <c r="BM314" s="332"/>
      <c r="BN314" s="332"/>
      <c r="BO314" s="332"/>
      <c r="BP314" s="332"/>
      <c r="BQ314" s="332"/>
      <c r="BR314" s="332"/>
      <c r="BS314" s="332"/>
      <c r="BT314" s="332"/>
      <c r="BU314" s="332"/>
      <c r="BV314" s="332"/>
      <c r="BW314" s="332"/>
      <c r="BX314" s="332"/>
      <c r="BY314" s="332"/>
      <c r="BZ314" s="332"/>
      <c r="CA314" s="332"/>
      <c r="CB314" s="332"/>
      <c r="CC314" s="332"/>
      <c r="CD314" s="332"/>
      <c r="CE314" s="332"/>
      <c r="CF314" s="332"/>
      <c r="CG314" s="332"/>
      <c r="CH314" s="332"/>
      <c r="CI314" s="332"/>
      <c r="CJ314" s="332"/>
      <c r="CK314" s="332"/>
      <c r="CL314" s="332"/>
      <c r="CM314" s="332"/>
      <c r="CN314" s="332"/>
      <c r="CO314" s="332"/>
      <c r="CP314" s="332"/>
      <c r="CQ314" s="332"/>
      <c r="CR314" s="332"/>
      <c r="CS314" s="332"/>
      <c r="CT314" s="332"/>
      <c r="CU314" s="332"/>
      <c r="CV314" s="332"/>
      <c r="CW314" s="332"/>
      <c r="CX314" s="332"/>
      <c r="CY314" s="332"/>
      <c r="CZ314" s="332"/>
      <c r="DA314" s="332"/>
      <c r="DB314" s="332"/>
      <c r="DC314" s="332"/>
      <c r="DD314" s="332"/>
      <c r="DE314" s="332"/>
      <c r="DF314" s="332"/>
      <c r="DG314" s="332"/>
      <c r="DH314" s="332"/>
      <c r="DI314" s="332"/>
      <c r="DJ314" s="332"/>
      <c r="DK314" s="332"/>
      <c r="DL314" s="332"/>
      <c r="DM314" s="332"/>
      <c r="DN314" s="332"/>
      <c r="DO314" s="332"/>
      <c r="DP314" s="332"/>
      <c r="DQ314" s="332"/>
      <c r="DR314" s="332"/>
      <c r="DS314" s="332"/>
      <c r="DT314" s="332"/>
      <c r="DU314" s="453"/>
      <c r="DV314" s="453"/>
      <c r="DW314" s="453"/>
      <c r="DX314" s="453"/>
      <c r="DY314" s="453"/>
      <c r="DZ314" s="453"/>
      <c r="EA314" s="453"/>
      <c r="EB314" s="453"/>
      <c r="EC314" s="559">
        <f t="shared" si="193"/>
        <v>150</v>
      </c>
      <c r="ED314" s="889">
        <f t="shared" si="194"/>
        <v>0</v>
      </c>
      <c r="EE314" s="890"/>
      <c r="EF314" s="476">
        <v>0</v>
      </c>
      <c r="EG314" s="893">
        <f t="shared" si="195"/>
        <v>0</v>
      </c>
      <c r="EH314" s="893"/>
      <c r="EI314" s="480">
        <v>0</v>
      </c>
      <c r="EJ314" s="453"/>
      <c r="EK314" s="453"/>
      <c r="EL314" s="453"/>
      <c r="EM314" s="483">
        <f t="shared" si="205"/>
        <v>5</v>
      </c>
      <c r="EN314" s="485"/>
      <c r="EO314" s="804"/>
      <c r="EP314" s="805"/>
      <c r="EQ314" s="806"/>
      <c r="ER314" s="808"/>
      <c r="ES314" s="881">
        <f t="shared" si="196"/>
        <v>0</v>
      </c>
      <c r="ET314" s="882"/>
      <c r="EU314" s="883"/>
      <c r="EV314" s="884">
        <f t="shared" si="197"/>
        <v>0</v>
      </c>
      <c r="EW314" s="885"/>
      <c r="EX314" s="885"/>
      <c r="EY314" s="885"/>
      <c r="EZ314" s="885"/>
      <c r="FA314" s="885"/>
      <c r="FB314" s="885"/>
      <c r="FC314" s="885"/>
      <c r="FD314" s="886"/>
      <c r="FE314" s="877"/>
      <c r="FF314" s="877"/>
      <c r="FG314" s="877"/>
      <c r="FH314" s="877"/>
      <c r="FI314" s="877"/>
      <c r="FJ314" s="877"/>
      <c r="FK314" s="877"/>
      <c r="FL314" s="1028"/>
      <c r="FM314" s="1029"/>
      <c r="FN314" s="1029"/>
      <c r="FO314" s="1029"/>
      <c r="FP314" s="1029"/>
      <c r="FQ314" s="1029"/>
      <c r="FR314" s="1029"/>
      <c r="FS314" s="1029"/>
      <c r="FT314" s="1029"/>
      <c r="FU314" s="1029"/>
      <c r="FV314" s="1029"/>
      <c r="FW314" s="1029"/>
      <c r="FX314" s="1029"/>
      <c r="FY314" s="1029"/>
      <c r="FZ314" s="1029"/>
      <c r="GA314" s="1029"/>
      <c r="GB314" s="1030"/>
      <c r="GC314" s="370"/>
      <c r="GD314" s="453"/>
      <c r="GE314" s="453"/>
      <c r="GF314" s="453"/>
      <c r="GG314" s="453"/>
      <c r="GH314" s="454"/>
      <c r="GI314" s="453"/>
      <c r="GJ314" s="453"/>
      <c r="GK314" s="453"/>
      <c r="GL314" s="453"/>
      <c r="GM314" s="453"/>
      <c r="GN314" s="453"/>
      <c r="GO314" s="453"/>
      <c r="GP314" s="453"/>
      <c r="GQ314" s="453"/>
      <c r="GR314" s="453"/>
      <c r="GS314" s="561"/>
      <c r="GT314" s="475"/>
      <c r="GU314" s="472"/>
      <c r="GV314" s="453"/>
      <c r="GW314" s="453"/>
      <c r="GX314" s="869"/>
      <c r="GY314" s="870"/>
      <c r="GZ314" s="867"/>
      <c r="HA314" s="868"/>
      <c r="HB314" s="473"/>
      <c r="HC314" s="869"/>
      <c r="HD314" s="870"/>
      <c r="HE314" s="867"/>
      <c r="HF314" s="868"/>
      <c r="HG314" s="473"/>
      <c r="HH314" s="867"/>
      <c r="HI314" s="868"/>
      <c r="HJ314" s="867"/>
      <c r="HK314" s="868"/>
      <c r="HL314" s="370"/>
      <c r="HM314" s="865"/>
      <c r="HN314" s="866"/>
      <c r="HO314" s="865"/>
      <c r="HP314" s="866"/>
      <c r="HQ314" s="865"/>
      <c r="HR314" s="866"/>
      <c r="HS314" s="867"/>
      <c r="HT314" s="868"/>
      <c r="HU314" s="489"/>
      <c r="HV314" s="865"/>
      <c r="HW314" s="866"/>
    </row>
    <row r="315" spans="13:231" ht="15" customHeight="1">
      <c r="Y315" s="332"/>
      <c r="Z315" s="332"/>
      <c r="AA315" s="332"/>
      <c r="AB315" s="332"/>
      <c r="AC315" s="332"/>
      <c r="AD315" s="332"/>
      <c r="AE315" s="332"/>
      <c r="AF315" s="332"/>
      <c r="AG315" s="332"/>
      <c r="AH315" s="332"/>
      <c r="AI315" s="332"/>
      <c r="AJ315" s="332"/>
      <c r="AK315" s="332"/>
      <c r="AL315" s="332"/>
      <c r="AM315" s="332"/>
      <c r="AN315" s="332"/>
      <c r="AO315" s="332"/>
      <c r="AP315" s="332"/>
      <c r="AQ315" s="332"/>
      <c r="AR315" s="332"/>
      <c r="AS315" s="332"/>
      <c r="AT315" s="332"/>
      <c r="AU315" s="332"/>
      <c r="AV315" s="332"/>
      <c r="AW315" s="332"/>
      <c r="AX315" s="332"/>
      <c r="AY315" s="332"/>
      <c r="AZ315" s="332"/>
      <c r="BA315" s="332"/>
      <c r="BB315" s="332"/>
      <c r="BC315" s="332"/>
      <c r="BD315" s="332"/>
      <c r="BE315" s="332"/>
      <c r="BF315" s="332"/>
      <c r="BG315" s="332"/>
      <c r="BH315" s="332"/>
      <c r="BI315" s="332"/>
      <c r="BJ315" s="332"/>
      <c r="BK315" s="332"/>
      <c r="BL315" s="332"/>
      <c r="BM315" s="332"/>
      <c r="BN315" s="332"/>
      <c r="BO315" s="332"/>
      <c r="BP315" s="332"/>
      <c r="BQ315" s="332"/>
      <c r="BR315" s="332"/>
      <c r="BS315" s="332"/>
      <c r="BT315" s="332"/>
      <c r="BU315" s="332"/>
      <c r="BV315" s="332"/>
      <c r="BW315" s="332"/>
      <c r="BX315" s="332"/>
      <c r="BY315" s="332"/>
      <c r="BZ315" s="332"/>
      <c r="CA315" s="332"/>
      <c r="CB315" s="332"/>
      <c r="CC315" s="332"/>
      <c r="CD315" s="332"/>
      <c r="CE315" s="332"/>
      <c r="CF315" s="332"/>
      <c r="CG315" s="332"/>
      <c r="CH315" s="332"/>
      <c r="CI315" s="332"/>
      <c r="CJ315" s="332"/>
      <c r="CK315" s="332"/>
      <c r="CL315" s="332"/>
      <c r="CM315" s="332"/>
      <c r="CN315" s="332"/>
      <c r="CO315" s="332"/>
      <c r="CP315" s="332"/>
      <c r="CQ315" s="332"/>
      <c r="CR315" s="332"/>
      <c r="CS315" s="332"/>
      <c r="CT315" s="332"/>
      <c r="CU315" s="332"/>
      <c r="CV315" s="332"/>
      <c r="CW315" s="332"/>
      <c r="CX315" s="332"/>
      <c r="CY315" s="332"/>
      <c r="CZ315" s="332"/>
      <c r="DA315" s="332"/>
      <c r="DB315" s="332"/>
      <c r="DC315" s="332"/>
      <c r="DD315" s="332"/>
      <c r="DE315" s="332"/>
      <c r="DF315" s="332"/>
      <c r="DG315" s="332"/>
      <c r="DH315" s="332"/>
      <c r="DI315" s="332"/>
      <c r="DJ315" s="332"/>
      <c r="DK315" s="332"/>
      <c r="DL315" s="332"/>
      <c r="DM315" s="332"/>
      <c r="DN315" s="332"/>
      <c r="DO315" s="332"/>
      <c r="DP315" s="332"/>
      <c r="DQ315" s="332"/>
      <c r="DR315" s="332"/>
      <c r="DS315" s="332"/>
      <c r="DT315" s="332"/>
      <c r="DU315" s="453"/>
      <c r="DV315" s="453"/>
      <c r="DW315" s="453"/>
      <c r="DX315" s="453"/>
      <c r="DY315" s="453"/>
      <c r="DZ315" s="453"/>
      <c r="EA315" s="453"/>
      <c r="EB315" s="453"/>
      <c r="EC315" s="559">
        <f t="shared" si="193"/>
        <v>155</v>
      </c>
      <c r="ED315" s="889">
        <f t="shared" si="194"/>
        <v>0</v>
      </c>
      <c r="EE315" s="890"/>
      <c r="EF315" s="476">
        <v>0</v>
      </c>
      <c r="EG315" s="893">
        <f t="shared" si="195"/>
        <v>0</v>
      </c>
      <c r="EH315" s="893"/>
      <c r="EI315" s="480">
        <v>0</v>
      </c>
      <c r="EJ315" s="453"/>
      <c r="EK315" s="453"/>
      <c r="EL315" s="453"/>
      <c r="EM315" s="483">
        <f t="shared" si="205"/>
        <v>6</v>
      </c>
      <c r="EN315" s="485"/>
      <c r="EO315" s="804"/>
      <c r="EP315" s="805"/>
      <c r="EQ315" s="806"/>
      <c r="ER315" s="808"/>
      <c r="ES315" s="881">
        <f t="shared" si="196"/>
        <v>0</v>
      </c>
      <c r="ET315" s="882"/>
      <c r="EU315" s="883"/>
      <c r="EV315" s="884">
        <f t="shared" si="197"/>
        <v>0</v>
      </c>
      <c r="EW315" s="885"/>
      <c r="EX315" s="885"/>
      <c r="EY315" s="885"/>
      <c r="EZ315" s="885"/>
      <c r="FA315" s="885"/>
      <c r="FB315" s="885"/>
      <c r="FC315" s="885"/>
      <c r="FD315" s="886"/>
      <c r="FE315" s="877"/>
      <c r="FF315" s="877"/>
      <c r="FG315" s="877"/>
      <c r="FH315" s="877"/>
      <c r="FI315" s="877"/>
      <c r="FJ315" s="877"/>
      <c r="FK315" s="877"/>
      <c r="FL315" s="1028"/>
      <c r="FM315" s="1029"/>
      <c r="FN315" s="1029"/>
      <c r="FO315" s="1029"/>
      <c r="FP315" s="1029"/>
      <c r="FQ315" s="1029"/>
      <c r="FR315" s="1029"/>
      <c r="FS315" s="1029"/>
      <c r="FT315" s="1029"/>
      <c r="FU315" s="1029"/>
      <c r="FV315" s="1029"/>
      <c r="FW315" s="1029"/>
      <c r="FX315" s="1029"/>
      <c r="FY315" s="1029"/>
      <c r="FZ315" s="1029"/>
      <c r="GA315" s="1029"/>
      <c r="GB315" s="1030"/>
      <c r="GC315" s="370"/>
      <c r="GD315" s="453"/>
      <c r="GE315" s="453"/>
      <c r="GF315" s="453"/>
      <c r="GG315" s="453"/>
      <c r="GH315" s="454"/>
      <c r="GI315" s="453"/>
      <c r="GJ315" s="453"/>
      <c r="GK315" s="453"/>
      <c r="GL315" s="453"/>
      <c r="GM315" s="453"/>
      <c r="GN315" s="453"/>
      <c r="GO315" s="453"/>
      <c r="GP315" s="453"/>
      <c r="GQ315" s="453"/>
      <c r="GR315" s="453"/>
      <c r="GS315" s="561"/>
      <c r="GT315" s="475"/>
      <c r="GU315" s="472"/>
      <c r="GV315" s="453"/>
      <c r="GW315" s="453"/>
      <c r="GX315" s="869"/>
      <c r="GY315" s="870"/>
      <c r="GZ315" s="867"/>
      <c r="HA315" s="868"/>
      <c r="HB315" s="473"/>
      <c r="HC315" s="869"/>
      <c r="HD315" s="870"/>
      <c r="HE315" s="867"/>
      <c r="HF315" s="868"/>
      <c r="HG315" s="473"/>
      <c r="HH315" s="867"/>
      <c r="HI315" s="868"/>
      <c r="HJ315" s="867"/>
      <c r="HK315" s="868"/>
      <c r="HL315" s="370"/>
      <c r="HM315" s="865"/>
      <c r="HN315" s="866"/>
      <c r="HO315" s="865"/>
      <c r="HP315" s="866"/>
      <c r="HQ315" s="865"/>
      <c r="HR315" s="866"/>
      <c r="HS315" s="867"/>
      <c r="HT315" s="868"/>
      <c r="HU315" s="489"/>
      <c r="HV315" s="865"/>
      <c r="HW315" s="866"/>
    </row>
    <row r="316" spans="13:231" ht="15" customHeight="1">
      <c r="Y316" s="332"/>
      <c r="Z316" s="332"/>
      <c r="AA316" s="332"/>
      <c r="AB316" s="332"/>
      <c r="AC316" s="332"/>
      <c r="AD316" s="332"/>
      <c r="AE316" s="332"/>
      <c r="AF316" s="332"/>
      <c r="AG316" s="332"/>
      <c r="AH316" s="332"/>
      <c r="AI316" s="332"/>
      <c r="AJ316" s="332"/>
      <c r="AK316" s="332"/>
      <c r="AL316" s="332"/>
      <c r="AM316" s="332"/>
      <c r="AN316" s="332"/>
      <c r="AO316" s="332"/>
      <c r="AP316" s="332"/>
      <c r="AQ316" s="332"/>
      <c r="AR316" s="332"/>
      <c r="AS316" s="332"/>
      <c r="AT316" s="332"/>
      <c r="AU316" s="332"/>
      <c r="AV316" s="332"/>
      <c r="AW316" s="332"/>
      <c r="AX316" s="332"/>
      <c r="AY316" s="332"/>
      <c r="AZ316" s="332"/>
      <c r="BA316" s="332"/>
      <c r="BB316" s="332"/>
      <c r="BC316" s="332"/>
      <c r="BD316" s="332"/>
      <c r="BE316" s="332"/>
      <c r="BF316" s="332"/>
      <c r="BG316" s="332"/>
      <c r="BH316" s="332"/>
      <c r="BI316" s="332"/>
      <c r="BJ316" s="332"/>
      <c r="BK316" s="332"/>
      <c r="BL316" s="332"/>
      <c r="BM316" s="332"/>
      <c r="BN316" s="332"/>
      <c r="BO316" s="332"/>
      <c r="BP316" s="332"/>
      <c r="BQ316" s="332"/>
      <c r="BR316" s="332"/>
      <c r="BS316" s="332"/>
      <c r="BT316" s="332"/>
      <c r="BU316" s="332"/>
      <c r="BV316" s="332"/>
      <c r="BW316" s="332"/>
      <c r="BX316" s="332"/>
      <c r="BY316" s="332"/>
      <c r="BZ316" s="332"/>
      <c r="CA316" s="332"/>
      <c r="CB316" s="332"/>
      <c r="CC316" s="332"/>
      <c r="CD316" s="332"/>
      <c r="CE316" s="332"/>
      <c r="CF316" s="332"/>
      <c r="CG316" s="332"/>
      <c r="CH316" s="332"/>
      <c r="CI316" s="332"/>
      <c r="CJ316" s="332"/>
      <c r="CK316" s="332"/>
      <c r="CL316" s="332"/>
      <c r="CM316" s="332"/>
      <c r="CN316" s="332"/>
      <c r="CO316" s="332"/>
      <c r="CP316" s="332"/>
      <c r="CQ316" s="332"/>
      <c r="CR316" s="332"/>
      <c r="CS316" s="332"/>
      <c r="CT316" s="332"/>
      <c r="CU316" s="332"/>
      <c r="CV316" s="332"/>
      <c r="CW316" s="332"/>
      <c r="CX316" s="332"/>
      <c r="CY316" s="332"/>
      <c r="CZ316" s="332"/>
      <c r="DA316" s="332"/>
      <c r="DB316" s="332"/>
      <c r="DC316" s="332"/>
      <c r="DD316" s="332"/>
      <c r="DE316" s="332"/>
      <c r="DF316" s="332"/>
      <c r="DG316" s="332"/>
      <c r="DH316" s="332"/>
      <c r="DI316" s="332"/>
      <c r="DJ316" s="332"/>
      <c r="DK316" s="332"/>
      <c r="DL316" s="332"/>
      <c r="DM316" s="332"/>
      <c r="DN316" s="332"/>
      <c r="DO316" s="332"/>
      <c r="DP316" s="332"/>
      <c r="DQ316" s="332"/>
      <c r="DR316" s="332"/>
      <c r="DS316" s="332"/>
      <c r="DT316" s="332"/>
      <c r="DU316" s="453"/>
      <c r="DV316" s="453"/>
      <c r="DW316" s="453"/>
      <c r="DX316" s="453"/>
      <c r="DY316" s="453"/>
      <c r="DZ316" s="453"/>
      <c r="EA316" s="453"/>
      <c r="EB316" s="453"/>
      <c r="EC316" s="559">
        <f t="shared" si="193"/>
        <v>160</v>
      </c>
      <c r="ED316" s="889">
        <f t="shared" si="194"/>
        <v>0</v>
      </c>
      <c r="EE316" s="890"/>
      <c r="EF316" s="476">
        <v>0</v>
      </c>
      <c r="EG316" s="893">
        <f t="shared" si="195"/>
        <v>0</v>
      </c>
      <c r="EH316" s="893"/>
      <c r="EI316" s="480">
        <v>0</v>
      </c>
      <c r="EJ316" s="453"/>
      <c r="EK316" s="453"/>
      <c r="EL316" s="453"/>
      <c r="EM316" s="483">
        <f t="shared" si="205"/>
        <v>7</v>
      </c>
      <c r="EN316" s="485"/>
      <c r="EO316" s="804"/>
      <c r="EP316" s="805"/>
      <c r="EQ316" s="806"/>
      <c r="ER316" s="808"/>
      <c r="ES316" s="881">
        <f>IF(OR(EO316 = "", EP316 = 0, EP316 = "", EQ316 = 0, EQ316 = "", ER316 = 0, ER316 = ""), 0,
IF(EO316 &lt;&gt; "ACCION", EP316 * ER316 * -100,  EP316 * ER316 * -1))</f>
        <v>0</v>
      </c>
      <c r="ET316" s="882"/>
      <c r="EU316" s="883"/>
      <c r="EV316" s="884">
        <f t="shared" si="197"/>
        <v>0</v>
      </c>
      <c r="EW316" s="885"/>
      <c r="EX316" s="885"/>
      <c r="EY316" s="885"/>
      <c r="EZ316" s="885"/>
      <c r="FA316" s="885"/>
      <c r="FB316" s="885"/>
      <c r="FC316" s="885"/>
      <c r="FD316" s="886"/>
      <c r="FE316" s="877"/>
      <c r="FF316" s="877"/>
      <c r="FG316" s="877"/>
      <c r="FH316" s="877"/>
      <c r="FI316" s="877"/>
      <c r="FJ316" s="877"/>
      <c r="FK316" s="877"/>
      <c r="FL316" s="1028"/>
      <c r="FM316" s="1029"/>
      <c r="FN316" s="1029"/>
      <c r="FO316" s="1029"/>
      <c r="FP316" s="1029"/>
      <c r="FQ316" s="1029"/>
      <c r="FR316" s="1029"/>
      <c r="FS316" s="1029"/>
      <c r="FT316" s="1029"/>
      <c r="FU316" s="1029"/>
      <c r="FV316" s="1029"/>
      <c r="FW316" s="1029"/>
      <c r="FX316" s="1029"/>
      <c r="FY316" s="1029"/>
      <c r="FZ316" s="1029"/>
      <c r="GA316" s="1029"/>
      <c r="GB316" s="1030"/>
      <c r="GC316" s="370"/>
      <c r="GD316" s="453"/>
      <c r="GE316" s="453"/>
      <c r="GF316" s="453"/>
      <c r="GG316" s="453"/>
      <c r="GH316" s="454"/>
      <c r="GI316" s="453"/>
      <c r="GJ316" s="453"/>
      <c r="GK316" s="453"/>
      <c r="GL316" s="453"/>
      <c r="GM316" s="453"/>
      <c r="GN316" s="453"/>
      <c r="GO316" s="453"/>
      <c r="GP316" s="453"/>
      <c r="GQ316" s="453"/>
      <c r="GR316" s="453"/>
      <c r="GS316" s="561"/>
      <c r="GT316" s="475"/>
      <c r="GU316" s="472"/>
      <c r="GV316" s="453"/>
      <c r="GW316" s="453"/>
      <c r="GX316" s="869"/>
      <c r="GY316" s="870"/>
      <c r="GZ316" s="867"/>
      <c r="HA316" s="868"/>
      <c r="HB316" s="473"/>
      <c r="HC316" s="869"/>
      <c r="HD316" s="870"/>
      <c r="HE316" s="867"/>
      <c r="HF316" s="868"/>
      <c r="HG316" s="473"/>
      <c r="HH316" s="867"/>
      <c r="HI316" s="868"/>
      <c r="HJ316" s="867"/>
      <c r="HK316" s="868"/>
      <c r="HL316" s="370"/>
      <c r="HM316" s="865"/>
      <c r="HN316" s="866"/>
      <c r="HO316" s="865"/>
      <c r="HP316" s="866"/>
      <c r="HQ316" s="865"/>
      <c r="HR316" s="866"/>
      <c r="HS316" s="867"/>
      <c r="HT316" s="868"/>
      <c r="HU316" s="489"/>
      <c r="HV316" s="865"/>
      <c r="HW316" s="866"/>
    </row>
    <row r="317" spans="13:231" ht="15" customHeight="1">
      <c r="Y317" s="332"/>
      <c r="Z317" s="332"/>
      <c r="AA317" s="332"/>
      <c r="AB317" s="332"/>
      <c r="AC317" s="332"/>
      <c r="AD317" s="332"/>
      <c r="AE317" s="332"/>
      <c r="AF317" s="332"/>
      <c r="AG317" s="332"/>
      <c r="AH317" s="332"/>
      <c r="AI317" s="332"/>
      <c r="AJ317" s="332"/>
      <c r="AK317" s="332"/>
      <c r="AL317" s="332"/>
      <c r="AM317" s="332"/>
      <c r="AN317" s="332"/>
      <c r="AO317" s="332"/>
      <c r="AP317" s="332"/>
      <c r="AQ317" s="332"/>
      <c r="AR317" s="332"/>
      <c r="AS317" s="332"/>
      <c r="AT317" s="332"/>
      <c r="AU317" s="332"/>
      <c r="AV317" s="332"/>
      <c r="AW317" s="332"/>
      <c r="AX317" s="332"/>
      <c r="AY317" s="332"/>
      <c r="AZ317" s="332"/>
      <c r="BA317" s="332"/>
      <c r="BB317" s="332"/>
      <c r="BC317" s="332"/>
      <c r="BD317" s="332"/>
      <c r="BE317" s="332"/>
      <c r="BF317" s="332"/>
      <c r="BG317" s="332"/>
      <c r="BH317" s="332"/>
      <c r="BI317" s="332"/>
      <c r="BJ317" s="332"/>
      <c r="BK317" s="332"/>
      <c r="BL317" s="332"/>
      <c r="BM317" s="332"/>
      <c r="BN317" s="332"/>
      <c r="BO317" s="332"/>
      <c r="BP317" s="332"/>
      <c r="BQ317" s="332"/>
      <c r="BR317" s="332"/>
      <c r="BS317" s="332"/>
      <c r="BT317" s="332"/>
      <c r="BU317" s="332"/>
      <c r="BV317" s="332"/>
      <c r="BW317" s="332"/>
      <c r="BX317" s="332"/>
      <c r="BY317" s="332"/>
      <c r="BZ317" s="332"/>
      <c r="CA317" s="332"/>
      <c r="CB317" s="332"/>
      <c r="CC317" s="332"/>
      <c r="CD317" s="332"/>
      <c r="CE317" s="332"/>
      <c r="CF317" s="332"/>
      <c r="CG317" s="332"/>
      <c r="CH317" s="332"/>
      <c r="CI317" s="332"/>
      <c r="CJ317" s="332"/>
      <c r="CK317" s="332"/>
      <c r="CL317" s="332"/>
      <c r="CM317" s="332"/>
      <c r="CN317" s="332"/>
      <c r="CO317" s="332"/>
      <c r="CP317" s="332"/>
      <c r="CQ317" s="332"/>
      <c r="CR317" s="332"/>
      <c r="CS317" s="332"/>
      <c r="CT317" s="332"/>
      <c r="CU317" s="332"/>
      <c r="CV317" s="332"/>
      <c r="CW317" s="332"/>
      <c r="CX317" s="332"/>
      <c r="CY317" s="332"/>
      <c r="CZ317" s="332"/>
      <c r="DA317" s="332"/>
      <c r="DB317" s="332"/>
      <c r="DC317" s="332"/>
      <c r="DD317" s="332"/>
      <c r="DE317" s="332"/>
      <c r="DF317" s="332"/>
      <c r="DG317" s="332"/>
      <c r="DH317" s="332"/>
      <c r="DI317" s="332"/>
      <c r="DJ317" s="332"/>
      <c r="DK317" s="332"/>
      <c r="DL317" s="332"/>
      <c r="DM317" s="332"/>
      <c r="DN317" s="332"/>
      <c r="DO317" s="332"/>
      <c r="DP317" s="332"/>
      <c r="DQ317" s="332"/>
      <c r="DR317" s="332"/>
      <c r="DS317" s="332"/>
      <c r="DT317" s="332"/>
      <c r="DU317" s="453"/>
      <c r="DV317" s="453"/>
      <c r="DW317" s="453"/>
      <c r="DX317" s="453"/>
      <c r="DY317" s="453"/>
      <c r="DZ317" s="453"/>
      <c r="EA317" s="453"/>
      <c r="EB317" s="453"/>
      <c r="EC317" s="559">
        <f t="shared" si="193"/>
        <v>165</v>
      </c>
      <c r="ED317" s="889">
        <f t="shared" si="194"/>
        <v>0</v>
      </c>
      <c r="EE317" s="890"/>
      <c r="EF317" s="476">
        <v>0</v>
      </c>
      <c r="EG317" s="893">
        <f t="shared" si="195"/>
        <v>0</v>
      </c>
      <c r="EH317" s="893"/>
      <c r="EI317" s="480">
        <v>0</v>
      </c>
      <c r="EJ317" s="453"/>
      <c r="EK317" s="453"/>
      <c r="EL317" s="453"/>
      <c r="EM317" s="483">
        <f t="shared" si="205"/>
        <v>8</v>
      </c>
      <c r="EN317" s="486"/>
      <c r="EO317" s="804"/>
      <c r="EP317" s="805"/>
      <c r="EQ317" s="806"/>
      <c r="ER317" s="808"/>
      <c r="ES317" s="881">
        <f t="shared" ref="ES317:ES380" si="206">IF(OR(EO317 = "", EP317 = 0, EP317 = "", EQ317 = 0, EQ317 = "", ER317 = 0, ER317 = ""), 0,
IF(EO317 &lt;&gt; "ACCION", EP317 * ER317 * -100,  EP317 * ER317 * -1))</f>
        <v>0</v>
      </c>
      <c r="ET317" s="882"/>
      <c r="EU317" s="883"/>
      <c r="EV317" s="884">
        <f t="shared" si="197"/>
        <v>0</v>
      </c>
      <c r="EW317" s="885"/>
      <c r="EX317" s="885"/>
      <c r="EY317" s="885"/>
      <c r="EZ317" s="885"/>
      <c r="FA317" s="885"/>
      <c r="FB317" s="885"/>
      <c r="FC317" s="885"/>
      <c r="FD317" s="886"/>
      <c r="FE317" s="877"/>
      <c r="FF317" s="877"/>
      <c r="FG317" s="877"/>
      <c r="FH317" s="877"/>
      <c r="FI317" s="877"/>
      <c r="FJ317" s="877"/>
      <c r="FK317" s="877"/>
      <c r="FL317" s="1028"/>
      <c r="FM317" s="1029"/>
      <c r="FN317" s="1029"/>
      <c r="FO317" s="1029"/>
      <c r="FP317" s="1029"/>
      <c r="FQ317" s="1029"/>
      <c r="FR317" s="1029"/>
      <c r="FS317" s="1029"/>
      <c r="FT317" s="1029"/>
      <c r="FU317" s="1029"/>
      <c r="FV317" s="1029"/>
      <c r="FW317" s="1029"/>
      <c r="FX317" s="1029"/>
      <c r="FY317" s="1029"/>
      <c r="FZ317" s="1029"/>
      <c r="GA317" s="1029"/>
      <c r="GB317" s="1030"/>
      <c r="GC317" s="370"/>
      <c r="GD317" s="453"/>
      <c r="GE317" s="453"/>
      <c r="GF317" s="453"/>
      <c r="GG317" s="453"/>
      <c r="GH317" s="454"/>
      <c r="GI317" s="453"/>
      <c r="GJ317" s="453"/>
      <c r="GK317" s="453"/>
      <c r="GL317" s="453"/>
      <c r="GM317" s="453"/>
      <c r="GN317" s="453"/>
      <c r="GO317" s="453"/>
      <c r="GP317" s="453"/>
      <c r="GQ317" s="453"/>
      <c r="GR317" s="453"/>
      <c r="GS317" s="561"/>
      <c r="GT317" s="475"/>
      <c r="GU317" s="472"/>
      <c r="GV317" s="453"/>
      <c r="GW317" s="453"/>
      <c r="GX317" s="869"/>
      <c r="GY317" s="870"/>
      <c r="GZ317" s="867"/>
      <c r="HA317" s="868"/>
      <c r="HB317" s="473"/>
      <c r="HC317" s="869"/>
      <c r="HD317" s="870"/>
      <c r="HE317" s="867"/>
      <c r="HF317" s="868"/>
      <c r="HG317" s="473"/>
      <c r="HH317" s="867"/>
      <c r="HI317" s="868"/>
      <c r="HJ317" s="867"/>
      <c r="HK317" s="868"/>
      <c r="HL317" s="370"/>
      <c r="HM317" s="865"/>
      <c r="HN317" s="866"/>
      <c r="HO317" s="865"/>
      <c r="HP317" s="866"/>
      <c r="HQ317" s="865"/>
      <c r="HR317" s="866"/>
      <c r="HS317" s="867"/>
      <c r="HT317" s="868"/>
      <c r="HU317" s="489"/>
      <c r="HV317" s="865"/>
      <c r="HW317" s="866"/>
    </row>
    <row r="318" spans="13:231" ht="15" customHeight="1">
      <c r="Y318" s="332"/>
      <c r="Z318" s="332"/>
      <c r="AA318" s="332"/>
      <c r="AB318" s="332"/>
      <c r="AC318" s="332"/>
      <c r="AD318" s="332"/>
      <c r="AE318" s="332"/>
      <c r="AF318" s="332"/>
      <c r="AG318" s="332"/>
      <c r="AH318" s="332"/>
      <c r="AI318" s="332"/>
      <c r="AJ318" s="332"/>
      <c r="AK318" s="332"/>
      <c r="AL318" s="332"/>
      <c r="AM318" s="332"/>
      <c r="AN318" s="332"/>
      <c r="AO318" s="332"/>
      <c r="AP318" s="332"/>
      <c r="AQ318" s="332"/>
      <c r="AR318" s="332"/>
      <c r="AS318" s="332"/>
      <c r="AT318" s="332"/>
      <c r="AU318" s="332"/>
      <c r="AV318" s="332"/>
      <c r="AW318" s="332"/>
      <c r="AX318" s="332"/>
      <c r="AY318" s="332"/>
      <c r="AZ318" s="332"/>
      <c r="BA318" s="332"/>
      <c r="BB318" s="332"/>
      <c r="BC318" s="332"/>
      <c r="BD318" s="332"/>
      <c r="BE318" s="332"/>
      <c r="BF318" s="332"/>
      <c r="BG318" s="332"/>
      <c r="BH318" s="332"/>
      <c r="BI318" s="332"/>
      <c r="BJ318" s="332"/>
      <c r="BK318" s="332"/>
      <c r="BL318" s="332"/>
      <c r="BM318" s="332"/>
      <c r="BN318" s="332"/>
      <c r="BO318" s="332"/>
      <c r="BP318" s="332"/>
      <c r="BQ318" s="332"/>
      <c r="BR318" s="332"/>
      <c r="BS318" s="332"/>
      <c r="BT318" s="332"/>
      <c r="BU318" s="332"/>
      <c r="BV318" s="332"/>
      <c r="BW318" s="332"/>
      <c r="BX318" s="332"/>
      <c r="BY318" s="332"/>
      <c r="BZ318" s="332"/>
      <c r="CA318" s="332"/>
      <c r="CB318" s="332"/>
      <c r="CC318" s="332"/>
      <c r="CD318" s="332"/>
      <c r="CE318" s="332"/>
      <c r="CF318" s="332"/>
      <c r="CG318" s="332"/>
      <c r="CH318" s="332"/>
      <c r="CI318" s="332"/>
      <c r="CJ318" s="332"/>
      <c r="CK318" s="332"/>
      <c r="CL318" s="332"/>
      <c r="CM318" s="332"/>
      <c r="CN318" s="332"/>
      <c r="CO318" s="332"/>
      <c r="CP318" s="332"/>
      <c r="CQ318" s="332"/>
      <c r="CR318" s="332"/>
      <c r="CS318" s="332"/>
      <c r="CT318" s="332"/>
      <c r="CU318" s="332"/>
      <c r="CV318" s="332"/>
      <c r="CW318" s="332"/>
      <c r="CX318" s="332"/>
      <c r="CY318" s="332"/>
      <c r="CZ318" s="332"/>
      <c r="DA318" s="332"/>
      <c r="DB318" s="332"/>
      <c r="DC318" s="332"/>
      <c r="DD318" s="332"/>
      <c r="DE318" s="332"/>
      <c r="DF318" s="332"/>
      <c r="DG318" s="332"/>
      <c r="DH318" s="332"/>
      <c r="DI318" s="332"/>
      <c r="DJ318" s="332"/>
      <c r="DK318" s="332"/>
      <c r="DL318" s="332"/>
      <c r="DM318" s="332"/>
      <c r="DN318" s="332"/>
      <c r="DO318" s="332"/>
      <c r="DP318" s="332"/>
      <c r="DQ318" s="332"/>
      <c r="DR318" s="332"/>
      <c r="DS318" s="332"/>
      <c r="DT318" s="332"/>
      <c r="DU318" s="453"/>
      <c r="DV318" s="453"/>
      <c r="DW318" s="453"/>
      <c r="DX318" s="453"/>
      <c r="DY318" s="453"/>
      <c r="DZ318" s="453"/>
      <c r="EA318" s="453"/>
      <c r="EB318" s="453"/>
      <c r="EC318" s="559">
        <f t="shared" si="193"/>
        <v>170</v>
      </c>
      <c r="ED318" s="889">
        <f t="shared" si="194"/>
        <v>0</v>
      </c>
      <c r="EE318" s="890"/>
      <c r="EF318" s="476">
        <v>0</v>
      </c>
      <c r="EG318" s="893">
        <f t="shared" si="195"/>
        <v>0</v>
      </c>
      <c r="EH318" s="893"/>
      <c r="EI318" s="480">
        <v>0</v>
      </c>
      <c r="EJ318" s="453"/>
      <c r="EK318" s="453"/>
      <c r="EL318" s="453"/>
      <c r="EM318" s="483">
        <f t="shared" si="205"/>
        <v>9</v>
      </c>
      <c r="EN318" s="485"/>
      <c r="EO318" s="804"/>
      <c r="EP318" s="805"/>
      <c r="EQ318" s="806"/>
      <c r="ER318" s="808"/>
      <c r="ES318" s="881">
        <f t="shared" si="206"/>
        <v>0</v>
      </c>
      <c r="ET318" s="882"/>
      <c r="EU318" s="883"/>
      <c r="EV318" s="884">
        <f t="shared" si="197"/>
        <v>0</v>
      </c>
      <c r="EW318" s="885"/>
      <c r="EX318" s="885"/>
      <c r="EY318" s="885"/>
      <c r="EZ318" s="885"/>
      <c r="FA318" s="885"/>
      <c r="FB318" s="885"/>
      <c r="FC318" s="885"/>
      <c r="FD318" s="886"/>
      <c r="FE318" s="877"/>
      <c r="FF318" s="877"/>
      <c r="FG318" s="877"/>
      <c r="FH318" s="877"/>
      <c r="FI318" s="877"/>
      <c r="FJ318" s="877"/>
      <c r="FK318" s="877"/>
      <c r="FL318" s="1028"/>
      <c r="FM318" s="1029"/>
      <c r="FN318" s="1029"/>
      <c r="FO318" s="1029"/>
      <c r="FP318" s="1029"/>
      <c r="FQ318" s="1029"/>
      <c r="FR318" s="1029"/>
      <c r="FS318" s="1029"/>
      <c r="FT318" s="1029"/>
      <c r="FU318" s="1029"/>
      <c r="FV318" s="1029"/>
      <c r="FW318" s="1029"/>
      <c r="FX318" s="1029"/>
      <c r="FY318" s="1029"/>
      <c r="FZ318" s="1029"/>
      <c r="GA318" s="1029"/>
      <c r="GB318" s="1030"/>
      <c r="GC318" s="370"/>
      <c r="GD318" s="453"/>
      <c r="GE318" s="453"/>
      <c r="GF318" s="453"/>
      <c r="GG318" s="453"/>
      <c r="GH318" s="454"/>
      <c r="GI318" s="453"/>
      <c r="GJ318" s="453"/>
      <c r="GK318" s="453"/>
      <c r="GL318" s="453"/>
      <c r="GM318" s="453"/>
      <c r="GN318" s="453"/>
      <c r="GO318" s="453"/>
      <c r="GP318" s="453"/>
      <c r="GQ318" s="453"/>
      <c r="GR318" s="453"/>
      <c r="GS318" s="561"/>
      <c r="GT318" s="475"/>
      <c r="GU318" s="472"/>
      <c r="GV318" s="453"/>
      <c r="GW318" s="453"/>
      <c r="GX318" s="869"/>
      <c r="GY318" s="870"/>
      <c r="GZ318" s="867"/>
      <c r="HA318" s="868"/>
      <c r="HB318" s="473"/>
      <c r="HC318" s="869"/>
      <c r="HD318" s="870"/>
      <c r="HE318" s="867"/>
      <c r="HF318" s="868"/>
      <c r="HG318" s="473"/>
      <c r="HH318" s="867"/>
      <c r="HI318" s="868"/>
      <c r="HJ318" s="867"/>
      <c r="HK318" s="868"/>
      <c r="HL318" s="370"/>
      <c r="HM318" s="865"/>
      <c r="HN318" s="866"/>
      <c r="HO318" s="865"/>
      <c r="HP318" s="866"/>
      <c r="HQ318" s="865"/>
      <c r="HR318" s="866"/>
      <c r="HS318" s="867"/>
      <c r="HT318" s="868"/>
      <c r="HU318" s="489"/>
      <c r="HV318" s="865"/>
      <c r="HW318" s="866"/>
    </row>
    <row r="319" spans="13:231" ht="15" customHeight="1">
      <c r="Y319" s="332"/>
      <c r="Z319" s="332"/>
      <c r="AA319" s="332"/>
      <c r="AB319" s="332"/>
      <c r="AC319" s="332"/>
      <c r="AD319" s="332"/>
      <c r="AE319" s="332"/>
      <c r="AF319" s="332"/>
      <c r="AG319" s="332"/>
      <c r="AH319" s="332"/>
      <c r="AI319" s="332"/>
      <c r="AJ319" s="332"/>
      <c r="AK319" s="332"/>
      <c r="AL319" s="332"/>
      <c r="AM319" s="332"/>
      <c r="AN319" s="332"/>
      <c r="AO319" s="332"/>
      <c r="AP319" s="332"/>
      <c r="AQ319" s="332"/>
      <c r="AR319" s="332"/>
      <c r="AS319" s="332"/>
      <c r="AT319" s="332"/>
      <c r="AU319" s="332"/>
      <c r="AV319" s="332"/>
      <c r="AW319" s="332"/>
      <c r="AX319" s="332"/>
      <c r="AY319" s="332"/>
      <c r="AZ319" s="332"/>
      <c r="BA319" s="332"/>
      <c r="BB319" s="332"/>
      <c r="BC319" s="332"/>
      <c r="BD319" s="332"/>
      <c r="BE319" s="332"/>
      <c r="BF319" s="332"/>
      <c r="BG319" s="332"/>
      <c r="BH319" s="332"/>
      <c r="BI319" s="332"/>
      <c r="BJ319" s="332"/>
      <c r="BK319" s="332"/>
      <c r="BL319" s="332"/>
      <c r="BM319" s="332"/>
      <c r="BN319" s="332"/>
      <c r="BO319" s="332"/>
      <c r="BP319" s="332"/>
      <c r="BQ319" s="332"/>
      <c r="BR319" s="332"/>
      <c r="BS319" s="332"/>
      <c r="BT319" s="332"/>
      <c r="BU319" s="332"/>
      <c r="BV319" s="332"/>
      <c r="BW319" s="332"/>
      <c r="BX319" s="332"/>
      <c r="BY319" s="332"/>
      <c r="BZ319" s="332"/>
      <c r="CA319" s="332"/>
      <c r="CB319" s="332"/>
      <c r="CC319" s="332"/>
      <c r="CD319" s="332"/>
      <c r="CE319" s="332"/>
      <c r="CF319" s="332"/>
      <c r="CG319" s="332"/>
      <c r="CH319" s="332"/>
      <c r="CI319" s="332"/>
      <c r="CJ319" s="332"/>
      <c r="CK319" s="332"/>
      <c r="CL319" s="332"/>
      <c r="CM319" s="332"/>
      <c r="CN319" s="332"/>
      <c r="CO319" s="332"/>
      <c r="CP319" s="332"/>
      <c r="CQ319" s="332"/>
      <c r="CR319" s="332"/>
      <c r="CS319" s="332"/>
      <c r="CT319" s="332"/>
      <c r="CU319" s="332"/>
      <c r="CV319" s="332"/>
      <c r="CW319" s="332"/>
      <c r="CX319" s="332"/>
      <c r="CY319" s="332"/>
      <c r="CZ319" s="332"/>
      <c r="DA319" s="332"/>
      <c r="DB319" s="332"/>
      <c r="DC319" s="332"/>
      <c r="DD319" s="332"/>
      <c r="DE319" s="332"/>
      <c r="DF319" s="332"/>
      <c r="DG319" s="332"/>
      <c r="DH319" s="332"/>
      <c r="DI319" s="332"/>
      <c r="DJ319" s="332"/>
      <c r="DK319" s="332"/>
      <c r="DL319" s="332"/>
      <c r="DM319" s="332"/>
      <c r="DN319" s="332"/>
      <c r="DO319" s="332"/>
      <c r="DP319" s="332"/>
      <c r="DQ319" s="332"/>
      <c r="DR319" s="332"/>
      <c r="DS319" s="332"/>
      <c r="DT319" s="332"/>
      <c r="DU319" s="453"/>
      <c r="DV319" s="453"/>
      <c r="DW319" s="453"/>
      <c r="DX319" s="453"/>
      <c r="DY319" s="453"/>
      <c r="DZ319" s="453"/>
      <c r="EA319" s="453"/>
      <c r="EB319" s="453"/>
      <c r="EC319" s="559">
        <f t="shared" si="193"/>
        <v>175</v>
      </c>
      <c r="ED319" s="889">
        <f t="shared" si="194"/>
        <v>0</v>
      </c>
      <c r="EE319" s="890"/>
      <c r="EF319" s="476">
        <v>0</v>
      </c>
      <c r="EG319" s="893">
        <f t="shared" si="195"/>
        <v>0</v>
      </c>
      <c r="EH319" s="893"/>
      <c r="EI319" s="480">
        <v>0</v>
      </c>
      <c r="EJ319" s="453"/>
      <c r="EK319" s="453"/>
      <c r="EL319" s="453"/>
      <c r="EM319" s="483">
        <f t="shared" si="205"/>
        <v>10</v>
      </c>
      <c r="EN319" s="485"/>
      <c r="EO319" s="804"/>
      <c r="EP319" s="805"/>
      <c r="EQ319" s="806"/>
      <c r="ER319" s="808"/>
      <c r="ES319" s="881">
        <f t="shared" si="206"/>
        <v>0</v>
      </c>
      <c r="ET319" s="882"/>
      <c r="EU319" s="883"/>
      <c r="EV319" s="884">
        <f t="shared" si="197"/>
        <v>0</v>
      </c>
      <c r="EW319" s="885"/>
      <c r="EX319" s="885"/>
      <c r="EY319" s="885"/>
      <c r="EZ319" s="885"/>
      <c r="FA319" s="885"/>
      <c r="FB319" s="885"/>
      <c r="FC319" s="885"/>
      <c r="FD319" s="886"/>
      <c r="FE319" s="877"/>
      <c r="FF319" s="877"/>
      <c r="FG319" s="877"/>
      <c r="FH319" s="877"/>
      <c r="FI319" s="877"/>
      <c r="FJ319" s="877"/>
      <c r="FK319" s="877"/>
      <c r="FL319" s="1028"/>
      <c r="FM319" s="1029"/>
      <c r="FN319" s="1029"/>
      <c r="FO319" s="1029"/>
      <c r="FP319" s="1029"/>
      <c r="FQ319" s="1029"/>
      <c r="FR319" s="1029"/>
      <c r="FS319" s="1029"/>
      <c r="FT319" s="1029"/>
      <c r="FU319" s="1029"/>
      <c r="FV319" s="1029"/>
      <c r="FW319" s="1029"/>
      <c r="FX319" s="1029"/>
      <c r="FY319" s="1029"/>
      <c r="FZ319" s="1029"/>
      <c r="GA319" s="1029"/>
      <c r="GB319" s="1030"/>
      <c r="GC319" s="370"/>
      <c r="GD319" s="453"/>
      <c r="GE319" s="453"/>
      <c r="GF319" s="453"/>
      <c r="GG319" s="453"/>
      <c r="GH319" s="454"/>
      <c r="GI319" s="453"/>
      <c r="GJ319" s="453"/>
      <c r="GK319" s="453"/>
      <c r="GL319" s="453"/>
      <c r="GM319" s="453"/>
      <c r="GN319" s="453"/>
      <c r="GO319" s="453"/>
      <c r="GP319" s="453"/>
      <c r="GQ319" s="453"/>
      <c r="GR319" s="453"/>
      <c r="GS319" s="561"/>
      <c r="GT319" s="475"/>
      <c r="GU319" s="472"/>
      <c r="GV319" s="453"/>
      <c r="GW319" s="453"/>
      <c r="GX319" s="869"/>
      <c r="GY319" s="870"/>
      <c r="GZ319" s="867"/>
      <c r="HA319" s="868"/>
      <c r="HB319" s="473"/>
      <c r="HC319" s="869"/>
      <c r="HD319" s="870"/>
      <c r="HE319" s="867"/>
      <c r="HF319" s="868"/>
      <c r="HG319" s="473"/>
      <c r="HH319" s="867"/>
      <c r="HI319" s="868"/>
      <c r="HJ319" s="867"/>
      <c r="HK319" s="868"/>
      <c r="HL319" s="370"/>
      <c r="HM319" s="865"/>
      <c r="HN319" s="866"/>
      <c r="HO319" s="865"/>
      <c r="HP319" s="866"/>
      <c r="HQ319" s="865"/>
      <c r="HR319" s="866"/>
      <c r="HS319" s="867"/>
      <c r="HT319" s="868"/>
      <c r="HU319" s="489"/>
      <c r="HV319" s="865"/>
      <c r="HW319" s="866"/>
    </row>
    <row r="320" spans="13:231" ht="15" customHeight="1">
      <c r="Y320" s="332"/>
      <c r="Z320" s="332"/>
      <c r="AA320" s="332"/>
      <c r="AB320" s="332"/>
      <c r="AC320" s="332"/>
      <c r="AD320" s="332"/>
      <c r="AE320" s="332"/>
      <c r="AF320" s="332"/>
      <c r="AG320" s="332"/>
      <c r="AH320" s="332"/>
      <c r="AI320" s="332"/>
      <c r="AJ320" s="332"/>
      <c r="AK320" s="332"/>
      <c r="AL320" s="332"/>
      <c r="AM320" s="332"/>
      <c r="AN320" s="332"/>
      <c r="AO320" s="332"/>
      <c r="AP320" s="332"/>
      <c r="AQ320" s="332"/>
      <c r="AR320" s="332"/>
      <c r="AS320" s="332"/>
      <c r="AT320" s="332"/>
      <c r="AU320" s="332"/>
      <c r="AV320" s="332"/>
      <c r="AW320" s="332"/>
      <c r="AX320" s="332"/>
      <c r="AY320" s="332"/>
      <c r="AZ320" s="332"/>
      <c r="BA320" s="332"/>
      <c r="BB320" s="332"/>
      <c r="BC320" s="332"/>
      <c r="BD320" s="332"/>
      <c r="BE320" s="332"/>
      <c r="BF320" s="332"/>
      <c r="BG320" s="332"/>
      <c r="BH320" s="332"/>
      <c r="BI320" s="332"/>
      <c r="BJ320" s="332"/>
      <c r="BK320" s="332"/>
      <c r="BL320" s="332"/>
      <c r="BM320" s="332"/>
      <c r="BN320" s="332"/>
      <c r="BO320" s="332"/>
      <c r="BP320" s="332"/>
      <c r="BQ320" s="332"/>
      <c r="BR320" s="332"/>
      <c r="BS320" s="332"/>
      <c r="BT320" s="332"/>
      <c r="BU320" s="332"/>
      <c r="BV320" s="332"/>
      <c r="BW320" s="332"/>
      <c r="BX320" s="332"/>
      <c r="BY320" s="332"/>
      <c r="BZ320" s="332"/>
      <c r="CA320" s="332"/>
      <c r="CB320" s="332"/>
      <c r="CC320" s="332"/>
      <c r="CD320" s="332"/>
      <c r="CE320" s="332"/>
      <c r="CF320" s="332"/>
      <c r="CG320" s="332"/>
      <c r="CH320" s="332"/>
      <c r="CI320" s="332"/>
      <c r="CJ320" s="332"/>
      <c r="CK320" s="332"/>
      <c r="CL320" s="332"/>
      <c r="CM320" s="332"/>
      <c r="CN320" s="332"/>
      <c r="CO320" s="332"/>
      <c r="CP320" s="332"/>
      <c r="CQ320" s="332"/>
      <c r="CR320" s="332"/>
      <c r="CS320" s="332"/>
      <c r="CT320" s="332"/>
      <c r="CU320" s="332"/>
      <c r="CV320" s="332"/>
      <c r="CW320" s="332"/>
      <c r="CX320" s="332"/>
      <c r="CY320" s="332"/>
      <c r="CZ320" s="332"/>
      <c r="DA320" s="332"/>
      <c r="DB320" s="332"/>
      <c r="DC320" s="332"/>
      <c r="DD320" s="332"/>
      <c r="DE320" s="332"/>
      <c r="DF320" s="332"/>
      <c r="DG320" s="332"/>
      <c r="DH320" s="332"/>
      <c r="DI320" s="332"/>
      <c r="DJ320" s="332"/>
      <c r="DK320" s="332"/>
      <c r="DL320" s="332"/>
      <c r="DM320" s="332"/>
      <c r="DN320" s="332"/>
      <c r="DO320" s="332"/>
      <c r="DP320" s="332"/>
      <c r="DQ320" s="332"/>
      <c r="DR320" s="332"/>
      <c r="DS320" s="332"/>
      <c r="DT320" s="332"/>
      <c r="DU320" s="453"/>
      <c r="DV320" s="453"/>
      <c r="DW320" s="453"/>
      <c r="DX320" s="453"/>
      <c r="DY320" s="453"/>
      <c r="DZ320" s="453"/>
      <c r="EA320" s="453"/>
      <c r="EB320" s="453"/>
      <c r="EC320" s="559">
        <f t="shared" si="193"/>
        <v>180</v>
      </c>
      <c r="ED320" s="889">
        <f t="shared" si="194"/>
        <v>0</v>
      </c>
      <c r="EE320" s="890"/>
      <c r="EF320" s="476">
        <v>0</v>
      </c>
      <c r="EG320" s="893">
        <f t="shared" si="195"/>
        <v>0</v>
      </c>
      <c r="EH320" s="893"/>
      <c r="EI320" s="480">
        <v>0</v>
      </c>
      <c r="EJ320" s="453"/>
      <c r="EK320" s="453"/>
      <c r="EL320" s="453"/>
      <c r="EM320" s="483">
        <f t="shared" si="205"/>
        <v>11</v>
      </c>
      <c r="EN320" s="485"/>
      <c r="EO320" s="804"/>
      <c r="EP320" s="805"/>
      <c r="EQ320" s="806"/>
      <c r="ER320" s="808"/>
      <c r="ES320" s="881">
        <f t="shared" si="206"/>
        <v>0</v>
      </c>
      <c r="ET320" s="882"/>
      <c r="EU320" s="883"/>
      <c r="EV320" s="884">
        <f t="shared" si="197"/>
        <v>0</v>
      </c>
      <c r="EW320" s="885"/>
      <c r="EX320" s="885"/>
      <c r="EY320" s="885"/>
      <c r="EZ320" s="885"/>
      <c r="FA320" s="885"/>
      <c r="FB320" s="885"/>
      <c r="FC320" s="885"/>
      <c r="FD320" s="886"/>
      <c r="FE320" s="877"/>
      <c r="FF320" s="877"/>
      <c r="FG320" s="877"/>
      <c r="FH320" s="877"/>
      <c r="FI320" s="877"/>
      <c r="FJ320" s="877"/>
      <c r="FK320" s="877"/>
      <c r="FL320" s="1028"/>
      <c r="FM320" s="1029"/>
      <c r="FN320" s="1029"/>
      <c r="FO320" s="1029"/>
      <c r="FP320" s="1029"/>
      <c r="FQ320" s="1029"/>
      <c r="FR320" s="1029"/>
      <c r="FS320" s="1029"/>
      <c r="FT320" s="1029"/>
      <c r="FU320" s="1029"/>
      <c r="FV320" s="1029"/>
      <c r="FW320" s="1029"/>
      <c r="FX320" s="1029"/>
      <c r="FY320" s="1029"/>
      <c r="FZ320" s="1029"/>
      <c r="GA320" s="1029"/>
      <c r="GB320" s="1030"/>
      <c r="GC320" s="370"/>
      <c r="GD320" s="453"/>
      <c r="GE320" s="453"/>
      <c r="GF320" s="453"/>
      <c r="GG320" s="453"/>
      <c r="GH320" s="454"/>
      <c r="GI320" s="453"/>
      <c r="GJ320" s="453"/>
      <c r="GK320" s="453"/>
      <c r="GL320" s="453"/>
      <c r="GM320" s="453"/>
      <c r="GN320" s="453"/>
      <c r="GO320" s="453"/>
      <c r="GP320" s="453"/>
      <c r="GQ320" s="453"/>
      <c r="GR320" s="453"/>
      <c r="GS320" s="561"/>
      <c r="GT320" s="475"/>
      <c r="GU320" s="472"/>
      <c r="GV320" s="453"/>
      <c r="GW320" s="453"/>
      <c r="GX320" s="869"/>
      <c r="GY320" s="870"/>
      <c r="GZ320" s="867"/>
      <c r="HA320" s="868"/>
      <c r="HB320" s="473"/>
      <c r="HC320" s="869"/>
      <c r="HD320" s="870"/>
      <c r="HE320" s="867"/>
      <c r="HF320" s="868"/>
      <c r="HG320" s="473"/>
      <c r="HH320" s="867"/>
      <c r="HI320" s="868"/>
      <c r="HJ320" s="867"/>
      <c r="HK320" s="868"/>
      <c r="HL320" s="370"/>
      <c r="HM320" s="865"/>
      <c r="HN320" s="866"/>
      <c r="HO320" s="865"/>
      <c r="HP320" s="866"/>
      <c r="HQ320" s="865"/>
      <c r="HR320" s="866"/>
      <c r="HS320" s="867"/>
      <c r="HT320" s="868"/>
      <c r="HU320" s="489"/>
      <c r="HV320" s="865"/>
      <c r="HW320" s="866"/>
    </row>
    <row r="321" spans="25:231" ht="15" customHeight="1">
      <c r="Y321" s="332"/>
      <c r="Z321" s="332"/>
      <c r="AA321" s="332"/>
      <c r="AB321" s="332"/>
      <c r="AC321" s="332"/>
      <c r="AD321" s="332"/>
      <c r="AE321" s="332"/>
      <c r="AF321" s="332"/>
      <c r="AG321" s="332"/>
      <c r="AH321" s="332"/>
      <c r="AI321" s="332"/>
      <c r="AJ321" s="332"/>
      <c r="AK321" s="332"/>
      <c r="AL321" s="332"/>
      <c r="AM321" s="332"/>
      <c r="AN321" s="332"/>
      <c r="AO321" s="332"/>
      <c r="AP321" s="332"/>
      <c r="AQ321" s="332"/>
      <c r="AR321" s="332"/>
      <c r="AS321" s="332"/>
      <c r="AT321" s="332"/>
      <c r="AU321" s="332"/>
      <c r="AV321" s="332"/>
      <c r="AW321" s="332"/>
      <c r="AX321" s="332"/>
      <c r="AY321" s="332"/>
      <c r="AZ321" s="332"/>
      <c r="BA321" s="332"/>
      <c r="BB321" s="332"/>
      <c r="BC321" s="332"/>
      <c r="BD321" s="332"/>
      <c r="BE321" s="332"/>
      <c r="BF321" s="332"/>
      <c r="BG321" s="332"/>
      <c r="BH321" s="332"/>
      <c r="BI321" s="332"/>
      <c r="BJ321" s="332"/>
      <c r="BK321" s="332"/>
      <c r="BL321" s="332"/>
      <c r="BM321" s="332"/>
      <c r="BN321" s="332"/>
      <c r="BO321" s="332"/>
      <c r="BP321" s="332"/>
      <c r="BQ321" s="332"/>
      <c r="BR321" s="332"/>
      <c r="BS321" s="332"/>
      <c r="BT321" s="332"/>
      <c r="BU321" s="332"/>
      <c r="BV321" s="332"/>
      <c r="BW321" s="332"/>
      <c r="BX321" s="332"/>
      <c r="BY321" s="332"/>
      <c r="BZ321" s="332"/>
      <c r="CA321" s="332"/>
      <c r="CB321" s="332"/>
      <c r="CC321" s="332"/>
      <c r="CD321" s="332"/>
      <c r="CE321" s="332"/>
      <c r="CF321" s="332"/>
      <c r="CG321" s="332"/>
      <c r="CH321" s="332"/>
      <c r="CI321" s="332"/>
      <c r="CJ321" s="332"/>
      <c r="CK321" s="332"/>
      <c r="CL321" s="332"/>
      <c r="CM321" s="332"/>
      <c r="CN321" s="332"/>
      <c r="CO321" s="332"/>
      <c r="CP321" s="332"/>
      <c r="CQ321" s="332"/>
      <c r="CR321" s="332"/>
      <c r="CS321" s="332"/>
      <c r="CT321" s="332"/>
      <c r="CU321" s="332"/>
      <c r="CV321" s="332"/>
      <c r="CW321" s="332"/>
      <c r="CX321" s="332"/>
      <c r="CY321" s="332"/>
      <c r="CZ321" s="332"/>
      <c r="DA321" s="332"/>
      <c r="DB321" s="332"/>
      <c r="DC321" s="332"/>
      <c r="DD321" s="332"/>
      <c r="DE321" s="332"/>
      <c r="DF321" s="332"/>
      <c r="DG321" s="332"/>
      <c r="DH321" s="332"/>
      <c r="DI321" s="332"/>
      <c r="DJ321" s="332"/>
      <c r="DK321" s="332"/>
      <c r="DL321" s="332"/>
      <c r="DM321" s="332"/>
      <c r="DN321" s="332"/>
      <c r="DO321" s="332"/>
      <c r="DP321" s="332"/>
      <c r="DQ321" s="332"/>
      <c r="DR321" s="332"/>
      <c r="DS321" s="332"/>
      <c r="DT321" s="332"/>
      <c r="DU321" s="453"/>
      <c r="DV321" s="453"/>
      <c r="DW321" s="453"/>
      <c r="DX321" s="453"/>
      <c r="DY321" s="453"/>
      <c r="DZ321" s="453"/>
      <c r="EA321" s="453"/>
      <c r="EB321" s="453"/>
      <c r="EC321" s="559">
        <f t="shared" si="193"/>
        <v>185</v>
      </c>
      <c r="ED321" s="889">
        <f t="shared" si="194"/>
        <v>50</v>
      </c>
      <c r="EE321" s="890"/>
      <c r="EF321" s="476">
        <v>0</v>
      </c>
      <c r="EG321" s="893">
        <f t="shared" si="195"/>
        <v>0</v>
      </c>
      <c r="EH321" s="893"/>
      <c r="EI321" s="480">
        <v>0</v>
      </c>
      <c r="EJ321" s="453"/>
      <c r="EK321" s="453"/>
      <c r="EL321" s="453"/>
      <c r="EM321" s="483">
        <f t="shared" si="205"/>
        <v>12</v>
      </c>
      <c r="EN321" s="486"/>
      <c r="EO321" s="804"/>
      <c r="EP321" s="805"/>
      <c r="EQ321" s="806"/>
      <c r="ER321" s="808"/>
      <c r="ES321" s="881">
        <f t="shared" si="206"/>
        <v>0</v>
      </c>
      <c r="ET321" s="882"/>
      <c r="EU321" s="883"/>
      <c r="EV321" s="884">
        <f t="shared" si="197"/>
        <v>0</v>
      </c>
      <c r="EW321" s="885"/>
      <c r="EX321" s="885"/>
      <c r="EY321" s="885"/>
      <c r="EZ321" s="885"/>
      <c r="FA321" s="885"/>
      <c r="FB321" s="885"/>
      <c r="FC321" s="885"/>
      <c r="FD321" s="886"/>
      <c r="FE321" s="877"/>
      <c r="FF321" s="877"/>
      <c r="FG321" s="877"/>
      <c r="FH321" s="877"/>
      <c r="FI321" s="877"/>
      <c r="FJ321" s="877"/>
      <c r="FK321" s="877"/>
      <c r="FL321" s="1028"/>
      <c r="FM321" s="1029"/>
      <c r="FN321" s="1029"/>
      <c r="FO321" s="1029"/>
      <c r="FP321" s="1029"/>
      <c r="FQ321" s="1029"/>
      <c r="FR321" s="1029"/>
      <c r="FS321" s="1029"/>
      <c r="FT321" s="1029"/>
      <c r="FU321" s="1029"/>
      <c r="FV321" s="1029"/>
      <c r="FW321" s="1029"/>
      <c r="FX321" s="1029"/>
      <c r="FY321" s="1029"/>
      <c r="FZ321" s="1029"/>
      <c r="GA321" s="1029"/>
      <c r="GB321" s="1030"/>
      <c r="GC321" s="370"/>
      <c r="GD321" s="453"/>
      <c r="GE321" s="453"/>
      <c r="GF321" s="453"/>
      <c r="GG321" s="453"/>
      <c r="GH321" s="454"/>
      <c r="GI321" s="453"/>
      <c r="GJ321" s="453"/>
      <c r="GK321" s="453"/>
      <c r="GL321" s="453"/>
      <c r="GM321" s="453"/>
      <c r="GN321" s="453"/>
      <c r="GO321" s="453"/>
      <c r="GP321" s="453"/>
      <c r="GQ321" s="453"/>
      <c r="GR321" s="453"/>
      <c r="GS321" s="561"/>
      <c r="GT321" s="475"/>
      <c r="GU321" s="472"/>
      <c r="GV321" s="453"/>
      <c r="GW321" s="453"/>
      <c r="GX321" s="869"/>
      <c r="GY321" s="870"/>
      <c r="GZ321" s="867"/>
      <c r="HA321" s="868"/>
      <c r="HB321" s="473"/>
      <c r="HC321" s="869"/>
      <c r="HD321" s="870"/>
      <c r="HE321" s="867"/>
      <c r="HF321" s="868"/>
      <c r="HG321" s="473"/>
      <c r="HH321" s="867"/>
      <c r="HI321" s="868"/>
      <c r="HJ321" s="867"/>
      <c r="HK321" s="868"/>
      <c r="HL321" s="370"/>
      <c r="HM321" s="865"/>
      <c r="HN321" s="866"/>
      <c r="HO321" s="865"/>
      <c r="HP321" s="866"/>
      <c r="HQ321" s="865"/>
      <c r="HR321" s="866"/>
      <c r="HS321" s="867"/>
      <c r="HT321" s="868"/>
      <c r="HU321" s="489"/>
      <c r="HV321" s="865"/>
      <c r="HW321" s="866"/>
    </row>
    <row r="322" spans="25:231" ht="15" customHeight="1">
      <c r="Y322" s="332"/>
      <c r="Z322" s="332"/>
      <c r="AA322" s="332"/>
      <c r="AB322" s="332"/>
      <c r="AC322" s="332"/>
      <c r="AD322" s="332"/>
      <c r="AE322" s="332"/>
      <c r="AF322" s="332"/>
      <c r="AG322" s="332"/>
      <c r="AH322" s="332"/>
      <c r="AI322" s="332"/>
      <c r="AJ322" s="332"/>
      <c r="AK322" s="332"/>
      <c r="AL322" s="332"/>
      <c r="AM322" s="332"/>
      <c r="AN322" s="332"/>
      <c r="AO322" s="332"/>
      <c r="AP322" s="332"/>
      <c r="AQ322" s="332"/>
      <c r="AR322" s="332"/>
      <c r="AS322" s="332"/>
      <c r="AT322" s="332"/>
      <c r="AU322" s="332"/>
      <c r="AV322" s="332"/>
      <c r="AW322" s="332"/>
      <c r="AX322" s="332"/>
      <c r="AY322" s="332"/>
      <c r="AZ322" s="332"/>
      <c r="BA322" s="332"/>
      <c r="BB322" s="332"/>
      <c r="BC322" s="332"/>
      <c r="BD322" s="332"/>
      <c r="BE322" s="332"/>
      <c r="BF322" s="332"/>
      <c r="BG322" s="332"/>
      <c r="BH322" s="332"/>
      <c r="BI322" s="332"/>
      <c r="BJ322" s="332"/>
      <c r="BK322" s="332"/>
      <c r="BL322" s="332"/>
      <c r="BM322" s="332"/>
      <c r="BN322" s="332"/>
      <c r="BO322" s="332"/>
      <c r="BP322" s="332"/>
      <c r="BQ322" s="332"/>
      <c r="BR322" s="332"/>
      <c r="BS322" s="332"/>
      <c r="BT322" s="332"/>
      <c r="BU322" s="332"/>
      <c r="BV322" s="332"/>
      <c r="BW322" s="332"/>
      <c r="BX322" s="332"/>
      <c r="BY322" s="332"/>
      <c r="BZ322" s="332"/>
      <c r="CA322" s="332"/>
      <c r="CB322" s="332"/>
      <c r="CC322" s="332"/>
      <c r="CD322" s="332"/>
      <c r="CE322" s="332"/>
      <c r="CF322" s="332"/>
      <c r="CG322" s="332"/>
      <c r="CH322" s="332"/>
      <c r="CI322" s="332"/>
      <c r="CJ322" s="332"/>
      <c r="CK322" s="332"/>
      <c r="CL322" s="332"/>
      <c r="CM322" s="332"/>
      <c r="CN322" s="332"/>
      <c r="CO322" s="332"/>
      <c r="CP322" s="332"/>
      <c r="CQ322" s="332"/>
      <c r="CR322" s="332"/>
      <c r="CS322" s="332"/>
      <c r="CT322" s="332"/>
      <c r="CU322" s="332"/>
      <c r="CV322" s="332"/>
      <c r="CW322" s="332"/>
      <c r="CX322" s="332"/>
      <c r="CY322" s="332"/>
      <c r="CZ322" s="332"/>
      <c r="DA322" s="332"/>
      <c r="DB322" s="332"/>
      <c r="DC322" s="332"/>
      <c r="DD322" s="332"/>
      <c r="DE322" s="332"/>
      <c r="DF322" s="332"/>
      <c r="DG322" s="332"/>
      <c r="DH322" s="332"/>
      <c r="DI322" s="332"/>
      <c r="DJ322" s="332"/>
      <c r="DK322" s="332"/>
      <c r="DL322" s="332"/>
      <c r="DM322" s="332"/>
      <c r="DN322" s="332"/>
      <c r="DO322" s="332"/>
      <c r="DP322" s="332"/>
      <c r="DQ322" s="332"/>
      <c r="DR322" s="332"/>
      <c r="DS322" s="332"/>
      <c r="DT322" s="332"/>
      <c r="DU322" s="453"/>
      <c r="DV322" s="453"/>
      <c r="DW322" s="453"/>
      <c r="DX322" s="453"/>
      <c r="DY322" s="453"/>
      <c r="DZ322" s="453"/>
      <c r="EA322" s="453"/>
      <c r="EB322" s="453"/>
      <c r="EC322" s="559">
        <f t="shared" si="193"/>
        <v>190</v>
      </c>
      <c r="ED322" s="889">
        <f t="shared" si="194"/>
        <v>0</v>
      </c>
      <c r="EE322" s="890"/>
      <c r="EF322" s="476">
        <v>0</v>
      </c>
      <c r="EG322" s="893">
        <f t="shared" si="195"/>
        <v>0</v>
      </c>
      <c r="EH322" s="893"/>
      <c r="EI322" s="480">
        <v>0</v>
      </c>
      <c r="EJ322" s="453"/>
      <c r="EK322" s="453"/>
      <c r="EL322" s="453"/>
      <c r="EM322" s="483">
        <f t="shared" si="205"/>
        <v>13</v>
      </c>
      <c r="EN322" s="485"/>
      <c r="EO322" s="804"/>
      <c r="EP322" s="805"/>
      <c r="EQ322" s="806"/>
      <c r="ER322" s="808"/>
      <c r="ES322" s="881">
        <f t="shared" si="206"/>
        <v>0</v>
      </c>
      <c r="ET322" s="882"/>
      <c r="EU322" s="883"/>
      <c r="EV322" s="884">
        <f t="shared" si="197"/>
        <v>0</v>
      </c>
      <c r="EW322" s="885"/>
      <c r="EX322" s="885"/>
      <c r="EY322" s="885"/>
      <c r="EZ322" s="885"/>
      <c r="FA322" s="885"/>
      <c r="FB322" s="885"/>
      <c r="FC322" s="885"/>
      <c r="FD322" s="886"/>
      <c r="FE322" s="877"/>
      <c r="FF322" s="877"/>
      <c r="FG322" s="877"/>
      <c r="FH322" s="877"/>
      <c r="FI322" s="877"/>
      <c r="FJ322" s="877"/>
      <c r="FK322" s="877"/>
      <c r="FL322" s="1028"/>
      <c r="FM322" s="1029"/>
      <c r="FN322" s="1029"/>
      <c r="FO322" s="1029"/>
      <c r="FP322" s="1029"/>
      <c r="FQ322" s="1029"/>
      <c r="FR322" s="1029"/>
      <c r="FS322" s="1029"/>
      <c r="FT322" s="1029"/>
      <c r="FU322" s="1029"/>
      <c r="FV322" s="1029"/>
      <c r="FW322" s="1029"/>
      <c r="FX322" s="1029"/>
      <c r="FY322" s="1029"/>
      <c r="FZ322" s="1029"/>
      <c r="GA322" s="1029"/>
      <c r="GB322" s="1030"/>
      <c r="GC322" s="370"/>
      <c r="GD322" s="453"/>
      <c r="GE322" s="453"/>
      <c r="GF322" s="453"/>
      <c r="GG322" s="453"/>
      <c r="GH322" s="454"/>
      <c r="GI322" s="453"/>
      <c r="GJ322" s="453"/>
      <c r="GK322" s="453"/>
      <c r="GL322" s="453"/>
      <c r="GM322" s="453"/>
      <c r="GN322" s="453"/>
      <c r="GO322" s="453"/>
      <c r="GP322" s="453"/>
      <c r="GQ322" s="453"/>
      <c r="GR322" s="453"/>
      <c r="GS322" s="561"/>
      <c r="GT322" s="475"/>
      <c r="GU322" s="472"/>
      <c r="GV322" s="453"/>
      <c r="GW322" s="453"/>
      <c r="GX322" s="869"/>
      <c r="GY322" s="870"/>
      <c r="GZ322" s="867"/>
      <c r="HA322" s="868"/>
      <c r="HB322" s="473"/>
      <c r="HC322" s="869"/>
      <c r="HD322" s="870"/>
      <c r="HE322" s="867"/>
      <c r="HF322" s="868"/>
      <c r="HG322" s="473"/>
      <c r="HH322" s="867"/>
      <c r="HI322" s="868"/>
      <c r="HJ322" s="867"/>
      <c r="HK322" s="868"/>
      <c r="HL322" s="370"/>
      <c r="HM322" s="865"/>
      <c r="HN322" s="866"/>
      <c r="HO322" s="865"/>
      <c r="HP322" s="866"/>
      <c r="HQ322" s="865"/>
      <c r="HR322" s="866"/>
      <c r="HS322" s="867"/>
      <c r="HT322" s="868"/>
      <c r="HU322" s="489"/>
      <c r="HV322" s="865"/>
      <c r="HW322" s="866"/>
    </row>
    <row r="323" spans="25:231" ht="15" customHeight="1">
      <c r="Y323" s="332"/>
      <c r="Z323" s="332"/>
      <c r="AA323" s="332"/>
      <c r="AB323" s="332"/>
      <c r="AC323" s="332"/>
      <c r="AD323" s="332"/>
      <c r="AE323" s="332"/>
      <c r="AF323" s="332"/>
      <c r="AG323" s="332"/>
      <c r="AH323" s="332"/>
      <c r="AI323" s="332"/>
      <c r="AJ323" s="332"/>
      <c r="AK323" s="332"/>
      <c r="AL323" s="332"/>
      <c r="AM323" s="332"/>
      <c r="AN323" s="332"/>
      <c r="AO323" s="332"/>
      <c r="AP323" s="332"/>
      <c r="AQ323" s="332"/>
      <c r="AR323" s="332"/>
      <c r="AS323" s="332"/>
      <c r="AT323" s="332"/>
      <c r="AU323" s="332"/>
      <c r="AV323" s="332"/>
      <c r="AW323" s="332"/>
      <c r="AX323" s="332"/>
      <c r="AY323" s="332"/>
      <c r="AZ323" s="332"/>
      <c r="BA323" s="332"/>
      <c r="BB323" s="332"/>
      <c r="BC323" s="332"/>
      <c r="BD323" s="332"/>
      <c r="BE323" s="332"/>
      <c r="BF323" s="332"/>
      <c r="BG323" s="332"/>
      <c r="BH323" s="332"/>
      <c r="BI323" s="332"/>
      <c r="BJ323" s="332"/>
      <c r="BK323" s="332"/>
      <c r="BL323" s="332"/>
      <c r="BM323" s="332"/>
      <c r="BN323" s="332"/>
      <c r="BO323" s="332"/>
      <c r="BP323" s="332"/>
      <c r="BQ323" s="332"/>
      <c r="BR323" s="332"/>
      <c r="BS323" s="332"/>
      <c r="BT323" s="332"/>
      <c r="BU323" s="332"/>
      <c r="BV323" s="332"/>
      <c r="BW323" s="332"/>
      <c r="BX323" s="332"/>
      <c r="BY323" s="332"/>
      <c r="BZ323" s="332"/>
      <c r="CA323" s="332"/>
      <c r="CB323" s="332"/>
      <c r="CC323" s="332"/>
      <c r="CD323" s="332"/>
      <c r="CE323" s="332"/>
      <c r="CF323" s="332"/>
      <c r="CG323" s="332"/>
      <c r="CH323" s="332"/>
      <c r="CI323" s="332"/>
      <c r="CJ323" s="332"/>
      <c r="CK323" s="332"/>
      <c r="CL323" s="332"/>
      <c r="CM323" s="332"/>
      <c r="CN323" s="332"/>
      <c r="CO323" s="332"/>
      <c r="CP323" s="332"/>
      <c r="CQ323" s="332"/>
      <c r="CR323" s="332"/>
      <c r="CS323" s="332"/>
      <c r="CT323" s="332"/>
      <c r="CU323" s="332"/>
      <c r="CV323" s="332"/>
      <c r="CW323" s="332"/>
      <c r="CX323" s="332"/>
      <c r="CY323" s="332"/>
      <c r="CZ323" s="332"/>
      <c r="DA323" s="332"/>
      <c r="DB323" s="332"/>
      <c r="DC323" s="332"/>
      <c r="DD323" s="332"/>
      <c r="DE323" s="332"/>
      <c r="DF323" s="332"/>
      <c r="DG323" s="332"/>
      <c r="DH323" s="332"/>
      <c r="DI323" s="332"/>
      <c r="DJ323" s="332"/>
      <c r="DK323" s="332"/>
      <c r="DL323" s="332"/>
      <c r="DM323" s="332"/>
      <c r="DN323" s="332"/>
      <c r="DO323" s="332"/>
      <c r="DP323" s="332"/>
      <c r="DQ323" s="332"/>
      <c r="DR323" s="332"/>
      <c r="DS323" s="332"/>
      <c r="DT323" s="332"/>
      <c r="DU323" s="453"/>
      <c r="DV323" s="453"/>
      <c r="DW323" s="453"/>
      <c r="DX323" s="453"/>
      <c r="DY323" s="453"/>
      <c r="DZ323" s="453"/>
      <c r="EA323" s="453"/>
      <c r="EB323" s="453"/>
      <c r="EC323" s="559">
        <f t="shared" si="193"/>
        <v>195</v>
      </c>
      <c r="ED323" s="889">
        <f t="shared" si="194"/>
        <v>0</v>
      </c>
      <c r="EE323" s="890"/>
      <c r="EF323" s="476">
        <v>0</v>
      </c>
      <c r="EG323" s="893">
        <f t="shared" si="195"/>
        <v>0</v>
      </c>
      <c r="EH323" s="893"/>
      <c r="EI323" s="480">
        <v>0</v>
      </c>
      <c r="EJ323" s="453"/>
      <c r="EK323" s="453"/>
      <c r="EL323" s="453"/>
      <c r="EM323" s="483">
        <f t="shared" si="205"/>
        <v>14</v>
      </c>
      <c r="EN323" s="485"/>
      <c r="EO323" s="804"/>
      <c r="EP323" s="805"/>
      <c r="EQ323" s="806"/>
      <c r="ER323" s="808"/>
      <c r="ES323" s="881">
        <f t="shared" si="206"/>
        <v>0</v>
      </c>
      <c r="ET323" s="882"/>
      <c r="EU323" s="883"/>
      <c r="EV323" s="884">
        <f t="shared" si="197"/>
        <v>0</v>
      </c>
      <c r="EW323" s="885"/>
      <c r="EX323" s="885"/>
      <c r="EY323" s="885"/>
      <c r="EZ323" s="885"/>
      <c r="FA323" s="885"/>
      <c r="FB323" s="885"/>
      <c r="FC323" s="885"/>
      <c r="FD323" s="886"/>
      <c r="FE323" s="877"/>
      <c r="FF323" s="877"/>
      <c r="FG323" s="877"/>
      <c r="FH323" s="877"/>
      <c r="FI323" s="877"/>
      <c r="FJ323" s="877"/>
      <c r="FK323" s="877"/>
      <c r="FL323" s="1028"/>
      <c r="FM323" s="1029"/>
      <c r="FN323" s="1029"/>
      <c r="FO323" s="1029"/>
      <c r="FP323" s="1029"/>
      <c r="FQ323" s="1029"/>
      <c r="FR323" s="1029"/>
      <c r="FS323" s="1029"/>
      <c r="FT323" s="1029"/>
      <c r="FU323" s="1029"/>
      <c r="FV323" s="1029"/>
      <c r="FW323" s="1029"/>
      <c r="FX323" s="1029"/>
      <c r="FY323" s="1029"/>
      <c r="FZ323" s="1029"/>
      <c r="GA323" s="1029"/>
      <c r="GB323" s="1030"/>
      <c r="GC323" s="370"/>
      <c r="GD323" s="453"/>
      <c r="GE323" s="453"/>
      <c r="GF323" s="453"/>
      <c r="GG323" s="453"/>
      <c r="GH323" s="454"/>
      <c r="GI323" s="453"/>
      <c r="GJ323" s="453"/>
      <c r="GK323" s="453"/>
      <c r="GL323" s="453"/>
      <c r="GM323" s="453"/>
      <c r="GN323" s="453"/>
      <c r="GO323" s="453"/>
      <c r="GP323" s="453"/>
      <c r="GQ323" s="453"/>
      <c r="GR323" s="453"/>
      <c r="GS323" s="561"/>
      <c r="GT323" s="475"/>
      <c r="GU323" s="472"/>
      <c r="GV323" s="453"/>
      <c r="GW323" s="453"/>
      <c r="GX323" s="869"/>
      <c r="GY323" s="870"/>
      <c r="GZ323" s="867"/>
      <c r="HA323" s="868"/>
      <c r="HB323" s="473"/>
      <c r="HC323" s="869"/>
      <c r="HD323" s="870"/>
      <c r="HE323" s="867"/>
      <c r="HF323" s="868"/>
      <c r="HG323" s="473"/>
      <c r="HH323" s="867"/>
      <c r="HI323" s="868"/>
      <c r="HJ323" s="867"/>
      <c r="HK323" s="868"/>
      <c r="HL323" s="370"/>
      <c r="HM323" s="865"/>
      <c r="HN323" s="866"/>
      <c r="HO323" s="865"/>
      <c r="HP323" s="866"/>
      <c r="HQ323" s="865"/>
      <c r="HR323" s="866"/>
      <c r="HS323" s="867"/>
      <c r="HT323" s="868"/>
      <c r="HU323" s="489"/>
      <c r="HV323" s="865"/>
      <c r="HW323" s="866"/>
    </row>
    <row r="324" spans="25:231" ht="15" customHeight="1">
      <c r="Y324" s="332"/>
      <c r="Z324" s="332"/>
      <c r="AA324" s="332"/>
      <c r="AB324" s="332"/>
      <c r="AC324" s="332"/>
      <c r="AD324" s="332"/>
      <c r="AE324" s="332"/>
      <c r="AF324" s="332"/>
      <c r="AG324" s="332"/>
      <c r="AH324" s="332"/>
      <c r="AI324" s="332"/>
      <c r="AJ324" s="332"/>
      <c r="AK324" s="332"/>
      <c r="AL324" s="332"/>
      <c r="AM324" s="332"/>
      <c r="AN324" s="332"/>
      <c r="AO324" s="332"/>
      <c r="AP324" s="332"/>
      <c r="AQ324" s="332"/>
      <c r="AR324" s="332"/>
      <c r="AS324" s="332"/>
      <c r="AT324" s="332"/>
      <c r="AU324" s="332"/>
      <c r="AV324" s="332"/>
      <c r="AW324" s="332"/>
      <c r="AX324" s="332"/>
      <c r="AY324" s="332"/>
      <c r="AZ324" s="332"/>
      <c r="BA324" s="332"/>
      <c r="BB324" s="332"/>
      <c r="BC324" s="332"/>
      <c r="BD324" s="332"/>
      <c r="BE324" s="332"/>
      <c r="BF324" s="332"/>
      <c r="BG324" s="332"/>
      <c r="BH324" s="332"/>
      <c r="BI324" s="332"/>
      <c r="BJ324" s="332"/>
      <c r="BK324" s="332"/>
      <c r="BL324" s="332"/>
      <c r="BM324" s="332"/>
      <c r="BN324" s="332"/>
      <c r="BO324" s="332"/>
      <c r="BP324" s="332"/>
      <c r="BQ324" s="332"/>
      <c r="BR324" s="332"/>
      <c r="BS324" s="332"/>
      <c r="BT324" s="332"/>
      <c r="BU324" s="332"/>
      <c r="BV324" s="332"/>
      <c r="BW324" s="332"/>
      <c r="BX324" s="332"/>
      <c r="BY324" s="332"/>
      <c r="BZ324" s="332"/>
      <c r="CA324" s="332"/>
      <c r="CB324" s="332"/>
      <c r="CC324" s="332"/>
      <c r="CD324" s="332"/>
      <c r="CE324" s="332"/>
      <c r="CF324" s="332"/>
      <c r="CG324" s="332"/>
      <c r="CH324" s="332"/>
      <c r="CI324" s="332"/>
      <c r="CJ324" s="332"/>
      <c r="CK324" s="332"/>
      <c r="CL324" s="332"/>
      <c r="CM324" s="332"/>
      <c r="CN324" s="332"/>
      <c r="CO324" s="332"/>
      <c r="CP324" s="332"/>
      <c r="CQ324" s="332"/>
      <c r="CR324" s="332"/>
      <c r="CS324" s="332"/>
      <c r="CT324" s="332"/>
      <c r="CU324" s="332"/>
      <c r="CV324" s="332"/>
      <c r="CW324" s="332"/>
      <c r="CX324" s="332"/>
      <c r="CY324" s="332"/>
      <c r="CZ324" s="332"/>
      <c r="DA324" s="332"/>
      <c r="DB324" s="332"/>
      <c r="DC324" s="332"/>
      <c r="DD324" s="332"/>
      <c r="DE324" s="332"/>
      <c r="DF324" s="332"/>
      <c r="DG324" s="332"/>
      <c r="DH324" s="332"/>
      <c r="DI324" s="332"/>
      <c r="DJ324" s="332"/>
      <c r="DK324" s="332"/>
      <c r="DL324" s="332"/>
      <c r="DM324" s="332"/>
      <c r="DN324" s="332"/>
      <c r="DO324" s="332"/>
      <c r="DP324" s="332"/>
      <c r="DQ324" s="332"/>
      <c r="DR324" s="332"/>
      <c r="DS324" s="332"/>
      <c r="DT324" s="332"/>
      <c r="DU324" s="453"/>
      <c r="DV324" s="453"/>
      <c r="DW324" s="453"/>
      <c r="DX324" s="453"/>
      <c r="DY324" s="453"/>
      <c r="DZ324" s="453"/>
      <c r="EA324" s="453"/>
      <c r="EB324" s="453"/>
      <c r="EC324" s="559">
        <f t="shared" si="193"/>
        <v>200</v>
      </c>
      <c r="ED324" s="889">
        <f t="shared" si="194"/>
        <v>0</v>
      </c>
      <c r="EE324" s="890"/>
      <c r="EF324" s="476">
        <v>0</v>
      </c>
      <c r="EG324" s="893">
        <f t="shared" si="195"/>
        <v>0</v>
      </c>
      <c r="EH324" s="893"/>
      <c r="EI324" s="480">
        <v>0</v>
      </c>
      <c r="EJ324" s="453"/>
      <c r="EK324" s="453"/>
      <c r="EL324" s="453"/>
      <c r="EM324" s="483">
        <f t="shared" si="205"/>
        <v>15</v>
      </c>
      <c r="EN324" s="485"/>
      <c r="EO324" s="804"/>
      <c r="EP324" s="805"/>
      <c r="EQ324" s="806"/>
      <c r="ER324" s="808"/>
      <c r="ES324" s="881">
        <f t="shared" si="206"/>
        <v>0</v>
      </c>
      <c r="ET324" s="882"/>
      <c r="EU324" s="883"/>
      <c r="EV324" s="884">
        <f t="shared" si="197"/>
        <v>0</v>
      </c>
      <c r="EW324" s="885"/>
      <c r="EX324" s="885"/>
      <c r="EY324" s="885"/>
      <c r="EZ324" s="885"/>
      <c r="FA324" s="885"/>
      <c r="FB324" s="885"/>
      <c r="FC324" s="885"/>
      <c r="FD324" s="886"/>
      <c r="FE324" s="878"/>
      <c r="FF324" s="878"/>
      <c r="FG324" s="878"/>
      <c r="FH324" s="878"/>
      <c r="FI324" s="878"/>
      <c r="FJ324" s="878"/>
      <c r="FK324" s="878"/>
      <c r="FL324" s="555"/>
      <c r="FM324" s="554"/>
      <c r="FN324" s="554"/>
      <c r="FO324" s="554"/>
      <c r="FP324" s="554"/>
      <c r="FQ324" s="554"/>
      <c r="FR324" s="554"/>
      <c r="FS324" s="554"/>
      <c r="FT324" s="554"/>
      <c r="FU324" s="554"/>
      <c r="FV324" s="554"/>
      <c r="FW324" s="554"/>
      <c r="FX324" s="554"/>
      <c r="FY324" s="554"/>
      <c r="FZ324" s="554"/>
      <c r="GA324" s="554"/>
      <c r="GB324" s="556"/>
      <c r="GC324" s="370"/>
      <c r="GD324" s="453"/>
      <c r="GE324" s="453"/>
      <c r="GF324" s="453"/>
      <c r="GG324" s="453"/>
      <c r="GH324" s="454"/>
      <c r="GI324" s="453"/>
      <c r="GJ324" s="453"/>
      <c r="GK324" s="453"/>
      <c r="GL324" s="453"/>
      <c r="GM324" s="453"/>
      <c r="GN324" s="453"/>
      <c r="GO324" s="453"/>
      <c r="GP324" s="453"/>
      <c r="GQ324" s="453"/>
      <c r="GR324" s="453"/>
      <c r="GS324" s="561"/>
      <c r="GT324" s="475"/>
      <c r="GU324" s="472"/>
      <c r="GV324" s="453"/>
      <c r="GW324" s="453"/>
      <c r="GX324" s="869"/>
      <c r="GY324" s="870"/>
      <c r="GZ324" s="867"/>
      <c r="HA324" s="868"/>
      <c r="HB324" s="473"/>
      <c r="HC324" s="869"/>
      <c r="HD324" s="870"/>
      <c r="HE324" s="867"/>
      <c r="HF324" s="868"/>
      <c r="HG324" s="473"/>
      <c r="HH324" s="867"/>
      <c r="HI324" s="868"/>
      <c r="HJ324" s="867"/>
      <c r="HK324" s="868"/>
      <c r="HL324" s="370"/>
      <c r="HM324" s="865"/>
      <c r="HN324" s="866"/>
      <c r="HO324" s="865"/>
      <c r="HP324" s="866"/>
      <c r="HQ324" s="865"/>
      <c r="HR324" s="866"/>
      <c r="HS324" s="867"/>
      <c r="HT324" s="868"/>
      <c r="HU324" s="489"/>
      <c r="HV324" s="865"/>
      <c r="HW324" s="866"/>
    </row>
    <row r="325" spans="25:231" ht="15" customHeight="1">
      <c r="Y325" s="332"/>
      <c r="Z325" s="332"/>
      <c r="AA325" s="332"/>
      <c r="AB325" s="332"/>
      <c r="AC325" s="332"/>
      <c r="AD325" s="332"/>
      <c r="AE325" s="332"/>
      <c r="AF325" s="332"/>
      <c r="AG325" s="332"/>
      <c r="AH325" s="332"/>
      <c r="AI325" s="332"/>
      <c r="AJ325" s="332"/>
      <c r="AK325" s="332"/>
      <c r="AL325" s="332"/>
      <c r="AM325" s="332"/>
      <c r="AN325" s="332"/>
      <c r="AO325" s="332"/>
      <c r="AP325" s="332"/>
      <c r="AQ325" s="332"/>
      <c r="AR325" s="332"/>
      <c r="AS325" s="332"/>
      <c r="AT325" s="332"/>
      <c r="AU325" s="332"/>
      <c r="AV325" s="332"/>
      <c r="AW325" s="332"/>
      <c r="AX325" s="332"/>
      <c r="AY325" s="332"/>
      <c r="AZ325" s="332"/>
      <c r="BA325" s="332"/>
      <c r="BB325" s="332"/>
      <c r="BC325" s="332"/>
      <c r="BD325" s="332"/>
      <c r="BE325" s="332"/>
      <c r="BF325" s="332"/>
      <c r="BG325" s="332"/>
      <c r="BH325" s="332"/>
      <c r="BI325" s="332"/>
      <c r="BJ325" s="332"/>
      <c r="BK325" s="332"/>
      <c r="BL325" s="332"/>
      <c r="BM325" s="332"/>
      <c r="BN325" s="332"/>
      <c r="BO325" s="332"/>
      <c r="BP325" s="332"/>
      <c r="BQ325" s="332"/>
      <c r="BR325" s="332"/>
      <c r="BS325" s="332"/>
      <c r="BT325" s="332"/>
      <c r="BU325" s="332"/>
      <c r="BV325" s="332"/>
      <c r="BW325" s="332"/>
      <c r="BX325" s="332"/>
      <c r="BY325" s="332"/>
      <c r="BZ325" s="332"/>
      <c r="CA325" s="332"/>
      <c r="CB325" s="332"/>
      <c r="CC325" s="332"/>
      <c r="CD325" s="332"/>
      <c r="CE325" s="332"/>
      <c r="CF325" s="332"/>
      <c r="CG325" s="332"/>
      <c r="CH325" s="332"/>
      <c r="CI325" s="332"/>
      <c r="CJ325" s="332"/>
      <c r="CK325" s="332"/>
      <c r="CL325" s="332"/>
      <c r="CM325" s="332"/>
      <c r="CN325" s="332"/>
      <c r="CO325" s="332"/>
      <c r="CP325" s="332"/>
      <c r="CQ325" s="332"/>
      <c r="CR325" s="332"/>
      <c r="CS325" s="332"/>
      <c r="CT325" s="332"/>
      <c r="CU325" s="332"/>
      <c r="CV325" s="332"/>
      <c r="CW325" s="332"/>
      <c r="CX325" s="332"/>
      <c r="CY325" s="332"/>
      <c r="CZ325" s="332"/>
      <c r="DA325" s="332"/>
      <c r="DB325" s="332"/>
      <c r="DC325" s="332"/>
      <c r="DD325" s="332"/>
      <c r="DE325" s="332"/>
      <c r="DF325" s="332"/>
      <c r="DG325" s="332"/>
      <c r="DH325" s="332"/>
      <c r="DI325" s="332"/>
      <c r="DJ325" s="332"/>
      <c r="DK325" s="332"/>
      <c r="DL325" s="332"/>
      <c r="DM325" s="332"/>
      <c r="DN325" s="332"/>
      <c r="DO325" s="332"/>
      <c r="DP325" s="332"/>
      <c r="DQ325" s="332"/>
      <c r="DR325" s="332"/>
      <c r="DS325" s="332"/>
      <c r="DT325" s="332"/>
      <c r="DU325" s="453"/>
      <c r="DV325" s="453"/>
      <c r="DW325" s="453"/>
      <c r="DX325" s="453"/>
      <c r="DY325" s="453"/>
      <c r="DZ325" s="453"/>
      <c r="EA325" s="453"/>
      <c r="EB325" s="453"/>
      <c r="EC325" s="559">
        <f t="shared" si="193"/>
        <v>210</v>
      </c>
      <c r="ED325" s="889">
        <f t="shared" si="194"/>
        <v>-50</v>
      </c>
      <c r="EE325" s="890"/>
      <c r="EF325" s="476">
        <v>0</v>
      </c>
      <c r="EG325" s="893">
        <f t="shared" si="195"/>
        <v>0</v>
      </c>
      <c r="EH325" s="893"/>
      <c r="EI325" s="480">
        <v>0</v>
      </c>
      <c r="EJ325" s="453"/>
      <c r="EK325" s="453"/>
      <c r="EL325" s="453"/>
      <c r="EM325" s="483">
        <f t="shared" si="205"/>
        <v>16</v>
      </c>
      <c r="EN325" s="485"/>
      <c r="EO325" s="804"/>
      <c r="EP325" s="805"/>
      <c r="EQ325" s="806"/>
      <c r="ER325" s="808"/>
      <c r="ES325" s="881">
        <f t="shared" si="206"/>
        <v>0</v>
      </c>
      <c r="ET325" s="882"/>
      <c r="EU325" s="883"/>
      <c r="EV325" s="884">
        <f t="shared" si="197"/>
        <v>0</v>
      </c>
      <c r="EW325" s="885"/>
      <c r="EX325" s="885"/>
      <c r="EY325" s="885"/>
      <c r="EZ325" s="885"/>
      <c r="FA325" s="885"/>
      <c r="FB325" s="885"/>
      <c r="FC325" s="885"/>
      <c r="FD325" s="886"/>
      <c r="FE325" s="878"/>
      <c r="FF325" s="878"/>
      <c r="FG325" s="878"/>
      <c r="FH325" s="878"/>
      <c r="FI325" s="878"/>
      <c r="FJ325" s="878"/>
      <c r="FK325" s="878"/>
      <c r="FL325" s="555"/>
      <c r="FM325" s="554"/>
      <c r="FN325" s="554"/>
      <c r="FO325" s="554"/>
      <c r="FP325" s="554"/>
      <c r="FQ325" s="554"/>
      <c r="FR325" s="554"/>
      <c r="FS325" s="554"/>
      <c r="FT325" s="554"/>
      <c r="FU325" s="554"/>
      <c r="FV325" s="554"/>
      <c r="FW325" s="554"/>
      <c r="FX325" s="554"/>
      <c r="FY325" s="554"/>
      <c r="FZ325" s="554"/>
      <c r="GA325" s="554"/>
      <c r="GB325" s="556"/>
      <c r="GC325" s="370"/>
      <c r="GD325" s="453"/>
      <c r="GE325" s="453"/>
      <c r="GF325" s="453"/>
      <c r="GG325" s="453"/>
      <c r="GH325" s="454"/>
      <c r="GI325" s="453"/>
      <c r="GJ325" s="453"/>
      <c r="GK325" s="453"/>
      <c r="GL325" s="453"/>
      <c r="GM325" s="453"/>
      <c r="GN325" s="453"/>
      <c r="GO325" s="453"/>
      <c r="GP325" s="453"/>
      <c r="GQ325" s="453"/>
      <c r="GR325" s="453"/>
      <c r="GS325" s="561"/>
      <c r="GT325" s="475"/>
      <c r="GU325" s="472"/>
      <c r="GV325" s="453"/>
      <c r="GW325" s="453"/>
      <c r="GX325" s="869"/>
      <c r="GY325" s="870"/>
      <c r="GZ325" s="867"/>
      <c r="HA325" s="868"/>
      <c r="HB325" s="473"/>
      <c r="HC325" s="869"/>
      <c r="HD325" s="870"/>
      <c r="HE325" s="867"/>
      <c r="HF325" s="868"/>
      <c r="HG325" s="473"/>
      <c r="HH325" s="867"/>
      <c r="HI325" s="868"/>
      <c r="HJ325" s="867"/>
      <c r="HK325" s="868"/>
      <c r="HL325" s="370"/>
      <c r="HM325" s="865"/>
      <c r="HN325" s="866"/>
      <c r="HO325" s="865"/>
      <c r="HP325" s="866"/>
      <c r="HQ325" s="865"/>
      <c r="HR325" s="866"/>
      <c r="HS325" s="867"/>
      <c r="HT325" s="868"/>
      <c r="HU325" s="489"/>
      <c r="HV325" s="865"/>
      <c r="HW325" s="866"/>
    </row>
    <row r="326" spans="25:231" ht="15" customHeight="1">
      <c r="Y326" s="332"/>
      <c r="Z326" s="332"/>
      <c r="AA326" s="332"/>
      <c r="AB326" s="332"/>
      <c r="AC326" s="332"/>
      <c r="AD326" s="332"/>
      <c r="AE326" s="332"/>
      <c r="AF326" s="332"/>
      <c r="AG326" s="332"/>
      <c r="AH326" s="332"/>
      <c r="AI326" s="332"/>
      <c r="AJ326" s="332"/>
      <c r="AK326" s="332"/>
      <c r="AL326" s="332"/>
      <c r="AM326" s="332"/>
      <c r="AN326" s="332"/>
      <c r="AO326" s="332"/>
      <c r="AP326" s="332"/>
      <c r="AQ326" s="332"/>
      <c r="AR326" s="332"/>
      <c r="AS326" s="332"/>
      <c r="AT326" s="332"/>
      <c r="AU326" s="332"/>
      <c r="AV326" s="332"/>
      <c r="AW326" s="332"/>
      <c r="AX326" s="332"/>
      <c r="AY326" s="332"/>
      <c r="AZ326" s="332"/>
      <c r="BA326" s="332"/>
      <c r="BB326" s="332"/>
      <c r="BC326" s="332"/>
      <c r="BD326" s="332"/>
      <c r="BE326" s="332"/>
      <c r="BF326" s="332"/>
      <c r="BG326" s="332"/>
      <c r="BH326" s="332"/>
      <c r="BI326" s="332"/>
      <c r="BJ326" s="332"/>
      <c r="BK326" s="332"/>
      <c r="BL326" s="332"/>
      <c r="BM326" s="332"/>
      <c r="BN326" s="332"/>
      <c r="BO326" s="332"/>
      <c r="BP326" s="332"/>
      <c r="BQ326" s="332"/>
      <c r="BR326" s="332"/>
      <c r="BS326" s="332"/>
      <c r="BT326" s="332"/>
      <c r="BU326" s="332"/>
      <c r="BV326" s="332"/>
      <c r="BW326" s="332"/>
      <c r="BX326" s="332"/>
      <c r="BY326" s="332"/>
      <c r="BZ326" s="332"/>
      <c r="CA326" s="332"/>
      <c r="CB326" s="332"/>
      <c r="CC326" s="332"/>
      <c r="CD326" s="332"/>
      <c r="CE326" s="332"/>
      <c r="CF326" s="332"/>
      <c r="CG326" s="332"/>
      <c r="CH326" s="332"/>
      <c r="CI326" s="332"/>
      <c r="CJ326" s="332"/>
      <c r="CK326" s="332"/>
      <c r="CL326" s="332"/>
      <c r="CM326" s="332"/>
      <c r="CN326" s="332"/>
      <c r="CO326" s="332"/>
      <c r="CP326" s="332"/>
      <c r="CQ326" s="332"/>
      <c r="CR326" s="332"/>
      <c r="CS326" s="332"/>
      <c r="CT326" s="332"/>
      <c r="CU326" s="332"/>
      <c r="CV326" s="332"/>
      <c r="CW326" s="332"/>
      <c r="CX326" s="332"/>
      <c r="CY326" s="332"/>
      <c r="CZ326" s="332"/>
      <c r="DA326" s="332"/>
      <c r="DB326" s="332"/>
      <c r="DC326" s="332"/>
      <c r="DD326" s="332"/>
      <c r="DE326" s="332"/>
      <c r="DF326" s="332"/>
      <c r="DG326" s="332"/>
      <c r="DH326" s="332"/>
      <c r="DI326" s="332"/>
      <c r="DJ326" s="332"/>
      <c r="DK326" s="332"/>
      <c r="DL326" s="332"/>
      <c r="DM326" s="332"/>
      <c r="DN326" s="332"/>
      <c r="DO326" s="332"/>
      <c r="DP326" s="332"/>
      <c r="DQ326" s="332"/>
      <c r="DR326" s="332"/>
      <c r="DS326" s="332"/>
      <c r="DT326" s="332"/>
      <c r="DU326" s="453"/>
      <c r="DV326" s="453"/>
      <c r="DW326" s="453"/>
      <c r="DX326" s="453"/>
      <c r="DY326" s="453"/>
      <c r="DZ326" s="453"/>
      <c r="EA326" s="453"/>
      <c r="EB326" s="453"/>
      <c r="EC326" s="559">
        <f t="shared" si="193"/>
        <v>220</v>
      </c>
      <c r="ED326" s="889">
        <f t="shared" si="194"/>
        <v>0</v>
      </c>
      <c r="EE326" s="890"/>
      <c r="EF326" s="476">
        <v>0</v>
      </c>
      <c r="EG326" s="893">
        <f t="shared" si="195"/>
        <v>0</v>
      </c>
      <c r="EH326" s="893"/>
      <c r="EI326" s="480">
        <v>0</v>
      </c>
      <c r="EJ326" s="453"/>
      <c r="EK326" s="453"/>
      <c r="EL326" s="453"/>
      <c r="EM326" s="483">
        <f t="shared" si="205"/>
        <v>17</v>
      </c>
      <c r="EN326" s="485"/>
      <c r="EO326" s="804"/>
      <c r="EP326" s="805"/>
      <c r="EQ326" s="806"/>
      <c r="ER326" s="808"/>
      <c r="ES326" s="881">
        <f t="shared" si="206"/>
        <v>0</v>
      </c>
      <c r="ET326" s="882"/>
      <c r="EU326" s="883"/>
      <c r="EV326" s="884">
        <f t="shared" si="197"/>
        <v>0</v>
      </c>
      <c r="EW326" s="885"/>
      <c r="EX326" s="885"/>
      <c r="EY326" s="885"/>
      <c r="EZ326" s="885"/>
      <c r="FA326" s="885"/>
      <c r="FB326" s="885"/>
      <c r="FC326" s="885"/>
      <c r="FD326" s="886"/>
      <c r="FE326" s="878"/>
      <c r="FF326" s="878"/>
      <c r="FG326" s="878"/>
      <c r="FH326" s="878"/>
      <c r="FI326" s="878"/>
      <c r="FJ326" s="878"/>
      <c r="FK326" s="878"/>
      <c r="FL326" s="555"/>
      <c r="FM326" s="554"/>
      <c r="FN326" s="554"/>
      <c r="FO326" s="554"/>
      <c r="FP326" s="554"/>
      <c r="FQ326" s="554"/>
      <c r="FR326" s="554"/>
      <c r="FS326" s="554"/>
      <c r="FT326" s="554"/>
      <c r="FU326" s="554"/>
      <c r="FV326" s="554"/>
      <c r="FW326" s="554"/>
      <c r="FX326" s="554"/>
      <c r="FY326" s="554"/>
      <c r="FZ326" s="554"/>
      <c r="GA326" s="554"/>
      <c r="GB326" s="556"/>
      <c r="GC326" s="370"/>
      <c r="GD326" s="453"/>
      <c r="GE326" s="453"/>
      <c r="GF326" s="453"/>
      <c r="GG326" s="453"/>
      <c r="GH326" s="454"/>
      <c r="GI326" s="453"/>
      <c r="GJ326" s="453"/>
      <c r="GK326" s="453"/>
      <c r="GL326" s="453"/>
      <c r="GM326" s="453"/>
      <c r="GN326" s="453"/>
      <c r="GO326" s="453"/>
      <c r="GP326" s="453"/>
      <c r="GQ326" s="453"/>
      <c r="GR326" s="453"/>
      <c r="GS326" s="561"/>
      <c r="GT326" s="475"/>
      <c r="GU326" s="472"/>
      <c r="GV326" s="453"/>
      <c r="GW326" s="453"/>
      <c r="GX326" s="869"/>
      <c r="GY326" s="870"/>
      <c r="GZ326" s="867"/>
      <c r="HA326" s="868"/>
      <c r="HB326" s="473"/>
      <c r="HC326" s="869"/>
      <c r="HD326" s="870"/>
      <c r="HE326" s="867"/>
      <c r="HF326" s="868"/>
      <c r="HG326" s="473"/>
      <c r="HH326" s="867"/>
      <c r="HI326" s="868"/>
      <c r="HJ326" s="867"/>
      <c r="HK326" s="868"/>
      <c r="HL326" s="370"/>
      <c r="HM326" s="865"/>
      <c r="HN326" s="866"/>
      <c r="HO326" s="865"/>
      <c r="HP326" s="866"/>
      <c r="HQ326" s="865"/>
      <c r="HR326" s="866"/>
      <c r="HS326" s="867"/>
      <c r="HT326" s="868"/>
      <c r="HU326" s="489"/>
      <c r="HV326" s="865"/>
      <c r="HW326" s="866"/>
    </row>
    <row r="327" spans="25:231" ht="15" customHeight="1">
      <c r="Y327" s="332"/>
      <c r="Z327" s="332"/>
      <c r="AA327" s="332"/>
      <c r="AB327" s="332"/>
      <c r="AC327" s="332"/>
      <c r="AD327" s="332"/>
      <c r="AE327" s="332"/>
      <c r="AF327" s="332"/>
      <c r="AG327" s="332"/>
      <c r="AH327" s="332"/>
      <c r="AI327" s="332"/>
      <c r="AJ327" s="332"/>
      <c r="AK327" s="332"/>
      <c r="AL327" s="332"/>
      <c r="AM327" s="332"/>
      <c r="AN327" s="332"/>
      <c r="AO327" s="332"/>
      <c r="AP327" s="332"/>
      <c r="AQ327" s="332"/>
      <c r="AR327" s="332"/>
      <c r="AS327" s="332"/>
      <c r="AT327" s="332"/>
      <c r="AU327" s="332"/>
      <c r="AV327" s="332"/>
      <c r="AW327" s="332"/>
      <c r="AX327" s="332"/>
      <c r="AY327" s="332"/>
      <c r="AZ327" s="332"/>
      <c r="BA327" s="332"/>
      <c r="BB327" s="332"/>
      <c r="BC327" s="332"/>
      <c r="BD327" s="332"/>
      <c r="BE327" s="332"/>
      <c r="BF327" s="332"/>
      <c r="BG327" s="332"/>
      <c r="BH327" s="332"/>
      <c r="BI327" s="332"/>
      <c r="BJ327" s="332"/>
      <c r="BK327" s="332"/>
      <c r="BL327" s="332"/>
      <c r="BM327" s="332"/>
      <c r="BN327" s="332"/>
      <c r="BO327" s="332"/>
      <c r="BP327" s="332"/>
      <c r="BQ327" s="332"/>
      <c r="BR327" s="332"/>
      <c r="BS327" s="332"/>
      <c r="BT327" s="332"/>
      <c r="BU327" s="332"/>
      <c r="BV327" s="332"/>
      <c r="BW327" s="332"/>
      <c r="BX327" s="332"/>
      <c r="BY327" s="332"/>
      <c r="BZ327" s="332"/>
      <c r="CA327" s="332"/>
      <c r="CB327" s="332"/>
      <c r="CC327" s="332"/>
      <c r="CD327" s="332"/>
      <c r="CE327" s="332"/>
      <c r="CF327" s="332"/>
      <c r="CG327" s="332"/>
      <c r="CH327" s="332"/>
      <c r="CI327" s="332"/>
      <c r="CJ327" s="332"/>
      <c r="CK327" s="332"/>
      <c r="CL327" s="332"/>
      <c r="CM327" s="332"/>
      <c r="CN327" s="332"/>
      <c r="CO327" s="332"/>
      <c r="CP327" s="332"/>
      <c r="CQ327" s="332"/>
      <c r="CR327" s="332"/>
      <c r="CS327" s="332"/>
      <c r="CT327" s="332"/>
      <c r="CU327" s="332"/>
      <c r="CV327" s="332"/>
      <c r="CW327" s="332"/>
      <c r="CX327" s="332"/>
      <c r="CY327" s="332"/>
      <c r="CZ327" s="332"/>
      <c r="DA327" s="332"/>
      <c r="DB327" s="332"/>
      <c r="DC327" s="332"/>
      <c r="DD327" s="332"/>
      <c r="DE327" s="332"/>
      <c r="DF327" s="332"/>
      <c r="DG327" s="332"/>
      <c r="DH327" s="332"/>
      <c r="DI327" s="332"/>
      <c r="DJ327" s="332"/>
      <c r="DK327" s="332"/>
      <c r="DL327" s="332"/>
      <c r="DM327" s="332"/>
      <c r="DN327" s="332"/>
      <c r="DO327" s="332"/>
      <c r="DP327" s="332"/>
      <c r="DQ327" s="332"/>
      <c r="DR327" s="332"/>
      <c r="DS327" s="332"/>
      <c r="DT327" s="332"/>
      <c r="DU327" s="453"/>
      <c r="DV327" s="453"/>
      <c r="DW327" s="453"/>
      <c r="DX327" s="453"/>
      <c r="DY327" s="453"/>
      <c r="DZ327" s="453"/>
      <c r="EA327" s="453"/>
      <c r="EB327" s="453"/>
      <c r="EC327" s="559">
        <f t="shared" si="193"/>
        <v>230</v>
      </c>
      <c r="ED327" s="889">
        <f t="shared" si="194"/>
        <v>0</v>
      </c>
      <c r="EE327" s="890"/>
      <c r="EF327" s="476">
        <v>0</v>
      </c>
      <c r="EG327" s="893">
        <f t="shared" si="195"/>
        <v>0</v>
      </c>
      <c r="EH327" s="893"/>
      <c r="EI327" s="480">
        <v>0</v>
      </c>
      <c r="EJ327" s="453"/>
      <c r="EK327" s="453"/>
      <c r="EL327" s="453"/>
      <c r="EM327" s="483">
        <f t="shared" si="205"/>
        <v>18</v>
      </c>
      <c r="EN327" s="485"/>
      <c r="EO327" s="804"/>
      <c r="EP327" s="805"/>
      <c r="EQ327" s="806"/>
      <c r="ER327" s="808"/>
      <c r="ES327" s="881">
        <f t="shared" si="206"/>
        <v>0</v>
      </c>
      <c r="ET327" s="882"/>
      <c r="EU327" s="883"/>
      <c r="EV327" s="884">
        <f t="shared" si="197"/>
        <v>0</v>
      </c>
      <c r="EW327" s="885"/>
      <c r="EX327" s="885"/>
      <c r="EY327" s="885"/>
      <c r="EZ327" s="885"/>
      <c r="FA327" s="885"/>
      <c r="FB327" s="885"/>
      <c r="FC327" s="885"/>
      <c r="FD327" s="886"/>
      <c r="FE327" s="878"/>
      <c r="FF327" s="878"/>
      <c r="FG327" s="878"/>
      <c r="FH327" s="878"/>
      <c r="FI327" s="878"/>
      <c r="FJ327" s="878"/>
      <c r="FK327" s="878"/>
      <c r="FL327" s="555"/>
      <c r="FM327" s="554"/>
      <c r="FN327" s="554"/>
      <c r="FO327" s="554"/>
      <c r="FP327" s="554"/>
      <c r="FQ327" s="554"/>
      <c r="FR327" s="554"/>
      <c r="FS327" s="554"/>
      <c r="FT327" s="554"/>
      <c r="FU327" s="554"/>
      <c r="FV327" s="554"/>
      <c r="FW327" s="554"/>
      <c r="FX327" s="554"/>
      <c r="FY327" s="554"/>
      <c r="FZ327" s="554"/>
      <c r="GA327" s="554"/>
      <c r="GB327" s="556"/>
      <c r="GC327" s="370"/>
      <c r="GD327" s="453"/>
      <c r="GE327" s="453"/>
      <c r="GF327" s="453"/>
      <c r="GG327" s="453"/>
      <c r="GH327" s="454"/>
      <c r="GI327" s="453"/>
      <c r="GJ327" s="453"/>
      <c r="GK327" s="453"/>
      <c r="GL327" s="453"/>
      <c r="GM327" s="453"/>
      <c r="GN327" s="453"/>
      <c r="GO327" s="453"/>
      <c r="GP327" s="453"/>
      <c r="GQ327" s="453"/>
      <c r="GR327" s="453"/>
      <c r="GS327" s="561"/>
      <c r="GT327" s="475"/>
      <c r="GU327" s="472"/>
      <c r="GV327" s="453"/>
      <c r="GW327" s="453"/>
      <c r="GX327" s="869"/>
      <c r="GY327" s="870"/>
      <c r="GZ327" s="867"/>
      <c r="HA327" s="868"/>
      <c r="HB327" s="473"/>
      <c r="HC327" s="869"/>
      <c r="HD327" s="870"/>
      <c r="HE327" s="867"/>
      <c r="HF327" s="868"/>
      <c r="HG327" s="473"/>
      <c r="HH327" s="867"/>
      <c r="HI327" s="868"/>
      <c r="HJ327" s="867"/>
      <c r="HK327" s="868"/>
      <c r="HL327" s="370"/>
      <c r="HM327" s="865"/>
      <c r="HN327" s="866"/>
      <c r="HO327" s="865"/>
      <c r="HP327" s="866"/>
      <c r="HQ327" s="865"/>
      <c r="HR327" s="866"/>
      <c r="HS327" s="867"/>
      <c r="HT327" s="868"/>
      <c r="HU327" s="489"/>
      <c r="HV327" s="865"/>
      <c r="HW327" s="866"/>
    </row>
    <row r="328" spans="25:231" ht="15" customHeight="1">
      <c r="Y328" s="332"/>
      <c r="Z328" s="332"/>
      <c r="AA328" s="332"/>
      <c r="AB328" s="332"/>
      <c r="AC328" s="332"/>
      <c r="AD328" s="332"/>
      <c r="AE328" s="332"/>
      <c r="AF328" s="332"/>
      <c r="AG328" s="332"/>
      <c r="AH328" s="332"/>
      <c r="AI328" s="332"/>
      <c r="AJ328" s="332"/>
      <c r="AK328" s="332"/>
      <c r="AL328" s="332"/>
      <c r="AM328" s="332"/>
      <c r="AN328" s="332"/>
      <c r="AO328" s="332"/>
      <c r="AP328" s="332"/>
      <c r="AQ328" s="332"/>
      <c r="AR328" s="332"/>
      <c r="AS328" s="332"/>
      <c r="AT328" s="332"/>
      <c r="AU328" s="332"/>
      <c r="AV328" s="332"/>
      <c r="AW328" s="332"/>
      <c r="AX328" s="332"/>
      <c r="AY328" s="332"/>
      <c r="AZ328" s="332"/>
      <c r="BA328" s="332"/>
      <c r="BB328" s="332"/>
      <c r="BC328" s="332"/>
      <c r="BD328" s="332"/>
      <c r="BE328" s="332"/>
      <c r="BF328" s="332"/>
      <c r="BG328" s="332"/>
      <c r="BH328" s="332"/>
      <c r="BI328" s="332"/>
      <c r="BJ328" s="332"/>
      <c r="BK328" s="332"/>
      <c r="BL328" s="332"/>
      <c r="BM328" s="332"/>
      <c r="BN328" s="332"/>
      <c r="BO328" s="332"/>
      <c r="BP328" s="332"/>
      <c r="BQ328" s="332"/>
      <c r="BR328" s="332"/>
      <c r="BS328" s="332"/>
      <c r="BT328" s="332"/>
      <c r="BU328" s="332"/>
      <c r="BV328" s="332"/>
      <c r="BW328" s="332"/>
      <c r="BX328" s="332"/>
      <c r="BY328" s="332"/>
      <c r="BZ328" s="332"/>
      <c r="CA328" s="332"/>
      <c r="CB328" s="332"/>
      <c r="CC328" s="332"/>
      <c r="CD328" s="332"/>
      <c r="CE328" s="332"/>
      <c r="CF328" s="332"/>
      <c r="CG328" s="332"/>
      <c r="CH328" s="332"/>
      <c r="CI328" s="332"/>
      <c r="CJ328" s="332"/>
      <c r="CK328" s="332"/>
      <c r="CL328" s="332"/>
      <c r="CM328" s="332"/>
      <c r="CN328" s="332"/>
      <c r="CO328" s="332"/>
      <c r="CP328" s="332"/>
      <c r="CQ328" s="332"/>
      <c r="CR328" s="332"/>
      <c r="CS328" s="332"/>
      <c r="CT328" s="332"/>
      <c r="CU328" s="332"/>
      <c r="CV328" s="332"/>
      <c r="CW328" s="332"/>
      <c r="CX328" s="332"/>
      <c r="CY328" s="332"/>
      <c r="CZ328" s="332"/>
      <c r="DA328" s="332"/>
      <c r="DB328" s="332"/>
      <c r="DC328" s="332"/>
      <c r="DD328" s="332"/>
      <c r="DE328" s="332"/>
      <c r="DF328" s="332"/>
      <c r="DG328" s="332"/>
      <c r="DH328" s="332"/>
      <c r="DI328" s="332"/>
      <c r="DJ328" s="332"/>
      <c r="DK328" s="332"/>
      <c r="DL328" s="332"/>
      <c r="DM328" s="332"/>
      <c r="DN328" s="332"/>
      <c r="DO328" s="332"/>
      <c r="DP328" s="332"/>
      <c r="DQ328" s="332"/>
      <c r="DR328" s="332"/>
      <c r="DS328" s="332"/>
      <c r="DT328" s="332"/>
      <c r="DU328" s="453"/>
      <c r="DV328" s="453"/>
      <c r="DW328" s="453"/>
      <c r="DX328" s="453"/>
      <c r="DY328" s="453"/>
      <c r="DZ328" s="453"/>
      <c r="EA328" s="453"/>
      <c r="EB328" s="453"/>
      <c r="EC328" s="559">
        <f t="shared" si="193"/>
        <v>240</v>
      </c>
      <c r="ED328" s="889">
        <f t="shared" si="194"/>
        <v>0</v>
      </c>
      <c r="EE328" s="890"/>
      <c r="EF328" s="476">
        <v>0</v>
      </c>
      <c r="EG328" s="893">
        <f t="shared" si="195"/>
        <v>0</v>
      </c>
      <c r="EH328" s="893"/>
      <c r="EI328" s="480">
        <v>0</v>
      </c>
      <c r="EJ328" s="453"/>
      <c r="EK328" s="453"/>
      <c r="EL328" s="453"/>
      <c r="EM328" s="483">
        <f t="shared" si="205"/>
        <v>19</v>
      </c>
      <c r="EN328" s="485"/>
      <c r="EO328" s="804"/>
      <c r="EP328" s="805"/>
      <c r="EQ328" s="806"/>
      <c r="ER328" s="808"/>
      <c r="ES328" s="881">
        <f t="shared" si="206"/>
        <v>0</v>
      </c>
      <c r="ET328" s="882"/>
      <c r="EU328" s="883"/>
      <c r="EV328" s="884">
        <f t="shared" si="197"/>
        <v>0</v>
      </c>
      <c r="EW328" s="885"/>
      <c r="EX328" s="885"/>
      <c r="EY328" s="885"/>
      <c r="EZ328" s="885"/>
      <c r="FA328" s="885"/>
      <c r="FB328" s="885"/>
      <c r="FC328" s="885"/>
      <c r="FD328" s="886"/>
      <c r="FE328" s="878"/>
      <c r="FF328" s="878"/>
      <c r="FG328" s="878"/>
      <c r="FH328" s="878"/>
      <c r="FI328" s="878"/>
      <c r="FJ328" s="878"/>
      <c r="FK328" s="878"/>
      <c r="FL328" s="555"/>
      <c r="FM328" s="554"/>
      <c r="FN328" s="554"/>
      <c r="FO328" s="554"/>
      <c r="FP328" s="554"/>
      <c r="FQ328" s="554"/>
      <c r="FR328" s="554"/>
      <c r="FS328" s="554"/>
      <c r="FT328" s="554"/>
      <c r="FU328" s="554"/>
      <c r="FV328" s="554"/>
      <c r="FW328" s="554"/>
      <c r="FX328" s="554"/>
      <c r="FY328" s="554"/>
      <c r="FZ328" s="554"/>
      <c r="GA328" s="554"/>
      <c r="GB328" s="556"/>
      <c r="GC328" s="370"/>
      <c r="GD328" s="453"/>
      <c r="GE328" s="453"/>
      <c r="GF328" s="453"/>
      <c r="GG328" s="453"/>
      <c r="GH328" s="454"/>
      <c r="GI328" s="453"/>
      <c r="GJ328" s="453"/>
      <c r="GK328" s="453"/>
      <c r="GL328" s="453"/>
      <c r="GM328" s="453"/>
      <c r="GN328" s="453"/>
      <c r="GO328" s="453"/>
      <c r="GP328" s="453"/>
      <c r="GQ328" s="453"/>
      <c r="GR328" s="453"/>
      <c r="GS328" s="561"/>
      <c r="GT328" s="475"/>
      <c r="GU328" s="472"/>
      <c r="GV328" s="453"/>
      <c r="GW328" s="453"/>
      <c r="GX328" s="869"/>
      <c r="GY328" s="870"/>
      <c r="GZ328" s="867"/>
      <c r="HA328" s="868"/>
      <c r="HB328" s="473"/>
      <c r="HC328" s="869"/>
      <c r="HD328" s="870"/>
      <c r="HE328" s="867"/>
      <c r="HF328" s="868"/>
      <c r="HG328" s="473"/>
      <c r="HH328" s="867"/>
      <c r="HI328" s="868"/>
      <c r="HJ328" s="867"/>
      <c r="HK328" s="868"/>
      <c r="HL328" s="370"/>
      <c r="HM328" s="865"/>
      <c r="HN328" s="866"/>
      <c r="HO328" s="865"/>
      <c r="HP328" s="866"/>
      <c r="HQ328" s="865"/>
      <c r="HR328" s="866"/>
      <c r="HS328" s="867"/>
      <c r="HT328" s="868"/>
      <c r="HU328" s="489"/>
      <c r="HV328" s="865"/>
      <c r="HW328" s="866"/>
    </row>
    <row r="329" spans="25:231" ht="15" customHeight="1">
      <c r="Y329" s="332"/>
      <c r="Z329" s="332"/>
      <c r="AA329" s="332"/>
      <c r="AB329" s="332"/>
      <c r="AC329" s="332"/>
      <c r="AD329" s="332"/>
      <c r="AE329" s="332"/>
      <c r="AF329" s="332"/>
      <c r="AG329" s="332"/>
      <c r="AH329" s="332"/>
      <c r="AI329" s="332"/>
      <c r="AJ329" s="332"/>
      <c r="AK329" s="332"/>
      <c r="AL329" s="332"/>
      <c r="AM329" s="332"/>
      <c r="AN329" s="332"/>
      <c r="AO329" s="332"/>
      <c r="AP329" s="332"/>
      <c r="AQ329" s="332"/>
      <c r="AR329" s="332"/>
      <c r="AS329" s="332"/>
      <c r="AT329" s="332"/>
      <c r="AU329" s="332"/>
      <c r="AV329" s="332"/>
      <c r="AW329" s="332"/>
      <c r="AX329" s="332"/>
      <c r="AY329" s="332"/>
      <c r="AZ329" s="332"/>
      <c r="BA329" s="332"/>
      <c r="BB329" s="332"/>
      <c r="BC329" s="332"/>
      <c r="BD329" s="332"/>
      <c r="BE329" s="332"/>
      <c r="BF329" s="332"/>
      <c r="BG329" s="332"/>
      <c r="BH329" s="332"/>
      <c r="BI329" s="332"/>
      <c r="BJ329" s="332"/>
      <c r="BK329" s="332"/>
      <c r="BL329" s="332"/>
      <c r="BM329" s="332"/>
      <c r="BN329" s="332"/>
      <c r="BO329" s="332"/>
      <c r="BP329" s="332"/>
      <c r="BQ329" s="332"/>
      <c r="BR329" s="332"/>
      <c r="BS329" s="332"/>
      <c r="BT329" s="332"/>
      <c r="BU329" s="332"/>
      <c r="BV329" s="332"/>
      <c r="BW329" s="332"/>
      <c r="BX329" s="332"/>
      <c r="BY329" s="332"/>
      <c r="BZ329" s="332"/>
      <c r="CA329" s="332"/>
      <c r="CB329" s="332"/>
      <c r="CC329" s="332"/>
      <c r="CD329" s="332"/>
      <c r="CE329" s="332"/>
      <c r="CF329" s="332"/>
      <c r="CG329" s="332"/>
      <c r="CH329" s="332"/>
      <c r="CI329" s="332"/>
      <c r="CJ329" s="332"/>
      <c r="CK329" s="332"/>
      <c r="CL329" s="332"/>
      <c r="CM329" s="332"/>
      <c r="CN329" s="332"/>
      <c r="CO329" s="332"/>
      <c r="CP329" s="332"/>
      <c r="CQ329" s="332"/>
      <c r="CR329" s="332"/>
      <c r="CS329" s="332"/>
      <c r="CT329" s="332"/>
      <c r="CU329" s="332"/>
      <c r="CV329" s="332"/>
      <c r="CW329" s="332"/>
      <c r="CX329" s="332"/>
      <c r="CY329" s="332"/>
      <c r="CZ329" s="332"/>
      <c r="DA329" s="332"/>
      <c r="DB329" s="332"/>
      <c r="DC329" s="332"/>
      <c r="DD329" s="332"/>
      <c r="DE329" s="332"/>
      <c r="DF329" s="332"/>
      <c r="DG329" s="332"/>
      <c r="DH329" s="332"/>
      <c r="DI329" s="332"/>
      <c r="DJ329" s="332"/>
      <c r="DK329" s="332"/>
      <c r="DL329" s="332"/>
      <c r="DM329" s="332"/>
      <c r="DN329" s="332"/>
      <c r="DO329" s="332"/>
      <c r="DP329" s="332"/>
      <c r="DQ329" s="332"/>
      <c r="DR329" s="332"/>
      <c r="DS329" s="332"/>
      <c r="DT329" s="332"/>
      <c r="DU329" s="453"/>
      <c r="DV329" s="453"/>
      <c r="DW329" s="453"/>
      <c r="DX329" s="453"/>
      <c r="DY329" s="453"/>
      <c r="DZ329" s="453"/>
      <c r="EA329" s="453"/>
      <c r="EB329" s="453"/>
      <c r="EC329" s="559">
        <f t="shared" si="193"/>
        <v>250</v>
      </c>
      <c r="ED329" s="889">
        <f t="shared" si="194"/>
        <v>-25</v>
      </c>
      <c r="EE329" s="890"/>
      <c r="EF329" s="476">
        <v>0</v>
      </c>
      <c r="EG329" s="893">
        <f t="shared" si="195"/>
        <v>0</v>
      </c>
      <c r="EH329" s="893"/>
      <c r="EI329" s="480">
        <v>0</v>
      </c>
      <c r="EJ329" s="453"/>
      <c r="EK329" s="453"/>
      <c r="EL329" s="453"/>
      <c r="EM329" s="483">
        <f t="shared" si="205"/>
        <v>20</v>
      </c>
      <c r="EN329" s="485"/>
      <c r="EO329" s="804"/>
      <c r="EP329" s="805"/>
      <c r="EQ329" s="806"/>
      <c r="ER329" s="808"/>
      <c r="ES329" s="881">
        <f t="shared" si="206"/>
        <v>0</v>
      </c>
      <c r="ET329" s="882"/>
      <c r="EU329" s="883"/>
      <c r="EV329" s="884">
        <f t="shared" si="197"/>
        <v>0</v>
      </c>
      <c r="EW329" s="885"/>
      <c r="EX329" s="885"/>
      <c r="EY329" s="885"/>
      <c r="EZ329" s="885"/>
      <c r="FA329" s="885"/>
      <c r="FB329" s="885"/>
      <c r="FC329" s="885"/>
      <c r="FD329" s="886"/>
      <c r="FE329" s="878"/>
      <c r="FF329" s="878"/>
      <c r="FG329" s="878"/>
      <c r="FH329" s="878"/>
      <c r="FI329" s="878"/>
      <c r="FJ329" s="878"/>
      <c r="FK329" s="878"/>
      <c r="FL329" s="555"/>
      <c r="FM329" s="554"/>
      <c r="FN329" s="554"/>
      <c r="FO329" s="554"/>
      <c r="FP329" s="554"/>
      <c r="FQ329" s="554"/>
      <c r="FR329" s="554"/>
      <c r="FS329" s="554"/>
      <c r="FT329" s="554"/>
      <c r="FU329" s="554"/>
      <c r="FV329" s="554"/>
      <c r="FW329" s="554"/>
      <c r="FX329" s="554"/>
      <c r="FY329" s="554"/>
      <c r="FZ329" s="554"/>
      <c r="GA329" s="554"/>
      <c r="GB329" s="556"/>
      <c r="GC329" s="370"/>
      <c r="GD329" s="453"/>
      <c r="GE329" s="453"/>
      <c r="GF329" s="453"/>
      <c r="GG329" s="453"/>
      <c r="GH329" s="454"/>
      <c r="GI329" s="453"/>
      <c r="GJ329" s="453"/>
      <c r="GK329" s="453"/>
      <c r="GL329" s="453"/>
      <c r="GM329" s="453"/>
      <c r="GN329" s="453"/>
      <c r="GO329" s="453"/>
      <c r="GP329" s="453"/>
      <c r="GQ329" s="453"/>
      <c r="GR329" s="453"/>
      <c r="GS329" s="561"/>
      <c r="GT329" s="475"/>
      <c r="GU329" s="472"/>
      <c r="GV329" s="453"/>
      <c r="GW329" s="453"/>
      <c r="GX329" s="869"/>
      <c r="GY329" s="870"/>
      <c r="GZ329" s="867"/>
      <c r="HA329" s="868"/>
      <c r="HB329" s="473"/>
      <c r="HC329" s="869"/>
      <c r="HD329" s="870"/>
      <c r="HE329" s="867"/>
      <c r="HF329" s="868"/>
      <c r="HG329" s="473"/>
      <c r="HH329" s="867"/>
      <c r="HI329" s="868"/>
      <c r="HJ329" s="867"/>
      <c r="HK329" s="868"/>
      <c r="HL329" s="370"/>
      <c r="HM329" s="865"/>
      <c r="HN329" s="866"/>
      <c r="HO329" s="865"/>
      <c r="HP329" s="866"/>
      <c r="HQ329" s="865"/>
      <c r="HR329" s="866"/>
      <c r="HS329" s="867"/>
      <c r="HT329" s="868"/>
      <c r="HU329" s="489"/>
      <c r="HV329" s="865"/>
      <c r="HW329" s="866"/>
    </row>
    <row r="330" spans="25:231" ht="15" customHeight="1">
      <c r="Y330" s="332"/>
      <c r="Z330" s="332"/>
      <c r="AA330" s="332"/>
      <c r="AB330" s="332"/>
      <c r="AC330" s="332"/>
      <c r="AD330" s="332"/>
      <c r="AE330" s="332"/>
      <c r="AF330" s="332"/>
      <c r="AG330" s="332"/>
      <c r="AH330" s="332"/>
      <c r="AI330" s="332"/>
      <c r="AJ330" s="332"/>
      <c r="AK330" s="332"/>
      <c r="AL330" s="332"/>
      <c r="AM330" s="332"/>
      <c r="AN330" s="332"/>
      <c r="AO330" s="332"/>
      <c r="AP330" s="332"/>
      <c r="AQ330" s="332"/>
      <c r="AR330" s="332"/>
      <c r="AS330" s="332"/>
      <c r="AT330" s="332"/>
      <c r="AU330" s="332"/>
      <c r="AV330" s="332"/>
      <c r="AW330" s="332"/>
      <c r="AX330" s="332"/>
      <c r="AY330" s="332"/>
      <c r="AZ330" s="332"/>
      <c r="BA330" s="332"/>
      <c r="BB330" s="332"/>
      <c r="BC330" s="332"/>
      <c r="BD330" s="332"/>
      <c r="BE330" s="332"/>
      <c r="BF330" s="332"/>
      <c r="BG330" s="332"/>
      <c r="BH330" s="332"/>
      <c r="BI330" s="332"/>
      <c r="BJ330" s="332"/>
      <c r="BK330" s="332"/>
      <c r="BL330" s="332"/>
      <c r="BM330" s="332"/>
      <c r="BN330" s="332"/>
      <c r="BO330" s="332"/>
      <c r="BP330" s="332"/>
      <c r="BQ330" s="332"/>
      <c r="BR330" s="332"/>
      <c r="BS330" s="332"/>
      <c r="BT330" s="332"/>
      <c r="BU330" s="332"/>
      <c r="BV330" s="332"/>
      <c r="BW330" s="332"/>
      <c r="BX330" s="332"/>
      <c r="BY330" s="332"/>
      <c r="BZ330" s="332"/>
      <c r="CA330" s="332"/>
      <c r="CB330" s="332"/>
      <c r="CC330" s="332"/>
      <c r="CD330" s="332"/>
      <c r="CE330" s="332"/>
      <c r="CF330" s="332"/>
      <c r="CG330" s="332"/>
      <c r="CH330" s="332"/>
      <c r="CI330" s="332"/>
      <c r="CJ330" s="332"/>
      <c r="CK330" s="332"/>
      <c r="CL330" s="332"/>
      <c r="CM330" s="332"/>
      <c r="CN330" s="332"/>
      <c r="CO330" s="332"/>
      <c r="CP330" s="332"/>
      <c r="CQ330" s="332"/>
      <c r="CR330" s="332"/>
      <c r="CS330" s="332"/>
      <c r="CT330" s="332"/>
      <c r="CU330" s="332"/>
      <c r="CV330" s="332"/>
      <c r="CW330" s="332"/>
      <c r="CX330" s="332"/>
      <c r="CY330" s="332"/>
      <c r="CZ330" s="332"/>
      <c r="DA330" s="332"/>
      <c r="DB330" s="332"/>
      <c r="DC330" s="332"/>
      <c r="DD330" s="332"/>
      <c r="DE330" s="332"/>
      <c r="DF330" s="332"/>
      <c r="DG330" s="332"/>
      <c r="DH330" s="332"/>
      <c r="DI330" s="332"/>
      <c r="DJ330" s="332"/>
      <c r="DK330" s="332"/>
      <c r="DL330" s="332"/>
      <c r="DM330" s="332"/>
      <c r="DN330" s="332"/>
      <c r="DO330" s="332"/>
      <c r="DP330" s="332"/>
      <c r="DQ330" s="332"/>
      <c r="DR330" s="332"/>
      <c r="DS330" s="332"/>
      <c r="DT330" s="332"/>
      <c r="DU330" s="453"/>
      <c r="DV330" s="453"/>
      <c r="DW330" s="453"/>
      <c r="DX330" s="453"/>
      <c r="DY330" s="453"/>
      <c r="DZ330" s="453"/>
      <c r="EA330" s="453"/>
      <c r="EB330" s="453"/>
      <c r="EC330" s="559">
        <f t="shared" si="193"/>
        <v>260</v>
      </c>
      <c r="ED330" s="889">
        <f t="shared" si="194"/>
        <v>0</v>
      </c>
      <c r="EE330" s="890"/>
      <c r="EF330" s="476">
        <v>0</v>
      </c>
      <c r="EG330" s="893">
        <f t="shared" si="195"/>
        <v>0</v>
      </c>
      <c r="EH330" s="893"/>
      <c r="EI330" s="480">
        <v>0</v>
      </c>
      <c r="EJ330" s="453"/>
      <c r="EK330" s="453"/>
      <c r="EL330" s="453"/>
      <c r="EM330" s="483">
        <f t="shared" si="205"/>
        <v>21</v>
      </c>
      <c r="EN330" s="485"/>
      <c r="EO330" s="804"/>
      <c r="EP330" s="805"/>
      <c r="EQ330" s="806"/>
      <c r="ER330" s="808"/>
      <c r="ES330" s="881">
        <f t="shared" si="206"/>
        <v>0</v>
      </c>
      <c r="ET330" s="882"/>
      <c r="EU330" s="883"/>
      <c r="EV330" s="884">
        <f t="shared" si="197"/>
        <v>0</v>
      </c>
      <c r="EW330" s="885"/>
      <c r="EX330" s="885"/>
      <c r="EY330" s="885"/>
      <c r="EZ330" s="885"/>
      <c r="FA330" s="885"/>
      <c r="FB330" s="885"/>
      <c r="FC330" s="885"/>
      <c r="FD330" s="886"/>
      <c r="FE330" s="878"/>
      <c r="FF330" s="878"/>
      <c r="FG330" s="878"/>
      <c r="FH330" s="878"/>
      <c r="FI330" s="878"/>
      <c r="FJ330" s="878"/>
      <c r="FK330" s="878"/>
      <c r="FL330" s="555"/>
      <c r="FM330" s="554"/>
      <c r="FN330" s="554"/>
      <c r="FO330" s="554"/>
      <c r="FP330" s="554"/>
      <c r="FQ330" s="554"/>
      <c r="FR330" s="554"/>
      <c r="FS330" s="554"/>
      <c r="FT330" s="554"/>
      <c r="FU330" s="554"/>
      <c r="FV330" s="554"/>
      <c r="FW330" s="554"/>
      <c r="FX330" s="554"/>
      <c r="FY330" s="554"/>
      <c r="FZ330" s="554"/>
      <c r="GA330" s="554"/>
      <c r="GB330" s="556"/>
      <c r="GC330" s="370"/>
      <c r="GD330" s="453"/>
      <c r="GE330" s="453"/>
      <c r="GF330" s="453"/>
      <c r="GG330" s="453"/>
      <c r="GH330" s="454"/>
      <c r="GI330" s="453"/>
      <c r="GJ330" s="453"/>
      <c r="GK330" s="453"/>
      <c r="GL330" s="453"/>
      <c r="GM330" s="453"/>
      <c r="GN330" s="453"/>
      <c r="GO330" s="453"/>
      <c r="GP330" s="453"/>
      <c r="GQ330" s="453"/>
      <c r="GR330" s="453"/>
      <c r="GS330" s="561"/>
      <c r="GT330" s="475"/>
      <c r="GU330" s="472"/>
      <c r="GV330" s="453"/>
      <c r="GW330" s="453"/>
      <c r="GX330" s="869"/>
      <c r="GY330" s="870"/>
      <c r="GZ330" s="867"/>
      <c r="HA330" s="868"/>
      <c r="HB330" s="473"/>
      <c r="HC330" s="869"/>
      <c r="HD330" s="870"/>
      <c r="HE330" s="867"/>
      <c r="HF330" s="868"/>
      <c r="HG330" s="473"/>
      <c r="HH330" s="867"/>
      <c r="HI330" s="868"/>
      <c r="HJ330" s="867"/>
      <c r="HK330" s="868"/>
      <c r="HL330" s="370"/>
      <c r="HM330" s="865"/>
      <c r="HN330" s="866"/>
      <c r="HO330" s="865"/>
      <c r="HP330" s="866"/>
      <c r="HQ330" s="865"/>
      <c r="HR330" s="866"/>
      <c r="HS330" s="867"/>
      <c r="HT330" s="868"/>
      <c r="HU330" s="489"/>
      <c r="HV330" s="865"/>
      <c r="HW330" s="866"/>
    </row>
    <row r="331" spans="25:231" ht="15" customHeight="1">
      <c r="Y331" s="332"/>
      <c r="Z331" s="332"/>
      <c r="AA331" s="332"/>
      <c r="AB331" s="332"/>
      <c r="AC331" s="332"/>
      <c r="AD331" s="332"/>
      <c r="AE331" s="332"/>
      <c r="AF331" s="332"/>
      <c r="AG331" s="332"/>
      <c r="AH331" s="332"/>
      <c r="AI331" s="332"/>
      <c r="AJ331" s="332"/>
      <c r="AK331" s="332"/>
      <c r="AL331" s="332"/>
      <c r="AM331" s="332"/>
      <c r="AN331" s="332"/>
      <c r="AO331" s="332"/>
      <c r="AP331" s="332"/>
      <c r="AQ331" s="332"/>
      <c r="AR331" s="332"/>
      <c r="AS331" s="332"/>
      <c r="AT331" s="332"/>
      <c r="AU331" s="332"/>
      <c r="AV331" s="332"/>
      <c r="AW331" s="332"/>
      <c r="AX331" s="332"/>
      <c r="AY331" s="332"/>
      <c r="AZ331" s="332"/>
      <c r="BA331" s="332"/>
      <c r="BB331" s="332"/>
      <c r="BC331" s="332"/>
      <c r="BD331" s="332"/>
      <c r="BE331" s="332"/>
      <c r="BF331" s="332"/>
      <c r="BG331" s="332"/>
      <c r="BH331" s="332"/>
      <c r="BI331" s="332"/>
      <c r="BJ331" s="332"/>
      <c r="BK331" s="332"/>
      <c r="BL331" s="332"/>
      <c r="BM331" s="332"/>
      <c r="BN331" s="332"/>
      <c r="BO331" s="332"/>
      <c r="BP331" s="332"/>
      <c r="BQ331" s="332"/>
      <c r="BR331" s="332"/>
      <c r="BS331" s="332"/>
      <c r="BT331" s="332"/>
      <c r="BU331" s="332"/>
      <c r="BV331" s="332"/>
      <c r="BW331" s="332"/>
      <c r="BX331" s="332"/>
      <c r="BY331" s="332"/>
      <c r="BZ331" s="332"/>
      <c r="CA331" s="332"/>
      <c r="CB331" s="332"/>
      <c r="CC331" s="332"/>
      <c r="CD331" s="332"/>
      <c r="CE331" s="332"/>
      <c r="CF331" s="332"/>
      <c r="CG331" s="332"/>
      <c r="CH331" s="332"/>
      <c r="CI331" s="332"/>
      <c r="CJ331" s="332"/>
      <c r="CK331" s="332"/>
      <c r="CL331" s="332"/>
      <c r="CM331" s="332"/>
      <c r="CN331" s="332"/>
      <c r="CO331" s="332"/>
      <c r="CP331" s="332"/>
      <c r="CQ331" s="332"/>
      <c r="CR331" s="332"/>
      <c r="CS331" s="332"/>
      <c r="CT331" s="332"/>
      <c r="CU331" s="332"/>
      <c r="CV331" s="332"/>
      <c r="CW331" s="332"/>
      <c r="CX331" s="332"/>
      <c r="CY331" s="332"/>
      <c r="CZ331" s="332"/>
      <c r="DA331" s="332"/>
      <c r="DB331" s="332"/>
      <c r="DC331" s="332"/>
      <c r="DD331" s="332"/>
      <c r="DE331" s="332"/>
      <c r="DF331" s="332"/>
      <c r="DG331" s="332"/>
      <c r="DH331" s="332"/>
      <c r="DI331" s="332"/>
      <c r="DJ331" s="332"/>
      <c r="DK331" s="332"/>
      <c r="DL331" s="332"/>
      <c r="DM331" s="332"/>
      <c r="DN331" s="332"/>
      <c r="DO331" s="332"/>
      <c r="DP331" s="332"/>
      <c r="DQ331" s="332"/>
      <c r="DR331" s="332"/>
      <c r="DS331" s="332"/>
      <c r="DT331" s="332"/>
      <c r="DU331" s="453"/>
      <c r="DV331" s="453"/>
      <c r="DW331" s="453"/>
      <c r="DX331" s="453"/>
      <c r="DY331" s="453"/>
      <c r="DZ331" s="453"/>
      <c r="EA331" s="453"/>
      <c r="EB331" s="453"/>
      <c r="EC331" s="559">
        <f t="shared" si="193"/>
        <v>270</v>
      </c>
      <c r="ED331" s="889">
        <f t="shared" si="194"/>
        <v>0</v>
      </c>
      <c r="EE331" s="890"/>
      <c r="EF331" s="476">
        <v>0</v>
      </c>
      <c r="EG331" s="893">
        <f t="shared" si="195"/>
        <v>0</v>
      </c>
      <c r="EH331" s="893"/>
      <c r="EI331" s="480">
        <v>0</v>
      </c>
      <c r="EJ331" s="453"/>
      <c r="EK331" s="453"/>
      <c r="EL331" s="453"/>
      <c r="EM331" s="483">
        <f t="shared" si="205"/>
        <v>22</v>
      </c>
      <c r="EN331" s="485"/>
      <c r="EO331" s="804"/>
      <c r="EP331" s="805"/>
      <c r="EQ331" s="806"/>
      <c r="ER331" s="808"/>
      <c r="ES331" s="881">
        <f t="shared" si="206"/>
        <v>0</v>
      </c>
      <c r="ET331" s="882"/>
      <c r="EU331" s="883"/>
      <c r="EV331" s="884">
        <f t="shared" si="197"/>
        <v>0</v>
      </c>
      <c r="EW331" s="885"/>
      <c r="EX331" s="885"/>
      <c r="EY331" s="885"/>
      <c r="EZ331" s="885"/>
      <c r="FA331" s="885"/>
      <c r="FB331" s="885"/>
      <c r="FC331" s="885"/>
      <c r="FD331" s="886"/>
      <c r="FE331" s="878"/>
      <c r="FF331" s="878"/>
      <c r="FG331" s="878"/>
      <c r="FH331" s="878"/>
      <c r="FI331" s="878"/>
      <c r="FJ331" s="878"/>
      <c r="FK331" s="878"/>
      <c r="FL331" s="555"/>
      <c r="FM331" s="554"/>
      <c r="FN331" s="554"/>
      <c r="FO331" s="554"/>
      <c r="FP331" s="554"/>
      <c r="FQ331" s="554"/>
      <c r="FR331" s="554"/>
      <c r="FS331" s="554"/>
      <c r="FT331" s="554"/>
      <c r="FU331" s="554"/>
      <c r="FV331" s="554"/>
      <c r="FW331" s="554"/>
      <c r="FX331" s="554"/>
      <c r="FY331" s="554"/>
      <c r="FZ331" s="554"/>
      <c r="GA331" s="554"/>
      <c r="GB331" s="556"/>
      <c r="GC331" s="370"/>
      <c r="GD331" s="453"/>
      <c r="GE331" s="453"/>
      <c r="GF331" s="453"/>
      <c r="GG331" s="453"/>
      <c r="GH331" s="454"/>
      <c r="GI331" s="453"/>
      <c r="GJ331" s="453"/>
      <c r="GK331" s="453"/>
      <c r="GL331" s="453"/>
      <c r="GM331" s="453"/>
      <c r="GN331" s="453"/>
      <c r="GO331" s="453"/>
      <c r="GP331" s="453"/>
      <c r="GQ331" s="453"/>
      <c r="GR331" s="453"/>
      <c r="GS331" s="561"/>
      <c r="GT331" s="475"/>
      <c r="GU331" s="472"/>
      <c r="GV331" s="453"/>
      <c r="GW331" s="453"/>
      <c r="GX331" s="869"/>
      <c r="GY331" s="870"/>
      <c r="GZ331" s="867"/>
      <c r="HA331" s="868"/>
      <c r="HB331" s="473"/>
      <c r="HC331" s="869"/>
      <c r="HD331" s="870"/>
      <c r="HE331" s="867"/>
      <c r="HF331" s="868"/>
      <c r="HG331" s="473"/>
      <c r="HH331" s="867"/>
      <c r="HI331" s="868"/>
      <c r="HJ331" s="867"/>
      <c r="HK331" s="868"/>
      <c r="HL331" s="370"/>
      <c r="HM331" s="865"/>
      <c r="HN331" s="866"/>
      <c r="HO331" s="865"/>
      <c r="HP331" s="866"/>
      <c r="HQ331" s="865"/>
      <c r="HR331" s="866"/>
      <c r="HS331" s="867"/>
      <c r="HT331" s="868"/>
      <c r="HU331" s="489"/>
      <c r="HV331" s="865"/>
      <c r="HW331" s="866"/>
    </row>
    <row r="332" spans="25:231" ht="15" customHeight="1">
      <c r="Y332" s="332"/>
      <c r="Z332" s="332"/>
      <c r="AA332" s="332"/>
      <c r="AB332" s="332"/>
      <c r="AC332" s="332"/>
      <c r="AD332" s="332"/>
      <c r="AE332" s="332"/>
      <c r="AF332" s="332"/>
      <c r="AG332" s="332"/>
      <c r="AH332" s="332"/>
      <c r="AI332" s="332"/>
      <c r="AJ332" s="332"/>
      <c r="AK332" s="332"/>
      <c r="AL332" s="332"/>
      <c r="AM332" s="332"/>
      <c r="AN332" s="332"/>
      <c r="AO332" s="332"/>
      <c r="AP332" s="332"/>
      <c r="AQ332" s="332"/>
      <c r="AR332" s="332"/>
      <c r="AS332" s="332"/>
      <c r="AT332" s="332"/>
      <c r="AU332" s="332"/>
      <c r="AV332" s="332"/>
      <c r="AW332" s="332"/>
      <c r="AX332" s="332"/>
      <c r="AY332" s="332"/>
      <c r="AZ332" s="332"/>
      <c r="BA332" s="332"/>
      <c r="BB332" s="332"/>
      <c r="BC332" s="332"/>
      <c r="BD332" s="332"/>
      <c r="BE332" s="332"/>
      <c r="BF332" s="332"/>
      <c r="BG332" s="332"/>
      <c r="BH332" s="332"/>
      <c r="BI332" s="332"/>
      <c r="BJ332" s="332"/>
      <c r="BK332" s="332"/>
      <c r="BL332" s="332"/>
      <c r="BM332" s="332"/>
      <c r="BN332" s="332"/>
      <c r="BO332" s="332"/>
      <c r="BP332" s="332"/>
      <c r="BQ332" s="332"/>
      <c r="BR332" s="332"/>
      <c r="BS332" s="332"/>
      <c r="BT332" s="332"/>
      <c r="BU332" s="332"/>
      <c r="BV332" s="332"/>
      <c r="BW332" s="332"/>
      <c r="BX332" s="332"/>
      <c r="BY332" s="332"/>
      <c r="BZ332" s="332"/>
      <c r="CA332" s="332"/>
      <c r="CB332" s="332"/>
      <c r="CC332" s="332"/>
      <c r="CD332" s="332"/>
      <c r="CE332" s="332"/>
      <c r="CF332" s="332"/>
      <c r="CG332" s="332"/>
      <c r="CH332" s="332"/>
      <c r="CI332" s="332"/>
      <c r="CJ332" s="332"/>
      <c r="CK332" s="332"/>
      <c r="CL332" s="332"/>
      <c r="CM332" s="332"/>
      <c r="CN332" s="332"/>
      <c r="CO332" s="332"/>
      <c r="CP332" s="332"/>
      <c r="CQ332" s="332"/>
      <c r="CR332" s="332"/>
      <c r="CS332" s="332"/>
      <c r="CT332" s="332"/>
      <c r="CU332" s="332"/>
      <c r="CV332" s="332"/>
      <c r="CW332" s="332"/>
      <c r="CX332" s="332"/>
      <c r="CY332" s="332"/>
      <c r="CZ332" s="332"/>
      <c r="DA332" s="332"/>
      <c r="DB332" s="332"/>
      <c r="DC332" s="332"/>
      <c r="DD332" s="332"/>
      <c r="DE332" s="332"/>
      <c r="DF332" s="332"/>
      <c r="DG332" s="332"/>
      <c r="DH332" s="332"/>
      <c r="DI332" s="332"/>
      <c r="DJ332" s="332"/>
      <c r="DK332" s="332"/>
      <c r="DL332" s="332"/>
      <c r="DM332" s="332"/>
      <c r="DN332" s="332"/>
      <c r="DO332" s="332"/>
      <c r="DP332" s="332"/>
      <c r="DQ332" s="332"/>
      <c r="DR332" s="332"/>
      <c r="DS332" s="332"/>
      <c r="DT332" s="332"/>
      <c r="DU332" s="453"/>
      <c r="DV332" s="453"/>
      <c r="DW332" s="453"/>
      <c r="DX332" s="453"/>
      <c r="DY332" s="453"/>
      <c r="DZ332" s="453"/>
      <c r="EA332" s="453"/>
      <c r="EB332" s="453"/>
      <c r="EC332" s="559">
        <f t="shared" si="193"/>
        <v>280</v>
      </c>
      <c r="ED332" s="889">
        <f t="shared" si="194"/>
        <v>0</v>
      </c>
      <c r="EE332" s="890"/>
      <c r="EF332" s="476">
        <v>0</v>
      </c>
      <c r="EG332" s="893">
        <f t="shared" si="195"/>
        <v>0</v>
      </c>
      <c r="EH332" s="893"/>
      <c r="EI332" s="480">
        <v>0</v>
      </c>
      <c r="EJ332" s="453"/>
      <c r="EK332" s="453"/>
      <c r="EL332" s="453"/>
      <c r="EM332" s="483">
        <f t="shared" si="205"/>
        <v>23</v>
      </c>
      <c r="EN332" s="485"/>
      <c r="EO332" s="804"/>
      <c r="EP332" s="805"/>
      <c r="EQ332" s="806"/>
      <c r="ER332" s="808"/>
      <c r="ES332" s="881">
        <f t="shared" si="206"/>
        <v>0</v>
      </c>
      <c r="ET332" s="882"/>
      <c r="EU332" s="883"/>
      <c r="EV332" s="884">
        <f t="shared" si="197"/>
        <v>0</v>
      </c>
      <c r="EW332" s="885"/>
      <c r="EX332" s="885"/>
      <c r="EY332" s="885"/>
      <c r="EZ332" s="885"/>
      <c r="FA332" s="885"/>
      <c r="FB332" s="885"/>
      <c r="FC332" s="885"/>
      <c r="FD332" s="886"/>
      <c r="FE332" s="878"/>
      <c r="FF332" s="878"/>
      <c r="FG332" s="878"/>
      <c r="FH332" s="878"/>
      <c r="FI332" s="878"/>
      <c r="FJ332" s="878"/>
      <c r="FK332" s="878"/>
      <c r="FL332" s="555"/>
      <c r="FM332" s="554"/>
      <c r="FN332" s="554"/>
      <c r="FO332" s="554"/>
      <c r="FP332" s="554"/>
      <c r="FQ332" s="554"/>
      <c r="FR332" s="554"/>
      <c r="FS332" s="554"/>
      <c r="FT332" s="554"/>
      <c r="FU332" s="554"/>
      <c r="FV332" s="554"/>
      <c r="FW332" s="554"/>
      <c r="FX332" s="554"/>
      <c r="FY332" s="554"/>
      <c r="FZ332" s="554"/>
      <c r="GA332" s="554"/>
      <c r="GB332" s="556"/>
      <c r="GC332" s="370"/>
      <c r="GD332" s="453"/>
      <c r="GE332" s="453"/>
      <c r="GF332" s="453"/>
      <c r="GG332" s="453"/>
      <c r="GH332" s="454"/>
      <c r="GI332" s="453"/>
      <c r="GJ332" s="453"/>
      <c r="GK332" s="453"/>
      <c r="GL332" s="453"/>
      <c r="GM332" s="453"/>
      <c r="GN332" s="453"/>
      <c r="GO332" s="453"/>
      <c r="GP332" s="453"/>
      <c r="GQ332" s="453"/>
      <c r="GR332" s="453"/>
      <c r="GS332" s="561"/>
      <c r="GT332" s="475"/>
      <c r="GU332" s="472"/>
      <c r="GV332" s="453"/>
      <c r="GW332" s="453"/>
      <c r="GX332" s="869"/>
      <c r="GY332" s="870"/>
      <c r="GZ332" s="867"/>
      <c r="HA332" s="868"/>
      <c r="HB332" s="473"/>
      <c r="HC332" s="869"/>
      <c r="HD332" s="870"/>
      <c r="HE332" s="867"/>
      <c r="HF332" s="868"/>
      <c r="HG332" s="473"/>
      <c r="HH332" s="867"/>
      <c r="HI332" s="868"/>
      <c r="HJ332" s="867"/>
      <c r="HK332" s="868"/>
      <c r="HL332" s="370"/>
      <c r="HM332" s="865"/>
      <c r="HN332" s="866"/>
      <c r="HO332" s="865"/>
      <c r="HP332" s="866"/>
      <c r="HQ332" s="865"/>
      <c r="HR332" s="866"/>
      <c r="HS332" s="867"/>
      <c r="HT332" s="868"/>
      <c r="HU332" s="489"/>
      <c r="HV332" s="865"/>
      <c r="HW332" s="866"/>
    </row>
    <row r="333" spans="25:231" ht="15" customHeight="1">
      <c r="Y333" s="332"/>
      <c r="Z333" s="332"/>
      <c r="AA333" s="332"/>
      <c r="AB333" s="332"/>
      <c r="AC333" s="332"/>
      <c r="AD333" s="332"/>
      <c r="AE333" s="332"/>
      <c r="AF333" s="332"/>
      <c r="AG333" s="332"/>
      <c r="AH333" s="332"/>
      <c r="AI333" s="332"/>
      <c r="AJ333" s="332"/>
      <c r="AK333" s="332"/>
      <c r="AL333" s="332"/>
      <c r="AM333" s="332"/>
      <c r="AN333" s="332"/>
      <c r="AO333" s="332"/>
      <c r="AP333" s="332"/>
      <c r="AQ333" s="332"/>
      <c r="AR333" s="332"/>
      <c r="AS333" s="332"/>
      <c r="AT333" s="332"/>
      <c r="AU333" s="332"/>
      <c r="AV333" s="332"/>
      <c r="AW333" s="332"/>
      <c r="AX333" s="332"/>
      <c r="AY333" s="332"/>
      <c r="AZ333" s="332"/>
      <c r="BA333" s="332"/>
      <c r="BB333" s="332"/>
      <c r="BC333" s="332"/>
      <c r="BD333" s="332"/>
      <c r="BE333" s="332"/>
      <c r="BF333" s="332"/>
      <c r="BG333" s="332"/>
      <c r="BH333" s="332"/>
      <c r="BI333" s="332"/>
      <c r="BJ333" s="332"/>
      <c r="BK333" s="332"/>
      <c r="BL333" s="332"/>
      <c r="BM333" s="332"/>
      <c r="BN333" s="332"/>
      <c r="BO333" s="332"/>
      <c r="BP333" s="332"/>
      <c r="BQ333" s="332"/>
      <c r="BR333" s="332"/>
      <c r="BS333" s="332"/>
      <c r="BT333" s="332"/>
      <c r="BU333" s="332"/>
      <c r="BV333" s="332"/>
      <c r="BW333" s="332"/>
      <c r="BX333" s="332"/>
      <c r="BY333" s="332"/>
      <c r="BZ333" s="332"/>
      <c r="CA333" s="332"/>
      <c r="CB333" s="332"/>
      <c r="CC333" s="332"/>
      <c r="CD333" s="332"/>
      <c r="CE333" s="332"/>
      <c r="CF333" s="332"/>
      <c r="CG333" s="332"/>
      <c r="CH333" s="332"/>
      <c r="CI333" s="332"/>
      <c r="CJ333" s="332"/>
      <c r="CK333" s="332"/>
      <c r="CL333" s="332"/>
      <c r="CM333" s="332"/>
      <c r="CN333" s="332"/>
      <c r="CO333" s="332"/>
      <c r="CP333" s="332"/>
      <c r="CQ333" s="332"/>
      <c r="CR333" s="332"/>
      <c r="CS333" s="332"/>
      <c r="CT333" s="332"/>
      <c r="CU333" s="332"/>
      <c r="CV333" s="332"/>
      <c r="CW333" s="332"/>
      <c r="CX333" s="332"/>
      <c r="CY333" s="332"/>
      <c r="CZ333" s="332"/>
      <c r="DA333" s="332"/>
      <c r="DB333" s="332"/>
      <c r="DC333" s="332"/>
      <c r="DD333" s="332"/>
      <c r="DE333" s="332"/>
      <c r="DF333" s="332"/>
      <c r="DG333" s="332"/>
      <c r="DH333" s="332"/>
      <c r="DI333" s="332"/>
      <c r="DJ333" s="332"/>
      <c r="DK333" s="332"/>
      <c r="DL333" s="332"/>
      <c r="DM333" s="332"/>
      <c r="DN333" s="332"/>
      <c r="DO333" s="332"/>
      <c r="DP333" s="332"/>
      <c r="DQ333" s="332"/>
      <c r="DR333" s="332"/>
      <c r="DS333" s="332"/>
      <c r="DT333" s="332"/>
      <c r="DU333" s="453"/>
      <c r="DV333" s="453"/>
      <c r="DW333" s="453"/>
      <c r="DX333" s="453"/>
      <c r="DY333" s="453"/>
      <c r="DZ333" s="453"/>
      <c r="EA333" s="453"/>
      <c r="EB333" s="453"/>
      <c r="EC333" s="559">
        <f t="shared" si="193"/>
        <v>290</v>
      </c>
      <c r="ED333" s="889">
        <f t="shared" si="194"/>
        <v>0</v>
      </c>
      <c r="EE333" s="890"/>
      <c r="EF333" s="476">
        <v>0</v>
      </c>
      <c r="EG333" s="893">
        <f t="shared" si="195"/>
        <v>0</v>
      </c>
      <c r="EH333" s="893"/>
      <c r="EI333" s="480">
        <v>0</v>
      </c>
      <c r="EJ333" s="453"/>
      <c r="EK333" s="453"/>
      <c r="EL333" s="453"/>
      <c r="EM333" s="483">
        <f t="shared" si="205"/>
        <v>24</v>
      </c>
      <c r="EN333" s="485"/>
      <c r="EO333" s="804"/>
      <c r="EP333" s="805"/>
      <c r="EQ333" s="806"/>
      <c r="ER333" s="808"/>
      <c r="ES333" s="881">
        <f t="shared" si="206"/>
        <v>0</v>
      </c>
      <c r="ET333" s="882"/>
      <c r="EU333" s="883"/>
      <c r="EV333" s="884">
        <f t="shared" si="197"/>
        <v>0</v>
      </c>
      <c r="EW333" s="885"/>
      <c r="EX333" s="885"/>
      <c r="EY333" s="885"/>
      <c r="EZ333" s="885"/>
      <c r="FA333" s="885"/>
      <c r="FB333" s="885"/>
      <c r="FC333" s="885"/>
      <c r="FD333" s="886"/>
      <c r="FE333" s="878"/>
      <c r="FF333" s="878"/>
      <c r="FG333" s="878"/>
      <c r="FH333" s="878"/>
      <c r="FI333" s="878"/>
      <c r="FJ333" s="878"/>
      <c r="FK333" s="878"/>
      <c r="FL333" s="555"/>
      <c r="FM333" s="554"/>
      <c r="FN333" s="554"/>
      <c r="FO333" s="554"/>
      <c r="FP333" s="554"/>
      <c r="FQ333" s="554"/>
      <c r="FR333" s="554"/>
      <c r="FS333" s="554"/>
      <c r="FT333" s="554"/>
      <c r="FU333" s="554"/>
      <c r="FV333" s="554"/>
      <c r="FW333" s="554"/>
      <c r="FX333" s="554"/>
      <c r="FY333" s="554"/>
      <c r="FZ333" s="554"/>
      <c r="GA333" s="554"/>
      <c r="GB333" s="556"/>
      <c r="GC333" s="370"/>
      <c r="GD333" s="453"/>
      <c r="GE333" s="453"/>
      <c r="GF333" s="453"/>
      <c r="GG333" s="453"/>
      <c r="GH333" s="454"/>
      <c r="GI333" s="453"/>
      <c r="GJ333" s="453"/>
      <c r="GK333" s="453"/>
      <c r="GL333" s="453"/>
      <c r="GM333" s="453"/>
      <c r="GN333" s="453"/>
      <c r="GO333" s="453"/>
      <c r="GP333" s="453"/>
      <c r="GQ333" s="453"/>
      <c r="GR333" s="453"/>
      <c r="GS333" s="561"/>
      <c r="GT333" s="475"/>
      <c r="GU333" s="472"/>
      <c r="GV333" s="453"/>
      <c r="GW333" s="453"/>
      <c r="GX333" s="869"/>
      <c r="GY333" s="870"/>
      <c r="GZ333" s="867"/>
      <c r="HA333" s="868"/>
      <c r="HB333" s="473"/>
      <c r="HC333" s="869"/>
      <c r="HD333" s="870"/>
      <c r="HE333" s="867"/>
      <c r="HF333" s="868"/>
      <c r="HG333" s="473"/>
      <c r="HH333" s="867"/>
      <c r="HI333" s="868"/>
      <c r="HJ333" s="867"/>
      <c r="HK333" s="868"/>
      <c r="HL333" s="370"/>
      <c r="HM333" s="865"/>
      <c r="HN333" s="866"/>
      <c r="HO333" s="865"/>
      <c r="HP333" s="866"/>
      <c r="HQ333" s="865"/>
      <c r="HR333" s="866"/>
      <c r="HS333" s="867"/>
      <c r="HT333" s="868"/>
      <c r="HU333" s="489"/>
      <c r="HV333" s="865"/>
      <c r="HW333" s="866"/>
    </row>
    <row r="334" spans="25:231" ht="15" customHeight="1">
      <c r="Y334" s="332"/>
      <c r="Z334" s="332"/>
      <c r="AA334" s="332"/>
      <c r="AB334" s="332"/>
      <c r="AC334" s="332"/>
      <c r="AD334" s="332"/>
      <c r="AE334" s="332"/>
      <c r="AF334" s="332"/>
      <c r="AG334" s="332"/>
      <c r="AH334" s="332"/>
      <c r="AI334" s="332"/>
      <c r="AJ334" s="332"/>
      <c r="AK334" s="332"/>
      <c r="AL334" s="332"/>
      <c r="AM334" s="332"/>
      <c r="AN334" s="332"/>
      <c r="AO334" s="332"/>
      <c r="AP334" s="332"/>
      <c r="AQ334" s="332"/>
      <c r="AR334" s="332"/>
      <c r="AS334" s="332"/>
      <c r="AT334" s="332"/>
      <c r="AU334" s="332"/>
      <c r="AV334" s="332"/>
      <c r="AW334" s="332"/>
      <c r="AX334" s="332"/>
      <c r="AY334" s="332"/>
      <c r="AZ334" s="332"/>
      <c r="BA334" s="332"/>
      <c r="BB334" s="332"/>
      <c r="BC334" s="332"/>
      <c r="BD334" s="332"/>
      <c r="BE334" s="332"/>
      <c r="BF334" s="332"/>
      <c r="BG334" s="332"/>
      <c r="BH334" s="332"/>
      <c r="BI334" s="332"/>
      <c r="BJ334" s="332"/>
      <c r="BK334" s="332"/>
      <c r="BL334" s="332"/>
      <c r="BM334" s="332"/>
      <c r="BN334" s="332"/>
      <c r="BO334" s="332"/>
      <c r="BP334" s="332"/>
      <c r="BQ334" s="332"/>
      <c r="BR334" s="332"/>
      <c r="BS334" s="332"/>
      <c r="BT334" s="332"/>
      <c r="BU334" s="332"/>
      <c r="BV334" s="332"/>
      <c r="BW334" s="332"/>
      <c r="BX334" s="332"/>
      <c r="BY334" s="332"/>
      <c r="BZ334" s="332"/>
      <c r="CA334" s="332"/>
      <c r="CB334" s="332"/>
      <c r="CC334" s="332"/>
      <c r="CD334" s="332"/>
      <c r="CE334" s="332"/>
      <c r="CF334" s="332"/>
      <c r="CG334" s="332"/>
      <c r="CH334" s="332"/>
      <c r="CI334" s="332"/>
      <c r="CJ334" s="332"/>
      <c r="CK334" s="332"/>
      <c r="CL334" s="332"/>
      <c r="CM334" s="332"/>
      <c r="CN334" s="332"/>
      <c r="CO334" s="332"/>
      <c r="CP334" s="332"/>
      <c r="CQ334" s="332"/>
      <c r="CR334" s="332"/>
      <c r="CS334" s="332"/>
      <c r="CT334" s="332"/>
      <c r="CU334" s="332"/>
      <c r="CV334" s="332"/>
      <c r="CW334" s="332"/>
      <c r="CX334" s="332"/>
      <c r="CY334" s="332"/>
      <c r="CZ334" s="332"/>
      <c r="DA334" s="332"/>
      <c r="DB334" s="332"/>
      <c r="DC334" s="332"/>
      <c r="DD334" s="332"/>
      <c r="DE334" s="332"/>
      <c r="DF334" s="332"/>
      <c r="DG334" s="332"/>
      <c r="DH334" s="332"/>
      <c r="DI334" s="332"/>
      <c r="DJ334" s="332"/>
      <c r="DK334" s="332"/>
      <c r="DL334" s="332"/>
      <c r="DM334" s="332"/>
      <c r="DN334" s="332"/>
      <c r="DO334" s="332"/>
      <c r="DP334" s="332"/>
      <c r="DQ334" s="332"/>
      <c r="DR334" s="332"/>
      <c r="DS334" s="332"/>
      <c r="DT334" s="332"/>
      <c r="DU334" s="453"/>
      <c r="DV334" s="453"/>
      <c r="DW334" s="453"/>
      <c r="DX334" s="453"/>
      <c r="DY334" s="453"/>
      <c r="DZ334" s="453"/>
      <c r="EA334" s="453"/>
      <c r="EB334" s="453"/>
      <c r="EC334" s="559">
        <f>+IF(AE31 = "", "", AE31)</f>
        <v>300</v>
      </c>
      <c r="ED334" s="889">
        <f t="shared" si="194"/>
        <v>0</v>
      </c>
      <c r="EE334" s="890"/>
      <c r="EF334" s="476">
        <v>0</v>
      </c>
      <c r="EG334" s="893">
        <f t="shared" si="195"/>
        <v>0</v>
      </c>
      <c r="EH334" s="893"/>
      <c r="EI334" s="480">
        <v>0</v>
      </c>
      <c r="EJ334" s="453"/>
      <c r="EK334" s="453"/>
      <c r="EL334" s="453"/>
      <c r="EM334" s="483">
        <f t="shared" si="205"/>
        <v>25</v>
      </c>
      <c r="EN334" s="485"/>
      <c r="EO334" s="804"/>
      <c r="EP334" s="805"/>
      <c r="EQ334" s="806"/>
      <c r="ER334" s="808"/>
      <c r="ES334" s="881">
        <f t="shared" si="206"/>
        <v>0</v>
      </c>
      <c r="ET334" s="882"/>
      <c r="EU334" s="883"/>
      <c r="EV334" s="884">
        <f t="shared" si="197"/>
        <v>0</v>
      </c>
      <c r="EW334" s="885"/>
      <c r="EX334" s="885"/>
      <c r="EY334" s="885"/>
      <c r="EZ334" s="885"/>
      <c r="FA334" s="885"/>
      <c r="FB334" s="885"/>
      <c r="FC334" s="885"/>
      <c r="FD334" s="886"/>
      <c r="FE334" s="878"/>
      <c r="FF334" s="878"/>
      <c r="FG334" s="878"/>
      <c r="FH334" s="878"/>
      <c r="FI334" s="878"/>
      <c r="FJ334" s="878"/>
      <c r="FK334" s="878"/>
      <c r="FL334" s="555"/>
      <c r="FM334" s="554"/>
      <c r="FN334" s="554"/>
      <c r="FO334" s="554"/>
      <c r="FP334" s="554"/>
      <c r="FQ334" s="554"/>
      <c r="FR334" s="554"/>
      <c r="FS334" s="554"/>
      <c r="FT334" s="554"/>
      <c r="FU334" s="554"/>
      <c r="FV334" s="554"/>
      <c r="FW334" s="554"/>
      <c r="FX334" s="554"/>
      <c r="FY334" s="554"/>
      <c r="FZ334" s="554"/>
      <c r="GA334" s="554"/>
      <c r="GB334" s="556"/>
      <c r="GC334" s="370"/>
      <c r="GD334" s="453"/>
      <c r="GE334" s="453"/>
      <c r="GF334" s="453"/>
      <c r="GG334" s="453"/>
      <c r="GH334" s="454"/>
      <c r="GI334" s="453"/>
      <c r="GJ334" s="453"/>
      <c r="GK334" s="453"/>
      <c r="GL334" s="453"/>
      <c r="GM334" s="453"/>
      <c r="GN334" s="453"/>
      <c r="GO334" s="453"/>
      <c r="GP334" s="453"/>
      <c r="GQ334" s="453"/>
      <c r="GR334" s="453"/>
      <c r="GS334" s="561"/>
      <c r="GT334" s="475"/>
      <c r="GU334" s="472"/>
      <c r="GV334" s="453"/>
      <c r="GW334" s="453"/>
      <c r="GX334" s="869"/>
      <c r="GY334" s="870"/>
      <c r="GZ334" s="867"/>
      <c r="HA334" s="868"/>
      <c r="HB334" s="473"/>
      <c r="HC334" s="869"/>
      <c r="HD334" s="870"/>
      <c r="HE334" s="867"/>
      <c r="HF334" s="868"/>
      <c r="HG334" s="473"/>
      <c r="HH334" s="867"/>
      <c r="HI334" s="868"/>
      <c r="HJ334" s="867"/>
      <c r="HK334" s="868"/>
      <c r="HL334" s="370"/>
      <c r="HM334" s="865"/>
      <c r="HN334" s="866"/>
      <c r="HO334" s="865"/>
      <c r="HP334" s="866"/>
      <c r="HQ334" s="865"/>
      <c r="HR334" s="866"/>
      <c r="HS334" s="867"/>
      <c r="HT334" s="868"/>
      <c r="HU334" s="489"/>
      <c r="HV334" s="865"/>
      <c r="HW334" s="866"/>
    </row>
    <row r="335" spans="25:231" ht="15" customHeight="1">
      <c r="Y335" s="332"/>
      <c r="Z335" s="332"/>
      <c r="AA335" s="332"/>
      <c r="AB335" s="332"/>
      <c r="AC335" s="332"/>
      <c r="AD335" s="332"/>
      <c r="AE335" s="332"/>
      <c r="AF335" s="332"/>
      <c r="AG335" s="332"/>
      <c r="AH335" s="332"/>
      <c r="AI335" s="332"/>
      <c r="AJ335" s="332"/>
      <c r="AK335" s="332"/>
      <c r="AL335" s="332"/>
      <c r="AM335" s="332"/>
      <c r="AN335" s="332"/>
      <c r="AO335" s="332"/>
      <c r="AP335" s="332"/>
      <c r="AQ335" s="332"/>
      <c r="AR335" s="332"/>
      <c r="AS335" s="332"/>
      <c r="AT335" s="332"/>
      <c r="AU335" s="332"/>
      <c r="AV335" s="332"/>
      <c r="AW335" s="332"/>
      <c r="AX335" s="332"/>
      <c r="AY335" s="332"/>
      <c r="AZ335" s="332"/>
      <c r="BA335" s="332"/>
      <c r="BB335" s="332"/>
      <c r="BC335" s="332"/>
      <c r="BD335" s="332"/>
      <c r="BE335" s="332"/>
      <c r="BF335" s="332"/>
      <c r="BG335" s="332"/>
      <c r="BH335" s="332"/>
      <c r="BI335" s="332"/>
      <c r="BJ335" s="332"/>
      <c r="BK335" s="332"/>
      <c r="BL335" s="332"/>
      <c r="BM335" s="332"/>
      <c r="BN335" s="332"/>
      <c r="BO335" s="332"/>
      <c r="BP335" s="332"/>
      <c r="BQ335" s="332"/>
      <c r="BR335" s="332"/>
      <c r="BS335" s="332"/>
      <c r="BT335" s="332"/>
      <c r="BU335" s="332"/>
      <c r="BV335" s="332"/>
      <c r="BW335" s="332"/>
      <c r="BX335" s="332"/>
      <c r="BY335" s="332"/>
      <c r="BZ335" s="332"/>
      <c r="CA335" s="332"/>
      <c r="CB335" s="332"/>
      <c r="CC335" s="332"/>
      <c r="CD335" s="332"/>
      <c r="CE335" s="332"/>
      <c r="CF335" s="332"/>
      <c r="CG335" s="332"/>
      <c r="CH335" s="332"/>
      <c r="CI335" s="332"/>
      <c r="CJ335" s="332"/>
      <c r="CK335" s="332"/>
      <c r="CL335" s="332"/>
      <c r="CM335" s="332"/>
      <c r="CN335" s="332"/>
      <c r="CO335" s="332"/>
      <c r="CP335" s="332"/>
      <c r="CQ335" s="332"/>
      <c r="CR335" s="332"/>
      <c r="CS335" s="332"/>
      <c r="CT335" s="332"/>
      <c r="CU335" s="332"/>
      <c r="CV335" s="332"/>
      <c r="CW335" s="332"/>
      <c r="CX335" s="332"/>
      <c r="CY335" s="332"/>
      <c r="CZ335" s="332"/>
      <c r="DA335" s="332"/>
      <c r="DB335" s="332"/>
      <c r="DC335" s="332"/>
      <c r="DD335" s="332"/>
      <c r="DE335" s="332"/>
      <c r="DF335" s="332"/>
      <c r="DG335" s="332"/>
      <c r="DH335" s="332"/>
      <c r="DI335" s="332"/>
      <c r="DJ335" s="332"/>
      <c r="DK335" s="332"/>
      <c r="DL335" s="332"/>
      <c r="DM335" s="332"/>
      <c r="DN335" s="332"/>
      <c r="DO335" s="332"/>
      <c r="DP335" s="332"/>
      <c r="DQ335" s="332"/>
      <c r="DR335" s="332"/>
      <c r="DS335" s="332"/>
      <c r="DT335" s="332"/>
      <c r="DU335" s="453"/>
      <c r="DV335" s="453"/>
      <c r="DW335" s="453"/>
      <c r="DX335" s="453"/>
      <c r="DY335" s="453"/>
      <c r="DZ335" s="453"/>
      <c r="EA335" s="453"/>
      <c r="EB335" s="453"/>
      <c r="EC335" s="559">
        <f t="shared" si="193"/>
        <v>310</v>
      </c>
      <c r="ED335" s="889">
        <f t="shared" si="194"/>
        <v>0</v>
      </c>
      <c r="EE335" s="890"/>
      <c r="EF335" s="476">
        <v>0</v>
      </c>
      <c r="EG335" s="893">
        <f t="shared" si="195"/>
        <v>0</v>
      </c>
      <c r="EH335" s="893"/>
      <c r="EI335" s="480">
        <v>0</v>
      </c>
      <c r="EJ335" s="453"/>
      <c r="EK335" s="453"/>
      <c r="EL335" s="453"/>
      <c r="EM335" s="483">
        <f t="shared" si="205"/>
        <v>26</v>
      </c>
      <c r="EN335" s="485"/>
      <c r="EO335" s="804"/>
      <c r="EP335" s="805"/>
      <c r="EQ335" s="806"/>
      <c r="ER335" s="808"/>
      <c r="ES335" s="881">
        <f t="shared" si="206"/>
        <v>0</v>
      </c>
      <c r="ET335" s="882"/>
      <c r="EU335" s="883"/>
      <c r="EV335" s="884">
        <f t="shared" si="197"/>
        <v>0</v>
      </c>
      <c r="EW335" s="885"/>
      <c r="EX335" s="885"/>
      <c r="EY335" s="885"/>
      <c r="EZ335" s="885"/>
      <c r="FA335" s="885"/>
      <c r="FB335" s="885"/>
      <c r="FC335" s="885"/>
      <c r="FD335" s="886"/>
      <c r="FE335" s="878"/>
      <c r="FF335" s="878"/>
      <c r="FG335" s="878"/>
      <c r="FH335" s="878"/>
      <c r="FI335" s="878"/>
      <c r="FJ335" s="878"/>
      <c r="FK335" s="878"/>
      <c r="FL335" s="555"/>
      <c r="FM335" s="554"/>
      <c r="FN335" s="554"/>
      <c r="FO335" s="554"/>
      <c r="FP335" s="554"/>
      <c r="FQ335" s="554"/>
      <c r="FR335" s="554"/>
      <c r="FS335" s="554"/>
      <c r="FT335" s="554"/>
      <c r="FU335" s="554"/>
      <c r="FV335" s="554"/>
      <c r="FW335" s="554"/>
      <c r="FX335" s="554"/>
      <c r="FY335" s="554"/>
      <c r="FZ335" s="554"/>
      <c r="GA335" s="554"/>
      <c r="GB335" s="556"/>
      <c r="GC335" s="370"/>
      <c r="GD335" s="453"/>
      <c r="GE335" s="453"/>
      <c r="GF335" s="453"/>
      <c r="GG335" s="453"/>
      <c r="GH335" s="454"/>
      <c r="GI335" s="453"/>
      <c r="GJ335" s="453"/>
      <c r="GK335" s="453"/>
      <c r="GL335" s="453"/>
      <c r="GM335" s="453"/>
      <c r="GN335" s="453"/>
      <c r="GO335" s="453"/>
      <c r="GP335" s="453"/>
      <c r="GQ335" s="453"/>
      <c r="GR335" s="453"/>
      <c r="GS335" s="561"/>
      <c r="GT335" s="475"/>
      <c r="GU335" s="472"/>
      <c r="GV335" s="453"/>
      <c r="GW335" s="453"/>
      <c r="GX335" s="869"/>
      <c r="GY335" s="870"/>
      <c r="GZ335" s="867"/>
      <c r="HA335" s="868"/>
      <c r="HB335" s="473"/>
      <c r="HC335" s="869"/>
      <c r="HD335" s="870"/>
      <c r="HE335" s="867"/>
      <c r="HF335" s="868"/>
      <c r="HG335" s="473"/>
      <c r="HH335" s="867"/>
      <c r="HI335" s="868"/>
      <c r="HJ335" s="867"/>
      <c r="HK335" s="868"/>
      <c r="HL335" s="370"/>
      <c r="HM335" s="865"/>
      <c r="HN335" s="866"/>
      <c r="HO335" s="865"/>
      <c r="HP335" s="866"/>
      <c r="HQ335" s="865"/>
      <c r="HR335" s="866"/>
      <c r="HS335" s="867"/>
      <c r="HT335" s="868"/>
      <c r="HU335" s="489"/>
      <c r="HV335" s="865"/>
      <c r="HW335" s="866"/>
    </row>
    <row r="336" spans="25:231" ht="15" customHeight="1">
      <c r="Y336" s="332"/>
      <c r="Z336" s="332"/>
      <c r="AA336" s="332"/>
      <c r="AB336" s="332"/>
      <c r="AC336" s="332"/>
      <c r="AD336" s="332"/>
      <c r="AE336" s="332"/>
      <c r="AF336" s="332"/>
      <c r="AG336" s="332"/>
      <c r="AH336" s="332"/>
      <c r="AI336" s="332"/>
      <c r="AJ336" s="332"/>
      <c r="AK336" s="332"/>
      <c r="AL336" s="332"/>
      <c r="AM336" s="332"/>
      <c r="AN336" s="332"/>
      <c r="AO336" s="332"/>
      <c r="AP336" s="332"/>
      <c r="AQ336" s="332"/>
      <c r="AR336" s="332"/>
      <c r="AS336" s="332"/>
      <c r="AT336" s="332"/>
      <c r="AU336" s="332"/>
      <c r="AV336" s="332"/>
      <c r="AW336" s="332"/>
      <c r="AX336" s="332"/>
      <c r="AY336" s="332"/>
      <c r="AZ336" s="332"/>
      <c r="BA336" s="332"/>
      <c r="BB336" s="332"/>
      <c r="BC336" s="332"/>
      <c r="BD336" s="332"/>
      <c r="BE336" s="332"/>
      <c r="BF336" s="332"/>
      <c r="BG336" s="332"/>
      <c r="BH336" s="332"/>
      <c r="BI336" s="332"/>
      <c r="BJ336" s="332"/>
      <c r="BK336" s="332"/>
      <c r="BL336" s="332"/>
      <c r="BM336" s="332"/>
      <c r="BN336" s="332"/>
      <c r="BO336" s="332"/>
      <c r="BP336" s="332"/>
      <c r="BQ336" s="332"/>
      <c r="BR336" s="332"/>
      <c r="BS336" s="332"/>
      <c r="BT336" s="332"/>
      <c r="BU336" s="332"/>
      <c r="BV336" s="332"/>
      <c r="BW336" s="332"/>
      <c r="BX336" s="332"/>
      <c r="BY336" s="332"/>
      <c r="BZ336" s="332"/>
      <c r="CA336" s="332"/>
      <c r="CB336" s="332"/>
      <c r="CC336" s="332"/>
      <c r="CD336" s="332"/>
      <c r="CE336" s="332"/>
      <c r="CF336" s="332"/>
      <c r="CG336" s="332"/>
      <c r="CH336" s="332"/>
      <c r="CI336" s="332"/>
      <c r="CJ336" s="332"/>
      <c r="CK336" s="332"/>
      <c r="CL336" s="332"/>
      <c r="CM336" s="332"/>
      <c r="CN336" s="332"/>
      <c r="CO336" s="332"/>
      <c r="CP336" s="332"/>
      <c r="CQ336" s="332"/>
      <c r="CR336" s="332"/>
      <c r="CS336" s="332"/>
      <c r="CT336" s="332"/>
      <c r="CU336" s="332"/>
      <c r="CV336" s="332"/>
      <c r="CW336" s="332"/>
      <c r="CX336" s="332"/>
      <c r="CY336" s="332"/>
      <c r="CZ336" s="332"/>
      <c r="DA336" s="332"/>
      <c r="DB336" s="332"/>
      <c r="DC336" s="332"/>
      <c r="DD336" s="332"/>
      <c r="DE336" s="332"/>
      <c r="DF336" s="332"/>
      <c r="DG336" s="332"/>
      <c r="DH336" s="332"/>
      <c r="DI336" s="332"/>
      <c r="DJ336" s="332"/>
      <c r="DK336" s="332"/>
      <c r="DL336" s="332"/>
      <c r="DM336" s="332"/>
      <c r="DN336" s="332"/>
      <c r="DO336" s="332"/>
      <c r="DP336" s="332"/>
      <c r="DQ336" s="332"/>
      <c r="DR336" s="332"/>
      <c r="DS336" s="332"/>
      <c r="DT336" s="332"/>
      <c r="DU336" s="453"/>
      <c r="DV336" s="453"/>
      <c r="DW336" s="453"/>
      <c r="DX336" s="453"/>
      <c r="DY336" s="453"/>
      <c r="DZ336" s="453"/>
      <c r="EA336" s="453"/>
      <c r="EB336" s="453"/>
      <c r="EC336" s="559">
        <f t="shared" si="193"/>
        <v>320</v>
      </c>
      <c r="ED336" s="889">
        <f t="shared" si="194"/>
        <v>0</v>
      </c>
      <c r="EE336" s="890"/>
      <c r="EF336" s="476">
        <v>0</v>
      </c>
      <c r="EG336" s="893">
        <f t="shared" si="195"/>
        <v>0</v>
      </c>
      <c r="EH336" s="893"/>
      <c r="EI336" s="480">
        <v>0</v>
      </c>
      <c r="EJ336" s="453"/>
      <c r="EK336" s="453"/>
      <c r="EL336" s="453"/>
      <c r="EM336" s="483">
        <f t="shared" si="205"/>
        <v>27</v>
      </c>
      <c r="EN336" s="485"/>
      <c r="EO336" s="804"/>
      <c r="EP336" s="805"/>
      <c r="EQ336" s="806"/>
      <c r="ER336" s="808"/>
      <c r="ES336" s="881">
        <f t="shared" si="206"/>
        <v>0</v>
      </c>
      <c r="ET336" s="882"/>
      <c r="EU336" s="883"/>
      <c r="EV336" s="884">
        <f t="shared" si="197"/>
        <v>0</v>
      </c>
      <c r="EW336" s="885"/>
      <c r="EX336" s="885"/>
      <c r="EY336" s="885"/>
      <c r="EZ336" s="885"/>
      <c r="FA336" s="885"/>
      <c r="FB336" s="885"/>
      <c r="FC336" s="885"/>
      <c r="FD336" s="886"/>
      <c r="FE336" s="878"/>
      <c r="FF336" s="878"/>
      <c r="FG336" s="878"/>
      <c r="FH336" s="878"/>
      <c r="FI336" s="878"/>
      <c r="FJ336" s="878"/>
      <c r="FK336" s="878"/>
      <c r="FL336" s="555"/>
      <c r="FM336" s="554"/>
      <c r="FN336" s="554"/>
      <c r="FO336" s="554"/>
      <c r="FP336" s="554"/>
      <c r="FQ336" s="554"/>
      <c r="FR336" s="554"/>
      <c r="FS336" s="554"/>
      <c r="FT336" s="554"/>
      <c r="FU336" s="554"/>
      <c r="FV336" s="554"/>
      <c r="FW336" s="554"/>
      <c r="FX336" s="554"/>
      <c r="FY336" s="554"/>
      <c r="FZ336" s="554"/>
      <c r="GA336" s="554"/>
      <c r="GB336" s="556"/>
      <c r="GC336" s="370"/>
      <c r="GD336" s="453"/>
      <c r="GE336" s="453"/>
      <c r="GF336" s="453"/>
      <c r="GG336" s="453"/>
      <c r="GH336" s="454"/>
      <c r="GI336" s="453"/>
      <c r="GJ336" s="453"/>
      <c r="GK336" s="453"/>
      <c r="GL336" s="453"/>
      <c r="GM336" s="453"/>
      <c r="GN336" s="453"/>
      <c r="GO336" s="453"/>
      <c r="GP336" s="453"/>
      <c r="GQ336" s="453"/>
      <c r="GR336" s="453"/>
      <c r="GS336" s="561"/>
      <c r="GT336" s="475"/>
      <c r="GU336" s="472"/>
      <c r="GV336" s="453"/>
      <c r="GW336" s="453"/>
      <c r="GX336" s="869"/>
      <c r="GY336" s="870"/>
      <c r="GZ336" s="867"/>
      <c r="HA336" s="868"/>
      <c r="HB336" s="473"/>
      <c r="HC336" s="869"/>
      <c r="HD336" s="870"/>
      <c r="HE336" s="867"/>
      <c r="HF336" s="868"/>
      <c r="HG336" s="473"/>
      <c r="HH336" s="867"/>
      <c r="HI336" s="868"/>
      <c r="HJ336" s="867"/>
      <c r="HK336" s="868"/>
      <c r="HL336" s="370"/>
      <c r="HM336" s="865"/>
      <c r="HN336" s="866"/>
      <c r="HO336" s="865"/>
      <c r="HP336" s="866"/>
      <c r="HQ336" s="865"/>
      <c r="HR336" s="866"/>
      <c r="HS336" s="867"/>
      <c r="HT336" s="868"/>
      <c r="HU336" s="489"/>
      <c r="HV336" s="865"/>
      <c r="HW336" s="866"/>
    </row>
    <row r="337" spans="25:231" ht="15" customHeight="1">
      <c r="Y337" s="332"/>
      <c r="Z337" s="332"/>
      <c r="AA337" s="332"/>
      <c r="AB337" s="332"/>
      <c r="AC337" s="332"/>
      <c r="AD337" s="332"/>
      <c r="AE337" s="332"/>
      <c r="AF337" s="332"/>
      <c r="AG337" s="332"/>
      <c r="AH337" s="332"/>
      <c r="AI337" s="332"/>
      <c r="AJ337" s="332"/>
      <c r="AK337" s="332"/>
      <c r="AL337" s="332"/>
      <c r="AM337" s="332"/>
      <c r="AN337" s="332"/>
      <c r="AO337" s="332"/>
      <c r="AP337" s="332"/>
      <c r="AQ337" s="332"/>
      <c r="AR337" s="332"/>
      <c r="AS337" s="332"/>
      <c r="AT337" s="332"/>
      <c r="AU337" s="332"/>
      <c r="AV337" s="332"/>
      <c r="AW337" s="332"/>
      <c r="AX337" s="332"/>
      <c r="AY337" s="332"/>
      <c r="AZ337" s="332"/>
      <c r="BA337" s="332"/>
      <c r="BB337" s="332"/>
      <c r="BC337" s="332"/>
      <c r="BD337" s="332"/>
      <c r="BE337" s="332"/>
      <c r="BF337" s="332"/>
      <c r="BG337" s="332"/>
      <c r="BH337" s="332"/>
      <c r="BI337" s="332"/>
      <c r="BJ337" s="332"/>
      <c r="BK337" s="332"/>
      <c r="BL337" s="332"/>
      <c r="BM337" s="332"/>
      <c r="BN337" s="332"/>
      <c r="BO337" s="332"/>
      <c r="BP337" s="332"/>
      <c r="BQ337" s="332"/>
      <c r="BR337" s="332"/>
      <c r="BS337" s="332"/>
      <c r="BT337" s="332"/>
      <c r="BU337" s="332"/>
      <c r="BV337" s="332"/>
      <c r="BW337" s="332"/>
      <c r="BX337" s="332"/>
      <c r="BY337" s="332"/>
      <c r="BZ337" s="332"/>
      <c r="CA337" s="332"/>
      <c r="CB337" s="332"/>
      <c r="CC337" s="332"/>
      <c r="CD337" s="332"/>
      <c r="CE337" s="332"/>
      <c r="CF337" s="332"/>
      <c r="CG337" s="332"/>
      <c r="CH337" s="332"/>
      <c r="CI337" s="332"/>
      <c r="CJ337" s="332"/>
      <c r="CK337" s="332"/>
      <c r="CL337" s="332"/>
      <c r="CM337" s="332"/>
      <c r="CN337" s="332"/>
      <c r="CO337" s="332"/>
      <c r="CP337" s="332"/>
      <c r="CQ337" s="332"/>
      <c r="CR337" s="332"/>
      <c r="CS337" s="332"/>
      <c r="CT337" s="332"/>
      <c r="CU337" s="332"/>
      <c r="CV337" s="332"/>
      <c r="CW337" s="332"/>
      <c r="CX337" s="332"/>
      <c r="CY337" s="332"/>
      <c r="CZ337" s="332"/>
      <c r="DA337" s="332"/>
      <c r="DB337" s="332"/>
      <c r="DC337" s="332"/>
      <c r="DD337" s="332"/>
      <c r="DE337" s="332"/>
      <c r="DF337" s="332"/>
      <c r="DG337" s="332"/>
      <c r="DH337" s="332"/>
      <c r="DI337" s="332"/>
      <c r="DJ337" s="332"/>
      <c r="DK337" s="332"/>
      <c r="DL337" s="332"/>
      <c r="DM337" s="332"/>
      <c r="DN337" s="332"/>
      <c r="DO337" s="332"/>
      <c r="DP337" s="332"/>
      <c r="DQ337" s="332"/>
      <c r="DR337" s="332"/>
      <c r="DS337" s="332"/>
      <c r="DT337" s="332"/>
      <c r="DU337" s="453"/>
      <c r="DV337" s="453"/>
      <c r="DW337" s="453"/>
      <c r="DX337" s="453"/>
      <c r="DY337" s="453"/>
      <c r="DZ337" s="453"/>
      <c r="EA337" s="453"/>
      <c r="EB337" s="453"/>
      <c r="EC337" s="559">
        <f t="shared" si="193"/>
        <v>330</v>
      </c>
      <c r="ED337" s="889">
        <f t="shared" si="194"/>
        <v>0</v>
      </c>
      <c r="EE337" s="890"/>
      <c r="EF337" s="476">
        <v>0</v>
      </c>
      <c r="EG337" s="893">
        <f t="shared" si="195"/>
        <v>0</v>
      </c>
      <c r="EH337" s="893"/>
      <c r="EI337" s="480">
        <v>0</v>
      </c>
      <c r="EJ337" s="453"/>
      <c r="EK337" s="453"/>
      <c r="EL337" s="453"/>
      <c r="EM337" s="483">
        <f t="shared" si="205"/>
        <v>28</v>
      </c>
      <c r="EN337" s="485"/>
      <c r="EO337" s="804"/>
      <c r="EP337" s="805"/>
      <c r="EQ337" s="806"/>
      <c r="ER337" s="808"/>
      <c r="ES337" s="881">
        <f t="shared" si="206"/>
        <v>0</v>
      </c>
      <c r="ET337" s="882"/>
      <c r="EU337" s="883"/>
      <c r="EV337" s="884">
        <f t="shared" si="197"/>
        <v>0</v>
      </c>
      <c r="EW337" s="885"/>
      <c r="EX337" s="885"/>
      <c r="EY337" s="885"/>
      <c r="EZ337" s="885"/>
      <c r="FA337" s="885"/>
      <c r="FB337" s="885"/>
      <c r="FC337" s="885"/>
      <c r="FD337" s="886"/>
      <c r="FE337" s="878"/>
      <c r="FF337" s="878"/>
      <c r="FG337" s="878"/>
      <c r="FH337" s="878"/>
      <c r="FI337" s="878"/>
      <c r="FJ337" s="878"/>
      <c r="FK337" s="878"/>
      <c r="FL337" s="555"/>
      <c r="FM337" s="554"/>
      <c r="FN337" s="554"/>
      <c r="FO337" s="554"/>
      <c r="FP337" s="554"/>
      <c r="FQ337" s="554"/>
      <c r="FR337" s="554"/>
      <c r="FS337" s="554"/>
      <c r="FT337" s="554"/>
      <c r="FU337" s="554"/>
      <c r="FV337" s="554"/>
      <c r="FW337" s="554"/>
      <c r="FX337" s="554"/>
      <c r="FY337" s="554"/>
      <c r="FZ337" s="554"/>
      <c r="GA337" s="554"/>
      <c r="GB337" s="556"/>
      <c r="GC337" s="370"/>
      <c r="GD337" s="453"/>
      <c r="GE337" s="453"/>
      <c r="GF337" s="453"/>
      <c r="GG337" s="453"/>
      <c r="GH337" s="454"/>
      <c r="GI337" s="453"/>
      <c r="GJ337" s="453"/>
      <c r="GK337" s="453"/>
      <c r="GL337" s="453"/>
      <c r="GM337" s="453"/>
      <c r="GN337" s="453"/>
      <c r="GO337" s="453"/>
      <c r="GP337" s="453"/>
      <c r="GQ337" s="453"/>
      <c r="GR337" s="453"/>
      <c r="GS337" s="561"/>
      <c r="GT337" s="475"/>
      <c r="GU337" s="472"/>
      <c r="GV337" s="453"/>
      <c r="GW337" s="453"/>
      <c r="GX337" s="869"/>
      <c r="GY337" s="870"/>
      <c r="GZ337" s="867"/>
      <c r="HA337" s="868"/>
      <c r="HB337" s="473"/>
      <c r="HC337" s="869"/>
      <c r="HD337" s="870"/>
      <c r="HE337" s="867"/>
      <c r="HF337" s="868"/>
      <c r="HG337" s="473"/>
      <c r="HH337" s="867"/>
      <c r="HI337" s="868"/>
      <c r="HJ337" s="867"/>
      <c r="HK337" s="868"/>
      <c r="HL337" s="370"/>
      <c r="HM337" s="865"/>
      <c r="HN337" s="866"/>
      <c r="HO337" s="865"/>
      <c r="HP337" s="866"/>
      <c r="HQ337" s="865"/>
      <c r="HR337" s="866"/>
      <c r="HS337" s="867"/>
      <c r="HT337" s="868"/>
      <c r="HU337" s="489"/>
      <c r="HV337" s="865"/>
      <c r="HW337" s="866"/>
    </row>
    <row r="338" spans="25:231" ht="15" customHeight="1">
      <c r="Y338" s="332"/>
      <c r="Z338" s="332"/>
      <c r="AA338" s="332"/>
      <c r="AB338" s="332"/>
      <c r="AC338" s="332"/>
      <c r="AD338" s="332"/>
      <c r="AE338" s="332"/>
      <c r="AF338" s="332"/>
      <c r="AG338" s="332"/>
      <c r="AH338" s="332"/>
      <c r="AI338" s="332"/>
      <c r="AJ338" s="332"/>
      <c r="AK338" s="332"/>
      <c r="AL338" s="332"/>
      <c r="AM338" s="332"/>
      <c r="AN338" s="332"/>
      <c r="AO338" s="332"/>
      <c r="AP338" s="332"/>
      <c r="AQ338" s="332"/>
      <c r="AR338" s="332"/>
      <c r="AS338" s="332"/>
      <c r="AT338" s="332"/>
      <c r="AU338" s="332"/>
      <c r="AV338" s="332"/>
      <c r="AW338" s="332"/>
      <c r="AX338" s="332"/>
      <c r="AY338" s="332"/>
      <c r="AZ338" s="332"/>
      <c r="BA338" s="332"/>
      <c r="BB338" s="332"/>
      <c r="BC338" s="332"/>
      <c r="BD338" s="332"/>
      <c r="BE338" s="332"/>
      <c r="BF338" s="332"/>
      <c r="BG338" s="332"/>
      <c r="BH338" s="332"/>
      <c r="BI338" s="332"/>
      <c r="BJ338" s="332"/>
      <c r="BK338" s="332"/>
      <c r="BL338" s="332"/>
      <c r="BM338" s="332"/>
      <c r="BN338" s="332"/>
      <c r="BO338" s="332"/>
      <c r="BP338" s="332"/>
      <c r="BQ338" s="332"/>
      <c r="BR338" s="332"/>
      <c r="BS338" s="332"/>
      <c r="BT338" s="332"/>
      <c r="BU338" s="332"/>
      <c r="BV338" s="332"/>
      <c r="BW338" s="332"/>
      <c r="BX338" s="332"/>
      <c r="BY338" s="332"/>
      <c r="BZ338" s="332"/>
      <c r="CA338" s="332"/>
      <c r="CB338" s="332"/>
      <c r="CC338" s="332"/>
      <c r="CD338" s="332"/>
      <c r="CE338" s="332"/>
      <c r="CF338" s="332"/>
      <c r="CG338" s="332"/>
      <c r="CH338" s="332"/>
      <c r="CI338" s="332"/>
      <c r="CJ338" s="332"/>
      <c r="CK338" s="332"/>
      <c r="CL338" s="332"/>
      <c r="CM338" s="332"/>
      <c r="CN338" s="332"/>
      <c r="CO338" s="332"/>
      <c r="CP338" s="332"/>
      <c r="CQ338" s="332"/>
      <c r="CR338" s="332"/>
      <c r="CS338" s="332"/>
      <c r="CT338" s="332"/>
      <c r="CU338" s="332"/>
      <c r="CV338" s="332"/>
      <c r="CW338" s="332"/>
      <c r="CX338" s="332"/>
      <c r="CY338" s="332"/>
      <c r="CZ338" s="332"/>
      <c r="DA338" s="332"/>
      <c r="DB338" s="332"/>
      <c r="DC338" s="332"/>
      <c r="DD338" s="332"/>
      <c r="DE338" s="332"/>
      <c r="DF338" s="332"/>
      <c r="DG338" s="332"/>
      <c r="DH338" s="332"/>
      <c r="DI338" s="332"/>
      <c r="DJ338" s="332"/>
      <c r="DK338" s="332"/>
      <c r="DL338" s="332"/>
      <c r="DM338" s="332"/>
      <c r="DN338" s="332"/>
      <c r="DO338" s="332"/>
      <c r="DP338" s="332"/>
      <c r="DQ338" s="332"/>
      <c r="DR338" s="332"/>
      <c r="DS338" s="332"/>
      <c r="DT338" s="332"/>
      <c r="DU338" s="453"/>
      <c r="DV338" s="453"/>
      <c r="DW338" s="453"/>
      <c r="DX338" s="453"/>
      <c r="DY338" s="453"/>
      <c r="DZ338" s="453"/>
      <c r="EA338" s="453"/>
      <c r="EB338" s="453"/>
      <c r="EC338" s="559">
        <f t="shared" si="193"/>
        <v>340</v>
      </c>
      <c r="ED338" s="889">
        <f t="shared" si="194"/>
        <v>0</v>
      </c>
      <c r="EE338" s="890"/>
      <c r="EF338" s="476">
        <v>0</v>
      </c>
      <c r="EG338" s="893">
        <f t="shared" si="195"/>
        <v>0</v>
      </c>
      <c r="EH338" s="893"/>
      <c r="EI338" s="480">
        <v>0</v>
      </c>
      <c r="EJ338" s="453"/>
      <c r="EK338" s="453"/>
      <c r="EL338" s="453"/>
      <c r="EM338" s="483">
        <f t="shared" si="205"/>
        <v>29</v>
      </c>
      <c r="EN338" s="485"/>
      <c r="EO338" s="804"/>
      <c r="EP338" s="805"/>
      <c r="EQ338" s="806"/>
      <c r="ER338" s="808"/>
      <c r="ES338" s="881">
        <f t="shared" si="206"/>
        <v>0</v>
      </c>
      <c r="ET338" s="882"/>
      <c r="EU338" s="883"/>
      <c r="EV338" s="884">
        <f t="shared" si="197"/>
        <v>0</v>
      </c>
      <c r="EW338" s="885"/>
      <c r="EX338" s="885"/>
      <c r="EY338" s="885"/>
      <c r="EZ338" s="885"/>
      <c r="FA338" s="885"/>
      <c r="FB338" s="885"/>
      <c r="FC338" s="885"/>
      <c r="FD338" s="886"/>
      <c r="FE338" s="878"/>
      <c r="FF338" s="878"/>
      <c r="FG338" s="878"/>
      <c r="FH338" s="878"/>
      <c r="FI338" s="878"/>
      <c r="FJ338" s="878"/>
      <c r="FK338" s="878"/>
      <c r="FL338" s="555"/>
      <c r="FM338" s="554"/>
      <c r="FN338" s="554"/>
      <c r="FO338" s="554"/>
      <c r="FP338" s="554"/>
      <c r="FQ338" s="554"/>
      <c r="FR338" s="554"/>
      <c r="FS338" s="554"/>
      <c r="FT338" s="554"/>
      <c r="FU338" s="554"/>
      <c r="FV338" s="554"/>
      <c r="FW338" s="554"/>
      <c r="FX338" s="554"/>
      <c r="FY338" s="554"/>
      <c r="FZ338" s="554"/>
      <c r="GA338" s="554"/>
      <c r="GB338" s="556"/>
      <c r="GC338" s="370"/>
      <c r="GD338" s="453"/>
      <c r="GE338" s="453"/>
      <c r="GF338" s="453"/>
      <c r="GG338" s="453"/>
      <c r="GH338" s="454"/>
      <c r="GI338" s="453"/>
      <c r="GJ338" s="453"/>
      <c r="GK338" s="453"/>
      <c r="GL338" s="453"/>
      <c r="GM338" s="453"/>
      <c r="GN338" s="453"/>
      <c r="GO338" s="453"/>
      <c r="GP338" s="453"/>
      <c r="GQ338" s="453"/>
      <c r="GR338" s="453"/>
      <c r="GS338" s="561"/>
      <c r="GT338" s="475"/>
      <c r="GU338" s="472"/>
      <c r="GV338" s="453"/>
      <c r="GW338" s="453"/>
      <c r="GX338" s="869"/>
      <c r="GY338" s="870"/>
      <c r="GZ338" s="867"/>
      <c r="HA338" s="868"/>
      <c r="HB338" s="473"/>
      <c r="HC338" s="869"/>
      <c r="HD338" s="870"/>
      <c r="HE338" s="867"/>
      <c r="HF338" s="868"/>
      <c r="HG338" s="473"/>
      <c r="HH338" s="867"/>
      <c r="HI338" s="868"/>
      <c r="HJ338" s="867"/>
      <c r="HK338" s="868"/>
      <c r="HL338" s="370"/>
      <c r="HM338" s="865"/>
      <c r="HN338" s="866"/>
      <c r="HO338" s="865"/>
      <c r="HP338" s="866"/>
      <c r="HQ338" s="865"/>
      <c r="HR338" s="866"/>
      <c r="HS338" s="867"/>
      <c r="HT338" s="868"/>
      <c r="HU338" s="489"/>
      <c r="HV338" s="865"/>
      <c r="HW338" s="866"/>
    </row>
    <row r="339" spans="25:231" ht="15" customHeight="1">
      <c r="Y339" s="332"/>
      <c r="Z339" s="332"/>
      <c r="AA339" s="332"/>
      <c r="AB339" s="332"/>
      <c r="AC339" s="332"/>
      <c r="AD339" s="332"/>
      <c r="AE339" s="332"/>
      <c r="AF339" s="332"/>
      <c r="AG339" s="332"/>
      <c r="AH339" s="332"/>
      <c r="AI339" s="332"/>
      <c r="AJ339" s="332"/>
      <c r="AK339" s="332"/>
      <c r="AL339" s="332"/>
      <c r="AM339" s="332"/>
      <c r="AN339" s="332"/>
      <c r="AO339" s="332"/>
      <c r="AP339" s="332"/>
      <c r="AQ339" s="332"/>
      <c r="AR339" s="332"/>
      <c r="AS339" s="332"/>
      <c r="AT339" s="332"/>
      <c r="AU339" s="332"/>
      <c r="AV339" s="332"/>
      <c r="AW339" s="332"/>
      <c r="AX339" s="332"/>
      <c r="AY339" s="332"/>
      <c r="AZ339" s="332"/>
      <c r="BA339" s="332"/>
      <c r="BB339" s="332"/>
      <c r="BC339" s="332"/>
      <c r="BD339" s="332"/>
      <c r="BE339" s="332"/>
      <c r="BF339" s="332"/>
      <c r="BG339" s="332"/>
      <c r="BH339" s="332"/>
      <c r="BI339" s="332"/>
      <c r="BJ339" s="332"/>
      <c r="BK339" s="332"/>
      <c r="BL339" s="332"/>
      <c r="BM339" s="332"/>
      <c r="BN339" s="332"/>
      <c r="BO339" s="332"/>
      <c r="BP339" s="332"/>
      <c r="BQ339" s="332"/>
      <c r="BR339" s="332"/>
      <c r="BS339" s="332"/>
      <c r="BT339" s="332"/>
      <c r="BU339" s="332"/>
      <c r="BV339" s="332"/>
      <c r="BW339" s="332"/>
      <c r="BX339" s="332"/>
      <c r="BY339" s="332"/>
      <c r="BZ339" s="332"/>
      <c r="CA339" s="332"/>
      <c r="CB339" s="332"/>
      <c r="CC339" s="332"/>
      <c r="CD339" s="332"/>
      <c r="CE339" s="332"/>
      <c r="CF339" s="332"/>
      <c r="CG339" s="332"/>
      <c r="CH339" s="332"/>
      <c r="CI339" s="332"/>
      <c r="CJ339" s="332"/>
      <c r="CK339" s="332"/>
      <c r="CL339" s="332"/>
      <c r="CM339" s="332"/>
      <c r="CN339" s="332"/>
      <c r="CO339" s="332"/>
      <c r="CP339" s="332"/>
      <c r="CQ339" s="332"/>
      <c r="CR339" s="332"/>
      <c r="CS339" s="332"/>
      <c r="CT339" s="332"/>
      <c r="CU339" s="332"/>
      <c r="CV339" s="332"/>
      <c r="CW339" s="332"/>
      <c r="CX339" s="332"/>
      <c r="CY339" s="332"/>
      <c r="CZ339" s="332"/>
      <c r="DA339" s="332"/>
      <c r="DB339" s="332"/>
      <c r="DC339" s="332"/>
      <c r="DD339" s="332"/>
      <c r="DE339" s="332"/>
      <c r="DF339" s="332"/>
      <c r="DG339" s="332"/>
      <c r="DH339" s="332"/>
      <c r="DI339" s="332"/>
      <c r="DJ339" s="332"/>
      <c r="DK339" s="332"/>
      <c r="DL339" s="332"/>
      <c r="DM339" s="332"/>
      <c r="DN339" s="332"/>
      <c r="DO339" s="332"/>
      <c r="DP339" s="332"/>
      <c r="DQ339" s="332"/>
      <c r="DR339" s="332"/>
      <c r="DS339" s="332"/>
      <c r="DT339" s="332"/>
      <c r="DU339" s="453"/>
      <c r="DV339" s="453"/>
      <c r="DW339" s="453"/>
      <c r="DX339" s="453"/>
      <c r="DY339" s="453"/>
      <c r="DZ339" s="453"/>
      <c r="EA339" s="453"/>
      <c r="EB339" s="453"/>
      <c r="EC339" s="559">
        <f t="shared" si="193"/>
        <v>350</v>
      </c>
      <c r="ED339" s="889">
        <f t="shared" si="194"/>
        <v>0</v>
      </c>
      <c r="EE339" s="890"/>
      <c r="EF339" s="476">
        <v>0</v>
      </c>
      <c r="EG339" s="893">
        <f t="shared" si="195"/>
        <v>0</v>
      </c>
      <c r="EH339" s="893"/>
      <c r="EI339" s="480">
        <v>0</v>
      </c>
      <c r="EJ339" s="453"/>
      <c r="EK339" s="453"/>
      <c r="EL339" s="453"/>
      <c r="EM339" s="483">
        <f t="shared" si="205"/>
        <v>30</v>
      </c>
      <c r="EN339" s="485"/>
      <c r="EO339" s="804"/>
      <c r="EP339" s="805"/>
      <c r="EQ339" s="806"/>
      <c r="ER339" s="808"/>
      <c r="ES339" s="881">
        <f t="shared" si="206"/>
        <v>0</v>
      </c>
      <c r="ET339" s="882"/>
      <c r="EU339" s="883"/>
      <c r="EV339" s="884">
        <f t="shared" si="197"/>
        <v>0</v>
      </c>
      <c r="EW339" s="885"/>
      <c r="EX339" s="885"/>
      <c r="EY339" s="885"/>
      <c r="EZ339" s="885"/>
      <c r="FA339" s="885"/>
      <c r="FB339" s="885"/>
      <c r="FC339" s="885"/>
      <c r="FD339" s="886"/>
      <c r="FE339" s="878"/>
      <c r="FF339" s="878"/>
      <c r="FG339" s="878"/>
      <c r="FH339" s="878"/>
      <c r="FI339" s="878"/>
      <c r="FJ339" s="878"/>
      <c r="FK339" s="878"/>
      <c r="FL339" s="555"/>
      <c r="FM339" s="554"/>
      <c r="FN339" s="554"/>
      <c r="FO339" s="554"/>
      <c r="FP339" s="554"/>
      <c r="FQ339" s="554"/>
      <c r="FR339" s="554"/>
      <c r="FS339" s="554"/>
      <c r="FT339" s="554"/>
      <c r="FU339" s="554"/>
      <c r="FV339" s="554"/>
      <c r="FW339" s="554"/>
      <c r="FX339" s="554"/>
      <c r="FY339" s="554"/>
      <c r="FZ339" s="554"/>
      <c r="GA339" s="554"/>
      <c r="GB339" s="556"/>
      <c r="GC339" s="370"/>
      <c r="GD339" s="453"/>
      <c r="GE339" s="453"/>
      <c r="GF339" s="453"/>
      <c r="GG339" s="453"/>
      <c r="GH339" s="454"/>
      <c r="GI339" s="453"/>
      <c r="GJ339" s="453"/>
      <c r="GK339" s="453"/>
      <c r="GL339" s="453"/>
      <c r="GM339" s="453"/>
      <c r="GN339" s="453"/>
      <c r="GO339" s="453"/>
      <c r="GP339" s="453"/>
      <c r="GQ339" s="453"/>
      <c r="GR339" s="453"/>
      <c r="GS339" s="561"/>
      <c r="GT339" s="475"/>
      <c r="GU339" s="472"/>
      <c r="GV339" s="453"/>
      <c r="GW339" s="453"/>
      <c r="GX339" s="869"/>
      <c r="GY339" s="870"/>
      <c r="GZ339" s="867"/>
      <c r="HA339" s="868"/>
      <c r="HB339" s="473"/>
      <c r="HC339" s="869"/>
      <c r="HD339" s="870"/>
      <c r="HE339" s="867"/>
      <c r="HF339" s="868"/>
      <c r="HG339" s="473"/>
      <c r="HH339" s="867"/>
      <c r="HI339" s="868"/>
      <c r="HJ339" s="867"/>
      <c r="HK339" s="868"/>
      <c r="HL339" s="370"/>
      <c r="HM339" s="865"/>
      <c r="HN339" s="866"/>
      <c r="HO339" s="865"/>
      <c r="HP339" s="866"/>
      <c r="HQ339" s="865"/>
      <c r="HR339" s="866"/>
      <c r="HS339" s="867"/>
      <c r="HT339" s="868"/>
      <c r="HU339" s="489"/>
      <c r="HV339" s="865"/>
      <c r="HW339" s="866"/>
    </row>
    <row r="340" spans="25:231" ht="15" customHeight="1">
      <c r="Y340" s="332"/>
      <c r="Z340" s="332"/>
      <c r="AA340" s="332"/>
      <c r="AB340" s="332"/>
      <c r="AC340" s="332"/>
      <c r="AD340" s="332"/>
      <c r="AE340" s="332"/>
      <c r="AF340" s="332"/>
      <c r="AG340" s="332"/>
      <c r="AH340" s="332"/>
      <c r="AI340" s="332"/>
      <c r="AJ340" s="332"/>
      <c r="AK340" s="332"/>
      <c r="AL340" s="332"/>
      <c r="AM340" s="332"/>
      <c r="AN340" s="332"/>
      <c r="AO340" s="332"/>
      <c r="AP340" s="332"/>
      <c r="AQ340" s="332"/>
      <c r="AR340" s="332"/>
      <c r="AS340" s="332"/>
      <c r="AT340" s="332"/>
      <c r="AU340" s="332"/>
      <c r="AV340" s="332"/>
      <c r="AW340" s="332"/>
      <c r="AX340" s="332"/>
      <c r="AY340" s="332"/>
      <c r="AZ340" s="332"/>
      <c r="BA340" s="332"/>
      <c r="BB340" s="332"/>
      <c r="BC340" s="332"/>
      <c r="BD340" s="332"/>
      <c r="BE340" s="332"/>
      <c r="BF340" s="332"/>
      <c r="BG340" s="332"/>
      <c r="BH340" s="332"/>
      <c r="BI340" s="332"/>
      <c r="BJ340" s="332"/>
      <c r="BK340" s="332"/>
      <c r="BL340" s="332"/>
      <c r="BM340" s="332"/>
      <c r="BN340" s="332"/>
      <c r="BO340" s="332"/>
      <c r="BP340" s="332"/>
      <c r="BQ340" s="332"/>
      <c r="BR340" s="332"/>
      <c r="BS340" s="332"/>
      <c r="BT340" s="332"/>
      <c r="BU340" s="332"/>
      <c r="BV340" s="332"/>
      <c r="BW340" s="332"/>
      <c r="BX340" s="332"/>
      <c r="BY340" s="332"/>
      <c r="BZ340" s="332"/>
      <c r="CA340" s="332"/>
      <c r="CB340" s="332"/>
      <c r="CC340" s="332"/>
      <c r="CD340" s="332"/>
      <c r="CE340" s="332"/>
      <c r="CF340" s="332"/>
      <c r="CG340" s="332"/>
      <c r="CH340" s="332"/>
      <c r="CI340" s="332"/>
      <c r="CJ340" s="332"/>
      <c r="CK340" s="332"/>
      <c r="CL340" s="332"/>
      <c r="CM340" s="332"/>
      <c r="CN340" s="332"/>
      <c r="CO340" s="332"/>
      <c r="CP340" s="332"/>
      <c r="CQ340" s="332"/>
      <c r="CR340" s="332"/>
      <c r="CS340" s="332"/>
      <c r="CT340" s="332"/>
      <c r="CU340" s="332"/>
      <c r="CV340" s="332"/>
      <c r="CW340" s="332"/>
      <c r="CX340" s="332"/>
      <c r="CY340" s="332"/>
      <c r="CZ340" s="332"/>
      <c r="DA340" s="332"/>
      <c r="DB340" s="332"/>
      <c r="DC340" s="332"/>
      <c r="DD340" s="332"/>
      <c r="DE340" s="332"/>
      <c r="DF340" s="332"/>
      <c r="DG340" s="332"/>
      <c r="DH340" s="332"/>
      <c r="DI340" s="332"/>
      <c r="DJ340" s="332"/>
      <c r="DK340" s="332"/>
      <c r="DL340" s="332"/>
      <c r="DM340" s="332"/>
      <c r="DN340" s="332"/>
      <c r="DO340" s="332"/>
      <c r="DP340" s="332"/>
      <c r="DQ340" s="332"/>
      <c r="DR340" s="332"/>
      <c r="DS340" s="332"/>
      <c r="DT340" s="332"/>
      <c r="DU340" s="453"/>
      <c r="DV340" s="453"/>
      <c r="DW340" s="453"/>
      <c r="DX340" s="453"/>
      <c r="DY340" s="453"/>
      <c r="DZ340" s="453"/>
      <c r="EA340" s="453"/>
      <c r="EB340" s="453"/>
      <c r="EC340" s="559">
        <f t="shared" si="193"/>
        <v>360</v>
      </c>
      <c r="ED340" s="889">
        <f t="shared" si="194"/>
        <v>0</v>
      </c>
      <c r="EE340" s="890"/>
      <c r="EF340" s="476">
        <v>0</v>
      </c>
      <c r="EG340" s="893">
        <f t="shared" si="195"/>
        <v>0</v>
      </c>
      <c r="EH340" s="893"/>
      <c r="EI340" s="480">
        <v>0</v>
      </c>
      <c r="EJ340" s="453"/>
      <c r="EK340" s="453"/>
      <c r="EL340" s="453"/>
      <c r="EM340" s="483">
        <f t="shared" si="205"/>
        <v>31</v>
      </c>
      <c r="EN340" s="485"/>
      <c r="EO340" s="804"/>
      <c r="EP340" s="805"/>
      <c r="EQ340" s="806"/>
      <c r="ER340" s="808"/>
      <c r="ES340" s="881">
        <f t="shared" si="206"/>
        <v>0</v>
      </c>
      <c r="ET340" s="882"/>
      <c r="EU340" s="883"/>
      <c r="EV340" s="884">
        <f t="shared" si="197"/>
        <v>0</v>
      </c>
      <c r="EW340" s="885"/>
      <c r="EX340" s="885"/>
      <c r="EY340" s="885"/>
      <c r="EZ340" s="885"/>
      <c r="FA340" s="885"/>
      <c r="FB340" s="885"/>
      <c r="FC340" s="885"/>
      <c r="FD340" s="886"/>
      <c r="FE340" s="878"/>
      <c r="FF340" s="878"/>
      <c r="FG340" s="878"/>
      <c r="FH340" s="878"/>
      <c r="FI340" s="878"/>
      <c r="FJ340" s="878"/>
      <c r="FK340" s="878"/>
      <c r="FL340" s="555"/>
      <c r="FM340" s="554"/>
      <c r="FN340" s="554"/>
      <c r="FO340" s="554"/>
      <c r="FP340" s="554"/>
      <c r="FQ340" s="554"/>
      <c r="FR340" s="554"/>
      <c r="FS340" s="554"/>
      <c r="FT340" s="554"/>
      <c r="FU340" s="554"/>
      <c r="FV340" s="554"/>
      <c r="FW340" s="554"/>
      <c r="FX340" s="554"/>
      <c r="FY340" s="554"/>
      <c r="FZ340" s="554"/>
      <c r="GA340" s="554"/>
      <c r="GB340" s="556"/>
      <c r="GC340" s="370"/>
      <c r="GD340" s="453"/>
      <c r="GE340" s="453"/>
      <c r="GF340" s="453"/>
      <c r="GG340" s="453"/>
      <c r="GH340" s="454"/>
      <c r="GI340" s="453"/>
      <c r="GJ340" s="453"/>
      <c r="GK340" s="453"/>
      <c r="GL340" s="453"/>
      <c r="GM340" s="453"/>
      <c r="GN340" s="453"/>
      <c r="GO340" s="453"/>
      <c r="GP340" s="453"/>
      <c r="GQ340" s="453"/>
      <c r="GR340" s="453"/>
      <c r="GS340" s="561"/>
      <c r="GT340" s="475"/>
      <c r="GU340" s="472"/>
      <c r="GV340" s="453"/>
      <c r="GW340" s="453"/>
      <c r="GX340" s="869"/>
      <c r="GY340" s="870"/>
      <c r="GZ340" s="867"/>
      <c r="HA340" s="868"/>
      <c r="HB340" s="473"/>
      <c r="HC340" s="869"/>
      <c r="HD340" s="870"/>
      <c r="HE340" s="867"/>
      <c r="HF340" s="868"/>
      <c r="HG340" s="473"/>
      <c r="HH340" s="867"/>
      <c r="HI340" s="868"/>
      <c r="HJ340" s="867"/>
      <c r="HK340" s="868"/>
      <c r="HL340" s="370"/>
      <c r="HM340" s="865"/>
      <c r="HN340" s="866"/>
      <c r="HO340" s="865"/>
      <c r="HP340" s="866"/>
      <c r="HQ340" s="865"/>
      <c r="HR340" s="866"/>
      <c r="HS340" s="867"/>
      <c r="HT340" s="868"/>
      <c r="HU340" s="489"/>
      <c r="HV340" s="865"/>
      <c r="HW340" s="866"/>
    </row>
    <row r="341" spans="25:231" ht="15" customHeight="1">
      <c r="Y341" s="332"/>
      <c r="Z341" s="332"/>
      <c r="AA341" s="332"/>
      <c r="AB341" s="332"/>
      <c r="AC341" s="332"/>
      <c r="AD341" s="332"/>
      <c r="AE341" s="332"/>
      <c r="AF341" s="332"/>
      <c r="AG341" s="332"/>
      <c r="AH341" s="332"/>
      <c r="AI341" s="332"/>
      <c r="AJ341" s="332"/>
      <c r="AK341" s="332"/>
      <c r="AL341" s="332"/>
      <c r="AM341" s="332"/>
      <c r="AN341" s="332"/>
      <c r="AO341" s="332"/>
      <c r="AP341" s="332"/>
      <c r="AQ341" s="332"/>
      <c r="AR341" s="332"/>
      <c r="AS341" s="332"/>
      <c r="AT341" s="332"/>
      <c r="AU341" s="332"/>
      <c r="AV341" s="332"/>
      <c r="AW341" s="332"/>
      <c r="AX341" s="332"/>
      <c r="AY341" s="332"/>
      <c r="AZ341" s="332"/>
      <c r="BA341" s="332"/>
      <c r="BB341" s="332"/>
      <c r="BC341" s="332"/>
      <c r="BD341" s="332"/>
      <c r="BE341" s="332"/>
      <c r="BF341" s="332"/>
      <c r="BG341" s="332"/>
      <c r="BH341" s="332"/>
      <c r="BI341" s="332"/>
      <c r="BJ341" s="332"/>
      <c r="BK341" s="332"/>
      <c r="BL341" s="332"/>
      <c r="BM341" s="332"/>
      <c r="BN341" s="332"/>
      <c r="BO341" s="332"/>
      <c r="BP341" s="332"/>
      <c r="BQ341" s="332"/>
      <c r="BR341" s="332"/>
      <c r="BS341" s="332"/>
      <c r="BT341" s="332"/>
      <c r="BU341" s="332"/>
      <c r="BV341" s="332"/>
      <c r="BW341" s="332"/>
      <c r="BX341" s="332"/>
      <c r="BY341" s="332"/>
      <c r="BZ341" s="332"/>
      <c r="CA341" s="332"/>
      <c r="CB341" s="332"/>
      <c r="CC341" s="332"/>
      <c r="CD341" s="332"/>
      <c r="CE341" s="332"/>
      <c r="CF341" s="332"/>
      <c r="CG341" s="332"/>
      <c r="CH341" s="332"/>
      <c r="CI341" s="332"/>
      <c r="CJ341" s="332"/>
      <c r="CK341" s="332"/>
      <c r="CL341" s="332"/>
      <c r="CM341" s="332"/>
      <c r="CN341" s="332"/>
      <c r="CO341" s="332"/>
      <c r="CP341" s="332"/>
      <c r="CQ341" s="332"/>
      <c r="CR341" s="332"/>
      <c r="CS341" s="332"/>
      <c r="CT341" s="332"/>
      <c r="CU341" s="332"/>
      <c r="CV341" s="332"/>
      <c r="CW341" s="332"/>
      <c r="CX341" s="332"/>
      <c r="CY341" s="332"/>
      <c r="CZ341" s="332"/>
      <c r="DA341" s="332"/>
      <c r="DB341" s="332"/>
      <c r="DC341" s="332"/>
      <c r="DD341" s="332"/>
      <c r="DE341" s="332"/>
      <c r="DF341" s="332"/>
      <c r="DG341" s="332"/>
      <c r="DH341" s="332"/>
      <c r="DI341" s="332"/>
      <c r="DJ341" s="332"/>
      <c r="DK341" s="332"/>
      <c r="DL341" s="332"/>
      <c r="DM341" s="332"/>
      <c r="DN341" s="332"/>
      <c r="DO341" s="332"/>
      <c r="DP341" s="332"/>
      <c r="DQ341" s="332"/>
      <c r="DR341" s="332"/>
      <c r="DS341" s="332"/>
      <c r="DT341" s="332"/>
      <c r="DU341" s="453"/>
      <c r="DV341" s="453"/>
      <c r="DW341" s="453"/>
      <c r="DX341" s="453"/>
      <c r="DY341" s="453"/>
      <c r="DZ341" s="453"/>
      <c r="EA341" s="453"/>
      <c r="EB341" s="453"/>
      <c r="EC341" s="559" t="str">
        <f t="shared" si="193"/>
        <v/>
      </c>
      <c r="ED341" s="889">
        <f t="shared" si="194"/>
        <v>0</v>
      </c>
      <c r="EE341" s="890"/>
      <c r="EF341" s="476">
        <v>0</v>
      </c>
      <c r="EG341" s="893">
        <f t="shared" si="195"/>
        <v>0</v>
      </c>
      <c r="EH341" s="893"/>
      <c r="EI341" s="480">
        <v>0</v>
      </c>
      <c r="EJ341" s="453"/>
      <c r="EK341" s="453"/>
      <c r="EL341" s="453"/>
      <c r="EM341" s="483">
        <f t="shared" si="205"/>
        <v>32</v>
      </c>
      <c r="EN341" s="485"/>
      <c r="EO341" s="804"/>
      <c r="EP341" s="805"/>
      <c r="EQ341" s="806"/>
      <c r="ER341" s="808"/>
      <c r="ES341" s="881">
        <f t="shared" si="206"/>
        <v>0</v>
      </c>
      <c r="ET341" s="882"/>
      <c r="EU341" s="883"/>
      <c r="EV341" s="884">
        <f t="shared" si="197"/>
        <v>0</v>
      </c>
      <c r="EW341" s="885"/>
      <c r="EX341" s="885"/>
      <c r="EY341" s="885"/>
      <c r="EZ341" s="885"/>
      <c r="FA341" s="885"/>
      <c r="FB341" s="885"/>
      <c r="FC341" s="885"/>
      <c r="FD341" s="886"/>
      <c r="FE341" s="878"/>
      <c r="FF341" s="878"/>
      <c r="FG341" s="878"/>
      <c r="FH341" s="878"/>
      <c r="FI341" s="878"/>
      <c r="FJ341" s="878"/>
      <c r="FK341" s="878"/>
      <c r="FL341" s="555"/>
      <c r="FM341" s="554"/>
      <c r="FN341" s="554"/>
      <c r="FO341" s="554"/>
      <c r="FP341" s="554"/>
      <c r="FQ341" s="554"/>
      <c r="FR341" s="554"/>
      <c r="FS341" s="554"/>
      <c r="FT341" s="554"/>
      <c r="FU341" s="554"/>
      <c r="FV341" s="554"/>
      <c r="FW341" s="554"/>
      <c r="FX341" s="554"/>
      <c r="FY341" s="554"/>
      <c r="FZ341" s="554"/>
      <c r="GA341" s="554"/>
      <c r="GB341" s="556"/>
      <c r="GC341" s="370"/>
      <c r="GD341" s="453"/>
      <c r="GE341" s="453"/>
      <c r="GF341" s="453"/>
      <c r="GG341" s="453"/>
      <c r="GH341" s="454"/>
      <c r="GI341" s="453"/>
      <c r="GJ341" s="453"/>
      <c r="GK341" s="453"/>
      <c r="GL341" s="453"/>
      <c r="GM341" s="453"/>
      <c r="GN341" s="453"/>
      <c r="GO341" s="453"/>
      <c r="GP341" s="453"/>
      <c r="GQ341" s="453"/>
      <c r="GR341" s="453"/>
      <c r="GS341" s="561"/>
      <c r="GT341" s="475"/>
      <c r="GU341" s="472"/>
      <c r="GV341" s="453"/>
      <c r="GW341" s="453"/>
      <c r="GX341" s="869"/>
      <c r="GY341" s="870"/>
      <c r="GZ341" s="867"/>
      <c r="HA341" s="868"/>
      <c r="HB341" s="473"/>
      <c r="HC341" s="869"/>
      <c r="HD341" s="870"/>
      <c r="HE341" s="867"/>
      <c r="HF341" s="868"/>
      <c r="HG341" s="473"/>
      <c r="HH341" s="867"/>
      <c r="HI341" s="868"/>
      <c r="HJ341" s="867"/>
      <c r="HK341" s="868"/>
      <c r="HL341" s="370"/>
      <c r="HM341" s="865"/>
      <c r="HN341" s="866"/>
      <c r="HO341" s="865"/>
      <c r="HP341" s="866"/>
      <c r="HQ341" s="865"/>
      <c r="HR341" s="866"/>
      <c r="HS341" s="867"/>
      <c r="HT341" s="868"/>
      <c r="HU341" s="489"/>
      <c r="HV341" s="865"/>
      <c r="HW341" s="866"/>
    </row>
    <row r="342" spans="25:231" ht="15" customHeight="1">
      <c r="Y342" s="332"/>
      <c r="Z342" s="332"/>
      <c r="AA342" s="332"/>
      <c r="AB342" s="332"/>
      <c r="AC342" s="332"/>
      <c r="AD342" s="332"/>
      <c r="AE342" s="332"/>
      <c r="AF342" s="332"/>
      <c r="AG342" s="332"/>
      <c r="AH342" s="332"/>
      <c r="AI342" s="332"/>
      <c r="AJ342" s="332"/>
      <c r="AK342" s="332"/>
      <c r="AL342" s="332"/>
      <c r="AM342" s="332"/>
      <c r="AN342" s="332"/>
      <c r="AO342" s="332"/>
      <c r="AP342" s="332"/>
      <c r="AQ342" s="332"/>
      <c r="AR342" s="332"/>
      <c r="AS342" s="332"/>
      <c r="AT342" s="332"/>
      <c r="AU342" s="332"/>
      <c r="AV342" s="332"/>
      <c r="AW342" s="332"/>
      <c r="AX342" s="332"/>
      <c r="AY342" s="332"/>
      <c r="AZ342" s="332"/>
      <c r="BA342" s="332"/>
      <c r="BB342" s="332"/>
      <c r="BC342" s="332"/>
      <c r="BD342" s="332"/>
      <c r="BE342" s="332"/>
      <c r="BF342" s="332"/>
      <c r="BG342" s="332"/>
      <c r="BH342" s="332"/>
      <c r="BI342" s="332"/>
      <c r="BJ342" s="332"/>
      <c r="BK342" s="332"/>
      <c r="BL342" s="332"/>
      <c r="BM342" s="332"/>
      <c r="BN342" s="332"/>
      <c r="BO342" s="332"/>
      <c r="BP342" s="332"/>
      <c r="BQ342" s="332"/>
      <c r="BR342" s="332"/>
      <c r="BS342" s="332"/>
      <c r="BT342" s="332"/>
      <c r="BU342" s="332"/>
      <c r="BV342" s="332"/>
      <c r="BW342" s="332"/>
      <c r="BX342" s="332"/>
      <c r="BY342" s="332"/>
      <c r="BZ342" s="332"/>
      <c r="CA342" s="332"/>
      <c r="CB342" s="332"/>
      <c r="CC342" s="332"/>
      <c r="CD342" s="332"/>
      <c r="CE342" s="332"/>
      <c r="CF342" s="332"/>
      <c r="CG342" s="332"/>
      <c r="CH342" s="332"/>
      <c r="CI342" s="332"/>
      <c r="CJ342" s="332"/>
      <c r="CK342" s="332"/>
      <c r="CL342" s="332"/>
      <c r="CM342" s="332"/>
      <c r="CN342" s="332"/>
      <c r="CO342" s="332"/>
      <c r="CP342" s="332"/>
      <c r="CQ342" s="332"/>
      <c r="CR342" s="332"/>
      <c r="CS342" s="332"/>
      <c r="CT342" s="332"/>
      <c r="CU342" s="332"/>
      <c r="CV342" s="332"/>
      <c r="CW342" s="332"/>
      <c r="CX342" s="332"/>
      <c r="CY342" s="332"/>
      <c r="CZ342" s="332"/>
      <c r="DA342" s="332"/>
      <c r="DB342" s="332"/>
      <c r="DC342" s="332"/>
      <c r="DD342" s="332"/>
      <c r="DE342" s="332"/>
      <c r="DF342" s="332"/>
      <c r="DG342" s="332"/>
      <c r="DH342" s="332"/>
      <c r="DI342" s="332"/>
      <c r="DJ342" s="332"/>
      <c r="DK342" s="332"/>
      <c r="DL342" s="332"/>
      <c r="DM342" s="332"/>
      <c r="DN342" s="332"/>
      <c r="DO342" s="332"/>
      <c r="DP342" s="332"/>
      <c r="DQ342" s="332"/>
      <c r="DR342" s="332"/>
      <c r="DS342" s="332"/>
      <c r="DT342" s="332"/>
      <c r="DU342" s="453"/>
      <c r="DV342" s="453"/>
      <c r="DW342" s="453"/>
      <c r="DX342" s="453"/>
      <c r="DY342" s="453"/>
      <c r="DZ342" s="453"/>
      <c r="EA342" s="453"/>
      <c r="EB342" s="453"/>
      <c r="EC342" s="559" t="str">
        <f t="shared" si="193"/>
        <v/>
      </c>
      <c r="ED342" s="889">
        <f t="shared" si="194"/>
        <v>0</v>
      </c>
      <c r="EE342" s="890"/>
      <c r="EF342" s="476">
        <v>0</v>
      </c>
      <c r="EG342" s="893">
        <f t="shared" si="195"/>
        <v>0</v>
      </c>
      <c r="EH342" s="893"/>
      <c r="EI342" s="480">
        <v>0</v>
      </c>
      <c r="EJ342" s="453"/>
      <c r="EK342" s="453"/>
      <c r="EL342" s="453"/>
      <c r="EM342" s="483">
        <f t="shared" si="205"/>
        <v>33</v>
      </c>
      <c r="EN342" s="485"/>
      <c r="EO342" s="804"/>
      <c r="EP342" s="805"/>
      <c r="EQ342" s="806"/>
      <c r="ER342" s="808"/>
      <c r="ES342" s="881">
        <f t="shared" si="206"/>
        <v>0</v>
      </c>
      <c r="ET342" s="882"/>
      <c r="EU342" s="883"/>
      <c r="EV342" s="884">
        <f t="shared" si="197"/>
        <v>0</v>
      </c>
      <c r="EW342" s="885"/>
      <c r="EX342" s="885"/>
      <c r="EY342" s="885"/>
      <c r="EZ342" s="885"/>
      <c r="FA342" s="885"/>
      <c r="FB342" s="885"/>
      <c r="FC342" s="885"/>
      <c r="FD342" s="886"/>
      <c r="FE342" s="878"/>
      <c r="FF342" s="878"/>
      <c r="FG342" s="878"/>
      <c r="FH342" s="878"/>
      <c r="FI342" s="878"/>
      <c r="FJ342" s="878"/>
      <c r="FK342" s="878"/>
      <c r="FL342" s="555"/>
      <c r="FM342" s="554"/>
      <c r="FN342" s="554"/>
      <c r="FO342" s="554"/>
      <c r="FP342" s="554"/>
      <c r="FQ342" s="554"/>
      <c r="FR342" s="554"/>
      <c r="FS342" s="554"/>
      <c r="FT342" s="554"/>
      <c r="FU342" s="554"/>
      <c r="FV342" s="554"/>
      <c r="FW342" s="554"/>
      <c r="FX342" s="554"/>
      <c r="FY342" s="554"/>
      <c r="FZ342" s="554"/>
      <c r="GA342" s="554"/>
      <c r="GB342" s="556"/>
      <c r="GC342" s="370"/>
      <c r="GD342" s="453"/>
      <c r="GE342" s="453"/>
      <c r="GF342" s="453"/>
      <c r="GG342" s="453"/>
      <c r="GH342" s="454"/>
      <c r="GI342" s="453"/>
      <c r="GJ342" s="453"/>
      <c r="GK342" s="453"/>
      <c r="GL342" s="453"/>
      <c r="GM342" s="453"/>
      <c r="GN342" s="453"/>
      <c r="GO342" s="453"/>
      <c r="GP342" s="453"/>
      <c r="GQ342" s="453"/>
      <c r="GR342" s="453"/>
      <c r="GS342" s="561"/>
      <c r="GT342" s="475"/>
      <c r="GU342" s="472"/>
      <c r="GV342" s="453"/>
      <c r="GW342" s="453"/>
      <c r="GX342" s="869"/>
      <c r="GY342" s="870"/>
      <c r="GZ342" s="867"/>
      <c r="HA342" s="868"/>
      <c r="HB342" s="473"/>
      <c r="HC342" s="869"/>
      <c r="HD342" s="870"/>
      <c r="HE342" s="867"/>
      <c r="HF342" s="868"/>
      <c r="HG342" s="473"/>
      <c r="HH342" s="867"/>
      <c r="HI342" s="868"/>
      <c r="HJ342" s="867"/>
      <c r="HK342" s="868"/>
      <c r="HL342" s="370"/>
      <c r="HM342" s="865"/>
      <c r="HN342" s="866"/>
      <c r="HO342" s="865"/>
      <c r="HP342" s="866"/>
      <c r="HQ342" s="865"/>
      <c r="HR342" s="866"/>
      <c r="HS342" s="867"/>
      <c r="HT342" s="868"/>
      <c r="HU342" s="489"/>
      <c r="HV342" s="865"/>
      <c r="HW342" s="866"/>
    </row>
    <row r="343" spans="25:231" ht="15" customHeight="1">
      <c r="Y343" s="332"/>
      <c r="Z343" s="332"/>
      <c r="AA343" s="332"/>
      <c r="AB343" s="332"/>
      <c r="AC343" s="332"/>
      <c r="AD343" s="332"/>
      <c r="AE343" s="332"/>
      <c r="AF343" s="332"/>
      <c r="AG343" s="332"/>
      <c r="AH343" s="332"/>
      <c r="AI343" s="332"/>
      <c r="AJ343" s="332"/>
      <c r="AK343" s="332"/>
      <c r="AL343" s="332"/>
      <c r="AM343" s="332"/>
      <c r="AN343" s="332"/>
      <c r="AO343" s="332"/>
      <c r="AP343" s="332"/>
      <c r="AQ343" s="332"/>
      <c r="AR343" s="332"/>
      <c r="AS343" s="332"/>
      <c r="AT343" s="332"/>
      <c r="AU343" s="332"/>
      <c r="AV343" s="332"/>
      <c r="AW343" s="332"/>
      <c r="AX343" s="332"/>
      <c r="AY343" s="332"/>
      <c r="AZ343" s="332"/>
      <c r="BA343" s="332"/>
      <c r="BB343" s="332"/>
      <c r="BC343" s="332"/>
      <c r="BD343" s="332"/>
      <c r="BE343" s="332"/>
      <c r="BF343" s="332"/>
      <c r="BG343" s="332"/>
      <c r="BH343" s="332"/>
      <c r="BI343" s="332"/>
      <c r="BJ343" s="332"/>
      <c r="BK343" s="332"/>
      <c r="BL343" s="332"/>
      <c r="BM343" s="332"/>
      <c r="BN343" s="332"/>
      <c r="BO343" s="332"/>
      <c r="BP343" s="332"/>
      <c r="BQ343" s="332"/>
      <c r="BR343" s="332"/>
      <c r="BS343" s="332"/>
      <c r="BT343" s="332"/>
      <c r="BU343" s="332"/>
      <c r="BV343" s="332"/>
      <c r="BW343" s="332"/>
      <c r="BX343" s="332"/>
      <c r="BY343" s="332"/>
      <c r="BZ343" s="332"/>
      <c r="CA343" s="332"/>
      <c r="CB343" s="332"/>
      <c r="CC343" s="332"/>
      <c r="CD343" s="332"/>
      <c r="CE343" s="332"/>
      <c r="CF343" s="332"/>
      <c r="CG343" s="332"/>
      <c r="CH343" s="332"/>
      <c r="CI343" s="332"/>
      <c r="CJ343" s="332"/>
      <c r="CK343" s="332"/>
      <c r="CL343" s="332"/>
      <c r="CM343" s="332"/>
      <c r="CN343" s="332"/>
      <c r="CO343" s="332"/>
      <c r="CP343" s="332"/>
      <c r="CQ343" s="332"/>
      <c r="CR343" s="332"/>
      <c r="CS343" s="332"/>
      <c r="CT343" s="332"/>
      <c r="CU343" s="332"/>
      <c r="CV343" s="332"/>
      <c r="CW343" s="332"/>
      <c r="CX343" s="332"/>
      <c r="CY343" s="332"/>
      <c r="CZ343" s="332"/>
      <c r="DA343" s="332"/>
      <c r="DB343" s="332"/>
      <c r="DC343" s="332"/>
      <c r="DD343" s="332"/>
      <c r="DE343" s="332"/>
      <c r="DF343" s="332"/>
      <c r="DG343" s="332"/>
      <c r="DH343" s="332"/>
      <c r="DI343" s="332"/>
      <c r="DJ343" s="332"/>
      <c r="DK343" s="332"/>
      <c r="DL343" s="332"/>
      <c r="DM343" s="332"/>
      <c r="DN343" s="332"/>
      <c r="DO343" s="332"/>
      <c r="DP343" s="332"/>
      <c r="DQ343" s="332"/>
      <c r="DR343" s="332"/>
      <c r="DS343" s="332"/>
      <c r="DT343" s="332"/>
      <c r="DU343" s="453"/>
      <c r="DV343" s="453"/>
      <c r="DW343" s="453"/>
      <c r="DX343" s="453"/>
      <c r="DY343" s="453"/>
      <c r="DZ343" s="453"/>
      <c r="EA343" s="453"/>
      <c r="EB343" s="453"/>
      <c r="EC343" s="559" t="str">
        <f t="shared" si="193"/>
        <v/>
      </c>
      <c r="ED343" s="889">
        <f t="shared" si="194"/>
        <v>0</v>
      </c>
      <c r="EE343" s="890"/>
      <c r="EF343" s="476">
        <v>0</v>
      </c>
      <c r="EG343" s="893">
        <f t="shared" si="195"/>
        <v>0</v>
      </c>
      <c r="EH343" s="893"/>
      <c r="EI343" s="480">
        <v>0</v>
      </c>
      <c r="EJ343" s="453"/>
      <c r="EK343" s="453"/>
      <c r="EL343" s="453"/>
      <c r="EM343" s="483">
        <f t="shared" si="205"/>
        <v>34</v>
      </c>
      <c r="EN343" s="485"/>
      <c r="EO343" s="804"/>
      <c r="EP343" s="805"/>
      <c r="EQ343" s="806"/>
      <c r="ER343" s="808"/>
      <c r="ES343" s="881">
        <f t="shared" si="206"/>
        <v>0</v>
      </c>
      <c r="ET343" s="882"/>
      <c r="EU343" s="883"/>
      <c r="EV343" s="884">
        <f t="shared" si="197"/>
        <v>0</v>
      </c>
      <c r="EW343" s="885"/>
      <c r="EX343" s="885"/>
      <c r="EY343" s="885"/>
      <c r="EZ343" s="885"/>
      <c r="FA343" s="885"/>
      <c r="FB343" s="885"/>
      <c r="FC343" s="885"/>
      <c r="FD343" s="886"/>
      <c r="FE343" s="878"/>
      <c r="FF343" s="878"/>
      <c r="FG343" s="878"/>
      <c r="FH343" s="878"/>
      <c r="FI343" s="878"/>
      <c r="FJ343" s="878"/>
      <c r="FK343" s="878"/>
      <c r="FL343" s="555"/>
      <c r="FM343" s="554"/>
      <c r="FN343" s="554"/>
      <c r="FO343" s="554"/>
      <c r="FP343" s="554"/>
      <c r="FQ343" s="554"/>
      <c r="FR343" s="554"/>
      <c r="FS343" s="554"/>
      <c r="FT343" s="554"/>
      <c r="FU343" s="554"/>
      <c r="FV343" s="554"/>
      <c r="FW343" s="554"/>
      <c r="FX343" s="554"/>
      <c r="FY343" s="554"/>
      <c r="FZ343" s="554"/>
      <c r="GA343" s="554"/>
      <c r="GB343" s="556"/>
      <c r="GC343" s="370"/>
      <c r="GD343" s="453"/>
      <c r="GE343" s="453"/>
      <c r="GF343" s="453"/>
      <c r="GG343" s="453"/>
      <c r="GH343" s="454"/>
      <c r="GI343" s="453"/>
      <c r="GJ343" s="453"/>
      <c r="GK343" s="453"/>
      <c r="GL343" s="453"/>
      <c r="GM343" s="453"/>
      <c r="GN343" s="453"/>
      <c r="GO343" s="453"/>
      <c r="GP343" s="453"/>
      <c r="GQ343" s="453"/>
      <c r="GR343" s="453"/>
      <c r="GS343" s="561"/>
      <c r="GT343" s="475"/>
      <c r="GU343" s="472"/>
      <c r="GV343" s="453"/>
      <c r="GW343" s="453"/>
      <c r="GX343" s="869"/>
      <c r="GY343" s="870"/>
      <c r="GZ343" s="867"/>
      <c r="HA343" s="868"/>
      <c r="HB343" s="473"/>
      <c r="HC343" s="869"/>
      <c r="HD343" s="870"/>
      <c r="HE343" s="867"/>
      <c r="HF343" s="868"/>
      <c r="HG343" s="473"/>
      <c r="HH343" s="867"/>
      <c r="HI343" s="868"/>
      <c r="HJ343" s="867"/>
      <c r="HK343" s="868"/>
      <c r="HL343" s="370"/>
      <c r="HM343" s="865"/>
      <c r="HN343" s="866"/>
      <c r="HO343" s="865"/>
      <c r="HP343" s="866"/>
      <c r="HQ343" s="865"/>
      <c r="HR343" s="866"/>
      <c r="HS343" s="867"/>
      <c r="HT343" s="868"/>
      <c r="HU343" s="489"/>
      <c r="HV343" s="865"/>
      <c r="HW343" s="866"/>
    </row>
    <row r="344" spans="25:231" ht="15" customHeight="1">
      <c r="Y344" s="332"/>
      <c r="Z344" s="332"/>
      <c r="AA344" s="332"/>
      <c r="AB344" s="332"/>
      <c r="AC344" s="332"/>
      <c r="AD344" s="332"/>
      <c r="AE344" s="332"/>
      <c r="AF344" s="332"/>
      <c r="AG344" s="332"/>
      <c r="AH344" s="332"/>
      <c r="AI344" s="332"/>
      <c r="AJ344" s="332"/>
      <c r="AK344" s="332"/>
      <c r="AL344" s="332"/>
      <c r="AM344" s="332"/>
      <c r="AN344" s="332"/>
      <c r="AO344" s="332"/>
      <c r="AP344" s="332"/>
      <c r="AQ344" s="332"/>
      <c r="AR344" s="332"/>
      <c r="AS344" s="332"/>
      <c r="AT344" s="332"/>
      <c r="AU344" s="332"/>
      <c r="AV344" s="332"/>
      <c r="AW344" s="332"/>
      <c r="AX344" s="332"/>
      <c r="AY344" s="332"/>
      <c r="AZ344" s="332"/>
      <c r="BA344" s="332"/>
      <c r="BB344" s="332"/>
      <c r="BC344" s="332"/>
      <c r="BD344" s="332"/>
      <c r="BE344" s="332"/>
      <c r="BF344" s="332"/>
      <c r="BG344" s="332"/>
      <c r="BH344" s="332"/>
      <c r="BI344" s="332"/>
      <c r="BJ344" s="332"/>
      <c r="BK344" s="332"/>
      <c r="BL344" s="332"/>
      <c r="BM344" s="332"/>
      <c r="BN344" s="332"/>
      <c r="BO344" s="332"/>
      <c r="BP344" s="332"/>
      <c r="BQ344" s="332"/>
      <c r="BR344" s="332"/>
      <c r="BS344" s="332"/>
      <c r="BT344" s="332"/>
      <c r="BU344" s="332"/>
      <c r="BV344" s="332"/>
      <c r="BW344" s="332"/>
      <c r="BX344" s="332"/>
      <c r="BY344" s="332"/>
      <c r="BZ344" s="332"/>
      <c r="CA344" s="332"/>
      <c r="CB344" s="332"/>
      <c r="CC344" s="332"/>
      <c r="CD344" s="332"/>
      <c r="CE344" s="332"/>
      <c r="CF344" s="332"/>
      <c r="CG344" s="332"/>
      <c r="CH344" s="332"/>
      <c r="CI344" s="332"/>
      <c r="CJ344" s="332"/>
      <c r="CK344" s="332"/>
      <c r="CL344" s="332"/>
      <c r="CM344" s="332"/>
      <c r="CN344" s="332"/>
      <c r="CO344" s="332"/>
      <c r="CP344" s="332"/>
      <c r="CQ344" s="332"/>
      <c r="CR344" s="332"/>
      <c r="CS344" s="332"/>
      <c r="CT344" s="332"/>
      <c r="CU344" s="332"/>
      <c r="CV344" s="332"/>
      <c r="CW344" s="332"/>
      <c r="CX344" s="332"/>
      <c r="CY344" s="332"/>
      <c r="CZ344" s="332"/>
      <c r="DA344" s="332"/>
      <c r="DB344" s="332"/>
      <c r="DC344" s="332"/>
      <c r="DD344" s="332"/>
      <c r="DE344" s="332"/>
      <c r="DF344" s="332"/>
      <c r="DG344" s="332"/>
      <c r="DH344" s="332"/>
      <c r="DI344" s="332"/>
      <c r="DJ344" s="332"/>
      <c r="DK344" s="332"/>
      <c r="DL344" s="332"/>
      <c r="DM344" s="332"/>
      <c r="DN344" s="332"/>
      <c r="DO344" s="332"/>
      <c r="DP344" s="332"/>
      <c r="DQ344" s="332"/>
      <c r="DR344" s="332"/>
      <c r="DS344" s="332"/>
      <c r="DT344" s="332"/>
      <c r="DU344" s="453"/>
      <c r="DV344" s="453"/>
      <c r="DW344" s="453"/>
      <c r="DX344" s="453"/>
      <c r="DY344" s="453"/>
      <c r="DZ344" s="453"/>
      <c r="EA344" s="453"/>
      <c r="EB344" s="453"/>
      <c r="EC344" s="559" t="str">
        <f t="shared" si="193"/>
        <v/>
      </c>
      <c r="ED344" s="889">
        <f t="shared" si="194"/>
        <v>0</v>
      </c>
      <c r="EE344" s="890"/>
      <c r="EF344" s="476">
        <v>0</v>
      </c>
      <c r="EG344" s="893">
        <f t="shared" si="195"/>
        <v>0</v>
      </c>
      <c r="EH344" s="893"/>
      <c r="EI344" s="480">
        <v>0</v>
      </c>
      <c r="EJ344" s="453"/>
      <c r="EK344" s="453"/>
      <c r="EL344" s="453"/>
      <c r="EM344" s="483">
        <f t="shared" si="205"/>
        <v>35</v>
      </c>
      <c r="EN344" s="485"/>
      <c r="EO344" s="804"/>
      <c r="EP344" s="805"/>
      <c r="EQ344" s="806"/>
      <c r="ER344" s="808"/>
      <c r="ES344" s="881">
        <f t="shared" si="206"/>
        <v>0</v>
      </c>
      <c r="ET344" s="882"/>
      <c r="EU344" s="883"/>
      <c r="EV344" s="884">
        <f t="shared" si="197"/>
        <v>0</v>
      </c>
      <c r="EW344" s="885"/>
      <c r="EX344" s="885"/>
      <c r="EY344" s="885"/>
      <c r="EZ344" s="885"/>
      <c r="FA344" s="885"/>
      <c r="FB344" s="885"/>
      <c r="FC344" s="885"/>
      <c r="FD344" s="886"/>
      <c r="FE344" s="878"/>
      <c r="FF344" s="878"/>
      <c r="FG344" s="878"/>
      <c r="FH344" s="878"/>
      <c r="FI344" s="878"/>
      <c r="FJ344" s="878"/>
      <c r="FK344" s="878"/>
      <c r="FL344" s="555"/>
      <c r="FM344" s="554"/>
      <c r="FN344" s="554"/>
      <c r="FO344" s="554"/>
      <c r="FP344" s="554"/>
      <c r="FQ344" s="554"/>
      <c r="FR344" s="554"/>
      <c r="FS344" s="554"/>
      <c r="FT344" s="554"/>
      <c r="FU344" s="554"/>
      <c r="FV344" s="554"/>
      <c r="FW344" s="554"/>
      <c r="FX344" s="554"/>
      <c r="FY344" s="554"/>
      <c r="FZ344" s="554"/>
      <c r="GA344" s="554"/>
      <c r="GB344" s="556"/>
      <c r="GC344" s="370"/>
      <c r="GD344" s="453"/>
      <c r="GE344" s="453"/>
      <c r="GF344" s="453"/>
      <c r="GG344" s="453"/>
      <c r="GH344" s="454"/>
      <c r="GI344" s="453"/>
      <c r="GJ344" s="453"/>
      <c r="GK344" s="453"/>
      <c r="GL344" s="453"/>
      <c r="GM344" s="453"/>
      <c r="GN344" s="453"/>
      <c r="GO344" s="453"/>
      <c r="GP344" s="453"/>
      <c r="GQ344" s="453"/>
      <c r="GR344" s="453"/>
      <c r="GS344" s="561"/>
      <c r="GT344" s="475"/>
      <c r="GU344" s="472"/>
      <c r="GV344" s="453"/>
      <c r="GW344" s="453"/>
      <c r="GX344" s="869"/>
      <c r="GY344" s="870"/>
      <c r="GZ344" s="867"/>
      <c r="HA344" s="868"/>
      <c r="HB344" s="473"/>
      <c r="HC344" s="869"/>
      <c r="HD344" s="870"/>
      <c r="HE344" s="867"/>
      <c r="HF344" s="868"/>
      <c r="HG344" s="473"/>
      <c r="HH344" s="867"/>
      <c r="HI344" s="868"/>
      <c r="HJ344" s="867"/>
      <c r="HK344" s="868"/>
      <c r="HL344" s="370"/>
      <c r="HM344" s="865"/>
      <c r="HN344" s="866"/>
      <c r="HO344" s="865"/>
      <c r="HP344" s="866"/>
      <c r="HQ344" s="865"/>
      <c r="HR344" s="866"/>
      <c r="HS344" s="867"/>
      <c r="HT344" s="868"/>
      <c r="HU344" s="489"/>
      <c r="HV344" s="865"/>
      <c r="HW344" s="866"/>
    </row>
    <row r="345" spans="25:231" ht="15" customHeight="1">
      <c r="Y345" s="332"/>
      <c r="Z345" s="332"/>
      <c r="AA345" s="332"/>
      <c r="AB345" s="332"/>
      <c r="AC345" s="332"/>
      <c r="AD345" s="332"/>
      <c r="AE345" s="332"/>
      <c r="AF345" s="332"/>
      <c r="AG345" s="332"/>
      <c r="AH345" s="332"/>
      <c r="AI345" s="332"/>
      <c r="AJ345" s="332"/>
      <c r="AK345" s="332"/>
      <c r="AL345" s="332"/>
      <c r="AM345" s="332"/>
      <c r="AN345" s="332"/>
      <c r="AO345" s="332"/>
      <c r="AP345" s="332"/>
      <c r="AQ345" s="332"/>
      <c r="AR345" s="332"/>
      <c r="AS345" s="332"/>
      <c r="AT345" s="332"/>
      <c r="AU345" s="332"/>
      <c r="AV345" s="332"/>
      <c r="AW345" s="332"/>
      <c r="AX345" s="332"/>
      <c r="AY345" s="332"/>
      <c r="AZ345" s="332"/>
      <c r="BA345" s="332"/>
      <c r="BB345" s="332"/>
      <c r="BC345" s="332"/>
      <c r="BD345" s="332"/>
      <c r="BE345" s="332"/>
      <c r="BF345" s="332"/>
      <c r="BG345" s="332"/>
      <c r="BH345" s="332"/>
      <c r="BI345" s="332"/>
      <c r="BJ345" s="332"/>
      <c r="BK345" s="332"/>
      <c r="BL345" s="332"/>
      <c r="BM345" s="332"/>
      <c r="BN345" s="332"/>
      <c r="BO345" s="332"/>
      <c r="BP345" s="332"/>
      <c r="BQ345" s="332"/>
      <c r="BR345" s="332"/>
      <c r="BS345" s="332"/>
      <c r="BT345" s="332"/>
      <c r="BU345" s="332"/>
      <c r="BV345" s="332"/>
      <c r="BW345" s="332"/>
      <c r="BX345" s="332"/>
      <c r="BY345" s="332"/>
      <c r="BZ345" s="332"/>
      <c r="CA345" s="332"/>
      <c r="CB345" s="332"/>
      <c r="CC345" s="332"/>
      <c r="CD345" s="332"/>
      <c r="CE345" s="332"/>
      <c r="CF345" s="332"/>
      <c r="CG345" s="332"/>
      <c r="CH345" s="332"/>
      <c r="CI345" s="332"/>
      <c r="CJ345" s="332"/>
      <c r="CK345" s="332"/>
      <c r="CL345" s="332"/>
      <c r="CM345" s="332"/>
      <c r="CN345" s="332"/>
      <c r="CO345" s="332"/>
      <c r="CP345" s="332"/>
      <c r="CQ345" s="332"/>
      <c r="CR345" s="332"/>
      <c r="CS345" s="332"/>
      <c r="CT345" s="332"/>
      <c r="CU345" s="332"/>
      <c r="CV345" s="332"/>
      <c r="CW345" s="332"/>
      <c r="CX345" s="332"/>
      <c r="CY345" s="332"/>
      <c r="CZ345" s="332"/>
      <c r="DA345" s="332"/>
      <c r="DB345" s="332"/>
      <c r="DC345" s="332"/>
      <c r="DD345" s="332"/>
      <c r="DE345" s="332"/>
      <c r="DF345" s="332"/>
      <c r="DG345" s="332"/>
      <c r="DH345" s="332"/>
      <c r="DI345" s="332"/>
      <c r="DJ345" s="332"/>
      <c r="DK345" s="332"/>
      <c r="DL345" s="332"/>
      <c r="DM345" s="332"/>
      <c r="DN345" s="332"/>
      <c r="DO345" s="332"/>
      <c r="DP345" s="332"/>
      <c r="DQ345" s="332"/>
      <c r="DR345" s="332"/>
      <c r="DS345" s="332"/>
      <c r="DT345" s="332"/>
      <c r="DU345" s="453"/>
      <c r="DV345" s="453"/>
      <c r="DW345" s="453"/>
      <c r="DX345" s="453"/>
      <c r="DY345" s="453"/>
      <c r="DZ345" s="453"/>
      <c r="EA345" s="453"/>
      <c r="EB345" s="453"/>
      <c r="EC345" s="559" t="str">
        <f t="shared" si="193"/>
        <v/>
      </c>
      <c r="ED345" s="889">
        <f t="shared" si="194"/>
        <v>0</v>
      </c>
      <c r="EE345" s="890"/>
      <c r="EF345" s="476">
        <v>0</v>
      </c>
      <c r="EG345" s="893">
        <f t="shared" si="195"/>
        <v>0</v>
      </c>
      <c r="EH345" s="893"/>
      <c r="EI345" s="480">
        <v>0</v>
      </c>
      <c r="EJ345" s="453"/>
      <c r="EK345" s="453"/>
      <c r="EL345" s="453"/>
      <c r="EM345" s="483">
        <f t="shared" si="205"/>
        <v>36</v>
      </c>
      <c r="EN345" s="485"/>
      <c r="EO345" s="804"/>
      <c r="EP345" s="805"/>
      <c r="EQ345" s="806"/>
      <c r="ER345" s="808"/>
      <c r="ES345" s="881">
        <f t="shared" si="206"/>
        <v>0</v>
      </c>
      <c r="ET345" s="882"/>
      <c r="EU345" s="883"/>
      <c r="EV345" s="884">
        <f t="shared" si="197"/>
        <v>0</v>
      </c>
      <c r="EW345" s="885"/>
      <c r="EX345" s="885"/>
      <c r="EY345" s="885"/>
      <c r="EZ345" s="885"/>
      <c r="FA345" s="885"/>
      <c r="FB345" s="885"/>
      <c r="FC345" s="885"/>
      <c r="FD345" s="886"/>
      <c r="FE345" s="878"/>
      <c r="FF345" s="878"/>
      <c r="FG345" s="878"/>
      <c r="FH345" s="878"/>
      <c r="FI345" s="878"/>
      <c r="FJ345" s="878"/>
      <c r="FK345" s="878"/>
      <c r="FL345" s="555"/>
      <c r="FM345" s="554"/>
      <c r="FN345" s="554"/>
      <c r="FO345" s="554"/>
      <c r="FP345" s="554"/>
      <c r="FQ345" s="554"/>
      <c r="FR345" s="554"/>
      <c r="FS345" s="554"/>
      <c r="FT345" s="554"/>
      <c r="FU345" s="554"/>
      <c r="FV345" s="554"/>
      <c r="FW345" s="554"/>
      <c r="FX345" s="554"/>
      <c r="FY345" s="554"/>
      <c r="FZ345" s="554"/>
      <c r="GA345" s="554"/>
      <c r="GB345" s="556"/>
      <c r="GC345" s="370"/>
      <c r="GD345" s="453"/>
      <c r="GE345" s="453"/>
      <c r="GF345" s="453"/>
      <c r="GG345" s="453"/>
      <c r="GH345" s="454"/>
      <c r="GI345" s="453"/>
      <c r="GJ345" s="453"/>
      <c r="GK345" s="453"/>
      <c r="GL345" s="453"/>
      <c r="GM345" s="453"/>
      <c r="GN345" s="453"/>
      <c r="GO345" s="453"/>
      <c r="GP345" s="453"/>
      <c r="GQ345" s="453"/>
      <c r="GR345" s="453"/>
      <c r="GS345" s="561"/>
      <c r="GT345" s="475"/>
      <c r="GU345" s="472"/>
      <c r="GV345" s="453"/>
      <c r="GW345" s="453"/>
      <c r="GX345" s="869"/>
      <c r="GY345" s="870"/>
      <c r="GZ345" s="867"/>
      <c r="HA345" s="868"/>
      <c r="HB345" s="473"/>
      <c r="HC345" s="869"/>
      <c r="HD345" s="870"/>
      <c r="HE345" s="867"/>
      <c r="HF345" s="868"/>
      <c r="HG345" s="473"/>
      <c r="HH345" s="867"/>
      <c r="HI345" s="868"/>
      <c r="HJ345" s="867"/>
      <c r="HK345" s="868"/>
      <c r="HL345" s="370"/>
      <c r="HM345" s="865"/>
      <c r="HN345" s="866"/>
      <c r="HO345" s="865"/>
      <c r="HP345" s="866"/>
      <c r="HQ345" s="865"/>
      <c r="HR345" s="866"/>
      <c r="HS345" s="867"/>
      <c r="HT345" s="868"/>
      <c r="HU345" s="489"/>
      <c r="HV345" s="865"/>
      <c r="HW345" s="866"/>
    </row>
    <row r="346" spans="25:231" ht="15" customHeight="1">
      <c r="Y346" s="332"/>
      <c r="Z346" s="332"/>
      <c r="AA346" s="332"/>
      <c r="AB346" s="332"/>
      <c r="AC346" s="332"/>
      <c r="AD346" s="332"/>
      <c r="AE346" s="332"/>
      <c r="AF346" s="332"/>
      <c r="AG346" s="332"/>
      <c r="AH346" s="332"/>
      <c r="AI346" s="332"/>
      <c r="AJ346" s="332"/>
      <c r="AK346" s="332"/>
      <c r="AL346" s="332"/>
      <c r="AM346" s="332"/>
      <c r="AN346" s="332"/>
      <c r="AO346" s="332"/>
      <c r="AP346" s="332"/>
      <c r="AQ346" s="332"/>
      <c r="AR346" s="332"/>
      <c r="AS346" s="332"/>
      <c r="AT346" s="332"/>
      <c r="AU346" s="332"/>
      <c r="AV346" s="332"/>
      <c r="AW346" s="332"/>
      <c r="AX346" s="332"/>
      <c r="AY346" s="332"/>
      <c r="AZ346" s="332"/>
      <c r="BA346" s="332"/>
      <c r="BB346" s="332"/>
      <c r="BC346" s="332"/>
      <c r="BD346" s="332"/>
      <c r="BE346" s="332"/>
      <c r="BF346" s="332"/>
      <c r="BG346" s="332"/>
      <c r="BH346" s="332"/>
      <c r="BI346" s="332"/>
      <c r="BJ346" s="332"/>
      <c r="BK346" s="332"/>
      <c r="BL346" s="332"/>
      <c r="BM346" s="332"/>
      <c r="BN346" s="332"/>
      <c r="BO346" s="332"/>
      <c r="BP346" s="332"/>
      <c r="BQ346" s="332"/>
      <c r="BR346" s="332"/>
      <c r="BS346" s="332"/>
      <c r="BT346" s="332"/>
      <c r="BU346" s="332"/>
      <c r="BV346" s="332"/>
      <c r="BW346" s="332"/>
      <c r="BX346" s="332"/>
      <c r="BY346" s="332"/>
      <c r="BZ346" s="332"/>
      <c r="CA346" s="332"/>
      <c r="CB346" s="332"/>
      <c r="CC346" s="332"/>
      <c r="CD346" s="332"/>
      <c r="CE346" s="332"/>
      <c r="CF346" s="332"/>
      <c r="CG346" s="332"/>
      <c r="CH346" s="332"/>
      <c r="CI346" s="332"/>
      <c r="CJ346" s="332"/>
      <c r="CK346" s="332"/>
      <c r="CL346" s="332"/>
      <c r="CM346" s="332"/>
      <c r="CN346" s="332"/>
      <c r="CO346" s="332"/>
      <c r="CP346" s="332"/>
      <c r="CQ346" s="332"/>
      <c r="CR346" s="332"/>
      <c r="CS346" s="332"/>
      <c r="CT346" s="332"/>
      <c r="CU346" s="332"/>
      <c r="CV346" s="332"/>
      <c r="CW346" s="332"/>
      <c r="CX346" s="332"/>
      <c r="CY346" s="332"/>
      <c r="CZ346" s="332"/>
      <c r="DA346" s="332"/>
      <c r="DB346" s="332"/>
      <c r="DC346" s="332"/>
      <c r="DD346" s="332"/>
      <c r="DE346" s="332"/>
      <c r="DF346" s="332"/>
      <c r="DG346" s="332"/>
      <c r="DH346" s="332"/>
      <c r="DI346" s="332"/>
      <c r="DJ346" s="332"/>
      <c r="DK346" s="332"/>
      <c r="DL346" s="332"/>
      <c r="DM346" s="332"/>
      <c r="DN346" s="332"/>
      <c r="DO346" s="332"/>
      <c r="DP346" s="332"/>
      <c r="DQ346" s="332"/>
      <c r="DR346" s="332"/>
      <c r="DS346" s="332"/>
      <c r="DT346" s="332"/>
      <c r="DU346" s="453"/>
      <c r="DV346" s="453"/>
      <c r="DW346" s="453"/>
      <c r="DX346" s="453"/>
      <c r="DY346" s="453"/>
      <c r="DZ346" s="453"/>
      <c r="EA346" s="453"/>
      <c r="EB346" s="453"/>
      <c r="EC346" s="559" t="str">
        <f t="shared" si="193"/>
        <v/>
      </c>
      <c r="ED346" s="889">
        <f t="shared" si="194"/>
        <v>0</v>
      </c>
      <c r="EE346" s="890"/>
      <c r="EF346" s="476">
        <v>0</v>
      </c>
      <c r="EG346" s="893">
        <f t="shared" si="195"/>
        <v>0</v>
      </c>
      <c r="EH346" s="893"/>
      <c r="EI346" s="480">
        <v>0</v>
      </c>
      <c r="EJ346" s="453"/>
      <c r="EK346" s="453"/>
      <c r="EL346" s="453"/>
      <c r="EM346" s="483">
        <f t="shared" si="205"/>
        <v>37</v>
      </c>
      <c r="EN346" s="485"/>
      <c r="EO346" s="804"/>
      <c r="EP346" s="805"/>
      <c r="EQ346" s="806"/>
      <c r="ER346" s="808"/>
      <c r="ES346" s="881">
        <f t="shared" si="206"/>
        <v>0</v>
      </c>
      <c r="ET346" s="882"/>
      <c r="EU346" s="883"/>
      <c r="EV346" s="884">
        <f t="shared" si="197"/>
        <v>0</v>
      </c>
      <c r="EW346" s="885"/>
      <c r="EX346" s="885"/>
      <c r="EY346" s="885"/>
      <c r="EZ346" s="885"/>
      <c r="FA346" s="885"/>
      <c r="FB346" s="885"/>
      <c r="FC346" s="885"/>
      <c r="FD346" s="886"/>
      <c r="FE346" s="878"/>
      <c r="FF346" s="878"/>
      <c r="FG346" s="878"/>
      <c r="FH346" s="878"/>
      <c r="FI346" s="878"/>
      <c r="FJ346" s="878"/>
      <c r="FK346" s="878"/>
      <c r="FL346" s="555"/>
      <c r="FM346" s="554"/>
      <c r="FN346" s="554"/>
      <c r="FO346" s="554"/>
      <c r="FP346" s="554"/>
      <c r="FQ346" s="554"/>
      <c r="FR346" s="554"/>
      <c r="FS346" s="554"/>
      <c r="FT346" s="554"/>
      <c r="FU346" s="554"/>
      <c r="FV346" s="554"/>
      <c r="FW346" s="554"/>
      <c r="FX346" s="554"/>
      <c r="FY346" s="554"/>
      <c r="FZ346" s="554"/>
      <c r="GA346" s="554"/>
      <c r="GB346" s="556"/>
      <c r="GC346" s="370"/>
      <c r="GD346" s="453"/>
      <c r="GE346" s="453"/>
      <c r="GF346" s="453"/>
      <c r="GG346" s="453"/>
      <c r="GH346" s="454"/>
      <c r="GI346" s="453"/>
      <c r="GJ346" s="453"/>
      <c r="GK346" s="453"/>
      <c r="GL346" s="453"/>
      <c r="GM346" s="453"/>
      <c r="GN346" s="453"/>
      <c r="GO346" s="453"/>
      <c r="GP346" s="453"/>
      <c r="GQ346" s="453"/>
      <c r="GR346" s="453"/>
      <c r="GS346" s="561"/>
      <c r="GT346" s="475"/>
      <c r="GU346" s="472"/>
      <c r="GV346" s="453"/>
      <c r="GW346" s="453"/>
      <c r="GX346" s="869"/>
      <c r="GY346" s="870"/>
      <c r="GZ346" s="867"/>
      <c r="HA346" s="868"/>
      <c r="HB346" s="473"/>
      <c r="HC346" s="869"/>
      <c r="HD346" s="870"/>
      <c r="HE346" s="867"/>
      <c r="HF346" s="868"/>
      <c r="HG346" s="473"/>
      <c r="HH346" s="867"/>
      <c r="HI346" s="868"/>
      <c r="HJ346" s="867"/>
      <c r="HK346" s="868"/>
      <c r="HL346" s="370"/>
      <c r="HM346" s="865"/>
      <c r="HN346" s="866"/>
      <c r="HO346" s="865"/>
      <c r="HP346" s="866"/>
      <c r="HQ346" s="865"/>
      <c r="HR346" s="866"/>
      <c r="HS346" s="867"/>
      <c r="HT346" s="868"/>
      <c r="HU346" s="489"/>
      <c r="HV346" s="865"/>
      <c r="HW346" s="866"/>
    </row>
    <row r="347" spans="25:231" ht="15" customHeight="1">
      <c r="Y347" s="332"/>
      <c r="Z347" s="332"/>
      <c r="AA347" s="332"/>
      <c r="AB347" s="332"/>
      <c r="AC347" s="332"/>
      <c r="AD347" s="332"/>
      <c r="AE347" s="332"/>
      <c r="AF347" s="332"/>
      <c r="AG347" s="332"/>
      <c r="AH347" s="332"/>
      <c r="AI347" s="332"/>
      <c r="AJ347" s="332"/>
      <c r="AK347" s="332"/>
      <c r="AL347" s="332"/>
      <c r="AM347" s="332"/>
      <c r="AN347" s="332"/>
      <c r="AO347" s="332"/>
      <c r="AP347" s="332"/>
      <c r="AQ347" s="332"/>
      <c r="AR347" s="332"/>
      <c r="AS347" s="332"/>
      <c r="AT347" s="332"/>
      <c r="AU347" s="332"/>
      <c r="AV347" s="332"/>
      <c r="AW347" s="332"/>
      <c r="AX347" s="332"/>
      <c r="AY347" s="332"/>
      <c r="AZ347" s="332"/>
      <c r="BA347" s="332"/>
      <c r="BB347" s="332"/>
      <c r="BC347" s="332"/>
      <c r="BD347" s="332"/>
      <c r="BE347" s="332"/>
      <c r="BF347" s="332"/>
      <c r="BG347" s="332"/>
      <c r="BH347" s="332"/>
      <c r="BI347" s="332"/>
      <c r="BJ347" s="332"/>
      <c r="BK347" s="332"/>
      <c r="BL347" s="332"/>
      <c r="BM347" s="332"/>
      <c r="BN347" s="332"/>
      <c r="BO347" s="332"/>
      <c r="BP347" s="332"/>
      <c r="BQ347" s="332"/>
      <c r="BR347" s="332"/>
      <c r="BS347" s="332"/>
      <c r="BT347" s="332"/>
      <c r="BU347" s="332"/>
      <c r="BV347" s="332"/>
      <c r="BW347" s="332"/>
      <c r="BX347" s="332"/>
      <c r="BY347" s="332"/>
      <c r="BZ347" s="332"/>
      <c r="CA347" s="332"/>
      <c r="CB347" s="332"/>
      <c r="CC347" s="332"/>
      <c r="CD347" s="332"/>
      <c r="CE347" s="332"/>
      <c r="CF347" s="332"/>
      <c r="CG347" s="332"/>
      <c r="CH347" s="332"/>
      <c r="CI347" s="332"/>
      <c r="CJ347" s="332"/>
      <c r="CK347" s="332"/>
      <c r="CL347" s="332"/>
      <c r="CM347" s="332"/>
      <c r="CN347" s="332"/>
      <c r="CO347" s="332"/>
      <c r="CP347" s="332"/>
      <c r="CQ347" s="332"/>
      <c r="CR347" s="332"/>
      <c r="CS347" s="332"/>
      <c r="CT347" s="332"/>
      <c r="CU347" s="332"/>
      <c r="CV347" s="332"/>
      <c r="CW347" s="332"/>
      <c r="CX347" s="332"/>
      <c r="CY347" s="332"/>
      <c r="CZ347" s="332"/>
      <c r="DA347" s="332"/>
      <c r="DB347" s="332"/>
      <c r="DC347" s="332"/>
      <c r="DD347" s="332"/>
      <c r="DE347" s="332"/>
      <c r="DF347" s="332"/>
      <c r="DG347" s="332"/>
      <c r="DH347" s="332"/>
      <c r="DI347" s="332"/>
      <c r="DJ347" s="332"/>
      <c r="DK347" s="332"/>
      <c r="DL347" s="332"/>
      <c r="DM347" s="332"/>
      <c r="DN347" s="332"/>
      <c r="DO347" s="332"/>
      <c r="DP347" s="332"/>
      <c r="DQ347" s="332"/>
      <c r="DR347" s="332"/>
      <c r="DS347" s="332"/>
      <c r="DT347" s="332"/>
      <c r="DU347" s="453"/>
      <c r="DV347" s="453"/>
      <c r="DW347" s="453"/>
      <c r="DX347" s="453"/>
      <c r="DY347" s="453"/>
      <c r="DZ347" s="453"/>
      <c r="EA347" s="453"/>
      <c r="EB347" s="453"/>
      <c r="EC347" s="559" t="str">
        <f t="shared" si="193"/>
        <v/>
      </c>
      <c r="ED347" s="889">
        <f t="shared" si="194"/>
        <v>0</v>
      </c>
      <c r="EE347" s="890"/>
      <c r="EF347" s="476">
        <v>0</v>
      </c>
      <c r="EG347" s="893">
        <f t="shared" si="195"/>
        <v>0</v>
      </c>
      <c r="EH347" s="893"/>
      <c r="EI347" s="480">
        <v>0</v>
      </c>
      <c r="EJ347" s="453"/>
      <c r="EK347" s="453"/>
      <c r="EL347" s="453"/>
      <c r="EM347" s="483">
        <f t="shared" si="205"/>
        <v>38</v>
      </c>
      <c r="EN347" s="485"/>
      <c r="EO347" s="804"/>
      <c r="EP347" s="805"/>
      <c r="EQ347" s="806"/>
      <c r="ER347" s="808"/>
      <c r="ES347" s="881">
        <f t="shared" si="206"/>
        <v>0</v>
      </c>
      <c r="ET347" s="882"/>
      <c r="EU347" s="883"/>
      <c r="EV347" s="884">
        <f t="shared" si="197"/>
        <v>0</v>
      </c>
      <c r="EW347" s="885"/>
      <c r="EX347" s="885"/>
      <c r="EY347" s="885"/>
      <c r="EZ347" s="885"/>
      <c r="FA347" s="885"/>
      <c r="FB347" s="885"/>
      <c r="FC347" s="885"/>
      <c r="FD347" s="886"/>
      <c r="FE347" s="878"/>
      <c r="FF347" s="878"/>
      <c r="FG347" s="878"/>
      <c r="FH347" s="878"/>
      <c r="FI347" s="878"/>
      <c r="FJ347" s="878"/>
      <c r="FK347" s="878"/>
      <c r="FL347" s="555"/>
      <c r="FM347" s="554"/>
      <c r="FN347" s="554"/>
      <c r="FO347" s="554"/>
      <c r="FP347" s="554"/>
      <c r="FQ347" s="554"/>
      <c r="FR347" s="554"/>
      <c r="FS347" s="554"/>
      <c r="FT347" s="554"/>
      <c r="FU347" s="554"/>
      <c r="FV347" s="554"/>
      <c r="FW347" s="554"/>
      <c r="FX347" s="554"/>
      <c r="FY347" s="554"/>
      <c r="FZ347" s="554"/>
      <c r="GA347" s="554"/>
      <c r="GB347" s="556"/>
      <c r="GC347" s="370"/>
      <c r="GD347" s="453"/>
      <c r="GE347" s="453"/>
      <c r="GF347" s="453"/>
      <c r="GG347" s="453"/>
      <c r="GH347" s="454"/>
      <c r="GI347" s="453"/>
      <c r="GJ347" s="453"/>
      <c r="GK347" s="453"/>
      <c r="GL347" s="453"/>
      <c r="GM347" s="453"/>
      <c r="GN347" s="453"/>
      <c r="GO347" s="453"/>
      <c r="GP347" s="453"/>
      <c r="GQ347" s="453"/>
      <c r="GR347" s="453"/>
      <c r="GS347" s="561"/>
      <c r="GT347" s="475"/>
      <c r="GU347" s="472"/>
      <c r="GV347" s="453"/>
      <c r="GW347" s="453"/>
      <c r="GX347" s="869"/>
      <c r="GY347" s="870"/>
      <c r="GZ347" s="867"/>
      <c r="HA347" s="868"/>
      <c r="HB347" s="473"/>
      <c r="HC347" s="869"/>
      <c r="HD347" s="870"/>
      <c r="HE347" s="867"/>
      <c r="HF347" s="868"/>
      <c r="HG347" s="473"/>
      <c r="HH347" s="867"/>
      <c r="HI347" s="868"/>
      <c r="HJ347" s="867"/>
      <c r="HK347" s="868"/>
      <c r="HL347" s="370"/>
      <c r="HM347" s="865"/>
      <c r="HN347" s="866"/>
      <c r="HO347" s="865"/>
      <c r="HP347" s="866"/>
      <c r="HQ347" s="865"/>
      <c r="HR347" s="866"/>
      <c r="HS347" s="867"/>
      <c r="HT347" s="868"/>
      <c r="HU347" s="489"/>
      <c r="HV347" s="865"/>
      <c r="HW347" s="866"/>
    </row>
    <row r="348" spans="25:231" ht="15" customHeight="1">
      <c r="Y348" s="332"/>
      <c r="Z348" s="332"/>
      <c r="AA348" s="332"/>
      <c r="AB348" s="332"/>
      <c r="AC348" s="332"/>
      <c r="AD348" s="332"/>
      <c r="AE348" s="332"/>
      <c r="AF348" s="332"/>
      <c r="AG348" s="332"/>
      <c r="AH348" s="332"/>
      <c r="AI348" s="332"/>
      <c r="AJ348" s="332"/>
      <c r="AK348" s="332"/>
      <c r="AL348" s="332"/>
      <c r="AM348" s="332"/>
      <c r="AN348" s="332"/>
      <c r="AO348" s="332"/>
      <c r="AP348" s="332"/>
      <c r="AQ348" s="332"/>
      <c r="AR348" s="332"/>
      <c r="AS348" s="332"/>
      <c r="AT348" s="332"/>
      <c r="AU348" s="332"/>
      <c r="AV348" s="332"/>
      <c r="AW348" s="332"/>
      <c r="AX348" s="332"/>
      <c r="AY348" s="332"/>
      <c r="AZ348" s="332"/>
      <c r="BA348" s="332"/>
      <c r="BB348" s="332"/>
      <c r="BC348" s="332"/>
      <c r="BD348" s="332"/>
      <c r="BE348" s="332"/>
      <c r="BF348" s="332"/>
      <c r="BG348" s="332"/>
      <c r="BH348" s="332"/>
      <c r="BI348" s="332"/>
      <c r="BJ348" s="332"/>
      <c r="BK348" s="332"/>
      <c r="BL348" s="332"/>
      <c r="BM348" s="332"/>
      <c r="BN348" s="332"/>
      <c r="BO348" s="332"/>
      <c r="BP348" s="332"/>
      <c r="BQ348" s="332"/>
      <c r="BR348" s="332"/>
      <c r="BS348" s="332"/>
      <c r="BT348" s="332"/>
      <c r="BU348" s="332"/>
      <c r="BV348" s="332"/>
      <c r="BW348" s="332"/>
      <c r="BX348" s="332"/>
      <c r="BY348" s="332"/>
      <c r="BZ348" s="332"/>
      <c r="CA348" s="332"/>
      <c r="CB348" s="332"/>
      <c r="CC348" s="332"/>
      <c r="CD348" s="332"/>
      <c r="CE348" s="332"/>
      <c r="CF348" s="332"/>
      <c r="CG348" s="332"/>
      <c r="CH348" s="332"/>
      <c r="CI348" s="332"/>
      <c r="CJ348" s="332"/>
      <c r="CK348" s="332"/>
      <c r="CL348" s="332"/>
      <c r="CM348" s="332"/>
      <c r="CN348" s="332"/>
      <c r="CO348" s="332"/>
      <c r="CP348" s="332"/>
      <c r="CQ348" s="332"/>
      <c r="CR348" s="332"/>
      <c r="CS348" s="332"/>
      <c r="CT348" s="332"/>
      <c r="CU348" s="332"/>
      <c r="CV348" s="332"/>
      <c r="CW348" s="332"/>
      <c r="CX348" s="332"/>
      <c r="CY348" s="332"/>
      <c r="CZ348" s="332"/>
      <c r="DA348" s="332"/>
      <c r="DB348" s="332"/>
      <c r="DC348" s="332"/>
      <c r="DD348" s="332"/>
      <c r="DE348" s="332"/>
      <c r="DF348" s="332"/>
      <c r="DG348" s="332"/>
      <c r="DH348" s="332"/>
      <c r="DI348" s="332"/>
      <c r="DJ348" s="332"/>
      <c r="DK348" s="332"/>
      <c r="DL348" s="332"/>
      <c r="DM348" s="332"/>
      <c r="DN348" s="332"/>
      <c r="DO348" s="332"/>
      <c r="DP348" s="332"/>
      <c r="DQ348" s="332"/>
      <c r="DR348" s="332"/>
      <c r="DS348" s="332"/>
      <c r="DT348" s="332"/>
      <c r="DU348" s="453"/>
      <c r="DV348" s="453"/>
      <c r="DW348" s="453"/>
      <c r="DX348" s="453"/>
      <c r="DY348" s="453"/>
      <c r="DZ348" s="453"/>
      <c r="EA348" s="453"/>
      <c r="EB348" s="453"/>
      <c r="EC348" s="559" t="str">
        <f t="shared" si="193"/>
        <v/>
      </c>
      <c r="ED348" s="889">
        <f t="shared" si="194"/>
        <v>0</v>
      </c>
      <c r="EE348" s="890"/>
      <c r="EF348" s="476">
        <v>0</v>
      </c>
      <c r="EG348" s="893">
        <f t="shared" si="195"/>
        <v>0</v>
      </c>
      <c r="EH348" s="893"/>
      <c r="EI348" s="480">
        <v>0</v>
      </c>
      <c r="EJ348" s="453"/>
      <c r="EK348" s="453"/>
      <c r="EL348" s="453"/>
      <c r="EM348" s="483">
        <f t="shared" si="205"/>
        <v>39</v>
      </c>
      <c r="EN348" s="485"/>
      <c r="EO348" s="804"/>
      <c r="EP348" s="805"/>
      <c r="EQ348" s="806"/>
      <c r="ER348" s="808"/>
      <c r="ES348" s="881">
        <f t="shared" si="206"/>
        <v>0</v>
      </c>
      <c r="ET348" s="882"/>
      <c r="EU348" s="883"/>
      <c r="EV348" s="884">
        <f t="shared" si="197"/>
        <v>0</v>
      </c>
      <c r="EW348" s="885"/>
      <c r="EX348" s="885"/>
      <c r="EY348" s="885"/>
      <c r="EZ348" s="885"/>
      <c r="FA348" s="885"/>
      <c r="FB348" s="885"/>
      <c r="FC348" s="885"/>
      <c r="FD348" s="886"/>
      <c r="FE348" s="878"/>
      <c r="FF348" s="878"/>
      <c r="FG348" s="878"/>
      <c r="FH348" s="878"/>
      <c r="FI348" s="878"/>
      <c r="FJ348" s="878"/>
      <c r="FK348" s="878"/>
      <c r="FL348" s="555"/>
      <c r="FM348" s="554"/>
      <c r="FN348" s="554"/>
      <c r="FO348" s="554"/>
      <c r="FP348" s="554"/>
      <c r="FQ348" s="554"/>
      <c r="FR348" s="554"/>
      <c r="FS348" s="554"/>
      <c r="FT348" s="554"/>
      <c r="FU348" s="554"/>
      <c r="FV348" s="554"/>
      <c r="FW348" s="554"/>
      <c r="FX348" s="554"/>
      <c r="FY348" s="554"/>
      <c r="FZ348" s="554"/>
      <c r="GA348" s="554"/>
      <c r="GB348" s="556"/>
      <c r="GC348" s="370"/>
      <c r="GD348" s="453"/>
      <c r="GE348" s="453"/>
      <c r="GF348" s="453"/>
      <c r="GG348" s="453"/>
      <c r="GH348" s="454"/>
      <c r="GI348" s="453"/>
      <c r="GJ348" s="453"/>
      <c r="GK348" s="453"/>
      <c r="GL348" s="453"/>
      <c r="GM348" s="453"/>
      <c r="GN348" s="453"/>
      <c r="GO348" s="453"/>
      <c r="GP348" s="453"/>
      <c r="GQ348" s="453"/>
      <c r="GR348" s="453"/>
      <c r="GS348" s="561"/>
      <c r="GT348" s="475"/>
      <c r="GU348" s="472"/>
      <c r="GV348" s="453"/>
      <c r="GW348" s="453"/>
      <c r="GX348" s="869"/>
      <c r="GY348" s="870"/>
      <c r="GZ348" s="867"/>
      <c r="HA348" s="868"/>
      <c r="HB348" s="473"/>
      <c r="HC348" s="869"/>
      <c r="HD348" s="870"/>
      <c r="HE348" s="867"/>
      <c r="HF348" s="868"/>
      <c r="HG348" s="473"/>
      <c r="HH348" s="867"/>
      <c r="HI348" s="868"/>
      <c r="HJ348" s="867"/>
      <c r="HK348" s="868"/>
      <c r="HL348" s="370"/>
      <c r="HM348" s="865"/>
      <c r="HN348" s="866"/>
      <c r="HO348" s="865"/>
      <c r="HP348" s="866"/>
      <c r="HQ348" s="865"/>
      <c r="HR348" s="866"/>
      <c r="HS348" s="867"/>
      <c r="HT348" s="868"/>
      <c r="HU348" s="489"/>
      <c r="HV348" s="865"/>
      <c r="HW348" s="866"/>
    </row>
    <row r="349" spans="25:231" ht="15" customHeight="1">
      <c r="Y349" s="332"/>
      <c r="Z349" s="332"/>
      <c r="AA349" s="332"/>
      <c r="AB349" s="332"/>
      <c r="AC349" s="332"/>
      <c r="AD349" s="332"/>
      <c r="AE349" s="332"/>
      <c r="AF349" s="332"/>
      <c r="AG349" s="332"/>
      <c r="AH349" s="332"/>
      <c r="AI349" s="332"/>
      <c r="AJ349" s="332"/>
      <c r="AK349" s="332"/>
      <c r="AL349" s="332"/>
      <c r="AM349" s="332"/>
      <c r="AN349" s="332"/>
      <c r="AO349" s="332"/>
      <c r="AP349" s="332"/>
      <c r="AQ349" s="332"/>
      <c r="AR349" s="332"/>
      <c r="AS349" s="332"/>
      <c r="AT349" s="332"/>
      <c r="AU349" s="332"/>
      <c r="AV349" s="332"/>
      <c r="AW349" s="332"/>
      <c r="AX349" s="332"/>
      <c r="AY349" s="332"/>
      <c r="AZ349" s="332"/>
      <c r="BA349" s="332"/>
      <c r="BB349" s="332"/>
      <c r="BC349" s="332"/>
      <c r="BD349" s="332"/>
      <c r="BE349" s="332"/>
      <c r="BF349" s="332"/>
      <c r="BG349" s="332"/>
      <c r="BH349" s="332"/>
      <c r="BI349" s="332"/>
      <c r="BJ349" s="332"/>
      <c r="BK349" s="332"/>
      <c r="BL349" s="332"/>
      <c r="BM349" s="332"/>
      <c r="BN349" s="332"/>
      <c r="BO349" s="332"/>
      <c r="BP349" s="332"/>
      <c r="BQ349" s="332"/>
      <c r="BR349" s="332"/>
      <c r="BS349" s="332"/>
      <c r="BT349" s="332"/>
      <c r="BU349" s="332"/>
      <c r="BV349" s="332"/>
      <c r="BW349" s="332"/>
      <c r="BX349" s="332"/>
      <c r="BY349" s="332"/>
      <c r="BZ349" s="332"/>
      <c r="CA349" s="332"/>
      <c r="CB349" s="332"/>
      <c r="CC349" s="332"/>
      <c r="CD349" s="332"/>
      <c r="CE349" s="332"/>
      <c r="CF349" s="332"/>
      <c r="CG349" s="332"/>
      <c r="CH349" s="332"/>
      <c r="CI349" s="332"/>
      <c r="CJ349" s="332"/>
      <c r="CK349" s="332"/>
      <c r="CL349" s="332"/>
      <c r="CM349" s="332"/>
      <c r="CN349" s="332"/>
      <c r="CO349" s="332"/>
      <c r="CP349" s="332"/>
      <c r="CQ349" s="332"/>
      <c r="CR349" s="332"/>
      <c r="CS349" s="332"/>
      <c r="CT349" s="332"/>
      <c r="CU349" s="332"/>
      <c r="CV349" s="332"/>
      <c r="CW349" s="332"/>
      <c r="CX349" s="332"/>
      <c r="CY349" s="332"/>
      <c r="CZ349" s="332"/>
      <c r="DA349" s="332"/>
      <c r="DB349" s="332"/>
      <c r="DC349" s="332"/>
      <c r="DD349" s="332"/>
      <c r="DE349" s="332"/>
      <c r="DF349" s="332"/>
      <c r="DG349" s="332"/>
      <c r="DH349" s="332"/>
      <c r="DI349" s="332"/>
      <c r="DJ349" s="332"/>
      <c r="DK349" s="332"/>
      <c r="DL349" s="332"/>
      <c r="DM349" s="332"/>
      <c r="DN349" s="332"/>
      <c r="DO349" s="332"/>
      <c r="DP349" s="332"/>
      <c r="DQ349" s="332"/>
      <c r="DR349" s="332"/>
      <c r="DS349" s="332"/>
      <c r="DT349" s="332"/>
      <c r="DU349" s="453"/>
      <c r="DV349" s="453"/>
      <c r="DW349" s="453"/>
      <c r="DX349" s="453"/>
      <c r="DY349" s="453"/>
      <c r="DZ349" s="453"/>
      <c r="EA349" s="453"/>
      <c r="EB349" s="453"/>
      <c r="EC349" s="559" t="str">
        <f t="shared" si="193"/>
        <v/>
      </c>
      <c r="ED349" s="889">
        <f t="shared" si="194"/>
        <v>0</v>
      </c>
      <c r="EE349" s="890"/>
      <c r="EF349" s="476">
        <v>0</v>
      </c>
      <c r="EG349" s="893">
        <f t="shared" si="195"/>
        <v>0</v>
      </c>
      <c r="EH349" s="893"/>
      <c r="EI349" s="480">
        <v>0</v>
      </c>
      <c r="EJ349" s="453"/>
      <c r="EK349" s="453"/>
      <c r="EL349" s="453"/>
      <c r="EM349" s="483">
        <f t="shared" si="205"/>
        <v>40</v>
      </c>
      <c r="EN349" s="485"/>
      <c r="EO349" s="804"/>
      <c r="EP349" s="805"/>
      <c r="EQ349" s="806"/>
      <c r="ER349" s="808"/>
      <c r="ES349" s="881">
        <f t="shared" si="206"/>
        <v>0</v>
      </c>
      <c r="ET349" s="882"/>
      <c r="EU349" s="883"/>
      <c r="EV349" s="884">
        <f t="shared" si="197"/>
        <v>0</v>
      </c>
      <c r="EW349" s="885"/>
      <c r="EX349" s="885"/>
      <c r="EY349" s="885"/>
      <c r="EZ349" s="885"/>
      <c r="FA349" s="885"/>
      <c r="FB349" s="885"/>
      <c r="FC349" s="885"/>
      <c r="FD349" s="886"/>
      <c r="FE349" s="878"/>
      <c r="FF349" s="878"/>
      <c r="FG349" s="878"/>
      <c r="FH349" s="878"/>
      <c r="FI349" s="878"/>
      <c r="FJ349" s="878"/>
      <c r="FK349" s="878"/>
      <c r="FL349" s="555"/>
      <c r="FM349" s="554"/>
      <c r="FN349" s="554"/>
      <c r="FO349" s="554"/>
      <c r="FP349" s="554"/>
      <c r="FQ349" s="554"/>
      <c r="FR349" s="554"/>
      <c r="FS349" s="554"/>
      <c r="FT349" s="554"/>
      <c r="FU349" s="554"/>
      <c r="FV349" s="554"/>
      <c r="FW349" s="554"/>
      <c r="FX349" s="554"/>
      <c r="FY349" s="554"/>
      <c r="FZ349" s="554"/>
      <c r="GA349" s="554"/>
      <c r="GB349" s="556"/>
      <c r="GC349" s="370"/>
      <c r="GD349" s="453"/>
      <c r="GE349" s="453"/>
      <c r="GF349" s="453"/>
      <c r="GG349" s="453"/>
      <c r="GH349" s="454"/>
      <c r="GI349" s="453"/>
      <c r="GJ349" s="453"/>
      <c r="GK349" s="453"/>
      <c r="GL349" s="453"/>
      <c r="GM349" s="453"/>
      <c r="GN349" s="453"/>
      <c r="GO349" s="453"/>
      <c r="GP349" s="453"/>
      <c r="GQ349" s="453"/>
      <c r="GR349" s="453"/>
      <c r="GS349" s="561"/>
      <c r="GT349" s="475"/>
      <c r="GU349" s="472"/>
      <c r="GV349" s="453"/>
      <c r="GW349" s="453"/>
      <c r="GX349" s="869"/>
      <c r="GY349" s="870"/>
      <c r="GZ349" s="867"/>
      <c r="HA349" s="868"/>
      <c r="HB349" s="473"/>
      <c r="HC349" s="869"/>
      <c r="HD349" s="870"/>
      <c r="HE349" s="867"/>
      <c r="HF349" s="868"/>
      <c r="HG349" s="473"/>
      <c r="HH349" s="867"/>
      <c r="HI349" s="868"/>
      <c r="HJ349" s="867"/>
      <c r="HK349" s="868"/>
      <c r="HL349" s="370"/>
      <c r="HM349" s="865"/>
      <c r="HN349" s="866"/>
      <c r="HO349" s="865"/>
      <c r="HP349" s="866"/>
      <c r="HQ349" s="865"/>
      <c r="HR349" s="866"/>
      <c r="HS349" s="867"/>
      <c r="HT349" s="868"/>
      <c r="HU349" s="489"/>
      <c r="HV349" s="865"/>
      <c r="HW349" s="866"/>
    </row>
    <row r="350" spans="25:231" ht="15" customHeight="1">
      <c r="Y350" s="332"/>
      <c r="Z350" s="332"/>
      <c r="AA350" s="332"/>
      <c r="AB350" s="332"/>
      <c r="AC350" s="332"/>
      <c r="AD350" s="332"/>
      <c r="AE350" s="332"/>
      <c r="AF350" s="332"/>
      <c r="AG350" s="332"/>
      <c r="AH350" s="332"/>
      <c r="AI350" s="332"/>
      <c r="AJ350" s="332"/>
      <c r="AK350" s="332"/>
      <c r="AL350" s="332"/>
      <c r="AM350" s="332"/>
      <c r="AN350" s="332"/>
      <c r="AO350" s="332"/>
      <c r="AP350" s="332"/>
      <c r="AQ350" s="332"/>
      <c r="AR350" s="332"/>
      <c r="AS350" s="332"/>
      <c r="AT350" s="332"/>
      <c r="AU350" s="332"/>
      <c r="AV350" s="332"/>
      <c r="AW350" s="332"/>
      <c r="AX350" s="332"/>
      <c r="AY350" s="332"/>
      <c r="AZ350" s="332"/>
      <c r="BA350" s="332"/>
      <c r="BB350" s="332"/>
      <c r="BC350" s="332"/>
      <c r="BD350" s="332"/>
      <c r="BE350" s="332"/>
      <c r="BF350" s="332"/>
      <c r="BG350" s="332"/>
      <c r="BH350" s="332"/>
      <c r="BI350" s="332"/>
      <c r="BJ350" s="332"/>
      <c r="BK350" s="332"/>
      <c r="BL350" s="332"/>
      <c r="BM350" s="332"/>
      <c r="BN350" s="332"/>
      <c r="BO350" s="332"/>
      <c r="BP350" s="332"/>
      <c r="BQ350" s="332"/>
      <c r="BR350" s="332"/>
      <c r="BS350" s="332"/>
      <c r="BT350" s="332"/>
      <c r="BU350" s="332"/>
      <c r="BV350" s="332"/>
      <c r="BW350" s="332"/>
      <c r="BX350" s="332"/>
      <c r="BY350" s="332"/>
      <c r="BZ350" s="332"/>
      <c r="CA350" s="332"/>
      <c r="CB350" s="332"/>
      <c r="CC350" s="332"/>
      <c r="CD350" s="332"/>
      <c r="CE350" s="332"/>
      <c r="CF350" s="332"/>
      <c r="CG350" s="332"/>
      <c r="CH350" s="332"/>
      <c r="CI350" s="332"/>
      <c r="CJ350" s="332"/>
      <c r="CK350" s="332"/>
      <c r="CL350" s="332"/>
      <c r="CM350" s="332"/>
      <c r="CN350" s="332"/>
      <c r="CO350" s="332"/>
      <c r="CP350" s="332"/>
      <c r="CQ350" s="332"/>
      <c r="CR350" s="332"/>
      <c r="CS350" s="332"/>
      <c r="CT350" s="332"/>
      <c r="CU350" s="332"/>
      <c r="CV350" s="332"/>
      <c r="CW350" s="332"/>
      <c r="CX350" s="332"/>
      <c r="CY350" s="332"/>
      <c r="CZ350" s="332"/>
      <c r="DA350" s="332"/>
      <c r="DB350" s="332"/>
      <c r="DC350" s="332"/>
      <c r="DD350" s="332"/>
      <c r="DE350" s="332"/>
      <c r="DF350" s="332"/>
      <c r="DG350" s="332"/>
      <c r="DH350" s="332"/>
      <c r="DI350" s="332"/>
      <c r="DJ350" s="332"/>
      <c r="DK350" s="332"/>
      <c r="DL350" s="332"/>
      <c r="DM350" s="332"/>
      <c r="DN350" s="332"/>
      <c r="DO350" s="332"/>
      <c r="DP350" s="332"/>
      <c r="DQ350" s="332"/>
      <c r="DR350" s="332"/>
      <c r="DS350" s="332"/>
      <c r="DT350" s="332"/>
      <c r="DU350" s="453"/>
      <c r="DV350" s="453"/>
      <c r="DW350" s="453"/>
      <c r="DX350" s="453"/>
      <c r="DY350" s="453"/>
      <c r="DZ350" s="453"/>
      <c r="EA350" s="453"/>
      <c r="EB350" s="453"/>
      <c r="EC350" s="559" t="str">
        <f t="shared" si="193"/>
        <v/>
      </c>
      <c r="ED350" s="889">
        <f t="shared" si="194"/>
        <v>0</v>
      </c>
      <c r="EE350" s="890"/>
      <c r="EF350" s="476">
        <v>0</v>
      </c>
      <c r="EG350" s="893">
        <f t="shared" ref="EG350:EG351" si="207">+SUMIFS($EP$310:$EP$1507, $EO$310:$EO$1507, "PUT", $EQ$310:$EQ$1507, EC350)</f>
        <v>0</v>
      </c>
      <c r="EH350" s="893"/>
      <c r="EI350" s="480">
        <v>0</v>
      </c>
      <c r="EJ350" s="453"/>
      <c r="EK350" s="453"/>
      <c r="EL350" s="453"/>
      <c r="EM350" s="483">
        <f t="shared" si="205"/>
        <v>41</v>
      </c>
      <c r="EN350" s="485"/>
      <c r="EO350" s="804"/>
      <c r="EP350" s="805"/>
      <c r="EQ350" s="806"/>
      <c r="ER350" s="808"/>
      <c r="ES350" s="881">
        <f t="shared" si="206"/>
        <v>0</v>
      </c>
      <c r="ET350" s="882"/>
      <c r="EU350" s="883"/>
      <c r="EV350" s="884">
        <f t="shared" si="197"/>
        <v>0</v>
      </c>
      <c r="EW350" s="885"/>
      <c r="EX350" s="885"/>
      <c r="EY350" s="885"/>
      <c r="EZ350" s="885"/>
      <c r="FA350" s="885"/>
      <c r="FB350" s="885"/>
      <c r="FC350" s="885"/>
      <c r="FD350" s="886"/>
      <c r="FE350" s="878"/>
      <c r="FF350" s="878"/>
      <c r="FG350" s="878"/>
      <c r="FH350" s="878"/>
      <c r="FI350" s="878"/>
      <c r="FJ350" s="878"/>
      <c r="FK350" s="878"/>
      <c r="FL350" s="555"/>
      <c r="FM350" s="554"/>
      <c r="FN350" s="554"/>
      <c r="FO350" s="554"/>
      <c r="FP350" s="554"/>
      <c r="FQ350" s="554"/>
      <c r="FR350" s="554"/>
      <c r="FS350" s="554"/>
      <c r="FT350" s="554"/>
      <c r="FU350" s="554"/>
      <c r="FV350" s="554"/>
      <c r="FW350" s="554"/>
      <c r="FX350" s="554"/>
      <c r="FY350" s="554"/>
      <c r="FZ350" s="554"/>
      <c r="GA350" s="554"/>
      <c r="GB350" s="556"/>
      <c r="GC350" s="370"/>
      <c r="GD350" s="453"/>
      <c r="GE350" s="453"/>
      <c r="GF350" s="453"/>
      <c r="GG350" s="453"/>
      <c r="GH350" s="454"/>
      <c r="GI350" s="453"/>
      <c r="GJ350" s="453"/>
      <c r="GK350" s="453"/>
      <c r="GL350" s="453"/>
      <c r="GM350" s="453"/>
      <c r="GN350" s="453"/>
      <c r="GO350" s="453"/>
      <c r="GP350" s="453"/>
      <c r="GQ350" s="453"/>
      <c r="GR350" s="453"/>
      <c r="GS350" s="561"/>
      <c r="GT350" s="475"/>
      <c r="GU350" s="472"/>
      <c r="GV350" s="453"/>
      <c r="GW350" s="453"/>
      <c r="GX350" s="869"/>
      <c r="GY350" s="870"/>
      <c r="GZ350" s="867"/>
      <c r="HA350" s="868"/>
      <c r="HB350" s="473"/>
      <c r="HC350" s="869"/>
      <c r="HD350" s="870"/>
      <c r="HE350" s="867"/>
      <c r="HF350" s="868"/>
      <c r="HG350" s="473"/>
      <c r="HH350" s="867"/>
      <c r="HI350" s="868"/>
      <c r="HJ350" s="867"/>
      <c r="HK350" s="868"/>
      <c r="HL350" s="370"/>
      <c r="HM350" s="865"/>
      <c r="HN350" s="866"/>
      <c r="HO350" s="865"/>
      <c r="HP350" s="866"/>
      <c r="HQ350" s="865"/>
      <c r="HR350" s="866"/>
      <c r="HS350" s="867"/>
      <c r="HT350" s="868"/>
      <c r="HU350" s="489"/>
      <c r="HV350" s="865"/>
      <c r="HW350" s="866"/>
    </row>
    <row r="351" spans="25:231" ht="15" customHeight="1" thickBot="1">
      <c r="Y351" s="332"/>
      <c r="Z351" s="332"/>
      <c r="AA351" s="332"/>
      <c r="AB351" s="332"/>
      <c r="AC351" s="332"/>
      <c r="AD351" s="332"/>
      <c r="AE351" s="332"/>
      <c r="AF351" s="332"/>
      <c r="AG351" s="332"/>
      <c r="AH351" s="332"/>
      <c r="AI351" s="332"/>
      <c r="AJ351" s="332"/>
      <c r="AK351" s="332"/>
      <c r="AL351" s="332"/>
      <c r="AM351" s="332"/>
      <c r="AN351" s="332"/>
      <c r="AO351" s="332"/>
      <c r="AP351" s="332"/>
      <c r="AQ351" s="332"/>
      <c r="AR351" s="332"/>
      <c r="AS351" s="332"/>
      <c r="AT351" s="332"/>
      <c r="AU351" s="332"/>
      <c r="AV351" s="332"/>
      <c r="AW351" s="332"/>
      <c r="AX351" s="332"/>
      <c r="AY351" s="332"/>
      <c r="AZ351" s="332"/>
      <c r="BA351" s="332"/>
      <c r="BB351" s="332"/>
      <c r="BC351" s="332"/>
      <c r="BD351" s="332"/>
      <c r="BE351" s="332"/>
      <c r="BF351" s="332"/>
      <c r="BG351" s="332"/>
      <c r="BH351" s="332"/>
      <c r="BI351" s="332"/>
      <c r="BJ351" s="332"/>
      <c r="BK351" s="332"/>
      <c r="BL351" s="332"/>
      <c r="BM351" s="332"/>
      <c r="BN351" s="332"/>
      <c r="BO351" s="332"/>
      <c r="BP351" s="332"/>
      <c r="BQ351" s="332"/>
      <c r="BR351" s="332"/>
      <c r="BS351" s="332"/>
      <c r="BT351" s="332"/>
      <c r="BU351" s="332"/>
      <c r="BV351" s="332"/>
      <c r="BW351" s="332"/>
      <c r="BX351" s="332"/>
      <c r="BY351" s="332"/>
      <c r="BZ351" s="332"/>
      <c r="CA351" s="332"/>
      <c r="CB351" s="332"/>
      <c r="CC351" s="332"/>
      <c r="CD351" s="332"/>
      <c r="CE351" s="332"/>
      <c r="CF351" s="332"/>
      <c r="CG351" s="332"/>
      <c r="CH351" s="332"/>
      <c r="CI351" s="332"/>
      <c r="CJ351" s="332"/>
      <c r="CK351" s="332"/>
      <c r="CL351" s="332"/>
      <c r="CM351" s="332"/>
      <c r="CN351" s="332"/>
      <c r="CO351" s="332"/>
      <c r="CP351" s="332"/>
      <c r="CQ351" s="332"/>
      <c r="CR351" s="332"/>
      <c r="CS351" s="332"/>
      <c r="CT351" s="332"/>
      <c r="CU351" s="332"/>
      <c r="CV351" s="332"/>
      <c r="CW351" s="332"/>
      <c r="CX351" s="332"/>
      <c r="CY351" s="332"/>
      <c r="CZ351" s="332"/>
      <c r="DA351" s="332"/>
      <c r="DB351" s="332"/>
      <c r="DC351" s="332"/>
      <c r="DD351" s="332"/>
      <c r="DE351" s="332"/>
      <c r="DF351" s="332"/>
      <c r="DG351" s="332"/>
      <c r="DH351" s="332"/>
      <c r="DI351" s="332"/>
      <c r="DJ351" s="332"/>
      <c r="DK351" s="332"/>
      <c r="DL351" s="332"/>
      <c r="DM351" s="332"/>
      <c r="DN351" s="332"/>
      <c r="DO351" s="332"/>
      <c r="DP351" s="332"/>
      <c r="DQ351" s="332"/>
      <c r="DR351" s="332"/>
      <c r="DS351" s="332"/>
      <c r="DT351" s="332"/>
      <c r="DU351" s="453"/>
      <c r="DV351" s="453"/>
      <c r="DW351" s="453"/>
      <c r="DX351" s="453"/>
      <c r="DY351" s="453"/>
      <c r="DZ351" s="453"/>
      <c r="EA351" s="453"/>
      <c r="EB351" s="453"/>
      <c r="EC351" s="463" t="str">
        <f t="shared" si="193"/>
        <v>GGAL</v>
      </c>
      <c r="ED351" s="1047">
        <f t="shared" si="194"/>
        <v>0</v>
      </c>
      <c r="EE351" s="1048"/>
      <c r="EF351" s="478">
        <v>0</v>
      </c>
      <c r="EG351" s="1055">
        <f t="shared" si="207"/>
        <v>0</v>
      </c>
      <c r="EH351" s="1055"/>
      <c r="EI351" s="565">
        <f t="shared" ref="EI351" si="208">+IF(EG351 = 0, 0, SUMIFS($HQ$310:$HR$1507, $HM$310:$HN$1507, EC351, $HS$310:$HT$1507, "PUT"))</f>
        <v>0</v>
      </c>
      <c r="EJ351" s="453"/>
      <c r="EK351" s="453"/>
      <c r="EL351" s="453"/>
      <c r="EM351" s="483">
        <f t="shared" si="205"/>
        <v>42</v>
      </c>
      <c r="EN351" s="485"/>
      <c r="EO351" s="804"/>
      <c r="EP351" s="805"/>
      <c r="EQ351" s="826"/>
      <c r="ER351" s="808"/>
      <c r="ES351" s="881">
        <f t="shared" si="206"/>
        <v>0</v>
      </c>
      <c r="ET351" s="882"/>
      <c r="EU351" s="883"/>
      <c r="EV351" s="884">
        <f t="shared" si="197"/>
        <v>0</v>
      </c>
      <c r="EW351" s="885"/>
      <c r="EX351" s="885"/>
      <c r="EY351" s="885"/>
      <c r="EZ351" s="885"/>
      <c r="FA351" s="885"/>
      <c r="FB351" s="885"/>
      <c r="FC351" s="885"/>
      <c r="FD351" s="886"/>
      <c r="FE351" s="878"/>
      <c r="FF351" s="878"/>
      <c r="FG351" s="878"/>
      <c r="FH351" s="878"/>
      <c r="FI351" s="878"/>
      <c r="FJ351" s="878"/>
      <c r="FK351" s="878"/>
      <c r="FL351" s="555"/>
      <c r="FM351" s="554"/>
      <c r="FN351" s="554"/>
      <c r="FO351" s="554"/>
      <c r="FP351" s="554"/>
      <c r="FQ351" s="554"/>
      <c r="FR351" s="554"/>
      <c r="FS351" s="554"/>
      <c r="FT351" s="554"/>
      <c r="FU351" s="554"/>
      <c r="FV351" s="554"/>
      <c r="FW351" s="554"/>
      <c r="FX351" s="554"/>
      <c r="FY351" s="554"/>
      <c r="FZ351" s="554"/>
      <c r="GA351" s="554"/>
      <c r="GB351" s="556"/>
      <c r="GC351" s="370"/>
      <c r="GD351" s="453"/>
      <c r="GE351" s="453"/>
      <c r="GF351" s="453"/>
      <c r="GG351" s="453"/>
      <c r="GH351" s="454"/>
      <c r="GI351" s="453"/>
      <c r="GJ351" s="453"/>
      <c r="GK351" s="453"/>
      <c r="GL351" s="453"/>
      <c r="GM351" s="453"/>
      <c r="GN351" s="453"/>
      <c r="GO351" s="453"/>
      <c r="GP351" s="453"/>
      <c r="GQ351" s="453"/>
      <c r="GR351" s="453"/>
      <c r="GS351" s="561"/>
      <c r="GT351" s="475"/>
      <c r="GU351" s="472"/>
      <c r="GV351" s="453"/>
      <c r="GW351" s="453"/>
      <c r="GX351" s="869"/>
      <c r="GY351" s="870"/>
      <c r="GZ351" s="867"/>
      <c r="HA351" s="868"/>
      <c r="HB351" s="473"/>
      <c r="HC351" s="869"/>
      <c r="HD351" s="870"/>
      <c r="HE351" s="867"/>
      <c r="HF351" s="868"/>
      <c r="HG351" s="473"/>
      <c r="HH351" s="867"/>
      <c r="HI351" s="868"/>
      <c r="HJ351" s="867"/>
      <c r="HK351" s="868"/>
      <c r="HL351" s="370"/>
      <c r="HM351" s="865"/>
      <c r="HN351" s="866"/>
      <c r="HO351" s="865"/>
      <c r="HP351" s="866"/>
      <c r="HQ351" s="865"/>
      <c r="HR351" s="866"/>
      <c r="HS351" s="867"/>
      <c r="HT351" s="868"/>
      <c r="HU351" s="489"/>
      <c r="HV351" s="865"/>
      <c r="HW351" s="866"/>
    </row>
    <row r="352" spans="25:231" ht="15" customHeight="1">
      <c r="Y352" s="332"/>
      <c r="Z352" s="332"/>
      <c r="AA352" s="332"/>
      <c r="AB352" s="332"/>
      <c r="AC352" s="332"/>
      <c r="AD352" s="332"/>
      <c r="AE352" s="332"/>
      <c r="AF352" s="332"/>
      <c r="AG352" s="332"/>
      <c r="AH352" s="332"/>
      <c r="AI352" s="332"/>
      <c r="AJ352" s="332"/>
      <c r="AK352" s="332"/>
      <c r="AL352" s="332"/>
      <c r="AM352" s="332"/>
      <c r="AN352" s="332"/>
      <c r="AO352" s="332"/>
      <c r="AP352" s="332"/>
      <c r="AQ352" s="332"/>
      <c r="AR352" s="332"/>
      <c r="AS352" s="332"/>
      <c r="AT352" s="332"/>
      <c r="AU352" s="332"/>
      <c r="AV352" s="332"/>
      <c r="AW352" s="332"/>
      <c r="AX352" s="332"/>
      <c r="AY352" s="332"/>
      <c r="AZ352" s="332"/>
      <c r="BA352" s="332"/>
      <c r="BB352" s="332"/>
      <c r="BC352" s="332"/>
      <c r="BD352" s="332"/>
      <c r="BE352" s="332"/>
      <c r="BF352" s="332"/>
      <c r="BG352" s="332"/>
      <c r="BH352" s="332"/>
      <c r="BI352" s="332"/>
      <c r="BJ352" s="332"/>
      <c r="BK352" s="332"/>
      <c r="BL352" s="332"/>
      <c r="BM352" s="332"/>
      <c r="BN352" s="332"/>
      <c r="BO352" s="332"/>
      <c r="BP352" s="332"/>
      <c r="BQ352" s="332"/>
      <c r="BR352" s="332"/>
      <c r="BS352" s="332"/>
      <c r="BT352" s="332"/>
      <c r="BU352" s="332"/>
      <c r="BV352" s="332"/>
      <c r="BW352" s="332"/>
      <c r="BX352" s="332"/>
      <c r="BY352" s="332"/>
      <c r="BZ352" s="332"/>
      <c r="CA352" s="332"/>
      <c r="CB352" s="332"/>
      <c r="CC352" s="332"/>
      <c r="CD352" s="332"/>
      <c r="CE352" s="332"/>
      <c r="CF352" s="332"/>
      <c r="CG352" s="332"/>
      <c r="CH352" s="332"/>
      <c r="CI352" s="332"/>
      <c r="CJ352" s="332"/>
      <c r="CK352" s="332"/>
      <c r="CL352" s="332"/>
      <c r="CM352" s="332"/>
      <c r="CN352" s="332"/>
      <c r="CO352" s="332"/>
      <c r="CP352" s="332"/>
      <c r="CQ352" s="332"/>
      <c r="CR352" s="332"/>
      <c r="CS352" s="332"/>
      <c r="CT352" s="332"/>
      <c r="CU352" s="332"/>
      <c r="CV352" s="332"/>
      <c r="CW352" s="332"/>
      <c r="CX352" s="332"/>
      <c r="CY352" s="332"/>
      <c r="CZ352" s="332"/>
      <c r="DA352" s="332"/>
      <c r="DB352" s="332"/>
      <c r="DC352" s="332"/>
      <c r="DD352" s="332"/>
      <c r="DE352" s="332"/>
      <c r="DF352" s="332"/>
      <c r="DG352" s="332"/>
      <c r="DH352" s="332"/>
      <c r="DI352" s="332"/>
      <c r="DJ352" s="332"/>
      <c r="DK352" s="332"/>
      <c r="DL352" s="332"/>
      <c r="DM352" s="332"/>
      <c r="DN352" s="332"/>
      <c r="DO352" s="332"/>
      <c r="DP352" s="332"/>
      <c r="DQ352" s="332"/>
      <c r="DR352" s="332"/>
      <c r="DS352" s="332"/>
      <c r="DT352" s="332"/>
      <c r="DU352" s="453"/>
      <c r="DV352" s="453"/>
      <c r="DW352" s="453"/>
      <c r="DX352" s="453"/>
      <c r="DY352" s="453"/>
      <c r="DZ352" s="453"/>
      <c r="EA352" s="453"/>
      <c r="EB352" s="453"/>
      <c r="EC352" s="453"/>
      <c r="ED352" s="453">
        <f>+COLUMN()</f>
        <v>134</v>
      </c>
      <c r="EE352" s="453"/>
      <c r="EF352" s="453">
        <f>+COLUMN()</f>
        <v>136</v>
      </c>
      <c r="EG352" s="453"/>
      <c r="EH352" s="453">
        <f>+COLUMN()</f>
        <v>138</v>
      </c>
      <c r="EI352" s="453">
        <f>+COLUMN()</f>
        <v>139</v>
      </c>
      <c r="EJ352" s="453"/>
      <c r="EK352" s="453"/>
      <c r="EL352" s="453"/>
      <c r="EM352" s="483">
        <f t="shared" si="205"/>
        <v>43</v>
      </c>
      <c r="EN352" s="485"/>
      <c r="EO352" s="804"/>
      <c r="EP352" s="805"/>
      <c r="EQ352" s="806"/>
      <c r="ER352" s="808"/>
      <c r="ES352" s="881">
        <f t="shared" si="206"/>
        <v>0</v>
      </c>
      <c r="ET352" s="882"/>
      <c r="EU352" s="883"/>
      <c r="EV352" s="884">
        <f t="shared" si="197"/>
        <v>0</v>
      </c>
      <c r="EW352" s="885"/>
      <c r="EX352" s="885"/>
      <c r="EY352" s="885"/>
      <c r="EZ352" s="885"/>
      <c r="FA352" s="885"/>
      <c r="FB352" s="885"/>
      <c r="FC352" s="885"/>
      <c r="FD352" s="886"/>
      <c r="FE352" s="878"/>
      <c r="FF352" s="878"/>
      <c r="FG352" s="878"/>
      <c r="FH352" s="878"/>
      <c r="FI352" s="878"/>
      <c r="FJ352" s="878"/>
      <c r="FK352" s="878"/>
      <c r="FL352" s="555"/>
      <c r="FM352" s="554"/>
      <c r="FN352" s="554"/>
      <c r="FO352" s="554"/>
      <c r="FP352" s="554"/>
      <c r="FQ352" s="554"/>
      <c r="FR352" s="554"/>
      <c r="FS352" s="554"/>
      <c r="FT352" s="554"/>
      <c r="FU352" s="554"/>
      <c r="FV352" s="554"/>
      <c r="FW352" s="554"/>
      <c r="FX352" s="554"/>
      <c r="FY352" s="554"/>
      <c r="FZ352" s="554"/>
      <c r="GA352" s="554"/>
      <c r="GB352" s="556"/>
      <c r="GC352" s="370"/>
      <c r="GD352" s="453"/>
      <c r="GE352" s="453"/>
      <c r="GF352" s="453"/>
      <c r="GG352" s="453"/>
      <c r="GH352" s="454"/>
      <c r="GI352" s="453"/>
      <c r="GJ352" s="453"/>
      <c r="GK352" s="453"/>
      <c r="GL352" s="453"/>
      <c r="GM352" s="453"/>
      <c r="GN352" s="453"/>
      <c r="GO352" s="453"/>
      <c r="GP352" s="453"/>
      <c r="GQ352" s="453"/>
      <c r="GR352" s="453"/>
      <c r="GS352" s="561"/>
      <c r="GT352" s="475"/>
      <c r="GU352" s="472"/>
      <c r="GV352" s="453"/>
      <c r="GW352" s="453"/>
      <c r="GX352" s="869"/>
      <c r="GY352" s="870"/>
      <c r="GZ352" s="867"/>
      <c r="HA352" s="868"/>
      <c r="HB352" s="473"/>
      <c r="HC352" s="869"/>
      <c r="HD352" s="870"/>
      <c r="HE352" s="867"/>
      <c r="HF352" s="868"/>
      <c r="HG352" s="473"/>
      <c r="HH352" s="867"/>
      <c r="HI352" s="868"/>
      <c r="HJ352" s="867"/>
      <c r="HK352" s="868"/>
      <c r="HL352" s="370"/>
      <c r="HM352" s="865"/>
      <c r="HN352" s="866"/>
      <c r="HO352" s="865"/>
      <c r="HP352" s="866"/>
      <c r="HQ352" s="865"/>
      <c r="HR352" s="866"/>
      <c r="HS352" s="867"/>
      <c r="HT352" s="868"/>
      <c r="HU352" s="489"/>
      <c r="HV352" s="865"/>
      <c r="HW352" s="866"/>
    </row>
    <row r="353" spans="25:231" ht="15" customHeight="1">
      <c r="Y353" s="332"/>
      <c r="Z353" s="332"/>
      <c r="AA353" s="332"/>
      <c r="AB353" s="332"/>
      <c r="AC353" s="332"/>
      <c r="AD353" s="332"/>
      <c r="AE353" s="332"/>
      <c r="AF353" s="332"/>
      <c r="AG353" s="332"/>
      <c r="AH353" s="332"/>
      <c r="AI353" s="332"/>
      <c r="AJ353" s="332"/>
      <c r="AK353" s="332"/>
      <c r="AL353" s="332"/>
      <c r="AM353" s="332"/>
      <c r="AN353" s="332"/>
      <c r="AO353" s="332"/>
      <c r="AP353" s="332"/>
      <c r="AQ353" s="332"/>
      <c r="AR353" s="332"/>
      <c r="AS353" s="332"/>
      <c r="AT353" s="332"/>
      <c r="AU353" s="332"/>
      <c r="AV353" s="332"/>
      <c r="AW353" s="332"/>
      <c r="AX353" s="332"/>
      <c r="AY353" s="332"/>
      <c r="AZ353" s="332"/>
      <c r="BA353" s="332"/>
      <c r="BB353" s="332"/>
      <c r="BC353" s="332"/>
      <c r="BD353" s="332"/>
      <c r="BE353" s="332"/>
      <c r="BF353" s="332"/>
      <c r="BG353" s="332"/>
      <c r="BH353" s="332"/>
      <c r="BI353" s="332"/>
      <c r="BJ353" s="332"/>
      <c r="BK353" s="332"/>
      <c r="BL353" s="332"/>
      <c r="BM353" s="332"/>
      <c r="BN353" s="332"/>
      <c r="BO353" s="332"/>
      <c r="BP353" s="332"/>
      <c r="BQ353" s="332"/>
      <c r="BR353" s="332"/>
      <c r="BS353" s="332"/>
      <c r="BT353" s="332"/>
      <c r="BU353" s="332"/>
      <c r="BV353" s="332"/>
      <c r="BW353" s="332"/>
      <c r="BX353" s="332"/>
      <c r="BY353" s="332"/>
      <c r="BZ353" s="332"/>
      <c r="CA353" s="332"/>
      <c r="CB353" s="332"/>
      <c r="CC353" s="332"/>
      <c r="CD353" s="332"/>
      <c r="CE353" s="332"/>
      <c r="CF353" s="332"/>
      <c r="CG353" s="332"/>
      <c r="CH353" s="332"/>
      <c r="CI353" s="332"/>
      <c r="CJ353" s="332"/>
      <c r="CK353" s="332"/>
      <c r="CL353" s="332"/>
      <c r="CM353" s="332"/>
      <c r="CN353" s="332"/>
      <c r="CO353" s="332"/>
      <c r="CP353" s="332"/>
      <c r="CQ353" s="332"/>
      <c r="CR353" s="332"/>
      <c r="CS353" s="332"/>
      <c r="CT353" s="332"/>
      <c r="CU353" s="332"/>
      <c r="CV353" s="332"/>
      <c r="CW353" s="332"/>
      <c r="CX353" s="332"/>
      <c r="CY353" s="332"/>
      <c r="CZ353" s="332"/>
      <c r="DA353" s="332"/>
      <c r="DB353" s="332"/>
      <c r="DC353" s="332"/>
      <c r="DD353" s="332"/>
      <c r="DE353" s="332"/>
      <c r="DF353" s="332"/>
      <c r="DG353" s="332"/>
      <c r="DH353" s="332"/>
      <c r="DI353" s="332"/>
      <c r="DJ353" s="332"/>
      <c r="DK353" s="332"/>
      <c r="DL353" s="332"/>
      <c r="DM353" s="332"/>
      <c r="DN353" s="332"/>
      <c r="DO353" s="332"/>
      <c r="DP353" s="332"/>
      <c r="DQ353" s="332"/>
      <c r="DR353" s="332"/>
      <c r="DS353" s="332"/>
      <c r="DT353" s="332"/>
      <c r="DU353" s="453"/>
      <c r="DV353" s="453"/>
      <c r="DW353" s="453"/>
      <c r="DX353" s="453"/>
      <c r="DY353" s="453"/>
      <c r="DZ353" s="453"/>
      <c r="EA353" s="453"/>
      <c r="EB353" s="453"/>
      <c r="EC353" s="455" t="s">
        <v>297</v>
      </c>
      <c r="ED353" s="453"/>
      <c r="EE353" s="453"/>
      <c r="EF353" s="453"/>
      <c r="EG353" s="453"/>
      <c r="EH353" s="453"/>
      <c r="EI353" s="453"/>
      <c r="EJ353" s="453"/>
      <c r="EK353" s="453"/>
      <c r="EL353" s="453"/>
      <c r="EM353" s="483">
        <f t="shared" si="205"/>
        <v>44</v>
      </c>
      <c r="EN353" s="485"/>
      <c r="EO353" s="804"/>
      <c r="EP353" s="805"/>
      <c r="EQ353" s="806"/>
      <c r="ER353" s="808"/>
      <c r="ES353" s="881">
        <f t="shared" si="206"/>
        <v>0</v>
      </c>
      <c r="ET353" s="882"/>
      <c r="EU353" s="883"/>
      <c r="EV353" s="884">
        <f t="shared" si="197"/>
        <v>0</v>
      </c>
      <c r="EW353" s="885"/>
      <c r="EX353" s="885"/>
      <c r="EY353" s="885"/>
      <c r="EZ353" s="885"/>
      <c r="FA353" s="885"/>
      <c r="FB353" s="885"/>
      <c r="FC353" s="885"/>
      <c r="FD353" s="886"/>
      <c r="FE353" s="878"/>
      <c r="FF353" s="878"/>
      <c r="FG353" s="878"/>
      <c r="FH353" s="878"/>
      <c r="FI353" s="878"/>
      <c r="FJ353" s="878"/>
      <c r="FK353" s="878"/>
      <c r="FL353" s="555"/>
      <c r="FM353" s="554"/>
      <c r="FN353" s="554"/>
      <c r="FO353" s="554"/>
      <c r="FP353" s="554"/>
      <c r="FQ353" s="554"/>
      <c r="FR353" s="554"/>
      <c r="FS353" s="554"/>
      <c r="FT353" s="554"/>
      <c r="FU353" s="554"/>
      <c r="FV353" s="554"/>
      <c r="FW353" s="554"/>
      <c r="FX353" s="554"/>
      <c r="FY353" s="554"/>
      <c r="FZ353" s="554"/>
      <c r="GA353" s="554"/>
      <c r="GB353" s="556"/>
      <c r="GC353" s="370"/>
      <c r="GD353" s="453"/>
      <c r="GE353" s="453"/>
      <c r="GF353" s="453"/>
      <c r="GG353" s="453"/>
      <c r="GH353" s="454"/>
      <c r="GI353" s="453"/>
      <c r="GJ353" s="453"/>
      <c r="GK353" s="453"/>
      <c r="GL353" s="453"/>
      <c r="GM353" s="453"/>
      <c r="GN353" s="453"/>
      <c r="GO353" s="453"/>
      <c r="GP353" s="453"/>
      <c r="GQ353" s="453"/>
      <c r="GR353" s="453"/>
      <c r="GS353" s="561"/>
      <c r="GT353" s="475"/>
      <c r="GU353" s="472"/>
      <c r="GV353" s="453"/>
      <c r="GW353" s="453"/>
      <c r="GX353" s="869"/>
      <c r="GY353" s="870"/>
      <c r="GZ353" s="867"/>
      <c r="HA353" s="868"/>
      <c r="HB353" s="473"/>
      <c r="HC353" s="869"/>
      <c r="HD353" s="870"/>
      <c r="HE353" s="867"/>
      <c r="HF353" s="868"/>
      <c r="HG353" s="473"/>
      <c r="HH353" s="867"/>
      <c r="HI353" s="868"/>
      <c r="HJ353" s="867"/>
      <c r="HK353" s="868"/>
      <c r="HL353" s="370"/>
      <c r="HM353" s="865"/>
      <c r="HN353" s="866"/>
      <c r="HO353" s="865"/>
      <c r="HP353" s="866"/>
      <c r="HQ353" s="865"/>
      <c r="HR353" s="866"/>
      <c r="HS353" s="867"/>
      <c r="HT353" s="868"/>
      <c r="HU353" s="489"/>
      <c r="HV353" s="865"/>
      <c r="HW353" s="866"/>
    </row>
    <row r="354" spans="25:231" ht="15" customHeight="1" thickBot="1">
      <c r="Y354" s="332"/>
      <c r="Z354" s="332"/>
      <c r="AA354" s="332"/>
      <c r="AB354" s="332"/>
      <c r="AC354" s="332"/>
      <c r="AD354" s="332"/>
      <c r="AE354" s="332"/>
      <c r="AF354" s="332"/>
      <c r="AG354" s="332"/>
      <c r="AH354" s="332"/>
      <c r="AI354" s="332"/>
      <c r="AJ354" s="332"/>
      <c r="AK354" s="332"/>
      <c r="AL354" s="332"/>
      <c r="AM354" s="332"/>
      <c r="AN354" s="332"/>
      <c r="AO354" s="332"/>
      <c r="AP354" s="332"/>
      <c r="AQ354" s="332"/>
      <c r="AR354" s="332"/>
      <c r="AS354" s="332"/>
      <c r="AT354" s="332"/>
      <c r="AU354" s="332"/>
      <c r="AV354" s="332"/>
      <c r="AW354" s="332"/>
      <c r="AX354" s="332"/>
      <c r="AY354" s="332"/>
      <c r="AZ354" s="332"/>
      <c r="BA354" s="332"/>
      <c r="BB354" s="332"/>
      <c r="BC354" s="332"/>
      <c r="BD354" s="332"/>
      <c r="BE354" s="332"/>
      <c r="BF354" s="332"/>
      <c r="BG354" s="332"/>
      <c r="BH354" s="332"/>
      <c r="BI354" s="332"/>
      <c r="BJ354" s="332"/>
      <c r="BK354" s="332"/>
      <c r="BL354" s="332"/>
      <c r="BM354" s="332"/>
      <c r="BN354" s="332"/>
      <c r="BO354" s="332"/>
      <c r="BP354" s="332"/>
      <c r="BQ354" s="332"/>
      <c r="BR354" s="332"/>
      <c r="BS354" s="332"/>
      <c r="BT354" s="332"/>
      <c r="BU354" s="332"/>
      <c r="BV354" s="332"/>
      <c r="BW354" s="332"/>
      <c r="BX354" s="332"/>
      <c r="BY354" s="332"/>
      <c r="BZ354" s="332"/>
      <c r="CA354" s="332"/>
      <c r="CB354" s="332"/>
      <c r="CC354" s="332"/>
      <c r="CD354" s="332"/>
      <c r="CE354" s="332"/>
      <c r="CF354" s="332"/>
      <c r="CG354" s="332"/>
      <c r="CH354" s="332"/>
      <c r="CI354" s="332"/>
      <c r="CJ354" s="332"/>
      <c r="CK354" s="332"/>
      <c r="CL354" s="332"/>
      <c r="CM354" s="332"/>
      <c r="CN354" s="332"/>
      <c r="CO354" s="332"/>
      <c r="CP354" s="332"/>
      <c r="CQ354" s="332"/>
      <c r="CR354" s="332"/>
      <c r="CS354" s="332"/>
      <c r="CT354" s="332"/>
      <c r="CU354" s="332"/>
      <c r="CV354" s="332"/>
      <c r="CW354" s="332"/>
      <c r="CX354" s="332"/>
      <c r="CY354" s="332"/>
      <c r="CZ354" s="332"/>
      <c r="DA354" s="332"/>
      <c r="DB354" s="332"/>
      <c r="DC354" s="332"/>
      <c r="DD354" s="332"/>
      <c r="DE354" s="332"/>
      <c r="DF354" s="332"/>
      <c r="DG354" s="332"/>
      <c r="DH354" s="332"/>
      <c r="DI354" s="332"/>
      <c r="DJ354" s="332"/>
      <c r="DK354" s="332"/>
      <c r="DL354" s="332"/>
      <c r="DM354" s="332"/>
      <c r="DN354" s="332"/>
      <c r="DO354" s="332"/>
      <c r="DP354" s="332"/>
      <c r="DQ354" s="332"/>
      <c r="DR354" s="332"/>
      <c r="DS354" s="332"/>
      <c r="DT354" s="332"/>
      <c r="DU354" s="453"/>
      <c r="DV354" s="453"/>
      <c r="DW354" s="453"/>
      <c r="DX354" s="453"/>
      <c r="DY354" s="453"/>
      <c r="DZ354" s="453"/>
      <c r="EA354" s="453"/>
      <c r="EB354" s="453"/>
      <c r="EC354" s="518" t="s">
        <v>4</v>
      </c>
      <c r="ED354" s="859" t="s">
        <v>283</v>
      </c>
      <c r="EE354" s="860"/>
      <c r="EF354" s="461" t="s">
        <v>277</v>
      </c>
      <c r="EG354" s="859" t="s">
        <v>283</v>
      </c>
      <c r="EH354" s="860"/>
      <c r="EI354" s="519" t="s">
        <v>277</v>
      </c>
      <c r="EJ354" s="453"/>
      <c r="EK354" s="453"/>
      <c r="EL354" s="453"/>
      <c r="EM354" s="483">
        <f t="shared" si="205"/>
        <v>45</v>
      </c>
      <c r="EN354" s="485"/>
      <c r="EO354" s="804"/>
      <c r="EP354" s="805"/>
      <c r="EQ354" s="806"/>
      <c r="ER354" s="808"/>
      <c r="ES354" s="881">
        <f t="shared" si="206"/>
        <v>0</v>
      </c>
      <c r="ET354" s="882"/>
      <c r="EU354" s="883"/>
      <c r="EV354" s="884">
        <f t="shared" si="197"/>
        <v>0</v>
      </c>
      <c r="EW354" s="885"/>
      <c r="EX354" s="885"/>
      <c r="EY354" s="885"/>
      <c r="EZ354" s="885"/>
      <c r="FA354" s="885"/>
      <c r="FB354" s="885"/>
      <c r="FC354" s="885"/>
      <c r="FD354" s="886"/>
      <c r="FE354" s="878"/>
      <c r="FF354" s="878"/>
      <c r="FG354" s="878"/>
      <c r="FH354" s="878"/>
      <c r="FI354" s="878"/>
      <c r="FJ354" s="878"/>
      <c r="FK354" s="878"/>
      <c r="FL354" s="555"/>
      <c r="FM354" s="554"/>
      <c r="FN354" s="554"/>
      <c r="FO354" s="554"/>
      <c r="FP354" s="554"/>
      <c r="FQ354" s="554"/>
      <c r="FR354" s="554"/>
      <c r="FS354" s="554"/>
      <c r="FT354" s="554"/>
      <c r="FU354" s="554"/>
      <c r="FV354" s="554"/>
      <c r="FW354" s="554"/>
      <c r="FX354" s="554"/>
      <c r="FY354" s="554"/>
      <c r="FZ354" s="554"/>
      <c r="GA354" s="554"/>
      <c r="GB354" s="556"/>
      <c r="GC354" s="370"/>
      <c r="GD354" s="453"/>
      <c r="GE354" s="453"/>
      <c r="GF354" s="453"/>
      <c r="GG354" s="453"/>
      <c r="GH354" s="454"/>
      <c r="GI354" s="453"/>
      <c r="GJ354" s="453"/>
      <c r="GK354" s="453"/>
      <c r="GL354" s="453"/>
      <c r="GM354" s="453"/>
      <c r="GN354" s="453"/>
      <c r="GO354" s="453"/>
      <c r="GP354" s="453"/>
      <c r="GQ354" s="453"/>
      <c r="GR354" s="453"/>
      <c r="GS354" s="561"/>
      <c r="GT354" s="475"/>
      <c r="GU354" s="472"/>
      <c r="GV354" s="453"/>
      <c r="GW354" s="453"/>
      <c r="GX354" s="869"/>
      <c r="GY354" s="870"/>
      <c r="GZ354" s="867"/>
      <c r="HA354" s="868"/>
      <c r="HB354" s="473"/>
      <c r="HC354" s="869"/>
      <c r="HD354" s="870"/>
      <c r="HE354" s="867"/>
      <c r="HF354" s="868"/>
      <c r="HG354" s="473"/>
      <c r="HH354" s="867"/>
      <c r="HI354" s="868"/>
      <c r="HJ354" s="867"/>
      <c r="HK354" s="868"/>
      <c r="HL354" s="370"/>
      <c r="HM354" s="865"/>
      <c r="HN354" s="866"/>
      <c r="HO354" s="865"/>
      <c r="HP354" s="866"/>
      <c r="HQ354" s="865"/>
      <c r="HR354" s="866"/>
      <c r="HS354" s="867"/>
      <c r="HT354" s="868"/>
      <c r="HU354" s="489"/>
      <c r="HV354" s="865"/>
      <c r="HW354" s="866"/>
    </row>
    <row r="355" spans="25:231" ht="15" customHeight="1">
      <c r="Y355" s="332"/>
      <c r="Z355" s="332"/>
      <c r="AA355" s="332"/>
      <c r="AB355" s="332"/>
      <c r="AC355" s="332"/>
      <c r="AD355" s="332"/>
      <c r="AE355" s="332"/>
      <c r="AF355" s="332"/>
      <c r="AG355" s="332"/>
      <c r="AH355" s="332"/>
      <c r="AI355" s="332"/>
      <c r="AJ355" s="332"/>
      <c r="AK355" s="332"/>
      <c r="AL355" s="332"/>
      <c r="AM355" s="332"/>
      <c r="AN355" s="332"/>
      <c r="AO355" s="332"/>
      <c r="AP355" s="332"/>
      <c r="AQ355" s="332"/>
      <c r="AR355" s="332"/>
      <c r="AS355" s="332"/>
      <c r="AT355" s="332"/>
      <c r="AU355" s="332"/>
      <c r="AV355" s="332"/>
      <c r="AW355" s="332"/>
      <c r="AX355" s="332"/>
      <c r="AY355" s="332"/>
      <c r="AZ355" s="332"/>
      <c r="BA355" s="332"/>
      <c r="BB355" s="332"/>
      <c r="BC355" s="332"/>
      <c r="BD355" s="332"/>
      <c r="BE355" s="332"/>
      <c r="BF355" s="332"/>
      <c r="BG355" s="332"/>
      <c r="BH355" s="332"/>
      <c r="BI355" s="332"/>
      <c r="BJ355" s="332"/>
      <c r="BK355" s="332"/>
      <c r="BL355" s="332"/>
      <c r="BM355" s="332"/>
      <c r="BN355" s="332"/>
      <c r="BO355" s="332"/>
      <c r="BP355" s="332"/>
      <c r="BQ355" s="332"/>
      <c r="BR355" s="332"/>
      <c r="BS355" s="332"/>
      <c r="BT355" s="332"/>
      <c r="BU355" s="332"/>
      <c r="BV355" s="332"/>
      <c r="BW355" s="332"/>
      <c r="BX355" s="332"/>
      <c r="BY355" s="332"/>
      <c r="BZ355" s="332"/>
      <c r="CA355" s="332"/>
      <c r="CB355" s="332"/>
      <c r="CC355" s="332"/>
      <c r="CD355" s="332"/>
      <c r="CE355" s="332"/>
      <c r="CF355" s="332"/>
      <c r="CG355" s="332"/>
      <c r="CH355" s="332"/>
      <c r="CI355" s="332"/>
      <c r="CJ355" s="332"/>
      <c r="CK355" s="332"/>
      <c r="CL355" s="332"/>
      <c r="CM355" s="332"/>
      <c r="CN355" s="332"/>
      <c r="CO355" s="332"/>
      <c r="CP355" s="332"/>
      <c r="CQ355" s="332"/>
      <c r="CR355" s="332"/>
      <c r="CS355" s="332"/>
      <c r="CT355" s="332"/>
      <c r="CU355" s="332"/>
      <c r="CV355" s="332"/>
      <c r="CW355" s="332"/>
      <c r="CX355" s="332"/>
      <c r="CY355" s="332"/>
      <c r="CZ355" s="332"/>
      <c r="DA355" s="332"/>
      <c r="DB355" s="332"/>
      <c r="DC355" s="332"/>
      <c r="DD355" s="332"/>
      <c r="DE355" s="332"/>
      <c r="DF355" s="332"/>
      <c r="DG355" s="332"/>
      <c r="DH355" s="332"/>
      <c r="DI355" s="332"/>
      <c r="DJ355" s="332"/>
      <c r="DK355" s="332"/>
      <c r="DL355" s="332"/>
      <c r="DM355" s="332"/>
      <c r="DN355" s="332"/>
      <c r="DO355" s="332"/>
      <c r="DP355" s="332"/>
      <c r="DQ355" s="332"/>
      <c r="DR355" s="332"/>
      <c r="DS355" s="332"/>
      <c r="DT355" s="332"/>
      <c r="DU355" s="453"/>
      <c r="DV355" s="453"/>
      <c r="DW355" s="453"/>
      <c r="DX355" s="453"/>
      <c r="DY355" s="453"/>
      <c r="DZ355" s="453"/>
      <c r="EA355" s="453"/>
      <c r="EB355" s="453"/>
      <c r="EC355" s="560">
        <f t="shared" ref="EC355:EC396" si="209">+IF(AE7 = "", "", AE7)</f>
        <v>132</v>
      </c>
      <c r="ED355" s="905">
        <f>+ED310</f>
        <v>0</v>
      </c>
      <c r="EE355" s="906"/>
      <c r="EF355" s="477">
        <v>0</v>
      </c>
      <c r="EG355" s="905">
        <f>+EG310</f>
        <v>0</v>
      </c>
      <c r="EH355" s="906"/>
      <c r="EI355" s="479">
        <v>0</v>
      </c>
      <c r="EJ355" s="453"/>
      <c r="EK355" s="453"/>
      <c r="EL355" s="453"/>
      <c r="EM355" s="483">
        <f t="shared" si="205"/>
        <v>46</v>
      </c>
      <c r="EN355" s="485"/>
      <c r="EO355" s="804"/>
      <c r="EP355" s="805"/>
      <c r="EQ355" s="806"/>
      <c r="ER355" s="808"/>
      <c r="ES355" s="881">
        <f t="shared" si="206"/>
        <v>0</v>
      </c>
      <c r="ET355" s="882"/>
      <c r="EU355" s="883"/>
      <c r="EV355" s="884">
        <f t="shared" si="197"/>
        <v>0</v>
      </c>
      <c r="EW355" s="885"/>
      <c r="EX355" s="885"/>
      <c r="EY355" s="885"/>
      <c r="EZ355" s="885"/>
      <c r="FA355" s="885"/>
      <c r="FB355" s="885"/>
      <c r="FC355" s="885"/>
      <c r="FD355" s="886"/>
      <c r="FE355" s="878"/>
      <c r="FF355" s="878"/>
      <c r="FG355" s="878"/>
      <c r="FH355" s="878"/>
      <c r="FI355" s="878"/>
      <c r="FJ355" s="878"/>
      <c r="FK355" s="878"/>
      <c r="FL355" s="555"/>
      <c r="FM355" s="554"/>
      <c r="FN355" s="554"/>
      <c r="FO355" s="554"/>
      <c r="FP355" s="554"/>
      <c r="FQ355" s="554"/>
      <c r="FR355" s="554"/>
      <c r="FS355" s="554"/>
      <c r="FT355" s="554"/>
      <c r="FU355" s="554"/>
      <c r="FV355" s="554"/>
      <c r="FW355" s="554"/>
      <c r="FX355" s="554"/>
      <c r="FY355" s="554"/>
      <c r="FZ355" s="554"/>
      <c r="GA355" s="554"/>
      <c r="GB355" s="556"/>
      <c r="GC355" s="370"/>
      <c r="GD355" s="453"/>
      <c r="GE355" s="453"/>
      <c r="GF355" s="453"/>
      <c r="GG355" s="453"/>
      <c r="GH355" s="454"/>
      <c r="GI355" s="453"/>
      <c r="GJ355" s="453"/>
      <c r="GK355" s="453"/>
      <c r="GL355" s="453"/>
      <c r="GM355" s="453"/>
      <c r="GN355" s="453"/>
      <c r="GO355" s="453"/>
      <c r="GP355" s="453"/>
      <c r="GQ355" s="453"/>
      <c r="GR355" s="453"/>
      <c r="GS355" s="561"/>
      <c r="GT355" s="475"/>
      <c r="GU355" s="472"/>
      <c r="GV355" s="453"/>
      <c r="GW355" s="453"/>
      <c r="GX355" s="869"/>
      <c r="GY355" s="870"/>
      <c r="GZ355" s="867"/>
      <c r="HA355" s="868"/>
      <c r="HB355" s="473"/>
      <c r="HC355" s="869"/>
      <c r="HD355" s="870"/>
      <c r="HE355" s="867"/>
      <c r="HF355" s="868"/>
      <c r="HG355" s="473"/>
      <c r="HH355" s="867"/>
      <c r="HI355" s="868"/>
      <c r="HJ355" s="867"/>
      <c r="HK355" s="868"/>
      <c r="HL355" s="370"/>
      <c r="HM355" s="865"/>
      <c r="HN355" s="866"/>
      <c r="HO355" s="865"/>
      <c r="HP355" s="866"/>
      <c r="HQ355" s="865"/>
      <c r="HR355" s="866"/>
      <c r="HS355" s="867"/>
      <c r="HT355" s="868"/>
      <c r="HU355" s="489"/>
      <c r="HV355" s="865"/>
      <c r="HW355" s="866"/>
    </row>
    <row r="356" spans="25:231" ht="15" customHeight="1">
      <c r="Y356" s="332"/>
      <c r="Z356" s="332"/>
      <c r="AA356" s="332"/>
      <c r="AB356" s="332"/>
      <c r="AC356" s="332"/>
      <c r="AD356" s="332"/>
      <c r="AE356" s="332"/>
      <c r="AF356" s="332"/>
      <c r="AG356" s="332"/>
      <c r="AH356" s="332"/>
      <c r="AI356" s="332"/>
      <c r="AJ356" s="332"/>
      <c r="AK356" s="332"/>
      <c r="AL356" s="332"/>
      <c r="AM356" s="332"/>
      <c r="AN356" s="332"/>
      <c r="AO356" s="332"/>
      <c r="AP356" s="332"/>
      <c r="AQ356" s="332"/>
      <c r="AR356" s="332"/>
      <c r="AS356" s="332"/>
      <c r="AT356" s="332"/>
      <c r="AU356" s="332"/>
      <c r="AV356" s="332"/>
      <c r="AW356" s="332"/>
      <c r="AX356" s="332"/>
      <c r="AY356" s="332"/>
      <c r="AZ356" s="332"/>
      <c r="BA356" s="332"/>
      <c r="BB356" s="332"/>
      <c r="BC356" s="332"/>
      <c r="BD356" s="332"/>
      <c r="BE356" s="332"/>
      <c r="BF356" s="332"/>
      <c r="BG356" s="332"/>
      <c r="BH356" s="332"/>
      <c r="BI356" s="332"/>
      <c r="BJ356" s="332"/>
      <c r="BK356" s="332"/>
      <c r="BL356" s="332"/>
      <c r="BM356" s="332"/>
      <c r="BN356" s="332"/>
      <c r="BO356" s="332"/>
      <c r="BP356" s="332"/>
      <c r="BQ356" s="332"/>
      <c r="BR356" s="332"/>
      <c r="BS356" s="332"/>
      <c r="BT356" s="332"/>
      <c r="BU356" s="332"/>
      <c r="BV356" s="332"/>
      <c r="BW356" s="332"/>
      <c r="BX356" s="332"/>
      <c r="BY356" s="332"/>
      <c r="BZ356" s="332"/>
      <c r="CA356" s="332"/>
      <c r="CB356" s="332"/>
      <c r="CC356" s="332"/>
      <c r="CD356" s="332"/>
      <c r="CE356" s="332"/>
      <c r="CF356" s="332"/>
      <c r="CG356" s="332"/>
      <c r="CH356" s="332"/>
      <c r="CI356" s="332"/>
      <c r="CJ356" s="332"/>
      <c r="CK356" s="332"/>
      <c r="CL356" s="332"/>
      <c r="CM356" s="332"/>
      <c r="CN356" s="332"/>
      <c r="CO356" s="332"/>
      <c r="CP356" s="332"/>
      <c r="CQ356" s="332"/>
      <c r="CR356" s="332"/>
      <c r="CS356" s="332"/>
      <c r="CT356" s="332"/>
      <c r="CU356" s="332"/>
      <c r="CV356" s="332"/>
      <c r="CW356" s="332"/>
      <c r="CX356" s="332"/>
      <c r="CY356" s="332"/>
      <c r="CZ356" s="332"/>
      <c r="DA356" s="332"/>
      <c r="DB356" s="332"/>
      <c r="DC356" s="332"/>
      <c r="DD356" s="332"/>
      <c r="DE356" s="332"/>
      <c r="DF356" s="332"/>
      <c r="DG356" s="332"/>
      <c r="DH356" s="332"/>
      <c r="DI356" s="332"/>
      <c r="DJ356" s="332"/>
      <c r="DK356" s="332"/>
      <c r="DL356" s="332"/>
      <c r="DM356" s="332"/>
      <c r="DN356" s="332"/>
      <c r="DO356" s="332"/>
      <c r="DP356" s="332"/>
      <c r="DQ356" s="332"/>
      <c r="DR356" s="332"/>
      <c r="DS356" s="332"/>
      <c r="DT356" s="332"/>
      <c r="DU356" s="453"/>
      <c r="DV356" s="453"/>
      <c r="DW356" s="453"/>
      <c r="DX356" s="453"/>
      <c r="DY356" s="453"/>
      <c r="DZ356" s="453"/>
      <c r="EA356" s="453"/>
      <c r="EB356" s="453"/>
      <c r="EC356" s="559">
        <f t="shared" si="209"/>
        <v>135</v>
      </c>
      <c r="ED356" s="889">
        <f t="shared" ref="ED356:ED396" si="210">+ED311</f>
        <v>0</v>
      </c>
      <c r="EE356" s="890"/>
      <c r="EF356" s="476">
        <v>0</v>
      </c>
      <c r="EG356" s="889">
        <f t="shared" ref="EG356:EG396" si="211">+EG311</f>
        <v>0</v>
      </c>
      <c r="EH356" s="890"/>
      <c r="EI356" s="480">
        <v>0</v>
      </c>
      <c r="EJ356" s="453"/>
      <c r="EK356" s="453"/>
      <c r="EL356" s="453"/>
      <c r="EM356" s="483">
        <f t="shared" si="205"/>
        <v>47</v>
      </c>
      <c r="EN356" s="485"/>
      <c r="EO356" s="804"/>
      <c r="EP356" s="805"/>
      <c r="EQ356" s="806"/>
      <c r="ER356" s="808"/>
      <c r="ES356" s="881">
        <f t="shared" si="206"/>
        <v>0</v>
      </c>
      <c r="ET356" s="882"/>
      <c r="EU356" s="883"/>
      <c r="EV356" s="884">
        <f t="shared" si="197"/>
        <v>0</v>
      </c>
      <c r="EW356" s="885"/>
      <c r="EX356" s="885"/>
      <c r="EY356" s="885"/>
      <c r="EZ356" s="885"/>
      <c r="FA356" s="885"/>
      <c r="FB356" s="885"/>
      <c r="FC356" s="885"/>
      <c r="FD356" s="886"/>
      <c r="FE356" s="878"/>
      <c r="FF356" s="878"/>
      <c r="FG356" s="878"/>
      <c r="FH356" s="878"/>
      <c r="FI356" s="878"/>
      <c r="FJ356" s="878"/>
      <c r="FK356" s="878"/>
      <c r="FL356" s="555"/>
      <c r="FM356" s="554"/>
      <c r="FN356" s="554"/>
      <c r="FO356" s="554"/>
      <c r="FP356" s="554"/>
      <c r="FQ356" s="554"/>
      <c r="FR356" s="554"/>
      <c r="FS356" s="554"/>
      <c r="FT356" s="554"/>
      <c r="FU356" s="554"/>
      <c r="FV356" s="554"/>
      <c r="FW356" s="554"/>
      <c r="FX356" s="554"/>
      <c r="FY356" s="554"/>
      <c r="FZ356" s="554"/>
      <c r="GA356" s="554"/>
      <c r="GB356" s="556"/>
      <c r="GC356" s="370"/>
      <c r="GD356" s="453"/>
      <c r="GE356" s="453"/>
      <c r="GF356" s="453"/>
      <c r="GG356" s="453"/>
      <c r="GH356" s="454"/>
      <c r="GI356" s="453"/>
      <c r="GJ356" s="453"/>
      <c r="GK356" s="453"/>
      <c r="GL356" s="453"/>
      <c r="GM356" s="453"/>
      <c r="GN356" s="453"/>
      <c r="GO356" s="453"/>
      <c r="GP356" s="453"/>
      <c r="GQ356" s="453"/>
      <c r="GR356" s="453"/>
      <c r="GS356" s="561"/>
      <c r="GT356" s="475"/>
      <c r="GU356" s="472"/>
      <c r="GV356" s="453"/>
      <c r="GW356" s="453"/>
      <c r="GX356" s="869"/>
      <c r="GY356" s="870"/>
      <c r="GZ356" s="867"/>
      <c r="HA356" s="868"/>
      <c r="HB356" s="473"/>
      <c r="HC356" s="869"/>
      <c r="HD356" s="870"/>
      <c r="HE356" s="867"/>
      <c r="HF356" s="868"/>
      <c r="HG356" s="473"/>
      <c r="HH356" s="867"/>
      <c r="HI356" s="868"/>
      <c r="HJ356" s="867"/>
      <c r="HK356" s="868"/>
      <c r="HL356" s="370"/>
      <c r="HM356" s="865"/>
      <c r="HN356" s="866"/>
      <c r="HO356" s="865"/>
      <c r="HP356" s="866"/>
      <c r="HQ356" s="865"/>
      <c r="HR356" s="866"/>
      <c r="HS356" s="867"/>
      <c r="HT356" s="868"/>
      <c r="HU356" s="489"/>
      <c r="HV356" s="865"/>
      <c r="HW356" s="866"/>
    </row>
    <row r="357" spans="25:231" ht="15" customHeight="1">
      <c r="Y357" s="332"/>
      <c r="Z357" s="332"/>
      <c r="AA357" s="332"/>
      <c r="AB357" s="332"/>
      <c r="AC357" s="332"/>
      <c r="AD357" s="332"/>
      <c r="AE357" s="332"/>
      <c r="AF357" s="332"/>
      <c r="AG357" s="332"/>
      <c r="AH357" s="332"/>
      <c r="AI357" s="332"/>
      <c r="AJ357" s="332"/>
      <c r="AK357" s="332"/>
      <c r="AL357" s="332"/>
      <c r="AM357" s="332"/>
      <c r="AN357" s="332"/>
      <c r="AO357" s="332"/>
      <c r="AP357" s="332"/>
      <c r="AQ357" s="332"/>
      <c r="AR357" s="332"/>
      <c r="AS357" s="332"/>
      <c r="AT357" s="332"/>
      <c r="AU357" s="332"/>
      <c r="AV357" s="332"/>
      <c r="AW357" s="332"/>
      <c r="AX357" s="332"/>
      <c r="AY357" s="332"/>
      <c r="AZ357" s="332"/>
      <c r="BA357" s="332"/>
      <c r="BB357" s="332"/>
      <c r="BC357" s="332"/>
      <c r="BD357" s="332"/>
      <c r="BE357" s="332"/>
      <c r="BF357" s="332"/>
      <c r="BG357" s="332"/>
      <c r="BH357" s="332"/>
      <c r="BI357" s="332"/>
      <c r="BJ357" s="332"/>
      <c r="BK357" s="332"/>
      <c r="BL357" s="332"/>
      <c r="BM357" s="332"/>
      <c r="BN357" s="332"/>
      <c r="BO357" s="332"/>
      <c r="BP357" s="332"/>
      <c r="BQ357" s="332"/>
      <c r="BR357" s="332"/>
      <c r="BS357" s="332"/>
      <c r="BT357" s="332"/>
      <c r="BU357" s="332"/>
      <c r="BV357" s="332"/>
      <c r="BW357" s="332"/>
      <c r="BX357" s="332"/>
      <c r="BY357" s="332"/>
      <c r="BZ357" s="332"/>
      <c r="CA357" s="332"/>
      <c r="CB357" s="332"/>
      <c r="CC357" s="332"/>
      <c r="CD357" s="332"/>
      <c r="CE357" s="332"/>
      <c r="CF357" s="332"/>
      <c r="CG357" s="332"/>
      <c r="CH357" s="332"/>
      <c r="CI357" s="332"/>
      <c r="CJ357" s="332"/>
      <c r="CK357" s="332"/>
      <c r="CL357" s="332"/>
      <c r="CM357" s="332"/>
      <c r="CN357" s="332"/>
      <c r="CO357" s="332"/>
      <c r="CP357" s="332"/>
      <c r="CQ357" s="332"/>
      <c r="CR357" s="332"/>
      <c r="CS357" s="332"/>
      <c r="CT357" s="332"/>
      <c r="CU357" s="332"/>
      <c r="CV357" s="332"/>
      <c r="CW357" s="332"/>
      <c r="CX357" s="332"/>
      <c r="CY357" s="332"/>
      <c r="CZ357" s="332"/>
      <c r="DA357" s="332"/>
      <c r="DB357" s="332"/>
      <c r="DC357" s="332"/>
      <c r="DD357" s="332"/>
      <c r="DE357" s="332"/>
      <c r="DF357" s="332"/>
      <c r="DG357" s="332"/>
      <c r="DH357" s="332"/>
      <c r="DI357" s="332"/>
      <c r="DJ357" s="332"/>
      <c r="DK357" s="332"/>
      <c r="DL357" s="332"/>
      <c r="DM357" s="332"/>
      <c r="DN357" s="332"/>
      <c r="DO357" s="332"/>
      <c r="DP357" s="332"/>
      <c r="DQ357" s="332"/>
      <c r="DR357" s="332"/>
      <c r="DS357" s="332"/>
      <c r="DT357" s="332"/>
      <c r="DU357" s="453"/>
      <c r="DV357" s="453"/>
      <c r="DW357" s="453"/>
      <c r="DX357" s="453"/>
      <c r="DY357" s="453"/>
      <c r="DZ357" s="453"/>
      <c r="EA357" s="453"/>
      <c r="EB357" s="453"/>
      <c r="EC357" s="559">
        <f t="shared" si="209"/>
        <v>140</v>
      </c>
      <c r="ED357" s="889">
        <f t="shared" si="210"/>
        <v>0</v>
      </c>
      <c r="EE357" s="890"/>
      <c r="EF357" s="476">
        <v>0</v>
      </c>
      <c r="EG357" s="889">
        <f t="shared" si="211"/>
        <v>0</v>
      </c>
      <c r="EH357" s="890"/>
      <c r="EI357" s="480">
        <v>0</v>
      </c>
      <c r="EJ357" s="453"/>
      <c r="EK357" s="453"/>
      <c r="EL357" s="453"/>
      <c r="EM357" s="483">
        <f t="shared" si="205"/>
        <v>48</v>
      </c>
      <c r="EN357" s="485"/>
      <c r="EO357" s="804"/>
      <c r="EP357" s="805"/>
      <c r="EQ357" s="806"/>
      <c r="ER357" s="808"/>
      <c r="ES357" s="881">
        <f t="shared" si="206"/>
        <v>0</v>
      </c>
      <c r="ET357" s="882"/>
      <c r="EU357" s="883"/>
      <c r="EV357" s="884">
        <f t="shared" si="197"/>
        <v>0</v>
      </c>
      <c r="EW357" s="885"/>
      <c r="EX357" s="885"/>
      <c r="EY357" s="885"/>
      <c r="EZ357" s="885"/>
      <c r="FA357" s="885"/>
      <c r="FB357" s="885"/>
      <c r="FC357" s="885"/>
      <c r="FD357" s="886"/>
      <c r="FE357" s="878"/>
      <c r="FF357" s="878"/>
      <c r="FG357" s="878"/>
      <c r="FH357" s="878"/>
      <c r="FI357" s="878"/>
      <c r="FJ357" s="878"/>
      <c r="FK357" s="878"/>
      <c r="FL357" s="555"/>
      <c r="FM357" s="554"/>
      <c r="FN357" s="554"/>
      <c r="FO357" s="554"/>
      <c r="FP357" s="554"/>
      <c r="FQ357" s="554"/>
      <c r="FR357" s="554"/>
      <c r="FS357" s="554"/>
      <c r="FT357" s="554"/>
      <c r="FU357" s="554"/>
      <c r="FV357" s="554"/>
      <c r="FW357" s="554"/>
      <c r="FX357" s="554"/>
      <c r="FY357" s="554"/>
      <c r="FZ357" s="554"/>
      <c r="GA357" s="554"/>
      <c r="GB357" s="556"/>
      <c r="GC357" s="370"/>
      <c r="GD357" s="453"/>
      <c r="GE357" s="453"/>
      <c r="GF357" s="453"/>
      <c r="GG357" s="453"/>
      <c r="GH357" s="454"/>
      <c r="GI357" s="453"/>
      <c r="GJ357" s="453"/>
      <c r="GK357" s="453"/>
      <c r="GL357" s="453"/>
      <c r="GM357" s="453"/>
      <c r="GN357" s="453"/>
      <c r="GO357" s="453"/>
      <c r="GP357" s="453"/>
      <c r="GQ357" s="453"/>
      <c r="GR357" s="453"/>
      <c r="GS357" s="561"/>
      <c r="GT357" s="475"/>
      <c r="GU357" s="472"/>
      <c r="GV357" s="453"/>
      <c r="GW357" s="453"/>
      <c r="GX357" s="869"/>
      <c r="GY357" s="870"/>
      <c r="GZ357" s="867"/>
      <c r="HA357" s="868"/>
      <c r="HB357" s="473"/>
      <c r="HC357" s="869"/>
      <c r="HD357" s="870"/>
      <c r="HE357" s="867"/>
      <c r="HF357" s="868"/>
      <c r="HG357" s="473"/>
      <c r="HH357" s="867"/>
      <c r="HI357" s="868"/>
      <c r="HJ357" s="867"/>
      <c r="HK357" s="868"/>
      <c r="HL357" s="370"/>
      <c r="HM357" s="865"/>
      <c r="HN357" s="866"/>
      <c r="HO357" s="865"/>
      <c r="HP357" s="866"/>
      <c r="HQ357" s="865"/>
      <c r="HR357" s="866"/>
      <c r="HS357" s="867"/>
      <c r="HT357" s="868"/>
      <c r="HU357" s="489"/>
      <c r="HV357" s="865"/>
      <c r="HW357" s="866"/>
    </row>
    <row r="358" spans="25:231" ht="15" customHeight="1">
      <c r="Y358" s="332"/>
      <c r="Z358" s="332"/>
      <c r="AA358" s="332"/>
      <c r="AB358" s="332"/>
      <c r="AC358" s="332"/>
      <c r="AD358" s="332"/>
      <c r="AE358" s="332"/>
      <c r="AF358" s="332"/>
      <c r="AG358" s="332"/>
      <c r="AH358" s="332"/>
      <c r="AI358" s="332"/>
      <c r="AJ358" s="332"/>
      <c r="AK358" s="332"/>
      <c r="AL358" s="332"/>
      <c r="AM358" s="332"/>
      <c r="AN358" s="332"/>
      <c r="AO358" s="332"/>
      <c r="AP358" s="332"/>
      <c r="AQ358" s="332"/>
      <c r="AR358" s="332"/>
      <c r="AS358" s="332"/>
      <c r="AT358" s="332"/>
      <c r="AU358" s="332"/>
      <c r="AV358" s="332"/>
      <c r="AW358" s="332"/>
      <c r="AX358" s="332"/>
      <c r="AY358" s="332"/>
      <c r="AZ358" s="332"/>
      <c r="BA358" s="332"/>
      <c r="BB358" s="332"/>
      <c r="BC358" s="332"/>
      <c r="BD358" s="332"/>
      <c r="BE358" s="332"/>
      <c r="BF358" s="332"/>
      <c r="BG358" s="332"/>
      <c r="BH358" s="332"/>
      <c r="BI358" s="332"/>
      <c r="BJ358" s="332"/>
      <c r="BK358" s="332"/>
      <c r="BL358" s="332"/>
      <c r="BM358" s="332"/>
      <c r="BN358" s="332"/>
      <c r="BO358" s="332"/>
      <c r="BP358" s="332"/>
      <c r="BQ358" s="332"/>
      <c r="BR358" s="332"/>
      <c r="BS358" s="332"/>
      <c r="BT358" s="332"/>
      <c r="BU358" s="332"/>
      <c r="BV358" s="332"/>
      <c r="BW358" s="332"/>
      <c r="BX358" s="332"/>
      <c r="BY358" s="332"/>
      <c r="BZ358" s="332"/>
      <c r="CA358" s="332"/>
      <c r="CB358" s="332"/>
      <c r="CC358" s="332"/>
      <c r="CD358" s="332"/>
      <c r="CE358" s="332"/>
      <c r="CF358" s="332"/>
      <c r="CG358" s="332"/>
      <c r="CH358" s="332"/>
      <c r="CI358" s="332"/>
      <c r="CJ358" s="332"/>
      <c r="CK358" s="332"/>
      <c r="CL358" s="332"/>
      <c r="CM358" s="332"/>
      <c r="CN358" s="332"/>
      <c r="CO358" s="332"/>
      <c r="CP358" s="332"/>
      <c r="CQ358" s="332"/>
      <c r="CR358" s="332"/>
      <c r="CS358" s="332"/>
      <c r="CT358" s="332"/>
      <c r="CU358" s="332"/>
      <c r="CV358" s="332"/>
      <c r="CW358" s="332"/>
      <c r="CX358" s="332"/>
      <c r="CY358" s="332"/>
      <c r="CZ358" s="332"/>
      <c r="DA358" s="332"/>
      <c r="DB358" s="332"/>
      <c r="DC358" s="332"/>
      <c r="DD358" s="332"/>
      <c r="DE358" s="332"/>
      <c r="DF358" s="332"/>
      <c r="DG358" s="332"/>
      <c r="DH358" s="332"/>
      <c r="DI358" s="332"/>
      <c r="DJ358" s="332"/>
      <c r="DK358" s="332"/>
      <c r="DL358" s="332"/>
      <c r="DM358" s="332"/>
      <c r="DN358" s="332"/>
      <c r="DO358" s="332"/>
      <c r="DP358" s="332"/>
      <c r="DQ358" s="332"/>
      <c r="DR358" s="332"/>
      <c r="DS358" s="332"/>
      <c r="DT358" s="332"/>
      <c r="DU358" s="453"/>
      <c r="DV358" s="453"/>
      <c r="DW358" s="453"/>
      <c r="DX358" s="453"/>
      <c r="DY358" s="453"/>
      <c r="DZ358" s="453"/>
      <c r="EA358" s="453"/>
      <c r="EB358" s="453"/>
      <c r="EC358" s="559">
        <f t="shared" si="209"/>
        <v>145</v>
      </c>
      <c r="ED358" s="889">
        <f t="shared" si="210"/>
        <v>0</v>
      </c>
      <c r="EE358" s="890"/>
      <c r="EF358" s="476">
        <v>0</v>
      </c>
      <c r="EG358" s="889">
        <f t="shared" si="211"/>
        <v>0</v>
      </c>
      <c r="EH358" s="890"/>
      <c r="EI358" s="480">
        <v>0</v>
      </c>
      <c r="EJ358" s="453"/>
      <c r="EK358" s="453"/>
      <c r="EL358" s="453"/>
      <c r="EM358" s="483">
        <f t="shared" si="205"/>
        <v>49</v>
      </c>
      <c r="EN358" s="485"/>
      <c r="EO358" s="804"/>
      <c r="EP358" s="805"/>
      <c r="EQ358" s="806"/>
      <c r="ER358" s="808"/>
      <c r="ES358" s="881">
        <f t="shared" si="206"/>
        <v>0</v>
      </c>
      <c r="ET358" s="882"/>
      <c r="EU358" s="883"/>
      <c r="EV358" s="884">
        <f t="shared" si="197"/>
        <v>0</v>
      </c>
      <c r="EW358" s="885"/>
      <c r="EX358" s="885"/>
      <c r="EY358" s="885"/>
      <c r="EZ358" s="885"/>
      <c r="FA358" s="885"/>
      <c r="FB358" s="885"/>
      <c r="FC358" s="885"/>
      <c r="FD358" s="886"/>
      <c r="FE358" s="878"/>
      <c r="FF358" s="878"/>
      <c r="FG358" s="878"/>
      <c r="FH358" s="878"/>
      <c r="FI358" s="878"/>
      <c r="FJ358" s="878"/>
      <c r="FK358" s="878"/>
      <c r="FL358" s="555"/>
      <c r="FM358" s="554"/>
      <c r="FN358" s="554"/>
      <c r="FO358" s="554"/>
      <c r="FP358" s="554"/>
      <c r="FQ358" s="554"/>
      <c r="FR358" s="554"/>
      <c r="FS358" s="554"/>
      <c r="FT358" s="554"/>
      <c r="FU358" s="554"/>
      <c r="FV358" s="554"/>
      <c r="FW358" s="554"/>
      <c r="FX358" s="554"/>
      <c r="FY358" s="554"/>
      <c r="FZ358" s="554"/>
      <c r="GA358" s="554"/>
      <c r="GB358" s="556"/>
      <c r="GC358" s="370"/>
      <c r="GD358" s="453"/>
      <c r="GE358" s="453"/>
      <c r="GF358" s="453"/>
      <c r="GG358" s="453"/>
      <c r="GH358" s="454"/>
      <c r="GI358" s="453"/>
      <c r="GJ358" s="453"/>
      <c r="GK358" s="453"/>
      <c r="GL358" s="453"/>
      <c r="GM358" s="453"/>
      <c r="GN358" s="453"/>
      <c r="GO358" s="453"/>
      <c r="GP358" s="453"/>
      <c r="GQ358" s="453"/>
      <c r="GR358" s="453"/>
      <c r="GS358" s="561"/>
      <c r="GT358" s="475"/>
      <c r="GU358" s="472"/>
      <c r="GV358" s="453"/>
      <c r="GW358" s="453"/>
      <c r="GX358" s="869"/>
      <c r="GY358" s="870"/>
      <c r="GZ358" s="867"/>
      <c r="HA358" s="868"/>
      <c r="HB358" s="473"/>
      <c r="HC358" s="869"/>
      <c r="HD358" s="870"/>
      <c r="HE358" s="867"/>
      <c r="HF358" s="868"/>
      <c r="HG358" s="473"/>
      <c r="HH358" s="867"/>
      <c r="HI358" s="868"/>
      <c r="HJ358" s="867"/>
      <c r="HK358" s="868"/>
      <c r="HL358" s="370"/>
      <c r="HM358" s="865"/>
      <c r="HN358" s="866"/>
      <c r="HO358" s="865"/>
      <c r="HP358" s="866"/>
      <c r="HQ358" s="865"/>
      <c r="HR358" s="866"/>
      <c r="HS358" s="867"/>
      <c r="HT358" s="868"/>
      <c r="HU358" s="489"/>
      <c r="HV358" s="865"/>
      <c r="HW358" s="866"/>
    </row>
    <row r="359" spans="25:231" ht="15" customHeight="1">
      <c r="Y359" s="332"/>
      <c r="Z359" s="332"/>
      <c r="AA359" s="332"/>
      <c r="AB359" s="332"/>
      <c r="AC359" s="332"/>
      <c r="AD359" s="332"/>
      <c r="AE359" s="332"/>
      <c r="AF359" s="332"/>
      <c r="AG359" s="332"/>
      <c r="AH359" s="332"/>
      <c r="AI359" s="332"/>
      <c r="AJ359" s="332"/>
      <c r="AK359" s="332"/>
      <c r="AL359" s="332"/>
      <c r="AM359" s="332"/>
      <c r="AN359" s="332"/>
      <c r="AO359" s="332"/>
      <c r="AP359" s="332"/>
      <c r="AQ359" s="332"/>
      <c r="AR359" s="332"/>
      <c r="AS359" s="332"/>
      <c r="AT359" s="332"/>
      <c r="AU359" s="332"/>
      <c r="AV359" s="332"/>
      <c r="AW359" s="332"/>
      <c r="AX359" s="332"/>
      <c r="AY359" s="332"/>
      <c r="AZ359" s="332"/>
      <c r="BA359" s="332"/>
      <c r="BB359" s="332"/>
      <c r="BC359" s="332"/>
      <c r="BD359" s="332"/>
      <c r="BE359" s="332"/>
      <c r="BF359" s="332"/>
      <c r="BG359" s="332"/>
      <c r="BH359" s="332"/>
      <c r="BI359" s="332"/>
      <c r="BJ359" s="332"/>
      <c r="BK359" s="332"/>
      <c r="BL359" s="332"/>
      <c r="BM359" s="332"/>
      <c r="BN359" s="332"/>
      <c r="BO359" s="332"/>
      <c r="BP359" s="332"/>
      <c r="BQ359" s="332"/>
      <c r="BR359" s="332"/>
      <c r="BS359" s="332"/>
      <c r="BT359" s="332"/>
      <c r="BU359" s="332"/>
      <c r="BV359" s="332"/>
      <c r="BW359" s="332"/>
      <c r="BX359" s="332"/>
      <c r="BY359" s="332"/>
      <c r="BZ359" s="332"/>
      <c r="CA359" s="332"/>
      <c r="CB359" s="332"/>
      <c r="CC359" s="332"/>
      <c r="CD359" s="332"/>
      <c r="CE359" s="332"/>
      <c r="CF359" s="332"/>
      <c r="CG359" s="332"/>
      <c r="CH359" s="332"/>
      <c r="CI359" s="332"/>
      <c r="CJ359" s="332"/>
      <c r="CK359" s="332"/>
      <c r="CL359" s="332"/>
      <c r="CM359" s="332"/>
      <c r="CN359" s="332"/>
      <c r="CO359" s="332"/>
      <c r="CP359" s="332"/>
      <c r="CQ359" s="332"/>
      <c r="CR359" s="332"/>
      <c r="CS359" s="332"/>
      <c r="CT359" s="332"/>
      <c r="CU359" s="332"/>
      <c r="CV359" s="332"/>
      <c r="CW359" s="332"/>
      <c r="CX359" s="332"/>
      <c r="CY359" s="332"/>
      <c r="CZ359" s="332"/>
      <c r="DA359" s="332"/>
      <c r="DB359" s="332"/>
      <c r="DC359" s="332"/>
      <c r="DD359" s="332"/>
      <c r="DE359" s="332"/>
      <c r="DF359" s="332"/>
      <c r="DG359" s="332"/>
      <c r="DH359" s="332"/>
      <c r="DI359" s="332"/>
      <c r="DJ359" s="332"/>
      <c r="DK359" s="332"/>
      <c r="DL359" s="332"/>
      <c r="DM359" s="332"/>
      <c r="DN359" s="332"/>
      <c r="DO359" s="332"/>
      <c r="DP359" s="332"/>
      <c r="DQ359" s="332"/>
      <c r="DR359" s="332"/>
      <c r="DS359" s="332"/>
      <c r="DT359" s="332"/>
      <c r="DU359" s="453"/>
      <c r="DV359" s="453"/>
      <c r="DW359" s="453"/>
      <c r="DX359" s="453"/>
      <c r="DY359" s="453"/>
      <c r="DZ359" s="453"/>
      <c r="EA359" s="453"/>
      <c r="EB359" s="453"/>
      <c r="EC359" s="559">
        <f t="shared" si="209"/>
        <v>150</v>
      </c>
      <c r="ED359" s="889">
        <f t="shared" si="210"/>
        <v>0</v>
      </c>
      <c r="EE359" s="890"/>
      <c r="EF359" s="476">
        <v>0</v>
      </c>
      <c r="EG359" s="889">
        <f t="shared" si="211"/>
        <v>0</v>
      </c>
      <c r="EH359" s="890"/>
      <c r="EI359" s="480">
        <v>0</v>
      </c>
      <c r="EJ359" s="453"/>
      <c r="EK359" s="453"/>
      <c r="EL359" s="453"/>
      <c r="EM359" s="483">
        <f t="shared" si="205"/>
        <v>50</v>
      </c>
      <c r="EN359" s="485"/>
      <c r="EO359" s="804"/>
      <c r="EP359" s="805"/>
      <c r="EQ359" s="806"/>
      <c r="ER359" s="808"/>
      <c r="ES359" s="881">
        <f t="shared" si="206"/>
        <v>0</v>
      </c>
      <c r="ET359" s="882"/>
      <c r="EU359" s="883"/>
      <c r="EV359" s="884">
        <f t="shared" si="197"/>
        <v>0</v>
      </c>
      <c r="EW359" s="885"/>
      <c r="EX359" s="885"/>
      <c r="EY359" s="885"/>
      <c r="EZ359" s="885"/>
      <c r="FA359" s="885"/>
      <c r="FB359" s="885"/>
      <c r="FC359" s="885"/>
      <c r="FD359" s="886"/>
      <c r="FE359" s="878"/>
      <c r="FF359" s="878"/>
      <c r="FG359" s="878"/>
      <c r="FH359" s="878"/>
      <c r="FI359" s="878"/>
      <c r="FJ359" s="878"/>
      <c r="FK359" s="878"/>
      <c r="FL359" s="555"/>
      <c r="FM359" s="554"/>
      <c r="FN359" s="554"/>
      <c r="FO359" s="554"/>
      <c r="FP359" s="554"/>
      <c r="FQ359" s="554"/>
      <c r="FR359" s="554"/>
      <c r="FS359" s="554"/>
      <c r="FT359" s="554"/>
      <c r="FU359" s="554"/>
      <c r="FV359" s="554"/>
      <c r="FW359" s="554"/>
      <c r="FX359" s="554"/>
      <c r="FY359" s="554"/>
      <c r="FZ359" s="554"/>
      <c r="GA359" s="554"/>
      <c r="GB359" s="556"/>
      <c r="GC359" s="370"/>
      <c r="GD359" s="453"/>
      <c r="GE359" s="453"/>
      <c r="GF359" s="453"/>
      <c r="GG359" s="453"/>
      <c r="GH359" s="454"/>
      <c r="GI359" s="453"/>
      <c r="GJ359" s="453"/>
      <c r="GK359" s="453"/>
      <c r="GL359" s="453"/>
      <c r="GM359" s="453"/>
      <c r="GN359" s="453"/>
      <c r="GO359" s="453"/>
      <c r="GP359" s="453"/>
      <c r="GQ359" s="453"/>
      <c r="GR359" s="453"/>
      <c r="GS359" s="561"/>
      <c r="GT359" s="475"/>
      <c r="GU359" s="472"/>
      <c r="GV359" s="453"/>
      <c r="GW359" s="453"/>
      <c r="GX359" s="869"/>
      <c r="GY359" s="870"/>
      <c r="GZ359" s="867"/>
      <c r="HA359" s="868"/>
      <c r="HB359" s="473"/>
      <c r="HC359" s="869"/>
      <c r="HD359" s="870"/>
      <c r="HE359" s="867"/>
      <c r="HF359" s="868"/>
      <c r="HG359" s="473"/>
      <c r="HH359" s="867"/>
      <c r="HI359" s="868"/>
      <c r="HJ359" s="867"/>
      <c r="HK359" s="868"/>
      <c r="HL359" s="370"/>
      <c r="HM359" s="865"/>
      <c r="HN359" s="866"/>
      <c r="HO359" s="865"/>
      <c r="HP359" s="866"/>
      <c r="HQ359" s="865"/>
      <c r="HR359" s="866"/>
      <c r="HS359" s="867"/>
      <c r="HT359" s="868"/>
      <c r="HU359" s="489"/>
      <c r="HV359" s="865"/>
      <c r="HW359" s="866"/>
    </row>
    <row r="360" spans="25:231" ht="15" customHeight="1">
      <c r="Y360" s="332"/>
      <c r="Z360" s="332"/>
      <c r="AA360" s="332"/>
      <c r="AB360" s="332"/>
      <c r="AC360" s="332"/>
      <c r="AD360" s="332"/>
      <c r="AE360" s="332"/>
      <c r="AF360" s="332"/>
      <c r="AG360" s="332"/>
      <c r="AH360" s="332"/>
      <c r="AI360" s="332"/>
      <c r="AJ360" s="332"/>
      <c r="AK360" s="332"/>
      <c r="AL360" s="332"/>
      <c r="AM360" s="332"/>
      <c r="AN360" s="332"/>
      <c r="AO360" s="332"/>
      <c r="AP360" s="332"/>
      <c r="AQ360" s="332"/>
      <c r="AR360" s="332"/>
      <c r="AS360" s="332"/>
      <c r="AT360" s="332"/>
      <c r="AU360" s="332"/>
      <c r="AV360" s="332"/>
      <c r="AW360" s="332"/>
      <c r="AX360" s="332"/>
      <c r="AY360" s="332"/>
      <c r="AZ360" s="332"/>
      <c r="BA360" s="332"/>
      <c r="BB360" s="332"/>
      <c r="BC360" s="332"/>
      <c r="BD360" s="332"/>
      <c r="BE360" s="332"/>
      <c r="BF360" s="332"/>
      <c r="BG360" s="332"/>
      <c r="BH360" s="332"/>
      <c r="BI360" s="332"/>
      <c r="BJ360" s="332"/>
      <c r="BK360" s="332"/>
      <c r="BL360" s="332"/>
      <c r="BM360" s="332"/>
      <c r="BN360" s="332"/>
      <c r="BO360" s="332"/>
      <c r="BP360" s="332"/>
      <c r="BQ360" s="332"/>
      <c r="BR360" s="332"/>
      <c r="BS360" s="332"/>
      <c r="BT360" s="332"/>
      <c r="BU360" s="332"/>
      <c r="BV360" s="332"/>
      <c r="BW360" s="332"/>
      <c r="BX360" s="332"/>
      <c r="BY360" s="332"/>
      <c r="BZ360" s="332"/>
      <c r="CA360" s="332"/>
      <c r="CB360" s="332"/>
      <c r="CC360" s="332"/>
      <c r="CD360" s="332"/>
      <c r="CE360" s="332"/>
      <c r="CF360" s="332"/>
      <c r="CG360" s="332"/>
      <c r="CH360" s="332"/>
      <c r="CI360" s="332"/>
      <c r="CJ360" s="332"/>
      <c r="CK360" s="332"/>
      <c r="CL360" s="332"/>
      <c r="CM360" s="332"/>
      <c r="CN360" s="332"/>
      <c r="CO360" s="332"/>
      <c r="CP360" s="332"/>
      <c r="CQ360" s="332"/>
      <c r="CR360" s="332"/>
      <c r="CS360" s="332"/>
      <c r="CT360" s="332"/>
      <c r="CU360" s="332"/>
      <c r="CV360" s="332"/>
      <c r="CW360" s="332"/>
      <c r="CX360" s="332"/>
      <c r="CY360" s="332"/>
      <c r="CZ360" s="332"/>
      <c r="DA360" s="332"/>
      <c r="DB360" s="332"/>
      <c r="DC360" s="332"/>
      <c r="DD360" s="332"/>
      <c r="DE360" s="332"/>
      <c r="DF360" s="332"/>
      <c r="DG360" s="332"/>
      <c r="DH360" s="332"/>
      <c r="DI360" s="332"/>
      <c r="DJ360" s="332"/>
      <c r="DK360" s="332"/>
      <c r="DL360" s="332"/>
      <c r="DM360" s="332"/>
      <c r="DN360" s="332"/>
      <c r="DO360" s="332"/>
      <c r="DP360" s="332"/>
      <c r="DQ360" s="332"/>
      <c r="DR360" s="332"/>
      <c r="DS360" s="332"/>
      <c r="DT360" s="332"/>
      <c r="DU360" s="453"/>
      <c r="DV360" s="453"/>
      <c r="DW360" s="453"/>
      <c r="DX360" s="453"/>
      <c r="DY360" s="453"/>
      <c r="DZ360" s="453"/>
      <c r="EA360" s="453"/>
      <c r="EB360" s="453"/>
      <c r="EC360" s="559">
        <f t="shared" si="209"/>
        <v>155</v>
      </c>
      <c r="ED360" s="889">
        <f t="shared" si="210"/>
        <v>0</v>
      </c>
      <c r="EE360" s="890"/>
      <c r="EF360" s="476">
        <v>0</v>
      </c>
      <c r="EG360" s="889">
        <f t="shared" si="211"/>
        <v>0</v>
      </c>
      <c r="EH360" s="890"/>
      <c r="EI360" s="480">
        <v>0</v>
      </c>
      <c r="EJ360" s="453"/>
      <c r="EK360" s="453"/>
      <c r="EL360" s="453"/>
      <c r="EM360" s="483">
        <f t="shared" si="205"/>
        <v>51</v>
      </c>
      <c r="EN360" s="485"/>
      <c r="EO360" s="804"/>
      <c r="EP360" s="805"/>
      <c r="EQ360" s="806"/>
      <c r="ER360" s="808"/>
      <c r="ES360" s="881">
        <f t="shared" si="206"/>
        <v>0</v>
      </c>
      <c r="ET360" s="882"/>
      <c r="EU360" s="883"/>
      <c r="EV360" s="884">
        <f t="shared" si="197"/>
        <v>0</v>
      </c>
      <c r="EW360" s="885"/>
      <c r="EX360" s="885"/>
      <c r="EY360" s="885"/>
      <c r="EZ360" s="885"/>
      <c r="FA360" s="885"/>
      <c r="FB360" s="885"/>
      <c r="FC360" s="885"/>
      <c r="FD360" s="886"/>
      <c r="FE360" s="878"/>
      <c r="FF360" s="878"/>
      <c r="FG360" s="878"/>
      <c r="FH360" s="878"/>
      <c r="FI360" s="878"/>
      <c r="FJ360" s="878"/>
      <c r="FK360" s="878"/>
      <c r="FL360" s="555"/>
      <c r="FM360" s="554"/>
      <c r="FN360" s="554"/>
      <c r="FO360" s="554"/>
      <c r="FP360" s="554"/>
      <c r="FQ360" s="554"/>
      <c r="FR360" s="554"/>
      <c r="FS360" s="554"/>
      <c r="FT360" s="554"/>
      <c r="FU360" s="554"/>
      <c r="FV360" s="554"/>
      <c r="FW360" s="554"/>
      <c r="FX360" s="554"/>
      <c r="FY360" s="554"/>
      <c r="FZ360" s="554"/>
      <c r="GA360" s="554"/>
      <c r="GB360" s="556"/>
      <c r="GC360" s="370"/>
      <c r="GD360" s="453"/>
      <c r="GE360" s="453"/>
      <c r="GF360" s="453"/>
      <c r="GG360" s="453"/>
      <c r="GH360" s="454"/>
      <c r="GI360" s="453"/>
      <c r="GJ360" s="453"/>
      <c r="GK360" s="453"/>
      <c r="GL360" s="453"/>
      <c r="GM360" s="453"/>
      <c r="GN360" s="453"/>
      <c r="GO360" s="453"/>
      <c r="GP360" s="453"/>
      <c r="GQ360" s="453"/>
      <c r="GR360" s="453"/>
      <c r="GS360" s="561"/>
      <c r="GT360" s="475"/>
      <c r="GU360" s="472"/>
      <c r="GV360" s="453"/>
      <c r="GW360" s="453"/>
      <c r="GX360" s="869"/>
      <c r="GY360" s="870"/>
      <c r="GZ360" s="867"/>
      <c r="HA360" s="868"/>
      <c r="HB360" s="473"/>
      <c r="HC360" s="869"/>
      <c r="HD360" s="870"/>
      <c r="HE360" s="867"/>
      <c r="HF360" s="868"/>
      <c r="HG360" s="473"/>
      <c r="HH360" s="867"/>
      <c r="HI360" s="868"/>
      <c r="HJ360" s="867"/>
      <c r="HK360" s="868"/>
      <c r="HL360" s="370"/>
      <c r="HM360" s="865"/>
      <c r="HN360" s="866"/>
      <c r="HO360" s="865"/>
      <c r="HP360" s="866"/>
      <c r="HQ360" s="865"/>
      <c r="HR360" s="866"/>
      <c r="HS360" s="867"/>
      <c r="HT360" s="868"/>
      <c r="HU360" s="489"/>
      <c r="HV360" s="865"/>
      <c r="HW360" s="866"/>
    </row>
    <row r="361" spans="25:231" ht="15" customHeight="1">
      <c r="Y361" s="332"/>
      <c r="Z361" s="332"/>
      <c r="AA361" s="332"/>
      <c r="AB361" s="332"/>
      <c r="AC361" s="332"/>
      <c r="AD361" s="332"/>
      <c r="AE361" s="332"/>
      <c r="AF361" s="332"/>
      <c r="AG361" s="332"/>
      <c r="AH361" s="332"/>
      <c r="AI361" s="332"/>
      <c r="AJ361" s="332"/>
      <c r="AK361" s="332"/>
      <c r="AL361" s="332"/>
      <c r="AM361" s="332"/>
      <c r="AN361" s="332"/>
      <c r="AO361" s="332"/>
      <c r="AP361" s="332"/>
      <c r="AQ361" s="332"/>
      <c r="AR361" s="332"/>
      <c r="AS361" s="332"/>
      <c r="AT361" s="332"/>
      <c r="AU361" s="332"/>
      <c r="AV361" s="332"/>
      <c r="AW361" s="332"/>
      <c r="AX361" s="332"/>
      <c r="AY361" s="332"/>
      <c r="AZ361" s="332"/>
      <c r="BA361" s="332"/>
      <c r="BB361" s="332"/>
      <c r="BC361" s="332"/>
      <c r="BD361" s="332"/>
      <c r="BE361" s="332"/>
      <c r="BF361" s="332"/>
      <c r="BG361" s="332"/>
      <c r="BH361" s="332"/>
      <c r="BI361" s="332"/>
      <c r="BJ361" s="332"/>
      <c r="BK361" s="332"/>
      <c r="BL361" s="332"/>
      <c r="BM361" s="332"/>
      <c r="BN361" s="332"/>
      <c r="BO361" s="332"/>
      <c r="BP361" s="332"/>
      <c r="BQ361" s="332"/>
      <c r="BR361" s="332"/>
      <c r="BS361" s="332"/>
      <c r="BT361" s="332"/>
      <c r="BU361" s="332"/>
      <c r="BV361" s="332"/>
      <c r="BW361" s="332"/>
      <c r="BX361" s="332"/>
      <c r="BY361" s="332"/>
      <c r="BZ361" s="332"/>
      <c r="CA361" s="332"/>
      <c r="CB361" s="332"/>
      <c r="CC361" s="332"/>
      <c r="CD361" s="332"/>
      <c r="CE361" s="332"/>
      <c r="CF361" s="332"/>
      <c r="CG361" s="332"/>
      <c r="CH361" s="332"/>
      <c r="CI361" s="332"/>
      <c r="CJ361" s="332"/>
      <c r="CK361" s="332"/>
      <c r="CL361" s="332"/>
      <c r="CM361" s="332"/>
      <c r="CN361" s="332"/>
      <c r="CO361" s="332"/>
      <c r="CP361" s="332"/>
      <c r="CQ361" s="332"/>
      <c r="CR361" s="332"/>
      <c r="CS361" s="332"/>
      <c r="CT361" s="332"/>
      <c r="CU361" s="332"/>
      <c r="CV361" s="332"/>
      <c r="CW361" s="332"/>
      <c r="CX361" s="332"/>
      <c r="CY361" s="332"/>
      <c r="CZ361" s="332"/>
      <c r="DA361" s="332"/>
      <c r="DB361" s="332"/>
      <c r="DC361" s="332"/>
      <c r="DD361" s="332"/>
      <c r="DE361" s="332"/>
      <c r="DF361" s="332"/>
      <c r="DG361" s="332"/>
      <c r="DH361" s="332"/>
      <c r="DI361" s="332"/>
      <c r="DJ361" s="332"/>
      <c r="DK361" s="332"/>
      <c r="DL361" s="332"/>
      <c r="DM361" s="332"/>
      <c r="DN361" s="332"/>
      <c r="DO361" s="332"/>
      <c r="DP361" s="332"/>
      <c r="DQ361" s="332"/>
      <c r="DR361" s="332"/>
      <c r="DS361" s="332"/>
      <c r="DT361" s="332"/>
      <c r="DU361" s="453"/>
      <c r="DV361" s="453"/>
      <c r="DW361" s="453"/>
      <c r="DX361" s="453"/>
      <c r="DY361" s="453"/>
      <c r="DZ361" s="453"/>
      <c r="EA361" s="453"/>
      <c r="EB361" s="453"/>
      <c r="EC361" s="559">
        <f t="shared" si="209"/>
        <v>160</v>
      </c>
      <c r="ED361" s="889">
        <f t="shared" si="210"/>
        <v>0</v>
      </c>
      <c r="EE361" s="890"/>
      <c r="EF361" s="476">
        <v>0</v>
      </c>
      <c r="EG361" s="889">
        <f t="shared" si="211"/>
        <v>0</v>
      </c>
      <c r="EH361" s="890"/>
      <c r="EI361" s="480">
        <v>0</v>
      </c>
      <c r="EJ361" s="453"/>
      <c r="EK361" s="453"/>
      <c r="EL361" s="453"/>
      <c r="EM361" s="483">
        <f t="shared" si="205"/>
        <v>52</v>
      </c>
      <c r="EN361" s="485"/>
      <c r="EO361" s="804"/>
      <c r="EP361" s="805"/>
      <c r="EQ361" s="806"/>
      <c r="ER361" s="808"/>
      <c r="ES361" s="881">
        <f t="shared" si="206"/>
        <v>0</v>
      </c>
      <c r="ET361" s="882"/>
      <c r="EU361" s="883"/>
      <c r="EV361" s="884">
        <f t="shared" si="197"/>
        <v>0</v>
      </c>
      <c r="EW361" s="885"/>
      <c r="EX361" s="885"/>
      <c r="EY361" s="885"/>
      <c r="EZ361" s="885"/>
      <c r="FA361" s="885"/>
      <c r="FB361" s="885"/>
      <c r="FC361" s="885"/>
      <c r="FD361" s="886"/>
      <c r="FE361" s="878"/>
      <c r="FF361" s="878"/>
      <c r="FG361" s="878"/>
      <c r="FH361" s="878"/>
      <c r="FI361" s="878"/>
      <c r="FJ361" s="878"/>
      <c r="FK361" s="878"/>
      <c r="FL361" s="555"/>
      <c r="FM361" s="554"/>
      <c r="FN361" s="554"/>
      <c r="FO361" s="554"/>
      <c r="FP361" s="554"/>
      <c r="FQ361" s="554"/>
      <c r="FR361" s="554"/>
      <c r="FS361" s="554"/>
      <c r="FT361" s="554"/>
      <c r="FU361" s="554"/>
      <c r="FV361" s="554"/>
      <c r="FW361" s="554"/>
      <c r="FX361" s="554"/>
      <c r="FY361" s="554"/>
      <c r="FZ361" s="554"/>
      <c r="GA361" s="554"/>
      <c r="GB361" s="556"/>
      <c r="GC361" s="370"/>
      <c r="GD361" s="453"/>
      <c r="GE361" s="453"/>
      <c r="GF361" s="453"/>
      <c r="GG361" s="453"/>
      <c r="GH361" s="454"/>
      <c r="GI361" s="453"/>
      <c r="GJ361" s="453"/>
      <c r="GK361" s="453"/>
      <c r="GL361" s="453"/>
      <c r="GM361" s="453"/>
      <c r="GN361" s="453"/>
      <c r="GO361" s="453"/>
      <c r="GP361" s="453"/>
      <c r="GQ361" s="453"/>
      <c r="GR361" s="453"/>
      <c r="GS361" s="561"/>
      <c r="GT361" s="475"/>
      <c r="GU361" s="472"/>
      <c r="GV361" s="453"/>
      <c r="GW361" s="453"/>
      <c r="GX361" s="869"/>
      <c r="GY361" s="870"/>
      <c r="GZ361" s="867"/>
      <c r="HA361" s="868"/>
      <c r="HB361" s="473"/>
      <c r="HC361" s="869"/>
      <c r="HD361" s="870"/>
      <c r="HE361" s="867"/>
      <c r="HF361" s="868"/>
      <c r="HG361" s="473"/>
      <c r="HH361" s="867"/>
      <c r="HI361" s="868"/>
      <c r="HJ361" s="867"/>
      <c r="HK361" s="868"/>
      <c r="HL361" s="370"/>
      <c r="HM361" s="865"/>
      <c r="HN361" s="866"/>
      <c r="HO361" s="865"/>
      <c r="HP361" s="866"/>
      <c r="HQ361" s="865"/>
      <c r="HR361" s="866"/>
      <c r="HS361" s="867"/>
      <c r="HT361" s="868"/>
      <c r="HU361" s="489"/>
      <c r="HV361" s="865"/>
      <c r="HW361" s="866"/>
    </row>
    <row r="362" spans="25:231" ht="15" customHeight="1">
      <c r="Y362" s="332"/>
      <c r="Z362" s="332"/>
      <c r="AA362" s="332"/>
      <c r="AB362" s="332"/>
      <c r="AC362" s="332"/>
      <c r="AD362" s="332"/>
      <c r="AE362" s="332"/>
      <c r="AF362" s="332"/>
      <c r="AG362" s="332"/>
      <c r="AH362" s="332"/>
      <c r="AI362" s="332"/>
      <c r="AJ362" s="332"/>
      <c r="AK362" s="332"/>
      <c r="AL362" s="332"/>
      <c r="AM362" s="332"/>
      <c r="AN362" s="332"/>
      <c r="AO362" s="332"/>
      <c r="AP362" s="332"/>
      <c r="AQ362" s="332"/>
      <c r="AR362" s="332"/>
      <c r="AS362" s="332"/>
      <c r="AT362" s="332"/>
      <c r="AU362" s="332"/>
      <c r="AV362" s="332"/>
      <c r="AW362" s="332"/>
      <c r="AX362" s="332"/>
      <c r="AY362" s="332"/>
      <c r="AZ362" s="332"/>
      <c r="BA362" s="332"/>
      <c r="BB362" s="332"/>
      <c r="BC362" s="332"/>
      <c r="BD362" s="332"/>
      <c r="BE362" s="332"/>
      <c r="BF362" s="332"/>
      <c r="BG362" s="332"/>
      <c r="BH362" s="332"/>
      <c r="BI362" s="332"/>
      <c r="BJ362" s="332"/>
      <c r="BK362" s="332"/>
      <c r="BL362" s="332"/>
      <c r="BM362" s="332"/>
      <c r="BN362" s="332"/>
      <c r="BO362" s="332"/>
      <c r="BP362" s="332"/>
      <c r="BQ362" s="332"/>
      <c r="BR362" s="332"/>
      <c r="BS362" s="332"/>
      <c r="BT362" s="332"/>
      <c r="BU362" s="332"/>
      <c r="BV362" s="332"/>
      <c r="BW362" s="332"/>
      <c r="BX362" s="332"/>
      <c r="BY362" s="332"/>
      <c r="BZ362" s="332"/>
      <c r="CA362" s="332"/>
      <c r="CB362" s="332"/>
      <c r="CC362" s="332"/>
      <c r="CD362" s="332"/>
      <c r="CE362" s="332"/>
      <c r="CF362" s="332"/>
      <c r="CG362" s="332"/>
      <c r="CH362" s="332"/>
      <c r="CI362" s="332"/>
      <c r="CJ362" s="332"/>
      <c r="CK362" s="332"/>
      <c r="CL362" s="332"/>
      <c r="CM362" s="332"/>
      <c r="CN362" s="332"/>
      <c r="CO362" s="332"/>
      <c r="CP362" s="332"/>
      <c r="CQ362" s="332"/>
      <c r="CR362" s="332"/>
      <c r="CS362" s="332"/>
      <c r="CT362" s="332"/>
      <c r="CU362" s="332"/>
      <c r="CV362" s="332"/>
      <c r="CW362" s="332"/>
      <c r="CX362" s="332"/>
      <c r="CY362" s="332"/>
      <c r="CZ362" s="332"/>
      <c r="DA362" s="332"/>
      <c r="DB362" s="332"/>
      <c r="DC362" s="332"/>
      <c r="DD362" s="332"/>
      <c r="DE362" s="332"/>
      <c r="DF362" s="332"/>
      <c r="DG362" s="332"/>
      <c r="DH362" s="332"/>
      <c r="DI362" s="332"/>
      <c r="DJ362" s="332"/>
      <c r="DK362" s="332"/>
      <c r="DL362" s="332"/>
      <c r="DM362" s="332"/>
      <c r="DN362" s="332"/>
      <c r="DO362" s="332"/>
      <c r="DP362" s="332"/>
      <c r="DQ362" s="332"/>
      <c r="DR362" s="332"/>
      <c r="DS362" s="332"/>
      <c r="DT362" s="332"/>
      <c r="DU362" s="453"/>
      <c r="DV362" s="453"/>
      <c r="DW362" s="453"/>
      <c r="DX362" s="453"/>
      <c r="DY362" s="453"/>
      <c r="DZ362" s="453"/>
      <c r="EA362" s="453"/>
      <c r="EB362" s="453"/>
      <c r="EC362" s="559">
        <f t="shared" si="209"/>
        <v>165</v>
      </c>
      <c r="ED362" s="889">
        <f t="shared" si="210"/>
        <v>0</v>
      </c>
      <c r="EE362" s="890"/>
      <c r="EF362" s="476">
        <v>0</v>
      </c>
      <c r="EG362" s="889">
        <f t="shared" si="211"/>
        <v>0</v>
      </c>
      <c r="EH362" s="890"/>
      <c r="EI362" s="480">
        <v>0</v>
      </c>
      <c r="EJ362" s="453"/>
      <c r="EK362" s="453"/>
      <c r="EL362" s="453"/>
      <c r="EM362" s="483">
        <f t="shared" si="205"/>
        <v>53</v>
      </c>
      <c r="EN362" s="485"/>
      <c r="EO362" s="804"/>
      <c r="EP362" s="805"/>
      <c r="EQ362" s="806"/>
      <c r="ER362" s="808"/>
      <c r="ES362" s="881">
        <f t="shared" si="206"/>
        <v>0</v>
      </c>
      <c r="ET362" s="882"/>
      <c r="EU362" s="883"/>
      <c r="EV362" s="884">
        <f t="shared" si="197"/>
        <v>0</v>
      </c>
      <c r="EW362" s="885"/>
      <c r="EX362" s="885"/>
      <c r="EY362" s="885"/>
      <c r="EZ362" s="885"/>
      <c r="FA362" s="885"/>
      <c r="FB362" s="885"/>
      <c r="FC362" s="885"/>
      <c r="FD362" s="886"/>
      <c r="FE362" s="878"/>
      <c r="FF362" s="878"/>
      <c r="FG362" s="878"/>
      <c r="FH362" s="878"/>
      <c r="FI362" s="878"/>
      <c r="FJ362" s="878"/>
      <c r="FK362" s="878"/>
      <c r="FL362" s="555"/>
      <c r="FM362" s="554"/>
      <c r="FN362" s="554"/>
      <c r="FO362" s="554"/>
      <c r="FP362" s="554"/>
      <c r="FQ362" s="554"/>
      <c r="FR362" s="554"/>
      <c r="FS362" s="554"/>
      <c r="FT362" s="554"/>
      <c r="FU362" s="554"/>
      <c r="FV362" s="554"/>
      <c r="FW362" s="554"/>
      <c r="FX362" s="554"/>
      <c r="FY362" s="554"/>
      <c r="FZ362" s="554"/>
      <c r="GA362" s="554"/>
      <c r="GB362" s="556"/>
      <c r="GC362" s="370"/>
      <c r="GD362" s="453"/>
      <c r="GE362" s="453"/>
      <c r="GF362" s="453"/>
      <c r="GG362" s="453"/>
      <c r="GH362" s="454"/>
      <c r="GI362" s="453"/>
      <c r="GJ362" s="453"/>
      <c r="GK362" s="453"/>
      <c r="GL362" s="453"/>
      <c r="GM362" s="453"/>
      <c r="GN362" s="453"/>
      <c r="GO362" s="453"/>
      <c r="GP362" s="453"/>
      <c r="GQ362" s="453"/>
      <c r="GR362" s="453"/>
      <c r="GS362" s="561"/>
      <c r="GT362" s="475"/>
      <c r="GU362" s="472"/>
      <c r="GV362" s="453"/>
      <c r="GW362" s="453"/>
      <c r="GX362" s="869"/>
      <c r="GY362" s="870"/>
      <c r="GZ362" s="867"/>
      <c r="HA362" s="868"/>
      <c r="HB362" s="473"/>
      <c r="HC362" s="869"/>
      <c r="HD362" s="870"/>
      <c r="HE362" s="867"/>
      <c r="HF362" s="868"/>
      <c r="HG362" s="473"/>
      <c r="HH362" s="867"/>
      <c r="HI362" s="868"/>
      <c r="HJ362" s="867"/>
      <c r="HK362" s="868"/>
      <c r="HL362" s="370"/>
      <c r="HM362" s="865"/>
      <c r="HN362" s="866"/>
      <c r="HO362" s="865"/>
      <c r="HP362" s="866"/>
      <c r="HQ362" s="865"/>
      <c r="HR362" s="866"/>
      <c r="HS362" s="867"/>
      <c r="HT362" s="868"/>
      <c r="HU362" s="489"/>
      <c r="HV362" s="865"/>
      <c r="HW362" s="866"/>
    </row>
    <row r="363" spans="25:231" ht="15" customHeight="1">
      <c r="Y363" s="332"/>
      <c r="Z363" s="332"/>
      <c r="AA363" s="332"/>
      <c r="AB363" s="332"/>
      <c r="AC363" s="332"/>
      <c r="AD363" s="332"/>
      <c r="AE363" s="332"/>
      <c r="AF363" s="332"/>
      <c r="AG363" s="332"/>
      <c r="AH363" s="332"/>
      <c r="AI363" s="332"/>
      <c r="AJ363" s="332"/>
      <c r="AK363" s="332"/>
      <c r="AL363" s="332"/>
      <c r="AM363" s="332"/>
      <c r="AN363" s="332"/>
      <c r="AO363" s="332"/>
      <c r="AP363" s="332"/>
      <c r="AQ363" s="332"/>
      <c r="AR363" s="332"/>
      <c r="AS363" s="332"/>
      <c r="AT363" s="332"/>
      <c r="AU363" s="332"/>
      <c r="AV363" s="332"/>
      <c r="AW363" s="332"/>
      <c r="AX363" s="332"/>
      <c r="AY363" s="332"/>
      <c r="AZ363" s="332"/>
      <c r="BA363" s="332"/>
      <c r="BB363" s="332"/>
      <c r="BC363" s="332"/>
      <c r="BD363" s="332"/>
      <c r="BE363" s="332"/>
      <c r="BF363" s="332"/>
      <c r="BG363" s="332"/>
      <c r="BH363" s="332"/>
      <c r="BI363" s="332"/>
      <c r="BJ363" s="332"/>
      <c r="BK363" s="332"/>
      <c r="BL363" s="332"/>
      <c r="BM363" s="332"/>
      <c r="BN363" s="332"/>
      <c r="BO363" s="332"/>
      <c r="BP363" s="332"/>
      <c r="BQ363" s="332"/>
      <c r="BR363" s="332"/>
      <c r="BS363" s="332"/>
      <c r="BT363" s="332"/>
      <c r="BU363" s="332"/>
      <c r="BV363" s="332"/>
      <c r="BW363" s="332"/>
      <c r="BX363" s="332"/>
      <c r="BY363" s="332"/>
      <c r="BZ363" s="332"/>
      <c r="CA363" s="332"/>
      <c r="CB363" s="332"/>
      <c r="CC363" s="332"/>
      <c r="CD363" s="332"/>
      <c r="CE363" s="332"/>
      <c r="CF363" s="332"/>
      <c r="CG363" s="332"/>
      <c r="CH363" s="332"/>
      <c r="CI363" s="332"/>
      <c r="CJ363" s="332"/>
      <c r="CK363" s="332"/>
      <c r="CL363" s="332"/>
      <c r="CM363" s="332"/>
      <c r="CN363" s="332"/>
      <c r="CO363" s="332"/>
      <c r="CP363" s="332"/>
      <c r="CQ363" s="332"/>
      <c r="CR363" s="332"/>
      <c r="CS363" s="332"/>
      <c r="CT363" s="332"/>
      <c r="CU363" s="332"/>
      <c r="CV363" s="332"/>
      <c r="CW363" s="332"/>
      <c r="CX363" s="332"/>
      <c r="CY363" s="332"/>
      <c r="CZ363" s="332"/>
      <c r="DA363" s="332"/>
      <c r="DB363" s="332"/>
      <c r="DC363" s="332"/>
      <c r="DD363" s="332"/>
      <c r="DE363" s="332"/>
      <c r="DF363" s="332"/>
      <c r="DG363" s="332"/>
      <c r="DH363" s="332"/>
      <c r="DI363" s="332"/>
      <c r="DJ363" s="332"/>
      <c r="DK363" s="332"/>
      <c r="DL363" s="332"/>
      <c r="DM363" s="332"/>
      <c r="DN363" s="332"/>
      <c r="DO363" s="332"/>
      <c r="DP363" s="332"/>
      <c r="DQ363" s="332"/>
      <c r="DR363" s="332"/>
      <c r="DS363" s="332"/>
      <c r="DT363" s="332"/>
      <c r="DU363" s="453"/>
      <c r="DV363" s="453"/>
      <c r="DW363" s="453"/>
      <c r="DX363" s="453"/>
      <c r="DY363" s="453"/>
      <c r="DZ363" s="453"/>
      <c r="EA363" s="453"/>
      <c r="EB363" s="453"/>
      <c r="EC363" s="559">
        <f t="shared" si="209"/>
        <v>170</v>
      </c>
      <c r="ED363" s="889">
        <f t="shared" si="210"/>
        <v>0</v>
      </c>
      <c r="EE363" s="890"/>
      <c r="EF363" s="476">
        <v>0</v>
      </c>
      <c r="EG363" s="889">
        <f t="shared" si="211"/>
        <v>0</v>
      </c>
      <c r="EH363" s="890"/>
      <c r="EI363" s="480">
        <v>0</v>
      </c>
      <c r="EJ363" s="453"/>
      <c r="EK363" s="453"/>
      <c r="EL363" s="453"/>
      <c r="EM363" s="483">
        <f t="shared" si="205"/>
        <v>54</v>
      </c>
      <c r="EN363" s="485"/>
      <c r="EO363" s="804"/>
      <c r="EP363" s="805"/>
      <c r="EQ363" s="806"/>
      <c r="ER363" s="808"/>
      <c r="ES363" s="881">
        <f t="shared" si="206"/>
        <v>0</v>
      </c>
      <c r="ET363" s="882"/>
      <c r="EU363" s="883"/>
      <c r="EV363" s="884">
        <f t="shared" si="197"/>
        <v>0</v>
      </c>
      <c r="EW363" s="885"/>
      <c r="EX363" s="885"/>
      <c r="EY363" s="885"/>
      <c r="EZ363" s="885"/>
      <c r="FA363" s="885"/>
      <c r="FB363" s="885"/>
      <c r="FC363" s="885"/>
      <c r="FD363" s="886"/>
      <c r="FE363" s="878"/>
      <c r="FF363" s="878"/>
      <c r="FG363" s="878"/>
      <c r="FH363" s="878"/>
      <c r="FI363" s="878"/>
      <c r="FJ363" s="878"/>
      <c r="FK363" s="878"/>
      <c r="FL363" s="555"/>
      <c r="FM363" s="554"/>
      <c r="FN363" s="554"/>
      <c r="FO363" s="554"/>
      <c r="FP363" s="554"/>
      <c r="FQ363" s="554"/>
      <c r="FR363" s="554"/>
      <c r="FS363" s="554"/>
      <c r="FT363" s="554"/>
      <c r="FU363" s="554"/>
      <c r="FV363" s="554"/>
      <c r="FW363" s="554"/>
      <c r="FX363" s="554"/>
      <c r="FY363" s="554"/>
      <c r="FZ363" s="554"/>
      <c r="GA363" s="554"/>
      <c r="GB363" s="556"/>
      <c r="GC363" s="370"/>
      <c r="GD363" s="453"/>
      <c r="GE363" s="453"/>
      <c r="GF363" s="453"/>
      <c r="GG363" s="453"/>
      <c r="GH363" s="454"/>
      <c r="GI363" s="453"/>
      <c r="GJ363" s="453"/>
      <c r="GK363" s="453"/>
      <c r="GL363" s="453"/>
      <c r="GM363" s="453"/>
      <c r="GN363" s="453"/>
      <c r="GO363" s="453"/>
      <c r="GP363" s="453"/>
      <c r="GQ363" s="453"/>
      <c r="GR363" s="453"/>
      <c r="GS363" s="561"/>
      <c r="GT363" s="475"/>
      <c r="GU363" s="472"/>
      <c r="GV363" s="453"/>
      <c r="GW363" s="453"/>
      <c r="GX363" s="869"/>
      <c r="GY363" s="870"/>
      <c r="GZ363" s="867"/>
      <c r="HA363" s="868"/>
      <c r="HB363" s="473"/>
      <c r="HC363" s="869"/>
      <c r="HD363" s="870"/>
      <c r="HE363" s="867"/>
      <c r="HF363" s="868"/>
      <c r="HG363" s="473"/>
      <c r="HH363" s="867"/>
      <c r="HI363" s="868"/>
      <c r="HJ363" s="867"/>
      <c r="HK363" s="868"/>
      <c r="HL363" s="370"/>
      <c r="HM363" s="865"/>
      <c r="HN363" s="866"/>
      <c r="HO363" s="865"/>
      <c r="HP363" s="866"/>
      <c r="HQ363" s="865"/>
      <c r="HR363" s="866"/>
      <c r="HS363" s="867"/>
      <c r="HT363" s="868"/>
      <c r="HU363" s="489"/>
      <c r="HV363" s="865"/>
      <c r="HW363" s="866"/>
    </row>
    <row r="364" spans="25:231" ht="15" customHeight="1">
      <c r="Y364" s="332"/>
      <c r="Z364" s="332"/>
      <c r="AA364" s="332"/>
      <c r="AB364" s="332"/>
      <c r="AC364" s="332"/>
      <c r="AD364" s="332"/>
      <c r="AE364" s="332"/>
      <c r="AF364" s="332"/>
      <c r="AG364" s="332"/>
      <c r="AH364" s="332"/>
      <c r="AI364" s="332"/>
      <c r="AJ364" s="332"/>
      <c r="AK364" s="332"/>
      <c r="AL364" s="332"/>
      <c r="AM364" s="332"/>
      <c r="AN364" s="332"/>
      <c r="AO364" s="332"/>
      <c r="AP364" s="332"/>
      <c r="AQ364" s="332"/>
      <c r="AR364" s="332"/>
      <c r="AS364" s="332"/>
      <c r="AT364" s="332"/>
      <c r="AU364" s="332"/>
      <c r="AV364" s="332"/>
      <c r="AW364" s="332"/>
      <c r="AX364" s="332"/>
      <c r="AY364" s="332"/>
      <c r="AZ364" s="332"/>
      <c r="BA364" s="332"/>
      <c r="BB364" s="332"/>
      <c r="BC364" s="332"/>
      <c r="BD364" s="332"/>
      <c r="BE364" s="332"/>
      <c r="BF364" s="332"/>
      <c r="BG364" s="332"/>
      <c r="BH364" s="332"/>
      <c r="BI364" s="332"/>
      <c r="BJ364" s="332"/>
      <c r="BK364" s="332"/>
      <c r="BL364" s="332"/>
      <c r="BM364" s="332"/>
      <c r="BN364" s="332"/>
      <c r="BO364" s="332"/>
      <c r="BP364" s="332"/>
      <c r="BQ364" s="332"/>
      <c r="BR364" s="332"/>
      <c r="BS364" s="332"/>
      <c r="BT364" s="332"/>
      <c r="BU364" s="332"/>
      <c r="BV364" s="332"/>
      <c r="BW364" s="332"/>
      <c r="BX364" s="332"/>
      <c r="BY364" s="332"/>
      <c r="BZ364" s="332"/>
      <c r="CA364" s="332"/>
      <c r="CB364" s="332"/>
      <c r="CC364" s="332"/>
      <c r="CD364" s="332"/>
      <c r="CE364" s="332"/>
      <c r="CF364" s="332"/>
      <c r="CG364" s="332"/>
      <c r="CH364" s="332"/>
      <c r="CI364" s="332"/>
      <c r="CJ364" s="332"/>
      <c r="CK364" s="332"/>
      <c r="CL364" s="332"/>
      <c r="CM364" s="332"/>
      <c r="CN364" s="332"/>
      <c r="CO364" s="332"/>
      <c r="CP364" s="332"/>
      <c r="CQ364" s="332"/>
      <c r="CR364" s="332"/>
      <c r="CS364" s="332"/>
      <c r="CT364" s="332"/>
      <c r="CU364" s="332"/>
      <c r="CV364" s="332"/>
      <c r="CW364" s="332"/>
      <c r="CX364" s="332"/>
      <c r="CY364" s="332"/>
      <c r="CZ364" s="332"/>
      <c r="DA364" s="332"/>
      <c r="DB364" s="332"/>
      <c r="DC364" s="332"/>
      <c r="DD364" s="332"/>
      <c r="DE364" s="332"/>
      <c r="DF364" s="332"/>
      <c r="DG364" s="332"/>
      <c r="DH364" s="332"/>
      <c r="DI364" s="332"/>
      <c r="DJ364" s="332"/>
      <c r="DK364" s="332"/>
      <c r="DL364" s="332"/>
      <c r="DM364" s="332"/>
      <c r="DN364" s="332"/>
      <c r="DO364" s="332"/>
      <c r="DP364" s="332"/>
      <c r="DQ364" s="332"/>
      <c r="DR364" s="332"/>
      <c r="DS364" s="332"/>
      <c r="DT364" s="332"/>
      <c r="DU364" s="453"/>
      <c r="DV364" s="453"/>
      <c r="DW364" s="453"/>
      <c r="DX364" s="453"/>
      <c r="DY364" s="453"/>
      <c r="DZ364" s="453"/>
      <c r="EA364" s="453"/>
      <c r="EB364" s="453"/>
      <c r="EC364" s="559">
        <f t="shared" si="209"/>
        <v>175</v>
      </c>
      <c r="ED364" s="889">
        <f t="shared" si="210"/>
        <v>0</v>
      </c>
      <c r="EE364" s="890"/>
      <c r="EF364" s="476">
        <v>0</v>
      </c>
      <c r="EG364" s="889">
        <f t="shared" si="211"/>
        <v>0</v>
      </c>
      <c r="EH364" s="890"/>
      <c r="EI364" s="480">
        <v>0</v>
      </c>
      <c r="EJ364" s="453"/>
      <c r="EK364" s="453"/>
      <c r="EL364" s="453"/>
      <c r="EM364" s="483">
        <f t="shared" si="205"/>
        <v>55</v>
      </c>
      <c r="EN364" s="485"/>
      <c r="EO364" s="804"/>
      <c r="EP364" s="805"/>
      <c r="EQ364" s="806"/>
      <c r="ER364" s="808"/>
      <c r="ES364" s="881">
        <f t="shared" si="206"/>
        <v>0</v>
      </c>
      <c r="ET364" s="882"/>
      <c r="EU364" s="883"/>
      <c r="EV364" s="884">
        <f t="shared" si="197"/>
        <v>0</v>
      </c>
      <c r="EW364" s="885"/>
      <c r="EX364" s="885"/>
      <c r="EY364" s="885"/>
      <c r="EZ364" s="885"/>
      <c r="FA364" s="885"/>
      <c r="FB364" s="885"/>
      <c r="FC364" s="885"/>
      <c r="FD364" s="886"/>
      <c r="FE364" s="878"/>
      <c r="FF364" s="878"/>
      <c r="FG364" s="878"/>
      <c r="FH364" s="878"/>
      <c r="FI364" s="878"/>
      <c r="FJ364" s="878"/>
      <c r="FK364" s="878"/>
      <c r="FL364" s="555"/>
      <c r="FM364" s="554"/>
      <c r="FN364" s="554"/>
      <c r="FO364" s="554"/>
      <c r="FP364" s="554"/>
      <c r="FQ364" s="554"/>
      <c r="FR364" s="554"/>
      <c r="FS364" s="554"/>
      <c r="FT364" s="554"/>
      <c r="FU364" s="554"/>
      <c r="FV364" s="554"/>
      <c r="FW364" s="554"/>
      <c r="FX364" s="554"/>
      <c r="FY364" s="554"/>
      <c r="FZ364" s="554"/>
      <c r="GA364" s="554"/>
      <c r="GB364" s="556"/>
      <c r="GC364" s="370"/>
      <c r="GD364" s="453"/>
      <c r="GE364" s="453"/>
      <c r="GF364" s="453"/>
      <c r="GG364" s="453"/>
      <c r="GH364" s="454"/>
      <c r="GI364" s="453"/>
      <c r="GJ364" s="453"/>
      <c r="GK364" s="453"/>
      <c r="GL364" s="453"/>
      <c r="GM364" s="453"/>
      <c r="GN364" s="453"/>
      <c r="GO364" s="453"/>
      <c r="GP364" s="453"/>
      <c r="GQ364" s="453"/>
      <c r="GR364" s="453"/>
      <c r="GS364" s="561"/>
      <c r="GT364" s="475"/>
      <c r="GU364" s="472"/>
      <c r="GV364" s="453"/>
      <c r="GW364" s="453"/>
      <c r="GX364" s="869"/>
      <c r="GY364" s="870"/>
      <c r="GZ364" s="867"/>
      <c r="HA364" s="868"/>
      <c r="HB364" s="473"/>
      <c r="HC364" s="869"/>
      <c r="HD364" s="870"/>
      <c r="HE364" s="867"/>
      <c r="HF364" s="868"/>
      <c r="HG364" s="473"/>
      <c r="HH364" s="867"/>
      <c r="HI364" s="868"/>
      <c r="HJ364" s="867"/>
      <c r="HK364" s="868"/>
      <c r="HL364" s="370"/>
      <c r="HM364" s="865"/>
      <c r="HN364" s="866"/>
      <c r="HO364" s="865"/>
      <c r="HP364" s="866"/>
      <c r="HQ364" s="865"/>
      <c r="HR364" s="866"/>
      <c r="HS364" s="867"/>
      <c r="HT364" s="868"/>
      <c r="HU364" s="489"/>
      <c r="HV364" s="865"/>
      <c r="HW364" s="866"/>
    </row>
    <row r="365" spans="25:231" ht="15" customHeight="1">
      <c r="Y365" s="332"/>
      <c r="Z365" s="332"/>
      <c r="AA365" s="332"/>
      <c r="AB365" s="332"/>
      <c r="AC365" s="332"/>
      <c r="AD365" s="332"/>
      <c r="AE365" s="332"/>
      <c r="AF365" s="332"/>
      <c r="AG365" s="332"/>
      <c r="AH365" s="332"/>
      <c r="AI365" s="332"/>
      <c r="AJ365" s="332"/>
      <c r="AK365" s="332"/>
      <c r="AL365" s="332"/>
      <c r="AM365" s="332"/>
      <c r="AN365" s="332"/>
      <c r="AO365" s="332"/>
      <c r="AP365" s="332"/>
      <c r="AQ365" s="332"/>
      <c r="AR365" s="332"/>
      <c r="AS365" s="332"/>
      <c r="AT365" s="332"/>
      <c r="AU365" s="332"/>
      <c r="AV365" s="332"/>
      <c r="AW365" s="332"/>
      <c r="AX365" s="332"/>
      <c r="AY365" s="332"/>
      <c r="AZ365" s="332"/>
      <c r="BA365" s="332"/>
      <c r="BB365" s="332"/>
      <c r="BC365" s="332"/>
      <c r="BD365" s="332"/>
      <c r="BE365" s="332"/>
      <c r="BF365" s="332"/>
      <c r="BG365" s="332"/>
      <c r="BH365" s="332"/>
      <c r="BI365" s="332"/>
      <c r="BJ365" s="332"/>
      <c r="BK365" s="332"/>
      <c r="BL365" s="332"/>
      <c r="BM365" s="332"/>
      <c r="BN365" s="332"/>
      <c r="BO365" s="332"/>
      <c r="BP365" s="332"/>
      <c r="BQ365" s="332"/>
      <c r="BR365" s="332"/>
      <c r="BS365" s="332"/>
      <c r="BT365" s="332"/>
      <c r="BU365" s="332"/>
      <c r="BV365" s="332"/>
      <c r="BW365" s="332"/>
      <c r="BX365" s="332"/>
      <c r="BY365" s="332"/>
      <c r="BZ365" s="332"/>
      <c r="CA365" s="332"/>
      <c r="CB365" s="332"/>
      <c r="CC365" s="332"/>
      <c r="CD365" s="332"/>
      <c r="CE365" s="332"/>
      <c r="CF365" s="332"/>
      <c r="CG365" s="332"/>
      <c r="CH365" s="332"/>
      <c r="CI365" s="332"/>
      <c r="CJ365" s="332"/>
      <c r="CK365" s="332"/>
      <c r="CL365" s="332"/>
      <c r="CM365" s="332"/>
      <c r="CN365" s="332"/>
      <c r="CO365" s="332"/>
      <c r="CP365" s="332"/>
      <c r="CQ365" s="332"/>
      <c r="CR365" s="332"/>
      <c r="CS365" s="332"/>
      <c r="CT365" s="332"/>
      <c r="CU365" s="332"/>
      <c r="CV365" s="332"/>
      <c r="CW365" s="332"/>
      <c r="CX365" s="332"/>
      <c r="CY365" s="332"/>
      <c r="CZ365" s="332"/>
      <c r="DA365" s="332"/>
      <c r="DB365" s="332"/>
      <c r="DC365" s="332"/>
      <c r="DD365" s="332"/>
      <c r="DE365" s="332"/>
      <c r="DF365" s="332"/>
      <c r="DG365" s="332"/>
      <c r="DH365" s="332"/>
      <c r="DI365" s="332"/>
      <c r="DJ365" s="332"/>
      <c r="DK365" s="332"/>
      <c r="DL365" s="332"/>
      <c r="DM365" s="332"/>
      <c r="DN365" s="332"/>
      <c r="DO365" s="332"/>
      <c r="DP365" s="332"/>
      <c r="DQ365" s="332"/>
      <c r="DR365" s="332"/>
      <c r="DS365" s="332"/>
      <c r="DT365" s="332"/>
      <c r="DU365" s="453"/>
      <c r="DV365" s="453"/>
      <c r="DW365" s="453"/>
      <c r="DX365" s="453"/>
      <c r="DY365" s="453"/>
      <c r="DZ365" s="453"/>
      <c r="EA365" s="453"/>
      <c r="EB365" s="453"/>
      <c r="EC365" s="559">
        <f t="shared" si="209"/>
        <v>180</v>
      </c>
      <c r="ED365" s="889">
        <f t="shared" si="210"/>
        <v>0</v>
      </c>
      <c r="EE365" s="890"/>
      <c r="EF365" s="476">
        <v>0</v>
      </c>
      <c r="EG365" s="889">
        <f t="shared" si="211"/>
        <v>0</v>
      </c>
      <c r="EH365" s="890"/>
      <c r="EI365" s="480">
        <v>0</v>
      </c>
      <c r="EJ365" s="453"/>
      <c r="EK365" s="453"/>
      <c r="EL365" s="453"/>
      <c r="EM365" s="483">
        <f t="shared" si="205"/>
        <v>56</v>
      </c>
      <c r="EN365" s="485"/>
      <c r="EO365" s="804"/>
      <c r="EP365" s="805"/>
      <c r="EQ365" s="806"/>
      <c r="ER365" s="808"/>
      <c r="ES365" s="881">
        <f t="shared" si="206"/>
        <v>0</v>
      </c>
      <c r="ET365" s="882"/>
      <c r="EU365" s="883"/>
      <c r="EV365" s="884">
        <f t="shared" si="197"/>
        <v>0</v>
      </c>
      <c r="EW365" s="885"/>
      <c r="EX365" s="885"/>
      <c r="EY365" s="885"/>
      <c r="EZ365" s="885"/>
      <c r="FA365" s="885"/>
      <c r="FB365" s="885"/>
      <c r="FC365" s="885"/>
      <c r="FD365" s="886"/>
      <c r="FE365" s="878"/>
      <c r="FF365" s="878"/>
      <c r="FG365" s="878"/>
      <c r="FH365" s="878"/>
      <c r="FI365" s="878"/>
      <c r="FJ365" s="878"/>
      <c r="FK365" s="878"/>
      <c r="FL365" s="555"/>
      <c r="FM365" s="554"/>
      <c r="FN365" s="554"/>
      <c r="FO365" s="554"/>
      <c r="FP365" s="554"/>
      <c r="FQ365" s="554"/>
      <c r="FR365" s="554"/>
      <c r="FS365" s="554"/>
      <c r="FT365" s="554"/>
      <c r="FU365" s="554"/>
      <c r="FV365" s="554"/>
      <c r="FW365" s="554"/>
      <c r="FX365" s="554"/>
      <c r="FY365" s="554"/>
      <c r="FZ365" s="554"/>
      <c r="GA365" s="554"/>
      <c r="GB365" s="556"/>
      <c r="GC365" s="370"/>
      <c r="GD365" s="453"/>
      <c r="GE365" s="453"/>
      <c r="GF365" s="453"/>
      <c r="GG365" s="453"/>
      <c r="GH365" s="454"/>
      <c r="GI365" s="453"/>
      <c r="GJ365" s="453"/>
      <c r="GK365" s="453"/>
      <c r="GL365" s="453"/>
      <c r="GM365" s="453"/>
      <c r="GN365" s="453"/>
      <c r="GO365" s="453"/>
      <c r="GP365" s="453"/>
      <c r="GQ365" s="453"/>
      <c r="GR365" s="453"/>
      <c r="GS365" s="561"/>
      <c r="GT365" s="475"/>
      <c r="GU365" s="472"/>
      <c r="GV365" s="453"/>
      <c r="GW365" s="453"/>
      <c r="GX365" s="869"/>
      <c r="GY365" s="870"/>
      <c r="GZ365" s="867"/>
      <c r="HA365" s="868"/>
      <c r="HB365" s="473"/>
      <c r="HC365" s="869"/>
      <c r="HD365" s="870"/>
      <c r="HE365" s="867"/>
      <c r="HF365" s="868"/>
      <c r="HG365" s="473"/>
      <c r="HH365" s="867"/>
      <c r="HI365" s="868"/>
      <c r="HJ365" s="867"/>
      <c r="HK365" s="868"/>
      <c r="HL365" s="370"/>
      <c r="HM365" s="865"/>
      <c r="HN365" s="866"/>
      <c r="HO365" s="865"/>
      <c r="HP365" s="866"/>
      <c r="HQ365" s="865"/>
      <c r="HR365" s="866"/>
      <c r="HS365" s="867"/>
      <c r="HT365" s="868"/>
      <c r="HU365" s="489"/>
      <c r="HV365" s="865"/>
      <c r="HW365" s="866"/>
    </row>
    <row r="366" spans="25:231" ht="15" customHeight="1">
      <c r="Y366" s="332"/>
      <c r="Z366" s="332"/>
      <c r="AA366" s="332"/>
      <c r="AB366" s="332"/>
      <c r="AC366" s="332"/>
      <c r="AD366" s="332"/>
      <c r="AE366" s="332"/>
      <c r="AF366" s="332"/>
      <c r="AG366" s="332"/>
      <c r="AH366" s="332"/>
      <c r="AI366" s="332"/>
      <c r="AJ366" s="332"/>
      <c r="AK366" s="332"/>
      <c r="AL366" s="332"/>
      <c r="AM366" s="332"/>
      <c r="AN366" s="332"/>
      <c r="AO366" s="332"/>
      <c r="AP366" s="332"/>
      <c r="AQ366" s="332"/>
      <c r="AR366" s="332"/>
      <c r="AS366" s="332"/>
      <c r="AT366" s="332"/>
      <c r="AU366" s="332"/>
      <c r="AV366" s="332"/>
      <c r="AW366" s="332"/>
      <c r="AX366" s="332"/>
      <c r="AY366" s="332"/>
      <c r="AZ366" s="332"/>
      <c r="BA366" s="332"/>
      <c r="BB366" s="332"/>
      <c r="BC366" s="332"/>
      <c r="BD366" s="332"/>
      <c r="BE366" s="332"/>
      <c r="BF366" s="332"/>
      <c r="BG366" s="332"/>
      <c r="BH366" s="332"/>
      <c r="BI366" s="332"/>
      <c r="BJ366" s="332"/>
      <c r="BK366" s="332"/>
      <c r="BL366" s="332"/>
      <c r="BM366" s="332"/>
      <c r="BN366" s="332"/>
      <c r="BO366" s="332"/>
      <c r="BP366" s="332"/>
      <c r="BQ366" s="332"/>
      <c r="BR366" s="332"/>
      <c r="BS366" s="332"/>
      <c r="BT366" s="332"/>
      <c r="BU366" s="332"/>
      <c r="BV366" s="332"/>
      <c r="BW366" s="332"/>
      <c r="BX366" s="332"/>
      <c r="BY366" s="332"/>
      <c r="BZ366" s="332"/>
      <c r="CA366" s="332"/>
      <c r="CB366" s="332"/>
      <c r="CC366" s="332"/>
      <c r="CD366" s="332"/>
      <c r="CE366" s="332"/>
      <c r="CF366" s="332"/>
      <c r="CG366" s="332"/>
      <c r="CH366" s="332"/>
      <c r="CI366" s="332"/>
      <c r="CJ366" s="332"/>
      <c r="CK366" s="332"/>
      <c r="CL366" s="332"/>
      <c r="CM366" s="332"/>
      <c r="CN366" s="332"/>
      <c r="CO366" s="332"/>
      <c r="CP366" s="332"/>
      <c r="CQ366" s="332"/>
      <c r="CR366" s="332"/>
      <c r="CS366" s="332"/>
      <c r="CT366" s="332"/>
      <c r="CU366" s="332"/>
      <c r="CV366" s="332"/>
      <c r="CW366" s="332"/>
      <c r="CX366" s="332"/>
      <c r="CY366" s="332"/>
      <c r="CZ366" s="332"/>
      <c r="DA366" s="332"/>
      <c r="DB366" s="332"/>
      <c r="DC366" s="332"/>
      <c r="DD366" s="332"/>
      <c r="DE366" s="332"/>
      <c r="DF366" s="332"/>
      <c r="DG366" s="332"/>
      <c r="DH366" s="332"/>
      <c r="DI366" s="332"/>
      <c r="DJ366" s="332"/>
      <c r="DK366" s="332"/>
      <c r="DL366" s="332"/>
      <c r="DM366" s="332"/>
      <c r="DN366" s="332"/>
      <c r="DO366" s="332"/>
      <c r="DP366" s="332"/>
      <c r="DQ366" s="332"/>
      <c r="DR366" s="332"/>
      <c r="DS366" s="332"/>
      <c r="DT366" s="332"/>
      <c r="DU366" s="453"/>
      <c r="DV366" s="453"/>
      <c r="DW366" s="453"/>
      <c r="DX366" s="453"/>
      <c r="DY366" s="453"/>
      <c r="DZ366" s="453"/>
      <c r="EA366" s="453"/>
      <c r="EB366" s="453"/>
      <c r="EC366" s="559">
        <f t="shared" si="209"/>
        <v>185</v>
      </c>
      <c r="ED366" s="889">
        <f t="shared" si="210"/>
        <v>50</v>
      </c>
      <c r="EE366" s="890"/>
      <c r="EF366" s="476">
        <v>0</v>
      </c>
      <c r="EG366" s="889">
        <f t="shared" si="211"/>
        <v>0</v>
      </c>
      <c r="EH366" s="890"/>
      <c r="EI366" s="480">
        <v>0</v>
      </c>
      <c r="EJ366" s="453"/>
      <c r="EK366" s="453"/>
      <c r="EL366" s="453"/>
      <c r="EM366" s="483">
        <f t="shared" si="205"/>
        <v>57</v>
      </c>
      <c r="EN366" s="485"/>
      <c r="EO366" s="804"/>
      <c r="EP366" s="805"/>
      <c r="EQ366" s="806"/>
      <c r="ER366" s="808"/>
      <c r="ES366" s="881">
        <f>IF(OR(EO366 = "", EP366 = 0, EP366 = "", EQ366 = 0, EQ366 = "", ER366 = 0, ER366 = ""), 0,
IF(EO366 &lt;&gt; "ACCION", EP366 * ER366 * -100,  EP366 * ER366 * -1))</f>
        <v>0</v>
      </c>
      <c r="ET366" s="882"/>
      <c r="EU366" s="883"/>
      <c r="EV366" s="884">
        <f>+IF(OR(EO366 = "", EP366 = 0, EP366 = "", EQ366 = 0, EQ366 = "", ER366 = 0, ER366 = ""), 0,
IF(EO366 &lt;&gt; "ACCION",
IF(EP366 &gt; 0, EP366 * ER366 * -100 * ( 1 + COMIS_OPCION), EP366 * ER366 * -100 * ( 1 - COMIS_OPCION)),
IF(EP366 &gt; 0, EP366 * ER366 * -1 * ( 1 + COMIS_ACCION), EP366 * ER366 * -1 * ( 1 - COMIS_ACCION))  ))</f>
        <v>0</v>
      </c>
      <c r="EW366" s="885"/>
      <c r="EX366" s="885"/>
      <c r="EY366" s="885"/>
      <c r="EZ366" s="885"/>
      <c r="FA366" s="885"/>
      <c r="FB366" s="885"/>
      <c r="FC366" s="885"/>
      <c r="FD366" s="886"/>
      <c r="FE366" s="878"/>
      <c r="FF366" s="878"/>
      <c r="FG366" s="878"/>
      <c r="FH366" s="878"/>
      <c r="FI366" s="878"/>
      <c r="FJ366" s="878"/>
      <c r="FK366" s="878"/>
      <c r="FL366" s="555"/>
      <c r="FM366" s="554"/>
      <c r="FN366" s="554"/>
      <c r="FO366" s="554"/>
      <c r="FP366" s="554"/>
      <c r="FQ366" s="554"/>
      <c r="FR366" s="554"/>
      <c r="FS366" s="554"/>
      <c r="FT366" s="554"/>
      <c r="FU366" s="554"/>
      <c r="FV366" s="554"/>
      <c r="FW366" s="554"/>
      <c r="FX366" s="554"/>
      <c r="FY366" s="554"/>
      <c r="FZ366" s="554"/>
      <c r="GA366" s="554"/>
      <c r="GB366" s="556"/>
      <c r="GC366" s="370"/>
      <c r="GD366" s="453"/>
      <c r="GE366" s="453"/>
      <c r="GF366" s="453"/>
      <c r="GG366" s="453"/>
      <c r="GH366" s="454"/>
      <c r="GI366" s="453"/>
      <c r="GJ366" s="453"/>
      <c r="GK366" s="453"/>
      <c r="GL366" s="453"/>
      <c r="GM366" s="453"/>
      <c r="GN366" s="453"/>
      <c r="GO366" s="453"/>
      <c r="GP366" s="453"/>
      <c r="GQ366" s="453"/>
      <c r="GR366" s="453"/>
      <c r="GS366" s="561"/>
      <c r="GT366" s="475"/>
      <c r="GU366" s="472"/>
      <c r="GV366" s="453"/>
      <c r="GW366" s="453"/>
      <c r="GX366" s="869"/>
      <c r="GY366" s="870"/>
      <c r="GZ366" s="867"/>
      <c r="HA366" s="868"/>
      <c r="HB366" s="473"/>
      <c r="HC366" s="869"/>
      <c r="HD366" s="870"/>
      <c r="HE366" s="867"/>
      <c r="HF366" s="868"/>
      <c r="HG366" s="473"/>
      <c r="HH366" s="867"/>
      <c r="HI366" s="868"/>
      <c r="HJ366" s="867"/>
      <c r="HK366" s="868"/>
      <c r="HL366" s="370"/>
      <c r="HM366" s="865"/>
      <c r="HN366" s="866"/>
      <c r="HO366" s="865"/>
      <c r="HP366" s="866"/>
      <c r="HQ366" s="865"/>
      <c r="HR366" s="866"/>
      <c r="HS366" s="867"/>
      <c r="HT366" s="868"/>
      <c r="HU366" s="489"/>
      <c r="HV366" s="865"/>
      <c r="HW366" s="866"/>
    </row>
    <row r="367" spans="25:231" ht="15" customHeight="1">
      <c r="Y367" s="332"/>
      <c r="Z367" s="332"/>
      <c r="AA367" s="332"/>
      <c r="AB367" s="332"/>
      <c r="AC367" s="332"/>
      <c r="AD367" s="332"/>
      <c r="AE367" s="332"/>
      <c r="AF367" s="332"/>
      <c r="AG367" s="332"/>
      <c r="AH367" s="332"/>
      <c r="AI367" s="332"/>
      <c r="AJ367" s="332"/>
      <c r="AK367" s="332"/>
      <c r="AL367" s="332"/>
      <c r="AM367" s="332"/>
      <c r="AN367" s="332"/>
      <c r="AO367" s="332"/>
      <c r="AP367" s="332"/>
      <c r="AQ367" s="332"/>
      <c r="AR367" s="332"/>
      <c r="AS367" s="332"/>
      <c r="AT367" s="332"/>
      <c r="AU367" s="332"/>
      <c r="AV367" s="332"/>
      <c r="AW367" s="332"/>
      <c r="AX367" s="332"/>
      <c r="AY367" s="332"/>
      <c r="AZ367" s="332"/>
      <c r="BA367" s="332"/>
      <c r="BB367" s="332"/>
      <c r="BC367" s="332"/>
      <c r="BD367" s="332"/>
      <c r="BE367" s="332"/>
      <c r="BF367" s="332"/>
      <c r="BG367" s="332"/>
      <c r="BH367" s="332"/>
      <c r="BI367" s="332"/>
      <c r="BJ367" s="332"/>
      <c r="BK367" s="332"/>
      <c r="BL367" s="332"/>
      <c r="BM367" s="332"/>
      <c r="BN367" s="332"/>
      <c r="BO367" s="332"/>
      <c r="BP367" s="332"/>
      <c r="BQ367" s="332"/>
      <c r="BR367" s="332"/>
      <c r="BS367" s="332"/>
      <c r="BT367" s="332"/>
      <c r="BU367" s="332"/>
      <c r="BV367" s="332"/>
      <c r="BW367" s="332"/>
      <c r="BX367" s="332"/>
      <c r="BY367" s="332"/>
      <c r="BZ367" s="332"/>
      <c r="CA367" s="332"/>
      <c r="CB367" s="332"/>
      <c r="CC367" s="332"/>
      <c r="CD367" s="332"/>
      <c r="CE367" s="332"/>
      <c r="CF367" s="332"/>
      <c r="CG367" s="332"/>
      <c r="CH367" s="332"/>
      <c r="CI367" s="332"/>
      <c r="CJ367" s="332"/>
      <c r="CK367" s="332"/>
      <c r="CL367" s="332"/>
      <c r="CM367" s="332"/>
      <c r="CN367" s="332"/>
      <c r="CO367" s="332"/>
      <c r="CP367" s="332"/>
      <c r="CQ367" s="332"/>
      <c r="CR367" s="332"/>
      <c r="CS367" s="332"/>
      <c r="CT367" s="332"/>
      <c r="CU367" s="332"/>
      <c r="CV367" s="332"/>
      <c r="CW367" s="332"/>
      <c r="CX367" s="332"/>
      <c r="CY367" s="332"/>
      <c r="CZ367" s="332"/>
      <c r="DA367" s="332"/>
      <c r="DB367" s="332"/>
      <c r="DC367" s="332"/>
      <c r="DD367" s="332"/>
      <c r="DE367" s="332"/>
      <c r="DF367" s="332"/>
      <c r="DG367" s="332"/>
      <c r="DH367" s="332"/>
      <c r="DI367" s="332"/>
      <c r="DJ367" s="332"/>
      <c r="DK367" s="332"/>
      <c r="DL367" s="332"/>
      <c r="DM367" s="332"/>
      <c r="DN367" s="332"/>
      <c r="DO367" s="332"/>
      <c r="DP367" s="332"/>
      <c r="DQ367" s="332"/>
      <c r="DR367" s="332"/>
      <c r="DS367" s="332"/>
      <c r="DT367" s="332"/>
      <c r="DU367" s="453"/>
      <c r="DV367" s="453"/>
      <c r="DW367" s="453"/>
      <c r="DX367" s="453"/>
      <c r="DY367" s="453"/>
      <c r="DZ367" s="453"/>
      <c r="EA367" s="453"/>
      <c r="EB367" s="453"/>
      <c r="EC367" s="559">
        <f t="shared" si="209"/>
        <v>190</v>
      </c>
      <c r="ED367" s="889">
        <f t="shared" si="210"/>
        <v>0</v>
      </c>
      <c r="EE367" s="890"/>
      <c r="EF367" s="476">
        <v>0</v>
      </c>
      <c r="EG367" s="889">
        <f t="shared" si="211"/>
        <v>0</v>
      </c>
      <c r="EH367" s="890"/>
      <c r="EI367" s="480">
        <v>0</v>
      </c>
      <c r="EJ367" s="453"/>
      <c r="EK367" s="453"/>
      <c r="EL367" s="453"/>
      <c r="EM367" s="483">
        <f t="shared" si="205"/>
        <v>58</v>
      </c>
      <c r="EN367" s="485"/>
      <c r="EO367" s="804"/>
      <c r="EP367" s="805"/>
      <c r="EQ367" s="826"/>
      <c r="ER367" s="808"/>
      <c r="ES367" s="881">
        <f>IF(OR(EO367 = "", EP367 = 0, EP367 = "", EQ367 = 0, EQ367 = "", ER367 = 0, ER367 = ""), 0,
IF(EO367 &lt;&gt; "ACCION", EP367 * ER367 * -100,  EP367 * ER367 * -1))</f>
        <v>0</v>
      </c>
      <c r="ET367" s="882"/>
      <c r="EU367" s="883"/>
      <c r="EV367" s="884">
        <f>+IF(OR(EO367 = "", EP367 = 0, EP367 = "", EQ367 = 0, EQ367 = "", ER367 = 0, ER367 = ""), 0,
IF(EO367 &lt;&gt; "ACCION",
IF(EP367 &gt; 0, EP367 * ER367 * -100 * ( 1 + COMIS_OPCION), EP367 * ER367 * -100 * ( 1 - COMIS_OPCION)),
IF(EP367 &gt; 0, EP367 * ER367 * -1 * ( 1 + COMIS_ACCION), EP367 * ER367 * -1 * ( 1 - COMIS_ACCION))  ))</f>
        <v>0</v>
      </c>
      <c r="EW367" s="885"/>
      <c r="EX367" s="885"/>
      <c r="EY367" s="885"/>
      <c r="EZ367" s="885"/>
      <c r="FA367" s="885"/>
      <c r="FB367" s="885"/>
      <c r="FC367" s="885"/>
      <c r="FD367" s="886"/>
      <c r="FE367" s="878"/>
      <c r="FF367" s="878"/>
      <c r="FG367" s="878"/>
      <c r="FH367" s="878"/>
      <c r="FI367" s="878"/>
      <c r="FJ367" s="878"/>
      <c r="FK367" s="878"/>
      <c r="FL367" s="555"/>
      <c r="FM367" s="554"/>
      <c r="FN367" s="554"/>
      <c r="FO367" s="554"/>
      <c r="FP367" s="554"/>
      <c r="FQ367" s="554"/>
      <c r="FR367" s="554"/>
      <c r="FS367" s="554"/>
      <c r="FT367" s="554"/>
      <c r="FU367" s="554"/>
      <c r="FV367" s="554"/>
      <c r="FW367" s="554"/>
      <c r="FX367" s="554"/>
      <c r="FY367" s="554"/>
      <c r="FZ367" s="554"/>
      <c r="GA367" s="554"/>
      <c r="GB367" s="556"/>
      <c r="GC367" s="370"/>
      <c r="GD367" s="453"/>
      <c r="GE367" s="453"/>
      <c r="GF367" s="453"/>
      <c r="GG367" s="453"/>
      <c r="GH367" s="454"/>
      <c r="GI367" s="453"/>
      <c r="GJ367" s="453"/>
      <c r="GK367" s="453"/>
      <c r="GL367" s="453"/>
      <c r="GM367" s="453"/>
      <c r="GN367" s="453"/>
      <c r="GO367" s="453"/>
      <c r="GP367" s="453"/>
      <c r="GQ367" s="453"/>
      <c r="GR367" s="453"/>
      <c r="GS367" s="561"/>
      <c r="GT367" s="475"/>
      <c r="GU367" s="472"/>
      <c r="GV367" s="453"/>
      <c r="GW367" s="453"/>
      <c r="GX367" s="869"/>
      <c r="GY367" s="870"/>
      <c r="GZ367" s="867"/>
      <c r="HA367" s="868"/>
      <c r="HB367" s="473"/>
      <c r="HC367" s="869"/>
      <c r="HD367" s="870"/>
      <c r="HE367" s="867"/>
      <c r="HF367" s="868"/>
      <c r="HG367" s="473"/>
      <c r="HH367" s="867"/>
      <c r="HI367" s="868"/>
      <c r="HJ367" s="867"/>
      <c r="HK367" s="868"/>
      <c r="HL367" s="370"/>
      <c r="HM367" s="865"/>
      <c r="HN367" s="866"/>
      <c r="HO367" s="865"/>
      <c r="HP367" s="866"/>
      <c r="HQ367" s="865"/>
      <c r="HR367" s="866"/>
      <c r="HS367" s="867"/>
      <c r="HT367" s="868"/>
      <c r="HU367" s="489"/>
      <c r="HV367" s="865"/>
      <c r="HW367" s="866"/>
    </row>
    <row r="368" spans="25:231" ht="15" customHeight="1">
      <c r="Y368" s="332"/>
      <c r="Z368" s="332"/>
      <c r="AA368" s="332"/>
      <c r="AB368" s="332"/>
      <c r="AC368" s="332"/>
      <c r="AD368" s="332"/>
      <c r="AE368" s="332"/>
      <c r="AF368" s="332"/>
      <c r="AG368" s="332"/>
      <c r="AH368" s="332"/>
      <c r="AI368" s="332"/>
      <c r="AJ368" s="332"/>
      <c r="AK368" s="332"/>
      <c r="AL368" s="332"/>
      <c r="AM368" s="332"/>
      <c r="AN368" s="332"/>
      <c r="AO368" s="332"/>
      <c r="AP368" s="332"/>
      <c r="AQ368" s="332"/>
      <c r="AR368" s="332"/>
      <c r="AS368" s="332"/>
      <c r="AT368" s="332"/>
      <c r="AU368" s="332"/>
      <c r="AV368" s="332"/>
      <c r="AW368" s="332"/>
      <c r="AX368" s="332"/>
      <c r="AY368" s="332"/>
      <c r="AZ368" s="332"/>
      <c r="BA368" s="332"/>
      <c r="BB368" s="332"/>
      <c r="BC368" s="332"/>
      <c r="BD368" s="332"/>
      <c r="BE368" s="332"/>
      <c r="BF368" s="332"/>
      <c r="BG368" s="332"/>
      <c r="BH368" s="332"/>
      <c r="BI368" s="332"/>
      <c r="BJ368" s="332"/>
      <c r="BK368" s="332"/>
      <c r="BL368" s="332"/>
      <c r="BM368" s="332"/>
      <c r="BN368" s="332"/>
      <c r="BO368" s="332"/>
      <c r="BP368" s="332"/>
      <c r="BQ368" s="332"/>
      <c r="BR368" s="332"/>
      <c r="BS368" s="332"/>
      <c r="BT368" s="332"/>
      <c r="BU368" s="332"/>
      <c r="BV368" s="332"/>
      <c r="BW368" s="332"/>
      <c r="BX368" s="332"/>
      <c r="BY368" s="332"/>
      <c r="BZ368" s="332"/>
      <c r="CA368" s="332"/>
      <c r="CB368" s="332"/>
      <c r="CC368" s="332"/>
      <c r="CD368" s="332"/>
      <c r="CE368" s="332"/>
      <c r="CF368" s="332"/>
      <c r="CG368" s="332"/>
      <c r="CH368" s="332"/>
      <c r="CI368" s="332"/>
      <c r="CJ368" s="332"/>
      <c r="CK368" s="332"/>
      <c r="CL368" s="332"/>
      <c r="CM368" s="332"/>
      <c r="CN368" s="332"/>
      <c r="CO368" s="332"/>
      <c r="CP368" s="332"/>
      <c r="CQ368" s="332"/>
      <c r="CR368" s="332"/>
      <c r="CS368" s="332"/>
      <c r="CT368" s="332"/>
      <c r="CU368" s="332"/>
      <c r="CV368" s="332"/>
      <c r="CW368" s="332"/>
      <c r="CX368" s="332"/>
      <c r="CY368" s="332"/>
      <c r="CZ368" s="332"/>
      <c r="DA368" s="332"/>
      <c r="DB368" s="332"/>
      <c r="DC368" s="332"/>
      <c r="DD368" s="332"/>
      <c r="DE368" s="332"/>
      <c r="DF368" s="332"/>
      <c r="DG368" s="332"/>
      <c r="DH368" s="332"/>
      <c r="DI368" s="332"/>
      <c r="DJ368" s="332"/>
      <c r="DK368" s="332"/>
      <c r="DL368" s="332"/>
      <c r="DM368" s="332"/>
      <c r="DN368" s="332"/>
      <c r="DO368" s="332"/>
      <c r="DP368" s="332"/>
      <c r="DQ368" s="332"/>
      <c r="DR368" s="332"/>
      <c r="DS368" s="332"/>
      <c r="DT368" s="332"/>
      <c r="DU368" s="453"/>
      <c r="DV368" s="453"/>
      <c r="DW368" s="453"/>
      <c r="DX368" s="453"/>
      <c r="DY368" s="453"/>
      <c r="DZ368" s="453"/>
      <c r="EA368" s="453"/>
      <c r="EB368" s="453"/>
      <c r="EC368" s="559">
        <f t="shared" si="209"/>
        <v>195</v>
      </c>
      <c r="ED368" s="889">
        <f t="shared" si="210"/>
        <v>0</v>
      </c>
      <c r="EE368" s="890"/>
      <c r="EF368" s="476">
        <v>0</v>
      </c>
      <c r="EG368" s="889">
        <f t="shared" si="211"/>
        <v>0</v>
      </c>
      <c r="EH368" s="890"/>
      <c r="EI368" s="480">
        <v>0</v>
      </c>
      <c r="EJ368" s="453"/>
      <c r="EK368" s="453"/>
      <c r="EL368" s="453"/>
      <c r="EM368" s="483">
        <f t="shared" si="205"/>
        <v>59</v>
      </c>
      <c r="EN368" s="485"/>
      <c r="EO368" s="804"/>
      <c r="EP368" s="805"/>
      <c r="EQ368" s="806"/>
      <c r="ER368" s="808"/>
      <c r="ES368" s="881">
        <f t="shared" si="206"/>
        <v>0</v>
      </c>
      <c r="ET368" s="882"/>
      <c r="EU368" s="883"/>
      <c r="EV368" s="884">
        <f t="shared" si="197"/>
        <v>0</v>
      </c>
      <c r="EW368" s="885"/>
      <c r="EX368" s="885"/>
      <c r="EY368" s="885"/>
      <c r="EZ368" s="885"/>
      <c r="FA368" s="885"/>
      <c r="FB368" s="885"/>
      <c r="FC368" s="885"/>
      <c r="FD368" s="886"/>
      <c r="FE368" s="878"/>
      <c r="FF368" s="878"/>
      <c r="FG368" s="878"/>
      <c r="FH368" s="878"/>
      <c r="FI368" s="878"/>
      <c r="FJ368" s="878"/>
      <c r="FK368" s="878"/>
      <c r="FL368" s="555"/>
      <c r="FM368" s="554"/>
      <c r="FN368" s="554"/>
      <c r="FO368" s="554"/>
      <c r="FP368" s="554"/>
      <c r="FQ368" s="554"/>
      <c r="FR368" s="554"/>
      <c r="FS368" s="554"/>
      <c r="FT368" s="554"/>
      <c r="FU368" s="554"/>
      <c r="FV368" s="554"/>
      <c r="FW368" s="554"/>
      <c r="FX368" s="554"/>
      <c r="FY368" s="554"/>
      <c r="FZ368" s="554"/>
      <c r="GA368" s="554"/>
      <c r="GB368" s="556"/>
      <c r="GC368" s="370"/>
      <c r="GD368" s="453"/>
      <c r="GE368" s="453"/>
      <c r="GF368" s="453"/>
      <c r="GG368" s="453"/>
      <c r="GH368" s="454"/>
      <c r="GI368" s="453"/>
      <c r="GJ368" s="453"/>
      <c r="GK368" s="453"/>
      <c r="GL368" s="453"/>
      <c r="GM368" s="453"/>
      <c r="GN368" s="453"/>
      <c r="GO368" s="453"/>
      <c r="GP368" s="453"/>
      <c r="GQ368" s="453"/>
      <c r="GR368" s="453"/>
      <c r="GS368" s="561"/>
      <c r="GT368" s="475"/>
      <c r="GU368" s="472"/>
      <c r="GV368" s="453"/>
      <c r="GW368" s="453"/>
      <c r="GX368" s="869"/>
      <c r="GY368" s="870"/>
      <c r="GZ368" s="867"/>
      <c r="HA368" s="868"/>
      <c r="HB368" s="473"/>
      <c r="HC368" s="869"/>
      <c r="HD368" s="870"/>
      <c r="HE368" s="867"/>
      <c r="HF368" s="868"/>
      <c r="HG368" s="473"/>
      <c r="HH368" s="867"/>
      <c r="HI368" s="868"/>
      <c r="HJ368" s="867"/>
      <c r="HK368" s="868"/>
      <c r="HL368" s="370"/>
      <c r="HM368" s="865"/>
      <c r="HN368" s="866"/>
      <c r="HO368" s="865"/>
      <c r="HP368" s="866"/>
      <c r="HQ368" s="865"/>
      <c r="HR368" s="866"/>
      <c r="HS368" s="867"/>
      <c r="HT368" s="868"/>
      <c r="HU368" s="489"/>
      <c r="HV368" s="865"/>
      <c r="HW368" s="866"/>
    </row>
    <row r="369" spans="25:231" ht="15" customHeight="1">
      <c r="Y369" s="332"/>
      <c r="Z369" s="332"/>
      <c r="AA369" s="332"/>
      <c r="AB369" s="332"/>
      <c r="AC369" s="332"/>
      <c r="AD369" s="332"/>
      <c r="AE369" s="332"/>
      <c r="AF369" s="332"/>
      <c r="AG369" s="332"/>
      <c r="AH369" s="332"/>
      <c r="AI369" s="332"/>
      <c r="AJ369" s="332"/>
      <c r="AK369" s="332"/>
      <c r="AL369" s="332"/>
      <c r="AM369" s="332"/>
      <c r="AN369" s="332"/>
      <c r="AO369" s="332"/>
      <c r="AP369" s="332"/>
      <c r="AQ369" s="332"/>
      <c r="AR369" s="332"/>
      <c r="AS369" s="332"/>
      <c r="AT369" s="332"/>
      <c r="AU369" s="332"/>
      <c r="AV369" s="332"/>
      <c r="AW369" s="332"/>
      <c r="AX369" s="332"/>
      <c r="AY369" s="332"/>
      <c r="AZ369" s="332"/>
      <c r="BA369" s="332"/>
      <c r="BB369" s="332"/>
      <c r="BC369" s="332"/>
      <c r="BD369" s="332"/>
      <c r="BE369" s="332"/>
      <c r="BF369" s="332"/>
      <c r="BG369" s="332"/>
      <c r="BH369" s="332"/>
      <c r="BI369" s="332"/>
      <c r="BJ369" s="332"/>
      <c r="BK369" s="332"/>
      <c r="BL369" s="332"/>
      <c r="BM369" s="332"/>
      <c r="BN369" s="332"/>
      <c r="BO369" s="332"/>
      <c r="BP369" s="332"/>
      <c r="BQ369" s="332"/>
      <c r="BR369" s="332"/>
      <c r="BS369" s="332"/>
      <c r="BT369" s="332"/>
      <c r="BU369" s="332"/>
      <c r="BV369" s="332"/>
      <c r="BW369" s="332"/>
      <c r="BX369" s="332"/>
      <c r="BY369" s="332"/>
      <c r="BZ369" s="332"/>
      <c r="CA369" s="332"/>
      <c r="CB369" s="332"/>
      <c r="CC369" s="332"/>
      <c r="CD369" s="332"/>
      <c r="CE369" s="332"/>
      <c r="CF369" s="332"/>
      <c r="CG369" s="332"/>
      <c r="CH369" s="332"/>
      <c r="CI369" s="332"/>
      <c r="CJ369" s="332"/>
      <c r="CK369" s="332"/>
      <c r="CL369" s="332"/>
      <c r="CM369" s="332"/>
      <c r="CN369" s="332"/>
      <c r="CO369" s="332"/>
      <c r="CP369" s="332"/>
      <c r="CQ369" s="332"/>
      <c r="CR369" s="332"/>
      <c r="CS369" s="332"/>
      <c r="CT369" s="332"/>
      <c r="CU369" s="332"/>
      <c r="CV369" s="332"/>
      <c r="CW369" s="332"/>
      <c r="CX369" s="332"/>
      <c r="CY369" s="332"/>
      <c r="CZ369" s="332"/>
      <c r="DA369" s="332"/>
      <c r="DB369" s="332"/>
      <c r="DC369" s="332"/>
      <c r="DD369" s="332"/>
      <c r="DE369" s="332"/>
      <c r="DF369" s="332"/>
      <c r="DG369" s="332"/>
      <c r="DH369" s="332"/>
      <c r="DI369" s="332"/>
      <c r="DJ369" s="332"/>
      <c r="DK369" s="332"/>
      <c r="DL369" s="332"/>
      <c r="DM369" s="332"/>
      <c r="DN369" s="332"/>
      <c r="DO369" s="332"/>
      <c r="DP369" s="332"/>
      <c r="DQ369" s="332"/>
      <c r="DR369" s="332"/>
      <c r="DS369" s="332"/>
      <c r="DT369" s="332"/>
      <c r="DU369" s="453"/>
      <c r="DV369" s="453"/>
      <c r="DW369" s="453"/>
      <c r="DX369" s="453"/>
      <c r="DY369" s="453"/>
      <c r="DZ369" s="453"/>
      <c r="EA369" s="453"/>
      <c r="EB369" s="453"/>
      <c r="EC369" s="559">
        <f t="shared" si="209"/>
        <v>200</v>
      </c>
      <c r="ED369" s="889">
        <f t="shared" si="210"/>
        <v>0</v>
      </c>
      <c r="EE369" s="890"/>
      <c r="EF369" s="476">
        <v>0</v>
      </c>
      <c r="EG369" s="889">
        <f t="shared" si="211"/>
        <v>0</v>
      </c>
      <c r="EH369" s="890"/>
      <c r="EI369" s="480">
        <v>0</v>
      </c>
      <c r="EJ369" s="453"/>
      <c r="EK369" s="453"/>
      <c r="EL369" s="453"/>
      <c r="EM369" s="483">
        <f t="shared" si="205"/>
        <v>60</v>
      </c>
      <c r="EN369" s="485"/>
      <c r="EO369" s="804"/>
      <c r="EP369" s="805"/>
      <c r="EQ369" s="806"/>
      <c r="ER369" s="808"/>
      <c r="ES369" s="881">
        <f t="shared" si="206"/>
        <v>0</v>
      </c>
      <c r="ET369" s="882"/>
      <c r="EU369" s="883"/>
      <c r="EV369" s="884">
        <f t="shared" si="197"/>
        <v>0</v>
      </c>
      <c r="EW369" s="885"/>
      <c r="EX369" s="885"/>
      <c r="EY369" s="885"/>
      <c r="EZ369" s="885"/>
      <c r="FA369" s="885"/>
      <c r="FB369" s="885"/>
      <c r="FC369" s="885"/>
      <c r="FD369" s="886"/>
      <c r="FE369" s="878"/>
      <c r="FF369" s="878"/>
      <c r="FG369" s="878"/>
      <c r="FH369" s="878"/>
      <c r="FI369" s="878"/>
      <c r="FJ369" s="878"/>
      <c r="FK369" s="878"/>
      <c r="FL369" s="555"/>
      <c r="FM369" s="554"/>
      <c r="FN369" s="554"/>
      <c r="FO369" s="554"/>
      <c r="FP369" s="554"/>
      <c r="FQ369" s="554"/>
      <c r="FR369" s="554"/>
      <c r="FS369" s="554"/>
      <c r="FT369" s="554"/>
      <c r="FU369" s="554"/>
      <c r="FV369" s="554"/>
      <c r="FW369" s="554"/>
      <c r="FX369" s="554"/>
      <c r="FY369" s="554"/>
      <c r="FZ369" s="554"/>
      <c r="GA369" s="554"/>
      <c r="GB369" s="556"/>
      <c r="GC369" s="370"/>
      <c r="GD369" s="453"/>
      <c r="GE369" s="453"/>
      <c r="GF369" s="453"/>
      <c r="GG369" s="453"/>
      <c r="GH369" s="454"/>
      <c r="GI369" s="453"/>
      <c r="GJ369" s="453"/>
      <c r="GK369" s="453"/>
      <c r="GL369" s="453"/>
      <c r="GM369" s="453"/>
      <c r="GN369" s="453"/>
      <c r="GO369" s="453"/>
      <c r="GP369" s="453"/>
      <c r="GQ369" s="453"/>
      <c r="GR369" s="453"/>
      <c r="GS369" s="561"/>
      <c r="GT369" s="475"/>
      <c r="GU369" s="472"/>
      <c r="GV369" s="453"/>
      <c r="GW369" s="453"/>
      <c r="GX369" s="869"/>
      <c r="GY369" s="870"/>
      <c r="GZ369" s="867"/>
      <c r="HA369" s="868"/>
      <c r="HB369" s="473"/>
      <c r="HC369" s="869"/>
      <c r="HD369" s="870"/>
      <c r="HE369" s="867"/>
      <c r="HF369" s="868"/>
      <c r="HG369" s="473"/>
      <c r="HH369" s="867"/>
      <c r="HI369" s="868"/>
      <c r="HJ369" s="867"/>
      <c r="HK369" s="868"/>
      <c r="HL369" s="370"/>
      <c r="HM369" s="865"/>
      <c r="HN369" s="866"/>
      <c r="HO369" s="865"/>
      <c r="HP369" s="866"/>
      <c r="HQ369" s="865"/>
      <c r="HR369" s="866"/>
      <c r="HS369" s="867"/>
      <c r="HT369" s="868"/>
      <c r="HU369" s="489"/>
      <c r="HV369" s="865"/>
      <c r="HW369" s="866"/>
    </row>
    <row r="370" spans="25:231" ht="15" customHeight="1">
      <c r="Y370" s="332"/>
      <c r="Z370" s="332"/>
      <c r="AA370" s="332"/>
      <c r="AB370" s="332"/>
      <c r="AC370" s="332"/>
      <c r="AD370" s="332"/>
      <c r="AE370" s="332"/>
      <c r="AF370" s="332"/>
      <c r="AG370" s="332"/>
      <c r="AH370" s="332"/>
      <c r="AI370" s="332"/>
      <c r="AJ370" s="332"/>
      <c r="AK370" s="332"/>
      <c r="AL370" s="332"/>
      <c r="AM370" s="332"/>
      <c r="AN370" s="332"/>
      <c r="AO370" s="332"/>
      <c r="AP370" s="332"/>
      <c r="AQ370" s="332"/>
      <c r="AR370" s="332"/>
      <c r="AS370" s="332"/>
      <c r="AT370" s="332"/>
      <c r="AU370" s="332"/>
      <c r="AV370" s="332"/>
      <c r="AW370" s="332"/>
      <c r="AX370" s="332"/>
      <c r="AY370" s="332"/>
      <c r="AZ370" s="332"/>
      <c r="BA370" s="332"/>
      <c r="BB370" s="332"/>
      <c r="BC370" s="332"/>
      <c r="BD370" s="332"/>
      <c r="BE370" s="332"/>
      <c r="BF370" s="332"/>
      <c r="BG370" s="332"/>
      <c r="BH370" s="332"/>
      <c r="BI370" s="332"/>
      <c r="BJ370" s="332"/>
      <c r="BK370" s="332"/>
      <c r="BL370" s="332"/>
      <c r="BM370" s="332"/>
      <c r="BN370" s="332"/>
      <c r="BO370" s="332"/>
      <c r="BP370" s="332"/>
      <c r="BQ370" s="332"/>
      <c r="BR370" s="332"/>
      <c r="BS370" s="332"/>
      <c r="BT370" s="332"/>
      <c r="BU370" s="332"/>
      <c r="BV370" s="332"/>
      <c r="BW370" s="332"/>
      <c r="BX370" s="332"/>
      <c r="BY370" s="332"/>
      <c r="BZ370" s="332"/>
      <c r="CA370" s="332"/>
      <c r="CB370" s="332"/>
      <c r="CC370" s="332"/>
      <c r="CD370" s="332"/>
      <c r="CE370" s="332"/>
      <c r="CF370" s="332"/>
      <c r="CG370" s="332"/>
      <c r="CH370" s="332"/>
      <c r="CI370" s="332"/>
      <c r="CJ370" s="332"/>
      <c r="CK370" s="332"/>
      <c r="CL370" s="332"/>
      <c r="CM370" s="332"/>
      <c r="CN370" s="332"/>
      <c r="CO370" s="332"/>
      <c r="CP370" s="332"/>
      <c r="CQ370" s="332"/>
      <c r="CR370" s="332"/>
      <c r="CS370" s="332"/>
      <c r="CT370" s="332"/>
      <c r="CU370" s="332"/>
      <c r="CV370" s="332"/>
      <c r="CW370" s="332"/>
      <c r="CX370" s="332"/>
      <c r="CY370" s="332"/>
      <c r="CZ370" s="332"/>
      <c r="DA370" s="332"/>
      <c r="DB370" s="332"/>
      <c r="DC370" s="332"/>
      <c r="DD370" s="332"/>
      <c r="DE370" s="332"/>
      <c r="DF370" s="332"/>
      <c r="DG370" s="332"/>
      <c r="DH370" s="332"/>
      <c r="DI370" s="332"/>
      <c r="DJ370" s="332"/>
      <c r="DK370" s="332"/>
      <c r="DL370" s="332"/>
      <c r="DM370" s="332"/>
      <c r="DN370" s="332"/>
      <c r="DO370" s="332"/>
      <c r="DP370" s="332"/>
      <c r="DQ370" s="332"/>
      <c r="DR370" s="332"/>
      <c r="DS370" s="332"/>
      <c r="DT370" s="332"/>
      <c r="DU370" s="453"/>
      <c r="DV370" s="453"/>
      <c r="DW370" s="453"/>
      <c r="DX370" s="453"/>
      <c r="DY370" s="453"/>
      <c r="DZ370" s="453"/>
      <c r="EA370" s="453"/>
      <c r="EB370" s="453"/>
      <c r="EC370" s="559">
        <f t="shared" si="209"/>
        <v>210</v>
      </c>
      <c r="ED370" s="889">
        <f t="shared" si="210"/>
        <v>-50</v>
      </c>
      <c r="EE370" s="890"/>
      <c r="EF370" s="476">
        <v>0</v>
      </c>
      <c r="EG370" s="889">
        <f t="shared" si="211"/>
        <v>0</v>
      </c>
      <c r="EH370" s="890"/>
      <c r="EI370" s="480">
        <v>0</v>
      </c>
      <c r="EJ370" s="453"/>
      <c r="EK370" s="453"/>
      <c r="EL370" s="453"/>
      <c r="EM370" s="483">
        <f t="shared" si="205"/>
        <v>61</v>
      </c>
      <c r="EN370" s="485"/>
      <c r="EO370" s="804"/>
      <c r="EP370" s="805"/>
      <c r="EQ370" s="806"/>
      <c r="ER370" s="808"/>
      <c r="ES370" s="881">
        <f t="shared" si="206"/>
        <v>0</v>
      </c>
      <c r="ET370" s="882"/>
      <c r="EU370" s="883"/>
      <c r="EV370" s="884">
        <f t="shared" si="197"/>
        <v>0</v>
      </c>
      <c r="EW370" s="885"/>
      <c r="EX370" s="885"/>
      <c r="EY370" s="885"/>
      <c r="EZ370" s="885"/>
      <c r="FA370" s="885"/>
      <c r="FB370" s="885"/>
      <c r="FC370" s="885"/>
      <c r="FD370" s="886"/>
      <c r="FE370" s="878"/>
      <c r="FF370" s="878"/>
      <c r="FG370" s="878"/>
      <c r="FH370" s="878"/>
      <c r="FI370" s="878"/>
      <c r="FJ370" s="878"/>
      <c r="FK370" s="878"/>
      <c r="FL370" s="555"/>
      <c r="FM370" s="554"/>
      <c r="FN370" s="554"/>
      <c r="FO370" s="554"/>
      <c r="FP370" s="554"/>
      <c r="FQ370" s="554"/>
      <c r="FR370" s="554"/>
      <c r="FS370" s="554"/>
      <c r="FT370" s="554"/>
      <c r="FU370" s="554"/>
      <c r="FV370" s="554"/>
      <c r="FW370" s="554"/>
      <c r="FX370" s="554"/>
      <c r="FY370" s="554"/>
      <c r="FZ370" s="554"/>
      <c r="GA370" s="554"/>
      <c r="GB370" s="556"/>
      <c r="GC370" s="370"/>
      <c r="GD370" s="453"/>
      <c r="GE370" s="453"/>
      <c r="GF370" s="453"/>
      <c r="GG370" s="453"/>
      <c r="GH370" s="454"/>
      <c r="GI370" s="453"/>
      <c r="GJ370" s="453"/>
      <c r="GK370" s="453"/>
      <c r="GL370" s="453"/>
      <c r="GM370" s="453"/>
      <c r="GN370" s="453"/>
      <c r="GO370" s="453"/>
      <c r="GP370" s="453"/>
      <c r="GQ370" s="453"/>
      <c r="GR370" s="453"/>
      <c r="GS370" s="561"/>
      <c r="GT370" s="475"/>
      <c r="GU370" s="472"/>
      <c r="GV370" s="453"/>
      <c r="GW370" s="453"/>
      <c r="GX370" s="869"/>
      <c r="GY370" s="870"/>
      <c r="GZ370" s="867"/>
      <c r="HA370" s="868"/>
      <c r="HB370" s="473"/>
      <c r="HC370" s="869"/>
      <c r="HD370" s="870"/>
      <c r="HE370" s="867"/>
      <c r="HF370" s="868"/>
      <c r="HG370" s="473"/>
      <c r="HH370" s="867"/>
      <c r="HI370" s="868"/>
      <c r="HJ370" s="867"/>
      <c r="HK370" s="868"/>
      <c r="HL370" s="370"/>
      <c r="HM370" s="865"/>
      <c r="HN370" s="866"/>
      <c r="HO370" s="865"/>
      <c r="HP370" s="866"/>
      <c r="HQ370" s="865"/>
      <c r="HR370" s="866"/>
      <c r="HS370" s="867"/>
      <c r="HT370" s="868"/>
      <c r="HU370" s="489"/>
      <c r="HV370" s="865"/>
      <c r="HW370" s="866"/>
    </row>
    <row r="371" spans="25:231" ht="15" customHeight="1">
      <c r="Y371" s="332"/>
      <c r="Z371" s="332"/>
      <c r="AA371" s="332"/>
      <c r="AB371" s="332"/>
      <c r="AC371" s="332"/>
      <c r="AD371" s="332"/>
      <c r="AE371" s="332"/>
      <c r="AF371" s="332"/>
      <c r="AG371" s="332"/>
      <c r="AH371" s="332"/>
      <c r="AI371" s="332"/>
      <c r="AJ371" s="332"/>
      <c r="AK371" s="332"/>
      <c r="AL371" s="332"/>
      <c r="AM371" s="332"/>
      <c r="AN371" s="332"/>
      <c r="AO371" s="332"/>
      <c r="AP371" s="332"/>
      <c r="AQ371" s="332"/>
      <c r="AR371" s="332"/>
      <c r="AS371" s="332"/>
      <c r="AT371" s="332"/>
      <c r="AU371" s="332"/>
      <c r="AV371" s="332"/>
      <c r="AW371" s="332"/>
      <c r="AX371" s="332"/>
      <c r="AY371" s="332"/>
      <c r="AZ371" s="332"/>
      <c r="BA371" s="332"/>
      <c r="BB371" s="332"/>
      <c r="BC371" s="332"/>
      <c r="BD371" s="332"/>
      <c r="BE371" s="332"/>
      <c r="BF371" s="332"/>
      <c r="BG371" s="332"/>
      <c r="BH371" s="332"/>
      <c r="BI371" s="332"/>
      <c r="BJ371" s="332"/>
      <c r="BK371" s="332"/>
      <c r="BL371" s="332"/>
      <c r="BM371" s="332"/>
      <c r="BN371" s="332"/>
      <c r="BO371" s="332"/>
      <c r="BP371" s="332"/>
      <c r="BQ371" s="332"/>
      <c r="BR371" s="332"/>
      <c r="BS371" s="332"/>
      <c r="BT371" s="332"/>
      <c r="BU371" s="332"/>
      <c r="BV371" s="332"/>
      <c r="BW371" s="332"/>
      <c r="BX371" s="332"/>
      <c r="BY371" s="332"/>
      <c r="BZ371" s="332"/>
      <c r="CA371" s="332"/>
      <c r="CB371" s="332"/>
      <c r="CC371" s="332"/>
      <c r="CD371" s="332"/>
      <c r="CE371" s="332"/>
      <c r="CF371" s="332"/>
      <c r="CG371" s="332"/>
      <c r="CH371" s="332"/>
      <c r="CI371" s="332"/>
      <c r="CJ371" s="332"/>
      <c r="CK371" s="332"/>
      <c r="CL371" s="332"/>
      <c r="CM371" s="332"/>
      <c r="CN371" s="332"/>
      <c r="CO371" s="332"/>
      <c r="CP371" s="332"/>
      <c r="CQ371" s="332"/>
      <c r="CR371" s="332"/>
      <c r="CS371" s="332"/>
      <c r="CT371" s="332"/>
      <c r="CU371" s="332"/>
      <c r="CV371" s="332"/>
      <c r="CW371" s="332"/>
      <c r="CX371" s="332"/>
      <c r="CY371" s="332"/>
      <c r="CZ371" s="332"/>
      <c r="DA371" s="332"/>
      <c r="DB371" s="332"/>
      <c r="DC371" s="332"/>
      <c r="DD371" s="332"/>
      <c r="DE371" s="332"/>
      <c r="DF371" s="332"/>
      <c r="DG371" s="332"/>
      <c r="DH371" s="332"/>
      <c r="DI371" s="332"/>
      <c r="DJ371" s="332"/>
      <c r="DK371" s="332"/>
      <c r="DL371" s="332"/>
      <c r="DM371" s="332"/>
      <c r="DN371" s="332"/>
      <c r="DO371" s="332"/>
      <c r="DP371" s="332"/>
      <c r="DQ371" s="332"/>
      <c r="DR371" s="332"/>
      <c r="DS371" s="332"/>
      <c r="DT371" s="332"/>
      <c r="DU371" s="453"/>
      <c r="DV371" s="453"/>
      <c r="DW371" s="453"/>
      <c r="DX371" s="453"/>
      <c r="DY371" s="453"/>
      <c r="DZ371" s="453"/>
      <c r="EA371" s="453"/>
      <c r="EB371" s="453"/>
      <c r="EC371" s="559">
        <f t="shared" si="209"/>
        <v>220</v>
      </c>
      <c r="ED371" s="889">
        <f t="shared" si="210"/>
        <v>0</v>
      </c>
      <c r="EE371" s="890"/>
      <c r="EF371" s="476">
        <v>0</v>
      </c>
      <c r="EG371" s="889">
        <f t="shared" si="211"/>
        <v>0</v>
      </c>
      <c r="EH371" s="890"/>
      <c r="EI371" s="480">
        <v>0</v>
      </c>
      <c r="EJ371" s="453"/>
      <c r="EK371" s="453"/>
      <c r="EL371" s="453"/>
      <c r="EM371" s="483">
        <f t="shared" si="205"/>
        <v>62</v>
      </c>
      <c r="EN371" s="485"/>
      <c r="EO371" s="804"/>
      <c r="EP371" s="805"/>
      <c r="EQ371" s="806"/>
      <c r="ER371" s="808"/>
      <c r="ES371" s="881">
        <f t="shared" si="206"/>
        <v>0</v>
      </c>
      <c r="ET371" s="882"/>
      <c r="EU371" s="883"/>
      <c r="EV371" s="884">
        <f t="shared" si="197"/>
        <v>0</v>
      </c>
      <c r="EW371" s="885"/>
      <c r="EX371" s="885"/>
      <c r="EY371" s="885"/>
      <c r="EZ371" s="885"/>
      <c r="FA371" s="885"/>
      <c r="FB371" s="885"/>
      <c r="FC371" s="885"/>
      <c r="FD371" s="886"/>
      <c r="FE371" s="878"/>
      <c r="FF371" s="878"/>
      <c r="FG371" s="878"/>
      <c r="FH371" s="878"/>
      <c r="FI371" s="878"/>
      <c r="FJ371" s="878"/>
      <c r="FK371" s="878"/>
      <c r="FL371" s="555"/>
      <c r="FM371" s="554"/>
      <c r="FN371" s="554"/>
      <c r="FO371" s="554"/>
      <c r="FP371" s="554"/>
      <c r="FQ371" s="554"/>
      <c r="FR371" s="554"/>
      <c r="FS371" s="554"/>
      <c r="FT371" s="554"/>
      <c r="FU371" s="554"/>
      <c r="FV371" s="554"/>
      <c r="FW371" s="554"/>
      <c r="FX371" s="554"/>
      <c r="FY371" s="554"/>
      <c r="FZ371" s="554"/>
      <c r="GA371" s="554"/>
      <c r="GB371" s="556"/>
      <c r="GC371" s="370"/>
      <c r="GD371" s="453"/>
      <c r="GE371" s="453"/>
      <c r="GF371" s="453"/>
      <c r="GG371" s="453"/>
      <c r="GH371" s="454"/>
      <c r="GI371" s="453"/>
      <c r="GJ371" s="453"/>
      <c r="GK371" s="453"/>
      <c r="GL371" s="453"/>
      <c r="GM371" s="453"/>
      <c r="GN371" s="453"/>
      <c r="GO371" s="453"/>
      <c r="GP371" s="453"/>
      <c r="GQ371" s="453"/>
      <c r="GR371" s="453"/>
      <c r="GS371" s="561"/>
      <c r="GT371" s="475"/>
      <c r="GU371" s="472"/>
      <c r="GV371" s="453"/>
      <c r="GW371" s="453"/>
      <c r="GX371" s="869"/>
      <c r="GY371" s="870"/>
      <c r="GZ371" s="867"/>
      <c r="HA371" s="868"/>
      <c r="HB371" s="473"/>
      <c r="HC371" s="869"/>
      <c r="HD371" s="870"/>
      <c r="HE371" s="867"/>
      <c r="HF371" s="868"/>
      <c r="HG371" s="473"/>
      <c r="HH371" s="867"/>
      <c r="HI371" s="868"/>
      <c r="HJ371" s="867"/>
      <c r="HK371" s="868"/>
      <c r="HL371" s="370"/>
      <c r="HM371" s="865"/>
      <c r="HN371" s="866"/>
      <c r="HO371" s="865"/>
      <c r="HP371" s="866"/>
      <c r="HQ371" s="865"/>
      <c r="HR371" s="866"/>
      <c r="HS371" s="867"/>
      <c r="HT371" s="868"/>
      <c r="HU371" s="489"/>
      <c r="HV371" s="865"/>
      <c r="HW371" s="866"/>
    </row>
    <row r="372" spans="25:231" ht="15" customHeight="1">
      <c r="Y372" s="332"/>
      <c r="Z372" s="332"/>
      <c r="AA372" s="332"/>
      <c r="AB372" s="332"/>
      <c r="AC372" s="332"/>
      <c r="AD372" s="332"/>
      <c r="AE372" s="332"/>
      <c r="AF372" s="332"/>
      <c r="AG372" s="332"/>
      <c r="AH372" s="332"/>
      <c r="AI372" s="332"/>
      <c r="AJ372" s="332"/>
      <c r="AK372" s="332"/>
      <c r="AL372" s="332"/>
      <c r="AM372" s="332"/>
      <c r="AN372" s="332"/>
      <c r="AO372" s="332"/>
      <c r="AP372" s="332"/>
      <c r="AQ372" s="332"/>
      <c r="AR372" s="332"/>
      <c r="AS372" s="332"/>
      <c r="AT372" s="332"/>
      <c r="AU372" s="332"/>
      <c r="AV372" s="332"/>
      <c r="AW372" s="332"/>
      <c r="AX372" s="332"/>
      <c r="AY372" s="332"/>
      <c r="AZ372" s="332"/>
      <c r="BA372" s="332"/>
      <c r="BB372" s="332"/>
      <c r="BC372" s="332"/>
      <c r="BD372" s="332"/>
      <c r="BE372" s="332"/>
      <c r="BF372" s="332"/>
      <c r="BG372" s="332"/>
      <c r="BH372" s="332"/>
      <c r="BI372" s="332"/>
      <c r="BJ372" s="332"/>
      <c r="BK372" s="332"/>
      <c r="BL372" s="332"/>
      <c r="BM372" s="332"/>
      <c r="BN372" s="332"/>
      <c r="BO372" s="332"/>
      <c r="BP372" s="332"/>
      <c r="BQ372" s="332"/>
      <c r="BR372" s="332"/>
      <c r="BS372" s="332"/>
      <c r="BT372" s="332"/>
      <c r="BU372" s="332"/>
      <c r="BV372" s="332"/>
      <c r="BW372" s="332"/>
      <c r="BX372" s="332"/>
      <c r="BY372" s="332"/>
      <c r="BZ372" s="332"/>
      <c r="CA372" s="332"/>
      <c r="CB372" s="332"/>
      <c r="CC372" s="332"/>
      <c r="CD372" s="332"/>
      <c r="CE372" s="332"/>
      <c r="CF372" s="332"/>
      <c r="CG372" s="332"/>
      <c r="CH372" s="332"/>
      <c r="CI372" s="332"/>
      <c r="CJ372" s="332"/>
      <c r="CK372" s="332"/>
      <c r="CL372" s="332"/>
      <c r="CM372" s="332"/>
      <c r="CN372" s="332"/>
      <c r="CO372" s="332"/>
      <c r="CP372" s="332"/>
      <c r="CQ372" s="332"/>
      <c r="CR372" s="332"/>
      <c r="CS372" s="332"/>
      <c r="CT372" s="332"/>
      <c r="CU372" s="332"/>
      <c r="CV372" s="332"/>
      <c r="CW372" s="332"/>
      <c r="CX372" s="332"/>
      <c r="CY372" s="332"/>
      <c r="CZ372" s="332"/>
      <c r="DA372" s="332"/>
      <c r="DB372" s="332"/>
      <c r="DC372" s="332"/>
      <c r="DD372" s="332"/>
      <c r="DE372" s="332"/>
      <c r="DF372" s="332"/>
      <c r="DG372" s="332"/>
      <c r="DH372" s="332"/>
      <c r="DI372" s="332"/>
      <c r="DJ372" s="332"/>
      <c r="DK372" s="332"/>
      <c r="DL372" s="332"/>
      <c r="DM372" s="332"/>
      <c r="DN372" s="332"/>
      <c r="DO372" s="332"/>
      <c r="DP372" s="332"/>
      <c r="DQ372" s="332"/>
      <c r="DR372" s="332"/>
      <c r="DS372" s="332"/>
      <c r="DT372" s="332"/>
      <c r="DU372" s="453"/>
      <c r="DV372" s="453"/>
      <c r="DW372" s="453"/>
      <c r="DX372" s="453"/>
      <c r="DY372" s="453"/>
      <c r="DZ372" s="453"/>
      <c r="EA372" s="453"/>
      <c r="EB372" s="453"/>
      <c r="EC372" s="559">
        <f t="shared" si="209"/>
        <v>230</v>
      </c>
      <c r="ED372" s="889">
        <f t="shared" si="210"/>
        <v>0</v>
      </c>
      <c r="EE372" s="890"/>
      <c r="EF372" s="476">
        <v>0</v>
      </c>
      <c r="EG372" s="889">
        <f t="shared" si="211"/>
        <v>0</v>
      </c>
      <c r="EH372" s="890"/>
      <c r="EI372" s="480">
        <v>0</v>
      </c>
      <c r="EJ372" s="453"/>
      <c r="EK372" s="453"/>
      <c r="EL372" s="453"/>
      <c r="EM372" s="483">
        <f t="shared" si="205"/>
        <v>63</v>
      </c>
      <c r="EN372" s="485"/>
      <c r="EO372" s="804"/>
      <c r="EP372" s="805"/>
      <c r="EQ372" s="806"/>
      <c r="ER372" s="808"/>
      <c r="ES372" s="881">
        <f t="shared" si="206"/>
        <v>0</v>
      </c>
      <c r="ET372" s="882"/>
      <c r="EU372" s="883"/>
      <c r="EV372" s="884">
        <f t="shared" si="197"/>
        <v>0</v>
      </c>
      <c r="EW372" s="885"/>
      <c r="EX372" s="885"/>
      <c r="EY372" s="885"/>
      <c r="EZ372" s="885"/>
      <c r="FA372" s="885"/>
      <c r="FB372" s="885"/>
      <c r="FC372" s="885"/>
      <c r="FD372" s="886"/>
      <c r="FE372" s="878"/>
      <c r="FF372" s="878"/>
      <c r="FG372" s="878"/>
      <c r="FH372" s="878"/>
      <c r="FI372" s="878"/>
      <c r="FJ372" s="878"/>
      <c r="FK372" s="878"/>
      <c r="FL372" s="555"/>
      <c r="FM372" s="554"/>
      <c r="FN372" s="554"/>
      <c r="FO372" s="554"/>
      <c r="FP372" s="554"/>
      <c r="FQ372" s="554"/>
      <c r="FR372" s="554"/>
      <c r="FS372" s="554"/>
      <c r="FT372" s="554"/>
      <c r="FU372" s="554"/>
      <c r="FV372" s="554"/>
      <c r="FW372" s="554"/>
      <c r="FX372" s="554"/>
      <c r="FY372" s="554"/>
      <c r="FZ372" s="554"/>
      <c r="GA372" s="554"/>
      <c r="GB372" s="556"/>
      <c r="GC372" s="370"/>
      <c r="GD372" s="453"/>
      <c r="GE372" s="453"/>
      <c r="GF372" s="453"/>
      <c r="GG372" s="453"/>
      <c r="GH372" s="454"/>
      <c r="GI372" s="453"/>
      <c r="GJ372" s="453"/>
      <c r="GK372" s="453"/>
      <c r="GL372" s="453"/>
      <c r="GM372" s="453"/>
      <c r="GN372" s="453"/>
      <c r="GO372" s="453"/>
      <c r="GP372" s="453"/>
      <c r="GQ372" s="453"/>
      <c r="GR372" s="453"/>
      <c r="GS372" s="561"/>
      <c r="GT372" s="475"/>
      <c r="GU372" s="472"/>
      <c r="GV372" s="453"/>
      <c r="GW372" s="453"/>
      <c r="GX372" s="869"/>
      <c r="GY372" s="870"/>
      <c r="GZ372" s="867"/>
      <c r="HA372" s="868"/>
      <c r="HB372" s="473"/>
      <c r="HC372" s="869"/>
      <c r="HD372" s="870"/>
      <c r="HE372" s="867"/>
      <c r="HF372" s="868"/>
      <c r="HG372" s="473"/>
      <c r="HH372" s="867"/>
      <c r="HI372" s="868"/>
      <c r="HJ372" s="867"/>
      <c r="HK372" s="868"/>
      <c r="HL372" s="370"/>
      <c r="HM372" s="865"/>
      <c r="HN372" s="866"/>
      <c r="HO372" s="865"/>
      <c r="HP372" s="866"/>
      <c r="HQ372" s="865"/>
      <c r="HR372" s="866"/>
      <c r="HS372" s="867"/>
      <c r="HT372" s="868"/>
      <c r="HU372" s="489"/>
      <c r="HV372" s="865"/>
      <c r="HW372" s="866"/>
    </row>
    <row r="373" spans="25:231" ht="15" customHeight="1">
      <c r="Y373" s="332"/>
      <c r="Z373" s="332"/>
      <c r="AA373" s="332"/>
      <c r="AB373" s="332"/>
      <c r="AC373" s="332"/>
      <c r="AD373" s="332"/>
      <c r="AE373" s="332"/>
      <c r="AF373" s="332"/>
      <c r="AG373" s="332"/>
      <c r="AH373" s="332"/>
      <c r="AI373" s="332"/>
      <c r="AJ373" s="332"/>
      <c r="AK373" s="332"/>
      <c r="AL373" s="332"/>
      <c r="AM373" s="332"/>
      <c r="AN373" s="332"/>
      <c r="AO373" s="332"/>
      <c r="AP373" s="332"/>
      <c r="AQ373" s="332"/>
      <c r="AR373" s="332"/>
      <c r="AS373" s="332"/>
      <c r="AT373" s="332"/>
      <c r="AU373" s="332"/>
      <c r="AV373" s="332"/>
      <c r="AW373" s="332"/>
      <c r="AX373" s="332"/>
      <c r="AY373" s="332"/>
      <c r="AZ373" s="332"/>
      <c r="BA373" s="332"/>
      <c r="BB373" s="332"/>
      <c r="BC373" s="332"/>
      <c r="BD373" s="332"/>
      <c r="BE373" s="332"/>
      <c r="BF373" s="332"/>
      <c r="BG373" s="332"/>
      <c r="BH373" s="332"/>
      <c r="BI373" s="332"/>
      <c r="BJ373" s="332"/>
      <c r="BK373" s="332"/>
      <c r="BL373" s="332"/>
      <c r="BM373" s="332"/>
      <c r="BN373" s="332"/>
      <c r="BO373" s="332"/>
      <c r="BP373" s="332"/>
      <c r="BQ373" s="332"/>
      <c r="BR373" s="332"/>
      <c r="BS373" s="332"/>
      <c r="BT373" s="332"/>
      <c r="BU373" s="332"/>
      <c r="BV373" s="332"/>
      <c r="BW373" s="332"/>
      <c r="BX373" s="332"/>
      <c r="BY373" s="332"/>
      <c r="BZ373" s="332"/>
      <c r="CA373" s="332"/>
      <c r="CB373" s="332"/>
      <c r="CC373" s="332"/>
      <c r="CD373" s="332"/>
      <c r="CE373" s="332"/>
      <c r="CF373" s="332"/>
      <c r="CG373" s="332"/>
      <c r="CH373" s="332"/>
      <c r="CI373" s="332"/>
      <c r="CJ373" s="332"/>
      <c r="CK373" s="332"/>
      <c r="CL373" s="332"/>
      <c r="CM373" s="332"/>
      <c r="CN373" s="332"/>
      <c r="CO373" s="332"/>
      <c r="CP373" s="332"/>
      <c r="CQ373" s="332"/>
      <c r="CR373" s="332"/>
      <c r="CS373" s="332"/>
      <c r="CT373" s="332"/>
      <c r="CU373" s="332"/>
      <c r="CV373" s="332"/>
      <c r="CW373" s="332"/>
      <c r="CX373" s="332"/>
      <c r="CY373" s="332"/>
      <c r="CZ373" s="332"/>
      <c r="DA373" s="332"/>
      <c r="DB373" s="332"/>
      <c r="DC373" s="332"/>
      <c r="DD373" s="332"/>
      <c r="DE373" s="332"/>
      <c r="DF373" s="332"/>
      <c r="DG373" s="332"/>
      <c r="DH373" s="332"/>
      <c r="DI373" s="332"/>
      <c r="DJ373" s="332"/>
      <c r="DK373" s="332"/>
      <c r="DL373" s="332"/>
      <c r="DM373" s="332"/>
      <c r="DN373" s="332"/>
      <c r="DO373" s="332"/>
      <c r="DP373" s="332"/>
      <c r="DQ373" s="332"/>
      <c r="DR373" s="332"/>
      <c r="DS373" s="332"/>
      <c r="DT373" s="332"/>
      <c r="DU373" s="453"/>
      <c r="DV373" s="453"/>
      <c r="DW373" s="453"/>
      <c r="DX373" s="453"/>
      <c r="DY373" s="453"/>
      <c r="DZ373" s="453"/>
      <c r="EA373" s="453"/>
      <c r="EB373" s="453"/>
      <c r="EC373" s="559">
        <f t="shared" si="209"/>
        <v>240</v>
      </c>
      <c r="ED373" s="889">
        <f t="shared" si="210"/>
        <v>0</v>
      </c>
      <c r="EE373" s="890"/>
      <c r="EF373" s="476">
        <v>0</v>
      </c>
      <c r="EG373" s="889">
        <f t="shared" si="211"/>
        <v>0</v>
      </c>
      <c r="EH373" s="890"/>
      <c r="EI373" s="480">
        <v>0</v>
      </c>
      <c r="EJ373" s="453"/>
      <c r="EK373" s="453"/>
      <c r="EL373" s="453"/>
      <c r="EM373" s="483">
        <f t="shared" si="205"/>
        <v>64</v>
      </c>
      <c r="EN373" s="485"/>
      <c r="EO373" s="804"/>
      <c r="EP373" s="805"/>
      <c r="EQ373" s="806"/>
      <c r="ER373" s="808"/>
      <c r="ES373" s="881">
        <f t="shared" si="206"/>
        <v>0</v>
      </c>
      <c r="ET373" s="882"/>
      <c r="EU373" s="883"/>
      <c r="EV373" s="884">
        <f t="shared" si="197"/>
        <v>0</v>
      </c>
      <c r="EW373" s="885"/>
      <c r="EX373" s="885"/>
      <c r="EY373" s="885"/>
      <c r="EZ373" s="885"/>
      <c r="FA373" s="885"/>
      <c r="FB373" s="885"/>
      <c r="FC373" s="885"/>
      <c r="FD373" s="886"/>
      <c r="FE373" s="878"/>
      <c r="FF373" s="878"/>
      <c r="FG373" s="878"/>
      <c r="FH373" s="878"/>
      <c r="FI373" s="878"/>
      <c r="FJ373" s="878"/>
      <c r="FK373" s="878"/>
      <c r="FL373" s="555"/>
      <c r="FM373" s="554"/>
      <c r="FN373" s="554"/>
      <c r="FO373" s="554"/>
      <c r="FP373" s="554"/>
      <c r="FQ373" s="554"/>
      <c r="FR373" s="554"/>
      <c r="FS373" s="554"/>
      <c r="FT373" s="554"/>
      <c r="FU373" s="554"/>
      <c r="FV373" s="554"/>
      <c r="FW373" s="554"/>
      <c r="FX373" s="554"/>
      <c r="FY373" s="554"/>
      <c r="FZ373" s="554"/>
      <c r="GA373" s="554"/>
      <c r="GB373" s="556"/>
      <c r="GC373" s="370"/>
      <c r="GD373" s="453"/>
      <c r="GE373" s="453"/>
      <c r="GF373" s="453"/>
      <c r="GG373" s="453"/>
      <c r="GH373" s="454"/>
      <c r="GI373" s="453"/>
      <c r="GJ373" s="453"/>
      <c r="GK373" s="453"/>
      <c r="GL373" s="453"/>
      <c r="GM373" s="453"/>
      <c r="GN373" s="453"/>
      <c r="GO373" s="453"/>
      <c r="GP373" s="453"/>
      <c r="GQ373" s="453"/>
      <c r="GR373" s="453"/>
      <c r="GS373" s="561"/>
      <c r="GT373" s="475"/>
      <c r="GU373" s="472"/>
      <c r="GV373" s="453"/>
      <c r="GW373" s="453"/>
      <c r="GX373" s="869"/>
      <c r="GY373" s="870"/>
      <c r="GZ373" s="867"/>
      <c r="HA373" s="868"/>
      <c r="HB373" s="473"/>
      <c r="HC373" s="869"/>
      <c r="HD373" s="870"/>
      <c r="HE373" s="867"/>
      <c r="HF373" s="868"/>
      <c r="HG373" s="473"/>
      <c r="HH373" s="867"/>
      <c r="HI373" s="868"/>
      <c r="HJ373" s="867"/>
      <c r="HK373" s="868"/>
      <c r="HL373" s="370"/>
      <c r="HM373" s="865"/>
      <c r="HN373" s="866"/>
      <c r="HO373" s="865"/>
      <c r="HP373" s="866"/>
      <c r="HQ373" s="865"/>
      <c r="HR373" s="866"/>
      <c r="HS373" s="867"/>
      <c r="HT373" s="868"/>
      <c r="HU373" s="489"/>
      <c r="HV373" s="865"/>
      <c r="HW373" s="866"/>
    </row>
    <row r="374" spans="25:231" ht="15" customHeight="1">
      <c r="Y374" s="332"/>
      <c r="Z374" s="332"/>
      <c r="AA374" s="332"/>
      <c r="AB374" s="332"/>
      <c r="AC374" s="332"/>
      <c r="AD374" s="332"/>
      <c r="AE374" s="332"/>
      <c r="AF374" s="332"/>
      <c r="AG374" s="332"/>
      <c r="AH374" s="332"/>
      <c r="AI374" s="332"/>
      <c r="AJ374" s="332"/>
      <c r="AK374" s="332"/>
      <c r="AL374" s="332"/>
      <c r="AM374" s="332"/>
      <c r="AN374" s="332"/>
      <c r="AO374" s="332"/>
      <c r="AP374" s="332"/>
      <c r="AQ374" s="332"/>
      <c r="AR374" s="332"/>
      <c r="AS374" s="332"/>
      <c r="AT374" s="332"/>
      <c r="AU374" s="332"/>
      <c r="AV374" s="332"/>
      <c r="AW374" s="332"/>
      <c r="AX374" s="332"/>
      <c r="AY374" s="332"/>
      <c r="AZ374" s="332"/>
      <c r="BA374" s="332"/>
      <c r="BB374" s="332"/>
      <c r="BC374" s="332"/>
      <c r="BD374" s="332"/>
      <c r="BE374" s="332"/>
      <c r="BF374" s="332"/>
      <c r="BG374" s="332"/>
      <c r="BH374" s="332"/>
      <c r="BI374" s="332"/>
      <c r="BJ374" s="332"/>
      <c r="BK374" s="332"/>
      <c r="BL374" s="332"/>
      <c r="BM374" s="332"/>
      <c r="BN374" s="332"/>
      <c r="BO374" s="332"/>
      <c r="BP374" s="332"/>
      <c r="BQ374" s="332"/>
      <c r="BR374" s="332"/>
      <c r="BS374" s="332"/>
      <c r="BT374" s="332"/>
      <c r="BU374" s="332"/>
      <c r="BV374" s="332"/>
      <c r="BW374" s="332"/>
      <c r="BX374" s="332"/>
      <c r="BY374" s="332"/>
      <c r="BZ374" s="332"/>
      <c r="CA374" s="332"/>
      <c r="CB374" s="332"/>
      <c r="CC374" s="332"/>
      <c r="CD374" s="332"/>
      <c r="CE374" s="332"/>
      <c r="CF374" s="332"/>
      <c r="CG374" s="332"/>
      <c r="CH374" s="332"/>
      <c r="CI374" s="332"/>
      <c r="CJ374" s="332"/>
      <c r="CK374" s="332"/>
      <c r="CL374" s="332"/>
      <c r="CM374" s="332"/>
      <c r="CN374" s="332"/>
      <c r="CO374" s="332"/>
      <c r="CP374" s="332"/>
      <c r="CQ374" s="332"/>
      <c r="CR374" s="332"/>
      <c r="CS374" s="332"/>
      <c r="CT374" s="332"/>
      <c r="CU374" s="332"/>
      <c r="CV374" s="332"/>
      <c r="CW374" s="332"/>
      <c r="CX374" s="332"/>
      <c r="CY374" s="332"/>
      <c r="CZ374" s="332"/>
      <c r="DA374" s="332"/>
      <c r="DB374" s="332"/>
      <c r="DC374" s="332"/>
      <c r="DD374" s="332"/>
      <c r="DE374" s="332"/>
      <c r="DF374" s="332"/>
      <c r="DG374" s="332"/>
      <c r="DH374" s="332"/>
      <c r="DI374" s="332"/>
      <c r="DJ374" s="332"/>
      <c r="DK374" s="332"/>
      <c r="DL374" s="332"/>
      <c r="DM374" s="332"/>
      <c r="DN374" s="332"/>
      <c r="DO374" s="332"/>
      <c r="DP374" s="332"/>
      <c r="DQ374" s="332"/>
      <c r="DR374" s="332"/>
      <c r="DS374" s="332"/>
      <c r="DT374" s="332"/>
      <c r="DU374" s="453"/>
      <c r="DV374" s="453"/>
      <c r="DW374" s="453"/>
      <c r="DX374" s="453"/>
      <c r="DY374" s="453"/>
      <c r="DZ374" s="453"/>
      <c r="EA374" s="453"/>
      <c r="EB374" s="453"/>
      <c r="EC374" s="559">
        <f t="shared" si="209"/>
        <v>250</v>
      </c>
      <c r="ED374" s="889">
        <f t="shared" si="210"/>
        <v>-25</v>
      </c>
      <c r="EE374" s="890"/>
      <c r="EF374" s="476">
        <v>0</v>
      </c>
      <c r="EG374" s="889">
        <f t="shared" si="211"/>
        <v>0</v>
      </c>
      <c r="EH374" s="890"/>
      <c r="EI374" s="480">
        <v>0</v>
      </c>
      <c r="EJ374" s="453"/>
      <c r="EK374" s="453"/>
      <c r="EL374" s="453"/>
      <c r="EM374" s="483">
        <f t="shared" si="205"/>
        <v>65</v>
      </c>
      <c r="EN374" s="485"/>
      <c r="EO374" s="804"/>
      <c r="EP374" s="805"/>
      <c r="EQ374" s="806"/>
      <c r="ER374" s="808"/>
      <c r="ES374" s="881">
        <f t="shared" si="206"/>
        <v>0</v>
      </c>
      <c r="ET374" s="882"/>
      <c r="EU374" s="883"/>
      <c r="EV374" s="884">
        <f t="shared" ref="EV374:EV437" si="212">+IF(OR(EO374 = "", EP374 = 0, EP374 = "", EQ374 = 0, EQ374 = "", ER374 = 0, ER374 = ""), 0,
IF(EO374 &lt;&gt; "ACCION",
IF(EP374 &gt; 0, EP374 * ER374 * -100 * ( 1 + COMIS_OPCION), EP374 * ER374 * -100 * ( 1 - COMIS_OPCION)),
IF(EP374 &gt; 0, EP374 * ER374 * -1 * ( 1 + COMIS_ACCION), EP374 * ER374 * -1 * ( 1 - COMIS_ACCION))  ))</f>
        <v>0</v>
      </c>
      <c r="EW374" s="885"/>
      <c r="EX374" s="885"/>
      <c r="EY374" s="885"/>
      <c r="EZ374" s="885"/>
      <c r="FA374" s="885"/>
      <c r="FB374" s="885"/>
      <c r="FC374" s="885"/>
      <c r="FD374" s="886"/>
      <c r="FE374" s="878"/>
      <c r="FF374" s="878"/>
      <c r="FG374" s="878"/>
      <c r="FH374" s="878"/>
      <c r="FI374" s="878"/>
      <c r="FJ374" s="878"/>
      <c r="FK374" s="878"/>
      <c r="FL374" s="555"/>
      <c r="FM374" s="554"/>
      <c r="FN374" s="554"/>
      <c r="FO374" s="554"/>
      <c r="FP374" s="554"/>
      <c r="FQ374" s="554"/>
      <c r="FR374" s="554"/>
      <c r="FS374" s="554"/>
      <c r="FT374" s="554"/>
      <c r="FU374" s="554"/>
      <c r="FV374" s="554"/>
      <c r="FW374" s="554"/>
      <c r="FX374" s="554"/>
      <c r="FY374" s="554"/>
      <c r="FZ374" s="554"/>
      <c r="GA374" s="554"/>
      <c r="GB374" s="556"/>
      <c r="GC374" s="370"/>
      <c r="GD374" s="453"/>
      <c r="GE374" s="453"/>
      <c r="GF374" s="453"/>
      <c r="GG374" s="453"/>
      <c r="GH374" s="454"/>
      <c r="GI374" s="453"/>
      <c r="GJ374" s="453"/>
      <c r="GK374" s="453"/>
      <c r="GL374" s="453"/>
      <c r="GM374" s="453"/>
      <c r="GN374" s="453"/>
      <c r="GO374" s="453"/>
      <c r="GP374" s="453"/>
      <c r="GQ374" s="453"/>
      <c r="GR374" s="453"/>
      <c r="GS374" s="561"/>
      <c r="GT374" s="475"/>
      <c r="GU374" s="472"/>
      <c r="GV374" s="453"/>
      <c r="GW374" s="453"/>
      <c r="GX374" s="869"/>
      <c r="GY374" s="870"/>
      <c r="GZ374" s="867"/>
      <c r="HA374" s="868"/>
      <c r="HB374" s="473"/>
      <c r="HC374" s="869"/>
      <c r="HD374" s="870"/>
      <c r="HE374" s="867"/>
      <c r="HF374" s="868"/>
      <c r="HG374" s="473"/>
      <c r="HH374" s="867"/>
      <c r="HI374" s="868"/>
      <c r="HJ374" s="867"/>
      <c r="HK374" s="868"/>
      <c r="HL374" s="370"/>
      <c r="HM374" s="865"/>
      <c r="HN374" s="866"/>
      <c r="HO374" s="865"/>
      <c r="HP374" s="866"/>
      <c r="HQ374" s="865"/>
      <c r="HR374" s="866"/>
      <c r="HS374" s="867"/>
      <c r="HT374" s="868"/>
      <c r="HU374" s="489"/>
      <c r="HV374" s="865"/>
      <c r="HW374" s="866"/>
    </row>
    <row r="375" spans="25:231" ht="15" customHeight="1">
      <c r="Y375" s="332"/>
      <c r="Z375" s="332"/>
      <c r="AA375" s="332"/>
      <c r="AB375" s="332"/>
      <c r="AC375" s="332"/>
      <c r="AD375" s="332"/>
      <c r="AE375" s="332"/>
      <c r="AF375" s="332"/>
      <c r="AG375" s="332"/>
      <c r="AH375" s="332"/>
      <c r="AI375" s="332"/>
      <c r="AJ375" s="332"/>
      <c r="AK375" s="332"/>
      <c r="AL375" s="332"/>
      <c r="AM375" s="332"/>
      <c r="AN375" s="332"/>
      <c r="AO375" s="332"/>
      <c r="AP375" s="332"/>
      <c r="AQ375" s="332"/>
      <c r="AR375" s="332"/>
      <c r="AS375" s="332"/>
      <c r="AT375" s="332"/>
      <c r="AU375" s="332"/>
      <c r="AV375" s="332"/>
      <c r="AW375" s="332"/>
      <c r="AX375" s="332"/>
      <c r="AY375" s="332"/>
      <c r="AZ375" s="332"/>
      <c r="BA375" s="332"/>
      <c r="BB375" s="332"/>
      <c r="BC375" s="332"/>
      <c r="BD375" s="332"/>
      <c r="BE375" s="332"/>
      <c r="BF375" s="332"/>
      <c r="BG375" s="332"/>
      <c r="BH375" s="332"/>
      <c r="BI375" s="332"/>
      <c r="BJ375" s="332"/>
      <c r="BK375" s="332"/>
      <c r="BL375" s="332"/>
      <c r="BM375" s="332"/>
      <c r="BN375" s="332"/>
      <c r="BO375" s="332"/>
      <c r="BP375" s="332"/>
      <c r="BQ375" s="332"/>
      <c r="BR375" s="332"/>
      <c r="BS375" s="332"/>
      <c r="BT375" s="332"/>
      <c r="BU375" s="332"/>
      <c r="BV375" s="332"/>
      <c r="BW375" s="332"/>
      <c r="BX375" s="332"/>
      <c r="BY375" s="332"/>
      <c r="BZ375" s="332"/>
      <c r="CA375" s="332"/>
      <c r="CB375" s="332"/>
      <c r="CC375" s="332"/>
      <c r="CD375" s="332"/>
      <c r="CE375" s="332"/>
      <c r="CF375" s="332"/>
      <c r="CG375" s="332"/>
      <c r="CH375" s="332"/>
      <c r="CI375" s="332"/>
      <c r="CJ375" s="332"/>
      <c r="CK375" s="332"/>
      <c r="CL375" s="332"/>
      <c r="CM375" s="332"/>
      <c r="CN375" s="332"/>
      <c r="CO375" s="332"/>
      <c r="CP375" s="332"/>
      <c r="CQ375" s="332"/>
      <c r="CR375" s="332"/>
      <c r="CS375" s="332"/>
      <c r="CT375" s="332"/>
      <c r="CU375" s="332"/>
      <c r="CV375" s="332"/>
      <c r="CW375" s="332"/>
      <c r="CX375" s="332"/>
      <c r="CY375" s="332"/>
      <c r="CZ375" s="332"/>
      <c r="DA375" s="332"/>
      <c r="DB375" s="332"/>
      <c r="DC375" s="332"/>
      <c r="DD375" s="332"/>
      <c r="DE375" s="332"/>
      <c r="DF375" s="332"/>
      <c r="DG375" s="332"/>
      <c r="DH375" s="332"/>
      <c r="DI375" s="332"/>
      <c r="DJ375" s="332"/>
      <c r="DK375" s="332"/>
      <c r="DL375" s="332"/>
      <c r="DM375" s="332"/>
      <c r="DN375" s="332"/>
      <c r="DO375" s="332"/>
      <c r="DP375" s="332"/>
      <c r="DQ375" s="332"/>
      <c r="DR375" s="332"/>
      <c r="DS375" s="332"/>
      <c r="DT375" s="332"/>
      <c r="DU375" s="453"/>
      <c r="DV375" s="453"/>
      <c r="DW375" s="453"/>
      <c r="DX375" s="453"/>
      <c r="DY375" s="453"/>
      <c r="DZ375" s="453"/>
      <c r="EA375" s="453"/>
      <c r="EB375" s="453"/>
      <c r="EC375" s="559">
        <f t="shared" si="209"/>
        <v>260</v>
      </c>
      <c r="ED375" s="889">
        <f t="shared" si="210"/>
        <v>0</v>
      </c>
      <c r="EE375" s="890"/>
      <c r="EF375" s="476">
        <v>0</v>
      </c>
      <c r="EG375" s="889">
        <f t="shared" si="211"/>
        <v>0</v>
      </c>
      <c r="EH375" s="890"/>
      <c r="EI375" s="480">
        <v>0</v>
      </c>
      <c r="EJ375" s="453"/>
      <c r="EK375" s="453"/>
      <c r="EL375" s="453"/>
      <c r="EM375" s="483">
        <f t="shared" si="205"/>
        <v>66</v>
      </c>
      <c r="EN375" s="485"/>
      <c r="EO375" s="804"/>
      <c r="EP375" s="805"/>
      <c r="EQ375" s="806"/>
      <c r="ER375" s="808"/>
      <c r="ES375" s="881">
        <f t="shared" si="206"/>
        <v>0</v>
      </c>
      <c r="ET375" s="882"/>
      <c r="EU375" s="883"/>
      <c r="EV375" s="884">
        <f t="shared" si="212"/>
        <v>0</v>
      </c>
      <c r="EW375" s="885"/>
      <c r="EX375" s="885"/>
      <c r="EY375" s="885"/>
      <c r="EZ375" s="885"/>
      <c r="FA375" s="885"/>
      <c r="FB375" s="885"/>
      <c r="FC375" s="885"/>
      <c r="FD375" s="886"/>
      <c r="FE375" s="878"/>
      <c r="FF375" s="878"/>
      <c r="FG375" s="878"/>
      <c r="FH375" s="878"/>
      <c r="FI375" s="878"/>
      <c r="FJ375" s="878"/>
      <c r="FK375" s="878"/>
      <c r="FL375" s="555"/>
      <c r="FM375" s="554"/>
      <c r="FN375" s="554"/>
      <c r="FO375" s="554"/>
      <c r="FP375" s="554"/>
      <c r="FQ375" s="554"/>
      <c r="FR375" s="554"/>
      <c r="FS375" s="554"/>
      <c r="FT375" s="554"/>
      <c r="FU375" s="554"/>
      <c r="FV375" s="554"/>
      <c r="FW375" s="554"/>
      <c r="FX375" s="554"/>
      <c r="FY375" s="554"/>
      <c r="FZ375" s="554"/>
      <c r="GA375" s="554"/>
      <c r="GB375" s="556"/>
      <c r="GC375" s="370"/>
      <c r="GD375" s="453"/>
      <c r="GE375" s="453"/>
      <c r="GF375" s="453"/>
      <c r="GG375" s="453"/>
      <c r="GH375" s="454"/>
      <c r="GI375" s="453"/>
      <c r="GJ375" s="453"/>
      <c r="GK375" s="453"/>
      <c r="GL375" s="453"/>
      <c r="GM375" s="453"/>
      <c r="GN375" s="453"/>
      <c r="GO375" s="453"/>
      <c r="GP375" s="453"/>
      <c r="GQ375" s="453"/>
      <c r="GR375" s="453"/>
      <c r="GS375" s="561"/>
      <c r="GT375" s="475"/>
      <c r="GU375" s="472"/>
      <c r="GV375" s="453"/>
      <c r="GW375" s="453"/>
      <c r="GX375" s="869"/>
      <c r="GY375" s="870"/>
      <c r="GZ375" s="867"/>
      <c r="HA375" s="868"/>
      <c r="HB375" s="473"/>
      <c r="HC375" s="869"/>
      <c r="HD375" s="870"/>
      <c r="HE375" s="867"/>
      <c r="HF375" s="868"/>
      <c r="HG375" s="473"/>
      <c r="HH375" s="867"/>
      <c r="HI375" s="868"/>
      <c r="HJ375" s="867"/>
      <c r="HK375" s="868"/>
      <c r="HL375" s="370"/>
      <c r="HM375" s="865"/>
      <c r="HN375" s="866"/>
      <c r="HO375" s="865"/>
      <c r="HP375" s="866"/>
      <c r="HQ375" s="865"/>
      <c r="HR375" s="866"/>
      <c r="HS375" s="867"/>
      <c r="HT375" s="868"/>
      <c r="HU375" s="489"/>
      <c r="HV375" s="865"/>
      <c r="HW375" s="866"/>
    </row>
    <row r="376" spans="25:231" ht="15" customHeight="1">
      <c r="Y376" s="332"/>
      <c r="Z376" s="332"/>
      <c r="AA376" s="332"/>
      <c r="AB376" s="332"/>
      <c r="AC376" s="332"/>
      <c r="AD376" s="332"/>
      <c r="AE376" s="332"/>
      <c r="AF376" s="332"/>
      <c r="AG376" s="332"/>
      <c r="AH376" s="332"/>
      <c r="AI376" s="332"/>
      <c r="AJ376" s="332"/>
      <c r="AK376" s="332"/>
      <c r="AL376" s="332"/>
      <c r="AM376" s="332"/>
      <c r="AN376" s="332"/>
      <c r="AO376" s="332"/>
      <c r="AP376" s="332"/>
      <c r="AQ376" s="332"/>
      <c r="AR376" s="332"/>
      <c r="AS376" s="332"/>
      <c r="AT376" s="332"/>
      <c r="AU376" s="332"/>
      <c r="AV376" s="332"/>
      <c r="AW376" s="332"/>
      <c r="AX376" s="332"/>
      <c r="AY376" s="332"/>
      <c r="AZ376" s="332"/>
      <c r="BA376" s="332"/>
      <c r="BB376" s="332"/>
      <c r="BC376" s="332"/>
      <c r="BD376" s="332"/>
      <c r="BE376" s="332"/>
      <c r="BF376" s="332"/>
      <c r="BG376" s="332"/>
      <c r="BH376" s="332"/>
      <c r="BI376" s="332"/>
      <c r="BJ376" s="332"/>
      <c r="BK376" s="332"/>
      <c r="BL376" s="332"/>
      <c r="BM376" s="332"/>
      <c r="BN376" s="332"/>
      <c r="BO376" s="332"/>
      <c r="BP376" s="332"/>
      <c r="BQ376" s="332"/>
      <c r="BR376" s="332"/>
      <c r="BS376" s="332"/>
      <c r="BT376" s="332"/>
      <c r="BU376" s="332"/>
      <c r="BV376" s="332"/>
      <c r="BW376" s="332"/>
      <c r="BX376" s="332"/>
      <c r="BY376" s="332"/>
      <c r="BZ376" s="332"/>
      <c r="CA376" s="332"/>
      <c r="CB376" s="332"/>
      <c r="CC376" s="332"/>
      <c r="CD376" s="332"/>
      <c r="CE376" s="332"/>
      <c r="CF376" s="332"/>
      <c r="CG376" s="332"/>
      <c r="CH376" s="332"/>
      <c r="CI376" s="332"/>
      <c r="CJ376" s="332"/>
      <c r="CK376" s="332"/>
      <c r="CL376" s="332"/>
      <c r="CM376" s="332"/>
      <c r="CN376" s="332"/>
      <c r="CO376" s="332"/>
      <c r="CP376" s="332"/>
      <c r="CQ376" s="332"/>
      <c r="CR376" s="332"/>
      <c r="CS376" s="332"/>
      <c r="CT376" s="332"/>
      <c r="CU376" s="332"/>
      <c r="CV376" s="332"/>
      <c r="CW376" s="332"/>
      <c r="CX376" s="332"/>
      <c r="CY376" s="332"/>
      <c r="CZ376" s="332"/>
      <c r="DA376" s="332"/>
      <c r="DB376" s="332"/>
      <c r="DC376" s="332"/>
      <c r="DD376" s="332"/>
      <c r="DE376" s="332"/>
      <c r="DF376" s="332"/>
      <c r="DG376" s="332"/>
      <c r="DH376" s="332"/>
      <c r="DI376" s="332"/>
      <c r="DJ376" s="332"/>
      <c r="DK376" s="332"/>
      <c r="DL376" s="332"/>
      <c r="DM376" s="332"/>
      <c r="DN376" s="332"/>
      <c r="DO376" s="332"/>
      <c r="DP376" s="332"/>
      <c r="DQ376" s="332"/>
      <c r="DR376" s="332"/>
      <c r="DS376" s="332"/>
      <c r="DT376" s="332"/>
      <c r="DU376" s="453"/>
      <c r="DV376" s="453"/>
      <c r="DW376" s="453"/>
      <c r="DX376" s="453"/>
      <c r="DY376" s="453"/>
      <c r="DZ376" s="453"/>
      <c r="EA376" s="453"/>
      <c r="EB376" s="453"/>
      <c r="EC376" s="559">
        <f t="shared" si="209"/>
        <v>270</v>
      </c>
      <c r="ED376" s="889">
        <f t="shared" si="210"/>
        <v>0</v>
      </c>
      <c r="EE376" s="890"/>
      <c r="EF376" s="476">
        <v>0</v>
      </c>
      <c r="EG376" s="889">
        <f t="shared" si="211"/>
        <v>0</v>
      </c>
      <c r="EH376" s="890"/>
      <c r="EI376" s="480">
        <v>0</v>
      </c>
      <c r="EJ376" s="453"/>
      <c r="EK376" s="453"/>
      <c r="EL376" s="453"/>
      <c r="EM376" s="483">
        <f t="shared" ref="EM376:EM439" si="213">+EM375+1</f>
        <v>67</v>
      </c>
      <c r="EN376" s="485"/>
      <c r="EO376" s="804"/>
      <c r="EP376" s="805"/>
      <c r="EQ376" s="806"/>
      <c r="ER376" s="808"/>
      <c r="ES376" s="881">
        <f t="shared" si="206"/>
        <v>0</v>
      </c>
      <c r="ET376" s="882"/>
      <c r="EU376" s="883"/>
      <c r="EV376" s="884">
        <f t="shared" si="212"/>
        <v>0</v>
      </c>
      <c r="EW376" s="885"/>
      <c r="EX376" s="885"/>
      <c r="EY376" s="885"/>
      <c r="EZ376" s="885"/>
      <c r="FA376" s="885"/>
      <c r="FB376" s="885"/>
      <c r="FC376" s="885"/>
      <c r="FD376" s="886"/>
      <c r="FE376" s="878"/>
      <c r="FF376" s="878"/>
      <c r="FG376" s="878"/>
      <c r="FH376" s="878"/>
      <c r="FI376" s="878"/>
      <c r="FJ376" s="878"/>
      <c r="FK376" s="878"/>
      <c r="FL376" s="555"/>
      <c r="FM376" s="554"/>
      <c r="FN376" s="554"/>
      <c r="FO376" s="554"/>
      <c r="FP376" s="554"/>
      <c r="FQ376" s="554"/>
      <c r="FR376" s="554"/>
      <c r="FS376" s="554"/>
      <c r="FT376" s="554"/>
      <c r="FU376" s="554"/>
      <c r="FV376" s="554"/>
      <c r="FW376" s="554"/>
      <c r="FX376" s="554"/>
      <c r="FY376" s="554"/>
      <c r="FZ376" s="554"/>
      <c r="GA376" s="554"/>
      <c r="GB376" s="556"/>
      <c r="GC376" s="370"/>
      <c r="GD376" s="453"/>
      <c r="GE376" s="453"/>
      <c r="GF376" s="453"/>
      <c r="GG376" s="453"/>
      <c r="GH376" s="454"/>
      <c r="GI376" s="453"/>
      <c r="GJ376" s="453"/>
      <c r="GK376" s="453"/>
      <c r="GL376" s="453"/>
      <c r="GM376" s="453"/>
      <c r="GN376" s="453"/>
      <c r="GO376" s="453"/>
      <c r="GP376" s="453"/>
      <c r="GQ376" s="453"/>
      <c r="GR376" s="453"/>
      <c r="GS376" s="561"/>
      <c r="GT376" s="475"/>
      <c r="GU376" s="472"/>
      <c r="GV376" s="453"/>
      <c r="GW376" s="453"/>
      <c r="GX376" s="869"/>
      <c r="GY376" s="870"/>
      <c r="GZ376" s="867"/>
      <c r="HA376" s="868"/>
      <c r="HB376" s="473"/>
      <c r="HC376" s="869"/>
      <c r="HD376" s="870"/>
      <c r="HE376" s="867"/>
      <c r="HF376" s="868"/>
      <c r="HG376" s="473"/>
      <c r="HH376" s="867"/>
      <c r="HI376" s="868"/>
      <c r="HJ376" s="867"/>
      <c r="HK376" s="868"/>
      <c r="HL376" s="370"/>
      <c r="HM376" s="865"/>
      <c r="HN376" s="866"/>
      <c r="HO376" s="865"/>
      <c r="HP376" s="866"/>
      <c r="HQ376" s="865"/>
      <c r="HR376" s="866"/>
      <c r="HS376" s="867"/>
      <c r="HT376" s="868"/>
      <c r="HU376" s="489"/>
      <c r="HV376" s="865"/>
      <c r="HW376" s="866"/>
    </row>
    <row r="377" spans="25:231" ht="15" customHeight="1">
      <c r="Y377" s="332"/>
      <c r="Z377" s="332"/>
      <c r="AA377" s="332"/>
      <c r="AB377" s="332"/>
      <c r="AC377" s="332"/>
      <c r="AD377" s="332"/>
      <c r="AE377" s="332"/>
      <c r="AF377" s="332"/>
      <c r="AG377" s="332"/>
      <c r="AH377" s="332"/>
      <c r="AI377" s="332"/>
      <c r="AJ377" s="332"/>
      <c r="AK377" s="332"/>
      <c r="AL377" s="332"/>
      <c r="AM377" s="332"/>
      <c r="AN377" s="332"/>
      <c r="AO377" s="332"/>
      <c r="AP377" s="332"/>
      <c r="AQ377" s="332"/>
      <c r="AR377" s="332"/>
      <c r="AS377" s="332"/>
      <c r="AT377" s="332"/>
      <c r="AU377" s="332"/>
      <c r="AV377" s="332"/>
      <c r="AW377" s="332"/>
      <c r="AX377" s="332"/>
      <c r="AY377" s="332"/>
      <c r="AZ377" s="332"/>
      <c r="BA377" s="332"/>
      <c r="BB377" s="332"/>
      <c r="BC377" s="332"/>
      <c r="BD377" s="332"/>
      <c r="BE377" s="332"/>
      <c r="BF377" s="332"/>
      <c r="BG377" s="332"/>
      <c r="BH377" s="332"/>
      <c r="BI377" s="332"/>
      <c r="BJ377" s="332"/>
      <c r="BK377" s="332"/>
      <c r="BL377" s="332"/>
      <c r="BM377" s="332"/>
      <c r="BN377" s="332"/>
      <c r="BO377" s="332"/>
      <c r="BP377" s="332"/>
      <c r="BQ377" s="332"/>
      <c r="BR377" s="332"/>
      <c r="BS377" s="332"/>
      <c r="BT377" s="332"/>
      <c r="BU377" s="332"/>
      <c r="BV377" s="332"/>
      <c r="BW377" s="332"/>
      <c r="BX377" s="332"/>
      <c r="BY377" s="332"/>
      <c r="BZ377" s="332"/>
      <c r="CA377" s="332"/>
      <c r="CB377" s="332"/>
      <c r="CC377" s="332"/>
      <c r="CD377" s="332"/>
      <c r="CE377" s="332"/>
      <c r="CF377" s="332"/>
      <c r="CG377" s="332"/>
      <c r="CH377" s="332"/>
      <c r="CI377" s="332"/>
      <c r="CJ377" s="332"/>
      <c r="CK377" s="332"/>
      <c r="CL377" s="332"/>
      <c r="CM377" s="332"/>
      <c r="CN377" s="332"/>
      <c r="CO377" s="332"/>
      <c r="CP377" s="332"/>
      <c r="CQ377" s="332"/>
      <c r="CR377" s="332"/>
      <c r="CS377" s="332"/>
      <c r="CT377" s="332"/>
      <c r="CU377" s="332"/>
      <c r="CV377" s="332"/>
      <c r="CW377" s="332"/>
      <c r="CX377" s="332"/>
      <c r="CY377" s="332"/>
      <c r="CZ377" s="332"/>
      <c r="DA377" s="332"/>
      <c r="DB377" s="332"/>
      <c r="DC377" s="332"/>
      <c r="DD377" s="332"/>
      <c r="DE377" s="332"/>
      <c r="DF377" s="332"/>
      <c r="DG377" s="332"/>
      <c r="DH377" s="332"/>
      <c r="DI377" s="332"/>
      <c r="DJ377" s="332"/>
      <c r="DK377" s="332"/>
      <c r="DL377" s="332"/>
      <c r="DM377" s="332"/>
      <c r="DN377" s="332"/>
      <c r="DO377" s="332"/>
      <c r="DP377" s="332"/>
      <c r="DQ377" s="332"/>
      <c r="DR377" s="332"/>
      <c r="DS377" s="332"/>
      <c r="DT377" s="332"/>
      <c r="DU377" s="453"/>
      <c r="DV377" s="453"/>
      <c r="DW377" s="453"/>
      <c r="DX377" s="453"/>
      <c r="DY377" s="453"/>
      <c r="DZ377" s="453"/>
      <c r="EA377" s="453"/>
      <c r="EB377" s="453"/>
      <c r="EC377" s="559">
        <f t="shared" si="209"/>
        <v>280</v>
      </c>
      <c r="ED377" s="889">
        <f t="shared" si="210"/>
        <v>0</v>
      </c>
      <c r="EE377" s="890"/>
      <c r="EF377" s="476">
        <v>0</v>
      </c>
      <c r="EG377" s="889">
        <f t="shared" si="211"/>
        <v>0</v>
      </c>
      <c r="EH377" s="890"/>
      <c r="EI377" s="480">
        <v>0</v>
      </c>
      <c r="EJ377" s="453"/>
      <c r="EK377" s="453"/>
      <c r="EL377" s="453"/>
      <c r="EM377" s="483">
        <f t="shared" si="213"/>
        <v>68</v>
      </c>
      <c r="EN377" s="485"/>
      <c r="EO377" s="804"/>
      <c r="EP377" s="805"/>
      <c r="EQ377" s="806"/>
      <c r="ER377" s="808"/>
      <c r="ES377" s="881">
        <f t="shared" si="206"/>
        <v>0</v>
      </c>
      <c r="ET377" s="882"/>
      <c r="EU377" s="883"/>
      <c r="EV377" s="884">
        <f t="shared" si="212"/>
        <v>0</v>
      </c>
      <c r="EW377" s="885"/>
      <c r="EX377" s="885"/>
      <c r="EY377" s="885"/>
      <c r="EZ377" s="885"/>
      <c r="FA377" s="885"/>
      <c r="FB377" s="885"/>
      <c r="FC377" s="885"/>
      <c r="FD377" s="886"/>
      <c r="FE377" s="878"/>
      <c r="FF377" s="878"/>
      <c r="FG377" s="878"/>
      <c r="FH377" s="878"/>
      <c r="FI377" s="878"/>
      <c r="FJ377" s="878"/>
      <c r="FK377" s="878"/>
      <c r="FL377" s="555"/>
      <c r="FM377" s="554"/>
      <c r="FN377" s="554"/>
      <c r="FO377" s="554"/>
      <c r="FP377" s="554"/>
      <c r="FQ377" s="554"/>
      <c r="FR377" s="554"/>
      <c r="FS377" s="554"/>
      <c r="FT377" s="554"/>
      <c r="FU377" s="554"/>
      <c r="FV377" s="554"/>
      <c r="FW377" s="554"/>
      <c r="FX377" s="554"/>
      <c r="FY377" s="554"/>
      <c r="FZ377" s="554"/>
      <c r="GA377" s="554"/>
      <c r="GB377" s="556"/>
      <c r="GC377" s="370"/>
      <c r="GD377" s="453"/>
      <c r="GE377" s="453"/>
      <c r="GF377" s="453"/>
      <c r="GG377" s="453"/>
      <c r="GH377" s="454"/>
      <c r="GI377" s="453"/>
      <c r="GJ377" s="453"/>
      <c r="GK377" s="453"/>
      <c r="GL377" s="453"/>
      <c r="GM377" s="453"/>
      <c r="GN377" s="453"/>
      <c r="GO377" s="453"/>
      <c r="GP377" s="453"/>
      <c r="GQ377" s="453"/>
      <c r="GR377" s="453"/>
      <c r="GS377" s="561"/>
      <c r="GT377" s="475"/>
      <c r="GU377" s="472"/>
      <c r="GV377" s="453"/>
      <c r="GW377" s="453"/>
      <c r="GX377" s="869"/>
      <c r="GY377" s="870"/>
      <c r="GZ377" s="867"/>
      <c r="HA377" s="868"/>
      <c r="HB377" s="473"/>
      <c r="HC377" s="869"/>
      <c r="HD377" s="870"/>
      <c r="HE377" s="867"/>
      <c r="HF377" s="868"/>
      <c r="HG377" s="473"/>
      <c r="HH377" s="867"/>
      <c r="HI377" s="868"/>
      <c r="HJ377" s="867"/>
      <c r="HK377" s="868"/>
      <c r="HL377" s="370"/>
      <c r="HM377" s="865"/>
      <c r="HN377" s="866"/>
      <c r="HO377" s="865"/>
      <c r="HP377" s="866"/>
      <c r="HQ377" s="865"/>
      <c r="HR377" s="866"/>
      <c r="HS377" s="867"/>
      <c r="HT377" s="868"/>
      <c r="HU377" s="489"/>
      <c r="HV377" s="865"/>
      <c r="HW377" s="866"/>
    </row>
    <row r="378" spans="25:231" ht="15" customHeight="1">
      <c r="Y378" s="332"/>
      <c r="Z378" s="332"/>
      <c r="AA378" s="332"/>
      <c r="AB378" s="332"/>
      <c r="AC378" s="332"/>
      <c r="AD378" s="332"/>
      <c r="AE378" s="332"/>
      <c r="AF378" s="332"/>
      <c r="AG378" s="332"/>
      <c r="AH378" s="332"/>
      <c r="AI378" s="332"/>
      <c r="AJ378" s="332"/>
      <c r="AK378" s="332"/>
      <c r="AL378" s="332"/>
      <c r="AM378" s="332"/>
      <c r="AN378" s="332"/>
      <c r="AO378" s="332"/>
      <c r="AP378" s="332"/>
      <c r="AQ378" s="332"/>
      <c r="AR378" s="332"/>
      <c r="AS378" s="332"/>
      <c r="AT378" s="332"/>
      <c r="AU378" s="332"/>
      <c r="AV378" s="332"/>
      <c r="AW378" s="332"/>
      <c r="AX378" s="332"/>
      <c r="AY378" s="332"/>
      <c r="AZ378" s="332"/>
      <c r="BA378" s="332"/>
      <c r="BB378" s="332"/>
      <c r="BC378" s="332"/>
      <c r="BD378" s="332"/>
      <c r="BE378" s="332"/>
      <c r="BF378" s="332"/>
      <c r="BG378" s="332"/>
      <c r="BH378" s="332"/>
      <c r="BI378" s="332"/>
      <c r="BJ378" s="332"/>
      <c r="BK378" s="332"/>
      <c r="BL378" s="332"/>
      <c r="BM378" s="332"/>
      <c r="BN378" s="332"/>
      <c r="BO378" s="332"/>
      <c r="BP378" s="332"/>
      <c r="BQ378" s="332"/>
      <c r="BR378" s="332"/>
      <c r="BS378" s="332"/>
      <c r="BT378" s="332"/>
      <c r="BU378" s="332"/>
      <c r="BV378" s="332"/>
      <c r="BW378" s="332"/>
      <c r="BX378" s="332"/>
      <c r="BY378" s="332"/>
      <c r="BZ378" s="332"/>
      <c r="CA378" s="332"/>
      <c r="CB378" s="332"/>
      <c r="CC378" s="332"/>
      <c r="CD378" s="332"/>
      <c r="CE378" s="332"/>
      <c r="CF378" s="332"/>
      <c r="CG378" s="332"/>
      <c r="CH378" s="332"/>
      <c r="CI378" s="332"/>
      <c r="CJ378" s="332"/>
      <c r="CK378" s="332"/>
      <c r="CL378" s="332"/>
      <c r="CM378" s="332"/>
      <c r="CN378" s="332"/>
      <c r="CO378" s="332"/>
      <c r="CP378" s="332"/>
      <c r="CQ378" s="332"/>
      <c r="CR378" s="332"/>
      <c r="CS378" s="332"/>
      <c r="CT378" s="332"/>
      <c r="CU378" s="332"/>
      <c r="CV378" s="332"/>
      <c r="CW378" s="332"/>
      <c r="CX378" s="332"/>
      <c r="CY378" s="332"/>
      <c r="CZ378" s="332"/>
      <c r="DA378" s="332"/>
      <c r="DB378" s="332"/>
      <c r="DC378" s="332"/>
      <c r="DD378" s="332"/>
      <c r="DE378" s="332"/>
      <c r="DF378" s="332"/>
      <c r="DG378" s="332"/>
      <c r="DH378" s="332"/>
      <c r="DI378" s="332"/>
      <c r="DJ378" s="332"/>
      <c r="DK378" s="332"/>
      <c r="DL378" s="332"/>
      <c r="DM378" s="332"/>
      <c r="DN378" s="332"/>
      <c r="DO378" s="332"/>
      <c r="DP378" s="332"/>
      <c r="DQ378" s="332"/>
      <c r="DR378" s="332"/>
      <c r="DS378" s="332"/>
      <c r="DT378" s="332"/>
      <c r="DU378" s="453"/>
      <c r="DV378" s="453"/>
      <c r="DW378" s="453"/>
      <c r="DX378" s="453"/>
      <c r="DY378" s="453"/>
      <c r="DZ378" s="453"/>
      <c r="EA378" s="453"/>
      <c r="EB378" s="453"/>
      <c r="EC378" s="559">
        <f t="shared" si="209"/>
        <v>290</v>
      </c>
      <c r="ED378" s="889">
        <f t="shared" si="210"/>
        <v>0</v>
      </c>
      <c r="EE378" s="890"/>
      <c r="EF378" s="476">
        <v>0</v>
      </c>
      <c r="EG378" s="889">
        <f t="shared" si="211"/>
        <v>0</v>
      </c>
      <c r="EH378" s="890"/>
      <c r="EI378" s="480">
        <v>0</v>
      </c>
      <c r="EJ378" s="453"/>
      <c r="EK378" s="453"/>
      <c r="EL378" s="453"/>
      <c r="EM378" s="483">
        <f t="shared" si="213"/>
        <v>69</v>
      </c>
      <c r="EN378" s="485"/>
      <c r="EO378" s="804"/>
      <c r="EP378" s="805"/>
      <c r="EQ378" s="806"/>
      <c r="ER378" s="808"/>
      <c r="ES378" s="881">
        <f t="shared" si="206"/>
        <v>0</v>
      </c>
      <c r="ET378" s="882"/>
      <c r="EU378" s="883"/>
      <c r="EV378" s="884">
        <f t="shared" si="212"/>
        <v>0</v>
      </c>
      <c r="EW378" s="885"/>
      <c r="EX378" s="885"/>
      <c r="EY378" s="885"/>
      <c r="EZ378" s="885"/>
      <c r="FA378" s="885"/>
      <c r="FB378" s="885"/>
      <c r="FC378" s="885"/>
      <c r="FD378" s="886"/>
      <c r="FE378" s="878"/>
      <c r="FF378" s="878"/>
      <c r="FG378" s="878"/>
      <c r="FH378" s="878"/>
      <c r="FI378" s="878"/>
      <c r="FJ378" s="878"/>
      <c r="FK378" s="878"/>
      <c r="FL378" s="555"/>
      <c r="FM378" s="554"/>
      <c r="FN378" s="554"/>
      <c r="FO378" s="554"/>
      <c r="FP378" s="554"/>
      <c r="FQ378" s="554"/>
      <c r="FR378" s="554"/>
      <c r="FS378" s="554"/>
      <c r="FT378" s="554"/>
      <c r="FU378" s="554"/>
      <c r="FV378" s="554"/>
      <c r="FW378" s="554"/>
      <c r="FX378" s="554"/>
      <c r="FY378" s="554"/>
      <c r="FZ378" s="554"/>
      <c r="GA378" s="554"/>
      <c r="GB378" s="556"/>
      <c r="GC378" s="370"/>
      <c r="GD378" s="453"/>
      <c r="GE378" s="453"/>
      <c r="GF378" s="453"/>
      <c r="GG378" s="453"/>
      <c r="GH378" s="454"/>
      <c r="GI378" s="453"/>
      <c r="GJ378" s="453"/>
      <c r="GK378" s="453"/>
      <c r="GL378" s="453"/>
      <c r="GM378" s="453"/>
      <c r="GN378" s="453"/>
      <c r="GO378" s="453"/>
      <c r="GP378" s="453"/>
      <c r="GQ378" s="453"/>
      <c r="GR378" s="453"/>
      <c r="GS378" s="561"/>
      <c r="GT378" s="475"/>
      <c r="GU378" s="472"/>
      <c r="GV378" s="453"/>
      <c r="GW378" s="453"/>
      <c r="GX378" s="869"/>
      <c r="GY378" s="870"/>
      <c r="GZ378" s="867"/>
      <c r="HA378" s="868"/>
      <c r="HB378" s="473"/>
      <c r="HC378" s="869"/>
      <c r="HD378" s="870"/>
      <c r="HE378" s="867"/>
      <c r="HF378" s="868"/>
      <c r="HG378" s="473"/>
      <c r="HH378" s="867"/>
      <c r="HI378" s="868"/>
      <c r="HJ378" s="867"/>
      <c r="HK378" s="868"/>
      <c r="HL378" s="370"/>
      <c r="HM378" s="865"/>
      <c r="HN378" s="866"/>
      <c r="HO378" s="865"/>
      <c r="HP378" s="866"/>
      <c r="HQ378" s="865"/>
      <c r="HR378" s="866"/>
      <c r="HS378" s="867"/>
      <c r="HT378" s="868"/>
      <c r="HU378" s="489"/>
      <c r="HV378" s="865"/>
      <c r="HW378" s="866"/>
    </row>
    <row r="379" spans="25:231" ht="15" customHeight="1">
      <c r="Y379" s="332"/>
      <c r="Z379" s="332"/>
      <c r="AA379" s="332"/>
      <c r="AB379" s="332"/>
      <c r="AC379" s="332"/>
      <c r="AD379" s="332"/>
      <c r="AE379" s="332"/>
      <c r="AF379" s="332"/>
      <c r="AG379" s="332"/>
      <c r="AH379" s="332"/>
      <c r="AI379" s="332"/>
      <c r="AJ379" s="332"/>
      <c r="AK379" s="332"/>
      <c r="AL379" s="332"/>
      <c r="AM379" s="332"/>
      <c r="AN379" s="332"/>
      <c r="AO379" s="332"/>
      <c r="AP379" s="332"/>
      <c r="AQ379" s="332"/>
      <c r="AR379" s="332"/>
      <c r="AS379" s="332"/>
      <c r="AT379" s="332"/>
      <c r="AU379" s="332"/>
      <c r="AV379" s="332"/>
      <c r="AW379" s="332"/>
      <c r="AX379" s="332"/>
      <c r="AY379" s="332"/>
      <c r="AZ379" s="332"/>
      <c r="BA379" s="332"/>
      <c r="BB379" s="332"/>
      <c r="BC379" s="332"/>
      <c r="BD379" s="332"/>
      <c r="BE379" s="332"/>
      <c r="BF379" s="332"/>
      <c r="BG379" s="332"/>
      <c r="BH379" s="332"/>
      <c r="BI379" s="332"/>
      <c r="BJ379" s="332"/>
      <c r="BK379" s="332"/>
      <c r="BL379" s="332"/>
      <c r="BM379" s="332"/>
      <c r="BN379" s="332"/>
      <c r="BO379" s="332"/>
      <c r="BP379" s="332"/>
      <c r="BQ379" s="332"/>
      <c r="BR379" s="332"/>
      <c r="BS379" s="332"/>
      <c r="BT379" s="332"/>
      <c r="BU379" s="332"/>
      <c r="BV379" s="332"/>
      <c r="BW379" s="332"/>
      <c r="BX379" s="332"/>
      <c r="BY379" s="332"/>
      <c r="BZ379" s="332"/>
      <c r="CA379" s="332"/>
      <c r="CB379" s="332"/>
      <c r="CC379" s="332"/>
      <c r="CD379" s="332"/>
      <c r="CE379" s="332"/>
      <c r="CF379" s="332"/>
      <c r="CG379" s="332"/>
      <c r="CH379" s="332"/>
      <c r="CI379" s="332"/>
      <c r="CJ379" s="332"/>
      <c r="CK379" s="332"/>
      <c r="CL379" s="332"/>
      <c r="CM379" s="332"/>
      <c r="CN379" s="332"/>
      <c r="CO379" s="332"/>
      <c r="CP379" s="332"/>
      <c r="CQ379" s="332"/>
      <c r="CR379" s="332"/>
      <c r="CS379" s="332"/>
      <c r="CT379" s="332"/>
      <c r="CU379" s="332"/>
      <c r="CV379" s="332"/>
      <c r="CW379" s="332"/>
      <c r="CX379" s="332"/>
      <c r="CY379" s="332"/>
      <c r="CZ379" s="332"/>
      <c r="DA379" s="332"/>
      <c r="DB379" s="332"/>
      <c r="DC379" s="332"/>
      <c r="DD379" s="332"/>
      <c r="DE379" s="332"/>
      <c r="DF379" s="332"/>
      <c r="DG379" s="332"/>
      <c r="DH379" s="332"/>
      <c r="DI379" s="332"/>
      <c r="DJ379" s="332"/>
      <c r="DK379" s="332"/>
      <c r="DL379" s="332"/>
      <c r="DM379" s="332"/>
      <c r="DN379" s="332"/>
      <c r="DO379" s="332"/>
      <c r="DP379" s="332"/>
      <c r="DQ379" s="332"/>
      <c r="DR379" s="332"/>
      <c r="DS379" s="332"/>
      <c r="DT379" s="332"/>
      <c r="DU379" s="453"/>
      <c r="DV379" s="453"/>
      <c r="DW379" s="453"/>
      <c r="DX379" s="453"/>
      <c r="DY379" s="453"/>
      <c r="DZ379" s="453"/>
      <c r="EA379" s="453"/>
      <c r="EB379" s="453"/>
      <c r="EC379" s="559">
        <f t="shared" si="209"/>
        <v>300</v>
      </c>
      <c r="ED379" s="889">
        <f t="shared" si="210"/>
        <v>0</v>
      </c>
      <c r="EE379" s="890"/>
      <c r="EF379" s="476">
        <v>0</v>
      </c>
      <c r="EG379" s="889">
        <f t="shared" si="211"/>
        <v>0</v>
      </c>
      <c r="EH379" s="890"/>
      <c r="EI379" s="480">
        <v>0</v>
      </c>
      <c r="EJ379" s="453"/>
      <c r="EK379" s="453"/>
      <c r="EL379" s="453"/>
      <c r="EM379" s="483">
        <f t="shared" si="213"/>
        <v>70</v>
      </c>
      <c r="EN379" s="485"/>
      <c r="EO379" s="804"/>
      <c r="EP379" s="805"/>
      <c r="EQ379" s="806"/>
      <c r="ER379" s="808"/>
      <c r="ES379" s="881">
        <f t="shared" si="206"/>
        <v>0</v>
      </c>
      <c r="ET379" s="882"/>
      <c r="EU379" s="883"/>
      <c r="EV379" s="884">
        <f t="shared" si="212"/>
        <v>0</v>
      </c>
      <c r="EW379" s="885"/>
      <c r="EX379" s="885"/>
      <c r="EY379" s="885"/>
      <c r="EZ379" s="885"/>
      <c r="FA379" s="885"/>
      <c r="FB379" s="885"/>
      <c r="FC379" s="885"/>
      <c r="FD379" s="886"/>
      <c r="FE379" s="878"/>
      <c r="FF379" s="878"/>
      <c r="FG379" s="878"/>
      <c r="FH379" s="878"/>
      <c r="FI379" s="878"/>
      <c r="FJ379" s="878"/>
      <c r="FK379" s="878"/>
      <c r="FL379" s="555"/>
      <c r="FM379" s="554"/>
      <c r="FN379" s="554"/>
      <c r="FO379" s="554"/>
      <c r="FP379" s="554"/>
      <c r="FQ379" s="554"/>
      <c r="FR379" s="554"/>
      <c r="FS379" s="554"/>
      <c r="FT379" s="554"/>
      <c r="FU379" s="554"/>
      <c r="FV379" s="554"/>
      <c r="FW379" s="554"/>
      <c r="FX379" s="554"/>
      <c r="FY379" s="554"/>
      <c r="FZ379" s="554"/>
      <c r="GA379" s="554"/>
      <c r="GB379" s="556"/>
      <c r="GC379" s="370"/>
      <c r="GD379" s="453"/>
      <c r="GE379" s="453"/>
      <c r="GF379" s="453"/>
      <c r="GG379" s="453"/>
      <c r="GH379" s="454"/>
      <c r="GI379" s="453"/>
      <c r="GJ379" s="453"/>
      <c r="GK379" s="453"/>
      <c r="GL379" s="453"/>
      <c r="GM379" s="453"/>
      <c r="GN379" s="453"/>
      <c r="GO379" s="453"/>
      <c r="GP379" s="453"/>
      <c r="GQ379" s="453"/>
      <c r="GR379" s="453"/>
      <c r="GS379" s="561"/>
      <c r="GT379" s="475"/>
      <c r="GU379" s="472"/>
      <c r="GV379" s="453"/>
      <c r="GW379" s="453"/>
      <c r="GX379" s="869"/>
      <c r="GY379" s="870"/>
      <c r="GZ379" s="867"/>
      <c r="HA379" s="868"/>
      <c r="HB379" s="473"/>
      <c r="HC379" s="869"/>
      <c r="HD379" s="870"/>
      <c r="HE379" s="867"/>
      <c r="HF379" s="868"/>
      <c r="HG379" s="473"/>
      <c r="HH379" s="867"/>
      <c r="HI379" s="868"/>
      <c r="HJ379" s="867"/>
      <c r="HK379" s="868"/>
      <c r="HL379" s="370"/>
      <c r="HM379" s="865"/>
      <c r="HN379" s="866"/>
      <c r="HO379" s="865"/>
      <c r="HP379" s="866"/>
      <c r="HQ379" s="865"/>
      <c r="HR379" s="866"/>
      <c r="HS379" s="867"/>
      <c r="HT379" s="868"/>
      <c r="HU379" s="489"/>
      <c r="HV379" s="865"/>
      <c r="HW379" s="866"/>
    </row>
    <row r="380" spans="25:231" ht="15" customHeight="1">
      <c r="Y380" s="332"/>
      <c r="Z380" s="332"/>
      <c r="AA380" s="332"/>
      <c r="AB380" s="332"/>
      <c r="AC380" s="332"/>
      <c r="AD380" s="332"/>
      <c r="AE380" s="332"/>
      <c r="AF380" s="332"/>
      <c r="AG380" s="332"/>
      <c r="AH380" s="332"/>
      <c r="AI380" s="332"/>
      <c r="AJ380" s="332"/>
      <c r="AK380" s="332"/>
      <c r="AL380" s="332"/>
      <c r="AM380" s="332"/>
      <c r="AN380" s="332"/>
      <c r="AO380" s="332"/>
      <c r="AP380" s="332"/>
      <c r="AQ380" s="332"/>
      <c r="AR380" s="332"/>
      <c r="AS380" s="332"/>
      <c r="AT380" s="332"/>
      <c r="AU380" s="332"/>
      <c r="AV380" s="332"/>
      <c r="AW380" s="332"/>
      <c r="AX380" s="332"/>
      <c r="AY380" s="332"/>
      <c r="AZ380" s="332"/>
      <c r="BA380" s="332"/>
      <c r="BB380" s="332"/>
      <c r="BC380" s="332"/>
      <c r="BD380" s="332"/>
      <c r="BE380" s="332"/>
      <c r="BF380" s="332"/>
      <c r="BG380" s="332"/>
      <c r="BH380" s="332"/>
      <c r="BI380" s="332"/>
      <c r="BJ380" s="332"/>
      <c r="BK380" s="332"/>
      <c r="BL380" s="332"/>
      <c r="BM380" s="332"/>
      <c r="BN380" s="332"/>
      <c r="BO380" s="332"/>
      <c r="BP380" s="332"/>
      <c r="BQ380" s="332"/>
      <c r="BR380" s="332"/>
      <c r="BS380" s="332"/>
      <c r="BT380" s="332"/>
      <c r="BU380" s="332"/>
      <c r="BV380" s="332"/>
      <c r="BW380" s="332"/>
      <c r="BX380" s="332"/>
      <c r="BY380" s="332"/>
      <c r="BZ380" s="332"/>
      <c r="CA380" s="332"/>
      <c r="CB380" s="332"/>
      <c r="CC380" s="332"/>
      <c r="CD380" s="332"/>
      <c r="CE380" s="332"/>
      <c r="CF380" s="332"/>
      <c r="CG380" s="332"/>
      <c r="CH380" s="332"/>
      <c r="CI380" s="332"/>
      <c r="CJ380" s="332"/>
      <c r="CK380" s="332"/>
      <c r="CL380" s="332"/>
      <c r="CM380" s="332"/>
      <c r="CN380" s="332"/>
      <c r="CO380" s="332"/>
      <c r="CP380" s="332"/>
      <c r="CQ380" s="332"/>
      <c r="CR380" s="332"/>
      <c r="CS380" s="332"/>
      <c r="CT380" s="332"/>
      <c r="CU380" s="332"/>
      <c r="CV380" s="332"/>
      <c r="CW380" s="332"/>
      <c r="CX380" s="332"/>
      <c r="CY380" s="332"/>
      <c r="CZ380" s="332"/>
      <c r="DA380" s="332"/>
      <c r="DB380" s="332"/>
      <c r="DC380" s="332"/>
      <c r="DD380" s="332"/>
      <c r="DE380" s="332"/>
      <c r="DF380" s="332"/>
      <c r="DG380" s="332"/>
      <c r="DH380" s="332"/>
      <c r="DI380" s="332"/>
      <c r="DJ380" s="332"/>
      <c r="DK380" s="332"/>
      <c r="DL380" s="332"/>
      <c r="DM380" s="332"/>
      <c r="DN380" s="332"/>
      <c r="DO380" s="332"/>
      <c r="DP380" s="332"/>
      <c r="DQ380" s="332"/>
      <c r="DR380" s="332"/>
      <c r="DS380" s="332"/>
      <c r="DT380" s="332"/>
      <c r="DU380" s="453"/>
      <c r="DV380" s="453"/>
      <c r="DW380" s="453"/>
      <c r="DX380" s="453"/>
      <c r="DY380" s="453"/>
      <c r="DZ380" s="453"/>
      <c r="EA380" s="453"/>
      <c r="EB380" s="453"/>
      <c r="EC380" s="559">
        <f t="shared" si="209"/>
        <v>310</v>
      </c>
      <c r="ED380" s="889">
        <f t="shared" si="210"/>
        <v>0</v>
      </c>
      <c r="EE380" s="890"/>
      <c r="EF380" s="476">
        <v>0</v>
      </c>
      <c r="EG380" s="889">
        <f t="shared" si="211"/>
        <v>0</v>
      </c>
      <c r="EH380" s="890"/>
      <c r="EI380" s="480">
        <v>0</v>
      </c>
      <c r="EJ380" s="453"/>
      <c r="EK380" s="453"/>
      <c r="EL380" s="453"/>
      <c r="EM380" s="483">
        <f t="shared" si="213"/>
        <v>71</v>
      </c>
      <c r="EN380" s="485"/>
      <c r="EO380" s="804"/>
      <c r="EP380" s="805"/>
      <c r="EQ380" s="806"/>
      <c r="ER380" s="808"/>
      <c r="ES380" s="881">
        <f t="shared" si="206"/>
        <v>0</v>
      </c>
      <c r="ET380" s="882"/>
      <c r="EU380" s="883"/>
      <c r="EV380" s="884">
        <f t="shared" si="212"/>
        <v>0</v>
      </c>
      <c r="EW380" s="885"/>
      <c r="EX380" s="885"/>
      <c r="EY380" s="885"/>
      <c r="EZ380" s="885"/>
      <c r="FA380" s="885"/>
      <c r="FB380" s="885"/>
      <c r="FC380" s="885"/>
      <c r="FD380" s="886"/>
      <c r="FE380" s="878"/>
      <c r="FF380" s="878"/>
      <c r="FG380" s="878"/>
      <c r="FH380" s="878"/>
      <c r="FI380" s="878"/>
      <c r="FJ380" s="878"/>
      <c r="FK380" s="878"/>
      <c r="FL380" s="555"/>
      <c r="FM380" s="554"/>
      <c r="FN380" s="554"/>
      <c r="FO380" s="554"/>
      <c r="FP380" s="554"/>
      <c r="FQ380" s="554"/>
      <c r="FR380" s="554"/>
      <c r="FS380" s="554"/>
      <c r="FT380" s="554"/>
      <c r="FU380" s="554"/>
      <c r="FV380" s="554"/>
      <c r="FW380" s="554"/>
      <c r="FX380" s="554"/>
      <c r="FY380" s="554"/>
      <c r="FZ380" s="554"/>
      <c r="GA380" s="554"/>
      <c r="GB380" s="556"/>
      <c r="GC380" s="370"/>
      <c r="GD380" s="453"/>
      <c r="GE380" s="453"/>
      <c r="GF380" s="453"/>
      <c r="GG380" s="453"/>
      <c r="GH380" s="454"/>
      <c r="GI380" s="453"/>
      <c r="GJ380" s="453"/>
      <c r="GK380" s="453"/>
      <c r="GL380" s="453"/>
      <c r="GM380" s="453"/>
      <c r="GN380" s="453"/>
      <c r="GO380" s="453"/>
      <c r="GP380" s="453"/>
      <c r="GQ380" s="453"/>
      <c r="GR380" s="453"/>
      <c r="GS380" s="561"/>
      <c r="GT380" s="475"/>
      <c r="GU380" s="472"/>
      <c r="GV380" s="453"/>
      <c r="GW380" s="453"/>
      <c r="GX380" s="869"/>
      <c r="GY380" s="870"/>
      <c r="GZ380" s="867"/>
      <c r="HA380" s="868"/>
      <c r="HB380" s="473"/>
      <c r="HC380" s="869"/>
      <c r="HD380" s="870"/>
      <c r="HE380" s="867"/>
      <c r="HF380" s="868"/>
      <c r="HG380" s="473"/>
      <c r="HH380" s="867"/>
      <c r="HI380" s="868"/>
      <c r="HJ380" s="867"/>
      <c r="HK380" s="868"/>
      <c r="HL380" s="370"/>
      <c r="HM380" s="865"/>
      <c r="HN380" s="866"/>
      <c r="HO380" s="865"/>
      <c r="HP380" s="866"/>
      <c r="HQ380" s="865"/>
      <c r="HR380" s="866"/>
      <c r="HS380" s="867"/>
      <c r="HT380" s="868"/>
      <c r="HU380" s="489"/>
      <c r="HV380" s="865"/>
      <c r="HW380" s="866"/>
    </row>
    <row r="381" spans="25:231" ht="15" customHeight="1">
      <c r="Y381" s="332"/>
      <c r="Z381" s="332"/>
      <c r="AA381" s="332"/>
      <c r="AB381" s="332"/>
      <c r="AC381" s="332"/>
      <c r="AD381" s="332"/>
      <c r="AE381" s="332"/>
      <c r="AF381" s="332"/>
      <c r="AG381" s="332"/>
      <c r="AH381" s="332"/>
      <c r="AI381" s="332"/>
      <c r="AJ381" s="332"/>
      <c r="AK381" s="332"/>
      <c r="AL381" s="332"/>
      <c r="AM381" s="332"/>
      <c r="AN381" s="332"/>
      <c r="AO381" s="332"/>
      <c r="AP381" s="332"/>
      <c r="AQ381" s="332"/>
      <c r="AR381" s="332"/>
      <c r="AS381" s="332"/>
      <c r="AT381" s="332"/>
      <c r="AU381" s="332"/>
      <c r="AV381" s="332"/>
      <c r="AW381" s="332"/>
      <c r="AX381" s="332"/>
      <c r="AY381" s="332"/>
      <c r="AZ381" s="332"/>
      <c r="BA381" s="332"/>
      <c r="BB381" s="332"/>
      <c r="BC381" s="332"/>
      <c r="BD381" s="332"/>
      <c r="BE381" s="332"/>
      <c r="BF381" s="332"/>
      <c r="BG381" s="332"/>
      <c r="BH381" s="332"/>
      <c r="BI381" s="332"/>
      <c r="BJ381" s="332"/>
      <c r="BK381" s="332"/>
      <c r="BL381" s="332"/>
      <c r="BM381" s="332"/>
      <c r="BN381" s="332"/>
      <c r="BO381" s="332"/>
      <c r="BP381" s="332"/>
      <c r="BQ381" s="332"/>
      <c r="BR381" s="332"/>
      <c r="BS381" s="332"/>
      <c r="BT381" s="332"/>
      <c r="BU381" s="332"/>
      <c r="BV381" s="332"/>
      <c r="BW381" s="332"/>
      <c r="BX381" s="332"/>
      <c r="BY381" s="332"/>
      <c r="BZ381" s="332"/>
      <c r="CA381" s="332"/>
      <c r="CB381" s="332"/>
      <c r="CC381" s="332"/>
      <c r="CD381" s="332"/>
      <c r="CE381" s="332"/>
      <c r="CF381" s="332"/>
      <c r="CG381" s="332"/>
      <c r="CH381" s="332"/>
      <c r="CI381" s="332"/>
      <c r="CJ381" s="332"/>
      <c r="CK381" s="332"/>
      <c r="CL381" s="332"/>
      <c r="CM381" s="332"/>
      <c r="CN381" s="332"/>
      <c r="CO381" s="332"/>
      <c r="CP381" s="332"/>
      <c r="CQ381" s="332"/>
      <c r="CR381" s="332"/>
      <c r="CS381" s="332"/>
      <c r="CT381" s="332"/>
      <c r="CU381" s="332"/>
      <c r="CV381" s="332"/>
      <c r="CW381" s="332"/>
      <c r="CX381" s="332"/>
      <c r="CY381" s="332"/>
      <c r="CZ381" s="332"/>
      <c r="DA381" s="332"/>
      <c r="DB381" s="332"/>
      <c r="DC381" s="332"/>
      <c r="DD381" s="332"/>
      <c r="DE381" s="332"/>
      <c r="DF381" s="332"/>
      <c r="DG381" s="332"/>
      <c r="DH381" s="332"/>
      <c r="DI381" s="332"/>
      <c r="DJ381" s="332"/>
      <c r="DK381" s="332"/>
      <c r="DL381" s="332"/>
      <c r="DM381" s="332"/>
      <c r="DN381" s="332"/>
      <c r="DO381" s="332"/>
      <c r="DP381" s="332"/>
      <c r="DQ381" s="332"/>
      <c r="DR381" s="332"/>
      <c r="DS381" s="332"/>
      <c r="DT381" s="332"/>
      <c r="DU381" s="453"/>
      <c r="DV381" s="453"/>
      <c r="DW381" s="453"/>
      <c r="DX381" s="453"/>
      <c r="DY381" s="453"/>
      <c r="DZ381" s="453"/>
      <c r="EA381" s="453"/>
      <c r="EB381" s="453"/>
      <c r="EC381" s="559">
        <f t="shared" si="209"/>
        <v>320</v>
      </c>
      <c r="ED381" s="889">
        <f t="shared" si="210"/>
        <v>0</v>
      </c>
      <c r="EE381" s="890"/>
      <c r="EF381" s="476">
        <v>0</v>
      </c>
      <c r="EG381" s="889">
        <f t="shared" si="211"/>
        <v>0</v>
      </c>
      <c r="EH381" s="890"/>
      <c r="EI381" s="480">
        <v>0</v>
      </c>
      <c r="EJ381" s="453"/>
      <c r="EK381" s="453"/>
      <c r="EL381" s="453"/>
      <c r="EM381" s="483">
        <f t="shared" si="213"/>
        <v>72</v>
      </c>
      <c r="EN381" s="485"/>
      <c r="EO381" s="804"/>
      <c r="EP381" s="805"/>
      <c r="EQ381" s="826"/>
      <c r="ER381" s="808"/>
      <c r="ES381" s="881">
        <f t="shared" ref="ES381:ES444" si="214">IF(OR(EO381 = "", EP381 = 0, EP381 = "", EQ381 = 0, EQ381 = "", ER381 = 0, ER381 = ""), 0,
IF(EO381 &lt;&gt; "ACCION", EP381 * ER381 * -100,  EP381 * ER381 * -1))</f>
        <v>0</v>
      </c>
      <c r="ET381" s="882"/>
      <c r="EU381" s="883"/>
      <c r="EV381" s="884">
        <f t="shared" si="212"/>
        <v>0</v>
      </c>
      <c r="EW381" s="885"/>
      <c r="EX381" s="885"/>
      <c r="EY381" s="885"/>
      <c r="EZ381" s="885"/>
      <c r="FA381" s="885"/>
      <c r="FB381" s="885"/>
      <c r="FC381" s="885"/>
      <c r="FD381" s="886"/>
      <c r="FE381" s="878"/>
      <c r="FF381" s="878"/>
      <c r="FG381" s="878"/>
      <c r="FH381" s="878"/>
      <c r="FI381" s="878"/>
      <c r="FJ381" s="878"/>
      <c r="FK381" s="878"/>
      <c r="FL381" s="555"/>
      <c r="FM381" s="554"/>
      <c r="FN381" s="554"/>
      <c r="FO381" s="554"/>
      <c r="FP381" s="554"/>
      <c r="FQ381" s="554"/>
      <c r="FR381" s="554"/>
      <c r="FS381" s="554"/>
      <c r="FT381" s="554"/>
      <c r="FU381" s="554"/>
      <c r="FV381" s="554"/>
      <c r="FW381" s="554"/>
      <c r="FX381" s="554"/>
      <c r="FY381" s="554"/>
      <c r="FZ381" s="554"/>
      <c r="GA381" s="554"/>
      <c r="GB381" s="556"/>
      <c r="GC381" s="370"/>
      <c r="GD381" s="453"/>
      <c r="GE381" s="453"/>
      <c r="GF381" s="453"/>
      <c r="GG381" s="453"/>
      <c r="GH381" s="454"/>
      <c r="GI381" s="453"/>
      <c r="GJ381" s="453"/>
      <c r="GK381" s="453"/>
      <c r="GL381" s="453"/>
      <c r="GM381" s="453"/>
      <c r="GN381" s="453"/>
      <c r="GO381" s="453"/>
      <c r="GP381" s="453"/>
      <c r="GQ381" s="453"/>
      <c r="GR381" s="453"/>
      <c r="GS381" s="561"/>
      <c r="GT381" s="475"/>
      <c r="GU381" s="472"/>
      <c r="GV381" s="453"/>
      <c r="GW381" s="453"/>
      <c r="GX381" s="869"/>
      <c r="GY381" s="870"/>
      <c r="GZ381" s="867"/>
      <c r="HA381" s="868"/>
      <c r="HB381" s="473"/>
      <c r="HC381" s="869"/>
      <c r="HD381" s="870"/>
      <c r="HE381" s="867"/>
      <c r="HF381" s="868"/>
      <c r="HG381" s="473"/>
      <c r="HH381" s="867"/>
      <c r="HI381" s="868"/>
      <c r="HJ381" s="867"/>
      <c r="HK381" s="868"/>
      <c r="HL381" s="370"/>
      <c r="HM381" s="865"/>
      <c r="HN381" s="866"/>
      <c r="HO381" s="865"/>
      <c r="HP381" s="866"/>
      <c r="HQ381" s="865"/>
      <c r="HR381" s="866"/>
      <c r="HS381" s="867"/>
      <c r="HT381" s="868"/>
      <c r="HU381" s="489"/>
      <c r="HV381" s="865"/>
      <c r="HW381" s="866"/>
    </row>
    <row r="382" spans="25:231" ht="15" customHeight="1">
      <c r="Y382" s="332"/>
      <c r="Z382" s="332"/>
      <c r="AA382" s="332"/>
      <c r="AB382" s="332"/>
      <c r="AC382" s="332"/>
      <c r="AD382" s="332"/>
      <c r="AE382" s="332"/>
      <c r="AF382" s="332"/>
      <c r="AG382" s="332"/>
      <c r="AH382" s="332"/>
      <c r="AI382" s="332"/>
      <c r="AJ382" s="332"/>
      <c r="AK382" s="332"/>
      <c r="AL382" s="332"/>
      <c r="AM382" s="332"/>
      <c r="AN382" s="332"/>
      <c r="AO382" s="332"/>
      <c r="AP382" s="332"/>
      <c r="AQ382" s="332"/>
      <c r="AR382" s="332"/>
      <c r="AS382" s="332"/>
      <c r="AT382" s="332"/>
      <c r="AU382" s="332"/>
      <c r="AV382" s="332"/>
      <c r="AW382" s="332"/>
      <c r="AX382" s="332"/>
      <c r="AY382" s="332"/>
      <c r="AZ382" s="332"/>
      <c r="BA382" s="332"/>
      <c r="BB382" s="332"/>
      <c r="BC382" s="332"/>
      <c r="BD382" s="332"/>
      <c r="BE382" s="332"/>
      <c r="BF382" s="332"/>
      <c r="BG382" s="332"/>
      <c r="BH382" s="332"/>
      <c r="BI382" s="332"/>
      <c r="BJ382" s="332"/>
      <c r="BK382" s="332"/>
      <c r="BL382" s="332"/>
      <c r="BM382" s="332"/>
      <c r="BN382" s="332"/>
      <c r="BO382" s="332"/>
      <c r="BP382" s="332"/>
      <c r="BQ382" s="332"/>
      <c r="BR382" s="332"/>
      <c r="BS382" s="332"/>
      <c r="BT382" s="332"/>
      <c r="BU382" s="332"/>
      <c r="BV382" s="332"/>
      <c r="BW382" s="332"/>
      <c r="BX382" s="332"/>
      <c r="BY382" s="332"/>
      <c r="BZ382" s="332"/>
      <c r="CA382" s="332"/>
      <c r="CB382" s="332"/>
      <c r="CC382" s="332"/>
      <c r="CD382" s="332"/>
      <c r="CE382" s="332"/>
      <c r="CF382" s="332"/>
      <c r="CG382" s="332"/>
      <c r="CH382" s="332"/>
      <c r="CI382" s="332"/>
      <c r="CJ382" s="332"/>
      <c r="CK382" s="332"/>
      <c r="CL382" s="332"/>
      <c r="CM382" s="332"/>
      <c r="CN382" s="332"/>
      <c r="CO382" s="332"/>
      <c r="CP382" s="332"/>
      <c r="CQ382" s="332"/>
      <c r="CR382" s="332"/>
      <c r="CS382" s="332"/>
      <c r="CT382" s="332"/>
      <c r="CU382" s="332"/>
      <c r="CV382" s="332"/>
      <c r="CW382" s="332"/>
      <c r="CX382" s="332"/>
      <c r="CY382" s="332"/>
      <c r="CZ382" s="332"/>
      <c r="DA382" s="332"/>
      <c r="DB382" s="332"/>
      <c r="DC382" s="332"/>
      <c r="DD382" s="332"/>
      <c r="DE382" s="332"/>
      <c r="DF382" s="332"/>
      <c r="DG382" s="332"/>
      <c r="DH382" s="332"/>
      <c r="DI382" s="332"/>
      <c r="DJ382" s="332"/>
      <c r="DK382" s="332"/>
      <c r="DL382" s="332"/>
      <c r="DM382" s="332"/>
      <c r="DN382" s="332"/>
      <c r="DO382" s="332"/>
      <c r="DP382" s="332"/>
      <c r="DQ382" s="332"/>
      <c r="DR382" s="332"/>
      <c r="DS382" s="332"/>
      <c r="DT382" s="332"/>
      <c r="DU382" s="453"/>
      <c r="DV382" s="453"/>
      <c r="DW382" s="453"/>
      <c r="DX382" s="453"/>
      <c r="DY382" s="453"/>
      <c r="DZ382" s="453"/>
      <c r="EA382" s="453"/>
      <c r="EB382" s="453"/>
      <c r="EC382" s="559">
        <f t="shared" si="209"/>
        <v>330</v>
      </c>
      <c r="ED382" s="889">
        <f t="shared" si="210"/>
        <v>0</v>
      </c>
      <c r="EE382" s="890"/>
      <c r="EF382" s="476">
        <v>0</v>
      </c>
      <c r="EG382" s="889">
        <f t="shared" si="211"/>
        <v>0</v>
      </c>
      <c r="EH382" s="890"/>
      <c r="EI382" s="480">
        <v>0</v>
      </c>
      <c r="EJ382" s="453"/>
      <c r="EK382" s="453"/>
      <c r="EL382" s="453"/>
      <c r="EM382" s="483">
        <f t="shared" si="213"/>
        <v>73</v>
      </c>
      <c r="EN382" s="485"/>
      <c r="EO382" s="804"/>
      <c r="EP382" s="805"/>
      <c r="EQ382" s="806"/>
      <c r="ER382" s="808"/>
      <c r="ES382" s="881">
        <f t="shared" si="214"/>
        <v>0</v>
      </c>
      <c r="ET382" s="882"/>
      <c r="EU382" s="883"/>
      <c r="EV382" s="884">
        <f t="shared" si="212"/>
        <v>0</v>
      </c>
      <c r="EW382" s="885"/>
      <c r="EX382" s="885"/>
      <c r="EY382" s="885"/>
      <c r="EZ382" s="885"/>
      <c r="FA382" s="885"/>
      <c r="FB382" s="885"/>
      <c r="FC382" s="885"/>
      <c r="FD382" s="886"/>
      <c r="FE382" s="878"/>
      <c r="FF382" s="878"/>
      <c r="FG382" s="878"/>
      <c r="FH382" s="878"/>
      <c r="FI382" s="878"/>
      <c r="FJ382" s="878"/>
      <c r="FK382" s="878"/>
      <c r="FL382" s="555"/>
      <c r="FM382" s="554"/>
      <c r="FN382" s="554"/>
      <c r="FO382" s="554"/>
      <c r="FP382" s="554"/>
      <c r="FQ382" s="554"/>
      <c r="FR382" s="554"/>
      <c r="FS382" s="554"/>
      <c r="FT382" s="554"/>
      <c r="FU382" s="554"/>
      <c r="FV382" s="554"/>
      <c r="FW382" s="554"/>
      <c r="FX382" s="554"/>
      <c r="FY382" s="554"/>
      <c r="FZ382" s="554"/>
      <c r="GA382" s="554"/>
      <c r="GB382" s="556"/>
      <c r="GC382" s="370"/>
      <c r="GD382" s="453"/>
      <c r="GE382" s="453"/>
      <c r="GF382" s="453"/>
      <c r="GG382" s="453"/>
      <c r="GH382" s="454"/>
      <c r="GI382" s="453"/>
      <c r="GJ382" s="453"/>
      <c r="GK382" s="453"/>
      <c r="GL382" s="453"/>
      <c r="GM382" s="453"/>
      <c r="GN382" s="453"/>
      <c r="GO382" s="453"/>
      <c r="GP382" s="453"/>
      <c r="GQ382" s="453"/>
      <c r="GR382" s="453"/>
      <c r="GS382" s="561"/>
      <c r="GT382" s="475"/>
      <c r="GU382" s="472"/>
      <c r="GV382" s="453"/>
      <c r="GW382" s="453"/>
      <c r="GX382" s="869"/>
      <c r="GY382" s="870"/>
      <c r="GZ382" s="867"/>
      <c r="HA382" s="868"/>
      <c r="HB382" s="473"/>
      <c r="HC382" s="869"/>
      <c r="HD382" s="870"/>
      <c r="HE382" s="867"/>
      <c r="HF382" s="868"/>
      <c r="HG382" s="473"/>
      <c r="HH382" s="867"/>
      <c r="HI382" s="868"/>
      <c r="HJ382" s="867"/>
      <c r="HK382" s="868"/>
      <c r="HL382" s="370"/>
      <c r="HM382" s="865"/>
      <c r="HN382" s="866"/>
      <c r="HO382" s="865"/>
      <c r="HP382" s="866"/>
      <c r="HQ382" s="865"/>
      <c r="HR382" s="866"/>
      <c r="HS382" s="867"/>
      <c r="HT382" s="868"/>
      <c r="HU382" s="489"/>
      <c r="HV382" s="865"/>
      <c r="HW382" s="866"/>
    </row>
    <row r="383" spans="25:231" ht="15" customHeight="1">
      <c r="Y383" s="332"/>
      <c r="Z383" s="332"/>
      <c r="AA383" s="332"/>
      <c r="AB383" s="332"/>
      <c r="AC383" s="332"/>
      <c r="AD383" s="332"/>
      <c r="AE383" s="332"/>
      <c r="AF383" s="332"/>
      <c r="AG383" s="332"/>
      <c r="AH383" s="332"/>
      <c r="AI383" s="332"/>
      <c r="AJ383" s="332"/>
      <c r="AK383" s="332"/>
      <c r="AL383" s="332"/>
      <c r="AM383" s="332"/>
      <c r="AN383" s="332"/>
      <c r="AO383" s="332"/>
      <c r="AP383" s="332"/>
      <c r="AQ383" s="332"/>
      <c r="AR383" s="332"/>
      <c r="AS383" s="332"/>
      <c r="AT383" s="332"/>
      <c r="AU383" s="332"/>
      <c r="AV383" s="332"/>
      <c r="AW383" s="332"/>
      <c r="AX383" s="332"/>
      <c r="AY383" s="332"/>
      <c r="AZ383" s="332"/>
      <c r="BA383" s="332"/>
      <c r="BB383" s="332"/>
      <c r="BC383" s="332"/>
      <c r="BD383" s="332"/>
      <c r="BE383" s="332"/>
      <c r="BF383" s="332"/>
      <c r="BG383" s="332"/>
      <c r="BH383" s="332"/>
      <c r="BI383" s="332"/>
      <c r="BJ383" s="332"/>
      <c r="BK383" s="332"/>
      <c r="BL383" s="332"/>
      <c r="BM383" s="332"/>
      <c r="BN383" s="332"/>
      <c r="BO383" s="332"/>
      <c r="BP383" s="332"/>
      <c r="BQ383" s="332"/>
      <c r="BR383" s="332"/>
      <c r="BS383" s="332"/>
      <c r="BT383" s="332"/>
      <c r="BU383" s="332"/>
      <c r="BV383" s="332"/>
      <c r="BW383" s="332"/>
      <c r="BX383" s="332"/>
      <c r="BY383" s="332"/>
      <c r="BZ383" s="332"/>
      <c r="CA383" s="332"/>
      <c r="CB383" s="332"/>
      <c r="CC383" s="332"/>
      <c r="CD383" s="332"/>
      <c r="CE383" s="332"/>
      <c r="CF383" s="332"/>
      <c r="CG383" s="332"/>
      <c r="CH383" s="332"/>
      <c r="CI383" s="332"/>
      <c r="CJ383" s="332"/>
      <c r="CK383" s="332"/>
      <c r="CL383" s="332"/>
      <c r="CM383" s="332"/>
      <c r="CN383" s="332"/>
      <c r="CO383" s="332"/>
      <c r="CP383" s="332"/>
      <c r="CQ383" s="332"/>
      <c r="CR383" s="332"/>
      <c r="CS383" s="332"/>
      <c r="CT383" s="332"/>
      <c r="CU383" s="332"/>
      <c r="CV383" s="332"/>
      <c r="CW383" s="332"/>
      <c r="CX383" s="332"/>
      <c r="CY383" s="332"/>
      <c r="CZ383" s="332"/>
      <c r="DA383" s="332"/>
      <c r="DB383" s="332"/>
      <c r="DC383" s="332"/>
      <c r="DD383" s="332"/>
      <c r="DE383" s="332"/>
      <c r="DF383" s="332"/>
      <c r="DG383" s="332"/>
      <c r="DH383" s="332"/>
      <c r="DI383" s="332"/>
      <c r="DJ383" s="332"/>
      <c r="DK383" s="332"/>
      <c r="DL383" s="332"/>
      <c r="DM383" s="332"/>
      <c r="DN383" s="332"/>
      <c r="DO383" s="332"/>
      <c r="DP383" s="332"/>
      <c r="DQ383" s="332"/>
      <c r="DR383" s="332"/>
      <c r="DS383" s="332"/>
      <c r="DT383" s="332"/>
      <c r="DU383" s="453"/>
      <c r="DV383" s="453"/>
      <c r="DW383" s="453"/>
      <c r="DX383" s="453"/>
      <c r="DY383" s="453"/>
      <c r="DZ383" s="453"/>
      <c r="EA383" s="453"/>
      <c r="EB383" s="453"/>
      <c r="EC383" s="559">
        <f t="shared" si="209"/>
        <v>340</v>
      </c>
      <c r="ED383" s="889">
        <f t="shared" si="210"/>
        <v>0</v>
      </c>
      <c r="EE383" s="890"/>
      <c r="EF383" s="476">
        <v>0</v>
      </c>
      <c r="EG383" s="889">
        <f t="shared" si="211"/>
        <v>0</v>
      </c>
      <c r="EH383" s="890"/>
      <c r="EI383" s="480">
        <v>0</v>
      </c>
      <c r="EJ383" s="453"/>
      <c r="EK383" s="453"/>
      <c r="EL383" s="453"/>
      <c r="EM383" s="483">
        <f t="shared" si="213"/>
        <v>74</v>
      </c>
      <c r="EN383" s="485"/>
      <c r="EO383" s="804"/>
      <c r="EP383" s="805"/>
      <c r="EQ383" s="806"/>
      <c r="ER383" s="808"/>
      <c r="ES383" s="881">
        <f t="shared" si="214"/>
        <v>0</v>
      </c>
      <c r="ET383" s="882"/>
      <c r="EU383" s="883"/>
      <c r="EV383" s="884">
        <f t="shared" si="212"/>
        <v>0</v>
      </c>
      <c r="EW383" s="885"/>
      <c r="EX383" s="885"/>
      <c r="EY383" s="885"/>
      <c r="EZ383" s="885"/>
      <c r="FA383" s="885"/>
      <c r="FB383" s="885"/>
      <c r="FC383" s="885"/>
      <c r="FD383" s="886"/>
      <c r="FE383" s="878"/>
      <c r="FF383" s="878"/>
      <c r="FG383" s="878"/>
      <c r="FH383" s="878"/>
      <c r="FI383" s="878"/>
      <c r="FJ383" s="878"/>
      <c r="FK383" s="878"/>
      <c r="FL383" s="555"/>
      <c r="FM383" s="554"/>
      <c r="FN383" s="554"/>
      <c r="FO383" s="554"/>
      <c r="FP383" s="554"/>
      <c r="FQ383" s="554"/>
      <c r="FR383" s="554"/>
      <c r="FS383" s="554"/>
      <c r="FT383" s="554"/>
      <c r="FU383" s="554"/>
      <c r="FV383" s="554"/>
      <c r="FW383" s="554"/>
      <c r="FX383" s="554"/>
      <c r="FY383" s="554"/>
      <c r="FZ383" s="554"/>
      <c r="GA383" s="554"/>
      <c r="GB383" s="556"/>
      <c r="GC383" s="370"/>
      <c r="GD383" s="453"/>
      <c r="GE383" s="453"/>
      <c r="GF383" s="453"/>
      <c r="GG383" s="453"/>
      <c r="GH383" s="454"/>
      <c r="GI383" s="453"/>
      <c r="GJ383" s="453"/>
      <c r="GK383" s="453"/>
      <c r="GL383" s="453"/>
      <c r="GM383" s="453"/>
      <c r="GN383" s="453"/>
      <c r="GO383" s="453"/>
      <c r="GP383" s="453"/>
      <c r="GQ383" s="453"/>
      <c r="GR383" s="453"/>
      <c r="GS383" s="561"/>
      <c r="GT383" s="475"/>
      <c r="GU383" s="472"/>
      <c r="GV383" s="453"/>
      <c r="GW383" s="453"/>
      <c r="GX383" s="869"/>
      <c r="GY383" s="870"/>
      <c r="GZ383" s="867"/>
      <c r="HA383" s="868"/>
      <c r="HB383" s="473"/>
      <c r="HC383" s="869"/>
      <c r="HD383" s="870"/>
      <c r="HE383" s="867"/>
      <c r="HF383" s="868"/>
      <c r="HG383" s="473"/>
      <c r="HH383" s="867"/>
      <c r="HI383" s="868"/>
      <c r="HJ383" s="867"/>
      <c r="HK383" s="868"/>
      <c r="HL383" s="370"/>
      <c r="HM383" s="865"/>
      <c r="HN383" s="866"/>
      <c r="HO383" s="865"/>
      <c r="HP383" s="866"/>
      <c r="HQ383" s="865"/>
      <c r="HR383" s="866"/>
      <c r="HS383" s="867"/>
      <c r="HT383" s="868"/>
      <c r="HU383" s="489"/>
      <c r="HV383" s="865"/>
      <c r="HW383" s="866"/>
    </row>
    <row r="384" spans="25:231" ht="15" customHeight="1">
      <c r="Y384" s="332"/>
      <c r="Z384" s="332"/>
      <c r="AA384" s="332"/>
      <c r="AB384" s="332"/>
      <c r="AC384" s="332"/>
      <c r="AD384" s="332"/>
      <c r="AE384" s="332"/>
      <c r="AF384" s="332"/>
      <c r="AG384" s="332"/>
      <c r="AH384" s="332"/>
      <c r="AI384" s="332"/>
      <c r="AJ384" s="332"/>
      <c r="AK384" s="332"/>
      <c r="AL384" s="332"/>
      <c r="AM384" s="332"/>
      <c r="AN384" s="332"/>
      <c r="AO384" s="332"/>
      <c r="AP384" s="332"/>
      <c r="AQ384" s="332"/>
      <c r="AR384" s="332"/>
      <c r="AS384" s="332"/>
      <c r="AT384" s="332"/>
      <c r="AU384" s="332"/>
      <c r="AV384" s="332"/>
      <c r="AW384" s="332"/>
      <c r="AX384" s="332"/>
      <c r="AY384" s="332"/>
      <c r="AZ384" s="332"/>
      <c r="BA384" s="332"/>
      <c r="BB384" s="332"/>
      <c r="BC384" s="332"/>
      <c r="BD384" s="332"/>
      <c r="BE384" s="332"/>
      <c r="BF384" s="332"/>
      <c r="BG384" s="332"/>
      <c r="BH384" s="332"/>
      <c r="BI384" s="332"/>
      <c r="BJ384" s="332"/>
      <c r="BK384" s="332"/>
      <c r="BL384" s="332"/>
      <c r="BM384" s="332"/>
      <c r="BN384" s="332"/>
      <c r="BO384" s="332"/>
      <c r="BP384" s="332"/>
      <c r="BQ384" s="332"/>
      <c r="BR384" s="332"/>
      <c r="BS384" s="332"/>
      <c r="BT384" s="332"/>
      <c r="BU384" s="332"/>
      <c r="BV384" s="332"/>
      <c r="BW384" s="332"/>
      <c r="BX384" s="332"/>
      <c r="BY384" s="332"/>
      <c r="BZ384" s="332"/>
      <c r="CA384" s="332"/>
      <c r="CB384" s="332"/>
      <c r="CC384" s="332"/>
      <c r="CD384" s="332"/>
      <c r="CE384" s="332"/>
      <c r="CF384" s="332"/>
      <c r="CG384" s="332"/>
      <c r="CH384" s="332"/>
      <c r="CI384" s="332"/>
      <c r="CJ384" s="332"/>
      <c r="CK384" s="332"/>
      <c r="CL384" s="332"/>
      <c r="CM384" s="332"/>
      <c r="CN384" s="332"/>
      <c r="CO384" s="332"/>
      <c r="CP384" s="332"/>
      <c r="CQ384" s="332"/>
      <c r="CR384" s="332"/>
      <c r="CS384" s="332"/>
      <c r="CT384" s="332"/>
      <c r="CU384" s="332"/>
      <c r="CV384" s="332"/>
      <c r="CW384" s="332"/>
      <c r="CX384" s="332"/>
      <c r="CY384" s="332"/>
      <c r="CZ384" s="332"/>
      <c r="DA384" s="332"/>
      <c r="DB384" s="332"/>
      <c r="DC384" s="332"/>
      <c r="DD384" s="332"/>
      <c r="DE384" s="332"/>
      <c r="DF384" s="332"/>
      <c r="DG384" s="332"/>
      <c r="DH384" s="332"/>
      <c r="DI384" s="332"/>
      <c r="DJ384" s="332"/>
      <c r="DK384" s="332"/>
      <c r="DL384" s="332"/>
      <c r="DM384" s="332"/>
      <c r="DN384" s="332"/>
      <c r="DO384" s="332"/>
      <c r="DP384" s="332"/>
      <c r="DQ384" s="332"/>
      <c r="DR384" s="332"/>
      <c r="DS384" s="332"/>
      <c r="DT384" s="332"/>
      <c r="DU384" s="453"/>
      <c r="DV384" s="453"/>
      <c r="DW384" s="453"/>
      <c r="DX384" s="453"/>
      <c r="DY384" s="453"/>
      <c r="DZ384" s="453"/>
      <c r="EA384" s="453"/>
      <c r="EB384" s="453"/>
      <c r="EC384" s="559">
        <f t="shared" si="209"/>
        <v>350</v>
      </c>
      <c r="ED384" s="889">
        <f t="shared" si="210"/>
        <v>0</v>
      </c>
      <c r="EE384" s="890"/>
      <c r="EF384" s="476">
        <v>0</v>
      </c>
      <c r="EG384" s="889">
        <f t="shared" si="211"/>
        <v>0</v>
      </c>
      <c r="EH384" s="890"/>
      <c r="EI384" s="480">
        <v>0</v>
      </c>
      <c r="EJ384" s="453"/>
      <c r="EK384" s="453"/>
      <c r="EL384" s="453"/>
      <c r="EM384" s="483">
        <f t="shared" si="213"/>
        <v>75</v>
      </c>
      <c r="EN384" s="485"/>
      <c r="EO384" s="804"/>
      <c r="EP384" s="805"/>
      <c r="EQ384" s="806"/>
      <c r="ER384" s="808"/>
      <c r="ES384" s="881">
        <f t="shared" si="214"/>
        <v>0</v>
      </c>
      <c r="ET384" s="882"/>
      <c r="EU384" s="883"/>
      <c r="EV384" s="884">
        <f t="shared" si="212"/>
        <v>0</v>
      </c>
      <c r="EW384" s="885"/>
      <c r="EX384" s="885"/>
      <c r="EY384" s="885"/>
      <c r="EZ384" s="885"/>
      <c r="FA384" s="885"/>
      <c r="FB384" s="885"/>
      <c r="FC384" s="885"/>
      <c r="FD384" s="886"/>
      <c r="FE384" s="878"/>
      <c r="FF384" s="878"/>
      <c r="FG384" s="878"/>
      <c r="FH384" s="878"/>
      <c r="FI384" s="878"/>
      <c r="FJ384" s="878"/>
      <c r="FK384" s="878"/>
      <c r="FL384" s="555"/>
      <c r="FM384" s="554"/>
      <c r="FN384" s="554"/>
      <c r="FO384" s="554"/>
      <c r="FP384" s="554"/>
      <c r="FQ384" s="554"/>
      <c r="FR384" s="554"/>
      <c r="FS384" s="554"/>
      <c r="FT384" s="554"/>
      <c r="FU384" s="554"/>
      <c r="FV384" s="554"/>
      <c r="FW384" s="554"/>
      <c r="FX384" s="554"/>
      <c r="FY384" s="554"/>
      <c r="FZ384" s="554"/>
      <c r="GA384" s="554"/>
      <c r="GB384" s="556"/>
      <c r="GC384" s="370"/>
      <c r="GD384" s="453"/>
      <c r="GE384" s="453"/>
      <c r="GF384" s="453"/>
      <c r="GG384" s="453"/>
      <c r="GH384" s="454"/>
      <c r="GI384" s="453"/>
      <c r="GJ384" s="453"/>
      <c r="GK384" s="453"/>
      <c r="GL384" s="453"/>
      <c r="GM384" s="453"/>
      <c r="GN384" s="453"/>
      <c r="GO384" s="453"/>
      <c r="GP384" s="453"/>
      <c r="GQ384" s="453"/>
      <c r="GR384" s="453"/>
      <c r="GS384" s="561"/>
      <c r="GT384" s="475"/>
      <c r="GU384" s="472"/>
      <c r="GV384" s="453"/>
      <c r="GW384" s="453"/>
      <c r="GX384" s="869"/>
      <c r="GY384" s="870"/>
      <c r="GZ384" s="867"/>
      <c r="HA384" s="868"/>
      <c r="HB384" s="473"/>
      <c r="HC384" s="869"/>
      <c r="HD384" s="870"/>
      <c r="HE384" s="867"/>
      <c r="HF384" s="868"/>
      <c r="HG384" s="473"/>
      <c r="HH384" s="867"/>
      <c r="HI384" s="868"/>
      <c r="HJ384" s="867"/>
      <c r="HK384" s="868"/>
      <c r="HL384" s="370"/>
      <c r="HM384" s="865"/>
      <c r="HN384" s="866"/>
      <c r="HO384" s="865"/>
      <c r="HP384" s="866"/>
      <c r="HQ384" s="865"/>
      <c r="HR384" s="866"/>
      <c r="HS384" s="867"/>
      <c r="HT384" s="868"/>
      <c r="HU384" s="489"/>
      <c r="HV384" s="865"/>
      <c r="HW384" s="866"/>
    </row>
    <row r="385" spans="25:231" ht="15" customHeight="1">
      <c r="Y385" s="332"/>
      <c r="Z385" s="332"/>
      <c r="AA385" s="332"/>
      <c r="AB385" s="332"/>
      <c r="AC385" s="332"/>
      <c r="AD385" s="332"/>
      <c r="AE385" s="332"/>
      <c r="AF385" s="332"/>
      <c r="AG385" s="332"/>
      <c r="AH385" s="332"/>
      <c r="AI385" s="332"/>
      <c r="AJ385" s="332"/>
      <c r="AK385" s="332"/>
      <c r="AL385" s="332"/>
      <c r="AM385" s="332"/>
      <c r="AN385" s="332"/>
      <c r="AO385" s="332"/>
      <c r="AP385" s="332"/>
      <c r="AQ385" s="332"/>
      <c r="AR385" s="332"/>
      <c r="AS385" s="332"/>
      <c r="AT385" s="332"/>
      <c r="AU385" s="332"/>
      <c r="AV385" s="332"/>
      <c r="AW385" s="332"/>
      <c r="AX385" s="332"/>
      <c r="AY385" s="332"/>
      <c r="AZ385" s="332"/>
      <c r="BA385" s="332"/>
      <c r="BB385" s="332"/>
      <c r="BC385" s="332"/>
      <c r="BD385" s="332"/>
      <c r="BE385" s="332"/>
      <c r="BF385" s="332"/>
      <c r="BG385" s="332"/>
      <c r="BH385" s="332"/>
      <c r="BI385" s="332"/>
      <c r="BJ385" s="332"/>
      <c r="BK385" s="332"/>
      <c r="BL385" s="332"/>
      <c r="BM385" s="332"/>
      <c r="BN385" s="332"/>
      <c r="BO385" s="332"/>
      <c r="BP385" s="332"/>
      <c r="BQ385" s="332"/>
      <c r="BR385" s="332"/>
      <c r="BS385" s="332"/>
      <c r="BT385" s="332"/>
      <c r="BU385" s="332"/>
      <c r="BV385" s="332"/>
      <c r="BW385" s="332"/>
      <c r="BX385" s="332"/>
      <c r="BY385" s="332"/>
      <c r="BZ385" s="332"/>
      <c r="CA385" s="332"/>
      <c r="CB385" s="332"/>
      <c r="CC385" s="332"/>
      <c r="CD385" s="332"/>
      <c r="CE385" s="332"/>
      <c r="CF385" s="332"/>
      <c r="CG385" s="332"/>
      <c r="CH385" s="332"/>
      <c r="CI385" s="332"/>
      <c r="CJ385" s="332"/>
      <c r="CK385" s="332"/>
      <c r="CL385" s="332"/>
      <c r="CM385" s="332"/>
      <c r="CN385" s="332"/>
      <c r="CO385" s="332"/>
      <c r="CP385" s="332"/>
      <c r="CQ385" s="332"/>
      <c r="CR385" s="332"/>
      <c r="CS385" s="332"/>
      <c r="CT385" s="332"/>
      <c r="CU385" s="332"/>
      <c r="CV385" s="332"/>
      <c r="CW385" s="332"/>
      <c r="CX385" s="332"/>
      <c r="CY385" s="332"/>
      <c r="CZ385" s="332"/>
      <c r="DA385" s="332"/>
      <c r="DB385" s="332"/>
      <c r="DC385" s="332"/>
      <c r="DD385" s="332"/>
      <c r="DE385" s="332"/>
      <c r="DF385" s="332"/>
      <c r="DG385" s="332"/>
      <c r="DH385" s="332"/>
      <c r="DI385" s="332"/>
      <c r="DJ385" s="332"/>
      <c r="DK385" s="332"/>
      <c r="DL385" s="332"/>
      <c r="DM385" s="332"/>
      <c r="DN385" s="332"/>
      <c r="DO385" s="332"/>
      <c r="DP385" s="332"/>
      <c r="DQ385" s="332"/>
      <c r="DR385" s="332"/>
      <c r="DS385" s="332"/>
      <c r="DT385" s="332"/>
      <c r="DU385" s="453"/>
      <c r="DV385" s="453"/>
      <c r="DW385" s="453"/>
      <c r="DX385" s="453"/>
      <c r="DY385" s="453"/>
      <c r="DZ385" s="453"/>
      <c r="EA385" s="453"/>
      <c r="EB385" s="453"/>
      <c r="EC385" s="559">
        <f t="shared" si="209"/>
        <v>360</v>
      </c>
      <c r="ED385" s="889">
        <f t="shared" si="210"/>
        <v>0</v>
      </c>
      <c r="EE385" s="890"/>
      <c r="EF385" s="476">
        <v>0</v>
      </c>
      <c r="EG385" s="889">
        <f t="shared" si="211"/>
        <v>0</v>
      </c>
      <c r="EH385" s="890"/>
      <c r="EI385" s="480">
        <v>0</v>
      </c>
      <c r="EJ385" s="453"/>
      <c r="EK385" s="453"/>
      <c r="EL385" s="453"/>
      <c r="EM385" s="483">
        <f t="shared" si="213"/>
        <v>76</v>
      </c>
      <c r="EN385" s="485"/>
      <c r="EO385" s="804"/>
      <c r="EP385" s="805"/>
      <c r="EQ385" s="806"/>
      <c r="ER385" s="808"/>
      <c r="ES385" s="881">
        <f t="shared" si="214"/>
        <v>0</v>
      </c>
      <c r="ET385" s="882"/>
      <c r="EU385" s="883"/>
      <c r="EV385" s="884">
        <f t="shared" si="212"/>
        <v>0</v>
      </c>
      <c r="EW385" s="885"/>
      <c r="EX385" s="885"/>
      <c r="EY385" s="885"/>
      <c r="EZ385" s="885"/>
      <c r="FA385" s="885"/>
      <c r="FB385" s="885"/>
      <c r="FC385" s="885"/>
      <c r="FD385" s="886"/>
      <c r="FE385" s="878"/>
      <c r="FF385" s="878"/>
      <c r="FG385" s="878"/>
      <c r="FH385" s="878"/>
      <c r="FI385" s="878"/>
      <c r="FJ385" s="878"/>
      <c r="FK385" s="878"/>
      <c r="FL385" s="555"/>
      <c r="FM385" s="554"/>
      <c r="FN385" s="554"/>
      <c r="FO385" s="554"/>
      <c r="FP385" s="554"/>
      <c r="FQ385" s="554"/>
      <c r="FR385" s="554"/>
      <c r="FS385" s="554"/>
      <c r="FT385" s="554"/>
      <c r="FU385" s="554"/>
      <c r="FV385" s="554"/>
      <c r="FW385" s="554"/>
      <c r="FX385" s="554"/>
      <c r="FY385" s="554"/>
      <c r="FZ385" s="554"/>
      <c r="GA385" s="554"/>
      <c r="GB385" s="556"/>
      <c r="GC385" s="370"/>
      <c r="GD385" s="453"/>
      <c r="GE385" s="453"/>
      <c r="GF385" s="453"/>
      <c r="GG385" s="453"/>
      <c r="GH385" s="454"/>
      <c r="GI385" s="453"/>
      <c r="GJ385" s="453"/>
      <c r="GK385" s="453"/>
      <c r="GL385" s="453"/>
      <c r="GM385" s="453"/>
      <c r="GN385" s="453"/>
      <c r="GO385" s="453"/>
      <c r="GP385" s="453"/>
      <c r="GQ385" s="453"/>
      <c r="GR385" s="453"/>
      <c r="GS385" s="561"/>
      <c r="GT385" s="475"/>
      <c r="GU385" s="472"/>
      <c r="GV385" s="453"/>
      <c r="GW385" s="453"/>
      <c r="GX385" s="869"/>
      <c r="GY385" s="870"/>
      <c r="GZ385" s="867"/>
      <c r="HA385" s="868"/>
      <c r="HB385" s="473"/>
      <c r="HC385" s="869"/>
      <c r="HD385" s="870"/>
      <c r="HE385" s="867"/>
      <c r="HF385" s="868"/>
      <c r="HG385" s="473"/>
      <c r="HH385" s="867"/>
      <c r="HI385" s="868"/>
      <c r="HJ385" s="867"/>
      <c r="HK385" s="868"/>
      <c r="HL385" s="370"/>
      <c r="HM385" s="865"/>
      <c r="HN385" s="866"/>
      <c r="HO385" s="865"/>
      <c r="HP385" s="866"/>
      <c r="HQ385" s="865"/>
      <c r="HR385" s="866"/>
      <c r="HS385" s="867"/>
      <c r="HT385" s="868"/>
      <c r="HU385" s="489"/>
      <c r="HV385" s="865"/>
      <c r="HW385" s="866"/>
    </row>
    <row r="386" spans="25:231" ht="15" customHeight="1">
      <c r="Y386" s="332"/>
      <c r="Z386" s="332"/>
      <c r="AA386" s="332"/>
      <c r="AB386" s="332"/>
      <c r="AC386" s="332"/>
      <c r="AD386" s="332"/>
      <c r="AE386" s="332"/>
      <c r="AF386" s="332"/>
      <c r="AG386" s="332"/>
      <c r="AH386" s="332"/>
      <c r="AI386" s="332"/>
      <c r="AJ386" s="332"/>
      <c r="AK386" s="332"/>
      <c r="AL386" s="332"/>
      <c r="AM386" s="332"/>
      <c r="AN386" s="332"/>
      <c r="AO386" s="332"/>
      <c r="AP386" s="332"/>
      <c r="AQ386" s="332"/>
      <c r="AR386" s="332"/>
      <c r="AS386" s="332"/>
      <c r="AT386" s="332"/>
      <c r="AU386" s="332"/>
      <c r="AV386" s="332"/>
      <c r="AW386" s="332"/>
      <c r="AX386" s="332"/>
      <c r="AY386" s="332"/>
      <c r="AZ386" s="332"/>
      <c r="BA386" s="332"/>
      <c r="BB386" s="332"/>
      <c r="BC386" s="332"/>
      <c r="BD386" s="332"/>
      <c r="BE386" s="332"/>
      <c r="BF386" s="332"/>
      <c r="BG386" s="332"/>
      <c r="BH386" s="332"/>
      <c r="BI386" s="332"/>
      <c r="BJ386" s="332"/>
      <c r="BK386" s="332"/>
      <c r="BL386" s="332"/>
      <c r="BM386" s="332"/>
      <c r="BN386" s="332"/>
      <c r="BO386" s="332"/>
      <c r="BP386" s="332"/>
      <c r="BQ386" s="332"/>
      <c r="BR386" s="332"/>
      <c r="BS386" s="332"/>
      <c r="BT386" s="332"/>
      <c r="BU386" s="332"/>
      <c r="BV386" s="332"/>
      <c r="BW386" s="332"/>
      <c r="BX386" s="332"/>
      <c r="BY386" s="332"/>
      <c r="BZ386" s="332"/>
      <c r="CA386" s="332"/>
      <c r="CB386" s="332"/>
      <c r="CC386" s="332"/>
      <c r="CD386" s="332"/>
      <c r="CE386" s="332"/>
      <c r="CF386" s="332"/>
      <c r="CG386" s="332"/>
      <c r="CH386" s="332"/>
      <c r="CI386" s="332"/>
      <c r="CJ386" s="332"/>
      <c r="CK386" s="332"/>
      <c r="CL386" s="332"/>
      <c r="CM386" s="332"/>
      <c r="CN386" s="332"/>
      <c r="CO386" s="332"/>
      <c r="CP386" s="332"/>
      <c r="CQ386" s="332"/>
      <c r="CR386" s="332"/>
      <c r="CS386" s="332"/>
      <c r="CT386" s="332"/>
      <c r="CU386" s="332"/>
      <c r="CV386" s="332"/>
      <c r="CW386" s="332"/>
      <c r="CX386" s="332"/>
      <c r="CY386" s="332"/>
      <c r="CZ386" s="332"/>
      <c r="DA386" s="332"/>
      <c r="DB386" s="332"/>
      <c r="DC386" s="332"/>
      <c r="DD386" s="332"/>
      <c r="DE386" s="332"/>
      <c r="DF386" s="332"/>
      <c r="DG386" s="332"/>
      <c r="DH386" s="332"/>
      <c r="DI386" s="332"/>
      <c r="DJ386" s="332"/>
      <c r="DK386" s="332"/>
      <c r="DL386" s="332"/>
      <c r="DM386" s="332"/>
      <c r="DN386" s="332"/>
      <c r="DO386" s="332"/>
      <c r="DP386" s="332"/>
      <c r="DQ386" s="332"/>
      <c r="DR386" s="332"/>
      <c r="DS386" s="332"/>
      <c r="DT386" s="332"/>
      <c r="DU386" s="453"/>
      <c r="DV386" s="453"/>
      <c r="DW386" s="453"/>
      <c r="DX386" s="453"/>
      <c r="DY386" s="453"/>
      <c r="DZ386" s="453"/>
      <c r="EA386" s="453"/>
      <c r="EB386" s="453"/>
      <c r="EC386" s="559" t="str">
        <f t="shared" si="209"/>
        <v/>
      </c>
      <c r="ED386" s="889">
        <f t="shared" si="210"/>
        <v>0</v>
      </c>
      <c r="EE386" s="890"/>
      <c r="EF386" s="476">
        <v>0</v>
      </c>
      <c r="EG386" s="889">
        <f t="shared" si="211"/>
        <v>0</v>
      </c>
      <c r="EH386" s="890"/>
      <c r="EI386" s="480">
        <v>0</v>
      </c>
      <c r="EJ386" s="453"/>
      <c r="EK386" s="453"/>
      <c r="EL386" s="453"/>
      <c r="EM386" s="483">
        <f t="shared" si="213"/>
        <v>77</v>
      </c>
      <c r="EN386" s="485"/>
      <c r="EO386" s="804"/>
      <c r="EP386" s="807"/>
      <c r="EQ386" s="806"/>
      <c r="ER386" s="808"/>
      <c r="ES386" s="881">
        <f t="shared" si="214"/>
        <v>0</v>
      </c>
      <c r="ET386" s="882"/>
      <c r="EU386" s="883"/>
      <c r="EV386" s="884">
        <f t="shared" si="212"/>
        <v>0</v>
      </c>
      <c r="EW386" s="885"/>
      <c r="EX386" s="885"/>
      <c r="EY386" s="885"/>
      <c r="EZ386" s="885"/>
      <c r="FA386" s="885"/>
      <c r="FB386" s="885"/>
      <c r="FC386" s="885"/>
      <c r="FD386" s="886"/>
      <c r="FE386" s="878"/>
      <c r="FF386" s="878"/>
      <c r="FG386" s="878"/>
      <c r="FH386" s="878"/>
      <c r="FI386" s="878"/>
      <c r="FJ386" s="878"/>
      <c r="FK386" s="878"/>
      <c r="FL386" s="555"/>
      <c r="FM386" s="554"/>
      <c r="FN386" s="554"/>
      <c r="FO386" s="554"/>
      <c r="FP386" s="554"/>
      <c r="FQ386" s="554"/>
      <c r="FR386" s="554"/>
      <c r="FS386" s="554"/>
      <c r="FT386" s="554"/>
      <c r="FU386" s="554"/>
      <c r="FV386" s="554"/>
      <c r="FW386" s="554"/>
      <c r="FX386" s="554"/>
      <c r="FY386" s="554"/>
      <c r="FZ386" s="554"/>
      <c r="GA386" s="554"/>
      <c r="GB386" s="556"/>
      <c r="GC386" s="370"/>
      <c r="GD386" s="453"/>
      <c r="GE386" s="453"/>
      <c r="GF386" s="453"/>
      <c r="GG386" s="453"/>
      <c r="GH386" s="454"/>
      <c r="GI386" s="453"/>
      <c r="GJ386" s="453"/>
      <c r="GK386" s="453"/>
      <c r="GL386" s="453"/>
      <c r="GM386" s="453"/>
      <c r="GN386" s="453"/>
      <c r="GO386" s="453"/>
      <c r="GP386" s="453"/>
      <c r="GQ386" s="453"/>
      <c r="GR386" s="453"/>
      <c r="GS386" s="561"/>
      <c r="GT386" s="475"/>
      <c r="GU386" s="472"/>
      <c r="GV386" s="453"/>
      <c r="GW386" s="453"/>
      <c r="GX386" s="869"/>
      <c r="GY386" s="870"/>
      <c r="GZ386" s="867"/>
      <c r="HA386" s="868"/>
      <c r="HB386" s="473"/>
      <c r="HC386" s="869"/>
      <c r="HD386" s="870"/>
      <c r="HE386" s="867"/>
      <c r="HF386" s="868"/>
      <c r="HG386" s="473"/>
      <c r="HH386" s="867"/>
      <c r="HI386" s="868"/>
      <c r="HJ386" s="867"/>
      <c r="HK386" s="868"/>
      <c r="HL386" s="370"/>
      <c r="HM386" s="865"/>
      <c r="HN386" s="866"/>
      <c r="HO386" s="865"/>
      <c r="HP386" s="866"/>
      <c r="HQ386" s="865"/>
      <c r="HR386" s="866"/>
      <c r="HS386" s="867"/>
      <c r="HT386" s="868"/>
      <c r="HU386" s="489"/>
      <c r="HV386" s="865"/>
      <c r="HW386" s="866"/>
    </row>
    <row r="387" spans="25:231" ht="15" customHeight="1">
      <c r="Y387" s="332"/>
      <c r="Z387" s="332"/>
      <c r="AA387" s="332"/>
      <c r="AB387" s="332"/>
      <c r="AC387" s="332"/>
      <c r="AD387" s="332"/>
      <c r="AE387" s="332"/>
      <c r="AF387" s="332"/>
      <c r="AG387" s="332"/>
      <c r="AH387" s="332"/>
      <c r="AI387" s="332"/>
      <c r="AJ387" s="332"/>
      <c r="AK387" s="332"/>
      <c r="AL387" s="332"/>
      <c r="AM387" s="332"/>
      <c r="AN387" s="332"/>
      <c r="AO387" s="332"/>
      <c r="AP387" s="332"/>
      <c r="AQ387" s="332"/>
      <c r="AR387" s="332"/>
      <c r="AS387" s="332"/>
      <c r="AT387" s="332"/>
      <c r="AU387" s="332"/>
      <c r="AV387" s="332"/>
      <c r="AW387" s="332"/>
      <c r="AX387" s="332"/>
      <c r="AY387" s="332"/>
      <c r="AZ387" s="332"/>
      <c r="BA387" s="332"/>
      <c r="BB387" s="332"/>
      <c r="BC387" s="332"/>
      <c r="BD387" s="332"/>
      <c r="BE387" s="332"/>
      <c r="BF387" s="332"/>
      <c r="BG387" s="332"/>
      <c r="BH387" s="332"/>
      <c r="BI387" s="332"/>
      <c r="BJ387" s="332"/>
      <c r="BK387" s="332"/>
      <c r="BL387" s="332"/>
      <c r="BM387" s="332"/>
      <c r="BN387" s="332"/>
      <c r="BO387" s="332"/>
      <c r="BP387" s="332"/>
      <c r="BQ387" s="332"/>
      <c r="BR387" s="332"/>
      <c r="BS387" s="332"/>
      <c r="BT387" s="332"/>
      <c r="BU387" s="332"/>
      <c r="BV387" s="332"/>
      <c r="BW387" s="332"/>
      <c r="BX387" s="332"/>
      <c r="BY387" s="332"/>
      <c r="BZ387" s="332"/>
      <c r="CA387" s="332"/>
      <c r="CB387" s="332"/>
      <c r="CC387" s="332"/>
      <c r="CD387" s="332"/>
      <c r="CE387" s="332"/>
      <c r="CF387" s="332"/>
      <c r="CG387" s="332"/>
      <c r="CH387" s="332"/>
      <c r="CI387" s="332"/>
      <c r="CJ387" s="332"/>
      <c r="CK387" s="332"/>
      <c r="CL387" s="332"/>
      <c r="CM387" s="332"/>
      <c r="CN387" s="332"/>
      <c r="CO387" s="332"/>
      <c r="CP387" s="332"/>
      <c r="CQ387" s="332"/>
      <c r="CR387" s="332"/>
      <c r="CS387" s="332"/>
      <c r="CT387" s="332"/>
      <c r="CU387" s="332"/>
      <c r="CV387" s="332"/>
      <c r="CW387" s="332"/>
      <c r="CX387" s="332"/>
      <c r="CY387" s="332"/>
      <c r="CZ387" s="332"/>
      <c r="DA387" s="332"/>
      <c r="DB387" s="332"/>
      <c r="DC387" s="332"/>
      <c r="DD387" s="332"/>
      <c r="DE387" s="332"/>
      <c r="DF387" s="332"/>
      <c r="DG387" s="332"/>
      <c r="DH387" s="332"/>
      <c r="DI387" s="332"/>
      <c r="DJ387" s="332"/>
      <c r="DK387" s="332"/>
      <c r="DL387" s="332"/>
      <c r="DM387" s="332"/>
      <c r="DN387" s="332"/>
      <c r="DO387" s="332"/>
      <c r="DP387" s="332"/>
      <c r="DQ387" s="332"/>
      <c r="DR387" s="332"/>
      <c r="DS387" s="332"/>
      <c r="DT387" s="332"/>
      <c r="DU387" s="453"/>
      <c r="DV387" s="453"/>
      <c r="DW387" s="453"/>
      <c r="DX387" s="453"/>
      <c r="DY387" s="453"/>
      <c r="DZ387" s="453"/>
      <c r="EA387" s="453"/>
      <c r="EB387" s="453"/>
      <c r="EC387" s="559" t="str">
        <f t="shared" si="209"/>
        <v/>
      </c>
      <c r="ED387" s="889">
        <f t="shared" si="210"/>
        <v>0</v>
      </c>
      <c r="EE387" s="890"/>
      <c r="EF387" s="476">
        <v>0</v>
      </c>
      <c r="EG387" s="889">
        <f t="shared" si="211"/>
        <v>0</v>
      </c>
      <c r="EH387" s="890"/>
      <c r="EI387" s="480">
        <v>0</v>
      </c>
      <c r="EJ387" s="453"/>
      <c r="EK387" s="453"/>
      <c r="EL387" s="453"/>
      <c r="EM387" s="483">
        <f t="shared" si="213"/>
        <v>78</v>
      </c>
      <c r="EN387" s="485"/>
      <c r="EO387" s="804"/>
      <c r="EP387" s="805"/>
      <c r="EQ387" s="806"/>
      <c r="ER387" s="808"/>
      <c r="ES387" s="881">
        <f t="shared" si="214"/>
        <v>0</v>
      </c>
      <c r="ET387" s="882"/>
      <c r="EU387" s="883"/>
      <c r="EV387" s="884">
        <f t="shared" si="212"/>
        <v>0</v>
      </c>
      <c r="EW387" s="885"/>
      <c r="EX387" s="885"/>
      <c r="EY387" s="885"/>
      <c r="EZ387" s="885"/>
      <c r="FA387" s="885"/>
      <c r="FB387" s="885"/>
      <c r="FC387" s="885"/>
      <c r="FD387" s="886"/>
      <c r="FE387" s="878"/>
      <c r="FF387" s="878"/>
      <c r="FG387" s="878"/>
      <c r="FH387" s="878"/>
      <c r="FI387" s="878"/>
      <c r="FJ387" s="878"/>
      <c r="FK387" s="878"/>
      <c r="FL387" s="555"/>
      <c r="FM387" s="554"/>
      <c r="FN387" s="554"/>
      <c r="FO387" s="554"/>
      <c r="FP387" s="554"/>
      <c r="FQ387" s="554"/>
      <c r="FR387" s="554"/>
      <c r="FS387" s="554"/>
      <c r="FT387" s="554"/>
      <c r="FU387" s="554"/>
      <c r="FV387" s="554"/>
      <c r="FW387" s="554"/>
      <c r="FX387" s="554"/>
      <c r="FY387" s="554"/>
      <c r="FZ387" s="554"/>
      <c r="GA387" s="554"/>
      <c r="GB387" s="556"/>
      <c r="GC387" s="370"/>
      <c r="GD387" s="453"/>
      <c r="GE387" s="453"/>
      <c r="GF387" s="453"/>
      <c r="GG387" s="453"/>
      <c r="GH387" s="454"/>
      <c r="GI387" s="453"/>
      <c r="GJ387" s="453"/>
      <c r="GK387" s="453"/>
      <c r="GL387" s="453"/>
      <c r="GM387" s="453"/>
      <c r="GN387" s="453"/>
      <c r="GO387" s="453"/>
      <c r="GP387" s="453"/>
      <c r="GQ387" s="453"/>
      <c r="GR387" s="453"/>
      <c r="GS387" s="561"/>
      <c r="GT387" s="475"/>
      <c r="GU387" s="472"/>
      <c r="GV387" s="453"/>
      <c r="GW387" s="453"/>
      <c r="GX387" s="869"/>
      <c r="GY387" s="870"/>
      <c r="GZ387" s="867"/>
      <c r="HA387" s="868"/>
      <c r="HB387" s="473"/>
      <c r="HC387" s="869"/>
      <c r="HD387" s="870"/>
      <c r="HE387" s="867"/>
      <c r="HF387" s="868"/>
      <c r="HG387" s="473"/>
      <c r="HH387" s="867"/>
      <c r="HI387" s="868"/>
      <c r="HJ387" s="867"/>
      <c r="HK387" s="868"/>
      <c r="HL387" s="370"/>
      <c r="HM387" s="865"/>
      <c r="HN387" s="866"/>
      <c r="HO387" s="865"/>
      <c r="HP387" s="866"/>
      <c r="HQ387" s="865"/>
      <c r="HR387" s="866"/>
      <c r="HS387" s="867"/>
      <c r="HT387" s="868"/>
      <c r="HU387" s="489"/>
      <c r="HV387" s="865"/>
      <c r="HW387" s="866"/>
    </row>
    <row r="388" spans="25:231" ht="15" customHeight="1">
      <c r="Y388" s="332"/>
      <c r="Z388" s="332"/>
      <c r="AA388" s="332"/>
      <c r="AB388" s="332"/>
      <c r="AC388" s="332"/>
      <c r="AD388" s="332"/>
      <c r="AE388" s="332"/>
      <c r="AF388" s="332"/>
      <c r="AG388" s="332"/>
      <c r="AH388" s="332"/>
      <c r="AI388" s="332"/>
      <c r="AJ388" s="332"/>
      <c r="AK388" s="332"/>
      <c r="AL388" s="332"/>
      <c r="AM388" s="332"/>
      <c r="AN388" s="332"/>
      <c r="AO388" s="332"/>
      <c r="AP388" s="332"/>
      <c r="AQ388" s="332"/>
      <c r="AR388" s="332"/>
      <c r="AS388" s="332"/>
      <c r="AT388" s="332"/>
      <c r="AU388" s="332"/>
      <c r="AV388" s="332"/>
      <c r="AW388" s="332"/>
      <c r="AX388" s="332"/>
      <c r="AY388" s="332"/>
      <c r="AZ388" s="332"/>
      <c r="BA388" s="332"/>
      <c r="BB388" s="332"/>
      <c r="BC388" s="332"/>
      <c r="BD388" s="332"/>
      <c r="BE388" s="332"/>
      <c r="BF388" s="332"/>
      <c r="BG388" s="332"/>
      <c r="BH388" s="332"/>
      <c r="BI388" s="332"/>
      <c r="BJ388" s="332"/>
      <c r="BK388" s="332"/>
      <c r="BL388" s="332"/>
      <c r="BM388" s="332"/>
      <c r="BN388" s="332"/>
      <c r="BO388" s="332"/>
      <c r="BP388" s="332"/>
      <c r="BQ388" s="332"/>
      <c r="BR388" s="332"/>
      <c r="BS388" s="332"/>
      <c r="BT388" s="332"/>
      <c r="BU388" s="332"/>
      <c r="BV388" s="332"/>
      <c r="BW388" s="332"/>
      <c r="BX388" s="332"/>
      <c r="BY388" s="332"/>
      <c r="BZ388" s="332"/>
      <c r="CA388" s="332"/>
      <c r="CB388" s="332"/>
      <c r="CC388" s="332"/>
      <c r="CD388" s="332"/>
      <c r="CE388" s="332"/>
      <c r="CF388" s="332"/>
      <c r="CG388" s="332"/>
      <c r="CH388" s="332"/>
      <c r="CI388" s="332"/>
      <c r="CJ388" s="332"/>
      <c r="CK388" s="332"/>
      <c r="CL388" s="332"/>
      <c r="CM388" s="332"/>
      <c r="CN388" s="332"/>
      <c r="CO388" s="332"/>
      <c r="CP388" s="332"/>
      <c r="CQ388" s="332"/>
      <c r="CR388" s="332"/>
      <c r="CS388" s="332"/>
      <c r="CT388" s="332"/>
      <c r="CU388" s="332"/>
      <c r="CV388" s="332"/>
      <c r="CW388" s="332"/>
      <c r="CX388" s="332"/>
      <c r="CY388" s="332"/>
      <c r="CZ388" s="332"/>
      <c r="DA388" s="332"/>
      <c r="DB388" s="332"/>
      <c r="DC388" s="332"/>
      <c r="DD388" s="332"/>
      <c r="DE388" s="332"/>
      <c r="DF388" s="332"/>
      <c r="DG388" s="332"/>
      <c r="DH388" s="332"/>
      <c r="DI388" s="332"/>
      <c r="DJ388" s="332"/>
      <c r="DK388" s="332"/>
      <c r="DL388" s="332"/>
      <c r="DM388" s="332"/>
      <c r="DN388" s="332"/>
      <c r="DO388" s="332"/>
      <c r="DP388" s="332"/>
      <c r="DQ388" s="332"/>
      <c r="DR388" s="332"/>
      <c r="DS388" s="332"/>
      <c r="DT388" s="332"/>
      <c r="DU388" s="453"/>
      <c r="DV388" s="453"/>
      <c r="DW388" s="453"/>
      <c r="DX388" s="453"/>
      <c r="DY388" s="453"/>
      <c r="DZ388" s="453"/>
      <c r="EA388" s="453"/>
      <c r="EB388" s="453"/>
      <c r="EC388" s="559" t="str">
        <f t="shared" si="209"/>
        <v/>
      </c>
      <c r="ED388" s="889">
        <f t="shared" si="210"/>
        <v>0</v>
      </c>
      <c r="EE388" s="890"/>
      <c r="EF388" s="476">
        <v>0</v>
      </c>
      <c r="EG388" s="889">
        <f t="shared" si="211"/>
        <v>0</v>
      </c>
      <c r="EH388" s="890"/>
      <c r="EI388" s="480">
        <v>0</v>
      </c>
      <c r="EJ388" s="453"/>
      <c r="EK388" s="453"/>
      <c r="EL388" s="453"/>
      <c r="EM388" s="483">
        <f t="shared" si="213"/>
        <v>79</v>
      </c>
      <c r="EN388" s="485"/>
      <c r="EO388" s="804"/>
      <c r="EP388" s="805"/>
      <c r="EQ388" s="806"/>
      <c r="ER388" s="808"/>
      <c r="ES388" s="881">
        <f t="shared" si="214"/>
        <v>0</v>
      </c>
      <c r="ET388" s="882"/>
      <c r="EU388" s="883"/>
      <c r="EV388" s="884">
        <f t="shared" si="212"/>
        <v>0</v>
      </c>
      <c r="EW388" s="885"/>
      <c r="EX388" s="885"/>
      <c r="EY388" s="885"/>
      <c r="EZ388" s="885"/>
      <c r="FA388" s="885"/>
      <c r="FB388" s="885"/>
      <c r="FC388" s="885"/>
      <c r="FD388" s="886"/>
      <c r="FE388" s="878"/>
      <c r="FF388" s="878"/>
      <c r="FG388" s="878"/>
      <c r="FH388" s="878"/>
      <c r="FI388" s="878"/>
      <c r="FJ388" s="878"/>
      <c r="FK388" s="878"/>
      <c r="FL388" s="555"/>
      <c r="FM388" s="554"/>
      <c r="FN388" s="554"/>
      <c r="FO388" s="554"/>
      <c r="FP388" s="554"/>
      <c r="FQ388" s="554"/>
      <c r="FR388" s="554"/>
      <c r="FS388" s="554"/>
      <c r="FT388" s="554"/>
      <c r="FU388" s="554"/>
      <c r="FV388" s="554"/>
      <c r="FW388" s="554"/>
      <c r="FX388" s="554"/>
      <c r="FY388" s="554"/>
      <c r="FZ388" s="554"/>
      <c r="GA388" s="554"/>
      <c r="GB388" s="556"/>
      <c r="GC388" s="370"/>
      <c r="GD388" s="453"/>
      <c r="GE388" s="453"/>
      <c r="GF388" s="453"/>
      <c r="GG388" s="453"/>
      <c r="GH388" s="454"/>
      <c r="GI388" s="453"/>
      <c r="GJ388" s="453"/>
      <c r="GK388" s="453"/>
      <c r="GL388" s="453"/>
      <c r="GM388" s="453"/>
      <c r="GN388" s="453"/>
      <c r="GO388" s="453"/>
      <c r="GP388" s="453"/>
      <c r="GQ388" s="453"/>
      <c r="GR388" s="453"/>
      <c r="GS388" s="561"/>
      <c r="GT388" s="475"/>
      <c r="GU388" s="472"/>
      <c r="GV388" s="453"/>
      <c r="GW388" s="453"/>
      <c r="GX388" s="869"/>
      <c r="GY388" s="870"/>
      <c r="GZ388" s="867"/>
      <c r="HA388" s="868"/>
      <c r="HB388" s="473"/>
      <c r="HC388" s="869"/>
      <c r="HD388" s="870"/>
      <c r="HE388" s="867"/>
      <c r="HF388" s="868"/>
      <c r="HG388" s="473"/>
      <c r="HH388" s="867"/>
      <c r="HI388" s="868"/>
      <c r="HJ388" s="867"/>
      <c r="HK388" s="868"/>
      <c r="HL388" s="370"/>
      <c r="HM388" s="865"/>
      <c r="HN388" s="866"/>
      <c r="HO388" s="865"/>
      <c r="HP388" s="866"/>
      <c r="HQ388" s="865"/>
      <c r="HR388" s="866"/>
      <c r="HS388" s="867"/>
      <c r="HT388" s="868"/>
      <c r="HU388" s="489"/>
      <c r="HV388" s="865"/>
      <c r="HW388" s="866"/>
    </row>
    <row r="389" spans="25:231" ht="15" customHeight="1">
      <c r="Y389" s="332"/>
      <c r="Z389" s="332"/>
      <c r="AA389" s="332"/>
      <c r="AB389" s="332"/>
      <c r="AC389" s="332"/>
      <c r="AD389" s="332"/>
      <c r="AE389" s="332"/>
      <c r="AF389" s="332"/>
      <c r="AG389" s="332"/>
      <c r="AH389" s="332"/>
      <c r="AI389" s="332"/>
      <c r="AJ389" s="332"/>
      <c r="AK389" s="332"/>
      <c r="AL389" s="332"/>
      <c r="AM389" s="332"/>
      <c r="AN389" s="332"/>
      <c r="AO389" s="332"/>
      <c r="AP389" s="332"/>
      <c r="AQ389" s="332"/>
      <c r="AR389" s="332"/>
      <c r="AS389" s="332"/>
      <c r="AT389" s="332"/>
      <c r="AU389" s="332"/>
      <c r="AV389" s="332"/>
      <c r="AW389" s="332"/>
      <c r="AX389" s="332"/>
      <c r="AY389" s="332"/>
      <c r="AZ389" s="332"/>
      <c r="BA389" s="332"/>
      <c r="BB389" s="332"/>
      <c r="BC389" s="332"/>
      <c r="BD389" s="332"/>
      <c r="BE389" s="332"/>
      <c r="BF389" s="332"/>
      <c r="BG389" s="332"/>
      <c r="BH389" s="332"/>
      <c r="BI389" s="332"/>
      <c r="BJ389" s="332"/>
      <c r="BK389" s="332"/>
      <c r="BL389" s="332"/>
      <c r="BM389" s="332"/>
      <c r="BN389" s="332"/>
      <c r="BO389" s="332"/>
      <c r="BP389" s="332"/>
      <c r="BQ389" s="332"/>
      <c r="BR389" s="332"/>
      <c r="BS389" s="332"/>
      <c r="BT389" s="332"/>
      <c r="BU389" s="332"/>
      <c r="BV389" s="332"/>
      <c r="BW389" s="332"/>
      <c r="BX389" s="332"/>
      <c r="BY389" s="332"/>
      <c r="BZ389" s="332"/>
      <c r="CA389" s="332"/>
      <c r="CB389" s="332"/>
      <c r="CC389" s="332"/>
      <c r="CD389" s="332"/>
      <c r="CE389" s="332"/>
      <c r="CF389" s="332"/>
      <c r="CG389" s="332"/>
      <c r="CH389" s="332"/>
      <c r="CI389" s="332"/>
      <c r="CJ389" s="332"/>
      <c r="CK389" s="332"/>
      <c r="CL389" s="332"/>
      <c r="CM389" s="332"/>
      <c r="CN389" s="332"/>
      <c r="CO389" s="332"/>
      <c r="CP389" s="332"/>
      <c r="CQ389" s="332"/>
      <c r="CR389" s="332"/>
      <c r="CS389" s="332"/>
      <c r="CT389" s="332"/>
      <c r="CU389" s="332"/>
      <c r="CV389" s="332"/>
      <c r="CW389" s="332"/>
      <c r="CX389" s="332"/>
      <c r="CY389" s="332"/>
      <c r="CZ389" s="332"/>
      <c r="DA389" s="332"/>
      <c r="DB389" s="332"/>
      <c r="DC389" s="332"/>
      <c r="DD389" s="332"/>
      <c r="DE389" s="332"/>
      <c r="DF389" s="332"/>
      <c r="DG389" s="332"/>
      <c r="DH389" s="332"/>
      <c r="DI389" s="332"/>
      <c r="DJ389" s="332"/>
      <c r="DK389" s="332"/>
      <c r="DL389" s="332"/>
      <c r="DM389" s="332"/>
      <c r="DN389" s="332"/>
      <c r="DO389" s="332"/>
      <c r="DP389" s="332"/>
      <c r="DQ389" s="332"/>
      <c r="DR389" s="332"/>
      <c r="DS389" s="332"/>
      <c r="DT389" s="332"/>
      <c r="DU389" s="453"/>
      <c r="DV389" s="453"/>
      <c r="DW389" s="453"/>
      <c r="DX389" s="453"/>
      <c r="DY389" s="453"/>
      <c r="DZ389" s="453"/>
      <c r="EA389" s="453"/>
      <c r="EB389" s="453"/>
      <c r="EC389" s="559" t="str">
        <f t="shared" si="209"/>
        <v/>
      </c>
      <c r="ED389" s="889">
        <f t="shared" si="210"/>
        <v>0</v>
      </c>
      <c r="EE389" s="890"/>
      <c r="EF389" s="476">
        <v>0</v>
      </c>
      <c r="EG389" s="889">
        <f t="shared" si="211"/>
        <v>0</v>
      </c>
      <c r="EH389" s="890"/>
      <c r="EI389" s="480">
        <v>0</v>
      </c>
      <c r="EJ389" s="453"/>
      <c r="EK389" s="453"/>
      <c r="EL389" s="453"/>
      <c r="EM389" s="483">
        <f t="shared" si="213"/>
        <v>80</v>
      </c>
      <c r="EN389" s="485"/>
      <c r="EO389" s="804"/>
      <c r="EP389" s="805"/>
      <c r="EQ389" s="806"/>
      <c r="ER389" s="808"/>
      <c r="ES389" s="881">
        <f t="shared" si="214"/>
        <v>0</v>
      </c>
      <c r="ET389" s="882"/>
      <c r="EU389" s="883"/>
      <c r="EV389" s="884">
        <f t="shared" si="212"/>
        <v>0</v>
      </c>
      <c r="EW389" s="885"/>
      <c r="EX389" s="885"/>
      <c r="EY389" s="885"/>
      <c r="EZ389" s="885"/>
      <c r="FA389" s="885"/>
      <c r="FB389" s="885"/>
      <c r="FC389" s="885"/>
      <c r="FD389" s="886"/>
      <c r="FE389" s="878"/>
      <c r="FF389" s="878"/>
      <c r="FG389" s="878"/>
      <c r="FH389" s="878"/>
      <c r="FI389" s="878"/>
      <c r="FJ389" s="878"/>
      <c r="FK389" s="878"/>
      <c r="FL389" s="555"/>
      <c r="FM389" s="554"/>
      <c r="FN389" s="554"/>
      <c r="FO389" s="554"/>
      <c r="FP389" s="554"/>
      <c r="FQ389" s="554"/>
      <c r="FR389" s="554"/>
      <c r="FS389" s="554"/>
      <c r="FT389" s="554"/>
      <c r="FU389" s="554"/>
      <c r="FV389" s="554"/>
      <c r="FW389" s="554"/>
      <c r="FX389" s="554"/>
      <c r="FY389" s="554"/>
      <c r="FZ389" s="554"/>
      <c r="GA389" s="554"/>
      <c r="GB389" s="556"/>
      <c r="GC389" s="370"/>
      <c r="GD389" s="453"/>
      <c r="GE389" s="453"/>
      <c r="GF389" s="453"/>
      <c r="GG389" s="453"/>
      <c r="GH389" s="454"/>
      <c r="GI389" s="453"/>
      <c r="GJ389" s="453"/>
      <c r="GK389" s="453"/>
      <c r="GL389" s="453"/>
      <c r="GM389" s="453"/>
      <c r="GN389" s="453"/>
      <c r="GO389" s="453"/>
      <c r="GP389" s="453"/>
      <c r="GQ389" s="453"/>
      <c r="GR389" s="453"/>
      <c r="GS389" s="561"/>
      <c r="GT389" s="475"/>
      <c r="GU389" s="472"/>
      <c r="GV389" s="453"/>
      <c r="GW389" s="453"/>
      <c r="GX389" s="869"/>
      <c r="GY389" s="870"/>
      <c r="GZ389" s="867"/>
      <c r="HA389" s="868"/>
      <c r="HB389" s="473"/>
      <c r="HC389" s="869"/>
      <c r="HD389" s="870"/>
      <c r="HE389" s="867"/>
      <c r="HF389" s="868"/>
      <c r="HG389" s="473"/>
      <c r="HH389" s="867"/>
      <c r="HI389" s="868"/>
      <c r="HJ389" s="867"/>
      <c r="HK389" s="868"/>
      <c r="HL389" s="370"/>
      <c r="HM389" s="865"/>
      <c r="HN389" s="866"/>
      <c r="HO389" s="865"/>
      <c r="HP389" s="866"/>
      <c r="HQ389" s="865"/>
      <c r="HR389" s="866"/>
      <c r="HS389" s="867"/>
      <c r="HT389" s="868"/>
      <c r="HU389" s="489"/>
      <c r="HV389" s="865"/>
      <c r="HW389" s="866"/>
    </row>
    <row r="390" spans="25:231" ht="15" customHeight="1">
      <c r="Y390" s="332"/>
      <c r="Z390" s="332"/>
      <c r="AA390" s="332"/>
      <c r="AB390" s="332"/>
      <c r="AC390" s="332"/>
      <c r="AD390" s="332"/>
      <c r="AE390" s="332"/>
      <c r="AF390" s="332"/>
      <c r="AG390" s="332"/>
      <c r="AH390" s="332"/>
      <c r="AI390" s="332"/>
      <c r="AJ390" s="332"/>
      <c r="AK390" s="332"/>
      <c r="AL390" s="332"/>
      <c r="AM390" s="332"/>
      <c r="AN390" s="332"/>
      <c r="AO390" s="332"/>
      <c r="AP390" s="332"/>
      <c r="AQ390" s="332"/>
      <c r="AR390" s="332"/>
      <c r="AS390" s="332"/>
      <c r="AT390" s="332"/>
      <c r="AU390" s="332"/>
      <c r="AV390" s="332"/>
      <c r="AW390" s="332"/>
      <c r="AX390" s="332"/>
      <c r="AY390" s="332"/>
      <c r="AZ390" s="332"/>
      <c r="BA390" s="332"/>
      <c r="BB390" s="332"/>
      <c r="BC390" s="332"/>
      <c r="BD390" s="332"/>
      <c r="BE390" s="332"/>
      <c r="BF390" s="332"/>
      <c r="BG390" s="332"/>
      <c r="BH390" s="332"/>
      <c r="BI390" s="332"/>
      <c r="BJ390" s="332"/>
      <c r="BK390" s="332"/>
      <c r="BL390" s="332"/>
      <c r="BM390" s="332"/>
      <c r="BN390" s="332"/>
      <c r="BO390" s="332"/>
      <c r="BP390" s="332"/>
      <c r="BQ390" s="332"/>
      <c r="BR390" s="332"/>
      <c r="BS390" s="332"/>
      <c r="BT390" s="332"/>
      <c r="BU390" s="332"/>
      <c r="BV390" s="332"/>
      <c r="BW390" s="332"/>
      <c r="BX390" s="332"/>
      <c r="BY390" s="332"/>
      <c r="BZ390" s="332"/>
      <c r="CA390" s="332"/>
      <c r="CB390" s="332"/>
      <c r="CC390" s="332"/>
      <c r="CD390" s="332"/>
      <c r="CE390" s="332"/>
      <c r="CF390" s="332"/>
      <c r="CG390" s="332"/>
      <c r="CH390" s="332"/>
      <c r="CI390" s="332"/>
      <c r="CJ390" s="332"/>
      <c r="CK390" s="332"/>
      <c r="CL390" s="332"/>
      <c r="CM390" s="332"/>
      <c r="CN390" s="332"/>
      <c r="CO390" s="332"/>
      <c r="CP390" s="332"/>
      <c r="CQ390" s="332"/>
      <c r="CR390" s="332"/>
      <c r="CS390" s="332"/>
      <c r="CT390" s="332"/>
      <c r="CU390" s="332"/>
      <c r="CV390" s="332"/>
      <c r="CW390" s="332"/>
      <c r="CX390" s="332"/>
      <c r="CY390" s="332"/>
      <c r="CZ390" s="332"/>
      <c r="DA390" s="332"/>
      <c r="DB390" s="332"/>
      <c r="DC390" s="332"/>
      <c r="DD390" s="332"/>
      <c r="DE390" s="332"/>
      <c r="DF390" s="332"/>
      <c r="DG390" s="332"/>
      <c r="DH390" s="332"/>
      <c r="DI390" s="332"/>
      <c r="DJ390" s="332"/>
      <c r="DK390" s="332"/>
      <c r="DL390" s="332"/>
      <c r="DM390" s="332"/>
      <c r="DN390" s="332"/>
      <c r="DO390" s="332"/>
      <c r="DP390" s="332"/>
      <c r="DQ390" s="332"/>
      <c r="DR390" s="332"/>
      <c r="DS390" s="332"/>
      <c r="DT390" s="332"/>
      <c r="DU390" s="453"/>
      <c r="DV390" s="453"/>
      <c r="DW390" s="453"/>
      <c r="DX390" s="453"/>
      <c r="DY390" s="453"/>
      <c r="DZ390" s="453"/>
      <c r="EA390" s="453"/>
      <c r="EB390" s="453"/>
      <c r="EC390" s="559" t="str">
        <f t="shared" si="209"/>
        <v/>
      </c>
      <c r="ED390" s="889">
        <f t="shared" si="210"/>
        <v>0</v>
      </c>
      <c r="EE390" s="890"/>
      <c r="EF390" s="476">
        <v>0</v>
      </c>
      <c r="EG390" s="889">
        <f t="shared" si="211"/>
        <v>0</v>
      </c>
      <c r="EH390" s="890"/>
      <c r="EI390" s="480">
        <v>0</v>
      </c>
      <c r="EJ390" s="453"/>
      <c r="EK390" s="453"/>
      <c r="EL390" s="453"/>
      <c r="EM390" s="483">
        <f t="shared" si="213"/>
        <v>81</v>
      </c>
      <c r="EN390" s="485"/>
      <c r="EO390" s="804"/>
      <c r="EP390" s="805"/>
      <c r="EQ390" s="806"/>
      <c r="ER390" s="808"/>
      <c r="ES390" s="881">
        <f t="shared" si="214"/>
        <v>0</v>
      </c>
      <c r="ET390" s="882"/>
      <c r="EU390" s="883"/>
      <c r="EV390" s="884">
        <f t="shared" si="212"/>
        <v>0</v>
      </c>
      <c r="EW390" s="885"/>
      <c r="EX390" s="885"/>
      <c r="EY390" s="885"/>
      <c r="EZ390" s="885"/>
      <c r="FA390" s="885"/>
      <c r="FB390" s="885"/>
      <c r="FC390" s="885"/>
      <c r="FD390" s="886"/>
      <c r="FE390" s="878"/>
      <c r="FF390" s="878"/>
      <c r="FG390" s="878"/>
      <c r="FH390" s="878"/>
      <c r="FI390" s="878"/>
      <c r="FJ390" s="878"/>
      <c r="FK390" s="878"/>
      <c r="FL390" s="555"/>
      <c r="FM390" s="554"/>
      <c r="FN390" s="554"/>
      <c r="FO390" s="554"/>
      <c r="FP390" s="554"/>
      <c r="FQ390" s="554"/>
      <c r="FR390" s="554"/>
      <c r="FS390" s="554"/>
      <c r="FT390" s="554"/>
      <c r="FU390" s="554"/>
      <c r="FV390" s="554"/>
      <c r="FW390" s="554"/>
      <c r="FX390" s="554"/>
      <c r="FY390" s="554"/>
      <c r="FZ390" s="554"/>
      <c r="GA390" s="554"/>
      <c r="GB390" s="556"/>
      <c r="GC390" s="370"/>
      <c r="GD390" s="453"/>
      <c r="GE390" s="453"/>
      <c r="GF390" s="453"/>
      <c r="GG390" s="453"/>
      <c r="GH390" s="454"/>
      <c r="GI390" s="453"/>
      <c r="GJ390" s="453"/>
      <c r="GK390" s="453"/>
      <c r="GL390" s="453"/>
      <c r="GM390" s="453"/>
      <c r="GN390" s="453"/>
      <c r="GO390" s="453"/>
      <c r="GP390" s="453"/>
      <c r="GQ390" s="453"/>
      <c r="GR390" s="453"/>
      <c r="GS390" s="561"/>
      <c r="GT390" s="475"/>
      <c r="GU390" s="472"/>
      <c r="GV390" s="453"/>
      <c r="GW390" s="453"/>
      <c r="GX390" s="869"/>
      <c r="GY390" s="870"/>
      <c r="GZ390" s="867"/>
      <c r="HA390" s="868"/>
      <c r="HB390" s="473"/>
      <c r="HC390" s="869"/>
      <c r="HD390" s="870"/>
      <c r="HE390" s="867"/>
      <c r="HF390" s="868"/>
      <c r="HG390" s="473"/>
      <c r="HH390" s="867"/>
      <c r="HI390" s="868"/>
      <c r="HJ390" s="867"/>
      <c r="HK390" s="868"/>
      <c r="HL390" s="370"/>
      <c r="HM390" s="865"/>
      <c r="HN390" s="866"/>
      <c r="HO390" s="865"/>
      <c r="HP390" s="866"/>
      <c r="HQ390" s="865"/>
      <c r="HR390" s="866"/>
      <c r="HS390" s="867"/>
      <c r="HT390" s="868"/>
      <c r="HU390" s="489"/>
      <c r="HV390" s="865"/>
      <c r="HW390" s="866"/>
    </row>
    <row r="391" spans="25:231" ht="15" customHeight="1">
      <c r="Y391" s="332"/>
      <c r="Z391" s="332"/>
      <c r="AA391" s="332"/>
      <c r="AB391" s="332"/>
      <c r="AC391" s="332"/>
      <c r="AD391" s="332"/>
      <c r="AE391" s="332"/>
      <c r="AF391" s="332"/>
      <c r="AG391" s="332"/>
      <c r="AH391" s="332"/>
      <c r="AI391" s="332"/>
      <c r="AJ391" s="332"/>
      <c r="AK391" s="332"/>
      <c r="AL391" s="332"/>
      <c r="AM391" s="332"/>
      <c r="AN391" s="332"/>
      <c r="AO391" s="332"/>
      <c r="AP391" s="332"/>
      <c r="AQ391" s="332"/>
      <c r="AR391" s="332"/>
      <c r="AS391" s="332"/>
      <c r="AT391" s="332"/>
      <c r="AU391" s="332"/>
      <c r="AV391" s="332"/>
      <c r="AW391" s="332"/>
      <c r="AX391" s="332"/>
      <c r="AY391" s="332"/>
      <c r="AZ391" s="332"/>
      <c r="BA391" s="332"/>
      <c r="BB391" s="332"/>
      <c r="BC391" s="332"/>
      <c r="BD391" s="332"/>
      <c r="BE391" s="332"/>
      <c r="BF391" s="332"/>
      <c r="BG391" s="332"/>
      <c r="BH391" s="332"/>
      <c r="BI391" s="332"/>
      <c r="BJ391" s="332"/>
      <c r="BK391" s="332"/>
      <c r="BL391" s="332"/>
      <c r="BM391" s="332"/>
      <c r="BN391" s="332"/>
      <c r="BO391" s="332"/>
      <c r="BP391" s="332"/>
      <c r="BQ391" s="332"/>
      <c r="BR391" s="332"/>
      <c r="BS391" s="332"/>
      <c r="BT391" s="332"/>
      <c r="BU391" s="332"/>
      <c r="BV391" s="332"/>
      <c r="BW391" s="332"/>
      <c r="BX391" s="332"/>
      <c r="BY391" s="332"/>
      <c r="BZ391" s="332"/>
      <c r="CA391" s="332"/>
      <c r="CB391" s="332"/>
      <c r="CC391" s="332"/>
      <c r="CD391" s="332"/>
      <c r="CE391" s="332"/>
      <c r="CF391" s="332"/>
      <c r="CG391" s="332"/>
      <c r="CH391" s="332"/>
      <c r="CI391" s="332"/>
      <c r="CJ391" s="332"/>
      <c r="CK391" s="332"/>
      <c r="CL391" s="332"/>
      <c r="CM391" s="332"/>
      <c r="CN391" s="332"/>
      <c r="CO391" s="332"/>
      <c r="CP391" s="332"/>
      <c r="CQ391" s="332"/>
      <c r="CR391" s="332"/>
      <c r="CS391" s="332"/>
      <c r="CT391" s="332"/>
      <c r="CU391" s="332"/>
      <c r="CV391" s="332"/>
      <c r="CW391" s="332"/>
      <c r="CX391" s="332"/>
      <c r="CY391" s="332"/>
      <c r="CZ391" s="332"/>
      <c r="DA391" s="332"/>
      <c r="DB391" s="332"/>
      <c r="DC391" s="332"/>
      <c r="DD391" s="332"/>
      <c r="DE391" s="332"/>
      <c r="DF391" s="332"/>
      <c r="DG391" s="332"/>
      <c r="DH391" s="332"/>
      <c r="DI391" s="332"/>
      <c r="DJ391" s="332"/>
      <c r="DK391" s="332"/>
      <c r="DL391" s="332"/>
      <c r="DM391" s="332"/>
      <c r="DN391" s="332"/>
      <c r="DO391" s="332"/>
      <c r="DP391" s="332"/>
      <c r="DQ391" s="332"/>
      <c r="DR391" s="332"/>
      <c r="DS391" s="332"/>
      <c r="DT391" s="332"/>
      <c r="DU391" s="453"/>
      <c r="DV391" s="453"/>
      <c r="DW391" s="453"/>
      <c r="DX391" s="453"/>
      <c r="DY391" s="453"/>
      <c r="DZ391" s="453"/>
      <c r="EA391" s="453"/>
      <c r="EB391" s="453"/>
      <c r="EC391" s="559" t="str">
        <f t="shared" si="209"/>
        <v/>
      </c>
      <c r="ED391" s="889">
        <f t="shared" si="210"/>
        <v>0</v>
      </c>
      <c r="EE391" s="890"/>
      <c r="EF391" s="476">
        <v>0</v>
      </c>
      <c r="EG391" s="889">
        <f t="shared" si="211"/>
        <v>0</v>
      </c>
      <c r="EH391" s="890"/>
      <c r="EI391" s="480">
        <v>0</v>
      </c>
      <c r="EJ391" s="453"/>
      <c r="EK391" s="453"/>
      <c r="EL391" s="453"/>
      <c r="EM391" s="483">
        <f t="shared" si="213"/>
        <v>82</v>
      </c>
      <c r="EN391" s="485"/>
      <c r="EO391" s="804"/>
      <c r="EP391" s="805"/>
      <c r="EQ391" s="806"/>
      <c r="ER391" s="808"/>
      <c r="ES391" s="881">
        <f t="shared" si="214"/>
        <v>0</v>
      </c>
      <c r="ET391" s="882"/>
      <c r="EU391" s="883"/>
      <c r="EV391" s="884">
        <f t="shared" si="212"/>
        <v>0</v>
      </c>
      <c r="EW391" s="885"/>
      <c r="EX391" s="885"/>
      <c r="EY391" s="885"/>
      <c r="EZ391" s="885"/>
      <c r="FA391" s="885"/>
      <c r="FB391" s="885"/>
      <c r="FC391" s="885"/>
      <c r="FD391" s="886"/>
      <c r="FE391" s="878"/>
      <c r="FF391" s="878"/>
      <c r="FG391" s="878"/>
      <c r="FH391" s="878"/>
      <c r="FI391" s="878"/>
      <c r="FJ391" s="878"/>
      <c r="FK391" s="878"/>
      <c r="FL391" s="555"/>
      <c r="FM391" s="554"/>
      <c r="FN391" s="554"/>
      <c r="FO391" s="554"/>
      <c r="FP391" s="554"/>
      <c r="FQ391" s="554"/>
      <c r="FR391" s="554"/>
      <c r="FS391" s="554"/>
      <c r="FT391" s="554"/>
      <c r="FU391" s="554"/>
      <c r="FV391" s="554"/>
      <c r="FW391" s="554"/>
      <c r="FX391" s="554"/>
      <c r="FY391" s="554"/>
      <c r="FZ391" s="554"/>
      <c r="GA391" s="554"/>
      <c r="GB391" s="556"/>
      <c r="GC391" s="370"/>
      <c r="GD391" s="453"/>
      <c r="GE391" s="453"/>
      <c r="GF391" s="453"/>
      <c r="GG391" s="453"/>
      <c r="GH391" s="454"/>
      <c r="GI391" s="453"/>
      <c r="GJ391" s="453"/>
      <c r="GK391" s="453"/>
      <c r="GL391" s="453"/>
      <c r="GM391" s="453"/>
      <c r="GN391" s="453"/>
      <c r="GO391" s="453"/>
      <c r="GP391" s="453"/>
      <c r="GQ391" s="453"/>
      <c r="GR391" s="453"/>
      <c r="GS391" s="561"/>
      <c r="GT391" s="475"/>
      <c r="GU391" s="472"/>
      <c r="GV391" s="453"/>
      <c r="GW391" s="453"/>
      <c r="GX391" s="869"/>
      <c r="GY391" s="870"/>
      <c r="GZ391" s="867"/>
      <c r="HA391" s="868"/>
      <c r="HB391" s="473"/>
      <c r="HC391" s="869"/>
      <c r="HD391" s="870"/>
      <c r="HE391" s="867"/>
      <c r="HF391" s="868"/>
      <c r="HG391" s="473"/>
      <c r="HH391" s="867"/>
      <c r="HI391" s="868"/>
      <c r="HJ391" s="867"/>
      <c r="HK391" s="868"/>
      <c r="HL391" s="370"/>
      <c r="HM391" s="865"/>
      <c r="HN391" s="866"/>
      <c r="HO391" s="865"/>
      <c r="HP391" s="866"/>
      <c r="HQ391" s="865"/>
      <c r="HR391" s="866"/>
      <c r="HS391" s="867"/>
      <c r="HT391" s="868"/>
      <c r="HU391" s="489"/>
      <c r="HV391" s="865"/>
      <c r="HW391" s="866"/>
    </row>
    <row r="392" spans="25:231" ht="15" customHeight="1">
      <c r="Y392" s="332"/>
      <c r="Z392" s="332"/>
      <c r="AA392" s="332"/>
      <c r="AB392" s="332"/>
      <c r="AC392" s="332"/>
      <c r="AD392" s="332"/>
      <c r="AE392" s="332"/>
      <c r="AF392" s="332"/>
      <c r="AG392" s="332"/>
      <c r="AH392" s="332"/>
      <c r="AI392" s="332"/>
      <c r="AJ392" s="332"/>
      <c r="AK392" s="332"/>
      <c r="AL392" s="332"/>
      <c r="AM392" s="332"/>
      <c r="AN392" s="332"/>
      <c r="AO392" s="332"/>
      <c r="AP392" s="332"/>
      <c r="AQ392" s="332"/>
      <c r="AR392" s="332"/>
      <c r="AS392" s="332"/>
      <c r="AT392" s="332"/>
      <c r="AU392" s="332"/>
      <c r="AV392" s="332"/>
      <c r="AW392" s="332"/>
      <c r="AX392" s="332"/>
      <c r="AY392" s="332"/>
      <c r="AZ392" s="332"/>
      <c r="BA392" s="332"/>
      <c r="BB392" s="332"/>
      <c r="BC392" s="332"/>
      <c r="BD392" s="332"/>
      <c r="BE392" s="332"/>
      <c r="BF392" s="332"/>
      <c r="BG392" s="332"/>
      <c r="BH392" s="332"/>
      <c r="BI392" s="332"/>
      <c r="BJ392" s="332"/>
      <c r="BK392" s="332"/>
      <c r="BL392" s="332"/>
      <c r="BM392" s="332"/>
      <c r="BN392" s="332"/>
      <c r="BO392" s="332"/>
      <c r="BP392" s="332"/>
      <c r="BQ392" s="332"/>
      <c r="BR392" s="332"/>
      <c r="BS392" s="332"/>
      <c r="BT392" s="332"/>
      <c r="BU392" s="332"/>
      <c r="BV392" s="332"/>
      <c r="BW392" s="332"/>
      <c r="BX392" s="332"/>
      <c r="BY392" s="332"/>
      <c r="BZ392" s="332"/>
      <c r="CA392" s="332"/>
      <c r="CB392" s="332"/>
      <c r="CC392" s="332"/>
      <c r="CD392" s="332"/>
      <c r="CE392" s="332"/>
      <c r="CF392" s="332"/>
      <c r="CG392" s="332"/>
      <c r="CH392" s="332"/>
      <c r="CI392" s="332"/>
      <c r="CJ392" s="332"/>
      <c r="CK392" s="332"/>
      <c r="CL392" s="332"/>
      <c r="CM392" s="332"/>
      <c r="CN392" s="332"/>
      <c r="CO392" s="332"/>
      <c r="CP392" s="332"/>
      <c r="CQ392" s="332"/>
      <c r="CR392" s="332"/>
      <c r="CS392" s="332"/>
      <c r="CT392" s="332"/>
      <c r="CU392" s="332"/>
      <c r="CV392" s="332"/>
      <c r="CW392" s="332"/>
      <c r="CX392" s="332"/>
      <c r="CY392" s="332"/>
      <c r="CZ392" s="332"/>
      <c r="DA392" s="332"/>
      <c r="DB392" s="332"/>
      <c r="DC392" s="332"/>
      <c r="DD392" s="332"/>
      <c r="DE392" s="332"/>
      <c r="DF392" s="332"/>
      <c r="DG392" s="332"/>
      <c r="DH392" s="332"/>
      <c r="DI392" s="332"/>
      <c r="DJ392" s="332"/>
      <c r="DK392" s="332"/>
      <c r="DL392" s="332"/>
      <c r="DM392" s="332"/>
      <c r="DN392" s="332"/>
      <c r="DO392" s="332"/>
      <c r="DP392" s="332"/>
      <c r="DQ392" s="332"/>
      <c r="DR392" s="332"/>
      <c r="DS392" s="332"/>
      <c r="DT392" s="332"/>
      <c r="DU392" s="453"/>
      <c r="DV392" s="453"/>
      <c r="DW392" s="453"/>
      <c r="DX392" s="453"/>
      <c r="DY392" s="453"/>
      <c r="DZ392" s="453"/>
      <c r="EA392" s="453"/>
      <c r="EB392" s="453"/>
      <c r="EC392" s="559" t="str">
        <f t="shared" si="209"/>
        <v/>
      </c>
      <c r="ED392" s="889">
        <f t="shared" si="210"/>
        <v>0</v>
      </c>
      <c r="EE392" s="890"/>
      <c r="EF392" s="476">
        <v>0</v>
      </c>
      <c r="EG392" s="889">
        <f t="shared" si="211"/>
        <v>0</v>
      </c>
      <c r="EH392" s="890"/>
      <c r="EI392" s="480">
        <v>0</v>
      </c>
      <c r="EJ392" s="453"/>
      <c r="EK392" s="453"/>
      <c r="EL392" s="453"/>
      <c r="EM392" s="483">
        <f t="shared" si="213"/>
        <v>83</v>
      </c>
      <c r="EN392" s="485"/>
      <c r="EO392" s="804"/>
      <c r="EP392" s="805"/>
      <c r="EQ392" s="806"/>
      <c r="ER392" s="808"/>
      <c r="ES392" s="881">
        <f t="shared" si="214"/>
        <v>0</v>
      </c>
      <c r="ET392" s="882"/>
      <c r="EU392" s="883"/>
      <c r="EV392" s="884">
        <f t="shared" si="212"/>
        <v>0</v>
      </c>
      <c r="EW392" s="885"/>
      <c r="EX392" s="885"/>
      <c r="EY392" s="885"/>
      <c r="EZ392" s="885"/>
      <c r="FA392" s="885"/>
      <c r="FB392" s="885"/>
      <c r="FC392" s="885"/>
      <c r="FD392" s="886"/>
      <c r="FE392" s="878"/>
      <c r="FF392" s="878"/>
      <c r="FG392" s="878"/>
      <c r="FH392" s="878"/>
      <c r="FI392" s="878"/>
      <c r="FJ392" s="878"/>
      <c r="FK392" s="878"/>
      <c r="FL392" s="555"/>
      <c r="FM392" s="554"/>
      <c r="FN392" s="554"/>
      <c r="FO392" s="554"/>
      <c r="FP392" s="554"/>
      <c r="FQ392" s="554"/>
      <c r="FR392" s="554"/>
      <c r="FS392" s="554"/>
      <c r="FT392" s="554"/>
      <c r="FU392" s="554"/>
      <c r="FV392" s="554"/>
      <c r="FW392" s="554"/>
      <c r="FX392" s="554"/>
      <c r="FY392" s="554"/>
      <c r="FZ392" s="554"/>
      <c r="GA392" s="554"/>
      <c r="GB392" s="556"/>
      <c r="GC392" s="370"/>
      <c r="GD392" s="453"/>
      <c r="GE392" s="453"/>
      <c r="GF392" s="453"/>
      <c r="GG392" s="453"/>
      <c r="GH392" s="454"/>
      <c r="GI392" s="453"/>
      <c r="GJ392" s="453"/>
      <c r="GK392" s="453"/>
      <c r="GL392" s="453"/>
      <c r="GM392" s="453"/>
      <c r="GN392" s="453"/>
      <c r="GO392" s="453"/>
      <c r="GP392" s="453"/>
      <c r="GQ392" s="453"/>
      <c r="GR392" s="453"/>
      <c r="GS392" s="561"/>
      <c r="GT392" s="475"/>
      <c r="GU392" s="472"/>
      <c r="GV392" s="453"/>
      <c r="GW392" s="453"/>
      <c r="GX392" s="869"/>
      <c r="GY392" s="870"/>
      <c r="GZ392" s="867"/>
      <c r="HA392" s="868"/>
      <c r="HB392" s="473"/>
      <c r="HC392" s="869"/>
      <c r="HD392" s="870"/>
      <c r="HE392" s="867"/>
      <c r="HF392" s="868"/>
      <c r="HG392" s="473"/>
      <c r="HH392" s="867"/>
      <c r="HI392" s="868"/>
      <c r="HJ392" s="867"/>
      <c r="HK392" s="868"/>
      <c r="HL392" s="370"/>
      <c r="HM392" s="865"/>
      <c r="HN392" s="866"/>
      <c r="HO392" s="865"/>
      <c r="HP392" s="866"/>
      <c r="HQ392" s="865"/>
      <c r="HR392" s="866"/>
      <c r="HS392" s="867"/>
      <c r="HT392" s="868"/>
      <c r="HU392" s="489"/>
      <c r="HV392" s="865"/>
      <c r="HW392" s="866"/>
    </row>
    <row r="393" spans="25:231" ht="15" customHeight="1">
      <c r="Y393" s="332"/>
      <c r="Z393" s="332"/>
      <c r="AA393" s="332"/>
      <c r="AB393" s="332"/>
      <c r="AC393" s="332"/>
      <c r="AD393" s="332"/>
      <c r="AE393" s="332"/>
      <c r="AF393" s="332"/>
      <c r="AG393" s="332"/>
      <c r="AH393" s="332"/>
      <c r="AI393" s="332"/>
      <c r="AJ393" s="332"/>
      <c r="AK393" s="332"/>
      <c r="AL393" s="332"/>
      <c r="AM393" s="332"/>
      <c r="AN393" s="332"/>
      <c r="AO393" s="332"/>
      <c r="AP393" s="332"/>
      <c r="AQ393" s="332"/>
      <c r="AR393" s="332"/>
      <c r="AS393" s="332"/>
      <c r="AT393" s="332"/>
      <c r="AU393" s="332"/>
      <c r="AV393" s="332"/>
      <c r="AW393" s="332"/>
      <c r="AX393" s="332"/>
      <c r="AY393" s="332"/>
      <c r="AZ393" s="332"/>
      <c r="BA393" s="332"/>
      <c r="BB393" s="332"/>
      <c r="BC393" s="332"/>
      <c r="BD393" s="332"/>
      <c r="BE393" s="332"/>
      <c r="BF393" s="332"/>
      <c r="BG393" s="332"/>
      <c r="BH393" s="332"/>
      <c r="BI393" s="332"/>
      <c r="BJ393" s="332"/>
      <c r="BK393" s="332"/>
      <c r="BL393" s="332"/>
      <c r="BM393" s="332"/>
      <c r="BN393" s="332"/>
      <c r="BO393" s="332"/>
      <c r="BP393" s="332"/>
      <c r="BQ393" s="332"/>
      <c r="BR393" s="332"/>
      <c r="BS393" s="332"/>
      <c r="BT393" s="332"/>
      <c r="BU393" s="332"/>
      <c r="BV393" s="332"/>
      <c r="BW393" s="332"/>
      <c r="BX393" s="332"/>
      <c r="BY393" s="332"/>
      <c r="BZ393" s="332"/>
      <c r="CA393" s="332"/>
      <c r="CB393" s="332"/>
      <c r="CC393" s="332"/>
      <c r="CD393" s="332"/>
      <c r="CE393" s="332"/>
      <c r="CF393" s="332"/>
      <c r="CG393" s="332"/>
      <c r="CH393" s="332"/>
      <c r="CI393" s="332"/>
      <c r="CJ393" s="332"/>
      <c r="CK393" s="332"/>
      <c r="CL393" s="332"/>
      <c r="CM393" s="332"/>
      <c r="CN393" s="332"/>
      <c r="CO393" s="332"/>
      <c r="CP393" s="332"/>
      <c r="CQ393" s="332"/>
      <c r="CR393" s="332"/>
      <c r="CS393" s="332"/>
      <c r="CT393" s="332"/>
      <c r="CU393" s="332"/>
      <c r="CV393" s="332"/>
      <c r="CW393" s="332"/>
      <c r="CX393" s="332"/>
      <c r="CY393" s="332"/>
      <c r="CZ393" s="332"/>
      <c r="DA393" s="332"/>
      <c r="DB393" s="332"/>
      <c r="DC393" s="332"/>
      <c r="DD393" s="332"/>
      <c r="DE393" s="332"/>
      <c r="DF393" s="332"/>
      <c r="DG393" s="332"/>
      <c r="DH393" s="332"/>
      <c r="DI393" s="332"/>
      <c r="DJ393" s="332"/>
      <c r="DK393" s="332"/>
      <c r="DL393" s="332"/>
      <c r="DM393" s="332"/>
      <c r="DN393" s="332"/>
      <c r="DO393" s="332"/>
      <c r="DP393" s="332"/>
      <c r="DQ393" s="332"/>
      <c r="DR393" s="332"/>
      <c r="DS393" s="332"/>
      <c r="DT393" s="332"/>
      <c r="DU393" s="453"/>
      <c r="DV393" s="453"/>
      <c r="DW393" s="453"/>
      <c r="DX393" s="453"/>
      <c r="DY393" s="453"/>
      <c r="DZ393" s="453"/>
      <c r="EA393" s="453"/>
      <c r="EB393" s="453"/>
      <c r="EC393" s="559" t="str">
        <f t="shared" si="209"/>
        <v/>
      </c>
      <c r="ED393" s="889">
        <f t="shared" si="210"/>
        <v>0</v>
      </c>
      <c r="EE393" s="890"/>
      <c r="EF393" s="476">
        <v>0</v>
      </c>
      <c r="EG393" s="889">
        <f t="shared" si="211"/>
        <v>0</v>
      </c>
      <c r="EH393" s="890"/>
      <c r="EI393" s="480">
        <v>0</v>
      </c>
      <c r="EJ393" s="453"/>
      <c r="EK393" s="453"/>
      <c r="EL393" s="453"/>
      <c r="EM393" s="483">
        <f t="shared" si="213"/>
        <v>84</v>
      </c>
      <c r="EN393" s="485"/>
      <c r="EO393" s="804"/>
      <c r="EP393" s="805"/>
      <c r="EQ393" s="806"/>
      <c r="ER393" s="808"/>
      <c r="ES393" s="881">
        <f t="shared" si="214"/>
        <v>0</v>
      </c>
      <c r="ET393" s="882"/>
      <c r="EU393" s="883"/>
      <c r="EV393" s="884">
        <f t="shared" si="212"/>
        <v>0</v>
      </c>
      <c r="EW393" s="885"/>
      <c r="EX393" s="885"/>
      <c r="EY393" s="885"/>
      <c r="EZ393" s="885"/>
      <c r="FA393" s="885"/>
      <c r="FB393" s="885"/>
      <c r="FC393" s="885"/>
      <c r="FD393" s="886"/>
      <c r="FE393" s="878"/>
      <c r="FF393" s="878"/>
      <c r="FG393" s="878"/>
      <c r="FH393" s="878"/>
      <c r="FI393" s="878"/>
      <c r="FJ393" s="878"/>
      <c r="FK393" s="878"/>
      <c r="FL393" s="555"/>
      <c r="FM393" s="554"/>
      <c r="FN393" s="554"/>
      <c r="FO393" s="554"/>
      <c r="FP393" s="554"/>
      <c r="FQ393" s="554"/>
      <c r="FR393" s="554"/>
      <c r="FS393" s="554"/>
      <c r="FT393" s="554"/>
      <c r="FU393" s="554"/>
      <c r="FV393" s="554"/>
      <c r="FW393" s="554"/>
      <c r="FX393" s="554"/>
      <c r="FY393" s="554"/>
      <c r="FZ393" s="554"/>
      <c r="GA393" s="554"/>
      <c r="GB393" s="556"/>
      <c r="GC393" s="370"/>
      <c r="GD393" s="453"/>
      <c r="GE393" s="453"/>
      <c r="GF393" s="453"/>
      <c r="GG393" s="453"/>
      <c r="GH393" s="454"/>
      <c r="GI393" s="453"/>
      <c r="GJ393" s="453"/>
      <c r="GK393" s="453"/>
      <c r="GL393" s="453"/>
      <c r="GM393" s="453"/>
      <c r="GN393" s="453"/>
      <c r="GO393" s="453"/>
      <c r="GP393" s="453"/>
      <c r="GQ393" s="453"/>
      <c r="GR393" s="453"/>
      <c r="GS393" s="561"/>
      <c r="GT393" s="475"/>
      <c r="GU393" s="472"/>
      <c r="GV393" s="453"/>
      <c r="GW393" s="453"/>
      <c r="GX393" s="869"/>
      <c r="GY393" s="870"/>
      <c r="GZ393" s="867"/>
      <c r="HA393" s="868"/>
      <c r="HB393" s="473"/>
      <c r="HC393" s="869"/>
      <c r="HD393" s="870"/>
      <c r="HE393" s="867"/>
      <c r="HF393" s="868"/>
      <c r="HG393" s="473"/>
      <c r="HH393" s="867"/>
      <c r="HI393" s="868"/>
      <c r="HJ393" s="867"/>
      <c r="HK393" s="868"/>
      <c r="HL393" s="370"/>
      <c r="HM393" s="865"/>
      <c r="HN393" s="866"/>
      <c r="HO393" s="865"/>
      <c r="HP393" s="866"/>
      <c r="HQ393" s="865"/>
      <c r="HR393" s="866"/>
      <c r="HS393" s="867"/>
      <c r="HT393" s="868"/>
      <c r="HU393" s="489"/>
      <c r="HV393" s="865"/>
      <c r="HW393" s="866"/>
    </row>
    <row r="394" spans="25:231" ht="15" customHeight="1">
      <c r="Y394" s="332"/>
      <c r="Z394" s="332"/>
      <c r="AA394" s="332"/>
      <c r="AB394" s="332"/>
      <c r="AC394" s="332"/>
      <c r="AD394" s="332"/>
      <c r="AE394" s="332"/>
      <c r="AF394" s="332"/>
      <c r="AG394" s="332"/>
      <c r="AH394" s="332"/>
      <c r="AI394" s="332"/>
      <c r="AJ394" s="332"/>
      <c r="AK394" s="332"/>
      <c r="AL394" s="332"/>
      <c r="AM394" s="332"/>
      <c r="AN394" s="332"/>
      <c r="AO394" s="332"/>
      <c r="AP394" s="332"/>
      <c r="AQ394" s="332"/>
      <c r="AR394" s="332"/>
      <c r="AS394" s="332"/>
      <c r="AT394" s="332"/>
      <c r="AU394" s="332"/>
      <c r="AV394" s="332"/>
      <c r="AW394" s="332"/>
      <c r="AX394" s="332"/>
      <c r="AY394" s="332"/>
      <c r="AZ394" s="332"/>
      <c r="BA394" s="332"/>
      <c r="BB394" s="332"/>
      <c r="BC394" s="332"/>
      <c r="BD394" s="332"/>
      <c r="BE394" s="332"/>
      <c r="BF394" s="332"/>
      <c r="BG394" s="332"/>
      <c r="BH394" s="332"/>
      <c r="BI394" s="332"/>
      <c r="BJ394" s="332"/>
      <c r="BK394" s="332"/>
      <c r="BL394" s="332"/>
      <c r="BM394" s="332"/>
      <c r="BN394" s="332"/>
      <c r="BO394" s="332"/>
      <c r="BP394" s="332"/>
      <c r="BQ394" s="332"/>
      <c r="BR394" s="332"/>
      <c r="BS394" s="332"/>
      <c r="BT394" s="332"/>
      <c r="BU394" s="332"/>
      <c r="BV394" s="332"/>
      <c r="BW394" s="332"/>
      <c r="BX394" s="332"/>
      <c r="BY394" s="332"/>
      <c r="BZ394" s="332"/>
      <c r="CA394" s="332"/>
      <c r="CB394" s="332"/>
      <c r="CC394" s="332"/>
      <c r="CD394" s="332"/>
      <c r="CE394" s="332"/>
      <c r="CF394" s="332"/>
      <c r="CG394" s="332"/>
      <c r="CH394" s="332"/>
      <c r="CI394" s="332"/>
      <c r="CJ394" s="332"/>
      <c r="CK394" s="332"/>
      <c r="CL394" s="332"/>
      <c r="CM394" s="332"/>
      <c r="CN394" s="332"/>
      <c r="CO394" s="332"/>
      <c r="CP394" s="332"/>
      <c r="CQ394" s="332"/>
      <c r="CR394" s="332"/>
      <c r="CS394" s="332"/>
      <c r="CT394" s="332"/>
      <c r="CU394" s="332"/>
      <c r="CV394" s="332"/>
      <c r="CW394" s="332"/>
      <c r="CX394" s="332"/>
      <c r="CY394" s="332"/>
      <c r="CZ394" s="332"/>
      <c r="DA394" s="332"/>
      <c r="DB394" s="332"/>
      <c r="DC394" s="332"/>
      <c r="DD394" s="332"/>
      <c r="DE394" s="332"/>
      <c r="DF394" s="332"/>
      <c r="DG394" s="332"/>
      <c r="DH394" s="332"/>
      <c r="DI394" s="332"/>
      <c r="DJ394" s="332"/>
      <c r="DK394" s="332"/>
      <c r="DL394" s="332"/>
      <c r="DM394" s="332"/>
      <c r="DN394" s="332"/>
      <c r="DO394" s="332"/>
      <c r="DP394" s="332"/>
      <c r="DQ394" s="332"/>
      <c r="DR394" s="332"/>
      <c r="DS394" s="332"/>
      <c r="DT394" s="332"/>
      <c r="DU394" s="453"/>
      <c r="DV394" s="453"/>
      <c r="DW394" s="453"/>
      <c r="DX394" s="453"/>
      <c r="DY394" s="453"/>
      <c r="DZ394" s="453"/>
      <c r="EA394" s="453"/>
      <c r="EB394" s="453"/>
      <c r="EC394" s="559" t="str">
        <f t="shared" si="209"/>
        <v/>
      </c>
      <c r="ED394" s="889">
        <f t="shared" si="210"/>
        <v>0</v>
      </c>
      <c r="EE394" s="890"/>
      <c r="EF394" s="476">
        <v>0</v>
      </c>
      <c r="EG394" s="889">
        <f t="shared" si="211"/>
        <v>0</v>
      </c>
      <c r="EH394" s="890"/>
      <c r="EI394" s="480">
        <v>0</v>
      </c>
      <c r="EJ394" s="453"/>
      <c r="EK394" s="453"/>
      <c r="EL394" s="453"/>
      <c r="EM394" s="483">
        <f t="shared" si="213"/>
        <v>85</v>
      </c>
      <c r="EN394" s="485"/>
      <c r="EO394" s="804"/>
      <c r="EP394" s="805"/>
      <c r="EQ394" s="806"/>
      <c r="ER394" s="808"/>
      <c r="ES394" s="881">
        <f t="shared" si="214"/>
        <v>0</v>
      </c>
      <c r="ET394" s="882"/>
      <c r="EU394" s="883"/>
      <c r="EV394" s="884">
        <f t="shared" si="212"/>
        <v>0</v>
      </c>
      <c r="EW394" s="885"/>
      <c r="EX394" s="885"/>
      <c r="EY394" s="885"/>
      <c r="EZ394" s="885"/>
      <c r="FA394" s="885"/>
      <c r="FB394" s="885"/>
      <c r="FC394" s="885"/>
      <c r="FD394" s="886"/>
      <c r="FE394" s="878"/>
      <c r="FF394" s="878"/>
      <c r="FG394" s="878"/>
      <c r="FH394" s="878"/>
      <c r="FI394" s="878"/>
      <c r="FJ394" s="878"/>
      <c r="FK394" s="878"/>
      <c r="FL394" s="555"/>
      <c r="FM394" s="554"/>
      <c r="FN394" s="554"/>
      <c r="FO394" s="554"/>
      <c r="FP394" s="554"/>
      <c r="FQ394" s="554"/>
      <c r="FR394" s="554"/>
      <c r="FS394" s="554"/>
      <c r="FT394" s="554"/>
      <c r="FU394" s="554"/>
      <c r="FV394" s="554"/>
      <c r="FW394" s="554"/>
      <c r="FX394" s="554"/>
      <c r="FY394" s="554"/>
      <c r="FZ394" s="554"/>
      <c r="GA394" s="554"/>
      <c r="GB394" s="556"/>
      <c r="GC394" s="370"/>
      <c r="GD394" s="453"/>
      <c r="GE394" s="453"/>
      <c r="GF394" s="453"/>
      <c r="GG394" s="453"/>
      <c r="GH394" s="454"/>
      <c r="GI394" s="453"/>
      <c r="GJ394" s="453"/>
      <c r="GK394" s="453"/>
      <c r="GL394" s="453"/>
      <c r="GM394" s="453"/>
      <c r="GN394" s="453"/>
      <c r="GO394" s="453"/>
      <c r="GP394" s="453"/>
      <c r="GQ394" s="453"/>
      <c r="GR394" s="453"/>
      <c r="GS394" s="561"/>
      <c r="GT394" s="475"/>
      <c r="GU394" s="472"/>
      <c r="GV394" s="453"/>
      <c r="GW394" s="453"/>
      <c r="GX394" s="869"/>
      <c r="GY394" s="870"/>
      <c r="GZ394" s="867"/>
      <c r="HA394" s="868"/>
      <c r="HB394" s="473"/>
      <c r="HC394" s="869"/>
      <c r="HD394" s="870"/>
      <c r="HE394" s="867"/>
      <c r="HF394" s="868"/>
      <c r="HG394" s="473"/>
      <c r="HH394" s="867"/>
      <c r="HI394" s="868"/>
      <c r="HJ394" s="867"/>
      <c r="HK394" s="868"/>
      <c r="HL394" s="370"/>
      <c r="HM394" s="865"/>
      <c r="HN394" s="866"/>
      <c r="HO394" s="865"/>
      <c r="HP394" s="866"/>
      <c r="HQ394" s="865"/>
      <c r="HR394" s="866"/>
      <c r="HS394" s="867"/>
      <c r="HT394" s="868"/>
      <c r="HU394" s="489"/>
      <c r="HV394" s="865"/>
      <c r="HW394" s="866"/>
    </row>
    <row r="395" spans="25:231" ht="15" customHeight="1">
      <c r="Y395" s="332"/>
      <c r="Z395" s="332"/>
      <c r="AA395" s="332"/>
      <c r="AB395" s="332"/>
      <c r="AC395" s="332"/>
      <c r="AD395" s="332"/>
      <c r="AE395" s="332"/>
      <c r="AF395" s="332"/>
      <c r="AG395" s="332"/>
      <c r="AH395" s="332"/>
      <c r="AI395" s="332"/>
      <c r="AJ395" s="332"/>
      <c r="AK395" s="332"/>
      <c r="AL395" s="332"/>
      <c r="AM395" s="332"/>
      <c r="AN395" s="332"/>
      <c r="AO395" s="332"/>
      <c r="AP395" s="332"/>
      <c r="AQ395" s="332"/>
      <c r="AR395" s="332"/>
      <c r="AS395" s="332"/>
      <c r="AT395" s="332"/>
      <c r="AU395" s="332"/>
      <c r="AV395" s="332"/>
      <c r="AW395" s="332"/>
      <c r="AX395" s="332"/>
      <c r="AY395" s="332"/>
      <c r="AZ395" s="332"/>
      <c r="BA395" s="332"/>
      <c r="BB395" s="332"/>
      <c r="BC395" s="332"/>
      <c r="BD395" s="332"/>
      <c r="BE395" s="332"/>
      <c r="BF395" s="332"/>
      <c r="BG395" s="332"/>
      <c r="BH395" s="332"/>
      <c r="BI395" s="332"/>
      <c r="BJ395" s="332"/>
      <c r="BK395" s="332"/>
      <c r="BL395" s="332"/>
      <c r="BM395" s="332"/>
      <c r="BN395" s="332"/>
      <c r="BO395" s="332"/>
      <c r="BP395" s="332"/>
      <c r="BQ395" s="332"/>
      <c r="BR395" s="332"/>
      <c r="BS395" s="332"/>
      <c r="BT395" s="332"/>
      <c r="BU395" s="332"/>
      <c r="BV395" s="332"/>
      <c r="BW395" s="332"/>
      <c r="BX395" s="332"/>
      <c r="BY395" s="332"/>
      <c r="BZ395" s="332"/>
      <c r="CA395" s="332"/>
      <c r="CB395" s="332"/>
      <c r="CC395" s="332"/>
      <c r="CD395" s="332"/>
      <c r="CE395" s="332"/>
      <c r="CF395" s="332"/>
      <c r="CG395" s="332"/>
      <c r="CH395" s="332"/>
      <c r="CI395" s="332"/>
      <c r="CJ395" s="332"/>
      <c r="CK395" s="332"/>
      <c r="CL395" s="332"/>
      <c r="CM395" s="332"/>
      <c r="CN395" s="332"/>
      <c r="CO395" s="332"/>
      <c r="CP395" s="332"/>
      <c r="CQ395" s="332"/>
      <c r="CR395" s="332"/>
      <c r="CS395" s="332"/>
      <c r="CT395" s="332"/>
      <c r="CU395" s="332"/>
      <c r="CV395" s="332"/>
      <c r="CW395" s="332"/>
      <c r="CX395" s="332"/>
      <c r="CY395" s="332"/>
      <c r="CZ395" s="332"/>
      <c r="DA395" s="332"/>
      <c r="DB395" s="332"/>
      <c r="DC395" s="332"/>
      <c r="DD395" s="332"/>
      <c r="DE395" s="332"/>
      <c r="DF395" s="332"/>
      <c r="DG395" s="332"/>
      <c r="DH395" s="332"/>
      <c r="DI395" s="332"/>
      <c r="DJ395" s="332"/>
      <c r="DK395" s="332"/>
      <c r="DL395" s="332"/>
      <c r="DM395" s="332"/>
      <c r="DN395" s="332"/>
      <c r="DO395" s="332"/>
      <c r="DP395" s="332"/>
      <c r="DQ395" s="332"/>
      <c r="DR395" s="332"/>
      <c r="DS395" s="332"/>
      <c r="DT395" s="332"/>
      <c r="DU395" s="453"/>
      <c r="DV395" s="453"/>
      <c r="DW395" s="453"/>
      <c r="DX395" s="453"/>
      <c r="DY395" s="453"/>
      <c r="DZ395" s="453"/>
      <c r="EA395" s="453"/>
      <c r="EB395" s="453"/>
      <c r="EC395" s="559" t="str">
        <f t="shared" si="209"/>
        <v/>
      </c>
      <c r="ED395" s="889">
        <f t="shared" si="210"/>
        <v>0</v>
      </c>
      <c r="EE395" s="890"/>
      <c r="EF395" s="476">
        <v>0</v>
      </c>
      <c r="EG395" s="889">
        <f t="shared" si="211"/>
        <v>0</v>
      </c>
      <c r="EH395" s="890"/>
      <c r="EI395" s="480">
        <v>0</v>
      </c>
      <c r="EJ395" s="453"/>
      <c r="EK395" s="453"/>
      <c r="EL395" s="453"/>
      <c r="EM395" s="483">
        <f t="shared" si="213"/>
        <v>86</v>
      </c>
      <c r="EN395" s="485"/>
      <c r="EO395" s="804"/>
      <c r="EP395" s="805"/>
      <c r="EQ395" s="806"/>
      <c r="ER395" s="808"/>
      <c r="ES395" s="881">
        <f t="shared" ref="ES395" si="215">IF(OR(EO395 = "", EP395 = 0, EP395 = "", EQ395 = 0, EQ395 = "", ER395 = 0, ER395 = ""), 0,
IF(EO395 &lt;&gt; "ACCION", EP395 * ER395 * -100,  EP395 * ER395 * -1))</f>
        <v>0</v>
      </c>
      <c r="ET395" s="882"/>
      <c r="EU395" s="883"/>
      <c r="EV395" s="884">
        <f t="shared" si="212"/>
        <v>0</v>
      </c>
      <c r="EW395" s="885"/>
      <c r="EX395" s="885"/>
      <c r="EY395" s="885"/>
      <c r="EZ395" s="885"/>
      <c r="FA395" s="885"/>
      <c r="FB395" s="885"/>
      <c r="FC395" s="885"/>
      <c r="FD395" s="886"/>
      <c r="FE395" s="878"/>
      <c r="FF395" s="878"/>
      <c r="FG395" s="878"/>
      <c r="FH395" s="878"/>
      <c r="FI395" s="878"/>
      <c r="FJ395" s="878"/>
      <c r="FK395" s="878"/>
      <c r="FL395" s="555"/>
      <c r="FM395" s="554"/>
      <c r="FN395" s="554"/>
      <c r="FO395" s="554"/>
      <c r="FP395" s="554"/>
      <c r="FQ395" s="554"/>
      <c r="FR395" s="554"/>
      <c r="FS395" s="554"/>
      <c r="FT395" s="554"/>
      <c r="FU395" s="554"/>
      <c r="FV395" s="554"/>
      <c r="FW395" s="554"/>
      <c r="FX395" s="554"/>
      <c r="FY395" s="554"/>
      <c r="FZ395" s="554"/>
      <c r="GA395" s="554"/>
      <c r="GB395" s="556"/>
      <c r="GC395" s="370"/>
      <c r="GD395" s="453"/>
      <c r="GE395" s="453"/>
      <c r="GF395" s="453"/>
      <c r="GG395" s="453"/>
      <c r="GH395" s="454"/>
      <c r="GI395" s="453"/>
      <c r="GJ395" s="453"/>
      <c r="GK395" s="453"/>
      <c r="GL395" s="453"/>
      <c r="GM395" s="453"/>
      <c r="GN395" s="453"/>
      <c r="GO395" s="453"/>
      <c r="GP395" s="453"/>
      <c r="GQ395" s="453"/>
      <c r="GR395" s="453"/>
      <c r="GS395" s="561"/>
      <c r="GT395" s="475"/>
      <c r="GU395" s="472"/>
      <c r="GV395" s="453"/>
      <c r="GW395" s="453"/>
      <c r="GX395" s="869"/>
      <c r="GY395" s="870"/>
      <c r="GZ395" s="867"/>
      <c r="HA395" s="868"/>
      <c r="HB395" s="473"/>
      <c r="HC395" s="869"/>
      <c r="HD395" s="870"/>
      <c r="HE395" s="867"/>
      <c r="HF395" s="868"/>
      <c r="HG395" s="473"/>
      <c r="HH395" s="867"/>
      <c r="HI395" s="868"/>
      <c r="HJ395" s="867"/>
      <c r="HK395" s="868"/>
      <c r="HL395" s="370"/>
      <c r="HM395" s="865"/>
      <c r="HN395" s="866"/>
      <c r="HO395" s="865"/>
      <c r="HP395" s="866"/>
      <c r="HQ395" s="865"/>
      <c r="HR395" s="866"/>
      <c r="HS395" s="867"/>
      <c r="HT395" s="868"/>
      <c r="HU395" s="489"/>
      <c r="HV395" s="865"/>
      <c r="HW395" s="866"/>
    </row>
    <row r="396" spans="25:231" ht="15" customHeight="1" thickBot="1">
      <c r="Y396" s="332"/>
      <c r="Z396" s="332"/>
      <c r="AA396" s="332"/>
      <c r="AB396" s="332"/>
      <c r="AC396" s="332"/>
      <c r="AD396" s="332"/>
      <c r="AE396" s="332"/>
      <c r="AF396" s="332"/>
      <c r="AG396" s="332"/>
      <c r="AH396" s="332"/>
      <c r="AI396" s="332"/>
      <c r="AJ396" s="332"/>
      <c r="AK396" s="332"/>
      <c r="AL396" s="332"/>
      <c r="AM396" s="332"/>
      <c r="AN396" s="332"/>
      <c r="AO396" s="332"/>
      <c r="AP396" s="332"/>
      <c r="AQ396" s="332"/>
      <c r="AR396" s="332"/>
      <c r="AS396" s="332"/>
      <c r="AT396" s="332"/>
      <c r="AU396" s="332"/>
      <c r="AV396" s="332"/>
      <c r="AW396" s="332"/>
      <c r="AX396" s="332"/>
      <c r="AY396" s="332"/>
      <c r="AZ396" s="332"/>
      <c r="BA396" s="332"/>
      <c r="BB396" s="332"/>
      <c r="BC396" s="332"/>
      <c r="BD396" s="332"/>
      <c r="BE396" s="332"/>
      <c r="BF396" s="332"/>
      <c r="BG396" s="332"/>
      <c r="BH396" s="332"/>
      <c r="BI396" s="332"/>
      <c r="BJ396" s="332"/>
      <c r="BK396" s="332"/>
      <c r="BL396" s="332"/>
      <c r="BM396" s="332"/>
      <c r="BN396" s="332"/>
      <c r="BO396" s="332"/>
      <c r="BP396" s="332"/>
      <c r="BQ396" s="332"/>
      <c r="BR396" s="332"/>
      <c r="BS396" s="332"/>
      <c r="BT396" s="332"/>
      <c r="BU396" s="332"/>
      <c r="BV396" s="332"/>
      <c r="BW396" s="332"/>
      <c r="BX396" s="332"/>
      <c r="BY396" s="332"/>
      <c r="BZ396" s="332"/>
      <c r="CA396" s="332"/>
      <c r="CB396" s="332"/>
      <c r="CC396" s="332"/>
      <c r="CD396" s="332"/>
      <c r="CE396" s="332"/>
      <c r="CF396" s="332"/>
      <c r="CG396" s="332"/>
      <c r="CH396" s="332"/>
      <c r="CI396" s="332"/>
      <c r="CJ396" s="332"/>
      <c r="CK396" s="332"/>
      <c r="CL396" s="332"/>
      <c r="CM396" s="332"/>
      <c r="CN396" s="332"/>
      <c r="CO396" s="332"/>
      <c r="CP396" s="332"/>
      <c r="CQ396" s="332"/>
      <c r="CR396" s="332"/>
      <c r="CS396" s="332"/>
      <c r="CT396" s="332"/>
      <c r="CU396" s="332"/>
      <c r="CV396" s="332"/>
      <c r="CW396" s="332"/>
      <c r="CX396" s="332"/>
      <c r="CY396" s="332"/>
      <c r="CZ396" s="332"/>
      <c r="DA396" s="332"/>
      <c r="DB396" s="332"/>
      <c r="DC396" s="332"/>
      <c r="DD396" s="332"/>
      <c r="DE396" s="332"/>
      <c r="DF396" s="332"/>
      <c r="DG396" s="332"/>
      <c r="DH396" s="332"/>
      <c r="DI396" s="332"/>
      <c r="DJ396" s="332"/>
      <c r="DK396" s="332"/>
      <c r="DL396" s="332"/>
      <c r="DM396" s="332"/>
      <c r="DN396" s="332"/>
      <c r="DO396" s="332"/>
      <c r="DP396" s="332"/>
      <c r="DQ396" s="332"/>
      <c r="DR396" s="332"/>
      <c r="DS396" s="332"/>
      <c r="DT396" s="332"/>
      <c r="DU396" s="453"/>
      <c r="DV396" s="453"/>
      <c r="DW396" s="453"/>
      <c r="DX396" s="453"/>
      <c r="DY396" s="453"/>
      <c r="DZ396" s="453"/>
      <c r="EA396" s="453"/>
      <c r="EB396" s="453"/>
      <c r="EC396" s="463" t="str">
        <f t="shared" si="209"/>
        <v>GGAL</v>
      </c>
      <c r="ED396" s="1047">
        <f t="shared" si="210"/>
        <v>0</v>
      </c>
      <c r="EE396" s="1048"/>
      <c r="EF396" s="478">
        <v>0</v>
      </c>
      <c r="EG396" s="1047">
        <f t="shared" si="211"/>
        <v>0</v>
      </c>
      <c r="EH396" s="1048"/>
      <c r="EI396" s="566">
        <f t="shared" ref="EI396" si="216">+IF(EG396 = 0, 0, SUMIFS($HV$310:$HW$1507, $HM$310:$HN$1507, EC396, $HS$310:$HT$1507, "PUT"))</f>
        <v>0</v>
      </c>
      <c r="EJ396" s="453"/>
      <c r="EK396" s="453"/>
      <c r="EL396" s="453"/>
      <c r="EM396" s="483">
        <f t="shared" si="213"/>
        <v>87</v>
      </c>
      <c r="EN396" s="485"/>
      <c r="EO396" s="804"/>
      <c r="EP396" s="805"/>
      <c r="EQ396" s="806"/>
      <c r="ER396" s="808"/>
      <c r="ES396" s="881">
        <f t="shared" si="214"/>
        <v>0</v>
      </c>
      <c r="ET396" s="882"/>
      <c r="EU396" s="883"/>
      <c r="EV396" s="884">
        <f t="shared" si="212"/>
        <v>0</v>
      </c>
      <c r="EW396" s="885"/>
      <c r="EX396" s="885"/>
      <c r="EY396" s="885"/>
      <c r="EZ396" s="885"/>
      <c r="FA396" s="885"/>
      <c r="FB396" s="885"/>
      <c r="FC396" s="885"/>
      <c r="FD396" s="886"/>
      <c r="FE396" s="878"/>
      <c r="FF396" s="878"/>
      <c r="FG396" s="878"/>
      <c r="FH396" s="878"/>
      <c r="FI396" s="878"/>
      <c r="FJ396" s="878"/>
      <c r="FK396" s="878"/>
      <c r="FL396" s="555"/>
      <c r="FM396" s="554"/>
      <c r="FN396" s="554"/>
      <c r="FO396" s="554"/>
      <c r="FP396" s="554"/>
      <c r="FQ396" s="554"/>
      <c r="FR396" s="554"/>
      <c r="FS396" s="554"/>
      <c r="FT396" s="554"/>
      <c r="FU396" s="554"/>
      <c r="FV396" s="554"/>
      <c r="FW396" s="554"/>
      <c r="FX396" s="554"/>
      <c r="FY396" s="554"/>
      <c r="FZ396" s="554"/>
      <c r="GA396" s="554"/>
      <c r="GB396" s="556"/>
      <c r="GC396" s="370"/>
      <c r="GD396" s="453"/>
      <c r="GE396" s="453"/>
      <c r="GF396" s="453"/>
      <c r="GG396" s="453"/>
      <c r="GH396" s="454"/>
      <c r="GI396" s="453"/>
      <c r="GJ396" s="453"/>
      <c r="GK396" s="453"/>
      <c r="GL396" s="453"/>
      <c r="GM396" s="453"/>
      <c r="GN396" s="453"/>
      <c r="GO396" s="453"/>
      <c r="GP396" s="453"/>
      <c r="GQ396" s="453"/>
      <c r="GR396" s="453"/>
      <c r="GS396" s="561"/>
      <c r="GT396" s="475"/>
      <c r="GU396" s="472"/>
      <c r="GV396" s="453"/>
      <c r="GW396" s="453"/>
      <c r="GX396" s="869"/>
      <c r="GY396" s="870"/>
      <c r="GZ396" s="867"/>
      <c r="HA396" s="868"/>
      <c r="HB396" s="473"/>
      <c r="HC396" s="869"/>
      <c r="HD396" s="870"/>
      <c r="HE396" s="867"/>
      <c r="HF396" s="868"/>
      <c r="HG396" s="473"/>
      <c r="HH396" s="867"/>
      <c r="HI396" s="868"/>
      <c r="HJ396" s="867"/>
      <c r="HK396" s="868"/>
      <c r="HL396" s="370"/>
      <c r="HM396" s="865"/>
      <c r="HN396" s="866"/>
      <c r="HO396" s="865"/>
      <c r="HP396" s="866"/>
      <c r="HQ396" s="865"/>
      <c r="HR396" s="866"/>
      <c r="HS396" s="867"/>
      <c r="HT396" s="868"/>
      <c r="HU396" s="489"/>
      <c r="HV396" s="865"/>
      <c r="HW396" s="866"/>
    </row>
    <row r="397" spans="25:231" ht="15" customHeight="1">
      <c r="Y397" s="332"/>
      <c r="Z397" s="332"/>
      <c r="AA397" s="332"/>
      <c r="AB397" s="332"/>
      <c r="AC397" s="332"/>
      <c r="AD397" s="332"/>
      <c r="AE397" s="332"/>
      <c r="AF397" s="332"/>
      <c r="AG397" s="332"/>
      <c r="AH397" s="332"/>
      <c r="AI397" s="332"/>
      <c r="AJ397" s="332"/>
      <c r="AK397" s="332"/>
      <c r="AL397" s="332"/>
      <c r="AM397" s="332"/>
      <c r="AN397" s="332"/>
      <c r="AO397" s="332"/>
      <c r="AP397" s="332"/>
      <c r="AQ397" s="332"/>
      <c r="AR397" s="332"/>
      <c r="AS397" s="332"/>
      <c r="AT397" s="332"/>
      <c r="AU397" s="332"/>
      <c r="AV397" s="332"/>
      <c r="AW397" s="332"/>
      <c r="AX397" s="332"/>
      <c r="AY397" s="332"/>
      <c r="AZ397" s="332"/>
      <c r="BA397" s="332"/>
      <c r="BB397" s="332"/>
      <c r="BC397" s="332"/>
      <c r="BD397" s="332"/>
      <c r="BE397" s="332"/>
      <c r="BF397" s="332"/>
      <c r="BG397" s="332"/>
      <c r="BH397" s="332"/>
      <c r="BI397" s="332"/>
      <c r="BJ397" s="332"/>
      <c r="BK397" s="332"/>
      <c r="BL397" s="332"/>
      <c r="BM397" s="332"/>
      <c r="BN397" s="332"/>
      <c r="BO397" s="332"/>
      <c r="BP397" s="332"/>
      <c r="BQ397" s="332"/>
      <c r="BR397" s="332"/>
      <c r="BS397" s="332"/>
      <c r="BT397" s="332"/>
      <c r="BU397" s="332"/>
      <c r="BV397" s="332"/>
      <c r="BW397" s="332"/>
      <c r="BX397" s="332"/>
      <c r="BY397" s="332"/>
      <c r="BZ397" s="332"/>
      <c r="CA397" s="332"/>
      <c r="CB397" s="332"/>
      <c r="CC397" s="332"/>
      <c r="CD397" s="332"/>
      <c r="CE397" s="332"/>
      <c r="CF397" s="332"/>
      <c r="CG397" s="332"/>
      <c r="CH397" s="332"/>
      <c r="CI397" s="332"/>
      <c r="CJ397" s="332"/>
      <c r="CK397" s="332"/>
      <c r="CL397" s="332"/>
      <c r="CM397" s="332"/>
      <c r="CN397" s="332"/>
      <c r="CO397" s="332"/>
      <c r="CP397" s="332"/>
      <c r="CQ397" s="332"/>
      <c r="CR397" s="332"/>
      <c r="CS397" s="332"/>
      <c r="CT397" s="332"/>
      <c r="CU397" s="332"/>
      <c r="CV397" s="332"/>
      <c r="CW397" s="332"/>
      <c r="CX397" s="332"/>
      <c r="CY397" s="332"/>
      <c r="CZ397" s="332"/>
      <c r="DA397" s="332"/>
      <c r="DB397" s="332"/>
      <c r="DC397" s="332"/>
      <c r="DD397" s="332"/>
      <c r="DE397" s="332"/>
      <c r="DF397" s="332"/>
      <c r="DG397" s="332"/>
      <c r="DH397" s="332"/>
      <c r="DI397" s="332"/>
      <c r="DJ397" s="332"/>
      <c r="DK397" s="332"/>
      <c r="DL397" s="332"/>
      <c r="DM397" s="332"/>
      <c r="DN397" s="332"/>
      <c r="DO397" s="332"/>
      <c r="DP397" s="332"/>
      <c r="DQ397" s="332"/>
      <c r="DR397" s="332"/>
      <c r="DS397" s="332"/>
      <c r="DT397" s="332"/>
      <c r="DU397" s="453"/>
      <c r="DV397" s="453"/>
      <c r="DW397" s="453"/>
      <c r="DX397" s="453"/>
      <c r="DY397" s="453"/>
      <c r="DZ397" s="453"/>
      <c r="EA397" s="453"/>
      <c r="EB397" s="453"/>
      <c r="EC397" s="453"/>
      <c r="ED397" s="453"/>
      <c r="EE397" s="453"/>
      <c r="EF397" s="453"/>
      <c r="EG397" s="453"/>
      <c r="EH397" s="453"/>
      <c r="EI397" s="453"/>
      <c r="EJ397" s="453"/>
      <c r="EK397" s="453"/>
      <c r="EL397" s="453"/>
      <c r="EM397" s="483">
        <f t="shared" si="213"/>
        <v>88</v>
      </c>
      <c r="EN397" s="485"/>
      <c r="EO397" s="804"/>
      <c r="EP397" s="805"/>
      <c r="EQ397" s="806"/>
      <c r="ER397" s="808"/>
      <c r="ES397" s="881">
        <f t="shared" si="214"/>
        <v>0</v>
      </c>
      <c r="ET397" s="882"/>
      <c r="EU397" s="883"/>
      <c r="EV397" s="884">
        <f t="shared" si="212"/>
        <v>0</v>
      </c>
      <c r="EW397" s="885"/>
      <c r="EX397" s="885"/>
      <c r="EY397" s="885"/>
      <c r="EZ397" s="885"/>
      <c r="FA397" s="885"/>
      <c r="FB397" s="885"/>
      <c r="FC397" s="885"/>
      <c r="FD397" s="886"/>
      <c r="FE397" s="878"/>
      <c r="FF397" s="878"/>
      <c r="FG397" s="878"/>
      <c r="FH397" s="878"/>
      <c r="FI397" s="878"/>
      <c r="FJ397" s="878"/>
      <c r="FK397" s="878"/>
      <c r="FL397" s="555"/>
      <c r="FM397" s="554"/>
      <c r="FN397" s="554"/>
      <c r="FO397" s="554"/>
      <c r="FP397" s="554"/>
      <c r="FQ397" s="554"/>
      <c r="FR397" s="554"/>
      <c r="FS397" s="554"/>
      <c r="FT397" s="554"/>
      <c r="FU397" s="554"/>
      <c r="FV397" s="554"/>
      <c r="FW397" s="554"/>
      <c r="FX397" s="554"/>
      <c r="FY397" s="554"/>
      <c r="FZ397" s="554"/>
      <c r="GA397" s="554"/>
      <c r="GB397" s="556"/>
      <c r="GC397" s="370"/>
      <c r="GD397" s="453"/>
      <c r="GE397" s="453"/>
      <c r="GF397" s="453"/>
      <c r="GG397" s="453"/>
      <c r="GH397" s="454"/>
      <c r="GI397" s="453"/>
      <c r="GJ397" s="453"/>
      <c r="GK397" s="453"/>
      <c r="GL397" s="453"/>
      <c r="GM397" s="453"/>
      <c r="GN397" s="453"/>
      <c r="GO397" s="453"/>
      <c r="GP397" s="453"/>
      <c r="GQ397" s="453"/>
      <c r="GR397" s="453"/>
      <c r="GS397" s="561"/>
      <c r="GT397" s="475"/>
      <c r="GU397" s="472"/>
      <c r="GV397" s="453"/>
      <c r="GW397" s="453"/>
      <c r="GX397" s="869"/>
      <c r="GY397" s="870"/>
      <c r="GZ397" s="867"/>
      <c r="HA397" s="868"/>
      <c r="HB397" s="473"/>
      <c r="HC397" s="869"/>
      <c r="HD397" s="870"/>
      <c r="HE397" s="867"/>
      <c r="HF397" s="868"/>
      <c r="HG397" s="473"/>
      <c r="HH397" s="867"/>
      <c r="HI397" s="868"/>
      <c r="HJ397" s="867"/>
      <c r="HK397" s="868"/>
      <c r="HL397" s="370"/>
      <c r="HM397" s="865"/>
      <c r="HN397" s="866"/>
      <c r="HO397" s="865"/>
      <c r="HP397" s="866"/>
      <c r="HQ397" s="865"/>
      <c r="HR397" s="866"/>
      <c r="HS397" s="867"/>
      <c r="HT397" s="868"/>
      <c r="HU397" s="489"/>
      <c r="HV397" s="865"/>
      <c r="HW397" s="866"/>
    </row>
    <row r="398" spans="25:231" ht="15" customHeight="1">
      <c r="Y398" s="332"/>
      <c r="Z398" s="332"/>
      <c r="AA398" s="332"/>
      <c r="AB398" s="332"/>
      <c r="AC398" s="332"/>
      <c r="AD398" s="332"/>
      <c r="AE398" s="332"/>
      <c r="AF398" s="332"/>
      <c r="AG398" s="332"/>
      <c r="AH398" s="332"/>
      <c r="AI398" s="332"/>
      <c r="AJ398" s="332"/>
      <c r="AK398" s="332"/>
      <c r="AL398" s="332"/>
      <c r="AM398" s="332"/>
      <c r="AN398" s="332"/>
      <c r="AO398" s="332"/>
      <c r="AP398" s="332"/>
      <c r="AQ398" s="332"/>
      <c r="AR398" s="332"/>
      <c r="AS398" s="332"/>
      <c r="AT398" s="332"/>
      <c r="AU398" s="332"/>
      <c r="AV398" s="332"/>
      <c r="AW398" s="332"/>
      <c r="AX398" s="332"/>
      <c r="AY398" s="332"/>
      <c r="AZ398" s="332"/>
      <c r="BA398" s="332"/>
      <c r="BB398" s="332"/>
      <c r="BC398" s="332"/>
      <c r="BD398" s="332"/>
      <c r="BE398" s="332"/>
      <c r="BF398" s="332"/>
      <c r="BG398" s="332"/>
      <c r="BH398" s="332"/>
      <c r="BI398" s="332"/>
      <c r="BJ398" s="332"/>
      <c r="BK398" s="332"/>
      <c r="BL398" s="332"/>
      <c r="BM398" s="332"/>
      <c r="BN398" s="332"/>
      <c r="BO398" s="332"/>
      <c r="BP398" s="332"/>
      <c r="BQ398" s="332"/>
      <c r="BR398" s="332"/>
      <c r="BS398" s="332"/>
      <c r="BT398" s="332"/>
      <c r="BU398" s="332"/>
      <c r="BV398" s="332"/>
      <c r="BW398" s="332"/>
      <c r="BX398" s="332"/>
      <c r="BY398" s="332"/>
      <c r="BZ398" s="332"/>
      <c r="CA398" s="332"/>
      <c r="CB398" s="332"/>
      <c r="CC398" s="332"/>
      <c r="CD398" s="332"/>
      <c r="CE398" s="332"/>
      <c r="CF398" s="332"/>
      <c r="CG398" s="332"/>
      <c r="CH398" s="332"/>
      <c r="CI398" s="332"/>
      <c r="CJ398" s="332"/>
      <c r="CK398" s="332"/>
      <c r="CL398" s="332"/>
      <c r="CM398" s="332"/>
      <c r="CN398" s="332"/>
      <c r="CO398" s="332"/>
      <c r="CP398" s="332"/>
      <c r="CQ398" s="332"/>
      <c r="CR398" s="332"/>
      <c r="CS398" s="332"/>
      <c r="CT398" s="332"/>
      <c r="CU398" s="332"/>
      <c r="CV398" s="332"/>
      <c r="CW398" s="332"/>
      <c r="CX398" s="332"/>
      <c r="CY398" s="332"/>
      <c r="CZ398" s="332"/>
      <c r="DA398" s="332"/>
      <c r="DB398" s="332"/>
      <c r="DC398" s="332"/>
      <c r="DD398" s="332"/>
      <c r="DE398" s="332"/>
      <c r="DF398" s="332"/>
      <c r="DG398" s="332"/>
      <c r="DH398" s="332"/>
      <c r="DI398" s="332"/>
      <c r="DJ398" s="332"/>
      <c r="DK398" s="332"/>
      <c r="DL398" s="332"/>
      <c r="DM398" s="332"/>
      <c r="DN398" s="332"/>
      <c r="DO398" s="332"/>
      <c r="DP398" s="332"/>
      <c r="DQ398" s="332"/>
      <c r="DR398" s="332"/>
      <c r="DS398" s="332"/>
      <c r="DT398" s="332"/>
      <c r="DU398" s="453"/>
      <c r="DV398" s="453"/>
      <c r="DW398" s="453"/>
      <c r="DX398" s="453"/>
      <c r="DY398" s="453"/>
      <c r="DZ398" s="453"/>
      <c r="EA398" s="453"/>
      <c r="EB398" s="453"/>
      <c r="EC398" s="453"/>
      <c r="ED398" s="453"/>
      <c r="EE398" s="453"/>
      <c r="EF398" s="453"/>
      <c r="EG398" s="453"/>
      <c r="EH398" s="453"/>
      <c r="EI398" s="453"/>
      <c r="EJ398" s="453"/>
      <c r="EK398" s="453"/>
      <c r="EL398" s="453"/>
      <c r="EM398" s="483">
        <f t="shared" si="213"/>
        <v>89</v>
      </c>
      <c r="EN398" s="485"/>
      <c r="EO398" s="804"/>
      <c r="EP398" s="805"/>
      <c r="EQ398" s="806"/>
      <c r="ER398" s="808"/>
      <c r="ES398" s="881">
        <f t="shared" si="214"/>
        <v>0</v>
      </c>
      <c r="ET398" s="882"/>
      <c r="EU398" s="883"/>
      <c r="EV398" s="884">
        <f t="shared" si="212"/>
        <v>0</v>
      </c>
      <c r="EW398" s="885"/>
      <c r="EX398" s="885"/>
      <c r="EY398" s="885"/>
      <c r="EZ398" s="885"/>
      <c r="FA398" s="885"/>
      <c r="FB398" s="885"/>
      <c r="FC398" s="885"/>
      <c r="FD398" s="886"/>
      <c r="FE398" s="878"/>
      <c r="FF398" s="878"/>
      <c r="FG398" s="878"/>
      <c r="FH398" s="878"/>
      <c r="FI398" s="878"/>
      <c r="FJ398" s="878"/>
      <c r="FK398" s="878"/>
      <c r="FL398" s="555"/>
      <c r="FM398" s="554"/>
      <c r="FN398" s="554"/>
      <c r="FO398" s="554"/>
      <c r="FP398" s="554"/>
      <c r="FQ398" s="554"/>
      <c r="FR398" s="554"/>
      <c r="FS398" s="554"/>
      <c r="FT398" s="554"/>
      <c r="FU398" s="554"/>
      <c r="FV398" s="554"/>
      <c r="FW398" s="554"/>
      <c r="FX398" s="554"/>
      <c r="FY398" s="554"/>
      <c r="FZ398" s="554"/>
      <c r="GA398" s="554"/>
      <c r="GB398" s="556"/>
      <c r="GC398" s="370"/>
      <c r="GD398" s="453"/>
      <c r="GE398" s="453"/>
      <c r="GF398" s="453"/>
      <c r="GG398" s="453"/>
      <c r="GH398" s="454"/>
      <c r="GI398" s="453"/>
      <c r="GJ398" s="453"/>
      <c r="GK398" s="453"/>
      <c r="GL398" s="453"/>
      <c r="GM398" s="453"/>
      <c r="GN398" s="453"/>
      <c r="GO398" s="453"/>
      <c r="GP398" s="453"/>
      <c r="GQ398" s="453"/>
      <c r="GR398" s="453"/>
      <c r="GS398" s="561"/>
      <c r="GT398" s="475"/>
      <c r="GU398" s="472"/>
      <c r="GV398" s="453"/>
      <c r="GW398" s="453"/>
      <c r="GX398" s="869"/>
      <c r="GY398" s="870"/>
      <c r="GZ398" s="867"/>
      <c r="HA398" s="868"/>
      <c r="HB398" s="473"/>
      <c r="HC398" s="869"/>
      <c r="HD398" s="870"/>
      <c r="HE398" s="867"/>
      <c r="HF398" s="868"/>
      <c r="HG398" s="473"/>
      <c r="HH398" s="867"/>
      <c r="HI398" s="868"/>
      <c r="HJ398" s="867"/>
      <c r="HK398" s="868"/>
      <c r="HL398" s="370"/>
      <c r="HM398" s="865"/>
      <c r="HN398" s="866"/>
      <c r="HO398" s="865"/>
      <c r="HP398" s="866"/>
      <c r="HQ398" s="865"/>
      <c r="HR398" s="866"/>
      <c r="HS398" s="867"/>
      <c r="HT398" s="868"/>
      <c r="HU398" s="489"/>
      <c r="HV398" s="865"/>
      <c r="HW398" s="866"/>
    </row>
    <row r="399" spans="25:231" ht="15" customHeight="1">
      <c r="Y399" s="332"/>
      <c r="Z399" s="332"/>
      <c r="AA399" s="332"/>
      <c r="AB399" s="332"/>
      <c r="AC399" s="332"/>
      <c r="AD399" s="332"/>
      <c r="AE399" s="332"/>
      <c r="AF399" s="332"/>
      <c r="AG399" s="332"/>
      <c r="AH399" s="332"/>
      <c r="AI399" s="332"/>
      <c r="AJ399" s="332"/>
      <c r="AK399" s="332"/>
      <c r="AL399" s="332"/>
      <c r="AM399" s="332"/>
      <c r="AN399" s="332"/>
      <c r="AO399" s="332"/>
      <c r="AP399" s="332"/>
      <c r="AQ399" s="332"/>
      <c r="AR399" s="332"/>
      <c r="AS399" s="332"/>
      <c r="AT399" s="332"/>
      <c r="AU399" s="332"/>
      <c r="AV399" s="332"/>
      <c r="AW399" s="332"/>
      <c r="AX399" s="332"/>
      <c r="AY399" s="332"/>
      <c r="AZ399" s="332"/>
      <c r="BA399" s="332"/>
      <c r="BB399" s="332"/>
      <c r="BC399" s="332"/>
      <c r="BD399" s="332"/>
      <c r="BE399" s="332"/>
      <c r="BF399" s="332"/>
      <c r="BG399" s="332"/>
      <c r="BH399" s="332"/>
      <c r="BI399" s="332"/>
      <c r="BJ399" s="332"/>
      <c r="BK399" s="332"/>
      <c r="BL399" s="332"/>
      <c r="BM399" s="332"/>
      <c r="BN399" s="332"/>
      <c r="BO399" s="332"/>
      <c r="BP399" s="332"/>
      <c r="BQ399" s="332"/>
      <c r="BR399" s="332"/>
      <c r="BS399" s="332"/>
      <c r="BT399" s="332"/>
      <c r="BU399" s="332"/>
      <c r="BV399" s="332"/>
      <c r="BW399" s="332"/>
      <c r="BX399" s="332"/>
      <c r="BY399" s="332"/>
      <c r="BZ399" s="332"/>
      <c r="CA399" s="332"/>
      <c r="CB399" s="332"/>
      <c r="CC399" s="332"/>
      <c r="CD399" s="332"/>
      <c r="CE399" s="332"/>
      <c r="CF399" s="332"/>
      <c r="CG399" s="332"/>
      <c r="CH399" s="332"/>
      <c r="CI399" s="332"/>
      <c r="CJ399" s="332"/>
      <c r="CK399" s="332"/>
      <c r="CL399" s="332"/>
      <c r="CM399" s="332"/>
      <c r="CN399" s="332"/>
      <c r="CO399" s="332"/>
      <c r="CP399" s="332"/>
      <c r="CQ399" s="332"/>
      <c r="CR399" s="332"/>
      <c r="CS399" s="332"/>
      <c r="CT399" s="332"/>
      <c r="CU399" s="332"/>
      <c r="CV399" s="332"/>
      <c r="CW399" s="332"/>
      <c r="CX399" s="332"/>
      <c r="CY399" s="332"/>
      <c r="CZ399" s="332"/>
      <c r="DA399" s="332"/>
      <c r="DB399" s="332"/>
      <c r="DC399" s="332"/>
      <c r="DD399" s="332"/>
      <c r="DE399" s="332"/>
      <c r="DF399" s="332"/>
      <c r="DG399" s="332"/>
      <c r="DH399" s="332"/>
      <c r="DI399" s="332"/>
      <c r="DJ399" s="332"/>
      <c r="DK399" s="332"/>
      <c r="DL399" s="332"/>
      <c r="DM399" s="332"/>
      <c r="DN399" s="332"/>
      <c r="DO399" s="332"/>
      <c r="DP399" s="332"/>
      <c r="DQ399" s="332"/>
      <c r="DR399" s="332"/>
      <c r="DS399" s="332"/>
      <c r="DT399" s="332"/>
      <c r="DU399" s="453"/>
      <c r="DV399" s="453"/>
      <c r="DW399" s="453"/>
      <c r="DX399" s="453"/>
      <c r="DY399" s="453"/>
      <c r="DZ399" s="453"/>
      <c r="EA399" s="453"/>
      <c r="EB399" s="453"/>
      <c r="EC399" s="453"/>
      <c r="ED399" s="453">
        <f>+COLUMN()</f>
        <v>134</v>
      </c>
      <c r="EE399" s="453"/>
      <c r="EF399" s="453">
        <f>+COLUMN()</f>
        <v>136</v>
      </c>
      <c r="EG399" s="453"/>
      <c r="EH399" s="453">
        <f>+COLUMN()</f>
        <v>138</v>
      </c>
      <c r="EI399" s="453">
        <f>+COLUMN()</f>
        <v>139</v>
      </c>
      <c r="EJ399" s="453"/>
      <c r="EK399" s="453"/>
      <c r="EL399" s="453"/>
      <c r="EM399" s="483">
        <f t="shared" si="213"/>
        <v>90</v>
      </c>
      <c r="EN399" s="485"/>
      <c r="EO399" s="804"/>
      <c r="EP399" s="805"/>
      <c r="EQ399" s="806"/>
      <c r="ER399" s="808"/>
      <c r="ES399" s="881">
        <f t="shared" si="214"/>
        <v>0</v>
      </c>
      <c r="ET399" s="882"/>
      <c r="EU399" s="883"/>
      <c r="EV399" s="884">
        <f t="shared" si="212"/>
        <v>0</v>
      </c>
      <c r="EW399" s="885"/>
      <c r="EX399" s="885"/>
      <c r="EY399" s="885"/>
      <c r="EZ399" s="885"/>
      <c r="FA399" s="885"/>
      <c r="FB399" s="885"/>
      <c r="FC399" s="885"/>
      <c r="FD399" s="886"/>
      <c r="FE399" s="878"/>
      <c r="FF399" s="878"/>
      <c r="FG399" s="878"/>
      <c r="FH399" s="878"/>
      <c r="FI399" s="878"/>
      <c r="FJ399" s="878"/>
      <c r="FK399" s="878"/>
      <c r="FL399" s="555"/>
      <c r="FM399" s="554"/>
      <c r="FN399" s="554"/>
      <c r="FO399" s="554"/>
      <c r="FP399" s="554"/>
      <c r="FQ399" s="554"/>
      <c r="FR399" s="554"/>
      <c r="FS399" s="554"/>
      <c r="FT399" s="554"/>
      <c r="FU399" s="554"/>
      <c r="FV399" s="554"/>
      <c r="FW399" s="554"/>
      <c r="FX399" s="554"/>
      <c r="FY399" s="554"/>
      <c r="FZ399" s="554"/>
      <c r="GA399" s="554"/>
      <c r="GB399" s="556"/>
      <c r="GC399" s="370"/>
      <c r="GD399" s="453"/>
      <c r="GE399" s="453"/>
      <c r="GF399" s="453"/>
      <c r="GG399" s="453"/>
      <c r="GH399" s="454"/>
      <c r="GI399" s="453"/>
      <c r="GJ399" s="453"/>
      <c r="GK399" s="453"/>
      <c r="GL399" s="453"/>
      <c r="GM399" s="453"/>
      <c r="GN399" s="453"/>
      <c r="GO399" s="453"/>
      <c r="GP399" s="453"/>
      <c r="GQ399" s="453"/>
      <c r="GR399" s="453"/>
      <c r="GS399" s="561"/>
      <c r="GT399" s="475"/>
      <c r="GU399" s="472"/>
      <c r="GV399" s="453"/>
      <c r="GW399" s="453"/>
      <c r="GX399" s="869"/>
      <c r="GY399" s="870"/>
      <c r="GZ399" s="867"/>
      <c r="HA399" s="868"/>
      <c r="HB399" s="473"/>
      <c r="HC399" s="869"/>
      <c r="HD399" s="870"/>
      <c r="HE399" s="867"/>
      <c r="HF399" s="868"/>
      <c r="HG399" s="473"/>
      <c r="HH399" s="867"/>
      <c r="HI399" s="868"/>
      <c r="HJ399" s="867"/>
      <c r="HK399" s="868"/>
      <c r="HL399" s="370"/>
      <c r="HM399" s="865"/>
      <c r="HN399" s="866"/>
      <c r="HO399" s="865"/>
      <c r="HP399" s="866"/>
      <c r="HQ399" s="865"/>
      <c r="HR399" s="866"/>
      <c r="HS399" s="867"/>
      <c r="HT399" s="868"/>
      <c r="HU399" s="489"/>
      <c r="HV399" s="865"/>
      <c r="HW399" s="866"/>
    </row>
    <row r="400" spans="25:231" ht="15" customHeight="1">
      <c r="Y400" s="332"/>
      <c r="Z400" s="332"/>
      <c r="AA400" s="332"/>
      <c r="AB400" s="332"/>
      <c r="AC400" s="332"/>
      <c r="AD400" s="332"/>
      <c r="AE400" s="332"/>
      <c r="AF400" s="332"/>
      <c r="AG400" s="332"/>
      <c r="AH400" s="332"/>
      <c r="AI400" s="332"/>
      <c r="AJ400" s="332"/>
      <c r="AK400" s="332"/>
      <c r="AL400" s="332"/>
      <c r="AM400" s="332"/>
      <c r="AN400" s="332"/>
      <c r="AO400" s="332"/>
      <c r="AP400" s="332"/>
      <c r="AQ400" s="332"/>
      <c r="AR400" s="332"/>
      <c r="AS400" s="332"/>
      <c r="AT400" s="332"/>
      <c r="AU400" s="332"/>
      <c r="AV400" s="332"/>
      <c r="AW400" s="332"/>
      <c r="AX400" s="332"/>
      <c r="AY400" s="332"/>
      <c r="AZ400" s="332"/>
      <c r="BA400" s="332"/>
      <c r="BB400" s="332"/>
      <c r="BC400" s="332"/>
      <c r="BD400" s="332"/>
      <c r="BE400" s="332"/>
      <c r="BF400" s="332"/>
      <c r="BG400" s="332"/>
      <c r="BH400" s="332"/>
      <c r="BI400" s="332"/>
      <c r="BJ400" s="332"/>
      <c r="BK400" s="332"/>
      <c r="BL400" s="332"/>
      <c r="BM400" s="332"/>
      <c r="BN400" s="332"/>
      <c r="BO400" s="332"/>
      <c r="BP400" s="332"/>
      <c r="BQ400" s="332"/>
      <c r="BR400" s="332"/>
      <c r="BS400" s="332"/>
      <c r="BT400" s="332"/>
      <c r="BU400" s="332"/>
      <c r="BV400" s="332"/>
      <c r="BW400" s="332"/>
      <c r="BX400" s="332"/>
      <c r="BY400" s="332"/>
      <c r="BZ400" s="332"/>
      <c r="CA400" s="332"/>
      <c r="CB400" s="332"/>
      <c r="CC400" s="332"/>
      <c r="CD400" s="332"/>
      <c r="CE400" s="332"/>
      <c r="CF400" s="332"/>
      <c r="CG400" s="332"/>
      <c r="CH400" s="332"/>
      <c r="CI400" s="332"/>
      <c r="CJ400" s="332"/>
      <c r="CK400" s="332"/>
      <c r="CL400" s="332"/>
      <c r="CM400" s="332"/>
      <c r="CN400" s="332"/>
      <c r="CO400" s="332"/>
      <c r="CP400" s="332"/>
      <c r="CQ400" s="332"/>
      <c r="CR400" s="332"/>
      <c r="CS400" s="332"/>
      <c r="CT400" s="332"/>
      <c r="CU400" s="332"/>
      <c r="CV400" s="332"/>
      <c r="CW400" s="332"/>
      <c r="CX400" s="332"/>
      <c r="CY400" s="332"/>
      <c r="CZ400" s="332"/>
      <c r="DA400" s="332"/>
      <c r="DB400" s="332"/>
      <c r="DC400" s="332"/>
      <c r="DD400" s="332"/>
      <c r="DE400" s="332"/>
      <c r="DF400" s="332"/>
      <c r="DG400" s="332"/>
      <c r="DH400" s="332"/>
      <c r="DI400" s="332"/>
      <c r="DJ400" s="332"/>
      <c r="DK400" s="332"/>
      <c r="DL400" s="332"/>
      <c r="DM400" s="332"/>
      <c r="DN400" s="332"/>
      <c r="DO400" s="332"/>
      <c r="DP400" s="332"/>
      <c r="DQ400" s="332"/>
      <c r="DR400" s="332"/>
      <c r="DS400" s="332"/>
      <c r="DT400" s="332"/>
      <c r="DU400" s="453"/>
      <c r="DV400" s="453"/>
      <c r="DW400" s="453"/>
      <c r="DX400" s="453"/>
      <c r="DY400" s="453"/>
      <c r="DZ400" s="453"/>
      <c r="EA400" s="453"/>
      <c r="EB400" s="453"/>
      <c r="EC400" s="455" t="s">
        <v>331</v>
      </c>
      <c r="ED400" s="453"/>
      <c r="EE400" s="453"/>
      <c r="EF400" s="453"/>
      <c r="EG400" s="453"/>
      <c r="EH400" s="453"/>
      <c r="EI400" s="453"/>
      <c r="EJ400" s="453"/>
      <c r="EK400" s="453"/>
      <c r="EL400" s="453"/>
      <c r="EM400" s="483">
        <f t="shared" si="213"/>
        <v>91</v>
      </c>
      <c r="EN400" s="485"/>
      <c r="EO400" s="804"/>
      <c r="EP400" s="805"/>
      <c r="EQ400" s="806"/>
      <c r="ER400" s="808"/>
      <c r="ES400" s="881">
        <f t="shared" si="214"/>
        <v>0</v>
      </c>
      <c r="ET400" s="882"/>
      <c r="EU400" s="883"/>
      <c r="EV400" s="884">
        <f t="shared" si="212"/>
        <v>0</v>
      </c>
      <c r="EW400" s="885"/>
      <c r="EX400" s="885"/>
      <c r="EY400" s="885"/>
      <c r="EZ400" s="885"/>
      <c r="FA400" s="885"/>
      <c r="FB400" s="885"/>
      <c r="FC400" s="885"/>
      <c r="FD400" s="886"/>
      <c r="FE400" s="878"/>
      <c r="FF400" s="878"/>
      <c r="FG400" s="878"/>
      <c r="FH400" s="878"/>
      <c r="FI400" s="878"/>
      <c r="FJ400" s="878"/>
      <c r="FK400" s="878"/>
      <c r="FL400" s="555"/>
      <c r="FM400" s="554"/>
      <c r="FN400" s="554"/>
      <c r="FO400" s="554"/>
      <c r="FP400" s="554"/>
      <c r="FQ400" s="554"/>
      <c r="FR400" s="554"/>
      <c r="FS400" s="554"/>
      <c r="FT400" s="554"/>
      <c r="FU400" s="554"/>
      <c r="FV400" s="554"/>
      <c r="FW400" s="554"/>
      <c r="FX400" s="554"/>
      <c r="FY400" s="554"/>
      <c r="FZ400" s="554"/>
      <c r="GA400" s="554"/>
      <c r="GB400" s="556"/>
      <c r="GC400" s="370"/>
      <c r="GD400" s="453"/>
      <c r="GE400" s="453"/>
      <c r="GF400" s="453"/>
      <c r="GG400" s="453"/>
      <c r="GH400" s="454"/>
      <c r="GI400" s="453"/>
      <c r="GJ400" s="453"/>
      <c r="GK400" s="453"/>
      <c r="GL400" s="453"/>
      <c r="GM400" s="453"/>
      <c r="GN400" s="453"/>
      <c r="GO400" s="453"/>
      <c r="GP400" s="453"/>
      <c r="GQ400" s="453"/>
      <c r="GR400" s="453"/>
      <c r="GS400" s="561"/>
      <c r="GT400" s="475"/>
      <c r="GU400" s="472"/>
      <c r="GV400" s="453"/>
      <c r="GW400" s="453"/>
      <c r="GX400" s="869"/>
      <c r="GY400" s="870"/>
      <c r="GZ400" s="867"/>
      <c r="HA400" s="868"/>
      <c r="HB400" s="473"/>
      <c r="HC400" s="869"/>
      <c r="HD400" s="870"/>
      <c r="HE400" s="867"/>
      <c r="HF400" s="868"/>
      <c r="HG400" s="473"/>
      <c r="HH400" s="867"/>
      <c r="HI400" s="868"/>
      <c r="HJ400" s="867"/>
      <c r="HK400" s="868"/>
      <c r="HL400" s="370"/>
      <c r="HM400" s="865"/>
      <c r="HN400" s="866"/>
      <c r="HO400" s="865"/>
      <c r="HP400" s="866"/>
      <c r="HQ400" s="865"/>
      <c r="HR400" s="866"/>
      <c r="HS400" s="867"/>
      <c r="HT400" s="868"/>
      <c r="HU400" s="489"/>
      <c r="HV400" s="865"/>
      <c r="HW400" s="866"/>
    </row>
    <row r="401" spans="25:231" ht="15" customHeight="1" thickBot="1">
      <c r="Y401" s="332"/>
      <c r="Z401" s="332"/>
      <c r="AA401" s="332"/>
      <c r="AB401" s="332"/>
      <c r="AC401" s="332"/>
      <c r="AD401" s="332"/>
      <c r="AE401" s="332"/>
      <c r="AF401" s="332"/>
      <c r="AG401" s="332"/>
      <c r="AH401" s="332"/>
      <c r="AI401" s="332"/>
      <c r="AJ401" s="332"/>
      <c r="AK401" s="332"/>
      <c r="AL401" s="332"/>
      <c r="AM401" s="332"/>
      <c r="AN401" s="332"/>
      <c r="AO401" s="332"/>
      <c r="AP401" s="332"/>
      <c r="AQ401" s="332"/>
      <c r="AR401" s="332"/>
      <c r="AS401" s="332"/>
      <c r="AT401" s="332"/>
      <c r="AU401" s="332"/>
      <c r="AV401" s="332"/>
      <c r="AW401" s="332"/>
      <c r="AX401" s="332"/>
      <c r="AY401" s="332"/>
      <c r="AZ401" s="332"/>
      <c r="BA401" s="332"/>
      <c r="BB401" s="332"/>
      <c r="BC401" s="332"/>
      <c r="BD401" s="332"/>
      <c r="BE401" s="332"/>
      <c r="BF401" s="332"/>
      <c r="BG401" s="332"/>
      <c r="BH401" s="332"/>
      <c r="BI401" s="332"/>
      <c r="BJ401" s="332"/>
      <c r="BK401" s="332"/>
      <c r="BL401" s="332"/>
      <c r="BM401" s="332"/>
      <c r="BN401" s="332"/>
      <c r="BO401" s="332"/>
      <c r="BP401" s="332"/>
      <c r="BQ401" s="332"/>
      <c r="BR401" s="332"/>
      <c r="BS401" s="332"/>
      <c r="BT401" s="332"/>
      <c r="BU401" s="332"/>
      <c r="BV401" s="332"/>
      <c r="BW401" s="332"/>
      <c r="BX401" s="332"/>
      <c r="BY401" s="332"/>
      <c r="BZ401" s="332"/>
      <c r="CA401" s="332"/>
      <c r="CB401" s="332"/>
      <c r="CC401" s="332"/>
      <c r="CD401" s="332"/>
      <c r="CE401" s="332"/>
      <c r="CF401" s="332"/>
      <c r="CG401" s="332"/>
      <c r="CH401" s="332"/>
      <c r="CI401" s="332"/>
      <c r="CJ401" s="332"/>
      <c r="CK401" s="332"/>
      <c r="CL401" s="332"/>
      <c r="CM401" s="332"/>
      <c r="CN401" s="332"/>
      <c r="CO401" s="332"/>
      <c r="CP401" s="332"/>
      <c r="CQ401" s="332"/>
      <c r="CR401" s="332"/>
      <c r="CS401" s="332"/>
      <c r="CT401" s="332"/>
      <c r="CU401" s="332"/>
      <c r="CV401" s="332"/>
      <c r="CW401" s="332"/>
      <c r="CX401" s="332"/>
      <c r="CY401" s="332"/>
      <c r="CZ401" s="332"/>
      <c r="DA401" s="332"/>
      <c r="DB401" s="332"/>
      <c r="DC401" s="332"/>
      <c r="DD401" s="332"/>
      <c r="DE401" s="332"/>
      <c r="DF401" s="332"/>
      <c r="DG401" s="332"/>
      <c r="DH401" s="332"/>
      <c r="DI401" s="332"/>
      <c r="DJ401" s="332"/>
      <c r="DK401" s="332"/>
      <c r="DL401" s="332"/>
      <c r="DM401" s="332"/>
      <c r="DN401" s="332"/>
      <c r="DO401" s="332"/>
      <c r="DP401" s="332"/>
      <c r="DQ401" s="332"/>
      <c r="DR401" s="332"/>
      <c r="DS401" s="332"/>
      <c r="DT401" s="332"/>
      <c r="DU401" s="453"/>
      <c r="DV401" s="453"/>
      <c r="DW401" s="453"/>
      <c r="DX401" s="453"/>
      <c r="DY401" s="453"/>
      <c r="DZ401" s="453"/>
      <c r="EA401" s="453"/>
      <c r="EB401" s="453"/>
      <c r="EC401" s="596" t="s">
        <v>70</v>
      </c>
      <c r="ED401" s="859" t="s">
        <v>283</v>
      </c>
      <c r="EE401" s="860"/>
      <c r="EF401" s="461" t="s">
        <v>50</v>
      </c>
      <c r="EG401" s="859" t="s">
        <v>280</v>
      </c>
      <c r="EH401" s="860"/>
      <c r="EI401" s="595" t="s">
        <v>16</v>
      </c>
      <c r="EJ401" s="453"/>
      <c r="EK401" s="453"/>
      <c r="EL401" s="453"/>
      <c r="EM401" s="483">
        <f t="shared" si="213"/>
        <v>92</v>
      </c>
      <c r="EN401" s="485"/>
      <c r="EO401" s="804"/>
      <c r="EP401" s="805"/>
      <c r="EQ401" s="806"/>
      <c r="ER401" s="808"/>
      <c r="ES401" s="881">
        <f t="shared" si="214"/>
        <v>0</v>
      </c>
      <c r="ET401" s="882"/>
      <c r="EU401" s="883"/>
      <c r="EV401" s="884">
        <f t="shared" si="212"/>
        <v>0</v>
      </c>
      <c r="EW401" s="885"/>
      <c r="EX401" s="885"/>
      <c r="EY401" s="885"/>
      <c r="EZ401" s="885"/>
      <c r="FA401" s="885"/>
      <c r="FB401" s="885"/>
      <c r="FC401" s="885"/>
      <c r="FD401" s="886"/>
      <c r="FE401" s="878"/>
      <c r="FF401" s="878"/>
      <c r="FG401" s="878"/>
      <c r="FH401" s="878"/>
      <c r="FI401" s="878"/>
      <c r="FJ401" s="878"/>
      <c r="FK401" s="878"/>
      <c r="FL401" s="555"/>
      <c r="FM401" s="554"/>
      <c r="FN401" s="554"/>
      <c r="FO401" s="554"/>
      <c r="FP401" s="554"/>
      <c r="FQ401" s="554"/>
      <c r="FR401" s="554"/>
      <c r="FS401" s="554"/>
      <c r="FT401" s="554"/>
      <c r="FU401" s="554"/>
      <c r="FV401" s="554"/>
      <c r="FW401" s="554"/>
      <c r="FX401" s="554"/>
      <c r="FY401" s="554"/>
      <c r="FZ401" s="554"/>
      <c r="GA401" s="554"/>
      <c r="GB401" s="556"/>
      <c r="GC401" s="370"/>
      <c r="GD401" s="453"/>
      <c r="GE401" s="453"/>
      <c r="GF401" s="453"/>
      <c r="GG401" s="453"/>
      <c r="GH401" s="454"/>
      <c r="GI401" s="453"/>
      <c r="GJ401" s="453"/>
      <c r="GK401" s="453"/>
      <c r="GL401" s="453"/>
      <c r="GM401" s="453"/>
      <c r="GN401" s="453"/>
      <c r="GO401" s="453"/>
      <c r="GP401" s="453"/>
      <c r="GQ401" s="453"/>
      <c r="GR401" s="453"/>
      <c r="GS401" s="561"/>
      <c r="GT401" s="475"/>
      <c r="GU401" s="472"/>
      <c r="GV401" s="453"/>
      <c r="GW401" s="453"/>
      <c r="GX401" s="869"/>
      <c r="GY401" s="870"/>
      <c r="GZ401" s="867"/>
      <c r="HA401" s="868"/>
      <c r="HB401" s="473"/>
      <c r="HC401" s="869"/>
      <c r="HD401" s="870"/>
      <c r="HE401" s="867"/>
      <c r="HF401" s="868"/>
      <c r="HG401" s="473"/>
      <c r="HH401" s="867"/>
      <c r="HI401" s="868"/>
      <c r="HJ401" s="867"/>
      <c r="HK401" s="868"/>
      <c r="HL401" s="370"/>
      <c r="HM401" s="865"/>
      <c r="HN401" s="866"/>
      <c r="HO401" s="865"/>
      <c r="HP401" s="866"/>
      <c r="HQ401" s="865"/>
      <c r="HR401" s="866"/>
      <c r="HS401" s="867"/>
      <c r="HT401" s="868"/>
      <c r="HU401" s="489"/>
      <c r="HV401" s="865"/>
      <c r="HW401" s="866"/>
    </row>
    <row r="402" spans="25:231" ht="15" customHeight="1">
      <c r="Y402" s="332"/>
      <c r="Z402" s="332"/>
      <c r="AA402" s="332"/>
      <c r="AB402" s="332"/>
      <c r="AC402" s="332"/>
      <c r="AD402" s="332"/>
      <c r="AE402" s="332"/>
      <c r="AF402" s="332"/>
      <c r="AG402" s="332"/>
      <c r="AH402" s="332"/>
      <c r="AI402" s="332"/>
      <c r="AJ402" s="332"/>
      <c r="AK402" s="332"/>
      <c r="AL402" s="332"/>
      <c r="AM402" s="332"/>
      <c r="AN402" s="332"/>
      <c r="AO402" s="332"/>
      <c r="AP402" s="332"/>
      <c r="AQ402" s="332"/>
      <c r="AR402" s="332"/>
      <c r="AS402" s="332"/>
      <c r="AT402" s="332"/>
      <c r="AU402" s="332"/>
      <c r="AV402" s="332"/>
      <c r="AW402" s="332"/>
      <c r="AX402" s="332"/>
      <c r="AY402" s="332"/>
      <c r="AZ402" s="332"/>
      <c r="BA402" s="332"/>
      <c r="BB402" s="332"/>
      <c r="BC402" s="332"/>
      <c r="BD402" s="332"/>
      <c r="BE402" s="332"/>
      <c r="BF402" s="332"/>
      <c r="BG402" s="332"/>
      <c r="BH402" s="332"/>
      <c r="BI402" s="332"/>
      <c r="BJ402" s="332"/>
      <c r="BK402" s="332"/>
      <c r="BL402" s="332"/>
      <c r="BM402" s="332"/>
      <c r="BN402" s="332"/>
      <c r="BO402" s="332"/>
      <c r="BP402" s="332"/>
      <c r="BQ402" s="332"/>
      <c r="BR402" s="332"/>
      <c r="BS402" s="332"/>
      <c r="BT402" s="332"/>
      <c r="BU402" s="332"/>
      <c r="BV402" s="332"/>
      <c r="BW402" s="332"/>
      <c r="BX402" s="332"/>
      <c r="BY402" s="332"/>
      <c r="BZ402" s="332"/>
      <c r="CA402" s="332"/>
      <c r="CB402" s="332"/>
      <c r="CC402" s="332"/>
      <c r="CD402" s="332"/>
      <c r="CE402" s="332"/>
      <c r="CF402" s="332"/>
      <c r="CG402" s="332"/>
      <c r="CH402" s="332"/>
      <c r="CI402" s="332"/>
      <c r="CJ402" s="332"/>
      <c r="CK402" s="332"/>
      <c r="CL402" s="332"/>
      <c r="CM402" s="332"/>
      <c r="CN402" s="332"/>
      <c r="CO402" s="332"/>
      <c r="CP402" s="332"/>
      <c r="CQ402" s="332"/>
      <c r="CR402" s="332"/>
      <c r="CS402" s="332"/>
      <c r="CT402" s="332"/>
      <c r="CU402" s="332"/>
      <c r="CV402" s="332"/>
      <c r="CW402" s="332"/>
      <c r="CX402" s="332"/>
      <c r="CY402" s="332"/>
      <c r="CZ402" s="332"/>
      <c r="DA402" s="332"/>
      <c r="DB402" s="332"/>
      <c r="DC402" s="332"/>
      <c r="DD402" s="332"/>
      <c r="DE402" s="332"/>
      <c r="DF402" s="332"/>
      <c r="DG402" s="332"/>
      <c r="DH402" s="332"/>
      <c r="DI402" s="332"/>
      <c r="DJ402" s="332"/>
      <c r="DK402" s="332"/>
      <c r="DL402" s="332"/>
      <c r="DM402" s="332"/>
      <c r="DN402" s="332"/>
      <c r="DO402" s="332"/>
      <c r="DP402" s="332"/>
      <c r="DQ402" s="332"/>
      <c r="DR402" s="332"/>
      <c r="DS402" s="332"/>
      <c r="DT402" s="332"/>
      <c r="DU402" s="453"/>
      <c r="DV402" s="453"/>
      <c r="DW402" s="453"/>
      <c r="DX402" s="453"/>
      <c r="DY402" s="453"/>
      <c r="DZ402" s="453"/>
      <c r="EA402" s="453"/>
      <c r="EB402" s="483">
        <v>1</v>
      </c>
      <c r="EC402" s="597"/>
      <c r="ED402" s="861"/>
      <c r="EE402" s="862"/>
      <c r="EF402" s="770"/>
      <c r="EG402" s="863"/>
      <c r="EH402" s="864"/>
      <c r="EI402" s="598"/>
      <c r="EJ402" s="453"/>
      <c r="EK402" s="453"/>
      <c r="EL402" s="453"/>
      <c r="EM402" s="483">
        <f t="shared" si="213"/>
        <v>93</v>
      </c>
      <c r="EN402" s="485"/>
      <c r="EO402" s="804"/>
      <c r="EP402" s="805"/>
      <c r="EQ402" s="806"/>
      <c r="ER402" s="808"/>
      <c r="ES402" s="881">
        <f t="shared" si="214"/>
        <v>0</v>
      </c>
      <c r="ET402" s="882"/>
      <c r="EU402" s="883"/>
      <c r="EV402" s="884">
        <f t="shared" si="212"/>
        <v>0</v>
      </c>
      <c r="EW402" s="885"/>
      <c r="EX402" s="885"/>
      <c r="EY402" s="885"/>
      <c r="EZ402" s="885"/>
      <c r="FA402" s="885"/>
      <c r="FB402" s="885"/>
      <c r="FC402" s="885"/>
      <c r="FD402" s="886"/>
      <c r="FE402" s="878"/>
      <c r="FF402" s="878"/>
      <c r="FG402" s="878"/>
      <c r="FH402" s="878"/>
      <c r="FI402" s="878"/>
      <c r="FJ402" s="878"/>
      <c r="FK402" s="878"/>
      <c r="FL402" s="555"/>
      <c r="FM402" s="554"/>
      <c r="FN402" s="554"/>
      <c r="FO402" s="554"/>
      <c r="FP402" s="554"/>
      <c r="FQ402" s="554"/>
      <c r="FR402" s="554"/>
      <c r="FS402" s="554"/>
      <c r="FT402" s="554"/>
      <c r="FU402" s="554"/>
      <c r="FV402" s="554"/>
      <c r="FW402" s="554"/>
      <c r="FX402" s="554"/>
      <c r="FY402" s="554"/>
      <c r="FZ402" s="554"/>
      <c r="GA402" s="554"/>
      <c r="GB402" s="556"/>
      <c r="GC402" s="370"/>
      <c r="GD402" s="453"/>
      <c r="GE402" s="453"/>
      <c r="GF402" s="453"/>
      <c r="GG402" s="453"/>
      <c r="GH402" s="454"/>
      <c r="GI402" s="453"/>
      <c r="GJ402" s="453"/>
      <c r="GK402" s="453"/>
      <c r="GL402" s="453"/>
      <c r="GM402" s="453"/>
      <c r="GN402" s="453"/>
      <c r="GO402" s="453"/>
      <c r="GP402" s="453"/>
      <c r="GQ402" s="453"/>
      <c r="GR402" s="453"/>
      <c r="GS402" s="561"/>
      <c r="GT402" s="475"/>
      <c r="GU402" s="472"/>
      <c r="GV402" s="453"/>
      <c r="GW402" s="453"/>
      <c r="GX402" s="869"/>
      <c r="GY402" s="870"/>
      <c r="GZ402" s="867"/>
      <c r="HA402" s="868"/>
      <c r="HB402" s="473"/>
      <c r="HC402" s="869"/>
      <c r="HD402" s="870"/>
      <c r="HE402" s="867"/>
      <c r="HF402" s="868"/>
      <c r="HG402" s="473"/>
      <c r="HH402" s="867"/>
      <c r="HI402" s="868"/>
      <c r="HJ402" s="867"/>
      <c r="HK402" s="868"/>
      <c r="HL402" s="370"/>
      <c r="HM402" s="865"/>
      <c r="HN402" s="866"/>
      <c r="HO402" s="865"/>
      <c r="HP402" s="866"/>
      <c r="HQ402" s="865"/>
      <c r="HR402" s="866"/>
      <c r="HS402" s="867"/>
      <c r="HT402" s="868"/>
      <c r="HU402" s="489"/>
      <c r="HV402" s="865"/>
      <c r="HW402" s="866"/>
    </row>
    <row r="403" spans="25:231" ht="15" customHeight="1">
      <c r="Y403" s="332"/>
      <c r="Z403" s="332"/>
      <c r="AA403" s="332"/>
      <c r="AB403" s="332"/>
      <c r="AC403" s="332"/>
      <c r="AD403" s="332"/>
      <c r="AE403" s="332"/>
      <c r="AF403" s="332"/>
      <c r="AG403" s="332"/>
      <c r="AH403" s="332"/>
      <c r="AI403" s="332"/>
      <c r="AJ403" s="332"/>
      <c r="AK403" s="332"/>
      <c r="AL403" s="332"/>
      <c r="AM403" s="332"/>
      <c r="AN403" s="332"/>
      <c r="AO403" s="332"/>
      <c r="AP403" s="332"/>
      <c r="AQ403" s="332"/>
      <c r="AR403" s="332"/>
      <c r="AS403" s="332"/>
      <c r="AT403" s="332"/>
      <c r="AU403" s="332"/>
      <c r="AV403" s="332"/>
      <c r="AW403" s="332"/>
      <c r="AX403" s="332"/>
      <c r="AY403" s="332"/>
      <c r="AZ403" s="332"/>
      <c r="BA403" s="332"/>
      <c r="BB403" s="332"/>
      <c r="BC403" s="332"/>
      <c r="BD403" s="332"/>
      <c r="BE403" s="332"/>
      <c r="BF403" s="332"/>
      <c r="BG403" s="332"/>
      <c r="BH403" s="332"/>
      <c r="BI403" s="332"/>
      <c r="BJ403" s="332"/>
      <c r="BK403" s="332"/>
      <c r="BL403" s="332"/>
      <c r="BM403" s="332"/>
      <c r="BN403" s="332"/>
      <c r="BO403" s="332"/>
      <c r="BP403" s="332"/>
      <c r="BQ403" s="332"/>
      <c r="BR403" s="332"/>
      <c r="BS403" s="332"/>
      <c r="BT403" s="332"/>
      <c r="BU403" s="332"/>
      <c r="BV403" s="332"/>
      <c r="BW403" s="332"/>
      <c r="BX403" s="332"/>
      <c r="BY403" s="332"/>
      <c r="BZ403" s="332"/>
      <c r="CA403" s="332"/>
      <c r="CB403" s="332"/>
      <c r="CC403" s="332"/>
      <c r="CD403" s="332"/>
      <c r="CE403" s="332"/>
      <c r="CF403" s="332"/>
      <c r="CG403" s="332"/>
      <c r="CH403" s="332"/>
      <c r="CI403" s="332"/>
      <c r="CJ403" s="332"/>
      <c r="CK403" s="332"/>
      <c r="CL403" s="332"/>
      <c r="CM403" s="332"/>
      <c r="CN403" s="332"/>
      <c r="CO403" s="332"/>
      <c r="CP403" s="332"/>
      <c r="CQ403" s="332"/>
      <c r="CR403" s="332"/>
      <c r="CS403" s="332"/>
      <c r="CT403" s="332"/>
      <c r="CU403" s="332"/>
      <c r="CV403" s="332"/>
      <c r="CW403" s="332"/>
      <c r="CX403" s="332"/>
      <c r="CY403" s="332"/>
      <c r="CZ403" s="332"/>
      <c r="DA403" s="332"/>
      <c r="DB403" s="332"/>
      <c r="DC403" s="332"/>
      <c r="DD403" s="332"/>
      <c r="DE403" s="332"/>
      <c r="DF403" s="332"/>
      <c r="DG403" s="332"/>
      <c r="DH403" s="332"/>
      <c r="DI403" s="332"/>
      <c r="DJ403" s="332"/>
      <c r="DK403" s="332"/>
      <c r="DL403" s="332"/>
      <c r="DM403" s="332"/>
      <c r="DN403" s="332"/>
      <c r="DO403" s="332"/>
      <c r="DP403" s="332"/>
      <c r="DQ403" s="332"/>
      <c r="DR403" s="332"/>
      <c r="DS403" s="332"/>
      <c r="DT403" s="332"/>
      <c r="DU403" s="453"/>
      <c r="DV403" s="453"/>
      <c r="DW403" s="453"/>
      <c r="DX403" s="453"/>
      <c r="DY403" s="453"/>
      <c r="DZ403" s="453"/>
      <c r="EA403" s="453"/>
      <c r="EB403" s="483">
        <v>2</v>
      </c>
      <c r="EC403" s="599"/>
      <c r="ED403" s="851"/>
      <c r="EE403" s="852"/>
      <c r="EF403" s="771"/>
      <c r="EG403" s="853"/>
      <c r="EH403" s="854"/>
      <c r="EI403" s="600"/>
      <c r="EJ403" s="453"/>
      <c r="EK403" s="453"/>
      <c r="EL403" s="453"/>
      <c r="EM403" s="483">
        <f t="shared" si="213"/>
        <v>94</v>
      </c>
      <c r="EN403" s="485"/>
      <c r="EO403" s="804"/>
      <c r="EP403" s="805"/>
      <c r="EQ403" s="806"/>
      <c r="ER403" s="808"/>
      <c r="ES403" s="881">
        <f t="shared" si="214"/>
        <v>0</v>
      </c>
      <c r="ET403" s="882"/>
      <c r="EU403" s="883"/>
      <c r="EV403" s="884">
        <f t="shared" si="212"/>
        <v>0</v>
      </c>
      <c r="EW403" s="885"/>
      <c r="EX403" s="885"/>
      <c r="EY403" s="885"/>
      <c r="EZ403" s="885"/>
      <c r="FA403" s="885"/>
      <c r="FB403" s="885"/>
      <c r="FC403" s="885"/>
      <c r="FD403" s="886"/>
      <c r="FE403" s="878"/>
      <c r="FF403" s="878"/>
      <c r="FG403" s="878"/>
      <c r="FH403" s="878"/>
      <c r="FI403" s="878"/>
      <c r="FJ403" s="878"/>
      <c r="FK403" s="878"/>
      <c r="FL403" s="555"/>
      <c r="FM403" s="554"/>
      <c r="FN403" s="554"/>
      <c r="FO403" s="554"/>
      <c r="FP403" s="554"/>
      <c r="FQ403" s="554"/>
      <c r="FR403" s="554"/>
      <c r="FS403" s="554"/>
      <c r="FT403" s="554"/>
      <c r="FU403" s="554"/>
      <c r="FV403" s="554"/>
      <c r="FW403" s="554"/>
      <c r="FX403" s="554"/>
      <c r="FY403" s="554"/>
      <c r="FZ403" s="554"/>
      <c r="GA403" s="554"/>
      <c r="GB403" s="556"/>
      <c r="GC403" s="370"/>
      <c r="GD403" s="453"/>
      <c r="GE403" s="453"/>
      <c r="GF403" s="453"/>
      <c r="GG403" s="453"/>
      <c r="GH403" s="454"/>
      <c r="GI403" s="453"/>
      <c r="GJ403" s="453"/>
      <c r="GK403" s="453"/>
      <c r="GL403" s="453"/>
      <c r="GM403" s="453"/>
      <c r="GN403" s="453"/>
      <c r="GO403" s="453"/>
      <c r="GP403" s="453"/>
      <c r="GQ403" s="453"/>
      <c r="GR403" s="453"/>
      <c r="GS403" s="561"/>
      <c r="GT403" s="475"/>
      <c r="GU403" s="472"/>
      <c r="GV403" s="453"/>
      <c r="GW403" s="453"/>
      <c r="GX403" s="869"/>
      <c r="GY403" s="870"/>
      <c r="GZ403" s="867"/>
      <c r="HA403" s="868"/>
      <c r="HB403" s="473"/>
      <c r="HC403" s="869"/>
      <c r="HD403" s="870"/>
      <c r="HE403" s="867"/>
      <c r="HF403" s="868"/>
      <c r="HG403" s="473"/>
      <c r="HH403" s="867"/>
      <c r="HI403" s="868"/>
      <c r="HJ403" s="867"/>
      <c r="HK403" s="868"/>
      <c r="HL403" s="370"/>
      <c r="HM403" s="865"/>
      <c r="HN403" s="866"/>
      <c r="HO403" s="865"/>
      <c r="HP403" s="866"/>
      <c r="HQ403" s="865"/>
      <c r="HR403" s="866"/>
      <c r="HS403" s="867"/>
      <c r="HT403" s="868"/>
      <c r="HU403" s="489"/>
      <c r="HV403" s="865"/>
      <c r="HW403" s="866"/>
    </row>
    <row r="404" spans="25:231" ht="15" customHeight="1">
      <c r="Y404" s="332"/>
      <c r="Z404" s="332"/>
      <c r="AA404" s="332"/>
      <c r="AB404" s="332"/>
      <c r="AC404" s="332"/>
      <c r="AD404" s="332"/>
      <c r="AE404" s="332"/>
      <c r="AF404" s="332"/>
      <c r="AG404" s="332"/>
      <c r="AH404" s="332"/>
      <c r="AI404" s="332"/>
      <c r="AJ404" s="332"/>
      <c r="AK404" s="332"/>
      <c r="AL404" s="332"/>
      <c r="AM404" s="332"/>
      <c r="AN404" s="332"/>
      <c r="AO404" s="332"/>
      <c r="AP404" s="332"/>
      <c r="AQ404" s="332"/>
      <c r="AR404" s="332"/>
      <c r="AS404" s="332"/>
      <c r="AT404" s="332"/>
      <c r="AU404" s="332"/>
      <c r="AV404" s="332"/>
      <c r="AW404" s="332"/>
      <c r="AX404" s="332"/>
      <c r="AY404" s="332"/>
      <c r="AZ404" s="332"/>
      <c r="BA404" s="332"/>
      <c r="BB404" s="332"/>
      <c r="BC404" s="332"/>
      <c r="BD404" s="332"/>
      <c r="BE404" s="332"/>
      <c r="BF404" s="332"/>
      <c r="BG404" s="332"/>
      <c r="BH404" s="332"/>
      <c r="BI404" s="332"/>
      <c r="BJ404" s="332"/>
      <c r="BK404" s="332"/>
      <c r="BL404" s="332"/>
      <c r="BM404" s="332"/>
      <c r="BN404" s="332"/>
      <c r="BO404" s="332"/>
      <c r="BP404" s="332"/>
      <c r="BQ404" s="332"/>
      <c r="BR404" s="332"/>
      <c r="BS404" s="332"/>
      <c r="BT404" s="332"/>
      <c r="BU404" s="332"/>
      <c r="BV404" s="332"/>
      <c r="BW404" s="332"/>
      <c r="BX404" s="332"/>
      <c r="BY404" s="332"/>
      <c r="BZ404" s="332"/>
      <c r="CA404" s="332"/>
      <c r="CB404" s="332"/>
      <c r="CC404" s="332"/>
      <c r="CD404" s="332"/>
      <c r="CE404" s="332"/>
      <c r="CF404" s="332"/>
      <c r="CG404" s="332"/>
      <c r="CH404" s="332"/>
      <c r="CI404" s="332"/>
      <c r="CJ404" s="332"/>
      <c r="CK404" s="332"/>
      <c r="CL404" s="332"/>
      <c r="CM404" s="332"/>
      <c r="CN404" s="332"/>
      <c r="CO404" s="332"/>
      <c r="CP404" s="332"/>
      <c r="CQ404" s="332"/>
      <c r="CR404" s="332"/>
      <c r="CS404" s="332"/>
      <c r="CT404" s="332"/>
      <c r="CU404" s="332"/>
      <c r="CV404" s="332"/>
      <c r="CW404" s="332"/>
      <c r="CX404" s="332"/>
      <c r="CY404" s="332"/>
      <c r="CZ404" s="332"/>
      <c r="DA404" s="332"/>
      <c r="DB404" s="332"/>
      <c r="DC404" s="332"/>
      <c r="DD404" s="332"/>
      <c r="DE404" s="332"/>
      <c r="DF404" s="332"/>
      <c r="DG404" s="332"/>
      <c r="DH404" s="332"/>
      <c r="DI404" s="332"/>
      <c r="DJ404" s="332"/>
      <c r="DK404" s="332"/>
      <c r="DL404" s="332"/>
      <c r="DM404" s="332"/>
      <c r="DN404" s="332"/>
      <c r="DO404" s="332"/>
      <c r="DP404" s="332"/>
      <c r="DQ404" s="332"/>
      <c r="DR404" s="332"/>
      <c r="DS404" s="332"/>
      <c r="DT404" s="332"/>
      <c r="DU404" s="453"/>
      <c r="DV404" s="453"/>
      <c r="DW404" s="453"/>
      <c r="DX404" s="453"/>
      <c r="DY404" s="453"/>
      <c r="DZ404" s="453"/>
      <c r="EA404" s="453"/>
      <c r="EB404" s="483">
        <v>3</v>
      </c>
      <c r="EC404" s="599"/>
      <c r="ED404" s="851"/>
      <c r="EE404" s="852"/>
      <c r="EF404" s="771"/>
      <c r="EG404" s="853"/>
      <c r="EH404" s="854"/>
      <c r="EI404" s="600"/>
      <c r="EJ404" s="453"/>
      <c r="EK404" s="453"/>
      <c r="EL404" s="453"/>
      <c r="EM404" s="483">
        <f t="shared" si="213"/>
        <v>95</v>
      </c>
      <c r="EN404" s="485"/>
      <c r="EO404" s="804"/>
      <c r="EP404" s="805"/>
      <c r="EQ404" s="806"/>
      <c r="ER404" s="808"/>
      <c r="ES404" s="881">
        <f t="shared" si="214"/>
        <v>0</v>
      </c>
      <c r="ET404" s="882"/>
      <c r="EU404" s="883"/>
      <c r="EV404" s="884">
        <f t="shared" si="212"/>
        <v>0</v>
      </c>
      <c r="EW404" s="885"/>
      <c r="EX404" s="885"/>
      <c r="EY404" s="885"/>
      <c r="EZ404" s="885"/>
      <c r="FA404" s="885"/>
      <c r="FB404" s="885"/>
      <c r="FC404" s="885"/>
      <c r="FD404" s="886"/>
      <c r="FE404" s="878"/>
      <c r="FF404" s="878"/>
      <c r="FG404" s="878"/>
      <c r="FH404" s="878"/>
      <c r="FI404" s="878"/>
      <c r="FJ404" s="878"/>
      <c r="FK404" s="878"/>
      <c r="FL404" s="555"/>
      <c r="FM404" s="554"/>
      <c r="FN404" s="554"/>
      <c r="FO404" s="554"/>
      <c r="FP404" s="554"/>
      <c r="FQ404" s="554"/>
      <c r="FR404" s="554"/>
      <c r="FS404" s="554"/>
      <c r="FT404" s="554"/>
      <c r="FU404" s="554"/>
      <c r="FV404" s="554"/>
      <c r="FW404" s="554"/>
      <c r="FX404" s="554"/>
      <c r="FY404" s="554"/>
      <c r="FZ404" s="554"/>
      <c r="GA404" s="554"/>
      <c r="GB404" s="556"/>
      <c r="GC404" s="370"/>
      <c r="GD404" s="453"/>
      <c r="GE404" s="453"/>
      <c r="GF404" s="453"/>
      <c r="GG404" s="453"/>
      <c r="GH404" s="454"/>
      <c r="GI404" s="453"/>
      <c r="GJ404" s="453"/>
      <c r="GK404" s="453"/>
      <c r="GL404" s="453"/>
      <c r="GM404" s="453"/>
      <c r="GN404" s="453"/>
      <c r="GO404" s="453"/>
      <c r="GP404" s="453"/>
      <c r="GQ404" s="453"/>
      <c r="GR404" s="453"/>
      <c r="GS404" s="561"/>
      <c r="GT404" s="475"/>
      <c r="GU404" s="472"/>
      <c r="GV404" s="453"/>
      <c r="GW404" s="453"/>
      <c r="GX404" s="869"/>
      <c r="GY404" s="870"/>
      <c r="GZ404" s="867"/>
      <c r="HA404" s="868"/>
      <c r="HB404" s="473"/>
      <c r="HC404" s="869"/>
      <c r="HD404" s="870"/>
      <c r="HE404" s="867"/>
      <c r="HF404" s="868"/>
      <c r="HG404" s="473"/>
      <c r="HH404" s="867"/>
      <c r="HI404" s="868"/>
      <c r="HJ404" s="867"/>
      <c r="HK404" s="868"/>
      <c r="HL404" s="370"/>
      <c r="HM404" s="865"/>
      <c r="HN404" s="866"/>
      <c r="HO404" s="865"/>
      <c r="HP404" s="866"/>
      <c r="HQ404" s="865"/>
      <c r="HR404" s="866"/>
      <c r="HS404" s="867"/>
      <c r="HT404" s="868"/>
      <c r="HU404" s="489"/>
      <c r="HV404" s="865"/>
      <c r="HW404" s="866"/>
    </row>
    <row r="405" spans="25:231" ht="15" customHeight="1">
      <c r="Y405" s="332"/>
      <c r="Z405" s="332"/>
      <c r="AA405" s="332"/>
      <c r="AB405" s="332"/>
      <c r="AC405" s="332"/>
      <c r="AD405" s="332"/>
      <c r="AE405" s="332"/>
      <c r="AF405" s="332"/>
      <c r="AG405" s="332"/>
      <c r="AH405" s="332"/>
      <c r="AI405" s="332"/>
      <c r="AJ405" s="332"/>
      <c r="AK405" s="332"/>
      <c r="AL405" s="332"/>
      <c r="AM405" s="332"/>
      <c r="AN405" s="332"/>
      <c r="AO405" s="332"/>
      <c r="AP405" s="332"/>
      <c r="AQ405" s="332"/>
      <c r="AR405" s="332"/>
      <c r="AS405" s="332"/>
      <c r="AT405" s="332"/>
      <c r="AU405" s="332"/>
      <c r="AV405" s="332"/>
      <c r="AW405" s="332"/>
      <c r="AX405" s="332"/>
      <c r="AY405" s="332"/>
      <c r="AZ405" s="332"/>
      <c r="BA405" s="332"/>
      <c r="BB405" s="332"/>
      <c r="BC405" s="332"/>
      <c r="BD405" s="332"/>
      <c r="BE405" s="332"/>
      <c r="BF405" s="332"/>
      <c r="BG405" s="332"/>
      <c r="BH405" s="332"/>
      <c r="BI405" s="332"/>
      <c r="BJ405" s="332"/>
      <c r="BK405" s="332"/>
      <c r="BL405" s="332"/>
      <c r="BM405" s="332"/>
      <c r="BN405" s="332"/>
      <c r="BO405" s="332"/>
      <c r="BP405" s="332"/>
      <c r="BQ405" s="332"/>
      <c r="BR405" s="332"/>
      <c r="BS405" s="332"/>
      <c r="BT405" s="332"/>
      <c r="BU405" s="332"/>
      <c r="BV405" s="332"/>
      <c r="BW405" s="332"/>
      <c r="BX405" s="332"/>
      <c r="BY405" s="332"/>
      <c r="BZ405" s="332"/>
      <c r="CA405" s="332"/>
      <c r="CB405" s="332"/>
      <c r="CC405" s="332"/>
      <c r="CD405" s="332"/>
      <c r="CE405" s="332"/>
      <c r="CF405" s="332"/>
      <c r="CG405" s="332"/>
      <c r="CH405" s="332"/>
      <c r="CI405" s="332"/>
      <c r="CJ405" s="332"/>
      <c r="CK405" s="332"/>
      <c r="CL405" s="332"/>
      <c r="CM405" s="332"/>
      <c r="CN405" s="332"/>
      <c r="CO405" s="332"/>
      <c r="CP405" s="332"/>
      <c r="CQ405" s="332"/>
      <c r="CR405" s="332"/>
      <c r="CS405" s="332"/>
      <c r="CT405" s="332"/>
      <c r="CU405" s="332"/>
      <c r="CV405" s="332"/>
      <c r="CW405" s="332"/>
      <c r="CX405" s="332"/>
      <c r="CY405" s="332"/>
      <c r="CZ405" s="332"/>
      <c r="DA405" s="332"/>
      <c r="DB405" s="332"/>
      <c r="DC405" s="332"/>
      <c r="DD405" s="332"/>
      <c r="DE405" s="332"/>
      <c r="DF405" s="332"/>
      <c r="DG405" s="332"/>
      <c r="DH405" s="332"/>
      <c r="DI405" s="332"/>
      <c r="DJ405" s="332"/>
      <c r="DK405" s="332"/>
      <c r="DL405" s="332"/>
      <c r="DM405" s="332"/>
      <c r="DN405" s="332"/>
      <c r="DO405" s="332"/>
      <c r="DP405" s="332"/>
      <c r="DQ405" s="332"/>
      <c r="DR405" s="332"/>
      <c r="DS405" s="332"/>
      <c r="DT405" s="332"/>
      <c r="DU405" s="453"/>
      <c r="DV405" s="453"/>
      <c r="DW405" s="453"/>
      <c r="DX405" s="453"/>
      <c r="DY405" s="453"/>
      <c r="DZ405" s="453"/>
      <c r="EA405" s="453"/>
      <c r="EB405" s="483">
        <v>4</v>
      </c>
      <c r="EC405" s="599"/>
      <c r="ED405" s="851"/>
      <c r="EE405" s="852"/>
      <c r="EF405" s="771"/>
      <c r="EG405" s="853"/>
      <c r="EH405" s="854"/>
      <c r="EI405" s="600"/>
      <c r="EJ405" s="453"/>
      <c r="EK405" s="453"/>
      <c r="EL405" s="453"/>
      <c r="EM405" s="483">
        <f t="shared" si="213"/>
        <v>96</v>
      </c>
      <c r="EN405" s="485"/>
      <c r="EO405" s="804"/>
      <c r="EP405" s="805"/>
      <c r="EQ405" s="806"/>
      <c r="ER405" s="808"/>
      <c r="ES405" s="881">
        <f t="shared" si="214"/>
        <v>0</v>
      </c>
      <c r="ET405" s="882"/>
      <c r="EU405" s="883"/>
      <c r="EV405" s="884">
        <f t="shared" si="212"/>
        <v>0</v>
      </c>
      <c r="EW405" s="885"/>
      <c r="EX405" s="885"/>
      <c r="EY405" s="885"/>
      <c r="EZ405" s="885"/>
      <c r="FA405" s="885"/>
      <c r="FB405" s="885"/>
      <c r="FC405" s="885"/>
      <c r="FD405" s="886"/>
      <c r="FE405" s="878"/>
      <c r="FF405" s="878"/>
      <c r="FG405" s="878"/>
      <c r="FH405" s="878"/>
      <c r="FI405" s="878"/>
      <c r="FJ405" s="878"/>
      <c r="FK405" s="878"/>
      <c r="FL405" s="555"/>
      <c r="FM405" s="554"/>
      <c r="FN405" s="554"/>
      <c r="FO405" s="554"/>
      <c r="FP405" s="554"/>
      <c r="FQ405" s="554"/>
      <c r="FR405" s="554"/>
      <c r="FS405" s="554"/>
      <c r="FT405" s="554"/>
      <c r="FU405" s="554"/>
      <c r="FV405" s="554"/>
      <c r="FW405" s="554"/>
      <c r="FX405" s="554"/>
      <c r="FY405" s="554"/>
      <c r="FZ405" s="554"/>
      <c r="GA405" s="554"/>
      <c r="GB405" s="556"/>
      <c r="GC405" s="370"/>
      <c r="GD405" s="453"/>
      <c r="GE405" s="453"/>
      <c r="GF405" s="453"/>
      <c r="GG405" s="453"/>
      <c r="GH405" s="454"/>
      <c r="GI405" s="453"/>
      <c r="GJ405" s="453"/>
      <c r="GK405" s="453"/>
      <c r="GL405" s="453"/>
      <c r="GM405" s="453"/>
      <c r="GN405" s="453"/>
      <c r="GO405" s="453"/>
      <c r="GP405" s="453"/>
      <c r="GQ405" s="453"/>
      <c r="GR405" s="453"/>
      <c r="GS405" s="561"/>
      <c r="GT405" s="475"/>
      <c r="GU405" s="472"/>
      <c r="GV405" s="453"/>
      <c r="GW405" s="453"/>
      <c r="GX405" s="869"/>
      <c r="GY405" s="870"/>
      <c r="GZ405" s="867"/>
      <c r="HA405" s="868"/>
      <c r="HB405" s="473"/>
      <c r="HC405" s="869"/>
      <c r="HD405" s="870"/>
      <c r="HE405" s="867"/>
      <c r="HF405" s="868"/>
      <c r="HG405" s="473"/>
      <c r="HH405" s="867"/>
      <c r="HI405" s="868"/>
      <c r="HJ405" s="867"/>
      <c r="HK405" s="868"/>
      <c r="HL405" s="370"/>
      <c r="HM405" s="865"/>
      <c r="HN405" s="866"/>
      <c r="HO405" s="865"/>
      <c r="HP405" s="866"/>
      <c r="HQ405" s="865"/>
      <c r="HR405" s="866"/>
      <c r="HS405" s="867"/>
      <c r="HT405" s="868"/>
      <c r="HU405" s="489"/>
      <c r="HV405" s="865"/>
      <c r="HW405" s="866"/>
    </row>
    <row r="406" spans="25:231" ht="15" customHeight="1">
      <c r="Y406" s="332"/>
      <c r="Z406" s="332"/>
      <c r="AA406" s="332"/>
      <c r="AB406" s="332"/>
      <c r="AC406" s="332"/>
      <c r="AD406" s="332"/>
      <c r="AE406" s="332"/>
      <c r="AF406" s="332"/>
      <c r="AG406" s="332"/>
      <c r="AH406" s="332"/>
      <c r="AI406" s="332"/>
      <c r="AJ406" s="332"/>
      <c r="AK406" s="332"/>
      <c r="AL406" s="332"/>
      <c r="AM406" s="332"/>
      <c r="AN406" s="332"/>
      <c r="AO406" s="332"/>
      <c r="AP406" s="332"/>
      <c r="AQ406" s="332"/>
      <c r="AR406" s="332"/>
      <c r="AS406" s="332"/>
      <c r="AT406" s="332"/>
      <c r="AU406" s="332"/>
      <c r="AV406" s="332"/>
      <c r="AW406" s="332"/>
      <c r="AX406" s="332"/>
      <c r="AY406" s="332"/>
      <c r="AZ406" s="332"/>
      <c r="BA406" s="332"/>
      <c r="BB406" s="332"/>
      <c r="BC406" s="332"/>
      <c r="BD406" s="332"/>
      <c r="BE406" s="332"/>
      <c r="BF406" s="332"/>
      <c r="BG406" s="332"/>
      <c r="BH406" s="332"/>
      <c r="BI406" s="332"/>
      <c r="BJ406" s="332"/>
      <c r="BK406" s="332"/>
      <c r="BL406" s="332"/>
      <c r="BM406" s="332"/>
      <c r="BN406" s="332"/>
      <c r="BO406" s="332"/>
      <c r="BP406" s="332"/>
      <c r="BQ406" s="332"/>
      <c r="BR406" s="332"/>
      <c r="BS406" s="332"/>
      <c r="BT406" s="332"/>
      <c r="BU406" s="332"/>
      <c r="BV406" s="332"/>
      <c r="BW406" s="332"/>
      <c r="BX406" s="332"/>
      <c r="BY406" s="332"/>
      <c r="BZ406" s="332"/>
      <c r="CA406" s="332"/>
      <c r="CB406" s="332"/>
      <c r="CC406" s="332"/>
      <c r="CD406" s="332"/>
      <c r="CE406" s="332"/>
      <c r="CF406" s="332"/>
      <c r="CG406" s="332"/>
      <c r="CH406" s="332"/>
      <c r="CI406" s="332"/>
      <c r="CJ406" s="332"/>
      <c r="CK406" s="332"/>
      <c r="CL406" s="332"/>
      <c r="CM406" s="332"/>
      <c r="CN406" s="332"/>
      <c r="CO406" s="332"/>
      <c r="CP406" s="332"/>
      <c r="CQ406" s="332"/>
      <c r="CR406" s="332"/>
      <c r="CS406" s="332"/>
      <c r="CT406" s="332"/>
      <c r="CU406" s="332"/>
      <c r="CV406" s="332"/>
      <c r="CW406" s="332"/>
      <c r="CX406" s="332"/>
      <c r="CY406" s="332"/>
      <c r="CZ406" s="332"/>
      <c r="DA406" s="332"/>
      <c r="DB406" s="332"/>
      <c r="DC406" s="332"/>
      <c r="DD406" s="332"/>
      <c r="DE406" s="332"/>
      <c r="DF406" s="332"/>
      <c r="DG406" s="332"/>
      <c r="DH406" s="332"/>
      <c r="DI406" s="332"/>
      <c r="DJ406" s="332"/>
      <c r="DK406" s="332"/>
      <c r="DL406" s="332"/>
      <c r="DM406" s="332"/>
      <c r="DN406" s="332"/>
      <c r="DO406" s="332"/>
      <c r="DP406" s="332"/>
      <c r="DQ406" s="332"/>
      <c r="DR406" s="332"/>
      <c r="DS406" s="332"/>
      <c r="DT406" s="332"/>
      <c r="DU406" s="453"/>
      <c r="DV406" s="453"/>
      <c r="DW406" s="453"/>
      <c r="DX406" s="453"/>
      <c r="DY406" s="453"/>
      <c r="DZ406" s="453"/>
      <c r="EA406" s="453"/>
      <c r="EB406" s="483">
        <v>5</v>
      </c>
      <c r="EC406" s="599"/>
      <c r="ED406" s="851"/>
      <c r="EE406" s="852"/>
      <c r="EF406" s="771"/>
      <c r="EG406" s="853"/>
      <c r="EH406" s="854"/>
      <c r="EI406" s="600"/>
      <c r="EJ406" s="453"/>
      <c r="EK406" s="453"/>
      <c r="EL406" s="453"/>
      <c r="EM406" s="483">
        <f t="shared" si="213"/>
        <v>97</v>
      </c>
      <c r="EN406" s="485"/>
      <c r="EO406" s="804"/>
      <c r="EP406" s="805"/>
      <c r="EQ406" s="806"/>
      <c r="ER406" s="808"/>
      <c r="ES406" s="881">
        <f t="shared" si="214"/>
        <v>0</v>
      </c>
      <c r="ET406" s="882"/>
      <c r="EU406" s="883"/>
      <c r="EV406" s="884">
        <f t="shared" si="212"/>
        <v>0</v>
      </c>
      <c r="EW406" s="885"/>
      <c r="EX406" s="885"/>
      <c r="EY406" s="885"/>
      <c r="EZ406" s="885"/>
      <c r="FA406" s="885"/>
      <c r="FB406" s="885"/>
      <c r="FC406" s="885"/>
      <c r="FD406" s="886"/>
      <c r="FE406" s="878"/>
      <c r="FF406" s="878"/>
      <c r="FG406" s="878"/>
      <c r="FH406" s="878"/>
      <c r="FI406" s="878"/>
      <c r="FJ406" s="878"/>
      <c r="FK406" s="878"/>
      <c r="FL406" s="555"/>
      <c r="FM406" s="554"/>
      <c r="FN406" s="554"/>
      <c r="FO406" s="554"/>
      <c r="FP406" s="554"/>
      <c r="FQ406" s="554"/>
      <c r="FR406" s="554"/>
      <c r="FS406" s="554"/>
      <c r="FT406" s="554"/>
      <c r="FU406" s="554"/>
      <c r="FV406" s="554"/>
      <c r="FW406" s="554"/>
      <c r="FX406" s="554"/>
      <c r="FY406" s="554"/>
      <c r="FZ406" s="554"/>
      <c r="GA406" s="554"/>
      <c r="GB406" s="556"/>
      <c r="GC406" s="370"/>
      <c r="GD406" s="453"/>
      <c r="GE406" s="453"/>
      <c r="GF406" s="453"/>
      <c r="GG406" s="453"/>
      <c r="GH406" s="454"/>
      <c r="GI406" s="453"/>
      <c r="GJ406" s="453"/>
      <c r="GK406" s="453"/>
      <c r="GL406" s="453"/>
      <c r="GM406" s="453"/>
      <c r="GN406" s="453"/>
      <c r="GO406" s="453"/>
      <c r="GP406" s="453"/>
      <c r="GQ406" s="453"/>
      <c r="GR406" s="453"/>
      <c r="GS406" s="561"/>
      <c r="GT406" s="475"/>
      <c r="GU406" s="472"/>
      <c r="GV406" s="453"/>
      <c r="GW406" s="453"/>
      <c r="GX406" s="869"/>
      <c r="GY406" s="870"/>
      <c r="GZ406" s="867"/>
      <c r="HA406" s="868"/>
      <c r="HB406" s="473"/>
      <c r="HC406" s="869"/>
      <c r="HD406" s="870"/>
      <c r="HE406" s="867"/>
      <c r="HF406" s="868"/>
      <c r="HG406" s="473"/>
      <c r="HH406" s="867"/>
      <c r="HI406" s="868"/>
      <c r="HJ406" s="867"/>
      <c r="HK406" s="868"/>
      <c r="HL406" s="370"/>
      <c r="HM406" s="865"/>
      <c r="HN406" s="866"/>
      <c r="HO406" s="865"/>
      <c r="HP406" s="866"/>
      <c r="HQ406" s="865"/>
      <c r="HR406" s="866"/>
      <c r="HS406" s="867"/>
      <c r="HT406" s="868"/>
      <c r="HU406" s="489"/>
      <c r="HV406" s="865"/>
      <c r="HW406" s="866"/>
    </row>
    <row r="407" spans="25:231" ht="15" customHeight="1">
      <c r="Y407" s="332"/>
      <c r="Z407" s="332"/>
      <c r="AA407" s="332"/>
      <c r="AB407" s="332"/>
      <c r="AC407" s="332"/>
      <c r="AD407" s="332"/>
      <c r="AE407" s="332"/>
      <c r="AF407" s="332"/>
      <c r="AG407" s="332"/>
      <c r="AH407" s="332"/>
      <c r="AI407" s="332"/>
      <c r="AJ407" s="332"/>
      <c r="AK407" s="332"/>
      <c r="AL407" s="332"/>
      <c r="AM407" s="332"/>
      <c r="AN407" s="332"/>
      <c r="AO407" s="332"/>
      <c r="AP407" s="332"/>
      <c r="AQ407" s="332"/>
      <c r="AR407" s="332"/>
      <c r="AS407" s="332"/>
      <c r="AT407" s="332"/>
      <c r="AU407" s="332"/>
      <c r="AV407" s="332"/>
      <c r="AW407" s="332"/>
      <c r="AX407" s="332"/>
      <c r="AY407" s="332"/>
      <c r="AZ407" s="332"/>
      <c r="BA407" s="332"/>
      <c r="BB407" s="332"/>
      <c r="BC407" s="332"/>
      <c r="BD407" s="332"/>
      <c r="BE407" s="332"/>
      <c r="BF407" s="332"/>
      <c r="BG407" s="332"/>
      <c r="BH407" s="332"/>
      <c r="BI407" s="332"/>
      <c r="BJ407" s="332"/>
      <c r="BK407" s="332"/>
      <c r="BL407" s="332"/>
      <c r="BM407" s="332"/>
      <c r="BN407" s="332"/>
      <c r="BO407" s="332"/>
      <c r="BP407" s="332"/>
      <c r="BQ407" s="332"/>
      <c r="BR407" s="332"/>
      <c r="BS407" s="332"/>
      <c r="BT407" s="332"/>
      <c r="BU407" s="332"/>
      <c r="BV407" s="332"/>
      <c r="BW407" s="332"/>
      <c r="BX407" s="332"/>
      <c r="BY407" s="332"/>
      <c r="BZ407" s="332"/>
      <c r="CA407" s="332"/>
      <c r="CB407" s="332"/>
      <c r="CC407" s="332"/>
      <c r="CD407" s="332"/>
      <c r="CE407" s="332"/>
      <c r="CF407" s="332"/>
      <c r="CG407" s="332"/>
      <c r="CH407" s="332"/>
      <c r="CI407" s="332"/>
      <c r="CJ407" s="332"/>
      <c r="CK407" s="332"/>
      <c r="CL407" s="332"/>
      <c r="CM407" s="332"/>
      <c r="CN407" s="332"/>
      <c r="CO407" s="332"/>
      <c r="CP407" s="332"/>
      <c r="CQ407" s="332"/>
      <c r="CR407" s="332"/>
      <c r="CS407" s="332"/>
      <c r="CT407" s="332"/>
      <c r="CU407" s="332"/>
      <c r="CV407" s="332"/>
      <c r="CW407" s="332"/>
      <c r="CX407" s="332"/>
      <c r="CY407" s="332"/>
      <c r="CZ407" s="332"/>
      <c r="DA407" s="332"/>
      <c r="DB407" s="332"/>
      <c r="DC407" s="332"/>
      <c r="DD407" s="332"/>
      <c r="DE407" s="332"/>
      <c r="DF407" s="332"/>
      <c r="DG407" s="332"/>
      <c r="DH407" s="332"/>
      <c r="DI407" s="332"/>
      <c r="DJ407" s="332"/>
      <c r="DK407" s="332"/>
      <c r="DL407" s="332"/>
      <c r="DM407" s="332"/>
      <c r="DN407" s="332"/>
      <c r="DO407" s="332"/>
      <c r="DP407" s="332"/>
      <c r="DQ407" s="332"/>
      <c r="DR407" s="332"/>
      <c r="DS407" s="332"/>
      <c r="DT407" s="332"/>
      <c r="DU407" s="453"/>
      <c r="DV407" s="453"/>
      <c r="DW407" s="453"/>
      <c r="DX407" s="453"/>
      <c r="DY407" s="453"/>
      <c r="DZ407" s="453"/>
      <c r="EA407" s="453"/>
      <c r="EB407" s="483">
        <v>6</v>
      </c>
      <c r="EC407" s="599"/>
      <c r="ED407" s="851"/>
      <c r="EE407" s="852"/>
      <c r="EF407" s="771"/>
      <c r="EG407" s="853"/>
      <c r="EH407" s="854"/>
      <c r="EI407" s="600"/>
      <c r="EJ407" s="453"/>
      <c r="EK407" s="453"/>
      <c r="EL407" s="453"/>
      <c r="EM407" s="483">
        <f t="shared" si="213"/>
        <v>98</v>
      </c>
      <c r="EN407" s="485"/>
      <c r="EO407" s="804"/>
      <c r="EP407" s="805"/>
      <c r="EQ407" s="806"/>
      <c r="ER407" s="808"/>
      <c r="ES407" s="881">
        <f t="shared" si="214"/>
        <v>0</v>
      </c>
      <c r="ET407" s="882"/>
      <c r="EU407" s="883"/>
      <c r="EV407" s="884">
        <f t="shared" si="212"/>
        <v>0</v>
      </c>
      <c r="EW407" s="885"/>
      <c r="EX407" s="885"/>
      <c r="EY407" s="885"/>
      <c r="EZ407" s="885"/>
      <c r="FA407" s="885"/>
      <c r="FB407" s="885"/>
      <c r="FC407" s="885"/>
      <c r="FD407" s="886"/>
      <c r="FE407" s="878"/>
      <c r="FF407" s="878"/>
      <c r="FG407" s="878"/>
      <c r="FH407" s="878"/>
      <c r="FI407" s="878"/>
      <c r="FJ407" s="878"/>
      <c r="FK407" s="878"/>
      <c r="FL407" s="555"/>
      <c r="FM407" s="554"/>
      <c r="FN407" s="554"/>
      <c r="FO407" s="554"/>
      <c r="FP407" s="554"/>
      <c r="FQ407" s="554"/>
      <c r="FR407" s="554"/>
      <c r="FS407" s="554"/>
      <c r="FT407" s="554"/>
      <c r="FU407" s="554"/>
      <c r="FV407" s="554"/>
      <c r="FW407" s="554"/>
      <c r="FX407" s="554"/>
      <c r="FY407" s="554"/>
      <c r="FZ407" s="554"/>
      <c r="GA407" s="554"/>
      <c r="GB407" s="556"/>
      <c r="GC407" s="370"/>
      <c r="GD407" s="453"/>
      <c r="GE407" s="453"/>
      <c r="GF407" s="453"/>
      <c r="GG407" s="453"/>
      <c r="GH407" s="454"/>
      <c r="GI407" s="453"/>
      <c r="GJ407" s="453"/>
      <c r="GK407" s="453"/>
      <c r="GL407" s="453"/>
      <c r="GM407" s="453"/>
      <c r="GN407" s="453"/>
      <c r="GO407" s="453"/>
      <c r="GP407" s="453"/>
      <c r="GQ407" s="453"/>
      <c r="GR407" s="453"/>
      <c r="GS407" s="561"/>
      <c r="GT407" s="475"/>
      <c r="GU407" s="472"/>
      <c r="GV407" s="453"/>
      <c r="GW407" s="453"/>
      <c r="GX407" s="869"/>
      <c r="GY407" s="870"/>
      <c r="GZ407" s="867"/>
      <c r="HA407" s="868"/>
      <c r="HB407" s="473"/>
      <c r="HC407" s="869"/>
      <c r="HD407" s="870"/>
      <c r="HE407" s="867"/>
      <c r="HF407" s="868"/>
      <c r="HG407" s="473"/>
      <c r="HH407" s="867"/>
      <c r="HI407" s="868"/>
      <c r="HJ407" s="867"/>
      <c r="HK407" s="868"/>
      <c r="HL407" s="370"/>
      <c r="HM407" s="865"/>
      <c r="HN407" s="866"/>
      <c r="HO407" s="865"/>
      <c r="HP407" s="866"/>
      <c r="HQ407" s="865"/>
      <c r="HR407" s="866"/>
      <c r="HS407" s="867"/>
      <c r="HT407" s="868"/>
      <c r="HU407" s="489"/>
      <c r="HV407" s="865"/>
      <c r="HW407" s="866"/>
    </row>
    <row r="408" spans="25:231" ht="15" customHeight="1">
      <c r="Y408" s="332"/>
      <c r="Z408" s="332"/>
      <c r="AA408" s="332"/>
      <c r="AB408" s="332"/>
      <c r="AC408" s="332"/>
      <c r="AD408" s="332"/>
      <c r="AE408" s="332"/>
      <c r="AF408" s="332"/>
      <c r="AG408" s="332"/>
      <c r="AH408" s="332"/>
      <c r="AI408" s="332"/>
      <c r="AJ408" s="332"/>
      <c r="AK408" s="332"/>
      <c r="AL408" s="332"/>
      <c r="AM408" s="332"/>
      <c r="AN408" s="332"/>
      <c r="AO408" s="332"/>
      <c r="AP408" s="332"/>
      <c r="AQ408" s="332"/>
      <c r="AR408" s="332"/>
      <c r="AS408" s="332"/>
      <c r="AT408" s="332"/>
      <c r="AU408" s="332"/>
      <c r="AV408" s="332"/>
      <c r="AW408" s="332"/>
      <c r="AX408" s="332"/>
      <c r="AY408" s="332"/>
      <c r="AZ408" s="332"/>
      <c r="BA408" s="332"/>
      <c r="BB408" s="332"/>
      <c r="BC408" s="332"/>
      <c r="BD408" s="332"/>
      <c r="BE408" s="332"/>
      <c r="BF408" s="332"/>
      <c r="BG408" s="332"/>
      <c r="BH408" s="332"/>
      <c r="BI408" s="332"/>
      <c r="BJ408" s="332"/>
      <c r="BK408" s="332"/>
      <c r="BL408" s="332"/>
      <c r="BM408" s="332"/>
      <c r="BN408" s="332"/>
      <c r="BO408" s="332"/>
      <c r="BP408" s="332"/>
      <c r="BQ408" s="332"/>
      <c r="BR408" s="332"/>
      <c r="BS408" s="332"/>
      <c r="BT408" s="332"/>
      <c r="BU408" s="332"/>
      <c r="BV408" s="332"/>
      <c r="BW408" s="332"/>
      <c r="BX408" s="332"/>
      <c r="BY408" s="332"/>
      <c r="BZ408" s="332"/>
      <c r="CA408" s="332"/>
      <c r="CB408" s="332"/>
      <c r="CC408" s="332"/>
      <c r="CD408" s="332"/>
      <c r="CE408" s="332"/>
      <c r="CF408" s="332"/>
      <c r="CG408" s="332"/>
      <c r="CH408" s="332"/>
      <c r="CI408" s="332"/>
      <c r="CJ408" s="332"/>
      <c r="CK408" s="332"/>
      <c r="CL408" s="332"/>
      <c r="CM408" s="332"/>
      <c r="CN408" s="332"/>
      <c r="CO408" s="332"/>
      <c r="CP408" s="332"/>
      <c r="CQ408" s="332"/>
      <c r="CR408" s="332"/>
      <c r="CS408" s="332"/>
      <c r="CT408" s="332"/>
      <c r="CU408" s="332"/>
      <c r="CV408" s="332"/>
      <c r="CW408" s="332"/>
      <c r="CX408" s="332"/>
      <c r="CY408" s="332"/>
      <c r="CZ408" s="332"/>
      <c r="DA408" s="332"/>
      <c r="DB408" s="332"/>
      <c r="DC408" s="332"/>
      <c r="DD408" s="332"/>
      <c r="DE408" s="332"/>
      <c r="DF408" s="332"/>
      <c r="DG408" s="332"/>
      <c r="DH408" s="332"/>
      <c r="DI408" s="332"/>
      <c r="DJ408" s="332"/>
      <c r="DK408" s="332"/>
      <c r="DL408" s="332"/>
      <c r="DM408" s="332"/>
      <c r="DN408" s="332"/>
      <c r="DO408" s="332"/>
      <c r="DP408" s="332"/>
      <c r="DQ408" s="332"/>
      <c r="DR408" s="332"/>
      <c r="DS408" s="332"/>
      <c r="DT408" s="332"/>
      <c r="DU408" s="453"/>
      <c r="DV408" s="453"/>
      <c r="DW408" s="453"/>
      <c r="DX408" s="453"/>
      <c r="DY408" s="453"/>
      <c r="DZ408" s="453"/>
      <c r="EA408" s="453"/>
      <c r="EB408" s="483">
        <v>7</v>
      </c>
      <c r="EC408" s="599"/>
      <c r="ED408" s="851"/>
      <c r="EE408" s="852"/>
      <c r="EF408" s="771"/>
      <c r="EG408" s="853"/>
      <c r="EH408" s="854"/>
      <c r="EI408" s="600"/>
      <c r="EJ408" s="453"/>
      <c r="EK408" s="453"/>
      <c r="EL408" s="453"/>
      <c r="EM408" s="483">
        <f t="shared" si="213"/>
        <v>99</v>
      </c>
      <c r="EN408" s="485"/>
      <c r="EO408" s="804"/>
      <c r="EP408" s="805"/>
      <c r="EQ408" s="806"/>
      <c r="ER408" s="808"/>
      <c r="ES408" s="881">
        <f t="shared" si="214"/>
        <v>0</v>
      </c>
      <c r="ET408" s="882"/>
      <c r="EU408" s="883"/>
      <c r="EV408" s="884">
        <f t="shared" si="212"/>
        <v>0</v>
      </c>
      <c r="EW408" s="885"/>
      <c r="EX408" s="885"/>
      <c r="EY408" s="885"/>
      <c r="EZ408" s="885"/>
      <c r="FA408" s="885"/>
      <c r="FB408" s="885"/>
      <c r="FC408" s="885"/>
      <c r="FD408" s="886"/>
      <c r="FE408" s="878"/>
      <c r="FF408" s="878"/>
      <c r="FG408" s="878"/>
      <c r="FH408" s="878"/>
      <c r="FI408" s="878"/>
      <c r="FJ408" s="878"/>
      <c r="FK408" s="878"/>
      <c r="FL408" s="555"/>
      <c r="FM408" s="554"/>
      <c r="FN408" s="554"/>
      <c r="FO408" s="554"/>
      <c r="FP408" s="554"/>
      <c r="FQ408" s="554"/>
      <c r="FR408" s="554"/>
      <c r="FS408" s="554"/>
      <c r="FT408" s="554"/>
      <c r="FU408" s="554"/>
      <c r="FV408" s="554"/>
      <c r="FW408" s="554"/>
      <c r="FX408" s="554"/>
      <c r="FY408" s="554"/>
      <c r="FZ408" s="554"/>
      <c r="GA408" s="554"/>
      <c r="GB408" s="556"/>
      <c r="GC408" s="370"/>
      <c r="GD408" s="453"/>
      <c r="GE408" s="453"/>
      <c r="GF408" s="453"/>
      <c r="GG408" s="453"/>
      <c r="GH408" s="454"/>
      <c r="GI408" s="453"/>
      <c r="GJ408" s="453"/>
      <c r="GK408" s="453"/>
      <c r="GL408" s="453"/>
      <c r="GM408" s="453"/>
      <c r="GN408" s="453"/>
      <c r="GO408" s="453"/>
      <c r="GP408" s="453"/>
      <c r="GQ408" s="453"/>
      <c r="GR408" s="453"/>
      <c r="GS408" s="561"/>
      <c r="GT408" s="475"/>
      <c r="GU408" s="472"/>
      <c r="GV408" s="453"/>
      <c r="GW408" s="453"/>
      <c r="GX408" s="869"/>
      <c r="GY408" s="870"/>
      <c r="GZ408" s="867"/>
      <c r="HA408" s="868"/>
      <c r="HB408" s="473"/>
      <c r="HC408" s="869"/>
      <c r="HD408" s="870"/>
      <c r="HE408" s="867"/>
      <c r="HF408" s="868"/>
      <c r="HG408" s="473"/>
      <c r="HH408" s="867"/>
      <c r="HI408" s="868"/>
      <c r="HJ408" s="867"/>
      <c r="HK408" s="868"/>
      <c r="HL408" s="370"/>
      <c r="HM408" s="865"/>
      <c r="HN408" s="866"/>
      <c r="HO408" s="865"/>
      <c r="HP408" s="866"/>
      <c r="HQ408" s="865"/>
      <c r="HR408" s="866"/>
      <c r="HS408" s="867"/>
      <c r="HT408" s="868"/>
      <c r="HU408" s="489"/>
      <c r="HV408" s="865"/>
      <c r="HW408" s="866"/>
    </row>
    <row r="409" spans="25:231" ht="15" customHeight="1">
      <c r="Y409" s="332"/>
      <c r="Z409" s="332"/>
      <c r="AA409" s="332"/>
      <c r="AB409" s="332"/>
      <c r="AC409" s="332"/>
      <c r="AD409" s="332"/>
      <c r="AE409" s="332"/>
      <c r="AF409" s="332"/>
      <c r="AG409" s="332"/>
      <c r="AH409" s="332"/>
      <c r="AI409" s="332"/>
      <c r="AJ409" s="332"/>
      <c r="AK409" s="332"/>
      <c r="AL409" s="332"/>
      <c r="AM409" s="332"/>
      <c r="AN409" s="332"/>
      <c r="AO409" s="332"/>
      <c r="AP409" s="332"/>
      <c r="AQ409" s="332"/>
      <c r="AR409" s="332"/>
      <c r="AS409" s="332"/>
      <c r="AT409" s="332"/>
      <c r="AU409" s="332"/>
      <c r="AV409" s="332"/>
      <c r="AW409" s="332"/>
      <c r="AX409" s="332"/>
      <c r="AY409" s="332"/>
      <c r="AZ409" s="332"/>
      <c r="BA409" s="332"/>
      <c r="BB409" s="332"/>
      <c r="BC409" s="332"/>
      <c r="BD409" s="332"/>
      <c r="BE409" s="332"/>
      <c r="BF409" s="332"/>
      <c r="BG409" s="332"/>
      <c r="BH409" s="332"/>
      <c r="BI409" s="332"/>
      <c r="BJ409" s="332"/>
      <c r="BK409" s="332"/>
      <c r="BL409" s="332"/>
      <c r="BM409" s="332"/>
      <c r="BN409" s="332"/>
      <c r="BO409" s="332"/>
      <c r="BP409" s="332"/>
      <c r="BQ409" s="332"/>
      <c r="BR409" s="332"/>
      <c r="BS409" s="332"/>
      <c r="BT409" s="332"/>
      <c r="BU409" s="332"/>
      <c r="BV409" s="332"/>
      <c r="BW409" s="332"/>
      <c r="BX409" s="332"/>
      <c r="BY409" s="332"/>
      <c r="BZ409" s="332"/>
      <c r="CA409" s="332"/>
      <c r="CB409" s="332"/>
      <c r="CC409" s="332"/>
      <c r="CD409" s="332"/>
      <c r="CE409" s="332"/>
      <c r="CF409" s="332"/>
      <c r="CG409" s="332"/>
      <c r="CH409" s="332"/>
      <c r="CI409" s="332"/>
      <c r="CJ409" s="332"/>
      <c r="CK409" s="332"/>
      <c r="CL409" s="332"/>
      <c r="CM409" s="332"/>
      <c r="CN409" s="332"/>
      <c r="CO409" s="332"/>
      <c r="CP409" s="332"/>
      <c r="CQ409" s="332"/>
      <c r="CR409" s="332"/>
      <c r="CS409" s="332"/>
      <c r="CT409" s="332"/>
      <c r="CU409" s="332"/>
      <c r="CV409" s="332"/>
      <c r="CW409" s="332"/>
      <c r="CX409" s="332"/>
      <c r="CY409" s="332"/>
      <c r="CZ409" s="332"/>
      <c r="DA409" s="332"/>
      <c r="DB409" s="332"/>
      <c r="DC409" s="332"/>
      <c r="DD409" s="332"/>
      <c r="DE409" s="332"/>
      <c r="DF409" s="332"/>
      <c r="DG409" s="332"/>
      <c r="DH409" s="332"/>
      <c r="DI409" s="332"/>
      <c r="DJ409" s="332"/>
      <c r="DK409" s="332"/>
      <c r="DL409" s="332"/>
      <c r="DM409" s="332"/>
      <c r="DN409" s="332"/>
      <c r="DO409" s="332"/>
      <c r="DP409" s="332"/>
      <c r="DQ409" s="332"/>
      <c r="DR409" s="332"/>
      <c r="DS409" s="332"/>
      <c r="DT409" s="332"/>
      <c r="DU409" s="453"/>
      <c r="DV409" s="453"/>
      <c r="DW409" s="453"/>
      <c r="DX409" s="453"/>
      <c r="DY409" s="453"/>
      <c r="DZ409" s="453"/>
      <c r="EA409" s="453"/>
      <c r="EB409" s="483">
        <v>8</v>
      </c>
      <c r="EC409" s="599"/>
      <c r="ED409" s="851"/>
      <c r="EE409" s="852"/>
      <c r="EF409" s="771"/>
      <c r="EG409" s="853"/>
      <c r="EH409" s="854"/>
      <c r="EI409" s="600"/>
      <c r="EJ409" s="453"/>
      <c r="EK409" s="453"/>
      <c r="EL409" s="453"/>
      <c r="EM409" s="483">
        <f t="shared" si="213"/>
        <v>100</v>
      </c>
      <c r="EN409" s="485"/>
      <c r="EO409" s="804"/>
      <c r="EP409" s="805"/>
      <c r="EQ409" s="806"/>
      <c r="ER409" s="808"/>
      <c r="ES409" s="881">
        <f t="shared" si="214"/>
        <v>0</v>
      </c>
      <c r="ET409" s="882"/>
      <c r="EU409" s="883"/>
      <c r="EV409" s="884">
        <f t="shared" si="212"/>
        <v>0</v>
      </c>
      <c r="EW409" s="885"/>
      <c r="EX409" s="885"/>
      <c r="EY409" s="885"/>
      <c r="EZ409" s="885"/>
      <c r="FA409" s="885"/>
      <c r="FB409" s="885"/>
      <c r="FC409" s="885"/>
      <c r="FD409" s="886"/>
      <c r="FE409" s="878"/>
      <c r="FF409" s="878"/>
      <c r="FG409" s="878"/>
      <c r="FH409" s="878"/>
      <c r="FI409" s="878"/>
      <c r="FJ409" s="878"/>
      <c r="FK409" s="878"/>
      <c r="FL409" s="555"/>
      <c r="FM409" s="554"/>
      <c r="FN409" s="554"/>
      <c r="FO409" s="554"/>
      <c r="FP409" s="554"/>
      <c r="FQ409" s="554"/>
      <c r="FR409" s="554"/>
      <c r="FS409" s="554"/>
      <c r="FT409" s="554"/>
      <c r="FU409" s="554"/>
      <c r="FV409" s="554"/>
      <c r="FW409" s="554"/>
      <c r="FX409" s="554"/>
      <c r="FY409" s="554"/>
      <c r="FZ409" s="554"/>
      <c r="GA409" s="554"/>
      <c r="GB409" s="556"/>
      <c r="GC409" s="370"/>
      <c r="GD409" s="453"/>
      <c r="GE409" s="453"/>
      <c r="GF409" s="453"/>
      <c r="GG409" s="453"/>
      <c r="GH409" s="454"/>
      <c r="GI409" s="453"/>
      <c r="GJ409" s="453"/>
      <c r="GK409" s="453"/>
      <c r="GL409" s="453"/>
      <c r="GM409" s="453"/>
      <c r="GN409" s="453"/>
      <c r="GO409" s="453"/>
      <c r="GP409" s="453"/>
      <c r="GQ409" s="453"/>
      <c r="GR409" s="453"/>
      <c r="GS409" s="561"/>
      <c r="GT409" s="475"/>
      <c r="GU409" s="472"/>
      <c r="GV409" s="453"/>
      <c r="GW409" s="453"/>
      <c r="GX409" s="869"/>
      <c r="GY409" s="870"/>
      <c r="GZ409" s="867"/>
      <c r="HA409" s="868"/>
      <c r="HB409" s="473"/>
      <c r="HC409" s="869"/>
      <c r="HD409" s="870"/>
      <c r="HE409" s="867"/>
      <c r="HF409" s="868"/>
      <c r="HG409" s="473"/>
      <c r="HH409" s="867"/>
      <c r="HI409" s="868"/>
      <c r="HJ409" s="867"/>
      <c r="HK409" s="868"/>
      <c r="HL409" s="370"/>
      <c r="HM409" s="865"/>
      <c r="HN409" s="866"/>
      <c r="HO409" s="865"/>
      <c r="HP409" s="866"/>
      <c r="HQ409" s="865"/>
      <c r="HR409" s="866"/>
      <c r="HS409" s="867"/>
      <c r="HT409" s="868"/>
      <c r="HU409" s="489"/>
      <c r="HV409" s="865"/>
      <c r="HW409" s="866"/>
    </row>
    <row r="410" spans="25:231" ht="15" customHeight="1">
      <c r="Y410" s="332"/>
      <c r="Z410" s="332"/>
      <c r="AA410" s="332"/>
      <c r="AB410" s="332"/>
      <c r="AC410" s="332"/>
      <c r="AD410" s="332"/>
      <c r="AE410" s="332"/>
      <c r="AF410" s="332"/>
      <c r="AG410" s="332"/>
      <c r="AH410" s="332"/>
      <c r="AI410" s="332"/>
      <c r="AJ410" s="332"/>
      <c r="AK410" s="332"/>
      <c r="AL410" s="332"/>
      <c r="AM410" s="332"/>
      <c r="AN410" s="332"/>
      <c r="AO410" s="332"/>
      <c r="AP410" s="332"/>
      <c r="AQ410" s="332"/>
      <c r="AR410" s="332"/>
      <c r="AS410" s="332"/>
      <c r="AT410" s="332"/>
      <c r="AU410" s="332"/>
      <c r="AV410" s="332"/>
      <c r="AW410" s="332"/>
      <c r="AX410" s="332"/>
      <c r="AY410" s="332"/>
      <c r="AZ410" s="332"/>
      <c r="BA410" s="332"/>
      <c r="BB410" s="332"/>
      <c r="BC410" s="332"/>
      <c r="BD410" s="332"/>
      <c r="BE410" s="332"/>
      <c r="BF410" s="332"/>
      <c r="BG410" s="332"/>
      <c r="BH410" s="332"/>
      <c r="BI410" s="332"/>
      <c r="BJ410" s="332"/>
      <c r="BK410" s="332"/>
      <c r="BL410" s="332"/>
      <c r="BM410" s="332"/>
      <c r="BN410" s="332"/>
      <c r="BO410" s="332"/>
      <c r="BP410" s="332"/>
      <c r="BQ410" s="332"/>
      <c r="BR410" s="332"/>
      <c r="BS410" s="332"/>
      <c r="BT410" s="332"/>
      <c r="BU410" s="332"/>
      <c r="BV410" s="332"/>
      <c r="BW410" s="332"/>
      <c r="BX410" s="332"/>
      <c r="BY410" s="332"/>
      <c r="BZ410" s="332"/>
      <c r="CA410" s="332"/>
      <c r="CB410" s="332"/>
      <c r="CC410" s="332"/>
      <c r="CD410" s="332"/>
      <c r="CE410" s="332"/>
      <c r="CF410" s="332"/>
      <c r="CG410" s="332"/>
      <c r="CH410" s="332"/>
      <c r="CI410" s="332"/>
      <c r="CJ410" s="332"/>
      <c r="CK410" s="332"/>
      <c r="CL410" s="332"/>
      <c r="CM410" s="332"/>
      <c r="CN410" s="332"/>
      <c r="CO410" s="332"/>
      <c r="CP410" s="332"/>
      <c r="CQ410" s="332"/>
      <c r="CR410" s="332"/>
      <c r="CS410" s="332"/>
      <c r="CT410" s="332"/>
      <c r="CU410" s="332"/>
      <c r="CV410" s="332"/>
      <c r="CW410" s="332"/>
      <c r="CX410" s="332"/>
      <c r="CY410" s="332"/>
      <c r="CZ410" s="332"/>
      <c r="DA410" s="332"/>
      <c r="DB410" s="332"/>
      <c r="DC410" s="332"/>
      <c r="DD410" s="332"/>
      <c r="DE410" s="332"/>
      <c r="DF410" s="332"/>
      <c r="DG410" s="332"/>
      <c r="DH410" s="332"/>
      <c r="DI410" s="332"/>
      <c r="DJ410" s="332"/>
      <c r="DK410" s="332"/>
      <c r="DL410" s="332"/>
      <c r="DM410" s="332"/>
      <c r="DN410" s="332"/>
      <c r="DO410" s="332"/>
      <c r="DP410" s="332"/>
      <c r="DQ410" s="332"/>
      <c r="DR410" s="332"/>
      <c r="DS410" s="332"/>
      <c r="DT410" s="332"/>
      <c r="DU410" s="453"/>
      <c r="DV410" s="453"/>
      <c r="DW410" s="453"/>
      <c r="DX410" s="453"/>
      <c r="DY410" s="453"/>
      <c r="DZ410" s="453"/>
      <c r="EA410" s="453"/>
      <c r="EB410" s="483">
        <v>9</v>
      </c>
      <c r="EC410" s="599"/>
      <c r="ED410" s="851"/>
      <c r="EE410" s="852"/>
      <c r="EF410" s="771"/>
      <c r="EG410" s="853"/>
      <c r="EH410" s="854"/>
      <c r="EI410" s="600"/>
      <c r="EJ410" s="453"/>
      <c r="EK410" s="453"/>
      <c r="EL410" s="453"/>
      <c r="EM410" s="483">
        <f t="shared" si="213"/>
        <v>101</v>
      </c>
      <c r="EN410" s="485"/>
      <c r="EO410" s="804"/>
      <c r="EP410" s="805"/>
      <c r="EQ410" s="806"/>
      <c r="ER410" s="808"/>
      <c r="ES410" s="881">
        <f t="shared" si="214"/>
        <v>0</v>
      </c>
      <c r="ET410" s="882"/>
      <c r="EU410" s="883"/>
      <c r="EV410" s="884">
        <f t="shared" si="212"/>
        <v>0</v>
      </c>
      <c r="EW410" s="885"/>
      <c r="EX410" s="885"/>
      <c r="EY410" s="885"/>
      <c r="EZ410" s="885"/>
      <c r="FA410" s="885"/>
      <c r="FB410" s="885"/>
      <c r="FC410" s="885"/>
      <c r="FD410" s="886"/>
      <c r="FE410" s="878"/>
      <c r="FF410" s="878"/>
      <c r="FG410" s="878"/>
      <c r="FH410" s="878"/>
      <c r="FI410" s="878"/>
      <c r="FJ410" s="878"/>
      <c r="FK410" s="878"/>
      <c r="FL410" s="555"/>
      <c r="FM410" s="554"/>
      <c r="FN410" s="554"/>
      <c r="FO410" s="554"/>
      <c r="FP410" s="554"/>
      <c r="FQ410" s="554"/>
      <c r="FR410" s="554"/>
      <c r="FS410" s="554"/>
      <c r="FT410" s="554"/>
      <c r="FU410" s="554"/>
      <c r="FV410" s="554"/>
      <c r="FW410" s="554"/>
      <c r="FX410" s="554"/>
      <c r="FY410" s="554"/>
      <c r="FZ410" s="554"/>
      <c r="GA410" s="554"/>
      <c r="GB410" s="556"/>
      <c r="GC410" s="370"/>
      <c r="GD410" s="453"/>
      <c r="GE410" s="453"/>
      <c r="GF410" s="453"/>
      <c r="GG410" s="453"/>
      <c r="GH410" s="454"/>
      <c r="GI410" s="453"/>
      <c r="GJ410" s="453"/>
      <c r="GK410" s="453"/>
      <c r="GL410" s="453"/>
      <c r="GM410" s="453"/>
      <c r="GN410" s="453"/>
      <c r="GO410" s="453"/>
      <c r="GP410" s="453"/>
      <c r="GQ410" s="453"/>
      <c r="GR410" s="453"/>
      <c r="GS410" s="561"/>
      <c r="GT410" s="475"/>
      <c r="GU410" s="472"/>
      <c r="GV410" s="453"/>
      <c r="GW410" s="453"/>
      <c r="GX410" s="869"/>
      <c r="GY410" s="870"/>
      <c r="GZ410" s="867"/>
      <c r="HA410" s="868"/>
      <c r="HB410" s="473"/>
      <c r="HC410" s="869"/>
      <c r="HD410" s="870"/>
      <c r="HE410" s="867"/>
      <c r="HF410" s="868"/>
      <c r="HG410" s="473"/>
      <c r="HH410" s="867"/>
      <c r="HI410" s="868"/>
      <c r="HJ410" s="867"/>
      <c r="HK410" s="868"/>
      <c r="HL410" s="370"/>
      <c r="HM410" s="865"/>
      <c r="HN410" s="866"/>
      <c r="HO410" s="865"/>
      <c r="HP410" s="866"/>
      <c r="HQ410" s="865"/>
      <c r="HR410" s="866"/>
      <c r="HS410" s="867"/>
      <c r="HT410" s="868"/>
      <c r="HU410" s="489"/>
      <c r="HV410" s="865"/>
      <c r="HW410" s="866"/>
    </row>
    <row r="411" spans="25:231" ht="15" customHeight="1">
      <c r="Y411" s="332"/>
      <c r="Z411" s="332"/>
      <c r="AA411" s="332"/>
      <c r="AB411" s="332"/>
      <c r="AC411" s="332"/>
      <c r="AD411" s="332"/>
      <c r="AE411" s="332"/>
      <c r="AF411" s="332"/>
      <c r="AG411" s="332"/>
      <c r="AH411" s="332"/>
      <c r="AI411" s="332"/>
      <c r="AJ411" s="332"/>
      <c r="AK411" s="332"/>
      <c r="AL411" s="332"/>
      <c r="AM411" s="332"/>
      <c r="AN411" s="332"/>
      <c r="AO411" s="332"/>
      <c r="AP411" s="332"/>
      <c r="AQ411" s="332"/>
      <c r="AR411" s="332"/>
      <c r="AS411" s="332"/>
      <c r="AT411" s="332"/>
      <c r="AU411" s="332"/>
      <c r="AV411" s="332"/>
      <c r="AW411" s="332"/>
      <c r="AX411" s="332"/>
      <c r="AY411" s="332"/>
      <c r="AZ411" s="332"/>
      <c r="BA411" s="332"/>
      <c r="BB411" s="332"/>
      <c r="BC411" s="332"/>
      <c r="BD411" s="332"/>
      <c r="BE411" s="332"/>
      <c r="BF411" s="332"/>
      <c r="BG411" s="332"/>
      <c r="BH411" s="332"/>
      <c r="BI411" s="332"/>
      <c r="BJ411" s="332"/>
      <c r="BK411" s="332"/>
      <c r="BL411" s="332"/>
      <c r="BM411" s="332"/>
      <c r="BN411" s="332"/>
      <c r="BO411" s="332"/>
      <c r="BP411" s="332"/>
      <c r="BQ411" s="332"/>
      <c r="BR411" s="332"/>
      <c r="BS411" s="332"/>
      <c r="BT411" s="332"/>
      <c r="BU411" s="332"/>
      <c r="BV411" s="332"/>
      <c r="BW411" s="332"/>
      <c r="BX411" s="332"/>
      <c r="BY411" s="332"/>
      <c r="BZ411" s="332"/>
      <c r="CA411" s="332"/>
      <c r="CB411" s="332"/>
      <c r="CC411" s="332"/>
      <c r="CD411" s="332"/>
      <c r="CE411" s="332"/>
      <c r="CF411" s="332"/>
      <c r="CG411" s="332"/>
      <c r="CH411" s="332"/>
      <c r="CI411" s="332"/>
      <c r="CJ411" s="332"/>
      <c r="CK411" s="332"/>
      <c r="CL411" s="332"/>
      <c r="CM411" s="332"/>
      <c r="CN411" s="332"/>
      <c r="CO411" s="332"/>
      <c r="CP411" s="332"/>
      <c r="CQ411" s="332"/>
      <c r="CR411" s="332"/>
      <c r="CS411" s="332"/>
      <c r="CT411" s="332"/>
      <c r="CU411" s="332"/>
      <c r="CV411" s="332"/>
      <c r="CW411" s="332"/>
      <c r="CX411" s="332"/>
      <c r="CY411" s="332"/>
      <c r="CZ411" s="332"/>
      <c r="DA411" s="332"/>
      <c r="DB411" s="332"/>
      <c r="DC411" s="332"/>
      <c r="DD411" s="332"/>
      <c r="DE411" s="332"/>
      <c r="DF411" s="332"/>
      <c r="DG411" s="332"/>
      <c r="DH411" s="332"/>
      <c r="DI411" s="332"/>
      <c r="DJ411" s="332"/>
      <c r="DK411" s="332"/>
      <c r="DL411" s="332"/>
      <c r="DM411" s="332"/>
      <c r="DN411" s="332"/>
      <c r="DO411" s="332"/>
      <c r="DP411" s="332"/>
      <c r="DQ411" s="332"/>
      <c r="DR411" s="332"/>
      <c r="DS411" s="332"/>
      <c r="DT411" s="332"/>
      <c r="DU411" s="453"/>
      <c r="DV411" s="453"/>
      <c r="DW411" s="453"/>
      <c r="DX411" s="453"/>
      <c r="DY411" s="453"/>
      <c r="DZ411" s="453"/>
      <c r="EA411" s="453"/>
      <c r="EB411" s="483">
        <v>10</v>
      </c>
      <c r="EC411" s="599"/>
      <c r="ED411" s="851"/>
      <c r="EE411" s="852"/>
      <c r="EF411" s="771"/>
      <c r="EG411" s="853"/>
      <c r="EH411" s="854"/>
      <c r="EI411" s="600"/>
      <c r="EJ411" s="453"/>
      <c r="EK411" s="453"/>
      <c r="EL411" s="453"/>
      <c r="EM411" s="483">
        <f t="shared" si="213"/>
        <v>102</v>
      </c>
      <c r="EN411" s="485"/>
      <c r="EO411" s="804"/>
      <c r="EP411" s="805"/>
      <c r="EQ411" s="806"/>
      <c r="ER411" s="808"/>
      <c r="ES411" s="881">
        <f t="shared" si="214"/>
        <v>0</v>
      </c>
      <c r="ET411" s="882"/>
      <c r="EU411" s="883"/>
      <c r="EV411" s="884">
        <f t="shared" si="212"/>
        <v>0</v>
      </c>
      <c r="EW411" s="885"/>
      <c r="EX411" s="885"/>
      <c r="EY411" s="885"/>
      <c r="EZ411" s="885"/>
      <c r="FA411" s="885"/>
      <c r="FB411" s="885"/>
      <c r="FC411" s="885"/>
      <c r="FD411" s="886"/>
      <c r="FE411" s="878"/>
      <c r="FF411" s="878"/>
      <c r="FG411" s="878"/>
      <c r="FH411" s="878"/>
      <c r="FI411" s="878"/>
      <c r="FJ411" s="878"/>
      <c r="FK411" s="878"/>
      <c r="FL411" s="555"/>
      <c r="FM411" s="554"/>
      <c r="FN411" s="554"/>
      <c r="FO411" s="554"/>
      <c r="FP411" s="554"/>
      <c r="FQ411" s="554"/>
      <c r="FR411" s="554"/>
      <c r="FS411" s="554"/>
      <c r="FT411" s="554"/>
      <c r="FU411" s="554"/>
      <c r="FV411" s="554"/>
      <c r="FW411" s="554"/>
      <c r="FX411" s="554"/>
      <c r="FY411" s="554"/>
      <c r="FZ411" s="554"/>
      <c r="GA411" s="554"/>
      <c r="GB411" s="556"/>
      <c r="GC411" s="370"/>
      <c r="GD411" s="453"/>
      <c r="GE411" s="453"/>
      <c r="GF411" s="453"/>
      <c r="GG411" s="453"/>
      <c r="GH411" s="454"/>
      <c r="GI411" s="453"/>
      <c r="GJ411" s="453"/>
      <c r="GK411" s="453"/>
      <c r="GL411" s="453"/>
      <c r="GM411" s="453"/>
      <c r="GN411" s="453"/>
      <c r="GO411" s="453"/>
      <c r="GP411" s="453"/>
      <c r="GQ411" s="453"/>
      <c r="GR411" s="453"/>
      <c r="GS411" s="561"/>
      <c r="GT411" s="475"/>
      <c r="GU411" s="472"/>
      <c r="GV411" s="453"/>
      <c r="GW411" s="453"/>
      <c r="GX411" s="869"/>
      <c r="GY411" s="870"/>
      <c r="GZ411" s="867"/>
      <c r="HA411" s="868"/>
      <c r="HB411" s="473"/>
      <c r="HC411" s="869"/>
      <c r="HD411" s="870"/>
      <c r="HE411" s="867"/>
      <c r="HF411" s="868"/>
      <c r="HG411" s="473"/>
      <c r="HH411" s="867"/>
      <c r="HI411" s="868"/>
      <c r="HJ411" s="867"/>
      <c r="HK411" s="868"/>
      <c r="HL411" s="370"/>
      <c r="HM411" s="865"/>
      <c r="HN411" s="866"/>
      <c r="HO411" s="865"/>
      <c r="HP411" s="866"/>
      <c r="HQ411" s="865"/>
      <c r="HR411" s="866"/>
      <c r="HS411" s="867"/>
      <c r="HT411" s="868"/>
      <c r="HU411" s="489"/>
      <c r="HV411" s="865"/>
      <c r="HW411" s="866"/>
    </row>
    <row r="412" spans="25:231" ht="15" customHeight="1">
      <c r="Y412" s="332"/>
      <c r="Z412" s="332"/>
      <c r="AA412" s="332"/>
      <c r="AB412" s="332"/>
      <c r="AC412" s="332"/>
      <c r="AD412" s="332"/>
      <c r="AE412" s="332"/>
      <c r="AF412" s="332"/>
      <c r="AG412" s="332"/>
      <c r="AH412" s="332"/>
      <c r="AI412" s="332"/>
      <c r="AJ412" s="332"/>
      <c r="AK412" s="332"/>
      <c r="AL412" s="332"/>
      <c r="AM412" s="332"/>
      <c r="AN412" s="332"/>
      <c r="AO412" s="332"/>
      <c r="AP412" s="332"/>
      <c r="AQ412" s="332"/>
      <c r="AR412" s="332"/>
      <c r="AS412" s="332"/>
      <c r="AT412" s="332"/>
      <c r="AU412" s="332"/>
      <c r="AV412" s="332"/>
      <c r="AW412" s="332"/>
      <c r="AX412" s="332"/>
      <c r="AY412" s="332"/>
      <c r="AZ412" s="332"/>
      <c r="BA412" s="332"/>
      <c r="BB412" s="332"/>
      <c r="BC412" s="332"/>
      <c r="BD412" s="332"/>
      <c r="BE412" s="332"/>
      <c r="BF412" s="332"/>
      <c r="BG412" s="332"/>
      <c r="BH412" s="332"/>
      <c r="BI412" s="332"/>
      <c r="BJ412" s="332"/>
      <c r="BK412" s="332"/>
      <c r="BL412" s="332"/>
      <c r="BM412" s="332"/>
      <c r="BN412" s="332"/>
      <c r="BO412" s="332"/>
      <c r="BP412" s="332"/>
      <c r="BQ412" s="332"/>
      <c r="BR412" s="332"/>
      <c r="BS412" s="332"/>
      <c r="BT412" s="332"/>
      <c r="BU412" s="332"/>
      <c r="BV412" s="332"/>
      <c r="BW412" s="332"/>
      <c r="BX412" s="332"/>
      <c r="BY412" s="332"/>
      <c r="BZ412" s="332"/>
      <c r="CA412" s="332"/>
      <c r="CB412" s="332"/>
      <c r="CC412" s="332"/>
      <c r="CD412" s="332"/>
      <c r="CE412" s="332"/>
      <c r="CF412" s="332"/>
      <c r="CG412" s="332"/>
      <c r="CH412" s="332"/>
      <c r="CI412" s="332"/>
      <c r="CJ412" s="332"/>
      <c r="CK412" s="332"/>
      <c r="CL412" s="332"/>
      <c r="CM412" s="332"/>
      <c r="CN412" s="332"/>
      <c r="CO412" s="332"/>
      <c r="CP412" s="332"/>
      <c r="CQ412" s="332"/>
      <c r="CR412" s="332"/>
      <c r="CS412" s="332"/>
      <c r="CT412" s="332"/>
      <c r="CU412" s="332"/>
      <c r="CV412" s="332"/>
      <c r="CW412" s="332"/>
      <c r="CX412" s="332"/>
      <c r="CY412" s="332"/>
      <c r="CZ412" s="332"/>
      <c r="DA412" s="332"/>
      <c r="DB412" s="332"/>
      <c r="DC412" s="332"/>
      <c r="DD412" s="332"/>
      <c r="DE412" s="332"/>
      <c r="DF412" s="332"/>
      <c r="DG412" s="332"/>
      <c r="DH412" s="332"/>
      <c r="DI412" s="332"/>
      <c r="DJ412" s="332"/>
      <c r="DK412" s="332"/>
      <c r="DL412" s="332"/>
      <c r="DM412" s="332"/>
      <c r="DN412" s="332"/>
      <c r="DO412" s="332"/>
      <c r="DP412" s="332"/>
      <c r="DQ412" s="332"/>
      <c r="DR412" s="332"/>
      <c r="DS412" s="332"/>
      <c r="DT412" s="332"/>
      <c r="DU412" s="453"/>
      <c r="DV412" s="453"/>
      <c r="DW412" s="453"/>
      <c r="DX412" s="453"/>
      <c r="DY412" s="453"/>
      <c r="DZ412" s="453"/>
      <c r="EA412" s="453"/>
      <c r="EB412" s="483">
        <v>11</v>
      </c>
      <c r="EC412" s="599"/>
      <c r="ED412" s="851"/>
      <c r="EE412" s="852"/>
      <c r="EF412" s="771"/>
      <c r="EG412" s="853"/>
      <c r="EH412" s="854"/>
      <c r="EI412" s="600"/>
      <c r="EJ412" s="453"/>
      <c r="EK412" s="453"/>
      <c r="EL412" s="453"/>
      <c r="EM412" s="483">
        <f t="shared" si="213"/>
        <v>103</v>
      </c>
      <c r="EN412" s="485"/>
      <c r="EO412" s="804"/>
      <c r="EP412" s="805"/>
      <c r="EQ412" s="806"/>
      <c r="ER412" s="808"/>
      <c r="ES412" s="881">
        <f t="shared" si="214"/>
        <v>0</v>
      </c>
      <c r="ET412" s="882"/>
      <c r="EU412" s="883"/>
      <c r="EV412" s="884">
        <f t="shared" si="212"/>
        <v>0</v>
      </c>
      <c r="EW412" s="885"/>
      <c r="EX412" s="885"/>
      <c r="EY412" s="885"/>
      <c r="EZ412" s="885"/>
      <c r="FA412" s="885"/>
      <c r="FB412" s="885"/>
      <c r="FC412" s="885"/>
      <c r="FD412" s="886"/>
      <c r="FE412" s="878"/>
      <c r="FF412" s="878"/>
      <c r="FG412" s="878"/>
      <c r="FH412" s="878"/>
      <c r="FI412" s="878"/>
      <c r="FJ412" s="878"/>
      <c r="FK412" s="878"/>
      <c r="FL412" s="555"/>
      <c r="FM412" s="554"/>
      <c r="FN412" s="554"/>
      <c r="FO412" s="554"/>
      <c r="FP412" s="554"/>
      <c r="FQ412" s="554"/>
      <c r="FR412" s="554"/>
      <c r="FS412" s="554"/>
      <c r="FT412" s="554"/>
      <c r="FU412" s="554"/>
      <c r="FV412" s="554"/>
      <c r="FW412" s="554"/>
      <c r="FX412" s="554"/>
      <c r="FY412" s="554"/>
      <c r="FZ412" s="554"/>
      <c r="GA412" s="554"/>
      <c r="GB412" s="556"/>
      <c r="GC412" s="370"/>
      <c r="GD412" s="453"/>
      <c r="GE412" s="453"/>
      <c r="GF412" s="453"/>
      <c r="GG412" s="453"/>
      <c r="GH412" s="454"/>
      <c r="GI412" s="453"/>
      <c r="GJ412" s="453"/>
      <c r="GK412" s="453"/>
      <c r="GL412" s="453"/>
      <c r="GM412" s="453"/>
      <c r="GN412" s="453"/>
      <c r="GO412" s="453"/>
      <c r="GP412" s="453"/>
      <c r="GQ412" s="453"/>
      <c r="GR412" s="453"/>
      <c r="GS412" s="561"/>
      <c r="GT412" s="475"/>
      <c r="GU412" s="472"/>
      <c r="GV412" s="453"/>
      <c r="GW412" s="453"/>
      <c r="GX412" s="869"/>
      <c r="GY412" s="870"/>
      <c r="GZ412" s="867"/>
      <c r="HA412" s="868"/>
      <c r="HB412" s="473"/>
      <c r="HC412" s="869"/>
      <c r="HD412" s="870"/>
      <c r="HE412" s="867"/>
      <c r="HF412" s="868"/>
      <c r="HG412" s="473"/>
      <c r="HH412" s="867"/>
      <c r="HI412" s="868"/>
      <c r="HJ412" s="867"/>
      <c r="HK412" s="868"/>
      <c r="HL412" s="370"/>
      <c r="HM412" s="865"/>
      <c r="HN412" s="866"/>
      <c r="HO412" s="865"/>
      <c r="HP412" s="866"/>
      <c r="HQ412" s="865"/>
      <c r="HR412" s="866"/>
      <c r="HS412" s="867"/>
      <c r="HT412" s="868"/>
      <c r="HU412" s="489"/>
      <c r="HV412" s="865"/>
      <c r="HW412" s="866"/>
    </row>
    <row r="413" spans="25:231" ht="15" customHeight="1">
      <c r="Y413" s="332"/>
      <c r="Z413" s="332"/>
      <c r="AA413" s="332"/>
      <c r="AB413" s="332"/>
      <c r="AC413" s="332"/>
      <c r="AD413" s="332"/>
      <c r="AE413" s="332"/>
      <c r="AF413" s="332"/>
      <c r="AG413" s="332"/>
      <c r="AH413" s="332"/>
      <c r="AI413" s="332"/>
      <c r="AJ413" s="332"/>
      <c r="AK413" s="332"/>
      <c r="AL413" s="332"/>
      <c r="AM413" s="332"/>
      <c r="AN413" s="332"/>
      <c r="AO413" s="332"/>
      <c r="AP413" s="332"/>
      <c r="AQ413" s="332"/>
      <c r="AR413" s="332"/>
      <c r="AS413" s="332"/>
      <c r="AT413" s="332"/>
      <c r="AU413" s="332"/>
      <c r="AV413" s="332"/>
      <c r="AW413" s="332"/>
      <c r="AX413" s="332"/>
      <c r="AY413" s="332"/>
      <c r="AZ413" s="332"/>
      <c r="BA413" s="332"/>
      <c r="BB413" s="332"/>
      <c r="BC413" s="332"/>
      <c r="BD413" s="332"/>
      <c r="BE413" s="332"/>
      <c r="BF413" s="332"/>
      <c r="BG413" s="332"/>
      <c r="BH413" s="332"/>
      <c r="BI413" s="332"/>
      <c r="BJ413" s="332"/>
      <c r="BK413" s="332"/>
      <c r="BL413" s="332"/>
      <c r="BM413" s="332"/>
      <c r="BN413" s="332"/>
      <c r="BO413" s="332"/>
      <c r="BP413" s="332"/>
      <c r="BQ413" s="332"/>
      <c r="BR413" s="332"/>
      <c r="BS413" s="332"/>
      <c r="BT413" s="332"/>
      <c r="BU413" s="332"/>
      <c r="BV413" s="332"/>
      <c r="BW413" s="332"/>
      <c r="BX413" s="332"/>
      <c r="BY413" s="332"/>
      <c r="BZ413" s="332"/>
      <c r="CA413" s="332"/>
      <c r="CB413" s="332"/>
      <c r="CC413" s="332"/>
      <c r="CD413" s="332"/>
      <c r="CE413" s="332"/>
      <c r="CF413" s="332"/>
      <c r="CG413" s="332"/>
      <c r="CH413" s="332"/>
      <c r="CI413" s="332"/>
      <c r="CJ413" s="332"/>
      <c r="CK413" s="332"/>
      <c r="CL413" s="332"/>
      <c r="CM413" s="332"/>
      <c r="CN413" s="332"/>
      <c r="CO413" s="332"/>
      <c r="CP413" s="332"/>
      <c r="CQ413" s="332"/>
      <c r="CR413" s="332"/>
      <c r="CS413" s="332"/>
      <c r="CT413" s="332"/>
      <c r="CU413" s="332"/>
      <c r="CV413" s="332"/>
      <c r="CW413" s="332"/>
      <c r="CX413" s="332"/>
      <c r="CY413" s="332"/>
      <c r="CZ413" s="332"/>
      <c r="DA413" s="332"/>
      <c r="DB413" s="332"/>
      <c r="DC413" s="332"/>
      <c r="DD413" s="332"/>
      <c r="DE413" s="332"/>
      <c r="DF413" s="332"/>
      <c r="DG413" s="332"/>
      <c r="DH413" s="332"/>
      <c r="DI413" s="332"/>
      <c r="DJ413" s="332"/>
      <c r="DK413" s="332"/>
      <c r="DL413" s="332"/>
      <c r="DM413" s="332"/>
      <c r="DN413" s="332"/>
      <c r="DO413" s="332"/>
      <c r="DP413" s="332"/>
      <c r="DQ413" s="332"/>
      <c r="DR413" s="332"/>
      <c r="DS413" s="332"/>
      <c r="DT413" s="332"/>
      <c r="DU413" s="453"/>
      <c r="DV413" s="453"/>
      <c r="DW413" s="453"/>
      <c r="DX413" s="453"/>
      <c r="DY413" s="453"/>
      <c r="DZ413" s="453"/>
      <c r="EA413" s="453"/>
      <c r="EB413" s="483">
        <v>12</v>
      </c>
      <c r="EC413" s="599"/>
      <c r="ED413" s="851"/>
      <c r="EE413" s="852"/>
      <c r="EF413" s="771"/>
      <c r="EG413" s="853"/>
      <c r="EH413" s="854"/>
      <c r="EI413" s="600"/>
      <c r="EJ413" s="453"/>
      <c r="EK413" s="453"/>
      <c r="EL413" s="453"/>
      <c r="EM413" s="483">
        <f t="shared" si="213"/>
        <v>104</v>
      </c>
      <c r="EN413" s="485"/>
      <c r="EO413" s="804"/>
      <c r="EP413" s="805"/>
      <c r="EQ413" s="806"/>
      <c r="ER413" s="808"/>
      <c r="ES413" s="881">
        <f t="shared" si="214"/>
        <v>0</v>
      </c>
      <c r="ET413" s="882"/>
      <c r="EU413" s="883"/>
      <c r="EV413" s="884">
        <f t="shared" si="212"/>
        <v>0</v>
      </c>
      <c r="EW413" s="885"/>
      <c r="EX413" s="885"/>
      <c r="EY413" s="885"/>
      <c r="EZ413" s="885"/>
      <c r="FA413" s="885"/>
      <c r="FB413" s="885"/>
      <c r="FC413" s="885"/>
      <c r="FD413" s="886"/>
      <c r="FE413" s="878"/>
      <c r="FF413" s="878"/>
      <c r="FG413" s="878"/>
      <c r="FH413" s="878"/>
      <c r="FI413" s="878"/>
      <c r="FJ413" s="878"/>
      <c r="FK413" s="878"/>
      <c r="FL413" s="555"/>
      <c r="FM413" s="554"/>
      <c r="FN413" s="554"/>
      <c r="FO413" s="554"/>
      <c r="FP413" s="554"/>
      <c r="FQ413" s="554"/>
      <c r="FR413" s="554"/>
      <c r="FS413" s="554"/>
      <c r="FT413" s="554"/>
      <c r="FU413" s="554"/>
      <c r="FV413" s="554"/>
      <c r="FW413" s="554"/>
      <c r="FX413" s="554"/>
      <c r="FY413" s="554"/>
      <c r="FZ413" s="554"/>
      <c r="GA413" s="554"/>
      <c r="GB413" s="556"/>
      <c r="GC413" s="370"/>
      <c r="GD413" s="453"/>
      <c r="GE413" s="453"/>
      <c r="GF413" s="453"/>
      <c r="GG413" s="453"/>
      <c r="GH413" s="454"/>
      <c r="GI413" s="453"/>
      <c r="GJ413" s="453"/>
      <c r="GK413" s="453"/>
      <c r="GL413" s="453"/>
      <c r="GM413" s="453"/>
      <c r="GN413" s="453"/>
      <c r="GO413" s="453"/>
      <c r="GP413" s="453"/>
      <c r="GQ413" s="453"/>
      <c r="GR413" s="453"/>
      <c r="GS413" s="561"/>
      <c r="GT413" s="475"/>
      <c r="GU413" s="472"/>
      <c r="GV413" s="453"/>
      <c r="GW413" s="453"/>
      <c r="GX413" s="869"/>
      <c r="GY413" s="870"/>
      <c r="GZ413" s="867"/>
      <c r="HA413" s="868"/>
      <c r="HB413" s="473"/>
      <c r="HC413" s="869"/>
      <c r="HD413" s="870"/>
      <c r="HE413" s="867"/>
      <c r="HF413" s="868"/>
      <c r="HG413" s="473"/>
      <c r="HH413" s="867"/>
      <c r="HI413" s="868"/>
      <c r="HJ413" s="867"/>
      <c r="HK413" s="868"/>
      <c r="HL413" s="370"/>
      <c r="HM413" s="865"/>
      <c r="HN413" s="866"/>
      <c r="HO413" s="865"/>
      <c r="HP413" s="866"/>
      <c r="HQ413" s="865"/>
      <c r="HR413" s="866"/>
      <c r="HS413" s="867"/>
      <c r="HT413" s="868"/>
      <c r="HU413" s="489"/>
      <c r="HV413" s="865"/>
      <c r="HW413" s="866"/>
    </row>
    <row r="414" spans="25:231" ht="15" customHeight="1">
      <c r="Y414" s="332"/>
      <c r="Z414" s="332"/>
      <c r="AA414" s="332"/>
      <c r="AB414" s="332"/>
      <c r="AC414" s="332"/>
      <c r="AD414" s="332"/>
      <c r="AE414" s="332"/>
      <c r="AF414" s="332"/>
      <c r="AG414" s="332"/>
      <c r="AH414" s="332"/>
      <c r="AI414" s="332"/>
      <c r="AJ414" s="332"/>
      <c r="AK414" s="332"/>
      <c r="AL414" s="332"/>
      <c r="AM414" s="332"/>
      <c r="AN414" s="332"/>
      <c r="AO414" s="332"/>
      <c r="AP414" s="332"/>
      <c r="AQ414" s="332"/>
      <c r="AR414" s="332"/>
      <c r="AS414" s="332"/>
      <c r="AT414" s="332"/>
      <c r="AU414" s="332"/>
      <c r="AV414" s="332"/>
      <c r="AW414" s="332"/>
      <c r="AX414" s="332"/>
      <c r="AY414" s="332"/>
      <c r="AZ414" s="332"/>
      <c r="BA414" s="332"/>
      <c r="BB414" s="332"/>
      <c r="BC414" s="332"/>
      <c r="BD414" s="332"/>
      <c r="BE414" s="332"/>
      <c r="BF414" s="332"/>
      <c r="BG414" s="332"/>
      <c r="BH414" s="332"/>
      <c r="BI414" s="332"/>
      <c r="BJ414" s="332"/>
      <c r="BK414" s="332"/>
      <c r="BL414" s="332"/>
      <c r="BM414" s="332"/>
      <c r="BN414" s="332"/>
      <c r="BO414" s="332"/>
      <c r="BP414" s="332"/>
      <c r="BQ414" s="332"/>
      <c r="BR414" s="332"/>
      <c r="BS414" s="332"/>
      <c r="BT414" s="332"/>
      <c r="BU414" s="332"/>
      <c r="BV414" s="332"/>
      <c r="BW414" s="332"/>
      <c r="BX414" s="332"/>
      <c r="BY414" s="332"/>
      <c r="BZ414" s="332"/>
      <c r="CA414" s="332"/>
      <c r="CB414" s="332"/>
      <c r="CC414" s="332"/>
      <c r="CD414" s="332"/>
      <c r="CE414" s="332"/>
      <c r="CF414" s="332"/>
      <c r="CG414" s="332"/>
      <c r="CH414" s="332"/>
      <c r="CI414" s="332"/>
      <c r="CJ414" s="332"/>
      <c r="CK414" s="332"/>
      <c r="CL414" s="332"/>
      <c r="CM414" s="332"/>
      <c r="CN414" s="332"/>
      <c r="CO414" s="332"/>
      <c r="CP414" s="332"/>
      <c r="CQ414" s="332"/>
      <c r="CR414" s="332"/>
      <c r="CS414" s="332"/>
      <c r="CT414" s="332"/>
      <c r="CU414" s="332"/>
      <c r="CV414" s="332"/>
      <c r="CW414" s="332"/>
      <c r="CX414" s="332"/>
      <c r="CY414" s="332"/>
      <c r="CZ414" s="332"/>
      <c r="DA414" s="332"/>
      <c r="DB414" s="332"/>
      <c r="DC414" s="332"/>
      <c r="DD414" s="332"/>
      <c r="DE414" s="332"/>
      <c r="DF414" s="332"/>
      <c r="DG414" s="332"/>
      <c r="DH414" s="332"/>
      <c r="DI414" s="332"/>
      <c r="DJ414" s="332"/>
      <c r="DK414" s="332"/>
      <c r="DL414" s="332"/>
      <c r="DM414" s="332"/>
      <c r="DN414" s="332"/>
      <c r="DO414" s="332"/>
      <c r="DP414" s="332"/>
      <c r="DQ414" s="332"/>
      <c r="DR414" s="332"/>
      <c r="DS414" s="332"/>
      <c r="DT414" s="332"/>
      <c r="DU414" s="453"/>
      <c r="DV414" s="453"/>
      <c r="DW414" s="453"/>
      <c r="DX414" s="453"/>
      <c r="DY414" s="453"/>
      <c r="DZ414" s="453"/>
      <c r="EA414" s="453"/>
      <c r="EB414" s="483">
        <v>13</v>
      </c>
      <c r="EC414" s="599"/>
      <c r="ED414" s="851"/>
      <c r="EE414" s="852"/>
      <c r="EF414" s="771"/>
      <c r="EG414" s="853"/>
      <c r="EH414" s="854"/>
      <c r="EI414" s="600"/>
      <c r="EJ414" s="453"/>
      <c r="EK414" s="453"/>
      <c r="EL414" s="453"/>
      <c r="EM414" s="483">
        <f t="shared" si="213"/>
        <v>105</v>
      </c>
      <c r="EN414" s="485"/>
      <c r="EO414" s="804"/>
      <c r="EP414" s="805"/>
      <c r="EQ414" s="806"/>
      <c r="ER414" s="808"/>
      <c r="ES414" s="881">
        <f t="shared" si="214"/>
        <v>0</v>
      </c>
      <c r="ET414" s="882"/>
      <c r="EU414" s="883"/>
      <c r="EV414" s="884">
        <f t="shared" si="212"/>
        <v>0</v>
      </c>
      <c r="EW414" s="885"/>
      <c r="EX414" s="885"/>
      <c r="EY414" s="885"/>
      <c r="EZ414" s="885"/>
      <c r="FA414" s="885"/>
      <c r="FB414" s="885"/>
      <c r="FC414" s="885"/>
      <c r="FD414" s="886"/>
      <c r="FE414" s="878"/>
      <c r="FF414" s="878"/>
      <c r="FG414" s="878"/>
      <c r="FH414" s="878"/>
      <c r="FI414" s="878"/>
      <c r="FJ414" s="878"/>
      <c r="FK414" s="878"/>
      <c r="FL414" s="555"/>
      <c r="FM414" s="554"/>
      <c r="FN414" s="554"/>
      <c r="FO414" s="554"/>
      <c r="FP414" s="554"/>
      <c r="FQ414" s="554"/>
      <c r="FR414" s="554"/>
      <c r="FS414" s="554"/>
      <c r="FT414" s="554"/>
      <c r="FU414" s="554"/>
      <c r="FV414" s="554"/>
      <c r="FW414" s="554"/>
      <c r="FX414" s="554"/>
      <c r="FY414" s="554"/>
      <c r="FZ414" s="554"/>
      <c r="GA414" s="554"/>
      <c r="GB414" s="556"/>
      <c r="GC414" s="370"/>
      <c r="GD414" s="453"/>
      <c r="GE414" s="453"/>
      <c r="GF414" s="453"/>
      <c r="GG414" s="453"/>
      <c r="GH414" s="454"/>
      <c r="GI414" s="453"/>
      <c r="GJ414" s="453"/>
      <c r="GK414" s="453"/>
      <c r="GL414" s="453"/>
      <c r="GM414" s="453"/>
      <c r="GN414" s="453"/>
      <c r="GO414" s="453"/>
      <c r="GP414" s="453"/>
      <c r="GQ414" s="453"/>
      <c r="GR414" s="453"/>
      <c r="GS414" s="561"/>
      <c r="GT414" s="475"/>
      <c r="GU414" s="472"/>
      <c r="GV414" s="453"/>
      <c r="GW414" s="453"/>
      <c r="GX414" s="869"/>
      <c r="GY414" s="870"/>
      <c r="GZ414" s="867"/>
      <c r="HA414" s="868"/>
      <c r="HB414" s="473"/>
      <c r="HC414" s="869"/>
      <c r="HD414" s="870"/>
      <c r="HE414" s="867"/>
      <c r="HF414" s="868"/>
      <c r="HG414" s="473"/>
      <c r="HH414" s="867"/>
      <c r="HI414" s="868"/>
      <c r="HJ414" s="867"/>
      <c r="HK414" s="868"/>
      <c r="HL414" s="370"/>
      <c r="HM414" s="865"/>
      <c r="HN414" s="866"/>
      <c r="HO414" s="865"/>
      <c r="HP414" s="866"/>
      <c r="HQ414" s="865"/>
      <c r="HR414" s="866"/>
      <c r="HS414" s="867"/>
      <c r="HT414" s="868"/>
      <c r="HU414" s="489"/>
      <c r="HV414" s="865"/>
      <c r="HW414" s="866"/>
    </row>
    <row r="415" spans="25:231" ht="15" customHeight="1">
      <c r="Y415" s="332"/>
      <c r="Z415" s="332"/>
      <c r="AA415" s="332"/>
      <c r="AB415" s="332"/>
      <c r="AC415" s="332"/>
      <c r="AD415" s="332"/>
      <c r="AE415" s="332"/>
      <c r="AF415" s="332"/>
      <c r="AG415" s="332"/>
      <c r="AH415" s="332"/>
      <c r="AI415" s="332"/>
      <c r="AJ415" s="332"/>
      <c r="AK415" s="332"/>
      <c r="AL415" s="332"/>
      <c r="AM415" s="332"/>
      <c r="AN415" s="332"/>
      <c r="AO415" s="332"/>
      <c r="AP415" s="332"/>
      <c r="AQ415" s="332"/>
      <c r="AR415" s="332"/>
      <c r="AS415" s="332"/>
      <c r="AT415" s="332"/>
      <c r="AU415" s="332"/>
      <c r="AV415" s="332"/>
      <c r="AW415" s="332"/>
      <c r="AX415" s="332"/>
      <c r="AY415" s="332"/>
      <c r="AZ415" s="332"/>
      <c r="BA415" s="332"/>
      <c r="BB415" s="332"/>
      <c r="BC415" s="332"/>
      <c r="BD415" s="332"/>
      <c r="BE415" s="332"/>
      <c r="BF415" s="332"/>
      <c r="BG415" s="332"/>
      <c r="BH415" s="332"/>
      <c r="BI415" s="332"/>
      <c r="BJ415" s="332"/>
      <c r="BK415" s="332"/>
      <c r="BL415" s="332"/>
      <c r="BM415" s="332"/>
      <c r="BN415" s="332"/>
      <c r="BO415" s="332"/>
      <c r="BP415" s="332"/>
      <c r="BQ415" s="332"/>
      <c r="BR415" s="332"/>
      <c r="BS415" s="332"/>
      <c r="BT415" s="332"/>
      <c r="BU415" s="332"/>
      <c r="BV415" s="332"/>
      <c r="BW415" s="332"/>
      <c r="BX415" s="332"/>
      <c r="BY415" s="332"/>
      <c r="BZ415" s="332"/>
      <c r="CA415" s="332"/>
      <c r="CB415" s="332"/>
      <c r="CC415" s="332"/>
      <c r="CD415" s="332"/>
      <c r="CE415" s="332"/>
      <c r="CF415" s="332"/>
      <c r="CG415" s="332"/>
      <c r="CH415" s="332"/>
      <c r="CI415" s="332"/>
      <c r="CJ415" s="332"/>
      <c r="CK415" s="332"/>
      <c r="CL415" s="332"/>
      <c r="CM415" s="332"/>
      <c r="CN415" s="332"/>
      <c r="CO415" s="332"/>
      <c r="CP415" s="332"/>
      <c r="CQ415" s="332"/>
      <c r="CR415" s="332"/>
      <c r="CS415" s="332"/>
      <c r="CT415" s="332"/>
      <c r="CU415" s="332"/>
      <c r="CV415" s="332"/>
      <c r="CW415" s="332"/>
      <c r="CX415" s="332"/>
      <c r="CY415" s="332"/>
      <c r="CZ415" s="332"/>
      <c r="DA415" s="332"/>
      <c r="DB415" s="332"/>
      <c r="DC415" s="332"/>
      <c r="DD415" s="332"/>
      <c r="DE415" s="332"/>
      <c r="DF415" s="332"/>
      <c r="DG415" s="332"/>
      <c r="DH415" s="332"/>
      <c r="DI415" s="332"/>
      <c r="DJ415" s="332"/>
      <c r="DK415" s="332"/>
      <c r="DL415" s="332"/>
      <c r="DM415" s="332"/>
      <c r="DN415" s="332"/>
      <c r="DO415" s="332"/>
      <c r="DP415" s="332"/>
      <c r="DQ415" s="332"/>
      <c r="DR415" s="332"/>
      <c r="DS415" s="332"/>
      <c r="DT415" s="332"/>
      <c r="DU415" s="453"/>
      <c r="DV415" s="453"/>
      <c r="DW415" s="453"/>
      <c r="DX415" s="453"/>
      <c r="DY415" s="453"/>
      <c r="DZ415" s="453"/>
      <c r="EA415" s="453"/>
      <c r="EB415" s="483">
        <v>14</v>
      </c>
      <c r="EC415" s="599"/>
      <c r="ED415" s="851"/>
      <c r="EE415" s="852"/>
      <c r="EF415" s="771"/>
      <c r="EG415" s="853"/>
      <c r="EH415" s="854"/>
      <c r="EI415" s="600"/>
      <c r="EJ415" s="453"/>
      <c r="EK415" s="453"/>
      <c r="EL415" s="453"/>
      <c r="EM415" s="483">
        <f t="shared" si="213"/>
        <v>106</v>
      </c>
      <c r="EN415" s="485"/>
      <c r="EO415" s="804"/>
      <c r="EP415" s="805"/>
      <c r="EQ415" s="806"/>
      <c r="ER415" s="808"/>
      <c r="ES415" s="881">
        <f t="shared" si="214"/>
        <v>0</v>
      </c>
      <c r="ET415" s="882"/>
      <c r="EU415" s="883"/>
      <c r="EV415" s="884">
        <f t="shared" si="212"/>
        <v>0</v>
      </c>
      <c r="EW415" s="885"/>
      <c r="EX415" s="885"/>
      <c r="EY415" s="885"/>
      <c r="EZ415" s="885"/>
      <c r="FA415" s="885"/>
      <c r="FB415" s="885"/>
      <c r="FC415" s="885"/>
      <c r="FD415" s="886"/>
      <c r="FE415" s="878"/>
      <c r="FF415" s="878"/>
      <c r="FG415" s="878"/>
      <c r="FH415" s="878"/>
      <c r="FI415" s="878"/>
      <c r="FJ415" s="878"/>
      <c r="FK415" s="878"/>
      <c r="FL415" s="555"/>
      <c r="FM415" s="554"/>
      <c r="FN415" s="554"/>
      <c r="FO415" s="554"/>
      <c r="FP415" s="554"/>
      <c r="FQ415" s="554"/>
      <c r="FR415" s="554"/>
      <c r="FS415" s="554"/>
      <c r="FT415" s="554"/>
      <c r="FU415" s="554"/>
      <c r="FV415" s="554"/>
      <c r="FW415" s="554"/>
      <c r="FX415" s="554"/>
      <c r="FY415" s="554"/>
      <c r="FZ415" s="554"/>
      <c r="GA415" s="554"/>
      <c r="GB415" s="556"/>
      <c r="GC415" s="370"/>
      <c r="GD415" s="453"/>
      <c r="GE415" s="453"/>
      <c r="GF415" s="453"/>
      <c r="GG415" s="453"/>
      <c r="GH415" s="454"/>
      <c r="GI415" s="453"/>
      <c r="GJ415" s="453"/>
      <c r="GK415" s="453"/>
      <c r="GL415" s="453"/>
      <c r="GM415" s="453"/>
      <c r="GN415" s="453"/>
      <c r="GO415" s="453"/>
      <c r="GP415" s="453"/>
      <c r="GQ415" s="453"/>
      <c r="GR415" s="453"/>
      <c r="GS415" s="561"/>
      <c r="GT415" s="475"/>
      <c r="GU415" s="472"/>
      <c r="GV415" s="453"/>
      <c r="GW415" s="453"/>
      <c r="GX415" s="869"/>
      <c r="GY415" s="870"/>
      <c r="GZ415" s="867"/>
      <c r="HA415" s="868"/>
      <c r="HB415" s="473"/>
      <c r="HC415" s="869"/>
      <c r="HD415" s="870"/>
      <c r="HE415" s="867"/>
      <c r="HF415" s="868"/>
      <c r="HG415" s="473"/>
      <c r="HH415" s="867"/>
      <c r="HI415" s="868"/>
      <c r="HJ415" s="867"/>
      <c r="HK415" s="868"/>
      <c r="HL415" s="370"/>
      <c r="HM415" s="865"/>
      <c r="HN415" s="866"/>
      <c r="HO415" s="865"/>
      <c r="HP415" s="866"/>
      <c r="HQ415" s="865"/>
      <c r="HR415" s="866"/>
      <c r="HS415" s="867"/>
      <c r="HT415" s="868"/>
      <c r="HU415" s="489"/>
      <c r="HV415" s="865"/>
      <c r="HW415" s="866"/>
    </row>
    <row r="416" spans="25:231" ht="15" customHeight="1">
      <c r="Y416" s="332"/>
      <c r="Z416" s="332"/>
      <c r="AA416" s="332"/>
      <c r="AB416" s="332"/>
      <c r="AC416" s="332"/>
      <c r="AD416" s="332"/>
      <c r="AE416" s="332"/>
      <c r="AF416" s="332"/>
      <c r="AG416" s="332"/>
      <c r="AH416" s="332"/>
      <c r="AI416" s="332"/>
      <c r="AJ416" s="332"/>
      <c r="AK416" s="332"/>
      <c r="AL416" s="332"/>
      <c r="AM416" s="332"/>
      <c r="AN416" s="332"/>
      <c r="AO416" s="332"/>
      <c r="AP416" s="332"/>
      <c r="AQ416" s="332"/>
      <c r="AR416" s="332"/>
      <c r="AS416" s="332"/>
      <c r="AT416" s="332"/>
      <c r="AU416" s="332"/>
      <c r="AV416" s="332"/>
      <c r="AW416" s="332"/>
      <c r="AX416" s="332"/>
      <c r="AY416" s="332"/>
      <c r="AZ416" s="332"/>
      <c r="BA416" s="332"/>
      <c r="BB416" s="332"/>
      <c r="BC416" s="332"/>
      <c r="BD416" s="332"/>
      <c r="BE416" s="332"/>
      <c r="BF416" s="332"/>
      <c r="BG416" s="332"/>
      <c r="BH416" s="332"/>
      <c r="BI416" s="332"/>
      <c r="BJ416" s="332"/>
      <c r="BK416" s="332"/>
      <c r="BL416" s="332"/>
      <c r="BM416" s="332"/>
      <c r="BN416" s="332"/>
      <c r="BO416" s="332"/>
      <c r="BP416" s="332"/>
      <c r="BQ416" s="332"/>
      <c r="BR416" s="332"/>
      <c r="BS416" s="332"/>
      <c r="BT416" s="332"/>
      <c r="BU416" s="332"/>
      <c r="BV416" s="332"/>
      <c r="BW416" s="332"/>
      <c r="BX416" s="332"/>
      <c r="BY416" s="332"/>
      <c r="BZ416" s="332"/>
      <c r="CA416" s="332"/>
      <c r="CB416" s="332"/>
      <c r="CC416" s="332"/>
      <c r="CD416" s="332"/>
      <c r="CE416" s="332"/>
      <c r="CF416" s="332"/>
      <c r="CG416" s="332"/>
      <c r="CH416" s="332"/>
      <c r="CI416" s="332"/>
      <c r="CJ416" s="332"/>
      <c r="CK416" s="332"/>
      <c r="CL416" s="332"/>
      <c r="CM416" s="332"/>
      <c r="CN416" s="332"/>
      <c r="CO416" s="332"/>
      <c r="CP416" s="332"/>
      <c r="CQ416" s="332"/>
      <c r="CR416" s="332"/>
      <c r="CS416" s="332"/>
      <c r="CT416" s="332"/>
      <c r="CU416" s="332"/>
      <c r="CV416" s="332"/>
      <c r="CW416" s="332"/>
      <c r="CX416" s="332"/>
      <c r="CY416" s="332"/>
      <c r="CZ416" s="332"/>
      <c r="DA416" s="332"/>
      <c r="DB416" s="332"/>
      <c r="DC416" s="332"/>
      <c r="DD416" s="332"/>
      <c r="DE416" s="332"/>
      <c r="DF416" s="332"/>
      <c r="DG416" s="332"/>
      <c r="DH416" s="332"/>
      <c r="DI416" s="332"/>
      <c r="DJ416" s="332"/>
      <c r="DK416" s="332"/>
      <c r="DL416" s="332"/>
      <c r="DM416" s="332"/>
      <c r="DN416" s="332"/>
      <c r="DO416" s="332"/>
      <c r="DP416" s="332"/>
      <c r="DQ416" s="332"/>
      <c r="DR416" s="332"/>
      <c r="DS416" s="332"/>
      <c r="DT416" s="332"/>
      <c r="DU416" s="453"/>
      <c r="DV416" s="453"/>
      <c r="DW416" s="453"/>
      <c r="DX416" s="453"/>
      <c r="DY416" s="453"/>
      <c r="DZ416" s="453"/>
      <c r="EA416" s="453"/>
      <c r="EB416" s="483">
        <v>15</v>
      </c>
      <c r="EC416" s="599"/>
      <c r="ED416" s="851"/>
      <c r="EE416" s="852"/>
      <c r="EF416" s="771"/>
      <c r="EG416" s="853"/>
      <c r="EH416" s="854"/>
      <c r="EI416" s="600"/>
      <c r="EJ416" s="453"/>
      <c r="EK416" s="453"/>
      <c r="EL416" s="453"/>
      <c r="EM416" s="483">
        <f t="shared" si="213"/>
        <v>107</v>
      </c>
      <c r="EN416" s="485"/>
      <c r="EO416" s="804"/>
      <c r="EP416" s="805"/>
      <c r="EQ416" s="806"/>
      <c r="ER416" s="808"/>
      <c r="ES416" s="881">
        <f t="shared" si="214"/>
        <v>0</v>
      </c>
      <c r="ET416" s="882"/>
      <c r="EU416" s="883"/>
      <c r="EV416" s="884">
        <f t="shared" si="212"/>
        <v>0</v>
      </c>
      <c r="EW416" s="885"/>
      <c r="EX416" s="885"/>
      <c r="EY416" s="885"/>
      <c r="EZ416" s="885"/>
      <c r="FA416" s="885"/>
      <c r="FB416" s="885"/>
      <c r="FC416" s="885"/>
      <c r="FD416" s="886"/>
      <c r="FE416" s="878"/>
      <c r="FF416" s="878"/>
      <c r="FG416" s="878"/>
      <c r="FH416" s="878"/>
      <c r="FI416" s="878"/>
      <c r="FJ416" s="878"/>
      <c r="FK416" s="878"/>
      <c r="FL416" s="555"/>
      <c r="FM416" s="554"/>
      <c r="FN416" s="554"/>
      <c r="FO416" s="554"/>
      <c r="FP416" s="554"/>
      <c r="FQ416" s="554"/>
      <c r="FR416" s="554"/>
      <c r="FS416" s="554"/>
      <c r="FT416" s="554"/>
      <c r="FU416" s="554"/>
      <c r="FV416" s="554"/>
      <c r="FW416" s="554"/>
      <c r="FX416" s="554"/>
      <c r="FY416" s="554"/>
      <c r="FZ416" s="554"/>
      <c r="GA416" s="554"/>
      <c r="GB416" s="556"/>
      <c r="GC416" s="370"/>
      <c r="GD416" s="453"/>
      <c r="GE416" s="453"/>
      <c r="GF416" s="453"/>
      <c r="GG416" s="453"/>
      <c r="GH416" s="454"/>
      <c r="GI416" s="453"/>
      <c r="GJ416" s="453"/>
      <c r="GK416" s="453"/>
      <c r="GL416" s="453"/>
      <c r="GM416" s="453"/>
      <c r="GN416" s="453"/>
      <c r="GO416" s="453"/>
      <c r="GP416" s="453"/>
      <c r="GQ416" s="453"/>
      <c r="GR416" s="453"/>
      <c r="GS416" s="561"/>
      <c r="GT416" s="475"/>
      <c r="GU416" s="472"/>
      <c r="GV416" s="453"/>
      <c r="GW416" s="453"/>
      <c r="GX416" s="869"/>
      <c r="GY416" s="870"/>
      <c r="GZ416" s="867"/>
      <c r="HA416" s="868"/>
      <c r="HB416" s="473"/>
      <c r="HC416" s="869"/>
      <c r="HD416" s="870"/>
      <c r="HE416" s="867"/>
      <c r="HF416" s="868"/>
      <c r="HG416" s="473"/>
      <c r="HH416" s="867"/>
      <c r="HI416" s="868"/>
      <c r="HJ416" s="867"/>
      <c r="HK416" s="868"/>
      <c r="HL416" s="370"/>
      <c r="HM416" s="865"/>
      <c r="HN416" s="866"/>
      <c r="HO416" s="865"/>
      <c r="HP416" s="866"/>
      <c r="HQ416" s="865"/>
      <c r="HR416" s="866"/>
      <c r="HS416" s="867"/>
      <c r="HT416" s="868"/>
      <c r="HU416" s="489"/>
      <c r="HV416" s="865"/>
      <c r="HW416" s="866"/>
    </row>
    <row r="417" spans="25:231" ht="15" customHeight="1">
      <c r="Y417" s="332"/>
      <c r="Z417" s="332"/>
      <c r="AA417" s="332"/>
      <c r="AB417" s="332"/>
      <c r="AC417" s="332"/>
      <c r="AD417" s="332"/>
      <c r="AE417" s="332"/>
      <c r="AF417" s="332"/>
      <c r="AG417" s="332"/>
      <c r="AH417" s="332"/>
      <c r="AI417" s="332"/>
      <c r="AJ417" s="332"/>
      <c r="AK417" s="332"/>
      <c r="AL417" s="332"/>
      <c r="AM417" s="332"/>
      <c r="AN417" s="332"/>
      <c r="AO417" s="332"/>
      <c r="AP417" s="332"/>
      <c r="AQ417" s="332"/>
      <c r="AR417" s="332"/>
      <c r="AS417" s="332"/>
      <c r="AT417" s="332"/>
      <c r="AU417" s="332"/>
      <c r="AV417" s="332"/>
      <c r="AW417" s="332"/>
      <c r="AX417" s="332"/>
      <c r="AY417" s="332"/>
      <c r="AZ417" s="332"/>
      <c r="BA417" s="332"/>
      <c r="BB417" s="332"/>
      <c r="BC417" s="332"/>
      <c r="BD417" s="332"/>
      <c r="BE417" s="332"/>
      <c r="BF417" s="332"/>
      <c r="BG417" s="332"/>
      <c r="BH417" s="332"/>
      <c r="BI417" s="332"/>
      <c r="BJ417" s="332"/>
      <c r="BK417" s="332"/>
      <c r="BL417" s="332"/>
      <c r="BM417" s="332"/>
      <c r="BN417" s="332"/>
      <c r="BO417" s="332"/>
      <c r="BP417" s="332"/>
      <c r="BQ417" s="332"/>
      <c r="BR417" s="332"/>
      <c r="BS417" s="332"/>
      <c r="BT417" s="332"/>
      <c r="BU417" s="332"/>
      <c r="BV417" s="332"/>
      <c r="BW417" s="332"/>
      <c r="BX417" s="332"/>
      <c r="BY417" s="332"/>
      <c r="BZ417" s="332"/>
      <c r="CA417" s="332"/>
      <c r="CB417" s="332"/>
      <c r="CC417" s="332"/>
      <c r="CD417" s="332"/>
      <c r="CE417" s="332"/>
      <c r="CF417" s="332"/>
      <c r="CG417" s="332"/>
      <c r="CH417" s="332"/>
      <c r="CI417" s="332"/>
      <c r="CJ417" s="332"/>
      <c r="CK417" s="332"/>
      <c r="CL417" s="332"/>
      <c r="CM417" s="332"/>
      <c r="CN417" s="332"/>
      <c r="CO417" s="332"/>
      <c r="CP417" s="332"/>
      <c r="CQ417" s="332"/>
      <c r="CR417" s="332"/>
      <c r="CS417" s="332"/>
      <c r="CT417" s="332"/>
      <c r="CU417" s="332"/>
      <c r="CV417" s="332"/>
      <c r="CW417" s="332"/>
      <c r="CX417" s="332"/>
      <c r="CY417" s="332"/>
      <c r="CZ417" s="332"/>
      <c r="DA417" s="332"/>
      <c r="DB417" s="332"/>
      <c r="DC417" s="332"/>
      <c r="DD417" s="332"/>
      <c r="DE417" s="332"/>
      <c r="DF417" s="332"/>
      <c r="DG417" s="332"/>
      <c r="DH417" s="332"/>
      <c r="DI417" s="332"/>
      <c r="DJ417" s="332"/>
      <c r="DK417" s="332"/>
      <c r="DL417" s="332"/>
      <c r="DM417" s="332"/>
      <c r="DN417" s="332"/>
      <c r="DO417" s="332"/>
      <c r="DP417" s="332"/>
      <c r="DQ417" s="332"/>
      <c r="DR417" s="332"/>
      <c r="DS417" s="332"/>
      <c r="DT417" s="332"/>
      <c r="DU417" s="453"/>
      <c r="DV417" s="453"/>
      <c r="DW417" s="453"/>
      <c r="DX417" s="453"/>
      <c r="DY417" s="453"/>
      <c r="DZ417" s="453"/>
      <c r="EA417" s="453"/>
      <c r="EB417" s="483">
        <v>16</v>
      </c>
      <c r="EC417" s="599"/>
      <c r="ED417" s="851"/>
      <c r="EE417" s="852"/>
      <c r="EF417" s="771"/>
      <c r="EG417" s="853"/>
      <c r="EH417" s="854"/>
      <c r="EI417" s="600"/>
      <c r="EJ417" s="453"/>
      <c r="EK417" s="453"/>
      <c r="EL417" s="453"/>
      <c r="EM417" s="483">
        <f t="shared" si="213"/>
        <v>108</v>
      </c>
      <c r="EN417" s="485"/>
      <c r="EO417" s="804"/>
      <c r="EP417" s="805"/>
      <c r="EQ417" s="806"/>
      <c r="ER417" s="808"/>
      <c r="ES417" s="881">
        <f t="shared" si="214"/>
        <v>0</v>
      </c>
      <c r="ET417" s="882"/>
      <c r="EU417" s="883"/>
      <c r="EV417" s="884">
        <f t="shared" si="212"/>
        <v>0</v>
      </c>
      <c r="EW417" s="885"/>
      <c r="EX417" s="885"/>
      <c r="EY417" s="885"/>
      <c r="EZ417" s="885"/>
      <c r="FA417" s="885"/>
      <c r="FB417" s="885"/>
      <c r="FC417" s="885"/>
      <c r="FD417" s="886"/>
      <c r="FE417" s="878"/>
      <c r="FF417" s="878"/>
      <c r="FG417" s="878"/>
      <c r="FH417" s="878"/>
      <c r="FI417" s="878"/>
      <c r="FJ417" s="878"/>
      <c r="FK417" s="878"/>
      <c r="FL417" s="555"/>
      <c r="FM417" s="554"/>
      <c r="FN417" s="554"/>
      <c r="FO417" s="554"/>
      <c r="FP417" s="554"/>
      <c r="FQ417" s="554"/>
      <c r="FR417" s="554"/>
      <c r="FS417" s="554"/>
      <c r="FT417" s="554"/>
      <c r="FU417" s="554"/>
      <c r="FV417" s="554"/>
      <c r="FW417" s="554"/>
      <c r="FX417" s="554"/>
      <c r="FY417" s="554"/>
      <c r="FZ417" s="554"/>
      <c r="GA417" s="554"/>
      <c r="GB417" s="556"/>
      <c r="GC417" s="370"/>
      <c r="GD417" s="453"/>
      <c r="GE417" s="453"/>
      <c r="GF417" s="453"/>
      <c r="GG417" s="453"/>
      <c r="GH417" s="454"/>
      <c r="GI417" s="453"/>
      <c r="GJ417" s="453"/>
      <c r="GK417" s="453"/>
      <c r="GL417" s="453"/>
      <c r="GM417" s="453"/>
      <c r="GN417" s="453"/>
      <c r="GO417" s="453"/>
      <c r="GP417" s="453"/>
      <c r="GQ417" s="453"/>
      <c r="GR417" s="453"/>
      <c r="GS417" s="561"/>
      <c r="GT417" s="475"/>
      <c r="GU417" s="472"/>
      <c r="GV417" s="453"/>
      <c r="GW417" s="453"/>
      <c r="GX417" s="869"/>
      <c r="GY417" s="870"/>
      <c r="GZ417" s="867"/>
      <c r="HA417" s="868"/>
      <c r="HB417" s="473"/>
      <c r="HC417" s="869"/>
      <c r="HD417" s="870"/>
      <c r="HE417" s="867"/>
      <c r="HF417" s="868"/>
      <c r="HG417" s="473"/>
      <c r="HH417" s="867"/>
      <c r="HI417" s="868"/>
      <c r="HJ417" s="867"/>
      <c r="HK417" s="868"/>
      <c r="HL417" s="370"/>
      <c r="HM417" s="865"/>
      <c r="HN417" s="866"/>
      <c r="HO417" s="865"/>
      <c r="HP417" s="866"/>
      <c r="HQ417" s="865"/>
      <c r="HR417" s="866"/>
      <c r="HS417" s="867"/>
      <c r="HT417" s="868"/>
      <c r="HU417" s="489"/>
      <c r="HV417" s="865"/>
      <c r="HW417" s="866"/>
    </row>
    <row r="418" spans="25:231" ht="15" customHeight="1">
      <c r="Y418" s="332"/>
      <c r="Z418" s="332"/>
      <c r="AA418" s="332"/>
      <c r="AB418" s="332"/>
      <c r="AC418" s="332"/>
      <c r="AD418" s="332"/>
      <c r="AE418" s="332"/>
      <c r="AF418" s="332"/>
      <c r="AG418" s="332"/>
      <c r="AH418" s="332"/>
      <c r="AI418" s="332"/>
      <c r="AJ418" s="332"/>
      <c r="AK418" s="332"/>
      <c r="AL418" s="332"/>
      <c r="AM418" s="332"/>
      <c r="AN418" s="332"/>
      <c r="AO418" s="332"/>
      <c r="AP418" s="332"/>
      <c r="AQ418" s="332"/>
      <c r="AR418" s="332"/>
      <c r="AS418" s="332"/>
      <c r="AT418" s="332"/>
      <c r="AU418" s="332"/>
      <c r="AV418" s="332"/>
      <c r="AW418" s="332"/>
      <c r="AX418" s="332"/>
      <c r="AY418" s="332"/>
      <c r="AZ418" s="332"/>
      <c r="BA418" s="332"/>
      <c r="BB418" s="332"/>
      <c r="BC418" s="332"/>
      <c r="BD418" s="332"/>
      <c r="BE418" s="332"/>
      <c r="BF418" s="332"/>
      <c r="BG418" s="332"/>
      <c r="BH418" s="332"/>
      <c r="BI418" s="332"/>
      <c r="BJ418" s="332"/>
      <c r="BK418" s="332"/>
      <c r="BL418" s="332"/>
      <c r="BM418" s="332"/>
      <c r="BN418" s="332"/>
      <c r="BO418" s="332"/>
      <c r="BP418" s="332"/>
      <c r="BQ418" s="332"/>
      <c r="BR418" s="332"/>
      <c r="BS418" s="332"/>
      <c r="BT418" s="332"/>
      <c r="BU418" s="332"/>
      <c r="BV418" s="332"/>
      <c r="BW418" s="332"/>
      <c r="BX418" s="332"/>
      <c r="BY418" s="332"/>
      <c r="BZ418" s="332"/>
      <c r="CA418" s="332"/>
      <c r="CB418" s="332"/>
      <c r="CC418" s="332"/>
      <c r="CD418" s="332"/>
      <c r="CE418" s="332"/>
      <c r="CF418" s="332"/>
      <c r="CG418" s="332"/>
      <c r="CH418" s="332"/>
      <c r="CI418" s="332"/>
      <c r="CJ418" s="332"/>
      <c r="CK418" s="332"/>
      <c r="CL418" s="332"/>
      <c r="CM418" s="332"/>
      <c r="CN418" s="332"/>
      <c r="CO418" s="332"/>
      <c r="CP418" s="332"/>
      <c r="CQ418" s="332"/>
      <c r="CR418" s="332"/>
      <c r="CS418" s="332"/>
      <c r="CT418" s="332"/>
      <c r="CU418" s="332"/>
      <c r="CV418" s="332"/>
      <c r="CW418" s="332"/>
      <c r="CX418" s="332"/>
      <c r="CY418" s="332"/>
      <c r="CZ418" s="332"/>
      <c r="DA418" s="332"/>
      <c r="DB418" s="332"/>
      <c r="DC418" s="332"/>
      <c r="DD418" s="332"/>
      <c r="DE418" s="332"/>
      <c r="DF418" s="332"/>
      <c r="DG418" s="332"/>
      <c r="DH418" s="332"/>
      <c r="DI418" s="332"/>
      <c r="DJ418" s="332"/>
      <c r="DK418" s="332"/>
      <c r="DL418" s="332"/>
      <c r="DM418" s="332"/>
      <c r="DN418" s="332"/>
      <c r="DO418" s="332"/>
      <c r="DP418" s="332"/>
      <c r="DQ418" s="332"/>
      <c r="DR418" s="332"/>
      <c r="DS418" s="332"/>
      <c r="DT418" s="332"/>
      <c r="DU418" s="453"/>
      <c r="DV418" s="453"/>
      <c r="DW418" s="453"/>
      <c r="DX418" s="453"/>
      <c r="DY418" s="453"/>
      <c r="DZ418" s="453"/>
      <c r="EA418" s="453"/>
      <c r="EB418" s="483">
        <v>17</v>
      </c>
      <c r="EC418" s="599"/>
      <c r="ED418" s="851"/>
      <c r="EE418" s="852"/>
      <c r="EF418" s="771"/>
      <c r="EG418" s="853"/>
      <c r="EH418" s="854"/>
      <c r="EI418" s="600"/>
      <c r="EJ418" s="453"/>
      <c r="EK418" s="453"/>
      <c r="EL418" s="453"/>
      <c r="EM418" s="483">
        <f t="shared" si="213"/>
        <v>109</v>
      </c>
      <c r="EN418" s="485"/>
      <c r="EO418" s="804"/>
      <c r="EP418" s="805"/>
      <c r="EQ418" s="806"/>
      <c r="ER418" s="808"/>
      <c r="ES418" s="881">
        <f t="shared" si="214"/>
        <v>0</v>
      </c>
      <c r="ET418" s="882"/>
      <c r="EU418" s="883"/>
      <c r="EV418" s="884">
        <f t="shared" si="212"/>
        <v>0</v>
      </c>
      <c r="EW418" s="885"/>
      <c r="EX418" s="885"/>
      <c r="EY418" s="885"/>
      <c r="EZ418" s="885"/>
      <c r="FA418" s="885"/>
      <c r="FB418" s="885"/>
      <c r="FC418" s="885"/>
      <c r="FD418" s="886"/>
      <c r="FE418" s="878"/>
      <c r="FF418" s="878"/>
      <c r="FG418" s="878"/>
      <c r="FH418" s="878"/>
      <c r="FI418" s="878"/>
      <c r="FJ418" s="878"/>
      <c r="FK418" s="878"/>
      <c r="FL418" s="555"/>
      <c r="FM418" s="554"/>
      <c r="FN418" s="554"/>
      <c r="FO418" s="554"/>
      <c r="FP418" s="554"/>
      <c r="FQ418" s="554"/>
      <c r="FR418" s="554"/>
      <c r="FS418" s="554"/>
      <c r="FT418" s="554"/>
      <c r="FU418" s="554"/>
      <c r="FV418" s="554"/>
      <c r="FW418" s="554"/>
      <c r="FX418" s="554"/>
      <c r="FY418" s="554"/>
      <c r="FZ418" s="554"/>
      <c r="GA418" s="554"/>
      <c r="GB418" s="556"/>
      <c r="GC418" s="370"/>
      <c r="GD418" s="453"/>
      <c r="GE418" s="453"/>
      <c r="GF418" s="453"/>
      <c r="GG418" s="453"/>
      <c r="GH418" s="454"/>
      <c r="GI418" s="453"/>
      <c r="GJ418" s="453"/>
      <c r="GK418" s="453"/>
      <c r="GL418" s="453"/>
      <c r="GM418" s="453"/>
      <c r="GN418" s="453"/>
      <c r="GO418" s="453"/>
      <c r="GP418" s="453"/>
      <c r="GQ418" s="453"/>
      <c r="GR418" s="453"/>
      <c r="GS418" s="561"/>
      <c r="GT418" s="475"/>
      <c r="GU418" s="472"/>
      <c r="GV418" s="453"/>
      <c r="GW418" s="453"/>
      <c r="GX418" s="869"/>
      <c r="GY418" s="870"/>
      <c r="GZ418" s="867"/>
      <c r="HA418" s="868"/>
      <c r="HB418" s="473"/>
      <c r="HC418" s="869"/>
      <c r="HD418" s="870"/>
      <c r="HE418" s="867"/>
      <c r="HF418" s="868"/>
      <c r="HG418" s="473"/>
      <c r="HH418" s="867"/>
      <c r="HI418" s="868"/>
      <c r="HJ418" s="867"/>
      <c r="HK418" s="868"/>
      <c r="HL418" s="370"/>
      <c r="HM418" s="865"/>
      <c r="HN418" s="866"/>
      <c r="HO418" s="865"/>
      <c r="HP418" s="866"/>
      <c r="HQ418" s="865"/>
      <c r="HR418" s="866"/>
      <c r="HS418" s="867"/>
      <c r="HT418" s="868"/>
      <c r="HU418" s="489"/>
      <c r="HV418" s="865"/>
      <c r="HW418" s="866"/>
    </row>
    <row r="419" spans="25:231" ht="15" customHeight="1">
      <c r="Y419" s="332"/>
      <c r="Z419" s="332"/>
      <c r="AA419" s="332"/>
      <c r="AB419" s="332"/>
      <c r="AC419" s="332"/>
      <c r="AD419" s="332"/>
      <c r="AE419" s="332"/>
      <c r="AF419" s="332"/>
      <c r="AG419" s="332"/>
      <c r="AH419" s="332"/>
      <c r="AI419" s="332"/>
      <c r="AJ419" s="332"/>
      <c r="AK419" s="332"/>
      <c r="AL419" s="332"/>
      <c r="AM419" s="332"/>
      <c r="AN419" s="332"/>
      <c r="AO419" s="332"/>
      <c r="AP419" s="332"/>
      <c r="AQ419" s="332"/>
      <c r="AR419" s="332"/>
      <c r="AS419" s="332"/>
      <c r="AT419" s="332"/>
      <c r="AU419" s="332"/>
      <c r="AV419" s="332"/>
      <c r="AW419" s="332"/>
      <c r="AX419" s="332"/>
      <c r="AY419" s="332"/>
      <c r="AZ419" s="332"/>
      <c r="BA419" s="332"/>
      <c r="BB419" s="332"/>
      <c r="BC419" s="332"/>
      <c r="BD419" s="332"/>
      <c r="BE419" s="332"/>
      <c r="BF419" s="332"/>
      <c r="BG419" s="332"/>
      <c r="BH419" s="332"/>
      <c r="BI419" s="332"/>
      <c r="BJ419" s="332"/>
      <c r="BK419" s="332"/>
      <c r="BL419" s="332"/>
      <c r="BM419" s="332"/>
      <c r="BN419" s="332"/>
      <c r="BO419" s="332"/>
      <c r="BP419" s="332"/>
      <c r="BQ419" s="332"/>
      <c r="BR419" s="332"/>
      <c r="BS419" s="332"/>
      <c r="BT419" s="332"/>
      <c r="BU419" s="332"/>
      <c r="BV419" s="332"/>
      <c r="BW419" s="332"/>
      <c r="BX419" s="332"/>
      <c r="BY419" s="332"/>
      <c r="BZ419" s="332"/>
      <c r="CA419" s="332"/>
      <c r="CB419" s="332"/>
      <c r="CC419" s="332"/>
      <c r="CD419" s="332"/>
      <c r="CE419" s="332"/>
      <c r="CF419" s="332"/>
      <c r="CG419" s="332"/>
      <c r="CH419" s="332"/>
      <c r="CI419" s="332"/>
      <c r="CJ419" s="332"/>
      <c r="CK419" s="332"/>
      <c r="CL419" s="332"/>
      <c r="CM419" s="332"/>
      <c r="CN419" s="332"/>
      <c r="CO419" s="332"/>
      <c r="CP419" s="332"/>
      <c r="CQ419" s="332"/>
      <c r="CR419" s="332"/>
      <c r="CS419" s="332"/>
      <c r="CT419" s="332"/>
      <c r="CU419" s="332"/>
      <c r="CV419" s="332"/>
      <c r="CW419" s="332"/>
      <c r="CX419" s="332"/>
      <c r="CY419" s="332"/>
      <c r="CZ419" s="332"/>
      <c r="DA419" s="332"/>
      <c r="DB419" s="332"/>
      <c r="DC419" s="332"/>
      <c r="DD419" s="332"/>
      <c r="DE419" s="332"/>
      <c r="DF419" s="332"/>
      <c r="DG419" s="332"/>
      <c r="DH419" s="332"/>
      <c r="DI419" s="332"/>
      <c r="DJ419" s="332"/>
      <c r="DK419" s="332"/>
      <c r="DL419" s="332"/>
      <c r="DM419" s="332"/>
      <c r="DN419" s="332"/>
      <c r="DO419" s="332"/>
      <c r="DP419" s="332"/>
      <c r="DQ419" s="332"/>
      <c r="DR419" s="332"/>
      <c r="DS419" s="332"/>
      <c r="DT419" s="332"/>
      <c r="DU419" s="453"/>
      <c r="DV419" s="453"/>
      <c r="DW419" s="453"/>
      <c r="DX419" s="453"/>
      <c r="DY419" s="453"/>
      <c r="DZ419" s="453"/>
      <c r="EA419" s="453"/>
      <c r="EB419" s="483">
        <v>18</v>
      </c>
      <c r="EC419" s="599"/>
      <c r="ED419" s="851"/>
      <c r="EE419" s="852"/>
      <c r="EF419" s="771"/>
      <c r="EG419" s="853"/>
      <c r="EH419" s="854"/>
      <c r="EI419" s="600"/>
      <c r="EJ419" s="453"/>
      <c r="EK419" s="453"/>
      <c r="EL419" s="453"/>
      <c r="EM419" s="483">
        <f t="shared" si="213"/>
        <v>110</v>
      </c>
      <c r="EN419" s="485"/>
      <c r="EO419" s="804"/>
      <c r="EP419" s="805"/>
      <c r="EQ419" s="806"/>
      <c r="ER419" s="808"/>
      <c r="ES419" s="881">
        <f t="shared" si="214"/>
        <v>0</v>
      </c>
      <c r="ET419" s="882"/>
      <c r="EU419" s="883"/>
      <c r="EV419" s="884">
        <f t="shared" si="212"/>
        <v>0</v>
      </c>
      <c r="EW419" s="885"/>
      <c r="EX419" s="885"/>
      <c r="EY419" s="885"/>
      <c r="EZ419" s="885"/>
      <c r="FA419" s="885"/>
      <c r="FB419" s="885"/>
      <c r="FC419" s="885"/>
      <c r="FD419" s="886"/>
      <c r="FE419" s="878"/>
      <c r="FF419" s="878"/>
      <c r="FG419" s="878"/>
      <c r="FH419" s="878"/>
      <c r="FI419" s="878"/>
      <c r="FJ419" s="878"/>
      <c r="FK419" s="878"/>
      <c r="FL419" s="555"/>
      <c r="FM419" s="554"/>
      <c r="FN419" s="554"/>
      <c r="FO419" s="554"/>
      <c r="FP419" s="554"/>
      <c r="FQ419" s="554"/>
      <c r="FR419" s="554"/>
      <c r="FS419" s="554"/>
      <c r="FT419" s="554"/>
      <c r="FU419" s="554"/>
      <c r="FV419" s="554"/>
      <c r="FW419" s="554"/>
      <c r="FX419" s="554"/>
      <c r="FY419" s="554"/>
      <c r="FZ419" s="554"/>
      <c r="GA419" s="554"/>
      <c r="GB419" s="556"/>
      <c r="GC419" s="370"/>
      <c r="GD419" s="453"/>
      <c r="GE419" s="453"/>
      <c r="GF419" s="453"/>
      <c r="GG419" s="453"/>
      <c r="GH419" s="454"/>
      <c r="GI419" s="453"/>
      <c r="GJ419" s="453"/>
      <c r="GK419" s="453"/>
      <c r="GL419" s="453"/>
      <c r="GM419" s="453"/>
      <c r="GN419" s="453"/>
      <c r="GO419" s="453"/>
      <c r="GP419" s="453"/>
      <c r="GQ419" s="453"/>
      <c r="GR419" s="453"/>
      <c r="GS419" s="561"/>
      <c r="GT419" s="475"/>
      <c r="GU419" s="472"/>
      <c r="GV419" s="453"/>
      <c r="GW419" s="453"/>
      <c r="GX419" s="869"/>
      <c r="GY419" s="870"/>
      <c r="GZ419" s="867"/>
      <c r="HA419" s="868"/>
      <c r="HB419" s="473"/>
      <c r="HC419" s="869"/>
      <c r="HD419" s="870"/>
      <c r="HE419" s="867"/>
      <c r="HF419" s="868"/>
      <c r="HG419" s="473"/>
      <c r="HH419" s="867"/>
      <c r="HI419" s="868"/>
      <c r="HJ419" s="867"/>
      <c r="HK419" s="868"/>
      <c r="HL419" s="370"/>
      <c r="HM419" s="865"/>
      <c r="HN419" s="866"/>
      <c r="HO419" s="865"/>
      <c r="HP419" s="866"/>
      <c r="HQ419" s="865"/>
      <c r="HR419" s="866"/>
      <c r="HS419" s="867"/>
      <c r="HT419" s="868"/>
      <c r="HU419" s="489"/>
      <c r="HV419" s="865"/>
      <c r="HW419" s="866"/>
    </row>
    <row r="420" spans="25:231" ht="15" customHeight="1">
      <c r="Y420" s="332"/>
      <c r="Z420" s="332"/>
      <c r="AA420" s="332"/>
      <c r="AB420" s="332"/>
      <c r="AC420" s="332"/>
      <c r="AD420" s="332"/>
      <c r="AE420" s="332"/>
      <c r="AF420" s="332"/>
      <c r="AG420" s="332"/>
      <c r="AH420" s="332"/>
      <c r="AI420" s="332"/>
      <c r="AJ420" s="332"/>
      <c r="AK420" s="332"/>
      <c r="AL420" s="332"/>
      <c r="AM420" s="332"/>
      <c r="AN420" s="332"/>
      <c r="AO420" s="332"/>
      <c r="AP420" s="332"/>
      <c r="AQ420" s="332"/>
      <c r="AR420" s="332"/>
      <c r="AS420" s="332"/>
      <c r="AT420" s="332"/>
      <c r="AU420" s="332"/>
      <c r="AV420" s="332"/>
      <c r="AW420" s="332"/>
      <c r="AX420" s="332"/>
      <c r="AY420" s="332"/>
      <c r="AZ420" s="332"/>
      <c r="BA420" s="332"/>
      <c r="BB420" s="332"/>
      <c r="BC420" s="332"/>
      <c r="BD420" s="332"/>
      <c r="BE420" s="332"/>
      <c r="BF420" s="332"/>
      <c r="BG420" s="332"/>
      <c r="BH420" s="332"/>
      <c r="BI420" s="332"/>
      <c r="BJ420" s="332"/>
      <c r="BK420" s="332"/>
      <c r="BL420" s="332"/>
      <c r="BM420" s="332"/>
      <c r="BN420" s="332"/>
      <c r="BO420" s="332"/>
      <c r="BP420" s="332"/>
      <c r="BQ420" s="332"/>
      <c r="BR420" s="332"/>
      <c r="BS420" s="332"/>
      <c r="BT420" s="332"/>
      <c r="BU420" s="332"/>
      <c r="BV420" s="332"/>
      <c r="BW420" s="332"/>
      <c r="BX420" s="332"/>
      <c r="BY420" s="332"/>
      <c r="BZ420" s="332"/>
      <c r="CA420" s="332"/>
      <c r="CB420" s="332"/>
      <c r="CC420" s="332"/>
      <c r="CD420" s="332"/>
      <c r="CE420" s="332"/>
      <c r="CF420" s="332"/>
      <c r="CG420" s="332"/>
      <c r="CH420" s="332"/>
      <c r="CI420" s="332"/>
      <c r="CJ420" s="332"/>
      <c r="CK420" s="332"/>
      <c r="CL420" s="332"/>
      <c r="CM420" s="332"/>
      <c r="CN420" s="332"/>
      <c r="CO420" s="332"/>
      <c r="CP420" s="332"/>
      <c r="CQ420" s="332"/>
      <c r="CR420" s="332"/>
      <c r="CS420" s="332"/>
      <c r="CT420" s="332"/>
      <c r="CU420" s="332"/>
      <c r="CV420" s="332"/>
      <c r="CW420" s="332"/>
      <c r="CX420" s="332"/>
      <c r="CY420" s="332"/>
      <c r="CZ420" s="332"/>
      <c r="DA420" s="332"/>
      <c r="DB420" s="332"/>
      <c r="DC420" s="332"/>
      <c r="DD420" s="332"/>
      <c r="DE420" s="332"/>
      <c r="DF420" s="332"/>
      <c r="DG420" s="332"/>
      <c r="DH420" s="332"/>
      <c r="DI420" s="332"/>
      <c r="DJ420" s="332"/>
      <c r="DK420" s="332"/>
      <c r="DL420" s="332"/>
      <c r="DM420" s="332"/>
      <c r="DN420" s="332"/>
      <c r="DO420" s="332"/>
      <c r="DP420" s="332"/>
      <c r="DQ420" s="332"/>
      <c r="DR420" s="332"/>
      <c r="DS420" s="332"/>
      <c r="DT420" s="332"/>
      <c r="DU420" s="453"/>
      <c r="DV420" s="453"/>
      <c r="DW420" s="453"/>
      <c r="DX420" s="453"/>
      <c r="DY420" s="453"/>
      <c r="DZ420" s="453"/>
      <c r="EA420" s="453"/>
      <c r="EB420" s="483">
        <v>19</v>
      </c>
      <c r="EC420" s="599"/>
      <c r="ED420" s="851"/>
      <c r="EE420" s="852"/>
      <c r="EF420" s="771"/>
      <c r="EG420" s="853"/>
      <c r="EH420" s="854"/>
      <c r="EI420" s="600"/>
      <c r="EJ420" s="453"/>
      <c r="EK420" s="453"/>
      <c r="EL420" s="453"/>
      <c r="EM420" s="483">
        <f t="shared" si="213"/>
        <v>111</v>
      </c>
      <c r="EN420" s="485"/>
      <c r="EO420" s="804"/>
      <c r="EP420" s="805"/>
      <c r="EQ420" s="806"/>
      <c r="ER420" s="808"/>
      <c r="ES420" s="881">
        <f t="shared" si="214"/>
        <v>0</v>
      </c>
      <c r="ET420" s="882"/>
      <c r="EU420" s="883"/>
      <c r="EV420" s="884">
        <f t="shared" si="212"/>
        <v>0</v>
      </c>
      <c r="EW420" s="885"/>
      <c r="EX420" s="885"/>
      <c r="EY420" s="885"/>
      <c r="EZ420" s="885"/>
      <c r="FA420" s="885"/>
      <c r="FB420" s="885"/>
      <c r="FC420" s="885"/>
      <c r="FD420" s="886"/>
      <c r="FE420" s="878"/>
      <c r="FF420" s="878"/>
      <c r="FG420" s="878"/>
      <c r="FH420" s="878"/>
      <c r="FI420" s="878"/>
      <c r="FJ420" s="878"/>
      <c r="FK420" s="878"/>
      <c r="FL420" s="555"/>
      <c r="FM420" s="554"/>
      <c r="FN420" s="554"/>
      <c r="FO420" s="554"/>
      <c r="FP420" s="554"/>
      <c r="FQ420" s="554"/>
      <c r="FR420" s="554"/>
      <c r="FS420" s="554"/>
      <c r="FT420" s="554"/>
      <c r="FU420" s="554"/>
      <c r="FV420" s="554"/>
      <c r="FW420" s="554"/>
      <c r="FX420" s="554"/>
      <c r="FY420" s="554"/>
      <c r="FZ420" s="554"/>
      <c r="GA420" s="554"/>
      <c r="GB420" s="556"/>
      <c r="GC420" s="370"/>
      <c r="GD420" s="453"/>
      <c r="GE420" s="453"/>
      <c r="GF420" s="453"/>
      <c r="GG420" s="453"/>
      <c r="GH420" s="454"/>
      <c r="GI420" s="453"/>
      <c r="GJ420" s="453"/>
      <c r="GK420" s="453"/>
      <c r="GL420" s="453"/>
      <c r="GM420" s="453"/>
      <c r="GN420" s="453"/>
      <c r="GO420" s="453"/>
      <c r="GP420" s="453"/>
      <c r="GQ420" s="453"/>
      <c r="GR420" s="453"/>
      <c r="GS420" s="561"/>
      <c r="GT420" s="475"/>
      <c r="GU420" s="472"/>
      <c r="GV420" s="453"/>
      <c r="GW420" s="453"/>
      <c r="GX420" s="869"/>
      <c r="GY420" s="870"/>
      <c r="GZ420" s="867"/>
      <c r="HA420" s="868"/>
      <c r="HB420" s="473"/>
      <c r="HC420" s="869"/>
      <c r="HD420" s="870"/>
      <c r="HE420" s="867"/>
      <c r="HF420" s="868"/>
      <c r="HG420" s="473"/>
      <c r="HH420" s="867"/>
      <c r="HI420" s="868"/>
      <c r="HJ420" s="867"/>
      <c r="HK420" s="868"/>
      <c r="HL420" s="370"/>
      <c r="HM420" s="865"/>
      <c r="HN420" s="866"/>
      <c r="HO420" s="865"/>
      <c r="HP420" s="866"/>
      <c r="HQ420" s="865"/>
      <c r="HR420" s="866"/>
      <c r="HS420" s="867"/>
      <c r="HT420" s="868"/>
      <c r="HU420" s="489"/>
      <c r="HV420" s="865"/>
      <c r="HW420" s="866"/>
    </row>
    <row r="421" spans="25:231" ht="15" customHeight="1">
      <c r="Y421" s="332"/>
      <c r="Z421" s="332"/>
      <c r="AA421" s="332"/>
      <c r="AB421" s="332"/>
      <c r="AC421" s="332"/>
      <c r="AD421" s="332"/>
      <c r="AE421" s="332"/>
      <c r="AF421" s="332"/>
      <c r="AG421" s="332"/>
      <c r="AH421" s="332"/>
      <c r="AI421" s="332"/>
      <c r="AJ421" s="332"/>
      <c r="AK421" s="332"/>
      <c r="AL421" s="332"/>
      <c r="AM421" s="332"/>
      <c r="AN421" s="332"/>
      <c r="AO421" s="332"/>
      <c r="AP421" s="332"/>
      <c r="AQ421" s="332"/>
      <c r="AR421" s="332"/>
      <c r="AS421" s="332"/>
      <c r="AT421" s="332"/>
      <c r="AU421" s="332"/>
      <c r="AV421" s="332"/>
      <c r="AW421" s="332"/>
      <c r="AX421" s="332"/>
      <c r="AY421" s="332"/>
      <c r="AZ421" s="332"/>
      <c r="BA421" s="332"/>
      <c r="BB421" s="332"/>
      <c r="BC421" s="332"/>
      <c r="BD421" s="332"/>
      <c r="BE421" s="332"/>
      <c r="BF421" s="332"/>
      <c r="BG421" s="332"/>
      <c r="BH421" s="332"/>
      <c r="BI421" s="332"/>
      <c r="BJ421" s="332"/>
      <c r="BK421" s="332"/>
      <c r="BL421" s="332"/>
      <c r="BM421" s="332"/>
      <c r="BN421" s="332"/>
      <c r="BO421" s="332"/>
      <c r="BP421" s="332"/>
      <c r="BQ421" s="332"/>
      <c r="BR421" s="332"/>
      <c r="BS421" s="332"/>
      <c r="BT421" s="332"/>
      <c r="BU421" s="332"/>
      <c r="BV421" s="332"/>
      <c r="BW421" s="332"/>
      <c r="BX421" s="332"/>
      <c r="BY421" s="332"/>
      <c r="BZ421" s="332"/>
      <c r="CA421" s="332"/>
      <c r="CB421" s="332"/>
      <c r="CC421" s="332"/>
      <c r="CD421" s="332"/>
      <c r="CE421" s="332"/>
      <c r="CF421" s="332"/>
      <c r="CG421" s="332"/>
      <c r="CH421" s="332"/>
      <c r="CI421" s="332"/>
      <c r="CJ421" s="332"/>
      <c r="CK421" s="332"/>
      <c r="CL421" s="332"/>
      <c r="CM421" s="332"/>
      <c r="CN421" s="332"/>
      <c r="CO421" s="332"/>
      <c r="CP421" s="332"/>
      <c r="CQ421" s="332"/>
      <c r="CR421" s="332"/>
      <c r="CS421" s="332"/>
      <c r="CT421" s="332"/>
      <c r="CU421" s="332"/>
      <c r="CV421" s="332"/>
      <c r="CW421" s="332"/>
      <c r="CX421" s="332"/>
      <c r="CY421" s="332"/>
      <c r="CZ421" s="332"/>
      <c r="DA421" s="332"/>
      <c r="DB421" s="332"/>
      <c r="DC421" s="332"/>
      <c r="DD421" s="332"/>
      <c r="DE421" s="332"/>
      <c r="DF421" s="332"/>
      <c r="DG421" s="332"/>
      <c r="DH421" s="332"/>
      <c r="DI421" s="332"/>
      <c r="DJ421" s="332"/>
      <c r="DK421" s="332"/>
      <c r="DL421" s="332"/>
      <c r="DM421" s="332"/>
      <c r="DN421" s="332"/>
      <c r="DO421" s="332"/>
      <c r="DP421" s="332"/>
      <c r="DQ421" s="332"/>
      <c r="DR421" s="332"/>
      <c r="DS421" s="332"/>
      <c r="DT421" s="332"/>
      <c r="DU421" s="453"/>
      <c r="DV421" s="453"/>
      <c r="DW421" s="453"/>
      <c r="DX421" s="453"/>
      <c r="DY421" s="453"/>
      <c r="DZ421" s="453"/>
      <c r="EA421" s="453"/>
      <c r="EB421" s="483">
        <v>20</v>
      </c>
      <c r="EC421" s="599"/>
      <c r="ED421" s="851"/>
      <c r="EE421" s="852"/>
      <c r="EF421" s="771"/>
      <c r="EG421" s="853"/>
      <c r="EH421" s="854"/>
      <c r="EI421" s="600"/>
      <c r="EJ421" s="453"/>
      <c r="EK421" s="453"/>
      <c r="EL421" s="453"/>
      <c r="EM421" s="483">
        <f t="shared" si="213"/>
        <v>112</v>
      </c>
      <c r="EN421" s="485"/>
      <c r="EO421" s="804"/>
      <c r="EP421" s="805"/>
      <c r="EQ421" s="806"/>
      <c r="ER421" s="808"/>
      <c r="ES421" s="881">
        <f t="shared" si="214"/>
        <v>0</v>
      </c>
      <c r="ET421" s="882"/>
      <c r="EU421" s="883"/>
      <c r="EV421" s="884">
        <f t="shared" si="212"/>
        <v>0</v>
      </c>
      <c r="EW421" s="885"/>
      <c r="EX421" s="885"/>
      <c r="EY421" s="885"/>
      <c r="EZ421" s="885"/>
      <c r="FA421" s="885"/>
      <c r="FB421" s="885"/>
      <c r="FC421" s="885"/>
      <c r="FD421" s="886"/>
      <c r="FE421" s="878"/>
      <c r="FF421" s="878"/>
      <c r="FG421" s="878"/>
      <c r="FH421" s="878"/>
      <c r="FI421" s="878"/>
      <c r="FJ421" s="878"/>
      <c r="FK421" s="878"/>
      <c r="FL421" s="555"/>
      <c r="FM421" s="554"/>
      <c r="FN421" s="554"/>
      <c r="FO421" s="554"/>
      <c r="FP421" s="554"/>
      <c r="FQ421" s="554"/>
      <c r="FR421" s="554"/>
      <c r="FS421" s="554"/>
      <c r="FT421" s="554"/>
      <c r="FU421" s="554"/>
      <c r="FV421" s="554"/>
      <c r="FW421" s="554"/>
      <c r="FX421" s="554"/>
      <c r="FY421" s="554"/>
      <c r="FZ421" s="554"/>
      <c r="GA421" s="554"/>
      <c r="GB421" s="556"/>
      <c r="GC421" s="370"/>
      <c r="GD421" s="453"/>
      <c r="GE421" s="453"/>
      <c r="GF421" s="453"/>
      <c r="GG421" s="453"/>
      <c r="GH421" s="454"/>
      <c r="GI421" s="453"/>
      <c r="GJ421" s="453"/>
      <c r="GK421" s="453"/>
      <c r="GL421" s="453"/>
      <c r="GM421" s="453"/>
      <c r="GN421" s="453"/>
      <c r="GO421" s="453"/>
      <c r="GP421" s="453"/>
      <c r="GQ421" s="453"/>
      <c r="GR421" s="453"/>
      <c r="GS421" s="561"/>
      <c r="GT421" s="475"/>
      <c r="GU421" s="472"/>
      <c r="GV421" s="453"/>
      <c r="GW421" s="453"/>
      <c r="GX421" s="869"/>
      <c r="GY421" s="870"/>
      <c r="GZ421" s="867"/>
      <c r="HA421" s="868"/>
      <c r="HB421" s="473"/>
      <c r="HC421" s="869"/>
      <c r="HD421" s="870"/>
      <c r="HE421" s="867"/>
      <c r="HF421" s="868"/>
      <c r="HG421" s="473"/>
      <c r="HH421" s="867"/>
      <c r="HI421" s="868"/>
      <c r="HJ421" s="867"/>
      <c r="HK421" s="868"/>
      <c r="HL421" s="370"/>
      <c r="HM421" s="865"/>
      <c r="HN421" s="866"/>
      <c r="HO421" s="865"/>
      <c r="HP421" s="866"/>
      <c r="HQ421" s="865"/>
      <c r="HR421" s="866"/>
      <c r="HS421" s="867"/>
      <c r="HT421" s="868"/>
      <c r="HU421" s="489"/>
      <c r="HV421" s="865"/>
      <c r="HW421" s="866"/>
    </row>
    <row r="422" spans="25:231" ht="15" customHeight="1">
      <c r="Y422" s="332"/>
      <c r="Z422" s="332"/>
      <c r="AA422" s="332"/>
      <c r="AB422" s="332"/>
      <c r="AC422" s="332"/>
      <c r="AD422" s="332"/>
      <c r="AE422" s="332"/>
      <c r="AF422" s="332"/>
      <c r="AG422" s="332"/>
      <c r="AH422" s="332"/>
      <c r="AI422" s="332"/>
      <c r="AJ422" s="332"/>
      <c r="AK422" s="332"/>
      <c r="AL422" s="332"/>
      <c r="AM422" s="332"/>
      <c r="AN422" s="332"/>
      <c r="AO422" s="332"/>
      <c r="AP422" s="332"/>
      <c r="AQ422" s="332"/>
      <c r="AR422" s="332"/>
      <c r="AS422" s="332"/>
      <c r="AT422" s="332"/>
      <c r="AU422" s="332"/>
      <c r="AV422" s="332"/>
      <c r="AW422" s="332"/>
      <c r="AX422" s="332"/>
      <c r="AY422" s="332"/>
      <c r="AZ422" s="332"/>
      <c r="BA422" s="332"/>
      <c r="BB422" s="332"/>
      <c r="BC422" s="332"/>
      <c r="BD422" s="332"/>
      <c r="BE422" s="332"/>
      <c r="BF422" s="332"/>
      <c r="BG422" s="332"/>
      <c r="BH422" s="332"/>
      <c r="BI422" s="332"/>
      <c r="BJ422" s="332"/>
      <c r="BK422" s="332"/>
      <c r="BL422" s="332"/>
      <c r="BM422" s="332"/>
      <c r="BN422" s="332"/>
      <c r="BO422" s="332"/>
      <c r="BP422" s="332"/>
      <c r="BQ422" s="332"/>
      <c r="BR422" s="332"/>
      <c r="BS422" s="332"/>
      <c r="BT422" s="332"/>
      <c r="BU422" s="332"/>
      <c r="BV422" s="332"/>
      <c r="BW422" s="332"/>
      <c r="BX422" s="332"/>
      <c r="BY422" s="332"/>
      <c r="BZ422" s="332"/>
      <c r="CA422" s="332"/>
      <c r="CB422" s="332"/>
      <c r="CC422" s="332"/>
      <c r="CD422" s="332"/>
      <c r="CE422" s="332"/>
      <c r="CF422" s="332"/>
      <c r="CG422" s="332"/>
      <c r="CH422" s="332"/>
      <c r="CI422" s="332"/>
      <c r="CJ422" s="332"/>
      <c r="CK422" s="332"/>
      <c r="CL422" s="332"/>
      <c r="CM422" s="332"/>
      <c r="CN422" s="332"/>
      <c r="CO422" s="332"/>
      <c r="CP422" s="332"/>
      <c r="CQ422" s="332"/>
      <c r="CR422" s="332"/>
      <c r="CS422" s="332"/>
      <c r="CT422" s="332"/>
      <c r="CU422" s="332"/>
      <c r="CV422" s="332"/>
      <c r="CW422" s="332"/>
      <c r="CX422" s="332"/>
      <c r="CY422" s="332"/>
      <c r="CZ422" s="332"/>
      <c r="DA422" s="332"/>
      <c r="DB422" s="332"/>
      <c r="DC422" s="332"/>
      <c r="DD422" s="332"/>
      <c r="DE422" s="332"/>
      <c r="DF422" s="332"/>
      <c r="DG422" s="332"/>
      <c r="DH422" s="332"/>
      <c r="DI422" s="332"/>
      <c r="DJ422" s="332"/>
      <c r="DK422" s="332"/>
      <c r="DL422" s="332"/>
      <c r="DM422" s="332"/>
      <c r="DN422" s="332"/>
      <c r="DO422" s="332"/>
      <c r="DP422" s="332"/>
      <c r="DQ422" s="332"/>
      <c r="DR422" s="332"/>
      <c r="DS422" s="332"/>
      <c r="DT422" s="332"/>
      <c r="DU422" s="453"/>
      <c r="DV422" s="453"/>
      <c r="DW422" s="453"/>
      <c r="DX422" s="453"/>
      <c r="DY422" s="453"/>
      <c r="DZ422" s="453"/>
      <c r="EA422" s="453"/>
      <c r="EB422" s="483">
        <v>21</v>
      </c>
      <c r="EC422" s="599"/>
      <c r="ED422" s="851"/>
      <c r="EE422" s="852"/>
      <c r="EF422" s="771"/>
      <c r="EG422" s="853"/>
      <c r="EH422" s="854"/>
      <c r="EI422" s="600"/>
      <c r="EJ422" s="453"/>
      <c r="EK422" s="453"/>
      <c r="EL422" s="453"/>
      <c r="EM422" s="483">
        <f t="shared" si="213"/>
        <v>113</v>
      </c>
      <c r="EN422" s="485"/>
      <c r="EO422" s="804"/>
      <c r="EP422" s="805"/>
      <c r="EQ422" s="826"/>
      <c r="ER422" s="808"/>
      <c r="ES422" s="881">
        <f t="shared" si="214"/>
        <v>0</v>
      </c>
      <c r="ET422" s="882"/>
      <c r="EU422" s="883"/>
      <c r="EV422" s="884">
        <f t="shared" si="212"/>
        <v>0</v>
      </c>
      <c r="EW422" s="885"/>
      <c r="EX422" s="885"/>
      <c r="EY422" s="885"/>
      <c r="EZ422" s="885"/>
      <c r="FA422" s="885"/>
      <c r="FB422" s="885"/>
      <c r="FC422" s="885"/>
      <c r="FD422" s="886"/>
      <c r="FE422" s="878"/>
      <c r="FF422" s="878"/>
      <c r="FG422" s="878"/>
      <c r="FH422" s="878"/>
      <c r="FI422" s="878"/>
      <c r="FJ422" s="878"/>
      <c r="FK422" s="878"/>
      <c r="FL422" s="555"/>
      <c r="FM422" s="554"/>
      <c r="FN422" s="554"/>
      <c r="FO422" s="554"/>
      <c r="FP422" s="554"/>
      <c r="FQ422" s="554"/>
      <c r="FR422" s="554"/>
      <c r="FS422" s="554"/>
      <c r="FT422" s="554"/>
      <c r="FU422" s="554"/>
      <c r="FV422" s="554"/>
      <c r="FW422" s="554"/>
      <c r="FX422" s="554"/>
      <c r="FY422" s="554"/>
      <c r="FZ422" s="554"/>
      <c r="GA422" s="554"/>
      <c r="GB422" s="556"/>
      <c r="GC422" s="370"/>
      <c r="GD422" s="453"/>
      <c r="GE422" s="453"/>
      <c r="GF422" s="453"/>
      <c r="GG422" s="453"/>
      <c r="GH422" s="454"/>
      <c r="GI422" s="453"/>
      <c r="GJ422" s="453"/>
      <c r="GK422" s="453"/>
      <c r="GL422" s="453"/>
      <c r="GM422" s="453"/>
      <c r="GN422" s="453"/>
      <c r="GO422" s="453"/>
      <c r="GP422" s="453"/>
      <c r="GQ422" s="453"/>
      <c r="GR422" s="453"/>
      <c r="GS422" s="561"/>
      <c r="GT422" s="475"/>
      <c r="GU422" s="472"/>
      <c r="GV422" s="453"/>
      <c r="GW422" s="453"/>
      <c r="GX422" s="869"/>
      <c r="GY422" s="870"/>
      <c r="GZ422" s="867"/>
      <c r="HA422" s="868"/>
      <c r="HB422" s="473"/>
      <c r="HC422" s="869"/>
      <c r="HD422" s="870"/>
      <c r="HE422" s="867"/>
      <c r="HF422" s="868"/>
      <c r="HG422" s="473"/>
      <c r="HH422" s="867"/>
      <c r="HI422" s="868"/>
      <c r="HJ422" s="867"/>
      <c r="HK422" s="868"/>
      <c r="HL422" s="370"/>
      <c r="HM422" s="865"/>
      <c r="HN422" s="866"/>
      <c r="HO422" s="865"/>
      <c r="HP422" s="866"/>
      <c r="HQ422" s="865"/>
      <c r="HR422" s="866"/>
      <c r="HS422" s="867"/>
      <c r="HT422" s="868"/>
      <c r="HU422" s="489"/>
      <c r="HV422" s="865"/>
      <c r="HW422" s="866"/>
    </row>
    <row r="423" spans="25:231" ht="15" customHeight="1">
      <c r="Y423" s="332"/>
      <c r="Z423" s="332"/>
      <c r="AA423" s="332"/>
      <c r="AB423" s="332"/>
      <c r="AC423" s="332"/>
      <c r="AD423" s="332"/>
      <c r="AE423" s="332"/>
      <c r="AF423" s="332"/>
      <c r="AG423" s="332"/>
      <c r="AH423" s="332"/>
      <c r="AI423" s="332"/>
      <c r="AJ423" s="332"/>
      <c r="AK423" s="332"/>
      <c r="AL423" s="332"/>
      <c r="AM423" s="332"/>
      <c r="AN423" s="332"/>
      <c r="AO423" s="332"/>
      <c r="AP423" s="332"/>
      <c r="AQ423" s="332"/>
      <c r="AR423" s="332"/>
      <c r="AS423" s="332"/>
      <c r="AT423" s="332"/>
      <c r="AU423" s="332"/>
      <c r="AV423" s="332"/>
      <c r="AW423" s="332"/>
      <c r="AX423" s="332"/>
      <c r="AY423" s="332"/>
      <c r="AZ423" s="332"/>
      <c r="BA423" s="332"/>
      <c r="BB423" s="332"/>
      <c r="BC423" s="332"/>
      <c r="BD423" s="332"/>
      <c r="BE423" s="332"/>
      <c r="BF423" s="332"/>
      <c r="BG423" s="332"/>
      <c r="BH423" s="332"/>
      <c r="BI423" s="332"/>
      <c r="BJ423" s="332"/>
      <c r="BK423" s="332"/>
      <c r="BL423" s="332"/>
      <c r="BM423" s="332"/>
      <c r="BN423" s="332"/>
      <c r="BO423" s="332"/>
      <c r="BP423" s="332"/>
      <c r="BQ423" s="332"/>
      <c r="BR423" s="332"/>
      <c r="BS423" s="332"/>
      <c r="BT423" s="332"/>
      <c r="BU423" s="332"/>
      <c r="BV423" s="332"/>
      <c r="BW423" s="332"/>
      <c r="BX423" s="332"/>
      <c r="BY423" s="332"/>
      <c r="BZ423" s="332"/>
      <c r="CA423" s="332"/>
      <c r="CB423" s="332"/>
      <c r="CC423" s="332"/>
      <c r="CD423" s="332"/>
      <c r="CE423" s="332"/>
      <c r="CF423" s="332"/>
      <c r="CG423" s="332"/>
      <c r="CH423" s="332"/>
      <c r="CI423" s="332"/>
      <c r="CJ423" s="332"/>
      <c r="CK423" s="332"/>
      <c r="CL423" s="332"/>
      <c r="CM423" s="332"/>
      <c r="CN423" s="332"/>
      <c r="CO423" s="332"/>
      <c r="CP423" s="332"/>
      <c r="CQ423" s="332"/>
      <c r="CR423" s="332"/>
      <c r="CS423" s="332"/>
      <c r="CT423" s="332"/>
      <c r="CU423" s="332"/>
      <c r="CV423" s="332"/>
      <c r="CW423" s="332"/>
      <c r="CX423" s="332"/>
      <c r="CY423" s="332"/>
      <c r="CZ423" s="332"/>
      <c r="DA423" s="332"/>
      <c r="DB423" s="332"/>
      <c r="DC423" s="332"/>
      <c r="DD423" s="332"/>
      <c r="DE423" s="332"/>
      <c r="DF423" s="332"/>
      <c r="DG423" s="332"/>
      <c r="DH423" s="332"/>
      <c r="DI423" s="332"/>
      <c r="DJ423" s="332"/>
      <c r="DK423" s="332"/>
      <c r="DL423" s="332"/>
      <c r="DM423" s="332"/>
      <c r="DN423" s="332"/>
      <c r="DO423" s="332"/>
      <c r="DP423" s="332"/>
      <c r="DQ423" s="332"/>
      <c r="DR423" s="332"/>
      <c r="DS423" s="332"/>
      <c r="DT423" s="332"/>
      <c r="DU423" s="453"/>
      <c r="DV423" s="453"/>
      <c r="DW423" s="453"/>
      <c r="DX423" s="453"/>
      <c r="DY423" s="453"/>
      <c r="DZ423" s="453"/>
      <c r="EA423" s="453"/>
      <c r="EB423" s="483">
        <v>22</v>
      </c>
      <c r="EC423" s="599"/>
      <c r="ED423" s="851"/>
      <c r="EE423" s="852"/>
      <c r="EF423" s="771"/>
      <c r="EG423" s="853"/>
      <c r="EH423" s="854"/>
      <c r="EI423" s="600"/>
      <c r="EJ423" s="453"/>
      <c r="EK423" s="453"/>
      <c r="EL423" s="453"/>
      <c r="EM423" s="483">
        <f t="shared" si="213"/>
        <v>114</v>
      </c>
      <c r="EN423" s="485"/>
      <c r="EO423" s="804"/>
      <c r="EP423" s="805"/>
      <c r="EQ423" s="806"/>
      <c r="ER423" s="808"/>
      <c r="ES423" s="881">
        <f t="shared" si="214"/>
        <v>0</v>
      </c>
      <c r="ET423" s="882"/>
      <c r="EU423" s="883"/>
      <c r="EV423" s="884">
        <f t="shared" si="212"/>
        <v>0</v>
      </c>
      <c r="EW423" s="885"/>
      <c r="EX423" s="885"/>
      <c r="EY423" s="885"/>
      <c r="EZ423" s="885"/>
      <c r="FA423" s="885"/>
      <c r="FB423" s="885"/>
      <c r="FC423" s="885"/>
      <c r="FD423" s="886"/>
      <c r="FE423" s="878"/>
      <c r="FF423" s="878"/>
      <c r="FG423" s="878"/>
      <c r="FH423" s="878"/>
      <c r="FI423" s="878"/>
      <c r="FJ423" s="878"/>
      <c r="FK423" s="878"/>
      <c r="FL423" s="555"/>
      <c r="FM423" s="554"/>
      <c r="FN423" s="554"/>
      <c r="FO423" s="554"/>
      <c r="FP423" s="554"/>
      <c r="FQ423" s="554"/>
      <c r="FR423" s="554"/>
      <c r="FS423" s="554"/>
      <c r="FT423" s="554"/>
      <c r="FU423" s="554"/>
      <c r="FV423" s="554"/>
      <c r="FW423" s="554"/>
      <c r="FX423" s="554"/>
      <c r="FY423" s="554"/>
      <c r="FZ423" s="554"/>
      <c r="GA423" s="554"/>
      <c r="GB423" s="556"/>
      <c r="GC423" s="370"/>
      <c r="GD423" s="453"/>
      <c r="GE423" s="453"/>
      <c r="GF423" s="453"/>
      <c r="GG423" s="453"/>
      <c r="GH423" s="454"/>
      <c r="GI423" s="453"/>
      <c r="GJ423" s="453"/>
      <c r="GK423" s="453"/>
      <c r="GL423" s="453"/>
      <c r="GM423" s="453"/>
      <c r="GN423" s="453"/>
      <c r="GO423" s="453"/>
      <c r="GP423" s="453"/>
      <c r="GQ423" s="453"/>
      <c r="GR423" s="453"/>
      <c r="GS423" s="561"/>
      <c r="GT423" s="475"/>
      <c r="GU423" s="472"/>
      <c r="GV423" s="453"/>
      <c r="GW423" s="453"/>
      <c r="GX423" s="869"/>
      <c r="GY423" s="870"/>
      <c r="GZ423" s="867"/>
      <c r="HA423" s="868"/>
      <c r="HB423" s="473"/>
      <c r="HC423" s="869"/>
      <c r="HD423" s="870"/>
      <c r="HE423" s="867"/>
      <c r="HF423" s="868"/>
      <c r="HG423" s="473"/>
      <c r="HH423" s="867"/>
      <c r="HI423" s="868"/>
      <c r="HJ423" s="867"/>
      <c r="HK423" s="868"/>
      <c r="HL423" s="370"/>
      <c r="HM423" s="865"/>
      <c r="HN423" s="866"/>
      <c r="HO423" s="865"/>
      <c r="HP423" s="866"/>
      <c r="HQ423" s="865"/>
      <c r="HR423" s="866"/>
      <c r="HS423" s="867"/>
      <c r="HT423" s="868"/>
      <c r="HU423" s="489"/>
      <c r="HV423" s="865"/>
      <c r="HW423" s="866"/>
    </row>
    <row r="424" spans="25:231" ht="15" customHeight="1">
      <c r="Y424" s="332"/>
      <c r="Z424" s="332"/>
      <c r="AA424" s="332"/>
      <c r="AB424" s="332"/>
      <c r="AC424" s="332"/>
      <c r="AD424" s="332"/>
      <c r="AE424" s="332"/>
      <c r="AF424" s="332"/>
      <c r="AG424" s="332"/>
      <c r="AH424" s="332"/>
      <c r="AI424" s="332"/>
      <c r="AJ424" s="332"/>
      <c r="AK424" s="332"/>
      <c r="AL424" s="332"/>
      <c r="AM424" s="332"/>
      <c r="AN424" s="332"/>
      <c r="AO424" s="332"/>
      <c r="AP424" s="332"/>
      <c r="AQ424" s="332"/>
      <c r="AR424" s="332"/>
      <c r="AS424" s="332"/>
      <c r="AT424" s="332"/>
      <c r="AU424" s="332"/>
      <c r="AV424" s="332"/>
      <c r="AW424" s="332"/>
      <c r="AX424" s="332"/>
      <c r="AY424" s="332"/>
      <c r="AZ424" s="332"/>
      <c r="BA424" s="332"/>
      <c r="BB424" s="332"/>
      <c r="BC424" s="332"/>
      <c r="BD424" s="332"/>
      <c r="BE424" s="332"/>
      <c r="BF424" s="332"/>
      <c r="BG424" s="332"/>
      <c r="BH424" s="332"/>
      <c r="BI424" s="332"/>
      <c r="BJ424" s="332"/>
      <c r="BK424" s="332"/>
      <c r="BL424" s="332"/>
      <c r="BM424" s="332"/>
      <c r="BN424" s="332"/>
      <c r="BO424" s="332"/>
      <c r="BP424" s="332"/>
      <c r="BQ424" s="332"/>
      <c r="BR424" s="332"/>
      <c r="BS424" s="332"/>
      <c r="BT424" s="332"/>
      <c r="BU424" s="332"/>
      <c r="BV424" s="332"/>
      <c r="BW424" s="332"/>
      <c r="BX424" s="332"/>
      <c r="BY424" s="332"/>
      <c r="BZ424" s="332"/>
      <c r="CA424" s="332"/>
      <c r="CB424" s="332"/>
      <c r="CC424" s="332"/>
      <c r="CD424" s="332"/>
      <c r="CE424" s="332"/>
      <c r="CF424" s="332"/>
      <c r="CG424" s="332"/>
      <c r="CH424" s="332"/>
      <c r="CI424" s="332"/>
      <c r="CJ424" s="332"/>
      <c r="CK424" s="332"/>
      <c r="CL424" s="332"/>
      <c r="CM424" s="332"/>
      <c r="CN424" s="332"/>
      <c r="CO424" s="332"/>
      <c r="CP424" s="332"/>
      <c r="CQ424" s="332"/>
      <c r="CR424" s="332"/>
      <c r="CS424" s="332"/>
      <c r="CT424" s="332"/>
      <c r="CU424" s="332"/>
      <c r="CV424" s="332"/>
      <c r="CW424" s="332"/>
      <c r="CX424" s="332"/>
      <c r="CY424" s="332"/>
      <c r="CZ424" s="332"/>
      <c r="DA424" s="332"/>
      <c r="DB424" s="332"/>
      <c r="DC424" s="332"/>
      <c r="DD424" s="332"/>
      <c r="DE424" s="332"/>
      <c r="DF424" s="332"/>
      <c r="DG424" s="332"/>
      <c r="DH424" s="332"/>
      <c r="DI424" s="332"/>
      <c r="DJ424" s="332"/>
      <c r="DK424" s="332"/>
      <c r="DL424" s="332"/>
      <c r="DM424" s="332"/>
      <c r="DN424" s="332"/>
      <c r="DO424" s="332"/>
      <c r="DP424" s="332"/>
      <c r="DQ424" s="332"/>
      <c r="DR424" s="332"/>
      <c r="DS424" s="332"/>
      <c r="DT424" s="332"/>
      <c r="DU424" s="453"/>
      <c r="DV424" s="453"/>
      <c r="DW424" s="453"/>
      <c r="DX424" s="453"/>
      <c r="DY424" s="453"/>
      <c r="DZ424" s="453"/>
      <c r="EA424" s="453"/>
      <c r="EB424" s="483">
        <v>23</v>
      </c>
      <c r="EC424" s="599"/>
      <c r="ED424" s="851"/>
      <c r="EE424" s="852"/>
      <c r="EF424" s="771"/>
      <c r="EG424" s="853"/>
      <c r="EH424" s="854"/>
      <c r="EI424" s="600"/>
      <c r="EJ424" s="453"/>
      <c r="EK424" s="453"/>
      <c r="EL424" s="453"/>
      <c r="EM424" s="483">
        <f t="shared" si="213"/>
        <v>115</v>
      </c>
      <c r="EN424" s="485"/>
      <c r="EO424" s="804"/>
      <c r="EP424" s="805"/>
      <c r="EQ424" s="806"/>
      <c r="ER424" s="808"/>
      <c r="ES424" s="881">
        <f t="shared" si="214"/>
        <v>0</v>
      </c>
      <c r="ET424" s="882"/>
      <c r="EU424" s="883"/>
      <c r="EV424" s="884">
        <f t="shared" si="212"/>
        <v>0</v>
      </c>
      <c r="EW424" s="885"/>
      <c r="EX424" s="885"/>
      <c r="EY424" s="885"/>
      <c r="EZ424" s="885"/>
      <c r="FA424" s="885"/>
      <c r="FB424" s="885"/>
      <c r="FC424" s="885"/>
      <c r="FD424" s="886"/>
      <c r="FE424" s="878"/>
      <c r="FF424" s="878"/>
      <c r="FG424" s="878"/>
      <c r="FH424" s="878"/>
      <c r="FI424" s="878"/>
      <c r="FJ424" s="878"/>
      <c r="FK424" s="878"/>
      <c r="FL424" s="555"/>
      <c r="FM424" s="554"/>
      <c r="FN424" s="554"/>
      <c r="FO424" s="554"/>
      <c r="FP424" s="554"/>
      <c r="FQ424" s="554"/>
      <c r="FR424" s="554"/>
      <c r="FS424" s="554"/>
      <c r="FT424" s="554"/>
      <c r="FU424" s="554"/>
      <c r="FV424" s="554"/>
      <c r="FW424" s="554"/>
      <c r="FX424" s="554"/>
      <c r="FY424" s="554"/>
      <c r="FZ424" s="554"/>
      <c r="GA424" s="554"/>
      <c r="GB424" s="556"/>
      <c r="GC424" s="370"/>
      <c r="GD424" s="453"/>
      <c r="GE424" s="453"/>
      <c r="GF424" s="453"/>
      <c r="GG424" s="453"/>
      <c r="GH424" s="454"/>
      <c r="GI424" s="453"/>
      <c r="GJ424" s="453"/>
      <c r="GK424" s="453"/>
      <c r="GL424" s="453"/>
      <c r="GM424" s="453"/>
      <c r="GN424" s="453"/>
      <c r="GO424" s="453"/>
      <c r="GP424" s="453"/>
      <c r="GQ424" s="453"/>
      <c r="GR424" s="453"/>
      <c r="GS424" s="561"/>
      <c r="GT424" s="475"/>
      <c r="GU424" s="472"/>
      <c r="GV424" s="453"/>
      <c r="GW424" s="453"/>
      <c r="GX424" s="869"/>
      <c r="GY424" s="870"/>
      <c r="GZ424" s="867"/>
      <c r="HA424" s="868"/>
      <c r="HB424" s="473"/>
      <c r="HC424" s="869"/>
      <c r="HD424" s="870"/>
      <c r="HE424" s="867"/>
      <c r="HF424" s="868"/>
      <c r="HG424" s="473"/>
      <c r="HH424" s="867"/>
      <c r="HI424" s="868"/>
      <c r="HJ424" s="867"/>
      <c r="HK424" s="868"/>
      <c r="HL424" s="370"/>
      <c r="HM424" s="865"/>
      <c r="HN424" s="866"/>
      <c r="HO424" s="865"/>
      <c r="HP424" s="866"/>
      <c r="HQ424" s="865"/>
      <c r="HR424" s="866"/>
      <c r="HS424" s="867"/>
      <c r="HT424" s="868"/>
      <c r="HU424" s="489"/>
      <c r="HV424" s="865"/>
      <c r="HW424" s="866"/>
    </row>
    <row r="425" spans="25:231" ht="15" customHeight="1">
      <c r="Y425" s="332"/>
      <c r="Z425" s="332"/>
      <c r="AA425" s="332"/>
      <c r="AB425" s="332"/>
      <c r="AC425" s="332"/>
      <c r="AD425" s="332"/>
      <c r="AE425" s="332"/>
      <c r="AF425" s="332"/>
      <c r="AG425" s="332"/>
      <c r="AH425" s="332"/>
      <c r="AI425" s="332"/>
      <c r="AJ425" s="332"/>
      <c r="AK425" s="332"/>
      <c r="AL425" s="332"/>
      <c r="AM425" s="332"/>
      <c r="AN425" s="332"/>
      <c r="AO425" s="332"/>
      <c r="AP425" s="332"/>
      <c r="AQ425" s="332"/>
      <c r="AR425" s="332"/>
      <c r="AS425" s="332"/>
      <c r="AT425" s="332"/>
      <c r="AU425" s="332"/>
      <c r="AV425" s="332"/>
      <c r="AW425" s="332"/>
      <c r="AX425" s="332"/>
      <c r="AY425" s="332"/>
      <c r="AZ425" s="332"/>
      <c r="BA425" s="332"/>
      <c r="BB425" s="332"/>
      <c r="BC425" s="332"/>
      <c r="BD425" s="332"/>
      <c r="BE425" s="332"/>
      <c r="BF425" s="332"/>
      <c r="BG425" s="332"/>
      <c r="BH425" s="332"/>
      <c r="BI425" s="332"/>
      <c r="BJ425" s="332"/>
      <c r="BK425" s="332"/>
      <c r="BL425" s="332"/>
      <c r="BM425" s="332"/>
      <c r="BN425" s="332"/>
      <c r="BO425" s="332"/>
      <c r="BP425" s="332"/>
      <c r="BQ425" s="332"/>
      <c r="BR425" s="332"/>
      <c r="BS425" s="332"/>
      <c r="BT425" s="332"/>
      <c r="BU425" s="332"/>
      <c r="BV425" s="332"/>
      <c r="BW425" s="332"/>
      <c r="BX425" s="332"/>
      <c r="BY425" s="332"/>
      <c r="BZ425" s="332"/>
      <c r="CA425" s="332"/>
      <c r="CB425" s="332"/>
      <c r="CC425" s="332"/>
      <c r="CD425" s="332"/>
      <c r="CE425" s="332"/>
      <c r="CF425" s="332"/>
      <c r="CG425" s="332"/>
      <c r="CH425" s="332"/>
      <c r="CI425" s="332"/>
      <c r="CJ425" s="332"/>
      <c r="CK425" s="332"/>
      <c r="CL425" s="332"/>
      <c r="CM425" s="332"/>
      <c r="CN425" s="332"/>
      <c r="CO425" s="332"/>
      <c r="CP425" s="332"/>
      <c r="CQ425" s="332"/>
      <c r="CR425" s="332"/>
      <c r="CS425" s="332"/>
      <c r="CT425" s="332"/>
      <c r="CU425" s="332"/>
      <c r="CV425" s="332"/>
      <c r="CW425" s="332"/>
      <c r="CX425" s="332"/>
      <c r="CY425" s="332"/>
      <c r="CZ425" s="332"/>
      <c r="DA425" s="332"/>
      <c r="DB425" s="332"/>
      <c r="DC425" s="332"/>
      <c r="DD425" s="332"/>
      <c r="DE425" s="332"/>
      <c r="DF425" s="332"/>
      <c r="DG425" s="332"/>
      <c r="DH425" s="332"/>
      <c r="DI425" s="332"/>
      <c r="DJ425" s="332"/>
      <c r="DK425" s="332"/>
      <c r="DL425" s="332"/>
      <c r="DM425" s="332"/>
      <c r="DN425" s="332"/>
      <c r="DO425" s="332"/>
      <c r="DP425" s="332"/>
      <c r="DQ425" s="332"/>
      <c r="DR425" s="332"/>
      <c r="DS425" s="332"/>
      <c r="DT425" s="332"/>
      <c r="DU425" s="453"/>
      <c r="DV425" s="453"/>
      <c r="DW425" s="453"/>
      <c r="DX425" s="453"/>
      <c r="DY425" s="453"/>
      <c r="DZ425" s="453"/>
      <c r="EA425" s="453"/>
      <c r="EB425" s="483">
        <v>24</v>
      </c>
      <c r="EC425" s="599"/>
      <c r="ED425" s="851"/>
      <c r="EE425" s="852"/>
      <c r="EF425" s="771"/>
      <c r="EG425" s="853"/>
      <c r="EH425" s="854"/>
      <c r="EI425" s="600"/>
      <c r="EJ425" s="453"/>
      <c r="EK425" s="453"/>
      <c r="EL425" s="453"/>
      <c r="EM425" s="483">
        <f t="shared" si="213"/>
        <v>116</v>
      </c>
      <c r="EN425" s="485"/>
      <c r="EO425" s="804"/>
      <c r="EP425" s="805"/>
      <c r="EQ425" s="806"/>
      <c r="ER425" s="808"/>
      <c r="ES425" s="881">
        <f t="shared" si="214"/>
        <v>0</v>
      </c>
      <c r="ET425" s="882"/>
      <c r="EU425" s="883"/>
      <c r="EV425" s="884">
        <f t="shared" si="212"/>
        <v>0</v>
      </c>
      <c r="EW425" s="885"/>
      <c r="EX425" s="885"/>
      <c r="EY425" s="885"/>
      <c r="EZ425" s="885"/>
      <c r="FA425" s="885"/>
      <c r="FB425" s="885"/>
      <c r="FC425" s="885"/>
      <c r="FD425" s="886"/>
      <c r="FE425" s="878"/>
      <c r="FF425" s="878"/>
      <c r="FG425" s="878"/>
      <c r="FH425" s="878"/>
      <c r="FI425" s="878"/>
      <c r="FJ425" s="878"/>
      <c r="FK425" s="878"/>
      <c r="FL425" s="555"/>
      <c r="FM425" s="554"/>
      <c r="FN425" s="554"/>
      <c r="FO425" s="554"/>
      <c r="FP425" s="554"/>
      <c r="FQ425" s="554"/>
      <c r="FR425" s="554"/>
      <c r="FS425" s="554"/>
      <c r="FT425" s="554"/>
      <c r="FU425" s="554"/>
      <c r="FV425" s="554"/>
      <c r="FW425" s="554"/>
      <c r="FX425" s="554"/>
      <c r="FY425" s="554"/>
      <c r="FZ425" s="554"/>
      <c r="GA425" s="554"/>
      <c r="GB425" s="556"/>
      <c r="GC425" s="370"/>
      <c r="GD425" s="453"/>
      <c r="GE425" s="453"/>
      <c r="GF425" s="453"/>
      <c r="GG425" s="453"/>
      <c r="GH425" s="454"/>
      <c r="GI425" s="453"/>
      <c r="GJ425" s="453"/>
      <c r="GK425" s="453"/>
      <c r="GL425" s="453"/>
      <c r="GM425" s="453"/>
      <c r="GN425" s="453"/>
      <c r="GO425" s="453"/>
      <c r="GP425" s="453"/>
      <c r="GQ425" s="453"/>
      <c r="GR425" s="453"/>
      <c r="GS425" s="561"/>
      <c r="GT425" s="475"/>
      <c r="GU425" s="472"/>
      <c r="GV425" s="453"/>
      <c r="GW425" s="453"/>
      <c r="GX425" s="869"/>
      <c r="GY425" s="870"/>
      <c r="GZ425" s="867"/>
      <c r="HA425" s="868"/>
      <c r="HB425" s="473"/>
      <c r="HC425" s="869"/>
      <c r="HD425" s="870"/>
      <c r="HE425" s="867"/>
      <c r="HF425" s="868"/>
      <c r="HG425" s="473"/>
      <c r="HH425" s="867"/>
      <c r="HI425" s="868"/>
      <c r="HJ425" s="867"/>
      <c r="HK425" s="868"/>
      <c r="HL425" s="370"/>
      <c r="HM425" s="865"/>
      <c r="HN425" s="866"/>
      <c r="HO425" s="865"/>
      <c r="HP425" s="866"/>
      <c r="HQ425" s="865"/>
      <c r="HR425" s="866"/>
      <c r="HS425" s="867"/>
      <c r="HT425" s="868"/>
      <c r="HU425" s="489"/>
      <c r="HV425" s="865"/>
      <c r="HW425" s="866"/>
    </row>
    <row r="426" spans="25:231" ht="15" customHeight="1">
      <c r="Y426" s="332"/>
      <c r="Z426" s="332"/>
      <c r="AA426" s="332"/>
      <c r="AB426" s="332"/>
      <c r="AC426" s="332"/>
      <c r="AD426" s="332"/>
      <c r="AE426" s="332"/>
      <c r="AF426" s="332"/>
      <c r="AG426" s="332"/>
      <c r="AH426" s="332"/>
      <c r="AI426" s="332"/>
      <c r="AJ426" s="332"/>
      <c r="AK426" s="332"/>
      <c r="AL426" s="332"/>
      <c r="AM426" s="332"/>
      <c r="AN426" s="332"/>
      <c r="AO426" s="332"/>
      <c r="AP426" s="332"/>
      <c r="AQ426" s="332"/>
      <c r="AR426" s="332"/>
      <c r="AS426" s="332"/>
      <c r="AT426" s="332"/>
      <c r="AU426" s="332"/>
      <c r="AV426" s="332"/>
      <c r="AW426" s="332"/>
      <c r="AX426" s="332"/>
      <c r="AY426" s="332"/>
      <c r="AZ426" s="332"/>
      <c r="BA426" s="332"/>
      <c r="BB426" s="332"/>
      <c r="BC426" s="332"/>
      <c r="BD426" s="332"/>
      <c r="BE426" s="332"/>
      <c r="BF426" s="332"/>
      <c r="BG426" s="332"/>
      <c r="BH426" s="332"/>
      <c r="BI426" s="332"/>
      <c r="BJ426" s="332"/>
      <c r="BK426" s="332"/>
      <c r="BL426" s="332"/>
      <c r="BM426" s="332"/>
      <c r="BN426" s="332"/>
      <c r="BO426" s="332"/>
      <c r="BP426" s="332"/>
      <c r="BQ426" s="332"/>
      <c r="BR426" s="332"/>
      <c r="BS426" s="332"/>
      <c r="BT426" s="332"/>
      <c r="BU426" s="332"/>
      <c r="BV426" s="332"/>
      <c r="BW426" s="332"/>
      <c r="BX426" s="332"/>
      <c r="BY426" s="332"/>
      <c r="BZ426" s="332"/>
      <c r="CA426" s="332"/>
      <c r="CB426" s="332"/>
      <c r="CC426" s="332"/>
      <c r="CD426" s="332"/>
      <c r="CE426" s="332"/>
      <c r="CF426" s="332"/>
      <c r="CG426" s="332"/>
      <c r="CH426" s="332"/>
      <c r="CI426" s="332"/>
      <c r="CJ426" s="332"/>
      <c r="CK426" s="332"/>
      <c r="CL426" s="332"/>
      <c r="CM426" s="332"/>
      <c r="CN426" s="332"/>
      <c r="CO426" s="332"/>
      <c r="CP426" s="332"/>
      <c r="CQ426" s="332"/>
      <c r="CR426" s="332"/>
      <c r="CS426" s="332"/>
      <c r="CT426" s="332"/>
      <c r="CU426" s="332"/>
      <c r="CV426" s="332"/>
      <c r="CW426" s="332"/>
      <c r="CX426" s="332"/>
      <c r="CY426" s="332"/>
      <c r="CZ426" s="332"/>
      <c r="DA426" s="332"/>
      <c r="DB426" s="332"/>
      <c r="DC426" s="332"/>
      <c r="DD426" s="332"/>
      <c r="DE426" s="332"/>
      <c r="DF426" s="332"/>
      <c r="DG426" s="332"/>
      <c r="DH426" s="332"/>
      <c r="DI426" s="332"/>
      <c r="DJ426" s="332"/>
      <c r="DK426" s="332"/>
      <c r="DL426" s="332"/>
      <c r="DM426" s="332"/>
      <c r="DN426" s="332"/>
      <c r="DO426" s="332"/>
      <c r="DP426" s="332"/>
      <c r="DQ426" s="332"/>
      <c r="DR426" s="332"/>
      <c r="DS426" s="332"/>
      <c r="DT426" s="332"/>
      <c r="DU426" s="453"/>
      <c r="DV426" s="453"/>
      <c r="DW426" s="453"/>
      <c r="DX426" s="453"/>
      <c r="DY426" s="453"/>
      <c r="DZ426" s="453"/>
      <c r="EA426" s="453"/>
      <c r="EB426" s="483">
        <v>25</v>
      </c>
      <c r="EC426" s="599"/>
      <c r="ED426" s="851"/>
      <c r="EE426" s="852"/>
      <c r="EF426" s="771"/>
      <c r="EG426" s="853"/>
      <c r="EH426" s="854"/>
      <c r="EI426" s="600"/>
      <c r="EJ426" s="453"/>
      <c r="EK426" s="453"/>
      <c r="EL426" s="453"/>
      <c r="EM426" s="483">
        <f t="shared" si="213"/>
        <v>117</v>
      </c>
      <c r="EN426" s="485"/>
      <c r="EO426" s="804"/>
      <c r="EP426" s="805"/>
      <c r="EQ426" s="806"/>
      <c r="ER426" s="808"/>
      <c r="ES426" s="881">
        <f t="shared" si="214"/>
        <v>0</v>
      </c>
      <c r="ET426" s="882"/>
      <c r="EU426" s="883"/>
      <c r="EV426" s="884">
        <f t="shared" si="212"/>
        <v>0</v>
      </c>
      <c r="EW426" s="885"/>
      <c r="EX426" s="885"/>
      <c r="EY426" s="885"/>
      <c r="EZ426" s="885"/>
      <c r="FA426" s="885"/>
      <c r="FB426" s="885"/>
      <c r="FC426" s="885"/>
      <c r="FD426" s="886"/>
      <c r="FE426" s="878"/>
      <c r="FF426" s="878"/>
      <c r="FG426" s="878"/>
      <c r="FH426" s="878"/>
      <c r="FI426" s="878"/>
      <c r="FJ426" s="878"/>
      <c r="FK426" s="878"/>
      <c r="FL426" s="555"/>
      <c r="FM426" s="554"/>
      <c r="FN426" s="554"/>
      <c r="FO426" s="554"/>
      <c r="FP426" s="554"/>
      <c r="FQ426" s="554"/>
      <c r="FR426" s="554"/>
      <c r="FS426" s="554"/>
      <c r="FT426" s="554"/>
      <c r="FU426" s="554"/>
      <c r="FV426" s="554"/>
      <c r="FW426" s="554"/>
      <c r="FX426" s="554"/>
      <c r="FY426" s="554"/>
      <c r="FZ426" s="554"/>
      <c r="GA426" s="554"/>
      <c r="GB426" s="556"/>
      <c r="GC426" s="370"/>
      <c r="GD426" s="453"/>
      <c r="GE426" s="453"/>
      <c r="GF426" s="453"/>
      <c r="GG426" s="453"/>
      <c r="GH426" s="454"/>
      <c r="GI426" s="453"/>
      <c r="GJ426" s="453"/>
      <c r="GK426" s="453"/>
      <c r="GL426" s="453"/>
      <c r="GM426" s="453"/>
      <c r="GN426" s="453"/>
      <c r="GO426" s="453"/>
      <c r="GP426" s="453"/>
      <c r="GQ426" s="453"/>
      <c r="GR426" s="453"/>
      <c r="GS426" s="561"/>
      <c r="GT426" s="475"/>
      <c r="GU426" s="472"/>
      <c r="GV426" s="453"/>
      <c r="GW426" s="453"/>
      <c r="GX426" s="869"/>
      <c r="GY426" s="870"/>
      <c r="GZ426" s="867"/>
      <c r="HA426" s="868"/>
      <c r="HB426" s="473"/>
      <c r="HC426" s="869"/>
      <c r="HD426" s="870"/>
      <c r="HE426" s="867"/>
      <c r="HF426" s="868"/>
      <c r="HG426" s="473"/>
      <c r="HH426" s="867"/>
      <c r="HI426" s="868"/>
      <c r="HJ426" s="867"/>
      <c r="HK426" s="868"/>
      <c r="HL426" s="370"/>
      <c r="HM426" s="865"/>
      <c r="HN426" s="866"/>
      <c r="HO426" s="865"/>
      <c r="HP426" s="866"/>
      <c r="HQ426" s="865"/>
      <c r="HR426" s="866"/>
      <c r="HS426" s="867"/>
      <c r="HT426" s="868"/>
      <c r="HU426" s="489"/>
      <c r="HV426" s="865"/>
      <c r="HW426" s="866"/>
    </row>
    <row r="427" spans="25:231" ht="15" customHeight="1">
      <c r="Y427" s="332"/>
      <c r="Z427" s="332"/>
      <c r="AA427" s="332"/>
      <c r="AB427" s="332"/>
      <c r="AC427" s="332"/>
      <c r="AD427" s="332"/>
      <c r="AE427" s="332"/>
      <c r="AF427" s="332"/>
      <c r="AG427" s="332"/>
      <c r="AH427" s="332"/>
      <c r="AI427" s="332"/>
      <c r="AJ427" s="332"/>
      <c r="AK427" s="332"/>
      <c r="AL427" s="332"/>
      <c r="AM427" s="332"/>
      <c r="AN427" s="332"/>
      <c r="AO427" s="332"/>
      <c r="AP427" s="332"/>
      <c r="AQ427" s="332"/>
      <c r="AR427" s="332"/>
      <c r="AS427" s="332"/>
      <c r="AT427" s="332"/>
      <c r="AU427" s="332"/>
      <c r="AV427" s="332"/>
      <c r="AW427" s="332"/>
      <c r="AX427" s="332"/>
      <c r="AY427" s="332"/>
      <c r="AZ427" s="332"/>
      <c r="BA427" s="332"/>
      <c r="BB427" s="332"/>
      <c r="BC427" s="332"/>
      <c r="BD427" s="332"/>
      <c r="BE427" s="332"/>
      <c r="BF427" s="332"/>
      <c r="BG427" s="332"/>
      <c r="BH427" s="332"/>
      <c r="BI427" s="332"/>
      <c r="BJ427" s="332"/>
      <c r="BK427" s="332"/>
      <c r="BL427" s="332"/>
      <c r="BM427" s="332"/>
      <c r="BN427" s="332"/>
      <c r="BO427" s="332"/>
      <c r="BP427" s="332"/>
      <c r="BQ427" s="332"/>
      <c r="BR427" s="332"/>
      <c r="BS427" s="332"/>
      <c r="BT427" s="332"/>
      <c r="BU427" s="332"/>
      <c r="BV427" s="332"/>
      <c r="BW427" s="332"/>
      <c r="BX427" s="332"/>
      <c r="BY427" s="332"/>
      <c r="BZ427" s="332"/>
      <c r="CA427" s="332"/>
      <c r="CB427" s="332"/>
      <c r="CC427" s="332"/>
      <c r="CD427" s="332"/>
      <c r="CE427" s="332"/>
      <c r="CF427" s="332"/>
      <c r="CG427" s="332"/>
      <c r="CH427" s="332"/>
      <c r="CI427" s="332"/>
      <c r="CJ427" s="332"/>
      <c r="CK427" s="332"/>
      <c r="CL427" s="332"/>
      <c r="CM427" s="332"/>
      <c r="CN427" s="332"/>
      <c r="CO427" s="332"/>
      <c r="CP427" s="332"/>
      <c r="CQ427" s="332"/>
      <c r="CR427" s="332"/>
      <c r="CS427" s="332"/>
      <c r="CT427" s="332"/>
      <c r="CU427" s="332"/>
      <c r="CV427" s="332"/>
      <c r="CW427" s="332"/>
      <c r="CX427" s="332"/>
      <c r="CY427" s="332"/>
      <c r="CZ427" s="332"/>
      <c r="DA427" s="332"/>
      <c r="DB427" s="332"/>
      <c r="DC427" s="332"/>
      <c r="DD427" s="332"/>
      <c r="DE427" s="332"/>
      <c r="DF427" s="332"/>
      <c r="DG427" s="332"/>
      <c r="DH427" s="332"/>
      <c r="DI427" s="332"/>
      <c r="DJ427" s="332"/>
      <c r="DK427" s="332"/>
      <c r="DL427" s="332"/>
      <c r="DM427" s="332"/>
      <c r="DN427" s="332"/>
      <c r="DO427" s="332"/>
      <c r="DP427" s="332"/>
      <c r="DQ427" s="332"/>
      <c r="DR427" s="332"/>
      <c r="DS427" s="332"/>
      <c r="DT427" s="332"/>
      <c r="DU427" s="453"/>
      <c r="DV427" s="453"/>
      <c r="DW427" s="453"/>
      <c r="DX427" s="453"/>
      <c r="DY427" s="453"/>
      <c r="DZ427" s="453"/>
      <c r="EA427" s="453"/>
      <c r="EB427" s="483">
        <v>26</v>
      </c>
      <c r="EC427" s="599"/>
      <c r="ED427" s="851"/>
      <c r="EE427" s="852"/>
      <c r="EF427" s="771"/>
      <c r="EG427" s="853"/>
      <c r="EH427" s="854"/>
      <c r="EI427" s="600"/>
      <c r="EJ427" s="453"/>
      <c r="EK427" s="453"/>
      <c r="EL427" s="453"/>
      <c r="EM427" s="483">
        <f t="shared" si="213"/>
        <v>118</v>
      </c>
      <c r="EN427" s="485"/>
      <c r="EO427" s="804"/>
      <c r="EP427" s="805"/>
      <c r="EQ427" s="806"/>
      <c r="ER427" s="808"/>
      <c r="ES427" s="881">
        <f t="shared" si="214"/>
        <v>0</v>
      </c>
      <c r="ET427" s="882"/>
      <c r="EU427" s="883"/>
      <c r="EV427" s="884">
        <f t="shared" si="212"/>
        <v>0</v>
      </c>
      <c r="EW427" s="885"/>
      <c r="EX427" s="885"/>
      <c r="EY427" s="885"/>
      <c r="EZ427" s="885"/>
      <c r="FA427" s="885"/>
      <c r="FB427" s="885"/>
      <c r="FC427" s="885"/>
      <c r="FD427" s="886"/>
      <c r="FE427" s="878"/>
      <c r="FF427" s="878"/>
      <c r="FG427" s="878"/>
      <c r="FH427" s="878"/>
      <c r="FI427" s="878"/>
      <c r="FJ427" s="878"/>
      <c r="FK427" s="878"/>
      <c r="FL427" s="555"/>
      <c r="FM427" s="554"/>
      <c r="FN427" s="554"/>
      <c r="FO427" s="554"/>
      <c r="FP427" s="554"/>
      <c r="FQ427" s="554"/>
      <c r="FR427" s="554"/>
      <c r="FS427" s="554"/>
      <c r="FT427" s="554"/>
      <c r="FU427" s="554"/>
      <c r="FV427" s="554"/>
      <c r="FW427" s="554"/>
      <c r="FX427" s="554"/>
      <c r="FY427" s="554"/>
      <c r="FZ427" s="554"/>
      <c r="GA427" s="554"/>
      <c r="GB427" s="556"/>
      <c r="GC427" s="370"/>
      <c r="GD427" s="453"/>
      <c r="GE427" s="453"/>
      <c r="GF427" s="453"/>
      <c r="GG427" s="453"/>
      <c r="GH427" s="454"/>
      <c r="GI427" s="453"/>
      <c r="GJ427" s="453"/>
      <c r="GK427" s="453"/>
      <c r="GL427" s="453"/>
      <c r="GM427" s="453"/>
      <c r="GN427" s="453"/>
      <c r="GO427" s="453"/>
      <c r="GP427" s="453"/>
      <c r="GQ427" s="453"/>
      <c r="GR427" s="453"/>
      <c r="GS427" s="561"/>
      <c r="GT427" s="475"/>
      <c r="GU427" s="472"/>
      <c r="GV427" s="453"/>
      <c r="GW427" s="453"/>
      <c r="GX427" s="869"/>
      <c r="GY427" s="870"/>
      <c r="GZ427" s="867"/>
      <c r="HA427" s="868"/>
      <c r="HB427" s="473"/>
      <c r="HC427" s="869"/>
      <c r="HD427" s="870"/>
      <c r="HE427" s="867"/>
      <c r="HF427" s="868"/>
      <c r="HG427" s="473"/>
      <c r="HH427" s="867"/>
      <c r="HI427" s="868"/>
      <c r="HJ427" s="867"/>
      <c r="HK427" s="868"/>
      <c r="HL427" s="370"/>
      <c r="HM427" s="865"/>
      <c r="HN427" s="866"/>
      <c r="HO427" s="865"/>
      <c r="HP427" s="866"/>
      <c r="HQ427" s="865"/>
      <c r="HR427" s="866"/>
      <c r="HS427" s="867"/>
      <c r="HT427" s="868"/>
      <c r="HU427" s="489"/>
      <c r="HV427" s="865"/>
      <c r="HW427" s="866"/>
    </row>
    <row r="428" spans="25:231" ht="15" customHeight="1">
      <c r="Y428" s="332"/>
      <c r="Z428" s="332"/>
      <c r="AA428" s="332"/>
      <c r="AB428" s="332"/>
      <c r="AC428" s="332"/>
      <c r="AD428" s="332"/>
      <c r="AE428" s="332"/>
      <c r="AF428" s="332"/>
      <c r="AG428" s="332"/>
      <c r="AH428" s="332"/>
      <c r="AI428" s="332"/>
      <c r="AJ428" s="332"/>
      <c r="AK428" s="332"/>
      <c r="AL428" s="332"/>
      <c r="AM428" s="332"/>
      <c r="AN428" s="332"/>
      <c r="AO428" s="332"/>
      <c r="AP428" s="332"/>
      <c r="AQ428" s="332"/>
      <c r="AR428" s="332"/>
      <c r="AS428" s="332"/>
      <c r="AT428" s="332"/>
      <c r="AU428" s="332"/>
      <c r="AV428" s="332"/>
      <c r="AW428" s="332"/>
      <c r="AX428" s="332"/>
      <c r="AY428" s="332"/>
      <c r="AZ428" s="332"/>
      <c r="BA428" s="332"/>
      <c r="BB428" s="332"/>
      <c r="BC428" s="332"/>
      <c r="BD428" s="332"/>
      <c r="BE428" s="332"/>
      <c r="BF428" s="332"/>
      <c r="BG428" s="332"/>
      <c r="BH428" s="332"/>
      <c r="BI428" s="332"/>
      <c r="BJ428" s="332"/>
      <c r="BK428" s="332"/>
      <c r="BL428" s="332"/>
      <c r="BM428" s="332"/>
      <c r="BN428" s="332"/>
      <c r="BO428" s="332"/>
      <c r="BP428" s="332"/>
      <c r="BQ428" s="332"/>
      <c r="BR428" s="332"/>
      <c r="BS428" s="332"/>
      <c r="BT428" s="332"/>
      <c r="BU428" s="332"/>
      <c r="BV428" s="332"/>
      <c r="BW428" s="332"/>
      <c r="BX428" s="332"/>
      <c r="BY428" s="332"/>
      <c r="BZ428" s="332"/>
      <c r="CA428" s="332"/>
      <c r="CB428" s="332"/>
      <c r="CC428" s="332"/>
      <c r="CD428" s="332"/>
      <c r="CE428" s="332"/>
      <c r="CF428" s="332"/>
      <c r="CG428" s="332"/>
      <c r="CH428" s="332"/>
      <c r="CI428" s="332"/>
      <c r="CJ428" s="332"/>
      <c r="CK428" s="332"/>
      <c r="CL428" s="332"/>
      <c r="CM428" s="332"/>
      <c r="CN428" s="332"/>
      <c r="CO428" s="332"/>
      <c r="CP428" s="332"/>
      <c r="CQ428" s="332"/>
      <c r="CR428" s="332"/>
      <c r="CS428" s="332"/>
      <c r="CT428" s="332"/>
      <c r="CU428" s="332"/>
      <c r="CV428" s="332"/>
      <c r="CW428" s="332"/>
      <c r="CX428" s="332"/>
      <c r="CY428" s="332"/>
      <c r="CZ428" s="332"/>
      <c r="DA428" s="332"/>
      <c r="DB428" s="332"/>
      <c r="DC428" s="332"/>
      <c r="DD428" s="332"/>
      <c r="DE428" s="332"/>
      <c r="DF428" s="332"/>
      <c r="DG428" s="332"/>
      <c r="DH428" s="332"/>
      <c r="DI428" s="332"/>
      <c r="DJ428" s="332"/>
      <c r="DK428" s="332"/>
      <c r="DL428" s="332"/>
      <c r="DM428" s="332"/>
      <c r="DN428" s="332"/>
      <c r="DO428" s="332"/>
      <c r="DP428" s="332"/>
      <c r="DQ428" s="332"/>
      <c r="DR428" s="332"/>
      <c r="DS428" s="332"/>
      <c r="DT428" s="332"/>
      <c r="DU428" s="453"/>
      <c r="DV428" s="453"/>
      <c r="DW428" s="453"/>
      <c r="DX428" s="453"/>
      <c r="DY428" s="453"/>
      <c r="DZ428" s="453"/>
      <c r="EA428" s="453"/>
      <c r="EB428" s="483">
        <v>27</v>
      </c>
      <c r="EC428" s="599"/>
      <c r="ED428" s="851"/>
      <c r="EE428" s="852"/>
      <c r="EF428" s="771"/>
      <c r="EG428" s="853"/>
      <c r="EH428" s="854"/>
      <c r="EI428" s="600"/>
      <c r="EJ428" s="453"/>
      <c r="EK428" s="453"/>
      <c r="EL428" s="453"/>
      <c r="EM428" s="483">
        <f t="shared" si="213"/>
        <v>119</v>
      </c>
      <c r="EN428" s="485"/>
      <c r="EO428" s="804"/>
      <c r="EP428" s="805"/>
      <c r="EQ428" s="806"/>
      <c r="ER428" s="808"/>
      <c r="ES428" s="881">
        <f t="shared" si="214"/>
        <v>0</v>
      </c>
      <c r="ET428" s="882"/>
      <c r="EU428" s="883"/>
      <c r="EV428" s="884">
        <f t="shared" si="212"/>
        <v>0</v>
      </c>
      <c r="EW428" s="885"/>
      <c r="EX428" s="885"/>
      <c r="EY428" s="885"/>
      <c r="EZ428" s="885"/>
      <c r="FA428" s="885"/>
      <c r="FB428" s="885"/>
      <c r="FC428" s="885"/>
      <c r="FD428" s="886"/>
      <c r="FE428" s="878"/>
      <c r="FF428" s="878"/>
      <c r="FG428" s="878"/>
      <c r="FH428" s="878"/>
      <c r="FI428" s="878"/>
      <c r="FJ428" s="878"/>
      <c r="FK428" s="878"/>
      <c r="FL428" s="555"/>
      <c r="FM428" s="554"/>
      <c r="FN428" s="554"/>
      <c r="FO428" s="554"/>
      <c r="FP428" s="554"/>
      <c r="FQ428" s="554"/>
      <c r="FR428" s="554"/>
      <c r="FS428" s="554"/>
      <c r="FT428" s="554"/>
      <c r="FU428" s="554"/>
      <c r="FV428" s="554"/>
      <c r="FW428" s="554"/>
      <c r="FX428" s="554"/>
      <c r="FY428" s="554"/>
      <c r="FZ428" s="554"/>
      <c r="GA428" s="554"/>
      <c r="GB428" s="556"/>
      <c r="GC428" s="370"/>
      <c r="GD428" s="453"/>
      <c r="GE428" s="453"/>
      <c r="GF428" s="453"/>
      <c r="GG428" s="453"/>
      <c r="GH428" s="454"/>
      <c r="GI428" s="453"/>
      <c r="GJ428" s="453"/>
      <c r="GK428" s="453"/>
      <c r="GL428" s="453"/>
      <c r="GM428" s="453"/>
      <c r="GN428" s="453"/>
      <c r="GO428" s="453"/>
      <c r="GP428" s="453"/>
      <c r="GQ428" s="453"/>
      <c r="GR428" s="453"/>
      <c r="GS428" s="561"/>
      <c r="GT428" s="475"/>
      <c r="GU428" s="472"/>
      <c r="GV428" s="453"/>
      <c r="GW428" s="453"/>
      <c r="GX428" s="869"/>
      <c r="GY428" s="870"/>
      <c r="GZ428" s="867"/>
      <c r="HA428" s="868"/>
      <c r="HB428" s="473"/>
      <c r="HC428" s="869"/>
      <c r="HD428" s="870"/>
      <c r="HE428" s="867"/>
      <c r="HF428" s="868"/>
      <c r="HG428" s="473"/>
      <c r="HH428" s="867"/>
      <c r="HI428" s="868"/>
      <c r="HJ428" s="867"/>
      <c r="HK428" s="868"/>
      <c r="HL428" s="370"/>
      <c r="HM428" s="865"/>
      <c r="HN428" s="866"/>
      <c r="HO428" s="865"/>
      <c r="HP428" s="866"/>
      <c r="HQ428" s="865"/>
      <c r="HR428" s="866"/>
      <c r="HS428" s="867"/>
      <c r="HT428" s="868"/>
      <c r="HU428" s="489"/>
      <c r="HV428" s="865"/>
      <c r="HW428" s="866"/>
    </row>
    <row r="429" spans="25:231" ht="15" customHeight="1">
      <c r="Y429" s="332"/>
      <c r="Z429" s="332"/>
      <c r="AA429" s="332"/>
      <c r="AB429" s="332"/>
      <c r="AC429" s="332"/>
      <c r="AD429" s="332"/>
      <c r="AE429" s="332"/>
      <c r="AF429" s="332"/>
      <c r="AG429" s="332"/>
      <c r="AH429" s="332"/>
      <c r="AI429" s="332"/>
      <c r="AJ429" s="332"/>
      <c r="AK429" s="332"/>
      <c r="AL429" s="332"/>
      <c r="AM429" s="332"/>
      <c r="AN429" s="332"/>
      <c r="AO429" s="332"/>
      <c r="AP429" s="332"/>
      <c r="AQ429" s="332"/>
      <c r="AR429" s="332"/>
      <c r="AS429" s="332"/>
      <c r="AT429" s="332"/>
      <c r="AU429" s="332"/>
      <c r="AV429" s="332"/>
      <c r="AW429" s="332"/>
      <c r="AX429" s="332"/>
      <c r="AY429" s="332"/>
      <c r="AZ429" s="332"/>
      <c r="BA429" s="332"/>
      <c r="BB429" s="332"/>
      <c r="BC429" s="332"/>
      <c r="BD429" s="332"/>
      <c r="BE429" s="332"/>
      <c r="BF429" s="332"/>
      <c r="BG429" s="332"/>
      <c r="BH429" s="332"/>
      <c r="BI429" s="332"/>
      <c r="BJ429" s="332"/>
      <c r="BK429" s="332"/>
      <c r="BL429" s="332"/>
      <c r="BM429" s="332"/>
      <c r="BN429" s="332"/>
      <c r="BO429" s="332"/>
      <c r="BP429" s="332"/>
      <c r="BQ429" s="332"/>
      <c r="BR429" s="332"/>
      <c r="BS429" s="332"/>
      <c r="BT429" s="332"/>
      <c r="BU429" s="332"/>
      <c r="BV429" s="332"/>
      <c r="BW429" s="332"/>
      <c r="BX429" s="332"/>
      <c r="BY429" s="332"/>
      <c r="BZ429" s="332"/>
      <c r="CA429" s="332"/>
      <c r="CB429" s="332"/>
      <c r="CC429" s="332"/>
      <c r="CD429" s="332"/>
      <c r="CE429" s="332"/>
      <c r="CF429" s="332"/>
      <c r="CG429" s="332"/>
      <c r="CH429" s="332"/>
      <c r="CI429" s="332"/>
      <c r="CJ429" s="332"/>
      <c r="CK429" s="332"/>
      <c r="CL429" s="332"/>
      <c r="CM429" s="332"/>
      <c r="CN429" s="332"/>
      <c r="CO429" s="332"/>
      <c r="CP429" s="332"/>
      <c r="CQ429" s="332"/>
      <c r="CR429" s="332"/>
      <c r="CS429" s="332"/>
      <c r="CT429" s="332"/>
      <c r="CU429" s="332"/>
      <c r="CV429" s="332"/>
      <c r="CW429" s="332"/>
      <c r="CX429" s="332"/>
      <c r="CY429" s="332"/>
      <c r="CZ429" s="332"/>
      <c r="DA429" s="332"/>
      <c r="DB429" s="332"/>
      <c r="DC429" s="332"/>
      <c r="DD429" s="332"/>
      <c r="DE429" s="332"/>
      <c r="DF429" s="332"/>
      <c r="DG429" s="332"/>
      <c r="DH429" s="332"/>
      <c r="DI429" s="332"/>
      <c r="DJ429" s="332"/>
      <c r="DK429" s="332"/>
      <c r="DL429" s="332"/>
      <c r="DM429" s="332"/>
      <c r="DN429" s="332"/>
      <c r="DO429" s="332"/>
      <c r="DP429" s="332"/>
      <c r="DQ429" s="332"/>
      <c r="DR429" s="332"/>
      <c r="DS429" s="332"/>
      <c r="DT429" s="332"/>
      <c r="DU429" s="453"/>
      <c r="DV429" s="453"/>
      <c r="DW429" s="453"/>
      <c r="DX429" s="453"/>
      <c r="DY429" s="453"/>
      <c r="DZ429" s="453"/>
      <c r="EA429" s="453"/>
      <c r="EB429" s="483">
        <v>28</v>
      </c>
      <c r="EC429" s="599"/>
      <c r="ED429" s="851"/>
      <c r="EE429" s="852"/>
      <c r="EF429" s="771"/>
      <c r="EG429" s="853"/>
      <c r="EH429" s="854"/>
      <c r="EI429" s="600"/>
      <c r="EJ429" s="453"/>
      <c r="EK429" s="453"/>
      <c r="EL429" s="453"/>
      <c r="EM429" s="483">
        <f t="shared" si="213"/>
        <v>120</v>
      </c>
      <c r="EN429" s="485"/>
      <c r="EO429" s="804"/>
      <c r="EP429" s="805"/>
      <c r="EQ429" s="806"/>
      <c r="ER429" s="808"/>
      <c r="ES429" s="881">
        <f t="shared" si="214"/>
        <v>0</v>
      </c>
      <c r="ET429" s="882"/>
      <c r="EU429" s="883"/>
      <c r="EV429" s="884">
        <f t="shared" si="212"/>
        <v>0</v>
      </c>
      <c r="EW429" s="885"/>
      <c r="EX429" s="885"/>
      <c r="EY429" s="885"/>
      <c r="EZ429" s="885"/>
      <c r="FA429" s="885"/>
      <c r="FB429" s="885"/>
      <c r="FC429" s="885"/>
      <c r="FD429" s="886"/>
      <c r="FE429" s="878"/>
      <c r="FF429" s="878"/>
      <c r="FG429" s="878"/>
      <c r="FH429" s="878"/>
      <c r="FI429" s="878"/>
      <c r="FJ429" s="878"/>
      <c r="FK429" s="878"/>
      <c r="FL429" s="555"/>
      <c r="FM429" s="554"/>
      <c r="FN429" s="554"/>
      <c r="FO429" s="554"/>
      <c r="FP429" s="554"/>
      <c r="FQ429" s="554"/>
      <c r="FR429" s="554"/>
      <c r="FS429" s="554"/>
      <c r="FT429" s="554"/>
      <c r="FU429" s="554"/>
      <c r="FV429" s="554"/>
      <c r="FW429" s="554"/>
      <c r="FX429" s="554"/>
      <c r="FY429" s="554"/>
      <c r="FZ429" s="554"/>
      <c r="GA429" s="554"/>
      <c r="GB429" s="556"/>
      <c r="GC429" s="370"/>
      <c r="GD429" s="453"/>
      <c r="GE429" s="453"/>
      <c r="GF429" s="453"/>
      <c r="GG429" s="453"/>
      <c r="GH429" s="454"/>
      <c r="GI429" s="453"/>
      <c r="GJ429" s="453"/>
      <c r="GK429" s="453"/>
      <c r="GL429" s="453"/>
      <c r="GM429" s="453"/>
      <c r="GN429" s="453"/>
      <c r="GO429" s="453"/>
      <c r="GP429" s="453"/>
      <c r="GQ429" s="453"/>
      <c r="GR429" s="453"/>
      <c r="GS429" s="561"/>
      <c r="GT429" s="475"/>
      <c r="GU429" s="472"/>
      <c r="GV429" s="453"/>
      <c r="GW429" s="453"/>
      <c r="GX429" s="869"/>
      <c r="GY429" s="870"/>
      <c r="GZ429" s="867"/>
      <c r="HA429" s="868"/>
      <c r="HB429" s="473"/>
      <c r="HC429" s="869"/>
      <c r="HD429" s="870"/>
      <c r="HE429" s="867"/>
      <c r="HF429" s="868"/>
      <c r="HG429" s="473"/>
      <c r="HH429" s="867"/>
      <c r="HI429" s="868"/>
      <c r="HJ429" s="867"/>
      <c r="HK429" s="868"/>
      <c r="HL429" s="370"/>
      <c r="HM429" s="865"/>
      <c r="HN429" s="866"/>
      <c r="HO429" s="865"/>
      <c r="HP429" s="866"/>
      <c r="HQ429" s="865"/>
      <c r="HR429" s="866"/>
      <c r="HS429" s="867"/>
      <c r="HT429" s="868"/>
      <c r="HU429" s="489"/>
      <c r="HV429" s="865"/>
      <c r="HW429" s="866"/>
    </row>
    <row r="430" spans="25:231" ht="15" customHeight="1">
      <c r="Y430" s="332"/>
      <c r="Z430" s="332"/>
      <c r="AA430" s="332"/>
      <c r="AB430" s="332"/>
      <c r="AC430" s="332"/>
      <c r="AD430" s="332"/>
      <c r="AE430" s="332"/>
      <c r="AF430" s="332"/>
      <c r="AG430" s="332"/>
      <c r="AH430" s="332"/>
      <c r="AI430" s="332"/>
      <c r="AJ430" s="332"/>
      <c r="AK430" s="332"/>
      <c r="AL430" s="332"/>
      <c r="AM430" s="332"/>
      <c r="AN430" s="332"/>
      <c r="AO430" s="332"/>
      <c r="AP430" s="332"/>
      <c r="AQ430" s="332"/>
      <c r="AR430" s="332"/>
      <c r="AS430" s="332"/>
      <c r="AT430" s="332"/>
      <c r="AU430" s="332"/>
      <c r="AV430" s="332"/>
      <c r="AW430" s="332"/>
      <c r="AX430" s="332"/>
      <c r="AY430" s="332"/>
      <c r="AZ430" s="332"/>
      <c r="BA430" s="332"/>
      <c r="BB430" s="332"/>
      <c r="BC430" s="332"/>
      <c r="BD430" s="332"/>
      <c r="BE430" s="332"/>
      <c r="BF430" s="332"/>
      <c r="BG430" s="332"/>
      <c r="BH430" s="332"/>
      <c r="BI430" s="332"/>
      <c r="BJ430" s="332"/>
      <c r="BK430" s="332"/>
      <c r="BL430" s="332"/>
      <c r="BM430" s="332"/>
      <c r="BN430" s="332"/>
      <c r="BO430" s="332"/>
      <c r="BP430" s="332"/>
      <c r="BQ430" s="332"/>
      <c r="BR430" s="332"/>
      <c r="BS430" s="332"/>
      <c r="BT430" s="332"/>
      <c r="BU430" s="332"/>
      <c r="BV430" s="332"/>
      <c r="BW430" s="332"/>
      <c r="BX430" s="332"/>
      <c r="BY430" s="332"/>
      <c r="BZ430" s="332"/>
      <c r="CA430" s="332"/>
      <c r="CB430" s="332"/>
      <c r="CC430" s="332"/>
      <c r="CD430" s="332"/>
      <c r="CE430" s="332"/>
      <c r="CF430" s="332"/>
      <c r="CG430" s="332"/>
      <c r="CH430" s="332"/>
      <c r="CI430" s="332"/>
      <c r="CJ430" s="332"/>
      <c r="CK430" s="332"/>
      <c r="CL430" s="332"/>
      <c r="CM430" s="332"/>
      <c r="CN430" s="332"/>
      <c r="CO430" s="332"/>
      <c r="CP430" s="332"/>
      <c r="CQ430" s="332"/>
      <c r="CR430" s="332"/>
      <c r="CS430" s="332"/>
      <c r="CT430" s="332"/>
      <c r="CU430" s="332"/>
      <c r="CV430" s="332"/>
      <c r="CW430" s="332"/>
      <c r="CX430" s="332"/>
      <c r="CY430" s="332"/>
      <c r="CZ430" s="332"/>
      <c r="DA430" s="332"/>
      <c r="DB430" s="332"/>
      <c r="DC430" s="332"/>
      <c r="DD430" s="332"/>
      <c r="DE430" s="332"/>
      <c r="DF430" s="332"/>
      <c r="DG430" s="332"/>
      <c r="DH430" s="332"/>
      <c r="DI430" s="332"/>
      <c r="DJ430" s="332"/>
      <c r="DK430" s="332"/>
      <c r="DL430" s="332"/>
      <c r="DM430" s="332"/>
      <c r="DN430" s="332"/>
      <c r="DO430" s="332"/>
      <c r="DP430" s="332"/>
      <c r="DQ430" s="332"/>
      <c r="DR430" s="332"/>
      <c r="DS430" s="332"/>
      <c r="DT430" s="332"/>
      <c r="DU430" s="453"/>
      <c r="DV430" s="453"/>
      <c r="DW430" s="453"/>
      <c r="DX430" s="453"/>
      <c r="DY430" s="453"/>
      <c r="DZ430" s="453"/>
      <c r="EA430" s="453"/>
      <c r="EB430" s="483">
        <v>29</v>
      </c>
      <c r="EC430" s="599"/>
      <c r="ED430" s="851"/>
      <c r="EE430" s="852"/>
      <c r="EF430" s="771"/>
      <c r="EG430" s="853"/>
      <c r="EH430" s="854"/>
      <c r="EI430" s="600"/>
      <c r="EJ430" s="453"/>
      <c r="EK430" s="453"/>
      <c r="EL430" s="453"/>
      <c r="EM430" s="483">
        <f t="shared" si="213"/>
        <v>121</v>
      </c>
      <c r="EN430" s="485"/>
      <c r="EO430" s="804"/>
      <c r="EP430" s="805"/>
      <c r="EQ430" s="806"/>
      <c r="ER430" s="808"/>
      <c r="ES430" s="881">
        <f t="shared" si="214"/>
        <v>0</v>
      </c>
      <c r="ET430" s="882"/>
      <c r="EU430" s="883"/>
      <c r="EV430" s="884">
        <f t="shared" si="212"/>
        <v>0</v>
      </c>
      <c r="EW430" s="885"/>
      <c r="EX430" s="885"/>
      <c r="EY430" s="885"/>
      <c r="EZ430" s="885"/>
      <c r="FA430" s="885"/>
      <c r="FB430" s="885"/>
      <c r="FC430" s="885"/>
      <c r="FD430" s="886"/>
      <c r="FE430" s="878"/>
      <c r="FF430" s="878"/>
      <c r="FG430" s="878"/>
      <c r="FH430" s="878"/>
      <c r="FI430" s="878"/>
      <c r="FJ430" s="878"/>
      <c r="FK430" s="878"/>
      <c r="FL430" s="555"/>
      <c r="FM430" s="554"/>
      <c r="FN430" s="554"/>
      <c r="FO430" s="554"/>
      <c r="FP430" s="554"/>
      <c r="FQ430" s="554"/>
      <c r="FR430" s="554"/>
      <c r="FS430" s="554"/>
      <c r="FT430" s="554"/>
      <c r="FU430" s="554"/>
      <c r="FV430" s="554"/>
      <c r="FW430" s="554"/>
      <c r="FX430" s="554"/>
      <c r="FY430" s="554"/>
      <c r="FZ430" s="554"/>
      <c r="GA430" s="554"/>
      <c r="GB430" s="556"/>
      <c r="GC430" s="370"/>
      <c r="GD430" s="453"/>
      <c r="GE430" s="453"/>
      <c r="GF430" s="453"/>
      <c r="GG430" s="453"/>
      <c r="GH430" s="454"/>
      <c r="GI430" s="453"/>
      <c r="GJ430" s="453"/>
      <c r="GK430" s="453"/>
      <c r="GL430" s="453"/>
      <c r="GM430" s="453"/>
      <c r="GN430" s="453"/>
      <c r="GO430" s="453"/>
      <c r="GP430" s="453"/>
      <c r="GQ430" s="453"/>
      <c r="GR430" s="453"/>
      <c r="GS430" s="561"/>
      <c r="GT430" s="475"/>
      <c r="GU430" s="472"/>
      <c r="GV430" s="453"/>
      <c r="GW430" s="453"/>
      <c r="GX430" s="869"/>
      <c r="GY430" s="870"/>
      <c r="GZ430" s="867"/>
      <c r="HA430" s="868"/>
      <c r="HB430" s="473"/>
      <c r="HC430" s="869"/>
      <c r="HD430" s="870"/>
      <c r="HE430" s="867"/>
      <c r="HF430" s="868"/>
      <c r="HG430" s="473"/>
      <c r="HH430" s="867"/>
      <c r="HI430" s="868"/>
      <c r="HJ430" s="867"/>
      <c r="HK430" s="868"/>
      <c r="HL430" s="370"/>
      <c r="HM430" s="865"/>
      <c r="HN430" s="866"/>
      <c r="HO430" s="865"/>
      <c r="HP430" s="866"/>
      <c r="HQ430" s="865"/>
      <c r="HR430" s="866"/>
      <c r="HS430" s="867"/>
      <c r="HT430" s="868"/>
      <c r="HU430" s="489"/>
      <c r="HV430" s="865"/>
      <c r="HW430" s="866"/>
    </row>
    <row r="431" spans="25:231" ht="15" customHeight="1">
      <c r="Y431" s="332"/>
      <c r="Z431" s="332"/>
      <c r="AA431" s="332"/>
      <c r="AB431" s="332"/>
      <c r="AC431" s="332"/>
      <c r="AD431" s="332"/>
      <c r="AE431" s="332"/>
      <c r="AF431" s="332"/>
      <c r="AG431" s="332"/>
      <c r="AH431" s="332"/>
      <c r="AI431" s="332"/>
      <c r="AJ431" s="332"/>
      <c r="AK431" s="332"/>
      <c r="AL431" s="332"/>
      <c r="AM431" s="332"/>
      <c r="AN431" s="332"/>
      <c r="AO431" s="332"/>
      <c r="AP431" s="332"/>
      <c r="AQ431" s="332"/>
      <c r="AR431" s="332"/>
      <c r="AS431" s="332"/>
      <c r="AT431" s="332"/>
      <c r="AU431" s="332"/>
      <c r="AV431" s="332"/>
      <c r="AW431" s="332"/>
      <c r="AX431" s="332"/>
      <c r="AY431" s="332"/>
      <c r="AZ431" s="332"/>
      <c r="BA431" s="332"/>
      <c r="BB431" s="332"/>
      <c r="BC431" s="332"/>
      <c r="BD431" s="332"/>
      <c r="BE431" s="332"/>
      <c r="BF431" s="332"/>
      <c r="BG431" s="332"/>
      <c r="BH431" s="332"/>
      <c r="BI431" s="332"/>
      <c r="BJ431" s="332"/>
      <c r="BK431" s="332"/>
      <c r="BL431" s="332"/>
      <c r="BM431" s="332"/>
      <c r="BN431" s="332"/>
      <c r="BO431" s="332"/>
      <c r="BP431" s="332"/>
      <c r="BQ431" s="332"/>
      <c r="BR431" s="332"/>
      <c r="BS431" s="332"/>
      <c r="BT431" s="332"/>
      <c r="BU431" s="332"/>
      <c r="BV431" s="332"/>
      <c r="BW431" s="332"/>
      <c r="BX431" s="332"/>
      <c r="BY431" s="332"/>
      <c r="BZ431" s="332"/>
      <c r="CA431" s="332"/>
      <c r="CB431" s="332"/>
      <c r="CC431" s="332"/>
      <c r="CD431" s="332"/>
      <c r="CE431" s="332"/>
      <c r="CF431" s="332"/>
      <c r="CG431" s="332"/>
      <c r="CH431" s="332"/>
      <c r="CI431" s="332"/>
      <c r="CJ431" s="332"/>
      <c r="CK431" s="332"/>
      <c r="CL431" s="332"/>
      <c r="CM431" s="332"/>
      <c r="CN431" s="332"/>
      <c r="CO431" s="332"/>
      <c r="CP431" s="332"/>
      <c r="CQ431" s="332"/>
      <c r="CR431" s="332"/>
      <c r="CS431" s="332"/>
      <c r="CT431" s="332"/>
      <c r="CU431" s="332"/>
      <c r="CV431" s="332"/>
      <c r="CW431" s="332"/>
      <c r="CX431" s="332"/>
      <c r="CY431" s="332"/>
      <c r="CZ431" s="332"/>
      <c r="DA431" s="332"/>
      <c r="DB431" s="332"/>
      <c r="DC431" s="332"/>
      <c r="DD431" s="332"/>
      <c r="DE431" s="332"/>
      <c r="DF431" s="332"/>
      <c r="DG431" s="332"/>
      <c r="DH431" s="332"/>
      <c r="DI431" s="332"/>
      <c r="DJ431" s="332"/>
      <c r="DK431" s="332"/>
      <c r="DL431" s="332"/>
      <c r="DM431" s="332"/>
      <c r="DN431" s="332"/>
      <c r="DO431" s="332"/>
      <c r="DP431" s="332"/>
      <c r="DQ431" s="332"/>
      <c r="DR431" s="332"/>
      <c r="DS431" s="332"/>
      <c r="DT431" s="332"/>
      <c r="DU431" s="453"/>
      <c r="DV431" s="453"/>
      <c r="DW431" s="453"/>
      <c r="DX431" s="453"/>
      <c r="DY431" s="453"/>
      <c r="DZ431" s="453"/>
      <c r="EA431" s="453"/>
      <c r="EB431" s="483">
        <v>30</v>
      </c>
      <c r="EC431" s="599"/>
      <c r="ED431" s="851"/>
      <c r="EE431" s="852"/>
      <c r="EF431" s="771"/>
      <c r="EG431" s="853"/>
      <c r="EH431" s="854"/>
      <c r="EI431" s="600"/>
      <c r="EJ431" s="453"/>
      <c r="EK431" s="453"/>
      <c r="EL431" s="453"/>
      <c r="EM431" s="483">
        <f t="shared" si="213"/>
        <v>122</v>
      </c>
      <c r="EN431" s="485"/>
      <c r="EO431" s="804"/>
      <c r="EP431" s="805"/>
      <c r="EQ431" s="826"/>
      <c r="ER431" s="808"/>
      <c r="ES431" s="881">
        <f t="shared" si="214"/>
        <v>0</v>
      </c>
      <c r="ET431" s="882"/>
      <c r="EU431" s="883"/>
      <c r="EV431" s="884">
        <f t="shared" si="212"/>
        <v>0</v>
      </c>
      <c r="EW431" s="885"/>
      <c r="EX431" s="885"/>
      <c r="EY431" s="885"/>
      <c r="EZ431" s="885"/>
      <c r="FA431" s="885"/>
      <c r="FB431" s="885"/>
      <c r="FC431" s="885"/>
      <c r="FD431" s="886"/>
      <c r="FE431" s="878"/>
      <c r="FF431" s="878"/>
      <c r="FG431" s="878"/>
      <c r="FH431" s="878"/>
      <c r="FI431" s="878"/>
      <c r="FJ431" s="878"/>
      <c r="FK431" s="878"/>
      <c r="FL431" s="555"/>
      <c r="FM431" s="554"/>
      <c r="FN431" s="554"/>
      <c r="FO431" s="554"/>
      <c r="FP431" s="554"/>
      <c r="FQ431" s="554"/>
      <c r="FR431" s="554"/>
      <c r="FS431" s="554"/>
      <c r="FT431" s="554"/>
      <c r="FU431" s="554"/>
      <c r="FV431" s="554"/>
      <c r="FW431" s="554"/>
      <c r="FX431" s="554"/>
      <c r="FY431" s="554"/>
      <c r="FZ431" s="554"/>
      <c r="GA431" s="554"/>
      <c r="GB431" s="556"/>
      <c r="GC431" s="370"/>
      <c r="GD431" s="453"/>
      <c r="GE431" s="453"/>
      <c r="GF431" s="453"/>
      <c r="GG431" s="453"/>
      <c r="GH431" s="454"/>
      <c r="GI431" s="453"/>
      <c r="GJ431" s="453"/>
      <c r="GK431" s="453"/>
      <c r="GL431" s="453"/>
      <c r="GM431" s="453"/>
      <c r="GN431" s="453"/>
      <c r="GO431" s="453"/>
      <c r="GP431" s="453"/>
      <c r="GQ431" s="453"/>
      <c r="GR431" s="453"/>
      <c r="GS431" s="561"/>
      <c r="GT431" s="475"/>
      <c r="GU431" s="472"/>
      <c r="GV431" s="453"/>
      <c r="GW431" s="453"/>
      <c r="GX431" s="869"/>
      <c r="GY431" s="870"/>
      <c r="GZ431" s="867"/>
      <c r="HA431" s="868"/>
      <c r="HB431" s="473"/>
      <c r="HC431" s="869"/>
      <c r="HD431" s="870"/>
      <c r="HE431" s="867"/>
      <c r="HF431" s="868"/>
      <c r="HG431" s="473"/>
      <c r="HH431" s="867"/>
      <c r="HI431" s="868"/>
      <c r="HJ431" s="867"/>
      <c r="HK431" s="868"/>
      <c r="HL431" s="370"/>
      <c r="HM431" s="865"/>
      <c r="HN431" s="866"/>
      <c r="HO431" s="865"/>
      <c r="HP431" s="866"/>
      <c r="HQ431" s="865"/>
      <c r="HR431" s="866"/>
      <c r="HS431" s="867"/>
      <c r="HT431" s="868"/>
      <c r="HU431" s="489"/>
      <c r="HV431" s="865"/>
      <c r="HW431" s="866"/>
    </row>
    <row r="432" spans="25:231" ht="15" customHeight="1">
      <c r="Y432" s="332"/>
      <c r="Z432" s="332"/>
      <c r="AA432" s="332"/>
      <c r="AB432" s="332"/>
      <c r="AC432" s="332"/>
      <c r="AD432" s="332"/>
      <c r="AE432" s="332"/>
      <c r="AF432" s="332"/>
      <c r="AG432" s="332"/>
      <c r="AH432" s="332"/>
      <c r="AI432" s="332"/>
      <c r="AJ432" s="332"/>
      <c r="AK432" s="332"/>
      <c r="AL432" s="332"/>
      <c r="AM432" s="332"/>
      <c r="AN432" s="332"/>
      <c r="AO432" s="332"/>
      <c r="AP432" s="332"/>
      <c r="AQ432" s="332"/>
      <c r="AR432" s="332"/>
      <c r="AS432" s="332"/>
      <c r="AT432" s="332"/>
      <c r="AU432" s="332"/>
      <c r="AV432" s="332"/>
      <c r="AW432" s="332"/>
      <c r="AX432" s="332"/>
      <c r="AY432" s="332"/>
      <c r="AZ432" s="332"/>
      <c r="BA432" s="332"/>
      <c r="BB432" s="332"/>
      <c r="BC432" s="332"/>
      <c r="BD432" s="332"/>
      <c r="BE432" s="332"/>
      <c r="BF432" s="332"/>
      <c r="BG432" s="332"/>
      <c r="BH432" s="332"/>
      <c r="BI432" s="332"/>
      <c r="BJ432" s="332"/>
      <c r="BK432" s="332"/>
      <c r="BL432" s="332"/>
      <c r="BM432" s="332"/>
      <c r="BN432" s="332"/>
      <c r="BO432" s="332"/>
      <c r="BP432" s="332"/>
      <c r="BQ432" s="332"/>
      <c r="BR432" s="332"/>
      <c r="BS432" s="332"/>
      <c r="BT432" s="332"/>
      <c r="BU432" s="332"/>
      <c r="BV432" s="332"/>
      <c r="BW432" s="332"/>
      <c r="BX432" s="332"/>
      <c r="BY432" s="332"/>
      <c r="BZ432" s="332"/>
      <c r="CA432" s="332"/>
      <c r="CB432" s="332"/>
      <c r="CC432" s="332"/>
      <c r="CD432" s="332"/>
      <c r="CE432" s="332"/>
      <c r="CF432" s="332"/>
      <c r="CG432" s="332"/>
      <c r="CH432" s="332"/>
      <c r="CI432" s="332"/>
      <c r="CJ432" s="332"/>
      <c r="CK432" s="332"/>
      <c r="CL432" s="332"/>
      <c r="CM432" s="332"/>
      <c r="CN432" s="332"/>
      <c r="CO432" s="332"/>
      <c r="CP432" s="332"/>
      <c r="CQ432" s="332"/>
      <c r="CR432" s="332"/>
      <c r="CS432" s="332"/>
      <c r="CT432" s="332"/>
      <c r="CU432" s="332"/>
      <c r="CV432" s="332"/>
      <c r="CW432" s="332"/>
      <c r="CX432" s="332"/>
      <c r="CY432" s="332"/>
      <c r="CZ432" s="332"/>
      <c r="DA432" s="332"/>
      <c r="DB432" s="332"/>
      <c r="DC432" s="332"/>
      <c r="DD432" s="332"/>
      <c r="DE432" s="332"/>
      <c r="DF432" s="332"/>
      <c r="DG432" s="332"/>
      <c r="DH432" s="332"/>
      <c r="DI432" s="332"/>
      <c r="DJ432" s="332"/>
      <c r="DK432" s="332"/>
      <c r="DL432" s="332"/>
      <c r="DM432" s="332"/>
      <c r="DN432" s="332"/>
      <c r="DO432" s="332"/>
      <c r="DP432" s="332"/>
      <c r="DQ432" s="332"/>
      <c r="DR432" s="332"/>
      <c r="DS432" s="332"/>
      <c r="DT432" s="332"/>
      <c r="DU432" s="453"/>
      <c r="DV432" s="453"/>
      <c r="DW432" s="453"/>
      <c r="DX432" s="453"/>
      <c r="DY432" s="453"/>
      <c r="DZ432" s="453"/>
      <c r="EA432" s="453"/>
      <c r="EB432" s="483">
        <v>31</v>
      </c>
      <c r="EC432" s="599"/>
      <c r="ED432" s="851"/>
      <c r="EE432" s="852"/>
      <c r="EF432" s="771"/>
      <c r="EG432" s="853"/>
      <c r="EH432" s="854"/>
      <c r="EI432" s="600"/>
      <c r="EJ432" s="453"/>
      <c r="EK432" s="453"/>
      <c r="EL432" s="453"/>
      <c r="EM432" s="483">
        <f t="shared" si="213"/>
        <v>123</v>
      </c>
      <c r="EN432" s="485"/>
      <c r="EO432" s="804"/>
      <c r="EP432" s="805"/>
      <c r="EQ432" s="806"/>
      <c r="ER432" s="808"/>
      <c r="ES432" s="881">
        <f t="shared" si="214"/>
        <v>0</v>
      </c>
      <c r="ET432" s="882"/>
      <c r="EU432" s="883"/>
      <c r="EV432" s="884">
        <f t="shared" si="212"/>
        <v>0</v>
      </c>
      <c r="EW432" s="885"/>
      <c r="EX432" s="885"/>
      <c r="EY432" s="885"/>
      <c r="EZ432" s="885"/>
      <c r="FA432" s="885"/>
      <c r="FB432" s="885"/>
      <c r="FC432" s="885"/>
      <c r="FD432" s="886"/>
      <c r="FE432" s="878"/>
      <c r="FF432" s="878"/>
      <c r="FG432" s="878"/>
      <c r="FH432" s="878"/>
      <c r="FI432" s="878"/>
      <c r="FJ432" s="878"/>
      <c r="FK432" s="878"/>
      <c r="FL432" s="555"/>
      <c r="FM432" s="554"/>
      <c r="FN432" s="554"/>
      <c r="FO432" s="554"/>
      <c r="FP432" s="554"/>
      <c r="FQ432" s="554"/>
      <c r="FR432" s="554"/>
      <c r="FS432" s="554"/>
      <c r="FT432" s="554"/>
      <c r="FU432" s="554"/>
      <c r="FV432" s="554"/>
      <c r="FW432" s="554"/>
      <c r="FX432" s="554"/>
      <c r="FY432" s="554"/>
      <c r="FZ432" s="554"/>
      <c r="GA432" s="554"/>
      <c r="GB432" s="556"/>
      <c r="GC432" s="370"/>
      <c r="GD432" s="453"/>
      <c r="GE432" s="453"/>
      <c r="GF432" s="453"/>
      <c r="GG432" s="453"/>
      <c r="GH432" s="454"/>
      <c r="GI432" s="453"/>
      <c r="GJ432" s="453"/>
      <c r="GK432" s="453"/>
      <c r="GL432" s="453"/>
      <c r="GM432" s="453"/>
      <c r="GN432" s="453"/>
      <c r="GO432" s="453"/>
      <c r="GP432" s="453"/>
      <c r="GQ432" s="453"/>
      <c r="GR432" s="453"/>
      <c r="GS432" s="561"/>
      <c r="GT432" s="475"/>
      <c r="GU432" s="472"/>
      <c r="GV432" s="453"/>
      <c r="GW432" s="453"/>
      <c r="GX432" s="869"/>
      <c r="GY432" s="870"/>
      <c r="GZ432" s="867"/>
      <c r="HA432" s="868"/>
      <c r="HB432" s="473"/>
      <c r="HC432" s="869"/>
      <c r="HD432" s="870"/>
      <c r="HE432" s="867"/>
      <c r="HF432" s="868"/>
      <c r="HG432" s="473"/>
      <c r="HH432" s="867"/>
      <c r="HI432" s="868"/>
      <c r="HJ432" s="867"/>
      <c r="HK432" s="868"/>
      <c r="HL432" s="370"/>
      <c r="HM432" s="865"/>
      <c r="HN432" s="866"/>
      <c r="HO432" s="865"/>
      <c r="HP432" s="866"/>
      <c r="HQ432" s="865"/>
      <c r="HR432" s="866"/>
      <c r="HS432" s="867"/>
      <c r="HT432" s="868"/>
      <c r="HU432" s="489"/>
      <c r="HV432" s="865"/>
      <c r="HW432" s="866"/>
    </row>
    <row r="433" spans="25:231" ht="15" customHeight="1">
      <c r="Y433" s="332"/>
      <c r="Z433" s="332"/>
      <c r="AA433" s="332"/>
      <c r="AB433" s="332"/>
      <c r="AC433" s="332"/>
      <c r="AD433" s="332"/>
      <c r="AE433" s="332"/>
      <c r="AF433" s="332"/>
      <c r="AG433" s="332"/>
      <c r="AH433" s="332"/>
      <c r="AI433" s="332"/>
      <c r="AJ433" s="332"/>
      <c r="AK433" s="332"/>
      <c r="AL433" s="332"/>
      <c r="AM433" s="332"/>
      <c r="AN433" s="332"/>
      <c r="AO433" s="332"/>
      <c r="AP433" s="332"/>
      <c r="AQ433" s="332"/>
      <c r="AR433" s="332"/>
      <c r="AS433" s="332"/>
      <c r="AT433" s="332"/>
      <c r="AU433" s="332"/>
      <c r="AV433" s="332"/>
      <c r="AW433" s="332"/>
      <c r="AX433" s="332"/>
      <c r="AY433" s="332"/>
      <c r="AZ433" s="332"/>
      <c r="BA433" s="332"/>
      <c r="BB433" s="332"/>
      <c r="BC433" s="332"/>
      <c r="BD433" s="332"/>
      <c r="BE433" s="332"/>
      <c r="BF433" s="332"/>
      <c r="BG433" s="332"/>
      <c r="BH433" s="332"/>
      <c r="BI433" s="332"/>
      <c r="BJ433" s="332"/>
      <c r="BK433" s="332"/>
      <c r="BL433" s="332"/>
      <c r="BM433" s="332"/>
      <c r="BN433" s="332"/>
      <c r="BO433" s="332"/>
      <c r="BP433" s="332"/>
      <c r="BQ433" s="332"/>
      <c r="BR433" s="332"/>
      <c r="BS433" s="332"/>
      <c r="BT433" s="332"/>
      <c r="BU433" s="332"/>
      <c r="BV433" s="332"/>
      <c r="BW433" s="332"/>
      <c r="BX433" s="332"/>
      <c r="BY433" s="332"/>
      <c r="BZ433" s="332"/>
      <c r="CA433" s="332"/>
      <c r="CB433" s="332"/>
      <c r="CC433" s="332"/>
      <c r="CD433" s="332"/>
      <c r="CE433" s="332"/>
      <c r="CF433" s="332"/>
      <c r="CG433" s="332"/>
      <c r="CH433" s="332"/>
      <c r="CI433" s="332"/>
      <c r="CJ433" s="332"/>
      <c r="CK433" s="332"/>
      <c r="CL433" s="332"/>
      <c r="CM433" s="332"/>
      <c r="CN433" s="332"/>
      <c r="CO433" s="332"/>
      <c r="CP433" s="332"/>
      <c r="CQ433" s="332"/>
      <c r="CR433" s="332"/>
      <c r="CS433" s="332"/>
      <c r="CT433" s="332"/>
      <c r="CU433" s="332"/>
      <c r="CV433" s="332"/>
      <c r="CW433" s="332"/>
      <c r="CX433" s="332"/>
      <c r="CY433" s="332"/>
      <c r="CZ433" s="332"/>
      <c r="DA433" s="332"/>
      <c r="DB433" s="332"/>
      <c r="DC433" s="332"/>
      <c r="DD433" s="332"/>
      <c r="DE433" s="332"/>
      <c r="DF433" s="332"/>
      <c r="DG433" s="332"/>
      <c r="DH433" s="332"/>
      <c r="DI433" s="332"/>
      <c r="DJ433" s="332"/>
      <c r="DK433" s="332"/>
      <c r="DL433" s="332"/>
      <c r="DM433" s="332"/>
      <c r="DN433" s="332"/>
      <c r="DO433" s="332"/>
      <c r="DP433" s="332"/>
      <c r="DQ433" s="332"/>
      <c r="DR433" s="332"/>
      <c r="DS433" s="332"/>
      <c r="DT433" s="332"/>
      <c r="DU433" s="453"/>
      <c r="DV433" s="453"/>
      <c r="DW433" s="453"/>
      <c r="DX433" s="453"/>
      <c r="DY433" s="453"/>
      <c r="DZ433" s="453"/>
      <c r="EA433" s="453"/>
      <c r="EB433" s="483">
        <v>32</v>
      </c>
      <c r="EC433" s="599"/>
      <c r="ED433" s="851"/>
      <c r="EE433" s="852"/>
      <c r="EF433" s="771"/>
      <c r="EG433" s="853"/>
      <c r="EH433" s="854"/>
      <c r="EI433" s="600"/>
      <c r="EJ433" s="453"/>
      <c r="EK433" s="453"/>
      <c r="EL433" s="453"/>
      <c r="EM433" s="483">
        <f t="shared" si="213"/>
        <v>124</v>
      </c>
      <c r="EN433" s="485"/>
      <c r="EO433" s="804"/>
      <c r="EP433" s="805"/>
      <c r="EQ433" s="806"/>
      <c r="ER433" s="808"/>
      <c r="ES433" s="881">
        <f t="shared" si="214"/>
        <v>0</v>
      </c>
      <c r="ET433" s="882"/>
      <c r="EU433" s="883"/>
      <c r="EV433" s="884">
        <f t="shared" si="212"/>
        <v>0</v>
      </c>
      <c r="EW433" s="885"/>
      <c r="EX433" s="885"/>
      <c r="EY433" s="885"/>
      <c r="EZ433" s="885"/>
      <c r="FA433" s="885"/>
      <c r="FB433" s="885"/>
      <c r="FC433" s="885"/>
      <c r="FD433" s="886"/>
      <c r="FE433" s="878"/>
      <c r="FF433" s="878"/>
      <c r="FG433" s="878"/>
      <c r="FH433" s="878"/>
      <c r="FI433" s="878"/>
      <c r="FJ433" s="878"/>
      <c r="FK433" s="878"/>
      <c r="FL433" s="555"/>
      <c r="FM433" s="554"/>
      <c r="FN433" s="554"/>
      <c r="FO433" s="554"/>
      <c r="FP433" s="554"/>
      <c r="FQ433" s="554"/>
      <c r="FR433" s="554"/>
      <c r="FS433" s="554"/>
      <c r="FT433" s="554"/>
      <c r="FU433" s="554"/>
      <c r="FV433" s="554"/>
      <c r="FW433" s="554"/>
      <c r="FX433" s="554"/>
      <c r="FY433" s="554"/>
      <c r="FZ433" s="554"/>
      <c r="GA433" s="554"/>
      <c r="GB433" s="556"/>
      <c r="GC433" s="370"/>
      <c r="GD433" s="453"/>
      <c r="GE433" s="453"/>
      <c r="GF433" s="453"/>
      <c r="GG433" s="453"/>
      <c r="GH433" s="454"/>
      <c r="GI433" s="453"/>
      <c r="GJ433" s="453"/>
      <c r="GK433" s="453"/>
      <c r="GL433" s="453"/>
      <c r="GM433" s="453"/>
      <c r="GN433" s="453"/>
      <c r="GO433" s="453"/>
      <c r="GP433" s="453"/>
      <c r="GQ433" s="453"/>
      <c r="GR433" s="453"/>
      <c r="GS433" s="561"/>
      <c r="GT433" s="475"/>
      <c r="GU433" s="472"/>
      <c r="GV433" s="453"/>
      <c r="GW433" s="453"/>
      <c r="GX433" s="869"/>
      <c r="GY433" s="870"/>
      <c r="GZ433" s="867"/>
      <c r="HA433" s="868"/>
      <c r="HB433" s="473"/>
      <c r="HC433" s="869"/>
      <c r="HD433" s="870"/>
      <c r="HE433" s="867"/>
      <c r="HF433" s="868"/>
      <c r="HG433" s="473"/>
      <c r="HH433" s="867"/>
      <c r="HI433" s="868"/>
      <c r="HJ433" s="867"/>
      <c r="HK433" s="868"/>
      <c r="HL433" s="370"/>
      <c r="HM433" s="865"/>
      <c r="HN433" s="866"/>
      <c r="HO433" s="865"/>
      <c r="HP433" s="866"/>
      <c r="HQ433" s="865"/>
      <c r="HR433" s="866"/>
      <c r="HS433" s="867"/>
      <c r="HT433" s="868"/>
      <c r="HU433" s="489"/>
      <c r="HV433" s="865"/>
      <c r="HW433" s="866"/>
    </row>
    <row r="434" spans="25:231" ht="15" customHeight="1">
      <c r="Y434" s="332"/>
      <c r="Z434" s="332"/>
      <c r="AA434" s="332"/>
      <c r="AB434" s="332"/>
      <c r="AC434" s="332"/>
      <c r="AD434" s="332"/>
      <c r="AE434" s="332"/>
      <c r="AF434" s="332"/>
      <c r="AG434" s="332"/>
      <c r="AH434" s="332"/>
      <c r="AI434" s="332"/>
      <c r="AJ434" s="332"/>
      <c r="AK434" s="332"/>
      <c r="AL434" s="332"/>
      <c r="AM434" s="332"/>
      <c r="AN434" s="332"/>
      <c r="AO434" s="332"/>
      <c r="AP434" s="332"/>
      <c r="AQ434" s="332"/>
      <c r="AR434" s="332"/>
      <c r="AS434" s="332"/>
      <c r="AT434" s="332"/>
      <c r="AU434" s="332"/>
      <c r="AV434" s="332"/>
      <c r="AW434" s="332"/>
      <c r="AX434" s="332"/>
      <c r="AY434" s="332"/>
      <c r="AZ434" s="332"/>
      <c r="BA434" s="332"/>
      <c r="BB434" s="332"/>
      <c r="BC434" s="332"/>
      <c r="BD434" s="332"/>
      <c r="BE434" s="332"/>
      <c r="BF434" s="332"/>
      <c r="BG434" s="332"/>
      <c r="BH434" s="332"/>
      <c r="BI434" s="332"/>
      <c r="BJ434" s="332"/>
      <c r="BK434" s="332"/>
      <c r="BL434" s="332"/>
      <c r="BM434" s="332"/>
      <c r="BN434" s="332"/>
      <c r="BO434" s="332"/>
      <c r="BP434" s="332"/>
      <c r="BQ434" s="332"/>
      <c r="BR434" s="332"/>
      <c r="BS434" s="332"/>
      <c r="BT434" s="332"/>
      <c r="BU434" s="332"/>
      <c r="BV434" s="332"/>
      <c r="BW434" s="332"/>
      <c r="BX434" s="332"/>
      <c r="BY434" s="332"/>
      <c r="BZ434" s="332"/>
      <c r="CA434" s="332"/>
      <c r="CB434" s="332"/>
      <c r="CC434" s="332"/>
      <c r="CD434" s="332"/>
      <c r="CE434" s="332"/>
      <c r="CF434" s="332"/>
      <c r="CG434" s="332"/>
      <c r="CH434" s="332"/>
      <c r="CI434" s="332"/>
      <c r="CJ434" s="332"/>
      <c r="CK434" s="332"/>
      <c r="CL434" s="332"/>
      <c r="CM434" s="332"/>
      <c r="CN434" s="332"/>
      <c r="CO434" s="332"/>
      <c r="CP434" s="332"/>
      <c r="CQ434" s="332"/>
      <c r="CR434" s="332"/>
      <c r="CS434" s="332"/>
      <c r="CT434" s="332"/>
      <c r="CU434" s="332"/>
      <c r="CV434" s="332"/>
      <c r="CW434" s="332"/>
      <c r="CX434" s="332"/>
      <c r="CY434" s="332"/>
      <c r="CZ434" s="332"/>
      <c r="DA434" s="332"/>
      <c r="DB434" s="332"/>
      <c r="DC434" s="332"/>
      <c r="DD434" s="332"/>
      <c r="DE434" s="332"/>
      <c r="DF434" s="332"/>
      <c r="DG434" s="332"/>
      <c r="DH434" s="332"/>
      <c r="DI434" s="332"/>
      <c r="DJ434" s="332"/>
      <c r="DK434" s="332"/>
      <c r="DL434" s="332"/>
      <c r="DM434" s="332"/>
      <c r="DN434" s="332"/>
      <c r="DO434" s="332"/>
      <c r="DP434" s="332"/>
      <c r="DQ434" s="332"/>
      <c r="DR434" s="332"/>
      <c r="DS434" s="332"/>
      <c r="DT434" s="332"/>
      <c r="DU434" s="453"/>
      <c r="DV434" s="453"/>
      <c r="DW434" s="453"/>
      <c r="DX434" s="453"/>
      <c r="DY434" s="453"/>
      <c r="DZ434" s="453"/>
      <c r="EA434" s="453"/>
      <c r="EB434" s="483">
        <v>33</v>
      </c>
      <c r="EC434" s="599"/>
      <c r="ED434" s="851"/>
      <c r="EE434" s="852"/>
      <c r="EF434" s="771"/>
      <c r="EG434" s="853"/>
      <c r="EH434" s="854"/>
      <c r="EI434" s="600"/>
      <c r="EJ434" s="453"/>
      <c r="EK434" s="453"/>
      <c r="EL434" s="453"/>
      <c r="EM434" s="483">
        <f t="shared" si="213"/>
        <v>125</v>
      </c>
      <c r="EN434" s="485"/>
      <c r="EO434" s="804"/>
      <c r="EP434" s="805"/>
      <c r="EQ434" s="806"/>
      <c r="ER434" s="808"/>
      <c r="ES434" s="881">
        <f t="shared" si="214"/>
        <v>0</v>
      </c>
      <c r="ET434" s="882"/>
      <c r="EU434" s="883"/>
      <c r="EV434" s="884">
        <f t="shared" si="212"/>
        <v>0</v>
      </c>
      <c r="EW434" s="885"/>
      <c r="EX434" s="885"/>
      <c r="EY434" s="885"/>
      <c r="EZ434" s="885"/>
      <c r="FA434" s="885"/>
      <c r="FB434" s="885"/>
      <c r="FC434" s="885"/>
      <c r="FD434" s="886"/>
      <c r="FE434" s="878"/>
      <c r="FF434" s="878"/>
      <c r="FG434" s="878"/>
      <c r="FH434" s="878"/>
      <c r="FI434" s="878"/>
      <c r="FJ434" s="878"/>
      <c r="FK434" s="878"/>
      <c r="FL434" s="555"/>
      <c r="FM434" s="554"/>
      <c r="FN434" s="554"/>
      <c r="FO434" s="554"/>
      <c r="FP434" s="554"/>
      <c r="FQ434" s="554"/>
      <c r="FR434" s="554"/>
      <c r="FS434" s="554"/>
      <c r="FT434" s="554"/>
      <c r="FU434" s="554"/>
      <c r="FV434" s="554"/>
      <c r="FW434" s="554"/>
      <c r="FX434" s="554"/>
      <c r="FY434" s="554"/>
      <c r="FZ434" s="554"/>
      <c r="GA434" s="554"/>
      <c r="GB434" s="556"/>
      <c r="GC434" s="370"/>
      <c r="GD434" s="453"/>
      <c r="GE434" s="453"/>
      <c r="GF434" s="453"/>
      <c r="GG434" s="453"/>
      <c r="GH434" s="454"/>
      <c r="GI434" s="453"/>
      <c r="GJ434" s="453"/>
      <c r="GK434" s="453"/>
      <c r="GL434" s="453"/>
      <c r="GM434" s="453"/>
      <c r="GN434" s="453"/>
      <c r="GO434" s="453"/>
      <c r="GP434" s="453"/>
      <c r="GQ434" s="453"/>
      <c r="GR434" s="453"/>
      <c r="GS434" s="561"/>
      <c r="GT434" s="475"/>
      <c r="GU434" s="472"/>
      <c r="GV434" s="453"/>
      <c r="GW434" s="453"/>
      <c r="GX434" s="869"/>
      <c r="GY434" s="870"/>
      <c r="GZ434" s="867"/>
      <c r="HA434" s="868"/>
      <c r="HB434" s="473"/>
      <c r="HC434" s="869"/>
      <c r="HD434" s="870"/>
      <c r="HE434" s="867"/>
      <c r="HF434" s="868"/>
      <c r="HG434" s="473"/>
      <c r="HH434" s="867"/>
      <c r="HI434" s="868"/>
      <c r="HJ434" s="867"/>
      <c r="HK434" s="868"/>
      <c r="HL434" s="370"/>
      <c r="HM434" s="865"/>
      <c r="HN434" s="866"/>
      <c r="HO434" s="865"/>
      <c r="HP434" s="866"/>
      <c r="HQ434" s="865"/>
      <c r="HR434" s="866"/>
      <c r="HS434" s="867"/>
      <c r="HT434" s="868"/>
      <c r="HU434" s="489"/>
      <c r="HV434" s="865"/>
      <c r="HW434" s="866"/>
    </row>
    <row r="435" spans="25:231" ht="15" customHeight="1">
      <c r="Y435" s="332"/>
      <c r="Z435" s="332"/>
      <c r="AA435" s="332"/>
      <c r="AB435" s="332"/>
      <c r="AC435" s="332"/>
      <c r="AD435" s="332"/>
      <c r="AE435" s="332"/>
      <c r="AF435" s="332"/>
      <c r="AG435" s="332"/>
      <c r="AH435" s="332"/>
      <c r="AI435" s="332"/>
      <c r="AJ435" s="332"/>
      <c r="AK435" s="332"/>
      <c r="AL435" s="332"/>
      <c r="AM435" s="332"/>
      <c r="AN435" s="332"/>
      <c r="AO435" s="332"/>
      <c r="AP435" s="332"/>
      <c r="AQ435" s="332"/>
      <c r="AR435" s="332"/>
      <c r="AS435" s="332"/>
      <c r="AT435" s="332"/>
      <c r="AU435" s="332"/>
      <c r="AV435" s="332"/>
      <c r="AW435" s="332"/>
      <c r="AX435" s="332"/>
      <c r="AY435" s="332"/>
      <c r="AZ435" s="332"/>
      <c r="BA435" s="332"/>
      <c r="BB435" s="332"/>
      <c r="BC435" s="332"/>
      <c r="BD435" s="332"/>
      <c r="BE435" s="332"/>
      <c r="BF435" s="332"/>
      <c r="BG435" s="332"/>
      <c r="BH435" s="332"/>
      <c r="BI435" s="332"/>
      <c r="BJ435" s="332"/>
      <c r="BK435" s="332"/>
      <c r="BL435" s="332"/>
      <c r="BM435" s="332"/>
      <c r="BN435" s="332"/>
      <c r="BO435" s="332"/>
      <c r="BP435" s="332"/>
      <c r="BQ435" s="332"/>
      <c r="BR435" s="332"/>
      <c r="BS435" s="332"/>
      <c r="BT435" s="332"/>
      <c r="BU435" s="332"/>
      <c r="BV435" s="332"/>
      <c r="BW435" s="332"/>
      <c r="BX435" s="332"/>
      <c r="BY435" s="332"/>
      <c r="BZ435" s="332"/>
      <c r="CA435" s="332"/>
      <c r="CB435" s="332"/>
      <c r="CC435" s="332"/>
      <c r="CD435" s="332"/>
      <c r="CE435" s="332"/>
      <c r="CF435" s="332"/>
      <c r="CG435" s="332"/>
      <c r="CH435" s="332"/>
      <c r="CI435" s="332"/>
      <c r="CJ435" s="332"/>
      <c r="CK435" s="332"/>
      <c r="CL435" s="332"/>
      <c r="CM435" s="332"/>
      <c r="CN435" s="332"/>
      <c r="CO435" s="332"/>
      <c r="CP435" s="332"/>
      <c r="CQ435" s="332"/>
      <c r="CR435" s="332"/>
      <c r="CS435" s="332"/>
      <c r="CT435" s="332"/>
      <c r="CU435" s="332"/>
      <c r="CV435" s="332"/>
      <c r="CW435" s="332"/>
      <c r="CX435" s="332"/>
      <c r="CY435" s="332"/>
      <c r="CZ435" s="332"/>
      <c r="DA435" s="332"/>
      <c r="DB435" s="332"/>
      <c r="DC435" s="332"/>
      <c r="DD435" s="332"/>
      <c r="DE435" s="332"/>
      <c r="DF435" s="332"/>
      <c r="DG435" s="332"/>
      <c r="DH435" s="332"/>
      <c r="DI435" s="332"/>
      <c r="DJ435" s="332"/>
      <c r="DK435" s="332"/>
      <c r="DL435" s="332"/>
      <c r="DM435" s="332"/>
      <c r="DN435" s="332"/>
      <c r="DO435" s="332"/>
      <c r="DP435" s="332"/>
      <c r="DQ435" s="332"/>
      <c r="DR435" s="332"/>
      <c r="DS435" s="332"/>
      <c r="DT435" s="332"/>
      <c r="DU435" s="453"/>
      <c r="DV435" s="453"/>
      <c r="DW435" s="453"/>
      <c r="DX435" s="453"/>
      <c r="DY435" s="453"/>
      <c r="DZ435" s="453"/>
      <c r="EA435" s="453"/>
      <c r="EB435" s="483">
        <v>34</v>
      </c>
      <c r="EC435" s="599"/>
      <c r="ED435" s="851"/>
      <c r="EE435" s="852"/>
      <c r="EF435" s="771"/>
      <c r="EG435" s="853"/>
      <c r="EH435" s="854"/>
      <c r="EI435" s="600"/>
      <c r="EJ435" s="453"/>
      <c r="EK435" s="453"/>
      <c r="EL435" s="453"/>
      <c r="EM435" s="483">
        <f t="shared" si="213"/>
        <v>126</v>
      </c>
      <c r="EN435" s="485"/>
      <c r="EO435" s="804"/>
      <c r="EP435" s="805"/>
      <c r="EQ435" s="806"/>
      <c r="ER435" s="808"/>
      <c r="ES435" s="881">
        <f t="shared" si="214"/>
        <v>0</v>
      </c>
      <c r="ET435" s="882"/>
      <c r="EU435" s="883"/>
      <c r="EV435" s="884">
        <f t="shared" si="212"/>
        <v>0</v>
      </c>
      <c r="EW435" s="885"/>
      <c r="EX435" s="885"/>
      <c r="EY435" s="885"/>
      <c r="EZ435" s="885"/>
      <c r="FA435" s="885"/>
      <c r="FB435" s="885"/>
      <c r="FC435" s="885"/>
      <c r="FD435" s="886"/>
      <c r="FE435" s="878"/>
      <c r="FF435" s="878"/>
      <c r="FG435" s="878"/>
      <c r="FH435" s="878"/>
      <c r="FI435" s="878"/>
      <c r="FJ435" s="878"/>
      <c r="FK435" s="878"/>
      <c r="FL435" s="555"/>
      <c r="FM435" s="554"/>
      <c r="FN435" s="554"/>
      <c r="FO435" s="554"/>
      <c r="FP435" s="554"/>
      <c r="FQ435" s="554"/>
      <c r="FR435" s="554"/>
      <c r="FS435" s="554"/>
      <c r="FT435" s="554"/>
      <c r="FU435" s="554"/>
      <c r="FV435" s="554"/>
      <c r="FW435" s="554"/>
      <c r="FX435" s="554"/>
      <c r="FY435" s="554"/>
      <c r="FZ435" s="554"/>
      <c r="GA435" s="554"/>
      <c r="GB435" s="556"/>
      <c r="GC435" s="370"/>
      <c r="GD435" s="453"/>
      <c r="GE435" s="453"/>
      <c r="GF435" s="453"/>
      <c r="GG435" s="453"/>
      <c r="GH435" s="454"/>
      <c r="GI435" s="453"/>
      <c r="GJ435" s="453"/>
      <c r="GK435" s="453"/>
      <c r="GL435" s="453"/>
      <c r="GM435" s="453"/>
      <c r="GN435" s="453"/>
      <c r="GO435" s="453"/>
      <c r="GP435" s="453"/>
      <c r="GQ435" s="453"/>
      <c r="GR435" s="453"/>
      <c r="GS435" s="561"/>
      <c r="GT435" s="475"/>
      <c r="GU435" s="472"/>
      <c r="GV435" s="453"/>
      <c r="GW435" s="453"/>
      <c r="GX435" s="869"/>
      <c r="GY435" s="870"/>
      <c r="GZ435" s="867"/>
      <c r="HA435" s="868"/>
      <c r="HB435" s="473"/>
      <c r="HC435" s="869"/>
      <c r="HD435" s="870"/>
      <c r="HE435" s="867"/>
      <c r="HF435" s="868"/>
      <c r="HG435" s="473"/>
      <c r="HH435" s="867"/>
      <c r="HI435" s="868"/>
      <c r="HJ435" s="867"/>
      <c r="HK435" s="868"/>
      <c r="HL435" s="370"/>
      <c r="HM435" s="865"/>
      <c r="HN435" s="866"/>
      <c r="HO435" s="865"/>
      <c r="HP435" s="866"/>
      <c r="HQ435" s="865"/>
      <c r="HR435" s="866"/>
      <c r="HS435" s="867"/>
      <c r="HT435" s="868"/>
      <c r="HU435" s="489"/>
      <c r="HV435" s="865"/>
      <c r="HW435" s="866"/>
    </row>
    <row r="436" spans="25:231" ht="15" customHeight="1">
      <c r="Y436" s="332"/>
      <c r="Z436" s="332"/>
      <c r="AA436" s="332"/>
      <c r="AB436" s="332"/>
      <c r="AC436" s="332"/>
      <c r="AD436" s="332"/>
      <c r="AE436" s="332"/>
      <c r="AF436" s="332"/>
      <c r="AG436" s="332"/>
      <c r="AH436" s="332"/>
      <c r="AI436" s="332"/>
      <c r="AJ436" s="332"/>
      <c r="AK436" s="332"/>
      <c r="AL436" s="332"/>
      <c r="AM436" s="332"/>
      <c r="AN436" s="332"/>
      <c r="AO436" s="332"/>
      <c r="AP436" s="332"/>
      <c r="AQ436" s="332"/>
      <c r="AR436" s="332"/>
      <c r="AS436" s="332"/>
      <c r="AT436" s="332"/>
      <c r="AU436" s="332"/>
      <c r="AV436" s="332"/>
      <c r="AW436" s="332"/>
      <c r="AX436" s="332"/>
      <c r="AY436" s="332"/>
      <c r="AZ436" s="332"/>
      <c r="BA436" s="332"/>
      <c r="BB436" s="332"/>
      <c r="BC436" s="332"/>
      <c r="BD436" s="332"/>
      <c r="BE436" s="332"/>
      <c r="BF436" s="332"/>
      <c r="BG436" s="332"/>
      <c r="BH436" s="332"/>
      <c r="BI436" s="332"/>
      <c r="BJ436" s="332"/>
      <c r="BK436" s="332"/>
      <c r="BL436" s="332"/>
      <c r="BM436" s="332"/>
      <c r="BN436" s="332"/>
      <c r="BO436" s="332"/>
      <c r="BP436" s="332"/>
      <c r="BQ436" s="332"/>
      <c r="BR436" s="332"/>
      <c r="BS436" s="332"/>
      <c r="BT436" s="332"/>
      <c r="BU436" s="332"/>
      <c r="BV436" s="332"/>
      <c r="BW436" s="332"/>
      <c r="BX436" s="332"/>
      <c r="BY436" s="332"/>
      <c r="BZ436" s="332"/>
      <c r="CA436" s="332"/>
      <c r="CB436" s="332"/>
      <c r="CC436" s="332"/>
      <c r="CD436" s="332"/>
      <c r="CE436" s="332"/>
      <c r="CF436" s="332"/>
      <c r="CG436" s="332"/>
      <c r="CH436" s="332"/>
      <c r="CI436" s="332"/>
      <c r="CJ436" s="332"/>
      <c r="CK436" s="332"/>
      <c r="CL436" s="332"/>
      <c r="CM436" s="332"/>
      <c r="CN436" s="332"/>
      <c r="CO436" s="332"/>
      <c r="CP436" s="332"/>
      <c r="CQ436" s="332"/>
      <c r="CR436" s="332"/>
      <c r="CS436" s="332"/>
      <c r="CT436" s="332"/>
      <c r="CU436" s="332"/>
      <c r="CV436" s="332"/>
      <c r="CW436" s="332"/>
      <c r="CX436" s="332"/>
      <c r="CY436" s="332"/>
      <c r="CZ436" s="332"/>
      <c r="DA436" s="332"/>
      <c r="DB436" s="332"/>
      <c r="DC436" s="332"/>
      <c r="DD436" s="332"/>
      <c r="DE436" s="332"/>
      <c r="DF436" s="332"/>
      <c r="DG436" s="332"/>
      <c r="DH436" s="332"/>
      <c r="DI436" s="332"/>
      <c r="DJ436" s="332"/>
      <c r="DK436" s="332"/>
      <c r="DL436" s="332"/>
      <c r="DM436" s="332"/>
      <c r="DN436" s="332"/>
      <c r="DO436" s="332"/>
      <c r="DP436" s="332"/>
      <c r="DQ436" s="332"/>
      <c r="DR436" s="332"/>
      <c r="DS436" s="332"/>
      <c r="DT436" s="332"/>
      <c r="DU436" s="453"/>
      <c r="DV436" s="453"/>
      <c r="DW436" s="453"/>
      <c r="DX436" s="453"/>
      <c r="DY436" s="453"/>
      <c r="DZ436" s="453"/>
      <c r="EA436" s="453"/>
      <c r="EB436" s="483">
        <v>35</v>
      </c>
      <c r="EC436" s="599"/>
      <c r="ED436" s="851"/>
      <c r="EE436" s="852"/>
      <c r="EF436" s="771"/>
      <c r="EG436" s="853"/>
      <c r="EH436" s="854"/>
      <c r="EI436" s="600"/>
      <c r="EJ436" s="453"/>
      <c r="EK436" s="453"/>
      <c r="EL436" s="453"/>
      <c r="EM436" s="483">
        <f t="shared" si="213"/>
        <v>127</v>
      </c>
      <c r="EN436" s="485"/>
      <c r="EO436" s="804"/>
      <c r="EP436" s="805"/>
      <c r="EQ436" s="806"/>
      <c r="ER436" s="808"/>
      <c r="ES436" s="881">
        <f t="shared" si="214"/>
        <v>0</v>
      </c>
      <c r="ET436" s="882"/>
      <c r="EU436" s="883"/>
      <c r="EV436" s="884">
        <f t="shared" si="212"/>
        <v>0</v>
      </c>
      <c r="EW436" s="885"/>
      <c r="EX436" s="885"/>
      <c r="EY436" s="885"/>
      <c r="EZ436" s="885"/>
      <c r="FA436" s="885"/>
      <c r="FB436" s="885"/>
      <c r="FC436" s="885"/>
      <c r="FD436" s="886"/>
      <c r="FE436" s="878"/>
      <c r="FF436" s="878"/>
      <c r="FG436" s="878"/>
      <c r="FH436" s="878"/>
      <c r="FI436" s="878"/>
      <c r="FJ436" s="878"/>
      <c r="FK436" s="878"/>
      <c r="FL436" s="555"/>
      <c r="FM436" s="554"/>
      <c r="FN436" s="554"/>
      <c r="FO436" s="554"/>
      <c r="FP436" s="554"/>
      <c r="FQ436" s="554"/>
      <c r="FR436" s="554"/>
      <c r="FS436" s="554"/>
      <c r="FT436" s="554"/>
      <c r="FU436" s="554"/>
      <c r="FV436" s="554"/>
      <c r="FW436" s="554"/>
      <c r="FX436" s="554"/>
      <c r="FY436" s="554"/>
      <c r="FZ436" s="554"/>
      <c r="GA436" s="554"/>
      <c r="GB436" s="556"/>
      <c r="GC436" s="370"/>
      <c r="GD436" s="453"/>
      <c r="GE436" s="453"/>
      <c r="GF436" s="453"/>
      <c r="GG436" s="453"/>
      <c r="GH436" s="454"/>
      <c r="GI436" s="453"/>
      <c r="GJ436" s="453"/>
      <c r="GK436" s="453"/>
      <c r="GL436" s="453"/>
      <c r="GM436" s="453"/>
      <c r="GN436" s="453"/>
      <c r="GO436" s="453"/>
      <c r="GP436" s="453"/>
      <c r="GQ436" s="453"/>
      <c r="GR436" s="453"/>
      <c r="GS436" s="561"/>
      <c r="GT436" s="475"/>
      <c r="GU436" s="472"/>
      <c r="GV436" s="453"/>
      <c r="GW436" s="453"/>
      <c r="GX436" s="869"/>
      <c r="GY436" s="870"/>
      <c r="GZ436" s="867"/>
      <c r="HA436" s="868"/>
      <c r="HB436" s="473"/>
      <c r="HC436" s="869"/>
      <c r="HD436" s="870"/>
      <c r="HE436" s="867"/>
      <c r="HF436" s="868"/>
      <c r="HG436" s="473"/>
      <c r="HH436" s="867"/>
      <c r="HI436" s="868"/>
      <c r="HJ436" s="867"/>
      <c r="HK436" s="868"/>
      <c r="HL436" s="370"/>
      <c r="HM436" s="865"/>
      <c r="HN436" s="866"/>
      <c r="HO436" s="865"/>
      <c r="HP436" s="866"/>
      <c r="HQ436" s="865"/>
      <c r="HR436" s="866"/>
      <c r="HS436" s="867"/>
      <c r="HT436" s="868"/>
      <c r="HU436" s="489"/>
      <c r="HV436" s="865"/>
      <c r="HW436" s="866"/>
    </row>
    <row r="437" spans="25:231" ht="15" customHeight="1">
      <c r="Y437" s="332"/>
      <c r="Z437" s="332"/>
      <c r="AA437" s="332"/>
      <c r="AB437" s="332"/>
      <c r="AC437" s="332"/>
      <c r="AD437" s="332"/>
      <c r="AE437" s="332"/>
      <c r="AF437" s="332"/>
      <c r="AG437" s="332"/>
      <c r="AH437" s="332"/>
      <c r="AI437" s="332"/>
      <c r="AJ437" s="332"/>
      <c r="AK437" s="332"/>
      <c r="AL437" s="332"/>
      <c r="AM437" s="332"/>
      <c r="AN437" s="332"/>
      <c r="AO437" s="332"/>
      <c r="AP437" s="332"/>
      <c r="AQ437" s="332"/>
      <c r="AR437" s="332"/>
      <c r="AS437" s="332"/>
      <c r="AT437" s="332"/>
      <c r="AU437" s="332"/>
      <c r="AV437" s="332"/>
      <c r="AW437" s="332"/>
      <c r="AX437" s="332"/>
      <c r="AY437" s="332"/>
      <c r="AZ437" s="332"/>
      <c r="BA437" s="332"/>
      <c r="BB437" s="332"/>
      <c r="BC437" s="332"/>
      <c r="BD437" s="332"/>
      <c r="BE437" s="332"/>
      <c r="BF437" s="332"/>
      <c r="BG437" s="332"/>
      <c r="BH437" s="332"/>
      <c r="BI437" s="332"/>
      <c r="BJ437" s="332"/>
      <c r="BK437" s="332"/>
      <c r="BL437" s="332"/>
      <c r="BM437" s="332"/>
      <c r="BN437" s="332"/>
      <c r="BO437" s="332"/>
      <c r="BP437" s="332"/>
      <c r="BQ437" s="332"/>
      <c r="BR437" s="332"/>
      <c r="BS437" s="332"/>
      <c r="BT437" s="332"/>
      <c r="BU437" s="332"/>
      <c r="BV437" s="332"/>
      <c r="BW437" s="332"/>
      <c r="BX437" s="332"/>
      <c r="BY437" s="332"/>
      <c r="BZ437" s="332"/>
      <c r="CA437" s="332"/>
      <c r="CB437" s="332"/>
      <c r="CC437" s="332"/>
      <c r="CD437" s="332"/>
      <c r="CE437" s="332"/>
      <c r="CF437" s="332"/>
      <c r="CG437" s="332"/>
      <c r="CH437" s="332"/>
      <c r="CI437" s="332"/>
      <c r="CJ437" s="332"/>
      <c r="CK437" s="332"/>
      <c r="CL437" s="332"/>
      <c r="CM437" s="332"/>
      <c r="CN437" s="332"/>
      <c r="CO437" s="332"/>
      <c r="CP437" s="332"/>
      <c r="CQ437" s="332"/>
      <c r="CR437" s="332"/>
      <c r="CS437" s="332"/>
      <c r="CT437" s="332"/>
      <c r="CU437" s="332"/>
      <c r="CV437" s="332"/>
      <c r="CW437" s="332"/>
      <c r="CX437" s="332"/>
      <c r="CY437" s="332"/>
      <c r="CZ437" s="332"/>
      <c r="DA437" s="332"/>
      <c r="DB437" s="332"/>
      <c r="DC437" s="332"/>
      <c r="DD437" s="332"/>
      <c r="DE437" s="332"/>
      <c r="DF437" s="332"/>
      <c r="DG437" s="332"/>
      <c r="DH437" s="332"/>
      <c r="DI437" s="332"/>
      <c r="DJ437" s="332"/>
      <c r="DK437" s="332"/>
      <c r="DL437" s="332"/>
      <c r="DM437" s="332"/>
      <c r="DN437" s="332"/>
      <c r="DO437" s="332"/>
      <c r="DP437" s="332"/>
      <c r="DQ437" s="332"/>
      <c r="DR437" s="332"/>
      <c r="DS437" s="332"/>
      <c r="DT437" s="332"/>
      <c r="DU437" s="453"/>
      <c r="DV437" s="453"/>
      <c r="DW437" s="453"/>
      <c r="DX437" s="453"/>
      <c r="DY437" s="453"/>
      <c r="DZ437" s="453"/>
      <c r="EA437" s="453"/>
      <c r="EB437" s="483">
        <v>36</v>
      </c>
      <c r="EC437" s="599"/>
      <c r="ED437" s="851"/>
      <c r="EE437" s="852"/>
      <c r="EF437" s="771"/>
      <c r="EG437" s="853"/>
      <c r="EH437" s="854"/>
      <c r="EI437" s="600"/>
      <c r="EJ437" s="453"/>
      <c r="EK437" s="453"/>
      <c r="EL437" s="453"/>
      <c r="EM437" s="483">
        <f t="shared" si="213"/>
        <v>128</v>
      </c>
      <c r="EN437" s="485"/>
      <c r="EO437" s="804"/>
      <c r="EP437" s="805"/>
      <c r="EQ437" s="806"/>
      <c r="ER437" s="808"/>
      <c r="ES437" s="881">
        <f t="shared" si="214"/>
        <v>0</v>
      </c>
      <c r="ET437" s="882"/>
      <c r="EU437" s="883"/>
      <c r="EV437" s="884">
        <f t="shared" si="212"/>
        <v>0</v>
      </c>
      <c r="EW437" s="885"/>
      <c r="EX437" s="885"/>
      <c r="EY437" s="885"/>
      <c r="EZ437" s="885"/>
      <c r="FA437" s="885"/>
      <c r="FB437" s="885"/>
      <c r="FC437" s="885"/>
      <c r="FD437" s="886"/>
      <c r="FE437" s="878"/>
      <c r="FF437" s="878"/>
      <c r="FG437" s="878"/>
      <c r="FH437" s="878"/>
      <c r="FI437" s="878"/>
      <c r="FJ437" s="878"/>
      <c r="FK437" s="878"/>
      <c r="FL437" s="555"/>
      <c r="FM437" s="554"/>
      <c r="FN437" s="554"/>
      <c r="FO437" s="554"/>
      <c r="FP437" s="554"/>
      <c r="FQ437" s="554"/>
      <c r="FR437" s="554"/>
      <c r="FS437" s="554"/>
      <c r="FT437" s="554"/>
      <c r="FU437" s="554"/>
      <c r="FV437" s="554"/>
      <c r="FW437" s="554"/>
      <c r="FX437" s="554"/>
      <c r="FY437" s="554"/>
      <c r="FZ437" s="554"/>
      <c r="GA437" s="554"/>
      <c r="GB437" s="556"/>
      <c r="GC437" s="370"/>
      <c r="GD437" s="453"/>
      <c r="GE437" s="453"/>
      <c r="GF437" s="453"/>
      <c r="GG437" s="453"/>
      <c r="GH437" s="454"/>
      <c r="GI437" s="453"/>
      <c r="GJ437" s="453"/>
      <c r="GK437" s="453"/>
      <c r="GL437" s="453"/>
      <c r="GM437" s="453"/>
      <c r="GN437" s="453"/>
      <c r="GO437" s="453"/>
      <c r="GP437" s="453"/>
      <c r="GQ437" s="453"/>
      <c r="GR437" s="453"/>
      <c r="GS437" s="561"/>
      <c r="GT437" s="475"/>
      <c r="GU437" s="472"/>
      <c r="GV437" s="453"/>
      <c r="GW437" s="453"/>
      <c r="GX437" s="869"/>
      <c r="GY437" s="870"/>
      <c r="GZ437" s="867"/>
      <c r="HA437" s="868"/>
      <c r="HB437" s="473"/>
      <c r="HC437" s="869"/>
      <c r="HD437" s="870"/>
      <c r="HE437" s="867"/>
      <c r="HF437" s="868"/>
      <c r="HG437" s="473"/>
      <c r="HH437" s="867"/>
      <c r="HI437" s="868"/>
      <c r="HJ437" s="867"/>
      <c r="HK437" s="868"/>
      <c r="HL437" s="370"/>
      <c r="HM437" s="865"/>
      <c r="HN437" s="866"/>
      <c r="HO437" s="865"/>
      <c r="HP437" s="866"/>
      <c r="HQ437" s="865"/>
      <c r="HR437" s="866"/>
      <c r="HS437" s="867"/>
      <c r="HT437" s="868"/>
      <c r="HU437" s="489"/>
      <c r="HV437" s="865"/>
      <c r="HW437" s="866"/>
    </row>
    <row r="438" spans="25:231" ht="15" customHeight="1">
      <c r="Y438" s="332"/>
      <c r="Z438" s="332"/>
      <c r="AA438" s="332"/>
      <c r="AB438" s="332"/>
      <c r="AC438" s="332"/>
      <c r="AD438" s="332"/>
      <c r="AE438" s="332"/>
      <c r="AF438" s="332"/>
      <c r="AG438" s="332"/>
      <c r="AH438" s="332"/>
      <c r="AI438" s="332"/>
      <c r="AJ438" s="332"/>
      <c r="AK438" s="332"/>
      <c r="AL438" s="332"/>
      <c r="AM438" s="332"/>
      <c r="AN438" s="332"/>
      <c r="AO438" s="332"/>
      <c r="AP438" s="332"/>
      <c r="AQ438" s="332"/>
      <c r="AR438" s="332"/>
      <c r="AS438" s="332"/>
      <c r="AT438" s="332"/>
      <c r="AU438" s="332"/>
      <c r="AV438" s="332"/>
      <c r="AW438" s="332"/>
      <c r="AX438" s="332"/>
      <c r="AY438" s="332"/>
      <c r="AZ438" s="332"/>
      <c r="BA438" s="332"/>
      <c r="BB438" s="332"/>
      <c r="BC438" s="332"/>
      <c r="BD438" s="332"/>
      <c r="BE438" s="332"/>
      <c r="BF438" s="332"/>
      <c r="BG438" s="332"/>
      <c r="BH438" s="332"/>
      <c r="BI438" s="332"/>
      <c r="BJ438" s="332"/>
      <c r="BK438" s="332"/>
      <c r="BL438" s="332"/>
      <c r="BM438" s="332"/>
      <c r="BN438" s="332"/>
      <c r="BO438" s="332"/>
      <c r="BP438" s="332"/>
      <c r="BQ438" s="332"/>
      <c r="BR438" s="332"/>
      <c r="BS438" s="332"/>
      <c r="BT438" s="332"/>
      <c r="BU438" s="332"/>
      <c r="BV438" s="332"/>
      <c r="BW438" s="332"/>
      <c r="BX438" s="332"/>
      <c r="BY438" s="332"/>
      <c r="BZ438" s="332"/>
      <c r="CA438" s="332"/>
      <c r="CB438" s="332"/>
      <c r="CC438" s="332"/>
      <c r="CD438" s="332"/>
      <c r="CE438" s="332"/>
      <c r="CF438" s="332"/>
      <c r="CG438" s="332"/>
      <c r="CH438" s="332"/>
      <c r="CI438" s="332"/>
      <c r="CJ438" s="332"/>
      <c r="CK438" s="332"/>
      <c r="CL438" s="332"/>
      <c r="CM438" s="332"/>
      <c r="CN438" s="332"/>
      <c r="CO438" s="332"/>
      <c r="CP438" s="332"/>
      <c r="CQ438" s="332"/>
      <c r="CR438" s="332"/>
      <c r="CS438" s="332"/>
      <c r="CT438" s="332"/>
      <c r="CU438" s="332"/>
      <c r="CV438" s="332"/>
      <c r="CW438" s="332"/>
      <c r="CX438" s="332"/>
      <c r="CY438" s="332"/>
      <c r="CZ438" s="332"/>
      <c r="DA438" s="332"/>
      <c r="DB438" s="332"/>
      <c r="DC438" s="332"/>
      <c r="DD438" s="332"/>
      <c r="DE438" s="332"/>
      <c r="DF438" s="332"/>
      <c r="DG438" s="332"/>
      <c r="DH438" s="332"/>
      <c r="DI438" s="332"/>
      <c r="DJ438" s="332"/>
      <c r="DK438" s="332"/>
      <c r="DL438" s="332"/>
      <c r="DM438" s="332"/>
      <c r="DN438" s="332"/>
      <c r="DO438" s="332"/>
      <c r="DP438" s="332"/>
      <c r="DQ438" s="332"/>
      <c r="DR438" s="332"/>
      <c r="DS438" s="332"/>
      <c r="DT438" s="332"/>
      <c r="DU438" s="453"/>
      <c r="DV438" s="453"/>
      <c r="DW438" s="453"/>
      <c r="DX438" s="453"/>
      <c r="DY438" s="453"/>
      <c r="DZ438" s="453"/>
      <c r="EA438" s="453"/>
      <c r="EB438" s="483">
        <v>37</v>
      </c>
      <c r="EC438" s="599"/>
      <c r="ED438" s="851"/>
      <c r="EE438" s="852"/>
      <c r="EF438" s="771"/>
      <c r="EG438" s="853"/>
      <c r="EH438" s="854"/>
      <c r="EI438" s="600"/>
      <c r="EJ438" s="453"/>
      <c r="EK438" s="453"/>
      <c r="EL438" s="453"/>
      <c r="EM438" s="483">
        <f t="shared" si="213"/>
        <v>129</v>
      </c>
      <c r="EN438" s="485"/>
      <c r="EO438" s="804"/>
      <c r="EP438" s="805"/>
      <c r="EQ438" s="806"/>
      <c r="ER438" s="808"/>
      <c r="ES438" s="881">
        <f t="shared" si="214"/>
        <v>0</v>
      </c>
      <c r="ET438" s="882"/>
      <c r="EU438" s="883"/>
      <c r="EV438" s="884">
        <f t="shared" ref="EV438:EV501" si="217">+IF(OR(EO438 = "", EP438 = 0, EP438 = "", EQ438 = 0, EQ438 = "", ER438 = 0, ER438 = ""), 0,
IF(EO438 &lt;&gt; "ACCION",
IF(EP438 &gt; 0, EP438 * ER438 * -100 * ( 1 + COMIS_OPCION), EP438 * ER438 * -100 * ( 1 - COMIS_OPCION)),
IF(EP438 &gt; 0, EP438 * ER438 * -1 * ( 1 + COMIS_ACCION), EP438 * ER438 * -1 * ( 1 - COMIS_ACCION))  ))</f>
        <v>0</v>
      </c>
      <c r="EW438" s="885"/>
      <c r="EX438" s="885"/>
      <c r="EY438" s="885"/>
      <c r="EZ438" s="885"/>
      <c r="FA438" s="885"/>
      <c r="FB438" s="885"/>
      <c r="FC438" s="885"/>
      <c r="FD438" s="886"/>
      <c r="FE438" s="878"/>
      <c r="FF438" s="878"/>
      <c r="FG438" s="878"/>
      <c r="FH438" s="878"/>
      <c r="FI438" s="878"/>
      <c r="FJ438" s="878"/>
      <c r="FK438" s="878"/>
      <c r="FL438" s="555"/>
      <c r="FM438" s="554"/>
      <c r="FN438" s="554"/>
      <c r="FO438" s="554"/>
      <c r="FP438" s="554"/>
      <c r="FQ438" s="554"/>
      <c r="FR438" s="554"/>
      <c r="FS438" s="554"/>
      <c r="FT438" s="554"/>
      <c r="FU438" s="554"/>
      <c r="FV438" s="554"/>
      <c r="FW438" s="554"/>
      <c r="FX438" s="554"/>
      <c r="FY438" s="554"/>
      <c r="FZ438" s="554"/>
      <c r="GA438" s="554"/>
      <c r="GB438" s="556"/>
      <c r="GC438" s="370"/>
      <c r="GD438" s="453"/>
      <c r="GE438" s="453"/>
      <c r="GF438" s="453"/>
      <c r="GG438" s="453"/>
      <c r="GH438" s="454"/>
      <c r="GI438" s="453"/>
      <c r="GJ438" s="453"/>
      <c r="GK438" s="453"/>
      <c r="GL438" s="453"/>
      <c r="GM438" s="453"/>
      <c r="GN438" s="453"/>
      <c r="GO438" s="453"/>
      <c r="GP438" s="453"/>
      <c r="GQ438" s="453"/>
      <c r="GR438" s="453"/>
      <c r="GS438" s="561"/>
      <c r="GT438" s="475"/>
      <c r="GU438" s="472"/>
      <c r="GV438" s="453"/>
      <c r="GW438" s="453"/>
      <c r="GX438" s="869"/>
      <c r="GY438" s="870"/>
      <c r="GZ438" s="867"/>
      <c r="HA438" s="868"/>
      <c r="HB438" s="473"/>
      <c r="HC438" s="869"/>
      <c r="HD438" s="870"/>
      <c r="HE438" s="867"/>
      <c r="HF438" s="868"/>
      <c r="HG438" s="473"/>
      <c r="HH438" s="867"/>
      <c r="HI438" s="868"/>
      <c r="HJ438" s="867"/>
      <c r="HK438" s="868"/>
      <c r="HL438" s="370"/>
      <c r="HM438" s="865"/>
      <c r="HN438" s="866"/>
      <c r="HO438" s="865"/>
      <c r="HP438" s="866"/>
      <c r="HQ438" s="865"/>
      <c r="HR438" s="866"/>
      <c r="HS438" s="867"/>
      <c r="HT438" s="868"/>
      <c r="HU438" s="489"/>
      <c r="HV438" s="865"/>
      <c r="HW438" s="866"/>
    </row>
    <row r="439" spans="25:231" ht="15" customHeight="1">
      <c r="Y439" s="332"/>
      <c r="Z439" s="332"/>
      <c r="AA439" s="332"/>
      <c r="AB439" s="332"/>
      <c r="AC439" s="332"/>
      <c r="AD439" s="332"/>
      <c r="AE439" s="332"/>
      <c r="AF439" s="332"/>
      <c r="AG439" s="332"/>
      <c r="AH439" s="332"/>
      <c r="AI439" s="332"/>
      <c r="AJ439" s="332"/>
      <c r="AK439" s="332"/>
      <c r="AL439" s="332"/>
      <c r="AM439" s="332"/>
      <c r="AN439" s="332"/>
      <c r="AO439" s="332"/>
      <c r="AP439" s="332"/>
      <c r="AQ439" s="332"/>
      <c r="AR439" s="332"/>
      <c r="AS439" s="332"/>
      <c r="AT439" s="332"/>
      <c r="AU439" s="332"/>
      <c r="AV439" s="332"/>
      <c r="AW439" s="332"/>
      <c r="AX439" s="332"/>
      <c r="AY439" s="332"/>
      <c r="AZ439" s="332"/>
      <c r="BA439" s="332"/>
      <c r="BB439" s="332"/>
      <c r="BC439" s="332"/>
      <c r="BD439" s="332"/>
      <c r="BE439" s="332"/>
      <c r="BF439" s="332"/>
      <c r="BG439" s="332"/>
      <c r="BH439" s="332"/>
      <c r="BI439" s="332"/>
      <c r="BJ439" s="332"/>
      <c r="BK439" s="332"/>
      <c r="BL439" s="332"/>
      <c r="BM439" s="332"/>
      <c r="BN439" s="332"/>
      <c r="BO439" s="332"/>
      <c r="BP439" s="332"/>
      <c r="BQ439" s="332"/>
      <c r="BR439" s="332"/>
      <c r="BS439" s="332"/>
      <c r="BT439" s="332"/>
      <c r="BU439" s="332"/>
      <c r="BV439" s="332"/>
      <c r="BW439" s="332"/>
      <c r="BX439" s="332"/>
      <c r="BY439" s="332"/>
      <c r="BZ439" s="332"/>
      <c r="CA439" s="332"/>
      <c r="CB439" s="332"/>
      <c r="CC439" s="332"/>
      <c r="CD439" s="332"/>
      <c r="CE439" s="332"/>
      <c r="CF439" s="332"/>
      <c r="CG439" s="332"/>
      <c r="CH439" s="332"/>
      <c r="CI439" s="332"/>
      <c r="CJ439" s="332"/>
      <c r="CK439" s="332"/>
      <c r="CL439" s="332"/>
      <c r="CM439" s="332"/>
      <c r="CN439" s="332"/>
      <c r="CO439" s="332"/>
      <c r="CP439" s="332"/>
      <c r="CQ439" s="332"/>
      <c r="CR439" s="332"/>
      <c r="CS439" s="332"/>
      <c r="CT439" s="332"/>
      <c r="CU439" s="332"/>
      <c r="CV439" s="332"/>
      <c r="CW439" s="332"/>
      <c r="CX439" s="332"/>
      <c r="CY439" s="332"/>
      <c r="CZ439" s="332"/>
      <c r="DA439" s="332"/>
      <c r="DB439" s="332"/>
      <c r="DC439" s="332"/>
      <c r="DD439" s="332"/>
      <c r="DE439" s="332"/>
      <c r="DF439" s="332"/>
      <c r="DG439" s="332"/>
      <c r="DH439" s="332"/>
      <c r="DI439" s="332"/>
      <c r="DJ439" s="332"/>
      <c r="DK439" s="332"/>
      <c r="DL439" s="332"/>
      <c r="DM439" s="332"/>
      <c r="DN439" s="332"/>
      <c r="DO439" s="332"/>
      <c r="DP439" s="332"/>
      <c r="DQ439" s="332"/>
      <c r="DR439" s="332"/>
      <c r="DS439" s="332"/>
      <c r="DT439" s="332"/>
      <c r="DU439" s="453"/>
      <c r="DV439" s="453"/>
      <c r="DW439" s="453"/>
      <c r="DX439" s="453"/>
      <c r="DY439" s="453"/>
      <c r="DZ439" s="453"/>
      <c r="EA439" s="453"/>
      <c r="EB439" s="483">
        <v>38</v>
      </c>
      <c r="EC439" s="599"/>
      <c r="ED439" s="851"/>
      <c r="EE439" s="852"/>
      <c r="EF439" s="771"/>
      <c r="EG439" s="853"/>
      <c r="EH439" s="854"/>
      <c r="EI439" s="600"/>
      <c r="EJ439" s="453"/>
      <c r="EK439" s="453"/>
      <c r="EL439" s="453"/>
      <c r="EM439" s="483">
        <f t="shared" si="213"/>
        <v>130</v>
      </c>
      <c r="EN439" s="485"/>
      <c r="EO439" s="804"/>
      <c r="EP439" s="805"/>
      <c r="EQ439" s="806"/>
      <c r="ER439" s="808"/>
      <c r="ES439" s="881">
        <f t="shared" si="214"/>
        <v>0</v>
      </c>
      <c r="ET439" s="882"/>
      <c r="EU439" s="883"/>
      <c r="EV439" s="884">
        <f t="shared" si="217"/>
        <v>0</v>
      </c>
      <c r="EW439" s="885"/>
      <c r="EX439" s="885"/>
      <c r="EY439" s="885"/>
      <c r="EZ439" s="885"/>
      <c r="FA439" s="885"/>
      <c r="FB439" s="885"/>
      <c r="FC439" s="885"/>
      <c r="FD439" s="886"/>
      <c r="FE439" s="878"/>
      <c r="FF439" s="878"/>
      <c r="FG439" s="878"/>
      <c r="FH439" s="878"/>
      <c r="FI439" s="878"/>
      <c r="FJ439" s="878"/>
      <c r="FK439" s="878"/>
      <c r="FL439" s="555"/>
      <c r="FM439" s="554"/>
      <c r="FN439" s="554"/>
      <c r="FO439" s="554"/>
      <c r="FP439" s="554"/>
      <c r="FQ439" s="554"/>
      <c r="FR439" s="554"/>
      <c r="FS439" s="554"/>
      <c r="FT439" s="554"/>
      <c r="FU439" s="554"/>
      <c r="FV439" s="554"/>
      <c r="FW439" s="554"/>
      <c r="FX439" s="554"/>
      <c r="FY439" s="554"/>
      <c r="FZ439" s="554"/>
      <c r="GA439" s="554"/>
      <c r="GB439" s="556"/>
      <c r="GC439" s="370"/>
      <c r="GD439" s="453"/>
      <c r="GE439" s="453"/>
      <c r="GF439" s="453"/>
      <c r="GG439" s="453"/>
      <c r="GH439" s="454"/>
      <c r="GI439" s="453"/>
      <c r="GJ439" s="453"/>
      <c r="GK439" s="453"/>
      <c r="GL439" s="453"/>
      <c r="GM439" s="453"/>
      <c r="GN439" s="453"/>
      <c r="GO439" s="453"/>
      <c r="GP439" s="453"/>
      <c r="GQ439" s="453"/>
      <c r="GR439" s="453"/>
      <c r="GS439" s="561"/>
      <c r="GT439" s="475"/>
      <c r="GU439" s="472"/>
      <c r="GV439" s="453"/>
      <c r="GW439" s="453"/>
      <c r="GX439" s="869"/>
      <c r="GY439" s="870"/>
      <c r="GZ439" s="867"/>
      <c r="HA439" s="868"/>
      <c r="HB439" s="473"/>
      <c r="HC439" s="869"/>
      <c r="HD439" s="870"/>
      <c r="HE439" s="867"/>
      <c r="HF439" s="868"/>
      <c r="HG439" s="473"/>
      <c r="HH439" s="867"/>
      <c r="HI439" s="868"/>
      <c r="HJ439" s="867"/>
      <c r="HK439" s="868"/>
      <c r="HL439" s="370"/>
      <c r="HM439" s="865"/>
      <c r="HN439" s="866"/>
      <c r="HO439" s="865"/>
      <c r="HP439" s="866"/>
      <c r="HQ439" s="865"/>
      <c r="HR439" s="866"/>
      <c r="HS439" s="867"/>
      <c r="HT439" s="868"/>
      <c r="HU439" s="489"/>
      <c r="HV439" s="865"/>
      <c r="HW439" s="866"/>
    </row>
    <row r="440" spans="25:231" ht="15" customHeight="1">
      <c r="Y440" s="332"/>
      <c r="Z440" s="332"/>
      <c r="AA440" s="332"/>
      <c r="AB440" s="332"/>
      <c r="AC440" s="332"/>
      <c r="AD440" s="332"/>
      <c r="AE440" s="332"/>
      <c r="AF440" s="332"/>
      <c r="AG440" s="332"/>
      <c r="AH440" s="332"/>
      <c r="AI440" s="332"/>
      <c r="AJ440" s="332"/>
      <c r="AK440" s="332"/>
      <c r="AL440" s="332"/>
      <c r="AM440" s="332"/>
      <c r="AN440" s="332"/>
      <c r="AO440" s="332"/>
      <c r="AP440" s="332"/>
      <c r="AQ440" s="332"/>
      <c r="AR440" s="332"/>
      <c r="AS440" s="332"/>
      <c r="AT440" s="332"/>
      <c r="AU440" s="332"/>
      <c r="AV440" s="332"/>
      <c r="AW440" s="332"/>
      <c r="AX440" s="332"/>
      <c r="AY440" s="332"/>
      <c r="AZ440" s="332"/>
      <c r="BA440" s="332"/>
      <c r="BB440" s="332"/>
      <c r="BC440" s="332"/>
      <c r="BD440" s="332"/>
      <c r="BE440" s="332"/>
      <c r="BF440" s="332"/>
      <c r="BG440" s="332"/>
      <c r="BH440" s="332"/>
      <c r="BI440" s="332"/>
      <c r="BJ440" s="332"/>
      <c r="BK440" s="332"/>
      <c r="BL440" s="332"/>
      <c r="BM440" s="332"/>
      <c r="BN440" s="332"/>
      <c r="BO440" s="332"/>
      <c r="BP440" s="332"/>
      <c r="BQ440" s="332"/>
      <c r="BR440" s="332"/>
      <c r="BS440" s="332"/>
      <c r="BT440" s="332"/>
      <c r="BU440" s="332"/>
      <c r="BV440" s="332"/>
      <c r="BW440" s="332"/>
      <c r="BX440" s="332"/>
      <c r="BY440" s="332"/>
      <c r="BZ440" s="332"/>
      <c r="CA440" s="332"/>
      <c r="CB440" s="332"/>
      <c r="CC440" s="332"/>
      <c r="CD440" s="332"/>
      <c r="CE440" s="332"/>
      <c r="CF440" s="332"/>
      <c r="CG440" s="332"/>
      <c r="CH440" s="332"/>
      <c r="CI440" s="332"/>
      <c r="CJ440" s="332"/>
      <c r="CK440" s="332"/>
      <c r="CL440" s="332"/>
      <c r="CM440" s="332"/>
      <c r="CN440" s="332"/>
      <c r="CO440" s="332"/>
      <c r="CP440" s="332"/>
      <c r="CQ440" s="332"/>
      <c r="CR440" s="332"/>
      <c r="CS440" s="332"/>
      <c r="CT440" s="332"/>
      <c r="CU440" s="332"/>
      <c r="CV440" s="332"/>
      <c r="CW440" s="332"/>
      <c r="CX440" s="332"/>
      <c r="CY440" s="332"/>
      <c r="CZ440" s="332"/>
      <c r="DA440" s="332"/>
      <c r="DB440" s="332"/>
      <c r="DC440" s="332"/>
      <c r="DD440" s="332"/>
      <c r="DE440" s="332"/>
      <c r="DF440" s="332"/>
      <c r="DG440" s="332"/>
      <c r="DH440" s="332"/>
      <c r="DI440" s="332"/>
      <c r="DJ440" s="332"/>
      <c r="DK440" s="332"/>
      <c r="DL440" s="332"/>
      <c r="DM440" s="332"/>
      <c r="DN440" s="332"/>
      <c r="DO440" s="332"/>
      <c r="DP440" s="332"/>
      <c r="DQ440" s="332"/>
      <c r="DR440" s="332"/>
      <c r="DS440" s="332"/>
      <c r="DT440" s="332"/>
      <c r="DU440" s="453"/>
      <c r="DV440" s="453"/>
      <c r="DW440" s="453"/>
      <c r="DX440" s="453"/>
      <c r="DY440" s="453"/>
      <c r="DZ440" s="453"/>
      <c r="EA440" s="453"/>
      <c r="EB440" s="483">
        <v>39</v>
      </c>
      <c r="EC440" s="599"/>
      <c r="ED440" s="851"/>
      <c r="EE440" s="852"/>
      <c r="EF440" s="771"/>
      <c r="EG440" s="853"/>
      <c r="EH440" s="854"/>
      <c r="EI440" s="600"/>
      <c r="EJ440" s="453"/>
      <c r="EK440" s="453"/>
      <c r="EL440" s="453"/>
      <c r="EM440" s="483">
        <f t="shared" ref="EM440:EM503" si="218">+EM439+1</f>
        <v>131</v>
      </c>
      <c r="EN440" s="485"/>
      <c r="EO440" s="804"/>
      <c r="EP440" s="805"/>
      <c r="EQ440" s="806"/>
      <c r="ER440" s="808"/>
      <c r="ES440" s="881">
        <f t="shared" si="214"/>
        <v>0</v>
      </c>
      <c r="ET440" s="882"/>
      <c r="EU440" s="883"/>
      <c r="EV440" s="884">
        <f t="shared" si="217"/>
        <v>0</v>
      </c>
      <c r="EW440" s="885"/>
      <c r="EX440" s="885"/>
      <c r="EY440" s="885"/>
      <c r="EZ440" s="885"/>
      <c r="FA440" s="885"/>
      <c r="FB440" s="885"/>
      <c r="FC440" s="885"/>
      <c r="FD440" s="886"/>
      <c r="FE440" s="878"/>
      <c r="FF440" s="878"/>
      <c r="FG440" s="878"/>
      <c r="FH440" s="878"/>
      <c r="FI440" s="878"/>
      <c r="FJ440" s="878"/>
      <c r="FK440" s="878"/>
      <c r="FL440" s="555"/>
      <c r="FM440" s="554"/>
      <c r="FN440" s="554"/>
      <c r="FO440" s="554"/>
      <c r="FP440" s="554"/>
      <c r="FQ440" s="554"/>
      <c r="FR440" s="554"/>
      <c r="FS440" s="554"/>
      <c r="FT440" s="554"/>
      <c r="FU440" s="554"/>
      <c r="FV440" s="554"/>
      <c r="FW440" s="554"/>
      <c r="FX440" s="554"/>
      <c r="FY440" s="554"/>
      <c r="FZ440" s="554"/>
      <c r="GA440" s="554"/>
      <c r="GB440" s="556"/>
      <c r="GC440" s="370"/>
      <c r="GD440" s="453"/>
      <c r="GE440" s="453"/>
      <c r="GF440" s="453"/>
      <c r="GG440" s="453"/>
      <c r="GH440" s="454"/>
      <c r="GI440" s="453"/>
      <c r="GJ440" s="453"/>
      <c r="GK440" s="453"/>
      <c r="GL440" s="453"/>
      <c r="GM440" s="453"/>
      <c r="GN440" s="453"/>
      <c r="GO440" s="453"/>
      <c r="GP440" s="453"/>
      <c r="GQ440" s="453"/>
      <c r="GR440" s="453"/>
      <c r="GS440" s="561"/>
      <c r="GT440" s="475"/>
      <c r="GU440" s="472"/>
      <c r="GV440" s="453"/>
      <c r="GW440" s="453"/>
      <c r="GX440" s="869"/>
      <c r="GY440" s="870"/>
      <c r="GZ440" s="867"/>
      <c r="HA440" s="868"/>
      <c r="HB440" s="473"/>
      <c r="HC440" s="869"/>
      <c r="HD440" s="870"/>
      <c r="HE440" s="867"/>
      <c r="HF440" s="868"/>
      <c r="HG440" s="473"/>
      <c r="HH440" s="867"/>
      <c r="HI440" s="868"/>
      <c r="HJ440" s="867"/>
      <c r="HK440" s="868"/>
      <c r="HL440" s="370"/>
      <c r="HM440" s="865"/>
      <c r="HN440" s="866"/>
      <c r="HO440" s="865"/>
      <c r="HP440" s="866"/>
      <c r="HQ440" s="865"/>
      <c r="HR440" s="866"/>
      <c r="HS440" s="867"/>
      <c r="HT440" s="868"/>
      <c r="HU440" s="489"/>
      <c r="HV440" s="865"/>
      <c r="HW440" s="866"/>
    </row>
    <row r="441" spans="25:231" ht="15" customHeight="1" thickBot="1">
      <c r="Y441" s="332"/>
      <c r="Z441" s="332"/>
      <c r="AA441" s="332"/>
      <c r="AB441" s="332"/>
      <c r="AC441" s="332"/>
      <c r="AD441" s="332"/>
      <c r="AE441" s="332"/>
      <c r="AF441" s="332"/>
      <c r="AG441" s="332"/>
      <c r="AH441" s="332"/>
      <c r="AI441" s="332"/>
      <c r="AJ441" s="332"/>
      <c r="AK441" s="332"/>
      <c r="AL441" s="332"/>
      <c r="AM441" s="332"/>
      <c r="AN441" s="332"/>
      <c r="AO441" s="332"/>
      <c r="AP441" s="332"/>
      <c r="AQ441" s="332"/>
      <c r="AR441" s="332"/>
      <c r="AS441" s="332"/>
      <c r="AT441" s="332"/>
      <c r="AU441" s="332"/>
      <c r="AV441" s="332"/>
      <c r="AW441" s="332"/>
      <c r="AX441" s="332"/>
      <c r="AY441" s="332"/>
      <c r="AZ441" s="332"/>
      <c r="BA441" s="332"/>
      <c r="BB441" s="332"/>
      <c r="BC441" s="332"/>
      <c r="BD441" s="332"/>
      <c r="BE441" s="332"/>
      <c r="BF441" s="332"/>
      <c r="BG441" s="332"/>
      <c r="BH441" s="332"/>
      <c r="BI441" s="332"/>
      <c r="BJ441" s="332"/>
      <c r="BK441" s="332"/>
      <c r="BL441" s="332"/>
      <c r="BM441" s="332"/>
      <c r="BN441" s="332"/>
      <c r="BO441" s="332"/>
      <c r="BP441" s="332"/>
      <c r="BQ441" s="332"/>
      <c r="BR441" s="332"/>
      <c r="BS441" s="332"/>
      <c r="BT441" s="332"/>
      <c r="BU441" s="332"/>
      <c r="BV441" s="332"/>
      <c r="BW441" s="332"/>
      <c r="BX441" s="332"/>
      <c r="BY441" s="332"/>
      <c r="BZ441" s="332"/>
      <c r="CA441" s="332"/>
      <c r="CB441" s="332"/>
      <c r="CC441" s="332"/>
      <c r="CD441" s="332"/>
      <c r="CE441" s="332"/>
      <c r="CF441" s="332"/>
      <c r="CG441" s="332"/>
      <c r="CH441" s="332"/>
      <c r="CI441" s="332"/>
      <c r="CJ441" s="332"/>
      <c r="CK441" s="332"/>
      <c r="CL441" s="332"/>
      <c r="CM441" s="332"/>
      <c r="CN441" s="332"/>
      <c r="CO441" s="332"/>
      <c r="CP441" s="332"/>
      <c r="CQ441" s="332"/>
      <c r="CR441" s="332"/>
      <c r="CS441" s="332"/>
      <c r="CT441" s="332"/>
      <c r="CU441" s="332"/>
      <c r="CV441" s="332"/>
      <c r="CW441" s="332"/>
      <c r="CX441" s="332"/>
      <c r="CY441" s="332"/>
      <c r="CZ441" s="332"/>
      <c r="DA441" s="332"/>
      <c r="DB441" s="332"/>
      <c r="DC441" s="332"/>
      <c r="DD441" s="332"/>
      <c r="DE441" s="332"/>
      <c r="DF441" s="332"/>
      <c r="DG441" s="332"/>
      <c r="DH441" s="332"/>
      <c r="DI441" s="332"/>
      <c r="DJ441" s="332"/>
      <c r="DK441" s="332"/>
      <c r="DL441" s="332"/>
      <c r="DM441" s="332"/>
      <c r="DN441" s="332"/>
      <c r="DO441" s="332"/>
      <c r="DP441" s="332"/>
      <c r="DQ441" s="332"/>
      <c r="DR441" s="332"/>
      <c r="DS441" s="332"/>
      <c r="DT441" s="332"/>
      <c r="DU441" s="453"/>
      <c r="DV441" s="453"/>
      <c r="DW441" s="453"/>
      <c r="DX441" s="453"/>
      <c r="DY441" s="453"/>
      <c r="DZ441" s="453"/>
      <c r="EA441" s="453"/>
      <c r="EB441" s="483">
        <v>40</v>
      </c>
      <c r="EC441" s="601"/>
      <c r="ED441" s="855"/>
      <c r="EE441" s="856"/>
      <c r="EF441" s="772"/>
      <c r="EG441" s="857"/>
      <c r="EH441" s="858"/>
      <c r="EI441" s="600"/>
      <c r="EJ441" s="453"/>
      <c r="EK441" s="453"/>
      <c r="EL441" s="453"/>
      <c r="EM441" s="483">
        <f t="shared" si="218"/>
        <v>132</v>
      </c>
      <c r="EN441" s="485"/>
      <c r="EO441" s="804"/>
      <c r="EP441" s="805"/>
      <c r="EQ441" s="806"/>
      <c r="ER441" s="808"/>
      <c r="ES441" s="881">
        <f t="shared" si="214"/>
        <v>0</v>
      </c>
      <c r="ET441" s="882"/>
      <c r="EU441" s="883"/>
      <c r="EV441" s="884">
        <f t="shared" si="217"/>
        <v>0</v>
      </c>
      <c r="EW441" s="885"/>
      <c r="EX441" s="885"/>
      <c r="EY441" s="885"/>
      <c r="EZ441" s="885"/>
      <c r="FA441" s="885"/>
      <c r="FB441" s="885"/>
      <c r="FC441" s="885"/>
      <c r="FD441" s="886"/>
      <c r="FE441" s="878"/>
      <c r="FF441" s="878"/>
      <c r="FG441" s="878"/>
      <c r="FH441" s="878"/>
      <c r="FI441" s="878"/>
      <c r="FJ441" s="878"/>
      <c r="FK441" s="878"/>
      <c r="FL441" s="555"/>
      <c r="FM441" s="554"/>
      <c r="FN441" s="554"/>
      <c r="FO441" s="554"/>
      <c r="FP441" s="554"/>
      <c r="FQ441" s="554"/>
      <c r="FR441" s="554"/>
      <c r="FS441" s="554"/>
      <c r="FT441" s="554"/>
      <c r="FU441" s="554"/>
      <c r="FV441" s="554"/>
      <c r="FW441" s="554"/>
      <c r="FX441" s="554"/>
      <c r="FY441" s="554"/>
      <c r="FZ441" s="554"/>
      <c r="GA441" s="554"/>
      <c r="GB441" s="556"/>
      <c r="GC441" s="370"/>
      <c r="GD441" s="453"/>
      <c r="GE441" s="453"/>
      <c r="GF441" s="453"/>
      <c r="GG441" s="453"/>
      <c r="GH441" s="454"/>
      <c r="GI441" s="453"/>
      <c r="GJ441" s="453"/>
      <c r="GK441" s="453"/>
      <c r="GL441" s="453"/>
      <c r="GM441" s="453"/>
      <c r="GN441" s="453"/>
      <c r="GO441" s="453"/>
      <c r="GP441" s="453"/>
      <c r="GQ441" s="453"/>
      <c r="GR441" s="453"/>
      <c r="GS441" s="561"/>
      <c r="GT441" s="475"/>
      <c r="GU441" s="472"/>
      <c r="GV441" s="453"/>
      <c r="GW441" s="453"/>
      <c r="GX441" s="869"/>
      <c r="GY441" s="870"/>
      <c r="GZ441" s="867"/>
      <c r="HA441" s="868"/>
      <c r="HB441" s="473"/>
      <c r="HC441" s="869"/>
      <c r="HD441" s="870"/>
      <c r="HE441" s="867"/>
      <c r="HF441" s="868"/>
      <c r="HG441" s="473"/>
      <c r="HH441" s="867"/>
      <c r="HI441" s="868"/>
      <c r="HJ441" s="867"/>
      <c r="HK441" s="868"/>
      <c r="HL441" s="370"/>
      <c r="HM441" s="865"/>
      <c r="HN441" s="866"/>
      <c r="HO441" s="865"/>
      <c r="HP441" s="866"/>
      <c r="HQ441" s="865"/>
      <c r="HR441" s="866"/>
      <c r="HS441" s="867"/>
      <c r="HT441" s="868"/>
      <c r="HU441" s="489"/>
      <c r="HV441" s="865"/>
      <c r="HW441" s="866"/>
    </row>
    <row r="442" spans="25:231" ht="15" customHeight="1">
      <c r="Y442" s="332"/>
      <c r="Z442" s="332"/>
      <c r="AA442" s="332"/>
      <c r="AB442" s="332"/>
      <c r="AC442" s="332"/>
      <c r="AD442" s="332"/>
      <c r="AE442" s="332"/>
      <c r="AF442" s="332"/>
      <c r="AG442" s="332"/>
      <c r="AH442" s="332"/>
      <c r="AI442" s="332"/>
      <c r="AJ442" s="332"/>
      <c r="AK442" s="332"/>
      <c r="AL442" s="332"/>
      <c r="AM442" s="332"/>
      <c r="AN442" s="332"/>
      <c r="AO442" s="332"/>
      <c r="AP442" s="332"/>
      <c r="AQ442" s="332"/>
      <c r="AR442" s="332"/>
      <c r="AS442" s="332"/>
      <c r="AT442" s="332"/>
      <c r="AU442" s="332"/>
      <c r="AV442" s="332"/>
      <c r="AW442" s="332"/>
      <c r="AX442" s="332"/>
      <c r="AY442" s="332"/>
      <c r="AZ442" s="332"/>
      <c r="BA442" s="332"/>
      <c r="BB442" s="332"/>
      <c r="BC442" s="332"/>
      <c r="BD442" s="332"/>
      <c r="BE442" s="332"/>
      <c r="BF442" s="332"/>
      <c r="BG442" s="332"/>
      <c r="BH442" s="332"/>
      <c r="BI442" s="332"/>
      <c r="BJ442" s="332"/>
      <c r="BK442" s="332"/>
      <c r="BL442" s="332"/>
      <c r="BM442" s="332"/>
      <c r="BN442" s="332"/>
      <c r="BO442" s="332"/>
      <c r="BP442" s="332"/>
      <c r="BQ442" s="332"/>
      <c r="BR442" s="332"/>
      <c r="BS442" s="332"/>
      <c r="BT442" s="332"/>
      <c r="BU442" s="332"/>
      <c r="BV442" s="332"/>
      <c r="BW442" s="332"/>
      <c r="BX442" s="332"/>
      <c r="BY442" s="332"/>
      <c r="BZ442" s="332"/>
      <c r="CA442" s="332"/>
      <c r="CB442" s="332"/>
      <c r="CC442" s="332"/>
      <c r="CD442" s="332"/>
      <c r="CE442" s="332"/>
      <c r="CF442" s="332"/>
      <c r="CG442" s="332"/>
      <c r="CH442" s="332"/>
      <c r="CI442" s="332"/>
      <c r="CJ442" s="332"/>
      <c r="CK442" s="332"/>
      <c r="CL442" s="332"/>
      <c r="CM442" s="332"/>
      <c r="CN442" s="332"/>
      <c r="CO442" s="332"/>
      <c r="CP442" s="332"/>
      <c r="CQ442" s="332"/>
      <c r="CR442" s="332"/>
      <c r="CS442" s="332"/>
      <c r="CT442" s="332"/>
      <c r="CU442" s="332"/>
      <c r="CV442" s="332"/>
      <c r="CW442" s="332"/>
      <c r="CX442" s="332"/>
      <c r="CY442" s="332"/>
      <c r="CZ442" s="332"/>
      <c r="DA442" s="332"/>
      <c r="DB442" s="332"/>
      <c r="DC442" s="332"/>
      <c r="DD442" s="332"/>
      <c r="DE442" s="332"/>
      <c r="DF442" s="332"/>
      <c r="DG442" s="332"/>
      <c r="DH442" s="332"/>
      <c r="DI442" s="332"/>
      <c r="DJ442" s="332"/>
      <c r="DK442" s="332"/>
      <c r="DL442" s="332"/>
      <c r="DM442" s="332"/>
      <c r="DN442" s="332"/>
      <c r="DO442" s="332"/>
      <c r="DP442" s="332"/>
      <c r="DQ442" s="332"/>
      <c r="DR442" s="332"/>
      <c r="DS442" s="332"/>
      <c r="DT442" s="332"/>
      <c r="DU442" s="453"/>
      <c r="DV442" s="453"/>
      <c r="DW442" s="453"/>
      <c r="DX442" s="453"/>
      <c r="DY442" s="453"/>
      <c r="DZ442" s="453"/>
      <c r="EA442" s="453"/>
      <c r="EB442" s="453"/>
      <c r="EC442" s="453"/>
      <c r="ED442" s="453"/>
      <c r="EE442" s="453"/>
      <c r="EF442" s="453"/>
      <c r="EG442" s="453"/>
      <c r="EH442" s="453"/>
      <c r="EI442" s="453"/>
      <c r="EJ442" s="453"/>
      <c r="EK442" s="453"/>
      <c r="EL442" s="453"/>
      <c r="EM442" s="483">
        <f t="shared" si="218"/>
        <v>133</v>
      </c>
      <c r="EN442" s="485"/>
      <c r="EO442" s="804"/>
      <c r="EP442" s="805"/>
      <c r="EQ442" s="806"/>
      <c r="ER442" s="808"/>
      <c r="ES442" s="881">
        <f t="shared" si="214"/>
        <v>0</v>
      </c>
      <c r="ET442" s="882"/>
      <c r="EU442" s="883"/>
      <c r="EV442" s="884">
        <f t="shared" si="217"/>
        <v>0</v>
      </c>
      <c r="EW442" s="885"/>
      <c r="EX442" s="885"/>
      <c r="EY442" s="885"/>
      <c r="EZ442" s="885"/>
      <c r="FA442" s="885"/>
      <c r="FB442" s="885"/>
      <c r="FC442" s="885"/>
      <c r="FD442" s="886"/>
      <c r="FE442" s="878"/>
      <c r="FF442" s="878"/>
      <c r="FG442" s="878"/>
      <c r="FH442" s="878"/>
      <c r="FI442" s="878"/>
      <c r="FJ442" s="878"/>
      <c r="FK442" s="878"/>
      <c r="FL442" s="555"/>
      <c r="FM442" s="554"/>
      <c r="FN442" s="554"/>
      <c r="FO442" s="554"/>
      <c r="FP442" s="554"/>
      <c r="FQ442" s="554"/>
      <c r="FR442" s="554"/>
      <c r="FS442" s="554"/>
      <c r="FT442" s="554"/>
      <c r="FU442" s="554"/>
      <c r="FV442" s="554"/>
      <c r="FW442" s="554"/>
      <c r="FX442" s="554"/>
      <c r="FY442" s="554"/>
      <c r="FZ442" s="554"/>
      <c r="GA442" s="554"/>
      <c r="GB442" s="556"/>
      <c r="GC442" s="370"/>
      <c r="GD442" s="453"/>
      <c r="GE442" s="453"/>
      <c r="GF442" s="453"/>
      <c r="GG442" s="453"/>
      <c r="GH442" s="454"/>
      <c r="GI442" s="453"/>
      <c r="GJ442" s="453"/>
      <c r="GK442" s="453"/>
      <c r="GL442" s="453"/>
      <c r="GM442" s="453"/>
      <c r="GN442" s="453"/>
      <c r="GO442" s="453"/>
      <c r="GP442" s="453"/>
      <c r="GQ442" s="453"/>
      <c r="GR442" s="453"/>
      <c r="GS442" s="561"/>
      <c r="GT442" s="475"/>
      <c r="GU442" s="472"/>
      <c r="GV442" s="453"/>
      <c r="GW442" s="453"/>
      <c r="GX442" s="869"/>
      <c r="GY442" s="870"/>
      <c r="GZ442" s="867"/>
      <c r="HA442" s="868"/>
      <c r="HB442" s="473"/>
      <c r="HC442" s="869"/>
      <c r="HD442" s="870"/>
      <c r="HE442" s="867"/>
      <c r="HF442" s="868"/>
      <c r="HG442" s="473"/>
      <c r="HH442" s="867"/>
      <c r="HI442" s="868"/>
      <c r="HJ442" s="867"/>
      <c r="HK442" s="868"/>
      <c r="HL442" s="370"/>
      <c r="HM442" s="865"/>
      <c r="HN442" s="866"/>
      <c r="HO442" s="865"/>
      <c r="HP442" s="866"/>
      <c r="HQ442" s="865"/>
      <c r="HR442" s="866"/>
      <c r="HS442" s="867"/>
      <c r="HT442" s="868"/>
      <c r="HU442" s="489"/>
      <c r="HV442" s="865"/>
      <c r="HW442" s="866"/>
    </row>
    <row r="443" spans="25:231" ht="15" customHeight="1">
      <c r="Y443" s="332"/>
      <c r="Z443" s="332"/>
      <c r="AA443" s="332"/>
      <c r="AB443" s="332"/>
      <c r="AC443" s="332"/>
      <c r="AD443" s="332"/>
      <c r="AE443" s="332"/>
      <c r="AF443" s="332"/>
      <c r="AG443" s="332"/>
      <c r="AH443" s="332"/>
      <c r="AI443" s="332"/>
      <c r="AJ443" s="332"/>
      <c r="AK443" s="332"/>
      <c r="AL443" s="332"/>
      <c r="AM443" s="332"/>
      <c r="AN443" s="332"/>
      <c r="AO443" s="332"/>
      <c r="AP443" s="332"/>
      <c r="AQ443" s="332"/>
      <c r="AR443" s="332"/>
      <c r="AS443" s="332"/>
      <c r="AT443" s="332"/>
      <c r="AU443" s="332"/>
      <c r="AV443" s="332"/>
      <c r="AW443" s="332"/>
      <c r="AX443" s="332"/>
      <c r="AY443" s="332"/>
      <c r="AZ443" s="332"/>
      <c r="BA443" s="332"/>
      <c r="BB443" s="332"/>
      <c r="BC443" s="332"/>
      <c r="BD443" s="332"/>
      <c r="BE443" s="332"/>
      <c r="BF443" s="332"/>
      <c r="BG443" s="332"/>
      <c r="BH443" s="332"/>
      <c r="BI443" s="332"/>
      <c r="BJ443" s="332"/>
      <c r="BK443" s="332"/>
      <c r="BL443" s="332"/>
      <c r="BM443" s="332"/>
      <c r="BN443" s="332"/>
      <c r="BO443" s="332"/>
      <c r="BP443" s="332"/>
      <c r="BQ443" s="332"/>
      <c r="BR443" s="332"/>
      <c r="BS443" s="332"/>
      <c r="BT443" s="332"/>
      <c r="BU443" s="332"/>
      <c r="BV443" s="332"/>
      <c r="BW443" s="332"/>
      <c r="BX443" s="332"/>
      <c r="BY443" s="332"/>
      <c r="BZ443" s="332"/>
      <c r="CA443" s="332"/>
      <c r="CB443" s="332"/>
      <c r="CC443" s="332"/>
      <c r="CD443" s="332"/>
      <c r="CE443" s="332"/>
      <c r="CF443" s="332"/>
      <c r="CG443" s="332"/>
      <c r="CH443" s="332"/>
      <c r="CI443" s="332"/>
      <c r="CJ443" s="332"/>
      <c r="CK443" s="332"/>
      <c r="CL443" s="332"/>
      <c r="CM443" s="332"/>
      <c r="CN443" s="332"/>
      <c r="CO443" s="332"/>
      <c r="CP443" s="332"/>
      <c r="CQ443" s="332"/>
      <c r="CR443" s="332"/>
      <c r="CS443" s="332"/>
      <c r="CT443" s="332"/>
      <c r="CU443" s="332"/>
      <c r="CV443" s="332"/>
      <c r="CW443" s="332"/>
      <c r="CX443" s="332"/>
      <c r="CY443" s="332"/>
      <c r="CZ443" s="332"/>
      <c r="DA443" s="332"/>
      <c r="DB443" s="332"/>
      <c r="DC443" s="332"/>
      <c r="DD443" s="332"/>
      <c r="DE443" s="332"/>
      <c r="DF443" s="332"/>
      <c r="DG443" s="332"/>
      <c r="DH443" s="332"/>
      <c r="DI443" s="332"/>
      <c r="DJ443" s="332"/>
      <c r="DK443" s="332"/>
      <c r="DL443" s="332"/>
      <c r="DM443" s="332"/>
      <c r="DN443" s="332"/>
      <c r="DO443" s="332"/>
      <c r="DP443" s="332"/>
      <c r="DQ443" s="332"/>
      <c r="DR443" s="332"/>
      <c r="DS443" s="332"/>
      <c r="DT443" s="332"/>
      <c r="DU443" s="453"/>
      <c r="DV443" s="453"/>
      <c r="DW443" s="453"/>
      <c r="DX443" s="453"/>
      <c r="DY443" s="453"/>
      <c r="DZ443" s="453"/>
      <c r="EA443" s="453"/>
      <c r="EB443" s="453"/>
      <c r="EC443" s="453"/>
      <c r="ED443" s="453"/>
      <c r="EE443" s="453"/>
      <c r="EF443" s="453"/>
      <c r="EG443" s="453"/>
      <c r="EH443" s="453"/>
      <c r="EI443" s="453"/>
      <c r="EJ443" s="453"/>
      <c r="EK443" s="453"/>
      <c r="EL443" s="453"/>
      <c r="EM443" s="483">
        <f t="shared" si="218"/>
        <v>134</v>
      </c>
      <c r="EN443" s="485"/>
      <c r="EO443" s="804"/>
      <c r="EP443" s="805"/>
      <c r="EQ443" s="806"/>
      <c r="ER443" s="808"/>
      <c r="ES443" s="881">
        <f t="shared" si="214"/>
        <v>0</v>
      </c>
      <c r="ET443" s="882"/>
      <c r="EU443" s="883"/>
      <c r="EV443" s="884">
        <f t="shared" si="217"/>
        <v>0</v>
      </c>
      <c r="EW443" s="885"/>
      <c r="EX443" s="885"/>
      <c r="EY443" s="885"/>
      <c r="EZ443" s="885"/>
      <c r="FA443" s="885"/>
      <c r="FB443" s="885"/>
      <c r="FC443" s="885"/>
      <c r="FD443" s="886"/>
      <c r="FE443" s="878"/>
      <c r="FF443" s="878"/>
      <c r="FG443" s="878"/>
      <c r="FH443" s="878"/>
      <c r="FI443" s="878"/>
      <c r="FJ443" s="878"/>
      <c r="FK443" s="878"/>
      <c r="FL443" s="555"/>
      <c r="FM443" s="554"/>
      <c r="FN443" s="554"/>
      <c r="FO443" s="554"/>
      <c r="FP443" s="554"/>
      <c r="FQ443" s="554"/>
      <c r="FR443" s="554"/>
      <c r="FS443" s="554"/>
      <c r="FT443" s="554"/>
      <c r="FU443" s="554"/>
      <c r="FV443" s="554"/>
      <c r="FW443" s="554"/>
      <c r="FX443" s="554"/>
      <c r="FY443" s="554"/>
      <c r="FZ443" s="554"/>
      <c r="GA443" s="554"/>
      <c r="GB443" s="556"/>
      <c r="GC443" s="370"/>
      <c r="GD443" s="453"/>
      <c r="GE443" s="453"/>
      <c r="GF443" s="453"/>
      <c r="GG443" s="453"/>
      <c r="GH443" s="454"/>
      <c r="GI443" s="453"/>
      <c r="GJ443" s="453"/>
      <c r="GK443" s="453"/>
      <c r="GL443" s="453"/>
      <c r="GM443" s="453"/>
      <c r="GN443" s="453"/>
      <c r="GO443" s="453"/>
      <c r="GP443" s="453"/>
      <c r="GQ443" s="453"/>
      <c r="GR443" s="453"/>
      <c r="GS443" s="561"/>
      <c r="GT443" s="475"/>
      <c r="GU443" s="472"/>
      <c r="GV443" s="453"/>
      <c r="GW443" s="453"/>
      <c r="GX443" s="869"/>
      <c r="GY443" s="870"/>
      <c r="GZ443" s="867"/>
      <c r="HA443" s="868"/>
      <c r="HB443" s="473"/>
      <c r="HC443" s="869"/>
      <c r="HD443" s="870"/>
      <c r="HE443" s="867"/>
      <c r="HF443" s="868"/>
      <c r="HG443" s="473"/>
      <c r="HH443" s="867"/>
      <c r="HI443" s="868"/>
      <c r="HJ443" s="867"/>
      <c r="HK443" s="868"/>
      <c r="HL443" s="370"/>
      <c r="HM443" s="865"/>
      <c r="HN443" s="866"/>
      <c r="HO443" s="865"/>
      <c r="HP443" s="866"/>
      <c r="HQ443" s="865"/>
      <c r="HR443" s="866"/>
      <c r="HS443" s="867"/>
      <c r="HT443" s="868"/>
      <c r="HU443" s="489"/>
      <c r="HV443" s="865"/>
      <c r="HW443" s="866"/>
    </row>
    <row r="444" spans="25:231" ht="15" customHeight="1">
      <c r="Y444" s="332"/>
      <c r="Z444" s="332"/>
      <c r="AA444" s="332"/>
      <c r="AB444" s="332"/>
      <c r="AC444" s="332"/>
      <c r="AD444" s="332"/>
      <c r="AE444" s="332"/>
      <c r="AF444" s="332"/>
      <c r="AG444" s="332"/>
      <c r="AH444" s="332"/>
      <c r="AI444" s="332"/>
      <c r="AJ444" s="332"/>
      <c r="AK444" s="332"/>
      <c r="AL444" s="332"/>
      <c r="AM444" s="332"/>
      <c r="AN444" s="332"/>
      <c r="AO444" s="332"/>
      <c r="AP444" s="332"/>
      <c r="AQ444" s="332"/>
      <c r="AR444" s="332"/>
      <c r="AS444" s="332"/>
      <c r="AT444" s="332"/>
      <c r="AU444" s="332"/>
      <c r="AV444" s="332"/>
      <c r="AW444" s="332"/>
      <c r="AX444" s="332"/>
      <c r="AY444" s="332"/>
      <c r="AZ444" s="332"/>
      <c r="BA444" s="332"/>
      <c r="BB444" s="332"/>
      <c r="BC444" s="332"/>
      <c r="BD444" s="332"/>
      <c r="BE444" s="332"/>
      <c r="BF444" s="332"/>
      <c r="BG444" s="332"/>
      <c r="BH444" s="332"/>
      <c r="BI444" s="332"/>
      <c r="BJ444" s="332"/>
      <c r="BK444" s="332"/>
      <c r="BL444" s="332"/>
      <c r="BM444" s="332"/>
      <c r="BN444" s="332"/>
      <c r="BO444" s="332"/>
      <c r="BP444" s="332"/>
      <c r="BQ444" s="332"/>
      <c r="BR444" s="332"/>
      <c r="BS444" s="332"/>
      <c r="BT444" s="332"/>
      <c r="BU444" s="332"/>
      <c r="BV444" s="332"/>
      <c r="BW444" s="332"/>
      <c r="BX444" s="332"/>
      <c r="BY444" s="332"/>
      <c r="BZ444" s="332"/>
      <c r="CA444" s="332"/>
      <c r="CB444" s="332"/>
      <c r="CC444" s="332"/>
      <c r="CD444" s="332"/>
      <c r="CE444" s="332"/>
      <c r="CF444" s="332"/>
      <c r="CG444" s="332"/>
      <c r="CH444" s="332"/>
      <c r="CI444" s="332"/>
      <c r="CJ444" s="332"/>
      <c r="CK444" s="332"/>
      <c r="CL444" s="332"/>
      <c r="CM444" s="332"/>
      <c r="CN444" s="332"/>
      <c r="CO444" s="332"/>
      <c r="CP444" s="332"/>
      <c r="CQ444" s="332"/>
      <c r="CR444" s="332"/>
      <c r="CS444" s="332"/>
      <c r="CT444" s="332"/>
      <c r="CU444" s="332"/>
      <c r="CV444" s="332"/>
      <c r="CW444" s="332"/>
      <c r="CX444" s="332"/>
      <c r="CY444" s="332"/>
      <c r="CZ444" s="332"/>
      <c r="DA444" s="332"/>
      <c r="DB444" s="332"/>
      <c r="DC444" s="332"/>
      <c r="DD444" s="332"/>
      <c r="DE444" s="332"/>
      <c r="DF444" s="332"/>
      <c r="DG444" s="332"/>
      <c r="DH444" s="332"/>
      <c r="DI444" s="332"/>
      <c r="DJ444" s="332"/>
      <c r="DK444" s="332"/>
      <c r="DL444" s="332"/>
      <c r="DM444" s="332"/>
      <c r="DN444" s="332"/>
      <c r="DO444" s="332"/>
      <c r="DP444" s="332"/>
      <c r="DQ444" s="332"/>
      <c r="DR444" s="332"/>
      <c r="DS444" s="332"/>
      <c r="DT444" s="332"/>
      <c r="DU444" s="453"/>
      <c r="DV444" s="453"/>
      <c r="DW444" s="453"/>
      <c r="DX444" s="453"/>
      <c r="DY444" s="453"/>
      <c r="DZ444" s="453"/>
      <c r="EA444" s="453"/>
      <c r="EB444" s="453"/>
      <c r="EC444" s="453"/>
      <c r="ED444" s="453"/>
      <c r="EE444" s="453"/>
      <c r="EF444" s="453"/>
      <c r="EG444" s="453"/>
      <c r="EH444" s="453"/>
      <c r="EI444" s="453"/>
      <c r="EJ444" s="453"/>
      <c r="EK444" s="453"/>
      <c r="EL444" s="453"/>
      <c r="EM444" s="483">
        <f t="shared" si="218"/>
        <v>135</v>
      </c>
      <c r="EN444" s="485"/>
      <c r="EO444" s="804"/>
      <c r="EP444" s="805"/>
      <c r="EQ444" s="806"/>
      <c r="ER444" s="808"/>
      <c r="ES444" s="881">
        <f t="shared" si="214"/>
        <v>0</v>
      </c>
      <c r="ET444" s="882"/>
      <c r="EU444" s="883"/>
      <c r="EV444" s="884">
        <f t="shared" si="217"/>
        <v>0</v>
      </c>
      <c r="EW444" s="885"/>
      <c r="EX444" s="885"/>
      <c r="EY444" s="885"/>
      <c r="EZ444" s="885"/>
      <c r="FA444" s="885"/>
      <c r="FB444" s="885"/>
      <c r="FC444" s="885"/>
      <c r="FD444" s="886"/>
      <c r="FE444" s="878"/>
      <c r="FF444" s="878"/>
      <c r="FG444" s="878"/>
      <c r="FH444" s="878"/>
      <c r="FI444" s="878"/>
      <c r="FJ444" s="878"/>
      <c r="FK444" s="878"/>
      <c r="FL444" s="555"/>
      <c r="FM444" s="554"/>
      <c r="FN444" s="554"/>
      <c r="FO444" s="554"/>
      <c r="FP444" s="554"/>
      <c r="FQ444" s="554"/>
      <c r="FR444" s="554"/>
      <c r="FS444" s="554"/>
      <c r="FT444" s="554"/>
      <c r="FU444" s="554"/>
      <c r="FV444" s="554"/>
      <c r="FW444" s="554"/>
      <c r="FX444" s="554"/>
      <c r="FY444" s="554"/>
      <c r="FZ444" s="554"/>
      <c r="GA444" s="554"/>
      <c r="GB444" s="556"/>
      <c r="GC444" s="370"/>
      <c r="GD444" s="453"/>
      <c r="GE444" s="453"/>
      <c r="GF444" s="453"/>
      <c r="GG444" s="453"/>
      <c r="GH444" s="454"/>
      <c r="GI444" s="453"/>
      <c r="GJ444" s="453"/>
      <c r="GK444" s="453"/>
      <c r="GL444" s="453"/>
      <c r="GM444" s="453"/>
      <c r="GN444" s="453"/>
      <c r="GO444" s="453"/>
      <c r="GP444" s="453"/>
      <c r="GQ444" s="453"/>
      <c r="GR444" s="453"/>
      <c r="GS444" s="561"/>
      <c r="GT444" s="475"/>
      <c r="GU444" s="472"/>
      <c r="GV444" s="453"/>
      <c r="GW444" s="453"/>
      <c r="GX444" s="869"/>
      <c r="GY444" s="870"/>
      <c r="GZ444" s="867"/>
      <c r="HA444" s="868"/>
      <c r="HB444" s="473"/>
      <c r="HC444" s="869"/>
      <c r="HD444" s="870"/>
      <c r="HE444" s="867"/>
      <c r="HF444" s="868"/>
      <c r="HG444" s="473"/>
      <c r="HH444" s="867"/>
      <c r="HI444" s="868"/>
      <c r="HJ444" s="867"/>
      <c r="HK444" s="868"/>
      <c r="HL444" s="370"/>
      <c r="HM444" s="865"/>
      <c r="HN444" s="866"/>
      <c r="HO444" s="865"/>
      <c r="HP444" s="866"/>
      <c r="HQ444" s="865"/>
      <c r="HR444" s="866"/>
      <c r="HS444" s="867"/>
      <c r="HT444" s="868"/>
      <c r="HU444" s="489"/>
      <c r="HV444" s="865"/>
      <c r="HW444" s="866"/>
    </row>
    <row r="445" spans="25:231" ht="15" customHeight="1">
      <c r="Y445" s="332"/>
      <c r="Z445" s="332"/>
      <c r="AA445" s="332"/>
      <c r="AB445" s="332"/>
      <c r="AC445" s="332"/>
      <c r="AD445" s="332"/>
      <c r="AE445" s="332"/>
      <c r="AF445" s="332"/>
      <c r="AG445" s="332"/>
      <c r="AH445" s="332"/>
      <c r="AI445" s="332"/>
      <c r="AJ445" s="332"/>
      <c r="AK445" s="332"/>
      <c r="AL445" s="332"/>
      <c r="AM445" s="332"/>
      <c r="AN445" s="332"/>
      <c r="AO445" s="332"/>
      <c r="AP445" s="332"/>
      <c r="AQ445" s="332"/>
      <c r="AR445" s="332"/>
      <c r="AS445" s="332"/>
      <c r="AT445" s="332"/>
      <c r="AU445" s="332"/>
      <c r="AV445" s="332"/>
      <c r="AW445" s="332"/>
      <c r="AX445" s="332"/>
      <c r="AY445" s="332"/>
      <c r="AZ445" s="332"/>
      <c r="BA445" s="332"/>
      <c r="BB445" s="332"/>
      <c r="BC445" s="332"/>
      <c r="BD445" s="332"/>
      <c r="BE445" s="332"/>
      <c r="BF445" s="332"/>
      <c r="BG445" s="332"/>
      <c r="BH445" s="332"/>
      <c r="BI445" s="332"/>
      <c r="BJ445" s="332"/>
      <c r="BK445" s="332"/>
      <c r="BL445" s="332"/>
      <c r="BM445" s="332"/>
      <c r="BN445" s="332"/>
      <c r="BO445" s="332"/>
      <c r="BP445" s="332"/>
      <c r="BQ445" s="332"/>
      <c r="BR445" s="332"/>
      <c r="BS445" s="332"/>
      <c r="BT445" s="332"/>
      <c r="BU445" s="332"/>
      <c r="BV445" s="332"/>
      <c r="BW445" s="332"/>
      <c r="BX445" s="332"/>
      <c r="BY445" s="332"/>
      <c r="BZ445" s="332"/>
      <c r="CA445" s="332"/>
      <c r="CB445" s="332"/>
      <c r="CC445" s="332"/>
      <c r="CD445" s="332"/>
      <c r="CE445" s="332"/>
      <c r="CF445" s="332"/>
      <c r="CG445" s="332"/>
      <c r="CH445" s="332"/>
      <c r="CI445" s="332"/>
      <c r="CJ445" s="332"/>
      <c r="CK445" s="332"/>
      <c r="CL445" s="332"/>
      <c r="CM445" s="332"/>
      <c r="CN445" s="332"/>
      <c r="CO445" s="332"/>
      <c r="CP445" s="332"/>
      <c r="CQ445" s="332"/>
      <c r="CR445" s="332"/>
      <c r="CS445" s="332"/>
      <c r="CT445" s="332"/>
      <c r="CU445" s="332"/>
      <c r="CV445" s="332"/>
      <c r="CW445" s="332"/>
      <c r="CX445" s="332"/>
      <c r="CY445" s="332"/>
      <c r="CZ445" s="332"/>
      <c r="DA445" s="332"/>
      <c r="DB445" s="332"/>
      <c r="DC445" s="332"/>
      <c r="DD445" s="332"/>
      <c r="DE445" s="332"/>
      <c r="DF445" s="332"/>
      <c r="DG445" s="332"/>
      <c r="DH445" s="332"/>
      <c r="DI445" s="332"/>
      <c r="DJ445" s="332"/>
      <c r="DK445" s="332"/>
      <c r="DL445" s="332"/>
      <c r="DM445" s="332"/>
      <c r="DN445" s="332"/>
      <c r="DO445" s="332"/>
      <c r="DP445" s="332"/>
      <c r="DQ445" s="332"/>
      <c r="DR445" s="332"/>
      <c r="DS445" s="332"/>
      <c r="DT445" s="332"/>
      <c r="DU445" s="453"/>
      <c r="DV445" s="453"/>
      <c r="DW445" s="453"/>
      <c r="DX445" s="453"/>
      <c r="DY445" s="453"/>
      <c r="DZ445" s="453"/>
      <c r="EA445" s="453"/>
      <c r="EB445" s="453"/>
      <c r="EC445" s="453"/>
      <c r="ED445" s="453"/>
      <c r="EE445" s="453"/>
      <c r="EF445" s="453"/>
      <c r="EG445" s="453"/>
      <c r="EH445" s="453"/>
      <c r="EI445" s="453"/>
      <c r="EJ445" s="453"/>
      <c r="EK445" s="453"/>
      <c r="EL445" s="453"/>
      <c r="EM445" s="483">
        <f t="shared" si="218"/>
        <v>136</v>
      </c>
      <c r="EN445" s="485"/>
      <c r="EO445" s="804"/>
      <c r="EP445" s="805"/>
      <c r="EQ445" s="826"/>
      <c r="ER445" s="808"/>
      <c r="ES445" s="881">
        <f t="shared" ref="ES445:ES508" si="219">IF(OR(EO445 = "", EP445 = 0, EP445 = "", EQ445 = 0, EQ445 = "", ER445 = 0, ER445 = ""), 0,
IF(EO445 &lt;&gt; "ACCION", EP445 * ER445 * -100,  EP445 * ER445 * -1))</f>
        <v>0</v>
      </c>
      <c r="ET445" s="882"/>
      <c r="EU445" s="883"/>
      <c r="EV445" s="884">
        <f t="shared" si="217"/>
        <v>0</v>
      </c>
      <c r="EW445" s="885"/>
      <c r="EX445" s="885"/>
      <c r="EY445" s="885"/>
      <c r="EZ445" s="885"/>
      <c r="FA445" s="885"/>
      <c r="FB445" s="885"/>
      <c r="FC445" s="885"/>
      <c r="FD445" s="886"/>
      <c r="FE445" s="878"/>
      <c r="FF445" s="878"/>
      <c r="FG445" s="878"/>
      <c r="FH445" s="878"/>
      <c r="FI445" s="878"/>
      <c r="FJ445" s="878"/>
      <c r="FK445" s="878"/>
      <c r="FL445" s="555"/>
      <c r="FM445" s="554"/>
      <c r="FN445" s="554"/>
      <c r="FO445" s="554"/>
      <c r="FP445" s="554"/>
      <c r="FQ445" s="554"/>
      <c r="FR445" s="554"/>
      <c r="FS445" s="554"/>
      <c r="FT445" s="554"/>
      <c r="FU445" s="554"/>
      <c r="FV445" s="554"/>
      <c r="FW445" s="554"/>
      <c r="FX445" s="554"/>
      <c r="FY445" s="554"/>
      <c r="FZ445" s="554"/>
      <c r="GA445" s="554"/>
      <c r="GB445" s="556"/>
      <c r="GC445" s="370"/>
      <c r="GD445" s="453"/>
      <c r="GE445" s="453"/>
      <c r="GF445" s="453"/>
      <c r="GG445" s="453"/>
      <c r="GH445" s="454"/>
      <c r="GI445" s="453"/>
      <c r="GJ445" s="453"/>
      <c r="GK445" s="453"/>
      <c r="GL445" s="453"/>
      <c r="GM445" s="453"/>
      <c r="GN445" s="453"/>
      <c r="GO445" s="453"/>
      <c r="GP445" s="453"/>
      <c r="GQ445" s="453"/>
      <c r="GR445" s="453"/>
      <c r="GS445" s="561"/>
      <c r="GT445" s="475"/>
      <c r="GU445" s="472"/>
      <c r="GV445" s="453"/>
      <c r="GW445" s="453"/>
      <c r="GX445" s="869"/>
      <c r="GY445" s="870"/>
      <c r="GZ445" s="867"/>
      <c r="HA445" s="868"/>
      <c r="HB445" s="473"/>
      <c r="HC445" s="869"/>
      <c r="HD445" s="870"/>
      <c r="HE445" s="867"/>
      <c r="HF445" s="868"/>
      <c r="HG445" s="473"/>
      <c r="HH445" s="867"/>
      <c r="HI445" s="868"/>
      <c r="HJ445" s="867"/>
      <c r="HK445" s="868"/>
      <c r="HL445" s="370"/>
      <c r="HM445" s="865"/>
      <c r="HN445" s="866"/>
      <c r="HO445" s="865"/>
      <c r="HP445" s="866"/>
      <c r="HQ445" s="865"/>
      <c r="HR445" s="866"/>
      <c r="HS445" s="867"/>
      <c r="HT445" s="868"/>
      <c r="HU445" s="489"/>
      <c r="HV445" s="865"/>
      <c r="HW445" s="866"/>
    </row>
    <row r="446" spans="25:231" ht="15" customHeight="1">
      <c r="Y446" s="332"/>
      <c r="Z446" s="332"/>
      <c r="AA446" s="332"/>
      <c r="AB446" s="332"/>
      <c r="AC446" s="332"/>
      <c r="AD446" s="332"/>
      <c r="AE446" s="332"/>
      <c r="AF446" s="332"/>
      <c r="AG446" s="332"/>
      <c r="AH446" s="332"/>
      <c r="AI446" s="332"/>
      <c r="AJ446" s="332"/>
      <c r="AK446" s="332"/>
      <c r="AL446" s="332"/>
      <c r="AM446" s="332"/>
      <c r="AN446" s="332"/>
      <c r="AO446" s="332"/>
      <c r="AP446" s="332"/>
      <c r="AQ446" s="332"/>
      <c r="AR446" s="332"/>
      <c r="AS446" s="332"/>
      <c r="AT446" s="332"/>
      <c r="AU446" s="332"/>
      <c r="AV446" s="332"/>
      <c r="AW446" s="332"/>
      <c r="AX446" s="332"/>
      <c r="AY446" s="332"/>
      <c r="AZ446" s="332"/>
      <c r="BA446" s="332"/>
      <c r="BB446" s="332"/>
      <c r="BC446" s="332"/>
      <c r="BD446" s="332"/>
      <c r="BE446" s="332"/>
      <c r="BF446" s="332"/>
      <c r="BG446" s="332"/>
      <c r="BH446" s="332"/>
      <c r="BI446" s="332"/>
      <c r="BJ446" s="332"/>
      <c r="BK446" s="332"/>
      <c r="BL446" s="332"/>
      <c r="BM446" s="332"/>
      <c r="BN446" s="332"/>
      <c r="BO446" s="332"/>
      <c r="BP446" s="332"/>
      <c r="BQ446" s="332"/>
      <c r="BR446" s="332"/>
      <c r="BS446" s="332"/>
      <c r="BT446" s="332"/>
      <c r="BU446" s="332"/>
      <c r="BV446" s="332"/>
      <c r="BW446" s="332"/>
      <c r="BX446" s="332"/>
      <c r="BY446" s="332"/>
      <c r="BZ446" s="332"/>
      <c r="CA446" s="332"/>
      <c r="CB446" s="332"/>
      <c r="CC446" s="332"/>
      <c r="CD446" s="332"/>
      <c r="CE446" s="332"/>
      <c r="CF446" s="332"/>
      <c r="CG446" s="332"/>
      <c r="CH446" s="332"/>
      <c r="CI446" s="332"/>
      <c r="CJ446" s="332"/>
      <c r="CK446" s="332"/>
      <c r="CL446" s="332"/>
      <c r="CM446" s="332"/>
      <c r="CN446" s="332"/>
      <c r="CO446" s="332"/>
      <c r="CP446" s="332"/>
      <c r="CQ446" s="332"/>
      <c r="CR446" s="332"/>
      <c r="CS446" s="332"/>
      <c r="CT446" s="332"/>
      <c r="CU446" s="332"/>
      <c r="CV446" s="332"/>
      <c r="CW446" s="332"/>
      <c r="CX446" s="332"/>
      <c r="CY446" s="332"/>
      <c r="CZ446" s="332"/>
      <c r="DA446" s="332"/>
      <c r="DB446" s="332"/>
      <c r="DC446" s="332"/>
      <c r="DD446" s="332"/>
      <c r="DE446" s="332"/>
      <c r="DF446" s="332"/>
      <c r="DG446" s="332"/>
      <c r="DH446" s="332"/>
      <c r="DI446" s="332"/>
      <c r="DJ446" s="332"/>
      <c r="DK446" s="332"/>
      <c r="DL446" s="332"/>
      <c r="DM446" s="332"/>
      <c r="DN446" s="332"/>
      <c r="DO446" s="332"/>
      <c r="DP446" s="332"/>
      <c r="DQ446" s="332"/>
      <c r="DR446" s="332"/>
      <c r="DS446" s="332"/>
      <c r="DT446" s="332"/>
      <c r="DU446" s="453"/>
      <c r="DV446" s="453"/>
      <c r="DW446" s="453"/>
      <c r="DX446" s="453"/>
      <c r="DY446" s="453"/>
      <c r="DZ446" s="453"/>
      <c r="EA446" s="453"/>
      <c r="EB446" s="453"/>
      <c r="EC446" s="453"/>
      <c r="ED446" s="453"/>
      <c r="EE446" s="453"/>
      <c r="EF446" s="453"/>
      <c r="EG446" s="453"/>
      <c r="EH446" s="453"/>
      <c r="EI446" s="453"/>
      <c r="EJ446" s="453"/>
      <c r="EK446" s="453"/>
      <c r="EL446" s="453"/>
      <c r="EM446" s="483">
        <f t="shared" si="218"/>
        <v>137</v>
      </c>
      <c r="EN446" s="485"/>
      <c r="EO446" s="804"/>
      <c r="EP446" s="805"/>
      <c r="EQ446" s="806"/>
      <c r="ER446" s="808"/>
      <c r="ES446" s="881">
        <f t="shared" si="219"/>
        <v>0</v>
      </c>
      <c r="ET446" s="882"/>
      <c r="EU446" s="883"/>
      <c r="EV446" s="884">
        <f t="shared" si="217"/>
        <v>0</v>
      </c>
      <c r="EW446" s="885"/>
      <c r="EX446" s="885"/>
      <c r="EY446" s="885"/>
      <c r="EZ446" s="885"/>
      <c r="FA446" s="885"/>
      <c r="FB446" s="885"/>
      <c r="FC446" s="885"/>
      <c r="FD446" s="886"/>
      <c r="FE446" s="878"/>
      <c r="FF446" s="878"/>
      <c r="FG446" s="878"/>
      <c r="FH446" s="878"/>
      <c r="FI446" s="878"/>
      <c r="FJ446" s="878"/>
      <c r="FK446" s="878"/>
      <c r="FL446" s="555"/>
      <c r="FM446" s="554"/>
      <c r="FN446" s="554"/>
      <c r="FO446" s="554"/>
      <c r="FP446" s="554"/>
      <c r="FQ446" s="554"/>
      <c r="FR446" s="554"/>
      <c r="FS446" s="554"/>
      <c r="FT446" s="554"/>
      <c r="FU446" s="554"/>
      <c r="FV446" s="554"/>
      <c r="FW446" s="554"/>
      <c r="FX446" s="554"/>
      <c r="FY446" s="554"/>
      <c r="FZ446" s="554"/>
      <c r="GA446" s="554"/>
      <c r="GB446" s="556"/>
      <c r="GC446" s="370"/>
      <c r="GD446" s="453"/>
      <c r="GE446" s="453"/>
      <c r="GF446" s="453"/>
      <c r="GG446" s="453"/>
      <c r="GH446" s="454"/>
      <c r="GI446" s="453"/>
      <c r="GJ446" s="453"/>
      <c r="GK446" s="453"/>
      <c r="GL446" s="453"/>
      <c r="GM446" s="453"/>
      <c r="GN446" s="453"/>
      <c r="GO446" s="453"/>
      <c r="GP446" s="453"/>
      <c r="GQ446" s="453"/>
      <c r="GR446" s="453"/>
      <c r="GS446" s="561"/>
      <c r="GT446" s="475"/>
      <c r="GU446" s="472"/>
      <c r="GV446" s="453"/>
      <c r="GW446" s="453"/>
      <c r="GX446" s="869"/>
      <c r="GY446" s="870"/>
      <c r="GZ446" s="867"/>
      <c r="HA446" s="868"/>
      <c r="HB446" s="473"/>
      <c r="HC446" s="869"/>
      <c r="HD446" s="870"/>
      <c r="HE446" s="867"/>
      <c r="HF446" s="868"/>
      <c r="HG446" s="473"/>
      <c r="HH446" s="867"/>
      <c r="HI446" s="868"/>
      <c r="HJ446" s="867"/>
      <c r="HK446" s="868"/>
      <c r="HL446" s="370"/>
      <c r="HM446" s="865"/>
      <c r="HN446" s="866"/>
      <c r="HO446" s="865"/>
      <c r="HP446" s="866"/>
      <c r="HQ446" s="865"/>
      <c r="HR446" s="866"/>
      <c r="HS446" s="867"/>
      <c r="HT446" s="868"/>
      <c r="HU446" s="489"/>
      <c r="HV446" s="865"/>
      <c r="HW446" s="866"/>
    </row>
    <row r="447" spans="25:231" ht="15" customHeight="1">
      <c r="Y447" s="332"/>
      <c r="Z447" s="332"/>
      <c r="AA447" s="332"/>
      <c r="AB447" s="332"/>
      <c r="AC447" s="332"/>
      <c r="AD447" s="332"/>
      <c r="AE447" s="332"/>
      <c r="AF447" s="332"/>
      <c r="AG447" s="332"/>
      <c r="AH447" s="332"/>
      <c r="AI447" s="332"/>
      <c r="AJ447" s="332"/>
      <c r="AK447" s="332"/>
      <c r="AL447" s="332"/>
      <c r="AM447" s="332"/>
      <c r="AN447" s="332"/>
      <c r="AO447" s="332"/>
      <c r="AP447" s="332"/>
      <c r="AQ447" s="332"/>
      <c r="AR447" s="332"/>
      <c r="AS447" s="332"/>
      <c r="AT447" s="332"/>
      <c r="AU447" s="332"/>
      <c r="AV447" s="332"/>
      <c r="AW447" s="332"/>
      <c r="AX447" s="332"/>
      <c r="AY447" s="332"/>
      <c r="AZ447" s="332"/>
      <c r="BA447" s="332"/>
      <c r="BB447" s="332"/>
      <c r="BC447" s="332"/>
      <c r="BD447" s="332"/>
      <c r="BE447" s="332"/>
      <c r="BF447" s="332"/>
      <c r="BG447" s="332"/>
      <c r="BH447" s="332"/>
      <c r="BI447" s="332"/>
      <c r="BJ447" s="332"/>
      <c r="BK447" s="332"/>
      <c r="BL447" s="332"/>
      <c r="BM447" s="332"/>
      <c r="BN447" s="332"/>
      <c r="BO447" s="332"/>
      <c r="BP447" s="332"/>
      <c r="BQ447" s="332"/>
      <c r="BR447" s="332"/>
      <c r="BS447" s="332"/>
      <c r="BT447" s="332"/>
      <c r="BU447" s="332"/>
      <c r="BV447" s="332"/>
      <c r="BW447" s="332"/>
      <c r="BX447" s="332"/>
      <c r="BY447" s="332"/>
      <c r="BZ447" s="332"/>
      <c r="CA447" s="332"/>
      <c r="CB447" s="332"/>
      <c r="CC447" s="332"/>
      <c r="CD447" s="332"/>
      <c r="CE447" s="332"/>
      <c r="CF447" s="332"/>
      <c r="CG447" s="332"/>
      <c r="CH447" s="332"/>
      <c r="CI447" s="332"/>
      <c r="CJ447" s="332"/>
      <c r="CK447" s="332"/>
      <c r="CL447" s="332"/>
      <c r="CM447" s="332"/>
      <c r="CN447" s="332"/>
      <c r="CO447" s="332"/>
      <c r="CP447" s="332"/>
      <c r="CQ447" s="332"/>
      <c r="CR447" s="332"/>
      <c r="CS447" s="332"/>
      <c r="CT447" s="332"/>
      <c r="CU447" s="332"/>
      <c r="CV447" s="332"/>
      <c r="CW447" s="332"/>
      <c r="CX447" s="332"/>
      <c r="CY447" s="332"/>
      <c r="CZ447" s="332"/>
      <c r="DA447" s="332"/>
      <c r="DB447" s="332"/>
      <c r="DC447" s="332"/>
      <c r="DD447" s="332"/>
      <c r="DE447" s="332"/>
      <c r="DF447" s="332"/>
      <c r="DG447" s="332"/>
      <c r="DH447" s="332"/>
      <c r="DI447" s="332"/>
      <c r="DJ447" s="332"/>
      <c r="DK447" s="332"/>
      <c r="DL447" s="332"/>
      <c r="DM447" s="332"/>
      <c r="DN447" s="332"/>
      <c r="DO447" s="332"/>
      <c r="DP447" s="332"/>
      <c r="DQ447" s="332"/>
      <c r="DR447" s="332"/>
      <c r="DS447" s="332"/>
      <c r="DT447" s="332"/>
      <c r="DU447" s="453"/>
      <c r="DV447" s="453"/>
      <c r="DW447" s="453"/>
      <c r="DX447" s="453"/>
      <c r="DY447" s="453"/>
      <c r="DZ447" s="453"/>
      <c r="EA447" s="453"/>
      <c r="EB447" s="453"/>
      <c r="EC447" s="453"/>
      <c r="ED447" s="453"/>
      <c r="EE447" s="453"/>
      <c r="EF447" s="453"/>
      <c r="EG447" s="453"/>
      <c r="EH447" s="453"/>
      <c r="EI447" s="453"/>
      <c r="EJ447" s="453"/>
      <c r="EK447" s="453"/>
      <c r="EL447" s="453"/>
      <c r="EM447" s="483">
        <f t="shared" si="218"/>
        <v>138</v>
      </c>
      <c r="EN447" s="485"/>
      <c r="EO447" s="804"/>
      <c r="EP447" s="805"/>
      <c r="EQ447" s="806"/>
      <c r="ER447" s="808"/>
      <c r="ES447" s="881">
        <f t="shared" si="219"/>
        <v>0</v>
      </c>
      <c r="ET447" s="882"/>
      <c r="EU447" s="883"/>
      <c r="EV447" s="884">
        <f t="shared" si="217"/>
        <v>0</v>
      </c>
      <c r="EW447" s="885"/>
      <c r="EX447" s="885"/>
      <c r="EY447" s="885"/>
      <c r="EZ447" s="885"/>
      <c r="FA447" s="885"/>
      <c r="FB447" s="885"/>
      <c r="FC447" s="885"/>
      <c r="FD447" s="886"/>
      <c r="FE447" s="878"/>
      <c r="FF447" s="878"/>
      <c r="FG447" s="878"/>
      <c r="FH447" s="878"/>
      <c r="FI447" s="878"/>
      <c r="FJ447" s="878"/>
      <c r="FK447" s="878"/>
      <c r="FL447" s="555"/>
      <c r="FM447" s="554"/>
      <c r="FN447" s="554"/>
      <c r="FO447" s="554"/>
      <c r="FP447" s="554"/>
      <c r="FQ447" s="554"/>
      <c r="FR447" s="554"/>
      <c r="FS447" s="554"/>
      <c r="FT447" s="554"/>
      <c r="FU447" s="554"/>
      <c r="FV447" s="554"/>
      <c r="FW447" s="554"/>
      <c r="FX447" s="554"/>
      <c r="FY447" s="554"/>
      <c r="FZ447" s="554"/>
      <c r="GA447" s="554"/>
      <c r="GB447" s="556"/>
      <c r="GC447" s="370"/>
      <c r="GD447" s="453"/>
      <c r="GE447" s="453"/>
      <c r="GF447" s="453"/>
      <c r="GG447" s="453"/>
      <c r="GH447" s="454"/>
      <c r="GI447" s="453"/>
      <c r="GJ447" s="453"/>
      <c r="GK447" s="453"/>
      <c r="GL447" s="453"/>
      <c r="GM447" s="453"/>
      <c r="GN447" s="453"/>
      <c r="GO447" s="453"/>
      <c r="GP447" s="453"/>
      <c r="GQ447" s="453"/>
      <c r="GR447" s="453"/>
      <c r="GS447" s="561"/>
      <c r="GT447" s="475"/>
      <c r="GU447" s="472"/>
      <c r="GV447" s="453"/>
      <c r="GW447" s="453"/>
      <c r="GX447" s="869"/>
      <c r="GY447" s="870"/>
      <c r="GZ447" s="867"/>
      <c r="HA447" s="868"/>
      <c r="HB447" s="473"/>
      <c r="HC447" s="869"/>
      <c r="HD447" s="870"/>
      <c r="HE447" s="867"/>
      <c r="HF447" s="868"/>
      <c r="HG447" s="473"/>
      <c r="HH447" s="867"/>
      <c r="HI447" s="868"/>
      <c r="HJ447" s="867"/>
      <c r="HK447" s="868"/>
      <c r="HL447" s="370"/>
      <c r="HM447" s="865"/>
      <c r="HN447" s="866"/>
      <c r="HO447" s="865"/>
      <c r="HP447" s="866"/>
      <c r="HQ447" s="865"/>
      <c r="HR447" s="866"/>
      <c r="HS447" s="867"/>
      <c r="HT447" s="868"/>
      <c r="HU447" s="489"/>
      <c r="HV447" s="865"/>
      <c r="HW447" s="866"/>
    </row>
    <row r="448" spans="25:231" ht="15" customHeight="1">
      <c r="Y448" s="332"/>
      <c r="Z448" s="332"/>
      <c r="AA448" s="332"/>
      <c r="AB448" s="332"/>
      <c r="AC448" s="332"/>
      <c r="AD448" s="332"/>
      <c r="AE448" s="332"/>
      <c r="AF448" s="332"/>
      <c r="AG448" s="332"/>
      <c r="AH448" s="332"/>
      <c r="AI448" s="332"/>
      <c r="AJ448" s="332"/>
      <c r="AK448" s="332"/>
      <c r="AL448" s="332"/>
      <c r="AM448" s="332"/>
      <c r="AN448" s="332"/>
      <c r="AO448" s="332"/>
      <c r="AP448" s="332"/>
      <c r="AQ448" s="332"/>
      <c r="AR448" s="332"/>
      <c r="AS448" s="332"/>
      <c r="AT448" s="332"/>
      <c r="AU448" s="332"/>
      <c r="AV448" s="332"/>
      <c r="AW448" s="332"/>
      <c r="AX448" s="332"/>
      <c r="AY448" s="332"/>
      <c r="AZ448" s="332"/>
      <c r="BA448" s="332"/>
      <c r="BB448" s="332"/>
      <c r="BC448" s="332"/>
      <c r="BD448" s="332"/>
      <c r="BE448" s="332"/>
      <c r="BF448" s="332"/>
      <c r="BG448" s="332"/>
      <c r="BH448" s="332"/>
      <c r="BI448" s="332"/>
      <c r="BJ448" s="332"/>
      <c r="BK448" s="332"/>
      <c r="BL448" s="332"/>
      <c r="BM448" s="332"/>
      <c r="BN448" s="332"/>
      <c r="BO448" s="332"/>
      <c r="BP448" s="332"/>
      <c r="BQ448" s="332"/>
      <c r="BR448" s="332"/>
      <c r="BS448" s="332"/>
      <c r="BT448" s="332"/>
      <c r="BU448" s="332"/>
      <c r="BV448" s="332"/>
      <c r="BW448" s="332"/>
      <c r="BX448" s="332"/>
      <c r="BY448" s="332"/>
      <c r="BZ448" s="332"/>
      <c r="CA448" s="332"/>
      <c r="CB448" s="332"/>
      <c r="CC448" s="332"/>
      <c r="CD448" s="332"/>
      <c r="CE448" s="332"/>
      <c r="CF448" s="332"/>
      <c r="CG448" s="332"/>
      <c r="CH448" s="332"/>
      <c r="CI448" s="332"/>
      <c r="CJ448" s="332"/>
      <c r="CK448" s="332"/>
      <c r="CL448" s="332"/>
      <c r="CM448" s="332"/>
      <c r="CN448" s="332"/>
      <c r="CO448" s="332"/>
      <c r="CP448" s="332"/>
      <c r="CQ448" s="332"/>
      <c r="CR448" s="332"/>
      <c r="CS448" s="332"/>
      <c r="CT448" s="332"/>
      <c r="CU448" s="332"/>
      <c r="CV448" s="332"/>
      <c r="CW448" s="332"/>
      <c r="CX448" s="332"/>
      <c r="CY448" s="332"/>
      <c r="CZ448" s="332"/>
      <c r="DA448" s="332"/>
      <c r="DB448" s="332"/>
      <c r="DC448" s="332"/>
      <c r="DD448" s="332"/>
      <c r="DE448" s="332"/>
      <c r="DF448" s="332"/>
      <c r="DG448" s="332"/>
      <c r="DH448" s="332"/>
      <c r="DI448" s="332"/>
      <c r="DJ448" s="332"/>
      <c r="DK448" s="332"/>
      <c r="DL448" s="332"/>
      <c r="DM448" s="332"/>
      <c r="DN448" s="332"/>
      <c r="DO448" s="332"/>
      <c r="DP448" s="332"/>
      <c r="DQ448" s="332"/>
      <c r="DR448" s="332"/>
      <c r="DS448" s="332"/>
      <c r="DT448" s="332"/>
      <c r="DU448" s="453"/>
      <c r="DV448" s="453"/>
      <c r="DW448" s="453"/>
      <c r="DX448" s="453"/>
      <c r="DY448" s="453"/>
      <c r="DZ448" s="453"/>
      <c r="EA448" s="453"/>
      <c r="EB448" s="453"/>
      <c r="EC448" s="453"/>
      <c r="ED448" s="453"/>
      <c r="EE448" s="453"/>
      <c r="EF448" s="453"/>
      <c r="EG448" s="453"/>
      <c r="EH448" s="453"/>
      <c r="EI448" s="453"/>
      <c r="EJ448" s="453"/>
      <c r="EK448" s="453"/>
      <c r="EL448" s="453"/>
      <c r="EM448" s="483">
        <f t="shared" si="218"/>
        <v>139</v>
      </c>
      <c r="EN448" s="485"/>
      <c r="EO448" s="804"/>
      <c r="EP448" s="805"/>
      <c r="EQ448" s="806"/>
      <c r="ER448" s="808"/>
      <c r="ES448" s="881">
        <f t="shared" si="219"/>
        <v>0</v>
      </c>
      <c r="ET448" s="882"/>
      <c r="EU448" s="883"/>
      <c r="EV448" s="884">
        <f t="shared" si="217"/>
        <v>0</v>
      </c>
      <c r="EW448" s="885"/>
      <c r="EX448" s="885"/>
      <c r="EY448" s="885"/>
      <c r="EZ448" s="885"/>
      <c r="FA448" s="885"/>
      <c r="FB448" s="885"/>
      <c r="FC448" s="885"/>
      <c r="FD448" s="886"/>
      <c r="FE448" s="878"/>
      <c r="FF448" s="878"/>
      <c r="FG448" s="878"/>
      <c r="FH448" s="878"/>
      <c r="FI448" s="878"/>
      <c r="FJ448" s="878"/>
      <c r="FK448" s="878"/>
      <c r="FL448" s="555"/>
      <c r="FM448" s="554"/>
      <c r="FN448" s="554"/>
      <c r="FO448" s="554"/>
      <c r="FP448" s="554"/>
      <c r="FQ448" s="554"/>
      <c r="FR448" s="554"/>
      <c r="FS448" s="554"/>
      <c r="FT448" s="554"/>
      <c r="FU448" s="554"/>
      <c r="FV448" s="554"/>
      <c r="FW448" s="554"/>
      <c r="FX448" s="554"/>
      <c r="FY448" s="554"/>
      <c r="FZ448" s="554"/>
      <c r="GA448" s="554"/>
      <c r="GB448" s="556"/>
      <c r="GC448" s="370"/>
      <c r="GD448" s="453"/>
      <c r="GE448" s="453"/>
      <c r="GF448" s="453"/>
      <c r="GG448" s="453"/>
      <c r="GH448" s="454"/>
      <c r="GI448" s="453"/>
      <c r="GJ448" s="453"/>
      <c r="GK448" s="453"/>
      <c r="GL448" s="453"/>
      <c r="GM448" s="453"/>
      <c r="GN448" s="453"/>
      <c r="GO448" s="453"/>
      <c r="GP448" s="453"/>
      <c r="GQ448" s="453"/>
      <c r="GR448" s="453"/>
      <c r="GS448" s="561"/>
      <c r="GT448" s="475"/>
      <c r="GU448" s="472"/>
      <c r="GV448" s="453"/>
      <c r="GW448" s="453"/>
      <c r="GX448" s="869"/>
      <c r="GY448" s="870"/>
      <c r="GZ448" s="867"/>
      <c r="HA448" s="868"/>
      <c r="HB448" s="473"/>
      <c r="HC448" s="869"/>
      <c r="HD448" s="870"/>
      <c r="HE448" s="867"/>
      <c r="HF448" s="868"/>
      <c r="HG448" s="473"/>
      <c r="HH448" s="867"/>
      <c r="HI448" s="868"/>
      <c r="HJ448" s="867"/>
      <c r="HK448" s="868"/>
      <c r="HL448" s="370"/>
      <c r="HM448" s="865"/>
      <c r="HN448" s="866"/>
      <c r="HO448" s="865"/>
      <c r="HP448" s="866"/>
      <c r="HQ448" s="865"/>
      <c r="HR448" s="866"/>
      <c r="HS448" s="867"/>
      <c r="HT448" s="868"/>
      <c r="HU448" s="489"/>
      <c r="HV448" s="865"/>
      <c r="HW448" s="866"/>
    </row>
    <row r="449" spans="25:231" ht="15" customHeight="1">
      <c r="Y449" s="332"/>
      <c r="Z449" s="332"/>
      <c r="AA449" s="332"/>
      <c r="AB449" s="332"/>
      <c r="AC449" s="332"/>
      <c r="AD449" s="332"/>
      <c r="AE449" s="332"/>
      <c r="AF449" s="332"/>
      <c r="AG449" s="332"/>
      <c r="AH449" s="332"/>
      <c r="AI449" s="332"/>
      <c r="AJ449" s="332"/>
      <c r="AK449" s="332"/>
      <c r="AL449" s="332"/>
      <c r="AM449" s="332"/>
      <c r="AN449" s="332"/>
      <c r="AO449" s="332"/>
      <c r="AP449" s="332"/>
      <c r="AQ449" s="332"/>
      <c r="AR449" s="332"/>
      <c r="AS449" s="332"/>
      <c r="AT449" s="332"/>
      <c r="AU449" s="332"/>
      <c r="AV449" s="332"/>
      <c r="AW449" s="332"/>
      <c r="AX449" s="332"/>
      <c r="AY449" s="332"/>
      <c r="AZ449" s="332"/>
      <c r="BA449" s="332"/>
      <c r="BB449" s="332"/>
      <c r="BC449" s="332"/>
      <c r="BD449" s="332"/>
      <c r="BE449" s="332"/>
      <c r="BF449" s="332"/>
      <c r="BG449" s="332"/>
      <c r="BH449" s="332"/>
      <c r="BI449" s="332"/>
      <c r="BJ449" s="332"/>
      <c r="BK449" s="332"/>
      <c r="BL449" s="332"/>
      <c r="BM449" s="332"/>
      <c r="BN449" s="332"/>
      <c r="BO449" s="332"/>
      <c r="BP449" s="332"/>
      <c r="BQ449" s="332"/>
      <c r="BR449" s="332"/>
      <c r="BS449" s="332"/>
      <c r="BT449" s="332"/>
      <c r="BU449" s="332"/>
      <c r="BV449" s="332"/>
      <c r="BW449" s="332"/>
      <c r="BX449" s="332"/>
      <c r="BY449" s="332"/>
      <c r="BZ449" s="332"/>
      <c r="CA449" s="332"/>
      <c r="CB449" s="332"/>
      <c r="CC449" s="332"/>
      <c r="CD449" s="332"/>
      <c r="CE449" s="332"/>
      <c r="CF449" s="332"/>
      <c r="CG449" s="332"/>
      <c r="CH449" s="332"/>
      <c r="CI449" s="332"/>
      <c r="CJ449" s="332"/>
      <c r="CK449" s="332"/>
      <c r="CL449" s="332"/>
      <c r="CM449" s="332"/>
      <c r="CN449" s="332"/>
      <c r="CO449" s="332"/>
      <c r="CP449" s="332"/>
      <c r="CQ449" s="332"/>
      <c r="CR449" s="332"/>
      <c r="CS449" s="332"/>
      <c r="CT449" s="332"/>
      <c r="CU449" s="332"/>
      <c r="CV449" s="332"/>
      <c r="CW449" s="332"/>
      <c r="CX449" s="332"/>
      <c r="CY449" s="332"/>
      <c r="CZ449" s="332"/>
      <c r="DA449" s="332"/>
      <c r="DB449" s="332"/>
      <c r="DC449" s="332"/>
      <c r="DD449" s="332"/>
      <c r="DE449" s="332"/>
      <c r="DF449" s="332"/>
      <c r="DG449" s="332"/>
      <c r="DH449" s="332"/>
      <c r="DI449" s="332"/>
      <c r="DJ449" s="332"/>
      <c r="DK449" s="332"/>
      <c r="DL449" s="332"/>
      <c r="DM449" s="332"/>
      <c r="DN449" s="332"/>
      <c r="DO449" s="332"/>
      <c r="DP449" s="332"/>
      <c r="DQ449" s="332"/>
      <c r="DR449" s="332"/>
      <c r="DS449" s="332"/>
      <c r="DT449" s="332"/>
      <c r="DU449" s="453"/>
      <c r="DV449" s="453"/>
      <c r="DW449" s="453"/>
      <c r="DX449" s="453"/>
      <c r="DY449" s="453"/>
      <c r="DZ449" s="453"/>
      <c r="EA449" s="453"/>
      <c r="EB449" s="453"/>
      <c r="EC449" s="453"/>
      <c r="ED449" s="453"/>
      <c r="EE449" s="453"/>
      <c r="EF449" s="453"/>
      <c r="EG449" s="453"/>
      <c r="EH449" s="453"/>
      <c r="EI449" s="453"/>
      <c r="EJ449" s="453"/>
      <c r="EK449" s="453"/>
      <c r="EL449" s="453"/>
      <c r="EM449" s="483">
        <f t="shared" si="218"/>
        <v>140</v>
      </c>
      <c r="EN449" s="485"/>
      <c r="EO449" s="804"/>
      <c r="EP449" s="805"/>
      <c r="EQ449" s="806"/>
      <c r="ER449" s="808"/>
      <c r="ES449" s="881">
        <f t="shared" si="219"/>
        <v>0</v>
      </c>
      <c r="ET449" s="882"/>
      <c r="EU449" s="883"/>
      <c r="EV449" s="884">
        <f t="shared" si="217"/>
        <v>0</v>
      </c>
      <c r="EW449" s="885"/>
      <c r="EX449" s="885"/>
      <c r="EY449" s="885"/>
      <c r="EZ449" s="885"/>
      <c r="FA449" s="885"/>
      <c r="FB449" s="885"/>
      <c r="FC449" s="885"/>
      <c r="FD449" s="886"/>
      <c r="FE449" s="878"/>
      <c r="FF449" s="878"/>
      <c r="FG449" s="878"/>
      <c r="FH449" s="878"/>
      <c r="FI449" s="878"/>
      <c r="FJ449" s="878"/>
      <c r="FK449" s="878"/>
      <c r="FL449" s="555"/>
      <c r="FM449" s="554"/>
      <c r="FN449" s="554"/>
      <c r="FO449" s="554"/>
      <c r="FP449" s="554"/>
      <c r="FQ449" s="554"/>
      <c r="FR449" s="554"/>
      <c r="FS449" s="554"/>
      <c r="FT449" s="554"/>
      <c r="FU449" s="554"/>
      <c r="FV449" s="554"/>
      <c r="FW449" s="554"/>
      <c r="FX449" s="554"/>
      <c r="FY449" s="554"/>
      <c r="FZ449" s="554"/>
      <c r="GA449" s="554"/>
      <c r="GB449" s="556"/>
      <c r="GC449" s="370"/>
      <c r="GD449" s="453"/>
      <c r="GE449" s="453"/>
      <c r="GF449" s="453"/>
      <c r="GG449" s="453"/>
      <c r="GH449" s="454"/>
      <c r="GI449" s="453"/>
      <c r="GJ449" s="453"/>
      <c r="GK449" s="453"/>
      <c r="GL449" s="453"/>
      <c r="GM449" s="453"/>
      <c r="GN449" s="453"/>
      <c r="GO449" s="453"/>
      <c r="GP449" s="453"/>
      <c r="GQ449" s="453"/>
      <c r="GR449" s="453"/>
      <c r="GS449" s="561"/>
      <c r="GT449" s="475"/>
      <c r="GU449" s="472"/>
      <c r="GV449" s="453"/>
      <c r="GW449" s="453"/>
      <c r="GX449" s="869"/>
      <c r="GY449" s="870"/>
      <c r="GZ449" s="867"/>
      <c r="HA449" s="868"/>
      <c r="HB449" s="473"/>
      <c r="HC449" s="869"/>
      <c r="HD449" s="870"/>
      <c r="HE449" s="867"/>
      <c r="HF449" s="868"/>
      <c r="HG449" s="473"/>
      <c r="HH449" s="867"/>
      <c r="HI449" s="868"/>
      <c r="HJ449" s="867"/>
      <c r="HK449" s="868"/>
      <c r="HL449" s="370"/>
      <c r="HM449" s="865"/>
      <c r="HN449" s="866"/>
      <c r="HO449" s="865"/>
      <c r="HP449" s="866"/>
      <c r="HQ449" s="865"/>
      <c r="HR449" s="866"/>
      <c r="HS449" s="867"/>
      <c r="HT449" s="868"/>
      <c r="HU449" s="489"/>
      <c r="HV449" s="865"/>
      <c r="HW449" s="866"/>
    </row>
    <row r="450" spans="25:231" ht="15" customHeight="1">
      <c r="Y450" s="332"/>
      <c r="Z450" s="332"/>
      <c r="AA450" s="332"/>
      <c r="AB450" s="332"/>
      <c r="AC450" s="332"/>
      <c r="AD450" s="332"/>
      <c r="AE450" s="332"/>
      <c r="AF450" s="332"/>
      <c r="AG450" s="332"/>
      <c r="AH450" s="332"/>
      <c r="AI450" s="332"/>
      <c r="AJ450" s="332"/>
      <c r="AK450" s="332"/>
      <c r="AL450" s="332"/>
      <c r="AM450" s="332"/>
      <c r="AN450" s="332"/>
      <c r="AO450" s="332"/>
      <c r="AP450" s="332"/>
      <c r="AQ450" s="332"/>
      <c r="AR450" s="332"/>
      <c r="AS450" s="332"/>
      <c r="AT450" s="332"/>
      <c r="AU450" s="332"/>
      <c r="AV450" s="332"/>
      <c r="AW450" s="332"/>
      <c r="AX450" s="332"/>
      <c r="AY450" s="332"/>
      <c r="AZ450" s="332"/>
      <c r="BA450" s="332"/>
      <c r="BB450" s="332"/>
      <c r="BC450" s="332"/>
      <c r="BD450" s="332"/>
      <c r="BE450" s="332"/>
      <c r="BF450" s="332"/>
      <c r="BG450" s="332"/>
      <c r="BH450" s="332"/>
      <c r="BI450" s="332"/>
      <c r="BJ450" s="332"/>
      <c r="BK450" s="332"/>
      <c r="BL450" s="332"/>
      <c r="BM450" s="332"/>
      <c r="BN450" s="332"/>
      <c r="BO450" s="332"/>
      <c r="BP450" s="332"/>
      <c r="BQ450" s="332"/>
      <c r="BR450" s="332"/>
      <c r="BS450" s="332"/>
      <c r="BT450" s="332"/>
      <c r="BU450" s="332"/>
      <c r="BV450" s="332"/>
      <c r="BW450" s="332"/>
      <c r="BX450" s="332"/>
      <c r="BY450" s="332"/>
      <c r="BZ450" s="332"/>
      <c r="CA450" s="332"/>
      <c r="CB450" s="332"/>
      <c r="CC450" s="332"/>
      <c r="CD450" s="332"/>
      <c r="CE450" s="332"/>
      <c r="CF450" s="332"/>
      <c r="CG450" s="332"/>
      <c r="CH450" s="332"/>
      <c r="CI450" s="332"/>
      <c r="CJ450" s="332"/>
      <c r="CK450" s="332"/>
      <c r="CL450" s="332"/>
      <c r="CM450" s="332"/>
      <c r="CN450" s="332"/>
      <c r="CO450" s="332"/>
      <c r="CP450" s="332"/>
      <c r="CQ450" s="332"/>
      <c r="CR450" s="332"/>
      <c r="CS450" s="332"/>
      <c r="CT450" s="332"/>
      <c r="CU450" s="332"/>
      <c r="CV450" s="332"/>
      <c r="CW450" s="332"/>
      <c r="CX450" s="332"/>
      <c r="CY450" s="332"/>
      <c r="CZ450" s="332"/>
      <c r="DA450" s="332"/>
      <c r="DB450" s="332"/>
      <c r="DC450" s="332"/>
      <c r="DD450" s="332"/>
      <c r="DE450" s="332"/>
      <c r="DF450" s="332"/>
      <c r="DG450" s="332"/>
      <c r="DH450" s="332"/>
      <c r="DI450" s="332"/>
      <c r="DJ450" s="332"/>
      <c r="DK450" s="332"/>
      <c r="DL450" s="332"/>
      <c r="DM450" s="332"/>
      <c r="DN450" s="332"/>
      <c r="DO450" s="332"/>
      <c r="DP450" s="332"/>
      <c r="DQ450" s="332"/>
      <c r="DR450" s="332"/>
      <c r="DS450" s="332"/>
      <c r="DT450" s="332"/>
      <c r="DU450" s="453"/>
      <c r="DV450" s="453"/>
      <c r="DW450" s="453"/>
      <c r="DX450" s="453"/>
      <c r="DY450" s="453"/>
      <c r="DZ450" s="453"/>
      <c r="EA450" s="453"/>
      <c r="EB450" s="453"/>
      <c r="EC450" s="453"/>
      <c r="ED450" s="453"/>
      <c r="EE450" s="453"/>
      <c r="EF450" s="453"/>
      <c r="EG450" s="453"/>
      <c r="EH450" s="453"/>
      <c r="EI450" s="453"/>
      <c r="EJ450" s="453"/>
      <c r="EK450" s="453"/>
      <c r="EL450" s="453"/>
      <c r="EM450" s="483">
        <f t="shared" si="218"/>
        <v>141</v>
      </c>
      <c r="EN450" s="485"/>
      <c r="EO450" s="804"/>
      <c r="EP450" s="805"/>
      <c r="EQ450" s="806"/>
      <c r="ER450" s="808"/>
      <c r="ES450" s="881">
        <f t="shared" si="219"/>
        <v>0</v>
      </c>
      <c r="ET450" s="882"/>
      <c r="EU450" s="883"/>
      <c r="EV450" s="884">
        <f t="shared" si="217"/>
        <v>0</v>
      </c>
      <c r="EW450" s="885"/>
      <c r="EX450" s="885"/>
      <c r="EY450" s="885"/>
      <c r="EZ450" s="885"/>
      <c r="FA450" s="885"/>
      <c r="FB450" s="885"/>
      <c r="FC450" s="885"/>
      <c r="FD450" s="886"/>
      <c r="FE450" s="878"/>
      <c r="FF450" s="878"/>
      <c r="FG450" s="878"/>
      <c r="FH450" s="878"/>
      <c r="FI450" s="878"/>
      <c r="FJ450" s="878"/>
      <c r="FK450" s="878"/>
      <c r="FL450" s="555"/>
      <c r="FM450" s="554"/>
      <c r="FN450" s="554"/>
      <c r="FO450" s="554"/>
      <c r="FP450" s="554"/>
      <c r="FQ450" s="554"/>
      <c r="FR450" s="554"/>
      <c r="FS450" s="554"/>
      <c r="FT450" s="554"/>
      <c r="FU450" s="554"/>
      <c r="FV450" s="554"/>
      <c r="FW450" s="554"/>
      <c r="FX450" s="554"/>
      <c r="FY450" s="554"/>
      <c r="FZ450" s="554"/>
      <c r="GA450" s="554"/>
      <c r="GB450" s="556"/>
      <c r="GC450" s="370"/>
      <c r="GD450" s="453"/>
      <c r="GE450" s="453"/>
      <c r="GF450" s="453"/>
      <c r="GG450" s="453"/>
      <c r="GH450" s="454"/>
      <c r="GI450" s="453"/>
      <c r="GJ450" s="453"/>
      <c r="GK450" s="453"/>
      <c r="GL450" s="453"/>
      <c r="GM450" s="453"/>
      <c r="GN450" s="453"/>
      <c r="GO450" s="453"/>
      <c r="GP450" s="453"/>
      <c r="GQ450" s="453"/>
      <c r="GR450" s="453"/>
      <c r="GS450" s="561"/>
      <c r="GT450" s="475"/>
      <c r="GU450" s="472"/>
      <c r="GV450" s="453"/>
      <c r="GW450" s="453"/>
      <c r="GX450" s="869"/>
      <c r="GY450" s="870"/>
      <c r="GZ450" s="867"/>
      <c r="HA450" s="868"/>
      <c r="HB450" s="473"/>
      <c r="HC450" s="869"/>
      <c r="HD450" s="870"/>
      <c r="HE450" s="867"/>
      <c r="HF450" s="868"/>
      <c r="HG450" s="473"/>
      <c r="HH450" s="867"/>
      <c r="HI450" s="868"/>
      <c r="HJ450" s="867"/>
      <c r="HK450" s="868"/>
      <c r="HL450" s="370"/>
      <c r="HM450" s="865"/>
      <c r="HN450" s="866"/>
      <c r="HO450" s="865"/>
      <c r="HP450" s="866"/>
      <c r="HQ450" s="865"/>
      <c r="HR450" s="866"/>
      <c r="HS450" s="867"/>
      <c r="HT450" s="868"/>
      <c r="HU450" s="489"/>
      <c r="HV450" s="865"/>
      <c r="HW450" s="866"/>
    </row>
    <row r="451" spans="25:231" ht="15" customHeight="1">
      <c r="Y451" s="332"/>
      <c r="Z451" s="332"/>
      <c r="AA451" s="332"/>
      <c r="AB451" s="332"/>
      <c r="AC451" s="332"/>
      <c r="AD451" s="332"/>
      <c r="AE451" s="332"/>
      <c r="AF451" s="332"/>
      <c r="AG451" s="332"/>
      <c r="AH451" s="332"/>
      <c r="AI451" s="332"/>
      <c r="AJ451" s="332"/>
      <c r="AK451" s="332"/>
      <c r="AL451" s="332"/>
      <c r="AM451" s="332"/>
      <c r="AN451" s="332"/>
      <c r="AO451" s="332"/>
      <c r="AP451" s="332"/>
      <c r="AQ451" s="332"/>
      <c r="AR451" s="332"/>
      <c r="AS451" s="332"/>
      <c r="AT451" s="332"/>
      <c r="AU451" s="332"/>
      <c r="AV451" s="332"/>
      <c r="AW451" s="332"/>
      <c r="AX451" s="332"/>
      <c r="AY451" s="332"/>
      <c r="AZ451" s="332"/>
      <c r="BA451" s="332"/>
      <c r="BB451" s="332"/>
      <c r="BC451" s="332"/>
      <c r="BD451" s="332"/>
      <c r="BE451" s="332"/>
      <c r="BF451" s="332"/>
      <c r="BG451" s="332"/>
      <c r="BH451" s="332"/>
      <c r="BI451" s="332"/>
      <c r="BJ451" s="332"/>
      <c r="BK451" s="332"/>
      <c r="BL451" s="332"/>
      <c r="BM451" s="332"/>
      <c r="BN451" s="332"/>
      <c r="BO451" s="332"/>
      <c r="BP451" s="332"/>
      <c r="BQ451" s="332"/>
      <c r="BR451" s="332"/>
      <c r="BS451" s="332"/>
      <c r="BT451" s="332"/>
      <c r="BU451" s="332"/>
      <c r="BV451" s="332"/>
      <c r="BW451" s="332"/>
      <c r="BX451" s="332"/>
      <c r="BY451" s="332"/>
      <c r="BZ451" s="332"/>
      <c r="CA451" s="332"/>
      <c r="CB451" s="332"/>
      <c r="CC451" s="332"/>
      <c r="CD451" s="332"/>
      <c r="CE451" s="332"/>
      <c r="CF451" s="332"/>
      <c r="CG451" s="332"/>
      <c r="CH451" s="332"/>
      <c r="CI451" s="332"/>
      <c r="CJ451" s="332"/>
      <c r="CK451" s="332"/>
      <c r="CL451" s="332"/>
      <c r="CM451" s="332"/>
      <c r="CN451" s="332"/>
      <c r="CO451" s="332"/>
      <c r="CP451" s="332"/>
      <c r="CQ451" s="332"/>
      <c r="CR451" s="332"/>
      <c r="CS451" s="332"/>
      <c r="CT451" s="332"/>
      <c r="CU451" s="332"/>
      <c r="CV451" s="332"/>
      <c r="CW451" s="332"/>
      <c r="CX451" s="332"/>
      <c r="CY451" s="332"/>
      <c r="CZ451" s="332"/>
      <c r="DA451" s="332"/>
      <c r="DB451" s="332"/>
      <c r="DC451" s="332"/>
      <c r="DD451" s="332"/>
      <c r="DE451" s="332"/>
      <c r="DF451" s="332"/>
      <c r="DG451" s="332"/>
      <c r="DH451" s="332"/>
      <c r="DI451" s="332"/>
      <c r="DJ451" s="332"/>
      <c r="DK451" s="332"/>
      <c r="DL451" s="332"/>
      <c r="DM451" s="332"/>
      <c r="DN451" s="332"/>
      <c r="DO451" s="332"/>
      <c r="DP451" s="332"/>
      <c r="DQ451" s="332"/>
      <c r="DR451" s="332"/>
      <c r="DS451" s="332"/>
      <c r="DT451" s="332"/>
      <c r="DU451" s="453"/>
      <c r="DV451" s="453"/>
      <c r="DW451" s="453"/>
      <c r="DX451" s="453"/>
      <c r="DY451" s="453"/>
      <c r="DZ451" s="453"/>
      <c r="EA451" s="453"/>
      <c r="EB451" s="453"/>
      <c r="EC451" s="453"/>
      <c r="ED451" s="453"/>
      <c r="EE451" s="453"/>
      <c r="EF451" s="453"/>
      <c r="EG451" s="453"/>
      <c r="EH451" s="453"/>
      <c r="EI451" s="453"/>
      <c r="EJ451" s="453"/>
      <c r="EK451" s="453"/>
      <c r="EL451" s="453"/>
      <c r="EM451" s="483">
        <f t="shared" si="218"/>
        <v>142</v>
      </c>
      <c r="EN451" s="485"/>
      <c r="EO451" s="804"/>
      <c r="EP451" s="805"/>
      <c r="EQ451" s="806"/>
      <c r="ER451" s="808"/>
      <c r="ES451" s="881">
        <f t="shared" si="219"/>
        <v>0</v>
      </c>
      <c r="ET451" s="882"/>
      <c r="EU451" s="883"/>
      <c r="EV451" s="884">
        <f t="shared" si="217"/>
        <v>0</v>
      </c>
      <c r="EW451" s="885"/>
      <c r="EX451" s="885"/>
      <c r="EY451" s="885"/>
      <c r="EZ451" s="885"/>
      <c r="FA451" s="885"/>
      <c r="FB451" s="885"/>
      <c r="FC451" s="885"/>
      <c r="FD451" s="886"/>
      <c r="FE451" s="878"/>
      <c r="FF451" s="878"/>
      <c r="FG451" s="878"/>
      <c r="FH451" s="878"/>
      <c r="FI451" s="878"/>
      <c r="FJ451" s="878"/>
      <c r="FK451" s="878"/>
      <c r="FL451" s="555"/>
      <c r="FM451" s="554"/>
      <c r="FN451" s="554"/>
      <c r="FO451" s="554"/>
      <c r="FP451" s="554"/>
      <c r="FQ451" s="554"/>
      <c r="FR451" s="554"/>
      <c r="FS451" s="554"/>
      <c r="FT451" s="554"/>
      <c r="FU451" s="554"/>
      <c r="FV451" s="554"/>
      <c r="FW451" s="554"/>
      <c r="FX451" s="554"/>
      <c r="FY451" s="554"/>
      <c r="FZ451" s="554"/>
      <c r="GA451" s="554"/>
      <c r="GB451" s="556"/>
      <c r="GC451" s="370"/>
      <c r="GD451" s="453"/>
      <c r="GE451" s="453"/>
      <c r="GF451" s="453"/>
      <c r="GG451" s="453"/>
      <c r="GH451" s="454"/>
      <c r="GI451" s="453"/>
      <c r="GJ451" s="453"/>
      <c r="GK451" s="453"/>
      <c r="GL451" s="453"/>
      <c r="GM451" s="453"/>
      <c r="GN451" s="453"/>
      <c r="GO451" s="453"/>
      <c r="GP451" s="453"/>
      <c r="GQ451" s="453"/>
      <c r="GR451" s="453"/>
      <c r="GS451" s="561"/>
      <c r="GT451" s="475"/>
      <c r="GU451" s="472"/>
      <c r="GV451" s="453"/>
      <c r="GW451" s="453"/>
      <c r="GX451" s="869"/>
      <c r="GY451" s="870"/>
      <c r="GZ451" s="867"/>
      <c r="HA451" s="868"/>
      <c r="HB451" s="473"/>
      <c r="HC451" s="869"/>
      <c r="HD451" s="870"/>
      <c r="HE451" s="867"/>
      <c r="HF451" s="868"/>
      <c r="HG451" s="473"/>
      <c r="HH451" s="867"/>
      <c r="HI451" s="868"/>
      <c r="HJ451" s="867"/>
      <c r="HK451" s="868"/>
      <c r="HL451" s="370"/>
      <c r="HM451" s="865"/>
      <c r="HN451" s="866"/>
      <c r="HO451" s="865"/>
      <c r="HP451" s="866"/>
      <c r="HQ451" s="865"/>
      <c r="HR451" s="866"/>
      <c r="HS451" s="867"/>
      <c r="HT451" s="868"/>
      <c r="HU451" s="489"/>
      <c r="HV451" s="865"/>
      <c r="HW451" s="866"/>
    </row>
    <row r="452" spans="25:231" ht="15" customHeight="1">
      <c r="Y452" s="332"/>
      <c r="Z452" s="332"/>
      <c r="AA452" s="332"/>
      <c r="AB452" s="332"/>
      <c r="AC452" s="332"/>
      <c r="AD452" s="332"/>
      <c r="AE452" s="332"/>
      <c r="AF452" s="332"/>
      <c r="AG452" s="332"/>
      <c r="AH452" s="332"/>
      <c r="AI452" s="332"/>
      <c r="AJ452" s="332"/>
      <c r="AK452" s="332"/>
      <c r="AL452" s="332"/>
      <c r="AM452" s="332"/>
      <c r="AN452" s="332"/>
      <c r="AO452" s="332"/>
      <c r="AP452" s="332"/>
      <c r="AQ452" s="332"/>
      <c r="AR452" s="332"/>
      <c r="AS452" s="332"/>
      <c r="AT452" s="332"/>
      <c r="AU452" s="332"/>
      <c r="AV452" s="332"/>
      <c r="AW452" s="332"/>
      <c r="AX452" s="332"/>
      <c r="AY452" s="332"/>
      <c r="AZ452" s="332"/>
      <c r="BA452" s="332"/>
      <c r="BB452" s="332"/>
      <c r="BC452" s="332"/>
      <c r="BD452" s="332"/>
      <c r="BE452" s="332"/>
      <c r="BF452" s="332"/>
      <c r="BG452" s="332"/>
      <c r="BH452" s="332"/>
      <c r="BI452" s="332"/>
      <c r="BJ452" s="332"/>
      <c r="BK452" s="332"/>
      <c r="BL452" s="332"/>
      <c r="BM452" s="332"/>
      <c r="BN452" s="332"/>
      <c r="BO452" s="332"/>
      <c r="BP452" s="332"/>
      <c r="BQ452" s="332"/>
      <c r="BR452" s="332"/>
      <c r="BS452" s="332"/>
      <c r="BT452" s="332"/>
      <c r="BU452" s="332"/>
      <c r="BV452" s="332"/>
      <c r="BW452" s="332"/>
      <c r="BX452" s="332"/>
      <c r="BY452" s="332"/>
      <c r="BZ452" s="332"/>
      <c r="CA452" s="332"/>
      <c r="CB452" s="332"/>
      <c r="CC452" s="332"/>
      <c r="CD452" s="332"/>
      <c r="CE452" s="332"/>
      <c r="CF452" s="332"/>
      <c r="CG452" s="332"/>
      <c r="CH452" s="332"/>
      <c r="CI452" s="332"/>
      <c r="CJ452" s="332"/>
      <c r="CK452" s="332"/>
      <c r="CL452" s="332"/>
      <c r="CM452" s="332"/>
      <c r="CN452" s="332"/>
      <c r="CO452" s="332"/>
      <c r="CP452" s="332"/>
      <c r="CQ452" s="332"/>
      <c r="CR452" s="332"/>
      <c r="CS452" s="332"/>
      <c r="CT452" s="332"/>
      <c r="CU452" s="332"/>
      <c r="CV452" s="332"/>
      <c r="CW452" s="332"/>
      <c r="CX452" s="332"/>
      <c r="CY452" s="332"/>
      <c r="CZ452" s="332"/>
      <c r="DA452" s="332"/>
      <c r="DB452" s="332"/>
      <c r="DC452" s="332"/>
      <c r="DD452" s="332"/>
      <c r="DE452" s="332"/>
      <c r="DF452" s="332"/>
      <c r="DG452" s="332"/>
      <c r="DH452" s="332"/>
      <c r="DI452" s="332"/>
      <c r="DJ452" s="332"/>
      <c r="DK452" s="332"/>
      <c r="DL452" s="332"/>
      <c r="DM452" s="332"/>
      <c r="DN452" s="332"/>
      <c r="DO452" s="332"/>
      <c r="DP452" s="332"/>
      <c r="DQ452" s="332"/>
      <c r="DR452" s="332"/>
      <c r="DS452" s="332"/>
      <c r="DT452" s="332"/>
      <c r="DU452" s="453"/>
      <c r="DV452" s="453"/>
      <c r="DW452" s="453"/>
      <c r="DX452" s="453"/>
      <c r="DY452" s="453"/>
      <c r="DZ452" s="453"/>
      <c r="EA452" s="453"/>
      <c r="EB452" s="453"/>
      <c r="EC452" s="453"/>
      <c r="ED452" s="453"/>
      <c r="EE452" s="453"/>
      <c r="EF452" s="453"/>
      <c r="EG452" s="453"/>
      <c r="EH452" s="453"/>
      <c r="EI452" s="453"/>
      <c r="EJ452" s="453"/>
      <c r="EK452" s="453"/>
      <c r="EL452" s="453"/>
      <c r="EM452" s="483">
        <f t="shared" si="218"/>
        <v>143</v>
      </c>
      <c r="EN452" s="485"/>
      <c r="EO452" s="804"/>
      <c r="EP452" s="805"/>
      <c r="EQ452" s="806"/>
      <c r="ER452" s="808"/>
      <c r="ES452" s="881">
        <f t="shared" si="219"/>
        <v>0</v>
      </c>
      <c r="ET452" s="882"/>
      <c r="EU452" s="883"/>
      <c r="EV452" s="884">
        <f t="shared" si="217"/>
        <v>0</v>
      </c>
      <c r="EW452" s="885"/>
      <c r="EX452" s="885"/>
      <c r="EY452" s="885"/>
      <c r="EZ452" s="885"/>
      <c r="FA452" s="885"/>
      <c r="FB452" s="885"/>
      <c r="FC452" s="885"/>
      <c r="FD452" s="886"/>
      <c r="FE452" s="878"/>
      <c r="FF452" s="878"/>
      <c r="FG452" s="878"/>
      <c r="FH452" s="878"/>
      <c r="FI452" s="878"/>
      <c r="FJ452" s="878"/>
      <c r="FK452" s="878"/>
      <c r="FL452" s="555"/>
      <c r="FM452" s="554"/>
      <c r="FN452" s="554"/>
      <c r="FO452" s="554"/>
      <c r="FP452" s="554"/>
      <c r="FQ452" s="554"/>
      <c r="FR452" s="554"/>
      <c r="FS452" s="554"/>
      <c r="FT452" s="554"/>
      <c r="FU452" s="554"/>
      <c r="FV452" s="554"/>
      <c r="FW452" s="554"/>
      <c r="FX452" s="554"/>
      <c r="FY452" s="554"/>
      <c r="FZ452" s="554"/>
      <c r="GA452" s="554"/>
      <c r="GB452" s="556"/>
      <c r="GC452" s="370"/>
      <c r="GD452" s="453"/>
      <c r="GE452" s="453"/>
      <c r="GF452" s="453"/>
      <c r="GG452" s="453"/>
      <c r="GH452" s="454"/>
      <c r="GI452" s="453"/>
      <c r="GJ452" s="453"/>
      <c r="GK452" s="453"/>
      <c r="GL452" s="453"/>
      <c r="GM452" s="453"/>
      <c r="GN452" s="453"/>
      <c r="GO452" s="453"/>
      <c r="GP452" s="453"/>
      <c r="GQ452" s="453"/>
      <c r="GR452" s="453"/>
      <c r="GS452" s="561"/>
      <c r="GT452" s="475"/>
      <c r="GU452" s="472"/>
      <c r="GV452" s="453"/>
      <c r="GW452" s="453"/>
      <c r="GX452" s="869"/>
      <c r="GY452" s="870"/>
      <c r="GZ452" s="867"/>
      <c r="HA452" s="868"/>
      <c r="HB452" s="473"/>
      <c r="HC452" s="869"/>
      <c r="HD452" s="870"/>
      <c r="HE452" s="867"/>
      <c r="HF452" s="868"/>
      <c r="HG452" s="473"/>
      <c r="HH452" s="867"/>
      <c r="HI452" s="868"/>
      <c r="HJ452" s="867"/>
      <c r="HK452" s="868"/>
      <c r="HL452" s="370"/>
      <c r="HM452" s="865"/>
      <c r="HN452" s="866"/>
      <c r="HO452" s="865"/>
      <c r="HP452" s="866"/>
      <c r="HQ452" s="865"/>
      <c r="HR452" s="866"/>
      <c r="HS452" s="867"/>
      <c r="HT452" s="868"/>
      <c r="HU452" s="489"/>
      <c r="HV452" s="865"/>
      <c r="HW452" s="866"/>
    </row>
    <row r="453" spans="25:231" ht="15" customHeight="1">
      <c r="Y453" s="332"/>
      <c r="Z453" s="332"/>
      <c r="AA453" s="332"/>
      <c r="AB453" s="332"/>
      <c r="AC453" s="332"/>
      <c r="AD453" s="332"/>
      <c r="AE453" s="332"/>
      <c r="AF453" s="332"/>
      <c r="AG453" s="332"/>
      <c r="AH453" s="332"/>
      <c r="AI453" s="332"/>
      <c r="AJ453" s="332"/>
      <c r="AK453" s="332"/>
      <c r="AL453" s="332"/>
      <c r="AM453" s="332"/>
      <c r="AN453" s="332"/>
      <c r="AO453" s="332"/>
      <c r="AP453" s="332"/>
      <c r="AQ453" s="332"/>
      <c r="AR453" s="332"/>
      <c r="AS453" s="332"/>
      <c r="AT453" s="332"/>
      <c r="AU453" s="332"/>
      <c r="AV453" s="332"/>
      <c r="AW453" s="332"/>
      <c r="AX453" s="332"/>
      <c r="AY453" s="332"/>
      <c r="AZ453" s="332"/>
      <c r="BA453" s="332"/>
      <c r="BB453" s="332"/>
      <c r="BC453" s="332"/>
      <c r="BD453" s="332"/>
      <c r="BE453" s="332"/>
      <c r="BF453" s="332"/>
      <c r="BG453" s="332"/>
      <c r="BH453" s="332"/>
      <c r="BI453" s="332"/>
      <c r="BJ453" s="332"/>
      <c r="BK453" s="332"/>
      <c r="BL453" s="332"/>
      <c r="BM453" s="332"/>
      <c r="BN453" s="332"/>
      <c r="BO453" s="332"/>
      <c r="BP453" s="332"/>
      <c r="BQ453" s="332"/>
      <c r="BR453" s="332"/>
      <c r="BS453" s="332"/>
      <c r="BT453" s="332"/>
      <c r="BU453" s="332"/>
      <c r="BV453" s="332"/>
      <c r="BW453" s="332"/>
      <c r="BX453" s="332"/>
      <c r="BY453" s="332"/>
      <c r="BZ453" s="332"/>
      <c r="CA453" s="332"/>
      <c r="CB453" s="332"/>
      <c r="CC453" s="332"/>
      <c r="CD453" s="332"/>
      <c r="CE453" s="332"/>
      <c r="CF453" s="332"/>
      <c r="CG453" s="332"/>
      <c r="CH453" s="332"/>
      <c r="CI453" s="332"/>
      <c r="CJ453" s="332"/>
      <c r="CK453" s="332"/>
      <c r="CL453" s="332"/>
      <c r="CM453" s="332"/>
      <c r="CN453" s="332"/>
      <c r="CO453" s="332"/>
      <c r="CP453" s="332"/>
      <c r="CQ453" s="332"/>
      <c r="CR453" s="332"/>
      <c r="CS453" s="332"/>
      <c r="CT453" s="332"/>
      <c r="CU453" s="332"/>
      <c r="CV453" s="332"/>
      <c r="CW453" s="332"/>
      <c r="CX453" s="332"/>
      <c r="CY453" s="332"/>
      <c r="CZ453" s="332"/>
      <c r="DA453" s="332"/>
      <c r="DB453" s="332"/>
      <c r="DC453" s="332"/>
      <c r="DD453" s="332"/>
      <c r="DE453" s="332"/>
      <c r="DF453" s="332"/>
      <c r="DG453" s="332"/>
      <c r="DH453" s="332"/>
      <c r="DI453" s="332"/>
      <c r="DJ453" s="332"/>
      <c r="DK453" s="332"/>
      <c r="DL453" s="332"/>
      <c r="DM453" s="332"/>
      <c r="DN453" s="332"/>
      <c r="DO453" s="332"/>
      <c r="DP453" s="332"/>
      <c r="DQ453" s="332"/>
      <c r="DR453" s="332"/>
      <c r="DS453" s="332"/>
      <c r="DT453" s="332"/>
      <c r="DU453" s="453"/>
      <c r="DV453" s="453"/>
      <c r="DW453" s="453"/>
      <c r="DX453" s="453"/>
      <c r="DY453" s="453"/>
      <c r="DZ453" s="453"/>
      <c r="EA453" s="453"/>
      <c r="EB453" s="453"/>
      <c r="EC453" s="453"/>
      <c r="ED453" s="453"/>
      <c r="EE453" s="453"/>
      <c r="EF453" s="453"/>
      <c r="EG453" s="453"/>
      <c r="EH453" s="453"/>
      <c r="EI453" s="453"/>
      <c r="EJ453" s="453"/>
      <c r="EK453" s="453"/>
      <c r="EL453" s="453"/>
      <c r="EM453" s="483">
        <f t="shared" si="218"/>
        <v>144</v>
      </c>
      <c r="EN453" s="485"/>
      <c r="EO453" s="804"/>
      <c r="EP453" s="805"/>
      <c r="EQ453" s="806"/>
      <c r="ER453" s="808"/>
      <c r="ES453" s="881">
        <f t="shared" si="219"/>
        <v>0</v>
      </c>
      <c r="ET453" s="882"/>
      <c r="EU453" s="883"/>
      <c r="EV453" s="884">
        <f t="shared" si="217"/>
        <v>0</v>
      </c>
      <c r="EW453" s="885"/>
      <c r="EX453" s="885"/>
      <c r="EY453" s="885"/>
      <c r="EZ453" s="885"/>
      <c r="FA453" s="885"/>
      <c r="FB453" s="885"/>
      <c r="FC453" s="885"/>
      <c r="FD453" s="886"/>
      <c r="FE453" s="878"/>
      <c r="FF453" s="878"/>
      <c r="FG453" s="878"/>
      <c r="FH453" s="878"/>
      <c r="FI453" s="878"/>
      <c r="FJ453" s="878"/>
      <c r="FK453" s="878"/>
      <c r="FL453" s="555"/>
      <c r="FM453" s="554"/>
      <c r="FN453" s="554"/>
      <c r="FO453" s="554"/>
      <c r="FP453" s="554"/>
      <c r="FQ453" s="554"/>
      <c r="FR453" s="554"/>
      <c r="FS453" s="554"/>
      <c r="FT453" s="554"/>
      <c r="FU453" s="554"/>
      <c r="FV453" s="554"/>
      <c r="FW453" s="554"/>
      <c r="FX453" s="554"/>
      <c r="FY453" s="554"/>
      <c r="FZ453" s="554"/>
      <c r="GA453" s="554"/>
      <c r="GB453" s="556"/>
      <c r="GC453" s="370"/>
      <c r="GD453" s="453"/>
      <c r="GE453" s="453"/>
      <c r="GF453" s="453"/>
      <c r="GG453" s="453"/>
      <c r="GH453" s="454"/>
      <c r="GI453" s="453"/>
      <c r="GJ453" s="453"/>
      <c r="GK453" s="453"/>
      <c r="GL453" s="453"/>
      <c r="GM453" s="453"/>
      <c r="GN453" s="453"/>
      <c r="GO453" s="453"/>
      <c r="GP453" s="453"/>
      <c r="GQ453" s="453"/>
      <c r="GR453" s="453"/>
      <c r="GS453" s="561"/>
      <c r="GT453" s="475"/>
      <c r="GU453" s="472"/>
      <c r="GV453" s="453"/>
      <c r="GW453" s="453"/>
      <c r="GX453" s="869"/>
      <c r="GY453" s="870"/>
      <c r="GZ453" s="867"/>
      <c r="HA453" s="868"/>
      <c r="HB453" s="473"/>
      <c r="HC453" s="869"/>
      <c r="HD453" s="870"/>
      <c r="HE453" s="867"/>
      <c r="HF453" s="868"/>
      <c r="HG453" s="473"/>
      <c r="HH453" s="867"/>
      <c r="HI453" s="868"/>
      <c r="HJ453" s="867"/>
      <c r="HK453" s="868"/>
      <c r="HL453" s="370"/>
      <c r="HM453" s="865"/>
      <c r="HN453" s="866"/>
      <c r="HO453" s="865"/>
      <c r="HP453" s="866"/>
      <c r="HQ453" s="865"/>
      <c r="HR453" s="866"/>
      <c r="HS453" s="867"/>
      <c r="HT453" s="868"/>
      <c r="HU453" s="489"/>
      <c r="HV453" s="865"/>
      <c r="HW453" s="866"/>
    </row>
    <row r="454" spans="25:231" ht="15" customHeight="1">
      <c r="Y454" s="332"/>
      <c r="Z454" s="332"/>
      <c r="AA454" s="332"/>
      <c r="AB454" s="332"/>
      <c r="AC454" s="332"/>
      <c r="AD454" s="332"/>
      <c r="AE454" s="332"/>
      <c r="AF454" s="332"/>
      <c r="AG454" s="332"/>
      <c r="AH454" s="332"/>
      <c r="AI454" s="332"/>
      <c r="AJ454" s="332"/>
      <c r="AK454" s="332"/>
      <c r="AL454" s="332"/>
      <c r="AM454" s="332"/>
      <c r="AN454" s="332"/>
      <c r="AO454" s="332"/>
      <c r="AP454" s="332"/>
      <c r="AQ454" s="332"/>
      <c r="AR454" s="332"/>
      <c r="AS454" s="332"/>
      <c r="AT454" s="332"/>
      <c r="AU454" s="332"/>
      <c r="AV454" s="332"/>
      <c r="AW454" s="332"/>
      <c r="AX454" s="332"/>
      <c r="AY454" s="332"/>
      <c r="AZ454" s="332"/>
      <c r="BA454" s="332"/>
      <c r="BB454" s="332"/>
      <c r="BC454" s="332"/>
      <c r="BD454" s="332"/>
      <c r="BE454" s="332"/>
      <c r="BF454" s="332"/>
      <c r="BG454" s="332"/>
      <c r="BH454" s="332"/>
      <c r="BI454" s="332"/>
      <c r="BJ454" s="332"/>
      <c r="BK454" s="332"/>
      <c r="BL454" s="332"/>
      <c r="BM454" s="332"/>
      <c r="BN454" s="332"/>
      <c r="BO454" s="332"/>
      <c r="BP454" s="332"/>
      <c r="BQ454" s="332"/>
      <c r="BR454" s="332"/>
      <c r="BS454" s="332"/>
      <c r="BT454" s="332"/>
      <c r="BU454" s="332"/>
      <c r="BV454" s="332"/>
      <c r="BW454" s="332"/>
      <c r="BX454" s="332"/>
      <c r="BY454" s="332"/>
      <c r="BZ454" s="332"/>
      <c r="CA454" s="332"/>
      <c r="CB454" s="332"/>
      <c r="CC454" s="332"/>
      <c r="CD454" s="332"/>
      <c r="CE454" s="332"/>
      <c r="CF454" s="332"/>
      <c r="CG454" s="332"/>
      <c r="CH454" s="332"/>
      <c r="CI454" s="332"/>
      <c r="CJ454" s="332"/>
      <c r="CK454" s="332"/>
      <c r="CL454" s="332"/>
      <c r="CM454" s="332"/>
      <c r="CN454" s="332"/>
      <c r="CO454" s="332"/>
      <c r="CP454" s="332"/>
      <c r="CQ454" s="332"/>
      <c r="CR454" s="332"/>
      <c r="CS454" s="332"/>
      <c r="CT454" s="332"/>
      <c r="CU454" s="332"/>
      <c r="CV454" s="332"/>
      <c r="CW454" s="332"/>
      <c r="CX454" s="332"/>
      <c r="CY454" s="332"/>
      <c r="CZ454" s="332"/>
      <c r="DA454" s="332"/>
      <c r="DB454" s="332"/>
      <c r="DC454" s="332"/>
      <c r="DD454" s="332"/>
      <c r="DE454" s="332"/>
      <c r="DF454" s="332"/>
      <c r="DG454" s="332"/>
      <c r="DH454" s="332"/>
      <c r="DI454" s="332"/>
      <c r="DJ454" s="332"/>
      <c r="DK454" s="332"/>
      <c r="DL454" s="332"/>
      <c r="DM454" s="332"/>
      <c r="DN454" s="332"/>
      <c r="DO454" s="332"/>
      <c r="DP454" s="332"/>
      <c r="DQ454" s="332"/>
      <c r="DR454" s="332"/>
      <c r="DS454" s="332"/>
      <c r="DT454" s="332"/>
      <c r="DU454" s="453"/>
      <c r="DV454" s="453"/>
      <c r="DW454" s="453"/>
      <c r="DX454" s="453"/>
      <c r="DY454" s="453"/>
      <c r="DZ454" s="453"/>
      <c r="EA454" s="453"/>
      <c r="EB454" s="453"/>
      <c r="EC454" s="453"/>
      <c r="ED454" s="453"/>
      <c r="EE454" s="453"/>
      <c r="EF454" s="453"/>
      <c r="EG454" s="453"/>
      <c r="EH454" s="453"/>
      <c r="EI454" s="453"/>
      <c r="EJ454" s="453"/>
      <c r="EK454" s="453"/>
      <c r="EL454" s="453"/>
      <c r="EM454" s="483">
        <f t="shared" si="218"/>
        <v>145</v>
      </c>
      <c r="EN454" s="485"/>
      <c r="EO454" s="804"/>
      <c r="EP454" s="805"/>
      <c r="EQ454" s="806"/>
      <c r="ER454" s="808"/>
      <c r="ES454" s="881">
        <f t="shared" si="219"/>
        <v>0</v>
      </c>
      <c r="ET454" s="882"/>
      <c r="EU454" s="883"/>
      <c r="EV454" s="884">
        <f t="shared" si="217"/>
        <v>0</v>
      </c>
      <c r="EW454" s="885"/>
      <c r="EX454" s="885"/>
      <c r="EY454" s="885"/>
      <c r="EZ454" s="885"/>
      <c r="FA454" s="885"/>
      <c r="FB454" s="885"/>
      <c r="FC454" s="885"/>
      <c r="FD454" s="886"/>
      <c r="FE454" s="878"/>
      <c r="FF454" s="878"/>
      <c r="FG454" s="878"/>
      <c r="FH454" s="878"/>
      <c r="FI454" s="878"/>
      <c r="FJ454" s="878"/>
      <c r="FK454" s="878"/>
      <c r="FL454" s="555"/>
      <c r="FM454" s="554"/>
      <c r="FN454" s="554"/>
      <c r="FO454" s="554"/>
      <c r="FP454" s="554"/>
      <c r="FQ454" s="554"/>
      <c r="FR454" s="554"/>
      <c r="FS454" s="554"/>
      <c r="FT454" s="554"/>
      <c r="FU454" s="554"/>
      <c r="FV454" s="554"/>
      <c r="FW454" s="554"/>
      <c r="FX454" s="554"/>
      <c r="FY454" s="554"/>
      <c r="FZ454" s="554"/>
      <c r="GA454" s="554"/>
      <c r="GB454" s="556"/>
      <c r="GC454" s="370"/>
      <c r="GD454" s="453"/>
      <c r="GE454" s="453"/>
      <c r="GF454" s="453"/>
      <c r="GG454" s="453"/>
      <c r="GH454" s="454"/>
      <c r="GI454" s="453"/>
      <c r="GJ454" s="453"/>
      <c r="GK454" s="453"/>
      <c r="GL454" s="453"/>
      <c r="GM454" s="453"/>
      <c r="GN454" s="453"/>
      <c r="GO454" s="453"/>
      <c r="GP454" s="453"/>
      <c r="GQ454" s="453"/>
      <c r="GR454" s="453"/>
      <c r="GS454" s="561"/>
      <c r="GT454" s="475"/>
      <c r="GU454" s="472"/>
      <c r="GV454" s="453"/>
      <c r="GW454" s="453"/>
      <c r="GX454" s="869"/>
      <c r="GY454" s="870"/>
      <c r="GZ454" s="867"/>
      <c r="HA454" s="868"/>
      <c r="HB454" s="473"/>
      <c r="HC454" s="869"/>
      <c r="HD454" s="870"/>
      <c r="HE454" s="867"/>
      <c r="HF454" s="868"/>
      <c r="HG454" s="473"/>
      <c r="HH454" s="867"/>
      <c r="HI454" s="868"/>
      <c r="HJ454" s="867"/>
      <c r="HK454" s="868"/>
      <c r="HL454" s="370"/>
      <c r="HM454" s="865"/>
      <c r="HN454" s="866"/>
      <c r="HO454" s="865"/>
      <c r="HP454" s="866"/>
      <c r="HQ454" s="865"/>
      <c r="HR454" s="866"/>
      <c r="HS454" s="867"/>
      <c r="HT454" s="868"/>
      <c r="HU454" s="489"/>
      <c r="HV454" s="865"/>
      <c r="HW454" s="866"/>
    </row>
    <row r="455" spans="25:231" ht="15" customHeight="1">
      <c r="Y455" s="332"/>
      <c r="Z455" s="332"/>
      <c r="AA455" s="332"/>
      <c r="AB455" s="332"/>
      <c r="AC455" s="332"/>
      <c r="AD455" s="332"/>
      <c r="AE455" s="332"/>
      <c r="AF455" s="332"/>
      <c r="AG455" s="332"/>
      <c r="AH455" s="332"/>
      <c r="AI455" s="332"/>
      <c r="AJ455" s="332"/>
      <c r="AK455" s="332"/>
      <c r="AL455" s="332"/>
      <c r="AM455" s="332"/>
      <c r="AN455" s="332"/>
      <c r="AO455" s="332"/>
      <c r="AP455" s="332"/>
      <c r="AQ455" s="332"/>
      <c r="AR455" s="332"/>
      <c r="AS455" s="332"/>
      <c r="AT455" s="332"/>
      <c r="AU455" s="332"/>
      <c r="AV455" s="332"/>
      <c r="AW455" s="332"/>
      <c r="AX455" s="332"/>
      <c r="AY455" s="332"/>
      <c r="AZ455" s="332"/>
      <c r="BA455" s="332"/>
      <c r="BB455" s="332"/>
      <c r="BC455" s="332"/>
      <c r="BD455" s="332"/>
      <c r="BE455" s="332"/>
      <c r="BF455" s="332"/>
      <c r="BG455" s="332"/>
      <c r="BH455" s="332"/>
      <c r="BI455" s="332"/>
      <c r="BJ455" s="332"/>
      <c r="BK455" s="332"/>
      <c r="BL455" s="332"/>
      <c r="BM455" s="332"/>
      <c r="BN455" s="332"/>
      <c r="BO455" s="332"/>
      <c r="BP455" s="332"/>
      <c r="BQ455" s="332"/>
      <c r="BR455" s="332"/>
      <c r="BS455" s="332"/>
      <c r="BT455" s="332"/>
      <c r="BU455" s="332"/>
      <c r="BV455" s="332"/>
      <c r="BW455" s="332"/>
      <c r="BX455" s="332"/>
      <c r="BY455" s="332"/>
      <c r="BZ455" s="332"/>
      <c r="CA455" s="332"/>
      <c r="CB455" s="332"/>
      <c r="CC455" s="332"/>
      <c r="CD455" s="332"/>
      <c r="CE455" s="332"/>
      <c r="CF455" s="332"/>
      <c r="CG455" s="332"/>
      <c r="CH455" s="332"/>
      <c r="CI455" s="332"/>
      <c r="CJ455" s="332"/>
      <c r="CK455" s="332"/>
      <c r="CL455" s="332"/>
      <c r="CM455" s="332"/>
      <c r="CN455" s="332"/>
      <c r="CO455" s="332"/>
      <c r="CP455" s="332"/>
      <c r="CQ455" s="332"/>
      <c r="CR455" s="332"/>
      <c r="CS455" s="332"/>
      <c r="CT455" s="332"/>
      <c r="CU455" s="332"/>
      <c r="CV455" s="332"/>
      <c r="CW455" s="332"/>
      <c r="CX455" s="332"/>
      <c r="CY455" s="332"/>
      <c r="CZ455" s="332"/>
      <c r="DA455" s="332"/>
      <c r="DB455" s="332"/>
      <c r="DC455" s="332"/>
      <c r="DD455" s="332"/>
      <c r="DE455" s="332"/>
      <c r="DF455" s="332"/>
      <c r="DG455" s="332"/>
      <c r="DH455" s="332"/>
      <c r="DI455" s="332"/>
      <c r="DJ455" s="332"/>
      <c r="DK455" s="332"/>
      <c r="DL455" s="332"/>
      <c r="DM455" s="332"/>
      <c r="DN455" s="332"/>
      <c r="DO455" s="332"/>
      <c r="DP455" s="332"/>
      <c r="DQ455" s="332"/>
      <c r="DR455" s="332"/>
      <c r="DS455" s="332"/>
      <c r="DT455" s="332"/>
      <c r="DU455" s="453"/>
      <c r="DV455" s="453"/>
      <c r="DW455" s="453"/>
      <c r="DX455" s="453"/>
      <c r="DY455" s="453"/>
      <c r="DZ455" s="453"/>
      <c r="EA455" s="453"/>
      <c r="EB455" s="453"/>
      <c r="EC455" s="453"/>
      <c r="ED455" s="453"/>
      <c r="EE455" s="453"/>
      <c r="EF455" s="453"/>
      <c r="EG455" s="453"/>
      <c r="EH455" s="453"/>
      <c r="EI455" s="453"/>
      <c r="EJ455" s="453"/>
      <c r="EK455" s="453"/>
      <c r="EL455" s="453"/>
      <c r="EM455" s="483">
        <f t="shared" si="218"/>
        <v>146</v>
      </c>
      <c r="EN455" s="485"/>
      <c r="EO455" s="804"/>
      <c r="EP455" s="805"/>
      <c r="EQ455" s="806"/>
      <c r="ER455" s="808"/>
      <c r="ES455" s="881">
        <f t="shared" si="219"/>
        <v>0</v>
      </c>
      <c r="ET455" s="882"/>
      <c r="EU455" s="883"/>
      <c r="EV455" s="884">
        <f t="shared" si="217"/>
        <v>0</v>
      </c>
      <c r="EW455" s="885"/>
      <c r="EX455" s="885"/>
      <c r="EY455" s="885"/>
      <c r="EZ455" s="885"/>
      <c r="FA455" s="885"/>
      <c r="FB455" s="885"/>
      <c r="FC455" s="885"/>
      <c r="FD455" s="886"/>
      <c r="FE455" s="878"/>
      <c r="FF455" s="878"/>
      <c r="FG455" s="878"/>
      <c r="FH455" s="878"/>
      <c r="FI455" s="878"/>
      <c r="FJ455" s="878"/>
      <c r="FK455" s="878"/>
      <c r="FL455" s="555"/>
      <c r="FM455" s="554"/>
      <c r="FN455" s="554"/>
      <c r="FO455" s="554"/>
      <c r="FP455" s="554"/>
      <c r="FQ455" s="554"/>
      <c r="FR455" s="554"/>
      <c r="FS455" s="554"/>
      <c r="FT455" s="554"/>
      <c r="FU455" s="554"/>
      <c r="FV455" s="554"/>
      <c r="FW455" s="554"/>
      <c r="FX455" s="554"/>
      <c r="FY455" s="554"/>
      <c r="FZ455" s="554"/>
      <c r="GA455" s="554"/>
      <c r="GB455" s="556"/>
      <c r="GC455" s="370"/>
      <c r="GD455" s="453"/>
      <c r="GE455" s="453"/>
      <c r="GF455" s="453"/>
      <c r="GG455" s="453"/>
      <c r="GH455" s="454"/>
      <c r="GI455" s="453"/>
      <c r="GJ455" s="453"/>
      <c r="GK455" s="453"/>
      <c r="GL455" s="453"/>
      <c r="GM455" s="453"/>
      <c r="GN455" s="453"/>
      <c r="GO455" s="453"/>
      <c r="GP455" s="453"/>
      <c r="GQ455" s="453"/>
      <c r="GR455" s="453"/>
      <c r="GS455" s="561"/>
      <c r="GT455" s="475"/>
      <c r="GU455" s="472"/>
      <c r="GV455" s="453"/>
      <c r="GW455" s="453"/>
      <c r="GX455" s="869"/>
      <c r="GY455" s="870"/>
      <c r="GZ455" s="867"/>
      <c r="HA455" s="868"/>
      <c r="HB455" s="473"/>
      <c r="HC455" s="869"/>
      <c r="HD455" s="870"/>
      <c r="HE455" s="867"/>
      <c r="HF455" s="868"/>
      <c r="HG455" s="473"/>
      <c r="HH455" s="867"/>
      <c r="HI455" s="868"/>
      <c r="HJ455" s="867"/>
      <c r="HK455" s="868"/>
      <c r="HL455" s="370"/>
      <c r="HM455" s="865"/>
      <c r="HN455" s="866"/>
      <c r="HO455" s="865"/>
      <c r="HP455" s="866"/>
      <c r="HQ455" s="865"/>
      <c r="HR455" s="866"/>
      <c r="HS455" s="867"/>
      <c r="HT455" s="868"/>
      <c r="HU455" s="489"/>
      <c r="HV455" s="865"/>
      <c r="HW455" s="866"/>
    </row>
    <row r="456" spans="25:231" ht="15" customHeight="1">
      <c r="Y456" s="332"/>
      <c r="Z456" s="332"/>
      <c r="AA456" s="332"/>
      <c r="AB456" s="332"/>
      <c r="AC456" s="332"/>
      <c r="AD456" s="332"/>
      <c r="AE456" s="332"/>
      <c r="AF456" s="332"/>
      <c r="AG456" s="332"/>
      <c r="AH456" s="332"/>
      <c r="AI456" s="332"/>
      <c r="AJ456" s="332"/>
      <c r="AK456" s="332"/>
      <c r="AL456" s="332"/>
      <c r="AM456" s="332"/>
      <c r="AN456" s="332"/>
      <c r="AO456" s="332"/>
      <c r="AP456" s="332"/>
      <c r="AQ456" s="332"/>
      <c r="AR456" s="332"/>
      <c r="AS456" s="332"/>
      <c r="AT456" s="332"/>
      <c r="AU456" s="332"/>
      <c r="AV456" s="332"/>
      <c r="AW456" s="332"/>
      <c r="AX456" s="332"/>
      <c r="AY456" s="332"/>
      <c r="AZ456" s="332"/>
      <c r="BA456" s="332"/>
      <c r="BB456" s="332"/>
      <c r="BC456" s="332"/>
      <c r="BD456" s="332"/>
      <c r="BE456" s="332"/>
      <c r="BF456" s="332"/>
      <c r="BG456" s="332"/>
      <c r="BH456" s="332"/>
      <c r="BI456" s="332"/>
      <c r="BJ456" s="332"/>
      <c r="BK456" s="332"/>
      <c r="BL456" s="332"/>
      <c r="BM456" s="332"/>
      <c r="BN456" s="332"/>
      <c r="BO456" s="332"/>
      <c r="BP456" s="332"/>
      <c r="BQ456" s="332"/>
      <c r="BR456" s="332"/>
      <c r="BS456" s="332"/>
      <c r="BT456" s="332"/>
      <c r="BU456" s="332"/>
      <c r="BV456" s="332"/>
      <c r="BW456" s="332"/>
      <c r="BX456" s="332"/>
      <c r="BY456" s="332"/>
      <c r="BZ456" s="332"/>
      <c r="CA456" s="332"/>
      <c r="CB456" s="332"/>
      <c r="CC456" s="332"/>
      <c r="CD456" s="332"/>
      <c r="CE456" s="332"/>
      <c r="CF456" s="332"/>
      <c r="CG456" s="332"/>
      <c r="CH456" s="332"/>
      <c r="CI456" s="332"/>
      <c r="CJ456" s="332"/>
      <c r="CK456" s="332"/>
      <c r="CL456" s="332"/>
      <c r="CM456" s="332"/>
      <c r="CN456" s="332"/>
      <c r="CO456" s="332"/>
      <c r="CP456" s="332"/>
      <c r="CQ456" s="332"/>
      <c r="CR456" s="332"/>
      <c r="CS456" s="332"/>
      <c r="CT456" s="332"/>
      <c r="CU456" s="332"/>
      <c r="CV456" s="332"/>
      <c r="CW456" s="332"/>
      <c r="CX456" s="332"/>
      <c r="CY456" s="332"/>
      <c r="CZ456" s="332"/>
      <c r="DA456" s="332"/>
      <c r="DB456" s="332"/>
      <c r="DC456" s="332"/>
      <c r="DD456" s="332"/>
      <c r="DE456" s="332"/>
      <c r="DF456" s="332"/>
      <c r="DG456" s="332"/>
      <c r="DH456" s="332"/>
      <c r="DI456" s="332"/>
      <c r="DJ456" s="332"/>
      <c r="DK456" s="332"/>
      <c r="DL456" s="332"/>
      <c r="DM456" s="332"/>
      <c r="DN456" s="332"/>
      <c r="DO456" s="332"/>
      <c r="DP456" s="332"/>
      <c r="DQ456" s="332"/>
      <c r="DR456" s="332"/>
      <c r="DS456" s="332"/>
      <c r="DT456" s="332"/>
      <c r="DU456" s="453"/>
      <c r="DV456" s="453"/>
      <c r="DW456" s="453"/>
      <c r="DX456" s="453"/>
      <c r="DY456" s="453"/>
      <c r="DZ456" s="453"/>
      <c r="EA456" s="453"/>
      <c r="EB456" s="453"/>
      <c r="EC456" s="453"/>
      <c r="ED456" s="453"/>
      <c r="EE456" s="453"/>
      <c r="EF456" s="453"/>
      <c r="EG456" s="453"/>
      <c r="EH456" s="453"/>
      <c r="EI456" s="453"/>
      <c r="EJ456" s="453"/>
      <c r="EK456" s="453"/>
      <c r="EL456" s="453"/>
      <c r="EM456" s="483">
        <f t="shared" si="218"/>
        <v>147</v>
      </c>
      <c r="EN456" s="485"/>
      <c r="EO456" s="804"/>
      <c r="EP456" s="805"/>
      <c r="EQ456" s="806"/>
      <c r="ER456" s="808"/>
      <c r="ES456" s="881">
        <f t="shared" si="219"/>
        <v>0</v>
      </c>
      <c r="ET456" s="882"/>
      <c r="EU456" s="883"/>
      <c r="EV456" s="884">
        <f t="shared" si="217"/>
        <v>0</v>
      </c>
      <c r="EW456" s="885"/>
      <c r="EX456" s="885"/>
      <c r="EY456" s="885"/>
      <c r="EZ456" s="885"/>
      <c r="FA456" s="885"/>
      <c r="FB456" s="885"/>
      <c r="FC456" s="885"/>
      <c r="FD456" s="886"/>
      <c r="FE456" s="878"/>
      <c r="FF456" s="878"/>
      <c r="FG456" s="878"/>
      <c r="FH456" s="878"/>
      <c r="FI456" s="878"/>
      <c r="FJ456" s="878"/>
      <c r="FK456" s="878"/>
      <c r="FL456" s="555"/>
      <c r="FM456" s="554"/>
      <c r="FN456" s="554"/>
      <c r="FO456" s="554"/>
      <c r="FP456" s="554"/>
      <c r="FQ456" s="554"/>
      <c r="FR456" s="554"/>
      <c r="FS456" s="554"/>
      <c r="FT456" s="554"/>
      <c r="FU456" s="554"/>
      <c r="FV456" s="554"/>
      <c r="FW456" s="554"/>
      <c r="FX456" s="554"/>
      <c r="FY456" s="554"/>
      <c r="FZ456" s="554"/>
      <c r="GA456" s="554"/>
      <c r="GB456" s="556"/>
      <c r="GC456" s="370"/>
      <c r="GD456" s="453"/>
      <c r="GE456" s="453"/>
      <c r="GF456" s="453"/>
      <c r="GG456" s="453"/>
      <c r="GH456" s="454"/>
      <c r="GI456" s="453"/>
      <c r="GJ456" s="453"/>
      <c r="GK456" s="453"/>
      <c r="GL456" s="453"/>
      <c r="GM456" s="453"/>
      <c r="GN456" s="453"/>
      <c r="GO456" s="453"/>
      <c r="GP456" s="453"/>
      <c r="GQ456" s="453"/>
      <c r="GR456" s="453"/>
      <c r="GS456" s="561"/>
      <c r="GT456" s="475"/>
      <c r="GU456" s="472"/>
      <c r="GV456" s="453"/>
      <c r="GW456" s="453"/>
      <c r="GX456" s="869"/>
      <c r="GY456" s="870"/>
      <c r="GZ456" s="867"/>
      <c r="HA456" s="868"/>
      <c r="HB456" s="473"/>
      <c r="HC456" s="869"/>
      <c r="HD456" s="870"/>
      <c r="HE456" s="867"/>
      <c r="HF456" s="868"/>
      <c r="HG456" s="473"/>
      <c r="HH456" s="867"/>
      <c r="HI456" s="868"/>
      <c r="HJ456" s="867"/>
      <c r="HK456" s="868"/>
      <c r="HL456" s="370"/>
      <c r="HM456" s="865"/>
      <c r="HN456" s="866"/>
      <c r="HO456" s="865"/>
      <c r="HP456" s="866"/>
      <c r="HQ456" s="865"/>
      <c r="HR456" s="866"/>
      <c r="HS456" s="867"/>
      <c r="HT456" s="868"/>
      <c r="HU456" s="489"/>
      <c r="HV456" s="865"/>
      <c r="HW456" s="866"/>
    </row>
    <row r="457" spans="25:231" ht="15" customHeight="1">
      <c r="Y457" s="332"/>
      <c r="Z457" s="332"/>
      <c r="AA457" s="332"/>
      <c r="AB457" s="332"/>
      <c r="AC457" s="332"/>
      <c r="AD457" s="332"/>
      <c r="AE457" s="332"/>
      <c r="AF457" s="332"/>
      <c r="AG457" s="332"/>
      <c r="AH457" s="332"/>
      <c r="AI457" s="332"/>
      <c r="AJ457" s="332"/>
      <c r="AK457" s="332"/>
      <c r="AL457" s="332"/>
      <c r="AM457" s="332"/>
      <c r="AN457" s="332"/>
      <c r="AO457" s="332"/>
      <c r="AP457" s="332"/>
      <c r="AQ457" s="332"/>
      <c r="AR457" s="332"/>
      <c r="AS457" s="332"/>
      <c r="AT457" s="332"/>
      <c r="AU457" s="332"/>
      <c r="AV457" s="332"/>
      <c r="AW457" s="332"/>
      <c r="AX457" s="332"/>
      <c r="AY457" s="332"/>
      <c r="AZ457" s="332"/>
      <c r="BA457" s="332"/>
      <c r="BB457" s="332"/>
      <c r="BC457" s="332"/>
      <c r="BD457" s="332"/>
      <c r="BE457" s="332"/>
      <c r="BF457" s="332"/>
      <c r="BG457" s="332"/>
      <c r="BH457" s="332"/>
      <c r="BI457" s="332"/>
      <c r="BJ457" s="332"/>
      <c r="BK457" s="332"/>
      <c r="BL457" s="332"/>
      <c r="BM457" s="332"/>
      <c r="BN457" s="332"/>
      <c r="BO457" s="332"/>
      <c r="BP457" s="332"/>
      <c r="BQ457" s="332"/>
      <c r="BR457" s="332"/>
      <c r="BS457" s="332"/>
      <c r="BT457" s="332"/>
      <c r="BU457" s="332"/>
      <c r="BV457" s="332"/>
      <c r="BW457" s="332"/>
      <c r="BX457" s="332"/>
      <c r="BY457" s="332"/>
      <c r="BZ457" s="332"/>
      <c r="CA457" s="332"/>
      <c r="CB457" s="332"/>
      <c r="CC457" s="332"/>
      <c r="CD457" s="332"/>
      <c r="CE457" s="332"/>
      <c r="CF457" s="332"/>
      <c r="CG457" s="332"/>
      <c r="CH457" s="332"/>
      <c r="CI457" s="332"/>
      <c r="CJ457" s="332"/>
      <c r="CK457" s="332"/>
      <c r="CL457" s="332"/>
      <c r="CM457" s="332"/>
      <c r="CN457" s="332"/>
      <c r="CO457" s="332"/>
      <c r="CP457" s="332"/>
      <c r="CQ457" s="332"/>
      <c r="CR457" s="332"/>
      <c r="CS457" s="332"/>
      <c r="CT457" s="332"/>
      <c r="CU457" s="332"/>
      <c r="CV457" s="332"/>
      <c r="CW457" s="332"/>
      <c r="CX457" s="332"/>
      <c r="CY457" s="332"/>
      <c r="CZ457" s="332"/>
      <c r="DA457" s="332"/>
      <c r="DB457" s="332"/>
      <c r="DC457" s="332"/>
      <c r="DD457" s="332"/>
      <c r="DE457" s="332"/>
      <c r="DF457" s="332"/>
      <c r="DG457" s="332"/>
      <c r="DH457" s="332"/>
      <c r="DI457" s="332"/>
      <c r="DJ457" s="332"/>
      <c r="DK457" s="332"/>
      <c r="DL457" s="332"/>
      <c r="DM457" s="332"/>
      <c r="DN457" s="332"/>
      <c r="DO457" s="332"/>
      <c r="DP457" s="332"/>
      <c r="DQ457" s="332"/>
      <c r="DR457" s="332"/>
      <c r="DS457" s="332"/>
      <c r="DT457" s="332"/>
      <c r="DU457" s="453"/>
      <c r="DV457" s="453"/>
      <c r="DW457" s="453"/>
      <c r="DX457" s="453"/>
      <c r="DY457" s="453"/>
      <c r="DZ457" s="453"/>
      <c r="EA457" s="453"/>
      <c r="EB457" s="453"/>
      <c r="EC457" s="453"/>
      <c r="ED457" s="453"/>
      <c r="EE457" s="453"/>
      <c r="EF457" s="453"/>
      <c r="EG457" s="453"/>
      <c r="EH457" s="453"/>
      <c r="EI457" s="453"/>
      <c r="EJ457" s="453"/>
      <c r="EK457" s="453"/>
      <c r="EL457" s="453"/>
      <c r="EM457" s="483">
        <f t="shared" si="218"/>
        <v>148</v>
      </c>
      <c r="EN457" s="485"/>
      <c r="EO457" s="804"/>
      <c r="EP457" s="805"/>
      <c r="EQ457" s="806"/>
      <c r="ER457" s="808"/>
      <c r="ES457" s="881">
        <f t="shared" si="219"/>
        <v>0</v>
      </c>
      <c r="ET457" s="882"/>
      <c r="EU457" s="883"/>
      <c r="EV457" s="884">
        <f t="shared" si="217"/>
        <v>0</v>
      </c>
      <c r="EW457" s="885"/>
      <c r="EX457" s="885"/>
      <c r="EY457" s="885"/>
      <c r="EZ457" s="885"/>
      <c r="FA457" s="885"/>
      <c r="FB457" s="885"/>
      <c r="FC457" s="885"/>
      <c r="FD457" s="886"/>
      <c r="FE457" s="878"/>
      <c r="FF457" s="878"/>
      <c r="FG457" s="878"/>
      <c r="FH457" s="878"/>
      <c r="FI457" s="878"/>
      <c r="FJ457" s="878"/>
      <c r="FK457" s="878"/>
      <c r="FL457" s="555"/>
      <c r="FM457" s="554"/>
      <c r="FN457" s="554"/>
      <c r="FO457" s="554"/>
      <c r="FP457" s="554"/>
      <c r="FQ457" s="554"/>
      <c r="FR457" s="554"/>
      <c r="FS457" s="554"/>
      <c r="FT457" s="554"/>
      <c r="FU457" s="554"/>
      <c r="FV457" s="554"/>
      <c r="FW457" s="554"/>
      <c r="FX457" s="554"/>
      <c r="FY457" s="554"/>
      <c r="FZ457" s="554"/>
      <c r="GA457" s="554"/>
      <c r="GB457" s="556"/>
      <c r="GC457" s="370"/>
      <c r="GD457" s="453"/>
      <c r="GE457" s="453"/>
      <c r="GF457" s="453"/>
      <c r="GG457" s="453"/>
      <c r="GH457" s="454"/>
      <c r="GI457" s="453"/>
      <c r="GJ457" s="453"/>
      <c r="GK457" s="453"/>
      <c r="GL457" s="453"/>
      <c r="GM457" s="453"/>
      <c r="GN457" s="453"/>
      <c r="GO457" s="453"/>
      <c r="GP457" s="453"/>
      <c r="GQ457" s="453"/>
      <c r="GR457" s="453"/>
      <c r="GS457" s="561"/>
      <c r="GT457" s="475"/>
      <c r="GU457" s="472"/>
      <c r="GV457" s="453"/>
      <c r="GW457" s="453"/>
      <c r="GX457" s="869"/>
      <c r="GY457" s="870"/>
      <c r="GZ457" s="867"/>
      <c r="HA457" s="868"/>
      <c r="HB457" s="473"/>
      <c r="HC457" s="869"/>
      <c r="HD457" s="870"/>
      <c r="HE457" s="867"/>
      <c r="HF457" s="868"/>
      <c r="HG457" s="473"/>
      <c r="HH457" s="867"/>
      <c r="HI457" s="868"/>
      <c r="HJ457" s="867"/>
      <c r="HK457" s="868"/>
      <c r="HL457" s="370"/>
      <c r="HM457" s="865"/>
      <c r="HN457" s="866"/>
      <c r="HO457" s="865"/>
      <c r="HP457" s="866"/>
      <c r="HQ457" s="865"/>
      <c r="HR457" s="866"/>
      <c r="HS457" s="867"/>
      <c r="HT457" s="868"/>
      <c r="HU457" s="489"/>
      <c r="HV457" s="865"/>
      <c r="HW457" s="866"/>
    </row>
    <row r="458" spans="25:231" ht="15" customHeight="1">
      <c r="Y458" s="332"/>
      <c r="Z458" s="332"/>
      <c r="AA458" s="332"/>
      <c r="AB458" s="332"/>
      <c r="AC458" s="332"/>
      <c r="AD458" s="332"/>
      <c r="AE458" s="332"/>
      <c r="AF458" s="332"/>
      <c r="AG458" s="332"/>
      <c r="AH458" s="332"/>
      <c r="AI458" s="332"/>
      <c r="AJ458" s="332"/>
      <c r="AK458" s="332"/>
      <c r="AL458" s="332"/>
      <c r="AM458" s="332"/>
      <c r="AN458" s="332"/>
      <c r="AO458" s="332"/>
      <c r="AP458" s="332"/>
      <c r="AQ458" s="332"/>
      <c r="AR458" s="332"/>
      <c r="AS458" s="332"/>
      <c r="AT458" s="332"/>
      <c r="AU458" s="332"/>
      <c r="AV458" s="332"/>
      <c r="AW458" s="332"/>
      <c r="AX458" s="332"/>
      <c r="AY458" s="332"/>
      <c r="AZ458" s="332"/>
      <c r="BA458" s="332"/>
      <c r="BB458" s="332"/>
      <c r="BC458" s="332"/>
      <c r="BD458" s="332"/>
      <c r="BE458" s="332"/>
      <c r="BF458" s="332"/>
      <c r="BG458" s="332"/>
      <c r="BH458" s="332"/>
      <c r="BI458" s="332"/>
      <c r="BJ458" s="332"/>
      <c r="BK458" s="332"/>
      <c r="BL458" s="332"/>
      <c r="BM458" s="332"/>
      <c r="BN458" s="332"/>
      <c r="BO458" s="332"/>
      <c r="BP458" s="332"/>
      <c r="BQ458" s="332"/>
      <c r="BR458" s="332"/>
      <c r="BS458" s="332"/>
      <c r="BT458" s="332"/>
      <c r="BU458" s="332"/>
      <c r="BV458" s="332"/>
      <c r="BW458" s="332"/>
      <c r="BX458" s="332"/>
      <c r="BY458" s="332"/>
      <c r="BZ458" s="332"/>
      <c r="CA458" s="332"/>
      <c r="CB458" s="332"/>
      <c r="CC458" s="332"/>
      <c r="CD458" s="332"/>
      <c r="CE458" s="332"/>
      <c r="CF458" s="332"/>
      <c r="CG458" s="332"/>
      <c r="CH458" s="332"/>
      <c r="CI458" s="332"/>
      <c r="CJ458" s="332"/>
      <c r="CK458" s="332"/>
      <c r="CL458" s="332"/>
      <c r="CM458" s="332"/>
      <c r="CN458" s="332"/>
      <c r="CO458" s="332"/>
      <c r="CP458" s="332"/>
      <c r="CQ458" s="332"/>
      <c r="CR458" s="332"/>
      <c r="CS458" s="332"/>
      <c r="CT458" s="332"/>
      <c r="CU458" s="332"/>
      <c r="CV458" s="332"/>
      <c r="CW458" s="332"/>
      <c r="CX458" s="332"/>
      <c r="CY458" s="332"/>
      <c r="CZ458" s="332"/>
      <c r="DA458" s="332"/>
      <c r="DB458" s="332"/>
      <c r="DC458" s="332"/>
      <c r="DD458" s="332"/>
      <c r="DE458" s="332"/>
      <c r="DF458" s="332"/>
      <c r="DG458" s="332"/>
      <c r="DH458" s="332"/>
      <c r="DI458" s="332"/>
      <c r="DJ458" s="332"/>
      <c r="DK458" s="332"/>
      <c r="DL458" s="332"/>
      <c r="DM458" s="332"/>
      <c r="DN458" s="332"/>
      <c r="DO458" s="332"/>
      <c r="DP458" s="332"/>
      <c r="DQ458" s="332"/>
      <c r="DR458" s="332"/>
      <c r="DS458" s="332"/>
      <c r="DT458" s="332"/>
      <c r="DU458" s="453"/>
      <c r="DV458" s="453"/>
      <c r="DW458" s="453"/>
      <c r="DX458" s="453"/>
      <c r="DY458" s="453"/>
      <c r="DZ458" s="453"/>
      <c r="EA458" s="453"/>
      <c r="EB458" s="453"/>
      <c r="EC458" s="453"/>
      <c r="ED458" s="453"/>
      <c r="EE458" s="453"/>
      <c r="EF458" s="453"/>
      <c r="EG458" s="453"/>
      <c r="EH458" s="453"/>
      <c r="EI458" s="453"/>
      <c r="EJ458" s="453"/>
      <c r="EK458" s="453"/>
      <c r="EL458" s="453"/>
      <c r="EM458" s="483">
        <f t="shared" si="218"/>
        <v>149</v>
      </c>
      <c r="EN458" s="485"/>
      <c r="EO458" s="804"/>
      <c r="EP458" s="805"/>
      <c r="EQ458" s="806"/>
      <c r="ER458" s="808"/>
      <c r="ES458" s="881">
        <f t="shared" si="219"/>
        <v>0</v>
      </c>
      <c r="ET458" s="882"/>
      <c r="EU458" s="883"/>
      <c r="EV458" s="884">
        <f t="shared" si="217"/>
        <v>0</v>
      </c>
      <c r="EW458" s="885"/>
      <c r="EX458" s="885"/>
      <c r="EY458" s="885"/>
      <c r="EZ458" s="885"/>
      <c r="FA458" s="885"/>
      <c r="FB458" s="885"/>
      <c r="FC458" s="885"/>
      <c r="FD458" s="886"/>
      <c r="FE458" s="878"/>
      <c r="FF458" s="878"/>
      <c r="FG458" s="878"/>
      <c r="FH458" s="878"/>
      <c r="FI458" s="878"/>
      <c r="FJ458" s="878"/>
      <c r="FK458" s="878"/>
      <c r="FL458" s="555"/>
      <c r="FM458" s="554"/>
      <c r="FN458" s="554"/>
      <c r="FO458" s="554"/>
      <c r="FP458" s="554"/>
      <c r="FQ458" s="554"/>
      <c r="FR458" s="554"/>
      <c r="FS458" s="554"/>
      <c r="FT458" s="554"/>
      <c r="FU458" s="554"/>
      <c r="FV458" s="554"/>
      <c r="FW458" s="554"/>
      <c r="FX458" s="554"/>
      <c r="FY458" s="554"/>
      <c r="FZ458" s="554"/>
      <c r="GA458" s="554"/>
      <c r="GB458" s="556"/>
      <c r="GC458" s="370"/>
      <c r="GD458" s="453"/>
      <c r="GE458" s="453"/>
      <c r="GF458" s="453"/>
      <c r="GG458" s="453"/>
      <c r="GH458" s="454"/>
      <c r="GI458" s="453"/>
      <c r="GJ458" s="453"/>
      <c r="GK458" s="453"/>
      <c r="GL458" s="453"/>
      <c r="GM458" s="453"/>
      <c r="GN458" s="453"/>
      <c r="GO458" s="453"/>
      <c r="GP458" s="453"/>
      <c r="GQ458" s="453"/>
      <c r="GR458" s="453"/>
      <c r="GS458" s="561"/>
      <c r="GT458" s="475"/>
      <c r="GU458" s="472"/>
      <c r="GV458" s="453"/>
      <c r="GW458" s="453"/>
      <c r="GX458" s="869"/>
      <c r="GY458" s="870"/>
      <c r="GZ458" s="867"/>
      <c r="HA458" s="868"/>
      <c r="HB458" s="473"/>
      <c r="HC458" s="869"/>
      <c r="HD458" s="870"/>
      <c r="HE458" s="867"/>
      <c r="HF458" s="868"/>
      <c r="HG458" s="473"/>
      <c r="HH458" s="867"/>
      <c r="HI458" s="868"/>
      <c r="HJ458" s="867"/>
      <c r="HK458" s="868"/>
      <c r="HL458" s="370"/>
      <c r="HM458" s="865"/>
      <c r="HN458" s="866"/>
      <c r="HO458" s="865"/>
      <c r="HP458" s="866"/>
      <c r="HQ458" s="865"/>
      <c r="HR458" s="866"/>
      <c r="HS458" s="867"/>
      <c r="HT458" s="868"/>
      <c r="HU458" s="489"/>
      <c r="HV458" s="865"/>
      <c r="HW458" s="866"/>
    </row>
    <row r="459" spans="25:231" ht="15" customHeight="1">
      <c r="Y459" s="332"/>
      <c r="Z459" s="332"/>
      <c r="AA459" s="332"/>
      <c r="AB459" s="332"/>
      <c r="AC459" s="332"/>
      <c r="AD459" s="332"/>
      <c r="AE459" s="332"/>
      <c r="AF459" s="332"/>
      <c r="AG459" s="332"/>
      <c r="AH459" s="332"/>
      <c r="AI459" s="332"/>
      <c r="AJ459" s="332"/>
      <c r="AK459" s="332"/>
      <c r="AL459" s="332"/>
      <c r="AM459" s="332"/>
      <c r="AN459" s="332"/>
      <c r="AO459" s="332"/>
      <c r="AP459" s="332"/>
      <c r="AQ459" s="332"/>
      <c r="AR459" s="332"/>
      <c r="AS459" s="332"/>
      <c r="AT459" s="332"/>
      <c r="AU459" s="332"/>
      <c r="AV459" s="332"/>
      <c r="AW459" s="332"/>
      <c r="AX459" s="332"/>
      <c r="AY459" s="332"/>
      <c r="AZ459" s="332"/>
      <c r="BA459" s="332"/>
      <c r="BB459" s="332"/>
      <c r="BC459" s="332"/>
      <c r="BD459" s="332"/>
      <c r="BE459" s="332"/>
      <c r="BF459" s="332"/>
      <c r="BG459" s="332"/>
      <c r="BH459" s="332"/>
      <c r="BI459" s="332"/>
      <c r="BJ459" s="332"/>
      <c r="BK459" s="332"/>
      <c r="BL459" s="332"/>
      <c r="BM459" s="332"/>
      <c r="BN459" s="332"/>
      <c r="BO459" s="332"/>
      <c r="BP459" s="332"/>
      <c r="BQ459" s="332"/>
      <c r="BR459" s="332"/>
      <c r="BS459" s="332"/>
      <c r="BT459" s="332"/>
      <c r="BU459" s="332"/>
      <c r="BV459" s="332"/>
      <c r="BW459" s="332"/>
      <c r="BX459" s="332"/>
      <c r="BY459" s="332"/>
      <c r="BZ459" s="332"/>
      <c r="CA459" s="332"/>
      <c r="CB459" s="332"/>
      <c r="CC459" s="332"/>
      <c r="CD459" s="332"/>
      <c r="CE459" s="332"/>
      <c r="CF459" s="332"/>
      <c r="CG459" s="332"/>
      <c r="CH459" s="332"/>
      <c r="CI459" s="332"/>
      <c r="CJ459" s="332"/>
      <c r="CK459" s="332"/>
      <c r="CL459" s="332"/>
      <c r="CM459" s="332"/>
      <c r="CN459" s="332"/>
      <c r="CO459" s="332"/>
      <c r="CP459" s="332"/>
      <c r="CQ459" s="332"/>
      <c r="CR459" s="332"/>
      <c r="CS459" s="332"/>
      <c r="CT459" s="332"/>
      <c r="CU459" s="332"/>
      <c r="CV459" s="332"/>
      <c r="CW459" s="332"/>
      <c r="CX459" s="332"/>
      <c r="CY459" s="332"/>
      <c r="CZ459" s="332"/>
      <c r="DA459" s="332"/>
      <c r="DB459" s="332"/>
      <c r="DC459" s="332"/>
      <c r="DD459" s="332"/>
      <c r="DE459" s="332"/>
      <c r="DF459" s="332"/>
      <c r="DG459" s="332"/>
      <c r="DH459" s="332"/>
      <c r="DI459" s="332"/>
      <c r="DJ459" s="332"/>
      <c r="DK459" s="332"/>
      <c r="DL459" s="332"/>
      <c r="DM459" s="332"/>
      <c r="DN459" s="332"/>
      <c r="DO459" s="332"/>
      <c r="DP459" s="332"/>
      <c r="DQ459" s="332"/>
      <c r="DR459" s="332"/>
      <c r="DS459" s="332"/>
      <c r="DT459" s="332"/>
      <c r="DU459" s="453"/>
      <c r="DV459" s="453"/>
      <c r="DW459" s="453"/>
      <c r="DX459" s="453"/>
      <c r="DY459" s="453"/>
      <c r="DZ459" s="453"/>
      <c r="EA459" s="453"/>
      <c r="EB459" s="453"/>
      <c r="EC459" s="453"/>
      <c r="ED459" s="453"/>
      <c r="EE459" s="453"/>
      <c r="EF459" s="453"/>
      <c r="EG459" s="453"/>
      <c r="EH459" s="453"/>
      <c r="EI459" s="453"/>
      <c r="EJ459" s="453"/>
      <c r="EK459" s="453"/>
      <c r="EL459" s="453"/>
      <c r="EM459" s="483">
        <f t="shared" si="218"/>
        <v>150</v>
      </c>
      <c r="EN459" s="485"/>
      <c r="EO459" s="804"/>
      <c r="EP459" s="805"/>
      <c r="EQ459" s="806"/>
      <c r="ER459" s="808"/>
      <c r="ES459" s="881">
        <f t="shared" si="219"/>
        <v>0</v>
      </c>
      <c r="ET459" s="882"/>
      <c r="EU459" s="883"/>
      <c r="EV459" s="884">
        <f t="shared" si="217"/>
        <v>0</v>
      </c>
      <c r="EW459" s="885"/>
      <c r="EX459" s="885"/>
      <c r="EY459" s="885"/>
      <c r="EZ459" s="885"/>
      <c r="FA459" s="885"/>
      <c r="FB459" s="885"/>
      <c r="FC459" s="885"/>
      <c r="FD459" s="886"/>
      <c r="FE459" s="878"/>
      <c r="FF459" s="878"/>
      <c r="FG459" s="878"/>
      <c r="FH459" s="878"/>
      <c r="FI459" s="878"/>
      <c r="FJ459" s="878"/>
      <c r="FK459" s="878"/>
      <c r="FL459" s="555"/>
      <c r="FM459" s="554"/>
      <c r="FN459" s="554"/>
      <c r="FO459" s="554"/>
      <c r="FP459" s="554"/>
      <c r="FQ459" s="554"/>
      <c r="FR459" s="554"/>
      <c r="FS459" s="554"/>
      <c r="FT459" s="554"/>
      <c r="FU459" s="554"/>
      <c r="FV459" s="554"/>
      <c r="FW459" s="554"/>
      <c r="FX459" s="554"/>
      <c r="FY459" s="554"/>
      <c r="FZ459" s="554"/>
      <c r="GA459" s="554"/>
      <c r="GB459" s="556"/>
      <c r="GC459" s="370"/>
      <c r="GD459" s="453"/>
      <c r="GE459" s="453"/>
      <c r="GF459" s="453"/>
      <c r="GG459" s="453"/>
      <c r="GH459" s="454"/>
      <c r="GI459" s="453"/>
      <c r="GJ459" s="453"/>
      <c r="GK459" s="453"/>
      <c r="GL459" s="453"/>
      <c r="GM459" s="453"/>
      <c r="GN459" s="453"/>
      <c r="GO459" s="453"/>
      <c r="GP459" s="453"/>
      <c r="GQ459" s="453"/>
      <c r="GR459" s="453"/>
      <c r="GS459" s="561"/>
      <c r="GT459" s="475"/>
      <c r="GU459" s="472"/>
      <c r="GV459" s="453"/>
      <c r="GW459" s="453"/>
      <c r="GX459" s="869"/>
      <c r="GY459" s="870"/>
      <c r="GZ459" s="867"/>
      <c r="HA459" s="868"/>
      <c r="HB459" s="473"/>
      <c r="HC459" s="869"/>
      <c r="HD459" s="870"/>
      <c r="HE459" s="867"/>
      <c r="HF459" s="868"/>
      <c r="HG459" s="473"/>
      <c r="HH459" s="867"/>
      <c r="HI459" s="868"/>
      <c r="HJ459" s="867"/>
      <c r="HK459" s="868"/>
      <c r="HL459" s="370"/>
      <c r="HM459" s="865"/>
      <c r="HN459" s="866"/>
      <c r="HO459" s="865"/>
      <c r="HP459" s="866"/>
      <c r="HQ459" s="865"/>
      <c r="HR459" s="866"/>
      <c r="HS459" s="867"/>
      <c r="HT459" s="868"/>
      <c r="HU459" s="489"/>
      <c r="HV459" s="865"/>
      <c r="HW459" s="866"/>
    </row>
    <row r="460" spans="25:231" ht="15" customHeight="1">
      <c r="Y460" s="332"/>
      <c r="Z460" s="332"/>
      <c r="AA460" s="332"/>
      <c r="AB460" s="332"/>
      <c r="AC460" s="332"/>
      <c r="AD460" s="332"/>
      <c r="AE460" s="332"/>
      <c r="AF460" s="332"/>
      <c r="AG460" s="332"/>
      <c r="AH460" s="332"/>
      <c r="AI460" s="332"/>
      <c r="AJ460" s="332"/>
      <c r="AK460" s="332"/>
      <c r="AL460" s="332"/>
      <c r="AM460" s="332"/>
      <c r="AN460" s="332"/>
      <c r="AO460" s="332"/>
      <c r="AP460" s="332"/>
      <c r="AQ460" s="332"/>
      <c r="AR460" s="332"/>
      <c r="AS460" s="332"/>
      <c r="AT460" s="332"/>
      <c r="AU460" s="332"/>
      <c r="AV460" s="332"/>
      <c r="AW460" s="332"/>
      <c r="AX460" s="332"/>
      <c r="AY460" s="332"/>
      <c r="AZ460" s="332"/>
      <c r="BA460" s="332"/>
      <c r="BB460" s="332"/>
      <c r="BC460" s="332"/>
      <c r="BD460" s="332"/>
      <c r="BE460" s="332"/>
      <c r="BF460" s="332"/>
      <c r="BG460" s="332"/>
      <c r="BH460" s="332"/>
      <c r="BI460" s="332"/>
      <c r="BJ460" s="332"/>
      <c r="BK460" s="332"/>
      <c r="BL460" s="332"/>
      <c r="BM460" s="332"/>
      <c r="BN460" s="332"/>
      <c r="BO460" s="332"/>
      <c r="BP460" s="332"/>
      <c r="BQ460" s="332"/>
      <c r="BR460" s="332"/>
      <c r="BS460" s="332"/>
      <c r="BT460" s="332"/>
      <c r="BU460" s="332"/>
      <c r="BV460" s="332"/>
      <c r="BW460" s="332"/>
      <c r="BX460" s="332"/>
      <c r="BY460" s="332"/>
      <c r="BZ460" s="332"/>
      <c r="CA460" s="332"/>
      <c r="CB460" s="332"/>
      <c r="CC460" s="332"/>
      <c r="CD460" s="332"/>
      <c r="CE460" s="332"/>
      <c r="CF460" s="332"/>
      <c r="CG460" s="332"/>
      <c r="CH460" s="332"/>
      <c r="CI460" s="332"/>
      <c r="CJ460" s="332"/>
      <c r="CK460" s="332"/>
      <c r="CL460" s="332"/>
      <c r="CM460" s="332"/>
      <c r="CN460" s="332"/>
      <c r="CO460" s="332"/>
      <c r="CP460" s="332"/>
      <c r="CQ460" s="332"/>
      <c r="CR460" s="332"/>
      <c r="CS460" s="332"/>
      <c r="CT460" s="332"/>
      <c r="CU460" s="332"/>
      <c r="CV460" s="332"/>
      <c r="CW460" s="332"/>
      <c r="CX460" s="332"/>
      <c r="CY460" s="332"/>
      <c r="CZ460" s="332"/>
      <c r="DA460" s="332"/>
      <c r="DB460" s="332"/>
      <c r="DC460" s="332"/>
      <c r="DD460" s="332"/>
      <c r="DE460" s="332"/>
      <c r="DF460" s="332"/>
      <c r="DG460" s="332"/>
      <c r="DH460" s="332"/>
      <c r="DI460" s="332"/>
      <c r="DJ460" s="332"/>
      <c r="DK460" s="332"/>
      <c r="DL460" s="332"/>
      <c r="DM460" s="332"/>
      <c r="DN460" s="332"/>
      <c r="DO460" s="332"/>
      <c r="DP460" s="332"/>
      <c r="DQ460" s="332"/>
      <c r="DR460" s="332"/>
      <c r="DS460" s="332"/>
      <c r="DT460" s="332"/>
      <c r="DU460" s="453"/>
      <c r="DV460" s="453"/>
      <c r="DW460" s="453"/>
      <c r="DX460" s="453"/>
      <c r="DY460" s="453"/>
      <c r="DZ460" s="453"/>
      <c r="EA460" s="453"/>
      <c r="EB460" s="453"/>
      <c r="EC460" s="453"/>
      <c r="ED460" s="453"/>
      <c r="EE460" s="453"/>
      <c r="EF460" s="453"/>
      <c r="EG460" s="453"/>
      <c r="EH460" s="453"/>
      <c r="EI460" s="453"/>
      <c r="EJ460" s="453"/>
      <c r="EK460" s="453"/>
      <c r="EL460" s="453"/>
      <c r="EM460" s="483">
        <f t="shared" si="218"/>
        <v>151</v>
      </c>
      <c r="EN460" s="485"/>
      <c r="EO460" s="804"/>
      <c r="EP460" s="805"/>
      <c r="EQ460" s="806"/>
      <c r="ER460" s="808"/>
      <c r="ES460" s="881">
        <f t="shared" si="219"/>
        <v>0</v>
      </c>
      <c r="ET460" s="882"/>
      <c r="EU460" s="883"/>
      <c r="EV460" s="884">
        <f t="shared" si="217"/>
        <v>0</v>
      </c>
      <c r="EW460" s="885"/>
      <c r="EX460" s="885"/>
      <c r="EY460" s="885"/>
      <c r="EZ460" s="885"/>
      <c r="FA460" s="885"/>
      <c r="FB460" s="885"/>
      <c r="FC460" s="885"/>
      <c r="FD460" s="886"/>
      <c r="FE460" s="878"/>
      <c r="FF460" s="878"/>
      <c r="FG460" s="878"/>
      <c r="FH460" s="878"/>
      <c r="FI460" s="878"/>
      <c r="FJ460" s="878"/>
      <c r="FK460" s="878"/>
      <c r="FL460" s="555"/>
      <c r="FM460" s="554"/>
      <c r="FN460" s="554"/>
      <c r="FO460" s="554"/>
      <c r="FP460" s="554"/>
      <c r="FQ460" s="554"/>
      <c r="FR460" s="554"/>
      <c r="FS460" s="554"/>
      <c r="FT460" s="554"/>
      <c r="FU460" s="554"/>
      <c r="FV460" s="554"/>
      <c r="FW460" s="554"/>
      <c r="FX460" s="554"/>
      <c r="FY460" s="554"/>
      <c r="FZ460" s="554"/>
      <c r="GA460" s="554"/>
      <c r="GB460" s="556"/>
      <c r="GC460" s="370"/>
      <c r="GD460" s="453"/>
      <c r="GE460" s="453"/>
      <c r="GF460" s="453"/>
      <c r="GG460" s="453"/>
      <c r="GH460" s="454"/>
      <c r="GI460" s="453"/>
      <c r="GJ460" s="453"/>
      <c r="GK460" s="453"/>
      <c r="GL460" s="453"/>
      <c r="GM460" s="453"/>
      <c r="GN460" s="453"/>
      <c r="GO460" s="453"/>
      <c r="GP460" s="453"/>
      <c r="GQ460" s="453"/>
      <c r="GR460" s="453"/>
      <c r="GS460" s="561"/>
      <c r="GT460" s="475"/>
      <c r="GU460" s="472"/>
      <c r="GV460" s="453"/>
      <c r="GW460" s="453"/>
      <c r="GX460" s="869"/>
      <c r="GY460" s="870"/>
      <c r="GZ460" s="867"/>
      <c r="HA460" s="868"/>
      <c r="HB460" s="473"/>
      <c r="HC460" s="869"/>
      <c r="HD460" s="870"/>
      <c r="HE460" s="867"/>
      <c r="HF460" s="868"/>
      <c r="HG460" s="473"/>
      <c r="HH460" s="867"/>
      <c r="HI460" s="868"/>
      <c r="HJ460" s="867"/>
      <c r="HK460" s="868"/>
      <c r="HL460" s="370"/>
      <c r="HM460" s="865"/>
      <c r="HN460" s="866"/>
      <c r="HO460" s="865"/>
      <c r="HP460" s="866"/>
      <c r="HQ460" s="865"/>
      <c r="HR460" s="866"/>
      <c r="HS460" s="867"/>
      <c r="HT460" s="868"/>
      <c r="HU460" s="489"/>
      <c r="HV460" s="865"/>
      <c r="HW460" s="866"/>
    </row>
    <row r="461" spans="25:231" ht="15" customHeight="1">
      <c r="Y461" s="332"/>
      <c r="Z461" s="332"/>
      <c r="AA461" s="332"/>
      <c r="AB461" s="332"/>
      <c r="AC461" s="332"/>
      <c r="AD461" s="332"/>
      <c r="AE461" s="332"/>
      <c r="AF461" s="332"/>
      <c r="AG461" s="332"/>
      <c r="AH461" s="332"/>
      <c r="AI461" s="332"/>
      <c r="AJ461" s="332"/>
      <c r="AK461" s="332"/>
      <c r="AL461" s="332"/>
      <c r="AM461" s="332"/>
      <c r="AN461" s="332"/>
      <c r="AO461" s="332"/>
      <c r="AP461" s="332"/>
      <c r="AQ461" s="332"/>
      <c r="AR461" s="332"/>
      <c r="AS461" s="332"/>
      <c r="AT461" s="332"/>
      <c r="AU461" s="332"/>
      <c r="AV461" s="332"/>
      <c r="AW461" s="332"/>
      <c r="AX461" s="332"/>
      <c r="AY461" s="332"/>
      <c r="AZ461" s="332"/>
      <c r="BA461" s="332"/>
      <c r="BB461" s="332"/>
      <c r="BC461" s="332"/>
      <c r="BD461" s="332"/>
      <c r="BE461" s="332"/>
      <c r="BF461" s="332"/>
      <c r="BG461" s="332"/>
      <c r="BH461" s="332"/>
      <c r="BI461" s="332"/>
      <c r="BJ461" s="332"/>
      <c r="BK461" s="332"/>
      <c r="BL461" s="332"/>
      <c r="BM461" s="332"/>
      <c r="BN461" s="332"/>
      <c r="BO461" s="332"/>
      <c r="BP461" s="332"/>
      <c r="BQ461" s="332"/>
      <c r="BR461" s="332"/>
      <c r="BS461" s="332"/>
      <c r="BT461" s="332"/>
      <c r="BU461" s="332"/>
      <c r="BV461" s="332"/>
      <c r="BW461" s="332"/>
      <c r="BX461" s="332"/>
      <c r="BY461" s="332"/>
      <c r="BZ461" s="332"/>
      <c r="CA461" s="332"/>
      <c r="CB461" s="332"/>
      <c r="CC461" s="332"/>
      <c r="CD461" s="332"/>
      <c r="CE461" s="332"/>
      <c r="CF461" s="332"/>
      <c r="CG461" s="332"/>
      <c r="CH461" s="332"/>
      <c r="CI461" s="332"/>
      <c r="CJ461" s="332"/>
      <c r="CK461" s="332"/>
      <c r="CL461" s="332"/>
      <c r="CM461" s="332"/>
      <c r="CN461" s="332"/>
      <c r="CO461" s="332"/>
      <c r="CP461" s="332"/>
      <c r="CQ461" s="332"/>
      <c r="CR461" s="332"/>
      <c r="CS461" s="332"/>
      <c r="CT461" s="332"/>
      <c r="CU461" s="332"/>
      <c r="CV461" s="332"/>
      <c r="CW461" s="332"/>
      <c r="CX461" s="332"/>
      <c r="CY461" s="332"/>
      <c r="CZ461" s="332"/>
      <c r="DA461" s="332"/>
      <c r="DB461" s="332"/>
      <c r="DC461" s="332"/>
      <c r="DD461" s="332"/>
      <c r="DE461" s="332"/>
      <c r="DF461" s="332"/>
      <c r="DG461" s="332"/>
      <c r="DH461" s="332"/>
      <c r="DI461" s="332"/>
      <c r="DJ461" s="332"/>
      <c r="DK461" s="332"/>
      <c r="DL461" s="332"/>
      <c r="DM461" s="332"/>
      <c r="DN461" s="332"/>
      <c r="DO461" s="332"/>
      <c r="DP461" s="332"/>
      <c r="DQ461" s="332"/>
      <c r="DR461" s="332"/>
      <c r="DS461" s="332"/>
      <c r="DT461" s="332"/>
      <c r="DU461" s="453"/>
      <c r="DV461" s="453"/>
      <c r="DW461" s="453"/>
      <c r="DX461" s="453"/>
      <c r="DY461" s="453"/>
      <c r="DZ461" s="453"/>
      <c r="EA461" s="453"/>
      <c r="EB461" s="453"/>
      <c r="EC461" s="453"/>
      <c r="ED461" s="453"/>
      <c r="EE461" s="453"/>
      <c r="EF461" s="453"/>
      <c r="EG461" s="453"/>
      <c r="EH461" s="453"/>
      <c r="EI461" s="453"/>
      <c r="EJ461" s="453"/>
      <c r="EK461" s="453"/>
      <c r="EL461" s="453"/>
      <c r="EM461" s="483">
        <f t="shared" si="218"/>
        <v>152</v>
      </c>
      <c r="EN461" s="485"/>
      <c r="EO461" s="804"/>
      <c r="EP461" s="805"/>
      <c r="EQ461" s="806"/>
      <c r="ER461" s="808"/>
      <c r="ES461" s="881">
        <f t="shared" si="219"/>
        <v>0</v>
      </c>
      <c r="ET461" s="882"/>
      <c r="EU461" s="883"/>
      <c r="EV461" s="884">
        <f t="shared" si="217"/>
        <v>0</v>
      </c>
      <c r="EW461" s="885"/>
      <c r="EX461" s="885"/>
      <c r="EY461" s="885"/>
      <c r="EZ461" s="885"/>
      <c r="FA461" s="885"/>
      <c r="FB461" s="885"/>
      <c r="FC461" s="885"/>
      <c r="FD461" s="886"/>
      <c r="FE461" s="878"/>
      <c r="FF461" s="878"/>
      <c r="FG461" s="878"/>
      <c r="FH461" s="878"/>
      <c r="FI461" s="878"/>
      <c r="FJ461" s="878"/>
      <c r="FK461" s="878"/>
      <c r="FL461" s="555"/>
      <c r="FM461" s="554"/>
      <c r="FN461" s="554"/>
      <c r="FO461" s="554"/>
      <c r="FP461" s="554"/>
      <c r="FQ461" s="554"/>
      <c r="FR461" s="554"/>
      <c r="FS461" s="554"/>
      <c r="FT461" s="554"/>
      <c r="FU461" s="554"/>
      <c r="FV461" s="554"/>
      <c r="FW461" s="554"/>
      <c r="FX461" s="554"/>
      <c r="FY461" s="554"/>
      <c r="FZ461" s="554"/>
      <c r="GA461" s="554"/>
      <c r="GB461" s="556"/>
      <c r="GC461" s="370"/>
      <c r="GD461" s="453"/>
      <c r="GE461" s="453"/>
      <c r="GF461" s="453"/>
      <c r="GG461" s="453"/>
      <c r="GH461" s="454"/>
      <c r="GI461" s="453"/>
      <c r="GJ461" s="453"/>
      <c r="GK461" s="453"/>
      <c r="GL461" s="453"/>
      <c r="GM461" s="453"/>
      <c r="GN461" s="453"/>
      <c r="GO461" s="453"/>
      <c r="GP461" s="453"/>
      <c r="GQ461" s="453"/>
      <c r="GR461" s="453"/>
      <c r="GS461" s="561"/>
      <c r="GT461" s="475"/>
      <c r="GU461" s="472"/>
      <c r="GV461" s="453"/>
      <c r="GW461" s="453"/>
      <c r="GX461" s="869"/>
      <c r="GY461" s="870"/>
      <c r="GZ461" s="867"/>
      <c r="HA461" s="868"/>
      <c r="HB461" s="473"/>
      <c r="HC461" s="869"/>
      <c r="HD461" s="870"/>
      <c r="HE461" s="867"/>
      <c r="HF461" s="868"/>
      <c r="HG461" s="473"/>
      <c r="HH461" s="867"/>
      <c r="HI461" s="868"/>
      <c r="HJ461" s="867"/>
      <c r="HK461" s="868"/>
      <c r="HL461" s="370"/>
      <c r="HM461" s="865"/>
      <c r="HN461" s="866"/>
      <c r="HO461" s="865"/>
      <c r="HP461" s="866"/>
      <c r="HQ461" s="865"/>
      <c r="HR461" s="866"/>
      <c r="HS461" s="867"/>
      <c r="HT461" s="868"/>
      <c r="HU461" s="489"/>
      <c r="HV461" s="865"/>
      <c r="HW461" s="866"/>
    </row>
    <row r="462" spans="25:231" ht="15" customHeight="1">
      <c r="Y462" s="332"/>
      <c r="Z462" s="332"/>
      <c r="AA462" s="332"/>
      <c r="AB462" s="332"/>
      <c r="AC462" s="332"/>
      <c r="AD462" s="332"/>
      <c r="AE462" s="332"/>
      <c r="AF462" s="332"/>
      <c r="AG462" s="332"/>
      <c r="AH462" s="332"/>
      <c r="AI462" s="332"/>
      <c r="AJ462" s="332"/>
      <c r="AK462" s="332"/>
      <c r="AL462" s="332"/>
      <c r="AM462" s="332"/>
      <c r="AN462" s="332"/>
      <c r="AO462" s="332"/>
      <c r="AP462" s="332"/>
      <c r="AQ462" s="332"/>
      <c r="AR462" s="332"/>
      <c r="AS462" s="332"/>
      <c r="AT462" s="332"/>
      <c r="AU462" s="332"/>
      <c r="AV462" s="332"/>
      <c r="AW462" s="332"/>
      <c r="AX462" s="332"/>
      <c r="AY462" s="332"/>
      <c r="AZ462" s="332"/>
      <c r="BA462" s="332"/>
      <c r="BB462" s="332"/>
      <c r="BC462" s="332"/>
      <c r="BD462" s="332"/>
      <c r="BE462" s="332"/>
      <c r="BF462" s="332"/>
      <c r="BG462" s="332"/>
      <c r="BH462" s="332"/>
      <c r="BI462" s="332"/>
      <c r="BJ462" s="332"/>
      <c r="BK462" s="332"/>
      <c r="BL462" s="332"/>
      <c r="BM462" s="332"/>
      <c r="BN462" s="332"/>
      <c r="BO462" s="332"/>
      <c r="BP462" s="332"/>
      <c r="BQ462" s="332"/>
      <c r="BR462" s="332"/>
      <c r="BS462" s="332"/>
      <c r="BT462" s="332"/>
      <c r="BU462" s="332"/>
      <c r="BV462" s="332"/>
      <c r="BW462" s="332"/>
      <c r="BX462" s="332"/>
      <c r="BY462" s="332"/>
      <c r="BZ462" s="332"/>
      <c r="CA462" s="332"/>
      <c r="CB462" s="332"/>
      <c r="CC462" s="332"/>
      <c r="CD462" s="332"/>
      <c r="CE462" s="332"/>
      <c r="CF462" s="332"/>
      <c r="CG462" s="332"/>
      <c r="CH462" s="332"/>
      <c r="CI462" s="332"/>
      <c r="CJ462" s="332"/>
      <c r="CK462" s="332"/>
      <c r="CL462" s="332"/>
      <c r="CM462" s="332"/>
      <c r="CN462" s="332"/>
      <c r="CO462" s="332"/>
      <c r="CP462" s="332"/>
      <c r="CQ462" s="332"/>
      <c r="CR462" s="332"/>
      <c r="CS462" s="332"/>
      <c r="CT462" s="332"/>
      <c r="CU462" s="332"/>
      <c r="CV462" s="332"/>
      <c r="CW462" s="332"/>
      <c r="CX462" s="332"/>
      <c r="CY462" s="332"/>
      <c r="CZ462" s="332"/>
      <c r="DA462" s="332"/>
      <c r="DB462" s="332"/>
      <c r="DC462" s="332"/>
      <c r="DD462" s="332"/>
      <c r="DE462" s="332"/>
      <c r="DF462" s="332"/>
      <c r="DG462" s="332"/>
      <c r="DH462" s="332"/>
      <c r="DI462" s="332"/>
      <c r="DJ462" s="332"/>
      <c r="DK462" s="332"/>
      <c r="DL462" s="332"/>
      <c r="DM462" s="332"/>
      <c r="DN462" s="332"/>
      <c r="DO462" s="332"/>
      <c r="DP462" s="332"/>
      <c r="DQ462" s="332"/>
      <c r="DR462" s="332"/>
      <c r="DS462" s="332"/>
      <c r="DT462" s="332"/>
      <c r="DU462" s="453"/>
      <c r="DV462" s="453"/>
      <c r="DW462" s="453"/>
      <c r="DX462" s="453"/>
      <c r="DY462" s="453"/>
      <c r="DZ462" s="453"/>
      <c r="EA462" s="453"/>
      <c r="EB462" s="453"/>
      <c r="EC462" s="453"/>
      <c r="ED462" s="453"/>
      <c r="EE462" s="453"/>
      <c r="EF462" s="453"/>
      <c r="EG462" s="453"/>
      <c r="EH462" s="453"/>
      <c r="EI462" s="453"/>
      <c r="EJ462" s="453"/>
      <c r="EK462" s="453"/>
      <c r="EL462" s="453"/>
      <c r="EM462" s="483">
        <f t="shared" si="218"/>
        <v>153</v>
      </c>
      <c r="EN462" s="485"/>
      <c r="EO462" s="804"/>
      <c r="EP462" s="805"/>
      <c r="EQ462" s="806"/>
      <c r="ER462" s="808"/>
      <c r="ES462" s="881">
        <f t="shared" si="219"/>
        <v>0</v>
      </c>
      <c r="ET462" s="882"/>
      <c r="EU462" s="883"/>
      <c r="EV462" s="884">
        <f t="shared" si="217"/>
        <v>0</v>
      </c>
      <c r="EW462" s="885"/>
      <c r="EX462" s="885"/>
      <c r="EY462" s="885"/>
      <c r="EZ462" s="885"/>
      <c r="FA462" s="885"/>
      <c r="FB462" s="885"/>
      <c r="FC462" s="885"/>
      <c r="FD462" s="886"/>
      <c r="FE462" s="878"/>
      <c r="FF462" s="878"/>
      <c r="FG462" s="878"/>
      <c r="FH462" s="878"/>
      <c r="FI462" s="878"/>
      <c r="FJ462" s="878"/>
      <c r="FK462" s="878"/>
      <c r="FL462" s="555"/>
      <c r="FM462" s="554"/>
      <c r="FN462" s="554"/>
      <c r="FO462" s="554"/>
      <c r="FP462" s="554"/>
      <c r="FQ462" s="554"/>
      <c r="FR462" s="554"/>
      <c r="FS462" s="554"/>
      <c r="FT462" s="554"/>
      <c r="FU462" s="554"/>
      <c r="FV462" s="554"/>
      <c r="FW462" s="554"/>
      <c r="FX462" s="554"/>
      <c r="FY462" s="554"/>
      <c r="FZ462" s="554"/>
      <c r="GA462" s="554"/>
      <c r="GB462" s="556"/>
      <c r="GC462" s="370"/>
      <c r="GD462" s="453"/>
      <c r="GE462" s="453"/>
      <c r="GF462" s="453"/>
      <c r="GG462" s="453"/>
      <c r="GH462" s="454"/>
      <c r="GI462" s="453"/>
      <c r="GJ462" s="453"/>
      <c r="GK462" s="453"/>
      <c r="GL462" s="453"/>
      <c r="GM462" s="453"/>
      <c r="GN462" s="453"/>
      <c r="GO462" s="453"/>
      <c r="GP462" s="453"/>
      <c r="GQ462" s="453"/>
      <c r="GR462" s="453"/>
      <c r="GS462" s="561"/>
      <c r="GT462" s="475"/>
      <c r="GU462" s="472"/>
      <c r="GV462" s="453"/>
      <c r="GW462" s="453"/>
      <c r="GX462" s="869"/>
      <c r="GY462" s="870"/>
      <c r="GZ462" s="867"/>
      <c r="HA462" s="868"/>
      <c r="HB462" s="473"/>
      <c r="HC462" s="869"/>
      <c r="HD462" s="870"/>
      <c r="HE462" s="867"/>
      <c r="HF462" s="868"/>
      <c r="HG462" s="473"/>
      <c r="HH462" s="867"/>
      <c r="HI462" s="868"/>
      <c r="HJ462" s="867"/>
      <c r="HK462" s="868"/>
      <c r="HL462" s="370"/>
      <c r="HM462" s="865"/>
      <c r="HN462" s="866"/>
      <c r="HO462" s="865"/>
      <c r="HP462" s="866"/>
      <c r="HQ462" s="865"/>
      <c r="HR462" s="866"/>
      <c r="HS462" s="867"/>
      <c r="HT462" s="868"/>
      <c r="HU462" s="489"/>
      <c r="HV462" s="865"/>
      <c r="HW462" s="866"/>
    </row>
    <row r="463" spans="25:231" ht="15" customHeight="1">
      <c r="Y463" s="332"/>
      <c r="Z463" s="332"/>
      <c r="AA463" s="332"/>
      <c r="AB463" s="332"/>
      <c r="AC463" s="332"/>
      <c r="AD463" s="332"/>
      <c r="AE463" s="332"/>
      <c r="AF463" s="332"/>
      <c r="AG463" s="332"/>
      <c r="AH463" s="332"/>
      <c r="AI463" s="332"/>
      <c r="AJ463" s="332"/>
      <c r="AK463" s="332"/>
      <c r="AL463" s="332"/>
      <c r="AM463" s="332"/>
      <c r="AN463" s="332"/>
      <c r="AO463" s="332"/>
      <c r="AP463" s="332"/>
      <c r="AQ463" s="332"/>
      <c r="AR463" s="332"/>
      <c r="AS463" s="332"/>
      <c r="AT463" s="332"/>
      <c r="AU463" s="332"/>
      <c r="AV463" s="332"/>
      <c r="AW463" s="332"/>
      <c r="AX463" s="332"/>
      <c r="AY463" s="332"/>
      <c r="AZ463" s="332"/>
      <c r="BA463" s="332"/>
      <c r="BB463" s="332"/>
      <c r="BC463" s="332"/>
      <c r="BD463" s="332"/>
      <c r="BE463" s="332"/>
      <c r="BF463" s="332"/>
      <c r="BG463" s="332"/>
      <c r="BH463" s="332"/>
      <c r="BI463" s="332"/>
      <c r="BJ463" s="332"/>
      <c r="BK463" s="332"/>
      <c r="BL463" s="332"/>
      <c r="BM463" s="332"/>
      <c r="BN463" s="332"/>
      <c r="BO463" s="332"/>
      <c r="BP463" s="332"/>
      <c r="BQ463" s="332"/>
      <c r="BR463" s="332"/>
      <c r="BS463" s="332"/>
      <c r="BT463" s="332"/>
      <c r="BU463" s="332"/>
      <c r="BV463" s="332"/>
      <c r="BW463" s="332"/>
      <c r="BX463" s="332"/>
      <c r="BY463" s="332"/>
      <c r="BZ463" s="332"/>
      <c r="CA463" s="332"/>
      <c r="CB463" s="332"/>
      <c r="CC463" s="332"/>
      <c r="CD463" s="332"/>
      <c r="CE463" s="332"/>
      <c r="CF463" s="332"/>
      <c r="CG463" s="332"/>
      <c r="CH463" s="332"/>
      <c r="CI463" s="332"/>
      <c r="CJ463" s="332"/>
      <c r="CK463" s="332"/>
      <c r="CL463" s="332"/>
      <c r="CM463" s="332"/>
      <c r="CN463" s="332"/>
      <c r="CO463" s="332"/>
      <c r="CP463" s="332"/>
      <c r="CQ463" s="332"/>
      <c r="CR463" s="332"/>
      <c r="CS463" s="332"/>
      <c r="CT463" s="332"/>
      <c r="CU463" s="332"/>
      <c r="CV463" s="332"/>
      <c r="CW463" s="332"/>
      <c r="CX463" s="332"/>
      <c r="CY463" s="332"/>
      <c r="CZ463" s="332"/>
      <c r="DA463" s="332"/>
      <c r="DB463" s="332"/>
      <c r="DC463" s="332"/>
      <c r="DD463" s="332"/>
      <c r="DE463" s="332"/>
      <c r="DF463" s="332"/>
      <c r="DG463" s="332"/>
      <c r="DH463" s="332"/>
      <c r="DI463" s="332"/>
      <c r="DJ463" s="332"/>
      <c r="DK463" s="332"/>
      <c r="DL463" s="332"/>
      <c r="DM463" s="332"/>
      <c r="DN463" s="332"/>
      <c r="DO463" s="332"/>
      <c r="DP463" s="332"/>
      <c r="DQ463" s="332"/>
      <c r="DR463" s="332"/>
      <c r="DS463" s="332"/>
      <c r="DT463" s="332"/>
      <c r="DU463" s="453"/>
      <c r="DV463" s="453"/>
      <c r="DW463" s="453"/>
      <c r="DX463" s="453"/>
      <c r="DY463" s="453"/>
      <c r="DZ463" s="453"/>
      <c r="EA463" s="453"/>
      <c r="EB463" s="453"/>
      <c r="EC463" s="453"/>
      <c r="ED463" s="453"/>
      <c r="EE463" s="453"/>
      <c r="EF463" s="453"/>
      <c r="EG463" s="453"/>
      <c r="EH463" s="453"/>
      <c r="EI463" s="453"/>
      <c r="EJ463" s="453"/>
      <c r="EK463" s="453"/>
      <c r="EL463" s="453"/>
      <c r="EM463" s="483">
        <f t="shared" si="218"/>
        <v>154</v>
      </c>
      <c r="EN463" s="485"/>
      <c r="EO463" s="804"/>
      <c r="EP463" s="805"/>
      <c r="EQ463" s="806"/>
      <c r="ER463" s="808"/>
      <c r="ES463" s="881">
        <f t="shared" si="219"/>
        <v>0</v>
      </c>
      <c r="ET463" s="882"/>
      <c r="EU463" s="883"/>
      <c r="EV463" s="884">
        <f t="shared" si="217"/>
        <v>0</v>
      </c>
      <c r="EW463" s="885"/>
      <c r="EX463" s="885"/>
      <c r="EY463" s="885"/>
      <c r="EZ463" s="885"/>
      <c r="FA463" s="885"/>
      <c r="FB463" s="885"/>
      <c r="FC463" s="885"/>
      <c r="FD463" s="886"/>
      <c r="FE463" s="878"/>
      <c r="FF463" s="878"/>
      <c r="FG463" s="878"/>
      <c r="FH463" s="878"/>
      <c r="FI463" s="878"/>
      <c r="FJ463" s="878"/>
      <c r="FK463" s="878"/>
      <c r="FL463" s="555"/>
      <c r="FM463" s="554"/>
      <c r="FN463" s="554"/>
      <c r="FO463" s="554"/>
      <c r="FP463" s="554"/>
      <c r="FQ463" s="554"/>
      <c r="FR463" s="554"/>
      <c r="FS463" s="554"/>
      <c r="FT463" s="554"/>
      <c r="FU463" s="554"/>
      <c r="FV463" s="554"/>
      <c r="FW463" s="554"/>
      <c r="FX463" s="554"/>
      <c r="FY463" s="554"/>
      <c r="FZ463" s="554"/>
      <c r="GA463" s="554"/>
      <c r="GB463" s="556"/>
      <c r="GC463" s="370"/>
      <c r="GD463" s="453"/>
      <c r="GE463" s="453"/>
      <c r="GF463" s="453"/>
      <c r="GG463" s="453"/>
      <c r="GH463" s="454"/>
      <c r="GI463" s="453"/>
      <c r="GJ463" s="453"/>
      <c r="GK463" s="453"/>
      <c r="GL463" s="453"/>
      <c r="GM463" s="453"/>
      <c r="GN463" s="453"/>
      <c r="GO463" s="453"/>
      <c r="GP463" s="453"/>
      <c r="GQ463" s="453"/>
      <c r="GR463" s="453"/>
      <c r="GS463" s="561"/>
      <c r="GT463" s="475"/>
      <c r="GU463" s="472"/>
      <c r="GV463" s="453"/>
      <c r="GW463" s="453"/>
      <c r="GX463" s="869"/>
      <c r="GY463" s="870"/>
      <c r="GZ463" s="867"/>
      <c r="HA463" s="868"/>
      <c r="HB463" s="473"/>
      <c r="HC463" s="869"/>
      <c r="HD463" s="870"/>
      <c r="HE463" s="867"/>
      <c r="HF463" s="868"/>
      <c r="HG463" s="473"/>
      <c r="HH463" s="867"/>
      <c r="HI463" s="868"/>
      <c r="HJ463" s="867"/>
      <c r="HK463" s="868"/>
      <c r="HL463" s="370"/>
      <c r="HM463" s="865"/>
      <c r="HN463" s="866"/>
      <c r="HO463" s="865"/>
      <c r="HP463" s="866"/>
      <c r="HQ463" s="865"/>
      <c r="HR463" s="866"/>
      <c r="HS463" s="867"/>
      <c r="HT463" s="868"/>
      <c r="HU463" s="489"/>
      <c r="HV463" s="865"/>
      <c r="HW463" s="866"/>
    </row>
    <row r="464" spans="25:231" ht="15" customHeight="1">
      <c r="Y464" s="332"/>
      <c r="Z464" s="332"/>
      <c r="AA464" s="332"/>
      <c r="AB464" s="332"/>
      <c r="AC464" s="332"/>
      <c r="AD464" s="332"/>
      <c r="AE464" s="332"/>
      <c r="AF464" s="332"/>
      <c r="AG464" s="332"/>
      <c r="AH464" s="332"/>
      <c r="AI464" s="332"/>
      <c r="AJ464" s="332"/>
      <c r="AK464" s="332"/>
      <c r="AL464" s="332"/>
      <c r="AM464" s="332"/>
      <c r="AN464" s="332"/>
      <c r="AO464" s="332"/>
      <c r="AP464" s="332"/>
      <c r="AQ464" s="332"/>
      <c r="AR464" s="332"/>
      <c r="AS464" s="332"/>
      <c r="AT464" s="332"/>
      <c r="AU464" s="332"/>
      <c r="AV464" s="332"/>
      <c r="AW464" s="332"/>
      <c r="AX464" s="332"/>
      <c r="AY464" s="332"/>
      <c r="AZ464" s="332"/>
      <c r="BA464" s="332"/>
      <c r="BB464" s="332"/>
      <c r="BC464" s="332"/>
      <c r="BD464" s="332"/>
      <c r="BE464" s="332"/>
      <c r="BF464" s="332"/>
      <c r="BG464" s="332"/>
      <c r="BH464" s="332"/>
      <c r="BI464" s="332"/>
      <c r="BJ464" s="332"/>
      <c r="BK464" s="332"/>
      <c r="BL464" s="332"/>
      <c r="BM464" s="332"/>
      <c r="BN464" s="332"/>
      <c r="BO464" s="332"/>
      <c r="BP464" s="332"/>
      <c r="BQ464" s="332"/>
      <c r="BR464" s="332"/>
      <c r="BS464" s="332"/>
      <c r="BT464" s="332"/>
      <c r="BU464" s="332"/>
      <c r="BV464" s="332"/>
      <c r="BW464" s="332"/>
      <c r="BX464" s="332"/>
      <c r="BY464" s="332"/>
      <c r="BZ464" s="332"/>
      <c r="CA464" s="332"/>
      <c r="CB464" s="332"/>
      <c r="CC464" s="332"/>
      <c r="CD464" s="332"/>
      <c r="CE464" s="332"/>
      <c r="CF464" s="332"/>
      <c r="CG464" s="332"/>
      <c r="CH464" s="332"/>
      <c r="CI464" s="332"/>
      <c r="CJ464" s="332"/>
      <c r="CK464" s="332"/>
      <c r="CL464" s="332"/>
      <c r="CM464" s="332"/>
      <c r="CN464" s="332"/>
      <c r="CO464" s="332"/>
      <c r="CP464" s="332"/>
      <c r="CQ464" s="332"/>
      <c r="CR464" s="332"/>
      <c r="CS464" s="332"/>
      <c r="CT464" s="332"/>
      <c r="CU464" s="332"/>
      <c r="CV464" s="332"/>
      <c r="CW464" s="332"/>
      <c r="CX464" s="332"/>
      <c r="CY464" s="332"/>
      <c r="CZ464" s="332"/>
      <c r="DA464" s="332"/>
      <c r="DB464" s="332"/>
      <c r="DC464" s="332"/>
      <c r="DD464" s="332"/>
      <c r="DE464" s="332"/>
      <c r="DF464" s="332"/>
      <c r="DG464" s="332"/>
      <c r="DH464" s="332"/>
      <c r="DI464" s="332"/>
      <c r="DJ464" s="332"/>
      <c r="DK464" s="332"/>
      <c r="DL464" s="332"/>
      <c r="DM464" s="332"/>
      <c r="DN464" s="332"/>
      <c r="DO464" s="332"/>
      <c r="DP464" s="332"/>
      <c r="DQ464" s="332"/>
      <c r="DR464" s="332"/>
      <c r="DS464" s="332"/>
      <c r="DT464" s="332"/>
      <c r="DU464" s="453"/>
      <c r="DV464" s="453"/>
      <c r="DW464" s="453"/>
      <c r="DX464" s="453"/>
      <c r="DY464" s="453"/>
      <c r="DZ464" s="453"/>
      <c r="EA464" s="453"/>
      <c r="EB464" s="453"/>
      <c r="EC464" s="453"/>
      <c r="ED464" s="453"/>
      <c r="EE464" s="453"/>
      <c r="EF464" s="453"/>
      <c r="EG464" s="453"/>
      <c r="EH464" s="453"/>
      <c r="EI464" s="453"/>
      <c r="EJ464" s="453"/>
      <c r="EK464" s="453"/>
      <c r="EL464" s="453"/>
      <c r="EM464" s="483">
        <f t="shared" si="218"/>
        <v>155</v>
      </c>
      <c r="EN464" s="485"/>
      <c r="EO464" s="804"/>
      <c r="EP464" s="805"/>
      <c r="EQ464" s="806"/>
      <c r="ER464" s="808"/>
      <c r="ES464" s="881">
        <f t="shared" si="219"/>
        <v>0</v>
      </c>
      <c r="ET464" s="882"/>
      <c r="EU464" s="883"/>
      <c r="EV464" s="884">
        <f t="shared" si="217"/>
        <v>0</v>
      </c>
      <c r="EW464" s="885"/>
      <c r="EX464" s="885"/>
      <c r="EY464" s="885"/>
      <c r="EZ464" s="885"/>
      <c r="FA464" s="885"/>
      <c r="FB464" s="885"/>
      <c r="FC464" s="885"/>
      <c r="FD464" s="886"/>
      <c r="FE464" s="878"/>
      <c r="FF464" s="878"/>
      <c r="FG464" s="878"/>
      <c r="FH464" s="878"/>
      <c r="FI464" s="878"/>
      <c r="FJ464" s="878"/>
      <c r="FK464" s="878"/>
      <c r="FL464" s="555"/>
      <c r="FM464" s="554"/>
      <c r="FN464" s="554"/>
      <c r="FO464" s="554"/>
      <c r="FP464" s="554"/>
      <c r="FQ464" s="554"/>
      <c r="FR464" s="554"/>
      <c r="FS464" s="554"/>
      <c r="FT464" s="554"/>
      <c r="FU464" s="554"/>
      <c r="FV464" s="554"/>
      <c r="FW464" s="554"/>
      <c r="FX464" s="554"/>
      <c r="FY464" s="554"/>
      <c r="FZ464" s="554"/>
      <c r="GA464" s="554"/>
      <c r="GB464" s="556"/>
      <c r="GC464" s="370"/>
      <c r="GD464" s="453"/>
      <c r="GE464" s="453"/>
      <c r="GF464" s="453"/>
      <c r="GG464" s="453"/>
      <c r="GH464" s="454"/>
      <c r="GI464" s="453"/>
      <c r="GJ464" s="453"/>
      <c r="GK464" s="453"/>
      <c r="GL464" s="453"/>
      <c r="GM464" s="453"/>
      <c r="GN464" s="453"/>
      <c r="GO464" s="453"/>
      <c r="GP464" s="453"/>
      <c r="GQ464" s="453"/>
      <c r="GR464" s="453"/>
      <c r="GS464" s="561"/>
      <c r="GT464" s="475"/>
      <c r="GU464" s="472"/>
      <c r="GV464" s="453"/>
      <c r="GW464" s="453"/>
      <c r="GX464" s="869"/>
      <c r="GY464" s="870"/>
      <c r="GZ464" s="867"/>
      <c r="HA464" s="868"/>
      <c r="HB464" s="473"/>
      <c r="HC464" s="869"/>
      <c r="HD464" s="870"/>
      <c r="HE464" s="867"/>
      <c r="HF464" s="868"/>
      <c r="HG464" s="473"/>
      <c r="HH464" s="867"/>
      <c r="HI464" s="868"/>
      <c r="HJ464" s="867"/>
      <c r="HK464" s="868"/>
      <c r="HL464" s="370"/>
      <c r="HM464" s="865"/>
      <c r="HN464" s="866"/>
      <c r="HO464" s="865"/>
      <c r="HP464" s="866"/>
      <c r="HQ464" s="865"/>
      <c r="HR464" s="866"/>
      <c r="HS464" s="867"/>
      <c r="HT464" s="868"/>
      <c r="HU464" s="489"/>
      <c r="HV464" s="865"/>
      <c r="HW464" s="866"/>
    </row>
    <row r="465" spans="25:231" ht="15" customHeight="1">
      <c r="Y465" s="332"/>
      <c r="Z465" s="332"/>
      <c r="AA465" s="332"/>
      <c r="AB465" s="332"/>
      <c r="AC465" s="332"/>
      <c r="AD465" s="332"/>
      <c r="AE465" s="332"/>
      <c r="AF465" s="332"/>
      <c r="AG465" s="332"/>
      <c r="AH465" s="332"/>
      <c r="AI465" s="332"/>
      <c r="AJ465" s="332"/>
      <c r="AK465" s="332"/>
      <c r="AL465" s="332"/>
      <c r="AM465" s="332"/>
      <c r="AN465" s="332"/>
      <c r="AO465" s="332"/>
      <c r="AP465" s="332"/>
      <c r="AQ465" s="332"/>
      <c r="AR465" s="332"/>
      <c r="AS465" s="332"/>
      <c r="AT465" s="332"/>
      <c r="AU465" s="332"/>
      <c r="AV465" s="332"/>
      <c r="AW465" s="332"/>
      <c r="AX465" s="332"/>
      <c r="AY465" s="332"/>
      <c r="AZ465" s="332"/>
      <c r="BA465" s="332"/>
      <c r="BB465" s="332"/>
      <c r="BC465" s="332"/>
      <c r="BD465" s="332"/>
      <c r="BE465" s="332"/>
      <c r="BF465" s="332"/>
      <c r="BG465" s="332"/>
      <c r="BH465" s="332"/>
      <c r="BI465" s="332"/>
      <c r="BJ465" s="332"/>
      <c r="BK465" s="332"/>
      <c r="BL465" s="332"/>
      <c r="BM465" s="332"/>
      <c r="BN465" s="332"/>
      <c r="BO465" s="332"/>
      <c r="BP465" s="332"/>
      <c r="BQ465" s="332"/>
      <c r="BR465" s="332"/>
      <c r="BS465" s="332"/>
      <c r="BT465" s="332"/>
      <c r="BU465" s="332"/>
      <c r="BV465" s="332"/>
      <c r="BW465" s="332"/>
      <c r="BX465" s="332"/>
      <c r="BY465" s="332"/>
      <c r="BZ465" s="332"/>
      <c r="CA465" s="332"/>
      <c r="CB465" s="332"/>
      <c r="CC465" s="332"/>
      <c r="CD465" s="332"/>
      <c r="CE465" s="332"/>
      <c r="CF465" s="332"/>
      <c r="CG465" s="332"/>
      <c r="CH465" s="332"/>
      <c r="CI465" s="332"/>
      <c r="CJ465" s="332"/>
      <c r="CK465" s="332"/>
      <c r="CL465" s="332"/>
      <c r="CM465" s="332"/>
      <c r="CN465" s="332"/>
      <c r="CO465" s="332"/>
      <c r="CP465" s="332"/>
      <c r="CQ465" s="332"/>
      <c r="CR465" s="332"/>
      <c r="CS465" s="332"/>
      <c r="CT465" s="332"/>
      <c r="CU465" s="332"/>
      <c r="CV465" s="332"/>
      <c r="CW465" s="332"/>
      <c r="CX465" s="332"/>
      <c r="CY465" s="332"/>
      <c r="CZ465" s="332"/>
      <c r="DA465" s="332"/>
      <c r="DB465" s="332"/>
      <c r="DC465" s="332"/>
      <c r="DD465" s="332"/>
      <c r="DE465" s="332"/>
      <c r="DF465" s="332"/>
      <c r="DG465" s="332"/>
      <c r="DH465" s="332"/>
      <c r="DI465" s="332"/>
      <c r="DJ465" s="332"/>
      <c r="DK465" s="332"/>
      <c r="DL465" s="332"/>
      <c r="DM465" s="332"/>
      <c r="DN465" s="332"/>
      <c r="DO465" s="332"/>
      <c r="DP465" s="332"/>
      <c r="DQ465" s="332"/>
      <c r="DR465" s="332"/>
      <c r="DS465" s="332"/>
      <c r="DT465" s="332"/>
      <c r="DU465" s="453"/>
      <c r="DV465" s="453"/>
      <c r="DW465" s="453"/>
      <c r="DX465" s="453"/>
      <c r="DY465" s="453"/>
      <c r="DZ465" s="453"/>
      <c r="EA465" s="453"/>
      <c r="EB465" s="453"/>
      <c r="EC465" s="453"/>
      <c r="ED465" s="453"/>
      <c r="EE465" s="453"/>
      <c r="EF465" s="453"/>
      <c r="EG465" s="453"/>
      <c r="EH465" s="453"/>
      <c r="EI465" s="453"/>
      <c r="EJ465" s="453"/>
      <c r="EK465" s="453"/>
      <c r="EL465" s="453"/>
      <c r="EM465" s="483">
        <f t="shared" si="218"/>
        <v>156</v>
      </c>
      <c r="EN465" s="485"/>
      <c r="EO465" s="804"/>
      <c r="EP465" s="805"/>
      <c r="EQ465" s="806"/>
      <c r="ER465" s="808"/>
      <c r="ES465" s="881">
        <f t="shared" si="219"/>
        <v>0</v>
      </c>
      <c r="ET465" s="882"/>
      <c r="EU465" s="883"/>
      <c r="EV465" s="884">
        <f t="shared" si="217"/>
        <v>0</v>
      </c>
      <c r="EW465" s="885"/>
      <c r="EX465" s="885"/>
      <c r="EY465" s="885"/>
      <c r="EZ465" s="885"/>
      <c r="FA465" s="885"/>
      <c r="FB465" s="885"/>
      <c r="FC465" s="885"/>
      <c r="FD465" s="886"/>
      <c r="FE465" s="878"/>
      <c r="FF465" s="878"/>
      <c r="FG465" s="878"/>
      <c r="FH465" s="878"/>
      <c r="FI465" s="878"/>
      <c r="FJ465" s="878"/>
      <c r="FK465" s="878"/>
      <c r="FL465" s="555"/>
      <c r="FM465" s="554"/>
      <c r="FN465" s="554"/>
      <c r="FO465" s="554"/>
      <c r="FP465" s="554"/>
      <c r="FQ465" s="554"/>
      <c r="FR465" s="554"/>
      <c r="FS465" s="554"/>
      <c r="FT465" s="554"/>
      <c r="FU465" s="554"/>
      <c r="FV465" s="554"/>
      <c r="FW465" s="554"/>
      <c r="FX465" s="554"/>
      <c r="FY465" s="554"/>
      <c r="FZ465" s="554"/>
      <c r="GA465" s="554"/>
      <c r="GB465" s="556"/>
      <c r="GC465" s="370"/>
      <c r="GD465" s="453"/>
      <c r="GE465" s="453"/>
      <c r="GF465" s="453"/>
      <c r="GG465" s="453"/>
      <c r="GH465" s="454"/>
      <c r="GI465" s="453"/>
      <c r="GJ465" s="453"/>
      <c r="GK465" s="453"/>
      <c r="GL465" s="453"/>
      <c r="GM465" s="453"/>
      <c r="GN465" s="453"/>
      <c r="GO465" s="453"/>
      <c r="GP465" s="453"/>
      <c r="GQ465" s="453"/>
      <c r="GR465" s="453"/>
      <c r="GS465" s="561"/>
      <c r="GT465" s="475"/>
      <c r="GU465" s="472"/>
      <c r="GV465" s="453"/>
      <c r="GW465" s="453"/>
      <c r="GX465" s="869"/>
      <c r="GY465" s="870"/>
      <c r="GZ465" s="867"/>
      <c r="HA465" s="868"/>
      <c r="HB465" s="473"/>
      <c r="HC465" s="869"/>
      <c r="HD465" s="870"/>
      <c r="HE465" s="867"/>
      <c r="HF465" s="868"/>
      <c r="HG465" s="473"/>
      <c r="HH465" s="867"/>
      <c r="HI465" s="868"/>
      <c r="HJ465" s="867"/>
      <c r="HK465" s="868"/>
      <c r="HL465" s="370"/>
      <c r="HM465" s="865"/>
      <c r="HN465" s="866"/>
      <c r="HO465" s="865"/>
      <c r="HP465" s="866"/>
      <c r="HQ465" s="865"/>
      <c r="HR465" s="866"/>
      <c r="HS465" s="867"/>
      <c r="HT465" s="868"/>
      <c r="HU465" s="489"/>
      <c r="HV465" s="865"/>
      <c r="HW465" s="866"/>
    </row>
    <row r="466" spans="25:231" ht="15" customHeight="1">
      <c r="Y466" s="332"/>
      <c r="Z466" s="332"/>
      <c r="AA466" s="332"/>
      <c r="AB466" s="332"/>
      <c r="AC466" s="332"/>
      <c r="AD466" s="332"/>
      <c r="AE466" s="332"/>
      <c r="AF466" s="332"/>
      <c r="AG466" s="332"/>
      <c r="AH466" s="332"/>
      <c r="AI466" s="332"/>
      <c r="AJ466" s="332"/>
      <c r="AK466" s="332"/>
      <c r="AL466" s="332"/>
      <c r="AM466" s="332"/>
      <c r="AN466" s="332"/>
      <c r="AO466" s="332"/>
      <c r="AP466" s="332"/>
      <c r="AQ466" s="332"/>
      <c r="AR466" s="332"/>
      <c r="AS466" s="332"/>
      <c r="AT466" s="332"/>
      <c r="AU466" s="332"/>
      <c r="AV466" s="332"/>
      <c r="AW466" s="332"/>
      <c r="AX466" s="332"/>
      <c r="AY466" s="332"/>
      <c r="AZ466" s="332"/>
      <c r="BA466" s="332"/>
      <c r="BB466" s="332"/>
      <c r="BC466" s="332"/>
      <c r="BD466" s="332"/>
      <c r="BE466" s="332"/>
      <c r="BF466" s="332"/>
      <c r="BG466" s="332"/>
      <c r="BH466" s="332"/>
      <c r="BI466" s="332"/>
      <c r="BJ466" s="332"/>
      <c r="BK466" s="332"/>
      <c r="BL466" s="332"/>
      <c r="BM466" s="332"/>
      <c r="BN466" s="332"/>
      <c r="BO466" s="332"/>
      <c r="BP466" s="332"/>
      <c r="BQ466" s="332"/>
      <c r="BR466" s="332"/>
      <c r="BS466" s="332"/>
      <c r="BT466" s="332"/>
      <c r="BU466" s="332"/>
      <c r="BV466" s="332"/>
      <c r="BW466" s="332"/>
      <c r="BX466" s="332"/>
      <c r="BY466" s="332"/>
      <c r="BZ466" s="332"/>
      <c r="CA466" s="332"/>
      <c r="CB466" s="332"/>
      <c r="CC466" s="332"/>
      <c r="CD466" s="332"/>
      <c r="CE466" s="332"/>
      <c r="CF466" s="332"/>
      <c r="CG466" s="332"/>
      <c r="CH466" s="332"/>
      <c r="CI466" s="332"/>
      <c r="CJ466" s="332"/>
      <c r="CK466" s="332"/>
      <c r="CL466" s="332"/>
      <c r="CM466" s="332"/>
      <c r="CN466" s="332"/>
      <c r="CO466" s="332"/>
      <c r="CP466" s="332"/>
      <c r="CQ466" s="332"/>
      <c r="CR466" s="332"/>
      <c r="CS466" s="332"/>
      <c r="CT466" s="332"/>
      <c r="CU466" s="332"/>
      <c r="CV466" s="332"/>
      <c r="CW466" s="332"/>
      <c r="CX466" s="332"/>
      <c r="CY466" s="332"/>
      <c r="CZ466" s="332"/>
      <c r="DA466" s="332"/>
      <c r="DB466" s="332"/>
      <c r="DC466" s="332"/>
      <c r="DD466" s="332"/>
      <c r="DE466" s="332"/>
      <c r="DF466" s="332"/>
      <c r="DG466" s="332"/>
      <c r="DH466" s="332"/>
      <c r="DI466" s="332"/>
      <c r="DJ466" s="332"/>
      <c r="DK466" s="332"/>
      <c r="DL466" s="332"/>
      <c r="DM466" s="332"/>
      <c r="DN466" s="332"/>
      <c r="DO466" s="332"/>
      <c r="DP466" s="332"/>
      <c r="DQ466" s="332"/>
      <c r="DR466" s="332"/>
      <c r="DS466" s="332"/>
      <c r="DT466" s="332"/>
      <c r="DU466" s="453"/>
      <c r="DV466" s="453"/>
      <c r="DW466" s="453"/>
      <c r="DX466" s="453"/>
      <c r="DY466" s="453"/>
      <c r="DZ466" s="453"/>
      <c r="EA466" s="453"/>
      <c r="EB466" s="453"/>
      <c r="EC466" s="453"/>
      <c r="ED466" s="453"/>
      <c r="EE466" s="453"/>
      <c r="EF466" s="453"/>
      <c r="EG466" s="453"/>
      <c r="EH466" s="453"/>
      <c r="EI466" s="453"/>
      <c r="EJ466" s="453"/>
      <c r="EK466" s="453"/>
      <c r="EL466" s="453"/>
      <c r="EM466" s="483">
        <f t="shared" si="218"/>
        <v>157</v>
      </c>
      <c r="EN466" s="485"/>
      <c r="EO466" s="804"/>
      <c r="EP466" s="805"/>
      <c r="EQ466" s="806"/>
      <c r="ER466" s="808"/>
      <c r="ES466" s="881">
        <f t="shared" si="219"/>
        <v>0</v>
      </c>
      <c r="ET466" s="882"/>
      <c r="EU466" s="883"/>
      <c r="EV466" s="884">
        <f t="shared" si="217"/>
        <v>0</v>
      </c>
      <c r="EW466" s="885"/>
      <c r="EX466" s="885"/>
      <c r="EY466" s="885"/>
      <c r="EZ466" s="885"/>
      <c r="FA466" s="885"/>
      <c r="FB466" s="885"/>
      <c r="FC466" s="885"/>
      <c r="FD466" s="886"/>
      <c r="FE466" s="878"/>
      <c r="FF466" s="878"/>
      <c r="FG466" s="878"/>
      <c r="FH466" s="878"/>
      <c r="FI466" s="878"/>
      <c r="FJ466" s="878"/>
      <c r="FK466" s="878"/>
      <c r="FL466" s="555"/>
      <c r="FM466" s="554"/>
      <c r="FN466" s="554"/>
      <c r="FO466" s="554"/>
      <c r="FP466" s="554"/>
      <c r="FQ466" s="554"/>
      <c r="FR466" s="554"/>
      <c r="FS466" s="554"/>
      <c r="FT466" s="554"/>
      <c r="FU466" s="554"/>
      <c r="FV466" s="554"/>
      <c r="FW466" s="554"/>
      <c r="FX466" s="554"/>
      <c r="FY466" s="554"/>
      <c r="FZ466" s="554"/>
      <c r="GA466" s="554"/>
      <c r="GB466" s="556"/>
      <c r="GC466" s="370"/>
      <c r="GD466" s="453"/>
      <c r="GE466" s="453"/>
      <c r="GF466" s="453"/>
      <c r="GG466" s="453"/>
      <c r="GH466" s="454"/>
      <c r="GI466" s="453"/>
      <c r="GJ466" s="453"/>
      <c r="GK466" s="453"/>
      <c r="GL466" s="453"/>
      <c r="GM466" s="453"/>
      <c r="GN466" s="453"/>
      <c r="GO466" s="453"/>
      <c r="GP466" s="453"/>
      <c r="GQ466" s="453"/>
      <c r="GR466" s="453"/>
      <c r="GS466" s="561"/>
      <c r="GT466" s="475"/>
      <c r="GU466" s="472"/>
      <c r="GV466" s="453"/>
      <c r="GW466" s="453"/>
      <c r="GX466" s="869"/>
      <c r="GY466" s="870"/>
      <c r="GZ466" s="867"/>
      <c r="HA466" s="868"/>
      <c r="HB466" s="473"/>
      <c r="HC466" s="869"/>
      <c r="HD466" s="870"/>
      <c r="HE466" s="867"/>
      <c r="HF466" s="868"/>
      <c r="HG466" s="473"/>
      <c r="HH466" s="867"/>
      <c r="HI466" s="868"/>
      <c r="HJ466" s="867"/>
      <c r="HK466" s="868"/>
      <c r="HL466" s="370"/>
      <c r="HM466" s="865"/>
      <c r="HN466" s="866"/>
      <c r="HO466" s="865"/>
      <c r="HP466" s="866"/>
      <c r="HQ466" s="865"/>
      <c r="HR466" s="866"/>
      <c r="HS466" s="867"/>
      <c r="HT466" s="868"/>
      <c r="HU466" s="489"/>
      <c r="HV466" s="865"/>
      <c r="HW466" s="866"/>
    </row>
    <row r="467" spans="25:231" ht="15" customHeight="1">
      <c r="Y467" s="332"/>
      <c r="Z467" s="332"/>
      <c r="AA467" s="332"/>
      <c r="AB467" s="332"/>
      <c r="AC467" s="332"/>
      <c r="AD467" s="332"/>
      <c r="AE467" s="332"/>
      <c r="AF467" s="332"/>
      <c r="AG467" s="332"/>
      <c r="AH467" s="332"/>
      <c r="AI467" s="332"/>
      <c r="AJ467" s="332"/>
      <c r="AK467" s="332"/>
      <c r="AL467" s="332"/>
      <c r="AM467" s="332"/>
      <c r="AN467" s="332"/>
      <c r="AO467" s="332"/>
      <c r="AP467" s="332"/>
      <c r="AQ467" s="332"/>
      <c r="AR467" s="332"/>
      <c r="AS467" s="332"/>
      <c r="AT467" s="332"/>
      <c r="AU467" s="332"/>
      <c r="AV467" s="332"/>
      <c r="AW467" s="332"/>
      <c r="AX467" s="332"/>
      <c r="AY467" s="332"/>
      <c r="AZ467" s="332"/>
      <c r="BA467" s="332"/>
      <c r="BB467" s="332"/>
      <c r="BC467" s="332"/>
      <c r="BD467" s="332"/>
      <c r="BE467" s="332"/>
      <c r="BF467" s="332"/>
      <c r="BG467" s="332"/>
      <c r="BH467" s="332"/>
      <c r="BI467" s="332"/>
      <c r="BJ467" s="332"/>
      <c r="BK467" s="332"/>
      <c r="BL467" s="332"/>
      <c r="BM467" s="332"/>
      <c r="BN467" s="332"/>
      <c r="BO467" s="332"/>
      <c r="BP467" s="332"/>
      <c r="BQ467" s="332"/>
      <c r="BR467" s="332"/>
      <c r="BS467" s="332"/>
      <c r="BT467" s="332"/>
      <c r="BU467" s="332"/>
      <c r="BV467" s="332"/>
      <c r="BW467" s="332"/>
      <c r="BX467" s="332"/>
      <c r="BY467" s="332"/>
      <c r="BZ467" s="332"/>
      <c r="CA467" s="332"/>
      <c r="CB467" s="332"/>
      <c r="CC467" s="332"/>
      <c r="CD467" s="332"/>
      <c r="CE467" s="332"/>
      <c r="CF467" s="332"/>
      <c r="CG467" s="332"/>
      <c r="CH467" s="332"/>
      <c r="CI467" s="332"/>
      <c r="CJ467" s="332"/>
      <c r="CK467" s="332"/>
      <c r="CL467" s="332"/>
      <c r="CM467" s="332"/>
      <c r="CN467" s="332"/>
      <c r="CO467" s="332"/>
      <c r="CP467" s="332"/>
      <c r="CQ467" s="332"/>
      <c r="CR467" s="332"/>
      <c r="CS467" s="332"/>
      <c r="CT467" s="332"/>
      <c r="CU467" s="332"/>
      <c r="CV467" s="332"/>
      <c r="CW467" s="332"/>
      <c r="CX467" s="332"/>
      <c r="CY467" s="332"/>
      <c r="CZ467" s="332"/>
      <c r="DA467" s="332"/>
      <c r="DB467" s="332"/>
      <c r="DC467" s="332"/>
      <c r="DD467" s="332"/>
      <c r="DE467" s="332"/>
      <c r="DF467" s="332"/>
      <c r="DG467" s="332"/>
      <c r="DH467" s="332"/>
      <c r="DI467" s="332"/>
      <c r="DJ467" s="332"/>
      <c r="DK467" s="332"/>
      <c r="DL467" s="332"/>
      <c r="DM467" s="332"/>
      <c r="DN467" s="332"/>
      <c r="DO467" s="332"/>
      <c r="DP467" s="332"/>
      <c r="DQ467" s="332"/>
      <c r="DR467" s="332"/>
      <c r="DS467" s="332"/>
      <c r="DT467" s="332"/>
      <c r="DU467" s="453"/>
      <c r="DV467" s="453"/>
      <c r="DW467" s="453"/>
      <c r="DX467" s="453"/>
      <c r="DY467" s="453"/>
      <c r="DZ467" s="453"/>
      <c r="EA467" s="453"/>
      <c r="EB467" s="453"/>
      <c r="EC467" s="453"/>
      <c r="ED467" s="453"/>
      <c r="EE467" s="453"/>
      <c r="EF467" s="453"/>
      <c r="EG467" s="453"/>
      <c r="EH467" s="453"/>
      <c r="EI467" s="453"/>
      <c r="EJ467" s="453"/>
      <c r="EK467" s="453"/>
      <c r="EL467" s="453"/>
      <c r="EM467" s="483">
        <f t="shared" si="218"/>
        <v>158</v>
      </c>
      <c r="EN467" s="485"/>
      <c r="EO467" s="804"/>
      <c r="EP467" s="805"/>
      <c r="EQ467" s="806"/>
      <c r="ER467" s="808"/>
      <c r="ES467" s="881">
        <f t="shared" si="219"/>
        <v>0</v>
      </c>
      <c r="ET467" s="882"/>
      <c r="EU467" s="883"/>
      <c r="EV467" s="884">
        <f t="shared" si="217"/>
        <v>0</v>
      </c>
      <c r="EW467" s="885"/>
      <c r="EX467" s="885"/>
      <c r="EY467" s="885"/>
      <c r="EZ467" s="885"/>
      <c r="FA467" s="885"/>
      <c r="FB467" s="885"/>
      <c r="FC467" s="885"/>
      <c r="FD467" s="886"/>
      <c r="FE467" s="878"/>
      <c r="FF467" s="878"/>
      <c r="FG467" s="878"/>
      <c r="FH467" s="878"/>
      <c r="FI467" s="878"/>
      <c r="FJ467" s="878"/>
      <c r="FK467" s="878"/>
      <c r="FL467" s="555"/>
      <c r="FM467" s="554"/>
      <c r="FN467" s="554"/>
      <c r="FO467" s="554"/>
      <c r="FP467" s="554"/>
      <c r="FQ467" s="554"/>
      <c r="FR467" s="554"/>
      <c r="FS467" s="554"/>
      <c r="FT467" s="554"/>
      <c r="FU467" s="554"/>
      <c r="FV467" s="554"/>
      <c r="FW467" s="554"/>
      <c r="FX467" s="554"/>
      <c r="FY467" s="554"/>
      <c r="FZ467" s="554"/>
      <c r="GA467" s="554"/>
      <c r="GB467" s="556"/>
      <c r="GC467" s="370"/>
      <c r="GD467" s="453"/>
      <c r="GE467" s="453"/>
      <c r="GF467" s="453"/>
      <c r="GG467" s="453"/>
      <c r="GH467" s="454"/>
      <c r="GI467" s="453"/>
      <c r="GJ467" s="453"/>
      <c r="GK467" s="453"/>
      <c r="GL467" s="453"/>
      <c r="GM467" s="453"/>
      <c r="GN467" s="453"/>
      <c r="GO467" s="453"/>
      <c r="GP467" s="453"/>
      <c r="GQ467" s="453"/>
      <c r="GR467" s="453"/>
      <c r="GS467" s="561"/>
      <c r="GT467" s="475"/>
      <c r="GU467" s="472"/>
      <c r="GV467" s="453"/>
      <c r="GW467" s="453"/>
      <c r="GX467" s="869"/>
      <c r="GY467" s="870"/>
      <c r="GZ467" s="867"/>
      <c r="HA467" s="868"/>
      <c r="HB467" s="473"/>
      <c r="HC467" s="869"/>
      <c r="HD467" s="870"/>
      <c r="HE467" s="867"/>
      <c r="HF467" s="868"/>
      <c r="HG467" s="473"/>
      <c r="HH467" s="867"/>
      <c r="HI467" s="868"/>
      <c r="HJ467" s="867"/>
      <c r="HK467" s="868"/>
      <c r="HL467" s="370"/>
      <c r="HM467" s="865"/>
      <c r="HN467" s="866"/>
      <c r="HO467" s="865"/>
      <c r="HP467" s="866"/>
      <c r="HQ467" s="865"/>
      <c r="HR467" s="866"/>
      <c r="HS467" s="867"/>
      <c r="HT467" s="868"/>
      <c r="HU467" s="489"/>
      <c r="HV467" s="865"/>
      <c r="HW467" s="866"/>
    </row>
    <row r="468" spans="25:231" ht="15" customHeight="1">
      <c r="Y468" s="332"/>
      <c r="Z468" s="332"/>
      <c r="AA468" s="332"/>
      <c r="AB468" s="332"/>
      <c r="AC468" s="332"/>
      <c r="AD468" s="332"/>
      <c r="AE468" s="332"/>
      <c r="AF468" s="332"/>
      <c r="AG468" s="332"/>
      <c r="AH468" s="332"/>
      <c r="AI468" s="332"/>
      <c r="AJ468" s="332"/>
      <c r="AK468" s="332"/>
      <c r="AL468" s="332"/>
      <c r="AM468" s="332"/>
      <c r="AN468" s="332"/>
      <c r="AO468" s="332"/>
      <c r="AP468" s="332"/>
      <c r="AQ468" s="332"/>
      <c r="AR468" s="332"/>
      <c r="AS468" s="332"/>
      <c r="AT468" s="332"/>
      <c r="AU468" s="332"/>
      <c r="AV468" s="332"/>
      <c r="AW468" s="332"/>
      <c r="AX468" s="332"/>
      <c r="AY468" s="332"/>
      <c r="AZ468" s="332"/>
      <c r="BA468" s="332"/>
      <c r="BB468" s="332"/>
      <c r="BC468" s="332"/>
      <c r="BD468" s="332"/>
      <c r="BE468" s="332"/>
      <c r="BF468" s="332"/>
      <c r="BG468" s="332"/>
      <c r="BH468" s="332"/>
      <c r="BI468" s="332"/>
      <c r="BJ468" s="332"/>
      <c r="BK468" s="332"/>
      <c r="BL468" s="332"/>
      <c r="BM468" s="332"/>
      <c r="BN468" s="332"/>
      <c r="BO468" s="332"/>
      <c r="BP468" s="332"/>
      <c r="BQ468" s="332"/>
      <c r="BR468" s="332"/>
      <c r="BS468" s="332"/>
      <c r="BT468" s="332"/>
      <c r="BU468" s="332"/>
      <c r="BV468" s="332"/>
      <c r="BW468" s="332"/>
      <c r="BX468" s="332"/>
      <c r="BY468" s="332"/>
      <c r="BZ468" s="332"/>
      <c r="CA468" s="332"/>
      <c r="CB468" s="332"/>
      <c r="CC468" s="332"/>
      <c r="CD468" s="332"/>
      <c r="CE468" s="332"/>
      <c r="CF468" s="332"/>
      <c r="CG468" s="332"/>
      <c r="CH468" s="332"/>
      <c r="CI468" s="332"/>
      <c r="CJ468" s="332"/>
      <c r="CK468" s="332"/>
      <c r="CL468" s="332"/>
      <c r="CM468" s="332"/>
      <c r="CN468" s="332"/>
      <c r="CO468" s="332"/>
      <c r="CP468" s="332"/>
      <c r="CQ468" s="332"/>
      <c r="CR468" s="332"/>
      <c r="CS468" s="332"/>
      <c r="CT468" s="332"/>
      <c r="CU468" s="332"/>
      <c r="CV468" s="332"/>
      <c r="CW468" s="332"/>
      <c r="CX468" s="332"/>
      <c r="CY468" s="332"/>
      <c r="CZ468" s="332"/>
      <c r="DA468" s="332"/>
      <c r="DB468" s="332"/>
      <c r="DC468" s="332"/>
      <c r="DD468" s="332"/>
      <c r="DE468" s="332"/>
      <c r="DF468" s="332"/>
      <c r="DG468" s="332"/>
      <c r="DH468" s="332"/>
      <c r="DI468" s="332"/>
      <c r="DJ468" s="332"/>
      <c r="DK468" s="332"/>
      <c r="DL468" s="332"/>
      <c r="DM468" s="332"/>
      <c r="DN468" s="332"/>
      <c r="DO468" s="332"/>
      <c r="DP468" s="332"/>
      <c r="DQ468" s="332"/>
      <c r="DR468" s="332"/>
      <c r="DS468" s="332"/>
      <c r="DT468" s="332"/>
      <c r="DU468" s="453"/>
      <c r="DV468" s="453"/>
      <c r="DW468" s="453"/>
      <c r="DX468" s="453"/>
      <c r="DY468" s="453"/>
      <c r="DZ468" s="453"/>
      <c r="EA468" s="453"/>
      <c r="EB468" s="453"/>
      <c r="EC468" s="453"/>
      <c r="ED468" s="453"/>
      <c r="EE468" s="453"/>
      <c r="EF468" s="453"/>
      <c r="EG468" s="453"/>
      <c r="EH468" s="453"/>
      <c r="EI468" s="453"/>
      <c r="EJ468" s="453"/>
      <c r="EK468" s="453"/>
      <c r="EL468" s="453"/>
      <c r="EM468" s="483">
        <f t="shared" si="218"/>
        <v>159</v>
      </c>
      <c r="EN468" s="485"/>
      <c r="EO468" s="804"/>
      <c r="EP468" s="805"/>
      <c r="EQ468" s="826"/>
      <c r="ER468" s="808"/>
      <c r="ES468" s="881">
        <f t="shared" si="219"/>
        <v>0</v>
      </c>
      <c r="ET468" s="882"/>
      <c r="EU468" s="883"/>
      <c r="EV468" s="884">
        <f t="shared" si="217"/>
        <v>0</v>
      </c>
      <c r="EW468" s="885"/>
      <c r="EX468" s="885"/>
      <c r="EY468" s="885"/>
      <c r="EZ468" s="885"/>
      <c r="FA468" s="885"/>
      <c r="FB468" s="885"/>
      <c r="FC468" s="885"/>
      <c r="FD468" s="886"/>
      <c r="FE468" s="878"/>
      <c r="FF468" s="878"/>
      <c r="FG468" s="878"/>
      <c r="FH468" s="878"/>
      <c r="FI468" s="878"/>
      <c r="FJ468" s="878"/>
      <c r="FK468" s="878"/>
      <c r="FL468" s="555"/>
      <c r="FM468" s="554"/>
      <c r="FN468" s="554"/>
      <c r="FO468" s="554"/>
      <c r="FP468" s="554"/>
      <c r="FQ468" s="554"/>
      <c r="FR468" s="554"/>
      <c r="FS468" s="554"/>
      <c r="FT468" s="554"/>
      <c r="FU468" s="554"/>
      <c r="FV468" s="554"/>
      <c r="FW468" s="554"/>
      <c r="FX468" s="554"/>
      <c r="FY468" s="554"/>
      <c r="FZ468" s="554"/>
      <c r="GA468" s="554"/>
      <c r="GB468" s="556"/>
      <c r="GC468" s="370"/>
      <c r="GD468" s="453"/>
      <c r="GE468" s="453"/>
      <c r="GF468" s="453"/>
      <c r="GG468" s="453"/>
      <c r="GH468" s="454"/>
      <c r="GI468" s="453"/>
      <c r="GJ468" s="453"/>
      <c r="GK468" s="453"/>
      <c r="GL468" s="453"/>
      <c r="GM468" s="453"/>
      <c r="GN468" s="453"/>
      <c r="GO468" s="453"/>
      <c r="GP468" s="453"/>
      <c r="GQ468" s="453"/>
      <c r="GR468" s="453"/>
      <c r="GS468" s="561"/>
      <c r="GT468" s="475"/>
      <c r="GU468" s="472"/>
      <c r="GV468" s="453"/>
      <c r="GW468" s="453"/>
      <c r="GX468" s="869"/>
      <c r="GY468" s="870"/>
      <c r="GZ468" s="867"/>
      <c r="HA468" s="868"/>
      <c r="HB468" s="473"/>
      <c r="HC468" s="869"/>
      <c r="HD468" s="870"/>
      <c r="HE468" s="867"/>
      <c r="HF468" s="868"/>
      <c r="HG468" s="473"/>
      <c r="HH468" s="867"/>
      <c r="HI468" s="868"/>
      <c r="HJ468" s="867"/>
      <c r="HK468" s="868"/>
      <c r="HL468" s="370"/>
      <c r="HM468" s="865"/>
      <c r="HN468" s="866"/>
      <c r="HO468" s="865"/>
      <c r="HP468" s="866"/>
      <c r="HQ468" s="865"/>
      <c r="HR468" s="866"/>
      <c r="HS468" s="867"/>
      <c r="HT468" s="868"/>
      <c r="HU468" s="489"/>
      <c r="HV468" s="865"/>
      <c r="HW468" s="866"/>
    </row>
    <row r="469" spans="25:231" ht="15" customHeight="1">
      <c r="Y469" s="332"/>
      <c r="Z469" s="332"/>
      <c r="AA469" s="332"/>
      <c r="AB469" s="332"/>
      <c r="AC469" s="332"/>
      <c r="AD469" s="332"/>
      <c r="AE469" s="332"/>
      <c r="AF469" s="332"/>
      <c r="AG469" s="332"/>
      <c r="AH469" s="332"/>
      <c r="AI469" s="332"/>
      <c r="AJ469" s="332"/>
      <c r="AK469" s="332"/>
      <c r="AL469" s="332"/>
      <c r="AM469" s="332"/>
      <c r="AN469" s="332"/>
      <c r="AO469" s="332"/>
      <c r="AP469" s="332"/>
      <c r="AQ469" s="332"/>
      <c r="AR469" s="332"/>
      <c r="AS469" s="332"/>
      <c r="AT469" s="332"/>
      <c r="AU469" s="332"/>
      <c r="AV469" s="332"/>
      <c r="AW469" s="332"/>
      <c r="AX469" s="332"/>
      <c r="AY469" s="332"/>
      <c r="AZ469" s="332"/>
      <c r="BA469" s="332"/>
      <c r="BB469" s="332"/>
      <c r="BC469" s="332"/>
      <c r="BD469" s="332"/>
      <c r="BE469" s="332"/>
      <c r="BF469" s="332"/>
      <c r="BG469" s="332"/>
      <c r="BH469" s="332"/>
      <c r="BI469" s="332"/>
      <c r="BJ469" s="332"/>
      <c r="BK469" s="332"/>
      <c r="BL469" s="332"/>
      <c r="BM469" s="332"/>
      <c r="BN469" s="332"/>
      <c r="BO469" s="332"/>
      <c r="BP469" s="332"/>
      <c r="BQ469" s="332"/>
      <c r="BR469" s="332"/>
      <c r="BS469" s="332"/>
      <c r="BT469" s="332"/>
      <c r="BU469" s="332"/>
      <c r="BV469" s="332"/>
      <c r="BW469" s="332"/>
      <c r="BX469" s="332"/>
      <c r="BY469" s="332"/>
      <c r="BZ469" s="332"/>
      <c r="CA469" s="332"/>
      <c r="CB469" s="332"/>
      <c r="CC469" s="332"/>
      <c r="CD469" s="332"/>
      <c r="CE469" s="332"/>
      <c r="CF469" s="332"/>
      <c r="CG469" s="332"/>
      <c r="CH469" s="332"/>
      <c r="CI469" s="332"/>
      <c r="CJ469" s="332"/>
      <c r="CK469" s="332"/>
      <c r="CL469" s="332"/>
      <c r="CM469" s="332"/>
      <c r="CN469" s="332"/>
      <c r="CO469" s="332"/>
      <c r="CP469" s="332"/>
      <c r="CQ469" s="332"/>
      <c r="CR469" s="332"/>
      <c r="CS469" s="332"/>
      <c r="CT469" s="332"/>
      <c r="CU469" s="332"/>
      <c r="CV469" s="332"/>
      <c r="CW469" s="332"/>
      <c r="CX469" s="332"/>
      <c r="CY469" s="332"/>
      <c r="CZ469" s="332"/>
      <c r="DA469" s="332"/>
      <c r="DB469" s="332"/>
      <c r="DC469" s="332"/>
      <c r="DD469" s="332"/>
      <c r="DE469" s="332"/>
      <c r="DF469" s="332"/>
      <c r="DG469" s="332"/>
      <c r="DH469" s="332"/>
      <c r="DI469" s="332"/>
      <c r="DJ469" s="332"/>
      <c r="DK469" s="332"/>
      <c r="DL469" s="332"/>
      <c r="DM469" s="332"/>
      <c r="DN469" s="332"/>
      <c r="DO469" s="332"/>
      <c r="DP469" s="332"/>
      <c r="DQ469" s="332"/>
      <c r="DR469" s="332"/>
      <c r="DS469" s="332"/>
      <c r="DT469" s="332"/>
      <c r="DU469" s="453"/>
      <c r="DV469" s="453"/>
      <c r="DW469" s="453"/>
      <c r="DX469" s="453"/>
      <c r="DY469" s="453"/>
      <c r="DZ469" s="453"/>
      <c r="EA469" s="453"/>
      <c r="EB469" s="453"/>
      <c r="EC469" s="453"/>
      <c r="ED469" s="453"/>
      <c r="EE469" s="453"/>
      <c r="EF469" s="453"/>
      <c r="EG469" s="453"/>
      <c r="EH469" s="453"/>
      <c r="EI469" s="453"/>
      <c r="EJ469" s="453"/>
      <c r="EK469" s="453"/>
      <c r="EL469" s="453"/>
      <c r="EM469" s="483">
        <f t="shared" si="218"/>
        <v>160</v>
      </c>
      <c r="EN469" s="485"/>
      <c r="EO469" s="804"/>
      <c r="EP469" s="805"/>
      <c r="EQ469" s="806"/>
      <c r="ER469" s="808"/>
      <c r="ES469" s="881">
        <f t="shared" si="219"/>
        <v>0</v>
      </c>
      <c r="ET469" s="882"/>
      <c r="EU469" s="883"/>
      <c r="EV469" s="884">
        <f t="shared" si="217"/>
        <v>0</v>
      </c>
      <c r="EW469" s="885"/>
      <c r="EX469" s="885"/>
      <c r="EY469" s="885"/>
      <c r="EZ469" s="885"/>
      <c r="FA469" s="885"/>
      <c r="FB469" s="885"/>
      <c r="FC469" s="885"/>
      <c r="FD469" s="886"/>
      <c r="FE469" s="878"/>
      <c r="FF469" s="878"/>
      <c r="FG469" s="878"/>
      <c r="FH469" s="878"/>
      <c r="FI469" s="878"/>
      <c r="FJ469" s="878"/>
      <c r="FK469" s="878"/>
      <c r="FL469" s="555"/>
      <c r="FM469" s="554"/>
      <c r="FN469" s="554"/>
      <c r="FO469" s="554"/>
      <c r="FP469" s="554"/>
      <c r="FQ469" s="554"/>
      <c r="FR469" s="554"/>
      <c r="FS469" s="554"/>
      <c r="FT469" s="554"/>
      <c r="FU469" s="554"/>
      <c r="FV469" s="554"/>
      <c r="FW469" s="554"/>
      <c r="FX469" s="554"/>
      <c r="FY469" s="554"/>
      <c r="FZ469" s="554"/>
      <c r="GA469" s="554"/>
      <c r="GB469" s="556"/>
      <c r="GC469" s="370"/>
      <c r="GD469" s="453"/>
      <c r="GE469" s="453"/>
      <c r="GF469" s="453"/>
      <c r="GG469" s="453"/>
      <c r="GH469" s="454"/>
      <c r="GI469" s="453"/>
      <c r="GJ469" s="453"/>
      <c r="GK469" s="453"/>
      <c r="GL469" s="453"/>
      <c r="GM469" s="453"/>
      <c r="GN469" s="453"/>
      <c r="GO469" s="453"/>
      <c r="GP469" s="453"/>
      <c r="GQ469" s="453"/>
      <c r="GR469" s="453"/>
      <c r="GS469" s="561"/>
      <c r="GT469" s="475"/>
      <c r="GU469" s="472"/>
      <c r="GV469" s="453"/>
      <c r="GW469" s="453"/>
      <c r="GX469" s="869"/>
      <c r="GY469" s="870"/>
      <c r="GZ469" s="867"/>
      <c r="HA469" s="868"/>
      <c r="HB469" s="473"/>
      <c r="HC469" s="869"/>
      <c r="HD469" s="870"/>
      <c r="HE469" s="867"/>
      <c r="HF469" s="868"/>
      <c r="HG469" s="473"/>
      <c r="HH469" s="867"/>
      <c r="HI469" s="868"/>
      <c r="HJ469" s="867"/>
      <c r="HK469" s="868"/>
      <c r="HL469" s="370"/>
      <c r="HM469" s="865"/>
      <c r="HN469" s="866"/>
      <c r="HO469" s="865"/>
      <c r="HP469" s="866"/>
      <c r="HQ469" s="865"/>
      <c r="HR469" s="866"/>
      <c r="HS469" s="867"/>
      <c r="HT469" s="868"/>
      <c r="HU469" s="489"/>
      <c r="HV469" s="865"/>
      <c r="HW469" s="866"/>
    </row>
    <row r="470" spans="25:231" ht="15" customHeight="1">
      <c r="Y470" s="332"/>
      <c r="Z470" s="332"/>
      <c r="AA470" s="332"/>
      <c r="AB470" s="332"/>
      <c r="AC470" s="332"/>
      <c r="AD470" s="332"/>
      <c r="AE470" s="332"/>
      <c r="AF470" s="332"/>
      <c r="AG470" s="332"/>
      <c r="AH470" s="332"/>
      <c r="AI470" s="332"/>
      <c r="AJ470" s="332"/>
      <c r="AK470" s="332"/>
      <c r="AL470" s="332"/>
      <c r="AM470" s="332"/>
      <c r="AN470" s="332"/>
      <c r="AO470" s="332"/>
      <c r="AP470" s="332"/>
      <c r="AQ470" s="332"/>
      <c r="AR470" s="332"/>
      <c r="AS470" s="332"/>
      <c r="AT470" s="332"/>
      <c r="AU470" s="332"/>
      <c r="AV470" s="332"/>
      <c r="AW470" s="332"/>
      <c r="AX470" s="332"/>
      <c r="AY470" s="332"/>
      <c r="AZ470" s="332"/>
      <c r="BA470" s="332"/>
      <c r="BB470" s="332"/>
      <c r="BC470" s="332"/>
      <c r="BD470" s="332"/>
      <c r="BE470" s="332"/>
      <c r="BF470" s="332"/>
      <c r="BG470" s="332"/>
      <c r="BH470" s="332"/>
      <c r="BI470" s="332"/>
      <c r="BJ470" s="332"/>
      <c r="BK470" s="332"/>
      <c r="BL470" s="332"/>
      <c r="BM470" s="332"/>
      <c r="BN470" s="332"/>
      <c r="BO470" s="332"/>
      <c r="BP470" s="332"/>
      <c r="BQ470" s="332"/>
      <c r="BR470" s="332"/>
      <c r="BS470" s="332"/>
      <c r="BT470" s="332"/>
      <c r="BU470" s="332"/>
      <c r="BV470" s="332"/>
      <c r="BW470" s="332"/>
      <c r="BX470" s="332"/>
      <c r="BY470" s="332"/>
      <c r="BZ470" s="332"/>
      <c r="CA470" s="332"/>
      <c r="CB470" s="332"/>
      <c r="CC470" s="332"/>
      <c r="CD470" s="332"/>
      <c r="CE470" s="332"/>
      <c r="CF470" s="332"/>
      <c r="CG470" s="332"/>
      <c r="CH470" s="332"/>
      <c r="CI470" s="332"/>
      <c r="CJ470" s="332"/>
      <c r="CK470" s="332"/>
      <c r="CL470" s="332"/>
      <c r="CM470" s="332"/>
      <c r="CN470" s="332"/>
      <c r="CO470" s="332"/>
      <c r="CP470" s="332"/>
      <c r="CQ470" s="332"/>
      <c r="CR470" s="332"/>
      <c r="CS470" s="332"/>
      <c r="CT470" s="332"/>
      <c r="CU470" s="332"/>
      <c r="CV470" s="332"/>
      <c r="CW470" s="332"/>
      <c r="CX470" s="332"/>
      <c r="CY470" s="332"/>
      <c r="CZ470" s="332"/>
      <c r="DA470" s="332"/>
      <c r="DB470" s="332"/>
      <c r="DC470" s="332"/>
      <c r="DD470" s="332"/>
      <c r="DE470" s="332"/>
      <c r="DF470" s="332"/>
      <c r="DG470" s="332"/>
      <c r="DH470" s="332"/>
      <c r="DI470" s="332"/>
      <c r="DJ470" s="332"/>
      <c r="DK470" s="332"/>
      <c r="DL470" s="332"/>
      <c r="DM470" s="332"/>
      <c r="DN470" s="332"/>
      <c r="DO470" s="332"/>
      <c r="DP470" s="332"/>
      <c r="DQ470" s="332"/>
      <c r="DR470" s="332"/>
      <c r="DS470" s="332"/>
      <c r="DT470" s="332"/>
      <c r="DU470" s="453"/>
      <c r="DV470" s="453"/>
      <c r="DW470" s="453"/>
      <c r="DX470" s="453"/>
      <c r="DY470" s="453"/>
      <c r="DZ470" s="453"/>
      <c r="EA470" s="453"/>
      <c r="EB470" s="453"/>
      <c r="EC470" s="453"/>
      <c r="ED470" s="453"/>
      <c r="EE470" s="453"/>
      <c r="EF470" s="453"/>
      <c r="EG470" s="453"/>
      <c r="EH470" s="453"/>
      <c r="EI470" s="453"/>
      <c r="EJ470" s="453"/>
      <c r="EK470" s="453"/>
      <c r="EL470" s="453"/>
      <c r="EM470" s="483">
        <f t="shared" si="218"/>
        <v>161</v>
      </c>
      <c r="EN470" s="485"/>
      <c r="EO470" s="804"/>
      <c r="EP470" s="805"/>
      <c r="EQ470" s="826"/>
      <c r="ER470" s="808"/>
      <c r="ES470" s="881">
        <f t="shared" si="219"/>
        <v>0</v>
      </c>
      <c r="ET470" s="882"/>
      <c r="EU470" s="883"/>
      <c r="EV470" s="884">
        <f t="shared" si="217"/>
        <v>0</v>
      </c>
      <c r="EW470" s="885"/>
      <c r="EX470" s="885"/>
      <c r="EY470" s="885"/>
      <c r="EZ470" s="885"/>
      <c r="FA470" s="885"/>
      <c r="FB470" s="885"/>
      <c r="FC470" s="885"/>
      <c r="FD470" s="886"/>
      <c r="FE470" s="878"/>
      <c r="FF470" s="878"/>
      <c r="FG470" s="878"/>
      <c r="FH470" s="878"/>
      <c r="FI470" s="878"/>
      <c r="FJ470" s="878"/>
      <c r="FK470" s="878"/>
      <c r="FL470" s="555"/>
      <c r="FM470" s="554"/>
      <c r="FN470" s="554"/>
      <c r="FO470" s="554"/>
      <c r="FP470" s="554"/>
      <c r="FQ470" s="554"/>
      <c r="FR470" s="554"/>
      <c r="FS470" s="554"/>
      <c r="FT470" s="554"/>
      <c r="FU470" s="554"/>
      <c r="FV470" s="554"/>
      <c r="FW470" s="554"/>
      <c r="FX470" s="554"/>
      <c r="FY470" s="554"/>
      <c r="FZ470" s="554"/>
      <c r="GA470" s="554"/>
      <c r="GB470" s="556"/>
      <c r="GC470" s="370"/>
      <c r="GD470" s="453"/>
      <c r="GE470" s="453"/>
      <c r="GF470" s="453"/>
      <c r="GG470" s="453"/>
      <c r="GH470" s="454"/>
      <c r="GI470" s="453"/>
      <c r="GJ470" s="453"/>
      <c r="GK470" s="453"/>
      <c r="GL470" s="453"/>
      <c r="GM470" s="453"/>
      <c r="GN470" s="453"/>
      <c r="GO470" s="453"/>
      <c r="GP470" s="453"/>
      <c r="GQ470" s="453"/>
      <c r="GR470" s="453"/>
      <c r="GS470" s="561"/>
      <c r="GT470" s="475"/>
      <c r="GU470" s="472"/>
      <c r="GV470" s="453"/>
      <c r="GW470" s="453"/>
      <c r="GX470" s="869"/>
      <c r="GY470" s="870"/>
      <c r="GZ470" s="867"/>
      <c r="HA470" s="868"/>
      <c r="HB470" s="473"/>
      <c r="HC470" s="869"/>
      <c r="HD470" s="870"/>
      <c r="HE470" s="867"/>
      <c r="HF470" s="868"/>
      <c r="HG470" s="473"/>
      <c r="HH470" s="867"/>
      <c r="HI470" s="868"/>
      <c r="HJ470" s="867"/>
      <c r="HK470" s="868"/>
      <c r="HL470" s="370"/>
      <c r="HM470" s="865"/>
      <c r="HN470" s="866"/>
      <c r="HO470" s="865"/>
      <c r="HP470" s="866"/>
      <c r="HQ470" s="865"/>
      <c r="HR470" s="866"/>
      <c r="HS470" s="867"/>
      <c r="HT470" s="868"/>
      <c r="HU470" s="489"/>
      <c r="HV470" s="865"/>
      <c r="HW470" s="866"/>
    </row>
    <row r="471" spans="25:231" ht="15" customHeight="1">
      <c r="Y471" s="332"/>
      <c r="Z471" s="332"/>
      <c r="AA471" s="332"/>
      <c r="AB471" s="332"/>
      <c r="AC471" s="332"/>
      <c r="AD471" s="332"/>
      <c r="AE471" s="332"/>
      <c r="AF471" s="332"/>
      <c r="AG471" s="332"/>
      <c r="AH471" s="332"/>
      <c r="AI471" s="332"/>
      <c r="AJ471" s="332"/>
      <c r="AK471" s="332"/>
      <c r="AL471" s="332"/>
      <c r="AM471" s="332"/>
      <c r="AN471" s="332"/>
      <c r="AO471" s="332"/>
      <c r="AP471" s="332"/>
      <c r="AQ471" s="332"/>
      <c r="AR471" s="332"/>
      <c r="AS471" s="332"/>
      <c r="AT471" s="332"/>
      <c r="AU471" s="332"/>
      <c r="AV471" s="332"/>
      <c r="AW471" s="332"/>
      <c r="AX471" s="332"/>
      <c r="AY471" s="332"/>
      <c r="AZ471" s="332"/>
      <c r="BA471" s="332"/>
      <c r="BB471" s="332"/>
      <c r="BC471" s="332"/>
      <c r="BD471" s="332"/>
      <c r="BE471" s="332"/>
      <c r="BF471" s="332"/>
      <c r="BG471" s="332"/>
      <c r="BH471" s="332"/>
      <c r="BI471" s="332"/>
      <c r="BJ471" s="332"/>
      <c r="BK471" s="332"/>
      <c r="BL471" s="332"/>
      <c r="BM471" s="332"/>
      <c r="BN471" s="332"/>
      <c r="BO471" s="332"/>
      <c r="BP471" s="332"/>
      <c r="BQ471" s="332"/>
      <c r="BR471" s="332"/>
      <c r="BS471" s="332"/>
      <c r="BT471" s="332"/>
      <c r="BU471" s="332"/>
      <c r="BV471" s="332"/>
      <c r="BW471" s="332"/>
      <c r="BX471" s="332"/>
      <c r="BY471" s="332"/>
      <c r="BZ471" s="332"/>
      <c r="CA471" s="332"/>
      <c r="CB471" s="332"/>
      <c r="CC471" s="332"/>
      <c r="CD471" s="332"/>
      <c r="CE471" s="332"/>
      <c r="CF471" s="332"/>
      <c r="CG471" s="332"/>
      <c r="CH471" s="332"/>
      <c r="CI471" s="332"/>
      <c r="CJ471" s="332"/>
      <c r="CK471" s="332"/>
      <c r="CL471" s="332"/>
      <c r="CM471" s="332"/>
      <c r="CN471" s="332"/>
      <c r="CO471" s="332"/>
      <c r="CP471" s="332"/>
      <c r="CQ471" s="332"/>
      <c r="CR471" s="332"/>
      <c r="CS471" s="332"/>
      <c r="CT471" s="332"/>
      <c r="CU471" s="332"/>
      <c r="CV471" s="332"/>
      <c r="CW471" s="332"/>
      <c r="CX471" s="332"/>
      <c r="CY471" s="332"/>
      <c r="CZ471" s="332"/>
      <c r="DA471" s="332"/>
      <c r="DB471" s="332"/>
      <c r="DC471" s="332"/>
      <c r="DD471" s="332"/>
      <c r="DE471" s="332"/>
      <c r="DF471" s="332"/>
      <c r="DG471" s="332"/>
      <c r="DH471" s="332"/>
      <c r="DI471" s="332"/>
      <c r="DJ471" s="332"/>
      <c r="DK471" s="332"/>
      <c r="DL471" s="332"/>
      <c r="DM471" s="332"/>
      <c r="DN471" s="332"/>
      <c r="DO471" s="332"/>
      <c r="DP471" s="332"/>
      <c r="DQ471" s="332"/>
      <c r="DR471" s="332"/>
      <c r="DS471" s="332"/>
      <c r="DT471" s="332"/>
      <c r="DU471" s="453"/>
      <c r="DV471" s="453"/>
      <c r="DW471" s="453"/>
      <c r="DX471" s="453"/>
      <c r="DY471" s="453"/>
      <c r="DZ471" s="453"/>
      <c r="EA471" s="453"/>
      <c r="EB471" s="453"/>
      <c r="EC471" s="453"/>
      <c r="ED471" s="453"/>
      <c r="EE471" s="453"/>
      <c r="EF471" s="453"/>
      <c r="EG471" s="453"/>
      <c r="EH471" s="453"/>
      <c r="EI471" s="453"/>
      <c r="EJ471" s="453"/>
      <c r="EK471" s="453"/>
      <c r="EL471" s="453"/>
      <c r="EM471" s="483">
        <f t="shared" si="218"/>
        <v>162</v>
      </c>
      <c r="EN471" s="485"/>
      <c r="EO471" s="804"/>
      <c r="EP471" s="805"/>
      <c r="EQ471" s="806"/>
      <c r="ER471" s="808"/>
      <c r="ES471" s="881">
        <f t="shared" si="219"/>
        <v>0</v>
      </c>
      <c r="ET471" s="882"/>
      <c r="EU471" s="883"/>
      <c r="EV471" s="884">
        <f t="shared" si="217"/>
        <v>0</v>
      </c>
      <c r="EW471" s="885"/>
      <c r="EX471" s="885"/>
      <c r="EY471" s="885"/>
      <c r="EZ471" s="885"/>
      <c r="FA471" s="885"/>
      <c r="FB471" s="885"/>
      <c r="FC471" s="885"/>
      <c r="FD471" s="886"/>
      <c r="FE471" s="878"/>
      <c r="FF471" s="878"/>
      <c r="FG471" s="878"/>
      <c r="FH471" s="878"/>
      <c r="FI471" s="878"/>
      <c r="FJ471" s="878"/>
      <c r="FK471" s="878"/>
      <c r="FL471" s="555"/>
      <c r="FM471" s="554"/>
      <c r="FN471" s="554"/>
      <c r="FO471" s="554"/>
      <c r="FP471" s="554"/>
      <c r="FQ471" s="554"/>
      <c r="FR471" s="554"/>
      <c r="FS471" s="554"/>
      <c r="FT471" s="554"/>
      <c r="FU471" s="554"/>
      <c r="FV471" s="554"/>
      <c r="FW471" s="554"/>
      <c r="FX471" s="554"/>
      <c r="FY471" s="554"/>
      <c r="FZ471" s="554"/>
      <c r="GA471" s="554"/>
      <c r="GB471" s="556"/>
      <c r="GC471" s="370"/>
      <c r="GD471" s="453"/>
      <c r="GE471" s="453"/>
      <c r="GF471" s="453"/>
      <c r="GG471" s="453"/>
      <c r="GH471" s="454"/>
      <c r="GI471" s="453"/>
      <c r="GJ471" s="453"/>
      <c r="GK471" s="453"/>
      <c r="GL471" s="453"/>
      <c r="GM471" s="453"/>
      <c r="GN471" s="453"/>
      <c r="GO471" s="453"/>
      <c r="GP471" s="453"/>
      <c r="GQ471" s="453"/>
      <c r="GR471" s="453"/>
      <c r="GS471" s="561"/>
      <c r="GT471" s="475"/>
      <c r="GU471" s="472"/>
      <c r="GV471" s="453"/>
      <c r="GW471" s="453"/>
      <c r="GX471" s="869"/>
      <c r="GY471" s="870"/>
      <c r="GZ471" s="867"/>
      <c r="HA471" s="868"/>
      <c r="HB471" s="473"/>
      <c r="HC471" s="869"/>
      <c r="HD471" s="870"/>
      <c r="HE471" s="867"/>
      <c r="HF471" s="868"/>
      <c r="HG471" s="473"/>
      <c r="HH471" s="867"/>
      <c r="HI471" s="868"/>
      <c r="HJ471" s="867"/>
      <c r="HK471" s="868"/>
      <c r="HL471" s="370"/>
      <c r="HM471" s="865"/>
      <c r="HN471" s="866"/>
      <c r="HO471" s="865"/>
      <c r="HP471" s="866"/>
      <c r="HQ471" s="865"/>
      <c r="HR471" s="866"/>
      <c r="HS471" s="867"/>
      <c r="HT471" s="868"/>
      <c r="HU471" s="489"/>
      <c r="HV471" s="865"/>
      <c r="HW471" s="866"/>
    </row>
    <row r="472" spans="25:231" ht="15" customHeight="1">
      <c r="Y472" s="332"/>
      <c r="Z472" s="332"/>
      <c r="AA472" s="332"/>
      <c r="AB472" s="332"/>
      <c r="AC472" s="332"/>
      <c r="AD472" s="332"/>
      <c r="AE472" s="332"/>
      <c r="AF472" s="332"/>
      <c r="AG472" s="332"/>
      <c r="AH472" s="332"/>
      <c r="AI472" s="332"/>
      <c r="AJ472" s="332"/>
      <c r="AK472" s="332"/>
      <c r="AL472" s="332"/>
      <c r="AM472" s="332"/>
      <c r="AN472" s="332"/>
      <c r="AO472" s="332"/>
      <c r="AP472" s="332"/>
      <c r="AQ472" s="332"/>
      <c r="AR472" s="332"/>
      <c r="AS472" s="332"/>
      <c r="AT472" s="332"/>
      <c r="AU472" s="332"/>
      <c r="AV472" s="332"/>
      <c r="AW472" s="332"/>
      <c r="AX472" s="332"/>
      <c r="AY472" s="332"/>
      <c r="AZ472" s="332"/>
      <c r="BA472" s="332"/>
      <c r="BB472" s="332"/>
      <c r="BC472" s="332"/>
      <c r="BD472" s="332"/>
      <c r="BE472" s="332"/>
      <c r="BF472" s="332"/>
      <c r="BG472" s="332"/>
      <c r="BH472" s="332"/>
      <c r="BI472" s="332"/>
      <c r="BJ472" s="332"/>
      <c r="BK472" s="332"/>
      <c r="BL472" s="332"/>
      <c r="BM472" s="332"/>
      <c r="BN472" s="332"/>
      <c r="BO472" s="332"/>
      <c r="BP472" s="332"/>
      <c r="BQ472" s="332"/>
      <c r="BR472" s="332"/>
      <c r="BS472" s="332"/>
      <c r="BT472" s="332"/>
      <c r="BU472" s="332"/>
      <c r="BV472" s="332"/>
      <c r="BW472" s="332"/>
      <c r="BX472" s="332"/>
      <c r="BY472" s="332"/>
      <c r="BZ472" s="332"/>
      <c r="CA472" s="332"/>
      <c r="CB472" s="332"/>
      <c r="CC472" s="332"/>
      <c r="CD472" s="332"/>
      <c r="CE472" s="332"/>
      <c r="CF472" s="332"/>
      <c r="CG472" s="332"/>
      <c r="CH472" s="332"/>
      <c r="CI472" s="332"/>
      <c r="CJ472" s="332"/>
      <c r="CK472" s="332"/>
      <c r="CL472" s="332"/>
      <c r="CM472" s="332"/>
      <c r="CN472" s="332"/>
      <c r="CO472" s="332"/>
      <c r="CP472" s="332"/>
      <c r="CQ472" s="332"/>
      <c r="CR472" s="332"/>
      <c r="CS472" s="332"/>
      <c r="CT472" s="332"/>
      <c r="CU472" s="332"/>
      <c r="CV472" s="332"/>
      <c r="CW472" s="332"/>
      <c r="CX472" s="332"/>
      <c r="CY472" s="332"/>
      <c r="CZ472" s="332"/>
      <c r="DA472" s="332"/>
      <c r="DB472" s="332"/>
      <c r="DC472" s="332"/>
      <c r="DD472" s="332"/>
      <c r="DE472" s="332"/>
      <c r="DF472" s="332"/>
      <c r="DG472" s="332"/>
      <c r="DH472" s="332"/>
      <c r="DI472" s="332"/>
      <c r="DJ472" s="332"/>
      <c r="DK472" s="332"/>
      <c r="DL472" s="332"/>
      <c r="DM472" s="332"/>
      <c r="DN472" s="332"/>
      <c r="DO472" s="332"/>
      <c r="DP472" s="332"/>
      <c r="DQ472" s="332"/>
      <c r="DR472" s="332"/>
      <c r="DS472" s="332"/>
      <c r="DT472" s="332"/>
      <c r="DU472" s="453"/>
      <c r="DV472" s="453"/>
      <c r="DW472" s="453"/>
      <c r="DX472" s="453"/>
      <c r="DY472" s="453"/>
      <c r="DZ472" s="453"/>
      <c r="EA472" s="453"/>
      <c r="EB472" s="453"/>
      <c r="EC472" s="453"/>
      <c r="ED472" s="453"/>
      <c r="EE472" s="453"/>
      <c r="EF472" s="453"/>
      <c r="EG472" s="453"/>
      <c r="EH472" s="453"/>
      <c r="EI472" s="453"/>
      <c r="EJ472" s="453"/>
      <c r="EK472" s="453"/>
      <c r="EL472" s="453"/>
      <c r="EM472" s="483">
        <f t="shared" si="218"/>
        <v>163</v>
      </c>
      <c r="EN472" s="485"/>
      <c r="EO472" s="804"/>
      <c r="EP472" s="805"/>
      <c r="EQ472" s="826"/>
      <c r="ER472" s="808"/>
      <c r="ES472" s="881">
        <f t="shared" si="219"/>
        <v>0</v>
      </c>
      <c r="ET472" s="882"/>
      <c r="EU472" s="883"/>
      <c r="EV472" s="884">
        <f t="shared" si="217"/>
        <v>0</v>
      </c>
      <c r="EW472" s="885"/>
      <c r="EX472" s="885"/>
      <c r="EY472" s="885"/>
      <c r="EZ472" s="885"/>
      <c r="FA472" s="885"/>
      <c r="FB472" s="885"/>
      <c r="FC472" s="885"/>
      <c r="FD472" s="886"/>
      <c r="FE472" s="878"/>
      <c r="FF472" s="878"/>
      <c r="FG472" s="878"/>
      <c r="FH472" s="878"/>
      <c r="FI472" s="878"/>
      <c r="FJ472" s="878"/>
      <c r="FK472" s="878"/>
      <c r="FL472" s="555"/>
      <c r="FM472" s="554"/>
      <c r="FN472" s="554"/>
      <c r="FO472" s="554"/>
      <c r="FP472" s="554"/>
      <c r="FQ472" s="554"/>
      <c r="FR472" s="554"/>
      <c r="FS472" s="554"/>
      <c r="FT472" s="554"/>
      <c r="FU472" s="554"/>
      <c r="FV472" s="554"/>
      <c r="FW472" s="554"/>
      <c r="FX472" s="554"/>
      <c r="FY472" s="554"/>
      <c r="FZ472" s="554"/>
      <c r="GA472" s="554"/>
      <c r="GB472" s="556"/>
      <c r="GC472" s="370"/>
      <c r="GD472" s="453"/>
      <c r="GE472" s="453"/>
      <c r="GF472" s="453"/>
      <c r="GG472" s="453"/>
      <c r="GH472" s="454"/>
      <c r="GI472" s="453"/>
      <c r="GJ472" s="453"/>
      <c r="GK472" s="453"/>
      <c r="GL472" s="453"/>
      <c r="GM472" s="453"/>
      <c r="GN472" s="453"/>
      <c r="GO472" s="453"/>
      <c r="GP472" s="453"/>
      <c r="GQ472" s="453"/>
      <c r="GR472" s="453"/>
      <c r="GS472" s="561"/>
      <c r="GT472" s="475"/>
      <c r="GU472" s="472"/>
      <c r="GV472" s="453"/>
      <c r="GW472" s="453"/>
      <c r="GX472" s="869"/>
      <c r="GY472" s="870"/>
      <c r="GZ472" s="867"/>
      <c r="HA472" s="868"/>
      <c r="HB472" s="473"/>
      <c r="HC472" s="869"/>
      <c r="HD472" s="870"/>
      <c r="HE472" s="867"/>
      <c r="HF472" s="868"/>
      <c r="HG472" s="473"/>
      <c r="HH472" s="867"/>
      <c r="HI472" s="868"/>
      <c r="HJ472" s="867"/>
      <c r="HK472" s="868"/>
      <c r="HL472" s="370"/>
      <c r="HM472" s="865"/>
      <c r="HN472" s="866"/>
      <c r="HO472" s="865"/>
      <c r="HP472" s="866"/>
      <c r="HQ472" s="865"/>
      <c r="HR472" s="866"/>
      <c r="HS472" s="867"/>
      <c r="HT472" s="868"/>
      <c r="HU472" s="489"/>
      <c r="HV472" s="865"/>
      <c r="HW472" s="866"/>
    </row>
    <row r="473" spans="25:231" ht="15" customHeight="1">
      <c r="Y473" s="332"/>
      <c r="Z473" s="332"/>
      <c r="AA473" s="332"/>
      <c r="AB473" s="332"/>
      <c r="AC473" s="332"/>
      <c r="AD473" s="332"/>
      <c r="AE473" s="332"/>
      <c r="AF473" s="332"/>
      <c r="AG473" s="332"/>
      <c r="AH473" s="332"/>
      <c r="AI473" s="332"/>
      <c r="AJ473" s="332"/>
      <c r="AK473" s="332"/>
      <c r="AL473" s="332"/>
      <c r="AM473" s="332"/>
      <c r="AN473" s="332"/>
      <c r="AO473" s="332"/>
      <c r="AP473" s="332"/>
      <c r="AQ473" s="332"/>
      <c r="AR473" s="332"/>
      <c r="AS473" s="332"/>
      <c r="AT473" s="332"/>
      <c r="AU473" s="332"/>
      <c r="AV473" s="332"/>
      <c r="AW473" s="332"/>
      <c r="AX473" s="332"/>
      <c r="AY473" s="332"/>
      <c r="AZ473" s="332"/>
      <c r="BA473" s="332"/>
      <c r="BB473" s="332"/>
      <c r="BC473" s="332"/>
      <c r="BD473" s="332"/>
      <c r="BE473" s="332"/>
      <c r="BF473" s="332"/>
      <c r="BG473" s="332"/>
      <c r="BH473" s="332"/>
      <c r="BI473" s="332"/>
      <c r="BJ473" s="332"/>
      <c r="BK473" s="332"/>
      <c r="BL473" s="332"/>
      <c r="BM473" s="332"/>
      <c r="BN473" s="332"/>
      <c r="BO473" s="332"/>
      <c r="BP473" s="332"/>
      <c r="BQ473" s="332"/>
      <c r="BR473" s="332"/>
      <c r="BS473" s="332"/>
      <c r="BT473" s="332"/>
      <c r="BU473" s="332"/>
      <c r="BV473" s="332"/>
      <c r="BW473" s="332"/>
      <c r="BX473" s="332"/>
      <c r="BY473" s="332"/>
      <c r="BZ473" s="332"/>
      <c r="CA473" s="332"/>
      <c r="CB473" s="332"/>
      <c r="CC473" s="332"/>
      <c r="CD473" s="332"/>
      <c r="CE473" s="332"/>
      <c r="CF473" s="332"/>
      <c r="CG473" s="332"/>
      <c r="CH473" s="332"/>
      <c r="CI473" s="332"/>
      <c r="CJ473" s="332"/>
      <c r="CK473" s="332"/>
      <c r="CL473" s="332"/>
      <c r="CM473" s="332"/>
      <c r="CN473" s="332"/>
      <c r="CO473" s="332"/>
      <c r="CP473" s="332"/>
      <c r="CQ473" s="332"/>
      <c r="CR473" s="332"/>
      <c r="CS473" s="332"/>
      <c r="CT473" s="332"/>
      <c r="CU473" s="332"/>
      <c r="CV473" s="332"/>
      <c r="CW473" s="332"/>
      <c r="CX473" s="332"/>
      <c r="CY473" s="332"/>
      <c r="CZ473" s="332"/>
      <c r="DA473" s="332"/>
      <c r="DB473" s="332"/>
      <c r="DC473" s="332"/>
      <c r="DD473" s="332"/>
      <c r="DE473" s="332"/>
      <c r="DF473" s="332"/>
      <c r="DG473" s="332"/>
      <c r="DH473" s="332"/>
      <c r="DI473" s="332"/>
      <c r="DJ473" s="332"/>
      <c r="DK473" s="332"/>
      <c r="DL473" s="332"/>
      <c r="DM473" s="332"/>
      <c r="DN473" s="332"/>
      <c r="DO473" s="332"/>
      <c r="DP473" s="332"/>
      <c r="DQ473" s="332"/>
      <c r="DR473" s="332"/>
      <c r="DS473" s="332"/>
      <c r="DT473" s="332"/>
      <c r="DU473" s="453"/>
      <c r="DV473" s="453"/>
      <c r="DW473" s="453"/>
      <c r="DX473" s="453"/>
      <c r="DY473" s="453"/>
      <c r="DZ473" s="453"/>
      <c r="EA473" s="453"/>
      <c r="EB473" s="453"/>
      <c r="EC473" s="453"/>
      <c r="ED473" s="453"/>
      <c r="EE473" s="453"/>
      <c r="EF473" s="453"/>
      <c r="EG473" s="453"/>
      <c r="EH473" s="453"/>
      <c r="EI473" s="453"/>
      <c r="EJ473" s="453"/>
      <c r="EK473" s="453"/>
      <c r="EL473" s="453"/>
      <c r="EM473" s="483">
        <f t="shared" si="218"/>
        <v>164</v>
      </c>
      <c r="EN473" s="485"/>
      <c r="EO473" s="804"/>
      <c r="EP473" s="805"/>
      <c r="EQ473" s="806"/>
      <c r="ER473" s="808"/>
      <c r="ES473" s="881">
        <f t="shared" si="219"/>
        <v>0</v>
      </c>
      <c r="ET473" s="882"/>
      <c r="EU473" s="883"/>
      <c r="EV473" s="884">
        <f t="shared" si="217"/>
        <v>0</v>
      </c>
      <c r="EW473" s="885"/>
      <c r="EX473" s="885"/>
      <c r="EY473" s="885"/>
      <c r="EZ473" s="885"/>
      <c r="FA473" s="885"/>
      <c r="FB473" s="885"/>
      <c r="FC473" s="885"/>
      <c r="FD473" s="886"/>
      <c r="FE473" s="878"/>
      <c r="FF473" s="878"/>
      <c r="FG473" s="878"/>
      <c r="FH473" s="878"/>
      <c r="FI473" s="878"/>
      <c r="FJ473" s="878"/>
      <c r="FK473" s="878"/>
      <c r="FL473" s="555"/>
      <c r="FM473" s="554"/>
      <c r="FN473" s="554"/>
      <c r="FO473" s="554"/>
      <c r="FP473" s="554"/>
      <c r="FQ473" s="554"/>
      <c r="FR473" s="554"/>
      <c r="FS473" s="554"/>
      <c r="FT473" s="554"/>
      <c r="FU473" s="554"/>
      <c r="FV473" s="554"/>
      <c r="FW473" s="554"/>
      <c r="FX473" s="554"/>
      <c r="FY473" s="554"/>
      <c r="FZ473" s="554"/>
      <c r="GA473" s="554"/>
      <c r="GB473" s="556"/>
      <c r="GC473" s="370"/>
      <c r="GD473" s="453"/>
      <c r="GE473" s="453"/>
      <c r="GF473" s="453"/>
      <c r="GG473" s="453"/>
      <c r="GH473" s="454"/>
      <c r="GI473" s="453"/>
      <c r="GJ473" s="453"/>
      <c r="GK473" s="453"/>
      <c r="GL473" s="453"/>
      <c r="GM473" s="453"/>
      <c r="GN473" s="453"/>
      <c r="GO473" s="453"/>
      <c r="GP473" s="453"/>
      <c r="GQ473" s="453"/>
      <c r="GR473" s="453"/>
      <c r="GS473" s="561"/>
      <c r="GT473" s="475"/>
      <c r="GU473" s="472"/>
      <c r="GV473" s="453"/>
      <c r="GW473" s="453"/>
      <c r="GX473" s="869"/>
      <c r="GY473" s="870"/>
      <c r="GZ473" s="867"/>
      <c r="HA473" s="868"/>
      <c r="HB473" s="473"/>
      <c r="HC473" s="869"/>
      <c r="HD473" s="870"/>
      <c r="HE473" s="867"/>
      <c r="HF473" s="868"/>
      <c r="HG473" s="473"/>
      <c r="HH473" s="867"/>
      <c r="HI473" s="868"/>
      <c r="HJ473" s="867"/>
      <c r="HK473" s="868"/>
      <c r="HL473" s="370"/>
      <c r="HM473" s="865"/>
      <c r="HN473" s="866"/>
      <c r="HO473" s="865"/>
      <c r="HP473" s="866"/>
      <c r="HQ473" s="865"/>
      <c r="HR473" s="866"/>
      <c r="HS473" s="867"/>
      <c r="HT473" s="868"/>
      <c r="HU473" s="489"/>
      <c r="HV473" s="865"/>
      <c r="HW473" s="866"/>
    </row>
    <row r="474" spans="25:231" ht="15" customHeight="1">
      <c r="Y474" s="332"/>
      <c r="Z474" s="332"/>
      <c r="AA474" s="332"/>
      <c r="AB474" s="332"/>
      <c r="AC474" s="332"/>
      <c r="AD474" s="332"/>
      <c r="AE474" s="332"/>
      <c r="AF474" s="332"/>
      <c r="AG474" s="332"/>
      <c r="AH474" s="332"/>
      <c r="AI474" s="332"/>
      <c r="AJ474" s="332"/>
      <c r="AK474" s="332"/>
      <c r="AL474" s="332"/>
      <c r="AM474" s="332"/>
      <c r="AN474" s="332"/>
      <c r="AO474" s="332"/>
      <c r="AP474" s="332"/>
      <c r="AQ474" s="332"/>
      <c r="AR474" s="332"/>
      <c r="AS474" s="332"/>
      <c r="AT474" s="332"/>
      <c r="AU474" s="332"/>
      <c r="AV474" s="332"/>
      <c r="AW474" s="332"/>
      <c r="AX474" s="332"/>
      <c r="AY474" s="332"/>
      <c r="AZ474" s="332"/>
      <c r="BA474" s="332"/>
      <c r="BB474" s="332"/>
      <c r="BC474" s="332"/>
      <c r="BD474" s="332"/>
      <c r="BE474" s="332"/>
      <c r="BF474" s="332"/>
      <c r="BG474" s="332"/>
      <c r="BH474" s="332"/>
      <c r="BI474" s="332"/>
      <c r="BJ474" s="332"/>
      <c r="BK474" s="332"/>
      <c r="BL474" s="332"/>
      <c r="BM474" s="332"/>
      <c r="BN474" s="332"/>
      <c r="BO474" s="332"/>
      <c r="BP474" s="332"/>
      <c r="BQ474" s="332"/>
      <c r="BR474" s="332"/>
      <c r="BS474" s="332"/>
      <c r="BT474" s="332"/>
      <c r="BU474" s="332"/>
      <c r="BV474" s="332"/>
      <c r="BW474" s="332"/>
      <c r="BX474" s="332"/>
      <c r="BY474" s="332"/>
      <c r="BZ474" s="332"/>
      <c r="CA474" s="332"/>
      <c r="CB474" s="332"/>
      <c r="CC474" s="332"/>
      <c r="CD474" s="332"/>
      <c r="CE474" s="332"/>
      <c r="CF474" s="332"/>
      <c r="CG474" s="332"/>
      <c r="CH474" s="332"/>
      <c r="CI474" s="332"/>
      <c r="CJ474" s="332"/>
      <c r="CK474" s="332"/>
      <c r="CL474" s="332"/>
      <c r="CM474" s="332"/>
      <c r="CN474" s="332"/>
      <c r="CO474" s="332"/>
      <c r="CP474" s="332"/>
      <c r="CQ474" s="332"/>
      <c r="CR474" s="332"/>
      <c r="CS474" s="332"/>
      <c r="CT474" s="332"/>
      <c r="CU474" s="332"/>
      <c r="CV474" s="332"/>
      <c r="CW474" s="332"/>
      <c r="CX474" s="332"/>
      <c r="CY474" s="332"/>
      <c r="CZ474" s="332"/>
      <c r="DA474" s="332"/>
      <c r="DB474" s="332"/>
      <c r="DC474" s="332"/>
      <c r="DD474" s="332"/>
      <c r="DE474" s="332"/>
      <c r="DF474" s="332"/>
      <c r="DG474" s="332"/>
      <c r="DH474" s="332"/>
      <c r="DI474" s="332"/>
      <c r="DJ474" s="332"/>
      <c r="DK474" s="332"/>
      <c r="DL474" s="332"/>
      <c r="DM474" s="332"/>
      <c r="DN474" s="332"/>
      <c r="DO474" s="332"/>
      <c r="DP474" s="332"/>
      <c r="DQ474" s="332"/>
      <c r="DR474" s="332"/>
      <c r="DS474" s="332"/>
      <c r="DT474" s="332"/>
      <c r="DU474" s="453"/>
      <c r="DV474" s="453"/>
      <c r="DW474" s="453"/>
      <c r="DX474" s="453"/>
      <c r="DY474" s="453"/>
      <c r="DZ474" s="453"/>
      <c r="EA474" s="453"/>
      <c r="EB474" s="453"/>
      <c r="EC474" s="453"/>
      <c r="ED474" s="453"/>
      <c r="EE474" s="453"/>
      <c r="EF474" s="453"/>
      <c r="EG474" s="453"/>
      <c r="EH474" s="453"/>
      <c r="EI474" s="453"/>
      <c r="EJ474" s="453"/>
      <c r="EK474" s="453"/>
      <c r="EL474" s="453"/>
      <c r="EM474" s="483">
        <f t="shared" si="218"/>
        <v>165</v>
      </c>
      <c r="EN474" s="485"/>
      <c r="EO474" s="804"/>
      <c r="EP474" s="805"/>
      <c r="EQ474" s="806"/>
      <c r="ER474" s="808"/>
      <c r="ES474" s="881">
        <f t="shared" si="219"/>
        <v>0</v>
      </c>
      <c r="ET474" s="882"/>
      <c r="EU474" s="883"/>
      <c r="EV474" s="884">
        <f t="shared" si="217"/>
        <v>0</v>
      </c>
      <c r="EW474" s="885"/>
      <c r="EX474" s="885"/>
      <c r="EY474" s="885"/>
      <c r="EZ474" s="885"/>
      <c r="FA474" s="885"/>
      <c r="FB474" s="885"/>
      <c r="FC474" s="885"/>
      <c r="FD474" s="886"/>
      <c r="FE474" s="878"/>
      <c r="FF474" s="878"/>
      <c r="FG474" s="878"/>
      <c r="FH474" s="878"/>
      <c r="FI474" s="878"/>
      <c r="FJ474" s="878"/>
      <c r="FK474" s="878"/>
      <c r="FL474" s="555"/>
      <c r="FM474" s="554"/>
      <c r="FN474" s="554"/>
      <c r="FO474" s="554"/>
      <c r="FP474" s="554"/>
      <c r="FQ474" s="554"/>
      <c r="FR474" s="554"/>
      <c r="FS474" s="554"/>
      <c r="FT474" s="554"/>
      <c r="FU474" s="554"/>
      <c r="FV474" s="554"/>
      <c r="FW474" s="554"/>
      <c r="FX474" s="554"/>
      <c r="FY474" s="554"/>
      <c r="FZ474" s="554"/>
      <c r="GA474" s="554"/>
      <c r="GB474" s="556"/>
      <c r="GC474" s="370"/>
      <c r="GD474" s="453"/>
      <c r="GE474" s="453"/>
      <c r="GF474" s="453"/>
      <c r="GG474" s="453"/>
      <c r="GH474" s="454"/>
      <c r="GI474" s="453"/>
      <c r="GJ474" s="453"/>
      <c r="GK474" s="453"/>
      <c r="GL474" s="453"/>
      <c r="GM474" s="453"/>
      <c r="GN474" s="453"/>
      <c r="GO474" s="453"/>
      <c r="GP474" s="453"/>
      <c r="GQ474" s="453"/>
      <c r="GR474" s="453"/>
      <c r="GS474" s="561"/>
      <c r="GT474" s="475"/>
      <c r="GU474" s="472"/>
      <c r="GV474" s="453"/>
      <c r="GW474" s="453"/>
      <c r="GX474" s="869"/>
      <c r="GY474" s="870"/>
      <c r="GZ474" s="867"/>
      <c r="HA474" s="868"/>
      <c r="HB474" s="473"/>
      <c r="HC474" s="869"/>
      <c r="HD474" s="870"/>
      <c r="HE474" s="867"/>
      <c r="HF474" s="868"/>
      <c r="HG474" s="473"/>
      <c r="HH474" s="867"/>
      <c r="HI474" s="868"/>
      <c r="HJ474" s="867"/>
      <c r="HK474" s="868"/>
      <c r="HL474" s="370"/>
      <c r="HM474" s="865"/>
      <c r="HN474" s="866"/>
      <c r="HO474" s="865"/>
      <c r="HP474" s="866"/>
      <c r="HQ474" s="865"/>
      <c r="HR474" s="866"/>
      <c r="HS474" s="867"/>
      <c r="HT474" s="868"/>
      <c r="HU474" s="489"/>
      <c r="HV474" s="865"/>
      <c r="HW474" s="866"/>
    </row>
    <row r="475" spans="25:231" ht="15" customHeight="1">
      <c r="Y475" s="332"/>
      <c r="Z475" s="332"/>
      <c r="AA475" s="332"/>
      <c r="AB475" s="332"/>
      <c r="AC475" s="332"/>
      <c r="AD475" s="332"/>
      <c r="AE475" s="332"/>
      <c r="AF475" s="332"/>
      <c r="AG475" s="332"/>
      <c r="AH475" s="332"/>
      <c r="AI475" s="332"/>
      <c r="AJ475" s="332"/>
      <c r="AK475" s="332"/>
      <c r="AL475" s="332"/>
      <c r="AM475" s="332"/>
      <c r="AN475" s="332"/>
      <c r="AO475" s="332"/>
      <c r="AP475" s="332"/>
      <c r="AQ475" s="332"/>
      <c r="AR475" s="332"/>
      <c r="AS475" s="332"/>
      <c r="AT475" s="332"/>
      <c r="AU475" s="332"/>
      <c r="AV475" s="332"/>
      <c r="AW475" s="332"/>
      <c r="AX475" s="332"/>
      <c r="AY475" s="332"/>
      <c r="AZ475" s="332"/>
      <c r="BA475" s="332"/>
      <c r="BB475" s="332"/>
      <c r="BC475" s="332"/>
      <c r="BD475" s="332"/>
      <c r="BE475" s="332"/>
      <c r="BF475" s="332"/>
      <c r="BG475" s="332"/>
      <c r="BH475" s="332"/>
      <c r="BI475" s="332"/>
      <c r="BJ475" s="332"/>
      <c r="BK475" s="332"/>
      <c r="BL475" s="332"/>
      <c r="BM475" s="332"/>
      <c r="BN475" s="332"/>
      <c r="BO475" s="332"/>
      <c r="BP475" s="332"/>
      <c r="BQ475" s="332"/>
      <c r="BR475" s="332"/>
      <c r="BS475" s="332"/>
      <c r="BT475" s="332"/>
      <c r="BU475" s="332"/>
      <c r="BV475" s="332"/>
      <c r="BW475" s="332"/>
      <c r="BX475" s="332"/>
      <c r="BY475" s="332"/>
      <c r="BZ475" s="332"/>
      <c r="CA475" s="332"/>
      <c r="CB475" s="332"/>
      <c r="CC475" s="332"/>
      <c r="CD475" s="332"/>
      <c r="CE475" s="332"/>
      <c r="CF475" s="332"/>
      <c r="CG475" s="332"/>
      <c r="CH475" s="332"/>
      <c r="CI475" s="332"/>
      <c r="CJ475" s="332"/>
      <c r="CK475" s="332"/>
      <c r="CL475" s="332"/>
      <c r="CM475" s="332"/>
      <c r="CN475" s="332"/>
      <c r="CO475" s="332"/>
      <c r="CP475" s="332"/>
      <c r="CQ475" s="332"/>
      <c r="CR475" s="332"/>
      <c r="CS475" s="332"/>
      <c r="CT475" s="332"/>
      <c r="CU475" s="332"/>
      <c r="CV475" s="332"/>
      <c r="CW475" s="332"/>
      <c r="CX475" s="332"/>
      <c r="CY475" s="332"/>
      <c r="CZ475" s="332"/>
      <c r="DA475" s="332"/>
      <c r="DB475" s="332"/>
      <c r="DC475" s="332"/>
      <c r="DD475" s="332"/>
      <c r="DE475" s="332"/>
      <c r="DF475" s="332"/>
      <c r="DG475" s="332"/>
      <c r="DH475" s="332"/>
      <c r="DI475" s="332"/>
      <c r="DJ475" s="332"/>
      <c r="DK475" s="332"/>
      <c r="DL475" s="332"/>
      <c r="DM475" s="332"/>
      <c r="DN475" s="332"/>
      <c r="DO475" s="332"/>
      <c r="DP475" s="332"/>
      <c r="DQ475" s="332"/>
      <c r="DR475" s="332"/>
      <c r="DS475" s="332"/>
      <c r="DT475" s="332"/>
      <c r="DU475" s="453"/>
      <c r="DV475" s="453"/>
      <c r="DW475" s="453"/>
      <c r="DX475" s="453"/>
      <c r="DY475" s="453"/>
      <c r="DZ475" s="453"/>
      <c r="EA475" s="453"/>
      <c r="EB475" s="453"/>
      <c r="EC475" s="453"/>
      <c r="ED475" s="453"/>
      <c r="EE475" s="453"/>
      <c r="EF475" s="453"/>
      <c r="EG475" s="453"/>
      <c r="EH475" s="453"/>
      <c r="EI475" s="453"/>
      <c r="EJ475" s="453"/>
      <c r="EK475" s="453"/>
      <c r="EL475" s="453"/>
      <c r="EM475" s="483">
        <f t="shared" si="218"/>
        <v>166</v>
      </c>
      <c r="EN475" s="485"/>
      <c r="EO475" s="804"/>
      <c r="EP475" s="805"/>
      <c r="EQ475" s="806"/>
      <c r="ER475" s="808"/>
      <c r="ES475" s="881">
        <f t="shared" si="219"/>
        <v>0</v>
      </c>
      <c r="ET475" s="882"/>
      <c r="EU475" s="883"/>
      <c r="EV475" s="884">
        <f t="shared" si="217"/>
        <v>0</v>
      </c>
      <c r="EW475" s="885"/>
      <c r="EX475" s="885"/>
      <c r="EY475" s="885"/>
      <c r="EZ475" s="885"/>
      <c r="FA475" s="885"/>
      <c r="FB475" s="885"/>
      <c r="FC475" s="885"/>
      <c r="FD475" s="886"/>
      <c r="FE475" s="878"/>
      <c r="FF475" s="878"/>
      <c r="FG475" s="878"/>
      <c r="FH475" s="878"/>
      <c r="FI475" s="878"/>
      <c r="FJ475" s="878"/>
      <c r="FK475" s="878"/>
      <c r="FL475" s="555"/>
      <c r="FM475" s="554"/>
      <c r="FN475" s="554"/>
      <c r="FO475" s="554"/>
      <c r="FP475" s="554"/>
      <c r="FQ475" s="554"/>
      <c r="FR475" s="554"/>
      <c r="FS475" s="554"/>
      <c r="FT475" s="554"/>
      <c r="FU475" s="554"/>
      <c r="FV475" s="554"/>
      <c r="FW475" s="554"/>
      <c r="FX475" s="554"/>
      <c r="FY475" s="554"/>
      <c r="FZ475" s="554"/>
      <c r="GA475" s="554"/>
      <c r="GB475" s="556"/>
      <c r="GC475" s="370"/>
      <c r="GD475" s="453"/>
      <c r="GE475" s="453"/>
      <c r="GF475" s="453"/>
      <c r="GG475" s="453"/>
      <c r="GH475" s="454"/>
      <c r="GI475" s="453"/>
      <c r="GJ475" s="453"/>
      <c r="GK475" s="453"/>
      <c r="GL475" s="453"/>
      <c r="GM475" s="453"/>
      <c r="GN475" s="453"/>
      <c r="GO475" s="453"/>
      <c r="GP475" s="453"/>
      <c r="GQ475" s="453"/>
      <c r="GR475" s="453"/>
      <c r="GS475" s="561"/>
      <c r="GT475" s="475"/>
      <c r="GU475" s="472"/>
      <c r="GV475" s="453"/>
      <c r="GW475" s="453"/>
      <c r="GX475" s="869"/>
      <c r="GY475" s="870"/>
      <c r="GZ475" s="867"/>
      <c r="HA475" s="868"/>
      <c r="HB475" s="473"/>
      <c r="HC475" s="869"/>
      <c r="HD475" s="870"/>
      <c r="HE475" s="867"/>
      <c r="HF475" s="868"/>
      <c r="HG475" s="473"/>
      <c r="HH475" s="867"/>
      <c r="HI475" s="868"/>
      <c r="HJ475" s="867"/>
      <c r="HK475" s="868"/>
      <c r="HL475" s="370"/>
      <c r="HM475" s="865"/>
      <c r="HN475" s="866"/>
      <c r="HO475" s="865"/>
      <c r="HP475" s="866"/>
      <c r="HQ475" s="865"/>
      <c r="HR475" s="866"/>
      <c r="HS475" s="867"/>
      <c r="HT475" s="868"/>
      <c r="HU475" s="489"/>
      <c r="HV475" s="865"/>
      <c r="HW475" s="866"/>
    </row>
    <row r="476" spans="25:231" ht="15" customHeight="1">
      <c r="Y476" s="332"/>
      <c r="Z476" s="332"/>
      <c r="AA476" s="332"/>
      <c r="AB476" s="332"/>
      <c r="AC476" s="332"/>
      <c r="AD476" s="332"/>
      <c r="AE476" s="332"/>
      <c r="AF476" s="332"/>
      <c r="AG476" s="332"/>
      <c r="AH476" s="332"/>
      <c r="AI476" s="332"/>
      <c r="AJ476" s="332"/>
      <c r="AK476" s="332"/>
      <c r="AL476" s="332"/>
      <c r="AM476" s="332"/>
      <c r="AN476" s="332"/>
      <c r="AO476" s="332"/>
      <c r="AP476" s="332"/>
      <c r="AQ476" s="332"/>
      <c r="AR476" s="332"/>
      <c r="AS476" s="332"/>
      <c r="AT476" s="332"/>
      <c r="AU476" s="332"/>
      <c r="AV476" s="332"/>
      <c r="AW476" s="332"/>
      <c r="AX476" s="332"/>
      <c r="AY476" s="332"/>
      <c r="AZ476" s="332"/>
      <c r="BA476" s="332"/>
      <c r="BB476" s="332"/>
      <c r="BC476" s="332"/>
      <c r="BD476" s="332"/>
      <c r="BE476" s="332"/>
      <c r="BF476" s="332"/>
      <c r="BG476" s="332"/>
      <c r="BH476" s="332"/>
      <c r="BI476" s="332"/>
      <c r="BJ476" s="332"/>
      <c r="BK476" s="332"/>
      <c r="BL476" s="332"/>
      <c r="BM476" s="332"/>
      <c r="BN476" s="332"/>
      <c r="BO476" s="332"/>
      <c r="BP476" s="332"/>
      <c r="BQ476" s="332"/>
      <c r="BR476" s="332"/>
      <c r="BS476" s="332"/>
      <c r="BT476" s="332"/>
      <c r="BU476" s="332"/>
      <c r="BV476" s="332"/>
      <c r="BW476" s="332"/>
      <c r="BX476" s="332"/>
      <c r="BY476" s="332"/>
      <c r="BZ476" s="332"/>
      <c r="CA476" s="332"/>
      <c r="CB476" s="332"/>
      <c r="CC476" s="332"/>
      <c r="CD476" s="332"/>
      <c r="CE476" s="332"/>
      <c r="CF476" s="332"/>
      <c r="CG476" s="332"/>
      <c r="CH476" s="332"/>
      <c r="CI476" s="332"/>
      <c r="CJ476" s="332"/>
      <c r="CK476" s="332"/>
      <c r="CL476" s="332"/>
      <c r="CM476" s="332"/>
      <c r="CN476" s="332"/>
      <c r="CO476" s="332"/>
      <c r="CP476" s="332"/>
      <c r="CQ476" s="332"/>
      <c r="CR476" s="332"/>
      <c r="CS476" s="332"/>
      <c r="CT476" s="332"/>
      <c r="CU476" s="332"/>
      <c r="CV476" s="332"/>
      <c r="CW476" s="332"/>
      <c r="CX476" s="332"/>
      <c r="CY476" s="332"/>
      <c r="CZ476" s="332"/>
      <c r="DA476" s="332"/>
      <c r="DB476" s="332"/>
      <c r="DC476" s="332"/>
      <c r="DD476" s="332"/>
      <c r="DE476" s="332"/>
      <c r="DF476" s="332"/>
      <c r="DG476" s="332"/>
      <c r="DH476" s="332"/>
      <c r="DI476" s="332"/>
      <c r="DJ476" s="332"/>
      <c r="DK476" s="332"/>
      <c r="DL476" s="332"/>
      <c r="DM476" s="332"/>
      <c r="DN476" s="332"/>
      <c r="DO476" s="332"/>
      <c r="DP476" s="332"/>
      <c r="DQ476" s="332"/>
      <c r="DR476" s="332"/>
      <c r="DS476" s="332"/>
      <c r="DT476" s="332"/>
      <c r="DU476" s="453"/>
      <c r="DV476" s="453"/>
      <c r="DW476" s="453"/>
      <c r="DX476" s="453"/>
      <c r="DY476" s="453"/>
      <c r="DZ476" s="453"/>
      <c r="EA476" s="453"/>
      <c r="EB476" s="453"/>
      <c r="EC476" s="453"/>
      <c r="ED476" s="453"/>
      <c r="EE476" s="453"/>
      <c r="EF476" s="453"/>
      <c r="EG476" s="453"/>
      <c r="EH476" s="453"/>
      <c r="EI476" s="453"/>
      <c r="EJ476" s="453"/>
      <c r="EK476" s="453"/>
      <c r="EL476" s="453"/>
      <c r="EM476" s="483">
        <f t="shared" si="218"/>
        <v>167</v>
      </c>
      <c r="EN476" s="485"/>
      <c r="EO476" s="804"/>
      <c r="EP476" s="805"/>
      <c r="EQ476" s="806"/>
      <c r="ER476" s="808"/>
      <c r="ES476" s="881">
        <f t="shared" si="219"/>
        <v>0</v>
      </c>
      <c r="ET476" s="882"/>
      <c r="EU476" s="883"/>
      <c r="EV476" s="884">
        <f t="shared" si="217"/>
        <v>0</v>
      </c>
      <c r="EW476" s="885"/>
      <c r="EX476" s="885"/>
      <c r="EY476" s="885"/>
      <c r="EZ476" s="885"/>
      <c r="FA476" s="885"/>
      <c r="FB476" s="885"/>
      <c r="FC476" s="885"/>
      <c r="FD476" s="886"/>
      <c r="FE476" s="878"/>
      <c r="FF476" s="878"/>
      <c r="FG476" s="878"/>
      <c r="FH476" s="878"/>
      <c r="FI476" s="878"/>
      <c r="FJ476" s="878"/>
      <c r="FK476" s="878"/>
      <c r="FL476" s="555"/>
      <c r="FM476" s="554"/>
      <c r="FN476" s="554"/>
      <c r="FO476" s="554"/>
      <c r="FP476" s="554"/>
      <c r="FQ476" s="554"/>
      <c r="FR476" s="554"/>
      <c r="FS476" s="554"/>
      <c r="FT476" s="554"/>
      <c r="FU476" s="554"/>
      <c r="FV476" s="554"/>
      <c r="FW476" s="554"/>
      <c r="FX476" s="554"/>
      <c r="FY476" s="554"/>
      <c r="FZ476" s="554"/>
      <c r="GA476" s="554"/>
      <c r="GB476" s="556"/>
      <c r="GC476" s="370"/>
      <c r="GD476" s="453"/>
      <c r="GE476" s="453"/>
      <c r="GF476" s="453"/>
      <c r="GG476" s="453"/>
      <c r="GH476" s="454"/>
      <c r="GI476" s="453"/>
      <c r="GJ476" s="453"/>
      <c r="GK476" s="453"/>
      <c r="GL476" s="453"/>
      <c r="GM476" s="453"/>
      <c r="GN476" s="453"/>
      <c r="GO476" s="453"/>
      <c r="GP476" s="453"/>
      <c r="GQ476" s="453"/>
      <c r="GR476" s="453"/>
      <c r="GS476" s="561"/>
      <c r="GT476" s="475"/>
      <c r="GU476" s="472"/>
      <c r="GV476" s="453"/>
      <c r="GW476" s="453"/>
      <c r="GX476" s="869"/>
      <c r="GY476" s="870"/>
      <c r="GZ476" s="867"/>
      <c r="HA476" s="868"/>
      <c r="HB476" s="473"/>
      <c r="HC476" s="869"/>
      <c r="HD476" s="870"/>
      <c r="HE476" s="867"/>
      <c r="HF476" s="868"/>
      <c r="HG476" s="473"/>
      <c r="HH476" s="867"/>
      <c r="HI476" s="868"/>
      <c r="HJ476" s="867"/>
      <c r="HK476" s="868"/>
      <c r="HL476" s="370"/>
      <c r="HM476" s="865"/>
      <c r="HN476" s="866"/>
      <c r="HO476" s="865"/>
      <c r="HP476" s="866"/>
      <c r="HQ476" s="865"/>
      <c r="HR476" s="866"/>
      <c r="HS476" s="867"/>
      <c r="HT476" s="868"/>
      <c r="HU476" s="489"/>
      <c r="HV476" s="865"/>
      <c r="HW476" s="866"/>
    </row>
    <row r="477" spans="25:231" ht="15" customHeight="1">
      <c r="Y477" s="332"/>
      <c r="Z477" s="332"/>
      <c r="AA477" s="332"/>
      <c r="AB477" s="332"/>
      <c r="AC477" s="332"/>
      <c r="AD477" s="332"/>
      <c r="AE477" s="332"/>
      <c r="AF477" s="332"/>
      <c r="AG477" s="332"/>
      <c r="AH477" s="332"/>
      <c r="AI477" s="332"/>
      <c r="AJ477" s="332"/>
      <c r="AK477" s="332"/>
      <c r="AL477" s="332"/>
      <c r="AM477" s="332"/>
      <c r="AN477" s="332"/>
      <c r="AO477" s="332"/>
      <c r="AP477" s="332"/>
      <c r="AQ477" s="332"/>
      <c r="AR477" s="332"/>
      <c r="AS477" s="332"/>
      <c r="AT477" s="332"/>
      <c r="AU477" s="332"/>
      <c r="AV477" s="332"/>
      <c r="AW477" s="332"/>
      <c r="AX477" s="332"/>
      <c r="AY477" s="332"/>
      <c r="AZ477" s="332"/>
      <c r="BA477" s="332"/>
      <c r="BB477" s="332"/>
      <c r="BC477" s="332"/>
      <c r="BD477" s="332"/>
      <c r="BE477" s="332"/>
      <c r="BF477" s="332"/>
      <c r="BG477" s="332"/>
      <c r="BH477" s="332"/>
      <c r="BI477" s="332"/>
      <c r="BJ477" s="332"/>
      <c r="BK477" s="332"/>
      <c r="BL477" s="332"/>
      <c r="BM477" s="332"/>
      <c r="BN477" s="332"/>
      <c r="BO477" s="332"/>
      <c r="BP477" s="332"/>
      <c r="BQ477" s="332"/>
      <c r="BR477" s="332"/>
      <c r="BS477" s="332"/>
      <c r="BT477" s="332"/>
      <c r="BU477" s="332"/>
      <c r="BV477" s="332"/>
      <c r="BW477" s="332"/>
      <c r="BX477" s="332"/>
      <c r="BY477" s="332"/>
      <c r="BZ477" s="332"/>
      <c r="CA477" s="332"/>
      <c r="CB477" s="332"/>
      <c r="CC477" s="332"/>
      <c r="CD477" s="332"/>
      <c r="CE477" s="332"/>
      <c r="CF477" s="332"/>
      <c r="CG477" s="332"/>
      <c r="CH477" s="332"/>
      <c r="CI477" s="332"/>
      <c r="CJ477" s="332"/>
      <c r="CK477" s="332"/>
      <c r="CL477" s="332"/>
      <c r="CM477" s="332"/>
      <c r="CN477" s="332"/>
      <c r="CO477" s="332"/>
      <c r="CP477" s="332"/>
      <c r="CQ477" s="332"/>
      <c r="CR477" s="332"/>
      <c r="CS477" s="332"/>
      <c r="CT477" s="332"/>
      <c r="CU477" s="332"/>
      <c r="CV477" s="332"/>
      <c r="CW477" s="332"/>
      <c r="CX477" s="332"/>
      <c r="CY477" s="332"/>
      <c r="CZ477" s="332"/>
      <c r="DA477" s="332"/>
      <c r="DB477" s="332"/>
      <c r="DC477" s="332"/>
      <c r="DD477" s="332"/>
      <c r="DE477" s="332"/>
      <c r="DF477" s="332"/>
      <c r="DG477" s="332"/>
      <c r="DH477" s="332"/>
      <c r="DI477" s="332"/>
      <c r="DJ477" s="332"/>
      <c r="DK477" s="332"/>
      <c r="DL477" s="332"/>
      <c r="DM477" s="332"/>
      <c r="DN477" s="332"/>
      <c r="DO477" s="332"/>
      <c r="DP477" s="332"/>
      <c r="DQ477" s="332"/>
      <c r="DR477" s="332"/>
      <c r="DS477" s="332"/>
      <c r="DT477" s="332"/>
      <c r="DU477" s="453"/>
      <c r="DV477" s="453"/>
      <c r="DW477" s="453"/>
      <c r="DX477" s="453"/>
      <c r="DY477" s="453"/>
      <c r="DZ477" s="453"/>
      <c r="EA477" s="453"/>
      <c r="EB477" s="453"/>
      <c r="EC477" s="453"/>
      <c r="ED477" s="453"/>
      <c r="EE477" s="453"/>
      <c r="EF477" s="453"/>
      <c r="EG477" s="453"/>
      <c r="EH477" s="453"/>
      <c r="EI477" s="453"/>
      <c r="EJ477" s="453"/>
      <c r="EK477" s="453"/>
      <c r="EL477" s="453"/>
      <c r="EM477" s="483">
        <f t="shared" si="218"/>
        <v>168</v>
      </c>
      <c r="EN477" s="485"/>
      <c r="EO477" s="804"/>
      <c r="EP477" s="805"/>
      <c r="EQ477" s="806"/>
      <c r="ER477" s="808"/>
      <c r="ES477" s="881">
        <f t="shared" si="219"/>
        <v>0</v>
      </c>
      <c r="ET477" s="882"/>
      <c r="EU477" s="883"/>
      <c r="EV477" s="884">
        <f t="shared" si="217"/>
        <v>0</v>
      </c>
      <c r="EW477" s="885"/>
      <c r="EX477" s="885"/>
      <c r="EY477" s="885"/>
      <c r="EZ477" s="885"/>
      <c r="FA477" s="885"/>
      <c r="FB477" s="885"/>
      <c r="FC477" s="885"/>
      <c r="FD477" s="886"/>
      <c r="FE477" s="878"/>
      <c r="FF477" s="878"/>
      <c r="FG477" s="878"/>
      <c r="FH477" s="878"/>
      <c r="FI477" s="878"/>
      <c r="FJ477" s="878"/>
      <c r="FK477" s="878"/>
      <c r="FL477" s="555"/>
      <c r="FM477" s="554"/>
      <c r="FN477" s="554"/>
      <c r="FO477" s="554"/>
      <c r="FP477" s="554"/>
      <c r="FQ477" s="554"/>
      <c r="FR477" s="554"/>
      <c r="FS477" s="554"/>
      <c r="FT477" s="554"/>
      <c r="FU477" s="554"/>
      <c r="FV477" s="554"/>
      <c r="FW477" s="554"/>
      <c r="FX477" s="554"/>
      <c r="FY477" s="554"/>
      <c r="FZ477" s="554"/>
      <c r="GA477" s="554"/>
      <c r="GB477" s="556"/>
      <c r="GC477" s="370"/>
      <c r="GD477" s="453"/>
      <c r="GE477" s="453"/>
      <c r="GF477" s="453"/>
      <c r="GG477" s="453"/>
      <c r="GH477" s="454"/>
      <c r="GI477" s="453"/>
      <c r="GJ477" s="453"/>
      <c r="GK477" s="453"/>
      <c r="GL477" s="453"/>
      <c r="GM477" s="453"/>
      <c r="GN477" s="453"/>
      <c r="GO477" s="453"/>
      <c r="GP477" s="453"/>
      <c r="GQ477" s="453"/>
      <c r="GR477" s="453"/>
      <c r="GS477" s="561"/>
      <c r="GT477" s="475"/>
      <c r="GU477" s="472"/>
      <c r="GV477" s="453"/>
      <c r="GW477" s="453"/>
      <c r="GX477" s="869"/>
      <c r="GY477" s="870"/>
      <c r="GZ477" s="867"/>
      <c r="HA477" s="868"/>
      <c r="HB477" s="473"/>
      <c r="HC477" s="869"/>
      <c r="HD477" s="870"/>
      <c r="HE477" s="867"/>
      <c r="HF477" s="868"/>
      <c r="HG477" s="473"/>
      <c r="HH477" s="867"/>
      <c r="HI477" s="868"/>
      <c r="HJ477" s="867"/>
      <c r="HK477" s="868"/>
      <c r="HL477" s="370"/>
      <c r="HM477" s="865"/>
      <c r="HN477" s="866"/>
      <c r="HO477" s="865"/>
      <c r="HP477" s="866"/>
      <c r="HQ477" s="865"/>
      <c r="HR477" s="866"/>
      <c r="HS477" s="867"/>
      <c r="HT477" s="868"/>
      <c r="HU477" s="489"/>
      <c r="HV477" s="865"/>
      <c r="HW477" s="866"/>
    </row>
    <row r="478" spans="25:231" ht="15" customHeight="1">
      <c r="Y478" s="332"/>
      <c r="Z478" s="332"/>
      <c r="AA478" s="332"/>
      <c r="AB478" s="332"/>
      <c r="AC478" s="332"/>
      <c r="AD478" s="332"/>
      <c r="AE478" s="332"/>
      <c r="AF478" s="332"/>
      <c r="AG478" s="332"/>
      <c r="AH478" s="332"/>
      <c r="AI478" s="332"/>
      <c r="AJ478" s="332"/>
      <c r="AK478" s="332"/>
      <c r="AL478" s="332"/>
      <c r="AM478" s="332"/>
      <c r="AN478" s="332"/>
      <c r="AO478" s="332"/>
      <c r="AP478" s="332"/>
      <c r="AQ478" s="332"/>
      <c r="AR478" s="332"/>
      <c r="AS478" s="332"/>
      <c r="AT478" s="332"/>
      <c r="AU478" s="332"/>
      <c r="AV478" s="332"/>
      <c r="AW478" s="332"/>
      <c r="AX478" s="332"/>
      <c r="AY478" s="332"/>
      <c r="AZ478" s="332"/>
      <c r="BA478" s="332"/>
      <c r="BB478" s="332"/>
      <c r="BC478" s="332"/>
      <c r="BD478" s="332"/>
      <c r="BE478" s="332"/>
      <c r="BF478" s="332"/>
      <c r="BG478" s="332"/>
      <c r="BH478" s="332"/>
      <c r="BI478" s="332"/>
      <c r="BJ478" s="332"/>
      <c r="BK478" s="332"/>
      <c r="BL478" s="332"/>
      <c r="BM478" s="332"/>
      <c r="BN478" s="332"/>
      <c r="BO478" s="332"/>
      <c r="BP478" s="332"/>
      <c r="BQ478" s="332"/>
      <c r="BR478" s="332"/>
      <c r="BS478" s="332"/>
      <c r="BT478" s="332"/>
      <c r="BU478" s="332"/>
      <c r="BV478" s="332"/>
      <c r="BW478" s="332"/>
      <c r="BX478" s="332"/>
      <c r="BY478" s="332"/>
      <c r="BZ478" s="332"/>
      <c r="CA478" s="332"/>
      <c r="CB478" s="332"/>
      <c r="CC478" s="332"/>
      <c r="CD478" s="332"/>
      <c r="CE478" s="332"/>
      <c r="CF478" s="332"/>
      <c r="CG478" s="332"/>
      <c r="CH478" s="332"/>
      <c r="CI478" s="332"/>
      <c r="CJ478" s="332"/>
      <c r="CK478" s="332"/>
      <c r="CL478" s="332"/>
      <c r="CM478" s="332"/>
      <c r="CN478" s="332"/>
      <c r="CO478" s="332"/>
      <c r="CP478" s="332"/>
      <c r="CQ478" s="332"/>
      <c r="CR478" s="332"/>
      <c r="CS478" s="332"/>
      <c r="CT478" s="332"/>
      <c r="CU478" s="332"/>
      <c r="CV478" s="332"/>
      <c r="CW478" s="332"/>
      <c r="CX478" s="332"/>
      <c r="CY478" s="332"/>
      <c r="CZ478" s="332"/>
      <c r="DA478" s="332"/>
      <c r="DB478" s="332"/>
      <c r="DC478" s="332"/>
      <c r="DD478" s="332"/>
      <c r="DE478" s="332"/>
      <c r="DF478" s="332"/>
      <c r="DG478" s="332"/>
      <c r="DH478" s="332"/>
      <c r="DI478" s="332"/>
      <c r="DJ478" s="332"/>
      <c r="DK478" s="332"/>
      <c r="DL478" s="332"/>
      <c r="DM478" s="332"/>
      <c r="DN478" s="332"/>
      <c r="DO478" s="332"/>
      <c r="DP478" s="332"/>
      <c r="DQ478" s="332"/>
      <c r="DR478" s="332"/>
      <c r="DS478" s="332"/>
      <c r="DT478" s="332"/>
      <c r="DU478" s="453"/>
      <c r="DV478" s="453"/>
      <c r="DW478" s="453"/>
      <c r="DX478" s="453"/>
      <c r="DY478" s="453"/>
      <c r="DZ478" s="453"/>
      <c r="EA478" s="453"/>
      <c r="EB478" s="453"/>
      <c r="EC478" s="453"/>
      <c r="ED478" s="453"/>
      <c r="EE478" s="453"/>
      <c r="EF478" s="453"/>
      <c r="EG478" s="453"/>
      <c r="EH478" s="453"/>
      <c r="EI478" s="453"/>
      <c r="EJ478" s="453"/>
      <c r="EK478" s="453"/>
      <c r="EL478" s="453"/>
      <c r="EM478" s="483">
        <f t="shared" si="218"/>
        <v>169</v>
      </c>
      <c r="EN478" s="485"/>
      <c r="EO478" s="804"/>
      <c r="EP478" s="805"/>
      <c r="EQ478" s="806"/>
      <c r="ER478" s="808"/>
      <c r="ES478" s="881">
        <f t="shared" si="219"/>
        <v>0</v>
      </c>
      <c r="ET478" s="882"/>
      <c r="EU478" s="883"/>
      <c r="EV478" s="884">
        <f t="shared" si="217"/>
        <v>0</v>
      </c>
      <c r="EW478" s="885"/>
      <c r="EX478" s="885"/>
      <c r="EY478" s="885"/>
      <c r="EZ478" s="885"/>
      <c r="FA478" s="885"/>
      <c r="FB478" s="885"/>
      <c r="FC478" s="885"/>
      <c r="FD478" s="886"/>
      <c r="FE478" s="878"/>
      <c r="FF478" s="878"/>
      <c r="FG478" s="878"/>
      <c r="FH478" s="878"/>
      <c r="FI478" s="878"/>
      <c r="FJ478" s="878"/>
      <c r="FK478" s="878"/>
      <c r="FL478" s="555"/>
      <c r="FM478" s="554"/>
      <c r="FN478" s="554"/>
      <c r="FO478" s="554"/>
      <c r="FP478" s="554"/>
      <c r="FQ478" s="554"/>
      <c r="FR478" s="554"/>
      <c r="FS478" s="554"/>
      <c r="FT478" s="554"/>
      <c r="FU478" s="554"/>
      <c r="FV478" s="554"/>
      <c r="FW478" s="554"/>
      <c r="FX478" s="554"/>
      <c r="FY478" s="554"/>
      <c r="FZ478" s="554"/>
      <c r="GA478" s="554"/>
      <c r="GB478" s="556"/>
      <c r="GC478" s="370"/>
      <c r="GD478" s="453"/>
      <c r="GE478" s="453"/>
      <c r="GF478" s="453"/>
      <c r="GG478" s="453"/>
      <c r="GH478" s="454"/>
      <c r="GI478" s="453"/>
      <c r="GJ478" s="453"/>
      <c r="GK478" s="453"/>
      <c r="GL478" s="453"/>
      <c r="GM478" s="453"/>
      <c r="GN478" s="453"/>
      <c r="GO478" s="453"/>
      <c r="GP478" s="453"/>
      <c r="GQ478" s="453"/>
      <c r="GR478" s="453"/>
      <c r="GS478" s="561"/>
      <c r="GT478" s="475"/>
      <c r="GU478" s="472"/>
      <c r="GV478" s="453"/>
      <c r="GW478" s="453"/>
      <c r="GX478" s="869"/>
      <c r="GY478" s="870"/>
      <c r="GZ478" s="867"/>
      <c r="HA478" s="868"/>
      <c r="HB478" s="473"/>
      <c r="HC478" s="869"/>
      <c r="HD478" s="870"/>
      <c r="HE478" s="867"/>
      <c r="HF478" s="868"/>
      <c r="HG478" s="473"/>
      <c r="HH478" s="867"/>
      <c r="HI478" s="868"/>
      <c r="HJ478" s="867"/>
      <c r="HK478" s="868"/>
      <c r="HL478" s="370"/>
      <c r="HM478" s="865"/>
      <c r="HN478" s="866"/>
      <c r="HO478" s="865"/>
      <c r="HP478" s="866"/>
      <c r="HQ478" s="865"/>
      <c r="HR478" s="866"/>
      <c r="HS478" s="867"/>
      <c r="HT478" s="868"/>
      <c r="HU478" s="489"/>
      <c r="HV478" s="865"/>
      <c r="HW478" s="866"/>
    </row>
    <row r="479" spans="25:231" ht="15" customHeight="1">
      <c r="Y479" s="332"/>
      <c r="Z479" s="332"/>
      <c r="AA479" s="332"/>
      <c r="AB479" s="332"/>
      <c r="AC479" s="332"/>
      <c r="AD479" s="332"/>
      <c r="AE479" s="332"/>
      <c r="AF479" s="332"/>
      <c r="AG479" s="332"/>
      <c r="AH479" s="332"/>
      <c r="AI479" s="332"/>
      <c r="AJ479" s="332"/>
      <c r="AK479" s="332"/>
      <c r="AL479" s="332"/>
      <c r="AM479" s="332"/>
      <c r="AN479" s="332"/>
      <c r="AO479" s="332"/>
      <c r="AP479" s="332"/>
      <c r="AQ479" s="332"/>
      <c r="AR479" s="332"/>
      <c r="AS479" s="332"/>
      <c r="AT479" s="332"/>
      <c r="AU479" s="332"/>
      <c r="AV479" s="332"/>
      <c r="AW479" s="332"/>
      <c r="AX479" s="332"/>
      <c r="AY479" s="332"/>
      <c r="AZ479" s="332"/>
      <c r="BA479" s="332"/>
      <c r="BB479" s="332"/>
      <c r="BC479" s="332"/>
      <c r="BD479" s="332"/>
      <c r="BE479" s="332"/>
      <c r="BF479" s="332"/>
      <c r="BG479" s="332"/>
      <c r="BH479" s="332"/>
      <c r="BI479" s="332"/>
      <c r="BJ479" s="332"/>
      <c r="BK479" s="332"/>
      <c r="BL479" s="332"/>
      <c r="BM479" s="332"/>
      <c r="BN479" s="332"/>
      <c r="BO479" s="332"/>
      <c r="BP479" s="332"/>
      <c r="BQ479" s="332"/>
      <c r="BR479" s="332"/>
      <c r="BS479" s="332"/>
      <c r="BT479" s="332"/>
      <c r="BU479" s="332"/>
      <c r="BV479" s="332"/>
      <c r="BW479" s="332"/>
      <c r="BX479" s="332"/>
      <c r="BY479" s="332"/>
      <c r="BZ479" s="332"/>
      <c r="CA479" s="332"/>
      <c r="CB479" s="332"/>
      <c r="CC479" s="332"/>
      <c r="CD479" s="332"/>
      <c r="CE479" s="332"/>
      <c r="CF479" s="332"/>
      <c r="CG479" s="332"/>
      <c r="CH479" s="332"/>
      <c r="CI479" s="332"/>
      <c r="CJ479" s="332"/>
      <c r="CK479" s="332"/>
      <c r="CL479" s="332"/>
      <c r="CM479" s="332"/>
      <c r="CN479" s="332"/>
      <c r="CO479" s="332"/>
      <c r="CP479" s="332"/>
      <c r="CQ479" s="332"/>
      <c r="CR479" s="332"/>
      <c r="CS479" s="332"/>
      <c r="CT479" s="332"/>
      <c r="CU479" s="332"/>
      <c r="CV479" s="332"/>
      <c r="CW479" s="332"/>
      <c r="CX479" s="332"/>
      <c r="CY479" s="332"/>
      <c r="CZ479" s="332"/>
      <c r="DA479" s="332"/>
      <c r="DB479" s="332"/>
      <c r="DC479" s="332"/>
      <c r="DD479" s="332"/>
      <c r="DE479" s="332"/>
      <c r="DF479" s="332"/>
      <c r="DG479" s="332"/>
      <c r="DH479" s="332"/>
      <c r="DI479" s="332"/>
      <c r="DJ479" s="332"/>
      <c r="DK479" s="332"/>
      <c r="DL479" s="332"/>
      <c r="DM479" s="332"/>
      <c r="DN479" s="332"/>
      <c r="DO479" s="332"/>
      <c r="DP479" s="332"/>
      <c r="DQ479" s="332"/>
      <c r="DR479" s="332"/>
      <c r="DS479" s="332"/>
      <c r="DT479" s="332"/>
      <c r="DU479" s="453"/>
      <c r="DV479" s="453"/>
      <c r="DW479" s="453"/>
      <c r="DX479" s="453"/>
      <c r="DY479" s="453"/>
      <c r="DZ479" s="453"/>
      <c r="EA479" s="453"/>
      <c r="EB479" s="453"/>
      <c r="EC479" s="453"/>
      <c r="ED479" s="453"/>
      <c r="EE479" s="453"/>
      <c r="EF479" s="453"/>
      <c r="EG479" s="453"/>
      <c r="EH479" s="453"/>
      <c r="EI479" s="453"/>
      <c r="EJ479" s="453"/>
      <c r="EK479" s="453"/>
      <c r="EL479" s="453"/>
      <c r="EM479" s="483">
        <f t="shared" si="218"/>
        <v>170</v>
      </c>
      <c r="EN479" s="485"/>
      <c r="EO479" s="804"/>
      <c r="EP479" s="807"/>
      <c r="EQ479" s="806"/>
      <c r="ER479" s="808"/>
      <c r="ES479" s="881">
        <f t="shared" si="219"/>
        <v>0</v>
      </c>
      <c r="ET479" s="882"/>
      <c r="EU479" s="883"/>
      <c r="EV479" s="884">
        <f t="shared" si="217"/>
        <v>0</v>
      </c>
      <c r="EW479" s="885"/>
      <c r="EX479" s="885"/>
      <c r="EY479" s="885"/>
      <c r="EZ479" s="885"/>
      <c r="FA479" s="885"/>
      <c r="FB479" s="885"/>
      <c r="FC479" s="885"/>
      <c r="FD479" s="886"/>
      <c r="FE479" s="878"/>
      <c r="FF479" s="878"/>
      <c r="FG479" s="878"/>
      <c r="FH479" s="878"/>
      <c r="FI479" s="878"/>
      <c r="FJ479" s="878"/>
      <c r="FK479" s="878"/>
      <c r="FL479" s="555"/>
      <c r="FM479" s="554"/>
      <c r="FN479" s="554"/>
      <c r="FO479" s="554"/>
      <c r="FP479" s="554"/>
      <c r="FQ479" s="554"/>
      <c r="FR479" s="554"/>
      <c r="FS479" s="554"/>
      <c r="FT479" s="554"/>
      <c r="FU479" s="554"/>
      <c r="FV479" s="554"/>
      <c r="FW479" s="554"/>
      <c r="FX479" s="554"/>
      <c r="FY479" s="554"/>
      <c r="FZ479" s="554"/>
      <c r="GA479" s="554"/>
      <c r="GB479" s="556"/>
      <c r="GC479" s="370"/>
      <c r="GD479" s="453"/>
      <c r="GE479" s="453"/>
      <c r="GF479" s="453"/>
      <c r="GG479" s="453"/>
      <c r="GH479" s="454"/>
      <c r="GI479" s="453"/>
      <c r="GJ479" s="453"/>
      <c r="GK479" s="453"/>
      <c r="GL479" s="453"/>
      <c r="GM479" s="453"/>
      <c r="GN479" s="453"/>
      <c r="GO479" s="453"/>
      <c r="GP479" s="453"/>
      <c r="GQ479" s="453"/>
      <c r="GR479" s="453"/>
      <c r="GS479" s="561"/>
      <c r="GT479" s="475"/>
      <c r="GU479" s="472"/>
      <c r="GV479" s="453"/>
      <c r="GW479" s="453"/>
      <c r="GX479" s="869"/>
      <c r="GY479" s="870"/>
      <c r="GZ479" s="867"/>
      <c r="HA479" s="868"/>
      <c r="HB479" s="473"/>
      <c r="HC479" s="869"/>
      <c r="HD479" s="870"/>
      <c r="HE479" s="867"/>
      <c r="HF479" s="868"/>
      <c r="HG479" s="473"/>
      <c r="HH479" s="867"/>
      <c r="HI479" s="868"/>
      <c r="HJ479" s="867"/>
      <c r="HK479" s="868"/>
      <c r="HL479" s="370"/>
      <c r="HM479" s="865"/>
      <c r="HN479" s="866"/>
      <c r="HO479" s="865"/>
      <c r="HP479" s="866"/>
      <c r="HQ479" s="865"/>
      <c r="HR479" s="866"/>
      <c r="HS479" s="867"/>
      <c r="HT479" s="868"/>
      <c r="HU479" s="489"/>
      <c r="HV479" s="865"/>
      <c r="HW479" s="866"/>
    </row>
    <row r="480" spans="25:231" ht="15" customHeight="1">
      <c r="Y480" s="332"/>
      <c r="Z480" s="332"/>
      <c r="AA480" s="332"/>
      <c r="AB480" s="332"/>
      <c r="AC480" s="332"/>
      <c r="AD480" s="332"/>
      <c r="AE480" s="332"/>
      <c r="AF480" s="332"/>
      <c r="AG480" s="332"/>
      <c r="AH480" s="332"/>
      <c r="AI480" s="332"/>
      <c r="AJ480" s="332"/>
      <c r="AK480" s="332"/>
      <c r="AL480" s="332"/>
      <c r="AM480" s="332"/>
      <c r="AN480" s="332"/>
      <c r="AO480" s="332"/>
      <c r="AP480" s="332"/>
      <c r="AQ480" s="332"/>
      <c r="AR480" s="332"/>
      <c r="AS480" s="332"/>
      <c r="AT480" s="332"/>
      <c r="AU480" s="332"/>
      <c r="AV480" s="332"/>
      <c r="AW480" s="332"/>
      <c r="AX480" s="332"/>
      <c r="AY480" s="332"/>
      <c r="AZ480" s="332"/>
      <c r="BA480" s="332"/>
      <c r="BB480" s="332"/>
      <c r="BC480" s="332"/>
      <c r="BD480" s="332"/>
      <c r="BE480" s="332"/>
      <c r="BF480" s="332"/>
      <c r="BG480" s="332"/>
      <c r="BH480" s="332"/>
      <c r="BI480" s="332"/>
      <c r="BJ480" s="332"/>
      <c r="BK480" s="332"/>
      <c r="BL480" s="332"/>
      <c r="BM480" s="332"/>
      <c r="BN480" s="332"/>
      <c r="BO480" s="332"/>
      <c r="BP480" s="332"/>
      <c r="BQ480" s="332"/>
      <c r="BR480" s="332"/>
      <c r="BS480" s="332"/>
      <c r="BT480" s="332"/>
      <c r="BU480" s="332"/>
      <c r="BV480" s="332"/>
      <c r="BW480" s="332"/>
      <c r="BX480" s="332"/>
      <c r="BY480" s="332"/>
      <c r="BZ480" s="332"/>
      <c r="CA480" s="332"/>
      <c r="CB480" s="332"/>
      <c r="CC480" s="332"/>
      <c r="CD480" s="332"/>
      <c r="CE480" s="332"/>
      <c r="CF480" s="332"/>
      <c r="CG480" s="332"/>
      <c r="CH480" s="332"/>
      <c r="CI480" s="332"/>
      <c r="CJ480" s="332"/>
      <c r="CK480" s="332"/>
      <c r="CL480" s="332"/>
      <c r="CM480" s="332"/>
      <c r="CN480" s="332"/>
      <c r="CO480" s="332"/>
      <c r="CP480" s="332"/>
      <c r="CQ480" s="332"/>
      <c r="CR480" s="332"/>
      <c r="CS480" s="332"/>
      <c r="CT480" s="332"/>
      <c r="CU480" s="332"/>
      <c r="CV480" s="332"/>
      <c r="CW480" s="332"/>
      <c r="CX480" s="332"/>
      <c r="CY480" s="332"/>
      <c r="CZ480" s="332"/>
      <c r="DA480" s="332"/>
      <c r="DB480" s="332"/>
      <c r="DC480" s="332"/>
      <c r="DD480" s="332"/>
      <c r="DE480" s="332"/>
      <c r="DF480" s="332"/>
      <c r="DG480" s="332"/>
      <c r="DH480" s="332"/>
      <c r="DI480" s="332"/>
      <c r="DJ480" s="332"/>
      <c r="DK480" s="332"/>
      <c r="DL480" s="332"/>
      <c r="DM480" s="332"/>
      <c r="DN480" s="332"/>
      <c r="DO480" s="332"/>
      <c r="DP480" s="332"/>
      <c r="DQ480" s="332"/>
      <c r="DR480" s="332"/>
      <c r="DS480" s="332"/>
      <c r="DT480" s="332"/>
      <c r="DU480" s="453"/>
      <c r="DV480" s="453"/>
      <c r="DW480" s="453"/>
      <c r="DX480" s="453"/>
      <c r="DY480" s="453"/>
      <c r="DZ480" s="453"/>
      <c r="EA480" s="453"/>
      <c r="EB480" s="453"/>
      <c r="EC480" s="453"/>
      <c r="ED480" s="453"/>
      <c r="EE480" s="453"/>
      <c r="EF480" s="453"/>
      <c r="EG480" s="453"/>
      <c r="EH480" s="453"/>
      <c r="EI480" s="453"/>
      <c r="EJ480" s="453"/>
      <c r="EK480" s="453"/>
      <c r="EL480" s="453"/>
      <c r="EM480" s="483">
        <f t="shared" si="218"/>
        <v>171</v>
      </c>
      <c r="EN480" s="485"/>
      <c r="EO480" s="458"/>
      <c r="EP480" s="467"/>
      <c r="EQ480" s="806"/>
      <c r="ER480" s="808"/>
      <c r="ES480" s="881">
        <f t="shared" si="219"/>
        <v>0</v>
      </c>
      <c r="ET480" s="882"/>
      <c r="EU480" s="883"/>
      <c r="EV480" s="884">
        <f t="shared" si="217"/>
        <v>0</v>
      </c>
      <c r="EW480" s="885"/>
      <c r="EX480" s="885"/>
      <c r="EY480" s="885"/>
      <c r="EZ480" s="885"/>
      <c r="FA480" s="885"/>
      <c r="FB480" s="885"/>
      <c r="FC480" s="885"/>
      <c r="FD480" s="886"/>
      <c r="FE480" s="878"/>
      <c r="FF480" s="878"/>
      <c r="FG480" s="878"/>
      <c r="FH480" s="878"/>
      <c r="FI480" s="878"/>
      <c r="FJ480" s="878"/>
      <c r="FK480" s="878"/>
      <c r="FL480" s="555"/>
      <c r="FM480" s="554"/>
      <c r="FN480" s="554"/>
      <c r="FO480" s="554"/>
      <c r="FP480" s="554"/>
      <c r="FQ480" s="554"/>
      <c r="FR480" s="554"/>
      <c r="FS480" s="554"/>
      <c r="FT480" s="554"/>
      <c r="FU480" s="554"/>
      <c r="FV480" s="554"/>
      <c r="FW480" s="554"/>
      <c r="FX480" s="554"/>
      <c r="FY480" s="554"/>
      <c r="FZ480" s="554"/>
      <c r="GA480" s="554"/>
      <c r="GB480" s="556"/>
      <c r="GC480" s="370"/>
      <c r="GD480" s="453"/>
      <c r="GE480" s="453"/>
      <c r="GF480" s="453"/>
      <c r="GG480" s="453"/>
      <c r="GH480" s="454"/>
      <c r="GI480" s="453"/>
      <c r="GJ480" s="453"/>
      <c r="GK480" s="453"/>
      <c r="GL480" s="453"/>
      <c r="GM480" s="453"/>
      <c r="GN480" s="453"/>
      <c r="GO480" s="453"/>
      <c r="GP480" s="453"/>
      <c r="GQ480" s="453"/>
      <c r="GR480" s="453"/>
      <c r="GS480" s="561"/>
      <c r="GT480" s="475"/>
      <c r="GU480" s="472"/>
      <c r="GV480" s="453"/>
      <c r="GW480" s="453"/>
      <c r="GX480" s="869"/>
      <c r="GY480" s="870"/>
      <c r="GZ480" s="867"/>
      <c r="HA480" s="868"/>
      <c r="HB480" s="473"/>
      <c r="HC480" s="869"/>
      <c r="HD480" s="870"/>
      <c r="HE480" s="867"/>
      <c r="HF480" s="868"/>
      <c r="HG480" s="473"/>
      <c r="HH480" s="867"/>
      <c r="HI480" s="868"/>
      <c r="HJ480" s="867"/>
      <c r="HK480" s="868"/>
      <c r="HL480" s="370"/>
      <c r="HM480" s="865"/>
      <c r="HN480" s="866"/>
      <c r="HO480" s="865"/>
      <c r="HP480" s="866"/>
      <c r="HQ480" s="865"/>
      <c r="HR480" s="866"/>
      <c r="HS480" s="867"/>
      <c r="HT480" s="868"/>
      <c r="HU480" s="489"/>
      <c r="HV480" s="865"/>
      <c r="HW480" s="866"/>
    </row>
    <row r="481" spans="25:231" ht="15" customHeight="1">
      <c r="Y481" s="332"/>
      <c r="Z481" s="332"/>
      <c r="AA481" s="332"/>
      <c r="AB481" s="332"/>
      <c r="AC481" s="332"/>
      <c r="AD481" s="332"/>
      <c r="AE481" s="332"/>
      <c r="AF481" s="332"/>
      <c r="AG481" s="332"/>
      <c r="AH481" s="332"/>
      <c r="AI481" s="332"/>
      <c r="AJ481" s="332"/>
      <c r="AK481" s="332"/>
      <c r="AL481" s="332"/>
      <c r="AM481" s="332"/>
      <c r="AN481" s="332"/>
      <c r="AO481" s="332"/>
      <c r="AP481" s="332"/>
      <c r="AQ481" s="332"/>
      <c r="AR481" s="332"/>
      <c r="AS481" s="332"/>
      <c r="AT481" s="332"/>
      <c r="AU481" s="332"/>
      <c r="AV481" s="332"/>
      <c r="AW481" s="332"/>
      <c r="AX481" s="332"/>
      <c r="AY481" s="332"/>
      <c r="AZ481" s="332"/>
      <c r="BA481" s="332"/>
      <c r="BB481" s="332"/>
      <c r="BC481" s="332"/>
      <c r="BD481" s="332"/>
      <c r="BE481" s="332"/>
      <c r="BF481" s="332"/>
      <c r="BG481" s="332"/>
      <c r="BH481" s="332"/>
      <c r="BI481" s="332"/>
      <c r="BJ481" s="332"/>
      <c r="BK481" s="332"/>
      <c r="BL481" s="332"/>
      <c r="BM481" s="332"/>
      <c r="BN481" s="332"/>
      <c r="BO481" s="332"/>
      <c r="BP481" s="332"/>
      <c r="BQ481" s="332"/>
      <c r="BR481" s="332"/>
      <c r="BS481" s="332"/>
      <c r="BT481" s="332"/>
      <c r="BU481" s="332"/>
      <c r="BV481" s="332"/>
      <c r="BW481" s="332"/>
      <c r="BX481" s="332"/>
      <c r="BY481" s="332"/>
      <c r="BZ481" s="332"/>
      <c r="CA481" s="332"/>
      <c r="CB481" s="332"/>
      <c r="CC481" s="332"/>
      <c r="CD481" s="332"/>
      <c r="CE481" s="332"/>
      <c r="CF481" s="332"/>
      <c r="CG481" s="332"/>
      <c r="CH481" s="332"/>
      <c r="CI481" s="332"/>
      <c r="CJ481" s="332"/>
      <c r="CK481" s="332"/>
      <c r="CL481" s="332"/>
      <c r="CM481" s="332"/>
      <c r="CN481" s="332"/>
      <c r="CO481" s="332"/>
      <c r="CP481" s="332"/>
      <c r="CQ481" s="332"/>
      <c r="CR481" s="332"/>
      <c r="CS481" s="332"/>
      <c r="CT481" s="332"/>
      <c r="CU481" s="332"/>
      <c r="CV481" s="332"/>
      <c r="CW481" s="332"/>
      <c r="CX481" s="332"/>
      <c r="CY481" s="332"/>
      <c r="CZ481" s="332"/>
      <c r="DA481" s="332"/>
      <c r="DB481" s="332"/>
      <c r="DC481" s="332"/>
      <c r="DD481" s="332"/>
      <c r="DE481" s="332"/>
      <c r="DF481" s="332"/>
      <c r="DG481" s="332"/>
      <c r="DH481" s="332"/>
      <c r="DI481" s="332"/>
      <c r="DJ481" s="332"/>
      <c r="DK481" s="332"/>
      <c r="DL481" s="332"/>
      <c r="DM481" s="332"/>
      <c r="DN481" s="332"/>
      <c r="DO481" s="332"/>
      <c r="DP481" s="332"/>
      <c r="DQ481" s="332"/>
      <c r="DR481" s="332"/>
      <c r="DS481" s="332"/>
      <c r="DT481" s="332"/>
      <c r="DU481" s="453"/>
      <c r="DV481" s="453"/>
      <c r="DW481" s="453"/>
      <c r="DX481" s="453"/>
      <c r="DY481" s="453"/>
      <c r="DZ481" s="453"/>
      <c r="EA481" s="453"/>
      <c r="EB481" s="453"/>
      <c r="EC481" s="453"/>
      <c r="ED481" s="453"/>
      <c r="EE481" s="453"/>
      <c r="EF481" s="453"/>
      <c r="EG481" s="453"/>
      <c r="EH481" s="453"/>
      <c r="EI481" s="453"/>
      <c r="EJ481" s="453"/>
      <c r="EK481" s="453"/>
      <c r="EL481" s="453"/>
      <c r="EM481" s="483">
        <f t="shared" si="218"/>
        <v>172</v>
      </c>
      <c r="EN481" s="485"/>
      <c r="EO481" s="458"/>
      <c r="EP481" s="467"/>
      <c r="EQ481" s="806"/>
      <c r="ER481" s="808"/>
      <c r="ES481" s="881">
        <f t="shared" si="219"/>
        <v>0</v>
      </c>
      <c r="ET481" s="882"/>
      <c r="EU481" s="883"/>
      <c r="EV481" s="884">
        <f t="shared" si="217"/>
        <v>0</v>
      </c>
      <c r="EW481" s="885"/>
      <c r="EX481" s="885"/>
      <c r="EY481" s="885"/>
      <c r="EZ481" s="885"/>
      <c r="FA481" s="885"/>
      <c r="FB481" s="885"/>
      <c r="FC481" s="885"/>
      <c r="FD481" s="886"/>
      <c r="FE481" s="878"/>
      <c r="FF481" s="878"/>
      <c r="FG481" s="878"/>
      <c r="FH481" s="878"/>
      <c r="FI481" s="878"/>
      <c r="FJ481" s="878"/>
      <c r="FK481" s="878"/>
      <c r="FL481" s="555"/>
      <c r="FM481" s="554"/>
      <c r="FN481" s="554"/>
      <c r="FO481" s="554"/>
      <c r="FP481" s="554"/>
      <c r="FQ481" s="554"/>
      <c r="FR481" s="554"/>
      <c r="FS481" s="554"/>
      <c r="FT481" s="554"/>
      <c r="FU481" s="554"/>
      <c r="FV481" s="554"/>
      <c r="FW481" s="554"/>
      <c r="FX481" s="554"/>
      <c r="FY481" s="554"/>
      <c r="FZ481" s="554"/>
      <c r="GA481" s="554"/>
      <c r="GB481" s="556"/>
      <c r="GC481" s="370"/>
      <c r="GD481" s="453"/>
      <c r="GE481" s="453"/>
      <c r="GF481" s="453"/>
      <c r="GG481" s="453"/>
      <c r="GH481" s="454"/>
      <c r="GI481" s="453"/>
      <c r="GJ481" s="453"/>
      <c r="GK481" s="453"/>
      <c r="GL481" s="453"/>
      <c r="GM481" s="453"/>
      <c r="GN481" s="453"/>
      <c r="GO481" s="453"/>
      <c r="GP481" s="453"/>
      <c r="GQ481" s="453"/>
      <c r="GR481" s="453"/>
      <c r="GS481" s="561"/>
      <c r="GT481" s="475"/>
      <c r="GU481" s="472"/>
      <c r="GV481" s="453"/>
      <c r="GW481" s="453"/>
      <c r="GX481" s="869"/>
      <c r="GY481" s="870"/>
      <c r="GZ481" s="867"/>
      <c r="HA481" s="868"/>
      <c r="HB481" s="473"/>
      <c r="HC481" s="869"/>
      <c r="HD481" s="870"/>
      <c r="HE481" s="867"/>
      <c r="HF481" s="868"/>
      <c r="HG481" s="473"/>
      <c r="HH481" s="867"/>
      <c r="HI481" s="868"/>
      <c r="HJ481" s="867"/>
      <c r="HK481" s="868"/>
      <c r="HL481" s="370"/>
      <c r="HM481" s="865"/>
      <c r="HN481" s="866"/>
      <c r="HO481" s="865"/>
      <c r="HP481" s="866"/>
      <c r="HQ481" s="865"/>
      <c r="HR481" s="866"/>
      <c r="HS481" s="867"/>
      <c r="HT481" s="868"/>
      <c r="HU481" s="489"/>
      <c r="HV481" s="865"/>
      <c r="HW481" s="866"/>
    </row>
    <row r="482" spans="25:231" ht="15" customHeight="1">
      <c r="Y482" s="332"/>
      <c r="Z482" s="332"/>
      <c r="AA482" s="332"/>
      <c r="AB482" s="332"/>
      <c r="AC482" s="332"/>
      <c r="AD482" s="332"/>
      <c r="AE482" s="332"/>
      <c r="AF482" s="332"/>
      <c r="AG482" s="332"/>
      <c r="AH482" s="332"/>
      <c r="AI482" s="332"/>
      <c r="AJ482" s="332"/>
      <c r="AK482" s="332"/>
      <c r="AL482" s="332"/>
      <c r="AM482" s="332"/>
      <c r="AN482" s="332"/>
      <c r="AO482" s="332"/>
      <c r="AP482" s="332"/>
      <c r="AQ482" s="332"/>
      <c r="AR482" s="332"/>
      <c r="AS482" s="332"/>
      <c r="AT482" s="332"/>
      <c r="AU482" s="332"/>
      <c r="AV482" s="332"/>
      <c r="AW482" s="332"/>
      <c r="AX482" s="332"/>
      <c r="AY482" s="332"/>
      <c r="AZ482" s="332"/>
      <c r="BA482" s="332"/>
      <c r="BB482" s="332"/>
      <c r="BC482" s="332"/>
      <c r="BD482" s="332"/>
      <c r="BE482" s="332"/>
      <c r="BF482" s="332"/>
      <c r="BG482" s="332"/>
      <c r="BH482" s="332"/>
      <c r="BI482" s="332"/>
      <c r="BJ482" s="332"/>
      <c r="BK482" s="332"/>
      <c r="BL482" s="332"/>
      <c r="BM482" s="332"/>
      <c r="BN482" s="332"/>
      <c r="BO482" s="332"/>
      <c r="BP482" s="332"/>
      <c r="BQ482" s="332"/>
      <c r="BR482" s="332"/>
      <c r="BS482" s="332"/>
      <c r="BT482" s="332"/>
      <c r="BU482" s="332"/>
      <c r="BV482" s="332"/>
      <c r="BW482" s="332"/>
      <c r="BX482" s="332"/>
      <c r="BY482" s="332"/>
      <c r="BZ482" s="332"/>
      <c r="CA482" s="332"/>
      <c r="CB482" s="332"/>
      <c r="CC482" s="332"/>
      <c r="CD482" s="332"/>
      <c r="CE482" s="332"/>
      <c r="CF482" s="332"/>
      <c r="CG482" s="332"/>
      <c r="CH482" s="332"/>
      <c r="CI482" s="332"/>
      <c r="CJ482" s="332"/>
      <c r="CK482" s="332"/>
      <c r="CL482" s="332"/>
      <c r="CM482" s="332"/>
      <c r="CN482" s="332"/>
      <c r="CO482" s="332"/>
      <c r="CP482" s="332"/>
      <c r="CQ482" s="332"/>
      <c r="CR482" s="332"/>
      <c r="CS482" s="332"/>
      <c r="CT482" s="332"/>
      <c r="CU482" s="332"/>
      <c r="CV482" s="332"/>
      <c r="CW482" s="332"/>
      <c r="CX482" s="332"/>
      <c r="CY482" s="332"/>
      <c r="CZ482" s="332"/>
      <c r="DA482" s="332"/>
      <c r="DB482" s="332"/>
      <c r="DC482" s="332"/>
      <c r="DD482" s="332"/>
      <c r="DE482" s="332"/>
      <c r="DF482" s="332"/>
      <c r="DG482" s="332"/>
      <c r="DH482" s="332"/>
      <c r="DI482" s="332"/>
      <c r="DJ482" s="332"/>
      <c r="DK482" s="332"/>
      <c r="DL482" s="332"/>
      <c r="DM482" s="332"/>
      <c r="DN482" s="332"/>
      <c r="DO482" s="332"/>
      <c r="DP482" s="332"/>
      <c r="DQ482" s="332"/>
      <c r="DR482" s="332"/>
      <c r="DS482" s="332"/>
      <c r="DT482" s="332"/>
      <c r="DU482" s="453"/>
      <c r="DV482" s="453"/>
      <c r="DW482" s="453"/>
      <c r="DX482" s="453"/>
      <c r="DY482" s="453"/>
      <c r="DZ482" s="453"/>
      <c r="EA482" s="453"/>
      <c r="EB482" s="453"/>
      <c r="EC482" s="453"/>
      <c r="ED482" s="453"/>
      <c r="EE482" s="453"/>
      <c r="EF482" s="453"/>
      <c r="EG482" s="453"/>
      <c r="EH482" s="453"/>
      <c r="EI482" s="453"/>
      <c r="EJ482" s="453"/>
      <c r="EK482" s="453"/>
      <c r="EL482" s="453"/>
      <c r="EM482" s="483">
        <f t="shared" si="218"/>
        <v>173</v>
      </c>
      <c r="EN482" s="485"/>
      <c r="EO482" s="804"/>
      <c r="EP482" s="805"/>
      <c r="EQ482" s="806"/>
      <c r="ER482" s="808"/>
      <c r="ES482" s="881">
        <f t="shared" si="219"/>
        <v>0</v>
      </c>
      <c r="ET482" s="882"/>
      <c r="EU482" s="883"/>
      <c r="EV482" s="884">
        <f t="shared" si="217"/>
        <v>0</v>
      </c>
      <c r="EW482" s="885"/>
      <c r="EX482" s="885"/>
      <c r="EY482" s="885"/>
      <c r="EZ482" s="885"/>
      <c r="FA482" s="885"/>
      <c r="FB482" s="885"/>
      <c r="FC482" s="885"/>
      <c r="FD482" s="886"/>
      <c r="FE482" s="878"/>
      <c r="FF482" s="878"/>
      <c r="FG482" s="878"/>
      <c r="FH482" s="878"/>
      <c r="FI482" s="878"/>
      <c r="FJ482" s="878"/>
      <c r="FK482" s="878"/>
      <c r="FL482" s="555"/>
      <c r="FM482" s="554"/>
      <c r="FN482" s="554"/>
      <c r="FO482" s="554"/>
      <c r="FP482" s="554"/>
      <c r="FQ482" s="554"/>
      <c r="FR482" s="554"/>
      <c r="FS482" s="554"/>
      <c r="FT482" s="554"/>
      <c r="FU482" s="554"/>
      <c r="FV482" s="554"/>
      <c r="FW482" s="554"/>
      <c r="FX482" s="554"/>
      <c r="FY482" s="554"/>
      <c r="FZ482" s="554"/>
      <c r="GA482" s="554"/>
      <c r="GB482" s="556"/>
      <c r="GC482" s="370"/>
      <c r="GD482" s="453"/>
      <c r="GE482" s="453"/>
      <c r="GF482" s="453"/>
      <c r="GG482" s="453"/>
      <c r="GH482" s="454"/>
      <c r="GI482" s="453"/>
      <c r="GJ482" s="453"/>
      <c r="GK482" s="453"/>
      <c r="GL482" s="453"/>
      <c r="GM482" s="453"/>
      <c r="GN482" s="453"/>
      <c r="GO482" s="453"/>
      <c r="GP482" s="453"/>
      <c r="GQ482" s="453"/>
      <c r="GR482" s="453"/>
      <c r="GS482" s="561"/>
      <c r="GT482" s="475"/>
      <c r="GU482" s="472"/>
      <c r="GV482" s="453"/>
      <c r="GW482" s="453"/>
      <c r="GX482" s="869"/>
      <c r="GY482" s="870"/>
      <c r="GZ482" s="867"/>
      <c r="HA482" s="868"/>
      <c r="HB482" s="473"/>
      <c r="HC482" s="869"/>
      <c r="HD482" s="870"/>
      <c r="HE482" s="867"/>
      <c r="HF482" s="868"/>
      <c r="HG482" s="473"/>
      <c r="HH482" s="867"/>
      <c r="HI482" s="868"/>
      <c r="HJ482" s="867"/>
      <c r="HK482" s="868"/>
      <c r="HL482" s="370"/>
      <c r="HM482" s="865"/>
      <c r="HN482" s="866"/>
      <c r="HO482" s="865"/>
      <c r="HP482" s="866"/>
      <c r="HQ482" s="865"/>
      <c r="HR482" s="866"/>
      <c r="HS482" s="867"/>
      <c r="HT482" s="868"/>
      <c r="HU482" s="489"/>
      <c r="HV482" s="865"/>
      <c r="HW482" s="866"/>
    </row>
    <row r="483" spans="25:231" ht="15" customHeight="1">
      <c r="Y483" s="332"/>
      <c r="Z483" s="332"/>
      <c r="AA483" s="332"/>
      <c r="AB483" s="332"/>
      <c r="AC483" s="332"/>
      <c r="AD483" s="332"/>
      <c r="AE483" s="332"/>
      <c r="AF483" s="332"/>
      <c r="AG483" s="332"/>
      <c r="AH483" s="332"/>
      <c r="AI483" s="332"/>
      <c r="AJ483" s="332"/>
      <c r="AK483" s="332"/>
      <c r="AL483" s="332"/>
      <c r="AM483" s="332"/>
      <c r="AN483" s="332"/>
      <c r="AO483" s="332"/>
      <c r="AP483" s="332"/>
      <c r="AQ483" s="332"/>
      <c r="AR483" s="332"/>
      <c r="AS483" s="332"/>
      <c r="AT483" s="332"/>
      <c r="AU483" s="332"/>
      <c r="AV483" s="332"/>
      <c r="AW483" s="332"/>
      <c r="AX483" s="332"/>
      <c r="AY483" s="332"/>
      <c r="AZ483" s="332"/>
      <c r="BA483" s="332"/>
      <c r="BB483" s="332"/>
      <c r="BC483" s="332"/>
      <c r="BD483" s="332"/>
      <c r="BE483" s="332"/>
      <c r="BF483" s="332"/>
      <c r="BG483" s="332"/>
      <c r="BH483" s="332"/>
      <c r="BI483" s="332"/>
      <c r="BJ483" s="332"/>
      <c r="BK483" s="332"/>
      <c r="BL483" s="332"/>
      <c r="BM483" s="332"/>
      <c r="BN483" s="332"/>
      <c r="BO483" s="332"/>
      <c r="BP483" s="332"/>
      <c r="BQ483" s="332"/>
      <c r="BR483" s="332"/>
      <c r="BS483" s="332"/>
      <c r="BT483" s="332"/>
      <c r="BU483" s="332"/>
      <c r="BV483" s="332"/>
      <c r="BW483" s="332"/>
      <c r="BX483" s="332"/>
      <c r="BY483" s="332"/>
      <c r="BZ483" s="332"/>
      <c r="CA483" s="332"/>
      <c r="CB483" s="332"/>
      <c r="CC483" s="332"/>
      <c r="CD483" s="332"/>
      <c r="CE483" s="332"/>
      <c r="CF483" s="332"/>
      <c r="CG483" s="332"/>
      <c r="CH483" s="332"/>
      <c r="CI483" s="332"/>
      <c r="CJ483" s="332"/>
      <c r="CK483" s="332"/>
      <c r="CL483" s="332"/>
      <c r="CM483" s="332"/>
      <c r="CN483" s="332"/>
      <c r="CO483" s="332"/>
      <c r="CP483" s="332"/>
      <c r="CQ483" s="332"/>
      <c r="CR483" s="332"/>
      <c r="CS483" s="332"/>
      <c r="CT483" s="332"/>
      <c r="CU483" s="332"/>
      <c r="CV483" s="332"/>
      <c r="CW483" s="332"/>
      <c r="CX483" s="332"/>
      <c r="CY483" s="332"/>
      <c r="CZ483" s="332"/>
      <c r="DA483" s="332"/>
      <c r="DB483" s="332"/>
      <c r="DC483" s="332"/>
      <c r="DD483" s="332"/>
      <c r="DE483" s="332"/>
      <c r="DF483" s="332"/>
      <c r="DG483" s="332"/>
      <c r="DH483" s="332"/>
      <c r="DI483" s="332"/>
      <c r="DJ483" s="332"/>
      <c r="DK483" s="332"/>
      <c r="DL483" s="332"/>
      <c r="DM483" s="332"/>
      <c r="DN483" s="332"/>
      <c r="DO483" s="332"/>
      <c r="DP483" s="332"/>
      <c r="DQ483" s="332"/>
      <c r="DR483" s="332"/>
      <c r="DS483" s="332"/>
      <c r="DT483" s="332"/>
      <c r="DU483" s="453"/>
      <c r="DV483" s="453"/>
      <c r="DW483" s="453"/>
      <c r="DX483" s="453"/>
      <c r="DY483" s="453"/>
      <c r="DZ483" s="453"/>
      <c r="EA483" s="453"/>
      <c r="EB483" s="453"/>
      <c r="EC483" s="453"/>
      <c r="ED483" s="453"/>
      <c r="EE483" s="453"/>
      <c r="EF483" s="453"/>
      <c r="EG483" s="453"/>
      <c r="EH483" s="453"/>
      <c r="EI483" s="453"/>
      <c r="EJ483" s="453"/>
      <c r="EK483" s="453"/>
      <c r="EL483" s="453"/>
      <c r="EM483" s="483">
        <f t="shared" si="218"/>
        <v>174</v>
      </c>
      <c r="EN483" s="485"/>
      <c r="EO483" s="804"/>
      <c r="EP483" s="805"/>
      <c r="EQ483" s="806"/>
      <c r="ER483" s="808"/>
      <c r="ES483" s="881">
        <f t="shared" si="219"/>
        <v>0</v>
      </c>
      <c r="ET483" s="882"/>
      <c r="EU483" s="883"/>
      <c r="EV483" s="884">
        <f t="shared" si="217"/>
        <v>0</v>
      </c>
      <c r="EW483" s="885"/>
      <c r="EX483" s="885"/>
      <c r="EY483" s="885"/>
      <c r="EZ483" s="885"/>
      <c r="FA483" s="885"/>
      <c r="FB483" s="885"/>
      <c r="FC483" s="885"/>
      <c r="FD483" s="886"/>
      <c r="FE483" s="878"/>
      <c r="FF483" s="878"/>
      <c r="FG483" s="878"/>
      <c r="FH483" s="878"/>
      <c r="FI483" s="878"/>
      <c r="FJ483" s="878"/>
      <c r="FK483" s="878"/>
      <c r="FL483" s="555"/>
      <c r="FM483" s="554"/>
      <c r="FN483" s="554"/>
      <c r="FO483" s="554"/>
      <c r="FP483" s="554"/>
      <c r="FQ483" s="554"/>
      <c r="FR483" s="554"/>
      <c r="FS483" s="554"/>
      <c r="FT483" s="554"/>
      <c r="FU483" s="554"/>
      <c r="FV483" s="554"/>
      <c r="FW483" s="554"/>
      <c r="FX483" s="554"/>
      <c r="FY483" s="554"/>
      <c r="FZ483" s="554"/>
      <c r="GA483" s="554"/>
      <c r="GB483" s="556"/>
      <c r="GC483" s="370"/>
      <c r="GD483" s="453"/>
      <c r="GE483" s="453"/>
      <c r="GF483" s="453"/>
      <c r="GG483" s="453"/>
      <c r="GH483" s="454"/>
      <c r="GI483" s="453"/>
      <c r="GJ483" s="453"/>
      <c r="GK483" s="453"/>
      <c r="GL483" s="453"/>
      <c r="GM483" s="453"/>
      <c r="GN483" s="453"/>
      <c r="GO483" s="453"/>
      <c r="GP483" s="453"/>
      <c r="GQ483" s="453"/>
      <c r="GR483" s="453"/>
      <c r="GS483" s="561"/>
      <c r="GT483" s="475"/>
      <c r="GU483" s="472"/>
      <c r="GV483" s="453"/>
      <c r="GW483" s="453"/>
      <c r="GX483" s="869"/>
      <c r="GY483" s="870"/>
      <c r="GZ483" s="867"/>
      <c r="HA483" s="868"/>
      <c r="HB483" s="473"/>
      <c r="HC483" s="869"/>
      <c r="HD483" s="870"/>
      <c r="HE483" s="867"/>
      <c r="HF483" s="868"/>
      <c r="HG483" s="473"/>
      <c r="HH483" s="867"/>
      <c r="HI483" s="868"/>
      <c r="HJ483" s="867"/>
      <c r="HK483" s="868"/>
      <c r="HL483" s="370"/>
      <c r="HM483" s="865"/>
      <c r="HN483" s="866"/>
      <c r="HO483" s="865"/>
      <c r="HP483" s="866"/>
      <c r="HQ483" s="865"/>
      <c r="HR483" s="866"/>
      <c r="HS483" s="867"/>
      <c r="HT483" s="868"/>
      <c r="HU483" s="489"/>
      <c r="HV483" s="865"/>
      <c r="HW483" s="866"/>
    </row>
    <row r="484" spans="25:231" ht="15" customHeight="1">
      <c r="Y484" s="332"/>
      <c r="Z484" s="332"/>
      <c r="AA484" s="332"/>
      <c r="AB484" s="332"/>
      <c r="AC484" s="332"/>
      <c r="AD484" s="332"/>
      <c r="AE484" s="332"/>
      <c r="AF484" s="332"/>
      <c r="AG484" s="332"/>
      <c r="AH484" s="332"/>
      <c r="AI484" s="332"/>
      <c r="AJ484" s="332"/>
      <c r="AK484" s="332"/>
      <c r="AL484" s="332"/>
      <c r="AM484" s="332"/>
      <c r="AN484" s="332"/>
      <c r="AO484" s="332"/>
      <c r="AP484" s="332"/>
      <c r="AQ484" s="332"/>
      <c r="AR484" s="332"/>
      <c r="AS484" s="332"/>
      <c r="AT484" s="332"/>
      <c r="AU484" s="332"/>
      <c r="AV484" s="332"/>
      <c r="AW484" s="332"/>
      <c r="AX484" s="332"/>
      <c r="AY484" s="332"/>
      <c r="AZ484" s="332"/>
      <c r="BA484" s="332"/>
      <c r="BB484" s="332"/>
      <c r="BC484" s="332"/>
      <c r="BD484" s="332"/>
      <c r="BE484" s="332"/>
      <c r="BF484" s="332"/>
      <c r="BG484" s="332"/>
      <c r="BH484" s="332"/>
      <c r="BI484" s="332"/>
      <c r="BJ484" s="332"/>
      <c r="BK484" s="332"/>
      <c r="BL484" s="332"/>
      <c r="BM484" s="332"/>
      <c r="BN484" s="332"/>
      <c r="BO484" s="332"/>
      <c r="BP484" s="332"/>
      <c r="BQ484" s="332"/>
      <c r="BR484" s="332"/>
      <c r="BS484" s="332"/>
      <c r="BT484" s="332"/>
      <c r="BU484" s="332"/>
      <c r="BV484" s="332"/>
      <c r="BW484" s="332"/>
      <c r="BX484" s="332"/>
      <c r="BY484" s="332"/>
      <c r="BZ484" s="332"/>
      <c r="CA484" s="332"/>
      <c r="CB484" s="332"/>
      <c r="CC484" s="332"/>
      <c r="CD484" s="332"/>
      <c r="CE484" s="332"/>
      <c r="CF484" s="332"/>
      <c r="CG484" s="332"/>
      <c r="CH484" s="332"/>
      <c r="CI484" s="332"/>
      <c r="CJ484" s="332"/>
      <c r="CK484" s="332"/>
      <c r="CL484" s="332"/>
      <c r="CM484" s="332"/>
      <c r="CN484" s="332"/>
      <c r="CO484" s="332"/>
      <c r="CP484" s="332"/>
      <c r="CQ484" s="332"/>
      <c r="CR484" s="332"/>
      <c r="CS484" s="332"/>
      <c r="CT484" s="332"/>
      <c r="CU484" s="332"/>
      <c r="CV484" s="332"/>
      <c r="CW484" s="332"/>
      <c r="CX484" s="332"/>
      <c r="CY484" s="332"/>
      <c r="CZ484" s="332"/>
      <c r="DA484" s="332"/>
      <c r="DB484" s="332"/>
      <c r="DC484" s="332"/>
      <c r="DD484" s="332"/>
      <c r="DE484" s="332"/>
      <c r="DF484" s="332"/>
      <c r="DG484" s="332"/>
      <c r="DH484" s="332"/>
      <c r="DI484" s="332"/>
      <c r="DJ484" s="332"/>
      <c r="DK484" s="332"/>
      <c r="DL484" s="332"/>
      <c r="DM484" s="332"/>
      <c r="DN484" s="332"/>
      <c r="DO484" s="332"/>
      <c r="DP484" s="332"/>
      <c r="DQ484" s="332"/>
      <c r="DR484" s="332"/>
      <c r="DS484" s="332"/>
      <c r="DT484" s="332"/>
      <c r="DU484" s="453"/>
      <c r="DV484" s="453"/>
      <c r="DW484" s="453"/>
      <c r="DX484" s="453"/>
      <c r="DY484" s="453"/>
      <c r="DZ484" s="453"/>
      <c r="EA484" s="453"/>
      <c r="EB484" s="453"/>
      <c r="EC484" s="453"/>
      <c r="ED484" s="453"/>
      <c r="EE484" s="453"/>
      <c r="EF484" s="453"/>
      <c r="EG484" s="453"/>
      <c r="EH484" s="453"/>
      <c r="EI484" s="453"/>
      <c r="EJ484" s="453"/>
      <c r="EK484" s="453"/>
      <c r="EL484" s="453"/>
      <c r="EM484" s="483">
        <f t="shared" si="218"/>
        <v>175</v>
      </c>
      <c r="EN484" s="485"/>
      <c r="EO484" s="804"/>
      <c r="EP484" s="805"/>
      <c r="EQ484" s="806"/>
      <c r="ER484" s="808"/>
      <c r="ES484" s="881">
        <f t="shared" si="219"/>
        <v>0</v>
      </c>
      <c r="ET484" s="882"/>
      <c r="EU484" s="883"/>
      <c r="EV484" s="884">
        <f t="shared" si="217"/>
        <v>0</v>
      </c>
      <c r="EW484" s="885"/>
      <c r="EX484" s="885"/>
      <c r="EY484" s="885"/>
      <c r="EZ484" s="885"/>
      <c r="FA484" s="885"/>
      <c r="FB484" s="885"/>
      <c r="FC484" s="885"/>
      <c r="FD484" s="886"/>
      <c r="FE484" s="878"/>
      <c r="FF484" s="878"/>
      <c r="FG484" s="878"/>
      <c r="FH484" s="878"/>
      <c r="FI484" s="878"/>
      <c r="FJ484" s="878"/>
      <c r="FK484" s="878"/>
      <c r="FL484" s="555"/>
      <c r="FM484" s="554"/>
      <c r="FN484" s="554"/>
      <c r="FO484" s="554"/>
      <c r="FP484" s="554"/>
      <c r="FQ484" s="554"/>
      <c r="FR484" s="554"/>
      <c r="FS484" s="554"/>
      <c r="FT484" s="554"/>
      <c r="FU484" s="554"/>
      <c r="FV484" s="554"/>
      <c r="FW484" s="554"/>
      <c r="FX484" s="554"/>
      <c r="FY484" s="554"/>
      <c r="FZ484" s="554"/>
      <c r="GA484" s="554"/>
      <c r="GB484" s="556"/>
      <c r="GC484" s="370"/>
      <c r="GD484" s="453"/>
      <c r="GE484" s="453"/>
      <c r="GF484" s="453"/>
      <c r="GG484" s="453"/>
      <c r="GH484" s="454"/>
      <c r="GI484" s="453"/>
      <c r="GJ484" s="453"/>
      <c r="GK484" s="453"/>
      <c r="GL484" s="453"/>
      <c r="GM484" s="453"/>
      <c r="GN484" s="453"/>
      <c r="GO484" s="453"/>
      <c r="GP484" s="453"/>
      <c r="GQ484" s="453"/>
      <c r="GR484" s="453"/>
      <c r="GS484" s="561"/>
      <c r="GT484" s="475"/>
      <c r="GU484" s="472"/>
      <c r="GV484" s="453"/>
      <c r="GW484" s="453"/>
      <c r="GX484" s="869"/>
      <c r="GY484" s="870"/>
      <c r="GZ484" s="867"/>
      <c r="HA484" s="868"/>
      <c r="HB484" s="473"/>
      <c r="HC484" s="869"/>
      <c r="HD484" s="870"/>
      <c r="HE484" s="867"/>
      <c r="HF484" s="868"/>
      <c r="HG484" s="473"/>
      <c r="HH484" s="867"/>
      <c r="HI484" s="868"/>
      <c r="HJ484" s="867"/>
      <c r="HK484" s="868"/>
      <c r="HL484" s="370"/>
      <c r="HM484" s="865"/>
      <c r="HN484" s="866"/>
      <c r="HO484" s="865"/>
      <c r="HP484" s="866"/>
      <c r="HQ484" s="865"/>
      <c r="HR484" s="866"/>
      <c r="HS484" s="867"/>
      <c r="HT484" s="868"/>
      <c r="HU484" s="489"/>
      <c r="HV484" s="865"/>
      <c r="HW484" s="866"/>
    </row>
    <row r="485" spans="25:231" ht="15" customHeight="1">
      <c r="Y485" s="332"/>
      <c r="Z485" s="332"/>
      <c r="AA485" s="332"/>
      <c r="AB485" s="332"/>
      <c r="AC485" s="332"/>
      <c r="AD485" s="332"/>
      <c r="AE485" s="332"/>
      <c r="AF485" s="332"/>
      <c r="AG485" s="332"/>
      <c r="AH485" s="332"/>
      <c r="AI485" s="332"/>
      <c r="AJ485" s="332"/>
      <c r="AK485" s="332"/>
      <c r="AL485" s="332"/>
      <c r="AM485" s="332"/>
      <c r="AN485" s="332"/>
      <c r="AO485" s="332"/>
      <c r="AP485" s="332"/>
      <c r="AQ485" s="332"/>
      <c r="AR485" s="332"/>
      <c r="AS485" s="332"/>
      <c r="AT485" s="332"/>
      <c r="AU485" s="332"/>
      <c r="AV485" s="332"/>
      <c r="AW485" s="332"/>
      <c r="AX485" s="332"/>
      <c r="AY485" s="332"/>
      <c r="AZ485" s="332"/>
      <c r="BA485" s="332"/>
      <c r="BB485" s="332"/>
      <c r="BC485" s="332"/>
      <c r="BD485" s="332"/>
      <c r="BE485" s="332"/>
      <c r="BF485" s="332"/>
      <c r="BG485" s="332"/>
      <c r="BH485" s="332"/>
      <c r="BI485" s="332"/>
      <c r="BJ485" s="332"/>
      <c r="BK485" s="332"/>
      <c r="BL485" s="332"/>
      <c r="BM485" s="332"/>
      <c r="BN485" s="332"/>
      <c r="BO485" s="332"/>
      <c r="BP485" s="332"/>
      <c r="BQ485" s="332"/>
      <c r="BR485" s="332"/>
      <c r="BS485" s="332"/>
      <c r="BT485" s="332"/>
      <c r="BU485" s="332"/>
      <c r="BV485" s="332"/>
      <c r="BW485" s="332"/>
      <c r="BX485" s="332"/>
      <c r="BY485" s="332"/>
      <c r="BZ485" s="332"/>
      <c r="CA485" s="332"/>
      <c r="CB485" s="332"/>
      <c r="CC485" s="332"/>
      <c r="CD485" s="332"/>
      <c r="CE485" s="332"/>
      <c r="CF485" s="332"/>
      <c r="CG485" s="332"/>
      <c r="CH485" s="332"/>
      <c r="CI485" s="332"/>
      <c r="CJ485" s="332"/>
      <c r="CK485" s="332"/>
      <c r="CL485" s="332"/>
      <c r="CM485" s="332"/>
      <c r="CN485" s="332"/>
      <c r="CO485" s="332"/>
      <c r="CP485" s="332"/>
      <c r="CQ485" s="332"/>
      <c r="CR485" s="332"/>
      <c r="CS485" s="332"/>
      <c r="CT485" s="332"/>
      <c r="CU485" s="332"/>
      <c r="CV485" s="332"/>
      <c r="CW485" s="332"/>
      <c r="CX485" s="332"/>
      <c r="CY485" s="332"/>
      <c r="CZ485" s="332"/>
      <c r="DA485" s="332"/>
      <c r="DB485" s="332"/>
      <c r="DC485" s="332"/>
      <c r="DD485" s="332"/>
      <c r="DE485" s="332"/>
      <c r="DF485" s="332"/>
      <c r="DG485" s="332"/>
      <c r="DH485" s="332"/>
      <c r="DI485" s="332"/>
      <c r="DJ485" s="332"/>
      <c r="DK485" s="332"/>
      <c r="DL485" s="332"/>
      <c r="DM485" s="332"/>
      <c r="DN485" s="332"/>
      <c r="DO485" s="332"/>
      <c r="DP485" s="332"/>
      <c r="DQ485" s="332"/>
      <c r="DR485" s="332"/>
      <c r="DS485" s="332"/>
      <c r="DT485" s="332"/>
      <c r="DU485" s="453"/>
      <c r="DV485" s="453"/>
      <c r="DW485" s="453"/>
      <c r="DX485" s="453"/>
      <c r="DY485" s="453"/>
      <c r="DZ485" s="453"/>
      <c r="EA485" s="453"/>
      <c r="EB485" s="453"/>
      <c r="EC485" s="453"/>
      <c r="ED485" s="453"/>
      <c r="EE485" s="453"/>
      <c r="EF485" s="453"/>
      <c r="EG485" s="453"/>
      <c r="EH485" s="453"/>
      <c r="EI485" s="453"/>
      <c r="EJ485" s="453"/>
      <c r="EK485" s="453"/>
      <c r="EL485" s="453"/>
      <c r="EM485" s="483">
        <f t="shared" si="218"/>
        <v>176</v>
      </c>
      <c r="EN485" s="485"/>
      <c r="EO485" s="804"/>
      <c r="EP485" s="805"/>
      <c r="EQ485" s="806"/>
      <c r="ER485" s="808"/>
      <c r="ES485" s="881">
        <f t="shared" si="219"/>
        <v>0</v>
      </c>
      <c r="ET485" s="882"/>
      <c r="EU485" s="883"/>
      <c r="EV485" s="884">
        <f t="shared" si="217"/>
        <v>0</v>
      </c>
      <c r="EW485" s="885"/>
      <c r="EX485" s="885"/>
      <c r="EY485" s="885"/>
      <c r="EZ485" s="885"/>
      <c r="FA485" s="885"/>
      <c r="FB485" s="885"/>
      <c r="FC485" s="885"/>
      <c r="FD485" s="886"/>
      <c r="FE485" s="878"/>
      <c r="FF485" s="878"/>
      <c r="FG485" s="878"/>
      <c r="FH485" s="878"/>
      <c r="FI485" s="878"/>
      <c r="FJ485" s="878"/>
      <c r="FK485" s="878"/>
      <c r="FL485" s="555"/>
      <c r="FM485" s="554"/>
      <c r="FN485" s="554"/>
      <c r="FO485" s="554"/>
      <c r="FP485" s="554"/>
      <c r="FQ485" s="554"/>
      <c r="FR485" s="554"/>
      <c r="FS485" s="554"/>
      <c r="FT485" s="554"/>
      <c r="FU485" s="554"/>
      <c r="FV485" s="554"/>
      <c r="FW485" s="554"/>
      <c r="FX485" s="554"/>
      <c r="FY485" s="554"/>
      <c r="FZ485" s="554"/>
      <c r="GA485" s="554"/>
      <c r="GB485" s="556"/>
      <c r="GC485" s="370"/>
      <c r="GD485" s="453"/>
      <c r="GE485" s="453"/>
      <c r="GF485" s="453"/>
      <c r="GG485" s="453"/>
      <c r="GH485" s="454"/>
      <c r="GI485" s="453"/>
      <c r="GJ485" s="453"/>
      <c r="GK485" s="453"/>
      <c r="GL485" s="453"/>
      <c r="GM485" s="453"/>
      <c r="GN485" s="453"/>
      <c r="GO485" s="453"/>
      <c r="GP485" s="453"/>
      <c r="GQ485" s="453"/>
      <c r="GR485" s="453"/>
      <c r="GS485" s="561"/>
      <c r="GT485" s="475"/>
      <c r="GU485" s="472"/>
      <c r="GV485" s="453"/>
      <c r="GW485" s="453"/>
      <c r="GX485" s="869"/>
      <c r="GY485" s="870"/>
      <c r="GZ485" s="867"/>
      <c r="HA485" s="868"/>
      <c r="HB485" s="473"/>
      <c r="HC485" s="869"/>
      <c r="HD485" s="870"/>
      <c r="HE485" s="867"/>
      <c r="HF485" s="868"/>
      <c r="HG485" s="473"/>
      <c r="HH485" s="867"/>
      <c r="HI485" s="868"/>
      <c r="HJ485" s="867"/>
      <c r="HK485" s="868"/>
      <c r="HL485" s="370"/>
      <c r="HM485" s="865"/>
      <c r="HN485" s="866"/>
      <c r="HO485" s="865"/>
      <c r="HP485" s="866"/>
      <c r="HQ485" s="865"/>
      <c r="HR485" s="866"/>
      <c r="HS485" s="867"/>
      <c r="HT485" s="868"/>
      <c r="HU485" s="489"/>
      <c r="HV485" s="865"/>
      <c r="HW485" s="866"/>
    </row>
    <row r="486" spans="25:231" ht="15" customHeight="1">
      <c r="Y486" s="332"/>
      <c r="Z486" s="332"/>
      <c r="AA486" s="332"/>
      <c r="AB486" s="332"/>
      <c r="AC486" s="332"/>
      <c r="AD486" s="332"/>
      <c r="AE486" s="332"/>
      <c r="AF486" s="332"/>
      <c r="AG486" s="332"/>
      <c r="AH486" s="332"/>
      <c r="AI486" s="332"/>
      <c r="AJ486" s="332"/>
      <c r="AK486" s="332"/>
      <c r="AL486" s="332"/>
      <c r="AM486" s="332"/>
      <c r="AN486" s="332"/>
      <c r="AO486" s="332"/>
      <c r="AP486" s="332"/>
      <c r="AQ486" s="332"/>
      <c r="AR486" s="332"/>
      <c r="AS486" s="332"/>
      <c r="AT486" s="332"/>
      <c r="AU486" s="332"/>
      <c r="AV486" s="332"/>
      <c r="AW486" s="332"/>
      <c r="AX486" s="332"/>
      <c r="AY486" s="332"/>
      <c r="AZ486" s="332"/>
      <c r="BA486" s="332"/>
      <c r="BB486" s="332"/>
      <c r="BC486" s="332"/>
      <c r="BD486" s="332"/>
      <c r="BE486" s="332"/>
      <c r="BF486" s="332"/>
      <c r="BG486" s="332"/>
      <c r="BH486" s="332"/>
      <c r="BI486" s="332"/>
      <c r="BJ486" s="332"/>
      <c r="BK486" s="332"/>
      <c r="BL486" s="332"/>
      <c r="BM486" s="332"/>
      <c r="BN486" s="332"/>
      <c r="BO486" s="332"/>
      <c r="BP486" s="332"/>
      <c r="BQ486" s="332"/>
      <c r="BR486" s="332"/>
      <c r="BS486" s="332"/>
      <c r="BT486" s="332"/>
      <c r="BU486" s="332"/>
      <c r="BV486" s="332"/>
      <c r="BW486" s="332"/>
      <c r="BX486" s="332"/>
      <c r="BY486" s="332"/>
      <c r="BZ486" s="332"/>
      <c r="CA486" s="332"/>
      <c r="CB486" s="332"/>
      <c r="CC486" s="332"/>
      <c r="CD486" s="332"/>
      <c r="CE486" s="332"/>
      <c r="CF486" s="332"/>
      <c r="CG486" s="332"/>
      <c r="CH486" s="332"/>
      <c r="CI486" s="332"/>
      <c r="CJ486" s="332"/>
      <c r="CK486" s="332"/>
      <c r="CL486" s="332"/>
      <c r="CM486" s="332"/>
      <c r="CN486" s="332"/>
      <c r="CO486" s="332"/>
      <c r="CP486" s="332"/>
      <c r="CQ486" s="332"/>
      <c r="CR486" s="332"/>
      <c r="CS486" s="332"/>
      <c r="CT486" s="332"/>
      <c r="CU486" s="332"/>
      <c r="CV486" s="332"/>
      <c r="CW486" s="332"/>
      <c r="CX486" s="332"/>
      <c r="CY486" s="332"/>
      <c r="CZ486" s="332"/>
      <c r="DA486" s="332"/>
      <c r="DB486" s="332"/>
      <c r="DC486" s="332"/>
      <c r="DD486" s="332"/>
      <c r="DE486" s="332"/>
      <c r="DF486" s="332"/>
      <c r="DG486" s="332"/>
      <c r="DH486" s="332"/>
      <c r="DI486" s="332"/>
      <c r="DJ486" s="332"/>
      <c r="DK486" s="332"/>
      <c r="DL486" s="332"/>
      <c r="DM486" s="332"/>
      <c r="DN486" s="332"/>
      <c r="DO486" s="332"/>
      <c r="DP486" s="332"/>
      <c r="DQ486" s="332"/>
      <c r="DR486" s="332"/>
      <c r="DS486" s="332"/>
      <c r="DT486" s="332"/>
      <c r="DU486" s="453"/>
      <c r="DV486" s="453"/>
      <c r="DW486" s="453"/>
      <c r="DX486" s="453"/>
      <c r="DY486" s="453"/>
      <c r="DZ486" s="453"/>
      <c r="EA486" s="453"/>
      <c r="EB486" s="453"/>
      <c r="EC486" s="453"/>
      <c r="ED486" s="453"/>
      <c r="EE486" s="453"/>
      <c r="EF486" s="453"/>
      <c r="EG486" s="453"/>
      <c r="EH486" s="453"/>
      <c r="EI486" s="453"/>
      <c r="EJ486" s="453"/>
      <c r="EK486" s="453"/>
      <c r="EL486" s="453"/>
      <c r="EM486" s="483">
        <f t="shared" si="218"/>
        <v>177</v>
      </c>
      <c r="EN486" s="485"/>
      <c r="EO486" s="804"/>
      <c r="EP486" s="805"/>
      <c r="EQ486" s="806"/>
      <c r="ER486" s="808"/>
      <c r="ES486" s="881">
        <f t="shared" si="219"/>
        <v>0</v>
      </c>
      <c r="ET486" s="882"/>
      <c r="EU486" s="883"/>
      <c r="EV486" s="884">
        <f t="shared" si="217"/>
        <v>0</v>
      </c>
      <c r="EW486" s="885"/>
      <c r="EX486" s="885"/>
      <c r="EY486" s="885"/>
      <c r="EZ486" s="885"/>
      <c r="FA486" s="885"/>
      <c r="FB486" s="885"/>
      <c r="FC486" s="885"/>
      <c r="FD486" s="886"/>
      <c r="FE486" s="878"/>
      <c r="FF486" s="878"/>
      <c r="FG486" s="878"/>
      <c r="FH486" s="878"/>
      <c r="FI486" s="878"/>
      <c r="FJ486" s="878"/>
      <c r="FK486" s="878"/>
      <c r="FL486" s="555"/>
      <c r="FM486" s="554"/>
      <c r="FN486" s="554"/>
      <c r="FO486" s="554"/>
      <c r="FP486" s="554"/>
      <c r="FQ486" s="554"/>
      <c r="FR486" s="554"/>
      <c r="FS486" s="554"/>
      <c r="FT486" s="554"/>
      <c r="FU486" s="554"/>
      <c r="FV486" s="554"/>
      <c r="FW486" s="554"/>
      <c r="FX486" s="554"/>
      <c r="FY486" s="554"/>
      <c r="FZ486" s="554"/>
      <c r="GA486" s="554"/>
      <c r="GB486" s="556"/>
      <c r="GC486" s="370"/>
      <c r="GD486" s="453"/>
      <c r="GE486" s="453"/>
      <c r="GF486" s="453"/>
      <c r="GG486" s="453"/>
      <c r="GH486" s="454"/>
      <c r="GI486" s="453"/>
      <c r="GJ486" s="453"/>
      <c r="GK486" s="453"/>
      <c r="GL486" s="453"/>
      <c r="GM486" s="453"/>
      <c r="GN486" s="453"/>
      <c r="GO486" s="453"/>
      <c r="GP486" s="453"/>
      <c r="GQ486" s="453"/>
      <c r="GR486" s="453"/>
      <c r="GS486" s="561"/>
      <c r="GT486" s="475"/>
      <c r="GU486" s="472"/>
      <c r="GV486" s="453"/>
      <c r="GW486" s="453"/>
      <c r="GX486" s="869"/>
      <c r="GY486" s="870"/>
      <c r="GZ486" s="867"/>
      <c r="HA486" s="868"/>
      <c r="HB486" s="473"/>
      <c r="HC486" s="869"/>
      <c r="HD486" s="870"/>
      <c r="HE486" s="867"/>
      <c r="HF486" s="868"/>
      <c r="HG486" s="473"/>
      <c r="HH486" s="867"/>
      <c r="HI486" s="868"/>
      <c r="HJ486" s="867"/>
      <c r="HK486" s="868"/>
      <c r="HL486" s="370"/>
      <c r="HM486" s="865"/>
      <c r="HN486" s="866"/>
      <c r="HO486" s="865"/>
      <c r="HP486" s="866"/>
      <c r="HQ486" s="865"/>
      <c r="HR486" s="866"/>
      <c r="HS486" s="867"/>
      <c r="HT486" s="868"/>
      <c r="HU486" s="489"/>
      <c r="HV486" s="865"/>
      <c r="HW486" s="866"/>
    </row>
    <row r="487" spans="25:231" ht="15" customHeight="1">
      <c r="Y487" s="332"/>
      <c r="Z487" s="332"/>
      <c r="AA487" s="332"/>
      <c r="AB487" s="332"/>
      <c r="AC487" s="332"/>
      <c r="AD487" s="332"/>
      <c r="AE487" s="332"/>
      <c r="AF487" s="332"/>
      <c r="AG487" s="332"/>
      <c r="AH487" s="332"/>
      <c r="AI487" s="332"/>
      <c r="AJ487" s="332"/>
      <c r="AK487" s="332"/>
      <c r="AL487" s="332"/>
      <c r="AM487" s="332"/>
      <c r="AN487" s="332"/>
      <c r="AO487" s="332"/>
      <c r="AP487" s="332"/>
      <c r="AQ487" s="332"/>
      <c r="AR487" s="332"/>
      <c r="AS487" s="332"/>
      <c r="AT487" s="332"/>
      <c r="AU487" s="332"/>
      <c r="AV487" s="332"/>
      <c r="AW487" s="332"/>
      <c r="AX487" s="332"/>
      <c r="AY487" s="332"/>
      <c r="AZ487" s="332"/>
      <c r="BA487" s="332"/>
      <c r="BB487" s="332"/>
      <c r="BC487" s="332"/>
      <c r="BD487" s="332"/>
      <c r="BE487" s="332"/>
      <c r="BF487" s="332"/>
      <c r="BG487" s="332"/>
      <c r="BH487" s="332"/>
      <c r="BI487" s="332"/>
      <c r="BJ487" s="332"/>
      <c r="BK487" s="332"/>
      <c r="BL487" s="332"/>
      <c r="BM487" s="332"/>
      <c r="BN487" s="332"/>
      <c r="BO487" s="332"/>
      <c r="BP487" s="332"/>
      <c r="BQ487" s="332"/>
      <c r="BR487" s="332"/>
      <c r="BS487" s="332"/>
      <c r="BT487" s="332"/>
      <c r="BU487" s="332"/>
      <c r="BV487" s="332"/>
      <c r="BW487" s="332"/>
      <c r="BX487" s="332"/>
      <c r="BY487" s="332"/>
      <c r="BZ487" s="332"/>
      <c r="CA487" s="332"/>
      <c r="CB487" s="332"/>
      <c r="CC487" s="332"/>
      <c r="CD487" s="332"/>
      <c r="CE487" s="332"/>
      <c r="CF487" s="332"/>
      <c r="CG487" s="332"/>
      <c r="CH487" s="332"/>
      <c r="CI487" s="332"/>
      <c r="CJ487" s="332"/>
      <c r="CK487" s="332"/>
      <c r="CL487" s="332"/>
      <c r="CM487" s="332"/>
      <c r="CN487" s="332"/>
      <c r="CO487" s="332"/>
      <c r="CP487" s="332"/>
      <c r="CQ487" s="332"/>
      <c r="CR487" s="332"/>
      <c r="CS487" s="332"/>
      <c r="CT487" s="332"/>
      <c r="CU487" s="332"/>
      <c r="CV487" s="332"/>
      <c r="CW487" s="332"/>
      <c r="CX487" s="332"/>
      <c r="CY487" s="332"/>
      <c r="CZ487" s="332"/>
      <c r="DA487" s="332"/>
      <c r="DB487" s="332"/>
      <c r="DC487" s="332"/>
      <c r="DD487" s="332"/>
      <c r="DE487" s="332"/>
      <c r="DF487" s="332"/>
      <c r="DG487" s="332"/>
      <c r="DH487" s="332"/>
      <c r="DI487" s="332"/>
      <c r="DJ487" s="332"/>
      <c r="DK487" s="332"/>
      <c r="DL487" s="332"/>
      <c r="DM487" s="332"/>
      <c r="DN487" s="332"/>
      <c r="DO487" s="332"/>
      <c r="DP487" s="332"/>
      <c r="DQ487" s="332"/>
      <c r="DR487" s="332"/>
      <c r="DS487" s="332"/>
      <c r="DT487" s="332"/>
      <c r="DU487" s="453"/>
      <c r="DV487" s="453"/>
      <c r="DW487" s="453"/>
      <c r="DX487" s="453"/>
      <c r="DY487" s="453"/>
      <c r="DZ487" s="453"/>
      <c r="EA487" s="453"/>
      <c r="EB487" s="453"/>
      <c r="EC487" s="453"/>
      <c r="ED487" s="453"/>
      <c r="EE487" s="453"/>
      <c r="EF487" s="453"/>
      <c r="EG487" s="453"/>
      <c r="EH487" s="453"/>
      <c r="EI487" s="453"/>
      <c r="EJ487" s="453"/>
      <c r="EK487" s="453"/>
      <c r="EL487" s="453"/>
      <c r="EM487" s="483">
        <f t="shared" si="218"/>
        <v>178</v>
      </c>
      <c r="EN487" s="485"/>
      <c r="EO487" s="804"/>
      <c r="EP487" s="805"/>
      <c r="EQ487" s="826"/>
      <c r="ER487" s="808"/>
      <c r="ES487" s="881">
        <f t="shared" si="219"/>
        <v>0</v>
      </c>
      <c r="ET487" s="882"/>
      <c r="EU487" s="883"/>
      <c r="EV487" s="884">
        <f t="shared" si="217"/>
        <v>0</v>
      </c>
      <c r="EW487" s="885"/>
      <c r="EX487" s="885"/>
      <c r="EY487" s="885"/>
      <c r="EZ487" s="885"/>
      <c r="FA487" s="885"/>
      <c r="FB487" s="885"/>
      <c r="FC487" s="885"/>
      <c r="FD487" s="886"/>
      <c r="FE487" s="878"/>
      <c r="FF487" s="878"/>
      <c r="FG487" s="878"/>
      <c r="FH487" s="878"/>
      <c r="FI487" s="878"/>
      <c r="FJ487" s="878"/>
      <c r="FK487" s="878"/>
      <c r="FL487" s="555"/>
      <c r="FM487" s="554"/>
      <c r="FN487" s="554"/>
      <c r="FO487" s="554"/>
      <c r="FP487" s="554"/>
      <c r="FQ487" s="554"/>
      <c r="FR487" s="554"/>
      <c r="FS487" s="554"/>
      <c r="FT487" s="554"/>
      <c r="FU487" s="554"/>
      <c r="FV487" s="554"/>
      <c r="FW487" s="554"/>
      <c r="FX487" s="554"/>
      <c r="FY487" s="554"/>
      <c r="FZ487" s="554"/>
      <c r="GA487" s="554"/>
      <c r="GB487" s="556"/>
      <c r="GC487" s="370"/>
      <c r="GD487" s="453"/>
      <c r="GE487" s="453"/>
      <c r="GF487" s="453"/>
      <c r="GG487" s="453"/>
      <c r="GH487" s="454"/>
      <c r="GI487" s="453"/>
      <c r="GJ487" s="453"/>
      <c r="GK487" s="453"/>
      <c r="GL487" s="453"/>
      <c r="GM487" s="453"/>
      <c r="GN487" s="453"/>
      <c r="GO487" s="453"/>
      <c r="GP487" s="453"/>
      <c r="GQ487" s="453"/>
      <c r="GR487" s="453"/>
      <c r="GS487" s="561"/>
      <c r="GT487" s="475"/>
      <c r="GU487" s="472"/>
      <c r="GV487" s="453"/>
      <c r="GW487" s="453"/>
      <c r="GX487" s="869"/>
      <c r="GY487" s="870"/>
      <c r="GZ487" s="867"/>
      <c r="HA487" s="868"/>
      <c r="HB487" s="473"/>
      <c r="HC487" s="869"/>
      <c r="HD487" s="870"/>
      <c r="HE487" s="867"/>
      <c r="HF487" s="868"/>
      <c r="HG487" s="473"/>
      <c r="HH487" s="867"/>
      <c r="HI487" s="868"/>
      <c r="HJ487" s="867"/>
      <c r="HK487" s="868"/>
      <c r="HL487" s="370"/>
      <c r="HM487" s="865"/>
      <c r="HN487" s="866"/>
      <c r="HO487" s="865"/>
      <c r="HP487" s="866"/>
      <c r="HQ487" s="865"/>
      <c r="HR487" s="866"/>
      <c r="HS487" s="867"/>
      <c r="HT487" s="868"/>
      <c r="HU487" s="489"/>
      <c r="HV487" s="865"/>
      <c r="HW487" s="866"/>
    </row>
    <row r="488" spans="25:231" ht="15" customHeight="1">
      <c r="Y488" s="332"/>
      <c r="Z488" s="332"/>
      <c r="AA488" s="332"/>
      <c r="AB488" s="332"/>
      <c r="AC488" s="332"/>
      <c r="AD488" s="332"/>
      <c r="AE488" s="332"/>
      <c r="AF488" s="332"/>
      <c r="AG488" s="332"/>
      <c r="AH488" s="332"/>
      <c r="AI488" s="332"/>
      <c r="AJ488" s="332"/>
      <c r="AK488" s="332"/>
      <c r="AL488" s="332"/>
      <c r="AM488" s="332"/>
      <c r="AN488" s="332"/>
      <c r="AO488" s="332"/>
      <c r="AP488" s="332"/>
      <c r="AQ488" s="332"/>
      <c r="AR488" s="332"/>
      <c r="AS488" s="332"/>
      <c r="AT488" s="332"/>
      <c r="AU488" s="332"/>
      <c r="AV488" s="332"/>
      <c r="AW488" s="332"/>
      <c r="AX488" s="332"/>
      <c r="AY488" s="332"/>
      <c r="AZ488" s="332"/>
      <c r="BA488" s="332"/>
      <c r="BB488" s="332"/>
      <c r="BC488" s="332"/>
      <c r="BD488" s="332"/>
      <c r="BE488" s="332"/>
      <c r="BF488" s="332"/>
      <c r="BG488" s="332"/>
      <c r="BH488" s="332"/>
      <c r="BI488" s="332"/>
      <c r="BJ488" s="332"/>
      <c r="BK488" s="332"/>
      <c r="BL488" s="332"/>
      <c r="BM488" s="332"/>
      <c r="BN488" s="332"/>
      <c r="BO488" s="332"/>
      <c r="BP488" s="332"/>
      <c r="BQ488" s="332"/>
      <c r="BR488" s="332"/>
      <c r="BS488" s="332"/>
      <c r="BT488" s="332"/>
      <c r="BU488" s="332"/>
      <c r="BV488" s="332"/>
      <c r="BW488" s="332"/>
      <c r="BX488" s="332"/>
      <c r="BY488" s="332"/>
      <c r="BZ488" s="332"/>
      <c r="CA488" s="332"/>
      <c r="CB488" s="332"/>
      <c r="CC488" s="332"/>
      <c r="CD488" s="332"/>
      <c r="CE488" s="332"/>
      <c r="CF488" s="332"/>
      <c r="CG488" s="332"/>
      <c r="CH488" s="332"/>
      <c r="CI488" s="332"/>
      <c r="CJ488" s="332"/>
      <c r="CK488" s="332"/>
      <c r="CL488" s="332"/>
      <c r="CM488" s="332"/>
      <c r="CN488" s="332"/>
      <c r="CO488" s="332"/>
      <c r="CP488" s="332"/>
      <c r="CQ488" s="332"/>
      <c r="CR488" s="332"/>
      <c r="CS488" s="332"/>
      <c r="CT488" s="332"/>
      <c r="CU488" s="332"/>
      <c r="CV488" s="332"/>
      <c r="CW488" s="332"/>
      <c r="CX488" s="332"/>
      <c r="CY488" s="332"/>
      <c r="CZ488" s="332"/>
      <c r="DA488" s="332"/>
      <c r="DB488" s="332"/>
      <c r="DC488" s="332"/>
      <c r="DD488" s="332"/>
      <c r="DE488" s="332"/>
      <c r="DF488" s="332"/>
      <c r="DG488" s="332"/>
      <c r="DH488" s="332"/>
      <c r="DI488" s="332"/>
      <c r="DJ488" s="332"/>
      <c r="DK488" s="332"/>
      <c r="DL488" s="332"/>
      <c r="DM488" s="332"/>
      <c r="DN488" s="332"/>
      <c r="DO488" s="332"/>
      <c r="DP488" s="332"/>
      <c r="DQ488" s="332"/>
      <c r="DR488" s="332"/>
      <c r="DS488" s="332"/>
      <c r="DT488" s="332"/>
      <c r="DU488" s="453"/>
      <c r="DV488" s="453"/>
      <c r="DW488" s="453"/>
      <c r="DX488" s="453"/>
      <c r="DY488" s="453"/>
      <c r="DZ488" s="453"/>
      <c r="EA488" s="453"/>
      <c r="EB488" s="453"/>
      <c r="EC488" s="453"/>
      <c r="ED488" s="453"/>
      <c r="EE488" s="453"/>
      <c r="EF488" s="453"/>
      <c r="EG488" s="453"/>
      <c r="EH488" s="453"/>
      <c r="EI488" s="453"/>
      <c r="EJ488" s="453"/>
      <c r="EK488" s="453"/>
      <c r="EL488" s="453"/>
      <c r="EM488" s="483">
        <f t="shared" si="218"/>
        <v>179</v>
      </c>
      <c r="EN488" s="485"/>
      <c r="EO488" s="804"/>
      <c r="EP488" s="805"/>
      <c r="EQ488" s="806"/>
      <c r="ER488" s="808"/>
      <c r="ES488" s="881">
        <f t="shared" si="219"/>
        <v>0</v>
      </c>
      <c r="ET488" s="882"/>
      <c r="EU488" s="883"/>
      <c r="EV488" s="884">
        <f t="shared" si="217"/>
        <v>0</v>
      </c>
      <c r="EW488" s="885"/>
      <c r="EX488" s="885"/>
      <c r="EY488" s="885"/>
      <c r="EZ488" s="885"/>
      <c r="FA488" s="885"/>
      <c r="FB488" s="885"/>
      <c r="FC488" s="885"/>
      <c r="FD488" s="886"/>
      <c r="FE488" s="878"/>
      <c r="FF488" s="878"/>
      <c r="FG488" s="878"/>
      <c r="FH488" s="878"/>
      <c r="FI488" s="878"/>
      <c r="FJ488" s="878"/>
      <c r="FK488" s="878"/>
      <c r="FL488" s="555"/>
      <c r="FM488" s="554"/>
      <c r="FN488" s="554"/>
      <c r="FO488" s="554"/>
      <c r="FP488" s="554"/>
      <c r="FQ488" s="554"/>
      <c r="FR488" s="554"/>
      <c r="FS488" s="554"/>
      <c r="FT488" s="554"/>
      <c r="FU488" s="554"/>
      <c r="FV488" s="554"/>
      <c r="FW488" s="554"/>
      <c r="FX488" s="554"/>
      <c r="FY488" s="554"/>
      <c r="FZ488" s="554"/>
      <c r="GA488" s="554"/>
      <c r="GB488" s="556"/>
      <c r="GC488" s="370"/>
      <c r="GD488" s="453"/>
      <c r="GE488" s="453"/>
      <c r="GF488" s="453"/>
      <c r="GG488" s="453"/>
      <c r="GH488" s="454"/>
      <c r="GI488" s="453"/>
      <c r="GJ488" s="453"/>
      <c r="GK488" s="453"/>
      <c r="GL488" s="453"/>
      <c r="GM488" s="453"/>
      <c r="GN488" s="453"/>
      <c r="GO488" s="453"/>
      <c r="GP488" s="453"/>
      <c r="GQ488" s="453"/>
      <c r="GR488" s="453"/>
      <c r="GS488" s="561"/>
      <c r="GT488" s="475"/>
      <c r="GU488" s="472"/>
      <c r="GV488" s="453"/>
      <c r="GW488" s="453"/>
      <c r="GX488" s="869"/>
      <c r="GY488" s="870"/>
      <c r="GZ488" s="867"/>
      <c r="HA488" s="868"/>
      <c r="HB488" s="473"/>
      <c r="HC488" s="869"/>
      <c r="HD488" s="870"/>
      <c r="HE488" s="867"/>
      <c r="HF488" s="868"/>
      <c r="HG488" s="473"/>
      <c r="HH488" s="867"/>
      <c r="HI488" s="868"/>
      <c r="HJ488" s="867"/>
      <c r="HK488" s="868"/>
      <c r="HL488" s="370"/>
      <c r="HM488" s="865"/>
      <c r="HN488" s="866"/>
      <c r="HO488" s="865"/>
      <c r="HP488" s="866"/>
      <c r="HQ488" s="865"/>
      <c r="HR488" s="866"/>
      <c r="HS488" s="867"/>
      <c r="HT488" s="868"/>
      <c r="HU488" s="489"/>
      <c r="HV488" s="865"/>
      <c r="HW488" s="866"/>
    </row>
    <row r="489" spans="25:231" ht="15" customHeight="1">
      <c r="Y489" s="332"/>
      <c r="Z489" s="332"/>
      <c r="AA489" s="332"/>
      <c r="AB489" s="332"/>
      <c r="AC489" s="332"/>
      <c r="AD489" s="332"/>
      <c r="AE489" s="332"/>
      <c r="AF489" s="332"/>
      <c r="AG489" s="332"/>
      <c r="AH489" s="332"/>
      <c r="AI489" s="332"/>
      <c r="AJ489" s="332"/>
      <c r="AK489" s="332"/>
      <c r="AL489" s="332"/>
      <c r="AM489" s="332"/>
      <c r="AN489" s="332"/>
      <c r="AO489" s="332"/>
      <c r="AP489" s="332"/>
      <c r="AQ489" s="332"/>
      <c r="AR489" s="332"/>
      <c r="AS489" s="332"/>
      <c r="AT489" s="332"/>
      <c r="AU489" s="332"/>
      <c r="AV489" s="332"/>
      <c r="AW489" s="332"/>
      <c r="AX489" s="332"/>
      <c r="AY489" s="332"/>
      <c r="AZ489" s="332"/>
      <c r="BA489" s="332"/>
      <c r="BB489" s="332"/>
      <c r="BC489" s="332"/>
      <c r="BD489" s="332"/>
      <c r="BE489" s="332"/>
      <c r="BF489" s="332"/>
      <c r="BG489" s="332"/>
      <c r="BH489" s="332"/>
      <c r="BI489" s="332"/>
      <c r="BJ489" s="332"/>
      <c r="BK489" s="332"/>
      <c r="BL489" s="332"/>
      <c r="BM489" s="332"/>
      <c r="BN489" s="332"/>
      <c r="BO489" s="332"/>
      <c r="BP489" s="332"/>
      <c r="BQ489" s="332"/>
      <c r="BR489" s="332"/>
      <c r="BS489" s="332"/>
      <c r="BT489" s="332"/>
      <c r="BU489" s="332"/>
      <c r="BV489" s="332"/>
      <c r="BW489" s="332"/>
      <c r="BX489" s="332"/>
      <c r="BY489" s="332"/>
      <c r="BZ489" s="332"/>
      <c r="CA489" s="332"/>
      <c r="CB489" s="332"/>
      <c r="CC489" s="332"/>
      <c r="CD489" s="332"/>
      <c r="CE489" s="332"/>
      <c r="CF489" s="332"/>
      <c r="CG489" s="332"/>
      <c r="CH489" s="332"/>
      <c r="CI489" s="332"/>
      <c r="CJ489" s="332"/>
      <c r="CK489" s="332"/>
      <c r="CL489" s="332"/>
      <c r="CM489" s="332"/>
      <c r="CN489" s="332"/>
      <c r="CO489" s="332"/>
      <c r="CP489" s="332"/>
      <c r="CQ489" s="332"/>
      <c r="CR489" s="332"/>
      <c r="CS489" s="332"/>
      <c r="CT489" s="332"/>
      <c r="CU489" s="332"/>
      <c r="CV489" s="332"/>
      <c r="CW489" s="332"/>
      <c r="CX489" s="332"/>
      <c r="CY489" s="332"/>
      <c r="CZ489" s="332"/>
      <c r="DA489" s="332"/>
      <c r="DB489" s="332"/>
      <c r="DC489" s="332"/>
      <c r="DD489" s="332"/>
      <c r="DE489" s="332"/>
      <c r="DF489" s="332"/>
      <c r="DG489" s="332"/>
      <c r="DH489" s="332"/>
      <c r="DI489" s="332"/>
      <c r="DJ489" s="332"/>
      <c r="DK489" s="332"/>
      <c r="DL489" s="332"/>
      <c r="DM489" s="332"/>
      <c r="DN489" s="332"/>
      <c r="DO489" s="332"/>
      <c r="DP489" s="332"/>
      <c r="DQ489" s="332"/>
      <c r="DR489" s="332"/>
      <c r="DS489" s="332"/>
      <c r="DT489" s="332"/>
      <c r="DU489" s="453"/>
      <c r="DV489" s="453"/>
      <c r="DW489" s="453"/>
      <c r="DX489" s="453"/>
      <c r="DY489" s="453"/>
      <c r="DZ489" s="453"/>
      <c r="EA489" s="453"/>
      <c r="EB489" s="453"/>
      <c r="EC489" s="453"/>
      <c r="ED489" s="453"/>
      <c r="EE489" s="453"/>
      <c r="EF489" s="453"/>
      <c r="EG489" s="453"/>
      <c r="EH489" s="453"/>
      <c r="EI489" s="453"/>
      <c r="EJ489" s="453"/>
      <c r="EK489" s="453"/>
      <c r="EL489" s="453"/>
      <c r="EM489" s="483">
        <f t="shared" si="218"/>
        <v>180</v>
      </c>
      <c r="EN489" s="485"/>
      <c r="EO489" s="804"/>
      <c r="EP489" s="805"/>
      <c r="EQ489" s="826"/>
      <c r="ER489" s="808"/>
      <c r="ES489" s="881">
        <f t="shared" si="219"/>
        <v>0</v>
      </c>
      <c r="ET489" s="882"/>
      <c r="EU489" s="883"/>
      <c r="EV489" s="884">
        <f t="shared" si="217"/>
        <v>0</v>
      </c>
      <c r="EW489" s="885"/>
      <c r="EX489" s="885"/>
      <c r="EY489" s="885"/>
      <c r="EZ489" s="885"/>
      <c r="FA489" s="885"/>
      <c r="FB489" s="885"/>
      <c r="FC489" s="885"/>
      <c r="FD489" s="886"/>
      <c r="FE489" s="878"/>
      <c r="FF489" s="878"/>
      <c r="FG489" s="878"/>
      <c r="FH489" s="878"/>
      <c r="FI489" s="878"/>
      <c r="FJ489" s="878"/>
      <c r="FK489" s="878"/>
      <c r="FL489" s="555"/>
      <c r="FM489" s="554"/>
      <c r="FN489" s="554"/>
      <c r="FO489" s="554"/>
      <c r="FP489" s="554"/>
      <c r="FQ489" s="554"/>
      <c r="FR489" s="554"/>
      <c r="FS489" s="554"/>
      <c r="FT489" s="554"/>
      <c r="FU489" s="554"/>
      <c r="FV489" s="554"/>
      <c r="FW489" s="554"/>
      <c r="FX489" s="554"/>
      <c r="FY489" s="554"/>
      <c r="FZ489" s="554"/>
      <c r="GA489" s="554"/>
      <c r="GB489" s="556"/>
      <c r="GC489" s="370"/>
      <c r="GD489" s="453"/>
      <c r="GE489" s="453"/>
      <c r="GF489" s="453"/>
      <c r="GG489" s="453"/>
      <c r="GH489" s="454"/>
      <c r="GI489" s="453"/>
      <c r="GJ489" s="453"/>
      <c r="GK489" s="453"/>
      <c r="GL489" s="453"/>
      <c r="GM489" s="453"/>
      <c r="GN489" s="453"/>
      <c r="GO489" s="453"/>
      <c r="GP489" s="453"/>
      <c r="GQ489" s="453"/>
      <c r="GR489" s="453"/>
      <c r="GS489" s="561"/>
      <c r="GT489" s="475"/>
      <c r="GU489" s="472"/>
      <c r="GV489" s="453"/>
      <c r="GW489" s="453"/>
      <c r="GX489" s="869"/>
      <c r="GY489" s="870"/>
      <c r="GZ489" s="867"/>
      <c r="HA489" s="868"/>
      <c r="HB489" s="473"/>
      <c r="HC489" s="869"/>
      <c r="HD489" s="870"/>
      <c r="HE489" s="867"/>
      <c r="HF489" s="868"/>
      <c r="HG489" s="473"/>
      <c r="HH489" s="867"/>
      <c r="HI489" s="868"/>
      <c r="HJ489" s="867"/>
      <c r="HK489" s="868"/>
      <c r="HL489" s="370"/>
      <c r="HM489" s="865"/>
      <c r="HN489" s="866"/>
      <c r="HO489" s="865"/>
      <c r="HP489" s="866"/>
      <c r="HQ489" s="865"/>
      <c r="HR489" s="866"/>
      <c r="HS489" s="867"/>
      <c r="HT489" s="868"/>
      <c r="HU489" s="489"/>
      <c r="HV489" s="865"/>
      <c r="HW489" s="866"/>
    </row>
    <row r="490" spans="25:231" ht="15" customHeight="1">
      <c r="Y490" s="332"/>
      <c r="Z490" s="332"/>
      <c r="AA490" s="332"/>
      <c r="AB490" s="332"/>
      <c r="AC490" s="332"/>
      <c r="AD490" s="332"/>
      <c r="AE490" s="332"/>
      <c r="AF490" s="332"/>
      <c r="AG490" s="332"/>
      <c r="AH490" s="332"/>
      <c r="AI490" s="332"/>
      <c r="AJ490" s="332"/>
      <c r="AK490" s="332"/>
      <c r="AL490" s="332"/>
      <c r="AM490" s="332"/>
      <c r="AN490" s="332"/>
      <c r="AO490" s="332"/>
      <c r="AP490" s="332"/>
      <c r="AQ490" s="332"/>
      <c r="AR490" s="332"/>
      <c r="AS490" s="332"/>
      <c r="AT490" s="332"/>
      <c r="AU490" s="332"/>
      <c r="AV490" s="332"/>
      <c r="AW490" s="332"/>
      <c r="AX490" s="332"/>
      <c r="AY490" s="332"/>
      <c r="AZ490" s="332"/>
      <c r="BA490" s="332"/>
      <c r="BB490" s="332"/>
      <c r="BC490" s="332"/>
      <c r="BD490" s="332"/>
      <c r="BE490" s="332"/>
      <c r="BF490" s="332"/>
      <c r="BG490" s="332"/>
      <c r="BH490" s="332"/>
      <c r="BI490" s="332"/>
      <c r="BJ490" s="332"/>
      <c r="BK490" s="332"/>
      <c r="BL490" s="332"/>
      <c r="BM490" s="332"/>
      <c r="BN490" s="332"/>
      <c r="BO490" s="332"/>
      <c r="BP490" s="332"/>
      <c r="BQ490" s="332"/>
      <c r="BR490" s="332"/>
      <c r="BS490" s="332"/>
      <c r="BT490" s="332"/>
      <c r="BU490" s="332"/>
      <c r="BV490" s="332"/>
      <c r="BW490" s="332"/>
      <c r="BX490" s="332"/>
      <c r="BY490" s="332"/>
      <c r="BZ490" s="332"/>
      <c r="CA490" s="332"/>
      <c r="CB490" s="332"/>
      <c r="CC490" s="332"/>
      <c r="CD490" s="332"/>
      <c r="CE490" s="332"/>
      <c r="CF490" s="332"/>
      <c r="CG490" s="332"/>
      <c r="CH490" s="332"/>
      <c r="CI490" s="332"/>
      <c r="CJ490" s="332"/>
      <c r="CK490" s="332"/>
      <c r="CL490" s="332"/>
      <c r="CM490" s="332"/>
      <c r="CN490" s="332"/>
      <c r="CO490" s="332"/>
      <c r="CP490" s="332"/>
      <c r="CQ490" s="332"/>
      <c r="CR490" s="332"/>
      <c r="CS490" s="332"/>
      <c r="CT490" s="332"/>
      <c r="CU490" s="332"/>
      <c r="CV490" s="332"/>
      <c r="CW490" s="332"/>
      <c r="CX490" s="332"/>
      <c r="CY490" s="332"/>
      <c r="CZ490" s="332"/>
      <c r="DA490" s="332"/>
      <c r="DB490" s="332"/>
      <c r="DC490" s="332"/>
      <c r="DD490" s="332"/>
      <c r="DE490" s="332"/>
      <c r="DF490" s="332"/>
      <c r="DG490" s="332"/>
      <c r="DH490" s="332"/>
      <c r="DI490" s="332"/>
      <c r="DJ490" s="332"/>
      <c r="DK490" s="332"/>
      <c r="DL490" s="332"/>
      <c r="DM490" s="332"/>
      <c r="DN490" s="332"/>
      <c r="DO490" s="332"/>
      <c r="DP490" s="332"/>
      <c r="DQ490" s="332"/>
      <c r="DR490" s="332"/>
      <c r="DS490" s="332"/>
      <c r="DT490" s="332"/>
      <c r="DU490" s="453"/>
      <c r="DV490" s="453"/>
      <c r="DW490" s="453"/>
      <c r="DX490" s="453"/>
      <c r="DY490" s="453"/>
      <c r="DZ490" s="453"/>
      <c r="EA490" s="453"/>
      <c r="EB490" s="453"/>
      <c r="EC490" s="453"/>
      <c r="ED490" s="453"/>
      <c r="EE490" s="453"/>
      <c r="EF490" s="453"/>
      <c r="EG490" s="453"/>
      <c r="EH490" s="453"/>
      <c r="EI490" s="453"/>
      <c r="EJ490" s="453"/>
      <c r="EK490" s="453"/>
      <c r="EL490" s="453"/>
      <c r="EM490" s="483">
        <f t="shared" si="218"/>
        <v>181</v>
      </c>
      <c r="EN490" s="485"/>
      <c r="EO490" s="804"/>
      <c r="EP490" s="805"/>
      <c r="EQ490" s="806"/>
      <c r="ER490" s="808"/>
      <c r="ES490" s="881">
        <f t="shared" si="219"/>
        <v>0</v>
      </c>
      <c r="ET490" s="882"/>
      <c r="EU490" s="883"/>
      <c r="EV490" s="884">
        <f t="shared" si="217"/>
        <v>0</v>
      </c>
      <c r="EW490" s="885"/>
      <c r="EX490" s="885"/>
      <c r="EY490" s="885"/>
      <c r="EZ490" s="885"/>
      <c r="FA490" s="885"/>
      <c r="FB490" s="885"/>
      <c r="FC490" s="885"/>
      <c r="FD490" s="886"/>
      <c r="FE490" s="878"/>
      <c r="FF490" s="878"/>
      <c r="FG490" s="878"/>
      <c r="FH490" s="878"/>
      <c r="FI490" s="878"/>
      <c r="FJ490" s="878"/>
      <c r="FK490" s="878"/>
      <c r="FL490" s="555"/>
      <c r="FM490" s="554"/>
      <c r="FN490" s="554"/>
      <c r="FO490" s="554"/>
      <c r="FP490" s="554"/>
      <c r="FQ490" s="554"/>
      <c r="FR490" s="554"/>
      <c r="FS490" s="554"/>
      <c r="FT490" s="554"/>
      <c r="FU490" s="554"/>
      <c r="FV490" s="554"/>
      <c r="FW490" s="554"/>
      <c r="FX490" s="554"/>
      <c r="FY490" s="554"/>
      <c r="FZ490" s="554"/>
      <c r="GA490" s="554"/>
      <c r="GB490" s="556"/>
      <c r="GC490" s="370"/>
      <c r="GD490" s="453"/>
      <c r="GE490" s="453"/>
      <c r="GF490" s="453"/>
      <c r="GG490" s="453"/>
      <c r="GH490" s="454"/>
      <c r="GI490" s="453"/>
      <c r="GJ490" s="453"/>
      <c r="GK490" s="453"/>
      <c r="GL490" s="453"/>
      <c r="GM490" s="453"/>
      <c r="GN490" s="453"/>
      <c r="GO490" s="453"/>
      <c r="GP490" s="453"/>
      <c r="GQ490" s="453"/>
      <c r="GR490" s="453"/>
      <c r="GS490" s="561"/>
      <c r="GT490" s="475"/>
      <c r="GU490" s="472"/>
      <c r="GV490" s="453"/>
      <c r="GW490" s="453"/>
      <c r="GX490" s="869"/>
      <c r="GY490" s="870"/>
      <c r="GZ490" s="867"/>
      <c r="HA490" s="868"/>
      <c r="HB490" s="473"/>
      <c r="HC490" s="869"/>
      <c r="HD490" s="870"/>
      <c r="HE490" s="867"/>
      <c r="HF490" s="868"/>
      <c r="HG490" s="473"/>
      <c r="HH490" s="867"/>
      <c r="HI490" s="868"/>
      <c r="HJ490" s="867"/>
      <c r="HK490" s="868"/>
      <c r="HL490" s="370"/>
      <c r="HM490" s="865"/>
      <c r="HN490" s="866"/>
      <c r="HO490" s="865"/>
      <c r="HP490" s="866"/>
      <c r="HQ490" s="865"/>
      <c r="HR490" s="866"/>
      <c r="HS490" s="867"/>
      <c r="HT490" s="868"/>
      <c r="HU490" s="489"/>
      <c r="HV490" s="865"/>
      <c r="HW490" s="866"/>
    </row>
    <row r="491" spans="25:231" ht="15" customHeight="1">
      <c r="Y491" s="332"/>
      <c r="Z491" s="332"/>
      <c r="AA491" s="332"/>
      <c r="AB491" s="332"/>
      <c r="AC491" s="332"/>
      <c r="AD491" s="332"/>
      <c r="AE491" s="332"/>
      <c r="AF491" s="332"/>
      <c r="AG491" s="332"/>
      <c r="AH491" s="332"/>
      <c r="AI491" s="332"/>
      <c r="AJ491" s="332"/>
      <c r="AK491" s="332"/>
      <c r="AL491" s="332"/>
      <c r="AM491" s="332"/>
      <c r="AN491" s="332"/>
      <c r="AO491" s="332"/>
      <c r="AP491" s="332"/>
      <c r="AQ491" s="332"/>
      <c r="AR491" s="332"/>
      <c r="AS491" s="332"/>
      <c r="AT491" s="332"/>
      <c r="AU491" s="332"/>
      <c r="AV491" s="332"/>
      <c r="AW491" s="332"/>
      <c r="AX491" s="332"/>
      <c r="AY491" s="332"/>
      <c r="AZ491" s="332"/>
      <c r="BA491" s="332"/>
      <c r="BB491" s="332"/>
      <c r="BC491" s="332"/>
      <c r="BD491" s="332"/>
      <c r="BE491" s="332"/>
      <c r="BF491" s="332"/>
      <c r="BG491" s="332"/>
      <c r="BH491" s="332"/>
      <c r="BI491" s="332"/>
      <c r="BJ491" s="332"/>
      <c r="BK491" s="332"/>
      <c r="BL491" s="332"/>
      <c r="BM491" s="332"/>
      <c r="BN491" s="332"/>
      <c r="BO491" s="332"/>
      <c r="BP491" s="332"/>
      <c r="BQ491" s="332"/>
      <c r="BR491" s="332"/>
      <c r="BS491" s="332"/>
      <c r="BT491" s="332"/>
      <c r="BU491" s="332"/>
      <c r="BV491" s="332"/>
      <c r="BW491" s="332"/>
      <c r="BX491" s="332"/>
      <c r="BY491" s="332"/>
      <c r="BZ491" s="332"/>
      <c r="CA491" s="332"/>
      <c r="CB491" s="332"/>
      <c r="CC491" s="332"/>
      <c r="CD491" s="332"/>
      <c r="CE491" s="332"/>
      <c r="CF491" s="332"/>
      <c r="CG491" s="332"/>
      <c r="CH491" s="332"/>
      <c r="CI491" s="332"/>
      <c r="CJ491" s="332"/>
      <c r="CK491" s="332"/>
      <c r="CL491" s="332"/>
      <c r="CM491" s="332"/>
      <c r="CN491" s="332"/>
      <c r="CO491" s="332"/>
      <c r="CP491" s="332"/>
      <c r="CQ491" s="332"/>
      <c r="CR491" s="332"/>
      <c r="CS491" s="332"/>
      <c r="CT491" s="332"/>
      <c r="CU491" s="332"/>
      <c r="CV491" s="332"/>
      <c r="CW491" s="332"/>
      <c r="CX491" s="332"/>
      <c r="CY491" s="332"/>
      <c r="CZ491" s="332"/>
      <c r="DA491" s="332"/>
      <c r="DB491" s="332"/>
      <c r="DC491" s="332"/>
      <c r="DD491" s="332"/>
      <c r="DE491" s="332"/>
      <c r="DF491" s="332"/>
      <c r="DG491" s="332"/>
      <c r="DH491" s="332"/>
      <c r="DI491" s="332"/>
      <c r="DJ491" s="332"/>
      <c r="DK491" s="332"/>
      <c r="DL491" s="332"/>
      <c r="DM491" s="332"/>
      <c r="DN491" s="332"/>
      <c r="DO491" s="332"/>
      <c r="DP491" s="332"/>
      <c r="DQ491" s="332"/>
      <c r="DR491" s="332"/>
      <c r="DS491" s="332"/>
      <c r="DT491" s="332"/>
      <c r="DU491" s="453"/>
      <c r="DV491" s="453"/>
      <c r="DW491" s="453"/>
      <c r="DX491" s="453"/>
      <c r="DY491" s="453"/>
      <c r="DZ491" s="453"/>
      <c r="EA491" s="453"/>
      <c r="EB491" s="453"/>
      <c r="EC491" s="453"/>
      <c r="ED491" s="453"/>
      <c r="EE491" s="453"/>
      <c r="EF491" s="453"/>
      <c r="EG491" s="453"/>
      <c r="EH491" s="453"/>
      <c r="EI491" s="453"/>
      <c r="EJ491" s="453"/>
      <c r="EK491" s="453"/>
      <c r="EL491" s="453"/>
      <c r="EM491" s="483">
        <f t="shared" si="218"/>
        <v>182</v>
      </c>
      <c r="EN491" s="485"/>
      <c r="EO491" s="804"/>
      <c r="EP491" s="805"/>
      <c r="EQ491" s="806"/>
      <c r="ER491" s="808"/>
      <c r="ES491" s="881">
        <f t="shared" si="219"/>
        <v>0</v>
      </c>
      <c r="ET491" s="882"/>
      <c r="EU491" s="883"/>
      <c r="EV491" s="884">
        <f t="shared" si="217"/>
        <v>0</v>
      </c>
      <c r="EW491" s="885"/>
      <c r="EX491" s="885"/>
      <c r="EY491" s="885"/>
      <c r="EZ491" s="885"/>
      <c r="FA491" s="885"/>
      <c r="FB491" s="885"/>
      <c r="FC491" s="885"/>
      <c r="FD491" s="886"/>
      <c r="FE491" s="878"/>
      <c r="FF491" s="878"/>
      <c r="FG491" s="878"/>
      <c r="FH491" s="878"/>
      <c r="FI491" s="878"/>
      <c r="FJ491" s="878"/>
      <c r="FK491" s="878"/>
      <c r="FL491" s="555"/>
      <c r="FM491" s="554"/>
      <c r="FN491" s="554"/>
      <c r="FO491" s="554"/>
      <c r="FP491" s="554"/>
      <c r="FQ491" s="554"/>
      <c r="FR491" s="554"/>
      <c r="FS491" s="554"/>
      <c r="FT491" s="554"/>
      <c r="FU491" s="554"/>
      <c r="FV491" s="554"/>
      <c r="FW491" s="554"/>
      <c r="FX491" s="554"/>
      <c r="FY491" s="554"/>
      <c r="FZ491" s="554"/>
      <c r="GA491" s="554"/>
      <c r="GB491" s="556"/>
      <c r="GC491" s="370"/>
      <c r="GD491" s="453"/>
      <c r="GE491" s="453"/>
      <c r="GF491" s="453"/>
      <c r="GG491" s="453"/>
      <c r="GH491" s="454"/>
      <c r="GI491" s="453"/>
      <c r="GJ491" s="453"/>
      <c r="GK491" s="453"/>
      <c r="GL491" s="453"/>
      <c r="GM491" s="453"/>
      <c r="GN491" s="453"/>
      <c r="GO491" s="453"/>
      <c r="GP491" s="453"/>
      <c r="GQ491" s="453"/>
      <c r="GR491" s="453"/>
      <c r="GS491" s="561"/>
      <c r="GT491" s="475"/>
      <c r="GU491" s="472"/>
      <c r="GV491" s="453"/>
      <c r="GW491" s="453"/>
      <c r="GX491" s="869"/>
      <c r="GY491" s="870"/>
      <c r="GZ491" s="867"/>
      <c r="HA491" s="868"/>
      <c r="HB491" s="473"/>
      <c r="HC491" s="869"/>
      <c r="HD491" s="870"/>
      <c r="HE491" s="867"/>
      <c r="HF491" s="868"/>
      <c r="HG491" s="473"/>
      <c r="HH491" s="867"/>
      <c r="HI491" s="868"/>
      <c r="HJ491" s="867"/>
      <c r="HK491" s="868"/>
      <c r="HL491" s="370"/>
      <c r="HM491" s="865"/>
      <c r="HN491" s="866"/>
      <c r="HO491" s="865"/>
      <c r="HP491" s="866"/>
      <c r="HQ491" s="865"/>
      <c r="HR491" s="866"/>
      <c r="HS491" s="867"/>
      <c r="HT491" s="868"/>
      <c r="HU491" s="489"/>
      <c r="HV491" s="865"/>
      <c r="HW491" s="866"/>
    </row>
    <row r="492" spans="25:231" ht="15" customHeight="1">
      <c r="Y492" s="332"/>
      <c r="Z492" s="332"/>
      <c r="AA492" s="332"/>
      <c r="AB492" s="332"/>
      <c r="AC492" s="332"/>
      <c r="AD492" s="332"/>
      <c r="AE492" s="332"/>
      <c r="AF492" s="332"/>
      <c r="AG492" s="332"/>
      <c r="AH492" s="332"/>
      <c r="AI492" s="332"/>
      <c r="AJ492" s="332"/>
      <c r="AK492" s="332"/>
      <c r="AL492" s="332"/>
      <c r="AM492" s="332"/>
      <c r="AN492" s="332"/>
      <c r="AO492" s="332"/>
      <c r="AP492" s="332"/>
      <c r="AQ492" s="332"/>
      <c r="AR492" s="332"/>
      <c r="AS492" s="332"/>
      <c r="AT492" s="332"/>
      <c r="AU492" s="332"/>
      <c r="AV492" s="332"/>
      <c r="AW492" s="332"/>
      <c r="AX492" s="332"/>
      <c r="AY492" s="332"/>
      <c r="AZ492" s="332"/>
      <c r="BA492" s="332"/>
      <c r="BB492" s="332"/>
      <c r="BC492" s="332"/>
      <c r="BD492" s="332"/>
      <c r="BE492" s="332"/>
      <c r="BF492" s="332"/>
      <c r="BG492" s="332"/>
      <c r="BH492" s="332"/>
      <c r="BI492" s="332"/>
      <c r="BJ492" s="332"/>
      <c r="BK492" s="332"/>
      <c r="BL492" s="332"/>
      <c r="BM492" s="332"/>
      <c r="BN492" s="332"/>
      <c r="BO492" s="332"/>
      <c r="BP492" s="332"/>
      <c r="BQ492" s="332"/>
      <c r="BR492" s="332"/>
      <c r="BS492" s="332"/>
      <c r="BT492" s="332"/>
      <c r="BU492" s="332"/>
      <c r="BV492" s="332"/>
      <c r="BW492" s="332"/>
      <c r="BX492" s="332"/>
      <c r="BY492" s="332"/>
      <c r="BZ492" s="332"/>
      <c r="CA492" s="332"/>
      <c r="CB492" s="332"/>
      <c r="CC492" s="332"/>
      <c r="CD492" s="332"/>
      <c r="CE492" s="332"/>
      <c r="CF492" s="332"/>
      <c r="CG492" s="332"/>
      <c r="CH492" s="332"/>
      <c r="CI492" s="332"/>
      <c r="CJ492" s="332"/>
      <c r="CK492" s="332"/>
      <c r="CL492" s="332"/>
      <c r="CM492" s="332"/>
      <c r="CN492" s="332"/>
      <c r="CO492" s="332"/>
      <c r="CP492" s="332"/>
      <c r="CQ492" s="332"/>
      <c r="CR492" s="332"/>
      <c r="CS492" s="332"/>
      <c r="CT492" s="332"/>
      <c r="CU492" s="332"/>
      <c r="CV492" s="332"/>
      <c r="CW492" s="332"/>
      <c r="CX492" s="332"/>
      <c r="CY492" s="332"/>
      <c r="CZ492" s="332"/>
      <c r="DA492" s="332"/>
      <c r="DB492" s="332"/>
      <c r="DC492" s="332"/>
      <c r="DD492" s="332"/>
      <c r="DE492" s="332"/>
      <c r="DF492" s="332"/>
      <c r="DG492" s="332"/>
      <c r="DH492" s="332"/>
      <c r="DI492" s="332"/>
      <c r="DJ492" s="332"/>
      <c r="DK492" s="332"/>
      <c r="DL492" s="332"/>
      <c r="DM492" s="332"/>
      <c r="DN492" s="332"/>
      <c r="DO492" s="332"/>
      <c r="DP492" s="332"/>
      <c r="DQ492" s="332"/>
      <c r="DR492" s="332"/>
      <c r="DS492" s="332"/>
      <c r="DT492" s="332"/>
      <c r="DU492" s="453"/>
      <c r="DV492" s="453"/>
      <c r="DW492" s="453"/>
      <c r="DX492" s="453"/>
      <c r="DY492" s="453"/>
      <c r="DZ492" s="453"/>
      <c r="EA492" s="453"/>
      <c r="EB492" s="453"/>
      <c r="EC492" s="453"/>
      <c r="ED492" s="453"/>
      <c r="EE492" s="453"/>
      <c r="EF492" s="453"/>
      <c r="EG492" s="453"/>
      <c r="EH492" s="453"/>
      <c r="EI492" s="453"/>
      <c r="EJ492" s="453"/>
      <c r="EK492" s="453"/>
      <c r="EL492" s="453"/>
      <c r="EM492" s="483">
        <f t="shared" si="218"/>
        <v>183</v>
      </c>
      <c r="EN492" s="485"/>
      <c r="EO492" s="804"/>
      <c r="EP492" s="805"/>
      <c r="EQ492" s="820"/>
      <c r="ER492" s="808"/>
      <c r="ES492" s="881">
        <f t="shared" si="219"/>
        <v>0</v>
      </c>
      <c r="ET492" s="882"/>
      <c r="EU492" s="883"/>
      <c r="EV492" s="884">
        <f t="shared" si="217"/>
        <v>0</v>
      </c>
      <c r="EW492" s="885"/>
      <c r="EX492" s="885"/>
      <c r="EY492" s="885"/>
      <c r="EZ492" s="885"/>
      <c r="FA492" s="885"/>
      <c r="FB492" s="885"/>
      <c r="FC492" s="885"/>
      <c r="FD492" s="886"/>
      <c r="FE492" s="878"/>
      <c r="FF492" s="878"/>
      <c r="FG492" s="878"/>
      <c r="FH492" s="878"/>
      <c r="FI492" s="878"/>
      <c r="FJ492" s="878"/>
      <c r="FK492" s="878"/>
      <c r="FL492" s="555"/>
      <c r="FM492" s="554"/>
      <c r="FN492" s="554"/>
      <c r="FO492" s="554"/>
      <c r="FP492" s="554"/>
      <c r="FQ492" s="554"/>
      <c r="FR492" s="554"/>
      <c r="FS492" s="554"/>
      <c r="FT492" s="554"/>
      <c r="FU492" s="554"/>
      <c r="FV492" s="554"/>
      <c r="FW492" s="554"/>
      <c r="FX492" s="554"/>
      <c r="FY492" s="554"/>
      <c r="FZ492" s="554"/>
      <c r="GA492" s="554"/>
      <c r="GB492" s="556"/>
      <c r="GC492" s="370"/>
      <c r="GD492" s="453"/>
      <c r="GE492" s="453"/>
      <c r="GF492" s="453"/>
      <c r="GG492" s="453"/>
      <c r="GH492" s="454"/>
      <c r="GI492" s="453"/>
      <c r="GJ492" s="453"/>
      <c r="GK492" s="453"/>
      <c r="GL492" s="453"/>
      <c r="GM492" s="453"/>
      <c r="GN492" s="453"/>
      <c r="GO492" s="453"/>
      <c r="GP492" s="453"/>
      <c r="GQ492" s="453"/>
      <c r="GR492" s="453"/>
      <c r="GS492" s="561"/>
      <c r="GT492" s="475"/>
      <c r="GU492" s="472"/>
      <c r="GV492" s="453"/>
      <c r="GW492" s="453"/>
      <c r="GX492" s="869"/>
      <c r="GY492" s="870"/>
      <c r="GZ492" s="867"/>
      <c r="HA492" s="868"/>
      <c r="HB492" s="473"/>
      <c r="HC492" s="869"/>
      <c r="HD492" s="870"/>
      <c r="HE492" s="867"/>
      <c r="HF492" s="868"/>
      <c r="HG492" s="473"/>
      <c r="HH492" s="867"/>
      <c r="HI492" s="868"/>
      <c r="HJ492" s="867"/>
      <c r="HK492" s="868"/>
      <c r="HL492" s="370"/>
      <c r="HM492" s="865"/>
      <c r="HN492" s="866"/>
      <c r="HO492" s="865"/>
      <c r="HP492" s="866"/>
      <c r="HQ492" s="865"/>
      <c r="HR492" s="866"/>
      <c r="HS492" s="867"/>
      <c r="HT492" s="868"/>
      <c r="HU492" s="489"/>
      <c r="HV492" s="865"/>
      <c r="HW492" s="866"/>
    </row>
    <row r="493" spans="25:231" ht="15" customHeight="1">
      <c r="Y493" s="332"/>
      <c r="Z493" s="332"/>
      <c r="AA493" s="332"/>
      <c r="AB493" s="332"/>
      <c r="AC493" s="332"/>
      <c r="AD493" s="332"/>
      <c r="AE493" s="332"/>
      <c r="AF493" s="332"/>
      <c r="AG493" s="332"/>
      <c r="AH493" s="332"/>
      <c r="AI493" s="332"/>
      <c r="AJ493" s="332"/>
      <c r="AK493" s="332"/>
      <c r="AL493" s="332"/>
      <c r="AM493" s="332"/>
      <c r="AN493" s="332"/>
      <c r="AO493" s="332"/>
      <c r="AP493" s="332"/>
      <c r="AQ493" s="332"/>
      <c r="AR493" s="332"/>
      <c r="AS493" s="332"/>
      <c r="AT493" s="332"/>
      <c r="AU493" s="332"/>
      <c r="AV493" s="332"/>
      <c r="AW493" s="332"/>
      <c r="AX493" s="332"/>
      <c r="AY493" s="332"/>
      <c r="AZ493" s="332"/>
      <c r="BA493" s="332"/>
      <c r="BB493" s="332"/>
      <c r="BC493" s="332"/>
      <c r="BD493" s="332"/>
      <c r="BE493" s="332"/>
      <c r="BF493" s="332"/>
      <c r="BG493" s="332"/>
      <c r="BH493" s="332"/>
      <c r="BI493" s="332"/>
      <c r="BJ493" s="332"/>
      <c r="BK493" s="332"/>
      <c r="BL493" s="332"/>
      <c r="BM493" s="332"/>
      <c r="BN493" s="332"/>
      <c r="BO493" s="332"/>
      <c r="BP493" s="332"/>
      <c r="BQ493" s="332"/>
      <c r="BR493" s="332"/>
      <c r="BS493" s="332"/>
      <c r="BT493" s="332"/>
      <c r="BU493" s="332"/>
      <c r="BV493" s="332"/>
      <c r="BW493" s="332"/>
      <c r="BX493" s="332"/>
      <c r="BY493" s="332"/>
      <c r="BZ493" s="332"/>
      <c r="CA493" s="332"/>
      <c r="CB493" s="332"/>
      <c r="CC493" s="332"/>
      <c r="CD493" s="332"/>
      <c r="CE493" s="332"/>
      <c r="CF493" s="332"/>
      <c r="CG493" s="332"/>
      <c r="CH493" s="332"/>
      <c r="CI493" s="332"/>
      <c r="CJ493" s="332"/>
      <c r="CK493" s="332"/>
      <c r="CL493" s="332"/>
      <c r="CM493" s="332"/>
      <c r="CN493" s="332"/>
      <c r="CO493" s="332"/>
      <c r="CP493" s="332"/>
      <c r="CQ493" s="332"/>
      <c r="CR493" s="332"/>
      <c r="CS493" s="332"/>
      <c r="CT493" s="332"/>
      <c r="CU493" s="332"/>
      <c r="CV493" s="332"/>
      <c r="CW493" s="332"/>
      <c r="CX493" s="332"/>
      <c r="CY493" s="332"/>
      <c r="CZ493" s="332"/>
      <c r="DA493" s="332"/>
      <c r="DB493" s="332"/>
      <c r="DC493" s="332"/>
      <c r="DD493" s="332"/>
      <c r="DE493" s="332"/>
      <c r="DF493" s="332"/>
      <c r="DG493" s="332"/>
      <c r="DH493" s="332"/>
      <c r="DI493" s="332"/>
      <c r="DJ493" s="332"/>
      <c r="DK493" s="332"/>
      <c r="DL493" s="332"/>
      <c r="DM493" s="332"/>
      <c r="DN493" s="332"/>
      <c r="DO493" s="332"/>
      <c r="DP493" s="332"/>
      <c r="DQ493" s="332"/>
      <c r="DR493" s="332"/>
      <c r="DS493" s="332"/>
      <c r="DT493" s="332"/>
      <c r="DU493" s="453"/>
      <c r="DV493" s="453"/>
      <c r="DW493" s="453"/>
      <c r="DX493" s="453"/>
      <c r="DY493" s="453"/>
      <c r="DZ493" s="453"/>
      <c r="EA493" s="453"/>
      <c r="EB493" s="453"/>
      <c r="EC493" s="453"/>
      <c r="ED493" s="453"/>
      <c r="EE493" s="453"/>
      <c r="EF493" s="453"/>
      <c r="EG493" s="453"/>
      <c r="EH493" s="453"/>
      <c r="EI493" s="453"/>
      <c r="EJ493" s="453"/>
      <c r="EK493" s="453"/>
      <c r="EL493" s="453"/>
      <c r="EM493" s="483">
        <f t="shared" si="218"/>
        <v>184</v>
      </c>
      <c r="EN493" s="485"/>
      <c r="EO493" s="804"/>
      <c r="EP493" s="805"/>
      <c r="EQ493" s="806"/>
      <c r="ER493" s="808"/>
      <c r="ES493" s="881">
        <f t="shared" si="219"/>
        <v>0</v>
      </c>
      <c r="ET493" s="882"/>
      <c r="EU493" s="883"/>
      <c r="EV493" s="884">
        <f t="shared" si="217"/>
        <v>0</v>
      </c>
      <c r="EW493" s="885"/>
      <c r="EX493" s="885"/>
      <c r="EY493" s="885"/>
      <c r="EZ493" s="885"/>
      <c r="FA493" s="885"/>
      <c r="FB493" s="885"/>
      <c r="FC493" s="885"/>
      <c r="FD493" s="886"/>
      <c r="FE493" s="878"/>
      <c r="FF493" s="878"/>
      <c r="FG493" s="878"/>
      <c r="FH493" s="878"/>
      <c r="FI493" s="878"/>
      <c r="FJ493" s="878"/>
      <c r="FK493" s="878"/>
      <c r="FL493" s="555"/>
      <c r="FM493" s="554"/>
      <c r="FN493" s="554"/>
      <c r="FO493" s="554"/>
      <c r="FP493" s="554"/>
      <c r="FQ493" s="554"/>
      <c r="FR493" s="554"/>
      <c r="FS493" s="554"/>
      <c r="FT493" s="554"/>
      <c r="FU493" s="554"/>
      <c r="FV493" s="554"/>
      <c r="FW493" s="554"/>
      <c r="FX493" s="554"/>
      <c r="FY493" s="554"/>
      <c r="FZ493" s="554"/>
      <c r="GA493" s="554"/>
      <c r="GB493" s="556"/>
      <c r="GC493" s="370"/>
      <c r="GD493" s="453"/>
      <c r="GE493" s="453"/>
      <c r="GF493" s="453"/>
      <c r="GG493" s="453"/>
      <c r="GH493" s="454"/>
      <c r="GI493" s="453"/>
      <c r="GJ493" s="453"/>
      <c r="GK493" s="453"/>
      <c r="GL493" s="453"/>
      <c r="GM493" s="453"/>
      <c r="GN493" s="453"/>
      <c r="GO493" s="453"/>
      <c r="GP493" s="453"/>
      <c r="GQ493" s="453"/>
      <c r="GR493" s="453"/>
      <c r="GS493" s="561"/>
      <c r="GT493" s="475"/>
      <c r="GU493" s="472"/>
      <c r="GV493" s="453"/>
      <c r="GW493" s="453"/>
      <c r="GX493" s="869"/>
      <c r="GY493" s="870"/>
      <c r="GZ493" s="867"/>
      <c r="HA493" s="868"/>
      <c r="HB493" s="473"/>
      <c r="HC493" s="869"/>
      <c r="HD493" s="870"/>
      <c r="HE493" s="867"/>
      <c r="HF493" s="868"/>
      <c r="HG493" s="473"/>
      <c r="HH493" s="867"/>
      <c r="HI493" s="868"/>
      <c r="HJ493" s="867"/>
      <c r="HK493" s="868"/>
      <c r="HL493" s="370"/>
      <c r="HM493" s="865"/>
      <c r="HN493" s="866"/>
      <c r="HO493" s="865"/>
      <c r="HP493" s="866"/>
      <c r="HQ493" s="865"/>
      <c r="HR493" s="866"/>
      <c r="HS493" s="867"/>
      <c r="HT493" s="868"/>
      <c r="HU493" s="489"/>
      <c r="HV493" s="865"/>
      <c r="HW493" s="866"/>
    </row>
    <row r="494" spans="25:231" ht="15" customHeight="1">
      <c r="Y494" s="332"/>
      <c r="Z494" s="332"/>
      <c r="AA494" s="332"/>
      <c r="AB494" s="332"/>
      <c r="AC494" s="332"/>
      <c r="AD494" s="332"/>
      <c r="AE494" s="332"/>
      <c r="AF494" s="332"/>
      <c r="AG494" s="332"/>
      <c r="AH494" s="332"/>
      <c r="AI494" s="332"/>
      <c r="AJ494" s="332"/>
      <c r="AK494" s="332"/>
      <c r="AL494" s="332"/>
      <c r="AM494" s="332"/>
      <c r="AN494" s="332"/>
      <c r="AO494" s="332"/>
      <c r="AP494" s="332"/>
      <c r="AQ494" s="332"/>
      <c r="AR494" s="332"/>
      <c r="AS494" s="332"/>
      <c r="AT494" s="332"/>
      <c r="AU494" s="332"/>
      <c r="AV494" s="332"/>
      <c r="AW494" s="332"/>
      <c r="AX494" s="332"/>
      <c r="AY494" s="332"/>
      <c r="AZ494" s="332"/>
      <c r="BA494" s="332"/>
      <c r="BB494" s="332"/>
      <c r="BC494" s="332"/>
      <c r="BD494" s="332"/>
      <c r="BE494" s="332"/>
      <c r="BF494" s="332"/>
      <c r="BG494" s="332"/>
      <c r="BH494" s="332"/>
      <c r="BI494" s="332"/>
      <c r="BJ494" s="332"/>
      <c r="BK494" s="332"/>
      <c r="BL494" s="332"/>
      <c r="BM494" s="332"/>
      <c r="BN494" s="332"/>
      <c r="BO494" s="332"/>
      <c r="BP494" s="332"/>
      <c r="BQ494" s="332"/>
      <c r="BR494" s="332"/>
      <c r="BS494" s="332"/>
      <c r="BT494" s="332"/>
      <c r="BU494" s="332"/>
      <c r="BV494" s="332"/>
      <c r="BW494" s="332"/>
      <c r="BX494" s="332"/>
      <c r="BY494" s="332"/>
      <c r="BZ494" s="332"/>
      <c r="CA494" s="332"/>
      <c r="CB494" s="332"/>
      <c r="CC494" s="332"/>
      <c r="CD494" s="332"/>
      <c r="CE494" s="332"/>
      <c r="CF494" s="332"/>
      <c r="CG494" s="332"/>
      <c r="CH494" s="332"/>
      <c r="CI494" s="332"/>
      <c r="CJ494" s="332"/>
      <c r="CK494" s="332"/>
      <c r="CL494" s="332"/>
      <c r="CM494" s="332"/>
      <c r="CN494" s="332"/>
      <c r="CO494" s="332"/>
      <c r="CP494" s="332"/>
      <c r="CQ494" s="332"/>
      <c r="CR494" s="332"/>
      <c r="CS494" s="332"/>
      <c r="CT494" s="332"/>
      <c r="CU494" s="332"/>
      <c r="CV494" s="332"/>
      <c r="CW494" s="332"/>
      <c r="CX494" s="332"/>
      <c r="CY494" s="332"/>
      <c r="CZ494" s="332"/>
      <c r="DA494" s="332"/>
      <c r="DB494" s="332"/>
      <c r="DC494" s="332"/>
      <c r="DD494" s="332"/>
      <c r="DE494" s="332"/>
      <c r="DF494" s="332"/>
      <c r="DG494" s="332"/>
      <c r="DH494" s="332"/>
      <c r="DI494" s="332"/>
      <c r="DJ494" s="332"/>
      <c r="DK494" s="332"/>
      <c r="DL494" s="332"/>
      <c r="DM494" s="332"/>
      <c r="DN494" s="332"/>
      <c r="DO494" s="332"/>
      <c r="DP494" s="332"/>
      <c r="DQ494" s="332"/>
      <c r="DR494" s="332"/>
      <c r="DS494" s="332"/>
      <c r="DT494" s="332"/>
      <c r="DU494" s="453"/>
      <c r="DV494" s="453"/>
      <c r="DW494" s="453"/>
      <c r="DX494" s="453"/>
      <c r="DY494" s="453"/>
      <c r="DZ494" s="453"/>
      <c r="EA494" s="453"/>
      <c r="EB494" s="453"/>
      <c r="EC494" s="453"/>
      <c r="ED494" s="453"/>
      <c r="EE494" s="453"/>
      <c r="EF494" s="453"/>
      <c r="EG494" s="453"/>
      <c r="EH494" s="453"/>
      <c r="EI494" s="453"/>
      <c r="EJ494" s="453"/>
      <c r="EK494" s="453"/>
      <c r="EL494" s="453"/>
      <c r="EM494" s="483">
        <f t="shared" si="218"/>
        <v>185</v>
      </c>
      <c r="EN494" s="485"/>
      <c r="EO494" s="804"/>
      <c r="EP494" s="805"/>
      <c r="EQ494" s="806"/>
      <c r="ER494" s="808"/>
      <c r="ES494" s="881">
        <f t="shared" si="219"/>
        <v>0</v>
      </c>
      <c r="ET494" s="882"/>
      <c r="EU494" s="883"/>
      <c r="EV494" s="884">
        <f t="shared" si="217"/>
        <v>0</v>
      </c>
      <c r="EW494" s="885"/>
      <c r="EX494" s="885"/>
      <c r="EY494" s="885"/>
      <c r="EZ494" s="885"/>
      <c r="FA494" s="885"/>
      <c r="FB494" s="885"/>
      <c r="FC494" s="885"/>
      <c r="FD494" s="886"/>
      <c r="FE494" s="878"/>
      <c r="FF494" s="878"/>
      <c r="FG494" s="878"/>
      <c r="FH494" s="878"/>
      <c r="FI494" s="878"/>
      <c r="FJ494" s="878"/>
      <c r="FK494" s="878"/>
      <c r="FL494" s="555"/>
      <c r="FM494" s="554"/>
      <c r="FN494" s="554"/>
      <c r="FO494" s="554"/>
      <c r="FP494" s="554"/>
      <c r="FQ494" s="554"/>
      <c r="FR494" s="554"/>
      <c r="FS494" s="554"/>
      <c r="FT494" s="554"/>
      <c r="FU494" s="554"/>
      <c r="FV494" s="554"/>
      <c r="FW494" s="554"/>
      <c r="FX494" s="554"/>
      <c r="FY494" s="554"/>
      <c r="FZ494" s="554"/>
      <c r="GA494" s="554"/>
      <c r="GB494" s="556"/>
      <c r="GC494" s="370"/>
      <c r="GD494" s="453"/>
      <c r="GE494" s="453"/>
      <c r="GF494" s="453"/>
      <c r="GG494" s="453"/>
      <c r="GH494" s="454"/>
      <c r="GI494" s="453"/>
      <c r="GJ494" s="453"/>
      <c r="GK494" s="453"/>
      <c r="GL494" s="453"/>
      <c r="GM494" s="453"/>
      <c r="GN494" s="453"/>
      <c r="GO494" s="453"/>
      <c r="GP494" s="453"/>
      <c r="GQ494" s="453"/>
      <c r="GR494" s="453"/>
      <c r="GS494" s="561"/>
      <c r="GT494" s="475"/>
      <c r="GU494" s="472"/>
      <c r="GV494" s="453"/>
      <c r="GW494" s="453"/>
      <c r="GX494" s="869"/>
      <c r="GY494" s="870"/>
      <c r="GZ494" s="867"/>
      <c r="HA494" s="868"/>
      <c r="HB494" s="473"/>
      <c r="HC494" s="869"/>
      <c r="HD494" s="870"/>
      <c r="HE494" s="867"/>
      <c r="HF494" s="868"/>
      <c r="HG494" s="473"/>
      <c r="HH494" s="867"/>
      <c r="HI494" s="868"/>
      <c r="HJ494" s="867"/>
      <c r="HK494" s="868"/>
      <c r="HL494" s="370"/>
      <c r="HM494" s="865"/>
      <c r="HN494" s="866"/>
      <c r="HO494" s="865"/>
      <c r="HP494" s="866"/>
      <c r="HQ494" s="865"/>
      <c r="HR494" s="866"/>
      <c r="HS494" s="867"/>
      <c r="HT494" s="868"/>
      <c r="HU494" s="489"/>
      <c r="HV494" s="865"/>
      <c r="HW494" s="866"/>
    </row>
    <row r="495" spans="25:231" ht="15" customHeight="1">
      <c r="Y495" s="332"/>
      <c r="Z495" s="332"/>
      <c r="AA495" s="332"/>
      <c r="AB495" s="332"/>
      <c r="AC495" s="332"/>
      <c r="AD495" s="332"/>
      <c r="AE495" s="332"/>
      <c r="AF495" s="332"/>
      <c r="AG495" s="332"/>
      <c r="AH495" s="332"/>
      <c r="AI495" s="332"/>
      <c r="AJ495" s="332"/>
      <c r="AK495" s="332"/>
      <c r="AL495" s="332"/>
      <c r="AM495" s="332"/>
      <c r="AN495" s="332"/>
      <c r="AO495" s="332"/>
      <c r="AP495" s="332"/>
      <c r="AQ495" s="332"/>
      <c r="AR495" s="332"/>
      <c r="AS495" s="332"/>
      <c r="AT495" s="332"/>
      <c r="AU495" s="332"/>
      <c r="AV495" s="332"/>
      <c r="AW495" s="332"/>
      <c r="AX495" s="332"/>
      <c r="AY495" s="332"/>
      <c r="AZ495" s="332"/>
      <c r="BA495" s="332"/>
      <c r="BB495" s="332"/>
      <c r="BC495" s="332"/>
      <c r="BD495" s="332"/>
      <c r="BE495" s="332"/>
      <c r="BF495" s="332"/>
      <c r="BG495" s="332"/>
      <c r="BH495" s="332"/>
      <c r="BI495" s="332"/>
      <c r="BJ495" s="332"/>
      <c r="BK495" s="332"/>
      <c r="BL495" s="332"/>
      <c r="BM495" s="332"/>
      <c r="BN495" s="332"/>
      <c r="BO495" s="332"/>
      <c r="BP495" s="332"/>
      <c r="BQ495" s="332"/>
      <c r="BR495" s="332"/>
      <c r="BS495" s="332"/>
      <c r="BT495" s="332"/>
      <c r="BU495" s="332"/>
      <c r="BV495" s="332"/>
      <c r="BW495" s="332"/>
      <c r="BX495" s="332"/>
      <c r="BY495" s="332"/>
      <c r="BZ495" s="332"/>
      <c r="CA495" s="332"/>
      <c r="CB495" s="332"/>
      <c r="CC495" s="332"/>
      <c r="CD495" s="332"/>
      <c r="CE495" s="332"/>
      <c r="CF495" s="332"/>
      <c r="CG495" s="332"/>
      <c r="CH495" s="332"/>
      <c r="CI495" s="332"/>
      <c r="CJ495" s="332"/>
      <c r="CK495" s="332"/>
      <c r="CL495" s="332"/>
      <c r="CM495" s="332"/>
      <c r="CN495" s="332"/>
      <c r="CO495" s="332"/>
      <c r="CP495" s="332"/>
      <c r="CQ495" s="332"/>
      <c r="CR495" s="332"/>
      <c r="CS495" s="332"/>
      <c r="CT495" s="332"/>
      <c r="CU495" s="332"/>
      <c r="CV495" s="332"/>
      <c r="CW495" s="332"/>
      <c r="CX495" s="332"/>
      <c r="CY495" s="332"/>
      <c r="CZ495" s="332"/>
      <c r="DA495" s="332"/>
      <c r="DB495" s="332"/>
      <c r="DC495" s="332"/>
      <c r="DD495" s="332"/>
      <c r="DE495" s="332"/>
      <c r="DF495" s="332"/>
      <c r="DG495" s="332"/>
      <c r="DH495" s="332"/>
      <c r="DI495" s="332"/>
      <c r="DJ495" s="332"/>
      <c r="DK495" s="332"/>
      <c r="DL495" s="332"/>
      <c r="DM495" s="332"/>
      <c r="DN495" s="332"/>
      <c r="DO495" s="332"/>
      <c r="DP495" s="332"/>
      <c r="DQ495" s="332"/>
      <c r="DR495" s="332"/>
      <c r="DS495" s="332"/>
      <c r="DT495" s="332"/>
      <c r="DU495" s="453"/>
      <c r="DV495" s="453"/>
      <c r="DW495" s="453"/>
      <c r="DX495" s="453"/>
      <c r="DY495" s="453"/>
      <c r="DZ495" s="453"/>
      <c r="EA495" s="453"/>
      <c r="EB495" s="453"/>
      <c r="EC495" s="453"/>
      <c r="ED495" s="453"/>
      <c r="EE495" s="453"/>
      <c r="EF495" s="453"/>
      <c r="EG495" s="453"/>
      <c r="EH495" s="453"/>
      <c r="EI495" s="453"/>
      <c r="EJ495" s="453"/>
      <c r="EK495" s="453"/>
      <c r="EL495" s="453"/>
      <c r="EM495" s="483">
        <f t="shared" si="218"/>
        <v>186</v>
      </c>
      <c r="EN495" s="485"/>
      <c r="EO495" s="804"/>
      <c r="EP495" s="805"/>
      <c r="EQ495" s="806"/>
      <c r="ER495" s="808"/>
      <c r="ES495" s="881">
        <f t="shared" si="219"/>
        <v>0</v>
      </c>
      <c r="ET495" s="882"/>
      <c r="EU495" s="883"/>
      <c r="EV495" s="884">
        <f t="shared" si="217"/>
        <v>0</v>
      </c>
      <c r="EW495" s="885"/>
      <c r="EX495" s="885"/>
      <c r="EY495" s="885"/>
      <c r="EZ495" s="885"/>
      <c r="FA495" s="885"/>
      <c r="FB495" s="885"/>
      <c r="FC495" s="885"/>
      <c r="FD495" s="886"/>
      <c r="FE495" s="878"/>
      <c r="FF495" s="878"/>
      <c r="FG495" s="878"/>
      <c r="FH495" s="878"/>
      <c r="FI495" s="878"/>
      <c r="FJ495" s="878"/>
      <c r="FK495" s="878"/>
      <c r="FL495" s="555"/>
      <c r="FM495" s="554"/>
      <c r="FN495" s="554"/>
      <c r="FO495" s="554"/>
      <c r="FP495" s="554"/>
      <c r="FQ495" s="554"/>
      <c r="FR495" s="554"/>
      <c r="FS495" s="554"/>
      <c r="FT495" s="554"/>
      <c r="FU495" s="554"/>
      <c r="FV495" s="554"/>
      <c r="FW495" s="554"/>
      <c r="FX495" s="554"/>
      <c r="FY495" s="554"/>
      <c r="FZ495" s="554"/>
      <c r="GA495" s="554"/>
      <c r="GB495" s="556"/>
      <c r="GC495" s="370"/>
      <c r="GD495" s="453"/>
      <c r="GE495" s="453"/>
      <c r="GF495" s="453"/>
      <c r="GG495" s="453"/>
      <c r="GH495" s="454"/>
      <c r="GI495" s="453"/>
      <c r="GJ495" s="453"/>
      <c r="GK495" s="453"/>
      <c r="GL495" s="453"/>
      <c r="GM495" s="453"/>
      <c r="GN495" s="453"/>
      <c r="GO495" s="453"/>
      <c r="GP495" s="453"/>
      <c r="GQ495" s="453"/>
      <c r="GR495" s="453"/>
      <c r="GS495" s="561"/>
      <c r="GT495" s="475"/>
      <c r="GU495" s="472"/>
      <c r="GV495" s="453"/>
      <c r="GW495" s="453"/>
      <c r="GX495" s="869"/>
      <c r="GY495" s="870"/>
      <c r="GZ495" s="867"/>
      <c r="HA495" s="868"/>
      <c r="HB495" s="473"/>
      <c r="HC495" s="869"/>
      <c r="HD495" s="870"/>
      <c r="HE495" s="867"/>
      <c r="HF495" s="868"/>
      <c r="HG495" s="473"/>
      <c r="HH495" s="867"/>
      <c r="HI495" s="868"/>
      <c r="HJ495" s="867"/>
      <c r="HK495" s="868"/>
      <c r="HL495" s="370"/>
      <c r="HM495" s="865"/>
      <c r="HN495" s="866"/>
      <c r="HO495" s="865"/>
      <c r="HP495" s="866"/>
      <c r="HQ495" s="865"/>
      <c r="HR495" s="866"/>
      <c r="HS495" s="867"/>
      <c r="HT495" s="868"/>
      <c r="HU495" s="489"/>
      <c r="HV495" s="865"/>
      <c r="HW495" s="866"/>
    </row>
    <row r="496" spans="25:231" ht="15" customHeight="1">
      <c r="Y496" s="332"/>
      <c r="Z496" s="332"/>
      <c r="AA496" s="332"/>
      <c r="AB496" s="332"/>
      <c r="AC496" s="332"/>
      <c r="AD496" s="332"/>
      <c r="AE496" s="332"/>
      <c r="AF496" s="332"/>
      <c r="AG496" s="332"/>
      <c r="AH496" s="332"/>
      <c r="AI496" s="332"/>
      <c r="AJ496" s="332"/>
      <c r="AK496" s="332"/>
      <c r="AL496" s="332"/>
      <c r="AM496" s="332"/>
      <c r="AN496" s="332"/>
      <c r="AO496" s="332"/>
      <c r="AP496" s="332"/>
      <c r="AQ496" s="332"/>
      <c r="AR496" s="332"/>
      <c r="AS496" s="332"/>
      <c r="AT496" s="332"/>
      <c r="AU496" s="332"/>
      <c r="AV496" s="332"/>
      <c r="AW496" s="332"/>
      <c r="AX496" s="332"/>
      <c r="AY496" s="332"/>
      <c r="AZ496" s="332"/>
      <c r="BA496" s="332"/>
      <c r="BB496" s="332"/>
      <c r="BC496" s="332"/>
      <c r="BD496" s="332"/>
      <c r="BE496" s="332"/>
      <c r="BF496" s="332"/>
      <c r="BG496" s="332"/>
      <c r="BH496" s="332"/>
      <c r="BI496" s="332"/>
      <c r="BJ496" s="332"/>
      <c r="BK496" s="332"/>
      <c r="BL496" s="332"/>
      <c r="BM496" s="332"/>
      <c r="BN496" s="332"/>
      <c r="BO496" s="332"/>
      <c r="BP496" s="332"/>
      <c r="BQ496" s="332"/>
      <c r="BR496" s="332"/>
      <c r="BS496" s="332"/>
      <c r="BT496" s="332"/>
      <c r="BU496" s="332"/>
      <c r="BV496" s="332"/>
      <c r="BW496" s="332"/>
      <c r="BX496" s="332"/>
      <c r="BY496" s="332"/>
      <c r="BZ496" s="332"/>
      <c r="CA496" s="332"/>
      <c r="CB496" s="332"/>
      <c r="CC496" s="332"/>
      <c r="CD496" s="332"/>
      <c r="CE496" s="332"/>
      <c r="CF496" s="332"/>
      <c r="CG496" s="332"/>
      <c r="CH496" s="332"/>
      <c r="CI496" s="332"/>
      <c r="CJ496" s="332"/>
      <c r="CK496" s="332"/>
      <c r="CL496" s="332"/>
      <c r="CM496" s="332"/>
      <c r="CN496" s="332"/>
      <c r="CO496" s="332"/>
      <c r="CP496" s="332"/>
      <c r="CQ496" s="332"/>
      <c r="CR496" s="332"/>
      <c r="CS496" s="332"/>
      <c r="CT496" s="332"/>
      <c r="CU496" s="332"/>
      <c r="CV496" s="332"/>
      <c r="CW496" s="332"/>
      <c r="CX496" s="332"/>
      <c r="CY496" s="332"/>
      <c r="CZ496" s="332"/>
      <c r="DA496" s="332"/>
      <c r="DB496" s="332"/>
      <c r="DC496" s="332"/>
      <c r="DD496" s="332"/>
      <c r="DE496" s="332"/>
      <c r="DF496" s="332"/>
      <c r="DG496" s="332"/>
      <c r="DH496" s="332"/>
      <c r="DI496" s="332"/>
      <c r="DJ496" s="332"/>
      <c r="DK496" s="332"/>
      <c r="DL496" s="332"/>
      <c r="DM496" s="332"/>
      <c r="DN496" s="332"/>
      <c r="DO496" s="332"/>
      <c r="DP496" s="332"/>
      <c r="DQ496" s="332"/>
      <c r="DR496" s="332"/>
      <c r="DS496" s="332"/>
      <c r="DT496" s="332"/>
      <c r="DU496" s="453"/>
      <c r="DV496" s="453"/>
      <c r="DW496" s="453"/>
      <c r="DX496" s="453"/>
      <c r="DY496" s="453"/>
      <c r="DZ496" s="453"/>
      <c r="EA496" s="453"/>
      <c r="EB496" s="453"/>
      <c r="EC496" s="453"/>
      <c r="ED496" s="453"/>
      <c r="EE496" s="453"/>
      <c r="EF496" s="453"/>
      <c r="EG496" s="453"/>
      <c r="EH496" s="453"/>
      <c r="EI496" s="453"/>
      <c r="EJ496" s="453"/>
      <c r="EK496" s="453"/>
      <c r="EL496" s="453"/>
      <c r="EM496" s="483">
        <f t="shared" si="218"/>
        <v>187</v>
      </c>
      <c r="EN496" s="485"/>
      <c r="EO496" s="804"/>
      <c r="EP496" s="805"/>
      <c r="EQ496" s="806"/>
      <c r="ER496" s="808"/>
      <c r="ES496" s="881">
        <f t="shared" si="219"/>
        <v>0</v>
      </c>
      <c r="ET496" s="882"/>
      <c r="EU496" s="883"/>
      <c r="EV496" s="884">
        <f t="shared" si="217"/>
        <v>0</v>
      </c>
      <c r="EW496" s="885"/>
      <c r="EX496" s="885"/>
      <c r="EY496" s="885"/>
      <c r="EZ496" s="885"/>
      <c r="FA496" s="885"/>
      <c r="FB496" s="885"/>
      <c r="FC496" s="885"/>
      <c r="FD496" s="886"/>
      <c r="FE496" s="878"/>
      <c r="FF496" s="878"/>
      <c r="FG496" s="878"/>
      <c r="FH496" s="878"/>
      <c r="FI496" s="878"/>
      <c r="FJ496" s="878"/>
      <c r="FK496" s="878"/>
      <c r="FL496" s="555"/>
      <c r="FM496" s="554"/>
      <c r="FN496" s="554"/>
      <c r="FO496" s="554"/>
      <c r="FP496" s="554"/>
      <c r="FQ496" s="554"/>
      <c r="FR496" s="554"/>
      <c r="FS496" s="554"/>
      <c r="FT496" s="554"/>
      <c r="FU496" s="554"/>
      <c r="FV496" s="554"/>
      <c r="FW496" s="554"/>
      <c r="FX496" s="554"/>
      <c r="FY496" s="554"/>
      <c r="FZ496" s="554"/>
      <c r="GA496" s="554"/>
      <c r="GB496" s="556"/>
      <c r="GC496" s="370"/>
      <c r="GD496" s="453"/>
      <c r="GE496" s="453"/>
      <c r="GF496" s="453"/>
      <c r="GG496" s="453"/>
      <c r="GH496" s="454"/>
      <c r="GI496" s="453"/>
      <c r="GJ496" s="453"/>
      <c r="GK496" s="453"/>
      <c r="GL496" s="453"/>
      <c r="GM496" s="453"/>
      <c r="GN496" s="453"/>
      <c r="GO496" s="453"/>
      <c r="GP496" s="453"/>
      <c r="GQ496" s="453"/>
      <c r="GR496" s="453"/>
      <c r="GS496" s="561"/>
      <c r="GT496" s="475"/>
      <c r="GU496" s="472"/>
      <c r="GV496" s="453"/>
      <c r="GW496" s="453"/>
      <c r="GX496" s="869"/>
      <c r="GY496" s="870"/>
      <c r="GZ496" s="867"/>
      <c r="HA496" s="868"/>
      <c r="HB496" s="473"/>
      <c r="HC496" s="869"/>
      <c r="HD496" s="870"/>
      <c r="HE496" s="867"/>
      <c r="HF496" s="868"/>
      <c r="HG496" s="473"/>
      <c r="HH496" s="867"/>
      <c r="HI496" s="868"/>
      <c r="HJ496" s="867"/>
      <c r="HK496" s="868"/>
      <c r="HL496" s="370"/>
      <c r="HM496" s="865"/>
      <c r="HN496" s="866"/>
      <c r="HO496" s="865"/>
      <c r="HP496" s="866"/>
      <c r="HQ496" s="865"/>
      <c r="HR496" s="866"/>
      <c r="HS496" s="867"/>
      <c r="HT496" s="868"/>
      <c r="HU496" s="489"/>
      <c r="HV496" s="865"/>
      <c r="HW496" s="866"/>
    </row>
    <row r="497" spans="25:231" ht="15" customHeight="1">
      <c r="Y497" s="332"/>
      <c r="Z497" s="332"/>
      <c r="AA497" s="332"/>
      <c r="AB497" s="332"/>
      <c r="AC497" s="332"/>
      <c r="AD497" s="332"/>
      <c r="AE497" s="332"/>
      <c r="AF497" s="332"/>
      <c r="AG497" s="332"/>
      <c r="AH497" s="332"/>
      <c r="AI497" s="332"/>
      <c r="AJ497" s="332"/>
      <c r="AK497" s="332"/>
      <c r="AL497" s="332"/>
      <c r="AM497" s="332"/>
      <c r="AN497" s="332"/>
      <c r="AO497" s="332"/>
      <c r="AP497" s="332"/>
      <c r="AQ497" s="332"/>
      <c r="AR497" s="332"/>
      <c r="AS497" s="332"/>
      <c r="AT497" s="332"/>
      <c r="AU497" s="332"/>
      <c r="AV497" s="332"/>
      <c r="AW497" s="332"/>
      <c r="AX497" s="332"/>
      <c r="AY497" s="332"/>
      <c r="AZ497" s="332"/>
      <c r="BA497" s="332"/>
      <c r="BB497" s="332"/>
      <c r="BC497" s="332"/>
      <c r="BD497" s="332"/>
      <c r="BE497" s="332"/>
      <c r="BF497" s="332"/>
      <c r="BG497" s="332"/>
      <c r="BH497" s="332"/>
      <c r="BI497" s="332"/>
      <c r="BJ497" s="332"/>
      <c r="BK497" s="332"/>
      <c r="BL497" s="332"/>
      <c r="BM497" s="332"/>
      <c r="BN497" s="332"/>
      <c r="BO497" s="332"/>
      <c r="BP497" s="332"/>
      <c r="BQ497" s="332"/>
      <c r="BR497" s="332"/>
      <c r="BS497" s="332"/>
      <c r="BT497" s="332"/>
      <c r="BU497" s="332"/>
      <c r="BV497" s="332"/>
      <c r="BW497" s="332"/>
      <c r="BX497" s="332"/>
      <c r="BY497" s="332"/>
      <c r="BZ497" s="332"/>
      <c r="CA497" s="332"/>
      <c r="CB497" s="332"/>
      <c r="CC497" s="332"/>
      <c r="CD497" s="332"/>
      <c r="CE497" s="332"/>
      <c r="CF497" s="332"/>
      <c r="CG497" s="332"/>
      <c r="CH497" s="332"/>
      <c r="CI497" s="332"/>
      <c r="CJ497" s="332"/>
      <c r="CK497" s="332"/>
      <c r="CL497" s="332"/>
      <c r="CM497" s="332"/>
      <c r="CN497" s="332"/>
      <c r="CO497" s="332"/>
      <c r="CP497" s="332"/>
      <c r="CQ497" s="332"/>
      <c r="CR497" s="332"/>
      <c r="CS497" s="332"/>
      <c r="CT497" s="332"/>
      <c r="CU497" s="332"/>
      <c r="CV497" s="332"/>
      <c r="CW497" s="332"/>
      <c r="CX497" s="332"/>
      <c r="CY497" s="332"/>
      <c r="CZ497" s="332"/>
      <c r="DA497" s="332"/>
      <c r="DB497" s="332"/>
      <c r="DC497" s="332"/>
      <c r="DD497" s="332"/>
      <c r="DE497" s="332"/>
      <c r="DF497" s="332"/>
      <c r="DG497" s="332"/>
      <c r="DH497" s="332"/>
      <c r="DI497" s="332"/>
      <c r="DJ497" s="332"/>
      <c r="DK497" s="332"/>
      <c r="DL497" s="332"/>
      <c r="DM497" s="332"/>
      <c r="DN497" s="332"/>
      <c r="DO497" s="332"/>
      <c r="DP497" s="332"/>
      <c r="DQ497" s="332"/>
      <c r="DR497" s="332"/>
      <c r="DS497" s="332"/>
      <c r="DT497" s="332"/>
      <c r="DU497" s="453"/>
      <c r="DV497" s="453"/>
      <c r="DW497" s="453"/>
      <c r="DX497" s="453"/>
      <c r="DY497" s="453"/>
      <c r="DZ497" s="453"/>
      <c r="EA497" s="453"/>
      <c r="EB497" s="453"/>
      <c r="EC497" s="453"/>
      <c r="ED497" s="453"/>
      <c r="EE497" s="453"/>
      <c r="EF497" s="453"/>
      <c r="EG497" s="453"/>
      <c r="EH497" s="453"/>
      <c r="EI497" s="453"/>
      <c r="EJ497" s="453"/>
      <c r="EK497" s="453"/>
      <c r="EL497" s="453"/>
      <c r="EM497" s="483">
        <f t="shared" si="218"/>
        <v>188</v>
      </c>
      <c r="EN497" s="485"/>
      <c r="EO497" s="804"/>
      <c r="EP497" s="805"/>
      <c r="EQ497" s="806"/>
      <c r="ER497" s="808"/>
      <c r="ES497" s="881">
        <f t="shared" si="219"/>
        <v>0</v>
      </c>
      <c r="ET497" s="882"/>
      <c r="EU497" s="883"/>
      <c r="EV497" s="884">
        <f t="shared" si="217"/>
        <v>0</v>
      </c>
      <c r="EW497" s="885"/>
      <c r="EX497" s="885"/>
      <c r="EY497" s="885"/>
      <c r="EZ497" s="885"/>
      <c r="FA497" s="885"/>
      <c r="FB497" s="885"/>
      <c r="FC497" s="885"/>
      <c r="FD497" s="886"/>
      <c r="FE497" s="878"/>
      <c r="FF497" s="878"/>
      <c r="FG497" s="878"/>
      <c r="FH497" s="878"/>
      <c r="FI497" s="878"/>
      <c r="FJ497" s="878"/>
      <c r="FK497" s="878"/>
      <c r="FL497" s="555"/>
      <c r="FM497" s="554"/>
      <c r="FN497" s="554"/>
      <c r="FO497" s="554"/>
      <c r="FP497" s="554"/>
      <c r="FQ497" s="554"/>
      <c r="FR497" s="554"/>
      <c r="FS497" s="554"/>
      <c r="FT497" s="554"/>
      <c r="FU497" s="554"/>
      <c r="FV497" s="554"/>
      <c r="FW497" s="554"/>
      <c r="FX497" s="554"/>
      <c r="FY497" s="554"/>
      <c r="FZ497" s="554"/>
      <c r="GA497" s="554"/>
      <c r="GB497" s="556"/>
      <c r="GC497" s="370"/>
      <c r="GD497" s="453"/>
      <c r="GE497" s="453"/>
      <c r="GF497" s="453"/>
      <c r="GG497" s="453"/>
      <c r="GH497" s="454"/>
      <c r="GI497" s="453"/>
      <c r="GJ497" s="453"/>
      <c r="GK497" s="453"/>
      <c r="GL497" s="453"/>
      <c r="GM497" s="453"/>
      <c r="GN497" s="453"/>
      <c r="GO497" s="453"/>
      <c r="GP497" s="453"/>
      <c r="GQ497" s="453"/>
      <c r="GR497" s="453"/>
      <c r="GS497" s="561"/>
      <c r="GT497" s="475"/>
      <c r="GU497" s="472"/>
      <c r="GV497" s="453"/>
      <c r="GW497" s="453"/>
      <c r="GX497" s="869"/>
      <c r="GY497" s="870"/>
      <c r="GZ497" s="867"/>
      <c r="HA497" s="868"/>
      <c r="HB497" s="473"/>
      <c r="HC497" s="869"/>
      <c r="HD497" s="870"/>
      <c r="HE497" s="867"/>
      <c r="HF497" s="868"/>
      <c r="HG497" s="473"/>
      <c r="HH497" s="867"/>
      <c r="HI497" s="868"/>
      <c r="HJ497" s="867"/>
      <c r="HK497" s="868"/>
      <c r="HL497" s="370"/>
      <c r="HM497" s="865"/>
      <c r="HN497" s="866"/>
      <c r="HO497" s="865"/>
      <c r="HP497" s="866"/>
      <c r="HQ497" s="865"/>
      <c r="HR497" s="866"/>
      <c r="HS497" s="867"/>
      <c r="HT497" s="868"/>
      <c r="HU497" s="489"/>
      <c r="HV497" s="865"/>
      <c r="HW497" s="866"/>
    </row>
    <row r="498" spans="25:231" ht="15" customHeight="1">
      <c r="Y498" s="332"/>
      <c r="Z498" s="332"/>
      <c r="AA498" s="332"/>
      <c r="AB498" s="332"/>
      <c r="AC498" s="332"/>
      <c r="AD498" s="332"/>
      <c r="AE498" s="332"/>
      <c r="AF498" s="332"/>
      <c r="AG498" s="332"/>
      <c r="AH498" s="332"/>
      <c r="AI498" s="332"/>
      <c r="AJ498" s="332"/>
      <c r="AK498" s="332"/>
      <c r="AL498" s="332"/>
      <c r="AM498" s="332"/>
      <c r="AN498" s="332"/>
      <c r="AO498" s="332"/>
      <c r="AP498" s="332"/>
      <c r="AQ498" s="332"/>
      <c r="AR498" s="332"/>
      <c r="AS498" s="332"/>
      <c r="AT498" s="332"/>
      <c r="AU498" s="332"/>
      <c r="AV498" s="332"/>
      <c r="AW498" s="332"/>
      <c r="AX498" s="332"/>
      <c r="AY498" s="332"/>
      <c r="AZ498" s="332"/>
      <c r="BA498" s="332"/>
      <c r="BB498" s="332"/>
      <c r="BC498" s="332"/>
      <c r="BD498" s="332"/>
      <c r="BE498" s="332"/>
      <c r="BF498" s="332"/>
      <c r="BG498" s="332"/>
      <c r="BH498" s="332"/>
      <c r="BI498" s="332"/>
      <c r="BJ498" s="332"/>
      <c r="BK498" s="332"/>
      <c r="BL498" s="332"/>
      <c r="BM498" s="332"/>
      <c r="BN498" s="332"/>
      <c r="BO498" s="332"/>
      <c r="BP498" s="332"/>
      <c r="BQ498" s="332"/>
      <c r="BR498" s="332"/>
      <c r="BS498" s="332"/>
      <c r="BT498" s="332"/>
      <c r="BU498" s="332"/>
      <c r="BV498" s="332"/>
      <c r="BW498" s="332"/>
      <c r="BX498" s="332"/>
      <c r="BY498" s="332"/>
      <c r="BZ498" s="332"/>
      <c r="CA498" s="332"/>
      <c r="CB498" s="332"/>
      <c r="CC498" s="332"/>
      <c r="CD498" s="332"/>
      <c r="CE498" s="332"/>
      <c r="CF498" s="332"/>
      <c r="CG498" s="332"/>
      <c r="CH498" s="332"/>
      <c r="CI498" s="332"/>
      <c r="CJ498" s="332"/>
      <c r="CK498" s="332"/>
      <c r="CL498" s="332"/>
      <c r="CM498" s="332"/>
      <c r="CN498" s="332"/>
      <c r="CO498" s="332"/>
      <c r="CP498" s="332"/>
      <c r="CQ498" s="332"/>
      <c r="CR498" s="332"/>
      <c r="CS498" s="332"/>
      <c r="CT498" s="332"/>
      <c r="CU498" s="332"/>
      <c r="CV498" s="332"/>
      <c r="CW498" s="332"/>
      <c r="CX498" s="332"/>
      <c r="CY498" s="332"/>
      <c r="CZ498" s="332"/>
      <c r="DA498" s="332"/>
      <c r="DB498" s="332"/>
      <c r="DC498" s="332"/>
      <c r="DD498" s="332"/>
      <c r="DE498" s="332"/>
      <c r="DF498" s="332"/>
      <c r="DG498" s="332"/>
      <c r="DH498" s="332"/>
      <c r="DI498" s="332"/>
      <c r="DJ498" s="332"/>
      <c r="DK498" s="332"/>
      <c r="DL498" s="332"/>
      <c r="DM498" s="332"/>
      <c r="DN498" s="332"/>
      <c r="DO498" s="332"/>
      <c r="DP498" s="332"/>
      <c r="DQ498" s="332"/>
      <c r="DR498" s="332"/>
      <c r="DS498" s="332"/>
      <c r="DT498" s="332"/>
      <c r="DU498" s="453"/>
      <c r="DV498" s="453"/>
      <c r="DW498" s="453"/>
      <c r="DX498" s="453"/>
      <c r="DY498" s="453"/>
      <c r="DZ498" s="453"/>
      <c r="EA498" s="453"/>
      <c r="EB498" s="453"/>
      <c r="EC498" s="453"/>
      <c r="ED498" s="453"/>
      <c r="EE498" s="453"/>
      <c r="EF498" s="453"/>
      <c r="EG498" s="453"/>
      <c r="EH498" s="453"/>
      <c r="EI498" s="453"/>
      <c r="EJ498" s="453"/>
      <c r="EK498" s="453"/>
      <c r="EL498" s="453"/>
      <c r="EM498" s="483">
        <f t="shared" si="218"/>
        <v>189</v>
      </c>
      <c r="EN498" s="485"/>
      <c r="EO498" s="804"/>
      <c r="EP498" s="805"/>
      <c r="EQ498" s="806"/>
      <c r="ER498" s="808"/>
      <c r="ES498" s="881">
        <f t="shared" si="219"/>
        <v>0</v>
      </c>
      <c r="ET498" s="882"/>
      <c r="EU498" s="883"/>
      <c r="EV498" s="884">
        <f t="shared" si="217"/>
        <v>0</v>
      </c>
      <c r="EW498" s="885"/>
      <c r="EX498" s="885"/>
      <c r="EY498" s="885"/>
      <c r="EZ498" s="885"/>
      <c r="FA498" s="885"/>
      <c r="FB498" s="885"/>
      <c r="FC498" s="885"/>
      <c r="FD498" s="886"/>
      <c r="FE498" s="878"/>
      <c r="FF498" s="878"/>
      <c r="FG498" s="878"/>
      <c r="FH498" s="878"/>
      <c r="FI498" s="878"/>
      <c r="FJ498" s="878"/>
      <c r="FK498" s="878"/>
      <c r="FL498" s="555"/>
      <c r="FM498" s="554"/>
      <c r="FN498" s="554"/>
      <c r="FO498" s="554"/>
      <c r="FP498" s="554"/>
      <c r="FQ498" s="554"/>
      <c r="FR498" s="554"/>
      <c r="FS498" s="554"/>
      <c r="FT498" s="554"/>
      <c r="FU498" s="554"/>
      <c r="FV498" s="554"/>
      <c r="FW498" s="554"/>
      <c r="FX498" s="554"/>
      <c r="FY498" s="554"/>
      <c r="FZ498" s="554"/>
      <c r="GA498" s="554"/>
      <c r="GB498" s="556"/>
      <c r="GC498" s="370"/>
      <c r="GD498" s="453"/>
      <c r="GE498" s="453"/>
      <c r="GF498" s="453"/>
      <c r="GG498" s="453"/>
      <c r="GH498" s="454"/>
      <c r="GI498" s="453"/>
      <c r="GJ498" s="453"/>
      <c r="GK498" s="453"/>
      <c r="GL498" s="453"/>
      <c r="GM498" s="453"/>
      <c r="GN498" s="453"/>
      <c r="GO498" s="453"/>
      <c r="GP498" s="453"/>
      <c r="GQ498" s="453"/>
      <c r="GR498" s="453"/>
      <c r="GS498" s="561"/>
      <c r="GT498" s="475"/>
      <c r="GU498" s="472"/>
      <c r="GV498" s="453"/>
      <c r="GW498" s="453"/>
      <c r="GX498" s="869"/>
      <c r="GY498" s="870"/>
      <c r="GZ498" s="867"/>
      <c r="HA498" s="868"/>
      <c r="HB498" s="473"/>
      <c r="HC498" s="869"/>
      <c r="HD498" s="870"/>
      <c r="HE498" s="867"/>
      <c r="HF498" s="868"/>
      <c r="HG498" s="473"/>
      <c r="HH498" s="867"/>
      <c r="HI498" s="868"/>
      <c r="HJ498" s="867"/>
      <c r="HK498" s="868"/>
      <c r="HL498" s="370"/>
      <c r="HM498" s="865"/>
      <c r="HN498" s="866"/>
      <c r="HO498" s="865"/>
      <c r="HP498" s="866"/>
      <c r="HQ498" s="865"/>
      <c r="HR498" s="866"/>
      <c r="HS498" s="867"/>
      <c r="HT498" s="868"/>
      <c r="HU498" s="489"/>
      <c r="HV498" s="865"/>
      <c r="HW498" s="866"/>
    </row>
    <row r="499" spans="25:231" ht="15" customHeight="1">
      <c r="Y499" s="332"/>
      <c r="Z499" s="332"/>
      <c r="AA499" s="332"/>
      <c r="AB499" s="332"/>
      <c r="AC499" s="332"/>
      <c r="AD499" s="332"/>
      <c r="AE499" s="332"/>
      <c r="AF499" s="332"/>
      <c r="AG499" s="332"/>
      <c r="AH499" s="332"/>
      <c r="AI499" s="332"/>
      <c r="AJ499" s="332"/>
      <c r="AK499" s="332"/>
      <c r="AL499" s="332"/>
      <c r="AM499" s="332"/>
      <c r="AN499" s="332"/>
      <c r="AO499" s="332"/>
      <c r="AP499" s="332"/>
      <c r="AQ499" s="332"/>
      <c r="AR499" s="332"/>
      <c r="AS499" s="332"/>
      <c r="AT499" s="332"/>
      <c r="AU499" s="332"/>
      <c r="AV499" s="332"/>
      <c r="AW499" s="332"/>
      <c r="AX499" s="332"/>
      <c r="AY499" s="332"/>
      <c r="AZ499" s="332"/>
      <c r="BA499" s="332"/>
      <c r="BB499" s="332"/>
      <c r="BC499" s="332"/>
      <c r="BD499" s="332"/>
      <c r="BE499" s="332"/>
      <c r="BF499" s="332"/>
      <c r="BG499" s="332"/>
      <c r="BH499" s="332"/>
      <c r="BI499" s="332"/>
      <c r="BJ499" s="332"/>
      <c r="BK499" s="332"/>
      <c r="BL499" s="332"/>
      <c r="BM499" s="332"/>
      <c r="BN499" s="332"/>
      <c r="BO499" s="332"/>
      <c r="BP499" s="332"/>
      <c r="BQ499" s="332"/>
      <c r="BR499" s="332"/>
      <c r="BS499" s="332"/>
      <c r="BT499" s="332"/>
      <c r="BU499" s="332"/>
      <c r="BV499" s="332"/>
      <c r="BW499" s="332"/>
      <c r="BX499" s="332"/>
      <c r="BY499" s="332"/>
      <c r="BZ499" s="332"/>
      <c r="CA499" s="332"/>
      <c r="CB499" s="332"/>
      <c r="CC499" s="332"/>
      <c r="CD499" s="332"/>
      <c r="CE499" s="332"/>
      <c r="CF499" s="332"/>
      <c r="CG499" s="332"/>
      <c r="CH499" s="332"/>
      <c r="CI499" s="332"/>
      <c r="CJ499" s="332"/>
      <c r="CK499" s="332"/>
      <c r="CL499" s="332"/>
      <c r="CM499" s="332"/>
      <c r="CN499" s="332"/>
      <c r="CO499" s="332"/>
      <c r="CP499" s="332"/>
      <c r="CQ499" s="332"/>
      <c r="CR499" s="332"/>
      <c r="CS499" s="332"/>
      <c r="CT499" s="332"/>
      <c r="CU499" s="332"/>
      <c r="CV499" s="332"/>
      <c r="CW499" s="332"/>
      <c r="CX499" s="332"/>
      <c r="CY499" s="332"/>
      <c r="CZ499" s="332"/>
      <c r="DA499" s="332"/>
      <c r="DB499" s="332"/>
      <c r="DC499" s="332"/>
      <c r="DD499" s="332"/>
      <c r="DE499" s="332"/>
      <c r="DF499" s="332"/>
      <c r="DG499" s="332"/>
      <c r="DH499" s="332"/>
      <c r="DI499" s="332"/>
      <c r="DJ499" s="332"/>
      <c r="DK499" s="332"/>
      <c r="DL499" s="332"/>
      <c r="DM499" s="332"/>
      <c r="DN499" s="332"/>
      <c r="DO499" s="332"/>
      <c r="DP499" s="332"/>
      <c r="DQ499" s="332"/>
      <c r="DR499" s="332"/>
      <c r="DS499" s="332"/>
      <c r="DT499" s="332"/>
      <c r="DU499" s="453"/>
      <c r="DV499" s="453"/>
      <c r="DW499" s="453"/>
      <c r="DX499" s="453"/>
      <c r="DY499" s="453"/>
      <c r="DZ499" s="453"/>
      <c r="EA499" s="453"/>
      <c r="EB499" s="453"/>
      <c r="EC499" s="453"/>
      <c r="ED499" s="453"/>
      <c r="EE499" s="453"/>
      <c r="EF499" s="453"/>
      <c r="EG499" s="453"/>
      <c r="EH499" s="453"/>
      <c r="EI499" s="453"/>
      <c r="EJ499" s="453"/>
      <c r="EK499" s="453"/>
      <c r="EL499" s="453"/>
      <c r="EM499" s="483">
        <f t="shared" si="218"/>
        <v>190</v>
      </c>
      <c r="EN499" s="485"/>
      <c r="EO499" s="804"/>
      <c r="EP499" s="805"/>
      <c r="EQ499" s="806"/>
      <c r="ER499" s="808"/>
      <c r="ES499" s="881">
        <f t="shared" si="219"/>
        <v>0</v>
      </c>
      <c r="ET499" s="882"/>
      <c r="EU499" s="883"/>
      <c r="EV499" s="884">
        <f t="shared" si="217"/>
        <v>0</v>
      </c>
      <c r="EW499" s="885"/>
      <c r="EX499" s="885"/>
      <c r="EY499" s="885"/>
      <c r="EZ499" s="885"/>
      <c r="FA499" s="885"/>
      <c r="FB499" s="885"/>
      <c r="FC499" s="885"/>
      <c r="FD499" s="886"/>
      <c r="FE499" s="878"/>
      <c r="FF499" s="878"/>
      <c r="FG499" s="878"/>
      <c r="FH499" s="878"/>
      <c r="FI499" s="878"/>
      <c r="FJ499" s="878"/>
      <c r="FK499" s="878"/>
      <c r="FL499" s="555"/>
      <c r="FM499" s="554"/>
      <c r="FN499" s="554"/>
      <c r="FO499" s="554"/>
      <c r="FP499" s="554"/>
      <c r="FQ499" s="554"/>
      <c r="FR499" s="554"/>
      <c r="FS499" s="554"/>
      <c r="FT499" s="554"/>
      <c r="FU499" s="554"/>
      <c r="FV499" s="554"/>
      <c r="FW499" s="554"/>
      <c r="FX499" s="554"/>
      <c r="FY499" s="554"/>
      <c r="FZ499" s="554"/>
      <c r="GA499" s="554"/>
      <c r="GB499" s="556"/>
      <c r="GC499" s="370"/>
      <c r="GD499" s="453"/>
      <c r="GE499" s="453"/>
      <c r="GF499" s="453"/>
      <c r="GG499" s="453"/>
      <c r="GH499" s="454"/>
      <c r="GI499" s="453"/>
      <c r="GJ499" s="453"/>
      <c r="GK499" s="453"/>
      <c r="GL499" s="453"/>
      <c r="GM499" s="453"/>
      <c r="GN499" s="453"/>
      <c r="GO499" s="453"/>
      <c r="GP499" s="453"/>
      <c r="GQ499" s="453"/>
      <c r="GR499" s="453"/>
      <c r="GS499" s="561"/>
      <c r="GT499" s="475"/>
      <c r="GU499" s="472"/>
      <c r="GV499" s="453"/>
      <c r="GW499" s="453"/>
      <c r="GX499" s="869"/>
      <c r="GY499" s="870"/>
      <c r="GZ499" s="867"/>
      <c r="HA499" s="868"/>
      <c r="HB499" s="473"/>
      <c r="HC499" s="869"/>
      <c r="HD499" s="870"/>
      <c r="HE499" s="867"/>
      <c r="HF499" s="868"/>
      <c r="HG499" s="473"/>
      <c r="HH499" s="867"/>
      <c r="HI499" s="868"/>
      <c r="HJ499" s="867"/>
      <c r="HK499" s="868"/>
      <c r="HL499" s="370"/>
      <c r="HM499" s="865"/>
      <c r="HN499" s="866"/>
      <c r="HO499" s="865"/>
      <c r="HP499" s="866"/>
      <c r="HQ499" s="865"/>
      <c r="HR499" s="866"/>
      <c r="HS499" s="867"/>
      <c r="HT499" s="868"/>
      <c r="HU499" s="489"/>
      <c r="HV499" s="865"/>
      <c r="HW499" s="866"/>
    </row>
    <row r="500" spans="25:231" ht="15" customHeight="1">
      <c r="Y500" s="332"/>
      <c r="Z500" s="332"/>
      <c r="AA500" s="332"/>
      <c r="AB500" s="332"/>
      <c r="AC500" s="332"/>
      <c r="AD500" s="332"/>
      <c r="AE500" s="332"/>
      <c r="AF500" s="332"/>
      <c r="AG500" s="332"/>
      <c r="AH500" s="332"/>
      <c r="AI500" s="332"/>
      <c r="AJ500" s="332"/>
      <c r="AK500" s="332"/>
      <c r="AL500" s="332"/>
      <c r="AM500" s="332"/>
      <c r="AN500" s="332"/>
      <c r="AO500" s="332"/>
      <c r="AP500" s="332"/>
      <c r="AQ500" s="332"/>
      <c r="AR500" s="332"/>
      <c r="AS500" s="332"/>
      <c r="AT500" s="332"/>
      <c r="AU500" s="332"/>
      <c r="AV500" s="332"/>
      <c r="AW500" s="332"/>
      <c r="AX500" s="332"/>
      <c r="AY500" s="332"/>
      <c r="AZ500" s="332"/>
      <c r="BA500" s="332"/>
      <c r="BB500" s="332"/>
      <c r="BC500" s="332"/>
      <c r="BD500" s="332"/>
      <c r="BE500" s="332"/>
      <c r="BF500" s="332"/>
      <c r="BG500" s="332"/>
      <c r="BH500" s="332"/>
      <c r="BI500" s="332"/>
      <c r="BJ500" s="332"/>
      <c r="BK500" s="332"/>
      <c r="BL500" s="332"/>
      <c r="BM500" s="332"/>
      <c r="BN500" s="332"/>
      <c r="BO500" s="332"/>
      <c r="BP500" s="332"/>
      <c r="BQ500" s="332"/>
      <c r="BR500" s="332"/>
      <c r="BS500" s="332"/>
      <c r="BT500" s="332"/>
      <c r="BU500" s="332"/>
      <c r="BV500" s="332"/>
      <c r="BW500" s="332"/>
      <c r="BX500" s="332"/>
      <c r="BY500" s="332"/>
      <c r="BZ500" s="332"/>
      <c r="CA500" s="332"/>
      <c r="CB500" s="332"/>
      <c r="CC500" s="332"/>
      <c r="CD500" s="332"/>
      <c r="CE500" s="332"/>
      <c r="CF500" s="332"/>
      <c r="CG500" s="332"/>
      <c r="CH500" s="332"/>
      <c r="CI500" s="332"/>
      <c r="CJ500" s="332"/>
      <c r="CK500" s="332"/>
      <c r="CL500" s="332"/>
      <c r="CM500" s="332"/>
      <c r="CN500" s="332"/>
      <c r="CO500" s="332"/>
      <c r="CP500" s="332"/>
      <c r="CQ500" s="332"/>
      <c r="CR500" s="332"/>
      <c r="CS500" s="332"/>
      <c r="CT500" s="332"/>
      <c r="CU500" s="332"/>
      <c r="CV500" s="332"/>
      <c r="CW500" s="332"/>
      <c r="CX500" s="332"/>
      <c r="CY500" s="332"/>
      <c r="CZ500" s="332"/>
      <c r="DA500" s="332"/>
      <c r="DB500" s="332"/>
      <c r="DC500" s="332"/>
      <c r="DD500" s="332"/>
      <c r="DE500" s="332"/>
      <c r="DF500" s="332"/>
      <c r="DG500" s="332"/>
      <c r="DH500" s="332"/>
      <c r="DI500" s="332"/>
      <c r="DJ500" s="332"/>
      <c r="DK500" s="332"/>
      <c r="DL500" s="332"/>
      <c r="DM500" s="332"/>
      <c r="DN500" s="332"/>
      <c r="DO500" s="332"/>
      <c r="DP500" s="332"/>
      <c r="DQ500" s="332"/>
      <c r="DR500" s="332"/>
      <c r="DS500" s="332"/>
      <c r="DT500" s="332"/>
      <c r="DU500" s="453"/>
      <c r="DV500" s="453"/>
      <c r="DW500" s="453"/>
      <c r="DX500" s="453"/>
      <c r="DY500" s="453"/>
      <c r="DZ500" s="453"/>
      <c r="EA500" s="453"/>
      <c r="EB500" s="453"/>
      <c r="EC500" s="453"/>
      <c r="ED500" s="453"/>
      <c r="EE500" s="453"/>
      <c r="EF500" s="453"/>
      <c r="EG500" s="453"/>
      <c r="EH500" s="453"/>
      <c r="EI500" s="453"/>
      <c r="EJ500" s="453"/>
      <c r="EK500" s="453"/>
      <c r="EL500" s="453"/>
      <c r="EM500" s="483">
        <f t="shared" si="218"/>
        <v>191</v>
      </c>
      <c r="EN500" s="485"/>
      <c r="EO500" s="804"/>
      <c r="EP500" s="805"/>
      <c r="EQ500" s="806"/>
      <c r="ER500" s="808"/>
      <c r="ES500" s="881">
        <f t="shared" si="219"/>
        <v>0</v>
      </c>
      <c r="ET500" s="882"/>
      <c r="EU500" s="883"/>
      <c r="EV500" s="884">
        <f t="shared" si="217"/>
        <v>0</v>
      </c>
      <c r="EW500" s="885"/>
      <c r="EX500" s="885"/>
      <c r="EY500" s="885"/>
      <c r="EZ500" s="885"/>
      <c r="FA500" s="885"/>
      <c r="FB500" s="885"/>
      <c r="FC500" s="885"/>
      <c r="FD500" s="886"/>
      <c r="FE500" s="878"/>
      <c r="FF500" s="878"/>
      <c r="FG500" s="878"/>
      <c r="FH500" s="878"/>
      <c r="FI500" s="878"/>
      <c r="FJ500" s="878"/>
      <c r="FK500" s="878"/>
      <c r="FL500" s="555"/>
      <c r="FM500" s="554"/>
      <c r="FN500" s="554"/>
      <c r="FO500" s="554"/>
      <c r="FP500" s="554"/>
      <c r="FQ500" s="554"/>
      <c r="FR500" s="554"/>
      <c r="FS500" s="554"/>
      <c r="FT500" s="554"/>
      <c r="FU500" s="554"/>
      <c r="FV500" s="554"/>
      <c r="FW500" s="554"/>
      <c r="FX500" s="554"/>
      <c r="FY500" s="554"/>
      <c r="FZ500" s="554"/>
      <c r="GA500" s="554"/>
      <c r="GB500" s="556"/>
      <c r="GC500" s="370"/>
      <c r="GD500" s="453"/>
      <c r="GE500" s="453"/>
      <c r="GF500" s="453"/>
      <c r="GG500" s="453"/>
      <c r="GH500" s="454"/>
      <c r="GI500" s="453"/>
      <c r="GJ500" s="453"/>
      <c r="GK500" s="453"/>
      <c r="GL500" s="453"/>
      <c r="GM500" s="453"/>
      <c r="GN500" s="453"/>
      <c r="GO500" s="453"/>
      <c r="GP500" s="453"/>
      <c r="GQ500" s="453"/>
      <c r="GR500" s="453"/>
      <c r="GS500" s="561"/>
      <c r="GT500" s="475"/>
      <c r="GU500" s="472"/>
      <c r="GV500" s="453"/>
      <c r="GW500" s="453"/>
      <c r="GX500" s="869"/>
      <c r="GY500" s="870"/>
      <c r="GZ500" s="867"/>
      <c r="HA500" s="868"/>
      <c r="HB500" s="473"/>
      <c r="HC500" s="869"/>
      <c r="HD500" s="870"/>
      <c r="HE500" s="867"/>
      <c r="HF500" s="868"/>
      <c r="HG500" s="473"/>
      <c r="HH500" s="867"/>
      <c r="HI500" s="868"/>
      <c r="HJ500" s="867"/>
      <c r="HK500" s="868"/>
      <c r="HL500" s="370"/>
      <c r="HM500" s="865"/>
      <c r="HN500" s="866"/>
      <c r="HO500" s="865"/>
      <c r="HP500" s="866"/>
      <c r="HQ500" s="865"/>
      <c r="HR500" s="866"/>
      <c r="HS500" s="867"/>
      <c r="HT500" s="868"/>
      <c r="HU500" s="489"/>
      <c r="HV500" s="865"/>
      <c r="HW500" s="866"/>
    </row>
    <row r="501" spans="25:231" ht="15" customHeight="1">
      <c r="Y501" s="332"/>
      <c r="Z501" s="332"/>
      <c r="AA501" s="332"/>
      <c r="AB501" s="332"/>
      <c r="AC501" s="332"/>
      <c r="AD501" s="332"/>
      <c r="AE501" s="332"/>
      <c r="AF501" s="332"/>
      <c r="AG501" s="332"/>
      <c r="AH501" s="332"/>
      <c r="AI501" s="332"/>
      <c r="AJ501" s="332"/>
      <c r="AK501" s="332"/>
      <c r="AL501" s="332"/>
      <c r="AM501" s="332"/>
      <c r="AN501" s="332"/>
      <c r="AO501" s="332"/>
      <c r="AP501" s="332"/>
      <c r="AQ501" s="332"/>
      <c r="AR501" s="332"/>
      <c r="AS501" s="332"/>
      <c r="AT501" s="332"/>
      <c r="AU501" s="332"/>
      <c r="AV501" s="332"/>
      <c r="AW501" s="332"/>
      <c r="AX501" s="332"/>
      <c r="AY501" s="332"/>
      <c r="AZ501" s="332"/>
      <c r="BA501" s="332"/>
      <c r="BB501" s="332"/>
      <c r="BC501" s="332"/>
      <c r="BD501" s="332"/>
      <c r="BE501" s="332"/>
      <c r="BF501" s="332"/>
      <c r="BG501" s="332"/>
      <c r="BH501" s="332"/>
      <c r="BI501" s="332"/>
      <c r="BJ501" s="332"/>
      <c r="BK501" s="332"/>
      <c r="BL501" s="332"/>
      <c r="BM501" s="332"/>
      <c r="BN501" s="332"/>
      <c r="BO501" s="332"/>
      <c r="BP501" s="332"/>
      <c r="BQ501" s="332"/>
      <c r="BR501" s="332"/>
      <c r="BS501" s="332"/>
      <c r="BT501" s="332"/>
      <c r="BU501" s="332"/>
      <c r="BV501" s="332"/>
      <c r="BW501" s="332"/>
      <c r="BX501" s="332"/>
      <c r="BY501" s="332"/>
      <c r="BZ501" s="332"/>
      <c r="CA501" s="332"/>
      <c r="CB501" s="332"/>
      <c r="CC501" s="332"/>
      <c r="CD501" s="332"/>
      <c r="CE501" s="332"/>
      <c r="CF501" s="332"/>
      <c r="CG501" s="332"/>
      <c r="CH501" s="332"/>
      <c r="CI501" s="332"/>
      <c r="CJ501" s="332"/>
      <c r="CK501" s="332"/>
      <c r="CL501" s="332"/>
      <c r="CM501" s="332"/>
      <c r="CN501" s="332"/>
      <c r="CO501" s="332"/>
      <c r="CP501" s="332"/>
      <c r="CQ501" s="332"/>
      <c r="CR501" s="332"/>
      <c r="CS501" s="332"/>
      <c r="CT501" s="332"/>
      <c r="CU501" s="332"/>
      <c r="CV501" s="332"/>
      <c r="CW501" s="332"/>
      <c r="CX501" s="332"/>
      <c r="CY501" s="332"/>
      <c r="CZ501" s="332"/>
      <c r="DA501" s="332"/>
      <c r="DB501" s="332"/>
      <c r="DC501" s="332"/>
      <c r="DD501" s="332"/>
      <c r="DE501" s="332"/>
      <c r="DF501" s="332"/>
      <c r="DG501" s="332"/>
      <c r="DH501" s="332"/>
      <c r="DI501" s="332"/>
      <c r="DJ501" s="332"/>
      <c r="DK501" s="332"/>
      <c r="DL501" s="332"/>
      <c r="DM501" s="332"/>
      <c r="DN501" s="332"/>
      <c r="DO501" s="332"/>
      <c r="DP501" s="332"/>
      <c r="DQ501" s="332"/>
      <c r="DR501" s="332"/>
      <c r="DS501" s="332"/>
      <c r="DT501" s="332"/>
      <c r="DU501" s="453"/>
      <c r="DV501" s="453"/>
      <c r="DW501" s="453"/>
      <c r="DX501" s="453"/>
      <c r="DY501" s="453"/>
      <c r="DZ501" s="453"/>
      <c r="EA501" s="453"/>
      <c r="EB501" s="453"/>
      <c r="EC501" s="453"/>
      <c r="ED501" s="453"/>
      <c r="EE501" s="453"/>
      <c r="EF501" s="453"/>
      <c r="EG501" s="453"/>
      <c r="EH501" s="453"/>
      <c r="EI501" s="453"/>
      <c r="EJ501" s="453"/>
      <c r="EK501" s="453"/>
      <c r="EL501" s="453"/>
      <c r="EM501" s="483">
        <f t="shared" si="218"/>
        <v>192</v>
      </c>
      <c r="EN501" s="485"/>
      <c r="EO501" s="804"/>
      <c r="EP501" s="805"/>
      <c r="EQ501" s="806"/>
      <c r="ER501" s="808"/>
      <c r="ES501" s="881">
        <f t="shared" si="219"/>
        <v>0</v>
      </c>
      <c r="ET501" s="882"/>
      <c r="EU501" s="883"/>
      <c r="EV501" s="884">
        <f t="shared" si="217"/>
        <v>0</v>
      </c>
      <c r="EW501" s="885"/>
      <c r="EX501" s="885"/>
      <c r="EY501" s="885"/>
      <c r="EZ501" s="885"/>
      <c r="FA501" s="885"/>
      <c r="FB501" s="885"/>
      <c r="FC501" s="885"/>
      <c r="FD501" s="886"/>
      <c r="FE501" s="878"/>
      <c r="FF501" s="878"/>
      <c r="FG501" s="878"/>
      <c r="FH501" s="878"/>
      <c r="FI501" s="878"/>
      <c r="FJ501" s="878"/>
      <c r="FK501" s="878"/>
      <c r="FL501" s="555"/>
      <c r="FM501" s="554"/>
      <c r="FN501" s="554"/>
      <c r="FO501" s="554"/>
      <c r="FP501" s="554"/>
      <c r="FQ501" s="554"/>
      <c r="FR501" s="554"/>
      <c r="FS501" s="554"/>
      <c r="FT501" s="554"/>
      <c r="FU501" s="554"/>
      <c r="FV501" s="554"/>
      <c r="FW501" s="554"/>
      <c r="FX501" s="554"/>
      <c r="FY501" s="554"/>
      <c r="FZ501" s="554"/>
      <c r="GA501" s="554"/>
      <c r="GB501" s="556"/>
      <c r="GC501" s="370"/>
      <c r="GD501" s="453"/>
      <c r="GE501" s="453"/>
      <c r="GF501" s="453"/>
      <c r="GG501" s="453"/>
      <c r="GH501" s="454"/>
      <c r="GI501" s="453"/>
      <c r="GJ501" s="453"/>
      <c r="GK501" s="453"/>
      <c r="GL501" s="453"/>
      <c r="GM501" s="453"/>
      <c r="GN501" s="453"/>
      <c r="GO501" s="453"/>
      <c r="GP501" s="453"/>
      <c r="GQ501" s="453"/>
      <c r="GR501" s="453"/>
      <c r="GS501" s="561"/>
      <c r="GT501" s="475"/>
      <c r="GU501" s="472"/>
      <c r="GV501" s="453"/>
      <c r="GW501" s="453"/>
      <c r="GX501" s="869"/>
      <c r="GY501" s="870"/>
      <c r="GZ501" s="867"/>
      <c r="HA501" s="868"/>
      <c r="HB501" s="473"/>
      <c r="HC501" s="869"/>
      <c r="HD501" s="870"/>
      <c r="HE501" s="867"/>
      <c r="HF501" s="868"/>
      <c r="HG501" s="473"/>
      <c r="HH501" s="867"/>
      <c r="HI501" s="868"/>
      <c r="HJ501" s="867"/>
      <c r="HK501" s="868"/>
      <c r="HL501" s="370"/>
      <c r="HM501" s="865"/>
      <c r="HN501" s="866"/>
      <c r="HO501" s="865"/>
      <c r="HP501" s="866"/>
      <c r="HQ501" s="865"/>
      <c r="HR501" s="866"/>
      <c r="HS501" s="867"/>
      <c r="HT501" s="868"/>
      <c r="HU501" s="489"/>
      <c r="HV501" s="865"/>
      <c r="HW501" s="866"/>
    </row>
    <row r="502" spans="25:231" ht="15" customHeight="1">
      <c r="Y502" s="332"/>
      <c r="Z502" s="332"/>
      <c r="AA502" s="332"/>
      <c r="AB502" s="332"/>
      <c r="AC502" s="332"/>
      <c r="AD502" s="332"/>
      <c r="AE502" s="332"/>
      <c r="AF502" s="332"/>
      <c r="AG502" s="332"/>
      <c r="AH502" s="332"/>
      <c r="AI502" s="332"/>
      <c r="AJ502" s="332"/>
      <c r="AK502" s="332"/>
      <c r="AL502" s="332"/>
      <c r="AM502" s="332"/>
      <c r="AN502" s="332"/>
      <c r="AO502" s="332"/>
      <c r="AP502" s="332"/>
      <c r="AQ502" s="332"/>
      <c r="AR502" s="332"/>
      <c r="AS502" s="332"/>
      <c r="AT502" s="332"/>
      <c r="AU502" s="332"/>
      <c r="AV502" s="332"/>
      <c r="AW502" s="332"/>
      <c r="AX502" s="332"/>
      <c r="AY502" s="332"/>
      <c r="AZ502" s="332"/>
      <c r="BA502" s="332"/>
      <c r="BB502" s="332"/>
      <c r="BC502" s="332"/>
      <c r="BD502" s="332"/>
      <c r="BE502" s="332"/>
      <c r="BF502" s="332"/>
      <c r="BG502" s="332"/>
      <c r="BH502" s="332"/>
      <c r="BI502" s="332"/>
      <c r="BJ502" s="332"/>
      <c r="BK502" s="332"/>
      <c r="BL502" s="332"/>
      <c r="BM502" s="332"/>
      <c r="BN502" s="332"/>
      <c r="BO502" s="332"/>
      <c r="BP502" s="332"/>
      <c r="BQ502" s="332"/>
      <c r="BR502" s="332"/>
      <c r="BS502" s="332"/>
      <c r="BT502" s="332"/>
      <c r="BU502" s="332"/>
      <c r="BV502" s="332"/>
      <c r="BW502" s="332"/>
      <c r="BX502" s="332"/>
      <c r="BY502" s="332"/>
      <c r="BZ502" s="332"/>
      <c r="CA502" s="332"/>
      <c r="CB502" s="332"/>
      <c r="CC502" s="332"/>
      <c r="CD502" s="332"/>
      <c r="CE502" s="332"/>
      <c r="CF502" s="332"/>
      <c r="CG502" s="332"/>
      <c r="CH502" s="332"/>
      <c r="CI502" s="332"/>
      <c r="CJ502" s="332"/>
      <c r="CK502" s="332"/>
      <c r="CL502" s="332"/>
      <c r="CM502" s="332"/>
      <c r="CN502" s="332"/>
      <c r="CO502" s="332"/>
      <c r="CP502" s="332"/>
      <c r="CQ502" s="332"/>
      <c r="CR502" s="332"/>
      <c r="CS502" s="332"/>
      <c r="CT502" s="332"/>
      <c r="CU502" s="332"/>
      <c r="CV502" s="332"/>
      <c r="CW502" s="332"/>
      <c r="CX502" s="332"/>
      <c r="CY502" s="332"/>
      <c r="CZ502" s="332"/>
      <c r="DA502" s="332"/>
      <c r="DB502" s="332"/>
      <c r="DC502" s="332"/>
      <c r="DD502" s="332"/>
      <c r="DE502" s="332"/>
      <c r="DF502" s="332"/>
      <c r="DG502" s="332"/>
      <c r="DH502" s="332"/>
      <c r="DI502" s="332"/>
      <c r="DJ502" s="332"/>
      <c r="DK502" s="332"/>
      <c r="DL502" s="332"/>
      <c r="DM502" s="332"/>
      <c r="DN502" s="332"/>
      <c r="DO502" s="332"/>
      <c r="DP502" s="332"/>
      <c r="DQ502" s="332"/>
      <c r="DR502" s="332"/>
      <c r="DS502" s="332"/>
      <c r="DT502" s="332"/>
      <c r="DU502" s="453"/>
      <c r="DV502" s="453"/>
      <c r="DW502" s="453"/>
      <c r="DX502" s="453"/>
      <c r="DY502" s="453"/>
      <c r="DZ502" s="453"/>
      <c r="EA502" s="453"/>
      <c r="EB502" s="453"/>
      <c r="EC502" s="453"/>
      <c r="ED502" s="453"/>
      <c r="EE502" s="453"/>
      <c r="EF502" s="453"/>
      <c r="EG502" s="453"/>
      <c r="EH502" s="453"/>
      <c r="EI502" s="453"/>
      <c r="EJ502" s="453"/>
      <c r="EK502" s="453"/>
      <c r="EL502" s="453"/>
      <c r="EM502" s="483">
        <f t="shared" si="218"/>
        <v>193</v>
      </c>
      <c r="EN502" s="485"/>
      <c r="EO502" s="804"/>
      <c r="EP502" s="805"/>
      <c r="EQ502" s="806"/>
      <c r="ER502" s="808"/>
      <c r="ES502" s="881">
        <f t="shared" si="219"/>
        <v>0</v>
      </c>
      <c r="ET502" s="882"/>
      <c r="EU502" s="883"/>
      <c r="EV502" s="884">
        <f t="shared" ref="EV502:EV565" si="220">+IF(OR(EO502 = "", EP502 = 0, EP502 = "", EQ502 = 0, EQ502 = "", ER502 = 0, ER502 = ""), 0,
IF(EO502 &lt;&gt; "ACCION",
IF(EP502 &gt; 0, EP502 * ER502 * -100 * ( 1 + COMIS_OPCION), EP502 * ER502 * -100 * ( 1 - COMIS_OPCION)),
IF(EP502 &gt; 0, EP502 * ER502 * -1 * ( 1 + COMIS_ACCION), EP502 * ER502 * -1 * ( 1 - COMIS_ACCION))  ))</f>
        <v>0</v>
      </c>
      <c r="EW502" s="885"/>
      <c r="EX502" s="885"/>
      <c r="EY502" s="885"/>
      <c r="EZ502" s="885"/>
      <c r="FA502" s="885"/>
      <c r="FB502" s="885"/>
      <c r="FC502" s="885"/>
      <c r="FD502" s="886"/>
      <c r="FE502" s="878"/>
      <c r="FF502" s="878"/>
      <c r="FG502" s="878"/>
      <c r="FH502" s="878"/>
      <c r="FI502" s="878"/>
      <c r="FJ502" s="878"/>
      <c r="FK502" s="878"/>
      <c r="FL502" s="555"/>
      <c r="FM502" s="554"/>
      <c r="FN502" s="554"/>
      <c r="FO502" s="554"/>
      <c r="FP502" s="554"/>
      <c r="FQ502" s="554"/>
      <c r="FR502" s="554"/>
      <c r="FS502" s="554"/>
      <c r="FT502" s="554"/>
      <c r="FU502" s="554"/>
      <c r="FV502" s="554"/>
      <c r="FW502" s="554"/>
      <c r="FX502" s="554"/>
      <c r="FY502" s="554"/>
      <c r="FZ502" s="554"/>
      <c r="GA502" s="554"/>
      <c r="GB502" s="556"/>
      <c r="GC502" s="370"/>
      <c r="GD502" s="453"/>
      <c r="GE502" s="453"/>
      <c r="GF502" s="453"/>
      <c r="GG502" s="453"/>
      <c r="GH502" s="454"/>
      <c r="GI502" s="453"/>
      <c r="GJ502" s="453"/>
      <c r="GK502" s="453"/>
      <c r="GL502" s="453"/>
      <c r="GM502" s="453"/>
      <c r="GN502" s="453"/>
      <c r="GO502" s="453"/>
      <c r="GP502" s="453"/>
      <c r="GQ502" s="453"/>
      <c r="GR502" s="453"/>
      <c r="GS502" s="561"/>
      <c r="GT502" s="475"/>
      <c r="GU502" s="472"/>
      <c r="GV502" s="453"/>
      <c r="GW502" s="453"/>
      <c r="GX502" s="869"/>
      <c r="GY502" s="870"/>
      <c r="GZ502" s="867"/>
      <c r="HA502" s="868"/>
      <c r="HB502" s="473"/>
      <c r="HC502" s="869"/>
      <c r="HD502" s="870"/>
      <c r="HE502" s="867"/>
      <c r="HF502" s="868"/>
      <c r="HG502" s="473"/>
      <c r="HH502" s="867"/>
      <c r="HI502" s="868"/>
      <c r="HJ502" s="867"/>
      <c r="HK502" s="868"/>
      <c r="HL502" s="370"/>
      <c r="HM502" s="865"/>
      <c r="HN502" s="866"/>
      <c r="HO502" s="865"/>
      <c r="HP502" s="866"/>
      <c r="HQ502" s="865"/>
      <c r="HR502" s="866"/>
      <c r="HS502" s="867"/>
      <c r="HT502" s="868"/>
      <c r="HU502" s="489"/>
      <c r="HV502" s="865"/>
      <c r="HW502" s="866"/>
    </row>
    <row r="503" spans="25:231" ht="15" customHeight="1">
      <c r="Y503" s="332"/>
      <c r="Z503" s="332"/>
      <c r="AA503" s="332"/>
      <c r="AB503" s="332"/>
      <c r="AC503" s="332"/>
      <c r="AD503" s="332"/>
      <c r="AE503" s="332"/>
      <c r="AF503" s="332"/>
      <c r="AG503" s="332"/>
      <c r="AH503" s="332"/>
      <c r="AI503" s="332"/>
      <c r="AJ503" s="332"/>
      <c r="AK503" s="332"/>
      <c r="AL503" s="332"/>
      <c r="AM503" s="332"/>
      <c r="AN503" s="332"/>
      <c r="AO503" s="332"/>
      <c r="AP503" s="332"/>
      <c r="AQ503" s="332"/>
      <c r="AR503" s="332"/>
      <c r="AS503" s="332"/>
      <c r="AT503" s="332"/>
      <c r="AU503" s="332"/>
      <c r="AV503" s="332"/>
      <c r="AW503" s="332"/>
      <c r="AX503" s="332"/>
      <c r="AY503" s="332"/>
      <c r="AZ503" s="332"/>
      <c r="BA503" s="332"/>
      <c r="BB503" s="332"/>
      <c r="BC503" s="332"/>
      <c r="BD503" s="332"/>
      <c r="BE503" s="332"/>
      <c r="BF503" s="332"/>
      <c r="BG503" s="332"/>
      <c r="BH503" s="332"/>
      <c r="BI503" s="332"/>
      <c r="BJ503" s="332"/>
      <c r="BK503" s="332"/>
      <c r="BL503" s="332"/>
      <c r="BM503" s="332"/>
      <c r="BN503" s="332"/>
      <c r="BO503" s="332"/>
      <c r="BP503" s="332"/>
      <c r="BQ503" s="332"/>
      <c r="BR503" s="332"/>
      <c r="BS503" s="332"/>
      <c r="BT503" s="332"/>
      <c r="BU503" s="332"/>
      <c r="BV503" s="332"/>
      <c r="BW503" s="332"/>
      <c r="BX503" s="332"/>
      <c r="BY503" s="332"/>
      <c r="BZ503" s="332"/>
      <c r="CA503" s="332"/>
      <c r="CB503" s="332"/>
      <c r="CC503" s="332"/>
      <c r="CD503" s="332"/>
      <c r="CE503" s="332"/>
      <c r="CF503" s="332"/>
      <c r="CG503" s="332"/>
      <c r="CH503" s="332"/>
      <c r="CI503" s="332"/>
      <c r="CJ503" s="332"/>
      <c r="CK503" s="332"/>
      <c r="CL503" s="332"/>
      <c r="CM503" s="332"/>
      <c r="CN503" s="332"/>
      <c r="CO503" s="332"/>
      <c r="CP503" s="332"/>
      <c r="CQ503" s="332"/>
      <c r="CR503" s="332"/>
      <c r="CS503" s="332"/>
      <c r="CT503" s="332"/>
      <c r="CU503" s="332"/>
      <c r="CV503" s="332"/>
      <c r="CW503" s="332"/>
      <c r="CX503" s="332"/>
      <c r="CY503" s="332"/>
      <c r="CZ503" s="332"/>
      <c r="DA503" s="332"/>
      <c r="DB503" s="332"/>
      <c r="DC503" s="332"/>
      <c r="DD503" s="332"/>
      <c r="DE503" s="332"/>
      <c r="DF503" s="332"/>
      <c r="DG503" s="332"/>
      <c r="DH503" s="332"/>
      <c r="DI503" s="332"/>
      <c r="DJ503" s="332"/>
      <c r="DK503" s="332"/>
      <c r="DL503" s="332"/>
      <c r="DM503" s="332"/>
      <c r="DN503" s="332"/>
      <c r="DO503" s="332"/>
      <c r="DP503" s="332"/>
      <c r="DQ503" s="332"/>
      <c r="DR503" s="332"/>
      <c r="DS503" s="332"/>
      <c r="DT503" s="332"/>
      <c r="DU503" s="453"/>
      <c r="DV503" s="453"/>
      <c r="DW503" s="453"/>
      <c r="DX503" s="453"/>
      <c r="DY503" s="453"/>
      <c r="DZ503" s="453"/>
      <c r="EA503" s="453"/>
      <c r="EB503" s="453"/>
      <c r="EC503" s="453"/>
      <c r="ED503" s="453"/>
      <c r="EE503" s="453"/>
      <c r="EF503" s="453"/>
      <c r="EG503" s="453"/>
      <c r="EH503" s="453"/>
      <c r="EI503" s="453"/>
      <c r="EJ503" s="453"/>
      <c r="EK503" s="453"/>
      <c r="EL503" s="453"/>
      <c r="EM503" s="483">
        <f t="shared" si="218"/>
        <v>194</v>
      </c>
      <c r="EN503" s="485"/>
      <c r="EO503" s="804"/>
      <c r="EP503" s="805"/>
      <c r="EQ503" s="820"/>
      <c r="ER503" s="808"/>
      <c r="ES503" s="881">
        <f t="shared" si="219"/>
        <v>0</v>
      </c>
      <c r="ET503" s="882"/>
      <c r="EU503" s="883"/>
      <c r="EV503" s="884">
        <f t="shared" si="220"/>
        <v>0</v>
      </c>
      <c r="EW503" s="885"/>
      <c r="EX503" s="885"/>
      <c r="EY503" s="885"/>
      <c r="EZ503" s="885"/>
      <c r="FA503" s="885"/>
      <c r="FB503" s="885"/>
      <c r="FC503" s="885"/>
      <c r="FD503" s="886"/>
      <c r="FE503" s="878"/>
      <c r="FF503" s="878"/>
      <c r="FG503" s="878"/>
      <c r="FH503" s="878"/>
      <c r="FI503" s="878"/>
      <c r="FJ503" s="878"/>
      <c r="FK503" s="878"/>
      <c r="FL503" s="555"/>
      <c r="FM503" s="554"/>
      <c r="FN503" s="554"/>
      <c r="FO503" s="554"/>
      <c r="FP503" s="554"/>
      <c r="FQ503" s="554"/>
      <c r="FR503" s="554"/>
      <c r="FS503" s="554"/>
      <c r="FT503" s="554"/>
      <c r="FU503" s="554"/>
      <c r="FV503" s="554"/>
      <c r="FW503" s="554"/>
      <c r="FX503" s="554"/>
      <c r="FY503" s="554"/>
      <c r="FZ503" s="554"/>
      <c r="GA503" s="554"/>
      <c r="GB503" s="556"/>
      <c r="GC503" s="370"/>
      <c r="GD503" s="453"/>
      <c r="GE503" s="453"/>
      <c r="GF503" s="453"/>
      <c r="GG503" s="453"/>
      <c r="GH503" s="454"/>
      <c r="GI503" s="453"/>
      <c r="GJ503" s="453"/>
      <c r="GK503" s="453"/>
      <c r="GL503" s="453"/>
      <c r="GM503" s="453"/>
      <c r="GN503" s="453"/>
      <c r="GO503" s="453"/>
      <c r="GP503" s="453"/>
      <c r="GQ503" s="453"/>
      <c r="GR503" s="453"/>
      <c r="GS503" s="561"/>
      <c r="GT503" s="475"/>
      <c r="GU503" s="472"/>
      <c r="GV503" s="453"/>
      <c r="GW503" s="453"/>
      <c r="GX503" s="869"/>
      <c r="GY503" s="870"/>
      <c r="GZ503" s="867"/>
      <c r="HA503" s="868"/>
      <c r="HB503" s="473"/>
      <c r="HC503" s="869"/>
      <c r="HD503" s="870"/>
      <c r="HE503" s="867"/>
      <c r="HF503" s="868"/>
      <c r="HG503" s="473"/>
      <c r="HH503" s="867"/>
      <c r="HI503" s="868"/>
      <c r="HJ503" s="867"/>
      <c r="HK503" s="868"/>
      <c r="HL503" s="370"/>
      <c r="HM503" s="865"/>
      <c r="HN503" s="866"/>
      <c r="HO503" s="865"/>
      <c r="HP503" s="866"/>
      <c r="HQ503" s="865"/>
      <c r="HR503" s="866"/>
      <c r="HS503" s="867"/>
      <c r="HT503" s="868"/>
      <c r="HU503" s="489"/>
      <c r="HV503" s="865"/>
      <c r="HW503" s="866"/>
    </row>
    <row r="504" spans="25:231" ht="15" customHeight="1">
      <c r="Y504" s="332"/>
      <c r="Z504" s="332"/>
      <c r="AA504" s="332"/>
      <c r="AB504" s="332"/>
      <c r="AC504" s="332"/>
      <c r="AD504" s="332"/>
      <c r="AE504" s="332"/>
      <c r="AF504" s="332"/>
      <c r="AG504" s="332"/>
      <c r="AH504" s="332"/>
      <c r="AI504" s="332"/>
      <c r="AJ504" s="332"/>
      <c r="AK504" s="332"/>
      <c r="AL504" s="332"/>
      <c r="AM504" s="332"/>
      <c r="AN504" s="332"/>
      <c r="AO504" s="332"/>
      <c r="AP504" s="332"/>
      <c r="AQ504" s="332"/>
      <c r="AR504" s="332"/>
      <c r="AS504" s="332"/>
      <c r="AT504" s="332"/>
      <c r="AU504" s="332"/>
      <c r="AV504" s="332"/>
      <c r="AW504" s="332"/>
      <c r="AX504" s="332"/>
      <c r="AY504" s="332"/>
      <c r="AZ504" s="332"/>
      <c r="BA504" s="332"/>
      <c r="BB504" s="332"/>
      <c r="BC504" s="332"/>
      <c r="BD504" s="332"/>
      <c r="BE504" s="332"/>
      <c r="BF504" s="332"/>
      <c r="BG504" s="332"/>
      <c r="BH504" s="332"/>
      <c r="BI504" s="332"/>
      <c r="BJ504" s="332"/>
      <c r="BK504" s="332"/>
      <c r="BL504" s="332"/>
      <c r="BM504" s="332"/>
      <c r="BN504" s="332"/>
      <c r="BO504" s="332"/>
      <c r="BP504" s="332"/>
      <c r="BQ504" s="332"/>
      <c r="BR504" s="332"/>
      <c r="BS504" s="332"/>
      <c r="BT504" s="332"/>
      <c r="BU504" s="332"/>
      <c r="BV504" s="332"/>
      <c r="BW504" s="332"/>
      <c r="BX504" s="332"/>
      <c r="BY504" s="332"/>
      <c r="BZ504" s="332"/>
      <c r="CA504" s="332"/>
      <c r="CB504" s="332"/>
      <c r="CC504" s="332"/>
      <c r="CD504" s="332"/>
      <c r="CE504" s="332"/>
      <c r="CF504" s="332"/>
      <c r="CG504" s="332"/>
      <c r="CH504" s="332"/>
      <c r="CI504" s="332"/>
      <c r="CJ504" s="332"/>
      <c r="CK504" s="332"/>
      <c r="CL504" s="332"/>
      <c r="CM504" s="332"/>
      <c r="CN504" s="332"/>
      <c r="CO504" s="332"/>
      <c r="CP504" s="332"/>
      <c r="CQ504" s="332"/>
      <c r="CR504" s="332"/>
      <c r="CS504" s="332"/>
      <c r="CT504" s="332"/>
      <c r="CU504" s="332"/>
      <c r="CV504" s="332"/>
      <c r="CW504" s="332"/>
      <c r="CX504" s="332"/>
      <c r="CY504" s="332"/>
      <c r="CZ504" s="332"/>
      <c r="DA504" s="332"/>
      <c r="DB504" s="332"/>
      <c r="DC504" s="332"/>
      <c r="DD504" s="332"/>
      <c r="DE504" s="332"/>
      <c r="DF504" s="332"/>
      <c r="DG504" s="332"/>
      <c r="DH504" s="332"/>
      <c r="DI504" s="332"/>
      <c r="DJ504" s="332"/>
      <c r="DK504" s="332"/>
      <c r="DL504" s="332"/>
      <c r="DM504" s="332"/>
      <c r="DN504" s="332"/>
      <c r="DO504" s="332"/>
      <c r="DP504" s="332"/>
      <c r="DQ504" s="332"/>
      <c r="DR504" s="332"/>
      <c r="DS504" s="332"/>
      <c r="DT504" s="332"/>
      <c r="DU504" s="453"/>
      <c r="DV504" s="453"/>
      <c r="DW504" s="453"/>
      <c r="DX504" s="453"/>
      <c r="DY504" s="453"/>
      <c r="DZ504" s="453"/>
      <c r="EA504" s="453"/>
      <c r="EB504" s="453"/>
      <c r="EC504" s="453"/>
      <c r="ED504" s="453"/>
      <c r="EE504" s="453"/>
      <c r="EF504" s="453"/>
      <c r="EG504" s="453"/>
      <c r="EH504" s="453"/>
      <c r="EI504" s="453"/>
      <c r="EJ504" s="453"/>
      <c r="EK504" s="453"/>
      <c r="EL504" s="453"/>
      <c r="EM504" s="483">
        <f t="shared" ref="EM504:EM567" si="221">+EM503+1</f>
        <v>195</v>
      </c>
      <c r="EN504" s="485"/>
      <c r="EO504" s="804"/>
      <c r="EP504" s="805"/>
      <c r="EQ504" s="806"/>
      <c r="ER504" s="808"/>
      <c r="ES504" s="881">
        <f t="shared" si="219"/>
        <v>0</v>
      </c>
      <c r="ET504" s="882"/>
      <c r="EU504" s="883"/>
      <c r="EV504" s="884">
        <f t="shared" si="220"/>
        <v>0</v>
      </c>
      <c r="EW504" s="885"/>
      <c r="EX504" s="885"/>
      <c r="EY504" s="885"/>
      <c r="EZ504" s="885"/>
      <c r="FA504" s="885"/>
      <c r="FB504" s="885"/>
      <c r="FC504" s="885"/>
      <c r="FD504" s="886"/>
      <c r="FE504" s="878"/>
      <c r="FF504" s="878"/>
      <c r="FG504" s="878"/>
      <c r="FH504" s="878"/>
      <c r="FI504" s="878"/>
      <c r="FJ504" s="878"/>
      <c r="FK504" s="878"/>
      <c r="FL504" s="555"/>
      <c r="FM504" s="554"/>
      <c r="FN504" s="554"/>
      <c r="FO504" s="554"/>
      <c r="FP504" s="554"/>
      <c r="FQ504" s="554"/>
      <c r="FR504" s="554"/>
      <c r="FS504" s="554"/>
      <c r="FT504" s="554"/>
      <c r="FU504" s="554"/>
      <c r="FV504" s="554"/>
      <c r="FW504" s="554"/>
      <c r="FX504" s="554"/>
      <c r="FY504" s="554"/>
      <c r="FZ504" s="554"/>
      <c r="GA504" s="554"/>
      <c r="GB504" s="556"/>
      <c r="GC504" s="370"/>
      <c r="GD504" s="453"/>
      <c r="GE504" s="453"/>
      <c r="GF504" s="453"/>
      <c r="GG504" s="453"/>
      <c r="GH504" s="454"/>
      <c r="GI504" s="453"/>
      <c r="GJ504" s="453"/>
      <c r="GK504" s="453"/>
      <c r="GL504" s="453"/>
      <c r="GM504" s="453"/>
      <c r="GN504" s="453"/>
      <c r="GO504" s="453"/>
      <c r="GP504" s="453"/>
      <c r="GQ504" s="453"/>
      <c r="GR504" s="453"/>
      <c r="GS504" s="561"/>
      <c r="GT504" s="475"/>
      <c r="GU504" s="472"/>
      <c r="GV504" s="453"/>
      <c r="GW504" s="453"/>
      <c r="GX504" s="869"/>
      <c r="GY504" s="870"/>
      <c r="GZ504" s="867"/>
      <c r="HA504" s="868"/>
      <c r="HB504" s="473"/>
      <c r="HC504" s="869"/>
      <c r="HD504" s="870"/>
      <c r="HE504" s="867"/>
      <c r="HF504" s="868"/>
      <c r="HG504" s="473"/>
      <c r="HH504" s="867"/>
      <c r="HI504" s="868"/>
      <c r="HJ504" s="867"/>
      <c r="HK504" s="868"/>
      <c r="HL504" s="370"/>
      <c r="HM504" s="865"/>
      <c r="HN504" s="866"/>
      <c r="HO504" s="865"/>
      <c r="HP504" s="866"/>
      <c r="HQ504" s="865"/>
      <c r="HR504" s="866"/>
      <c r="HS504" s="867"/>
      <c r="HT504" s="868"/>
      <c r="HU504" s="489"/>
      <c r="HV504" s="865"/>
      <c r="HW504" s="866"/>
    </row>
    <row r="505" spans="25:231" ht="15" customHeight="1">
      <c r="Y505" s="332"/>
      <c r="Z505" s="332"/>
      <c r="AA505" s="332"/>
      <c r="AB505" s="332"/>
      <c r="AC505" s="332"/>
      <c r="AD505" s="332"/>
      <c r="AE505" s="332"/>
      <c r="AF505" s="332"/>
      <c r="AG505" s="332"/>
      <c r="AH505" s="332"/>
      <c r="AI505" s="332"/>
      <c r="AJ505" s="332"/>
      <c r="AK505" s="332"/>
      <c r="AL505" s="332"/>
      <c r="AM505" s="332"/>
      <c r="AN505" s="332"/>
      <c r="AO505" s="332"/>
      <c r="AP505" s="332"/>
      <c r="AQ505" s="332"/>
      <c r="AR505" s="332"/>
      <c r="AS505" s="332"/>
      <c r="AT505" s="332"/>
      <c r="AU505" s="332"/>
      <c r="AV505" s="332"/>
      <c r="AW505" s="332"/>
      <c r="AX505" s="332"/>
      <c r="AY505" s="332"/>
      <c r="AZ505" s="332"/>
      <c r="BA505" s="332"/>
      <c r="BB505" s="332"/>
      <c r="BC505" s="332"/>
      <c r="BD505" s="332"/>
      <c r="BE505" s="332"/>
      <c r="BF505" s="332"/>
      <c r="BG505" s="332"/>
      <c r="BH505" s="332"/>
      <c r="BI505" s="332"/>
      <c r="BJ505" s="332"/>
      <c r="BK505" s="332"/>
      <c r="BL505" s="332"/>
      <c r="BM505" s="332"/>
      <c r="BN505" s="332"/>
      <c r="BO505" s="332"/>
      <c r="BP505" s="332"/>
      <c r="BQ505" s="332"/>
      <c r="BR505" s="332"/>
      <c r="BS505" s="332"/>
      <c r="BT505" s="332"/>
      <c r="BU505" s="332"/>
      <c r="BV505" s="332"/>
      <c r="BW505" s="332"/>
      <c r="BX505" s="332"/>
      <c r="BY505" s="332"/>
      <c r="BZ505" s="332"/>
      <c r="CA505" s="332"/>
      <c r="CB505" s="332"/>
      <c r="CC505" s="332"/>
      <c r="CD505" s="332"/>
      <c r="CE505" s="332"/>
      <c r="CF505" s="332"/>
      <c r="CG505" s="332"/>
      <c r="CH505" s="332"/>
      <c r="CI505" s="332"/>
      <c r="CJ505" s="332"/>
      <c r="CK505" s="332"/>
      <c r="CL505" s="332"/>
      <c r="CM505" s="332"/>
      <c r="CN505" s="332"/>
      <c r="CO505" s="332"/>
      <c r="CP505" s="332"/>
      <c r="CQ505" s="332"/>
      <c r="CR505" s="332"/>
      <c r="CS505" s="332"/>
      <c r="CT505" s="332"/>
      <c r="CU505" s="332"/>
      <c r="CV505" s="332"/>
      <c r="CW505" s="332"/>
      <c r="CX505" s="332"/>
      <c r="CY505" s="332"/>
      <c r="CZ505" s="332"/>
      <c r="DA505" s="332"/>
      <c r="DB505" s="332"/>
      <c r="DC505" s="332"/>
      <c r="DD505" s="332"/>
      <c r="DE505" s="332"/>
      <c r="DF505" s="332"/>
      <c r="DG505" s="332"/>
      <c r="DH505" s="332"/>
      <c r="DI505" s="332"/>
      <c r="DJ505" s="332"/>
      <c r="DK505" s="332"/>
      <c r="DL505" s="332"/>
      <c r="DM505" s="332"/>
      <c r="DN505" s="332"/>
      <c r="DO505" s="332"/>
      <c r="DP505" s="332"/>
      <c r="DQ505" s="332"/>
      <c r="DR505" s="332"/>
      <c r="DS505" s="332"/>
      <c r="DT505" s="332"/>
      <c r="DU505" s="453"/>
      <c r="DV505" s="453"/>
      <c r="DW505" s="453"/>
      <c r="DX505" s="453"/>
      <c r="DY505" s="453"/>
      <c r="DZ505" s="453"/>
      <c r="EA505" s="453"/>
      <c r="EB505" s="453"/>
      <c r="EC505" s="453"/>
      <c r="ED505" s="453"/>
      <c r="EE505" s="453"/>
      <c r="EF505" s="453"/>
      <c r="EG505" s="453"/>
      <c r="EH505" s="453"/>
      <c r="EI505" s="453"/>
      <c r="EJ505" s="453"/>
      <c r="EK505" s="453"/>
      <c r="EL505" s="453"/>
      <c r="EM505" s="483">
        <f t="shared" si="221"/>
        <v>196</v>
      </c>
      <c r="EN505" s="485"/>
      <c r="EO505" s="804"/>
      <c r="EP505" s="805"/>
      <c r="EQ505" s="806"/>
      <c r="ER505" s="808"/>
      <c r="ES505" s="881">
        <f t="shared" si="219"/>
        <v>0</v>
      </c>
      <c r="ET505" s="882"/>
      <c r="EU505" s="883"/>
      <c r="EV505" s="884">
        <f t="shared" si="220"/>
        <v>0</v>
      </c>
      <c r="EW505" s="885"/>
      <c r="EX505" s="885"/>
      <c r="EY505" s="885"/>
      <c r="EZ505" s="885"/>
      <c r="FA505" s="885"/>
      <c r="FB505" s="885"/>
      <c r="FC505" s="885"/>
      <c r="FD505" s="886"/>
      <c r="FE505" s="878"/>
      <c r="FF505" s="878"/>
      <c r="FG505" s="878"/>
      <c r="FH505" s="878"/>
      <c r="FI505" s="878"/>
      <c r="FJ505" s="878"/>
      <c r="FK505" s="878"/>
      <c r="FL505" s="555"/>
      <c r="FM505" s="554"/>
      <c r="FN505" s="554"/>
      <c r="FO505" s="554"/>
      <c r="FP505" s="554"/>
      <c r="FQ505" s="554"/>
      <c r="FR505" s="554"/>
      <c r="FS505" s="554"/>
      <c r="FT505" s="554"/>
      <c r="FU505" s="554"/>
      <c r="FV505" s="554"/>
      <c r="FW505" s="554"/>
      <c r="FX505" s="554"/>
      <c r="FY505" s="554"/>
      <c r="FZ505" s="554"/>
      <c r="GA505" s="554"/>
      <c r="GB505" s="556"/>
      <c r="GC505" s="370"/>
      <c r="GD505" s="453"/>
      <c r="GE505" s="453"/>
      <c r="GF505" s="453"/>
      <c r="GG505" s="453"/>
      <c r="GH505" s="454"/>
      <c r="GI505" s="453"/>
      <c r="GJ505" s="453"/>
      <c r="GK505" s="453"/>
      <c r="GL505" s="453"/>
      <c r="GM505" s="453"/>
      <c r="GN505" s="453"/>
      <c r="GO505" s="453"/>
      <c r="GP505" s="453"/>
      <c r="GQ505" s="453"/>
      <c r="GR505" s="453"/>
      <c r="GS505" s="561"/>
      <c r="GT505" s="475"/>
      <c r="GU505" s="472"/>
      <c r="GV505" s="453"/>
      <c r="GW505" s="453"/>
      <c r="GX505" s="869"/>
      <c r="GY505" s="870"/>
      <c r="GZ505" s="867"/>
      <c r="HA505" s="868"/>
      <c r="HB505" s="473"/>
      <c r="HC505" s="869"/>
      <c r="HD505" s="870"/>
      <c r="HE505" s="867"/>
      <c r="HF505" s="868"/>
      <c r="HG505" s="473"/>
      <c r="HH505" s="867"/>
      <c r="HI505" s="868"/>
      <c r="HJ505" s="867"/>
      <c r="HK505" s="868"/>
      <c r="HL505" s="370"/>
      <c r="HM505" s="865"/>
      <c r="HN505" s="866"/>
      <c r="HO505" s="865"/>
      <c r="HP505" s="866"/>
      <c r="HQ505" s="865"/>
      <c r="HR505" s="866"/>
      <c r="HS505" s="867"/>
      <c r="HT505" s="868"/>
      <c r="HU505" s="489"/>
      <c r="HV505" s="865"/>
      <c r="HW505" s="866"/>
    </row>
    <row r="506" spans="25:231" ht="15" customHeight="1">
      <c r="Y506" s="332"/>
      <c r="Z506" s="332"/>
      <c r="AA506" s="332"/>
      <c r="AB506" s="332"/>
      <c r="AC506" s="332"/>
      <c r="AD506" s="332"/>
      <c r="AE506" s="332"/>
      <c r="AF506" s="332"/>
      <c r="AG506" s="332"/>
      <c r="AH506" s="332"/>
      <c r="AI506" s="332"/>
      <c r="AJ506" s="332"/>
      <c r="AK506" s="332"/>
      <c r="AL506" s="332"/>
      <c r="AM506" s="332"/>
      <c r="AN506" s="332"/>
      <c r="AO506" s="332"/>
      <c r="AP506" s="332"/>
      <c r="AQ506" s="332"/>
      <c r="AR506" s="332"/>
      <c r="AS506" s="332"/>
      <c r="AT506" s="332"/>
      <c r="AU506" s="332"/>
      <c r="AV506" s="332"/>
      <c r="AW506" s="332"/>
      <c r="AX506" s="332"/>
      <c r="AY506" s="332"/>
      <c r="AZ506" s="332"/>
      <c r="BA506" s="332"/>
      <c r="BB506" s="332"/>
      <c r="BC506" s="332"/>
      <c r="BD506" s="332"/>
      <c r="BE506" s="332"/>
      <c r="BF506" s="332"/>
      <c r="BG506" s="332"/>
      <c r="BH506" s="332"/>
      <c r="BI506" s="332"/>
      <c r="BJ506" s="332"/>
      <c r="BK506" s="332"/>
      <c r="BL506" s="332"/>
      <c r="BM506" s="332"/>
      <c r="BN506" s="332"/>
      <c r="BO506" s="332"/>
      <c r="BP506" s="332"/>
      <c r="BQ506" s="332"/>
      <c r="BR506" s="332"/>
      <c r="BS506" s="332"/>
      <c r="BT506" s="332"/>
      <c r="BU506" s="332"/>
      <c r="BV506" s="332"/>
      <c r="BW506" s="332"/>
      <c r="BX506" s="332"/>
      <c r="BY506" s="332"/>
      <c r="BZ506" s="332"/>
      <c r="CA506" s="332"/>
      <c r="CB506" s="332"/>
      <c r="CC506" s="332"/>
      <c r="CD506" s="332"/>
      <c r="CE506" s="332"/>
      <c r="CF506" s="332"/>
      <c r="CG506" s="332"/>
      <c r="CH506" s="332"/>
      <c r="CI506" s="332"/>
      <c r="CJ506" s="332"/>
      <c r="CK506" s="332"/>
      <c r="CL506" s="332"/>
      <c r="CM506" s="332"/>
      <c r="CN506" s="332"/>
      <c r="CO506" s="332"/>
      <c r="CP506" s="332"/>
      <c r="CQ506" s="332"/>
      <c r="CR506" s="332"/>
      <c r="CS506" s="332"/>
      <c r="CT506" s="332"/>
      <c r="CU506" s="332"/>
      <c r="CV506" s="332"/>
      <c r="CW506" s="332"/>
      <c r="CX506" s="332"/>
      <c r="CY506" s="332"/>
      <c r="CZ506" s="332"/>
      <c r="DA506" s="332"/>
      <c r="DB506" s="332"/>
      <c r="DC506" s="332"/>
      <c r="DD506" s="332"/>
      <c r="DE506" s="332"/>
      <c r="DF506" s="332"/>
      <c r="DG506" s="332"/>
      <c r="DH506" s="332"/>
      <c r="DI506" s="332"/>
      <c r="DJ506" s="332"/>
      <c r="DK506" s="332"/>
      <c r="DL506" s="332"/>
      <c r="DM506" s="332"/>
      <c r="DN506" s="332"/>
      <c r="DO506" s="332"/>
      <c r="DP506" s="332"/>
      <c r="DQ506" s="332"/>
      <c r="DR506" s="332"/>
      <c r="DS506" s="332"/>
      <c r="DT506" s="332"/>
      <c r="DU506" s="453"/>
      <c r="DV506" s="453"/>
      <c r="DW506" s="453"/>
      <c r="DX506" s="453"/>
      <c r="DY506" s="453"/>
      <c r="DZ506" s="453"/>
      <c r="EA506" s="453"/>
      <c r="EB506" s="453"/>
      <c r="EC506" s="453"/>
      <c r="ED506" s="453"/>
      <c r="EE506" s="453"/>
      <c r="EF506" s="453"/>
      <c r="EG506" s="453"/>
      <c r="EH506" s="453"/>
      <c r="EI506" s="453"/>
      <c r="EJ506" s="453"/>
      <c r="EK506" s="453"/>
      <c r="EL506" s="453"/>
      <c r="EM506" s="483">
        <f t="shared" si="221"/>
        <v>197</v>
      </c>
      <c r="EN506" s="485"/>
      <c r="EO506" s="804"/>
      <c r="EP506" s="805"/>
      <c r="EQ506" s="806"/>
      <c r="ER506" s="808"/>
      <c r="ES506" s="881">
        <f t="shared" si="219"/>
        <v>0</v>
      </c>
      <c r="ET506" s="882"/>
      <c r="EU506" s="883"/>
      <c r="EV506" s="884">
        <f t="shared" si="220"/>
        <v>0</v>
      </c>
      <c r="EW506" s="885"/>
      <c r="EX506" s="885"/>
      <c r="EY506" s="885"/>
      <c r="EZ506" s="885"/>
      <c r="FA506" s="885"/>
      <c r="FB506" s="885"/>
      <c r="FC506" s="885"/>
      <c r="FD506" s="886"/>
      <c r="FE506" s="878"/>
      <c r="FF506" s="878"/>
      <c r="FG506" s="878"/>
      <c r="FH506" s="878"/>
      <c r="FI506" s="878"/>
      <c r="FJ506" s="878"/>
      <c r="FK506" s="878"/>
      <c r="FL506" s="555"/>
      <c r="FM506" s="554"/>
      <c r="FN506" s="554"/>
      <c r="FO506" s="554"/>
      <c r="FP506" s="554"/>
      <c r="FQ506" s="554"/>
      <c r="FR506" s="554"/>
      <c r="FS506" s="554"/>
      <c r="FT506" s="554"/>
      <c r="FU506" s="554"/>
      <c r="FV506" s="554"/>
      <c r="FW506" s="554"/>
      <c r="FX506" s="554"/>
      <c r="FY506" s="554"/>
      <c r="FZ506" s="554"/>
      <c r="GA506" s="554"/>
      <c r="GB506" s="556"/>
      <c r="GC506" s="370"/>
      <c r="GD506" s="453"/>
      <c r="GE506" s="453"/>
      <c r="GF506" s="453"/>
      <c r="GG506" s="453"/>
      <c r="GH506" s="454"/>
      <c r="GI506" s="453"/>
      <c r="GJ506" s="453"/>
      <c r="GK506" s="453"/>
      <c r="GL506" s="453"/>
      <c r="GM506" s="453"/>
      <c r="GN506" s="453"/>
      <c r="GO506" s="453"/>
      <c r="GP506" s="453"/>
      <c r="GQ506" s="453"/>
      <c r="GR506" s="453"/>
      <c r="GS506" s="561"/>
      <c r="GT506" s="475"/>
      <c r="GU506" s="472"/>
      <c r="GV506" s="453"/>
      <c r="GW506" s="453"/>
      <c r="GX506" s="869"/>
      <c r="GY506" s="870"/>
      <c r="GZ506" s="867"/>
      <c r="HA506" s="868"/>
      <c r="HB506" s="473"/>
      <c r="HC506" s="869"/>
      <c r="HD506" s="870"/>
      <c r="HE506" s="867"/>
      <c r="HF506" s="868"/>
      <c r="HG506" s="473"/>
      <c r="HH506" s="867"/>
      <c r="HI506" s="868"/>
      <c r="HJ506" s="867"/>
      <c r="HK506" s="868"/>
      <c r="HL506" s="370"/>
      <c r="HM506" s="865"/>
      <c r="HN506" s="866"/>
      <c r="HO506" s="865"/>
      <c r="HP506" s="866"/>
      <c r="HQ506" s="865"/>
      <c r="HR506" s="866"/>
      <c r="HS506" s="867"/>
      <c r="HT506" s="868"/>
      <c r="HU506" s="489"/>
      <c r="HV506" s="865"/>
      <c r="HW506" s="866"/>
    </row>
    <row r="507" spans="25:231" ht="15" customHeight="1">
      <c r="Y507" s="332"/>
      <c r="Z507" s="332"/>
      <c r="AA507" s="332"/>
      <c r="AB507" s="332"/>
      <c r="AC507" s="332"/>
      <c r="AD507" s="332"/>
      <c r="AE507" s="332"/>
      <c r="AF507" s="332"/>
      <c r="AG507" s="332"/>
      <c r="AH507" s="332"/>
      <c r="AI507" s="332"/>
      <c r="AJ507" s="332"/>
      <c r="AK507" s="332"/>
      <c r="AL507" s="332"/>
      <c r="AM507" s="332"/>
      <c r="AN507" s="332"/>
      <c r="AO507" s="332"/>
      <c r="AP507" s="332"/>
      <c r="AQ507" s="332"/>
      <c r="AR507" s="332"/>
      <c r="AS507" s="332"/>
      <c r="AT507" s="332"/>
      <c r="AU507" s="332"/>
      <c r="AV507" s="332"/>
      <c r="AW507" s="332"/>
      <c r="AX507" s="332"/>
      <c r="AY507" s="332"/>
      <c r="AZ507" s="332"/>
      <c r="BA507" s="332"/>
      <c r="BB507" s="332"/>
      <c r="BC507" s="332"/>
      <c r="BD507" s="332"/>
      <c r="BE507" s="332"/>
      <c r="BF507" s="332"/>
      <c r="BG507" s="332"/>
      <c r="BH507" s="332"/>
      <c r="BI507" s="332"/>
      <c r="BJ507" s="332"/>
      <c r="BK507" s="332"/>
      <c r="BL507" s="332"/>
      <c r="BM507" s="332"/>
      <c r="BN507" s="332"/>
      <c r="BO507" s="332"/>
      <c r="BP507" s="332"/>
      <c r="BQ507" s="332"/>
      <c r="BR507" s="332"/>
      <c r="BS507" s="332"/>
      <c r="BT507" s="332"/>
      <c r="BU507" s="332"/>
      <c r="BV507" s="332"/>
      <c r="BW507" s="332"/>
      <c r="BX507" s="332"/>
      <c r="BY507" s="332"/>
      <c r="BZ507" s="332"/>
      <c r="CA507" s="332"/>
      <c r="CB507" s="332"/>
      <c r="CC507" s="332"/>
      <c r="CD507" s="332"/>
      <c r="CE507" s="332"/>
      <c r="CF507" s="332"/>
      <c r="CG507" s="332"/>
      <c r="CH507" s="332"/>
      <c r="CI507" s="332"/>
      <c r="CJ507" s="332"/>
      <c r="CK507" s="332"/>
      <c r="CL507" s="332"/>
      <c r="CM507" s="332"/>
      <c r="CN507" s="332"/>
      <c r="CO507" s="332"/>
      <c r="CP507" s="332"/>
      <c r="CQ507" s="332"/>
      <c r="CR507" s="332"/>
      <c r="CS507" s="332"/>
      <c r="CT507" s="332"/>
      <c r="CU507" s="332"/>
      <c r="CV507" s="332"/>
      <c r="CW507" s="332"/>
      <c r="CX507" s="332"/>
      <c r="CY507" s="332"/>
      <c r="CZ507" s="332"/>
      <c r="DA507" s="332"/>
      <c r="DB507" s="332"/>
      <c r="DC507" s="332"/>
      <c r="DD507" s="332"/>
      <c r="DE507" s="332"/>
      <c r="DF507" s="332"/>
      <c r="DG507" s="332"/>
      <c r="DH507" s="332"/>
      <c r="DI507" s="332"/>
      <c r="DJ507" s="332"/>
      <c r="DK507" s="332"/>
      <c r="DL507" s="332"/>
      <c r="DM507" s="332"/>
      <c r="DN507" s="332"/>
      <c r="DO507" s="332"/>
      <c r="DP507" s="332"/>
      <c r="DQ507" s="332"/>
      <c r="DR507" s="332"/>
      <c r="DS507" s="332"/>
      <c r="DT507" s="332"/>
      <c r="DU507" s="453"/>
      <c r="DV507" s="453"/>
      <c r="DW507" s="453"/>
      <c r="DX507" s="453"/>
      <c r="DY507" s="453"/>
      <c r="DZ507" s="453"/>
      <c r="EA507" s="453"/>
      <c r="EB507" s="453"/>
      <c r="EC507" s="453"/>
      <c r="ED507" s="453"/>
      <c r="EE507" s="453"/>
      <c r="EF507" s="453"/>
      <c r="EG507" s="453"/>
      <c r="EH507" s="453"/>
      <c r="EI507" s="453"/>
      <c r="EJ507" s="453"/>
      <c r="EK507" s="453"/>
      <c r="EL507" s="453"/>
      <c r="EM507" s="483">
        <f t="shared" si="221"/>
        <v>198</v>
      </c>
      <c r="EN507" s="485"/>
      <c r="EO507" s="458"/>
      <c r="EP507" s="467"/>
      <c r="EQ507" s="806"/>
      <c r="ER507" s="808"/>
      <c r="ES507" s="881">
        <f t="shared" si="219"/>
        <v>0</v>
      </c>
      <c r="ET507" s="882"/>
      <c r="EU507" s="883"/>
      <c r="EV507" s="884">
        <f t="shared" si="220"/>
        <v>0</v>
      </c>
      <c r="EW507" s="885"/>
      <c r="EX507" s="885"/>
      <c r="EY507" s="885"/>
      <c r="EZ507" s="885"/>
      <c r="FA507" s="885"/>
      <c r="FB507" s="885"/>
      <c r="FC507" s="885"/>
      <c r="FD507" s="886"/>
      <c r="FE507" s="878"/>
      <c r="FF507" s="878"/>
      <c r="FG507" s="878"/>
      <c r="FH507" s="878"/>
      <c r="FI507" s="878"/>
      <c r="FJ507" s="878"/>
      <c r="FK507" s="878"/>
      <c r="FL507" s="555"/>
      <c r="FM507" s="554"/>
      <c r="FN507" s="554"/>
      <c r="FO507" s="554"/>
      <c r="FP507" s="554"/>
      <c r="FQ507" s="554"/>
      <c r="FR507" s="554"/>
      <c r="FS507" s="554"/>
      <c r="FT507" s="554"/>
      <c r="FU507" s="554"/>
      <c r="FV507" s="554"/>
      <c r="FW507" s="554"/>
      <c r="FX507" s="554"/>
      <c r="FY507" s="554"/>
      <c r="FZ507" s="554"/>
      <c r="GA507" s="554"/>
      <c r="GB507" s="556"/>
      <c r="GC507" s="370"/>
      <c r="GD507" s="453"/>
      <c r="GE507" s="453"/>
      <c r="GF507" s="453"/>
      <c r="GG507" s="453"/>
      <c r="GH507" s="454"/>
      <c r="GI507" s="453"/>
      <c r="GJ507" s="453"/>
      <c r="GK507" s="453"/>
      <c r="GL507" s="453"/>
      <c r="GM507" s="453"/>
      <c r="GN507" s="453"/>
      <c r="GO507" s="453"/>
      <c r="GP507" s="453"/>
      <c r="GQ507" s="453"/>
      <c r="GR507" s="453"/>
      <c r="GS507" s="561"/>
      <c r="GT507" s="475"/>
      <c r="GU507" s="472"/>
      <c r="GV507" s="453"/>
      <c r="GW507" s="453"/>
      <c r="GX507" s="869"/>
      <c r="GY507" s="870"/>
      <c r="GZ507" s="867"/>
      <c r="HA507" s="868"/>
      <c r="HB507" s="473"/>
      <c r="HC507" s="869"/>
      <c r="HD507" s="870"/>
      <c r="HE507" s="867"/>
      <c r="HF507" s="868"/>
      <c r="HG507" s="473"/>
      <c r="HH507" s="867"/>
      <c r="HI507" s="868"/>
      <c r="HJ507" s="867"/>
      <c r="HK507" s="868"/>
      <c r="HL507" s="370"/>
      <c r="HM507" s="865"/>
      <c r="HN507" s="866"/>
      <c r="HO507" s="865"/>
      <c r="HP507" s="866"/>
      <c r="HQ507" s="865"/>
      <c r="HR507" s="866"/>
      <c r="HS507" s="867"/>
      <c r="HT507" s="868"/>
      <c r="HU507" s="489"/>
      <c r="HV507" s="865"/>
      <c r="HW507" s="866"/>
    </row>
    <row r="508" spans="25:231" ht="15" customHeight="1">
      <c r="Y508" s="332"/>
      <c r="Z508" s="332"/>
      <c r="AA508" s="332"/>
      <c r="AB508" s="332"/>
      <c r="AC508" s="332"/>
      <c r="AD508" s="332"/>
      <c r="AE508" s="332"/>
      <c r="AF508" s="332"/>
      <c r="AG508" s="332"/>
      <c r="AH508" s="332"/>
      <c r="AI508" s="332"/>
      <c r="AJ508" s="332"/>
      <c r="AK508" s="332"/>
      <c r="AL508" s="332"/>
      <c r="AM508" s="332"/>
      <c r="AN508" s="332"/>
      <c r="AO508" s="332"/>
      <c r="AP508" s="332"/>
      <c r="AQ508" s="332"/>
      <c r="AR508" s="332"/>
      <c r="AS508" s="332"/>
      <c r="AT508" s="332"/>
      <c r="AU508" s="332"/>
      <c r="AV508" s="332"/>
      <c r="AW508" s="332"/>
      <c r="AX508" s="332"/>
      <c r="AY508" s="332"/>
      <c r="AZ508" s="332"/>
      <c r="BA508" s="332"/>
      <c r="BB508" s="332"/>
      <c r="BC508" s="332"/>
      <c r="BD508" s="332"/>
      <c r="BE508" s="332"/>
      <c r="BF508" s="332"/>
      <c r="BG508" s="332"/>
      <c r="BH508" s="332"/>
      <c r="BI508" s="332"/>
      <c r="BJ508" s="332"/>
      <c r="BK508" s="332"/>
      <c r="BL508" s="332"/>
      <c r="BM508" s="332"/>
      <c r="BN508" s="332"/>
      <c r="BO508" s="332"/>
      <c r="BP508" s="332"/>
      <c r="BQ508" s="332"/>
      <c r="BR508" s="332"/>
      <c r="BS508" s="332"/>
      <c r="BT508" s="332"/>
      <c r="BU508" s="332"/>
      <c r="BV508" s="332"/>
      <c r="BW508" s="332"/>
      <c r="BX508" s="332"/>
      <c r="BY508" s="332"/>
      <c r="BZ508" s="332"/>
      <c r="CA508" s="332"/>
      <c r="CB508" s="332"/>
      <c r="CC508" s="332"/>
      <c r="CD508" s="332"/>
      <c r="CE508" s="332"/>
      <c r="CF508" s="332"/>
      <c r="CG508" s="332"/>
      <c r="CH508" s="332"/>
      <c r="CI508" s="332"/>
      <c r="CJ508" s="332"/>
      <c r="CK508" s="332"/>
      <c r="CL508" s="332"/>
      <c r="CM508" s="332"/>
      <c r="CN508" s="332"/>
      <c r="CO508" s="332"/>
      <c r="CP508" s="332"/>
      <c r="CQ508" s="332"/>
      <c r="CR508" s="332"/>
      <c r="CS508" s="332"/>
      <c r="CT508" s="332"/>
      <c r="CU508" s="332"/>
      <c r="CV508" s="332"/>
      <c r="CW508" s="332"/>
      <c r="CX508" s="332"/>
      <c r="CY508" s="332"/>
      <c r="CZ508" s="332"/>
      <c r="DA508" s="332"/>
      <c r="DB508" s="332"/>
      <c r="DC508" s="332"/>
      <c r="DD508" s="332"/>
      <c r="DE508" s="332"/>
      <c r="DF508" s="332"/>
      <c r="DG508" s="332"/>
      <c r="DH508" s="332"/>
      <c r="DI508" s="332"/>
      <c r="DJ508" s="332"/>
      <c r="DK508" s="332"/>
      <c r="DL508" s="332"/>
      <c r="DM508" s="332"/>
      <c r="DN508" s="332"/>
      <c r="DO508" s="332"/>
      <c r="DP508" s="332"/>
      <c r="DQ508" s="332"/>
      <c r="DR508" s="332"/>
      <c r="DS508" s="332"/>
      <c r="DT508" s="332"/>
      <c r="DU508" s="453"/>
      <c r="DV508" s="453"/>
      <c r="DW508" s="453"/>
      <c r="DX508" s="453"/>
      <c r="DY508" s="453"/>
      <c r="DZ508" s="453"/>
      <c r="EA508" s="453"/>
      <c r="EB508" s="453"/>
      <c r="EC508" s="453"/>
      <c r="ED508" s="453"/>
      <c r="EE508" s="453"/>
      <c r="EF508" s="453"/>
      <c r="EG508" s="453"/>
      <c r="EH508" s="453"/>
      <c r="EI508" s="453"/>
      <c r="EJ508" s="453"/>
      <c r="EK508" s="453"/>
      <c r="EL508" s="453"/>
      <c r="EM508" s="483">
        <f t="shared" si="221"/>
        <v>199</v>
      </c>
      <c r="EN508" s="485"/>
      <c r="EO508" s="458"/>
      <c r="EP508" s="467"/>
      <c r="EQ508" s="806"/>
      <c r="ER508" s="808"/>
      <c r="ES508" s="881">
        <f t="shared" si="219"/>
        <v>0</v>
      </c>
      <c r="ET508" s="882"/>
      <c r="EU508" s="883"/>
      <c r="EV508" s="884">
        <f t="shared" si="220"/>
        <v>0</v>
      </c>
      <c r="EW508" s="885"/>
      <c r="EX508" s="885"/>
      <c r="EY508" s="885"/>
      <c r="EZ508" s="885"/>
      <c r="FA508" s="885"/>
      <c r="FB508" s="885"/>
      <c r="FC508" s="885"/>
      <c r="FD508" s="886"/>
      <c r="FE508" s="878"/>
      <c r="FF508" s="878"/>
      <c r="FG508" s="878"/>
      <c r="FH508" s="878"/>
      <c r="FI508" s="878"/>
      <c r="FJ508" s="878"/>
      <c r="FK508" s="878"/>
      <c r="FL508" s="555"/>
      <c r="FM508" s="554"/>
      <c r="FN508" s="554"/>
      <c r="FO508" s="554"/>
      <c r="FP508" s="554"/>
      <c r="FQ508" s="554"/>
      <c r="FR508" s="554"/>
      <c r="FS508" s="554"/>
      <c r="FT508" s="554"/>
      <c r="FU508" s="554"/>
      <c r="FV508" s="554"/>
      <c r="FW508" s="554"/>
      <c r="FX508" s="554"/>
      <c r="FY508" s="554"/>
      <c r="FZ508" s="554"/>
      <c r="GA508" s="554"/>
      <c r="GB508" s="556"/>
      <c r="GC508" s="370"/>
      <c r="GD508" s="453"/>
      <c r="GE508" s="453"/>
      <c r="GF508" s="453"/>
      <c r="GG508" s="453"/>
      <c r="GH508" s="454"/>
      <c r="GI508" s="453"/>
      <c r="GJ508" s="453"/>
      <c r="GK508" s="453"/>
      <c r="GL508" s="453"/>
      <c r="GM508" s="453"/>
      <c r="GN508" s="453"/>
      <c r="GO508" s="453"/>
      <c r="GP508" s="453"/>
      <c r="GQ508" s="453"/>
      <c r="GR508" s="453"/>
      <c r="GS508" s="561"/>
      <c r="GT508" s="475"/>
      <c r="GU508" s="472"/>
      <c r="GV508" s="453"/>
      <c r="GW508" s="453"/>
      <c r="GX508" s="869"/>
      <c r="GY508" s="870"/>
      <c r="GZ508" s="867"/>
      <c r="HA508" s="868"/>
      <c r="HB508" s="473"/>
      <c r="HC508" s="869"/>
      <c r="HD508" s="870"/>
      <c r="HE508" s="867"/>
      <c r="HF508" s="868"/>
      <c r="HG508" s="473"/>
      <c r="HH508" s="867"/>
      <c r="HI508" s="868"/>
      <c r="HJ508" s="867"/>
      <c r="HK508" s="868"/>
      <c r="HL508" s="370"/>
      <c r="HM508" s="865"/>
      <c r="HN508" s="866"/>
      <c r="HO508" s="865"/>
      <c r="HP508" s="866"/>
      <c r="HQ508" s="865"/>
      <c r="HR508" s="866"/>
      <c r="HS508" s="867"/>
      <c r="HT508" s="868"/>
      <c r="HU508" s="489"/>
      <c r="HV508" s="865"/>
      <c r="HW508" s="866"/>
    </row>
    <row r="509" spans="25:231" ht="15" customHeight="1">
      <c r="Y509" s="332"/>
      <c r="Z509" s="332"/>
      <c r="AA509" s="332"/>
      <c r="AB509" s="332"/>
      <c r="AC509" s="332"/>
      <c r="AD509" s="332"/>
      <c r="AE509" s="332"/>
      <c r="AF509" s="332"/>
      <c r="AG509" s="332"/>
      <c r="AH509" s="332"/>
      <c r="AI509" s="332"/>
      <c r="AJ509" s="332"/>
      <c r="AK509" s="332"/>
      <c r="AL509" s="332"/>
      <c r="AM509" s="332"/>
      <c r="AN509" s="332"/>
      <c r="AO509" s="332"/>
      <c r="AP509" s="332"/>
      <c r="AQ509" s="332"/>
      <c r="AR509" s="332"/>
      <c r="AS509" s="332"/>
      <c r="AT509" s="332"/>
      <c r="AU509" s="332"/>
      <c r="AV509" s="332"/>
      <c r="AW509" s="332"/>
      <c r="AX509" s="332"/>
      <c r="AY509" s="332"/>
      <c r="AZ509" s="332"/>
      <c r="BA509" s="332"/>
      <c r="BB509" s="332"/>
      <c r="BC509" s="332"/>
      <c r="BD509" s="332"/>
      <c r="BE509" s="332"/>
      <c r="BF509" s="332"/>
      <c r="BG509" s="332"/>
      <c r="BH509" s="332"/>
      <c r="BI509" s="332"/>
      <c r="BJ509" s="332"/>
      <c r="BK509" s="332"/>
      <c r="BL509" s="332"/>
      <c r="BM509" s="332"/>
      <c r="BN509" s="332"/>
      <c r="BO509" s="332"/>
      <c r="BP509" s="332"/>
      <c r="BQ509" s="332"/>
      <c r="BR509" s="332"/>
      <c r="BS509" s="332"/>
      <c r="BT509" s="332"/>
      <c r="BU509" s="332"/>
      <c r="BV509" s="332"/>
      <c r="BW509" s="332"/>
      <c r="BX509" s="332"/>
      <c r="BY509" s="332"/>
      <c r="BZ509" s="332"/>
      <c r="CA509" s="332"/>
      <c r="CB509" s="332"/>
      <c r="CC509" s="332"/>
      <c r="CD509" s="332"/>
      <c r="CE509" s="332"/>
      <c r="CF509" s="332"/>
      <c r="CG509" s="332"/>
      <c r="CH509" s="332"/>
      <c r="CI509" s="332"/>
      <c r="CJ509" s="332"/>
      <c r="CK509" s="332"/>
      <c r="CL509" s="332"/>
      <c r="CM509" s="332"/>
      <c r="CN509" s="332"/>
      <c r="CO509" s="332"/>
      <c r="CP509" s="332"/>
      <c r="CQ509" s="332"/>
      <c r="CR509" s="332"/>
      <c r="CS509" s="332"/>
      <c r="CT509" s="332"/>
      <c r="CU509" s="332"/>
      <c r="CV509" s="332"/>
      <c r="CW509" s="332"/>
      <c r="CX509" s="332"/>
      <c r="CY509" s="332"/>
      <c r="CZ509" s="332"/>
      <c r="DA509" s="332"/>
      <c r="DB509" s="332"/>
      <c r="DC509" s="332"/>
      <c r="DD509" s="332"/>
      <c r="DE509" s="332"/>
      <c r="DF509" s="332"/>
      <c r="DG509" s="332"/>
      <c r="DH509" s="332"/>
      <c r="DI509" s="332"/>
      <c r="DJ509" s="332"/>
      <c r="DK509" s="332"/>
      <c r="DL509" s="332"/>
      <c r="DM509" s="332"/>
      <c r="DN509" s="332"/>
      <c r="DO509" s="332"/>
      <c r="DP509" s="332"/>
      <c r="DQ509" s="332"/>
      <c r="DR509" s="332"/>
      <c r="DS509" s="332"/>
      <c r="DT509" s="332"/>
      <c r="DU509" s="453"/>
      <c r="DV509" s="453"/>
      <c r="DW509" s="453"/>
      <c r="DX509" s="453"/>
      <c r="DY509" s="453"/>
      <c r="DZ509" s="453"/>
      <c r="EA509" s="453"/>
      <c r="EB509" s="453"/>
      <c r="EC509" s="453"/>
      <c r="ED509" s="453"/>
      <c r="EE509" s="453"/>
      <c r="EF509" s="453"/>
      <c r="EG509" s="453"/>
      <c r="EH509" s="453"/>
      <c r="EI509" s="453"/>
      <c r="EJ509" s="453"/>
      <c r="EK509" s="453"/>
      <c r="EL509" s="453"/>
      <c r="EM509" s="483">
        <f t="shared" si="221"/>
        <v>200</v>
      </c>
      <c r="EN509" s="485"/>
      <c r="EO509" s="804"/>
      <c r="EP509" s="805"/>
      <c r="EQ509" s="806"/>
      <c r="ER509" s="808"/>
      <c r="ES509" s="881">
        <f t="shared" ref="ES509:ES572" si="222">IF(OR(EO509 = "", EP509 = 0, EP509 = "", EQ509 = 0, EQ509 = "", ER509 = 0, ER509 = ""), 0,
IF(EO509 &lt;&gt; "ACCION", EP509 * ER509 * -100,  EP509 * ER509 * -1))</f>
        <v>0</v>
      </c>
      <c r="ET509" s="882"/>
      <c r="EU509" s="883"/>
      <c r="EV509" s="884">
        <f t="shared" si="220"/>
        <v>0</v>
      </c>
      <c r="EW509" s="885"/>
      <c r="EX509" s="885"/>
      <c r="EY509" s="885"/>
      <c r="EZ509" s="885"/>
      <c r="FA509" s="885"/>
      <c r="FB509" s="885"/>
      <c r="FC509" s="885"/>
      <c r="FD509" s="886"/>
      <c r="FE509" s="878"/>
      <c r="FF509" s="878"/>
      <c r="FG509" s="878"/>
      <c r="FH509" s="878"/>
      <c r="FI509" s="878"/>
      <c r="FJ509" s="878"/>
      <c r="FK509" s="878"/>
      <c r="FL509" s="555"/>
      <c r="FM509" s="554"/>
      <c r="FN509" s="554"/>
      <c r="FO509" s="554"/>
      <c r="FP509" s="554"/>
      <c r="FQ509" s="554"/>
      <c r="FR509" s="554"/>
      <c r="FS509" s="554"/>
      <c r="FT509" s="554"/>
      <c r="FU509" s="554"/>
      <c r="FV509" s="554"/>
      <c r="FW509" s="554"/>
      <c r="FX509" s="554"/>
      <c r="FY509" s="554"/>
      <c r="FZ509" s="554"/>
      <c r="GA509" s="554"/>
      <c r="GB509" s="556"/>
      <c r="GC509" s="370"/>
      <c r="GD509" s="453"/>
      <c r="GE509" s="453"/>
      <c r="GF509" s="453"/>
      <c r="GG509" s="453"/>
      <c r="GH509" s="454"/>
      <c r="GI509" s="453"/>
      <c r="GJ509" s="453"/>
      <c r="GK509" s="453"/>
      <c r="GL509" s="453"/>
      <c r="GM509" s="453"/>
      <c r="GN509" s="453"/>
      <c r="GO509" s="453"/>
      <c r="GP509" s="453"/>
      <c r="GQ509" s="453"/>
      <c r="GR509" s="453"/>
      <c r="GS509" s="561"/>
      <c r="GT509" s="475"/>
      <c r="GU509" s="472"/>
      <c r="GV509" s="453"/>
      <c r="GW509" s="453"/>
      <c r="GX509" s="869"/>
      <c r="GY509" s="870"/>
      <c r="GZ509" s="867"/>
      <c r="HA509" s="868"/>
      <c r="HB509" s="473"/>
      <c r="HC509" s="869"/>
      <c r="HD509" s="870"/>
      <c r="HE509" s="867"/>
      <c r="HF509" s="868"/>
      <c r="HG509" s="473"/>
      <c r="HH509" s="867"/>
      <c r="HI509" s="868"/>
      <c r="HJ509" s="867"/>
      <c r="HK509" s="868"/>
      <c r="HL509" s="370"/>
      <c r="HM509" s="865"/>
      <c r="HN509" s="866"/>
      <c r="HO509" s="865"/>
      <c r="HP509" s="866"/>
      <c r="HQ509" s="865"/>
      <c r="HR509" s="866"/>
      <c r="HS509" s="867"/>
      <c r="HT509" s="868"/>
      <c r="HU509" s="489"/>
      <c r="HV509" s="865"/>
      <c r="HW509" s="866"/>
    </row>
    <row r="510" spans="25:231" ht="15" customHeight="1">
      <c r="Y510" s="332"/>
      <c r="Z510" s="332"/>
      <c r="AA510" s="332"/>
      <c r="AB510" s="332"/>
      <c r="AC510" s="332"/>
      <c r="AD510" s="332"/>
      <c r="AE510" s="332"/>
      <c r="AF510" s="332"/>
      <c r="AG510" s="332"/>
      <c r="AH510" s="332"/>
      <c r="AI510" s="332"/>
      <c r="AJ510" s="332"/>
      <c r="AK510" s="332"/>
      <c r="AL510" s="332"/>
      <c r="AM510" s="332"/>
      <c r="AN510" s="332"/>
      <c r="AO510" s="332"/>
      <c r="AP510" s="332"/>
      <c r="AQ510" s="332"/>
      <c r="AR510" s="332"/>
      <c r="AS510" s="332"/>
      <c r="AT510" s="332"/>
      <c r="AU510" s="332"/>
      <c r="AV510" s="332"/>
      <c r="AW510" s="332"/>
      <c r="AX510" s="332"/>
      <c r="AY510" s="332"/>
      <c r="AZ510" s="332"/>
      <c r="BA510" s="332"/>
      <c r="BB510" s="332"/>
      <c r="BC510" s="332"/>
      <c r="BD510" s="332"/>
      <c r="BE510" s="332"/>
      <c r="BF510" s="332"/>
      <c r="BG510" s="332"/>
      <c r="BH510" s="332"/>
      <c r="BI510" s="332"/>
      <c r="BJ510" s="332"/>
      <c r="BK510" s="332"/>
      <c r="BL510" s="332"/>
      <c r="BM510" s="332"/>
      <c r="BN510" s="332"/>
      <c r="BO510" s="332"/>
      <c r="BP510" s="332"/>
      <c r="BQ510" s="332"/>
      <c r="BR510" s="332"/>
      <c r="BS510" s="332"/>
      <c r="BT510" s="332"/>
      <c r="BU510" s="332"/>
      <c r="BV510" s="332"/>
      <c r="BW510" s="332"/>
      <c r="BX510" s="332"/>
      <c r="BY510" s="332"/>
      <c r="BZ510" s="332"/>
      <c r="CA510" s="332"/>
      <c r="CB510" s="332"/>
      <c r="CC510" s="332"/>
      <c r="CD510" s="332"/>
      <c r="CE510" s="332"/>
      <c r="CF510" s="332"/>
      <c r="CG510" s="332"/>
      <c r="CH510" s="332"/>
      <c r="CI510" s="332"/>
      <c r="CJ510" s="332"/>
      <c r="CK510" s="332"/>
      <c r="CL510" s="332"/>
      <c r="CM510" s="332"/>
      <c r="CN510" s="332"/>
      <c r="CO510" s="332"/>
      <c r="CP510" s="332"/>
      <c r="CQ510" s="332"/>
      <c r="CR510" s="332"/>
      <c r="CS510" s="332"/>
      <c r="CT510" s="332"/>
      <c r="CU510" s="332"/>
      <c r="CV510" s="332"/>
      <c r="CW510" s="332"/>
      <c r="CX510" s="332"/>
      <c r="CY510" s="332"/>
      <c r="CZ510" s="332"/>
      <c r="DA510" s="332"/>
      <c r="DB510" s="332"/>
      <c r="DC510" s="332"/>
      <c r="DD510" s="332"/>
      <c r="DE510" s="332"/>
      <c r="DF510" s="332"/>
      <c r="DG510" s="332"/>
      <c r="DH510" s="332"/>
      <c r="DI510" s="332"/>
      <c r="DJ510" s="332"/>
      <c r="DK510" s="332"/>
      <c r="DL510" s="332"/>
      <c r="DM510" s="332"/>
      <c r="DN510" s="332"/>
      <c r="DO510" s="332"/>
      <c r="DP510" s="332"/>
      <c r="DQ510" s="332"/>
      <c r="DR510" s="332"/>
      <c r="DS510" s="332"/>
      <c r="DT510" s="332"/>
      <c r="DU510" s="453"/>
      <c r="DV510" s="453"/>
      <c r="DW510" s="453"/>
      <c r="DX510" s="453"/>
      <c r="DY510" s="453"/>
      <c r="DZ510" s="453"/>
      <c r="EA510" s="453"/>
      <c r="EB510" s="453"/>
      <c r="EC510" s="453"/>
      <c r="ED510" s="453"/>
      <c r="EE510" s="453"/>
      <c r="EF510" s="453"/>
      <c r="EG510" s="453"/>
      <c r="EH510" s="453"/>
      <c r="EI510" s="453"/>
      <c r="EJ510" s="453"/>
      <c r="EK510" s="453"/>
      <c r="EL510" s="453"/>
      <c r="EM510" s="483">
        <f t="shared" si="221"/>
        <v>201</v>
      </c>
      <c r="EN510" s="485"/>
      <c r="EO510" s="804"/>
      <c r="EP510" s="805"/>
      <c r="EQ510" s="806"/>
      <c r="ER510" s="808"/>
      <c r="ES510" s="881">
        <f t="shared" si="222"/>
        <v>0</v>
      </c>
      <c r="ET510" s="882"/>
      <c r="EU510" s="883"/>
      <c r="EV510" s="884">
        <f t="shared" si="220"/>
        <v>0</v>
      </c>
      <c r="EW510" s="885"/>
      <c r="EX510" s="885"/>
      <c r="EY510" s="885"/>
      <c r="EZ510" s="885"/>
      <c r="FA510" s="885"/>
      <c r="FB510" s="885"/>
      <c r="FC510" s="885"/>
      <c r="FD510" s="886"/>
      <c r="FE510" s="878"/>
      <c r="FF510" s="878"/>
      <c r="FG510" s="878"/>
      <c r="FH510" s="878"/>
      <c r="FI510" s="878"/>
      <c r="FJ510" s="878"/>
      <c r="FK510" s="878"/>
      <c r="FL510" s="555"/>
      <c r="FM510" s="554"/>
      <c r="FN510" s="554"/>
      <c r="FO510" s="554"/>
      <c r="FP510" s="554"/>
      <c r="FQ510" s="554"/>
      <c r="FR510" s="554"/>
      <c r="FS510" s="554"/>
      <c r="FT510" s="554"/>
      <c r="FU510" s="554"/>
      <c r="FV510" s="554"/>
      <c r="FW510" s="554"/>
      <c r="FX510" s="554"/>
      <c r="FY510" s="554"/>
      <c r="FZ510" s="554"/>
      <c r="GA510" s="554"/>
      <c r="GB510" s="556"/>
      <c r="GC510" s="370"/>
      <c r="GD510" s="453"/>
      <c r="GE510" s="453"/>
      <c r="GF510" s="453"/>
      <c r="GG510" s="453"/>
      <c r="GH510" s="454"/>
      <c r="GI510" s="453"/>
      <c r="GJ510" s="453"/>
      <c r="GK510" s="453"/>
      <c r="GL510" s="453"/>
      <c r="GM510" s="453"/>
      <c r="GN510" s="453"/>
      <c r="GO510" s="453"/>
      <c r="GP510" s="453"/>
      <c r="GQ510" s="453"/>
      <c r="GR510" s="453"/>
      <c r="GS510" s="561"/>
      <c r="GT510" s="475"/>
      <c r="GU510" s="472"/>
      <c r="GV510" s="453"/>
      <c r="GW510" s="453"/>
      <c r="GX510" s="869"/>
      <c r="GY510" s="870"/>
      <c r="GZ510" s="867"/>
      <c r="HA510" s="868"/>
      <c r="HB510" s="473"/>
      <c r="HC510" s="869"/>
      <c r="HD510" s="870"/>
      <c r="HE510" s="867"/>
      <c r="HF510" s="868"/>
      <c r="HG510" s="473"/>
      <c r="HH510" s="867"/>
      <c r="HI510" s="868"/>
      <c r="HJ510" s="867"/>
      <c r="HK510" s="868"/>
      <c r="HL510" s="370"/>
      <c r="HM510" s="865"/>
      <c r="HN510" s="866"/>
      <c r="HO510" s="865"/>
      <c r="HP510" s="866"/>
      <c r="HQ510" s="865"/>
      <c r="HR510" s="866"/>
      <c r="HS510" s="867"/>
      <c r="HT510" s="868"/>
      <c r="HU510" s="489"/>
      <c r="HV510" s="865"/>
      <c r="HW510" s="866"/>
    </row>
    <row r="511" spans="25:231" ht="15" customHeight="1">
      <c r="Y511" s="332"/>
      <c r="Z511" s="332"/>
      <c r="AA511" s="332"/>
      <c r="AB511" s="332"/>
      <c r="AC511" s="332"/>
      <c r="AD511" s="332"/>
      <c r="AE511" s="332"/>
      <c r="AF511" s="332"/>
      <c r="AG511" s="332"/>
      <c r="AH511" s="332"/>
      <c r="AI511" s="332"/>
      <c r="AJ511" s="332"/>
      <c r="AK511" s="332"/>
      <c r="AL511" s="332"/>
      <c r="AM511" s="332"/>
      <c r="AN511" s="332"/>
      <c r="AO511" s="332"/>
      <c r="AP511" s="332"/>
      <c r="AQ511" s="332"/>
      <c r="AR511" s="332"/>
      <c r="AS511" s="332"/>
      <c r="AT511" s="332"/>
      <c r="AU511" s="332"/>
      <c r="AV511" s="332"/>
      <c r="AW511" s="332"/>
      <c r="AX511" s="332"/>
      <c r="AY511" s="332"/>
      <c r="AZ511" s="332"/>
      <c r="BA511" s="332"/>
      <c r="BB511" s="332"/>
      <c r="BC511" s="332"/>
      <c r="BD511" s="332"/>
      <c r="BE511" s="332"/>
      <c r="BF511" s="332"/>
      <c r="BG511" s="332"/>
      <c r="BH511" s="332"/>
      <c r="BI511" s="332"/>
      <c r="BJ511" s="332"/>
      <c r="BK511" s="332"/>
      <c r="BL511" s="332"/>
      <c r="BM511" s="332"/>
      <c r="BN511" s="332"/>
      <c r="BO511" s="332"/>
      <c r="BP511" s="332"/>
      <c r="BQ511" s="332"/>
      <c r="BR511" s="332"/>
      <c r="BS511" s="332"/>
      <c r="BT511" s="332"/>
      <c r="BU511" s="332"/>
      <c r="BV511" s="332"/>
      <c r="BW511" s="332"/>
      <c r="BX511" s="332"/>
      <c r="BY511" s="332"/>
      <c r="BZ511" s="332"/>
      <c r="CA511" s="332"/>
      <c r="CB511" s="332"/>
      <c r="CC511" s="332"/>
      <c r="CD511" s="332"/>
      <c r="CE511" s="332"/>
      <c r="CF511" s="332"/>
      <c r="CG511" s="332"/>
      <c r="CH511" s="332"/>
      <c r="CI511" s="332"/>
      <c r="CJ511" s="332"/>
      <c r="CK511" s="332"/>
      <c r="CL511" s="332"/>
      <c r="CM511" s="332"/>
      <c r="CN511" s="332"/>
      <c r="CO511" s="332"/>
      <c r="CP511" s="332"/>
      <c r="CQ511" s="332"/>
      <c r="CR511" s="332"/>
      <c r="CS511" s="332"/>
      <c r="CT511" s="332"/>
      <c r="CU511" s="332"/>
      <c r="CV511" s="332"/>
      <c r="CW511" s="332"/>
      <c r="CX511" s="332"/>
      <c r="CY511" s="332"/>
      <c r="CZ511" s="332"/>
      <c r="DA511" s="332"/>
      <c r="DB511" s="332"/>
      <c r="DC511" s="332"/>
      <c r="DD511" s="332"/>
      <c r="DE511" s="332"/>
      <c r="DF511" s="332"/>
      <c r="DG511" s="332"/>
      <c r="DH511" s="332"/>
      <c r="DI511" s="332"/>
      <c r="DJ511" s="332"/>
      <c r="DK511" s="332"/>
      <c r="DL511" s="332"/>
      <c r="DM511" s="332"/>
      <c r="DN511" s="332"/>
      <c r="DO511" s="332"/>
      <c r="DP511" s="332"/>
      <c r="DQ511" s="332"/>
      <c r="DR511" s="332"/>
      <c r="DS511" s="332"/>
      <c r="DT511" s="332"/>
      <c r="DU511" s="453"/>
      <c r="DV511" s="453"/>
      <c r="DW511" s="453"/>
      <c r="DX511" s="453"/>
      <c r="DY511" s="453"/>
      <c r="DZ511" s="453"/>
      <c r="EA511" s="453"/>
      <c r="EB511" s="453"/>
      <c r="EC511" s="453"/>
      <c r="ED511" s="453"/>
      <c r="EE511" s="453"/>
      <c r="EF511" s="453"/>
      <c r="EG511" s="453"/>
      <c r="EH511" s="453"/>
      <c r="EI511" s="453"/>
      <c r="EJ511" s="453"/>
      <c r="EK511" s="453"/>
      <c r="EL511" s="453"/>
      <c r="EM511" s="483">
        <f t="shared" si="221"/>
        <v>202</v>
      </c>
      <c r="EN511" s="485"/>
      <c r="EO511" s="804"/>
      <c r="EP511" s="805"/>
      <c r="EQ511" s="806"/>
      <c r="ER511" s="808"/>
      <c r="ES511" s="881">
        <f t="shared" si="222"/>
        <v>0</v>
      </c>
      <c r="ET511" s="882"/>
      <c r="EU511" s="883"/>
      <c r="EV511" s="884">
        <f t="shared" si="220"/>
        <v>0</v>
      </c>
      <c r="EW511" s="885"/>
      <c r="EX511" s="885"/>
      <c r="EY511" s="885"/>
      <c r="EZ511" s="885"/>
      <c r="FA511" s="885"/>
      <c r="FB511" s="885"/>
      <c r="FC511" s="885"/>
      <c r="FD511" s="886"/>
      <c r="FE511" s="878"/>
      <c r="FF511" s="878"/>
      <c r="FG511" s="878"/>
      <c r="FH511" s="878"/>
      <c r="FI511" s="878"/>
      <c r="FJ511" s="878"/>
      <c r="FK511" s="878"/>
      <c r="FL511" s="555"/>
      <c r="FM511" s="554"/>
      <c r="FN511" s="554"/>
      <c r="FO511" s="554"/>
      <c r="FP511" s="554"/>
      <c r="FQ511" s="554"/>
      <c r="FR511" s="554"/>
      <c r="FS511" s="554"/>
      <c r="FT511" s="554"/>
      <c r="FU511" s="554"/>
      <c r="FV511" s="554"/>
      <c r="FW511" s="554"/>
      <c r="FX511" s="554"/>
      <c r="FY511" s="554"/>
      <c r="FZ511" s="554"/>
      <c r="GA511" s="554"/>
      <c r="GB511" s="556"/>
      <c r="GC511" s="370"/>
      <c r="GD511" s="453"/>
      <c r="GE511" s="453"/>
      <c r="GF511" s="453"/>
      <c r="GG511" s="453"/>
      <c r="GH511" s="454"/>
      <c r="GI511" s="453"/>
      <c r="GJ511" s="453"/>
      <c r="GK511" s="453"/>
      <c r="GL511" s="453"/>
      <c r="GM511" s="453"/>
      <c r="GN511" s="453"/>
      <c r="GO511" s="453"/>
      <c r="GP511" s="453"/>
      <c r="GQ511" s="453"/>
      <c r="GR511" s="453"/>
      <c r="GS511" s="561"/>
      <c r="GT511" s="475"/>
      <c r="GU511" s="472"/>
      <c r="GV511" s="453"/>
      <c r="GW511" s="453"/>
      <c r="GX511" s="869"/>
      <c r="GY511" s="870"/>
      <c r="GZ511" s="867"/>
      <c r="HA511" s="868"/>
      <c r="HB511" s="473"/>
      <c r="HC511" s="869"/>
      <c r="HD511" s="870"/>
      <c r="HE511" s="867"/>
      <c r="HF511" s="868"/>
      <c r="HG511" s="473"/>
      <c r="HH511" s="867"/>
      <c r="HI511" s="868"/>
      <c r="HJ511" s="867"/>
      <c r="HK511" s="868"/>
      <c r="HL511" s="370"/>
      <c r="HM511" s="865"/>
      <c r="HN511" s="866"/>
      <c r="HO511" s="865"/>
      <c r="HP511" s="866"/>
      <c r="HQ511" s="865"/>
      <c r="HR511" s="866"/>
      <c r="HS511" s="867"/>
      <c r="HT511" s="868"/>
      <c r="HU511" s="489"/>
      <c r="HV511" s="865"/>
      <c r="HW511" s="866"/>
    </row>
    <row r="512" spans="25:231" ht="15" customHeight="1">
      <c r="Y512" s="332"/>
      <c r="Z512" s="332"/>
      <c r="AA512" s="332"/>
      <c r="AB512" s="332"/>
      <c r="AC512" s="332"/>
      <c r="AD512" s="332"/>
      <c r="AE512" s="332"/>
      <c r="AF512" s="332"/>
      <c r="AG512" s="332"/>
      <c r="AH512" s="332"/>
      <c r="AI512" s="332"/>
      <c r="AJ512" s="332"/>
      <c r="AK512" s="332"/>
      <c r="AL512" s="332"/>
      <c r="AM512" s="332"/>
      <c r="AN512" s="332"/>
      <c r="AO512" s="332"/>
      <c r="AP512" s="332"/>
      <c r="AQ512" s="332"/>
      <c r="AR512" s="332"/>
      <c r="AS512" s="332"/>
      <c r="AT512" s="332"/>
      <c r="AU512" s="332"/>
      <c r="AV512" s="332"/>
      <c r="AW512" s="332"/>
      <c r="AX512" s="332"/>
      <c r="AY512" s="332"/>
      <c r="AZ512" s="332"/>
      <c r="BA512" s="332"/>
      <c r="BB512" s="332"/>
      <c r="BC512" s="332"/>
      <c r="BD512" s="332"/>
      <c r="BE512" s="332"/>
      <c r="BF512" s="332"/>
      <c r="BG512" s="332"/>
      <c r="BH512" s="332"/>
      <c r="BI512" s="332"/>
      <c r="BJ512" s="332"/>
      <c r="BK512" s="332"/>
      <c r="BL512" s="332"/>
      <c r="BM512" s="332"/>
      <c r="BN512" s="332"/>
      <c r="BO512" s="332"/>
      <c r="BP512" s="332"/>
      <c r="BQ512" s="332"/>
      <c r="BR512" s="332"/>
      <c r="BS512" s="332"/>
      <c r="BT512" s="332"/>
      <c r="BU512" s="332"/>
      <c r="BV512" s="332"/>
      <c r="BW512" s="332"/>
      <c r="BX512" s="332"/>
      <c r="BY512" s="332"/>
      <c r="BZ512" s="332"/>
      <c r="CA512" s="332"/>
      <c r="CB512" s="332"/>
      <c r="CC512" s="332"/>
      <c r="CD512" s="332"/>
      <c r="CE512" s="332"/>
      <c r="CF512" s="332"/>
      <c r="CG512" s="332"/>
      <c r="CH512" s="332"/>
      <c r="CI512" s="332"/>
      <c r="CJ512" s="332"/>
      <c r="CK512" s="332"/>
      <c r="CL512" s="332"/>
      <c r="CM512" s="332"/>
      <c r="CN512" s="332"/>
      <c r="CO512" s="332"/>
      <c r="CP512" s="332"/>
      <c r="CQ512" s="332"/>
      <c r="CR512" s="332"/>
      <c r="CS512" s="332"/>
      <c r="CT512" s="332"/>
      <c r="CU512" s="332"/>
      <c r="CV512" s="332"/>
      <c r="CW512" s="332"/>
      <c r="CX512" s="332"/>
      <c r="CY512" s="332"/>
      <c r="CZ512" s="332"/>
      <c r="DA512" s="332"/>
      <c r="DB512" s="332"/>
      <c r="DC512" s="332"/>
      <c r="DD512" s="332"/>
      <c r="DE512" s="332"/>
      <c r="DF512" s="332"/>
      <c r="DG512" s="332"/>
      <c r="DH512" s="332"/>
      <c r="DI512" s="332"/>
      <c r="DJ512" s="332"/>
      <c r="DK512" s="332"/>
      <c r="DL512" s="332"/>
      <c r="DM512" s="332"/>
      <c r="DN512" s="332"/>
      <c r="DO512" s="332"/>
      <c r="DP512" s="332"/>
      <c r="DQ512" s="332"/>
      <c r="DR512" s="332"/>
      <c r="DS512" s="332"/>
      <c r="DT512" s="332"/>
      <c r="DU512" s="453"/>
      <c r="DV512" s="453"/>
      <c r="DW512" s="453"/>
      <c r="DX512" s="453"/>
      <c r="DY512" s="453"/>
      <c r="DZ512" s="453"/>
      <c r="EA512" s="453"/>
      <c r="EB512" s="453"/>
      <c r="EC512" s="453"/>
      <c r="ED512" s="453"/>
      <c r="EE512" s="453"/>
      <c r="EF512" s="453"/>
      <c r="EG512" s="453"/>
      <c r="EH512" s="453"/>
      <c r="EI512" s="453"/>
      <c r="EJ512" s="453"/>
      <c r="EK512" s="453"/>
      <c r="EL512" s="453"/>
      <c r="EM512" s="483">
        <f t="shared" si="221"/>
        <v>203</v>
      </c>
      <c r="EN512" s="485"/>
      <c r="EO512" s="804"/>
      <c r="EP512" s="805"/>
      <c r="EQ512" s="806"/>
      <c r="ER512" s="808"/>
      <c r="ES512" s="881">
        <f t="shared" si="222"/>
        <v>0</v>
      </c>
      <c r="ET512" s="882"/>
      <c r="EU512" s="883"/>
      <c r="EV512" s="884">
        <f t="shared" si="220"/>
        <v>0</v>
      </c>
      <c r="EW512" s="885"/>
      <c r="EX512" s="885"/>
      <c r="EY512" s="885"/>
      <c r="EZ512" s="885"/>
      <c r="FA512" s="885"/>
      <c r="FB512" s="885"/>
      <c r="FC512" s="885"/>
      <c r="FD512" s="886"/>
      <c r="FE512" s="878"/>
      <c r="FF512" s="878"/>
      <c r="FG512" s="878"/>
      <c r="FH512" s="878"/>
      <c r="FI512" s="878"/>
      <c r="FJ512" s="878"/>
      <c r="FK512" s="878"/>
      <c r="FL512" s="555"/>
      <c r="FM512" s="554"/>
      <c r="FN512" s="554"/>
      <c r="FO512" s="554"/>
      <c r="FP512" s="554"/>
      <c r="FQ512" s="554"/>
      <c r="FR512" s="554"/>
      <c r="FS512" s="554"/>
      <c r="FT512" s="554"/>
      <c r="FU512" s="554"/>
      <c r="FV512" s="554"/>
      <c r="FW512" s="554"/>
      <c r="FX512" s="554"/>
      <c r="FY512" s="554"/>
      <c r="FZ512" s="554"/>
      <c r="GA512" s="554"/>
      <c r="GB512" s="556"/>
      <c r="GC512" s="370"/>
      <c r="GD512" s="453"/>
      <c r="GE512" s="453"/>
      <c r="GF512" s="453"/>
      <c r="GG512" s="453"/>
      <c r="GH512" s="454"/>
      <c r="GI512" s="453"/>
      <c r="GJ512" s="453"/>
      <c r="GK512" s="453"/>
      <c r="GL512" s="453"/>
      <c r="GM512" s="453"/>
      <c r="GN512" s="453"/>
      <c r="GO512" s="453"/>
      <c r="GP512" s="453"/>
      <c r="GQ512" s="453"/>
      <c r="GR512" s="453"/>
      <c r="GS512" s="561"/>
      <c r="GT512" s="475"/>
      <c r="GU512" s="472"/>
      <c r="GV512" s="453"/>
      <c r="GW512" s="453"/>
      <c r="GX512" s="869"/>
      <c r="GY512" s="870"/>
      <c r="GZ512" s="867"/>
      <c r="HA512" s="868"/>
      <c r="HB512" s="473"/>
      <c r="HC512" s="869"/>
      <c r="HD512" s="870"/>
      <c r="HE512" s="867"/>
      <c r="HF512" s="868"/>
      <c r="HG512" s="473"/>
      <c r="HH512" s="867"/>
      <c r="HI512" s="868"/>
      <c r="HJ512" s="867"/>
      <c r="HK512" s="868"/>
      <c r="HL512" s="370"/>
      <c r="HM512" s="865"/>
      <c r="HN512" s="866"/>
      <c r="HO512" s="865"/>
      <c r="HP512" s="866"/>
      <c r="HQ512" s="865"/>
      <c r="HR512" s="866"/>
      <c r="HS512" s="867"/>
      <c r="HT512" s="868"/>
      <c r="HU512" s="489"/>
      <c r="HV512" s="865"/>
      <c r="HW512" s="866"/>
    </row>
    <row r="513" spans="25:231" ht="15" customHeight="1">
      <c r="Y513" s="332"/>
      <c r="Z513" s="332"/>
      <c r="AA513" s="332"/>
      <c r="AB513" s="332"/>
      <c r="AC513" s="332"/>
      <c r="AD513" s="332"/>
      <c r="AE513" s="332"/>
      <c r="AF513" s="332"/>
      <c r="AG513" s="332"/>
      <c r="AH513" s="332"/>
      <c r="AI513" s="332"/>
      <c r="AJ513" s="332"/>
      <c r="AK513" s="332"/>
      <c r="AL513" s="332"/>
      <c r="AM513" s="332"/>
      <c r="AN513" s="332"/>
      <c r="AO513" s="332"/>
      <c r="AP513" s="332"/>
      <c r="AQ513" s="332"/>
      <c r="AR513" s="332"/>
      <c r="AS513" s="332"/>
      <c r="AT513" s="332"/>
      <c r="AU513" s="332"/>
      <c r="AV513" s="332"/>
      <c r="AW513" s="332"/>
      <c r="AX513" s="332"/>
      <c r="AY513" s="332"/>
      <c r="AZ513" s="332"/>
      <c r="BA513" s="332"/>
      <c r="BB513" s="332"/>
      <c r="BC513" s="332"/>
      <c r="BD513" s="332"/>
      <c r="BE513" s="332"/>
      <c r="BF513" s="332"/>
      <c r="BG513" s="332"/>
      <c r="BH513" s="332"/>
      <c r="BI513" s="332"/>
      <c r="BJ513" s="332"/>
      <c r="BK513" s="332"/>
      <c r="BL513" s="332"/>
      <c r="BM513" s="332"/>
      <c r="BN513" s="332"/>
      <c r="BO513" s="332"/>
      <c r="BP513" s="332"/>
      <c r="BQ513" s="332"/>
      <c r="BR513" s="332"/>
      <c r="BS513" s="332"/>
      <c r="BT513" s="332"/>
      <c r="BU513" s="332"/>
      <c r="BV513" s="332"/>
      <c r="BW513" s="332"/>
      <c r="BX513" s="332"/>
      <c r="BY513" s="332"/>
      <c r="BZ513" s="332"/>
      <c r="CA513" s="332"/>
      <c r="CB513" s="332"/>
      <c r="CC513" s="332"/>
      <c r="CD513" s="332"/>
      <c r="CE513" s="332"/>
      <c r="CF513" s="332"/>
      <c r="CG513" s="332"/>
      <c r="CH513" s="332"/>
      <c r="CI513" s="332"/>
      <c r="CJ513" s="332"/>
      <c r="CK513" s="332"/>
      <c r="CL513" s="332"/>
      <c r="CM513" s="332"/>
      <c r="CN513" s="332"/>
      <c r="CO513" s="332"/>
      <c r="CP513" s="332"/>
      <c r="CQ513" s="332"/>
      <c r="CR513" s="332"/>
      <c r="CS513" s="332"/>
      <c r="CT513" s="332"/>
      <c r="CU513" s="332"/>
      <c r="CV513" s="332"/>
      <c r="CW513" s="332"/>
      <c r="CX513" s="332"/>
      <c r="CY513" s="332"/>
      <c r="CZ513" s="332"/>
      <c r="DA513" s="332"/>
      <c r="DB513" s="332"/>
      <c r="DC513" s="332"/>
      <c r="DD513" s="332"/>
      <c r="DE513" s="332"/>
      <c r="DF513" s="332"/>
      <c r="DG513" s="332"/>
      <c r="DH513" s="332"/>
      <c r="DI513" s="332"/>
      <c r="DJ513" s="332"/>
      <c r="DK513" s="332"/>
      <c r="DL513" s="332"/>
      <c r="DM513" s="332"/>
      <c r="DN513" s="332"/>
      <c r="DO513" s="332"/>
      <c r="DP513" s="332"/>
      <c r="DQ513" s="332"/>
      <c r="DR513" s="332"/>
      <c r="DS513" s="332"/>
      <c r="DT513" s="332"/>
      <c r="DU513" s="453"/>
      <c r="DV513" s="453"/>
      <c r="DW513" s="453"/>
      <c r="DX513" s="453"/>
      <c r="DY513" s="453"/>
      <c r="DZ513" s="453"/>
      <c r="EA513" s="453"/>
      <c r="EB513" s="453"/>
      <c r="EC513" s="453"/>
      <c r="ED513" s="453"/>
      <c r="EE513" s="453"/>
      <c r="EF513" s="453"/>
      <c r="EG513" s="453"/>
      <c r="EH513" s="453"/>
      <c r="EI513" s="453"/>
      <c r="EJ513" s="453"/>
      <c r="EK513" s="453"/>
      <c r="EL513" s="453"/>
      <c r="EM513" s="483">
        <f t="shared" si="221"/>
        <v>204</v>
      </c>
      <c r="EN513" s="485"/>
      <c r="EO513" s="804"/>
      <c r="EP513" s="805"/>
      <c r="EQ513" s="806"/>
      <c r="ER513" s="808"/>
      <c r="ES513" s="881">
        <f t="shared" si="222"/>
        <v>0</v>
      </c>
      <c r="ET513" s="882"/>
      <c r="EU513" s="883"/>
      <c r="EV513" s="884">
        <f t="shared" si="220"/>
        <v>0</v>
      </c>
      <c r="EW513" s="885"/>
      <c r="EX513" s="885"/>
      <c r="EY513" s="885"/>
      <c r="EZ513" s="885"/>
      <c r="FA513" s="885"/>
      <c r="FB513" s="885"/>
      <c r="FC513" s="885"/>
      <c r="FD513" s="886"/>
      <c r="FE513" s="878"/>
      <c r="FF513" s="878"/>
      <c r="FG513" s="878"/>
      <c r="FH513" s="878"/>
      <c r="FI513" s="878"/>
      <c r="FJ513" s="878"/>
      <c r="FK513" s="878"/>
      <c r="FL513" s="555"/>
      <c r="FM513" s="554"/>
      <c r="FN513" s="554"/>
      <c r="FO513" s="554"/>
      <c r="FP513" s="554"/>
      <c r="FQ513" s="554"/>
      <c r="FR513" s="554"/>
      <c r="FS513" s="554"/>
      <c r="FT513" s="554"/>
      <c r="FU513" s="554"/>
      <c r="FV513" s="554"/>
      <c r="FW513" s="554"/>
      <c r="FX513" s="554"/>
      <c r="FY513" s="554"/>
      <c r="FZ513" s="554"/>
      <c r="GA513" s="554"/>
      <c r="GB513" s="556"/>
      <c r="GC513" s="370"/>
      <c r="GD513" s="453"/>
      <c r="GE513" s="453"/>
      <c r="GF513" s="453"/>
      <c r="GG513" s="453"/>
      <c r="GH513" s="454"/>
      <c r="GI513" s="453"/>
      <c r="GJ513" s="453"/>
      <c r="GK513" s="453"/>
      <c r="GL513" s="453"/>
      <c r="GM513" s="453"/>
      <c r="GN513" s="453"/>
      <c r="GO513" s="453"/>
      <c r="GP513" s="453"/>
      <c r="GQ513" s="453"/>
      <c r="GR513" s="453"/>
      <c r="GS513" s="561"/>
      <c r="GT513" s="475"/>
      <c r="GU513" s="472"/>
      <c r="GV513" s="453"/>
      <c r="GW513" s="453"/>
      <c r="GX513" s="869"/>
      <c r="GY513" s="870"/>
      <c r="GZ513" s="867"/>
      <c r="HA513" s="868"/>
      <c r="HB513" s="473"/>
      <c r="HC513" s="869"/>
      <c r="HD513" s="870"/>
      <c r="HE513" s="867"/>
      <c r="HF513" s="868"/>
      <c r="HG513" s="473"/>
      <c r="HH513" s="867"/>
      <c r="HI513" s="868"/>
      <c r="HJ513" s="867"/>
      <c r="HK513" s="868"/>
      <c r="HL513" s="370"/>
      <c r="HM513" s="865"/>
      <c r="HN513" s="866"/>
      <c r="HO513" s="865"/>
      <c r="HP513" s="866"/>
      <c r="HQ513" s="865"/>
      <c r="HR513" s="866"/>
      <c r="HS513" s="867"/>
      <c r="HT513" s="868"/>
      <c r="HU513" s="489"/>
      <c r="HV513" s="865"/>
      <c r="HW513" s="866"/>
    </row>
    <row r="514" spans="25:231" ht="15" customHeight="1">
      <c r="Y514" s="332"/>
      <c r="Z514" s="332"/>
      <c r="AA514" s="332"/>
      <c r="AB514" s="332"/>
      <c r="AC514" s="332"/>
      <c r="AD514" s="332"/>
      <c r="AE514" s="332"/>
      <c r="AF514" s="332"/>
      <c r="AG514" s="332"/>
      <c r="AH514" s="332"/>
      <c r="AI514" s="332"/>
      <c r="AJ514" s="332"/>
      <c r="AK514" s="332"/>
      <c r="AL514" s="332"/>
      <c r="AM514" s="332"/>
      <c r="AN514" s="332"/>
      <c r="AO514" s="332"/>
      <c r="AP514" s="332"/>
      <c r="AQ514" s="332"/>
      <c r="AR514" s="332"/>
      <c r="AS514" s="332"/>
      <c r="AT514" s="332"/>
      <c r="AU514" s="332"/>
      <c r="AV514" s="332"/>
      <c r="AW514" s="332"/>
      <c r="AX514" s="332"/>
      <c r="AY514" s="332"/>
      <c r="AZ514" s="332"/>
      <c r="BA514" s="332"/>
      <c r="BB514" s="332"/>
      <c r="BC514" s="332"/>
      <c r="BD514" s="332"/>
      <c r="BE514" s="332"/>
      <c r="BF514" s="332"/>
      <c r="BG514" s="332"/>
      <c r="BH514" s="332"/>
      <c r="BI514" s="332"/>
      <c r="BJ514" s="332"/>
      <c r="BK514" s="332"/>
      <c r="BL514" s="332"/>
      <c r="BM514" s="332"/>
      <c r="BN514" s="332"/>
      <c r="BO514" s="332"/>
      <c r="BP514" s="332"/>
      <c r="BQ514" s="332"/>
      <c r="BR514" s="332"/>
      <c r="BS514" s="332"/>
      <c r="BT514" s="332"/>
      <c r="BU514" s="332"/>
      <c r="BV514" s="332"/>
      <c r="BW514" s="332"/>
      <c r="BX514" s="332"/>
      <c r="BY514" s="332"/>
      <c r="BZ514" s="332"/>
      <c r="CA514" s="332"/>
      <c r="CB514" s="332"/>
      <c r="CC514" s="332"/>
      <c r="CD514" s="332"/>
      <c r="CE514" s="332"/>
      <c r="CF514" s="332"/>
      <c r="CG514" s="332"/>
      <c r="CH514" s="332"/>
      <c r="CI514" s="332"/>
      <c r="CJ514" s="332"/>
      <c r="CK514" s="332"/>
      <c r="CL514" s="332"/>
      <c r="CM514" s="332"/>
      <c r="CN514" s="332"/>
      <c r="CO514" s="332"/>
      <c r="CP514" s="332"/>
      <c r="CQ514" s="332"/>
      <c r="CR514" s="332"/>
      <c r="CS514" s="332"/>
      <c r="CT514" s="332"/>
      <c r="CU514" s="332"/>
      <c r="CV514" s="332"/>
      <c r="CW514" s="332"/>
      <c r="CX514" s="332"/>
      <c r="CY514" s="332"/>
      <c r="CZ514" s="332"/>
      <c r="DA514" s="332"/>
      <c r="DB514" s="332"/>
      <c r="DC514" s="332"/>
      <c r="DD514" s="332"/>
      <c r="DE514" s="332"/>
      <c r="DF514" s="332"/>
      <c r="DG514" s="332"/>
      <c r="DH514" s="332"/>
      <c r="DI514" s="332"/>
      <c r="DJ514" s="332"/>
      <c r="DK514" s="332"/>
      <c r="DL514" s="332"/>
      <c r="DM514" s="332"/>
      <c r="DN514" s="332"/>
      <c r="DO514" s="332"/>
      <c r="DP514" s="332"/>
      <c r="DQ514" s="332"/>
      <c r="DR514" s="332"/>
      <c r="DS514" s="332"/>
      <c r="DT514" s="332"/>
      <c r="DU514" s="453"/>
      <c r="DV514" s="453"/>
      <c r="DW514" s="453"/>
      <c r="DX514" s="453"/>
      <c r="DY514" s="453"/>
      <c r="DZ514" s="453"/>
      <c r="EA514" s="453"/>
      <c r="EB514" s="453"/>
      <c r="EC514" s="453"/>
      <c r="ED514" s="453"/>
      <c r="EE514" s="453"/>
      <c r="EF514" s="453"/>
      <c r="EG514" s="453"/>
      <c r="EH514" s="453"/>
      <c r="EI514" s="453"/>
      <c r="EJ514" s="453"/>
      <c r="EK514" s="453"/>
      <c r="EL514" s="453"/>
      <c r="EM514" s="483">
        <f t="shared" si="221"/>
        <v>205</v>
      </c>
      <c r="EN514" s="485"/>
      <c r="EO514" s="804"/>
      <c r="EP514" s="805"/>
      <c r="EQ514" s="806"/>
      <c r="ER514" s="808"/>
      <c r="ES514" s="881">
        <f t="shared" si="222"/>
        <v>0</v>
      </c>
      <c r="ET514" s="882"/>
      <c r="EU514" s="883"/>
      <c r="EV514" s="884">
        <f t="shared" si="220"/>
        <v>0</v>
      </c>
      <c r="EW514" s="885"/>
      <c r="EX514" s="885"/>
      <c r="EY514" s="885"/>
      <c r="EZ514" s="885"/>
      <c r="FA514" s="885"/>
      <c r="FB514" s="885"/>
      <c r="FC514" s="885"/>
      <c r="FD514" s="886"/>
      <c r="FE514" s="878"/>
      <c r="FF514" s="878"/>
      <c r="FG514" s="878"/>
      <c r="FH514" s="878"/>
      <c r="FI514" s="878"/>
      <c r="FJ514" s="878"/>
      <c r="FK514" s="878"/>
      <c r="FL514" s="555"/>
      <c r="FM514" s="554"/>
      <c r="FN514" s="554"/>
      <c r="FO514" s="554"/>
      <c r="FP514" s="554"/>
      <c r="FQ514" s="554"/>
      <c r="FR514" s="554"/>
      <c r="FS514" s="554"/>
      <c r="FT514" s="554"/>
      <c r="FU514" s="554"/>
      <c r="FV514" s="554"/>
      <c r="FW514" s="554"/>
      <c r="FX514" s="554"/>
      <c r="FY514" s="554"/>
      <c r="FZ514" s="554"/>
      <c r="GA514" s="554"/>
      <c r="GB514" s="556"/>
      <c r="GC514" s="370"/>
      <c r="GD514" s="453"/>
      <c r="GE514" s="453"/>
      <c r="GF514" s="453"/>
      <c r="GG514" s="453"/>
      <c r="GH514" s="454"/>
      <c r="GI514" s="453"/>
      <c r="GJ514" s="453"/>
      <c r="GK514" s="453"/>
      <c r="GL514" s="453"/>
      <c r="GM514" s="453"/>
      <c r="GN514" s="453"/>
      <c r="GO514" s="453"/>
      <c r="GP514" s="453"/>
      <c r="GQ514" s="453"/>
      <c r="GR514" s="453"/>
      <c r="GS514" s="561"/>
      <c r="GT514" s="475"/>
      <c r="GU514" s="472"/>
      <c r="GV514" s="453"/>
      <c r="GW514" s="453"/>
      <c r="GX514" s="869"/>
      <c r="GY514" s="870"/>
      <c r="GZ514" s="867"/>
      <c r="HA514" s="868"/>
      <c r="HB514" s="473"/>
      <c r="HC514" s="869"/>
      <c r="HD514" s="870"/>
      <c r="HE514" s="867"/>
      <c r="HF514" s="868"/>
      <c r="HG514" s="473"/>
      <c r="HH514" s="867"/>
      <c r="HI514" s="868"/>
      <c r="HJ514" s="867"/>
      <c r="HK514" s="868"/>
      <c r="HL514" s="370"/>
      <c r="HM514" s="865"/>
      <c r="HN514" s="866"/>
      <c r="HO514" s="865"/>
      <c r="HP514" s="866"/>
      <c r="HQ514" s="865"/>
      <c r="HR514" s="866"/>
      <c r="HS514" s="867"/>
      <c r="HT514" s="868"/>
      <c r="HU514" s="489"/>
      <c r="HV514" s="865"/>
      <c r="HW514" s="866"/>
    </row>
    <row r="515" spans="25:231" ht="15" customHeight="1">
      <c r="Y515" s="332"/>
      <c r="Z515" s="332"/>
      <c r="AA515" s="332"/>
      <c r="AB515" s="332"/>
      <c r="AC515" s="332"/>
      <c r="AD515" s="332"/>
      <c r="AE515" s="332"/>
      <c r="AF515" s="332"/>
      <c r="AG515" s="332"/>
      <c r="AH515" s="332"/>
      <c r="AI515" s="332"/>
      <c r="AJ515" s="332"/>
      <c r="AK515" s="332"/>
      <c r="AL515" s="332"/>
      <c r="AM515" s="332"/>
      <c r="AN515" s="332"/>
      <c r="AO515" s="332"/>
      <c r="AP515" s="332"/>
      <c r="AQ515" s="332"/>
      <c r="AR515" s="332"/>
      <c r="AS515" s="332"/>
      <c r="AT515" s="332"/>
      <c r="AU515" s="332"/>
      <c r="AV515" s="332"/>
      <c r="AW515" s="332"/>
      <c r="AX515" s="332"/>
      <c r="AY515" s="332"/>
      <c r="AZ515" s="332"/>
      <c r="BA515" s="332"/>
      <c r="BB515" s="332"/>
      <c r="BC515" s="332"/>
      <c r="BD515" s="332"/>
      <c r="BE515" s="332"/>
      <c r="BF515" s="332"/>
      <c r="BG515" s="332"/>
      <c r="BH515" s="332"/>
      <c r="BI515" s="332"/>
      <c r="BJ515" s="332"/>
      <c r="BK515" s="332"/>
      <c r="BL515" s="332"/>
      <c r="BM515" s="332"/>
      <c r="BN515" s="332"/>
      <c r="BO515" s="332"/>
      <c r="BP515" s="332"/>
      <c r="BQ515" s="332"/>
      <c r="BR515" s="332"/>
      <c r="BS515" s="332"/>
      <c r="BT515" s="332"/>
      <c r="BU515" s="332"/>
      <c r="BV515" s="332"/>
      <c r="BW515" s="332"/>
      <c r="BX515" s="332"/>
      <c r="BY515" s="332"/>
      <c r="BZ515" s="332"/>
      <c r="CA515" s="332"/>
      <c r="CB515" s="332"/>
      <c r="CC515" s="332"/>
      <c r="CD515" s="332"/>
      <c r="CE515" s="332"/>
      <c r="CF515" s="332"/>
      <c r="CG515" s="332"/>
      <c r="CH515" s="332"/>
      <c r="CI515" s="332"/>
      <c r="CJ515" s="332"/>
      <c r="CK515" s="332"/>
      <c r="CL515" s="332"/>
      <c r="CM515" s="332"/>
      <c r="CN515" s="332"/>
      <c r="CO515" s="332"/>
      <c r="CP515" s="332"/>
      <c r="CQ515" s="332"/>
      <c r="CR515" s="332"/>
      <c r="CS515" s="332"/>
      <c r="CT515" s="332"/>
      <c r="CU515" s="332"/>
      <c r="CV515" s="332"/>
      <c r="CW515" s="332"/>
      <c r="CX515" s="332"/>
      <c r="CY515" s="332"/>
      <c r="CZ515" s="332"/>
      <c r="DA515" s="332"/>
      <c r="DB515" s="332"/>
      <c r="DC515" s="332"/>
      <c r="DD515" s="332"/>
      <c r="DE515" s="332"/>
      <c r="DF515" s="332"/>
      <c r="DG515" s="332"/>
      <c r="DH515" s="332"/>
      <c r="DI515" s="332"/>
      <c r="DJ515" s="332"/>
      <c r="DK515" s="332"/>
      <c r="DL515" s="332"/>
      <c r="DM515" s="332"/>
      <c r="DN515" s="332"/>
      <c r="DO515" s="332"/>
      <c r="DP515" s="332"/>
      <c r="DQ515" s="332"/>
      <c r="DR515" s="332"/>
      <c r="DS515" s="332"/>
      <c r="DT515" s="332"/>
      <c r="DU515" s="453"/>
      <c r="DV515" s="453"/>
      <c r="DW515" s="453"/>
      <c r="DX515" s="453"/>
      <c r="DY515" s="453"/>
      <c r="DZ515" s="453"/>
      <c r="EA515" s="453"/>
      <c r="EB515" s="453"/>
      <c r="EC515" s="453"/>
      <c r="ED515" s="453"/>
      <c r="EE515" s="453"/>
      <c r="EF515" s="453"/>
      <c r="EG515" s="453"/>
      <c r="EH515" s="453"/>
      <c r="EI515" s="453"/>
      <c r="EJ515" s="453"/>
      <c r="EK515" s="453"/>
      <c r="EL515" s="453"/>
      <c r="EM515" s="483">
        <f t="shared" si="221"/>
        <v>206</v>
      </c>
      <c r="EN515" s="485"/>
      <c r="EO515" s="804"/>
      <c r="EP515" s="805"/>
      <c r="EQ515" s="806"/>
      <c r="ER515" s="808"/>
      <c r="ES515" s="881">
        <f t="shared" si="222"/>
        <v>0</v>
      </c>
      <c r="ET515" s="882"/>
      <c r="EU515" s="883"/>
      <c r="EV515" s="884">
        <f t="shared" si="220"/>
        <v>0</v>
      </c>
      <c r="EW515" s="885"/>
      <c r="EX515" s="885"/>
      <c r="EY515" s="885"/>
      <c r="EZ515" s="885"/>
      <c r="FA515" s="885"/>
      <c r="FB515" s="885"/>
      <c r="FC515" s="885"/>
      <c r="FD515" s="886"/>
      <c r="FE515" s="878"/>
      <c r="FF515" s="878"/>
      <c r="FG515" s="878"/>
      <c r="FH515" s="878"/>
      <c r="FI515" s="878"/>
      <c r="FJ515" s="878"/>
      <c r="FK515" s="878"/>
      <c r="FL515" s="555"/>
      <c r="FM515" s="554"/>
      <c r="FN515" s="554"/>
      <c r="FO515" s="554"/>
      <c r="FP515" s="554"/>
      <c r="FQ515" s="554"/>
      <c r="FR515" s="554"/>
      <c r="FS515" s="554"/>
      <c r="FT515" s="554"/>
      <c r="FU515" s="554"/>
      <c r="FV515" s="554"/>
      <c r="FW515" s="554"/>
      <c r="FX515" s="554"/>
      <c r="FY515" s="554"/>
      <c r="FZ515" s="554"/>
      <c r="GA515" s="554"/>
      <c r="GB515" s="556"/>
      <c r="GC515" s="370"/>
      <c r="GD515" s="453"/>
      <c r="GE515" s="453"/>
      <c r="GF515" s="453"/>
      <c r="GG515" s="453"/>
      <c r="GH515" s="454"/>
      <c r="GI515" s="453"/>
      <c r="GJ515" s="453"/>
      <c r="GK515" s="453"/>
      <c r="GL515" s="453"/>
      <c r="GM515" s="453"/>
      <c r="GN515" s="453"/>
      <c r="GO515" s="453"/>
      <c r="GP515" s="453"/>
      <c r="GQ515" s="453"/>
      <c r="GR515" s="453"/>
      <c r="GS515" s="561"/>
      <c r="GT515" s="475"/>
      <c r="GU515" s="472"/>
      <c r="GV515" s="453"/>
      <c r="GW515" s="453"/>
      <c r="GX515" s="869"/>
      <c r="GY515" s="870"/>
      <c r="GZ515" s="867"/>
      <c r="HA515" s="868"/>
      <c r="HB515" s="473"/>
      <c r="HC515" s="869"/>
      <c r="HD515" s="870"/>
      <c r="HE515" s="867"/>
      <c r="HF515" s="868"/>
      <c r="HG515" s="473"/>
      <c r="HH515" s="867"/>
      <c r="HI515" s="868"/>
      <c r="HJ515" s="867"/>
      <c r="HK515" s="868"/>
      <c r="HL515" s="370"/>
      <c r="HM515" s="865"/>
      <c r="HN515" s="866"/>
      <c r="HO515" s="865"/>
      <c r="HP515" s="866"/>
      <c r="HQ515" s="865"/>
      <c r="HR515" s="866"/>
      <c r="HS515" s="867"/>
      <c r="HT515" s="868"/>
      <c r="HU515" s="489"/>
      <c r="HV515" s="865"/>
      <c r="HW515" s="866"/>
    </row>
    <row r="516" spans="25:231" ht="15" customHeight="1">
      <c r="Y516" s="332"/>
      <c r="Z516" s="332"/>
      <c r="AA516" s="332"/>
      <c r="AB516" s="332"/>
      <c r="AC516" s="332"/>
      <c r="AD516" s="332"/>
      <c r="AE516" s="332"/>
      <c r="AF516" s="332"/>
      <c r="AG516" s="332"/>
      <c r="AH516" s="332"/>
      <c r="AI516" s="332"/>
      <c r="AJ516" s="332"/>
      <c r="AK516" s="332"/>
      <c r="AL516" s="332"/>
      <c r="AM516" s="332"/>
      <c r="AN516" s="332"/>
      <c r="AO516" s="332"/>
      <c r="AP516" s="332"/>
      <c r="AQ516" s="332"/>
      <c r="AR516" s="332"/>
      <c r="AS516" s="332"/>
      <c r="AT516" s="332"/>
      <c r="AU516" s="332"/>
      <c r="AV516" s="332"/>
      <c r="AW516" s="332"/>
      <c r="AX516" s="332"/>
      <c r="AY516" s="332"/>
      <c r="AZ516" s="332"/>
      <c r="BA516" s="332"/>
      <c r="BB516" s="332"/>
      <c r="BC516" s="332"/>
      <c r="BD516" s="332"/>
      <c r="BE516" s="332"/>
      <c r="BF516" s="332"/>
      <c r="BG516" s="332"/>
      <c r="BH516" s="332"/>
      <c r="BI516" s="332"/>
      <c r="BJ516" s="332"/>
      <c r="BK516" s="332"/>
      <c r="BL516" s="332"/>
      <c r="BM516" s="332"/>
      <c r="BN516" s="332"/>
      <c r="BO516" s="332"/>
      <c r="BP516" s="332"/>
      <c r="BQ516" s="332"/>
      <c r="BR516" s="332"/>
      <c r="BS516" s="332"/>
      <c r="BT516" s="332"/>
      <c r="BU516" s="332"/>
      <c r="BV516" s="332"/>
      <c r="BW516" s="332"/>
      <c r="BX516" s="332"/>
      <c r="BY516" s="332"/>
      <c r="BZ516" s="332"/>
      <c r="CA516" s="332"/>
      <c r="CB516" s="332"/>
      <c r="CC516" s="332"/>
      <c r="CD516" s="332"/>
      <c r="CE516" s="332"/>
      <c r="CF516" s="332"/>
      <c r="CG516" s="332"/>
      <c r="CH516" s="332"/>
      <c r="CI516" s="332"/>
      <c r="CJ516" s="332"/>
      <c r="CK516" s="332"/>
      <c r="CL516" s="332"/>
      <c r="CM516" s="332"/>
      <c r="CN516" s="332"/>
      <c r="CO516" s="332"/>
      <c r="CP516" s="332"/>
      <c r="CQ516" s="332"/>
      <c r="CR516" s="332"/>
      <c r="CS516" s="332"/>
      <c r="CT516" s="332"/>
      <c r="CU516" s="332"/>
      <c r="CV516" s="332"/>
      <c r="CW516" s="332"/>
      <c r="CX516" s="332"/>
      <c r="CY516" s="332"/>
      <c r="CZ516" s="332"/>
      <c r="DA516" s="332"/>
      <c r="DB516" s="332"/>
      <c r="DC516" s="332"/>
      <c r="DD516" s="332"/>
      <c r="DE516" s="332"/>
      <c r="DF516" s="332"/>
      <c r="DG516" s="332"/>
      <c r="DH516" s="332"/>
      <c r="DI516" s="332"/>
      <c r="DJ516" s="332"/>
      <c r="DK516" s="332"/>
      <c r="DL516" s="332"/>
      <c r="DM516" s="332"/>
      <c r="DN516" s="332"/>
      <c r="DO516" s="332"/>
      <c r="DP516" s="332"/>
      <c r="DQ516" s="332"/>
      <c r="DR516" s="332"/>
      <c r="DS516" s="332"/>
      <c r="DT516" s="332"/>
      <c r="DU516" s="453"/>
      <c r="DV516" s="453"/>
      <c r="DW516" s="453"/>
      <c r="DX516" s="453"/>
      <c r="DY516" s="453"/>
      <c r="DZ516" s="453"/>
      <c r="EA516" s="453"/>
      <c r="EB516" s="453"/>
      <c r="EC516" s="453"/>
      <c r="ED516" s="453"/>
      <c r="EE516" s="453"/>
      <c r="EF516" s="453"/>
      <c r="EG516" s="453"/>
      <c r="EH516" s="453"/>
      <c r="EI516" s="453"/>
      <c r="EJ516" s="453"/>
      <c r="EK516" s="453"/>
      <c r="EL516" s="453"/>
      <c r="EM516" s="483">
        <f t="shared" si="221"/>
        <v>207</v>
      </c>
      <c r="EN516" s="485"/>
      <c r="EO516" s="804"/>
      <c r="EP516" s="807"/>
      <c r="EQ516" s="806"/>
      <c r="ER516" s="808"/>
      <c r="ES516" s="881">
        <f t="shared" si="222"/>
        <v>0</v>
      </c>
      <c r="ET516" s="882"/>
      <c r="EU516" s="883"/>
      <c r="EV516" s="884">
        <f t="shared" si="220"/>
        <v>0</v>
      </c>
      <c r="EW516" s="885"/>
      <c r="EX516" s="885"/>
      <c r="EY516" s="885"/>
      <c r="EZ516" s="885"/>
      <c r="FA516" s="885"/>
      <c r="FB516" s="885"/>
      <c r="FC516" s="885"/>
      <c r="FD516" s="886"/>
      <c r="FE516" s="878"/>
      <c r="FF516" s="878"/>
      <c r="FG516" s="878"/>
      <c r="FH516" s="878"/>
      <c r="FI516" s="878"/>
      <c r="FJ516" s="878"/>
      <c r="FK516" s="878"/>
      <c r="FL516" s="555"/>
      <c r="FM516" s="554"/>
      <c r="FN516" s="554"/>
      <c r="FO516" s="554"/>
      <c r="FP516" s="554"/>
      <c r="FQ516" s="554"/>
      <c r="FR516" s="554"/>
      <c r="FS516" s="554"/>
      <c r="FT516" s="554"/>
      <c r="FU516" s="554"/>
      <c r="FV516" s="554"/>
      <c r="FW516" s="554"/>
      <c r="FX516" s="554"/>
      <c r="FY516" s="554"/>
      <c r="FZ516" s="554"/>
      <c r="GA516" s="554"/>
      <c r="GB516" s="556"/>
      <c r="GC516" s="370"/>
      <c r="GD516" s="453"/>
      <c r="GE516" s="453"/>
      <c r="GF516" s="453"/>
      <c r="GG516" s="453"/>
      <c r="GH516" s="454"/>
      <c r="GI516" s="453"/>
      <c r="GJ516" s="453"/>
      <c r="GK516" s="453"/>
      <c r="GL516" s="453"/>
      <c r="GM516" s="453"/>
      <c r="GN516" s="453"/>
      <c r="GO516" s="453"/>
      <c r="GP516" s="453"/>
      <c r="GQ516" s="453"/>
      <c r="GR516" s="453"/>
      <c r="GS516" s="561"/>
      <c r="GT516" s="475"/>
      <c r="GU516" s="472"/>
      <c r="GV516" s="453"/>
      <c r="GW516" s="453"/>
      <c r="GX516" s="869"/>
      <c r="GY516" s="870"/>
      <c r="GZ516" s="867"/>
      <c r="HA516" s="868"/>
      <c r="HB516" s="473"/>
      <c r="HC516" s="869"/>
      <c r="HD516" s="870"/>
      <c r="HE516" s="867"/>
      <c r="HF516" s="868"/>
      <c r="HG516" s="473"/>
      <c r="HH516" s="867"/>
      <c r="HI516" s="868"/>
      <c r="HJ516" s="867"/>
      <c r="HK516" s="868"/>
      <c r="HL516" s="370"/>
      <c r="HM516" s="865"/>
      <c r="HN516" s="866"/>
      <c r="HO516" s="865"/>
      <c r="HP516" s="866"/>
      <c r="HQ516" s="865"/>
      <c r="HR516" s="866"/>
      <c r="HS516" s="867"/>
      <c r="HT516" s="868"/>
      <c r="HU516" s="489"/>
      <c r="HV516" s="865"/>
      <c r="HW516" s="866"/>
    </row>
    <row r="517" spans="25:231" ht="15" customHeight="1">
      <c r="Y517" s="332"/>
      <c r="Z517" s="332"/>
      <c r="AA517" s="332"/>
      <c r="AB517" s="332"/>
      <c r="AC517" s="332"/>
      <c r="AD517" s="332"/>
      <c r="AE517" s="332"/>
      <c r="AF517" s="332"/>
      <c r="AG517" s="332"/>
      <c r="AH517" s="332"/>
      <c r="AI517" s="332"/>
      <c r="AJ517" s="332"/>
      <c r="AK517" s="332"/>
      <c r="AL517" s="332"/>
      <c r="AM517" s="332"/>
      <c r="AN517" s="332"/>
      <c r="AO517" s="332"/>
      <c r="AP517" s="332"/>
      <c r="AQ517" s="332"/>
      <c r="AR517" s="332"/>
      <c r="AS517" s="332"/>
      <c r="AT517" s="332"/>
      <c r="AU517" s="332"/>
      <c r="AV517" s="332"/>
      <c r="AW517" s="332"/>
      <c r="AX517" s="332"/>
      <c r="AY517" s="332"/>
      <c r="AZ517" s="332"/>
      <c r="BA517" s="332"/>
      <c r="BB517" s="332"/>
      <c r="BC517" s="332"/>
      <c r="BD517" s="332"/>
      <c r="BE517" s="332"/>
      <c r="BF517" s="332"/>
      <c r="BG517" s="332"/>
      <c r="BH517" s="332"/>
      <c r="BI517" s="332"/>
      <c r="BJ517" s="332"/>
      <c r="BK517" s="332"/>
      <c r="BL517" s="332"/>
      <c r="BM517" s="332"/>
      <c r="BN517" s="332"/>
      <c r="BO517" s="332"/>
      <c r="BP517" s="332"/>
      <c r="BQ517" s="332"/>
      <c r="BR517" s="332"/>
      <c r="BS517" s="332"/>
      <c r="BT517" s="332"/>
      <c r="BU517" s="332"/>
      <c r="BV517" s="332"/>
      <c r="BW517" s="332"/>
      <c r="BX517" s="332"/>
      <c r="BY517" s="332"/>
      <c r="BZ517" s="332"/>
      <c r="CA517" s="332"/>
      <c r="CB517" s="332"/>
      <c r="CC517" s="332"/>
      <c r="CD517" s="332"/>
      <c r="CE517" s="332"/>
      <c r="CF517" s="332"/>
      <c r="CG517" s="332"/>
      <c r="CH517" s="332"/>
      <c r="CI517" s="332"/>
      <c r="CJ517" s="332"/>
      <c r="CK517" s="332"/>
      <c r="CL517" s="332"/>
      <c r="CM517" s="332"/>
      <c r="CN517" s="332"/>
      <c r="CO517" s="332"/>
      <c r="CP517" s="332"/>
      <c r="CQ517" s="332"/>
      <c r="CR517" s="332"/>
      <c r="CS517" s="332"/>
      <c r="CT517" s="332"/>
      <c r="CU517" s="332"/>
      <c r="CV517" s="332"/>
      <c r="CW517" s="332"/>
      <c r="CX517" s="332"/>
      <c r="CY517" s="332"/>
      <c r="CZ517" s="332"/>
      <c r="DA517" s="332"/>
      <c r="DB517" s="332"/>
      <c r="DC517" s="332"/>
      <c r="DD517" s="332"/>
      <c r="DE517" s="332"/>
      <c r="DF517" s="332"/>
      <c r="DG517" s="332"/>
      <c r="DH517" s="332"/>
      <c r="DI517" s="332"/>
      <c r="DJ517" s="332"/>
      <c r="DK517" s="332"/>
      <c r="DL517" s="332"/>
      <c r="DM517" s="332"/>
      <c r="DN517" s="332"/>
      <c r="DO517" s="332"/>
      <c r="DP517" s="332"/>
      <c r="DQ517" s="332"/>
      <c r="DR517" s="332"/>
      <c r="DS517" s="332"/>
      <c r="DT517" s="332"/>
      <c r="DU517" s="453"/>
      <c r="DV517" s="453"/>
      <c r="DW517" s="453"/>
      <c r="DX517" s="453"/>
      <c r="DY517" s="453"/>
      <c r="DZ517" s="453"/>
      <c r="EA517" s="453"/>
      <c r="EB517" s="453"/>
      <c r="EC517" s="453"/>
      <c r="ED517" s="453"/>
      <c r="EE517" s="453"/>
      <c r="EF517" s="453"/>
      <c r="EG517" s="453"/>
      <c r="EH517" s="453"/>
      <c r="EI517" s="453"/>
      <c r="EJ517" s="453"/>
      <c r="EK517" s="453"/>
      <c r="EL517" s="453"/>
      <c r="EM517" s="483">
        <f t="shared" si="221"/>
        <v>208</v>
      </c>
      <c r="EN517" s="485"/>
      <c r="EO517" s="458"/>
      <c r="EP517" s="467"/>
      <c r="EQ517" s="806"/>
      <c r="ER517" s="808"/>
      <c r="ES517" s="881">
        <f t="shared" si="222"/>
        <v>0</v>
      </c>
      <c r="ET517" s="882"/>
      <c r="EU517" s="883"/>
      <c r="EV517" s="884">
        <f t="shared" si="220"/>
        <v>0</v>
      </c>
      <c r="EW517" s="885"/>
      <c r="EX517" s="885"/>
      <c r="EY517" s="885"/>
      <c r="EZ517" s="885"/>
      <c r="FA517" s="885"/>
      <c r="FB517" s="885"/>
      <c r="FC517" s="885"/>
      <c r="FD517" s="886"/>
      <c r="FE517" s="878"/>
      <c r="FF517" s="878"/>
      <c r="FG517" s="878"/>
      <c r="FH517" s="878"/>
      <c r="FI517" s="878"/>
      <c r="FJ517" s="878"/>
      <c r="FK517" s="878"/>
      <c r="FL517" s="555"/>
      <c r="FM517" s="554"/>
      <c r="FN517" s="554"/>
      <c r="FO517" s="554"/>
      <c r="FP517" s="554"/>
      <c r="FQ517" s="554"/>
      <c r="FR517" s="554"/>
      <c r="FS517" s="554"/>
      <c r="FT517" s="554"/>
      <c r="FU517" s="554"/>
      <c r="FV517" s="554"/>
      <c r="FW517" s="554"/>
      <c r="FX517" s="554"/>
      <c r="FY517" s="554"/>
      <c r="FZ517" s="554"/>
      <c r="GA517" s="554"/>
      <c r="GB517" s="556"/>
      <c r="GC517" s="370"/>
      <c r="GD517" s="453"/>
      <c r="GE517" s="453"/>
      <c r="GF517" s="453"/>
      <c r="GG517" s="453"/>
      <c r="GH517" s="454"/>
      <c r="GI517" s="453"/>
      <c r="GJ517" s="453"/>
      <c r="GK517" s="453"/>
      <c r="GL517" s="453"/>
      <c r="GM517" s="453"/>
      <c r="GN517" s="453"/>
      <c r="GO517" s="453"/>
      <c r="GP517" s="453"/>
      <c r="GQ517" s="453"/>
      <c r="GR517" s="453"/>
      <c r="GS517" s="561"/>
      <c r="GT517" s="475"/>
      <c r="GU517" s="472"/>
      <c r="GV517" s="453"/>
      <c r="GW517" s="453"/>
      <c r="GX517" s="869"/>
      <c r="GY517" s="870"/>
      <c r="GZ517" s="867"/>
      <c r="HA517" s="868"/>
      <c r="HB517" s="473"/>
      <c r="HC517" s="869"/>
      <c r="HD517" s="870"/>
      <c r="HE517" s="867"/>
      <c r="HF517" s="868"/>
      <c r="HG517" s="473"/>
      <c r="HH517" s="867"/>
      <c r="HI517" s="868"/>
      <c r="HJ517" s="867"/>
      <c r="HK517" s="868"/>
      <c r="HL517" s="370"/>
      <c r="HM517" s="865"/>
      <c r="HN517" s="866"/>
      <c r="HO517" s="865"/>
      <c r="HP517" s="866"/>
      <c r="HQ517" s="865"/>
      <c r="HR517" s="866"/>
      <c r="HS517" s="867"/>
      <c r="HT517" s="868"/>
      <c r="HU517" s="489"/>
      <c r="HV517" s="865"/>
      <c r="HW517" s="866"/>
    </row>
    <row r="518" spans="25:231" ht="15" customHeight="1">
      <c r="Y518" s="332"/>
      <c r="Z518" s="332"/>
      <c r="AA518" s="332"/>
      <c r="AB518" s="332"/>
      <c r="AC518" s="332"/>
      <c r="AD518" s="332"/>
      <c r="AE518" s="332"/>
      <c r="AF518" s="332"/>
      <c r="AG518" s="332"/>
      <c r="AH518" s="332"/>
      <c r="AI518" s="332"/>
      <c r="AJ518" s="332"/>
      <c r="AK518" s="332"/>
      <c r="AL518" s="332"/>
      <c r="AM518" s="332"/>
      <c r="AN518" s="332"/>
      <c r="AO518" s="332"/>
      <c r="AP518" s="332"/>
      <c r="AQ518" s="332"/>
      <c r="AR518" s="332"/>
      <c r="AS518" s="332"/>
      <c r="AT518" s="332"/>
      <c r="AU518" s="332"/>
      <c r="AV518" s="332"/>
      <c r="AW518" s="332"/>
      <c r="AX518" s="332"/>
      <c r="AY518" s="332"/>
      <c r="AZ518" s="332"/>
      <c r="BA518" s="332"/>
      <c r="BB518" s="332"/>
      <c r="BC518" s="332"/>
      <c r="BD518" s="332"/>
      <c r="BE518" s="332"/>
      <c r="BF518" s="332"/>
      <c r="BG518" s="332"/>
      <c r="BH518" s="332"/>
      <c r="BI518" s="332"/>
      <c r="BJ518" s="332"/>
      <c r="BK518" s="332"/>
      <c r="BL518" s="332"/>
      <c r="BM518" s="332"/>
      <c r="BN518" s="332"/>
      <c r="BO518" s="332"/>
      <c r="BP518" s="332"/>
      <c r="BQ518" s="332"/>
      <c r="BR518" s="332"/>
      <c r="BS518" s="332"/>
      <c r="BT518" s="332"/>
      <c r="BU518" s="332"/>
      <c r="BV518" s="332"/>
      <c r="BW518" s="332"/>
      <c r="BX518" s="332"/>
      <c r="BY518" s="332"/>
      <c r="BZ518" s="332"/>
      <c r="CA518" s="332"/>
      <c r="CB518" s="332"/>
      <c r="CC518" s="332"/>
      <c r="CD518" s="332"/>
      <c r="CE518" s="332"/>
      <c r="CF518" s="332"/>
      <c r="CG518" s="332"/>
      <c r="CH518" s="332"/>
      <c r="CI518" s="332"/>
      <c r="CJ518" s="332"/>
      <c r="CK518" s="332"/>
      <c r="CL518" s="332"/>
      <c r="CM518" s="332"/>
      <c r="CN518" s="332"/>
      <c r="CO518" s="332"/>
      <c r="CP518" s="332"/>
      <c r="CQ518" s="332"/>
      <c r="CR518" s="332"/>
      <c r="CS518" s="332"/>
      <c r="CT518" s="332"/>
      <c r="CU518" s="332"/>
      <c r="CV518" s="332"/>
      <c r="CW518" s="332"/>
      <c r="CX518" s="332"/>
      <c r="CY518" s="332"/>
      <c r="CZ518" s="332"/>
      <c r="DA518" s="332"/>
      <c r="DB518" s="332"/>
      <c r="DC518" s="332"/>
      <c r="DD518" s="332"/>
      <c r="DE518" s="332"/>
      <c r="DF518" s="332"/>
      <c r="DG518" s="332"/>
      <c r="DH518" s="332"/>
      <c r="DI518" s="332"/>
      <c r="DJ518" s="332"/>
      <c r="DK518" s="332"/>
      <c r="DL518" s="332"/>
      <c r="DM518" s="332"/>
      <c r="DN518" s="332"/>
      <c r="DO518" s="332"/>
      <c r="DP518" s="332"/>
      <c r="DQ518" s="332"/>
      <c r="DR518" s="332"/>
      <c r="DS518" s="332"/>
      <c r="DT518" s="332"/>
      <c r="DU518" s="453"/>
      <c r="DV518" s="453"/>
      <c r="DW518" s="453"/>
      <c r="DX518" s="453"/>
      <c r="DY518" s="453"/>
      <c r="DZ518" s="453"/>
      <c r="EA518" s="453"/>
      <c r="EB518" s="453"/>
      <c r="EC518" s="453"/>
      <c r="ED518" s="453"/>
      <c r="EE518" s="453"/>
      <c r="EF518" s="453"/>
      <c r="EG518" s="453"/>
      <c r="EH518" s="453"/>
      <c r="EI518" s="453"/>
      <c r="EJ518" s="453"/>
      <c r="EK518" s="453"/>
      <c r="EL518" s="453"/>
      <c r="EM518" s="483">
        <f t="shared" si="221"/>
        <v>209</v>
      </c>
      <c r="EN518" s="485"/>
      <c r="EO518" s="458"/>
      <c r="EP518" s="467"/>
      <c r="EQ518" s="806"/>
      <c r="ER518" s="808"/>
      <c r="ES518" s="881">
        <f t="shared" si="222"/>
        <v>0</v>
      </c>
      <c r="ET518" s="882"/>
      <c r="EU518" s="883"/>
      <c r="EV518" s="884">
        <f t="shared" si="220"/>
        <v>0</v>
      </c>
      <c r="EW518" s="885"/>
      <c r="EX518" s="885"/>
      <c r="EY518" s="885"/>
      <c r="EZ518" s="885"/>
      <c r="FA518" s="885"/>
      <c r="FB518" s="885"/>
      <c r="FC518" s="885"/>
      <c r="FD518" s="886"/>
      <c r="FE518" s="878"/>
      <c r="FF518" s="878"/>
      <c r="FG518" s="878"/>
      <c r="FH518" s="878"/>
      <c r="FI518" s="878"/>
      <c r="FJ518" s="878"/>
      <c r="FK518" s="878"/>
      <c r="FL518" s="555"/>
      <c r="FM518" s="554"/>
      <c r="FN518" s="554"/>
      <c r="FO518" s="554"/>
      <c r="FP518" s="554"/>
      <c r="FQ518" s="554"/>
      <c r="FR518" s="554"/>
      <c r="FS518" s="554"/>
      <c r="FT518" s="554"/>
      <c r="FU518" s="554"/>
      <c r="FV518" s="554"/>
      <c r="FW518" s="554"/>
      <c r="FX518" s="554"/>
      <c r="FY518" s="554"/>
      <c r="FZ518" s="554"/>
      <c r="GA518" s="554"/>
      <c r="GB518" s="556"/>
      <c r="GC518" s="370"/>
      <c r="GD518" s="453"/>
      <c r="GE518" s="453"/>
      <c r="GF518" s="453"/>
      <c r="GG518" s="453"/>
      <c r="GH518" s="454"/>
      <c r="GI518" s="453"/>
      <c r="GJ518" s="453"/>
      <c r="GK518" s="453"/>
      <c r="GL518" s="453"/>
      <c r="GM518" s="453"/>
      <c r="GN518" s="453"/>
      <c r="GO518" s="453"/>
      <c r="GP518" s="453"/>
      <c r="GQ518" s="453"/>
      <c r="GR518" s="453"/>
      <c r="GS518" s="561"/>
      <c r="GT518" s="475"/>
      <c r="GU518" s="472"/>
      <c r="GV518" s="453"/>
      <c r="GW518" s="453"/>
      <c r="GX518" s="869"/>
      <c r="GY518" s="870"/>
      <c r="GZ518" s="867"/>
      <c r="HA518" s="868"/>
      <c r="HB518" s="473"/>
      <c r="HC518" s="869"/>
      <c r="HD518" s="870"/>
      <c r="HE518" s="867"/>
      <c r="HF518" s="868"/>
      <c r="HG518" s="473"/>
      <c r="HH518" s="867"/>
      <c r="HI518" s="868"/>
      <c r="HJ518" s="867"/>
      <c r="HK518" s="868"/>
      <c r="HL518" s="370"/>
      <c r="HM518" s="865"/>
      <c r="HN518" s="866"/>
      <c r="HO518" s="865"/>
      <c r="HP518" s="866"/>
      <c r="HQ518" s="865"/>
      <c r="HR518" s="866"/>
      <c r="HS518" s="867"/>
      <c r="HT518" s="868"/>
      <c r="HU518" s="489"/>
      <c r="HV518" s="865"/>
      <c r="HW518" s="866"/>
    </row>
    <row r="519" spans="25:231" ht="15" customHeight="1">
      <c r="Y519" s="332"/>
      <c r="Z519" s="332"/>
      <c r="AA519" s="332"/>
      <c r="AB519" s="332"/>
      <c r="AC519" s="332"/>
      <c r="AD519" s="332"/>
      <c r="AE519" s="332"/>
      <c r="AF519" s="332"/>
      <c r="AG519" s="332"/>
      <c r="AH519" s="332"/>
      <c r="AI519" s="332"/>
      <c r="AJ519" s="332"/>
      <c r="AK519" s="332"/>
      <c r="AL519" s="332"/>
      <c r="AM519" s="332"/>
      <c r="AN519" s="332"/>
      <c r="AO519" s="332"/>
      <c r="AP519" s="332"/>
      <c r="AQ519" s="332"/>
      <c r="AR519" s="332"/>
      <c r="AS519" s="332"/>
      <c r="AT519" s="332"/>
      <c r="AU519" s="332"/>
      <c r="AV519" s="332"/>
      <c r="AW519" s="332"/>
      <c r="AX519" s="332"/>
      <c r="AY519" s="332"/>
      <c r="AZ519" s="332"/>
      <c r="BA519" s="332"/>
      <c r="BB519" s="332"/>
      <c r="BC519" s="332"/>
      <c r="BD519" s="332"/>
      <c r="BE519" s="332"/>
      <c r="BF519" s="332"/>
      <c r="BG519" s="332"/>
      <c r="BH519" s="332"/>
      <c r="BI519" s="332"/>
      <c r="BJ519" s="332"/>
      <c r="BK519" s="332"/>
      <c r="BL519" s="332"/>
      <c r="BM519" s="332"/>
      <c r="BN519" s="332"/>
      <c r="BO519" s="332"/>
      <c r="BP519" s="332"/>
      <c r="BQ519" s="332"/>
      <c r="BR519" s="332"/>
      <c r="BS519" s="332"/>
      <c r="BT519" s="332"/>
      <c r="BU519" s="332"/>
      <c r="BV519" s="332"/>
      <c r="BW519" s="332"/>
      <c r="BX519" s="332"/>
      <c r="BY519" s="332"/>
      <c r="BZ519" s="332"/>
      <c r="CA519" s="332"/>
      <c r="CB519" s="332"/>
      <c r="CC519" s="332"/>
      <c r="CD519" s="332"/>
      <c r="CE519" s="332"/>
      <c r="CF519" s="332"/>
      <c r="CG519" s="332"/>
      <c r="CH519" s="332"/>
      <c r="CI519" s="332"/>
      <c r="CJ519" s="332"/>
      <c r="CK519" s="332"/>
      <c r="CL519" s="332"/>
      <c r="CM519" s="332"/>
      <c r="CN519" s="332"/>
      <c r="CO519" s="332"/>
      <c r="CP519" s="332"/>
      <c r="CQ519" s="332"/>
      <c r="CR519" s="332"/>
      <c r="CS519" s="332"/>
      <c r="CT519" s="332"/>
      <c r="CU519" s="332"/>
      <c r="CV519" s="332"/>
      <c r="CW519" s="332"/>
      <c r="CX519" s="332"/>
      <c r="CY519" s="332"/>
      <c r="CZ519" s="332"/>
      <c r="DA519" s="332"/>
      <c r="DB519" s="332"/>
      <c r="DC519" s="332"/>
      <c r="DD519" s="332"/>
      <c r="DE519" s="332"/>
      <c r="DF519" s="332"/>
      <c r="DG519" s="332"/>
      <c r="DH519" s="332"/>
      <c r="DI519" s="332"/>
      <c r="DJ519" s="332"/>
      <c r="DK519" s="332"/>
      <c r="DL519" s="332"/>
      <c r="DM519" s="332"/>
      <c r="DN519" s="332"/>
      <c r="DO519" s="332"/>
      <c r="DP519" s="332"/>
      <c r="DQ519" s="332"/>
      <c r="DR519" s="332"/>
      <c r="DS519" s="332"/>
      <c r="DT519" s="332"/>
      <c r="DU519" s="453"/>
      <c r="DV519" s="453"/>
      <c r="DW519" s="453"/>
      <c r="DX519" s="453"/>
      <c r="DY519" s="453"/>
      <c r="DZ519" s="453"/>
      <c r="EA519" s="453"/>
      <c r="EB519" s="453"/>
      <c r="EC519" s="453"/>
      <c r="ED519" s="453"/>
      <c r="EE519" s="453"/>
      <c r="EF519" s="453"/>
      <c r="EG519" s="453"/>
      <c r="EH519" s="453"/>
      <c r="EI519" s="453"/>
      <c r="EJ519" s="453"/>
      <c r="EK519" s="453"/>
      <c r="EL519" s="453"/>
      <c r="EM519" s="483">
        <f t="shared" si="221"/>
        <v>210</v>
      </c>
      <c r="EN519" s="485"/>
      <c r="EO519" s="804"/>
      <c r="EP519" s="805"/>
      <c r="EQ519" s="806"/>
      <c r="ER519" s="808"/>
      <c r="ES519" s="881">
        <f t="shared" si="222"/>
        <v>0</v>
      </c>
      <c r="ET519" s="882"/>
      <c r="EU519" s="883"/>
      <c r="EV519" s="884">
        <f t="shared" si="220"/>
        <v>0</v>
      </c>
      <c r="EW519" s="885"/>
      <c r="EX519" s="885"/>
      <c r="EY519" s="885"/>
      <c r="EZ519" s="885"/>
      <c r="FA519" s="885"/>
      <c r="FB519" s="885"/>
      <c r="FC519" s="885"/>
      <c r="FD519" s="886"/>
      <c r="FE519" s="878"/>
      <c r="FF519" s="878"/>
      <c r="FG519" s="878"/>
      <c r="FH519" s="878"/>
      <c r="FI519" s="878"/>
      <c r="FJ519" s="878"/>
      <c r="FK519" s="878"/>
      <c r="FL519" s="555"/>
      <c r="FM519" s="554"/>
      <c r="FN519" s="554"/>
      <c r="FO519" s="554"/>
      <c r="FP519" s="554"/>
      <c r="FQ519" s="554"/>
      <c r="FR519" s="554"/>
      <c r="FS519" s="554"/>
      <c r="FT519" s="554"/>
      <c r="FU519" s="554"/>
      <c r="FV519" s="554"/>
      <c r="FW519" s="554"/>
      <c r="FX519" s="554"/>
      <c r="FY519" s="554"/>
      <c r="FZ519" s="554"/>
      <c r="GA519" s="554"/>
      <c r="GB519" s="556"/>
      <c r="GC519" s="370"/>
      <c r="GD519" s="453"/>
      <c r="GE519" s="453"/>
      <c r="GF519" s="453"/>
      <c r="GG519" s="453"/>
      <c r="GH519" s="454"/>
      <c r="GI519" s="453"/>
      <c r="GJ519" s="453"/>
      <c r="GK519" s="453"/>
      <c r="GL519" s="453"/>
      <c r="GM519" s="453"/>
      <c r="GN519" s="453"/>
      <c r="GO519" s="453"/>
      <c r="GP519" s="453"/>
      <c r="GQ519" s="453"/>
      <c r="GR519" s="453"/>
      <c r="GS519" s="561"/>
      <c r="GT519" s="475"/>
      <c r="GU519" s="472"/>
      <c r="GV519" s="453"/>
      <c r="GW519" s="453"/>
      <c r="GX519" s="869"/>
      <c r="GY519" s="870"/>
      <c r="GZ519" s="867"/>
      <c r="HA519" s="868"/>
      <c r="HB519" s="473"/>
      <c r="HC519" s="869"/>
      <c r="HD519" s="870"/>
      <c r="HE519" s="867"/>
      <c r="HF519" s="868"/>
      <c r="HG519" s="473"/>
      <c r="HH519" s="867"/>
      <c r="HI519" s="868"/>
      <c r="HJ519" s="867"/>
      <c r="HK519" s="868"/>
      <c r="HL519" s="370"/>
      <c r="HM519" s="865"/>
      <c r="HN519" s="866"/>
      <c r="HO519" s="865"/>
      <c r="HP519" s="866"/>
      <c r="HQ519" s="865"/>
      <c r="HR519" s="866"/>
      <c r="HS519" s="867"/>
      <c r="HT519" s="868"/>
      <c r="HU519" s="489"/>
      <c r="HV519" s="865"/>
      <c r="HW519" s="866"/>
    </row>
    <row r="520" spans="25:231" ht="15" customHeight="1">
      <c r="Y520" s="332"/>
      <c r="Z520" s="332"/>
      <c r="AA520" s="332"/>
      <c r="AB520" s="332"/>
      <c r="AC520" s="332"/>
      <c r="AD520" s="332"/>
      <c r="AE520" s="332"/>
      <c r="AF520" s="332"/>
      <c r="AG520" s="332"/>
      <c r="AH520" s="332"/>
      <c r="AI520" s="332"/>
      <c r="AJ520" s="332"/>
      <c r="AK520" s="332"/>
      <c r="AL520" s="332"/>
      <c r="AM520" s="332"/>
      <c r="AN520" s="332"/>
      <c r="AO520" s="332"/>
      <c r="AP520" s="332"/>
      <c r="AQ520" s="332"/>
      <c r="AR520" s="332"/>
      <c r="AS520" s="332"/>
      <c r="AT520" s="332"/>
      <c r="AU520" s="332"/>
      <c r="AV520" s="332"/>
      <c r="AW520" s="332"/>
      <c r="AX520" s="332"/>
      <c r="AY520" s="332"/>
      <c r="AZ520" s="332"/>
      <c r="BA520" s="332"/>
      <c r="BB520" s="332"/>
      <c r="BC520" s="332"/>
      <c r="BD520" s="332"/>
      <c r="BE520" s="332"/>
      <c r="BF520" s="332"/>
      <c r="BG520" s="332"/>
      <c r="BH520" s="332"/>
      <c r="BI520" s="332"/>
      <c r="BJ520" s="332"/>
      <c r="BK520" s="332"/>
      <c r="BL520" s="332"/>
      <c r="BM520" s="332"/>
      <c r="BN520" s="332"/>
      <c r="BO520" s="332"/>
      <c r="BP520" s="332"/>
      <c r="BQ520" s="332"/>
      <c r="BR520" s="332"/>
      <c r="BS520" s="332"/>
      <c r="BT520" s="332"/>
      <c r="BU520" s="332"/>
      <c r="BV520" s="332"/>
      <c r="BW520" s="332"/>
      <c r="BX520" s="332"/>
      <c r="BY520" s="332"/>
      <c r="BZ520" s="332"/>
      <c r="CA520" s="332"/>
      <c r="CB520" s="332"/>
      <c r="CC520" s="332"/>
      <c r="CD520" s="332"/>
      <c r="CE520" s="332"/>
      <c r="CF520" s="332"/>
      <c r="CG520" s="332"/>
      <c r="CH520" s="332"/>
      <c r="CI520" s="332"/>
      <c r="CJ520" s="332"/>
      <c r="CK520" s="332"/>
      <c r="CL520" s="332"/>
      <c r="CM520" s="332"/>
      <c r="CN520" s="332"/>
      <c r="CO520" s="332"/>
      <c r="CP520" s="332"/>
      <c r="CQ520" s="332"/>
      <c r="CR520" s="332"/>
      <c r="CS520" s="332"/>
      <c r="CT520" s="332"/>
      <c r="CU520" s="332"/>
      <c r="CV520" s="332"/>
      <c r="CW520" s="332"/>
      <c r="CX520" s="332"/>
      <c r="CY520" s="332"/>
      <c r="CZ520" s="332"/>
      <c r="DA520" s="332"/>
      <c r="DB520" s="332"/>
      <c r="DC520" s="332"/>
      <c r="DD520" s="332"/>
      <c r="DE520" s="332"/>
      <c r="DF520" s="332"/>
      <c r="DG520" s="332"/>
      <c r="DH520" s="332"/>
      <c r="DI520" s="332"/>
      <c r="DJ520" s="332"/>
      <c r="DK520" s="332"/>
      <c r="DL520" s="332"/>
      <c r="DM520" s="332"/>
      <c r="DN520" s="332"/>
      <c r="DO520" s="332"/>
      <c r="DP520" s="332"/>
      <c r="DQ520" s="332"/>
      <c r="DR520" s="332"/>
      <c r="DS520" s="332"/>
      <c r="DT520" s="332"/>
      <c r="DU520" s="453"/>
      <c r="DV520" s="453"/>
      <c r="DW520" s="453"/>
      <c r="DX520" s="453"/>
      <c r="DY520" s="453"/>
      <c r="DZ520" s="453"/>
      <c r="EA520" s="453"/>
      <c r="EB520" s="453"/>
      <c r="EC520" s="453"/>
      <c r="ED520" s="453"/>
      <c r="EE520" s="453"/>
      <c r="EF520" s="453"/>
      <c r="EG520" s="453"/>
      <c r="EH520" s="453"/>
      <c r="EI520" s="453"/>
      <c r="EJ520" s="453"/>
      <c r="EK520" s="453"/>
      <c r="EL520" s="453"/>
      <c r="EM520" s="483">
        <f t="shared" si="221"/>
        <v>211</v>
      </c>
      <c r="EN520" s="485"/>
      <c r="EO520" s="804"/>
      <c r="EP520" s="805"/>
      <c r="EQ520" s="806"/>
      <c r="ER520" s="808"/>
      <c r="ES520" s="881">
        <f t="shared" si="222"/>
        <v>0</v>
      </c>
      <c r="ET520" s="882"/>
      <c r="EU520" s="883"/>
      <c r="EV520" s="884">
        <f t="shared" si="220"/>
        <v>0</v>
      </c>
      <c r="EW520" s="885"/>
      <c r="EX520" s="885"/>
      <c r="EY520" s="885"/>
      <c r="EZ520" s="885"/>
      <c r="FA520" s="885"/>
      <c r="FB520" s="885"/>
      <c r="FC520" s="885"/>
      <c r="FD520" s="886"/>
      <c r="FE520" s="878"/>
      <c r="FF520" s="878"/>
      <c r="FG520" s="878"/>
      <c r="FH520" s="878"/>
      <c r="FI520" s="878"/>
      <c r="FJ520" s="878"/>
      <c r="FK520" s="878"/>
      <c r="FL520" s="555"/>
      <c r="FM520" s="554"/>
      <c r="FN520" s="554"/>
      <c r="FO520" s="554"/>
      <c r="FP520" s="554"/>
      <c r="FQ520" s="554"/>
      <c r="FR520" s="554"/>
      <c r="FS520" s="554"/>
      <c r="FT520" s="554"/>
      <c r="FU520" s="554"/>
      <c r="FV520" s="554"/>
      <c r="FW520" s="554"/>
      <c r="FX520" s="554"/>
      <c r="FY520" s="554"/>
      <c r="FZ520" s="554"/>
      <c r="GA520" s="554"/>
      <c r="GB520" s="556"/>
      <c r="GC520" s="370"/>
      <c r="GD520" s="453"/>
      <c r="GE520" s="453"/>
      <c r="GF520" s="453"/>
      <c r="GG520" s="453"/>
      <c r="GH520" s="454"/>
      <c r="GI520" s="453"/>
      <c r="GJ520" s="453"/>
      <c r="GK520" s="453"/>
      <c r="GL520" s="453"/>
      <c r="GM520" s="453"/>
      <c r="GN520" s="453"/>
      <c r="GO520" s="453"/>
      <c r="GP520" s="453"/>
      <c r="GQ520" s="453"/>
      <c r="GR520" s="453"/>
      <c r="GS520" s="561"/>
      <c r="GT520" s="475"/>
      <c r="GU520" s="472"/>
      <c r="GV520" s="453"/>
      <c r="GW520" s="453"/>
      <c r="GX520" s="869"/>
      <c r="GY520" s="870"/>
      <c r="GZ520" s="867"/>
      <c r="HA520" s="868"/>
      <c r="HB520" s="473"/>
      <c r="HC520" s="869"/>
      <c r="HD520" s="870"/>
      <c r="HE520" s="867"/>
      <c r="HF520" s="868"/>
      <c r="HG520" s="473"/>
      <c r="HH520" s="867"/>
      <c r="HI520" s="868"/>
      <c r="HJ520" s="867"/>
      <c r="HK520" s="868"/>
      <c r="HL520" s="370"/>
      <c r="HM520" s="865"/>
      <c r="HN520" s="866"/>
      <c r="HO520" s="865"/>
      <c r="HP520" s="866"/>
      <c r="HQ520" s="865"/>
      <c r="HR520" s="866"/>
      <c r="HS520" s="867"/>
      <c r="HT520" s="868"/>
      <c r="HU520" s="489"/>
      <c r="HV520" s="865"/>
      <c r="HW520" s="866"/>
    </row>
    <row r="521" spans="25:231" ht="15" customHeight="1">
      <c r="Y521" s="332"/>
      <c r="Z521" s="332"/>
      <c r="AA521" s="332"/>
      <c r="AB521" s="332"/>
      <c r="AC521" s="332"/>
      <c r="AD521" s="332"/>
      <c r="AE521" s="332"/>
      <c r="AF521" s="332"/>
      <c r="AG521" s="332"/>
      <c r="AH521" s="332"/>
      <c r="AI521" s="332"/>
      <c r="AJ521" s="332"/>
      <c r="AK521" s="332"/>
      <c r="AL521" s="332"/>
      <c r="AM521" s="332"/>
      <c r="AN521" s="332"/>
      <c r="AO521" s="332"/>
      <c r="AP521" s="332"/>
      <c r="AQ521" s="332"/>
      <c r="AR521" s="332"/>
      <c r="AS521" s="332"/>
      <c r="AT521" s="332"/>
      <c r="AU521" s="332"/>
      <c r="AV521" s="332"/>
      <c r="AW521" s="332"/>
      <c r="AX521" s="332"/>
      <c r="AY521" s="332"/>
      <c r="AZ521" s="332"/>
      <c r="BA521" s="332"/>
      <c r="BB521" s="332"/>
      <c r="BC521" s="332"/>
      <c r="BD521" s="332"/>
      <c r="BE521" s="332"/>
      <c r="BF521" s="332"/>
      <c r="BG521" s="332"/>
      <c r="BH521" s="332"/>
      <c r="BI521" s="332"/>
      <c r="BJ521" s="332"/>
      <c r="BK521" s="332"/>
      <c r="BL521" s="332"/>
      <c r="BM521" s="332"/>
      <c r="BN521" s="332"/>
      <c r="BO521" s="332"/>
      <c r="BP521" s="332"/>
      <c r="BQ521" s="332"/>
      <c r="BR521" s="332"/>
      <c r="BS521" s="332"/>
      <c r="BT521" s="332"/>
      <c r="BU521" s="332"/>
      <c r="BV521" s="332"/>
      <c r="BW521" s="332"/>
      <c r="BX521" s="332"/>
      <c r="BY521" s="332"/>
      <c r="BZ521" s="332"/>
      <c r="CA521" s="332"/>
      <c r="CB521" s="332"/>
      <c r="CC521" s="332"/>
      <c r="CD521" s="332"/>
      <c r="CE521" s="332"/>
      <c r="CF521" s="332"/>
      <c r="CG521" s="332"/>
      <c r="CH521" s="332"/>
      <c r="CI521" s="332"/>
      <c r="CJ521" s="332"/>
      <c r="CK521" s="332"/>
      <c r="CL521" s="332"/>
      <c r="CM521" s="332"/>
      <c r="CN521" s="332"/>
      <c r="CO521" s="332"/>
      <c r="CP521" s="332"/>
      <c r="CQ521" s="332"/>
      <c r="CR521" s="332"/>
      <c r="CS521" s="332"/>
      <c r="CT521" s="332"/>
      <c r="CU521" s="332"/>
      <c r="CV521" s="332"/>
      <c r="CW521" s="332"/>
      <c r="CX521" s="332"/>
      <c r="CY521" s="332"/>
      <c r="CZ521" s="332"/>
      <c r="DA521" s="332"/>
      <c r="DB521" s="332"/>
      <c r="DC521" s="332"/>
      <c r="DD521" s="332"/>
      <c r="DE521" s="332"/>
      <c r="DF521" s="332"/>
      <c r="DG521" s="332"/>
      <c r="DH521" s="332"/>
      <c r="DI521" s="332"/>
      <c r="DJ521" s="332"/>
      <c r="DK521" s="332"/>
      <c r="DL521" s="332"/>
      <c r="DM521" s="332"/>
      <c r="DN521" s="332"/>
      <c r="DO521" s="332"/>
      <c r="DP521" s="332"/>
      <c r="DQ521" s="332"/>
      <c r="DR521" s="332"/>
      <c r="DS521" s="332"/>
      <c r="DT521" s="332"/>
      <c r="DU521" s="453"/>
      <c r="DV521" s="453"/>
      <c r="DW521" s="453"/>
      <c r="DX521" s="453"/>
      <c r="DY521" s="453"/>
      <c r="DZ521" s="453"/>
      <c r="EA521" s="453"/>
      <c r="EB521" s="453"/>
      <c r="EC521" s="453"/>
      <c r="ED521" s="453"/>
      <c r="EE521" s="453"/>
      <c r="EF521" s="453"/>
      <c r="EG521" s="453"/>
      <c r="EH521" s="453"/>
      <c r="EI521" s="453"/>
      <c r="EJ521" s="453"/>
      <c r="EK521" s="453"/>
      <c r="EL521" s="453"/>
      <c r="EM521" s="483">
        <f t="shared" si="221"/>
        <v>212</v>
      </c>
      <c r="EN521" s="485"/>
      <c r="EO521" s="804"/>
      <c r="EP521" s="805"/>
      <c r="EQ521" s="806"/>
      <c r="ER521" s="808"/>
      <c r="ES521" s="881">
        <f t="shared" si="222"/>
        <v>0</v>
      </c>
      <c r="ET521" s="882"/>
      <c r="EU521" s="883"/>
      <c r="EV521" s="884">
        <f t="shared" si="220"/>
        <v>0</v>
      </c>
      <c r="EW521" s="885"/>
      <c r="EX521" s="885"/>
      <c r="EY521" s="885"/>
      <c r="EZ521" s="885"/>
      <c r="FA521" s="885"/>
      <c r="FB521" s="885"/>
      <c r="FC521" s="885"/>
      <c r="FD521" s="886"/>
      <c r="FE521" s="878"/>
      <c r="FF521" s="878"/>
      <c r="FG521" s="878"/>
      <c r="FH521" s="878"/>
      <c r="FI521" s="878"/>
      <c r="FJ521" s="878"/>
      <c r="FK521" s="878"/>
      <c r="FL521" s="555"/>
      <c r="FM521" s="554"/>
      <c r="FN521" s="554"/>
      <c r="FO521" s="554"/>
      <c r="FP521" s="554"/>
      <c r="FQ521" s="554"/>
      <c r="FR521" s="554"/>
      <c r="FS521" s="554"/>
      <c r="FT521" s="554"/>
      <c r="FU521" s="554"/>
      <c r="FV521" s="554"/>
      <c r="FW521" s="554"/>
      <c r="FX521" s="554"/>
      <c r="FY521" s="554"/>
      <c r="FZ521" s="554"/>
      <c r="GA521" s="554"/>
      <c r="GB521" s="556"/>
      <c r="GC521" s="370"/>
      <c r="GD521" s="453"/>
      <c r="GE521" s="453"/>
      <c r="GF521" s="453"/>
      <c r="GG521" s="453"/>
      <c r="GH521" s="454"/>
      <c r="GI521" s="453"/>
      <c r="GJ521" s="453"/>
      <c r="GK521" s="453"/>
      <c r="GL521" s="453"/>
      <c r="GM521" s="453"/>
      <c r="GN521" s="453"/>
      <c r="GO521" s="453"/>
      <c r="GP521" s="453"/>
      <c r="GQ521" s="453"/>
      <c r="GR521" s="453"/>
      <c r="GS521" s="561"/>
      <c r="GT521" s="475"/>
      <c r="GU521" s="472"/>
      <c r="GV521" s="453"/>
      <c r="GW521" s="453"/>
      <c r="GX521" s="869"/>
      <c r="GY521" s="870"/>
      <c r="GZ521" s="867"/>
      <c r="HA521" s="868"/>
      <c r="HB521" s="473"/>
      <c r="HC521" s="869"/>
      <c r="HD521" s="870"/>
      <c r="HE521" s="867"/>
      <c r="HF521" s="868"/>
      <c r="HG521" s="473"/>
      <c r="HH521" s="867"/>
      <c r="HI521" s="868"/>
      <c r="HJ521" s="867"/>
      <c r="HK521" s="868"/>
      <c r="HL521" s="370"/>
      <c r="HM521" s="865"/>
      <c r="HN521" s="866"/>
      <c r="HO521" s="865"/>
      <c r="HP521" s="866"/>
      <c r="HQ521" s="865"/>
      <c r="HR521" s="866"/>
      <c r="HS521" s="867"/>
      <c r="HT521" s="868"/>
      <c r="HU521" s="489"/>
      <c r="HV521" s="865"/>
      <c r="HW521" s="866"/>
    </row>
    <row r="522" spans="25:231" ht="15" customHeight="1">
      <c r="Y522" s="332"/>
      <c r="Z522" s="332"/>
      <c r="AA522" s="332"/>
      <c r="AB522" s="332"/>
      <c r="AC522" s="332"/>
      <c r="AD522" s="332"/>
      <c r="AE522" s="332"/>
      <c r="AF522" s="332"/>
      <c r="AG522" s="332"/>
      <c r="AH522" s="332"/>
      <c r="AI522" s="332"/>
      <c r="AJ522" s="332"/>
      <c r="AK522" s="332"/>
      <c r="AL522" s="332"/>
      <c r="AM522" s="332"/>
      <c r="AN522" s="332"/>
      <c r="AO522" s="332"/>
      <c r="AP522" s="332"/>
      <c r="AQ522" s="332"/>
      <c r="AR522" s="332"/>
      <c r="AS522" s="332"/>
      <c r="AT522" s="332"/>
      <c r="AU522" s="332"/>
      <c r="AV522" s="332"/>
      <c r="AW522" s="332"/>
      <c r="AX522" s="332"/>
      <c r="AY522" s="332"/>
      <c r="AZ522" s="332"/>
      <c r="BA522" s="332"/>
      <c r="BB522" s="332"/>
      <c r="BC522" s="332"/>
      <c r="BD522" s="332"/>
      <c r="BE522" s="332"/>
      <c r="BF522" s="332"/>
      <c r="BG522" s="332"/>
      <c r="BH522" s="332"/>
      <c r="BI522" s="332"/>
      <c r="BJ522" s="332"/>
      <c r="BK522" s="332"/>
      <c r="BL522" s="332"/>
      <c r="BM522" s="332"/>
      <c r="BN522" s="332"/>
      <c r="BO522" s="332"/>
      <c r="BP522" s="332"/>
      <c r="BQ522" s="332"/>
      <c r="BR522" s="332"/>
      <c r="BS522" s="332"/>
      <c r="BT522" s="332"/>
      <c r="BU522" s="332"/>
      <c r="BV522" s="332"/>
      <c r="BW522" s="332"/>
      <c r="BX522" s="332"/>
      <c r="BY522" s="332"/>
      <c r="BZ522" s="332"/>
      <c r="CA522" s="332"/>
      <c r="CB522" s="332"/>
      <c r="CC522" s="332"/>
      <c r="CD522" s="332"/>
      <c r="CE522" s="332"/>
      <c r="CF522" s="332"/>
      <c r="CG522" s="332"/>
      <c r="CH522" s="332"/>
      <c r="CI522" s="332"/>
      <c r="CJ522" s="332"/>
      <c r="CK522" s="332"/>
      <c r="CL522" s="332"/>
      <c r="CM522" s="332"/>
      <c r="CN522" s="332"/>
      <c r="CO522" s="332"/>
      <c r="CP522" s="332"/>
      <c r="CQ522" s="332"/>
      <c r="CR522" s="332"/>
      <c r="CS522" s="332"/>
      <c r="CT522" s="332"/>
      <c r="CU522" s="332"/>
      <c r="CV522" s="332"/>
      <c r="CW522" s="332"/>
      <c r="CX522" s="332"/>
      <c r="CY522" s="332"/>
      <c r="CZ522" s="332"/>
      <c r="DA522" s="332"/>
      <c r="DB522" s="332"/>
      <c r="DC522" s="332"/>
      <c r="DD522" s="332"/>
      <c r="DE522" s="332"/>
      <c r="DF522" s="332"/>
      <c r="DG522" s="332"/>
      <c r="DH522" s="332"/>
      <c r="DI522" s="332"/>
      <c r="DJ522" s="332"/>
      <c r="DK522" s="332"/>
      <c r="DL522" s="332"/>
      <c r="DM522" s="332"/>
      <c r="DN522" s="332"/>
      <c r="DO522" s="332"/>
      <c r="DP522" s="332"/>
      <c r="DQ522" s="332"/>
      <c r="DR522" s="332"/>
      <c r="DS522" s="332"/>
      <c r="DT522" s="332"/>
      <c r="DU522" s="453"/>
      <c r="DV522" s="453"/>
      <c r="DW522" s="453"/>
      <c r="DX522" s="453"/>
      <c r="DY522" s="453"/>
      <c r="DZ522" s="453"/>
      <c r="EA522" s="453"/>
      <c r="EB522" s="453"/>
      <c r="EC522" s="453"/>
      <c r="ED522" s="453"/>
      <c r="EE522" s="453"/>
      <c r="EF522" s="453"/>
      <c r="EG522" s="453"/>
      <c r="EH522" s="453"/>
      <c r="EI522" s="453"/>
      <c r="EJ522" s="453"/>
      <c r="EK522" s="453"/>
      <c r="EL522" s="453"/>
      <c r="EM522" s="483">
        <f t="shared" si="221"/>
        <v>213</v>
      </c>
      <c r="EN522" s="485"/>
      <c r="EO522" s="804"/>
      <c r="EP522" s="805"/>
      <c r="EQ522" s="806"/>
      <c r="ER522" s="808"/>
      <c r="ES522" s="881">
        <f t="shared" si="222"/>
        <v>0</v>
      </c>
      <c r="ET522" s="882"/>
      <c r="EU522" s="883"/>
      <c r="EV522" s="884">
        <f t="shared" si="220"/>
        <v>0</v>
      </c>
      <c r="EW522" s="885"/>
      <c r="EX522" s="885"/>
      <c r="EY522" s="885"/>
      <c r="EZ522" s="885"/>
      <c r="FA522" s="885"/>
      <c r="FB522" s="885"/>
      <c r="FC522" s="885"/>
      <c r="FD522" s="886"/>
      <c r="FE522" s="878"/>
      <c r="FF522" s="878"/>
      <c r="FG522" s="878"/>
      <c r="FH522" s="878"/>
      <c r="FI522" s="878"/>
      <c r="FJ522" s="878"/>
      <c r="FK522" s="878"/>
      <c r="FL522" s="555"/>
      <c r="FM522" s="554"/>
      <c r="FN522" s="554"/>
      <c r="FO522" s="554"/>
      <c r="FP522" s="554"/>
      <c r="FQ522" s="554"/>
      <c r="FR522" s="554"/>
      <c r="FS522" s="554"/>
      <c r="FT522" s="554"/>
      <c r="FU522" s="554"/>
      <c r="FV522" s="554"/>
      <c r="FW522" s="554"/>
      <c r="FX522" s="554"/>
      <c r="FY522" s="554"/>
      <c r="FZ522" s="554"/>
      <c r="GA522" s="554"/>
      <c r="GB522" s="556"/>
      <c r="GC522" s="370"/>
      <c r="GD522" s="453"/>
      <c r="GE522" s="453"/>
      <c r="GF522" s="453"/>
      <c r="GG522" s="453"/>
      <c r="GH522" s="454"/>
      <c r="GI522" s="453"/>
      <c r="GJ522" s="453"/>
      <c r="GK522" s="453"/>
      <c r="GL522" s="453"/>
      <c r="GM522" s="453"/>
      <c r="GN522" s="453"/>
      <c r="GO522" s="453"/>
      <c r="GP522" s="453"/>
      <c r="GQ522" s="453"/>
      <c r="GR522" s="453"/>
      <c r="GS522" s="561"/>
      <c r="GT522" s="475"/>
      <c r="GU522" s="472"/>
      <c r="GV522" s="453"/>
      <c r="GW522" s="453"/>
      <c r="GX522" s="869"/>
      <c r="GY522" s="870"/>
      <c r="GZ522" s="867"/>
      <c r="HA522" s="868"/>
      <c r="HB522" s="473"/>
      <c r="HC522" s="869"/>
      <c r="HD522" s="870"/>
      <c r="HE522" s="867"/>
      <c r="HF522" s="868"/>
      <c r="HG522" s="473"/>
      <c r="HH522" s="867"/>
      <c r="HI522" s="868"/>
      <c r="HJ522" s="867"/>
      <c r="HK522" s="868"/>
      <c r="HL522" s="370"/>
      <c r="HM522" s="865"/>
      <c r="HN522" s="866"/>
      <c r="HO522" s="865"/>
      <c r="HP522" s="866"/>
      <c r="HQ522" s="865"/>
      <c r="HR522" s="866"/>
      <c r="HS522" s="867"/>
      <c r="HT522" s="868"/>
      <c r="HU522" s="489"/>
      <c r="HV522" s="865"/>
      <c r="HW522" s="866"/>
    </row>
    <row r="523" spans="25:231" ht="15" customHeight="1">
      <c r="Y523" s="332"/>
      <c r="Z523" s="332"/>
      <c r="AA523" s="332"/>
      <c r="AB523" s="332"/>
      <c r="AC523" s="332"/>
      <c r="AD523" s="332"/>
      <c r="AE523" s="332"/>
      <c r="AF523" s="332"/>
      <c r="AG523" s="332"/>
      <c r="AH523" s="332"/>
      <c r="AI523" s="332"/>
      <c r="AJ523" s="332"/>
      <c r="AK523" s="332"/>
      <c r="AL523" s="332"/>
      <c r="AM523" s="332"/>
      <c r="AN523" s="332"/>
      <c r="AO523" s="332"/>
      <c r="AP523" s="332"/>
      <c r="AQ523" s="332"/>
      <c r="AR523" s="332"/>
      <c r="AS523" s="332"/>
      <c r="AT523" s="332"/>
      <c r="AU523" s="332"/>
      <c r="AV523" s="332"/>
      <c r="AW523" s="332"/>
      <c r="AX523" s="332"/>
      <c r="AY523" s="332"/>
      <c r="AZ523" s="332"/>
      <c r="BA523" s="332"/>
      <c r="BB523" s="332"/>
      <c r="BC523" s="332"/>
      <c r="BD523" s="332"/>
      <c r="BE523" s="332"/>
      <c r="BF523" s="332"/>
      <c r="BG523" s="332"/>
      <c r="BH523" s="332"/>
      <c r="BI523" s="332"/>
      <c r="BJ523" s="332"/>
      <c r="BK523" s="332"/>
      <c r="BL523" s="332"/>
      <c r="BM523" s="332"/>
      <c r="BN523" s="332"/>
      <c r="BO523" s="332"/>
      <c r="BP523" s="332"/>
      <c r="BQ523" s="332"/>
      <c r="BR523" s="332"/>
      <c r="BS523" s="332"/>
      <c r="BT523" s="332"/>
      <c r="BU523" s="332"/>
      <c r="BV523" s="332"/>
      <c r="BW523" s="332"/>
      <c r="BX523" s="332"/>
      <c r="BY523" s="332"/>
      <c r="BZ523" s="332"/>
      <c r="CA523" s="332"/>
      <c r="CB523" s="332"/>
      <c r="CC523" s="332"/>
      <c r="CD523" s="332"/>
      <c r="CE523" s="332"/>
      <c r="CF523" s="332"/>
      <c r="CG523" s="332"/>
      <c r="CH523" s="332"/>
      <c r="CI523" s="332"/>
      <c r="CJ523" s="332"/>
      <c r="CK523" s="332"/>
      <c r="CL523" s="332"/>
      <c r="CM523" s="332"/>
      <c r="CN523" s="332"/>
      <c r="CO523" s="332"/>
      <c r="CP523" s="332"/>
      <c r="CQ523" s="332"/>
      <c r="CR523" s="332"/>
      <c r="CS523" s="332"/>
      <c r="CT523" s="332"/>
      <c r="CU523" s="332"/>
      <c r="CV523" s="332"/>
      <c r="CW523" s="332"/>
      <c r="CX523" s="332"/>
      <c r="CY523" s="332"/>
      <c r="CZ523" s="332"/>
      <c r="DA523" s="332"/>
      <c r="DB523" s="332"/>
      <c r="DC523" s="332"/>
      <c r="DD523" s="332"/>
      <c r="DE523" s="332"/>
      <c r="DF523" s="332"/>
      <c r="DG523" s="332"/>
      <c r="DH523" s="332"/>
      <c r="DI523" s="332"/>
      <c r="DJ523" s="332"/>
      <c r="DK523" s="332"/>
      <c r="DL523" s="332"/>
      <c r="DM523" s="332"/>
      <c r="DN523" s="332"/>
      <c r="DO523" s="332"/>
      <c r="DP523" s="332"/>
      <c r="DQ523" s="332"/>
      <c r="DR523" s="332"/>
      <c r="DS523" s="332"/>
      <c r="DT523" s="332"/>
      <c r="DU523" s="453"/>
      <c r="DV523" s="453"/>
      <c r="DW523" s="453"/>
      <c r="DX523" s="453"/>
      <c r="DY523" s="453"/>
      <c r="DZ523" s="453"/>
      <c r="EA523" s="453"/>
      <c r="EB523" s="453"/>
      <c r="EC523" s="453"/>
      <c r="ED523" s="453"/>
      <c r="EE523" s="453"/>
      <c r="EF523" s="453"/>
      <c r="EG523" s="453"/>
      <c r="EH523" s="453"/>
      <c r="EI523" s="453"/>
      <c r="EJ523" s="453"/>
      <c r="EK523" s="453"/>
      <c r="EL523" s="453"/>
      <c r="EM523" s="483">
        <f t="shared" si="221"/>
        <v>214</v>
      </c>
      <c r="EN523" s="485"/>
      <c r="EO523" s="804"/>
      <c r="EP523" s="805"/>
      <c r="EQ523" s="806"/>
      <c r="ER523" s="808"/>
      <c r="ES523" s="881">
        <f t="shared" si="222"/>
        <v>0</v>
      </c>
      <c r="ET523" s="882"/>
      <c r="EU523" s="883"/>
      <c r="EV523" s="884">
        <f t="shared" si="220"/>
        <v>0</v>
      </c>
      <c r="EW523" s="885"/>
      <c r="EX523" s="885"/>
      <c r="EY523" s="885"/>
      <c r="EZ523" s="885"/>
      <c r="FA523" s="885"/>
      <c r="FB523" s="885"/>
      <c r="FC523" s="885"/>
      <c r="FD523" s="886"/>
      <c r="FE523" s="878"/>
      <c r="FF523" s="878"/>
      <c r="FG523" s="878"/>
      <c r="FH523" s="878"/>
      <c r="FI523" s="878"/>
      <c r="FJ523" s="878"/>
      <c r="FK523" s="878"/>
      <c r="FL523" s="555"/>
      <c r="FM523" s="554"/>
      <c r="FN523" s="554"/>
      <c r="FO523" s="554"/>
      <c r="FP523" s="554"/>
      <c r="FQ523" s="554"/>
      <c r="FR523" s="554"/>
      <c r="FS523" s="554"/>
      <c r="FT523" s="554"/>
      <c r="FU523" s="554"/>
      <c r="FV523" s="554"/>
      <c r="FW523" s="554"/>
      <c r="FX523" s="554"/>
      <c r="FY523" s="554"/>
      <c r="FZ523" s="554"/>
      <c r="GA523" s="554"/>
      <c r="GB523" s="556"/>
      <c r="GC523" s="370"/>
      <c r="GD523" s="453"/>
      <c r="GE523" s="453"/>
      <c r="GF523" s="453"/>
      <c r="GG523" s="453"/>
      <c r="GH523" s="454"/>
      <c r="GI523" s="453"/>
      <c r="GJ523" s="453"/>
      <c r="GK523" s="453"/>
      <c r="GL523" s="453"/>
      <c r="GM523" s="453"/>
      <c r="GN523" s="453"/>
      <c r="GO523" s="453"/>
      <c r="GP523" s="453"/>
      <c r="GQ523" s="453"/>
      <c r="GR523" s="453"/>
      <c r="GS523" s="561"/>
      <c r="GT523" s="475"/>
      <c r="GU523" s="472"/>
      <c r="GV523" s="453"/>
      <c r="GW523" s="453"/>
      <c r="GX523" s="869"/>
      <c r="GY523" s="870"/>
      <c r="GZ523" s="867"/>
      <c r="HA523" s="868"/>
      <c r="HB523" s="473"/>
      <c r="HC523" s="869"/>
      <c r="HD523" s="870"/>
      <c r="HE523" s="867"/>
      <c r="HF523" s="868"/>
      <c r="HG523" s="473"/>
      <c r="HH523" s="867"/>
      <c r="HI523" s="868"/>
      <c r="HJ523" s="867"/>
      <c r="HK523" s="868"/>
      <c r="HL523" s="370"/>
      <c r="HM523" s="865"/>
      <c r="HN523" s="866"/>
      <c r="HO523" s="865"/>
      <c r="HP523" s="866"/>
      <c r="HQ523" s="865"/>
      <c r="HR523" s="866"/>
      <c r="HS523" s="867"/>
      <c r="HT523" s="868"/>
      <c r="HU523" s="489"/>
      <c r="HV523" s="865"/>
      <c r="HW523" s="866"/>
    </row>
    <row r="524" spans="25:231" ht="15" customHeight="1">
      <c r="Y524" s="332"/>
      <c r="Z524" s="332"/>
      <c r="AA524" s="332"/>
      <c r="AB524" s="332"/>
      <c r="AC524" s="332"/>
      <c r="AD524" s="332"/>
      <c r="AE524" s="332"/>
      <c r="AF524" s="332"/>
      <c r="AG524" s="332"/>
      <c r="AH524" s="332"/>
      <c r="AI524" s="332"/>
      <c r="AJ524" s="332"/>
      <c r="AK524" s="332"/>
      <c r="AL524" s="332"/>
      <c r="AM524" s="332"/>
      <c r="AN524" s="332"/>
      <c r="AO524" s="332"/>
      <c r="AP524" s="332"/>
      <c r="AQ524" s="332"/>
      <c r="AR524" s="332"/>
      <c r="AS524" s="332"/>
      <c r="AT524" s="332"/>
      <c r="AU524" s="332"/>
      <c r="AV524" s="332"/>
      <c r="AW524" s="332"/>
      <c r="AX524" s="332"/>
      <c r="AY524" s="332"/>
      <c r="AZ524" s="332"/>
      <c r="BA524" s="332"/>
      <c r="BB524" s="332"/>
      <c r="BC524" s="332"/>
      <c r="BD524" s="332"/>
      <c r="BE524" s="332"/>
      <c r="BF524" s="332"/>
      <c r="BG524" s="332"/>
      <c r="BH524" s="332"/>
      <c r="BI524" s="332"/>
      <c r="BJ524" s="332"/>
      <c r="BK524" s="332"/>
      <c r="BL524" s="332"/>
      <c r="BM524" s="332"/>
      <c r="BN524" s="332"/>
      <c r="BO524" s="332"/>
      <c r="BP524" s="332"/>
      <c r="BQ524" s="332"/>
      <c r="BR524" s="332"/>
      <c r="BS524" s="332"/>
      <c r="BT524" s="332"/>
      <c r="BU524" s="332"/>
      <c r="BV524" s="332"/>
      <c r="BW524" s="332"/>
      <c r="BX524" s="332"/>
      <c r="BY524" s="332"/>
      <c r="BZ524" s="332"/>
      <c r="CA524" s="332"/>
      <c r="CB524" s="332"/>
      <c r="CC524" s="332"/>
      <c r="CD524" s="332"/>
      <c r="CE524" s="332"/>
      <c r="CF524" s="332"/>
      <c r="CG524" s="332"/>
      <c r="CH524" s="332"/>
      <c r="CI524" s="332"/>
      <c r="CJ524" s="332"/>
      <c r="CK524" s="332"/>
      <c r="CL524" s="332"/>
      <c r="CM524" s="332"/>
      <c r="CN524" s="332"/>
      <c r="CO524" s="332"/>
      <c r="CP524" s="332"/>
      <c r="CQ524" s="332"/>
      <c r="CR524" s="332"/>
      <c r="CS524" s="332"/>
      <c r="CT524" s="332"/>
      <c r="CU524" s="332"/>
      <c r="CV524" s="332"/>
      <c r="CW524" s="332"/>
      <c r="CX524" s="332"/>
      <c r="CY524" s="332"/>
      <c r="CZ524" s="332"/>
      <c r="DA524" s="332"/>
      <c r="DB524" s="332"/>
      <c r="DC524" s="332"/>
      <c r="DD524" s="332"/>
      <c r="DE524" s="332"/>
      <c r="DF524" s="332"/>
      <c r="DG524" s="332"/>
      <c r="DH524" s="332"/>
      <c r="DI524" s="332"/>
      <c r="DJ524" s="332"/>
      <c r="DK524" s="332"/>
      <c r="DL524" s="332"/>
      <c r="DM524" s="332"/>
      <c r="DN524" s="332"/>
      <c r="DO524" s="332"/>
      <c r="DP524" s="332"/>
      <c r="DQ524" s="332"/>
      <c r="DR524" s="332"/>
      <c r="DS524" s="332"/>
      <c r="DT524" s="332"/>
      <c r="DU524" s="453"/>
      <c r="DV524" s="453"/>
      <c r="DW524" s="453"/>
      <c r="DX524" s="453"/>
      <c r="DY524" s="453"/>
      <c r="DZ524" s="453"/>
      <c r="EA524" s="453"/>
      <c r="EB524" s="453"/>
      <c r="EC524" s="453"/>
      <c r="ED524" s="453"/>
      <c r="EE524" s="453"/>
      <c r="EF524" s="453"/>
      <c r="EG524" s="453"/>
      <c r="EH524" s="453"/>
      <c r="EI524" s="453"/>
      <c r="EJ524" s="453"/>
      <c r="EK524" s="453"/>
      <c r="EL524" s="453"/>
      <c r="EM524" s="483">
        <f t="shared" si="221"/>
        <v>215</v>
      </c>
      <c r="EN524" s="485"/>
      <c r="EO524" s="804"/>
      <c r="EP524" s="805"/>
      <c r="EQ524" s="806"/>
      <c r="ER524" s="808"/>
      <c r="ES524" s="881">
        <f t="shared" si="222"/>
        <v>0</v>
      </c>
      <c r="ET524" s="882"/>
      <c r="EU524" s="883"/>
      <c r="EV524" s="884">
        <f t="shared" si="220"/>
        <v>0</v>
      </c>
      <c r="EW524" s="885"/>
      <c r="EX524" s="885"/>
      <c r="EY524" s="885"/>
      <c r="EZ524" s="885"/>
      <c r="FA524" s="885"/>
      <c r="FB524" s="885"/>
      <c r="FC524" s="885"/>
      <c r="FD524" s="886"/>
      <c r="FE524" s="878"/>
      <c r="FF524" s="878"/>
      <c r="FG524" s="878"/>
      <c r="FH524" s="878"/>
      <c r="FI524" s="878"/>
      <c r="FJ524" s="878"/>
      <c r="FK524" s="878"/>
      <c r="FL524" s="555"/>
      <c r="FM524" s="554"/>
      <c r="FN524" s="554"/>
      <c r="FO524" s="554"/>
      <c r="FP524" s="554"/>
      <c r="FQ524" s="554"/>
      <c r="FR524" s="554"/>
      <c r="FS524" s="554"/>
      <c r="FT524" s="554"/>
      <c r="FU524" s="554"/>
      <c r="FV524" s="554"/>
      <c r="FW524" s="554"/>
      <c r="FX524" s="554"/>
      <c r="FY524" s="554"/>
      <c r="FZ524" s="554"/>
      <c r="GA524" s="554"/>
      <c r="GB524" s="556"/>
      <c r="GC524" s="370"/>
      <c r="GD524" s="453"/>
      <c r="GE524" s="453"/>
      <c r="GF524" s="453"/>
      <c r="GG524" s="453"/>
      <c r="GH524" s="454"/>
      <c r="GI524" s="453"/>
      <c r="GJ524" s="453"/>
      <c r="GK524" s="453"/>
      <c r="GL524" s="453"/>
      <c r="GM524" s="453"/>
      <c r="GN524" s="453"/>
      <c r="GO524" s="453"/>
      <c r="GP524" s="453"/>
      <c r="GQ524" s="453"/>
      <c r="GR524" s="453"/>
      <c r="GS524" s="561"/>
      <c r="GT524" s="475"/>
      <c r="GU524" s="472"/>
      <c r="GV524" s="453"/>
      <c r="GW524" s="453"/>
      <c r="GX524" s="869"/>
      <c r="GY524" s="870"/>
      <c r="GZ524" s="867"/>
      <c r="HA524" s="868"/>
      <c r="HB524" s="473"/>
      <c r="HC524" s="869"/>
      <c r="HD524" s="870"/>
      <c r="HE524" s="867"/>
      <c r="HF524" s="868"/>
      <c r="HG524" s="473"/>
      <c r="HH524" s="867"/>
      <c r="HI524" s="868"/>
      <c r="HJ524" s="867"/>
      <c r="HK524" s="868"/>
      <c r="HL524" s="370"/>
      <c r="HM524" s="865"/>
      <c r="HN524" s="866"/>
      <c r="HO524" s="865"/>
      <c r="HP524" s="866"/>
      <c r="HQ524" s="865"/>
      <c r="HR524" s="866"/>
      <c r="HS524" s="867"/>
      <c r="HT524" s="868"/>
      <c r="HU524" s="489"/>
      <c r="HV524" s="865"/>
      <c r="HW524" s="866"/>
    </row>
    <row r="525" spans="25:231" ht="15" customHeight="1">
      <c r="Y525" s="332"/>
      <c r="Z525" s="332"/>
      <c r="AA525" s="332"/>
      <c r="AB525" s="332"/>
      <c r="AC525" s="332"/>
      <c r="AD525" s="332"/>
      <c r="AE525" s="332"/>
      <c r="AF525" s="332"/>
      <c r="AG525" s="332"/>
      <c r="AH525" s="332"/>
      <c r="AI525" s="332"/>
      <c r="AJ525" s="332"/>
      <c r="AK525" s="332"/>
      <c r="AL525" s="332"/>
      <c r="AM525" s="332"/>
      <c r="AN525" s="332"/>
      <c r="AO525" s="332"/>
      <c r="AP525" s="332"/>
      <c r="AQ525" s="332"/>
      <c r="AR525" s="332"/>
      <c r="AS525" s="332"/>
      <c r="AT525" s="332"/>
      <c r="AU525" s="332"/>
      <c r="AV525" s="332"/>
      <c r="AW525" s="332"/>
      <c r="AX525" s="332"/>
      <c r="AY525" s="332"/>
      <c r="AZ525" s="332"/>
      <c r="BA525" s="332"/>
      <c r="BB525" s="332"/>
      <c r="BC525" s="332"/>
      <c r="BD525" s="332"/>
      <c r="BE525" s="332"/>
      <c r="BF525" s="332"/>
      <c r="BG525" s="332"/>
      <c r="BH525" s="332"/>
      <c r="BI525" s="332"/>
      <c r="BJ525" s="332"/>
      <c r="BK525" s="332"/>
      <c r="BL525" s="332"/>
      <c r="BM525" s="332"/>
      <c r="BN525" s="332"/>
      <c r="BO525" s="332"/>
      <c r="BP525" s="332"/>
      <c r="BQ525" s="332"/>
      <c r="BR525" s="332"/>
      <c r="BS525" s="332"/>
      <c r="BT525" s="332"/>
      <c r="BU525" s="332"/>
      <c r="BV525" s="332"/>
      <c r="BW525" s="332"/>
      <c r="BX525" s="332"/>
      <c r="BY525" s="332"/>
      <c r="BZ525" s="332"/>
      <c r="CA525" s="332"/>
      <c r="CB525" s="332"/>
      <c r="CC525" s="332"/>
      <c r="CD525" s="332"/>
      <c r="CE525" s="332"/>
      <c r="CF525" s="332"/>
      <c r="CG525" s="332"/>
      <c r="CH525" s="332"/>
      <c r="CI525" s="332"/>
      <c r="CJ525" s="332"/>
      <c r="CK525" s="332"/>
      <c r="CL525" s="332"/>
      <c r="CM525" s="332"/>
      <c r="CN525" s="332"/>
      <c r="CO525" s="332"/>
      <c r="CP525" s="332"/>
      <c r="CQ525" s="332"/>
      <c r="CR525" s="332"/>
      <c r="CS525" s="332"/>
      <c r="CT525" s="332"/>
      <c r="CU525" s="332"/>
      <c r="CV525" s="332"/>
      <c r="CW525" s="332"/>
      <c r="CX525" s="332"/>
      <c r="CY525" s="332"/>
      <c r="CZ525" s="332"/>
      <c r="DA525" s="332"/>
      <c r="DB525" s="332"/>
      <c r="DC525" s="332"/>
      <c r="DD525" s="332"/>
      <c r="DE525" s="332"/>
      <c r="DF525" s="332"/>
      <c r="DG525" s="332"/>
      <c r="DH525" s="332"/>
      <c r="DI525" s="332"/>
      <c r="DJ525" s="332"/>
      <c r="DK525" s="332"/>
      <c r="DL525" s="332"/>
      <c r="DM525" s="332"/>
      <c r="DN525" s="332"/>
      <c r="DO525" s="332"/>
      <c r="DP525" s="332"/>
      <c r="DQ525" s="332"/>
      <c r="DR525" s="332"/>
      <c r="DS525" s="332"/>
      <c r="DT525" s="332"/>
      <c r="DU525" s="453"/>
      <c r="DV525" s="453"/>
      <c r="DW525" s="453"/>
      <c r="DX525" s="453"/>
      <c r="DY525" s="453"/>
      <c r="DZ525" s="453"/>
      <c r="EA525" s="453"/>
      <c r="EB525" s="453"/>
      <c r="EC525" s="453"/>
      <c r="ED525" s="453"/>
      <c r="EE525" s="453"/>
      <c r="EF525" s="453"/>
      <c r="EG525" s="453"/>
      <c r="EH525" s="453"/>
      <c r="EI525" s="453"/>
      <c r="EJ525" s="453"/>
      <c r="EK525" s="453"/>
      <c r="EL525" s="453"/>
      <c r="EM525" s="483">
        <f t="shared" si="221"/>
        <v>216</v>
      </c>
      <c r="EN525" s="485"/>
      <c r="EO525" s="804"/>
      <c r="EP525" s="805"/>
      <c r="EQ525" s="806"/>
      <c r="ER525" s="808"/>
      <c r="ES525" s="881">
        <f t="shared" si="222"/>
        <v>0</v>
      </c>
      <c r="ET525" s="882"/>
      <c r="EU525" s="883"/>
      <c r="EV525" s="884">
        <f t="shared" si="220"/>
        <v>0</v>
      </c>
      <c r="EW525" s="885"/>
      <c r="EX525" s="885"/>
      <c r="EY525" s="885"/>
      <c r="EZ525" s="885"/>
      <c r="FA525" s="885"/>
      <c r="FB525" s="885"/>
      <c r="FC525" s="885"/>
      <c r="FD525" s="886"/>
      <c r="FE525" s="878"/>
      <c r="FF525" s="878"/>
      <c r="FG525" s="878"/>
      <c r="FH525" s="878"/>
      <c r="FI525" s="878"/>
      <c r="FJ525" s="878"/>
      <c r="FK525" s="878"/>
      <c r="FL525" s="555"/>
      <c r="FM525" s="554"/>
      <c r="FN525" s="554"/>
      <c r="FO525" s="554"/>
      <c r="FP525" s="554"/>
      <c r="FQ525" s="554"/>
      <c r="FR525" s="554"/>
      <c r="FS525" s="554"/>
      <c r="FT525" s="554"/>
      <c r="FU525" s="554"/>
      <c r="FV525" s="554"/>
      <c r="FW525" s="554"/>
      <c r="FX525" s="554"/>
      <c r="FY525" s="554"/>
      <c r="FZ525" s="554"/>
      <c r="GA525" s="554"/>
      <c r="GB525" s="556"/>
      <c r="GC525" s="370"/>
      <c r="GD525" s="453"/>
      <c r="GE525" s="453"/>
      <c r="GF525" s="453"/>
      <c r="GG525" s="453"/>
      <c r="GH525" s="454"/>
      <c r="GI525" s="453"/>
      <c r="GJ525" s="453"/>
      <c r="GK525" s="453"/>
      <c r="GL525" s="453"/>
      <c r="GM525" s="453"/>
      <c r="GN525" s="453"/>
      <c r="GO525" s="453"/>
      <c r="GP525" s="453"/>
      <c r="GQ525" s="453"/>
      <c r="GR525" s="453"/>
      <c r="GS525" s="561"/>
      <c r="GT525" s="475"/>
      <c r="GU525" s="472"/>
      <c r="GV525" s="453"/>
      <c r="GW525" s="453"/>
      <c r="GX525" s="869"/>
      <c r="GY525" s="870"/>
      <c r="GZ525" s="867"/>
      <c r="HA525" s="868"/>
      <c r="HB525" s="473"/>
      <c r="HC525" s="869"/>
      <c r="HD525" s="870"/>
      <c r="HE525" s="867"/>
      <c r="HF525" s="868"/>
      <c r="HG525" s="473"/>
      <c r="HH525" s="867"/>
      <c r="HI525" s="868"/>
      <c r="HJ525" s="867"/>
      <c r="HK525" s="868"/>
      <c r="HL525" s="370"/>
      <c r="HM525" s="865"/>
      <c r="HN525" s="866"/>
      <c r="HO525" s="865"/>
      <c r="HP525" s="866"/>
      <c r="HQ525" s="865"/>
      <c r="HR525" s="866"/>
      <c r="HS525" s="867"/>
      <c r="HT525" s="868"/>
      <c r="HU525" s="489"/>
      <c r="HV525" s="865"/>
      <c r="HW525" s="866"/>
    </row>
    <row r="526" spans="25:231" ht="15" customHeight="1">
      <c r="Y526" s="332"/>
      <c r="Z526" s="332"/>
      <c r="AA526" s="332"/>
      <c r="AB526" s="332"/>
      <c r="AC526" s="332"/>
      <c r="AD526" s="332"/>
      <c r="AE526" s="332"/>
      <c r="AF526" s="332"/>
      <c r="AG526" s="332"/>
      <c r="AH526" s="332"/>
      <c r="AI526" s="332"/>
      <c r="AJ526" s="332"/>
      <c r="AK526" s="332"/>
      <c r="AL526" s="332"/>
      <c r="AM526" s="332"/>
      <c r="AN526" s="332"/>
      <c r="AO526" s="332"/>
      <c r="AP526" s="332"/>
      <c r="AQ526" s="332"/>
      <c r="AR526" s="332"/>
      <c r="AS526" s="332"/>
      <c r="AT526" s="332"/>
      <c r="AU526" s="332"/>
      <c r="AV526" s="332"/>
      <c r="AW526" s="332"/>
      <c r="AX526" s="332"/>
      <c r="AY526" s="332"/>
      <c r="AZ526" s="332"/>
      <c r="BA526" s="332"/>
      <c r="BB526" s="332"/>
      <c r="BC526" s="332"/>
      <c r="BD526" s="332"/>
      <c r="BE526" s="332"/>
      <c r="BF526" s="332"/>
      <c r="BG526" s="332"/>
      <c r="BH526" s="332"/>
      <c r="BI526" s="332"/>
      <c r="BJ526" s="332"/>
      <c r="BK526" s="332"/>
      <c r="BL526" s="332"/>
      <c r="BM526" s="332"/>
      <c r="BN526" s="332"/>
      <c r="BO526" s="332"/>
      <c r="BP526" s="332"/>
      <c r="BQ526" s="332"/>
      <c r="BR526" s="332"/>
      <c r="BS526" s="332"/>
      <c r="BT526" s="332"/>
      <c r="BU526" s="332"/>
      <c r="BV526" s="332"/>
      <c r="BW526" s="332"/>
      <c r="BX526" s="332"/>
      <c r="BY526" s="332"/>
      <c r="BZ526" s="332"/>
      <c r="CA526" s="332"/>
      <c r="CB526" s="332"/>
      <c r="CC526" s="332"/>
      <c r="CD526" s="332"/>
      <c r="CE526" s="332"/>
      <c r="CF526" s="332"/>
      <c r="CG526" s="332"/>
      <c r="CH526" s="332"/>
      <c r="CI526" s="332"/>
      <c r="CJ526" s="332"/>
      <c r="CK526" s="332"/>
      <c r="CL526" s="332"/>
      <c r="CM526" s="332"/>
      <c r="CN526" s="332"/>
      <c r="CO526" s="332"/>
      <c r="CP526" s="332"/>
      <c r="CQ526" s="332"/>
      <c r="CR526" s="332"/>
      <c r="CS526" s="332"/>
      <c r="CT526" s="332"/>
      <c r="CU526" s="332"/>
      <c r="CV526" s="332"/>
      <c r="CW526" s="332"/>
      <c r="CX526" s="332"/>
      <c r="CY526" s="332"/>
      <c r="CZ526" s="332"/>
      <c r="DA526" s="332"/>
      <c r="DB526" s="332"/>
      <c r="DC526" s="332"/>
      <c r="DD526" s="332"/>
      <c r="DE526" s="332"/>
      <c r="DF526" s="332"/>
      <c r="DG526" s="332"/>
      <c r="DH526" s="332"/>
      <c r="DI526" s="332"/>
      <c r="DJ526" s="332"/>
      <c r="DK526" s="332"/>
      <c r="DL526" s="332"/>
      <c r="DM526" s="332"/>
      <c r="DN526" s="332"/>
      <c r="DO526" s="332"/>
      <c r="DP526" s="332"/>
      <c r="DQ526" s="332"/>
      <c r="DR526" s="332"/>
      <c r="DS526" s="332"/>
      <c r="DT526" s="332"/>
      <c r="DU526" s="453"/>
      <c r="DV526" s="453"/>
      <c r="DW526" s="453"/>
      <c r="DX526" s="453"/>
      <c r="DY526" s="453"/>
      <c r="DZ526" s="453"/>
      <c r="EA526" s="453"/>
      <c r="EB526" s="453"/>
      <c r="EC526" s="453"/>
      <c r="ED526" s="453"/>
      <c r="EE526" s="453"/>
      <c r="EF526" s="453"/>
      <c r="EG526" s="453"/>
      <c r="EH526" s="453"/>
      <c r="EI526" s="453"/>
      <c r="EJ526" s="453"/>
      <c r="EK526" s="453"/>
      <c r="EL526" s="453"/>
      <c r="EM526" s="483">
        <f t="shared" si="221"/>
        <v>217</v>
      </c>
      <c r="EN526" s="485"/>
      <c r="EO526" s="804"/>
      <c r="EP526" s="805"/>
      <c r="EQ526" s="806"/>
      <c r="ER526" s="808"/>
      <c r="ES526" s="881">
        <f t="shared" si="222"/>
        <v>0</v>
      </c>
      <c r="ET526" s="882"/>
      <c r="EU526" s="883"/>
      <c r="EV526" s="884">
        <f t="shared" si="220"/>
        <v>0</v>
      </c>
      <c r="EW526" s="885"/>
      <c r="EX526" s="885"/>
      <c r="EY526" s="885"/>
      <c r="EZ526" s="885"/>
      <c r="FA526" s="885"/>
      <c r="FB526" s="885"/>
      <c r="FC526" s="885"/>
      <c r="FD526" s="886"/>
      <c r="FE526" s="878"/>
      <c r="FF526" s="878"/>
      <c r="FG526" s="878"/>
      <c r="FH526" s="878"/>
      <c r="FI526" s="878"/>
      <c r="FJ526" s="878"/>
      <c r="FK526" s="878"/>
      <c r="FL526" s="555"/>
      <c r="FM526" s="554"/>
      <c r="FN526" s="554"/>
      <c r="FO526" s="554"/>
      <c r="FP526" s="554"/>
      <c r="FQ526" s="554"/>
      <c r="FR526" s="554"/>
      <c r="FS526" s="554"/>
      <c r="FT526" s="554"/>
      <c r="FU526" s="554"/>
      <c r="FV526" s="554"/>
      <c r="FW526" s="554"/>
      <c r="FX526" s="554"/>
      <c r="FY526" s="554"/>
      <c r="FZ526" s="554"/>
      <c r="GA526" s="554"/>
      <c r="GB526" s="556"/>
      <c r="GC526" s="370"/>
      <c r="GD526" s="453"/>
      <c r="GE526" s="453"/>
      <c r="GF526" s="453"/>
      <c r="GG526" s="453"/>
      <c r="GH526" s="454"/>
      <c r="GI526" s="453"/>
      <c r="GJ526" s="453"/>
      <c r="GK526" s="453"/>
      <c r="GL526" s="453"/>
      <c r="GM526" s="453"/>
      <c r="GN526" s="453"/>
      <c r="GO526" s="453"/>
      <c r="GP526" s="453"/>
      <c r="GQ526" s="453"/>
      <c r="GR526" s="453"/>
      <c r="GS526" s="561"/>
      <c r="GT526" s="475"/>
      <c r="GU526" s="472"/>
      <c r="GV526" s="453"/>
      <c r="GW526" s="453"/>
      <c r="GX526" s="869"/>
      <c r="GY526" s="870"/>
      <c r="GZ526" s="867"/>
      <c r="HA526" s="868"/>
      <c r="HB526" s="473"/>
      <c r="HC526" s="869"/>
      <c r="HD526" s="870"/>
      <c r="HE526" s="867"/>
      <c r="HF526" s="868"/>
      <c r="HG526" s="473"/>
      <c r="HH526" s="867"/>
      <c r="HI526" s="868"/>
      <c r="HJ526" s="867"/>
      <c r="HK526" s="868"/>
      <c r="HL526" s="370"/>
      <c r="HM526" s="865"/>
      <c r="HN526" s="866"/>
      <c r="HO526" s="865"/>
      <c r="HP526" s="866"/>
      <c r="HQ526" s="865"/>
      <c r="HR526" s="866"/>
      <c r="HS526" s="867"/>
      <c r="HT526" s="868"/>
      <c r="HU526" s="489"/>
      <c r="HV526" s="865"/>
      <c r="HW526" s="866"/>
    </row>
    <row r="527" spans="25:231" ht="15" customHeight="1">
      <c r="Y527" s="332"/>
      <c r="Z527" s="332"/>
      <c r="AA527" s="332"/>
      <c r="AB527" s="332"/>
      <c r="AC527" s="332"/>
      <c r="AD527" s="332"/>
      <c r="AE527" s="332"/>
      <c r="AF527" s="332"/>
      <c r="AG527" s="332"/>
      <c r="AH527" s="332"/>
      <c r="AI527" s="332"/>
      <c r="AJ527" s="332"/>
      <c r="AK527" s="332"/>
      <c r="AL527" s="332"/>
      <c r="AM527" s="332"/>
      <c r="AN527" s="332"/>
      <c r="AO527" s="332"/>
      <c r="AP527" s="332"/>
      <c r="AQ527" s="332"/>
      <c r="AR527" s="332"/>
      <c r="AS527" s="332"/>
      <c r="AT527" s="332"/>
      <c r="AU527" s="332"/>
      <c r="AV527" s="332"/>
      <c r="AW527" s="332"/>
      <c r="AX527" s="332"/>
      <c r="AY527" s="332"/>
      <c r="AZ527" s="332"/>
      <c r="BA527" s="332"/>
      <c r="BB527" s="332"/>
      <c r="BC527" s="332"/>
      <c r="BD527" s="332"/>
      <c r="BE527" s="332"/>
      <c r="BF527" s="332"/>
      <c r="BG527" s="332"/>
      <c r="BH527" s="332"/>
      <c r="BI527" s="332"/>
      <c r="BJ527" s="332"/>
      <c r="BK527" s="332"/>
      <c r="BL527" s="332"/>
      <c r="BM527" s="332"/>
      <c r="BN527" s="332"/>
      <c r="BO527" s="332"/>
      <c r="BP527" s="332"/>
      <c r="BQ527" s="332"/>
      <c r="BR527" s="332"/>
      <c r="BS527" s="332"/>
      <c r="BT527" s="332"/>
      <c r="BU527" s="332"/>
      <c r="BV527" s="332"/>
      <c r="BW527" s="332"/>
      <c r="BX527" s="332"/>
      <c r="BY527" s="332"/>
      <c r="BZ527" s="332"/>
      <c r="CA527" s="332"/>
      <c r="CB527" s="332"/>
      <c r="CC527" s="332"/>
      <c r="CD527" s="332"/>
      <c r="CE527" s="332"/>
      <c r="CF527" s="332"/>
      <c r="CG527" s="332"/>
      <c r="CH527" s="332"/>
      <c r="CI527" s="332"/>
      <c r="CJ527" s="332"/>
      <c r="CK527" s="332"/>
      <c r="CL527" s="332"/>
      <c r="CM527" s="332"/>
      <c r="CN527" s="332"/>
      <c r="CO527" s="332"/>
      <c r="CP527" s="332"/>
      <c r="CQ527" s="332"/>
      <c r="CR527" s="332"/>
      <c r="CS527" s="332"/>
      <c r="CT527" s="332"/>
      <c r="CU527" s="332"/>
      <c r="CV527" s="332"/>
      <c r="CW527" s="332"/>
      <c r="CX527" s="332"/>
      <c r="CY527" s="332"/>
      <c r="CZ527" s="332"/>
      <c r="DA527" s="332"/>
      <c r="DB527" s="332"/>
      <c r="DC527" s="332"/>
      <c r="DD527" s="332"/>
      <c r="DE527" s="332"/>
      <c r="DF527" s="332"/>
      <c r="DG527" s="332"/>
      <c r="DH527" s="332"/>
      <c r="DI527" s="332"/>
      <c r="DJ527" s="332"/>
      <c r="DK527" s="332"/>
      <c r="DL527" s="332"/>
      <c r="DM527" s="332"/>
      <c r="DN527" s="332"/>
      <c r="DO527" s="332"/>
      <c r="DP527" s="332"/>
      <c r="DQ527" s="332"/>
      <c r="DR527" s="332"/>
      <c r="DS527" s="332"/>
      <c r="DT527" s="332"/>
      <c r="DU527" s="453"/>
      <c r="DV527" s="453"/>
      <c r="DW527" s="453"/>
      <c r="DX527" s="453"/>
      <c r="DY527" s="453"/>
      <c r="DZ527" s="453"/>
      <c r="EA527" s="453"/>
      <c r="EB527" s="453"/>
      <c r="EC527" s="453"/>
      <c r="ED527" s="453"/>
      <c r="EE527" s="453"/>
      <c r="EF527" s="453"/>
      <c r="EG527" s="453"/>
      <c r="EH527" s="453"/>
      <c r="EI527" s="453"/>
      <c r="EJ527" s="453"/>
      <c r="EK527" s="453"/>
      <c r="EL527" s="453"/>
      <c r="EM527" s="483">
        <f t="shared" si="221"/>
        <v>218</v>
      </c>
      <c r="EN527" s="485"/>
      <c r="EO527" s="804"/>
      <c r="EP527" s="805"/>
      <c r="EQ527" s="806"/>
      <c r="ER527" s="808"/>
      <c r="ES527" s="881">
        <f t="shared" si="222"/>
        <v>0</v>
      </c>
      <c r="ET527" s="882"/>
      <c r="EU527" s="883"/>
      <c r="EV527" s="884">
        <f t="shared" si="220"/>
        <v>0</v>
      </c>
      <c r="EW527" s="885"/>
      <c r="EX527" s="885"/>
      <c r="EY527" s="885"/>
      <c r="EZ527" s="885"/>
      <c r="FA527" s="885"/>
      <c r="FB527" s="885"/>
      <c r="FC527" s="885"/>
      <c r="FD527" s="886"/>
      <c r="FE527" s="878"/>
      <c r="FF527" s="878"/>
      <c r="FG527" s="878"/>
      <c r="FH527" s="878"/>
      <c r="FI527" s="878"/>
      <c r="FJ527" s="878"/>
      <c r="FK527" s="878"/>
      <c r="FL527" s="555"/>
      <c r="FM527" s="554"/>
      <c r="FN527" s="554"/>
      <c r="FO527" s="554"/>
      <c r="FP527" s="554"/>
      <c r="FQ527" s="554"/>
      <c r="FR527" s="554"/>
      <c r="FS527" s="554"/>
      <c r="FT527" s="554"/>
      <c r="FU527" s="554"/>
      <c r="FV527" s="554"/>
      <c r="FW527" s="554"/>
      <c r="FX527" s="554"/>
      <c r="FY527" s="554"/>
      <c r="FZ527" s="554"/>
      <c r="GA527" s="554"/>
      <c r="GB527" s="556"/>
      <c r="GC527" s="370"/>
      <c r="GD527" s="453"/>
      <c r="GE527" s="453"/>
      <c r="GF527" s="453"/>
      <c r="GG527" s="453"/>
      <c r="GH527" s="454"/>
      <c r="GI527" s="453"/>
      <c r="GJ527" s="453"/>
      <c r="GK527" s="453"/>
      <c r="GL527" s="453"/>
      <c r="GM527" s="453"/>
      <c r="GN527" s="453"/>
      <c r="GO527" s="453"/>
      <c r="GP527" s="453"/>
      <c r="GQ527" s="453"/>
      <c r="GR527" s="453"/>
      <c r="GS527" s="561"/>
      <c r="GT527" s="475"/>
      <c r="GU527" s="472"/>
      <c r="GV527" s="453"/>
      <c r="GW527" s="453"/>
      <c r="GX527" s="869"/>
      <c r="GY527" s="870"/>
      <c r="GZ527" s="867"/>
      <c r="HA527" s="868"/>
      <c r="HB527" s="473"/>
      <c r="HC527" s="869"/>
      <c r="HD527" s="870"/>
      <c r="HE527" s="867"/>
      <c r="HF527" s="868"/>
      <c r="HG527" s="473"/>
      <c r="HH527" s="867"/>
      <c r="HI527" s="868"/>
      <c r="HJ527" s="867"/>
      <c r="HK527" s="868"/>
      <c r="HL527" s="370"/>
      <c r="HM527" s="865"/>
      <c r="HN527" s="866"/>
      <c r="HO527" s="865"/>
      <c r="HP527" s="866"/>
      <c r="HQ527" s="865"/>
      <c r="HR527" s="866"/>
      <c r="HS527" s="867"/>
      <c r="HT527" s="868"/>
      <c r="HU527" s="489"/>
      <c r="HV527" s="865"/>
      <c r="HW527" s="866"/>
    </row>
    <row r="528" spans="25:231" ht="15" customHeight="1">
      <c r="Y528" s="332"/>
      <c r="Z528" s="332"/>
      <c r="AA528" s="332"/>
      <c r="AB528" s="332"/>
      <c r="AC528" s="332"/>
      <c r="AD528" s="332"/>
      <c r="AE528" s="332"/>
      <c r="AF528" s="332"/>
      <c r="AG528" s="332"/>
      <c r="AH528" s="332"/>
      <c r="AI528" s="332"/>
      <c r="AJ528" s="332"/>
      <c r="AK528" s="332"/>
      <c r="AL528" s="332"/>
      <c r="AM528" s="332"/>
      <c r="AN528" s="332"/>
      <c r="AO528" s="332"/>
      <c r="AP528" s="332"/>
      <c r="AQ528" s="332"/>
      <c r="AR528" s="332"/>
      <c r="AS528" s="332"/>
      <c r="AT528" s="332"/>
      <c r="AU528" s="332"/>
      <c r="AV528" s="332"/>
      <c r="AW528" s="332"/>
      <c r="AX528" s="332"/>
      <c r="AY528" s="332"/>
      <c r="AZ528" s="332"/>
      <c r="BA528" s="332"/>
      <c r="BB528" s="332"/>
      <c r="BC528" s="332"/>
      <c r="BD528" s="332"/>
      <c r="BE528" s="332"/>
      <c r="BF528" s="332"/>
      <c r="BG528" s="332"/>
      <c r="BH528" s="332"/>
      <c r="BI528" s="332"/>
      <c r="BJ528" s="332"/>
      <c r="BK528" s="332"/>
      <c r="BL528" s="332"/>
      <c r="BM528" s="332"/>
      <c r="BN528" s="332"/>
      <c r="BO528" s="332"/>
      <c r="BP528" s="332"/>
      <c r="BQ528" s="332"/>
      <c r="BR528" s="332"/>
      <c r="BS528" s="332"/>
      <c r="BT528" s="332"/>
      <c r="BU528" s="332"/>
      <c r="BV528" s="332"/>
      <c r="BW528" s="332"/>
      <c r="BX528" s="332"/>
      <c r="BY528" s="332"/>
      <c r="BZ528" s="332"/>
      <c r="CA528" s="332"/>
      <c r="CB528" s="332"/>
      <c r="CC528" s="332"/>
      <c r="CD528" s="332"/>
      <c r="CE528" s="332"/>
      <c r="CF528" s="332"/>
      <c r="CG528" s="332"/>
      <c r="CH528" s="332"/>
      <c r="CI528" s="332"/>
      <c r="CJ528" s="332"/>
      <c r="CK528" s="332"/>
      <c r="CL528" s="332"/>
      <c r="CM528" s="332"/>
      <c r="CN528" s="332"/>
      <c r="CO528" s="332"/>
      <c r="CP528" s="332"/>
      <c r="CQ528" s="332"/>
      <c r="CR528" s="332"/>
      <c r="CS528" s="332"/>
      <c r="CT528" s="332"/>
      <c r="CU528" s="332"/>
      <c r="CV528" s="332"/>
      <c r="CW528" s="332"/>
      <c r="CX528" s="332"/>
      <c r="CY528" s="332"/>
      <c r="CZ528" s="332"/>
      <c r="DA528" s="332"/>
      <c r="DB528" s="332"/>
      <c r="DC528" s="332"/>
      <c r="DD528" s="332"/>
      <c r="DE528" s="332"/>
      <c r="DF528" s="332"/>
      <c r="DG528" s="332"/>
      <c r="DH528" s="332"/>
      <c r="DI528" s="332"/>
      <c r="DJ528" s="332"/>
      <c r="DK528" s="332"/>
      <c r="DL528" s="332"/>
      <c r="DM528" s="332"/>
      <c r="DN528" s="332"/>
      <c r="DO528" s="332"/>
      <c r="DP528" s="332"/>
      <c r="DQ528" s="332"/>
      <c r="DR528" s="332"/>
      <c r="DS528" s="332"/>
      <c r="DT528" s="332"/>
      <c r="DU528" s="453"/>
      <c r="DV528" s="453"/>
      <c r="DW528" s="453"/>
      <c r="DX528" s="453"/>
      <c r="DY528" s="453"/>
      <c r="DZ528" s="453"/>
      <c r="EA528" s="453"/>
      <c r="EB528" s="453"/>
      <c r="EC528" s="453"/>
      <c r="ED528" s="453"/>
      <c r="EE528" s="453"/>
      <c r="EF528" s="453"/>
      <c r="EG528" s="453"/>
      <c r="EH528" s="453"/>
      <c r="EI528" s="453"/>
      <c r="EJ528" s="453"/>
      <c r="EK528" s="453"/>
      <c r="EL528" s="453"/>
      <c r="EM528" s="483">
        <f t="shared" si="221"/>
        <v>219</v>
      </c>
      <c r="EN528" s="485"/>
      <c r="EO528" s="804"/>
      <c r="EP528" s="805"/>
      <c r="EQ528" s="806"/>
      <c r="ER528" s="808"/>
      <c r="ES528" s="881">
        <f t="shared" si="222"/>
        <v>0</v>
      </c>
      <c r="ET528" s="882"/>
      <c r="EU528" s="883"/>
      <c r="EV528" s="884">
        <f t="shared" si="220"/>
        <v>0</v>
      </c>
      <c r="EW528" s="885"/>
      <c r="EX528" s="885"/>
      <c r="EY528" s="885"/>
      <c r="EZ528" s="885"/>
      <c r="FA528" s="885"/>
      <c r="FB528" s="885"/>
      <c r="FC528" s="885"/>
      <c r="FD528" s="886"/>
      <c r="FE528" s="878"/>
      <c r="FF528" s="878"/>
      <c r="FG528" s="878"/>
      <c r="FH528" s="878"/>
      <c r="FI528" s="878"/>
      <c r="FJ528" s="878"/>
      <c r="FK528" s="878"/>
      <c r="FL528" s="555"/>
      <c r="FM528" s="554"/>
      <c r="FN528" s="554"/>
      <c r="FO528" s="554"/>
      <c r="FP528" s="554"/>
      <c r="FQ528" s="554"/>
      <c r="FR528" s="554"/>
      <c r="FS528" s="554"/>
      <c r="FT528" s="554"/>
      <c r="FU528" s="554"/>
      <c r="FV528" s="554"/>
      <c r="FW528" s="554"/>
      <c r="FX528" s="554"/>
      <c r="FY528" s="554"/>
      <c r="FZ528" s="554"/>
      <c r="GA528" s="554"/>
      <c r="GB528" s="556"/>
      <c r="GC528" s="370"/>
      <c r="GD528" s="453"/>
      <c r="GE528" s="453"/>
      <c r="GF528" s="453"/>
      <c r="GG528" s="453"/>
      <c r="GH528" s="454"/>
      <c r="GI528" s="453"/>
      <c r="GJ528" s="453"/>
      <c r="GK528" s="453"/>
      <c r="GL528" s="453"/>
      <c r="GM528" s="453"/>
      <c r="GN528" s="453"/>
      <c r="GO528" s="453"/>
      <c r="GP528" s="453"/>
      <c r="GQ528" s="453"/>
      <c r="GR528" s="453"/>
      <c r="GS528" s="561"/>
      <c r="GT528" s="475"/>
      <c r="GU528" s="472"/>
      <c r="GV528" s="453"/>
      <c r="GW528" s="453"/>
      <c r="GX528" s="869"/>
      <c r="GY528" s="870"/>
      <c r="GZ528" s="867"/>
      <c r="HA528" s="868"/>
      <c r="HB528" s="473"/>
      <c r="HC528" s="869"/>
      <c r="HD528" s="870"/>
      <c r="HE528" s="867"/>
      <c r="HF528" s="868"/>
      <c r="HG528" s="473"/>
      <c r="HH528" s="867"/>
      <c r="HI528" s="868"/>
      <c r="HJ528" s="867"/>
      <c r="HK528" s="868"/>
      <c r="HL528" s="370"/>
      <c r="HM528" s="865"/>
      <c r="HN528" s="866"/>
      <c r="HO528" s="865"/>
      <c r="HP528" s="866"/>
      <c r="HQ528" s="865"/>
      <c r="HR528" s="866"/>
      <c r="HS528" s="867"/>
      <c r="HT528" s="868"/>
      <c r="HU528" s="489"/>
      <c r="HV528" s="865"/>
      <c r="HW528" s="866"/>
    </row>
    <row r="529" spans="25:231" ht="15" customHeight="1">
      <c r="Y529" s="332"/>
      <c r="Z529" s="332"/>
      <c r="AA529" s="332"/>
      <c r="AB529" s="332"/>
      <c r="AC529" s="332"/>
      <c r="AD529" s="332"/>
      <c r="AE529" s="332"/>
      <c r="AF529" s="332"/>
      <c r="AG529" s="332"/>
      <c r="AH529" s="332"/>
      <c r="AI529" s="332"/>
      <c r="AJ529" s="332"/>
      <c r="AK529" s="332"/>
      <c r="AL529" s="332"/>
      <c r="AM529" s="332"/>
      <c r="AN529" s="332"/>
      <c r="AO529" s="332"/>
      <c r="AP529" s="332"/>
      <c r="AQ529" s="332"/>
      <c r="AR529" s="332"/>
      <c r="AS529" s="332"/>
      <c r="AT529" s="332"/>
      <c r="AU529" s="332"/>
      <c r="AV529" s="332"/>
      <c r="AW529" s="332"/>
      <c r="AX529" s="332"/>
      <c r="AY529" s="332"/>
      <c r="AZ529" s="332"/>
      <c r="BA529" s="332"/>
      <c r="BB529" s="332"/>
      <c r="BC529" s="332"/>
      <c r="BD529" s="332"/>
      <c r="BE529" s="332"/>
      <c r="BF529" s="332"/>
      <c r="BG529" s="332"/>
      <c r="BH529" s="332"/>
      <c r="BI529" s="332"/>
      <c r="BJ529" s="332"/>
      <c r="BK529" s="332"/>
      <c r="BL529" s="332"/>
      <c r="BM529" s="332"/>
      <c r="BN529" s="332"/>
      <c r="BO529" s="332"/>
      <c r="BP529" s="332"/>
      <c r="BQ529" s="332"/>
      <c r="BR529" s="332"/>
      <c r="BS529" s="332"/>
      <c r="BT529" s="332"/>
      <c r="BU529" s="332"/>
      <c r="BV529" s="332"/>
      <c r="BW529" s="332"/>
      <c r="BX529" s="332"/>
      <c r="BY529" s="332"/>
      <c r="BZ529" s="332"/>
      <c r="CA529" s="332"/>
      <c r="CB529" s="332"/>
      <c r="CC529" s="332"/>
      <c r="CD529" s="332"/>
      <c r="CE529" s="332"/>
      <c r="CF529" s="332"/>
      <c r="CG529" s="332"/>
      <c r="CH529" s="332"/>
      <c r="CI529" s="332"/>
      <c r="CJ529" s="332"/>
      <c r="CK529" s="332"/>
      <c r="CL529" s="332"/>
      <c r="CM529" s="332"/>
      <c r="CN529" s="332"/>
      <c r="CO529" s="332"/>
      <c r="CP529" s="332"/>
      <c r="CQ529" s="332"/>
      <c r="CR529" s="332"/>
      <c r="CS529" s="332"/>
      <c r="CT529" s="332"/>
      <c r="CU529" s="332"/>
      <c r="CV529" s="332"/>
      <c r="CW529" s="332"/>
      <c r="CX529" s="332"/>
      <c r="CY529" s="332"/>
      <c r="CZ529" s="332"/>
      <c r="DA529" s="332"/>
      <c r="DB529" s="332"/>
      <c r="DC529" s="332"/>
      <c r="DD529" s="332"/>
      <c r="DE529" s="332"/>
      <c r="DF529" s="332"/>
      <c r="DG529" s="332"/>
      <c r="DH529" s="332"/>
      <c r="DI529" s="332"/>
      <c r="DJ529" s="332"/>
      <c r="DK529" s="332"/>
      <c r="DL529" s="332"/>
      <c r="DM529" s="332"/>
      <c r="DN529" s="332"/>
      <c r="DO529" s="332"/>
      <c r="DP529" s="332"/>
      <c r="DQ529" s="332"/>
      <c r="DR529" s="332"/>
      <c r="DS529" s="332"/>
      <c r="DT529" s="332"/>
      <c r="DU529" s="453"/>
      <c r="DV529" s="453"/>
      <c r="DW529" s="453"/>
      <c r="DX529" s="453"/>
      <c r="DY529" s="453"/>
      <c r="DZ529" s="453"/>
      <c r="EA529" s="453"/>
      <c r="EB529" s="453"/>
      <c r="EC529" s="453"/>
      <c r="ED529" s="453"/>
      <c r="EE529" s="453"/>
      <c r="EF529" s="453"/>
      <c r="EG529" s="453"/>
      <c r="EH529" s="453"/>
      <c r="EI529" s="453"/>
      <c r="EJ529" s="453"/>
      <c r="EK529" s="453"/>
      <c r="EL529" s="453"/>
      <c r="EM529" s="483">
        <f t="shared" si="221"/>
        <v>220</v>
      </c>
      <c r="EN529" s="485"/>
      <c r="EO529" s="804"/>
      <c r="EP529" s="805"/>
      <c r="EQ529" s="806"/>
      <c r="ER529" s="808"/>
      <c r="ES529" s="881">
        <f t="shared" si="222"/>
        <v>0</v>
      </c>
      <c r="ET529" s="882"/>
      <c r="EU529" s="883"/>
      <c r="EV529" s="884">
        <f t="shared" si="220"/>
        <v>0</v>
      </c>
      <c r="EW529" s="885"/>
      <c r="EX529" s="885"/>
      <c r="EY529" s="885"/>
      <c r="EZ529" s="885"/>
      <c r="FA529" s="885"/>
      <c r="FB529" s="885"/>
      <c r="FC529" s="885"/>
      <c r="FD529" s="886"/>
      <c r="FE529" s="878"/>
      <c r="FF529" s="878"/>
      <c r="FG529" s="878"/>
      <c r="FH529" s="878"/>
      <c r="FI529" s="878"/>
      <c r="FJ529" s="878"/>
      <c r="FK529" s="878"/>
      <c r="FL529" s="555"/>
      <c r="FM529" s="554"/>
      <c r="FN529" s="554"/>
      <c r="FO529" s="554"/>
      <c r="FP529" s="554"/>
      <c r="FQ529" s="554"/>
      <c r="FR529" s="554"/>
      <c r="FS529" s="554"/>
      <c r="FT529" s="554"/>
      <c r="FU529" s="554"/>
      <c r="FV529" s="554"/>
      <c r="FW529" s="554"/>
      <c r="FX529" s="554"/>
      <c r="FY529" s="554"/>
      <c r="FZ529" s="554"/>
      <c r="GA529" s="554"/>
      <c r="GB529" s="556"/>
      <c r="GC529" s="370"/>
      <c r="GD529" s="453"/>
      <c r="GE529" s="453"/>
      <c r="GF529" s="453"/>
      <c r="GG529" s="453"/>
      <c r="GH529" s="454"/>
      <c r="GI529" s="453"/>
      <c r="GJ529" s="453"/>
      <c r="GK529" s="453"/>
      <c r="GL529" s="453"/>
      <c r="GM529" s="453"/>
      <c r="GN529" s="453"/>
      <c r="GO529" s="453"/>
      <c r="GP529" s="453"/>
      <c r="GQ529" s="453"/>
      <c r="GR529" s="453"/>
      <c r="GS529" s="561"/>
      <c r="GT529" s="475"/>
      <c r="GU529" s="472"/>
      <c r="GV529" s="453"/>
      <c r="GW529" s="453"/>
      <c r="GX529" s="869"/>
      <c r="GY529" s="870"/>
      <c r="GZ529" s="867"/>
      <c r="HA529" s="868"/>
      <c r="HB529" s="473"/>
      <c r="HC529" s="869"/>
      <c r="HD529" s="870"/>
      <c r="HE529" s="867"/>
      <c r="HF529" s="868"/>
      <c r="HG529" s="473"/>
      <c r="HH529" s="867"/>
      <c r="HI529" s="868"/>
      <c r="HJ529" s="867"/>
      <c r="HK529" s="868"/>
      <c r="HL529" s="370"/>
      <c r="HM529" s="865"/>
      <c r="HN529" s="866"/>
      <c r="HO529" s="865"/>
      <c r="HP529" s="866"/>
      <c r="HQ529" s="865"/>
      <c r="HR529" s="866"/>
      <c r="HS529" s="867"/>
      <c r="HT529" s="868"/>
      <c r="HU529" s="489"/>
      <c r="HV529" s="865"/>
      <c r="HW529" s="866"/>
    </row>
    <row r="530" spans="25:231" ht="15" customHeight="1">
      <c r="Y530" s="332"/>
      <c r="Z530" s="332"/>
      <c r="AA530" s="332"/>
      <c r="AB530" s="332"/>
      <c r="AC530" s="332"/>
      <c r="AD530" s="332"/>
      <c r="AE530" s="332"/>
      <c r="AF530" s="332"/>
      <c r="AG530" s="332"/>
      <c r="AH530" s="332"/>
      <c r="AI530" s="332"/>
      <c r="AJ530" s="332"/>
      <c r="AK530" s="332"/>
      <c r="AL530" s="332"/>
      <c r="AM530" s="332"/>
      <c r="AN530" s="332"/>
      <c r="AO530" s="332"/>
      <c r="AP530" s="332"/>
      <c r="AQ530" s="332"/>
      <c r="AR530" s="332"/>
      <c r="AS530" s="332"/>
      <c r="AT530" s="332"/>
      <c r="AU530" s="332"/>
      <c r="AV530" s="332"/>
      <c r="AW530" s="332"/>
      <c r="AX530" s="332"/>
      <c r="AY530" s="332"/>
      <c r="AZ530" s="332"/>
      <c r="BA530" s="332"/>
      <c r="BB530" s="332"/>
      <c r="BC530" s="332"/>
      <c r="BD530" s="332"/>
      <c r="BE530" s="332"/>
      <c r="BF530" s="332"/>
      <c r="BG530" s="332"/>
      <c r="BH530" s="332"/>
      <c r="BI530" s="332"/>
      <c r="BJ530" s="332"/>
      <c r="BK530" s="332"/>
      <c r="BL530" s="332"/>
      <c r="BM530" s="332"/>
      <c r="BN530" s="332"/>
      <c r="BO530" s="332"/>
      <c r="BP530" s="332"/>
      <c r="BQ530" s="332"/>
      <c r="BR530" s="332"/>
      <c r="BS530" s="332"/>
      <c r="BT530" s="332"/>
      <c r="BU530" s="332"/>
      <c r="BV530" s="332"/>
      <c r="BW530" s="332"/>
      <c r="BX530" s="332"/>
      <c r="BY530" s="332"/>
      <c r="BZ530" s="332"/>
      <c r="CA530" s="332"/>
      <c r="CB530" s="332"/>
      <c r="CC530" s="332"/>
      <c r="CD530" s="332"/>
      <c r="CE530" s="332"/>
      <c r="CF530" s="332"/>
      <c r="CG530" s="332"/>
      <c r="CH530" s="332"/>
      <c r="CI530" s="332"/>
      <c r="CJ530" s="332"/>
      <c r="CK530" s="332"/>
      <c r="CL530" s="332"/>
      <c r="CM530" s="332"/>
      <c r="CN530" s="332"/>
      <c r="CO530" s="332"/>
      <c r="CP530" s="332"/>
      <c r="CQ530" s="332"/>
      <c r="CR530" s="332"/>
      <c r="CS530" s="332"/>
      <c r="CT530" s="332"/>
      <c r="CU530" s="332"/>
      <c r="CV530" s="332"/>
      <c r="CW530" s="332"/>
      <c r="CX530" s="332"/>
      <c r="CY530" s="332"/>
      <c r="CZ530" s="332"/>
      <c r="DA530" s="332"/>
      <c r="DB530" s="332"/>
      <c r="DC530" s="332"/>
      <c r="DD530" s="332"/>
      <c r="DE530" s="332"/>
      <c r="DF530" s="332"/>
      <c r="DG530" s="332"/>
      <c r="DH530" s="332"/>
      <c r="DI530" s="332"/>
      <c r="DJ530" s="332"/>
      <c r="DK530" s="332"/>
      <c r="DL530" s="332"/>
      <c r="DM530" s="332"/>
      <c r="DN530" s="332"/>
      <c r="DO530" s="332"/>
      <c r="DP530" s="332"/>
      <c r="DQ530" s="332"/>
      <c r="DR530" s="332"/>
      <c r="DS530" s="332"/>
      <c r="DT530" s="332"/>
      <c r="DU530" s="453"/>
      <c r="DV530" s="453"/>
      <c r="DW530" s="453"/>
      <c r="DX530" s="453"/>
      <c r="DY530" s="453"/>
      <c r="DZ530" s="453"/>
      <c r="EA530" s="453"/>
      <c r="EB530" s="453"/>
      <c r="EC530" s="453"/>
      <c r="ED530" s="453"/>
      <c r="EE530" s="453"/>
      <c r="EF530" s="453"/>
      <c r="EG530" s="453"/>
      <c r="EH530" s="453"/>
      <c r="EI530" s="453"/>
      <c r="EJ530" s="453"/>
      <c r="EK530" s="453"/>
      <c r="EL530" s="453"/>
      <c r="EM530" s="483">
        <f t="shared" si="221"/>
        <v>221</v>
      </c>
      <c r="EN530" s="485"/>
      <c r="EO530" s="804"/>
      <c r="EP530" s="805"/>
      <c r="EQ530" s="806"/>
      <c r="ER530" s="808"/>
      <c r="ES530" s="881">
        <f t="shared" si="222"/>
        <v>0</v>
      </c>
      <c r="ET530" s="882"/>
      <c r="EU530" s="883"/>
      <c r="EV530" s="884">
        <f t="shared" si="220"/>
        <v>0</v>
      </c>
      <c r="EW530" s="885"/>
      <c r="EX530" s="885"/>
      <c r="EY530" s="885"/>
      <c r="EZ530" s="885"/>
      <c r="FA530" s="885"/>
      <c r="FB530" s="885"/>
      <c r="FC530" s="885"/>
      <c r="FD530" s="886"/>
      <c r="FE530" s="878"/>
      <c r="FF530" s="878"/>
      <c r="FG530" s="878"/>
      <c r="FH530" s="878"/>
      <c r="FI530" s="878"/>
      <c r="FJ530" s="878"/>
      <c r="FK530" s="878"/>
      <c r="FL530" s="555"/>
      <c r="FM530" s="554"/>
      <c r="FN530" s="554"/>
      <c r="FO530" s="554"/>
      <c r="FP530" s="554"/>
      <c r="FQ530" s="554"/>
      <c r="FR530" s="554"/>
      <c r="FS530" s="554"/>
      <c r="FT530" s="554"/>
      <c r="FU530" s="554"/>
      <c r="FV530" s="554"/>
      <c r="FW530" s="554"/>
      <c r="FX530" s="554"/>
      <c r="FY530" s="554"/>
      <c r="FZ530" s="554"/>
      <c r="GA530" s="554"/>
      <c r="GB530" s="556"/>
      <c r="GC530" s="370"/>
      <c r="GD530" s="453"/>
      <c r="GE530" s="453"/>
      <c r="GF530" s="453"/>
      <c r="GG530" s="453"/>
      <c r="GH530" s="454"/>
      <c r="GI530" s="453"/>
      <c r="GJ530" s="453"/>
      <c r="GK530" s="453"/>
      <c r="GL530" s="453"/>
      <c r="GM530" s="453"/>
      <c r="GN530" s="453"/>
      <c r="GO530" s="453"/>
      <c r="GP530" s="453"/>
      <c r="GQ530" s="453"/>
      <c r="GR530" s="453"/>
      <c r="GS530" s="561"/>
      <c r="GT530" s="475"/>
      <c r="GU530" s="472"/>
      <c r="GV530" s="453"/>
      <c r="GW530" s="453"/>
      <c r="GX530" s="869"/>
      <c r="GY530" s="870"/>
      <c r="GZ530" s="867"/>
      <c r="HA530" s="868"/>
      <c r="HB530" s="473"/>
      <c r="HC530" s="869"/>
      <c r="HD530" s="870"/>
      <c r="HE530" s="867"/>
      <c r="HF530" s="868"/>
      <c r="HG530" s="473"/>
      <c r="HH530" s="867"/>
      <c r="HI530" s="868"/>
      <c r="HJ530" s="867"/>
      <c r="HK530" s="868"/>
      <c r="HL530" s="370"/>
      <c r="HM530" s="865"/>
      <c r="HN530" s="866"/>
      <c r="HO530" s="865"/>
      <c r="HP530" s="866"/>
      <c r="HQ530" s="865"/>
      <c r="HR530" s="866"/>
      <c r="HS530" s="867"/>
      <c r="HT530" s="868"/>
      <c r="HU530" s="489"/>
      <c r="HV530" s="865"/>
      <c r="HW530" s="866"/>
    </row>
    <row r="531" spans="25:231" ht="15" customHeight="1">
      <c r="Y531" s="332"/>
      <c r="Z531" s="332"/>
      <c r="AA531" s="332"/>
      <c r="AB531" s="332"/>
      <c r="AC531" s="332"/>
      <c r="AD531" s="332"/>
      <c r="AE531" s="332"/>
      <c r="AF531" s="332"/>
      <c r="AG531" s="332"/>
      <c r="AH531" s="332"/>
      <c r="AI531" s="332"/>
      <c r="AJ531" s="332"/>
      <c r="AK531" s="332"/>
      <c r="AL531" s="332"/>
      <c r="AM531" s="332"/>
      <c r="AN531" s="332"/>
      <c r="AO531" s="332"/>
      <c r="AP531" s="332"/>
      <c r="AQ531" s="332"/>
      <c r="AR531" s="332"/>
      <c r="AS531" s="332"/>
      <c r="AT531" s="332"/>
      <c r="AU531" s="332"/>
      <c r="AV531" s="332"/>
      <c r="AW531" s="332"/>
      <c r="AX531" s="332"/>
      <c r="AY531" s="332"/>
      <c r="AZ531" s="332"/>
      <c r="BA531" s="332"/>
      <c r="BB531" s="332"/>
      <c r="BC531" s="332"/>
      <c r="BD531" s="332"/>
      <c r="BE531" s="332"/>
      <c r="BF531" s="332"/>
      <c r="BG531" s="332"/>
      <c r="BH531" s="332"/>
      <c r="BI531" s="332"/>
      <c r="BJ531" s="332"/>
      <c r="BK531" s="332"/>
      <c r="BL531" s="332"/>
      <c r="BM531" s="332"/>
      <c r="BN531" s="332"/>
      <c r="BO531" s="332"/>
      <c r="BP531" s="332"/>
      <c r="BQ531" s="332"/>
      <c r="BR531" s="332"/>
      <c r="BS531" s="332"/>
      <c r="BT531" s="332"/>
      <c r="BU531" s="332"/>
      <c r="BV531" s="332"/>
      <c r="BW531" s="332"/>
      <c r="BX531" s="332"/>
      <c r="BY531" s="332"/>
      <c r="BZ531" s="332"/>
      <c r="CA531" s="332"/>
      <c r="CB531" s="332"/>
      <c r="CC531" s="332"/>
      <c r="CD531" s="332"/>
      <c r="CE531" s="332"/>
      <c r="CF531" s="332"/>
      <c r="CG531" s="332"/>
      <c r="CH531" s="332"/>
      <c r="CI531" s="332"/>
      <c r="CJ531" s="332"/>
      <c r="CK531" s="332"/>
      <c r="CL531" s="332"/>
      <c r="CM531" s="332"/>
      <c r="CN531" s="332"/>
      <c r="CO531" s="332"/>
      <c r="CP531" s="332"/>
      <c r="CQ531" s="332"/>
      <c r="CR531" s="332"/>
      <c r="CS531" s="332"/>
      <c r="CT531" s="332"/>
      <c r="CU531" s="332"/>
      <c r="CV531" s="332"/>
      <c r="CW531" s="332"/>
      <c r="CX531" s="332"/>
      <c r="CY531" s="332"/>
      <c r="CZ531" s="332"/>
      <c r="DA531" s="332"/>
      <c r="DB531" s="332"/>
      <c r="DC531" s="332"/>
      <c r="DD531" s="332"/>
      <c r="DE531" s="332"/>
      <c r="DF531" s="332"/>
      <c r="DG531" s="332"/>
      <c r="DH531" s="332"/>
      <c r="DI531" s="332"/>
      <c r="DJ531" s="332"/>
      <c r="DK531" s="332"/>
      <c r="DL531" s="332"/>
      <c r="DM531" s="332"/>
      <c r="DN531" s="332"/>
      <c r="DO531" s="332"/>
      <c r="DP531" s="332"/>
      <c r="DQ531" s="332"/>
      <c r="DR531" s="332"/>
      <c r="DS531" s="332"/>
      <c r="DT531" s="332"/>
      <c r="DU531" s="453"/>
      <c r="DV531" s="453"/>
      <c r="DW531" s="453"/>
      <c r="DX531" s="453"/>
      <c r="DY531" s="453"/>
      <c r="DZ531" s="453"/>
      <c r="EA531" s="453"/>
      <c r="EB531" s="453"/>
      <c r="EC531" s="453"/>
      <c r="ED531" s="453"/>
      <c r="EE531" s="453"/>
      <c r="EF531" s="453"/>
      <c r="EG531" s="453"/>
      <c r="EH531" s="453"/>
      <c r="EI531" s="453"/>
      <c r="EJ531" s="453"/>
      <c r="EK531" s="453"/>
      <c r="EL531" s="453"/>
      <c r="EM531" s="483">
        <f t="shared" si="221"/>
        <v>222</v>
      </c>
      <c r="EN531" s="485"/>
      <c r="EO531" s="804"/>
      <c r="EP531" s="805"/>
      <c r="EQ531" s="806"/>
      <c r="ER531" s="808"/>
      <c r="ES531" s="881">
        <f t="shared" si="222"/>
        <v>0</v>
      </c>
      <c r="ET531" s="882"/>
      <c r="EU531" s="883"/>
      <c r="EV531" s="884">
        <f t="shared" si="220"/>
        <v>0</v>
      </c>
      <c r="EW531" s="885"/>
      <c r="EX531" s="885"/>
      <c r="EY531" s="885"/>
      <c r="EZ531" s="885"/>
      <c r="FA531" s="885"/>
      <c r="FB531" s="885"/>
      <c r="FC531" s="885"/>
      <c r="FD531" s="886"/>
      <c r="FE531" s="878"/>
      <c r="FF531" s="878"/>
      <c r="FG531" s="878"/>
      <c r="FH531" s="878"/>
      <c r="FI531" s="878"/>
      <c r="FJ531" s="878"/>
      <c r="FK531" s="878"/>
      <c r="FL531" s="555"/>
      <c r="FM531" s="554"/>
      <c r="FN531" s="554"/>
      <c r="FO531" s="554"/>
      <c r="FP531" s="554"/>
      <c r="FQ531" s="554"/>
      <c r="FR531" s="554"/>
      <c r="FS531" s="554"/>
      <c r="FT531" s="554"/>
      <c r="FU531" s="554"/>
      <c r="FV531" s="554"/>
      <c r="FW531" s="554"/>
      <c r="FX531" s="554"/>
      <c r="FY531" s="554"/>
      <c r="FZ531" s="554"/>
      <c r="GA531" s="554"/>
      <c r="GB531" s="556"/>
      <c r="GC531" s="370"/>
      <c r="GD531" s="453"/>
      <c r="GE531" s="453"/>
      <c r="GF531" s="453"/>
      <c r="GG531" s="453"/>
      <c r="GH531" s="454"/>
      <c r="GI531" s="453"/>
      <c r="GJ531" s="453"/>
      <c r="GK531" s="453"/>
      <c r="GL531" s="453"/>
      <c r="GM531" s="453"/>
      <c r="GN531" s="453"/>
      <c r="GO531" s="453"/>
      <c r="GP531" s="453"/>
      <c r="GQ531" s="453"/>
      <c r="GR531" s="453"/>
      <c r="GS531" s="561"/>
      <c r="GT531" s="475"/>
      <c r="GU531" s="472"/>
      <c r="GV531" s="453"/>
      <c r="GW531" s="453"/>
      <c r="GX531" s="869"/>
      <c r="GY531" s="870"/>
      <c r="GZ531" s="867"/>
      <c r="HA531" s="868"/>
      <c r="HB531" s="473"/>
      <c r="HC531" s="869"/>
      <c r="HD531" s="870"/>
      <c r="HE531" s="867"/>
      <c r="HF531" s="868"/>
      <c r="HG531" s="473"/>
      <c r="HH531" s="867"/>
      <c r="HI531" s="868"/>
      <c r="HJ531" s="867"/>
      <c r="HK531" s="868"/>
      <c r="HL531" s="370"/>
      <c r="HM531" s="865"/>
      <c r="HN531" s="866"/>
      <c r="HO531" s="865"/>
      <c r="HP531" s="866"/>
      <c r="HQ531" s="865"/>
      <c r="HR531" s="866"/>
      <c r="HS531" s="867"/>
      <c r="HT531" s="868"/>
      <c r="HU531" s="489"/>
      <c r="HV531" s="865"/>
      <c r="HW531" s="866"/>
    </row>
    <row r="532" spans="25:231" ht="15" customHeight="1">
      <c r="Y532" s="332"/>
      <c r="Z532" s="332"/>
      <c r="AA532" s="332"/>
      <c r="AB532" s="332"/>
      <c r="AC532" s="332"/>
      <c r="AD532" s="332"/>
      <c r="AE532" s="332"/>
      <c r="AF532" s="332"/>
      <c r="AG532" s="332"/>
      <c r="AH532" s="332"/>
      <c r="AI532" s="332"/>
      <c r="AJ532" s="332"/>
      <c r="AK532" s="332"/>
      <c r="AL532" s="332"/>
      <c r="AM532" s="332"/>
      <c r="AN532" s="332"/>
      <c r="AO532" s="332"/>
      <c r="AP532" s="332"/>
      <c r="AQ532" s="332"/>
      <c r="AR532" s="332"/>
      <c r="AS532" s="332"/>
      <c r="AT532" s="332"/>
      <c r="AU532" s="332"/>
      <c r="AV532" s="332"/>
      <c r="AW532" s="332"/>
      <c r="AX532" s="332"/>
      <c r="AY532" s="332"/>
      <c r="AZ532" s="332"/>
      <c r="BA532" s="332"/>
      <c r="BB532" s="332"/>
      <c r="BC532" s="332"/>
      <c r="BD532" s="332"/>
      <c r="BE532" s="332"/>
      <c r="BF532" s="332"/>
      <c r="BG532" s="332"/>
      <c r="BH532" s="332"/>
      <c r="BI532" s="332"/>
      <c r="BJ532" s="332"/>
      <c r="BK532" s="332"/>
      <c r="BL532" s="332"/>
      <c r="BM532" s="332"/>
      <c r="BN532" s="332"/>
      <c r="BO532" s="332"/>
      <c r="BP532" s="332"/>
      <c r="BQ532" s="332"/>
      <c r="BR532" s="332"/>
      <c r="BS532" s="332"/>
      <c r="BT532" s="332"/>
      <c r="BU532" s="332"/>
      <c r="BV532" s="332"/>
      <c r="BW532" s="332"/>
      <c r="BX532" s="332"/>
      <c r="BY532" s="332"/>
      <c r="BZ532" s="332"/>
      <c r="CA532" s="332"/>
      <c r="CB532" s="332"/>
      <c r="CC532" s="332"/>
      <c r="CD532" s="332"/>
      <c r="CE532" s="332"/>
      <c r="CF532" s="332"/>
      <c r="CG532" s="332"/>
      <c r="CH532" s="332"/>
      <c r="CI532" s="332"/>
      <c r="CJ532" s="332"/>
      <c r="CK532" s="332"/>
      <c r="CL532" s="332"/>
      <c r="CM532" s="332"/>
      <c r="CN532" s="332"/>
      <c r="CO532" s="332"/>
      <c r="CP532" s="332"/>
      <c r="CQ532" s="332"/>
      <c r="CR532" s="332"/>
      <c r="CS532" s="332"/>
      <c r="CT532" s="332"/>
      <c r="CU532" s="332"/>
      <c r="CV532" s="332"/>
      <c r="CW532" s="332"/>
      <c r="CX532" s="332"/>
      <c r="CY532" s="332"/>
      <c r="CZ532" s="332"/>
      <c r="DA532" s="332"/>
      <c r="DB532" s="332"/>
      <c r="DC532" s="332"/>
      <c r="DD532" s="332"/>
      <c r="DE532" s="332"/>
      <c r="DF532" s="332"/>
      <c r="DG532" s="332"/>
      <c r="DH532" s="332"/>
      <c r="DI532" s="332"/>
      <c r="DJ532" s="332"/>
      <c r="DK532" s="332"/>
      <c r="DL532" s="332"/>
      <c r="DM532" s="332"/>
      <c r="DN532" s="332"/>
      <c r="DO532" s="332"/>
      <c r="DP532" s="332"/>
      <c r="DQ532" s="332"/>
      <c r="DR532" s="332"/>
      <c r="DS532" s="332"/>
      <c r="DT532" s="332"/>
      <c r="DU532" s="453"/>
      <c r="DV532" s="453"/>
      <c r="DW532" s="453"/>
      <c r="DX532" s="453"/>
      <c r="DY532" s="453"/>
      <c r="DZ532" s="453"/>
      <c r="EA532" s="453"/>
      <c r="EB532" s="453"/>
      <c r="EC532" s="453"/>
      <c r="ED532" s="453"/>
      <c r="EE532" s="453"/>
      <c r="EF532" s="453"/>
      <c r="EG532" s="453"/>
      <c r="EH532" s="453"/>
      <c r="EI532" s="453"/>
      <c r="EJ532" s="453"/>
      <c r="EK532" s="453"/>
      <c r="EL532" s="453"/>
      <c r="EM532" s="483">
        <f t="shared" si="221"/>
        <v>223</v>
      </c>
      <c r="EN532" s="485"/>
      <c r="EO532" s="804"/>
      <c r="EP532" s="805"/>
      <c r="EQ532" s="806"/>
      <c r="ER532" s="808"/>
      <c r="ES532" s="881">
        <f t="shared" si="222"/>
        <v>0</v>
      </c>
      <c r="ET532" s="882"/>
      <c r="EU532" s="883"/>
      <c r="EV532" s="884">
        <f t="shared" si="220"/>
        <v>0</v>
      </c>
      <c r="EW532" s="885"/>
      <c r="EX532" s="885"/>
      <c r="EY532" s="885"/>
      <c r="EZ532" s="885"/>
      <c r="FA532" s="885"/>
      <c r="FB532" s="885"/>
      <c r="FC532" s="885"/>
      <c r="FD532" s="886"/>
      <c r="FE532" s="878"/>
      <c r="FF532" s="878"/>
      <c r="FG532" s="878"/>
      <c r="FH532" s="878"/>
      <c r="FI532" s="878"/>
      <c r="FJ532" s="878"/>
      <c r="FK532" s="878"/>
      <c r="FL532" s="555"/>
      <c r="FM532" s="554"/>
      <c r="FN532" s="554"/>
      <c r="FO532" s="554"/>
      <c r="FP532" s="554"/>
      <c r="FQ532" s="554"/>
      <c r="FR532" s="554"/>
      <c r="FS532" s="554"/>
      <c r="FT532" s="554"/>
      <c r="FU532" s="554"/>
      <c r="FV532" s="554"/>
      <c r="FW532" s="554"/>
      <c r="FX532" s="554"/>
      <c r="FY532" s="554"/>
      <c r="FZ532" s="554"/>
      <c r="GA532" s="554"/>
      <c r="GB532" s="556"/>
      <c r="GC532" s="370"/>
      <c r="GD532" s="453"/>
      <c r="GE532" s="453"/>
      <c r="GF532" s="453"/>
      <c r="GG532" s="453"/>
      <c r="GH532" s="454"/>
      <c r="GI532" s="453"/>
      <c r="GJ532" s="453"/>
      <c r="GK532" s="453"/>
      <c r="GL532" s="453"/>
      <c r="GM532" s="453"/>
      <c r="GN532" s="453"/>
      <c r="GO532" s="453"/>
      <c r="GP532" s="453"/>
      <c r="GQ532" s="453"/>
      <c r="GR532" s="453"/>
      <c r="GS532" s="561"/>
      <c r="GT532" s="475"/>
      <c r="GU532" s="472"/>
      <c r="GV532" s="453"/>
      <c r="GW532" s="453"/>
      <c r="GX532" s="869"/>
      <c r="GY532" s="870"/>
      <c r="GZ532" s="867"/>
      <c r="HA532" s="868"/>
      <c r="HB532" s="473"/>
      <c r="HC532" s="869"/>
      <c r="HD532" s="870"/>
      <c r="HE532" s="867"/>
      <c r="HF532" s="868"/>
      <c r="HG532" s="473"/>
      <c r="HH532" s="867"/>
      <c r="HI532" s="868"/>
      <c r="HJ532" s="867"/>
      <c r="HK532" s="868"/>
      <c r="HL532" s="370"/>
      <c r="HM532" s="865"/>
      <c r="HN532" s="866"/>
      <c r="HO532" s="865"/>
      <c r="HP532" s="866"/>
      <c r="HQ532" s="865"/>
      <c r="HR532" s="866"/>
      <c r="HS532" s="867"/>
      <c r="HT532" s="868"/>
      <c r="HU532" s="489"/>
      <c r="HV532" s="865"/>
      <c r="HW532" s="866"/>
    </row>
    <row r="533" spans="25:231" ht="15" customHeight="1">
      <c r="Y533" s="332"/>
      <c r="Z533" s="332"/>
      <c r="AA533" s="332"/>
      <c r="AB533" s="332"/>
      <c r="AC533" s="332"/>
      <c r="AD533" s="332"/>
      <c r="AE533" s="332"/>
      <c r="AF533" s="332"/>
      <c r="AG533" s="332"/>
      <c r="AH533" s="332"/>
      <c r="AI533" s="332"/>
      <c r="AJ533" s="332"/>
      <c r="AK533" s="332"/>
      <c r="AL533" s="332"/>
      <c r="AM533" s="332"/>
      <c r="AN533" s="332"/>
      <c r="AO533" s="332"/>
      <c r="AP533" s="332"/>
      <c r="AQ533" s="332"/>
      <c r="AR533" s="332"/>
      <c r="AS533" s="332"/>
      <c r="AT533" s="332"/>
      <c r="AU533" s="332"/>
      <c r="AV533" s="332"/>
      <c r="AW533" s="332"/>
      <c r="AX533" s="332"/>
      <c r="AY533" s="332"/>
      <c r="AZ533" s="332"/>
      <c r="BA533" s="332"/>
      <c r="BB533" s="332"/>
      <c r="BC533" s="332"/>
      <c r="BD533" s="332"/>
      <c r="BE533" s="332"/>
      <c r="BF533" s="332"/>
      <c r="BG533" s="332"/>
      <c r="BH533" s="332"/>
      <c r="BI533" s="332"/>
      <c r="BJ533" s="332"/>
      <c r="BK533" s="332"/>
      <c r="BL533" s="332"/>
      <c r="BM533" s="332"/>
      <c r="BN533" s="332"/>
      <c r="BO533" s="332"/>
      <c r="BP533" s="332"/>
      <c r="BQ533" s="332"/>
      <c r="BR533" s="332"/>
      <c r="BS533" s="332"/>
      <c r="BT533" s="332"/>
      <c r="BU533" s="332"/>
      <c r="BV533" s="332"/>
      <c r="BW533" s="332"/>
      <c r="BX533" s="332"/>
      <c r="BY533" s="332"/>
      <c r="BZ533" s="332"/>
      <c r="CA533" s="332"/>
      <c r="CB533" s="332"/>
      <c r="CC533" s="332"/>
      <c r="CD533" s="332"/>
      <c r="CE533" s="332"/>
      <c r="CF533" s="332"/>
      <c r="CG533" s="332"/>
      <c r="CH533" s="332"/>
      <c r="CI533" s="332"/>
      <c r="CJ533" s="332"/>
      <c r="CK533" s="332"/>
      <c r="CL533" s="332"/>
      <c r="CM533" s="332"/>
      <c r="CN533" s="332"/>
      <c r="CO533" s="332"/>
      <c r="CP533" s="332"/>
      <c r="CQ533" s="332"/>
      <c r="CR533" s="332"/>
      <c r="CS533" s="332"/>
      <c r="CT533" s="332"/>
      <c r="CU533" s="332"/>
      <c r="CV533" s="332"/>
      <c r="CW533" s="332"/>
      <c r="CX533" s="332"/>
      <c r="CY533" s="332"/>
      <c r="CZ533" s="332"/>
      <c r="DA533" s="332"/>
      <c r="DB533" s="332"/>
      <c r="DC533" s="332"/>
      <c r="DD533" s="332"/>
      <c r="DE533" s="332"/>
      <c r="DF533" s="332"/>
      <c r="DG533" s="332"/>
      <c r="DH533" s="332"/>
      <c r="DI533" s="332"/>
      <c r="DJ533" s="332"/>
      <c r="DK533" s="332"/>
      <c r="DL533" s="332"/>
      <c r="DM533" s="332"/>
      <c r="DN533" s="332"/>
      <c r="DO533" s="332"/>
      <c r="DP533" s="332"/>
      <c r="DQ533" s="332"/>
      <c r="DR533" s="332"/>
      <c r="DS533" s="332"/>
      <c r="DT533" s="332"/>
      <c r="DU533" s="453"/>
      <c r="DV533" s="453"/>
      <c r="DW533" s="453"/>
      <c r="DX533" s="453"/>
      <c r="DY533" s="453"/>
      <c r="DZ533" s="453"/>
      <c r="EA533" s="453"/>
      <c r="EB533" s="453"/>
      <c r="EC533" s="453"/>
      <c r="ED533" s="453"/>
      <c r="EE533" s="453"/>
      <c r="EF533" s="453"/>
      <c r="EG533" s="453"/>
      <c r="EH533" s="453"/>
      <c r="EI533" s="453"/>
      <c r="EJ533" s="453"/>
      <c r="EK533" s="453"/>
      <c r="EL533" s="453"/>
      <c r="EM533" s="483">
        <f t="shared" si="221"/>
        <v>224</v>
      </c>
      <c r="EN533" s="485"/>
      <c r="EO533" s="804"/>
      <c r="EP533" s="805"/>
      <c r="EQ533" s="806"/>
      <c r="ER533" s="808"/>
      <c r="ES533" s="881">
        <f t="shared" si="222"/>
        <v>0</v>
      </c>
      <c r="ET533" s="882"/>
      <c r="EU533" s="883"/>
      <c r="EV533" s="884">
        <f t="shared" si="220"/>
        <v>0</v>
      </c>
      <c r="EW533" s="885"/>
      <c r="EX533" s="885"/>
      <c r="EY533" s="885"/>
      <c r="EZ533" s="885"/>
      <c r="FA533" s="885"/>
      <c r="FB533" s="885"/>
      <c r="FC533" s="885"/>
      <c r="FD533" s="886"/>
      <c r="FE533" s="878"/>
      <c r="FF533" s="878"/>
      <c r="FG533" s="878"/>
      <c r="FH533" s="878"/>
      <c r="FI533" s="878"/>
      <c r="FJ533" s="878"/>
      <c r="FK533" s="878"/>
      <c r="FL533" s="555"/>
      <c r="FM533" s="554"/>
      <c r="FN533" s="554"/>
      <c r="FO533" s="554"/>
      <c r="FP533" s="554"/>
      <c r="FQ533" s="554"/>
      <c r="FR533" s="554"/>
      <c r="FS533" s="554"/>
      <c r="FT533" s="554"/>
      <c r="FU533" s="554"/>
      <c r="FV533" s="554"/>
      <c r="FW533" s="554"/>
      <c r="FX533" s="554"/>
      <c r="FY533" s="554"/>
      <c r="FZ533" s="554"/>
      <c r="GA533" s="554"/>
      <c r="GB533" s="556"/>
      <c r="GC533" s="370"/>
      <c r="GD533" s="453"/>
      <c r="GE533" s="453"/>
      <c r="GF533" s="453"/>
      <c r="GG533" s="453"/>
      <c r="GH533" s="454"/>
      <c r="GI533" s="453"/>
      <c r="GJ533" s="453"/>
      <c r="GK533" s="453"/>
      <c r="GL533" s="453"/>
      <c r="GM533" s="453"/>
      <c r="GN533" s="453"/>
      <c r="GO533" s="453"/>
      <c r="GP533" s="453"/>
      <c r="GQ533" s="453"/>
      <c r="GR533" s="453"/>
      <c r="GS533" s="561"/>
      <c r="GT533" s="475"/>
      <c r="GU533" s="472"/>
      <c r="GV533" s="453"/>
      <c r="GW533" s="453"/>
      <c r="GX533" s="869"/>
      <c r="GY533" s="870"/>
      <c r="GZ533" s="867"/>
      <c r="HA533" s="868"/>
      <c r="HB533" s="473"/>
      <c r="HC533" s="869"/>
      <c r="HD533" s="870"/>
      <c r="HE533" s="867"/>
      <c r="HF533" s="868"/>
      <c r="HG533" s="473"/>
      <c r="HH533" s="867"/>
      <c r="HI533" s="868"/>
      <c r="HJ533" s="867"/>
      <c r="HK533" s="868"/>
      <c r="HL533" s="370"/>
      <c r="HM533" s="865"/>
      <c r="HN533" s="866"/>
      <c r="HO533" s="865"/>
      <c r="HP533" s="866"/>
      <c r="HQ533" s="865"/>
      <c r="HR533" s="866"/>
      <c r="HS533" s="867"/>
      <c r="HT533" s="868"/>
      <c r="HU533" s="489"/>
      <c r="HV533" s="865"/>
      <c r="HW533" s="866"/>
    </row>
    <row r="534" spans="25:231" ht="15" customHeight="1">
      <c r="Y534" s="332"/>
      <c r="Z534" s="332"/>
      <c r="AA534" s="332"/>
      <c r="AB534" s="332"/>
      <c r="AC534" s="332"/>
      <c r="AD534" s="332"/>
      <c r="AE534" s="332"/>
      <c r="AF534" s="332"/>
      <c r="AG534" s="332"/>
      <c r="AH534" s="332"/>
      <c r="AI534" s="332"/>
      <c r="AJ534" s="332"/>
      <c r="AK534" s="332"/>
      <c r="AL534" s="332"/>
      <c r="AM534" s="332"/>
      <c r="AN534" s="332"/>
      <c r="AO534" s="332"/>
      <c r="AP534" s="332"/>
      <c r="AQ534" s="332"/>
      <c r="AR534" s="332"/>
      <c r="AS534" s="332"/>
      <c r="AT534" s="332"/>
      <c r="AU534" s="332"/>
      <c r="AV534" s="332"/>
      <c r="AW534" s="332"/>
      <c r="AX534" s="332"/>
      <c r="AY534" s="332"/>
      <c r="AZ534" s="332"/>
      <c r="BA534" s="332"/>
      <c r="BB534" s="332"/>
      <c r="BC534" s="332"/>
      <c r="BD534" s="332"/>
      <c r="BE534" s="332"/>
      <c r="BF534" s="332"/>
      <c r="BG534" s="332"/>
      <c r="BH534" s="332"/>
      <c r="BI534" s="332"/>
      <c r="BJ534" s="332"/>
      <c r="BK534" s="332"/>
      <c r="BL534" s="332"/>
      <c r="BM534" s="332"/>
      <c r="BN534" s="332"/>
      <c r="BO534" s="332"/>
      <c r="BP534" s="332"/>
      <c r="BQ534" s="332"/>
      <c r="BR534" s="332"/>
      <c r="BS534" s="332"/>
      <c r="BT534" s="332"/>
      <c r="BU534" s="332"/>
      <c r="BV534" s="332"/>
      <c r="BW534" s="332"/>
      <c r="BX534" s="332"/>
      <c r="BY534" s="332"/>
      <c r="BZ534" s="332"/>
      <c r="CA534" s="332"/>
      <c r="CB534" s="332"/>
      <c r="CC534" s="332"/>
      <c r="CD534" s="332"/>
      <c r="CE534" s="332"/>
      <c r="CF534" s="332"/>
      <c r="CG534" s="332"/>
      <c r="CH534" s="332"/>
      <c r="CI534" s="332"/>
      <c r="CJ534" s="332"/>
      <c r="CK534" s="332"/>
      <c r="CL534" s="332"/>
      <c r="CM534" s="332"/>
      <c r="CN534" s="332"/>
      <c r="CO534" s="332"/>
      <c r="CP534" s="332"/>
      <c r="CQ534" s="332"/>
      <c r="CR534" s="332"/>
      <c r="CS534" s="332"/>
      <c r="CT534" s="332"/>
      <c r="CU534" s="332"/>
      <c r="CV534" s="332"/>
      <c r="CW534" s="332"/>
      <c r="CX534" s="332"/>
      <c r="CY534" s="332"/>
      <c r="CZ534" s="332"/>
      <c r="DA534" s="332"/>
      <c r="DB534" s="332"/>
      <c r="DC534" s="332"/>
      <c r="DD534" s="332"/>
      <c r="DE534" s="332"/>
      <c r="DF534" s="332"/>
      <c r="DG534" s="332"/>
      <c r="DH534" s="332"/>
      <c r="DI534" s="332"/>
      <c r="DJ534" s="332"/>
      <c r="DK534" s="332"/>
      <c r="DL534" s="332"/>
      <c r="DM534" s="332"/>
      <c r="DN534" s="332"/>
      <c r="DO534" s="332"/>
      <c r="DP534" s="332"/>
      <c r="DQ534" s="332"/>
      <c r="DR534" s="332"/>
      <c r="DS534" s="332"/>
      <c r="DT534" s="332"/>
      <c r="DU534" s="453"/>
      <c r="DV534" s="453"/>
      <c r="DW534" s="453"/>
      <c r="DX534" s="453"/>
      <c r="DY534" s="453"/>
      <c r="DZ534" s="453"/>
      <c r="EA534" s="453"/>
      <c r="EB534" s="453"/>
      <c r="EC534" s="453"/>
      <c r="ED534" s="453"/>
      <c r="EE534" s="453"/>
      <c r="EF534" s="453"/>
      <c r="EG534" s="453"/>
      <c r="EH534" s="453"/>
      <c r="EI534" s="453"/>
      <c r="EJ534" s="453"/>
      <c r="EK534" s="453"/>
      <c r="EL534" s="453"/>
      <c r="EM534" s="483">
        <f t="shared" si="221"/>
        <v>225</v>
      </c>
      <c r="EN534" s="485"/>
      <c r="EO534" s="804"/>
      <c r="EP534" s="805"/>
      <c r="EQ534" s="806"/>
      <c r="ER534" s="808"/>
      <c r="ES534" s="881">
        <f t="shared" si="222"/>
        <v>0</v>
      </c>
      <c r="ET534" s="882"/>
      <c r="EU534" s="883"/>
      <c r="EV534" s="884">
        <f t="shared" si="220"/>
        <v>0</v>
      </c>
      <c r="EW534" s="885"/>
      <c r="EX534" s="885"/>
      <c r="EY534" s="885"/>
      <c r="EZ534" s="885"/>
      <c r="FA534" s="885"/>
      <c r="FB534" s="885"/>
      <c r="FC534" s="885"/>
      <c r="FD534" s="886"/>
      <c r="FE534" s="878"/>
      <c r="FF534" s="878"/>
      <c r="FG534" s="878"/>
      <c r="FH534" s="878"/>
      <c r="FI534" s="878"/>
      <c r="FJ534" s="878"/>
      <c r="FK534" s="878"/>
      <c r="FL534" s="555"/>
      <c r="FM534" s="554"/>
      <c r="FN534" s="554"/>
      <c r="FO534" s="554"/>
      <c r="FP534" s="554"/>
      <c r="FQ534" s="554"/>
      <c r="FR534" s="554"/>
      <c r="FS534" s="554"/>
      <c r="FT534" s="554"/>
      <c r="FU534" s="554"/>
      <c r="FV534" s="554"/>
      <c r="FW534" s="554"/>
      <c r="FX534" s="554"/>
      <c r="FY534" s="554"/>
      <c r="FZ534" s="554"/>
      <c r="GA534" s="554"/>
      <c r="GB534" s="556"/>
      <c r="GC534" s="370"/>
      <c r="GD534" s="453"/>
      <c r="GE534" s="453"/>
      <c r="GF534" s="453"/>
      <c r="GG534" s="453"/>
      <c r="GH534" s="454"/>
      <c r="GI534" s="453"/>
      <c r="GJ534" s="453"/>
      <c r="GK534" s="453"/>
      <c r="GL534" s="453"/>
      <c r="GM534" s="453"/>
      <c r="GN534" s="453"/>
      <c r="GO534" s="453"/>
      <c r="GP534" s="453"/>
      <c r="GQ534" s="453"/>
      <c r="GR534" s="453"/>
      <c r="GS534" s="561"/>
      <c r="GT534" s="475"/>
      <c r="GU534" s="472"/>
      <c r="GV534" s="453"/>
      <c r="GW534" s="453"/>
      <c r="GX534" s="869"/>
      <c r="GY534" s="870"/>
      <c r="GZ534" s="867"/>
      <c r="HA534" s="868"/>
      <c r="HB534" s="473"/>
      <c r="HC534" s="869"/>
      <c r="HD534" s="870"/>
      <c r="HE534" s="867"/>
      <c r="HF534" s="868"/>
      <c r="HG534" s="473"/>
      <c r="HH534" s="867"/>
      <c r="HI534" s="868"/>
      <c r="HJ534" s="867"/>
      <c r="HK534" s="868"/>
      <c r="HL534" s="370"/>
      <c r="HM534" s="865"/>
      <c r="HN534" s="866"/>
      <c r="HO534" s="865"/>
      <c r="HP534" s="866"/>
      <c r="HQ534" s="865"/>
      <c r="HR534" s="866"/>
      <c r="HS534" s="867"/>
      <c r="HT534" s="868"/>
      <c r="HU534" s="489"/>
      <c r="HV534" s="865"/>
      <c r="HW534" s="866"/>
    </row>
    <row r="535" spans="25:231" ht="15" customHeight="1">
      <c r="Y535" s="332"/>
      <c r="Z535" s="332"/>
      <c r="AA535" s="332"/>
      <c r="AB535" s="332"/>
      <c r="AC535" s="332"/>
      <c r="AD535" s="332"/>
      <c r="AE535" s="332"/>
      <c r="AF535" s="332"/>
      <c r="AG535" s="332"/>
      <c r="AH535" s="332"/>
      <c r="AI535" s="332"/>
      <c r="AJ535" s="332"/>
      <c r="AK535" s="332"/>
      <c r="AL535" s="332"/>
      <c r="AM535" s="332"/>
      <c r="AN535" s="332"/>
      <c r="AO535" s="332"/>
      <c r="AP535" s="332"/>
      <c r="AQ535" s="332"/>
      <c r="AR535" s="332"/>
      <c r="AS535" s="332"/>
      <c r="AT535" s="332"/>
      <c r="AU535" s="332"/>
      <c r="AV535" s="332"/>
      <c r="AW535" s="332"/>
      <c r="AX535" s="332"/>
      <c r="AY535" s="332"/>
      <c r="AZ535" s="332"/>
      <c r="BA535" s="332"/>
      <c r="BB535" s="332"/>
      <c r="BC535" s="332"/>
      <c r="BD535" s="332"/>
      <c r="BE535" s="332"/>
      <c r="BF535" s="332"/>
      <c r="BG535" s="332"/>
      <c r="BH535" s="332"/>
      <c r="BI535" s="332"/>
      <c r="BJ535" s="332"/>
      <c r="BK535" s="332"/>
      <c r="BL535" s="332"/>
      <c r="BM535" s="332"/>
      <c r="BN535" s="332"/>
      <c r="BO535" s="332"/>
      <c r="BP535" s="332"/>
      <c r="BQ535" s="332"/>
      <c r="BR535" s="332"/>
      <c r="BS535" s="332"/>
      <c r="BT535" s="332"/>
      <c r="BU535" s="332"/>
      <c r="BV535" s="332"/>
      <c r="BW535" s="332"/>
      <c r="BX535" s="332"/>
      <c r="BY535" s="332"/>
      <c r="BZ535" s="332"/>
      <c r="CA535" s="332"/>
      <c r="CB535" s="332"/>
      <c r="CC535" s="332"/>
      <c r="CD535" s="332"/>
      <c r="CE535" s="332"/>
      <c r="CF535" s="332"/>
      <c r="CG535" s="332"/>
      <c r="CH535" s="332"/>
      <c r="CI535" s="332"/>
      <c r="CJ535" s="332"/>
      <c r="CK535" s="332"/>
      <c r="CL535" s="332"/>
      <c r="CM535" s="332"/>
      <c r="CN535" s="332"/>
      <c r="CO535" s="332"/>
      <c r="CP535" s="332"/>
      <c r="CQ535" s="332"/>
      <c r="CR535" s="332"/>
      <c r="CS535" s="332"/>
      <c r="CT535" s="332"/>
      <c r="CU535" s="332"/>
      <c r="CV535" s="332"/>
      <c r="CW535" s="332"/>
      <c r="CX535" s="332"/>
      <c r="CY535" s="332"/>
      <c r="CZ535" s="332"/>
      <c r="DA535" s="332"/>
      <c r="DB535" s="332"/>
      <c r="DC535" s="332"/>
      <c r="DD535" s="332"/>
      <c r="DE535" s="332"/>
      <c r="DF535" s="332"/>
      <c r="DG535" s="332"/>
      <c r="DH535" s="332"/>
      <c r="DI535" s="332"/>
      <c r="DJ535" s="332"/>
      <c r="DK535" s="332"/>
      <c r="DL535" s="332"/>
      <c r="DM535" s="332"/>
      <c r="DN535" s="332"/>
      <c r="DO535" s="332"/>
      <c r="DP535" s="332"/>
      <c r="DQ535" s="332"/>
      <c r="DR535" s="332"/>
      <c r="DS535" s="332"/>
      <c r="DT535" s="332"/>
      <c r="DU535" s="453"/>
      <c r="DV535" s="453"/>
      <c r="DW535" s="453"/>
      <c r="DX535" s="453"/>
      <c r="DY535" s="453"/>
      <c r="DZ535" s="453"/>
      <c r="EA535" s="453"/>
      <c r="EB535" s="453"/>
      <c r="EC535" s="453"/>
      <c r="ED535" s="453"/>
      <c r="EE535" s="453"/>
      <c r="EF535" s="453"/>
      <c r="EG535" s="453"/>
      <c r="EH535" s="453"/>
      <c r="EI535" s="453"/>
      <c r="EJ535" s="453"/>
      <c r="EK535" s="453"/>
      <c r="EL535" s="453"/>
      <c r="EM535" s="483">
        <f t="shared" si="221"/>
        <v>226</v>
      </c>
      <c r="EN535" s="485"/>
      <c r="EO535" s="804"/>
      <c r="EP535" s="805"/>
      <c r="EQ535" s="820"/>
      <c r="ER535" s="808"/>
      <c r="ES535" s="881">
        <f t="shared" si="222"/>
        <v>0</v>
      </c>
      <c r="ET535" s="882"/>
      <c r="EU535" s="883"/>
      <c r="EV535" s="884">
        <f t="shared" si="220"/>
        <v>0</v>
      </c>
      <c r="EW535" s="885"/>
      <c r="EX535" s="885"/>
      <c r="EY535" s="885"/>
      <c r="EZ535" s="885"/>
      <c r="FA535" s="885"/>
      <c r="FB535" s="885"/>
      <c r="FC535" s="885"/>
      <c r="FD535" s="886"/>
      <c r="FE535" s="878"/>
      <c r="FF535" s="878"/>
      <c r="FG535" s="878"/>
      <c r="FH535" s="878"/>
      <c r="FI535" s="878"/>
      <c r="FJ535" s="878"/>
      <c r="FK535" s="878"/>
      <c r="FL535" s="555"/>
      <c r="FM535" s="554"/>
      <c r="FN535" s="554"/>
      <c r="FO535" s="554"/>
      <c r="FP535" s="554"/>
      <c r="FQ535" s="554"/>
      <c r="FR535" s="554"/>
      <c r="FS535" s="554"/>
      <c r="FT535" s="554"/>
      <c r="FU535" s="554"/>
      <c r="FV535" s="554"/>
      <c r="FW535" s="554"/>
      <c r="FX535" s="554"/>
      <c r="FY535" s="554"/>
      <c r="FZ535" s="554"/>
      <c r="GA535" s="554"/>
      <c r="GB535" s="556"/>
      <c r="GC535" s="370"/>
      <c r="GD535" s="453"/>
      <c r="GE535" s="453"/>
      <c r="GF535" s="453"/>
      <c r="GG535" s="453"/>
      <c r="GH535" s="454"/>
      <c r="GI535" s="453"/>
      <c r="GJ535" s="453"/>
      <c r="GK535" s="453"/>
      <c r="GL535" s="453"/>
      <c r="GM535" s="453"/>
      <c r="GN535" s="453"/>
      <c r="GO535" s="453"/>
      <c r="GP535" s="453"/>
      <c r="GQ535" s="453"/>
      <c r="GR535" s="453"/>
      <c r="GS535" s="561"/>
      <c r="GT535" s="475"/>
      <c r="GU535" s="472"/>
      <c r="GV535" s="453"/>
      <c r="GW535" s="453"/>
      <c r="GX535" s="869"/>
      <c r="GY535" s="870"/>
      <c r="GZ535" s="867"/>
      <c r="HA535" s="868"/>
      <c r="HB535" s="473"/>
      <c r="HC535" s="869"/>
      <c r="HD535" s="870"/>
      <c r="HE535" s="867"/>
      <c r="HF535" s="868"/>
      <c r="HG535" s="473"/>
      <c r="HH535" s="867"/>
      <c r="HI535" s="868"/>
      <c r="HJ535" s="867"/>
      <c r="HK535" s="868"/>
      <c r="HL535" s="370"/>
      <c r="HM535" s="865"/>
      <c r="HN535" s="866"/>
      <c r="HO535" s="865"/>
      <c r="HP535" s="866"/>
      <c r="HQ535" s="865"/>
      <c r="HR535" s="866"/>
      <c r="HS535" s="867"/>
      <c r="HT535" s="868"/>
      <c r="HU535" s="489"/>
      <c r="HV535" s="865"/>
      <c r="HW535" s="866"/>
    </row>
    <row r="536" spans="25:231" ht="15" customHeight="1">
      <c r="Y536" s="332"/>
      <c r="Z536" s="332"/>
      <c r="AA536" s="332"/>
      <c r="AB536" s="332"/>
      <c r="AC536" s="332"/>
      <c r="AD536" s="332"/>
      <c r="AE536" s="332"/>
      <c r="AF536" s="332"/>
      <c r="AG536" s="332"/>
      <c r="AH536" s="332"/>
      <c r="AI536" s="332"/>
      <c r="AJ536" s="332"/>
      <c r="AK536" s="332"/>
      <c r="AL536" s="332"/>
      <c r="AM536" s="332"/>
      <c r="AN536" s="332"/>
      <c r="AO536" s="332"/>
      <c r="AP536" s="332"/>
      <c r="AQ536" s="332"/>
      <c r="AR536" s="332"/>
      <c r="AS536" s="332"/>
      <c r="AT536" s="332"/>
      <c r="AU536" s="332"/>
      <c r="AV536" s="332"/>
      <c r="AW536" s="332"/>
      <c r="AX536" s="332"/>
      <c r="AY536" s="332"/>
      <c r="AZ536" s="332"/>
      <c r="BA536" s="332"/>
      <c r="BB536" s="332"/>
      <c r="BC536" s="332"/>
      <c r="BD536" s="332"/>
      <c r="BE536" s="332"/>
      <c r="BF536" s="332"/>
      <c r="BG536" s="332"/>
      <c r="BH536" s="332"/>
      <c r="BI536" s="332"/>
      <c r="BJ536" s="332"/>
      <c r="BK536" s="332"/>
      <c r="BL536" s="332"/>
      <c r="BM536" s="332"/>
      <c r="BN536" s="332"/>
      <c r="BO536" s="332"/>
      <c r="BP536" s="332"/>
      <c r="BQ536" s="332"/>
      <c r="BR536" s="332"/>
      <c r="BS536" s="332"/>
      <c r="BT536" s="332"/>
      <c r="BU536" s="332"/>
      <c r="BV536" s="332"/>
      <c r="BW536" s="332"/>
      <c r="BX536" s="332"/>
      <c r="BY536" s="332"/>
      <c r="BZ536" s="332"/>
      <c r="CA536" s="332"/>
      <c r="CB536" s="332"/>
      <c r="CC536" s="332"/>
      <c r="CD536" s="332"/>
      <c r="CE536" s="332"/>
      <c r="CF536" s="332"/>
      <c r="CG536" s="332"/>
      <c r="CH536" s="332"/>
      <c r="CI536" s="332"/>
      <c r="CJ536" s="332"/>
      <c r="CK536" s="332"/>
      <c r="CL536" s="332"/>
      <c r="CM536" s="332"/>
      <c r="CN536" s="332"/>
      <c r="CO536" s="332"/>
      <c r="CP536" s="332"/>
      <c r="CQ536" s="332"/>
      <c r="CR536" s="332"/>
      <c r="CS536" s="332"/>
      <c r="CT536" s="332"/>
      <c r="CU536" s="332"/>
      <c r="CV536" s="332"/>
      <c r="CW536" s="332"/>
      <c r="CX536" s="332"/>
      <c r="CY536" s="332"/>
      <c r="CZ536" s="332"/>
      <c r="DA536" s="332"/>
      <c r="DB536" s="332"/>
      <c r="DC536" s="332"/>
      <c r="DD536" s="332"/>
      <c r="DE536" s="332"/>
      <c r="DF536" s="332"/>
      <c r="DG536" s="332"/>
      <c r="DH536" s="332"/>
      <c r="DI536" s="332"/>
      <c r="DJ536" s="332"/>
      <c r="DK536" s="332"/>
      <c r="DL536" s="332"/>
      <c r="DM536" s="332"/>
      <c r="DN536" s="332"/>
      <c r="DO536" s="332"/>
      <c r="DP536" s="332"/>
      <c r="DQ536" s="332"/>
      <c r="DR536" s="332"/>
      <c r="DS536" s="332"/>
      <c r="DT536" s="332"/>
      <c r="DU536" s="453"/>
      <c r="DV536" s="453"/>
      <c r="DW536" s="453"/>
      <c r="DX536" s="453"/>
      <c r="DY536" s="453"/>
      <c r="DZ536" s="453"/>
      <c r="EA536" s="453"/>
      <c r="EB536" s="453"/>
      <c r="EC536" s="453"/>
      <c r="ED536" s="453"/>
      <c r="EE536" s="453"/>
      <c r="EF536" s="453"/>
      <c r="EG536" s="453"/>
      <c r="EH536" s="453"/>
      <c r="EI536" s="453"/>
      <c r="EJ536" s="453"/>
      <c r="EK536" s="453"/>
      <c r="EL536" s="453"/>
      <c r="EM536" s="483">
        <f t="shared" si="221"/>
        <v>227</v>
      </c>
      <c r="EN536" s="485"/>
      <c r="EO536" s="804"/>
      <c r="EP536" s="805"/>
      <c r="EQ536" s="806"/>
      <c r="ER536" s="808"/>
      <c r="ES536" s="881">
        <f t="shared" si="222"/>
        <v>0</v>
      </c>
      <c r="ET536" s="882"/>
      <c r="EU536" s="883"/>
      <c r="EV536" s="884">
        <f t="shared" si="220"/>
        <v>0</v>
      </c>
      <c r="EW536" s="885"/>
      <c r="EX536" s="885"/>
      <c r="EY536" s="885"/>
      <c r="EZ536" s="885"/>
      <c r="FA536" s="885"/>
      <c r="FB536" s="885"/>
      <c r="FC536" s="885"/>
      <c r="FD536" s="886"/>
      <c r="FE536" s="878"/>
      <c r="FF536" s="878"/>
      <c r="FG536" s="878"/>
      <c r="FH536" s="878"/>
      <c r="FI536" s="878"/>
      <c r="FJ536" s="878"/>
      <c r="FK536" s="878"/>
      <c r="FL536" s="555"/>
      <c r="FM536" s="554"/>
      <c r="FN536" s="554"/>
      <c r="FO536" s="554"/>
      <c r="FP536" s="554"/>
      <c r="FQ536" s="554"/>
      <c r="FR536" s="554"/>
      <c r="FS536" s="554"/>
      <c r="FT536" s="554"/>
      <c r="FU536" s="554"/>
      <c r="FV536" s="554"/>
      <c r="FW536" s="554"/>
      <c r="FX536" s="554"/>
      <c r="FY536" s="554"/>
      <c r="FZ536" s="554"/>
      <c r="GA536" s="554"/>
      <c r="GB536" s="556"/>
      <c r="GC536" s="370"/>
      <c r="GD536" s="453"/>
      <c r="GE536" s="453"/>
      <c r="GF536" s="453"/>
      <c r="GG536" s="453"/>
      <c r="GH536" s="454"/>
      <c r="GI536" s="453"/>
      <c r="GJ536" s="453"/>
      <c r="GK536" s="453"/>
      <c r="GL536" s="453"/>
      <c r="GM536" s="453"/>
      <c r="GN536" s="453"/>
      <c r="GO536" s="453"/>
      <c r="GP536" s="453"/>
      <c r="GQ536" s="453"/>
      <c r="GR536" s="453"/>
      <c r="GS536" s="561"/>
      <c r="GT536" s="475"/>
      <c r="GU536" s="472"/>
      <c r="GV536" s="453"/>
      <c r="GW536" s="453"/>
      <c r="GX536" s="869"/>
      <c r="GY536" s="870"/>
      <c r="GZ536" s="867"/>
      <c r="HA536" s="868"/>
      <c r="HB536" s="473"/>
      <c r="HC536" s="869"/>
      <c r="HD536" s="870"/>
      <c r="HE536" s="867"/>
      <c r="HF536" s="868"/>
      <c r="HG536" s="473"/>
      <c r="HH536" s="867"/>
      <c r="HI536" s="868"/>
      <c r="HJ536" s="867"/>
      <c r="HK536" s="868"/>
      <c r="HL536" s="370"/>
      <c r="HM536" s="865"/>
      <c r="HN536" s="866"/>
      <c r="HO536" s="865"/>
      <c r="HP536" s="866"/>
      <c r="HQ536" s="865"/>
      <c r="HR536" s="866"/>
      <c r="HS536" s="867"/>
      <c r="HT536" s="868"/>
      <c r="HU536" s="489"/>
      <c r="HV536" s="865"/>
      <c r="HW536" s="866"/>
    </row>
    <row r="537" spans="25:231" ht="15" customHeight="1">
      <c r="Y537" s="332"/>
      <c r="Z537" s="332"/>
      <c r="AA537" s="332"/>
      <c r="AB537" s="332"/>
      <c r="AC537" s="332"/>
      <c r="AD537" s="332"/>
      <c r="AE537" s="332"/>
      <c r="AF537" s="332"/>
      <c r="AG537" s="332"/>
      <c r="AH537" s="332"/>
      <c r="AI537" s="332"/>
      <c r="AJ537" s="332"/>
      <c r="AK537" s="332"/>
      <c r="AL537" s="332"/>
      <c r="AM537" s="332"/>
      <c r="AN537" s="332"/>
      <c r="AO537" s="332"/>
      <c r="AP537" s="332"/>
      <c r="AQ537" s="332"/>
      <c r="AR537" s="332"/>
      <c r="AS537" s="332"/>
      <c r="AT537" s="332"/>
      <c r="AU537" s="332"/>
      <c r="AV537" s="332"/>
      <c r="AW537" s="332"/>
      <c r="AX537" s="332"/>
      <c r="AY537" s="332"/>
      <c r="AZ537" s="332"/>
      <c r="BA537" s="332"/>
      <c r="BB537" s="332"/>
      <c r="BC537" s="332"/>
      <c r="BD537" s="332"/>
      <c r="BE537" s="332"/>
      <c r="BF537" s="332"/>
      <c r="BG537" s="332"/>
      <c r="BH537" s="332"/>
      <c r="BI537" s="332"/>
      <c r="BJ537" s="332"/>
      <c r="BK537" s="332"/>
      <c r="BL537" s="332"/>
      <c r="BM537" s="332"/>
      <c r="BN537" s="332"/>
      <c r="BO537" s="332"/>
      <c r="BP537" s="332"/>
      <c r="BQ537" s="332"/>
      <c r="BR537" s="332"/>
      <c r="BS537" s="332"/>
      <c r="BT537" s="332"/>
      <c r="BU537" s="332"/>
      <c r="BV537" s="332"/>
      <c r="BW537" s="332"/>
      <c r="BX537" s="332"/>
      <c r="BY537" s="332"/>
      <c r="BZ537" s="332"/>
      <c r="CA537" s="332"/>
      <c r="CB537" s="332"/>
      <c r="CC537" s="332"/>
      <c r="CD537" s="332"/>
      <c r="CE537" s="332"/>
      <c r="CF537" s="332"/>
      <c r="CG537" s="332"/>
      <c r="CH537" s="332"/>
      <c r="CI537" s="332"/>
      <c r="CJ537" s="332"/>
      <c r="CK537" s="332"/>
      <c r="CL537" s="332"/>
      <c r="CM537" s="332"/>
      <c r="CN537" s="332"/>
      <c r="CO537" s="332"/>
      <c r="CP537" s="332"/>
      <c r="CQ537" s="332"/>
      <c r="CR537" s="332"/>
      <c r="CS537" s="332"/>
      <c r="CT537" s="332"/>
      <c r="CU537" s="332"/>
      <c r="CV537" s="332"/>
      <c r="CW537" s="332"/>
      <c r="CX537" s="332"/>
      <c r="CY537" s="332"/>
      <c r="CZ537" s="332"/>
      <c r="DA537" s="332"/>
      <c r="DB537" s="332"/>
      <c r="DC537" s="332"/>
      <c r="DD537" s="332"/>
      <c r="DE537" s="332"/>
      <c r="DF537" s="332"/>
      <c r="DG537" s="332"/>
      <c r="DH537" s="332"/>
      <c r="DI537" s="332"/>
      <c r="DJ537" s="332"/>
      <c r="DK537" s="332"/>
      <c r="DL537" s="332"/>
      <c r="DM537" s="332"/>
      <c r="DN537" s="332"/>
      <c r="DO537" s="332"/>
      <c r="DP537" s="332"/>
      <c r="DQ537" s="332"/>
      <c r="DR537" s="332"/>
      <c r="DS537" s="332"/>
      <c r="DT537" s="332"/>
      <c r="DU537" s="453"/>
      <c r="DV537" s="453"/>
      <c r="DW537" s="453"/>
      <c r="DX537" s="453"/>
      <c r="DY537" s="453"/>
      <c r="DZ537" s="453"/>
      <c r="EA537" s="453"/>
      <c r="EB537" s="453"/>
      <c r="EC537" s="453"/>
      <c r="ED537" s="453"/>
      <c r="EE537" s="453"/>
      <c r="EF537" s="453"/>
      <c r="EG537" s="453"/>
      <c r="EH537" s="453"/>
      <c r="EI537" s="453"/>
      <c r="EJ537" s="453"/>
      <c r="EK537" s="453"/>
      <c r="EL537" s="453"/>
      <c r="EM537" s="483">
        <f t="shared" si="221"/>
        <v>228</v>
      </c>
      <c r="EN537" s="485"/>
      <c r="EO537" s="804"/>
      <c r="EP537" s="805"/>
      <c r="EQ537" s="820"/>
      <c r="ER537" s="808"/>
      <c r="ES537" s="881">
        <f t="shared" si="222"/>
        <v>0</v>
      </c>
      <c r="ET537" s="882"/>
      <c r="EU537" s="883"/>
      <c r="EV537" s="884">
        <f t="shared" si="220"/>
        <v>0</v>
      </c>
      <c r="EW537" s="885"/>
      <c r="EX537" s="885"/>
      <c r="EY537" s="885"/>
      <c r="EZ537" s="885"/>
      <c r="FA537" s="885"/>
      <c r="FB537" s="885"/>
      <c r="FC537" s="885"/>
      <c r="FD537" s="886"/>
      <c r="FE537" s="878"/>
      <c r="FF537" s="878"/>
      <c r="FG537" s="878"/>
      <c r="FH537" s="878"/>
      <c r="FI537" s="878"/>
      <c r="FJ537" s="878"/>
      <c r="FK537" s="878"/>
      <c r="FL537" s="555"/>
      <c r="FM537" s="554"/>
      <c r="FN537" s="554"/>
      <c r="FO537" s="554"/>
      <c r="FP537" s="554"/>
      <c r="FQ537" s="554"/>
      <c r="FR537" s="554"/>
      <c r="FS537" s="554"/>
      <c r="FT537" s="554"/>
      <c r="FU537" s="554"/>
      <c r="FV537" s="554"/>
      <c r="FW537" s="554"/>
      <c r="FX537" s="554"/>
      <c r="FY537" s="554"/>
      <c r="FZ537" s="554"/>
      <c r="GA537" s="554"/>
      <c r="GB537" s="556"/>
      <c r="GC537" s="370"/>
      <c r="GD537" s="453"/>
      <c r="GE537" s="453"/>
      <c r="GF537" s="453"/>
      <c r="GG537" s="453"/>
      <c r="GH537" s="454"/>
      <c r="GI537" s="453"/>
      <c r="GJ537" s="453"/>
      <c r="GK537" s="453"/>
      <c r="GL537" s="453"/>
      <c r="GM537" s="453"/>
      <c r="GN537" s="453"/>
      <c r="GO537" s="453"/>
      <c r="GP537" s="453"/>
      <c r="GQ537" s="453"/>
      <c r="GR537" s="453"/>
      <c r="GS537" s="561"/>
      <c r="GT537" s="475"/>
      <c r="GU537" s="472"/>
      <c r="GV537" s="453"/>
      <c r="GW537" s="453"/>
      <c r="GX537" s="869"/>
      <c r="GY537" s="870"/>
      <c r="GZ537" s="867"/>
      <c r="HA537" s="868"/>
      <c r="HB537" s="473"/>
      <c r="HC537" s="869"/>
      <c r="HD537" s="870"/>
      <c r="HE537" s="867"/>
      <c r="HF537" s="868"/>
      <c r="HG537" s="473"/>
      <c r="HH537" s="867"/>
      <c r="HI537" s="868"/>
      <c r="HJ537" s="867"/>
      <c r="HK537" s="868"/>
      <c r="HL537" s="370"/>
      <c r="HM537" s="865"/>
      <c r="HN537" s="866"/>
      <c r="HO537" s="865"/>
      <c r="HP537" s="866"/>
      <c r="HQ537" s="865"/>
      <c r="HR537" s="866"/>
      <c r="HS537" s="867"/>
      <c r="HT537" s="868"/>
      <c r="HU537" s="489"/>
      <c r="HV537" s="865"/>
      <c r="HW537" s="866"/>
    </row>
    <row r="538" spans="25:231" ht="15" customHeight="1">
      <c r="Y538" s="332"/>
      <c r="Z538" s="332"/>
      <c r="AA538" s="332"/>
      <c r="AB538" s="332"/>
      <c r="AC538" s="332"/>
      <c r="AD538" s="332"/>
      <c r="AE538" s="332"/>
      <c r="AF538" s="332"/>
      <c r="AG538" s="332"/>
      <c r="AH538" s="332"/>
      <c r="AI538" s="332"/>
      <c r="AJ538" s="332"/>
      <c r="AK538" s="332"/>
      <c r="AL538" s="332"/>
      <c r="AM538" s="332"/>
      <c r="AN538" s="332"/>
      <c r="AO538" s="332"/>
      <c r="AP538" s="332"/>
      <c r="AQ538" s="332"/>
      <c r="AR538" s="332"/>
      <c r="AS538" s="332"/>
      <c r="AT538" s="332"/>
      <c r="AU538" s="332"/>
      <c r="AV538" s="332"/>
      <c r="AW538" s="332"/>
      <c r="AX538" s="332"/>
      <c r="AY538" s="332"/>
      <c r="AZ538" s="332"/>
      <c r="BA538" s="332"/>
      <c r="BB538" s="332"/>
      <c r="BC538" s="332"/>
      <c r="BD538" s="332"/>
      <c r="BE538" s="332"/>
      <c r="BF538" s="332"/>
      <c r="BG538" s="332"/>
      <c r="BH538" s="332"/>
      <c r="BI538" s="332"/>
      <c r="BJ538" s="332"/>
      <c r="BK538" s="332"/>
      <c r="BL538" s="332"/>
      <c r="BM538" s="332"/>
      <c r="BN538" s="332"/>
      <c r="BO538" s="332"/>
      <c r="BP538" s="332"/>
      <c r="BQ538" s="332"/>
      <c r="BR538" s="332"/>
      <c r="BS538" s="332"/>
      <c r="BT538" s="332"/>
      <c r="BU538" s="332"/>
      <c r="BV538" s="332"/>
      <c r="BW538" s="332"/>
      <c r="BX538" s="332"/>
      <c r="BY538" s="332"/>
      <c r="BZ538" s="332"/>
      <c r="CA538" s="332"/>
      <c r="CB538" s="332"/>
      <c r="CC538" s="332"/>
      <c r="CD538" s="332"/>
      <c r="CE538" s="332"/>
      <c r="CF538" s="332"/>
      <c r="CG538" s="332"/>
      <c r="CH538" s="332"/>
      <c r="CI538" s="332"/>
      <c r="CJ538" s="332"/>
      <c r="CK538" s="332"/>
      <c r="CL538" s="332"/>
      <c r="CM538" s="332"/>
      <c r="CN538" s="332"/>
      <c r="CO538" s="332"/>
      <c r="CP538" s="332"/>
      <c r="CQ538" s="332"/>
      <c r="CR538" s="332"/>
      <c r="CS538" s="332"/>
      <c r="CT538" s="332"/>
      <c r="CU538" s="332"/>
      <c r="CV538" s="332"/>
      <c r="CW538" s="332"/>
      <c r="CX538" s="332"/>
      <c r="CY538" s="332"/>
      <c r="CZ538" s="332"/>
      <c r="DA538" s="332"/>
      <c r="DB538" s="332"/>
      <c r="DC538" s="332"/>
      <c r="DD538" s="332"/>
      <c r="DE538" s="332"/>
      <c r="DF538" s="332"/>
      <c r="DG538" s="332"/>
      <c r="DH538" s="332"/>
      <c r="DI538" s="332"/>
      <c r="DJ538" s="332"/>
      <c r="DK538" s="332"/>
      <c r="DL538" s="332"/>
      <c r="DM538" s="332"/>
      <c r="DN538" s="332"/>
      <c r="DO538" s="332"/>
      <c r="DP538" s="332"/>
      <c r="DQ538" s="332"/>
      <c r="DR538" s="332"/>
      <c r="DS538" s="332"/>
      <c r="DT538" s="332"/>
      <c r="DU538" s="453"/>
      <c r="DV538" s="453"/>
      <c r="DW538" s="453"/>
      <c r="DX538" s="453"/>
      <c r="DY538" s="453"/>
      <c r="DZ538" s="453"/>
      <c r="EA538" s="453"/>
      <c r="EB538" s="453"/>
      <c r="EC538" s="453"/>
      <c r="ED538" s="453"/>
      <c r="EE538" s="453"/>
      <c r="EF538" s="453"/>
      <c r="EG538" s="453"/>
      <c r="EH538" s="453"/>
      <c r="EI538" s="453"/>
      <c r="EJ538" s="453"/>
      <c r="EK538" s="453"/>
      <c r="EL538" s="453"/>
      <c r="EM538" s="483">
        <f t="shared" si="221"/>
        <v>229</v>
      </c>
      <c r="EN538" s="485"/>
      <c r="EO538" s="804"/>
      <c r="EP538" s="805"/>
      <c r="EQ538" s="820"/>
      <c r="ER538" s="808"/>
      <c r="ES538" s="881">
        <f t="shared" si="222"/>
        <v>0</v>
      </c>
      <c r="ET538" s="882"/>
      <c r="EU538" s="883"/>
      <c r="EV538" s="884">
        <f t="shared" si="220"/>
        <v>0</v>
      </c>
      <c r="EW538" s="885"/>
      <c r="EX538" s="885"/>
      <c r="EY538" s="885"/>
      <c r="EZ538" s="885"/>
      <c r="FA538" s="885"/>
      <c r="FB538" s="885"/>
      <c r="FC538" s="885"/>
      <c r="FD538" s="886"/>
      <c r="FE538" s="878"/>
      <c r="FF538" s="878"/>
      <c r="FG538" s="878"/>
      <c r="FH538" s="878"/>
      <c r="FI538" s="878"/>
      <c r="FJ538" s="878"/>
      <c r="FK538" s="878"/>
      <c r="FL538" s="555"/>
      <c r="FM538" s="554"/>
      <c r="FN538" s="554"/>
      <c r="FO538" s="554"/>
      <c r="FP538" s="554"/>
      <c r="FQ538" s="554"/>
      <c r="FR538" s="554"/>
      <c r="FS538" s="554"/>
      <c r="FT538" s="554"/>
      <c r="FU538" s="554"/>
      <c r="FV538" s="554"/>
      <c r="FW538" s="554"/>
      <c r="FX538" s="554"/>
      <c r="FY538" s="554"/>
      <c r="FZ538" s="554"/>
      <c r="GA538" s="554"/>
      <c r="GB538" s="556"/>
      <c r="GC538" s="370"/>
      <c r="GD538" s="453"/>
      <c r="GE538" s="453"/>
      <c r="GF538" s="453"/>
      <c r="GG538" s="453"/>
      <c r="GH538" s="454"/>
      <c r="GI538" s="453"/>
      <c r="GJ538" s="453"/>
      <c r="GK538" s="453"/>
      <c r="GL538" s="453"/>
      <c r="GM538" s="453"/>
      <c r="GN538" s="453"/>
      <c r="GO538" s="453"/>
      <c r="GP538" s="453"/>
      <c r="GQ538" s="453"/>
      <c r="GR538" s="453"/>
      <c r="GS538" s="561"/>
      <c r="GT538" s="475"/>
      <c r="GU538" s="472"/>
      <c r="GV538" s="453"/>
      <c r="GW538" s="453"/>
      <c r="GX538" s="869"/>
      <c r="GY538" s="870"/>
      <c r="GZ538" s="867"/>
      <c r="HA538" s="868"/>
      <c r="HB538" s="473"/>
      <c r="HC538" s="869"/>
      <c r="HD538" s="870"/>
      <c r="HE538" s="867"/>
      <c r="HF538" s="868"/>
      <c r="HG538" s="473"/>
      <c r="HH538" s="867"/>
      <c r="HI538" s="868"/>
      <c r="HJ538" s="867"/>
      <c r="HK538" s="868"/>
      <c r="HL538" s="370"/>
      <c r="HM538" s="865"/>
      <c r="HN538" s="866"/>
      <c r="HO538" s="865"/>
      <c r="HP538" s="866"/>
      <c r="HQ538" s="865"/>
      <c r="HR538" s="866"/>
      <c r="HS538" s="867"/>
      <c r="HT538" s="868"/>
      <c r="HU538" s="489"/>
      <c r="HV538" s="865"/>
      <c r="HW538" s="866"/>
    </row>
    <row r="539" spans="25:231" ht="15" customHeight="1">
      <c r="Y539" s="332"/>
      <c r="Z539" s="332"/>
      <c r="AA539" s="332"/>
      <c r="AB539" s="332"/>
      <c r="AC539" s="332"/>
      <c r="AD539" s="332"/>
      <c r="AE539" s="332"/>
      <c r="AF539" s="332"/>
      <c r="AG539" s="332"/>
      <c r="AH539" s="332"/>
      <c r="AI539" s="332"/>
      <c r="AJ539" s="332"/>
      <c r="AK539" s="332"/>
      <c r="AL539" s="332"/>
      <c r="AM539" s="332"/>
      <c r="AN539" s="332"/>
      <c r="AO539" s="332"/>
      <c r="AP539" s="332"/>
      <c r="AQ539" s="332"/>
      <c r="AR539" s="332"/>
      <c r="AS539" s="332"/>
      <c r="AT539" s="332"/>
      <c r="AU539" s="332"/>
      <c r="AV539" s="332"/>
      <c r="AW539" s="332"/>
      <c r="AX539" s="332"/>
      <c r="AY539" s="332"/>
      <c r="AZ539" s="332"/>
      <c r="BA539" s="332"/>
      <c r="BB539" s="332"/>
      <c r="BC539" s="332"/>
      <c r="BD539" s="332"/>
      <c r="BE539" s="332"/>
      <c r="BF539" s="332"/>
      <c r="BG539" s="332"/>
      <c r="BH539" s="332"/>
      <c r="BI539" s="332"/>
      <c r="BJ539" s="332"/>
      <c r="BK539" s="332"/>
      <c r="BL539" s="332"/>
      <c r="BM539" s="332"/>
      <c r="BN539" s="332"/>
      <c r="BO539" s="332"/>
      <c r="BP539" s="332"/>
      <c r="BQ539" s="332"/>
      <c r="BR539" s="332"/>
      <c r="BS539" s="332"/>
      <c r="BT539" s="332"/>
      <c r="BU539" s="332"/>
      <c r="BV539" s="332"/>
      <c r="BW539" s="332"/>
      <c r="BX539" s="332"/>
      <c r="BY539" s="332"/>
      <c r="BZ539" s="332"/>
      <c r="CA539" s="332"/>
      <c r="CB539" s="332"/>
      <c r="CC539" s="332"/>
      <c r="CD539" s="332"/>
      <c r="CE539" s="332"/>
      <c r="CF539" s="332"/>
      <c r="CG539" s="332"/>
      <c r="CH539" s="332"/>
      <c r="CI539" s="332"/>
      <c r="CJ539" s="332"/>
      <c r="CK539" s="332"/>
      <c r="CL539" s="332"/>
      <c r="CM539" s="332"/>
      <c r="CN539" s="332"/>
      <c r="CO539" s="332"/>
      <c r="CP539" s="332"/>
      <c r="CQ539" s="332"/>
      <c r="CR539" s="332"/>
      <c r="CS539" s="332"/>
      <c r="CT539" s="332"/>
      <c r="CU539" s="332"/>
      <c r="CV539" s="332"/>
      <c r="CW539" s="332"/>
      <c r="CX539" s="332"/>
      <c r="CY539" s="332"/>
      <c r="CZ539" s="332"/>
      <c r="DA539" s="332"/>
      <c r="DB539" s="332"/>
      <c r="DC539" s="332"/>
      <c r="DD539" s="332"/>
      <c r="DE539" s="332"/>
      <c r="DF539" s="332"/>
      <c r="DG539" s="332"/>
      <c r="DH539" s="332"/>
      <c r="DI539" s="332"/>
      <c r="DJ539" s="332"/>
      <c r="DK539" s="332"/>
      <c r="DL539" s="332"/>
      <c r="DM539" s="332"/>
      <c r="DN539" s="332"/>
      <c r="DO539" s="332"/>
      <c r="DP539" s="332"/>
      <c r="DQ539" s="332"/>
      <c r="DR539" s="332"/>
      <c r="DS539" s="332"/>
      <c r="DT539" s="332"/>
      <c r="DU539" s="453"/>
      <c r="DV539" s="453"/>
      <c r="DW539" s="453"/>
      <c r="DX539" s="453"/>
      <c r="DY539" s="453"/>
      <c r="DZ539" s="453"/>
      <c r="EA539" s="453"/>
      <c r="EB539" s="453"/>
      <c r="EC539" s="453"/>
      <c r="ED539" s="453"/>
      <c r="EE539" s="453"/>
      <c r="EF539" s="453"/>
      <c r="EG539" s="453"/>
      <c r="EH539" s="453"/>
      <c r="EI539" s="453"/>
      <c r="EJ539" s="453"/>
      <c r="EK539" s="453"/>
      <c r="EL539" s="453"/>
      <c r="EM539" s="483">
        <f t="shared" si="221"/>
        <v>230</v>
      </c>
      <c r="EN539" s="485"/>
      <c r="EO539" s="804"/>
      <c r="EP539" s="805"/>
      <c r="EQ539" s="806"/>
      <c r="ER539" s="808"/>
      <c r="ES539" s="881">
        <f t="shared" si="222"/>
        <v>0</v>
      </c>
      <c r="ET539" s="882"/>
      <c r="EU539" s="883"/>
      <c r="EV539" s="884">
        <f t="shared" si="220"/>
        <v>0</v>
      </c>
      <c r="EW539" s="885"/>
      <c r="EX539" s="885"/>
      <c r="EY539" s="885"/>
      <c r="EZ539" s="885"/>
      <c r="FA539" s="885"/>
      <c r="FB539" s="885"/>
      <c r="FC539" s="885"/>
      <c r="FD539" s="886"/>
      <c r="FE539" s="878"/>
      <c r="FF539" s="878"/>
      <c r="FG539" s="878"/>
      <c r="FH539" s="878"/>
      <c r="FI539" s="878"/>
      <c r="FJ539" s="878"/>
      <c r="FK539" s="878"/>
      <c r="FL539" s="555"/>
      <c r="FM539" s="554"/>
      <c r="FN539" s="554"/>
      <c r="FO539" s="554"/>
      <c r="FP539" s="554"/>
      <c r="FQ539" s="554"/>
      <c r="FR539" s="554"/>
      <c r="FS539" s="554"/>
      <c r="FT539" s="554"/>
      <c r="FU539" s="554"/>
      <c r="FV539" s="554"/>
      <c r="FW539" s="554"/>
      <c r="FX539" s="554"/>
      <c r="FY539" s="554"/>
      <c r="FZ539" s="554"/>
      <c r="GA539" s="554"/>
      <c r="GB539" s="556"/>
      <c r="GC539" s="370"/>
      <c r="GD539" s="453"/>
      <c r="GE539" s="453"/>
      <c r="GF539" s="453"/>
      <c r="GG539" s="453"/>
      <c r="GH539" s="454"/>
      <c r="GI539" s="453"/>
      <c r="GJ539" s="453"/>
      <c r="GK539" s="453"/>
      <c r="GL539" s="453"/>
      <c r="GM539" s="453"/>
      <c r="GN539" s="453"/>
      <c r="GO539" s="453"/>
      <c r="GP539" s="453"/>
      <c r="GQ539" s="453"/>
      <c r="GR539" s="453"/>
      <c r="GS539" s="561"/>
      <c r="GT539" s="475"/>
      <c r="GU539" s="472"/>
      <c r="GV539" s="453"/>
      <c r="GW539" s="453"/>
      <c r="GX539" s="869"/>
      <c r="GY539" s="870"/>
      <c r="GZ539" s="867"/>
      <c r="HA539" s="868"/>
      <c r="HB539" s="473"/>
      <c r="HC539" s="869"/>
      <c r="HD539" s="870"/>
      <c r="HE539" s="867"/>
      <c r="HF539" s="868"/>
      <c r="HG539" s="473"/>
      <c r="HH539" s="867"/>
      <c r="HI539" s="868"/>
      <c r="HJ539" s="867"/>
      <c r="HK539" s="868"/>
      <c r="HL539" s="370"/>
      <c r="HM539" s="865"/>
      <c r="HN539" s="866"/>
      <c r="HO539" s="865"/>
      <c r="HP539" s="866"/>
      <c r="HQ539" s="865"/>
      <c r="HR539" s="866"/>
      <c r="HS539" s="867"/>
      <c r="HT539" s="868"/>
      <c r="HU539" s="489"/>
      <c r="HV539" s="865"/>
      <c r="HW539" s="866"/>
    </row>
    <row r="540" spans="25:231" ht="15" customHeight="1">
      <c r="Y540" s="332"/>
      <c r="Z540" s="332"/>
      <c r="AA540" s="332"/>
      <c r="AB540" s="332"/>
      <c r="AC540" s="332"/>
      <c r="AD540" s="332"/>
      <c r="AE540" s="332"/>
      <c r="AF540" s="332"/>
      <c r="AG540" s="332"/>
      <c r="AH540" s="332"/>
      <c r="AI540" s="332"/>
      <c r="AJ540" s="332"/>
      <c r="AK540" s="332"/>
      <c r="AL540" s="332"/>
      <c r="AM540" s="332"/>
      <c r="AN540" s="332"/>
      <c r="AO540" s="332"/>
      <c r="AP540" s="332"/>
      <c r="AQ540" s="332"/>
      <c r="AR540" s="332"/>
      <c r="AS540" s="332"/>
      <c r="AT540" s="332"/>
      <c r="AU540" s="332"/>
      <c r="AV540" s="332"/>
      <c r="AW540" s="332"/>
      <c r="AX540" s="332"/>
      <c r="AY540" s="332"/>
      <c r="AZ540" s="332"/>
      <c r="BA540" s="332"/>
      <c r="BB540" s="332"/>
      <c r="BC540" s="332"/>
      <c r="BD540" s="332"/>
      <c r="BE540" s="332"/>
      <c r="BF540" s="332"/>
      <c r="BG540" s="332"/>
      <c r="BH540" s="332"/>
      <c r="BI540" s="332"/>
      <c r="BJ540" s="332"/>
      <c r="BK540" s="332"/>
      <c r="BL540" s="332"/>
      <c r="BM540" s="332"/>
      <c r="BN540" s="332"/>
      <c r="BO540" s="332"/>
      <c r="BP540" s="332"/>
      <c r="BQ540" s="332"/>
      <c r="BR540" s="332"/>
      <c r="BS540" s="332"/>
      <c r="BT540" s="332"/>
      <c r="BU540" s="332"/>
      <c r="BV540" s="332"/>
      <c r="BW540" s="332"/>
      <c r="BX540" s="332"/>
      <c r="BY540" s="332"/>
      <c r="BZ540" s="332"/>
      <c r="CA540" s="332"/>
      <c r="CB540" s="332"/>
      <c r="CC540" s="332"/>
      <c r="CD540" s="332"/>
      <c r="CE540" s="332"/>
      <c r="CF540" s="332"/>
      <c r="CG540" s="332"/>
      <c r="CH540" s="332"/>
      <c r="CI540" s="332"/>
      <c r="CJ540" s="332"/>
      <c r="CK540" s="332"/>
      <c r="CL540" s="332"/>
      <c r="CM540" s="332"/>
      <c r="CN540" s="332"/>
      <c r="CO540" s="332"/>
      <c r="CP540" s="332"/>
      <c r="CQ540" s="332"/>
      <c r="CR540" s="332"/>
      <c r="CS540" s="332"/>
      <c r="CT540" s="332"/>
      <c r="CU540" s="332"/>
      <c r="CV540" s="332"/>
      <c r="CW540" s="332"/>
      <c r="CX540" s="332"/>
      <c r="CY540" s="332"/>
      <c r="CZ540" s="332"/>
      <c r="DA540" s="332"/>
      <c r="DB540" s="332"/>
      <c r="DC540" s="332"/>
      <c r="DD540" s="332"/>
      <c r="DE540" s="332"/>
      <c r="DF540" s="332"/>
      <c r="DG540" s="332"/>
      <c r="DH540" s="332"/>
      <c r="DI540" s="332"/>
      <c r="DJ540" s="332"/>
      <c r="DK540" s="332"/>
      <c r="DL540" s="332"/>
      <c r="DM540" s="332"/>
      <c r="DN540" s="332"/>
      <c r="DO540" s="332"/>
      <c r="DP540" s="332"/>
      <c r="DQ540" s="332"/>
      <c r="DR540" s="332"/>
      <c r="DS540" s="332"/>
      <c r="DT540" s="332"/>
      <c r="DU540" s="453"/>
      <c r="DV540" s="453"/>
      <c r="DW540" s="453"/>
      <c r="DX540" s="453"/>
      <c r="DY540" s="453"/>
      <c r="DZ540" s="453"/>
      <c r="EA540" s="453"/>
      <c r="EB540" s="453"/>
      <c r="EC540" s="453"/>
      <c r="ED540" s="453"/>
      <c r="EE540" s="453"/>
      <c r="EF540" s="453"/>
      <c r="EG540" s="453"/>
      <c r="EH540" s="453"/>
      <c r="EI540" s="453"/>
      <c r="EJ540" s="453"/>
      <c r="EK540" s="453"/>
      <c r="EL540" s="453"/>
      <c r="EM540" s="483">
        <f t="shared" si="221"/>
        <v>231</v>
      </c>
      <c r="EN540" s="485"/>
      <c r="EO540" s="804"/>
      <c r="EP540" s="805"/>
      <c r="EQ540" s="806"/>
      <c r="ER540" s="808"/>
      <c r="ES540" s="881">
        <f t="shared" si="222"/>
        <v>0</v>
      </c>
      <c r="ET540" s="882"/>
      <c r="EU540" s="883"/>
      <c r="EV540" s="884">
        <f t="shared" si="220"/>
        <v>0</v>
      </c>
      <c r="EW540" s="885"/>
      <c r="EX540" s="885"/>
      <c r="EY540" s="885"/>
      <c r="EZ540" s="885"/>
      <c r="FA540" s="885"/>
      <c r="FB540" s="885"/>
      <c r="FC540" s="885"/>
      <c r="FD540" s="886"/>
      <c r="FE540" s="878"/>
      <c r="FF540" s="878"/>
      <c r="FG540" s="878"/>
      <c r="FH540" s="878"/>
      <c r="FI540" s="878"/>
      <c r="FJ540" s="878"/>
      <c r="FK540" s="878"/>
      <c r="FL540" s="555"/>
      <c r="FM540" s="554"/>
      <c r="FN540" s="554"/>
      <c r="FO540" s="554"/>
      <c r="FP540" s="554"/>
      <c r="FQ540" s="554"/>
      <c r="FR540" s="554"/>
      <c r="FS540" s="554"/>
      <c r="FT540" s="554"/>
      <c r="FU540" s="554"/>
      <c r="FV540" s="554"/>
      <c r="FW540" s="554"/>
      <c r="FX540" s="554"/>
      <c r="FY540" s="554"/>
      <c r="FZ540" s="554"/>
      <c r="GA540" s="554"/>
      <c r="GB540" s="556"/>
      <c r="GC540" s="370"/>
      <c r="GD540" s="453"/>
      <c r="GE540" s="453"/>
      <c r="GF540" s="453"/>
      <c r="GG540" s="453"/>
      <c r="GH540" s="454"/>
      <c r="GI540" s="453"/>
      <c r="GJ540" s="453"/>
      <c r="GK540" s="453"/>
      <c r="GL540" s="453"/>
      <c r="GM540" s="453"/>
      <c r="GN540" s="453"/>
      <c r="GO540" s="453"/>
      <c r="GP540" s="453"/>
      <c r="GQ540" s="453"/>
      <c r="GR540" s="453"/>
      <c r="GS540" s="561"/>
      <c r="GT540" s="475"/>
      <c r="GU540" s="472"/>
      <c r="GV540" s="453"/>
      <c r="GW540" s="453"/>
      <c r="GX540" s="869"/>
      <c r="GY540" s="870"/>
      <c r="GZ540" s="867"/>
      <c r="HA540" s="868"/>
      <c r="HB540" s="473"/>
      <c r="HC540" s="869"/>
      <c r="HD540" s="870"/>
      <c r="HE540" s="867"/>
      <c r="HF540" s="868"/>
      <c r="HG540" s="473"/>
      <c r="HH540" s="867"/>
      <c r="HI540" s="868"/>
      <c r="HJ540" s="867"/>
      <c r="HK540" s="868"/>
      <c r="HL540" s="370"/>
      <c r="HM540" s="865"/>
      <c r="HN540" s="866"/>
      <c r="HO540" s="865"/>
      <c r="HP540" s="866"/>
      <c r="HQ540" s="865"/>
      <c r="HR540" s="866"/>
      <c r="HS540" s="867"/>
      <c r="HT540" s="868"/>
      <c r="HU540" s="489"/>
      <c r="HV540" s="865"/>
      <c r="HW540" s="866"/>
    </row>
    <row r="541" spans="25:231" ht="15" customHeight="1">
      <c r="Y541" s="332"/>
      <c r="Z541" s="332"/>
      <c r="AA541" s="332"/>
      <c r="AB541" s="332"/>
      <c r="AC541" s="332"/>
      <c r="AD541" s="332"/>
      <c r="AE541" s="332"/>
      <c r="AF541" s="332"/>
      <c r="AG541" s="332"/>
      <c r="AH541" s="332"/>
      <c r="AI541" s="332"/>
      <c r="AJ541" s="332"/>
      <c r="AK541" s="332"/>
      <c r="AL541" s="332"/>
      <c r="AM541" s="332"/>
      <c r="AN541" s="332"/>
      <c r="AO541" s="332"/>
      <c r="AP541" s="332"/>
      <c r="AQ541" s="332"/>
      <c r="AR541" s="332"/>
      <c r="AS541" s="332"/>
      <c r="AT541" s="332"/>
      <c r="AU541" s="332"/>
      <c r="AV541" s="332"/>
      <c r="AW541" s="332"/>
      <c r="AX541" s="332"/>
      <c r="AY541" s="332"/>
      <c r="AZ541" s="332"/>
      <c r="BA541" s="332"/>
      <c r="BB541" s="332"/>
      <c r="BC541" s="332"/>
      <c r="BD541" s="332"/>
      <c r="BE541" s="332"/>
      <c r="BF541" s="332"/>
      <c r="BG541" s="332"/>
      <c r="BH541" s="332"/>
      <c r="BI541" s="332"/>
      <c r="BJ541" s="332"/>
      <c r="BK541" s="332"/>
      <c r="BL541" s="332"/>
      <c r="BM541" s="332"/>
      <c r="BN541" s="332"/>
      <c r="BO541" s="332"/>
      <c r="BP541" s="332"/>
      <c r="BQ541" s="332"/>
      <c r="BR541" s="332"/>
      <c r="BS541" s="332"/>
      <c r="BT541" s="332"/>
      <c r="BU541" s="332"/>
      <c r="BV541" s="332"/>
      <c r="BW541" s="332"/>
      <c r="BX541" s="332"/>
      <c r="BY541" s="332"/>
      <c r="BZ541" s="332"/>
      <c r="CA541" s="332"/>
      <c r="CB541" s="332"/>
      <c r="CC541" s="332"/>
      <c r="CD541" s="332"/>
      <c r="CE541" s="332"/>
      <c r="CF541" s="332"/>
      <c r="CG541" s="332"/>
      <c r="CH541" s="332"/>
      <c r="CI541" s="332"/>
      <c r="CJ541" s="332"/>
      <c r="CK541" s="332"/>
      <c r="CL541" s="332"/>
      <c r="CM541" s="332"/>
      <c r="CN541" s="332"/>
      <c r="CO541" s="332"/>
      <c r="CP541" s="332"/>
      <c r="CQ541" s="332"/>
      <c r="CR541" s="332"/>
      <c r="CS541" s="332"/>
      <c r="CT541" s="332"/>
      <c r="CU541" s="332"/>
      <c r="CV541" s="332"/>
      <c r="CW541" s="332"/>
      <c r="CX541" s="332"/>
      <c r="CY541" s="332"/>
      <c r="CZ541" s="332"/>
      <c r="DA541" s="332"/>
      <c r="DB541" s="332"/>
      <c r="DC541" s="332"/>
      <c r="DD541" s="332"/>
      <c r="DE541" s="332"/>
      <c r="DF541" s="332"/>
      <c r="DG541" s="332"/>
      <c r="DH541" s="332"/>
      <c r="DI541" s="332"/>
      <c r="DJ541" s="332"/>
      <c r="DK541" s="332"/>
      <c r="DL541" s="332"/>
      <c r="DM541" s="332"/>
      <c r="DN541" s="332"/>
      <c r="DO541" s="332"/>
      <c r="DP541" s="332"/>
      <c r="DQ541" s="332"/>
      <c r="DR541" s="332"/>
      <c r="DS541" s="332"/>
      <c r="DT541" s="332"/>
      <c r="DU541" s="453"/>
      <c r="DV541" s="453"/>
      <c r="DW541" s="453"/>
      <c r="DX541" s="453"/>
      <c r="DY541" s="453"/>
      <c r="DZ541" s="453"/>
      <c r="EA541" s="453"/>
      <c r="EB541" s="453"/>
      <c r="EC541" s="453"/>
      <c r="ED541" s="453"/>
      <c r="EE541" s="453"/>
      <c r="EF541" s="453"/>
      <c r="EG541" s="453"/>
      <c r="EH541" s="453"/>
      <c r="EI541" s="453"/>
      <c r="EJ541" s="453"/>
      <c r="EK541" s="453"/>
      <c r="EL541" s="453"/>
      <c r="EM541" s="483">
        <f t="shared" si="221"/>
        <v>232</v>
      </c>
      <c r="EN541" s="485"/>
      <c r="EO541" s="804"/>
      <c r="EP541" s="805"/>
      <c r="EQ541" s="806"/>
      <c r="ER541" s="808"/>
      <c r="ES541" s="881">
        <f t="shared" si="222"/>
        <v>0</v>
      </c>
      <c r="ET541" s="882"/>
      <c r="EU541" s="883"/>
      <c r="EV541" s="884">
        <f t="shared" si="220"/>
        <v>0</v>
      </c>
      <c r="EW541" s="885"/>
      <c r="EX541" s="885"/>
      <c r="EY541" s="885"/>
      <c r="EZ541" s="885"/>
      <c r="FA541" s="885"/>
      <c r="FB541" s="885"/>
      <c r="FC541" s="885"/>
      <c r="FD541" s="886"/>
      <c r="FE541" s="878"/>
      <c r="FF541" s="878"/>
      <c r="FG541" s="878"/>
      <c r="FH541" s="878"/>
      <c r="FI541" s="878"/>
      <c r="FJ541" s="878"/>
      <c r="FK541" s="878"/>
      <c r="FL541" s="555"/>
      <c r="FM541" s="554"/>
      <c r="FN541" s="554"/>
      <c r="FO541" s="554"/>
      <c r="FP541" s="554"/>
      <c r="FQ541" s="554"/>
      <c r="FR541" s="554"/>
      <c r="FS541" s="554"/>
      <c r="FT541" s="554"/>
      <c r="FU541" s="554"/>
      <c r="FV541" s="554"/>
      <c r="FW541" s="554"/>
      <c r="FX541" s="554"/>
      <c r="FY541" s="554"/>
      <c r="FZ541" s="554"/>
      <c r="GA541" s="554"/>
      <c r="GB541" s="556"/>
      <c r="GC541" s="370"/>
      <c r="GD541" s="453"/>
      <c r="GE541" s="453"/>
      <c r="GF541" s="453"/>
      <c r="GG541" s="453"/>
      <c r="GH541" s="454"/>
      <c r="GI541" s="453"/>
      <c r="GJ541" s="453"/>
      <c r="GK541" s="453"/>
      <c r="GL541" s="453"/>
      <c r="GM541" s="453"/>
      <c r="GN541" s="453"/>
      <c r="GO541" s="453"/>
      <c r="GP541" s="453"/>
      <c r="GQ541" s="453"/>
      <c r="GR541" s="453"/>
      <c r="GS541" s="561"/>
      <c r="GT541" s="475"/>
      <c r="GU541" s="472"/>
      <c r="GV541" s="453"/>
      <c r="GW541" s="453"/>
      <c r="GX541" s="869"/>
      <c r="GY541" s="870"/>
      <c r="GZ541" s="867"/>
      <c r="HA541" s="868"/>
      <c r="HB541" s="473"/>
      <c r="HC541" s="869"/>
      <c r="HD541" s="870"/>
      <c r="HE541" s="867"/>
      <c r="HF541" s="868"/>
      <c r="HG541" s="473"/>
      <c r="HH541" s="867"/>
      <c r="HI541" s="868"/>
      <c r="HJ541" s="867"/>
      <c r="HK541" s="868"/>
      <c r="HL541" s="370"/>
      <c r="HM541" s="865"/>
      <c r="HN541" s="866"/>
      <c r="HO541" s="865"/>
      <c r="HP541" s="866"/>
      <c r="HQ541" s="865"/>
      <c r="HR541" s="866"/>
      <c r="HS541" s="867"/>
      <c r="HT541" s="868"/>
      <c r="HU541" s="489"/>
      <c r="HV541" s="865"/>
      <c r="HW541" s="866"/>
    </row>
    <row r="542" spans="25:231" ht="15" customHeight="1">
      <c r="Y542" s="332"/>
      <c r="Z542" s="332"/>
      <c r="AA542" s="332"/>
      <c r="AB542" s="332"/>
      <c r="AC542" s="332"/>
      <c r="AD542" s="332"/>
      <c r="AE542" s="332"/>
      <c r="AF542" s="332"/>
      <c r="AG542" s="332"/>
      <c r="AH542" s="332"/>
      <c r="AI542" s="332"/>
      <c r="AJ542" s="332"/>
      <c r="AK542" s="332"/>
      <c r="AL542" s="332"/>
      <c r="AM542" s="332"/>
      <c r="AN542" s="332"/>
      <c r="AO542" s="332"/>
      <c r="AP542" s="332"/>
      <c r="AQ542" s="332"/>
      <c r="AR542" s="332"/>
      <c r="AS542" s="332"/>
      <c r="AT542" s="332"/>
      <c r="AU542" s="332"/>
      <c r="AV542" s="332"/>
      <c r="AW542" s="332"/>
      <c r="AX542" s="332"/>
      <c r="AY542" s="332"/>
      <c r="AZ542" s="332"/>
      <c r="BA542" s="332"/>
      <c r="BB542" s="332"/>
      <c r="BC542" s="332"/>
      <c r="BD542" s="332"/>
      <c r="BE542" s="332"/>
      <c r="BF542" s="332"/>
      <c r="BG542" s="332"/>
      <c r="BH542" s="332"/>
      <c r="BI542" s="332"/>
      <c r="BJ542" s="332"/>
      <c r="BK542" s="332"/>
      <c r="BL542" s="332"/>
      <c r="BM542" s="332"/>
      <c r="BN542" s="332"/>
      <c r="BO542" s="332"/>
      <c r="BP542" s="332"/>
      <c r="BQ542" s="332"/>
      <c r="BR542" s="332"/>
      <c r="BS542" s="332"/>
      <c r="BT542" s="332"/>
      <c r="BU542" s="332"/>
      <c r="BV542" s="332"/>
      <c r="BW542" s="332"/>
      <c r="BX542" s="332"/>
      <c r="BY542" s="332"/>
      <c r="BZ542" s="332"/>
      <c r="CA542" s="332"/>
      <c r="CB542" s="332"/>
      <c r="CC542" s="332"/>
      <c r="CD542" s="332"/>
      <c r="CE542" s="332"/>
      <c r="CF542" s="332"/>
      <c r="CG542" s="332"/>
      <c r="CH542" s="332"/>
      <c r="CI542" s="332"/>
      <c r="CJ542" s="332"/>
      <c r="CK542" s="332"/>
      <c r="CL542" s="332"/>
      <c r="CM542" s="332"/>
      <c r="CN542" s="332"/>
      <c r="CO542" s="332"/>
      <c r="CP542" s="332"/>
      <c r="CQ542" s="332"/>
      <c r="CR542" s="332"/>
      <c r="CS542" s="332"/>
      <c r="CT542" s="332"/>
      <c r="CU542" s="332"/>
      <c r="CV542" s="332"/>
      <c r="CW542" s="332"/>
      <c r="CX542" s="332"/>
      <c r="CY542" s="332"/>
      <c r="CZ542" s="332"/>
      <c r="DA542" s="332"/>
      <c r="DB542" s="332"/>
      <c r="DC542" s="332"/>
      <c r="DD542" s="332"/>
      <c r="DE542" s="332"/>
      <c r="DF542" s="332"/>
      <c r="DG542" s="332"/>
      <c r="DH542" s="332"/>
      <c r="DI542" s="332"/>
      <c r="DJ542" s="332"/>
      <c r="DK542" s="332"/>
      <c r="DL542" s="332"/>
      <c r="DM542" s="332"/>
      <c r="DN542" s="332"/>
      <c r="DO542" s="332"/>
      <c r="DP542" s="332"/>
      <c r="DQ542" s="332"/>
      <c r="DR542" s="332"/>
      <c r="DS542" s="332"/>
      <c r="DT542" s="332"/>
      <c r="DU542" s="453"/>
      <c r="DV542" s="453"/>
      <c r="DW542" s="453"/>
      <c r="DX542" s="453"/>
      <c r="DY542" s="453"/>
      <c r="DZ542" s="453"/>
      <c r="EA542" s="453"/>
      <c r="EB542" s="453"/>
      <c r="EC542" s="453"/>
      <c r="ED542" s="453"/>
      <c r="EE542" s="453"/>
      <c r="EF542" s="453"/>
      <c r="EG542" s="453"/>
      <c r="EH542" s="453"/>
      <c r="EI542" s="453"/>
      <c r="EJ542" s="453"/>
      <c r="EK542" s="453"/>
      <c r="EL542" s="453"/>
      <c r="EM542" s="483">
        <f t="shared" si="221"/>
        <v>233</v>
      </c>
      <c r="EN542" s="485"/>
      <c r="EO542" s="804"/>
      <c r="EP542" s="805"/>
      <c r="EQ542" s="806"/>
      <c r="ER542" s="808"/>
      <c r="ES542" s="881">
        <f t="shared" si="222"/>
        <v>0</v>
      </c>
      <c r="ET542" s="882"/>
      <c r="EU542" s="883"/>
      <c r="EV542" s="884">
        <f t="shared" si="220"/>
        <v>0</v>
      </c>
      <c r="EW542" s="885"/>
      <c r="EX542" s="885"/>
      <c r="EY542" s="885"/>
      <c r="EZ542" s="885"/>
      <c r="FA542" s="885"/>
      <c r="FB542" s="885"/>
      <c r="FC542" s="885"/>
      <c r="FD542" s="886"/>
      <c r="FE542" s="878"/>
      <c r="FF542" s="878"/>
      <c r="FG542" s="878"/>
      <c r="FH542" s="878"/>
      <c r="FI542" s="878"/>
      <c r="FJ542" s="878"/>
      <c r="FK542" s="878"/>
      <c r="FL542" s="555"/>
      <c r="FM542" s="554"/>
      <c r="FN542" s="554"/>
      <c r="FO542" s="554"/>
      <c r="FP542" s="554"/>
      <c r="FQ542" s="554"/>
      <c r="FR542" s="554"/>
      <c r="FS542" s="554"/>
      <c r="FT542" s="554"/>
      <c r="FU542" s="554"/>
      <c r="FV542" s="554"/>
      <c r="FW542" s="554"/>
      <c r="FX542" s="554"/>
      <c r="FY542" s="554"/>
      <c r="FZ542" s="554"/>
      <c r="GA542" s="554"/>
      <c r="GB542" s="556"/>
      <c r="GC542" s="370"/>
      <c r="GD542" s="453"/>
      <c r="GE542" s="453"/>
      <c r="GF542" s="453"/>
      <c r="GG542" s="453"/>
      <c r="GH542" s="454"/>
      <c r="GI542" s="453"/>
      <c r="GJ542" s="453"/>
      <c r="GK542" s="453"/>
      <c r="GL542" s="453"/>
      <c r="GM542" s="453"/>
      <c r="GN542" s="453"/>
      <c r="GO542" s="453"/>
      <c r="GP542" s="453"/>
      <c r="GQ542" s="453"/>
      <c r="GR542" s="453"/>
      <c r="GS542" s="561"/>
      <c r="GT542" s="475"/>
      <c r="GU542" s="472"/>
      <c r="GV542" s="453"/>
      <c r="GW542" s="453"/>
      <c r="GX542" s="869"/>
      <c r="GY542" s="870"/>
      <c r="GZ542" s="867"/>
      <c r="HA542" s="868"/>
      <c r="HB542" s="473"/>
      <c r="HC542" s="869"/>
      <c r="HD542" s="870"/>
      <c r="HE542" s="867"/>
      <c r="HF542" s="868"/>
      <c r="HG542" s="473"/>
      <c r="HH542" s="867"/>
      <c r="HI542" s="868"/>
      <c r="HJ542" s="867"/>
      <c r="HK542" s="868"/>
      <c r="HL542" s="370"/>
      <c r="HM542" s="865"/>
      <c r="HN542" s="866"/>
      <c r="HO542" s="865"/>
      <c r="HP542" s="866"/>
      <c r="HQ542" s="865"/>
      <c r="HR542" s="866"/>
      <c r="HS542" s="867"/>
      <c r="HT542" s="868"/>
      <c r="HU542" s="489"/>
      <c r="HV542" s="865"/>
      <c r="HW542" s="866"/>
    </row>
    <row r="543" spans="25:231" ht="15" customHeight="1">
      <c r="Y543" s="332"/>
      <c r="Z543" s="332"/>
      <c r="AA543" s="332"/>
      <c r="AB543" s="332"/>
      <c r="AC543" s="332"/>
      <c r="AD543" s="332"/>
      <c r="AE543" s="332"/>
      <c r="AF543" s="332"/>
      <c r="AG543" s="332"/>
      <c r="AH543" s="332"/>
      <c r="AI543" s="332"/>
      <c r="AJ543" s="332"/>
      <c r="AK543" s="332"/>
      <c r="AL543" s="332"/>
      <c r="AM543" s="332"/>
      <c r="AN543" s="332"/>
      <c r="AO543" s="332"/>
      <c r="AP543" s="332"/>
      <c r="AQ543" s="332"/>
      <c r="AR543" s="332"/>
      <c r="AS543" s="332"/>
      <c r="AT543" s="332"/>
      <c r="AU543" s="332"/>
      <c r="AV543" s="332"/>
      <c r="AW543" s="332"/>
      <c r="AX543" s="332"/>
      <c r="AY543" s="332"/>
      <c r="AZ543" s="332"/>
      <c r="BA543" s="332"/>
      <c r="BB543" s="332"/>
      <c r="BC543" s="332"/>
      <c r="BD543" s="332"/>
      <c r="BE543" s="332"/>
      <c r="BF543" s="332"/>
      <c r="BG543" s="332"/>
      <c r="BH543" s="332"/>
      <c r="BI543" s="332"/>
      <c r="BJ543" s="332"/>
      <c r="BK543" s="332"/>
      <c r="BL543" s="332"/>
      <c r="BM543" s="332"/>
      <c r="BN543" s="332"/>
      <c r="BO543" s="332"/>
      <c r="BP543" s="332"/>
      <c r="BQ543" s="332"/>
      <c r="BR543" s="332"/>
      <c r="BS543" s="332"/>
      <c r="BT543" s="332"/>
      <c r="BU543" s="332"/>
      <c r="BV543" s="332"/>
      <c r="BW543" s="332"/>
      <c r="BX543" s="332"/>
      <c r="BY543" s="332"/>
      <c r="BZ543" s="332"/>
      <c r="CA543" s="332"/>
      <c r="CB543" s="332"/>
      <c r="CC543" s="332"/>
      <c r="CD543" s="332"/>
      <c r="CE543" s="332"/>
      <c r="CF543" s="332"/>
      <c r="CG543" s="332"/>
      <c r="CH543" s="332"/>
      <c r="CI543" s="332"/>
      <c r="CJ543" s="332"/>
      <c r="CK543" s="332"/>
      <c r="CL543" s="332"/>
      <c r="CM543" s="332"/>
      <c r="CN543" s="332"/>
      <c r="CO543" s="332"/>
      <c r="CP543" s="332"/>
      <c r="CQ543" s="332"/>
      <c r="CR543" s="332"/>
      <c r="CS543" s="332"/>
      <c r="CT543" s="332"/>
      <c r="CU543" s="332"/>
      <c r="CV543" s="332"/>
      <c r="CW543" s="332"/>
      <c r="CX543" s="332"/>
      <c r="CY543" s="332"/>
      <c r="CZ543" s="332"/>
      <c r="DA543" s="332"/>
      <c r="DB543" s="332"/>
      <c r="DC543" s="332"/>
      <c r="DD543" s="332"/>
      <c r="DE543" s="332"/>
      <c r="DF543" s="332"/>
      <c r="DG543" s="332"/>
      <c r="DH543" s="332"/>
      <c r="DI543" s="332"/>
      <c r="DJ543" s="332"/>
      <c r="DK543" s="332"/>
      <c r="DL543" s="332"/>
      <c r="DM543" s="332"/>
      <c r="DN543" s="332"/>
      <c r="DO543" s="332"/>
      <c r="DP543" s="332"/>
      <c r="DQ543" s="332"/>
      <c r="DR543" s="332"/>
      <c r="DS543" s="332"/>
      <c r="DT543" s="332"/>
      <c r="DU543" s="453"/>
      <c r="DV543" s="453"/>
      <c r="DW543" s="453"/>
      <c r="DX543" s="453"/>
      <c r="DY543" s="453"/>
      <c r="DZ543" s="453"/>
      <c r="EA543" s="453"/>
      <c r="EB543" s="453"/>
      <c r="EC543" s="453"/>
      <c r="ED543" s="453"/>
      <c r="EE543" s="453"/>
      <c r="EF543" s="453"/>
      <c r="EG543" s="453"/>
      <c r="EH543" s="453"/>
      <c r="EI543" s="453"/>
      <c r="EJ543" s="453"/>
      <c r="EK543" s="453"/>
      <c r="EL543" s="453"/>
      <c r="EM543" s="483">
        <f t="shared" si="221"/>
        <v>234</v>
      </c>
      <c r="EN543" s="485"/>
      <c r="EO543" s="804"/>
      <c r="EP543" s="805"/>
      <c r="EQ543" s="806"/>
      <c r="ER543" s="808"/>
      <c r="ES543" s="881">
        <f t="shared" si="222"/>
        <v>0</v>
      </c>
      <c r="ET543" s="882"/>
      <c r="EU543" s="883"/>
      <c r="EV543" s="884">
        <f t="shared" si="220"/>
        <v>0</v>
      </c>
      <c r="EW543" s="885"/>
      <c r="EX543" s="885"/>
      <c r="EY543" s="885"/>
      <c r="EZ543" s="885"/>
      <c r="FA543" s="885"/>
      <c r="FB543" s="885"/>
      <c r="FC543" s="885"/>
      <c r="FD543" s="886"/>
      <c r="FE543" s="878"/>
      <c r="FF543" s="878"/>
      <c r="FG543" s="878"/>
      <c r="FH543" s="878"/>
      <c r="FI543" s="878"/>
      <c r="FJ543" s="878"/>
      <c r="FK543" s="878"/>
      <c r="FL543" s="555"/>
      <c r="FM543" s="554"/>
      <c r="FN543" s="554"/>
      <c r="FO543" s="554"/>
      <c r="FP543" s="554"/>
      <c r="FQ543" s="554"/>
      <c r="FR543" s="554"/>
      <c r="FS543" s="554"/>
      <c r="FT543" s="554"/>
      <c r="FU543" s="554"/>
      <c r="FV543" s="554"/>
      <c r="FW543" s="554"/>
      <c r="FX543" s="554"/>
      <c r="FY543" s="554"/>
      <c r="FZ543" s="554"/>
      <c r="GA543" s="554"/>
      <c r="GB543" s="556"/>
      <c r="GC543" s="370"/>
      <c r="GD543" s="453"/>
      <c r="GE543" s="453"/>
      <c r="GF543" s="453"/>
      <c r="GG543" s="453"/>
      <c r="GH543" s="454"/>
      <c r="GI543" s="453"/>
      <c r="GJ543" s="453"/>
      <c r="GK543" s="453"/>
      <c r="GL543" s="453"/>
      <c r="GM543" s="453"/>
      <c r="GN543" s="453"/>
      <c r="GO543" s="453"/>
      <c r="GP543" s="453"/>
      <c r="GQ543" s="453"/>
      <c r="GR543" s="453"/>
      <c r="GS543" s="561"/>
      <c r="GT543" s="475"/>
      <c r="GU543" s="472"/>
      <c r="GV543" s="453"/>
      <c r="GW543" s="453"/>
      <c r="GX543" s="869"/>
      <c r="GY543" s="870"/>
      <c r="GZ543" s="867"/>
      <c r="HA543" s="868"/>
      <c r="HB543" s="473"/>
      <c r="HC543" s="869"/>
      <c r="HD543" s="870"/>
      <c r="HE543" s="867"/>
      <c r="HF543" s="868"/>
      <c r="HG543" s="473"/>
      <c r="HH543" s="867"/>
      <c r="HI543" s="868"/>
      <c r="HJ543" s="867"/>
      <c r="HK543" s="868"/>
      <c r="HL543" s="370"/>
      <c r="HM543" s="865"/>
      <c r="HN543" s="866"/>
      <c r="HO543" s="865"/>
      <c r="HP543" s="866"/>
      <c r="HQ543" s="865"/>
      <c r="HR543" s="866"/>
      <c r="HS543" s="867"/>
      <c r="HT543" s="868"/>
      <c r="HU543" s="489"/>
      <c r="HV543" s="865"/>
      <c r="HW543" s="866"/>
    </row>
    <row r="544" spans="25:231" ht="15" customHeight="1">
      <c r="Y544" s="332"/>
      <c r="Z544" s="332"/>
      <c r="AA544" s="332"/>
      <c r="AB544" s="332"/>
      <c r="AC544" s="332"/>
      <c r="AD544" s="332"/>
      <c r="AE544" s="332"/>
      <c r="AF544" s="332"/>
      <c r="AG544" s="332"/>
      <c r="AH544" s="332"/>
      <c r="AI544" s="332"/>
      <c r="AJ544" s="332"/>
      <c r="AK544" s="332"/>
      <c r="AL544" s="332"/>
      <c r="AM544" s="332"/>
      <c r="AN544" s="332"/>
      <c r="AO544" s="332"/>
      <c r="AP544" s="332"/>
      <c r="AQ544" s="332"/>
      <c r="AR544" s="332"/>
      <c r="AS544" s="332"/>
      <c r="AT544" s="332"/>
      <c r="AU544" s="332"/>
      <c r="AV544" s="332"/>
      <c r="AW544" s="332"/>
      <c r="AX544" s="332"/>
      <c r="AY544" s="332"/>
      <c r="AZ544" s="332"/>
      <c r="BA544" s="332"/>
      <c r="BB544" s="332"/>
      <c r="BC544" s="332"/>
      <c r="BD544" s="332"/>
      <c r="BE544" s="332"/>
      <c r="BF544" s="332"/>
      <c r="BG544" s="332"/>
      <c r="BH544" s="332"/>
      <c r="BI544" s="332"/>
      <c r="BJ544" s="332"/>
      <c r="BK544" s="332"/>
      <c r="BL544" s="332"/>
      <c r="BM544" s="332"/>
      <c r="BN544" s="332"/>
      <c r="BO544" s="332"/>
      <c r="BP544" s="332"/>
      <c r="BQ544" s="332"/>
      <c r="BR544" s="332"/>
      <c r="BS544" s="332"/>
      <c r="BT544" s="332"/>
      <c r="BU544" s="332"/>
      <c r="BV544" s="332"/>
      <c r="BW544" s="332"/>
      <c r="BX544" s="332"/>
      <c r="BY544" s="332"/>
      <c r="BZ544" s="332"/>
      <c r="CA544" s="332"/>
      <c r="CB544" s="332"/>
      <c r="CC544" s="332"/>
      <c r="CD544" s="332"/>
      <c r="CE544" s="332"/>
      <c r="CF544" s="332"/>
      <c r="CG544" s="332"/>
      <c r="CH544" s="332"/>
      <c r="CI544" s="332"/>
      <c r="CJ544" s="332"/>
      <c r="CK544" s="332"/>
      <c r="CL544" s="332"/>
      <c r="CM544" s="332"/>
      <c r="CN544" s="332"/>
      <c r="CO544" s="332"/>
      <c r="CP544" s="332"/>
      <c r="CQ544" s="332"/>
      <c r="CR544" s="332"/>
      <c r="CS544" s="332"/>
      <c r="CT544" s="332"/>
      <c r="CU544" s="332"/>
      <c r="CV544" s="332"/>
      <c r="CW544" s="332"/>
      <c r="CX544" s="332"/>
      <c r="CY544" s="332"/>
      <c r="CZ544" s="332"/>
      <c r="DA544" s="332"/>
      <c r="DB544" s="332"/>
      <c r="DC544" s="332"/>
      <c r="DD544" s="332"/>
      <c r="DE544" s="332"/>
      <c r="DF544" s="332"/>
      <c r="DG544" s="332"/>
      <c r="DH544" s="332"/>
      <c r="DI544" s="332"/>
      <c r="DJ544" s="332"/>
      <c r="DK544" s="332"/>
      <c r="DL544" s="332"/>
      <c r="DM544" s="332"/>
      <c r="DN544" s="332"/>
      <c r="DO544" s="332"/>
      <c r="DP544" s="332"/>
      <c r="DQ544" s="332"/>
      <c r="DR544" s="332"/>
      <c r="DS544" s="332"/>
      <c r="DT544" s="332"/>
      <c r="DU544" s="453"/>
      <c r="DV544" s="453"/>
      <c r="DW544" s="453"/>
      <c r="DX544" s="453"/>
      <c r="DY544" s="453"/>
      <c r="DZ544" s="453"/>
      <c r="EA544" s="453"/>
      <c r="EB544" s="453"/>
      <c r="EC544" s="453"/>
      <c r="ED544" s="453"/>
      <c r="EE544" s="453"/>
      <c r="EF544" s="453"/>
      <c r="EG544" s="453"/>
      <c r="EH544" s="453"/>
      <c r="EI544" s="453"/>
      <c r="EJ544" s="453"/>
      <c r="EK544" s="453"/>
      <c r="EL544" s="453"/>
      <c r="EM544" s="483">
        <f t="shared" si="221"/>
        <v>235</v>
      </c>
      <c r="EN544" s="485"/>
      <c r="EO544" s="804"/>
      <c r="EP544" s="805"/>
      <c r="EQ544" s="806"/>
      <c r="ER544" s="808"/>
      <c r="ES544" s="881">
        <f t="shared" si="222"/>
        <v>0</v>
      </c>
      <c r="ET544" s="882"/>
      <c r="EU544" s="883"/>
      <c r="EV544" s="884">
        <f t="shared" si="220"/>
        <v>0</v>
      </c>
      <c r="EW544" s="885"/>
      <c r="EX544" s="885"/>
      <c r="EY544" s="885"/>
      <c r="EZ544" s="885"/>
      <c r="FA544" s="885"/>
      <c r="FB544" s="885"/>
      <c r="FC544" s="885"/>
      <c r="FD544" s="886"/>
      <c r="FE544" s="878"/>
      <c r="FF544" s="878"/>
      <c r="FG544" s="878"/>
      <c r="FH544" s="878"/>
      <c r="FI544" s="878"/>
      <c r="FJ544" s="878"/>
      <c r="FK544" s="878"/>
      <c r="FL544" s="555"/>
      <c r="FM544" s="554"/>
      <c r="FN544" s="554"/>
      <c r="FO544" s="554"/>
      <c r="FP544" s="554"/>
      <c r="FQ544" s="554"/>
      <c r="FR544" s="554"/>
      <c r="FS544" s="554"/>
      <c r="FT544" s="554"/>
      <c r="FU544" s="554"/>
      <c r="FV544" s="554"/>
      <c r="FW544" s="554"/>
      <c r="FX544" s="554"/>
      <c r="FY544" s="554"/>
      <c r="FZ544" s="554"/>
      <c r="GA544" s="554"/>
      <c r="GB544" s="556"/>
      <c r="GC544" s="370"/>
      <c r="GD544" s="453"/>
      <c r="GE544" s="453"/>
      <c r="GF544" s="453"/>
      <c r="GG544" s="453"/>
      <c r="GH544" s="454"/>
      <c r="GI544" s="453"/>
      <c r="GJ544" s="453"/>
      <c r="GK544" s="453"/>
      <c r="GL544" s="453"/>
      <c r="GM544" s="453"/>
      <c r="GN544" s="453"/>
      <c r="GO544" s="453"/>
      <c r="GP544" s="453"/>
      <c r="GQ544" s="453"/>
      <c r="GR544" s="453"/>
      <c r="GS544" s="561"/>
      <c r="GT544" s="475"/>
      <c r="GU544" s="472"/>
      <c r="GV544" s="453"/>
      <c r="GW544" s="453"/>
      <c r="GX544" s="869"/>
      <c r="GY544" s="870"/>
      <c r="GZ544" s="867"/>
      <c r="HA544" s="868"/>
      <c r="HB544" s="473"/>
      <c r="HC544" s="869"/>
      <c r="HD544" s="870"/>
      <c r="HE544" s="867"/>
      <c r="HF544" s="868"/>
      <c r="HG544" s="473"/>
      <c r="HH544" s="867"/>
      <c r="HI544" s="868"/>
      <c r="HJ544" s="867"/>
      <c r="HK544" s="868"/>
      <c r="HL544" s="370"/>
      <c r="HM544" s="865"/>
      <c r="HN544" s="866"/>
      <c r="HO544" s="865"/>
      <c r="HP544" s="866"/>
      <c r="HQ544" s="865"/>
      <c r="HR544" s="866"/>
      <c r="HS544" s="867"/>
      <c r="HT544" s="868"/>
      <c r="HU544" s="489"/>
      <c r="HV544" s="865"/>
      <c r="HW544" s="866"/>
    </row>
    <row r="545" spans="25:231" ht="15" customHeight="1">
      <c r="Y545" s="332"/>
      <c r="Z545" s="332"/>
      <c r="AA545" s="332"/>
      <c r="AB545" s="332"/>
      <c r="AC545" s="332"/>
      <c r="AD545" s="332"/>
      <c r="AE545" s="332"/>
      <c r="AF545" s="332"/>
      <c r="AG545" s="332"/>
      <c r="AH545" s="332"/>
      <c r="AI545" s="332"/>
      <c r="AJ545" s="332"/>
      <c r="AK545" s="332"/>
      <c r="AL545" s="332"/>
      <c r="AM545" s="332"/>
      <c r="AN545" s="332"/>
      <c r="AO545" s="332"/>
      <c r="AP545" s="332"/>
      <c r="AQ545" s="332"/>
      <c r="AR545" s="332"/>
      <c r="AS545" s="332"/>
      <c r="AT545" s="332"/>
      <c r="AU545" s="332"/>
      <c r="AV545" s="332"/>
      <c r="AW545" s="332"/>
      <c r="AX545" s="332"/>
      <c r="AY545" s="332"/>
      <c r="AZ545" s="332"/>
      <c r="BA545" s="332"/>
      <c r="BB545" s="332"/>
      <c r="BC545" s="332"/>
      <c r="BD545" s="332"/>
      <c r="BE545" s="332"/>
      <c r="BF545" s="332"/>
      <c r="BG545" s="332"/>
      <c r="BH545" s="332"/>
      <c r="BI545" s="332"/>
      <c r="BJ545" s="332"/>
      <c r="BK545" s="332"/>
      <c r="BL545" s="332"/>
      <c r="BM545" s="332"/>
      <c r="BN545" s="332"/>
      <c r="BO545" s="332"/>
      <c r="BP545" s="332"/>
      <c r="BQ545" s="332"/>
      <c r="BR545" s="332"/>
      <c r="BS545" s="332"/>
      <c r="BT545" s="332"/>
      <c r="BU545" s="332"/>
      <c r="BV545" s="332"/>
      <c r="BW545" s="332"/>
      <c r="BX545" s="332"/>
      <c r="BY545" s="332"/>
      <c r="BZ545" s="332"/>
      <c r="CA545" s="332"/>
      <c r="CB545" s="332"/>
      <c r="CC545" s="332"/>
      <c r="CD545" s="332"/>
      <c r="CE545" s="332"/>
      <c r="CF545" s="332"/>
      <c r="CG545" s="332"/>
      <c r="CH545" s="332"/>
      <c r="CI545" s="332"/>
      <c r="CJ545" s="332"/>
      <c r="CK545" s="332"/>
      <c r="CL545" s="332"/>
      <c r="CM545" s="332"/>
      <c r="CN545" s="332"/>
      <c r="CO545" s="332"/>
      <c r="CP545" s="332"/>
      <c r="CQ545" s="332"/>
      <c r="CR545" s="332"/>
      <c r="CS545" s="332"/>
      <c r="CT545" s="332"/>
      <c r="CU545" s="332"/>
      <c r="CV545" s="332"/>
      <c r="CW545" s="332"/>
      <c r="CX545" s="332"/>
      <c r="CY545" s="332"/>
      <c r="CZ545" s="332"/>
      <c r="DA545" s="332"/>
      <c r="DB545" s="332"/>
      <c r="DC545" s="332"/>
      <c r="DD545" s="332"/>
      <c r="DE545" s="332"/>
      <c r="DF545" s="332"/>
      <c r="DG545" s="332"/>
      <c r="DH545" s="332"/>
      <c r="DI545" s="332"/>
      <c r="DJ545" s="332"/>
      <c r="DK545" s="332"/>
      <c r="DL545" s="332"/>
      <c r="DM545" s="332"/>
      <c r="DN545" s="332"/>
      <c r="DO545" s="332"/>
      <c r="DP545" s="332"/>
      <c r="DQ545" s="332"/>
      <c r="DR545" s="332"/>
      <c r="DS545" s="332"/>
      <c r="DT545" s="332"/>
      <c r="DU545" s="453"/>
      <c r="DV545" s="453"/>
      <c r="DW545" s="453"/>
      <c r="DX545" s="453"/>
      <c r="DY545" s="453"/>
      <c r="DZ545" s="453"/>
      <c r="EA545" s="453"/>
      <c r="EB545" s="453"/>
      <c r="EC545" s="453"/>
      <c r="ED545" s="453"/>
      <c r="EE545" s="453"/>
      <c r="EF545" s="453"/>
      <c r="EG545" s="453"/>
      <c r="EH545" s="453"/>
      <c r="EI545" s="453"/>
      <c r="EJ545" s="453"/>
      <c r="EK545" s="453"/>
      <c r="EL545" s="453"/>
      <c r="EM545" s="483">
        <f t="shared" si="221"/>
        <v>236</v>
      </c>
      <c r="EN545" s="485"/>
      <c r="EO545" s="804"/>
      <c r="EP545" s="805"/>
      <c r="EQ545" s="806"/>
      <c r="ER545" s="808"/>
      <c r="ES545" s="881">
        <f t="shared" si="222"/>
        <v>0</v>
      </c>
      <c r="ET545" s="882"/>
      <c r="EU545" s="883"/>
      <c r="EV545" s="884">
        <f t="shared" si="220"/>
        <v>0</v>
      </c>
      <c r="EW545" s="885"/>
      <c r="EX545" s="885"/>
      <c r="EY545" s="885"/>
      <c r="EZ545" s="885"/>
      <c r="FA545" s="885"/>
      <c r="FB545" s="885"/>
      <c r="FC545" s="885"/>
      <c r="FD545" s="886"/>
      <c r="FE545" s="878"/>
      <c r="FF545" s="878"/>
      <c r="FG545" s="878"/>
      <c r="FH545" s="878"/>
      <c r="FI545" s="878"/>
      <c r="FJ545" s="878"/>
      <c r="FK545" s="878"/>
      <c r="FL545" s="555"/>
      <c r="FM545" s="554"/>
      <c r="FN545" s="554"/>
      <c r="FO545" s="554"/>
      <c r="FP545" s="554"/>
      <c r="FQ545" s="554"/>
      <c r="FR545" s="554"/>
      <c r="FS545" s="554"/>
      <c r="FT545" s="554"/>
      <c r="FU545" s="554"/>
      <c r="FV545" s="554"/>
      <c r="FW545" s="554"/>
      <c r="FX545" s="554"/>
      <c r="FY545" s="554"/>
      <c r="FZ545" s="554"/>
      <c r="GA545" s="554"/>
      <c r="GB545" s="556"/>
      <c r="GC545" s="370"/>
      <c r="GD545" s="453"/>
      <c r="GE545" s="453"/>
      <c r="GF545" s="453"/>
      <c r="GG545" s="453"/>
      <c r="GH545" s="454"/>
      <c r="GI545" s="453"/>
      <c r="GJ545" s="453"/>
      <c r="GK545" s="453"/>
      <c r="GL545" s="453"/>
      <c r="GM545" s="453"/>
      <c r="GN545" s="453"/>
      <c r="GO545" s="453"/>
      <c r="GP545" s="453"/>
      <c r="GQ545" s="453"/>
      <c r="GR545" s="453"/>
      <c r="GS545" s="561"/>
      <c r="GT545" s="475"/>
      <c r="GU545" s="472"/>
      <c r="GV545" s="453"/>
      <c r="GW545" s="453"/>
      <c r="GX545" s="869"/>
      <c r="GY545" s="870"/>
      <c r="GZ545" s="867"/>
      <c r="HA545" s="868"/>
      <c r="HB545" s="473"/>
      <c r="HC545" s="869"/>
      <c r="HD545" s="870"/>
      <c r="HE545" s="867"/>
      <c r="HF545" s="868"/>
      <c r="HG545" s="473"/>
      <c r="HH545" s="867"/>
      <c r="HI545" s="868"/>
      <c r="HJ545" s="867"/>
      <c r="HK545" s="868"/>
      <c r="HL545" s="370"/>
      <c r="HM545" s="865"/>
      <c r="HN545" s="866"/>
      <c r="HO545" s="865"/>
      <c r="HP545" s="866"/>
      <c r="HQ545" s="865"/>
      <c r="HR545" s="866"/>
      <c r="HS545" s="867"/>
      <c r="HT545" s="868"/>
      <c r="HU545" s="489"/>
      <c r="HV545" s="865"/>
      <c r="HW545" s="866"/>
    </row>
    <row r="546" spans="25:231" ht="15" customHeight="1">
      <c r="Y546" s="332"/>
      <c r="Z546" s="332"/>
      <c r="AA546" s="332"/>
      <c r="AB546" s="332"/>
      <c r="AC546" s="332"/>
      <c r="AD546" s="332"/>
      <c r="AE546" s="332"/>
      <c r="AF546" s="332"/>
      <c r="AG546" s="332"/>
      <c r="AH546" s="332"/>
      <c r="AI546" s="332"/>
      <c r="AJ546" s="332"/>
      <c r="AK546" s="332"/>
      <c r="AL546" s="332"/>
      <c r="AM546" s="332"/>
      <c r="AN546" s="332"/>
      <c r="AO546" s="332"/>
      <c r="AP546" s="332"/>
      <c r="AQ546" s="332"/>
      <c r="AR546" s="332"/>
      <c r="AS546" s="332"/>
      <c r="AT546" s="332"/>
      <c r="AU546" s="332"/>
      <c r="AV546" s="332"/>
      <c r="AW546" s="332"/>
      <c r="AX546" s="332"/>
      <c r="AY546" s="332"/>
      <c r="AZ546" s="332"/>
      <c r="BA546" s="332"/>
      <c r="BB546" s="332"/>
      <c r="BC546" s="332"/>
      <c r="BD546" s="332"/>
      <c r="BE546" s="332"/>
      <c r="BF546" s="332"/>
      <c r="BG546" s="332"/>
      <c r="BH546" s="332"/>
      <c r="BI546" s="332"/>
      <c r="BJ546" s="332"/>
      <c r="BK546" s="332"/>
      <c r="BL546" s="332"/>
      <c r="BM546" s="332"/>
      <c r="BN546" s="332"/>
      <c r="BO546" s="332"/>
      <c r="BP546" s="332"/>
      <c r="BQ546" s="332"/>
      <c r="BR546" s="332"/>
      <c r="BS546" s="332"/>
      <c r="BT546" s="332"/>
      <c r="BU546" s="332"/>
      <c r="BV546" s="332"/>
      <c r="BW546" s="332"/>
      <c r="BX546" s="332"/>
      <c r="BY546" s="332"/>
      <c r="BZ546" s="332"/>
      <c r="CA546" s="332"/>
      <c r="CB546" s="332"/>
      <c r="CC546" s="332"/>
      <c r="CD546" s="332"/>
      <c r="CE546" s="332"/>
      <c r="CF546" s="332"/>
      <c r="CG546" s="332"/>
      <c r="CH546" s="332"/>
      <c r="CI546" s="332"/>
      <c r="CJ546" s="332"/>
      <c r="CK546" s="332"/>
      <c r="CL546" s="332"/>
      <c r="CM546" s="332"/>
      <c r="CN546" s="332"/>
      <c r="CO546" s="332"/>
      <c r="CP546" s="332"/>
      <c r="CQ546" s="332"/>
      <c r="CR546" s="332"/>
      <c r="CS546" s="332"/>
      <c r="CT546" s="332"/>
      <c r="CU546" s="332"/>
      <c r="CV546" s="332"/>
      <c r="CW546" s="332"/>
      <c r="CX546" s="332"/>
      <c r="CY546" s="332"/>
      <c r="CZ546" s="332"/>
      <c r="DA546" s="332"/>
      <c r="DB546" s="332"/>
      <c r="DC546" s="332"/>
      <c r="DD546" s="332"/>
      <c r="DE546" s="332"/>
      <c r="DF546" s="332"/>
      <c r="DG546" s="332"/>
      <c r="DH546" s="332"/>
      <c r="DI546" s="332"/>
      <c r="DJ546" s="332"/>
      <c r="DK546" s="332"/>
      <c r="DL546" s="332"/>
      <c r="DM546" s="332"/>
      <c r="DN546" s="332"/>
      <c r="DO546" s="332"/>
      <c r="DP546" s="332"/>
      <c r="DQ546" s="332"/>
      <c r="DR546" s="332"/>
      <c r="DS546" s="332"/>
      <c r="DT546" s="332"/>
      <c r="DU546" s="453"/>
      <c r="DV546" s="453"/>
      <c r="DW546" s="453"/>
      <c r="DX546" s="453"/>
      <c r="DY546" s="453"/>
      <c r="DZ546" s="453"/>
      <c r="EA546" s="453"/>
      <c r="EB546" s="453"/>
      <c r="EC546" s="453"/>
      <c r="ED546" s="453"/>
      <c r="EE546" s="453"/>
      <c r="EF546" s="453"/>
      <c r="EG546" s="453"/>
      <c r="EH546" s="453"/>
      <c r="EI546" s="453"/>
      <c r="EJ546" s="453"/>
      <c r="EK546" s="453"/>
      <c r="EL546" s="453"/>
      <c r="EM546" s="483">
        <f t="shared" si="221"/>
        <v>237</v>
      </c>
      <c r="EN546" s="485"/>
      <c r="EO546" s="804"/>
      <c r="EP546" s="805"/>
      <c r="EQ546" s="806"/>
      <c r="ER546" s="808"/>
      <c r="ES546" s="881">
        <f t="shared" si="222"/>
        <v>0</v>
      </c>
      <c r="ET546" s="882"/>
      <c r="EU546" s="883"/>
      <c r="EV546" s="884">
        <f t="shared" si="220"/>
        <v>0</v>
      </c>
      <c r="EW546" s="885"/>
      <c r="EX546" s="885"/>
      <c r="EY546" s="885"/>
      <c r="EZ546" s="885"/>
      <c r="FA546" s="885"/>
      <c r="FB546" s="885"/>
      <c r="FC546" s="885"/>
      <c r="FD546" s="886"/>
      <c r="FE546" s="878"/>
      <c r="FF546" s="878"/>
      <c r="FG546" s="878"/>
      <c r="FH546" s="878"/>
      <c r="FI546" s="878"/>
      <c r="FJ546" s="878"/>
      <c r="FK546" s="878"/>
      <c r="FL546" s="555"/>
      <c r="FM546" s="554"/>
      <c r="FN546" s="554"/>
      <c r="FO546" s="554"/>
      <c r="FP546" s="554"/>
      <c r="FQ546" s="554"/>
      <c r="FR546" s="554"/>
      <c r="FS546" s="554"/>
      <c r="FT546" s="554"/>
      <c r="FU546" s="554"/>
      <c r="FV546" s="554"/>
      <c r="FW546" s="554"/>
      <c r="FX546" s="554"/>
      <c r="FY546" s="554"/>
      <c r="FZ546" s="554"/>
      <c r="GA546" s="554"/>
      <c r="GB546" s="556"/>
      <c r="GC546" s="370"/>
      <c r="GD546" s="453"/>
      <c r="GE546" s="453"/>
      <c r="GF546" s="453"/>
      <c r="GG546" s="453"/>
      <c r="GH546" s="454"/>
      <c r="GI546" s="453"/>
      <c r="GJ546" s="453"/>
      <c r="GK546" s="453"/>
      <c r="GL546" s="453"/>
      <c r="GM546" s="453"/>
      <c r="GN546" s="453"/>
      <c r="GO546" s="453"/>
      <c r="GP546" s="453"/>
      <c r="GQ546" s="453"/>
      <c r="GR546" s="453"/>
      <c r="GS546" s="561"/>
      <c r="GT546" s="475"/>
      <c r="GU546" s="472"/>
      <c r="GV546" s="453"/>
      <c r="GW546" s="453"/>
      <c r="GX546" s="869"/>
      <c r="GY546" s="870"/>
      <c r="GZ546" s="867"/>
      <c r="HA546" s="868"/>
      <c r="HB546" s="473"/>
      <c r="HC546" s="869"/>
      <c r="HD546" s="870"/>
      <c r="HE546" s="867"/>
      <c r="HF546" s="868"/>
      <c r="HG546" s="473"/>
      <c r="HH546" s="867"/>
      <c r="HI546" s="868"/>
      <c r="HJ546" s="867"/>
      <c r="HK546" s="868"/>
      <c r="HL546" s="370"/>
      <c r="HM546" s="865"/>
      <c r="HN546" s="866"/>
      <c r="HO546" s="865"/>
      <c r="HP546" s="866"/>
      <c r="HQ546" s="865"/>
      <c r="HR546" s="866"/>
      <c r="HS546" s="867"/>
      <c r="HT546" s="868"/>
      <c r="HU546" s="489"/>
      <c r="HV546" s="865"/>
      <c r="HW546" s="866"/>
    </row>
    <row r="547" spans="25:231" ht="15" customHeight="1">
      <c r="Y547" s="332"/>
      <c r="Z547" s="332"/>
      <c r="AA547" s="332"/>
      <c r="AB547" s="332"/>
      <c r="AC547" s="332"/>
      <c r="AD547" s="332"/>
      <c r="AE547" s="332"/>
      <c r="AF547" s="332"/>
      <c r="AG547" s="332"/>
      <c r="AH547" s="332"/>
      <c r="AI547" s="332"/>
      <c r="AJ547" s="332"/>
      <c r="AK547" s="332"/>
      <c r="AL547" s="332"/>
      <c r="AM547" s="332"/>
      <c r="AN547" s="332"/>
      <c r="AO547" s="332"/>
      <c r="AP547" s="332"/>
      <c r="AQ547" s="332"/>
      <c r="AR547" s="332"/>
      <c r="AS547" s="332"/>
      <c r="AT547" s="332"/>
      <c r="AU547" s="332"/>
      <c r="AV547" s="332"/>
      <c r="AW547" s="332"/>
      <c r="AX547" s="332"/>
      <c r="AY547" s="332"/>
      <c r="AZ547" s="332"/>
      <c r="BA547" s="332"/>
      <c r="BB547" s="332"/>
      <c r="BC547" s="332"/>
      <c r="BD547" s="332"/>
      <c r="BE547" s="332"/>
      <c r="BF547" s="332"/>
      <c r="BG547" s="332"/>
      <c r="BH547" s="332"/>
      <c r="BI547" s="332"/>
      <c r="BJ547" s="332"/>
      <c r="BK547" s="332"/>
      <c r="BL547" s="332"/>
      <c r="BM547" s="332"/>
      <c r="BN547" s="332"/>
      <c r="BO547" s="332"/>
      <c r="BP547" s="332"/>
      <c r="BQ547" s="332"/>
      <c r="BR547" s="332"/>
      <c r="BS547" s="332"/>
      <c r="BT547" s="332"/>
      <c r="BU547" s="332"/>
      <c r="BV547" s="332"/>
      <c r="BW547" s="332"/>
      <c r="BX547" s="332"/>
      <c r="BY547" s="332"/>
      <c r="BZ547" s="332"/>
      <c r="CA547" s="332"/>
      <c r="CB547" s="332"/>
      <c r="CC547" s="332"/>
      <c r="CD547" s="332"/>
      <c r="CE547" s="332"/>
      <c r="CF547" s="332"/>
      <c r="CG547" s="332"/>
      <c r="CH547" s="332"/>
      <c r="CI547" s="332"/>
      <c r="CJ547" s="332"/>
      <c r="CK547" s="332"/>
      <c r="CL547" s="332"/>
      <c r="CM547" s="332"/>
      <c r="CN547" s="332"/>
      <c r="CO547" s="332"/>
      <c r="CP547" s="332"/>
      <c r="CQ547" s="332"/>
      <c r="CR547" s="332"/>
      <c r="CS547" s="332"/>
      <c r="CT547" s="332"/>
      <c r="CU547" s="332"/>
      <c r="CV547" s="332"/>
      <c r="CW547" s="332"/>
      <c r="CX547" s="332"/>
      <c r="CY547" s="332"/>
      <c r="CZ547" s="332"/>
      <c r="DA547" s="332"/>
      <c r="DB547" s="332"/>
      <c r="DC547" s="332"/>
      <c r="DD547" s="332"/>
      <c r="DE547" s="332"/>
      <c r="DF547" s="332"/>
      <c r="DG547" s="332"/>
      <c r="DH547" s="332"/>
      <c r="DI547" s="332"/>
      <c r="DJ547" s="332"/>
      <c r="DK547" s="332"/>
      <c r="DL547" s="332"/>
      <c r="DM547" s="332"/>
      <c r="DN547" s="332"/>
      <c r="DO547" s="332"/>
      <c r="DP547" s="332"/>
      <c r="DQ547" s="332"/>
      <c r="DR547" s="332"/>
      <c r="DS547" s="332"/>
      <c r="DT547" s="332"/>
      <c r="DU547" s="453"/>
      <c r="DV547" s="453"/>
      <c r="DW547" s="453"/>
      <c r="DX547" s="453"/>
      <c r="DY547" s="453"/>
      <c r="DZ547" s="453"/>
      <c r="EA547" s="453"/>
      <c r="EB547" s="453"/>
      <c r="EC547" s="453"/>
      <c r="ED547" s="453"/>
      <c r="EE547" s="453"/>
      <c r="EF547" s="453"/>
      <c r="EG547" s="453"/>
      <c r="EH547" s="453"/>
      <c r="EI547" s="453"/>
      <c r="EJ547" s="453"/>
      <c r="EK547" s="453"/>
      <c r="EL547" s="453"/>
      <c r="EM547" s="483">
        <f t="shared" si="221"/>
        <v>238</v>
      </c>
      <c r="EN547" s="485"/>
      <c r="EO547" s="804"/>
      <c r="EP547" s="805"/>
      <c r="EQ547" s="820"/>
      <c r="ER547" s="808"/>
      <c r="ES547" s="881">
        <f t="shared" si="222"/>
        <v>0</v>
      </c>
      <c r="ET547" s="882"/>
      <c r="EU547" s="883"/>
      <c r="EV547" s="884">
        <f t="shared" si="220"/>
        <v>0</v>
      </c>
      <c r="EW547" s="885"/>
      <c r="EX547" s="885"/>
      <c r="EY547" s="885"/>
      <c r="EZ547" s="885"/>
      <c r="FA547" s="885"/>
      <c r="FB547" s="885"/>
      <c r="FC547" s="885"/>
      <c r="FD547" s="886"/>
      <c r="FE547" s="878"/>
      <c r="FF547" s="878"/>
      <c r="FG547" s="878"/>
      <c r="FH547" s="878"/>
      <c r="FI547" s="878"/>
      <c r="FJ547" s="878"/>
      <c r="FK547" s="878"/>
      <c r="FL547" s="555"/>
      <c r="FM547" s="554"/>
      <c r="FN547" s="554"/>
      <c r="FO547" s="554"/>
      <c r="FP547" s="554"/>
      <c r="FQ547" s="554"/>
      <c r="FR547" s="554"/>
      <c r="FS547" s="554"/>
      <c r="FT547" s="554"/>
      <c r="FU547" s="554"/>
      <c r="FV547" s="554"/>
      <c r="FW547" s="554"/>
      <c r="FX547" s="554"/>
      <c r="FY547" s="554"/>
      <c r="FZ547" s="554"/>
      <c r="GA547" s="554"/>
      <c r="GB547" s="556"/>
      <c r="GC547" s="370"/>
      <c r="GD547" s="453"/>
      <c r="GE547" s="453"/>
      <c r="GF547" s="453"/>
      <c r="GG547" s="453"/>
      <c r="GH547" s="454"/>
      <c r="GI547" s="453"/>
      <c r="GJ547" s="453"/>
      <c r="GK547" s="453"/>
      <c r="GL547" s="453"/>
      <c r="GM547" s="453"/>
      <c r="GN547" s="453"/>
      <c r="GO547" s="453"/>
      <c r="GP547" s="453"/>
      <c r="GQ547" s="453"/>
      <c r="GR547" s="453"/>
      <c r="GS547" s="561"/>
      <c r="GT547" s="475"/>
      <c r="GU547" s="472"/>
      <c r="GV547" s="453"/>
      <c r="GW547" s="453"/>
      <c r="GX547" s="869"/>
      <c r="GY547" s="870"/>
      <c r="GZ547" s="867"/>
      <c r="HA547" s="868"/>
      <c r="HB547" s="473"/>
      <c r="HC547" s="869"/>
      <c r="HD547" s="870"/>
      <c r="HE547" s="867"/>
      <c r="HF547" s="868"/>
      <c r="HG547" s="473"/>
      <c r="HH547" s="867"/>
      <c r="HI547" s="868"/>
      <c r="HJ547" s="867"/>
      <c r="HK547" s="868"/>
      <c r="HL547" s="370"/>
      <c r="HM547" s="865"/>
      <c r="HN547" s="866"/>
      <c r="HO547" s="865"/>
      <c r="HP547" s="866"/>
      <c r="HQ547" s="865"/>
      <c r="HR547" s="866"/>
      <c r="HS547" s="867"/>
      <c r="HT547" s="868"/>
      <c r="HU547" s="489"/>
      <c r="HV547" s="865"/>
      <c r="HW547" s="866"/>
    </row>
    <row r="548" spans="25:231" ht="15" customHeight="1">
      <c r="Y548" s="332"/>
      <c r="Z548" s="332"/>
      <c r="AA548" s="332"/>
      <c r="AB548" s="332"/>
      <c r="AC548" s="332"/>
      <c r="AD548" s="332"/>
      <c r="AE548" s="332"/>
      <c r="AF548" s="332"/>
      <c r="AG548" s="332"/>
      <c r="AH548" s="332"/>
      <c r="AI548" s="332"/>
      <c r="AJ548" s="332"/>
      <c r="AK548" s="332"/>
      <c r="AL548" s="332"/>
      <c r="AM548" s="332"/>
      <c r="AN548" s="332"/>
      <c r="AO548" s="332"/>
      <c r="AP548" s="332"/>
      <c r="AQ548" s="332"/>
      <c r="AR548" s="332"/>
      <c r="AS548" s="332"/>
      <c r="AT548" s="332"/>
      <c r="AU548" s="332"/>
      <c r="AV548" s="332"/>
      <c r="AW548" s="332"/>
      <c r="AX548" s="332"/>
      <c r="AY548" s="332"/>
      <c r="AZ548" s="332"/>
      <c r="BA548" s="332"/>
      <c r="BB548" s="332"/>
      <c r="BC548" s="332"/>
      <c r="BD548" s="332"/>
      <c r="BE548" s="332"/>
      <c r="BF548" s="332"/>
      <c r="BG548" s="332"/>
      <c r="BH548" s="332"/>
      <c r="BI548" s="332"/>
      <c r="BJ548" s="332"/>
      <c r="BK548" s="332"/>
      <c r="BL548" s="332"/>
      <c r="BM548" s="332"/>
      <c r="BN548" s="332"/>
      <c r="BO548" s="332"/>
      <c r="BP548" s="332"/>
      <c r="BQ548" s="332"/>
      <c r="BR548" s="332"/>
      <c r="BS548" s="332"/>
      <c r="BT548" s="332"/>
      <c r="BU548" s="332"/>
      <c r="BV548" s="332"/>
      <c r="BW548" s="332"/>
      <c r="BX548" s="332"/>
      <c r="BY548" s="332"/>
      <c r="BZ548" s="332"/>
      <c r="CA548" s="332"/>
      <c r="CB548" s="332"/>
      <c r="CC548" s="332"/>
      <c r="CD548" s="332"/>
      <c r="CE548" s="332"/>
      <c r="CF548" s="332"/>
      <c r="CG548" s="332"/>
      <c r="CH548" s="332"/>
      <c r="CI548" s="332"/>
      <c r="CJ548" s="332"/>
      <c r="CK548" s="332"/>
      <c r="CL548" s="332"/>
      <c r="CM548" s="332"/>
      <c r="CN548" s="332"/>
      <c r="CO548" s="332"/>
      <c r="CP548" s="332"/>
      <c r="CQ548" s="332"/>
      <c r="CR548" s="332"/>
      <c r="CS548" s="332"/>
      <c r="CT548" s="332"/>
      <c r="CU548" s="332"/>
      <c r="CV548" s="332"/>
      <c r="CW548" s="332"/>
      <c r="CX548" s="332"/>
      <c r="CY548" s="332"/>
      <c r="CZ548" s="332"/>
      <c r="DA548" s="332"/>
      <c r="DB548" s="332"/>
      <c r="DC548" s="332"/>
      <c r="DD548" s="332"/>
      <c r="DE548" s="332"/>
      <c r="DF548" s="332"/>
      <c r="DG548" s="332"/>
      <c r="DH548" s="332"/>
      <c r="DI548" s="332"/>
      <c r="DJ548" s="332"/>
      <c r="DK548" s="332"/>
      <c r="DL548" s="332"/>
      <c r="DM548" s="332"/>
      <c r="DN548" s="332"/>
      <c r="DO548" s="332"/>
      <c r="DP548" s="332"/>
      <c r="DQ548" s="332"/>
      <c r="DR548" s="332"/>
      <c r="DS548" s="332"/>
      <c r="DT548" s="332"/>
      <c r="DU548" s="453"/>
      <c r="DV548" s="453"/>
      <c r="DW548" s="453"/>
      <c r="DX548" s="453"/>
      <c r="DY548" s="453"/>
      <c r="DZ548" s="453"/>
      <c r="EA548" s="453"/>
      <c r="EB548" s="453"/>
      <c r="EC548" s="453"/>
      <c r="ED548" s="453"/>
      <c r="EE548" s="453"/>
      <c r="EF548" s="453"/>
      <c r="EG548" s="453"/>
      <c r="EH548" s="453"/>
      <c r="EI548" s="453"/>
      <c r="EJ548" s="453"/>
      <c r="EK548" s="453"/>
      <c r="EL548" s="453"/>
      <c r="EM548" s="483">
        <f t="shared" si="221"/>
        <v>239</v>
      </c>
      <c r="EN548" s="485"/>
      <c r="EO548" s="804"/>
      <c r="EP548" s="805"/>
      <c r="EQ548" s="806"/>
      <c r="ER548" s="808"/>
      <c r="ES548" s="881">
        <f t="shared" si="222"/>
        <v>0</v>
      </c>
      <c r="ET548" s="882"/>
      <c r="EU548" s="883"/>
      <c r="EV548" s="884">
        <f t="shared" si="220"/>
        <v>0</v>
      </c>
      <c r="EW548" s="885"/>
      <c r="EX548" s="885"/>
      <c r="EY548" s="885"/>
      <c r="EZ548" s="885"/>
      <c r="FA548" s="885"/>
      <c r="FB548" s="885"/>
      <c r="FC548" s="885"/>
      <c r="FD548" s="886"/>
      <c r="FE548" s="878"/>
      <c r="FF548" s="878"/>
      <c r="FG548" s="878"/>
      <c r="FH548" s="878"/>
      <c r="FI548" s="878"/>
      <c r="FJ548" s="878"/>
      <c r="FK548" s="878"/>
      <c r="FL548" s="555"/>
      <c r="FM548" s="554"/>
      <c r="FN548" s="554"/>
      <c r="FO548" s="554"/>
      <c r="FP548" s="554"/>
      <c r="FQ548" s="554"/>
      <c r="FR548" s="554"/>
      <c r="FS548" s="554"/>
      <c r="FT548" s="554"/>
      <c r="FU548" s="554"/>
      <c r="FV548" s="554"/>
      <c r="FW548" s="554"/>
      <c r="FX548" s="554"/>
      <c r="FY548" s="554"/>
      <c r="FZ548" s="554"/>
      <c r="GA548" s="554"/>
      <c r="GB548" s="556"/>
      <c r="GC548" s="370"/>
      <c r="GD548" s="453"/>
      <c r="GE548" s="453"/>
      <c r="GF548" s="453"/>
      <c r="GG548" s="453"/>
      <c r="GH548" s="454"/>
      <c r="GI548" s="453"/>
      <c r="GJ548" s="453"/>
      <c r="GK548" s="453"/>
      <c r="GL548" s="453"/>
      <c r="GM548" s="453"/>
      <c r="GN548" s="453"/>
      <c r="GO548" s="453"/>
      <c r="GP548" s="453"/>
      <c r="GQ548" s="453"/>
      <c r="GR548" s="453"/>
      <c r="GS548" s="561"/>
      <c r="GT548" s="475"/>
      <c r="GU548" s="472"/>
      <c r="GV548" s="453"/>
      <c r="GW548" s="453"/>
      <c r="GX548" s="869"/>
      <c r="GY548" s="870"/>
      <c r="GZ548" s="867"/>
      <c r="HA548" s="868"/>
      <c r="HB548" s="473"/>
      <c r="HC548" s="869"/>
      <c r="HD548" s="870"/>
      <c r="HE548" s="867"/>
      <c r="HF548" s="868"/>
      <c r="HG548" s="473"/>
      <c r="HH548" s="867"/>
      <c r="HI548" s="868"/>
      <c r="HJ548" s="867"/>
      <c r="HK548" s="868"/>
      <c r="HL548" s="370"/>
      <c r="HM548" s="865"/>
      <c r="HN548" s="866"/>
      <c r="HO548" s="865"/>
      <c r="HP548" s="866"/>
      <c r="HQ548" s="865"/>
      <c r="HR548" s="866"/>
      <c r="HS548" s="867"/>
      <c r="HT548" s="868"/>
      <c r="HU548" s="489"/>
      <c r="HV548" s="865"/>
      <c r="HW548" s="866"/>
    </row>
    <row r="549" spans="25:231" ht="15" customHeight="1">
      <c r="Y549" s="332"/>
      <c r="Z549" s="332"/>
      <c r="AA549" s="332"/>
      <c r="AB549" s="332"/>
      <c r="AC549" s="332"/>
      <c r="AD549" s="332"/>
      <c r="AE549" s="332"/>
      <c r="AF549" s="332"/>
      <c r="AG549" s="332"/>
      <c r="AH549" s="332"/>
      <c r="AI549" s="332"/>
      <c r="AJ549" s="332"/>
      <c r="AK549" s="332"/>
      <c r="AL549" s="332"/>
      <c r="AM549" s="332"/>
      <c r="AN549" s="332"/>
      <c r="AO549" s="332"/>
      <c r="AP549" s="332"/>
      <c r="AQ549" s="332"/>
      <c r="AR549" s="332"/>
      <c r="AS549" s="332"/>
      <c r="AT549" s="332"/>
      <c r="AU549" s="332"/>
      <c r="AV549" s="332"/>
      <c r="AW549" s="332"/>
      <c r="AX549" s="332"/>
      <c r="AY549" s="332"/>
      <c r="AZ549" s="332"/>
      <c r="BA549" s="332"/>
      <c r="BB549" s="332"/>
      <c r="BC549" s="332"/>
      <c r="BD549" s="332"/>
      <c r="BE549" s="332"/>
      <c r="BF549" s="332"/>
      <c r="BG549" s="332"/>
      <c r="BH549" s="332"/>
      <c r="BI549" s="332"/>
      <c r="BJ549" s="332"/>
      <c r="BK549" s="332"/>
      <c r="BL549" s="332"/>
      <c r="BM549" s="332"/>
      <c r="BN549" s="332"/>
      <c r="BO549" s="332"/>
      <c r="BP549" s="332"/>
      <c r="BQ549" s="332"/>
      <c r="BR549" s="332"/>
      <c r="BS549" s="332"/>
      <c r="BT549" s="332"/>
      <c r="BU549" s="332"/>
      <c r="BV549" s="332"/>
      <c r="BW549" s="332"/>
      <c r="BX549" s="332"/>
      <c r="BY549" s="332"/>
      <c r="BZ549" s="332"/>
      <c r="CA549" s="332"/>
      <c r="CB549" s="332"/>
      <c r="CC549" s="332"/>
      <c r="CD549" s="332"/>
      <c r="CE549" s="332"/>
      <c r="CF549" s="332"/>
      <c r="CG549" s="332"/>
      <c r="CH549" s="332"/>
      <c r="CI549" s="332"/>
      <c r="CJ549" s="332"/>
      <c r="CK549" s="332"/>
      <c r="CL549" s="332"/>
      <c r="CM549" s="332"/>
      <c r="CN549" s="332"/>
      <c r="CO549" s="332"/>
      <c r="CP549" s="332"/>
      <c r="CQ549" s="332"/>
      <c r="CR549" s="332"/>
      <c r="CS549" s="332"/>
      <c r="CT549" s="332"/>
      <c r="CU549" s="332"/>
      <c r="CV549" s="332"/>
      <c r="CW549" s="332"/>
      <c r="CX549" s="332"/>
      <c r="CY549" s="332"/>
      <c r="CZ549" s="332"/>
      <c r="DA549" s="332"/>
      <c r="DB549" s="332"/>
      <c r="DC549" s="332"/>
      <c r="DD549" s="332"/>
      <c r="DE549" s="332"/>
      <c r="DF549" s="332"/>
      <c r="DG549" s="332"/>
      <c r="DH549" s="332"/>
      <c r="DI549" s="332"/>
      <c r="DJ549" s="332"/>
      <c r="DK549" s="332"/>
      <c r="DL549" s="332"/>
      <c r="DM549" s="332"/>
      <c r="DN549" s="332"/>
      <c r="DO549" s="332"/>
      <c r="DP549" s="332"/>
      <c r="DQ549" s="332"/>
      <c r="DR549" s="332"/>
      <c r="DS549" s="332"/>
      <c r="DT549" s="332"/>
      <c r="DU549" s="453"/>
      <c r="DV549" s="453"/>
      <c r="DW549" s="453"/>
      <c r="DX549" s="453"/>
      <c r="DY549" s="453"/>
      <c r="DZ549" s="453"/>
      <c r="EA549" s="453"/>
      <c r="EB549" s="453"/>
      <c r="EC549" s="453"/>
      <c r="ED549" s="453"/>
      <c r="EE549" s="453"/>
      <c r="EF549" s="453"/>
      <c r="EG549" s="453"/>
      <c r="EH549" s="453"/>
      <c r="EI549" s="453"/>
      <c r="EJ549" s="453"/>
      <c r="EK549" s="453"/>
      <c r="EL549" s="453"/>
      <c r="EM549" s="483">
        <f t="shared" si="221"/>
        <v>240</v>
      </c>
      <c r="EN549" s="485"/>
      <c r="EO549" s="804"/>
      <c r="EP549" s="805"/>
      <c r="EQ549" s="820"/>
      <c r="ER549" s="808"/>
      <c r="ES549" s="881">
        <f t="shared" si="222"/>
        <v>0</v>
      </c>
      <c r="ET549" s="882"/>
      <c r="EU549" s="883"/>
      <c r="EV549" s="884">
        <f t="shared" si="220"/>
        <v>0</v>
      </c>
      <c r="EW549" s="885"/>
      <c r="EX549" s="885"/>
      <c r="EY549" s="885"/>
      <c r="EZ549" s="885"/>
      <c r="FA549" s="885"/>
      <c r="FB549" s="885"/>
      <c r="FC549" s="885"/>
      <c r="FD549" s="886"/>
      <c r="FE549" s="878"/>
      <c r="FF549" s="878"/>
      <c r="FG549" s="878"/>
      <c r="FH549" s="878"/>
      <c r="FI549" s="878"/>
      <c r="FJ549" s="878"/>
      <c r="FK549" s="878"/>
      <c r="FL549" s="555"/>
      <c r="FM549" s="554"/>
      <c r="FN549" s="554"/>
      <c r="FO549" s="554"/>
      <c r="FP549" s="554"/>
      <c r="FQ549" s="554"/>
      <c r="FR549" s="554"/>
      <c r="FS549" s="554"/>
      <c r="FT549" s="554"/>
      <c r="FU549" s="554"/>
      <c r="FV549" s="554"/>
      <c r="FW549" s="554"/>
      <c r="FX549" s="554"/>
      <c r="FY549" s="554"/>
      <c r="FZ549" s="554"/>
      <c r="GA549" s="554"/>
      <c r="GB549" s="556"/>
      <c r="GC549" s="370"/>
      <c r="GD549" s="453"/>
      <c r="GE549" s="453"/>
      <c r="GF549" s="453"/>
      <c r="GG549" s="453"/>
      <c r="GH549" s="454"/>
      <c r="GI549" s="453"/>
      <c r="GJ549" s="453"/>
      <c r="GK549" s="453"/>
      <c r="GL549" s="453"/>
      <c r="GM549" s="453"/>
      <c r="GN549" s="453"/>
      <c r="GO549" s="453"/>
      <c r="GP549" s="453"/>
      <c r="GQ549" s="453"/>
      <c r="GR549" s="453"/>
      <c r="GS549" s="561"/>
      <c r="GT549" s="475"/>
      <c r="GU549" s="472"/>
      <c r="GV549" s="453"/>
      <c r="GW549" s="453"/>
      <c r="GX549" s="869"/>
      <c r="GY549" s="870"/>
      <c r="GZ549" s="867"/>
      <c r="HA549" s="868"/>
      <c r="HB549" s="473"/>
      <c r="HC549" s="869"/>
      <c r="HD549" s="870"/>
      <c r="HE549" s="867"/>
      <c r="HF549" s="868"/>
      <c r="HG549" s="473"/>
      <c r="HH549" s="867"/>
      <c r="HI549" s="868"/>
      <c r="HJ549" s="867"/>
      <c r="HK549" s="868"/>
      <c r="HL549" s="370"/>
      <c r="HM549" s="865"/>
      <c r="HN549" s="866"/>
      <c r="HO549" s="865"/>
      <c r="HP549" s="866"/>
      <c r="HQ549" s="865"/>
      <c r="HR549" s="866"/>
      <c r="HS549" s="867"/>
      <c r="HT549" s="868"/>
      <c r="HU549" s="489"/>
      <c r="HV549" s="865"/>
      <c r="HW549" s="866"/>
    </row>
    <row r="550" spans="25:231" ht="15" customHeight="1">
      <c r="Y550" s="332"/>
      <c r="Z550" s="332"/>
      <c r="AA550" s="332"/>
      <c r="AB550" s="332"/>
      <c r="AC550" s="332"/>
      <c r="AD550" s="332"/>
      <c r="AE550" s="332"/>
      <c r="AF550" s="332"/>
      <c r="AG550" s="332"/>
      <c r="AH550" s="332"/>
      <c r="AI550" s="332"/>
      <c r="AJ550" s="332"/>
      <c r="AK550" s="332"/>
      <c r="AL550" s="332"/>
      <c r="AM550" s="332"/>
      <c r="AN550" s="332"/>
      <c r="AO550" s="332"/>
      <c r="AP550" s="332"/>
      <c r="AQ550" s="332"/>
      <c r="AR550" s="332"/>
      <c r="AS550" s="332"/>
      <c r="AT550" s="332"/>
      <c r="AU550" s="332"/>
      <c r="AV550" s="332"/>
      <c r="AW550" s="332"/>
      <c r="AX550" s="332"/>
      <c r="AY550" s="332"/>
      <c r="AZ550" s="332"/>
      <c r="BA550" s="332"/>
      <c r="BB550" s="332"/>
      <c r="BC550" s="332"/>
      <c r="BD550" s="332"/>
      <c r="BE550" s="332"/>
      <c r="BF550" s="332"/>
      <c r="BG550" s="332"/>
      <c r="BH550" s="332"/>
      <c r="BI550" s="332"/>
      <c r="BJ550" s="332"/>
      <c r="BK550" s="332"/>
      <c r="BL550" s="332"/>
      <c r="BM550" s="332"/>
      <c r="BN550" s="332"/>
      <c r="BO550" s="332"/>
      <c r="BP550" s="332"/>
      <c r="BQ550" s="332"/>
      <c r="BR550" s="332"/>
      <c r="BS550" s="332"/>
      <c r="BT550" s="332"/>
      <c r="BU550" s="332"/>
      <c r="BV550" s="332"/>
      <c r="BW550" s="332"/>
      <c r="BX550" s="332"/>
      <c r="BY550" s="332"/>
      <c r="BZ550" s="332"/>
      <c r="CA550" s="332"/>
      <c r="CB550" s="332"/>
      <c r="CC550" s="332"/>
      <c r="CD550" s="332"/>
      <c r="CE550" s="332"/>
      <c r="CF550" s="332"/>
      <c r="CG550" s="332"/>
      <c r="CH550" s="332"/>
      <c r="CI550" s="332"/>
      <c r="CJ550" s="332"/>
      <c r="CK550" s="332"/>
      <c r="CL550" s="332"/>
      <c r="CM550" s="332"/>
      <c r="CN550" s="332"/>
      <c r="CO550" s="332"/>
      <c r="CP550" s="332"/>
      <c r="CQ550" s="332"/>
      <c r="CR550" s="332"/>
      <c r="CS550" s="332"/>
      <c r="CT550" s="332"/>
      <c r="CU550" s="332"/>
      <c r="CV550" s="332"/>
      <c r="CW550" s="332"/>
      <c r="CX550" s="332"/>
      <c r="CY550" s="332"/>
      <c r="CZ550" s="332"/>
      <c r="DA550" s="332"/>
      <c r="DB550" s="332"/>
      <c r="DC550" s="332"/>
      <c r="DD550" s="332"/>
      <c r="DE550" s="332"/>
      <c r="DF550" s="332"/>
      <c r="DG550" s="332"/>
      <c r="DH550" s="332"/>
      <c r="DI550" s="332"/>
      <c r="DJ550" s="332"/>
      <c r="DK550" s="332"/>
      <c r="DL550" s="332"/>
      <c r="DM550" s="332"/>
      <c r="DN550" s="332"/>
      <c r="DO550" s="332"/>
      <c r="DP550" s="332"/>
      <c r="DQ550" s="332"/>
      <c r="DR550" s="332"/>
      <c r="DS550" s="332"/>
      <c r="DT550" s="332"/>
      <c r="DU550" s="453"/>
      <c r="DV550" s="453"/>
      <c r="DW550" s="453"/>
      <c r="DX550" s="453"/>
      <c r="DY550" s="453"/>
      <c r="DZ550" s="453"/>
      <c r="EA550" s="453"/>
      <c r="EB550" s="453"/>
      <c r="EC550" s="453"/>
      <c r="ED550" s="453"/>
      <c r="EE550" s="453"/>
      <c r="EF550" s="453"/>
      <c r="EG550" s="453"/>
      <c r="EH550" s="453"/>
      <c r="EI550" s="453"/>
      <c r="EJ550" s="453"/>
      <c r="EK550" s="453"/>
      <c r="EL550" s="453"/>
      <c r="EM550" s="483">
        <f t="shared" si="221"/>
        <v>241</v>
      </c>
      <c r="EN550" s="485"/>
      <c r="EO550" s="804"/>
      <c r="EP550" s="805"/>
      <c r="EQ550" s="806"/>
      <c r="ER550" s="808"/>
      <c r="ES550" s="881">
        <f t="shared" si="222"/>
        <v>0</v>
      </c>
      <c r="ET550" s="882"/>
      <c r="EU550" s="883"/>
      <c r="EV550" s="884">
        <f t="shared" si="220"/>
        <v>0</v>
      </c>
      <c r="EW550" s="885"/>
      <c r="EX550" s="885"/>
      <c r="EY550" s="885"/>
      <c r="EZ550" s="885"/>
      <c r="FA550" s="885"/>
      <c r="FB550" s="885"/>
      <c r="FC550" s="885"/>
      <c r="FD550" s="886"/>
      <c r="FE550" s="878"/>
      <c r="FF550" s="878"/>
      <c r="FG550" s="878"/>
      <c r="FH550" s="878"/>
      <c r="FI550" s="878"/>
      <c r="FJ550" s="878"/>
      <c r="FK550" s="878"/>
      <c r="FL550" s="555"/>
      <c r="FM550" s="554"/>
      <c r="FN550" s="554"/>
      <c r="FO550" s="554"/>
      <c r="FP550" s="554"/>
      <c r="FQ550" s="554"/>
      <c r="FR550" s="554"/>
      <c r="FS550" s="554"/>
      <c r="FT550" s="554"/>
      <c r="FU550" s="554"/>
      <c r="FV550" s="554"/>
      <c r="FW550" s="554"/>
      <c r="FX550" s="554"/>
      <c r="FY550" s="554"/>
      <c r="FZ550" s="554"/>
      <c r="GA550" s="554"/>
      <c r="GB550" s="556"/>
      <c r="GC550" s="370"/>
      <c r="GD550" s="453"/>
      <c r="GE550" s="453"/>
      <c r="GF550" s="453"/>
      <c r="GG550" s="453"/>
      <c r="GH550" s="454"/>
      <c r="GI550" s="453"/>
      <c r="GJ550" s="453"/>
      <c r="GK550" s="453"/>
      <c r="GL550" s="453"/>
      <c r="GM550" s="453"/>
      <c r="GN550" s="453"/>
      <c r="GO550" s="453"/>
      <c r="GP550" s="453"/>
      <c r="GQ550" s="453"/>
      <c r="GR550" s="453"/>
      <c r="GS550" s="561"/>
      <c r="GT550" s="475"/>
      <c r="GU550" s="472"/>
      <c r="GV550" s="453"/>
      <c r="GW550" s="453"/>
      <c r="GX550" s="869"/>
      <c r="GY550" s="870"/>
      <c r="GZ550" s="867"/>
      <c r="HA550" s="868"/>
      <c r="HB550" s="473"/>
      <c r="HC550" s="869"/>
      <c r="HD550" s="870"/>
      <c r="HE550" s="867"/>
      <c r="HF550" s="868"/>
      <c r="HG550" s="473"/>
      <c r="HH550" s="867"/>
      <c r="HI550" s="868"/>
      <c r="HJ550" s="867"/>
      <c r="HK550" s="868"/>
      <c r="HL550" s="370"/>
      <c r="HM550" s="865"/>
      <c r="HN550" s="866"/>
      <c r="HO550" s="865"/>
      <c r="HP550" s="866"/>
      <c r="HQ550" s="865"/>
      <c r="HR550" s="866"/>
      <c r="HS550" s="867"/>
      <c r="HT550" s="868"/>
      <c r="HU550" s="489"/>
      <c r="HV550" s="865"/>
      <c r="HW550" s="866"/>
    </row>
    <row r="551" spans="25:231" ht="15" customHeight="1">
      <c r="Y551" s="332"/>
      <c r="Z551" s="332"/>
      <c r="AA551" s="332"/>
      <c r="AB551" s="332"/>
      <c r="AC551" s="332"/>
      <c r="AD551" s="332"/>
      <c r="AE551" s="332"/>
      <c r="AF551" s="332"/>
      <c r="AG551" s="332"/>
      <c r="AH551" s="332"/>
      <c r="AI551" s="332"/>
      <c r="AJ551" s="332"/>
      <c r="AK551" s="332"/>
      <c r="AL551" s="332"/>
      <c r="AM551" s="332"/>
      <c r="AN551" s="332"/>
      <c r="AO551" s="332"/>
      <c r="AP551" s="332"/>
      <c r="AQ551" s="332"/>
      <c r="AR551" s="332"/>
      <c r="AS551" s="332"/>
      <c r="AT551" s="332"/>
      <c r="AU551" s="332"/>
      <c r="AV551" s="332"/>
      <c r="AW551" s="332"/>
      <c r="AX551" s="332"/>
      <c r="AY551" s="332"/>
      <c r="AZ551" s="332"/>
      <c r="BA551" s="332"/>
      <c r="BB551" s="332"/>
      <c r="BC551" s="332"/>
      <c r="BD551" s="332"/>
      <c r="BE551" s="332"/>
      <c r="BF551" s="332"/>
      <c r="BG551" s="332"/>
      <c r="BH551" s="332"/>
      <c r="BI551" s="332"/>
      <c r="BJ551" s="332"/>
      <c r="BK551" s="332"/>
      <c r="BL551" s="332"/>
      <c r="BM551" s="332"/>
      <c r="BN551" s="332"/>
      <c r="BO551" s="332"/>
      <c r="BP551" s="332"/>
      <c r="BQ551" s="332"/>
      <c r="BR551" s="332"/>
      <c r="BS551" s="332"/>
      <c r="BT551" s="332"/>
      <c r="BU551" s="332"/>
      <c r="BV551" s="332"/>
      <c r="BW551" s="332"/>
      <c r="BX551" s="332"/>
      <c r="BY551" s="332"/>
      <c r="BZ551" s="332"/>
      <c r="CA551" s="332"/>
      <c r="CB551" s="332"/>
      <c r="CC551" s="332"/>
      <c r="CD551" s="332"/>
      <c r="CE551" s="332"/>
      <c r="CF551" s="332"/>
      <c r="CG551" s="332"/>
      <c r="CH551" s="332"/>
      <c r="CI551" s="332"/>
      <c r="CJ551" s="332"/>
      <c r="CK551" s="332"/>
      <c r="CL551" s="332"/>
      <c r="CM551" s="332"/>
      <c r="CN551" s="332"/>
      <c r="CO551" s="332"/>
      <c r="CP551" s="332"/>
      <c r="CQ551" s="332"/>
      <c r="CR551" s="332"/>
      <c r="CS551" s="332"/>
      <c r="CT551" s="332"/>
      <c r="CU551" s="332"/>
      <c r="CV551" s="332"/>
      <c r="CW551" s="332"/>
      <c r="CX551" s="332"/>
      <c r="CY551" s="332"/>
      <c r="CZ551" s="332"/>
      <c r="DA551" s="332"/>
      <c r="DB551" s="332"/>
      <c r="DC551" s="332"/>
      <c r="DD551" s="332"/>
      <c r="DE551" s="332"/>
      <c r="DF551" s="332"/>
      <c r="DG551" s="332"/>
      <c r="DH551" s="332"/>
      <c r="DI551" s="332"/>
      <c r="DJ551" s="332"/>
      <c r="DK551" s="332"/>
      <c r="DL551" s="332"/>
      <c r="DM551" s="332"/>
      <c r="DN551" s="332"/>
      <c r="DO551" s="332"/>
      <c r="DP551" s="332"/>
      <c r="DQ551" s="332"/>
      <c r="DR551" s="332"/>
      <c r="DS551" s="332"/>
      <c r="DT551" s="332"/>
      <c r="DU551" s="453"/>
      <c r="DV551" s="453"/>
      <c r="DW551" s="453"/>
      <c r="DX551" s="453"/>
      <c r="DY551" s="453"/>
      <c r="DZ551" s="453"/>
      <c r="EA551" s="453"/>
      <c r="EB551" s="453"/>
      <c r="EC551" s="453"/>
      <c r="ED551" s="453"/>
      <c r="EE551" s="453"/>
      <c r="EF551" s="453"/>
      <c r="EG551" s="453"/>
      <c r="EH551" s="453"/>
      <c r="EI551" s="453"/>
      <c r="EJ551" s="453"/>
      <c r="EK551" s="453"/>
      <c r="EL551" s="453"/>
      <c r="EM551" s="483">
        <f t="shared" si="221"/>
        <v>242</v>
      </c>
      <c r="EN551" s="485"/>
      <c r="EO551" s="804"/>
      <c r="EP551" s="805"/>
      <c r="EQ551" s="820"/>
      <c r="ER551" s="808"/>
      <c r="ES551" s="881">
        <f t="shared" si="222"/>
        <v>0</v>
      </c>
      <c r="ET551" s="882"/>
      <c r="EU551" s="883"/>
      <c r="EV551" s="884">
        <f t="shared" si="220"/>
        <v>0</v>
      </c>
      <c r="EW551" s="885"/>
      <c r="EX551" s="885"/>
      <c r="EY551" s="885"/>
      <c r="EZ551" s="885"/>
      <c r="FA551" s="885"/>
      <c r="FB551" s="885"/>
      <c r="FC551" s="885"/>
      <c r="FD551" s="886"/>
      <c r="FE551" s="878"/>
      <c r="FF551" s="878"/>
      <c r="FG551" s="878"/>
      <c r="FH551" s="878"/>
      <c r="FI551" s="878"/>
      <c r="FJ551" s="878"/>
      <c r="FK551" s="878"/>
      <c r="FL551" s="555"/>
      <c r="FM551" s="554"/>
      <c r="FN551" s="554"/>
      <c r="FO551" s="554"/>
      <c r="FP551" s="554"/>
      <c r="FQ551" s="554"/>
      <c r="FR551" s="554"/>
      <c r="FS551" s="554"/>
      <c r="FT551" s="554"/>
      <c r="FU551" s="554"/>
      <c r="FV551" s="554"/>
      <c r="FW551" s="554"/>
      <c r="FX551" s="554"/>
      <c r="FY551" s="554"/>
      <c r="FZ551" s="554"/>
      <c r="GA551" s="554"/>
      <c r="GB551" s="556"/>
      <c r="GC551" s="370"/>
      <c r="GD551" s="453"/>
      <c r="GE551" s="453"/>
      <c r="GF551" s="453"/>
      <c r="GG551" s="453"/>
      <c r="GH551" s="454"/>
      <c r="GI551" s="453"/>
      <c r="GJ551" s="453"/>
      <c r="GK551" s="453"/>
      <c r="GL551" s="453"/>
      <c r="GM551" s="453"/>
      <c r="GN551" s="453"/>
      <c r="GO551" s="453"/>
      <c r="GP551" s="453"/>
      <c r="GQ551" s="453"/>
      <c r="GR551" s="453"/>
      <c r="GS551" s="561"/>
      <c r="GT551" s="475"/>
      <c r="GU551" s="472"/>
      <c r="GV551" s="453"/>
      <c r="GW551" s="453"/>
      <c r="GX551" s="869"/>
      <c r="GY551" s="870"/>
      <c r="GZ551" s="867"/>
      <c r="HA551" s="868"/>
      <c r="HB551" s="473"/>
      <c r="HC551" s="869"/>
      <c r="HD551" s="870"/>
      <c r="HE551" s="867"/>
      <c r="HF551" s="868"/>
      <c r="HG551" s="473"/>
      <c r="HH551" s="867"/>
      <c r="HI551" s="868"/>
      <c r="HJ551" s="867"/>
      <c r="HK551" s="868"/>
      <c r="HL551" s="370"/>
      <c r="HM551" s="865"/>
      <c r="HN551" s="866"/>
      <c r="HO551" s="865"/>
      <c r="HP551" s="866"/>
      <c r="HQ551" s="865"/>
      <c r="HR551" s="866"/>
      <c r="HS551" s="867"/>
      <c r="HT551" s="868"/>
      <c r="HU551" s="489"/>
      <c r="HV551" s="865"/>
      <c r="HW551" s="866"/>
    </row>
    <row r="552" spans="25:231" ht="15" customHeight="1">
      <c r="Y552" s="332"/>
      <c r="Z552" s="332"/>
      <c r="AA552" s="332"/>
      <c r="AB552" s="332"/>
      <c r="AC552" s="332"/>
      <c r="AD552" s="332"/>
      <c r="AE552" s="332"/>
      <c r="AF552" s="332"/>
      <c r="AG552" s="332"/>
      <c r="AH552" s="332"/>
      <c r="AI552" s="332"/>
      <c r="AJ552" s="332"/>
      <c r="AK552" s="332"/>
      <c r="AL552" s="332"/>
      <c r="AM552" s="332"/>
      <c r="AN552" s="332"/>
      <c r="AO552" s="332"/>
      <c r="AP552" s="332"/>
      <c r="AQ552" s="332"/>
      <c r="AR552" s="332"/>
      <c r="AS552" s="332"/>
      <c r="AT552" s="332"/>
      <c r="AU552" s="332"/>
      <c r="AV552" s="332"/>
      <c r="AW552" s="332"/>
      <c r="AX552" s="332"/>
      <c r="AY552" s="332"/>
      <c r="AZ552" s="332"/>
      <c r="BA552" s="332"/>
      <c r="BB552" s="332"/>
      <c r="BC552" s="332"/>
      <c r="BD552" s="332"/>
      <c r="BE552" s="332"/>
      <c r="BF552" s="332"/>
      <c r="BG552" s="332"/>
      <c r="BH552" s="332"/>
      <c r="BI552" s="332"/>
      <c r="BJ552" s="332"/>
      <c r="BK552" s="332"/>
      <c r="BL552" s="332"/>
      <c r="BM552" s="332"/>
      <c r="BN552" s="332"/>
      <c r="BO552" s="332"/>
      <c r="BP552" s="332"/>
      <c r="BQ552" s="332"/>
      <c r="BR552" s="332"/>
      <c r="BS552" s="332"/>
      <c r="BT552" s="332"/>
      <c r="BU552" s="332"/>
      <c r="BV552" s="332"/>
      <c r="BW552" s="332"/>
      <c r="BX552" s="332"/>
      <c r="BY552" s="332"/>
      <c r="BZ552" s="332"/>
      <c r="CA552" s="332"/>
      <c r="CB552" s="332"/>
      <c r="CC552" s="332"/>
      <c r="CD552" s="332"/>
      <c r="CE552" s="332"/>
      <c r="CF552" s="332"/>
      <c r="CG552" s="332"/>
      <c r="CH552" s="332"/>
      <c r="CI552" s="332"/>
      <c r="CJ552" s="332"/>
      <c r="CK552" s="332"/>
      <c r="CL552" s="332"/>
      <c r="CM552" s="332"/>
      <c r="CN552" s="332"/>
      <c r="CO552" s="332"/>
      <c r="CP552" s="332"/>
      <c r="CQ552" s="332"/>
      <c r="CR552" s="332"/>
      <c r="CS552" s="332"/>
      <c r="CT552" s="332"/>
      <c r="CU552" s="332"/>
      <c r="CV552" s="332"/>
      <c r="CW552" s="332"/>
      <c r="CX552" s="332"/>
      <c r="CY552" s="332"/>
      <c r="CZ552" s="332"/>
      <c r="DA552" s="332"/>
      <c r="DB552" s="332"/>
      <c r="DC552" s="332"/>
      <c r="DD552" s="332"/>
      <c r="DE552" s="332"/>
      <c r="DF552" s="332"/>
      <c r="DG552" s="332"/>
      <c r="DH552" s="332"/>
      <c r="DI552" s="332"/>
      <c r="DJ552" s="332"/>
      <c r="DK552" s="332"/>
      <c r="DL552" s="332"/>
      <c r="DM552" s="332"/>
      <c r="DN552" s="332"/>
      <c r="DO552" s="332"/>
      <c r="DP552" s="332"/>
      <c r="DQ552" s="332"/>
      <c r="DR552" s="332"/>
      <c r="DS552" s="332"/>
      <c r="DT552" s="332"/>
      <c r="DU552" s="453"/>
      <c r="DV552" s="453"/>
      <c r="DW552" s="453"/>
      <c r="DX552" s="453"/>
      <c r="DY552" s="453"/>
      <c r="DZ552" s="453"/>
      <c r="EA552" s="453"/>
      <c r="EB552" s="453"/>
      <c r="EC552" s="453"/>
      <c r="ED552" s="453"/>
      <c r="EE552" s="453"/>
      <c r="EF552" s="453"/>
      <c r="EG552" s="453"/>
      <c r="EH552" s="453"/>
      <c r="EI552" s="453"/>
      <c r="EJ552" s="453"/>
      <c r="EK552" s="453"/>
      <c r="EL552" s="453"/>
      <c r="EM552" s="483">
        <f t="shared" si="221"/>
        <v>243</v>
      </c>
      <c r="EN552" s="485"/>
      <c r="EO552" s="804"/>
      <c r="EP552" s="805"/>
      <c r="EQ552" s="806"/>
      <c r="ER552" s="808"/>
      <c r="ES552" s="881">
        <f t="shared" si="222"/>
        <v>0</v>
      </c>
      <c r="ET552" s="882"/>
      <c r="EU552" s="883"/>
      <c r="EV552" s="884">
        <f t="shared" si="220"/>
        <v>0</v>
      </c>
      <c r="EW552" s="885"/>
      <c r="EX552" s="885"/>
      <c r="EY552" s="885"/>
      <c r="EZ552" s="885"/>
      <c r="FA552" s="885"/>
      <c r="FB552" s="885"/>
      <c r="FC552" s="885"/>
      <c r="FD552" s="886"/>
      <c r="FE552" s="878"/>
      <c r="FF552" s="878"/>
      <c r="FG552" s="878"/>
      <c r="FH552" s="878"/>
      <c r="FI552" s="878"/>
      <c r="FJ552" s="878"/>
      <c r="FK552" s="878"/>
      <c r="FL552" s="555"/>
      <c r="FM552" s="554"/>
      <c r="FN552" s="554"/>
      <c r="FO552" s="554"/>
      <c r="FP552" s="554"/>
      <c r="FQ552" s="554"/>
      <c r="FR552" s="554"/>
      <c r="FS552" s="554"/>
      <c r="FT552" s="554"/>
      <c r="FU552" s="554"/>
      <c r="FV552" s="554"/>
      <c r="FW552" s="554"/>
      <c r="FX552" s="554"/>
      <c r="FY552" s="554"/>
      <c r="FZ552" s="554"/>
      <c r="GA552" s="554"/>
      <c r="GB552" s="556"/>
      <c r="GC552" s="370"/>
      <c r="GD552" s="453"/>
      <c r="GE552" s="453"/>
      <c r="GF552" s="453"/>
      <c r="GG552" s="453"/>
      <c r="GH552" s="454"/>
      <c r="GI552" s="453"/>
      <c r="GJ552" s="453"/>
      <c r="GK552" s="453"/>
      <c r="GL552" s="453"/>
      <c r="GM552" s="453"/>
      <c r="GN552" s="453"/>
      <c r="GO552" s="453"/>
      <c r="GP552" s="453"/>
      <c r="GQ552" s="453"/>
      <c r="GR552" s="453"/>
      <c r="GS552" s="561"/>
      <c r="GT552" s="475"/>
      <c r="GU552" s="472"/>
      <c r="GV552" s="453"/>
      <c r="GW552" s="453"/>
      <c r="GX552" s="869"/>
      <c r="GY552" s="870"/>
      <c r="GZ552" s="867"/>
      <c r="HA552" s="868"/>
      <c r="HB552" s="473"/>
      <c r="HC552" s="869"/>
      <c r="HD552" s="870"/>
      <c r="HE552" s="867"/>
      <c r="HF552" s="868"/>
      <c r="HG552" s="473"/>
      <c r="HH552" s="867"/>
      <c r="HI552" s="868"/>
      <c r="HJ552" s="867"/>
      <c r="HK552" s="868"/>
      <c r="HL552" s="370"/>
      <c r="HM552" s="865"/>
      <c r="HN552" s="866"/>
      <c r="HO552" s="865"/>
      <c r="HP552" s="866"/>
      <c r="HQ552" s="865"/>
      <c r="HR552" s="866"/>
      <c r="HS552" s="867"/>
      <c r="HT552" s="868"/>
      <c r="HU552" s="489"/>
      <c r="HV552" s="865"/>
      <c r="HW552" s="866"/>
    </row>
    <row r="553" spans="25:231" ht="15" customHeight="1">
      <c r="Y553" s="332"/>
      <c r="Z553" s="332"/>
      <c r="AA553" s="332"/>
      <c r="AB553" s="332"/>
      <c r="AC553" s="332"/>
      <c r="AD553" s="332"/>
      <c r="AE553" s="332"/>
      <c r="AF553" s="332"/>
      <c r="AG553" s="332"/>
      <c r="AH553" s="332"/>
      <c r="AI553" s="332"/>
      <c r="AJ553" s="332"/>
      <c r="AK553" s="332"/>
      <c r="AL553" s="332"/>
      <c r="AM553" s="332"/>
      <c r="AN553" s="332"/>
      <c r="AO553" s="332"/>
      <c r="AP553" s="332"/>
      <c r="AQ553" s="332"/>
      <c r="AR553" s="332"/>
      <c r="AS553" s="332"/>
      <c r="AT553" s="332"/>
      <c r="AU553" s="332"/>
      <c r="AV553" s="332"/>
      <c r="AW553" s="332"/>
      <c r="AX553" s="332"/>
      <c r="AY553" s="332"/>
      <c r="AZ553" s="332"/>
      <c r="BA553" s="332"/>
      <c r="BB553" s="332"/>
      <c r="BC553" s="332"/>
      <c r="BD553" s="332"/>
      <c r="BE553" s="332"/>
      <c r="BF553" s="332"/>
      <c r="BG553" s="332"/>
      <c r="BH553" s="332"/>
      <c r="BI553" s="332"/>
      <c r="BJ553" s="332"/>
      <c r="BK553" s="332"/>
      <c r="BL553" s="332"/>
      <c r="BM553" s="332"/>
      <c r="BN553" s="332"/>
      <c r="BO553" s="332"/>
      <c r="BP553" s="332"/>
      <c r="BQ553" s="332"/>
      <c r="BR553" s="332"/>
      <c r="BS553" s="332"/>
      <c r="BT553" s="332"/>
      <c r="BU553" s="332"/>
      <c r="BV553" s="332"/>
      <c r="BW553" s="332"/>
      <c r="BX553" s="332"/>
      <c r="BY553" s="332"/>
      <c r="BZ553" s="332"/>
      <c r="CA553" s="332"/>
      <c r="CB553" s="332"/>
      <c r="CC553" s="332"/>
      <c r="CD553" s="332"/>
      <c r="CE553" s="332"/>
      <c r="CF553" s="332"/>
      <c r="CG553" s="332"/>
      <c r="CH553" s="332"/>
      <c r="CI553" s="332"/>
      <c r="CJ553" s="332"/>
      <c r="CK553" s="332"/>
      <c r="CL553" s="332"/>
      <c r="CM553" s="332"/>
      <c r="CN553" s="332"/>
      <c r="CO553" s="332"/>
      <c r="CP553" s="332"/>
      <c r="CQ553" s="332"/>
      <c r="CR553" s="332"/>
      <c r="CS553" s="332"/>
      <c r="CT553" s="332"/>
      <c r="CU553" s="332"/>
      <c r="CV553" s="332"/>
      <c r="CW553" s="332"/>
      <c r="CX553" s="332"/>
      <c r="CY553" s="332"/>
      <c r="CZ553" s="332"/>
      <c r="DA553" s="332"/>
      <c r="DB553" s="332"/>
      <c r="DC553" s="332"/>
      <c r="DD553" s="332"/>
      <c r="DE553" s="332"/>
      <c r="DF553" s="332"/>
      <c r="DG553" s="332"/>
      <c r="DH553" s="332"/>
      <c r="DI553" s="332"/>
      <c r="DJ553" s="332"/>
      <c r="DK553" s="332"/>
      <c r="DL553" s="332"/>
      <c r="DM553" s="332"/>
      <c r="DN553" s="332"/>
      <c r="DO553" s="332"/>
      <c r="DP553" s="332"/>
      <c r="DQ553" s="332"/>
      <c r="DR553" s="332"/>
      <c r="DS553" s="332"/>
      <c r="DT553" s="332"/>
      <c r="DU553" s="453"/>
      <c r="DV553" s="453"/>
      <c r="DW553" s="453"/>
      <c r="DX553" s="453"/>
      <c r="DY553" s="453"/>
      <c r="DZ553" s="453"/>
      <c r="EA553" s="453"/>
      <c r="EB553" s="453"/>
      <c r="EC553" s="453"/>
      <c r="ED553" s="453"/>
      <c r="EE553" s="453"/>
      <c r="EF553" s="453"/>
      <c r="EG553" s="453"/>
      <c r="EH553" s="453"/>
      <c r="EI553" s="453"/>
      <c r="EJ553" s="453"/>
      <c r="EK553" s="453"/>
      <c r="EL553" s="453"/>
      <c r="EM553" s="483">
        <f t="shared" si="221"/>
        <v>244</v>
      </c>
      <c r="EN553" s="485"/>
      <c r="EO553" s="804"/>
      <c r="EP553" s="805"/>
      <c r="EQ553" s="820"/>
      <c r="ER553" s="808"/>
      <c r="ES553" s="881">
        <f t="shared" si="222"/>
        <v>0</v>
      </c>
      <c r="ET553" s="882"/>
      <c r="EU553" s="883"/>
      <c r="EV553" s="884">
        <f t="shared" si="220"/>
        <v>0</v>
      </c>
      <c r="EW553" s="885"/>
      <c r="EX553" s="885"/>
      <c r="EY553" s="885"/>
      <c r="EZ553" s="885"/>
      <c r="FA553" s="885"/>
      <c r="FB553" s="885"/>
      <c r="FC553" s="885"/>
      <c r="FD553" s="886"/>
      <c r="FE553" s="878"/>
      <c r="FF553" s="878"/>
      <c r="FG553" s="878"/>
      <c r="FH553" s="878"/>
      <c r="FI553" s="878"/>
      <c r="FJ553" s="878"/>
      <c r="FK553" s="878"/>
      <c r="FL553" s="555"/>
      <c r="FM553" s="554"/>
      <c r="FN553" s="554"/>
      <c r="FO553" s="554"/>
      <c r="FP553" s="554"/>
      <c r="FQ553" s="554"/>
      <c r="FR553" s="554"/>
      <c r="FS553" s="554"/>
      <c r="FT553" s="554"/>
      <c r="FU553" s="554"/>
      <c r="FV553" s="554"/>
      <c r="FW553" s="554"/>
      <c r="FX553" s="554"/>
      <c r="FY553" s="554"/>
      <c r="FZ553" s="554"/>
      <c r="GA553" s="554"/>
      <c r="GB553" s="556"/>
      <c r="GC553" s="370"/>
      <c r="GD553" s="453"/>
      <c r="GE553" s="453"/>
      <c r="GF553" s="453"/>
      <c r="GG553" s="453"/>
      <c r="GH553" s="454"/>
      <c r="GI553" s="453"/>
      <c r="GJ553" s="453"/>
      <c r="GK553" s="453"/>
      <c r="GL553" s="453"/>
      <c r="GM553" s="453"/>
      <c r="GN553" s="453"/>
      <c r="GO553" s="453"/>
      <c r="GP553" s="453"/>
      <c r="GQ553" s="453"/>
      <c r="GR553" s="453"/>
      <c r="GS553" s="561"/>
      <c r="GT553" s="475"/>
      <c r="GU553" s="472"/>
      <c r="GV553" s="453"/>
      <c r="GW553" s="453"/>
      <c r="GX553" s="869"/>
      <c r="GY553" s="870"/>
      <c r="GZ553" s="867"/>
      <c r="HA553" s="868"/>
      <c r="HB553" s="473"/>
      <c r="HC553" s="869"/>
      <c r="HD553" s="870"/>
      <c r="HE553" s="867"/>
      <c r="HF553" s="868"/>
      <c r="HG553" s="473"/>
      <c r="HH553" s="867"/>
      <c r="HI553" s="868"/>
      <c r="HJ553" s="867"/>
      <c r="HK553" s="868"/>
      <c r="HL553" s="370"/>
      <c r="HM553" s="865"/>
      <c r="HN553" s="866"/>
      <c r="HO553" s="865"/>
      <c r="HP553" s="866"/>
      <c r="HQ553" s="865"/>
      <c r="HR553" s="866"/>
      <c r="HS553" s="867"/>
      <c r="HT553" s="868"/>
      <c r="HU553" s="489"/>
      <c r="HV553" s="865"/>
      <c r="HW553" s="866"/>
    </row>
    <row r="554" spans="25:231" ht="15" customHeight="1">
      <c r="Y554" s="332"/>
      <c r="Z554" s="332"/>
      <c r="AA554" s="332"/>
      <c r="AB554" s="332"/>
      <c r="AC554" s="332"/>
      <c r="AD554" s="332"/>
      <c r="AE554" s="332"/>
      <c r="AF554" s="332"/>
      <c r="AG554" s="332"/>
      <c r="AH554" s="332"/>
      <c r="AI554" s="332"/>
      <c r="AJ554" s="332"/>
      <c r="AK554" s="332"/>
      <c r="AL554" s="332"/>
      <c r="AM554" s="332"/>
      <c r="AN554" s="332"/>
      <c r="AO554" s="332"/>
      <c r="AP554" s="332"/>
      <c r="AQ554" s="332"/>
      <c r="AR554" s="332"/>
      <c r="AS554" s="332"/>
      <c r="AT554" s="332"/>
      <c r="AU554" s="332"/>
      <c r="AV554" s="332"/>
      <c r="AW554" s="332"/>
      <c r="AX554" s="332"/>
      <c r="AY554" s="332"/>
      <c r="AZ554" s="332"/>
      <c r="BA554" s="332"/>
      <c r="BB554" s="332"/>
      <c r="BC554" s="332"/>
      <c r="BD554" s="332"/>
      <c r="BE554" s="332"/>
      <c r="BF554" s="332"/>
      <c r="BG554" s="332"/>
      <c r="BH554" s="332"/>
      <c r="BI554" s="332"/>
      <c r="BJ554" s="332"/>
      <c r="BK554" s="332"/>
      <c r="BL554" s="332"/>
      <c r="BM554" s="332"/>
      <c r="BN554" s="332"/>
      <c r="BO554" s="332"/>
      <c r="BP554" s="332"/>
      <c r="BQ554" s="332"/>
      <c r="BR554" s="332"/>
      <c r="BS554" s="332"/>
      <c r="BT554" s="332"/>
      <c r="BU554" s="332"/>
      <c r="BV554" s="332"/>
      <c r="BW554" s="332"/>
      <c r="BX554" s="332"/>
      <c r="BY554" s="332"/>
      <c r="BZ554" s="332"/>
      <c r="CA554" s="332"/>
      <c r="CB554" s="332"/>
      <c r="CC554" s="332"/>
      <c r="CD554" s="332"/>
      <c r="CE554" s="332"/>
      <c r="CF554" s="332"/>
      <c r="CG554" s="332"/>
      <c r="CH554" s="332"/>
      <c r="CI554" s="332"/>
      <c r="CJ554" s="332"/>
      <c r="CK554" s="332"/>
      <c r="CL554" s="332"/>
      <c r="CM554" s="332"/>
      <c r="CN554" s="332"/>
      <c r="CO554" s="332"/>
      <c r="CP554" s="332"/>
      <c r="CQ554" s="332"/>
      <c r="CR554" s="332"/>
      <c r="CS554" s="332"/>
      <c r="CT554" s="332"/>
      <c r="CU554" s="332"/>
      <c r="CV554" s="332"/>
      <c r="CW554" s="332"/>
      <c r="CX554" s="332"/>
      <c r="CY554" s="332"/>
      <c r="CZ554" s="332"/>
      <c r="DA554" s="332"/>
      <c r="DB554" s="332"/>
      <c r="DC554" s="332"/>
      <c r="DD554" s="332"/>
      <c r="DE554" s="332"/>
      <c r="DF554" s="332"/>
      <c r="DG554" s="332"/>
      <c r="DH554" s="332"/>
      <c r="DI554" s="332"/>
      <c r="DJ554" s="332"/>
      <c r="DK554" s="332"/>
      <c r="DL554" s="332"/>
      <c r="DM554" s="332"/>
      <c r="DN554" s="332"/>
      <c r="DO554" s="332"/>
      <c r="DP554" s="332"/>
      <c r="DQ554" s="332"/>
      <c r="DR554" s="332"/>
      <c r="DS554" s="332"/>
      <c r="DT554" s="332"/>
      <c r="DU554" s="453"/>
      <c r="DV554" s="453"/>
      <c r="DW554" s="453"/>
      <c r="DX554" s="453"/>
      <c r="DY554" s="453"/>
      <c r="DZ554" s="453"/>
      <c r="EA554" s="453"/>
      <c r="EB554" s="453"/>
      <c r="EC554" s="453"/>
      <c r="ED554" s="453"/>
      <c r="EE554" s="453"/>
      <c r="EF554" s="453"/>
      <c r="EG554" s="453"/>
      <c r="EH554" s="453"/>
      <c r="EI554" s="453"/>
      <c r="EJ554" s="453"/>
      <c r="EK554" s="453"/>
      <c r="EL554" s="453"/>
      <c r="EM554" s="483">
        <f t="shared" si="221"/>
        <v>245</v>
      </c>
      <c r="EN554" s="485"/>
      <c r="EO554" s="804"/>
      <c r="EP554" s="805"/>
      <c r="EQ554" s="806"/>
      <c r="ER554" s="808"/>
      <c r="ES554" s="881">
        <f t="shared" si="222"/>
        <v>0</v>
      </c>
      <c r="ET554" s="882"/>
      <c r="EU554" s="883"/>
      <c r="EV554" s="884">
        <f t="shared" si="220"/>
        <v>0</v>
      </c>
      <c r="EW554" s="885"/>
      <c r="EX554" s="885"/>
      <c r="EY554" s="885"/>
      <c r="EZ554" s="885"/>
      <c r="FA554" s="885"/>
      <c r="FB554" s="885"/>
      <c r="FC554" s="885"/>
      <c r="FD554" s="886"/>
      <c r="FE554" s="878"/>
      <c r="FF554" s="878"/>
      <c r="FG554" s="878"/>
      <c r="FH554" s="878"/>
      <c r="FI554" s="878"/>
      <c r="FJ554" s="878"/>
      <c r="FK554" s="878"/>
      <c r="FL554" s="555"/>
      <c r="FM554" s="554"/>
      <c r="FN554" s="554"/>
      <c r="FO554" s="554"/>
      <c r="FP554" s="554"/>
      <c r="FQ554" s="554"/>
      <c r="FR554" s="554"/>
      <c r="FS554" s="554"/>
      <c r="FT554" s="554"/>
      <c r="FU554" s="554"/>
      <c r="FV554" s="554"/>
      <c r="FW554" s="554"/>
      <c r="FX554" s="554"/>
      <c r="FY554" s="554"/>
      <c r="FZ554" s="554"/>
      <c r="GA554" s="554"/>
      <c r="GB554" s="556"/>
      <c r="GC554" s="370"/>
      <c r="GD554" s="453"/>
      <c r="GE554" s="453"/>
      <c r="GF554" s="453"/>
      <c r="GG554" s="453"/>
      <c r="GH554" s="454"/>
      <c r="GI554" s="453"/>
      <c r="GJ554" s="453"/>
      <c r="GK554" s="453"/>
      <c r="GL554" s="453"/>
      <c r="GM554" s="453"/>
      <c r="GN554" s="453"/>
      <c r="GO554" s="453"/>
      <c r="GP554" s="453"/>
      <c r="GQ554" s="453"/>
      <c r="GR554" s="453"/>
      <c r="GS554" s="561"/>
      <c r="GT554" s="475"/>
      <c r="GU554" s="472"/>
      <c r="GV554" s="453"/>
      <c r="GW554" s="453"/>
      <c r="GX554" s="869"/>
      <c r="GY554" s="870"/>
      <c r="GZ554" s="867"/>
      <c r="HA554" s="868"/>
      <c r="HB554" s="473"/>
      <c r="HC554" s="869"/>
      <c r="HD554" s="870"/>
      <c r="HE554" s="867"/>
      <c r="HF554" s="868"/>
      <c r="HG554" s="473"/>
      <c r="HH554" s="867"/>
      <c r="HI554" s="868"/>
      <c r="HJ554" s="867"/>
      <c r="HK554" s="868"/>
      <c r="HL554" s="370"/>
      <c r="HM554" s="865"/>
      <c r="HN554" s="866"/>
      <c r="HO554" s="865"/>
      <c r="HP554" s="866"/>
      <c r="HQ554" s="865"/>
      <c r="HR554" s="866"/>
      <c r="HS554" s="867"/>
      <c r="HT554" s="868"/>
      <c r="HU554" s="489"/>
      <c r="HV554" s="865"/>
      <c r="HW554" s="866"/>
    </row>
    <row r="555" spans="25:231" ht="15" customHeight="1">
      <c r="Y555" s="332"/>
      <c r="Z555" s="332"/>
      <c r="AA555" s="332"/>
      <c r="AB555" s="332"/>
      <c r="AC555" s="332"/>
      <c r="AD555" s="332"/>
      <c r="AE555" s="332"/>
      <c r="AF555" s="332"/>
      <c r="AG555" s="332"/>
      <c r="AH555" s="332"/>
      <c r="AI555" s="332"/>
      <c r="AJ555" s="332"/>
      <c r="AK555" s="332"/>
      <c r="AL555" s="332"/>
      <c r="AM555" s="332"/>
      <c r="AN555" s="332"/>
      <c r="AO555" s="332"/>
      <c r="AP555" s="332"/>
      <c r="AQ555" s="332"/>
      <c r="AR555" s="332"/>
      <c r="AS555" s="332"/>
      <c r="AT555" s="332"/>
      <c r="AU555" s="332"/>
      <c r="AV555" s="332"/>
      <c r="AW555" s="332"/>
      <c r="AX555" s="332"/>
      <c r="AY555" s="332"/>
      <c r="AZ555" s="332"/>
      <c r="BA555" s="332"/>
      <c r="BB555" s="332"/>
      <c r="BC555" s="332"/>
      <c r="BD555" s="332"/>
      <c r="BE555" s="332"/>
      <c r="BF555" s="332"/>
      <c r="BG555" s="332"/>
      <c r="BH555" s="332"/>
      <c r="BI555" s="332"/>
      <c r="BJ555" s="332"/>
      <c r="BK555" s="332"/>
      <c r="BL555" s="332"/>
      <c r="BM555" s="332"/>
      <c r="BN555" s="332"/>
      <c r="BO555" s="332"/>
      <c r="BP555" s="332"/>
      <c r="BQ555" s="332"/>
      <c r="BR555" s="332"/>
      <c r="BS555" s="332"/>
      <c r="BT555" s="332"/>
      <c r="BU555" s="332"/>
      <c r="BV555" s="332"/>
      <c r="BW555" s="332"/>
      <c r="BX555" s="332"/>
      <c r="BY555" s="332"/>
      <c r="BZ555" s="332"/>
      <c r="CA555" s="332"/>
      <c r="CB555" s="332"/>
      <c r="CC555" s="332"/>
      <c r="CD555" s="332"/>
      <c r="CE555" s="332"/>
      <c r="CF555" s="332"/>
      <c r="CG555" s="332"/>
      <c r="CH555" s="332"/>
      <c r="CI555" s="332"/>
      <c r="CJ555" s="332"/>
      <c r="CK555" s="332"/>
      <c r="CL555" s="332"/>
      <c r="CM555" s="332"/>
      <c r="CN555" s="332"/>
      <c r="CO555" s="332"/>
      <c r="CP555" s="332"/>
      <c r="CQ555" s="332"/>
      <c r="CR555" s="332"/>
      <c r="CS555" s="332"/>
      <c r="CT555" s="332"/>
      <c r="CU555" s="332"/>
      <c r="CV555" s="332"/>
      <c r="CW555" s="332"/>
      <c r="CX555" s="332"/>
      <c r="CY555" s="332"/>
      <c r="CZ555" s="332"/>
      <c r="DA555" s="332"/>
      <c r="DB555" s="332"/>
      <c r="DC555" s="332"/>
      <c r="DD555" s="332"/>
      <c r="DE555" s="332"/>
      <c r="DF555" s="332"/>
      <c r="DG555" s="332"/>
      <c r="DH555" s="332"/>
      <c r="DI555" s="332"/>
      <c r="DJ555" s="332"/>
      <c r="DK555" s="332"/>
      <c r="DL555" s="332"/>
      <c r="DM555" s="332"/>
      <c r="DN555" s="332"/>
      <c r="DO555" s="332"/>
      <c r="DP555" s="332"/>
      <c r="DQ555" s="332"/>
      <c r="DR555" s="332"/>
      <c r="DS555" s="332"/>
      <c r="DT555" s="332"/>
      <c r="DU555" s="453"/>
      <c r="DV555" s="453"/>
      <c r="DW555" s="453"/>
      <c r="DX555" s="453"/>
      <c r="DY555" s="453"/>
      <c r="DZ555" s="453"/>
      <c r="EA555" s="453"/>
      <c r="EB555" s="453"/>
      <c r="EC555" s="453"/>
      <c r="ED555" s="453"/>
      <c r="EE555" s="453"/>
      <c r="EF555" s="453"/>
      <c r="EG555" s="453"/>
      <c r="EH555" s="453"/>
      <c r="EI555" s="453"/>
      <c r="EJ555" s="453"/>
      <c r="EK555" s="453"/>
      <c r="EL555" s="453"/>
      <c r="EM555" s="483">
        <f t="shared" si="221"/>
        <v>246</v>
      </c>
      <c r="EN555" s="485"/>
      <c r="EO555" s="804"/>
      <c r="EP555" s="805"/>
      <c r="EQ555" s="820"/>
      <c r="ER555" s="808"/>
      <c r="ES555" s="881">
        <f t="shared" si="222"/>
        <v>0</v>
      </c>
      <c r="ET555" s="882"/>
      <c r="EU555" s="883"/>
      <c r="EV555" s="884">
        <f t="shared" si="220"/>
        <v>0</v>
      </c>
      <c r="EW555" s="885"/>
      <c r="EX555" s="885"/>
      <c r="EY555" s="885"/>
      <c r="EZ555" s="885"/>
      <c r="FA555" s="885"/>
      <c r="FB555" s="885"/>
      <c r="FC555" s="885"/>
      <c r="FD555" s="886"/>
      <c r="FE555" s="878"/>
      <c r="FF555" s="878"/>
      <c r="FG555" s="878"/>
      <c r="FH555" s="878"/>
      <c r="FI555" s="878"/>
      <c r="FJ555" s="878"/>
      <c r="FK555" s="878"/>
      <c r="FL555" s="555"/>
      <c r="FM555" s="554"/>
      <c r="FN555" s="554"/>
      <c r="FO555" s="554"/>
      <c r="FP555" s="554"/>
      <c r="FQ555" s="554"/>
      <c r="FR555" s="554"/>
      <c r="FS555" s="554"/>
      <c r="FT555" s="554"/>
      <c r="FU555" s="554"/>
      <c r="FV555" s="554"/>
      <c r="FW555" s="554"/>
      <c r="FX555" s="554"/>
      <c r="FY555" s="554"/>
      <c r="FZ555" s="554"/>
      <c r="GA555" s="554"/>
      <c r="GB555" s="556"/>
      <c r="GC555" s="370"/>
      <c r="GD555" s="453"/>
      <c r="GE555" s="453"/>
      <c r="GF555" s="453"/>
      <c r="GG555" s="453"/>
      <c r="GH555" s="454"/>
      <c r="GI555" s="453"/>
      <c r="GJ555" s="453"/>
      <c r="GK555" s="453"/>
      <c r="GL555" s="453"/>
      <c r="GM555" s="453"/>
      <c r="GN555" s="453"/>
      <c r="GO555" s="453"/>
      <c r="GP555" s="453"/>
      <c r="GQ555" s="453"/>
      <c r="GR555" s="453"/>
      <c r="GS555" s="561"/>
      <c r="GT555" s="475"/>
      <c r="GU555" s="472"/>
      <c r="GV555" s="453"/>
      <c r="GW555" s="453"/>
      <c r="GX555" s="869"/>
      <c r="GY555" s="870"/>
      <c r="GZ555" s="867"/>
      <c r="HA555" s="868"/>
      <c r="HB555" s="473"/>
      <c r="HC555" s="869"/>
      <c r="HD555" s="870"/>
      <c r="HE555" s="867"/>
      <c r="HF555" s="868"/>
      <c r="HG555" s="473"/>
      <c r="HH555" s="867"/>
      <c r="HI555" s="868"/>
      <c r="HJ555" s="867"/>
      <c r="HK555" s="868"/>
      <c r="HL555" s="370"/>
      <c r="HM555" s="865"/>
      <c r="HN555" s="866"/>
      <c r="HO555" s="865"/>
      <c r="HP555" s="866"/>
      <c r="HQ555" s="865"/>
      <c r="HR555" s="866"/>
      <c r="HS555" s="867"/>
      <c r="HT555" s="868"/>
      <c r="HU555" s="489"/>
      <c r="HV555" s="865"/>
      <c r="HW555" s="866"/>
    </row>
    <row r="556" spans="25:231" ht="15" customHeight="1">
      <c r="Y556" s="332"/>
      <c r="Z556" s="332"/>
      <c r="AA556" s="332"/>
      <c r="AB556" s="332"/>
      <c r="AC556" s="332"/>
      <c r="AD556" s="332"/>
      <c r="AE556" s="332"/>
      <c r="AF556" s="332"/>
      <c r="AG556" s="332"/>
      <c r="AH556" s="332"/>
      <c r="AI556" s="332"/>
      <c r="AJ556" s="332"/>
      <c r="AK556" s="332"/>
      <c r="AL556" s="332"/>
      <c r="AM556" s="332"/>
      <c r="AN556" s="332"/>
      <c r="AO556" s="332"/>
      <c r="AP556" s="332"/>
      <c r="AQ556" s="332"/>
      <c r="AR556" s="332"/>
      <c r="AS556" s="332"/>
      <c r="AT556" s="332"/>
      <c r="AU556" s="332"/>
      <c r="AV556" s="332"/>
      <c r="AW556" s="332"/>
      <c r="AX556" s="332"/>
      <c r="AY556" s="332"/>
      <c r="AZ556" s="332"/>
      <c r="BA556" s="332"/>
      <c r="BB556" s="332"/>
      <c r="BC556" s="332"/>
      <c r="BD556" s="332"/>
      <c r="BE556" s="332"/>
      <c r="BF556" s="332"/>
      <c r="BG556" s="332"/>
      <c r="BH556" s="332"/>
      <c r="BI556" s="332"/>
      <c r="BJ556" s="332"/>
      <c r="BK556" s="332"/>
      <c r="BL556" s="332"/>
      <c r="BM556" s="332"/>
      <c r="BN556" s="332"/>
      <c r="BO556" s="332"/>
      <c r="BP556" s="332"/>
      <c r="BQ556" s="332"/>
      <c r="BR556" s="332"/>
      <c r="BS556" s="332"/>
      <c r="BT556" s="332"/>
      <c r="BU556" s="332"/>
      <c r="BV556" s="332"/>
      <c r="BW556" s="332"/>
      <c r="BX556" s="332"/>
      <c r="BY556" s="332"/>
      <c r="BZ556" s="332"/>
      <c r="CA556" s="332"/>
      <c r="CB556" s="332"/>
      <c r="CC556" s="332"/>
      <c r="CD556" s="332"/>
      <c r="CE556" s="332"/>
      <c r="CF556" s="332"/>
      <c r="CG556" s="332"/>
      <c r="CH556" s="332"/>
      <c r="CI556" s="332"/>
      <c r="CJ556" s="332"/>
      <c r="CK556" s="332"/>
      <c r="CL556" s="332"/>
      <c r="CM556" s="332"/>
      <c r="CN556" s="332"/>
      <c r="CO556" s="332"/>
      <c r="CP556" s="332"/>
      <c r="CQ556" s="332"/>
      <c r="CR556" s="332"/>
      <c r="CS556" s="332"/>
      <c r="CT556" s="332"/>
      <c r="CU556" s="332"/>
      <c r="CV556" s="332"/>
      <c r="CW556" s="332"/>
      <c r="CX556" s="332"/>
      <c r="CY556" s="332"/>
      <c r="CZ556" s="332"/>
      <c r="DA556" s="332"/>
      <c r="DB556" s="332"/>
      <c r="DC556" s="332"/>
      <c r="DD556" s="332"/>
      <c r="DE556" s="332"/>
      <c r="DF556" s="332"/>
      <c r="DG556" s="332"/>
      <c r="DH556" s="332"/>
      <c r="DI556" s="332"/>
      <c r="DJ556" s="332"/>
      <c r="DK556" s="332"/>
      <c r="DL556" s="332"/>
      <c r="DM556" s="332"/>
      <c r="DN556" s="332"/>
      <c r="DO556" s="332"/>
      <c r="DP556" s="332"/>
      <c r="DQ556" s="332"/>
      <c r="DR556" s="332"/>
      <c r="DS556" s="332"/>
      <c r="DT556" s="332"/>
      <c r="DU556" s="453"/>
      <c r="DV556" s="453"/>
      <c r="DW556" s="453"/>
      <c r="DX556" s="453"/>
      <c r="DY556" s="453"/>
      <c r="DZ556" s="453"/>
      <c r="EA556" s="453"/>
      <c r="EB556" s="453"/>
      <c r="EC556" s="453"/>
      <c r="ED556" s="453"/>
      <c r="EE556" s="453"/>
      <c r="EF556" s="453"/>
      <c r="EG556" s="453"/>
      <c r="EH556" s="453"/>
      <c r="EI556" s="453"/>
      <c r="EJ556" s="453"/>
      <c r="EK556" s="453"/>
      <c r="EL556" s="453"/>
      <c r="EM556" s="483">
        <f t="shared" si="221"/>
        <v>247</v>
      </c>
      <c r="EN556" s="485"/>
      <c r="EO556" s="804"/>
      <c r="EP556" s="805"/>
      <c r="EQ556" s="806"/>
      <c r="ER556" s="808"/>
      <c r="ES556" s="881">
        <f t="shared" si="222"/>
        <v>0</v>
      </c>
      <c r="ET556" s="882"/>
      <c r="EU556" s="883"/>
      <c r="EV556" s="884">
        <f t="shared" si="220"/>
        <v>0</v>
      </c>
      <c r="EW556" s="885"/>
      <c r="EX556" s="885"/>
      <c r="EY556" s="885"/>
      <c r="EZ556" s="885"/>
      <c r="FA556" s="885"/>
      <c r="FB556" s="885"/>
      <c r="FC556" s="885"/>
      <c r="FD556" s="886"/>
      <c r="FE556" s="878"/>
      <c r="FF556" s="878"/>
      <c r="FG556" s="878"/>
      <c r="FH556" s="878"/>
      <c r="FI556" s="878"/>
      <c r="FJ556" s="878"/>
      <c r="FK556" s="878"/>
      <c r="FL556" s="555"/>
      <c r="FM556" s="554"/>
      <c r="FN556" s="554"/>
      <c r="FO556" s="554"/>
      <c r="FP556" s="554"/>
      <c r="FQ556" s="554"/>
      <c r="FR556" s="554"/>
      <c r="FS556" s="554"/>
      <c r="FT556" s="554"/>
      <c r="FU556" s="554"/>
      <c r="FV556" s="554"/>
      <c r="FW556" s="554"/>
      <c r="FX556" s="554"/>
      <c r="FY556" s="554"/>
      <c r="FZ556" s="554"/>
      <c r="GA556" s="554"/>
      <c r="GB556" s="556"/>
      <c r="GC556" s="370"/>
      <c r="GD556" s="453"/>
      <c r="GE556" s="453"/>
      <c r="GF556" s="453"/>
      <c r="GG556" s="453"/>
      <c r="GH556" s="454"/>
      <c r="GI556" s="453"/>
      <c r="GJ556" s="453"/>
      <c r="GK556" s="453"/>
      <c r="GL556" s="453"/>
      <c r="GM556" s="453"/>
      <c r="GN556" s="453"/>
      <c r="GO556" s="453"/>
      <c r="GP556" s="453"/>
      <c r="GQ556" s="453"/>
      <c r="GR556" s="453"/>
      <c r="GS556" s="561"/>
      <c r="GT556" s="475"/>
      <c r="GU556" s="472"/>
      <c r="GV556" s="453"/>
      <c r="GW556" s="453"/>
      <c r="GX556" s="869"/>
      <c r="GY556" s="870"/>
      <c r="GZ556" s="867"/>
      <c r="HA556" s="868"/>
      <c r="HB556" s="473"/>
      <c r="HC556" s="869"/>
      <c r="HD556" s="870"/>
      <c r="HE556" s="867"/>
      <c r="HF556" s="868"/>
      <c r="HG556" s="473"/>
      <c r="HH556" s="867"/>
      <c r="HI556" s="868"/>
      <c r="HJ556" s="867"/>
      <c r="HK556" s="868"/>
      <c r="HL556" s="370"/>
      <c r="HM556" s="865"/>
      <c r="HN556" s="866"/>
      <c r="HO556" s="865"/>
      <c r="HP556" s="866"/>
      <c r="HQ556" s="865"/>
      <c r="HR556" s="866"/>
      <c r="HS556" s="867"/>
      <c r="HT556" s="868"/>
      <c r="HU556" s="489"/>
      <c r="HV556" s="865"/>
      <c r="HW556" s="866"/>
    </row>
    <row r="557" spans="25:231" ht="15" customHeight="1">
      <c r="Y557" s="332"/>
      <c r="Z557" s="332"/>
      <c r="AA557" s="332"/>
      <c r="AB557" s="332"/>
      <c r="AC557" s="332"/>
      <c r="AD557" s="332"/>
      <c r="AE557" s="332"/>
      <c r="AF557" s="332"/>
      <c r="AG557" s="332"/>
      <c r="AH557" s="332"/>
      <c r="AI557" s="332"/>
      <c r="AJ557" s="332"/>
      <c r="AK557" s="332"/>
      <c r="AL557" s="332"/>
      <c r="AM557" s="332"/>
      <c r="AN557" s="332"/>
      <c r="AO557" s="332"/>
      <c r="AP557" s="332"/>
      <c r="AQ557" s="332"/>
      <c r="AR557" s="332"/>
      <c r="AS557" s="332"/>
      <c r="AT557" s="332"/>
      <c r="AU557" s="332"/>
      <c r="AV557" s="332"/>
      <c r="AW557" s="332"/>
      <c r="AX557" s="332"/>
      <c r="AY557" s="332"/>
      <c r="AZ557" s="332"/>
      <c r="BA557" s="332"/>
      <c r="BB557" s="332"/>
      <c r="BC557" s="332"/>
      <c r="BD557" s="332"/>
      <c r="BE557" s="332"/>
      <c r="BF557" s="332"/>
      <c r="BG557" s="332"/>
      <c r="BH557" s="332"/>
      <c r="BI557" s="332"/>
      <c r="BJ557" s="332"/>
      <c r="BK557" s="332"/>
      <c r="BL557" s="332"/>
      <c r="BM557" s="332"/>
      <c r="BN557" s="332"/>
      <c r="BO557" s="332"/>
      <c r="BP557" s="332"/>
      <c r="BQ557" s="332"/>
      <c r="BR557" s="332"/>
      <c r="BS557" s="332"/>
      <c r="BT557" s="332"/>
      <c r="BU557" s="332"/>
      <c r="BV557" s="332"/>
      <c r="BW557" s="332"/>
      <c r="BX557" s="332"/>
      <c r="BY557" s="332"/>
      <c r="BZ557" s="332"/>
      <c r="CA557" s="332"/>
      <c r="CB557" s="332"/>
      <c r="CC557" s="332"/>
      <c r="CD557" s="332"/>
      <c r="CE557" s="332"/>
      <c r="CF557" s="332"/>
      <c r="CG557" s="332"/>
      <c r="CH557" s="332"/>
      <c r="CI557" s="332"/>
      <c r="CJ557" s="332"/>
      <c r="CK557" s="332"/>
      <c r="CL557" s="332"/>
      <c r="CM557" s="332"/>
      <c r="CN557" s="332"/>
      <c r="CO557" s="332"/>
      <c r="CP557" s="332"/>
      <c r="CQ557" s="332"/>
      <c r="CR557" s="332"/>
      <c r="CS557" s="332"/>
      <c r="CT557" s="332"/>
      <c r="CU557" s="332"/>
      <c r="CV557" s="332"/>
      <c r="CW557" s="332"/>
      <c r="CX557" s="332"/>
      <c r="CY557" s="332"/>
      <c r="CZ557" s="332"/>
      <c r="DA557" s="332"/>
      <c r="DB557" s="332"/>
      <c r="DC557" s="332"/>
      <c r="DD557" s="332"/>
      <c r="DE557" s="332"/>
      <c r="DF557" s="332"/>
      <c r="DG557" s="332"/>
      <c r="DH557" s="332"/>
      <c r="DI557" s="332"/>
      <c r="DJ557" s="332"/>
      <c r="DK557" s="332"/>
      <c r="DL557" s="332"/>
      <c r="DM557" s="332"/>
      <c r="DN557" s="332"/>
      <c r="DO557" s="332"/>
      <c r="DP557" s="332"/>
      <c r="DQ557" s="332"/>
      <c r="DR557" s="332"/>
      <c r="DS557" s="332"/>
      <c r="DT557" s="332"/>
      <c r="DU557" s="453"/>
      <c r="DV557" s="453"/>
      <c r="DW557" s="453"/>
      <c r="DX557" s="453"/>
      <c r="DY557" s="453"/>
      <c r="DZ557" s="453"/>
      <c r="EA557" s="453"/>
      <c r="EB557" s="453"/>
      <c r="EC557" s="453"/>
      <c r="ED557" s="453"/>
      <c r="EE557" s="453"/>
      <c r="EF557" s="453"/>
      <c r="EG557" s="453"/>
      <c r="EH557" s="453"/>
      <c r="EI557" s="453"/>
      <c r="EJ557" s="453"/>
      <c r="EK557" s="453"/>
      <c r="EL557" s="453"/>
      <c r="EM557" s="483">
        <f t="shared" si="221"/>
        <v>248</v>
      </c>
      <c r="EN557" s="485"/>
      <c r="EO557" s="804"/>
      <c r="EP557" s="805"/>
      <c r="EQ557" s="820"/>
      <c r="ER557" s="808"/>
      <c r="ES557" s="881">
        <f t="shared" si="222"/>
        <v>0</v>
      </c>
      <c r="ET557" s="882"/>
      <c r="EU557" s="883"/>
      <c r="EV557" s="884">
        <f t="shared" si="220"/>
        <v>0</v>
      </c>
      <c r="EW557" s="885"/>
      <c r="EX557" s="885"/>
      <c r="EY557" s="885"/>
      <c r="EZ557" s="885"/>
      <c r="FA557" s="885"/>
      <c r="FB557" s="885"/>
      <c r="FC557" s="885"/>
      <c r="FD557" s="886"/>
      <c r="FE557" s="878"/>
      <c r="FF557" s="878"/>
      <c r="FG557" s="878"/>
      <c r="FH557" s="878"/>
      <c r="FI557" s="878"/>
      <c r="FJ557" s="878"/>
      <c r="FK557" s="878"/>
      <c r="FL557" s="555"/>
      <c r="FM557" s="554"/>
      <c r="FN557" s="554"/>
      <c r="FO557" s="554"/>
      <c r="FP557" s="554"/>
      <c r="FQ557" s="554"/>
      <c r="FR557" s="554"/>
      <c r="FS557" s="554"/>
      <c r="FT557" s="554"/>
      <c r="FU557" s="554"/>
      <c r="FV557" s="554"/>
      <c r="FW557" s="554"/>
      <c r="FX557" s="554"/>
      <c r="FY557" s="554"/>
      <c r="FZ557" s="554"/>
      <c r="GA557" s="554"/>
      <c r="GB557" s="556"/>
      <c r="GC557" s="370"/>
      <c r="GD557" s="453"/>
      <c r="GE557" s="453"/>
      <c r="GF557" s="453"/>
      <c r="GG557" s="453"/>
      <c r="GH557" s="454"/>
      <c r="GI557" s="453"/>
      <c r="GJ557" s="453"/>
      <c r="GK557" s="453"/>
      <c r="GL557" s="453"/>
      <c r="GM557" s="453"/>
      <c r="GN557" s="453"/>
      <c r="GO557" s="453"/>
      <c r="GP557" s="453"/>
      <c r="GQ557" s="453"/>
      <c r="GR557" s="453"/>
      <c r="GS557" s="561"/>
      <c r="GT557" s="475"/>
      <c r="GU557" s="472"/>
      <c r="GV557" s="453"/>
      <c r="GW557" s="453"/>
      <c r="GX557" s="869"/>
      <c r="GY557" s="870"/>
      <c r="GZ557" s="867"/>
      <c r="HA557" s="868"/>
      <c r="HB557" s="473"/>
      <c r="HC557" s="869"/>
      <c r="HD557" s="870"/>
      <c r="HE557" s="867"/>
      <c r="HF557" s="868"/>
      <c r="HG557" s="473"/>
      <c r="HH557" s="867"/>
      <c r="HI557" s="868"/>
      <c r="HJ557" s="867"/>
      <c r="HK557" s="868"/>
      <c r="HL557" s="370"/>
      <c r="HM557" s="865"/>
      <c r="HN557" s="866"/>
      <c r="HO557" s="865"/>
      <c r="HP557" s="866"/>
      <c r="HQ557" s="865"/>
      <c r="HR557" s="866"/>
      <c r="HS557" s="867"/>
      <c r="HT557" s="868"/>
      <c r="HU557" s="489"/>
      <c r="HV557" s="865"/>
      <c r="HW557" s="866"/>
    </row>
    <row r="558" spans="25:231" ht="15" customHeight="1">
      <c r="Y558" s="332"/>
      <c r="Z558" s="332"/>
      <c r="AA558" s="332"/>
      <c r="AB558" s="332"/>
      <c r="AC558" s="332"/>
      <c r="AD558" s="332"/>
      <c r="AE558" s="332"/>
      <c r="AF558" s="332"/>
      <c r="AG558" s="332"/>
      <c r="AH558" s="332"/>
      <c r="AI558" s="332"/>
      <c r="AJ558" s="332"/>
      <c r="AK558" s="332"/>
      <c r="AL558" s="332"/>
      <c r="AM558" s="332"/>
      <c r="AN558" s="332"/>
      <c r="AO558" s="332"/>
      <c r="AP558" s="332"/>
      <c r="AQ558" s="332"/>
      <c r="AR558" s="332"/>
      <c r="AS558" s="332"/>
      <c r="AT558" s="332"/>
      <c r="AU558" s="332"/>
      <c r="AV558" s="332"/>
      <c r="AW558" s="332"/>
      <c r="AX558" s="332"/>
      <c r="AY558" s="332"/>
      <c r="AZ558" s="332"/>
      <c r="BA558" s="332"/>
      <c r="BB558" s="332"/>
      <c r="BC558" s="332"/>
      <c r="BD558" s="332"/>
      <c r="BE558" s="332"/>
      <c r="BF558" s="332"/>
      <c r="BG558" s="332"/>
      <c r="BH558" s="332"/>
      <c r="BI558" s="332"/>
      <c r="BJ558" s="332"/>
      <c r="BK558" s="332"/>
      <c r="BL558" s="332"/>
      <c r="BM558" s="332"/>
      <c r="BN558" s="332"/>
      <c r="BO558" s="332"/>
      <c r="BP558" s="332"/>
      <c r="BQ558" s="332"/>
      <c r="BR558" s="332"/>
      <c r="BS558" s="332"/>
      <c r="BT558" s="332"/>
      <c r="BU558" s="332"/>
      <c r="BV558" s="332"/>
      <c r="BW558" s="332"/>
      <c r="BX558" s="332"/>
      <c r="BY558" s="332"/>
      <c r="BZ558" s="332"/>
      <c r="CA558" s="332"/>
      <c r="CB558" s="332"/>
      <c r="CC558" s="332"/>
      <c r="CD558" s="332"/>
      <c r="CE558" s="332"/>
      <c r="CF558" s="332"/>
      <c r="CG558" s="332"/>
      <c r="CH558" s="332"/>
      <c r="CI558" s="332"/>
      <c r="CJ558" s="332"/>
      <c r="CK558" s="332"/>
      <c r="CL558" s="332"/>
      <c r="CM558" s="332"/>
      <c r="CN558" s="332"/>
      <c r="CO558" s="332"/>
      <c r="CP558" s="332"/>
      <c r="CQ558" s="332"/>
      <c r="CR558" s="332"/>
      <c r="CS558" s="332"/>
      <c r="CT558" s="332"/>
      <c r="CU558" s="332"/>
      <c r="CV558" s="332"/>
      <c r="CW558" s="332"/>
      <c r="CX558" s="332"/>
      <c r="CY558" s="332"/>
      <c r="CZ558" s="332"/>
      <c r="DA558" s="332"/>
      <c r="DB558" s="332"/>
      <c r="DC558" s="332"/>
      <c r="DD558" s="332"/>
      <c r="DE558" s="332"/>
      <c r="DF558" s="332"/>
      <c r="DG558" s="332"/>
      <c r="DH558" s="332"/>
      <c r="DI558" s="332"/>
      <c r="DJ558" s="332"/>
      <c r="DK558" s="332"/>
      <c r="DL558" s="332"/>
      <c r="DM558" s="332"/>
      <c r="DN558" s="332"/>
      <c r="DO558" s="332"/>
      <c r="DP558" s="332"/>
      <c r="DQ558" s="332"/>
      <c r="DR558" s="332"/>
      <c r="DS558" s="332"/>
      <c r="DT558" s="332"/>
      <c r="DU558" s="453"/>
      <c r="DV558" s="453"/>
      <c r="DW558" s="453"/>
      <c r="DX558" s="453"/>
      <c r="DY558" s="453"/>
      <c r="DZ558" s="453"/>
      <c r="EA558" s="453"/>
      <c r="EB558" s="453"/>
      <c r="EC558" s="453"/>
      <c r="ED558" s="453"/>
      <c r="EE558" s="453"/>
      <c r="EF558" s="453"/>
      <c r="EG558" s="453"/>
      <c r="EH558" s="453"/>
      <c r="EI558" s="453"/>
      <c r="EJ558" s="453"/>
      <c r="EK558" s="453"/>
      <c r="EL558" s="453"/>
      <c r="EM558" s="483">
        <f t="shared" si="221"/>
        <v>249</v>
      </c>
      <c r="EN558" s="485"/>
      <c r="EO558" s="804"/>
      <c r="EP558" s="805"/>
      <c r="EQ558" s="806"/>
      <c r="ER558" s="808"/>
      <c r="ES558" s="881">
        <f t="shared" si="222"/>
        <v>0</v>
      </c>
      <c r="ET558" s="882"/>
      <c r="EU558" s="883"/>
      <c r="EV558" s="884">
        <f t="shared" si="220"/>
        <v>0</v>
      </c>
      <c r="EW558" s="885"/>
      <c r="EX558" s="885"/>
      <c r="EY558" s="885"/>
      <c r="EZ558" s="885"/>
      <c r="FA558" s="885"/>
      <c r="FB558" s="885"/>
      <c r="FC558" s="885"/>
      <c r="FD558" s="886"/>
      <c r="FE558" s="878"/>
      <c r="FF558" s="878"/>
      <c r="FG558" s="878"/>
      <c r="FH558" s="878"/>
      <c r="FI558" s="878"/>
      <c r="FJ558" s="878"/>
      <c r="FK558" s="878"/>
      <c r="FL558" s="555"/>
      <c r="FM558" s="554"/>
      <c r="FN558" s="554"/>
      <c r="FO558" s="554"/>
      <c r="FP558" s="554"/>
      <c r="FQ558" s="554"/>
      <c r="FR558" s="554"/>
      <c r="FS558" s="554"/>
      <c r="FT558" s="554"/>
      <c r="FU558" s="554"/>
      <c r="FV558" s="554"/>
      <c r="FW558" s="554"/>
      <c r="FX558" s="554"/>
      <c r="FY558" s="554"/>
      <c r="FZ558" s="554"/>
      <c r="GA558" s="554"/>
      <c r="GB558" s="556"/>
      <c r="GC558" s="370"/>
      <c r="GD558" s="453"/>
      <c r="GE558" s="453"/>
      <c r="GF558" s="453"/>
      <c r="GG558" s="453"/>
      <c r="GH558" s="454"/>
      <c r="GI558" s="453"/>
      <c r="GJ558" s="453"/>
      <c r="GK558" s="453"/>
      <c r="GL558" s="453"/>
      <c r="GM558" s="453"/>
      <c r="GN558" s="453"/>
      <c r="GO558" s="453"/>
      <c r="GP558" s="453"/>
      <c r="GQ558" s="453"/>
      <c r="GR558" s="453"/>
      <c r="GS558" s="561"/>
      <c r="GT558" s="475"/>
      <c r="GU558" s="472"/>
      <c r="GV558" s="453"/>
      <c r="GW558" s="453"/>
      <c r="GX558" s="869"/>
      <c r="GY558" s="870"/>
      <c r="GZ558" s="867"/>
      <c r="HA558" s="868"/>
      <c r="HB558" s="473"/>
      <c r="HC558" s="869"/>
      <c r="HD558" s="870"/>
      <c r="HE558" s="867"/>
      <c r="HF558" s="868"/>
      <c r="HG558" s="473"/>
      <c r="HH558" s="867"/>
      <c r="HI558" s="868"/>
      <c r="HJ558" s="867"/>
      <c r="HK558" s="868"/>
      <c r="HL558" s="370"/>
      <c r="HM558" s="865"/>
      <c r="HN558" s="866"/>
      <c r="HO558" s="865"/>
      <c r="HP558" s="866"/>
      <c r="HQ558" s="865"/>
      <c r="HR558" s="866"/>
      <c r="HS558" s="867"/>
      <c r="HT558" s="868"/>
      <c r="HU558" s="489"/>
      <c r="HV558" s="865"/>
      <c r="HW558" s="866"/>
    </row>
    <row r="559" spans="25:231" ht="15" customHeight="1">
      <c r="Y559" s="332"/>
      <c r="Z559" s="332"/>
      <c r="AA559" s="332"/>
      <c r="AB559" s="332"/>
      <c r="AC559" s="332"/>
      <c r="AD559" s="332"/>
      <c r="AE559" s="332"/>
      <c r="AF559" s="332"/>
      <c r="AG559" s="332"/>
      <c r="AH559" s="332"/>
      <c r="AI559" s="332"/>
      <c r="AJ559" s="332"/>
      <c r="AK559" s="332"/>
      <c r="AL559" s="332"/>
      <c r="AM559" s="332"/>
      <c r="AN559" s="332"/>
      <c r="AO559" s="332"/>
      <c r="AP559" s="332"/>
      <c r="AQ559" s="332"/>
      <c r="AR559" s="332"/>
      <c r="AS559" s="332"/>
      <c r="AT559" s="332"/>
      <c r="AU559" s="332"/>
      <c r="AV559" s="332"/>
      <c r="AW559" s="332"/>
      <c r="AX559" s="332"/>
      <c r="AY559" s="332"/>
      <c r="AZ559" s="332"/>
      <c r="BA559" s="332"/>
      <c r="BB559" s="332"/>
      <c r="BC559" s="332"/>
      <c r="BD559" s="332"/>
      <c r="BE559" s="332"/>
      <c r="BF559" s="332"/>
      <c r="BG559" s="332"/>
      <c r="BH559" s="332"/>
      <c r="BI559" s="332"/>
      <c r="BJ559" s="332"/>
      <c r="BK559" s="332"/>
      <c r="BL559" s="332"/>
      <c r="BM559" s="332"/>
      <c r="BN559" s="332"/>
      <c r="BO559" s="332"/>
      <c r="BP559" s="332"/>
      <c r="BQ559" s="332"/>
      <c r="BR559" s="332"/>
      <c r="BS559" s="332"/>
      <c r="BT559" s="332"/>
      <c r="BU559" s="332"/>
      <c r="BV559" s="332"/>
      <c r="BW559" s="332"/>
      <c r="BX559" s="332"/>
      <c r="BY559" s="332"/>
      <c r="BZ559" s="332"/>
      <c r="CA559" s="332"/>
      <c r="CB559" s="332"/>
      <c r="CC559" s="332"/>
      <c r="CD559" s="332"/>
      <c r="CE559" s="332"/>
      <c r="CF559" s="332"/>
      <c r="CG559" s="332"/>
      <c r="CH559" s="332"/>
      <c r="CI559" s="332"/>
      <c r="CJ559" s="332"/>
      <c r="CK559" s="332"/>
      <c r="CL559" s="332"/>
      <c r="CM559" s="332"/>
      <c r="CN559" s="332"/>
      <c r="CO559" s="332"/>
      <c r="CP559" s="332"/>
      <c r="CQ559" s="332"/>
      <c r="CR559" s="332"/>
      <c r="CS559" s="332"/>
      <c r="CT559" s="332"/>
      <c r="CU559" s="332"/>
      <c r="CV559" s="332"/>
      <c r="CW559" s="332"/>
      <c r="CX559" s="332"/>
      <c r="CY559" s="332"/>
      <c r="CZ559" s="332"/>
      <c r="DA559" s="332"/>
      <c r="DB559" s="332"/>
      <c r="DC559" s="332"/>
      <c r="DD559" s="332"/>
      <c r="DE559" s="332"/>
      <c r="DF559" s="332"/>
      <c r="DG559" s="332"/>
      <c r="DH559" s="332"/>
      <c r="DI559" s="332"/>
      <c r="DJ559" s="332"/>
      <c r="DK559" s="332"/>
      <c r="DL559" s="332"/>
      <c r="DM559" s="332"/>
      <c r="DN559" s="332"/>
      <c r="DO559" s="332"/>
      <c r="DP559" s="332"/>
      <c r="DQ559" s="332"/>
      <c r="DR559" s="332"/>
      <c r="DS559" s="332"/>
      <c r="DT559" s="332"/>
      <c r="DU559" s="453"/>
      <c r="DV559" s="453"/>
      <c r="DW559" s="453"/>
      <c r="DX559" s="453"/>
      <c r="DY559" s="453"/>
      <c r="DZ559" s="453"/>
      <c r="EA559" s="453"/>
      <c r="EB559" s="453"/>
      <c r="EC559" s="453"/>
      <c r="ED559" s="453"/>
      <c r="EE559" s="453"/>
      <c r="EF559" s="453"/>
      <c r="EG559" s="453"/>
      <c r="EH559" s="453"/>
      <c r="EI559" s="453"/>
      <c r="EJ559" s="453"/>
      <c r="EK559" s="453"/>
      <c r="EL559" s="453"/>
      <c r="EM559" s="483">
        <f t="shared" si="221"/>
        <v>250</v>
      </c>
      <c r="EN559" s="485"/>
      <c r="EO559" s="804"/>
      <c r="EP559" s="805"/>
      <c r="EQ559" s="806"/>
      <c r="ER559" s="808"/>
      <c r="ES559" s="881">
        <f t="shared" si="222"/>
        <v>0</v>
      </c>
      <c r="ET559" s="882"/>
      <c r="EU559" s="883"/>
      <c r="EV559" s="884">
        <f t="shared" si="220"/>
        <v>0</v>
      </c>
      <c r="EW559" s="885"/>
      <c r="EX559" s="885"/>
      <c r="EY559" s="885"/>
      <c r="EZ559" s="885"/>
      <c r="FA559" s="885"/>
      <c r="FB559" s="885"/>
      <c r="FC559" s="885"/>
      <c r="FD559" s="886"/>
      <c r="FE559" s="878"/>
      <c r="FF559" s="878"/>
      <c r="FG559" s="878"/>
      <c r="FH559" s="878"/>
      <c r="FI559" s="878"/>
      <c r="FJ559" s="878"/>
      <c r="FK559" s="878"/>
      <c r="FL559" s="555"/>
      <c r="FM559" s="554"/>
      <c r="FN559" s="554"/>
      <c r="FO559" s="554"/>
      <c r="FP559" s="554"/>
      <c r="FQ559" s="554"/>
      <c r="FR559" s="554"/>
      <c r="FS559" s="554"/>
      <c r="FT559" s="554"/>
      <c r="FU559" s="554"/>
      <c r="FV559" s="554"/>
      <c r="FW559" s="554"/>
      <c r="FX559" s="554"/>
      <c r="FY559" s="554"/>
      <c r="FZ559" s="554"/>
      <c r="GA559" s="554"/>
      <c r="GB559" s="556"/>
      <c r="GC559" s="370"/>
      <c r="GD559" s="453"/>
      <c r="GE559" s="453"/>
      <c r="GF559" s="453"/>
      <c r="GG559" s="453"/>
      <c r="GH559" s="454"/>
      <c r="GI559" s="453"/>
      <c r="GJ559" s="453"/>
      <c r="GK559" s="453"/>
      <c r="GL559" s="453"/>
      <c r="GM559" s="453"/>
      <c r="GN559" s="453"/>
      <c r="GO559" s="453"/>
      <c r="GP559" s="453"/>
      <c r="GQ559" s="453"/>
      <c r="GR559" s="453"/>
      <c r="GS559" s="561"/>
      <c r="GT559" s="475"/>
      <c r="GU559" s="472"/>
      <c r="GV559" s="453"/>
      <c r="GW559" s="453"/>
      <c r="GX559" s="869"/>
      <c r="GY559" s="870"/>
      <c r="GZ559" s="867"/>
      <c r="HA559" s="868"/>
      <c r="HB559" s="473"/>
      <c r="HC559" s="869"/>
      <c r="HD559" s="870"/>
      <c r="HE559" s="867"/>
      <c r="HF559" s="868"/>
      <c r="HG559" s="473"/>
      <c r="HH559" s="867"/>
      <c r="HI559" s="868"/>
      <c r="HJ559" s="867"/>
      <c r="HK559" s="868"/>
      <c r="HL559" s="370"/>
      <c r="HM559" s="865"/>
      <c r="HN559" s="866"/>
      <c r="HO559" s="865"/>
      <c r="HP559" s="866"/>
      <c r="HQ559" s="865"/>
      <c r="HR559" s="866"/>
      <c r="HS559" s="867"/>
      <c r="HT559" s="868"/>
      <c r="HU559" s="489"/>
      <c r="HV559" s="865"/>
      <c r="HW559" s="866"/>
    </row>
    <row r="560" spans="25:231" ht="15" customHeight="1">
      <c r="Y560" s="332"/>
      <c r="Z560" s="332"/>
      <c r="AA560" s="332"/>
      <c r="AB560" s="332"/>
      <c r="AC560" s="332"/>
      <c r="AD560" s="332"/>
      <c r="AE560" s="332"/>
      <c r="AF560" s="332"/>
      <c r="AG560" s="332"/>
      <c r="AH560" s="332"/>
      <c r="AI560" s="332"/>
      <c r="AJ560" s="332"/>
      <c r="AK560" s="332"/>
      <c r="AL560" s="332"/>
      <c r="AM560" s="332"/>
      <c r="AN560" s="332"/>
      <c r="AO560" s="332"/>
      <c r="AP560" s="332"/>
      <c r="AQ560" s="332"/>
      <c r="AR560" s="332"/>
      <c r="AS560" s="332"/>
      <c r="AT560" s="332"/>
      <c r="AU560" s="332"/>
      <c r="AV560" s="332"/>
      <c r="AW560" s="332"/>
      <c r="AX560" s="332"/>
      <c r="AY560" s="332"/>
      <c r="AZ560" s="332"/>
      <c r="BA560" s="332"/>
      <c r="BB560" s="332"/>
      <c r="BC560" s="332"/>
      <c r="BD560" s="332"/>
      <c r="BE560" s="332"/>
      <c r="BF560" s="332"/>
      <c r="BG560" s="332"/>
      <c r="BH560" s="332"/>
      <c r="BI560" s="332"/>
      <c r="BJ560" s="332"/>
      <c r="BK560" s="332"/>
      <c r="BL560" s="332"/>
      <c r="BM560" s="332"/>
      <c r="BN560" s="332"/>
      <c r="BO560" s="332"/>
      <c r="BP560" s="332"/>
      <c r="BQ560" s="332"/>
      <c r="BR560" s="332"/>
      <c r="BS560" s="332"/>
      <c r="BT560" s="332"/>
      <c r="BU560" s="332"/>
      <c r="BV560" s="332"/>
      <c r="BW560" s="332"/>
      <c r="BX560" s="332"/>
      <c r="BY560" s="332"/>
      <c r="BZ560" s="332"/>
      <c r="CA560" s="332"/>
      <c r="CB560" s="332"/>
      <c r="CC560" s="332"/>
      <c r="CD560" s="332"/>
      <c r="CE560" s="332"/>
      <c r="CF560" s="332"/>
      <c r="CG560" s="332"/>
      <c r="CH560" s="332"/>
      <c r="CI560" s="332"/>
      <c r="CJ560" s="332"/>
      <c r="CK560" s="332"/>
      <c r="CL560" s="332"/>
      <c r="CM560" s="332"/>
      <c r="CN560" s="332"/>
      <c r="CO560" s="332"/>
      <c r="CP560" s="332"/>
      <c r="CQ560" s="332"/>
      <c r="CR560" s="332"/>
      <c r="CS560" s="332"/>
      <c r="CT560" s="332"/>
      <c r="CU560" s="332"/>
      <c r="CV560" s="332"/>
      <c r="CW560" s="332"/>
      <c r="CX560" s="332"/>
      <c r="CY560" s="332"/>
      <c r="CZ560" s="332"/>
      <c r="DA560" s="332"/>
      <c r="DB560" s="332"/>
      <c r="DC560" s="332"/>
      <c r="DD560" s="332"/>
      <c r="DE560" s="332"/>
      <c r="DF560" s="332"/>
      <c r="DG560" s="332"/>
      <c r="DH560" s="332"/>
      <c r="DI560" s="332"/>
      <c r="DJ560" s="332"/>
      <c r="DK560" s="332"/>
      <c r="DL560" s="332"/>
      <c r="DM560" s="332"/>
      <c r="DN560" s="332"/>
      <c r="DO560" s="332"/>
      <c r="DP560" s="332"/>
      <c r="DQ560" s="332"/>
      <c r="DR560" s="332"/>
      <c r="DS560" s="332"/>
      <c r="DT560" s="332"/>
      <c r="DU560" s="453"/>
      <c r="DV560" s="453"/>
      <c r="DW560" s="453"/>
      <c r="DX560" s="453"/>
      <c r="DY560" s="453"/>
      <c r="DZ560" s="453"/>
      <c r="EA560" s="453"/>
      <c r="EB560" s="453"/>
      <c r="EC560" s="453"/>
      <c r="ED560" s="453"/>
      <c r="EE560" s="453"/>
      <c r="EF560" s="453"/>
      <c r="EG560" s="453"/>
      <c r="EH560" s="453"/>
      <c r="EI560" s="453"/>
      <c r="EJ560" s="453"/>
      <c r="EK560" s="453"/>
      <c r="EL560" s="453"/>
      <c r="EM560" s="483">
        <f t="shared" si="221"/>
        <v>251</v>
      </c>
      <c r="EN560" s="485"/>
      <c r="EO560" s="804"/>
      <c r="EP560" s="805"/>
      <c r="EQ560" s="806"/>
      <c r="ER560" s="808"/>
      <c r="ES560" s="881">
        <f t="shared" si="222"/>
        <v>0</v>
      </c>
      <c r="ET560" s="882"/>
      <c r="EU560" s="883"/>
      <c r="EV560" s="884">
        <f t="shared" si="220"/>
        <v>0</v>
      </c>
      <c r="EW560" s="885"/>
      <c r="EX560" s="885"/>
      <c r="EY560" s="885"/>
      <c r="EZ560" s="885"/>
      <c r="FA560" s="885"/>
      <c r="FB560" s="885"/>
      <c r="FC560" s="885"/>
      <c r="FD560" s="886"/>
      <c r="FE560" s="878"/>
      <c r="FF560" s="878"/>
      <c r="FG560" s="878"/>
      <c r="FH560" s="878"/>
      <c r="FI560" s="878"/>
      <c r="FJ560" s="878"/>
      <c r="FK560" s="878"/>
      <c r="FL560" s="555"/>
      <c r="FM560" s="554"/>
      <c r="FN560" s="554"/>
      <c r="FO560" s="554"/>
      <c r="FP560" s="554"/>
      <c r="FQ560" s="554"/>
      <c r="FR560" s="554"/>
      <c r="FS560" s="554"/>
      <c r="FT560" s="554"/>
      <c r="FU560" s="554"/>
      <c r="FV560" s="554"/>
      <c r="FW560" s="554"/>
      <c r="FX560" s="554"/>
      <c r="FY560" s="554"/>
      <c r="FZ560" s="554"/>
      <c r="GA560" s="554"/>
      <c r="GB560" s="556"/>
      <c r="GC560" s="370"/>
      <c r="GD560" s="453"/>
      <c r="GE560" s="453"/>
      <c r="GF560" s="453"/>
      <c r="GG560" s="453"/>
      <c r="GH560" s="454"/>
      <c r="GI560" s="453"/>
      <c r="GJ560" s="453"/>
      <c r="GK560" s="453"/>
      <c r="GL560" s="453"/>
      <c r="GM560" s="453"/>
      <c r="GN560" s="453"/>
      <c r="GO560" s="453"/>
      <c r="GP560" s="453"/>
      <c r="GQ560" s="453"/>
      <c r="GR560" s="453"/>
      <c r="GS560" s="561"/>
      <c r="GT560" s="475"/>
      <c r="GU560" s="472"/>
      <c r="GV560" s="453"/>
      <c r="GW560" s="453"/>
      <c r="GX560" s="869"/>
      <c r="GY560" s="870"/>
      <c r="GZ560" s="867"/>
      <c r="HA560" s="868"/>
      <c r="HB560" s="473"/>
      <c r="HC560" s="869"/>
      <c r="HD560" s="870"/>
      <c r="HE560" s="867"/>
      <c r="HF560" s="868"/>
      <c r="HG560" s="473"/>
      <c r="HH560" s="867"/>
      <c r="HI560" s="868"/>
      <c r="HJ560" s="867"/>
      <c r="HK560" s="868"/>
      <c r="HL560" s="370"/>
      <c r="HM560" s="865"/>
      <c r="HN560" s="866"/>
      <c r="HO560" s="865"/>
      <c r="HP560" s="866"/>
      <c r="HQ560" s="865"/>
      <c r="HR560" s="866"/>
      <c r="HS560" s="867"/>
      <c r="HT560" s="868"/>
      <c r="HU560" s="489"/>
      <c r="HV560" s="865"/>
      <c r="HW560" s="866"/>
    </row>
    <row r="561" spans="25:231" ht="15" customHeight="1">
      <c r="Y561" s="332"/>
      <c r="Z561" s="332"/>
      <c r="AA561" s="332"/>
      <c r="AB561" s="332"/>
      <c r="AC561" s="332"/>
      <c r="AD561" s="332"/>
      <c r="AE561" s="332"/>
      <c r="AF561" s="332"/>
      <c r="AG561" s="332"/>
      <c r="AH561" s="332"/>
      <c r="AI561" s="332"/>
      <c r="AJ561" s="332"/>
      <c r="AK561" s="332"/>
      <c r="AL561" s="332"/>
      <c r="AM561" s="332"/>
      <c r="AN561" s="332"/>
      <c r="AO561" s="332"/>
      <c r="AP561" s="332"/>
      <c r="AQ561" s="332"/>
      <c r="AR561" s="332"/>
      <c r="AS561" s="332"/>
      <c r="AT561" s="332"/>
      <c r="AU561" s="332"/>
      <c r="AV561" s="332"/>
      <c r="AW561" s="332"/>
      <c r="AX561" s="332"/>
      <c r="AY561" s="332"/>
      <c r="AZ561" s="332"/>
      <c r="BA561" s="332"/>
      <c r="BB561" s="332"/>
      <c r="BC561" s="332"/>
      <c r="BD561" s="332"/>
      <c r="BE561" s="332"/>
      <c r="BF561" s="332"/>
      <c r="BG561" s="332"/>
      <c r="BH561" s="332"/>
      <c r="BI561" s="332"/>
      <c r="BJ561" s="332"/>
      <c r="BK561" s="332"/>
      <c r="BL561" s="332"/>
      <c r="BM561" s="332"/>
      <c r="BN561" s="332"/>
      <c r="BO561" s="332"/>
      <c r="BP561" s="332"/>
      <c r="BQ561" s="332"/>
      <c r="BR561" s="332"/>
      <c r="BS561" s="332"/>
      <c r="BT561" s="332"/>
      <c r="BU561" s="332"/>
      <c r="BV561" s="332"/>
      <c r="BW561" s="332"/>
      <c r="BX561" s="332"/>
      <c r="BY561" s="332"/>
      <c r="BZ561" s="332"/>
      <c r="CA561" s="332"/>
      <c r="CB561" s="332"/>
      <c r="CC561" s="332"/>
      <c r="CD561" s="332"/>
      <c r="CE561" s="332"/>
      <c r="CF561" s="332"/>
      <c r="CG561" s="332"/>
      <c r="CH561" s="332"/>
      <c r="CI561" s="332"/>
      <c r="CJ561" s="332"/>
      <c r="CK561" s="332"/>
      <c r="CL561" s="332"/>
      <c r="CM561" s="332"/>
      <c r="CN561" s="332"/>
      <c r="CO561" s="332"/>
      <c r="CP561" s="332"/>
      <c r="CQ561" s="332"/>
      <c r="CR561" s="332"/>
      <c r="CS561" s="332"/>
      <c r="CT561" s="332"/>
      <c r="CU561" s="332"/>
      <c r="CV561" s="332"/>
      <c r="CW561" s="332"/>
      <c r="CX561" s="332"/>
      <c r="CY561" s="332"/>
      <c r="CZ561" s="332"/>
      <c r="DA561" s="332"/>
      <c r="DB561" s="332"/>
      <c r="DC561" s="332"/>
      <c r="DD561" s="332"/>
      <c r="DE561" s="332"/>
      <c r="DF561" s="332"/>
      <c r="DG561" s="332"/>
      <c r="DH561" s="332"/>
      <c r="DI561" s="332"/>
      <c r="DJ561" s="332"/>
      <c r="DK561" s="332"/>
      <c r="DL561" s="332"/>
      <c r="DM561" s="332"/>
      <c r="DN561" s="332"/>
      <c r="DO561" s="332"/>
      <c r="DP561" s="332"/>
      <c r="DQ561" s="332"/>
      <c r="DR561" s="332"/>
      <c r="DS561" s="332"/>
      <c r="DT561" s="332"/>
      <c r="DU561" s="453"/>
      <c r="DV561" s="453"/>
      <c r="DW561" s="453"/>
      <c r="DX561" s="453"/>
      <c r="DY561" s="453"/>
      <c r="DZ561" s="453"/>
      <c r="EA561" s="453"/>
      <c r="EB561" s="453"/>
      <c r="EC561" s="453"/>
      <c r="ED561" s="453"/>
      <c r="EE561" s="453"/>
      <c r="EF561" s="453"/>
      <c r="EG561" s="453"/>
      <c r="EH561" s="453"/>
      <c r="EI561" s="453"/>
      <c r="EJ561" s="453"/>
      <c r="EK561" s="453"/>
      <c r="EL561" s="453"/>
      <c r="EM561" s="483">
        <f t="shared" si="221"/>
        <v>252</v>
      </c>
      <c r="EN561" s="485"/>
      <c r="EO561" s="804"/>
      <c r="EP561" s="805"/>
      <c r="EQ561" s="820"/>
      <c r="ER561" s="808"/>
      <c r="ES561" s="881">
        <f t="shared" si="222"/>
        <v>0</v>
      </c>
      <c r="ET561" s="882"/>
      <c r="EU561" s="883"/>
      <c r="EV561" s="884">
        <f t="shared" si="220"/>
        <v>0</v>
      </c>
      <c r="EW561" s="885"/>
      <c r="EX561" s="885"/>
      <c r="EY561" s="885"/>
      <c r="EZ561" s="885"/>
      <c r="FA561" s="885"/>
      <c r="FB561" s="885"/>
      <c r="FC561" s="885"/>
      <c r="FD561" s="886"/>
      <c r="FE561" s="878"/>
      <c r="FF561" s="878"/>
      <c r="FG561" s="878"/>
      <c r="FH561" s="878"/>
      <c r="FI561" s="878"/>
      <c r="FJ561" s="878"/>
      <c r="FK561" s="878"/>
      <c r="FL561" s="555"/>
      <c r="FM561" s="554"/>
      <c r="FN561" s="554"/>
      <c r="FO561" s="554"/>
      <c r="FP561" s="554"/>
      <c r="FQ561" s="554"/>
      <c r="FR561" s="554"/>
      <c r="FS561" s="554"/>
      <c r="FT561" s="554"/>
      <c r="FU561" s="554"/>
      <c r="FV561" s="554"/>
      <c r="FW561" s="554"/>
      <c r="FX561" s="554"/>
      <c r="FY561" s="554"/>
      <c r="FZ561" s="554"/>
      <c r="GA561" s="554"/>
      <c r="GB561" s="556"/>
      <c r="GC561" s="370"/>
      <c r="GD561" s="453"/>
      <c r="GE561" s="453"/>
      <c r="GF561" s="453"/>
      <c r="GG561" s="453"/>
      <c r="GH561" s="454"/>
      <c r="GI561" s="453"/>
      <c r="GJ561" s="453"/>
      <c r="GK561" s="453"/>
      <c r="GL561" s="453"/>
      <c r="GM561" s="453"/>
      <c r="GN561" s="453"/>
      <c r="GO561" s="453"/>
      <c r="GP561" s="453"/>
      <c r="GQ561" s="453"/>
      <c r="GR561" s="453"/>
      <c r="GS561" s="561"/>
      <c r="GT561" s="475"/>
      <c r="GU561" s="472"/>
      <c r="GV561" s="453"/>
      <c r="GW561" s="453"/>
      <c r="GX561" s="869"/>
      <c r="GY561" s="870"/>
      <c r="GZ561" s="867"/>
      <c r="HA561" s="868"/>
      <c r="HB561" s="473"/>
      <c r="HC561" s="869"/>
      <c r="HD561" s="870"/>
      <c r="HE561" s="867"/>
      <c r="HF561" s="868"/>
      <c r="HG561" s="473"/>
      <c r="HH561" s="867"/>
      <c r="HI561" s="868"/>
      <c r="HJ561" s="867"/>
      <c r="HK561" s="868"/>
      <c r="HL561" s="370"/>
      <c r="HM561" s="865"/>
      <c r="HN561" s="866"/>
      <c r="HO561" s="865"/>
      <c r="HP561" s="866"/>
      <c r="HQ561" s="865"/>
      <c r="HR561" s="866"/>
      <c r="HS561" s="867"/>
      <c r="HT561" s="868"/>
      <c r="HU561" s="489"/>
      <c r="HV561" s="865"/>
      <c r="HW561" s="866"/>
    </row>
    <row r="562" spans="25:231" ht="15" customHeight="1">
      <c r="Y562" s="332"/>
      <c r="Z562" s="332"/>
      <c r="AA562" s="332"/>
      <c r="AB562" s="332"/>
      <c r="AC562" s="332"/>
      <c r="AD562" s="332"/>
      <c r="AE562" s="332"/>
      <c r="AF562" s="332"/>
      <c r="AG562" s="332"/>
      <c r="AH562" s="332"/>
      <c r="AI562" s="332"/>
      <c r="AJ562" s="332"/>
      <c r="AK562" s="332"/>
      <c r="AL562" s="332"/>
      <c r="AM562" s="332"/>
      <c r="AN562" s="332"/>
      <c r="AO562" s="332"/>
      <c r="AP562" s="332"/>
      <c r="AQ562" s="332"/>
      <c r="AR562" s="332"/>
      <c r="AS562" s="332"/>
      <c r="AT562" s="332"/>
      <c r="AU562" s="332"/>
      <c r="AV562" s="332"/>
      <c r="AW562" s="332"/>
      <c r="AX562" s="332"/>
      <c r="AY562" s="332"/>
      <c r="AZ562" s="332"/>
      <c r="BA562" s="332"/>
      <c r="BB562" s="332"/>
      <c r="BC562" s="332"/>
      <c r="BD562" s="332"/>
      <c r="BE562" s="332"/>
      <c r="BF562" s="332"/>
      <c r="BG562" s="332"/>
      <c r="BH562" s="332"/>
      <c r="BI562" s="332"/>
      <c r="BJ562" s="332"/>
      <c r="BK562" s="332"/>
      <c r="BL562" s="332"/>
      <c r="BM562" s="332"/>
      <c r="BN562" s="332"/>
      <c r="BO562" s="332"/>
      <c r="BP562" s="332"/>
      <c r="BQ562" s="332"/>
      <c r="BR562" s="332"/>
      <c r="BS562" s="332"/>
      <c r="BT562" s="332"/>
      <c r="BU562" s="332"/>
      <c r="BV562" s="332"/>
      <c r="BW562" s="332"/>
      <c r="BX562" s="332"/>
      <c r="BY562" s="332"/>
      <c r="BZ562" s="332"/>
      <c r="CA562" s="332"/>
      <c r="CB562" s="332"/>
      <c r="CC562" s="332"/>
      <c r="CD562" s="332"/>
      <c r="CE562" s="332"/>
      <c r="CF562" s="332"/>
      <c r="CG562" s="332"/>
      <c r="CH562" s="332"/>
      <c r="CI562" s="332"/>
      <c r="CJ562" s="332"/>
      <c r="CK562" s="332"/>
      <c r="CL562" s="332"/>
      <c r="CM562" s="332"/>
      <c r="CN562" s="332"/>
      <c r="CO562" s="332"/>
      <c r="CP562" s="332"/>
      <c r="CQ562" s="332"/>
      <c r="CR562" s="332"/>
      <c r="CS562" s="332"/>
      <c r="CT562" s="332"/>
      <c r="CU562" s="332"/>
      <c r="CV562" s="332"/>
      <c r="CW562" s="332"/>
      <c r="CX562" s="332"/>
      <c r="CY562" s="332"/>
      <c r="CZ562" s="332"/>
      <c r="DA562" s="332"/>
      <c r="DB562" s="332"/>
      <c r="DC562" s="332"/>
      <c r="DD562" s="332"/>
      <c r="DE562" s="332"/>
      <c r="DF562" s="332"/>
      <c r="DG562" s="332"/>
      <c r="DH562" s="332"/>
      <c r="DI562" s="332"/>
      <c r="DJ562" s="332"/>
      <c r="DK562" s="332"/>
      <c r="DL562" s="332"/>
      <c r="DM562" s="332"/>
      <c r="DN562" s="332"/>
      <c r="DO562" s="332"/>
      <c r="DP562" s="332"/>
      <c r="DQ562" s="332"/>
      <c r="DR562" s="332"/>
      <c r="DS562" s="332"/>
      <c r="DT562" s="332"/>
      <c r="DU562" s="453"/>
      <c r="DV562" s="453"/>
      <c r="DW562" s="453"/>
      <c r="DX562" s="453"/>
      <c r="DY562" s="453"/>
      <c r="DZ562" s="453"/>
      <c r="EA562" s="453"/>
      <c r="EB562" s="453"/>
      <c r="EC562" s="453"/>
      <c r="ED562" s="453"/>
      <c r="EE562" s="453"/>
      <c r="EF562" s="453"/>
      <c r="EG562" s="453"/>
      <c r="EH562" s="453"/>
      <c r="EI562" s="453"/>
      <c r="EJ562" s="453"/>
      <c r="EK562" s="453"/>
      <c r="EL562" s="453"/>
      <c r="EM562" s="483">
        <f t="shared" si="221"/>
        <v>253</v>
      </c>
      <c r="EN562" s="485"/>
      <c r="EO562" s="804"/>
      <c r="EP562" s="805"/>
      <c r="EQ562" s="806"/>
      <c r="ER562" s="808"/>
      <c r="ES562" s="881">
        <f t="shared" si="222"/>
        <v>0</v>
      </c>
      <c r="ET562" s="882"/>
      <c r="EU562" s="883"/>
      <c r="EV562" s="884">
        <f t="shared" si="220"/>
        <v>0</v>
      </c>
      <c r="EW562" s="885"/>
      <c r="EX562" s="885"/>
      <c r="EY562" s="885"/>
      <c r="EZ562" s="885"/>
      <c r="FA562" s="885"/>
      <c r="FB562" s="885"/>
      <c r="FC562" s="885"/>
      <c r="FD562" s="886"/>
      <c r="FE562" s="878"/>
      <c r="FF562" s="878"/>
      <c r="FG562" s="878"/>
      <c r="FH562" s="878"/>
      <c r="FI562" s="878"/>
      <c r="FJ562" s="878"/>
      <c r="FK562" s="878"/>
      <c r="FL562" s="555"/>
      <c r="FM562" s="554"/>
      <c r="FN562" s="554"/>
      <c r="FO562" s="554"/>
      <c r="FP562" s="554"/>
      <c r="FQ562" s="554"/>
      <c r="FR562" s="554"/>
      <c r="FS562" s="554"/>
      <c r="FT562" s="554"/>
      <c r="FU562" s="554"/>
      <c r="FV562" s="554"/>
      <c r="FW562" s="554"/>
      <c r="FX562" s="554"/>
      <c r="FY562" s="554"/>
      <c r="FZ562" s="554"/>
      <c r="GA562" s="554"/>
      <c r="GB562" s="556"/>
      <c r="GC562" s="370"/>
      <c r="GD562" s="453"/>
      <c r="GE562" s="453"/>
      <c r="GF562" s="453"/>
      <c r="GG562" s="453"/>
      <c r="GH562" s="454"/>
      <c r="GI562" s="453"/>
      <c r="GJ562" s="453"/>
      <c r="GK562" s="453"/>
      <c r="GL562" s="453"/>
      <c r="GM562" s="453"/>
      <c r="GN562" s="453"/>
      <c r="GO562" s="453"/>
      <c r="GP562" s="453"/>
      <c r="GQ562" s="453"/>
      <c r="GR562" s="453"/>
      <c r="GS562" s="561"/>
      <c r="GT562" s="475"/>
      <c r="GU562" s="472"/>
      <c r="GV562" s="453"/>
      <c r="GW562" s="453"/>
      <c r="GX562" s="869"/>
      <c r="GY562" s="870"/>
      <c r="GZ562" s="867"/>
      <c r="HA562" s="868"/>
      <c r="HB562" s="473"/>
      <c r="HC562" s="869"/>
      <c r="HD562" s="870"/>
      <c r="HE562" s="867"/>
      <c r="HF562" s="868"/>
      <c r="HG562" s="473"/>
      <c r="HH562" s="867"/>
      <c r="HI562" s="868"/>
      <c r="HJ562" s="867"/>
      <c r="HK562" s="868"/>
      <c r="HL562" s="370"/>
      <c r="HM562" s="865"/>
      <c r="HN562" s="866"/>
      <c r="HO562" s="865"/>
      <c r="HP562" s="866"/>
      <c r="HQ562" s="865"/>
      <c r="HR562" s="866"/>
      <c r="HS562" s="867"/>
      <c r="HT562" s="868"/>
      <c r="HU562" s="489"/>
      <c r="HV562" s="865"/>
      <c r="HW562" s="866"/>
    </row>
    <row r="563" spans="25:231" ht="15" customHeight="1">
      <c r="Y563" s="332"/>
      <c r="Z563" s="332"/>
      <c r="AA563" s="332"/>
      <c r="AB563" s="332"/>
      <c r="AC563" s="332"/>
      <c r="AD563" s="332"/>
      <c r="AE563" s="332"/>
      <c r="AF563" s="332"/>
      <c r="AG563" s="332"/>
      <c r="AH563" s="332"/>
      <c r="AI563" s="332"/>
      <c r="AJ563" s="332"/>
      <c r="AK563" s="332"/>
      <c r="AL563" s="332"/>
      <c r="AM563" s="332"/>
      <c r="AN563" s="332"/>
      <c r="AO563" s="332"/>
      <c r="AP563" s="332"/>
      <c r="AQ563" s="332"/>
      <c r="AR563" s="332"/>
      <c r="AS563" s="332"/>
      <c r="AT563" s="332"/>
      <c r="AU563" s="332"/>
      <c r="AV563" s="332"/>
      <c r="AW563" s="332"/>
      <c r="AX563" s="332"/>
      <c r="AY563" s="332"/>
      <c r="AZ563" s="332"/>
      <c r="BA563" s="332"/>
      <c r="BB563" s="332"/>
      <c r="BC563" s="332"/>
      <c r="BD563" s="332"/>
      <c r="BE563" s="332"/>
      <c r="BF563" s="332"/>
      <c r="BG563" s="332"/>
      <c r="BH563" s="332"/>
      <c r="BI563" s="332"/>
      <c r="BJ563" s="332"/>
      <c r="BK563" s="332"/>
      <c r="BL563" s="332"/>
      <c r="BM563" s="332"/>
      <c r="BN563" s="332"/>
      <c r="BO563" s="332"/>
      <c r="BP563" s="332"/>
      <c r="BQ563" s="332"/>
      <c r="BR563" s="332"/>
      <c r="BS563" s="332"/>
      <c r="BT563" s="332"/>
      <c r="BU563" s="332"/>
      <c r="BV563" s="332"/>
      <c r="BW563" s="332"/>
      <c r="BX563" s="332"/>
      <c r="BY563" s="332"/>
      <c r="BZ563" s="332"/>
      <c r="CA563" s="332"/>
      <c r="CB563" s="332"/>
      <c r="CC563" s="332"/>
      <c r="CD563" s="332"/>
      <c r="CE563" s="332"/>
      <c r="CF563" s="332"/>
      <c r="CG563" s="332"/>
      <c r="CH563" s="332"/>
      <c r="CI563" s="332"/>
      <c r="CJ563" s="332"/>
      <c r="CK563" s="332"/>
      <c r="CL563" s="332"/>
      <c r="CM563" s="332"/>
      <c r="CN563" s="332"/>
      <c r="CO563" s="332"/>
      <c r="CP563" s="332"/>
      <c r="CQ563" s="332"/>
      <c r="CR563" s="332"/>
      <c r="CS563" s="332"/>
      <c r="CT563" s="332"/>
      <c r="CU563" s="332"/>
      <c r="CV563" s="332"/>
      <c r="CW563" s="332"/>
      <c r="CX563" s="332"/>
      <c r="CY563" s="332"/>
      <c r="CZ563" s="332"/>
      <c r="DA563" s="332"/>
      <c r="DB563" s="332"/>
      <c r="DC563" s="332"/>
      <c r="DD563" s="332"/>
      <c r="DE563" s="332"/>
      <c r="DF563" s="332"/>
      <c r="DG563" s="332"/>
      <c r="DH563" s="332"/>
      <c r="DI563" s="332"/>
      <c r="DJ563" s="332"/>
      <c r="DK563" s="332"/>
      <c r="DL563" s="332"/>
      <c r="DM563" s="332"/>
      <c r="DN563" s="332"/>
      <c r="DO563" s="332"/>
      <c r="DP563" s="332"/>
      <c r="DQ563" s="332"/>
      <c r="DR563" s="332"/>
      <c r="DS563" s="332"/>
      <c r="DT563" s="332"/>
      <c r="DU563" s="453"/>
      <c r="DV563" s="453"/>
      <c r="DW563" s="453"/>
      <c r="DX563" s="453"/>
      <c r="DY563" s="453"/>
      <c r="DZ563" s="453"/>
      <c r="EA563" s="453"/>
      <c r="EB563" s="453"/>
      <c r="EC563" s="453"/>
      <c r="ED563" s="453"/>
      <c r="EE563" s="453"/>
      <c r="EF563" s="453"/>
      <c r="EG563" s="453"/>
      <c r="EH563" s="453"/>
      <c r="EI563" s="453"/>
      <c r="EJ563" s="453"/>
      <c r="EK563" s="453"/>
      <c r="EL563" s="453"/>
      <c r="EM563" s="483">
        <f t="shared" si="221"/>
        <v>254</v>
      </c>
      <c r="EN563" s="485"/>
      <c r="EO563" s="804"/>
      <c r="EP563" s="805"/>
      <c r="EQ563" s="820"/>
      <c r="ER563" s="808"/>
      <c r="ES563" s="881">
        <f t="shared" si="222"/>
        <v>0</v>
      </c>
      <c r="ET563" s="882"/>
      <c r="EU563" s="883"/>
      <c r="EV563" s="884">
        <f t="shared" si="220"/>
        <v>0</v>
      </c>
      <c r="EW563" s="885"/>
      <c r="EX563" s="885"/>
      <c r="EY563" s="885"/>
      <c r="EZ563" s="885"/>
      <c r="FA563" s="885"/>
      <c r="FB563" s="885"/>
      <c r="FC563" s="885"/>
      <c r="FD563" s="886"/>
      <c r="FE563" s="878"/>
      <c r="FF563" s="878"/>
      <c r="FG563" s="878"/>
      <c r="FH563" s="878"/>
      <c r="FI563" s="878"/>
      <c r="FJ563" s="878"/>
      <c r="FK563" s="878"/>
      <c r="FL563" s="555"/>
      <c r="FM563" s="554"/>
      <c r="FN563" s="554"/>
      <c r="FO563" s="554"/>
      <c r="FP563" s="554"/>
      <c r="FQ563" s="554"/>
      <c r="FR563" s="554"/>
      <c r="FS563" s="554"/>
      <c r="FT563" s="554"/>
      <c r="FU563" s="554"/>
      <c r="FV563" s="554"/>
      <c r="FW563" s="554"/>
      <c r="FX563" s="554"/>
      <c r="FY563" s="554"/>
      <c r="FZ563" s="554"/>
      <c r="GA563" s="554"/>
      <c r="GB563" s="556"/>
      <c r="GC563" s="370"/>
      <c r="GD563" s="453"/>
      <c r="GE563" s="453"/>
      <c r="GF563" s="453"/>
      <c r="GG563" s="453"/>
      <c r="GH563" s="454"/>
      <c r="GI563" s="453"/>
      <c r="GJ563" s="453"/>
      <c r="GK563" s="453"/>
      <c r="GL563" s="453"/>
      <c r="GM563" s="453"/>
      <c r="GN563" s="453"/>
      <c r="GO563" s="453"/>
      <c r="GP563" s="453"/>
      <c r="GQ563" s="453"/>
      <c r="GR563" s="453"/>
      <c r="GS563" s="561"/>
      <c r="GT563" s="475"/>
      <c r="GU563" s="472"/>
      <c r="GV563" s="453"/>
      <c r="GW563" s="453"/>
      <c r="GX563" s="869"/>
      <c r="GY563" s="870"/>
      <c r="GZ563" s="867"/>
      <c r="HA563" s="868"/>
      <c r="HB563" s="473"/>
      <c r="HC563" s="869"/>
      <c r="HD563" s="870"/>
      <c r="HE563" s="867"/>
      <c r="HF563" s="868"/>
      <c r="HG563" s="473"/>
      <c r="HH563" s="867"/>
      <c r="HI563" s="868"/>
      <c r="HJ563" s="867"/>
      <c r="HK563" s="868"/>
      <c r="HL563" s="370"/>
      <c r="HM563" s="865"/>
      <c r="HN563" s="866"/>
      <c r="HO563" s="865"/>
      <c r="HP563" s="866"/>
      <c r="HQ563" s="865"/>
      <c r="HR563" s="866"/>
      <c r="HS563" s="867"/>
      <c r="HT563" s="868"/>
      <c r="HU563" s="489"/>
      <c r="HV563" s="865"/>
      <c r="HW563" s="866"/>
    </row>
    <row r="564" spans="25:231" ht="15" customHeight="1">
      <c r="Y564" s="332"/>
      <c r="Z564" s="332"/>
      <c r="AA564" s="332"/>
      <c r="AB564" s="332"/>
      <c r="AC564" s="332"/>
      <c r="AD564" s="332"/>
      <c r="AE564" s="332"/>
      <c r="AF564" s="332"/>
      <c r="AG564" s="332"/>
      <c r="AH564" s="332"/>
      <c r="AI564" s="332"/>
      <c r="AJ564" s="332"/>
      <c r="AK564" s="332"/>
      <c r="AL564" s="332"/>
      <c r="AM564" s="332"/>
      <c r="AN564" s="332"/>
      <c r="AO564" s="332"/>
      <c r="AP564" s="332"/>
      <c r="AQ564" s="332"/>
      <c r="AR564" s="332"/>
      <c r="AS564" s="332"/>
      <c r="AT564" s="332"/>
      <c r="AU564" s="332"/>
      <c r="AV564" s="332"/>
      <c r="AW564" s="332"/>
      <c r="AX564" s="332"/>
      <c r="AY564" s="332"/>
      <c r="AZ564" s="332"/>
      <c r="BA564" s="332"/>
      <c r="BB564" s="332"/>
      <c r="BC564" s="332"/>
      <c r="BD564" s="332"/>
      <c r="BE564" s="332"/>
      <c r="BF564" s="332"/>
      <c r="BG564" s="332"/>
      <c r="BH564" s="332"/>
      <c r="BI564" s="332"/>
      <c r="BJ564" s="332"/>
      <c r="BK564" s="332"/>
      <c r="BL564" s="332"/>
      <c r="BM564" s="332"/>
      <c r="BN564" s="332"/>
      <c r="BO564" s="332"/>
      <c r="BP564" s="332"/>
      <c r="BQ564" s="332"/>
      <c r="BR564" s="332"/>
      <c r="BS564" s="332"/>
      <c r="BT564" s="332"/>
      <c r="BU564" s="332"/>
      <c r="BV564" s="332"/>
      <c r="BW564" s="332"/>
      <c r="BX564" s="332"/>
      <c r="BY564" s="332"/>
      <c r="BZ564" s="332"/>
      <c r="CA564" s="332"/>
      <c r="CB564" s="332"/>
      <c r="CC564" s="332"/>
      <c r="CD564" s="332"/>
      <c r="CE564" s="332"/>
      <c r="CF564" s="332"/>
      <c r="CG564" s="332"/>
      <c r="CH564" s="332"/>
      <c r="CI564" s="332"/>
      <c r="CJ564" s="332"/>
      <c r="CK564" s="332"/>
      <c r="CL564" s="332"/>
      <c r="CM564" s="332"/>
      <c r="CN564" s="332"/>
      <c r="CO564" s="332"/>
      <c r="CP564" s="332"/>
      <c r="CQ564" s="332"/>
      <c r="CR564" s="332"/>
      <c r="CS564" s="332"/>
      <c r="CT564" s="332"/>
      <c r="CU564" s="332"/>
      <c r="CV564" s="332"/>
      <c r="CW564" s="332"/>
      <c r="CX564" s="332"/>
      <c r="CY564" s="332"/>
      <c r="CZ564" s="332"/>
      <c r="DA564" s="332"/>
      <c r="DB564" s="332"/>
      <c r="DC564" s="332"/>
      <c r="DD564" s="332"/>
      <c r="DE564" s="332"/>
      <c r="DF564" s="332"/>
      <c r="DG564" s="332"/>
      <c r="DH564" s="332"/>
      <c r="DI564" s="332"/>
      <c r="DJ564" s="332"/>
      <c r="DK564" s="332"/>
      <c r="DL564" s="332"/>
      <c r="DM564" s="332"/>
      <c r="DN564" s="332"/>
      <c r="DO564" s="332"/>
      <c r="DP564" s="332"/>
      <c r="DQ564" s="332"/>
      <c r="DR564" s="332"/>
      <c r="DS564" s="332"/>
      <c r="DT564" s="332"/>
      <c r="DU564" s="453"/>
      <c r="DV564" s="453"/>
      <c r="DW564" s="453"/>
      <c r="DX564" s="453"/>
      <c r="DY564" s="453"/>
      <c r="DZ564" s="453"/>
      <c r="EA564" s="453"/>
      <c r="EB564" s="453"/>
      <c r="EC564" s="453"/>
      <c r="ED564" s="453"/>
      <c r="EE564" s="453"/>
      <c r="EF564" s="453"/>
      <c r="EG564" s="453"/>
      <c r="EH564" s="453"/>
      <c r="EI564" s="453"/>
      <c r="EJ564" s="453"/>
      <c r="EK564" s="453"/>
      <c r="EL564" s="453"/>
      <c r="EM564" s="483">
        <f t="shared" si="221"/>
        <v>255</v>
      </c>
      <c r="EN564" s="485"/>
      <c r="EO564" s="804"/>
      <c r="EP564" s="805"/>
      <c r="EQ564" s="806"/>
      <c r="ER564" s="808"/>
      <c r="ES564" s="881">
        <f t="shared" si="222"/>
        <v>0</v>
      </c>
      <c r="ET564" s="882"/>
      <c r="EU564" s="883"/>
      <c r="EV564" s="884">
        <f t="shared" si="220"/>
        <v>0</v>
      </c>
      <c r="EW564" s="885"/>
      <c r="EX564" s="885"/>
      <c r="EY564" s="885"/>
      <c r="EZ564" s="885"/>
      <c r="FA564" s="885"/>
      <c r="FB564" s="885"/>
      <c r="FC564" s="885"/>
      <c r="FD564" s="886"/>
      <c r="FE564" s="878"/>
      <c r="FF564" s="878"/>
      <c r="FG564" s="878"/>
      <c r="FH564" s="878"/>
      <c r="FI564" s="878"/>
      <c r="FJ564" s="878"/>
      <c r="FK564" s="878"/>
      <c r="FL564" s="555"/>
      <c r="FM564" s="554"/>
      <c r="FN564" s="554"/>
      <c r="FO564" s="554"/>
      <c r="FP564" s="554"/>
      <c r="FQ564" s="554"/>
      <c r="FR564" s="554"/>
      <c r="FS564" s="554"/>
      <c r="FT564" s="554"/>
      <c r="FU564" s="554"/>
      <c r="FV564" s="554"/>
      <c r="FW564" s="554"/>
      <c r="FX564" s="554"/>
      <c r="FY564" s="554"/>
      <c r="FZ564" s="554"/>
      <c r="GA564" s="554"/>
      <c r="GB564" s="556"/>
      <c r="GC564" s="370"/>
      <c r="GD564" s="453"/>
      <c r="GE564" s="453"/>
      <c r="GF564" s="453"/>
      <c r="GG564" s="453"/>
      <c r="GH564" s="454"/>
      <c r="GI564" s="453"/>
      <c r="GJ564" s="453"/>
      <c r="GK564" s="453"/>
      <c r="GL564" s="453"/>
      <c r="GM564" s="453"/>
      <c r="GN564" s="453"/>
      <c r="GO564" s="453"/>
      <c r="GP564" s="453"/>
      <c r="GQ564" s="453"/>
      <c r="GR564" s="453"/>
      <c r="GS564" s="561"/>
      <c r="GT564" s="475"/>
      <c r="GU564" s="472"/>
      <c r="GV564" s="453"/>
      <c r="GW564" s="453"/>
      <c r="GX564" s="869"/>
      <c r="GY564" s="870"/>
      <c r="GZ564" s="867"/>
      <c r="HA564" s="868"/>
      <c r="HB564" s="473"/>
      <c r="HC564" s="869"/>
      <c r="HD564" s="870"/>
      <c r="HE564" s="867"/>
      <c r="HF564" s="868"/>
      <c r="HG564" s="473"/>
      <c r="HH564" s="867"/>
      <c r="HI564" s="868"/>
      <c r="HJ564" s="867"/>
      <c r="HK564" s="868"/>
      <c r="HL564" s="370"/>
      <c r="HM564" s="865"/>
      <c r="HN564" s="866"/>
      <c r="HO564" s="865"/>
      <c r="HP564" s="866"/>
      <c r="HQ564" s="865"/>
      <c r="HR564" s="866"/>
      <c r="HS564" s="867"/>
      <c r="HT564" s="868"/>
      <c r="HU564" s="489"/>
      <c r="HV564" s="865"/>
      <c r="HW564" s="866"/>
    </row>
    <row r="565" spans="25:231" ht="15" customHeight="1">
      <c r="Y565" s="332"/>
      <c r="Z565" s="332"/>
      <c r="AA565" s="332"/>
      <c r="AB565" s="332"/>
      <c r="AC565" s="332"/>
      <c r="AD565" s="332"/>
      <c r="AE565" s="332"/>
      <c r="AF565" s="332"/>
      <c r="AG565" s="332"/>
      <c r="AH565" s="332"/>
      <c r="AI565" s="332"/>
      <c r="AJ565" s="332"/>
      <c r="AK565" s="332"/>
      <c r="AL565" s="332"/>
      <c r="AM565" s="332"/>
      <c r="AN565" s="332"/>
      <c r="AO565" s="332"/>
      <c r="AP565" s="332"/>
      <c r="AQ565" s="332"/>
      <c r="AR565" s="332"/>
      <c r="AS565" s="332"/>
      <c r="AT565" s="332"/>
      <c r="AU565" s="332"/>
      <c r="AV565" s="332"/>
      <c r="AW565" s="332"/>
      <c r="AX565" s="332"/>
      <c r="AY565" s="332"/>
      <c r="AZ565" s="332"/>
      <c r="BA565" s="332"/>
      <c r="BB565" s="332"/>
      <c r="BC565" s="332"/>
      <c r="BD565" s="332"/>
      <c r="BE565" s="332"/>
      <c r="BF565" s="332"/>
      <c r="BG565" s="332"/>
      <c r="BH565" s="332"/>
      <c r="BI565" s="332"/>
      <c r="BJ565" s="332"/>
      <c r="BK565" s="332"/>
      <c r="BL565" s="332"/>
      <c r="BM565" s="332"/>
      <c r="BN565" s="332"/>
      <c r="BO565" s="332"/>
      <c r="BP565" s="332"/>
      <c r="BQ565" s="332"/>
      <c r="BR565" s="332"/>
      <c r="BS565" s="332"/>
      <c r="BT565" s="332"/>
      <c r="BU565" s="332"/>
      <c r="BV565" s="332"/>
      <c r="BW565" s="332"/>
      <c r="BX565" s="332"/>
      <c r="BY565" s="332"/>
      <c r="BZ565" s="332"/>
      <c r="CA565" s="332"/>
      <c r="CB565" s="332"/>
      <c r="CC565" s="332"/>
      <c r="CD565" s="332"/>
      <c r="CE565" s="332"/>
      <c r="CF565" s="332"/>
      <c r="CG565" s="332"/>
      <c r="CH565" s="332"/>
      <c r="CI565" s="332"/>
      <c r="CJ565" s="332"/>
      <c r="CK565" s="332"/>
      <c r="CL565" s="332"/>
      <c r="CM565" s="332"/>
      <c r="CN565" s="332"/>
      <c r="CO565" s="332"/>
      <c r="CP565" s="332"/>
      <c r="CQ565" s="332"/>
      <c r="CR565" s="332"/>
      <c r="CS565" s="332"/>
      <c r="CT565" s="332"/>
      <c r="CU565" s="332"/>
      <c r="CV565" s="332"/>
      <c r="CW565" s="332"/>
      <c r="CX565" s="332"/>
      <c r="CY565" s="332"/>
      <c r="CZ565" s="332"/>
      <c r="DA565" s="332"/>
      <c r="DB565" s="332"/>
      <c r="DC565" s="332"/>
      <c r="DD565" s="332"/>
      <c r="DE565" s="332"/>
      <c r="DF565" s="332"/>
      <c r="DG565" s="332"/>
      <c r="DH565" s="332"/>
      <c r="DI565" s="332"/>
      <c r="DJ565" s="332"/>
      <c r="DK565" s="332"/>
      <c r="DL565" s="332"/>
      <c r="DM565" s="332"/>
      <c r="DN565" s="332"/>
      <c r="DO565" s="332"/>
      <c r="DP565" s="332"/>
      <c r="DQ565" s="332"/>
      <c r="DR565" s="332"/>
      <c r="DS565" s="332"/>
      <c r="DT565" s="332"/>
      <c r="DU565" s="453"/>
      <c r="DV565" s="453"/>
      <c r="DW565" s="453"/>
      <c r="DX565" s="453"/>
      <c r="DY565" s="453"/>
      <c r="DZ565" s="453"/>
      <c r="EA565" s="453"/>
      <c r="EB565" s="453"/>
      <c r="EC565" s="453"/>
      <c r="ED565" s="453"/>
      <c r="EE565" s="453"/>
      <c r="EF565" s="453"/>
      <c r="EG565" s="453"/>
      <c r="EH565" s="453"/>
      <c r="EI565" s="453"/>
      <c r="EJ565" s="453"/>
      <c r="EK565" s="453"/>
      <c r="EL565" s="453"/>
      <c r="EM565" s="483">
        <f t="shared" si="221"/>
        <v>256</v>
      </c>
      <c r="EN565" s="485"/>
      <c r="EO565" s="804"/>
      <c r="EP565" s="805"/>
      <c r="EQ565" s="820"/>
      <c r="ER565" s="808"/>
      <c r="ES565" s="881">
        <f t="shared" si="222"/>
        <v>0</v>
      </c>
      <c r="ET565" s="882"/>
      <c r="EU565" s="883"/>
      <c r="EV565" s="884">
        <f t="shared" si="220"/>
        <v>0</v>
      </c>
      <c r="EW565" s="885"/>
      <c r="EX565" s="885"/>
      <c r="EY565" s="885"/>
      <c r="EZ565" s="885"/>
      <c r="FA565" s="885"/>
      <c r="FB565" s="885"/>
      <c r="FC565" s="885"/>
      <c r="FD565" s="886"/>
      <c r="FE565" s="878"/>
      <c r="FF565" s="878"/>
      <c r="FG565" s="878"/>
      <c r="FH565" s="878"/>
      <c r="FI565" s="878"/>
      <c r="FJ565" s="878"/>
      <c r="FK565" s="878"/>
      <c r="FL565" s="555"/>
      <c r="FM565" s="554"/>
      <c r="FN565" s="554"/>
      <c r="FO565" s="554"/>
      <c r="FP565" s="554"/>
      <c r="FQ565" s="554"/>
      <c r="FR565" s="554"/>
      <c r="FS565" s="554"/>
      <c r="FT565" s="554"/>
      <c r="FU565" s="554"/>
      <c r="FV565" s="554"/>
      <c r="FW565" s="554"/>
      <c r="FX565" s="554"/>
      <c r="FY565" s="554"/>
      <c r="FZ565" s="554"/>
      <c r="GA565" s="554"/>
      <c r="GB565" s="556"/>
      <c r="GC565" s="370"/>
      <c r="GD565" s="453"/>
      <c r="GE565" s="453"/>
      <c r="GF565" s="453"/>
      <c r="GG565" s="453"/>
      <c r="GH565" s="454"/>
      <c r="GI565" s="453"/>
      <c r="GJ565" s="453"/>
      <c r="GK565" s="453"/>
      <c r="GL565" s="453"/>
      <c r="GM565" s="453"/>
      <c r="GN565" s="453"/>
      <c r="GO565" s="453"/>
      <c r="GP565" s="453"/>
      <c r="GQ565" s="453"/>
      <c r="GR565" s="453"/>
      <c r="GS565" s="561"/>
      <c r="GT565" s="475"/>
      <c r="GU565" s="472"/>
      <c r="GV565" s="453"/>
      <c r="GW565" s="453"/>
      <c r="GX565" s="869"/>
      <c r="GY565" s="870"/>
      <c r="GZ565" s="867"/>
      <c r="HA565" s="868"/>
      <c r="HB565" s="473"/>
      <c r="HC565" s="869"/>
      <c r="HD565" s="870"/>
      <c r="HE565" s="867"/>
      <c r="HF565" s="868"/>
      <c r="HG565" s="473"/>
      <c r="HH565" s="867"/>
      <c r="HI565" s="868"/>
      <c r="HJ565" s="867"/>
      <c r="HK565" s="868"/>
      <c r="HL565" s="370"/>
      <c r="HM565" s="865"/>
      <c r="HN565" s="866"/>
      <c r="HO565" s="865"/>
      <c r="HP565" s="866"/>
      <c r="HQ565" s="865"/>
      <c r="HR565" s="866"/>
      <c r="HS565" s="867"/>
      <c r="HT565" s="868"/>
      <c r="HU565" s="489"/>
      <c r="HV565" s="865"/>
      <c r="HW565" s="866"/>
    </row>
    <row r="566" spans="25:231" ht="15" customHeight="1">
      <c r="Y566" s="332"/>
      <c r="Z566" s="332"/>
      <c r="AA566" s="332"/>
      <c r="AB566" s="332"/>
      <c r="AC566" s="332"/>
      <c r="AD566" s="332"/>
      <c r="AE566" s="332"/>
      <c r="AF566" s="332"/>
      <c r="AG566" s="332"/>
      <c r="AH566" s="332"/>
      <c r="AI566" s="332"/>
      <c r="AJ566" s="332"/>
      <c r="AK566" s="332"/>
      <c r="AL566" s="332"/>
      <c r="AM566" s="332"/>
      <c r="AN566" s="332"/>
      <c r="AO566" s="332"/>
      <c r="AP566" s="332"/>
      <c r="AQ566" s="332"/>
      <c r="AR566" s="332"/>
      <c r="AS566" s="332"/>
      <c r="AT566" s="332"/>
      <c r="AU566" s="332"/>
      <c r="AV566" s="332"/>
      <c r="AW566" s="332"/>
      <c r="AX566" s="332"/>
      <c r="AY566" s="332"/>
      <c r="AZ566" s="332"/>
      <c r="BA566" s="332"/>
      <c r="BB566" s="332"/>
      <c r="BC566" s="332"/>
      <c r="BD566" s="332"/>
      <c r="BE566" s="332"/>
      <c r="BF566" s="332"/>
      <c r="BG566" s="332"/>
      <c r="BH566" s="332"/>
      <c r="BI566" s="332"/>
      <c r="BJ566" s="332"/>
      <c r="BK566" s="332"/>
      <c r="BL566" s="332"/>
      <c r="BM566" s="332"/>
      <c r="BN566" s="332"/>
      <c r="BO566" s="332"/>
      <c r="BP566" s="332"/>
      <c r="BQ566" s="332"/>
      <c r="BR566" s="332"/>
      <c r="BS566" s="332"/>
      <c r="BT566" s="332"/>
      <c r="BU566" s="332"/>
      <c r="BV566" s="332"/>
      <c r="BW566" s="332"/>
      <c r="BX566" s="332"/>
      <c r="BY566" s="332"/>
      <c r="BZ566" s="332"/>
      <c r="CA566" s="332"/>
      <c r="CB566" s="332"/>
      <c r="CC566" s="332"/>
      <c r="CD566" s="332"/>
      <c r="CE566" s="332"/>
      <c r="CF566" s="332"/>
      <c r="CG566" s="332"/>
      <c r="CH566" s="332"/>
      <c r="CI566" s="332"/>
      <c r="CJ566" s="332"/>
      <c r="CK566" s="332"/>
      <c r="CL566" s="332"/>
      <c r="CM566" s="332"/>
      <c r="CN566" s="332"/>
      <c r="CO566" s="332"/>
      <c r="CP566" s="332"/>
      <c r="CQ566" s="332"/>
      <c r="CR566" s="332"/>
      <c r="CS566" s="332"/>
      <c r="CT566" s="332"/>
      <c r="CU566" s="332"/>
      <c r="CV566" s="332"/>
      <c r="CW566" s="332"/>
      <c r="CX566" s="332"/>
      <c r="CY566" s="332"/>
      <c r="CZ566" s="332"/>
      <c r="DA566" s="332"/>
      <c r="DB566" s="332"/>
      <c r="DC566" s="332"/>
      <c r="DD566" s="332"/>
      <c r="DE566" s="332"/>
      <c r="DF566" s="332"/>
      <c r="DG566" s="332"/>
      <c r="DH566" s="332"/>
      <c r="DI566" s="332"/>
      <c r="DJ566" s="332"/>
      <c r="DK566" s="332"/>
      <c r="DL566" s="332"/>
      <c r="DM566" s="332"/>
      <c r="DN566" s="332"/>
      <c r="DO566" s="332"/>
      <c r="DP566" s="332"/>
      <c r="DQ566" s="332"/>
      <c r="DR566" s="332"/>
      <c r="DS566" s="332"/>
      <c r="DT566" s="332"/>
      <c r="DU566" s="453"/>
      <c r="DV566" s="453"/>
      <c r="DW566" s="453"/>
      <c r="DX566" s="453"/>
      <c r="DY566" s="453"/>
      <c r="DZ566" s="453"/>
      <c r="EA566" s="453"/>
      <c r="EB566" s="453"/>
      <c r="EC566" s="453"/>
      <c r="ED566" s="453"/>
      <c r="EE566" s="453"/>
      <c r="EF566" s="453"/>
      <c r="EG566" s="453"/>
      <c r="EH566" s="453"/>
      <c r="EI566" s="453"/>
      <c r="EJ566" s="453"/>
      <c r="EK566" s="453"/>
      <c r="EL566" s="453"/>
      <c r="EM566" s="483">
        <f t="shared" si="221"/>
        <v>257</v>
      </c>
      <c r="EN566" s="485"/>
      <c r="EO566" s="804"/>
      <c r="EP566" s="805"/>
      <c r="EQ566" s="806"/>
      <c r="ER566" s="808"/>
      <c r="ES566" s="881">
        <f t="shared" si="222"/>
        <v>0</v>
      </c>
      <c r="ET566" s="882"/>
      <c r="EU566" s="883"/>
      <c r="EV566" s="884">
        <f t="shared" ref="EV566:EV629" si="223">+IF(OR(EO566 = "", EP566 = 0, EP566 = "", EQ566 = 0, EQ566 = "", ER566 = 0, ER566 = ""), 0,
IF(EO566 &lt;&gt; "ACCION",
IF(EP566 &gt; 0, EP566 * ER566 * -100 * ( 1 + COMIS_OPCION), EP566 * ER566 * -100 * ( 1 - COMIS_OPCION)),
IF(EP566 &gt; 0, EP566 * ER566 * -1 * ( 1 + COMIS_ACCION), EP566 * ER566 * -1 * ( 1 - COMIS_ACCION))  ))</f>
        <v>0</v>
      </c>
      <c r="EW566" s="885"/>
      <c r="EX566" s="885"/>
      <c r="EY566" s="885"/>
      <c r="EZ566" s="885"/>
      <c r="FA566" s="885"/>
      <c r="FB566" s="885"/>
      <c r="FC566" s="885"/>
      <c r="FD566" s="886"/>
      <c r="FE566" s="878"/>
      <c r="FF566" s="878"/>
      <c r="FG566" s="878"/>
      <c r="FH566" s="878"/>
      <c r="FI566" s="878"/>
      <c r="FJ566" s="878"/>
      <c r="FK566" s="878"/>
      <c r="FL566" s="555"/>
      <c r="FM566" s="554"/>
      <c r="FN566" s="554"/>
      <c r="FO566" s="554"/>
      <c r="FP566" s="554"/>
      <c r="FQ566" s="554"/>
      <c r="FR566" s="554"/>
      <c r="FS566" s="554"/>
      <c r="FT566" s="554"/>
      <c r="FU566" s="554"/>
      <c r="FV566" s="554"/>
      <c r="FW566" s="554"/>
      <c r="FX566" s="554"/>
      <c r="FY566" s="554"/>
      <c r="FZ566" s="554"/>
      <c r="GA566" s="554"/>
      <c r="GB566" s="556"/>
      <c r="GC566" s="370"/>
      <c r="GD566" s="453"/>
      <c r="GE566" s="453"/>
      <c r="GF566" s="453"/>
      <c r="GG566" s="453"/>
      <c r="GH566" s="454"/>
      <c r="GI566" s="453"/>
      <c r="GJ566" s="453"/>
      <c r="GK566" s="453"/>
      <c r="GL566" s="453"/>
      <c r="GM566" s="453"/>
      <c r="GN566" s="453"/>
      <c r="GO566" s="453"/>
      <c r="GP566" s="453"/>
      <c r="GQ566" s="453"/>
      <c r="GR566" s="453"/>
      <c r="GS566" s="561"/>
      <c r="GT566" s="475"/>
      <c r="GU566" s="472"/>
      <c r="GV566" s="453"/>
      <c r="GW566" s="453"/>
      <c r="GX566" s="869"/>
      <c r="GY566" s="870"/>
      <c r="GZ566" s="867"/>
      <c r="HA566" s="868"/>
      <c r="HB566" s="473"/>
      <c r="HC566" s="869"/>
      <c r="HD566" s="870"/>
      <c r="HE566" s="867"/>
      <c r="HF566" s="868"/>
      <c r="HG566" s="473"/>
      <c r="HH566" s="867"/>
      <c r="HI566" s="868"/>
      <c r="HJ566" s="867"/>
      <c r="HK566" s="868"/>
      <c r="HL566" s="370"/>
      <c r="HM566" s="865"/>
      <c r="HN566" s="866"/>
      <c r="HO566" s="865"/>
      <c r="HP566" s="866"/>
      <c r="HQ566" s="865"/>
      <c r="HR566" s="866"/>
      <c r="HS566" s="867"/>
      <c r="HT566" s="868"/>
      <c r="HU566" s="489"/>
      <c r="HV566" s="865"/>
      <c r="HW566" s="866"/>
    </row>
    <row r="567" spans="25:231" ht="15" customHeight="1">
      <c r="Y567" s="332"/>
      <c r="Z567" s="332"/>
      <c r="AA567" s="332"/>
      <c r="AB567" s="332"/>
      <c r="AC567" s="332"/>
      <c r="AD567" s="332"/>
      <c r="AE567" s="332"/>
      <c r="AF567" s="332"/>
      <c r="AG567" s="332"/>
      <c r="AH567" s="332"/>
      <c r="AI567" s="332"/>
      <c r="AJ567" s="332"/>
      <c r="AK567" s="332"/>
      <c r="AL567" s="332"/>
      <c r="AM567" s="332"/>
      <c r="AN567" s="332"/>
      <c r="AO567" s="332"/>
      <c r="AP567" s="332"/>
      <c r="AQ567" s="332"/>
      <c r="AR567" s="332"/>
      <c r="AS567" s="332"/>
      <c r="AT567" s="332"/>
      <c r="AU567" s="332"/>
      <c r="AV567" s="332"/>
      <c r="AW567" s="332"/>
      <c r="AX567" s="332"/>
      <c r="AY567" s="332"/>
      <c r="AZ567" s="332"/>
      <c r="BA567" s="332"/>
      <c r="BB567" s="332"/>
      <c r="BC567" s="332"/>
      <c r="BD567" s="332"/>
      <c r="BE567" s="332"/>
      <c r="BF567" s="332"/>
      <c r="BG567" s="332"/>
      <c r="BH567" s="332"/>
      <c r="BI567" s="332"/>
      <c r="BJ567" s="332"/>
      <c r="BK567" s="332"/>
      <c r="BL567" s="332"/>
      <c r="BM567" s="332"/>
      <c r="BN567" s="332"/>
      <c r="BO567" s="332"/>
      <c r="BP567" s="332"/>
      <c r="BQ567" s="332"/>
      <c r="BR567" s="332"/>
      <c r="BS567" s="332"/>
      <c r="BT567" s="332"/>
      <c r="BU567" s="332"/>
      <c r="BV567" s="332"/>
      <c r="BW567" s="332"/>
      <c r="BX567" s="332"/>
      <c r="BY567" s="332"/>
      <c r="BZ567" s="332"/>
      <c r="CA567" s="332"/>
      <c r="CB567" s="332"/>
      <c r="CC567" s="332"/>
      <c r="CD567" s="332"/>
      <c r="CE567" s="332"/>
      <c r="CF567" s="332"/>
      <c r="CG567" s="332"/>
      <c r="CH567" s="332"/>
      <c r="CI567" s="332"/>
      <c r="CJ567" s="332"/>
      <c r="CK567" s="332"/>
      <c r="CL567" s="332"/>
      <c r="CM567" s="332"/>
      <c r="CN567" s="332"/>
      <c r="CO567" s="332"/>
      <c r="CP567" s="332"/>
      <c r="CQ567" s="332"/>
      <c r="CR567" s="332"/>
      <c r="CS567" s="332"/>
      <c r="CT567" s="332"/>
      <c r="CU567" s="332"/>
      <c r="CV567" s="332"/>
      <c r="CW567" s="332"/>
      <c r="CX567" s="332"/>
      <c r="CY567" s="332"/>
      <c r="CZ567" s="332"/>
      <c r="DA567" s="332"/>
      <c r="DB567" s="332"/>
      <c r="DC567" s="332"/>
      <c r="DD567" s="332"/>
      <c r="DE567" s="332"/>
      <c r="DF567" s="332"/>
      <c r="DG567" s="332"/>
      <c r="DH567" s="332"/>
      <c r="DI567" s="332"/>
      <c r="DJ567" s="332"/>
      <c r="DK567" s="332"/>
      <c r="DL567" s="332"/>
      <c r="DM567" s="332"/>
      <c r="DN567" s="332"/>
      <c r="DO567" s="332"/>
      <c r="DP567" s="332"/>
      <c r="DQ567" s="332"/>
      <c r="DR567" s="332"/>
      <c r="DS567" s="332"/>
      <c r="DT567" s="332"/>
      <c r="DU567" s="453"/>
      <c r="DV567" s="453"/>
      <c r="DW567" s="453"/>
      <c r="DX567" s="453"/>
      <c r="DY567" s="453"/>
      <c r="DZ567" s="453"/>
      <c r="EA567" s="453"/>
      <c r="EB567" s="453"/>
      <c r="EC567" s="453"/>
      <c r="ED567" s="453"/>
      <c r="EE567" s="453"/>
      <c r="EF567" s="453"/>
      <c r="EG567" s="453"/>
      <c r="EH567" s="453"/>
      <c r="EI567" s="453"/>
      <c r="EJ567" s="453"/>
      <c r="EK567" s="453"/>
      <c r="EL567" s="453"/>
      <c r="EM567" s="483">
        <f t="shared" si="221"/>
        <v>258</v>
      </c>
      <c r="EN567" s="485"/>
      <c r="EO567" s="804"/>
      <c r="EP567" s="805"/>
      <c r="EQ567" s="806"/>
      <c r="ER567" s="808"/>
      <c r="ES567" s="881">
        <f t="shared" si="222"/>
        <v>0</v>
      </c>
      <c r="ET567" s="882"/>
      <c r="EU567" s="883"/>
      <c r="EV567" s="884">
        <f t="shared" si="223"/>
        <v>0</v>
      </c>
      <c r="EW567" s="885"/>
      <c r="EX567" s="885"/>
      <c r="EY567" s="885"/>
      <c r="EZ567" s="885"/>
      <c r="FA567" s="885"/>
      <c r="FB567" s="885"/>
      <c r="FC567" s="885"/>
      <c r="FD567" s="886"/>
      <c r="FE567" s="878"/>
      <c r="FF567" s="878"/>
      <c r="FG567" s="878"/>
      <c r="FH567" s="878"/>
      <c r="FI567" s="878"/>
      <c r="FJ567" s="878"/>
      <c r="FK567" s="878"/>
      <c r="FL567" s="555"/>
      <c r="FM567" s="554"/>
      <c r="FN567" s="554"/>
      <c r="FO567" s="554"/>
      <c r="FP567" s="554"/>
      <c r="FQ567" s="554"/>
      <c r="FR567" s="554"/>
      <c r="FS567" s="554"/>
      <c r="FT567" s="554"/>
      <c r="FU567" s="554"/>
      <c r="FV567" s="554"/>
      <c r="FW567" s="554"/>
      <c r="FX567" s="554"/>
      <c r="FY567" s="554"/>
      <c r="FZ567" s="554"/>
      <c r="GA567" s="554"/>
      <c r="GB567" s="556"/>
      <c r="GC567" s="370"/>
      <c r="GD567" s="453"/>
      <c r="GE567" s="453"/>
      <c r="GF567" s="453"/>
      <c r="GG567" s="453"/>
      <c r="GH567" s="454"/>
      <c r="GI567" s="453"/>
      <c r="GJ567" s="453"/>
      <c r="GK567" s="453"/>
      <c r="GL567" s="453"/>
      <c r="GM567" s="453"/>
      <c r="GN567" s="453"/>
      <c r="GO567" s="453"/>
      <c r="GP567" s="453"/>
      <c r="GQ567" s="453"/>
      <c r="GR567" s="453"/>
      <c r="GS567" s="561"/>
      <c r="GT567" s="475"/>
      <c r="GU567" s="472"/>
      <c r="GV567" s="453"/>
      <c r="GW567" s="453"/>
      <c r="GX567" s="869"/>
      <c r="GY567" s="870"/>
      <c r="GZ567" s="867"/>
      <c r="HA567" s="868"/>
      <c r="HB567" s="473"/>
      <c r="HC567" s="869"/>
      <c r="HD567" s="870"/>
      <c r="HE567" s="867"/>
      <c r="HF567" s="868"/>
      <c r="HG567" s="473"/>
      <c r="HH567" s="867"/>
      <c r="HI567" s="868"/>
      <c r="HJ567" s="867"/>
      <c r="HK567" s="868"/>
      <c r="HL567" s="370"/>
      <c r="HM567" s="865"/>
      <c r="HN567" s="866"/>
      <c r="HO567" s="865"/>
      <c r="HP567" s="866"/>
      <c r="HQ567" s="865"/>
      <c r="HR567" s="866"/>
      <c r="HS567" s="867"/>
      <c r="HT567" s="868"/>
      <c r="HU567" s="489"/>
      <c r="HV567" s="865"/>
      <c r="HW567" s="866"/>
    </row>
    <row r="568" spans="25:231" ht="15" customHeight="1">
      <c r="Y568" s="332"/>
      <c r="Z568" s="332"/>
      <c r="AA568" s="332"/>
      <c r="AB568" s="332"/>
      <c r="AC568" s="332"/>
      <c r="AD568" s="332"/>
      <c r="AE568" s="332"/>
      <c r="AF568" s="332"/>
      <c r="AG568" s="332"/>
      <c r="AH568" s="332"/>
      <c r="AI568" s="332"/>
      <c r="AJ568" s="332"/>
      <c r="AK568" s="332"/>
      <c r="AL568" s="332"/>
      <c r="AM568" s="332"/>
      <c r="AN568" s="332"/>
      <c r="AO568" s="332"/>
      <c r="AP568" s="332"/>
      <c r="AQ568" s="332"/>
      <c r="AR568" s="332"/>
      <c r="AS568" s="332"/>
      <c r="AT568" s="332"/>
      <c r="AU568" s="332"/>
      <c r="AV568" s="332"/>
      <c r="AW568" s="332"/>
      <c r="AX568" s="332"/>
      <c r="AY568" s="332"/>
      <c r="AZ568" s="332"/>
      <c r="BA568" s="332"/>
      <c r="BB568" s="332"/>
      <c r="BC568" s="332"/>
      <c r="BD568" s="332"/>
      <c r="BE568" s="332"/>
      <c r="BF568" s="332"/>
      <c r="BG568" s="332"/>
      <c r="BH568" s="332"/>
      <c r="BI568" s="332"/>
      <c r="BJ568" s="332"/>
      <c r="BK568" s="332"/>
      <c r="BL568" s="332"/>
      <c r="BM568" s="332"/>
      <c r="BN568" s="332"/>
      <c r="BO568" s="332"/>
      <c r="BP568" s="332"/>
      <c r="BQ568" s="332"/>
      <c r="BR568" s="332"/>
      <c r="BS568" s="332"/>
      <c r="BT568" s="332"/>
      <c r="BU568" s="332"/>
      <c r="BV568" s="332"/>
      <c r="BW568" s="332"/>
      <c r="BX568" s="332"/>
      <c r="BY568" s="332"/>
      <c r="BZ568" s="332"/>
      <c r="CA568" s="332"/>
      <c r="CB568" s="332"/>
      <c r="CC568" s="332"/>
      <c r="CD568" s="332"/>
      <c r="CE568" s="332"/>
      <c r="CF568" s="332"/>
      <c r="CG568" s="332"/>
      <c r="CH568" s="332"/>
      <c r="CI568" s="332"/>
      <c r="CJ568" s="332"/>
      <c r="CK568" s="332"/>
      <c r="CL568" s="332"/>
      <c r="CM568" s="332"/>
      <c r="CN568" s="332"/>
      <c r="CO568" s="332"/>
      <c r="CP568" s="332"/>
      <c r="CQ568" s="332"/>
      <c r="CR568" s="332"/>
      <c r="CS568" s="332"/>
      <c r="CT568" s="332"/>
      <c r="CU568" s="332"/>
      <c r="CV568" s="332"/>
      <c r="CW568" s="332"/>
      <c r="CX568" s="332"/>
      <c r="CY568" s="332"/>
      <c r="CZ568" s="332"/>
      <c r="DA568" s="332"/>
      <c r="DB568" s="332"/>
      <c r="DC568" s="332"/>
      <c r="DD568" s="332"/>
      <c r="DE568" s="332"/>
      <c r="DF568" s="332"/>
      <c r="DG568" s="332"/>
      <c r="DH568" s="332"/>
      <c r="DI568" s="332"/>
      <c r="DJ568" s="332"/>
      <c r="DK568" s="332"/>
      <c r="DL568" s="332"/>
      <c r="DM568" s="332"/>
      <c r="DN568" s="332"/>
      <c r="DO568" s="332"/>
      <c r="DP568" s="332"/>
      <c r="DQ568" s="332"/>
      <c r="DR568" s="332"/>
      <c r="DS568" s="332"/>
      <c r="DT568" s="332"/>
      <c r="DU568" s="453"/>
      <c r="DV568" s="453"/>
      <c r="DW568" s="453"/>
      <c r="DX568" s="453"/>
      <c r="DY568" s="453"/>
      <c r="DZ568" s="453"/>
      <c r="EA568" s="453"/>
      <c r="EB568" s="453"/>
      <c r="EC568" s="453"/>
      <c r="ED568" s="453"/>
      <c r="EE568" s="453"/>
      <c r="EF568" s="453"/>
      <c r="EG568" s="453"/>
      <c r="EH568" s="453"/>
      <c r="EI568" s="453"/>
      <c r="EJ568" s="453"/>
      <c r="EK568" s="453"/>
      <c r="EL568" s="453"/>
      <c r="EM568" s="483">
        <f t="shared" ref="EM568:EM631" si="224">+EM567+1</f>
        <v>259</v>
      </c>
      <c r="EN568" s="485"/>
      <c r="EO568" s="804"/>
      <c r="EP568" s="805"/>
      <c r="EQ568" s="806"/>
      <c r="ER568" s="808"/>
      <c r="ES568" s="881">
        <f t="shared" si="222"/>
        <v>0</v>
      </c>
      <c r="ET568" s="882"/>
      <c r="EU568" s="883"/>
      <c r="EV568" s="884">
        <f t="shared" si="223"/>
        <v>0</v>
      </c>
      <c r="EW568" s="885"/>
      <c r="EX568" s="885"/>
      <c r="EY568" s="885"/>
      <c r="EZ568" s="885"/>
      <c r="FA568" s="885"/>
      <c r="FB568" s="885"/>
      <c r="FC568" s="885"/>
      <c r="FD568" s="886"/>
      <c r="FE568" s="878"/>
      <c r="FF568" s="878"/>
      <c r="FG568" s="878"/>
      <c r="FH568" s="878"/>
      <c r="FI568" s="878"/>
      <c r="FJ568" s="878"/>
      <c r="FK568" s="878"/>
      <c r="FL568" s="555"/>
      <c r="FM568" s="554"/>
      <c r="FN568" s="554"/>
      <c r="FO568" s="554"/>
      <c r="FP568" s="554"/>
      <c r="FQ568" s="554"/>
      <c r="FR568" s="554"/>
      <c r="FS568" s="554"/>
      <c r="FT568" s="554"/>
      <c r="FU568" s="554"/>
      <c r="FV568" s="554"/>
      <c r="FW568" s="554"/>
      <c r="FX568" s="554"/>
      <c r="FY568" s="554"/>
      <c r="FZ568" s="554"/>
      <c r="GA568" s="554"/>
      <c r="GB568" s="556"/>
      <c r="GC568" s="370"/>
      <c r="GD568" s="453"/>
      <c r="GE568" s="453"/>
      <c r="GF568" s="453"/>
      <c r="GG568" s="453"/>
      <c r="GH568" s="454"/>
      <c r="GI568" s="453"/>
      <c r="GJ568" s="453"/>
      <c r="GK568" s="453"/>
      <c r="GL568" s="453"/>
      <c r="GM568" s="453"/>
      <c r="GN568" s="453"/>
      <c r="GO568" s="453"/>
      <c r="GP568" s="453"/>
      <c r="GQ568" s="453"/>
      <c r="GR568" s="453"/>
      <c r="GS568" s="561"/>
      <c r="GT568" s="475"/>
      <c r="GU568" s="472"/>
      <c r="GV568" s="453"/>
      <c r="GW568" s="453"/>
      <c r="GX568" s="869"/>
      <c r="GY568" s="870"/>
      <c r="GZ568" s="867"/>
      <c r="HA568" s="868"/>
      <c r="HB568" s="473"/>
      <c r="HC568" s="869"/>
      <c r="HD568" s="870"/>
      <c r="HE568" s="867"/>
      <c r="HF568" s="868"/>
      <c r="HG568" s="473"/>
      <c r="HH568" s="867"/>
      <c r="HI568" s="868"/>
      <c r="HJ568" s="867"/>
      <c r="HK568" s="868"/>
      <c r="HL568" s="370"/>
      <c r="HM568" s="865"/>
      <c r="HN568" s="866"/>
      <c r="HO568" s="865"/>
      <c r="HP568" s="866"/>
      <c r="HQ568" s="865"/>
      <c r="HR568" s="866"/>
      <c r="HS568" s="867"/>
      <c r="HT568" s="868"/>
      <c r="HU568" s="489"/>
      <c r="HV568" s="865"/>
      <c r="HW568" s="866"/>
    </row>
    <row r="569" spans="25:231" ht="15" customHeight="1">
      <c r="Y569" s="332"/>
      <c r="Z569" s="332"/>
      <c r="AA569" s="332"/>
      <c r="AB569" s="332"/>
      <c r="AC569" s="332"/>
      <c r="AD569" s="332"/>
      <c r="AE569" s="332"/>
      <c r="AF569" s="332"/>
      <c r="AG569" s="332"/>
      <c r="AH569" s="332"/>
      <c r="AI569" s="332"/>
      <c r="AJ569" s="332"/>
      <c r="AK569" s="332"/>
      <c r="AL569" s="332"/>
      <c r="AM569" s="332"/>
      <c r="AN569" s="332"/>
      <c r="AO569" s="332"/>
      <c r="AP569" s="332"/>
      <c r="AQ569" s="332"/>
      <c r="AR569" s="332"/>
      <c r="AS569" s="332"/>
      <c r="AT569" s="332"/>
      <c r="AU569" s="332"/>
      <c r="AV569" s="332"/>
      <c r="AW569" s="332"/>
      <c r="AX569" s="332"/>
      <c r="AY569" s="332"/>
      <c r="AZ569" s="332"/>
      <c r="BA569" s="332"/>
      <c r="BB569" s="332"/>
      <c r="BC569" s="332"/>
      <c r="BD569" s="332"/>
      <c r="BE569" s="332"/>
      <c r="BF569" s="332"/>
      <c r="BG569" s="332"/>
      <c r="BH569" s="332"/>
      <c r="BI569" s="332"/>
      <c r="BJ569" s="332"/>
      <c r="BK569" s="332"/>
      <c r="BL569" s="332"/>
      <c r="BM569" s="332"/>
      <c r="BN569" s="332"/>
      <c r="BO569" s="332"/>
      <c r="BP569" s="332"/>
      <c r="BQ569" s="332"/>
      <c r="BR569" s="332"/>
      <c r="BS569" s="332"/>
      <c r="BT569" s="332"/>
      <c r="BU569" s="332"/>
      <c r="BV569" s="332"/>
      <c r="BW569" s="332"/>
      <c r="BX569" s="332"/>
      <c r="BY569" s="332"/>
      <c r="BZ569" s="332"/>
      <c r="CA569" s="332"/>
      <c r="CB569" s="332"/>
      <c r="CC569" s="332"/>
      <c r="CD569" s="332"/>
      <c r="CE569" s="332"/>
      <c r="CF569" s="332"/>
      <c r="CG569" s="332"/>
      <c r="CH569" s="332"/>
      <c r="CI569" s="332"/>
      <c r="CJ569" s="332"/>
      <c r="CK569" s="332"/>
      <c r="CL569" s="332"/>
      <c r="CM569" s="332"/>
      <c r="CN569" s="332"/>
      <c r="CO569" s="332"/>
      <c r="CP569" s="332"/>
      <c r="CQ569" s="332"/>
      <c r="CR569" s="332"/>
      <c r="CS569" s="332"/>
      <c r="CT569" s="332"/>
      <c r="CU569" s="332"/>
      <c r="CV569" s="332"/>
      <c r="CW569" s="332"/>
      <c r="CX569" s="332"/>
      <c r="CY569" s="332"/>
      <c r="CZ569" s="332"/>
      <c r="DA569" s="332"/>
      <c r="DB569" s="332"/>
      <c r="DC569" s="332"/>
      <c r="DD569" s="332"/>
      <c r="DE569" s="332"/>
      <c r="DF569" s="332"/>
      <c r="DG569" s="332"/>
      <c r="DH569" s="332"/>
      <c r="DI569" s="332"/>
      <c r="DJ569" s="332"/>
      <c r="DK569" s="332"/>
      <c r="DL569" s="332"/>
      <c r="DM569" s="332"/>
      <c r="DN569" s="332"/>
      <c r="DO569" s="332"/>
      <c r="DP569" s="332"/>
      <c r="DQ569" s="332"/>
      <c r="DR569" s="332"/>
      <c r="DS569" s="332"/>
      <c r="DT569" s="332"/>
      <c r="DU569" s="453"/>
      <c r="DV569" s="453"/>
      <c r="DW569" s="453"/>
      <c r="DX569" s="453"/>
      <c r="DY569" s="453"/>
      <c r="DZ569" s="453"/>
      <c r="EA569" s="453"/>
      <c r="EB569" s="453"/>
      <c r="EC569" s="453"/>
      <c r="ED569" s="453"/>
      <c r="EE569" s="453"/>
      <c r="EF569" s="453"/>
      <c r="EG569" s="453"/>
      <c r="EH569" s="453"/>
      <c r="EI569" s="453"/>
      <c r="EJ569" s="453"/>
      <c r="EK569" s="453"/>
      <c r="EL569" s="453"/>
      <c r="EM569" s="483">
        <f t="shared" si="224"/>
        <v>260</v>
      </c>
      <c r="EN569" s="485"/>
      <c r="EO569" s="804"/>
      <c r="EP569" s="805"/>
      <c r="EQ569" s="806"/>
      <c r="ER569" s="808"/>
      <c r="ES569" s="881">
        <f t="shared" si="222"/>
        <v>0</v>
      </c>
      <c r="ET569" s="882"/>
      <c r="EU569" s="883"/>
      <c r="EV569" s="884">
        <f t="shared" si="223"/>
        <v>0</v>
      </c>
      <c r="EW569" s="885"/>
      <c r="EX569" s="885"/>
      <c r="EY569" s="885"/>
      <c r="EZ569" s="885"/>
      <c r="FA569" s="885"/>
      <c r="FB569" s="885"/>
      <c r="FC569" s="885"/>
      <c r="FD569" s="886"/>
      <c r="FE569" s="878"/>
      <c r="FF569" s="878"/>
      <c r="FG569" s="878"/>
      <c r="FH569" s="878"/>
      <c r="FI569" s="878"/>
      <c r="FJ569" s="878"/>
      <c r="FK569" s="878"/>
      <c r="FL569" s="555"/>
      <c r="FM569" s="554"/>
      <c r="FN569" s="554"/>
      <c r="FO569" s="554"/>
      <c r="FP569" s="554"/>
      <c r="FQ569" s="554"/>
      <c r="FR569" s="554"/>
      <c r="FS569" s="554"/>
      <c r="FT569" s="554"/>
      <c r="FU569" s="554"/>
      <c r="FV569" s="554"/>
      <c r="FW569" s="554"/>
      <c r="FX569" s="554"/>
      <c r="FY569" s="554"/>
      <c r="FZ569" s="554"/>
      <c r="GA569" s="554"/>
      <c r="GB569" s="556"/>
      <c r="GC569" s="370"/>
      <c r="GD569" s="453"/>
      <c r="GE569" s="453"/>
      <c r="GF569" s="453"/>
      <c r="GG569" s="453"/>
      <c r="GH569" s="454"/>
      <c r="GI569" s="453"/>
      <c r="GJ569" s="453"/>
      <c r="GK569" s="453"/>
      <c r="GL569" s="453"/>
      <c r="GM569" s="453"/>
      <c r="GN569" s="453"/>
      <c r="GO569" s="453"/>
      <c r="GP569" s="453"/>
      <c r="GQ569" s="453"/>
      <c r="GR569" s="453"/>
      <c r="GS569" s="561"/>
      <c r="GT569" s="475"/>
      <c r="GU569" s="472"/>
      <c r="GV569" s="453"/>
      <c r="GW569" s="453"/>
      <c r="GX569" s="869"/>
      <c r="GY569" s="870"/>
      <c r="GZ569" s="867"/>
      <c r="HA569" s="868"/>
      <c r="HB569" s="473"/>
      <c r="HC569" s="869"/>
      <c r="HD569" s="870"/>
      <c r="HE569" s="867"/>
      <c r="HF569" s="868"/>
      <c r="HG569" s="473"/>
      <c r="HH569" s="867"/>
      <c r="HI569" s="868"/>
      <c r="HJ569" s="867"/>
      <c r="HK569" s="868"/>
      <c r="HL569" s="370"/>
      <c r="HM569" s="865"/>
      <c r="HN569" s="866"/>
      <c r="HO569" s="865"/>
      <c r="HP569" s="866"/>
      <c r="HQ569" s="865"/>
      <c r="HR569" s="866"/>
      <c r="HS569" s="867"/>
      <c r="HT569" s="868"/>
      <c r="HU569" s="489"/>
      <c r="HV569" s="865"/>
      <c r="HW569" s="866"/>
    </row>
    <row r="570" spans="25:231" ht="15" customHeight="1">
      <c r="Y570" s="332"/>
      <c r="Z570" s="332"/>
      <c r="AA570" s="332"/>
      <c r="AB570" s="332"/>
      <c r="AC570" s="332"/>
      <c r="AD570" s="332"/>
      <c r="AE570" s="332"/>
      <c r="AF570" s="332"/>
      <c r="AG570" s="332"/>
      <c r="AH570" s="332"/>
      <c r="AI570" s="332"/>
      <c r="AJ570" s="332"/>
      <c r="AK570" s="332"/>
      <c r="AL570" s="332"/>
      <c r="AM570" s="332"/>
      <c r="AN570" s="332"/>
      <c r="AO570" s="332"/>
      <c r="AP570" s="332"/>
      <c r="AQ570" s="332"/>
      <c r="AR570" s="332"/>
      <c r="AS570" s="332"/>
      <c r="AT570" s="332"/>
      <c r="AU570" s="332"/>
      <c r="AV570" s="332"/>
      <c r="AW570" s="332"/>
      <c r="AX570" s="332"/>
      <c r="AY570" s="332"/>
      <c r="AZ570" s="332"/>
      <c r="BA570" s="332"/>
      <c r="BB570" s="332"/>
      <c r="BC570" s="332"/>
      <c r="BD570" s="332"/>
      <c r="BE570" s="332"/>
      <c r="BF570" s="332"/>
      <c r="BG570" s="332"/>
      <c r="BH570" s="332"/>
      <c r="BI570" s="332"/>
      <c r="BJ570" s="332"/>
      <c r="BK570" s="332"/>
      <c r="BL570" s="332"/>
      <c r="BM570" s="332"/>
      <c r="BN570" s="332"/>
      <c r="BO570" s="332"/>
      <c r="BP570" s="332"/>
      <c r="BQ570" s="332"/>
      <c r="BR570" s="332"/>
      <c r="BS570" s="332"/>
      <c r="BT570" s="332"/>
      <c r="BU570" s="332"/>
      <c r="BV570" s="332"/>
      <c r="BW570" s="332"/>
      <c r="BX570" s="332"/>
      <c r="BY570" s="332"/>
      <c r="BZ570" s="332"/>
      <c r="CA570" s="332"/>
      <c r="CB570" s="332"/>
      <c r="CC570" s="332"/>
      <c r="CD570" s="332"/>
      <c r="CE570" s="332"/>
      <c r="CF570" s="332"/>
      <c r="CG570" s="332"/>
      <c r="CH570" s="332"/>
      <c r="CI570" s="332"/>
      <c r="CJ570" s="332"/>
      <c r="CK570" s="332"/>
      <c r="CL570" s="332"/>
      <c r="CM570" s="332"/>
      <c r="CN570" s="332"/>
      <c r="CO570" s="332"/>
      <c r="CP570" s="332"/>
      <c r="CQ570" s="332"/>
      <c r="CR570" s="332"/>
      <c r="CS570" s="332"/>
      <c r="CT570" s="332"/>
      <c r="CU570" s="332"/>
      <c r="CV570" s="332"/>
      <c r="CW570" s="332"/>
      <c r="CX570" s="332"/>
      <c r="CY570" s="332"/>
      <c r="CZ570" s="332"/>
      <c r="DA570" s="332"/>
      <c r="DB570" s="332"/>
      <c r="DC570" s="332"/>
      <c r="DD570" s="332"/>
      <c r="DE570" s="332"/>
      <c r="DF570" s="332"/>
      <c r="DG570" s="332"/>
      <c r="DH570" s="332"/>
      <c r="DI570" s="332"/>
      <c r="DJ570" s="332"/>
      <c r="DK570" s="332"/>
      <c r="DL570" s="332"/>
      <c r="DM570" s="332"/>
      <c r="DN570" s="332"/>
      <c r="DO570" s="332"/>
      <c r="DP570" s="332"/>
      <c r="DQ570" s="332"/>
      <c r="DR570" s="332"/>
      <c r="DS570" s="332"/>
      <c r="DT570" s="332"/>
      <c r="DU570" s="453"/>
      <c r="DV570" s="453"/>
      <c r="DW570" s="453"/>
      <c r="DX570" s="453"/>
      <c r="DY570" s="453"/>
      <c r="DZ570" s="453"/>
      <c r="EA570" s="453"/>
      <c r="EB570" s="453"/>
      <c r="EC570" s="453"/>
      <c r="ED570" s="453"/>
      <c r="EE570" s="453"/>
      <c r="EF570" s="453"/>
      <c r="EG570" s="453"/>
      <c r="EH570" s="453"/>
      <c r="EI570" s="453"/>
      <c r="EJ570" s="453"/>
      <c r="EK570" s="453"/>
      <c r="EL570" s="453"/>
      <c r="EM570" s="483">
        <f t="shared" si="224"/>
        <v>261</v>
      </c>
      <c r="EN570" s="485"/>
      <c r="EO570" s="804"/>
      <c r="EP570" s="805"/>
      <c r="EQ570" s="806"/>
      <c r="ER570" s="808"/>
      <c r="ES570" s="881">
        <f t="shared" si="222"/>
        <v>0</v>
      </c>
      <c r="ET570" s="882"/>
      <c r="EU570" s="883"/>
      <c r="EV570" s="884">
        <f t="shared" si="223"/>
        <v>0</v>
      </c>
      <c r="EW570" s="885"/>
      <c r="EX570" s="885"/>
      <c r="EY570" s="885"/>
      <c r="EZ570" s="885"/>
      <c r="FA570" s="885"/>
      <c r="FB570" s="885"/>
      <c r="FC570" s="885"/>
      <c r="FD570" s="886"/>
      <c r="FE570" s="878"/>
      <c r="FF570" s="878"/>
      <c r="FG570" s="878"/>
      <c r="FH570" s="878"/>
      <c r="FI570" s="878"/>
      <c r="FJ570" s="878"/>
      <c r="FK570" s="878"/>
      <c r="FL570" s="555"/>
      <c r="FM570" s="554"/>
      <c r="FN570" s="554"/>
      <c r="FO570" s="554"/>
      <c r="FP570" s="554"/>
      <c r="FQ570" s="554"/>
      <c r="FR570" s="554"/>
      <c r="FS570" s="554"/>
      <c r="FT570" s="554"/>
      <c r="FU570" s="554"/>
      <c r="FV570" s="554"/>
      <c r="FW570" s="554"/>
      <c r="FX570" s="554"/>
      <c r="FY570" s="554"/>
      <c r="FZ570" s="554"/>
      <c r="GA570" s="554"/>
      <c r="GB570" s="556"/>
      <c r="GC570" s="370"/>
      <c r="GD570" s="453"/>
      <c r="GE570" s="453"/>
      <c r="GF570" s="453"/>
      <c r="GG570" s="453"/>
      <c r="GH570" s="454"/>
      <c r="GI570" s="453"/>
      <c r="GJ570" s="453"/>
      <c r="GK570" s="453"/>
      <c r="GL570" s="453"/>
      <c r="GM570" s="453"/>
      <c r="GN570" s="453"/>
      <c r="GO570" s="453"/>
      <c r="GP570" s="453"/>
      <c r="GQ570" s="453"/>
      <c r="GR570" s="453"/>
      <c r="GS570" s="561"/>
      <c r="GT570" s="475"/>
      <c r="GU570" s="472"/>
      <c r="GV570" s="453"/>
      <c r="GW570" s="453"/>
      <c r="GX570" s="869"/>
      <c r="GY570" s="870"/>
      <c r="GZ570" s="867"/>
      <c r="HA570" s="868"/>
      <c r="HB570" s="473"/>
      <c r="HC570" s="869"/>
      <c r="HD570" s="870"/>
      <c r="HE570" s="867"/>
      <c r="HF570" s="868"/>
      <c r="HG570" s="473"/>
      <c r="HH570" s="867"/>
      <c r="HI570" s="868"/>
      <c r="HJ570" s="867"/>
      <c r="HK570" s="868"/>
      <c r="HL570" s="370"/>
      <c r="HM570" s="865"/>
      <c r="HN570" s="866"/>
      <c r="HO570" s="865"/>
      <c r="HP570" s="866"/>
      <c r="HQ570" s="865"/>
      <c r="HR570" s="866"/>
      <c r="HS570" s="867"/>
      <c r="HT570" s="868"/>
      <c r="HU570" s="489"/>
      <c r="HV570" s="865"/>
      <c r="HW570" s="866"/>
    </row>
    <row r="571" spans="25:231" ht="15" customHeight="1">
      <c r="Y571" s="332"/>
      <c r="Z571" s="332"/>
      <c r="AA571" s="332"/>
      <c r="AB571" s="332"/>
      <c r="AC571" s="332"/>
      <c r="AD571" s="332"/>
      <c r="AE571" s="332"/>
      <c r="AF571" s="332"/>
      <c r="AG571" s="332"/>
      <c r="AH571" s="332"/>
      <c r="AI571" s="332"/>
      <c r="AJ571" s="332"/>
      <c r="AK571" s="332"/>
      <c r="AL571" s="332"/>
      <c r="AM571" s="332"/>
      <c r="AN571" s="332"/>
      <c r="AO571" s="332"/>
      <c r="AP571" s="332"/>
      <c r="AQ571" s="332"/>
      <c r="AR571" s="332"/>
      <c r="AS571" s="332"/>
      <c r="AT571" s="332"/>
      <c r="AU571" s="332"/>
      <c r="AV571" s="332"/>
      <c r="AW571" s="332"/>
      <c r="AX571" s="332"/>
      <c r="AY571" s="332"/>
      <c r="AZ571" s="332"/>
      <c r="BA571" s="332"/>
      <c r="BB571" s="332"/>
      <c r="BC571" s="332"/>
      <c r="BD571" s="332"/>
      <c r="BE571" s="332"/>
      <c r="BF571" s="332"/>
      <c r="BG571" s="332"/>
      <c r="BH571" s="332"/>
      <c r="BI571" s="332"/>
      <c r="BJ571" s="332"/>
      <c r="BK571" s="332"/>
      <c r="BL571" s="332"/>
      <c r="BM571" s="332"/>
      <c r="BN571" s="332"/>
      <c r="BO571" s="332"/>
      <c r="BP571" s="332"/>
      <c r="BQ571" s="332"/>
      <c r="BR571" s="332"/>
      <c r="BS571" s="332"/>
      <c r="BT571" s="332"/>
      <c r="BU571" s="332"/>
      <c r="BV571" s="332"/>
      <c r="BW571" s="332"/>
      <c r="BX571" s="332"/>
      <c r="BY571" s="332"/>
      <c r="BZ571" s="332"/>
      <c r="CA571" s="332"/>
      <c r="CB571" s="332"/>
      <c r="CC571" s="332"/>
      <c r="CD571" s="332"/>
      <c r="CE571" s="332"/>
      <c r="CF571" s="332"/>
      <c r="CG571" s="332"/>
      <c r="CH571" s="332"/>
      <c r="CI571" s="332"/>
      <c r="CJ571" s="332"/>
      <c r="CK571" s="332"/>
      <c r="CL571" s="332"/>
      <c r="CM571" s="332"/>
      <c r="CN571" s="332"/>
      <c r="CO571" s="332"/>
      <c r="CP571" s="332"/>
      <c r="CQ571" s="332"/>
      <c r="CR571" s="332"/>
      <c r="CS571" s="332"/>
      <c r="CT571" s="332"/>
      <c r="CU571" s="332"/>
      <c r="CV571" s="332"/>
      <c r="CW571" s="332"/>
      <c r="CX571" s="332"/>
      <c r="CY571" s="332"/>
      <c r="CZ571" s="332"/>
      <c r="DA571" s="332"/>
      <c r="DB571" s="332"/>
      <c r="DC571" s="332"/>
      <c r="DD571" s="332"/>
      <c r="DE571" s="332"/>
      <c r="DF571" s="332"/>
      <c r="DG571" s="332"/>
      <c r="DH571" s="332"/>
      <c r="DI571" s="332"/>
      <c r="DJ571" s="332"/>
      <c r="DK571" s="332"/>
      <c r="DL571" s="332"/>
      <c r="DM571" s="332"/>
      <c r="DN571" s="332"/>
      <c r="DO571" s="332"/>
      <c r="DP571" s="332"/>
      <c r="DQ571" s="332"/>
      <c r="DR571" s="332"/>
      <c r="DS571" s="332"/>
      <c r="DT571" s="332"/>
      <c r="DU571" s="453"/>
      <c r="DV571" s="453"/>
      <c r="DW571" s="453"/>
      <c r="DX571" s="453"/>
      <c r="DY571" s="453"/>
      <c r="DZ571" s="453"/>
      <c r="EA571" s="453"/>
      <c r="EB571" s="453"/>
      <c r="EC571" s="453"/>
      <c r="ED571" s="453"/>
      <c r="EE571" s="453"/>
      <c r="EF571" s="453"/>
      <c r="EG571" s="453"/>
      <c r="EH571" s="453"/>
      <c r="EI571" s="453"/>
      <c r="EJ571" s="453"/>
      <c r="EK571" s="453"/>
      <c r="EL571" s="453"/>
      <c r="EM571" s="483">
        <f t="shared" si="224"/>
        <v>262</v>
      </c>
      <c r="EN571" s="485"/>
      <c r="EO571" s="804"/>
      <c r="EP571" s="805"/>
      <c r="EQ571" s="820"/>
      <c r="ER571" s="808"/>
      <c r="ES571" s="881">
        <f t="shared" si="222"/>
        <v>0</v>
      </c>
      <c r="ET571" s="882"/>
      <c r="EU571" s="883"/>
      <c r="EV571" s="884">
        <f t="shared" si="223"/>
        <v>0</v>
      </c>
      <c r="EW571" s="885"/>
      <c r="EX571" s="885"/>
      <c r="EY571" s="885"/>
      <c r="EZ571" s="885"/>
      <c r="FA571" s="885"/>
      <c r="FB571" s="885"/>
      <c r="FC571" s="885"/>
      <c r="FD571" s="886"/>
      <c r="FE571" s="878"/>
      <c r="FF571" s="878"/>
      <c r="FG571" s="878"/>
      <c r="FH571" s="878"/>
      <c r="FI571" s="878"/>
      <c r="FJ571" s="878"/>
      <c r="FK571" s="878"/>
      <c r="FL571" s="555"/>
      <c r="FM571" s="554"/>
      <c r="FN571" s="554"/>
      <c r="FO571" s="554"/>
      <c r="FP571" s="554"/>
      <c r="FQ571" s="554"/>
      <c r="FR571" s="554"/>
      <c r="FS571" s="554"/>
      <c r="FT571" s="554"/>
      <c r="FU571" s="554"/>
      <c r="FV571" s="554"/>
      <c r="FW571" s="554"/>
      <c r="FX571" s="554"/>
      <c r="FY571" s="554"/>
      <c r="FZ571" s="554"/>
      <c r="GA571" s="554"/>
      <c r="GB571" s="556"/>
      <c r="GC571" s="370"/>
      <c r="GD571" s="453"/>
      <c r="GE571" s="453"/>
      <c r="GF571" s="453"/>
      <c r="GG571" s="453"/>
      <c r="GH571" s="454"/>
      <c r="GI571" s="453"/>
      <c r="GJ571" s="453"/>
      <c r="GK571" s="453"/>
      <c r="GL571" s="453"/>
      <c r="GM571" s="453"/>
      <c r="GN571" s="453"/>
      <c r="GO571" s="453"/>
      <c r="GP571" s="453"/>
      <c r="GQ571" s="453"/>
      <c r="GR571" s="453"/>
      <c r="GS571" s="561"/>
      <c r="GT571" s="475"/>
      <c r="GU571" s="472"/>
      <c r="GV571" s="453"/>
      <c r="GW571" s="453"/>
      <c r="GX571" s="869"/>
      <c r="GY571" s="870"/>
      <c r="GZ571" s="867"/>
      <c r="HA571" s="868"/>
      <c r="HB571" s="473"/>
      <c r="HC571" s="869"/>
      <c r="HD571" s="870"/>
      <c r="HE571" s="867"/>
      <c r="HF571" s="868"/>
      <c r="HG571" s="473"/>
      <c r="HH571" s="867"/>
      <c r="HI571" s="868"/>
      <c r="HJ571" s="867"/>
      <c r="HK571" s="868"/>
      <c r="HL571" s="370"/>
      <c r="HM571" s="865"/>
      <c r="HN571" s="866"/>
      <c r="HO571" s="865"/>
      <c r="HP571" s="866"/>
      <c r="HQ571" s="865"/>
      <c r="HR571" s="866"/>
      <c r="HS571" s="867"/>
      <c r="HT571" s="868"/>
      <c r="HU571" s="489"/>
      <c r="HV571" s="865"/>
      <c r="HW571" s="866"/>
    </row>
    <row r="572" spans="25:231" ht="15" customHeight="1">
      <c r="Y572" s="332"/>
      <c r="Z572" s="332"/>
      <c r="AA572" s="332"/>
      <c r="AB572" s="332"/>
      <c r="AC572" s="332"/>
      <c r="AD572" s="332"/>
      <c r="AE572" s="332"/>
      <c r="AF572" s="332"/>
      <c r="AG572" s="332"/>
      <c r="AH572" s="332"/>
      <c r="AI572" s="332"/>
      <c r="AJ572" s="332"/>
      <c r="AK572" s="332"/>
      <c r="AL572" s="332"/>
      <c r="AM572" s="332"/>
      <c r="AN572" s="332"/>
      <c r="AO572" s="332"/>
      <c r="AP572" s="332"/>
      <c r="AQ572" s="332"/>
      <c r="AR572" s="332"/>
      <c r="AS572" s="332"/>
      <c r="AT572" s="332"/>
      <c r="AU572" s="332"/>
      <c r="AV572" s="332"/>
      <c r="AW572" s="332"/>
      <c r="AX572" s="332"/>
      <c r="AY572" s="332"/>
      <c r="AZ572" s="332"/>
      <c r="BA572" s="332"/>
      <c r="BB572" s="332"/>
      <c r="BC572" s="332"/>
      <c r="BD572" s="332"/>
      <c r="BE572" s="332"/>
      <c r="BF572" s="332"/>
      <c r="BG572" s="332"/>
      <c r="BH572" s="332"/>
      <c r="BI572" s="332"/>
      <c r="BJ572" s="332"/>
      <c r="BK572" s="332"/>
      <c r="BL572" s="332"/>
      <c r="BM572" s="332"/>
      <c r="BN572" s="332"/>
      <c r="BO572" s="332"/>
      <c r="BP572" s="332"/>
      <c r="BQ572" s="332"/>
      <c r="BR572" s="332"/>
      <c r="BS572" s="332"/>
      <c r="BT572" s="332"/>
      <c r="BU572" s="332"/>
      <c r="BV572" s="332"/>
      <c r="BW572" s="332"/>
      <c r="BX572" s="332"/>
      <c r="BY572" s="332"/>
      <c r="BZ572" s="332"/>
      <c r="CA572" s="332"/>
      <c r="CB572" s="332"/>
      <c r="CC572" s="332"/>
      <c r="CD572" s="332"/>
      <c r="CE572" s="332"/>
      <c r="CF572" s="332"/>
      <c r="CG572" s="332"/>
      <c r="CH572" s="332"/>
      <c r="CI572" s="332"/>
      <c r="CJ572" s="332"/>
      <c r="CK572" s="332"/>
      <c r="CL572" s="332"/>
      <c r="CM572" s="332"/>
      <c r="CN572" s="332"/>
      <c r="CO572" s="332"/>
      <c r="CP572" s="332"/>
      <c r="CQ572" s="332"/>
      <c r="CR572" s="332"/>
      <c r="CS572" s="332"/>
      <c r="CT572" s="332"/>
      <c r="CU572" s="332"/>
      <c r="CV572" s="332"/>
      <c r="CW572" s="332"/>
      <c r="CX572" s="332"/>
      <c r="CY572" s="332"/>
      <c r="CZ572" s="332"/>
      <c r="DA572" s="332"/>
      <c r="DB572" s="332"/>
      <c r="DC572" s="332"/>
      <c r="DD572" s="332"/>
      <c r="DE572" s="332"/>
      <c r="DF572" s="332"/>
      <c r="DG572" s="332"/>
      <c r="DH572" s="332"/>
      <c r="DI572" s="332"/>
      <c r="DJ572" s="332"/>
      <c r="DK572" s="332"/>
      <c r="DL572" s="332"/>
      <c r="DM572" s="332"/>
      <c r="DN572" s="332"/>
      <c r="DO572" s="332"/>
      <c r="DP572" s="332"/>
      <c r="DQ572" s="332"/>
      <c r="DR572" s="332"/>
      <c r="DS572" s="332"/>
      <c r="DT572" s="332"/>
      <c r="DU572" s="453"/>
      <c r="DV572" s="453"/>
      <c r="DW572" s="453"/>
      <c r="DX572" s="453"/>
      <c r="DY572" s="453"/>
      <c r="DZ572" s="453"/>
      <c r="EA572" s="453"/>
      <c r="EB572" s="453"/>
      <c r="EC572" s="453"/>
      <c r="ED572" s="453"/>
      <c r="EE572" s="453"/>
      <c r="EF572" s="453"/>
      <c r="EG572" s="453"/>
      <c r="EH572" s="453"/>
      <c r="EI572" s="453"/>
      <c r="EJ572" s="453"/>
      <c r="EK572" s="453"/>
      <c r="EL572" s="453"/>
      <c r="EM572" s="483">
        <f t="shared" si="224"/>
        <v>263</v>
      </c>
      <c r="EN572" s="485"/>
      <c r="EO572" s="804"/>
      <c r="EP572" s="805"/>
      <c r="EQ572" s="806"/>
      <c r="ER572" s="808"/>
      <c r="ES572" s="881">
        <f t="shared" si="222"/>
        <v>0</v>
      </c>
      <c r="ET572" s="882"/>
      <c r="EU572" s="883"/>
      <c r="EV572" s="884">
        <f t="shared" si="223"/>
        <v>0</v>
      </c>
      <c r="EW572" s="885"/>
      <c r="EX572" s="885"/>
      <c r="EY572" s="885"/>
      <c r="EZ572" s="885"/>
      <c r="FA572" s="885"/>
      <c r="FB572" s="885"/>
      <c r="FC572" s="885"/>
      <c r="FD572" s="886"/>
      <c r="FE572" s="878"/>
      <c r="FF572" s="878"/>
      <c r="FG572" s="878"/>
      <c r="FH572" s="878"/>
      <c r="FI572" s="878"/>
      <c r="FJ572" s="878"/>
      <c r="FK572" s="878"/>
      <c r="FL572" s="555"/>
      <c r="FM572" s="554"/>
      <c r="FN572" s="554"/>
      <c r="FO572" s="554"/>
      <c r="FP572" s="554"/>
      <c r="FQ572" s="554"/>
      <c r="FR572" s="554"/>
      <c r="FS572" s="554"/>
      <c r="FT572" s="554"/>
      <c r="FU572" s="554"/>
      <c r="FV572" s="554"/>
      <c r="FW572" s="554"/>
      <c r="FX572" s="554"/>
      <c r="FY572" s="554"/>
      <c r="FZ572" s="554"/>
      <c r="GA572" s="554"/>
      <c r="GB572" s="556"/>
      <c r="GC572" s="370"/>
      <c r="GD572" s="453"/>
      <c r="GE572" s="453"/>
      <c r="GF572" s="453"/>
      <c r="GG572" s="453"/>
      <c r="GH572" s="454"/>
      <c r="GI572" s="453"/>
      <c r="GJ572" s="453"/>
      <c r="GK572" s="453"/>
      <c r="GL572" s="453"/>
      <c r="GM572" s="453"/>
      <c r="GN572" s="453"/>
      <c r="GO572" s="453"/>
      <c r="GP572" s="453"/>
      <c r="GQ572" s="453"/>
      <c r="GR572" s="453"/>
      <c r="GS572" s="561"/>
      <c r="GT572" s="475"/>
      <c r="GU572" s="472"/>
      <c r="GV572" s="453"/>
      <c r="GW572" s="453"/>
      <c r="GX572" s="869"/>
      <c r="GY572" s="870"/>
      <c r="GZ572" s="867"/>
      <c r="HA572" s="868"/>
      <c r="HB572" s="473"/>
      <c r="HC572" s="869"/>
      <c r="HD572" s="870"/>
      <c r="HE572" s="867"/>
      <c r="HF572" s="868"/>
      <c r="HG572" s="473"/>
      <c r="HH572" s="867"/>
      <c r="HI572" s="868"/>
      <c r="HJ572" s="867"/>
      <c r="HK572" s="868"/>
      <c r="HL572" s="370"/>
      <c r="HM572" s="865"/>
      <c r="HN572" s="866"/>
      <c r="HO572" s="865"/>
      <c r="HP572" s="866"/>
      <c r="HQ572" s="865"/>
      <c r="HR572" s="866"/>
      <c r="HS572" s="867"/>
      <c r="HT572" s="868"/>
      <c r="HU572" s="489"/>
      <c r="HV572" s="865"/>
      <c r="HW572" s="866"/>
    </row>
    <row r="573" spans="25:231" ht="15" customHeight="1">
      <c r="Y573" s="332"/>
      <c r="Z573" s="332"/>
      <c r="AA573" s="332"/>
      <c r="AB573" s="332"/>
      <c r="AC573" s="332"/>
      <c r="AD573" s="332"/>
      <c r="AE573" s="332"/>
      <c r="AF573" s="332"/>
      <c r="AG573" s="332"/>
      <c r="AH573" s="332"/>
      <c r="AI573" s="332"/>
      <c r="AJ573" s="332"/>
      <c r="AK573" s="332"/>
      <c r="AL573" s="332"/>
      <c r="AM573" s="332"/>
      <c r="AN573" s="332"/>
      <c r="AO573" s="332"/>
      <c r="AP573" s="332"/>
      <c r="AQ573" s="332"/>
      <c r="AR573" s="332"/>
      <c r="AS573" s="332"/>
      <c r="AT573" s="332"/>
      <c r="AU573" s="332"/>
      <c r="AV573" s="332"/>
      <c r="AW573" s="332"/>
      <c r="AX573" s="332"/>
      <c r="AY573" s="332"/>
      <c r="AZ573" s="332"/>
      <c r="BA573" s="332"/>
      <c r="BB573" s="332"/>
      <c r="BC573" s="332"/>
      <c r="BD573" s="332"/>
      <c r="BE573" s="332"/>
      <c r="BF573" s="332"/>
      <c r="BG573" s="332"/>
      <c r="BH573" s="332"/>
      <c r="BI573" s="332"/>
      <c r="BJ573" s="332"/>
      <c r="BK573" s="332"/>
      <c r="BL573" s="332"/>
      <c r="BM573" s="332"/>
      <c r="BN573" s="332"/>
      <c r="BO573" s="332"/>
      <c r="BP573" s="332"/>
      <c r="BQ573" s="332"/>
      <c r="BR573" s="332"/>
      <c r="BS573" s="332"/>
      <c r="BT573" s="332"/>
      <c r="BU573" s="332"/>
      <c r="BV573" s="332"/>
      <c r="BW573" s="332"/>
      <c r="BX573" s="332"/>
      <c r="BY573" s="332"/>
      <c r="BZ573" s="332"/>
      <c r="CA573" s="332"/>
      <c r="CB573" s="332"/>
      <c r="CC573" s="332"/>
      <c r="CD573" s="332"/>
      <c r="CE573" s="332"/>
      <c r="CF573" s="332"/>
      <c r="CG573" s="332"/>
      <c r="CH573" s="332"/>
      <c r="CI573" s="332"/>
      <c r="CJ573" s="332"/>
      <c r="CK573" s="332"/>
      <c r="CL573" s="332"/>
      <c r="CM573" s="332"/>
      <c r="CN573" s="332"/>
      <c r="CO573" s="332"/>
      <c r="CP573" s="332"/>
      <c r="CQ573" s="332"/>
      <c r="CR573" s="332"/>
      <c r="CS573" s="332"/>
      <c r="CT573" s="332"/>
      <c r="CU573" s="332"/>
      <c r="CV573" s="332"/>
      <c r="CW573" s="332"/>
      <c r="CX573" s="332"/>
      <c r="CY573" s="332"/>
      <c r="CZ573" s="332"/>
      <c r="DA573" s="332"/>
      <c r="DB573" s="332"/>
      <c r="DC573" s="332"/>
      <c r="DD573" s="332"/>
      <c r="DE573" s="332"/>
      <c r="DF573" s="332"/>
      <c r="DG573" s="332"/>
      <c r="DH573" s="332"/>
      <c r="DI573" s="332"/>
      <c r="DJ573" s="332"/>
      <c r="DK573" s="332"/>
      <c r="DL573" s="332"/>
      <c r="DM573" s="332"/>
      <c r="DN573" s="332"/>
      <c r="DO573" s="332"/>
      <c r="DP573" s="332"/>
      <c r="DQ573" s="332"/>
      <c r="DR573" s="332"/>
      <c r="DS573" s="332"/>
      <c r="DT573" s="332"/>
      <c r="DU573" s="453"/>
      <c r="DV573" s="453"/>
      <c r="DW573" s="453"/>
      <c r="DX573" s="453"/>
      <c r="DY573" s="453"/>
      <c r="DZ573" s="453"/>
      <c r="EA573" s="453"/>
      <c r="EB573" s="453"/>
      <c r="EC573" s="453"/>
      <c r="ED573" s="453"/>
      <c r="EE573" s="453"/>
      <c r="EF573" s="453"/>
      <c r="EG573" s="453"/>
      <c r="EH573" s="453"/>
      <c r="EI573" s="453"/>
      <c r="EJ573" s="453"/>
      <c r="EK573" s="453"/>
      <c r="EL573" s="453"/>
      <c r="EM573" s="483">
        <f t="shared" si="224"/>
        <v>264</v>
      </c>
      <c r="EN573" s="485"/>
      <c r="EO573" s="804"/>
      <c r="EP573" s="805"/>
      <c r="EQ573" s="820"/>
      <c r="ER573" s="808"/>
      <c r="ES573" s="881">
        <f t="shared" ref="ES573:ES636" si="225">IF(OR(EO573 = "", EP573 = 0, EP573 = "", EQ573 = 0, EQ573 = "", ER573 = 0, ER573 = ""), 0,
IF(EO573 &lt;&gt; "ACCION", EP573 * ER573 * -100,  EP573 * ER573 * -1))</f>
        <v>0</v>
      </c>
      <c r="ET573" s="882"/>
      <c r="EU573" s="883"/>
      <c r="EV573" s="884">
        <f t="shared" si="223"/>
        <v>0</v>
      </c>
      <c r="EW573" s="885"/>
      <c r="EX573" s="885"/>
      <c r="EY573" s="885"/>
      <c r="EZ573" s="885"/>
      <c r="FA573" s="885"/>
      <c r="FB573" s="885"/>
      <c r="FC573" s="885"/>
      <c r="FD573" s="886"/>
      <c r="FE573" s="878"/>
      <c r="FF573" s="878"/>
      <c r="FG573" s="878"/>
      <c r="FH573" s="878"/>
      <c r="FI573" s="878"/>
      <c r="FJ573" s="878"/>
      <c r="FK573" s="878"/>
      <c r="FL573" s="555"/>
      <c r="FM573" s="554"/>
      <c r="FN573" s="554"/>
      <c r="FO573" s="554"/>
      <c r="FP573" s="554"/>
      <c r="FQ573" s="554"/>
      <c r="FR573" s="554"/>
      <c r="FS573" s="554"/>
      <c r="FT573" s="554"/>
      <c r="FU573" s="554"/>
      <c r="FV573" s="554"/>
      <c r="FW573" s="554"/>
      <c r="FX573" s="554"/>
      <c r="FY573" s="554"/>
      <c r="FZ573" s="554"/>
      <c r="GA573" s="554"/>
      <c r="GB573" s="556"/>
      <c r="GC573" s="370"/>
      <c r="GD573" s="453"/>
      <c r="GE573" s="453"/>
      <c r="GF573" s="453"/>
      <c r="GG573" s="453"/>
      <c r="GH573" s="454"/>
      <c r="GI573" s="453"/>
      <c r="GJ573" s="453"/>
      <c r="GK573" s="453"/>
      <c r="GL573" s="453"/>
      <c r="GM573" s="453"/>
      <c r="GN573" s="453"/>
      <c r="GO573" s="453"/>
      <c r="GP573" s="453"/>
      <c r="GQ573" s="453"/>
      <c r="GR573" s="453"/>
      <c r="GS573" s="561"/>
      <c r="GT573" s="475"/>
      <c r="GU573" s="472"/>
      <c r="GV573" s="453"/>
      <c r="GW573" s="453"/>
      <c r="GX573" s="869"/>
      <c r="GY573" s="870"/>
      <c r="GZ573" s="867"/>
      <c r="HA573" s="868"/>
      <c r="HB573" s="473"/>
      <c r="HC573" s="869"/>
      <c r="HD573" s="870"/>
      <c r="HE573" s="867"/>
      <c r="HF573" s="868"/>
      <c r="HG573" s="473"/>
      <c r="HH573" s="867"/>
      <c r="HI573" s="868"/>
      <c r="HJ573" s="867"/>
      <c r="HK573" s="868"/>
      <c r="HL573" s="370"/>
      <c r="HM573" s="865"/>
      <c r="HN573" s="866"/>
      <c r="HO573" s="865"/>
      <c r="HP573" s="866"/>
      <c r="HQ573" s="865"/>
      <c r="HR573" s="866"/>
      <c r="HS573" s="867"/>
      <c r="HT573" s="868"/>
      <c r="HU573" s="489"/>
      <c r="HV573" s="865"/>
      <c r="HW573" s="866"/>
    </row>
    <row r="574" spans="25:231" ht="15" customHeight="1">
      <c r="Y574" s="332"/>
      <c r="Z574" s="332"/>
      <c r="AA574" s="332"/>
      <c r="AB574" s="332"/>
      <c r="AC574" s="332"/>
      <c r="AD574" s="332"/>
      <c r="AE574" s="332"/>
      <c r="AF574" s="332"/>
      <c r="AG574" s="332"/>
      <c r="AH574" s="332"/>
      <c r="AI574" s="332"/>
      <c r="AJ574" s="332"/>
      <c r="AK574" s="332"/>
      <c r="AL574" s="332"/>
      <c r="AM574" s="332"/>
      <c r="AN574" s="332"/>
      <c r="AO574" s="332"/>
      <c r="AP574" s="332"/>
      <c r="AQ574" s="332"/>
      <c r="AR574" s="332"/>
      <c r="AS574" s="332"/>
      <c r="AT574" s="332"/>
      <c r="AU574" s="332"/>
      <c r="AV574" s="332"/>
      <c r="AW574" s="332"/>
      <c r="AX574" s="332"/>
      <c r="AY574" s="332"/>
      <c r="AZ574" s="332"/>
      <c r="BA574" s="332"/>
      <c r="BB574" s="332"/>
      <c r="BC574" s="332"/>
      <c r="BD574" s="332"/>
      <c r="BE574" s="332"/>
      <c r="BF574" s="332"/>
      <c r="BG574" s="332"/>
      <c r="BH574" s="332"/>
      <c r="BI574" s="332"/>
      <c r="BJ574" s="332"/>
      <c r="BK574" s="332"/>
      <c r="BL574" s="332"/>
      <c r="BM574" s="332"/>
      <c r="BN574" s="332"/>
      <c r="BO574" s="332"/>
      <c r="BP574" s="332"/>
      <c r="BQ574" s="332"/>
      <c r="BR574" s="332"/>
      <c r="BS574" s="332"/>
      <c r="BT574" s="332"/>
      <c r="BU574" s="332"/>
      <c r="BV574" s="332"/>
      <c r="BW574" s="332"/>
      <c r="BX574" s="332"/>
      <c r="BY574" s="332"/>
      <c r="BZ574" s="332"/>
      <c r="CA574" s="332"/>
      <c r="CB574" s="332"/>
      <c r="CC574" s="332"/>
      <c r="CD574" s="332"/>
      <c r="CE574" s="332"/>
      <c r="CF574" s="332"/>
      <c r="CG574" s="332"/>
      <c r="CH574" s="332"/>
      <c r="CI574" s="332"/>
      <c r="CJ574" s="332"/>
      <c r="CK574" s="332"/>
      <c r="CL574" s="332"/>
      <c r="CM574" s="332"/>
      <c r="CN574" s="332"/>
      <c r="CO574" s="332"/>
      <c r="CP574" s="332"/>
      <c r="CQ574" s="332"/>
      <c r="CR574" s="332"/>
      <c r="CS574" s="332"/>
      <c r="CT574" s="332"/>
      <c r="CU574" s="332"/>
      <c r="CV574" s="332"/>
      <c r="CW574" s="332"/>
      <c r="CX574" s="332"/>
      <c r="CY574" s="332"/>
      <c r="CZ574" s="332"/>
      <c r="DA574" s="332"/>
      <c r="DB574" s="332"/>
      <c r="DC574" s="332"/>
      <c r="DD574" s="332"/>
      <c r="DE574" s="332"/>
      <c r="DF574" s="332"/>
      <c r="DG574" s="332"/>
      <c r="DH574" s="332"/>
      <c r="DI574" s="332"/>
      <c r="DJ574" s="332"/>
      <c r="DK574" s="332"/>
      <c r="DL574" s="332"/>
      <c r="DM574" s="332"/>
      <c r="DN574" s="332"/>
      <c r="DO574" s="332"/>
      <c r="DP574" s="332"/>
      <c r="DQ574" s="332"/>
      <c r="DR574" s="332"/>
      <c r="DS574" s="332"/>
      <c r="DT574" s="332"/>
      <c r="DU574" s="453"/>
      <c r="DV574" s="453"/>
      <c r="DW574" s="453"/>
      <c r="DX574" s="453"/>
      <c r="DY574" s="453"/>
      <c r="DZ574" s="453"/>
      <c r="EA574" s="453"/>
      <c r="EB574" s="453"/>
      <c r="EC574" s="453"/>
      <c r="ED574" s="453"/>
      <c r="EE574" s="453"/>
      <c r="EF574" s="453"/>
      <c r="EG574" s="453"/>
      <c r="EH574" s="453"/>
      <c r="EI574" s="453"/>
      <c r="EJ574" s="453"/>
      <c r="EK574" s="453"/>
      <c r="EL574" s="453"/>
      <c r="EM574" s="483">
        <f t="shared" si="224"/>
        <v>265</v>
      </c>
      <c r="EN574" s="485"/>
      <c r="EO574" s="804"/>
      <c r="EP574" s="805"/>
      <c r="EQ574" s="806"/>
      <c r="ER574" s="808"/>
      <c r="ES574" s="881">
        <f t="shared" si="225"/>
        <v>0</v>
      </c>
      <c r="ET574" s="882"/>
      <c r="EU574" s="883"/>
      <c r="EV574" s="884">
        <f t="shared" si="223"/>
        <v>0</v>
      </c>
      <c r="EW574" s="885"/>
      <c r="EX574" s="885"/>
      <c r="EY574" s="885"/>
      <c r="EZ574" s="885"/>
      <c r="FA574" s="885"/>
      <c r="FB574" s="885"/>
      <c r="FC574" s="885"/>
      <c r="FD574" s="886"/>
      <c r="FE574" s="878"/>
      <c r="FF574" s="878"/>
      <c r="FG574" s="878"/>
      <c r="FH574" s="878"/>
      <c r="FI574" s="878"/>
      <c r="FJ574" s="878"/>
      <c r="FK574" s="878"/>
      <c r="FL574" s="555"/>
      <c r="FM574" s="554"/>
      <c r="FN574" s="554"/>
      <c r="FO574" s="554"/>
      <c r="FP574" s="554"/>
      <c r="FQ574" s="554"/>
      <c r="FR574" s="554"/>
      <c r="FS574" s="554"/>
      <c r="FT574" s="554"/>
      <c r="FU574" s="554"/>
      <c r="FV574" s="554"/>
      <c r="FW574" s="554"/>
      <c r="FX574" s="554"/>
      <c r="FY574" s="554"/>
      <c r="FZ574" s="554"/>
      <c r="GA574" s="554"/>
      <c r="GB574" s="556"/>
      <c r="GC574" s="370"/>
      <c r="GD574" s="453"/>
      <c r="GE574" s="453"/>
      <c r="GF574" s="453"/>
      <c r="GG574" s="453"/>
      <c r="GH574" s="454"/>
      <c r="GI574" s="453"/>
      <c r="GJ574" s="453"/>
      <c r="GK574" s="453"/>
      <c r="GL574" s="453"/>
      <c r="GM574" s="453"/>
      <c r="GN574" s="453"/>
      <c r="GO574" s="453"/>
      <c r="GP574" s="453"/>
      <c r="GQ574" s="453"/>
      <c r="GR574" s="453"/>
      <c r="GS574" s="561"/>
      <c r="GT574" s="475"/>
      <c r="GU574" s="472"/>
      <c r="GV574" s="453"/>
      <c r="GW574" s="453"/>
      <c r="GX574" s="869"/>
      <c r="GY574" s="870"/>
      <c r="GZ574" s="867"/>
      <c r="HA574" s="868"/>
      <c r="HB574" s="473"/>
      <c r="HC574" s="869"/>
      <c r="HD574" s="870"/>
      <c r="HE574" s="867"/>
      <c r="HF574" s="868"/>
      <c r="HG574" s="473"/>
      <c r="HH574" s="867"/>
      <c r="HI574" s="868"/>
      <c r="HJ574" s="867"/>
      <c r="HK574" s="868"/>
      <c r="HL574" s="370"/>
      <c r="HM574" s="865"/>
      <c r="HN574" s="866"/>
      <c r="HO574" s="865"/>
      <c r="HP574" s="866"/>
      <c r="HQ574" s="865"/>
      <c r="HR574" s="866"/>
      <c r="HS574" s="867"/>
      <c r="HT574" s="868"/>
      <c r="HU574" s="489"/>
      <c r="HV574" s="865"/>
      <c r="HW574" s="866"/>
    </row>
    <row r="575" spans="25:231" ht="15" customHeight="1">
      <c r="Y575" s="332"/>
      <c r="Z575" s="332"/>
      <c r="AA575" s="332"/>
      <c r="AB575" s="332"/>
      <c r="AC575" s="332"/>
      <c r="AD575" s="332"/>
      <c r="AE575" s="332"/>
      <c r="AF575" s="332"/>
      <c r="AG575" s="332"/>
      <c r="AH575" s="332"/>
      <c r="AI575" s="332"/>
      <c r="AJ575" s="332"/>
      <c r="AK575" s="332"/>
      <c r="AL575" s="332"/>
      <c r="AM575" s="332"/>
      <c r="AN575" s="332"/>
      <c r="AO575" s="332"/>
      <c r="AP575" s="332"/>
      <c r="AQ575" s="332"/>
      <c r="AR575" s="332"/>
      <c r="AS575" s="332"/>
      <c r="AT575" s="332"/>
      <c r="AU575" s="332"/>
      <c r="AV575" s="332"/>
      <c r="AW575" s="332"/>
      <c r="AX575" s="332"/>
      <c r="AY575" s="332"/>
      <c r="AZ575" s="332"/>
      <c r="BA575" s="332"/>
      <c r="BB575" s="332"/>
      <c r="BC575" s="332"/>
      <c r="BD575" s="332"/>
      <c r="BE575" s="332"/>
      <c r="BF575" s="332"/>
      <c r="BG575" s="332"/>
      <c r="BH575" s="332"/>
      <c r="BI575" s="332"/>
      <c r="BJ575" s="332"/>
      <c r="BK575" s="332"/>
      <c r="BL575" s="332"/>
      <c r="BM575" s="332"/>
      <c r="BN575" s="332"/>
      <c r="BO575" s="332"/>
      <c r="BP575" s="332"/>
      <c r="BQ575" s="332"/>
      <c r="BR575" s="332"/>
      <c r="BS575" s="332"/>
      <c r="BT575" s="332"/>
      <c r="BU575" s="332"/>
      <c r="BV575" s="332"/>
      <c r="BW575" s="332"/>
      <c r="BX575" s="332"/>
      <c r="BY575" s="332"/>
      <c r="BZ575" s="332"/>
      <c r="CA575" s="332"/>
      <c r="CB575" s="332"/>
      <c r="CC575" s="332"/>
      <c r="CD575" s="332"/>
      <c r="CE575" s="332"/>
      <c r="CF575" s="332"/>
      <c r="CG575" s="332"/>
      <c r="CH575" s="332"/>
      <c r="CI575" s="332"/>
      <c r="CJ575" s="332"/>
      <c r="CK575" s="332"/>
      <c r="CL575" s="332"/>
      <c r="CM575" s="332"/>
      <c r="CN575" s="332"/>
      <c r="CO575" s="332"/>
      <c r="CP575" s="332"/>
      <c r="CQ575" s="332"/>
      <c r="CR575" s="332"/>
      <c r="CS575" s="332"/>
      <c r="CT575" s="332"/>
      <c r="CU575" s="332"/>
      <c r="CV575" s="332"/>
      <c r="CW575" s="332"/>
      <c r="CX575" s="332"/>
      <c r="CY575" s="332"/>
      <c r="CZ575" s="332"/>
      <c r="DA575" s="332"/>
      <c r="DB575" s="332"/>
      <c r="DC575" s="332"/>
      <c r="DD575" s="332"/>
      <c r="DE575" s="332"/>
      <c r="DF575" s="332"/>
      <c r="DG575" s="332"/>
      <c r="DH575" s="332"/>
      <c r="DI575" s="332"/>
      <c r="DJ575" s="332"/>
      <c r="DK575" s="332"/>
      <c r="DL575" s="332"/>
      <c r="DM575" s="332"/>
      <c r="DN575" s="332"/>
      <c r="DO575" s="332"/>
      <c r="DP575" s="332"/>
      <c r="DQ575" s="332"/>
      <c r="DR575" s="332"/>
      <c r="DS575" s="332"/>
      <c r="DT575" s="332"/>
      <c r="DU575" s="453"/>
      <c r="DV575" s="453"/>
      <c r="DW575" s="453"/>
      <c r="DX575" s="453"/>
      <c r="DY575" s="453"/>
      <c r="DZ575" s="453"/>
      <c r="EA575" s="453"/>
      <c r="EB575" s="453"/>
      <c r="EC575" s="453"/>
      <c r="ED575" s="453"/>
      <c r="EE575" s="453"/>
      <c r="EF575" s="453"/>
      <c r="EG575" s="453"/>
      <c r="EH575" s="453"/>
      <c r="EI575" s="453"/>
      <c r="EJ575" s="453"/>
      <c r="EK575" s="453"/>
      <c r="EL575" s="453"/>
      <c r="EM575" s="483">
        <f t="shared" si="224"/>
        <v>266</v>
      </c>
      <c r="EN575" s="485"/>
      <c r="EO575" s="804"/>
      <c r="EP575" s="805"/>
      <c r="EQ575" s="820"/>
      <c r="ER575" s="808"/>
      <c r="ES575" s="881">
        <f t="shared" si="225"/>
        <v>0</v>
      </c>
      <c r="ET575" s="882"/>
      <c r="EU575" s="883"/>
      <c r="EV575" s="884">
        <f t="shared" si="223"/>
        <v>0</v>
      </c>
      <c r="EW575" s="885"/>
      <c r="EX575" s="885"/>
      <c r="EY575" s="885"/>
      <c r="EZ575" s="885"/>
      <c r="FA575" s="885"/>
      <c r="FB575" s="885"/>
      <c r="FC575" s="885"/>
      <c r="FD575" s="886"/>
      <c r="FE575" s="878"/>
      <c r="FF575" s="878"/>
      <c r="FG575" s="878"/>
      <c r="FH575" s="878"/>
      <c r="FI575" s="878"/>
      <c r="FJ575" s="878"/>
      <c r="FK575" s="878"/>
      <c r="FL575" s="555"/>
      <c r="FM575" s="554"/>
      <c r="FN575" s="554"/>
      <c r="FO575" s="554"/>
      <c r="FP575" s="554"/>
      <c r="FQ575" s="554"/>
      <c r="FR575" s="554"/>
      <c r="FS575" s="554"/>
      <c r="FT575" s="554"/>
      <c r="FU575" s="554"/>
      <c r="FV575" s="554"/>
      <c r="FW575" s="554"/>
      <c r="FX575" s="554"/>
      <c r="FY575" s="554"/>
      <c r="FZ575" s="554"/>
      <c r="GA575" s="554"/>
      <c r="GB575" s="556"/>
      <c r="GC575" s="370"/>
      <c r="GD575" s="453"/>
      <c r="GE575" s="453"/>
      <c r="GF575" s="453"/>
      <c r="GG575" s="453"/>
      <c r="GH575" s="454"/>
      <c r="GI575" s="453"/>
      <c r="GJ575" s="453"/>
      <c r="GK575" s="453"/>
      <c r="GL575" s="453"/>
      <c r="GM575" s="453"/>
      <c r="GN575" s="453"/>
      <c r="GO575" s="453"/>
      <c r="GP575" s="453"/>
      <c r="GQ575" s="453"/>
      <c r="GR575" s="453"/>
      <c r="GS575" s="561"/>
      <c r="GT575" s="475"/>
      <c r="GU575" s="472"/>
      <c r="GV575" s="453"/>
      <c r="GW575" s="453"/>
      <c r="GX575" s="869"/>
      <c r="GY575" s="870"/>
      <c r="GZ575" s="867"/>
      <c r="HA575" s="868"/>
      <c r="HB575" s="473"/>
      <c r="HC575" s="869"/>
      <c r="HD575" s="870"/>
      <c r="HE575" s="867"/>
      <c r="HF575" s="868"/>
      <c r="HG575" s="473"/>
      <c r="HH575" s="867"/>
      <c r="HI575" s="868"/>
      <c r="HJ575" s="867"/>
      <c r="HK575" s="868"/>
      <c r="HL575" s="370"/>
      <c r="HM575" s="865"/>
      <c r="HN575" s="866"/>
      <c r="HO575" s="865"/>
      <c r="HP575" s="866"/>
      <c r="HQ575" s="865"/>
      <c r="HR575" s="866"/>
      <c r="HS575" s="867"/>
      <c r="HT575" s="868"/>
      <c r="HU575" s="489"/>
      <c r="HV575" s="865"/>
      <c r="HW575" s="866"/>
    </row>
    <row r="576" spans="25:231" ht="15" customHeight="1">
      <c r="Y576" s="332"/>
      <c r="Z576" s="332"/>
      <c r="AA576" s="332"/>
      <c r="AB576" s="332"/>
      <c r="AC576" s="332"/>
      <c r="AD576" s="332"/>
      <c r="AE576" s="332"/>
      <c r="AF576" s="332"/>
      <c r="AG576" s="332"/>
      <c r="AH576" s="332"/>
      <c r="AI576" s="332"/>
      <c r="AJ576" s="332"/>
      <c r="AK576" s="332"/>
      <c r="AL576" s="332"/>
      <c r="AM576" s="332"/>
      <c r="AN576" s="332"/>
      <c r="AO576" s="332"/>
      <c r="AP576" s="332"/>
      <c r="AQ576" s="332"/>
      <c r="AR576" s="332"/>
      <c r="AS576" s="332"/>
      <c r="AT576" s="332"/>
      <c r="AU576" s="332"/>
      <c r="AV576" s="332"/>
      <c r="AW576" s="332"/>
      <c r="AX576" s="332"/>
      <c r="AY576" s="332"/>
      <c r="AZ576" s="332"/>
      <c r="BA576" s="332"/>
      <c r="BB576" s="332"/>
      <c r="BC576" s="332"/>
      <c r="BD576" s="332"/>
      <c r="BE576" s="332"/>
      <c r="BF576" s="332"/>
      <c r="BG576" s="332"/>
      <c r="BH576" s="332"/>
      <c r="BI576" s="332"/>
      <c r="BJ576" s="332"/>
      <c r="BK576" s="332"/>
      <c r="BL576" s="332"/>
      <c r="BM576" s="332"/>
      <c r="BN576" s="332"/>
      <c r="BO576" s="332"/>
      <c r="BP576" s="332"/>
      <c r="BQ576" s="332"/>
      <c r="BR576" s="332"/>
      <c r="BS576" s="332"/>
      <c r="BT576" s="332"/>
      <c r="BU576" s="332"/>
      <c r="BV576" s="332"/>
      <c r="BW576" s="332"/>
      <c r="BX576" s="332"/>
      <c r="BY576" s="332"/>
      <c r="BZ576" s="332"/>
      <c r="CA576" s="332"/>
      <c r="CB576" s="332"/>
      <c r="CC576" s="332"/>
      <c r="CD576" s="332"/>
      <c r="CE576" s="332"/>
      <c r="CF576" s="332"/>
      <c r="CG576" s="332"/>
      <c r="CH576" s="332"/>
      <c r="CI576" s="332"/>
      <c r="CJ576" s="332"/>
      <c r="CK576" s="332"/>
      <c r="CL576" s="332"/>
      <c r="CM576" s="332"/>
      <c r="CN576" s="332"/>
      <c r="CO576" s="332"/>
      <c r="CP576" s="332"/>
      <c r="CQ576" s="332"/>
      <c r="CR576" s="332"/>
      <c r="CS576" s="332"/>
      <c r="CT576" s="332"/>
      <c r="CU576" s="332"/>
      <c r="CV576" s="332"/>
      <c r="CW576" s="332"/>
      <c r="CX576" s="332"/>
      <c r="CY576" s="332"/>
      <c r="CZ576" s="332"/>
      <c r="DA576" s="332"/>
      <c r="DB576" s="332"/>
      <c r="DC576" s="332"/>
      <c r="DD576" s="332"/>
      <c r="DE576" s="332"/>
      <c r="DF576" s="332"/>
      <c r="DG576" s="332"/>
      <c r="DH576" s="332"/>
      <c r="DI576" s="332"/>
      <c r="DJ576" s="332"/>
      <c r="DK576" s="332"/>
      <c r="DL576" s="332"/>
      <c r="DM576" s="332"/>
      <c r="DN576" s="332"/>
      <c r="DO576" s="332"/>
      <c r="DP576" s="332"/>
      <c r="DQ576" s="332"/>
      <c r="DR576" s="332"/>
      <c r="DS576" s="332"/>
      <c r="DT576" s="332"/>
      <c r="DU576" s="453"/>
      <c r="DV576" s="453"/>
      <c r="DW576" s="453"/>
      <c r="DX576" s="453"/>
      <c r="DY576" s="453"/>
      <c r="DZ576" s="453"/>
      <c r="EA576" s="453"/>
      <c r="EB576" s="453"/>
      <c r="EC576" s="453"/>
      <c r="ED576" s="453"/>
      <c r="EE576" s="453"/>
      <c r="EF576" s="453"/>
      <c r="EG576" s="453"/>
      <c r="EH576" s="453"/>
      <c r="EI576" s="453"/>
      <c r="EJ576" s="453"/>
      <c r="EK576" s="453"/>
      <c r="EL576" s="453"/>
      <c r="EM576" s="483">
        <f t="shared" si="224"/>
        <v>267</v>
      </c>
      <c r="EN576" s="485"/>
      <c r="EO576" s="804"/>
      <c r="EP576" s="805"/>
      <c r="EQ576" s="806"/>
      <c r="ER576" s="808"/>
      <c r="ES576" s="881">
        <f t="shared" si="225"/>
        <v>0</v>
      </c>
      <c r="ET576" s="882"/>
      <c r="EU576" s="883"/>
      <c r="EV576" s="884">
        <f t="shared" si="223"/>
        <v>0</v>
      </c>
      <c r="EW576" s="885"/>
      <c r="EX576" s="885"/>
      <c r="EY576" s="885"/>
      <c r="EZ576" s="885"/>
      <c r="FA576" s="885"/>
      <c r="FB576" s="885"/>
      <c r="FC576" s="885"/>
      <c r="FD576" s="886"/>
      <c r="FE576" s="878"/>
      <c r="FF576" s="878"/>
      <c r="FG576" s="878"/>
      <c r="FH576" s="878"/>
      <c r="FI576" s="878"/>
      <c r="FJ576" s="878"/>
      <c r="FK576" s="878"/>
      <c r="FL576" s="555"/>
      <c r="FM576" s="554"/>
      <c r="FN576" s="554"/>
      <c r="FO576" s="554"/>
      <c r="FP576" s="554"/>
      <c r="FQ576" s="554"/>
      <c r="FR576" s="554"/>
      <c r="FS576" s="554"/>
      <c r="FT576" s="554"/>
      <c r="FU576" s="554"/>
      <c r="FV576" s="554"/>
      <c r="FW576" s="554"/>
      <c r="FX576" s="554"/>
      <c r="FY576" s="554"/>
      <c r="FZ576" s="554"/>
      <c r="GA576" s="554"/>
      <c r="GB576" s="556"/>
      <c r="GC576" s="370"/>
      <c r="GD576" s="453"/>
      <c r="GE576" s="453"/>
      <c r="GF576" s="453"/>
      <c r="GG576" s="453"/>
      <c r="GH576" s="454"/>
      <c r="GI576" s="453"/>
      <c r="GJ576" s="453"/>
      <c r="GK576" s="453"/>
      <c r="GL576" s="453"/>
      <c r="GM576" s="453"/>
      <c r="GN576" s="453"/>
      <c r="GO576" s="453"/>
      <c r="GP576" s="453"/>
      <c r="GQ576" s="453"/>
      <c r="GR576" s="453"/>
      <c r="GS576" s="561"/>
      <c r="GT576" s="475"/>
      <c r="GU576" s="472"/>
      <c r="GV576" s="453"/>
      <c r="GW576" s="453"/>
      <c r="GX576" s="869"/>
      <c r="GY576" s="870"/>
      <c r="GZ576" s="867"/>
      <c r="HA576" s="868"/>
      <c r="HB576" s="473"/>
      <c r="HC576" s="869"/>
      <c r="HD576" s="870"/>
      <c r="HE576" s="867"/>
      <c r="HF576" s="868"/>
      <c r="HG576" s="473"/>
      <c r="HH576" s="867"/>
      <c r="HI576" s="868"/>
      <c r="HJ576" s="867"/>
      <c r="HK576" s="868"/>
      <c r="HL576" s="370"/>
      <c r="HM576" s="865"/>
      <c r="HN576" s="866"/>
      <c r="HO576" s="865"/>
      <c r="HP576" s="866"/>
      <c r="HQ576" s="865"/>
      <c r="HR576" s="866"/>
      <c r="HS576" s="867"/>
      <c r="HT576" s="868"/>
      <c r="HU576" s="489"/>
      <c r="HV576" s="865"/>
      <c r="HW576" s="866"/>
    </row>
    <row r="577" spans="25:231" ht="15" customHeight="1">
      <c r="Y577" s="332"/>
      <c r="Z577" s="332"/>
      <c r="AA577" s="332"/>
      <c r="AB577" s="332"/>
      <c r="AC577" s="332"/>
      <c r="AD577" s="332"/>
      <c r="AE577" s="332"/>
      <c r="AF577" s="332"/>
      <c r="AG577" s="332"/>
      <c r="AH577" s="332"/>
      <c r="AI577" s="332"/>
      <c r="AJ577" s="332"/>
      <c r="AK577" s="332"/>
      <c r="AL577" s="332"/>
      <c r="AM577" s="332"/>
      <c r="AN577" s="332"/>
      <c r="AO577" s="332"/>
      <c r="AP577" s="332"/>
      <c r="AQ577" s="332"/>
      <c r="AR577" s="332"/>
      <c r="AS577" s="332"/>
      <c r="AT577" s="332"/>
      <c r="AU577" s="332"/>
      <c r="AV577" s="332"/>
      <c r="AW577" s="332"/>
      <c r="AX577" s="332"/>
      <c r="AY577" s="332"/>
      <c r="AZ577" s="332"/>
      <c r="BA577" s="332"/>
      <c r="BB577" s="332"/>
      <c r="BC577" s="332"/>
      <c r="BD577" s="332"/>
      <c r="BE577" s="332"/>
      <c r="BF577" s="332"/>
      <c r="BG577" s="332"/>
      <c r="BH577" s="332"/>
      <c r="BI577" s="332"/>
      <c r="BJ577" s="332"/>
      <c r="BK577" s="332"/>
      <c r="BL577" s="332"/>
      <c r="BM577" s="332"/>
      <c r="BN577" s="332"/>
      <c r="BO577" s="332"/>
      <c r="BP577" s="332"/>
      <c r="BQ577" s="332"/>
      <c r="BR577" s="332"/>
      <c r="BS577" s="332"/>
      <c r="BT577" s="332"/>
      <c r="BU577" s="332"/>
      <c r="BV577" s="332"/>
      <c r="BW577" s="332"/>
      <c r="BX577" s="332"/>
      <c r="BY577" s="332"/>
      <c r="BZ577" s="332"/>
      <c r="CA577" s="332"/>
      <c r="CB577" s="332"/>
      <c r="CC577" s="332"/>
      <c r="CD577" s="332"/>
      <c r="CE577" s="332"/>
      <c r="CF577" s="332"/>
      <c r="CG577" s="332"/>
      <c r="CH577" s="332"/>
      <c r="CI577" s="332"/>
      <c r="CJ577" s="332"/>
      <c r="CK577" s="332"/>
      <c r="CL577" s="332"/>
      <c r="CM577" s="332"/>
      <c r="CN577" s="332"/>
      <c r="CO577" s="332"/>
      <c r="CP577" s="332"/>
      <c r="CQ577" s="332"/>
      <c r="CR577" s="332"/>
      <c r="CS577" s="332"/>
      <c r="CT577" s="332"/>
      <c r="CU577" s="332"/>
      <c r="CV577" s="332"/>
      <c r="CW577" s="332"/>
      <c r="CX577" s="332"/>
      <c r="CY577" s="332"/>
      <c r="CZ577" s="332"/>
      <c r="DA577" s="332"/>
      <c r="DB577" s="332"/>
      <c r="DC577" s="332"/>
      <c r="DD577" s="332"/>
      <c r="DE577" s="332"/>
      <c r="DF577" s="332"/>
      <c r="DG577" s="332"/>
      <c r="DH577" s="332"/>
      <c r="DI577" s="332"/>
      <c r="DJ577" s="332"/>
      <c r="DK577" s="332"/>
      <c r="DL577" s="332"/>
      <c r="DM577" s="332"/>
      <c r="DN577" s="332"/>
      <c r="DO577" s="332"/>
      <c r="DP577" s="332"/>
      <c r="DQ577" s="332"/>
      <c r="DR577" s="332"/>
      <c r="DS577" s="332"/>
      <c r="DT577" s="332"/>
      <c r="DU577" s="453"/>
      <c r="DV577" s="453"/>
      <c r="DW577" s="453"/>
      <c r="DX577" s="453"/>
      <c r="DY577" s="453"/>
      <c r="DZ577" s="453"/>
      <c r="EA577" s="453"/>
      <c r="EB577" s="453"/>
      <c r="EC577" s="453"/>
      <c r="ED577" s="453"/>
      <c r="EE577" s="453"/>
      <c r="EF577" s="453"/>
      <c r="EG577" s="453"/>
      <c r="EH577" s="453"/>
      <c r="EI577" s="453"/>
      <c r="EJ577" s="453"/>
      <c r="EK577" s="453"/>
      <c r="EL577" s="453"/>
      <c r="EM577" s="483">
        <f t="shared" si="224"/>
        <v>268</v>
      </c>
      <c r="EN577" s="485"/>
      <c r="EO577" s="804"/>
      <c r="EP577" s="805"/>
      <c r="EQ577" s="820"/>
      <c r="ER577" s="808"/>
      <c r="ES577" s="881">
        <f t="shared" si="225"/>
        <v>0</v>
      </c>
      <c r="ET577" s="882"/>
      <c r="EU577" s="883"/>
      <c r="EV577" s="884">
        <f t="shared" si="223"/>
        <v>0</v>
      </c>
      <c r="EW577" s="885"/>
      <c r="EX577" s="885"/>
      <c r="EY577" s="885"/>
      <c r="EZ577" s="885"/>
      <c r="FA577" s="885"/>
      <c r="FB577" s="885"/>
      <c r="FC577" s="885"/>
      <c r="FD577" s="886"/>
      <c r="FE577" s="878"/>
      <c r="FF577" s="878"/>
      <c r="FG577" s="878"/>
      <c r="FH577" s="878"/>
      <c r="FI577" s="878"/>
      <c r="FJ577" s="878"/>
      <c r="FK577" s="878"/>
      <c r="FL577" s="555"/>
      <c r="FM577" s="554"/>
      <c r="FN577" s="554"/>
      <c r="FO577" s="554"/>
      <c r="FP577" s="554"/>
      <c r="FQ577" s="554"/>
      <c r="FR577" s="554"/>
      <c r="FS577" s="554"/>
      <c r="FT577" s="554"/>
      <c r="FU577" s="554"/>
      <c r="FV577" s="554"/>
      <c r="FW577" s="554"/>
      <c r="FX577" s="554"/>
      <c r="FY577" s="554"/>
      <c r="FZ577" s="554"/>
      <c r="GA577" s="554"/>
      <c r="GB577" s="556"/>
      <c r="GC577" s="370"/>
      <c r="GD577" s="453"/>
      <c r="GE577" s="453"/>
      <c r="GF577" s="453"/>
      <c r="GG577" s="453"/>
      <c r="GH577" s="454"/>
      <c r="GI577" s="453"/>
      <c r="GJ577" s="453"/>
      <c r="GK577" s="453"/>
      <c r="GL577" s="453"/>
      <c r="GM577" s="453"/>
      <c r="GN577" s="453"/>
      <c r="GO577" s="453"/>
      <c r="GP577" s="453"/>
      <c r="GQ577" s="453"/>
      <c r="GR577" s="453"/>
      <c r="GS577" s="561"/>
      <c r="GT577" s="475"/>
      <c r="GU577" s="472"/>
      <c r="GV577" s="453"/>
      <c r="GW577" s="453"/>
      <c r="GX577" s="869"/>
      <c r="GY577" s="870"/>
      <c r="GZ577" s="867"/>
      <c r="HA577" s="868"/>
      <c r="HB577" s="473"/>
      <c r="HC577" s="869"/>
      <c r="HD577" s="870"/>
      <c r="HE577" s="867"/>
      <c r="HF577" s="868"/>
      <c r="HG577" s="473"/>
      <c r="HH577" s="867"/>
      <c r="HI577" s="868"/>
      <c r="HJ577" s="867"/>
      <c r="HK577" s="868"/>
      <c r="HL577" s="370"/>
      <c r="HM577" s="865"/>
      <c r="HN577" s="866"/>
      <c r="HO577" s="865"/>
      <c r="HP577" s="866"/>
      <c r="HQ577" s="865"/>
      <c r="HR577" s="866"/>
      <c r="HS577" s="867"/>
      <c r="HT577" s="868"/>
      <c r="HU577" s="489"/>
      <c r="HV577" s="865"/>
      <c r="HW577" s="866"/>
    </row>
    <row r="578" spans="25:231" ht="15" customHeight="1">
      <c r="Y578" s="332"/>
      <c r="Z578" s="332"/>
      <c r="AA578" s="332"/>
      <c r="AB578" s="332"/>
      <c r="AC578" s="332"/>
      <c r="AD578" s="332"/>
      <c r="AE578" s="332"/>
      <c r="AF578" s="332"/>
      <c r="AG578" s="332"/>
      <c r="AH578" s="332"/>
      <c r="AI578" s="332"/>
      <c r="AJ578" s="332"/>
      <c r="AK578" s="332"/>
      <c r="AL578" s="332"/>
      <c r="AM578" s="332"/>
      <c r="AN578" s="332"/>
      <c r="AO578" s="332"/>
      <c r="AP578" s="332"/>
      <c r="AQ578" s="332"/>
      <c r="AR578" s="332"/>
      <c r="AS578" s="332"/>
      <c r="AT578" s="332"/>
      <c r="AU578" s="332"/>
      <c r="AV578" s="332"/>
      <c r="AW578" s="332"/>
      <c r="AX578" s="332"/>
      <c r="AY578" s="332"/>
      <c r="AZ578" s="332"/>
      <c r="BA578" s="332"/>
      <c r="BB578" s="332"/>
      <c r="BC578" s="332"/>
      <c r="BD578" s="332"/>
      <c r="BE578" s="332"/>
      <c r="BF578" s="332"/>
      <c r="BG578" s="332"/>
      <c r="BH578" s="332"/>
      <c r="BI578" s="332"/>
      <c r="BJ578" s="332"/>
      <c r="BK578" s="332"/>
      <c r="BL578" s="332"/>
      <c r="BM578" s="332"/>
      <c r="BN578" s="332"/>
      <c r="BO578" s="332"/>
      <c r="BP578" s="332"/>
      <c r="BQ578" s="332"/>
      <c r="BR578" s="332"/>
      <c r="BS578" s="332"/>
      <c r="BT578" s="332"/>
      <c r="BU578" s="332"/>
      <c r="BV578" s="332"/>
      <c r="BW578" s="332"/>
      <c r="BX578" s="332"/>
      <c r="BY578" s="332"/>
      <c r="BZ578" s="332"/>
      <c r="CA578" s="332"/>
      <c r="CB578" s="332"/>
      <c r="CC578" s="332"/>
      <c r="CD578" s="332"/>
      <c r="CE578" s="332"/>
      <c r="CF578" s="332"/>
      <c r="CG578" s="332"/>
      <c r="CH578" s="332"/>
      <c r="CI578" s="332"/>
      <c r="CJ578" s="332"/>
      <c r="CK578" s="332"/>
      <c r="CL578" s="332"/>
      <c r="CM578" s="332"/>
      <c r="CN578" s="332"/>
      <c r="CO578" s="332"/>
      <c r="CP578" s="332"/>
      <c r="CQ578" s="332"/>
      <c r="CR578" s="332"/>
      <c r="CS578" s="332"/>
      <c r="CT578" s="332"/>
      <c r="CU578" s="332"/>
      <c r="CV578" s="332"/>
      <c r="CW578" s="332"/>
      <c r="CX578" s="332"/>
      <c r="CY578" s="332"/>
      <c r="CZ578" s="332"/>
      <c r="DA578" s="332"/>
      <c r="DB578" s="332"/>
      <c r="DC578" s="332"/>
      <c r="DD578" s="332"/>
      <c r="DE578" s="332"/>
      <c r="DF578" s="332"/>
      <c r="DG578" s="332"/>
      <c r="DH578" s="332"/>
      <c r="DI578" s="332"/>
      <c r="DJ578" s="332"/>
      <c r="DK578" s="332"/>
      <c r="DL578" s="332"/>
      <c r="DM578" s="332"/>
      <c r="DN578" s="332"/>
      <c r="DO578" s="332"/>
      <c r="DP578" s="332"/>
      <c r="DQ578" s="332"/>
      <c r="DR578" s="332"/>
      <c r="DS578" s="332"/>
      <c r="DT578" s="332"/>
      <c r="DU578" s="453"/>
      <c r="DV578" s="453"/>
      <c r="DW578" s="453"/>
      <c r="DX578" s="453"/>
      <c r="DY578" s="453"/>
      <c r="DZ578" s="453"/>
      <c r="EA578" s="453"/>
      <c r="EB578" s="453"/>
      <c r="EC578" s="453"/>
      <c r="ED578" s="453"/>
      <c r="EE578" s="453"/>
      <c r="EF578" s="453"/>
      <c r="EG578" s="453"/>
      <c r="EH578" s="453"/>
      <c r="EI578" s="453"/>
      <c r="EJ578" s="453"/>
      <c r="EK578" s="453"/>
      <c r="EL578" s="453"/>
      <c r="EM578" s="483">
        <f t="shared" si="224"/>
        <v>269</v>
      </c>
      <c r="EN578" s="485"/>
      <c r="EO578" s="804"/>
      <c r="EP578" s="805"/>
      <c r="EQ578" s="806"/>
      <c r="ER578" s="808"/>
      <c r="ES578" s="881">
        <f t="shared" si="225"/>
        <v>0</v>
      </c>
      <c r="ET578" s="882"/>
      <c r="EU578" s="883"/>
      <c r="EV578" s="884">
        <f t="shared" si="223"/>
        <v>0</v>
      </c>
      <c r="EW578" s="885"/>
      <c r="EX578" s="885"/>
      <c r="EY578" s="885"/>
      <c r="EZ578" s="885"/>
      <c r="FA578" s="885"/>
      <c r="FB578" s="885"/>
      <c r="FC578" s="885"/>
      <c r="FD578" s="886"/>
      <c r="FE578" s="878"/>
      <c r="FF578" s="878"/>
      <c r="FG578" s="878"/>
      <c r="FH578" s="878"/>
      <c r="FI578" s="878"/>
      <c r="FJ578" s="878"/>
      <c r="FK578" s="878"/>
      <c r="FL578" s="555"/>
      <c r="FM578" s="554"/>
      <c r="FN578" s="554"/>
      <c r="FO578" s="554"/>
      <c r="FP578" s="554"/>
      <c r="FQ578" s="554"/>
      <c r="FR578" s="554"/>
      <c r="FS578" s="554"/>
      <c r="FT578" s="554"/>
      <c r="FU578" s="554"/>
      <c r="FV578" s="554"/>
      <c r="FW578" s="554"/>
      <c r="FX578" s="554"/>
      <c r="FY578" s="554"/>
      <c r="FZ578" s="554"/>
      <c r="GA578" s="554"/>
      <c r="GB578" s="556"/>
      <c r="GC578" s="370"/>
      <c r="GD578" s="453"/>
      <c r="GE578" s="453"/>
      <c r="GF578" s="453"/>
      <c r="GG578" s="453"/>
      <c r="GH578" s="454"/>
      <c r="GI578" s="453"/>
      <c r="GJ578" s="453"/>
      <c r="GK578" s="453"/>
      <c r="GL578" s="453"/>
      <c r="GM578" s="453"/>
      <c r="GN578" s="453"/>
      <c r="GO578" s="453"/>
      <c r="GP578" s="453"/>
      <c r="GQ578" s="453"/>
      <c r="GR578" s="453"/>
      <c r="GS578" s="561"/>
      <c r="GT578" s="475"/>
      <c r="GU578" s="472"/>
      <c r="GV578" s="453"/>
      <c r="GW578" s="453"/>
      <c r="GX578" s="869"/>
      <c r="GY578" s="870"/>
      <c r="GZ578" s="867"/>
      <c r="HA578" s="868"/>
      <c r="HB578" s="473"/>
      <c r="HC578" s="869"/>
      <c r="HD578" s="870"/>
      <c r="HE578" s="867"/>
      <c r="HF578" s="868"/>
      <c r="HG578" s="473"/>
      <c r="HH578" s="867"/>
      <c r="HI578" s="868"/>
      <c r="HJ578" s="867"/>
      <c r="HK578" s="868"/>
      <c r="HL578" s="370"/>
      <c r="HM578" s="865"/>
      <c r="HN578" s="866"/>
      <c r="HO578" s="865"/>
      <c r="HP578" s="866"/>
      <c r="HQ578" s="865"/>
      <c r="HR578" s="866"/>
      <c r="HS578" s="867"/>
      <c r="HT578" s="868"/>
      <c r="HU578" s="489"/>
      <c r="HV578" s="865"/>
      <c r="HW578" s="866"/>
    </row>
    <row r="579" spans="25:231" ht="15" customHeight="1">
      <c r="Y579" s="332"/>
      <c r="Z579" s="332"/>
      <c r="AA579" s="332"/>
      <c r="AB579" s="332"/>
      <c r="AC579" s="332"/>
      <c r="AD579" s="332"/>
      <c r="AE579" s="332"/>
      <c r="AF579" s="332"/>
      <c r="AG579" s="332"/>
      <c r="AH579" s="332"/>
      <c r="AI579" s="332"/>
      <c r="AJ579" s="332"/>
      <c r="AK579" s="332"/>
      <c r="AL579" s="332"/>
      <c r="AM579" s="332"/>
      <c r="AN579" s="332"/>
      <c r="AO579" s="332"/>
      <c r="AP579" s="332"/>
      <c r="AQ579" s="332"/>
      <c r="AR579" s="332"/>
      <c r="AS579" s="332"/>
      <c r="AT579" s="332"/>
      <c r="AU579" s="332"/>
      <c r="AV579" s="332"/>
      <c r="AW579" s="332"/>
      <c r="AX579" s="332"/>
      <c r="AY579" s="332"/>
      <c r="AZ579" s="332"/>
      <c r="BA579" s="332"/>
      <c r="BB579" s="332"/>
      <c r="BC579" s="332"/>
      <c r="BD579" s="332"/>
      <c r="BE579" s="332"/>
      <c r="BF579" s="332"/>
      <c r="BG579" s="332"/>
      <c r="BH579" s="332"/>
      <c r="BI579" s="332"/>
      <c r="BJ579" s="332"/>
      <c r="BK579" s="332"/>
      <c r="BL579" s="332"/>
      <c r="BM579" s="332"/>
      <c r="BN579" s="332"/>
      <c r="BO579" s="332"/>
      <c r="BP579" s="332"/>
      <c r="BQ579" s="332"/>
      <c r="BR579" s="332"/>
      <c r="BS579" s="332"/>
      <c r="BT579" s="332"/>
      <c r="BU579" s="332"/>
      <c r="BV579" s="332"/>
      <c r="BW579" s="332"/>
      <c r="BX579" s="332"/>
      <c r="BY579" s="332"/>
      <c r="BZ579" s="332"/>
      <c r="CA579" s="332"/>
      <c r="CB579" s="332"/>
      <c r="CC579" s="332"/>
      <c r="CD579" s="332"/>
      <c r="CE579" s="332"/>
      <c r="CF579" s="332"/>
      <c r="CG579" s="332"/>
      <c r="CH579" s="332"/>
      <c r="CI579" s="332"/>
      <c r="CJ579" s="332"/>
      <c r="CK579" s="332"/>
      <c r="CL579" s="332"/>
      <c r="CM579" s="332"/>
      <c r="CN579" s="332"/>
      <c r="CO579" s="332"/>
      <c r="CP579" s="332"/>
      <c r="CQ579" s="332"/>
      <c r="CR579" s="332"/>
      <c r="CS579" s="332"/>
      <c r="CT579" s="332"/>
      <c r="CU579" s="332"/>
      <c r="CV579" s="332"/>
      <c r="CW579" s="332"/>
      <c r="CX579" s="332"/>
      <c r="CY579" s="332"/>
      <c r="CZ579" s="332"/>
      <c r="DA579" s="332"/>
      <c r="DB579" s="332"/>
      <c r="DC579" s="332"/>
      <c r="DD579" s="332"/>
      <c r="DE579" s="332"/>
      <c r="DF579" s="332"/>
      <c r="DG579" s="332"/>
      <c r="DH579" s="332"/>
      <c r="DI579" s="332"/>
      <c r="DJ579" s="332"/>
      <c r="DK579" s="332"/>
      <c r="DL579" s="332"/>
      <c r="DM579" s="332"/>
      <c r="DN579" s="332"/>
      <c r="DO579" s="332"/>
      <c r="DP579" s="332"/>
      <c r="DQ579" s="332"/>
      <c r="DR579" s="332"/>
      <c r="DS579" s="332"/>
      <c r="DT579" s="332"/>
      <c r="DU579" s="453"/>
      <c r="DV579" s="453"/>
      <c r="DW579" s="453"/>
      <c r="DX579" s="453"/>
      <c r="DY579" s="453"/>
      <c r="DZ579" s="453"/>
      <c r="EA579" s="453"/>
      <c r="EB579" s="453"/>
      <c r="EC579" s="453"/>
      <c r="ED579" s="453"/>
      <c r="EE579" s="453"/>
      <c r="EF579" s="453"/>
      <c r="EG579" s="453"/>
      <c r="EH579" s="453"/>
      <c r="EI579" s="453"/>
      <c r="EJ579" s="453"/>
      <c r="EK579" s="453"/>
      <c r="EL579" s="453"/>
      <c r="EM579" s="483">
        <f t="shared" si="224"/>
        <v>270</v>
      </c>
      <c r="EN579" s="485"/>
      <c r="EO579" s="804"/>
      <c r="EP579" s="805"/>
      <c r="EQ579" s="806"/>
      <c r="ER579" s="808"/>
      <c r="ES579" s="881">
        <f t="shared" si="225"/>
        <v>0</v>
      </c>
      <c r="ET579" s="882"/>
      <c r="EU579" s="883"/>
      <c r="EV579" s="884">
        <f t="shared" si="223"/>
        <v>0</v>
      </c>
      <c r="EW579" s="885"/>
      <c r="EX579" s="885"/>
      <c r="EY579" s="885"/>
      <c r="EZ579" s="885"/>
      <c r="FA579" s="885"/>
      <c r="FB579" s="885"/>
      <c r="FC579" s="885"/>
      <c r="FD579" s="886"/>
      <c r="FE579" s="878"/>
      <c r="FF579" s="878"/>
      <c r="FG579" s="878"/>
      <c r="FH579" s="878"/>
      <c r="FI579" s="878"/>
      <c r="FJ579" s="878"/>
      <c r="FK579" s="878"/>
      <c r="FL579" s="555"/>
      <c r="FM579" s="554"/>
      <c r="FN579" s="554"/>
      <c r="FO579" s="554"/>
      <c r="FP579" s="554"/>
      <c r="FQ579" s="554"/>
      <c r="FR579" s="554"/>
      <c r="FS579" s="554"/>
      <c r="FT579" s="554"/>
      <c r="FU579" s="554"/>
      <c r="FV579" s="554"/>
      <c r="FW579" s="554"/>
      <c r="FX579" s="554"/>
      <c r="FY579" s="554"/>
      <c r="FZ579" s="554"/>
      <c r="GA579" s="554"/>
      <c r="GB579" s="556"/>
      <c r="GC579" s="370"/>
      <c r="GD579" s="453"/>
      <c r="GE579" s="453"/>
      <c r="GF579" s="453"/>
      <c r="GG579" s="453"/>
      <c r="GH579" s="454"/>
      <c r="GI579" s="453"/>
      <c r="GJ579" s="453"/>
      <c r="GK579" s="453"/>
      <c r="GL579" s="453"/>
      <c r="GM579" s="453"/>
      <c r="GN579" s="453"/>
      <c r="GO579" s="453"/>
      <c r="GP579" s="453"/>
      <c r="GQ579" s="453"/>
      <c r="GR579" s="453"/>
      <c r="GS579" s="561"/>
      <c r="GT579" s="475"/>
      <c r="GU579" s="472"/>
      <c r="GV579" s="453"/>
      <c r="GW579" s="453"/>
      <c r="GX579" s="869"/>
      <c r="GY579" s="870"/>
      <c r="GZ579" s="867"/>
      <c r="HA579" s="868"/>
      <c r="HB579" s="473"/>
      <c r="HC579" s="869"/>
      <c r="HD579" s="870"/>
      <c r="HE579" s="867"/>
      <c r="HF579" s="868"/>
      <c r="HG579" s="473"/>
      <c r="HH579" s="867"/>
      <c r="HI579" s="868"/>
      <c r="HJ579" s="867"/>
      <c r="HK579" s="868"/>
      <c r="HL579" s="370"/>
      <c r="HM579" s="865"/>
      <c r="HN579" s="866"/>
      <c r="HO579" s="865"/>
      <c r="HP579" s="866"/>
      <c r="HQ579" s="865"/>
      <c r="HR579" s="866"/>
      <c r="HS579" s="867"/>
      <c r="HT579" s="868"/>
      <c r="HU579" s="489"/>
      <c r="HV579" s="865"/>
      <c r="HW579" s="866"/>
    </row>
    <row r="580" spans="25:231" ht="15" customHeight="1">
      <c r="Y580" s="332"/>
      <c r="Z580" s="332"/>
      <c r="AA580" s="332"/>
      <c r="AB580" s="332"/>
      <c r="AC580" s="332"/>
      <c r="AD580" s="332"/>
      <c r="AE580" s="332"/>
      <c r="AF580" s="332"/>
      <c r="AG580" s="332"/>
      <c r="AH580" s="332"/>
      <c r="AI580" s="332"/>
      <c r="AJ580" s="332"/>
      <c r="AK580" s="332"/>
      <c r="AL580" s="332"/>
      <c r="AM580" s="332"/>
      <c r="AN580" s="332"/>
      <c r="AO580" s="332"/>
      <c r="AP580" s="332"/>
      <c r="AQ580" s="332"/>
      <c r="AR580" s="332"/>
      <c r="AS580" s="332"/>
      <c r="AT580" s="332"/>
      <c r="AU580" s="332"/>
      <c r="AV580" s="332"/>
      <c r="AW580" s="332"/>
      <c r="AX580" s="332"/>
      <c r="AY580" s="332"/>
      <c r="AZ580" s="332"/>
      <c r="BA580" s="332"/>
      <c r="BB580" s="332"/>
      <c r="BC580" s="332"/>
      <c r="BD580" s="332"/>
      <c r="BE580" s="332"/>
      <c r="BF580" s="332"/>
      <c r="BG580" s="332"/>
      <c r="BH580" s="332"/>
      <c r="BI580" s="332"/>
      <c r="BJ580" s="332"/>
      <c r="BK580" s="332"/>
      <c r="BL580" s="332"/>
      <c r="BM580" s="332"/>
      <c r="BN580" s="332"/>
      <c r="BO580" s="332"/>
      <c r="BP580" s="332"/>
      <c r="BQ580" s="332"/>
      <c r="BR580" s="332"/>
      <c r="BS580" s="332"/>
      <c r="BT580" s="332"/>
      <c r="BU580" s="332"/>
      <c r="BV580" s="332"/>
      <c r="BW580" s="332"/>
      <c r="BX580" s="332"/>
      <c r="BY580" s="332"/>
      <c r="BZ580" s="332"/>
      <c r="CA580" s="332"/>
      <c r="CB580" s="332"/>
      <c r="CC580" s="332"/>
      <c r="CD580" s="332"/>
      <c r="CE580" s="332"/>
      <c r="CF580" s="332"/>
      <c r="CG580" s="332"/>
      <c r="CH580" s="332"/>
      <c r="CI580" s="332"/>
      <c r="CJ580" s="332"/>
      <c r="CK580" s="332"/>
      <c r="CL580" s="332"/>
      <c r="CM580" s="332"/>
      <c r="CN580" s="332"/>
      <c r="CO580" s="332"/>
      <c r="CP580" s="332"/>
      <c r="CQ580" s="332"/>
      <c r="CR580" s="332"/>
      <c r="CS580" s="332"/>
      <c r="CT580" s="332"/>
      <c r="CU580" s="332"/>
      <c r="CV580" s="332"/>
      <c r="CW580" s="332"/>
      <c r="CX580" s="332"/>
      <c r="CY580" s="332"/>
      <c r="CZ580" s="332"/>
      <c r="DA580" s="332"/>
      <c r="DB580" s="332"/>
      <c r="DC580" s="332"/>
      <c r="DD580" s="332"/>
      <c r="DE580" s="332"/>
      <c r="DF580" s="332"/>
      <c r="DG580" s="332"/>
      <c r="DH580" s="332"/>
      <c r="DI580" s="332"/>
      <c r="DJ580" s="332"/>
      <c r="DK580" s="332"/>
      <c r="DL580" s="332"/>
      <c r="DM580" s="332"/>
      <c r="DN580" s="332"/>
      <c r="DO580" s="332"/>
      <c r="DP580" s="332"/>
      <c r="DQ580" s="332"/>
      <c r="DR580" s="332"/>
      <c r="DS580" s="332"/>
      <c r="DT580" s="332"/>
      <c r="DU580" s="453"/>
      <c r="DV580" s="453"/>
      <c r="DW580" s="453"/>
      <c r="DX580" s="453"/>
      <c r="DY580" s="453"/>
      <c r="DZ580" s="453"/>
      <c r="EA580" s="453"/>
      <c r="EB580" s="453"/>
      <c r="EC580" s="453"/>
      <c r="ED580" s="453"/>
      <c r="EE580" s="453"/>
      <c r="EF580" s="453"/>
      <c r="EG580" s="453"/>
      <c r="EH580" s="453"/>
      <c r="EI580" s="453"/>
      <c r="EJ580" s="453"/>
      <c r="EK580" s="453"/>
      <c r="EL580" s="453"/>
      <c r="EM580" s="483">
        <f t="shared" si="224"/>
        <v>271</v>
      </c>
      <c r="EN580" s="485"/>
      <c r="EO580" s="804"/>
      <c r="EP580" s="805"/>
      <c r="EQ580" s="806"/>
      <c r="ER580" s="808"/>
      <c r="ES580" s="881">
        <f t="shared" si="225"/>
        <v>0</v>
      </c>
      <c r="ET580" s="882"/>
      <c r="EU580" s="883"/>
      <c r="EV580" s="884">
        <f t="shared" si="223"/>
        <v>0</v>
      </c>
      <c r="EW580" s="885"/>
      <c r="EX580" s="885"/>
      <c r="EY580" s="885"/>
      <c r="EZ580" s="885"/>
      <c r="FA580" s="885"/>
      <c r="FB580" s="885"/>
      <c r="FC580" s="885"/>
      <c r="FD580" s="886"/>
      <c r="FE580" s="878"/>
      <c r="FF580" s="878"/>
      <c r="FG580" s="878"/>
      <c r="FH580" s="878"/>
      <c r="FI580" s="878"/>
      <c r="FJ580" s="878"/>
      <c r="FK580" s="878"/>
      <c r="FL580" s="555"/>
      <c r="FM580" s="554"/>
      <c r="FN580" s="554"/>
      <c r="FO580" s="554"/>
      <c r="FP580" s="554"/>
      <c r="FQ580" s="554"/>
      <c r="FR580" s="554"/>
      <c r="FS580" s="554"/>
      <c r="FT580" s="554"/>
      <c r="FU580" s="554"/>
      <c r="FV580" s="554"/>
      <c r="FW580" s="554"/>
      <c r="FX580" s="554"/>
      <c r="FY580" s="554"/>
      <c r="FZ580" s="554"/>
      <c r="GA580" s="554"/>
      <c r="GB580" s="556"/>
      <c r="GC580" s="370"/>
      <c r="GD580" s="453"/>
      <c r="GE580" s="453"/>
      <c r="GF580" s="453"/>
      <c r="GG580" s="453"/>
      <c r="GH580" s="454"/>
      <c r="GI580" s="453"/>
      <c r="GJ580" s="453"/>
      <c r="GK580" s="453"/>
      <c r="GL580" s="453"/>
      <c r="GM580" s="453"/>
      <c r="GN580" s="453"/>
      <c r="GO580" s="453"/>
      <c r="GP580" s="453"/>
      <c r="GQ580" s="453"/>
      <c r="GR580" s="453"/>
      <c r="GS580" s="561"/>
      <c r="GT580" s="475"/>
      <c r="GU580" s="472"/>
      <c r="GV580" s="453"/>
      <c r="GW580" s="453"/>
      <c r="GX580" s="869"/>
      <c r="GY580" s="870"/>
      <c r="GZ580" s="867"/>
      <c r="HA580" s="868"/>
      <c r="HB580" s="473"/>
      <c r="HC580" s="869"/>
      <c r="HD580" s="870"/>
      <c r="HE580" s="867"/>
      <c r="HF580" s="868"/>
      <c r="HG580" s="473"/>
      <c r="HH580" s="867"/>
      <c r="HI580" s="868"/>
      <c r="HJ580" s="867"/>
      <c r="HK580" s="868"/>
      <c r="HL580" s="370"/>
      <c r="HM580" s="865"/>
      <c r="HN580" s="866"/>
      <c r="HO580" s="865"/>
      <c r="HP580" s="866"/>
      <c r="HQ580" s="865"/>
      <c r="HR580" s="866"/>
      <c r="HS580" s="867"/>
      <c r="HT580" s="868"/>
      <c r="HU580" s="489"/>
      <c r="HV580" s="865"/>
      <c r="HW580" s="866"/>
    </row>
    <row r="581" spans="25:231" ht="15" customHeight="1">
      <c r="Y581" s="332"/>
      <c r="Z581" s="332"/>
      <c r="AA581" s="332"/>
      <c r="AB581" s="332"/>
      <c r="AC581" s="332"/>
      <c r="AD581" s="332"/>
      <c r="AE581" s="332"/>
      <c r="AF581" s="332"/>
      <c r="AG581" s="332"/>
      <c r="AH581" s="332"/>
      <c r="AI581" s="332"/>
      <c r="AJ581" s="332"/>
      <c r="AK581" s="332"/>
      <c r="AL581" s="332"/>
      <c r="AM581" s="332"/>
      <c r="AN581" s="332"/>
      <c r="AO581" s="332"/>
      <c r="AP581" s="332"/>
      <c r="AQ581" s="332"/>
      <c r="AR581" s="332"/>
      <c r="AS581" s="332"/>
      <c r="AT581" s="332"/>
      <c r="AU581" s="332"/>
      <c r="AV581" s="332"/>
      <c r="AW581" s="332"/>
      <c r="AX581" s="332"/>
      <c r="AY581" s="332"/>
      <c r="AZ581" s="332"/>
      <c r="BA581" s="332"/>
      <c r="BB581" s="332"/>
      <c r="BC581" s="332"/>
      <c r="BD581" s="332"/>
      <c r="BE581" s="332"/>
      <c r="BF581" s="332"/>
      <c r="BG581" s="332"/>
      <c r="BH581" s="332"/>
      <c r="BI581" s="332"/>
      <c r="BJ581" s="332"/>
      <c r="BK581" s="332"/>
      <c r="BL581" s="332"/>
      <c r="BM581" s="332"/>
      <c r="BN581" s="332"/>
      <c r="BO581" s="332"/>
      <c r="BP581" s="332"/>
      <c r="BQ581" s="332"/>
      <c r="BR581" s="332"/>
      <c r="BS581" s="332"/>
      <c r="BT581" s="332"/>
      <c r="BU581" s="332"/>
      <c r="BV581" s="332"/>
      <c r="BW581" s="332"/>
      <c r="BX581" s="332"/>
      <c r="BY581" s="332"/>
      <c r="BZ581" s="332"/>
      <c r="CA581" s="332"/>
      <c r="CB581" s="332"/>
      <c r="CC581" s="332"/>
      <c r="CD581" s="332"/>
      <c r="CE581" s="332"/>
      <c r="CF581" s="332"/>
      <c r="CG581" s="332"/>
      <c r="CH581" s="332"/>
      <c r="CI581" s="332"/>
      <c r="CJ581" s="332"/>
      <c r="CK581" s="332"/>
      <c r="CL581" s="332"/>
      <c r="CM581" s="332"/>
      <c r="CN581" s="332"/>
      <c r="CO581" s="332"/>
      <c r="CP581" s="332"/>
      <c r="CQ581" s="332"/>
      <c r="CR581" s="332"/>
      <c r="CS581" s="332"/>
      <c r="CT581" s="332"/>
      <c r="CU581" s="332"/>
      <c r="CV581" s="332"/>
      <c r="CW581" s="332"/>
      <c r="CX581" s="332"/>
      <c r="CY581" s="332"/>
      <c r="CZ581" s="332"/>
      <c r="DA581" s="332"/>
      <c r="DB581" s="332"/>
      <c r="DC581" s="332"/>
      <c r="DD581" s="332"/>
      <c r="DE581" s="332"/>
      <c r="DF581" s="332"/>
      <c r="DG581" s="332"/>
      <c r="DH581" s="332"/>
      <c r="DI581" s="332"/>
      <c r="DJ581" s="332"/>
      <c r="DK581" s="332"/>
      <c r="DL581" s="332"/>
      <c r="DM581" s="332"/>
      <c r="DN581" s="332"/>
      <c r="DO581" s="332"/>
      <c r="DP581" s="332"/>
      <c r="DQ581" s="332"/>
      <c r="DR581" s="332"/>
      <c r="DS581" s="332"/>
      <c r="DT581" s="332"/>
      <c r="DU581" s="453"/>
      <c r="DV581" s="453"/>
      <c r="DW581" s="453"/>
      <c r="DX581" s="453"/>
      <c r="DY581" s="453"/>
      <c r="DZ581" s="453"/>
      <c r="EA581" s="453"/>
      <c r="EB581" s="453"/>
      <c r="EC581" s="453"/>
      <c r="ED581" s="453"/>
      <c r="EE581" s="453"/>
      <c r="EF581" s="453"/>
      <c r="EG581" s="453"/>
      <c r="EH581" s="453"/>
      <c r="EI581" s="453"/>
      <c r="EJ581" s="453"/>
      <c r="EK581" s="453"/>
      <c r="EL581" s="453"/>
      <c r="EM581" s="483">
        <f t="shared" si="224"/>
        <v>272</v>
      </c>
      <c r="EN581" s="485"/>
      <c r="EO581" s="804"/>
      <c r="EP581" s="805"/>
      <c r="EQ581" s="806"/>
      <c r="ER581" s="808"/>
      <c r="ES581" s="881">
        <f t="shared" si="225"/>
        <v>0</v>
      </c>
      <c r="ET581" s="882"/>
      <c r="EU581" s="883"/>
      <c r="EV581" s="884">
        <f t="shared" si="223"/>
        <v>0</v>
      </c>
      <c r="EW581" s="885"/>
      <c r="EX581" s="885"/>
      <c r="EY581" s="885"/>
      <c r="EZ581" s="885"/>
      <c r="FA581" s="885"/>
      <c r="FB581" s="885"/>
      <c r="FC581" s="885"/>
      <c r="FD581" s="886"/>
      <c r="FE581" s="878"/>
      <c r="FF581" s="878"/>
      <c r="FG581" s="878"/>
      <c r="FH581" s="878"/>
      <c r="FI581" s="878"/>
      <c r="FJ581" s="878"/>
      <c r="FK581" s="878"/>
      <c r="FL581" s="555"/>
      <c r="FM581" s="554"/>
      <c r="FN581" s="554"/>
      <c r="FO581" s="554"/>
      <c r="FP581" s="554"/>
      <c r="FQ581" s="554"/>
      <c r="FR581" s="554"/>
      <c r="FS581" s="554"/>
      <c r="FT581" s="554"/>
      <c r="FU581" s="554"/>
      <c r="FV581" s="554"/>
      <c r="FW581" s="554"/>
      <c r="FX581" s="554"/>
      <c r="FY581" s="554"/>
      <c r="FZ581" s="554"/>
      <c r="GA581" s="554"/>
      <c r="GB581" s="556"/>
      <c r="GC581" s="370"/>
      <c r="GD581" s="453"/>
      <c r="GE581" s="453"/>
      <c r="GF581" s="453"/>
      <c r="GG581" s="453"/>
      <c r="GH581" s="454"/>
      <c r="GI581" s="453"/>
      <c r="GJ581" s="453"/>
      <c r="GK581" s="453"/>
      <c r="GL581" s="453"/>
      <c r="GM581" s="453"/>
      <c r="GN581" s="453"/>
      <c r="GO581" s="453"/>
      <c r="GP581" s="453"/>
      <c r="GQ581" s="453"/>
      <c r="GR581" s="453"/>
      <c r="GS581" s="561"/>
      <c r="GT581" s="475"/>
      <c r="GU581" s="472"/>
      <c r="GV581" s="453"/>
      <c r="GW581" s="453"/>
      <c r="GX581" s="869"/>
      <c r="GY581" s="870"/>
      <c r="GZ581" s="867"/>
      <c r="HA581" s="868"/>
      <c r="HB581" s="473"/>
      <c r="HC581" s="869"/>
      <c r="HD581" s="870"/>
      <c r="HE581" s="867"/>
      <c r="HF581" s="868"/>
      <c r="HG581" s="473"/>
      <c r="HH581" s="867"/>
      <c r="HI581" s="868"/>
      <c r="HJ581" s="867"/>
      <c r="HK581" s="868"/>
      <c r="HL581" s="370"/>
      <c r="HM581" s="865"/>
      <c r="HN581" s="866"/>
      <c r="HO581" s="865"/>
      <c r="HP581" s="866"/>
      <c r="HQ581" s="865"/>
      <c r="HR581" s="866"/>
      <c r="HS581" s="867"/>
      <c r="HT581" s="868"/>
      <c r="HU581" s="489"/>
      <c r="HV581" s="865"/>
      <c r="HW581" s="866"/>
    </row>
    <row r="582" spans="25:231" ht="15" customHeight="1">
      <c r="Y582" s="332"/>
      <c r="Z582" s="332"/>
      <c r="AA582" s="332"/>
      <c r="AB582" s="332"/>
      <c r="AC582" s="332"/>
      <c r="AD582" s="332"/>
      <c r="AE582" s="332"/>
      <c r="AF582" s="332"/>
      <c r="AG582" s="332"/>
      <c r="AH582" s="332"/>
      <c r="AI582" s="332"/>
      <c r="AJ582" s="332"/>
      <c r="AK582" s="332"/>
      <c r="AL582" s="332"/>
      <c r="AM582" s="332"/>
      <c r="AN582" s="332"/>
      <c r="AO582" s="332"/>
      <c r="AP582" s="332"/>
      <c r="AQ582" s="332"/>
      <c r="AR582" s="332"/>
      <c r="AS582" s="332"/>
      <c r="AT582" s="332"/>
      <c r="AU582" s="332"/>
      <c r="AV582" s="332"/>
      <c r="AW582" s="332"/>
      <c r="AX582" s="332"/>
      <c r="AY582" s="332"/>
      <c r="AZ582" s="332"/>
      <c r="BA582" s="332"/>
      <c r="BB582" s="332"/>
      <c r="BC582" s="332"/>
      <c r="BD582" s="332"/>
      <c r="BE582" s="332"/>
      <c r="BF582" s="332"/>
      <c r="BG582" s="332"/>
      <c r="BH582" s="332"/>
      <c r="BI582" s="332"/>
      <c r="BJ582" s="332"/>
      <c r="BK582" s="332"/>
      <c r="BL582" s="332"/>
      <c r="BM582" s="332"/>
      <c r="BN582" s="332"/>
      <c r="BO582" s="332"/>
      <c r="BP582" s="332"/>
      <c r="BQ582" s="332"/>
      <c r="BR582" s="332"/>
      <c r="BS582" s="332"/>
      <c r="BT582" s="332"/>
      <c r="BU582" s="332"/>
      <c r="BV582" s="332"/>
      <c r="BW582" s="332"/>
      <c r="BX582" s="332"/>
      <c r="BY582" s="332"/>
      <c r="BZ582" s="332"/>
      <c r="CA582" s="332"/>
      <c r="CB582" s="332"/>
      <c r="CC582" s="332"/>
      <c r="CD582" s="332"/>
      <c r="CE582" s="332"/>
      <c r="CF582" s="332"/>
      <c r="CG582" s="332"/>
      <c r="CH582" s="332"/>
      <c r="CI582" s="332"/>
      <c r="CJ582" s="332"/>
      <c r="CK582" s="332"/>
      <c r="CL582" s="332"/>
      <c r="CM582" s="332"/>
      <c r="CN582" s="332"/>
      <c r="CO582" s="332"/>
      <c r="CP582" s="332"/>
      <c r="CQ582" s="332"/>
      <c r="CR582" s="332"/>
      <c r="CS582" s="332"/>
      <c r="CT582" s="332"/>
      <c r="CU582" s="332"/>
      <c r="CV582" s="332"/>
      <c r="CW582" s="332"/>
      <c r="CX582" s="332"/>
      <c r="CY582" s="332"/>
      <c r="CZ582" s="332"/>
      <c r="DA582" s="332"/>
      <c r="DB582" s="332"/>
      <c r="DC582" s="332"/>
      <c r="DD582" s="332"/>
      <c r="DE582" s="332"/>
      <c r="DF582" s="332"/>
      <c r="DG582" s="332"/>
      <c r="DH582" s="332"/>
      <c r="DI582" s="332"/>
      <c r="DJ582" s="332"/>
      <c r="DK582" s="332"/>
      <c r="DL582" s="332"/>
      <c r="DM582" s="332"/>
      <c r="DN582" s="332"/>
      <c r="DO582" s="332"/>
      <c r="DP582" s="332"/>
      <c r="DQ582" s="332"/>
      <c r="DR582" s="332"/>
      <c r="DS582" s="332"/>
      <c r="DT582" s="332"/>
      <c r="DU582" s="453"/>
      <c r="DV582" s="453"/>
      <c r="DW582" s="453"/>
      <c r="DX582" s="453"/>
      <c r="DY582" s="453"/>
      <c r="DZ582" s="453"/>
      <c r="EA582" s="453"/>
      <c r="EB582" s="453"/>
      <c r="EC582" s="453"/>
      <c r="ED582" s="453"/>
      <c r="EE582" s="453"/>
      <c r="EF582" s="453"/>
      <c r="EG582" s="453"/>
      <c r="EH582" s="453"/>
      <c r="EI582" s="453"/>
      <c r="EJ582" s="453"/>
      <c r="EK582" s="453"/>
      <c r="EL582" s="453"/>
      <c r="EM582" s="483">
        <f t="shared" si="224"/>
        <v>273</v>
      </c>
      <c r="EN582" s="485"/>
      <c r="EO582" s="804"/>
      <c r="EP582" s="805"/>
      <c r="EQ582" s="806"/>
      <c r="ER582" s="808"/>
      <c r="ES582" s="881">
        <f t="shared" si="225"/>
        <v>0</v>
      </c>
      <c r="ET582" s="882"/>
      <c r="EU582" s="883"/>
      <c r="EV582" s="884">
        <f t="shared" si="223"/>
        <v>0</v>
      </c>
      <c r="EW582" s="885"/>
      <c r="EX582" s="885"/>
      <c r="EY582" s="885"/>
      <c r="EZ582" s="885"/>
      <c r="FA582" s="885"/>
      <c r="FB582" s="885"/>
      <c r="FC582" s="885"/>
      <c r="FD582" s="886"/>
      <c r="FE582" s="878"/>
      <c r="FF582" s="878"/>
      <c r="FG582" s="878"/>
      <c r="FH582" s="878"/>
      <c r="FI582" s="878"/>
      <c r="FJ582" s="878"/>
      <c r="FK582" s="878"/>
      <c r="FL582" s="555"/>
      <c r="FM582" s="554"/>
      <c r="FN582" s="554"/>
      <c r="FO582" s="554"/>
      <c r="FP582" s="554"/>
      <c r="FQ582" s="554"/>
      <c r="FR582" s="554"/>
      <c r="FS582" s="554"/>
      <c r="FT582" s="554"/>
      <c r="FU582" s="554"/>
      <c r="FV582" s="554"/>
      <c r="FW582" s="554"/>
      <c r="FX582" s="554"/>
      <c r="FY582" s="554"/>
      <c r="FZ582" s="554"/>
      <c r="GA582" s="554"/>
      <c r="GB582" s="556"/>
      <c r="GC582" s="370"/>
      <c r="GD582" s="453"/>
      <c r="GE582" s="453"/>
      <c r="GF582" s="453"/>
      <c r="GG582" s="453"/>
      <c r="GH582" s="454"/>
      <c r="GI582" s="453"/>
      <c r="GJ582" s="453"/>
      <c r="GK582" s="453"/>
      <c r="GL582" s="453"/>
      <c r="GM582" s="453"/>
      <c r="GN582" s="453"/>
      <c r="GO582" s="453"/>
      <c r="GP582" s="453"/>
      <c r="GQ582" s="453"/>
      <c r="GR582" s="453"/>
      <c r="GS582" s="561"/>
      <c r="GT582" s="475"/>
      <c r="GU582" s="472"/>
      <c r="GV582" s="453"/>
      <c r="GW582" s="453"/>
      <c r="GX582" s="869"/>
      <c r="GY582" s="870"/>
      <c r="GZ582" s="867"/>
      <c r="HA582" s="868"/>
      <c r="HB582" s="473"/>
      <c r="HC582" s="869"/>
      <c r="HD582" s="870"/>
      <c r="HE582" s="867"/>
      <c r="HF582" s="868"/>
      <c r="HG582" s="473"/>
      <c r="HH582" s="867"/>
      <c r="HI582" s="868"/>
      <c r="HJ582" s="867"/>
      <c r="HK582" s="868"/>
      <c r="HL582" s="370"/>
      <c r="HM582" s="865"/>
      <c r="HN582" s="866"/>
      <c r="HO582" s="865"/>
      <c r="HP582" s="866"/>
      <c r="HQ582" s="865"/>
      <c r="HR582" s="866"/>
      <c r="HS582" s="867"/>
      <c r="HT582" s="868"/>
      <c r="HU582" s="489"/>
      <c r="HV582" s="865"/>
      <c r="HW582" s="866"/>
    </row>
    <row r="583" spans="25:231" ht="15" customHeight="1">
      <c r="Y583" s="332"/>
      <c r="Z583" s="332"/>
      <c r="AA583" s="332"/>
      <c r="AB583" s="332"/>
      <c r="AC583" s="332"/>
      <c r="AD583" s="332"/>
      <c r="AE583" s="332"/>
      <c r="AF583" s="332"/>
      <c r="AG583" s="332"/>
      <c r="AH583" s="332"/>
      <c r="AI583" s="332"/>
      <c r="AJ583" s="332"/>
      <c r="AK583" s="332"/>
      <c r="AL583" s="332"/>
      <c r="AM583" s="332"/>
      <c r="AN583" s="332"/>
      <c r="AO583" s="332"/>
      <c r="AP583" s="332"/>
      <c r="AQ583" s="332"/>
      <c r="AR583" s="332"/>
      <c r="AS583" s="332"/>
      <c r="AT583" s="332"/>
      <c r="AU583" s="332"/>
      <c r="AV583" s="332"/>
      <c r="AW583" s="332"/>
      <c r="AX583" s="332"/>
      <c r="AY583" s="332"/>
      <c r="AZ583" s="332"/>
      <c r="BA583" s="332"/>
      <c r="BB583" s="332"/>
      <c r="BC583" s="332"/>
      <c r="BD583" s="332"/>
      <c r="BE583" s="332"/>
      <c r="BF583" s="332"/>
      <c r="BG583" s="332"/>
      <c r="BH583" s="332"/>
      <c r="BI583" s="332"/>
      <c r="BJ583" s="332"/>
      <c r="BK583" s="332"/>
      <c r="BL583" s="332"/>
      <c r="BM583" s="332"/>
      <c r="BN583" s="332"/>
      <c r="BO583" s="332"/>
      <c r="BP583" s="332"/>
      <c r="BQ583" s="332"/>
      <c r="BR583" s="332"/>
      <c r="BS583" s="332"/>
      <c r="BT583" s="332"/>
      <c r="BU583" s="332"/>
      <c r="BV583" s="332"/>
      <c r="BW583" s="332"/>
      <c r="BX583" s="332"/>
      <c r="BY583" s="332"/>
      <c r="BZ583" s="332"/>
      <c r="CA583" s="332"/>
      <c r="CB583" s="332"/>
      <c r="CC583" s="332"/>
      <c r="CD583" s="332"/>
      <c r="CE583" s="332"/>
      <c r="CF583" s="332"/>
      <c r="CG583" s="332"/>
      <c r="CH583" s="332"/>
      <c r="CI583" s="332"/>
      <c r="CJ583" s="332"/>
      <c r="CK583" s="332"/>
      <c r="CL583" s="332"/>
      <c r="CM583" s="332"/>
      <c r="CN583" s="332"/>
      <c r="CO583" s="332"/>
      <c r="CP583" s="332"/>
      <c r="CQ583" s="332"/>
      <c r="CR583" s="332"/>
      <c r="CS583" s="332"/>
      <c r="CT583" s="332"/>
      <c r="CU583" s="332"/>
      <c r="CV583" s="332"/>
      <c r="CW583" s="332"/>
      <c r="CX583" s="332"/>
      <c r="CY583" s="332"/>
      <c r="CZ583" s="332"/>
      <c r="DA583" s="332"/>
      <c r="DB583" s="332"/>
      <c r="DC583" s="332"/>
      <c r="DD583" s="332"/>
      <c r="DE583" s="332"/>
      <c r="DF583" s="332"/>
      <c r="DG583" s="332"/>
      <c r="DH583" s="332"/>
      <c r="DI583" s="332"/>
      <c r="DJ583" s="332"/>
      <c r="DK583" s="332"/>
      <c r="DL583" s="332"/>
      <c r="DM583" s="332"/>
      <c r="DN583" s="332"/>
      <c r="DO583" s="332"/>
      <c r="DP583" s="332"/>
      <c r="DQ583" s="332"/>
      <c r="DR583" s="332"/>
      <c r="DS583" s="332"/>
      <c r="DT583" s="332"/>
      <c r="DU583" s="453"/>
      <c r="DV583" s="453"/>
      <c r="DW583" s="453"/>
      <c r="DX583" s="453"/>
      <c r="DY583" s="453"/>
      <c r="DZ583" s="453"/>
      <c r="EA583" s="453"/>
      <c r="EB583" s="453"/>
      <c r="EC583" s="453"/>
      <c r="ED583" s="453"/>
      <c r="EE583" s="453"/>
      <c r="EF583" s="453"/>
      <c r="EG583" s="453"/>
      <c r="EH583" s="453"/>
      <c r="EI583" s="453"/>
      <c r="EJ583" s="453"/>
      <c r="EK583" s="453"/>
      <c r="EL583" s="453"/>
      <c r="EM583" s="483">
        <f t="shared" si="224"/>
        <v>274</v>
      </c>
      <c r="EN583" s="485"/>
      <c r="EO583" s="804"/>
      <c r="EP583" s="805"/>
      <c r="EQ583" s="806"/>
      <c r="ER583" s="808"/>
      <c r="ES583" s="881">
        <f t="shared" si="225"/>
        <v>0</v>
      </c>
      <c r="ET583" s="882"/>
      <c r="EU583" s="883"/>
      <c r="EV583" s="884">
        <f t="shared" si="223"/>
        <v>0</v>
      </c>
      <c r="EW583" s="885"/>
      <c r="EX583" s="885"/>
      <c r="EY583" s="885"/>
      <c r="EZ583" s="885"/>
      <c r="FA583" s="885"/>
      <c r="FB583" s="885"/>
      <c r="FC583" s="885"/>
      <c r="FD583" s="886"/>
      <c r="FE583" s="878"/>
      <c r="FF583" s="878"/>
      <c r="FG583" s="878"/>
      <c r="FH583" s="878"/>
      <c r="FI583" s="878"/>
      <c r="FJ583" s="878"/>
      <c r="FK583" s="878"/>
      <c r="FL583" s="555"/>
      <c r="FM583" s="554"/>
      <c r="FN583" s="554"/>
      <c r="FO583" s="554"/>
      <c r="FP583" s="554"/>
      <c r="FQ583" s="554"/>
      <c r="FR583" s="554"/>
      <c r="FS583" s="554"/>
      <c r="FT583" s="554"/>
      <c r="FU583" s="554"/>
      <c r="FV583" s="554"/>
      <c r="FW583" s="554"/>
      <c r="FX583" s="554"/>
      <c r="FY583" s="554"/>
      <c r="FZ583" s="554"/>
      <c r="GA583" s="554"/>
      <c r="GB583" s="556"/>
      <c r="GC583" s="370"/>
      <c r="GD583" s="453"/>
      <c r="GE583" s="453"/>
      <c r="GF583" s="453"/>
      <c r="GG583" s="453"/>
      <c r="GH583" s="454"/>
      <c r="GI583" s="453"/>
      <c r="GJ583" s="453"/>
      <c r="GK583" s="453"/>
      <c r="GL583" s="453"/>
      <c r="GM583" s="453"/>
      <c r="GN583" s="453"/>
      <c r="GO583" s="453"/>
      <c r="GP583" s="453"/>
      <c r="GQ583" s="453"/>
      <c r="GR583" s="453"/>
      <c r="GS583" s="561"/>
      <c r="GT583" s="475"/>
      <c r="GU583" s="472"/>
      <c r="GV583" s="453"/>
      <c r="GW583" s="453"/>
      <c r="GX583" s="869"/>
      <c r="GY583" s="870"/>
      <c r="GZ583" s="867"/>
      <c r="HA583" s="868"/>
      <c r="HB583" s="473"/>
      <c r="HC583" s="869"/>
      <c r="HD583" s="870"/>
      <c r="HE583" s="867"/>
      <c r="HF583" s="868"/>
      <c r="HG583" s="473"/>
      <c r="HH583" s="867"/>
      <c r="HI583" s="868"/>
      <c r="HJ583" s="867"/>
      <c r="HK583" s="868"/>
      <c r="HL583" s="370"/>
      <c r="HM583" s="865"/>
      <c r="HN583" s="866"/>
      <c r="HO583" s="865"/>
      <c r="HP583" s="866"/>
      <c r="HQ583" s="865"/>
      <c r="HR583" s="866"/>
      <c r="HS583" s="867"/>
      <c r="HT583" s="868"/>
      <c r="HU583" s="489"/>
      <c r="HV583" s="865"/>
      <c r="HW583" s="866"/>
    </row>
    <row r="584" spans="25:231" ht="15" customHeight="1">
      <c r="Y584" s="332"/>
      <c r="Z584" s="332"/>
      <c r="AA584" s="332"/>
      <c r="AB584" s="332"/>
      <c r="AC584" s="332"/>
      <c r="AD584" s="332"/>
      <c r="AE584" s="332"/>
      <c r="AF584" s="332"/>
      <c r="AG584" s="332"/>
      <c r="AH584" s="332"/>
      <c r="AI584" s="332"/>
      <c r="AJ584" s="332"/>
      <c r="AK584" s="332"/>
      <c r="AL584" s="332"/>
      <c r="AM584" s="332"/>
      <c r="AN584" s="332"/>
      <c r="AO584" s="332"/>
      <c r="AP584" s="332"/>
      <c r="AQ584" s="332"/>
      <c r="AR584" s="332"/>
      <c r="AS584" s="332"/>
      <c r="AT584" s="332"/>
      <c r="AU584" s="332"/>
      <c r="AV584" s="332"/>
      <c r="AW584" s="332"/>
      <c r="AX584" s="332"/>
      <c r="AY584" s="332"/>
      <c r="AZ584" s="332"/>
      <c r="BA584" s="332"/>
      <c r="BB584" s="332"/>
      <c r="BC584" s="332"/>
      <c r="BD584" s="332"/>
      <c r="BE584" s="332"/>
      <c r="BF584" s="332"/>
      <c r="BG584" s="332"/>
      <c r="BH584" s="332"/>
      <c r="BI584" s="332"/>
      <c r="BJ584" s="332"/>
      <c r="BK584" s="332"/>
      <c r="BL584" s="332"/>
      <c r="BM584" s="332"/>
      <c r="BN584" s="332"/>
      <c r="BO584" s="332"/>
      <c r="BP584" s="332"/>
      <c r="BQ584" s="332"/>
      <c r="BR584" s="332"/>
      <c r="BS584" s="332"/>
      <c r="BT584" s="332"/>
      <c r="BU584" s="332"/>
      <c r="BV584" s="332"/>
      <c r="BW584" s="332"/>
      <c r="BX584" s="332"/>
      <c r="BY584" s="332"/>
      <c r="BZ584" s="332"/>
      <c r="CA584" s="332"/>
      <c r="CB584" s="332"/>
      <c r="CC584" s="332"/>
      <c r="CD584" s="332"/>
      <c r="CE584" s="332"/>
      <c r="CF584" s="332"/>
      <c r="CG584" s="332"/>
      <c r="CH584" s="332"/>
      <c r="CI584" s="332"/>
      <c r="CJ584" s="332"/>
      <c r="CK584" s="332"/>
      <c r="CL584" s="332"/>
      <c r="CM584" s="332"/>
      <c r="CN584" s="332"/>
      <c r="CO584" s="332"/>
      <c r="CP584" s="332"/>
      <c r="CQ584" s="332"/>
      <c r="CR584" s="332"/>
      <c r="CS584" s="332"/>
      <c r="CT584" s="332"/>
      <c r="CU584" s="332"/>
      <c r="CV584" s="332"/>
      <c r="CW584" s="332"/>
      <c r="CX584" s="332"/>
      <c r="CY584" s="332"/>
      <c r="CZ584" s="332"/>
      <c r="DA584" s="332"/>
      <c r="DB584" s="332"/>
      <c r="DC584" s="332"/>
      <c r="DD584" s="332"/>
      <c r="DE584" s="332"/>
      <c r="DF584" s="332"/>
      <c r="DG584" s="332"/>
      <c r="DH584" s="332"/>
      <c r="DI584" s="332"/>
      <c r="DJ584" s="332"/>
      <c r="DK584" s="332"/>
      <c r="DL584" s="332"/>
      <c r="DM584" s="332"/>
      <c r="DN584" s="332"/>
      <c r="DO584" s="332"/>
      <c r="DP584" s="332"/>
      <c r="DQ584" s="332"/>
      <c r="DR584" s="332"/>
      <c r="DS584" s="332"/>
      <c r="DT584" s="332"/>
      <c r="DU584" s="453"/>
      <c r="DV584" s="453"/>
      <c r="DW584" s="453"/>
      <c r="DX584" s="453"/>
      <c r="DY584" s="453"/>
      <c r="DZ584" s="453"/>
      <c r="EA584" s="453"/>
      <c r="EB584" s="453"/>
      <c r="EC584" s="453"/>
      <c r="ED584" s="453"/>
      <c r="EE584" s="453"/>
      <c r="EF584" s="453"/>
      <c r="EG584" s="453"/>
      <c r="EH584" s="453"/>
      <c r="EI584" s="453"/>
      <c r="EJ584" s="453"/>
      <c r="EK584" s="453"/>
      <c r="EL584" s="453"/>
      <c r="EM584" s="483">
        <f t="shared" si="224"/>
        <v>275</v>
      </c>
      <c r="EN584" s="485"/>
      <c r="EO584" s="804"/>
      <c r="EP584" s="805"/>
      <c r="EQ584" s="806"/>
      <c r="ER584" s="808"/>
      <c r="ES584" s="881">
        <f t="shared" si="225"/>
        <v>0</v>
      </c>
      <c r="ET584" s="882"/>
      <c r="EU584" s="883"/>
      <c r="EV584" s="884">
        <f t="shared" si="223"/>
        <v>0</v>
      </c>
      <c r="EW584" s="885"/>
      <c r="EX584" s="885"/>
      <c r="EY584" s="885"/>
      <c r="EZ584" s="885"/>
      <c r="FA584" s="885"/>
      <c r="FB584" s="885"/>
      <c r="FC584" s="885"/>
      <c r="FD584" s="886"/>
      <c r="FE584" s="878"/>
      <c r="FF584" s="878"/>
      <c r="FG584" s="878"/>
      <c r="FH584" s="878"/>
      <c r="FI584" s="878"/>
      <c r="FJ584" s="878"/>
      <c r="FK584" s="878"/>
      <c r="FL584" s="555"/>
      <c r="FM584" s="554"/>
      <c r="FN584" s="554"/>
      <c r="FO584" s="554"/>
      <c r="FP584" s="554"/>
      <c r="FQ584" s="554"/>
      <c r="FR584" s="554"/>
      <c r="FS584" s="554"/>
      <c r="FT584" s="554"/>
      <c r="FU584" s="554"/>
      <c r="FV584" s="554"/>
      <c r="FW584" s="554"/>
      <c r="FX584" s="554"/>
      <c r="FY584" s="554"/>
      <c r="FZ584" s="554"/>
      <c r="GA584" s="554"/>
      <c r="GB584" s="556"/>
      <c r="GC584" s="370"/>
      <c r="GD584" s="453"/>
      <c r="GE584" s="453"/>
      <c r="GF584" s="453"/>
      <c r="GG584" s="453"/>
      <c r="GH584" s="454"/>
      <c r="GI584" s="453"/>
      <c r="GJ584" s="453"/>
      <c r="GK584" s="453"/>
      <c r="GL584" s="453"/>
      <c r="GM584" s="453"/>
      <c r="GN584" s="453"/>
      <c r="GO584" s="453"/>
      <c r="GP584" s="453"/>
      <c r="GQ584" s="453"/>
      <c r="GR584" s="453"/>
      <c r="GS584" s="561"/>
      <c r="GT584" s="475"/>
      <c r="GU584" s="472"/>
      <c r="GV584" s="453"/>
      <c r="GW584" s="453"/>
      <c r="GX584" s="869"/>
      <c r="GY584" s="870"/>
      <c r="GZ584" s="867"/>
      <c r="HA584" s="868"/>
      <c r="HB584" s="473"/>
      <c r="HC584" s="869"/>
      <c r="HD584" s="870"/>
      <c r="HE584" s="867"/>
      <c r="HF584" s="868"/>
      <c r="HG584" s="473"/>
      <c r="HH584" s="867"/>
      <c r="HI584" s="868"/>
      <c r="HJ584" s="867"/>
      <c r="HK584" s="868"/>
      <c r="HL584" s="370"/>
      <c r="HM584" s="865"/>
      <c r="HN584" s="866"/>
      <c r="HO584" s="865"/>
      <c r="HP584" s="866"/>
      <c r="HQ584" s="865"/>
      <c r="HR584" s="866"/>
      <c r="HS584" s="867"/>
      <c r="HT584" s="868"/>
      <c r="HU584" s="489"/>
      <c r="HV584" s="865"/>
      <c r="HW584" s="866"/>
    </row>
    <row r="585" spans="25:231" ht="15" customHeight="1">
      <c r="Y585" s="332"/>
      <c r="Z585" s="332"/>
      <c r="AA585" s="332"/>
      <c r="AB585" s="332"/>
      <c r="AC585" s="332"/>
      <c r="AD585" s="332"/>
      <c r="AE585" s="332"/>
      <c r="AF585" s="332"/>
      <c r="AG585" s="332"/>
      <c r="AH585" s="332"/>
      <c r="AI585" s="332"/>
      <c r="AJ585" s="332"/>
      <c r="AK585" s="332"/>
      <c r="AL585" s="332"/>
      <c r="AM585" s="332"/>
      <c r="AN585" s="332"/>
      <c r="AO585" s="332"/>
      <c r="AP585" s="332"/>
      <c r="AQ585" s="332"/>
      <c r="AR585" s="332"/>
      <c r="AS585" s="332"/>
      <c r="AT585" s="332"/>
      <c r="AU585" s="332"/>
      <c r="AV585" s="332"/>
      <c r="AW585" s="332"/>
      <c r="AX585" s="332"/>
      <c r="AY585" s="332"/>
      <c r="AZ585" s="332"/>
      <c r="BA585" s="332"/>
      <c r="BB585" s="332"/>
      <c r="BC585" s="332"/>
      <c r="BD585" s="332"/>
      <c r="BE585" s="332"/>
      <c r="BF585" s="332"/>
      <c r="BG585" s="332"/>
      <c r="BH585" s="332"/>
      <c r="BI585" s="332"/>
      <c r="BJ585" s="332"/>
      <c r="BK585" s="332"/>
      <c r="BL585" s="332"/>
      <c r="BM585" s="332"/>
      <c r="BN585" s="332"/>
      <c r="BO585" s="332"/>
      <c r="BP585" s="332"/>
      <c r="BQ585" s="332"/>
      <c r="BR585" s="332"/>
      <c r="BS585" s="332"/>
      <c r="BT585" s="332"/>
      <c r="BU585" s="332"/>
      <c r="BV585" s="332"/>
      <c r="BW585" s="332"/>
      <c r="BX585" s="332"/>
      <c r="BY585" s="332"/>
      <c r="BZ585" s="332"/>
      <c r="CA585" s="332"/>
      <c r="CB585" s="332"/>
      <c r="CC585" s="332"/>
      <c r="CD585" s="332"/>
      <c r="CE585" s="332"/>
      <c r="CF585" s="332"/>
      <c r="CG585" s="332"/>
      <c r="CH585" s="332"/>
      <c r="CI585" s="332"/>
      <c r="CJ585" s="332"/>
      <c r="CK585" s="332"/>
      <c r="CL585" s="332"/>
      <c r="CM585" s="332"/>
      <c r="CN585" s="332"/>
      <c r="CO585" s="332"/>
      <c r="CP585" s="332"/>
      <c r="CQ585" s="332"/>
      <c r="CR585" s="332"/>
      <c r="CS585" s="332"/>
      <c r="CT585" s="332"/>
      <c r="CU585" s="332"/>
      <c r="CV585" s="332"/>
      <c r="CW585" s="332"/>
      <c r="CX585" s="332"/>
      <c r="CY585" s="332"/>
      <c r="CZ585" s="332"/>
      <c r="DA585" s="332"/>
      <c r="DB585" s="332"/>
      <c r="DC585" s="332"/>
      <c r="DD585" s="332"/>
      <c r="DE585" s="332"/>
      <c r="DF585" s="332"/>
      <c r="DG585" s="332"/>
      <c r="DH585" s="332"/>
      <c r="DI585" s="332"/>
      <c r="DJ585" s="332"/>
      <c r="DK585" s="332"/>
      <c r="DL585" s="332"/>
      <c r="DM585" s="332"/>
      <c r="DN585" s="332"/>
      <c r="DO585" s="332"/>
      <c r="DP585" s="332"/>
      <c r="DQ585" s="332"/>
      <c r="DR585" s="332"/>
      <c r="DS585" s="332"/>
      <c r="DT585" s="332"/>
      <c r="DU585" s="453"/>
      <c r="DV585" s="453"/>
      <c r="DW585" s="453"/>
      <c r="DX585" s="453"/>
      <c r="DY585" s="453"/>
      <c r="DZ585" s="453"/>
      <c r="EA585" s="453"/>
      <c r="EB585" s="453"/>
      <c r="EC585" s="453"/>
      <c r="ED585" s="453"/>
      <c r="EE585" s="453"/>
      <c r="EF585" s="453"/>
      <c r="EG585" s="453"/>
      <c r="EH585" s="453"/>
      <c r="EI585" s="453"/>
      <c r="EJ585" s="453"/>
      <c r="EK585" s="453"/>
      <c r="EL585" s="453"/>
      <c r="EM585" s="483">
        <f t="shared" si="224"/>
        <v>276</v>
      </c>
      <c r="EN585" s="485"/>
      <c r="EO585" s="804"/>
      <c r="EP585" s="805"/>
      <c r="EQ585" s="820"/>
      <c r="ER585" s="808"/>
      <c r="ES585" s="881">
        <f t="shared" si="225"/>
        <v>0</v>
      </c>
      <c r="ET585" s="882"/>
      <c r="EU585" s="883"/>
      <c r="EV585" s="884">
        <f t="shared" si="223"/>
        <v>0</v>
      </c>
      <c r="EW585" s="885"/>
      <c r="EX585" s="885"/>
      <c r="EY585" s="885"/>
      <c r="EZ585" s="885"/>
      <c r="FA585" s="885"/>
      <c r="FB585" s="885"/>
      <c r="FC585" s="885"/>
      <c r="FD585" s="886"/>
      <c r="FE585" s="878"/>
      <c r="FF585" s="878"/>
      <c r="FG585" s="878"/>
      <c r="FH585" s="878"/>
      <c r="FI585" s="878"/>
      <c r="FJ585" s="878"/>
      <c r="FK585" s="878"/>
      <c r="FL585" s="555"/>
      <c r="FM585" s="554"/>
      <c r="FN585" s="554"/>
      <c r="FO585" s="554"/>
      <c r="FP585" s="554"/>
      <c r="FQ585" s="554"/>
      <c r="FR585" s="554"/>
      <c r="FS585" s="554"/>
      <c r="FT585" s="554"/>
      <c r="FU585" s="554"/>
      <c r="FV585" s="554"/>
      <c r="FW585" s="554"/>
      <c r="FX585" s="554"/>
      <c r="FY585" s="554"/>
      <c r="FZ585" s="554"/>
      <c r="GA585" s="554"/>
      <c r="GB585" s="556"/>
      <c r="GC585" s="370"/>
      <c r="GD585" s="453"/>
      <c r="GE585" s="453"/>
      <c r="GF585" s="453"/>
      <c r="GG585" s="453"/>
      <c r="GH585" s="454"/>
      <c r="GI585" s="453"/>
      <c r="GJ585" s="453"/>
      <c r="GK585" s="453"/>
      <c r="GL585" s="453"/>
      <c r="GM585" s="453"/>
      <c r="GN585" s="453"/>
      <c r="GO585" s="453"/>
      <c r="GP585" s="453"/>
      <c r="GQ585" s="453"/>
      <c r="GR585" s="453"/>
      <c r="GS585" s="561"/>
      <c r="GT585" s="475"/>
      <c r="GU585" s="472"/>
      <c r="GV585" s="453"/>
      <c r="GW585" s="453"/>
      <c r="GX585" s="869"/>
      <c r="GY585" s="870"/>
      <c r="GZ585" s="867"/>
      <c r="HA585" s="868"/>
      <c r="HB585" s="473"/>
      <c r="HC585" s="869"/>
      <c r="HD585" s="870"/>
      <c r="HE585" s="867"/>
      <c r="HF585" s="868"/>
      <c r="HG585" s="473"/>
      <c r="HH585" s="867"/>
      <c r="HI585" s="868"/>
      <c r="HJ585" s="867"/>
      <c r="HK585" s="868"/>
      <c r="HL585" s="370"/>
      <c r="HM585" s="865"/>
      <c r="HN585" s="866"/>
      <c r="HO585" s="865"/>
      <c r="HP585" s="866"/>
      <c r="HQ585" s="865"/>
      <c r="HR585" s="866"/>
      <c r="HS585" s="867"/>
      <c r="HT585" s="868"/>
      <c r="HU585" s="489"/>
      <c r="HV585" s="865"/>
      <c r="HW585" s="866"/>
    </row>
    <row r="586" spans="25:231" ht="15" customHeight="1">
      <c r="Y586" s="332"/>
      <c r="Z586" s="332"/>
      <c r="AA586" s="332"/>
      <c r="AB586" s="332"/>
      <c r="AC586" s="332"/>
      <c r="AD586" s="332"/>
      <c r="AE586" s="332"/>
      <c r="AF586" s="332"/>
      <c r="AG586" s="332"/>
      <c r="AH586" s="332"/>
      <c r="AI586" s="332"/>
      <c r="AJ586" s="332"/>
      <c r="AK586" s="332"/>
      <c r="AL586" s="332"/>
      <c r="AM586" s="332"/>
      <c r="AN586" s="332"/>
      <c r="AO586" s="332"/>
      <c r="AP586" s="332"/>
      <c r="AQ586" s="332"/>
      <c r="AR586" s="332"/>
      <c r="AS586" s="332"/>
      <c r="AT586" s="332"/>
      <c r="AU586" s="332"/>
      <c r="AV586" s="332"/>
      <c r="AW586" s="332"/>
      <c r="AX586" s="332"/>
      <c r="AY586" s="332"/>
      <c r="AZ586" s="332"/>
      <c r="BA586" s="332"/>
      <c r="BB586" s="332"/>
      <c r="BC586" s="332"/>
      <c r="BD586" s="332"/>
      <c r="BE586" s="332"/>
      <c r="BF586" s="332"/>
      <c r="BG586" s="332"/>
      <c r="BH586" s="332"/>
      <c r="BI586" s="332"/>
      <c r="BJ586" s="332"/>
      <c r="BK586" s="332"/>
      <c r="BL586" s="332"/>
      <c r="BM586" s="332"/>
      <c r="BN586" s="332"/>
      <c r="BO586" s="332"/>
      <c r="BP586" s="332"/>
      <c r="BQ586" s="332"/>
      <c r="BR586" s="332"/>
      <c r="BS586" s="332"/>
      <c r="BT586" s="332"/>
      <c r="BU586" s="332"/>
      <c r="BV586" s="332"/>
      <c r="BW586" s="332"/>
      <c r="BX586" s="332"/>
      <c r="BY586" s="332"/>
      <c r="BZ586" s="332"/>
      <c r="CA586" s="332"/>
      <c r="CB586" s="332"/>
      <c r="CC586" s="332"/>
      <c r="CD586" s="332"/>
      <c r="CE586" s="332"/>
      <c r="CF586" s="332"/>
      <c r="CG586" s="332"/>
      <c r="CH586" s="332"/>
      <c r="CI586" s="332"/>
      <c r="CJ586" s="332"/>
      <c r="CK586" s="332"/>
      <c r="CL586" s="332"/>
      <c r="CM586" s="332"/>
      <c r="CN586" s="332"/>
      <c r="CO586" s="332"/>
      <c r="CP586" s="332"/>
      <c r="CQ586" s="332"/>
      <c r="CR586" s="332"/>
      <c r="CS586" s="332"/>
      <c r="CT586" s="332"/>
      <c r="CU586" s="332"/>
      <c r="CV586" s="332"/>
      <c r="CW586" s="332"/>
      <c r="CX586" s="332"/>
      <c r="CY586" s="332"/>
      <c r="CZ586" s="332"/>
      <c r="DA586" s="332"/>
      <c r="DB586" s="332"/>
      <c r="DC586" s="332"/>
      <c r="DD586" s="332"/>
      <c r="DE586" s="332"/>
      <c r="DF586" s="332"/>
      <c r="DG586" s="332"/>
      <c r="DH586" s="332"/>
      <c r="DI586" s="332"/>
      <c r="DJ586" s="332"/>
      <c r="DK586" s="332"/>
      <c r="DL586" s="332"/>
      <c r="DM586" s="332"/>
      <c r="DN586" s="332"/>
      <c r="DO586" s="332"/>
      <c r="DP586" s="332"/>
      <c r="DQ586" s="332"/>
      <c r="DR586" s="332"/>
      <c r="DS586" s="332"/>
      <c r="DT586" s="332"/>
      <c r="DU586" s="453"/>
      <c r="DV586" s="453"/>
      <c r="DW586" s="453"/>
      <c r="DX586" s="453"/>
      <c r="DY586" s="453"/>
      <c r="DZ586" s="453"/>
      <c r="EA586" s="453"/>
      <c r="EB586" s="453"/>
      <c r="EC586" s="453"/>
      <c r="ED586" s="453"/>
      <c r="EE586" s="453"/>
      <c r="EF586" s="453"/>
      <c r="EG586" s="453"/>
      <c r="EH586" s="453"/>
      <c r="EI586" s="453"/>
      <c r="EJ586" s="453"/>
      <c r="EK586" s="453"/>
      <c r="EL586" s="453"/>
      <c r="EM586" s="483">
        <f t="shared" si="224"/>
        <v>277</v>
      </c>
      <c r="EN586" s="485"/>
      <c r="EO586" s="804"/>
      <c r="EP586" s="805"/>
      <c r="EQ586" s="806"/>
      <c r="ER586" s="808"/>
      <c r="ES586" s="881">
        <f t="shared" si="225"/>
        <v>0</v>
      </c>
      <c r="ET586" s="882"/>
      <c r="EU586" s="883"/>
      <c r="EV586" s="884">
        <f t="shared" si="223"/>
        <v>0</v>
      </c>
      <c r="EW586" s="885"/>
      <c r="EX586" s="885"/>
      <c r="EY586" s="885"/>
      <c r="EZ586" s="885"/>
      <c r="FA586" s="885"/>
      <c r="FB586" s="885"/>
      <c r="FC586" s="885"/>
      <c r="FD586" s="886"/>
      <c r="FE586" s="878"/>
      <c r="FF586" s="878"/>
      <c r="FG586" s="878"/>
      <c r="FH586" s="878"/>
      <c r="FI586" s="878"/>
      <c r="FJ586" s="878"/>
      <c r="FK586" s="878"/>
      <c r="FL586" s="555"/>
      <c r="FM586" s="554"/>
      <c r="FN586" s="554"/>
      <c r="FO586" s="554"/>
      <c r="FP586" s="554"/>
      <c r="FQ586" s="554"/>
      <c r="FR586" s="554"/>
      <c r="FS586" s="554"/>
      <c r="FT586" s="554"/>
      <c r="FU586" s="554"/>
      <c r="FV586" s="554"/>
      <c r="FW586" s="554"/>
      <c r="FX586" s="554"/>
      <c r="FY586" s="554"/>
      <c r="FZ586" s="554"/>
      <c r="GA586" s="554"/>
      <c r="GB586" s="556"/>
      <c r="GC586" s="370"/>
      <c r="GD586" s="453"/>
      <c r="GE586" s="453"/>
      <c r="GF586" s="453"/>
      <c r="GG586" s="453"/>
      <c r="GH586" s="454"/>
      <c r="GI586" s="453"/>
      <c r="GJ586" s="453"/>
      <c r="GK586" s="453"/>
      <c r="GL586" s="453"/>
      <c r="GM586" s="453"/>
      <c r="GN586" s="453"/>
      <c r="GO586" s="453"/>
      <c r="GP586" s="453"/>
      <c r="GQ586" s="453"/>
      <c r="GR586" s="453"/>
      <c r="GS586" s="561"/>
      <c r="GT586" s="475"/>
      <c r="GU586" s="472"/>
      <c r="GV586" s="453"/>
      <c r="GW586" s="453"/>
      <c r="GX586" s="869"/>
      <c r="GY586" s="870"/>
      <c r="GZ586" s="867"/>
      <c r="HA586" s="868"/>
      <c r="HB586" s="473"/>
      <c r="HC586" s="869"/>
      <c r="HD586" s="870"/>
      <c r="HE586" s="867"/>
      <c r="HF586" s="868"/>
      <c r="HG586" s="473"/>
      <c r="HH586" s="867"/>
      <c r="HI586" s="868"/>
      <c r="HJ586" s="867"/>
      <c r="HK586" s="868"/>
      <c r="HL586" s="370"/>
      <c r="HM586" s="865"/>
      <c r="HN586" s="866"/>
      <c r="HO586" s="865"/>
      <c r="HP586" s="866"/>
      <c r="HQ586" s="865"/>
      <c r="HR586" s="866"/>
      <c r="HS586" s="867"/>
      <c r="HT586" s="868"/>
      <c r="HU586" s="489"/>
      <c r="HV586" s="865"/>
      <c r="HW586" s="866"/>
    </row>
    <row r="587" spans="25:231" ht="15" customHeight="1">
      <c r="Y587" s="332"/>
      <c r="Z587" s="332"/>
      <c r="AA587" s="332"/>
      <c r="AB587" s="332"/>
      <c r="AC587" s="332"/>
      <c r="AD587" s="332"/>
      <c r="AE587" s="332"/>
      <c r="AF587" s="332"/>
      <c r="AG587" s="332"/>
      <c r="AH587" s="332"/>
      <c r="AI587" s="332"/>
      <c r="AJ587" s="332"/>
      <c r="AK587" s="332"/>
      <c r="AL587" s="332"/>
      <c r="AM587" s="332"/>
      <c r="AN587" s="332"/>
      <c r="AO587" s="332"/>
      <c r="AP587" s="332"/>
      <c r="AQ587" s="332"/>
      <c r="AR587" s="332"/>
      <c r="AS587" s="332"/>
      <c r="AT587" s="332"/>
      <c r="AU587" s="332"/>
      <c r="AV587" s="332"/>
      <c r="AW587" s="332"/>
      <c r="AX587" s="332"/>
      <c r="AY587" s="332"/>
      <c r="AZ587" s="332"/>
      <c r="BA587" s="332"/>
      <c r="BB587" s="332"/>
      <c r="BC587" s="332"/>
      <c r="BD587" s="332"/>
      <c r="BE587" s="332"/>
      <c r="BF587" s="332"/>
      <c r="BG587" s="332"/>
      <c r="BH587" s="332"/>
      <c r="BI587" s="332"/>
      <c r="BJ587" s="332"/>
      <c r="BK587" s="332"/>
      <c r="BL587" s="332"/>
      <c r="BM587" s="332"/>
      <c r="BN587" s="332"/>
      <c r="BO587" s="332"/>
      <c r="BP587" s="332"/>
      <c r="BQ587" s="332"/>
      <c r="BR587" s="332"/>
      <c r="BS587" s="332"/>
      <c r="BT587" s="332"/>
      <c r="BU587" s="332"/>
      <c r="BV587" s="332"/>
      <c r="BW587" s="332"/>
      <c r="BX587" s="332"/>
      <c r="BY587" s="332"/>
      <c r="BZ587" s="332"/>
      <c r="CA587" s="332"/>
      <c r="CB587" s="332"/>
      <c r="CC587" s="332"/>
      <c r="CD587" s="332"/>
      <c r="CE587" s="332"/>
      <c r="CF587" s="332"/>
      <c r="CG587" s="332"/>
      <c r="CH587" s="332"/>
      <c r="CI587" s="332"/>
      <c r="CJ587" s="332"/>
      <c r="CK587" s="332"/>
      <c r="CL587" s="332"/>
      <c r="CM587" s="332"/>
      <c r="CN587" s="332"/>
      <c r="CO587" s="332"/>
      <c r="CP587" s="332"/>
      <c r="CQ587" s="332"/>
      <c r="CR587" s="332"/>
      <c r="CS587" s="332"/>
      <c r="CT587" s="332"/>
      <c r="CU587" s="332"/>
      <c r="CV587" s="332"/>
      <c r="CW587" s="332"/>
      <c r="CX587" s="332"/>
      <c r="CY587" s="332"/>
      <c r="CZ587" s="332"/>
      <c r="DA587" s="332"/>
      <c r="DB587" s="332"/>
      <c r="DC587" s="332"/>
      <c r="DD587" s="332"/>
      <c r="DE587" s="332"/>
      <c r="DF587" s="332"/>
      <c r="DG587" s="332"/>
      <c r="DH587" s="332"/>
      <c r="DI587" s="332"/>
      <c r="DJ587" s="332"/>
      <c r="DK587" s="332"/>
      <c r="DL587" s="332"/>
      <c r="DM587" s="332"/>
      <c r="DN587" s="332"/>
      <c r="DO587" s="332"/>
      <c r="DP587" s="332"/>
      <c r="DQ587" s="332"/>
      <c r="DR587" s="332"/>
      <c r="DS587" s="332"/>
      <c r="DT587" s="332"/>
      <c r="DU587" s="453"/>
      <c r="DV587" s="453"/>
      <c r="DW587" s="453"/>
      <c r="DX587" s="453"/>
      <c r="DY587" s="453"/>
      <c r="DZ587" s="453"/>
      <c r="EA587" s="453"/>
      <c r="EB587" s="453"/>
      <c r="EC587" s="453"/>
      <c r="ED587" s="453"/>
      <c r="EE587" s="453"/>
      <c r="EF587" s="453"/>
      <c r="EG587" s="453"/>
      <c r="EH587" s="453"/>
      <c r="EI587" s="453"/>
      <c r="EJ587" s="453"/>
      <c r="EK587" s="453"/>
      <c r="EL587" s="453"/>
      <c r="EM587" s="483">
        <f t="shared" si="224"/>
        <v>278</v>
      </c>
      <c r="EN587" s="485"/>
      <c r="EO587" s="804"/>
      <c r="EP587" s="805"/>
      <c r="EQ587" s="806"/>
      <c r="ER587" s="808"/>
      <c r="ES587" s="881">
        <f t="shared" si="225"/>
        <v>0</v>
      </c>
      <c r="ET587" s="882"/>
      <c r="EU587" s="883"/>
      <c r="EV587" s="884">
        <f t="shared" si="223"/>
        <v>0</v>
      </c>
      <c r="EW587" s="885"/>
      <c r="EX587" s="885"/>
      <c r="EY587" s="885"/>
      <c r="EZ587" s="885"/>
      <c r="FA587" s="885"/>
      <c r="FB587" s="885"/>
      <c r="FC587" s="885"/>
      <c r="FD587" s="886"/>
      <c r="FE587" s="878"/>
      <c r="FF587" s="878"/>
      <c r="FG587" s="878"/>
      <c r="FH587" s="878"/>
      <c r="FI587" s="878"/>
      <c r="FJ587" s="878"/>
      <c r="FK587" s="878"/>
      <c r="FL587" s="555"/>
      <c r="FM587" s="554"/>
      <c r="FN587" s="554"/>
      <c r="FO587" s="554"/>
      <c r="FP587" s="554"/>
      <c r="FQ587" s="554"/>
      <c r="FR587" s="554"/>
      <c r="FS587" s="554"/>
      <c r="FT587" s="554"/>
      <c r="FU587" s="554"/>
      <c r="FV587" s="554"/>
      <c r="FW587" s="554"/>
      <c r="FX587" s="554"/>
      <c r="FY587" s="554"/>
      <c r="FZ587" s="554"/>
      <c r="GA587" s="554"/>
      <c r="GB587" s="556"/>
      <c r="GC587" s="370"/>
      <c r="GD587" s="453"/>
      <c r="GE587" s="453"/>
      <c r="GF587" s="453"/>
      <c r="GG587" s="453"/>
      <c r="GH587" s="454"/>
      <c r="GI587" s="453"/>
      <c r="GJ587" s="453"/>
      <c r="GK587" s="453"/>
      <c r="GL587" s="453"/>
      <c r="GM587" s="453"/>
      <c r="GN587" s="453"/>
      <c r="GO587" s="453"/>
      <c r="GP587" s="453"/>
      <c r="GQ587" s="453"/>
      <c r="GR587" s="453"/>
      <c r="GS587" s="561"/>
      <c r="GT587" s="475"/>
      <c r="GU587" s="472"/>
      <c r="GV587" s="453"/>
      <c r="GW587" s="453"/>
      <c r="GX587" s="869"/>
      <c r="GY587" s="870"/>
      <c r="GZ587" s="867"/>
      <c r="HA587" s="868"/>
      <c r="HB587" s="473"/>
      <c r="HC587" s="869"/>
      <c r="HD587" s="870"/>
      <c r="HE587" s="867"/>
      <c r="HF587" s="868"/>
      <c r="HG587" s="473"/>
      <c r="HH587" s="867"/>
      <c r="HI587" s="868"/>
      <c r="HJ587" s="867"/>
      <c r="HK587" s="868"/>
      <c r="HL587" s="370"/>
      <c r="HM587" s="865"/>
      <c r="HN587" s="866"/>
      <c r="HO587" s="865"/>
      <c r="HP587" s="866"/>
      <c r="HQ587" s="865"/>
      <c r="HR587" s="866"/>
      <c r="HS587" s="867"/>
      <c r="HT587" s="868"/>
      <c r="HU587" s="489"/>
      <c r="HV587" s="865"/>
      <c r="HW587" s="866"/>
    </row>
    <row r="588" spans="25:231" ht="15" customHeight="1">
      <c r="Y588" s="332"/>
      <c r="Z588" s="332"/>
      <c r="AA588" s="332"/>
      <c r="AB588" s="332"/>
      <c r="AC588" s="332"/>
      <c r="AD588" s="332"/>
      <c r="AE588" s="332"/>
      <c r="AF588" s="332"/>
      <c r="AG588" s="332"/>
      <c r="AH588" s="332"/>
      <c r="AI588" s="332"/>
      <c r="AJ588" s="332"/>
      <c r="AK588" s="332"/>
      <c r="AL588" s="332"/>
      <c r="AM588" s="332"/>
      <c r="AN588" s="332"/>
      <c r="AO588" s="332"/>
      <c r="AP588" s="332"/>
      <c r="AQ588" s="332"/>
      <c r="AR588" s="332"/>
      <c r="AS588" s="332"/>
      <c r="AT588" s="332"/>
      <c r="AU588" s="332"/>
      <c r="AV588" s="332"/>
      <c r="AW588" s="332"/>
      <c r="AX588" s="332"/>
      <c r="AY588" s="332"/>
      <c r="AZ588" s="332"/>
      <c r="BA588" s="332"/>
      <c r="BB588" s="332"/>
      <c r="BC588" s="332"/>
      <c r="BD588" s="332"/>
      <c r="BE588" s="332"/>
      <c r="BF588" s="332"/>
      <c r="BG588" s="332"/>
      <c r="BH588" s="332"/>
      <c r="BI588" s="332"/>
      <c r="BJ588" s="332"/>
      <c r="BK588" s="332"/>
      <c r="BL588" s="332"/>
      <c r="BM588" s="332"/>
      <c r="BN588" s="332"/>
      <c r="BO588" s="332"/>
      <c r="BP588" s="332"/>
      <c r="BQ588" s="332"/>
      <c r="BR588" s="332"/>
      <c r="BS588" s="332"/>
      <c r="BT588" s="332"/>
      <c r="BU588" s="332"/>
      <c r="BV588" s="332"/>
      <c r="BW588" s="332"/>
      <c r="BX588" s="332"/>
      <c r="BY588" s="332"/>
      <c r="BZ588" s="332"/>
      <c r="CA588" s="332"/>
      <c r="CB588" s="332"/>
      <c r="CC588" s="332"/>
      <c r="CD588" s="332"/>
      <c r="CE588" s="332"/>
      <c r="CF588" s="332"/>
      <c r="CG588" s="332"/>
      <c r="CH588" s="332"/>
      <c r="CI588" s="332"/>
      <c r="CJ588" s="332"/>
      <c r="CK588" s="332"/>
      <c r="CL588" s="332"/>
      <c r="CM588" s="332"/>
      <c r="CN588" s="332"/>
      <c r="CO588" s="332"/>
      <c r="CP588" s="332"/>
      <c r="CQ588" s="332"/>
      <c r="CR588" s="332"/>
      <c r="CS588" s="332"/>
      <c r="CT588" s="332"/>
      <c r="CU588" s="332"/>
      <c r="CV588" s="332"/>
      <c r="CW588" s="332"/>
      <c r="CX588" s="332"/>
      <c r="CY588" s="332"/>
      <c r="CZ588" s="332"/>
      <c r="DA588" s="332"/>
      <c r="DB588" s="332"/>
      <c r="DC588" s="332"/>
      <c r="DD588" s="332"/>
      <c r="DE588" s="332"/>
      <c r="DF588" s="332"/>
      <c r="DG588" s="332"/>
      <c r="DH588" s="332"/>
      <c r="DI588" s="332"/>
      <c r="DJ588" s="332"/>
      <c r="DK588" s="332"/>
      <c r="DL588" s="332"/>
      <c r="DM588" s="332"/>
      <c r="DN588" s="332"/>
      <c r="DO588" s="332"/>
      <c r="DP588" s="332"/>
      <c r="DQ588" s="332"/>
      <c r="DR588" s="332"/>
      <c r="DS588" s="332"/>
      <c r="DT588" s="332"/>
      <c r="DU588" s="453"/>
      <c r="DV588" s="453"/>
      <c r="DW588" s="453"/>
      <c r="DX588" s="453"/>
      <c r="DY588" s="453"/>
      <c r="DZ588" s="453"/>
      <c r="EA588" s="453"/>
      <c r="EB588" s="453"/>
      <c r="EC588" s="453"/>
      <c r="ED588" s="453"/>
      <c r="EE588" s="453"/>
      <c r="EF588" s="453"/>
      <c r="EG588" s="453"/>
      <c r="EH588" s="453"/>
      <c r="EI588" s="453"/>
      <c r="EJ588" s="453"/>
      <c r="EK588" s="453"/>
      <c r="EL588" s="453"/>
      <c r="EM588" s="483">
        <f t="shared" si="224"/>
        <v>279</v>
      </c>
      <c r="EN588" s="485"/>
      <c r="EO588" s="804"/>
      <c r="EP588" s="805"/>
      <c r="EQ588" s="806"/>
      <c r="ER588" s="808"/>
      <c r="ES588" s="881">
        <f t="shared" si="225"/>
        <v>0</v>
      </c>
      <c r="ET588" s="882"/>
      <c r="EU588" s="883"/>
      <c r="EV588" s="884">
        <f t="shared" si="223"/>
        <v>0</v>
      </c>
      <c r="EW588" s="885"/>
      <c r="EX588" s="885"/>
      <c r="EY588" s="885"/>
      <c r="EZ588" s="885"/>
      <c r="FA588" s="885"/>
      <c r="FB588" s="885"/>
      <c r="FC588" s="885"/>
      <c r="FD588" s="886"/>
      <c r="FE588" s="878"/>
      <c r="FF588" s="878"/>
      <c r="FG588" s="878"/>
      <c r="FH588" s="878"/>
      <c r="FI588" s="878"/>
      <c r="FJ588" s="878"/>
      <c r="FK588" s="878"/>
      <c r="FL588" s="555"/>
      <c r="FM588" s="554"/>
      <c r="FN588" s="554"/>
      <c r="FO588" s="554"/>
      <c r="FP588" s="554"/>
      <c r="FQ588" s="554"/>
      <c r="FR588" s="554"/>
      <c r="FS588" s="554"/>
      <c r="FT588" s="554"/>
      <c r="FU588" s="554"/>
      <c r="FV588" s="554"/>
      <c r="FW588" s="554"/>
      <c r="FX588" s="554"/>
      <c r="FY588" s="554"/>
      <c r="FZ588" s="554"/>
      <c r="GA588" s="554"/>
      <c r="GB588" s="556"/>
      <c r="GC588" s="370"/>
      <c r="GD588" s="453"/>
      <c r="GE588" s="453"/>
      <c r="GF588" s="453"/>
      <c r="GG588" s="453"/>
      <c r="GH588" s="454"/>
      <c r="GI588" s="453"/>
      <c r="GJ588" s="453"/>
      <c r="GK588" s="453"/>
      <c r="GL588" s="453"/>
      <c r="GM588" s="453"/>
      <c r="GN588" s="453"/>
      <c r="GO588" s="453"/>
      <c r="GP588" s="453"/>
      <c r="GQ588" s="453"/>
      <c r="GR588" s="453"/>
      <c r="GS588" s="561"/>
      <c r="GT588" s="475"/>
      <c r="GU588" s="472"/>
      <c r="GV588" s="453"/>
      <c r="GW588" s="453"/>
      <c r="GX588" s="869"/>
      <c r="GY588" s="870"/>
      <c r="GZ588" s="867"/>
      <c r="HA588" s="868"/>
      <c r="HB588" s="473"/>
      <c r="HC588" s="869"/>
      <c r="HD588" s="870"/>
      <c r="HE588" s="867"/>
      <c r="HF588" s="868"/>
      <c r="HG588" s="473"/>
      <c r="HH588" s="867"/>
      <c r="HI588" s="868"/>
      <c r="HJ588" s="867"/>
      <c r="HK588" s="868"/>
      <c r="HL588" s="370"/>
      <c r="HM588" s="865"/>
      <c r="HN588" s="866"/>
      <c r="HO588" s="865"/>
      <c r="HP588" s="866"/>
      <c r="HQ588" s="865"/>
      <c r="HR588" s="866"/>
      <c r="HS588" s="867"/>
      <c r="HT588" s="868"/>
      <c r="HU588" s="489"/>
      <c r="HV588" s="865"/>
      <c r="HW588" s="866"/>
    </row>
    <row r="589" spans="25:231" ht="15" customHeight="1">
      <c r="Y589" s="332"/>
      <c r="Z589" s="332"/>
      <c r="AA589" s="332"/>
      <c r="AB589" s="332"/>
      <c r="AC589" s="332"/>
      <c r="AD589" s="332"/>
      <c r="AE589" s="332"/>
      <c r="AF589" s="332"/>
      <c r="AG589" s="332"/>
      <c r="AH589" s="332"/>
      <c r="AI589" s="332"/>
      <c r="AJ589" s="332"/>
      <c r="AK589" s="332"/>
      <c r="AL589" s="332"/>
      <c r="AM589" s="332"/>
      <c r="AN589" s="332"/>
      <c r="AO589" s="332"/>
      <c r="AP589" s="332"/>
      <c r="AQ589" s="332"/>
      <c r="AR589" s="332"/>
      <c r="AS589" s="332"/>
      <c r="AT589" s="332"/>
      <c r="AU589" s="332"/>
      <c r="AV589" s="332"/>
      <c r="AW589" s="332"/>
      <c r="AX589" s="332"/>
      <c r="AY589" s="332"/>
      <c r="AZ589" s="332"/>
      <c r="BA589" s="332"/>
      <c r="BB589" s="332"/>
      <c r="BC589" s="332"/>
      <c r="BD589" s="332"/>
      <c r="BE589" s="332"/>
      <c r="BF589" s="332"/>
      <c r="BG589" s="332"/>
      <c r="BH589" s="332"/>
      <c r="BI589" s="332"/>
      <c r="BJ589" s="332"/>
      <c r="BK589" s="332"/>
      <c r="BL589" s="332"/>
      <c r="BM589" s="332"/>
      <c r="BN589" s="332"/>
      <c r="BO589" s="332"/>
      <c r="BP589" s="332"/>
      <c r="BQ589" s="332"/>
      <c r="BR589" s="332"/>
      <c r="BS589" s="332"/>
      <c r="BT589" s="332"/>
      <c r="BU589" s="332"/>
      <c r="BV589" s="332"/>
      <c r="BW589" s="332"/>
      <c r="BX589" s="332"/>
      <c r="BY589" s="332"/>
      <c r="BZ589" s="332"/>
      <c r="CA589" s="332"/>
      <c r="CB589" s="332"/>
      <c r="CC589" s="332"/>
      <c r="CD589" s="332"/>
      <c r="CE589" s="332"/>
      <c r="CF589" s="332"/>
      <c r="CG589" s="332"/>
      <c r="CH589" s="332"/>
      <c r="CI589" s="332"/>
      <c r="CJ589" s="332"/>
      <c r="CK589" s="332"/>
      <c r="CL589" s="332"/>
      <c r="CM589" s="332"/>
      <c r="CN589" s="332"/>
      <c r="CO589" s="332"/>
      <c r="CP589" s="332"/>
      <c r="CQ589" s="332"/>
      <c r="CR589" s="332"/>
      <c r="CS589" s="332"/>
      <c r="CT589" s="332"/>
      <c r="CU589" s="332"/>
      <c r="CV589" s="332"/>
      <c r="CW589" s="332"/>
      <c r="CX589" s="332"/>
      <c r="CY589" s="332"/>
      <c r="CZ589" s="332"/>
      <c r="DA589" s="332"/>
      <c r="DB589" s="332"/>
      <c r="DC589" s="332"/>
      <c r="DD589" s="332"/>
      <c r="DE589" s="332"/>
      <c r="DF589" s="332"/>
      <c r="DG589" s="332"/>
      <c r="DH589" s="332"/>
      <c r="DI589" s="332"/>
      <c r="DJ589" s="332"/>
      <c r="DK589" s="332"/>
      <c r="DL589" s="332"/>
      <c r="DM589" s="332"/>
      <c r="DN589" s="332"/>
      <c r="DO589" s="332"/>
      <c r="DP589" s="332"/>
      <c r="DQ589" s="332"/>
      <c r="DR589" s="332"/>
      <c r="DS589" s="332"/>
      <c r="DT589" s="332"/>
      <c r="DU589" s="453"/>
      <c r="DV589" s="453"/>
      <c r="DW589" s="453"/>
      <c r="DX589" s="453"/>
      <c r="DY589" s="453"/>
      <c r="DZ589" s="453"/>
      <c r="EA589" s="453"/>
      <c r="EB589" s="453"/>
      <c r="EC589" s="453"/>
      <c r="ED589" s="453"/>
      <c r="EE589" s="453"/>
      <c r="EF589" s="453"/>
      <c r="EG589" s="453"/>
      <c r="EH589" s="453"/>
      <c r="EI589" s="453"/>
      <c r="EJ589" s="453"/>
      <c r="EK589" s="453"/>
      <c r="EL589" s="453"/>
      <c r="EM589" s="483">
        <f t="shared" si="224"/>
        <v>280</v>
      </c>
      <c r="EN589" s="485"/>
      <c r="EO589" s="804"/>
      <c r="EP589" s="805"/>
      <c r="EQ589" s="806"/>
      <c r="ER589" s="808"/>
      <c r="ES589" s="881">
        <f t="shared" si="225"/>
        <v>0</v>
      </c>
      <c r="ET589" s="882"/>
      <c r="EU589" s="883"/>
      <c r="EV589" s="884">
        <f t="shared" si="223"/>
        <v>0</v>
      </c>
      <c r="EW589" s="885"/>
      <c r="EX589" s="885"/>
      <c r="EY589" s="885"/>
      <c r="EZ589" s="885"/>
      <c r="FA589" s="885"/>
      <c r="FB589" s="885"/>
      <c r="FC589" s="885"/>
      <c r="FD589" s="886"/>
      <c r="FE589" s="878"/>
      <c r="FF589" s="878"/>
      <c r="FG589" s="878"/>
      <c r="FH589" s="878"/>
      <c r="FI589" s="878"/>
      <c r="FJ589" s="878"/>
      <c r="FK589" s="878"/>
      <c r="FL589" s="555"/>
      <c r="FM589" s="554"/>
      <c r="FN589" s="554"/>
      <c r="FO589" s="554"/>
      <c r="FP589" s="554"/>
      <c r="FQ589" s="554"/>
      <c r="FR589" s="554"/>
      <c r="FS589" s="554"/>
      <c r="FT589" s="554"/>
      <c r="FU589" s="554"/>
      <c r="FV589" s="554"/>
      <c r="FW589" s="554"/>
      <c r="FX589" s="554"/>
      <c r="FY589" s="554"/>
      <c r="FZ589" s="554"/>
      <c r="GA589" s="554"/>
      <c r="GB589" s="556"/>
      <c r="GC589" s="370"/>
      <c r="GD589" s="453"/>
      <c r="GE589" s="453"/>
      <c r="GF589" s="453"/>
      <c r="GG589" s="453"/>
      <c r="GH589" s="454"/>
      <c r="GI589" s="453"/>
      <c r="GJ589" s="453"/>
      <c r="GK589" s="453"/>
      <c r="GL589" s="453"/>
      <c r="GM589" s="453"/>
      <c r="GN589" s="453"/>
      <c r="GO589" s="453"/>
      <c r="GP589" s="453"/>
      <c r="GQ589" s="453"/>
      <c r="GR589" s="453"/>
      <c r="GS589" s="561"/>
      <c r="GT589" s="475"/>
      <c r="GU589" s="472"/>
      <c r="GV589" s="453"/>
      <c r="GW589" s="453"/>
      <c r="GX589" s="869"/>
      <c r="GY589" s="870"/>
      <c r="GZ589" s="867"/>
      <c r="HA589" s="868"/>
      <c r="HB589" s="473"/>
      <c r="HC589" s="869"/>
      <c r="HD589" s="870"/>
      <c r="HE589" s="867"/>
      <c r="HF589" s="868"/>
      <c r="HG589" s="473"/>
      <c r="HH589" s="867"/>
      <c r="HI589" s="868"/>
      <c r="HJ589" s="867"/>
      <c r="HK589" s="868"/>
      <c r="HL589" s="370"/>
      <c r="HM589" s="865"/>
      <c r="HN589" s="866"/>
      <c r="HO589" s="865"/>
      <c r="HP589" s="866"/>
      <c r="HQ589" s="865"/>
      <c r="HR589" s="866"/>
      <c r="HS589" s="867"/>
      <c r="HT589" s="868"/>
      <c r="HU589" s="489"/>
      <c r="HV589" s="865"/>
      <c r="HW589" s="866"/>
    </row>
    <row r="590" spans="25:231" ht="15" customHeight="1">
      <c r="Y590" s="332"/>
      <c r="Z590" s="332"/>
      <c r="AA590" s="332"/>
      <c r="AB590" s="332"/>
      <c r="AC590" s="332"/>
      <c r="AD590" s="332"/>
      <c r="AE590" s="332"/>
      <c r="AF590" s="332"/>
      <c r="AG590" s="332"/>
      <c r="AH590" s="332"/>
      <c r="AI590" s="332"/>
      <c r="AJ590" s="332"/>
      <c r="AK590" s="332"/>
      <c r="AL590" s="332"/>
      <c r="AM590" s="332"/>
      <c r="AN590" s="332"/>
      <c r="AO590" s="332"/>
      <c r="AP590" s="332"/>
      <c r="AQ590" s="332"/>
      <c r="AR590" s="332"/>
      <c r="AS590" s="332"/>
      <c r="AT590" s="332"/>
      <c r="AU590" s="332"/>
      <c r="AV590" s="332"/>
      <c r="AW590" s="332"/>
      <c r="AX590" s="332"/>
      <c r="AY590" s="332"/>
      <c r="AZ590" s="332"/>
      <c r="BA590" s="332"/>
      <c r="BB590" s="332"/>
      <c r="BC590" s="332"/>
      <c r="BD590" s="332"/>
      <c r="BE590" s="332"/>
      <c r="BF590" s="332"/>
      <c r="BG590" s="332"/>
      <c r="BH590" s="332"/>
      <c r="BI590" s="332"/>
      <c r="BJ590" s="332"/>
      <c r="BK590" s="332"/>
      <c r="BL590" s="332"/>
      <c r="BM590" s="332"/>
      <c r="BN590" s="332"/>
      <c r="BO590" s="332"/>
      <c r="BP590" s="332"/>
      <c r="BQ590" s="332"/>
      <c r="BR590" s="332"/>
      <c r="BS590" s="332"/>
      <c r="BT590" s="332"/>
      <c r="BU590" s="332"/>
      <c r="BV590" s="332"/>
      <c r="BW590" s="332"/>
      <c r="BX590" s="332"/>
      <c r="BY590" s="332"/>
      <c r="BZ590" s="332"/>
      <c r="CA590" s="332"/>
      <c r="CB590" s="332"/>
      <c r="CC590" s="332"/>
      <c r="CD590" s="332"/>
      <c r="CE590" s="332"/>
      <c r="CF590" s="332"/>
      <c r="CG590" s="332"/>
      <c r="CH590" s="332"/>
      <c r="CI590" s="332"/>
      <c r="CJ590" s="332"/>
      <c r="CK590" s="332"/>
      <c r="CL590" s="332"/>
      <c r="CM590" s="332"/>
      <c r="CN590" s="332"/>
      <c r="CO590" s="332"/>
      <c r="CP590" s="332"/>
      <c r="CQ590" s="332"/>
      <c r="CR590" s="332"/>
      <c r="CS590" s="332"/>
      <c r="CT590" s="332"/>
      <c r="CU590" s="332"/>
      <c r="CV590" s="332"/>
      <c r="CW590" s="332"/>
      <c r="CX590" s="332"/>
      <c r="CY590" s="332"/>
      <c r="CZ590" s="332"/>
      <c r="DA590" s="332"/>
      <c r="DB590" s="332"/>
      <c r="DC590" s="332"/>
      <c r="DD590" s="332"/>
      <c r="DE590" s="332"/>
      <c r="DF590" s="332"/>
      <c r="DG590" s="332"/>
      <c r="DH590" s="332"/>
      <c r="DI590" s="332"/>
      <c r="DJ590" s="332"/>
      <c r="DK590" s="332"/>
      <c r="DL590" s="332"/>
      <c r="DM590" s="332"/>
      <c r="DN590" s="332"/>
      <c r="DO590" s="332"/>
      <c r="DP590" s="332"/>
      <c r="DQ590" s="332"/>
      <c r="DR590" s="332"/>
      <c r="DS590" s="332"/>
      <c r="DT590" s="332"/>
      <c r="DU590" s="453"/>
      <c r="DV590" s="453"/>
      <c r="DW590" s="453"/>
      <c r="DX590" s="453"/>
      <c r="DY590" s="453"/>
      <c r="DZ590" s="453"/>
      <c r="EA590" s="453"/>
      <c r="EB590" s="453"/>
      <c r="EC590" s="453"/>
      <c r="ED590" s="453"/>
      <c r="EE590" s="453"/>
      <c r="EF590" s="453"/>
      <c r="EG590" s="453"/>
      <c r="EH590" s="453"/>
      <c r="EI590" s="453"/>
      <c r="EJ590" s="453"/>
      <c r="EK590" s="453"/>
      <c r="EL590" s="453"/>
      <c r="EM590" s="483">
        <f t="shared" si="224"/>
        <v>281</v>
      </c>
      <c r="EN590" s="485"/>
      <c r="EO590" s="804"/>
      <c r="EP590" s="805"/>
      <c r="EQ590" s="806"/>
      <c r="ER590" s="808"/>
      <c r="ES590" s="881">
        <f t="shared" si="225"/>
        <v>0</v>
      </c>
      <c r="ET590" s="882"/>
      <c r="EU590" s="883"/>
      <c r="EV590" s="884">
        <f t="shared" si="223"/>
        <v>0</v>
      </c>
      <c r="EW590" s="885"/>
      <c r="EX590" s="885"/>
      <c r="EY590" s="885"/>
      <c r="EZ590" s="885"/>
      <c r="FA590" s="885"/>
      <c r="FB590" s="885"/>
      <c r="FC590" s="885"/>
      <c r="FD590" s="886"/>
      <c r="FE590" s="878"/>
      <c r="FF590" s="878"/>
      <c r="FG590" s="878"/>
      <c r="FH590" s="878"/>
      <c r="FI590" s="878"/>
      <c r="FJ590" s="878"/>
      <c r="FK590" s="878"/>
      <c r="FL590" s="555"/>
      <c r="FM590" s="554"/>
      <c r="FN590" s="554"/>
      <c r="FO590" s="554"/>
      <c r="FP590" s="554"/>
      <c r="FQ590" s="554"/>
      <c r="FR590" s="554"/>
      <c r="FS590" s="554"/>
      <c r="FT590" s="554"/>
      <c r="FU590" s="554"/>
      <c r="FV590" s="554"/>
      <c r="FW590" s="554"/>
      <c r="FX590" s="554"/>
      <c r="FY590" s="554"/>
      <c r="FZ590" s="554"/>
      <c r="GA590" s="554"/>
      <c r="GB590" s="556"/>
      <c r="GC590" s="370"/>
      <c r="GD590" s="453"/>
      <c r="GE590" s="453"/>
      <c r="GF590" s="453"/>
      <c r="GG590" s="453"/>
      <c r="GH590" s="454"/>
      <c r="GI590" s="453"/>
      <c r="GJ590" s="453"/>
      <c r="GK590" s="453"/>
      <c r="GL590" s="453"/>
      <c r="GM590" s="453"/>
      <c r="GN590" s="453"/>
      <c r="GO590" s="453"/>
      <c r="GP590" s="453"/>
      <c r="GQ590" s="453"/>
      <c r="GR590" s="453"/>
      <c r="GS590" s="561"/>
      <c r="GT590" s="475"/>
      <c r="GU590" s="472"/>
      <c r="GV590" s="453"/>
      <c r="GW590" s="453"/>
      <c r="GX590" s="869"/>
      <c r="GY590" s="870"/>
      <c r="GZ590" s="867"/>
      <c r="HA590" s="868"/>
      <c r="HB590" s="473"/>
      <c r="HC590" s="869"/>
      <c r="HD590" s="870"/>
      <c r="HE590" s="867"/>
      <c r="HF590" s="868"/>
      <c r="HG590" s="473"/>
      <c r="HH590" s="867"/>
      <c r="HI590" s="868"/>
      <c r="HJ590" s="867"/>
      <c r="HK590" s="868"/>
      <c r="HL590" s="370"/>
      <c r="HM590" s="865"/>
      <c r="HN590" s="866"/>
      <c r="HO590" s="865"/>
      <c r="HP590" s="866"/>
      <c r="HQ590" s="865"/>
      <c r="HR590" s="866"/>
      <c r="HS590" s="867"/>
      <c r="HT590" s="868"/>
      <c r="HU590" s="489"/>
      <c r="HV590" s="865"/>
      <c r="HW590" s="866"/>
    </row>
    <row r="591" spans="25:231" ht="15" customHeight="1">
      <c r="Y591" s="332"/>
      <c r="Z591" s="332"/>
      <c r="AA591" s="332"/>
      <c r="AB591" s="332"/>
      <c r="AC591" s="332"/>
      <c r="AD591" s="332"/>
      <c r="AE591" s="332"/>
      <c r="AF591" s="332"/>
      <c r="AG591" s="332"/>
      <c r="AH591" s="332"/>
      <c r="AI591" s="332"/>
      <c r="AJ591" s="332"/>
      <c r="AK591" s="332"/>
      <c r="AL591" s="332"/>
      <c r="AM591" s="332"/>
      <c r="AN591" s="332"/>
      <c r="AO591" s="332"/>
      <c r="AP591" s="332"/>
      <c r="AQ591" s="332"/>
      <c r="AR591" s="332"/>
      <c r="AS591" s="332"/>
      <c r="AT591" s="332"/>
      <c r="AU591" s="332"/>
      <c r="AV591" s="332"/>
      <c r="AW591" s="332"/>
      <c r="AX591" s="332"/>
      <c r="AY591" s="332"/>
      <c r="AZ591" s="332"/>
      <c r="BA591" s="332"/>
      <c r="BB591" s="332"/>
      <c r="BC591" s="332"/>
      <c r="BD591" s="332"/>
      <c r="BE591" s="332"/>
      <c r="BF591" s="332"/>
      <c r="BG591" s="332"/>
      <c r="BH591" s="332"/>
      <c r="BI591" s="332"/>
      <c r="BJ591" s="332"/>
      <c r="BK591" s="332"/>
      <c r="BL591" s="332"/>
      <c r="BM591" s="332"/>
      <c r="BN591" s="332"/>
      <c r="BO591" s="332"/>
      <c r="BP591" s="332"/>
      <c r="BQ591" s="332"/>
      <c r="BR591" s="332"/>
      <c r="BS591" s="332"/>
      <c r="BT591" s="332"/>
      <c r="BU591" s="332"/>
      <c r="BV591" s="332"/>
      <c r="BW591" s="332"/>
      <c r="BX591" s="332"/>
      <c r="BY591" s="332"/>
      <c r="BZ591" s="332"/>
      <c r="CA591" s="332"/>
      <c r="CB591" s="332"/>
      <c r="CC591" s="332"/>
      <c r="CD591" s="332"/>
      <c r="CE591" s="332"/>
      <c r="CF591" s="332"/>
      <c r="CG591" s="332"/>
      <c r="CH591" s="332"/>
      <c r="CI591" s="332"/>
      <c r="CJ591" s="332"/>
      <c r="CK591" s="332"/>
      <c r="CL591" s="332"/>
      <c r="CM591" s="332"/>
      <c r="CN591" s="332"/>
      <c r="CO591" s="332"/>
      <c r="CP591" s="332"/>
      <c r="CQ591" s="332"/>
      <c r="CR591" s="332"/>
      <c r="CS591" s="332"/>
      <c r="CT591" s="332"/>
      <c r="CU591" s="332"/>
      <c r="CV591" s="332"/>
      <c r="CW591" s="332"/>
      <c r="CX591" s="332"/>
      <c r="CY591" s="332"/>
      <c r="CZ591" s="332"/>
      <c r="DA591" s="332"/>
      <c r="DB591" s="332"/>
      <c r="DC591" s="332"/>
      <c r="DD591" s="332"/>
      <c r="DE591" s="332"/>
      <c r="DF591" s="332"/>
      <c r="DG591" s="332"/>
      <c r="DH591" s="332"/>
      <c r="DI591" s="332"/>
      <c r="DJ591" s="332"/>
      <c r="DK591" s="332"/>
      <c r="DL591" s="332"/>
      <c r="DM591" s="332"/>
      <c r="DN591" s="332"/>
      <c r="DO591" s="332"/>
      <c r="DP591" s="332"/>
      <c r="DQ591" s="332"/>
      <c r="DR591" s="332"/>
      <c r="DS591" s="332"/>
      <c r="DT591" s="332"/>
      <c r="DU591" s="453"/>
      <c r="DV591" s="453"/>
      <c r="DW591" s="453"/>
      <c r="DX591" s="453"/>
      <c r="DY591" s="453"/>
      <c r="DZ591" s="453"/>
      <c r="EA591" s="453"/>
      <c r="EB591" s="453"/>
      <c r="EC591" s="453"/>
      <c r="ED591" s="453"/>
      <c r="EE591" s="453"/>
      <c r="EF591" s="453"/>
      <c r="EG591" s="453"/>
      <c r="EH591" s="453"/>
      <c r="EI591" s="453"/>
      <c r="EJ591" s="453"/>
      <c r="EK591" s="453"/>
      <c r="EL591" s="453"/>
      <c r="EM591" s="483">
        <f t="shared" si="224"/>
        <v>282</v>
      </c>
      <c r="EN591" s="485"/>
      <c r="EO591" s="804"/>
      <c r="EP591" s="805"/>
      <c r="EQ591" s="806"/>
      <c r="ER591" s="808"/>
      <c r="ES591" s="881">
        <f t="shared" si="225"/>
        <v>0</v>
      </c>
      <c r="ET591" s="882"/>
      <c r="EU591" s="883"/>
      <c r="EV591" s="884">
        <f t="shared" si="223"/>
        <v>0</v>
      </c>
      <c r="EW591" s="885"/>
      <c r="EX591" s="885"/>
      <c r="EY591" s="885"/>
      <c r="EZ591" s="885"/>
      <c r="FA591" s="885"/>
      <c r="FB591" s="885"/>
      <c r="FC591" s="885"/>
      <c r="FD591" s="886"/>
      <c r="FE591" s="878"/>
      <c r="FF591" s="878"/>
      <c r="FG591" s="878"/>
      <c r="FH591" s="878"/>
      <c r="FI591" s="878"/>
      <c r="FJ591" s="878"/>
      <c r="FK591" s="878"/>
      <c r="FL591" s="555"/>
      <c r="FM591" s="554"/>
      <c r="FN591" s="554"/>
      <c r="FO591" s="554"/>
      <c r="FP591" s="554"/>
      <c r="FQ591" s="554"/>
      <c r="FR591" s="554"/>
      <c r="FS591" s="554"/>
      <c r="FT591" s="554"/>
      <c r="FU591" s="554"/>
      <c r="FV591" s="554"/>
      <c r="FW591" s="554"/>
      <c r="FX591" s="554"/>
      <c r="FY591" s="554"/>
      <c r="FZ591" s="554"/>
      <c r="GA591" s="554"/>
      <c r="GB591" s="556"/>
      <c r="GC591" s="370"/>
      <c r="GD591" s="453"/>
      <c r="GE591" s="453"/>
      <c r="GF591" s="453"/>
      <c r="GG591" s="453"/>
      <c r="GH591" s="454"/>
      <c r="GI591" s="453"/>
      <c r="GJ591" s="453"/>
      <c r="GK591" s="453"/>
      <c r="GL591" s="453"/>
      <c r="GM591" s="453"/>
      <c r="GN591" s="453"/>
      <c r="GO591" s="453"/>
      <c r="GP591" s="453"/>
      <c r="GQ591" s="453"/>
      <c r="GR591" s="453"/>
      <c r="GS591" s="561"/>
      <c r="GT591" s="475"/>
      <c r="GU591" s="472"/>
      <c r="GV591" s="453"/>
      <c r="GW591" s="453"/>
      <c r="GX591" s="869"/>
      <c r="GY591" s="870"/>
      <c r="GZ591" s="867"/>
      <c r="HA591" s="868"/>
      <c r="HB591" s="473"/>
      <c r="HC591" s="869"/>
      <c r="HD591" s="870"/>
      <c r="HE591" s="867"/>
      <c r="HF591" s="868"/>
      <c r="HG591" s="473"/>
      <c r="HH591" s="867"/>
      <c r="HI591" s="868"/>
      <c r="HJ591" s="867"/>
      <c r="HK591" s="868"/>
      <c r="HL591" s="370"/>
      <c r="HM591" s="865"/>
      <c r="HN591" s="866"/>
      <c r="HO591" s="865"/>
      <c r="HP591" s="866"/>
      <c r="HQ591" s="865"/>
      <c r="HR591" s="866"/>
      <c r="HS591" s="867"/>
      <c r="HT591" s="868"/>
      <c r="HU591" s="489"/>
      <c r="HV591" s="865"/>
      <c r="HW591" s="866"/>
    </row>
    <row r="592" spans="25:231" ht="15" customHeight="1">
      <c r="Y592" s="332"/>
      <c r="Z592" s="332"/>
      <c r="AA592" s="332"/>
      <c r="AB592" s="332"/>
      <c r="AC592" s="332"/>
      <c r="AD592" s="332"/>
      <c r="AE592" s="332"/>
      <c r="AF592" s="332"/>
      <c r="AG592" s="332"/>
      <c r="AH592" s="332"/>
      <c r="AI592" s="332"/>
      <c r="AJ592" s="332"/>
      <c r="AK592" s="332"/>
      <c r="AL592" s="332"/>
      <c r="AM592" s="332"/>
      <c r="AN592" s="332"/>
      <c r="AO592" s="332"/>
      <c r="AP592" s="332"/>
      <c r="AQ592" s="332"/>
      <c r="AR592" s="332"/>
      <c r="AS592" s="332"/>
      <c r="AT592" s="332"/>
      <c r="AU592" s="332"/>
      <c r="AV592" s="332"/>
      <c r="AW592" s="332"/>
      <c r="AX592" s="332"/>
      <c r="AY592" s="332"/>
      <c r="AZ592" s="332"/>
      <c r="BA592" s="332"/>
      <c r="BB592" s="332"/>
      <c r="BC592" s="332"/>
      <c r="BD592" s="332"/>
      <c r="BE592" s="332"/>
      <c r="BF592" s="332"/>
      <c r="BG592" s="332"/>
      <c r="BH592" s="332"/>
      <c r="BI592" s="332"/>
      <c r="BJ592" s="332"/>
      <c r="BK592" s="332"/>
      <c r="BL592" s="332"/>
      <c r="BM592" s="332"/>
      <c r="BN592" s="332"/>
      <c r="BO592" s="332"/>
      <c r="BP592" s="332"/>
      <c r="BQ592" s="332"/>
      <c r="BR592" s="332"/>
      <c r="BS592" s="332"/>
      <c r="BT592" s="332"/>
      <c r="BU592" s="332"/>
      <c r="BV592" s="332"/>
      <c r="BW592" s="332"/>
      <c r="BX592" s="332"/>
      <c r="BY592" s="332"/>
      <c r="BZ592" s="332"/>
      <c r="CA592" s="332"/>
      <c r="CB592" s="332"/>
      <c r="CC592" s="332"/>
      <c r="CD592" s="332"/>
      <c r="CE592" s="332"/>
      <c r="CF592" s="332"/>
      <c r="CG592" s="332"/>
      <c r="CH592" s="332"/>
      <c r="CI592" s="332"/>
      <c r="CJ592" s="332"/>
      <c r="CK592" s="332"/>
      <c r="CL592" s="332"/>
      <c r="CM592" s="332"/>
      <c r="CN592" s="332"/>
      <c r="CO592" s="332"/>
      <c r="CP592" s="332"/>
      <c r="CQ592" s="332"/>
      <c r="CR592" s="332"/>
      <c r="CS592" s="332"/>
      <c r="CT592" s="332"/>
      <c r="CU592" s="332"/>
      <c r="CV592" s="332"/>
      <c r="CW592" s="332"/>
      <c r="CX592" s="332"/>
      <c r="CY592" s="332"/>
      <c r="CZ592" s="332"/>
      <c r="DA592" s="332"/>
      <c r="DB592" s="332"/>
      <c r="DC592" s="332"/>
      <c r="DD592" s="332"/>
      <c r="DE592" s="332"/>
      <c r="DF592" s="332"/>
      <c r="DG592" s="332"/>
      <c r="DH592" s="332"/>
      <c r="DI592" s="332"/>
      <c r="DJ592" s="332"/>
      <c r="DK592" s="332"/>
      <c r="DL592" s="332"/>
      <c r="DM592" s="332"/>
      <c r="DN592" s="332"/>
      <c r="DO592" s="332"/>
      <c r="DP592" s="332"/>
      <c r="DQ592" s="332"/>
      <c r="DR592" s="332"/>
      <c r="DS592" s="332"/>
      <c r="DT592" s="332"/>
      <c r="DU592" s="453"/>
      <c r="DV592" s="453"/>
      <c r="DW592" s="453"/>
      <c r="DX592" s="453"/>
      <c r="DY592" s="453"/>
      <c r="DZ592" s="453"/>
      <c r="EA592" s="453"/>
      <c r="EB592" s="453"/>
      <c r="EC592" s="453"/>
      <c r="ED592" s="453"/>
      <c r="EE592" s="453"/>
      <c r="EF592" s="453"/>
      <c r="EG592" s="453"/>
      <c r="EH592" s="453"/>
      <c r="EI592" s="453"/>
      <c r="EJ592" s="453"/>
      <c r="EK592" s="453"/>
      <c r="EL592" s="453"/>
      <c r="EM592" s="483">
        <f t="shared" si="224"/>
        <v>283</v>
      </c>
      <c r="EN592" s="485"/>
      <c r="EO592" s="804"/>
      <c r="EP592" s="805"/>
      <c r="EQ592" s="820"/>
      <c r="ER592" s="808"/>
      <c r="ES592" s="881">
        <f t="shared" si="225"/>
        <v>0</v>
      </c>
      <c r="ET592" s="882"/>
      <c r="EU592" s="883"/>
      <c r="EV592" s="884">
        <f t="shared" si="223"/>
        <v>0</v>
      </c>
      <c r="EW592" s="885"/>
      <c r="EX592" s="885"/>
      <c r="EY592" s="885"/>
      <c r="EZ592" s="885"/>
      <c r="FA592" s="885"/>
      <c r="FB592" s="885"/>
      <c r="FC592" s="885"/>
      <c r="FD592" s="886"/>
      <c r="FE592" s="878"/>
      <c r="FF592" s="878"/>
      <c r="FG592" s="878"/>
      <c r="FH592" s="878"/>
      <c r="FI592" s="878"/>
      <c r="FJ592" s="878"/>
      <c r="FK592" s="878"/>
      <c r="FL592" s="555"/>
      <c r="FM592" s="554"/>
      <c r="FN592" s="554"/>
      <c r="FO592" s="554"/>
      <c r="FP592" s="554"/>
      <c r="FQ592" s="554"/>
      <c r="FR592" s="554"/>
      <c r="FS592" s="554"/>
      <c r="FT592" s="554"/>
      <c r="FU592" s="554"/>
      <c r="FV592" s="554"/>
      <c r="FW592" s="554"/>
      <c r="FX592" s="554"/>
      <c r="FY592" s="554"/>
      <c r="FZ592" s="554"/>
      <c r="GA592" s="554"/>
      <c r="GB592" s="556"/>
      <c r="GC592" s="370"/>
      <c r="GD592" s="453"/>
      <c r="GE592" s="453"/>
      <c r="GF592" s="453"/>
      <c r="GG592" s="453"/>
      <c r="GH592" s="454"/>
      <c r="GI592" s="453"/>
      <c r="GJ592" s="453"/>
      <c r="GK592" s="453"/>
      <c r="GL592" s="453"/>
      <c r="GM592" s="453"/>
      <c r="GN592" s="453"/>
      <c r="GO592" s="453"/>
      <c r="GP592" s="453"/>
      <c r="GQ592" s="453"/>
      <c r="GR592" s="453"/>
      <c r="GS592" s="561"/>
      <c r="GT592" s="475"/>
      <c r="GU592" s="472"/>
      <c r="GV592" s="453"/>
      <c r="GW592" s="453"/>
      <c r="GX592" s="869"/>
      <c r="GY592" s="870"/>
      <c r="GZ592" s="867"/>
      <c r="HA592" s="868"/>
      <c r="HB592" s="473"/>
      <c r="HC592" s="869"/>
      <c r="HD592" s="870"/>
      <c r="HE592" s="867"/>
      <c r="HF592" s="868"/>
      <c r="HG592" s="473"/>
      <c r="HH592" s="867"/>
      <c r="HI592" s="868"/>
      <c r="HJ592" s="867"/>
      <c r="HK592" s="868"/>
      <c r="HL592" s="370"/>
      <c r="HM592" s="865"/>
      <c r="HN592" s="866"/>
      <c r="HO592" s="865"/>
      <c r="HP592" s="866"/>
      <c r="HQ592" s="865"/>
      <c r="HR592" s="866"/>
      <c r="HS592" s="867"/>
      <c r="HT592" s="868"/>
      <c r="HU592" s="489"/>
      <c r="HV592" s="865"/>
      <c r="HW592" s="866"/>
    </row>
    <row r="593" spans="25:231" ht="15" customHeight="1">
      <c r="Y593" s="332"/>
      <c r="Z593" s="332"/>
      <c r="AA593" s="332"/>
      <c r="AB593" s="332"/>
      <c r="AC593" s="332"/>
      <c r="AD593" s="332"/>
      <c r="AE593" s="332"/>
      <c r="AF593" s="332"/>
      <c r="AG593" s="332"/>
      <c r="AH593" s="332"/>
      <c r="AI593" s="332"/>
      <c r="AJ593" s="332"/>
      <c r="AK593" s="332"/>
      <c r="AL593" s="332"/>
      <c r="AM593" s="332"/>
      <c r="AN593" s="332"/>
      <c r="AO593" s="332"/>
      <c r="AP593" s="332"/>
      <c r="AQ593" s="332"/>
      <c r="AR593" s="332"/>
      <c r="AS593" s="332"/>
      <c r="AT593" s="332"/>
      <c r="AU593" s="332"/>
      <c r="AV593" s="332"/>
      <c r="AW593" s="332"/>
      <c r="AX593" s="332"/>
      <c r="AY593" s="332"/>
      <c r="AZ593" s="332"/>
      <c r="BA593" s="332"/>
      <c r="BB593" s="332"/>
      <c r="BC593" s="332"/>
      <c r="BD593" s="332"/>
      <c r="BE593" s="332"/>
      <c r="BF593" s="332"/>
      <c r="BG593" s="332"/>
      <c r="BH593" s="332"/>
      <c r="BI593" s="332"/>
      <c r="BJ593" s="332"/>
      <c r="BK593" s="332"/>
      <c r="BL593" s="332"/>
      <c r="BM593" s="332"/>
      <c r="BN593" s="332"/>
      <c r="BO593" s="332"/>
      <c r="BP593" s="332"/>
      <c r="BQ593" s="332"/>
      <c r="BR593" s="332"/>
      <c r="BS593" s="332"/>
      <c r="BT593" s="332"/>
      <c r="BU593" s="332"/>
      <c r="BV593" s="332"/>
      <c r="BW593" s="332"/>
      <c r="BX593" s="332"/>
      <c r="BY593" s="332"/>
      <c r="BZ593" s="332"/>
      <c r="CA593" s="332"/>
      <c r="CB593" s="332"/>
      <c r="CC593" s="332"/>
      <c r="CD593" s="332"/>
      <c r="CE593" s="332"/>
      <c r="CF593" s="332"/>
      <c r="CG593" s="332"/>
      <c r="CH593" s="332"/>
      <c r="CI593" s="332"/>
      <c r="CJ593" s="332"/>
      <c r="CK593" s="332"/>
      <c r="CL593" s="332"/>
      <c r="CM593" s="332"/>
      <c r="CN593" s="332"/>
      <c r="CO593" s="332"/>
      <c r="CP593" s="332"/>
      <c r="CQ593" s="332"/>
      <c r="CR593" s="332"/>
      <c r="CS593" s="332"/>
      <c r="CT593" s="332"/>
      <c r="CU593" s="332"/>
      <c r="CV593" s="332"/>
      <c r="CW593" s="332"/>
      <c r="CX593" s="332"/>
      <c r="CY593" s="332"/>
      <c r="CZ593" s="332"/>
      <c r="DA593" s="332"/>
      <c r="DB593" s="332"/>
      <c r="DC593" s="332"/>
      <c r="DD593" s="332"/>
      <c r="DE593" s="332"/>
      <c r="DF593" s="332"/>
      <c r="DG593" s="332"/>
      <c r="DH593" s="332"/>
      <c r="DI593" s="332"/>
      <c r="DJ593" s="332"/>
      <c r="DK593" s="332"/>
      <c r="DL593" s="332"/>
      <c r="DM593" s="332"/>
      <c r="DN593" s="332"/>
      <c r="DO593" s="332"/>
      <c r="DP593" s="332"/>
      <c r="DQ593" s="332"/>
      <c r="DR593" s="332"/>
      <c r="DS593" s="332"/>
      <c r="DT593" s="332"/>
      <c r="DU593" s="453"/>
      <c r="DV593" s="453"/>
      <c r="DW593" s="453"/>
      <c r="DX593" s="453"/>
      <c r="DY593" s="453"/>
      <c r="DZ593" s="453"/>
      <c r="EA593" s="453"/>
      <c r="EB593" s="453"/>
      <c r="EC593" s="453"/>
      <c r="ED593" s="453"/>
      <c r="EE593" s="453"/>
      <c r="EF593" s="453"/>
      <c r="EG593" s="453"/>
      <c r="EH593" s="453"/>
      <c r="EI593" s="453"/>
      <c r="EJ593" s="453"/>
      <c r="EK593" s="453"/>
      <c r="EL593" s="453"/>
      <c r="EM593" s="483">
        <f t="shared" si="224"/>
        <v>284</v>
      </c>
      <c r="EN593" s="485"/>
      <c r="EO593" s="804"/>
      <c r="EP593" s="805"/>
      <c r="EQ593" s="806"/>
      <c r="ER593" s="808"/>
      <c r="ES593" s="881">
        <f t="shared" si="225"/>
        <v>0</v>
      </c>
      <c r="ET593" s="882"/>
      <c r="EU593" s="883"/>
      <c r="EV593" s="884">
        <f t="shared" si="223"/>
        <v>0</v>
      </c>
      <c r="EW593" s="885"/>
      <c r="EX593" s="885"/>
      <c r="EY593" s="885"/>
      <c r="EZ593" s="885"/>
      <c r="FA593" s="885"/>
      <c r="FB593" s="885"/>
      <c r="FC593" s="885"/>
      <c r="FD593" s="886"/>
      <c r="FE593" s="878"/>
      <c r="FF593" s="878"/>
      <c r="FG593" s="878"/>
      <c r="FH593" s="878"/>
      <c r="FI593" s="878"/>
      <c r="FJ593" s="878"/>
      <c r="FK593" s="878"/>
      <c r="FL593" s="555"/>
      <c r="FM593" s="554"/>
      <c r="FN593" s="554"/>
      <c r="FO593" s="554"/>
      <c r="FP593" s="554"/>
      <c r="FQ593" s="554"/>
      <c r="FR593" s="554"/>
      <c r="FS593" s="554"/>
      <c r="FT593" s="554"/>
      <c r="FU593" s="554"/>
      <c r="FV593" s="554"/>
      <c r="FW593" s="554"/>
      <c r="FX593" s="554"/>
      <c r="FY593" s="554"/>
      <c r="FZ593" s="554"/>
      <c r="GA593" s="554"/>
      <c r="GB593" s="556"/>
      <c r="GC593" s="370"/>
      <c r="GD593" s="453"/>
      <c r="GE593" s="453"/>
      <c r="GF593" s="453"/>
      <c r="GG593" s="453"/>
      <c r="GH593" s="454"/>
      <c r="GI593" s="453"/>
      <c r="GJ593" s="453"/>
      <c r="GK593" s="453"/>
      <c r="GL593" s="453"/>
      <c r="GM593" s="453"/>
      <c r="GN593" s="453"/>
      <c r="GO593" s="453"/>
      <c r="GP593" s="453"/>
      <c r="GQ593" s="453"/>
      <c r="GR593" s="453"/>
      <c r="GS593" s="561"/>
      <c r="GT593" s="475"/>
      <c r="GU593" s="472"/>
      <c r="GV593" s="453"/>
      <c r="GW593" s="453"/>
      <c r="GX593" s="869"/>
      <c r="GY593" s="870"/>
      <c r="GZ593" s="867"/>
      <c r="HA593" s="868"/>
      <c r="HB593" s="473"/>
      <c r="HC593" s="869"/>
      <c r="HD593" s="870"/>
      <c r="HE593" s="867"/>
      <c r="HF593" s="868"/>
      <c r="HG593" s="473"/>
      <c r="HH593" s="867"/>
      <c r="HI593" s="868"/>
      <c r="HJ593" s="867"/>
      <c r="HK593" s="868"/>
      <c r="HL593" s="370"/>
      <c r="HM593" s="865"/>
      <c r="HN593" s="866"/>
      <c r="HO593" s="865"/>
      <c r="HP593" s="866"/>
      <c r="HQ593" s="865"/>
      <c r="HR593" s="866"/>
      <c r="HS593" s="867"/>
      <c r="HT593" s="868"/>
      <c r="HU593" s="489"/>
      <c r="HV593" s="865"/>
      <c r="HW593" s="866"/>
    </row>
    <row r="594" spans="25:231" ht="15" customHeight="1">
      <c r="Y594" s="332"/>
      <c r="Z594" s="332"/>
      <c r="AA594" s="332"/>
      <c r="AB594" s="332"/>
      <c r="AC594" s="332"/>
      <c r="AD594" s="332"/>
      <c r="AE594" s="332"/>
      <c r="AF594" s="332"/>
      <c r="AG594" s="332"/>
      <c r="AH594" s="332"/>
      <c r="AI594" s="332"/>
      <c r="AJ594" s="332"/>
      <c r="AK594" s="332"/>
      <c r="AL594" s="332"/>
      <c r="AM594" s="332"/>
      <c r="AN594" s="332"/>
      <c r="AO594" s="332"/>
      <c r="AP594" s="332"/>
      <c r="AQ594" s="332"/>
      <c r="AR594" s="332"/>
      <c r="AS594" s="332"/>
      <c r="AT594" s="332"/>
      <c r="AU594" s="332"/>
      <c r="AV594" s="332"/>
      <c r="AW594" s="332"/>
      <c r="AX594" s="332"/>
      <c r="AY594" s="332"/>
      <c r="AZ594" s="332"/>
      <c r="BA594" s="332"/>
      <c r="BB594" s="332"/>
      <c r="BC594" s="332"/>
      <c r="BD594" s="332"/>
      <c r="BE594" s="332"/>
      <c r="BF594" s="332"/>
      <c r="BG594" s="332"/>
      <c r="BH594" s="332"/>
      <c r="BI594" s="332"/>
      <c r="BJ594" s="332"/>
      <c r="BK594" s="332"/>
      <c r="BL594" s="332"/>
      <c r="BM594" s="332"/>
      <c r="BN594" s="332"/>
      <c r="BO594" s="332"/>
      <c r="BP594" s="332"/>
      <c r="BQ594" s="332"/>
      <c r="BR594" s="332"/>
      <c r="BS594" s="332"/>
      <c r="BT594" s="332"/>
      <c r="BU594" s="332"/>
      <c r="BV594" s="332"/>
      <c r="BW594" s="332"/>
      <c r="BX594" s="332"/>
      <c r="BY594" s="332"/>
      <c r="BZ594" s="332"/>
      <c r="CA594" s="332"/>
      <c r="CB594" s="332"/>
      <c r="CC594" s="332"/>
      <c r="CD594" s="332"/>
      <c r="CE594" s="332"/>
      <c r="CF594" s="332"/>
      <c r="CG594" s="332"/>
      <c r="CH594" s="332"/>
      <c r="CI594" s="332"/>
      <c r="CJ594" s="332"/>
      <c r="CK594" s="332"/>
      <c r="CL594" s="332"/>
      <c r="CM594" s="332"/>
      <c r="CN594" s="332"/>
      <c r="CO594" s="332"/>
      <c r="CP594" s="332"/>
      <c r="CQ594" s="332"/>
      <c r="CR594" s="332"/>
      <c r="CS594" s="332"/>
      <c r="CT594" s="332"/>
      <c r="CU594" s="332"/>
      <c r="CV594" s="332"/>
      <c r="CW594" s="332"/>
      <c r="CX594" s="332"/>
      <c r="CY594" s="332"/>
      <c r="CZ594" s="332"/>
      <c r="DA594" s="332"/>
      <c r="DB594" s="332"/>
      <c r="DC594" s="332"/>
      <c r="DD594" s="332"/>
      <c r="DE594" s="332"/>
      <c r="DF594" s="332"/>
      <c r="DG594" s="332"/>
      <c r="DH594" s="332"/>
      <c r="DI594" s="332"/>
      <c r="DJ594" s="332"/>
      <c r="DK594" s="332"/>
      <c r="DL594" s="332"/>
      <c r="DM594" s="332"/>
      <c r="DN594" s="332"/>
      <c r="DO594" s="332"/>
      <c r="DP594" s="332"/>
      <c r="DQ594" s="332"/>
      <c r="DR594" s="332"/>
      <c r="DS594" s="332"/>
      <c r="DT594" s="332"/>
      <c r="DU594" s="453"/>
      <c r="DV594" s="453"/>
      <c r="DW594" s="453"/>
      <c r="DX594" s="453"/>
      <c r="DY594" s="453"/>
      <c r="DZ594" s="453"/>
      <c r="EA594" s="453"/>
      <c r="EB594" s="453"/>
      <c r="EC594" s="453"/>
      <c r="ED594" s="453"/>
      <c r="EE594" s="453"/>
      <c r="EF594" s="453"/>
      <c r="EG594" s="453"/>
      <c r="EH594" s="453"/>
      <c r="EI594" s="453"/>
      <c r="EJ594" s="453"/>
      <c r="EK594" s="453"/>
      <c r="EL594" s="453"/>
      <c r="EM594" s="483">
        <f t="shared" si="224"/>
        <v>285</v>
      </c>
      <c r="EN594" s="485"/>
      <c r="EO594" s="804"/>
      <c r="EP594" s="805"/>
      <c r="EQ594" s="820"/>
      <c r="ER594" s="808"/>
      <c r="ES594" s="881">
        <f t="shared" si="225"/>
        <v>0</v>
      </c>
      <c r="ET594" s="882"/>
      <c r="EU594" s="883"/>
      <c r="EV594" s="884">
        <f t="shared" si="223"/>
        <v>0</v>
      </c>
      <c r="EW594" s="885"/>
      <c r="EX594" s="885"/>
      <c r="EY594" s="885"/>
      <c r="EZ594" s="885"/>
      <c r="FA594" s="885"/>
      <c r="FB594" s="885"/>
      <c r="FC594" s="885"/>
      <c r="FD594" s="886"/>
      <c r="FE594" s="878"/>
      <c r="FF594" s="878"/>
      <c r="FG594" s="878"/>
      <c r="FH594" s="878"/>
      <c r="FI594" s="878"/>
      <c r="FJ594" s="878"/>
      <c r="FK594" s="878"/>
      <c r="FL594" s="555"/>
      <c r="FM594" s="554"/>
      <c r="FN594" s="554"/>
      <c r="FO594" s="554"/>
      <c r="FP594" s="554"/>
      <c r="FQ594" s="554"/>
      <c r="FR594" s="554"/>
      <c r="FS594" s="554"/>
      <c r="FT594" s="554"/>
      <c r="FU594" s="554"/>
      <c r="FV594" s="554"/>
      <c r="FW594" s="554"/>
      <c r="FX594" s="554"/>
      <c r="FY594" s="554"/>
      <c r="FZ594" s="554"/>
      <c r="GA594" s="554"/>
      <c r="GB594" s="556"/>
      <c r="GC594" s="370"/>
      <c r="GD594" s="453"/>
      <c r="GE594" s="453"/>
      <c r="GF594" s="453"/>
      <c r="GG594" s="453"/>
      <c r="GH594" s="454"/>
      <c r="GI594" s="453"/>
      <c r="GJ594" s="453"/>
      <c r="GK594" s="453"/>
      <c r="GL594" s="453"/>
      <c r="GM594" s="453"/>
      <c r="GN594" s="453"/>
      <c r="GO594" s="453"/>
      <c r="GP594" s="453"/>
      <c r="GQ594" s="453"/>
      <c r="GR594" s="453"/>
      <c r="GS594" s="561"/>
      <c r="GT594" s="475"/>
      <c r="GU594" s="472"/>
      <c r="GV594" s="453"/>
      <c r="GW594" s="453"/>
      <c r="GX594" s="869"/>
      <c r="GY594" s="870"/>
      <c r="GZ594" s="867"/>
      <c r="HA594" s="868"/>
      <c r="HB594" s="473"/>
      <c r="HC594" s="869"/>
      <c r="HD594" s="870"/>
      <c r="HE594" s="867"/>
      <c r="HF594" s="868"/>
      <c r="HG594" s="473"/>
      <c r="HH594" s="867"/>
      <c r="HI594" s="868"/>
      <c r="HJ594" s="867"/>
      <c r="HK594" s="868"/>
      <c r="HL594" s="370"/>
      <c r="HM594" s="865"/>
      <c r="HN594" s="866"/>
      <c r="HO594" s="865"/>
      <c r="HP594" s="866"/>
      <c r="HQ594" s="865"/>
      <c r="HR594" s="866"/>
      <c r="HS594" s="867"/>
      <c r="HT594" s="868"/>
      <c r="HU594" s="489"/>
      <c r="HV594" s="865"/>
      <c r="HW594" s="866"/>
    </row>
    <row r="595" spans="25:231" ht="15" customHeight="1">
      <c r="Y595" s="332"/>
      <c r="Z595" s="332"/>
      <c r="AA595" s="332"/>
      <c r="AB595" s="332"/>
      <c r="AC595" s="332"/>
      <c r="AD595" s="332"/>
      <c r="AE595" s="332"/>
      <c r="AF595" s="332"/>
      <c r="AG595" s="332"/>
      <c r="AH595" s="332"/>
      <c r="AI595" s="332"/>
      <c r="AJ595" s="332"/>
      <c r="AK595" s="332"/>
      <c r="AL595" s="332"/>
      <c r="AM595" s="332"/>
      <c r="AN595" s="332"/>
      <c r="AO595" s="332"/>
      <c r="AP595" s="332"/>
      <c r="AQ595" s="332"/>
      <c r="AR595" s="332"/>
      <c r="AS595" s="332"/>
      <c r="AT595" s="332"/>
      <c r="AU595" s="332"/>
      <c r="AV595" s="332"/>
      <c r="AW595" s="332"/>
      <c r="AX595" s="332"/>
      <c r="AY595" s="332"/>
      <c r="AZ595" s="332"/>
      <c r="BA595" s="332"/>
      <c r="BB595" s="332"/>
      <c r="BC595" s="332"/>
      <c r="BD595" s="332"/>
      <c r="BE595" s="332"/>
      <c r="BF595" s="332"/>
      <c r="BG595" s="332"/>
      <c r="BH595" s="332"/>
      <c r="BI595" s="332"/>
      <c r="BJ595" s="332"/>
      <c r="BK595" s="332"/>
      <c r="BL595" s="332"/>
      <c r="BM595" s="332"/>
      <c r="BN595" s="332"/>
      <c r="BO595" s="332"/>
      <c r="BP595" s="332"/>
      <c r="BQ595" s="332"/>
      <c r="BR595" s="332"/>
      <c r="BS595" s="332"/>
      <c r="BT595" s="332"/>
      <c r="BU595" s="332"/>
      <c r="BV595" s="332"/>
      <c r="BW595" s="332"/>
      <c r="BX595" s="332"/>
      <c r="BY595" s="332"/>
      <c r="BZ595" s="332"/>
      <c r="CA595" s="332"/>
      <c r="CB595" s="332"/>
      <c r="CC595" s="332"/>
      <c r="CD595" s="332"/>
      <c r="CE595" s="332"/>
      <c r="CF595" s="332"/>
      <c r="CG595" s="332"/>
      <c r="CH595" s="332"/>
      <c r="CI595" s="332"/>
      <c r="CJ595" s="332"/>
      <c r="CK595" s="332"/>
      <c r="CL595" s="332"/>
      <c r="CM595" s="332"/>
      <c r="CN595" s="332"/>
      <c r="CO595" s="332"/>
      <c r="CP595" s="332"/>
      <c r="CQ595" s="332"/>
      <c r="CR595" s="332"/>
      <c r="CS595" s="332"/>
      <c r="CT595" s="332"/>
      <c r="CU595" s="332"/>
      <c r="CV595" s="332"/>
      <c r="CW595" s="332"/>
      <c r="CX595" s="332"/>
      <c r="CY595" s="332"/>
      <c r="CZ595" s="332"/>
      <c r="DA595" s="332"/>
      <c r="DB595" s="332"/>
      <c r="DC595" s="332"/>
      <c r="DD595" s="332"/>
      <c r="DE595" s="332"/>
      <c r="DF595" s="332"/>
      <c r="DG595" s="332"/>
      <c r="DH595" s="332"/>
      <c r="DI595" s="332"/>
      <c r="DJ595" s="332"/>
      <c r="DK595" s="332"/>
      <c r="DL595" s="332"/>
      <c r="DM595" s="332"/>
      <c r="DN595" s="332"/>
      <c r="DO595" s="332"/>
      <c r="DP595" s="332"/>
      <c r="DQ595" s="332"/>
      <c r="DR595" s="332"/>
      <c r="DS595" s="332"/>
      <c r="DT595" s="332"/>
      <c r="DU595" s="453"/>
      <c r="DV595" s="453"/>
      <c r="DW595" s="453"/>
      <c r="DX595" s="453"/>
      <c r="DY595" s="453"/>
      <c r="DZ595" s="453"/>
      <c r="EA595" s="453"/>
      <c r="EB595" s="453"/>
      <c r="EC595" s="453"/>
      <c r="ED595" s="453"/>
      <c r="EE595" s="453"/>
      <c r="EF595" s="453"/>
      <c r="EG595" s="453"/>
      <c r="EH595" s="453"/>
      <c r="EI595" s="453"/>
      <c r="EJ595" s="453"/>
      <c r="EK595" s="453"/>
      <c r="EL595" s="453"/>
      <c r="EM595" s="483">
        <f t="shared" si="224"/>
        <v>286</v>
      </c>
      <c r="EN595" s="485"/>
      <c r="EO595" s="804"/>
      <c r="EP595" s="805"/>
      <c r="EQ595" s="806"/>
      <c r="ER595" s="808"/>
      <c r="ES595" s="881">
        <f t="shared" si="225"/>
        <v>0</v>
      </c>
      <c r="ET595" s="882"/>
      <c r="EU595" s="883"/>
      <c r="EV595" s="884">
        <f t="shared" si="223"/>
        <v>0</v>
      </c>
      <c r="EW595" s="885"/>
      <c r="EX595" s="885"/>
      <c r="EY595" s="885"/>
      <c r="EZ595" s="885"/>
      <c r="FA595" s="885"/>
      <c r="FB595" s="885"/>
      <c r="FC595" s="885"/>
      <c r="FD595" s="886"/>
      <c r="FE595" s="878"/>
      <c r="FF595" s="878"/>
      <c r="FG595" s="878"/>
      <c r="FH595" s="878"/>
      <c r="FI595" s="878"/>
      <c r="FJ595" s="878"/>
      <c r="FK595" s="878"/>
      <c r="FL595" s="555"/>
      <c r="FM595" s="554"/>
      <c r="FN595" s="554"/>
      <c r="FO595" s="554"/>
      <c r="FP595" s="554"/>
      <c r="FQ595" s="554"/>
      <c r="FR595" s="554"/>
      <c r="FS595" s="554"/>
      <c r="FT595" s="554"/>
      <c r="FU595" s="554"/>
      <c r="FV595" s="554"/>
      <c r="FW595" s="554"/>
      <c r="FX595" s="554"/>
      <c r="FY595" s="554"/>
      <c r="FZ595" s="554"/>
      <c r="GA595" s="554"/>
      <c r="GB595" s="556"/>
      <c r="GC595" s="370"/>
      <c r="GD595" s="453"/>
      <c r="GE595" s="453"/>
      <c r="GF595" s="453"/>
      <c r="GG595" s="453"/>
      <c r="GH595" s="454"/>
      <c r="GI595" s="453"/>
      <c r="GJ595" s="453"/>
      <c r="GK595" s="453"/>
      <c r="GL595" s="453"/>
      <c r="GM595" s="453"/>
      <c r="GN595" s="453"/>
      <c r="GO595" s="453"/>
      <c r="GP595" s="453"/>
      <c r="GQ595" s="453"/>
      <c r="GR595" s="453"/>
      <c r="GS595" s="561"/>
      <c r="GT595" s="475"/>
      <c r="GU595" s="472"/>
      <c r="GV595" s="453"/>
      <c r="GW595" s="453"/>
      <c r="GX595" s="869"/>
      <c r="GY595" s="870"/>
      <c r="GZ595" s="867"/>
      <c r="HA595" s="868"/>
      <c r="HB595" s="473"/>
      <c r="HC595" s="869"/>
      <c r="HD595" s="870"/>
      <c r="HE595" s="867"/>
      <c r="HF595" s="868"/>
      <c r="HG595" s="473"/>
      <c r="HH595" s="867"/>
      <c r="HI595" s="868"/>
      <c r="HJ595" s="867"/>
      <c r="HK595" s="868"/>
      <c r="HL595" s="370"/>
      <c r="HM595" s="865"/>
      <c r="HN595" s="866"/>
      <c r="HO595" s="865"/>
      <c r="HP595" s="866"/>
      <c r="HQ595" s="865"/>
      <c r="HR595" s="866"/>
      <c r="HS595" s="867"/>
      <c r="HT595" s="868"/>
      <c r="HU595" s="489"/>
      <c r="HV595" s="865"/>
      <c r="HW595" s="866"/>
    </row>
    <row r="596" spans="25:231" ht="15" customHeight="1">
      <c r="Y596" s="332"/>
      <c r="Z596" s="332"/>
      <c r="AA596" s="332"/>
      <c r="AB596" s="332"/>
      <c r="AC596" s="332"/>
      <c r="AD596" s="332"/>
      <c r="AE596" s="332"/>
      <c r="AF596" s="332"/>
      <c r="AG596" s="332"/>
      <c r="AH596" s="332"/>
      <c r="AI596" s="332"/>
      <c r="AJ596" s="332"/>
      <c r="AK596" s="332"/>
      <c r="AL596" s="332"/>
      <c r="AM596" s="332"/>
      <c r="AN596" s="332"/>
      <c r="AO596" s="332"/>
      <c r="AP596" s="332"/>
      <c r="AQ596" s="332"/>
      <c r="AR596" s="332"/>
      <c r="AS596" s="332"/>
      <c r="AT596" s="332"/>
      <c r="AU596" s="332"/>
      <c r="AV596" s="332"/>
      <c r="AW596" s="332"/>
      <c r="AX596" s="332"/>
      <c r="AY596" s="332"/>
      <c r="AZ596" s="332"/>
      <c r="BA596" s="332"/>
      <c r="BB596" s="332"/>
      <c r="BC596" s="332"/>
      <c r="BD596" s="332"/>
      <c r="BE596" s="332"/>
      <c r="BF596" s="332"/>
      <c r="BG596" s="332"/>
      <c r="BH596" s="332"/>
      <c r="BI596" s="332"/>
      <c r="BJ596" s="332"/>
      <c r="BK596" s="332"/>
      <c r="BL596" s="332"/>
      <c r="BM596" s="332"/>
      <c r="BN596" s="332"/>
      <c r="BO596" s="332"/>
      <c r="BP596" s="332"/>
      <c r="BQ596" s="332"/>
      <c r="BR596" s="332"/>
      <c r="BS596" s="332"/>
      <c r="BT596" s="332"/>
      <c r="BU596" s="332"/>
      <c r="BV596" s="332"/>
      <c r="BW596" s="332"/>
      <c r="BX596" s="332"/>
      <c r="BY596" s="332"/>
      <c r="BZ596" s="332"/>
      <c r="CA596" s="332"/>
      <c r="CB596" s="332"/>
      <c r="CC596" s="332"/>
      <c r="CD596" s="332"/>
      <c r="CE596" s="332"/>
      <c r="CF596" s="332"/>
      <c r="CG596" s="332"/>
      <c r="CH596" s="332"/>
      <c r="CI596" s="332"/>
      <c r="CJ596" s="332"/>
      <c r="CK596" s="332"/>
      <c r="CL596" s="332"/>
      <c r="CM596" s="332"/>
      <c r="CN596" s="332"/>
      <c r="CO596" s="332"/>
      <c r="CP596" s="332"/>
      <c r="CQ596" s="332"/>
      <c r="CR596" s="332"/>
      <c r="CS596" s="332"/>
      <c r="CT596" s="332"/>
      <c r="CU596" s="332"/>
      <c r="CV596" s="332"/>
      <c r="CW596" s="332"/>
      <c r="CX596" s="332"/>
      <c r="CY596" s="332"/>
      <c r="CZ596" s="332"/>
      <c r="DA596" s="332"/>
      <c r="DB596" s="332"/>
      <c r="DC596" s="332"/>
      <c r="DD596" s="332"/>
      <c r="DE596" s="332"/>
      <c r="DF596" s="332"/>
      <c r="DG596" s="332"/>
      <c r="DH596" s="332"/>
      <c r="DI596" s="332"/>
      <c r="DJ596" s="332"/>
      <c r="DK596" s="332"/>
      <c r="DL596" s="332"/>
      <c r="DM596" s="332"/>
      <c r="DN596" s="332"/>
      <c r="DO596" s="332"/>
      <c r="DP596" s="332"/>
      <c r="DQ596" s="332"/>
      <c r="DR596" s="332"/>
      <c r="DS596" s="332"/>
      <c r="DT596" s="332"/>
      <c r="DU596" s="453"/>
      <c r="DV596" s="453"/>
      <c r="DW596" s="453"/>
      <c r="DX596" s="453"/>
      <c r="DY596" s="453"/>
      <c r="DZ596" s="453"/>
      <c r="EA596" s="453"/>
      <c r="EB596" s="453"/>
      <c r="EC596" s="453"/>
      <c r="ED596" s="453"/>
      <c r="EE596" s="453"/>
      <c r="EF596" s="453"/>
      <c r="EG596" s="453"/>
      <c r="EH596" s="453"/>
      <c r="EI596" s="453"/>
      <c r="EJ596" s="453"/>
      <c r="EK596" s="453"/>
      <c r="EL596" s="453"/>
      <c r="EM596" s="483">
        <f t="shared" si="224"/>
        <v>287</v>
      </c>
      <c r="EN596" s="485"/>
      <c r="EO596" s="804"/>
      <c r="EP596" s="805"/>
      <c r="EQ596" s="806"/>
      <c r="ER596" s="808"/>
      <c r="ES596" s="881">
        <f t="shared" si="225"/>
        <v>0</v>
      </c>
      <c r="ET596" s="882"/>
      <c r="EU596" s="883"/>
      <c r="EV596" s="884">
        <f t="shared" si="223"/>
        <v>0</v>
      </c>
      <c r="EW596" s="885"/>
      <c r="EX596" s="885"/>
      <c r="EY596" s="885"/>
      <c r="EZ596" s="885"/>
      <c r="FA596" s="885"/>
      <c r="FB596" s="885"/>
      <c r="FC596" s="885"/>
      <c r="FD596" s="886"/>
      <c r="FE596" s="878"/>
      <c r="FF596" s="878"/>
      <c r="FG596" s="878"/>
      <c r="FH596" s="878"/>
      <c r="FI596" s="878"/>
      <c r="FJ596" s="878"/>
      <c r="FK596" s="878"/>
      <c r="FL596" s="555"/>
      <c r="FM596" s="554"/>
      <c r="FN596" s="554"/>
      <c r="FO596" s="554"/>
      <c r="FP596" s="554"/>
      <c r="FQ596" s="554"/>
      <c r="FR596" s="554"/>
      <c r="FS596" s="554"/>
      <c r="FT596" s="554"/>
      <c r="FU596" s="554"/>
      <c r="FV596" s="554"/>
      <c r="FW596" s="554"/>
      <c r="FX596" s="554"/>
      <c r="FY596" s="554"/>
      <c r="FZ596" s="554"/>
      <c r="GA596" s="554"/>
      <c r="GB596" s="556"/>
      <c r="GC596" s="370"/>
      <c r="GD596" s="453"/>
      <c r="GE596" s="453"/>
      <c r="GF596" s="453"/>
      <c r="GG596" s="453"/>
      <c r="GH596" s="454"/>
      <c r="GI596" s="453"/>
      <c r="GJ596" s="453"/>
      <c r="GK596" s="453"/>
      <c r="GL596" s="453"/>
      <c r="GM596" s="453"/>
      <c r="GN596" s="453"/>
      <c r="GO596" s="453"/>
      <c r="GP596" s="453"/>
      <c r="GQ596" s="453"/>
      <c r="GR596" s="453"/>
      <c r="GS596" s="561"/>
      <c r="GT596" s="475"/>
      <c r="GU596" s="472"/>
      <c r="GV596" s="453"/>
      <c r="GW596" s="453"/>
      <c r="GX596" s="869"/>
      <c r="GY596" s="870"/>
      <c r="GZ596" s="867"/>
      <c r="HA596" s="868"/>
      <c r="HB596" s="473"/>
      <c r="HC596" s="869"/>
      <c r="HD596" s="870"/>
      <c r="HE596" s="867"/>
      <c r="HF596" s="868"/>
      <c r="HG596" s="473"/>
      <c r="HH596" s="867"/>
      <c r="HI596" s="868"/>
      <c r="HJ596" s="867"/>
      <c r="HK596" s="868"/>
      <c r="HL596" s="370"/>
      <c r="HM596" s="865"/>
      <c r="HN596" s="866"/>
      <c r="HO596" s="865"/>
      <c r="HP596" s="866"/>
      <c r="HQ596" s="865"/>
      <c r="HR596" s="866"/>
      <c r="HS596" s="867"/>
      <c r="HT596" s="868"/>
      <c r="HU596" s="489"/>
      <c r="HV596" s="865"/>
      <c r="HW596" s="866"/>
    </row>
    <row r="597" spans="25:231" ht="15" customHeight="1">
      <c r="Y597" s="332"/>
      <c r="Z597" s="332"/>
      <c r="AA597" s="332"/>
      <c r="AB597" s="332"/>
      <c r="AC597" s="332"/>
      <c r="AD597" s="332"/>
      <c r="AE597" s="332"/>
      <c r="AF597" s="332"/>
      <c r="AG597" s="332"/>
      <c r="AH597" s="332"/>
      <c r="AI597" s="332"/>
      <c r="AJ597" s="332"/>
      <c r="AK597" s="332"/>
      <c r="AL597" s="332"/>
      <c r="AM597" s="332"/>
      <c r="AN597" s="332"/>
      <c r="AO597" s="332"/>
      <c r="AP597" s="332"/>
      <c r="AQ597" s="332"/>
      <c r="AR597" s="332"/>
      <c r="AS597" s="332"/>
      <c r="AT597" s="332"/>
      <c r="AU597" s="332"/>
      <c r="AV597" s="332"/>
      <c r="AW597" s="332"/>
      <c r="AX597" s="332"/>
      <c r="AY597" s="332"/>
      <c r="AZ597" s="332"/>
      <c r="BA597" s="332"/>
      <c r="BB597" s="332"/>
      <c r="BC597" s="332"/>
      <c r="BD597" s="332"/>
      <c r="BE597" s="332"/>
      <c r="BF597" s="332"/>
      <c r="BG597" s="332"/>
      <c r="BH597" s="332"/>
      <c r="BI597" s="332"/>
      <c r="BJ597" s="332"/>
      <c r="BK597" s="332"/>
      <c r="BL597" s="332"/>
      <c r="BM597" s="332"/>
      <c r="BN597" s="332"/>
      <c r="BO597" s="332"/>
      <c r="BP597" s="332"/>
      <c r="BQ597" s="332"/>
      <c r="BR597" s="332"/>
      <c r="BS597" s="332"/>
      <c r="BT597" s="332"/>
      <c r="BU597" s="332"/>
      <c r="BV597" s="332"/>
      <c r="BW597" s="332"/>
      <c r="BX597" s="332"/>
      <c r="BY597" s="332"/>
      <c r="BZ597" s="332"/>
      <c r="CA597" s="332"/>
      <c r="CB597" s="332"/>
      <c r="CC597" s="332"/>
      <c r="CD597" s="332"/>
      <c r="CE597" s="332"/>
      <c r="CF597" s="332"/>
      <c r="CG597" s="332"/>
      <c r="CH597" s="332"/>
      <c r="CI597" s="332"/>
      <c r="CJ597" s="332"/>
      <c r="CK597" s="332"/>
      <c r="CL597" s="332"/>
      <c r="CM597" s="332"/>
      <c r="CN597" s="332"/>
      <c r="CO597" s="332"/>
      <c r="CP597" s="332"/>
      <c r="CQ597" s="332"/>
      <c r="CR597" s="332"/>
      <c r="CS597" s="332"/>
      <c r="CT597" s="332"/>
      <c r="CU597" s="332"/>
      <c r="CV597" s="332"/>
      <c r="CW597" s="332"/>
      <c r="CX597" s="332"/>
      <c r="CY597" s="332"/>
      <c r="CZ597" s="332"/>
      <c r="DA597" s="332"/>
      <c r="DB597" s="332"/>
      <c r="DC597" s="332"/>
      <c r="DD597" s="332"/>
      <c r="DE597" s="332"/>
      <c r="DF597" s="332"/>
      <c r="DG597" s="332"/>
      <c r="DH597" s="332"/>
      <c r="DI597" s="332"/>
      <c r="DJ597" s="332"/>
      <c r="DK597" s="332"/>
      <c r="DL597" s="332"/>
      <c r="DM597" s="332"/>
      <c r="DN597" s="332"/>
      <c r="DO597" s="332"/>
      <c r="DP597" s="332"/>
      <c r="DQ597" s="332"/>
      <c r="DR597" s="332"/>
      <c r="DS597" s="332"/>
      <c r="DT597" s="332"/>
      <c r="DU597" s="453"/>
      <c r="DV597" s="453"/>
      <c r="DW597" s="453"/>
      <c r="DX597" s="453"/>
      <c r="DY597" s="453"/>
      <c r="DZ597" s="453"/>
      <c r="EA597" s="453"/>
      <c r="EB597" s="453"/>
      <c r="EC597" s="453"/>
      <c r="ED597" s="453"/>
      <c r="EE597" s="453"/>
      <c r="EF597" s="453"/>
      <c r="EG597" s="453"/>
      <c r="EH597" s="453"/>
      <c r="EI597" s="453"/>
      <c r="EJ597" s="453"/>
      <c r="EK597" s="453"/>
      <c r="EL597" s="453"/>
      <c r="EM597" s="483">
        <f t="shared" si="224"/>
        <v>288</v>
      </c>
      <c r="EN597" s="485"/>
      <c r="EO597" s="804"/>
      <c r="EP597" s="805"/>
      <c r="EQ597" s="806"/>
      <c r="ER597" s="808"/>
      <c r="ES597" s="881">
        <f t="shared" si="225"/>
        <v>0</v>
      </c>
      <c r="ET597" s="882"/>
      <c r="EU597" s="883"/>
      <c r="EV597" s="884">
        <f t="shared" si="223"/>
        <v>0</v>
      </c>
      <c r="EW597" s="885"/>
      <c r="EX597" s="885"/>
      <c r="EY597" s="885"/>
      <c r="EZ597" s="885"/>
      <c r="FA597" s="885"/>
      <c r="FB597" s="885"/>
      <c r="FC597" s="885"/>
      <c r="FD597" s="886"/>
      <c r="FE597" s="878"/>
      <c r="FF597" s="878"/>
      <c r="FG597" s="878"/>
      <c r="FH597" s="878"/>
      <c r="FI597" s="878"/>
      <c r="FJ597" s="878"/>
      <c r="FK597" s="878"/>
      <c r="FL597" s="555"/>
      <c r="FM597" s="554"/>
      <c r="FN597" s="554"/>
      <c r="FO597" s="554"/>
      <c r="FP597" s="554"/>
      <c r="FQ597" s="554"/>
      <c r="FR597" s="554"/>
      <c r="FS597" s="554"/>
      <c r="FT597" s="554"/>
      <c r="FU597" s="554"/>
      <c r="FV597" s="554"/>
      <c r="FW597" s="554"/>
      <c r="FX597" s="554"/>
      <c r="FY597" s="554"/>
      <c r="FZ597" s="554"/>
      <c r="GA597" s="554"/>
      <c r="GB597" s="556"/>
      <c r="GC597" s="370"/>
      <c r="GD597" s="453"/>
      <c r="GE597" s="453"/>
      <c r="GF597" s="453"/>
      <c r="GG597" s="453"/>
      <c r="GH597" s="454"/>
      <c r="GI597" s="453"/>
      <c r="GJ597" s="453"/>
      <c r="GK597" s="453"/>
      <c r="GL597" s="453"/>
      <c r="GM597" s="453"/>
      <c r="GN597" s="453"/>
      <c r="GO597" s="453"/>
      <c r="GP597" s="453"/>
      <c r="GQ597" s="453"/>
      <c r="GR597" s="453"/>
      <c r="GS597" s="561"/>
      <c r="GT597" s="475"/>
      <c r="GU597" s="472"/>
      <c r="GV597" s="453"/>
      <c r="GW597" s="453"/>
      <c r="GX597" s="869"/>
      <c r="GY597" s="870"/>
      <c r="GZ597" s="867"/>
      <c r="HA597" s="868"/>
      <c r="HB597" s="473"/>
      <c r="HC597" s="869"/>
      <c r="HD597" s="870"/>
      <c r="HE597" s="867"/>
      <c r="HF597" s="868"/>
      <c r="HG597" s="473"/>
      <c r="HH597" s="867"/>
      <c r="HI597" s="868"/>
      <c r="HJ597" s="867"/>
      <c r="HK597" s="868"/>
      <c r="HL597" s="370"/>
      <c r="HM597" s="865"/>
      <c r="HN597" s="866"/>
      <c r="HO597" s="865"/>
      <c r="HP597" s="866"/>
      <c r="HQ597" s="865"/>
      <c r="HR597" s="866"/>
      <c r="HS597" s="867"/>
      <c r="HT597" s="868"/>
      <c r="HU597" s="489"/>
      <c r="HV597" s="865"/>
      <c r="HW597" s="866"/>
    </row>
    <row r="598" spans="25:231" ht="15" customHeight="1">
      <c r="Y598" s="332"/>
      <c r="Z598" s="332"/>
      <c r="AA598" s="332"/>
      <c r="AB598" s="332"/>
      <c r="AC598" s="332"/>
      <c r="AD598" s="332"/>
      <c r="AE598" s="332"/>
      <c r="AF598" s="332"/>
      <c r="AG598" s="332"/>
      <c r="AH598" s="332"/>
      <c r="AI598" s="332"/>
      <c r="AJ598" s="332"/>
      <c r="AK598" s="332"/>
      <c r="AL598" s="332"/>
      <c r="AM598" s="332"/>
      <c r="AN598" s="332"/>
      <c r="AO598" s="332"/>
      <c r="AP598" s="332"/>
      <c r="AQ598" s="332"/>
      <c r="AR598" s="332"/>
      <c r="AS598" s="332"/>
      <c r="AT598" s="332"/>
      <c r="AU598" s="332"/>
      <c r="AV598" s="332"/>
      <c r="AW598" s="332"/>
      <c r="AX598" s="332"/>
      <c r="AY598" s="332"/>
      <c r="AZ598" s="332"/>
      <c r="BA598" s="332"/>
      <c r="BB598" s="332"/>
      <c r="BC598" s="332"/>
      <c r="BD598" s="332"/>
      <c r="BE598" s="332"/>
      <c r="BF598" s="332"/>
      <c r="BG598" s="332"/>
      <c r="BH598" s="332"/>
      <c r="BI598" s="332"/>
      <c r="BJ598" s="332"/>
      <c r="BK598" s="332"/>
      <c r="BL598" s="332"/>
      <c r="BM598" s="332"/>
      <c r="BN598" s="332"/>
      <c r="BO598" s="332"/>
      <c r="BP598" s="332"/>
      <c r="BQ598" s="332"/>
      <c r="BR598" s="332"/>
      <c r="BS598" s="332"/>
      <c r="BT598" s="332"/>
      <c r="BU598" s="332"/>
      <c r="BV598" s="332"/>
      <c r="BW598" s="332"/>
      <c r="BX598" s="332"/>
      <c r="BY598" s="332"/>
      <c r="BZ598" s="332"/>
      <c r="CA598" s="332"/>
      <c r="CB598" s="332"/>
      <c r="CC598" s="332"/>
      <c r="CD598" s="332"/>
      <c r="CE598" s="332"/>
      <c r="CF598" s="332"/>
      <c r="CG598" s="332"/>
      <c r="CH598" s="332"/>
      <c r="CI598" s="332"/>
      <c r="CJ598" s="332"/>
      <c r="CK598" s="332"/>
      <c r="CL598" s="332"/>
      <c r="CM598" s="332"/>
      <c r="CN598" s="332"/>
      <c r="CO598" s="332"/>
      <c r="CP598" s="332"/>
      <c r="CQ598" s="332"/>
      <c r="CR598" s="332"/>
      <c r="CS598" s="332"/>
      <c r="CT598" s="332"/>
      <c r="CU598" s="332"/>
      <c r="CV598" s="332"/>
      <c r="CW598" s="332"/>
      <c r="CX598" s="332"/>
      <c r="CY598" s="332"/>
      <c r="CZ598" s="332"/>
      <c r="DA598" s="332"/>
      <c r="DB598" s="332"/>
      <c r="DC598" s="332"/>
      <c r="DD598" s="332"/>
      <c r="DE598" s="332"/>
      <c r="DF598" s="332"/>
      <c r="DG598" s="332"/>
      <c r="DH598" s="332"/>
      <c r="DI598" s="332"/>
      <c r="DJ598" s="332"/>
      <c r="DK598" s="332"/>
      <c r="DL598" s="332"/>
      <c r="DM598" s="332"/>
      <c r="DN598" s="332"/>
      <c r="DO598" s="332"/>
      <c r="DP598" s="332"/>
      <c r="DQ598" s="332"/>
      <c r="DR598" s="332"/>
      <c r="DS598" s="332"/>
      <c r="DT598" s="332"/>
      <c r="DU598" s="453"/>
      <c r="DV598" s="453"/>
      <c r="DW598" s="453"/>
      <c r="DX598" s="453"/>
      <c r="DY598" s="453"/>
      <c r="DZ598" s="453"/>
      <c r="EA598" s="453"/>
      <c r="EB598" s="453"/>
      <c r="EC598" s="453"/>
      <c r="ED598" s="453"/>
      <c r="EE598" s="453"/>
      <c r="EF598" s="453"/>
      <c r="EG598" s="453"/>
      <c r="EH598" s="453"/>
      <c r="EI598" s="453"/>
      <c r="EJ598" s="453"/>
      <c r="EK598" s="453"/>
      <c r="EL598" s="453"/>
      <c r="EM598" s="483">
        <f t="shared" si="224"/>
        <v>289</v>
      </c>
      <c r="EN598" s="485"/>
      <c r="EO598" s="804"/>
      <c r="EP598" s="805"/>
      <c r="EQ598" s="806"/>
      <c r="ER598" s="808"/>
      <c r="ES598" s="881">
        <f t="shared" si="225"/>
        <v>0</v>
      </c>
      <c r="ET598" s="882"/>
      <c r="EU598" s="883"/>
      <c r="EV598" s="884">
        <f t="shared" si="223"/>
        <v>0</v>
      </c>
      <c r="EW598" s="885"/>
      <c r="EX598" s="885"/>
      <c r="EY598" s="885"/>
      <c r="EZ598" s="885"/>
      <c r="FA598" s="885"/>
      <c r="FB598" s="885"/>
      <c r="FC598" s="885"/>
      <c r="FD598" s="886"/>
      <c r="FE598" s="878"/>
      <c r="FF598" s="878"/>
      <c r="FG598" s="878"/>
      <c r="FH598" s="878"/>
      <c r="FI598" s="878"/>
      <c r="FJ598" s="878"/>
      <c r="FK598" s="878"/>
      <c r="FL598" s="555"/>
      <c r="FM598" s="554"/>
      <c r="FN598" s="554"/>
      <c r="FO598" s="554"/>
      <c r="FP598" s="554"/>
      <c r="FQ598" s="554"/>
      <c r="FR598" s="554"/>
      <c r="FS598" s="554"/>
      <c r="FT598" s="554"/>
      <c r="FU598" s="554"/>
      <c r="FV598" s="554"/>
      <c r="FW598" s="554"/>
      <c r="FX598" s="554"/>
      <c r="FY598" s="554"/>
      <c r="FZ598" s="554"/>
      <c r="GA598" s="554"/>
      <c r="GB598" s="556"/>
      <c r="GC598" s="370"/>
      <c r="GD598" s="453"/>
      <c r="GE598" s="453"/>
      <c r="GF598" s="453"/>
      <c r="GG598" s="453"/>
      <c r="GH598" s="454"/>
      <c r="GI598" s="453"/>
      <c r="GJ598" s="453"/>
      <c r="GK598" s="453"/>
      <c r="GL598" s="453"/>
      <c r="GM598" s="453"/>
      <c r="GN598" s="453"/>
      <c r="GO598" s="453"/>
      <c r="GP598" s="453"/>
      <c r="GQ598" s="453"/>
      <c r="GR598" s="453"/>
      <c r="GS598" s="561"/>
      <c r="GT598" s="475"/>
      <c r="GU598" s="472"/>
      <c r="GV598" s="453"/>
      <c r="GW598" s="453"/>
      <c r="GX598" s="869"/>
      <c r="GY598" s="870"/>
      <c r="GZ598" s="867"/>
      <c r="HA598" s="868"/>
      <c r="HB598" s="473"/>
      <c r="HC598" s="869"/>
      <c r="HD598" s="870"/>
      <c r="HE598" s="867"/>
      <c r="HF598" s="868"/>
      <c r="HG598" s="473"/>
      <c r="HH598" s="867"/>
      <c r="HI598" s="868"/>
      <c r="HJ598" s="867"/>
      <c r="HK598" s="868"/>
      <c r="HL598" s="370"/>
      <c r="HM598" s="865"/>
      <c r="HN598" s="866"/>
      <c r="HO598" s="865"/>
      <c r="HP598" s="866"/>
      <c r="HQ598" s="865"/>
      <c r="HR598" s="866"/>
      <c r="HS598" s="867"/>
      <c r="HT598" s="868"/>
      <c r="HU598" s="489"/>
      <c r="HV598" s="865"/>
      <c r="HW598" s="866"/>
    </row>
    <row r="599" spans="25:231" ht="15" customHeight="1">
      <c r="Y599" s="332"/>
      <c r="Z599" s="332"/>
      <c r="AA599" s="332"/>
      <c r="AB599" s="332"/>
      <c r="AC599" s="332"/>
      <c r="AD599" s="332"/>
      <c r="AE599" s="332"/>
      <c r="AF599" s="332"/>
      <c r="AG599" s="332"/>
      <c r="AH599" s="332"/>
      <c r="AI599" s="332"/>
      <c r="AJ599" s="332"/>
      <c r="AK599" s="332"/>
      <c r="AL599" s="332"/>
      <c r="AM599" s="332"/>
      <c r="AN599" s="332"/>
      <c r="AO599" s="332"/>
      <c r="AP599" s="332"/>
      <c r="AQ599" s="332"/>
      <c r="AR599" s="332"/>
      <c r="AS599" s="332"/>
      <c r="AT599" s="332"/>
      <c r="AU599" s="332"/>
      <c r="AV599" s="332"/>
      <c r="AW599" s="332"/>
      <c r="AX599" s="332"/>
      <c r="AY599" s="332"/>
      <c r="AZ599" s="332"/>
      <c r="BA599" s="332"/>
      <c r="BB599" s="332"/>
      <c r="BC599" s="332"/>
      <c r="BD599" s="332"/>
      <c r="BE599" s="332"/>
      <c r="BF599" s="332"/>
      <c r="BG599" s="332"/>
      <c r="BH599" s="332"/>
      <c r="BI599" s="332"/>
      <c r="BJ599" s="332"/>
      <c r="BK599" s="332"/>
      <c r="BL599" s="332"/>
      <c r="BM599" s="332"/>
      <c r="BN599" s="332"/>
      <c r="BO599" s="332"/>
      <c r="BP599" s="332"/>
      <c r="BQ599" s="332"/>
      <c r="BR599" s="332"/>
      <c r="BS599" s="332"/>
      <c r="BT599" s="332"/>
      <c r="BU599" s="332"/>
      <c r="BV599" s="332"/>
      <c r="BW599" s="332"/>
      <c r="BX599" s="332"/>
      <c r="BY599" s="332"/>
      <c r="BZ599" s="332"/>
      <c r="CA599" s="332"/>
      <c r="CB599" s="332"/>
      <c r="CC599" s="332"/>
      <c r="CD599" s="332"/>
      <c r="CE599" s="332"/>
      <c r="CF599" s="332"/>
      <c r="CG599" s="332"/>
      <c r="CH599" s="332"/>
      <c r="CI599" s="332"/>
      <c r="CJ599" s="332"/>
      <c r="CK599" s="332"/>
      <c r="CL599" s="332"/>
      <c r="CM599" s="332"/>
      <c r="CN599" s="332"/>
      <c r="CO599" s="332"/>
      <c r="CP599" s="332"/>
      <c r="CQ599" s="332"/>
      <c r="CR599" s="332"/>
      <c r="CS599" s="332"/>
      <c r="CT599" s="332"/>
      <c r="CU599" s="332"/>
      <c r="CV599" s="332"/>
      <c r="CW599" s="332"/>
      <c r="CX599" s="332"/>
      <c r="CY599" s="332"/>
      <c r="CZ599" s="332"/>
      <c r="DA599" s="332"/>
      <c r="DB599" s="332"/>
      <c r="DC599" s="332"/>
      <c r="DD599" s="332"/>
      <c r="DE599" s="332"/>
      <c r="DF599" s="332"/>
      <c r="DG599" s="332"/>
      <c r="DH599" s="332"/>
      <c r="DI599" s="332"/>
      <c r="DJ599" s="332"/>
      <c r="DK599" s="332"/>
      <c r="DL599" s="332"/>
      <c r="DM599" s="332"/>
      <c r="DN599" s="332"/>
      <c r="DO599" s="332"/>
      <c r="DP599" s="332"/>
      <c r="DQ599" s="332"/>
      <c r="DR599" s="332"/>
      <c r="DS599" s="332"/>
      <c r="DT599" s="332"/>
      <c r="DU599" s="453"/>
      <c r="DV599" s="453"/>
      <c r="DW599" s="453"/>
      <c r="DX599" s="453"/>
      <c r="DY599" s="453"/>
      <c r="DZ599" s="453"/>
      <c r="EA599" s="453"/>
      <c r="EB599" s="453"/>
      <c r="EC599" s="453"/>
      <c r="ED599" s="453"/>
      <c r="EE599" s="453"/>
      <c r="EF599" s="453"/>
      <c r="EG599" s="453"/>
      <c r="EH599" s="453"/>
      <c r="EI599" s="453"/>
      <c r="EJ599" s="453"/>
      <c r="EK599" s="453"/>
      <c r="EL599" s="453"/>
      <c r="EM599" s="483">
        <f t="shared" si="224"/>
        <v>290</v>
      </c>
      <c r="EN599" s="485"/>
      <c r="EO599" s="804"/>
      <c r="EP599" s="805"/>
      <c r="EQ599" s="806"/>
      <c r="ER599" s="808"/>
      <c r="ES599" s="881">
        <f t="shared" si="225"/>
        <v>0</v>
      </c>
      <c r="ET599" s="882"/>
      <c r="EU599" s="883"/>
      <c r="EV599" s="884">
        <f t="shared" si="223"/>
        <v>0</v>
      </c>
      <c r="EW599" s="885"/>
      <c r="EX599" s="885"/>
      <c r="EY599" s="885"/>
      <c r="EZ599" s="885"/>
      <c r="FA599" s="885"/>
      <c r="FB599" s="885"/>
      <c r="FC599" s="885"/>
      <c r="FD599" s="886"/>
      <c r="FE599" s="878"/>
      <c r="FF599" s="878"/>
      <c r="FG599" s="878"/>
      <c r="FH599" s="878"/>
      <c r="FI599" s="878"/>
      <c r="FJ599" s="878"/>
      <c r="FK599" s="878"/>
      <c r="FL599" s="555"/>
      <c r="FM599" s="554"/>
      <c r="FN599" s="554"/>
      <c r="FO599" s="554"/>
      <c r="FP599" s="554"/>
      <c r="FQ599" s="554"/>
      <c r="FR599" s="554"/>
      <c r="FS599" s="554"/>
      <c r="FT599" s="554"/>
      <c r="FU599" s="554"/>
      <c r="FV599" s="554"/>
      <c r="FW599" s="554"/>
      <c r="FX599" s="554"/>
      <c r="FY599" s="554"/>
      <c r="FZ599" s="554"/>
      <c r="GA599" s="554"/>
      <c r="GB599" s="556"/>
      <c r="GC599" s="370"/>
      <c r="GD599" s="453"/>
      <c r="GE599" s="453"/>
      <c r="GF599" s="453"/>
      <c r="GG599" s="453"/>
      <c r="GH599" s="454"/>
      <c r="GI599" s="453"/>
      <c r="GJ599" s="453"/>
      <c r="GK599" s="453"/>
      <c r="GL599" s="453"/>
      <c r="GM599" s="453"/>
      <c r="GN599" s="453"/>
      <c r="GO599" s="453"/>
      <c r="GP599" s="453"/>
      <c r="GQ599" s="453"/>
      <c r="GR599" s="453"/>
      <c r="GS599" s="561"/>
      <c r="GT599" s="475"/>
      <c r="GU599" s="472"/>
      <c r="GV599" s="453"/>
      <c r="GW599" s="453"/>
      <c r="GX599" s="869"/>
      <c r="GY599" s="870"/>
      <c r="GZ599" s="867"/>
      <c r="HA599" s="868"/>
      <c r="HB599" s="473"/>
      <c r="HC599" s="869"/>
      <c r="HD599" s="870"/>
      <c r="HE599" s="867"/>
      <c r="HF599" s="868"/>
      <c r="HG599" s="473"/>
      <c r="HH599" s="867"/>
      <c r="HI599" s="868"/>
      <c r="HJ599" s="867"/>
      <c r="HK599" s="868"/>
      <c r="HL599" s="370"/>
      <c r="HM599" s="865"/>
      <c r="HN599" s="866"/>
      <c r="HO599" s="865"/>
      <c r="HP599" s="866"/>
      <c r="HQ599" s="865"/>
      <c r="HR599" s="866"/>
      <c r="HS599" s="867"/>
      <c r="HT599" s="868"/>
      <c r="HU599" s="489"/>
      <c r="HV599" s="865"/>
      <c r="HW599" s="866"/>
    </row>
    <row r="600" spans="25:231" ht="15" customHeight="1">
      <c r="Y600" s="332"/>
      <c r="Z600" s="332"/>
      <c r="AA600" s="332"/>
      <c r="AB600" s="332"/>
      <c r="AC600" s="332"/>
      <c r="AD600" s="332"/>
      <c r="AE600" s="332"/>
      <c r="AF600" s="332"/>
      <c r="AG600" s="332"/>
      <c r="AH600" s="332"/>
      <c r="AI600" s="332"/>
      <c r="AJ600" s="332"/>
      <c r="AK600" s="332"/>
      <c r="AL600" s="332"/>
      <c r="AM600" s="332"/>
      <c r="AN600" s="332"/>
      <c r="AO600" s="332"/>
      <c r="AP600" s="332"/>
      <c r="AQ600" s="332"/>
      <c r="AR600" s="332"/>
      <c r="AS600" s="332"/>
      <c r="AT600" s="332"/>
      <c r="AU600" s="332"/>
      <c r="AV600" s="332"/>
      <c r="AW600" s="332"/>
      <c r="AX600" s="332"/>
      <c r="AY600" s="332"/>
      <c r="AZ600" s="332"/>
      <c r="BA600" s="332"/>
      <c r="BB600" s="332"/>
      <c r="BC600" s="332"/>
      <c r="BD600" s="332"/>
      <c r="BE600" s="332"/>
      <c r="BF600" s="332"/>
      <c r="BG600" s="332"/>
      <c r="BH600" s="332"/>
      <c r="BI600" s="332"/>
      <c r="BJ600" s="332"/>
      <c r="BK600" s="332"/>
      <c r="BL600" s="332"/>
      <c r="BM600" s="332"/>
      <c r="BN600" s="332"/>
      <c r="BO600" s="332"/>
      <c r="BP600" s="332"/>
      <c r="BQ600" s="332"/>
      <c r="BR600" s="332"/>
      <c r="BS600" s="332"/>
      <c r="BT600" s="332"/>
      <c r="BU600" s="332"/>
      <c r="BV600" s="332"/>
      <c r="BW600" s="332"/>
      <c r="BX600" s="332"/>
      <c r="BY600" s="332"/>
      <c r="BZ600" s="332"/>
      <c r="CA600" s="332"/>
      <c r="CB600" s="332"/>
      <c r="CC600" s="332"/>
      <c r="CD600" s="332"/>
      <c r="CE600" s="332"/>
      <c r="CF600" s="332"/>
      <c r="CG600" s="332"/>
      <c r="CH600" s="332"/>
      <c r="CI600" s="332"/>
      <c r="CJ600" s="332"/>
      <c r="CK600" s="332"/>
      <c r="CL600" s="332"/>
      <c r="CM600" s="332"/>
      <c r="CN600" s="332"/>
      <c r="CO600" s="332"/>
      <c r="CP600" s="332"/>
      <c r="CQ600" s="332"/>
      <c r="CR600" s="332"/>
      <c r="CS600" s="332"/>
      <c r="CT600" s="332"/>
      <c r="CU600" s="332"/>
      <c r="CV600" s="332"/>
      <c r="CW600" s="332"/>
      <c r="CX600" s="332"/>
      <c r="CY600" s="332"/>
      <c r="CZ600" s="332"/>
      <c r="DA600" s="332"/>
      <c r="DB600" s="332"/>
      <c r="DC600" s="332"/>
      <c r="DD600" s="332"/>
      <c r="DE600" s="332"/>
      <c r="DF600" s="332"/>
      <c r="DG600" s="332"/>
      <c r="DH600" s="332"/>
      <c r="DI600" s="332"/>
      <c r="DJ600" s="332"/>
      <c r="DK600" s="332"/>
      <c r="DL600" s="332"/>
      <c r="DM600" s="332"/>
      <c r="DN600" s="332"/>
      <c r="DO600" s="332"/>
      <c r="DP600" s="332"/>
      <c r="DQ600" s="332"/>
      <c r="DR600" s="332"/>
      <c r="DS600" s="332"/>
      <c r="DT600" s="332"/>
      <c r="DU600" s="453"/>
      <c r="DV600" s="453"/>
      <c r="DW600" s="453"/>
      <c r="DX600" s="453"/>
      <c r="DY600" s="453"/>
      <c r="DZ600" s="453"/>
      <c r="EA600" s="453"/>
      <c r="EB600" s="453"/>
      <c r="EC600" s="453"/>
      <c r="ED600" s="453"/>
      <c r="EE600" s="453"/>
      <c r="EF600" s="453"/>
      <c r="EG600" s="453"/>
      <c r="EH600" s="453"/>
      <c r="EI600" s="453"/>
      <c r="EJ600" s="453"/>
      <c r="EK600" s="453"/>
      <c r="EL600" s="453"/>
      <c r="EM600" s="483">
        <f t="shared" si="224"/>
        <v>291</v>
      </c>
      <c r="EN600" s="485"/>
      <c r="EO600" s="804"/>
      <c r="EP600" s="805"/>
      <c r="EQ600" s="806"/>
      <c r="ER600" s="808"/>
      <c r="ES600" s="881">
        <f t="shared" si="225"/>
        <v>0</v>
      </c>
      <c r="ET600" s="882"/>
      <c r="EU600" s="883"/>
      <c r="EV600" s="884">
        <f t="shared" si="223"/>
        <v>0</v>
      </c>
      <c r="EW600" s="885"/>
      <c r="EX600" s="885"/>
      <c r="EY600" s="885"/>
      <c r="EZ600" s="885"/>
      <c r="FA600" s="885"/>
      <c r="FB600" s="885"/>
      <c r="FC600" s="885"/>
      <c r="FD600" s="886"/>
      <c r="FE600" s="878"/>
      <c r="FF600" s="878"/>
      <c r="FG600" s="878"/>
      <c r="FH600" s="878"/>
      <c r="FI600" s="878"/>
      <c r="FJ600" s="878"/>
      <c r="FK600" s="878"/>
      <c r="FL600" s="555"/>
      <c r="FM600" s="554"/>
      <c r="FN600" s="554"/>
      <c r="FO600" s="554"/>
      <c r="FP600" s="554"/>
      <c r="FQ600" s="554"/>
      <c r="FR600" s="554"/>
      <c r="FS600" s="554"/>
      <c r="FT600" s="554"/>
      <c r="FU600" s="554"/>
      <c r="FV600" s="554"/>
      <c r="FW600" s="554"/>
      <c r="FX600" s="554"/>
      <c r="FY600" s="554"/>
      <c r="FZ600" s="554"/>
      <c r="GA600" s="554"/>
      <c r="GB600" s="556"/>
      <c r="GC600" s="370"/>
      <c r="GD600" s="453"/>
      <c r="GE600" s="453"/>
      <c r="GF600" s="453"/>
      <c r="GG600" s="453"/>
      <c r="GH600" s="454"/>
      <c r="GI600" s="453"/>
      <c r="GJ600" s="453"/>
      <c r="GK600" s="453"/>
      <c r="GL600" s="453"/>
      <c r="GM600" s="453"/>
      <c r="GN600" s="453"/>
      <c r="GO600" s="453"/>
      <c r="GP600" s="453"/>
      <c r="GQ600" s="453"/>
      <c r="GR600" s="453"/>
      <c r="GS600" s="561"/>
      <c r="GT600" s="475"/>
      <c r="GU600" s="472"/>
      <c r="GV600" s="453"/>
      <c r="GW600" s="453"/>
      <c r="GX600" s="869"/>
      <c r="GY600" s="870"/>
      <c r="GZ600" s="867"/>
      <c r="HA600" s="868"/>
      <c r="HB600" s="473"/>
      <c r="HC600" s="869"/>
      <c r="HD600" s="870"/>
      <c r="HE600" s="867"/>
      <c r="HF600" s="868"/>
      <c r="HG600" s="473"/>
      <c r="HH600" s="867"/>
      <c r="HI600" s="868"/>
      <c r="HJ600" s="867"/>
      <c r="HK600" s="868"/>
      <c r="HL600" s="370"/>
      <c r="HM600" s="865"/>
      <c r="HN600" s="866"/>
      <c r="HO600" s="865"/>
      <c r="HP600" s="866"/>
      <c r="HQ600" s="865"/>
      <c r="HR600" s="866"/>
      <c r="HS600" s="867"/>
      <c r="HT600" s="868"/>
      <c r="HU600" s="489"/>
      <c r="HV600" s="865"/>
      <c r="HW600" s="866"/>
    </row>
    <row r="601" spans="25:231" ht="15" customHeight="1">
      <c r="Y601" s="332"/>
      <c r="Z601" s="332"/>
      <c r="AA601" s="332"/>
      <c r="AB601" s="332"/>
      <c r="AC601" s="332"/>
      <c r="AD601" s="332"/>
      <c r="AE601" s="332"/>
      <c r="AF601" s="332"/>
      <c r="AG601" s="332"/>
      <c r="AH601" s="332"/>
      <c r="AI601" s="332"/>
      <c r="AJ601" s="332"/>
      <c r="AK601" s="332"/>
      <c r="AL601" s="332"/>
      <c r="AM601" s="332"/>
      <c r="AN601" s="332"/>
      <c r="AO601" s="332"/>
      <c r="AP601" s="332"/>
      <c r="AQ601" s="332"/>
      <c r="AR601" s="332"/>
      <c r="AS601" s="332"/>
      <c r="AT601" s="332"/>
      <c r="AU601" s="332"/>
      <c r="AV601" s="332"/>
      <c r="AW601" s="332"/>
      <c r="AX601" s="332"/>
      <c r="AY601" s="332"/>
      <c r="AZ601" s="332"/>
      <c r="BA601" s="332"/>
      <c r="BB601" s="332"/>
      <c r="BC601" s="332"/>
      <c r="BD601" s="332"/>
      <c r="BE601" s="332"/>
      <c r="BF601" s="332"/>
      <c r="BG601" s="332"/>
      <c r="BH601" s="332"/>
      <c r="BI601" s="332"/>
      <c r="BJ601" s="332"/>
      <c r="BK601" s="332"/>
      <c r="BL601" s="332"/>
      <c r="BM601" s="332"/>
      <c r="BN601" s="332"/>
      <c r="BO601" s="332"/>
      <c r="BP601" s="332"/>
      <c r="BQ601" s="332"/>
      <c r="BR601" s="332"/>
      <c r="BS601" s="332"/>
      <c r="BT601" s="332"/>
      <c r="BU601" s="332"/>
      <c r="BV601" s="332"/>
      <c r="BW601" s="332"/>
      <c r="BX601" s="332"/>
      <c r="BY601" s="332"/>
      <c r="BZ601" s="332"/>
      <c r="CA601" s="332"/>
      <c r="CB601" s="332"/>
      <c r="CC601" s="332"/>
      <c r="CD601" s="332"/>
      <c r="CE601" s="332"/>
      <c r="CF601" s="332"/>
      <c r="CG601" s="332"/>
      <c r="CH601" s="332"/>
      <c r="CI601" s="332"/>
      <c r="CJ601" s="332"/>
      <c r="CK601" s="332"/>
      <c r="CL601" s="332"/>
      <c r="CM601" s="332"/>
      <c r="CN601" s="332"/>
      <c r="CO601" s="332"/>
      <c r="CP601" s="332"/>
      <c r="CQ601" s="332"/>
      <c r="CR601" s="332"/>
      <c r="CS601" s="332"/>
      <c r="CT601" s="332"/>
      <c r="CU601" s="332"/>
      <c r="CV601" s="332"/>
      <c r="CW601" s="332"/>
      <c r="CX601" s="332"/>
      <c r="CY601" s="332"/>
      <c r="CZ601" s="332"/>
      <c r="DA601" s="332"/>
      <c r="DB601" s="332"/>
      <c r="DC601" s="332"/>
      <c r="DD601" s="332"/>
      <c r="DE601" s="332"/>
      <c r="DF601" s="332"/>
      <c r="DG601" s="332"/>
      <c r="DH601" s="332"/>
      <c r="DI601" s="332"/>
      <c r="DJ601" s="332"/>
      <c r="DK601" s="332"/>
      <c r="DL601" s="332"/>
      <c r="DM601" s="332"/>
      <c r="DN601" s="332"/>
      <c r="DO601" s="332"/>
      <c r="DP601" s="332"/>
      <c r="DQ601" s="332"/>
      <c r="DR601" s="332"/>
      <c r="DS601" s="332"/>
      <c r="DT601" s="332"/>
      <c r="DU601" s="453"/>
      <c r="DV601" s="453"/>
      <c r="DW601" s="453"/>
      <c r="DX601" s="453"/>
      <c r="DY601" s="453"/>
      <c r="DZ601" s="453"/>
      <c r="EA601" s="453"/>
      <c r="EB601" s="453"/>
      <c r="EC601" s="453"/>
      <c r="ED601" s="453"/>
      <c r="EE601" s="453"/>
      <c r="EF601" s="453"/>
      <c r="EG601" s="453"/>
      <c r="EH601" s="453"/>
      <c r="EI601" s="453"/>
      <c r="EJ601" s="453"/>
      <c r="EK601" s="453"/>
      <c r="EL601" s="453"/>
      <c r="EM601" s="483">
        <f t="shared" si="224"/>
        <v>292</v>
      </c>
      <c r="EN601" s="485"/>
      <c r="EO601" s="804"/>
      <c r="EP601" s="805"/>
      <c r="EQ601" s="806"/>
      <c r="ER601" s="808"/>
      <c r="ES601" s="881">
        <f t="shared" si="225"/>
        <v>0</v>
      </c>
      <c r="ET601" s="882"/>
      <c r="EU601" s="883"/>
      <c r="EV601" s="884">
        <f t="shared" si="223"/>
        <v>0</v>
      </c>
      <c r="EW601" s="885"/>
      <c r="EX601" s="885"/>
      <c r="EY601" s="885"/>
      <c r="EZ601" s="885"/>
      <c r="FA601" s="885"/>
      <c r="FB601" s="885"/>
      <c r="FC601" s="885"/>
      <c r="FD601" s="886"/>
      <c r="FE601" s="878"/>
      <c r="FF601" s="878"/>
      <c r="FG601" s="878"/>
      <c r="FH601" s="878"/>
      <c r="FI601" s="878"/>
      <c r="FJ601" s="878"/>
      <c r="FK601" s="878"/>
      <c r="FL601" s="555"/>
      <c r="FM601" s="554"/>
      <c r="FN601" s="554"/>
      <c r="FO601" s="554"/>
      <c r="FP601" s="554"/>
      <c r="FQ601" s="554"/>
      <c r="FR601" s="554"/>
      <c r="FS601" s="554"/>
      <c r="FT601" s="554"/>
      <c r="FU601" s="554"/>
      <c r="FV601" s="554"/>
      <c r="FW601" s="554"/>
      <c r="FX601" s="554"/>
      <c r="FY601" s="554"/>
      <c r="FZ601" s="554"/>
      <c r="GA601" s="554"/>
      <c r="GB601" s="556"/>
      <c r="GC601" s="370"/>
      <c r="GD601" s="453"/>
      <c r="GE601" s="453"/>
      <c r="GF601" s="453"/>
      <c r="GG601" s="453"/>
      <c r="GH601" s="454"/>
      <c r="GI601" s="453"/>
      <c r="GJ601" s="453"/>
      <c r="GK601" s="453"/>
      <c r="GL601" s="453"/>
      <c r="GM601" s="453"/>
      <c r="GN601" s="453"/>
      <c r="GO601" s="453"/>
      <c r="GP601" s="453"/>
      <c r="GQ601" s="453"/>
      <c r="GR601" s="453"/>
      <c r="GS601" s="561"/>
      <c r="GT601" s="475"/>
      <c r="GU601" s="472"/>
      <c r="GV601" s="453"/>
      <c r="GW601" s="453"/>
      <c r="GX601" s="869"/>
      <c r="GY601" s="870"/>
      <c r="GZ601" s="867"/>
      <c r="HA601" s="868"/>
      <c r="HB601" s="473"/>
      <c r="HC601" s="869"/>
      <c r="HD601" s="870"/>
      <c r="HE601" s="867"/>
      <c r="HF601" s="868"/>
      <c r="HG601" s="473"/>
      <c r="HH601" s="867"/>
      <c r="HI601" s="868"/>
      <c r="HJ601" s="867"/>
      <c r="HK601" s="868"/>
      <c r="HL601" s="370"/>
      <c r="HM601" s="865"/>
      <c r="HN601" s="866"/>
      <c r="HO601" s="865"/>
      <c r="HP601" s="866"/>
      <c r="HQ601" s="865"/>
      <c r="HR601" s="866"/>
      <c r="HS601" s="867"/>
      <c r="HT601" s="868"/>
      <c r="HU601" s="489"/>
      <c r="HV601" s="865"/>
      <c r="HW601" s="866"/>
    </row>
    <row r="602" spans="25:231" ht="15" customHeight="1">
      <c r="Y602" s="332"/>
      <c r="Z602" s="332"/>
      <c r="AA602" s="332"/>
      <c r="AB602" s="332"/>
      <c r="AC602" s="332"/>
      <c r="AD602" s="332"/>
      <c r="AE602" s="332"/>
      <c r="AF602" s="332"/>
      <c r="AG602" s="332"/>
      <c r="AH602" s="332"/>
      <c r="AI602" s="332"/>
      <c r="AJ602" s="332"/>
      <c r="AK602" s="332"/>
      <c r="AL602" s="332"/>
      <c r="AM602" s="332"/>
      <c r="AN602" s="332"/>
      <c r="AO602" s="332"/>
      <c r="AP602" s="332"/>
      <c r="AQ602" s="332"/>
      <c r="AR602" s="332"/>
      <c r="AS602" s="332"/>
      <c r="AT602" s="332"/>
      <c r="AU602" s="332"/>
      <c r="AV602" s="332"/>
      <c r="AW602" s="332"/>
      <c r="AX602" s="332"/>
      <c r="AY602" s="332"/>
      <c r="AZ602" s="332"/>
      <c r="BA602" s="332"/>
      <c r="BB602" s="332"/>
      <c r="BC602" s="332"/>
      <c r="BD602" s="332"/>
      <c r="BE602" s="332"/>
      <c r="BF602" s="332"/>
      <c r="BG602" s="332"/>
      <c r="BH602" s="332"/>
      <c r="BI602" s="332"/>
      <c r="BJ602" s="332"/>
      <c r="BK602" s="332"/>
      <c r="BL602" s="332"/>
      <c r="BM602" s="332"/>
      <c r="BN602" s="332"/>
      <c r="BO602" s="332"/>
      <c r="BP602" s="332"/>
      <c r="BQ602" s="332"/>
      <c r="BR602" s="332"/>
      <c r="BS602" s="332"/>
      <c r="BT602" s="332"/>
      <c r="BU602" s="332"/>
      <c r="BV602" s="332"/>
      <c r="BW602" s="332"/>
      <c r="BX602" s="332"/>
      <c r="BY602" s="332"/>
      <c r="BZ602" s="332"/>
      <c r="CA602" s="332"/>
      <c r="CB602" s="332"/>
      <c r="CC602" s="332"/>
      <c r="CD602" s="332"/>
      <c r="CE602" s="332"/>
      <c r="CF602" s="332"/>
      <c r="CG602" s="332"/>
      <c r="CH602" s="332"/>
      <c r="CI602" s="332"/>
      <c r="CJ602" s="332"/>
      <c r="CK602" s="332"/>
      <c r="CL602" s="332"/>
      <c r="CM602" s="332"/>
      <c r="CN602" s="332"/>
      <c r="CO602" s="332"/>
      <c r="CP602" s="332"/>
      <c r="CQ602" s="332"/>
      <c r="CR602" s="332"/>
      <c r="CS602" s="332"/>
      <c r="CT602" s="332"/>
      <c r="CU602" s="332"/>
      <c r="CV602" s="332"/>
      <c r="CW602" s="332"/>
      <c r="CX602" s="332"/>
      <c r="CY602" s="332"/>
      <c r="CZ602" s="332"/>
      <c r="DA602" s="332"/>
      <c r="DB602" s="332"/>
      <c r="DC602" s="332"/>
      <c r="DD602" s="332"/>
      <c r="DE602" s="332"/>
      <c r="DF602" s="332"/>
      <c r="DG602" s="332"/>
      <c r="DH602" s="332"/>
      <c r="DI602" s="332"/>
      <c r="DJ602" s="332"/>
      <c r="DK602" s="332"/>
      <c r="DL602" s="332"/>
      <c r="DM602" s="332"/>
      <c r="DN602" s="332"/>
      <c r="DO602" s="332"/>
      <c r="DP602" s="332"/>
      <c r="DQ602" s="332"/>
      <c r="DR602" s="332"/>
      <c r="DS602" s="332"/>
      <c r="DT602" s="332"/>
      <c r="DU602" s="453"/>
      <c r="DV602" s="453"/>
      <c r="DW602" s="453"/>
      <c r="DX602" s="453"/>
      <c r="DY602" s="453"/>
      <c r="DZ602" s="453"/>
      <c r="EA602" s="453"/>
      <c r="EB602" s="453"/>
      <c r="EC602" s="453"/>
      <c r="ED602" s="453"/>
      <c r="EE602" s="453"/>
      <c r="EF602" s="453"/>
      <c r="EG602" s="453"/>
      <c r="EH602" s="453"/>
      <c r="EI602" s="453"/>
      <c r="EJ602" s="453"/>
      <c r="EK602" s="453"/>
      <c r="EL602" s="453"/>
      <c r="EM602" s="483">
        <f t="shared" si="224"/>
        <v>293</v>
      </c>
      <c r="EN602" s="485"/>
      <c r="EO602" s="804"/>
      <c r="EP602" s="805"/>
      <c r="EQ602" s="806"/>
      <c r="ER602" s="808"/>
      <c r="ES602" s="881">
        <f t="shared" si="225"/>
        <v>0</v>
      </c>
      <c r="ET602" s="882"/>
      <c r="EU602" s="883"/>
      <c r="EV602" s="884">
        <f t="shared" si="223"/>
        <v>0</v>
      </c>
      <c r="EW602" s="885"/>
      <c r="EX602" s="885"/>
      <c r="EY602" s="885"/>
      <c r="EZ602" s="885"/>
      <c r="FA602" s="885"/>
      <c r="FB602" s="885"/>
      <c r="FC602" s="885"/>
      <c r="FD602" s="886"/>
      <c r="FE602" s="878"/>
      <c r="FF602" s="878"/>
      <c r="FG602" s="878"/>
      <c r="FH602" s="878"/>
      <c r="FI602" s="878"/>
      <c r="FJ602" s="878"/>
      <c r="FK602" s="878"/>
      <c r="FL602" s="555"/>
      <c r="FM602" s="554"/>
      <c r="FN602" s="554"/>
      <c r="FO602" s="554"/>
      <c r="FP602" s="554"/>
      <c r="FQ602" s="554"/>
      <c r="FR602" s="554"/>
      <c r="FS602" s="554"/>
      <c r="FT602" s="554"/>
      <c r="FU602" s="554"/>
      <c r="FV602" s="554"/>
      <c r="FW602" s="554"/>
      <c r="FX602" s="554"/>
      <c r="FY602" s="554"/>
      <c r="FZ602" s="554"/>
      <c r="GA602" s="554"/>
      <c r="GB602" s="556"/>
      <c r="GC602" s="370"/>
      <c r="GD602" s="453"/>
      <c r="GE602" s="453"/>
      <c r="GF602" s="453"/>
      <c r="GG602" s="453"/>
      <c r="GH602" s="454"/>
      <c r="GI602" s="453"/>
      <c r="GJ602" s="453"/>
      <c r="GK602" s="453"/>
      <c r="GL602" s="453"/>
      <c r="GM602" s="453"/>
      <c r="GN602" s="453"/>
      <c r="GO602" s="453"/>
      <c r="GP602" s="453"/>
      <c r="GQ602" s="453"/>
      <c r="GR602" s="453"/>
      <c r="GS602" s="561"/>
      <c r="GT602" s="475"/>
      <c r="GU602" s="472"/>
      <c r="GV602" s="453"/>
      <c r="GW602" s="453"/>
      <c r="GX602" s="869"/>
      <c r="GY602" s="870"/>
      <c r="GZ602" s="867"/>
      <c r="HA602" s="868"/>
      <c r="HB602" s="473"/>
      <c r="HC602" s="869"/>
      <c r="HD602" s="870"/>
      <c r="HE602" s="867"/>
      <c r="HF602" s="868"/>
      <c r="HG602" s="473"/>
      <c r="HH602" s="867"/>
      <c r="HI602" s="868"/>
      <c r="HJ602" s="867"/>
      <c r="HK602" s="868"/>
      <c r="HL602" s="370"/>
      <c r="HM602" s="865"/>
      <c r="HN602" s="866"/>
      <c r="HO602" s="865"/>
      <c r="HP602" s="866"/>
      <c r="HQ602" s="865"/>
      <c r="HR602" s="866"/>
      <c r="HS602" s="867"/>
      <c r="HT602" s="868"/>
      <c r="HU602" s="489"/>
      <c r="HV602" s="865"/>
      <c r="HW602" s="866"/>
    </row>
    <row r="603" spans="25:231" ht="15" customHeight="1">
      <c r="Y603" s="332"/>
      <c r="Z603" s="332"/>
      <c r="AA603" s="332"/>
      <c r="AB603" s="332"/>
      <c r="AC603" s="332"/>
      <c r="AD603" s="332"/>
      <c r="AE603" s="332"/>
      <c r="AF603" s="332"/>
      <c r="AG603" s="332"/>
      <c r="AH603" s="332"/>
      <c r="AI603" s="332"/>
      <c r="AJ603" s="332"/>
      <c r="AK603" s="332"/>
      <c r="AL603" s="332"/>
      <c r="AM603" s="332"/>
      <c r="AN603" s="332"/>
      <c r="AO603" s="332"/>
      <c r="AP603" s="332"/>
      <c r="AQ603" s="332"/>
      <c r="AR603" s="332"/>
      <c r="AS603" s="332"/>
      <c r="AT603" s="332"/>
      <c r="AU603" s="332"/>
      <c r="AV603" s="332"/>
      <c r="AW603" s="332"/>
      <c r="AX603" s="332"/>
      <c r="AY603" s="332"/>
      <c r="AZ603" s="332"/>
      <c r="BA603" s="332"/>
      <c r="BB603" s="332"/>
      <c r="BC603" s="332"/>
      <c r="BD603" s="332"/>
      <c r="BE603" s="332"/>
      <c r="BF603" s="332"/>
      <c r="BG603" s="332"/>
      <c r="BH603" s="332"/>
      <c r="BI603" s="332"/>
      <c r="BJ603" s="332"/>
      <c r="BK603" s="332"/>
      <c r="BL603" s="332"/>
      <c r="BM603" s="332"/>
      <c r="BN603" s="332"/>
      <c r="BO603" s="332"/>
      <c r="BP603" s="332"/>
      <c r="BQ603" s="332"/>
      <c r="BR603" s="332"/>
      <c r="BS603" s="332"/>
      <c r="BT603" s="332"/>
      <c r="BU603" s="332"/>
      <c r="BV603" s="332"/>
      <c r="BW603" s="332"/>
      <c r="BX603" s="332"/>
      <c r="BY603" s="332"/>
      <c r="BZ603" s="332"/>
      <c r="CA603" s="332"/>
      <c r="CB603" s="332"/>
      <c r="CC603" s="332"/>
      <c r="CD603" s="332"/>
      <c r="CE603" s="332"/>
      <c r="CF603" s="332"/>
      <c r="CG603" s="332"/>
      <c r="CH603" s="332"/>
      <c r="CI603" s="332"/>
      <c r="CJ603" s="332"/>
      <c r="CK603" s="332"/>
      <c r="CL603" s="332"/>
      <c r="CM603" s="332"/>
      <c r="CN603" s="332"/>
      <c r="CO603" s="332"/>
      <c r="CP603" s="332"/>
      <c r="CQ603" s="332"/>
      <c r="CR603" s="332"/>
      <c r="CS603" s="332"/>
      <c r="CT603" s="332"/>
      <c r="CU603" s="332"/>
      <c r="CV603" s="332"/>
      <c r="CW603" s="332"/>
      <c r="CX603" s="332"/>
      <c r="CY603" s="332"/>
      <c r="CZ603" s="332"/>
      <c r="DA603" s="332"/>
      <c r="DB603" s="332"/>
      <c r="DC603" s="332"/>
      <c r="DD603" s="332"/>
      <c r="DE603" s="332"/>
      <c r="DF603" s="332"/>
      <c r="DG603" s="332"/>
      <c r="DH603" s="332"/>
      <c r="DI603" s="332"/>
      <c r="DJ603" s="332"/>
      <c r="DK603" s="332"/>
      <c r="DL603" s="332"/>
      <c r="DM603" s="332"/>
      <c r="DN603" s="332"/>
      <c r="DO603" s="332"/>
      <c r="DP603" s="332"/>
      <c r="DQ603" s="332"/>
      <c r="DR603" s="332"/>
      <c r="DS603" s="332"/>
      <c r="DT603" s="332"/>
      <c r="DU603" s="453"/>
      <c r="DV603" s="453"/>
      <c r="DW603" s="453"/>
      <c r="DX603" s="453"/>
      <c r="DY603" s="453"/>
      <c r="DZ603" s="453"/>
      <c r="EA603" s="453"/>
      <c r="EB603" s="453"/>
      <c r="EC603" s="453"/>
      <c r="ED603" s="453"/>
      <c r="EE603" s="453"/>
      <c r="EF603" s="453"/>
      <c r="EG603" s="453"/>
      <c r="EH603" s="453"/>
      <c r="EI603" s="453"/>
      <c r="EJ603" s="453"/>
      <c r="EK603" s="453"/>
      <c r="EL603" s="453"/>
      <c r="EM603" s="483">
        <f t="shared" si="224"/>
        <v>294</v>
      </c>
      <c r="EN603" s="485"/>
      <c r="EO603" s="804"/>
      <c r="EP603" s="805"/>
      <c r="EQ603" s="806"/>
      <c r="ER603" s="808"/>
      <c r="ES603" s="881">
        <f t="shared" si="225"/>
        <v>0</v>
      </c>
      <c r="ET603" s="882"/>
      <c r="EU603" s="883"/>
      <c r="EV603" s="884">
        <f t="shared" si="223"/>
        <v>0</v>
      </c>
      <c r="EW603" s="885"/>
      <c r="EX603" s="885"/>
      <c r="EY603" s="885"/>
      <c r="EZ603" s="885"/>
      <c r="FA603" s="885"/>
      <c r="FB603" s="885"/>
      <c r="FC603" s="885"/>
      <c r="FD603" s="886"/>
      <c r="FE603" s="878"/>
      <c r="FF603" s="878"/>
      <c r="FG603" s="878"/>
      <c r="FH603" s="878"/>
      <c r="FI603" s="878"/>
      <c r="FJ603" s="878"/>
      <c r="FK603" s="878"/>
      <c r="FL603" s="555"/>
      <c r="FM603" s="554"/>
      <c r="FN603" s="554"/>
      <c r="FO603" s="554"/>
      <c r="FP603" s="554"/>
      <c r="FQ603" s="554"/>
      <c r="FR603" s="554"/>
      <c r="FS603" s="554"/>
      <c r="FT603" s="554"/>
      <c r="FU603" s="554"/>
      <c r="FV603" s="554"/>
      <c r="FW603" s="554"/>
      <c r="FX603" s="554"/>
      <c r="FY603" s="554"/>
      <c r="FZ603" s="554"/>
      <c r="GA603" s="554"/>
      <c r="GB603" s="556"/>
      <c r="GC603" s="370"/>
      <c r="GD603" s="453"/>
      <c r="GE603" s="453"/>
      <c r="GF603" s="453"/>
      <c r="GG603" s="453"/>
      <c r="GH603" s="454"/>
      <c r="GI603" s="453"/>
      <c r="GJ603" s="453"/>
      <c r="GK603" s="453"/>
      <c r="GL603" s="453"/>
      <c r="GM603" s="453"/>
      <c r="GN603" s="453"/>
      <c r="GO603" s="453"/>
      <c r="GP603" s="453"/>
      <c r="GQ603" s="453"/>
      <c r="GR603" s="453"/>
      <c r="GS603" s="561"/>
      <c r="GT603" s="475"/>
      <c r="GU603" s="472"/>
      <c r="GV603" s="453"/>
      <c r="GW603" s="453"/>
      <c r="GX603" s="869"/>
      <c r="GY603" s="870"/>
      <c r="GZ603" s="867"/>
      <c r="HA603" s="868"/>
      <c r="HB603" s="473"/>
      <c r="HC603" s="869"/>
      <c r="HD603" s="870"/>
      <c r="HE603" s="867"/>
      <c r="HF603" s="868"/>
      <c r="HG603" s="473"/>
      <c r="HH603" s="867"/>
      <c r="HI603" s="868"/>
      <c r="HJ603" s="867"/>
      <c r="HK603" s="868"/>
      <c r="HL603" s="370"/>
      <c r="HM603" s="865"/>
      <c r="HN603" s="866"/>
      <c r="HO603" s="865"/>
      <c r="HP603" s="866"/>
      <c r="HQ603" s="865"/>
      <c r="HR603" s="866"/>
      <c r="HS603" s="867"/>
      <c r="HT603" s="868"/>
      <c r="HU603" s="489"/>
      <c r="HV603" s="865"/>
      <c r="HW603" s="866"/>
    </row>
    <row r="604" spans="25:231" ht="15" customHeight="1">
      <c r="Y604" s="332"/>
      <c r="Z604" s="332"/>
      <c r="AA604" s="332"/>
      <c r="AB604" s="332"/>
      <c r="AC604" s="332"/>
      <c r="AD604" s="332"/>
      <c r="AE604" s="332"/>
      <c r="AF604" s="332"/>
      <c r="AG604" s="332"/>
      <c r="AH604" s="332"/>
      <c r="AI604" s="332"/>
      <c r="AJ604" s="332"/>
      <c r="AK604" s="332"/>
      <c r="AL604" s="332"/>
      <c r="AM604" s="332"/>
      <c r="AN604" s="332"/>
      <c r="AO604" s="332"/>
      <c r="AP604" s="332"/>
      <c r="AQ604" s="332"/>
      <c r="AR604" s="332"/>
      <c r="AS604" s="332"/>
      <c r="AT604" s="332"/>
      <c r="AU604" s="332"/>
      <c r="AV604" s="332"/>
      <c r="AW604" s="332"/>
      <c r="AX604" s="332"/>
      <c r="AY604" s="332"/>
      <c r="AZ604" s="332"/>
      <c r="BA604" s="332"/>
      <c r="BB604" s="332"/>
      <c r="BC604" s="332"/>
      <c r="BD604" s="332"/>
      <c r="BE604" s="332"/>
      <c r="BF604" s="332"/>
      <c r="BG604" s="332"/>
      <c r="BH604" s="332"/>
      <c r="BI604" s="332"/>
      <c r="BJ604" s="332"/>
      <c r="BK604" s="332"/>
      <c r="BL604" s="332"/>
      <c r="BM604" s="332"/>
      <c r="BN604" s="332"/>
      <c r="BO604" s="332"/>
      <c r="BP604" s="332"/>
      <c r="BQ604" s="332"/>
      <c r="BR604" s="332"/>
      <c r="BS604" s="332"/>
      <c r="BT604" s="332"/>
      <c r="BU604" s="332"/>
      <c r="BV604" s="332"/>
      <c r="BW604" s="332"/>
      <c r="BX604" s="332"/>
      <c r="BY604" s="332"/>
      <c r="BZ604" s="332"/>
      <c r="CA604" s="332"/>
      <c r="CB604" s="332"/>
      <c r="CC604" s="332"/>
      <c r="CD604" s="332"/>
      <c r="CE604" s="332"/>
      <c r="CF604" s="332"/>
      <c r="CG604" s="332"/>
      <c r="CH604" s="332"/>
      <c r="CI604" s="332"/>
      <c r="CJ604" s="332"/>
      <c r="CK604" s="332"/>
      <c r="CL604" s="332"/>
      <c r="CM604" s="332"/>
      <c r="CN604" s="332"/>
      <c r="CO604" s="332"/>
      <c r="CP604" s="332"/>
      <c r="CQ604" s="332"/>
      <c r="CR604" s="332"/>
      <c r="CS604" s="332"/>
      <c r="CT604" s="332"/>
      <c r="CU604" s="332"/>
      <c r="CV604" s="332"/>
      <c r="CW604" s="332"/>
      <c r="CX604" s="332"/>
      <c r="CY604" s="332"/>
      <c r="CZ604" s="332"/>
      <c r="DA604" s="332"/>
      <c r="DB604" s="332"/>
      <c r="DC604" s="332"/>
      <c r="DD604" s="332"/>
      <c r="DE604" s="332"/>
      <c r="DF604" s="332"/>
      <c r="DG604" s="332"/>
      <c r="DH604" s="332"/>
      <c r="DI604" s="332"/>
      <c r="DJ604" s="332"/>
      <c r="DK604" s="332"/>
      <c r="DL604" s="332"/>
      <c r="DM604" s="332"/>
      <c r="DN604" s="332"/>
      <c r="DO604" s="332"/>
      <c r="DP604" s="332"/>
      <c r="DQ604" s="332"/>
      <c r="DR604" s="332"/>
      <c r="DS604" s="332"/>
      <c r="DT604" s="332"/>
      <c r="DU604" s="453"/>
      <c r="DV604" s="453"/>
      <c r="DW604" s="453"/>
      <c r="DX604" s="453"/>
      <c r="DY604" s="453"/>
      <c r="DZ604" s="453"/>
      <c r="EA604" s="453"/>
      <c r="EB604" s="453"/>
      <c r="EC604" s="453"/>
      <c r="ED604" s="453"/>
      <c r="EE604" s="453"/>
      <c r="EF604" s="453"/>
      <c r="EG604" s="453"/>
      <c r="EH604" s="453"/>
      <c r="EI604" s="453"/>
      <c r="EJ604" s="453"/>
      <c r="EK604" s="453"/>
      <c r="EL604" s="453"/>
      <c r="EM604" s="483">
        <f t="shared" si="224"/>
        <v>295</v>
      </c>
      <c r="EN604" s="485"/>
      <c r="EO604" s="804"/>
      <c r="EP604" s="805"/>
      <c r="EQ604" s="820"/>
      <c r="ER604" s="808"/>
      <c r="ES604" s="881">
        <f t="shared" si="225"/>
        <v>0</v>
      </c>
      <c r="ET604" s="882"/>
      <c r="EU604" s="883"/>
      <c r="EV604" s="884">
        <f t="shared" si="223"/>
        <v>0</v>
      </c>
      <c r="EW604" s="885"/>
      <c r="EX604" s="885"/>
      <c r="EY604" s="885"/>
      <c r="EZ604" s="885"/>
      <c r="FA604" s="885"/>
      <c r="FB604" s="885"/>
      <c r="FC604" s="885"/>
      <c r="FD604" s="886"/>
      <c r="FE604" s="878"/>
      <c r="FF604" s="878"/>
      <c r="FG604" s="878"/>
      <c r="FH604" s="878"/>
      <c r="FI604" s="878"/>
      <c r="FJ604" s="878"/>
      <c r="FK604" s="878"/>
      <c r="FL604" s="555"/>
      <c r="FM604" s="554"/>
      <c r="FN604" s="554"/>
      <c r="FO604" s="554"/>
      <c r="FP604" s="554"/>
      <c r="FQ604" s="554"/>
      <c r="FR604" s="554"/>
      <c r="FS604" s="554"/>
      <c r="FT604" s="554"/>
      <c r="FU604" s="554"/>
      <c r="FV604" s="554"/>
      <c r="FW604" s="554"/>
      <c r="FX604" s="554"/>
      <c r="FY604" s="554"/>
      <c r="FZ604" s="554"/>
      <c r="GA604" s="554"/>
      <c r="GB604" s="556"/>
      <c r="GC604" s="370"/>
      <c r="GD604" s="453"/>
      <c r="GE604" s="453"/>
      <c r="GF604" s="453"/>
      <c r="GG604" s="453"/>
      <c r="GH604" s="454"/>
      <c r="GI604" s="453"/>
      <c r="GJ604" s="453"/>
      <c r="GK604" s="453"/>
      <c r="GL604" s="453"/>
      <c r="GM604" s="453"/>
      <c r="GN604" s="453"/>
      <c r="GO604" s="453"/>
      <c r="GP604" s="453"/>
      <c r="GQ604" s="453"/>
      <c r="GR604" s="453"/>
      <c r="GS604" s="561"/>
      <c r="GT604" s="475"/>
      <c r="GU604" s="472"/>
      <c r="GV604" s="453"/>
      <c r="GW604" s="453"/>
      <c r="GX604" s="869"/>
      <c r="GY604" s="870"/>
      <c r="GZ604" s="867"/>
      <c r="HA604" s="868"/>
      <c r="HB604" s="473"/>
      <c r="HC604" s="869"/>
      <c r="HD604" s="870"/>
      <c r="HE604" s="867"/>
      <c r="HF604" s="868"/>
      <c r="HG604" s="473"/>
      <c r="HH604" s="867"/>
      <c r="HI604" s="868"/>
      <c r="HJ604" s="867"/>
      <c r="HK604" s="868"/>
      <c r="HL604" s="370"/>
      <c r="HM604" s="865"/>
      <c r="HN604" s="866"/>
      <c r="HO604" s="865"/>
      <c r="HP604" s="866"/>
      <c r="HQ604" s="865"/>
      <c r="HR604" s="866"/>
      <c r="HS604" s="867"/>
      <c r="HT604" s="868"/>
      <c r="HU604" s="489"/>
      <c r="HV604" s="865"/>
      <c r="HW604" s="866"/>
    </row>
    <row r="605" spans="25:231" ht="15" customHeight="1">
      <c r="Y605" s="332"/>
      <c r="Z605" s="332"/>
      <c r="AA605" s="332"/>
      <c r="AB605" s="332"/>
      <c r="AC605" s="332"/>
      <c r="AD605" s="332"/>
      <c r="AE605" s="332"/>
      <c r="AF605" s="332"/>
      <c r="AG605" s="332"/>
      <c r="AH605" s="332"/>
      <c r="AI605" s="332"/>
      <c r="AJ605" s="332"/>
      <c r="AK605" s="332"/>
      <c r="AL605" s="332"/>
      <c r="AM605" s="332"/>
      <c r="AN605" s="332"/>
      <c r="AO605" s="332"/>
      <c r="AP605" s="332"/>
      <c r="AQ605" s="332"/>
      <c r="AR605" s="332"/>
      <c r="AS605" s="332"/>
      <c r="AT605" s="332"/>
      <c r="AU605" s="332"/>
      <c r="AV605" s="332"/>
      <c r="AW605" s="332"/>
      <c r="AX605" s="332"/>
      <c r="AY605" s="332"/>
      <c r="AZ605" s="332"/>
      <c r="BA605" s="332"/>
      <c r="BB605" s="332"/>
      <c r="BC605" s="332"/>
      <c r="BD605" s="332"/>
      <c r="BE605" s="332"/>
      <c r="BF605" s="332"/>
      <c r="BG605" s="332"/>
      <c r="BH605" s="332"/>
      <c r="BI605" s="332"/>
      <c r="BJ605" s="332"/>
      <c r="BK605" s="332"/>
      <c r="BL605" s="332"/>
      <c r="BM605" s="332"/>
      <c r="BN605" s="332"/>
      <c r="BO605" s="332"/>
      <c r="BP605" s="332"/>
      <c r="BQ605" s="332"/>
      <c r="BR605" s="332"/>
      <c r="BS605" s="332"/>
      <c r="BT605" s="332"/>
      <c r="BU605" s="332"/>
      <c r="BV605" s="332"/>
      <c r="BW605" s="332"/>
      <c r="BX605" s="332"/>
      <c r="BY605" s="332"/>
      <c r="BZ605" s="332"/>
      <c r="CA605" s="332"/>
      <c r="CB605" s="332"/>
      <c r="CC605" s="332"/>
      <c r="CD605" s="332"/>
      <c r="CE605" s="332"/>
      <c r="CF605" s="332"/>
      <c r="CG605" s="332"/>
      <c r="CH605" s="332"/>
      <c r="CI605" s="332"/>
      <c r="CJ605" s="332"/>
      <c r="CK605" s="332"/>
      <c r="CL605" s="332"/>
      <c r="CM605" s="332"/>
      <c r="CN605" s="332"/>
      <c r="CO605" s="332"/>
      <c r="CP605" s="332"/>
      <c r="CQ605" s="332"/>
      <c r="CR605" s="332"/>
      <c r="CS605" s="332"/>
      <c r="CT605" s="332"/>
      <c r="CU605" s="332"/>
      <c r="CV605" s="332"/>
      <c r="CW605" s="332"/>
      <c r="CX605" s="332"/>
      <c r="CY605" s="332"/>
      <c r="CZ605" s="332"/>
      <c r="DA605" s="332"/>
      <c r="DB605" s="332"/>
      <c r="DC605" s="332"/>
      <c r="DD605" s="332"/>
      <c r="DE605" s="332"/>
      <c r="DF605" s="332"/>
      <c r="DG605" s="332"/>
      <c r="DH605" s="332"/>
      <c r="DI605" s="332"/>
      <c r="DJ605" s="332"/>
      <c r="DK605" s="332"/>
      <c r="DL605" s="332"/>
      <c r="DM605" s="332"/>
      <c r="DN605" s="332"/>
      <c r="DO605" s="332"/>
      <c r="DP605" s="332"/>
      <c r="DQ605" s="332"/>
      <c r="DR605" s="332"/>
      <c r="DS605" s="332"/>
      <c r="DT605" s="332"/>
      <c r="DU605" s="453"/>
      <c r="DV605" s="453"/>
      <c r="DW605" s="453"/>
      <c r="DX605" s="453"/>
      <c r="DY605" s="453"/>
      <c r="DZ605" s="453"/>
      <c r="EA605" s="453"/>
      <c r="EB605" s="453"/>
      <c r="EC605" s="453"/>
      <c r="ED605" s="453"/>
      <c r="EE605" s="453"/>
      <c r="EF605" s="453"/>
      <c r="EG605" s="453"/>
      <c r="EH605" s="453"/>
      <c r="EI605" s="453"/>
      <c r="EJ605" s="453"/>
      <c r="EK605" s="453"/>
      <c r="EL605" s="453"/>
      <c r="EM605" s="483">
        <f t="shared" si="224"/>
        <v>296</v>
      </c>
      <c r="EN605" s="485"/>
      <c r="EO605" s="804"/>
      <c r="EP605" s="805"/>
      <c r="EQ605" s="806"/>
      <c r="ER605" s="808"/>
      <c r="ES605" s="881">
        <f t="shared" si="225"/>
        <v>0</v>
      </c>
      <c r="ET605" s="882"/>
      <c r="EU605" s="883"/>
      <c r="EV605" s="884">
        <f t="shared" si="223"/>
        <v>0</v>
      </c>
      <c r="EW605" s="885"/>
      <c r="EX605" s="885"/>
      <c r="EY605" s="885"/>
      <c r="EZ605" s="885"/>
      <c r="FA605" s="885"/>
      <c r="FB605" s="885"/>
      <c r="FC605" s="885"/>
      <c r="FD605" s="886"/>
      <c r="FE605" s="878"/>
      <c r="FF605" s="878"/>
      <c r="FG605" s="878"/>
      <c r="FH605" s="878"/>
      <c r="FI605" s="878"/>
      <c r="FJ605" s="878"/>
      <c r="FK605" s="878"/>
      <c r="FL605" s="555"/>
      <c r="FM605" s="554"/>
      <c r="FN605" s="554"/>
      <c r="FO605" s="554"/>
      <c r="FP605" s="554"/>
      <c r="FQ605" s="554"/>
      <c r="FR605" s="554"/>
      <c r="FS605" s="554"/>
      <c r="FT605" s="554"/>
      <c r="FU605" s="554"/>
      <c r="FV605" s="554"/>
      <c r="FW605" s="554"/>
      <c r="FX605" s="554"/>
      <c r="FY605" s="554"/>
      <c r="FZ605" s="554"/>
      <c r="GA605" s="554"/>
      <c r="GB605" s="556"/>
      <c r="GC605" s="370"/>
      <c r="GD605" s="453"/>
      <c r="GE605" s="453"/>
      <c r="GF605" s="453"/>
      <c r="GG605" s="453"/>
      <c r="GH605" s="454"/>
      <c r="GI605" s="453"/>
      <c r="GJ605" s="453"/>
      <c r="GK605" s="453"/>
      <c r="GL605" s="453"/>
      <c r="GM605" s="453"/>
      <c r="GN605" s="453"/>
      <c r="GO605" s="453"/>
      <c r="GP605" s="453"/>
      <c r="GQ605" s="453"/>
      <c r="GR605" s="453"/>
      <c r="GS605" s="561"/>
      <c r="GT605" s="475"/>
      <c r="GU605" s="472"/>
      <c r="GV605" s="453"/>
      <c r="GW605" s="453"/>
      <c r="GX605" s="869"/>
      <c r="GY605" s="870"/>
      <c r="GZ605" s="867"/>
      <c r="HA605" s="868"/>
      <c r="HB605" s="473"/>
      <c r="HC605" s="869"/>
      <c r="HD605" s="870"/>
      <c r="HE605" s="867"/>
      <c r="HF605" s="868"/>
      <c r="HG605" s="473"/>
      <c r="HH605" s="867"/>
      <c r="HI605" s="868"/>
      <c r="HJ605" s="867"/>
      <c r="HK605" s="868"/>
      <c r="HL605" s="370"/>
      <c r="HM605" s="865"/>
      <c r="HN605" s="866"/>
      <c r="HO605" s="865"/>
      <c r="HP605" s="866"/>
      <c r="HQ605" s="865"/>
      <c r="HR605" s="866"/>
      <c r="HS605" s="867"/>
      <c r="HT605" s="868"/>
      <c r="HU605" s="489"/>
      <c r="HV605" s="865"/>
      <c r="HW605" s="866"/>
    </row>
    <row r="606" spans="25:231" ht="15" customHeight="1">
      <c r="Y606" s="332"/>
      <c r="Z606" s="332"/>
      <c r="AA606" s="332"/>
      <c r="AB606" s="332"/>
      <c r="AC606" s="332"/>
      <c r="AD606" s="332"/>
      <c r="AE606" s="332"/>
      <c r="AF606" s="332"/>
      <c r="AG606" s="332"/>
      <c r="AH606" s="332"/>
      <c r="AI606" s="332"/>
      <c r="AJ606" s="332"/>
      <c r="AK606" s="332"/>
      <c r="AL606" s="332"/>
      <c r="AM606" s="332"/>
      <c r="AN606" s="332"/>
      <c r="AO606" s="332"/>
      <c r="AP606" s="332"/>
      <c r="AQ606" s="332"/>
      <c r="AR606" s="332"/>
      <c r="AS606" s="332"/>
      <c r="AT606" s="332"/>
      <c r="AU606" s="332"/>
      <c r="AV606" s="332"/>
      <c r="AW606" s="332"/>
      <c r="AX606" s="332"/>
      <c r="AY606" s="332"/>
      <c r="AZ606" s="332"/>
      <c r="BA606" s="332"/>
      <c r="BB606" s="332"/>
      <c r="BC606" s="332"/>
      <c r="BD606" s="332"/>
      <c r="BE606" s="332"/>
      <c r="BF606" s="332"/>
      <c r="BG606" s="332"/>
      <c r="BH606" s="332"/>
      <c r="BI606" s="332"/>
      <c r="BJ606" s="332"/>
      <c r="BK606" s="332"/>
      <c r="BL606" s="332"/>
      <c r="BM606" s="332"/>
      <c r="BN606" s="332"/>
      <c r="BO606" s="332"/>
      <c r="BP606" s="332"/>
      <c r="BQ606" s="332"/>
      <c r="BR606" s="332"/>
      <c r="BS606" s="332"/>
      <c r="BT606" s="332"/>
      <c r="BU606" s="332"/>
      <c r="BV606" s="332"/>
      <c r="BW606" s="332"/>
      <c r="BX606" s="332"/>
      <c r="BY606" s="332"/>
      <c r="BZ606" s="332"/>
      <c r="CA606" s="332"/>
      <c r="CB606" s="332"/>
      <c r="CC606" s="332"/>
      <c r="CD606" s="332"/>
      <c r="CE606" s="332"/>
      <c r="CF606" s="332"/>
      <c r="CG606" s="332"/>
      <c r="CH606" s="332"/>
      <c r="CI606" s="332"/>
      <c r="CJ606" s="332"/>
      <c r="CK606" s="332"/>
      <c r="CL606" s="332"/>
      <c r="CM606" s="332"/>
      <c r="CN606" s="332"/>
      <c r="CO606" s="332"/>
      <c r="CP606" s="332"/>
      <c r="CQ606" s="332"/>
      <c r="CR606" s="332"/>
      <c r="CS606" s="332"/>
      <c r="CT606" s="332"/>
      <c r="CU606" s="332"/>
      <c r="CV606" s="332"/>
      <c r="CW606" s="332"/>
      <c r="CX606" s="332"/>
      <c r="CY606" s="332"/>
      <c r="CZ606" s="332"/>
      <c r="DA606" s="332"/>
      <c r="DB606" s="332"/>
      <c r="DC606" s="332"/>
      <c r="DD606" s="332"/>
      <c r="DE606" s="332"/>
      <c r="DF606" s="332"/>
      <c r="DG606" s="332"/>
      <c r="DH606" s="332"/>
      <c r="DI606" s="332"/>
      <c r="DJ606" s="332"/>
      <c r="DK606" s="332"/>
      <c r="DL606" s="332"/>
      <c r="DM606" s="332"/>
      <c r="DN606" s="332"/>
      <c r="DO606" s="332"/>
      <c r="DP606" s="332"/>
      <c r="DQ606" s="332"/>
      <c r="DR606" s="332"/>
      <c r="DS606" s="332"/>
      <c r="DT606" s="332"/>
      <c r="DU606" s="453"/>
      <c r="DV606" s="453"/>
      <c r="DW606" s="453"/>
      <c r="DX606" s="453"/>
      <c r="DY606" s="453"/>
      <c r="DZ606" s="453"/>
      <c r="EA606" s="453"/>
      <c r="EB606" s="453"/>
      <c r="EC606" s="453"/>
      <c r="ED606" s="453"/>
      <c r="EE606" s="453"/>
      <c r="EF606" s="453"/>
      <c r="EG606" s="453"/>
      <c r="EH606" s="453"/>
      <c r="EI606" s="453"/>
      <c r="EJ606" s="453"/>
      <c r="EK606" s="453"/>
      <c r="EL606" s="453"/>
      <c r="EM606" s="483">
        <f t="shared" si="224"/>
        <v>297</v>
      </c>
      <c r="EN606" s="485"/>
      <c r="EO606" s="804"/>
      <c r="EP606" s="805"/>
      <c r="EQ606" s="820"/>
      <c r="ER606" s="808"/>
      <c r="ES606" s="881">
        <f t="shared" si="225"/>
        <v>0</v>
      </c>
      <c r="ET606" s="882"/>
      <c r="EU606" s="883"/>
      <c r="EV606" s="884">
        <f t="shared" si="223"/>
        <v>0</v>
      </c>
      <c r="EW606" s="885"/>
      <c r="EX606" s="885"/>
      <c r="EY606" s="885"/>
      <c r="EZ606" s="885"/>
      <c r="FA606" s="885"/>
      <c r="FB606" s="885"/>
      <c r="FC606" s="885"/>
      <c r="FD606" s="886"/>
      <c r="FE606" s="878"/>
      <c r="FF606" s="878"/>
      <c r="FG606" s="878"/>
      <c r="FH606" s="878"/>
      <c r="FI606" s="878"/>
      <c r="FJ606" s="878"/>
      <c r="FK606" s="878"/>
      <c r="FL606" s="555"/>
      <c r="FM606" s="554"/>
      <c r="FN606" s="554"/>
      <c r="FO606" s="554"/>
      <c r="FP606" s="554"/>
      <c r="FQ606" s="554"/>
      <c r="FR606" s="554"/>
      <c r="FS606" s="554"/>
      <c r="FT606" s="554"/>
      <c r="FU606" s="554"/>
      <c r="FV606" s="554"/>
      <c r="FW606" s="554"/>
      <c r="FX606" s="554"/>
      <c r="FY606" s="554"/>
      <c r="FZ606" s="554"/>
      <c r="GA606" s="554"/>
      <c r="GB606" s="556"/>
      <c r="GC606" s="370"/>
      <c r="GD606" s="453"/>
      <c r="GE606" s="453"/>
      <c r="GF606" s="453"/>
      <c r="GG606" s="453"/>
      <c r="GH606" s="454"/>
      <c r="GI606" s="453"/>
      <c r="GJ606" s="453"/>
      <c r="GK606" s="453"/>
      <c r="GL606" s="453"/>
      <c r="GM606" s="453"/>
      <c r="GN606" s="453"/>
      <c r="GO606" s="453"/>
      <c r="GP606" s="453"/>
      <c r="GQ606" s="453"/>
      <c r="GR606" s="453"/>
      <c r="GS606" s="561"/>
      <c r="GT606" s="475"/>
      <c r="GU606" s="472"/>
      <c r="GV606" s="453"/>
      <c r="GW606" s="453"/>
      <c r="GX606" s="869"/>
      <c r="GY606" s="870"/>
      <c r="GZ606" s="867"/>
      <c r="HA606" s="868"/>
      <c r="HB606" s="473"/>
      <c r="HC606" s="869"/>
      <c r="HD606" s="870"/>
      <c r="HE606" s="867"/>
      <c r="HF606" s="868"/>
      <c r="HG606" s="473"/>
      <c r="HH606" s="867"/>
      <c r="HI606" s="868"/>
      <c r="HJ606" s="867"/>
      <c r="HK606" s="868"/>
      <c r="HL606" s="370"/>
      <c r="HM606" s="865"/>
      <c r="HN606" s="866"/>
      <c r="HO606" s="865"/>
      <c r="HP606" s="866"/>
      <c r="HQ606" s="865"/>
      <c r="HR606" s="866"/>
      <c r="HS606" s="867"/>
      <c r="HT606" s="868"/>
      <c r="HU606" s="489"/>
      <c r="HV606" s="865"/>
      <c r="HW606" s="866"/>
    </row>
    <row r="607" spans="25:231" ht="15" customHeight="1">
      <c r="Y607" s="332"/>
      <c r="Z607" s="332"/>
      <c r="AA607" s="332"/>
      <c r="AB607" s="332"/>
      <c r="AC607" s="332"/>
      <c r="AD607" s="332"/>
      <c r="AE607" s="332"/>
      <c r="AF607" s="332"/>
      <c r="AG607" s="332"/>
      <c r="AH607" s="332"/>
      <c r="AI607" s="332"/>
      <c r="AJ607" s="332"/>
      <c r="AK607" s="332"/>
      <c r="AL607" s="332"/>
      <c r="AM607" s="332"/>
      <c r="AN607" s="332"/>
      <c r="AO607" s="332"/>
      <c r="AP607" s="332"/>
      <c r="AQ607" s="332"/>
      <c r="AR607" s="332"/>
      <c r="AS607" s="332"/>
      <c r="AT607" s="332"/>
      <c r="AU607" s="332"/>
      <c r="AV607" s="332"/>
      <c r="AW607" s="332"/>
      <c r="AX607" s="332"/>
      <c r="AY607" s="332"/>
      <c r="AZ607" s="332"/>
      <c r="BA607" s="332"/>
      <c r="BB607" s="332"/>
      <c r="BC607" s="332"/>
      <c r="BD607" s="332"/>
      <c r="BE607" s="332"/>
      <c r="BF607" s="332"/>
      <c r="BG607" s="332"/>
      <c r="BH607" s="332"/>
      <c r="BI607" s="332"/>
      <c r="BJ607" s="332"/>
      <c r="BK607" s="332"/>
      <c r="BL607" s="332"/>
      <c r="BM607" s="332"/>
      <c r="BN607" s="332"/>
      <c r="BO607" s="332"/>
      <c r="BP607" s="332"/>
      <c r="BQ607" s="332"/>
      <c r="BR607" s="332"/>
      <c r="BS607" s="332"/>
      <c r="BT607" s="332"/>
      <c r="BU607" s="332"/>
      <c r="BV607" s="332"/>
      <c r="BW607" s="332"/>
      <c r="BX607" s="332"/>
      <c r="BY607" s="332"/>
      <c r="BZ607" s="332"/>
      <c r="CA607" s="332"/>
      <c r="CB607" s="332"/>
      <c r="CC607" s="332"/>
      <c r="CD607" s="332"/>
      <c r="CE607" s="332"/>
      <c r="CF607" s="332"/>
      <c r="CG607" s="332"/>
      <c r="CH607" s="332"/>
      <c r="CI607" s="332"/>
      <c r="CJ607" s="332"/>
      <c r="CK607" s="332"/>
      <c r="CL607" s="332"/>
      <c r="CM607" s="332"/>
      <c r="CN607" s="332"/>
      <c r="CO607" s="332"/>
      <c r="CP607" s="332"/>
      <c r="CQ607" s="332"/>
      <c r="CR607" s="332"/>
      <c r="CS607" s="332"/>
      <c r="CT607" s="332"/>
      <c r="CU607" s="332"/>
      <c r="CV607" s="332"/>
      <c r="CW607" s="332"/>
      <c r="CX607" s="332"/>
      <c r="CY607" s="332"/>
      <c r="CZ607" s="332"/>
      <c r="DA607" s="332"/>
      <c r="DB607" s="332"/>
      <c r="DC607" s="332"/>
      <c r="DD607" s="332"/>
      <c r="DE607" s="332"/>
      <c r="DF607" s="332"/>
      <c r="DG607" s="332"/>
      <c r="DH607" s="332"/>
      <c r="DI607" s="332"/>
      <c r="DJ607" s="332"/>
      <c r="DK607" s="332"/>
      <c r="DL607" s="332"/>
      <c r="DM607" s="332"/>
      <c r="DN607" s="332"/>
      <c r="DO607" s="332"/>
      <c r="DP607" s="332"/>
      <c r="DQ607" s="332"/>
      <c r="DR607" s="332"/>
      <c r="DS607" s="332"/>
      <c r="DT607" s="332"/>
      <c r="DU607" s="453"/>
      <c r="DV607" s="453"/>
      <c r="DW607" s="453"/>
      <c r="DX607" s="453"/>
      <c r="DY607" s="453"/>
      <c r="DZ607" s="453"/>
      <c r="EA607" s="453"/>
      <c r="EB607" s="453"/>
      <c r="EC607" s="453"/>
      <c r="ED607" s="453"/>
      <c r="EE607" s="453"/>
      <c r="EF607" s="453"/>
      <c r="EG607" s="453"/>
      <c r="EH607" s="453"/>
      <c r="EI607" s="453"/>
      <c r="EJ607" s="453"/>
      <c r="EK607" s="453"/>
      <c r="EL607" s="453"/>
      <c r="EM607" s="483">
        <f t="shared" si="224"/>
        <v>298</v>
      </c>
      <c r="EN607" s="485"/>
      <c r="EO607" s="804"/>
      <c r="EP607" s="805"/>
      <c r="EQ607" s="806"/>
      <c r="ER607" s="808"/>
      <c r="ES607" s="881">
        <f t="shared" si="225"/>
        <v>0</v>
      </c>
      <c r="ET607" s="882"/>
      <c r="EU607" s="883"/>
      <c r="EV607" s="884">
        <f t="shared" si="223"/>
        <v>0</v>
      </c>
      <c r="EW607" s="885"/>
      <c r="EX607" s="885"/>
      <c r="EY607" s="885"/>
      <c r="EZ607" s="885"/>
      <c r="FA607" s="885"/>
      <c r="FB607" s="885"/>
      <c r="FC607" s="885"/>
      <c r="FD607" s="886"/>
      <c r="FE607" s="878"/>
      <c r="FF607" s="878"/>
      <c r="FG607" s="878"/>
      <c r="FH607" s="878"/>
      <c r="FI607" s="878"/>
      <c r="FJ607" s="878"/>
      <c r="FK607" s="878"/>
      <c r="FL607" s="555"/>
      <c r="FM607" s="554"/>
      <c r="FN607" s="554"/>
      <c r="FO607" s="554"/>
      <c r="FP607" s="554"/>
      <c r="FQ607" s="554"/>
      <c r="FR607" s="554"/>
      <c r="FS607" s="554"/>
      <c r="FT607" s="554"/>
      <c r="FU607" s="554"/>
      <c r="FV607" s="554"/>
      <c r="FW607" s="554"/>
      <c r="FX607" s="554"/>
      <c r="FY607" s="554"/>
      <c r="FZ607" s="554"/>
      <c r="GA607" s="554"/>
      <c r="GB607" s="556"/>
      <c r="GC607" s="370"/>
      <c r="GD607" s="453"/>
      <c r="GE607" s="453"/>
      <c r="GF607" s="453"/>
      <c r="GG607" s="453"/>
      <c r="GH607" s="454"/>
      <c r="GI607" s="453"/>
      <c r="GJ607" s="453"/>
      <c r="GK607" s="453"/>
      <c r="GL607" s="453"/>
      <c r="GM607" s="453"/>
      <c r="GN607" s="453"/>
      <c r="GO607" s="453"/>
      <c r="GP607" s="453"/>
      <c r="GQ607" s="453"/>
      <c r="GR607" s="453"/>
      <c r="GS607" s="561"/>
      <c r="GT607" s="475"/>
      <c r="GU607" s="472"/>
      <c r="GV607" s="453"/>
      <c r="GW607" s="453"/>
      <c r="GX607" s="869"/>
      <c r="GY607" s="870"/>
      <c r="GZ607" s="867"/>
      <c r="HA607" s="868"/>
      <c r="HB607" s="473"/>
      <c r="HC607" s="869"/>
      <c r="HD607" s="870"/>
      <c r="HE607" s="867"/>
      <c r="HF607" s="868"/>
      <c r="HG607" s="473"/>
      <c r="HH607" s="867"/>
      <c r="HI607" s="868"/>
      <c r="HJ607" s="867"/>
      <c r="HK607" s="868"/>
      <c r="HL607" s="370"/>
      <c r="HM607" s="865"/>
      <c r="HN607" s="866"/>
      <c r="HO607" s="865"/>
      <c r="HP607" s="866"/>
      <c r="HQ607" s="865"/>
      <c r="HR607" s="866"/>
      <c r="HS607" s="867"/>
      <c r="HT607" s="868"/>
      <c r="HU607" s="489"/>
      <c r="HV607" s="865"/>
      <c r="HW607" s="866"/>
    </row>
    <row r="608" spans="25:231" ht="15" customHeight="1">
      <c r="Y608" s="332"/>
      <c r="Z608" s="332"/>
      <c r="AA608" s="332"/>
      <c r="AB608" s="332"/>
      <c r="AC608" s="332"/>
      <c r="AD608" s="332"/>
      <c r="AE608" s="332"/>
      <c r="AF608" s="332"/>
      <c r="AG608" s="332"/>
      <c r="AH608" s="332"/>
      <c r="AI608" s="332"/>
      <c r="AJ608" s="332"/>
      <c r="AK608" s="332"/>
      <c r="AL608" s="332"/>
      <c r="AM608" s="332"/>
      <c r="AN608" s="332"/>
      <c r="AO608" s="332"/>
      <c r="AP608" s="332"/>
      <c r="AQ608" s="332"/>
      <c r="AR608" s="332"/>
      <c r="AS608" s="332"/>
      <c r="AT608" s="332"/>
      <c r="AU608" s="332"/>
      <c r="AV608" s="332"/>
      <c r="AW608" s="332"/>
      <c r="AX608" s="332"/>
      <c r="AY608" s="332"/>
      <c r="AZ608" s="332"/>
      <c r="BA608" s="332"/>
      <c r="BB608" s="332"/>
      <c r="BC608" s="332"/>
      <c r="BD608" s="332"/>
      <c r="BE608" s="332"/>
      <c r="BF608" s="332"/>
      <c r="BG608" s="332"/>
      <c r="BH608" s="332"/>
      <c r="BI608" s="332"/>
      <c r="BJ608" s="332"/>
      <c r="BK608" s="332"/>
      <c r="BL608" s="332"/>
      <c r="BM608" s="332"/>
      <c r="BN608" s="332"/>
      <c r="BO608" s="332"/>
      <c r="BP608" s="332"/>
      <c r="BQ608" s="332"/>
      <c r="BR608" s="332"/>
      <c r="BS608" s="332"/>
      <c r="BT608" s="332"/>
      <c r="BU608" s="332"/>
      <c r="BV608" s="332"/>
      <c r="BW608" s="332"/>
      <c r="BX608" s="332"/>
      <c r="BY608" s="332"/>
      <c r="BZ608" s="332"/>
      <c r="CA608" s="332"/>
      <c r="CB608" s="332"/>
      <c r="CC608" s="332"/>
      <c r="CD608" s="332"/>
      <c r="CE608" s="332"/>
      <c r="CF608" s="332"/>
      <c r="CG608" s="332"/>
      <c r="CH608" s="332"/>
      <c r="CI608" s="332"/>
      <c r="CJ608" s="332"/>
      <c r="CK608" s="332"/>
      <c r="CL608" s="332"/>
      <c r="CM608" s="332"/>
      <c r="CN608" s="332"/>
      <c r="CO608" s="332"/>
      <c r="CP608" s="332"/>
      <c r="CQ608" s="332"/>
      <c r="CR608" s="332"/>
      <c r="CS608" s="332"/>
      <c r="CT608" s="332"/>
      <c r="CU608" s="332"/>
      <c r="CV608" s="332"/>
      <c r="CW608" s="332"/>
      <c r="CX608" s="332"/>
      <c r="CY608" s="332"/>
      <c r="CZ608" s="332"/>
      <c r="DA608" s="332"/>
      <c r="DB608" s="332"/>
      <c r="DC608" s="332"/>
      <c r="DD608" s="332"/>
      <c r="DE608" s="332"/>
      <c r="DF608" s="332"/>
      <c r="DG608" s="332"/>
      <c r="DH608" s="332"/>
      <c r="DI608" s="332"/>
      <c r="DJ608" s="332"/>
      <c r="DK608" s="332"/>
      <c r="DL608" s="332"/>
      <c r="DM608" s="332"/>
      <c r="DN608" s="332"/>
      <c r="DO608" s="332"/>
      <c r="DP608" s="332"/>
      <c r="DQ608" s="332"/>
      <c r="DR608" s="332"/>
      <c r="DS608" s="332"/>
      <c r="DT608" s="332"/>
      <c r="DU608" s="453"/>
      <c r="DV608" s="453"/>
      <c r="DW608" s="453"/>
      <c r="DX608" s="453"/>
      <c r="DY608" s="453"/>
      <c r="DZ608" s="453"/>
      <c r="EA608" s="453"/>
      <c r="EB608" s="453"/>
      <c r="EC608" s="453"/>
      <c r="ED608" s="453"/>
      <c r="EE608" s="453"/>
      <c r="EF608" s="453"/>
      <c r="EG608" s="453"/>
      <c r="EH608" s="453"/>
      <c r="EI608" s="453"/>
      <c r="EJ608" s="453"/>
      <c r="EK608" s="453"/>
      <c r="EL608" s="453"/>
      <c r="EM608" s="483">
        <f t="shared" si="224"/>
        <v>299</v>
      </c>
      <c r="EN608" s="485"/>
      <c r="EO608" s="804"/>
      <c r="EP608" s="805"/>
      <c r="EQ608" s="820"/>
      <c r="ER608" s="808"/>
      <c r="ES608" s="881">
        <f t="shared" si="225"/>
        <v>0</v>
      </c>
      <c r="ET608" s="882"/>
      <c r="EU608" s="883"/>
      <c r="EV608" s="884">
        <f t="shared" si="223"/>
        <v>0</v>
      </c>
      <c r="EW608" s="885"/>
      <c r="EX608" s="885"/>
      <c r="EY608" s="885"/>
      <c r="EZ608" s="885"/>
      <c r="FA608" s="885"/>
      <c r="FB608" s="885"/>
      <c r="FC608" s="885"/>
      <c r="FD608" s="886"/>
      <c r="FE608" s="878"/>
      <c r="FF608" s="878"/>
      <c r="FG608" s="878"/>
      <c r="FH608" s="878"/>
      <c r="FI608" s="878"/>
      <c r="FJ608" s="878"/>
      <c r="FK608" s="878"/>
      <c r="FL608" s="555"/>
      <c r="FM608" s="554"/>
      <c r="FN608" s="554"/>
      <c r="FO608" s="554"/>
      <c r="FP608" s="554"/>
      <c r="FQ608" s="554"/>
      <c r="FR608" s="554"/>
      <c r="FS608" s="554"/>
      <c r="FT608" s="554"/>
      <c r="FU608" s="554"/>
      <c r="FV608" s="554"/>
      <c r="FW608" s="554"/>
      <c r="FX608" s="554"/>
      <c r="FY608" s="554"/>
      <c r="FZ608" s="554"/>
      <c r="GA608" s="554"/>
      <c r="GB608" s="556"/>
      <c r="GC608" s="370"/>
      <c r="GD608" s="453"/>
      <c r="GE608" s="453"/>
      <c r="GF608" s="453"/>
      <c r="GG608" s="453"/>
      <c r="GH608" s="454"/>
      <c r="GI608" s="453"/>
      <c r="GJ608" s="453"/>
      <c r="GK608" s="453"/>
      <c r="GL608" s="453"/>
      <c r="GM608" s="453"/>
      <c r="GN608" s="453"/>
      <c r="GO608" s="453"/>
      <c r="GP608" s="453"/>
      <c r="GQ608" s="453"/>
      <c r="GR608" s="453"/>
      <c r="GS608" s="561"/>
      <c r="GT608" s="475"/>
      <c r="GU608" s="472"/>
      <c r="GV608" s="453"/>
      <c r="GW608" s="453"/>
      <c r="GX608" s="869"/>
      <c r="GY608" s="870"/>
      <c r="GZ608" s="867"/>
      <c r="HA608" s="868"/>
      <c r="HB608" s="473"/>
      <c r="HC608" s="869"/>
      <c r="HD608" s="870"/>
      <c r="HE608" s="867"/>
      <c r="HF608" s="868"/>
      <c r="HG608" s="473"/>
      <c r="HH608" s="867"/>
      <c r="HI608" s="868"/>
      <c r="HJ608" s="867"/>
      <c r="HK608" s="868"/>
      <c r="HL608" s="370"/>
      <c r="HM608" s="865"/>
      <c r="HN608" s="866"/>
      <c r="HO608" s="865"/>
      <c r="HP608" s="866"/>
      <c r="HQ608" s="865"/>
      <c r="HR608" s="866"/>
      <c r="HS608" s="867"/>
      <c r="HT608" s="868"/>
      <c r="HU608" s="489"/>
      <c r="HV608" s="865"/>
      <c r="HW608" s="866"/>
    </row>
    <row r="609" spans="25:231" ht="15" customHeight="1">
      <c r="Y609" s="332"/>
      <c r="Z609" s="332"/>
      <c r="AA609" s="332"/>
      <c r="AB609" s="332"/>
      <c r="AC609" s="332"/>
      <c r="AD609" s="332"/>
      <c r="AE609" s="332"/>
      <c r="AF609" s="332"/>
      <c r="AG609" s="332"/>
      <c r="AH609" s="332"/>
      <c r="AI609" s="332"/>
      <c r="AJ609" s="332"/>
      <c r="AK609" s="332"/>
      <c r="AL609" s="332"/>
      <c r="AM609" s="332"/>
      <c r="AN609" s="332"/>
      <c r="AO609" s="332"/>
      <c r="AP609" s="332"/>
      <c r="AQ609" s="332"/>
      <c r="AR609" s="332"/>
      <c r="AS609" s="332"/>
      <c r="AT609" s="332"/>
      <c r="AU609" s="332"/>
      <c r="AV609" s="332"/>
      <c r="AW609" s="332"/>
      <c r="AX609" s="332"/>
      <c r="AY609" s="332"/>
      <c r="AZ609" s="332"/>
      <c r="BA609" s="332"/>
      <c r="BB609" s="332"/>
      <c r="BC609" s="332"/>
      <c r="BD609" s="332"/>
      <c r="BE609" s="332"/>
      <c r="BF609" s="332"/>
      <c r="BG609" s="332"/>
      <c r="BH609" s="332"/>
      <c r="BI609" s="332"/>
      <c r="BJ609" s="332"/>
      <c r="BK609" s="332"/>
      <c r="BL609" s="332"/>
      <c r="BM609" s="332"/>
      <c r="BN609" s="332"/>
      <c r="BO609" s="332"/>
      <c r="BP609" s="332"/>
      <c r="BQ609" s="332"/>
      <c r="BR609" s="332"/>
      <c r="BS609" s="332"/>
      <c r="BT609" s="332"/>
      <c r="BU609" s="332"/>
      <c r="BV609" s="332"/>
      <c r="BW609" s="332"/>
      <c r="BX609" s="332"/>
      <c r="BY609" s="332"/>
      <c r="BZ609" s="332"/>
      <c r="CA609" s="332"/>
      <c r="CB609" s="332"/>
      <c r="CC609" s="332"/>
      <c r="CD609" s="332"/>
      <c r="CE609" s="332"/>
      <c r="CF609" s="332"/>
      <c r="CG609" s="332"/>
      <c r="CH609" s="332"/>
      <c r="CI609" s="332"/>
      <c r="CJ609" s="332"/>
      <c r="CK609" s="332"/>
      <c r="CL609" s="332"/>
      <c r="CM609" s="332"/>
      <c r="CN609" s="332"/>
      <c r="CO609" s="332"/>
      <c r="CP609" s="332"/>
      <c r="CQ609" s="332"/>
      <c r="CR609" s="332"/>
      <c r="CS609" s="332"/>
      <c r="CT609" s="332"/>
      <c r="CU609" s="332"/>
      <c r="CV609" s="332"/>
      <c r="CW609" s="332"/>
      <c r="CX609" s="332"/>
      <c r="CY609" s="332"/>
      <c r="CZ609" s="332"/>
      <c r="DA609" s="332"/>
      <c r="DB609" s="332"/>
      <c r="DC609" s="332"/>
      <c r="DD609" s="332"/>
      <c r="DE609" s="332"/>
      <c r="DF609" s="332"/>
      <c r="DG609" s="332"/>
      <c r="DH609" s="332"/>
      <c r="DI609" s="332"/>
      <c r="DJ609" s="332"/>
      <c r="DK609" s="332"/>
      <c r="DL609" s="332"/>
      <c r="DM609" s="332"/>
      <c r="DN609" s="332"/>
      <c r="DO609" s="332"/>
      <c r="DP609" s="332"/>
      <c r="DQ609" s="332"/>
      <c r="DR609" s="332"/>
      <c r="DS609" s="332"/>
      <c r="DT609" s="332"/>
      <c r="DU609" s="453"/>
      <c r="DV609" s="453"/>
      <c r="DW609" s="453"/>
      <c r="DX609" s="453"/>
      <c r="DY609" s="453"/>
      <c r="DZ609" s="453"/>
      <c r="EA609" s="453"/>
      <c r="EB609" s="453"/>
      <c r="EC609" s="453"/>
      <c r="ED609" s="453"/>
      <c r="EE609" s="453"/>
      <c r="EF609" s="453"/>
      <c r="EG609" s="453"/>
      <c r="EH609" s="453"/>
      <c r="EI609" s="453"/>
      <c r="EJ609" s="453"/>
      <c r="EK609" s="453"/>
      <c r="EL609" s="453"/>
      <c r="EM609" s="483">
        <f t="shared" si="224"/>
        <v>300</v>
      </c>
      <c r="EN609" s="485"/>
      <c r="EO609" s="804"/>
      <c r="EP609" s="805"/>
      <c r="EQ609" s="806"/>
      <c r="ER609" s="808"/>
      <c r="ES609" s="881">
        <f t="shared" si="225"/>
        <v>0</v>
      </c>
      <c r="ET609" s="882"/>
      <c r="EU609" s="883"/>
      <c r="EV609" s="884">
        <f t="shared" si="223"/>
        <v>0</v>
      </c>
      <c r="EW609" s="885"/>
      <c r="EX609" s="885"/>
      <c r="EY609" s="885"/>
      <c r="EZ609" s="885"/>
      <c r="FA609" s="885"/>
      <c r="FB609" s="885"/>
      <c r="FC609" s="885"/>
      <c r="FD609" s="886"/>
      <c r="FE609" s="878"/>
      <c r="FF609" s="878"/>
      <c r="FG609" s="878"/>
      <c r="FH609" s="878"/>
      <c r="FI609" s="878"/>
      <c r="FJ609" s="878"/>
      <c r="FK609" s="878"/>
      <c r="FL609" s="555"/>
      <c r="FM609" s="554"/>
      <c r="FN609" s="554"/>
      <c r="FO609" s="554"/>
      <c r="FP609" s="554"/>
      <c r="FQ609" s="554"/>
      <c r="FR609" s="554"/>
      <c r="FS609" s="554"/>
      <c r="FT609" s="554"/>
      <c r="FU609" s="554"/>
      <c r="FV609" s="554"/>
      <c r="FW609" s="554"/>
      <c r="FX609" s="554"/>
      <c r="FY609" s="554"/>
      <c r="FZ609" s="554"/>
      <c r="GA609" s="554"/>
      <c r="GB609" s="556"/>
      <c r="GC609" s="370"/>
      <c r="GD609" s="453"/>
      <c r="GE609" s="453"/>
      <c r="GF609" s="453"/>
      <c r="GG609" s="453"/>
      <c r="GH609" s="454"/>
      <c r="GI609" s="453"/>
      <c r="GJ609" s="453"/>
      <c r="GK609" s="453"/>
      <c r="GL609" s="453"/>
      <c r="GM609" s="453"/>
      <c r="GN609" s="453"/>
      <c r="GO609" s="453"/>
      <c r="GP609" s="453"/>
      <c r="GQ609" s="453"/>
      <c r="GR609" s="453"/>
      <c r="GS609" s="561"/>
      <c r="GT609" s="475"/>
      <c r="GU609" s="472"/>
      <c r="GV609" s="453"/>
      <c r="GW609" s="453"/>
      <c r="GX609" s="869"/>
      <c r="GY609" s="870"/>
      <c r="GZ609" s="867"/>
      <c r="HA609" s="868"/>
      <c r="HB609" s="473"/>
      <c r="HC609" s="869"/>
      <c r="HD609" s="870"/>
      <c r="HE609" s="867"/>
      <c r="HF609" s="868"/>
      <c r="HG609" s="473"/>
      <c r="HH609" s="867"/>
      <c r="HI609" s="868"/>
      <c r="HJ609" s="867"/>
      <c r="HK609" s="868"/>
      <c r="HL609" s="370"/>
      <c r="HM609" s="865"/>
      <c r="HN609" s="866"/>
      <c r="HO609" s="865"/>
      <c r="HP609" s="866"/>
      <c r="HQ609" s="865"/>
      <c r="HR609" s="866"/>
      <c r="HS609" s="867"/>
      <c r="HT609" s="868"/>
      <c r="HU609" s="489"/>
      <c r="HV609" s="865"/>
      <c r="HW609" s="866"/>
    </row>
    <row r="610" spans="25:231" ht="15" customHeight="1">
      <c r="Y610" s="332"/>
      <c r="Z610" s="332"/>
      <c r="AA610" s="332"/>
      <c r="AB610" s="332"/>
      <c r="AC610" s="332"/>
      <c r="AD610" s="332"/>
      <c r="AE610" s="332"/>
      <c r="AF610" s="332"/>
      <c r="AG610" s="332"/>
      <c r="AH610" s="332"/>
      <c r="AI610" s="332"/>
      <c r="AJ610" s="332"/>
      <c r="AK610" s="332"/>
      <c r="AL610" s="332"/>
      <c r="AM610" s="332"/>
      <c r="AN610" s="332"/>
      <c r="AO610" s="332"/>
      <c r="AP610" s="332"/>
      <c r="AQ610" s="332"/>
      <c r="AR610" s="332"/>
      <c r="AS610" s="332"/>
      <c r="AT610" s="332"/>
      <c r="AU610" s="332"/>
      <c r="AV610" s="332"/>
      <c r="AW610" s="332"/>
      <c r="AX610" s="332"/>
      <c r="AY610" s="332"/>
      <c r="AZ610" s="332"/>
      <c r="BA610" s="332"/>
      <c r="BB610" s="332"/>
      <c r="BC610" s="332"/>
      <c r="BD610" s="332"/>
      <c r="BE610" s="332"/>
      <c r="BF610" s="332"/>
      <c r="BG610" s="332"/>
      <c r="BH610" s="332"/>
      <c r="BI610" s="332"/>
      <c r="BJ610" s="332"/>
      <c r="BK610" s="332"/>
      <c r="BL610" s="332"/>
      <c r="BM610" s="332"/>
      <c r="BN610" s="332"/>
      <c r="BO610" s="332"/>
      <c r="BP610" s="332"/>
      <c r="BQ610" s="332"/>
      <c r="BR610" s="332"/>
      <c r="BS610" s="332"/>
      <c r="BT610" s="332"/>
      <c r="BU610" s="332"/>
      <c r="BV610" s="332"/>
      <c r="BW610" s="332"/>
      <c r="BX610" s="332"/>
      <c r="BY610" s="332"/>
      <c r="BZ610" s="332"/>
      <c r="CA610" s="332"/>
      <c r="CB610" s="332"/>
      <c r="CC610" s="332"/>
      <c r="CD610" s="332"/>
      <c r="CE610" s="332"/>
      <c r="CF610" s="332"/>
      <c r="CG610" s="332"/>
      <c r="CH610" s="332"/>
      <c r="CI610" s="332"/>
      <c r="CJ610" s="332"/>
      <c r="CK610" s="332"/>
      <c r="CL610" s="332"/>
      <c r="CM610" s="332"/>
      <c r="CN610" s="332"/>
      <c r="CO610" s="332"/>
      <c r="CP610" s="332"/>
      <c r="CQ610" s="332"/>
      <c r="CR610" s="332"/>
      <c r="CS610" s="332"/>
      <c r="CT610" s="332"/>
      <c r="CU610" s="332"/>
      <c r="CV610" s="332"/>
      <c r="CW610" s="332"/>
      <c r="CX610" s="332"/>
      <c r="CY610" s="332"/>
      <c r="CZ610" s="332"/>
      <c r="DA610" s="332"/>
      <c r="DB610" s="332"/>
      <c r="DC610" s="332"/>
      <c r="DD610" s="332"/>
      <c r="DE610" s="332"/>
      <c r="DF610" s="332"/>
      <c r="DG610" s="332"/>
      <c r="DH610" s="332"/>
      <c r="DI610" s="332"/>
      <c r="DJ610" s="332"/>
      <c r="DK610" s="332"/>
      <c r="DL610" s="332"/>
      <c r="DM610" s="332"/>
      <c r="DN610" s="332"/>
      <c r="DO610" s="332"/>
      <c r="DP610" s="332"/>
      <c r="DQ610" s="332"/>
      <c r="DR610" s="332"/>
      <c r="DS610" s="332"/>
      <c r="DT610" s="332"/>
      <c r="DU610" s="453"/>
      <c r="DV610" s="453"/>
      <c r="DW610" s="453"/>
      <c r="DX610" s="453"/>
      <c r="DY610" s="453"/>
      <c r="DZ610" s="453"/>
      <c r="EA610" s="453"/>
      <c r="EB610" s="453"/>
      <c r="EC610" s="453"/>
      <c r="ED610" s="453"/>
      <c r="EE610" s="453"/>
      <c r="EF610" s="453"/>
      <c r="EG610" s="453"/>
      <c r="EH610" s="453"/>
      <c r="EI610" s="453"/>
      <c r="EJ610" s="453"/>
      <c r="EK610" s="453"/>
      <c r="EL610" s="453"/>
      <c r="EM610" s="483">
        <f t="shared" si="224"/>
        <v>301</v>
      </c>
      <c r="EN610" s="485"/>
      <c r="EO610" s="804"/>
      <c r="EP610" s="805"/>
      <c r="EQ610" s="806"/>
      <c r="ER610" s="808"/>
      <c r="ES610" s="881">
        <f t="shared" si="225"/>
        <v>0</v>
      </c>
      <c r="ET610" s="882"/>
      <c r="EU610" s="883"/>
      <c r="EV610" s="884">
        <f t="shared" si="223"/>
        <v>0</v>
      </c>
      <c r="EW610" s="885"/>
      <c r="EX610" s="885"/>
      <c r="EY610" s="885"/>
      <c r="EZ610" s="885"/>
      <c r="FA610" s="885"/>
      <c r="FB610" s="885"/>
      <c r="FC610" s="885"/>
      <c r="FD610" s="886"/>
      <c r="FE610" s="878"/>
      <c r="FF610" s="878"/>
      <c r="FG610" s="878"/>
      <c r="FH610" s="878"/>
      <c r="FI610" s="878"/>
      <c r="FJ610" s="878"/>
      <c r="FK610" s="878"/>
      <c r="FL610" s="555"/>
      <c r="FM610" s="554"/>
      <c r="FN610" s="554"/>
      <c r="FO610" s="554"/>
      <c r="FP610" s="554"/>
      <c r="FQ610" s="554"/>
      <c r="FR610" s="554"/>
      <c r="FS610" s="554"/>
      <c r="FT610" s="554"/>
      <c r="FU610" s="554"/>
      <c r="FV610" s="554"/>
      <c r="FW610" s="554"/>
      <c r="FX610" s="554"/>
      <c r="FY610" s="554"/>
      <c r="FZ610" s="554"/>
      <c r="GA610" s="554"/>
      <c r="GB610" s="556"/>
      <c r="GC610" s="370"/>
      <c r="GD610" s="453"/>
      <c r="GE610" s="453"/>
      <c r="GF610" s="453"/>
      <c r="GG610" s="453"/>
      <c r="GH610" s="454"/>
      <c r="GI610" s="453"/>
      <c r="GJ610" s="453"/>
      <c r="GK610" s="453"/>
      <c r="GL610" s="453"/>
      <c r="GM610" s="453"/>
      <c r="GN610" s="453"/>
      <c r="GO610" s="453"/>
      <c r="GP610" s="453"/>
      <c r="GQ610" s="453"/>
      <c r="GR610" s="453"/>
      <c r="GS610" s="561"/>
      <c r="GT610" s="475"/>
      <c r="GU610" s="472"/>
      <c r="GV610" s="453"/>
      <c r="GW610" s="453"/>
      <c r="GX610" s="869"/>
      <c r="GY610" s="870"/>
      <c r="GZ610" s="867"/>
      <c r="HA610" s="868"/>
      <c r="HB610" s="473"/>
      <c r="HC610" s="869"/>
      <c r="HD610" s="870"/>
      <c r="HE610" s="867"/>
      <c r="HF610" s="868"/>
      <c r="HG610" s="473"/>
      <c r="HH610" s="867"/>
      <c r="HI610" s="868"/>
      <c r="HJ610" s="867"/>
      <c r="HK610" s="868"/>
      <c r="HL610" s="370"/>
      <c r="HM610" s="865"/>
      <c r="HN610" s="866"/>
      <c r="HO610" s="865"/>
      <c r="HP610" s="866"/>
      <c r="HQ610" s="865"/>
      <c r="HR610" s="866"/>
      <c r="HS610" s="867"/>
      <c r="HT610" s="868"/>
      <c r="HU610" s="489"/>
      <c r="HV610" s="865"/>
      <c r="HW610" s="866"/>
    </row>
    <row r="611" spans="25:231" ht="15" customHeight="1">
      <c r="Y611" s="332"/>
      <c r="Z611" s="332"/>
      <c r="AA611" s="332"/>
      <c r="AB611" s="332"/>
      <c r="AC611" s="332"/>
      <c r="AD611" s="332"/>
      <c r="AE611" s="332"/>
      <c r="AF611" s="332"/>
      <c r="AG611" s="332"/>
      <c r="AH611" s="332"/>
      <c r="AI611" s="332"/>
      <c r="AJ611" s="332"/>
      <c r="AK611" s="332"/>
      <c r="AL611" s="332"/>
      <c r="AM611" s="332"/>
      <c r="AN611" s="332"/>
      <c r="AO611" s="332"/>
      <c r="AP611" s="332"/>
      <c r="AQ611" s="332"/>
      <c r="AR611" s="332"/>
      <c r="AS611" s="332"/>
      <c r="AT611" s="332"/>
      <c r="AU611" s="332"/>
      <c r="AV611" s="332"/>
      <c r="AW611" s="332"/>
      <c r="AX611" s="332"/>
      <c r="AY611" s="332"/>
      <c r="AZ611" s="332"/>
      <c r="BA611" s="332"/>
      <c r="BB611" s="332"/>
      <c r="BC611" s="332"/>
      <c r="BD611" s="332"/>
      <c r="BE611" s="332"/>
      <c r="BF611" s="332"/>
      <c r="BG611" s="332"/>
      <c r="BH611" s="332"/>
      <c r="BI611" s="332"/>
      <c r="BJ611" s="332"/>
      <c r="BK611" s="332"/>
      <c r="BL611" s="332"/>
      <c r="BM611" s="332"/>
      <c r="BN611" s="332"/>
      <c r="BO611" s="332"/>
      <c r="BP611" s="332"/>
      <c r="BQ611" s="332"/>
      <c r="BR611" s="332"/>
      <c r="BS611" s="332"/>
      <c r="BT611" s="332"/>
      <c r="BU611" s="332"/>
      <c r="BV611" s="332"/>
      <c r="BW611" s="332"/>
      <c r="BX611" s="332"/>
      <c r="BY611" s="332"/>
      <c r="BZ611" s="332"/>
      <c r="CA611" s="332"/>
      <c r="CB611" s="332"/>
      <c r="CC611" s="332"/>
      <c r="CD611" s="332"/>
      <c r="CE611" s="332"/>
      <c r="CF611" s="332"/>
      <c r="CG611" s="332"/>
      <c r="CH611" s="332"/>
      <c r="CI611" s="332"/>
      <c r="CJ611" s="332"/>
      <c r="CK611" s="332"/>
      <c r="CL611" s="332"/>
      <c r="CM611" s="332"/>
      <c r="CN611" s="332"/>
      <c r="CO611" s="332"/>
      <c r="CP611" s="332"/>
      <c r="CQ611" s="332"/>
      <c r="CR611" s="332"/>
      <c r="CS611" s="332"/>
      <c r="CT611" s="332"/>
      <c r="CU611" s="332"/>
      <c r="CV611" s="332"/>
      <c r="CW611" s="332"/>
      <c r="CX611" s="332"/>
      <c r="CY611" s="332"/>
      <c r="CZ611" s="332"/>
      <c r="DA611" s="332"/>
      <c r="DB611" s="332"/>
      <c r="DC611" s="332"/>
      <c r="DD611" s="332"/>
      <c r="DE611" s="332"/>
      <c r="DF611" s="332"/>
      <c r="DG611" s="332"/>
      <c r="DH611" s="332"/>
      <c r="DI611" s="332"/>
      <c r="DJ611" s="332"/>
      <c r="DK611" s="332"/>
      <c r="DL611" s="332"/>
      <c r="DM611" s="332"/>
      <c r="DN611" s="332"/>
      <c r="DO611" s="332"/>
      <c r="DP611" s="332"/>
      <c r="DQ611" s="332"/>
      <c r="DR611" s="332"/>
      <c r="DS611" s="332"/>
      <c r="DT611" s="332"/>
      <c r="DU611" s="453"/>
      <c r="DV611" s="453"/>
      <c r="DW611" s="453"/>
      <c r="DX611" s="453"/>
      <c r="DY611" s="453"/>
      <c r="DZ611" s="453"/>
      <c r="EA611" s="453"/>
      <c r="EB611" s="453"/>
      <c r="EC611" s="453"/>
      <c r="ED611" s="453"/>
      <c r="EE611" s="453"/>
      <c r="EF611" s="453"/>
      <c r="EG611" s="453"/>
      <c r="EH611" s="453"/>
      <c r="EI611" s="453"/>
      <c r="EJ611" s="453"/>
      <c r="EK611" s="453"/>
      <c r="EL611" s="453"/>
      <c r="EM611" s="483">
        <f t="shared" si="224"/>
        <v>302</v>
      </c>
      <c r="EN611" s="485"/>
      <c r="EO611" s="804"/>
      <c r="EP611" s="805"/>
      <c r="EQ611" s="806"/>
      <c r="ER611" s="808"/>
      <c r="ES611" s="881">
        <f t="shared" si="225"/>
        <v>0</v>
      </c>
      <c r="ET611" s="882"/>
      <c r="EU611" s="883"/>
      <c r="EV611" s="884">
        <f t="shared" si="223"/>
        <v>0</v>
      </c>
      <c r="EW611" s="885"/>
      <c r="EX611" s="885"/>
      <c r="EY611" s="885"/>
      <c r="EZ611" s="885"/>
      <c r="FA611" s="885"/>
      <c r="FB611" s="885"/>
      <c r="FC611" s="885"/>
      <c r="FD611" s="886"/>
      <c r="FE611" s="878"/>
      <c r="FF611" s="878"/>
      <c r="FG611" s="878"/>
      <c r="FH611" s="878"/>
      <c r="FI611" s="878"/>
      <c r="FJ611" s="878"/>
      <c r="FK611" s="878"/>
      <c r="FL611" s="555"/>
      <c r="FM611" s="554"/>
      <c r="FN611" s="554"/>
      <c r="FO611" s="554"/>
      <c r="FP611" s="554"/>
      <c r="FQ611" s="554"/>
      <c r="FR611" s="554"/>
      <c r="FS611" s="554"/>
      <c r="FT611" s="554"/>
      <c r="FU611" s="554"/>
      <c r="FV611" s="554"/>
      <c r="FW611" s="554"/>
      <c r="FX611" s="554"/>
      <c r="FY611" s="554"/>
      <c r="FZ611" s="554"/>
      <c r="GA611" s="554"/>
      <c r="GB611" s="556"/>
      <c r="GC611" s="370"/>
      <c r="GD611" s="453"/>
      <c r="GE611" s="453"/>
      <c r="GF611" s="453"/>
      <c r="GG611" s="453"/>
      <c r="GH611" s="454"/>
      <c r="GI611" s="453"/>
      <c r="GJ611" s="453"/>
      <c r="GK611" s="453"/>
      <c r="GL611" s="453"/>
      <c r="GM611" s="453"/>
      <c r="GN611" s="453"/>
      <c r="GO611" s="453"/>
      <c r="GP611" s="453"/>
      <c r="GQ611" s="453"/>
      <c r="GR611" s="453"/>
      <c r="GS611" s="561"/>
      <c r="GT611" s="475"/>
      <c r="GU611" s="472"/>
      <c r="GV611" s="453"/>
      <c r="GW611" s="453"/>
      <c r="GX611" s="869"/>
      <c r="GY611" s="870"/>
      <c r="GZ611" s="867"/>
      <c r="HA611" s="868"/>
      <c r="HB611" s="473"/>
      <c r="HC611" s="869"/>
      <c r="HD611" s="870"/>
      <c r="HE611" s="867"/>
      <c r="HF611" s="868"/>
      <c r="HG611" s="473"/>
      <c r="HH611" s="867"/>
      <c r="HI611" s="868"/>
      <c r="HJ611" s="867"/>
      <c r="HK611" s="868"/>
      <c r="HL611" s="370"/>
      <c r="HM611" s="865"/>
      <c r="HN611" s="866"/>
      <c r="HO611" s="865"/>
      <c r="HP611" s="866"/>
      <c r="HQ611" s="865"/>
      <c r="HR611" s="866"/>
      <c r="HS611" s="867"/>
      <c r="HT611" s="868"/>
      <c r="HU611" s="489"/>
      <c r="HV611" s="865"/>
      <c r="HW611" s="866"/>
    </row>
    <row r="612" spans="25:231" ht="15" customHeight="1">
      <c r="Y612" s="332"/>
      <c r="Z612" s="332"/>
      <c r="AA612" s="332"/>
      <c r="AB612" s="332"/>
      <c r="AC612" s="332"/>
      <c r="AD612" s="332"/>
      <c r="AE612" s="332"/>
      <c r="AF612" s="332"/>
      <c r="AG612" s="332"/>
      <c r="AH612" s="332"/>
      <c r="AI612" s="332"/>
      <c r="AJ612" s="332"/>
      <c r="AK612" s="332"/>
      <c r="AL612" s="332"/>
      <c r="AM612" s="332"/>
      <c r="AN612" s="332"/>
      <c r="AO612" s="332"/>
      <c r="AP612" s="332"/>
      <c r="AQ612" s="332"/>
      <c r="AR612" s="332"/>
      <c r="AS612" s="332"/>
      <c r="AT612" s="332"/>
      <c r="AU612" s="332"/>
      <c r="AV612" s="332"/>
      <c r="AW612" s="332"/>
      <c r="AX612" s="332"/>
      <c r="AY612" s="332"/>
      <c r="AZ612" s="332"/>
      <c r="BA612" s="332"/>
      <c r="BB612" s="332"/>
      <c r="BC612" s="332"/>
      <c r="BD612" s="332"/>
      <c r="BE612" s="332"/>
      <c r="BF612" s="332"/>
      <c r="BG612" s="332"/>
      <c r="BH612" s="332"/>
      <c r="BI612" s="332"/>
      <c r="BJ612" s="332"/>
      <c r="BK612" s="332"/>
      <c r="BL612" s="332"/>
      <c r="BM612" s="332"/>
      <c r="BN612" s="332"/>
      <c r="BO612" s="332"/>
      <c r="BP612" s="332"/>
      <c r="BQ612" s="332"/>
      <c r="BR612" s="332"/>
      <c r="BS612" s="332"/>
      <c r="BT612" s="332"/>
      <c r="BU612" s="332"/>
      <c r="BV612" s="332"/>
      <c r="BW612" s="332"/>
      <c r="BX612" s="332"/>
      <c r="BY612" s="332"/>
      <c r="BZ612" s="332"/>
      <c r="CA612" s="332"/>
      <c r="CB612" s="332"/>
      <c r="CC612" s="332"/>
      <c r="CD612" s="332"/>
      <c r="CE612" s="332"/>
      <c r="CF612" s="332"/>
      <c r="CG612" s="332"/>
      <c r="CH612" s="332"/>
      <c r="CI612" s="332"/>
      <c r="CJ612" s="332"/>
      <c r="CK612" s="332"/>
      <c r="CL612" s="332"/>
      <c r="CM612" s="332"/>
      <c r="CN612" s="332"/>
      <c r="CO612" s="332"/>
      <c r="CP612" s="332"/>
      <c r="CQ612" s="332"/>
      <c r="CR612" s="332"/>
      <c r="CS612" s="332"/>
      <c r="CT612" s="332"/>
      <c r="CU612" s="332"/>
      <c r="CV612" s="332"/>
      <c r="CW612" s="332"/>
      <c r="CX612" s="332"/>
      <c r="CY612" s="332"/>
      <c r="CZ612" s="332"/>
      <c r="DA612" s="332"/>
      <c r="DB612" s="332"/>
      <c r="DC612" s="332"/>
      <c r="DD612" s="332"/>
      <c r="DE612" s="332"/>
      <c r="DF612" s="332"/>
      <c r="DG612" s="332"/>
      <c r="DH612" s="332"/>
      <c r="DI612" s="332"/>
      <c r="DJ612" s="332"/>
      <c r="DK612" s="332"/>
      <c r="DL612" s="332"/>
      <c r="DM612" s="332"/>
      <c r="DN612" s="332"/>
      <c r="DO612" s="332"/>
      <c r="DP612" s="332"/>
      <c r="DQ612" s="332"/>
      <c r="DR612" s="332"/>
      <c r="DS612" s="332"/>
      <c r="DT612" s="332"/>
      <c r="DU612" s="453"/>
      <c r="DV612" s="453"/>
      <c r="DW612" s="453"/>
      <c r="DX612" s="453"/>
      <c r="DY612" s="453"/>
      <c r="DZ612" s="453"/>
      <c r="EA612" s="453"/>
      <c r="EB612" s="453"/>
      <c r="EC612" s="453"/>
      <c r="ED612" s="453"/>
      <c r="EE612" s="453"/>
      <c r="EF612" s="453"/>
      <c r="EG612" s="453"/>
      <c r="EH612" s="453"/>
      <c r="EI612" s="453"/>
      <c r="EJ612" s="453"/>
      <c r="EK612" s="453"/>
      <c r="EL612" s="453"/>
      <c r="EM612" s="483">
        <f t="shared" si="224"/>
        <v>303</v>
      </c>
      <c r="EN612" s="485"/>
      <c r="EO612" s="804"/>
      <c r="EP612" s="805"/>
      <c r="EQ612" s="806"/>
      <c r="ER612" s="808"/>
      <c r="ES612" s="881">
        <f t="shared" si="225"/>
        <v>0</v>
      </c>
      <c r="ET612" s="882"/>
      <c r="EU612" s="883"/>
      <c r="EV612" s="884">
        <f t="shared" si="223"/>
        <v>0</v>
      </c>
      <c r="EW612" s="885"/>
      <c r="EX612" s="885"/>
      <c r="EY612" s="885"/>
      <c r="EZ612" s="885"/>
      <c r="FA612" s="885"/>
      <c r="FB612" s="885"/>
      <c r="FC612" s="885"/>
      <c r="FD612" s="886"/>
      <c r="FE612" s="878"/>
      <c r="FF612" s="878"/>
      <c r="FG612" s="878"/>
      <c r="FH612" s="878"/>
      <c r="FI612" s="878"/>
      <c r="FJ612" s="878"/>
      <c r="FK612" s="878"/>
      <c r="FL612" s="555"/>
      <c r="FM612" s="554"/>
      <c r="FN612" s="554"/>
      <c r="FO612" s="554"/>
      <c r="FP612" s="554"/>
      <c r="FQ612" s="554"/>
      <c r="FR612" s="554"/>
      <c r="FS612" s="554"/>
      <c r="FT612" s="554"/>
      <c r="FU612" s="554"/>
      <c r="FV612" s="554"/>
      <c r="FW612" s="554"/>
      <c r="FX612" s="554"/>
      <c r="FY612" s="554"/>
      <c r="FZ612" s="554"/>
      <c r="GA612" s="554"/>
      <c r="GB612" s="556"/>
      <c r="GC612" s="370"/>
      <c r="GD612" s="453"/>
      <c r="GE612" s="453"/>
      <c r="GF612" s="453"/>
      <c r="GG612" s="453"/>
      <c r="GH612" s="454"/>
      <c r="GI612" s="453"/>
      <c r="GJ612" s="453"/>
      <c r="GK612" s="453"/>
      <c r="GL612" s="453"/>
      <c r="GM612" s="453"/>
      <c r="GN612" s="453"/>
      <c r="GO612" s="453"/>
      <c r="GP612" s="453"/>
      <c r="GQ612" s="453"/>
      <c r="GR612" s="453"/>
      <c r="GS612" s="561"/>
      <c r="GT612" s="475"/>
      <c r="GU612" s="472"/>
      <c r="GV612" s="453"/>
      <c r="GW612" s="453"/>
      <c r="GX612" s="869"/>
      <c r="GY612" s="870"/>
      <c r="GZ612" s="867"/>
      <c r="HA612" s="868"/>
      <c r="HB612" s="473"/>
      <c r="HC612" s="869"/>
      <c r="HD612" s="870"/>
      <c r="HE612" s="867"/>
      <c r="HF612" s="868"/>
      <c r="HG612" s="473"/>
      <c r="HH612" s="867"/>
      <c r="HI612" s="868"/>
      <c r="HJ612" s="867"/>
      <c r="HK612" s="868"/>
      <c r="HL612" s="370"/>
      <c r="HM612" s="865"/>
      <c r="HN612" s="866"/>
      <c r="HO612" s="865"/>
      <c r="HP612" s="866"/>
      <c r="HQ612" s="865"/>
      <c r="HR612" s="866"/>
      <c r="HS612" s="867"/>
      <c r="HT612" s="868"/>
      <c r="HU612" s="489"/>
      <c r="HV612" s="865"/>
      <c r="HW612" s="866"/>
    </row>
    <row r="613" spans="25:231" ht="15" customHeight="1">
      <c r="Y613" s="332"/>
      <c r="Z613" s="332"/>
      <c r="AA613" s="332"/>
      <c r="AB613" s="332"/>
      <c r="AC613" s="332"/>
      <c r="AD613" s="332"/>
      <c r="AE613" s="332"/>
      <c r="AF613" s="332"/>
      <c r="AG613" s="332"/>
      <c r="AH613" s="332"/>
      <c r="AI613" s="332"/>
      <c r="AJ613" s="332"/>
      <c r="AK613" s="332"/>
      <c r="AL613" s="332"/>
      <c r="AM613" s="332"/>
      <c r="AN613" s="332"/>
      <c r="AO613" s="332"/>
      <c r="AP613" s="332"/>
      <c r="AQ613" s="332"/>
      <c r="AR613" s="332"/>
      <c r="AS613" s="332"/>
      <c r="AT613" s="332"/>
      <c r="AU613" s="332"/>
      <c r="AV613" s="332"/>
      <c r="AW613" s="332"/>
      <c r="AX613" s="332"/>
      <c r="AY613" s="332"/>
      <c r="AZ613" s="332"/>
      <c r="BA613" s="332"/>
      <c r="BB613" s="332"/>
      <c r="BC613" s="332"/>
      <c r="BD613" s="332"/>
      <c r="BE613" s="332"/>
      <c r="BF613" s="332"/>
      <c r="BG613" s="332"/>
      <c r="BH613" s="332"/>
      <c r="BI613" s="332"/>
      <c r="BJ613" s="332"/>
      <c r="BK613" s="332"/>
      <c r="BL613" s="332"/>
      <c r="BM613" s="332"/>
      <c r="BN613" s="332"/>
      <c r="BO613" s="332"/>
      <c r="BP613" s="332"/>
      <c r="BQ613" s="332"/>
      <c r="BR613" s="332"/>
      <c r="BS613" s="332"/>
      <c r="BT613" s="332"/>
      <c r="BU613" s="332"/>
      <c r="BV613" s="332"/>
      <c r="BW613" s="332"/>
      <c r="BX613" s="332"/>
      <c r="BY613" s="332"/>
      <c r="BZ613" s="332"/>
      <c r="CA613" s="332"/>
      <c r="CB613" s="332"/>
      <c r="CC613" s="332"/>
      <c r="CD613" s="332"/>
      <c r="CE613" s="332"/>
      <c r="CF613" s="332"/>
      <c r="CG613" s="332"/>
      <c r="CH613" s="332"/>
      <c r="CI613" s="332"/>
      <c r="CJ613" s="332"/>
      <c r="CK613" s="332"/>
      <c r="CL613" s="332"/>
      <c r="CM613" s="332"/>
      <c r="CN613" s="332"/>
      <c r="CO613" s="332"/>
      <c r="CP613" s="332"/>
      <c r="CQ613" s="332"/>
      <c r="CR613" s="332"/>
      <c r="CS613" s="332"/>
      <c r="CT613" s="332"/>
      <c r="CU613" s="332"/>
      <c r="CV613" s="332"/>
      <c r="CW613" s="332"/>
      <c r="CX613" s="332"/>
      <c r="CY613" s="332"/>
      <c r="CZ613" s="332"/>
      <c r="DA613" s="332"/>
      <c r="DB613" s="332"/>
      <c r="DC613" s="332"/>
      <c r="DD613" s="332"/>
      <c r="DE613" s="332"/>
      <c r="DF613" s="332"/>
      <c r="DG613" s="332"/>
      <c r="DH613" s="332"/>
      <c r="DI613" s="332"/>
      <c r="DJ613" s="332"/>
      <c r="DK613" s="332"/>
      <c r="DL613" s="332"/>
      <c r="DM613" s="332"/>
      <c r="DN613" s="332"/>
      <c r="DO613" s="332"/>
      <c r="DP613" s="332"/>
      <c r="DQ613" s="332"/>
      <c r="DR613" s="332"/>
      <c r="DS613" s="332"/>
      <c r="DT613" s="332"/>
      <c r="DU613" s="453"/>
      <c r="DV613" s="453"/>
      <c r="DW613" s="453"/>
      <c r="DX613" s="453"/>
      <c r="DY613" s="453"/>
      <c r="DZ613" s="453"/>
      <c r="EA613" s="453"/>
      <c r="EB613" s="453"/>
      <c r="EC613" s="453"/>
      <c r="ED613" s="453"/>
      <c r="EE613" s="453"/>
      <c r="EF613" s="453"/>
      <c r="EG613" s="453"/>
      <c r="EH613" s="453"/>
      <c r="EI613" s="453"/>
      <c r="EJ613" s="453"/>
      <c r="EK613" s="453"/>
      <c r="EL613" s="453"/>
      <c r="EM613" s="483">
        <f t="shared" si="224"/>
        <v>304</v>
      </c>
      <c r="EN613" s="485"/>
      <c r="EO613" s="804"/>
      <c r="EP613" s="805"/>
      <c r="EQ613" s="806"/>
      <c r="ER613" s="808"/>
      <c r="ES613" s="881">
        <f t="shared" si="225"/>
        <v>0</v>
      </c>
      <c r="ET613" s="882"/>
      <c r="EU613" s="883"/>
      <c r="EV613" s="884">
        <f t="shared" si="223"/>
        <v>0</v>
      </c>
      <c r="EW613" s="885"/>
      <c r="EX613" s="885"/>
      <c r="EY613" s="885"/>
      <c r="EZ613" s="885"/>
      <c r="FA613" s="885"/>
      <c r="FB613" s="885"/>
      <c r="FC613" s="885"/>
      <c r="FD613" s="886"/>
      <c r="FE613" s="878"/>
      <c r="FF613" s="878"/>
      <c r="FG613" s="878"/>
      <c r="FH613" s="878"/>
      <c r="FI613" s="878"/>
      <c r="FJ613" s="878"/>
      <c r="FK613" s="878"/>
      <c r="FL613" s="555"/>
      <c r="FM613" s="554"/>
      <c r="FN613" s="554"/>
      <c r="FO613" s="554"/>
      <c r="FP613" s="554"/>
      <c r="FQ613" s="554"/>
      <c r="FR613" s="554"/>
      <c r="FS613" s="554"/>
      <c r="FT613" s="554"/>
      <c r="FU613" s="554"/>
      <c r="FV613" s="554"/>
      <c r="FW613" s="554"/>
      <c r="FX613" s="554"/>
      <c r="FY613" s="554"/>
      <c r="FZ613" s="554"/>
      <c r="GA613" s="554"/>
      <c r="GB613" s="556"/>
      <c r="GC613" s="370"/>
      <c r="GD613" s="453"/>
      <c r="GE613" s="453"/>
      <c r="GF613" s="453"/>
      <c r="GG613" s="453"/>
      <c r="GH613" s="454"/>
      <c r="GI613" s="453"/>
      <c r="GJ613" s="453"/>
      <c r="GK613" s="453"/>
      <c r="GL613" s="453"/>
      <c r="GM613" s="453"/>
      <c r="GN613" s="453"/>
      <c r="GO613" s="453"/>
      <c r="GP613" s="453"/>
      <c r="GQ613" s="453"/>
      <c r="GR613" s="453"/>
      <c r="GS613" s="561"/>
      <c r="GT613" s="475"/>
      <c r="GU613" s="472"/>
      <c r="GV613" s="453"/>
      <c r="GW613" s="453"/>
      <c r="GX613" s="869"/>
      <c r="GY613" s="870"/>
      <c r="GZ613" s="867"/>
      <c r="HA613" s="868"/>
      <c r="HB613" s="473"/>
      <c r="HC613" s="869"/>
      <c r="HD613" s="870"/>
      <c r="HE613" s="867"/>
      <c r="HF613" s="868"/>
      <c r="HG613" s="473"/>
      <c r="HH613" s="867"/>
      <c r="HI613" s="868"/>
      <c r="HJ613" s="867"/>
      <c r="HK613" s="868"/>
      <c r="HL613" s="370"/>
      <c r="HM613" s="865"/>
      <c r="HN613" s="866"/>
      <c r="HO613" s="865"/>
      <c r="HP613" s="866"/>
      <c r="HQ613" s="865"/>
      <c r="HR613" s="866"/>
      <c r="HS613" s="867"/>
      <c r="HT613" s="868"/>
      <c r="HU613" s="489"/>
      <c r="HV613" s="865"/>
      <c r="HW613" s="866"/>
    </row>
    <row r="614" spans="25:231" ht="15" customHeight="1">
      <c r="Y614" s="332"/>
      <c r="Z614" s="332"/>
      <c r="AA614" s="332"/>
      <c r="AB614" s="332"/>
      <c r="AC614" s="332"/>
      <c r="AD614" s="332"/>
      <c r="AE614" s="332"/>
      <c r="AF614" s="332"/>
      <c r="AG614" s="332"/>
      <c r="AH614" s="332"/>
      <c r="AI614" s="332"/>
      <c r="AJ614" s="332"/>
      <c r="AK614" s="332"/>
      <c r="AL614" s="332"/>
      <c r="AM614" s="332"/>
      <c r="AN614" s="332"/>
      <c r="AO614" s="332"/>
      <c r="AP614" s="332"/>
      <c r="AQ614" s="332"/>
      <c r="AR614" s="332"/>
      <c r="AS614" s="332"/>
      <c r="AT614" s="332"/>
      <c r="AU614" s="332"/>
      <c r="AV614" s="332"/>
      <c r="AW614" s="332"/>
      <c r="AX614" s="332"/>
      <c r="AY614" s="332"/>
      <c r="AZ614" s="332"/>
      <c r="BA614" s="332"/>
      <c r="BB614" s="332"/>
      <c r="BC614" s="332"/>
      <c r="BD614" s="332"/>
      <c r="BE614" s="332"/>
      <c r="BF614" s="332"/>
      <c r="BG614" s="332"/>
      <c r="BH614" s="332"/>
      <c r="BI614" s="332"/>
      <c r="BJ614" s="332"/>
      <c r="BK614" s="332"/>
      <c r="BL614" s="332"/>
      <c r="BM614" s="332"/>
      <c r="BN614" s="332"/>
      <c r="BO614" s="332"/>
      <c r="BP614" s="332"/>
      <c r="BQ614" s="332"/>
      <c r="BR614" s="332"/>
      <c r="BS614" s="332"/>
      <c r="BT614" s="332"/>
      <c r="BU614" s="332"/>
      <c r="BV614" s="332"/>
      <c r="BW614" s="332"/>
      <c r="BX614" s="332"/>
      <c r="BY614" s="332"/>
      <c r="BZ614" s="332"/>
      <c r="CA614" s="332"/>
      <c r="CB614" s="332"/>
      <c r="CC614" s="332"/>
      <c r="CD614" s="332"/>
      <c r="CE614" s="332"/>
      <c r="CF614" s="332"/>
      <c r="CG614" s="332"/>
      <c r="CH614" s="332"/>
      <c r="CI614" s="332"/>
      <c r="CJ614" s="332"/>
      <c r="CK614" s="332"/>
      <c r="CL614" s="332"/>
      <c r="CM614" s="332"/>
      <c r="CN614" s="332"/>
      <c r="CO614" s="332"/>
      <c r="CP614" s="332"/>
      <c r="CQ614" s="332"/>
      <c r="CR614" s="332"/>
      <c r="CS614" s="332"/>
      <c r="CT614" s="332"/>
      <c r="CU614" s="332"/>
      <c r="CV614" s="332"/>
      <c r="CW614" s="332"/>
      <c r="CX614" s="332"/>
      <c r="CY614" s="332"/>
      <c r="CZ614" s="332"/>
      <c r="DA614" s="332"/>
      <c r="DB614" s="332"/>
      <c r="DC614" s="332"/>
      <c r="DD614" s="332"/>
      <c r="DE614" s="332"/>
      <c r="DF614" s="332"/>
      <c r="DG614" s="332"/>
      <c r="DH614" s="332"/>
      <c r="DI614" s="332"/>
      <c r="DJ614" s="332"/>
      <c r="DK614" s="332"/>
      <c r="DL614" s="332"/>
      <c r="DM614" s="332"/>
      <c r="DN614" s="332"/>
      <c r="DO614" s="332"/>
      <c r="DP614" s="332"/>
      <c r="DQ614" s="332"/>
      <c r="DR614" s="332"/>
      <c r="DS614" s="332"/>
      <c r="DT614" s="332"/>
      <c r="DU614" s="453"/>
      <c r="DV614" s="453"/>
      <c r="DW614" s="453"/>
      <c r="DX614" s="453"/>
      <c r="DY614" s="453"/>
      <c r="DZ614" s="453"/>
      <c r="EA614" s="453"/>
      <c r="EB614" s="453"/>
      <c r="EC614" s="453"/>
      <c r="ED614" s="453"/>
      <c r="EE614" s="453"/>
      <c r="EF614" s="453"/>
      <c r="EG614" s="453"/>
      <c r="EH614" s="453"/>
      <c r="EI614" s="453"/>
      <c r="EJ614" s="453"/>
      <c r="EK614" s="453"/>
      <c r="EL614" s="453"/>
      <c r="EM614" s="483">
        <f t="shared" si="224"/>
        <v>305</v>
      </c>
      <c r="EN614" s="485"/>
      <c r="EO614" s="804"/>
      <c r="EP614" s="805"/>
      <c r="EQ614" s="806"/>
      <c r="ER614" s="808"/>
      <c r="ES614" s="881">
        <f t="shared" si="225"/>
        <v>0</v>
      </c>
      <c r="ET614" s="882"/>
      <c r="EU614" s="883"/>
      <c r="EV614" s="884">
        <f t="shared" si="223"/>
        <v>0</v>
      </c>
      <c r="EW614" s="885"/>
      <c r="EX614" s="885"/>
      <c r="EY614" s="885"/>
      <c r="EZ614" s="885"/>
      <c r="FA614" s="885"/>
      <c r="FB614" s="885"/>
      <c r="FC614" s="885"/>
      <c r="FD614" s="886"/>
      <c r="FE614" s="878"/>
      <c r="FF614" s="878"/>
      <c r="FG614" s="878"/>
      <c r="FH614" s="878"/>
      <c r="FI614" s="878"/>
      <c r="FJ614" s="878"/>
      <c r="FK614" s="878"/>
      <c r="FL614" s="555"/>
      <c r="FM614" s="554"/>
      <c r="FN614" s="554"/>
      <c r="FO614" s="554"/>
      <c r="FP614" s="554"/>
      <c r="FQ614" s="554"/>
      <c r="FR614" s="554"/>
      <c r="FS614" s="554"/>
      <c r="FT614" s="554"/>
      <c r="FU614" s="554"/>
      <c r="FV614" s="554"/>
      <c r="FW614" s="554"/>
      <c r="FX614" s="554"/>
      <c r="FY614" s="554"/>
      <c r="FZ614" s="554"/>
      <c r="GA614" s="554"/>
      <c r="GB614" s="556"/>
      <c r="GC614" s="370"/>
      <c r="GD614" s="453"/>
      <c r="GE614" s="453"/>
      <c r="GF614" s="453"/>
      <c r="GG614" s="453"/>
      <c r="GH614" s="454"/>
      <c r="GI614" s="453"/>
      <c r="GJ614" s="453"/>
      <c r="GK614" s="453"/>
      <c r="GL614" s="453"/>
      <c r="GM614" s="453"/>
      <c r="GN614" s="453"/>
      <c r="GO614" s="453"/>
      <c r="GP614" s="453"/>
      <c r="GQ614" s="453"/>
      <c r="GR614" s="453"/>
      <c r="GS614" s="561"/>
      <c r="GT614" s="475"/>
      <c r="GU614" s="472"/>
      <c r="GV614" s="453"/>
      <c r="GW614" s="453"/>
      <c r="GX614" s="869"/>
      <c r="GY614" s="870"/>
      <c r="GZ614" s="867"/>
      <c r="HA614" s="868"/>
      <c r="HB614" s="473"/>
      <c r="HC614" s="869"/>
      <c r="HD614" s="870"/>
      <c r="HE614" s="867"/>
      <c r="HF614" s="868"/>
      <c r="HG614" s="473"/>
      <c r="HH614" s="867"/>
      <c r="HI614" s="868"/>
      <c r="HJ614" s="867"/>
      <c r="HK614" s="868"/>
      <c r="HL614" s="370"/>
      <c r="HM614" s="865"/>
      <c r="HN614" s="866"/>
      <c r="HO614" s="865"/>
      <c r="HP614" s="866"/>
      <c r="HQ614" s="865"/>
      <c r="HR614" s="866"/>
      <c r="HS614" s="867"/>
      <c r="HT614" s="868"/>
      <c r="HU614" s="489"/>
      <c r="HV614" s="865"/>
      <c r="HW614" s="866"/>
    </row>
    <row r="615" spans="25:231" ht="15" customHeight="1">
      <c r="Y615" s="332"/>
      <c r="Z615" s="332"/>
      <c r="AA615" s="332"/>
      <c r="AB615" s="332"/>
      <c r="AC615" s="332"/>
      <c r="AD615" s="332"/>
      <c r="AE615" s="332"/>
      <c r="AF615" s="332"/>
      <c r="AG615" s="332"/>
      <c r="AH615" s="332"/>
      <c r="AI615" s="332"/>
      <c r="AJ615" s="332"/>
      <c r="AK615" s="332"/>
      <c r="AL615" s="332"/>
      <c r="AM615" s="332"/>
      <c r="AN615" s="332"/>
      <c r="AO615" s="332"/>
      <c r="AP615" s="332"/>
      <c r="AQ615" s="332"/>
      <c r="AR615" s="332"/>
      <c r="AS615" s="332"/>
      <c r="AT615" s="332"/>
      <c r="AU615" s="332"/>
      <c r="AV615" s="332"/>
      <c r="AW615" s="332"/>
      <c r="AX615" s="332"/>
      <c r="AY615" s="332"/>
      <c r="AZ615" s="332"/>
      <c r="BA615" s="332"/>
      <c r="BB615" s="332"/>
      <c r="BC615" s="332"/>
      <c r="BD615" s="332"/>
      <c r="BE615" s="332"/>
      <c r="BF615" s="332"/>
      <c r="BG615" s="332"/>
      <c r="BH615" s="332"/>
      <c r="BI615" s="332"/>
      <c r="BJ615" s="332"/>
      <c r="BK615" s="332"/>
      <c r="BL615" s="332"/>
      <c r="BM615" s="332"/>
      <c r="BN615" s="332"/>
      <c r="BO615" s="332"/>
      <c r="BP615" s="332"/>
      <c r="BQ615" s="332"/>
      <c r="BR615" s="332"/>
      <c r="BS615" s="332"/>
      <c r="BT615" s="332"/>
      <c r="BU615" s="332"/>
      <c r="BV615" s="332"/>
      <c r="BW615" s="332"/>
      <c r="BX615" s="332"/>
      <c r="BY615" s="332"/>
      <c r="BZ615" s="332"/>
      <c r="CA615" s="332"/>
      <c r="CB615" s="332"/>
      <c r="CC615" s="332"/>
      <c r="CD615" s="332"/>
      <c r="CE615" s="332"/>
      <c r="CF615" s="332"/>
      <c r="CG615" s="332"/>
      <c r="CH615" s="332"/>
      <c r="CI615" s="332"/>
      <c r="CJ615" s="332"/>
      <c r="CK615" s="332"/>
      <c r="CL615" s="332"/>
      <c r="CM615" s="332"/>
      <c r="CN615" s="332"/>
      <c r="CO615" s="332"/>
      <c r="CP615" s="332"/>
      <c r="CQ615" s="332"/>
      <c r="CR615" s="332"/>
      <c r="CS615" s="332"/>
      <c r="CT615" s="332"/>
      <c r="CU615" s="332"/>
      <c r="CV615" s="332"/>
      <c r="CW615" s="332"/>
      <c r="CX615" s="332"/>
      <c r="CY615" s="332"/>
      <c r="CZ615" s="332"/>
      <c r="DA615" s="332"/>
      <c r="DB615" s="332"/>
      <c r="DC615" s="332"/>
      <c r="DD615" s="332"/>
      <c r="DE615" s="332"/>
      <c r="DF615" s="332"/>
      <c r="DG615" s="332"/>
      <c r="DH615" s="332"/>
      <c r="DI615" s="332"/>
      <c r="DJ615" s="332"/>
      <c r="DK615" s="332"/>
      <c r="DL615" s="332"/>
      <c r="DM615" s="332"/>
      <c r="DN615" s="332"/>
      <c r="DO615" s="332"/>
      <c r="DP615" s="332"/>
      <c r="DQ615" s="332"/>
      <c r="DR615" s="332"/>
      <c r="DS615" s="332"/>
      <c r="DT615" s="332"/>
      <c r="DU615" s="453"/>
      <c r="DV615" s="453"/>
      <c r="DW615" s="453"/>
      <c r="DX615" s="453"/>
      <c r="DY615" s="453"/>
      <c r="DZ615" s="453"/>
      <c r="EA615" s="453"/>
      <c r="EB615" s="453"/>
      <c r="EC615" s="453"/>
      <c r="ED615" s="453"/>
      <c r="EE615" s="453"/>
      <c r="EF615" s="453"/>
      <c r="EG615" s="453"/>
      <c r="EH615" s="453"/>
      <c r="EI615" s="453"/>
      <c r="EJ615" s="453"/>
      <c r="EK615" s="453"/>
      <c r="EL615" s="453"/>
      <c r="EM615" s="483">
        <f t="shared" si="224"/>
        <v>306</v>
      </c>
      <c r="EN615" s="485"/>
      <c r="EO615" s="804"/>
      <c r="EP615" s="805"/>
      <c r="EQ615" s="820"/>
      <c r="ER615" s="808"/>
      <c r="ES615" s="881">
        <f t="shared" si="225"/>
        <v>0</v>
      </c>
      <c r="ET615" s="882"/>
      <c r="EU615" s="883"/>
      <c r="EV615" s="884">
        <f t="shared" si="223"/>
        <v>0</v>
      </c>
      <c r="EW615" s="885"/>
      <c r="EX615" s="885"/>
      <c r="EY615" s="885"/>
      <c r="EZ615" s="885"/>
      <c r="FA615" s="885"/>
      <c r="FB615" s="885"/>
      <c r="FC615" s="885"/>
      <c r="FD615" s="886"/>
      <c r="FE615" s="878"/>
      <c r="FF615" s="878"/>
      <c r="FG615" s="878"/>
      <c r="FH615" s="878"/>
      <c r="FI615" s="878"/>
      <c r="FJ615" s="878"/>
      <c r="FK615" s="878"/>
      <c r="FL615" s="555"/>
      <c r="FM615" s="554"/>
      <c r="FN615" s="554"/>
      <c r="FO615" s="554"/>
      <c r="FP615" s="554"/>
      <c r="FQ615" s="554"/>
      <c r="FR615" s="554"/>
      <c r="FS615" s="554"/>
      <c r="FT615" s="554"/>
      <c r="FU615" s="554"/>
      <c r="FV615" s="554"/>
      <c r="FW615" s="554"/>
      <c r="FX615" s="554"/>
      <c r="FY615" s="554"/>
      <c r="FZ615" s="554"/>
      <c r="GA615" s="554"/>
      <c r="GB615" s="556"/>
      <c r="GC615" s="370"/>
      <c r="GD615" s="453"/>
      <c r="GE615" s="453"/>
      <c r="GF615" s="453"/>
      <c r="GG615" s="453"/>
      <c r="GH615" s="454"/>
      <c r="GI615" s="453"/>
      <c r="GJ615" s="453"/>
      <c r="GK615" s="453"/>
      <c r="GL615" s="453"/>
      <c r="GM615" s="453"/>
      <c r="GN615" s="453"/>
      <c r="GO615" s="453"/>
      <c r="GP615" s="453"/>
      <c r="GQ615" s="453"/>
      <c r="GR615" s="453"/>
      <c r="GS615" s="561"/>
      <c r="GT615" s="475"/>
      <c r="GU615" s="472"/>
      <c r="GV615" s="453"/>
      <c r="GW615" s="453"/>
      <c r="GX615" s="869"/>
      <c r="GY615" s="870"/>
      <c r="GZ615" s="867"/>
      <c r="HA615" s="868"/>
      <c r="HB615" s="473"/>
      <c r="HC615" s="869"/>
      <c r="HD615" s="870"/>
      <c r="HE615" s="867"/>
      <c r="HF615" s="868"/>
      <c r="HG615" s="473"/>
      <c r="HH615" s="867"/>
      <c r="HI615" s="868"/>
      <c r="HJ615" s="867"/>
      <c r="HK615" s="868"/>
      <c r="HL615" s="370"/>
      <c r="HM615" s="865"/>
      <c r="HN615" s="866"/>
      <c r="HO615" s="865"/>
      <c r="HP615" s="866"/>
      <c r="HQ615" s="865"/>
      <c r="HR615" s="866"/>
      <c r="HS615" s="867"/>
      <c r="HT615" s="868"/>
      <c r="HU615" s="489"/>
      <c r="HV615" s="865"/>
      <c r="HW615" s="866"/>
    </row>
    <row r="616" spans="25:231" ht="15" customHeight="1">
      <c r="Y616" s="332"/>
      <c r="Z616" s="332"/>
      <c r="AA616" s="332"/>
      <c r="AB616" s="332"/>
      <c r="AC616" s="332"/>
      <c r="AD616" s="332"/>
      <c r="AE616" s="332"/>
      <c r="AF616" s="332"/>
      <c r="AG616" s="332"/>
      <c r="AH616" s="332"/>
      <c r="AI616" s="332"/>
      <c r="AJ616" s="332"/>
      <c r="AK616" s="332"/>
      <c r="AL616" s="332"/>
      <c r="AM616" s="332"/>
      <c r="AN616" s="332"/>
      <c r="AO616" s="332"/>
      <c r="AP616" s="332"/>
      <c r="AQ616" s="332"/>
      <c r="AR616" s="332"/>
      <c r="AS616" s="332"/>
      <c r="AT616" s="332"/>
      <c r="AU616" s="332"/>
      <c r="AV616" s="332"/>
      <c r="AW616" s="332"/>
      <c r="AX616" s="332"/>
      <c r="AY616" s="332"/>
      <c r="AZ616" s="332"/>
      <c r="BA616" s="332"/>
      <c r="BB616" s="332"/>
      <c r="BC616" s="332"/>
      <c r="BD616" s="332"/>
      <c r="BE616" s="332"/>
      <c r="BF616" s="332"/>
      <c r="BG616" s="332"/>
      <c r="BH616" s="332"/>
      <c r="BI616" s="332"/>
      <c r="BJ616" s="332"/>
      <c r="BK616" s="332"/>
      <c r="BL616" s="332"/>
      <c r="BM616" s="332"/>
      <c r="BN616" s="332"/>
      <c r="BO616" s="332"/>
      <c r="BP616" s="332"/>
      <c r="BQ616" s="332"/>
      <c r="BR616" s="332"/>
      <c r="BS616" s="332"/>
      <c r="BT616" s="332"/>
      <c r="BU616" s="332"/>
      <c r="BV616" s="332"/>
      <c r="BW616" s="332"/>
      <c r="BX616" s="332"/>
      <c r="BY616" s="332"/>
      <c r="BZ616" s="332"/>
      <c r="CA616" s="332"/>
      <c r="CB616" s="332"/>
      <c r="CC616" s="332"/>
      <c r="CD616" s="332"/>
      <c r="CE616" s="332"/>
      <c r="CF616" s="332"/>
      <c r="CG616" s="332"/>
      <c r="CH616" s="332"/>
      <c r="CI616" s="332"/>
      <c r="CJ616" s="332"/>
      <c r="CK616" s="332"/>
      <c r="CL616" s="332"/>
      <c r="CM616" s="332"/>
      <c r="CN616" s="332"/>
      <c r="CO616" s="332"/>
      <c r="CP616" s="332"/>
      <c r="CQ616" s="332"/>
      <c r="CR616" s="332"/>
      <c r="CS616" s="332"/>
      <c r="CT616" s="332"/>
      <c r="CU616" s="332"/>
      <c r="CV616" s="332"/>
      <c r="CW616" s="332"/>
      <c r="CX616" s="332"/>
      <c r="CY616" s="332"/>
      <c r="CZ616" s="332"/>
      <c r="DA616" s="332"/>
      <c r="DB616" s="332"/>
      <c r="DC616" s="332"/>
      <c r="DD616" s="332"/>
      <c r="DE616" s="332"/>
      <c r="DF616" s="332"/>
      <c r="DG616" s="332"/>
      <c r="DH616" s="332"/>
      <c r="DI616" s="332"/>
      <c r="DJ616" s="332"/>
      <c r="DK616" s="332"/>
      <c r="DL616" s="332"/>
      <c r="DM616" s="332"/>
      <c r="DN616" s="332"/>
      <c r="DO616" s="332"/>
      <c r="DP616" s="332"/>
      <c r="DQ616" s="332"/>
      <c r="DR616" s="332"/>
      <c r="DS616" s="332"/>
      <c r="DT616" s="332"/>
      <c r="DU616" s="453"/>
      <c r="DV616" s="453"/>
      <c r="DW616" s="453"/>
      <c r="DX616" s="453"/>
      <c r="DY616" s="453"/>
      <c r="DZ616" s="453"/>
      <c r="EA616" s="453"/>
      <c r="EB616" s="453"/>
      <c r="EC616" s="453"/>
      <c r="ED616" s="453"/>
      <c r="EE616" s="453"/>
      <c r="EF616" s="453"/>
      <c r="EG616" s="453"/>
      <c r="EH616" s="453"/>
      <c r="EI616" s="453"/>
      <c r="EJ616" s="453"/>
      <c r="EK616" s="453"/>
      <c r="EL616" s="453"/>
      <c r="EM616" s="483">
        <f t="shared" si="224"/>
        <v>307</v>
      </c>
      <c r="EN616" s="485"/>
      <c r="EO616" s="804"/>
      <c r="EP616" s="805"/>
      <c r="EQ616" s="806"/>
      <c r="ER616" s="808"/>
      <c r="ES616" s="881">
        <f t="shared" si="225"/>
        <v>0</v>
      </c>
      <c r="ET616" s="882"/>
      <c r="EU616" s="883"/>
      <c r="EV616" s="884">
        <f t="shared" si="223"/>
        <v>0</v>
      </c>
      <c r="EW616" s="885"/>
      <c r="EX616" s="885"/>
      <c r="EY616" s="885"/>
      <c r="EZ616" s="885"/>
      <c r="FA616" s="885"/>
      <c r="FB616" s="885"/>
      <c r="FC616" s="885"/>
      <c r="FD616" s="886"/>
      <c r="FE616" s="878"/>
      <c r="FF616" s="878"/>
      <c r="FG616" s="878"/>
      <c r="FH616" s="878"/>
      <c r="FI616" s="878"/>
      <c r="FJ616" s="878"/>
      <c r="FK616" s="878"/>
      <c r="FL616" s="555"/>
      <c r="FM616" s="554"/>
      <c r="FN616" s="554"/>
      <c r="FO616" s="554"/>
      <c r="FP616" s="554"/>
      <c r="FQ616" s="554"/>
      <c r="FR616" s="554"/>
      <c r="FS616" s="554"/>
      <c r="FT616" s="554"/>
      <c r="FU616" s="554"/>
      <c r="FV616" s="554"/>
      <c r="FW616" s="554"/>
      <c r="FX616" s="554"/>
      <c r="FY616" s="554"/>
      <c r="FZ616" s="554"/>
      <c r="GA616" s="554"/>
      <c r="GB616" s="556"/>
      <c r="GC616" s="370"/>
      <c r="GD616" s="453"/>
      <c r="GE616" s="453"/>
      <c r="GF616" s="453"/>
      <c r="GG616" s="453"/>
      <c r="GH616" s="454"/>
      <c r="GI616" s="453"/>
      <c r="GJ616" s="453"/>
      <c r="GK616" s="453"/>
      <c r="GL616" s="453"/>
      <c r="GM616" s="453"/>
      <c r="GN616" s="453"/>
      <c r="GO616" s="453"/>
      <c r="GP616" s="453"/>
      <c r="GQ616" s="453"/>
      <c r="GR616" s="453"/>
      <c r="GS616" s="561"/>
      <c r="GT616" s="475"/>
      <c r="GU616" s="472"/>
      <c r="GV616" s="453"/>
      <c r="GW616" s="453"/>
      <c r="GX616" s="869"/>
      <c r="GY616" s="870"/>
      <c r="GZ616" s="867"/>
      <c r="HA616" s="868"/>
      <c r="HB616" s="473"/>
      <c r="HC616" s="869"/>
      <c r="HD616" s="870"/>
      <c r="HE616" s="867"/>
      <c r="HF616" s="868"/>
      <c r="HG616" s="473"/>
      <c r="HH616" s="867"/>
      <c r="HI616" s="868"/>
      <c r="HJ616" s="867"/>
      <c r="HK616" s="868"/>
      <c r="HL616" s="370"/>
      <c r="HM616" s="865"/>
      <c r="HN616" s="866"/>
      <c r="HO616" s="865"/>
      <c r="HP616" s="866"/>
      <c r="HQ616" s="865"/>
      <c r="HR616" s="866"/>
      <c r="HS616" s="867"/>
      <c r="HT616" s="868"/>
      <c r="HU616" s="489"/>
      <c r="HV616" s="865"/>
      <c r="HW616" s="866"/>
    </row>
    <row r="617" spans="25:231" ht="15" customHeight="1">
      <c r="Y617" s="332"/>
      <c r="Z617" s="332"/>
      <c r="AA617" s="332"/>
      <c r="AB617" s="332"/>
      <c r="AC617" s="332"/>
      <c r="AD617" s="332"/>
      <c r="AE617" s="332"/>
      <c r="AF617" s="332"/>
      <c r="AG617" s="332"/>
      <c r="AH617" s="332"/>
      <c r="AI617" s="332"/>
      <c r="AJ617" s="332"/>
      <c r="AK617" s="332"/>
      <c r="AL617" s="332"/>
      <c r="AM617" s="332"/>
      <c r="AN617" s="332"/>
      <c r="AO617" s="332"/>
      <c r="AP617" s="332"/>
      <c r="AQ617" s="332"/>
      <c r="AR617" s="332"/>
      <c r="AS617" s="332"/>
      <c r="AT617" s="332"/>
      <c r="AU617" s="332"/>
      <c r="AV617" s="332"/>
      <c r="AW617" s="332"/>
      <c r="AX617" s="332"/>
      <c r="AY617" s="332"/>
      <c r="AZ617" s="332"/>
      <c r="BA617" s="332"/>
      <c r="BB617" s="332"/>
      <c r="BC617" s="332"/>
      <c r="BD617" s="332"/>
      <c r="BE617" s="332"/>
      <c r="BF617" s="332"/>
      <c r="BG617" s="332"/>
      <c r="BH617" s="332"/>
      <c r="BI617" s="332"/>
      <c r="BJ617" s="332"/>
      <c r="BK617" s="332"/>
      <c r="BL617" s="332"/>
      <c r="BM617" s="332"/>
      <c r="BN617" s="332"/>
      <c r="BO617" s="332"/>
      <c r="BP617" s="332"/>
      <c r="BQ617" s="332"/>
      <c r="BR617" s="332"/>
      <c r="BS617" s="332"/>
      <c r="BT617" s="332"/>
      <c r="BU617" s="332"/>
      <c r="BV617" s="332"/>
      <c r="BW617" s="332"/>
      <c r="BX617" s="332"/>
      <c r="BY617" s="332"/>
      <c r="BZ617" s="332"/>
      <c r="CA617" s="332"/>
      <c r="CB617" s="332"/>
      <c r="CC617" s="332"/>
      <c r="CD617" s="332"/>
      <c r="CE617" s="332"/>
      <c r="CF617" s="332"/>
      <c r="CG617" s="332"/>
      <c r="CH617" s="332"/>
      <c r="CI617" s="332"/>
      <c r="CJ617" s="332"/>
      <c r="CK617" s="332"/>
      <c r="CL617" s="332"/>
      <c r="CM617" s="332"/>
      <c r="CN617" s="332"/>
      <c r="CO617" s="332"/>
      <c r="CP617" s="332"/>
      <c r="CQ617" s="332"/>
      <c r="CR617" s="332"/>
      <c r="CS617" s="332"/>
      <c r="CT617" s="332"/>
      <c r="CU617" s="332"/>
      <c r="CV617" s="332"/>
      <c r="CW617" s="332"/>
      <c r="CX617" s="332"/>
      <c r="CY617" s="332"/>
      <c r="CZ617" s="332"/>
      <c r="DA617" s="332"/>
      <c r="DB617" s="332"/>
      <c r="DC617" s="332"/>
      <c r="DD617" s="332"/>
      <c r="DE617" s="332"/>
      <c r="DF617" s="332"/>
      <c r="DG617" s="332"/>
      <c r="DH617" s="332"/>
      <c r="DI617" s="332"/>
      <c r="DJ617" s="332"/>
      <c r="DK617" s="332"/>
      <c r="DL617" s="332"/>
      <c r="DM617" s="332"/>
      <c r="DN617" s="332"/>
      <c r="DO617" s="332"/>
      <c r="DP617" s="332"/>
      <c r="DQ617" s="332"/>
      <c r="DR617" s="332"/>
      <c r="DS617" s="332"/>
      <c r="DT617" s="332"/>
      <c r="DU617" s="453"/>
      <c r="DV617" s="453"/>
      <c r="DW617" s="453"/>
      <c r="DX617" s="453"/>
      <c r="DY617" s="453"/>
      <c r="DZ617" s="453"/>
      <c r="EA617" s="453"/>
      <c r="EB617" s="453"/>
      <c r="EC617" s="453"/>
      <c r="ED617" s="453"/>
      <c r="EE617" s="453"/>
      <c r="EF617" s="453"/>
      <c r="EG617" s="453"/>
      <c r="EH617" s="453"/>
      <c r="EI617" s="453"/>
      <c r="EJ617" s="453"/>
      <c r="EK617" s="453"/>
      <c r="EL617" s="453"/>
      <c r="EM617" s="483">
        <f t="shared" si="224"/>
        <v>308</v>
      </c>
      <c r="EN617" s="485"/>
      <c r="EO617" s="804"/>
      <c r="EP617" s="805"/>
      <c r="EQ617" s="820"/>
      <c r="ER617" s="808"/>
      <c r="ES617" s="881">
        <f t="shared" si="225"/>
        <v>0</v>
      </c>
      <c r="ET617" s="882"/>
      <c r="EU617" s="883"/>
      <c r="EV617" s="884">
        <f t="shared" si="223"/>
        <v>0</v>
      </c>
      <c r="EW617" s="885"/>
      <c r="EX617" s="885"/>
      <c r="EY617" s="885"/>
      <c r="EZ617" s="885"/>
      <c r="FA617" s="885"/>
      <c r="FB617" s="885"/>
      <c r="FC617" s="885"/>
      <c r="FD617" s="886"/>
      <c r="FE617" s="878"/>
      <c r="FF617" s="878"/>
      <c r="FG617" s="878"/>
      <c r="FH617" s="878"/>
      <c r="FI617" s="878"/>
      <c r="FJ617" s="878"/>
      <c r="FK617" s="878"/>
      <c r="FL617" s="555"/>
      <c r="FM617" s="554"/>
      <c r="FN617" s="554"/>
      <c r="FO617" s="554"/>
      <c r="FP617" s="554"/>
      <c r="FQ617" s="554"/>
      <c r="FR617" s="554"/>
      <c r="FS617" s="554"/>
      <c r="FT617" s="554"/>
      <c r="FU617" s="554"/>
      <c r="FV617" s="554"/>
      <c r="FW617" s="554"/>
      <c r="FX617" s="554"/>
      <c r="FY617" s="554"/>
      <c r="FZ617" s="554"/>
      <c r="GA617" s="554"/>
      <c r="GB617" s="556"/>
      <c r="GC617" s="370"/>
      <c r="GD617" s="453"/>
      <c r="GE617" s="453"/>
      <c r="GF617" s="453"/>
      <c r="GG617" s="453"/>
      <c r="GH617" s="454"/>
      <c r="GI617" s="453"/>
      <c r="GJ617" s="453"/>
      <c r="GK617" s="453"/>
      <c r="GL617" s="453"/>
      <c r="GM617" s="453"/>
      <c r="GN617" s="453"/>
      <c r="GO617" s="453"/>
      <c r="GP617" s="453"/>
      <c r="GQ617" s="453"/>
      <c r="GR617" s="453"/>
      <c r="GS617" s="561"/>
      <c r="GT617" s="475"/>
      <c r="GU617" s="472"/>
      <c r="GV617" s="453"/>
      <c r="GW617" s="453"/>
      <c r="GX617" s="869"/>
      <c r="GY617" s="870"/>
      <c r="GZ617" s="867"/>
      <c r="HA617" s="868"/>
      <c r="HB617" s="473"/>
      <c r="HC617" s="869"/>
      <c r="HD617" s="870"/>
      <c r="HE617" s="867"/>
      <c r="HF617" s="868"/>
      <c r="HG617" s="473"/>
      <c r="HH617" s="867"/>
      <c r="HI617" s="868"/>
      <c r="HJ617" s="867"/>
      <c r="HK617" s="868"/>
      <c r="HL617" s="370"/>
      <c r="HM617" s="865"/>
      <c r="HN617" s="866"/>
      <c r="HO617" s="865"/>
      <c r="HP617" s="866"/>
      <c r="HQ617" s="865"/>
      <c r="HR617" s="866"/>
      <c r="HS617" s="867"/>
      <c r="HT617" s="868"/>
      <c r="HU617" s="489"/>
      <c r="HV617" s="865"/>
      <c r="HW617" s="866"/>
    </row>
    <row r="618" spans="25:231" ht="15" customHeight="1">
      <c r="Y618" s="332"/>
      <c r="Z618" s="332"/>
      <c r="AA618" s="332"/>
      <c r="AB618" s="332"/>
      <c r="AC618" s="332"/>
      <c r="AD618" s="332"/>
      <c r="AE618" s="332"/>
      <c r="AF618" s="332"/>
      <c r="AG618" s="332"/>
      <c r="AH618" s="332"/>
      <c r="AI618" s="332"/>
      <c r="AJ618" s="332"/>
      <c r="AK618" s="332"/>
      <c r="AL618" s="332"/>
      <c r="AM618" s="332"/>
      <c r="AN618" s="332"/>
      <c r="AO618" s="332"/>
      <c r="AP618" s="332"/>
      <c r="AQ618" s="332"/>
      <c r="AR618" s="332"/>
      <c r="AS618" s="332"/>
      <c r="AT618" s="332"/>
      <c r="AU618" s="332"/>
      <c r="AV618" s="332"/>
      <c r="AW618" s="332"/>
      <c r="AX618" s="332"/>
      <c r="AY618" s="332"/>
      <c r="AZ618" s="332"/>
      <c r="BA618" s="332"/>
      <c r="BB618" s="332"/>
      <c r="BC618" s="332"/>
      <c r="BD618" s="332"/>
      <c r="BE618" s="332"/>
      <c r="BF618" s="332"/>
      <c r="BG618" s="332"/>
      <c r="BH618" s="332"/>
      <c r="BI618" s="332"/>
      <c r="BJ618" s="332"/>
      <c r="BK618" s="332"/>
      <c r="BL618" s="332"/>
      <c r="BM618" s="332"/>
      <c r="BN618" s="332"/>
      <c r="BO618" s="332"/>
      <c r="BP618" s="332"/>
      <c r="BQ618" s="332"/>
      <c r="BR618" s="332"/>
      <c r="BS618" s="332"/>
      <c r="BT618" s="332"/>
      <c r="BU618" s="332"/>
      <c r="BV618" s="332"/>
      <c r="BW618" s="332"/>
      <c r="BX618" s="332"/>
      <c r="BY618" s="332"/>
      <c r="BZ618" s="332"/>
      <c r="CA618" s="332"/>
      <c r="CB618" s="332"/>
      <c r="CC618" s="332"/>
      <c r="CD618" s="332"/>
      <c r="CE618" s="332"/>
      <c r="CF618" s="332"/>
      <c r="CG618" s="332"/>
      <c r="CH618" s="332"/>
      <c r="CI618" s="332"/>
      <c r="CJ618" s="332"/>
      <c r="CK618" s="332"/>
      <c r="CL618" s="332"/>
      <c r="CM618" s="332"/>
      <c r="CN618" s="332"/>
      <c r="CO618" s="332"/>
      <c r="CP618" s="332"/>
      <c r="CQ618" s="332"/>
      <c r="CR618" s="332"/>
      <c r="CS618" s="332"/>
      <c r="CT618" s="332"/>
      <c r="CU618" s="332"/>
      <c r="CV618" s="332"/>
      <c r="CW618" s="332"/>
      <c r="CX618" s="332"/>
      <c r="CY618" s="332"/>
      <c r="CZ618" s="332"/>
      <c r="DA618" s="332"/>
      <c r="DB618" s="332"/>
      <c r="DC618" s="332"/>
      <c r="DD618" s="332"/>
      <c r="DE618" s="332"/>
      <c r="DF618" s="332"/>
      <c r="DG618" s="332"/>
      <c r="DH618" s="332"/>
      <c r="DI618" s="332"/>
      <c r="DJ618" s="332"/>
      <c r="DK618" s="332"/>
      <c r="DL618" s="332"/>
      <c r="DM618" s="332"/>
      <c r="DN618" s="332"/>
      <c r="DO618" s="332"/>
      <c r="DP618" s="332"/>
      <c r="DQ618" s="332"/>
      <c r="DR618" s="332"/>
      <c r="DS618" s="332"/>
      <c r="DT618" s="332"/>
      <c r="DU618" s="453"/>
      <c r="DV618" s="453"/>
      <c r="DW618" s="453"/>
      <c r="DX618" s="453"/>
      <c r="DY618" s="453"/>
      <c r="DZ618" s="453"/>
      <c r="EA618" s="453"/>
      <c r="EB618" s="453"/>
      <c r="EC618" s="453"/>
      <c r="ED618" s="453"/>
      <c r="EE618" s="453"/>
      <c r="EF618" s="453"/>
      <c r="EG618" s="453"/>
      <c r="EH618" s="453"/>
      <c r="EI618" s="453"/>
      <c r="EJ618" s="453"/>
      <c r="EK618" s="453"/>
      <c r="EL618" s="453"/>
      <c r="EM618" s="483">
        <f t="shared" si="224"/>
        <v>309</v>
      </c>
      <c r="EN618" s="485"/>
      <c r="EO618" s="804"/>
      <c r="EP618" s="805"/>
      <c r="EQ618" s="806"/>
      <c r="ER618" s="808"/>
      <c r="ES618" s="881">
        <f t="shared" si="225"/>
        <v>0</v>
      </c>
      <c r="ET618" s="882"/>
      <c r="EU618" s="883"/>
      <c r="EV618" s="884">
        <f t="shared" si="223"/>
        <v>0</v>
      </c>
      <c r="EW618" s="885"/>
      <c r="EX618" s="885"/>
      <c r="EY618" s="885"/>
      <c r="EZ618" s="885"/>
      <c r="FA618" s="885"/>
      <c r="FB618" s="885"/>
      <c r="FC618" s="885"/>
      <c r="FD618" s="886"/>
      <c r="FE618" s="878"/>
      <c r="FF618" s="878"/>
      <c r="FG618" s="878"/>
      <c r="FH618" s="878"/>
      <c r="FI618" s="878"/>
      <c r="FJ618" s="878"/>
      <c r="FK618" s="878"/>
      <c r="FL618" s="555"/>
      <c r="FM618" s="554"/>
      <c r="FN618" s="554"/>
      <c r="FO618" s="554"/>
      <c r="FP618" s="554"/>
      <c r="FQ618" s="554"/>
      <c r="FR618" s="554"/>
      <c r="FS618" s="554"/>
      <c r="FT618" s="554"/>
      <c r="FU618" s="554"/>
      <c r="FV618" s="554"/>
      <c r="FW618" s="554"/>
      <c r="FX618" s="554"/>
      <c r="FY618" s="554"/>
      <c r="FZ618" s="554"/>
      <c r="GA618" s="554"/>
      <c r="GB618" s="556"/>
      <c r="GC618" s="370"/>
      <c r="GD618" s="453"/>
      <c r="GE618" s="453"/>
      <c r="GF618" s="453"/>
      <c r="GG618" s="453"/>
      <c r="GH618" s="454"/>
      <c r="GI618" s="453"/>
      <c r="GJ618" s="453"/>
      <c r="GK618" s="453"/>
      <c r="GL618" s="453"/>
      <c r="GM618" s="453"/>
      <c r="GN618" s="453"/>
      <c r="GO618" s="453"/>
      <c r="GP618" s="453"/>
      <c r="GQ618" s="453"/>
      <c r="GR618" s="453"/>
      <c r="GS618" s="561"/>
      <c r="GT618" s="475"/>
      <c r="GU618" s="472"/>
      <c r="GV618" s="453"/>
      <c r="GW618" s="453"/>
      <c r="GX618" s="869"/>
      <c r="GY618" s="870"/>
      <c r="GZ618" s="867"/>
      <c r="HA618" s="868"/>
      <c r="HB618" s="473"/>
      <c r="HC618" s="869"/>
      <c r="HD618" s="870"/>
      <c r="HE618" s="867"/>
      <c r="HF618" s="868"/>
      <c r="HG618" s="473"/>
      <c r="HH618" s="867"/>
      <c r="HI618" s="868"/>
      <c r="HJ618" s="867"/>
      <c r="HK618" s="868"/>
      <c r="HL618" s="370"/>
      <c r="HM618" s="865"/>
      <c r="HN618" s="866"/>
      <c r="HO618" s="865"/>
      <c r="HP618" s="866"/>
      <c r="HQ618" s="865"/>
      <c r="HR618" s="866"/>
      <c r="HS618" s="867"/>
      <c r="HT618" s="868"/>
      <c r="HU618" s="489"/>
      <c r="HV618" s="865"/>
      <c r="HW618" s="866"/>
    </row>
    <row r="619" spans="25:231" ht="15" customHeight="1">
      <c r="Y619" s="332"/>
      <c r="Z619" s="332"/>
      <c r="AA619" s="332"/>
      <c r="AB619" s="332"/>
      <c r="AC619" s="332"/>
      <c r="AD619" s="332"/>
      <c r="AE619" s="332"/>
      <c r="AF619" s="332"/>
      <c r="AG619" s="332"/>
      <c r="AH619" s="332"/>
      <c r="AI619" s="332"/>
      <c r="AJ619" s="332"/>
      <c r="AK619" s="332"/>
      <c r="AL619" s="332"/>
      <c r="AM619" s="332"/>
      <c r="AN619" s="332"/>
      <c r="AO619" s="332"/>
      <c r="AP619" s="332"/>
      <c r="AQ619" s="332"/>
      <c r="AR619" s="332"/>
      <c r="AS619" s="332"/>
      <c r="AT619" s="332"/>
      <c r="AU619" s="332"/>
      <c r="AV619" s="332"/>
      <c r="AW619" s="332"/>
      <c r="AX619" s="332"/>
      <c r="AY619" s="332"/>
      <c r="AZ619" s="332"/>
      <c r="BA619" s="332"/>
      <c r="BB619" s="332"/>
      <c r="BC619" s="332"/>
      <c r="BD619" s="332"/>
      <c r="BE619" s="332"/>
      <c r="BF619" s="332"/>
      <c r="BG619" s="332"/>
      <c r="BH619" s="332"/>
      <c r="BI619" s="332"/>
      <c r="BJ619" s="332"/>
      <c r="BK619" s="332"/>
      <c r="BL619" s="332"/>
      <c r="BM619" s="332"/>
      <c r="BN619" s="332"/>
      <c r="BO619" s="332"/>
      <c r="BP619" s="332"/>
      <c r="BQ619" s="332"/>
      <c r="BR619" s="332"/>
      <c r="BS619" s="332"/>
      <c r="BT619" s="332"/>
      <c r="BU619" s="332"/>
      <c r="BV619" s="332"/>
      <c r="BW619" s="332"/>
      <c r="BX619" s="332"/>
      <c r="BY619" s="332"/>
      <c r="BZ619" s="332"/>
      <c r="CA619" s="332"/>
      <c r="CB619" s="332"/>
      <c r="CC619" s="332"/>
      <c r="CD619" s="332"/>
      <c r="CE619" s="332"/>
      <c r="CF619" s="332"/>
      <c r="CG619" s="332"/>
      <c r="CH619" s="332"/>
      <c r="CI619" s="332"/>
      <c r="CJ619" s="332"/>
      <c r="CK619" s="332"/>
      <c r="CL619" s="332"/>
      <c r="CM619" s="332"/>
      <c r="CN619" s="332"/>
      <c r="CO619" s="332"/>
      <c r="CP619" s="332"/>
      <c r="CQ619" s="332"/>
      <c r="CR619" s="332"/>
      <c r="CS619" s="332"/>
      <c r="CT619" s="332"/>
      <c r="CU619" s="332"/>
      <c r="CV619" s="332"/>
      <c r="CW619" s="332"/>
      <c r="CX619" s="332"/>
      <c r="CY619" s="332"/>
      <c r="CZ619" s="332"/>
      <c r="DA619" s="332"/>
      <c r="DB619" s="332"/>
      <c r="DC619" s="332"/>
      <c r="DD619" s="332"/>
      <c r="DE619" s="332"/>
      <c r="DF619" s="332"/>
      <c r="DG619" s="332"/>
      <c r="DH619" s="332"/>
      <c r="DI619" s="332"/>
      <c r="DJ619" s="332"/>
      <c r="DK619" s="332"/>
      <c r="DL619" s="332"/>
      <c r="DM619" s="332"/>
      <c r="DN619" s="332"/>
      <c r="DO619" s="332"/>
      <c r="DP619" s="332"/>
      <c r="DQ619" s="332"/>
      <c r="DR619" s="332"/>
      <c r="DS619" s="332"/>
      <c r="DT619" s="332"/>
      <c r="DU619" s="453"/>
      <c r="DV619" s="453"/>
      <c r="DW619" s="453"/>
      <c r="DX619" s="453"/>
      <c r="DY619" s="453"/>
      <c r="DZ619" s="453"/>
      <c r="EA619" s="453"/>
      <c r="EB619" s="453"/>
      <c r="EC619" s="453"/>
      <c r="ED619" s="453"/>
      <c r="EE619" s="453"/>
      <c r="EF619" s="453"/>
      <c r="EG619" s="453"/>
      <c r="EH619" s="453"/>
      <c r="EI619" s="453"/>
      <c r="EJ619" s="453"/>
      <c r="EK619" s="453"/>
      <c r="EL619" s="453"/>
      <c r="EM619" s="483">
        <f t="shared" si="224"/>
        <v>310</v>
      </c>
      <c r="EN619" s="485"/>
      <c r="EO619" s="804"/>
      <c r="EP619" s="805"/>
      <c r="EQ619" s="806"/>
      <c r="ER619" s="808"/>
      <c r="ES619" s="881">
        <f t="shared" si="225"/>
        <v>0</v>
      </c>
      <c r="ET619" s="882"/>
      <c r="EU619" s="883"/>
      <c r="EV619" s="884">
        <f t="shared" si="223"/>
        <v>0</v>
      </c>
      <c r="EW619" s="885"/>
      <c r="EX619" s="885"/>
      <c r="EY619" s="885"/>
      <c r="EZ619" s="885"/>
      <c r="FA619" s="885"/>
      <c r="FB619" s="885"/>
      <c r="FC619" s="885"/>
      <c r="FD619" s="886"/>
      <c r="FE619" s="878"/>
      <c r="FF619" s="878"/>
      <c r="FG619" s="878"/>
      <c r="FH619" s="878"/>
      <c r="FI619" s="878"/>
      <c r="FJ619" s="878"/>
      <c r="FK619" s="878"/>
      <c r="FL619" s="555"/>
      <c r="FM619" s="554"/>
      <c r="FN619" s="554"/>
      <c r="FO619" s="554"/>
      <c r="FP619" s="554"/>
      <c r="FQ619" s="554"/>
      <c r="FR619" s="554"/>
      <c r="FS619" s="554"/>
      <c r="FT619" s="554"/>
      <c r="FU619" s="554"/>
      <c r="FV619" s="554"/>
      <c r="FW619" s="554"/>
      <c r="FX619" s="554"/>
      <c r="FY619" s="554"/>
      <c r="FZ619" s="554"/>
      <c r="GA619" s="554"/>
      <c r="GB619" s="556"/>
      <c r="GC619" s="370"/>
      <c r="GD619" s="453"/>
      <c r="GE619" s="453"/>
      <c r="GF619" s="453"/>
      <c r="GG619" s="453"/>
      <c r="GH619" s="454"/>
      <c r="GI619" s="453"/>
      <c r="GJ619" s="453"/>
      <c r="GK619" s="453"/>
      <c r="GL619" s="453"/>
      <c r="GM619" s="453"/>
      <c r="GN619" s="453"/>
      <c r="GO619" s="453"/>
      <c r="GP619" s="453"/>
      <c r="GQ619" s="453"/>
      <c r="GR619" s="453"/>
      <c r="GS619" s="561"/>
      <c r="GT619" s="475"/>
      <c r="GU619" s="472"/>
      <c r="GV619" s="453"/>
      <c r="GW619" s="453"/>
      <c r="GX619" s="869"/>
      <c r="GY619" s="870"/>
      <c r="GZ619" s="867"/>
      <c r="HA619" s="868"/>
      <c r="HB619" s="473"/>
      <c r="HC619" s="869"/>
      <c r="HD619" s="870"/>
      <c r="HE619" s="867"/>
      <c r="HF619" s="868"/>
      <c r="HG619" s="473"/>
      <c r="HH619" s="867"/>
      <c r="HI619" s="868"/>
      <c r="HJ619" s="867"/>
      <c r="HK619" s="868"/>
      <c r="HL619" s="370"/>
      <c r="HM619" s="865"/>
      <c r="HN619" s="866"/>
      <c r="HO619" s="865"/>
      <c r="HP619" s="866"/>
      <c r="HQ619" s="865"/>
      <c r="HR619" s="866"/>
      <c r="HS619" s="867"/>
      <c r="HT619" s="868"/>
      <c r="HU619" s="489"/>
      <c r="HV619" s="865"/>
      <c r="HW619" s="866"/>
    </row>
    <row r="620" spans="25:231" ht="15" customHeight="1">
      <c r="Y620" s="332"/>
      <c r="Z620" s="332"/>
      <c r="AA620" s="332"/>
      <c r="AB620" s="332"/>
      <c r="AC620" s="332"/>
      <c r="AD620" s="332"/>
      <c r="AE620" s="332"/>
      <c r="AF620" s="332"/>
      <c r="AG620" s="332"/>
      <c r="AH620" s="332"/>
      <c r="AI620" s="332"/>
      <c r="AJ620" s="332"/>
      <c r="AK620" s="332"/>
      <c r="AL620" s="332"/>
      <c r="AM620" s="332"/>
      <c r="AN620" s="332"/>
      <c r="AO620" s="332"/>
      <c r="AP620" s="332"/>
      <c r="AQ620" s="332"/>
      <c r="AR620" s="332"/>
      <c r="AS620" s="332"/>
      <c r="AT620" s="332"/>
      <c r="AU620" s="332"/>
      <c r="AV620" s="332"/>
      <c r="AW620" s="332"/>
      <c r="AX620" s="332"/>
      <c r="AY620" s="332"/>
      <c r="AZ620" s="332"/>
      <c r="BA620" s="332"/>
      <c r="BB620" s="332"/>
      <c r="BC620" s="332"/>
      <c r="BD620" s="332"/>
      <c r="BE620" s="332"/>
      <c r="BF620" s="332"/>
      <c r="BG620" s="332"/>
      <c r="BH620" s="332"/>
      <c r="BI620" s="332"/>
      <c r="BJ620" s="332"/>
      <c r="BK620" s="332"/>
      <c r="BL620" s="332"/>
      <c r="BM620" s="332"/>
      <c r="BN620" s="332"/>
      <c r="BO620" s="332"/>
      <c r="BP620" s="332"/>
      <c r="BQ620" s="332"/>
      <c r="BR620" s="332"/>
      <c r="BS620" s="332"/>
      <c r="BT620" s="332"/>
      <c r="BU620" s="332"/>
      <c r="BV620" s="332"/>
      <c r="BW620" s="332"/>
      <c r="BX620" s="332"/>
      <c r="BY620" s="332"/>
      <c r="BZ620" s="332"/>
      <c r="CA620" s="332"/>
      <c r="CB620" s="332"/>
      <c r="CC620" s="332"/>
      <c r="CD620" s="332"/>
      <c r="CE620" s="332"/>
      <c r="CF620" s="332"/>
      <c r="CG620" s="332"/>
      <c r="CH620" s="332"/>
      <c r="CI620" s="332"/>
      <c r="CJ620" s="332"/>
      <c r="CK620" s="332"/>
      <c r="CL620" s="332"/>
      <c r="CM620" s="332"/>
      <c r="CN620" s="332"/>
      <c r="CO620" s="332"/>
      <c r="CP620" s="332"/>
      <c r="CQ620" s="332"/>
      <c r="CR620" s="332"/>
      <c r="CS620" s="332"/>
      <c r="CT620" s="332"/>
      <c r="CU620" s="332"/>
      <c r="CV620" s="332"/>
      <c r="CW620" s="332"/>
      <c r="CX620" s="332"/>
      <c r="CY620" s="332"/>
      <c r="CZ620" s="332"/>
      <c r="DA620" s="332"/>
      <c r="DB620" s="332"/>
      <c r="DC620" s="332"/>
      <c r="DD620" s="332"/>
      <c r="DE620" s="332"/>
      <c r="DF620" s="332"/>
      <c r="DG620" s="332"/>
      <c r="DH620" s="332"/>
      <c r="DI620" s="332"/>
      <c r="DJ620" s="332"/>
      <c r="DK620" s="332"/>
      <c r="DL620" s="332"/>
      <c r="DM620" s="332"/>
      <c r="DN620" s="332"/>
      <c r="DO620" s="332"/>
      <c r="DP620" s="332"/>
      <c r="DQ620" s="332"/>
      <c r="DR620" s="332"/>
      <c r="DS620" s="332"/>
      <c r="DT620" s="332"/>
      <c r="DU620" s="453"/>
      <c r="DV620" s="453"/>
      <c r="DW620" s="453"/>
      <c r="DX620" s="453"/>
      <c r="DY620" s="453"/>
      <c r="DZ620" s="453"/>
      <c r="EA620" s="453"/>
      <c r="EB620" s="453"/>
      <c r="EC620" s="453"/>
      <c r="ED620" s="453"/>
      <c r="EE620" s="453"/>
      <c r="EF620" s="453"/>
      <c r="EG620" s="453"/>
      <c r="EH620" s="453"/>
      <c r="EI620" s="453"/>
      <c r="EJ620" s="453"/>
      <c r="EK620" s="453"/>
      <c r="EL620" s="453"/>
      <c r="EM620" s="483">
        <f t="shared" si="224"/>
        <v>311</v>
      </c>
      <c r="EN620" s="485"/>
      <c r="EO620" s="804"/>
      <c r="EP620" s="805"/>
      <c r="EQ620" s="806"/>
      <c r="ER620" s="808"/>
      <c r="ES620" s="881">
        <f t="shared" si="225"/>
        <v>0</v>
      </c>
      <c r="ET620" s="882"/>
      <c r="EU620" s="883"/>
      <c r="EV620" s="884">
        <f t="shared" si="223"/>
        <v>0</v>
      </c>
      <c r="EW620" s="885"/>
      <c r="EX620" s="885"/>
      <c r="EY620" s="885"/>
      <c r="EZ620" s="885"/>
      <c r="FA620" s="885"/>
      <c r="FB620" s="885"/>
      <c r="FC620" s="885"/>
      <c r="FD620" s="886"/>
      <c r="FE620" s="878"/>
      <c r="FF620" s="878"/>
      <c r="FG620" s="878"/>
      <c r="FH620" s="878"/>
      <c r="FI620" s="878"/>
      <c r="FJ620" s="878"/>
      <c r="FK620" s="878"/>
      <c r="FL620" s="555"/>
      <c r="FM620" s="554"/>
      <c r="FN620" s="554"/>
      <c r="FO620" s="554"/>
      <c r="FP620" s="554"/>
      <c r="FQ620" s="554"/>
      <c r="FR620" s="554"/>
      <c r="FS620" s="554"/>
      <c r="FT620" s="554"/>
      <c r="FU620" s="554"/>
      <c r="FV620" s="554"/>
      <c r="FW620" s="554"/>
      <c r="FX620" s="554"/>
      <c r="FY620" s="554"/>
      <c r="FZ620" s="554"/>
      <c r="GA620" s="554"/>
      <c r="GB620" s="556"/>
      <c r="GC620" s="370"/>
      <c r="GD620" s="453"/>
      <c r="GE620" s="453"/>
      <c r="GF620" s="453"/>
      <c r="GG620" s="453"/>
      <c r="GH620" s="454"/>
      <c r="GI620" s="453"/>
      <c r="GJ620" s="453"/>
      <c r="GK620" s="453"/>
      <c r="GL620" s="453"/>
      <c r="GM620" s="453"/>
      <c r="GN620" s="453"/>
      <c r="GO620" s="453"/>
      <c r="GP620" s="453"/>
      <c r="GQ620" s="453"/>
      <c r="GR620" s="453"/>
      <c r="GS620" s="561"/>
      <c r="GT620" s="475"/>
      <c r="GU620" s="472"/>
      <c r="GV620" s="453"/>
      <c r="GW620" s="453"/>
      <c r="GX620" s="869"/>
      <c r="GY620" s="870"/>
      <c r="GZ620" s="867"/>
      <c r="HA620" s="868"/>
      <c r="HB620" s="473"/>
      <c r="HC620" s="869"/>
      <c r="HD620" s="870"/>
      <c r="HE620" s="867"/>
      <c r="HF620" s="868"/>
      <c r="HG620" s="473"/>
      <c r="HH620" s="867"/>
      <c r="HI620" s="868"/>
      <c r="HJ620" s="867"/>
      <c r="HK620" s="868"/>
      <c r="HL620" s="370"/>
      <c r="HM620" s="865"/>
      <c r="HN620" s="866"/>
      <c r="HO620" s="865"/>
      <c r="HP620" s="866"/>
      <c r="HQ620" s="865"/>
      <c r="HR620" s="866"/>
      <c r="HS620" s="867"/>
      <c r="HT620" s="868"/>
      <c r="HU620" s="489"/>
      <c r="HV620" s="865"/>
      <c r="HW620" s="866"/>
    </row>
    <row r="621" spans="25:231" ht="15" customHeight="1">
      <c r="Y621" s="332"/>
      <c r="Z621" s="332"/>
      <c r="AA621" s="332"/>
      <c r="AB621" s="332"/>
      <c r="AC621" s="332"/>
      <c r="AD621" s="332"/>
      <c r="AE621" s="332"/>
      <c r="AF621" s="332"/>
      <c r="AG621" s="332"/>
      <c r="AH621" s="332"/>
      <c r="AI621" s="332"/>
      <c r="AJ621" s="332"/>
      <c r="AK621" s="332"/>
      <c r="AL621" s="332"/>
      <c r="AM621" s="332"/>
      <c r="AN621" s="332"/>
      <c r="AO621" s="332"/>
      <c r="AP621" s="332"/>
      <c r="AQ621" s="332"/>
      <c r="AR621" s="332"/>
      <c r="AS621" s="332"/>
      <c r="AT621" s="332"/>
      <c r="AU621" s="332"/>
      <c r="AV621" s="332"/>
      <c r="AW621" s="332"/>
      <c r="AX621" s="332"/>
      <c r="AY621" s="332"/>
      <c r="AZ621" s="332"/>
      <c r="BA621" s="332"/>
      <c r="BB621" s="332"/>
      <c r="BC621" s="332"/>
      <c r="BD621" s="332"/>
      <c r="BE621" s="332"/>
      <c r="BF621" s="332"/>
      <c r="BG621" s="332"/>
      <c r="BH621" s="332"/>
      <c r="BI621" s="332"/>
      <c r="BJ621" s="332"/>
      <c r="BK621" s="332"/>
      <c r="BL621" s="332"/>
      <c r="BM621" s="332"/>
      <c r="BN621" s="332"/>
      <c r="BO621" s="332"/>
      <c r="BP621" s="332"/>
      <c r="BQ621" s="332"/>
      <c r="BR621" s="332"/>
      <c r="BS621" s="332"/>
      <c r="BT621" s="332"/>
      <c r="BU621" s="332"/>
      <c r="BV621" s="332"/>
      <c r="BW621" s="332"/>
      <c r="BX621" s="332"/>
      <c r="BY621" s="332"/>
      <c r="BZ621" s="332"/>
      <c r="CA621" s="332"/>
      <c r="CB621" s="332"/>
      <c r="CC621" s="332"/>
      <c r="CD621" s="332"/>
      <c r="CE621" s="332"/>
      <c r="CF621" s="332"/>
      <c r="CG621" s="332"/>
      <c r="CH621" s="332"/>
      <c r="CI621" s="332"/>
      <c r="CJ621" s="332"/>
      <c r="CK621" s="332"/>
      <c r="CL621" s="332"/>
      <c r="CM621" s="332"/>
      <c r="CN621" s="332"/>
      <c r="CO621" s="332"/>
      <c r="CP621" s="332"/>
      <c r="CQ621" s="332"/>
      <c r="CR621" s="332"/>
      <c r="CS621" s="332"/>
      <c r="CT621" s="332"/>
      <c r="CU621" s="332"/>
      <c r="CV621" s="332"/>
      <c r="CW621" s="332"/>
      <c r="CX621" s="332"/>
      <c r="CY621" s="332"/>
      <c r="CZ621" s="332"/>
      <c r="DA621" s="332"/>
      <c r="DB621" s="332"/>
      <c r="DC621" s="332"/>
      <c r="DD621" s="332"/>
      <c r="DE621" s="332"/>
      <c r="DF621" s="332"/>
      <c r="DG621" s="332"/>
      <c r="DH621" s="332"/>
      <c r="DI621" s="332"/>
      <c r="DJ621" s="332"/>
      <c r="DK621" s="332"/>
      <c r="DL621" s="332"/>
      <c r="DM621" s="332"/>
      <c r="DN621" s="332"/>
      <c r="DO621" s="332"/>
      <c r="DP621" s="332"/>
      <c r="DQ621" s="332"/>
      <c r="DR621" s="332"/>
      <c r="DS621" s="332"/>
      <c r="DT621" s="332"/>
      <c r="DU621" s="453"/>
      <c r="DV621" s="453"/>
      <c r="DW621" s="453"/>
      <c r="DX621" s="453"/>
      <c r="DY621" s="453"/>
      <c r="DZ621" s="453"/>
      <c r="EA621" s="453"/>
      <c r="EB621" s="453"/>
      <c r="EC621" s="453"/>
      <c r="ED621" s="453"/>
      <c r="EE621" s="453"/>
      <c r="EF621" s="453"/>
      <c r="EG621" s="453"/>
      <c r="EH621" s="453"/>
      <c r="EI621" s="453"/>
      <c r="EJ621" s="453"/>
      <c r="EK621" s="453"/>
      <c r="EL621" s="453"/>
      <c r="EM621" s="483">
        <f t="shared" si="224"/>
        <v>312</v>
      </c>
      <c r="EN621" s="485"/>
      <c r="EO621" s="804"/>
      <c r="EP621" s="805"/>
      <c r="EQ621" s="806"/>
      <c r="ER621" s="808"/>
      <c r="ES621" s="881">
        <f t="shared" si="225"/>
        <v>0</v>
      </c>
      <c r="ET621" s="882"/>
      <c r="EU621" s="883"/>
      <c r="EV621" s="884">
        <f t="shared" si="223"/>
        <v>0</v>
      </c>
      <c r="EW621" s="885"/>
      <c r="EX621" s="885"/>
      <c r="EY621" s="885"/>
      <c r="EZ621" s="885"/>
      <c r="FA621" s="885"/>
      <c r="FB621" s="885"/>
      <c r="FC621" s="885"/>
      <c r="FD621" s="886"/>
      <c r="FE621" s="878"/>
      <c r="FF621" s="878"/>
      <c r="FG621" s="878"/>
      <c r="FH621" s="878"/>
      <c r="FI621" s="878"/>
      <c r="FJ621" s="878"/>
      <c r="FK621" s="878"/>
      <c r="FL621" s="555"/>
      <c r="FM621" s="554"/>
      <c r="FN621" s="554"/>
      <c r="FO621" s="554"/>
      <c r="FP621" s="554"/>
      <c r="FQ621" s="554"/>
      <c r="FR621" s="554"/>
      <c r="FS621" s="554"/>
      <c r="FT621" s="554"/>
      <c r="FU621" s="554"/>
      <c r="FV621" s="554"/>
      <c r="FW621" s="554"/>
      <c r="FX621" s="554"/>
      <c r="FY621" s="554"/>
      <c r="FZ621" s="554"/>
      <c r="GA621" s="554"/>
      <c r="GB621" s="556"/>
      <c r="GC621" s="370"/>
      <c r="GD621" s="453"/>
      <c r="GE621" s="453"/>
      <c r="GF621" s="453"/>
      <c r="GG621" s="453"/>
      <c r="GH621" s="454"/>
      <c r="GI621" s="453"/>
      <c r="GJ621" s="453"/>
      <c r="GK621" s="453"/>
      <c r="GL621" s="453"/>
      <c r="GM621" s="453"/>
      <c r="GN621" s="453"/>
      <c r="GO621" s="453"/>
      <c r="GP621" s="453"/>
      <c r="GQ621" s="453"/>
      <c r="GR621" s="453"/>
      <c r="GS621" s="561"/>
      <c r="GT621" s="475"/>
      <c r="GU621" s="472"/>
      <c r="GV621" s="453"/>
      <c r="GW621" s="453"/>
      <c r="GX621" s="869"/>
      <c r="GY621" s="870"/>
      <c r="GZ621" s="867"/>
      <c r="HA621" s="868"/>
      <c r="HB621" s="473"/>
      <c r="HC621" s="869"/>
      <c r="HD621" s="870"/>
      <c r="HE621" s="867"/>
      <c r="HF621" s="868"/>
      <c r="HG621" s="473"/>
      <c r="HH621" s="867"/>
      <c r="HI621" s="868"/>
      <c r="HJ621" s="867"/>
      <c r="HK621" s="868"/>
      <c r="HL621" s="370"/>
      <c r="HM621" s="865"/>
      <c r="HN621" s="866"/>
      <c r="HO621" s="865"/>
      <c r="HP621" s="866"/>
      <c r="HQ621" s="865"/>
      <c r="HR621" s="866"/>
      <c r="HS621" s="867"/>
      <c r="HT621" s="868"/>
      <c r="HU621" s="489"/>
      <c r="HV621" s="865"/>
      <c r="HW621" s="866"/>
    </row>
    <row r="622" spans="25:231" ht="15" customHeight="1">
      <c r="Y622" s="332"/>
      <c r="Z622" s="332"/>
      <c r="AA622" s="332"/>
      <c r="AB622" s="332"/>
      <c r="AC622" s="332"/>
      <c r="AD622" s="332"/>
      <c r="AE622" s="332"/>
      <c r="AF622" s="332"/>
      <c r="AG622" s="332"/>
      <c r="AH622" s="332"/>
      <c r="AI622" s="332"/>
      <c r="AJ622" s="332"/>
      <c r="AK622" s="332"/>
      <c r="AL622" s="332"/>
      <c r="AM622" s="332"/>
      <c r="AN622" s="332"/>
      <c r="AO622" s="332"/>
      <c r="AP622" s="332"/>
      <c r="AQ622" s="332"/>
      <c r="AR622" s="332"/>
      <c r="AS622" s="332"/>
      <c r="AT622" s="332"/>
      <c r="AU622" s="332"/>
      <c r="AV622" s="332"/>
      <c r="AW622" s="332"/>
      <c r="AX622" s="332"/>
      <c r="AY622" s="332"/>
      <c r="AZ622" s="332"/>
      <c r="BA622" s="332"/>
      <c r="BB622" s="332"/>
      <c r="BC622" s="332"/>
      <c r="BD622" s="332"/>
      <c r="BE622" s="332"/>
      <c r="BF622" s="332"/>
      <c r="BG622" s="332"/>
      <c r="BH622" s="332"/>
      <c r="BI622" s="332"/>
      <c r="BJ622" s="332"/>
      <c r="BK622" s="332"/>
      <c r="BL622" s="332"/>
      <c r="BM622" s="332"/>
      <c r="BN622" s="332"/>
      <c r="BO622" s="332"/>
      <c r="BP622" s="332"/>
      <c r="BQ622" s="332"/>
      <c r="BR622" s="332"/>
      <c r="BS622" s="332"/>
      <c r="BT622" s="332"/>
      <c r="BU622" s="332"/>
      <c r="BV622" s="332"/>
      <c r="BW622" s="332"/>
      <c r="BX622" s="332"/>
      <c r="BY622" s="332"/>
      <c r="BZ622" s="332"/>
      <c r="CA622" s="332"/>
      <c r="CB622" s="332"/>
      <c r="CC622" s="332"/>
      <c r="CD622" s="332"/>
      <c r="CE622" s="332"/>
      <c r="CF622" s="332"/>
      <c r="CG622" s="332"/>
      <c r="CH622" s="332"/>
      <c r="CI622" s="332"/>
      <c r="CJ622" s="332"/>
      <c r="CK622" s="332"/>
      <c r="CL622" s="332"/>
      <c r="CM622" s="332"/>
      <c r="CN622" s="332"/>
      <c r="CO622" s="332"/>
      <c r="CP622" s="332"/>
      <c r="CQ622" s="332"/>
      <c r="CR622" s="332"/>
      <c r="CS622" s="332"/>
      <c r="CT622" s="332"/>
      <c r="CU622" s="332"/>
      <c r="CV622" s="332"/>
      <c r="CW622" s="332"/>
      <c r="CX622" s="332"/>
      <c r="CY622" s="332"/>
      <c r="CZ622" s="332"/>
      <c r="DA622" s="332"/>
      <c r="DB622" s="332"/>
      <c r="DC622" s="332"/>
      <c r="DD622" s="332"/>
      <c r="DE622" s="332"/>
      <c r="DF622" s="332"/>
      <c r="DG622" s="332"/>
      <c r="DH622" s="332"/>
      <c r="DI622" s="332"/>
      <c r="DJ622" s="332"/>
      <c r="DK622" s="332"/>
      <c r="DL622" s="332"/>
      <c r="DM622" s="332"/>
      <c r="DN622" s="332"/>
      <c r="DO622" s="332"/>
      <c r="DP622" s="332"/>
      <c r="DQ622" s="332"/>
      <c r="DR622" s="332"/>
      <c r="DS622" s="332"/>
      <c r="DT622" s="332"/>
      <c r="DU622" s="453"/>
      <c r="DV622" s="453"/>
      <c r="DW622" s="453"/>
      <c r="DX622" s="453"/>
      <c r="DY622" s="453"/>
      <c r="DZ622" s="453"/>
      <c r="EA622" s="453"/>
      <c r="EB622" s="453"/>
      <c r="EC622" s="453"/>
      <c r="ED622" s="453"/>
      <c r="EE622" s="453"/>
      <c r="EF622" s="453"/>
      <c r="EG622" s="453"/>
      <c r="EH622" s="453"/>
      <c r="EI622" s="453"/>
      <c r="EJ622" s="453"/>
      <c r="EK622" s="453"/>
      <c r="EL622" s="453"/>
      <c r="EM622" s="483">
        <f t="shared" si="224"/>
        <v>313</v>
      </c>
      <c r="EN622" s="485"/>
      <c r="EO622" s="804"/>
      <c r="EP622" s="805"/>
      <c r="EQ622" s="806"/>
      <c r="ER622" s="808"/>
      <c r="ES622" s="881">
        <f t="shared" si="225"/>
        <v>0</v>
      </c>
      <c r="ET622" s="882"/>
      <c r="EU622" s="883"/>
      <c r="EV622" s="884">
        <f t="shared" si="223"/>
        <v>0</v>
      </c>
      <c r="EW622" s="885"/>
      <c r="EX622" s="885"/>
      <c r="EY622" s="885"/>
      <c r="EZ622" s="885"/>
      <c r="FA622" s="885"/>
      <c r="FB622" s="885"/>
      <c r="FC622" s="885"/>
      <c r="FD622" s="886"/>
      <c r="FE622" s="878"/>
      <c r="FF622" s="878"/>
      <c r="FG622" s="878"/>
      <c r="FH622" s="878"/>
      <c r="FI622" s="878"/>
      <c r="FJ622" s="878"/>
      <c r="FK622" s="878"/>
      <c r="FL622" s="555"/>
      <c r="FM622" s="554"/>
      <c r="FN622" s="554"/>
      <c r="FO622" s="554"/>
      <c r="FP622" s="554"/>
      <c r="FQ622" s="554"/>
      <c r="FR622" s="554"/>
      <c r="FS622" s="554"/>
      <c r="FT622" s="554"/>
      <c r="FU622" s="554"/>
      <c r="FV622" s="554"/>
      <c r="FW622" s="554"/>
      <c r="FX622" s="554"/>
      <c r="FY622" s="554"/>
      <c r="FZ622" s="554"/>
      <c r="GA622" s="554"/>
      <c r="GB622" s="556"/>
      <c r="GC622" s="370"/>
      <c r="GD622" s="453"/>
      <c r="GE622" s="453"/>
      <c r="GF622" s="453"/>
      <c r="GG622" s="453"/>
      <c r="GH622" s="454"/>
      <c r="GI622" s="453"/>
      <c r="GJ622" s="453"/>
      <c r="GK622" s="453"/>
      <c r="GL622" s="453"/>
      <c r="GM622" s="453"/>
      <c r="GN622" s="453"/>
      <c r="GO622" s="453"/>
      <c r="GP622" s="453"/>
      <c r="GQ622" s="453"/>
      <c r="GR622" s="453"/>
      <c r="GS622" s="561"/>
      <c r="GT622" s="475"/>
      <c r="GU622" s="472"/>
      <c r="GV622" s="453"/>
      <c r="GW622" s="453"/>
      <c r="GX622" s="869"/>
      <c r="GY622" s="870"/>
      <c r="GZ622" s="867"/>
      <c r="HA622" s="868"/>
      <c r="HB622" s="473"/>
      <c r="HC622" s="869"/>
      <c r="HD622" s="870"/>
      <c r="HE622" s="867"/>
      <c r="HF622" s="868"/>
      <c r="HG622" s="473"/>
      <c r="HH622" s="867"/>
      <c r="HI622" s="868"/>
      <c r="HJ622" s="867"/>
      <c r="HK622" s="868"/>
      <c r="HL622" s="370"/>
      <c r="HM622" s="865"/>
      <c r="HN622" s="866"/>
      <c r="HO622" s="865"/>
      <c r="HP622" s="866"/>
      <c r="HQ622" s="865"/>
      <c r="HR622" s="866"/>
      <c r="HS622" s="867"/>
      <c r="HT622" s="868"/>
      <c r="HU622" s="489"/>
      <c r="HV622" s="865"/>
      <c r="HW622" s="866"/>
    </row>
    <row r="623" spans="25:231" ht="15" customHeight="1">
      <c r="Y623" s="332"/>
      <c r="Z623" s="332"/>
      <c r="AA623" s="332"/>
      <c r="AB623" s="332"/>
      <c r="AC623" s="332"/>
      <c r="AD623" s="332"/>
      <c r="AE623" s="332"/>
      <c r="AF623" s="332"/>
      <c r="AG623" s="332"/>
      <c r="AH623" s="332"/>
      <c r="AI623" s="332"/>
      <c r="AJ623" s="332"/>
      <c r="AK623" s="332"/>
      <c r="AL623" s="332"/>
      <c r="AM623" s="332"/>
      <c r="AN623" s="332"/>
      <c r="AO623" s="332"/>
      <c r="AP623" s="332"/>
      <c r="AQ623" s="332"/>
      <c r="AR623" s="332"/>
      <c r="AS623" s="332"/>
      <c r="AT623" s="332"/>
      <c r="AU623" s="332"/>
      <c r="AV623" s="332"/>
      <c r="AW623" s="332"/>
      <c r="AX623" s="332"/>
      <c r="AY623" s="332"/>
      <c r="AZ623" s="332"/>
      <c r="BA623" s="332"/>
      <c r="BB623" s="332"/>
      <c r="BC623" s="332"/>
      <c r="BD623" s="332"/>
      <c r="BE623" s="332"/>
      <c r="BF623" s="332"/>
      <c r="BG623" s="332"/>
      <c r="BH623" s="332"/>
      <c r="BI623" s="332"/>
      <c r="BJ623" s="332"/>
      <c r="BK623" s="332"/>
      <c r="BL623" s="332"/>
      <c r="BM623" s="332"/>
      <c r="BN623" s="332"/>
      <c r="BO623" s="332"/>
      <c r="BP623" s="332"/>
      <c r="BQ623" s="332"/>
      <c r="BR623" s="332"/>
      <c r="BS623" s="332"/>
      <c r="BT623" s="332"/>
      <c r="BU623" s="332"/>
      <c r="BV623" s="332"/>
      <c r="BW623" s="332"/>
      <c r="BX623" s="332"/>
      <c r="BY623" s="332"/>
      <c r="BZ623" s="332"/>
      <c r="CA623" s="332"/>
      <c r="CB623" s="332"/>
      <c r="CC623" s="332"/>
      <c r="CD623" s="332"/>
      <c r="CE623" s="332"/>
      <c r="CF623" s="332"/>
      <c r="CG623" s="332"/>
      <c r="CH623" s="332"/>
      <c r="CI623" s="332"/>
      <c r="CJ623" s="332"/>
      <c r="CK623" s="332"/>
      <c r="CL623" s="332"/>
      <c r="CM623" s="332"/>
      <c r="CN623" s="332"/>
      <c r="CO623" s="332"/>
      <c r="CP623" s="332"/>
      <c r="CQ623" s="332"/>
      <c r="CR623" s="332"/>
      <c r="CS623" s="332"/>
      <c r="CT623" s="332"/>
      <c r="CU623" s="332"/>
      <c r="CV623" s="332"/>
      <c r="CW623" s="332"/>
      <c r="CX623" s="332"/>
      <c r="CY623" s="332"/>
      <c r="CZ623" s="332"/>
      <c r="DA623" s="332"/>
      <c r="DB623" s="332"/>
      <c r="DC623" s="332"/>
      <c r="DD623" s="332"/>
      <c r="DE623" s="332"/>
      <c r="DF623" s="332"/>
      <c r="DG623" s="332"/>
      <c r="DH623" s="332"/>
      <c r="DI623" s="332"/>
      <c r="DJ623" s="332"/>
      <c r="DK623" s="332"/>
      <c r="DL623" s="332"/>
      <c r="DM623" s="332"/>
      <c r="DN623" s="332"/>
      <c r="DO623" s="332"/>
      <c r="DP623" s="332"/>
      <c r="DQ623" s="332"/>
      <c r="DR623" s="332"/>
      <c r="DS623" s="332"/>
      <c r="DT623" s="332"/>
      <c r="DU623" s="453"/>
      <c r="DV623" s="453"/>
      <c r="DW623" s="453"/>
      <c r="DX623" s="453"/>
      <c r="DY623" s="453"/>
      <c r="DZ623" s="453"/>
      <c r="EA623" s="453"/>
      <c r="EB623" s="453"/>
      <c r="EC623" s="453"/>
      <c r="ED623" s="453"/>
      <c r="EE623" s="453"/>
      <c r="EF623" s="453"/>
      <c r="EG623" s="453"/>
      <c r="EH623" s="453"/>
      <c r="EI623" s="453"/>
      <c r="EJ623" s="453"/>
      <c r="EK623" s="453"/>
      <c r="EL623" s="453"/>
      <c r="EM623" s="483">
        <f t="shared" si="224"/>
        <v>314</v>
      </c>
      <c r="EN623" s="485"/>
      <c r="EO623" s="804"/>
      <c r="EP623" s="805"/>
      <c r="EQ623" s="820"/>
      <c r="ER623" s="808"/>
      <c r="ES623" s="881">
        <f t="shared" si="225"/>
        <v>0</v>
      </c>
      <c r="ET623" s="882"/>
      <c r="EU623" s="883"/>
      <c r="EV623" s="884">
        <f t="shared" si="223"/>
        <v>0</v>
      </c>
      <c r="EW623" s="885"/>
      <c r="EX623" s="885"/>
      <c r="EY623" s="885"/>
      <c r="EZ623" s="885"/>
      <c r="FA623" s="885"/>
      <c r="FB623" s="885"/>
      <c r="FC623" s="885"/>
      <c r="FD623" s="886"/>
      <c r="FE623" s="878"/>
      <c r="FF623" s="878"/>
      <c r="FG623" s="878"/>
      <c r="FH623" s="878"/>
      <c r="FI623" s="878"/>
      <c r="FJ623" s="878"/>
      <c r="FK623" s="878"/>
      <c r="FL623" s="555"/>
      <c r="FM623" s="554"/>
      <c r="FN623" s="554"/>
      <c r="FO623" s="554"/>
      <c r="FP623" s="554"/>
      <c r="FQ623" s="554"/>
      <c r="FR623" s="554"/>
      <c r="FS623" s="554"/>
      <c r="FT623" s="554"/>
      <c r="FU623" s="554"/>
      <c r="FV623" s="554"/>
      <c r="FW623" s="554"/>
      <c r="FX623" s="554"/>
      <c r="FY623" s="554"/>
      <c r="FZ623" s="554"/>
      <c r="GA623" s="554"/>
      <c r="GB623" s="556"/>
      <c r="GC623" s="370"/>
      <c r="GD623" s="453"/>
      <c r="GE623" s="453"/>
      <c r="GF623" s="453"/>
      <c r="GG623" s="453"/>
      <c r="GH623" s="454"/>
      <c r="GI623" s="453"/>
      <c r="GJ623" s="453"/>
      <c r="GK623" s="453"/>
      <c r="GL623" s="453"/>
      <c r="GM623" s="453"/>
      <c r="GN623" s="453"/>
      <c r="GO623" s="453"/>
      <c r="GP623" s="453"/>
      <c r="GQ623" s="453"/>
      <c r="GR623" s="453"/>
      <c r="GS623" s="561"/>
      <c r="GT623" s="475"/>
      <c r="GU623" s="472"/>
      <c r="GV623" s="453"/>
      <c r="GW623" s="453"/>
      <c r="GX623" s="869"/>
      <c r="GY623" s="870"/>
      <c r="GZ623" s="867"/>
      <c r="HA623" s="868"/>
      <c r="HB623" s="473"/>
      <c r="HC623" s="869"/>
      <c r="HD623" s="870"/>
      <c r="HE623" s="867"/>
      <c r="HF623" s="868"/>
      <c r="HG623" s="473"/>
      <c r="HH623" s="867"/>
      <c r="HI623" s="868"/>
      <c r="HJ623" s="867"/>
      <c r="HK623" s="868"/>
      <c r="HL623" s="370"/>
      <c r="HM623" s="865"/>
      <c r="HN623" s="866"/>
      <c r="HO623" s="865"/>
      <c r="HP623" s="866"/>
      <c r="HQ623" s="865"/>
      <c r="HR623" s="866"/>
      <c r="HS623" s="867"/>
      <c r="HT623" s="868"/>
      <c r="HU623" s="489"/>
      <c r="HV623" s="865"/>
      <c r="HW623" s="866"/>
    </row>
    <row r="624" spans="25:231" ht="15" customHeight="1">
      <c r="Y624" s="332"/>
      <c r="Z624" s="332"/>
      <c r="AA624" s="332"/>
      <c r="AB624" s="332"/>
      <c r="AC624" s="332"/>
      <c r="AD624" s="332"/>
      <c r="AE624" s="332"/>
      <c r="AF624" s="332"/>
      <c r="AG624" s="332"/>
      <c r="AH624" s="332"/>
      <c r="AI624" s="332"/>
      <c r="AJ624" s="332"/>
      <c r="AK624" s="332"/>
      <c r="AL624" s="332"/>
      <c r="AM624" s="332"/>
      <c r="AN624" s="332"/>
      <c r="AO624" s="332"/>
      <c r="AP624" s="332"/>
      <c r="AQ624" s="332"/>
      <c r="AR624" s="332"/>
      <c r="AS624" s="332"/>
      <c r="AT624" s="332"/>
      <c r="AU624" s="332"/>
      <c r="AV624" s="332"/>
      <c r="AW624" s="332"/>
      <c r="AX624" s="332"/>
      <c r="AY624" s="332"/>
      <c r="AZ624" s="332"/>
      <c r="BA624" s="332"/>
      <c r="BB624" s="332"/>
      <c r="BC624" s="332"/>
      <c r="BD624" s="332"/>
      <c r="BE624" s="332"/>
      <c r="BF624" s="332"/>
      <c r="BG624" s="332"/>
      <c r="BH624" s="332"/>
      <c r="BI624" s="332"/>
      <c r="BJ624" s="332"/>
      <c r="BK624" s="332"/>
      <c r="BL624" s="332"/>
      <c r="BM624" s="332"/>
      <c r="BN624" s="332"/>
      <c r="BO624" s="332"/>
      <c r="BP624" s="332"/>
      <c r="BQ624" s="332"/>
      <c r="BR624" s="332"/>
      <c r="BS624" s="332"/>
      <c r="BT624" s="332"/>
      <c r="BU624" s="332"/>
      <c r="BV624" s="332"/>
      <c r="BW624" s="332"/>
      <c r="BX624" s="332"/>
      <c r="BY624" s="332"/>
      <c r="BZ624" s="332"/>
      <c r="CA624" s="332"/>
      <c r="CB624" s="332"/>
      <c r="CC624" s="332"/>
      <c r="CD624" s="332"/>
      <c r="CE624" s="332"/>
      <c r="CF624" s="332"/>
      <c r="CG624" s="332"/>
      <c r="CH624" s="332"/>
      <c r="CI624" s="332"/>
      <c r="CJ624" s="332"/>
      <c r="CK624" s="332"/>
      <c r="CL624" s="332"/>
      <c r="CM624" s="332"/>
      <c r="CN624" s="332"/>
      <c r="CO624" s="332"/>
      <c r="CP624" s="332"/>
      <c r="CQ624" s="332"/>
      <c r="CR624" s="332"/>
      <c r="CS624" s="332"/>
      <c r="CT624" s="332"/>
      <c r="CU624" s="332"/>
      <c r="CV624" s="332"/>
      <c r="CW624" s="332"/>
      <c r="CX624" s="332"/>
      <c r="CY624" s="332"/>
      <c r="CZ624" s="332"/>
      <c r="DA624" s="332"/>
      <c r="DB624" s="332"/>
      <c r="DC624" s="332"/>
      <c r="DD624" s="332"/>
      <c r="DE624" s="332"/>
      <c r="DF624" s="332"/>
      <c r="DG624" s="332"/>
      <c r="DH624" s="332"/>
      <c r="DI624" s="332"/>
      <c r="DJ624" s="332"/>
      <c r="DK624" s="332"/>
      <c r="DL624" s="332"/>
      <c r="DM624" s="332"/>
      <c r="DN624" s="332"/>
      <c r="DO624" s="332"/>
      <c r="DP624" s="332"/>
      <c r="DQ624" s="332"/>
      <c r="DR624" s="332"/>
      <c r="DS624" s="332"/>
      <c r="DT624" s="332"/>
      <c r="DU624" s="453"/>
      <c r="DV624" s="453"/>
      <c r="DW624" s="453"/>
      <c r="DX624" s="453"/>
      <c r="DY624" s="453"/>
      <c r="DZ624" s="453"/>
      <c r="EA624" s="453"/>
      <c r="EB624" s="453"/>
      <c r="EC624" s="453"/>
      <c r="ED624" s="453"/>
      <c r="EE624" s="453"/>
      <c r="EF624" s="453"/>
      <c r="EG624" s="453"/>
      <c r="EH624" s="453"/>
      <c r="EI624" s="453"/>
      <c r="EJ624" s="453"/>
      <c r="EK624" s="453"/>
      <c r="EL624" s="453"/>
      <c r="EM624" s="483">
        <f t="shared" si="224"/>
        <v>315</v>
      </c>
      <c r="EN624" s="485"/>
      <c r="EO624" s="804"/>
      <c r="EP624" s="805"/>
      <c r="EQ624" s="806"/>
      <c r="ER624" s="808"/>
      <c r="ES624" s="881">
        <f t="shared" si="225"/>
        <v>0</v>
      </c>
      <c r="ET624" s="882"/>
      <c r="EU624" s="883"/>
      <c r="EV624" s="884">
        <f t="shared" si="223"/>
        <v>0</v>
      </c>
      <c r="EW624" s="885"/>
      <c r="EX624" s="885"/>
      <c r="EY624" s="885"/>
      <c r="EZ624" s="885"/>
      <c r="FA624" s="885"/>
      <c r="FB624" s="885"/>
      <c r="FC624" s="885"/>
      <c r="FD624" s="886"/>
      <c r="FE624" s="878"/>
      <c r="FF624" s="878"/>
      <c r="FG624" s="878"/>
      <c r="FH624" s="878"/>
      <c r="FI624" s="878"/>
      <c r="FJ624" s="878"/>
      <c r="FK624" s="878"/>
      <c r="FL624" s="555"/>
      <c r="FM624" s="554"/>
      <c r="FN624" s="554"/>
      <c r="FO624" s="554"/>
      <c r="FP624" s="554"/>
      <c r="FQ624" s="554"/>
      <c r="FR624" s="554"/>
      <c r="FS624" s="554"/>
      <c r="FT624" s="554"/>
      <c r="FU624" s="554"/>
      <c r="FV624" s="554"/>
      <c r="FW624" s="554"/>
      <c r="FX624" s="554"/>
      <c r="FY624" s="554"/>
      <c r="FZ624" s="554"/>
      <c r="GA624" s="554"/>
      <c r="GB624" s="556"/>
      <c r="GC624" s="370"/>
      <c r="GD624" s="453"/>
      <c r="GE624" s="453"/>
      <c r="GF624" s="453"/>
      <c r="GG624" s="453"/>
      <c r="GH624" s="454"/>
      <c r="GI624" s="453"/>
      <c r="GJ624" s="453"/>
      <c r="GK624" s="453"/>
      <c r="GL624" s="453"/>
      <c r="GM624" s="453"/>
      <c r="GN624" s="453"/>
      <c r="GO624" s="453"/>
      <c r="GP624" s="453"/>
      <c r="GQ624" s="453"/>
      <c r="GR624" s="453"/>
      <c r="GS624" s="561"/>
      <c r="GT624" s="475"/>
      <c r="GU624" s="472"/>
      <c r="GV624" s="453"/>
      <c r="GW624" s="453"/>
      <c r="GX624" s="869"/>
      <c r="GY624" s="870"/>
      <c r="GZ624" s="867"/>
      <c r="HA624" s="868"/>
      <c r="HB624" s="473"/>
      <c r="HC624" s="869"/>
      <c r="HD624" s="870"/>
      <c r="HE624" s="867"/>
      <c r="HF624" s="868"/>
      <c r="HG624" s="473"/>
      <c r="HH624" s="867"/>
      <c r="HI624" s="868"/>
      <c r="HJ624" s="867"/>
      <c r="HK624" s="868"/>
      <c r="HL624" s="370"/>
      <c r="HM624" s="865"/>
      <c r="HN624" s="866"/>
      <c r="HO624" s="865"/>
      <c r="HP624" s="866"/>
      <c r="HQ624" s="865"/>
      <c r="HR624" s="866"/>
      <c r="HS624" s="867"/>
      <c r="HT624" s="868"/>
      <c r="HU624" s="489"/>
      <c r="HV624" s="865"/>
      <c r="HW624" s="866"/>
    </row>
    <row r="625" spans="25:231" ht="15" customHeight="1">
      <c r="Y625" s="332"/>
      <c r="Z625" s="332"/>
      <c r="AA625" s="332"/>
      <c r="AB625" s="332"/>
      <c r="AC625" s="332"/>
      <c r="AD625" s="332"/>
      <c r="AE625" s="332"/>
      <c r="AF625" s="332"/>
      <c r="AG625" s="332"/>
      <c r="AH625" s="332"/>
      <c r="AI625" s="332"/>
      <c r="AJ625" s="332"/>
      <c r="AK625" s="332"/>
      <c r="AL625" s="332"/>
      <c r="AM625" s="332"/>
      <c r="AN625" s="332"/>
      <c r="AO625" s="332"/>
      <c r="AP625" s="332"/>
      <c r="AQ625" s="332"/>
      <c r="AR625" s="332"/>
      <c r="AS625" s="332"/>
      <c r="AT625" s="332"/>
      <c r="AU625" s="332"/>
      <c r="AV625" s="332"/>
      <c r="AW625" s="332"/>
      <c r="AX625" s="332"/>
      <c r="AY625" s="332"/>
      <c r="AZ625" s="332"/>
      <c r="BA625" s="332"/>
      <c r="BB625" s="332"/>
      <c r="BC625" s="332"/>
      <c r="BD625" s="332"/>
      <c r="BE625" s="332"/>
      <c r="BF625" s="332"/>
      <c r="BG625" s="332"/>
      <c r="BH625" s="332"/>
      <c r="BI625" s="332"/>
      <c r="BJ625" s="332"/>
      <c r="BK625" s="332"/>
      <c r="BL625" s="332"/>
      <c r="BM625" s="332"/>
      <c r="BN625" s="332"/>
      <c r="BO625" s="332"/>
      <c r="BP625" s="332"/>
      <c r="BQ625" s="332"/>
      <c r="BR625" s="332"/>
      <c r="BS625" s="332"/>
      <c r="BT625" s="332"/>
      <c r="BU625" s="332"/>
      <c r="BV625" s="332"/>
      <c r="BW625" s="332"/>
      <c r="BX625" s="332"/>
      <c r="BY625" s="332"/>
      <c r="BZ625" s="332"/>
      <c r="CA625" s="332"/>
      <c r="CB625" s="332"/>
      <c r="CC625" s="332"/>
      <c r="CD625" s="332"/>
      <c r="CE625" s="332"/>
      <c r="CF625" s="332"/>
      <c r="CG625" s="332"/>
      <c r="CH625" s="332"/>
      <c r="CI625" s="332"/>
      <c r="CJ625" s="332"/>
      <c r="CK625" s="332"/>
      <c r="CL625" s="332"/>
      <c r="CM625" s="332"/>
      <c r="CN625" s="332"/>
      <c r="CO625" s="332"/>
      <c r="CP625" s="332"/>
      <c r="CQ625" s="332"/>
      <c r="CR625" s="332"/>
      <c r="CS625" s="332"/>
      <c r="CT625" s="332"/>
      <c r="CU625" s="332"/>
      <c r="CV625" s="332"/>
      <c r="CW625" s="332"/>
      <c r="CX625" s="332"/>
      <c r="CY625" s="332"/>
      <c r="CZ625" s="332"/>
      <c r="DA625" s="332"/>
      <c r="DB625" s="332"/>
      <c r="DC625" s="332"/>
      <c r="DD625" s="332"/>
      <c r="DE625" s="332"/>
      <c r="DF625" s="332"/>
      <c r="DG625" s="332"/>
      <c r="DH625" s="332"/>
      <c r="DI625" s="332"/>
      <c r="DJ625" s="332"/>
      <c r="DK625" s="332"/>
      <c r="DL625" s="332"/>
      <c r="DM625" s="332"/>
      <c r="DN625" s="332"/>
      <c r="DO625" s="332"/>
      <c r="DP625" s="332"/>
      <c r="DQ625" s="332"/>
      <c r="DR625" s="332"/>
      <c r="DS625" s="332"/>
      <c r="DT625" s="332"/>
      <c r="DU625" s="453"/>
      <c r="DV625" s="453"/>
      <c r="DW625" s="453"/>
      <c r="DX625" s="453"/>
      <c r="DY625" s="453"/>
      <c r="DZ625" s="453"/>
      <c r="EA625" s="453"/>
      <c r="EB625" s="453"/>
      <c r="EC625" s="453"/>
      <c r="ED625" s="453"/>
      <c r="EE625" s="453"/>
      <c r="EF625" s="453"/>
      <c r="EG625" s="453"/>
      <c r="EH625" s="453"/>
      <c r="EI625" s="453"/>
      <c r="EJ625" s="453"/>
      <c r="EK625" s="453"/>
      <c r="EL625" s="453"/>
      <c r="EM625" s="483">
        <f t="shared" si="224"/>
        <v>316</v>
      </c>
      <c r="EN625" s="485"/>
      <c r="EO625" s="804"/>
      <c r="EP625" s="805"/>
      <c r="EQ625" s="806"/>
      <c r="ER625" s="808"/>
      <c r="ES625" s="881">
        <f t="shared" si="225"/>
        <v>0</v>
      </c>
      <c r="ET625" s="882"/>
      <c r="EU625" s="883"/>
      <c r="EV625" s="884">
        <f t="shared" si="223"/>
        <v>0</v>
      </c>
      <c r="EW625" s="885"/>
      <c r="EX625" s="885"/>
      <c r="EY625" s="885"/>
      <c r="EZ625" s="885"/>
      <c r="FA625" s="885"/>
      <c r="FB625" s="885"/>
      <c r="FC625" s="885"/>
      <c r="FD625" s="886"/>
      <c r="FE625" s="878"/>
      <c r="FF625" s="878"/>
      <c r="FG625" s="878"/>
      <c r="FH625" s="878"/>
      <c r="FI625" s="878"/>
      <c r="FJ625" s="878"/>
      <c r="FK625" s="878"/>
      <c r="FL625" s="555"/>
      <c r="FM625" s="554"/>
      <c r="FN625" s="554"/>
      <c r="FO625" s="554"/>
      <c r="FP625" s="554"/>
      <c r="FQ625" s="554"/>
      <c r="FR625" s="554"/>
      <c r="FS625" s="554"/>
      <c r="FT625" s="554"/>
      <c r="FU625" s="554"/>
      <c r="FV625" s="554"/>
      <c r="FW625" s="554"/>
      <c r="FX625" s="554"/>
      <c r="FY625" s="554"/>
      <c r="FZ625" s="554"/>
      <c r="GA625" s="554"/>
      <c r="GB625" s="556"/>
      <c r="GC625" s="370"/>
      <c r="GD625" s="453"/>
      <c r="GE625" s="453"/>
      <c r="GF625" s="453"/>
      <c r="GG625" s="453"/>
      <c r="GH625" s="454"/>
      <c r="GI625" s="453"/>
      <c r="GJ625" s="453"/>
      <c r="GK625" s="453"/>
      <c r="GL625" s="453"/>
      <c r="GM625" s="453"/>
      <c r="GN625" s="453"/>
      <c r="GO625" s="453"/>
      <c r="GP625" s="453"/>
      <c r="GQ625" s="453"/>
      <c r="GR625" s="453"/>
      <c r="GS625" s="561"/>
      <c r="GT625" s="475"/>
      <c r="GU625" s="472"/>
      <c r="GV625" s="453"/>
      <c r="GW625" s="453"/>
      <c r="GX625" s="869"/>
      <c r="GY625" s="870"/>
      <c r="GZ625" s="867"/>
      <c r="HA625" s="868"/>
      <c r="HB625" s="473"/>
      <c r="HC625" s="869"/>
      <c r="HD625" s="870"/>
      <c r="HE625" s="867"/>
      <c r="HF625" s="868"/>
      <c r="HG625" s="473"/>
      <c r="HH625" s="867"/>
      <c r="HI625" s="868"/>
      <c r="HJ625" s="867"/>
      <c r="HK625" s="868"/>
      <c r="HL625" s="370"/>
      <c r="HM625" s="865"/>
      <c r="HN625" s="866"/>
      <c r="HO625" s="865"/>
      <c r="HP625" s="866"/>
      <c r="HQ625" s="865"/>
      <c r="HR625" s="866"/>
      <c r="HS625" s="867"/>
      <c r="HT625" s="868"/>
      <c r="HU625" s="489"/>
      <c r="HV625" s="865"/>
      <c r="HW625" s="866"/>
    </row>
    <row r="626" spans="25:231" ht="15" customHeight="1">
      <c r="Y626" s="332"/>
      <c r="Z626" s="332"/>
      <c r="AA626" s="332"/>
      <c r="AB626" s="332"/>
      <c r="AC626" s="332"/>
      <c r="AD626" s="332"/>
      <c r="AE626" s="332"/>
      <c r="AF626" s="332"/>
      <c r="AG626" s="332"/>
      <c r="AH626" s="332"/>
      <c r="AI626" s="332"/>
      <c r="AJ626" s="332"/>
      <c r="AK626" s="332"/>
      <c r="AL626" s="332"/>
      <c r="AM626" s="332"/>
      <c r="AN626" s="332"/>
      <c r="AO626" s="332"/>
      <c r="AP626" s="332"/>
      <c r="AQ626" s="332"/>
      <c r="AR626" s="332"/>
      <c r="AS626" s="332"/>
      <c r="AT626" s="332"/>
      <c r="AU626" s="332"/>
      <c r="AV626" s="332"/>
      <c r="AW626" s="332"/>
      <c r="AX626" s="332"/>
      <c r="AY626" s="332"/>
      <c r="AZ626" s="332"/>
      <c r="BA626" s="332"/>
      <c r="BB626" s="332"/>
      <c r="BC626" s="332"/>
      <c r="BD626" s="332"/>
      <c r="BE626" s="332"/>
      <c r="BF626" s="332"/>
      <c r="BG626" s="332"/>
      <c r="BH626" s="332"/>
      <c r="BI626" s="332"/>
      <c r="BJ626" s="332"/>
      <c r="BK626" s="332"/>
      <c r="BL626" s="332"/>
      <c r="BM626" s="332"/>
      <c r="BN626" s="332"/>
      <c r="BO626" s="332"/>
      <c r="BP626" s="332"/>
      <c r="BQ626" s="332"/>
      <c r="BR626" s="332"/>
      <c r="BS626" s="332"/>
      <c r="BT626" s="332"/>
      <c r="BU626" s="332"/>
      <c r="BV626" s="332"/>
      <c r="BW626" s="332"/>
      <c r="BX626" s="332"/>
      <c r="BY626" s="332"/>
      <c r="BZ626" s="332"/>
      <c r="CA626" s="332"/>
      <c r="CB626" s="332"/>
      <c r="CC626" s="332"/>
      <c r="CD626" s="332"/>
      <c r="CE626" s="332"/>
      <c r="CF626" s="332"/>
      <c r="CG626" s="332"/>
      <c r="CH626" s="332"/>
      <c r="CI626" s="332"/>
      <c r="CJ626" s="332"/>
      <c r="CK626" s="332"/>
      <c r="CL626" s="332"/>
      <c r="CM626" s="332"/>
      <c r="CN626" s="332"/>
      <c r="CO626" s="332"/>
      <c r="CP626" s="332"/>
      <c r="CQ626" s="332"/>
      <c r="CR626" s="332"/>
      <c r="CS626" s="332"/>
      <c r="CT626" s="332"/>
      <c r="CU626" s="332"/>
      <c r="CV626" s="332"/>
      <c r="CW626" s="332"/>
      <c r="CX626" s="332"/>
      <c r="CY626" s="332"/>
      <c r="CZ626" s="332"/>
      <c r="DA626" s="332"/>
      <c r="DB626" s="332"/>
      <c r="DC626" s="332"/>
      <c r="DD626" s="332"/>
      <c r="DE626" s="332"/>
      <c r="DF626" s="332"/>
      <c r="DG626" s="332"/>
      <c r="DH626" s="332"/>
      <c r="DI626" s="332"/>
      <c r="DJ626" s="332"/>
      <c r="DK626" s="332"/>
      <c r="DL626" s="332"/>
      <c r="DM626" s="332"/>
      <c r="DN626" s="332"/>
      <c r="DO626" s="332"/>
      <c r="DP626" s="332"/>
      <c r="DQ626" s="332"/>
      <c r="DR626" s="332"/>
      <c r="DS626" s="332"/>
      <c r="DT626" s="332"/>
      <c r="DU626" s="453"/>
      <c r="DV626" s="453"/>
      <c r="DW626" s="453"/>
      <c r="DX626" s="453"/>
      <c r="DY626" s="453"/>
      <c r="DZ626" s="453"/>
      <c r="EA626" s="453"/>
      <c r="EB626" s="453"/>
      <c r="EC626" s="453"/>
      <c r="ED626" s="453"/>
      <c r="EE626" s="453"/>
      <c r="EF626" s="453"/>
      <c r="EG626" s="453"/>
      <c r="EH626" s="453"/>
      <c r="EI626" s="453"/>
      <c r="EJ626" s="453"/>
      <c r="EK626" s="453"/>
      <c r="EL626" s="453"/>
      <c r="EM626" s="483">
        <f t="shared" si="224"/>
        <v>317</v>
      </c>
      <c r="EN626" s="485"/>
      <c r="EO626" s="804"/>
      <c r="EP626" s="805"/>
      <c r="EQ626" s="806"/>
      <c r="ER626" s="808"/>
      <c r="ES626" s="881">
        <f t="shared" si="225"/>
        <v>0</v>
      </c>
      <c r="ET626" s="882"/>
      <c r="EU626" s="883"/>
      <c r="EV626" s="884">
        <f t="shared" si="223"/>
        <v>0</v>
      </c>
      <c r="EW626" s="885"/>
      <c r="EX626" s="885"/>
      <c r="EY626" s="885"/>
      <c r="EZ626" s="885"/>
      <c r="FA626" s="885"/>
      <c r="FB626" s="885"/>
      <c r="FC626" s="885"/>
      <c r="FD626" s="886"/>
      <c r="FE626" s="878"/>
      <c r="FF626" s="878"/>
      <c r="FG626" s="878"/>
      <c r="FH626" s="878"/>
      <c r="FI626" s="878"/>
      <c r="FJ626" s="878"/>
      <c r="FK626" s="878"/>
      <c r="FL626" s="555"/>
      <c r="FM626" s="554"/>
      <c r="FN626" s="554"/>
      <c r="FO626" s="554"/>
      <c r="FP626" s="554"/>
      <c r="FQ626" s="554"/>
      <c r="FR626" s="554"/>
      <c r="FS626" s="554"/>
      <c r="FT626" s="554"/>
      <c r="FU626" s="554"/>
      <c r="FV626" s="554"/>
      <c r="FW626" s="554"/>
      <c r="FX626" s="554"/>
      <c r="FY626" s="554"/>
      <c r="FZ626" s="554"/>
      <c r="GA626" s="554"/>
      <c r="GB626" s="556"/>
      <c r="GC626" s="370"/>
      <c r="GD626" s="453"/>
      <c r="GE626" s="453"/>
      <c r="GF626" s="453"/>
      <c r="GG626" s="453"/>
      <c r="GH626" s="454"/>
      <c r="GI626" s="453"/>
      <c r="GJ626" s="453"/>
      <c r="GK626" s="453"/>
      <c r="GL626" s="453"/>
      <c r="GM626" s="453"/>
      <c r="GN626" s="453"/>
      <c r="GO626" s="453"/>
      <c r="GP626" s="453"/>
      <c r="GQ626" s="453"/>
      <c r="GR626" s="453"/>
      <c r="GS626" s="561"/>
      <c r="GT626" s="475"/>
      <c r="GU626" s="472"/>
      <c r="GV626" s="453"/>
      <c r="GW626" s="453"/>
      <c r="GX626" s="869"/>
      <c r="GY626" s="870"/>
      <c r="GZ626" s="867"/>
      <c r="HA626" s="868"/>
      <c r="HB626" s="473"/>
      <c r="HC626" s="869"/>
      <c r="HD626" s="870"/>
      <c r="HE626" s="867"/>
      <c r="HF626" s="868"/>
      <c r="HG626" s="473"/>
      <c r="HH626" s="867"/>
      <c r="HI626" s="868"/>
      <c r="HJ626" s="867"/>
      <c r="HK626" s="868"/>
      <c r="HL626" s="370"/>
      <c r="HM626" s="865"/>
      <c r="HN626" s="866"/>
      <c r="HO626" s="865"/>
      <c r="HP626" s="866"/>
      <c r="HQ626" s="865"/>
      <c r="HR626" s="866"/>
      <c r="HS626" s="867"/>
      <c r="HT626" s="868"/>
      <c r="HU626" s="489"/>
      <c r="HV626" s="865"/>
      <c r="HW626" s="866"/>
    </row>
    <row r="627" spans="25:231" ht="15" customHeight="1">
      <c r="Y627" s="332"/>
      <c r="Z627" s="332"/>
      <c r="AA627" s="332"/>
      <c r="AB627" s="332"/>
      <c r="AC627" s="332"/>
      <c r="AD627" s="332"/>
      <c r="AE627" s="332"/>
      <c r="AF627" s="332"/>
      <c r="AG627" s="332"/>
      <c r="AH627" s="332"/>
      <c r="AI627" s="332"/>
      <c r="AJ627" s="332"/>
      <c r="AK627" s="332"/>
      <c r="AL627" s="332"/>
      <c r="AM627" s="332"/>
      <c r="AN627" s="332"/>
      <c r="AO627" s="332"/>
      <c r="AP627" s="332"/>
      <c r="AQ627" s="332"/>
      <c r="AR627" s="332"/>
      <c r="AS627" s="332"/>
      <c r="AT627" s="332"/>
      <c r="AU627" s="332"/>
      <c r="AV627" s="332"/>
      <c r="AW627" s="332"/>
      <c r="AX627" s="332"/>
      <c r="AY627" s="332"/>
      <c r="AZ627" s="332"/>
      <c r="BA627" s="332"/>
      <c r="BB627" s="332"/>
      <c r="BC627" s="332"/>
      <c r="BD627" s="332"/>
      <c r="BE627" s="332"/>
      <c r="BF627" s="332"/>
      <c r="BG627" s="332"/>
      <c r="BH627" s="332"/>
      <c r="BI627" s="332"/>
      <c r="BJ627" s="332"/>
      <c r="BK627" s="332"/>
      <c r="BL627" s="332"/>
      <c r="BM627" s="332"/>
      <c r="BN627" s="332"/>
      <c r="BO627" s="332"/>
      <c r="BP627" s="332"/>
      <c r="BQ627" s="332"/>
      <c r="BR627" s="332"/>
      <c r="BS627" s="332"/>
      <c r="BT627" s="332"/>
      <c r="BU627" s="332"/>
      <c r="BV627" s="332"/>
      <c r="BW627" s="332"/>
      <c r="BX627" s="332"/>
      <c r="BY627" s="332"/>
      <c r="BZ627" s="332"/>
      <c r="CA627" s="332"/>
      <c r="CB627" s="332"/>
      <c r="CC627" s="332"/>
      <c r="CD627" s="332"/>
      <c r="CE627" s="332"/>
      <c r="CF627" s="332"/>
      <c r="CG627" s="332"/>
      <c r="CH627" s="332"/>
      <c r="CI627" s="332"/>
      <c r="CJ627" s="332"/>
      <c r="CK627" s="332"/>
      <c r="CL627" s="332"/>
      <c r="CM627" s="332"/>
      <c r="CN627" s="332"/>
      <c r="CO627" s="332"/>
      <c r="CP627" s="332"/>
      <c r="CQ627" s="332"/>
      <c r="CR627" s="332"/>
      <c r="CS627" s="332"/>
      <c r="CT627" s="332"/>
      <c r="CU627" s="332"/>
      <c r="CV627" s="332"/>
      <c r="CW627" s="332"/>
      <c r="CX627" s="332"/>
      <c r="CY627" s="332"/>
      <c r="CZ627" s="332"/>
      <c r="DA627" s="332"/>
      <c r="DB627" s="332"/>
      <c r="DC627" s="332"/>
      <c r="DD627" s="332"/>
      <c r="DE627" s="332"/>
      <c r="DF627" s="332"/>
      <c r="DG627" s="332"/>
      <c r="DH627" s="332"/>
      <c r="DI627" s="332"/>
      <c r="DJ627" s="332"/>
      <c r="DK627" s="332"/>
      <c r="DL627" s="332"/>
      <c r="DM627" s="332"/>
      <c r="DN627" s="332"/>
      <c r="DO627" s="332"/>
      <c r="DP627" s="332"/>
      <c r="DQ627" s="332"/>
      <c r="DR627" s="332"/>
      <c r="DS627" s="332"/>
      <c r="DT627" s="332"/>
      <c r="DU627" s="453"/>
      <c r="DV627" s="453"/>
      <c r="DW627" s="453"/>
      <c r="DX627" s="453"/>
      <c r="DY627" s="453"/>
      <c r="DZ627" s="453"/>
      <c r="EA627" s="453"/>
      <c r="EB627" s="453"/>
      <c r="EC627" s="453"/>
      <c r="ED627" s="453"/>
      <c r="EE627" s="453"/>
      <c r="EF627" s="453"/>
      <c r="EG627" s="453"/>
      <c r="EH627" s="453"/>
      <c r="EI627" s="453"/>
      <c r="EJ627" s="453"/>
      <c r="EK627" s="453"/>
      <c r="EL627" s="453"/>
      <c r="EM627" s="483">
        <f t="shared" si="224"/>
        <v>318</v>
      </c>
      <c r="EN627" s="485"/>
      <c r="EO627" s="804"/>
      <c r="EP627" s="805"/>
      <c r="EQ627" s="806"/>
      <c r="ER627" s="808"/>
      <c r="ES627" s="881">
        <f t="shared" si="225"/>
        <v>0</v>
      </c>
      <c r="ET627" s="882"/>
      <c r="EU627" s="883"/>
      <c r="EV627" s="884">
        <f t="shared" si="223"/>
        <v>0</v>
      </c>
      <c r="EW627" s="885"/>
      <c r="EX627" s="885"/>
      <c r="EY627" s="885"/>
      <c r="EZ627" s="885"/>
      <c r="FA627" s="885"/>
      <c r="FB627" s="885"/>
      <c r="FC627" s="885"/>
      <c r="FD627" s="886"/>
      <c r="FE627" s="878"/>
      <c r="FF627" s="878"/>
      <c r="FG627" s="878"/>
      <c r="FH627" s="878"/>
      <c r="FI627" s="878"/>
      <c r="FJ627" s="878"/>
      <c r="FK627" s="878"/>
      <c r="FL627" s="555"/>
      <c r="FM627" s="554"/>
      <c r="FN627" s="554"/>
      <c r="FO627" s="554"/>
      <c r="FP627" s="554"/>
      <c r="FQ627" s="554"/>
      <c r="FR627" s="554"/>
      <c r="FS627" s="554"/>
      <c r="FT627" s="554"/>
      <c r="FU627" s="554"/>
      <c r="FV627" s="554"/>
      <c r="FW627" s="554"/>
      <c r="FX627" s="554"/>
      <c r="FY627" s="554"/>
      <c r="FZ627" s="554"/>
      <c r="GA627" s="554"/>
      <c r="GB627" s="556"/>
      <c r="GC627" s="370"/>
      <c r="GD627" s="453"/>
      <c r="GE627" s="453"/>
      <c r="GF627" s="453"/>
      <c r="GG627" s="453"/>
      <c r="GH627" s="454"/>
      <c r="GI627" s="453"/>
      <c r="GJ627" s="453"/>
      <c r="GK627" s="453"/>
      <c r="GL627" s="453"/>
      <c r="GM627" s="453"/>
      <c r="GN627" s="453"/>
      <c r="GO627" s="453"/>
      <c r="GP627" s="453"/>
      <c r="GQ627" s="453"/>
      <c r="GR627" s="453"/>
      <c r="GS627" s="561"/>
      <c r="GT627" s="475"/>
      <c r="GU627" s="472"/>
      <c r="GV627" s="453"/>
      <c r="GW627" s="453"/>
      <c r="GX627" s="869"/>
      <c r="GY627" s="870"/>
      <c r="GZ627" s="867"/>
      <c r="HA627" s="868"/>
      <c r="HB627" s="473"/>
      <c r="HC627" s="869"/>
      <c r="HD627" s="870"/>
      <c r="HE627" s="867"/>
      <c r="HF627" s="868"/>
      <c r="HG627" s="473"/>
      <c r="HH627" s="867"/>
      <c r="HI627" s="868"/>
      <c r="HJ627" s="867"/>
      <c r="HK627" s="868"/>
      <c r="HL627" s="370"/>
      <c r="HM627" s="865"/>
      <c r="HN627" s="866"/>
      <c r="HO627" s="865"/>
      <c r="HP627" s="866"/>
      <c r="HQ627" s="865"/>
      <c r="HR627" s="866"/>
      <c r="HS627" s="867"/>
      <c r="HT627" s="868"/>
      <c r="HU627" s="489"/>
      <c r="HV627" s="865"/>
      <c r="HW627" s="866"/>
    </row>
    <row r="628" spans="25:231" ht="15" customHeight="1">
      <c r="Y628" s="332"/>
      <c r="Z628" s="332"/>
      <c r="AA628" s="332"/>
      <c r="AB628" s="332"/>
      <c r="AC628" s="332"/>
      <c r="AD628" s="332"/>
      <c r="AE628" s="332"/>
      <c r="AF628" s="332"/>
      <c r="AG628" s="332"/>
      <c r="AH628" s="332"/>
      <c r="AI628" s="332"/>
      <c r="AJ628" s="332"/>
      <c r="AK628" s="332"/>
      <c r="AL628" s="332"/>
      <c r="AM628" s="332"/>
      <c r="AN628" s="332"/>
      <c r="AO628" s="332"/>
      <c r="AP628" s="332"/>
      <c r="AQ628" s="332"/>
      <c r="AR628" s="332"/>
      <c r="AS628" s="332"/>
      <c r="AT628" s="332"/>
      <c r="AU628" s="332"/>
      <c r="AV628" s="332"/>
      <c r="AW628" s="332"/>
      <c r="AX628" s="332"/>
      <c r="AY628" s="332"/>
      <c r="AZ628" s="332"/>
      <c r="BA628" s="332"/>
      <c r="BB628" s="332"/>
      <c r="BC628" s="332"/>
      <c r="BD628" s="332"/>
      <c r="BE628" s="332"/>
      <c r="BF628" s="332"/>
      <c r="BG628" s="332"/>
      <c r="BH628" s="332"/>
      <c r="BI628" s="332"/>
      <c r="BJ628" s="332"/>
      <c r="BK628" s="332"/>
      <c r="BL628" s="332"/>
      <c r="BM628" s="332"/>
      <c r="BN628" s="332"/>
      <c r="BO628" s="332"/>
      <c r="BP628" s="332"/>
      <c r="BQ628" s="332"/>
      <c r="BR628" s="332"/>
      <c r="BS628" s="332"/>
      <c r="BT628" s="332"/>
      <c r="BU628" s="332"/>
      <c r="BV628" s="332"/>
      <c r="BW628" s="332"/>
      <c r="BX628" s="332"/>
      <c r="BY628" s="332"/>
      <c r="BZ628" s="332"/>
      <c r="CA628" s="332"/>
      <c r="CB628" s="332"/>
      <c r="CC628" s="332"/>
      <c r="CD628" s="332"/>
      <c r="CE628" s="332"/>
      <c r="CF628" s="332"/>
      <c r="CG628" s="332"/>
      <c r="CH628" s="332"/>
      <c r="CI628" s="332"/>
      <c r="CJ628" s="332"/>
      <c r="CK628" s="332"/>
      <c r="CL628" s="332"/>
      <c r="CM628" s="332"/>
      <c r="CN628" s="332"/>
      <c r="CO628" s="332"/>
      <c r="CP628" s="332"/>
      <c r="CQ628" s="332"/>
      <c r="CR628" s="332"/>
      <c r="CS628" s="332"/>
      <c r="CT628" s="332"/>
      <c r="CU628" s="332"/>
      <c r="CV628" s="332"/>
      <c r="CW628" s="332"/>
      <c r="CX628" s="332"/>
      <c r="CY628" s="332"/>
      <c r="CZ628" s="332"/>
      <c r="DA628" s="332"/>
      <c r="DB628" s="332"/>
      <c r="DC628" s="332"/>
      <c r="DD628" s="332"/>
      <c r="DE628" s="332"/>
      <c r="DF628" s="332"/>
      <c r="DG628" s="332"/>
      <c r="DH628" s="332"/>
      <c r="DI628" s="332"/>
      <c r="DJ628" s="332"/>
      <c r="DK628" s="332"/>
      <c r="DL628" s="332"/>
      <c r="DM628" s="332"/>
      <c r="DN628" s="332"/>
      <c r="DO628" s="332"/>
      <c r="DP628" s="332"/>
      <c r="DQ628" s="332"/>
      <c r="DR628" s="332"/>
      <c r="DS628" s="332"/>
      <c r="DT628" s="332"/>
      <c r="DU628" s="453"/>
      <c r="DV628" s="453"/>
      <c r="DW628" s="453"/>
      <c r="DX628" s="453"/>
      <c r="DY628" s="453"/>
      <c r="DZ628" s="453"/>
      <c r="EA628" s="453"/>
      <c r="EB628" s="453"/>
      <c r="EC628" s="453"/>
      <c r="ED628" s="453"/>
      <c r="EE628" s="453"/>
      <c r="EF628" s="453"/>
      <c r="EG628" s="453"/>
      <c r="EH628" s="453"/>
      <c r="EI628" s="453"/>
      <c r="EJ628" s="453"/>
      <c r="EK628" s="453"/>
      <c r="EL628" s="453"/>
      <c r="EM628" s="483">
        <f t="shared" si="224"/>
        <v>319</v>
      </c>
      <c r="EN628" s="485"/>
      <c r="EO628" s="804"/>
      <c r="EP628" s="805"/>
      <c r="EQ628" s="806"/>
      <c r="ER628" s="808"/>
      <c r="ES628" s="881">
        <f t="shared" si="225"/>
        <v>0</v>
      </c>
      <c r="ET628" s="882"/>
      <c r="EU628" s="883"/>
      <c r="EV628" s="884">
        <f t="shared" si="223"/>
        <v>0</v>
      </c>
      <c r="EW628" s="885"/>
      <c r="EX628" s="885"/>
      <c r="EY628" s="885"/>
      <c r="EZ628" s="885"/>
      <c r="FA628" s="885"/>
      <c r="FB628" s="885"/>
      <c r="FC628" s="885"/>
      <c r="FD628" s="886"/>
      <c r="FE628" s="878"/>
      <c r="FF628" s="878"/>
      <c r="FG628" s="878"/>
      <c r="FH628" s="878"/>
      <c r="FI628" s="878"/>
      <c r="FJ628" s="878"/>
      <c r="FK628" s="878"/>
      <c r="FL628" s="555"/>
      <c r="FM628" s="554"/>
      <c r="FN628" s="554"/>
      <c r="FO628" s="554"/>
      <c r="FP628" s="554"/>
      <c r="FQ628" s="554"/>
      <c r="FR628" s="554"/>
      <c r="FS628" s="554"/>
      <c r="FT628" s="554"/>
      <c r="FU628" s="554"/>
      <c r="FV628" s="554"/>
      <c r="FW628" s="554"/>
      <c r="FX628" s="554"/>
      <c r="FY628" s="554"/>
      <c r="FZ628" s="554"/>
      <c r="GA628" s="554"/>
      <c r="GB628" s="556"/>
      <c r="GC628" s="370"/>
      <c r="GD628" s="453"/>
      <c r="GE628" s="453"/>
      <c r="GF628" s="453"/>
      <c r="GG628" s="453"/>
      <c r="GH628" s="454"/>
      <c r="GI628" s="453"/>
      <c r="GJ628" s="453"/>
      <c r="GK628" s="453"/>
      <c r="GL628" s="453"/>
      <c r="GM628" s="453"/>
      <c r="GN628" s="453"/>
      <c r="GO628" s="453"/>
      <c r="GP628" s="453"/>
      <c r="GQ628" s="453"/>
      <c r="GR628" s="453"/>
      <c r="GS628" s="561"/>
      <c r="GT628" s="475"/>
      <c r="GU628" s="472"/>
      <c r="GV628" s="453"/>
      <c r="GW628" s="453"/>
      <c r="GX628" s="869"/>
      <c r="GY628" s="870"/>
      <c r="GZ628" s="867"/>
      <c r="HA628" s="868"/>
      <c r="HB628" s="473"/>
      <c r="HC628" s="869"/>
      <c r="HD628" s="870"/>
      <c r="HE628" s="867"/>
      <c r="HF628" s="868"/>
      <c r="HG628" s="473"/>
      <c r="HH628" s="867"/>
      <c r="HI628" s="868"/>
      <c r="HJ628" s="867"/>
      <c r="HK628" s="868"/>
      <c r="HL628" s="370"/>
      <c r="HM628" s="865"/>
      <c r="HN628" s="866"/>
      <c r="HO628" s="865"/>
      <c r="HP628" s="866"/>
      <c r="HQ628" s="865"/>
      <c r="HR628" s="866"/>
      <c r="HS628" s="867"/>
      <c r="HT628" s="868"/>
      <c r="HU628" s="489"/>
      <c r="HV628" s="865"/>
      <c r="HW628" s="866"/>
    </row>
    <row r="629" spans="25:231" ht="15" customHeight="1">
      <c r="Y629" s="332"/>
      <c r="Z629" s="332"/>
      <c r="AA629" s="332"/>
      <c r="AB629" s="332"/>
      <c r="AC629" s="332"/>
      <c r="AD629" s="332"/>
      <c r="AE629" s="332"/>
      <c r="AF629" s="332"/>
      <c r="AG629" s="332"/>
      <c r="AH629" s="332"/>
      <c r="AI629" s="332"/>
      <c r="AJ629" s="332"/>
      <c r="AK629" s="332"/>
      <c r="AL629" s="332"/>
      <c r="AM629" s="332"/>
      <c r="AN629" s="332"/>
      <c r="AO629" s="332"/>
      <c r="AP629" s="332"/>
      <c r="AQ629" s="332"/>
      <c r="AR629" s="332"/>
      <c r="AS629" s="332"/>
      <c r="AT629" s="332"/>
      <c r="AU629" s="332"/>
      <c r="AV629" s="332"/>
      <c r="AW629" s="332"/>
      <c r="AX629" s="332"/>
      <c r="AY629" s="332"/>
      <c r="AZ629" s="332"/>
      <c r="BA629" s="332"/>
      <c r="BB629" s="332"/>
      <c r="BC629" s="332"/>
      <c r="BD629" s="332"/>
      <c r="BE629" s="332"/>
      <c r="BF629" s="332"/>
      <c r="BG629" s="332"/>
      <c r="BH629" s="332"/>
      <c r="BI629" s="332"/>
      <c r="BJ629" s="332"/>
      <c r="BK629" s="332"/>
      <c r="BL629" s="332"/>
      <c r="BM629" s="332"/>
      <c r="BN629" s="332"/>
      <c r="BO629" s="332"/>
      <c r="BP629" s="332"/>
      <c r="BQ629" s="332"/>
      <c r="BR629" s="332"/>
      <c r="BS629" s="332"/>
      <c r="BT629" s="332"/>
      <c r="BU629" s="332"/>
      <c r="BV629" s="332"/>
      <c r="BW629" s="332"/>
      <c r="BX629" s="332"/>
      <c r="BY629" s="332"/>
      <c r="BZ629" s="332"/>
      <c r="CA629" s="332"/>
      <c r="CB629" s="332"/>
      <c r="CC629" s="332"/>
      <c r="CD629" s="332"/>
      <c r="CE629" s="332"/>
      <c r="CF629" s="332"/>
      <c r="CG629" s="332"/>
      <c r="CH629" s="332"/>
      <c r="CI629" s="332"/>
      <c r="CJ629" s="332"/>
      <c r="CK629" s="332"/>
      <c r="CL629" s="332"/>
      <c r="CM629" s="332"/>
      <c r="CN629" s="332"/>
      <c r="CO629" s="332"/>
      <c r="CP629" s="332"/>
      <c r="CQ629" s="332"/>
      <c r="CR629" s="332"/>
      <c r="CS629" s="332"/>
      <c r="CT629" s="332"/>
      <c r="CU629" s="332"/>
      <c r="CV629" s="332"/>
      <c r="CW629" s="332"/>
      <c r="CX629" s="332"/>
      <c r="CY629" s="332"/>
      <c r="CZ629" s="332"/>
      <c r="DA629" s="332"/>
      <c r="DB629" s="332"/>
      <c r="DC629" s="332"/>
      <c r="DD629" s="332"/>
      <c r="DE629" s="332"/>
      <c r="DF629" s="332"/>
      <c r="DG629" s="332"/>
      <c r="DH629" s="332"/>
      <c r="DI629" s="332"/>
      <c r="DJ629" s="332"/>
      <c r="DK629" s="332"/>
      <c r="DL629" s="332"/>
      <c r="DM629" s="332"/>
      <c r="DN629" s="332"/>
      <c r="DO629" s="332"/>
      <c r="DP629" s="332"/>
      <c r="DQ629" s="332"/>
      <c r="DR629" s="332"/>
      <c r="DS629" s="332"/>
      <c r="DT629" s="332"/>
      <c r="DU629" s="453"/>
      <c r="DV629" s="453"/>
      <c r="DW629" s="453"/>
      <c r="DX629" s="453"/>
      <c r="DY629" s="453"/>
      <c r="DZ629" s="453"/>
      <c r="EA629" s="453"/>
      <c r="EB629" s="453"/>
      <c r="EC629" s="453"/>
      <c r="ED629" s="453"/>
      <c r="EE629" s="453"/>
      <c r="EF629" s="453"/>
      <c r="EG629" s="453"/>
      <c r="EH629" s="453"/>
      <c r="EI629" s="453"/>
      <c r="EJ629" s="453"/>
      <c r="EK629" s="453"/>
      <c r="EL629" s="453"/>
      <c r="EM629" s="483">
        <f t="shared" si="224"/>
        <v>320</v>
      </c>
      <c r="EN629" s="485"/>
      <c r="EO629" s="804"/>
      <c r="EP629" s="805"/>
      <c r="EQ629" s="806"/>
      <c r="ER629" s="808"/>
      <c r="ES629" s="881">
        <f t="shared" si="225"/>
        <v>0</v>
      </c>
      <c r="ET629" s="882"/>
      <c r="EU629" s="883"/>
      <c r="EV629" s="884">
        <f t="shared" si="223"/>
        <v>0</v>
      </c>
      <c r="EW629" s="885"/>
      <c r="EX629" s="885"/>
      <c r="EY629" s="885"/>
      <c r="EZ629" s="885"/>
      <c r="FA629" s="885"/>
      <c r="FB629" s="885"/>
      <c r="FC629" s="885"/>
      <c r="FD629" s="886"/>
      <c r="FE629" s="878"/>
      <c r="FF629" s="878"/>
      <c r="FG629" s="878"/>
      <c r="FH629" s="878"/>
      <c r="FI629" s="878"/>
      <c r="FJ629" s="878"/>
      <c r="FK629" s="878"/>
      <c r="FL629" s="555"/>
      <c r="FM629" s="554"/>
      <c r="FN629" s="554"/>
      <c r="FO629" s="554"/>
      <c r="FP629" s="554"/>
      <c r="FQ629" s="554"/>
      <c r="FR629" s="554"/>
      <c r="FS629" s="554"/>
      <c r="FT629" s="554"/>
      <c r="FU629" s="554"/>
      <c r="FV629" s="554"/>
      <c r="FW629" s="554"/>
      <c r="FX629" s="554"/>
      <c r="FY629" s="554"/>
      <c r="FZ629" s="554"/>
      <c r="GA629" s="554"/>
      <c r="GB629" s="556"/>
      <c r="GC629" s="370"/>
      <c r="GD629" s="453"/>
      <c r="GE629" s="453"/>
      <c r="GF629" s="453"/>
      <c r="GG629" s="453"/>
      <c r="GH629" s="454"/>
      <c r="GI629" s="453"/>
      <c r="GJ629" s="453"/>
      <c r="GK629" s="453"/>
      <c r="GL629" s="453"/>
      <c r="GM629" s="453"/>
      <c r="GN629" s="453"/>
      <c r="GO629" s="453"/>
      <c r="GP629" s="453"/>
      <c r="GQ629" s="453"/>
      <c r="GR629" s="453"/>
      <c r="GS629" s="561"/>
      <c r="GT629" s="475"/>
      <c r="GU629" s="472"/>
      <c r="GV629" s="453"/>
      <c r="GW629" s="453"/>
      <c r="GX629" s="869"/>
      <c r="GY629" s="870"/>
      <c r="GZ629" s="867"/>
      <c r="HA629" s="868"/>
      <c r="HB629" s="473"/>
      <c r="HC629" s="869"/>
      <c r="HD629" s="870"/>
      <c r="HE629" s="867"/>
      <c r="HF629" s="868"/>
      <c r="HG629" s="473"/>
      <c r="HH629" s="867"/>
      <c r="HI629" s="868"/>
      <c r="HJ629" s="867"/>
      <c r="HK629" s="868"/>
      <c r="HL629" s="370"/>
      <c r="HM629" s="865"/>
      <c r="HN629" s="866"/>
      <c r="HO629" s="865"/>
      <c r="HP629" s="866"/>
      <c r="HQ629" s="865"/>
      <c r="HR629" s="866"/>
      <c r="HS629" s="867"/>
      <c r="HT629" s="868"/>
      <c r="HU629" s="489"/>
      <c r="HV629" s="865"/>
      <c r="HW629" s="866"/>
    </row>
    <row r="630" spans="25:231" ht="15" customHeight="1">
      <c r="Y630" s="332"/>
      <c r="Z630" s="332"/>
      <c r="AA630" s="332"/>
      <c r="AB630" s="332"/>
      <c r="AC630" s="332"/>
      <c r="AD630" s="332"/>
      <c r="AE630" s="332"/>
      <c r="AF630" s="332"/>
      <c r="AG630" s="332"/>
      <c r="AH630" s="332"/>
      <c r="AI630" s="332"/>
      <c r="AJ630" s="332"/>
      <c r="AK630" s="332"/>
      <c r="AL630" s="332"/>
      <c r="AM630" s="332"/>
      <c r="AN630" s="332"/>
      <c r="AO630" s="332"/>
      <c r="AP630" s="332"/>
      <c r="AQ630" s="332"/>
      <c r="AR630" s="332"/>
      <c r="AS630" s="332"/>
      <c r="AT630" s="332"/>
      <c r="AU630" s="332"/>
      <c r="AV630" s="332"/>
      <c r="AW630" s="332"/>
      <c r="AX630" s="332"/>
      <c r="AY630" s="332"/>
      <c r="AZ630" s="332"/>
      <c r="BA630" s="332"/>
      <c r="BB630" s="332"/>
      <c r="BC630" s="332"/>
      <c r="BD630" s="332"/>
      <c r="BE630" s="332"/>
      <c r="BF630" s="332"/>
      <c r="BG630" s="332"/>
      <c r="BH630" s="332"/>
      <c r="BI630" s="332"/>
      <c r="BJ630" s="332"/>
      <c r="BK630" s="332"/>
      <c r="BL630" s="332"/>
      <c r="BM630" s="332"/>
      <c r="BN630" s="332"/>
      <c r="BO630" s="332"/>
      <c r="BP630" s="332"/>
      <c r="BQ630" s="332"/>
      <c r="BR630" s="332"/>
      <c r="BS630" s="332"/>
      <c r="BT630" s="332"/>
      <c r="BU630" s="332"/>
      <c r="BV630" s="332"/>
      <c r="BW630" s="332"/>
      <c r="BX630" s="332"/>
      <c r="BY630" s="332"/>
      <c r="BZ630" s="332"/>
      <c r="CA630" s="332"/>
      <c r="CB630" s="332"/>
      <c r="CC630" s="332"/>
      <c r="CD630" s="332"/>
      <c r="CE630" s="332"/>
      <c r="CF630" s="332"/>
      <c r="CG630" s="332"/>
      <c r="CH630" s="332"/>
      <c r="CI630" s="332"/>
      <c r="CJ630" s="332"/>
      <c r="CK630" s="332"/>
      <c r="CL630" s="332"/>
      <c r="CM630" s="332"/>
      <c r="CN630" s="332"/>
      <c r="CO630" s="332"/>
      <c r="CP630" s="332"/>
      <c r="CQ630" s="332"/>
      <c r="CR630" s="332"/>
      <c r="CS630" s="332"/>
      <c r="CT630" s="332"/>
      <c r="CU630" s="332"/>
      <c r="CV630" s="332"/>
      <c r="CW630" s="332"/>
      <c r="CX630" s="332"/>
      <c r="CY630" s="332"/>
      <c r="CZ630" s="332"/>
      <c r="DA630" s="332"/>
      <c r="DB630" s="332"/>
      <c r="DC630" s="332"/>
      <c r="DD630" s="332"/>
      <c r="DE630" s="332"/>
      <c r="DF630" s="332"/>
      <c r="DG630" s="332"/>
      <c r="DH630" s="332"/>
      <c r="DI630" s="332"/>
      <c r="DJ630" s="332"/>
      <c r="DK630" s="332"/>
      <c r="DL630" s="332"/>
      <c r="DM630" s="332"/>
      <c r="DN630" s="332"/>
      <c r="DO630" s="332"/>
      <c r="DP630" s="332"/>
      <c r="DQ630" s="332"/>
      <c r="DR630" s="332"/>
      <c r="DS630" s="332"/>
      <c r="DT630" s="332"/>
      <c r="DU630" s="453"/>
      <c r="DV630" s="453"/>
      <c r="DW630" s="453"/>
      <c r="DX630" s="453"/>
      <c r="DY630" s="453"/>
      <c r="DZ630" s="453"/>
      <c r="EA630" s="453"/>
      <c r="EB630" s="453"/>
      <c r="EC630" s="453"/>
      <c r="ED630" s="453"/>
      <c r="EE630" s="453"/>
      <c r="EF630" s="453"/>
      <c r="EG630" s="453"/>
      <c r="EH630" s="453"/>
      <c r="EI630" s="453"/>
      <c r="EJ630" s="453"/>
      <c r="EK630" s="453"/>
      <c r="EL630" s="453"/>
      <c r="EM630" s="483">
        <f t="shared" si="224"/>
        <v>321</v>
      </c>
      <c r="EN630" s="485"/>
      <c r="EO630" s="804"/>
      <c r="EP630" s="805"/>
      <c r="EQ630" s="806"/>
      <c r="ER630" s="808"/>
      <c r="ES630" s="881">
        <f t="shared" si="225"/>
        <v>0</v>
      </c>
      <c r="ET630" s="882"/>
      <c r="EU630" s="883"/>
      <c r="EV630" s="884">
        <f t="shared" ref="EV630:EV693" si="226">+IF(OR(EO630 = "", EP630 = 0, EP630 = "", EQ630 = 0, EQ630 = "", ER630 = 0, ER630 = ""), 0,
IF(EO630 &lt;&gt; "ACCION",
IF(EP630 &gt; 0, EP630 * ER630 * -100 * ( 1 + COMIS_OPCION), EP630 * ER630 * -100 * ( 1 - COMIS_OPCION)),
IF(EP630 &gt; 0, EP630 * ER630 * -1 * ( 1 + COMIS_ACCION), EP630 * ER630 * -1 * ( 1 - COMIS_ACCION))  ))</f>
        <v>0</v>
      </c>
      <c r="EW630" s="885"/>
      <c r="EX630" s="885"/>
      <c r="EY630" s="885"/>
      <c r="EZ630" s="885"/>
      <c r="FA630" s="885"/>
      <c r="FB630" s="885"/>
      <c r="FC630" s="885"/>
      <c r="FD630" s="886"/>
      <c r="FE630" s="878"/>
      <c r="FF630" s="878"/>
      <c r="FG630" s="878"/>
      <c r="FH630" s="878"/>
      <c r="FI630" s="878"/>
      <c r="FJ630" s="878"/>
      <c r="FK630" s="878"/>
      <c r="FL630" s="555"/>
      <c r="FM630" s="554"/>
      <c r="FN630" s="554"/>
      <c r="FO630" s="554"/>
      <c r="FP630" s="554"/>
      <c r="FQ630" s="554"/>
      <c r="FR630" s="554"/>
      <c r="FS630" s="554"/>
      <c r="FT630" s="554"/>
      <c r="FU630" s="554"/>
      <c r="FV630" s="554"/>
      <c r="FW630" s="554"/>
      <c r="FX630" s="554"/>
      <c r="FY630" s="554"/>
      <c r="FZ630" s="554"/>
      <c r="GA630" s="554"/>
      <c r="GB630" s="556"/>
      <c r="GC630" s="370"/>
      <c r="GD630" s="453"/>
      <c r="GE630" s="453"/>
      <c r="GF630" s="453"/>
      <c r="GG630" s="453"/>
      <c r="GH630" s="454"/>
      <c r="GI630" s="453"/>
      <c r="GJ630" s="453"/>
      <c r="GK630" s="453"/>
      <c r="GL630" s="453"/>
      <c r="GM630" s="453"/>
      <c r="GN630" s="453"/>
      <c r="GO630" s="453"/>
      <c r="GP630" s="453"/>
      <c r="GQ630" s="453"/>
      <c r="GR630" s="453"/>
      <c r="GS630" s="561"/>
      <c r="GT630" s="475"/>
      <c r="GU630" s="472"/>
      <c r="GV630" s="453"/>
      <c r="GW630" s="453"/>
      <c r="GX630" s="869"/>
      <c r="GY630" s="870"/>
      <c r="GZ630" s="867"/>
      <c r="HA630" s="868"/>
      <c r="HB630" s="473"/>
      <c r="HC630" s="869"/>
      <c r="HD630" s="870"/>
      <c r="HE630" s="867"/>
      <c r="HF630" s="868"/>
      <c r="HG630" s="473"/>
      <c r="HH630" s="867"/>
      <c r="HI630" s="868"/>
      <c r="HJ630" s="867"/>
      <c r="HK630" s="868"/>
      <c r="HL630" s="370"/>
      <c r="HM630" s="865"/>
      <c r="HN630" s="866"/>
      <c r="HO630" s="865"/>
      <c r="HP630" s="866"/>
      <c r="HQ630" s="865"/>
      <c r="HR630" s="866"/>
      <c r="HS630" s="867"/>
      <c r="HT630" s="868"/>
      <c r="HU630" s="489"/>
      <c r="HV630" s="865"/>
      <c r="HW630" s="866"/>
    </row>
    <row r="631" spans="25:231" ht="15" customHeight="1">
      <c r="Y631" s="332"/>
      <c r="Z631" s="332"/>
      <c r="AA631" s="332"/>
      <c r="AB631" s="332"/>
      <c r="AC631" s="332"/>
      <c r="AD631" s="332"/>
      <c r="AE631" s="332"/>
      <c r="AF631" s="332"/>
      <c r="AG631" s="332"/>
      <c r="AH631" s="332"/>
      <c r="AI631" s="332"/>
      <c r="AJ631" s="332"/>
      <c r="AK631" s="332"/>
      <c r="AL631" s="332"/>
      <c r="AM631" s="332"/>
      <c r="AN631" s="332"/>
      <c r="AO631" s="332"/>
      <c r="AP631" s="332"/>
      <c r="AQ631" s="332"/>
      <c r="AR631" s="332"/>
      <c r="AS631" s="332"/>
      <c r="AT631" s="332"/>
      <c r="AU631" s="332"/>
      <c r="AV631" s="332"/>
      <c r="AW631" s="332"/>
      <c r="AX631" s="332"/>
      <c r="AY631" s="332"/>
      <c r="AZ631" s="332"/>
      <c r="BA631" s="332"/>
      <c r="BB631" s="332"/>
      <c r="BC631" s="332"/>
      <c r="BD631" s="332"/>
      <c r="BE631" s="332"/>
      <c r="BF631" s="332"/>
      <c r="BG631" s="332"/>
      <c r="BH631" s="332"/>
      <c r="BI631" s="332"/>
      <c r="BJ631" s="332"/>
      <c r="BK631" s="332"/>
      <c r="BL631" s="332"/>
      <c r="BM631" s="332"/>
      <c r="BN631" s="332"/>
      <c r="BO631" s="332"/>
      <c r="BP631" s="332"/>
      <c r="BQ631" s="332"/>
      <c r="BR631" s="332"/>
      <c r="BS631" s="332"/>
      <c r="BT631" s="332"/>
      <c r="BU631" s="332"/>
      <c r="BV631" s="332"/>
      <c r="BW631" s="332"/>
      <c r="BX631" s="332"/>
      <c r="BY631" s="332"/>
      <c r="BZ631" s="332"/>
      <c r="CA631" s="332"/>
      <c r="CB631" s="332"/>
      <c r="CC631" s="332"/>
      <c r="CD631" s="332"/>
      <c r="CE631" s="332"/>
      <c r="CF631" s="332"/>
      <c r="CG631" s="332"/>
      <c r="CH631" s="332"/>
      <c r="CI631" s="332"/>
      <c r="CJ631" s="332"/>
      <c r="CK631" s="332"/>
      <c r="CL631" s="332"/>
      <c r="CM631" s="332"/>
      <c r="CN631" s="332"/>
      <c r="CO631" s="332"/>
      <c r="CP631" s="332"/>
      <c r="CQ631" s="332"/>
      <c r="CR631" s="332"/>
      <c r="CS631" s="332"/>
      <c r="CT631" s="332"/>
      <c r="CU631" s="332"/>
      <c r="CV631" s="332"/>
      <c r="CW631" s="332"/>
      <c r="CX631" s="332"/>
      <c r="CY631" s="332"/>
      <c r="CZ631" s="332"/>
      <c r="DA631" s="332"/>
      <c r="DB631" s="332"/>
      <c r="DC631" s="332"/>
      <c r="DD631" s="332"/>
      <c r="DE631" s="332"/>
      <c r="DF631" s="332"/>
      <c r="DG631" s="332"/>
      <c r="DH631" s="332"/>
      <c r="DI631" s="332"/>
      <c r="DJ631" s="332"/>
      <c r="DK631" s="332"/>
      <c r="DL631" s="332"/>
      <c r="DM631" s="332"/>
      <c r="DN631" s="332"/>
      <c r="DO631" s="332"/>
      <c r="DP631" s="332"/>
      <c r="DQ631" s="332"/>
      <c r="DR631" s="332"/>
      <c r="DS631" s="332"/>
      <c r="DT631" s="332"/>
      <c r="DU631" s="453"/>
      <c r="DV631" s="453"/>
      <c r="DW631" s="453"/>
      <c r="DX631" s="453"/>
      <c r="DY631" s="453"/>
      <c r="DZ631" s="453"/>
      <c r="EA631" s="453"/>
      <c r="EB631" s="453"/>
      <c r="EC631" s="453"/>
      <c r="ED631" s="453"/>
      <c r="EE631" s="453"/>
      <c r="EF631" s="453"/>
      <c r="EG631" s="453"/>
      <c r="EH631" s="453"/>
      <c r="EI631" s="453"/>
      <c r="EJ631" s="453"/>
      <c r="EK631" s="453"/>
      <c r="EL631" s="453"/>
      <c r="EM631" s="483">
        <f t="shared" si="224"/>
        <v>322</v>
      </c>
      <c r="EN631" s="485"/>
      <c r="EO631" s="804"/>
      <c r="EP631" s="805"/>
      <c r="EQ631" s="806"/>
      <c r="ER631" s="808"/>
      <c r="ES631" s="881">
        <f t="shared" si="225"/>
        <v>0</v>
      </c>
      <c r="ET631" s="882"/>
      <c r="EU631" s="883"/>
      <c r="EV631" s="884">
        <f t="shared" si="226"/>
        <v>0</v>
      </c>
      <c r="EW631" s="885"/>
      <c r="EX631" s="885"/>
      <c r="EY631" s="885"/>
      <c r="EZ631" s="885"/>
      <c r="FA631" s="885"/>
      <c r="FB631" s="885"/>
      <c r="FC631" s="885"/>
      <c r="FD631" s="886"/>
      <c r="FE631" s="878"/>
      <c r="FF631" s="878"/>
      <c r="FG631" s="878"/>
      <c r="FH631" s="878"/>
      <c r="FI631" s="878"/>
      <c r="FJ631" s="878"/>
      <c r="FK631" s="878"/>
      <c r="FL631" s="555"/>
      <c r="FM631" s="554"/>
      <c r="FN631" s="554"/>
      <c r="FO631" s="554"/>
      <c r="FP631" s="554"/>
      <c r="FQ631" s="554"/>
      <c r="FR631" s="554"/>
      <c r="FS631" s="554"/>
      <c r="FT631" s="554"/>
      <c r="FU631" s="554"/>
      <c r="FV631" s="554"/>
      <c r="FW631" s="554"/>
      <c r="FX631" s="554"/>
      <c r="FY631" s="554"/>
      <c r="FZ631" s="554"/>
      <c r="GA631" s="554"/>
      <c r="GB631" s="556"/>
      <c r="GC631" s="370"/>
      <c r="GD631" s="453"/>
      <c r="GE631" s="453"/>
      <c r="GF631" s="453"/>
      <c r="GG631" s="453"/>
      <c r="GH631" s="454"/>
      <c r="GI631" s="453"/>
      <c r="GJ631" s="453"/>
      <c r="GK631" s="453"/>
      <c r="GL631" s="453"/>
      <c r="GM631" s="453"/>
      <c r="GN631" s="453"/>
      <c r="GO631" s="453"/>
      <c r="GP631" s="453"/>
      <c r="GQ631" s="453"/>
      <c r="GR631" s="453"/>
      <c r="GS631" s="561"/>
      <c r="GT631" s="475"/>
      <c r="GU631" s="472"/>
      <c r="GV631" s="453"/>
      <c r="GW631" s="453"/>
      <c r="GX631" s="869"/>
      <c r="GY631" s="870"/>
      <c r="GZ631" s="867"/>
      <c r="HA631" s="868"/>
      <c r="HB631" s="473"/>
      <c r="HC631" s="869"/>
      <c r="HD631" s="870"/>
      <c r="HE631" s="867"/>
      <c r="HF631" s="868"/>
      <c r="HG631" s="473"/>
      <c r="HH631" s="867"/>
      <c r="HI631" s="868"/>
      <c r="HJ631" s="867"/>
      <c r="HK631" s="868"/>
      <c r="HL631" s="370"/>
      <c r="HM631" s="865"/>
      <c r="HN631" s="866"/>
      <c r="HO631" s="865"/>
      <c r="HP631" s="866"/>
      <c r="HQ631" s="865"/>
      <c r="HR631" s="866"/>
      <c r="HS631" s="867"/>
      <c r="HT631" s="868"/>
      <c r="HU631" s="489"/>
      <c r="HV631" s="865"/>
      <c r="HW631" s="866"/>
    </row>
    <row r="632" spans="25:231" ht="15" customHeight="1">
      <c r="Y632" s="332"/>
      <c r="Z632" s="332"/>
      <c r="AA632" s="332"/>
      <c r="AB632" s="332"/>
      <c r="AC632" s="332"/>
      <c r="AD632" s="332"/>
      <c r="AE632" s="332"/>
      <c r="AF632" s="332"/>
      <c r="AG632" s="332"/>
      <c r="AH632" s="332"/>
      <c r="AI632" s="332"/>
      <c r="AJ632" s="332"/>
      <c r="AK632" s="332"/>
      <c r="AL632" s="332"/>
      <c r="AM632" s="332"/>
      <c r="AN632" s="332"/>
      <c r="AO632" s="332"/>
      <c r="AP632" s="332"/>
      <c r="AQ632" s="332"/>
      <c r="AR632" s="332"/>
      <c r="AS632" s="332"/>
      <c r="AT632" s="332"/>
      <c r="AU632" s="332"/>
      <c r="AV632" s="332"/>
      <c r="AW632" s="332"/>
      <c r="AX632" s="332"/>
      <c r="AY632" s="332"/>
      <c r="AZ632" s="332"/>
      <c r="BA632" s="332"/>
      <c r="BB632" s="332"/>
      <c r="BC632" s="332"/>
      <c r="BD632" s="332"/>
      <c r="BE632" s="332"/>
      <c r="BF632" s="332"/>
      <c r="BG632" s="332"/>
      <c r="BH632" s="332"/>
      <c r="BI632" s="332"/>
      <c r="BJ632" s="332"/>
      <c r="BK632" s="332"/>
      <c r="BL632" s="332"/>
      <c r="BM632" s="332"/>
      <c r="BN632" s="332"/>
      <c r="BO632" s="332"/>
      <c r="BP632" s="332"/>
      <c r="BQ632" s="332"/>
      <c r="BR632" s="332"/>
      <c r="BS632" s="332"/>
      <c r="BT632" s="332"/>
      <c r="BU632" s="332"/>
      <c r="BV632" s="332"/>
      <c r="BW632" s="332"/>
      <c r="BX632" s="332"/>
      <c r="BY632" s="332"/>
      <c r="BZ632" s="332"/>
      <c r="CA632" s="332"/>
      <c r="CB632" s="332"/>
      <c r="CC632" s="332"/>
      <c r="CD632" s="332"/>
      <c r="CE632" s="332"/>
      <c r="CF632" s="332"/>
      <c r="CG632" s="332"/>
      <c r="CH632" s="332"/>
      <c r="CI632" s="332"/>
      <c r="CJ632" s="332"/>
      <c r="CK632" s="332"/>
      <c r="CL632" s="332"/>
      <c r="CM632" s="332"/>
      <c r="CN632" s="332"/>
      <c r="CO632" s="332"/>
      <c r="CP632" s="332"/>
      <c r="CQ632" s="332"/>
      <c r="CR632" s="332"/>
      <c r="CS632" s="332"/>
      <c r="CT632" s="332"/>
      <c r="CU632" s="332"/>
      <c r="CV632" s="332"/>
      <c r="CW632" s="332"/>
      <c r="CX632" s="332"/>
      <c r="CY632" s="332"/>
      <c r="CZ632" s="332"/>
      <c r="DA632" s="332"/>
      <c r="DB632" s="332"/>
      <c r="DC632" s="332"/>
      <c r="DD632" s="332"/>
      <c r="DE632" s="332"/>
      <c r="DF632" s="332"/>
      <c r="DG632" s="332"/>
      <c r="DH632" s="332"/>
      <c r="DI632" s="332"/>
      <c r="DJ632" s="332"/>
      <c r="DK632" s="332"/>
      <c r="DL632" s="332"/>
      <c r="DM632" s="332"/>
      <c r="DN632" s="332"/>
      <c r="DO632" s="332"/>
      <c r="DP632" s="332"/>
      <c r="DQ632" s="332"/>
      <c r="DR632" s="332"/>
      <c r="DS632" s="332"/>
      <c r="DT632" s="332"/>
      <c r="DU632" s="453"/>
      <c r="DV632" s="453"/>
      <c r="DW632" s="453"/>
      <c r="DX632" s="453"/>
      <c r="DY632" s="453"/>
      <c r="DZ632" s="453"/>
      <c r="EA632" s="453"/>
      <c r="EB632" s="453"/>
      <c r="EC632" s="453"/>
      <c r="ED632" s="453"/>
      <c r="EE632" s="453"/>
      <c r="EF632" s="453"/>
      <c r="EG632" s="453"/>
      <c r="EH632" s="453"/>
      <c r="EI632" s="453"/>
      <c r="EJ632" s="453"/>
      <c r="EK632" s="453"/>
      <c r="EL632" s="453"/>
      <c r="EM632" s="483">
        <f t="shared" ref="EM632:EM695" si="227">+EM631+1</f>
        <v>323</v>
      </c>
      <c r="EN632" s="485"/>
      <c r="EO632" s="804"/>
      <c r="EP632" s="805"/>
      <c r="EQ632" s="806"/>
      <c r="ER632" s="808"/>
      <c r="ES632" s="881">
        <f t="shared" si="225"/>
        <v>0</v>
      </c>
      <c r="ET632" s="882"/>
      <c r="EU632" s="883"/>
      <c r="EV632" s="884">
        <f t="shared" si="226"/>
        <v>0</v>
      </c>
      <c r="EW632" s="885"/>
      <c r="EX632" s="885"/>
      <c r="EY632" s="885"/>
      <c r="EZ632" s="885"/>
      <c r="FA632" s="885"/>
      <c r="FB632" s="885"/>
      <c r="FC632" s="885"/>
      <c r="FD632" s="886"/>
      <c r="FE632" s="878"/>
      <c r="FF632" s="878"/>
      <c r="FG632" s="878"/>
      <c r="FH632" s="878"/>
      <c r="FI632" s="878"/>
      <c r="FJ632" s="878"/>
      <c r="FK632" s="878"/>
      <c r="FL632" s="555"/>
      <c r="FM632" s="554"/>
      <c r="FN632" s="554"/>
      <c r="FO632" s="554"/>
      <c r="FP632" s="554"/>
      <c r="FQ632" s="554"/>
      <c r="FR632" s="554"/>
      <c r="FS632" s="554"/>
      <c r="FT632" s="554"/>
      <c r="FU632" s="554"/>
      <c r="FV632" s="554"/>
      <c r="FW632" s="554"/>
      <c r="FX632" s="554"/>
      <c r="FY632" s="554"/>
      <c r="FZ632" s="554"/>
      <c r="GA632" s="554"/>
      <c r="GB632" s="556"/>
      <c r="GC632" s="370"/>
      <c r="GD632" s="453"/>
      <c r="GE632" s="453"/>
      <c r="GF632" s="453"/>
      <c r="GG632" s="453"/>
      <c r="GH632" s="454"/>
      <c r="GI632" s="453"/>
      <c r="GJ632" s="453"/>
      <c r="GK632" s="453"/>
      <c r="GL632" s="453"/>
      <c r="GM632" s="453"/>
      <c r="GN632" s="453"/>
      <c r="GO632" s="453"/>
      <c r="GP632" s="453"/>
      <c r="GQ632" s="453"/>
      <c r="GR632" s="453"/>
      <c r="GS632" s="561"/>
      <c r="GT632" s="475"/>
      <c r="GU632" s="472"/>
      <c r="GV632" s="453"/>
      <c r="GW632" s="453"/>
      <c r="GX632" s="869"/>
      <c r="GY632" s="870"/>
      <c r="GZ632" s="867"/>
      <c r="HA632" s="868"/>
      <c r="HB632" s="473"/>
      <c r="HC632" s="869"/>
      <c r="HD632" s="870"/>
      <c r="HE632" s="867"/>
      <c r="HF632" s="868"/>
      <c r="HG632" s="473"/>
      <c r="HH632" s="867"/>
      <c r="HI632" s="868"/>
      <c r="HJ632" s="867"/>
      <c r="HK632" s="868"/>
      <c r="HL632" s="370"/>
      <c r="HM632" s="865"/>
      <c r="HN632" s="866"/>
      <c r="HO632" s="865"/>
      <c r="HP632" s="866"/>
      <c r="HQ632" s="865"/>
      <c r="HR632" s="866"/>
      <c r="HS632" s="867"/>
      <c r="HT632" s="868"/>
      <c r="HU632" s="489"/>
      <c r="HV632" s="865"/>
      <c r="HW632" s="866"/>
    </row>
    <row r="633" spans="25:231" ht="15" customHeight="1">
      <c r="Y633" s="332"/>
      <c r="Z633" s="332"/>
      <c r="AA633" s="332"/>
      <c r="AB633" s="332"/>
      <c r="AC633" s="332"/>
      <c r="AD633" s="332"/>
      <c r="AE633" s="332"/>
      <c r="AF633" s="332"/>
      <c r="AG633" s="332"/>
      <c r="AH633" s="332"/>
      <c r="AI633" s="332"/>
      <c r="AJ633" s="332"/>
      <c r="AK633" s="332"/>
      <c r="AL633" s="332"/>
      <c r="AM633" s="332"/>
      <c r="AN633" s="332"/>
      <c r="AO633" s="332"/>
      <c r="AP633" s="332"/>
      <c r="AQ633" s="332"/>
      <c r="AR633" s="332"/>
      <c r="AS633" s="332"/>
      <c r="AT633" s="332"/>
      <c r="AU633" s="332"/>
      <c r="AV633" s="332"/>
      <c r="AW633" s="332"/>
      <c r="AX633" s="332"/>
      <c r="AY633" s="332"/>
      <c r="AZ633" s="332"/>
      <c r="BA633" s="332"/>
      <c r="BB633" s="332"/>
      <c r="BC633" s="332"/>
      <c r="BD633" s="332"/>
      <c r="BE633" s="332"/>
      <c r="BF633" s="332"/>
      <c r="BG633" s="332"/>
      <c r="BH633" s="332"/>
      <c r="BI633" s="332"/>
      <c r="BJ633" s="332"/>
      <c r="BK633" s="332"/>
      <c r="BL633" s="332"/>
      <c r="BM633" s="332"/>
      <c r="BN633" s="332"/>
      <c r="BO633" s="332"/>
      <c r="BP633" s="332"/>
      <c r="BQ633" s="332"/>
      <c r="BR633" s="332"/>
      <c r="BS633" s="332"/>
      <c r="BT633" s="332"/>
      <c r="BU633" s="332"/>
      <c r="BV633" s="332"/>
      <c r="BW633" s="332"/>
      <c r="BX633" s="332"/>
      <c r="BY633" s="332"/>
      <c r="BZ633" s="332"/>
      <c r="CA633" s="332"/>
      <c r="CB633" s="332"/>
      <c r="CC633" s="332"/>
      <c r="CD633" s="332"/>
      <c r="CE633" s="332"/>
      <c r="CF633" s="332"/>
      <c r="CG633" s="332"/>
      <c r="CH633" s="332"/>
      <c r="CI633" s="332"/>
      <c r="CJ633" s="332"/>
      <c r="CK633" s="332"/>
      <c r="CL633" s="332"/>
      <c r="CM633" s="332"/>
      <c r="CN633" s="332"/>
      <c r="CO633" s="332"/>
      <c r="CP633" s="332"/>
      <c r="CQ633" s="332"/>
      <c r="CR633" s="332"/>
      <c r="CS633" s="332"/>
      <c r="CT633" s="332"/>
      <c r="CU633" s="332"/>
      <c r="CV633" s="332"/>
      <c r="CW633" s="332"/>
      <c r="CX633" s="332"/>
      <c r="CY633" s="332"/>
      <c r="CZ633" s="332"/>
      <c r="DA633" s="332"/>
      <c r="DB633" s="332"/>
      <c r="DC633" s="332"/>
      <c r="DD633" s="332"/>
      <c r="DE633" s="332"/>
      <c r="DF633" s="332"/>
      <c r="DG633" s="332"/>
      <c r="DH633" s="332"/>
      <c r="DI633" s="332"/>
      <c r="DJ633" s="332"/>
      <c r="DK633" s="332"/>
      <c r="DL633" s="332"/>
      <c r="DM633" s="332"/>
      <c r="DN633" s="332"/>
      <c r="DO633" s="332"/>
      <c r="DP633" s="332"/>
      <c r="DQ633" s="332"/>
      <c r="DR633" s="332"/>
      <c r="DS633" s="332"/>
      <c r="DT633" s="332"/>
      <c r="DU633" s="453"/>
      <c r="DV633" s="453"/>
      <c r="DW633" s="453"/>
      <c r="DX633" s="453"/>
      <c r="DY633" s="453"/>
      <c r="DZ633" s="453"/>
      <c r="EA633" s="453"/>
      <c r="EB633" s="453"/>
      <c r="EC633" s="453"/>
      <c r="ED633" s="453"/>
      <c r="EE633" s="453"/>
      <c r="EF633" s="453"/>
      <c r="EG633" s="453"/>
      <c r="EH633" s="453"/>
      <c r="EI633" s="453"/>
      <c r="EJ633" s="453"/>
      <c r="EK633" s="453"/>
      <c r="EL633" s="453"/>
      <c r="EM633" s="483">
        <f t="shared" si="227"/>
        <v>324</v>
      </c>
      <c r="EN633" s="485"/>
      <c r="EO633" s="804"/>
      <c r="EP633" s="805"/>
      <c r="EQ633" s="806"/>
      <c r="ER633" s="808"/>
      <c r="ES633" s="881">
        <f t="shared" si="225"/>
        <v>0</v>
      </c>
      <c r="ET633" s="882"/>
      <c r="EU633" s="883"/>
      <c r="EV633" s="884">
        <f t="shared" si="226"/>
        <v>0</v>
      </c>
      <c r="EW633" s="885"/>
      <c r="EX633" s="885"/>
      <c r="EY633" s="885"/>
      <c r="EZ633" s="885"/>
      <c r="FA633" s="885"/>
      <c r="FB633" s="885"/>
      <c r="FC633" s="885"/>
      <c r="FD633" s="886"/>
      <c r="FE633" s="878"/>
      <c r="FF633" s="878"/>
      <c r="FG633" s="878"/>
      <c r="FH633" s="878"/>
      <c r="FI633" s="878"/>
      <c r="FJ633" s="878"/>
      <c r="FK633" s="878"/>
      <c r="FL633" s="555"/>
      <c r="FM633" s="554"/>
      <c r="FN633" s="554"/>
      <c r="FO633" s="554"/>
      <c r="FP633" s="554"/>
      <c r="FQ633" s="554"/>
      <c r="FR633" s="554"/>
      <c r="FS633" s="554"/>
      <c r="FT633" s="554"/>
      <c r="FU633" s="554"/>
      <c r="FV633" s="554"/>
      <c r="FW633" s="554"/>
      <c r="FX633" s="554"/>
      <c r="FY633" s="554"/>
      <c r="FZ633" s="554"/>
      <c r="GA633" s="554"/>
      <c r="GB633" s="556"/>
      <c r="GC633" s="370"/>
      <c r="GD633" s="453"/>
      <c r="GE633" s="453"/>
      <c r="GF633" s="453"/>
      <c r="GG633" s="453"/>
      <c r="GH633" s="454"/>
      <c r="GI633" s="453"/>
      <c r="GJ633" s="453"/>
      <c r="GK633" s="453"/>
      <c r="GL633" s="453"/>
      <c r="GM633" s="453"/>
      <c r="GN633" s="453"/>
      <c r="GO633" s="453"/>
      <c r="GP633" s="453"/>
      <c r="GQ633" s="453"/>
      <c r="GR633" s="453"/>
      <c r="GS633" s="561"/>
      <c r="GT633" s="475"/>
      <c r="GU633" s="472"/>
      <c r="GV633" s="453"/>
      <c r="GW633" s="453"/>
      <c r="GX633" s="869"/>
      <c r="GY633" s="870"/>
      <c r="GZ633" s="867"/>
      <c r="HA633" s="868"/>
      <c r="HB633" s="473"/>
      <c r="HC633" s="869"/>
      <c r="HD633" s="870"/>
      <c r="HE633" s="867"/>
      <c r="HF633" s="868"/>
      <c r="HG633" s="473"/>
      <c r="HH633" s="867"/>
      <c r="HI633" s="868"/>
      <c r="HJ633" s="867"/>
      <c r="HK633" s="868"/>
      <c r="HL633" s="370"/>
      <c r="HM633" s="865"/>
      <c r="HN633" s="866"/>
      <c r="HO633" s="865"/>
      <c r="HP633" s="866"/>
      <c r="HQ633" s="865"/>
      <c r="HR633" s="866"/>
      <c r="HS633" s="867"/>
      <c r="HT633" s="868"/>
      <c r="HU633" s="489"/>
      <c r="HV633" s="865"/>
      <c r="HW633" s="866"/>
    </row>
    <row r="634" spans="25:231" ht="15" customHeight="1">
      <c r="Y634" s="332"/>
      <c r="Z634" s="332"/>
      <c r="AA634" s="332"/>
      <c r="AB634" s="332"/>
      <c r="AC634" s="332"/>
      <c r="AD634" s="332"/>
      <c r="AE634" s="332"/>
      <c r="AF634" s="332"/>
      <c r="AG634" s="332"/>
      <c r="AH634" s="332"/>
      <c r="AI634" s="332"/>
      <c r="AJ634" s="332"/>
      <c r="AK634" s="332"/>
      <c r="AL634" s="332"/>
      <c r="AM634" s="332"/>
      <c r="AN634" s="332"/>
      <c r="AO634" s="332"/>
      <c r="AP634" s="332"/>
      <c r="AQ634" s="332"/>
      <c r="AR634" s="332"/>
      <c r="AS634" s="332"/>
      <c r="AT634" s="332"/>
      <c r="AU634" s="332"/>
      <c r="AV634" s="332"/>
      <c r="AW634" s="332"/>
      <c r="AX634" s="332"/>
      <c r="AY634" s="332"/>
      <c r="AZ634" s="332"/>
      <c r="BA634" s="332"/>
      <c r="BB634" s="332"/>
      <c r="BC634" s="332"/>
      <c r="BD634" s="332"/>
      <c r="BE634" s="332"/>
      <c r="BF634" s="332"/>
      <c r="BG634" s="332"/>
      <c r="BH634" s="332"/>
      <c r="BI634" s="332"/>
      <c r="BJ634" s="332"/>
      <c r="BK634" s="332"/>
      <c r="BL634" s="332"/>
      <c r="BM634" s="332"/>
      <c r="BN634" s="332"/>
      <c r="BO634" s="332"/>
      <c r="BP634" s="332"/>
      <c r="BQ634" s="332"/>
      <c r="BR634" s="332"/>
      <c r="BS634" s="332"/>
      <c r="BT634" s="332"/>
      <c r="BU634" s="332"/>
      <c r="BV634" s="332"/>
      <c r="BW634" s="332"/>
      <c r="BX634" s="332"/>
      <c r="BY634" s="332"/>
      <c r="BZ634" s="332"/>
      <c r="CA634" s="332"/>
      <c r="CB634" s="332"/>
      <c r="CC634" s="332"/>
      <c r="CD634" s="332"/>
      <c r="CE634" s="332"/>
      <c r="CF634" s="332"/>
      <c r="CG634" s="332"/>
      <c r="CH634" s="332"/>
      <c r="CI634" s="332"/>
      <c r="CJ634" s="332"/>
      <c r="CK634" s="332"/>
      <c r="CL634" s="332"/>
      <c r="CM634" s="332"/>
      <c r="CN634" s="332"/>
      <c r="CO634" s="332"/>
      <c r="CP634" s="332"/>
      <c r="CQ634" s="332"/>
      <c r="CR634" s="332"/>
      <c r="CS634" s="332"/>
      <c r="CT634" s="332"/>
      <c r="CU634" s="332"/>
      <c r="CV634" s="332"/>
      <c r="CW634" s="332"/>
      <c r="CX634" s="332"/>
      <c r="CY634" s="332"/>
      <c r="CZ634" s="332"/>
      <c r="DA634" s="332"/>
      <c r="DB634" s="332"/>
      <c r="DC634" s="332"/>
      <c r="DD634" s="332"/>
      <c r="DE634" s="332"/>
      <c r="DF634" s="332"/>
      <c r="DG634" s="332"/>
      <c r="DH634" s="332"/>
      <c r="DI634" s="332"/>
      <c r="DJ634" s="332"/>
      <c r="DK634" s="332"/>
      <c r="DL634" s="332"/>
      <c r="DM634" s="332"/>
      <c r="DN634" s="332"/>
      <c r="DO634" s="332"/>
      <c r="DP634" s="332"/>
      <c r="DQ634" s="332"/>
      <c r="DR634" s="332"/>
      <c r="DS634" s="332"/>
      <c r="DT634" s="332"/>
      <c r="DU634" s="453"/>
      <c r="DV634" s="453"/>
      <c r="DW634" s="453"/>
      <c r="DX634" s="453"/>
      <c r="DY634" s="453"/>
      <c r="DZ634" s="453"/>
      <c r="EA634" s="453"/>
      <c r="EB634" s="453"/>
      <c r="EC634" s="453"/>
      <c r="ED634" s="453"/>
      <c r="EE634" s="453"/>
      <c r="EF634" s="453"/>
      <c r="EG634" s="453"/>
      <c r="EH634" s="453"/>
      <c r="EI634" s="453"/>
      <c r="EJ634" s="453"/>
      <c r="EK634" s="453"/>
      <c r="EL634" s="453"/>
      <c r="EM634" s="483">
        <f t="shared" si="227"/>
        <v>325</v>
      </c>
      <c r="EN634" s="485"/>
      <c r="EO634" s="804"/>
      <c r="EP634" s="805"/>
      <c r="EQ634" s="806"/>
      <c r="ER634" s="808"/>
      <c r="ES634" s="881">
        <f t="shared" si="225"/>
        <v>0</v>
      </c>
      <c r="ET634" s="882"/>
      <c r="EU634" s="883"/>
      <c r="EV634" s="884">
        <f t="shared" si="226"/>
        <v>0</v>
      </c>
      <c r="EW634" s="885"/>
      <c r="EX634" s="885"/>
      <c r="EY634" s="885"/>
      <c r="EZ634" s="885"/>
      <c r="FA634" s="885"/>
      <c r="FB634" s="885"/>
      <c r="FC634" s="885"/>
      <c r="FD634" s="886"/>
      <c r="FE634" s="878"/>
      <c r="FF634" s="878"/>
      <c r="FG634" s="878"/>
      <c r="FH634" s="878"/>
      <c r="FI634" s="878"/>
      <c r="FJ634" s="878"/>
      <c r="FK634" s="878"/>
      <c r="FL634" s="555"/>
      <c r="FM634" s="554"/>
      <c r="FN634" s="554"/>
      <c r="FO634" s="554"/>
      <c r="FP634" s="554"/>
      <c r="FQ634" s="554"/>
      <c r="FR634" s="554"/>
      <c r="FS634" s="554"/>
      <c r="FT634" s="554"/>
      <c r="FU634" s="554"/>
      <c r="FV634" s="554"/>
      <c r="FW634" s="554"/>
      <c r="FX634" s="554"/>
      <c r="FY634" s="554"/>
      <c r="FZ634" s="554"/>
      <c r="GA634" s="554"/>
      <c r="GB634" s="556"/>
      <c r="GC634" s="370"/>
      <c r="GD634" s="453"/>
      <c r="GE634" s="453"/>
      <c r="GF634" s="453"/>
      <c r="GG634" s="453"/>
      <c r="GH634" s="454"/>
      <c r="GI634" s="453"/>
      <c r="GJ634" s="453"/>
      <c r="GK634" s="453"/>
      <c r="GL634" s="453"/>
      <c r="GM634" s="453"/>
      <c r="GN634" s="453"/>
      <c r="GO634" s="453"/>
      <c r="GP634" s="453"/>
      <c r="GQ634" s="453"/>
      <c r="GR634" s="453"/>
      <c r="GS634" s="561"/>
      <c r="GT634" s="475"/>
      <c r="GU634" s="472"/>
      <c r="GV634" s="453"/>
      <c r="GW634" s="453"/>
      <c r="GX634" s="869"/>
      <c r="GY634" s="870"/>
      <c r="GZ634" s="867"/>
      <c r="HA634" s="868"/>
      <c r="HB634" s="473"/>
      <c r="HC634" s="869"/>
      <c r="HD634" s="870"/>
      <c r="HE634" s="867"/>
      <c r="HF634" s="868"/>
      <c r="HG634" s="473"/>
      <c r="HH634" s="867"/>
      <c r="HI634" s="868"/>
      <c r="HJ634" s="867"/>
      <c r="HK634" s="868"/>
      <c r="HL634" s="370"/>
      <c r="HM634" s="865"/>
      <c r="HN634" s="866"/>
      <c r="HO634" s="865"/>
      <c r="HP634" s="866"/>
      <c r="HQ634" s="865"/>
      <c r="HR634" s="866"/>
      <c r="HS634" s="867"/>
      <c r="HT634" s="868"/>
      <c r="HU634" s="489"/>
      <c r="HV634" s="865"/>
      <c r="HW634" s="866"/>
    </row>
    <row r="635" spans="25:231" ht="15" customHeight="1">
      <c r="Y635" s="332"/>
      <c r="Z635" s="332"/>
      <c r="AA635" s="332"/>
      <c r="AB635" s="332"/>
      <c r="AC635" s="332"/>
      <c r="AD635" s="332"/>
      <c r="AE635" s="332"/>
      <c r="AF635" s="332"/>
      <c r="AG635" s="332"/>
      <c r="AH635" s="332"/>
      <c r="AI635" s="332"/>
      <c r="AJ635" s="332"/>
      <c r="AK635" s="332"/>
      <c r="AL635" s="332"/>
      <c r="AM635" s="332"/>
      <c r="AN635" s="332"/>
      <c r="AO635" s="332"/>
      <c r="AP635" s="332"/>
      <c r="AQ635" s="332"/>
      <c r="AR635" s="332"/>
      <c r="AS635" s="332"/>
      <c r="AT635" s="332"/>
      <c r="AU635" s="332"/>
      <c r="AV635" s="332"/>
      <c r="AW635" s="332"/>
      <c r="AX635" s="332"/>
      <c r="AY635" s="332"/>
      <c r="AZ635" s="332"/>
      <c r="BA635" s="332"/>
      <c r="BB635" s="332"/>
      <c r="BC635" s="332"/>
      <c r="BD635" s="332"/>
      <c r="BE635" s="332"/>
      <c r="BF635" s="332"/>
      <c r="BG635" s="332"/>
      <c r="BH635" s="332"/>
      <c r="BI635" s="332"/>
      <c r="BJ635" s="332"/>
      <c r="BK635" s="332"/>
      <c r="BL635" s="332"/>
      <c r="BM635" s="332"/>
      <c r="BN635" s="332"/>
      <c r="BO635" s="332"/>
      <c r="BP635" s="332"/>
      <c r="BQ635" s="332"/>
      <c r="BR635" s="332"/>
      <c r="BS635" s="332"/>
      <c r="BT635" s="332"/>
      <c r="BU635" s="332"/>
      <c r="BV635" s="332"/>
      <c r="BW635" s="332"/>
      <c r="BX635" s="332"/>
      <c r="BY635" s="332"/>
      <c r="BZ635" s="332"/>
      <c r="CA635" s="332"/>
      <c r="CB635" s="332"/>
      <c r="CC635" s="332"/>
      <c r="CD635" s="332"/>
      <c r="CE635" s="332"/>
      <c r="CF635" s="332"/>
      <c r="CG635" s="332"/>
      <c r="CH635" s="332"/>
      <c r="CI635" s="332"/>
      <c r="CJ635" s="332"/>
      <c r="CK635" s="332"/>
      <c r="CL635" s="332"/>
      <c r="CM635" s="332"/>
      <c r="CN635" s="332"/>
      <c r="CO635" s="332"/>
      <c r="CP635" s="332"/>
      <c r="CQ635" s="332"/>
      <c r="CR635" s="332"/>
      <c r="CS635" s="332"/>
      <c r="CT635" s="332"/>
      <c r="CU635" s="332"/>
      <c r="CV635" s="332"/>
      <c r="CW635" s="332"/>
      <c r="CX635" s="332"/>
      <c r="CY635" s="332"/>
      <c r="CZ635" s="332"/>
      <c r="DA635" s="332"/>
      <c r="DB635" s="332"/>
      <c r="DC635" s="332"/>
      <c r="DD635" s="332"/>
      <c r="DE635" s="332"/>
      <c r="DF635" s="332"/>
      <c r="DG635" s="332"/>
      <c r="DH635" s="332"/>
      <c r="DI635" s="332"/>
      <c r="DJ635" s="332"/>
      <c r="DK635" s="332"/>
      <c r="DL635" s="332"/>
      <c r="DM635" s="332"/>
      <c r="DN635" s="332"/>
      <c r="DO635" s="332"/>
      <c r="DP635" s="332"/>
      <c r="DQ635" s="332"/>
      <c r="DR635" s="332"/>
      <c r="DS635" s="332"/>
      <c r="DT635" s="332"/>
      <c r="DU635" s="453"/>
      <c r="DV635" s="453"/>
      <c r="DW635" s="453"/>
      <c r="DX635" s="453"/>
      <c r="DY635" s="453"/>
      <c r="DZ635" s="453"/>
      <c r="EA635" s="453"/>
      <c r="EB635" s="453"/>
      <c r="EC635" s="453"/>
      <c r="ED635" s="453"/>
      <c r="EE635" s="453"/>
      <c r="EF635" s="453"/>
      <c r="EG635" s="453"/>
      <c r="EH635" s="453"/>
      <c r="EI635" s="453"/>
      <c r="EJ635" s="453"/>
      <c r="EK635" s="453"/>
      <c r="EL635" s="453"/>
      <c r="EM635" s="483">
        <f t="shared" si="227"/>
        <v>326</v>
      </c>
      <c r="EN635" s="485"/>
      <c r="EO635" s="804"/>
      <c r="EP635" s="805"/>
      <c r="EQ635" s="806"/>
      <c r="ER635" s="808"/>
      <c r="ES635" s="881">
        <f t="shared" si="225"/>
        <v>0</v>
      </c>
      <c r="ET635" s="882"/>
      <c r="EU635" s="883"/>
      <c r="EV635" s="884">
        <f t="shared" si="226"/>
        <v>0</v>
      </c>
      <c r="EW635" s="885"/>
      <c r="EX635" s="885"/>
      <c r="EY635" s="885"/>
      <c r="EZ635" s="885"/>
      <c r="FA635" s="885"/>
      <c r="FB635" s="885"/>
      <c r="FC635" s="885"/>
      <c r="FD635" s="886"/>
      <c r="FE635" s="878"/>
      <c r="FF635" s="878"/>
      <c r="FG635" s="878"/>
      <c r="FH635" s="878"/>
      <c r="FI635" s="878"/>
      <c r="FJ635" s="878"/>
      <c r="FK635" s="878"/>
      <c r="FL635" s="555"/>
      <c r="FM635" s="554"/>
      <c r="FN635" s="554"/>
      <c r="FO635" s="554"/>
      <c r="FP635" s="554"/>
      <c r="FQ635" s="554"/>
      <c r="FR635" s="554"/>
      <c r="FS635" s="554"/>
      <c r="FT635" s="554"/>
      <c r="FU635" s="554"/>
      <c r="FV635" s="554"/>
      <c r="FW635" s="554"/>
      <c r="FX635" s="554"/>
      <c r="FY635" s="554"/>
      <c r="FZ635" s="554"/>
      <c r="GA635" s="554"/>
      <c r="GB635" s="556"/>
      <c r="GC635" s="370"/>
      <c r="GD635" s="453"/>
      <c r="GE635" s="453"/>
      <c r="GF635" s="453"/>
      <c r="GG635" s="453"/>
      <c r="GH635" s="454"/>
      <c r="GI635" s="453"/>
      <c r="GJ635" s="453"/>
      <c r="GK635" s="453"/>
      <c r="GL635" s="453"/>
      <c r="GM635" s="453"/>
      <c r="GN635" s="453"/>
      <c r="GO635" s="453"/>
      <c r="GP635" s="453"/>
      <c r="GQ635" s="453"/>
      <c r="GR635" s="453"/>
      <c r="GS635" s="561"/>
      <c r="GT635" s="475"/>
      <c r="GU635" s="472"/>
      <c r="GV635" s="453"/>
      <c r="GW635" s="453"/>
      <c r="GX635" s="869"/>
      <c r="GY635" s="870"/>
      <c r="GZ635" s="867"/>
      <c r="HA635" s="868"/>
      <c r="HB635" s="473"/>
      <c r="HC635" s="869"/>
      <c r="HD635" s="870"/>
      <c r="HE635" s="867"/>
      <c r="HF635" s="868"/>
      <c r="HG635" s="473"/>
      <c r="HH635" s="867"/>
      <c r="HI635" s="868"/>
      <c r="HJ635" s="867"/>
      <c r="HK635" s="868"/>
      <c r="HL635" s="370"/>
      <c r="HM635" s="865"/>
      <c r="HN635" s="866"/>
      <c r="HO635" s="865"/>
      <c r="HP635" s="866"/>
      <c r="HQ635" s="865"/>
      <c r="HR635" s="866"/>
      <c r="HS635" s="867"/>
      <c r="HT635" s="868"/>
      <c r="HU635" s="489"/>
      <c r="HV635" s="865"/>
      <c r="HW635" s="866"/>
    </row>
    <row r="636" spans="25:231" ht="15" customHeight="1">
      <c r="Y636" s="332"/>
      <c r="Z636" s="332"/>
      <c r="AA636" s="332"/>
      <c r="AB636" s="332"/>
      <c r="AC636" s="332"/>
      <c r="AD636" s="332"/>
      <c r="AE636" s="332"/>
      <c r="AF636" s="332"/>
      <c r="AG636" s="332"/>
      <c r="AH636" s="332"/>
      <c r="AI636" s="332"/>
      <c r="AJ636" s="332"/>
      <c r="AK636" s="332"/>
      <c r="AL636" s="332"/>
      <c r="AM636" s="332"/>
      <c r="AN636" s="332"/>
      <c r="AO636" s="332"/>
      <c r="AP636" s="332"/>
      <c r="AQ636" s="332"/>
      <c r="AR636" s="332"/>
      <c r="AS636" s="332"/>
      <c r="AT636" s="332"/>
      <c r="AU636" s="332"/>
      <c r="AV636" s="332"/>
      <c r="AW636" s="332"/>
      <c r="AX636" s="332"/>
      <c r="AY636" s="332"/>
      <c r="AZ636" s="332"/>
      <c r="BA636" s="332"/>
      <c r="BB636" s="332"/>
      <c r="BC636" s="332"/>
      <c r="BD636" s="332"/>
      <c r="BE636" s="332"/>
      <c r="BF636" s="332"/>
      <c r="BG636" s="332"/>
      <c r="BH636" s="332"/>
      <c r="BI636" s="332"/>
      <c r="BJ636" s="332"/>
      <c r="BK636" s="332"/>
      <c r="BL636" s="332"/>
      <c r="BM636" s="332"/>
      <c r="BN636" s="332"/>
      <c r="BO636" s="332"/>
      <c r="BP636" s="332"/>
      <c r="BQ636" s="332"/>
      <c r="BR636" s="332"/>
      <c r="BS636" s="332"/>
      <c r="BT636" s="332"/>
      <c r="BU636" s="332"/>
      <c r="BV636" s="332"/>
      <c r="BW636" s="332"/>
      <c r="BX636" s="332"/>
      <c r="BY636" s="332"/>
      <c r="BZ636" s="332"/>
      <c r="CA636" s="332"/>
      <c r="CB636" s="332"/>
      <c r="CC636" s="332"/>
      <c r="CD636" s="332"/>
      <c r="CE636" s="332"/>
      <c r="CF636" s="332"/>
      <c r="CG636" s="332"/>
      <c r="CH636" s="332"/>
      <c r="CI636" s="332"/>
      <c r="CJ636" s="332"/>
      <c r="CK636" s="332"/>
      <c r="CL636" s="332"/>
      <c r="CM636" s="332"/>
      <c r="CN636" s="332"/>
      <c r="CO636" s="332"/>
      <c r="CP636" s="332"/>
      <c r="CQ636" s="332"/>
      <c r="CR636" s="332"/>
      <c r="CS636" s="332"/>
      <c r="CT636" s="332"/>
      <c r="CU636" s="332"/>
      <c r="CV636" s="332"/>
      <c r="CW636" s="332"/>
      <c r="CX636" s="332"/>
      <c r="CY636" s="332"/>
      <c r="CZ636" s="332"/>
      <c r="DA636" s="332"/>
      <c r="DB636" s="332"/>
      <c r="DC636" s="332"/>
      <c r="DD636" s="332"/>
      <c r="DE636" s="332"/>
      <c r="DF636" s="332"/>
      <c r="DG636" s="332"/>
      <c r="DH636" s="332"/>
      <c r="DI636" s="332"/>
      <c r="DJ636" s="332"/>
      <c r="DK636" s="332"/>
      <c r="DL636" s="332"/>
      <c r="DM636" s="332"/>
      <c r="DN636" s="332"/>
      <c r="DO636" s="332"/>
      <c r="DP636" s="332"/>
      <c r="DQ636" s="332"/>
      <c r="DR636" s="332"/>
      <c r="DS636" s="332"/>
      <c r="DT636" s="332"/>
      <c r="DU636" s="453"/>
      <c r="DV636" s="453"/>
      <c r="DW636" s="453"/>
      <c r="DX636" s="453"/>
      <c r="DY636" s="453"/>
      <c r="DZ636" s="453"/>
      <c r="EA636" s="453"/>
      <c r="EB636" s="453"/>
      <c r="EC636" s="453"/>
      <c r="ED636" s="453"/>
      <c r="EE636" s="453"/>
      <c r="EF636" s="453"/>
      <c r="EG636" s="453"/>
      <c r="EH636" s="453"/>
      <c r="EI636" s="453"/>
      <c r="EJ636" s="453"/>
      <c r="EK636" s="453"/>
      <c r="EL636" s="453"/>
      <c r="EM636" s="483">
        <f t="shared" si="227"/>
        <v>327</v>
      </c>
      <c r="EN636" s="485"/>
      <c r="EO636" s="804"/>
      <c r="EP636" s="805"/>
      <c r="EQ636" s="806"/>
      <c r="ER636" s="808"/>
      <c r="ES636" s="881">
        <f t="shared" si="225"/>
        <v>0</v>
      </c>
      <c r="ET636" s="882"/>
      <c r="EU636" s="883"/>
      <c r="EV636" s="884">
        <f t="shared" si="226"/>
        <v>0</v>
      </c>
      <c r="EW636" s="885"/>
      <c r="EX636" s="885"/>
      <c r="EY636" s="885"/>
      <c r="EZ636" s="885"/>
      <c r="FA636" s="885"/>
      <c r="FB636" s="885"/>
      <c r="FC636" s="885"/>
      <c r="FD636" s="886"/>
      <c r="FE636" s="878"/>
      <c r="FF636" s="878"/>
      <c r="FG636" s="878"/>
      <c r="FH636" s="878"/>
      <c r="FI636" s="878"/>
      <c r="FJ636" s="878"/>
      <c r="FK636" s="878"/>
      <c r="FL636" s="555"/>
      <c r="FM636" s="554"/>
      <c r="FN636" s="554"/>
      <c r="FO636" s="554"/>
      <c r="FP636" s="554"/>
      <c r="FQ636" s="554"/>
      <c r="FR636" s="554"/>
      <c r="FS636" s="554"/>
      <c r="FT636" s="554"/>
      <c r="FU636" s="554"/>
      <c r="FV636" s="554"/>
      <c r="FW636" s="554"/>
      <c r="FX636" s="554"/>
      <c r="FY636" s="554"/>
      <c r="FZ636" s="554"/>
      <c r="GA636" s="554"/>
      <c r="GB636" s="556"/>
      <c r="GC636" s="370"/>
      <c r="GD636" s="453"/>
      <c r="GE636" s="453"/>
      <c r="GF636" s="453"/>
      <c r="GG636" s="453"/>
      <c r="GH636" s="454"/>
      <c r="GI636" s="453"/>
      <c r="GJ636" s="453"/>
      <c r="GK636" s="453"/>
      <c r="GL636" s="453"/>
      <c r="GM636" s="453"/>
      <c r="GN636" s="453"/>
      <c r="GO636" s="453"/>
      <c r="GP636" s="453"/>
      <c r="GQ636" s="453"/>
      <c r="GR636" s="453"/>
      <c r="GS636" s="561"/>
      <c r="GT636" s="475"/>
      <c r="GU636" s="472"/>
      <c r="GV636" s="453"/>
      <c r="GW636" s="453"/>
      <c r="GX636" s="869"/>
      <c r="GY636" s="870"/>
      <c r="GZ636" s="867"/>
      <c r="HA636" s="868"/>
      <c r="HB636" s="473"/>
      <c r="HC636" s="869"/>
      <c r="HD636" s="870"/>
      <c r="HE636" s="867"/>
      <c r="HF636" s="868"/>
      <c r="HG636" s="473"/>
      <c r="HH636" s="867"/>
      <c r="HI636" s="868"/>
      <c r="HJ636" s="867"/>
      <c r="HK636" s="868"/>
      <c r="HL636" s="370"/>
      <c r="HM636" s="865"/>
      <c r="HN636" s="866"/>
      <c r="HO636" s="865"/>
      <c r="HP636" s="866"/>
      <c r="HQ636" s="865"/>
      <c r="HR636" s="866"/>
      <c r="HS636" s="867"/>
      <c r="HT636" s="868"/>
      <c r="HU636" s="489"/>
      <c r="HV636" s="865"/>
      <c r="HW636" s="866"/>
    </row>
    <row r="637" spans="25:231" ht="15" customHeight="1">
      <c r="Y637" s="332"/>
      <c r="Z637" s="332"/>
      <c r="AA637" s="332"/>
      <c r="AB637" s="332"/>
      <c r="AC637" s="332"/>
      <c r="AD637" s="332"/>
      <c r="AE637" s="332"/>
      <c r="AF637" s="332"/>
      <c r="AG637" s="332"/>
      <c r="AH637" s="332"/>
      <c r="AI637" s="332"/>
      <c r="AJ637" s="332"/>
      <c r="AK637" s="332"/>
      <c r="AL637" s="332"/>
      <c r="AM637" s="332"/>
      <c r="AN637" s="332"/>
      <c r="AO637" s="332"/>
      <c r="AP637" s="332"/>
      <c r="AQ637" s="332"/>
      <c r="AR637" s="332"/>
      <c r="AS637" s="332"/>
      <c r="AT637" s="332"/>
      <c r="AU637" s="332"/>
      <c r="AV637" s="332"/>
      <c r="AW637" s="332"/>
      <c r="AX637" s="332"/>
      <c r="AY637" s="332"/>
      <c r="AZ637" s="332"/>
      <c r="BA637" s="332"/>
      <c r="BB637" s="332"/>
      <c r="BC637" s="332"/>
      <c r="BD637" s="332"/>
      <c r="BE637" s="332"/>
      <c r="BF637" s="332"/>
      <c r="BG637" s="332"/>
      <c r="BH637" s="332"/>
      <c r="BI637" s="332"/>
      <c r="BJ637" s="332"/>
      <c r="BK637" s="332"/>
      <c r="BL637" s="332"/>
      <c r="BM637" s="332"/>
      <c r="BN637" s="332"/>
      <c r="BO637" s="332"/>
      <c r="BP637" s="332"/>
      <c r="BQ637" s="332"/>
      <c r="BR637" s="332"/>
      <c r="BS637" s="332"/>
      <c r="BT637" s="332"/>
      <c r="BU637" s="332"/>
      <c r="BV637" s="332"/>
      <c r="BW637" s="332"/>
      <c r="BX637" s="332"/>
      <c r="BY637" s="332"/>
      <c r="BZ637" s="332"/>
      <c r="CA637" s="332"/>
      <c r="CB637" s="332"/>
      <c r="CC637" s="332"/>
      <c r="CD637" s="332"/>
      <c r="CE637" s="332"/>
      <c r="CF637" s="332"/>
      <c r="CG637" s="332"/>
      <c r="CH637" s="332"/>
      <c r="CI637" s="332"/>
      <c r="CJ637" s="332"/>
      <c r="CK637" s="332"/>
      <c r="CL637" s="332"/>
      <c r="CM637" s="332"/>
      <c r="CN637" s="332"/>
      <c r="CO637" s="332"/>
      <c r="CP637" s="332"/>
      <c r="CQ637" s="332"/>
      <c r="CR637" s="332"/>
      <c r="CS637" s="332"/>
      <c r="CT637" s="332"/>
      <c r="CU637" s="332"/>
      <c r="CV637" s="332"/>
      <c r="CW637" s="332"/>
      <c r="CX637" s="332"/>
      <c r="CY637" s="332"/>
      <c r="CZ637" s="332"/>
      <c r="DA637" s="332"/>
      <c r="DB637" s="332"/>
      <c r="DC637" s="332"/>
      <c r="DD637" s="332"/>
      <c r="DE637" s="332"/>
      <c r="DF637" s="332"/>
      <c r="DG637" s="332"/>
      <c r="DH637" s="332"/>
      <c r="DI637" s="332"/>
      <c r="DJ637" s="332"/>
      <c r="DK637" s="332"/>
      <c r="DL637" s="332"/>
      <c r="DM637" s="332"/>
      <c r="DN637" s="332"/>
      <c r="DO637" s="332"/>
      <c r="DP637" s="332"/>
      <c r="DQ637" s="332"/>
      <c r="DR637" s="332"/>
      <c r="DS637" s="332"/>
      <c r="DT637" s="332"/>
      <c r="DU637" s="453"/>
      <c r="DV637" s="453"/>
      <c r="DW637" s="453"/>
      <c r="DX637" s="453"/>
      <c r="DY637" s="453"/>
      <c r="DZ637" s="453"/>
      <c r="EA637" s="453"/>
      <c r="EB637" s="453"/>
      <c r="EC637" s="453"/>
      <c r="ED637" s="453"/>
      <c r="EE637" s="453"/>
      <c r="EF637" s="453"/>
      <c r="EG637" s="453"/>
      <c r="EH637" s="453"/>
      <c r="EI637" s="453"/>
      <c r="EJ637" s="453"/>
      <c r="EK637" s="453"/>
      <c r="EL637" s="453"/>
      <c r="EM637" s="483">
        <f t="shared" si="227"/>
        <v>328</v>
      </c>
      <c r="EN637" s="485"/>
      <c r="EO637" s="804"/>
      <c r="EP637" s="805"/>
      <c r="EQ637" s="806"/>
      <c r="ER637" s="808"/>
      <c r="ES637" s="881">
        <f t="shared" ref="ES637:ES700" si="228">IF(OR(EO637 = "", EP637 = 0, EP637 = "", EQ637 = 0, EQ637 = "", ER637 = 0, ER637 = ""), 0,
IF(EO637 &lt;&gt; "ACCION", EP637 * ER637 * -100,  EP637 * ER637 * -1))</f>
        <v>0</v>
      </c>
      <c r="ET637" s="882"/>
      <c r="EU637" s="883"/>
      <c r="EV637" s="884">
        <f t="shared" si="226"/>
        <v>0</v>
      </c>
      <c r="EW637" s="885"/>
      <c r="EX637" s="885"/>
      <c r="EY637" s="885"/>
      <c r="EZ637" s="885"/>
      <c r="FA637" s="885"/>
      <c r="FB637" s="885"/>
      <c r="FC637" s="885"/>
      <c r="FD637" s="886"/>
      <c r="FE637" s="878"/>
      <c r="FF637" s="878"/>
      <c r="FG637" s="878"/>
      <c r="FH637" s="878"/>
      <c r="FI637" s="878"/>
      <c r="FJ637" s="878"/>
      <c r="FK637" s="878"/>
      <c r="FL637" s="555"/>
      <c r="FM637" s="554"/>
      <c r="FN637" s="554"/>
      <c r="FO637" s="554"/>
      <c r="FP637" s="554"/>
      <c r="FQ637" s="554"/>
      <c r="FR637" s="554"/>
      <c r="FS637" s="554"/>
      <c r="FT637" s="554"/>
      <c r="FU637" s="554"/>
      <c r="FV637" s="554"/>
      <c r="FW637" s="554"/>
      <c r="FX637" s="554"/>
      <c r="FY637" s="554"/>
      <c r="FZ637" s="554"/>
      <c r="GA637" s="554"/>
      <c r="GB637" s="556"/>
      <c r="GC637" s="370"/>
      <c r="GD637" s="453"/>
      <c r="GE637" s="453"/>
      <c r="GF637" s="453"/>
      <c r="GG637" s="453"/>
      <c r="GH637" s="454"/>
      <c r="GI637" s="453"/>
      <c r="GJ637" s="453"/>
      <c r="GK637" s="453"/>
      <c r="GL637" s="453"/>
      <c r="GM637" s="453"/>
      <c r="GN637" s="453"/>
      <c r="GO637" s="453"/>
      <c r="GP637" s="453"/>
      <c r="GQ637" s="453"/>
      <c r="GR637" s="453"/>
      <c r="GS637" s="561"/>
      <c r="GT637" s="475"/>
      <c r="GU637" s="472"/>
      <c r="GV637" s="453"/>
      <c r="GW637" s="453"/>
      <c r="GX637" s="869"/>
      <c r="GY637" s="870"/>
      <c r="GZ637" s="867"/>
      <c r="HA637" s="868"/>
      <c r="HB637" s="473"/>
      <c r="HC637" s="869"/>
      <c r="HD637" s="870"/>
      <c r="HE637" s="867"/>
      <c r="HF637" s="868"/>
      <c r="HG637" s="473"/>
      <c r="HH637" s="867"/>
      <c r="HI637" s="868"/>
      <c r="HJ637" s="867"/>
      <c r="HK637" s="868"/>
      <c r="HL637" s="370"/>
      <c r="HM637" s="865"/>
      <c r="HN637" s="866"/>
      <c r="HO637" s="865"/>
      <c r="HP637" s="866"/>
      <c r="HQ637" s="865"/>
      <c r="HR637" s="866"/>
      <c r="HS637" s="867"/>
      <c r="HT637" s="868"/>
      <c r="HU637" s="489"/>
      <c r="HV637" s="865"/>
      <c r="HW637" s="866"/>
    </row>
    <row r="638" spans="25:231" ht="15" customHeight="1">
      <c r="Y638" s="332"/>
      <c r="Z638" s="332"/>
      <c r="AA638" s="332"/>
      <c r="AB638" s="332"/>
      <c r="AC638" s="332"/>
      <c r="AD638" s="332"/>
      <c r="AE638" s="332"/>
      <c r="AF638" s="332"/>
      <c r="AG638" s="332"/>
      <c r="AH638" s="332"/>
      <c r="AI638" s="332"/>
      <c r="AJ638" s="332"/>
      <c r="AK638" s="332"/>
      <c r="AL638" s="332"/>
      <c r="AM638" s="332"/>
      <c r="AN638" s="332"/>
      <c r="AO638" s="332"/>
      <c r="AP638" s="332"/>
      <c r="AQ638" s="332"/>
      <c r="AR638" s="332"/>
      <c r="AS638" s="332"/>
      <c r="AT638" s="332"/>
      <c r="AU638" s="332"/>
      <c r="AV638" s="332"/>
      <c r="AW638" s="332"/>
      <c r="AX638" s="332"/>
      <c r="AY638" s="332"/>
      <c r="AZ638" s="332"/>
      <c r="BA638" s="332"/>
      <c r="BB638" s="332"/>
      <c r="BC638" s="332"/>
      <c r="BD638" s="332"/>
      <c r="BE638" s="332"/>
      <c r="BF638" s="332"/>
      <c r="BG638" s="332"/>
      <c r="BH638" s="332"/>
      <c r="BI638" s="332"/>
      <c r="BJ638" s="332"/>
      <c r="BK638" s="332"/>
      <c r="BL638" s="332"/>
      <c r="BM638" s="332"/>
      <c r="BN638" s="332"/>
      <c r="BO638" s="332"/>
      <c r="BP638" s="332"/>
      <c r="BQ638" s="332"/>
      <c r="BR638" s="332"/>
      <c r="BS638" s="332"/>
      <c r="BT638" s="332"/>
      <c r="BU638" s="332"/>
      <c r="BV638" s="332"/>
      <c r="BW638" s="332"/>
      <c r="BX638" s="332"/>
      <c r="BY638" s="332"/>
      <c r="BZ638" s="332"/>
      <c r="CA638" s="332"/>
      <c r="CB638" s="332"/>
      <c r="CC638" s="332"/>
      <c r="CD638" s="332"/>
      <c r="CE638" s="332"/>
      <c r="CF638" s="332"/>
      <c r="CG638" s="332"/>
      <c r="CH638" s="332"/>
      <c r="CI638" s="332"/>
      <c r="CJ638" s="332"/>
      <c r="CK638" s="332"/>
      <c r="CL638" s="332"/>
      <c r="CM638" s="332"/>
      <c r="CN638" s="332"/>
      <c r="CO638" s="332"/>
      <c r="CP638" s="332"/>
      <c r="CQ638" s="332"/>
      <c r="CR638" s="332"/>
      <c r="CS638" s="332"/>
      <c r="CT638" s="332"/>
      <c r="CU638" s="332"/>
      <c r="CV638" s="332"/>
      <c r="CW638" s="332"/>
      <c r="CX638" s="332"/>
      <c r="CY638" s="332"/>
      <c r="CZ638" s="332"/>
      <c r="DA638" s="332"/>
      <c r="DB638" s="332"/>
      <c r="DC638" s="332"/>
      <c r="DD638" s="332"/>
      <c r="DE638" s="332"/>
      <c r="DF638" s="332"/>
      <c r="DG638" s="332"/>
      <c r="DH638" s="332"/>
      <c r="DI638" s="332"/>
      <c r="DJ638" s="332"/>
      <c r="DK638" s="332"/>
      <c r="DL638" s="332"/>
      <c r="DM638" s="332"/>
      <c r="DN638" s="332"/>
      <c r="DO638" s="332"/>
      <c r="DP638" s="332"/>
      <c r="DQ638" s="332"/>
      <c r="DR638" s="332"/>
      <c r="DS638" s="332"/>
      <c r="DT638" s="332"/>
      <c r="DU638" s="453"/>
      <c r="DV638" s="453"/>
      <c r="DW638" s="453"/>
      <c r="DX638" s="453"/>
      <c r="DY638" s="453"/>
      <c r="DZ638" s="453"/>
      <c r="EA638" s="453"/>
      <c r="EB638" s="453"/>
      <c r="EC638" s="453"/>
      <c r="ED638" s="453"/>
      <c r="EE638" s="453"/>
      <c r="EF638" s="453"/>
      <c r="EG638" s="453"/>
      <c r="EH638" s="453"/>
      <c r="EI638" s="453"/>
      <c r="EJ638" s="453"/>
      <c r="EK638" s="453"/>
      <c r="EL638" s="453"/>
      <c r="EM638" s="483">
        <f t="shared" si="227"/>
        <v>329</v>
      </c>
      <c r="EN638" s="485"/>
      <c r="EO638" s="804"/>
      <c r="EP638" s="805"/>
      <c r="EQ638" s="806"/>
      <c r="ER638" s="808"/>
      <c r="ES638" s="881">
        <f t="shared" si="228"/>
        <v>0</v>
      </c>
      <c r="ET638" s="882"/>
      <c r="EU638" s="883"/>
      <c r="EV638" s="884">
        <f t="shared" si="226"/>
        <v>0</v>
      </c>
      <c r="EW638" s="885"/>
      <c r="EX638" s="885"/>
      <c r="EY638" s="885"/>
      <c r="EZ638" s="885"/>
      <c r="FA638" s="885"/>
      <c r="FB638" s="885"/>
      <c r="FC638" s="885"/>
      <c r="FD638" s="886"/>
      <c r="FE638" s="878"/>
      <c r="FF638" s="878"/>
      <c r="FG638" s="878"/>
      <c r="FH638" s="878"/>
      <c r="FI638" s="878"/>
      <c r="FJ638" s="878"/>
      <c r="FK638" s="878"/>
      <c r="FL638" s="555"/>
      <c r="FM638" s="554"/>
      <c r="FN638" s="554"/>
      <c r="FO638" s="554"/>
      <c r="FP638" s="554"/>
      <c r="FQ638" s="554"/>
      <c r="FR638" s="554"/>
      <c r="FS638" s="554"/>
      <c r="FT638" s="554"/>
      <c r="FU638" s="554"/>
      <c r="FV638" s="554"/>
      <c r="FW638" s="554"/>
      <c r="FX638" s="554"/>
      <c r="FY638" s="554"/>
      <c r="FZ638" s="554"/>
      <c r="GA638" s="554"/>
      <c r="GB638" s="556"/>
      <c r="GC638" s="370"/>
      <c r="GD638" s="453"/>
      <c r="GE638" s="453"/>
      <c r="GF638" s="453"/>
      <c r="GG638" s="453"/>
      <c r="GH638" s="454"/>
      <c r="GI638" s="453"/>
      <c r="GJ638" s="453"/>
      <c r="GK638" s="453"/>
      <c r="GL638" s="453"/>
      <c r="GM638" s="453"/>
      <c r="GN638" s="453"/>
      <c r="GO638" s="453"/>
      <c r="GP638" s="453"/>
      <c r="GQ638" s="453"/>
      <c r="GR638" s="453"/>
      <c r="GS638" s="561"/>
      <c r="GT638" s="475"/>
      <c r="GU638" s="472"/>
      <c r="GV638" s="453"/>
      <c r="GW638" s="453"/>
      <c r="GX638" s="869"/>
      <c r="GY638" s="870"/>
      <c r="GZ638" s="867"/>
      <c r="HA638" s="868"/>
      <c r="HB638" s="473"/>
      <c r="HC638" s="869"/>
      <c r="HD638" s="870"/>
      <c r="HE638" s="867"/>
      <c r="HF638" s="868"/>
      <c r="HG638" s="473"/>
      <c r="HH638" s="867"/>
      <c r="HI638" s="868"/>
      <c r="HJ638" s="867"/>
      <c r="HK638" s="868"/>
      <c r="HL638" s="370"/>
      <c r="HM638" s="865"/>
      <c r="HN638" s="866"/>
      <c r="HO638" s="865"/>
      <c r="HP638" s="866"/>
      <c r="HQ638" s="865"/>
      <c r="HR638" s="866"/>
      <c r="HS638" s="867"/>
      <c r="HT638" s="868"/>
      <c r="HU638" s="489"/>
      <c r="HV638" s="865"/>
      <c r="HW638" s="866"/>
    </row>
    <row r="639" spans="25:231" ht="15" customHeight="1">
      <c r="Y639" s="332"/>
      <c r="Z639" s="332"/>
      <c r="AA639" s="332"/>
      <c r="AB639" s="332"/>
      <c r="AC639" s="332"/>
      <c r="AD639" s="332"/>
      <c r="AE639" s="332"/>
      <c r="AF639" s="332"/>
      <c r="AG639" s="332"/>
      <c r="AH639" s="332"/>
      <c r="AI639" s="332"/>
      <c r="AJ639" s="332"/>
      <c r="AK639" s="332"/>
      <c r="AL639" s="332"/>
      <c r="AM639" s="332"/>
      <c r="AN639" s="332"/>
      <c r="AO639" s="332"/>
      <c r="AP639" s="332"/>
      <c r="AQ639" s="332"/>
      <c r="AR639" s="332"/>
      <c r="AS639" s="332"/>
      <c r="AT639" s="332"/>
      <c r="AU639" s="332"/>
      <c r="AV639" s="332"/>
      <c r="AW639" s="332"/>
      <c r="AX639" s="332"/>
      <c r="AY639" s="332"/>
      <c r="AZ639" s="332"/>
      <c r="BA639" s="332"/>
      <c r="BB639" s="332"/>
      <c r="BC639" s="332"/>
      <c r="BD639" s="332"/>
      <c r="BE639" s="332"/>
      <c r="BF639" s="332"/>
      <c r="BG639" s="332"/>
      <c r="BH639" s="332"/>
      <c r="BI639" s="332"/>
      <c r="BJ639" s="332"/>
      <c r="BK639" s="332"/>
      <c r="BL639" s="332"/>
      <c r="BM639" s="332"/>
      <c r="BN639" s="332"/>
      <c r="BO639" s="332"/>
      <c r="BP639" s="332"/>
      <c r="BQ639" s="332"/>
      <c r="BR639" s="332"/>
      <c r="BS639" s="332"/>
      <c r="BT639" s="332"/>
      <c r="BU639" s="332"/>
      <c r="BV639" s="332"/>
      <c r="BW639" s="332"/>
      <c r="BX639" s="332"/>
      <c r="BY639" s="332"/>
      <c r="BZ639" s="332"/>
      <c r="CA639" s="332"/>
      <c r="CB639" s="332"/>
      <c r="CC639" s="332"/>
      <c r="CD639" s="332"/>
      <c r="CE639" s="332"/>
      <c r="CF639" s="332"/>
      <c r="CG639" s="332"/>
      <c r="CH639" s="332"/>
      <c r="CI639" s="332"/>
      <c r="CJ639" s="332"/>
      <c r="CK639" s="332"/>
      <c r="CL639" s="332"/>
      <c r="CM639" s="332"/>
      <c r="CN639" s="332"/>
      <c r="CO639" s="332"/>
      <c r="CP639" s="332"/>
      <c r="CQ639" s="332"/>
      <c r="CR639" s="332"/>
      <c r="CS639" s="332"/>
      <c r="CT639" s="332"/>
      <c r="CU639" s="332"/>
      <c r="CV639" s="332"/>
      <c r="CW639" s="332"/>
      <c r="CX639" s="332"/>
      <c r="CY639" s="332"/>
      <c r="CZ639" s="332"/>
      <c r="DA639" s="332"/>
      <c r="DB639" s="332"/>
      <c r="DC639" s="332"/>
      <c r="DD639" s="332"/>
      <c r="DE639" s="332"/>
      <c r="DF639" s="332"/>
      <c r="DG639" s="332"/>
      <c r="DH639" s="332"/>
      <c r="DI639" s="332"/>
      <c r="DJ639" s="332"/>
      <c r="DK639" s="332"/>
      <c r="DL639" s="332"/>
      <c r="DM639" s="332"/>
      <c r="DN639" s="332"/>
      <c r="DO639" s="332"/>
      <c r="DP639" s="332"/>
      <c r="DQ639" s="332"/>
      <c r="DR639" s="332"/>
      <c r="DS639" s="332"/>
      <c r="DT639" s="332"/>
      <c r="DU639" s="453"/>
      <c r="DV639" s="453"/>
      <c r="DW639" s="453"/>
      <c r="DX639" s="453"/>
      <c r="DY639" s="453"/>
      <c r="DZ639" s="453"/>
      <c r="EA639" s="453"/>
      <c r="EB639" s="453"/>
      <c r="EC639" s="453"/>
      <c r="ED639" s="453"/>
      <c r="EE639" s="453"/>
      <c r="EF639" s="453"/>
      <c r="EG639" s="453"/>
      <c r="EH639" s="453"/>
      <c r="EI639" s="453"/>
      <c r="EJ639" s="453"/>
      <c r="EK639" s="453"/>
      <c r="EL639" s="453"/>
      <c r="EM639" s="483">
        <f t="shared" si="227"/>
        <v>330</v>
      </c>
      <c r="EN639" s="485"/>
      <c r="EO639" s="804"/>
      <c r="EP639" s="805"/>
      <c r="EQ639" s="806"/>
      <c r="ER639" s="808"/>
      <c r="ES639" s="881">
        <f t="shared" si="228"/>
        <v>0</v>
      </c>
      <c r="ET639" s="882"/>
      <c r="EU639" s="883"/>
      <c r="EV639" s="884">
        <f t="shared" si="226"/>
        <v>0</v>
      </c>
      <c r="EW639" s="885"/>
      <c r="EX639" s="885"/>
      <c r="EY639" s="885"/>
      <c r="EZ639" s="885"/>
      <c r="FA639" s="885"/>
      <c r="FB639" s="885"/>
      <c r="FC639" s="885"/>
      <c r="FD639" s="886"/>
      <c r="FE639" s="878"/>
      <c r="FF639" s="878"/>
      <c r="FG639" s="878"/>
      <c r="FH639" s="878"/>
      <c r="FI639" s="878"/>
      <c r="FJ639" s="878"/>
      <c r="FK639" s="878"/>
      <c r="FL639" s="555"/>
      <c r="FM639" s="554"/>
      <c r="FN639" s="554"/>
      <c r="FO639" s="554"/>
      <c r="FP639" s="554"/>
      <c r="FQ639" s="554"/>
      <c r="FR639" s="554"/>
      <c r="FS639" s="554"/>
      <c r="FT639" s="554"/>
      <c r="FU639" s="554"/>
      <c r="FV639" s="554"/>
      <c r="FW639" s="554"/>
      <c r="FX639" s="554"/>
      <c r="FY639" s="554"/>
      <c r="FZ639" s="554"/>
      <c r="GA639" s="554"/>
      <c r="GB639" s="556"/>
      <c r="GC639" s="370"/>
      <c r="GD639" s="453"/>
      <c r="GE639" s="453"/>
      <c r="GF639" s="453"/>
      <c r="GG639" s="453"/>
      <c r="GH639" s="454"/>
      <c r="GI639" s="453"/>
      <c r="GJ639" s="453"/>
      <c r="GK639" s="453"/>
      <c r="GL639" s="453"/>
      <c r="GM639" s="453"/>
      <c r="GN639" s="453"/>
      <c r="GO639" s="453"/>
      <c r="GP639" s="453"/>
      <c r="GQ639" s="453"/>
      <c r="GR639" s="453"/>
      <c r="GS639" s="561"/>
      <c r="GT639" s="475"/>
      <c r="GU639" s="472"/>
      <c r="GV639" s="453"/>
      <c r="GW639" s="453"/>
      <c r="GX639" s="869"/>
      <c r="GY639" s="870"/>
      <c r="GZ639" s="867"/>
      <c r="HA639" s="868"/>
      <c r="HB639" s="473"/>
      <c r="HC639" s="869"/>
      <c r="HD639" s="870"/>
      <c r="HE639" s="867"/>
      <c r="HF639" s="868"/>
      <c r="HG639" s="473"/>
      <c r="HH639" s="867"/>
      <c r="HI639" s="868"/>
      <c r="HJ639" s="867"/>
      <c r="HK639" s="868"/>
      <c r="HL639" s="370"/>
      <c r="HM639" s="865"/>
      <c r="HN639" s="866"/>
      <c r="HO639" s="865"/>
      <c r="HP639" s="866"/>
      <c r="HQ639" s="865"/>
      <c r="HR639" s="866"/>
      <c r="HS639" s="867"/>
      <c r="HT639" s="868"/>
      <c r="HU639" s="489"/>
      <c r="HV639" s="865"/>
      <c r="HW639" s="866"/>
    </row>
    <row r="640" spans="25:231" ht="15" customHeight="1">
      <c r="Y640" s="332"/>
      <c r="Z640" s="332"/>
      <c r="AA640" s="332"/>
      <c r="AB640" s="332"/>
      <c r="AC640" s="332"/>
      <c r="AD640" s="332"/>
      <c r="AE640" s="332"/>
      <c r="AF640" s="332"/>
      <c r="AG640" s="332"/>
      <c r="AH640" s="332"/>
      <c r="AI640" s="332"/>
      <c r="AJ640" s="332"/>
      <c r="AK640" s="332"/>
      <c r="AL640" s="332"/>
      <c r="AM640" s="332"/>
      <c r="AN640" s="332"/>
      <c r="AO640" s="332"/>
      <c r="AP640" s="332"/>
      <c r="AQ640" s="332"/>
      <c r="AR640" s="332"/>
      <c r="AS640" s="332"/>
      <c r="AT640" s="332"/>
      <c r="AU640" s="332"/>
      <c r="AV640" s="332"/>
      <c r="AW640" s="332"/>
      <c r="AX640" s="332"/>
      <c r="AY640" s="332"/>
      <c r="AZ640" s="332"/>
      <c r="BA640" s="332"/>
      <c r="BB640" s="332"/>
      <c r="BC640" s="332"/>
      <c r="BD640" s="332"/>
      <c r="BE640" s="332"/>
      <c r="BF640" s="332"/>
      <c r="BG640" s="332"/>
      <c r="BH640" s="332"/>
      <c r="BI640" s="332"/>
      <c r="BJ640" s="332"/>
      <c r="BK640" s="332"/>
      <c r="BL640" s="332"/>
      <c r="BM640" s="332"/>
      <c r="BN640" s="332"/>
      <c r="BO640" s="332"/>
      <c r="BP640" s="332"/>
      <c r="BQ640" s="332"/>
      <c r="BR640" s="332"/>
      <c r="BS640" s="332"/>
      <c r="BT640" s="332"/>
      <c r="BU640" s="332"/>
      <c r="BV640" s="332"/>
      <c r="BW640" s="332"/>
      <c r="BX640" s="332"/>
      <c r="BY640" s="332"/>
      <c r="BZ640" s="332"/>
      <c r="CA640" s="332"/>
      <c r="CB640" s="332"/>
      <c r="CC640" s="332"/>
      <c r="CD640" s="332"/>
      <c r="CE640" s="332"/>
      <c r="CF640" s="332"/>
      <c r="CG640" s="332"/>
      <c r="CH640" s="332"/>
      <c r="CI640" s="332"/>
      <c r="CJ640" s="332"/>
      <c r="CK640" s="332"/>
      <c r="CL640" s="332"/>
      <c r="CM640" s="332"/>
      <c r="CN640" s="332"/>
      <c r="CO640" s="332"/>
      <c r="CP640" s="332"/>
      <c r="CQ640" s="332"/>
      <c r="CR640" s="332"/>
      <c r="CS640" s="332"/>
      <c r="CT640" s="332"/>
      <c r="CU640" s="332"/>
      <c r="CV640" s="332"/>
      <c r="CW640" s="332"/>
      <c r="CX640" s="332"/>
      <c r="CY640" s="332"/>
      <c r="CZ640" s="332"/>
      <c r="DA640" s="332"/>
      <c r="DB640" s="332"/>
      <c r="DC640" s="332"/>
      <c r="DD640" s="332"/>
      <c r="DE640" s="332"/>
      <c r="DF640" s="332"/>
      <c r="DG640" s="332"/>
      <c r="DH640" s="332"/>
      <c r="DI640" s="332"/>
      <c r="DJ640" s="332"/>
      <c r="DK640" s="332"/>
      <c r="DL640" s="332"/>
      <c r="DM640" s="332"/>
      <c r="DN640" s="332"/>
      <c r="DO640" s="332"/>
      <c r="DP640" s="332"/>
      <c r="DQ640" s="332"/>
      <c r="DR640" s="332"/>
      <c r="DS640" s="332"/>
      <c r="DT640" s="332"/>
      <c r="DU640" s="453"/>
      <c r="DV640" s="453"/>
      <c r="DW640" s="453"/>
      <c r="DX640" s="453"/>
      <c r="DY640" s="453"/>
      <c r="DZ640" s="453"/>
      <c r="EA640" s="453"/>
      <c r="EB640" s="453"/>
      <c r="EC640" s="453"/>
      <c r="ED640" s="453"/>
      <c r="EE640" s="453"/>
      <c r="EF640" s="453"/>
      <c r="EG640" s="453"/>
      <c r="EH640" s="453"/>
      <c r="EI640" s="453"/>
      <c r="EJ640" s="453"/>
      <c r="EK640" s="453"/>
      <c r="EL640" s="453"/>
      <c r="EM640" s="483">
        <f t="shared" si="227"/>
        <v>331</v>
      </c>
      <c r="EN640" s="485"/>
      <c r="EO640" s="804"/>
      <c r="EP640" s="805"/>
      <c r="EQ640" s="806"/>
      <c r="ER640" s="808"/>
      <c r="ES640" s="881">
        <f t="shared" si="228"/>
        <v>0</v>
      </c>
      <c r="ET640" s="882"/>
      <c r="EU640" s="883"/>
      <c r="EV640" s="884">
        <f t="shared" si="226"/>
        <v>0</v>
      </c>
      <c r="EW640" s="885"/>
      <c r="EX640" s="885"/>
      <c r="EY640" s="885"/>
      <c r="EZ640" s="885"/>
      <c r="FA640" s="885"/>
      <c r="FB640" s="885"/>
      <c r="FC640" s="885"/>
      <c r="FD640" s="886"/>
      <c r="FE640" s="878"/>
      <c r="FF640" s="878"/>
      <c r="FG640" s="878"/>
      <c r="FH640" s="878"/>
      <c r="FI640" s="878"/>
      <c r="FJ640" s="878"/>
      <c r="FK640" s="878"/>
      <c r="FL640" s="555"/>
      <c r="FM640" s="554"/>
      <c r="FN640" s="554"/>
      <c r="FO640" s="554"/>
      <c r="FP640" s="554"/>
      <c r="FQ640" s="554"/>
      <c r="FR640" s="554"/>
      <c r="FS640" s="554"/>
      <c r="FT640" s="554"/>
      <c r="FU640" s="554"/>
      <c r="FV640" s="554"/>
      <c r="FW640" s="554"/>
      <c r="FX640" s="554"/>
      <c r="FY640" s="554"/>
      <c r="FZ640" s="554"/>
      <c r="GA640" s="554"/>
      <c r="GB640" s="556"/>
      <c r="GC640" s="370"/>
      <c r="GD640" s="453"/>
      <c r="GE640" s="453"/>
      <c r="GF640" s="453"/>
      <c r="GG640" s="453"/>
      <c r="GH640" s="454"/>
      <c r="GI640" s="453"/>
      <c r="GJ640" s="453"/>
      <c r="GK640" s="453"/>
      <c r="GL640" s="453"/>
      <c r="GM640" s="453"/>
      <c r="GN640" s="453"/>
      <c r="GO640" s="453"/>
      <c r="GP640" s="453"/>
      <c r="GQ640" s="453"/>
      <c r="GR640" s="453"/>
      <c r="GS640" s="561"/>
      <c r="GT640" s="475"/>
      <c r="GU640" s="472"/>
      <c r="GV640" s="453"/>
      <c r="GW640" s="453"/>
      <c r="GX640" s="869"/>
      <c r="GY640" s="870"/>
      <c r="GZ640" s="867"/>
      <c r="HA640" s="868"/>
      <c r="HB640" s="473"/>
      <c r="HC640" s="869"/>
      <c r="HD640" s="870"/>
      <c r="HE640" s="867"/>
      <c r="HF640" s="868"/>
      <c r="HG640" s="473"/>
      <c r="HH640" s="867"/>
      <c r="HI640" s="868"/>
      <c r="HJ640" s="867"/>
      <c r="HK640" s="868"/>
      <c r="HL640" s="370"/>
      <c r="HM640" s="865"/>
      <c r="HN640" s="866"/>
      <c r="HO640" s="865"/>
      <c r="HP640" s="866"/>
      <c r="HQ640" s="865"/>
      <c r="HR640" s="866"/>
      <c r="HS640" s="867"/>
      <c r="HT640" s="868"/>
      <c r="HU640" s="489"/>
      <c r="HV640" s="865"/>
      <c r="HW640" s="866"/>
    </row>
    <row r="641" spans="25:231" ht="15" customHeight="1">
      <c r="Y641" s="332"/>
      <c r="Z641" s="332"/>
      <c r="AA641" s="332"/>
      <c r="AB641" s="332"/>
      <c r="AC641" s="332"/>
      <c r="AD641" s="332"/>
      <c r="AE641" s="332"/>
      <c r="AF641" s="332"/>
      <c r="AG641" s="332"/>
      <c r="AH641" s="332"/>
      <c r="AI641" s="332"/>
      <c r="AJ641" s="332"/>
      <c r="AK641" s="332"/>
      <c r="AL641" s="332"/>
      <c r="AM641" s="332"/>
      <c r="AN641" s="332"/>
      <c r="AO641" s="332"/>
      <c r="AP641" s="332"/>
      <c r="AQ641" s="332"/>
      <c r="AR641" s="332"/>
      <c r="AS641" s="332"/>
      <c r="AT641" s="332"/>
      <c r="AU641" s="332"/>
      <c r="AV641" s="332"/>
      <c r="AW641" s="332"/>
      <c r="AX641" s="332"/>
      <c r="AY641" s="332"/>
      <c r="AZ641" s="332"/>
      <c r="BA641" s="332"/>
      <c r="BB641" s="332"/>
      <c r="BC641" s="332"/>
      <c r="BD641" s="332"/>
      <c r="BE641" s="332"/>
      <c r="BF641" s="332"/>
      <c r="BG641" s="332"/>
      <c r="BH641" s="332"/>
      <c r="BI641" s="332"/>
      <c r="BJ641" s="332"/>
      <c r="BK641" s="332"/>
      <c r="BL641" s="332"/>
      <c r="BM641" s="332"/>
      <c r="BN641" s="332"/>
      <c r="BO641" s="332"/>
      <c r="BP641" s="332"/>
      <c r="BQ641" s="332"/>
      <c r="BR641" s="332"/>
      <c r="BS641" s="332"/>
      <c r="BT641" s="332"/>
      <c r="BU641" s="332"/>
      <c r="BV641" s="332"/>
      <c r="BW641" s="332"/>
      <c r="BX641" s="332"/>
      <c r="BY641" s="332"/>
      <c r="BZ641" s="332"/>
      <c r="CA641" s="332"/>
      <c r="CB641" s="332"/>
      <c r="CC641" s="332"/>
      <c r="CD641" s="332"/>
      <c r="CE641" s="332"/>
      <c r="CF641" s="332"/>
      <c r="CG641" s="332"/>
      <c r="CH641" s="332"/>
      <c r="CI641" s="332"/>
      <c r="CJ641" s="332"/>
      <c r="CK641" s="332"/>
      <c r="CL641" s="332"/>
      <c r="CM641" s="332"/>
      <c r="CN641" s="332"/>
      <c r="CO641" s="332"/>
      <c r="CP641" s="332"/>
      <c r="CQ641" s="332"/>
      <c r="CR641" s="332"/>
      <c r="CS641" s="332"/>
      <c r="CT641" s="332"/>
      <c r="CU641" s="332"/>
      <c r="CV641" s="332"/>
      <c r="CW641" s="332"/>
      <c r="CX641" s="332"/>
      <c r="CY641" s="332"/>
      <c r="CZ641" s="332"/>
      <c r="DA641" s="332"/>
      <c r="DB641" s="332"/>
      <c r="DC641" s="332"/>
      <c r="DD641" s="332"/>
      <c r="DE641" s="332"/>
      <c r="DF641" s="332"/>
      <c r="DG641" s="332"/>
      <c r="DH641" s="332"/>
      <c r="DI641" s="332"/>
      <c r="DJ641" s="332"/>
      <c r="DK641" s="332"/>
      <c r="DL641" s="332"/>
      <c r="DM641" s="332"/>
      <c r="DN641" s="332"/>
      <c r="DO641" s="332"/>
      <c r="DP641" s="332"/>
      <c r="DQ641" s="332"/>
      <c r="DR641" s="332"/>
      <c r="DS641" s="332"/>
      <c r="DT641" s="332"/>
      <c r="DU641" s="453"/>
      <c r="DV641" s="453"/>
      <c r="DW641" s="453"/>
      <c r="DX641" s="453"/>
      <c r="DY641" s="453"/>
      <c r="DZ641" s="453"/>
      <c r="EA641" s="453"/>
      <c r="EB641" s="453"/>
      <c r="EC641" s="453"/>
      <c r="ED641" s="453"/>
      <c r="EE641" s="453"/>
      <c r="EF641" s="453"/>
      <c r="EG641" s="453"/>
      <c r="EH641" s="453"/>
      <c r="EI641" s="453"/>
      <c r="EJ641" s="453"/>
      <c r="EK641" s="453"/>
      <c r="EL641" s="453"/>
      <c r="EM641" s="483">
        <f t="shared" si="227"/>
        <v>332</v>
      </c>
      <c r="EN641" s="485"/>
      <c r="EO641" s="804"/>
      <c r="EP641" s="805"/>
      <c r="EQ641" s="806"/>
      <c r="ER641" s="808"/>
      <c r="ES641" s="881">
        <f t="shared" si="228"/>
        <v>0</v>
      </c>
      <c r="ET641" s="882"/>
      <c r="EU641" s="883"/>
      <c r="EV641" s="884">
        <f t="shared" si="226"/>
        <v>0</v>
      </c>
      <c r="EW641" s="885"/>
      <c r="EX641" s="885"/>
      <c r="EY641" s="885"/>
      <c r="EZ641" s="885"/>
      <c r="FA641" s="885"/>
      <c r="FB641" s="885"/>
      <c r="FC641" s="885"/>
      <c r="FD641" s="886"/>
      <c r="FE641" s="878"/>
      <c r="FF641" s="878"/>
      <c r="FG641" s="878"/>
      <c r="FH641" s="878"/>
      <c r="FI641" s="878"/>
      <c r="FJ641" s="878"/>
      <c r="FK641" s="878"/>
      <c r="FL641" s="555"/>
      <c r="FM641" s="554"/>
      <c r="FN641" s="554"/>
      <c r="FO641" s="554"/>
      <c r="FP641" s="554"/>
      <c r="FQ641" s="554"/>
      <c r="FR641" s="554"/>
      <c r="FS641" s="554"/>
      <c r="FT641" s="554"/>
      <c r="FU641" s="554"/>
      <c r="FV641" s="554"/>
      <c r="FW641" s="554"/>
      <c r="FX641" s="554"/>
      <c r="FY641" s="554"/>
      <c r="FZ641" s="554"/>
      <c r="GA641" s="554"/>
      <c r="GB641" s="556"/>
      <c r="GC641" s="370"/>
      <c r="GD641" s="453"/>
      <c r="GE641" s="453"/>
      <c r="GF641" s="453"/>
      <c r="GG641" s="453"/>
      <c r="GH641" s="454"/>
      <c r="GI641" s="453"/>
      <c r="GJ641" s="453"/>
      <c r="GK641" s="453"/>
      <c r="GL641" s="453"/>
      <c r="GM641" s="453"/>
      <c r="GN641" s="453"/>
      <c r="GO641" s="453"/>
      <c r="GP641" s="453"/>
      <c r="GQ641" s="453"/>
      <c r="GR641" s="453"/>
      <c r="GS641" s="561"/>
      <c r="GT641" s="475"/>
      <c r="GU641" s="472"/>
      <c r="GV641" s="453"/>
      <c r="GW641" s="453"/>
      <c r="GX641" s="869"/>
      <c r="GY641" s="870"/>
      <c r="GZ641" s="867"/>
      <c r="HA641" s="868"/>
      <c r="HB641" s="473"/>
      <c r="HC641" s="869"/>
      <c r="HD641" s="870"/>
      <c r="HE641" s="867"/>
      <c r="HF641" s="868"/>
      <c r="HG641" s="473"/>
      <c r="HH641" s="867"/>
      <c r="HI641" s="868"/>
      <c r="HJ641" s="867"/>
      <c r="HK641" s="868"/>
      <c r="HL641" s="370"/>
      <c r="HM641" s="865"/>
      <c r="HN641" s="866"/>
      <c r="HO641" s="865"/>
      <c r="HP641" s="866"/>
      <c r="HQ641" s="865"/>
      <c r="HR641" s="866"/>
      <c r="HS641" s="867"/>
      <c r="HT641" s="868"/>
      <c r="HU641" s="489"/>
      <c r="HV641" s="865"/>
      <c r="HW641" s="866"/>
    </row>
    <row r="642" spans="25:231" ht="15" customHeight="1">
      <c r="Y642" s="332"/>
      <c r="Z642" s="332"/>
      <c r="AA642" s="332"/>
      <c r="AB642" s="332"/>
      <c r="AC642" s="332"/>
      <c r="AD642" s="332"/>
      <c r="AE642" s="332"/>
      <c r="AF642" s="332"/>
      <c r="AG642" s="332"/>
      <c r="AH642" s="332"/>
      <c r="AI642" s="332"/>
      <c r="AJ642" s="332"/>
      <c r="AK642" s="332"/>
      <c r="AL642" s="332"/>
      <c r="AM642" s="332"/>
      <c r="AN642" s="332"/>
      <c r="AO642" s="332"/>
      <c r="AP642" s="332"/>
      <c r="AQ642" s="332"/>
      <c r="AR642" s="332"/>
      <c r="AS642" s="332"/>
      <c r="AT642" s="332"/>
      <c r="AU642" s="332"/>
      <c r="AV642" s="332"/>
      <c r="AW642" s="332"/>
      <c r="AX642" s="332"/>
      <c r="AY642" s="332"/>
      <c r="AZ642" s="332"/>
      <c r="BA642" s="332"/>
      <c r="BB642" s="332"/>
      <c r="BC642" s="332"/>
      <c r="BD642" s="332"/>
      <c r="BE642" s="332"/>
      <c r="BF642" s="332"/>
      <c r="BG642" s="332"/>
      <c r="BH642" s="332"/>
      <c r="BI642" s="332"/>
      <c r="BJ642" s="332"/>
      <c r="BK642" s="332"/>
      <c r="BL642" s="332"/>
      <c r="BM642" s="332"/>
      <c r="BN642" s="332"/>
      <c r="BO642" s="332"/>
      <c r="BP642" s="332"/>
      <c r="BQ642" s="332"/>
      <c r="BR642" s="332"/>
      <c r="BS642" s="332"/>
      <c r="BT642" s="332"/>
      <c r="BU642" s="332"/>
      <c r="BV642" s="332"/>
      <c r="BW642" s="332"/>
      <c r="BX642" s="332"/>
      <c r="BY642" s="332"/>
      <c r="BZ642" s="332"/>
      <c r="CA642" s="332"/>
      <c r="CB642" s="332"/>
      <c r="CC642" s="332"/>
      <c r="CD642" s="332"/>
      <c r="CE642" s="332"/>
      <c r="CF642" s="332"/>
      <c r="CG642" s="332"/>
      <c r="CH642" s="332"/>
      <c r="CI642" s="332"/>
      <c r="CJ642" s="332"/>
      <c r="CK642" s="332"/>
      <c r="CL642" s="332"/>
      <c r="CM642" s="332"/>
      <c r="CN642" s="332"/>
      <c r="CO642" s="332"/>
      <c r="CP642" s="332"/>
      <c r="CQ642" s="332"/>
      <c r="CR642" s="332"/>
      <c r="CS642" s="332"/>
      <c r="CT642" s="332"/>
      <c r="CU642" s="332"/>
      <c r="CV642" s="332"/>
      <c r="CW642" s="332"/>
      <c r="CX642" s="332"/>
      <c r="CY642" s="332"/>
      <c r="CZ642" s="332"/>
      <c r="DA642" s="332"/>
      <c r="DB642" s="332"/>
      <c r="DC642" s="332"/>
      <c r="DD642" s="332"/>
      <c r="DE642" s="332"/>
      <c r="DF642" s="332"/>
      <c r="DG642" s="332"/>
      <c r="DH642" s="332"/>
      <c r="DI642" s="332"/>
      <c r="DJ642" s="332"/>
      <c r="DK642" s="332"/>
      <c r="DL642" s="332"/>
      <c r="DM642" s="332"/>
      <c r="DN642" s="332"/>
      <c r="DO642" s="332"/>
      <c r="DP642" s="332"/>
      <c r="DQ642" s="332"/>
      <c r="DR642" s="332"/>
      <c r="DS642" s="332"/>
      <c r="DT642" s="332"/>
      <c r="DU642" s="453"/>
      <c r="DV642" s="453"/>
      <c r="DW642" s="453"/>
      <c r="DX642" s="453"/>
      <c r="DY642" s="453"/>
      <c r="DZ642" s="453"/>
      <c r="EA642" s="453"/>
      <c r="EB642" s="453"/>
      <c r="EC642" s="453"/>
      <c r="ED642" s="453"/>
      <c r="EE642" s="453"/>
      <c r="EF642" s="453"/>
      <c r="EG642" s="453"/>
      <c r="EH642" s="453"/>
      <c r="EI642" s="453"/>
      <c r="EJ642" s="453"/>
      <c r="EK642" s="453"/>
      <c r="EL642" s="453"/>
      <c r="EM642" s="483">
        <f t="shared" si="227"/>
        <v>333</v>
      </c>
      <c r="EN642" s="485"/>
      <c r="EO642" s="804"/>
      <c r="EP642" s="805"/>
      <c r="EQ642" s="806"/>
      <c r="ER642" s="808"/>
      <c r="ES642" s="881">
        <f t="shared" si="228"/>
        <v>0</v>
      </c>
      <c r="ET642" s="882"/>
      <c r="EU642" s="883"/>
      <c r="EV642" s="884">
        <f t="shared" si="226"/>
        <v>0</v>
      </c>
      <c r="EW642" s="885"/>
      <c r="EX642" s="885"/>
      <c r="EY642" s="885"/>
      <c r="EZ642" s="885"/>
      <c r="FA642" s="885"/>
      <c r="FB642" s="885"/>
      <c r="FC642" s="885"/>
      <c r="FD642" s="886"/>
      <c r="FE642" s="878"/>
      <c r="FF642" s="878"/>
      <c r="FG642" s="878"/>
      <c r="FH642" s="878"/>
      <c r="FI642" s="878"/>
      <c r="FJ642" s="878"/>
      <c r="FK642" s="878"/>
      <c r="FL642" s="555"/>
      <c r="FM642" s="554"/>
      <c r="FN642" s="554"/>
      <c r="FO642" s="554"/>
      <c r="FP642" s="554"/>
      <c r="FQ642" s="554"/>
      <c r="FR642" s="554"/>
      <c r="FS642" s="554"/>
      <c r="FT642" s="554"/>
      <c r="FU642" s="554"/>
      <c r="FV642" s="554"/>
      <c r="FW642" s="554"/>
      <c r="FX642" s="554"/>
      <c r="FY642" s="554"/>
      <c r="FZ642" s="554"/>
      <c r="GA642" s="554"/>
      <c r="GB642" s="556"/>
      <c r="GC642" s="370"/>
      <c r="GD642" s="453"/>
      <c r="GE642" s="453"/>
      <c r="GF642" s="453"/>
      <c r="GG642" s="453"/>
      <c r="GH642" s="454"/>
      <c r="GI642" s="453"/>
      <c r="GJ642" s="453"/>
      <c r="GK642" s="453"/>
      <c r="GL642" s="453"/>
      <c r="GM642" s="453"/>
      <c r="GN642" s="453"/>
      <c r="GO642" s="453"/>
      <c r="GP642" s="453"/>
      <c r="GQ642" s="453"/>
      <c r="GR642" s="453"/>
      <c r="GS642" s="561"/>
      <c r="GT642" s="475"/>
      <c r="GU642" s="472"/>
      <c r="GV642" s="453"/>
      <c r="GW642" s="453"/>
      <c r="GX642" s="869"/>
      <c r="GY642" s="870"/>
      <c r="GZ642" s="867"/>
      <c r="HA642" s="868"/>
      <c r="HB642" s="473"/>
      <c r="HC642" s="869"/>
      <c r="HD642" s="870"/>
      <c r="HE642" s="867"/>
      <c r="HF642" s="868"/>
      <c r="HG642" s="473"/>
      <c r="HH642" s="867"/>
      <c r="HI642" s="868"/>
      <c r="HJ642" s="867"/>
      <c r="HK642" s="868"/>
      <c r="HL642" s="370"/>
      <c r="HM642" s="865"/>
      <c r="HN642" s="866"/>
      <c r="HO642" s="865"/>
      <c r="HP642" s="866"/>
      <c r="HQ642" s="865"/>
      <c r="HR642" s="866"/>
      <c r="HS642" s="867"/>
      <c r="HT642" s="868"/>
      <c r="HU642" s="489"/>
      <c r="HV642" s="865"/>
      <c r="HW642" s="866"/>
    </row>
    <row r="643" spans="25:231" ht="15" customHeight="1">
      <c r="Y643" s="332"/>
      <c r="Z643" s="332"/>
      <c r="AA643" s="332"/>
      <c r="AB643" s="332"/>
      <c r="AC643" s="332"/>
      <c r="AD643" s="332"/>
      <c r="AE643" s="332"/>
      <c r="AF643" s="332"/>
      <c r="AG643" s="332"/>
      <c r="AH643" s="332"/>
      <c r="AI643" s="332"/>
      <c r="AJ643" s="332"/>
      <c r="AK643" s="332"/>
      <c r="AL643" s="332"/>
      <c r="AM643" s="332"/>
      <c r="AN643" s="332"/>
      <c r="AO643" s="332"/>
      <c r="AP643" s="332"/>
      <c r="AQ643" s="332"/>
      <c r="AR643" s="332"/>
      <c r="AS643" s="332"/>
      <c r="AT643" s="332"/>
      <c r="AU643" s="332"/>
      <c r="AV643" s="332"/>
      <c r="AW643" s="332"/>
      <c r="AX643" s="332"/>
      <c r="AY643" s="332"/>
      <c r="AZ643" s="332"/>
      <c r="BA643" s="332"/>
      <c r="BB643" s="332"/>
      <c r="BC643" s="332"/>
      <c r="BD643" s="332"/>
      <c r="BE643" s="332"/>
      <c r="BF643" s="332"/>
      <c r="BG643" s="332"/>
      <c r="BH643" s="332"/>
      <c r="BI643" s="332"/>
      <c r="BJ643" s="332"/>
      <c r="BK643" s="332"/>
      <c r="BL643" s="332"/>
      <c r="BM643" s="332"/>
      <c r="BN643" s="332"/>
      <c r="BO643" s="332"/>
      <c r="BP643" s="332"/>
      <c r="BQ643" s="332"/>
      <c r="BR643" s="332"/>
      <c r="BS643" s="332"/>
      <c r="BT643" s="332"/>
      <c r="BU643" s="332"/>
      <c r="BV643" s="332"/>
      <c r="BW643" s="332"/>
      <c r="BX643" s="332"/>
      <c r="BY643" s="332"/>
      <c r="BZ643" s="332"/>
      <c r="CA643" s="332"/>
      <c r="CB643" s="332"/>
      <c r="CC643" s="332"/>
      <c r="CD643" s="332"/>
      <c r="CE643" s="332"/>
      <c r="CF643" s="332"/>
      <c r="CG643" s="332"/>
      <c r="CH643" s="332"/>
      <c r="CI643" s="332"/>
      <c r="CJ643" s="332"/>
      <c r="CK643" s="332"/>
      <c r="CL643" s="332"/>
      <c r="CM643" s="332"/>
      <c r="CN643" s="332"/>
      <c r="CO643" s="332"/>
      <c r="CP643" s="332"/>
      <c r="CQ643" s="332"/>
      <c r="CR643" s="332"/>
      <c r="CS643" s="332"/>
      <c r="CT643" s="332"/>
      <c r="CU643" s="332"/>
      <c r="CV643" s="332"/>
      <c r="CW643" s="332"/>
      <c r="CX643" s="332"/>
      <c r="CY643" s="332"/>
      <c r="CZ643" s="332"/>
      <c r="DA643" s="332"/>
      <c r="DB643" s="332"/>
      <c r="DC643" s="332"/>
      <c r="DD643" s="332"/>
      <c r="DE643" s="332"/>
      <c r="DF643" s="332"/>
      <c r="DG643" s="332"/>
      <c r="DH643" s="332"/>
      <c r="DI643" s="332"/>
      <c r="DJ643" s="332"/>
      <c r="DK643" s="332"/>
      <c r="DL643" s="332"/>
      <c r="DM643" s="332"/>
      <c r="DN643" s="332"/>
      <c r="DO643" s="332"/>
      <c r="DP643" s="332"/>
      <c r="DQ643" s="332"/>
      <c r="DR643" s="332"/>
      <c r="DS643" s="332"/>
      <c r="DT643" s="332"/>
      <c r="DU643" s="453"/>
      <c r="DV643" s="453"/>
      <c r="DW643" s="453"/>
      <c r="DX643" s="453"/>
      <c r="DY643" s="453"/>
      <c r="DZ643" s="453"/>
      <c r="EA643" s="453"/>
      <c r="EB643" s="453"/>
      <c r="EC643" s="453"/>
      <c r="ED643" s="453"/>
      <c r="EE643" s="453"/>
      <c r="EF643" s="453"/>
      <c r="EG643" s="453"/>
      <c r="EH643" s="453"/>
      <c r="EI643" s="453"/>
      <c r="EJ643" s="453"/>
      <c r="EK643" s="453"/>
      <c r="EL643" s="453"/>
      <c r="EM643" s="483">
        <f t="shared" si="227"/>
        <v>334</v>
      </c>
      <c r="EN643" s="485"/>
      <c r="EO643" s="804"/>
      <c r="EP643" s="805"/>
      <c r="EQ643" s="806"/>
      <c r="ER643" s="808"/>
      <c r="ES643" s="881">
        <f t="shared" si="228"/>
        <v>0</v>
      </c>
      <c r="ET643" s="882"/>
      <c r="EU643" s="883"/>
      <c r="EV643" s="884">
        <f t="shared" si="226"/>
        <v>0</v>
      </c>
      <c r="EW643" s="885"/>
      <c r="EX643" s="885"/>
      <c r="EY643" s="885"/>
      <c r="EZ643" s="885"/>
      <c r="FA643" s="885"/>
      <c r="FB643" s="885"/>
      <c r="FC643" s="885"/>
      <c r="FD643" s="886"/>
      <c r="FE643" s="878"/>
      <c r="FF643" s="878"/>
      <c r="FG643" s="878"/>
      <c r="FH643" s="878"/>
      <c r="FI643" s="878"/>
      <c r="FJ643" s="878"/>
      <c r="FK643" s="878"/>
      <c r="FL643" s="555"/>
      <c r="FM643" s="554"/>
      <c r="FN643" s="554"/>
      <c r="FO643" s="554"/>
      <c r="FP643" s="554"/>
      <c r="FQ643" s="554"/>
      <c r="FR643" s="554"/>
      <c r="FS643" s="554"/>
      <c r="FT643" s="554"/>
      <c r="FU643" s="554"/>
      <c r="FV643" s="554"/>
      <c r="FW643" s="554"/>
      <c r="FX643" s="554"/>
      <c r="FY643" s="554"/>
      <c r="FZ643" s="554"/>
      <c r="GA643" s="554"/>
      <c r="GB643" s="556"/>
      <c r="GC643" s="370"/>
      <c r="GD643" s="453"/>
      <c r="GE643" s="453"/>
      <c r="GF643" s="453"/>
      <c r="GG643" s="453"/>
      <c r="GH643" s="454"/>
      <c r="GI643" s="453"/>
      <c r="GJ643" s="453"/>
      <c r="GK643" s="453"/>
      <c r="GL643" s="453"/>
      <c r="GM643" s="453"/>
      <c r="GN643" s="453"/>
      <c r="GO643" s="453"/>
      <c r="GP643" s="453"/>
      <c r="GQ643" s="453"/>
      <c r="GR643" s="453"/>
      <c r="GS643" s="561"/>
      <c r="GT643" s="475"/>
      <c r="GU643" s="472"/>
      <c r="GV643" s="453"/>
      <c r="GW643" s="453"/>
      <c r="GX643" s="869"/>
      <c r="GY643" s="870"/>
      <c r="GZ643" s="867"/>
      <c r="HA643" s="868"/>
      <c r="HB643" s="473"/>
      <c r="HC643" s="869"/>
      <c r="HD643" s="870"/>
      <c r="HE643" s="867"/>
      <c r="HF643" s="868"/>
      <c r="HG643" s="473"/>
      <c r="HH643" s="867"/>
      <c r="HI643" s="868"/>
      <c r="HJ643" s="867"/>
      <c r="HK643" s="868"/>
      <c r="HL643" s="370"/>
      <c r="HM643" s="865"/>
      <c r="HN643" s="866"/>
      <c r="HO643" s="865"/>
      <c r="HP643" s="866"/>
      <c r="HQ643" s="865"/>
      <c r="HR643" s="866"/>
      <c r="HS643" s="867"/>
      <c r="HT643" s="868"/>
      <c r="HU643" s="489"/>
      <c r="HV643" s="865"/>
      <c r="HW643" s="866"/>
    </row>
    <row r="644" spans="25:231" ht="15" customHeight="1">
      <c r="Y644" s="332"/>
      <c r="Z644" s="332"/>
      <c r="AA644" s="332"/>
      <c r="AB644" s="332"/>
      <c r="AC644" s="332"/>
      <c r="AD644" s="332"/>
      <c r="AE644" s="332"/>
      <c r="AF644" s="332"/>
      <c r="AG644" s="332"/>
      <c r="AH644" s="332"/>
      <c r="AI644" s="332"/>
      <c r="AJ644" s="332"/>
      <c r="AK644" s="332"/>
      <c r="AL644" s="332"/>
      <c r="AM644" s="332"/>
      <c r="AN644" s="332"/>
      <c r="AO644" s="332"/>
      <c r="AP644" s="332"/>
      <c r="AQ644" s="332"/>
      <c r="AR644" s="332"/>
      <c r="AS644" s="332"/>
      <c r="AT644" s="332"/>
      <c r="AU644" s="332"/>
      <c r="AV644" s="332"/>
      <c r="AW644" s="332"/>
      <c r="AX644" s="332"/>
      <c r="AY644" s="332"/>
      <c r="AZ644" s="332"/>
      <c r="BA644" s="332"/>
      <c r="BB644" s="332"/>
      <c r="BC644" s="332"/>
      <c r="BD644" s="332"/>
      <c r="BE644" s="332"/>
      <c r="BF644" s="332"/>
      <c r="BG644" s="332"/>
      <c r="BH644" s="332"/>
      <c r="BI644" s="332"/>
      <c r="BJ644" s="332"/>
      <c r="BK644" s="332"/>
      <c r="BL644" s="332"/>
      <c r="BM644" s="332"/>
      <c r="BN644" s="332"/>
      <c r="BO644" s="332"/>
      <c r="BP644" s="332"/>
      <c r="BQ644" s="332"/>
      <c r="BR644" s="332"/>
      <c r="BS644" s="332"/>
      <c r="BT644" s="332"/>
      <c r="BU644" s="332"/>
      <c r="BV644" s="332"/>
      <c r="BW644" s="332"/>
      <c r="BX644" s="332"/>
      <c r="BY644" s="332"/>
      <c r="BZ644" s="332"/>
      <c r="CA644" s="332"/>
      <c r="CB644" s="332"/>
      <c r="CC644" s="332"/>
      <c r="CD644" s="332"/>
      <c r="CE644" s="332"/>
      <c r="CF644" s="332"/>
      <c r="CG644" s="332"/>
      <c r="CH644" s="332"/>
      <c r="CI644" s="332"/>
      <c r="CJ644" s="332"/>
      <c r="CK644" s="332"/>
      <c r="CL644" s="332"/>
      <c r="CM644" s="332"/>
      <c r="CN644" s="332"/>
      <c r="CO644" s="332"/>
      <c r="CP644" s="332"/>
      <c r="CQ644" s="332"/>
      <c r="CR644" s="332"/>
      <c r="CS644" s="332"/>
      <c r="CT644" s="332"/>
      <c r="CU644" s="332"/>
      <c r="CV644" s="332"/>
      <c r="CW644" s="332"/>
      <c r="CX644" s="332"/>
      <c r="CY644" s="332"/>
      <c r="CZ644" s="332"/>
      <c r="DA644" s="332"/>
      <c r="DB644" s="332"/>
      <c r="DC644" s="332"/>
      <c r="DD644" s="332"/>
      <c r="DE644" s="332"/>
      <c r="DF644" s="332"/>
      <c r="DG644" s="332"/>
      <c r="DH644" s="332"/>
      <c r="DI644" s="332"/>
      <c r="DJ644" s="332"/>
      <c r="DK644" s="332"/>
      <c r="DL644" s="332"/>
      <c r="DM644" s="332"/>
      <c r="DN644" s="332"/>
      <c r="DO644" s="332"/>
      <c r="DP644" s="332"/>
      <c r="DQ644" s="332"/>
      <c r="DR644" s="332"/>
      <c r="DS644" s="332"/>
      <c r="DT644" s="332"/>
      <c r="DU644" s="453"/>
      <c r="DV644" s="453"/>
      <c r="DW644" s="453"/>
      <c r="DX644" s="453"/>
      <c r="DY644" s="453"/>
      <c r="DZ644" s="453"/>
      <c r="EA644" s="453"/>
      <c r="EB644" s="453"/>
      <c r="EC644" s="453"/>
      <c r="ED644" s="453"/>
      <c r="EE644" s="453"/>
      <c r="EF644" s="453"/>
      <c r="EG644" s="453"/>
      <c r="EH644" s="453"/>
      <c r="EI644" s="453"/>
      <c r="EJ644" s="453"/>
      <c r="EK644" s="453"/>
      <c r="EL644" s="453"/>
      <c r="EM644" s="483">
        <f t="shared" si="227"/>
        <v>335</v>
      </c>
      <c r="EN644" s="485"/>
      <c r="EO644" s="804"/>
      <c r="EP644" s="805"/>
      <c r="EQ644" s="806"/>
      <c r="ER644" s="808"/>
      <c r="ES644" s="881">
        <f t="shared" si="228"/>
        <v>0</v>
      </c>
      <c r="ET644" s="882"/>
      <c r="EU644" s="883"/>
      <c r="EV644" s="884">
        <f t="shared" si="226"/>
        <v>0</v>
      </c>
      <c r="EW644" s="885"/>
      <c r="EX644" s="885"/>
      <c r="EY644" s="885"/>
      <c r="EZ644" s="885"/>
      <c r="FA644" s="885"/>
      <c r="FB644" s="885"/>
      <c r="FC644" s="885"/>
      <c r="FD644" s="886"/>
      <c r="FE644" s="878"/>
      <c r="FF644" s="878"/>
      <c r="FG644" s="878"/>
      <c r="FH644" s="878"/>
      <c r="FI644" s="878"/>
      <c r="FJ644" s="878"/>
      <c r="FK644" s="878"/>
      <c r="FL644" s="555"/>
      <c r="FM644" s="554"/>
      <c r="FN644" s="554"/>
      <c r="FO644" s="554"/>
      <c r="FP644" s="554"/>
      <c r="FQ644" s="554"/>
      <c r="FR644" s="554"/>
      <c r="FS644" s="554"/>
      <c r="FT644" s="554"/>
      <c r="FU644" s="554"/>
      <c r="FV644" s="554"/>
      <c r="FW644" s="554"/>
      <c r="FX644" s="554"/>
      <c r="FY644" s="554"/>
      <c r="FZ644" s="554"/>
      <c r="GA644" s="554"/>
      <c r="GB644" s="556"/>
      <c r="GC644" s="370"/>
      <c r="GD644" s="453"/>
      <c r="GE644" s="453"/>
      <c r="GF644" s="453"/>
      <c r="GG644" s="453"/>
      <c r="GH644" s="454"/>
      <c r="GI644" s="453"/>
      <c r="GJ644" s="453"/>
      <c r="GK644" s="453"/>
      <c r="GL644" s="453"/>
      <c r="GM644" s="453"/>
      <c r="GN644" s="453"/>
      <c r="GO644" s="453"/>
      <c r="GP644" s="453"/>
      <c r="GQ644" s="453"/>
      <c r="GR644" s="453"/>
      <c r="GS644" s="561"/>
      <c r="GT644" s="475"/>
      <c r="GU644" s="472"/>
      <c r="GV644" s="453"/>
      <c r="GW644" s="453"/>
      <c r="GX644" s="869"/>
      <c r="GY644" s="870"/>
      <c r="GZ644" s="867"/>
      <c r="HA644" s="868"/>
      <c r="HB644" s="473"/>
      <c r="HC644" s="869"/>
      <c r="HD644" s="870"/>
      <c r="HE644" s="867"/>
      <c r="HF644" s="868"/>
      <c r="HG644" s="473"/>
      <c r="HH644" s="867"/>
      <c r="HI644" s="868"/>
      <c r="HJ644" s="867"/>
      <c r="HK644" s="868"/>
      <c r="HL644" s="370"/>
      <c r="HM644" s="865"/>
      <c r="HN644" s="866"/>
      <c r="HO644" s="865"/>
      <c r="HP644" s="866"/>
      <c r="HQ644" s="865"/>
      <c r="HR644" s="866"/>
      <c r="HS644" s="867"/>
      <c r="HT644" s="868"/>
      <c r="HU644" s="489"/>
      <c r="HV644" s="865"/>
      <c r="HW644" s="866"/>
    </row>
    <row r="645" spans="25:231" ht="15" customHeight="1">
      <c r="Y645" s="332"/>
      <c r="Z645" s="332"/>
      <c r="AA645" s="332"/>
      <c r="AB645" s="332"/>
      <c r="AC645" s="332"/>
      <c r="AD645" s="332"/>
      <c r="AE645" s="332"/>
      <c r="AF645" s="332"/>
      <c r="AG645" s="332"/>
      <c r="AH645" s="332"/>
      <c r="AI645" s="332"/>
      <c r="AJ645" s="332"/>
      <c r="AK645" s="332"/>
      <c r="AL645" s="332"/>
      <c r="AM645" s="332"/>
      <c r="AN645" s="332"/>
      <c r="AO645" s="332"/>
      <c r="AP645" s="332"/>
      <c r="AQ645" s="332"/>
      <c r="AR645" s="332"/>
      <c r="AS645" s="332"/>
      <c r="AT645" s="332"/>
      <c r="AU645" s="332"/>
      <c r="AV645" s="332"/>
      <c r="AW645" s="332"/>
      <c r="AX645" s="332"/>
      <c r="AY645" s="332"/>
      <c r="AZ645" s="332"/>
      <c r="BA645" s="332"/>
      <c r="BB645" s="332"/>
      <c r="BC645" s="332"/>
      <c r="BD645" s="332"/>
      <c r="BE645" s="332"/>
      <c r="BF645" s="332"/>
      <c r="BG645" s="332"/>
      <c r="BH645" s="332"/>
      <c r="BI645" s="332"/>
      <c r="BJ645" s="332"/>
      <c r="BK645" s="332"/>
      <c r="BL645" s="332"/>
      <c r="BM645" s="332"/>
      <c r="BN645" s="332"/>
      <c r="BO645" s="332"/>
      <c r="BP645" s="332"/>
      <c r="BQ645" s="332"/>
      <c r="BR645" s="332"/>
      <c r="BS645" s="332"/>
      <c r="BT645" s="332"/>
      <c r="BU645" s="332"/>
      <c r="BV645" s="332"/>
      <c r="BW645" s="332"/>
      <c r="BX645" s="332"/>
      <c r="BY645" s="332"/>
      <c r="BZ645" s="332"/>
      <c r="CA645" s="332"/>
      <c r="CB645" s="332"/>
      <c r="CC645" s="332"/>
      <c r="CD645" s="332"/>
      <c r="CE645" s="332"/>
      <c r="CF645" s="332"/>
      <c r="CG645" s="332"/>
      <c r="CH645" s="332"/>
      <c r="CI645" s="332"/>
      <c r="CJ645" s="332"/>
      <c r="CK645" s="332"/>
      <c r="CL645" s="332"/>
      <c r="CM645" s="332"/>
      <c r="CN645" s="332"/>
      <c r="CO645" s="332"/>
      <c r="CP645" s="332"/>
      <c r="CQ645" s="332"/>
      <c r="CR645" s="332"/>
      <c r="CS645" s="332"/>
      <c r="CT645" s="332"/>
      <c r="CU645" s="332"/>
      <c r="CV645" s="332"/>
      <c r="CW645" s="332"/>
      <c r="CX645" s="332"/>
      <c r="CY645" s="332"/>
      <c r="CZ645" s="332"/>
      <c r="DA645" s="332"/>
      <c r="DB645" s="332"/>
      <c r="DC645" s="332"/>
      <c r="DD645" s="332"/>
      <c r="DE645" s="332"/>
      <c r="DF645" s="332"/>
      <c r="DG645" s="332"/>
      <c r="DH645" s="332"/>
      <c r="DI645" s="332"/>
      <c r="DJ645" s="332"/>
      <c r="DK645" s="332"/>
      <c r="DL645" s="332"/>
      <c r="DM645" s="332"/>
      <c r="DN645" s="332"/>
      <c r="DO645" s="332"/>
      <c r="DP645" s="332"/>
      <c r="DQ645" s="332"/>
      <c r="DR645" s="332"/>
      <c r="DS645" s="332"/>
      <c r="DT645" s="332"/>
      <c r="DU645" s="453"/>
      <c r="DV645" s="453"/>
      <c r="DW645" s="453"/>
      <c r="DX645" s="453"/>
      <c r="DY645" s="453"/>
      <c r="DZ645" s="453"/>
      <c r="EA645" s="453"/>
      <c r="EB645" s="453"/>
      <c r="EC645" s="453"/>
      <c r="ED645" s="453"/>
      <c r="EE645" s="453"/>
      <c r="EF645" s="453"/>
      <c r="EG645" s="453"/>
      <c r="EH645" s="453"/>
      <c r="EI645" s="453"/>
      <c r="EJ645" s="453"/>
      <c r="EK645" s="453"/>
      <c r="EL645" s="453"/>
      <c r="EM645" s="483">
        <f t="shared" si="227"/>
        <v>336</v>
      </c>
      <c r="EN645" s="485"/>
      <c r="EO645" s="804"/>
      <c r="EP645" s="805"/>
      <c r="EQ645" s="806"/>
      <c r="ER645" s="808"/>
      <c r="ES645" s="881">
        <f t="shared" si="228"/>
        <v>0</v>
      </c>
      <c r="ET645" s="882"/>
      <c r="EU645" s="883"/>
      <c r="EV645" s="884">
        <f t="shared" si="226"/>
        <v>0</v>
      </c>
      <c r="EW645" s="885"/>
      <c r="EX645" s="885"/>
      <c r="EY645" s="885"/>
      <c r="EZ645" s="885"/>
      <c r="FA645" s="885"/>
      <c r="FB645" s="885"/>
      <c r="FC645" s="885"/>
      <c r="FD645" s="886"/>
      <c r="FE645" s="878"/>
      <c r="FF645" s="878"/>
      <c r="FG645" s="878"/>
      <c r="FH645" s="878"/>
      <c r="FI645" s="878"/>
      <c r="FJ645" s="878"/>
      <c r="FK645" s="878"/>
      <c r="FL645" s="555"/>
      <c r="FM645" s="554"/>
      <c r="FN645" s="554"/>
      <c r="FO645" s="554"/>
      <c r="FP645" s="554"/>
      <c r="FQ645" s="554"/>
      <c r="FR645" s="554"/>
      <c r="FS645" s="554"/>
      <c r="FT645" s="554"/>
      <c r="FU645" s="554"/>
      <c r="FV645" s="554"/>
      <c r="FW645" s="554"/>
      <c r="FX645" s="554"/>
      <c r="FY645" s="554"/>
      <c r="FZ645" s="554"/>
      <c r="GA645" s="554"/>
      <c r="GB645" s="556"/>
      <c r="GC645" s="370"/>
      <c r="GD645" s="453"/>
      <c r="GE645" s="453"/>
      <c r="GF645" s="453"/>
      <c r="GG645" s="453"/>
      <c r="GH645" s="454"/>
      <c r="GI645" s="453"/>
      <c r="GJ645" s="453"/>
      <c r="GK645" s="453"/>
      <c r="GL645" s="453"/>
      <c r="GM645" s="453"/>
      <c r="GN645" s="453"/>
      <c r="GO645" s="453"/>
      <c r="GP645" s="453"/>
      <c r="GQ645" s="453"/>
      <c r="GR645" s="453"/>
      <c r="GS645" s="561"/>
      <c r="GT645" s="475"/>
      <c r="GU645" s="472"/>
      <c r="GV645" s="453"/>
      <c r="GW645" s="453"/>
      <c r="GX645" s="869"/>
      <c r="GY645" s="870"/>
      <c r="GZ645" s="867"/>
      <c r="HA645" s="868"/>
      <c r="HB645" s="473"/>
      <c r="HC645" s="869"/>
      <c r="HD645" s="870"/>
      <c r="HE645" s="867"/>
      <c r="HF645" s="868"/>
      <c r="HG645" s="473"/>
      <c r="HH645" s="867"/>
      <c r="HI645" s="868"/>
      <c r="HJ645" s="867"/>
      <c r="HK645" s="868"/>
      <c r="HL645" s="370"/>
      <c r="HM645" s="865"/>
      <c r="HN645" s="866"/>
      <c r="HO645" s="865"/>
      <c r="HP645" s="866"/>
      <c r="HQ645" s="865"/>
      <c r="HR645" s="866"/>
      <c r="HS645" s="867"/>
      <c r="HT645" s="868"/>
      <c r="HU645" s="489"/>
      <c r="HV645" s="865"/>
      <c r="HW645" s="866"/>
    </row>
    <row r="646" spans="25:231" ht="15" customHeight="1">
      <c r="Y646" s="332"/>
      <c r="Z646" s="332"/>
      <c r="AA646" s="332"/>
      <c r="AB646" s="332"/>
      <c r="AC646" s="332"/>
      <c r="AD646" s="332"/>
      <c r="AE646" s="332"/>
      <c r="AF646" s="332"/>
      <c r="AG646" s="332"/>
      <c r="AH646" s="332"/>
      <c r="AI646" s="332"/>
      <c r="AJ646" s="332"/>
      <c r="AK646" s="332"/>
      <c r="AL646" s="332"/>
      <c r="AM646" s="332"/>
      <c r="AN646" s="332"/>
      <c r="AO646" s="332"/>
      <c r="AP646" s="332"/>
      <c r="AQ646" s="332"/>
      <c r="AR646" s="332"/>
      <c r="AS646" s="332"/>
      <c r="AT646" s="332"/>
      <c r="AU646" s="332"/>
      <c r="AV646" s="332"/>
      <c r="AW646" s="332"/>
      <c r="AX646" s="332"/>
      <c r="AY646" s="332"/>
      <c r="AZ646" s="332"/>
      <c r="BA646" s="332"/>
      <c r="BB646" s="332"/>
      <c r="BC646" s="332"/>
      <c r="BD646" s="332"/>
      <c r="BE646" s="332"/>
      <c r="BF646" s="332"/>
      <c r="BG646" s="332"/>
      <c r="BH646" s="332"/>
      <c r="BI646" s="332"/>
      <c r="BJ646" s="332"/>
      <c r="BK646" s="332"/>
      <c r="BL646" s="332"/>
      <c r="BM646" s="332"/>
      <c r="BN646" s="332"/>
      <c r="BO646" s="332"/>
      <c r="BP646" s="332"/>
      <c r="BQ646" s="332"/>
      <c r="BR646" s="332"/>
      <c r="BS646" s="332"/>
      <c r="BT646" s="332"/>
      <c r="BU646" s="332"/>
      <c r="BV646" s="332"/>
      <c r="BW646" s="332"/>
      <c r="BX646" s="332"/>
      <c r="BY646" s="332"/>
      <c r="BZ646" s="332"/>
      <c r="CA646" s="332"/>
      <c r="CB646" s="332"/>
      <c r="CC646" s="332"/>
      <c r="CD646" s="332"/>
      <c r="CE646" s="332"/>
      <c r="CF646" s="332"/>
      <c r="CG646" s="332"/>
      <c r="CH646" s="332"/>
      <c r="CI646" s="332"/>
      <c r="CJ646" s="332"/>
      <c r="CK646" s="332"/>
      <c r="CL646" s="332"/>
      <c r="CM646" s="332"/>
      <c r="CN646" s="332"/>
      <c r="CO646" s="332"/>
      <c r="CP646" s="332"/>
      <c r="CQ646" s="332"/>
      <c r="CR646" s="332"/>
      <c r="CS646" s="332"/>
      <c r="CT646" s="332"/>
      <c r="CU646" s="332"/>
      <c r="CV646" s="332"/>
      <c r="CW646" s="332"/>
      <c r="CX646" s="332"/>
      <c r="CY646" s="332"/>
      <c r="CZ646" s="332"/>
      <c r="DA646" s="332"/>
      <c r="DB646" s="332"/>
      <c r="DC646" s="332"/>
      <c r="DD646" s="332"/>
      <c r="DE646" s="332"/>
      <c r="DF646" s="332"/>
      <c r="DG646" s="332"/>
      <c r="DH646" s="332"/>
      <c r="DI646" s="332"/>
      <c r="DJ646" s="332"/>
      <c r="DK646" s="332"/>
      <c r="DL646" s="332"/>
      <c r="DM646" s="332"/>
      <c r="DN646" s="332"/>
      <c r="DO646" s="332"/>
      <c r="DP646" s="332"/>
      <c r="DQ646" s="332"/>
      <c r="DR646" s="332"/>
      <c r="DS646" s="332"/>
      <c r="DT646" s="332"/>
      <c r="DU646" s="453"/>
      <c r="DV646" s="453"/>
      <c r="DW646" s="453"/>
      <c r="DX646" s="453"/>
      <c r="DY646" s="453"/>
      <c r="DZ646" s="453"/>
      <c r="EA646" s="453"/>
      <c r="EB646" s="453"/>
      <c r="EC646" s="453"/>
      <c r="ED646" s="453"/>
      <c r="EE646" s="453"/>
      <c r="EF646" s="453"/>
      <c r="EG646" s="453"/>
      <c r="EH646" s="453"/>
      <c r="EI646" s="453"/>
      <c r="EJ646" s="453"/>
      <c r="EK646" s="453"/>
      <c r="EL646" s="453"/>
      <c r="EM646" s="483">
        <f t="shared" si="227"/>
        <v>337</v>
      </c>
      <c r="EN646" s="485"/>
      <c r="EO646" s="804"/>
      <c r="EP646" s="805"/>
      <c r="EQ646" s="806"/>
      <c r="ER646" s="808"/>
      <c r="ES646" s="881">
        <f t="shared" si="228"/>
        <v>0</v>
      </c>
      <c r="ET646" s="882"/>
      <c r="EU646" s="883"/>
      <c r="EV646" s="884">
        <f t="shared" si="226"/>
        <v>0</v>
      </c>
      <c r="EW646" s="885"/>
      <c r="EX646" s="885"/>
      <c r="EY646" s="885"/>
      <c r="EZ646" s="885"/>
      <c r="FA646" s="885"/>
      <c r="FB646" s="885"/>
      <c r="FC646" s="885"/>
      <c r="FD646" s="886"/>
      <c r="FE646" s="878"/>
      <c r="FF646" s="878"/>
      <c r="FG646" s="878"/>
      <c r="FH646" s="878"/>
      <c r="FI646" s="878"/>
      <c r="FJ646" s="878"/>
      <c r="FK646" s="878"/>
      <c r="FL646" s="555"/>
      <c r="FM646" s="554"/>
      <c r="FN646" s="554"/>
      <c r="FO646" s="554"/>
      <c r="FP646" s="554"/>
      <c r="FQ646" s="554"/>
      <c r="FR646" s="554"/>
      <c r="FS646" s="554"/>
      <c r="FT646" s="554"/>
      <c r="FU646" s="554"/>
      <c r="FV646" s="554"/>
      <c r="FW646" s="554"/>
      <c r="FX646" s="554"/>
      <c r="FY646" s="554"/>
      <c r="FZ646" s="554"/>
      <c r="GA646" s="554"/>
      <c r="GB646" s="556"/>
      <c r="GC646" s="370"/>
      <c r="GD646" s="453"/>
      <c r="GE646" s="453"/>
      <c r="GF646" s="453"/>
      <c r="GG646" s="453"/>
      <c r="GH646" s="454"/>
      <c r="GI646" s="453"/>
      <c r="GJ646" s="453"/>
      <c r="GK646" s="453"/>
      <c r="GL646" s="453"/>
      <c r="GM646" s="453"/>
      <c r="GN646" s="453"/>
      <c r="GO646" s="453"/>
      <c r="GP646" s="453"/>
      <c r="GQ646" s="453"/>
      <c r="GR646" s="453"/>
      <c r="GS646" s="561"/>
      <c r="GT646" s="475"/>
      <c r="GU646" s="472"/>
      <c r="GV646" s="453"/>
      <c r="GW646" s="453"/>
      <c r="GX646" s="869"/>
      <c r="GY646" s="870"/>
      <c r="GZ646" s="867"/>
      <c r="HA646" s="868"/>
      <c r="HB646" s="473"/>
      <c r="HC646" s="869"/>
      <c r="HD646" s="870"/>
      <c r="HE646" s="867"/>
      <c r="HF646" s="868"/>
      <c r="HG646" s="473"/>
      <c r="HH646" s="867"/>
      <c r="HI646" s="868"/>
      <c r="HJ646" s="867"/>
      <c r="HK646" s="868"/>
      <c r="HL646" s="370"/>
      <c r="HM646" s="865"/>
      <c r="HN646" s="866"/>
      <c r="HO646" s="865"/>
      <c r="HP646" s="866"/>
      <c r="HQ646" s="865"/>
      <c r="HR646" s="866"/>
      <c r="HS646" s="867"/>
      <c r="HT646" s="868"/>
      <c r="HU646" s="489"/>
      <c r="HV646" s="865"/>
      <c r="HW646" s="866"/>
    </row>
    <row r="647" spans="25:231" ht="15" customHeight="1">
      <c r="Y647" s="332"/>
      <c r="Z647" s="332"/>
      <c r="AA647" s="332"/>
      <c r="AB647" s="332"/>
      <c r="AC647" s="332"/>
      <c r="AD647" s="332"/>
      <c r="AE647" s="332"/>
      <c r="AF647" s="332"/>
      <c r="AG647" s="332"/>
      <c r="AH647" s="332"/>
      <c r="AI647" s="332"/>
      <c r="AJ647" s="332"/>
      <c r="AK647" s="332"/>
      <c r="AL647" s="332"/>
      <c r="AM647" s="332"/>
      <c r="AN647" s="332"/>
      <c r="AO647" s="332"/>
      <c r="AP647" s="332"/>
      <c r="AQ647" s="332"/>
      <c r="AR647" s="332"/>
      <c r="AS647" s="332"/>
      <c r="AT647" s="332"/>
      <c r="AU647" s="332"/>
      <c r="AV647" s="332"/>
      <c r="AW647" s="332"/>
      <c r="AX647" s="332"/>
      <c r="AY647" s="332"/>
      <c r="AZ647" s="332"/>
      <c r="BA647" s="332"/>
      <c r="BB647" s="332"/>
      <c r="BC647" s="332"/>
      <c r="BD647" s="332"/>
      <c r="BE647" s="332"/>
      <c r="BF647" s="332"/>
      <c r="BG647" s="332"/>
      <c r="BH647" s="332"/>
      <c r="BI647" s="332"/>
      <c r="BJ647" s="332"/>
      <c r="BK647" s="332"/>
      <c r="BL647" s="332"/>
      <c r="BM647" s="332"/>
      <c r="BN647" s="332"/>
      <c r="BO647" s="332"/>
      <c r="BP647" s="332"/>
      <c r="BQ647" s="332"/>
      <c r="BR647" s="332"/>
      <c r="BS647" s="332"/>
      <c r="BT647" s="332"/>
      <c r="BU647" s="332"/>
      <c r="BV647" s="332"/>
      <c r="BW647" s="332"/>
      <c r="BX647" s="332"/>
      <c r="BY647" s="332"/>
      <c r="BZ647" s="332"/>
      <c r="CA647" s="332"/>
      <c r="CB647" s="332"/>
      <c r="CC647" s="332"/>
      <c r="CD647" s="332"/>
      <c r="CE647" s="332"/>
      <c r="CF647" s="332"/>
      <c r="CG647" s="332"/>
      <c r="CH647" s="332"/>
      <c r="CI647" s="332"/>
      <c r="CJ647" s="332"/>
      <c r="CK647" s="332"/>
      <c r="CL647" s="332"/>
      <c r="CM647" s="332"/>
      <c r="CN647" s="332"/>
      <c r="CO647" s="332"/>
      <c r="CP647" s="332"/>
      <c r="CQ647" s="332"/>
      <c r="CR647" s="332"/>
      <c r="CS647" s="332"/>
      <c r="CT647" s="332"/>
      <c r="CU647" s="332"/>
      <c r="CV647" s="332"/>
      <c r="CW647" s="332"/>
      <c r="CX647" s="332"/>
      <c r="CY647" s="332"/>
      <c r="CZ647" s="332"/>
      <c r="DA647" s="332"/>
      <c r="DB647" s="332"/>
      <c r="DC647" s="332"/>
      <c r="DD647" s="332"/>
      <c r="DE647" s="332"/>
      <c r="DF647" s="332"/>
      <c r="DG647" s="332"/>
      <c r="DH647" s="332"/>
      <c r="DI647" s="332"/>
      <c r="DJ647" s="332"/>
      <c r="DK647" s="332"/>
      <c r="DL647" s="332"/>
      <c r="DM647" s="332"/>
      <c r="DN647" s="332"/>
      <c r="DO647" s="332"/>
      <c r="DP647" s="332"/>
      <c r="DQ647" s="332"/>
      <c r="DR647" s="332"/>
      <c r="DS647" s="332"/>
      <c r="DT647" s="332"/>
      <c r="DU647" s="453"/>
      <c r="DV647" s="453"/>
      <c r="DW647" s="453"/>
      <c r="DX647" s="453"/>
      <c r="DY647" s="453"/>
      <c r="DZ647" s="453"/>
      <c r="EA647" s="453"/>
      <c r="EB647" s="453"/>
      <c r="EC647" s="453"/>
      <c r="ED647" s="453"/>
      <c r="EE647" s="453"/>
      <c r="EF647" s="453"/>
      <c r="EG647" s="453"/>
      <c r="EH647" s="453"/>
      <c r="EI647" s="453"/>
      <c r="EJ647" s="453"/>
      <c r="EK647" s="453"/>
      <c r="EL647" s="453"/>
      <c r="EM647" s="483">
        <f t="shared" si="227"/>
        <v>338</v>
      </c>
      <c r="EN647" s="485"/>
      <c r="EO647" s="804"/>
      <c r="EP647" s="805"/>
      <c r="EQ647" s="806"/>
      <c r="ER647" s="808"/>
      <c r="ES647" s="881">
        <f t="shared" si="228"/>
        <v>0</v>
      </c>
      <c r="ET647" s="882"/>
      <c r="EU647" s="883"/>
      <c r="EV647" s="884">
        <f t="shared" si="226"/>
        <v>0</v>
      </c>
      <c r="EW647" s="885"/>
      <c r="EX647" s="885"/>
      <c r="EY647" s="885"/>
      <c r="EZ647" s="885"/>
      <c r="FA647" s="885"/>
      <c r="FB647" s="885"/>
      <c r="FC647" s="885"/>
      <c r="FD647" s="886"/>
      <c r="FE647" s="878"/>
      <c r="FF647" s="878"/>
      <c r="FG647" s="878"/>
      <c r="FH647" s="878"/>
      <c r="FI647" s="878"/>
      <c r="FJ647" s="878"/>
      <c r="FK647" s="878"/>
      <c r="FL647" s="555"/>
      <c r="FM647" s="554"/>
      <c r="FN647" s="554"/>
      <c r="FO647" s="554"/>
      <c r="FP647" s="554"/>
      <c r="FQ647" s="554"/>
      <c r="FR647" s="554"/>
      <c r="FS647" s="554"/>
      <c r="FT647" s="554"/>
      <c r="FU647" s="554"/>
      <c r="FV647" s="554"/>
      <c r="FW647" s="554"/>
      <c r="FX647" s="554"/>
      <c r="FY647" s="554"/>
      <c r="FZ647" s="554"/>
      <c r="GA647" s="554"/>
      <c r="GB647" s="556"/>
      <c r="GC647" s="370"/>
      <c r="GD647" s="453"/>
      <c r="GE647" s="453"/>
      <c r="GF647" s="453"/>
      <c r="GG647" s="453"/>
      <c r="GH647" s="454"/>
      <c r="GI647" s="453"/>
      <c r="GJ647" s="453"/>
      <c r="GK647" s="453"/>
      <c r="GL647" s="453"/>
      <c r="GM647" s="453"/>
      <c r="GN647" s="453"/>
      <c r="GO647" s="453"/>
      <c r="GP647" s="453"/>
      <c r="GQ647" s="453"/>
      <c r="GR647" s="453"/>
      <c r="GS647" s="561"/>
      <c r="GT647" s="475"/>
      <c r="GU647" s="472"/>
      <c r="GV647" s="453"/>
      <c r="GW647" s="453"/>
      <c r="GX647" s="869"/>
      <c r="GY647" s="870"/>
      <c r="GZ647" s="867"/>
      <c r="HA647" s="868"/>
      <c r="HB647" s="473"/>
      <c r="HC647" s="869"/>
      <c r="HD647" s="870"/>
      <c r="HE647" s="867"/>
      <c r="HF647" s="868"/>
      <c r="HG647" s="473"/>
      <c r="HH647" s="867"/>
      <c r="HI647" s="868"/>
      <c r="HJ647" s="867"/>
      <c r="HK647" s="868"/>
      <c r="HL647" s="370"/>
      <c r="HM647" s="865"/>
      <c r="HN647" s="866"/>
      <c r="HO647" s="865"/>
      <c r="HP647" s="866"/>
      <c r="HQ647" s="865"/>
      <c r="HR647" s="866"/>
      <c r="HS647" s="867"/>
      <c r="HT647" s="868"/>
      <c r="HU647" s="489"/>
      <c r="HV647" s="865"/>
      <c r="HW647" s="866"/>
    </row>
    <row r="648" spans="25:231" ht="15" customHeight="1">
      <c r="Y648" s="332"/>
      <c r="Z648" s="332"/>
      <c r="AA648" s="332"/>
      <c r="AB648" s="332"/>
      <c r="AC648" s="332"/>
      <c r="AD648" s="332"/>
      <c r="AE648" s="332"/>
      <c r="AF648" s="332"/>
      <c r="AG648" s="332"/>
      <c r="AH648" s="332"/>
      <c r="AI648" s="332"/>
      <c r="AJ648" s="332"/>
      <c r="AK648" s="332"/>
      <c r="AL648" s="332"/>
      <c r="AM648" s="332"/>
      <c r="AN648" s="332"/>
      <c r="AO648" s="332"/>
      <c r="AP648" s="332"/>
      <c r="AQ648" s="332"/>
      <c r="AR648" s="332"/>
      <c r="AS648" s="332"/>
      <c r="AT648" s="332"/>
      <c r="AU648" s="332"/>
      <c r="AV648" s="332"/>
      <c r="AW648" s="332"/>
      <c r="AX648" s="332"/>
      <c r="AY648" s="332"/>
      <c r="AZ648" s="332"/>
      <c r="BA648" s="332"/>
      <c r="BB648" s="332"/>
      <c r="BC648" s="332"/>
      <c r="BD648" s="332"/>
      <c r="BE648" s="332"/>
      <c r="BF648" s="332"/>
      <c r="BG648" s="332"/>
      <c r="BH648" s="332"/>
      <c r="BI648" s="332"/>
      <c r="BJ648" s="332"/>
      <c r="BK648" s="332"/>
      <c r="BL648" s="332"/>
      <c r="BM648" s="332"/>
      <c r="BN648" s="332"/>
      <c r="BO648" s="332"/>
      <c r="BP648" s="332"/>
      <c r="BQ648" s="332"/>
      <c r="BR648" s="332"/>
      <c r="BS648" s="332"/>
      <c r="BT648" s="332"/>
      <c r="BU648" s="332"/>
      <c r="BV648" s="332"/>
      <c r="BW648" s="332"/>
      <c r="BX648" s="332"/>
      <c r="BY648" s="332"/>
      <c r="BZ648" s="332"/>
      <c r="CA648" s="332"/>
      <c r="CB648" s="332"/>
      <c r="CC648" s="332"/>
      <c r="CD648" s="332"/>
      <c r="CE648" s="332"/>
      <c r="CF648" s="332"/>
      <c r="CG648" s="332"/>
      <c r="CH648" s="332"/>
      <c r="CI648" s="332"/>
      <c r="CJ648" s="332"/>
      <c r="CK648" s="332"/>
      <c r="CL648" s="332"/>
      <c r="CM648" s="332"/>
      <c r="CN648" s="332"/>
      <c r="CO648" s="332"/>
      <c r="CP648" s="332"/>
      <c r="CQ648" s="332"/>
      <c r="CR648" s="332"/>
      <c r="CS648" s="332"/>
      <c r="CT648" s="332"/>
      <c r="CU648" s="332"/>
      <c r="CV648" s="332"/>
      <c r="CW648" s="332"/>
      <c r="CX648" s="332"/>
      <c r="CY648" s="332"/>
      <c r="CZ648" s="332"/>
      <c r="DA648" s="332"/>
      <c r="DB648" s="332"/>
      <c r="DC648" s="332"/>
      <c r="DD648" s="332"/>
      <c r="DE648" s="332"/>
      <c r="DF648" s="332"/>
      <c r="DG648" s="332"/>
      <c r="DH648" s="332"/>
      <c r="DI648" s="332"/>
      <c r="DJ648" s="332"/>
      <c r="DK648" s="332"/>
      <c r="DL648" s="332"/>
      <c r="DM648" s="332"/>
      <c r="DN648" s="332"/>
      <c r="DO648" s="332"/>
      <c r="DP648" s="332"/>
      <c r="DQ648" s="332"/>
      <c r="DR648" s="332"/>
      <c r="DS648" s="332"/>
      <c r="DT648" s="332"/>
      <c r="DU648" s="453"/>
      <c r="DV648" s="453"/>
      <c r="DW648" s="453"/>
      <c r="DX648" s="453"/>
      <c r="DY648" s="453"/>
      <c r="DZ648" s="453"/>
      <c r="EA648" s="453"/>
      <c r="EB648" s="453"/>
      <c r="EC648" s="453"/>
      <c r="ED648" s="453"/>
      <c r="EE648" s="453"/>
      <c r="EF648" s="453"/>
      <c r="EG648" s="453"/>
      <c r="EH648" s="453"/>
      <c r="EI648" s="453"/>
      <c r="EJ648" s="453"/>
      <c r="EK648" s="453"/>
      <c r="EL648" s="453"/>
      <c r="EM648" s="483">
        <f t="shared" si="227"/>
        <v>339</v>
      </c>
      <c r="EN648" s="485"/>
      <c r="EO648" s="804"/>
      <c r="EP648" s="805"/>
      <c r="EQ648" s="820"/>
      <c r="ER648" s="808"/>
      <c r="ES648" s="881">
        <f t="shared" si="228"/>
        <v>0</v>
      </c>
      <c r="ET648" s="882"/>
      <c r="EU648" s="883"/>
      <c r="EV648" s="884">
        <f t="shared" si="226"/>
        <v>0</v>
      </c>
      <c r="EW648" s="885"/>
      <c r="EX648" s="885"/>
      <c r="EY648" s="885"/>
      <c r="EZ648" s="885"/>
      <c r="FA648" s="885"/>
      <c r="FB648" s="885"/>
      <c r="FC648" s="885"/>
      <c r="FD648" s="886"/>
      <c r="FE648" s="878"/>
      <c r="FF648" s="878"/>
      <c r="FG648" s="878"/>
      <c r="FH648" s="878"/>
      <c r="FI648" s="878"/>
      <c r="FJ648" s="878"/>
      <c r="FK648" s="878"/>
      <c r="FL648" s="555"/>
      <c r="FM648" s="554"/>
      <c r="FN648" s="554"/>
      <c r="FO648" s="554"/>
      <c r="FP648" s="554"/>
      <c r="FQ648" s="554"/>
      <c r="FR648" s="554"/>
      <c r="FS648" s="554"/>
      <c r="FT648" s="554"/>
      <c r="FU648" s="554"/>
      <c r="FV648" s="554"/>
      <c r="FW648" s="554"/>
      <c r="FX648" s="554"/>
      <c r="FY648" s="554"/>
      <c r="FZ648" s="554"/>
      <c r="GA648" s="554"/>
      <c r="GB648" s="556"/>
      <c r="GC648" s="370"/>
      <c r="GD648" s="453"/>
      <c r="GE648" s="453"/>
      <c r="GF648" s="453"/>
      <c r="GG648" s="453"/>
      <c r="GH648" s="454"/>
      <c r="GI648" s="453"/>
      <c r="GJ648" s="453"/>
      <c r="GK648" s="453"/>
      <c r="GL648" s="453"/>
      <c r="GM648" s="453"/>
      <c r="GN648" s="453"/>
      <c r="GO648" s="453"/>
      <c r="GP648" s="453"/>
      <c r="GQ648" s="453"/>
      <c r="GR648" s="453"/>
      <c r="GS648" s="561"/>
      <c r="GT648" s="475"/>
      <c r="GU648" s="472"/>
      <c r="GV648" s="453"/>
      <c r="GW648" s="453"/>
      <c r="GX648" s="869"/>
      <c r="GY648" s="870"/>
      <c r="GZ648" s="867"/>
      <c r="HA648" s="868"/>
      <c r="HB648" s="473"/>
      <c r="HC648" s="869"/>
      <c r="HD648" s="870"/>
      <c r="HE648" s="867"/>
      <c r="HF648" s="868"/>
      <c r="HG648" s="473"/>
      <c r="HH648" s="867"/>
      <c r="HI648" s="868"/>
      <c r="HJ648" s="867"/>
      <c r="HK648" s="868"/>
      <c r="HL648" s="370"/>
      <c r="HM648" s="865"/>
      <c r="HN648" s="866"/>
      <c r="HO648" s="865"/>
      <c r="HP648" s="866"/>
      <c r="HQ648" s="865"/>
      <c r="HR648" s="866"/>
      <c r="HS648" s="867"/>
      <c r="HT648" s="868"/>
      <c r="HU648" s="489"/>
      <c r="HV648" s="865"/>
      <c r="HW648" s="866"/>
    </row>
    <row r="649" spans="25:231" ht="15" customHeight="1">
      <c r="Y649" s="332"/>
      <c r="Z649" s="332"/>
      <c r="AA649" s="332"/>
      <c r="AB649" s="332"/>
      <c r="AC649" s="332"/>
      <c r="AD649" s="332"/>
      <c r="AE649" s="332"/>
      <c r="AF649" s="332"/>
      <c r="AG649" s="332"/>
      <c r="AH649" s="332"/>
      <c r="AI649" s="332"/>
      <c r="AJ649" s="332"/>
      <c r="AK649" s="332"/>
      <c r="AL649" s="332"/>
      <c r="AM649" s="332"/>
      <c r="AN649" s="332"/>
      <c r="AO649" s="332"/>
      <c r="AP649" s="332"/>
      <c r="AQ649" s="332"/>
      <c r="AR649" s="332"/>
      <c r="AS649" s="332"/>
      <c r="AT649" s="332"/>
      <c r="AU649" s="332"/>
      <c r="AV649" s="332"/>
      <c r="AW649" s="332"/>
      <c r="AX649" s="332"/>
      <c r="AY649" s="332"/>
      <c r="AZ649" s="332"/>
      <c r="BA649" s="332"/>
      <c r="BB649" s="332"/>
      <c r="BC649" s="332"/>
      <c r="BD649" s="332"/>
      <c r="BE649" s="332"/>
      <c r="BF649" s="332"/>
      <c r="BG649" s="332"/>
      <c r="BH649" s="332"/>
      <c r="BI649" s="332"/>
      <c r="BJ649" s="332"/>
      <c r="BK649" s="332"/>
      <c r="BL649" s="332"/>
      <c r="BM649" s="332"/>
      <c r="BN649" s="332"/>
      <c r="BO649" s="332"/>
      <c r="BP649" s="332"/>
      <c r="BQ649" s="332"/>
      <c r="BR649" s="332"/>
      <c r="BS649" s="332"/>
      <c r="BT649" s="332"/>
      <c r="BU649" s="332"/>
      <c r="BV649" s="332"/>
      <c r="BW649" s="332"/>
      <c r="BX649" s="332"/>
      <c r="BY649" s="332"/>
      <c r="BZ649" s="332"/>
      <c r="CA649" s="332"/>
      <c r="CB649" s="332"/>
      <c r="CC649" s="332"/>
      <c r="CD649" s="332"/>
      <c r="CE649" s="332"/>
      <c r="CF649" s="332"/>
      <c r="CG649" s="332"/>
      <c r="CH649" s="332"/>
      <c r="CI649" s="332"/>
      <c r="CJ649" s="332"/>
      <c r="CK649" s="332"/>
      <c r="CL649" s="332"/>
      <c r="CM649" s="332"/>
      <c r="CN649" s="332"/>
      <c r="CO649" s="332"/>
      <c r="CP649" s="332"/>
      <c r="CQ649" s="332"/>
      <c r="CR649" s="332"/>
      <c r="CS649" s="332"/>
      <c r="CT649" s="332"/>
      <c r="CU649" s="332"/>
      <c r="CV649" s="332"/>
      <c r="CW649" s="332"/>
      <c r="CX649" s="332"/>
      <c r="CY649" s="332"/>
      <c r="CZ649" s="332"/>
      <c r="DA649" s="332"/>
      <c r="DB649" s="332"/>
      <c r="DC649" s="332"/>
      <c r="DD649" s="332"/>
      <c r="DE649" s="332"/>
      <c r="DF649" s="332"/>
      <c r="DG649" s="332"/>
      <c r="DH649" s="332"/>
      <c r="DI649" s="332"/>
      <c r="DJ649" s="332"/>
      <c r="DK649" s="332"/>
      <c r="DL649" s="332"/>
      <c r="DM649" s="332"/>
      <c r="DN649" s="332"/>
      <c r="DO649" s="332"/>
      <c r="DP649" s="332"/>
      <c r="DQ649" s="332"/>
      <c r="DR649" s="332"/>
      <c r="DS649" s="332"/>
      <c r="DT649" s="332"/>
      <c r="DU649" s="453"/>
      <c r="DV649" s="453"/>
      <c r="DW649" s="453"/>
      <c r="DX649" s="453"/>
      <c r="DY649" s="453"/>
      <c r="DZ649" s="453"/>
      <c r="EA649" s="453"/>
      <c r="EB649" s="453"/>
      <c r="EC649" s="453"/>
      <c r="ED649" s="453"/>
      <c r="EE649" s="453"/>
      <c r="EF649" s="453"/>
      <c r="EG649" s="453"/>
      <c r="EH649" s="453"/>
      <c r="EI649" s="453"/>
      <c r="EJ649" s="453"/>
      <c r="EK649" s="453"/>
      <c r="EL649" s="453"/>
      <c r="EM649" s="483">
        <f t="shared" si="227"/>
        <v>340</v>
      </c>
      <c r="EN649" s="485"/>
      <c r="EO649" s="804"/>
      <c r="EP649" s="805"/>
      <c r="EQ649" s="806"/>
      <c r="ER649" s="808"/>
      <c r="ES649" s="881">
        <f t="shared" si="228"/>
        <v>0</v>
      </c>
      <c r="ET649" s="882"/>
      <c r="EU649" s="883"/>
      <c r="EV649" s="884">
        <f t="shared" si="226"/>
        <v>0</v>
      </c>
      <c r="EW649" s="885"/>
      <c r="EX649" s="885"/>
      <c r="EY649" s="885"/>
      <c r="EZ649" s="885"/>
      <c r="FA649" s="885"/>
      <c r="FB649" s="885"/>
      <c r="FC649" s="885"/>
      <c r="FD649" s="886"/>
      <c r="FE649" s="878"/>
      <c r="FF649" s="878"/>
      <c r="FG649" s="878"/>
      <c r="FH649" s="878"/>
      <c r="FI649" s="878"/>
      <c r="FJ649" s="878"/>
      <c r="FK649" s="878"/>
      <c r="FL649" s="555"/>
      <c r="FM649" s="554"/>
      <c r="FN649" s="554"/>
      <c r="FO649" s="554"/>
      <c r="FP649" s="554"/>
      <c r="FQ649" s="554"/>
      <c r="FR649" s="554"/>
      <c r="FS649" s="554"/>
      <c r="FT649" s="554"/>
      <c r="FU649" s="554"/>
      <c r="FV649" s="554"/>
      <c r="FW649" s="554"/>
      <c r="FX649" s="554"/>
      <c r="FY649" s="554"/>
      <c r="FZ649" s="554"/>
      <c r="GA649" s="554"/>
      <c r="GB649" s="556"/>
      <c r="GC649" s="370"/>
      <c r="GD649" s="453"/>
      <c r="GE649" s="453"/>
      <c r="GF649" s="453"/>
      <c r="GG649" s="453"/>
      <c r="GH649" s="454"/>
      <c r="GI649" s="453"/>
      <c r="GJ649" s="453"/>
      <c r="GK649" s="453"/>
      <c r="GL649" s="453"/>
      <c r="GM649" s="453"/>
      <c r="GN649" s="453"/>
      <c r="GO649" s="453"/>
      <c r="GP649" s="453"/>
      <c r="GQ649" s="453"/>
      <c r="GR649" s="453"/>
      <c r="GS649" s="561"/>
      <c r="GT649" s="475"/>
      <c r="GU649" s="472"/>
      <c r="GV649" s="453"/>
      <c r="GW649" s="453"/>
      <c r="GX649" s="869"/>
      <c r="GY649" s="870"/>
      <c r="GZ649" s="867"/>
      <c r="HA649" s="868"/>
      <c r="HB649" s="473"/>
      <c r="HC649" s="869"/>
      <c r="HD649" s="870"/>
      <c r="HE649" s="867"/>
      <c r="HF649" s="868"/>
      <c r="HG649" s="473"/>
      <c r="HH649" s="867"/>
      <c r="HI649" s="868"/>
      <c r="HJ649" s="867"/>
      <c r="HK649" s="868"/>
      <c r="HL649" s="370"/>
      <c r="HM649" s="865"/>
      <c r="HN649" s="866"/>
      <c r="HO649" s="865"/>
      <c r="HP649" s="866"/>
      <c r="HQ649" s="865"/>
      <c r="HR649" s="866"/>
      <c r="HS649" s="867"/>
      <c r="HT649" s="868"/>
      <c r="HU649" s="489"/>
      <c r="HV649" s="865"/>
      <c r="HW649" s="866"/>
    </row>
    <row r="650" spans="25:231" ht="15" customHeight="1">
      <c r="Y650" s="332"/>
      <c r="Z650" s="332"/>
      <c r="AA650" s="332"/>
      <c r="AB650" s="332"/>
      <c r="AC650" s="332"/>
      <c r="AD650" s="332"/>
      <c r="AE650" s="332"/>
      <c r="AF650" s="332"/>
      <c r="AG650" s="332"/>
      <c r="AH650" s="332"/>
      <c r="AI650" s="332"/>
      <c r="AJ650" s="332"/>
      <c r="AK650" s="332"/>
      <c r="AL650" s="332"/>
      <c r="AM650" s="332"/>
      <c r="AN650" s="332"/>
      <c r="AO650" s="332"/>
      <c r="AP650" s="332"/>
      <c r="AQ650" s="332"/>
      <c r="AR650" s="332"/>
      <c r="AS650" s="332"/>
      <c r="AT650" s="332"/>
      <c r="AU650" s="332"/>
      <c r="AV650" s="332"/>
      <c r="AW650" s="332"/>
      <c r="AX650" s="332"/>
      <c r="AY650" s="332"/>
      <c r="AZ650" s="332"/>
      <c r="BA650" s="332"/>
      <c r="BB650" s="332"/>
      <c r="BC650" s="332"/>
      <c r="BD650" s="332"/>
      <c r="BE650" s="332"/>
      <c r="BF650" s="332"/>
      <c r="BG650" s="332"/>
      <c r="BH650" s="332"/>
      <c r="BI650" s="332"/>
      <c r="BJ650" s="332"/>
      <c r="BK650" s="332"/>
      <c r="BL650" s="332"/>
      <c r="BM650" s="332"/>
      <c r="BN650" s="332"/>
      <c r="BO650" s="332"/>
      <c r="BP650" s="332"/>
      <c r="BQ650" s="332"/>
      <c r="BR650" s="332"/>
      <c r="BS650" s="332"/>
      <c r="BT650" s="332"/>
      <c r="BU650" s="332"/>
      <c r="BV650" s="332"/>
      <c r="BW650" s="332"/>
      <c r="BX650" s="332"/>
      <c r="BY650" s="332"/>
      <c r="BZ650" s="332"/>
      <c r="CA650" s="332"/>
      <c r="CB650" s="332"/>
      <c r="CC650" s="332"/>
      <c r="CD650" s="332"/>
      <c r="CE650" s="332"/>
      <c r="CF650" s="332"/>
      <c r="CG650" s="332"/>
      <c r="CH650" s="332"/>
      <c r="CI650" s="332"/>
      <c r="CJ650" s="332"/>
      <c r="CK650" s="332"/>
      <c r="CL650" s="332"/>
      <c r="CM650" s="332"/>
      <c r="CN650" s="332"/>
      <c r="CO650" s="332"/>
      <c r="CP650" s="332"/>
      <c r="CQ650" s="332"/>
      <c r="CR650" s="332"/>
      <c r="CS650" s="332"/>
      <c r="CT650" s="332"/>
      <c r="CU650" s="332"/>
      <c r="CV650" s="332"/>
      <c r="CW650" s="332"/>
      <c r="CX650" s="332"/>
      <c r="CY650" s="332"/>
      <c r="CZ650" s="332"/>
      <c r="DA650" s="332"/>
      <c r="DB650" s="332"/>
      <c r="DC650" s="332"/>
      <c r="DD650" s="332"/>
      <c r="DE650" s="332"/>
      <c r="DF650" s="332"/>
      <c r="DG650" s="332"/>
      <c r="DH650" s="332"/>
      <c r="DI650" s="332"/>
      <c r="DJ650" s="332"/>
      <c r="DK650" s="332"/>
      <c r="DL650" s="332"/>
      <c r="DM650" s="332"/>
      <c r="DN650" s="332"/>
      <c r="DO650" s="332"/>
      <c r="DP650" s="332"/>
      <c r="DQ650" s="332"/>
      <c r="DR650" s="332"/>
      <c r="DS650" s="332"/>
      <c r="DT650" s="332"/>
      <c r="DU650" s="453"/>
      <c r="DV650" s="453"/>
      <c r="DW650" s="453"/>
      <c r="DX650" s="453"/>
      <c r="DY650" s="453"/>
      <c r="DZ650" s="453"/>
      <c r="EA650" s="453"/>
      <c r="EB650" s="453"/>
      <c r="EC650" s="453"/>
      <c r="ED650" s="453"/>
      <c r="EE650" s="453"/>
      <c r="EF650" s="453"/>
      <c r="EG650" s="453"/>
      <c r="EH650" s="453"/>
      <c r="EI650" s="453"/>
      <c r="EJ650" s="453"/>
      <c r="EK650" s="453"/>
      <c r="EL650" s="453"/>
      <c r="EM650" s="483">
        <f t="shared" si="227"/>
        <v>341</v>
      </c>
      <c r="EN650" s="485"/>
      <c r="EO650" s="804"/>
      <c r="EP650" s="805"/>
      <c r="EQ650" s="820"/>
      <c r="ER650" s="808"/>
      <c r="ES650" s="881">
        <f t="shared" si="228"/>
        <v>0</v>
      </c>
      <c r="ET650" s="882"/>
      <c r="EU650" s="883"/>
      <c r="EV650" s="884">
        <f t="shared" si="226"/>
        <v>0</v>
      </c>
      <c r="EW650" s="885"/>
      <c r="EX650" s="885"/>
      <c r="EY650" s="885"/>
      <c r="EZ650" s="885"/>
      <c r="FA650" s="885"/>
      <c r="FB650" s="885"/>
      <c r="FC650" s="885"/>
      <c r="FD650" s="886"/>
      <c r="FE650" s="878"/>
      <c r="FF650" s="878"/>
      <c r="FG650" s="878"/>
      <c r="FH650" s="878"/>
      <c r="FI650" s="878"/>
      <c r="FJ650" s="878"/>
      <c r="FK650" s="878"/>
      <c r="FL650" s="555"/>
      <c r="FM650" s="554"/>
      <c r="FN650" s="554"/>
      <c r="FO650" s="554"/>
      <c r="FP650" s="554"/>
      <c r="FQ650" s="554"/>
      <c r="FR650" s="554"/>
      <c r="FS650" s="554"/>
      <c r="FT650" s="554"/>
      <c r="FU650" s="554"/>
      <c r="FV650" s="554"/>
      <c r="FW650" s="554"/>
      <c r="FX650" s="554"/>
      <c r="FY650" s="554"/>
      <c r="FZ650" s="554"/>
      <c r="GA650" s="554"/>
      <c r="GB650" s="556"/>
      <c r="GC650" s="370"/>
      <c r="GD650" s="453"/>
      <c r="GE650" s="453"/>
      <c r="GF650" s="453"/>
      <c r="GG650" s="453"/>
      <c r="GH650" s="454"/>
      <c r="GI650" s="453"/>
      <c r="GJ650" s="453"/>
      <c r="GK650" s="453"/>
      <c r="GL650" s="453"/>
      <c r="GM650" s="453"/>
      <c r="GN650" s="453"/>
      <c r="GO650" s="453"/>
      <c r="GP650" s="453"/>
      <c r="GQ650" s="453"/>
      <c r="GR650" s="453"/>
      <c r="GS650" s="561"/>
      <c r="GT650" s="475"/>
      <c r="GU650" s="472"/>
      <c r="GV650" s="453"/>
      <c r="GW650" s="453"/>
      <c r="GX650" s="869"/>
      <c r="GY650" s="870"/>
      <c r="GZ650" s="867"/>
      <c r="HA650" s="868"/>
      <c r="HB650" s="473"/>
      <c r="HC650" s="869"/>
      <c r="HD650" s="870"/>
      <c r="HE650" s="867"/>
      <c r="HF650" s="868"/>
      <c r="HG650" s="473"/>
      <c r="HH650" s="867"/>
      <c r="HI650" s="868"/>
      <c r="HJ650" s="867"/>
      <c r="HK650" s="868"/>
      <c r="HL650" s="370"/>
      <c r="HM650" s="865"/>
      <c r="HN650" s="866"/>
      <c r="HO650" s="865"/>
      <c r="HP650" s="866"/>
      <c r="HQ650" s="865"/>
      <c r="HR650" s="866"/>
      <c r="HS650" s="867"/>
      <c r="HT650" s="868"/>
      <c r="HU650" s="489"/>
      <c r="HV650" s="865"/>
      <c r="HW650" s="866"/>
    </row>
    <row r="651" spans="25:231" ht="15" customHeight="1">
      <c r="Y651" s="332"/>
      <c r="Z651" s="332"/>
      <c r="AA651" s="332"/>
      <c r="AB651" s="332"/>
      <c r="AC651" s="332"/>
      <c r="AD651" s="332"/>
      <c r="AE651" s="332"/>
      <c r="AF651" s="332"/>
      <c r="AG651" s="332"/>
      <c r="AH651" s="332"/>
      <c r="AI651" s="332"/>
      <c r="AJ651" s="332"/>
      <c r="AK651" s="332"/>
      <c r="AL651" s="332"/>
      <c r="AM651" s="332"/>
      <c r="AN651" s="332"/>
      <c r="AO651" s="332"/>
      <c r="AP651" s="332"/>
      <c r="AQ651" s="332"/>
      <c r="AR651" s="332"/>
      <c r="AS651" s="332"/>
      <c r="AT651" s="332"/>
      <c r="AU651" s="332"/>
      <c r="AV651" s="332"/>
      <c r="AW651" s="332"/>
      <c r="AX651" s="332"/>
      <c r="AY651" s="332"/>
      <c r="AZ651" s="332"/>
      <c r="BA651" s="332"/>
      <c r="BB651" s="332"/>
      <c r="BC651" s="332"/>
      <c r="BD651" s="332"/>
      <c r="BE651" s="332"/>
      <c r="BF651" s="332"/>
      <c r="BG651" s="332"/>
      <c r="BH651" s="332"/>
      <c r="BI651" s="332"/>
      <c r="BJ651" s="332"/>
      <c r="BK651" s="332"/>
      <c r="BL651" s="332"/>
      <c r="BM651" s="332"/>
      <c r="BN651" s="332"/>
      <c r="BO651" s="332"/>
      <c r="BP651" s="332"/>
      <c r="BQ651" s="332"/>
      <c r="BR651" s="332"/>
      <c r="BS651" s="332"/>
      <c r="BT651" s="332"/>
      <c r="BU651" s="332"/>
      <c r="BV651" s="332"/>
      <c r="BW651" s="332"/>
      <c r="BX651" s="332"/>
      <c r="BY651" s="332"/>
      <c r="BZ651" s="332"/>
      <c r="CA651" s="332"/>
      <c r="CB651" s="332"/>
      <c r="CC651" s="332"/>
      <c r="CD651" s="332"/>
      <c r="CE651" s="332"/>
      <c r="CF651" s="332"/>
      <c r="CG651" s="332"/>
      <c r="CH651" s="332"/>
      <c r="CI651" s="332"/>
      <c r="CJ651" s="332"/>
      <c r="CK651" s="332"/>
      <c r="CL651" s="332"/>
      <c r="CM651" s="332"/>
      <c r="CN651" s="332"/>
      <c r="CO651" s="332"/>
      <c r="CP651" s="332"/>
      <c r="CQ651" s="332"/>
      <c r="CR651" s="332"/>
      <c r="CS651" s="332"/>
      <c r="CT651" s="332"/>
      <c r="CU651" s="332"/>
      <c r="CV651" s="332"/>
      <c r="CW651" s="332"/>
      <c r="CX651" s="332"/>
      <c r="CY651" s="332"/>
      <c r="CZ651" s="332"/>
      <c r="DA651" s="332"/>
      <c r="DB651" s="332"/>
      <c r="DC651" s="332"/>
      <c r="DD651" s="332"/>
      <c r="DE651" s="332"/>
      <c r="DF651" s="332"/>
      <c r="DG651" s="332"/>
      <c r="DH651" s="332"/>
      <c r="DI651" s="332"/>
      <c r="DJ651" s="332"/>
      <c r="DK651" s="332"/>
      <c r="DL651" s="332"/>
      <c r="DM651" s="332"/>
      <c r="DN651" s="332"/>
      <c r="DO651" s="332"/>
      <c r="DP651" s="332"/>
      <c r="DQ651" s="332"/>
      <c r="DR651" s="332"/>
      <c r="DS651" s="332"/>
      <c r="DT651" s="332"/>
      <c r="DU651" s="453"/>
      <c r="DV651" s="453"/>
      <c r="DW651" s="453"/>
      <c r="DX651" s="453"/>
      <c r="DY651" s="453"/>
      <c r="DZ651" s="453"/>
      <c r="EA651" s="453"/>
      <c r="EB651" s="453"/>
      <c r="EC651" s="453"/>
      <c r="ED651" s="453"/>
      <c r="EE651" s="453"/>
      <c r="EF651" s="453"/>
      <c r="EG651" s="453"/>
      <c r="EH651" s="453"/>
      <c r="EI651" s="453"/>
      <c r="EJ651" s="453"/>
      <c r="EK651" s="453"/>
      <c r="EL651" s="453"/>
      <c r="EM651" s="483">
        <f t="shared" si="227"/>
        <v>342</v>
      </c>
      <c r="EN651" s="485"/>
      <c r="EO651" s="804"/>
      <c r="EP651" s="805"/>
      <c r="EQ651" s="806"/>
      <c r="ER651" s="808"/>
      <c r="ES651" s="881">
        <f t="shared" si="228"/>
        <v>0</v>
      </c>
      <c r="ET651" s="882"/>
      <c r="EU651" s="883"/>
      <c r="EV651" s="884">
        <f t="shared" si="226"/>
        <v>0</v>
      </c>
      <c r="EW651" s="885"/>
      <c r="EX651" s="885"/>
      <c r="EY651" s="885"/>
      <c r="EZ651" s="885"/>
      <c r="FA651" s="885"/>
      <c r="FB651" s="885"/>
      <c r="FC651" s="885"/>
      <c r="FD651" s="886"/>
      <c r="FE651" s="878"/>
      <c r="FF651" s="878"/>
      <c r="FG651" s="878"/>
      <c r="FH651" s="878"/>
      <c r="FI651" s="878"/>
      <c r="FJ651" s="878"/>
      <c r="FK651" s="878"/>
      <c r="FL651" s="555"/>
      <c r="FM651" s="554"/>
      <c r="FN651" s="554"/>
      <c r="FO651" s="554"/>
      <c r="FP651" s="554"/>
      <c r="FQ651" s="554"/>
      <c r="FR651" s="554"/>
      <c r="FS651" s="554"/>
      <c r="FT651" s="554"/>
      <c r="FU651" s="554"/>
      <c r="FV651" s="554"/>
      <c r="FW651" s="554"/>
      <c r="FX651" s="554"/>
      <c r="FY651" s="554"/>
      <c r="FZ651" s="554"/>
      <c r="GA651" s="554"/>
      <c r="GB651" s="556"/>
      <c r="GC651" s="370"/>
      <c r="GD651" s="453"/>
      <c r="GE651" s="453"/>
      <c r="GF651" s="453"/>
      <c r="GG651" s="453"/>
      <c r="GH651" s="454"/>
      <c r="GI651" s="453"/>
      <c r="GJ651" s="453"/>
      <c r="GK651" s="453"/>
      <c r="GL651" s="453"/>
      <c r="GM651" s="453"/>
      <c r="GN651" s="453"/>
      <c r="GO651" s="453"/>
      <c r="GP651" s="453"/>
      <c r="GQ651" s="453"/>
      <c r="GR651" s="453"/>
      <c r="GS651" s="561"/>
      <c r="GT651" s="475"/>
      <c r="GU651" s="472"/>
      <c r="GV651" s="453"/>
      <c r="GW651" s="453"/>
      <c r="GX651" s="869"/>
      <c r="GY651" s="870"/>
      <c r="GZ651" s="867"/>
      <c r="HA651" s="868"/>
      <c r="HB651" s="473"/>
      <c r="HC651" s="869"/>
      <c r="HD651" s="870"/>
      <c r="HE651" s="867"/>
      <c r="HF651" s="868"/>
      <c r="HG651" s="473"/>
      <c r="HH651" s="867"/>
      <c r="HI651" s="868"/>
      <c r="HJ651" s="867"/>
      <c r="HK651" s="868"/>
      <c r="HL651" s="370"/>
      <c r="HM651" s="865"/>
      <c r="HN651" s="866"/>
      <c r="HO651" s="865"/>
      <c r="HP651" s="866"/>
      <c r="HQ651" s="865"/>
      <c r="HR651" s="866"/>
      <c r="HS651" s="867"/>
      <c r="HT651" s="868"/>
      <c r="HU651" s="489"/>
      <c r="HV651" s="865"/>
      <c r="HW651" s="866"/>
    </row>
    <row r="652" spans="25:231" ht="15" customHeight="1">
      <c r="Y652" s="332"/>
      <c r="Z652" s="332"/>
      <c r="AA652" s="332"/>
      <c r="AB652" s="332"/>
      <c r="AC652" s="332"/>
      <c r="AD652" s="332"/>
      <c r="AE652" s="332"/>
      <c r="AF652" s="332"/>
      <c r="AG652" s="332"/>
      <c r="AH652" s="332"/>
      <c r="AI652" s="332"/>
      <c r="AJ652" s="332"/>
      <c r="AK652" s="332"/>
      <c r="AL652" s="332"/>
      <c r="AM652" s="332"/>
      <c r="AN652" s="332"/>
      <c r="AO652" s="332"/>
      <c r="AP652" s="332"/>
      <c r="AQ652" s="332"/>
      <c r="AR652" s="332"/>
      <c r="AS652" s="332"/>
      <c r="AT652" s="332"/>
      <c r="AU652" s="332"/>
      <c r="AV652" s="332"/>
      <c r="AW652" s="332"/>
      <c r="AX652" s="332"/>
      <c r="AY652" s="332"/>
      <c r="AZ652" s="332"/>
      <c r="BA652" s="332"/>
      <c r="BB652" s="332"/>
      <c r="BC652" s="332"/>
      <c r="BD652" s="332"/>
      <c r="BE652" s="332"/>
      <c r="BF652" s="332"/>
      <c r="BG652" s="332"/>
      <c r="BH652" s="332"/>
      <c r="BI652" s="332"/>
      <c r="BJ652" s="332"/>
      <c r="BK652" s="332"/>
      <c r="BL652" s="332"/>
      <c r="BM652" s="332"/>
      <c r="BN652" s="332"/>
      <c r="BO652" s="332"/>
      <c r="BP652" s="332"/>
      <c r="BQ652" s="332"/>
      <c r="BR652" s="332"/>
      <c r="BS652" s="332"/>
      <c r="BT652" s="332"/>
      <c r="BU652" s="332"/>
      <c r="BV652" s="332"/>
      <c r="BW652" s="332"/>
      <c r="BX652" s="332"/>
      <c r="BY652" s="332"/>
      <c r="BZ652" s="332"/>
      <c r="CA652" s="332"/>
      <c r="CB652" s="332"/>
      <c r="CC652" s="332"/>
      <c r="CD652" s="332"/>
      <c r="CE652" s="332"/>
      <c r="CF652" s="332"/>
      <c r="CG652" s="332"/>
      <c r="CH652" s="332"/>
      <c r="CI652" s="332"/>
      <c r="CJ652" s="332"/>
      <c r="CK652" s="332"/>
      <c r="CL652" s="332"/>
      <c r="CM652" s="332"/>
      <c r="CN652" s="332"/>
      <c r="CO652" s="332"/>
      <c r="CP652" s="332"/>
      <c r="CQ652" s="332"/>
      <c r="CR652" s="332"/>
      <c r="CS652" s="332"/>
      <c r="CT652" s="332"/>
      <c r="CU652" s="332"/>
      <c r="CV652" s="332"/>
      <c r="CW652" s="332"/>
      <c r="CX652" s="332"/>
      <c r="CY652" s="332"/>
      <c r="CZ652" s="332"/>
      <c r="DA652" s="332"/>
      <c r="DB652" s="332"/>
      <c r="DC652" s="332"/>
      <c r="DD652" s="332"/>
      <c r="DE652" s="332"/>
      <c r="DF652" s="332"/>
      <c r="DG652" s="332"/>
      <c r="DH652" s="332"/>
      <c r="DI652" s="332"/>
      <c r="DJ652" s="332"/>
      <c r="DK652" s="332"/>
      <c r="DL652" s="332"/>
      <c r="DM652" s="332"/>
      <c r="DN652" s="332"/>
      <c r="DO652" s="332"/>
      <c r="DP652" s="332"/>
      <c r="DQ652" s="332"/>
      <c r="DR652" s="332"/>
      <c r="DS652" s="332"/>
      <c r="DT652" s="332"/>
      <c r="DU652" s="453"/>
      <c r="DV652" s="453"/>
      <c r="DW652" s="453"/>
      <c r="DX652" s="453"/>
      <c r="DY652" s="453"/>
      <c r="DZ652" s="453"/>
      <c r="EA652" s="453"/>
      <c r="EB652" s="453"/>
      <c r="EC652" s="453"/>
      <c r="ED652" s="453"/>
      <c r="EE652" s="453"/>
      <c r="EF652" s="453"/>
      <c r="EG652" s="453"/>
      <c r="EH652" s="453"/>
      <c r="EI652" s="453"/>
      <c r="EJ652" s="453"/>
      <c r="EK652" s="453"/>
      <c r="EL652" s="453"/>
      <c r="EM652" s="483">
        <f t="shared" si="227"/>
        <v>343</v>
      </c>
      <c r="EN652" s="485"/>
      <c r="EO652" s="804"/>
      <c r="EP652" s="805"/>
      <c r="EQ652" s="820"/>
      <c r="ER652" s="808"/>
      <c r="ES652" s="881">
        <f t="shared" si="228"/>
        <v>0</v>
      </c>
      <c r="ET652" s="882"/>
      <c r="EU652" s="883"/>
      <c r="EV652" s="884">
        <f t="shared" si="226"/>
        <v>0</v>
      </c>
      <c r="EW652" s="885"/>
      <c r="EX652" s="885"/>
      <c r="EY652" s="885"/>
      <c r="EZ652" s="885"/>
      <c r="FA652" s="885"/>
      <c r="FB652" s="885"/>
      <c r="FC652" s="885"/>
      <c r="FD652" s="886"/>
      <c r="FE652" s="878"/>
      <c r="FF652" s="878"/>
      <c r="FG652" s="878"/>
      <c r="FH652" s="878"/>
      <c r="FI652" s="878"/>
      <c r="FJ652" s="878"/>
      <c r="FK652" s="878"/>
      <c r="FL652" s="555"/>
      <c r="FM652" s="554"/>
      <c r="FN652" s="554"/>
      <c r="FO652" s="554"/>
      <c r="FP652" s="554"/>
      <c r="FQ652" s="554"/>
      <c r="FR652" s="554"/>
      <c r="FS652" s="554"/>
      <c r="FT652" s="554"/>
      <c r="FU652" s="554"/>
      <c r="FV652" s="554"/>
      <c r="FW652" s="554"/>
      <c r="FX652" s="554"/>
      <c r="FY652" s="554"/>
      <c r="FZ652" s="554"/>
      <c r="GA652" s="554"/>
      <c r="GB652" s="556"/>
      <c r="GC652" s="370"/>
      <c r="GD652" s="453"/>
      <c r="GE652" s="453"/>
      <c r="GF652" s="453"/>
      <c r="GG652" s="453"/>
      <c r="GH652" s="454"/>
      <c r="GI652" s="453"/>
      <c r="GJ652" s="453"/>
      <c r="GK652" s="453"/>
      <c r="GL652" s="453"/>
      <c r="GM652" s="453"/>
      <c r="GN652" s="453"/>
      <c r="GO652" s="453"/>
      <c r="GP652" s="453"/>
      <c r="GQ652" s="453"/>
      <c r="GR652" s="453"/>
      <c r="GS652" s="561"/>
      <c r="GT652" s="475"/>
      <c r="GU652" s="472"/>
      <c r="GV652" s="453"/>
      <c r="GW652" s="453"/>
      <c r="GX652" s="869"/>
      <c r="GY652" s="870"/>
      <c r="GZ652" s="867"/>
      <c r="HA652" s="868"/>
      <c r="HB652" s="473"/>
      <c r="HC652" s="869"/>
      <c r="HD652" s="870"/>
      <c r="HE652" s="867"/>
      <c r="HF652" s="868"/>
      <c r="HG652" s="473"/>
      <c r="HH652" s="867"/>
      <c r="HI652" s="868"/>
      <c r="HJ652" s="867"/>
      <c r="HK652" s="868"/>
      <c r="HL652" s="370"/>
      <c r="HM652" s="865"/>
      <c r="HN652" s="866"/>
      <c r="HO652" s="865"/>
      <c r="HP652" s="866"/>
      <c r="HQ652" s="865"/>
      <c r="HR652" s="866"/>
      <c r="HS652" s="867"/>
      <c r="HT652" s="868"/>
      <c r="HU652" s="489"/>
      <c r="HV652" s="865"/>
      <c r="HW652" s="866"/>
    </row>
    <row r="653" spans="25:231" ht="15" customHeight="1">
      <c r="Y653" s="332"/>
      <c r="Z653" s="332"/>
      <c r="AA653" s="332"/>
      <c r="AB653" s="332"/>
      <c r="AC653" s="332"/>
      <c r="AD653" s="332"/>
      <c r="AE653" s="332"/>
      <c r="AF653" s="332"/>
      <c r="AG653" s="332"/>
      <c r="AH653" s="332"/>
      <c r="AI653" s="332"/>
      <c r="AJ653" s="332"/>
      <c r="AK653" s="332"/>
      <c r="AL653" s="332"/>
      <c r="AM653" s="332"/>
      <c r="AN653" s="332"/>
      <c r="AO653" s="332"/>
      <c r="AP653" s="332"/>
      <c r="AQ653" s="332"/>
      <c r="AR653" s="332"/>
      <c r="AS653" s="332"/>
      <c r="AT653" s="332"/>
      <c r="AU653" s="332"/>
      <c r="AV653" s="332"/>
      <c r="AW653" s="332"/>
      <c r="AX653" s="332"/>
      <c r="AY653" s="332"/>
      <c r="AZ653" s="332"/>
      <c r="BA653" s="332"/>
      <c r="BB653" s="332"/>
      <c r="BC653" s="332"/>
      <c r="BD653" s="332"/>
      <c r="BE653" s="332"/>
      <c r="BF653" s="332"/>
      <c r="BG653" s="332"/>
      <c r="BH653" s="332"/>
      <c r="BI653" s="332"/>
      <c r="BJ653" s="332"/>
      <c r="BK653" s="332"/>
      <c r="BL653" s="332"/>
      <c r="BM653" s="332"/>
      <c r="BN653" s="332"/>
      <c r="BO653" s="332"/>
      <c r="BP653" s="332"/>
      <c r="BQ653" s="332"/>
      <c r="BR653" s="332"/>
      <c r="BS653" s="332"/>
      <c r="BT653" s="332"/>
      <c r="BU653" s="332"/>
      <c r="BV653" s="332"/>
      <c r="BW653" s="332"/>
      <c r="BX653" s="332"/>
      <c r="BY653" s="332"/>
      <c r="BZ653" s="332"/>
      <c r="CA653" s="332"/>
      <c r="CB653" s="332"/>
      <c r="CC653" s="332"/>
      <c r="CD653" s="332"/>
      <c r="CE653" s="332"/>
      <c r="CF653" s="332"/>
      <c r="CG653" s="332"/>
      <c r="CH653" s="332"/>
      <c r="CI653" s="332"/>
      <c r="CJ653" s="332"/>
      <c r="CK653" s="332"/>
      <c r="CL653" s="332"/>
      <c r="CM653" s="332"/>
      <c r="CN653" s="332"/>
      <c r="CO653" s="332"/>
      <c r="CP653" s="332"/>
      <c r="CQ653" s="332"/>
      <c r="CR653" s="332"/>
      <c r="CS653" s="332"/>
      <c r="CT653" s="332"/>
      <c r="CU653" s="332"/>
      <c r="CV653" s="332"/>
      <c r="CW653" s="332"/>
      <c r="CX653" s="332"/>
      <c r="CY653" s="332"/>
      <c r="CZ653" s="332"/>
      <c r="DA653" s="332"/>
      <c r="DB653" s="332"/>
      <c r="DC653" s="332"/>
      <c r="DD653" s="332"/>
      <c r="DE653" s="332"/>
      <c r="DF653" s="332"/>
      <c r="DG653" s="332"/>
      <c r="DH653" s="332"/>
      <c r="DI653" s="332"/>
      <c r="DJ653" s="332"/>
      <c r="DK653" s="332"/>
      <c r="DL653" s="332"/>
      <c r="DM653" s="332"/>
      <c r="DN653" s="332"/>
      <c r="DO653" s="332"/>
      <c r="DP653" s="332"/>
      <c r="DQ653" s="332"/>
      <c r="DR653" s="332"/>
      <c r="DS653" s="332"/>
      <c r="DT653" s="332"/>
      <c r="DU653" s="453"/>
      <c r="DV653" s="453"/>
      <c r="DW653" s="453"/>
      <c r="DX653" s="453"/>
      <c r="DY653" s="453"/>
      <c r="DZ653" s="453"/>
      <c r="EA653" s="453"/>
      <c r="EB653" s="453"/>
      <c r="EC653" s="453"/>
      <c r="ED653" s="453"/>
      <c r="EE653" s="453"/>
      <c r="EF653" s="453"/>
      <c r="EG653" s="453"/>
      <c r="EH653" s="453"/>
      <c r="EI653" s="453"/>
      <c r="EJ653" s="453"/>
      <c r="EK653" s="453"/>
      <c r="EL653" s="453"/>
      <c r="EM653" s="483">
        <f t="shared" si="227"/>
        <v>344</v>
      </c>
      <c r="EN653" s="485"/>
      <c r="EO653" s="804"/>
      <c r="EP653" s="805"/>
      <c r="EQ653" s="806"/>
      <c r="ER653" s="808"/>
      <c r="ES653" s="881">
        <f t="shared" si="228"/>
        <v>0</v>
      </c>
      <c r="ET653" s="882"/>
      <c r="EU653" s="883"/>
      <c r="EV653" s="884">
        <f t="shared" si="226"/>
        <v>0</v>
      </c>
      <c r="EW653" s="885"/>
      <c r="EX653" s="885"/>
      <c r="EY653" s="885"/>
      <c r="EZ653" s="885"/>
      <c r="FA653" s="885"/>
      <c r="FB653" s="885"/>
      <c r="FC653" s="885"/>
      <c r="FD653" s="886"/>
      <c r="FE653" s="878"/>
      <c r="FF653" s="878"/>
      <c r="FG653" s="878"/>
      <c r="FH653" s="878"/>
      <c r="FI653" s="878"/>
      <c r="FJ653" s="878"/>
      <c r="FK653" s="878"/>
      <c r="FL653" s="555"/>
      <c r="FM653" s="554"/>
      <c r="FN653" s="554"/>
      <c r="FO653" s="554"/>
      <c r="FP653" s="554"/>
      <c r="FQ653" s="554"/>
      <c r="FR653" s="554"/>
      <c r="FS653" s="554"/>
      <c r="FT653" s="554"/>
      <c r="FU653" s="554"/>
      <c r="FV653" s="554"/>
      <c r="FW653" s="554"/>
      <c r="FX653" s="554"/>
      <c r="FY653" s="554"/>
      <c r="FZ653" s="554"/>
      <c r="GA653" s="554"/>
      <c r="GB653" s="556"/>
      <c r="GC653" s="370"/>
      <c r="GD653" s="453"/>
      <c r="GE653" s="453"/>
      <c r="GF653" s="453"/>
      <c r="GG653" s="453"/>
      <c r="GH653" s="454"/>
      <c r="GI653" s="453"/>
      <c r="GJ653" s="453"/>
      <c r="GK653" s="453"/>
      <c r="GL653" s="453"/>
      <c r="GM653" s="453"/>
      <c r="GN653" s="453"/>
      <c r="GO653" s="453"/>
      <c r="GP653" s="453"/>
      <c r="GQ653" s="453"/>
      <c r="GR653" s="453"/>
      <c r="GS653" s="561"/>
      <c r="GT653" s="475"/>
      <c r="GU653" s="472"/>
      <c r="GV653" s="453"/>
      <c r="GW653" s="453"/>
      <c r="GX653" s="869"/>
      <c r="GY653" s="870"/>
      <c r="GZ653" s="867"/>
      <c r="HA653" s="868"/>
      <c r="HB653" s="473"/>
      <c r="HC653" s="869"/>
      <c r="HD653" s="870"/>
      <c r="HE653" s="867"/>
      <c r="HF653" s="868"/>
      <c r="HG653" s="473"/>
      <c r="HH653" s="867"/>
      <c r="HI653" s="868"/>
      <c r="HJ653" s="867"/>
      <c r="HK653" s="868"/>
      <c r="HL653" s="370"/>
      <c r="HM653" s="865"/>
      <c r="HN653" s="866"/>
      <c r="HO653" s="865"/>
      <c r="HP653" s="866"/>
      <c r="HQ653" s="865"/>
      <c r="HR653" s="866"/>
      <c r="HS653" s="867"/>
      <c r="HT653" s="868"/>
      <c r="HU653" s="489"/>
      <c r="HV653" s="865"/>
      <c r="HW653" s="866"/>
    </row>
    <row r="654" spans="25:231" ht="15" customHeight="1">
      <c r="Y654" s="332"/>
      <c r="Z654" s="332"/>
      <c r="AA654" s="332"/>
      <c r="AB654" s="332"/>
      <c r="AC654" s="332"/>
      <c r="AD654" s="332"/>
      <c r="AE654" s="332"/>
      <c r="AF654" s="332"/>
      <c r="AG654" s="332"/>
      <c r="AH654" s="332"/>
      <c r="AI654" s="332"/>
      <c r="AJ654" s="332"/>
      <c r="AK654" s="332"/>
      <c r="AL654" s="332"/>
      <c r="AM654" s="332"/>
      <c r="AN654" s="332"/>
      <c r="AO654" s="332"/>
      <c r="AP654" s="332"/>
      <c r="AQ654" s="332"/>
      <c r="AR654" s="332"/>
      <c r="AS654" s="332"/>
      <c r="AT654" s="332"/>
      <c r="AU654" s="332"/>
      <c r="AV654" s="332"/>
      <c r="AW654" s="332"/>
      <c r="AX654" s="332"/>
      <c r="AY654" s="332"/>
      <c r="AZ654" s="332"/>
      <c r="BA654" s="332"/>
      <c r="BB654" s="332"/>
      <c r="BC654" s="332"/>
      <c r="BD654" s="332"/>
      <c r="BE654" s="332"/>
      <c r="BF654" s="332"/>
      <c r="BG654" s="332"/>
      <c r="BH654" s="332"/>
      <c r="BI654" s="332"/>
      <c r="BJ654" s="332"/>
      <c r="BK654" s="332"/>
      <c r="BL654" s="332"/>
      <c r="BM654" s="332"/>
      <c r="BN654" s="332"/>
      <c r="BO654" s="332"/>
      <c r="BP654" s="332"/>
      <c r="BQ654" s="332"/>
      <c r="BR654" s="332"/>
      <c r="BS654" s="332"/>
      <c r="BT654" s="332"/>
      <c r="BU654" s="332"/>
      <c r="BV654" s="332"/>
      <c r="BW654" s="332"/>
      <c r="BX654" s="332"/>
      <c r="BY654" s="332"/>
      <c r="BZ654" s="332"/>
      <c r="CA654" s="332"/>
      <c r="CB654" s="332"/>
      <c r="CC654" s="332"/>
      <c r="CD654" s="332"/>
      <c r="CE654" s="332"/>
      <c r="CF654" s="332"/>
      <c r="CG654" s="332"/>
      <c r="CH654" s="332"/>
      <c r="CI654" s="332"/>
      <c r="CJ654" s="332"/>
      <c r="CK654" s="332"/>
      <c r="CL654" s="332"/>
      <c r="CM654" s="332"/>
      <c r="CN654" s="332"/>
      <c r="CO654" s="332"/>
      <c r="CP654" s="332"/>
      <c r="CQ654" s="332"/>
      <c r="CR654" s="332"/>
      <c r="CS654" s="332"/>
      <c r="CT654" s="332"/>
      <c r="CU654" s="332"/>
      <c r="CV654" s="332"/>
      <c r="CW654" s="332"/>
      <c r="CX654" s="332"/>
      <c r="CY654" s="332"/>
      <c r="CZ654" s="332"/>
      <c r="DA654" s="332"/>
      <c r="DB654" s="332"/>
      <c r="DC654" s="332"/>
      <c r="DD654" s="332"/>
      <c r="DE654" s="332"/>
      <c r="DF654" s="332"/>
      <c r="DG654" s="332"/>
      <c r="DH654" s="332"/>
      <c r="DI654" s="332"/>
      <c r="DJ654" s="332"/>
      <c r="DK654" s="332"/>
      <c r="DL654" s="332"/>
      <c r="DM654" s="332"/>
      <c r="DN654" s="332"/>
      <c r="DO654" s="332"/>
      <c r="DP654" s="332"/>
      <c r="DQ654" s="332"/>
      <c r="DR654" s="332"/>
      <c r="DS654" s="332"/>
      <c r="DT654" s="332"/>
      <c r="DU654" s="453"/>
      <c r="DV654" s="453"/>
      <c r="DW654" s="453"/>
      <c r="DX654" s="453"/>
      <c r="DY654" s="453"/>
      <c r="DZ654" s="453"/>
      <c r="EA654" s="453"/>
      <c r="EB654" s="453"/>
      <c r="EC654" s="453"/>
      <c r="ED654" s="453"/>
      <c r="EE654" s="453"/>
      <c r="EF654" s="453"/>
      <c r="EG654" s="453"/>
      <c r="EH654" s="453"/>
      <c r="EI654" s="453"/>
      <c r="EJ654" s="453"/>
      <c r="EK654" s="453"/>
      <c r="EL654" s="453"/>
      <c r="EM654" s="483">
        <f t="shared" si="227"/>
        <v>345</v>
      </c>
      <c r="EN654" s="485"/>
      <c r="EO654" s="804"/>
      <c r="EP654" s="805"/>
      <c r="EQ654" s="806"/>
      <c r="ER654" s="808"/>
      <c r="ES654" s="881">
        <f t="shared" si="228"/>
        <v>0</v>
      </c>
      <c r="ET654" s="882"/>
      <c r="EU654" s="883"/>
      <c r="EV654" s="884">
        <f t="shared" si="226"/>
        <v>0</v>
      </c>
      <c r="EW654" s="885"/>
      <c r="EX654" s="885"/>
      <c r="EY654" s="885"/>
      <c r="EZ654" s="885"/>
      <c r="FA654" s="885"/>
      <c r="FB654" s="885"/>
      <c r="FC654" s="885"/>
      <c r="FD654" s="886"/>
      <c r="FE654" s="878"/>
      <c r="FF654" s="878"/>
      <c r="FG654" s="878"/>
      <c r="FH654" s="878"/>
      <c r="FI654" s="878"/>
      <c r="FJ654" s="878"/>
      <c r="FK654" s="878"/>
      <c r="FL654" s="555"/>
      <c r="FM654" s="554"/>
      <c r="FN654" s="554"/>
      <c r="FO654" s="554"/>
      <c r="FP654" s="554"/>
      <c r="FQ654" s="554"/>
      <c r="FR654" s="554"/>
      <c r="FS654" s="554"/>
      <c r="FT654" s="554"/>
      <c r="FU654" s="554"/>
      <c r="FV654" s="554"/>
      <c r="FW654" s="554"/>
      <c r="FX654" s="554"/>
      <c r="FY654" s="554"/>
      <c r="FZ654" s="554"/>
      <c r="GA654" s="554"/>
      <c r="GB654" s="556"/>
      <c r="GC654" s="370"/>
      <c r="GD654" s="453"/>
      <c r="GE654" s="453"/>
      <c r="GF654" s="453"/>
      <c r="GG654" s="453"/>
      <c r="GH654" s="454"/>
      <c r="GI654" s="453"/>
      <c r="GJ654" s="453"/>
      <c r="GK654" s="453"/>
      <c r="GL654" s="453"/>
      <c r="GM654" s="453"/>
      <c r="GN654" s="453"/>
      <c r="GO654" s="453"/>
      <c r="GP654" s="453"/>
      <c r="GQ654" s="453"/>
      <c r="GR654" s="453"/>
      <c r="GS654" s="561"/>
      <c r="GT654" s="475"/>
      <c r="GU654" s="472"/>
      <c r="GV654" s="453"/>
      <c r="GW654" s="453"/>
      <c r="GX654" s="869"/>
      <c r="GY654" s="870"/>
      <c r="GZ654" s="867"/>
      <c r="HA654" s="868"/>
      <c r="HB654" s="473"/>
      <c r="HC654" s="869"/>
      <c r="HD654" s="870"/>
      <c r="HE654" s="867"/>
      <c r="HF654" s="868"/>
      <c r="HG654" s="473"/>
      <c r="HH654" s="867"/>
      <c r="HI654" s="868"/>
      <c r="HJ654" s="867"/>
      <c r="HK654" s="868"/>
      <c r="HL654" s="370"/>
      <c r="HM654" s="865"/>
      <c r="HN654" s="866"/>
      <c r="HO654" s="865"/>
      <c r="HP654" s="866"/>
      <c r="HQ654" s="865"/>
      <c r="HR654" s="866"/>
      <c r="HS654" s="867"/>
      <c r="HT654" s="868"/>
      <c r="HU654" s="489"/>
      <c r="HV654" s="865"/>
      <c r="HW654" s="866"/>
    </row>
    <row r="655" spans="25:231" ht="15" customHeight="1">
      <c r="Y655" s="332"/>
      <c r="Z655" s="332"/>
      <c r="AA655" s="332"/>
      <c r="AB655" s="332"/>
      <c r="AC655" s="332"/>
      <c r="AD655" s="332"/>
      <c r="AE655" s="332"/>
      <c r="AF655" s="332"/>
      <c r="AG655" s="332"/>
      <c r="AH655" s="332"/>
      <c r="AI655" s="332"/>
      <c r="AJ655" s="332"/>
      <c r="AK655" s="332"/>
      <c r="AL655" s="332"/>
      <c r="AM655" s="332"/>
      <c r="AN655" s="332"/>
      <c r="AO655" s="332"/>
      <c r="AP655" s="332"/>
      <c r="AQ655" s="332"/>
      <c r="AR655" s="332"/>
      <c r="AS655" s="332"/>
      <c r="AT655" s="332"/>
      <c r="AU655" s="332"/>
      <c r="AV655" s="332"/>
      <c r="AW655" s="332"/>
      <c r="AX655" s="332"/>
      <c r="AY655" s="332"/>
      <c r="AZ655" s="332"/>
      <c r="BA655" s="332"/>
      <c r="BB655" s="332"/>
      <c r="BC655" s="332"/>
      <c r="BD655" s="332"/>
      <c r="BE655" s="332"/>
      <c r="BF655" s="332"/>
      <c r="BG655" s="332"/>
      <c r="BH655" s="332"/>
      <c r="BI655" s="332"/>
      <c r="BJ655" s="332"/>
      <c r="BK655" s="332"/>
      <c r="BL655" s="332"/>
      <c r="BM655" s="332"/>
      <c r="BN655" s="332"/>
      <c r="BO655" s="332"/>
      <c r="BP655" s="332"/>
      <c r="BQ655" s="332"/>
      <c r="BR655" s="332"/>
      <c r="BS655" s="332"/>
      <c r="BT655" s="332"/>
      <c r="BU655" s="332"/>
      <c r="BV655" s="332"/>
      <c r="BW655" s="332"/>
      <c r="BX655" s="332"/>
      <c r="BY655" s="332"/>
      <c r="BZ655" s="332"/>
      <c r="CA655" s="332"/>
      <c r="CB655" s="332"/>
      <c r="CC655" s="332"/>
      <c r="CD655" s="332"/>
      <c r="CE655" s="332"/>
      <c r="CF655" s="332"/>
      <c r="CG655" s="332"/>
      <c r="CH655" s="332"/>
      <c r="CI655" s="332"/>
      <c r="CJ655" s="332"/>
      <c r="CK655" s="332"/>
      <c r="CL655" s="332"/>
      <c r="CM655" s="332"/>
      <c r="CN655" s="332"/>
      <c r="CO655" s="332"/>
      <c r="CP655" s="332"/>
      <c r="CQ655" s="332"/>
      <c r="CR655" s="332"/>
      <c r="CS655" s="332"/>
      <c r="CT655" s="332"/>
      <c r="CU655" s="332"/>
      <c r="CV655" s="332"/>
      <c r="CW655" s="332"/>
      <c r="CX655" s="332"/>
      <c r="CY655" s="332"/>
      <c r="CZ655" s="332"/>
      <c r="DA655" s="332"/>
      <c r="DB655" s="332"/>
      <c r="DC655" s="332"/>
      <c r="DD655" s="332"/>
      <c r="DE655" s="332"/>
      <c r="DF655" s="332"/>
      <c r="DG655" s="332"/>
      <c r="DH655" s="332"/>
      <c r="DI655" s="332"/>
      <c r="DJ655" s="332"/>
      <c r="DK655" s="332"/>
      <c r="DL655" s="332"/>
      <c r="DM655" s="332"/>
      <c r="DN655" s="332"/>
      <c r="DO655" s="332"/>
      <c r="DP655" s="332"/>
      <c r="DQ655" s="332"/>
      <c r="DR655" s="332"/>
      <c r="DS655" s="332"/>
      <c r="DT655" s="332"/>
      <c r="DU655" s="453"/>
      <c r="DV655" s="453"/>
      <c r="DW655" s="453"/>
      <c r="DX655" s="453"/>
      <c r="DY655" s="453"/>
      <c r="DZ655" s="453"/>
      <c r="EA655" s="453"/>
      <c r="EB655" s="453"/>
      <c r="EC655" s="453"/>
      <c r="ED655" s="453"/>
      <c r="EE655" s="453"/>
      <c r="EF655" s="453"/>
      <c r="EG655" s="453"/>
      <c r="EH655" s="453"/>
      <c r="EI655" s="453"/>
      <c r="EJ655" s="453"/>
      <c r="EK655" s="453"/>
      <c r="EL655" s="453"/>
      <c r="EM655" s="483">
        <f t="shared" si="227"/>
        <v>346</v>
      </c>
      <c r="EN655" s="485"/>
      <c r="EO655" s="804"/>
      <c r="EP655" s="805"/>
      <c r="EQ655" s="806"/>
      <c r="ER655" s="808"/>
      <c r="ES655" s="881">
        <f t="shared" si="228"/>
        <v>0</v>
      </c>
      <c r="ET655" s="882"/>
      <c r="EU655" s="883"/>
      <c r="EV655" s="884">
        <f t="shared" si="226"/>
        <v>0</v>
      </c>
      <c r="EW655" s="885"/>
      <c r="EX655" s="885"/>
      <c r="EY655" s="885"/>
      <c r="EZ655" s="885"/>
      <c r="FA655" s="885"/>
      <c r="FB655" s="885"/>
      <c r="FC655" s="885"/>
      <c r="FD655" s="886"/>
      <c r="FE655" s="878"/>
      <c r="FF655" s="878"/>
      <c r="FG655" s="878"/>
      <c r="FH655" s="878"/>
      <c r="FI655" s="878"/>
      <c r="FJ655" s="878"/>
      <c r="FK655" s="878"/>
      <c r="FL655" s="555"/>
      <c r="FM655" s="554"/>
      <c r="FN655" s="554"/>
      <c r="FO655" s="554"/>
      <c r="FP655" s="554"/>
      <c r="FQ655" s="554"/>
      <c r="FR655" s="554"/>
      <c r="FS655" s="554"/>
      <c r="FT655" s="554"/>
      <c r="FU655" s="554"/>
      <c r="FV655" s="554"/>
      <c r="FW655" s="554"/>
      <c r="FX655" s="554"/>
      <c r="FY655" s="554"/>
      <c r="FZ655" s="554"/>
      <c r="GA655" s="554"/>
      <c r="GB655" s="556"/>
      <c r="GC655" s="370"/>
      <c r="GD655" s="453"/>
      <c r="GE655" s="453"/>
      <c r="GF655" s="453"/>
      <c r="GG655" s="453"/>
      <c r="GH655" s="454"/>
      <c r="GI655" s="453"/>
      <c r="GJ655" s="453"/>
      <c r="GK655" s="453"/>
      <c r="GL655" s="453"/>
      <c r="GM655" s="453"/>
      <c r="GN655" s="453"/>
      <c r="GO655" s="453"/>
      <c r="GP655" s="453"/>
      <c r="GQ655" s="453"/>
      <c r="GR655" s="453"/>
      <c r="GS655" s="561"/>
      <c r="GT655" s="475"/>
      <c r="GU655" s="472"/>
      <c r="GV655" s="453"/>
      <c r="GW655" s="453"/>
      <c r="GX655" s="869"/>
      <c r="GY655" s="870"/>
      <c r="GZ655" s="867"/>
      <c r="HA655" s="868"/>
      <c r="HB655" s="473"/>
      <c r="HC655" s="869"/>
      <c r="HD655" s="870"/>
      <c r="HE655" s="867"/>
      <c r="HF655" s="868"/>
      <c r="HG655" s="473"/>
      <c r="HH655" s="867"/>
      <c r="HI655" s="868"/>
      <c r="HJ655" s="867"/>
      <c r="HK655" s="868"/>
      <c r="HL655" s="370"/>
      <c r="HM655" s="865"/>
      <c r="HN655" s="866"/>
      <c r="HO655" s="865"/>
      <c r="HP655" s="866"/>
      <c r="HQ655" s="865"/>
      <c r="HR655" s="866"/>
      <c r="HS655" s="867"/>
      <c r="HT655" s="868"/>
      <c r="HU655" s="489"/>
      <c r="HV655" s="865"/>
      <c r="HW655" s="866"/>
    </row>
    <row r="656" spans="25:231" ht="15" customHeight="1">
      <c r="Y656" s="332"/>
      <c r="Z656" s="332"/>
      <c r="AA656" s="332"/>
      <c r="AB656" s="332"/>
      <c r="AC656" s="332"/>
      <c r="AD656" s="332"/>
      <c r="AE656" s="332"/>
      <c r="AF656" s="332"/>
      <c r="AG656" s="332"/>
      <c r="AH656" s="332"/>
      <c r="AI656" s="332"/>
      <c r="AJ656" s="332"/>
      <c r="AK656" s="332"/>
      <c r="AL656" s="332"/>
      <c r="AM656" s="332"/>
      <c r="AN656" s="332"/>
      <c r="AO656" s="332"/>
      <c r="AP656" s="332"/>
      <c r="AQ656" s="332"/>
      <c r="AR656" s="332"/>
      <c r="AS656" s="332"/>
      <c r="AT656" s="332"/>
      <c r="AU656" s="332"/>
      <c r="AV656" s="332"/>
      <c r="AW656" s="332"/>
      <c r="AX656" s="332"/>
      <c r="AY656" s="332"/>
      <c r="AZ656" s="332"/>
      <c r="BA656" s="332"/>
      <c r="BB656" s="332"/>
      <c r="BC656" s="332"/>
      <c r="BD656" s="332"/>
      <c r="BE656" s="332"/>
      <c r="BF656" s="332"/>
      <c r="BG656" s="332"/>
      <c r="BH656" s="332"/>
      <c r="BI656" s="332"/>
      <c r="BJ656" s="332"/>
      <c r="BK656" s="332"/>
      <c r="BL656" s="332"/>
      <c r="BM656" s="332"/>
      <c r="BN656" s="332"/>
      <c r="BO656" s="332"/>
      <c r="BP656" s="332"/>
      <c r="BQ656" s="332"/>
      <c r="BR656" s="332"/>
      <c r="BS656" s="332"/>
      <c r="BT656" s="332"/>
      <c r="BU656" s="332"/>
      <c r="BV656" s="332"/>
      <c r="BW656" s="332"/>
      <c r="BX656" s="332"/>
      <c r="BY656" s="332"/>
      <c r="BZ656" s="332"/>
      <c r="CA656" s="332"/>
      <c r="CB656" s="332"/>
      <c r="CC656" s="332"/>
      <c r="CD656" s="332"/>
      <c r="CE656" s="332"/>
      <c r="CF656" s="332"/>
      <c r="CG656" s="332"/>
      <c r="CH656" s="332"/>
      <c r="CI656" s="332"/>
      <c r="CJ656" s="332"/>
      <c r="CK656" s="332"/>
      <c r="CL656" s="332"/>
      <c r="CM656" s="332"/>
      <c r="CN656" s="332"/>
      <c r="CO656" s="332"/>
      <c r="CP656" s="332"/>
      <c r="CQ656" s="332"/>
      <c r="CR656" s="332"/>
      <c r="CS656" s="332"/>
      <c r="CT656" s="332"/>
      <c r="CU656" s="332"/>
      <c r="CV656" s="332"/>
      <c r="CW656" s="332"/>
      <c r="CX656" s="332"/>
      <c r="CY656" s="332"/>
      <c r="CZ656" s="332"/>
      <c r="DA656" s="332"/>
      <c r="DB656" s="332"/>
      <c r="DC656" s="332"/>
      <c r="DD656" s="332"/>
      <c r="DE656" s="332"/>
      <c r="DF656" s="332"/>
      <c r="DG656" s="332"/>
      <c r="DH656" s="332"/>
      <c r="DI656" s="332"/>
      <c r="DJ656" s="332"/>
      <c r="DK656" s="332"/>
      <c r="DL656" s="332"/>
      <c r="DM656" s="332"/>
      <c r="DN656" s="332"/>
      <c r="DO656" s="332"/>
      <c r="DP656" s="332"/>
      <c r="DQ656" s="332"/>
      <c r="DR656" s="332"/>
      <c r="DS656" s="332"/>
      <c r="DT656" s="332"/>
      <c r="DU656" s="453"/>
      <c r="DV656" s="453"/>
      <c r="DW656" s="453"/>
      <c r="DX656" s="453"/>
      <c r="DY656" s="453"/>
      <c r="DZ656" s="453"/>
      <c r="EA656" s="453"/>
      <c r="EB656" s="453"/>
      <c r="EC656" s="453"/>
      <c r="ED656" s="453"/>
      <c r="EE656" s="453"/>
      <c r="EF656" s="453"/>
      <c r="EG656" s="453"/>
      <c r="EH656" s="453"/>
      <c r="EI656" s="453"/>
      <c r="EJ656" s="453"/>
      <c r="EK656" s="453"/>
      <c r="EL656" s="453"/>
      <c r="EM656" s="483">
        <f t="shared" si="227"/>
        <v>347</v>
      </c>
      <c r="EN656" s="485"/>
      <c r="EO656" s="458"/>
      <c r="EP656" s="467"/>
      <c r="EQ656" s="806"/>
      <c r="ER656" s="808"/>
      <c r="ES656" s="881">
        <f t="shared" si="228"/>
        <v>0</v>
      </c>
      <c r="ET656" s="882"/>
      <c r="EU656" s="883"/>
      <c r="EV656" s="884">
        <f t="shared" si="226"/>
        <v>0</v>
      </c>
      <c r="EW656" s="885"/>
      <c r="EX656" s="885"/>
      <c r="EY656" s="885"/>
      <c r="EZ656" s="885"/>
      <c r="FA656" s="885"/>
      <c r="FB656" s="885"/>
      <c r="FC656" s="885"/>
      <c r="FD656" s="886"/>
      <c r="FE656" s="878"/>
      <c r="FF656" s="878"/>
      <c r="FG656" s="878"/>
      <c r="FH656" s="878"/>
      <c r="FI656" s="878"/>
      <c r="FJ656" s="878"/>
      <c r="FK656" s="878"/>
      <c r="FL656" s="555"/>
      <c r="FM656" s="554"/>
      <c r="FN656" s="554"/>
      <c r="FO656" s="554"/>
      <c r="FP656" s="554"/>
      <c r="FQ656" s="554"/>
      <c r="FR656" s="554"/>
      <c r="FS656" s="554"/>
      <c r="FT656" s="554"/>
      <c r="FU656" s="554"/>
      <c r="FV656" s="554"/>
      <c r="FW656" s="554"/>
      <c r="FX656" s="554"/>
      <c r="FY656" s="554"/>
      <c r="FZ656" s="554"/>
      <c r="GA656" s="554"/>
      <c r="GB656" s="556"/>
      <c r="GC656" s="370"/>
      <c r="GD656" s="453"/>
      <c r="GE656" s="453"/>
      <c r="GF656" s="453"/>
      <c r="GG656" s="453"/>
      <c r="GH656" s="454"/>
      <c r="GI656" s="453"/>
      <c r="GJ656" s="453"/>
      <c r="GK656" s="453"/>
      <c r="GL656" s="453"/>
      <c r="GM656" s="453"/>
      <c r="GN656" s="453"/>
      <c r="GO656" s="453"/>
      <c r="GP656" s="453"/>
      <c r="GQ656" s="453"/>
      <c r="GR656" s="453"/>
      <c r="GS656" s="561"/>
      <c r="GT656" s="475"/>
      <c r="GU656" s="472"/>
      <c r="GV656" s="453"/>
      <c r="GW656" s="453"/>
      <c r="GX656" s="869"/>
      <c r="GY656" s="870"/>
      <c r="GZ656" s="867"/>
      <c r="HA656" s="868"/>
      <c r="HB656" s="473"/>
      <c r="HC656" s="869"/>
      <c r="HD656" s="870"/>
      <c r="HE656" s="867"/>
      <c r="HF656" s="868"/>
      <c r="HG656" s="473"/>
      <c r="HH656" s="867"/>
      <c r="HI656" s="868"/>
      <c r="HJ656" s="867"/>
      <c r="HK656" s="868"/>
      <c r="HL656" s="370"/>
      <c r="HM656" s="865"/>
      <c r="HN656" s="866"/>
      <c r="HO656" s="865"/>
      <c r="HP656" s="866"/>
      <c r="HQ656" s="865"/>
      <c r="HR656" s="866"/>
      <c r="HS656" s="867"/>
      <c r="HT656" s="868"/>
      <c r="HU656" s="489"/>
      <c r="HV656" s="865"/>
      <c r="HW656" s="866"/>
    </row>
    <row r="657" spans="25:231" ht="15" customHeight="1">
      <c r="Y657" s="332"/>
      <c r="Z657" s="332"/>
      <c r="AA657" s="332"/>
      <c r="AB657" s="332"/>
      <c r="AC657" s="332"/>
      <c r="AD657" s="332"/>
      <c r="AE657" s="332"/>
      <c r="AF657" s="332"/>
      <c r="AG657" s="332"/>
      <c r="AH657" s="332"/>
      <c r="AI657" s="332"/>
      <c r="AJ657" s="332"/>
      <c r="AK657" s="332"/>
      <c r="AL657" s="332"/>
      <c r="AM657" s="332"/>
      <c r="AN657" s="332"/>
      <c r="AO657" s="332"/>
      <c r="AP657" s="332"/>
      <c r="AQ657" s="332"/>
      <c r="AR657" s="332"/>
      <c r="AS657" s="332"/>
      <c r="AT657" s="332"/>
      <c r="AU657" s="332"/>
      <c r="AV657" s="332"/>
      <c r="AW657" s="332"/>
      <c r="AX657" s="332"/>
      <c r="AY657" s="332"/>
      <c r="AZ657" s="332"/>
      <c r="BA657" s="332"/>
      <c r="BB657" s="332"/>
      <c r="BC657" s="332"/>
      <c r="BD657" s="332"/>
      <c r="BE657" s="332"/>
      <c r="BF657" s="332"/>
      <c r="BG657" s="332"/>
      <c r="BH657" s="332"/>
      <c r="BI657" s="332"/>
      <c r="BJ657" s="332"/>
      <c r="BK657" s="332"/>
      <c r="BL657" s="332"/>
      <c r="BM657" s="332"/>
      <c r="BN657" s="332"/>
      <c r="BO657" s="332"/>
      <c r="BP657" s="332"/>
      <c r="BQ657" s="332"/>
      <c r="BR657" s="332"/>
      <c r="BS657" s="332"/>
      <c r="BT657" s="332"/>
      <c r="BU657" s="332"/>
      <c r="BV657" s="332"/>
      <c r="BW657" s="332"/>
      <c r="BX657" s="332"/>
      <c r="BY657" s="332"/>
      <c r="BZ657" s="332"/>
      <c r="CA657" s="332"/>
      <c r="CB657" s="332"/>
      <c r="CC657" s="332"/>
      <c r="CD657" s="332"/>
      <c r="CE657" s="332"/>
      <c r="CF657" s="332"/>
      <c r="CG657" s="332"/>
      <c r="CH657" s="332"/>
      <c r="CI657" s="332"/>
      <c r="CJ657" s="332"/>
      <c r="CK657" s="332"/>
      <c r="CL657" s="332"/>
      <c r="CM657" s="332"/>
      <c r="CN657" s="332"/>
      <c r="CO657" s="332"/>
      <c r="CP657" s="332"/>
      <c r="CQ657" s="332"/>
      <c r="CR657" s="332"/>
      <c r="CS657" s="332"/>
      <c r="CT657" s="332"/>
      <c r="CU657" s="332"/>
      <c r="CV657" s="332"/>
      <c r="CW657" s="332"/>
      <c r="CX657" s="332"/>
      <c r="CY657" s="332"/>
      <c r="CZ657" s="332"/>
      <c r="DA657" s="332"/>
      <c r="DB657" s="332"/>
      <c r="DC657" s="332"/>
      <c r="DD657" s="332"/>
      <c r="DE657" s="332"/>
      <c r="DF657" s="332"/>
      <c r="DG657" s="332"/>
      <c r="DH657" s="332"/>
      <c r="DI657" s="332"/>
      <c r="DJ657" s="332"/>
      <c r="DK657" s="332"/>
      <c r="DL657" s="332"/>
      <c r="DM657" s="332"/>
      <c r="DN657" s="332"/>
      <c r="DO657" s="332"/>
      <c r="DP657" s="332"/>
      <c r="DQ657" s="332"/>
      <c r="DR657" s="332"/>
      <c r="DS657" s="332"/>
      <c r="DT657" s="332"/>
      <c r="DU657" s="453"/>
      <c r="DV657" s="453"/>
      <c r="DW657" s="453"/>
      <c r="DX657" s="453"/>
      <c r="DY657" s="453"/>
      <c r="DZ657" s="453"/>
      <c r="EA657" s="453"/>
      <c r="EB657" s="453"/>
      <c r="EC657" s="453"/>
      <c r="ED657" s="453"/>
      <c r="EE657" s="453"/>
      <c r="EF657" s="453"/>
      <c r="EG657" s="453"/>
      <c r="EH657" s="453"/>
      <c r="EI657" s="453"/>
      <c r="EJ657" s="453"/>
      <c r="EK657" s="453"/>
      <c r="EL657" s="453"/>
      <c r="EM657" s="483">
        <f t="shared" si="227"/>
        <v>348</v>
      </c>
      <c r="EN657" s="485"/>
      <c r="EO657" s="458"/>
      <c r="EP657" s="467"/>
      <c r="EQ657" s="806"/>
      <c r="ER657" s="808"/>
      <c r="ES657" s="881">
        <f t="shared" si="228"/>
        <v>0</v>
      </c>
      <c r="ET657" s="882"/>
      <c r="EU657" s="883"/>
      <c r="EV657" s="884">
        <f t="shared" si="226"/>
        <v>0</v>
      </c>
      <c r="EW657" s="885"/>
      <c r="EX657" s="885"/>
      <c r="EY657" s="885"/>
      <c r="EZ657" s="885"/>
      <c r="FA657" s="885"/>
      <c r="FB657" s="885"/>
      <c r="FC657" s="885"/>
      <c r="FD657" s="886"/>
      <c r="FE657" s="878"/>
      <c r="FF657" s="878"/>
      <c r="FG657" s="878"/>
      <c r="FH657" s="878"/>
      <c r="FI657" s="878"/>
      <c r="FJ657" s="878"/>
      <c r="FK657" s="878"/>
      <c r="FL657" s="555"/>
      <c r="FM657" s="554"/>
      <c r="FN657" s="554"/>
      <c r="FO657" s="554"/>
      <c r="FP657" s="554"/>
      <c r="FQ657" s="554"/>
      <c r="FR657" s="554"/>
      <c r="FS657" s="554"/>
      <c r="FT657" s="554"/>
      <c r="FU657" s="554"/>
      <c r="FV657" s="554"/>
      <c r="FW657" s="554"/>
      <c r="FX657" s="554"/>
      <c r="FY657" s="554"/>
      <c r="FZ657" s="554"/>
      <c r="GA657" s="554"/>
      <c r="GB657" s="556"/>
      <c r="GC657" s="370"/>
      <c r="GD657" s="453"/>
      <c r="GE657" s="453"/>
      <c r="GF657" s="453"/>
      <c r="GG657" s="453"/>
      <c r="GH657" s="454"/>
      <c r="GI657" s="453"/>
      <c r="GJ657" s="453"/>
      <c r="GK657" s="453"/>
      <c r="GL657" s="453"/>
      <c r="GM657" s="453"/>
      <c r="GN657" s="453"/>
      <c r="GO657" s="453"/>
      <c r="GP657" s="453"/>
      <c r="GQ657" s="453"/>
      <c r="GR657" s="453"/>
      <c r="GS657" s="561"/>
      <c r="GT657" s="475"/>
      <c r="GU657" s="472"/>
      <c r="GV657" s="453"/>
      <c r="GW657" s="453"/>
      <c r="GX657" s="869"/>
      <c r="GY657" s="870"/>
      <c r="GZ657" s="867"/>
      <c r="HA657" s="868"/>
      <c r="HB657" s="473"/>
      <c r="HC657" s="869"/>
      <c r="HD657" s="870"/>
      <c r="HE657" s="867"/>
      <c r="HF657" s="868"/>
      <c r="HG657" s="473"/>
      <c r="HH657" s="867"/>
      <c r="HI657" s="868"/>
      <c r="HJ657" s="867"/>
      <c r="HK657" s="868"/>
      <c r="HL657" s="370"/>
      <c r="HM657" s="865"/>
      <c r="HN657" s="866"/>
      <c r="HO657" s="865"/>
      <c r="HP657" s="866"/>
      <c r="HQ657" s="865"/>
      <c r="HR657" s="866"/>
      <c r="HS657" s="867"/>
      <c r="HT657" s="868"/>
      <c r="HU657" s="489"/>
      <c r="HV657" s="865"/>
      <c r="HW657" s="866"/>
    </row>
    <row r="658" spans="25:231" ht="15" customHeight="1">
      <c r="Y658" s="332"/>
      <c r="Z658" s="332"/>
      <c r="AA658" s="332"/>
      <c r="AB658" s="332"/>
      <c r="AC658" s="332"/>
      <c r="AD658" s="332"/>
      <c r="AE658" s="332"/>
      <c r="AF658" s="332"/>
      <c r="AG658" s="332"/>
      <c r="AH658" s="332"/>
      <c r="AI658" s="332"/>
      <c r="AJ658" s="332"/>
      <c r="AK658" s="332"/>
      <c r="AL658" s="332"/>
      <c r="AM658" s="332"/>
      <c r="AN658" s="332"/>
      <c r="AO658" s="332"/>
      <c r="AP658" s="332"/>
      <c r="AQ658" s="332"/>
      <c r="AR658" s="332"/>
      <c r="AS658" s="332"/>
      <c r="AT658" s="332"/>
      <c r="AU658" s="332"/>
      <c r="AV658" s="332"/>
      <c r="AW658" s="332"/>
      <c r="AX658" s="332"/>
      <c r="AY658" s="332"/>
      <c r="AZ658" s="332"/>
      <c r="BA658" s="332"/>
      <c r="BB658" s="332"/>
      <c r="BC658" s="332"/>
      <c r="BD658" s="332"/>
      <c r="BE658" s="332"/>
      <c r="BF658" s="332"/>
      <c r="BG658" s="332"/>
      <c r="BH658" s="332"/>
      <c r="BI658" s="332"/>
      <c r="BJ658" s="332"/>
      <c r="BK658" s="332"/>
      <c r="BL658" s="332"/>
      <c r="BM658" s="332"/>
      <c r="BN658" s="332"/>
      <c r="BO658" s="332"/>
      <c r="BP658" s="332"/>
      <c r="BQ658" s="332"/>
      <c r="BR658" s="332"/>
      <c r="BS658" s="332"/>
      <c r="BT658" s="332"/>
      <c r="BU658" s="332"/>
      <c r="BV658" s="332"/>
      <c r="BW658" s="332"/>
      <c r="BX658" s="332"/>
      <c r="BY658" s="332"/>
      <c r="BZ658" s="332"/>
      <c r="CA658" s="332"/>
      <c r="CB658" s="332"/>
      <c r="CC658" s="332"/>
      <c r="CD658" s="332"/>
      <c r="CE658" s="332"/>
      <c r="CF658" s="332"/>
      <c r="CG658" s="332"/>
      <c r="CH658" s="332"/>
      <c r="CI658" s="332"/>
      <c r="CJ658" s="332"/>
      <c r="CK658" s="332"/>
      <c r="CL658" s="332"/>
      <c r="CM658" s="332"/>
      <c r="CN658" s="332"/>
      <c r="CO658" s="332"/>
      <c r="CP658" s="332"/>
      <c r="CQ658" s="332"/>
      <c r="CR658" s="332"/>
      <c r="CS658" s="332"/>
      <c r="CT658" s="332"/>
      <c r="CU658" s="332"/>
      <c r="CV658" s="332"/>
      <c r="CW658" s="332"/>
      <c r="CX658" s="332"/>
      <c r="CY658" s="332"/>
      <c r="CZ658" s="332"/>
      <c r="DA658" s="332"/>
      <c r="DB658" s="332"/>
      <c r="DC658" s="332"/>
      <c r="DD658" s="332"/>
      <c r="DE658" s="332"/>
      <c r="DF658" s="332"/>
      <c r="DG658" s="332"/>
      <c r="DH658" s="332"/>
      <c r="DI658" s="332"/>
      <c r="DJ658" s="332"/>
      <c r="DK658" s="332"/>
      <c r="DL658" s="332"/>
      <c r="DM658" s="332"/>
      <c r="DN658" s="332"/>
      <c r="DO658" s="332"/>
      <c r="DP658" s="332"/>
      <c r="DQ658" s="332"/>
      <c r="DR658" s="332"/>
      <c r="DS658" s="332"/>
      <c r="DT658" s="332"/>
      <c r="DU658" s="453"/>
      <c r="DV658" s="453"/>
      <c r="DW658" s="453"/>
      <c r="DX658" s="453"/>
      <c r="DY658" s="453"/>
      <c r="DZ658" s="453"/>
      <c r="EA658" s="453"/>
      <c r="EB658" s="453"/>
      <c r="EC658" s="453"/>
      <c r="ED658" s="453"/>
      <c r="EE658" s="453"/>
      <c r="EF658" s="453"/>
      <c r="EG658" s="453"/>
      <c r="EH658" s="453"/>
      <c r="EI658" s="453"/>
      <c r="EJ658" s="453"/>
      <c r="EK658" s="453"/>
      <c r="EL658" s="453"/>
      <c r="EM658" s="483">
        <f t="shared" si="227"/>
        <v>349</v>
      </c>
      <c r="EN658" s="485"/>
      <c r="EO658" s="804"/>
      <c r="EP658" s="805"/>
      <c r="EQ658" s="806"/>
      <c r="ER658" s="808"/>
      <c r="ES658" s="881">
        <f t="shared" si="228"/>
        <v>0</v>
      </c>
      <c r="ET658" s="882"/>
      <c r="EU658" s="883"/>
      <c r="EV658" s="884">
        <f t="shared" si="226"/>
        <v>0</v>
      </c>
      <c r="EW658" s="885"/>
      <c r="EX658" s="885"/>
      <c r="EY658" s="885"/>
      <c r="EZ658" s="885"/>
      <c r="FA658" s="885"/>
      <c r="FB658" s="885"/>
      <c r="FC658" s="885"/>
      <c r="FD658" s="886"/>
      <c r="FE658" s="878"/>
      <c r="FF658" s="878"/>
      <c r="FG658" s="878"/>
      <c r="FH658" s="878"/>
      <c r="FI658" s="878"/>
      <c r="FJ658" s="878"/>
      <c r="FK658" s="878"/>
      <c r="FL658" s="555"/>
      <c r="FM658" s="554"/>
      <c r="FN658" s="554"/>
      <c r="FO658" s="554"/>
      <c r="FP658" s="554"/>
      <c r="FQ658" s="554"/>
      <c r="FR658" s="554"/>
      <c r="FS658" s="554"/>
      <c r="FT658" s="554"/>
      <c r="FU658" s="554"/>
      <c r="FV658" s="554"/>
      <c r="FW658" s="554"/>
      <c r="FX658" s="554"/>
      <c r="FY658" s="554"/>
      <c r="FZ658" s="554"/>
      <c r="GA658" s="554"/>
      <c r="GB658" s="556"/>
      <c r="GC658" s="370"/>
      <c r="GD658" s="453"/>
      <c r="GE658" s="453"/>
      <c r="GF658" s="453"/>
      <c r="GG658" s="453"/>
      <c r="GH658" s="454"/>
      <c r="GI658" s="453"/>
      <c r="GJ658" s="453"/>
      <c r="GK658" s="453"/>
      <c r="GL658" s="453"/>
      <c r="GM658" s="453"/>
      <c r="GN658" s="453"/>
      <c r="GO658" s="453"/>
      <c r="GP658" s="453"/>
      <c r="GQ658" s="453"/>
      <c r="GR658" s="453"/>
      <c r="GS658" s="561"/>
      <c r="GT658" s="475"/>
      <c r="GU658" s="472"/>
      <c r="GV658" s="453"/>
      <c r="GW658" s="453"/>
      <c r="GX658" s="869"/>
      <c r="GY658" s="870"/>
      <c r="GZ658" s="867"/>
      <c r="HA658" s="868"/>
      <c r="HB658" s="473"/>
      <c r="HC658" s="869"/>
      <c r="HD658" s="870"/>
      <c r="HE658" s="867"/>
      <c r="HF658" s="868"/>
      <c r="HG658" s="473"/>
      <c r="HH658" s="867"/>
      <c r="HI658" s="868"/>
      <c r="HJ658" s="867"/>
      <c r="HK658" s="868"/>
      <c r="HL658" s="370"/>
      <c r="HM658" s="865"/>
      <c r="HN658" s="866"/>
      <c r="HO658" s="865"/>
      <c r="HP658" s="866"/>
      <c r="HQ658" s="865"/>
      <c r="HR658" s="866"/>
      <c r="HS658" s="867"/>
      <c r="HT658" s="868"/>
      <c r="HU658" s="489"/>
      <c r="HV658" s="865"/>
      <c r="HW658" s="866"/>
    </row>
    <row r="659" spans="25:231" ht="15" customHeight="1">
      <c r="Y659" s="332"/>
      <c r="Z659" s="332"/>
      <c r="AA659" s="332"/>
      <c r="AB659" s="332"/>
      <c r="AC659" s="332"/>
      <c r="AD659" s="332"/>
      <c r="AE659" s="332"/>
      <c r="AF659" s="332"/>
      <c r="AG659" s="332"/>
      <c r="AH659" s="332"/>
      <c r="AI659" s="332"/>
      <c r="AJ659" s="332"/>
      <c r="AK659" s="332"/>
      <c r="AL659" s="332"/>
      <c r="AM659" s="332"/>
      <c r="AN659" s="332"/>
      <c r="AO659" s="332"/>
      <c r="AP659" s="332"/>
      <c r="AQ659" s="332"/>
      <c r="AR659" s="332"/>
      <c r="AS659" s="332"/>
      <c r="AT659" s="332"/>
      <c r="AU659" s="332"/>
      <c r="AV659" s="332"/>
      <c r="AW659" s="332"/>
      <c r="AX659" s="332"/>
      <c r="AY659" s="332"/>
      <c r="AZ659" s="332"/>
      <c r="BA659" s="332"/>
      <c r="BB659" s="332"/>
      <c r="BC659" s="332"/>
      <c r="BD659" s="332"/>
      <c r="BE659" s="332"/>
      <c r="BF659" s="332"/>
      <c r="BG659" s="332"/>
      <c r="BH659" s="332"/>
      <c r="BI659" s="332"/>
      <c r="BJ659" s="332"/>
      <c r="BK659" s="332"/>
      <c r="BL659" s="332"/>
      <c r="BM659" s="332"/>
      <c r="BN659" s="332"/>
      <c r="BO659" s="332"/>
      <c r="BP659" s="332"/>
      <c r="BQ659" s="332"/>
      <c r="BR659" s="332"/>
      <c r="BS659" s="332"/>
      <c r="BT659" s="332"/>
      <c r="BU659" s="332"/>
      <c r="BV659" s="332"/>
      <c r="BW659" s="332"/>
      <c r="BX659" s="332"/>
      <c r="BY659" s="332"/>
      <c r="BZ659" s="332"/>
      <c r="CA659" s="332"/>
      <c r="CB659" s="332"/>
      <c r="CC659" s="332"/>
      <c r="CD659" s="332"/>
      <c r="CE659" s="332"/>
      <c r="CF659" s="332"/>
      <c r="CG659" s="332"/>
      <c r="CH659" s="332"/>
      <c r="CI659" s="332"/>
      <c r="CJ659" s="332"/>
      <c r="CK659" s="332"/>
      <c r="CL659" s="332"/>
      <c r="CM659" s="332"/>
      <c r="CN659" s="332"/>
      <c r="CO659" s="332"/>
      <c r="CP659" s="332"/>
      <c r="CQ659" s="332"/>
      <c r="CR659" s="332"/>
      <c r="CS659" s="332"/>
      <c r="CT659" s="332"/>
      <c r="CU659" s="332"/>
      <c r="CV659" s="332"/>
      <c r="CW659" s="332"/>
      <c r="CX659" s="332"/>
      <c r="CY659" s="332"/>
      <c r="CZ659" s="332"/>
      <c r="DA659" s="332"/>
      <c r="DB659" s="332"/>
      <c r="DC659" s="332"/>
      <c r="DD659" s="332"/>
      <c r="DE659" s="332"/>
      <c r="DF659" s="332"/>
      <c r="DG659" s="332"/>
      <c r="DH659" s="332"/>
      <c r="DI659" s="332"/>
      <c r="DJ659" s="332"/>
      <c r="DK659" s="332"/>
      <c r="DL659" s="332"/>
      <c r="DM659" s="332"/>
      <c r="DN659" s="332"/>
      <c r="DO659" s="332"/>
      <c r="DP659" s="332"/>
      <c r="DQ659" s="332"/>
      <c r="DR659" s="332"/>
      <c r="DS659" s="332"/>
      <c r="DT659" s="332"/>
      <c r="DU659" s="453"/>
      <c r="DV659" s="453"/>
      <c r="DW659" s="453"/>
      <c r="DX659" s="453"/>
      <c r="DY659" s="453"/>
      <c r="DZ659" s="453"/>
      <c r="EA659" s="453"/>
      <c r="EB659" s="453"/>
      <c r="EC659" s="453"/>
      <c r="ED659" s="453"/>
      <c r="EE659" s="453"/>
      <c r="EF659" s="453"/>
      <c r="EG659" s="453"/>
      <c r="EH659" s="453"/>
      <c r="EI659" s="453"/>
      <c r="EJ659" s="453"/>
      <c r="EK659" s="453"/>
      <c r="EL659" s="453"/>
      <c r="EM659" s="483">
        <f t="shared" si="227"/>
        <v>350</v>
      </c>
      <c r="EN659" s="485"/>
      <c r="EO659" s="804"/>
      <c r="EP659" s="805"/>
      <c r="EQ659" s="806"/>
      <c r="ER659" s="808"/>
      <c r="ES659" s="881">
        <f t="shared" si="228"/>
        <v>0</v>
      </c>
      <c r="ET659" s="882"/>
      <c r="EU659" s="883"/>
      <c r="EV659" s="884">
        <f t="shared" si="226"/>
        <v>0</v>
      </c>
      <c r="EW659" s="885"/>
      <c r="EX659" s="885"/>
      <c r="EY659" s="885"/>
      <c r="EZ659" s="885"/>
      <c r="FA659" s="885"/>
      <c r="FB659" s="885"/>
      <c r="FC659" s="885"/>
      <c r="FD659" s="886"/>
      <c r="FE659" s="878"/>
      <c r="FF659" s="878"/>
      <c r="FG659" s="878"/>
      <c r="FH659" s="878"/>
      <c r="FI659" s="878"/>
      <c r="FJ659" s="878"/>
      <c r="FK659" s="878"/>
      <c r="FL659" s="555"/>
      <c r="FM659" s="554"/>
      <c r="FN659" s="554"/>
      <c r="FO659" s="554"/>
      <c r="FP659" s="554"/>
      <c r="FQ659" s="554"/>
      <c r="FR659" s="554"/>
      <c r="FS659" s="554"/>
      <c r="FT659" s="554"/>
      <c r="FU659" s="554"/>
      <c r="FV659" s="554"/>
      <c r="FW659" s="554"/>
      <c r="FX659" s="554"/>
      <c r="FY659" s="554"/>
      <c r="FZ659" s="554"/>
      <c r="GA659" s="554"/>
      <c r="GB659" s="556"/>
      <c r="GC659" s="370"/>
      <c r="GD659" s="453"/>
      <c r="GE659" s="453"/>
      <c r="GF659" s="453"/>
      <c r="GG659" s="453"/>
      <c r="GH659" s="454"/>
      <c r="GI659" s="453"/>
      <c r="GJ659" s="453"/>
      <c r="GK659" s="453"/>
      <c r="GL659" s="453"/>
      <c r="GM659" s="453"/>
      <c r="GN659" s="453"/>
      <c r="GO659" s="453"/>
      <c r="GP659" s="453"/>
      <c r="GQ659" s="453"/>
      <c r="GR659" s="453"/>
      <c r="GS659" s="561"/>
      <c r="GT659" s="475"/>
      <c r="GU659" s="472"/>
      <c r="GV659" s="453"/>
      <c r="GW659" s="453"/>
      <c r="GX659" s="869"/>
      <c r="GY659" s="870"/>
      <c r="GZ659" s="867"/>
      <c r="HA659" s="868"/>
      <c r="HB659" s="473"/>
      <c r="HC659" s="869"/>
      <c r="HD659" s="870"/>
      <c r="HE659" s="867"/>
      <c r="HF659" s="868"/>
      <c r="HG659" s="473"/>
      <c r="HH659" s="867"/>
      <c r="HI659" s="868"/>
      <c r="HJ659" s="867"/>
      <c r="HK659" s="868"/>
      <c r="HL659" s="370"/>
      <c r="HM659" s="865"/>
      <c r="HN659" s="866"/>
      <c r="HO659" s="865"/>
      <c r="HP659" s="866"/>
      <c r="HQ659" s="865"/>
      <c r="HR659" s="866"/>
      <c r="HS659" s="867"/>
      <c r="HT659" s="868"/>
      <c r="HU659" s="489"/>
      <c r="HV659" s="865"/>
      <c r="HW659" s="866"/>
    </row>
    <row r="660" spans="25:231" ht="15" customHeight="1">
      <c r="Y660" s="332"/>
      <c r="Z660" s="332"/>
      <c r="AA660" s="332"/>
      <c r="AB660" s="332"/>
      <c r="AC660" s="332"/>
      <c r="AD660" s="332"/>
      <c r="AE660" s="332"/>
      <c r="AF660" s="332"/>
      <c r="AG660" s="332"/>
      <c r="AH660" s="332"/>
      <c r="AI660" s="332"/>
      <c r="AJ660" s="332"/>
      <c r="AK660" s="332"/>
      <c r="AL660" s="332"/>
      <c r="AM660" s="332"/>
      <c r="AN660" s="332"/>
      <c r="AO660" s="332"/>
      <c r="AP660" s="332"/>
      <c r="AQ660" s="332"/>
      <c r="AR660" s="332"/>
      <c r="AS660" s="332"/>
      <c r="AT660" s="332"/>
      <c r="AU660" s="332"/>
      <c r="AV660" s="332"/>
      <c r="AW660" s="332"/>
      <c r="AX660" s="332"/>
      <c r="AY660" s="332"/>
      <c r="AZ660" s="332"/>
      <c r="BA660" s="332"/>
      <c r="BB660" s="332"/>
      <c r="BC660" s="332"/>
      <c r="BD660" s="332"/>
      <c r="BE660" s="332"/>
      <c r="BF660" s="332"/>
      <c r="BG660" s="332"/>
      <c r="BH660" s="332"/>
      <c r="BI660" s="332"/>
      <c r="BJ660" s="332"/>
      <c r="BK660" s="332"/>
      <c r="BL660" s="332"/>
      <c r="BM660" s="332"/>
      <c r="BN660" s="332"/>
      <c r="BO660" s="332"/>
      <c r="BP660" s="332"/>
      <c r="BQ660" s="332"/>
      <c r="BR660" s="332"/>
      <c r="BS660" s="332"/>
      <c r="BT660" s="332"/>
      <c r="BU660" s="332"/>
      <c r="BV660" s="332"/>
      <c r="BW660" s="332"/>
      <c r="BX660" s="332"/>
      <c r="BY660" s="332"/>
      <c r="BZ660" s="332"/>
      <c r="CA660" s="332"/>
      <c r="CB660" s="332"/>
      <c r="CC660" s="332"/>
      <c r="CD660" s="332"/>
      <c r="CE660" s="332"/>
      <c r="CF660" s="332"/>
      <c r="CG660" s="332"/>
      <c r="CH660" s="332"/>
      <c r="CI660" s="332"/>
      <c r="CJ660" s="332"/>
      <c r="CK660" s="332"/>
      <c r="CL660" s="332"/>
      <c r="CM660" s="332"/>
      <c r="CN660" s="332"/>
      <c r="CO660" s="332"/>
      <c r="CP660" s="332"/>
      <c r="CQ660" s="332"/>
      <c r="CR660" s="332"/>
      <c r="CS660" s="332"/>
      <c r="CT660" s="332"/>
      <c r="CU660" s="332"/>
      <c r="CV660" s="332"/>
      <c r="CW660" s="332"/>
      <c r="CX660" s="332"/>
      <c r="CY660" s="332"/>
      <c r="CZ660" s="332"/>
      <c r="DA660" s="332"/>
      <c r="DB660" s="332"/>
      <c r="DC660" s="332"/>
      <c r="DD660" s="332"/>
      <c r="DE660" s="332"/>
      <c r="DF660" s="332"/>
      <c r="DG660" s="332"/>
      <c r="DH660" s="332"/>
      <c r="DI660" s="332"/>
      <c r="DJ660" s="332"/>
      <c r="DK660" s="332"/>
      <c r="DL660" s="332"/>
      <c r="DM660" s="332"/>
      <c r="DN660" s="332"/>
      <c r="DO660" s="332"/>
      <c r="DP660" s="332"/>
      <c r="DQ660" s="332"/>
      <c r="DR660" s="332"/>
      <c r="DS660" s="332"/>
      <c r="DT660" s="332"/>
      <c r="DU660" s="453"/>
      <c r="DV660" s="453"/>
      <c r="DW660" s="453"/>
      <c r="DX660" s="453"/>
      <c r="DY660" s="453"/>
      <c r="DZ660" s="453"/>
      <c r="EA660" s="453"/>
      <c r="EB660" s="453"/>
      <c r="EC660" s="453"/>
      <c r="ED660" s="453"/>
      <c r="EE660" s="453"/>
      <c r="EF660" s="453"/>
      <c r="EG660" s="453"/>
      <c r="EH660" s="453"/>
      <c r="EI660" s="453"/>
      <c r="EJ660" s="453"/>
      <c r="EK660" s="453"/>
      <c r="EL660" s="453"/>
      <c r="EM660" s="483">
        <f t="shared" si="227"/>
        <v>351</v>
      </c>
      <c r="EN660" s="485"/>
      <c r="EO660" s="458"/>
      <c r="EP660" s="467"/>
      <c r="EQ660" s="457"/>
      <c r="ER660" s="808"/>
      <c r="ES660" s="881">
        <f t="shared" si="228"/>
        <v>0</v>
      </c>
      <c r="ET660" s="882"/>
      <c r="EU660" s="883"/>
      <c r="EV660" s="884">
        <f t="shared" si="226"/>
        <v>0</v>
      </c>
      <c r="EW660" s="885"/>
      <c r="EX660" s="885"/>
      <c r="EY660" s="885"/>
      <c r="EZ660" s="885"/>
      <c r="FA660" s="885"/>
      <c r="FB660" s="885"/>
      <c r="FC660" s="885"/>
      <c r="FD660" s="886"/>
      <c r="FE660" s="878"/>
      <c r="FF660" s="878"/>
      <c r="FG660" s="878"/>
      <c r="FH660" s="878"/>
      <c r="FI660" s="878"/>
      <c r="FJ660" s="878"/>
      <c r="FK660" s="878"/>
      <c r="FL660" s="555"/>
      <c r="FM660" s="554"/>
      <c r="FN660" s="554"/>
      <c r="FO660" s="554"/>
      <c r="FP660" s="554"/>
      <c r="FQ660" s="554"/>
      <c r="FR660" s="554"/>
      <c r="FS660" s="554"/>
      <c r="FT660" s="554"/>
      <c r="FU660" s="554"/>
      <c r="FV660" s="554"/>
      <c r="FW660" s="554"/>
      <c r="FX660" s="554"/>
      <c r="FY660" s="554"/>
      <c r="FZ660" s="554"/>
      <c r="GA660" s="554"/>
      <c r="GB660" s="556"/>
      <c r="GC660" s="370"/>
      <c r="GD660" s="453"/>
      <c r="GE660" s="453"/>
      <c r="GF660" s="453"/>
      <c r="GG660" s="453"/>
      <c r="GH660" s="454"/>
      <c r="GI660" s="453"/>
      <c r="GJ660" s="453"/>
      <c r="GK660" s="453"/>
      <c r="GL660" s="453"/>
      <c r="GM660" s="453"/>
      <c r="GN660" s="453"/>
      <c r="GO660" s="453"/>
      <c r="GP660" s="453"/>
      <c r="GQ660" s="453"/>
      <c r="GR660" s="453"/>
      <c r="GS660" s="561"/>
      <c r="GT660" s="475"/>
      <c r="GU660" s="472"/>
      <c r="GV660" s="453"/>
      <c r="GW660" s="453"/>
      <c r="GX660" s="869"/>
      <c r="GY660" s="870"/>
      <c r="GZ660" s="867"/>
      <c r="HA660" s="868"/>
      <c r="HB660" s="473"/>
      <c r="HC660" s="869"/>
      <c r="HD660" s="870"/>
      <c r="HE660" s="867"/>
      <c r="HF660" s="868"/>
      <c r="HG660" s="473"/>
      <c r="HH660" s="867"/>
      <c r="HI660" s="868"/>
      <c r="HJ660" s="867"/>
      <c r="HK660" s="868"/>
      <c r="HL660" s="370"/>
      <c r="HM660" s="865"/>
      <c r="HN660" s="866"/>
      <c r="HO660" s="865"/>
      <c r="HP660" s="866"/>
      <c r="HQ660" s="865"/>
      <c r="HR660" s="866"/>
      <c r="HS660" s="867"/>
      <c r="HT660" s="868"/>
      <c r="HU660" s="489"/>
      <c r="HV660" s="865"/>
      <c r="HW660" s="866"/>
    </row>
    <row r="661" spans="25:231" ht="15" customHeight="1">
      <c r="Y661" s="332"/>
      <c r="Z661" s="332"/>
      <c r="AA661" s="332"/>
      <c r="AB661" s="332"/>
      <c r="AC661" s="332"/>
      <c r="AD661" s="332"/>
      <c r="AE661" s="332"/>
      <c r="AF661" s="332"/>
      <c r="AG661" s="332"/>
      <c r="AH661" s="332"/>
      <c r="AI661" s="332"/>
      <c r="AJ661" s="332"/>
      <c r="AK661" s="332"/>
      <c r="AL661" s="332"/>
      <c r="AM661" s="332"/>
      <c r="AN661" s="332"/>
      <c r="AO661" s="332"/>
      <c r="AP661" s="332"/>
      <c r="AQ661" s="332"/>
      <c r="AR661" s="332"/>
      <c r="AS661" s="332"/>
      <c r="AT661" s="332"/>
      <c r="AU661" s="332"/>
      <c r="AV661" s="332"/>
      <c r="AW661" s="332"/>
      <c r="AX661" s="332"/>
      <c r="AY661" s="332"/>
      <c r="AZ661" s="332"/>
      <c r="BA661" s="332"/>
      <c r="BB661" s="332"/>
      <c r="BC661" s="332"/>
      <c r="BD661" s="332"/>
      <c r="BE661" s="332"/>
      <c r="BF661" s="332"/>
      <c r="BG661" s="332"/>
      <c r="BH661" s="332"/>
      <c r="BI661" s="332"/>
      <c r="BJ661" s="332"/>
      <c r="BK661" s="332"/>
      <c r="BL661" s="332"/>
      <c r="BM661" s="332"/>
      <c r="BN661" s="332"/>
      <c r="BO661" s="332"/>
      <c r="BP661" s="332"/>
      <c r="BQ661" s="332"/>
      <c r="BR661" s="332"/>
      <c r="BS661" s="332"/>
      <c r="BT661" s="332"/>
      <c r="BU661" s="332"/>
      <c r="BV661" s="332"/>
      <c r="BW661" s="332"/>
      <c r="BX661" s="332"/>
      <c r="BY661" s="332"/>
      <c r="BZ661" s="332"/>
      <c r="CA661" s="332"/>
      <c r="CB661" s="332"/>
      <c r="CC661" s="332"/>
      <c r="CD661" s="332"/>
      <c r="CE661" s="332"/>
      <c r="CF661" s="332"/>
      <c r="CG661" s="332"/>
      <c r="CH661" s="332"/>
      <c r="CI661" s="332"/>
      <c r="CJ661" s="332"/>
      <c r="CK661" s="332"/>
      <c r="CL661" s="332"/>
      <c r="CM661" s="332"/>
      <c r="CN661" s="332"/>
      <c r="CO661" s="332"/>
      <c r="CP661" s="332"/>
      <c r="CQ661" s="332"/>
      <c r="CR661" s="332"/>
      <c r="CS661" s="332"/>
      <c r="CT661" s="332"/>
      <c r="CU661" s="332"/>
      <c r="CV661" s="332"/>
      <c r="CW661" s="332"/>
      <c r="CX661" s="332"/>
      <c r="CY661" s="332"/>
      <c r="CZ661" s="332"/>
      <c r="DA661" s="332"/>
      <c r="DB661" s="332"/>
      <c r="DC661" s="332"/>
      <c r="DD661" s="332"/>
      <c r="DE661" s="332"/>
      <c r="DF661" s="332"/>
      <c r="DG661" s="332"/>
      <c r="DH661" s="332"/>
      <c r="DI661" s="332"/>
      <c r="DJ661" s="332"/>
      <c r="DK661" s="332"/>
      <c r="DL661" s="332"/>
      <c r="DM661" s="332"/>
      <c r="DN661" s="332"/>
      <c r="DO661" s="332"/>
      <c r="DP661" s="332"/>
      <c r="DQ661" s="332"/>
      <c r="DR661" s="332"/>
      <c r="DS661" s="332"/>
      <c r="DT661" s="332"/>
      <c r="DU661" s="453"/>
      <c r="DV661" s="453"/>
      <c r="DW661" s="453"/>
      <c r="DX661" s="453"/>
      <c r="DY661" s="453"/>
      <c r="DZ661" s="453"/>
      <c r="EA661" s="453"/>
      <c r="EB661" s="453"/>
      <c r="EC661" s="453"/>
      <c r="ED661" s="453"/>
      <c r="EE661" s="453"/>
      <c r="EF661" s="453"/>
      <c r="EG661" s="453"/>
      <c r="EH661" s="453"/>
      <c r="EI661" s="453"/>
      <c r="EJ661" s="453"/>
      <c r="EK661" s="453"/>
      <c r="EL661" s="453"/>
      <c r="EM661" s="483">
        <f t="shared" si="227"/>
        <v>352</v>
      </c>
      <c r="EN661" s="485"/>
      <c r="EO661" s="458"/>
      <c r="EP661" s="467"/>
      <c r="EQ661" s="457"/>
      <c r="ER661" s="808"/>
      <c r="ES661" s="881">
        <f t="shared" si="228"/>
        <v>0</v>
      </c>
      <c r="ET661" s="882"/>
      <c r="EU661" s="883"/>
      <c r="EV661" s="884">
        <f t="shared" si="226"/>
        <v>0</v>
      </c>
      <c r="EW661" s="885"/>
      <c r="EX661" s="885"/>
      <c r="EY661" s="885"/>
      <c r="EZ661" s="885"/>
      <c r="FA661" s="885"/>
      <c r="FB661" s="885"/>
      <c r="FC661" s="885"/>
      <c r="FD661" s="886"/>
      <c r="FE661" s="878"/>
      <c r="FF661" s="878"/>
      <c r="FG661" s="878"/>
      <c r="FH661" s="878"/>
      <c r="FI661" s="878"/>
      <c r="FJ661" s="878"/>
      <c r="FK661" s="878"/>
      <c r="FL661" s="555"/>
      <c r="FM661" s="554"/>
      <c r="FN661" s="554"/>
      <c r="FO661" s="554"/>
      <c r="FP661" s="554"/>
      <c r="FQ661" s="554"/>
      <c r="FR661" s="554"/>
      <c r="FS661" s="554"/>
      <c r="FT661" s="554"/>
      <c r="FU661" s="554"/>
      <c r="FV661" s="554"/>
      <c r="FW661" s="554"/>
      <c r="FX661" s="554"/>
      <c r="FY661" s="554"/>
      <c r="FZ661" s="554"/>
      <c r="GA661" s="554"/>
      <c r="GB661" s="556"/>
      <c r="GC661" s="370"/>
      <c r="GD661" s="453"/>
      <c r="GE661" s="453"/>
      <c r="GF661" s="453"/>
      <c r="GG661" s="453"/>
      <c r="GH661" s="454"/>
      <c r="GI661" s="453"/>
      <c r="GJ661" s="453"/>
      <c r="GK661" s="453"/>
      <c r="GL661" s="453"/>
      <c r="GM661" s="453"/>
      <c r="GN661" s="453"/>
      <c r="GO661" s="453"/>
      <c r="GP661" s="453"/>
      <c r="GQ661" s="453"/>
      <c r="GR661" s="453"/>
      <c r="GS661" s="561"/>
      <c r="GT661" s="475"/>
      <c r="GU661" s="472"/>
      <c r="GV661" s="453"/>
      <c r="GW661" s="453"/>
      <c r="GX661" s="869"/>
      <c r="GY661" s="870"/>
      <c r="GZ661" s="867"/>
      <c r="HA661" s="868"/>
      <c r="HB661" s="473"/>
      <c r="HC661" s="869"/>
      <c r="HD661" s="870"/>
      <c r="HE661" s="867"/>
      <c r="HF661" s="868"/>
      <c r="HG661" s="473"/>
      <c r="HH661" s="867"/>
      <c r="HI661" s="868"/>
      <c r="HJ661" s="867"/>
      <c r="HK661" s="868"/>
      <c r="HL661" s="370"/>
      <c r="HM661" s="865"/>
      <c r="HN661" s="866"/>
      <c r="HO661" s="865"/>
      <c r="HP661" s="866"/>
      <c r="HQ661" s="865"/>
      <c r="HR661" s="866"/>
      <c r="HS661" s="867"/>
      <c r="HT661" s="868"/>
      <c r="HU661" s="489"/>
      <c r="HV661" s="865"/>
      <c r="HW661" s="866"/>
    </row>
    <row r="662" spans="25:231" ht="15" customHeight="1">
      <c r="Y662" s="332"/>
      <c r="Z662" s="332"/>
      <c r="AA662" s="332"/>
      <c r="AB662" s="332"/>
      <c r="AC662" s="332"/>
      <c r="AD662" s="332"/>
      <c r="AE662" s="332"/>
      <c r="AF662" s="332"/>
      <c r="AG662" s="332"/>
      <c r="AH662" s="332"/>
      <c r="AI662" s="332"/>
      <c r="AJ662" s="332"/>
      <c r="AK662" s="332"/>
      <c r="AL662" s="332"/>
      <c r="AM662" s="332"/>
      <c r="AN662" s="332"/>
      <c r="AO662" s="332"/>
      <c r="AP662" s="332"/>
      <c r="AQ662" s="332"/>
      <c r="AR662" s="332"/>
      <c r="AS662" s="332"/>
      <c r="AT662" s="332"/>
      <c r="AU662" s="332"/>
      <c r="AV662" s="332"/>
      <c r="AW662" s="332"/>
      <c r="AX662" s="332"/>
      <c r="AY662" s="332"/>
      <c r="AZ662" s="332"/>
      <c r="BA662" s="332"/>
      <c r="BB662" s="332"/>
      <c r="BC662" s="332"/>
      <c r="BD662" s="332"/>
      <c r="BE662" s="332"/>
      <c r="BF662" s="332"/>
      <c r="BG662" s="332"/>
      <c r="BH662" s="332"/>
      <c r="BI662" s="332"/>
      <c r="BJ662" s="332"/>
      <c r="BK662" s="332"/>
      <c r="BL662" s="332"/>
      <c r="BM662" s="332"/>
      <c r="BN662" s="332"/>
      <c r="BO662" s="332"/>
      <c r="BP662" s="332"/>
      <c r="BQ662" s="332"/>
      <c r="BR662" s="332"/>
      <c r="BS662" s="332"/>
      <c r="BT662" s="332"/>
      <c r="BU662" s="332"/>
      <c r="BV662" s="332"/>
      <c r="BW662" s="332"/>
      <c r="BX662" s="332"/>
      <c r="BY662" s="332"/>
      <c r="BZ662" s="332"/>
      <c r="CA662" s="332"/>
      <c r="CB662" s="332"/>
      <c r="CC662" s="332"/>
      <c r="CD662" s="332"/>
      <c r="CE662" s="332"/>
      <c r="CF662" s="332"/>
      <c r="CG662" s="332"/>
      <c r="CH662" s="332"/>
      <c r="CI662" s="332"/>
      <c r="CJ662" s="332"/>
      <c r="CK662" s="332"/>
      <c r="CL662" s="332"/>
      <c r="CM662" s="332"/>
      <c r="CN662" s="332"/>
      <c r="CO662" s="332"/>
      <c r="CP662" s="332"/>
      <c r="CQ662" s="332"/>
      <c r="CR662" s="332"/>
      <c r="CS662" s="332"/>
      <c r="CT662" s="332"/>
      <c r="CU662" s="332"/>
      <c r="CV662" s="332"/>
      <c r="CW662" s="332"/>
      <c r="CX662" s="332"/>
      <c r="CY662" s="332"/>
      <c r="CZ662" s="332"/>
      <c r="DA662" s="332"/>
      <c r="DB662" s="332"/>
      <c r="DC662" s="332"/>
      <c r="DD662" s="332"/>
      <c r="DE662" s="332"/>
      <c r="DF662" s="332"/>
      <c r="DG662" s="332"/>
      <c r="DH662" s="332"/>
      <c r="DI662" s="332"/>
      <c r="DJ662" s="332"/>
      <c r="DK662" s="332"/>
      <c r="DL662" s="332"/>
      <c r="DM662" s="332"/>
      <c r="DN662" s="332"/>
      <c r="DO662" s="332"/>
      <c r="DP662" s="332"/>
      <c r="DQ662" s="332"/>
      <c r="DR662" s="332"/>
      <c r="DS662" s="332"/>
      <c r="DT662" s="332"/>
      <c r="DU662" s="453"/>
      <c r="DV662" s="453"/>
      <c r="DW662" s="453"/>
      <c r="DX662" s="453"/>
      <c r="DY662" s="453"/>
      <c r="DZ662" s="453"/>
      <c r="EA662" s="453"/>
      <c r="EB662" s="453"/>
      <c r="EC662" s="453"/>
      <c r="ED662" s="453"/>
      <c r="EE662" s="453"/>
      <c r="EF662" s="453"/>
      <c r="EG662" s="453"/>
      <c r="EH662" s="453"/>
      <c r="EI662" s="453"/>
      <c r="EJ662" s="453"/>
      <c r="EK662" s="453"/>
      <c r="EL662" s="453"/>
      <c r="EM662" s="483">
        <f t="shared" si="227"/>
        <v>353</v>
      </c>
      <c r="EN662" s="485"/>
      <c r="EO662" s="458"/>
      <c r="EP662" s="467"/>
      <c r="EQ662" s="457"/>
      <c r="ER662" s="808"/>
      <c r="ES662" s="881">
        <f t="shared" si="228"/>
        <v>0</v>
      </c>
      <c r="ET662" s="882"/>
      <c r="EU662" s="883"/>
      <c r="EV662" s="884">
        <f t="shared" si="226"/>
        <v>0</v>
      </c>
      <c r="EW662" s="885"/>
      <c r="EX662" s="885"/>
      <c r="EY662" s="885"/>
      <c r="EZ662" s="885"/>
      <c r="FA662" s="885"/>
      <c r="FB662" s="885"/>
      <c r="FC662" s="885"/>
      <c r="FD662" s="886"/>
      <c r="FE662" s="878"/>
      <c r="FF662" s="878"/>
      <c r="FG662" s="878"/>
      <c r="FH662" s="878"/>
      <c r="FI662" s="878"/>
      <c r="FJ662" s="878"/>
      <c r="FK662" s="878"/>
      <c r="FL662" s="555"/>
      <c r="FM662" s="554"/>
      <c r="FN662" s="554"/>
      <c r="FO662" s="554"/>
      <c r="FP662" s="554"/>
      <c r="FQ662" s="554"/>
      <c r="FR662" s="554"/>
      <c r="FS662" s="554"/>
      <c r="FT662" s="554"/>
      <c r="FU662" s="554"/>
      <c r="FV662" s="554"/>
      <c r="FW662" s="554"/>
      <c r="FX662" s="554"/>
      <c r="FY662" s="554"/>
      <c r="FZ662" s="554"/>
      <c r="GA662" s="554"/>
      <c r="GB662" s="556"/>
      <c r="GC662" s="370"/>
      <c r="GD662" s="453"/>
      <c r="GE662" s="453"/>
      <c r="GF662" s="453"/>
      <c r="GG662" s="453"/>
      <c r="GH662" s="454"/>
      <c r="GI662" s="453"/>
      <c r="GJ662" s="453"/>
      <c r="GK662" s="453"/>
      <c r="GL662" s="453"/>
      <c r="GM662" s="453"/>
      <c r="GN662" s="453"/>
      <c r="GO662" s="453"/>
      <c r="GP662" s="453"/>
      <c r="GQ662" s="453"/>
      <c r="GR662" s="453"/>
      <c r="GS662" s="561"/>
      <c r="GT662" s="475"/>
      <c r="GU662" s="472"/>
      <c r="GV662" s="453"/>
      <c r="GW662" s="453"/>
      <c r="GX662" s="869"/>
      <c r="GY662" s="870"/>
      <c r="GZ662" s="867"/>
      <c r="HA662" s="868"/>
      <c r="HB662" s="473"/>
      <c r="HC662" s="869"/>
      <c r="HD662" s="870"/>
      <c r="HE662" s="867"/>
      <c r="HF662" s="868"/>
      <c r="HG662" s="473"/>
      <c r="HH662" s="867"/>
      <c r="HI662" s="868"/>
      <c r="HJ662" s="867"/>
      <c r="HK662" s="868"/>
      <c r="HL662" s="370"/>
      <c r="HM662" s="865"/>
      <c r="HN662" s="866"/>
      <c r="HO662" s="865"/>
      <c r="HP662" s="866"/>
      <c r="HQ662" s="865"/>
      <c r="HR662" s="866"/>
      <c r="HS662" s="867"/>
      <c r="HT662" s="868"/>
      <c r="HU662" s="489"/>
      <c r="HV662" s="865"/>
      <c r="HW662" s="866"/>
    </row>
    <row r="663" spans="25:231" ht="15" customHeight="1">
      <c r="Y663" s="332"/>
      <c r="Z663" s="332"/>
      <c r="AA663" s="332"/>
      <c r="AB663" s="332"/>
      <c r="AC663" s="332"/>
      <c r="AD663" s="332"/>
      <c r="AE663" s="332"/>
      <c r="AF663" s="332"/>
      <c r="AG663" s="332"/>
      <c r="AH663" s="332"/>
      <c r="AI663" s="332"/>
      <c r="AJ663" s="332"/>
      <c r="AK663" s="332"/>
      <c r="AL663" s="332"/>
      <c r="AM663" s="332"/>
      <c r="AN663" s="332"/>
      <c r="AO663" s="332"/>
      <c r="AP663" s="332"/>
      <c r="AQ663" s="332"/>
      <c r="AR663" s="332"/>
      <c r="AS663" s="332"/>
      <c r="AT663" s="332"/>
      <c r="AU663" s="332"/>
      <c r="AV663" s="332"/>
      <c r="AW663" s="332"/>
      <c r="AX663" s="332"/>
      <c r="AY663" s="332"/>
      <c r="AZ663" s="332"/>
      <c r="BA663" s="332"/>
      <c r="BB663" s="332"/>
      <c r="BC663" s="332"/>
      <c r="BD663" s="332"/>
      <c r="BE663" s="332"/>
      <c r="BF663" s="332"/>
      <c r="BG663" s="332"/>
      <c r="BH663" s="332"/>
      <c r="BI663" s="332"/>
      <c r="BJ663" s="332"/>
      <c r="BK663" s="332"/>
      <c r="BL663" s="332"/>
      <c r="BM663" s="332"/>
      <c r="BN663" s="332"/>
      <c r="BO663" s="332"/>
      <c r="BP663" s="332"/>
      <c r="BQ663" s="332"/>
      <c r="BR663" s="332"/>
      <c r="BS663" s="332"/>
      <c r="BT663" s="332"/>
      <c r="BU663" s="332"/>
      <c r="BV663" s="332"/>
      <c r="BW663" s="332"/>
      <c r="BX663" s="332"/>
      <c r="BY663" s="332"/>
      <c r="BZ663" s="332"/>
      <c r="CA663" s="332"/>
      <c r="CB663" s="332"/>
      <c r="CC663" s="332"/>
      <c r="CD663" s="332"/>
      <c r="CE663" s="332"/>
      <c r="CF663" s="332"/>
      <c r="CG663" s="332"/>
      <c r="CH663" s="332"/>
      <c r="CI663" s="332"/>
      <c r="CJ663" s="332"/>
      <c r="CK663" s="332"/>
      <c r="CL663" s="332"/>
      <c r="CM663" s="332"/>
      <c r="CN663" s="332"/>
      <c r="CO663" s="332"/>
      <c r="CP663" s="332"/>
      <c r="CQ663" s="332"/>
      <c r="CR663" s="332"/>
      <c r="CS663" s="332"/>
      <c r="CT663" s="332"/>
      <c r="CU663" s="332"/>
      <c r="CV663" s="332"/>
      <c r="CW663" s="332"/>
      <c r="CX663" s="332"/>
      <c r="CY663" s="332"/>
      <c r="CZ663" s="332"/>
      <c r="DA663" s="332"/>
      <c r="DB663" s="332"/>
      <c r="DC663" s="332"/>
      <c r="DD663" s="332"/>
      <c r="DE663" s="332"/>
      <c r="DF663" s="332"/>
      <c r="DG663" s="332"/>
      <c r="DH663" s="332"/>
      <c r="DI663" s="332"/>
      <c r="DJ663" s="332"/>
      <c r="DK663" s="332"/>
      <c r="DL663" s="332"/>
      <c r="DM663" s="332"/>
      <c r="DN663" s="332"/>
      <c r="DO663" s="332"/>
      <c r="DP663" s="332"/>
      <c r="DQ663" s="332"/>
      <c r="DR663" s="332"/>
      <c r="DS663" s="332"/>
      <c r="DT663" s="332"/>
      <c r="DU663" s="453"/>
      <c r="DV663" s="453"/>
      <c r="DW663" s="453"/>
      <c r="DX663" s="453"/>
      <c r="DY663" s="453"/>
      <c r="DZ663" s="453"/>
      <c r="EA663" s="453"/>
      <c r="EB663" s="453"/>
      <c r="EC663" s="453"/>
      <c r="ED663" s="453"/>
      <c r="EE663" s="453"/>
      <c r="EF663" s="453"/>
      <c r="EG663" s="453"/>
      <c r="EH663" s="453"/>
      <c r="EI663" s="453"/>
      <c r="EJ663" s="453"/>
      <c r="EK663" s="453"/>
      <c r="EL663" s="453"/>
      <c r="EM663" s="483">
        <f t="shared" si="227"/>
        <v>354</v>
      </c>
      <c r="EN663" s="485"/>
      <c r="EO663" s="458"/>
      <c r="EP663" s="467"/>
      <c r="EQ663" s="457"/>
      <c r="ER663" s="808"/>
      <c r="ES663" s="881">
        <f t="shared" si="228"/>
        <v>0</v>
      </c>
      <c r="ET663" s="882"/>
      <c r="EU663" s="883"/>
      <c r="EV663" s="884">
        <f t="shared" si="226"/>
        <v>0</v>
      </c>
      <c r="EW663" s="885"/>
      <c r="EX663" s="885"/>
      <c r="EY663" s="885"/>
      <c r="EZ663" s="885"/>
      <c r="FA663" s="885"/>
      <c r="FB663" s="885"/>
      <c r="FC663" s="885"/>
      <c r="FD663" s="886"/>
      <c r="FE663" s="878"/>
      <c r="FF663" s="878"/>
      <c r="FG663" s="878"/>
      <c r="FH663" s="878"/>
      <c r="FI663" s="878"/>
      <c r="FJ663" s="878"/>
      <c r="FK663" s="878"/>
      <c r="FL663" s="555"/>
      <c r="FM663" s="554"/>
      <c r="FN663" s="554"/>
      <c r="FO663" s="554"/>
      <c r="FP663" s="554"/>
      <c r="FQ663" s="554"/>
      <c r="FR663" s="554"/>
      <c r="FS663" s="554"/>
      <c r="FT663" s="554"/>
      <c r="FU663" s="554"/>
      <c r="FV663" s="554"/>
      <c r="FW663" s="554"/>
      <c r="FX663" s="554"/>
      <c r="FY663" s="554"/>
      <c r="FZ663" s="554"/>
      <c r="GA663" s="554"/>
      <c r="GB663" s="556"/>
      <c r="GC663" s="370"/>
      <c r="GD663" s="453"/>
      <c r="GE663" s="453"/>
      <c r="GF663" s="453"/>
      <c r="GG663" s="453"/>
      <c r="GH663" s="454"/>
      <c r="GI663" s="453"/>
      <c r="GJ663" s="453"/>
      <c r="GK663" s="453"/>
      <c r="GL663" s="453"/>
      <c r="GM663" s="453"/>
      <c r="GN663" s="453"/>
      <c r="GO663" s="453"/>
      <c r="GP663" s="453"/>
      <c r="GQ663" s="453"/>
      <c r="GR663" s="453"/>
      <c r="GS663" s="561"/>
      <c r="GT663" s="475"/>
      <c r="GU663" s="472"/>
      <c r="GV663" s="453"/>
      <c r="GW663" s="453"/>
      <c r="GX663" s="869"/>
      <c r="GY663" s="870"/>
      <c r="GZ663" s="867"/>
      <c r="HA663" s="868"/>
      <c r="HB663" s="473"/>
      <c r="HC663" s="869"/>
      <c r="HD663" s="870"/>
      <c r="HE663" s="867"/>
      <c r="HF663" s="868"/>
      <c r="HG663" s="473"/>
      <c r="HH663" s="867"/>
      <c r="HI663" s="868"/>
      <c r="HJ663" s="867"/>
      <c r="HK663" s="868"/>
      <c r="HL663" s="370"/>
      <c r="HM663" s="865"/>
      <c r="HN663" s="866"/>
      <c r="HO663" s="865"/>
      <c r="HP663" s="866"/>
      <c r="HQ663" s="865"/>
      <c r="HR663" s="866"/>
      <c r="HS663" s="867"/>
      <c r="HT663" s="868"/>
      <c r="HU663" s="489"/>
      <c r="HV663" s="865"/>
      <c r="HW663" s="866"/>
    </row>
    <row r="664" spans="25:231" ht="15" customHeight="1">
      <c r="Y664" s="332"/>
      <c r="Z664" s="332"/>
      <c r="AA664" s="332"/>
      <c r="AB664" s="332"/>
      <c r="AC664" s="332"/>
      <c r="AD664" s="332"/>
      <c r="AE664" s="332"/>
      <c r="AF664" s="332"/>
      <c r="AG664" s="332"/>
      <c r="AH664" s="332"/>
      <c r="AI664" s="332"/>
      <c r="AJ664" s="332"/>
      <c r="AK664" s="332"/>
      <c r="AL664" s="332"/>
      <c r="AM664" s="332"/>
      <c r="AN664" s="332"/>
      <c r="AO664" s="332"/>
      <c r="AP664" s="332"/>
      <c r="AQ664" s="332"/>
      <c r="AR664" s="332"/>
      <c r="AS664" s="332"/>
      <c r="AT664" s="332"/>
      <c r="AU664" s="332"/>
      <c r="AV664" s="332"/>
      <c r="AW664" s="332"/>
      <c r="AX664" s="332"/>
      <c r="AY664" s="332"/>
      <c r="AZ664" s="332"/>
      <c r="BA664" s="332"/>
      <c r="BB664" s="332"/>
      <c r="BC664" s="332"/>
      <c r="BD664" s="332"/>
      <c r="BE664" s="332"/>
      <c r="BF664" s="332"/>
      <c r="BG664" s="332"/>
      <c r="BH664" s="332"/>
      <c r="BI664" s="332"/>
      <c r="BJ664" s="332"/>
      <c r="BK664" s="332"/>
      <c r="BL664" s="332"/>
      <c r="BM664" s="332"/>
      <c r="BN664" s="332"/>
      <c r="BO664" s="332"/>
      <c r="BP664" s="332"/>
      <c r="BQ664" s="332"/>
      <c r="BR664" s="332"/>
      <c r="BS664" s="332"/>
      <c r="BT664" s="332"/>
      <c r="BU664" s="332"/>
      <c r="BV664" s="332"/>
      <c r="BW664" s="332"/>
      <c r="BX664" s="332"/>
      <c r="BY664" s="332"/>
      <c r="BZ664" s="332"/>
      <c r="CA664" s="332"/>
      <c r="CB664" s="332"/>
      <c r="CC664" s="332"/>
      <c r="CD664" s="332"/>
      <c r="CE664" s="332"/>
      <c r="CF664" s="332"/>
      <c r="CG664" s="332"/>
      <c r="CH664" s="332"/>
      <c r="CI664" s="332"/>
      <c r="CJ664" s="332"/>
      <c r="CK664" s="332"/>
      <c r="CL664" s="332"/>
      <c r="CM664" s="332"/>
      <c r="CN664" s="332"/>
      <c r="CO664" s="332"/>
      <c r="CP664" s="332"/>
      <c r="CQ664" s="332"/>
      <c r="CR664" s="332"/>
      <c r="CS664" s="332"/>
      <c r="CT664" s="332"/>
      <c r="CU664" s="332"/>
      <c r="CV664" s="332"/>
      <c r="CW664" s="332"/>
      <c r="CX664" s="332"/>
      <c r="CY664" s="332"/>
      <c r="CZ664" s="332"/>
      <c r="DA664" s="332"/>
      <c r="DB664" s="332"/>
      <c r="DC664" s="332"/>
      <c r="DD664" s="332"/>
      <c r="DE664" s="332"/>
      <c r="DF664" s="332"/>
      <c r="DG664" s="332"/>
      <c r="DH664" s="332"/>
      <c r="DI664" s="332"/>
      <c r="DJ664" s="332"/>
      <c r="DK664" s="332"/>
      <c r="DL664" s="332"/>
      <c r="DM664" s="332"/>
      <c r="DN664" s="332"/>
      <c r="DO664" s="332"/>
      <c r="DP664" s="332"/>
      <c r="DQ664" s="332"/>
      <c r="DR664" s="332"/>
      <c r="DS664" s="332"/>
      <c r="DT664" s="332"/>
      <c r="DU664" s="453"/>
      <c r="DV664" s="453"/>
      <c r="DW664" s="453"/>
      <c r="DX664" s="453"/>
      <c r="DY664" s="453"/>
      <c r="DZ664" s="453"/>
      <c r="EA664" s="453"/>
      <c r="EB664" s="453"/>
      <c r="EC664" s="453"/>
      <c r="ED664" s="453"/>
      <c r="EE664" s="453"/>
      <c r="EF664" s="453"/>
      <c r="EG664" s="453"/>
      <c r="EH664" s="453"/>
      <c r="EI664" s="453"/>
      <c r="EJ664" s="453"/>
      <c r="EK664" s="453"/>
      <c r="EL664" s="453"/>
      <c r="EM664" s="483">
        <f t="shared" si="227"/>
        <v>355</v>
      </c>
      <c r="EN664" s="485"/>
      <c r="EO664" s="458"/>
      <c r="EP664" s="467"/>
      <c r="EQ664" s="457"/>
      <c r="ER664" s="808"/>
      <c r="ES664" s="881">
        <f t="shared" si="228"/>
        <v>0</v>
      </c>
      <c r="ET664" s="882"/>
      <c r="EU664" s="883"/>
      <c r="EV664" s="884">
        <f t="shared" si="226"/>
        <v>0</v>
      </c>
      <c r="EW664" s="885"/>
      <c r="EX664" s="885"/>
      <c r="EY664" s="885"/>
      <c r="EZ664" s="885"/>
      <c r="FA664" s="885"/>
      <c r="FB664" s="885"/>
      <c r="FC664" s="885"/>
      <c r="FD664" s="886"/>
      <c r="FE664" s="878"/>
      <c r="FF664" s="878"/>
      <c r="FG664" s="878"/>
      <c r="FH664" s="878"/>
      <c r="FI664" s="878"/>
      <c r="FJ664" s="878"/>
      <c r="FK664" s="878"/>
      <c r="FL664" s="555"/>
      <c r="FM664" s="554"/>
      <c r="FN664" s="554"/>
      <c r="FO664" s="554"/>
      <c r="FP664" s="554"/>
      <c r="FQ664" s="554"/>
      <c r="FR664" s="554"/>
      <c r="FS664" s="554"/>
      <c r="FT664" s="554"/>
      <c r="FU664" s="554"/>
      <c r="FV664" s="554"/>
      <c r="FW664" s="554"/>
      <c r="FX664" s="554"/>
      <c r="FY664" s="554"/>
      <c r="FZ664" s="554"/>
      <c r="GA664" s="554"/>
      <c r="GB664" s="556"/>
      <c r="GC664" s="370"/>
      <c r="GD664" s="453"/>
      <c r="GE664" s="453"/>
      <c r="GF664" s="453"/>
      <c r="GG664" s="453"/>
      <c r="GH664" s="454"/>
      <c r="GI664" s="453"/>
      <c r="GJ664" s="453"/>
      <c r="GK664" s="453"/>
      <c r="GL664" s="453"/>
      <c r="GM664" s="453"/>
      <c r="GN664" s="453"/>
      <c r="GO664" s="453"/>
      <c r="GP664" s="453"/>
      <c r="GQ664" s="453"/>
      <c r="GR664" s="453"/>
      <c r="GS664" s="561"/>
      <c r="GT664" s="475"/>
      <c r="GU664" s="472"/>
      <c r="GV664" s="453"/>
      <c r="GW664" s="453"/>
      <c r="GX664" s="869"/>
      <c r="GY664" s="870"/>
      <c r="GZ664" s="867"/>
      <c r="HA664" s="868"/>
      <c r="HB664" s="473"/>
      <c r="HC664" s="869"/>
      <c r="HD664" s="870"/>
      <c r="HE664" s="867"/>
      <c r="HF664" s="868"/>
      <c r="HG664" s="473"/>
      <c r="HH664" s="867"/>
      <c r="HI664" s="868"/>
      <c r="HJ664" s="867"/>
      <c r="HK664" s="868"/>
      <c r="HL664" s="370"/>
      <c r="HM664" s="865"/>
      <c r="HN664" s="866"/>
      <c r="HO664" s="865"/>
      <c r="HP664" s="866"/>
      <c r="HQ664" s="865"/>
      <c r="HR664" s="866"/>
      <c r="HS664" s="867"/>
      <c r="HT664" s="868"/>
      <c r="HU664" s="489"/>
      <c r="HV664" s="865"/>
      <c r="HW664" s="866"/>
    </row>
    <row r="665" spans="25:231" ht="15" customHeight="1">
      <c r="Y665" s="332"/>
      <c r="Z665" s="332"/>
      <c r="AA665" s="332"/>
      <c r="AB665" s="332"/>
      <c r="AC665" s="332"/>
      <c r="AD665" s="332"/>
      <c r="AE665" s="332"/>
      <c r="AF665" s="332"/>
      <c r="AG665" s="332"/>
      <c r="AH665" s="332"/>
      <c r="AI665" s="332"/>
      <c r="AJ665" s="332"/>
      <c r="AK665" s="332"/>
      <c r="AL665" s="332"/>
      <c r="AM665" s="332"/>
      <c r="AN665" s="332"/>
      <c r="AO665" s="332"/>
      <c r="AP665" s="332"/>
      <c r="AQ665" s="332"/>
      <c r="AR665" s="332"/>
      <c r="AS665" s="332"/>
      <c r="AT665" s="332"/>
      <c r="AU665" s="332"/>
      <c r="AV665" s="332"/>
      <c r="AW665" s="332"/>
      <c r="AX665" s="332"/>
      <c r="AY665" s="332"/>
      <c r="AZ665" s="332"/>
      <c r="BA665" s="332"/>
      <c r="BB665" s="332"/>
      <c r="BC665" s="332"/>
      <c r="BD665" s="332"/>
      <c r="BE665" s="332"/>
      <c r="BF665" s="332"/>
      <c r="BG665" s="332"/>
      <c r="BH665" s="332"/>
      <c r="BI665" s="332"/>
      <c r="BJ665" s="332"/>
      <c r="BK665" s="332"/>
      <c r="BL665" s="332"/>
      <c r="BM665" s="332"/>
      <c r="BN665" s="332"/>
      <c r="BO665" s="332"/>
      <c r="BP665" s="332"/>
      <c r="BQ665" s="332"/>
      <c r="BR665" s="332"/>
      <c r="BS665" s="332"/>
      <c r="BT665" s="332"/>
      <c r="BU665" s="332"/>
      <c r="BV665" s="332"/>
      <c r="BW665" s="332"/>
      <c r="BX665" s="332"/>
      <c r="BY665" s="332"/>
      <c r="BZ665" s="332"/>
      <c r="CA665" s="332"/>
      <c r="CB665" s="332"/>
      <c r="CC665" s="332"/>
      <c r="CD665" s="332"/>
      <c r="CE665" s="332"/>
      <c r="CF665" s="332"/>
      <c r="CG665" s="332"/>
      <c r="CH665" s="332"/>
      <c r="CI665" s="332"/>
      <c r="CJ665" s="332"/>
      <c r="CK665" s="332"/>
      <c r="CL665" s="332"/>
      <c r="CM665" s="332"/>
      <c r="CN665" s="332"/>
      <c r="CO665" s="332"/>
      <c r="CP665" s="332"/>
      <c r="CQ665" s="332"/>
      <c r="CR665" s="332"/>
      <c r="CS665" s="332"/>
      <c r="CT665" s="332"/>
      <c r="CU665" s="332"/>
      <c r="CV665" s="332"/>
      <c r="CW665" s="332"/>
      <c r="CX665" s="332"/>
      <c r="CY665" s="332"/>
      <c r="CZ665" s="332"/>
      <c r="DA665" s="332"/>
      <c r="DB665" s="332"/>
      <c r="DC665" s="332"/>
      <c r="DD665" s="332"/>
      <c r="DE665" s="332"/>
      <c r="DF665" s="332"/>
      <c r="DG665" s="332"/>
      <c r="DH665" s="332"/>
      <c r="DI665" s="332"/>
      <c r="DJ665" s="332"/>
      <c r="DK665" s="332"/>
      <c r="DL665" s="332"/>
      <c r="DM665" s="332"/>
      <c r="DN665" s="332"/>
      <c r="DO665" s="332"/>
      <c r="DP665" s="332"/>
      <c r="DQ665" s="332"/>
      <c r="DR665" s="332"/>
      <c r="DS665" s="332"/>
      <c r="DT665" s="332"/>
      <c r="DU665" s="453"/>
      <c r="DV665" s="453"/>
      <c r="DW665" s="453"/>
      <c r="DX665" s="453"/>
      <c r="DY665" s="453"/>
      <c r="DZ665" s="453"/>
      <c r="EA665" s="453"/>
      <c r="EB665" s="453"/>
      <c r="EC665" s="453"/>
      <c r="ED665" s="453"/>
      <c r="EE665" s="453"/>
      <c r="EF665" s="453"/>
      <c r="EG665" s="453"/>
      <c r="EH665" s="453"/>
      <c r="EI665" s="453"/>
      <c r="EJ665" s="453"/>
      <c r="EK665" s="453"/>
      <c r="EL665" s="453"/>
      <c r="EM665" s="483">
        <f t="shared" si="227"/>
        <v>356</v>
      </c>
      <c r="EN665" s="485"/>
      <c r="EO665" s="458"/>
      <c r="EP665" s="467"/>
      <c r="EQ665" s="457"/>
      <c r="ER665" s="808"/>
      <c r="ES665" s="881">
        <f t="shared" si="228"/>
        <v>0</v>
      </c>
      <c r="ET665" s="882"/>
      <c r="EU665" s="883"/>
      <c r="EV665" s="884">
        <f t="shared" si="226"/>
        <v>0</v>
      </c>
      <c r="EW665" s="885"/>
      <c r="EX665" s="885"/>
      <c r="EY665" s="885"/>
      <c r="EZ665" s="885"/>
      <c r="FA665" s="885"/>
      <c r="FB665" s="885"/>
      <c r="FC665" s="885"/>
      <c r="FD665" s="886"/>
      <c r="FE665" s="878"/>
      <c r="FF665" s="878"/>
      <c r="FG665" s="878"/>
      <c r="FH665" s="878"/>
      <c r="FI665" s="878"/>
      <c r="FJ665" s="878"/>
      <c r="FK665" s="878"/>
      <c r="FL665" s="555"/>
      <c r="FM665" s="554"/>
      <c r="FN665" s="554"/>
      <c r="FO665" s="554"/>
      <c r="FP665" s="554"/>
      <c r="FQ665" s="554"/>
      <c r="FR665" s="554"/>
      <c r="FS665" s="554"/>
      <c r="FT665" s="554"/>
      <c r="FU665" s="554"/>
      <c r="FV665" s="554"/>
      <c r="FW665" s="554"/>
      <c r="FX665" s="554"/>
      <c r="FY665" s="554"/>
      <c r="FZ665" s="554"/>
      <c r="GA665" s="554"/>
      <c r="GB665" s="556"/>
      <c r="GC665" s="370"/>
      <c r="GD665" s="453"/>
      <c r="GE665" s="453"/>
      <c r="GF665" s="453"/>
      <c r="GG665" s="453"/>
      <c r="GH665" s="454"/>
      <c r="GI665" s="453"/>
      <c r="GJ665" s="453"/>
      <c r="GK665" s="453"/>
      <c r="GL665" s="453"/>
      <c r="GM665" s="453"/>
      <c r="GN665" s="453"/>
      <c r="GO665" s="453"/>
      <c r="GP665" s="453"/>
      <c r="GQ665" s="453"/>
      <c r="GR665" s="453"/>
      <c r="GS665" s="561"/>
      <c r="GT665" s="475"/>
      <c r="GU665" s="472"/>
      <c r="GV665" s="453"/>
      <c r="GW665" s="453"/>
      <c r="GX665" s="869"/>
      <c r="GY665" s="870"/>
      <c r="GZ665" s="867"/>
      <c r="HA665" s="868"/>
      <c r="HB665" s="473"/>
      <c r="HC665" s="869"/>
      <c r="HD665" s="870"/>
      <c r="HE665" s="867"/>
      <c r="HF665" s="868"/>
      <c r="HG665" s="473"/>
      <c r="HH665" s="867"/>
      <c r="HI665" s="868"/>
      <c r="HJ665" s="867"/>
      <c r="HK665" s="868"/>
      <c r="HL665" s="370"/>
      <c r="HM665" s="865"/>
      <c r="HN665" s="866"/>
      <c r="HO665" s="865"/>
      <c r="HP665" s="866"/>
      <c r="HQ665" s="865"/>
      <c r="HR665" s="866"/>
      <c r="HS665" s="867"/>
      <c r="HT665" s="868"/>
      <c r="HU665" s="489"/>
      <c r="HV665" s="865"/>
      <c r="HW665" s="866"/>
    </row>
    <row r="666" spans="25:231" ht="15" customHeight="1">
      <c r="Y666" s="332"/>
      <c r="Z666" s="332"/>
      <c r="AA666" s="332"/>
      <c r="AB666" s="332"/>
      <c r="AC666" s="332"/>
      <c r="AD666" s="332"/>
      <c r="AE666" s="332"/>
      <c r="AF666" s="332"/>
      <c r="AG666" s="332"/>
      <c r="AH666" s="332"/>
      <c r="AI666" s="332"/>
      <c r="AJ666" s="332"/>
      <c r="AK666" s="332"/>
      <c r="AL666" s="332"/>
      <c r="AM666" s="332"/>
      <c r="AN666" s="332"/>
      <c r="AO666" s="332"/>
      <c r="AP666" s="332"/>
      <c r="AQ666" s="332"/>
      <c r="AR666" s="332"/>
      <c r="AS666" s="332"/>
      <c r="AT666" s="332"/>
      <c r="AU666" s="332"/>
      <c r="AV666" s="332"/>
      <c r="AW666" s="332"/>
      <c r="AX666" s="332"/>
      <c r="AY666" s="332"/>
      <c r="AZ666" s="332"/>
      <c r="BA666" s="332"/>
      <c r="BB666" s="332"/>
      <c r="BC666" s="332"/>
      <c r="BD666" s="332"/>
      <c r="BE666" s="332"/>
      <c r="BF666" s="332"/>
      <c r="BG666" s="332"/>
      <c r="BH666" s="332"/>
      <c r="BI666" s="332"/>
      <c r="BJ666" s="332"/>
      <c r="BK666" s="332"/>
      <c r="BL666" s="332"/>
      <c r="BM666" s="332"/>
      <c r="BN666" s="332"/>
      <c r="BO666" s="332"/>
      <c r="BP666" s="332"/>
      <c r="BQ666" s="332"/>
      <c r="BR666" s="332"/>
      <c r="BS666" s="332"/>
      <c r="BT666" s="332"/>
      <c r="BU666" s="332"/>
      <c r="BV666" s="332"/>
      <c r="BW666" s="332"/>
      <c r="BX666" s="332"/>
      <c r="BY666" s="332"/>
      <c r="BZ666" s="332"/>
      <c r="CA666" s="332"/>
      <c r="CB666" s="332"/>
      <c r="CC666" s="332"/>
      <c r="CD666" s="332"/>
      <c r="CE666" s="332"/>
      <c r="CF666" s="332"/>
      <c r="CG666" s="332"/>
      <c r="CH666" s="332"/>
      <c r="CI666" s="332"/>
      <c r="CJ666" s="332"/>
      <c r="CK666" s="332"/>
      <c r="CL666" s="332"/>
      <c r="CM666" s="332"/>
      <c r="CN666" s="332"/>
      <c r="CO666" s="332"/>
      <c r="CP666" s="332"/>
      <c r="CQ666" s="332"/>
      <c r="CR666" s="332"/>
      <c r="CS666" s="332"/>
      <c r="CT666" s="332"/>
      <c r="CU666" s="332"/>
      <c r="CV666" s="332"/>
      <c r="CW666" s="332"/>
      <c r="CX666" s="332"/>
      <c r="CY666" s="332"/>
      <c r="CZ666" s="332"/>
      <c r="DA666" s="332"/>
      <c r="DB666" s="332"/>
      <c r="DC666" s="332"/>
      <c r="DD666" s="332"/>
      <c r="DE666" s="332"/>
      <c r="DF666" s="332"/>
      <c r="DG666" s="332"/>
      <c r="DH666" s="332"/>
      <c r="DI666" s="332"/>
      <c r="DJ666" s="332"/>
      <c r="DK666" s="332"/>
      <c r="DL666" s="332"/>
      <c r="DM666" s="332"/>
      <c r="DN666" s="332"/>
      <c r="DO666" s="332"/>
      <c r="DP666" s="332"/>
      <c r="DQ666" s="332"/>
      <c r="DR666" s="332"/>
      <c r="DS666" s="332"/>
      <c r="DT666" s="332"/>
      <c r="DU666" s="453"/>
      <c r="DV666" s="453"/>
      <c r="DW666" s="453"/>
      <c r="DX666" s="453"/>
      <c r="DY666" s="453"/>
      <c r="DZ666" s="453"/>
      <c r="EA666" s="453"/>
      <c r="EB666" s="453"/>
      <c r="EC666" s="453"/>
      <c r="ED666" s="453"/>
      <c r="EE666" s="453"/>
      <c r="EF666" s="453"/>
      <c r="EG666" s="453"/>
      <c r="EH666" s="453"/>
      <c r="EI666" s="453"/>
      <c r="EJ666" s="453"/>
      <c r="EK666" s="453"/>
      <c r="EL666" s="453"/>
      <c r="EM666" s="483">
        <f t="shared" si="227"/>
        <v>357</v>
      </c>
      <c r="EN666" s="485"/>
      <c r="EO666" s="458"/>
      <c r="EP666" s="467"/>
      <c r="EQ666" s="457"/>
      <c r="ER666" s="808"/>
      <c r="ES666" s="881">
        <f t="shared" si="228"/>
        <v>0</v>
      </c>
      <c r="ET666" s="882"/>
      <c r="EU666" s="883"/>
      <c r="EV666" s="884">
        <f t="shared" si="226"/>
        <v>0</v>
      </c>
      <c r="EW666" s="885"/>
      <c r="EX666" s="885"/>
      <c r="EY666" s="885"/>
      <c r="EZ666" s="885"/>
      <c r="FA666" s="885"/>
      <c r="FB666" s="885"/>
      <c r="FC666" s="885"/>
      <c r="FD666" s="886"/>
      <c r="FE666" s="878"/>
      <c r="FF666" s="878"/>
      <c r="FG666" s="878"/>
      <c r="FH666" s="878"/>
      <c r="FI666" s="878"/>
      <c r="FJ666" s="878"/>
      <c r="FK666" s="878"/>
      <c r="FL666" s="555"/>
      <c r="FM666" s="554"/>
      <c r="FN666" s="554"/>
      <c r="FO666" s="554"/>
      <c r="FP666" s="554"/>
      <c r="FQ666" s="554"/>
      <c r="FR666" s="554"/>
      <c r="FS666" s="554"/>
      <c r="FT666" s="554"/>
      <c r="FU666" s="554"/>
      <c r="FV666" s="554"/>
      <c r="FW666" s="554"/>
      <c r="FX666" s="554"/>
      <c r="FY666" s="554"/>
      <c r="FZ666" s="554"/>
      <c r="GA666" s="554"/>
      <c r="GB666" s="556"/>
      <c r="GC666" s="370"/>
      <c r="GD666" s="453"/>
      <c r="GE666" s="453"/>
      <c r="GF666" s="453"/>
      <c r="GG666" s="453"/>
      <c r="GH666" s="454"/>
      <c r="GI666" s="453"/>
      <c r="GJ666" s="453"/>
      <c r="GK666" s="453"/>
      <c r="GL666" s="453"/>
      <c r="GM666" s="453"/>
      <c r="GN666" s="453"/>
      <c r="GO666" s="453"/>
      <c r="GP666" s="453"/>
      <c r="GQ666" s="453"/>
      <c r="GR666" s="453"/>
      <c r="GS666" s="561"/>
      <c r="GT666" s="475"/>
      <c r="GU666" s="472"/>
      <c r="GV666" s="453"/>
      <c r="GW666" s="453"/>
      <c r="GX666" s="869"/>
      <c r="GY666" s="870"/>
      <c r="GZ666" s="867"/>
      <c r="HA666" s="868"/>
      <c r="HB666" s="473"/>
      <c r="HC666" s="869"/>
      <c r="HD666" s="870"/>
      <c r="HE666" s="867"/>
      <c r="HF666" s="868"/>
      <c r="HG666" s="473"/>
      <c r="HH666" s="867"/>
      <c r="HI666" s="868"/>
      <c r="HJ666" s="867"/>
      <c r="HK666" s="868"/>
      <c r="HL666" s="370"/>
      <c r="HM666" s="865"/>
      <c r="HN666" s="866"/>
      <c r="HO666" s="865"/>
      <c r="HP666" s="866"/>
      <c r="HQ666" s="865"/>
      <c r="HR666" s="866"/>
      <c r="HS666" s="867"/>
      <c r="HT666" s="868"/>
      <c r="HU666" s="489"/>
      <c r="HV666" s="865"/>
      <c r="HW666" s="866"/>
    </row>
    <row r="667" spans="25:231" ht="15" customHeight="1">
      <c r="Y667" s="332"/>
      <c r="Z667" s="332"/>
      <c r="AA667" s="332"/>
      <c r="AB667" s="332"/>
      <c r="AC667" s="332"/>
      <c r="AD667" s="332"/>
      <c r="AE667" s="332"/>
      <c r="AF667" s="332"/>
      <c r="AG667" s="332"/>
      <c r="AH667" s="332"/>
      <c r="AI667" s="332"/>
      <c r="AJ667" s="332"/>
      <c r="AK667" s="332"/>
      <c r="AL667" s="332"/>
      <c r="AM667" s="332"/>
      <c r="AN667" s="332"/>
      <c r="AO667" s="332"/>
      <c r="AP667" s="332"/>
      <c r="AQ667" s="332"/>
      <c r="AR667" s="332"/>
      <c r="AS667" s="332"/>
      <c r="AT667" s="332"/>
      <c r="AU667" s="332"/>
      <c r="AV667" s="332"/>
      <c r="AW667" s="332"/>
      <c r="AX667" s="332"/>
      <c r="AY667" s="332"/>
      <c r="AZ667" s="332"/>
      <c r="BA667" s="332"/>
      <c r="BB667" s="332"/>
      <c r="BC667" s="332"/>
      <c r="BD667" s="332"/>
      <c r="BE667" s="332"/>
      <c r="BF667" s="332"/>
      <c r="BG667" s="332"/>
      <c r="BH667" s="332"/>
      <c r="BI667" s="332"/>
      <c r="BJ667" s="332"/>
      <c r="BK667" s="332"/>
      <c r="BL667" s="332"/>
      <c r="BM667" s="332"/>
      <c r="BN667" s="332"/>
      <c r="BO667" s="332"/>
      <c r="BP667" s="332"/>
      <c r="BQ667" s="332"/>
      <c r="BR667" s="332"/>
      <c r="BS667" s="332"/>
      <c r="BT667" s="332"/>
      <c r="BU667" s="332"/>
      <c r="BV667" s="332"/>
      <c r="BW667" s="332"/>
      <c r="BX667" s="332"/>
      <c r="BY667" s="332"/>
      <c r="BZ667" s="332"/>
      <c r="CA667" s="332"/>
      <c r="CB667" s="332"/>
      <c r="CC667" s="332"/>
      <c r="CD667" s="332"/>
      <c r="CE667" s="332"/>
      <c r="CF667" s="332"/>
      <c r="CG667" s="332"/>
      <c r="CH667" s="332"/>
      <c r="CI667" s="332"/>
      <c r="CJ667" s="332"/>
      <c r="CK667" s="332"/>
      <c r="CL667" s="332"/>
      <c r="CM667" s="332"/>
      <c r="CN667" s="332"/>
      <c r="CO667" s="332"/>
      <c r="CP667" s="332"/>
      <c r="CQ667" s="332"/>
      <c r="CR667" s="332"/>
      <c r="CS667" s="332"/>
      <c r="CT667" s="332"/>
      <c r="CU667" s="332"/>
      <c r="CV667" s="332"/>
      <c r="CW667" s="332"/>
      <c r="CX667" s="332"/>
      <c r="CY667" s="332"/>
      <c r="CZ667" s="332"/>
      <c r="DA667" s="332"/>
      <c r="DB667" s="332"/>
      <c r="DC667" s="332"/>
      <c r="DD667" s="332"/>
      <c r="DE667" s="332"/>
      <c r="DF667" s="332"/>
      <c r="DG667" s="332"/>
      <c r="DH667" s="332"/>
      <c r="DI667" s="332"/>
      <c r="DJ667" s="332"/>
      <c r="DK667" s="332"/>
      <c r="DL667" s="332"/>
      <c r="DM667" s="332"/>
      <c r="DN667" s="332"/>
      <c r="DO667" s="332"/>
      <c r="DP667" s="332"/>
      <c r="DQ667" s="332"/>
      <c r="DR667" s="332"/>
      <c r="DS667" s="332"/>
      <c r="DT667" s="332"/>
      <c r="DU667" s="453"/>
      <c r="DV667" s="453"/>
      <c r="DW667" s="453"/>
      <c r="DX667" s="453"/>
      <c r="DY667" s="453"/>
      <c r="DZ667" s="453"/>
      <c r="EA667" s="453"/>
      <c r="EB667" s="453"/>
      <c r="EC667" s="453"/>
      <c r="ED667" s="453"/>
      <c r="EE667" s="453"/>
      <c r="EF667" s="453"/>
      <c r="EG667" s="453"/>
      <c r="EH667" s="453"/>
      <c r="EI667" s="453"/>
      <c r="EJ667" s="453"/>
      <c r="EK667" s="453"/>
      <c r="EL667" s="453"/>
      <c r="EM667" s="483">
        <f t="shared" si="227"/>
        <v>358</v>
      </c>
      <c r="EN667" s="485"/>
      <c r="EO667" s="458"/>
      <c r="EP667" s="467"/>
      <c r="EQ667" s="457"/>
      <c r="ER667" s="808"/>
      <c r="ES667" s="881">
        <f t="shared" si="228"/>
        <v>0</v>
      </c>
      <c r="ET667" s="882"/>
      <c r="EU667" s="883"/>
      <c r="EV667" s="884">
        <f t="shared" si="226"/>
        <v>0</v>
      </c>
      <c r="EW667" s="885"/>
      <c r="EX667" s="885"/>
      <c r="EY667" s="885"/>
      <c r="EZ667" s="885"/>
      <c r="FA667" s="885"/>
      <c r="FB667" s="885"/>
      <c r="FC667" s="885"/>
      <c r="FD667" s="886"/>
      <c r="FE667" s="878"/>
      <c r="FF667" s="878"/>
      <c r="FG667" s="878"/>
      <c r="FH667" s="878"/>
      <c r="FI667" s="878"/>
      <c r="FJ667" s="878"/>
      <c r="FK667" s="878"/>
      <c r="FL667" s="555"/>
      <c r="FM667" s="554"/>
      <c r="FN667" s="554"/>
      <c r="FO667" s="554"/>
      <c r="FP667" s="554"/>
      <c r="FQ667" s="554"/>
      <c r="FR667" s="554"/>
      <c r="FS667" s="554"/>
      <c r="FT667" s="554"/>
      <c r="FU667" s="554"/>
      <c r="FV667" s="554"/>
      <c r="FW667" s="554"/>
      <c r="FX667" s="554"/>
      <c r="FY667" s="554"/>
      <c r="FZ667" s="554"/>
      <c r="GA667" s="554"/>
      <c r="GB667" s="556"/>
      <c r="GC667" s="370"/>
      <c r="GD667" s="453"/>
      <c r="GE667" s="453"/>
      <c r="GF667" s="453"/>
      <c r="GG667" s="453"/>
      <c r="GH667" s="454"/>
      <c r="GI667" s="453"/>
      <c r="GJ667" s="453"/>
      <c r="GK667" s="453"/>
      <c r="GL667" s="453"/>
      <c r="GM667" s="453"/>
      <c r="GN667" s="453"/>
      <c r="GO667" s="453"/>
      <c r="GP667" s="453"/>
      <c r="GQ667" s="453"/>
      <c r="GR667" s="453"/>
      <c r="GS667" s="561"/>
      <c r="GT667" s="475"/>
      <c r="GU667" s="472"/>
      <c r="GV667" s="453"/>
      <c r="GW667" s="453"/>
      <c r="GX667" s="869"/>
      <c r="GY667" s="870"/>
      <c r="GZ667" s="867"/>
      <c r="HA667" s="868"/>
      <c r="HB667" s="473"/>
      <c r="HC667" s="869"/>
      <c r="HD667" s="870"/>
      <c r="HE667" s="867"/>
      <c r="HF667" s="868"/>
      <c r="HG667" s="473"/>
      <c r="HH667" s="867"/>
      <c r="HI667" s="868"/>
      <c r="HJ667" s="867"/>
      <c r="HK667" s="868"/>
      <c r="HL667" s="370"/>
      <c r="HM667" s="865"/>
      <c r="HN667" s="866"/>
      <c r="HO667" s="865"/>
      <c r="HP667" s="866"/>
      <c r="HQ667" s="865"/>
      <c r="HR667" s="866"/>
      <c r="HS667" s="867"/>
      <c r="HT667" s="868"/>
      <c r="HU667" s="489"/>
      <c r="HV667" s="865"/>
      <c r="HW667" s="866"/>
    </row>
    <row r="668" spans="25:231" ht="15" customHeight="1">
      <c r="Y668" s="332"/>
      <c r="Z668" s="332"/>
      <c r="AA668" s="332"/>
      <c r="AB668" s="332"/>
      <c r="AC668" s="332"/>
      <c r="AD668" s="332"/>
      <c r="AE668" s="332"/>
      <c r="AF668" s="332"/>
      <c r="AG668" s="332"/>
      <c r="AH668" s="332"/>
      <c r="AI668" s="332"/>
      <c r="AJ668" s="332"/>
      <c r="AK668" s="332"/>
      <c r="AL668" s="332"/>
      <c r="AM668" s="332"/>
      <c r="AN668" s="332"/>
      <c r="AO668" s="332"/>
      <c r="AP668" s="332"/>
      <c r="AQ668" s="332"/>
      <c r="AR668" s="332"/>
      <c r="AS668" s="332"/>
      <c r="AT668" s="332"/>
      <c r="AU668" s="332"/>
      <c r="AV668" s="332"/>
      <c r="AW668" s="332"/>
      <c r="AX668" s="332"/>
      <c r="AY668" s="332"/>
      <c r="AZ668" s="332"/>
      <c r="BA668" s="332"/>
      <c r="BB668" s="332"/>
      <c r="BC668" s="332"/>
      <c r="BD668" s="332"/>
      <c r="BE668" s="332"/>
      <c r="BF668" s="332"/>
      <c r="BG668" s="332"/>
      <c r="BH668" s="332"/>
      <c r="BI668" s="332"/>
      <c r="BJ668" s="332"/>
      <c r="BK668" s="332"/>
      <c r="BL668" s="332"/>
      <c r="BM668" s="332"/>
      <c r="BN668" s="332"/>
      <c r="BO668" s="332"/>
      <c r="BP668" s="332"/>
      <c r="BQ668" s="332"/>
      <c r="BR668" s="332"/>
      <c r="BS668" s="332"/>
      <c r="BT668" s="332"/>
      <c r="BU668" s="332"/>
      <c r="BV668" s="332"/>
      <c r="BW668" s="332"/>
      <c r="BX668" s="332"/>
      <c r="BY668" s="332"/>
      <c r="BZ668" s="332"/>
      <c r="CA668" s="332"/>
      <c r="CB668" s="332"/>
      <c r="CC668" s="332"/>
      <c r="CD668" s="332"/>
      <c r="CE668" s="332"/>
      <c r="CF668" s="332"/>
      <c r="CG668" s="332"/>
      <c r="CH668" s="332"/>
      <c r="CI668" s="332"/>
      <c r="CJ668" s="332"/>
      <c r="CK668" s="332"/>
      <c r="CL668" s="332"/>
      <c r="CM668" s="332"/>
      <c r="CN668" s="332"/>
      <c r="CO668" s="332"/>
      <c r="CP668" s="332"/>
      <c r="CQ668" s="332"/>
      <c r="CR668" s="332"/>
      <c r="CS668" s="332"/>
      <c r="CT668" s="332"/>
      <c r="CU668" s="332"/>
      <c r="CV668" s="332"/>
      <c r="CW668" s="332"/>
      <c r="CX668" s="332"/>
      <c r="CY668" s="332"/>
      <c r="CZ668" s="332"/>
      <c r="DA668" s="332"/>
      <c r="DB668" s="332"/>
      <c r="DC668" s="332"/>
      <c r="DD668" s="332"/>
      <c r="DE668" s="332"/>
      <c r="DF668" s="332"/>
      <c r="DG668" s="332"/>
      <c r="DH668" s="332"/>
      <c r="DI668" s="332"/>
      <c r="DJ668" s="332"/>
      <c r="DK668" s="332"/>
      <c r="DL668" s="332"/>
      <c r="DM668" s="332"/>
      <c r="DN668" s="332"/>
      <c r="DO668" s="332"/>
      <c r="DP668" s="332"/>
      <c r="DQ668" s="332"/>
      <c r="DR668" s="332"/>
      <c r="DS668" s="332"/>
      <c r="DT668" s="332"/>
      <c r="DU668" s="453"/>
      <c r="DV668" s="453"/>
      <c r="DW668" s="453"/>
      <c r="DX668" s="453"/>
      <c r="DY668" s="453"/>
      <c r="DZ668" s="453"/>
      <c r="EA668" s="453"/>
      <c r="EB668" s="453"/>
      <c r="EC668" s="453"/>
      <c r="ED668" s="453"/>
      <c r="EE668" s="453"/>
      <c r="EF668" s="453"/>
      <c r="EG668" s="453"/>
      <c r="EH668" s="453"/>
      <c r="EI668" s="453"/>
      <c r="EJ668" s="453"/>
      <c r="EK668" s="453"/>
      <c r="EL668" s="453"/>
      <c r="EM668" s="483">
        <f t="shared" si="227"/>
        <v>359</v>
      </c>
      <c r="EN668" s="485"/>
      <c r="EO668" s="458"/>
      <c r="EP668" s="467"/>
      <c r="EQ668" s="457"/>
      <c r="ER668" s="808"/>
      <c r="ES668" s="881">
        <f t="shared" si="228"/>
        <v>0</v>
      </c>
      <c r="ET668" s="882"/>
      <c r="EU668" s="883"/>
      <c r="EV668" s="884">
        <f t="shared" si="226"/>
        <v>0</v>
      </c>
      <c r="EW668" s="885"/>
      <c r="EX668" s="885"/>
      <c r="EY668" s="885"/>
      <c r="EZ668" s="885"/>
      <c r="FA668" s="885"/>
      <c r="FB668" s="885"/>
      <c r="FC668" s="885"/>
      <c r="FD668" s="886"/>
      <c r="FE668" s="878"/>
      <c r="FF668" s="878"/>
      <c r="FG668" s="878"/>
      <c r="FH668" s="878"/>
      <c r="FI668" s="878"/>
      <c r="FJ668" s="878"/>
      <c r="FK668" s="878"/>
      <c r="FL668" s="555"/>
      <c r="FM668" s="554"/>
      <c r="FN668" s="554"/>
      <c r="FO668" s="554"/>
      <c r="FP668" s="554"/>
      <c r="FQ668" s="554"/>
      <c r="FR668" s="554"/>
      <c r="FS668" s="554"/>
      <c r="FT668" s="554"/>
      <c r="FU668" s="554"/>
      <c r="FV668" s="554"/>
      <c r="FW668" s="554"/>
      <c r="FX668" s="554"/>
      <c r="FY668" s="554"/>
      <c r="FZ668" s="554"/>
      <c r="GA668" s="554"/>
      <c r="GB668" s="556"/>
      <c r="GC668" s="370"/>
      <c r="GD668" s="453"/>
      <c r="GE668" s="453"/>
      <c r="GF668" s="453"/>
      <c r="GG668" s="453"/>
      <c r="GH668" s="454"/>
      <c r="GI668" s="453"/>
      <c r="GJ668" s="453"/>
      <c r="GK668" s="453"/>
      <c r="GL668" s="453"/>
      <c r="GM668" s="453"/>
      <c r="GN668" s="453"/>
      <c r="GO668" s="453"/>
      <c r="GP668" s="453"/>
      <c r="GQ668" s="453"/>
      <c r="GR668" s="453"/>
      <c r="GS668" s="561"/>
      <c r="GT668" s="475"/>
      <c r="GU668" s="472"/>
      <c r="GV668" s="453"/>
      <c r="GW668" s="453"/>
      <c r="GX668" s="869"/>
      <c r="GY668" s="870"/>
      <c r="GZ668" s="867"/>
      <c r="HA668" s="868"/>
      <c r="HB668" s="473"/>
      <c r="HC668" s="869"/>
      <c r="HD668" s="870"/>
      <c r="HE668" s="867"/>
      <c r="HF668" s="868"/>
      <c r="HG668" s="473"/>
      <c r="HH668" s="867"/>
      <c r="HI668" s="868"/>
      <c r="HJ668" s="867"/>
      <c r="HK668" s="868"/>
      <c r="HL668" s="370"/>
      <c r="HM668" s="865"/>
      <c r="HN668" s="866"/>
      <c r="HO668" s="865"/>
      <c r="HP668" s="866"/>
      <c r="HQ668" s="865"/>
      <c r="HR668" s="866"/>
      <c r="HS668" s="867"/>
      <c r="HT668" s="868"/>
      <c r="HU668" s="489"/>
      <c r="HV668" s="865"/>
      <c r="HW668" s="866"/>
    </row>
    <row r="669" spans="25:231" ht="15" customHeight="1">
      <c r="Y669" s="332"/>
      <c r="Z669" s="332"/>
      <c r="AA669" s="332"/>
      <c r="AB669" s="332"/>
      <c r="AC669" s="332"/>
      <c r="AD669" s="332"/>
      <c r="AE669" s="332"/>
      <c r="AF669" s="332"/>
      <c r="AG669" s="332"/>
      <c r="AH669" s="332"/>
      <c r="AI669" s="332"/>
      <c r="AJ669" s="332"/>
      <c r="AK669" s="332"/>
      <c r="AL669" s="332"/>
      <c r="AM669" s="332"/>
      <c r="AN669" s="332"/>
      <c r="AO669" s="332"/>
      <c r="AP669" s="332"/>
      <c r="AQ669" s="332"/>
      <c r="AR669" s="332"/>
      <c r="AS669" s="332"/>
      <c r="AT669" s="332"/>
      <c r="AU669" s="332"/>
      <c r="AV669" s="332"/>
      <c r="AW669" s="332"/>
      <c r="AX669" s="332"/>
      <c r="AY669" s="332"/>
      <c r="AZ669" s="332"/>
      <c r="BA669" s="332"/>
      <c r="BB669" s="332"/>
      <c r="BC669" s="332"/>
      <c r="BD669" s="332"/>
      <c r="BE669" s="332"/>
      <c r="BF669" s="332"/>
      <c r="BG669" s="332"/>
      <c r="BH669" s="332"/>
      <c r="BI669" s="332"/>
      <c r="BJ669" s="332"/>
      <c r="BK669" s="332"/>
      <c r="BL669" s="332"/>
      <c r="BM669" s="332"/>
      <c r="BN669" s="332"/>
      <c r="BO669" s="332"/>
      <c r="BP669" s="332"/>
      <c r="BQ669" s="332"/>
      <c r="BR669" s="332"/>
      <c r="BS669" s="332"/>
      <c r="BT669" s="332"/>
      <c r="BU669" s="332"/>
      <c r="BV669" s="332"/>
      <c r="BW669" s="332"/>
      <c r="BX669" s="332"/>
      <c r="BY669" s="332"/>
      <c r="BZ669" s="332"/>
      <c r="CA669" s="332"/>
      <c r="CB669" s="332"/>
      <c r="CC669" s="332"/>
      <c r="CD669" s="332"/>
      <c r="CE669" s="332"/>
      <c r="CF669" s="332"/>
      <c r="CG669" s="332"/>
      <c r="CH669" s="332"/>
      <c r="CI669" s="332"/>
      <c r="CJ669" s="332"/>
      <c r="CK669" s="332"/>
      <c r="CL669" s="332"/>
      <c r="CM669" s="332"/>
      <c r="CN669" s="332"/>
      <c r="CO669" s="332"/>
      <c r="CP669" s="332"/>
      <c r="CQ669" s="332"/>
      <c r="CR669" s="332"/>
      <c r="CS669" s="332"/>
      <c r="CT669" s="332"/>
      <c r="CU669" s="332"/>
      <c r="CV669" s="332"/>
      <c r="CW669" s="332"/>
      <c r="CX669" s="332"/>
      <c r="CY669" s="332"/>
      <c r="CZ669" s="332"/>
      <c r="DA669" s="332"/>
      <c r="DB669" s="332"/>
      <c r="DC669" s="332"/>
      <c r="DD669" s="332"/>
      <c r="DE669" s="332"/>
      <c r="DF669" s="332"/>
      <c r="DG669" s="332"/>
      <c r="DH669" s="332"/>
      <c r="DI669" s="332"/>
      <c r="DJ669" s="332"/>
      <c r="DK669" s="332"/>
      <c r="DL669" s="332"/>
      <c r="DM669" s="332"/>
      <c r="DN669" s="332"/>
      <c r="DO669" s="332"/>
      <c r="DP669" s="332"/>
      <c r="DQ669" s="332"/>
      <c r="DR669" s="332"/>
      <c r="DS669" s="332"/>
      <c r="DT669" s="332"/>
      <c r="DU669" s="453"/>
      <c r="DV669" s="453"/>
      <c r="DW669" s="453"/>
      <c r="DX669" s="453"/>
      <c r="DY669" s="453"/>
      <c r="DZ669" s="453"/>
      <c r="EA669" s="453"/>
      <c r="EB669" s="453"/>
      <c r="EC669" s="453"/>
      <c r="ED669" s="453"/>
      <c r="EE669" s="453"/>
      <c r="EF669" s="453"/>
      <c r="EG669" s="453"/>
      <c r="EH669" s="453"/>
      <c r="EI669" s="453"/>
      <c r="EJ669" s="453"/>
      <c r="EK669" s="453"/>
      <c r="EL669" s="453"/>
      <c r="EM669" s="483">
        <f t="shared" si="227"/>
        <v>360</v>
      </c>
      <c r="EN669" s="485"/>
      <c r="EO669" s="458"/>
      <c r="EP669" s="467"/>
      <c r="EQ669" s="457"/>
      <c r="ER669" s="808"/>
      <c r="ES669" s="881">
        <f t="shared" si="228"/>
        <v>0</v>
      </c>
      <c r="ET669" s="882"/>
      <c r="EU669" s="883"/>
      <c r="EV669" s="884">
        <f t="shared" si="226"/>
        <v>0</v>
      </c>
      <c r="EW669" s="885"/>
      <c r="EX669" s="885"/>
      <c r="EY669" s="885"/>
      <c r="EZ669" s="885"/>
      <c r="FA669" s="885"/>
      <c r="FB669" s="885"/>
      <c r="FC669" s="885"/>
      <c r="FD669" s="886"/>
      <c r="FE669" s="878"/>
      <c r="FF669" s="878"/>
      <c r="FG669" s="878"/>
      <c r="FH669" s="878"/>
      <c r="FI669" s="878"/>
      <c r="FJ669" s="878"/>
      <c r="FK669" s="878"/>
      <c r="FL669" s="555"/>
      <c r="FM669" s="554"/>
      <c r="FN669" s="554"/>
      <c r="FO669" s="554"/>
      <c r="FP669" s="554"/>
      <c r="FQ669" s="554"/>
      <c r="FR669" s="554"/>
      <c r="FS669" s="554"/>
      <c r="FT669" s="554"/>
      <c r="FU669" s="554"/>
      <c r="FV669" s="554"/>
      <c r="FW669" s="554"/>
      <c r="FX669" s="554"/>
      <c r="FY669" s="554"/>
      <c r="FZ669" s="554"/>
      <c r="GA669" s="554"/>
      <c r="GB669" s="556"/>
      <c r="GC669" s="370"/>
      <c r="GD669" s="453"/>
      <c r="GE669" s="453"/>
      <c r="GF669" s="453"/>
      <c r="GG669" s="453"/>
      <c r="GH669" s="454"/>
      <c r="GI669" s="453"/>
      <c r="GJ669" s="453"/>
      <c r="GK669" s="453"/>
      <c r="GL669" s="453"/>
      <c r="GM669" s="453"/>
      <c r="GN669" s="453"/>
      <c r="GO669" s="453"/>
      <c r="GP669" s="453"/>
      <c r="GQ669" s="453"/>
      <c r="GR669" s="453"/>
      <c r="GS669" s="561"/>
      <c r="GT669" s="475"/>
      <c r="GU669" s="472"/>
      <c r="GV669" s="453"/>
      <c r="GW669" s="453"/>
      <c r="GX669" s="869"/>
      <c r="GY669" s="870"/>
      <c r="GZ669" s="867"/>
      <c r="HA669" s="868"/>
      <c r="HB669" s="473"/>
      <c r="HC669" s="869"/>
      <c r="HD669" s="870"/>
      <c r="HE669" s="867"/>
      <c r="HF669" s="868"/>
      <c r="HG669" s="473"/>
      <c r="HH669" s="867"/>
      <c r="HI669" s="868"/>
      <c r="HJ669" s="867"/>
      <c r="HK669" s="868"/>
      <c r="HL669" s="370"/>
      <c r="HM669" s="865"/>
      <c r="HN669" s="866"/>
      <c r="HO669" s="865"/>
      <c r="HP669" s="866"/>
      <c r="HQ669" s="865"/>
      <c r="HR669" s="866"/>
      <c r="HS669" s="867"/>
      <c r="HT669" s="868"/>
      <c r="HU669" s="489"/>
      <c r="HV669" s="865"/>
      <c r="HW669" s="866"/>
    </row>
    <row r="670" spans="25:231" ht="15" customHeight="1">
      <c r="Y670" s="332"/>
      <c r="Z670" s="332"/>
      <c r="AA670" s="332"/>
      <c r="AB670" s="332"/>
      <c r="AC670" s="332"/>
      <c r="AD670" s="332"/>
      <c r="AE670" s="332"/>
      <c r="AF670" s="332"/>
      <c r="AG670" s="332"/>
      <c r="AH670" s="332"/>
      <c r="AI670" s="332"/>
      <c r="AJ670" s="332"/>
      <c r="AK670" s="332"/>
      <c r="AL670" s="332"/>
      <c r="AM670" s="332"/>
      <c r="AN670" s="332"/>
      <c r="AO670" s="332"/>
      <c r="AP670" s="332"/>
      <c r="AQ670" s="332"/>
      <c r="AR670" s="332"/>
      <c r="AS670" s="332"/>
      <c r="AT670" s="332"/>
      <c r="AU670" s="332"/>
      <c r="AV670" s="332"/>
      <c r="AW670" s="332"/>
      <c r="AX670" s="332"/>
      <c r="AY670" s="332"/>
      <c r="AZ670" s="332"/>
      <c r="BA670" s="332"/>
      <c r="BB670" s="332"/>
      <c r="BC670" s="332"/>
      <c r="BD670" s="332"/>
      <c r="BE670" s="332"/>
      <c r="BF670" s="332"/>
      <c r="BG670" s="332"/>
      <c r="BH670" s="332"/>
      <c r="BI670" s="332"/>
      <c r="BJ670" s="332"/>
      <c r="BK670" s="332"/>
      <c r="BL670" s="332"/>
      <c r="BM670" s="332"/>
      <c r="BN670" s="332"/>
      <c r="BO670" s="332"/>
      <c r="BP670" s="332"/>
      <c r="BQ670" s="332"/>
      <c r="BR670" s="332"/>
      <c r="BS670" s="332"/>
      <c r="BT670" s="332"/>
      <c r="BU670" s="332"/>
      <c r="BV670" s="332"/>
      <c r="BW670" s="332"/>
      <c r="BX670" s="332"/>
      <c r="BY670" s="332"/>
      <c r="BZ670" s="332"/>
      <c r="CA670" s="332"/>
      <c r="CB670" s="332"/>
      <c r="CC670" s="332"/>
      <c r="CD670" s="332"/>
      <c r="CE670" s="332"/>
      <c r="CF670" s="332"/>
      <c r="CG670" s="332"/>
      <c r="CH670" s="332"/>
      <c r="CI670" s="332"/>
      <c r="CJ670" s="332"/>
      <c r="CK670" s="332"/>
      <c r="CL670" s="332"/>
      <c r="CM670" s="332"/>
      <c r="CN670" s="332"/>
      <c r="CO670" s="332"/>
      <c r="CP670" s="332"/>
      <c r="CQ670" s="332"/>
      <c r="CR670" s="332"/>
      <c r="CS670" s="332"/>
      <c r="CT670" s="332"/>
      <c r="CU670" s="332"/>
      <c r="CV670" s="332"/>
      <c r="CW670" s="332"/>
      <c r="CX670" s="332"/>
      <c r="CY670" s="332"/>
      <c r="CZ670" s="332"/>
      <c r="DA670" s="332"/>
      <c r="DB670" s="332"/>
      <c r="DC670" s="332"/>
      <c r="DD670" s="332"/>
      <c r="DE670" s="332"/>
      <c r="DF670" s="332"/>
      <c r="DG670" s="332"/>
      <c r="DH670" s="332"/>
      <c r="DI670" s="332"/>
      <c r="DJ670" s="332"/>
      <c r="DK670" s="332"/>
      <c r="DL670" s="332"/>
      <c r="DM670" s="332"/>
      <c r="DN670" s="332"/>
      <c r="DO670" s="332"/>
      <c r="DP670" s="332"/>
      <c r="DQ670" s="332"/>
      <c r="DR670" s="332"/>
      <c r="DS670" s="332"/>
      <c r="DT670" s="332"/>
      <c r="DU670" s="453"/>
      <c r="DV670" s="453"/>
      <c r="DW670" s="453"/>
      <c r="DX670" s="453"/>
      <c r="DY670" s="453"/>
      <c r="DZ670" s="453"/>
      <c r="EA670" s="453"/>
      <c r="EB670" s="453"/>
      <c r="EC670" s="453"/>
      <c r="ED670" s="453"/>
      <c r="EE670" s="453"/>
      <c r="EF670" s="453"/>
      <c r="EG670" s="453"/>
      <c r="EH670" s="453"/>
      <c r="EI670" s="453"/>
      <c r="EJ670" s="453"/>
      <c r="EK670" s="453"/>
      <c r="EL670" s="453"/>
      <c r="EM670" s="483">
        <f t="shared" si="227"/>
        <v>361</v>
      </c>
      <c r="EN670" s="485"/>
      <c r="EO670" s="458"/>
      <c r="EP670" s="467"/>
      <c r="EQ670" s="457"/>
      <c r="ER670" s="808"/>
      <c r="ES670" s="881">
        <f t="shared" si="228"/>
        <v>0</v>
      </c>
      <c r="ET670" s="882"/>
      <c r="EU670" s="883"/>
      <c r="EV670" s="884">
        <f t="shared" si="226"/>
        <v>0</v>
      </c>
      <c r="EW670" s="885"/>
      <c r="EX670" s="885"/>
      <c r="EY670" s="885"/>
      <c r="EZ670" s="885"/>
      <c r="FA670" s="885"/>
      <c r="FB670" s="885"/>
      <c r="FC670" s="885"/>
      <c r="FD670" s="886"/>
      <c r="FE670" s="878"/>
      <c r="FF670" s="878"/>
      <c r="FG670" s="878"/>
      <c r="FH670" s="878"/>
      <c r="FI670" s="878"/>
      <c r="FJ670" s="878"/>
      <c r="FK670" s="878"/>
      <c r="FL670" s="555"/>
      <c r="FM670" s="554"/>
      <c r="FN670" s="554"/>
      <c r="FO670" s="554"/>
      <c r="FP670" s="554"/>
      <c r="FQ670" s="554"/>
      <c r="FR670" s="554"/>
      <c r="FS670" s="554"/>
      <c r="FT670" s="554"/>
      <c r="FU670" s="554"/>
      <c r="FV670" s="554"/>
      <c r="FW670" s="554"/>
      <c r="FX670" s="554"/>
      <c r="FY670" s="554"/>
      <c r="FZ670" s="554"/>
      <c r="GA670" s="554"/>
      <c r="GB670" s="556"/>
      <c r="GC670" s="370"/>
      <c r="GD670" s="453"/>
      <c r="GE670" s="453"/>
      <c r="GF670" s="453"/>
      <c r="GG670" s="453"/>
      <c r="GH670" s="454"/>
      <c r="GI670" s="453"/>
      <c r="GJ670" s="453"/>
      <c r="GK670" s="453"/>
      <c r="GL670" s="453"/>
      <c r="GM670" s="453"/>
      <c r="GN670" s="453"/>
      <c r="GO670" s="453"/>
      <c r="GP670" s="453"/>
      <c r="GQ670" s="453"/>
      <c r="GR670" s="453"/>
      <c r="GS670" s="561"/>
      <c r="GT670" s="475"/>
      <c r="GU670" s="472"/>
      <c r="GV670" s="453"/>
      <c r="GW670" s="453"/>
      <c r="GX670" s="869"/>
      <c r="GY670" s="870"/>
      <c r="GZ670" s="867"/>
      <c r="HA670" s="868"/>
      <c r="HB670" s="473"/>
      <c r="HC670" s="869"/>
      <c r="HD670" s="870"/>
      <c r="HE670" s="867"/>
      <c r="HF670" s="868"/>
      <c r="HG670" s="473"/>
      <c r="HH670" s="867"/>
      <c r="HI670" s="868"/>
      <c r="HJ670" s="867"/>
      <c r="HK670" s="868"/>
      <c r="HL670" s="370"/>
      <c r="HM670" s="865"/>
      <c r="HN670" s="866"/>
      <c r="HO670" s="865"/>
      <c r="HP670" s="866"/>
      <c r="HQ670" s="865"/>
      <c r="HR670" s="866"/>
      <c r="HS670" s="867"/>
      <c r="HT670" s="868"/>
      <c r="HU670" s="489"/>
      <c r="HV670" s="865"/>
      <c r="HW670" s="866"/>
    </row>
    <row r="671" spans="25:231" ht="15" customHeight="1">
      <c r="Y671" s="332"/>
      <c r="Z671" s="332"/>
      <c r="AA671" s="332"/>
      <c r="AB671" s="332"/>
      <c r="AC671" s="332"/>
      <c r="AD671" s="332"/>
      <c r="AE671" s="332"/>
      <c r="AF671" s="332"/>
      <c r="AG671" s="332"/>
      <c r="AH671" s="332"/>
      <c r="AI671" s="332"/>
      <c r="AJ671" s="332"/>
      <c r="AK671" s="332"/>
      <c r="AL671" s="332"/>
      <c r="AM671" s="332"/>
      <c r="AN671" s="332"/>
      <c r="AO671" s="332"/>
      <c r="AP671" s="332"/>
      <c r="AQ671" s="332"/>
      <c r="AR671" s="332"/>
      <c r="AS671" s="332"/>
      <c r="AT671" s="332"/>
      <c r="AU671" s="332"/>
      <c r="AV671" s="332"/>
      <c r="AW671" s="332"/>
      <c r="AX671" s="332"/>
      <c r="AY671" s="332"/>
      <c r="AZ671" s="332"/>
      <c r="BA671" s="332"/>
      <c r="BB671" s="332"/>
      <c r="BC671" s="332"/>
      <c r="BD671" s="332"/>
      <c r="BE671" s="332"/>
      <c r="BF671" s="332"/>
      <c r="BG671" s="332"/>
      <c r="BH671" s="332"/>
      <c r="BI671" s="332"/>
      <c r="BJ671" s="332"/>
      <c r="BK671" s="332"/>
      <c r="BL671" s="332"/>
      <c r="BM671" s="332"/>
      <c r="BN671" s="332"/>
      <c r="BO671" s="332"/>
      <c r="BP671" s="332"/>
      <c r="BQ671" s="332"/>
      <c r="BR671" s="332"/>
      <c r="BS671" s="332"/>
      <c r="BT671" s="332"/>
      <c r="BU671" s="332"/>
      <c r="BV671" s="332"/>
      <c r="BW671" s="332"/>
      <c r="BX671" s="332"/>
      <c r="BY671" s="332"/>
      <c r="BZ671" s="332"/>
      <c r="CA671" s="332"/>
      <c r="CB671" s="332"/>
      <c r="CC671" s="332"/>
      <c r="CD671" s="332"/>
      <c r="CE671" s="332"/>
      <c r="CF671" s="332"/>
      <c r="CG671" s="332"/>
      <c r="CH671" s="332"/>
      <c r="CI671" s="332"/>
      <c r="CJ671" s="332"/>
      <c r="CK671" s="332"/>
      <c r="CL671" s="332"/>
      <c r="CM671" s="332"/>
      <c r="CN671" s="332"/>
      <c r="CO671" s="332"/>
      <c r="CP671" s="332"/>
      <c r="CQ671" s="332"/>
      <c r="CR671" s="332"/>
      <c r="CS671" s="332"/>
      <c r="CT671" s="332"/>
      <c r="CU671" s="332"/>
      <c r="CV671" s="332"/>
      <c r="CW671" s="332"/>
      <c r="CX671" s="332"/>
      <c r="CY671" s="332"/>
      <c r="CZ671" s="332"/>
      <c r="DA671" s="332"/>
      <c r="DB671" s="332"/>
      <c r="DC671" s="332"/>
      <c r="DD671" s="332"/>
      <c r="DE671" s="332"/>
      <c r="DF671" s="332"/>
      <c r="DG671" s="332"/>
      <c r="DH671" s="332"/>
      <c r="DI671" s="332"/>
      <c r="DJ671" s="332"/>
      <c r="DK671" s="332"/>
      <c r="DL671" s="332"/>
      <c r="DM671" s="332"/>
      <c r="DN671" s="332"/>
      <c r="DO671" s="332"/>
      <c r="DP671" s="332"/>
      <c r="DQ671" s="332"/>
      <c r="DR671" s="332"/>
      <c r="DS671" s="332"/>
      <c r="DT671" s="332"/>
      <c r="DU671" s="453"/>
      <c r="DV671" s="453"/>
      <c r="DW671" s="453"/>
      <c r="DX671" s="453"/>
      <c r="DY671" s="453"/>
      <c r="DZ671" s="453"/>
      <c r="EA671" s="453"/>
      <c r="EB671" s="453"/>
      <c r="EC671" s="453"/>
      <c r="ED671" s="453"/>
      <c r="EE671" s="453"/>
      <c r="EF671" s="453"/>
      <c r="EG671" s="453"/>
      <c r="EH671" s="453"/>
      <c r="EI671" s="453"/>
      <c r="EJ671" s="453"/>
      <c r="EK671" s="453"/>
      <c r="EL671" s="453"/>
      <c r="EM671" s="483">
        <f t="shared" si="227"/>
        <v>362</v>
      </c>
      <c r="EN671" s="485"/>
      <c r="EO671" s="458"/>
      <c r="EP671" s="467"/>
      <c r="EQ671" s="457"/>
      <c r="ER671" s="808"/>
      <c r="ES671" s="881">
        <f t="shared" si="228"/>
        <v>0</v>
      </c>
      <c r="ET671" s="882"/>
      <c r="EU671" s="883"/>
      <c r="EV671" s="884">
        <f t="shared" si="226"/>
        <v>0</v>
      </c>
      <c r="EW671" s="885"/>
      <c r="EX671" s="885"/>
      <c r="EY671" s="885"/>
      <c r="EZ671" s="885"/>
      <c r="FA671" s="885"/>
      <c r="FB671" s="885"/>
      <c r="FC671" s="885"/>
      <c r="FD671" s="886"/>
      <c r="FE671" s="878"/>
      <c r="FF671" s="878"/>
      <c r="FG671" s="878"/>
      <c r="FH671" s="878"/>
      <c r="FI671" s="878"/>
      <c r="FJ671" s="878"/>
      <c r="FK671" s="878"/>
      <c r="FL671" s="555"/>
      <c r="FM671" s="554"/>
      <c r="FN671" s="554"/>
      <c r="FO671" s="554"/>
      <c r="FP671" s="554"/>
      <c r="FQ671" s="554"/>
      <c r="FR671" s="554"/>
      <c r="FS671" s="554"/>
      <c r="FT671" s="554"/>
      <c r="FU671" s="554"/>
      <c r="FV671" s="554"/>
      <c r="FW671" s="554"/>
      <c r="FX671" s="554"/>
      <c r="FY671" s="554"/>
      <c r="FZ671" s="554"/>
      <c r="GA671" s="554"/>
      <c r="GB671" s="556"/>
      <c r="GC671" s="370"/>
      <c r="GD671" s="453"/>
      <c r="GE671" s="453"/>
      <c r="GF671" s="453"/>
      <c r="GG671" s="453"/>
      <c r="GH671" s="454"/>
      <c r="GI671" s="453"/>
      <c r="GJ671" s="453"/>
      <c r="GK671" s="453"/>
      <c r="GL671" s="453"/>
      <c r="GM671" s="453"/>
      <c r="GN671" s="453"/>
      <c r="GO671" s="453"/>
      <c r="GP671" s="453"/>
      <c r="GQ671" s="453"/>
      <c r="GR671" s="453"/>
      <c r="GS671" s="561"/>
      <c r="GT671" s="475"/>
      <c r="GU671" s="472"/>
      <c r="GV671" s="453"/>
      <c r="GW671" s="453"/>
      <c r="GX671" s="869"/>
      <c r="GY671" s="870"/>
      <c r="GZ671" s="867"/>
      <c r="HA671" s="868"/>
      <c r="HB671" s="473"/>
      <c r="HC671" s="869"/>
      <c r="HD671" s="870"/>
      <c r="HE671" s="867"/>
      <c r="HF671" s="868"/>
      <c r="HG671" s="473"/>
      <c r="HH671" s="867"/>
      <c r="HI671" s="868"/>
      <c r="HJ671" s="867"/>
      <c r="HK671" s="868"/>
      <c r="HL671" s="370"/>
      <c r="HM671" s="865"/>
      <c r="HN671" s="866"/>
      <c r="HO671" s="865"/>
      <c r="HP671" s="866"/>
      <c r="HQ671" s="865"/>
      <c r="HR671" s="866"/>
      <c r="HS671" s="867"/>
      <c r="HT671" s="868"/>
      <c r="HU671" s="489"/>
      <c r="HV671" s="865"/>
      <c r="HW671" s="866"/>
    </row>
    <row r="672" spans="25:231" ht="15" customHeight="1">
      <c r="Y672" s="332"/>
      <c r="Z672" s="332"/>
      <c r="AA672" s="332"/>
      <c r="AB672" s="332"/>
      <c r="AC672" s="332"/>
      <c r="AD672" s="332"/>
      <c r="AE672" s="332"/>
      <c r="AF672" s="332"/>
      <c r="AG672" s="332"/>
      <c r="AH672" s="332"/>
      <c r="AI672" s="332"/>
      <c r="AJ672" s="332"/>
      <c r="AK672" s="332"/>
      <c r="AL672" s="332"/>
      <c r="AM672" s="332"/>
      <c r="AN672" s="332"/>
      <c r="AO672" s="332"/>
      <c r="AP672" s="332"/>
      <c r="AQ672" s="332"/>
      <c r="AR672" s="332"/>
      <c r="AS672" s="332"/>
      <c r="AT672" s="332"/>
      <c r="AU672" s="332"/>
      <c r="AV672" s="332"/>
      <c r="AW672" s="332"/>
      <c r="AX672" s="332"/>
      <c r="AY672" s="332"/>
      <c r="AZ672" s="332"/>
      <c r="BA672" s="332"/>
      <c r="BB672" s="332"/>
      <c r="BC672" s="332"/>
      <c r="BD672" s="332"/>
      <c r="BE672" s="332"/>
      <c r="BF672" s="332"/>
      <c r="BG672" s="332"/>
      <c r="BH672" s="332"/>
      <c r="BI672" s="332"/>
      <c r="BJ672" s="332"/>
      <c r="BK672" s="332"/>
      <c r="BL672" s="332"/>
      <c r="BM672" s="332"/>
      <c r="BN672" s="332"/>
      <c r="BO672" s="332"/>
      <c r="BP672" s="332"/>
      <c r="BQ672" s="332"/>
      <c r="BR672" s="332"/>
      <c r="BS672" s="332"/>
      <c r="BT672" s="332"/>
      <c r="BU672" s="332"/>
      <c r="BV672" s="332"/>
      <c r="BW672" s="332"/>
      <c r="BX672" s="332"/>
      <c r="BY672" s="332"/>
      <c r="BZ672" s="332"/>
      <c r="CA672" s="332"/>
      <c r="CB672" s="332"/>
      <c r="CC672" s="332"/>
      <c r="CD672" s="332"/>
      <c r="CE672" s="332"/>
      <c r="CF672" s="332"/>
      <c r="CG672" s="332"/>
      <c r="CH672" s="332"/>
      <c r="CI672" s="332"/>
      <c r="CJ672" s="332"/>
      <c r="CK672" s="332"/>
      <c r="CL672" s="332"/>
      <c r="CM672" s="332"/>
      <c r="CN672" s="332"/>
      <c r="CO672" s="332"/>
      <c r="CP672" s="332"/>
      <c r="CQ672" s="332"/>
      <c r="CR672" s="332"/>
      <c r="CS672" s="332"/>
      <c r="CT672" s="332"/>
      <c r="CU672" s="332"/>
      <c r="CV672" s="332"/>
      <c r="CW672" s="332"/>
      <c r="CX672" s="332"/>
      <c r="CY672" s="332"/>
      <c r="CZ672" s="332"/>
      <c r="DA672" s="332"/>
      <c r="DB672" s="332"/>
      <c r="DC672" s="332"/>
      <c r="DD672" s="332"/>
      <c r="DE672" s="332"/>
      <c r="DF672" s="332"/>
      <c r="DG672" s="332"/>
      <c r="DH672" s="332"/>
      <c r="DI672" s="332"/>
      <c r="DJ672" s="332"/>
      <c r="DK672" s="332"/>
      <c r="DL672" s="332"/>
      <c r="DM672" s="332"/>
      <c r="DN672" s="332"/>
      <c r="DO672" s="332"/>
      <c r="DP672" s="332"/>
      <c r="DQ672" s="332"/>
      <c r="DR672" s="332"/>
      <c r="DS672" s="332"/>
      <c r="DT672" s="332"/>
      <c r="DU672" s="453"/>
      <c r="DV672" s="453"/>
      <c r="DW672" s="453"/>
      <c r="DX672" s="453"/>
      <c r="DY672" s="453"/>
      <c r="DZ672" s="453"/>
      <c r="EA672" s="453"/>
      <c r="EB672" s="453"/>
      <c r="EC672" s="453"/>
      <c r="ED672" s="453"/>
      <c r="EE672" s="453"/>
      <c r="EF672" s="453"/>
      <c r="EG672" s="453"/>
      <c r="EH672" s="453"/>
      <c r="EI672" s="453"/>
      <c r="EJ672" s="453"/>
      <c r="EK672" s="453"/>
      <c r="EL672" s="453"/>
      <c r="EM672" s="483">
        <f t="shared" si="227"/>
        <v>363</v>
      </c>
      <c r="EN672" s="485"/>
      <c r="EO672" s="458"/>
      <c r="EP672" s="467"/>
      <c r="EQ672" s="457"/>
      <c r="ER672" s="808"/>
      <c r="ES672" s="881">
        <f t="shared" si="228"/>
        <v>0</v>
      </c>
      <c r="ET672" s="882"/>
      <c r="EU672" s="883"/>
      <c r="EV672" s="884">
        <f t="shared" si="226"/>
        <v>0</v>
      </c>
      <c r="EW672" s="885"/>
      <c r="EX672" s="885"/>
      <c r="EY672" s="885"/>
      <c r="EZ672" s="885"/>
      <c r="FA672" s="885"/>
      <c r="FB672" s="885"/>
      <c r="FC672" s="885"/>
      <c r="FD672" s="886"/>
      <c r="FE672" s="878"/>
      <c r="FF672" s="878"/>
      <c r="FG672" s="878"/>
      <c r="FH672" s="878"/>
      <c r="FI672" s="878"/>
      <c r="FJ672" s="878"/>
      <c r="FK672" s="878"/>
      <c r="FL672" s="555"/>
      <c r="FM672" s="554"/>
      <c r="FN672" s="554"/>
      <c r="FO672" s="554"/>
      <c r="FP672" s="554"/>
      <c r="FQ672" s="554"/>
      <c r="FR672" s="554"/>
      <c r="FS672" s="554"/>
      <c r="FT672" s="554"/>
      <c r="FU672" s="554"/>
      <c r="FV672" s="554"/>
      <c r="FW672" s="554"/>
      <c r="FX672" s="554"/>
      <c r="FY672" s="554"/>
      <c r="FZ672" s="554"/>
      <c r="GA672" s="554"/>
      <c r="GB672" s="556"/>
      <c r="GC672" s="370"/>
      <c r="GD672" s="453"/>
      <c r="GE672" s="453"/>
      <c r="GF672" s="453"/>
      <c r="GG672" s="453"/>
      <c r="GH672" s="454"/>
      <c r="GI672" s="453"/>
      <c r="GJ672" s="453"/>
      <c r="GK672" s="453"/>
      <c r="GL672" s="453"/>
      <c r="GM672" s="453"/>
      <c r="GN672" s="453"/>
      <c r="GO672" s="453"/>
      <c r="GP672" s="453"/>
      <c r="GQ672" s="453"/>
      <c r="GR672" s="453"/>
      <c r="GS672" s="561"/>
      <c r="GT672" s="475"/>
      <c r="GU672" s="472"/>
      <c r="GV672" s="453"/>
      <c r="GW672" s="453"/>
      <c r="GX672" s="869"/>
      <c r="GY672" s="870"/>
      <c r="GZ672" s="867"/>
      <c r="HA672" s="868"/>
      <c r="HB672" s="473"/>
      <c r="HC672" s="869"/>
      <c r="HD672" s="870"/>
      <c r="HE672" s="867"/>
      <c r="HF672" s="868"/>
      <c r="HG672" s="473"/>
      <c r="HH672" s="867"/>
      <c r="HI672" s="868"/>
      <c r="HJ672" s="867"/>
      <c r="HK672" s="868"/>
      <c r="HL672" s="370"/>
      <c r="HM672" s="865"/>
      <c r="HN672" s="866"/>
      <c r="HO672" s="865"/>
      <c r="HP672" s="866"/>
      <c r="HQ672" s="865"/>
      <c r="HR672" s="866"/>
      <c r="HS672" s="867"/>
      <c r="HT672" s="868"/>
      <c r="HU672" s="489"/>
      <c r="HV672" s="865"/>
      <c r="HW672" s="866"/>
    </row>
    <row r="673" spans="25:231" ht="15" customHeight="1">
      <c r="Y673" s="332"/>
      <c r="Z673" s="332"/>
      <c r="AA673" s="332"/>
      <c r="AB673" s="332"/>
      <c r="AC673" s="332"/>
      <c r="AD673" s="332"/>
      <c r="AE673" s="332"/>
      <c r="AF673" s="332"/>
      <c r="AG673" s="332"/>
      <c r="AH673" s="332"/>
      <c r="AI673" s="332"/>
      <c r="AJ673" s="332"/>
      <c r="AK673" s="332"/>
      <c r="AL673" s="332"/>
      <c r="AM673" s="332"/>
      <c r="AN673" s="332"/>
      <c r="AO673" s="332"/>
      <c r="AP673" s="332"/>
      <c r="AQ673" s="332"/>
      <c r="AR673" s="332"/>
      <c r="AS673" s="332"/>
      <c r="AT673" s="332"/>
      <c r="AU673" s="332"/>
      <c r="AV673" s="332"/>
      <c r="AW673" s="332"/>
      <c r="AX673" s="332"/>
      <c r="AY673" s="332"/>
      <c r="AZ673" s="332"/>
      <c r="BA673" s="332"/>
      <c r="BB673" s="332"/>
      <c r="BC673" s="332"/>
      <c r="BD673" s="332"/>
      <c r="BE673" s="332"/>
      <c r="BF673" s="332"/>
      <c r="BG673" s="332"/>
      <c r="BH673" s="332"/>
      <c r="BI673" s="332"/>
      <c r="BJ673" s="332"/>
      <c r="BK673" s="332"/>
      <c r="BL673" s="332"/>
      <c r="BM673" s="332"/>
      <c r="BN673" s="332"/>
      <c r="BO673" s="332"/>
      <c r="BP673" s="332"/>
      <c r="BQ673" s="332"/>
      <c r="BR673" s="332"/>
      <c r="BS673" s="332"/>
      <c r="BT673" s="332"/>
      <c r="BU673" s="332"/>
      <c r="BV673" s="332"/>
      <c r="BW673" s="332"/>
      <c r="BX673" s="332"/>
      <c r="BY673" s="332"/>
      <c r="BZ673" s="332"/>
      <c r="CA673" s="332"/>
      <c r="CB673" s="332"/>
      <c r="CC673" s="332"/>
      <c r="CD673" s="332"/>
      <c r="CE673" s="332"/>
      <c r="CF673" s="332"/>
      <c r="CG673" s="332"/>
      <c r="CH673" s="332"/>
      <c r="CI673" s="332"/>
      <c r="CJ673" s="332"/>
      <c r="CK673" s="332"/>
      <c r="CL673" s="332"/>
      <c r="CM673" s="332"/>
      <c r="CN673" s="332"/>
      <c r="CO673" s="332"/>
      <c r="CP673" s="332"/>
      <c r="CQ673" s="332"/>
      <c r="CR673" s="332"/>
      <c r="CS673" s="332"/>
      <c r="CT673" s="332"/>
      <c r="CU673" s="332"/>
      <c r="CV673" s="332"/>
      <c r="CW673" s="332"/>
      <c r="CX673" s="332"/>
      <c r="CY673" s="332"/>
      <c r="CZ673" s="332"/>
      <c r="DA673" s="332"/>
      <c r="DB673" s="332"/>
      <c r="DC673" s="332"/>
      <c r="DD673" s="332"/>
      <c r="DE673" s="332"/>
      <c r="DF673" s="332"/>
      <c r="DG673" s="332"/>
      <c r="DH673" s="332"/>
      <c r="DI673" s="332"/>
      <c r="DJ673" s="332"/>
      <c r="DK673" s="332"/>
      <c r="DL673" s="332"/>
      <c r="DM673" s="332"/>
      <c r="DN673" s="332"/>
      <c r="DO673" s="332"/>
      <c r="DP673" s="332"/>
      <c r="DQ673" s="332"/>
      <c r="DR673" s="332"/>
      <c r="DS673" s="332"/>
      <c r="DT673" s="332"/>
      <c r="DU673" s="453"/>
      <c r="DV673" s="453"/>
      <c r="DW673" s="453"/>
      <c r="DX673" s="453"/>
      <c r="DY673" s="453"/>
      <c r="DZ673" s="453"/>
      <c r="EA673" s="453"/>
      <c r="EB673" s="453"/>
      <c r="EC673" s="453"/>
      <c r="ED673" s="453"/>
      <c r="EE673" s="453"/>
      <c r="EF673" s="453"/>
      <c r="EG673" s="453"/>
      <c r="EH673" s="453"/>
      <c r="EI673" s="453"/>
      <c r="EJ673" s="453"/>
      <c r="EK673" s="453"/>
      <c r="EL673" s="453"/>
      <c r="EM673" s="483">
        <f t="shared" si="227"/>
        <v>364</v>
      </c>
      <c r="EN673" s="485"/>
      <c r="EO673" s="458"/>
      <c r="EP673" s="467"/>
      <c r="EQ673" s="457"/>
      <c r="ER673" s="808"/>
      <c r="ES673" s="881">
        <f t="shared" si="228"/>
        <v>0</v>
      </c>
      <c r="ET673" s="882"/>
      <c r="EU673" s="883"/>
      <c r="EV673" s="884">
        <f t="shared" si="226"/>
        <v>0</v>
      </c>
      <c r="EW673" s="885"/>
      <c r="EX673" s="885"/>
      <c r="EY673" s="885"/>
      <c r="EZ673" s="885"/>
      <c r="FA673" s="885"/>
      <c r="FB673" s="885"/>
      <c r="FC673" s="885"/>
      <c r="FD673" s="886"/>
      <c r="FE673" s="878"/>
      <c r="FF673" s="878"/>
      <c r="FG673" s="878"/>
      <c r="FH673" s="878"/>
      <c r="FI673" s="878"/>
      <c r="FJ673" s="878"/>
      <c r="FK673" s="878"/>
      <c r="FL673" s="555"/>
      <c r="FM673" s="554"/>
      <c r="FN673" s="554"/>
      <c r="FO673" s="554"/>
      <c r="FP673" s="554"/>
      <c r="FQ673" s="554"/>
      <c r="FR673" s="554"/>
      <c r="FS673" s="554"/>
      <c r="FT673" s="554"/>
      <c r="FU673" s="554"/>
      <c r="FV673" s="554"/>
      <c r="FW673" s="554"/>
      <c r="FX673" s="554"/>
      <c r="FY673" s="554"/>
      <c r="FZ673" s="554"/>
      <c r="GA673" s="554"/>
      <c r="GB673" s="556"/>
      <c r="GC673" s="370"/>
      <c r="GD673" s="453"/>
      <c r="GE673" s="453"/>
      <c r="GF673" s="453"/>
      <c r="GG673" s="453"/>
      <c r="GH673" s="454"/>
      <c r="GI673" s="453"/>
      <c r="GJ673" s="453"/>
      <c r="GK673" s="453"/>
      <c r="GL673" s="453"/>
      <c r="GM673" s="453"/>
      <c r="GN673" s="453"/>
      <c r="GO673" s="453"/>
      <c r="GP673" s="453"/>
      <c r="GQ673" s="453"/>
      <c r="GR673" s="453"/>
      <c r="GS673" s="561"/>
      <c r="GT673" s="475"/>
      <c r="GU673" s="472"/>
      <c r="GV673" s="453"/>
      <c r="GW673" s="453"/>
      <c r="GX673" s="869"/>
      <c r="GY673" s="870"/>
      <c r="GZ673" s="867"/>
      <c r="HA673" s="868"/>
      <c r="HB673" s="473"/>
      <c r="HC673" s="869"/>
      <c r="HD673" s="870"/>
      <c r="HE673" s="867"/>
      <c r="HF673" s="868"/>
      <c r="HG673" s="473"/>
      <c r="HH673" s="867"/>
      <c r="HI673" s="868"/>
      <c r="HJ673" s="867"/>
      <c r="HK673" s="868"/>
      <c r="HL673" s="370"/>
      <c r="HM673" s="865"/>
      <c r="HN673" s="866"/>
      <c r="HO673" s="865"/>
      <c r="HP673" s="866"/>
      <c r="HQ673" s="865"/>
      <c r="HR673" s="866"/>
      <c r="HS673" s="867"/>
      <c r="HT673" s="868"/>
      <c r="HU673" s="489"/>
      <c r="HV673" s="865"/>
      <c r="HW673" s="866"/>
    </row>
    <row r="674" spans="25:231" ht="15" customHeight="1">
      <c r="Y674" s="332"/>
      <c r="Z674" s="332"/>
      <c r="AA674" s="332"/>
      <c r="AB674" s="332"/>
      <c r="AC674" s="332"/>
      <c r="AD674" s="332"/>
      <c r="AE674" s="332"/>
      <c r="AF674" s="332"/>
      <c r="AG674" s="332"/>
      <c r="AH674" s="332"/>
      <c r="AI674" s="332"/>
      <c r="AJ674" s="332"/>
      <c r="AK674" s="332"/>
      <c r="AL674" s="332"/>
      <c r="AM674" s="332"/>
      <c r="AN674" s="332"/>
      <c r="AO674" s="332"/>
      <c r="AP674" s="332"/>
      <c r="AQ674" s="332"/>
      <c r="AR674" s="332"/>
      <c r="AS674" s="332"/>
      <c r="AT674" s="332"/>
      <c r="AU674" s="332"/>
      <c r="AV674" s="332"/>
      <c r="AW674" s="332"/>
      <c r="AX674" s="332"/>
      <c r="AY674" s="332"/>
      <c r="AZ674" s="332"/>
      <c r="BA674" s="332"/>
      <c r="BB674" s="332"/>
      <c r="BC674" s="332"/>
      <c r="BD674" s="332"/>
      <c r="BE674" s="332"/>
      <c r="BF674" s="332"/>
      <c r="BG674" s="332"/>
      <c r="BH674" s="332"/>
      <c r="BI674" s="332"/>
      <c r="BJ674" s="332"/>
      <c r="BK674" s="332"/>
      <c r="BL674" s="332"/>
      <c r="BM674" s="332"/>
      <c r="BN674" s="332"/>
      <c r="BO674" s="332"/>
      <c r="BP674" s="332"/>
      <c r="BQ674" s="332"/>
      <c r="BR674" s="332"/>
      <c r="BS674" s="332"/>
      <c r="BT674" s="332"/>
      <c r="BU674" s="332"/>
      <c r="BV674" s="332"/>
      <c r="BW674" s="332"/>
      <c r="BX674" s="332"/>
      <c r="BY674" s="332"/>
      <c r="BZ674" s="332"/>
      <c r="CA674" s="332"/>
      <c r="CB674" s="332"/>
      <c r="CC674" s="332"/>
      <c r="CD674" s="332"/>
      <c r="CE674" s="332"/>
      <c r="CF674" s="332"/>
      <c r="CG674" s="332"/>
      <c r="CH674" s="332"/>
      <c r="CI674" s="332"/>
      <c r="CJ674" s="332"/>
      <c r="CK674" s="332"/>
      <c r="CL674" s="332"/>
      <c r="CM674" s="332"/>
      <c r="CN674" s="332"/>
      <c r="CO674" s="332"/>
      <c r="CP674" s="332"/>
      <c r="CQ674" s="332"/>
      <c r="CR674" s="332"/>
      <c r="CS674" s="332"/>
      <c r="CT674" s="332"/>
      <c r="CU674" s="332"/>
      <c r="CV674" s="332"/>
      <c r="CW674" s="332"/>
      <c r="CX674" s="332"/>
      <c r="CY674" s="332"/>
      <c r="CZ674" s="332"/>
      <c r="DA674" s="332"/>
      <c r="DB674" s="332"/>
      <c r="DC674" s="332"/>
      <c r="DD674" s="332"/>
      <c r="DE674" s="332"/>
      <c r="DF674" s="332"/>
      <c r="DG674" s="332"/>
      <c r="DH674" s="332"/>
      <c r="DI674" s="332"/>
      <c r="DJ674" s="332"/>
      <c r="DK674" s="332"/>
      <c r="DL674" s="332"/>
      <c r="DM674" s="332"/>
      <c r="DN674" s="332"/>
      <c r="DO674" s="332"/>
      <c r="DP674" s="332"/>
      <c r="DQ674" s="332"/>
      <c r="DR674" s="332"/>
      <c r="DS674" s="332"/>
      <c r="DT674" s="332"/>
      <c r="DU674" s="453"/>
      <c r="DV674" s="453"/>
      <c r="DW674" s="453"/>
      <c r="DX674" s="453"/>
      <c r="DY674" s="453"/>
      <c r="DZ674" s="453"/>
      <c r="EA674" s="453"/>
      <c r="EB674" s="453"/>
      <c r="EC674" s="453"/>
      <c r="ED674" s="453"/>
      <c r="EE674" s="453"/>
      <c r="EF674" s="453"/>
      <c r="EG674" s="453"/>
      <c r="EH674" s="453"/>
      <c r="EI674" s="453"/>
      <c r="EJ674" s="453"/>
      <c r="EK674" s="453"/>
      <c r="EL674" s="453"/>
      <c r="EM674" s="483">
        <f t="shared" si="227"/>
        <v>365</v>
      </c>
      <c r="EN674" s="485"/>
      <c r="EO674" s="458"/>
      <c r="EP674" s="467"/>
      <c r="EQ674" s="457"/>
      <c r="ER674" s="808"/>
      <c r="ES674" s="881">
        <f t="shared" si="228"/>
        <v>0</v>
      </c>
      <c r="ET674" s="882"/>
      <c r="EU674" s="883"/>
      <c r="EV674" s="884">
        <f t="shared" si="226"/>
        <v>0</v>
      </c>
      <c r="EW674" s="885"/>
      <c r="EX674" s="885"/>
      <c r="EY674" s="885"/>
      <c r="EZ674" s="885"/>
      <c r="FA674" s="885"/>
      <c r="FB674" s="885"/>
      <c r="FC674" s="885"/>
      <c r="FD674" s="886"/>
      <c r="FE674" s="878"/>
      <c r="FF674" s="878"/>
      <c r="FG674" s="878"/>
      <c r="FH674" s="878"/>
      <c r="FI674" s="878"/>
      <c r="FJ674" s="878"/>
      <c r="FK674" s="878"/>
      <c r="FL674" s="555"/>
      <c r="FM674" s="554"/>
      <c r="FN674" s="554"/>
      <c r="FO674" s="554"/>
      <c r="FP674" s="554"/>
      <c r="FQ674" s="554"/>
      <c r="FR674" s="554"/>
      <c r="FS674" s="554"/>
      <c r="FT674" s="554"/>
      <c r="FU674" s="554"/>
      <c r="FV674" s="554"/>
      <c r="FW674" s="554"/>
      <c r="FX674" s="554"/>
      <c r="FY674" s="554"/>
      <c r="FZ674" s="554"/>
      <c r="GA674" s="554"/>
      <c r="GB674" s="556"/>
      <c r="GC674" s="370"/>
      <c r="GD674" s="453"/>
      <c r="GE674" s="453"/>
      <c r="GF674" s="453"/>
      <c r="GG674" s="453"/>
      <c r="GH674" s="454"/>
      <c r="GI674" s="453"/>
      <c r="GJ674" s="453"/>
      <c r="GK674" s="453"/>
      <c r="GL674" s="453"/>
      <c r="GM674" s="453"/>
      <c r="GN674" s="453"/>
      <c r="GO674" s="453"/>
      <c r="GP674" s="453"/>
      <c r="GQ674" s="453"/>
      <c r="GR674" s="453"/>
      <c r="GS674" s="561"/>
      <c r="GT674" s="475"/>
      <c r="GU674" s="472"/>
      <c r="GV674" s="453"/>
      <c r="GW674" s="453"/>
      <c r="GX674" s="869"/>
      <c r="GY674" s="870"/>
      <c r="GZ674" s="867"/>
      <c r="HA674" s="868"/>
      <c r="HB674" s="473"/>
      <c r="HC674" s="869"/>
      <c r="HD674" s="870"/>
      <c r="HE674" s="867"/>
      <c r="HF674" s="868"/>
      <c r="HG674" s="473"/>
      <c r="HH674" s="867"/>
      <c r="HI674" s="868"/>
      <c r="HJ674" s="867"/>
      <c r="HK674" s="868"/>
      <c r="HL674" s="370"/>
      <c r="HM674" s="865"/>
      <c r="HN674" s="866"/>
      <c r="HO674" s="865"/>
      <c r="HP674" s="866"/>
      <c r="HQ674" s="865"/>
      <c r="HR674" s="866"/>
      <c r="HS674" s="867"/>
      <c r="HT674" s="868"/>
      <c r="HU674" s="489"/>
      <c r="HV674" s="865"/>
      <c r="HW674" s="866"/>
    </row>
    <row r="675" spans="25:231" ht="15" customHeight="1">
      <c r="Y675" s="332"/>
      <c r="Z675" s="332"/>
      <c r="AA675" s="332"/>
      <c r="AB675" s="332"/>
      <c r="AC675" s="332"/>
      <c r="AD675" s="332"/>
      <c r="AE675" s="332"/>
      <c r="AF675" s="332"/>
      <c r="AG675" s="332"/>
      <c r="AH675" s="332"/>
      <c r="AI675" s="332"/>
      <c r="AJ675" s="332"/>
      <c r="AK675" s="332"/>
      <c r="AL675" s="332"/>
      <c r="AM675" s="332"/>
      <c r="AN675" s="332"/>
      <c r="AO675" s="332"/>
      <c r="AP675" s="332"/>
      <c r="AQ675" s="332"/>
      <c r="AR675" s="332"/>
      <c r="AS675" s="332"/>
      <c r="AT675" s="332"/>
      <c r="AU675" s="332"/>
      <c r="AV675" s="332"/>
      <c r="AW675" s="332"/>
      <c r="AX675" s="332"/>
      <c r="AY675" s="332"/>
      <c r="AZ675" s="332"/>
      <c r="BA675" s="332"/>
      <c r="BB675" s="332"/>
      <c r="BC675" s="332"/>
      <c r="BD675" s="332"/>
      <c r="BE675" s="332"/>
      <c r="BF675" s="332"/>
      <c r="BG675" s="332"/>
      <c r="BH675" s="332"/>
      <c r="BI675" s="332"/>
      <c r="BJ675" s="332"/>
      <c r="BK675" s="332"/>
      <c r="BL675" s="332"/>
      <c r="BM675" s="332"/>
      <c r="BN675" s="332"/>
      <c r="BO675" s="332"/>
      <c r="BP675" s="332"/>
      <c r="BQ675" s="332"/>
      <c r="BR675" s="332"/>
      <c r="BS675" s="332"/>
      <c r="BT675" s="332"/>
      <c r="BU675" s="332"/>
      <c r="BV675" s="332"/>
      <c r="BW675" s="332"/>
      <c r="BX675" s="332"/>
      <c r="BY675" s="332"/>
      <c r="BZ675" s="332"/>
      <c r="CA675" s="332"/>
      <c r="CB675" s="332"/>
      <c r="CC675" s="332"/>
      <c r="CD675" s="332"/>
      <c r="CE675" s="332"/>
      <c r="CF675" s="332"/>
      <c r="CG675" s="332"/>
      <c r="CH675" s="332"/>
      <c r="CI675" s="332"/>
      <c r="CJ675" s="332"/>
      <c r="CK675" s="332"/>
      <c r="CL675" s="332"/>
      <c r="CM675" s="332"/>
      <c r="CN675" s="332"/>
      <c r="CO675" s="332"/>
      <c r="CP675" s="332"/>
      <c r="CQ675" s="332"/>
      <c r="CR675" s="332"/>
      <c r="CS675" s="332"/>
      <c r="CT675" s="332"/>
      <c r="CU675" s="332"/>
      <c r="CV675" s="332"/>
      <c r="CW675" s="332"/>
      <c r="CX675" s="332"/>
      <c r="CY675" s="332"/>
      <c r="CZ675" s="332"/>
      <c r="DA675" s="332"/>
      <c r="DB675" s="332"/>
      <c r="DC675" s="332"/>
      <c r="DD675" s="332"/>
      <c r="DE675" s="332"/>
      <c r="DF675" s="332"/>
      <c r="DG675" s="332"/>
      <c r="DH675" s="332"/>
      <c r="DI675" s="332"/>
      <c r="DJ675" s="332"/>
      <c r="DK675" s="332"/>
      <c r="DL675" s="332"/>
      <c r="DM675" s="332"/>
      <c r="DN675" s="332"/>
      <c r="DO675" s="332"/>
      <c r="DP675" s="332"/>
      <c r="DQ675" s="332"/>
      <c r="DR675" s="332"/>
      <c r="DS675" s="332"/>
      <c r="DT675" s="332"/>
      <c r="DU675" s="453"/>
      <c r="DV675" s="453"/>
      <c r="DW675" s="453"/>
      <c r="DX675" s="453"/>
      <c r="DY675" s="453"/>
      <c r="DZ675" s="453"/>
      <c r="EA675" s="453"/>
      <c r="EB675" s="453"/>
      <c r="EC675" s="453"/>
      <c r="ED675" s="453"/>
      <c r="EE675" s="453"/>
      <c r="EF675" s="453"/>
      <c r="EG675" s="453"/>
      <c r="EH675" s="453"/>
      <c r="EI675" s="453"/>
      <c r="EJ675" s="453"/>
      <c r="EK675" s="453"/>
      <c r="EL675" s="453"/>
      <c r="EM675" s="483">
        <f t="shared" si="227"/>
        <v>366</v>
      </c>
      <c r="EN675" s="485"/>
      <c r="EO675" s="458"/>
      <c r="EP675" s="467"/>
      <c r="EQ675" s="457"/>
      <c r="ER675" s="808"/>
      <c r="ES675" s="881">
        <f t="shared" si="228"/>
        <v>0</v>
      </c>
      <c r="ET675" s="882"/>
      <c r="EU675" s="883"/>
      <c r="EV675" s="884">
        <f t="shared" si="226"/>
        <v>0</v>
      </c>
      <c r="EW675" s="885"/>
      <c r="EX675" s="885"/>
      <c r="EY675" s="885"/>
      <c r="EZ675" s="885"/>
      <c r="FA675" s="885"/>
      <c r="FB675" s="885"/>
      <c r="FC675" s="885"/>
      <c r="FD675" s="886"/>
      <c r="FE675" s="878"/>
      <c r="FF675" s="878"/>
      <c r="FG675" s="878"/>
      <c r="FH675" s="878"/>
      <c r="FI675" s="878"/>
      <c r="FJ675" s="878"/>
      <c r="FK675" s="878"/>
      <c r="FL675" s="555"/>
      <c r="FM675" s="554"/>
      <c r="FN675" s="554"/>
      <c r="FO675" s="554"/>
      <c r="FP675" s="554"/>
      <c r="FQ675" s="554"/>
      <c r="FR675" s="554"/>
      <c r="FS675" s="554"/>
      <c r="FT675" s="554"/>
      <c r="FU675" s="554"/>
      <c r="FV675" s="554"/>
      <c r="FW675" s="554"/>
      <c r="FX675" s="554"/>
      <c r="FY675" s="554"/>
      <c r="FZ675" s="554"/>
      <c r="GA675" s="554"/>
      <c r="GB675" s="556"/>
      <c r="GC675" s="370"/>
      <c r="GD675" s="453"/>
      <c r="GE675" s="453"/>
      <c r="GF675" s="453"/>
      <c r="GG675" s="453"/>
      <c r="GH675" s="454"/>
      <c r="GI675" s="453"/>
      <c r="GJ675" s="453"/>
      <c r="GK675" s="453"/>
      <c r="GL675" s="453"/>
      <c r="GM675" s="453"/>
      <c r="GN675" s="453"/>
      <c r="GO675" s="453"/>
      <c r="GP675" s="453"/>
      <c r="GQ675" s="453"/>
      <c r="GR675" s="453"/>
      <c r="GS675" s="561"/>
      <c r="GT675" s="475"/>
      <c r="GU675" s="472"/>
      <c r="GV675" s="453"/>
      <c r="GW675" s="453"/>
      <c r="GX675" s="869"/>
      <c r="GY675" s="870"/>
      <c r="GZ675" s="867"/>
      <c r="HA675" s="868"/>
      <c r="HB675" s="473"/>
      <c r="HC675" s="869"/>
      <c r="HD675" s="870"/>
      <c r="HE675" s="867"/>
      <c r="HF675" s="868"/>
      <c r="HG675" s="473"/>
      <c r="HH675" s="867"/>
      <c r="HI675" s="868"/>
      <c r="HJ675" s="867"/>
      <c r="HK675" s="868"/>
      <c r="HL675" s="370"/>
      <c r="HM675" s="865"/>
      <c r="HN675" s="866"/>
      <c r="HO675" s="865"/>
      <c r="HP675" s="866"/>
      <c r="HQ675" s="865"/>
      <c r="HR675" s="866"/>
      <c r="HS675" s="867"/>
      <c r="HT675" s="868"/>
      <c r="HU675" s="489"/>
      <c r="HV675" s="865"/>
      <c r="HW675" s="866"/>
    </row>
    <row r="676" spans="25:231" ht="15" customHeight="1">
      <c r="Y676" s="332"/>
      <c r="Z676" s="332"/>
      <c r="AA676" s="332"/>
      <c r="AB676" s="332"/>
      <c r="AC676" s="332"/>
      <c r="AD676" s="332"/>
      <c r="AE676" s="332"/>
      <c r="AF676" s="332"/>
      <c r="AG676" s="332"/>
      <c r="AH676" s="332"/>
      <c r="AI676" s="332"/>
      <c r="AJ676" s="332"/>
      <c r="AK676" s="332"/>
      <c r="AL676" s="332"/>
      <c r="AM676" s="332"/>
      <c r="AN676" s="332"/>
      <c r="AO676" s="332"/>
      <c r="AP676" s="332"/>
      <c r="AQ676" s="332"/>
      <c r="AR676" s="332"/>
      <c r="AS676" s="332"/>
      <c r="AT676" s="332"/>
      <c r="AU676" s="332"/>
      <c r="AV676" s="332"/>
      <c r="AW676" s="332"/>
      <c r="AX676" s="332"/>
      <c r="AY676" s="332"/>
      <c r="AZ676" s="332"/>
      <c r="BA676" s="332"/>
      <c r="BB676" s="332"/>
      <c r="BC676" s="332"/>
      <c r="BD676" s="332"/>
      <c r="BE676" s="332"/>
      <c r="BF676" s="332"/>
      <c r="BG676" s="332"/>
      <c r="BH676" s="332"/>
      <c r="BI676" s="332"/>
      <c r="BJ676" s="332"/>
      <c r="BK676" s="332"/>
      <c r="BL676" s="332"/>
      <c r="BM676" s="332"/>
      <c r="BN676" s="332"/>
      <c r="BO676" s="332"/>
      <c r="BP676" s="332"/>
      <c r="BQ676" s="332"/>
      <c r="BR676" s="332"/>
      <c r="BS676" s="332"/>
      <c r="BT676" s="332"/>
      <c r="BU676" s="332"/>
      <c r="BV676" s="332"/>
      <c r="BW676" s="332"/>
      <c r="BX676" s="332"/>
      <c r="BY676" s="332"/>
      <c r="BZ676" s="332"/>
      <c r="CA676" s="332"/>
      <c r="CB676" s="332"/>
      <c r="CC676" s="332"/>
      <c r="CD676" s="332"/>
      <c r="CE676" s="332"/>
      <c r="CF676" s="332"/>
      <c r="CG676" s="332"/>
      <c r="CH676" s="332"/>
      <c r="CI676" s="332"/>
      <c r="CJ676" s="332"/>
      <c r="CK676" s="332"/>
      <c r="CL676" s="332"/>
      <c r="CM676" s="332"/>
      <c r="CN676" s="332"/>
      <c r="CO676" s="332"/>
      <c r="CP676" s="332"/>
      <c r="CQ676" s="332"/>
      <c r="CR676" s="332"/>
      <c r="CS676" s="332"/>
      <c r="CT676" s="332"/>
      <c r="CU676" s="332"/>
      <c r="CV676" s="332"/>
      <c r="CW676" s="332"/>
      <c r="CX676" s="332"/>
      <c r="CY676" s="332"/>
      <c r="CZ676" s="332"/>
      <c r="DA676" s="332"/>
      <c r="DB676" s="332"/>
      <c r="DC676" s="332"/>
      <c r="DD676" s="332"/>
      <c r="DE676" s="332"/>
      <c r="DF676" s="332"/>
      <c r="DG676" s="332"/>
      <c r="DH676" s="332"/>
      <c r="DI676" s="332"/>
      <c r="DJ676" s="332"/>
      <c r="DK676" s="332"/>
      <c r="DL676" s="332"/>
      <c r="DM676" s="332"/>
      <c r="DN676" s="332"/>
      <c r="DO676" s="332"/>
      <c r="DP676" s="332"/>
      <c r="DQ676" s="332"/>
      <c r="DR676" s="332"/>
      <c r="DS676" s="332"/>
      <c r="DT676" s="332"/>
      <c r="DU676" s="453"/>
      <c r="DV676" s="453"/>
      <c r="DW676" s="453"/>
      <c r="DX676" s="453"/>
      <c r="DY676" s="453"/>
      <c r="DZ676" s="453"/>
      <c r="EA676" s="453"/>
      <c r="EB676" s="453"/>
      <c r="EC676" s="453"/>
      <c r="ED676" s="453"/>
      <c r="EE676" s="453"/>
      <c r="EF676" s="453"/>
      <c r="EG676" s="453"/>
      <c r="EH676" s="453"/>
      <c r="EI676" s="453"/>
      <c r="EJ676" s="453"/>
      <c r="EK676" s="453"/>
      <c r="EL676" s="453"/>
      <c r="EM676" s="483">
        <f t="shared" si="227"/>
        <v>367</v>
      </c>
      <c r="EN676" s="485"/>
      <c r="EO676" s="458"/>
      <c r="EP676" s="467"/>
      <c r="EQ676" s="457"/>
      <c r="ER676" s="808"/>
      <c r="ES676" s="881">
        <f t="shared" si="228"/>
        <v>0</v>
      </c>
      <c r="ET676" s="882"/>
      <c r="EU676" s="883"/>
      <c r="EV676" s="884">
        <f t="shared" si="226"/>
        <v>0</v>
      </c>
      <c r="EW676" s="885"/>
      <c r="EX676" s="885"/>
      <c r="EY676" s="885"/>
      <c r="EZ676" s="885"/>
      <c r="FA676" s="885"/>
      <c r="FB676" s="885"/>
      <c r="FC676" s="885"/>
      <c r="FD676" s="886"/>
      <c r="FE676" s="878"/>
      <c r="FF676" s="878"/>
      <c r="FG676" s="878"/>
      <c r="FH676" s="878"/>
      <c r="FI676" s="878"/>
      <c r="FJ676" s="878"/>
      <c r="FK676" s="878"/>
      <c r="FL676" s="555"/>
      <c r="FM676" s="554"/>
      <c r="FN676" s="554"/>
      <c r="FO676" s="554"/>
      <c r="FP676" s="554"/>
      <c r="FQ676" s="554"/>
      <c r="FR676" s="554"/>
      <c r="FS676" s="554"/>
      <c r="FT676" s="554"/>
      <c r="FU676" s="554"/>
      <c r="FV676" s="554"/>
      <c r="FW676" s="554"/>
      <c r="FX676" s="554"/>
      <c r="FY676" s="554"/>
      <c r="FZ676" s="554"/>
      <c r="GA676" s="554"/>
      <c r="GB676" s="556"/>
      <c r="GC676" s="370"/>
      <c r="GD676" s="453"/>
      <c r="GE676" s="453"/>
      <c r="GF676" s="453"/>
      <c r="GG676" s="453"/>
      <c r="GH676" s="454"/>
      <c r="GI676" s="453"/>
      <c r="GJ676" s="453"/>
      <c r="GK676" s="453"/>
      <c r="GL676" s="453"/>
      <c r="GM676" s="453"/>
      <c r="GN676" s="453"/>
      <c r="GO676" s="453"/>
      <c r="GP676" s="453"/>
      <c r="GQ676" s="453"/>
      <c r="GR676" s="453"/>
      <c r="GS676" s="561"/>
      <c r="GT676" s="475"/>
      <c r="GU676" s="472"/>
      <c r="GV676" s="453"/>
      <c r="GW676" s="453"/>
      <c r="GX676" s="869"/>
      <c r="GY676" s="870"/>
      <c r="GZ676" s="867"/>
      <c r="HA676" s="868"/>
      <c r="HB676" s="473"/>
      <c r="HC676" s="869"/>
      <c r="HD676" s="870"/>
      <c r="HE676" s="867"/>
      <c r="HF676" s="868"/>
      <c r="HG676" s="473"/>
      <c r="HH676" s="867"/>
      <c r="HI676" s="868"/>
      <c r="HJ676" s="867"/>
      <c r="HK676" s="868"/>
      <c r="HL676" s="370"/>
      <c r="HM676" s="865"/>
      <c r="HN676" s="866"/>
      <c r="HO676" s="865"/>
      <c r="HP676" s="866"/>
      <c r="HQ676" s="865"/>
      <c r="HR676" s="866"/>
      <c r="HS676" s="867"/>
      <c r="HT676" s="868"/>
      <c r="HU676" s="489"/>
      <c r="HV676" s="865"/>
      <c r="HW676" s="866"/>
    </row>
    <row r="677" spans="25:231" ht="15" customHeight="1">
      <c r="Y677" s="332"/>
      <c r="Z677" s="332"/>
      <c r="AA677" s="332"/>
      <c r="AB677" s="332"/>
      <c r="AC677" s="332"/>
      <c r="AD677" s="332"/>
      <c r="AE677" s="332"/>
      <c r="AF677" s="332"/>
      <c r="AG677" s="332"/>
      <c r="AH677" s="332"/>
      <c r="AI677" s="332"/>
      <c r="AJ677" s="332"/>
      <c r="AK677" s="332"/>
      <c r="AL677" s="332"/>
      <c r="AM677" s="332"/>
      <c r="AN677" s="332"/>
      <c r="AO677" s="332"/>
      <c r="AP677" s="332"/>
      <c r="AQ677" s="332"/>
      <c r="AR677" s="332"/>
      <c r="AS677" s="332"/>
      <c r="AT677" s="332"/>
      <c r="AU677" s="332"/>
      <c r="AV677" s="332"/>
      <c r="AW677" s="332"/>
      <c r="AX677" s="332"/>
      <c r="AY677" s="332"/>
      <c r="AZ677" s="332"/>
      <c r="BA677" s="332"/>
      <c r="BB677" s="332"/>
      <c r="BC677" s="332"/>
      <c r="BD677" s="332"/>
      <c r="BE677" s="332"/>
      <c r="BF677" s="332"/>
      <c r="BG677" s="332"/>
      <c r="BH677" s="332"/>
      <c r="BI677" s="332"/>
      <c r="BJ677" s="332"/>
      <c r="BK677" s="332"/>
      <c r="BL677" s="332"/>
      <c r="BM677" s="332"/>
      <c r="BN677" s="332"/>
      <c r="BO677" s="332"/>
      <c r="BP677" s="332"/>
      <c r="BQ677" s="332"/>
      <c r="BR677" s="332"/>
      <c r="BS677" s="332"/>
      <c r="BT677" s="332"/>
      <c r="BU677" s="332"/>
      <c r="BV677" s="332"/>
      <c r="BW677" s="332"/>
      <c r="BX677" s="332"/>
      <c r="BY677" s="332"/>
      <c r="BZ677" s="332"/>
      <c r="CA677" s="332"/>
      <c r="CB677" s="332"/>
      <c r="CC677" s="332"/>
      <c r="CD677" s="332"/>
      <c r="CE677" s="332"/>
      <c r="CF677" s="332"/>
      <c r="CG677" s="332"/>
      <c r="CH677" s="332"/>
      <c r="CI677" s="332"/>
      <c r="CJ677" s="332"/>
      <c r="CK677" s="332"/>
      <c r="CL677" s="332"/>
      <c r="CM677" s="332"/>
      <c r="CN677" s="332"/>
      <c r="CO677" s="332"/>
      <c r="CP677" s="332"/>
      <c r="CQ677" s="332"/>
      <c r="CR677" s="332"/>
      <c r="CS677" s="332"/>
      <c r="CT677" s="332"/>
      <c r="CU677" s="332"/>
      <c r="CV677" s="332"/>
      <c r="CW677" s="332"/>
      <c r="CX677" s="332"/>
      <c r="CY677" s="332"/>
      <c r="CZ677" s="332"/>
      <c r="DA677" s="332"/>
      <c r="DB677" s="332"/>
      <c r="DC677" s="332"/>
      <c r="DD677" s="332"/>
      <c r="DE677" s="332"/>
      <c r="DF677" s="332"/>
      <c r="DG677" s="332"/>
      <c r="DH677" s="332"/>
      <c r="DI677" s="332"/>
      <c r="DJ677" s="332"/>
      <c r="DK677" s="332"/>
      <c r="DL677" s="332"/>
      <c r="DM677" s="332"/>
      <c r="DN677" s="332"/>
      <c r="DO677" s="332"/>
      <c r="DP677" s="332"/>
      <c r="DQ677" s="332"/>
      <c r="DR677" s="332"/>
      <c r="DS677" s="332"/>
      <c r="DT677" s="332"/>
      <c r="DU677" s="453"/>
      <c r="DV677" s="453"/>
      <c r="DW677" s="453"/>
      <c r="DX677" s="453"/>
      <c r="DY677" s="453"/>
      <c r="DZ677" s="453"/>
      <c r="EA677" s="453"/>
      <c r="EB677" s="453"/>
      <c r="EC677" s="453"/>
      <c r="ED677" s="453"/>
      <c r="EE677" s="453"/>
      <c r="EF677" s="453"/>
      <c r="EG677" s="453"/>
      <c r="EH677" s="453"/>
      <c r="EI677" s="453"/>
      <c r="EJ677" s="453"/>
      <c r="EK677" s="453"/>
      <c r="EL677" s="453"/>
      <c r="EM677" s="483">
        <f t="shared" si="227"/>
        <v>368</v>
      </c>
      <c r="EN677" s="485"/>
      <c r="EO677" s="458"/>
      <c r="EP677" s="467"/>
      <c r="EQ677" s="457"/>
      <c r="ER677" s="808"/>
      <c r="ES677" s="881">
        <f t="shared" si="228"/>
        <v>0</v>
      </c>
      <c r="ET677" s="882"/>
      <c r="EU677" s="883"/>
      <c r="EV677" s="884">
        <f t="shared" si="226"/>
        <v>0</v>
      </c>
      <c r="EW677" s="885"/>
      <c r="EX677" s="885"/>
      <c r="EY677" s="885"/>
      <c r="EZ677" s="885"/>
      <c r="FA677" s="885"/>
      <c r="FB677" s="885"/>
      <c r="FC677" s="885"/>
      <c r="FD677" s="886"/>
      <c r="FE677" s="878"/>
      <c r="FF677" s="878"/>
      <c r="FG677" s="878"/>
      <c r="FH677" s="878"/>
      <c r="FI677" s="878"/>
      <c r="FJ677" s="878"/>
      <c r="FK677" s="878"/>
      <c r="FL677" s="555"/>
      <c r="FM677" s="554"/>
      <c r="FN677" s="554"/>
      <c r="FO677" s="554"/>
      <c r="FP677" s="554"/>
      <c r="FQ677" s="554"/>
      <c r="FR677" s="554"/>
      <c r="FS677" s="554"/>
      <c r="FT677" s="554"/>
      <c r="FU677" s="554"/>
      <c r="FV677" s="554"/>
      <c r="FW677" s="554"/>
      <c r="FX677" s="554"/>
      <c r="FY677" s="554"/>
      <c r="FZ677" s="554"/>
      <c r="GA677" s="554"/>
      <c r="GB677" s="556"/>
      <c r="GC677" s="370"/>
      <c r="GD677" s="453"/>
      <c r="GE677" s="453"/>
      <c r="GF677" s="453"/>
      <c r="GG677" s="453"/>
      <c r="GH677" s="454"/>
      <c r="GI677" s="453"/>
      <c r="GJ677" s="453"/>
      <c r="GK677" s="453"/>
      <c r="GL677" s="453"/>
      <c r="GM677" s="453"/>
      <c r="GN677" s="453"/>
      <c r="GO677" s="453"/>
      <c r="GP677" s="453"/>
      <c r="GQ677" s="453"/>
      <c r="GR677" s="453"/>
      <c r="GS677" s="561"/>
      <c r="GT677" s="475"/>
      <c r="GU677" s="472"/>
      <c r="GV677" s="453"/>
      <c r="GW677" s="453"/>
      <c r="GX677" s="869"/>
      <c r="GY677" s="870"/>
      <c r="GZ677" s="867"/>
      <c r="HA677" s="868"/>
      <c r="HB677" s="473"/>
      <c r="HC677" s="869"/>
      <c r="HD677" s="870"/>
      <c r="HE677" s="867"/>
      <c r="HF677" s="868"/>
      <c r="HG677" s="473"/>
      <c r="HH677" s="867"/>
      <c r="HI677" s="868"/>
      <c r="HJ677" s="867"/>
      <c r="HK677" s="868"/>
      <c r="HL677" s="370"/>
      <c r="HM677" s="865"/>
      <c r="HN677" s="866"/>
      <c r="HO677" s="865"/>
      <c r="HP677" s="866"/>
      <c r="HQ677" s="865"/>
      <c r="HR677" s="866"/>
      <c r="HS677" s="867"/>
      <c r="HT677" s="868"/>
      <c r="HU677" s="489"/>
      <c r="HV677" s="865"/>
      <c r="HW677" s="866"/>
    </row>
    <row r="678" spans="25:231" ht="15" customHeight="1">
      <c r="Y678" s="332"/>
      <c r="Z678" s="332"/>
      <c r="AA678" s="332"/>
      <c r="AB678" s="332"/>
      <c r="AC678" s="332"/>
      <c r="AD678" s="332"/>
      <c r="AE678" s="332"/>
      <c r="AF678" s="332"/>
      <c r="AG678" s="332"/>
      <c r="AH678" s="332"/>
      <c r="AI678" s="332"/>
      <c r="AJ678" s="332"/>
      <c r="AK678" s="332"/>
      <c r="AL678" s="332"/>
      <c r="AM678" s="332"/>
      <c r="AN678" s="332"/>
      <c r="AO678" s="332"/>
      <c r="AP678" s="332"/>
      <c r="AQ678" s="332"/>
      <c r="AR678" s="332"/>
      <c r="AS678" s="332"/>
      <c r="AT678" s="332"/>
      <c r="AU678" s="332"/>
      <c r="AV678" s="332"/>
      <c r="AW678" s="332"/>
      <c r="AX678" s="332"/>
      <c r="AY678" s="332"/>
      <c r="AZ678" s="332"/>
      <c r="BA678" s="332"/>
      <c r="BB678" s="332"/>
      <c r="BC678" s="332"/>
      <c r="BD678" s="332"/>
      <c r="BE678" s="332"/>
      <c r="BF678" s="332"/>
      <c r="BG678" s="332"/>
      <c r="BH678" s="332"/>
      <c r="BI678" s="332"/>
      <c r="BJ678" s="332"/>
      <c r="BK678" s="332"/>
      <c r="BL678" s="332"/>
      <c r="BM678" s="332"/>
      <c r="BN678" s="332"/>
      <c r="BO678" s="332"/>
      <c r="BP678" s="332"/>
      <c r="BQ678" s="332"/>
      <c r="BR678" s="332"/>
      <c r="BS678" s="332"/>
      <c r="BT678" s="332"/>
      <c r="BU678" s="332"/>
      <c r="BV678" s="332"/>
      <c r="BW678" s="332"/>
      <c r="BX678" s="332"/>
      <c r="BY678" s="332"/>
      <c r="BZ678" s="332"/>
      <c r="CA678" s="332"/>
      <c r="CB678" s="332"/>
      <c r="CC678" s="332"/>
      <c r="CD678" s="332"/>
      <c r="CE678" s="332"/>
      <c r="CF678" s="332"/>
      <c r="CG678" s="332"/>
      <c r="CH678" s="332"/>
      <c r="CI678" s="332"/>
      <c r="CJ678" s="332"/>
      <c r="CK678" s="332"/>
      <c r="CL678" s="332"/>
      <c r="CM678" s="332"/>
      <c r="CN678" s="332"/>
      <c r="CO678" s="332"/>
      <c r="CP678" s="332"/>
      <c r="CQ678" s="332"/>
      <c r="CR678" s="332"/>
      <c r="CS678" s="332"/>
      <c r="CT678" s="332"/>
      <c r="CU678" s="332"/>
      <c r="CV678" s="332"/>
      <c r="CW678" s="332"/>
      <c r="CX678" s="332"/>
      <c r="CY678" s="332"/>
      <c r="CZ678" s="332"/>
      <c r="DA678" s="332"/>
      <c r="DB678" s="332"/>
      <c r="DC678" s="332"/>
      <c r="DD678" s="332"/>
      <c r="DE678" s="332"/>
      <c r="DF678" s="332"/>
      <c r="DG678" s="332"/>
      <c r="DH678" s="332"/>
      <c r="DI678" s="332"/>
      <c r="DJ678" s="332"/>
      <c r="DK678" s="332"/>
      <c r="DL678" s="332"/>
      <c r="DM678" s="332"/>
      <c r="DN678" s="332"/>
      <c r="DO678" s="332"/>
      <c r="DP678" s="332"/>
      <c r="DQ678" s="332"/>
      <c r="DR678" s="332"/>
      <c r="DS678" s="332"/>
      <c r="DT678" s="332"/>
      <c r="DU678" s="453"/>
      <c r="DV678" s="453"/>
      <c r="DW678" s="453"/>
      <c r="DX678" s="453"/>
      <c r="DY678" s="453"/>
      <c r="DZ678" s="453"/>
      <c r="EA678" s="453"/>
      <c r="EB678" s="453"/>
      <c r="EC678" s="453"/>
      <c r="ED678" s="453"/>
      <c r="EE678" s="453"/>
      <c r="EF678" s="453"/>
      <c r="EG678" s="453"/>
      <c r="EH678" s="453"/>
      <c r="EI678" s="453"/>
      <c r="EJ678" s="453"/>
      <c r="EK678" s="453"/>
      <c r="EL678" s="453"/>
      <c r="EM678" s="483">
        <f t="shared" si="227"/>
        <v>369</v>
      </c>
      <c r="EN678" s="485"/>
      <c r="EO678" s="458"/>
      <c r="EP678" s="467"/>
      <c r="EQ678" s="457"/>
      <c r="ER678" s="808"/>
      <c r="ES678" s="881">
        <f t="shared" si="228"/>
        <v>0</v>
      </c>
      <c r="ET678" s="882"/>
      <c r="EU678" s="883"/>
      <c r="EV678" s="884">
        <f t="shared" si="226"/>
        <v>0</v>
      </c>
      <c r="EW678" s="885"/>
      <c r="EX678" s="885"/>
      <c r="EY678" s="885"/>
      <c r="EZ678" s="885"/>
      <c r="FA678" s="885"/>
      <c r="FB678" s="885"/>
      <c r="FC678" s="885"/>
      <c r="FD678" s="886"/>
      <c r="FE678" s="878"/>
      <c r="FF678" s="878"/>
      <c r="FG678" s="878"/>
      <c r="FH678" s="878"/>
      <c r="FI678" s="878"/>
      <c r="FJ678" s="878"/>
      <c r="FK678" s="878"/>
      <c r="FL678" s="555"/>
      <c r="FM678" s="554"/>
      <c r="FN678" s="554"/>
      <c r="FO678" s="554"/>
      <c r="FP678" s="554"/>
      <c r="FQ678" s="554"/>
      <c r="FR678" s="554"/>
      <c r="FS678" s="554"/>
      <c r="FT678" s="554"/>
      <c r="FU678" s="554"/>
      <c r="FV678" s="554"/>
      <c r="FW678" s="554"/>
      <c r="FX678" s="554"/>
      <c r="FY678" s="554"/>
      <c r="FZ678" s="554"/>
      <c r="GA678" s="554"/>
      <c r="GB678" s="556"/>
      <c r="GC678" s="370"/>
      <c r="GD678" s="453"/>
      <c r="GE678" s="453"/>
      <c r="GF678" s="453"/>
      <c r="GG678" s="453"/>
      <c r="GH678" s="454"/>
      <c r="GI678" s="453"/>
      <c r="GJ678" s="453"/>
      <c r="GK678" s="453"/>
      <c r="GL678" s="453"/>
      <c r="GM678" s="453"/>
      <c r="GN678" s="453"/>
      <c r="GO678" s="453"/>
      <c r="GP678" s="453"/>
      <c r="GQ678" s="453"/>
      <c r="GR678" s="453"/>
      <c r="GS678" s="561"/>
      <c r="GT678" s="475"/>
      <c r="GU678" s="472"/>
      <c r="GV678" s="453"/>
      <c r="GW678" s="453"/>
      <c r="GX678" s="869"/>
      <c r="GY678" s="870"/>
      <c r="GZ678" s="867"/>
      <c r="HA678" s="868"/>
      <c r="HB678" s="473"/>
      <c r="HC678" s="869"/>
      <c r="HD678" s="870"/>
      <c r="HE678" s="867"/>
      <c r="HF678" s="868"/>
      <c r="HG678" s="473"/>
      <c r="HH678" s="867"/>
      <c r="HI678" s="868"/>
      <c r="HJ678" s="867"/>
      <c r="HK678" s="868"/>
      <c r="HL678" s="370"/>
      <c r="HM678" s="865"/>
      <c r="HN678" s="866"/>
      <c r="HO678" s="865"/>
      <c r="HP678" s="866"/>
      <c r="HQ678" s="865"/>
      <c r="HR678" s="866"/>
      <c r="HS678" s="867"/>
      <c r="HT678" s="868"/>
      <c r="HU678" s="489"/>
      <c r="HV678" s="865"/>
      <c r="HW678" s="866"/>
    </row>
    <row r="679" spans="25:231" ht="15" customHeight="1">
      <c r="Y679" s="332"/>
      <c r="Z679" s="332"/>
      <c r="AA679" s="332"/>
      <c r="AB679" s="332"/>
      <c r="AC679" s="332"/>
      <c r="AD679" s="332"/>
      <c r="AE679" s="332"/>
      <c r="AF679" s="332"/>
      <c r="AG679" s="332"/>
      <c r="AH679" s="332"/>
      <c r="AI679" s="332"/>
      <c r="AJ679" s="332"/>
      <c r="AK679" s="332"/>
      <c r="AL679" s="332"/>
      <c r="AM679" s="332"/>
      <c r="AN679" s="332"/>
      <c r="AO679" s="332"/>
      <c r="AP679" s="332"/>
      <c r="AQ679" s="332"/>
      <c r="AR679" s="332"/>
      <c r="AS679" s="332"/>
      <c r="AT679" s="332"/>
      <c r="AU679" s="332"/>
      <c r="AV679" s="332"/>
      <c r="AW679" s="332"/>
      <c r="AX679" s="332"/>
      <c r="AY679" s="332"/>
      <c r="AZ679" s="332"/>
      <c r="BA679" s="332"/>
      <c r="BB679" s="332"/>
      <c r="BC679" s="332"/>
      <c r="BD679" s="332"/>
      <c r="BE679" s="332"/>
      <c r="BF679" s="332"/>
      <c r="BG679" s="332"/>
      <c r="BH679" s="332"/>
      <c r="BI679" s="332"/>
      <c r="BJ679" s="332"/>
      <c r="BK679" s="332"/>
      <c r="BL679" s="332"/>
      <c r="BM679" s="332"/>
      <c r="BN679" s="332"/>
      <c r="BO679" s="332"/>
      <c r="BP679" s="332"/>
      <c r="BQ679" s="332"/>
      <c r="BR679" s="332"/>
      <c r="BS679" s="332"/>
      <c r="BT679" s="332"/>
      <c r="BU679" s="332"/>
      <c r="BV679" s="332"/>
      <c r="BW679" s="332"/>
      <c r="BX679" s="332"/>
      <c r="BY679" s="332"/>
      <c r="BZ679" s="332"/>
      <c r="CA679" s="332"/>
      <c r="CB679" s="332"/>
      <c r="CC679" s="332"/>
      <c r="CD679" s="332"/>
      <c r="CE679" s="332"/>
      <c r="CF679" s="332"/>
      <c r="CG679" s="332"/>
      <c r="CH679" s="332"/>
      <c r="CI679" s="332"/>
      <c r="CJ679" s="332"/>
      <c r="CK679" s="332"/>
      <c r="CL679" s="332"/>
      <c r="CM679" s="332"/>
      <c r="CN679" s="332"/>
      <c r="CO679" s="332"/>
      <c r="CP679" s="332"/>
      <c r="CQ679" s="332"/>
      <c r="CR679" s="332"/>
      <c r="CS679" s="332"/>
      <c r="CT679" s="332"/>
      <c r="CU679" s="332"/>
      <c r="CV679" s="332"/>
      <c r="CW679" s="332"/>
      <c r="CX679" s="332"/>
      <c r="CY679" s="332"/>
      <c r="CZ679" s="332"/>
      <c r="DA679" s="332"/>
      <c r="DB679" s="332"/>
      <c r="DC679" s="332"/>
      <c r="DD679" s="332"/>
      <c r="DE679" s="332"/>
      <c r="DF679" s="332"/>
      <c r="DG679" s="332"/>
      <c r="DH679" s="332"/>
      <c r="DI679" s="332"/>
      <c r="DJ679" s="332"/>
      <c r="DK679" s="332"/>
      <c r="DL679" s="332"/>
      <c r="DM679" s="332"/>
      <c r="DN679" s="332"/>
      <c r="DO679" s="332"/>
      <c r="DP679" s="332"/>
      <c r="DQ679" s="332"/>
      <c r="DR679" s="332"/>
      <c r="DS679" s="332"/>
      <c r="DT679" s="332"/>
      <c r="DU679" s="453"/>
      <c r="DV679" s="453"/>
      <c r="DW679" s="453"/>
      <c r="DX679" s="453"/>
      <c r="DY679" s="453"/>
      <c r="DZ679" s="453"/>
      <c r="EA679" s="453"/>
      <c r="EB679" s="453"/>
      <c r="EC679" s="453"/>
      <c r="ED679" s="453"/>
      <c r="EE679" s="453"/>
      <c r="EF679" s="453"/>
      <c r="EG679" s="453"/>
      <c r="EH679" s="453"/>
      <c r="EI679" s="453"/>
      <c r="EJ679" s="453"/>
      <c r="EK679" s="453"/>
      <c r="EL679" s="453"/>
      <c r="EM679" s="483">
        <f t="shared" si="227"/>
        <v>370</v>
      </c>
      <c r="EN679" s="485"/>
      <c r="EO679" s="458"/>
      <c r="EP679" s="467"/>
      <c r="EQ679" s="457"/>
      <c r="ER679" s="808"/>
      <c r="ES679" s="881">
        <f t="shared" si="228"/>
        <v>0</v>
      </c>
      <c r="ET679" s="882"/>
      <c r="EU679" s="883"/>
      <c r="EV679" s="884">
        <f t="shared" si="226"/>
        <v>0</v>
      </c>
      <c r="EW679" s="885"/>
      <c r="EX679" s="885"/>
      <c r="EY679" s="885"/>
      <c r="EZ679" s="885"/>
      <c r="FA679" s="885"/>
      <c r="FB679" s="885"/>
      <c r="FC679" s="885"/>
      <c r="FD679" s="886"/>
      <c r="FE679" s="878"/>
      <c r="FF679" s="878"/>
      <c r="FG679" s="878"/>
      <c r="FH679" s="878"/>
      <c r="FI679" s="878"/>
      <c r="FJ679" s="878"/>
      <c r="FK679" s="878"/>
      <c r="FL679" s="555"/>
      <c r="FM679" s="554"/>
      <c r="FN679" s="554"/>
      <c r="FO679" s="554"/>
      <c r="FP679" s="554"/>
      <c r="FQ679" s="554"/>
      <c r="FR679" s="554"/>
      <c r="FS679" s="554"/>
      <c r="FT679" s="554"/>
      <c r="FU679" s="554"/>
      <c r="FV679" s="554"/>
      <c r="FW679" s="554"/>
      <c r="FX679" s="554"/>
      <c r="FY679" s="554"/>
      <c r="FZ679" s="554"/>
      <c r="GA679" s="554"/>
      <c r="GB679" s="556"/>
      <c r="GC679" s="370"/>
      <c r="GD679" s="453"/>
      <c r="GE679" s="453"/>
      <c r="GF679" s="453"/>
      <c r="GG679" s="453"/>
      <c r="GH679" s="454"/>
      <c r="GI679" s="453"/>
      <c r="GJ679" s="453"/>
      <c r="GK679" s="453"/>
      <c r="GL679" s="453"/>
      <c r="GM679" s="453"/>
      <c r="GN679" s="453"/>
      <c r="GO679" s="453"/>
      <c r="GP679" s="453"/>
      <c r="GQ679" s="453"/>
      <c r="GR679" s="453"/>
      <c r="GS679" s="561"/>
      <c r="GT679" s="475"/>
      <c r="GU679" s="472"/>
      <c r="GV679" s="453"/>
      <c r="GW679" s="453"/>
      <c r="GX679" s="869"/>
      <c r="GY679" s="870"/>
      <c r="GZ679" s="867"/>
      <c r="HA679" s="868"/>
      <c r="HB679" s="473"/>
      <c r="HC679" s="869"/>
      <c r="HD679" s="870"/>
      <c r="HE679" s="867"/>
      <c r="HF679" s="868"/>
      <c r="HG679" s="473"/>
      <c r="HH679" s="867"/>
      <c r="HI679" s="868"/>
      <c r="HJ679" s="867"/>
      <c r="HK679" s="868"/>
      <c r="HL679" s="370"/>
      <c r="HM679" s="865"/>
      <c r="HN679" s="866"/>
      <c r="HO679" s="865"/>
      <c r="HP679" s="866"/>
      <c r="HQ679" s="865"/>
      <c r="HR679" s="866"/>
      <c r="HS679" s="867"/>
      <c r="HT679" s="868"/>
      <c r="HU679" s="489"/>
      <c r="HV679" s="865"/>
      <c r="HW679" s="866"/>
    </row>
    <row r="680" spans="25:231" ht="15" customHeight="1">
      <c r="Y680" s="332"/>
      <c r="Z680" s="332"/>
      <c r="AA680" s="332"/>
      <c r="AB680" s="332"/>
      <c r="AC680" s="332"/>
      <c r="AD680" s="332"/>
      <c r="AE680" s="332"/>
      <c r="AF680" s="332"/>
      <c r="AG680" s="332"/>
      <c r="AH680" s="332"/>
      <c r="AI680" s="332"/>
      <c r="AJ680" s="332"/>
      <c r="AK680" s="332"/>
      <c r="AL680" s="332"/>
      <c r="AM680" s="332"/>
      <c r="AN680" s="332"/>
      <c r="AO680" s="332"/>
      <c r="AP680" s="332"/>
      <c r="AQ680" s="332"/>
      <c r="AR680" s="332"/>
      <c r="AS680" s="332"/>
      <c r="AT680" s="332"/>
      <c r="AU680" s="332"/>
      <c r="AV680" s="332"/>
      <c r="AW680" s="332"/>
      <c r="AX680" s="332"/>
      <c r="AY680" s="332"/>
      <c r="AZ680" s="332"/>
      <c r="BA680" s="332"/>
      <c r="BB680" s="332"/>
      <c r="BC680" s="332"/>
      <c r="BD680" s="332"/>
      <c r="BE680" s="332"/>
      <c r="BF680" s="332"/>
      <c r="BG680" s="332"/>
      <c r="BH680" s="332"/>
      <c r="BI680" s="332"/>
      <c r="BJ680" s="332"/>
      <c r="BK680" s="332"/>
      <c r="BL680" s="332"/>
      <c r="BM680" s="332"/>
      <c r="BN680" s="332"/>
      <c r="BO680" s="332"/>
      <c r="BP680" s="332"/>
      <c r="BQ680" s="332"/>
      <c r="BR680" s="332"/>
      <c r="BS680" s="332"/>
      <c r="BT680" s="332"/>
      <c r="BU680" s="332"/>
      <c r="BV680" s="332"/>
      <c r="BW680" s="332"/>
      <c r="BX680" s="332"/>
      <c r="BY680" s="332"/>
      <c r="BZ680" s="332"/>
      <c r="CA680" s="332"/>
      <c r="CB680" s="332"/>
      <c r="CC680" s="332"/>
      <c r="CD680" s="332"/>
      <c r="CE680" s="332"/>
      <c r="CF680" s="332"/>
      <c r="CG680" s="332"/>
      <c r="CH680" s="332"/>
      <c r="CI680" s="332"/>
      <c r="CJ680" s="332"/>
      <c r="CK680" s="332"/>
      <c r="CL680" s="332"/>
      <c r="CM680" s="332"/>
      <c r="CN680" s="332"/>
      <c r="CO680" s="332"/>
      <c r="CP680" s="332"/>
      <c r="CQ680" s="332"/>
      <c r="CR680" s="332"/>
      <c r="CS680" s="332"/>
      <c r="CT680" s="332"/>
      <c r="CU680" s="332"/>
      <c r="CV680" s="332"/>
      <c r="CW680" s="332"/>
      <c r="CX680" s="332"/>
      <c r="CY680" s="332"/>
      <c r="CZ680" s="332"/>
      <c r="DA680" s="332"/>
      <c r="DB680" s="332"/>
      <c r="DC680" s="332"/>
      <c r="DD680" s="332"/>
      <c r="DE680" s="332"/>
      <c r="DF680" s="332"/>
      <c r="DG680" s="332"/>
      <c r="DH680" s="332"/>
      <c r="DI680" s="332"/>
      <c r="DJ680" s="332"/>
      <c r="DK680" s="332"/>
      <c r="DL680" s="332"/>
      <c r="DM680" s="332"/>
      <c r="DN680" s="332"/>
      <c r="DO680" s="332"/>
      <c r="DP680" s="332"/>
      <c r="DQ680" s="332"/>
      <c r="DR680" s="332"/>
      <c r="DS680" s="332"/>
      <c r="DT680" s="332"/>
      <c r="DU680" s="453"/>
      <c r="DV680" s="453"/>
      <c r="DW680" s="453"/>
      <c r="DX680" s="453"/>
      <c r="DY680" s="453"/>
      <c r="DZ680" s="453"/>
      <c r="EA680" s="453"/>
      <c r="EB680" s="453"/>
      <c r="EC680" s="453"/>
      <c r="ED680" s="453"/>
      <c r="EE680" s="453"/>
      <c r="EF680" s="453"/>
      <c r="EG680" s="453"/>
      <c r="EH680" s="453"/>
      <c r="EI680" s="453"/>
      <c r="EJ680" s="453"/>
      <c r="EK680" s="453"/>
      <c r="EL680" s="453"/>
      <c r="EM680" s="483">
        <f t="shared" si="227"/>
        <v>371</v>
      </c>
      <c r="EN680" s="485"/>
      <c r="EO680" s="458"/>
      <c r="EP680" s="467"/>
      <c r="EQ680" s="457"/>
      <c r="ER680" s="808"/>
      <c r="ES680" s="881">
        <f t="shared" si="228"/>
        <v>0</v>
      </c>
      <c r="ET680" s="882"/>
      <c r="EU680" s="883"/>
      <c r="EV680" s="884">
        <f t="shared" si="226"/>
        <v>0</v>
      </c>
      <c r="EW680" s="885"/>
      <c r="EX680" s="885"/>
      <c r="EY680" s="885"/>
      <c r="EZ680" s="885"/>
      <c r="FA680" s="885"/>
      <c r="FB680" s="885"/>
      <c r="FC680" s="885"/>
      <c r="FD680" s="886"/>
      <c r="FE680" s="878"/>
      <c r="FF680" s="878"/>
      <c r="FG680" s="878"/>
      <c r="FH680" s="878"/>
      <c r="FI680" s="878"/>
      <c r="FJ680" s="878"/>
      <c r="FK680" s="878"/>
      <c r="FL680" s="555"/>
      <c r="FM680" s="554"/>
      <c r="FN680" s="554"/>
      <c r="FO680" s="554"/>
      <c r="FP680" s="554"/>
      <c r="FQ680" s="554"/>
      <c r="FR680" s="554"/>
      <c r="FS680" s="554"/>
      <c r="FT680" s="554"/>
      <c r="FU680" s="554"/>
      <c r="FV680" s="554"/>
      <c r="FW680" s="554"/>
      <c r="FX680" s="554"/>
      <c r="FY680" s="554"/>
      <c r="FZ680" s="554"/>
      <c r="GA680" s="554"/>
      <c r="GB680" s="556"/>
      <c r="GC680" s="370"/>
      <c r="GD680" s="453"/>
      <c r="GE680" s="453"/>
      <c r="GF680" s="453"/>
      <c r="GG680" s="453"/>
      <c r="GH680" s="454"/>
      <c r="GI680" s="453"/>
      <c r="GJ680" s="453"/>
      <c r="GK680" s="453"/>
      <c r="GL680" s="453"/>
      <c r="GM680" s="453"/>
      <c r="GN680" s="453"/>
      <c r="GO680" s="453"/>
      <c r="GP680" s="453"/>
      <c r="GQ680" s="453"/>
      <c r="GR680" s="453"/>
      <c r="GS680" s="561"/>
      <c r="GT680" s="475"/>
      <c r="GU680" s="472"/>
      <c r="GV680" s="453"/>
      <c r="GW680" s="453"/>
      <c r="GX680" s="869"/>
      <c r="GY680" s="870"/>
      <c r="GZ680" s="867"/>
      <c r="HA680" s="868"/>
      <c r="HB680" s="473"/>
      <c r="HC680" s="869"/>
      <c r="HD680" s="870"/>
      <c r="HE680" s="867"/>
      <c r="HF680" s="868"/>
      <c r="HG680" s="473"/>
      <c r="HH680" s="867"/>
      <c r="HI680" s="868"/>
      <c r="HJ680" s="867"/>
      <c r="HK680" s="868"/>
      <c r="HL680" s="370"/>
      <c r="HM680" s="865"/>
      <c r="HN680" s="866"/>
      <c r="HO680" s="865"/>
      <c r="HP680" s="866"/>
      <c r="HQ680" s="865"/>
      <c r="HR680" s="866"/>
      <c r="HS680" s="867"/>
      <c r="HT680" s="868"/>
      <c r="HU680" s="489"/>
      <c r="HV680" s="865"/>
      <c r="HW680" s="866"/>
    </row>
    <row r="681" spans="25:231" ht="15" customHeight="1">
      <c r="Y681" s="332"/>
      <c r="Z681" s="332"/>
      <c r="AA681" s="332"/>
      <c r="AB681" s="332"/>
      <c r="AC681" s="332"/>
      <c r="AD681" s="332"/>
      <c r="AE681" s="332"/>
      <c r="AF681" s="332"/>
      <c r="AG681" s="332"/>
      <c r="AH681" s="332"/>
      <c r="AI681" s="332"/>
      <c r="AJ681" s="332"/>
      <c r="AK681" s="332"/>
      <c r="AL681" s="332"/>
      <c r="AM681" s="332"/>
      <c r="AN681" s="332"/>
      <c r="AO681" s="332"/>
      <c r="AP681" s="332"/>
      <c r="AQ681" s="332"/>
      <c r="AR681" s="332"/>
      <c r="AS681" s="332"/>
      <c r="AT681" s="332"/>
      <c r="AU681" s="332"/>
      <c r="AV681" s="332"/>
      <c r="AW681" s="332"/>
      <c r="AX681" s="332"/>
      <c r="AY681" s="332"/>
      <c r="AZ681" s="332"/>
      <c r="BA681" s="332"/>
      <c r="BB681" s="332"/>
      <c r="BC681" s="332"/>
      <c r="BD681" s="332"/>
      <c r="BE681" s="332"/>
      <c r="BF681" s="332"/>
      <c r="BG681" s="332"/>
      <c r="BH681" s="332"/>
      <c r="BI681" s="332"/>
      <c r="BJ681" s="332"/>
      <c r="BK681" s="332"/>
      <c r="BL681" s="332"/>
      <c r="BM681" s="332"/>
      <c r="BN681" s="332"/>
      <c r="BO681" s="332"/>
      <c r="BP681" s="332"/>
      <c r="BQ681" s="332"/>
      <c r="BR681" s="332"/>
      <c r="BS681" s="332"/>
      <c r="BT681" s="332"/>
      <c r="BU681" s="332"/>
      <c r="BV681" s="332"/>
      <c r="BW681" s="332"/>
      <c r="BX681" s="332"/>
      <c r="BY681" s="332"/>
      <c r="BZ681" s="332"/>
      <c r="CA681" s="332"/>
      <c r="CB681" s="332"/>
      <c r="CC681" s="332"/>
      <c r="CD681" s="332"/>
      <c r="CE681" s="332"/>
      <c r="CF681" s="332"/>
      <c r="CG681" s="332"/>
      <c r="CH681" s="332"/>
      <c r="CI681" s="332"/>
      <c r="CJ681" s="332"/>
      <c r="CK681" s="332"/>
      <c r="CL681" s="332"/>
      <c r="CM681" s="332"/>
      <c r="CN681" s="332"/>
      <c r="CO681" s="332"/>
      <c r="CP681" s="332"/>
      <c r="CQ681" s="332"/>
      <c r="CR681" s="332"/>
      <c r="CS681" s="332"/>
      <c r="CT681" s="332"/>
      <c r="CU681" s="332"/>
      <c r="CV681" s="332"/>
      <c r="CW681" s="332"/>
      <c r="CX681" s="332"/>
      <c r="CY681" s="332"/>
      <c r="CZ681" s="332"/>
      <c r="DA681" s="332"/>
      <c r="DB681" s="332"/>
      <c r="DC681" s="332"/>
      <c r="DD681" s="332"/>
      <c r="DE681" s="332"/>
      <c r="DF681" s="332"/>
      <c r="DG681" s="332"/>
      <c r="DH681" s="332"/>
      <c r="DI681" s="332"/>
      <c r="DJ681" s="332"/>
      <c r="DK681" s="332"/>
      <c r="DL681" s="332"/>
      <c r="DM681" s="332"/>
      <c r="DN681" s="332"/>
      <c r="DO681" s="332"/>
      <c r="DP681" s="332"/>
      <c r="DQ681" s="332"/>
      <c r="DR681" s="332"/>
      <c r="DS681" s="332"/>
      <c r="DT681" s="332"/>
      <c r="DU681" s="453"/>
      <c r="DV681" s="453"/>
      <c r="DW681" s="453"/>
      <c r="DX681" s="453"/>
      <c r="DY681" s="453"/>
      <c r="DZ681" s="453"/>
      <c r="EA681" s="453"/>
      <c r="EB681" s="453"/>
      <c r="EC681" s="453"/>
      <c r="ED681" s="453"/>
      <c r="EE681" s="453"/>
      <c r="EF681" s="453"/>
      <c r="EG681" s="453"/>
      <c r="EH681" s="453"/>
      <c r="EI681" s="453"/>
      <c r="EJ681" s="453"/>
      <c r="EK681" s="453"/>
      <c r="EL681" s="453"/>
      <c r="EM681" s="483">
        <f t="shared" si="227"/>
        <v>372</v>
      </c>
      <c r="EN681" s="485"/>
      <c r="EO681" s="458"/>
      <c r="EP681" s="467"/>
      <c r="EQ681" s="457"/>
      <c r="ER681" s="808"/>
      <c r="ES681" s="881">
        <f t="shared" si="228"/>
        <v>0</v>
      </c>
      <c r="ET681" s="882"/>
      <c r="EU681" s="883"/>
      <c r="EV681" s="884">
        <f t="shared" si="226"/>
        <v>0</v>
      </c>
      <c r="EW681" s="885"/>
      <c r="EX681" s="885"/>
      <c r="EY681" s="885"/>
      <c r="EZ681" s="885"/>
      <c r="FA681" s="885"/>
      <c r="FB681" s="885"/>
      <c r="FC681" s="885"/>
      <c r="FD681" s="886"/>
      <c r="FE681" s="878"/>
      <c r="FF681" s="878"/>
      <c r="FG681" s="878"/>
      <c r="FH681" s="878"/>
      <c r="FI681" s="878"/>
      <c r="FJ681" s="878"/>
      <c r="FK681" s="878"/>
      <c r="FL681" s="555"/>
      <c r="FM681" s="554"/>
      <c r="FN681" s="554"/>
      <c r="FO681" s="554"/>
      <c r="FP681" s="554"/>
      <c r="FQ681" s="554"/>
      <c r="FR681" s="554"/>
      <c r="FS681" s="554"/>
      <c r="FT681" s="554"/>
      <c r="FU681" s="554"/>
      <c r="FV681" s="554"/>
      <c r="FW681" s="554"/>
      <c r="FX681" s="554"/>
      <c r="FY681" s="554"/>
      <c r="FZ681" s="554"/>
      <c r="GA681" s="554"/>
      <c r="GB681" s="556"/>
      <c r="GC681" s="370"/>
      <c r="GD681" s="453"/>
      <c r="GE681" s="453"/>
      <c r="GF681" s="453"/>
      <c r="GG681" s="453"/>
      <c r="GH681" s="454"/>
      <c r="GI681" s="453"/>
      <c r="GJ681" s="453"/>
      <c r="GK681" s="453"/>
      <c r="GL681" s="453"/>
      <c r="GM681" s="453"/>
      <c r="GN681" s="453"/>
      <c r="GO681" s="453"/>
      <c r="GP681" s="453"/>
      <c r="GQ681" s="453"/>
      <c r="GR681" s="453"/>
      <c r="GS681" s="561"/>
      <c r="GT681" s="475"/>
      <c r="GU681" s="472"/>
      <c r="GV681" s="453"/>
      <c r="GW681" s="453"/>
      <c r="GX681" s="869"/>
      <c r="GY681" s="870"/>
      <c r="GZ681" s="867"/>
      <c r="HA681" s="868"/>
      <c r="HB681" s="473"/>
      <c r="HC681" s="869"/>
      <c r="HD681" s="870"/>
      <c r="HE681" s="867"/>
      <c r="HF681" s="868"/>
      <c r="HG681" s="473"/>
      <c r="HH681" s="867"/>
      <c r="HI681" s="868"/>
      <c r="HJ681" s="867"/>
      <c r="HK681" s="868"/>
      <c r="HL681" s="370"/>
      <c r="HM681" s="865"/>
      <c r="HN681" s="866"/>
      <c r="HO681" s="865"/>
      <c r="HP681" s="866"/>
      <c r="HQ681" s="865"/>
      <c r="HR681" s="866"/>
      <c r="HS681" s="867"/>
      <c r="HT681" s="868"/>
      <c r="HU681" s="489"/>
      <c r="HV681" s="865"/>
      <c r="HW681" s="866"/>
    </row>
    <row r="682" spans="25:231" ht="15" customHeight="1">
      <c r="Y682" s="332"/>
      <c r="Z682" s="332"/>
      <c r="AA682" s="332"/>
      <c r="AB682" s="332"/>
      <c r="AC682" s="332"/>
      <c r="AD682" s="332"/>
      <c r="AE682" s="332"/>
      <c r="AF682" s="332"/>
      <c r="AG682" s="332"/>
      <c r="AH682" s="332"/>
      <c r="AI682" s="332"/>
      <c r="AJ682" s="332"/>
      <c r="AK682" s="332"/>
      <c r="AL682" s="332"/>
      <c r="AM682" s="332"/>
      <c r="AN682" s="332"/>
      <c r="AO682" s="332"/>
      <c r="AP682" s="332"/>
      <c r="AQ682" s="332"/>
      <c r="AR682" s="332"/>
      <c r="AS682" s="332"/>
      <c r="AT682" s="332"/>
      <c r="AU682" s="332"/>
      <c r="AV682" s="332"/>
      <c r="AW682" s="332"/>
      <c r="AX682" s="332"/>
      <c r="AY682" s="332"/>
      <c r="AZ682" s="332"/>
      <c r="BA682" s="332"/>
      <c r="BB682" s="332"/>
      <c r="BC682" s="332"/>
      <c r="BD682" s="332"/>
      <c r="BE682" s="332"/>
      <c r="BF682" s="332"/>
      <c r="BG682" s="332"/>
      <c r="BH682" s="332"/>
      <c r="BI682" s="332"/>
      <c r="BJ682" s="332"/>
      <c r="BK682" s="332"/>
      <c r="BL682" s="332"/>
      <c r="BM682" s="332"/>
      <c r="BN682" s="332"/>
      <c r="BO682" s="332"/>
      <c r="BP682" s="332"/>
      <c r="BQ682" s="332"/>
      <c r="BR682" s="332"/>
      <c r="BS682" s="332"/>
      <c r="BT682" s="332"/>
      <c r="BU682" s="332"/>
      <c r="BV682" s="332"/>
      <c r="BW682" s="332"/>
      <c r="BX682" s="332"/>
      <c r="BY682" s="332"/>
      <c r="BZ682" s="332"/>
      <c r="CA682" s="332"/>
      <c r="CB682" s="332"/>
      <c r="CC682" s="332"/>
      <c r="CD682" s="332"/>
      <c r="CE682" s="332"/>
      <c r="CF682" s="332"/>
      <c r="CG682" s="332"/>
      <c r="CH682" s="332"/>
      <c r="CI682" s="332"/>
      <c r="CJ682" s="332"/>
      <c r="CK682" s="332"/>
      <c r="CL682" s="332"/>
      <c r="CM682" s="332"/>
      <c r="CN682" s="332"/>
      <c r="CO682" s="332"/>
      <c r="CP682" s="332"/>
      <c r="CQ682" s="332"/>
      <c r="CR682" s="332"/>
      <c r="CS682" s="332"/>
      <c r="CT682" s="332"/>
      <c r="CU682" s="332"/>
      <c r="CV682" s="332"/>
      <c r="CW682" s="332"/>
      <c r="CX682" s="332"/>
      <c r="CY682" s="332"/>
      <c r="CZ682" s="332"/>
      <c r="DA682" s="332"/>
      <c r="DB682" s="332"/>
      <c r="DC682" s="332"/>
      <c r="DD682" s="332"/>
      <c r="DE682" s="332"/>
      <c r="DF682" s="332"/>
      <c r="DG682" s="332"/>
      <c r="DH682" s="332"/>
      <c r="DI682" s="332"/>
      <c r="DJ682" s="332"/>
      <c r="DK682" s="332"/>
      <c r="DL682" s="332"/>
      <c r="DM682" s="332"/>
      <c r="DN682" s="332"/>
      <c r="DO682" s="332"/>
      <c r="DP682" s="332"/>
      <c r="DQ682" s="332"/>
      <c r="DR682" s="332"/>
      <c r="DS682" s="332"/>
      <c r="DT682" s="332"/>
      <c r="DU682" s="453"/>
      <c r="DV682" s="453"/>
      <c r="DW682" s="453"/>
      <c r="DX682" s="453"/>
      <c r="DY682" s="453"/>
      <c r="DZ682" s="453"/>
      <c r="EA682" s="453"/>
      <c r="EB682" s="453"/>
      <c r="EC682" s="453"/>
      <c r="ED682" s="453"/>
      <c r="EE682" s="453"/>
      <c r="EF682" s="453"/>
      <c r="EG682" s="453"/>
      <c r="EH682" s="453"/>
      <c r="EI682" s="453"/>
      <c r="EJ682" s="453"/>
      <c r="EK682" s="453"/>
      <c r="EL682" s="453"/>
      <c r="EM682" s="483">
        <f t="shared" si="227"/>
        <v>373</v>
      </c>
      <c r="EN682" s="485"/>
      <c r="EO682" s="458"/>
      <c r="EP682" s="467"/>
      <c r="EQ682" s="457"/>
      <c r="ER682" s="808"/>
      <c r="ES682" s="881">
        <f t="shared" si="228"/>
        <v>0</v>
      </c>
      <c r="ET682" s="882"/>
      <c r="EU682" s="883"/>
      <c r="EV682" s="884">
        <f t="shared" si="226"/>
        <v>0</v>
      </c>
      <c r="EW682" s="885"/>
      <c r="EX682" s="885"/>
      <c r="EY682" s="885"/>
      <c r="EZ682" s="885"/>
      <c r="FA682" s="885"/>
      <c r="FB682" s="885"/>
      <c r="FC682" s="885"/>
      <c r="FD682" s="886"/>
      <c r="FE682" s="878"/>
      <c r="FF682" s="878"/>
      <c r="FG682" s="878"/>
      <c r="FH682" s="878"/>
      <c r="FI682" s="878"/>
      <c r="FJ682" s="878"/>
      <c r="FK682" s="878"/>
      <c r="FL682" s="555"/>
      <c r="FM682" s="554"/>
      <c r="FN682" s="554"/>
      <c r="FO682" s="554"/>
      <c r="FP682" s="554"/>
      <c r="FQ682" s="554"/>
      <c r="FR682" s="554"/>
      <c r="FS682" s="554"/>
      <c r="FT682" s="554"/>
      <c r="FU682" s="554"/>
      <c r="FV682" s="554"/>
      <c r="FW682" s="554"/>
      <c r="FX682" s="554"/>
      <c r="FY682" s="554"/>
      <c r="FZ682" s="554"/>
      <c r="GA682" s="554"/>
      <c r="GB682" s="556"/>
      <c r="GC682" s="370"/>
      <c r="GD682" s="453"/>
      <c r="GE682" s="453"/>
      <c r="GF682" s="453"/>
      <c r="GG682" s="453"/>
      <c r="GH682" s="454"/>
      <c r="GI682" s="453"/>
      <c r="GJ682" s="453"/>
      <c r="GK682" s="453"/>
      <c r="GL682" s="453"/>
      <c r="GM682" s="453"/>
      <c r="GN682" s="453"/>
      <c r="GO682" s="453"/>
      <c r="GP682" s="453"/>
      <c r="GQ682" s="453"/>
      <c r="GR682" s="453"/>
      <c r="GS682" s="561"/>
      <c r="GT682" s="475"/>
      <c r="GU682" s="472"/>
      <c r="GV682" s="453"/>
      <c r="GW682" s="453"/>
      <c r="GX682" s="869"/>
      <c r="GY682" s="870"/>
      <c r="GZ682" s="867"/>
      <c r="HA682" s="868"/>
      <c r="HB682" s="473"/>
      <c r="HC682" s="869"/>
      <c r="HD682" s="870"/>
      <c r="HE682" s="867"/>
      <c r="HF682" s="868"/>
      <c r="HG682" s="473"/>
      <c r="HH682" s="867"/>
      <c r="HI682" s="868"/>
      <c r="HJ682" s="867"/>
      <c r="HK682" s="868"/>
      <c r="HL682" s="370"/>
      <c r="HM682" s="865"/>
      <c r="HN682" s="866"/>
      <c r="HO682" s="865"/>
      <c r="HP682" s="866"/>
      <c r="HQ682" s="865"/>
      <c r="HR682" s="866"/>
      <c r="HS682" s="867"/>
      <c r="HT682" s="868"/>
      <c r="HU682" s="489"/>
      <c r="HV682" s="865"/>
      <c r="HW682" s="866"/>
    </row>
    <row r="683" spans="25:231" ht="15" customHeight="1">
      <c r="Y683" s="332"/>
      <c r="Z683" s="332"/>
      <c r="AA683" s="332"/>
      <c r="AB683" s="332"/>
      <c r="AC683" s="332"/>
      <c r="AD683" s="332"/>
      <c r="AE683" s="332"/>
      <c r="AF683" s="332"/>
      <c r="AG683" s="332"/>
      <c r="AH683" s="332"/>
      <c r="AI683" s="332"/>
      <c r="AJ683" s="332"/>
      <c r="AK683" s="332"/>
      <c r="AL683" s="332"/>
      <c r="AM683" s="332"/>
      <c r="AN683" s="332"/>
      <c r="AO683" s="332"/>
      <c r="AP683" s="332"/>
      <c r="AQ683" s="332"/>
      <c r="AR683" s="332"/>
      <c r="AS683" s="332"/>
      <c r="AT683" s="332"/>
      <c r="AU683" s="332"/>
      <c r="AV683" s="332"/>
      <c r="AW683" s="332"/>
      <c r="AX683" s="332"/>
      <c r="AY683" s="332"/>
      <c r="AZ683" s="332"/>
      <c r="BA683" s="332"/>
      <c r="BB683" s="332"/>
      <c r="BC683" s="332"/>
      <c r="BD683" s="332"/>
      <c r="BE683" s="332"/>
      <c r="BF683" s="332"/>
      <c r="BG683" s="332"/>
      <c r="BH683" s="332"/>
      <c r="BI683" s="332"/>
      <c r="BJ683" s="332"/>
      <c r="BK683" s="332"/>
      <c r="BL683" s="332"/>
      <c r="BM683" s="332"/>
      <c r="BN683" s="332"/>
      <c r="BO683" s="332"/>
      <c r="BP683" s="332"/>
      <c r="BQ683" s="332"/>
      <c r="BR683" s="332"/>
      <c r="BS683" s="332"/>
      <c r="BT683" s="332"/>
      <c r="BU683" s="332"/>
      <c r="BV683" s="332"/>
      <c r="BW683" s="332"/>
      <c r="BX683" s="332"/>
      <c r="BY683" s="332"/>
      <c r="BZ683" s="332"/>
      <c r="CA683" s="332"/>
      <c r="CB683" s="332"/>
      <c r="CC683" s="332"/>
      <c r="CD683" s="332"/>
      <c r="CE683" s="332"/>
      <c r="CF683" s="332"/>
      <c r="CG683" s="332"/>
      <c r="CH683" s="332"/>
      <c r="CI683" s="332"/>
      <c r="CJ683" s="332"/>
      <c r="CK683" s="332"/>
      <c r="CL683" s="332"/>
      <c r="CM683" s="332"/>
      <c r="CN683" s="332"/>
      <c r="CO683" s="332"/>
      <c r="CP683" s="332"/>
      <c r="CQ683" s="332"/>
      <c r="CR683" s="332"/>
      <c r="CS683" s="332"/>
      <c r="CT683" s="332"/>
      <c r="CU683" s="332"/>
      <c r="CV683" s="332"/>
      <c r="CW683" s="332"/>
      <c r="CX683" s="332"/>
      <c r="CY683" s="332"/>
      <c r="CZ683" s="332"/>
      <c r="DA683" s="332"/>
      <c r="DB683" s="332"/>
      <c r="DC683" s="332"/>
      <c r="DD683" s="332"/>
      <c r="DE683" s="332"/>
      <c r="DF683" s="332"/>
      <c r="DG683" s="332"/>
      <c r="DH683" s="332"/>
      <c r="DI683" s="332"/>
      <c r="DJ683" s="332"/>
      <c r="DK683" s="332"/>
      <c r="DL683" s="332"/>
      <c r="DM683" s="332"/>
      <c r="DN683" s="332"/>
      <c r="DO683" s="332"/>
      <c r="DP683" s="332"/>
      <c r="DQ683" s="332"/>
      <c r="DR683" s="332"/>
      <c r="DS683" s="332"/>
      <c r="DT683" s="332"/>
      <c r="DU683" s="453"/>
      <c r="DV683" s="453"/>
      <c r="DW683" s="453"/>
      <c r="DX683" s="453"/>
      <c r="DY683" s="453"/>
      <c r="DZ683" s="453"/>
      <c r="EA683" s="453"/>
      <c r="EB683" s="453"/>
      <c r="EC683" s="453"/>
      <c r="ED683" s="453"/>
      <c r="EE683" s="453"/>
      <c r="EF683" s="453"/>
      <c r="EG683" s="453"/>
      <c r="EH683" s="453"/>
      <c r="EI683" s="453"/>
      <c r="EJ683" s="453"/>
      <c r="EK683" s="453"/>
      <c r="EL683" s="453"/>
      <c r="EM683" s="483">
        <f t="shared" si="227"/>
        <v>374</v>
      </c>
      <c r="EN683" s="485"/>
      <c r="EO683" s="458"/>
      <c r="EP683" s="467"/>
      <c r="EQ683" s="457"/>
      <c r="ER683" s="808"/>
      <c r="ES683" s="881">
        <f t="shared" si="228"/>
        <v>0</v>
      </c>
      <c r="ET683" s="882"/>
      <c r="EU683" s="883"/>
      <c r="EV683" s="884">
        <f t="shared" si="226"/>
        <v>0</v>
      </c>
      <c r="EW683" s="885"/>
      <c r="EX683" s="885"/>
      <c r="EY683" s="885"/>
      <c r="EZ683" s="885"/>
      <c r="FA683" s="885"/>
      <c r="FB683" s="885"/>
      <c r="FC683" s="885"/>
      <c r="FD683" s="886"/>
      <c r="FE683" s="878"/>
      <c r="FF683" s="878"/>
      <c r="FG683" s="878"/>
      <c r="FH683" s="878"/>
      <c r="FI683" s="878"/>
      <c r="FJ683" s="878"/>
      <c r="FK683" s="878"/>
      <c r="FL683" s="555"/>
      <c r="FM683" s="554"/>
      <c r="FN683" s="554"/>
      <c r="FO683" s="554"/>
      <c r="FP683" s="554"/>
      <c r="FQ683" s="554"/>
      <c r="FR683" s="554"/>
      <c r="FS683" s="554"/>
      <c r="FT683" s="554"/>
      <c r="FU683" s="554"/>
      <c r="FV683" s="554"/>
      <c r="FW683" s="554"/>
      <c r="FX683" s="554"/>
      <c r="FY683" s="554"/>
      <c r="FZ683" s="554"/>
      <c r="GA683" s="554"/>
      <c r="GB683" s="556"/>
      <c r="GC683" s="370"/>
      <c r="GD683" s="453"/>
      <c r="GE683" s="453"/>
      <c r="GF683" s="453"/>
      <c r="GG683" s="453"/>
      <c r="GH683" s="454"/>
      <c r="GI683" s="453"/>
      <c r="GJ683" s="453"/>
      <c r="GK683" s="453"/>
      <c r="GL683" s="453"/>
      <c r="GM683" s="453"/>
      <c r="GN683" s="453"/>
      <c r="GO683" s="453"/>
      <c r="GP683" s="453"/>
      <c r="GQ683" s="453"/>
      <c r="GR683" s="453"/>
      <c r="GS683" s="561"/>
      <c r="GT683" s="475"/>
      <c r="GU683" s="472"/>
      <c r="GV683" s="453"/>
      <c r="GW683" s="453"/>
      <c r="GX683" s="869"/>
      <c r="GY683" s="870"/>
      <c r="GZ683" s="867"/>
      <c r="HA683" s="868"/>
      <c r="HB683" s="473"/>
      <c r="HC683" s="869"/>
      <c r="HD683" s="870"/>
      <c r="HE683" s="867"/>
      <c r="HF683" s="868"/>
      <c r="HG683" s="473"/>
      <c r="HH683" s="867"/>
      <c r="HI683" s="868"/>
      <c r="HJ683" s="867"/>
      <c r="HK683" s="868"/>
      <c r="HL683" s="370"/>
      <c r="HM683" s="865"/>
      <c r="HN683" s="866"/>
      <c r="HO683" s="865"/>
      <c r="HP683" s="866"/>
      <c r="HQ683" s="865"/>
      <c r="HR683" s="866"/>
      <c r="HS683" s="867"/>
      <c r="HT683" s="868"/>
      <c r="HU683" s="489"/>
      <c r="HV683" s="865"/>
      <c r="HW683" s="866"/>
    </row>
    <row r="684" spans="25:231" ht="15" customHeight="1">
      <c r="Y684" s="332"/>
      <c r="Z684" s="332"/>
      <c r="AA684" s="332"/>
      <c r="AB684" s="332"/>
      <c r="AC684" s="332"/>
      <c r="AD684" s="332"/>
      <c r="AE684" s="332"/>
      <c r="AF684" s="332"/>
      <c r="AG684" s="332"/>
      <c r="AH684" s="332"/>
      <c r="AI684" s="332"/>
      <c r="AJ684" s="332"/>
      <c r="AK684" s="332"/>
      <c r="AL684" s="332"/>
      <c r="AM684" s="332"/>
      <c r="AN684" s="332"/>
      <c r="AO684" s="332"/>
      <c r="AP684" s="332"/>
      <c r="AQ684" s="332"/>
      <c r="AR684" s="332"/>
      <c r="AS684" s="332"/>
      <c r="AT684" s="332"/>
      <c r="AU684" s="332"/>
      <c r="AV684" s="332"/>
      <c r="AW684" s="332"/>
      <c r="AX684" s="332"/>
      <c r="AY684" s="332"/>
      <c r="AZ684" s="332"/>
      <c r="BA684" s="332"/>
      <c r="BB684" s="332"/>
      <c r="BC684" s="332"/>
      <c r="BD684" s="332"/>
      <c r="BE684" s="332"/>
      <c r="BF684" s="332"/>
      <c r="BG684" s="332"/>
      <c r="BH684" s="332"/>
      <c r="BI684" s="332"/>
      <c r="BJ684" s="332"/>
      <c r="BK684" s="332"/>
      <c r="BL684" s="332"/>
      <c r="BM684" s="332"/>
      <c r="BN684" s="332"/>
      <c r="BO684" s="332"/>
      <c r="BP684" s="332"/>
      <c r="BQ684" s="332"/>
      <c r="BR684" s="332"/>
      <c r="BS684" s="332"/>
      <c r="BT684" s="332"/>
      <c r="BU684" s="332"/>
      <c r="BV684" s="332"/>
      <c r="BW684" s="332"/>
      <c r="BX684" s="332"/>
      <c r="BY684" s="332"/>
      <c r="BZ684" s="332"/>
      <c r="CA684" s="332"/>
      <c r="CB684" s="332"/>
      <c r="CC684" s="332"/>
      <c r="CD684" s="332"/>
      <c r="CE684" s="332"/>
      <c r="CF684" s="332"/>
      <c r="CG684" s="332"/>
      <c r="CH684" s="332"/>
      <c r="CI684" s="332"/>
      <c r="CJ684" s="332"/>
      <c r="CK684" s="332"/>
      <c r="CL684" s="332"/>
      <c r="CM684" s="332"/>
      <c r="CN684" s="332"/>
      <c r="CO684" s="332"/>
      <c r="CP684" s="332"/>
      <c r="CQ684" s="332"/>
      <c r="CR684" s="332"/>
      <c r="CS684" s="332"/>
      <c r="CT684" s="332"/>
      <c r="CU684" s="332"/>
      <c r="CV684" s="332"/>
      <c r="CW684" s="332"/>
      <c r="CX684" s="332"/>
      <c r="CY684" s="332"/>
      <c r="CZ684" s="332"/>
      <c r="DA684" s="332"/>
      <c r="DB684" s="332"/>
      <c r="DC684" s="332"/>
      <c r="DD684" s="332"/>
      <c r="DE684" s="332"/>
      <c r="DF684" s="332"/>
      <c r="DG684" s="332"/>
      <c r="DH684" s="332"/>
      <c r="DI684" s="332"/>
      <c r="DJ684" s="332"/>
      <c r="DK684" s="332"/>
      <c r="DL684" s="332"/>
      <c r="DM684" s="332"/>
      <c r="DN684" s="332"/>
      <c r="DO684" s="332"/>
      <c r="DP684" s="332"/>
      <c r="DQ684" s="332"/>
      <c r="DR684" s="332"/>
      <c r="DS684" s="332"/>
      <c r="DT684" s="332"/>
      <c r="DU684" s="453"/>
      <c r="DV684" s="453"/>
      <c r="DW684" s="453"/>
      <c r="DX684" s="453"/>
      <c r="DY684" s="453"/>
      <c r="DZ684" s="453"/>
      <c r="EA684" s="453"/>
      <c r="EB684" s="453"/>
      <c r="EC684" s="453"/>
      <c r="ED684" s="453"/>
      <c r="EE684" s="453"/>
      <c r="EF684" s="453"/>
      <c r="EG684" s="453"/>
      <c r="EH684" s="453"/>
      <c r="EI684" s="453"/>
      <c r="EJ684" s="453"/>
      <c r="EK684" s="453"/>
      <c r="EL684" s="453"/>
      <c r="EM684" s="483">
        <f t="shared" si="227"/>
        <v>375</v>
      </c>
      <c r="EN684" s="485"/>
      <c r="EO684" s="458"/>
      <c r="EP684" s="467"/>
      <c r="EQ684" s="457"/>
      <c r="ER684" s="808"/>
      <c r="ES684" s="881">
        <f t="shared" si="228"/>
        <v>0</v>
      </c>
      <c r="ET684" s="882"/>
      <c r="EU684" s="883"/>
      <c r="EV684" s="884">
        <f t="shared" si="226"/>
        <v>0</v>
      </c>
      <c r="EW684" s="885"/>
      <c r="EX684" s="885"/>
      <c r="EY684" s="885"/>
      <c r="EZ684" s="885"/>
      <c r="FA684" s="885"/>
      <c r="FB684" s="885"/>
      <c r="FC684" s="885"/>
      <c r="FD684" s="886"/>
      <c r="FE684" s="878"/>
      <c r="FF684" s="878"/>
      <c r="FG684" s="878"/>
      <c r="FH684" s="878"/>
      <c r="FI684" s="878"/>
      <c r="FJ684" s="878"/>
      <c r="FK684" s="878"/>
      <c r="FL684" s="555"/>
      <c r="FM684" s="554"/>
      <c r="FN684" s="554"/>
      <c r="FO684" s="554"/>
      <c r="FP684" s="554"/>
      <c r="FQ684" s="554"/>
      <c r="FR684" s="554"/>
      <c r="FS684" s="554"/>
      <c r="FT684" s="554"/>
      <c r="FU684" s="554"/>
      <c r="FV684" s="554"/>
      <c r="FW684" s="554"/>
      <c r="FX684" s="554"/>
      <c r="FY684" s="554"/>
      <c r="FZ684" s="554"/>
      <c r="GA684" s="554"/>
      <c r="GB684" s="556"/>
      <c r="GC684" s="370"/>
      <c r="GD684" s="453"/>
      <c r="GE684" s="453"/>
      <c r="GF684" s="453"/>
      <c r="GG684" s="453"/>
      <c r="GH684" s="454"/>
      <c r="GI684" s="453"/>
      <c r="GJ684" s="453"/>
      <c r="GK684" s="453"/>
      <c r="GL684" s="453"/>
      <c r="GM684" s="453"/>
      <c r="GN684" s="453"/>
      <c r="GO684" s="453"/>
      <c r="GP684" s="453"/>
      <c r="GQ684" s="453"/>
      <c r="GR684" s="453"/>
      <c r="GS684" s="561"/>
      <c r="GT684" s="475"/>
      <c r="GU684" s="472"/>
      <c r="GV684" s="453"/>
      <c r="GW684" s="453"/>
      <c r="GX684" s="869"/>
      <c r="GY684" s="870"/>
      <c r="GZ684" s="867"/>
      <c r="HA684" s="868"/>
      <c r="HB684" s="473"/>
      <c r="HC684" s="869"/>
      <c r="HD684" s="870"/>
      <c r="HE684" s="867"/>
      <c r="HF684" s="868"/>
      <c r="HG684" s="473"/>
      <c r="HH684" s="867"/>
      <c r="HI684" s="868"/>
      <c r="HJ684" s="867"/>
      <c r="HK684" s="868"/>
      <c r="HL684" s="370"/>
      <c r="HM684" s="865"/>
      <c r="HN684" s="866"/>
      <c r="HO684" s="865"/>
      <c r="HP684" s="866"/>
      <c r="HQ684" s="865"/>
      <c r="HR684" s="866"/>
      <c r="HS684" s="867"/>
      <c r="HT684" s="868"/>
      <c r="HU684" s="489"/>
      <c r="HV684" s="865"/>
      <c r="HW684" s="866"/>
    </row>
    <row r="685" spans="25:231" ht="15" customHeight="1">
      <c r="Y685" s="332"/>
      <c r="Z685" s="332"/>
      <c r="AA685" s="332"/>
      <c r="AB685" s="332"/>
      <c r="AC685" s="332"/>
      <c r="AD685" s="332"/>
      <c r="AE685" s="332"/>
      <c r="AF685" s="332"/>
      <c r="AG685" s="332"/>
      <c r="AH685" s="332"/>
      <c r="AI685" s="332"/>
      <c r="AJ685" s="332"/>
      <c r="AK685" s="332"/>
      <c r="AL685" s="332"/>
      <c r="AM685" s="332"/>
      <c r="AN685" s="332"/>
      <c r="AO685" s="332"/>
      <c r="AP685" s="332"/>
      <c r="AQ685" s="332"/>
      <c r="AR685" s="332"/>
      <c r="AS685" s="332"/>
      <c r="AT685" s="332"/>
      <c r="AU685" s="332"/>
      <c r="AV685" s="332"/>
      <c r="AW685" s="332"/>
      <c r="AX685" s="332"/>
      <c r="AY685" s="332"/>
      <c r="AZ685" s="332"/>
      <c r="BA685" s="332"/>
      <c r="BB685" s="332"/>
      <c r="BC685" s="332"/>
      <c r="BD685" s="332"/>
      <c r="BE685" s="332"/>
      <c r="BF685" s="332"/>
      <c r="BG685" s="332"/>
      <c r="BH685" s="332"/>
      <c r="BI685" s="332"/>
      <c r="BJ685" s="332"/>
      <c r="BK685" s="332"/>
      <c r="BL685" s="332"/>
      <c r="BM685" s="332"/>
      <c r="BN685" s="332"/>
      <c r="BO685" s="332"/>
      <c r="BP685" s="332"/>
      <c r="BQ685" s="332"/>
      <c r="BR685" s="332"/>
      <c r="BS685" s="332"/>
      <c r="BT685" s="332"/>
      <c r="BU685" s="332"/>
      <c r="BV685" s="332"/>
      <c r="BW685" s="332"/>
      <c r="BX685" s="332"/>
      <c r="BY685" s="332"/>
      <c r="BZ685" s="332"/>
      <c r="CA685" s="332"/>
      <c r="CB685" s="332"/>
      <c r="CC685" s="332"/>
      <c r="CD685" s="332"/>
      <c r="CE685" s="332"/>
      <c r="CF685" s="332"/>
      <c r="CG685" s="332"/>
      <c r="CH685" s="332"/>
      <c r="CI685" s="332"/>
      <c r="CJ685" s="332"/>
      <c r="CK685" s="332"/>
      <c r="CL685" s="332"/>
      <c r="CM685" s="332"/>
      <c r="CN685" s="332"/>
      <c r="CO685" s="332"/>
      <c r="CP685" s="332"/>
      <c r="CQ685" s="332"/>
      <c r="CR685" s="332"/>
      <c r="CS685" s="332"/>
      <c r="CT685" s="332"/>
      <c r="CU685" s="332"/>
      <c r="CV685" s="332"/>
      <c r="CW685" s="332"/>
      <c r="CX685" s="332"/>
      <c r="CY685" s="332"/>
      <c r="CZ685" s="332"/>
      <c r="DA685" s="332"/>
      <c r="DB685" s="332"/>
      <c r="DC685" s="332"/>
      <c r="DD685" s="332"/>
      <c r="DE685" s="332"/>
      <c r="DF685" s="332"/>
      <c r="DG685" s="332"/>
      <c r="DH685" s="332"/>
      <c r="DI685" s="332"/>
      <c r="DJ685" s="332"/>
      <c r="DK685" s="332"/>
      <c r="DL685" s="332"/>
      <c r="DM685" s="332"/>
      <c r="DN685" s="332"/>
      <c r="DO685" s="332"/>
      <c r="DP685" s="332"/>
      <c r="DQ685" s="332"/>
      <c r="DR685" s="332"/>
      <c r="DS685" s="332"/>
      <c r="DT685" s="332"/>
      <c r="DU685" s="453"/>
      <c r="DV685" s="453"/>
      <c r="DW685" s="453"/>
      <c r="DX685" s="453"/>
      <c r="DY685" s="453"/>
      <c r="DZ685" s="453"/>
      <c r="EA685" s="453"/>
      <c r="EB685" s="453"/>
      <c r="EC685" s="453"/>
      <c r="ED685" s="453"/>
      <c r="EE685" s="453"/>
      <c r="EF685" s="453"/>
      <c r="EG685" s="453"/>
      <c r="EH685" s="453"/>
      <c r="EI685" s="453"/>
      <c r="EJ685" s="453"/>
      <c r="EK685" s="453"/>
      <c r="EL685" s="453"/>
      <c r="EM685" s="483">
        <f t="shared" si="227"/>
        <v>376</v>
      </c>
      <c r="EN685" s="485"/>
      <c r="EO685" s="458"/>
      <c r="EP685" s="467"/>
      <c r="EQ685" s="457"/>
      <c r="ER685" s="808"/>
      <c r="ES685" s="881">
        <f t="shared" si="228"/>
        <v>0</v>
      </c>
      <c r="ET685" s="882"/>
      <c r="EU685" s="883"/>
      <c r="EV685" s="884">
        <f t="shared" si="226"/>
        <v>0</v>
      </c>
      <c r="EW685" s="885"/>
      <c r="EX685" s="885"/>
      <c r="EY685" s="885"/>
      <c r="EZ685" s="885"/>
      <c r="FA685" s="885"/>
      <c r="FB685" s="885"/>
      <c r="FC685" s="885"/>
      <c r="FD685" s="886"/>
      <c r="FE685" s="878"/>
      <c r="FF685" s="878"/>
      <c r="FG685" s="878"/>
      <c r="FH685" s="878"/>
      <c r="FI685" s="878"/>
      <c r="FJ685" s="878"/>
      <c r="FK685" s="878"/>
      <c r="FL685" s="555"/>
      <c r="FM685" s="554"/>
      <c r="FN685" s="554"/>
      <c r="FO685" s="554"/>
      <c r="FP685" s="554"/>
      <c r="FQ685" s="554"/>
      <c r="FR685" s="554"/>
      <c r="FS685" s="554"/>
      <c r="FT685" s="554"/>
      <c r="FU685" s="554"/>
      <c r="FV685" s="554"/>
      <c r="FW685" s="554"/>
      <c r="FX685" s="554"/>
      <c r="FY685" s="554"/>
      <c r="FZ685" s="554"/>
      <c r="GA685" s="554"/>
      <c r="GB685" s="556"/>
      <c r="GC685" s="370"/>
      <c r="GD685" s="453"/>
      <c r="GE685" s="453"/>
      <c r="GF685" s="453"/>
      <c r="GG685" s="453"/>
      <c r="GH685" s="454"/>
      <c r="GI685" s="453"/>
      <c r="GJ685" s="453"/>
      <c r="GK685" s="453"/>
      <c r="GL685" s="453"/>
      <c r="GM685" s="453"/>
      <c r="GN685" s="453"/>
      <c r="GO685" s="453"/>
      <c r="GP685" s="453"/>
      <c r="GQ685" s="453"/>
      <c r="GR685" s="453"/>
      <c r="GS685" s="561"/>
      <c r="GT685" s="475"/>
      <c r="GU685" s="472"/>
      <c r="GV685" s="453"/>
      <c r="GW685" s="453"/>
      <c r="GX685" s="869"/>
      <c r="GY685" s="870"/>
      <c r="GZ685" s="867"/>
      <c r="HA685" s="868"/>
      <c r="HB685" s="473"/>
      <c r="HC685" s="869"/>
      <c r="HD685" s="870"/>
      <c r="HE685" s="867"/>
      <c r="HF685" s="868"/>
      <c r="HG685" s="473"/>
      <c r="HH685" s="867"/>
      <c r="HI685" s="868"/>
      <c r="HJ685" s="867"/>
      <c r="HK685" s="868"/>
      <c r="HL685" s="370"/>
      <c r="HM685" s="865"/>
      <c r="HN685" s="866"/>
      <c r="HO685" s="865"/>
      <c r="HP685" s="866"/>
      <c r="HQ685" s="865"/>
      <c r="HR685" s="866"/>
      <c r="HS685" s="867"/>
      <c r="HT685" s="868"/>
      <c r="HU685" s="489"/>
      <c r="HV685" s="865"/>
      <c r="HW685" s="866"/>
    </row>
    <row r="686" spans="25:231" ht="15" customHeight="1">
      <c r="Y686" s="332"/>
      <c r="Z686" s="332"/>
      <c r="AA686" s="332"/>
      <c r="AB686" s="332"/>
      <c r="AC686" s="332"/>
      <c r="AD686" s="332"/>
      <c r="AE686" s="332"/>
      <c r="AF686" s="332"/>
      <c r="AG686" s="332"/>
      <c r="AH686" s="332"/>
      <c r="AI686" s="332"/>
      <c r="AJ686" s="332"/>
      <c r="AK686" s="332"/>
      <c r="AL686" s="332"/>
      <c r="AM686" s="332"/>
      <c r="AN686" s="332"/>
      <c r="AO686" s="332"/>
      <c r="AP686" s="332"/>
      <c r="AQ686" s="332"/>
      <c r="AR686" s="332"/>
      <c r="AS686" s="332"/>
      <c r="AT686" s="332"/>
      <c r="AU686" s="332"/>
      <c r="AV686" s="332"/>
      <c r="AW686" s="332"/>
      <c r="AX686" s="332"/>
      <c r="AY686" s="332"/>
      <c r="AZ686" s="332"/>
      <c r="BA686" s="332"/>
      <c r="BB686" s="332"/>
      <c r="BC686" s="332"/>
      <c r="BD686" s="332"/>
      <c r="BE686" s="332"/>
      <c r="BF686" s="332"/>
      <c r="BG686" s="332"/>
      <c r="BH686" s="332"/>
      <c r="BI686" s="332"/>
      <c r="BJ686" s="332"/>
      <c r="BK686" s="332"/>
      <c r="BL686" s="332"/>
      <c r="BM686" s="332"/>
      <c r="BN686" s="332"/>
      <c r="BO686" s="332"/>
      <c r="BP686" s="332"/>
      <c r="BQ686" s="332"/>
      <c r="BR686" s="332"/>
      <c r="BS686" s="332"/>
      <c r="BT686" s="332"/>
      <c r="BU686" s="332"/>
      <c r="BV686" s="332"/>
      <c r="BW686" s="332"/>
      <c r="BX686" s="332"/>
      <c r="BY686" s="332"/>
      <c r="BZ686" s="332"/>
      <c r="CA686" s="332"/>
      <c r="CB686" s="332"/>
      <c r="CC686" s="332"/>
      <c r="CD686" s="332"/>
      <c r="CE686" s="332"/>
      <c r="CF686" s="332"/>
      <c r="CG686" s="332"/>
      <c r="CH686" s="332"/>
      <c r="CI686" s="332"/>
      <c r="CJ686" s="332"/>
      <c r="CK686" s="332"/>
      <c r="CL686" s="332"/>
      <c r="CM686" s="332"/>
      <c r="CN686" s="332"/>
      <c r="CO686" s="332"/>
      <c r="CP686" s="332"/>
      <c r="CQ686" s="332"/>
      <c r="CR686" s="332"/>
      <c r="CS686" s="332"/>
      <c r="CT686" s="332"/>
      <c r="CU686" s="332"/>
      <c r="CV686" s="332"/>
      <c r="CW686" s="332"/>
      <c r="CX686" s="332"/>
      <c r="CY686" s="332"/>
      <c r="CZ686" s="332"/>
      <c r="DA686" s="332"/>
      <c r="DB686" s="332"/>
      <c r="DC686" s="332"/>
      <c r="DD686" s="332"/>
      <c r="DE686" s="332"/>
      <c r="DF686" s="332"/>
      <c r="DG686" s="332"/>
      <c r="DH686" s="332"/>
      <c r="DI686" s="332"/>
      <c r="DJ686" s="332"/>
      <c r="DK686" s="332"/>
      <c r="DL686" s="332"/>
      <c r="DM686" s="332"/>
      <c r="DN686" s="332"/>
      <c r="DO686" s="332"/>
      <c r="DP686" s="332"/>
      <c r="DQ686" s="332"/>
      <c r="DR686" s="332"/>
      <c r="DS686" s="332"/>
      <c r="DT686" s="332"/>
      <c r="DU686" s="453"/>
      <c r="DV686" s="453"/>
      <c r="DW686" s="453"/>
      <c r="DX686" s="453"/>
      <c r="DY686" s="453"/>
      <c r="DZ686" s="453"/>
      <c r="EA686" s="453"/>
      <c r="EB686" s="453"/>
      <c r="EC686" s="453"/>
      <c r="ED686" s="453"/>
      <c r="EE686" s="453"/>
      <c r="EF686" s="453"/>
      <c r="EG686" s="453"/>
      <c r="EH686" s="453"/>
      <c r="EI686" s="453"/>
      <c r="EJ686" s="453"/>
      <c r="EK686" s="453"/>
      <c r="EL686" s="453"/>
      <c r="EM686" s="483">
        <f t="shared" si="227"/>
        <v>377</v>
      </c>
      <c r="EN686" s="485"/>
      <c r="EO686" s="458"/>
      <c r="EP686" s="467"/>
      <c r="EQ686" s="457"/>
      <c r="ER686" s="808"/>
      <c r="ES686" s="881">
        <f t="shared" si="228"/>
        <v>0</v>
      </c>
      <c r="ET686" s="882"/>
      <c r="EU686" s="883"/>
      <c r="EV686" s="884">
        <f t="shared" si="226"/>
        <v>0</v>
      </c>
      <c r="EW686" s="885"/>
      <c r="EX686" s="885"/>
      <c r="EY686" s="885"/>
      <c r="EZ686" s="885"/>
      <c r="FA686" s="885"/>
      <c r="FB686" s="885"/>
      <c r="FC686" s="885"/>
      <c r="FD686" s="886"/>
      <c r="FE686" s="878"/>
      <c r="FF686" s="878"/>
      <c r="FG686" s="878"/>
      <c r="FH686" s="878"/>
      <c r="FI686" s="878"/>
      <c r="FJ686" s="878"/>
      <c r="FK686" s="878"/>
      <c r="FL686" s="555"/>
      <c r="FM686" s="554"/>
      <c r="FN686" s="554"/>
      <c r="FO686" s="554"/>
      <c r="FP686" s="554"/>
      <c r="FQ686" s="554"/>
      <c r="FR686" s="554"/>
      <c r="FS686" s="554"/>
      <c r="FT686" s="554"/>
      <c r="FU686" s="554"/>
      <c r="FV686" s="554"/>
      <c r="FW686" s="554"/>
      <c r="FX686" s="554"/>
      <c r="FY686" s="554"/>
      <c r="FZ686" s="554"/>
      <c r="GA686" s="554"/>
      <c r="GB686" s="556"/>
      <c r="GC686" s="370"/>
      <c r="GD686" s="453"/>
      <c r="GE686" s="453"/>
      <c r="GF686" s="453"/>
      <c r="GG686" s="453"/>
      <c r="GH686" s="454"/>
      <c r="GI686" s="453"/>
      <c r="GJ686" s="453"/>
      <c r="GK686" s="453"/>
      <c r="GL686" s="453"/>
      <c r="GM686" s="453"/>
      <c r="GN686" s="453"/>
      <c r="GO686" s="453"/>
      <c r="GP686" s="453"/>
      <c r="GQ686" s="453"/>
      <c r="GR686" s="453"/>
      <c r="GS686" s="561"/>
      <c r="GT686" s="475"/>
      <c r="GU686" s="472"/>
      <c r="GV686" s="453"/>
      <c r="GW686" s="453"/>
      <c r="GX686" s="869"/>
      <c r="GY686" s="870"/>
      <c r="GZ686" s="867"/>
      <c r="HA686" s="868"/>
      <c r="HB686" s="473"/>
      <c r="HC686" s="869"/>
      <c r="HD686" s="870"/>
      <c r="HE686" s="867"/>
      <c r="HF686" s="868"/>
      <c r="HG686" s="473"/>
      <c r="HH686" s="867"/>
      <c r="HI686" s="868"/>
      <c r="HJ686" s="867"/>
      <c r="HK686" s="868"/>
      <c r="HL686" s="370"/>
      <c r="HM686" s="865"/>
      <c r="HN686" s="866"/>
      <c r="HO686" s="865"/>
      <c r="HP686" s="866"/>
      <c r="HQ686" s="865"/>
      <c r="HR686" s="866"/>
      <c r="HS686" s="867"/>
      <c r="HT686" s="868"/>
      <c r="HU686" s="489"/>
      <c r="HV686" s="865"/>
      <c r="HW686" s="866"/>
    </row>
    <row r="687" spans="25:231" ht="15" customHeight="1">
      <c r="Y687" s="332"/>
      <c r="Z687" s="332"/>
      <c r="AA687" s="332"/>
      <c r="AB687" s="332"/>
      <c r="AC687" s="332"/>
      <c r="AD687" s="332"/>
      <c r="AE687" s="332"/>
      <c r="AF687" s="332"/>
      <c r="AG687" s="332"/>
      <c r="AH687" s="332"/>
      <c r="AI687" s="332"/>
      <c r="AJ687" s="332"/>
      <c r="AK687" s="332"/>
      <c r="AL687" s="332"/>
      <c r="AM687" s="332"/>
      <c r="AN687" s="332"/>
      <c r="AO687" s="332"/>
      <c r="AP687" s="332"/>
      <c r="AQ687" s="332"/>
      <c r="AR687" s="332"/>
      <c r="AS687" s="332"/>
      <c r="AT687" s="332"/>
      <c r="AU687" s="332"/>
      <c r="AV687" s="332"/>
      <c r="AW687" s="332"/>
      <c r="AX687" s="332"/>
      <c r="AY687" s="332"/>
      <c r="AZ687" s="332"/>
      <c r="BA687" s="332"/>
      <c r="BB687" s="332"/>
      <c r="BC687" s="332"/>
      <c r="BD687" s="332"/>
      <c r="BE687" s="332"/>
      <c r="BF687" s="332"/>
      <c r="BG687" s="332"/>
      <c r="BH687" s="332"/>
      <c r="BI687" s="332"/>
      <c r="BJ687" s="332"/>
      <c r="BK687" s="332"/>
      <c r="BL687" s="332"/>
      <c r="BM687" s="332"/>
      <c r="BN687" s="332"/>
      <c r="BO687" s="332"/>
      <c r="BP687" s="332"/>
      <c r="BQ687" s="332"/>
      <c r="BR687" s="332"/>
      <c r="BS687" s="332"/>
      <c r="BT687" s="332"/>
      <c r="BU687" s="332"/>
      <c r="BV687" s="332"/>
      <c r="BW687" s="332"/>
      <c r="BX687" s="332"/>
      <c r="BY687" s="332"/>
      <c r="BZ687" s="332"/>
      <c r="CA687" s="332"/>
      <c r="CB687" s="332"/>
      <c r="CC687" s="332"/>
      <c r="CD687" s="332"/>
      <c r="CE687" s="332"/>
      <c r="CF687" s="332"/>
      <c r="CG687" s="332"/>
      <c r="CH687" s="332"/>
      <c r="CI687" s="332"/>
      <c r="CJ687" s="332"/>
      <c r="CK687" s="332"/>
      <c r="CL687" s="332"/>
      <c r="CM687" s="332"/>
      <c r="CN687" s="332"/>
      <c r="CO687" s="332"/>
      <c r="CP687" s="332"/>
      <c r="CQ687" s="332"/>
      <c r="CR687" s="332"/>
      <c r="CS687" s="332"/>
      <c r="CT687" s="332"/>
      <c r="CU687" s="332"/>
      <c r="CV687" s="332"/>
      <c r="CW687" s="332"/>
      <c r="CX687" s="332"/>
      <c r="CY687" s="332"/>
      <c r="CZ687" s="332"/>
      <c r="DA687" s="332"/>
      <c r="DB687" s="332"/>
      <c r="DC687" s="332"/>
      <c r="DD687" s="332"/>
      <c r="DE687" s="332"/>
      <c r="DF687" s="332"/>
      <c r="DG687" s="332"/>
      <c r="DH687" s="332"/>
      <c r="DI687" s="332"/>
      <c r="DJ687" s="332"/>
      <c r="DK687" s="332"/>
      <c r="DL687" s="332"/>
      <c r="DM687" s="332"/>
      <c r="DN687" s="332"/>
      <c r="DO687" s="332"/>
      <c r="DP687" s="332"/>
      <c r="DQ687" s="332"/>
      <c r="DR687" s="332"/>
      <c r="DS687" s="332"/>
      <c r="DT687" s="332"/>
      <c r="DU687" s="453"/>
      <c r="DV687" s="453"/>
      <c r="DW687" s="453"/>
      <c r="DX687" s="453"/>
      <c r="DY687" s="453"/>
      <c r="DZ687" s="453"/>
      <c r="EA687" s="453"/>
      <c r="EB687" s="453"/>
      <c r="EC687" s="453"/>
      <c r="ED687" s="453"/>
      <c r="EE687" s="453"/>
      <c r="EF687" s="453"/>
      <c r="EG687" s="453"/>
      <c r="EH687" s="453"/>
      <c r="EI687" s="453"/>
      <c r="EJ687" s="453"/>
      <c r="EK687" s="453"/>
      <c r="EL687" s="453"/>
      <c r="EM687" s="483">
        <f t="shared" si="227"/>
        <v>378</v>
      </c>
      <c r="EN687" s="485"/>
      <c r="EO687" s="458"/>
      <c r="EP687" s="467"/>
      <c r="EQ687" s="457"/>
      <c r="ER687" s="808"/>
      <c r="ES687" s="881">
        <f t="shared" si="228"/>
        <v>0</v>
      </c>
      <c r="ET687" s="882"/>
      <c r="EU687" s="883"/>
      <c r="EV687" s="884">
        <f t="shared" si="226"/>
        <v>0</v>
      </c>
      <c r="EW687" s="885"/>
      <c r="EX687" s="885"/>
      <c r="EY687" s="885"/>
      <c r="EZ687" s="885"/>
      <c r="FA687" s="885"/>
      <c r="FB687" s="885"/>
      <c r="FC687" s="885"/>
      <c r="FD687" s="886"/>
      <c r="FE687" s="878"/>
      <c r="FF687" s="878"/>
      <c r="FG687" s="878"/>
      <c r="FH687" s="878"/>
      <c r="FI687" s="878"/>
      <c r="FJ687" s="878"/>
      <c r="FK687" s="878"/>
      <c r="FL687" s="555"/>
      <c r="FM687" s="554"/>
      <c r="FN687" s="554"/>
      <c r="FO687" s="554"/>
      <c r="FP687" s="554"/>
      <c r="FQ687" s="554"/>
      <c r="FR687" s="554"/>
      <c r="FS687" s="554"/>
      <c r="FT687" s="554"/>
      <c r="FU687" s="554"/>
      <c r="FV687" s="554"/>
      <c r="FW687" s="554"/>
      <c r="FX687" s="554"/>
      <c r="FY687" s="554"/>
      <c r="FZ687" s="554"/>
      <c r="GA687" s="554"/>
      <c r="GB687" s="556"/>
      <c r="GC687" s="370"/>
      <c r="GD687" s="453"/>
      <c r="GE687" s="453"/>
      <c r="GF687" s="453"/>
      <c r="GG687" s="453"/>
      <c r="GH687" s="454"/>
      <c r="GI687" s="453"/>
      <c r="GJ687" s="453"/>
      <c r="GK687" s="453"/>
      <c r="GL687" s="453"/>
      <c r="GM687" s="453"/>
      <c r="GN687" s="453"/>
      <c r="GO687" s="453"/>
      <c r="GP687" s="453"/>
      <c r="GQ687" s="453"/>
      <c r="GR687" s="453"/>
      <c r="GS687" s="561"/>
      <c r="GT687" s="475"/>
      <c r="GU687" s="472"/>
      <c r="GV687" s="453"/>
      <c r="GW687" s="453"/>
      <c r="GX687" s="869"/>
      <c r="GY687" s="870"/>
      <c r="GZ687" s="867"/>
      <c r="HA687" s="868"/>
      <c r="HB687" s="473"/>
      <c r="HC687" s="869"/>
      <c r="HD687" s="870"/>
      <c r="HE687" s="867"/>
      <c r="HF687" s="868"/>
      <c r="HG687" s="473"/>
      <c r="HH687" s="867"/>
      <c r="HI687" s="868"/>
      <c r="HJ687" s="867"/>
      <c r="HK687" s="868"/>
      <c r="HL687" s="370"/>
      <c r="HM687" s="865"/>
      <c r="HN687" s="866"/>
      <c r="HO687" s="865"/>
      <c r="HP687" s="866"/>
      <c r="HQ687" s="865"/>
      <c r="HR687" s="866"/>
      <c r="HS687" s="867"/>
      <c r="HT687" s="868"/>
      <c r="HU687" s="489"/>
      <c r="HV687" s="865"/>
      <c r="HW687" s="866"/>
    </row>
    <row r="688" spans="25:231" ht="15" customHeight="1">
      <c r="Y688" s="332"/>
      <c r="Z688" s="332"/>
      <c r="AA688" s="332"/>
      <c r="AB688" s="332"/>
      <c r="AC688" s="332"/>
      <c r="AD688" s="332"/>
      <c r="AE688" s="332"/>
      <c r="AF688" s="332"/>
      <c r="AG688" s="332"/>
      <c r="AH688" s="332"/>
      <c r="AI688" s="332"/>
      <c r="AJ688" s="332"/>
      <c r="AK688" s="332"/>
      <c r="AL688" s="332"/>
      <c r="AM688" s="332"/>
      <c r="AN688" s="332"/>
      <c r="AO688" s="332"/>
      <c r="AP688" s="332"/>
      <c r="AQ688" s="332"/>
      <c r="AR688" s="332"/>
      <c r="AS688" s="332"/>
      <c r="AT688" s="332"/>
      <c r="AU688" s="332"/>
      <c r="AV688" s="332"/>
      <c r="AW688" s="332"/>
      <c r="AX688" s="332"/>
      <c r="AY688" s="332"/>
      <c r="AZ688" s="332"/>
      <c r="BA688" s="332"/>
      <c r="BB688" s="332"/>
      <c r="BC688" s="332"/>
      <c r="BD688" s="332"/>
      <c r="BE688" s="332"/>
      <c r="BF688" s="332"/>
      <c r="BG688" s="332"/>
      <c r="BH688" s="332"/>
      <c r="BI688" s="332"/>
      <c r="BJ688" s="332"/>
      <c r="BK688" s="332"/>
      <c r="BL688" s="332"/>
      <c r="BM688" s="332"/>
      <c r="BN688" s="332"/>
      <c r="BO688" s="332"/>
      <c r="BP688" s="332"/>
      <c r="BQ688" s="332"/>
      <c r="BR688" s="332"/>
      <c r="BS688" s="332"/>
      <c r="BT688" s="332"/>
      <c r="BU688" s="332"/>
      <c r="BV688" s="332"/>
      <c r="BW688" s="332"/>
      <c r="BX688" s="332"/>
      <c r="BY688" s="332"/>
      <c r="BZ688" s="332"/>
      <c r="CA688" s="332"/>
      <c r="CB688" s="332"/>
      <c r="CC688" s="332"/>
      <c r="CD688" s="332"/>
      <c r="CE688" s="332"/>
      <c r="CF688" s="332"/>
      <c r="CG688" s="332"/>
      <c r="CH688" s="332"/>
      <c r="CI688" s="332"/>
      <c r="CJ688" s="332"/>
      <c r="CK688" s="332"/>
      <c r="CL688" s="332"/>
      <c r="CM688" s="332"/>
      <c r="CN688" s="332"/>
      <c r="CO688" s="332"/>
      <c r="CP688" s="332"/>
      <c r="CQ688" s="332"/>
      <c r="CR688" s="332"/>
      <c r="CS688" s="332"/>
      <c r="CT688" s="332"/>
      <c r="CU688" s="332"/>
      <c r="CV688" s="332"/>
      <c r="CW688" s="332"/>
      <c r="CX688" s="332"/>
      <c r="CY688" s="332"/>
      <c r="CZ688" s="332"/>
      <c r="DA688" s="332"/>
      <c r="DB688" s="332"/>
      <c r="DC688" s="332"/>
      <c r="DD688" s="332"/>
      <c r="DE688" s="332"/>
      <c r="DF688" s="332"/>
      <c r="DG688" s="332"/>
      <c r="DH688" s="332"/>
      <c r="DI688" s="332"/>
      <c r="DJ688" s="332"/>
      <c r="DK688" s="332"/>
      <c r="DL688" s="332"/>
      <c r="DM688" s="332"/>
      <c r="DN688" s="332"/>
      <c r="DO688" s="332"/>
      <c r="DP688" s="332"/>
      <c r="DQ688" s="332"/>
      <c r="DR688" s="332"/>
      <c r="DS688" s="332"/>
      <c r="DT688" s="332"/>
      <c r="DU688" s="453"/>
      <c r="DV688" s="453"/>
      <c r="DW688" s="453"/>
      <c r="DX688" s="453"/>
      <c r="DY688" s="453"/>
      <c r="DZ688" s="453"/>
      <c r="EA688" s="453"/>
      <c r="EB688" s="453"/>
      <c r="EC688" s="453"/>
      <c r="ED688" s="453"/>
      <c r="EE688" s="453"/>
      <c r="EF688" s="453"/>
      <c r="EG688" s="453"/>
      <c r="EH688" s="453"/>
      <c r="EI688" s="453"/>
      <c r="EJ688" s="453"/>
      <c r="EK688" s="453"/>
      <c r="EL688" s="453"/>
      <c r="EM688" s="483">
        <f t="shared" si="227"/>
        <v>379</v>
      </c>
      <c r="EN688" s="485"/>
      <c r="EO688" s="458"/>
      <c r="EP688" s="467"/>
      <c r="EQ688" s="457"/>
      <c r="ER688" s="808"/>
      <c r="ES688" s="881">
        <f t="shared" si="228"/>
        <v>0</v>
      </c>
      <c r="ET688" s="882"/>
      <c r="EU688" s="883"/>
      <c r="EV688" s="884">
        <f t="shared" si="226"/>
        <v>0</v>
      </c>
      <c r="EW688" s="885"/>
      <c r="EX688" s="885"/>
      <c r="EY688" s="885"/>
      <c r="EZ688" s="885"/>
      <c r="FA688" s="885"/>
      <c r="FB688" s="885"/>
      <c r="FC688" s="885"/>
      <c r="FD688" s="886"/>
      <c r="FE688" s="878"/>
      <c r="FF688" s="878"/>
      <c r="FG688" s="878"/>
      <c r="FH688" s="878"/>
      <c r="FI688" s="878"/>
      <c r="FJ688" s="878"/>
      <c r="FK688" s="878"/>
      <c r="FL688" s="555"/>
      <c r="FM688" s="554"/>
      <c r="FN688" s="554"/>
      <c r="FO688" s="554"/>
      <c r="FP688" s="554"/>
      <c r="FQ688" s="554"/>
      <c r="FR688" s="554"/>
      <c r="FS688" s="554"/>
      <c r="FT688" s="554"/>
      <c r="FU688" s="554"/>
      <c r="FV688" s="554"/>
      <c r="FW688" s="554"/>
      <c r="FX688" s="554"/>
      <c r="FY688" s="554"/>
      <c r="FZ688" s="554"/>
      <c r="GA688" s="554"/>
      <c r="GB688" s="556"/>
      <c r="GC688" s="370"/>
      <c r="GD688" s="453"/>
      <c r="GE688" s="453"/>
      <c r="GF688" s="453"/>
      <c r="GG688" s="453"/>
      <c r="GH688" s="454"/>
      <c r="GI688" s="453"/>
      <c r="GJ688" s="453"/>
      <c r="GK688" s="453"/>
      <c r="GL688" s="453"/>
      <c r="GM688" s="453"/>
      <c r="GN688" s="453"/>
      <c r="GO688" s="453"/>
      <c r="GP688" s="453"/>
      <c r="GQ688" s="453"/>
      <c r="GR688" s="453"/>
      <c r="GS688" s="561"/>
      <c r="GT688" s="475"/>
      <c r="GU688" s="472"/>
      <c r="GV688" s="453"/>
      <c r="GW688" s="453"/>
      <c r="GX688" s="869"/>
      <c r="GY688" s="870"/>
      <c r="GZ688" s="867"/>
      <c r="HA688" s="868"/>
      <c r="HB688" s="473"/>
      <c r="HC688" s="869"/>
      <c r="HD688" s="870"/>
      <c r="HE688" s="867"/>
      <c r="HF688" s="868"/>
      <c r="HG688" s="473"/>
      <c r="HH688" s="867"/>
      <c r="HI688" s="868"/>
      <c r="HJ688" s="867"/>
      <c r="HK688" s="868"/>
      <c r="HL688" s="370"/>
      <c r="HM688" s="865"/>
      <c r="HN688" s="866"/>
      <c r="HO688" s="865"/>
      <c r="HP688" s="866"/>
      <c r="HQ688" s="865"/>
      <c r="HR688" s="866"/>
      <c r="HS688" s="867"/>
      <c r="HT688" s="868"/>
      <c r="HU688" s="489"/>
      <c r="HV688" s="865"/>
      <c r="HW688" s="866"/>
    </row>
    <row r="689" spans="25:231" ht="15" customHeight="1">
      <c r="Y689" s="332"/>
      <c r="Z689" s="332"/>
      <c r="AA689" s="332"/>
      <c r="AB689" s="332"/>
      <c r="AC689" s="332"/>
      <c r="AD689" s="332"/>
      <c r="AE689" s="332"/>
      <c r="AF689" s="332"/>
      <c r="AG689" s="332"/>
      <c r="AH689" s="332"/>
      <c r="AI689" s="332"/>
      <c r="AJ689" s="332"/>
      <c r="AK689" s="332"/>
      <c r="AL689" s="332"/>
      <c r="AM689" s="332"/>
      <c r="AN689" s="332"/>
      <c r="AO689" s="332"/>
      <c r="AP689" s="332"/>
      <c r="AQ689" s="332"/>
      <c r="AR689" s="332"/>
      <c r="AS689" s="332"/>
      <c r="AT689" s="332"/>
      <c r="AU689" s="332"/>
      <c r="AV689" s="332"/>
      <c r="AW689" s="332"/>
      <c r="AX689" s="332"/>
      <c r="AY689" s="332"/>
      <c r="AZ689" s="332"/>
      <c r="BA689" s="332"/>
      <c r="BB689" s="332"/>
      <c r="BC689" s="332"/>
      <c r="BD689" s="332"/>
      <c r="BE689" s="332"/>
      <c r="BF689" s="332"/>
      <c r="BG689" s="332"/>
      <c r="BH689" s="332"/>
      <c r="BI689" s="332"/>
      <c r="BJ689" s="332"/>
      <c r="BK689" s="332"/>
      <c r="BL689" s="332"/>
      <c r="BM689" s="332"/>
      <c r="BN689" s="332"/>
      <c r="BO689" s="332"/>
      <c r="BP689" s="332"/>
      <c r="BQ689" s="332"/>
      <c r="BR689" s="332"/>
      <c r="BS689" s="332"/>
      <c r="BT689" s="332"/>
      <c r="BU689" s="332"/>
      <c r="BV689" s="332"/>
      <c r="BW689" s="332"/>
      <c r="BX689" s="332"/>
      <c r="BY689" s="332"/>
      <c r="BZ689" s="332"/>
      <c r="CA689" s="332"/>
      <c r="CB689" s="332"/>
      <c r="CC689" s="332"/>
      <c r="CD689" s="332"/>
      <c r="CE689" s="332"/>
      <c r="CF689" s="332"/>
      <c r="CG689" s="332"/>
      <c r="CH689" s="332"/>
      <c r="CI689" s="332"/>
      <c r="CJ689" s="332"/>
      <c r="CK689" s="332"/>
      <c r="CL689" s="332"/>
      <c r="CM689" s="332"/>
      <c r="CN689" s="332"/>
      <c r="CO689" s="332"/>
      <c r="CP689" s="332"/>
      <c r="CQ689" s="332"/>
      <c r="CR689" s="332"/>
      <c r="CS689" s="332"/>
      <c r="CT689" s="332"/>
      <c r="CU689" s="332"/>
      <c r="CV689" s="332"/>
      <c r="CW689" s="332"/>
      <c r="CX689" s="332"/>
      <c r="CY689" s="332"/>
      <c r="CZ689" s="332"/>
      <c r="DA689" s="332"/>
      <c r="DB689" s="332"/>
      <c r="DC689" s="332"/>
      <c r="DD689" s="332"/>
      <c r="DE689" s="332"/>
      <c r="DF689" s="332"/>
      <c r="DG689" s="332"/>
      <c r="DH689" s="332"/>
      <c r="DI689" s="332"/>
      <c r="DJ689" s="332"/>
      <c r="DK689" s="332"/>
      <c r="DL689" s="332"/>
      <c r="DM689" s="332"/>
      <c r="DN689" s="332"/>
      <c r="DO689" s="332"/>
      <c r="DP689" s="332"/>
      <c r="DQ689" s="332"/>
      <c r="DR689" s="332"/>
      <c r="DS689" s="332"/>
      <c r="DT689" s="332"/>
      <c r="DU689" s="453"/>
      <c r="DV689" s="453"/>
      <c r="DW689" s="453"/>
      <c r="DX689" s="453"/>
      <c r="DY689" s="453"/>
      <c r="DZ689" s="453"/>
      <c r="EA689" s="453"/>
      <c r="EB689" s="453"/>
      <c r="EC689" s="453"/>
      <c r="ED689" s="453"/>
      <c r="EE689" s="453"/>
      <c r="EF689" s="453"/>
      <c r="EG689" s="453"/>
      <c r="EH689" s="453"/>
      <c r="EI689" s="453"/>
      <c r="EJ689" s="453"/>
      <c r="EK689" s="453"/>
      <c r="EL689" s="453"/>
      <c r="EM689" s="483">
        <f t="shared" si="227"/>
        <v>380</v>
      </c>
      <c r="EN689" s="485"/>
      <c r="EO689" s="458"/>
      <c r="EP689" s="467"/>
      <c r="EQ689" s="457"/>
      <c r="ER689" s="808"/>
      <c r="ES689" s="881">
        <f t="shared" si="228"/>
        <v>0</v>
      </c>
      <c r="ET689" s="882"/>
      <c r="EU689" s="883"/>
      <c r="EV689" s="884">
        <f t="shared" si="226"/>
        <v>0</v>
      </c>
      <c r="EW689" s="885"/>
      <c r="EX689" s="885"/>
      <c r="EY689" s="885"/>
      <c r="EZ689" s="885"/>
      <c r="FA689" s="885"/>
      <c r="FB689" s="885"/>
      <c r="FC689" s="885"/>
      <c r="FD689" s="886"/>
      <c r="FE689" s="878"/>
      <c r="FF689" s="878"/>
      <c r="FG689" s="878"/>
      <c r="FH689" s="878"/>
      <c r="FI689" s="878"/>
      <c r="FJ689" s="878"/>
      <c r="FK689" s="878"/>
      <c r="FL689" s="555"/>
      <c r="FM689" s="554"/>
      <c r="FN689" s="554"/>
      <c r="FO689" s="554"/>
      <c r="FP689" s="554"/>
      <c r="FQ689" s="554"/>
      <c r="FR689" s="554"/>
      <c r="FS689" s="554"/>
      <c r="FT689" s="554"/>
      <c r="FU689" s="554"/>
      <c r="FV689" s="554"/>
      <c r="FW689" s="554"/>
      <c r="FX689" s="554"/>
      <c r="FY689" s="554"/>
      <c r="FZ689" s="554"/>
      <c r="GA689" s="554"/>
      <c r="GB689" s="556"/>
      <c r="GC689" s="370"/>
      <c r="GD689" s="453"/>
      <c r="GE689" s="453"/>
      <c r="GF689" s="453"/>
      <c r="GG689" s="453"/>
      <c r="GH689" s="454"/>
      <c r="GI689" s="453"/>
      <c r="GJ689" s="453"/>
      <c r="GK689" s="453"/>
      <c r="GL689" s="453"/>
      <c r="GM689" s="453"/>
      <c r="GN689" s="453"/>
      <c r="GO689" s="453"/>
      <c r="GP689" s="453"/>
      <c r="GQ689" s="453"/>
      <c r="GR689" s="453"/>
      <c r="GS689" s="561"/>
      <c r="GT689" s="475"/>
      <c r="GU689" s="472"/>
      <c r="GV689" s="453"/>
      <c r="GW689" s="453"/>
      <c r="GX689" s="869"/>
      <c r="GY689" s="870"/>
      <c r="GZ689" s="867"/>
      <c r="HA689" s="868"/>
      <c r="HB689" s="473"/>
      <c r="HC689" s="869"/>
      <c r="HD689" s="870"/>
      <c r="HE689" s="867"/>
      <c r="HF689" s="868"/>
      <c r="HG689" s="473"/>
      <c r="HH689" s="867"/>
      <c r="HI689" s="868"/>
      <c r="HJ689" s="867"/>
      <c r="HK689" s="868"/>
      <c r="HL689" s="370"/>
      <c r="HM689" s="865"/>
      <c r="HN689" s="866"/>
      <c r="HO689" s="865"/>
      <c r="HP689" s="866"/>
      <c r="HQ689" s="865"/>
      <c r="HR689" s="866"/>
      <c r="HS689" s="867"/>
      <c r="HT689" s="868"/>
      <c r="HU689" s="489"/>
      <c r="HV689" s="865"/>
      <c r="HW689" s="866"/>
    </row>
    <row r="690" spans="25:231" ht="15" customHeight="1">
      <c r="Y690" s="332"/>
      <c r="Z690" s="332"/>
      <c r="AA690" s="332"/>
      <c r="AB690" s="332"/>
      <c r="AC690" s="332"/>
      <c r="AD690" s="332"/>
      <c r="AE690" s="332"/>
      <c r="AF690" s="332"/>
      <c r="AG690" s="332"/>
      <c r="AH690" s="332"/>
      <c r="AI690" s="332"/>
      <c r="AJ690" s="332"/>
      <c r="AK690" s="332"/>
      <c r="AL690" s="332"/>
      <c r="AM690" s="332"/>
      <c r="AN690" s="332"/>
      <c r="AO690" s="332"/>
      <c r="AP690" s="332"/>
      <c r="AQ690" s="332"/>
      <c r="AR690" s="332"/>
      <c r="AS690" s="332"/>
      <c r="AT690" s="332"/>
      <c r="AU690" s="332"/>
      <c r="AV690" s="332"/>
      <c r="AW690" s="332"/>
      <c r="AX690" s="332"/>
      <c r="AY690" s="332"/>
      <c r="AZ690" s="332"/>
      <c r="BA690" s="332"/>
      <c r="BB690" s="332"/>
      <c r="BC690" s="332"/>
      <c r="BD690" s="332"/>
      <c r="BE690" s="332"/>
      <c r="BF690" s="332"/>
      <c r="BG690" s="332"/>
      <c r="BH690" s="332"/>
      <c r="BI690" s="332"/>
      <c r="BJ690" s="332"/>
      <c r="BK690" s="332"/>
      <c r="BL690" s="332"/>
      <c r="BM690" s="332"/>
      <c r="BN690" s="332"/>
      <c r="BO690" s="332"/>
      <c r="BP690" s="332"/>
      <c r="BQ690" s="332"/>
      <c r="BR690" s="332"/>
      <c r="BS690" s="332"/>
      <c r="BT690" s="332"/>
      <c r="BU690" s="332"/>
      <c r="BV690" s="332"/>
      <c r="BW690" s="332"/>
      <c r="BX690" s="332"/>
      <c r="BY690" s="332"/>
      <c r="BZ690" s="332"/>
      <c r="CA690" s="332"/>
      <c r="CB690" s="332"/>
      <c r="CC690" s="332"/>
      <c r="CD690" s="332"/>
      <c r="CE690" s="332"/>
      <c r="CF690" s="332"/>
      <c r="CG690" s="332"/>
      <c r="CH690" s="332"/>
      <c r="CI690" s="332"/>
      <c r="CJ690" s="332"/>
      <c r="CK690" s="332"/>
      <c r="CL690" s="332"/>
      <c r="CM690" s="332"/>
      <c r="CN690" s="332"/>
      <c r="CO690" s="332"/>
      <c r="CP690" s="332"/>
      <c r="CQ690" s="332"/>
      <c r="CR690" s="332"/>
      <c r="CS690" s="332"/>
      <c r="CT690" s="332"/>
      <c r="CU690" s="332"/>
      <c r="CV690" s="332"/>
      <c r="CW690" s="332"/>
      <c r="CX690" s="332"/>
      <c r="CY690" s="332"/>
      <c r="CZ690" s="332"/>
      <c r="DA690" s="332"/>
      <c r="DB690" s="332"/>
      <c r="DC690" s="332"/>
      <c r="DD690" s="332"/>
      <c r="DE690" s="332"/>
      <c r="DF690" s="332"/>
      <c r="DG690" s="332"/>
      <c r="DH690" s="332"/>
      <c r="DI690" s="332"/>
      <c r="DJ690" s="332"/>
      <c r="DK690" s="332"/>
      <c r="DL690" s="332"/>
      <c r="DM690" s="332"/>
      <c r="DN690" s="332"/>
      <c r="DO690" s="332"/>
      <c r="DP690" s="332"/>
      <c r="DQ690" s="332"/>
      <c r="DR690" s="332"/>
      <c r="DS690" s="332"/>
      <c r="DT690" s="332"/>
      <c r="DU690" s="453"/>
      <c r="DV690" s="453"/>
      <c r="DW690" s="453"/>
      <c r="DX690" s="453"/>
      <c r="DY690" s="453"/>
      <c r="DZ690" s="453"/>
      <c r="EA690" s="453"/>
      <c r="EB690" s="453"/>
      <c r="EC690" s="453"/>
      <c r="ED690" s="453"/>
      <c r="EE690" s="453"/>
      <c r="EF690" s="453"/>
      <c r="EG690" s="453"/>
      <c r="EH690" s="453"/>
      <c r="EI690" s="453"/>
      <c r="EJ690" s="453"/>
      <c r="EK690" s="453"/>
      <c r="EL690" s="453"/>
      <c r="EM690" s="483">
        <f t="shared" si="227"/>
        <v>381</v>
      </c>
      <c r="EN690" s="485"/>
      <c r="EO690" s="458"/>
      <c r="EP690" s="467"/>
      <c r="EQ690" s="457"/>
      <c r="ER690" s="808"/>
      <c r="ES690" s="881">
        <f t="shared" si="228"/>
        <v>0</v>
      </c>
      <c r="ET690" s="882"/>
      <c r="EU690" s="883"/>
      <c r="EV690" s="884">
        <f t="shared" si="226"/>
        <v>0</v>
      </c>
      <c r="EW690" s="885"/>
      <c r="EX690" s="885"/>
      <c r="EY690" s="885"/>
      <c r="EZ690" s="885"/>
      <c r="FA690" s="885"/>
      <c r="FB690" s="885"/>
      <c r="FC690" s="885"/>
      <c r="FD690" s="886"/>
      <c r="FE690" s="878"/>
      <c r="FF690" s="878"/>
      <c r="FG690" s="878"/>
      <c r="FH690" s="878"/>
      <c r="FI690" s="878"/>
      <c r="FJ690" s="878"/>
      <c r="FK690" s="878"/>
      <c r="FL690" s="555"/>
      <c r="FM690" s="554"/>
      <c r="FN690" s="554"/>
      <c r="FO690" s="554"/>
      <c r="FP690" s="554"/>
      <c r="FQ690" s="554"/>
      <c r="FR690" s="554"/>
      <c r="FS690" s="554"/>
      <c r="FT690" s="554"/>
      <c r="FU690" s="554"/>
      <c r="FV690" s="554"/>
      <c r="FW690" s="554"/>
      <c r="FX690" s="554"/>
      <c r="FY690" s="554"/>
      <c r="FZ690" s="554"/>
      <c r="GA690" s="554"/>
      <c r="GB690" s="556"/>
      <c r="GC690" s="370"/>
      <c r="GD690" s="453"/>
      <c r="GE690" s="453"/>
      <c r="GF690" s="453"/>
      <c r="GG690" s="453"/>
      <c r="GH690" s="454"/>
      <c r="GI690" s="453"/>
      <c r="GJ690" s="453"/>
      <c r="GK690" s="453"/>
      <c r="GL690" s="453"/>
      <c r="GM690" s="453"/>
      <c r="GN690" s="453"/>
      <c r="GO690" s="453"/>
      <c r="GP690" s="453"/>
      <c r="GQ690" s="453"/>
      <c r="GR690" s="453"/>
      <c r="GS690" s="561"/>
      <c r="GT690" s="475"/>
      <c r="GU690" s="472"/>
      <c r="GV690" s="453"/>
      <c r="GW690" s="453"/>
      <c r="GX690" s="869"/>
      <c r="GY690" s="870"/>
      <c r="GZ690" s="867"/>
      <c r="HA690" s="868"/>
      <c r="HB690" s="473"/>
      <c r="HC690" s="869"/>
      <c r="HD690" s="870"/>
      <c r="HE690" s="867"/>
      <c r="HF690" s="868"/>
      <c r="HG690" s="473"/>
      <c r="HH690" s="867"/>
      <c r="HI690" s="868"/>
      <c r="HJ690" s="867"/>
      <c r="HK690" s="868"/>
      <c r="HL690" s="370"/>
      <c r="HM690" s="865"/>
      <c r="HN690" s="866"/>
      <c r="HO690" s="865"/>
      <c r="HP690" s="866"/>
      <c r="HQ690" s="865"/>
      <c r="HR690" s="866"/>
      <c r="HS690" s="867"/>
      <c r="HT690" s="868"/>
      <c r="HU690" s="489"/>
      <c r="HV690" s="865"/>
      <c r="HW690" s="866"/>
    </row>
    <row r="691" spans="25:231" ht="15" customHeight="1">
      <c r="Y691" s="332"/>
      <c r="Z691" s="332"/>
      <c r="AA691" s="332"/>
      <c r="AB691" s="332"/>
      <c r="AC691" s="332"/>
      <c r="AD691" s="332"/>
      <c r="AE691" s="332"/>
      <c r="AF691" s="332"/>
      <c r="AG691" s="332"/>
      <c r="AH691" s="332"/>
      <c r="AI691" s="332"/>
      <c r="AJ691" s="332"/>
      <c r="AK691" s="332"/>
      <c r="AL691" s="332"/>
      <c r="AM691" s="332"/>
      <c r="AN691" s="332"/>
      <c r="AO691" s="332"/>
      <c r="AP691" s="332"/>
      <c r="AQ691" s="332"/>
      <c r="AR691" s="332"/>
      <c r="AS691" s="332"/>
      <c r="AT691" s="332"/>
      <c r="AU691" s="332"/>
      <c r="AV691" s="332"/>
      <c r="AW691" s="332"/>
      <c r="AX691" s="332"/>
      <c r="AY691" s="332"/>
      <c r="AZ691" s="332"/>
      <c r="BA691" s="332"/>
      <c r="BB691" s="332"/>
      <c r="BC691" s="332"/>
      <c r="BD691" s="332"/>
      <c r="BE691" s="332"/>
      <c r="BF691" s="332"/>
      <c r="BG691" s="332"/>
      <c r="BH691" s="332"/>
      <c r="BI691" s="332"/>
      <c r="BJ691" s="332"/>
      <c r="BK691" s="332"/>
      <c r="BL691" s="332"/>
      <c r="BM691" s="332"/>
      <c r="BN691" s="332"/>
      <c r="BO691" s="332"/>
      <c r="BP691" s="332"/>
      <c r="BQ691" s="332"/>
      <c r="BR691" s="332"/>
      <c r="BS691" s="332"/>
      <c r="BT691" s="332"/>
      <c r="BU691" s="332"/>
      <c r="BV691" s="332"/>
      <c r="BW691" s="332"/>
      <c r="BX691" s="332"/>
      <c r="BY691" s="332"/>
      <c r="BZ691" s="332"/>
      <c r="CA691" s="332"/>
      <c r="CB691" s="332"/>
      <c r="CC691" s="332"/>
      <c r="CD691" s="332"/>
      <c r="CE691" s="332"/>
      <c r="CF691" s="332"/>
      <c r="CG691" s="332"/>
      <c r="CH691" s="332"/>
      <c r="CI691" s="332"/>
      <c r="CJ691" s="332"/>
      <c r="CK691" s="332"/>
      <c r="CL691" s="332"/>
      <c r="CM691" s="332"/>
      <c r="CN691" s="332"/>
      <c r="CO691" s="332"/>
      <c r="CP691" s="332"/>
      <c r="CQ691" s="332"/>
      <c r="CR691" s="332"/>
      <c r="CS691" s="332"/>
      <c r="CT691" s="332"/>
      <c r="CU691" s="332"/>
      <c r="CV691" s="332"/>
      <c r="CW691" s="332"/>
      <c r="CX691" s="332"/>
      <c r="CY691" s="332"/>
      <c r="CZ691" s="332"/>
      <c r="DA691" s="332"/>
      <c r="DB691" s="332"/>
      <c r="DC691" s="332"/>
      <c r="DD691" s="332"/>
      <c r="DE691" s="332"/>
      <c r="DF691" s="332"/>
      <c r="DG691" s="332"/>
      <c r="DH691" s="332"/>
      <c r="DI691" s="332"/>
      <c r="DJ691" s="332"/>
      <c r="DK691" s="332"/>
      <c r="DL691" s="332"/>
      <c r="DM691" s="332"/>
      <c r="DN691" s="332"/>
      <c r="DO691" s="332"/>
      <c r="DP691" s="332"/>
      <c r="DQ691" s="332"/>
      <c r="DR691" s="332"/>
      <c r="DS691" s="332"/>
      <c r="DT691" s="332"/>
      <c r="DU691" s="453"/>
      <c r="DV691" s="453"/>
      <c r="DW691" s="453"/>
      <c r="DX691" s="453"/>
      <c r="DY691" s="453"/>
      <c r="DZ691" s="453"/>
      <c r="EA691" s="453"/>
      <c r="EB691" s="453"/>
      <c r="EC691" s="453"/>
      <c r="ED691" s="453"/>
      <c r="EE691" s="453"/>
      <c r="EF691" s="453"/>
      <c r="EG691" s="453"/>
      <c r="EH691" s="453"/>
      <c r="EI691" s="453"/>
      <c r="EJ691" s="453"/>
      <c r="EK691" s="453"/>
      <c r="EL691" s="453"/>
      <c r="EM691" s="483">
        <f t="shared" si="227"/>
        <v>382</v>
      </c>
      <c r="EN691" s="485"/>
      <c r="EO691" s="458"/>
      <c r="EP691" s="467"/>
      <c r="EQ691" s="457"/>
      <c r="ER691" s="808"/>
      <c r="ES691" s="881">
        <f t="shared" si="228"/>
        <v>0</v>
      </c>
      <c r="ET691" s="882"/>
      <c r="EU691" s="883"/>
      <c r="EV691" s="884">
        <f t="shared" si="226"/>
        <v>0</v>
      </c>
      <c r="EW691" s="885"/>
      <c r="EX691" s="885"/>
      <c r="EY691" s="885"/>
      <c r="EZ691" s="885"/>
      <c r="FA691" s="885"/>
      <c r="FB691" s="885"/>
      <c r="FC691" s="885"/>
      <c r="FD691" s="886"/>
      <c r="FE691" s="878"/>
      <c r="FF691" s="878"/>
      <c r="FG691" s="878"/>
      <c r="FH691" s="878"/>
      <c r="FI691" s="878"/>
      <c r="FJ691" s="878"/>
      <c r="FK691" s="878"/>
      <c r="FL691" s="555"/>
      <c r="FM691" s="554"/>
      <c r="FN691" s="554"/>
      <c r="FO691" s="554"/>
      <c r="FP691" s="554"/>
      <c r="FQ691" s="554"/>
      <c r="FR691" s="554"/>
      <c r="FS691" s="554"/>
      <c r="FT691" s="554"/>
      <c r="FU691" s="554"/>
      <c r="FV691" s="554"/>
      <c r="FW691" s="554"/>
      <c r="FX691" s="554"/>
      <c r="FY691" s="554"/>
      <c r="FZ691" s="554"/>
      <c r="GA691" s="554"/>
      <c r="GB691" s="556"/>
      <c r="GC691" s="370"/>
      <c r="GD691" s="453"/>
      <c r="GE691" s="453"/>
      <c r="GF691" s="453"/>
      <c r="GG691" s="453"/>
      <c r="GH691" s="454"/>
      <c r="GI691" s="453"/>
      <c r="GJ691" s="453"/>
      <c r="GK691" s="453"/>
      <c r="GL691" s="453"/>
      <c r="GM691" s="453"/>
      <c r="GN691" s="453"/>
      <c r="GO691" s="453"/>
      <c r="GP691" s="453"/>
      <c r="GQ691" s="453"/>
      <c r="GR691" s="453"/>
      <c r="GS691" s="561"/>
      <c r="GT691" s="475"/>
      <c r="GU691" s="472"/>
      <c r="GV691" s="453"/>
      <c r="GW691" s="453"/>
      <c r="GX691" s="869"/>
      <c r="GY691" s="870"/>
      <c r="GZ691" s="867"/>
      <c r="HA691" s="868"/>
      <c r="HB691" s="473"/>
      <c r="HC691" s="869"/>
      <c r="HD691" s="870"/>
      <c r="HE691" s="867"/>
      <c r="HF691" s="868"/>
      <c r="HG691" s="473"/>
      <c r="HH691" s="867"/>
      <c r="HI691" s="868"/>
      <c r="HJ691" s="867"/>
      <c r="HK691" s="868"/>
      <c r="HL691" s="370"/>
      <c r="HM691" s="865"/>
      <c r="HN691" s="866"/>
      <c r="HO691" s="865"/>
      <c r="HP691" s="866"/>
      <c r="HQ691" s="865"/>
      <c r="HR691" s="866"/>
      <c r="HS691" s="867"/>
      <c r="HT691" s="868"/>
      <c r="HU691" s="489"/>
      <c r="HV691" s="865"/>
      <c r="HW691" s="866"/>
    </row>
    <row r="692" spans="25:231" ht="15" customHeight="1">
      <c r="Y692" s="332"/>
      <c r="Z692" s="332"/>
      <c r="AA692" s="332"/>
      <c r="AB692" s="332"/>
      <c r="AC692" s="332"/>
      <c r="AD692" s="332"/>
      <c r="AE692" s="332"/>
      <c r="AF692" s="332"/>
      <c r="AG692" s="332"/>
      <c r="AH692" s="332"/>
      <c r="AI692" s="332"/>
      <c r="AJ692" s="332"/>
      <c r="AK692" s="332"/>
      <c r="AL692" s="332"/>
      <c r="AM692" s="332"/>
      <c r="AN692" s="332"/>
      <c r="AO692" s="332"/>
      <c r="AP692" s="332"/>
      <c r="AQ692" s="332"/>
      <c r="AR692" s="332"/>
      <c r="AS692" s="332"/>
      <c r="AT692" s="332"/>
      <c r="AU692" s="332"/>
      <c r="AV692" s="332"/>
      <c r="AW692" s="332"/>
      <c r="AX692" s="332"/>
      <c r="AY692" s="332"/>
      <c r="AZ692" s="332"/>
      <c r="BA692" s="332"/>
      <c r="BB692" s="332"/>
      <c r="BC692" s="332"/>
      <c r="BD692" s="332"/>
      <c r="BE692" s="332"/>
      <c r="BF692" s="332"/>
      <c r="BG692" s="332"/>
      <c r="BH692" s="332"/>
      <c r="BI692" s="332"/>
      <c r="BJ692" s="332"/>
      <c r="BK692" s="332"/>
      <c r="BL692" s="332"/>
      <c r="BM692" s="332"/>
      <c r="BN692" s="332"/>
      <c r="BO692" s="332"/>
      <c r="BP692" s="332"/>
      <c r="BQ692" s="332"/>
      <c r="BR692" s="332"/>
      <c r="BS692" s="332"/>
      <c r="BT692" s="332"/>
      <c r="BU692" s="332"/>
      <c r="BV692" s="332"/>
      <c r="BW692" s="332"/>
      <c r="BX692" s="332"/>
      <c r="BY692" s="332"/>
      <c r="BZ692" s="332"/>
      <c r="CA692" s="332"/>
      <c r="CB692" s="332"/>
      <c r="CC692" s="332"/>
      <c r="CD692" s="332"/>
      <c r="CE692" s="332"/>
      <c r="CF692" s="332"/>
      <c r="CG692" s="332"/>
      <c r="CH692" s="332"/>
      <c r="CI692" s="332"/>
      <c r="CJ692" s="332"/>
      <c r="CK692" s="332"/>
      <c r="CL692" s="332"/>
      <c r="CM692" s="332"/>
      <c r="CN692" s="332"/>
      <c r="CO692" s="332"/>
      <c r="CP692" s="332"/>
      <c r="CQ692" s="332"/>
      <c r="CR692" s="332"/>
      <c r="CS692" s="332"/>
      <c r="CT692" s="332"/>
      <c r="CU692" s="332"/>
      <c r="CV692" s="332"/>
      <c r="CW692" s="332"/>
      <c r="CX692" s="332"/>
      <c r="CY692" s="332"/>
      <c r="CZ692" s="332"/>
      <c r="DA692" s="332"/>
      <c r="DB692" s="332"/>
      <c r="DC692" s="332"/>
      <c r="DD692" s="332"/>
      <c r="DE692" s="332"/>
      <c r="DF692" s="332"/>
      <c r="DG692" s="332"/>
      <c r="DH692" s="332"/>
      <c r="DI692" s="332"/>
      <c r="DJ692" s="332"/>
      <c r="DK692" s="332"/>
      <c r="DL692" s="332"/>
      <c r="DM692" s="332"/>
      <c r="DN692" s="332"/>
      <c r="DO692" s="332"/>
      <c r="DP692" s="332"/>
      <c r="DQ692" s="332"/>
      <c r="DR692" s="332"/>
      <c r="DS692" s="332"/>
      <c r="DT692" s="332"/>
      <c r="DU692" s="453"/>
      <c r="DV692" s="453"/>
      <c r="DW692" s="453"/>
      <c r="DX692" s="453"/>
      <c r="DY692" s="453"/>
      <c r="DZ692" s="453"/>
      <c r="EA692" s="453"/>
      <c r="EB692" s="453"/>
      <c r="EC692" s="453"/>
      <c r="ED692" s="453"/>
      <c r="EE692" s="453"/>
      <c r="EF692" s="453"/>
      <c r="EG692" s="453"/>
      <c r="EH692" s="453"/>
      <c r="EI692" s="453"/>
      <c r="EJ692" s="453"/>
      <c r="EK692" s="453"/>
      <c r="EL692" s="453"/>
      <c r="EM692" s="483">
        <f t="shared" si="227"/>
        <v>383</v>
      </c>
      <c r="EN692" s="485"/>
      <c r="EO692" s="458"/>
      <c r="EP692" s="467"/>
      <c r="EQ692" s="457"/>
      <c r="ER692" s="808"/>
      <c r="ES692" s="881">
        <f t="shared" si="228"/>
        <v>0</v>
      </c>
      <c r="ET692" s="882"/>
      <c r="EU692" s="883"/>
      <c r="EV692" s="884">
        <f t="shared" si="226"/>
        <v>0</v>
      </c>
      <c r="EW692" s="885"/>
      <c r="EX692" s="885"/>
      <c r="EY692" s="885"/>
      <c r="EZ692" s="885"/>
      <c r="FA692" s="885"/>
      <c r="FB692" s="885"/>
      <c r="FC692" s="885"/>
      <c r="FD692" s="886"/>
      <c r="FE692" s="878"/>
      <c r="FF692" s="878"/>
      <c r="FG692" s="878"/>
      <c r="FH692" s="878"/>
      <c r="FI692" s="878"/>
      <c r="FJ692" s="878"/>
      <c r="FK692" s="878"/>
      <c r="FL692" s="555"/>
      <c r="FM692" s="554"/>
      <c r="FN692" s="554"/>
      <c r="FO692" s="554"/>
      <c r="FP692" s="554"/>
      <c r="FQ692" s="554"/>
      <c r="FR692" s="554"/>
      <c r="FS692" s="554"/>
      <c r="FT692" s="554"/>
      <c r="FU692" s="554"/>
      <c r="FV692" s="554"/>
      <c r="FW692" s="554"/>
      <c r="FX692" s="554"/>
      <c r="FY692" s="554"/>
      <c r="FZ692" s="554"/>
      <c r="GA692" s="554"/>
      <c r="GB692" s="556"/>
      <c r="GC692" s="370"/>
      <c r="GD692" s="453"/>
      <c r="GE692" s="453"/>
      <c r="GF692" s="453"/>
      <c r="GG692" s="453"/>
      <c r="GH692" s="454"/>
      <c r="GI692" s="453"/>
      <c r="GJ692" s="453"/>
      <c r="GK692" s="453"/>
      <c r="GL692" s="453"/>
      <c r="GM692" s="453"/>
      <c r="GN692" s="453"/>
      <c r="GO692" s="453"/>
      <c r="GP692" s="453"/>
      <c r="GQ692" s="453"/>
      <c r="GR692" s="453"/>
      <c r="GS692" s="561"/>
      <c r="GT692" s="475"/>
      <c r="GU692" s="472"/>
      <c r="GV692" s="453"/>
      <c r="GW692" s="453"/>
      <c r="GX692" s="869"/>
      <c r="GY692" s="870"/>
      <c r="GZ692" s="867"/>
      <c r="HA692" s="868"/>
      <c r="HB692" s="473"/>
      <c r="HC692" s="869"/>
      <c r="HD692" s="870"/>
      <c r="HE692" s="867"/>
      <c r="HF692" s="868"/>
      <c r="HG692" s="473"/>
      <c r="HH692" s="867"/>
      <c r="HI692" s="868"/>
      <c r="HJ692" s="867"/>
      <c r="HK692" s="868"/>
      <c r="HL692" s="370"/>
      <c r="HM692" s="865"/>
      <c r="HN692" s="866"/>
      <c r="HO692" s="865"/>
      <c r="HP692" s="866"/>
      <c r="HQ692" s="865"/>
      <c r="HR692" s="866"/>
      <c r="HS692" s="867"/>
      <c r="HT692" s="868"/>
      <c r="HU692" s="489"/>
      <c r="HV692" s="865"/>
      <c r="HW692" s="866"/>
    </row>
    <row r="693" spans="25:231" ht="15" customHeight="1">
      <c r="Y693" s="332"/>
      <c r="Z693" s="332"/>
      <c r="AA693" s="332"/>
      <c r="AB693" s="332"/>
      <c r="AC693" s="332"/>
      <c r="AD693" s="332"/>
      <c r="AE693" s="332"/>
      <c r="AF693" s="332"/>
      <c r="AG693" s="332"/>
      <c r="AH693" s="332"/>
      <c r="AI693" s="332"/>
      <c r="AJ693" s="332"/>
      <c r="AK693" s="332"/>
      <c r="AL693" s="332"/>
      <c r="AM693" s="332"/>
      <c r="AN693" s="332"/>
      <c r="AO693" s="332"/>
      <c r="AP693" s="332"/>
      <c r="AQ693" s="332"/>
      <c r="AR693" s="332"/>
      <c r="AS693" s="332"/>
      <c r="AT693" s="332"/>
      <c r="AU693" s="332"/>
      <c r="AV693" s="332"/>
      <c r="AW693" s="332"/>
      <c r="AX693" s="332"/>
      <c r="AY693" s="332"/>
      <c r="AZ693" s="332"/>
      <c r="BA693" s="332"/>
      <c r="BB693" s="332"/>
      <c r="BC693" s="332"/>
      <c r="BD693" s="332"/>
      <c r="BE693" s="332"/>
      <c r="BF693" s="332"/>
      <c r="BG693" s="332"/>
      <c r="BH693" s="332"/>
      <c r="BI693" s="332"/>
      <c r="BJ693" s="332"/>
      <c r="BK693" s="332"/>
      <c r="BL693" s="332"/>
      <c r="BM693" s="332"/>
      <c r="BN693" s="332"/>
      <c r="BO693" s="332"/>
      <c r="BP693" s="332"/>
      <c r="BQ693" s="332"/>
      <c r="BR693" s="332"/>
      <c r="BS693" s="332"/>
      <c r="BT693" s="332"/>
      <c r="BU693" s="332"/>
      <c r="BV693" s="332"/>
      <c r="BW693" s="332"/>
      <c r="BX693" s="332"/>
      <c r="BY693" s="332"/>
      <c r="BZ693" s="332"/>
      <c r="CA693" s="332"/>
      <c r="CB693" s="332"/>
      <c r="CC693" s="332"/>
      <c r="CD693" s="332"/>
      <c r="CE693" s="332"/>
      <c r="CF693" s="332"/>
      <c r="CG693" s="332"/>
      <c r="CH693" s="332"/>
      <c r="CI693" s="332"/>
      <c r="CJ693" s="332"/>
      <c r="CK693" s="332"/>
      <c r="CL693" s="332"/>
      <c r="CM693" s="332"/>
      <c r="CN693" s="332"/>
      <c r="CO693" s="332"/>
      <c r="CP693" s="332"/>
      <c r="CQ693" s="332"/>
      <c r="CR693" s="332"/>
      <c r="CS693" s="332"/>
      <c r="CT693" s="332"/>
      <c r="CU693" s="332"/>
      <c r="CV693" s="332"/>
      <c r="CW693" s="332"/>
      <c r="CX693" s="332"/>
      <c r="CY693" s="332"/>
      <c r="CZ693" s="332"/>
      <c r="DA693" s="332"/>
      <c r="DB693" s="332"/>
      <c r="DC693" s="332"/>
      <c r="DD693" s="332"/>
      <c r="DE693" s="332"/>
      <c r="DF693" s="332"/>
      <c r="DG693" s="332"/>
      <c r="DH693" s="332"/>
      <c r="DI693" s="332"/>
      <c r="DJ693" s="332"/>
      <c r="DK693" s="332"/>
      <c r="DL693" s="332"/>
      <c r="DM693" s="332"/>
      <c r="DN693" s="332"/>
      <c r="DO693" s="332"/>
      <c r="DP693" s="332"/>
      <c r="DQ693" s="332"/>
      <c r="DR693" s="332"/>
      <c r="DS693" s="332"/>
      <c r="DT693" s="332"/>
      <c r="DU693" s="453"/>
      <c r="DV693" s="453"/>
      <c r="DW693" s="453"/>
      <c r="DX693" s="453"/>
      <c r="DY693" s="453"/>
      <c r="DZ693" s="453"/>
      <c r="EA693" s="453"/>
      <c r="EB693" s="453"/>
      <c r="EC693" s="453"/>
      <c r="ED693" s="453"/>
      <c r="EE693" s="453"/>
      <c r="EF693" s="453"/>
      <c r="EG693" s="453"/>
      <c r="EH693" s="453"/>
      <c r="EI693" s="453"/>
      <c r="EJ693" s="453"/>
      <c r="EK693" s="453"/>
      <c r="EL693" s="453"/>
      <c r="EM693" s="483">
        <f t="shared" si="227"/>
        <v>384</v>
      </c>
      <c r="EN693" s="485"/>
      <c r="EO693" s="458"/>
      <c r="EP693" s="467"/>
      <c r="EQ693" s="457"/>
      <c r="ER693" s="808"/>
      <c r="ES693" s="881">
        <f t="shared" si="228"/>
        <v>0</v>
      </c>
      <c r="ET693" s="882"/>
      <c r="EU693" s="883"/>
      <c r="EV693" s="884">
        <f t="shared" si="226"/>
        <v>0</v>
      </c>
      <c r="EW693" s="885"/>
      <c r="EX693" s="885"/>
      <c r="EY693" s="885"/>
      <c r="EZ693" s="885"/>
      <c r="FA693" s="885"/>
      <c r="FB693" s="885"/>
      <c r="FC693" s="885"/>
      <c r="FD693" s="886"/>
      <c r="FE693" s="878"/>
      <c r="FF693" s="878"/>
      <c r="FG693" s="878"/>
      <c r="FH693" s="878"/>
      <c r="FI693" s="878"/>
      <c r="FJ693" s="878"/>
      <c r="FK693" s="878"/>
      <c r="FL693" s="555"/>
      <c r="FM693" s="554"/>
      <c r="FN693" s="554"/>
      <c r="FO693" s="554"/>
      <c r="FP693" s="554"/>
      <c r="FQ693" s="554"/>
      <c r="FR693" s="554"/>
      <c r="FS693" s="554"/>
      <c r="FT693" s="554"/>
      <c r="FU693" s="554"/>
      <c r="FV693" s="554"/>
      <c r="FW693" s="554"/>
      <c r="FX693" s="554"/>
      <c r="FY693" s="554"/>
      <c r="FZ693" s="554"/>
      <c r="GA693" s="554"/>
      <c r="GB693" s="556"/>
      <c r="GC693" s="370"/>
      <c r="GD693" s="453"/>
      <c r="GE693" s="453"/>
      <c r="GF693" s="453"/>
      <c r="GG693" s="453"/>
      <c r="GH693" s="454"/>
      <c r="GI693" s="453"/>
      <c r="GJ693" s="453"/>
      <c r="GK693" s="453"/>
      <c r="GL693" s="453"/>
      <c r="GM693" s="453"/>
      <c r="GN693" s="453"/>
      <c r="GO693" s="453"/>
      <c r="GP693" s="453"/>
      <c r="GQ693" s="453"/>
      <c r="GR693" s="453"/>
      <c r="GS693" s="561"/>
      <c r="GT693" s="475"/>
      <c r="GU693" s="472"/>
      <c r="GV693" s="453"/>
      <c r="GW693" s="453"/>
      <c r="GX693" s="869"/>
      <c r="GY693" s="870"/>
      <c r="GZ693" s="867"/>
      <c r="HA693" s="868"/>
      <c r="HB693" s="473"/>
      <c r="HC693" s="869"/>
      <c r="HD693" s="870"/>
      <c r="HE693" s="867"/>
      <c r="HF693" s="868"/>
      <c r="HG693" s="473"/>
      <c r="HH693" s="867"/>
      <c r="HI693" s="868"/>
      <c r="HJ693" s="867"/>
      <c r="HK693" s="868"/>
      <c r="HL693" s="370"/>
      <c r="HM693" s="865"/>
      <c r="HN693" s="866"/>
      <c r="HO693" s="865"/>
      <c r="HP693" s="866"/>
      <c r="HQ693" s="865"/>
      <c r="HR693" s="866"/>
      <c r="HS693" s="867"/>
      <c r="HT693" s="868"/>
      <c r="HU693" s="489"/>
      <c r="HV693" s="865"/>
      <c r="HW693" s="866"/>
    </row>
    <row r="694" spans="25:231" ht="15" customHeight="1">
      <c r="Y694" s="332"/>
      <c r="Z694" s="332"/>
      <c r="AA694" s="332"/>
      <c r="AB694" s="332"/>
      <c r="AC694" s="332"/>
      <c r="AD694" s="332"/>
      <c r="AE694" s="332"/>
      <c r="AF694" s="332"/>
      <c r="AG694" s="332"/>
      <c r="AH694" s="332"/>
      <c r="AI694" s="332"/>
      <c r="AJ694" s="332"/>
      <c r="AK694" s="332"/>
      <c r="AL694" s="332"/>
      <c r="AM694" s="332"/>
      <c r="AN694" s="332"/>
      <c r="AO694" s="332"/>
      <c r="AP694" s="332"/>
      <c r="AQ694" s="332"/>
      <c r="AR694" s="332"/>
      <c r="AS694" s="332"/>
      <c r="AT694" s="332"/>
      <c r="AU694" s="332"/>
      <c r="AV694" s="332"/>
      <c r="AW694" s="332"/>
      <c r="AX694" s="332"/>
      <c r="AY694" s="332"/>
      <c r="AZ694" s="332"/>
      <c r="BA694" s="332"/>
      <c r="BB694" s="332"/>
      <c r="BC694" s="332"/>
      <c r="BD694" s="332"/>
      <c r="BE694" s="332"/>
      <c r="BF694" s="332"/>
      <c r="BG694" s="332"/>
      <c r="BH694" s="332"/>
      <c r="BI694" s="332"/>
      <c r="BJ694" s="332"/>
      <c r="BK694" s="332"/>
      <c r="BL694" s="332"/>
      <c r="BM694" s="332"/>
      <c r="BN694" s="332"/>
      <c r="BO694" s="332"/>
      <c r="BP694" s="332"/>
      <c r="BQ694" s="332"/>
      <c r="BR694" s="332"/>
      <c r="BS694" s="332"/>
      <c r="BT694" s="332"/>
      <c r="BU694" s="332"/>
      <c r="BV694" s="332"/>
      <c r="BW694" s="332"/>
      <c r="BX694" s="332"/>
      <c r="BY694" s="332"/>
      <c r="BZ694" s="332"/>
      <c r="CA694" s="332"/>
      <c r="CB694" s="332"/>
      <c r="CC694" s="332"/>
      <c r="CD694" s="332"/>
      <c r="CE694" s="332"/>
      <c r="CF694" s="332"/>
      <c r="CG694" s="332"/>
      <c r="CH694" s="332"/>
      <c r="CI694" s="332"/>
      <c r="CJ694" s="332"/>
      <c r="CK694" s="332"/>
      <c r="CL694" s="332"/>
      <c r="CM694" s="332"/>
      <c r="CN694" s="332"/>
      <c r="CO694" s="332"/>
      <c r="CP694" s="332"/>
      <c r="CQ694" s="332"/>
      <c r="CR694" s="332"/>
      <c r="CS694" s="332"/>
      <c r="CT694" s="332"/>
      <c r="CU694" s="332"/>
      <c r="CV694" s="332"/>
      <c r="CW694" s="332"/>
      <c r="CX694" s="332"/>
      <c r="CY694" s="332"/>
      <c r="CZ694" s="332"/>
      <c r="DA694" s="332"/>
      <c r="DB694" s="332"/>
      <c r="DC694" s="332"/>
      <c r="DD694" s="332"/>
      <c r="DE694" s="332"/>
      <c r="DF694" s="332"/>
      <c r="DG694" s="332"/>
      <c r="DH694" s="332"/>
      <c r="DI694" s="332"/>
      <c r="DJ694" s="332"/>
      <c r="DK694" s="332"/>
      <c r="DL694" s="332"/>
      <c r="DM694" s="332"/>
      <c r="DN694" s="332"/>
      <c r="DO694" s="332"/>
      <c r="DP694" s="332"/>
      <c r="DQ694" s="332"/>
      <c r="DR694" s="332"/>
      <c r="DS694" s="332"/>
      <c r="DT694" s="332"/>
      <c r="DU694" s="453"/>
      <c r="DV694" s="453"/>
      <c r="DW694" s="453"/>
      <c r="DX694" s="453"/>
      <c r="DY694" s="453"/>
      <c r="DZ694" s="453"/>
      <c r="EA694" s="453"/>
      <c r="EB694" s="453"/>
      <c r="EC694" s="453"/>
      <c r="ED694" s="453"/>
      <c r="EE694" s="453"/>
      <c r="EF694" s="453"/>
      <c r="EG694" s="453"/>
      <c r="EH694" s="453"/>
      <c r="EI694" s="453"/>
      <c r="EJ694" s="453"/>
      <c r="EK694" s="453"/>
      <c r="EL694" s="453"/>
      <c r="EM694" s="483">
        <f t="shared" si="227"/>
        <v>385</v>
      </c>
      <c r="EN694" s="485"/>
      <c r="EO694" s="458"/>
      <c r="EP694" s="467"/>
      <c r="EQ694" s="457"/>
      <c r="ER694" s="808"/>
      <c r="ES694" s="881">
        <f t="shared" si="228"/>
        <v>0</v>
      </c>
      <c r="ET694" s="882"/>
      <c r="EU694" s="883"/>
      <c r="EV694" s="884">
        <f t="shared" ref="EV694:EV757" si="229">+IF(OR(EO694 = "", EP694 = 0, EP694 = "", EQ694 = 0, EQ694 = "", ER694 = 0, ER694 = ""), 0,
IF(EO694 &lt;&gt; "ACCION",
IF(EP694 &gt; 0, EP694 * ER694 * -100 * ( 1 + COMIS_OPCION), EP694 * ER694 * -100 * ( 1 - COMIS_OPCION)),
IF(EP694 &gt; 0, EP694 * ER694 * -1 * ( 1 + COMIS_ACCION), EP694 * ER694 * -1 * ( 1 - COMIS_ACCION))  ))</f>
        <v>0</v>
      </c>
      <c r="EW694" s="885"/>
      <c r="EX694" s="885"/>
      <c r="EY694" s="885"/>
      <c r="EZ694" s="885"/>
      <c r="FA694" s="885"/>
      <c r="FB694" s="885"/>
      <c r="FC694" s="885"/>
      <c r="FD694" s="886"/>
      <c r="FE694" s="878"/>
      <c r="FF694" s="878"/>
      <c r="FG694" s="878"/>
      <c r="FH694" s="878"/>
      <c r="FI694" s="878"/>
      <c r="FJ694" s="878"/>
      <c r="FK694" s="878"/>
      <c r="FL694" s="555"/>
      <c r="FM694" s="554"/>
      <c r="FN694" s="554"/>
      <c r="FO694" s="554"/>
      <c r="FP694" s="554"/>
      <c r="FQ694" s="554"/>
      <c r="FR694" s="554"/>
      <c r="FS694" s="554"/>
      <c r="FT694" s="554"/>
      <c r="FU694" s="554"/>
      <c r="FV694" s="554"/>
      <c r="FW694" s="554"/>
      <c r="FX694" s="554"/>
      <c r="FY694" s="554"/>
      <c r="FZ694" s="554"/>
      <c r="GA694" s="554"/>
      <c r="GB694" s="556"/>
      <c r="GC694" s="370"/>
      <c r="GD694" s="453"/>
      <c r="GE694" s="453"/>
      <c r="GF694" s="453"/>
      <c r="GG694" s="453"/>
      <c r="GH694" s="454"/>
      <c r="GI694" s="453"/>
      <c r="GJ694" s="453"/>
      <c r="GK694" s="453"/>
      <c r="GL694" s="453"/>
      <c r="GM694" s="453"/>
      <c r="GN694" s="453"/>
      <c r="GO694" s="453"/>
      <c r="GP694" s="453"/>
      <c r="GQ694" s="453"/>
      <c r="GR694" s="453"/>
      <c r="GS694" s="561"/>
      <c r="GT694" s="475"/>
      <c r="GU694" s="472"/>
      <c r="GV694" s="453"/>
      <c r="GW694" s="453"/>
      <c r="GX694" s="869"/>
      <c r="GY694" s="870"/>
      <c r="GZ694" s="867"/>
      <c r="HA694" s="868"/>
      <c r="HB694" s="473"/>
      <c r="HC694" s="869"/>
      <c r="HD694" s="870"/>
      <c r="HE694" s="867"/>
      <c r="HF694" s="868"/>
      <c r="HG694" s="473"/>
      <c r="HH694" s="867"/>
      <c r="HI694" s="868"/>
      <c r="HJ694" s="867"/>
      <c r="HK694" s="868"/>
      <c r="HL694" s="370"/>
      <c r="HM694" s="865"/>
      <c r="HN694" s="866"/>
      <c r="HO694" s="865"/>
      <c r="HP694" s="866"/>
      <c r="HQ694" s="865"/>
      <c r="HR694" s="866"/>
      <c r="HS694" s="867"/>
      <c r="HT694" s="868"/>
      <c r="HU694" s="489"/>
      <c r="HV694" s="865"/>
      <c r="HW694" s="866"/>
    </row>
    <row r="695" spans="25:231" ht="15" customHeight="1">
      <c r="Y695" s="332"/>
      <c r="Z695" s="332"/>
      <c r="AA695" s="332"/>
      <c r="AB695" s="332"/>
      <c r="AC695" s="332"/>
      <c r="AD695" s="332"/>
      <c r="AE695" s="332"/>
      <c r="AF695" s="332"/>
      <c r="AG695" s="332"/>
      <c r="AH695" s="332"/>
      <c r="AI695" s="332"/>
      <c r="AJ695" s="332"/>
      <c r="AK695" s="332"/>
      <c r="AL695" s="332"/>
      <c r="AM695" s="332"/>
      <c r="AN695" s="332"/>
      <c r="AO695" s="332"/>
      <c r="AP695" s="332"/>
      <c r="AQ695" s="332"/>
      <c r="AR695" s="332"/>
      <c r="AS695" s="332"/>
      <c r="AT695" s="332"/>
      <c r="AU695" s="332"/>
      <c r="AV695" s="332"/>
      <c r="AW695" s="332"/>
      <c r="AX695" s="332"/>
      <c r="AY695" s="332"/>
      <c r="AZ695" s="332"/>
      <c r="BA695" s="332"/>
      <c r="BB695" s="332"/>
      <c r="BC695" s="332"/>
      <c r="BD695" s="332"/>
      <c r="BE695" s="332"/>
      <c r="BF695" s="332"/>
      <c r="BG695" s="332"/>
      <c r="BH695" s="332"/>
      <c r="BI695" s="332"/>
      <c r="BJ695" s="332"/>
      <c r="BK695" s="332"/>
      <c r="BL695" s="332"/>
      <c r="BM695" s="332"/>
      <c r="BN695" s="332"/>
      <c r="BO695" s="332"/>
      <c r="BP695" s="332"/>
      <c r="BQ695" s="332"/>
      <c r="BR695" s="332"/>
      <c r="BS695" s="332"/>
      <c r="BT695" s="332"/>
      <c r="BU695" s="332"/>
      <c r="BV695" s="332"/>
      <c r="BW695" s="332"/>
      <c r="BX695" s="332"/>
      <c r="BY695" s="332"/>
      <c r="BZ695" s="332"/>
      <c r="CA695" s="332"/>
      <c r="CB695" s="332"/>
      <c r="CC695" s="332"/>
      <c r="CD695" s="332"/>
      <c r="CE695" s="332"/>
      <c r="CF695" s="332"/>
      <c r="CG695" s="332"/>
      <c r="CH695" s="332"/>
      <c r="CI695" s="332"/>
      <c r="CJ695" s="332"/>
      <c r="CK695" s="332"/>
      <c r="CL695" s="332"/>
      <c r="CM695" s="332"/>
      <c r="CN695" s="332"/>
      <c r="CO695" s="332"/>
      <c r="CP695" s="332"/>
      <c r="CQ695" s="332"/>
      <c r="CR695" s="332"/>
      <c r="CS695" s="332"/>
      <c r="CT695" s="332"/>
      <c r="CU695" s="332"/>
      <c r="CV695" s="332"/>
      <c r="CW695" s="332"/>
      <c r="CX695" s="332"/>
      <c r="CY695" s="332"/>
      <c r="CZ695" s="332"/>
      <c r="DA695" s="332"/>
      <c r="DB695" s="332"/>
      <c r="DC695" s="332"/>
      <c r="DD695" s="332"/>
      <c r="DE695" s="332"/>
      <c r="DF695" s="332"/>
      <c r="DG695" s="332"/>
      <c r="DH695" s="332"/>
      <c r="DI695" s="332"/>
      <c r="DJ695" s="332"/>
      <c r="DK695" s="332"/>
      <c r="DL695" s="332"/>
      <c r="DM695" s="332"/>
      <c r="DN695" s="332"/>
      <c r="DO695" s="332"/>
      <c r="DP695" s="332"/>
      <c r="DQ695" s="332"/>
      <c r="DR695" s="332"/>
      <c r="DS695" s="332"/>
      <c r="DT695" s="332"/>
      <c r="DU695" s="453"/>
      <c r="DV695" s="453"/>
      <c r="DW695" s="453"/>
      <c r="DX695" s="453"/>
      <c r="DY695" s="453"/>
      <c r="DZ695" s="453"/>
      <c r="EA695" s="453"/>
      <c r="EB695" s="453"/>
      <c r="EC695" s="453"/>
      <c r="ED695" s="453"/>
      <c r="EE695" s="453"/>
      <c r="EF695" s="453"/>
      <c r="EG695" s="453"/>
      <c r="EH695" s="453"/>
      <c r="EI695" s="453"/>
      <c r="EJ695" s="453"/>
      <c r="EK695" s="453"/>
      <c r="EL695" s="453"/>
      <c r="EM695" s="483">
        <f t="shared" si="227"/>
        <v>386</v>
      </c>
      <c r="EN695" s="485"/>
      <c r="EO695" s="458"/>
      <c r="EP695" s="467"/>
      <c r="EQ695" s="457"/>
      <c r="ER695" s="808"/>
      <c r="ES695" s="881">
        <f t="shared" si="228"/>
        <v>0</v>
      </c>
      <c r="ET695" s="882"/>
      <c r="EU695" s="883"/>
      <c r="EV695" s="884">
        <f t="shared" si="229"/>
        <v>0</v>
      </c>
      <c r="EW695" s="885"/>
      <c r="EX695" s="885"/>
      <c r="EY695" s="885"/>
      <c r="EZ695" s="885"/>
      <c r="FA695" s="885"/>
      <c r="FB695" s="885"/>
      <c r="FC695" s="885"/>
      <c r="FD695" s="886"/>
      <c r="FE695" s="878"/>
      <c r="FF695" s="878"/>
      <c r="FG695" s="878"/>
      <c r="FH695" s="878"/>
      <c r="FI695" s="878"/>
      <c r="FJ695" s="878"/>
      <c r="FK695" s="878"/>
      <c r="FL695" s="555"/>
      <c r="FM695" s="554"/>
      <c r="FN695" s="554"/>
      <c r="FO695" s="554"/>
      <c r="FP695" s="554"/>
      <c r="FQ695" s="554"/>
      <c r="FR695" s="554"/>
      <c r="FS695" s="554"/>
      <c r="FT695" s="554"/>
      <c r="FU695" s="554"/>
      <c r="FV695" s="554"/>
      <c r="FW695" s="554"/>
      <c r="FX695" s="554"/>
      <c r="FY695" s="554"/>
      <c r="FZ695" s="554"/>
      <c r="GA695" s="554"/>
      <c r="GB695" s="556"/>
      <c r="GC695" s="370"/>
      <c r="GD695" s="453"/>
      <c r="GE695" s="453"/>
      <c r="GF695" s="453"/>
      <c r="GG695" s="453"/>
      <c r="GH695" s="454"/>
      <c r="GI695" s="453"/>
      <c r="GJ695" s="453"/>
      <c r="GK695" s="453"/>
      <c r="GL695" s="453"/>
      <c r="GM695" s="453"/>
      <c r="GN695" s="453"/>
      <c r="GO695" s="453"/>
      <c r="GP695" s="453"/>
      <c r="GQ695" s="453"/>
      <c r="GR695" s="453"/>
      <c r="GS695" s="561"/>
      <c r="GT695" s="475"/>
      <c r="GU695" s="472"/>
      <c r="GV695" s="453"/>
      <c r="GW695" s="453"/>
      <c r="GX695" s="869"/>
      <c r="GY695" s="870"/>
      <c r="GZ695" s="867"/>
      <c r="HA695" s="868"/>
      <c r="HB695" s="473"/>
      <c r="HC695" s="869"/>
      <c r="HD695" s="870"/>
      <c r="HE695" s="867"/>
      <c r="HF695" s="868"/>
      <c r="HG695" s="473"/>
      <c r="HH695" s="867"/>
      <c r="HI695" s="868"/>
      <c r="HJ695" s="867"/>
      <c r="HK695" s="868"/>
      <c r="HL695" s="370"/>
      <c r="HM695" s="865"/>
      <c r="HN695" s="866"/>
      <c r="HO695" s="865"/>
      <c r="HP695" s="866"/>
      <c r="HQ695" s="865"/>
      <c r="HR695" s="866"/>
      <c r="HS695" s="867"/>
      <c r="HT695" s="868"/>
      <c r="HU695" s="489"/>
      <c r="HV695" s="865"/>
      <c r="HW695" s="866"/>
    </row>
    <row r="696" spans="25:231" ht="15" customHeight="1">
      <c r="Y696" s="332"/>
      <c r="Z696" s="332"/>
      <c r="AA696" s="332"/>
      <c r="AB696" s="332"/>
      <c r="AC696" s="332"/>
      <c r="AD696" s="332"/>
      <c r="AE696" s="332"/>
      <c r="AF696" s="332"/>
      <c r="AG696" s="332"/>
      <c r="AH696" s="332"/>
      <c r="AI696" s="332"/>
      <c r="AJ696" s="332"/>
      <c r="AK696" s="332"/>
      <c r="AL696" s="332"/>
      <c r="AM696" s="332"/>
      <c r="AN696" s="332"/>
      <c r="AO696" s="332"/>
      <c r="AP696" s="332"/>
      <c r="AQ696" s="332"/>
      <c r="AR696" s="332"/>
      <c r="AS696" s="332"/>
      <c r="AT696" s="332"/>
      <c r="AU696" s="332"/>
      <c r="AV696" s="332"/>
      <c r="AW696" s="332"/>
      <c r="AX696" s="332"/>
      <c r="AY696" s="332"/>
      <c r="AZ696" s="332"/>
      <c r="BA696" s="332"/>
      <c r="BB696" s="332"/>
      <c r="BC696" s="332"/>
      <c r="BD696" s="332"/>
      <c r="BE696" s="332"/>
      <c r="BF696" s="332"/>
      <c r="BG696" s="332"/>
      <c r="BH696" s="332"/>
      <c r="BI696" s="332"/>
      <c r="BJ696" s="332"/>
      <c r="BK696" s="332"/>
      <c r="BL696" s="332"/>
      <c r="BM696" s="332"/>
      <c r="BN696" s="332"/>
      <c r="BO696" s="332"/>
      <c r="BP696" s="332"/>
      <c r="BQ696" s="332"/>
      <c r="BR696" s="332"/>
      <c r="BS696" s="332"/>
      <c r="BT696" s="332"/>
      <c r="BU696" s="332"/>
      <c r="BV696" s="332"/>
      <c r="BW696" s="332"/>
      <c r="BX696" s="332"/>
      <c r="BY696" s="332"/>
      <c r="BZ696" s="332"/>
      <c r="CA696" s="332"/>
      <c r="CB696" s="332"/>
      <c r="CC696" s="332"/>
      <c r="CD696" s="332"/>
      <c r="CE696" s="332"/>
      <c r="CF696" s="332"/>
      <c r="CG696" s="332"/>
      <c r="CH696" s="332"/>
      <c r="CI696" s="332"/>
      <c r="CJ696" s="332"/>
      <c r="CK696" s="332"/>
      <c r="CL696" s="332"/>
      <c r="CM696" s="332"/>
      <c r="CN696" s="332"/>
      <c r="CO696" s="332"/>
      <c r="CP696" s="332"/>
      <c r="CQ696" s="332"/>
      <c r="CR696" s="332"/>
      <c r="CS696" s="332"/>
      <c r="CT696" s="332"/>
      <c r="CU696" s="332"/>
      <c r="CV696" s="332"/>
      <c r="CW696" s="332"/>
      <c r="CX696" s="332"/>
      <c r="CY696" s="332"/>
      <c r="CZ696" s="332"/>
      <c r="DA696" s="332"/>
      <c r="DB696" s="332"/>
      <c r="DC696" s="332"/>
      <c r="DD696" s="332"/>
      <c r="DE696" s="332"/>
      <c r="DF696" s="332"/>
      <c r="DG696" s="332"/>
      <c r="DH696" s="332"/>
      <c r="DI696" s="332"/>
      <c r="DJ696" s="332"/>
      <c r="DK696" s="332"/>
      <c r="DL696" s="332"/>
      <c r="DM696" s="332"/>
      <c r="DN696" s="332"/>
      <c r="DO696" s="332"/>
      <c r="DP696" s="332"/>
      <c r="DQ696" s="332"/>
      <c r="DR696" s="332"/>
      <c r="DS696" s="332"/>
      <c r="DT696" s="332"/>
      <c r="DU696" s="453"/>
      <c r="DV696" s="453"/>
      <c r="DW696" s="453"/>
      <c r="DX696" s="453"/>
      <c r="DY696" s="453"/>
      <c r="DZ696" s="453"/>
      <c r="EA696" s="453"/>
      <c r="EB696" s="453"/>
      <c r="EC696" s="453"/>
      <c r="ED696" s="453"/>
      <c r="EE696" s="453"/>
      <c r="EF696" s="453"/>
      <c r="EG696" s="453"/>
      <c r="EH696" s="453"/>
      <c r="EI696" s="453"/>
      <c r="EJ696" s="453"/>
      <c r="EK696" s="453"/>
      <c r="EL696" s="453"/>
      <c r="EM696" s="483">
        <f t="shared" ref="EM696:EM759" si="230">+EM695+1</f>
        <v>387</v>
      </c>
      <c r="EN696" s="485"/>
      <c r="EO696" s="458"/>
      <c r="EP696" s="467"/>
      <c r="EQ696" s="457"/>
      <c r="ER696" s="808"/>
      <c r="ES696" s="881">
        <f t="shared" si="228"/>
        <v>0</v>
      </c>
      <c r="ET696" s="882"/>
      <c r="EU696" s="883"/>
      <c r="EV696" s="884">
        <f t="shared" si="229"/>
        <v>0</v>
      </c>
      <c r="EW696" s="885"/>
      <c r="EX696" s="885"/>
      <c r="EY696" s="885"/>
      <c r="EZ696" s="885"/>
      <c r="FA696" s="885"/>
      <c r="FB696" s="885"/>
      <c r="FC696" s="885"/>
      <c r="FD696" s="886"/>
      <c r="FE696" s="878"/>
      <c r="FF696" s="878"/>
      <c r="FG696" s="878"/>
      <c r="FH696" s="878"/>
      <c r="FI696" s="878"/>
      <c r="FJ696" s="878"/>
      <c r="FK696" s="878"/>
      <c r="FL696" s="555"/>
      <c r="FM696" s="554"/>
      <c r="FN696" s="554"/>
      <c r="FO696" s="554"/>
      <c r="FP696" s="554"/>
      <c r="FQ696" s="554"/>
      <c r="FR696" s="554"/>
      <c r="FS696" s="554"/>
      <c r="FT696" s="554"/>
      <c r="FU696" s="554"/>
      <c r="FV696" s="554"/>
      <c r="FW696" s="554"/>
      <c r="FX696" s="554"/>
      <c r="FY696" s="554"/>
      <c r="FZ696" s="554"/>
      <c r="GA696" s="554"/>
      <c r="GB696" s="556"/>
      <c r="GC696" s="370"/>
      <c r="GD696" s="453"/>
      <c r="GE696" s="453"/>
      <c r="GF696" s="453"/>
      <c r="GG696" s="453"/>
      <c r="GH696" s="454"/>
      <c r="GI696" s="453"/>
      <c r="GJ696" s="453"/>
      <c r="GK696" s="453"/>
      <c r="GL696" s="453"/>
      <c r="GM696" s="453"/>
      <c r="GN696" s="453"/>
      <c r="GO696" s="453"/>
      <c r="GP696" s="453"/>
      <c r="GQ696" s="453"/>
      <c r="GR696" s="453"/>
      <c r="GS696" s="561"/>
      <c r="GT696" s="475"/>
      <c r="GU696" s="472"/>
      <c r="GV696" s="453"/>
      <c r="GW696" s="453"/>
      <c r="GX696" s="869"/>
      <c r="GY696" s="870"/>
      <c r="GZ696" s="867"/>
      <c r="HA696" s="868"/>
      <c r="HB696" s="473"/>
      <c r="HC696" s="869"/>
      <c r="HD696" s="870"/>
      <c r="HE696" s="867"/>
      <c r="HF696" s="868"/>
      <c r="HG696" s="473"/>
      <c r="HH696" s="867"/>
      <c r="HI696" s="868"/>
      <c r="HJ696" s="867"/>
      <c r="HK696" s="868"/>
      <c r="HL696" s="370"/>
      <c r="HM696" s="865"/>
      <c r="HN696" s="866"/>
      <c r="HO696" s="865"/>
      <c r="HP696" s="866"/>
      <c r="HQ696" s="865"/>
      <c r="HR696" s="866"/>
      <c r="HS696" s="867"/>
      <c r="HT696" s="868"/>
      <c r="HU696" s="489"/>
      <c r="HV696" s="865"/>
      <c r="HW696" s="866"/>
    </row>
    <row r="697" spans="25:231" ht="15" customHeight="1">
      <c r="Y697" s="332"/>
      <c r="Z697" s="332"/>
      <c r="AA697" s="332"/>
      <c r="AB697" s="332"/>
      <c r="AC697" s="332"/>
      <c r="AD697" s="332"/>
      <c r="AE697" s="332"/>
      <c r="AF697" s="332"/>
      <c r="AG697" s="332"/>
      <c r="AH697" s="332"/>
      <c r="AI697" s="332"/>
      <c r="AJ697" s="332"/>
      <c r="AK697" s="332"/>
      <c r="AL697" s="332"/>
      <c r="AM697" s="332"/>
      <c r="AN697" s="332"/>
      <c r="AO697" s="332"/>
      <c r="AP697" s="332"/>
      <c r="AQ697" s="332"/>
      <c r="AR697" s="332"/>
      <c r="AS697" s="332"/>
      <c r="AT697" s="332"/>
      <c r="AU697" s="332"/>
      <c r="AV697" s="332"/>
      <c r="AW697" s="332"/>
      <c r="AX697" s="332"/>
      <c r="AY697" s="332"/>
      <c r="AZ697" s="332"/>
      <c r="BA697" s="332"/>
      <c r="BB697" s="332"/>
      <c r="BC697" s="332"/>
      <c r="BD697" s="332"/>
      <c r="BE697" s="332"/>
      <c r="BF697" s="332"/>
      <c r="BG697" s="332"/>
      <c r="BH697" s="332"/>
      <c r="BI697" s="332"/>
      <c r="BJ697" s="332"/>
      <c r="BK697" s="332"/>
      <c r="BL697" s="332"/>
      <c r="BM697" s="332"/>
      <c r="BN697" s="332"/>
      <c r="BO697" s="332"/>
      <c r="BP697" s="332"/>
      <c r="BQ697" s="332"/>
      <c r="BR697" s="332"/>
      <c r="BS697" s="332"/>
      <c r="BT697" s="332"/>
      <c r="BU697" s="332"/>
      <c r="BV697" s="332"/>
      <c r="BW697" s="332"/>
      <c r="BX697" s="332"/>
      <c r="BY697" s="332"/>
      <c r="BZ697" s="332"/>
      <c r="CA697" s="332"/>
      <c r="CB697" s="332"/>
      <c r="CC697" s="332"/>
      <c r="CD697" s="332"/>
      <c r="CE697" s="332"/>
      <c r="CF697" s="332"/>
      <c r="CG697" s="332"/>
      <c r="CH697" s="332"/>
      <c r="CI697" s="332"/>
      <c r="CJ697" s="332"/>
      <c r="CK697" s="332"/>
      <c r="CL697" s="332"/>
      <c r="CM697" s="332"/>
      <c r="CN697" s="332"/>
      <c r="CO697" s="332"/>
      <c r="CP697" s="332"/>
      <c r="CQ697" s="332"/>
      <c r="CR697" s="332"/>
      <c r="CS697" s="332"/>
      <c r="CT697" s="332"/>
      <c r="CU697" s="332"/>
      <c r="CV697" s="332"/>
      <c r="CW697" s="332"/>
      <c r="CX697" s="332"/>
      <c r="CY697" s="332"/>
      <c r="CZ697" s="332"/>
      <c r="DA697" s="332"/>
      <c r="DB697" s="332"/>
      <c r="DC697" s="332"/>
      <c r="DD697" s="332"/>
      <c r="DE697" s="332"/>
      <c r="DF697" s="332"/>
      <c r="DG697" s="332"/>
      <c r="DH697" s="332"/>
      <c r="DI697" s="332"/>
      <c r="DJ697" s="332"/>
      <c r="DK697" s="332"/>
      <c r="DL697" s="332"/>
      <c r="DM697" s="332"/>
      <c r="DN697" s="332"/>
      <c r="DO697" s="332"/>
      <c r="DP697" s="332"/>
      <c r="DQ697" s="332"/>
      <c r="DR697" s="332"/>
      <c r="DS697" s="332"/>
      <c r="DT697" s="332"/>
      <c r="DU697" s="453"/>
      <c r="DV697" s="453"/>
      <c r="DW697" s="453"/>
      <c r="DX697" s="453"/>
      <c r="DY697" s="453"/>
      <c r="DZ697" s="453"/>
      <c r="EA697" s="453"/>
      <c r="EB697" s="453"/>
      <c r="EC697" s="453"/>
      <c r="ED697" s="453"/>
      <c r="EE697" s="453"/>
      <c r="EF697" s="453"/>
      <c r="EG697" s="453"/>
      <c r="EH697" s="453"/>
      <c r="EI697" s="453"/>
      <c r="EJ697" s="453"/>
      <c r="EK697" s="453"/>
      <c r="EL697" s="453"/>
      <c r="EM697" s="483">
        <f t="shared" si="230"/>
        <v>388</v>
      </c>
      <c r="EN697" s="485"/>
      <c r="EO697" s="458"/>
      <c r="EP697" s="467"/>
      <c r="EQ697" s="457"/>
      <c r="ER697" s="808"/>
      <c r="ES697" s="881">
        <f t="shared" si="228"/>
        <v>0</v>
      </c>
      <c r="ET697" s="882"/>
      <c r="EU697" s="883"/>
      <c r="EV697" s="884">
        <f t="shared" si="229"/>
        <v>0</v>
      </c>
      <c r="EW697" s="885"/>
      <c r="EX697" s="885"/>
      <c r="EY697" s="885"/>
      <c r="EZ697" s="885"/>
      <c r="FA697" s="885"/>
      <c r="FB697" s="885"/>
      <c r="FC697" s="885"/>
      <c r="FD697" s="886"/>
      <c r="FE697" s="878"/>
      <c r="FF697" s="878"/>
      <c r="FG697" s="878"/>
      <c r="FH697" s="878"/>
      <c r="FI697" s="878"/>
      <c r="FJ697" s="878"/>
      <c r="FK697" s="878"/>
      <c r="FL697" s="555"/>
      <c r="FM697" s="554"/>
      <c r="FN697" s="554"/>
      <c r="FO697" s="554"/>
      <c r="FP697" s="554"/>
      <c r="FQ697" s="554"/>
      <c r="FR697" s="554"/>
      <c r="FS697" s="554"/>
      <c r="FT697" s="554"/>
      <c r="FU697" s="554"/>
      <c r="FV697" s="554"/>
      <c r="FW697" s="554"/>
      <c r="FX697" s="554"/>
      <c r="FY697" s="554"/>
      <c r="FZ697" s="554"/>
      <c r="GA697" s="554"/>
      <c r="GB697" s="556"/>
      <c r="GC697" s="370"/>
      <c r="GD697" s="453"/>
      <c r="GE697" s="453"/>
      <c r="GF697" s="453"/>
      <c r="GG697" s="453"/>
      <c r="GH697" s="454"/>
      <c r="GI697" s="453"/>
      <c r="GJ697" s="453"/>
      <c r="GK697" s="453"/>
      <c r="GL697" s="453"/>
      <c r="GM697" s="453"/>
      <c r="GN697" s="453"/>
      <c r="GO697" s="453"/>
      <c r="GP697" s="453"/>
      <c r="GQ697" s="453"/>
      <c r="GR697" s="453"/>
      <c r="GS697" s="561"/>
      <c r="GT697" s="475"/>
      <c r="GU697" s="472"/>
      <c r="GV697" s="453"/>
      <c r="GW697" s="453"/>
      <c r="GX697" s="869"/>
      <c r="GY697" s="870"/>
      <c r="GZ697" s="867"/>
      <c r="HA697" s="868"/>
      <c r="HB697" s="473"/>
      <c r="HC697" s="869"/>
      <c r="HD697" s="870"/>
      <c r="HE697" s="867"/>
      <c r="HF697" s="868"/>
      <c r="HG697" s="473"/>
      <c r="HH697" s="867"/>
      <c r="HI697" s="868"/>
      <c r="HJ697" s="867"/>
      <c r="HK697" s="868"/>
      <c r="HL697" s="370"/>
      <c r="HM697" s="865"/>
      <c r="HN697" s="866"/>
      <c r="HO697" s="865"/>
      <c r="HP697" s="866"/>
      <c r="HQ697" s="865"/>
      <c r="HR697" s="866"/>
      <c r="HS697" s="867"/>
      <c r="HT697" s="868"/>
      <c r="HU697" s="489"/>
      <c r="HV697" s="865"/>
      <c r="HW697" s="866"/>
    </row>
    <row r="698" spans="25:231" ht="15" customHeight="1">
      <c r="Y698" s="332"/>
      <c r="Z698" s="332"/>
      <c r="AA698" s="332"/>
      <c r="AB698" s="332"/>
      <c r="AC698" s="332"/>
      <c r="AD698" s="332"/>
      <c r="AE698" s="332"/>
      <c r="AF698" s="332"/>
      <c r="AG698" s="332"/>
      <c r="AH698" s="332"/>
      <c r="AI698" s="332"/>
      <c r="AJ698" s="332"/>
      <c r="AK698" s="332"/>
      <c r="AL698" s="332"/>
      <c r="AM698" s="332"/>
      <c r="AN698" s="332"/>
      <c r="AO698" s="332"/>
      <c r="AP698" s="332"/>
      <c r="AQ698" s="332"/>
      <c r="AR698" s="332"/>
      <c r="AS698" s="332"/>
      <c r="AT698" s="332"/>
      <c r="AU698" s="332"/>
      <c r="AV698" s="332"/>
      <c r="AW698" s="332"/>
      <c r="AX698" s="332"/>
      <c r="AY698" s="332"/>
      <c r="AZ698" s="332"/>
      <c r="BA698" s="332"/>
      <c r="BB698" s="332"/>
      <c r="BC698" s="332"/>
      <c r="BD698" s="332"/>
      <c r="BE698" s="332"/>
      <c r="BF698" s="332"/>
      <c r="BG698" s="332"/>
      <c r="BH698" s="332"/>
      <c r="BI698" s="332"/>
      <c r="BJ698" s="332"/>
      <c r="BK698" s="332"/>
      <c r="BL698" s="332"/>
      <c r="BM698" s="332"/>
      <c r="BN698" s="332"/>
      <c r="BO698" s="332"/>
      <c r="BP698" s="332"/>
      <c r="BQ698" s="332"/>
      <c r="BR698" s="332"/>
      <c r="BS698" s="332"/>
      <c r="BT698" s="332"/>
      <c r="BU698" s="332"/>
      <c r="BV698" s="332"/>
      <c r="BW698" s="332"/>
      <c r="BX698" s="332"/>
      <c r="BY698" s="332"/>
      <c r="BZ698" s="332"/>
      <c r="CA698" s="332"/>
      <c r="CB698" s="332"/>
      <c r="CC698" s="332"/>
      <c r="CD698" s="332"/>
      <c r="CE698" s="332"/>
      <c r="CF698" s="332"/>
      <c r="CG698" s="332"/>
      <c r="CH698" s="332"/>
      <c r="CI698" s="332"/>
      <c r="CJ698" s="332"/>
      <c r="CK698" s="332"/>
      <c r="CL698" s="332"/>
      <c r="CM698" s="332"/>
      <c r="CN698" s="332"/>
      <c r="CO698" s="332"/>
      <c r="CP698" s="332"/>
      <c r="CQ698" s="332"/>
      <c r="CR698" s="332"/>
      <c r="CS698" s="332"/>
      <c r="CT698" s="332"/>
      <c r="CU698" s="332"/>
      <c r="CV698" s="332"/>
      <c r="CW698" s="332"/>
      <c r="CX698" s="332"/>
      <c r="CY698" s="332"/>
      <c r="CZ698" s="332"/>
      <c r="DA698" s="332"/>
      <c r="DB698" s="332"/>
      <c r="DC698" s="332"/>
      <c r="DD698" s="332"/>
      <c r="DE698" s="332"/>
      <c r="DF698" s="332"/>
      <c r="DG698" s="332"/>
      <c r="DH698" s="332"/>
      <c r="DI698" s="332"/>
      <c r="DJ698" s="332"/>
      <c r="DK698" s="332"/>
      <c r="DL698" s="332"/>
      <c r="DM698" s="332"/>
      <c r="DN698" s="332"/>
      <c r="DO698" s="332"/>
      <c r="DP698" s="332"/>
      <c r="DQ698" s="332"/>
      <c r="DR698" s="332"/>
      <c r="DS698" s="332"/>
      <c r="DT698" s="332"/>
      <c r="DU698" s="453"/>
      <c r="DV698" s="453"/>
      <c r="DW698" s="453"/>
      <c r="DX698" s="453"/>
      <c r="DY698" s="453"/>
      <c r="DZ698" s="453"/>
      <c r="EA698" s="453"/>
      <c r="EB698" s="453"/>
      <c r="EC698" s="453"/>
      <c r="ED698" s="453"/>
      <c r="EE698" s="453"/>
      <c r="EF698" s="453"/>
      <c r="EG698" s="453"/>
      <c r="EH698" s="453"/>
      <c r="EI698" s="453"/>
      <c r="EJ698" s="453"/>
      <c r="EK698" s="453"/>
      <c r="EL698" s="453"/>
      <c r="EM698" s="483">
        <f t="shared" si="230"/>
        <v>389</v>
      </c>
      <c r="EN698" s="485"/>
      <c r="EO698" s="458"/>
      <c r="EP698" s="467"/>
      <c r="EQ698" s="457"/>
      <c r="ER698" s="808"/>
      <c r="ES698" s="881">
        <f t="shared" si="228"/>
        <v>0</v>
      </c>
      <c r="ET698" s="882"/>
      <c r="EU698" s="883"/>
      <c r="EV698" s="884">
        <f t="shared" si="229"/>
        <v>0</v>
      </c>
      <c r="EW698" s="885"/>
      <c r="EX698" s="885"/>
      <c r="EY698" s="885"/>
      <c r="EZ698" s="885"/>
      <c r="FA698" s="885"/>
      <c r="FB698" s="885"/>
      <c r="FC698" s="885"/>
      <c r="FD698" s="886"/>
      <c r="FE698" s="878"/>
      <c r="FF698" s="878"/>
      <c r="FG698" s="878"/>
      <c r="FH698" s="878"/>
      <c r="FI698" s="878"/>
      <c r="FJ698" s="878"/>
      <c r="FK698" s="878"/>
      <c r="FL698" s="555"/>
      <c r="FM698" s="554"/>
      <c r="FN698" s="554"/>
      <c r="FO698" s="554"/>
      <c r="FP698" s="554"/>
      <c r="FQ698" s="554"/>
      <c r="FR698" s="554"/>
      <c r="FS698" s="554"/>
      <c r="FT698" s="554"/>
      <c r="FU698" s="554"/>
      <c r="FV698" s="554"/>
      <c r="FW698" s="554"/>
      <c r="FX698" s="554"/>
      <c r="FY698" s="554"/>
      <c r="FZ698" s="554"/>
      <c r="GA698" s="554"/>
      <c r="GB698" s="556"/>
      <c r="GC698" s="370"/>
      <c r="GD698" s="453"/>
      <c r="GE698" s="453"/>
      <c r="GF698" s="453"/>
      <c r="GG698" s="453"/>
      <c r="GH698" s="454"/>
      <c r="GI698" s="453"/>
      <c r="GJ698" s="453"/>
      <c r="GK698" s="453"/>
      <c r="GL698" s="453"/>
      <c r="GM698" s="453"/>
      <c r="GN698" s="453"/>
      <c r="GO698" s="453"/>
      <c r="GP698" s="453"/>
      <c r="GQ698" s="453"/>
      <c r="GR698" s="453"/>
      <c r="GS698" s="561"/>
      <c r="GT698" s="475"/>
      <c r="GU698" s="472"/>
      <c r="GV698" s="453"/>
      <c r="GW698" s="453"/>
      <c r="GX698" s="869"/>
      <c r="GY698" s="870"/>
      <c r="GZ698" s="867"/>
      <c r="HA698" s="868"/>
      <c r="HB698" s="473"/>
      <c r="HC698" s="869"/>
      <c r="HD698" s="870"/>
      <c r="HE698" s="867"/>
      <c r="HF698" s="868"/>
      <c r="HG698" s="473"/>
      <c r="HH698" s="867"/>
      <c r="HI698" s="868"/>
      <c r="HJ698" s="867"/>
      <c r="HK698" s="868"/>
      <c r="HL698" s="370"/>
      <c r="HM698" s="865"/>
      <c r="HN698" s="866"/>
      <c r="HO698" s="865"/>
      <c r="HP698" s="866"/>
      <c r="HQ698" s="865"/>
      <c r="HR698" s="866"/>
      <c r="HS698" s="867"/>
      <c r="HT698" s="868"/>
      <c r="HU698" s="489"/>
      <c r="HV698" s="865"/>
      <c r="HW698" s="866"/>
    </row>
    <row r="699" spans="25:231" ht="15" customHeight="1">
      <c r="Y699" s="332"/>
      <c r="Z699" s="332"/>
      <c r="AA699" s="332"/>
      <c r="AB699" s="332"/>
      <c r="AC699" s="332"/>
      <c r="AD699" s="332"/>
      <c r="AE699" s="332"/>
      <c r="AF699" s="332"/>
      <c r="AG699" s="332"/>
      <c r="AH699" s="332"/>
      <c r="AI699" s="332"/>
      <c r="AJ699" s="332"/>
      <c r="AK699" s="332"/>
      <c r="AL699" s="332"/>
      <c r="AM699" s="332"/>
      <c r="AN699" s="332"/>
      <c r="AO699" s="332"/>
      <c r="AP699" s="332"/>
      <c r="AQ699" s="332"/>
      <c r="AR699" s="332"/>
      <c r="AS699" s="332"/>
      <c r="AT699" s="332"/>
      <c r="AU699" s="332"/>
      <c r="AV699" s="332"/>
      <c r="AW699" s="332"/>
      <c r="AX699" s="332"/>
      <c r="AY699" s="332"/>
      <c r="AZ699" s="332"/>
      <c r="BA699" s="332"/>
      <c r="BB699" s="332"/>
      <c r="BC699" s="332"/>
      <c r="BD699" s="332"/>
      <c r="BE699" s="332"/>
      <c r="BF699" s="332"/>
      <c r="BG699" s="332"/>
      <c r="BH699" s="332"/>
      <c r="BI699" s="332"/>
      <c r="BJ699" s="332"/>
      <c r="BK699" s="332"/>
      <c r="BL699" s="332"/>
      <c r="BM699" s="332"/>
      <c r="BN699" s="332"/>
      <c r="BO699" s="332"/>
      <c r="BP699" s="332"/>
      <c r="BQ699" s="332"/>
      <c r="BR699" s="332"/>
      <c r="BS699" s="332"/>
      <c r="BT699" s="332"/>
      <c r="BU699" s="332"/>
      <c r="BV699" s="332"/>
      <c r="BW699" s="332"/>
      <c r="BX699" s="332"/>
      <c r="BY699" s="332"/>
      <c r="BZ699" s="332"/>
      <c r="CA699" s="332"/>
      <c r="CB699" s="332"/>
      <c r="CC699" s="332"/>
      <c r="CD699" s="332"/>
      <c r="CE699" s="332"/>
      <c r="CF699" s="332"/>
      <c r="CG699" s="332"/>
      <c r="CH699" s="332"/>
      <c r="CI699" s="332"/>
      <c r="CJ699" s="332"/>
      <c r="CK699" s="332"/>
      <c r="CL699" s="332"/>
      <c r="CM699" s="332"/>
      <c r="CN699" s="332"/>
      <c r="CO699" s="332"/>
      <c r="CP699" s="332"/>
      <c r="CQ699" s="332"/>
      <c r="CR699" s="332"/>
      <c r="CS699" s="332"/>
      <c r="CT699" s="332"/>
      <c r="CU699" s="332"/>
      <c r="CV699" s="332"/>
      <c r="CW699" s="332"/>
      <c r="CX699" s="332"/>
      <c r="CY699" s="332"/>
      <c r="CZ699" s="332"/>
      <c r="DA699" s="332"/>
      <c r="DB699" s="332"/>
      <c r="DC699" s="332"/>
      <c r="DD699" s="332"/>
      <c r="DE699" s="332"/>
      <c r="DF699" s="332"/>
      <c r="DG699" s="332"/>
      <c r="DH699" s="332"/>
      <c r="DI699" s="332"/>
      <c r="DJ699" s="332"/>
      <c r="DK699" s="332"/>
      <c r="DL699" s="332"/>
      <c r="DM699" s="332"/>
      <c r="DN699" s="332"/>
      <c r="DO699" s="332"/>
      <c r="DP699" s="332"/>
      <c r="DQ699" s="332"/>
      <c r="DR699" s="332"/>
      <c r="DS699" s="332"/>
      <c r="DT699" s="332"/>
      <c r="DU699" s="453"/>
      <c r="DV699" s="453"/>
      <c r="DW699" s="453"/>
      <c r="DX699" s="453"/>
      <c r="DY699" s="453"/>
      <c r="DZ699" s="453"/>
      <c r="EA699" s="453"/>
      <c r="EB699" s="453"/>
      <c r="EC699" s="453"/>
      <c r="ED699" s="453"/>
      <c r="EE699" s="453"/>
      <c r="EF699" s="453"/>
      <c r="EG699" s="453"/>
      <c r="EH699" s="453"/>
      <c r="EI699" s="453"/>
      <c r="EJ699" s="453"/>
      <c r="EK699" s="453"/>
      <c r="EL699" s="453"/>
      <c r="EM699" s="483">
        <f t="shared" si="230"/>
        <v>390</v>
      </c>
      <c r="EN699" s="485"/>
      <c r="EO699" s="458"/>
      <c r="EP699" s="467"/>
      <c r="EQ699" s="457"/>
      <c r="ER699" s="808"/>
      <c r="ES699" s="881">
        <f t="shared" si="228"/>
        <v>0</v>
      </c>
      <c r="ET699" s="882"/>
      <c r="EU699" s="883"/>
      <c r="EV699" s="884">
        <f t="shared" si="229"/>
        <v>0</v>
      </c>
      <c r="EW699" s="885"/>
      <c r="EX699" s="885"/>
      <c r="EY699" s="885"/>
      <c r="EZ699" s="885"/>
      <c r="FA699" s="885"/>
      <c r="FB699" s="885"/>
      <c r="FC699" s="885"/>
      <c r="FD699" s="886"/>
      <c r="FE699" s="878"/>
      <c r="FF699" s="878"/>
      <c r="FG699" s="878"/>
      <c r="FH699" s="878"/>
      <c r="FI699" s="878"/>
      <c r="FJ699" s="878"/>
      <c r="FK699" s="878"/>
      <c r="FL699" s="555"/>
      <c r="FM699" s="554"/>
      <c r="FN699" s="554"/>
      <c r="FO699" s="554"/>
      <c r="FP699" s="554"/>
      <c r="FQ699" s="554"/>
      <c r="FR699" s="554"/>
      <c r="FS699" s="554"/>
      <c r="FT699" s="554"/>
      <c r="FU699" s="554"/>
      <c r="FV699" s="554"/>
      <c r="FW699" s="554"/>
      <c r="FX699" s="554"/>
      <c r="FY699" s="554"/>
      <c r="FZ699" s="554"/>
      <c r="GA699" s="554"/>
      <c r="GB699" s="556"/>
      <c r="GC699" s="370"/>
      <c r="GD699" s="453"/>
      <c r="GE699" s="453"/>
      <c r="GF699" s="453"/>
      <c r="GG699" s="453"/>
      <c r="GH699" s="454"/>
      <c r="GI699" s="453"/>
      <c r="GJ699" s="453"/>
      <c r="GK699" s="453"/>
      <c r="GL699" s="453"/>
      <c r="GM699" s="453"/>
      <c r="GN699" s="453"/>
      <c r="GO699" s="453"/>
      <c r="GP699" s="453"/>
      <c r="GQ699" s="453"/>
      <c r="GR699" s="453"/>
      <c r="GS699" s="561"/>
      <c r="GT699" s="475"/>
      <c r="GU699" s="472"/>
      <c r="GV699" s="453"/>
      <c r="GW699" s="453"/>
      <c r="GX699" s="869"/>
      <c r="GY699" s="870"/>
      <c r="GZ699" s="867"/>
      <c r="HA699" s="868"/>
      <c r="HB699" s="473"/>
      <c r="HC699" s="869"/>
      <c r="HD699" s="870"/>
      <c r="HE699" s="867"/>
      <c r="HF699" s="868"/>
      <c r="HG699" s="473"/>
      <c r="HH699" s="867"/>
      <c r="HI699" s="868"/>
      <c r="HJ699" s="867"/>
      <c r="HK699" s="868"/>
      <c r="HL699" s="370"/>
      <c r="HM699" s="865"/>
      <c r="HN699" s="866"/>
      <c r="HO699" s="865"/>
      <c r="HP699" s="866"/>
      <c r="HQ699" s="865"/>
      <c r="HR699" s="866"/>
      <c r="HS699" s="867"/>
      <c r="HT699" s="868"/>
      <c r="HU699" s="489"/>
      <c r="HV699" s="865"/>
      <c r="HW699" s="866"/>
    </row>
    <row r="700" spans="25:231" ht="15" customHeight="1">
      <c r="Y700" s="332"/>
      <c r="Z700" s="332"/>
      <c r="AA700" s="332"/>
      <c r="AB700" s="332"/>
      <c r="AC700" s="332"/>
      <c r="AD700" s="332"/>
      <c r="AE700" s="332"/>
      <c r="AF700" s="332"/>
      <c r="AG700" s="332"/>
      <c r="AH700" s="332"/>
      <c r="AI700" s="332"/>
      <c r="AJ700" s="332"/>
      <c r="AK700" s="332"/>
      <c r="AL700" s="332"/>
      <c r="AM700" s="332"/>
      <c r="AN700" s="332"/>
      <c r="AO700" s="332"/>
      <c r="AP700" s="332"/>
      <c r="AQ700" s="332"/>
      <c r="AR700" s="332"/>
      <c r="AS700" s="332"/>
      <c r="AT700" s="332"/>
      <c r="AU700" s="332"/>
      <c r="AV700" s="332"/>
      <c r="AW700" s="332"/>
      <c r="AX700" s="332"/>
      <c r="AY700" s="332"/>
      <c r="AZ700" s="332"/>
      <c r="BA700" s="332"/>
      <c r="BB700" s="332"/>
      <c r="BC700" s="332"/>
      <c r="BD700" s="332"/>
      <c r="BE700" s="332"/>
      <c r="BF700" s="332"/>
      <c r="BG700" s="332"/>
      <c r="BH700" s="332"/>
      <c r="BI700" s="332"/>
      <c r="BJ700" s="332"/>
      <c r="BK700" s="332"/>
      <c r="BL700" s="332"/>
      <c r="BM700" s="332"/>
      <c r="BN700" s="332"/>
      <c r="BO700" s="332"/>
      <c r="BP700" s="332"/>
      <c r="BQ700" s="332"/>
      <c r="BR700" s="332"/>
      <c r="BS700" s="332"/>
      <c r="BT700" s="332"/>
      <c r="BU700" s="332"/>
      <c r="BV700" s="332"/>
      <c r="BW700" s="332"/>
      <c r="BX700" s="332"/>
      <c r="BY700" s="332"/>
      <c r="BZ700" s="332"/>
      <c r="CA700" s="332"/>
      <c r="CB700" s="332"/>
      <c r="CC700" s="332"/>
      <c r="CD700" s="332"/>
      <c r="CE700" s="332"/>
      <c r="CF700" s="332"/>
      <c r="CG700" s="332"/>
      <c r="CH700" s="332"/>
      <c r="CI700" s="332"/>
      <c r="CJ700" s="332"/>
      <c r="CK700" s="332"/>
      <c r="CL700" s="332"/>
      <c r="CM700" s="332"/>
      <c r="CN700" s="332"/>
      <c r="CO700" s="332"/>
      <c r="CP700" s="332"/>
      <c r="CQ700" s="332"/>
      <c r="CR700" s="332"/>
      <c r="CS700" s="332"/>
      <c r="CT700" s="332"/>
      <c r="CU700" s="332"/>
      <c r="CV700" s="332"/>
      <c r="CW700" s="332"/>
      <c r="CX700" s="332"/>
      <c r="CY700" s="332"/>
      <c r="CZ700" s="332"/>
      <c r="DA700" s="332"/>
      <c r="DB700" s="332"/>
      <c r="DC700" s="332"/>
      <c r="DD700" s="332"/>
      <c r="DE700" s="332"/>
      <c r="DF700" s="332"/>
      <c r="DG700" s="332"/>
      <c r="DH700" s="332"/>
      <c r="DI700" s="332"/>
      <c r="DJ700" s="332"/>
      <c r="DK700" s="332"/>
      <c r="DL700" s="332"/>
      <c r="DM700" s="332"/>
      <c r="DN700" s="332"/>
      <c r="DO700" s="332"/>
      <c r="DP700" s="332"/>
      <c r="DQ700" s="332"/>
      <c r="DR700" s="332"/>
      <c r="DS700" s="332"/>
      <c r="DT700" s="332"/>
      <c r="DU700" s="453"/>
      <c r="DV700" s="453"/>
      <c r="DW700" s="453"/>
      <c r="DX700" s="453"/>
      <c r="DY700" s="453"/>
      <c r="DZ700" s="453"/>
      <c r="EA700" s="453"/>
      <c r="EB700" s="453"/>
      <c r="EC700" s="453"/>
      <c r="ED700" s="453"/>
      <c r="EE700" s="453"/>
      <c r="EF700" s="453"/>
      <c r="EG700" s="453"/>
      <c r="EH700" s="453"/>
      <c r="EI700" s="453"/>
      <c r="EJ700" s="453"/>
      <c r="EK700" s="453"/>
      <c r="EL700" s="453"/>
      <c r="EM700" s="483">
        <f t="shared" si="230"/>
        <v>391</v>
      </c>
      <c r="EN700" s="485"/>
      <c r="EO700" s="458"/>
      <c r="EP700" s="467"/>
      <c r="EQ700" s="457"/>
      <c r="ER700" s="808"/>
      <c r="ES700" s="881">
        <f t="shared" si="228"/>
        <v>0</v>
      </c>
      <c r="ET700" s="882"/>
      <c r="EU700" s="883"/>
      <c r="EV700" s="884">
        <f t="shared" si="229"/>
        <v>0</v>
      </c>
      <c r="EW700" s="885"/>
      <c r="EX700" s="885"/>
      <c r="EY700" s="885"/>
      <c r="EZ700" s="885"/>
      <c r="FA700" s="885"/>
      <c r="FB700" s="885"/>
      <c r="FC700" s="885"/>
      <c r="FD700" s="886"/>
      <c r="FE700" s="878"/>
      <c r="FF700" s="878"/>
      <c r="FG700" s="878"/>
      <c r="FH700" s="878"/>
      <c r="FI700" s="878"/>
      <c r="FJ700" s="878"/>
      <c r="FK700" s="878"/>
      <c r="FL700" s="555"/>
      <c r="FM700" s="554"/>
      <c r="FN700" s="554"/>
      <c r="FO700" s="554"/>
      <c r="FP700" s="554"/>
      <c r="FQ700" s="554"/>
      <c r="FR700" s="554"/>
      <c r="FS700" s="554"/>
      <c r="FT700" s="554"/>
      <c r="FU700" s="554"/>
      <c r="FV700" s="554"/>
      <c r="FW700" s="554"/>
      <c r="FX700" s="554"/>
      <c r="FY700" s="554"/>
      <c r="FZ700" s="554"/>
      <c r="GA700" s="554"/>
      <c r="GB700" s="556"/>
      <c r="GC700" s="370"/>
      <c r="GD700" s="453"/>
      <c r="GE700" s="453"/>
      <c r="GF700" s="453"/>
      <c r="GG700" s="453"/>
      <c r="GH700" s="454"/>
      <c r="GI700" s="453"/>
      <c r="GJ700" s="453"/>
      <c r="GK700" s="453"/>
      <c r="GL700" s="453"/>
      <c r="GM700" s="453"/>
      <c r="GN700" s="453"/>
      <c r="GO700" s="453"/>
      <c r="GP700" s="453"/>
      <c r="GQ700" s="453"/>
      <c r="GR700" s="453"/>
      <c r="GS700" s="561"/>
      <c r="GT700" s="475"/>
      <c r="GU700" s="472"/>
      <c r="GV700" s="453"/>
      <c r="GW700" s="453"/>
      <c r="GX700" s="869"/>
      <c r="GY700" s="870"/>
      <c r="GZ700" s="867"/>
      <c r="HA700" s="868"/>
      <c r="HB700" s="473"/>
      <c r="HC700" s="869"/>
      <c r="HD700" s="870"/>
      <c r="HE700" s="867"/>
      <c r="HF700" s="868"/>
      <c r="HG700" s="473"/>
      <c r="HH700" s="867"/>
      <c r="HI700" s="868"/>
      <c r="HJ700" s="867"/>
      <c r="HK700" s="868"/>
      <c r="HL700" s="370"/>
      <c r="HM700" s="865"/>
      <c r="HN700" s="866"/>
      <c r="HO700" s="865"/>
      <c r="HP700" s="866"/>
      <c r="HQ700" s="865"/>
      <c r="HR700" s="866"/>
      <c r="HS700" s="867"/>
      <c r="HT700" s="868"/>
      <c r="HU700" s="489"/>
      <c r="HV700" s="865"/>
      <c r="HW700" s="866"/>
    </row>
    <row r="701" spans="25:231" ht="15" customHeight="1">
      <c r="Y701" s="332"/>
      <c r="Z701" s="332"/>
      <c r="AA701" s="332"/>
      <c r="AB701" s="332"/>
      <c r="AC701" s="332"/>
      <c r="AD701" s="332"/>
      <c r="AE701" s="332"/>
      <c r="AF701" s="332"/>
      <c r="AG701" s="332"/>
      <c r="AH701" s="332"/>
      <c r="AI701" s="332"/>
      <c r="AJ701" s="332"/>
      <c r="AK701" s="332"/>
      <c r="AL701" s="332"/>
      <c r="AM701" s="332"/>
      <c r="AN701" s="332"/>
      <c r="AO701" s="332"/>
      <c r="AP701" s="332"/>
      <c r="AQ701" s="332"/>
      <c r="AR701" s="332"/>
      <c r="AS701" s="332"/>
      <c r="AT701" s="332"/>
      <c r="AU701" s="332"/>
      <c r="AV701" s="332"/>
      <c r="AW701" s="332"/>
      <c r="AX701" s="332"/>
      <c r="AY701" s="332"/>
      <c r="AZ701" s="332"/>
      <c r="BA701" s="332"/>
      <c r="BB701" s="332"/>
      <c r="BC701" s="332"/>
      <c r="BD701" s="332"/>
      <c r="BE701" s="332"/>
      <c r="BF701" s="332"/>
      <c r="BG701" s="332"/>
      <c r="BH701" s="332"/>
      <c r="BI701" s="332"/>
      <c r="BJ701" s="332"/>
      <c r="BK701" s="332"/>
      <c r="BL701" s="332"/>
      <c r="BM701" s="332"/>
      <c r="BN701" s="332"/>
      <c r="BO701" s="332"/>
      <c r="BP701" s="332"/>
      <c r="BQ701" s="332"/>
      <c r="BR701" s="332"/>
      <c r="BS701" s="332"/>
      <c r="BT701" s="332"/>
      <c r="BU701" s="332"/>
      <c r="BV701" s="332"/>
      <c r="BW701" s="332"/>
      <c r="BX701" s="332"/>
      <c r="BY701" s="332"/>
      <c r="BZ701" s="332"/>
      <c r="CA701" s="332"/>
      <c r="CB701" s="332"/>
      <c r="CC701" s="332"/>
      <c r="CD701" s="332"/>
      <c r="CE701" s="332"/>
      <c r="CF701" s="332"/>
      <c r="CG701" s="332"/>
      <c r="CH701" s="332"/>
      <c r="CI701" s="332"/>
      <c r="CJ701" s="332"/>
      <c r="CK701" s="332"/>
      <c r="CL701" s="332"/>
      <c r="CM701" s="332"/>
      <c r="CN701" s="332"/>
      <c r="CO701" s="332"/>
      <c r="CP701" s="332"/>
      <c r="CQ701" s="332"/>
      <c r="CR701" s="332"/>
      <c r="CS701" s="332"/>
      <c r="CT701" s="332"/>
      <c r="CU701" s="332"/>
      <c r="CV701" s="332"/>
      <c r="CW701" s="332"/>
      <c r="CX701" s="332"/>
      <c r="CY701" s="332"/>
      <c r="CZ701" s="332"/>
      <c r="DA701" s="332"/>
      <c r="DB701" s="332"/>
      <c r="DC701" s="332"/>
      <c r="DD701" s="332"/>
      <c r="DE701" s="332"/>
      <c r="DF701" s="332"/>
      <c r="DG701" s="332"/>
      <c r="DH701" s="332"/>
      <c r="DI701" s="332"/>
      <c r="DJ701" s="332"/>
      <c r="DK701" s="332"/>
      <c r="DL701" s="332"/>
      <c r="DM701" s="332"/>
      <c r="DN701" s="332"/>
      <c r="DO701" s="332"/>
      <c r="DP701" s="332"/>
      <c r="DQ701" s="332"/>
      <c r="DR701" s="332"/>
      <c r="DS701" s="332"/>
      <c r="DT701" s="332"/>
      <c r="DU701" s="453"/>
      <c r="DV701" s="453"/>
      <c r="DW701" s="453"/>
      <c r="DX701" s="453"/>
      <c r="DY701" s="453"/>
      <c r="DZ701" s="453"/>
      <c r="EA701" s="453"/>
      <c r="EB701" s="453"/>
      <c r="EC701" s="453"/>
      <c r="ED701" s="453"/>
      <c r="EE701" s="453"/>
      <c r="EF701" s="453"/>
      <c r="EG701" s="453"/>
      <c r="EH701" s="453"/>
      <c r="EI701" s="453"/>
      <c r="EJ701" s="453"/>
      <c r="EK701" s="453"/>
      <c r="EL701" s="453"/>
      <c r="EM701" s="483">
        <f t="shared" si="230"/>
        <v>392</v>
      </c>
      <c r="EN701" s="485"/>
      <c r="EO701" s="458"/>
      <c r="EP701" s="467"/>
      <c r="EQ701" s="457"/>
      <c r="ER701" s="808"/>
      <c r="ES701" s="881">
        <f t="shared" ref="ES701:ES764" si="231">IF(OR(EO701 = "", EP701 = 0, EP701 = "", EQ701 = 0, EQ701 = "", ER701 = 0, ER701 = ""), 0,
IF(EO701 &lt;&gt; "ACCION", EP701 * ER701 * -100,  EP701 * ER701 * -1))</f>
        <v>0</v>
      </c>
      <c r="ET701" s="882"/>
      <c r="EU701" s="883"/>
      <c r="EV701" s="884">
        <f t="shared" si="229"/>
        <v>0</v>
      </c>
      <c r="EW701" s="885"/>
      <c r="EX701" s="885"/>
      <c r="EY701" s="885"/>
      <c r="EZ701" s="885"/>
      <c r="FA701" s="885"/>
      <c r="FB701" s="885"/>
      <c r="FC701" s="885"/>
      <c r="FD701" s="886"/>
      <c r="FE701" s="878"/>
      <c r="FF701" s="878"/>
      <c r="FG701" s="878"/>
      <c r="FH701" s="878"/>
      <c r="FI701" s="878"/>
      <c r="FJ701" s="878"/>
      <c r="FK701" s="878"/>
      <c r="FL701" s="555"/>
      <c r="FM701" s="554"/>
      <c r="FN701" s="554"/>
      <c r="FO701" s="554"/>
      <c r="FP701" s="554"/>
      <c r="FQ701" s="554"/>
      <c r="FR701" s="554"/>
      <c r="FS701" s="554"/>
      <c r="FT701" s="554"/>
      <c r="FU701" s="554"/>
      <c r="FV701" s="554"/>
      <c r="FW701" s="554"/>
      <c r="FX701" s="554"/>
      <c r="FY701" s="554"/>
      <c r="FZ701" s="554"/>
      <c r="GA701" s="554"/>
      <c r="GB701" s="556"/>
      <c r="GC701" s="370"/>
      <c r="GD701" s="453"/>
      <c r="GE701" s="453"/>
      <c r="GF701" s="453"/>
      <c r="GG701" s="453"/>
      <c r="GH701" s="454"/>
      <c r="GI701" s="453"/>
      <c r="GJ701" s="453"/>
      <c r="GK701" s="453"/>
      <c r="GL701" s="453"/>
      <c r="GM701" s="453"/>
      <c r="GN701" s="453"/>
      <c r="GO701" s="453"/>
      <c r="GP701" s="453"/>
      <c r="GQ701" s="453"/>
      <c r="GR701" s="453"/>
      <c r="GS701" s="561"/>
      <c r="GT701" s="475"/>
      <c r="GU701" s="472"/>
      <c r="GV701" s="453"/>
      <c r="GW701" s="453"/>
      <c r="GX701" s="869"/>
      <c r="GY701" s="870"/>
      <c r="GZ701" s="867"/>
      <c r="HA701" s="868"/>
      <c r="HB701" s="473"/>
      <c r="HC701" s="869"/>
      <c r="HD701" s="870"/>
      <c r="HE701" s="867"/>
      <c r="HF701" s="868"/>
      <c r="HG701" s="473"/>
      <c r="HH701" s="867"/>
      <c r="HI701" s="868"/>
      <c r="HJ701" s="867"/>
      <c r="HK701" s="868"/>
      <c r="HL701" s="370"/>
      <c r="HM701" s="865"/>
      <c r="HN701" s="866"/>
      <c r="HO701" s="865"/>
      <c r="HP701" s="866"/>
      <c r="HQ701" s="865"/>
      <c r="HR701" s="866"/>
      <c r="HS701" s="867"/>
      <c r="HT701" s="868"/>
      <c r="HU701" s="489"/>
      <c r="HV701" s="865"/>
      <c r="HW701" s="866"/>
    </row>
    <row r="702" spans="25:231" ht="15" customHeight="1">
      <c r="Y702" s="332"/>
      <c r="Z702" s="332"/>
      <c r="AA702" s="332"/>
      <c r="AB702" s="332"/>
      <c r="AC702" s="332"/>
      <c r="AD702" s="332"/>
      <c r="AE702" s="332"/>
      <c r="AF702" s="332"/>
      <c r="AG702" s="332"/>
      <c r="AH702" s="332"/>
      <c r="AI702" s="332"/>
      <c r="AJ702" s="332"/>
      <c r="AK702" s="332"/>
      <c r="AL702" s="332"/>
      <c r="AM702" s="332"/>
      <c r="AN702" s="332"/>
      <c r="AO702" s="332"/>
      <c r="AP702" s="332"/>
      <c r="AQ702" s="332"/>
      <c r="AR702" s="332"/>
      <c r="AS702" s="332"/>
      <c r="AT702" s="332"/>
      <c r="AU702" s="332"/>
      <c r="AV702" s="332"/>
      <c r="AW702" s="332"/>
      <c r="AX702" s="332"/>
      <c r="AY702" s="332"/>
      <c r="AZ702" s="332"/>
      <c r="BA702" s="332"/>
      <c r="BB702" s="332"/>
      <c r="BC702" s="332"/>
      <c r="BD702" s="332"/>
      <c r="BE702" s="332"/>
      <c r="BF702" s="332"/>
      <c r="BG702" s="332"/>
      <c r="BH702" s="332"/>
      <c r="BI702" s="332"/>
      <c r="BJ702" s="332"/>
      <c r="BK702" s="332"/>
      <c r="BL702" s="332"/>
      <c r="BM702" s="332"/>
      <c r="BN702" s="332"/>
      <c r="BO702" s="332"/>
      <c r="BP702" s="332"/>
      <c r="BQ702" s="332"/>
      <c r="BR702" s="332"/>
      <c r="BS702" s="332"/>
      <c r="BT702" s="332"/>
      <c r="BU702" s="332"/>
      <c r="BV702" s="332"/>
      <c r="BW702" s="332"/>
      <c r="BX702" s="332"/>
      <c r="BY702" s="332"/>
      <c r="BZ702" s="332"/>
      <c r="CA702" s="332"/>
      <c r="CB702" s="332"/>
      <c r="CC702" s="332"/>
      <c r="CD702" s="332"/>
      <c r="CE702" s="332"/>
      <c r="CF702" s="332"/>
      <c r="CG702" s="332"/>
      <c r="CH702" s="332"/>
      <c r="CI702" s="332"/>
      <c r="CJ702" s="332"/>
      <c r="CK702" s="332"/>
      <c r="CL702" s="332"/>
      <c r="CM702" s="332"/>
      <c r="CN702" s="332"/>
      <c r="CO702" s="332"/>
      <c r="CP702" s="332"/>
      <c r="CQ702" s="332"/>
      <c r="CR702" s="332"/>
      <c r="CS702" s="332"/>
      <c r="CT702" s="332"/>
      <c r="CU702" s="332"/>
      <c r="CV702" s="332"/>
      <c r="CW702" s="332"/>
      <c r="CX702" s="332"/>
      <c r="CY702" s="332"/>
      <c r="CZ702" s="332"/>
      <c r="DA702" s="332"/>
      <c r="DB702" s="332"/>
      <c r="DC702" s="332"/>
      <c r="DD702" s="332"/>
      <c r="DE702" s="332"/>
      <c r="DF702" s="332"/>
      <c r="DG702" s="332"/>
      <c r="DH702" s="332"/>
      <c r="DI702" s="332"/>
      <c r="DJ702" s="332"/>
      <c r="DK702" s="332"/>
      <c r="DL702" s="332"/>
      <c r="DM702" s="332"/>
      <c r="DN702" s="332"/>
      <c r="DO702" s="332"/>
      <c r="DP702" s="332"/>
      <c r="DQ702" s="332"/>
      <c r="DR702" s="332"/>
      <c r="DS702" s="332"/>
      <c r="DT702" s="332"/>
      <c r="DU702" s="453"/>
      <c r="DV702" s="453"/>
      <c r="DW702" s="453"/>
      <c r="DX702" s="453"/>
      <c r="DY702" s="453"/>
      <c r="DZ702" s="453"/>
      <c r="EA702" s="453"/>
      <c r="EB702" s="453"/>
      <c r="EC702" s="453"/>
      <c r="ED702" s="453"/>
      <c r="EE702" s="453"/>
      <c r="EF702" s="453"/>
      <c r="EG702" s="453"/>
      <c r="EH702" s="453"/>
      <c r="EI702" s="453"/>
      <c r="EJ702" s="453"/>
      <c r="EK702" s="453"/>
      <c r="EL702" s="453"/>
      <c r="EM702" s="483">
        <f t="shared" si="230"/>
        <v>393</v>
      </c>
      <c r="EN702" s="485"/>
      <c r="EO702" s="458"/>
      <c r="EP702" s="467"/>
      <c r="EQ702" s="457"/>
      <c r="ER702" s="808"/>
      <c r="ES702" s="881">
        <f t="shared" si="231"/>
        <v>0</v>
      </c>
      <c r="ET702" s="882"/>
      <c r="EU702" s="883"/>
      <c r="EV702" s="884">
        <f t="shared" si="229"/>
        <v>0</v>
      </c>
      <c r="EW702" s="885"/>
      <c r="EX702" s="885"/>
      <c r="EY702" s="885"/>
      <c r="EZ702" s="885"/>
      <c r="FA702" s="885"/>
      <c r="FB702" s="885"/>
      <c r="FC702" s="885"/>
      <c r="FD702" s="886"/>
      <c r="FE702" s="878"/>
      <c r="FF702" s="878"/>
      <c r="FG702" s="878"/>
      <c r="FH702" s="878"/>
      <c r="FI702" s="878"/>
      <c r="FJ702" s="878"/>
      <c r="FK702" s="878"/>
      <c r="FL702" s="555"/>
      <c r="FM702" s="554"/>
      <c r="FN702" s="554"/>
      <c r="FO702" s="554"/>
      <c r="FP702" s="554"/>
      <c r="FQ702" s="554"/>
      <c r="FR702" s="554"/>
      <c r="FS702" s="554"/>
      <c r="FT702" s="554"/>
      <c r="FU702" s="554"/>
      <c r="FV702" s="554"/>
      <c r="FW702" s="554"/>
      <c r="FX702" s="554"/>
      <c r="FY702" s="554"/>
      <c r="FZ702" s="554"/>
      <c r="GA702" s="554"/>
      <c r="GB702" s="556"/>
      <c r="GC702" s="370"/>
      <c r="GD702" s="453"/>
      <c r="GE702" s="453"/>
      <c r="GF702" s="453"/>
      <c r="GG702" s="453"/>
      <c r="GH702" s="454"/>
      <c r="GI702" s="453"/>
      <c r="GJ702" s="453"/>
      <c r="GK702" s="453"/>
      <c r="GL702" s="453"/>
      <c r="GM702" s="453"/>
      <c r="GN702" s="453"/>
      <c r="GO702" s="453"/>
      <c r="GP702" s="453"/>
      <c r="GQ702" s="453"/>
      <c r="GR702" s="453"/>
      <c r="GS702" s="561"/>
      <c r="GT702" s="475"/>
      <c r="GU702" s="472"/>
      <c r="GV702" s="453"/>
      <c r="GW702" s="453"/>
      <c r="GX702" s="869"/>
      <c r="GY702" s="870"/>
      <c r="GZ702" s="867"/>
      <c r="HA702" s="868"/>
      <c r="HB702" s="473"/>
      <c r="HC702" s="869"/>
      <c r="HD702" s="870"/>
      <c r="HE702" s="867"/>
      <c r="HF702" s="868"/>
      <c r="HG702" s="473"/>
      <c r="HH702" s="867"/>
      <c r="HI702" s="868"/>
      <c r="HJ702" s="867"/>
      <c r="HK702" s="868"/>
      <c r="HL702" s="370"/>
      <c r="HM702" s="865"/>
      <c r="HN702" s="866"/>
      <c r="HO702" s="865"/>
      <c r="HP702" s="866"/>
      <c r="HQ702" s="865"/>
      <c r="HR702" s="866"/>
      <c r="HS702" s="867"/>
      <c r="HT702" s="868"/>
      <c r="HU702" s="489"/>
      <c r="HV702" s="865"/>
      <c r="HW702" s="866"/>
    </row>
    <row r="703" spans="25:231" ht="15" customHeight="1">
      <c r="Y703" s="332"/>
      <c r="Z703" s="332"/>
      <c r="AA703" s="332"/>
      <c r="AB703" s="332"/>
      <c r="AC703" s="332"/>
      <c r="AD703" s="332"/>
      <c r="AE703" s="332"/>
      <c r="AF703" s="332"/>
      <c r="AG703" s="332"/>
      <c r="AH703" s="332"/>
      <c r="AI703" s="332"/>
      <c r="AJ703" s="332"/>
      <c r="AK703" s="332"/>
      <c r="AL703" s="332"/>
      <c r="AM703" s="332"/>
      <c r="AN703" s="332"/>
      <c r="AO703" s="332"/>
      <c r="AP703" s="332"/>
      <c r="AQ703" s="332"/>
      <c r="AR703" s="332"/>
      <c r="AS703" s="332"/>
      <c r="AT703" s="332"/>
      <c r="AU703" s="332"/>
      <c r="AV703" s="332"/>
      <c r="AW703" s="332"/>
      <c r="AX703" s="332"/>
      <c r="AY703" s="332"/>
      <c r="AZ703" s="332"/>
      <c r="BA703" s="332"/>
      <c r="BB703" s="332"/>
      <c r="BC703" s="332"/>
      <c r="BD703" s="332"/>
      <c r="BE703" s="332"/>
      <c r="BF703" s="332"/>
      <c r="BG703" s="332"/>
      <c r="BH703" s="332"/>
      <c r="BI703" s="332"/>
      <c r="BJ703" s="332"/>
      <c r="BK703" s="332"/>
      <c r="BL703" s="332"/>
      <c r="BM703" s="332"/>
      <c r="BN703" s="332"/>
      <c r="BO703" s="332"/>
      <c r="BP703" s="332"/>
      <c r="BQ703" s="332"/>
      <c r="BR703" s="332"/>
      <c r="BS703" s="332"/>
      <c r="BT703" s="332"/>
      <c r="BU703" s="332"/>
      <c r="BV703" s="332"/>
      <c r="BW703" s="332"/>
      <c r="BX703" s="332"/>
      <c r="BY703" s="332"/>
      <c r="BZ703" s="332"/>
      <c r="CA703" s="332"/>
      <c r="CB703" s="332"/>
      <c r="CC703" s="332"/>
      <c r="CD703" s="332"/>
      <c r="CE703" s="332"/>
      <c r="CF703" s="332"/>
      <c r="CG703" s="332"/>
      <c r="CH703" s="332"/>
      <c r="CI703" s="332"/>
      <c r="CJ703" s="332"/>
      <c r="CK703" s="332"/>
      <c r="CL703" s="332"/>
      <c r="CM703" s="332"/>
      <c r="CN703" s="332"/>
      <c r="CO703" s="332"/>
      <c r="CP703" s="332"/>
      <c r="CQ703" s="332"/>
      <c r="CR703" s="332"/>
      <c r="CS703" s="332"/>
      <c r="CT703" s="332"/>
      <c r="CU703" s="332"/>
      <c r="CV703" s="332"/>
      <c r="CW703" s="332"/>
      <c r="CX703" s="332"/>
      <c r="CY703" s="332"/>
      <c r="CZ703" s="332"/>
      <c r="DA703" s="332"/>
      <c r="DB703" s="332"/>
      <c r="DC703" s="332"/>
      <c r="DD703" s="332"/>
      <c r="DE703" s="332"/>
      <c r="DF703" s="332"/>
      <c r="DG703" s="332"/>
      <c r="DH703" s="332"/>
      <c r="DI703" s="332"/>
      <c r="DJ703" s="332"/>
      <c r="DK703" s="332"/>
      <c r="DL703" s="332"/>
      <c r="DM703" s="332"/>
      <c r="DN703" s="332"/>
      <c r="DO703" s="332"/>
      <c r="DP703" s="332"/>
      <c r="DQ703" s="332"/>
      <c r="DR703" s="332"/>
      <c r="DS703" s="332"/>
      <c r="DT703" s="332"/>
      <c r="DU703" s="453"/>
      <c r="DV703" s="453"/>
      <c r="DW703" s="453"/>
      <c r="DX703" s="453"/>
      <c r="DY703" s="453"/>
      <c r="DZ703" s="453"/>
      <c r="EA703" s="453"/>
      <c r="EB703" s="453"/>
      <c r="EC703" s="453"/>
      <c r="ED703" s="453"/>
      <c r="EE703" s="453"/>
      <c r="EF703" s="453"/>
      <c r="EG703" s="453"/>
      <c r="EH703" s="453"/>
      <c r="EI703" s="453"/>
      <c r="EJ703" s="453"/>
      <c r="EK703" s="453"/>
      <c r="EL703" s="453"/>
      <c r="EM703" s="483">
        <f t="shared" si="230"/>
        <v>394</v>
      </c>
      <c r="EN703" s="485"/>
      <c r="EO703" s="458"/>
      <c r="EP703" s="467"/>
      <c r="EQ703" s="457"/>
      <c r="ER703" s="808"/>
      <c r="ES703" s="881">
        <f t="shared" si="231"/>
        <v>0</v>
      </c>
      <c r="ET703" s="882"/>
      <c r="EU703" s="883"/>
      <c r="EV703" s="884">
        <f t="shared" si="229"/>
        <v>0</v>
      </c>
      <c r="EW703" s="885"/>
      <c r="EX703" s="885"/>
      <c r="EY703" s="885"/>
      <c r="EZ703" s="885"/>
      <c r="FA703" s="885"/>
      <c r="FB703" s="885"/>
      <c r="FC703" s="885"/>
      <c r="FD703" s="886"/>
      <c r="FE703" s="878"/>
      <c r="FF703" s="878"/>
      <c r="FG703" s="878"/>
      <c r="FH703" s="878"/>
      <c r="FI703" s="878"/>
      <c r="FJ703" s="878"/>
      <c r="FK703" s="878"/>
      <c r="FL703" s="555"/>
      <c r="FM703" s="554"/>
      <c r="FN703" s="554"/>
      <c r="FO703" s="554"/>
      <c r="FP703" s="554"/>
      <c r="FQ703" s="554"/>
      <c r="FR703" s="554"/>
      <c r="FS703" s="554"/>
      <c r="FT703" s="554"/>
      <c r="FU703" s="554"/>
      <c r="FV703" s="554"/>
      <c r="FW703" s="554"/>
      <c r="FX703" s="554"/>
      <c r="FY703" s="554"/>
      <c r="FZ703" s="554"/>
      <c r="GA703" s="554"/>
      <c r="GB703" s="556"/>
      <c r="GC703" s="370"/>
      <c r="GD703" s="453"/>
      <c r="GE703" s="453"/>
      <c r="GF703" s="453"/>
      <c r="GG703" s="453"/>
      <c r="GH703" s="454"/>
      <c r="GI703" s="453"/>
      <c r="GJ703" s="453"/>
      <c r="GK703" s="453"/>
      <c r="GL703" s="453"/>
      <c r="GM703" s="453"/>
      <c r="GN703" s="453"/>
      <c r="GO703" s="453"/>
      <c r="GP703" s="453"/>
      <c r="GQ703" s="453"/>
      <c r="GR703" s="453"/>
      <c r="GS703" s="561"/>
      <c r="GT703" s="475"/>
      <c r="GU703" s="472"/>
      <c r="GV703" s="453"/>
      <c r="GW703" s="453"/>
      <c r="GX703" s="869"/>
      <c r="GY703" s="870"/>
      <c r="GZ703" s="867"/>
      <c r="HA703" s="868"/>
      <c r="HB703" s="473"/>
      <c r="HC703" s="869"/>
      <c r="HD703" s="870"/>
      <c r="HE703" s="867"/>
      <c r="HF703" s="868"/>
      <c r="HG703" s="473"/>
      <c r="HH703" s="867"/>
      <c r="HI703" s="868"/>
      <c r="HJ703" s="867"/>
      <c r="HK703" s="868"/>
      <c r="HL703" s="370"/>
      <c r="HM703" s="865"/>
      <c r="HN703" s="866"/>
      <c r="HO703" s="865"/>
      <c r="HP703" s="866"/>
      <c r="HQ703" s="865"/>
      <c r="HR703" s="866"/>
      <c r="HS703" s="867"/>
      <c r="HT703" s="868"/>
      <c r="HU703" s="489"/>
      <c r="HV703" s="865"/>
      <c r="HW703" s="866"/>
    </row>
    <row r="704" spans="25:231" ht="15" customHeight="1">
      <c r="Y704" s="332"/>
      <c r="Z704" s="332"/>
      <c r="AA704" s="332"/>
      <c r="AB704" s="332"/>
      <c r="AC704" s="332"/>
      <c r="AD704" s="332"/>
      <c r="AE704" s="332"/>
      <c r="AF704" s="332"/>
      <c r="AG704" s="332"/>
      <c r="AH704" s="332"/>
      <c r="AI704" s="332"/>
      <c r="AJ704" s="332"/>
      <c r="AK704" s="332"/>
      <c r="AL704" s="332"/>
      <c r="AM704" s="332"/>
      <c r="AN704" s="332"/>
      <c r="AO704" s="332"/>
      <c r="AP704" s="332"/>
      <c r="AQ704" s="332"/>
      <c r="AR704" s="332"/>
      <c r="AS704" s="332"/>
      <c r="AT704" s="332"/>
      <c r="AU704" s="332"/>
      <c r="AV704" s="332"/>
      <c r="AW704" s="332"/>
      <c r="AX704" s="332"/>
      <c r="AY704" s="332"/>
      <c r="AZ704" s="332"/>
      <c r="BA704" s="332"/>
      <c r="BB704" s="332"/>
      <c r="BC704" s="332"/>
      <c r="BD704" s="332"/>
      <c r="BE704" s="332"/>
      <c r="BF704" s="332"/>
      <c r="BG704" s="332"/>
      <c r="BH704" s="332"/>
      <c r="BI704" s="332"/>
      <c r="BJ704" s="332"/>
      <c r="BK704" s="332"/>
      <c r="BL704" s="332"/>
      <c r="BM704" s="332"/>
      <c r="BN704" s="332"/>
      <c r="BO704" s="332"/>
      <c r="BP704" s="332"/>
      <c r="BQ704" s="332"/>
      <c r="BR704" s="332"/>
      <c r="BS704" s="332"/>
      <c r="BT704" s="332"/>
      <c r="BU704" s="332"/>
      <c r="BV704" s="332"/>
      <c r="BW704" s="332"/>
      <c r="BX704" s="332"/>
      <c r="BY704" s="332"/>
      <c r="BZ704" s="332"/>
      <c r="CA704" s="332"/>
      <c r="CB704" s="332"/>
      <c r="CC704" s="332"/>
      <c r="CD704" s="332"/>
      <c r="CE704" s="332"/>
      <c r="CF704" s="332"/>
      <c r="CG704" s="332"/>
      <c r="CH704" s="332"/>
      <c r="CI704" s="332"/>
      <c r="CJ704" s="332"/>
      <c r="CK704" s="332"/>
      <c r="CL704" s="332"/>
      <c r="CM704" s="332"/>
      <c r="CN704" s="332"/>
      <c r="CO704" s="332"/>
      <c r="CP704" s="332"/>
      <c r="CQ704" s="332"/>
      <c r="CR704" s="332"/>
      <c r="CS704" s="332"/>
      <c r="CT704" s="332"/>
      <c r="CU704" s="332"/>
      <c r="CV704" s="332"/>
      <c r="CW704" s="332"/>
      <c r="CX704" s="332"/>
      <c r="CY704" s="332"/>
      <c r="CZ704" s="332"/>
      <c r="DA704" s="332"/>
      <c r="DB704" s="332"/>
      <c r="DC704" s="332"/>
      <c r="DD704" s="332"/>
      <c r="DE704" s="332"/>
      <c r="DF704" s="332"/>
      <c r="DG704" s="332"/>
      <c r="DH704" s="332"/>
      <c r="DI704" s="332"/>
      <c r="DJ704" s="332"/>
      <c r="DK704" s="332"/>
      <c r="DL704" s="332"/>
      <c r="DM704" s="332"/>
      <c r="DN704" s="332"/>
      <c r="DO704" s="332"/>
      <c r="DP704" s="332"/>
      <c r="DQ704" s="332"/>
      <c r="DR704" s="332"/>
      <c r="DS704" s="332"/>
      <c r="DT704" s="332"/>
      <c r="DU704" s="453"/>
      <c r="DV704" s="453"/>
      <c r="DW704" s="453"/>
      <c r="DX704" s="453"/>
      <c r="DY704" s="453"/>
      <c r="DZ704" s="453"/>
      <c r="EA704" s="453"/>
      <c r="EB704" s="453"/>
      <c r="EC704" s="453"/>
      <c r="ED704" s="453"/>
      <c r="EE704" s="453"/>
      <c r="EF704" s="453"/>
      <c r="EG704" s="453"/>
      <c r="EH704" s="453"/>
      <c r="EI704" s="453"/>
      <c r="EJ704" s="453"/>
      <c r="EK704" s="453"/>
      <c r="EL704" s="453"/>
      <c r="EM704" s="483">
        <f t="shared" si="230"/>
        <v>395</v>
      </c>
      <c r="EN704" s="485"/>
      <c r="EO704" s="458"/>
      <c r="EP704" s="467"/>
      <c r="EQ704" s="457"/>
      <c r="ER704" s="808"/>
      <c r="ES704" s="881">
        <f t="shared" si="231"/>
        <v>0</v>
      </c>
      <c r="ET704" s="882"/>
      <c r="EU704" s="883"/>
      <c r="EV704" s="884">
        <f t="shared" si="229"/>
        <v>0</v>
      </c>
      <c r="EW704" s="885"/>
      <c r="EX704" s="885"/>
      <c r="EY704" s="885"/>
      <c r="EZ704" s="885"/>
      <c r="FA704" s="885"/>
      <c r="FB704" s="885"/>
      <c r="FC704" s="885"/>
      <c r="FD704" s="886"/>
      <c r="FE704" s="878"/>
      <c r="FF704" s="878"/>
      <c r="FG704" s="878"/>
      <c r="FH704" s="878"/>
      <c r="FI704" s="878"/>
      <c r="FJ704" s="878"/>
      <c r="FK704" s="878"/>
      <c r="FL704" s="555"/>
      <c r="FM704" s="554"/>
      <c r="FN704" s="554"/>
      <c r="FO704" s="554"/>
      <c r="FP704" s="554"/>
      <c r="FQ704" s="554"/>
      <c r="FR704" s="554"/>
      <c r="FS704" s="554"/>
      <c r="FT704" s="554"/>
      <c r="FU704" s="554"/>
      <c r="FV704" s="554"/>
      <c r="FW704" s="554"/>
      <c r="FX704" s="554"/>
      <c r="FY704" s="554"/>
      <c r="FZ704" s="554"/>
      <c r="GA704" s="554"/>
      <c r="GB704" s="556"/>
      <c r="GC704" s="370"/>
      <c r="GD704" s="453"/>
      <c r="GE704" s="453"/>
      <c r="GF704" s="453"/>
      <c r="GG704" s="453"/>
      <c r="GH704" s="454"/>
      <c r="GI704" s="453"/>
      <c r="GJ704" s="453"/>
      <c r="GK704" s="453"/>
      <c r="GL704" s="453"/>
      <c r="GM704" s="453"/>
      <c r="GN704" s="453"/>
      <c r="GO704" s="453"/>
      <c r="GP704" s="453"/>
      <c r="GQ704" s="453"/>
      <c r="GR704" s="453"/>
      <c r="GS704" s="561"/>
      <c r="GT704" s="475"/>
      <c r="GU704" s="472"/>
      <c r="GV704" s="453"/>
      <c r="GW704" s="453"/>
      <c r="GX704" s="869"/>
      <c r="GY704" s="870"/>
      <c r="GZ704" s="867"/>
      <c r="HA704" s="868"/>
      <c r="HB704" s="473"/>
      <c r="HC704" s="869"/>
      <c r="HD704" s="870"/>
      <c r="HE704" s="867"/>
      <c r="HF704" s="868"/>
      <c r="HG704" s="473"/>
      <c r="HH704" s="867"/>
      <c r="HI704" s="868"/>
      <c r="HJ704" s="867"/>
      <c r="HK704" s="868"/>
      <c r="HL704" s="370"/>
      <c r="HM704" s="865"/>
      <c r="HN704" s="866"/>
      <c r="HO704" s="865"/>
      <c r="HP704" s="866"/>
      <c r="HQ704" s="865"/>
      <c r="HR704" s="866"/>
      <c r="HS704" s="867"/>
      <c r="HT704" s="868"/>
      <c r="HU704" s="489"/>
      <c r="HV704" s="865"/>
      <c r="HW704" s="866"/>
    </row>
    <row r="705" spans="25:231" ht="15" customHeight="1">
      <c r="Y705" s="332"/>
      <c r="Z705" s="332"/>
      <c r="AA705" s="332"/>
      <c r="AB705" s="332"/>
      <c r="AC705" s="332"/>
      <c r="AD705" s="332"/>
      <c r="AE705" s="332"/>
      <c r="AF705" s="332"/>
      <c r="AG705" s="332"/>
      <c r="AH705" s="332"/>
      <c r="AI705" s="332"/>
      <c r="AJ705" s="332"/>
      <c r="AK705" s="332"/>
      <c r="AL705" s="332"/>
      <c r="AM705" s="332"/>
      <c r="AN705" s="332"/>
      <c r="AO705" s="332"/>
      <c r="AP705" s="332"/>
      <c r="AQ705" s="332"/>
      <c r="AR705" s="332"/>
      <c r="AS705" s="332"/>
      <c r="AT705" s="332"/>
      <c r="AU705" s="332"/>
      <c r="AV705" s="332"/>
      <c r="AW705" s="332"/>
      <c r="AX705" s="332"/>
      <c r="AY705" s="332"/>
      <c r="AZ705" s="332"/>
      <c r="BA705" s="332"/>
      <c r="BB705" s="332"/>
      <c r="BC705" s="332"/>
      <c r="BD705" s="332"/>
      <c r="BE705" s="332"/>
      <c r="BF705" s="332"/>
      <c r="BG705" s="332"/>
      <c r="BH705" s="332"/>
      <c r="BI705" s="332"/>
      <c r="BJ705" s="332"/>
      <c r="BK705" s="332"/>
      <c r="BL705" s="332"/>
      <c r="BM705" s="332"/>
      <c r="BN705" s="332"/>
      <c r="BO705" s="332"/>
      <c r="BP705" s="332"/>
      <c r="BQ705" s="332"/>
      <c r="BR705" s="332"/>
      <c r="BS705" s="332"/>
      <c r="BT705" s="332"/>
      <c r="BU705" s="332"/>
      <c r="BV705" s="332"/>
      <c r="BW705" s="332"/>
      <c r="BX705" s="332"/>
      <c r="BY705" s="332"/>
      <c r="BZ705" s="332"/>
      <c r="CA705" s="332"/>
      <c r="CB705" s="332"/>
      <c r="CC705" s="332"/>
      <c r="CD705" s="332"/>
      <c r="CE705" s="332"/>
      <c r="CF705" s="332"/>
      <c r="CG705" s="332"/>
      <c r="CH705" s="332"/>
      <c r="CI705" s="332"/>
      <c r="CJ705" s="332"/>
      <c r="CK705" s="332"/>
      <c r="CL705" s="332"/>
      <c r="CM705" s="332"/>
      <c r="CN705" s="332"/>
      <c r="CO705" s="332"/>
      <c r="CP705" s="332"/>
      <c r="CQ705" s="332"/>
      <c r="CR705" s="332"/>
      <c r="CS705" s="332"/>
      <c r="CT705" s="332"/>
      <c r="CU705" s="332"/>
      <c r="CV705" s="332"/>
      <c r="CW705" s="332"/>
      <c r="CX705" s="332"/>
      <c r="CY705" s="332"/>
      <c r="CZ705" s="332"/>
      <c r="DA705" s="332"/>
      <c r="DB705" s="332"/>
      <c r="DC705" s="332"/>
      <c r="DD705" s="332"/>
      <c r="DE705" s="332"/>
      <c r="DF705" s="332"/>
      <c r="DG705" s="332"/>
      <c r="DH705" s="332"/>
      <c r="DI705" s="332"/>
      <c r="DJ705" s="332"/>
      <c r="DK705" s="332"/>
      <c r="DL705" s="332"/>
      <c r="DM705" s="332"/>
      <c r="DN705" s="332"/>
      <c r="DO705" s="332"/>
      <c r="DP705" s="332"/>
      <c r="DQ705" s="332"/>
      <c r="DR705" s="332"/>
      <c r="DS705" s="332"/>
      <c r="DT705" s="332"/>
      <c r="DU705" s="453"/>
      <c r="DV705" s="453"/>
      <c r="DW705" s="453"/>
      <c r="DX705" s="453"/>
      <c r="DY705" s="453"/>
      <c r="DZ705" s="453"/>
      <c r="EA705" s="453"/>
      <c r="EB705" s="453"/>
      <c r="EC705" s="453"/>
      <c r="ED705" s="453"/>
      <c r="EE705" s="453"/>
      <c r="EF705" s="453"/>
      <c r="EG705" s="453"/>
      <c r="EH705" s="453"/>
      <c r="EI705" s="453"/>
      <c r="EJ705" s="453"/>
      <c r="EK705" s="453"/>
      <c r="EL705" s="453"/>
      <c r="EM705" s="483">
        <f t="shared" si="230"/>
        <v>396</v>
      </c>
      <c r="EN705" s="485"/>
      <c r="EO705" s="458"/>
      <c r="EP705" s="467"/>
      <c r="EQ705" s="457"/>
      <c r="ER705" s="808"/>
      <c r="ES705" s="881">
        <f t="shared" si="231"/>
        <v>0</v>
      </c>
      <c r="ET705" s="882"/>
      <c r="EU705" s="883"/>
      <c r="EV705" s="884">
        <f t="shared" si="229"/>
        <v>0</v>
      </c>
      <c r="EW705" s="885"/>
      <c r="EX705" s="885"/>
      <c r="EY705" s="885"/>
      <c r="EZ705" s="885"/>
      <c r="FA705" s="885"/>
      <c r="FB705" s="885"/>
      <c r="FC705" s="885"/>
      <c r="FD705" s="886"/>
      <c r="FE705" s="878"/>
      <c r="FF705" s="878"/>
      <c r="FG705" s="878"/>
      <c r="FH705" s="878"/>
      <c r="FI705" s="878"/>
      <c r="FJ705" s="878"/>
      <c r="FK705" s="878"/>
      <c r="FL705" s="555"/>
      <c r="FM705" s="554"/>
      <c r="FN705" s="554"/>
      <c r="FO705" s="554"/>
      <c r="FP705" s="554"/>
      <c r="FQ705" s="554"/>
      <c r="FR705" s="554"/>
      <c r="FS705" s="554"/>
      <c r="FT705" s="554"/>
      <c r="FU705" s="554"/>
      <c r="FV705" s="554"/>
      <c r="FW705" s="554"/>
      <c r="FX705" s="554"/>
      <c r="FY705" s="554"/>
      <c r="FZ705" s="554"/>
      <c r="GA705" s="554"/>
      <c r="GB705" s="556"/>
      <c r="GC705" s="370"/>
      <c r="GD705" s="453"/>
      <c r="GE705" s="453"/>
      <c r="GF705" s="453"/>
      <c r="GG705" s="453"/>
      <c r="GH705" s="454"/>
      <c r="GI705" s="453"/>
      <c r="GJ705" s="453"/>
      <c r="GK705" s="453"/>
      <c r="GL705" s="453"/>
      <c r="GM705" s="453"/>
      <c r="GN705" s="453"/>
      <c r="GO705" s="453"/>
      <c r="GP705" s="453"/>
      <c r="GQ705" s="453"/>
      <c r="GR705" s="453"/>
      <c r="GS705" s="561"/>
      <c r="GT705" s="475"/>
      <c r="GU705" s="472"/>
      <c r="GV705" s="453"/>
      <c r="GW705" s="453"/>
      <c r="GX705" s="869"/>
      <c r="GY705" s="870"/>
      <c r="GZ705" s="867"/>
      <c r="HA705" s="868"/>
      <c r="HB705" s="473"/>
      <c r="HC705" s="869"/>
      <c r="HD705" s="870"/>
      <c r="HE705" s="867"/>
      <c r="HF705" s="868"/>
      <c r="HG705" s="473"/>
      <c r="HH705" s="867"/>
      <c r="HI705" s="868"/>
      <c r="HJ705" s="867"/>
      <c r="HK705" s="868"/>
      <c r="HL705" s="370"/>
      <c r="HM705" s="865"/>
      <c r="HN705" s="866"/>
      <c r="HO705" s="865"/>
      <c r="HP705" s="866"/>
      <c r="HQ705" s="865"/>
      <c r="HR705" s="866"/>
      <c r="HS705" s="867"/>
      <c r="HT705" s="868"/>
      <c r="HU705" s="489"/>
      <c r="HV705" s="865"/>
      <c r="HW705" s="866"/>
    </row>
    <row r="706" spans="25:231" ht="15" customHeight="1">
      <c r="Y706" s="332"/>
      <c r="Z706" s="332"/>
      <c r="AA706" s="332"/>
      <c r="AB706" s="332"/>
      <c r="AC706" s="332"/>
      <c r="AD706" s="332"/>
      <c r="AE706" s="332"/>
      <c r="AF706" s="332"/>
      <c r="AG706" s="332"/>
      <c r="AH706" s="332"/>
      <c r="AI706" s="332"/>
      <c r="AJ706" s="332"/>
      <c r="AK706" s="332"/>
      <c r="AL706" s="332"/>
      <c r="AM706" s="332"/>
      <c r="AN706" s="332"/>
      <c r="AO706" s="332"/>
      <c r="AP706" s="332"/>
      <c r="AQ706" s="332"/>
      <c r="AR706" s="332"/>
      <c r="AS706" s="332"/>
      <c r="AT706" s="332"/>
      <c r="AU706" s="332"/>
      <c r="AV706" s="332"/>
      <c r="AW706" s="332"/>
      <c r="AX706" s="332"/>
      <c r="AY706" s="332"/>
      <c r="AZ706" s="332"/>
      <c r="BA706" s="332"/>
      <c r="BB706" s="332"/>
      <c r="BC706" s="332"/>
      <c r="BD706" s="332"/>
      <c r="BE706" s="332"/>
      <c r="BF706" s="332"/>
      <c r="BG706" s="332"/>
      <c r="BH706" s="332"/>
      <c r="BI706" s="332"/>
      <c r="BJ706" s="332"/>
      <c r="BK706" s="332"/>
      <c r="BL706" s="332"/>
      <c r="BM706" s="332"/>
      <c r="BN706" s="332"/>
      <c r="BO706" s="332"/>
      <c r="BP706" s="332"/>
      <c r="BQ706" s="332"/>
      <c r="BR706" s="332"/>
      <c r="BS706" s="332"/>
      <c r="BT706" s="332"/>
      <c r="BU706" s="332"/>
      <c r="BV706" s="332"/>
      <c r="BW706" s="332"/>
      <c r="BX706" s="332"/>
      <c r="BY706" s="332"/>
      <c r="BZ706" s="332"/>
      <c r="CA706" s="332"/>
      <c r="CB706" s="332"/>
      <c r="CC706" s="332"/>
      <c r="CD706" s="332"/>
      <c r="CE706" s="332"/>
      <c r="CF706" s="332"/>
      <c r="CG706" s="332"/>
      <c r="CH706" s="332"/>
      <c r="CI706" s="332"/>
      <c r="CJ706" s="332"/>
      <c r="CK706" s="332"/>
      <c r="CL706" s="332"/>
      <c r="CM706" s="332"/>
      <c r="CN706" s="332"/>
      <c r="CO706" s="332"/>
      <c r="CP706" s="332"/>
      <c r="CQ706" s="332"/>
      <c r="CR706" s="332"/>
      <c r="CS706" s="332"/>
      <c r="CT706" s="332"/>
      <c r="CU706" s="332"/>
      <c r="CV706" s="332"/>
      <c r="CW706" s="332"/>
      <c r="CX706" s="332"/>
      <c r="CY706" s="332"/>
      <c r="CZ706" s="332"/>
      <c r="DA706" s="332"/>
      <c r="DB706" s="332"/>
      <c r="DC706" s="332"/>
      <c r="DD706" s="332"/>
      <c r="DE706" s="332"/>
      <c r="DF706" s="332"/>
      <c r="DG706" s="332"/>
      <c r="DH706" s="332"/>
      <c r="DI706" s="332"/>
      <c r="DJ706" s="332"/>
      <c r="DK706" s="332"/>
      <c r="DL706" s="332"/>
      <c r="DM706" s="332"/>
      <c r="DN706" s="332"/>
      <c r="DO706" s="332"/>
      <c r="DP706" s="332"/>
      <c r="DQ706" s="332"/>
      <c r="DR706" s="332"/>
      <c r="DS706" s="332"/>
      <c r="DT706" s="332"/>
      <c r="DU706" s="453"/>
      <c r="DV706" s="453"/>
      <c r="DW706" s="453"/>
      <c r="DX706" s="453"/>
      <c r="DY706" s="453"/>
      <c r="DZ706" s="453"/>
      <c r="EA706" s="453"/>
      <c r="EB706" s="453"/>
      <c r="EC706" s="453"/>
      <c r="ED706" s="453"/>
      <c r="EE706" s="453"/>
      <c r="EF706" s="453"/>
      <c r="EG706" s="453"/>
      <c r="EH706" s="453"/>
      <c r="EI706" s="453"/>
      <c r="EJ706" s="453"/>
      <c r="EK706" s="453"/>
      <c r="EL706" s="453"/>
      <c r="EM706" s="483">
        <f t="shared" si="230"/>
        <v>397</v>
      </c>
      <c r="EN706" s="485"/>
      <c r="EO706" s="458"/>
      <c r="EP706" s="467"/>
      <c r="EQ706" s="457"/>
      <c r="ER706" s="808"/>
      <c r="ES706" s="881">
        <f t="shared" si="231"/>
        <v>0</v>
      </c>
      <c r="ET706" s="882"/>
      <c r="EU706" s="883"/>
      <c r="EV706" s="884">
        <f t="shared" si="229"/>
        <v>0</v>
      </c>
      <c r="EW706" s="885"/>
      <c r="EX706" s="885"/>
      <c r="EY706" s="885"/>
      <c r="EZ706" s="885"/>
      <c r="FA706" s="885"/>
      <c r="FB706" s="885"/>
      <c r="FC706" s="885"/>
      <c r="FD706" s="886"/>
      <c r="FE706" s="878"/>
      <c r="FF706" s="878"/>
      <c r="FG706" s="878"/>
      <c r="FH706" s="878"/>
      <c r="FI706" s="878"/>
      <c r="FJ706" s="878"/>
      <c r="FK706" s="878"/>
      <c r="FL706" s="555"/>
      <c r="FM706" s="554"/>
      <c r="FN706" s="554"/>
      <c r="FO706" s="554"/>
      <c r="FP706" s="554"/>
      <c r="FQ706" s="554"/>
      <c r="FR706" s="554"/>
      <c r="FS706" s="554"/>
      <c r="FT706" s="554"/>
      <c r="FU706" s="554"/>
      <c r="FV706" s="554"/>
      <c r="FW706" s="554"/>
      <c r="FX706" s="554"/>
      <c r="FY706" s="554"/>
      <c r="FZ706" s="554"/>
      <c r="GA706" s="554"/>
      <c r="GB706" s="556"/>
      <c r="GC706" s="370"/>
      <c r="GD706" s="453"/>
      <c r="GE706" s="453"/>
      <c r="GF706" s="453"/>
      <c r="GG706" s="453"/>
      <c r="GH706" s="454"/>
      <c r="GI706" s="453"/>
      <c r="GJ706" s="453"/>
      <c r="GK706" s="453"/>
      <c r="GL706" s="453"/>
      <c r="GM706" s="453"/>
      <c r="GN706" s="453"/>
      <c r="GO706" s="453"/>
      <c r="GP706" s="453"/>
      <c r="GQ706" s="453"/>
      <c r="GR706" s="453"/>
      <c r="GS706" s="561"/>
      <c r="GT706" s="475"/>
      <c r="GU706" s="472"/>
      <c r="GV706" s="453"/>
      <c r="GW706" s="453"/>
      <c r="GX706" s="869"/>
      <c r="GY706" s="870"/>
      <c r="GZ706" s="867"/>
      <c r="HA706" s="868"/>
      <c r="HB706" s="473"/>
      <c r="HC706" s="869"/>
      <c r="HD706" s="870"/>
      <c r="HE706" s="867"/>
      <c r="HF706" s="868"/>
      <c r="HG706" s="473"/>
      <c r="HH706" s="867"/>
      <c r="HI706" s="868"/>
      <c r="HJ706" s="867"/>
      <c r="HK706" s="868"/>
      <c r="HL706" s="370"/>
      <c r="HM706" s="865"/>
      <c r="HN706" s="866"/>
      <c r="HO706" s="865"/>
      <c r="HP706" s="866"/>
      <c r="HQ706" s="865"/>
      <c r="HR706" s="866"/>
      <c r="HS706" s="867"/>
      <c r="HT706" s="868"/>
      <c r="HU706" s="489"/>
      <c r="HV706" s="865"/>
      <c r="HW706" s="866"/>
    </row>
    <row r="707" spans="25:231" ht="15" customHeight="1">
      <c r="Y707" s="332"/>
      <c r="Z707" s="332"/>
      <c r="AA707" s="332"/>
      <c r="AB707" s="332"/>
      <c r="AC707" s="332"/>
      <c r="AD707" s="332"/>
      <c r="AE707" s="332"/>
      <c r="AF707" s="332"/>
      <c r="AG707" s="332"/>
      <c r="AH707" s="332"/>
      <c r="AI707" s="332"/>
      <c r="AJ707" s="332"/>
      <c r="AK707" s="332"/>
      <c r="AL707" s="332"/>
      <c r="AM707" s="332"/>
      <c r="AN707" s="332"/>
      <c r="AO707" s="332"/>
      <c r="AP707" s="332"/>
      <c r="AQ707" s="332"/>
      <c r="AR707" s="332"/>
      <c r="AS707" s="332"/>
      <c r="AT707" s="332"/>
      <c r="AU707" s="332"/>
      <c r="AV707" s="332"/>
      <c r="AW707" s="332"/>
      <c r="AX707" s="332"/>
      <c r="AY707" s="332"/>
      <c r="AZ707" s="332"/>
      <c r="BA707" s="332"/>
      <c r="BB707" s="332"/>
      <c r="BC707" s="332"/>
      <c r="BD707" s="332"/>
      <c r="BE707" s="332"/>
      <c r="BF707" s="332"/>
      <c r="BG707" s="332"/>
      <c r="BH707" s="332"/>
      <c r="BI707" s="332"/>
      <c r="BJ707" s="332"/>
      <c r="BK707" s="332"/>
      <c r="BL707" s="332"/>
      <c r="BM707" s="332"/>
      <c r="BN707" s="332"/>
      <c r="BO707" s="332"/>
      <c r="BP707" s="332"/>
      <c r="BQ707" s="332"/>
      <c r="BR707" s="332"/>
      <c r="BS707" s="332"/>
      <c r="BT707" s="332"/>
      <c r="BU707" s="332"/>
      <c r="BV707" s="332"/>
      <c r="BW707" s="332"/>
      <c r="BX707" s="332"/>
      <c r="BY707" s="332"/>
      <c r="BZ707" s="332"/>
      <c r="CA707" s="332"/>
      <c r="CB707" s="332"/>
      <c r="CC707" s="332"/>
      <c r="CD707" s="332"/>
      <c r="CE707" s="332"/>
      <c r="CF707" s="332"/>
      <c r="CG707" s="332"/>
      <c r="CH707" s="332"/>
      <c r="CI707" s="332"/>
      <c r="CJ707" s="332"/>
      <c r="CK707" s="332"/>
      <c r="CL707" s="332"/>
      <c r="CM707" s="332"/>
      <c r="CN707" s="332"/>
      <c r="CO707" s="332"/>
      <c r="CP707" s="332"/>
      <c r="CQ707" s="332"/>
      <c r="CR707" s="332"/>
      <c r="CS707" s="332"/>
      <c r="CT707" s="332"/>
      <c r="CU707" s="332"/>
      <c r="CV707" s="332"/>
      <c r="CW707" s="332"/>
      <c r="CX707" s="332"/>
      <c r="CY707" s="332"/>
      <c r="CZ707" s="332"/>
      <c r="DA707" s="332"/>
      <c r="DB707" s="332"/>
      <c r="DC707" s="332"/>
      <c r="DD707" s="332"/>
      <c r="DE707" s="332"/>
      <c r="DF707" s="332"/>
      <c r="DG707" s="332"/>
      <c r="DH707" s="332"/>
      <c r="DI707" s="332"/>
      <c r="DJ707" s="332"/>
      <c r="DK707" s="332"/>
      <c r="DL707" s="332"/>
      <c r="DM707" s="332"/>
      <c r="DN707" s="332"/>
      <c r="DO707" s="332"/>
      <c r="DP707" s="332"/>
      <c r="DQ707" s="332"/>
      <c r="DR707" s="332"/>
      <c r="DS707" s="332"/>
      <c r="DT707" s="332"/>
      <c r="DU707" s="453"/>
      <c r="DV707" s="453"/>
      <c r="DW707" s="453"/>
      <c r="DX707" s="453"/>
      <c r="DY707" s="453"/>
      <c r="DZ707" s="453"/>
      <c r="EA707" s="453"/>
      <c r="EB707" s="453"/>
      <c r="EC707" s="453"/>
      <c r="ED707" s="453"/>
      <c r="EE707" s="453"/>
      <c r="EF707" s="453"/>
      <c r="EG707" s="453"/>
      <c r="EH707" s="453"/>
      <c r="EI707" s="453"/>
      <c r="EJ707" s="453"/>
      <c r="EK707" s="453"/>
      <c r="EL707" s="453"/>
      <c r="EM707" s="483">
        <f t="shared" si="230"/>
        <v>398</v>
      </c>
      <c r="EN707" s="485"/>
      <c r="EO707" s="458"/>
      <c r="EP707" s="467"/>
      <c r="EQ707" s="457"/>
      <c r="ER707" s="808"/>
      <c r="ES707" s="881">
        <f t="shared" si="231"/>
        <v>0</v>
      </c>
      <c r="ET707" s="882"/>
      <c r="EU707" s="883"/>
      <c r="EV707" s="884">
        <f t="shared" si="229"/>
        <v>0</v>
      </c>
      <c r="EW707" s="885"/>
      <c r="EX707" s="885"/>
      <c r="EY707" s="885"/>
      <c r="EZ707" s="885"/>
      <c r="FA707" s="885"/>
      <c r="FB707" s="885"/>
      <c r="FC707" s="885"/>
      <c r="FD707" s="886"/>
      <c r="FE707" s="878"/>
      <c r="FF707" s="878"/>
      <c r="FG707" s="878"/>
      <c r="FH707" s="878"/>
      <c r="FI707" s="878"/>
      <c r="FJ707" s="878"/>
      <c r="FK707" s="878"/>
      <c r="FL707" s="555"/>
      <c r="FM707" s="554"/>
      <c r="FN707" s="554"/>
      <c r="FO707" s="554"/>
      <c r="FP707" s="554"/>
      <c r="FQ707" s="554"/>
      <c r="FR707" s="554"/>
      <c r="FS707" s="554"/>
      <c r="FT707" s="554"/>
      <c r="FU707" s="554"/>
      <c r="FV707" s="554"/>
      <c r="FW707" s="554"/>
      <c r="FX707" s="554"/>
      <c r="FY707" s="554"/>
      <c r="FZ707" s="554"/>
      <c r="GA707" s="554"/>
      <c r="GB707" s="556"/>
      <c r="GC707" s="370"/>
      <c r="GD707" s="453"/>
      <c r="GE707" s="453"/>
      <c r="GF707" s="453"/>
      <c r="GG707" s="453"/>
      <c r="GH707" s="454"/>
      <c r="GI707" s="453"/>
      <c r="GJ707" s="453"/>
      <c r="GK707" s="453"/>
      <c r="GL707" s="453"/>
      <c r="GM707" s="453"/>
      <c r="GN707" s="453"/>
      <c r="GO707" s="453"/>
      <c r="GP707" s="453"/>
      <c r="GQ707" s="453"/>
      <c r="GR707" s="453"/>
      <c r="GS707" s="561"/>
      <c r="GT707" s="475"/>
      <c r="GU707" s="472"/>
      <c r="GV707" s="453"/>
      <c r="GW707" s="453"/>
      <c r="GX707" s="869"/>
      <c r="GY707" s="870"/>
      <c r="GZ707" s="867"/>
      <c r="HA707" s="868"/>
      <c r="HB707" s="473"/>
      <c r="HC707" s="869"/>
      <c r="HD707" s="870"/>
      <c r="HE707" s="867"/>
      <c r="HF707" s="868"/>
      <c r="HG707" s="473"/>
      <c r="HH707" s="867"/>
      <c r="HI707" s="868"/>
      <c r="HJ707" s="867"/>
      <c r="HK707" s="868"/>
      <c r="HL707" s="370"/>
      <c r="HM707" s="865"/>
      <c r="HN707" s="866"/>
      <c r="HO707" s="865"/>
      <c r="HP707" s="866"/>
      <c r="HQ707" s="865"/>
      <c r="HR707" s="866"/>
      <c r="HS707" s="867"/>
      <c r="HT707" s="868"/>
      <c r="HU707" s="489"/>
      <c r="HV707" s="865"/>
      <c r="HW707" s="866"/>
    </row>
    <row r="708" spans="25:231" ht="15" customHeight="1">
      <c r="Y708" s="332"/>
      <c r="Z708" s="332"/>
      <c r="AA708" s="332"/>
      <c r="AB708" s="332"/>
      <c r="AC708" s="332"/>
      <c r="AD708" s="332"/>
      <c r="AE708" s="332"/>
      <c r="AF708" s="332"/>
      <c r="AG708" s="332"/>
      <c r="AH708" s="332"/>
      <c r="AI708" s="332"/>
      <c r="AJ708" s="332"/>
      <c r="AK708" s="332"/>
      <c r="AL708" s="332"/>
      <c r="AM708" s="332"/>
      <c r="AN708" s="332"/>
      <c r="AO708" s="332"/>
      <c r="AP708" s="332"/>
      <c r="AQ708" s="332"/>
      <c r="AR708" s="332"/>
      <c r="AS708" s="332"/>
      <c r="AT708" s="332"/>
      <c r="AU708" s="332"/>
      <c r="AV708" s="332"/>
      <c r="AW708" s="332"/>
      <c r="AX708" s="332"/>
      <c r="AY708" s="332"/>
      <c r="AZ708" s="332"/>
      <c r="BA708" s="332"/>
      <c r="BB708" s="332"/>
      <c r="BC708" s="332"/>
      <c r="BD708" s="332"/>
      <c r="BE708" s="332"/>
      <c r="BF708" s="332"/>
      <c r="BG708" s="332"/>
      <c r="BH708" s="332"/>
      <c r="BI708" s="332"/>
      <c r="BJ708" s="332"/>
      <c r="BK708" s="332"/>
      <c r="BL708" s="332"/>
      <c r="BM708" s="332"/>
      <c r="BN708" s="332"/>
      <c r="BO708" s="332"/>
      <c r="BP708" s="332"/>
      <c r="BQ708" s="332"/>
      <c r="BR708" s="332"/>
      <c r="BS708" s="332"/>
      <c r="BT708" s="332"/>
      <c r="BU708" s="332"/>
      <c r="BV708" s="332"/>
      <c r="BW708" s="332"/>
      <c r="BX708" s="332"/>
      <c r="BY708" s="332"/>
      <c r="BZ708" s="332"/>
      <c r="CA708" s="332"/>
      <c r="CB708" s="332"/>
      <c r="CC708" s="332"/>
      <c r="CD708" s="332"/>
      <c r="CE708" s="332"/>
      <c r="CF708" s="332"/>
      <c r="CG708" s="332"/>
      <c r="CH708" s="332"/>
      <c r="CI708" s="332"/>
      <c r="CJ708" s="332"/>
      <c r="CK708" s="332"/>
      <c r="CL708" s="332"/>
      <c r="CM708" s="332"/>
      <c r="CN708" s="332"/>
      <c r="CO708" s="332"/>
      <c r="CP708" s="332"/>
      <c r="CQ708" s="332"/>
      <c r="CR708" s="332"/>
      <c r="CS708" s="332"/>
      <c r="CT708" s="332"/>
      <c r="CU708" s="332"/>
      <c r="CV708" s="332"/>
      <c r="CW708" s="332"/>
      <c r="CX708" s="332"/>
      <c r="CY708" s="332"/>
      <c r="CZ708" s="332"/>
      <c r="DA708" s="332"/>
      <c r="DB708" s="332"/>
      <c r="DC708" s="332"/>
      <c r="DD708" s="332"/>
      <c r="DE708" s="332"/>
      <c r="DF708" s="332"/>
      <c r="DG708" s="332"/>
      <c r="DH708" s="332"/>
      <c r="DI708" s="332"/>
      <c r="DJ708" s="332"/>
      <c r="DK708" s="332"/>
      <c r="DL708" s="332"/>
      <c r="DM708" s="332"/>
      <c r="DN708" s="332"/>
      <c r="DO708" s="332"/>
      <c r="DP708" s="332"/>
      <c r="DQ708" s="332"/>
      <c r="DR708" s="332"/>
      <c r="DS708" s="332"/>
      <c r="DT708" s="332"/>
      <c r="DU708" s="453"/>
      <c r="DV708" s="453"/>
      <c r="DW708" s="453"/>
      <c r="DX708" s="453"/>
      <c r="DY708" s="453"/>
      <c r="DZ708" s="453"/>
      <c r="EA708" s="453"/>
      <c r="EB708" s="453"/>
      <c r="EC708" s="453"/>
      <c r="ED708" s="453"/>
      <c r="EE708" s="453"/>
      <c r="EF708" s="453"/>
      <c r="EG708" s="453"/>
      <c r="EH708" s="453"/>
      <c r="EI708" s="453"/>
      <c r="EJ708" s="453"/>
      <c r="EK708" s="453"/>
      <c r="EL708" s="453"/>
      <c r="EM708" s="483">
        <f t="shared" si="230"/>
        <v>399</v>
      </c>
      <c r="EN708" s="485"/>
      <c r="EO708" s="458"/>
      <c r="EP708" s="467"/>
      <c r="EQ708" s="457"/>
      <c r="ER708" s="808"/>
      <c r="ES708" s="881">
        <f t="shared" si="231"/>
        <v>0</v>
      </c>
      <c r="ET708" s="882"/>
      <c r="EU708" s="883"/>
      <c r="EV708" s="884">
        <f t="shared" si="229"/>
        <v>0</v>
      </c>
      <c r="EW708" s="885"/>
      <c r="EX708" s="885"/>
      <c r="EY708" s="885"/>
      <c r="EZ708" s="885"/>
      <c r="FA708" s="885"/>
      <c r="FB708" s="885"/>
      <c r="FC708" s="885"/>
      <c r="FD708" s="886"/>
      <c r="FE708" s="878"/>
      <c r="FF708" s="878"/>
      <c r="FG708" s="878"/>
      <c r="FH708" s="878"/>
      <c r="FI708" s="878"/>
      <c r="FJ708" s="878"/>
      <c r="FK708" s="878"/>
      <c r="FL708" s="555"/>
      <c r="FM708" s="554"/>
      <c r="FN708" s="554"/>
      <c r="FO708" s="554"/>
      <c r="FP708" s="554"/>
      <c r="FQ708" s="554"/>
      <c r="FR708" s="554"/>
      <c r="FS708" s="554"/>
      <c r="FT708" s="554"/>
      <c r="FU708" s="554"/>
      <c r="FV708" s="554"/>
      <c r="FW708" s="554"/>
      <c r="FX708" s="554"/>
      <c r="FY708" s="554"/>
      <c r="FZ708" s="554"/>
      <c r="GA708" s="554"/>
      <c r="GB708" s="556"/>
      <c r="GC708" s="370"/>
      <c r="GD708" s="453"/>
      <c r="GE708" s="453"/>
      <c r="GF708" s="453"/>
      <c r="GG708" s="453"/>
      <c r="GH708" s="454"/>
      <c r="GI708" s="453"/>
      <c r="GJ708" s="453"/>
      <c r="GK708" s="453"/>
      <c r="GL708" s="453"/>
      <c r="GM708" s="453"/>
      <c r="GN708" s="453"/>
      <c r="GO708" s="453"/>
      <c r="GP708" s="453"/>
      <c r="GQ708" s="453"/>
      <c r="GR708" s="453"/>
      <c r="GS708" s="561"/>
      <c r="GT708" s="475"/>
      <c r="GU708" s="472"/>
      <c r="GV708" s="453"/>
      <c r="GW708" s="453"/>
      <c r="GX708" s="869"/>
      <c r="GY708" s="870"/>
      <c r="GZ708" s="867"/>
      <c r="HA708" s="868"/>
      <c r="HB708" s="473"/>
      <c r="HC708" s="869"/>
      <c r="HD708" s="870"/>
      <c r="HE708" s="867"/>
      <c r="HF708" s="868"/>
      <c r="HG708" s="473"/>
      <c r="HH708" s="867"/>
      <c r="HI708" s="868"/>
      <c r="HJ708" s="867"/>
      <c r="HK708" s="868"/>
      <c r="HL708" s="370"/>
      <c r="HM708" s="865"/>
      <c r="HN708" s="866"/>
      <c r="HO708" s="865"/>
      <c r="HP708" s="866"/>
      <c r="HQ708" s="865"/>
      <c r="HR708" s="866"/>
      <c r="HS708" s="867"/>
      <c r="HT708" s="868"/>
      <c r="HU708" s="489"/>
      <c r="HV708" s="865"/>
      <c r="HW708" s="866"/>
    </row>
    <row r="709" spans="25:231" ht="15" customHeight="1">
      <c r="Y709" s="332"/>
      <c r="Z709" s="332"/>
      <c r="AA709" s="332"/>
      <c r="AB709" s="332"/>
      <c r="AC709" s="332"/>
      <c r="AD709" s="332"/>
      <c r="AE709" s="332"/>
      <c r="AF709" s="332"/>
      <c r="AG709" s="332"/>
      <c r="AH709" s="332"/>
      <c r="AI709" s="332"/>
      <c r="AJ709" s="332"/>
      <c r="AK709" s="332"/>
      <c r="AL709" s="332"/>
      <c r="AM709" s="332"/>
      <c r="AN709" s="332"/>
      <c r="AO709" s="332"/>
      <c r="AP709" s="332"/>
      <c r="AQ709" s="332"/>
      <c r="AR709" s="332"/>
      <c r="AS709" s="332"/>
      <c r="AT709" s="332"/>
      <c r="AU709" s="332"/>
      <c r="AV709" s="332"/>
      <c r="AW709" s="332"/>
      <c r="AX709" s="332"/>
      <c r="AY709" s="332"/>
      <c r="AZ709" s="332"/>
      <c r="BA709" s="332"/>
      <c r="BB709" s="332"/>
      <c r="BC709" s="332"/>
      <c r="BD709" s="332"/>
      <c r="BE709" s="332"/>
      <c r="BF709" s="332"/>
      <c r="BG709" s="332"/>
      <c r="BH709" s="332"/>
      <c r="BI709" s="332"/>
      <c r="BJ709" s="332"/>
      <c r="BK709" s="332"/>
      <c r="BL709" s="332"/>
      <c r="BM709" s="332"/>
      <c r="BN709" s="332"/>
      <c r="BO709" s="332"/>
      <c r="BP709" s="332"/>
      <c r="BQ709" s="332"/>
      <c r="BR709" s="332"/>
      <c r="BS709" s="332"/>
      <c r="BT709" s="332"/>
      <c r="BU709" s="332"/>
      <c r="BV709" s="332"/>
      <c r="BW709" s="332"/>
      <c r="BX709" s="332"/>
      <c r="BY709" s="332"/>
      <c r="BZ709" s="332"/>
      <c r="CA709" s="332"/>
      <c r="CB709" s="332"/>
      <c r="CC709" s="332"/>
      <c r="CD709" s="332"/>
      <c r="CE709" s="332"/>
      <c r="CF709" s="332"/>
      <c r="CG709" s="332"/>
      <c r="CH709" s="332"/>
      <c r="CI709" s="332"/>
      <c r="CJ709" s="332"/>
      <c r="CK709" s="332"/>
      <c r="CL709" s="332"/>
      <c r="CM709" s="332"/>
      <c r="CN709" s="332"/>
      <c r="CO709" s="332"/>
      <c r="CP709" s="332"/>
      <c r="CQ709" s="332"/>
      <c r="CR709" s="332"/>
      <c r="CS709" s="332"/>
      <c r="CT709" s="332"/>
      <c r="CU709" s="332"/>
      <c r="CV709" s="332"/>
      <c r="CW709" s="332"/>
      <c r="CX709" s="332"/>
      <c r="CY709" s="332"/>
      <c r="CZ709" s="332"/>
      <c r="DA709" s="332"/>
      <c r="DB709" s="332"/>
      <c r="DC709" s="332"/>
      <c r="DD709" s="332"/>
      <c r="DE709" s="332"/>
      <c r="DF709" s="332"/>
      <c r="DG709" s="332"/>
      <c r="DH709" s="332"/>
      <c r="DI709" s="332"/>
      <c r="DJ709" s="332"/>
      <c r="DK709" s="332"/>
      <c r="DL709" s="332"/>
      <c r="DM709" s="332"/>
      <c r="DN709" s="332"/>
      <c r="DO709" s="332"/>
      <c r="DP709" s="332"/>
      <c r="DQ709" s="332"/>
      <c r="DR709" s="332"/>
      <c r="DS709" s="332"/>
      <c r="DT709" s="332"/>
      <c r="DU709" s="453"/>
      <c r="DV709" s="453"/>
      <c r="DW709" s="453"/>
      <c r="DX709" s="453"/>
      <c r="DY709" s="453"/>
      <c r="DZ709" s="453"/>
      <c r="EA709" s="453"/>
      <c r="EB709" s="453"/>
      <c r="EC709" s="453"/>
      <c r="ED709" s="453"/>
      <c r="EE709" s="453"/>
      <c r="EF709" s="453"/>
      <c r="EG709" s="453"/>
      <c r="EH709" s="453"/>
      <c r="EI709" s="453"/>
      <c r="EJ709" s="453"/>
      <c r="EK709" s="453"/>
      <c r="EL709" s="453"/>
      <c r="EM709" s="483">
        <f t="shared" si="230"/>
        <v>400</v>
      </c>
      <c r="EN709" s="485"/>
      <c r="EO709" s="458"/>
      <c r="EP709" s="467"/>
      <c r="EQ709" s="457"/>
      <c r="ER709" s="808"/>
      <c r="ES709" s="881">
        <f t="shared" si="231"/>
        <v>0</v>
      </c>
      <c r="ET709" s="882"/>
      <c r="EU709" s="883"/>
      <c r="EV709" s="884">
        <f t="shared" si="229"/>
        <v>0</v>
      </c>
      <c r="EW709" s="885"/>
      <c r="EX709" s="885"/>
      <c r="EY709" s="885"/>
      <c r="EZ709" s="885"/>
      <c r="FA709" s="885"/>
      <c r="FB709" s="885"/>
      <c r="FC709" s="885"/>
      <c r="FD709" s="886"/>
      <c r="FE709" s="878"/>
      <c r="FF709" s="878"/>
      <c r="FG709" s="878"/>
      <c r="FH709" s="878"/>
      <c r="FI709" s="878"/>
      <c r="FJ709" s="878"/>
      <c r="FK709" s="878"/>
      <c r="FL709" s="555"/>
      <c r="FM709" s="554"/>
      <c r="FN709" s="554"/>
      <c r="FO709" s="554"/>
      <c r="FP709" s="554"/>
      <c r="FQ709" s="554"/>
      <c r="FR709" s="554"/>
      <c r="FS709" s="554"/>
      <c r="FT709" s="554"/>
      <c r="FU709" s="554"/>
      <c r="FV709" s="554"/>
      <c r="FW709" s="554"/>
      <c r="FX709" s="554"/>
      <c r="FY709" s="554"/>
      <c r="FZ709" s="554"/>
      <c r="GA709" s="554"/>
      <c r="GB709" s="556"/>
      <c r="GC709" s="370"/>
      <c r="GD709" s="453"/>
      <c r="GE709" s="453"/>
      <c r="GF709" s="453"/>
      <c r="GG709" s="453"/>
      <c r="GH709" s="454"/>
      <c r="GI709" s="453"/>
      <c r="GJ709" s="453"/>
      <c r="GK709" s="453"/>
      <c r="GL709" s="453"/>
      <c r="GM709" s="453"/>
      <c r="GN709" s="453"/>
      <c r="GO709" s="453"/>
      <c r="GP709" s="453"/>
      <c r="GQ709" s="453"/>
      <c r="GR709" s="453"/>
      <c r="GS709" s="561"/>
      <c r="GT709" s="475"/>
      <c r="GU709" s="472"/>
      <c r="GV709" s="453"/>
      <c r="GW709" s="453"/>
      <c r="GX709" s="869"/>
      <c r="GY709" s="870"/>
      <c r="GZ709" s="867"/>
      <c r="HA709" s="868"/>
      <c r="HB709" s="473"/>
      <c r="HC709" s="869"/>
      <c r="HD709" s="870"/>
      <c r="HE709" s="867"/>
      <c r="HF709" s="868"/>
      <c r="HG709" s="473"/>
      <c r="HH709" s="867"/>
      <c r="HI709" s="868"/>
      <c r="HJ709" s="867"/>
      <c r="HK709" s="868"/>
      <c r="HL709" s="370"/>
      <c r="HM709" s="865"/>
      <c r="HN709" s="866"/>
      <c r="HO709" s="865"/>
      <c r="HP709" s="866"/>
      <c r="HQ709" s="865"/>
      <c r="HR709" s="866"/>
      <c r="HS709" s="867"/>
      <c r="HT709" s="868"/>
      <c r="HU709" s="489"/>
      <c r="HV709" s="865"/>
      <c r="HW709" s="866"/>
    </row>
    <row r="710" spans="25:231" ht="15" customHeight="1">
      <c r="Y710" s="332"/>
      <c r="Z710" s="332"/>
      <c r="AA710" s="332"/>
      <c r="AB710" s="332"/>
      <c r="AC710" s="332"/>
      <c r="AD710" s="332"/>
      <c r="AE710" s="332"/>
      <c r="AF710" s="332"/>
      <c r="AG710" s="332"/>
      <c r="AH710" s="332"/>
      <c r="AI710" s="332"/>
      <c r="AJ710" s="332"/>
      <c r="AK710" s="332"/>
      <c r="AL710" s="332"/>
      <c r="AM710" s="332"/>
      <c r="AN710" s="332"/>
      <c r="AO710" s="332"/>
      <c r="AP710" s="332"/>
      <c r="AQ710" s="332"/>
      <c r="AR710" s="332"/>
      <c r="AS710" s="332"/>
      <c r="AT710" s="332"/>
      <c r="AU710" s="332"/>
      <c r="AV710" s="332"/>
      <c r="AW710" s="332"/>
      <c r="AX710" s="332"/>
      <c r="AY710" s="332"/>
      <c r="AZ710" s="332"/>
      <c r="BA710" s="332"/>
      <c r="BB710" s="332"/>
      <c r="BC710" s="332"/>
      <c r="BD710" s="332"/>
      <c r="BE710" s="332"/>
      <c r="BF710" s="332"/>
      <c r="BG710" s="332"/>
      <c r="BH710" s="332"/>
      <c r="BI710" s="332"/>
      <c r="BJ710" s="332"/>
      <c r="BK710" s="332"/>
      <c r="BL710" s="332"/>
      <c r="BM710" s="332"/>
      <c r="BN710" s="332"/>
      <c r="BO710" s="332"/>
      <c r="BP710" s="332"/>
      <c r="BQ710" s="332"/>
      <c r="BR710" s="332"/>
      <c r="BS710" s="332"/>
      <c r="BT710" s="332"/>
      <c r="BU710" s="332"/>
      <c r="BV710" s="332"/>
      <c r="BW710" s="332"/>
      <c r="BX710" s="332"/>
      <c r="BY710" s="332"/>
      <c r="BZ710" s="332"/>
      <c r="CA710" s="332"/>
      <c r="CB710" s="332"/>
      <c r="CC710" s="332"/>
      <c r="CD710" s="332"/>
      <c r="CE710" s="332"/>
      <c r="CF710" s="332"/>
      <c r="CG710" s="332"/>
      <c r="CH710" s="332"/>
      <c r="CI710" s="332"/>
      <c r="CJ710" s="332"/>
      <c r="CK710" s="332"/>
      <c r="CL710" s="332"/>
      <c r="CM710" s="332"/>
      <c r="CN710" s="332"/>
      <c r="CO710" s="332"/>
      <c r="CP710" s="332"/>
      <c r="CQ710" s="332"/>
      <c r="CR710" s="332"/>
      <c r="CS710" s="332"/>
      <c r="CT710" s="332"/>
      <c r="CU710" s="332"/>
      <c r="CV710" s="332"/>
      <c r="CW710" s="332"/>
      <c r="CX710" s="332"/>
      <c r="CY710" s="332"/>
      <c r="CZ710" s="332"/>
      <c r="DA710" s="332"/>
      <c r="DB710" s="332"/>
      <c r="DC710" s="332"/>
      <c r="DD710" s="332"/>
      <c r="DE710" s="332"/>
      <c r="DF710" s="332"/>
      <c r="DG710" s="332"/>
      <c r="DH710" s="332"/>
      <c r="DI710" s="332"/>
      <c r="DJ710" s="332"/>
      <c r="DK710" s="332"/>
      <c r="DL710" s="332"/>
      <c r="DM710" s="332"/>
      <c r="DN710" s="332"/>
      <c r="DO710" s="332"/>
      <c r="DP710" s="332"/>
      <c r="DQ710" s="332"/>
      <c r="DR710" s="332"/>
      <c r="DS710" s="332"/>
      <c r="DT710" s="332"/>
      <c r="DU710" s="453"/>
      <c r="DV710" s="453"/>
      <c r="DW710" s="453"/>
      <c r="DX710" s="453"/>
      <c r="DY710" s="453"/>
      <c r="DZ710" s="453"/>
      <c r="EA710" s="453"/>
      <c r="EB710" s="453"/>
      <c r="EC710" s="453"/>
      <c r="ED710" s="453"/>
      <c r="EE710" s="453"/>
      <c r="EF710" s="453"/>
      <c r="EG710" s="453"/>
      <c r="EH710" s="453"/>
      <c r="EI710" s="453"/>
      <c r="EJ710" s="453"/>
      <c r="EK710" s="453"/>
      <c r="EL710" s="453"/>
      <c r="EM710" s="483">
        <f t="shared" si="230"/>
        <v>401</v>
      </c>
      <c r="EN710" s="485"/>
      <c r="EO710" s="458"/>
      <c r="EP710" s="467"/>
      <c r="EQ710" s="457"/>
      <c r="ER710" s="808"/>
      <c r="ES710" s="881">
        <f t="shared" si="231"/>
        <v>0</v>
      </c>
      <c r="ET710" s="882"/>
      <c r="EU710" s="883"/>
      <c r="EV710" s="884">
        <f t="shared" si="229"/>
        <v>0</v>
      </c>
      <c r="EW710" s="885"/>
      <c r="EX710" s="885"/>
      <c r="EY710" s="885"/>
      <c r="EZ710" s="885"/>
      <c r="FA710" s="885"/>
      <c r="FB710" s="885"/>
      <c r="FC710" s="885"/>
      <c r="FD710" s="886"/>
      <c r="FE710" s="878"/>
      <c r="FF710" s="878"/>
      <c r="FG710" s="878"/>
      <c r="FH710" s="878"/>
      <c r="FI710" s="878"/>
      <c r="FJ710" s="878"/>
      <c r="FK710" s="878"/>
      <c r="FL710" s="555"/>
      <c r="FM710" s="554"/>
      <c r="FN710" s="554"/>
      <c r="FO710" s="554"/>
      <c r="FP710" s="554"/>
      <c r="FQ710" s="554"/>
      <c r="FR710" s="554"/>
      <c r="FS710" s="554"/>
      <c r="FT710" s="554"/>
      <c r="FU710" s="554"/>
      <c r="FV710" s="554"/>
      <c r="FW710" s="554"/>
      <c r="FX710" s="554"/>
      <c r="FY710" s="554"/>
      <c r="FZ710" s="554"/>
      <c r="GA710" s="554"/>
      <c r="GB710" s="556"/>
      <c r="GC710" s="370"/>
      <c r="GD710" s="453"/>
      <c r="GE710" s="453"/>
      <c r="GF710" s="453"/>
      <c r="GG710" s="453"/>
      <c r="GH710" s="454"/>
      <c r="GI710" s="453"/>
      <c r="GJ710" s="453"/>
      <c r="GK710" s="453"/>
      <c r="GL710" s="453"/>
      <c r="GM710" s="453"/>
      <c r="GN710" s="453"/>
      <c r="GO710" s="453"/>
      <c r="GP710" s="453"/>
      <c r="GQ710" s="453"/>
      <c r="GR710" s="453"/>
      <c r="GS710" s="561"/>
      <c r="GT710" s="475"/>
      <c r="GU710" s="472"/>
      <c r="GV710" s="453"/>
      <c r="GW710" s="453"/>
      <c r="GX710" s="869"/>
      <c r="GY710" s="870"/>
      <c r="GZ710" s="867"/>
      <c r="HA710" s="868"/>
      <c r="HB710" s="473"/>
      <c r="HC710" s="869"/>
      <c r="HD710" s="870"/>
      <c r="HE710" s="867"/>
      <c r="HF710" s="868"/>
      <c r="HG710" s="473"/>
      <c r="HH710" s="867"/>
      <c r="HI710" s="868"/>
      <c r="HJ710" s="867"/>
      <c r="HK710" s="868"/>
      <c r="HL710" s="370"/>
      <c r="HM710" s="865"/>
      <c r="HN710" s="866"/>
      <c r="HO710" s="865"/>
      <c r="HP710" s="866"/>
      <c r="HQ710" s="865"/>
      <c r="HR710" s="866"/>
      <c r="HS710" s="867"/>
      <c r="HT710" s="868"/>
      <c r="HU710" s="489"/>
      <c r="HV710" s="865"/>
      <c r="HW710" s="866"/>
    </row>
    <row r="711" spans="25:231" ht="15" customHeight="1">
      <c r="Y711" s="332"/>
      <c r="Z711" s="332"/>
      <c r="AA711" s="332"/>
      <c r="AB711" s="332"/>
      <c r="AC711" s="332"/>
      <c r="AD711" s="332"/>
      <c r="AE711" s="332"/>
      <c r="AF711" s="332"/>
      <c r="AG711" s="332"/>
      <c r="AH711" s="332"/>
      <c r="AI711" s="332"/>
      <c r="AJ711" s="332"/>
      <c r="AK711" s="332"/>
      <c r="AL711" s="332"/>
      <c r="AM711" s="332"/>
      <c r="AN711" s="332"/>
      <c r="AO711" s="332"/>
      <c r="AP711" s="332"/>
      <c r="AQ711" s="332"/>
      <c r="AR711" s="332"/>
      <c r="AS711" s="332"/>
      <c r="AT711" s="332"/>
      <c r="AU711" s="332"/>
      <c r="AV711" s="332"/>
      <c r="AW711" s="332"/>
      <c r="AX711" s="332"/>
      <c r="AY711" s="332"/>
      <c r="AZ711" s="332"/>
      <c r="BA711" s="332"/>
      <c r="BB711" s="332"/>
      <c r="BC711" s="332"/>
      <c r="BD711" s="332"/>
      <c r="BE711" s="332"/>
      <c r="BF711" s="332"/>
      <c r="BG711" s="332"/>
      <c r="BH711" s="332"/>
      <c r="BI711" s="332"/>
      <c r="BJ711" s="332"/>
      <c r="BK711" s="332"/>
      <c r="BL711" s="332"/>
      <c r="BM711" s="332"/>
      <c r="BN711" s="332"/>
      <c r="BO711" s="332"/>
      <c r="BP711" s="332"/>
      <c r="BQ711" s="332"/>
      <c r="BR711" s="332"/>
      <c r="BS711" s="332"/>
      <c r="BT711" s="332"/>
      <c r="BU711" s="332"/>
      <c r="BV711" s="332"/>
      <c r="BW711" s="332"/>
      <c r="BX711" s="332"/>
      <c r="BY711" s="332"/>
      <c r="BZ711" s="332"/>
      <c r="CA711" s="332"/>
      <c r="CB711" s="332"/>
      <c r="CC711" s="332"/>
      <c r="CD711" s="332"/>
      <c r="CE711" s="332"/>
      <c r="CF711" s="332"/>
      <c r="CG711" s="332"/>
      <c r="CH711" s="332"/>
      <c r="CI711" s="332"/>
      <c r="CJ711" s="332"/>
      <c r="CK711" s="332"/>
      <c r="CL711" s="332"/>
      <c r="CM711" s="332"/>
      <c r="CN711" s="332"/>
      <c r="CO711" s="332"/>
      <c r="CP711" s="332"/>
      <c r="CQ711" s="332"/>
      <c r="CR711" s="332"/>
      <c r="CS711" s="332"/>
      <c r="CT711" s="332"/>
      <c r="CU711" s="332"/>
      <c r="CV711" s="332"/>
      <c r="CW711" s="332"/>
      <c r="CX711" s="332"/>
      <c r="CY711" s="332"/>
      <c r="CZ711" s="332"/>
      <c r="DA711" s="332"/>
      <c r="DB711" s="332"/>
      <c r="DC711" s="332"/>
      <c r="DD711" s="332"/>
      <c r="DE711" s="332"/>
      <c r="DF711" s="332"/>
      <c r="DG711" s="332"/>
      <c r="DH711" s="332"/>
      <c r="DI711" s="332"/>
      <c r="DJ711" s="332"/>
      <c r="DK711" s="332"/>
      <c r="DL711" s="332"/>
      <c r="DM711" s="332"/>
      <c r="DN711" s="332"/>
      <c r="DO711" s="332"/>
      <c r="DP711" s="332"/>
      <c r="DQ711" s="332"/>
      <c r="DR711" s="332"/>
      <c r="DS711" s="332"/>
      <c r="DT711" s="332"/>
      <c r="DU711" s="453"/>
      <c r="DV711" s="453"/>
      <c r="DW711" s="453"/>
      <c r="DX711" s="453"/>
      <c r="DY711" s="453"/>
      <c r="DZ711" s="453"/>
      <c r="EA711" s="453"/>
      <c r="EB711" s="453"/>
      <c r="EC711" s="453"/>
      <c r="ED711" s="453"/>
      <c r="EE711" s="453"/>
      <c r="EF711" s="453"/>
      <c r="EG711" s="453"/>
      <c r="EH711" s="453"/>
      <c r="EI711" s="453"/>
      <c r="EJ711" s="453"/>
      <c r="EK711" s="453"/>
      <c r="EL711" s="453"/>
      <c r="EM711" s="483">
        <f t="shared" si="230"/>
        <v>402</v>
      </c>
      <c r="EN711" s="485"/>
      <c r="EO711" s="458"/>
      <c r="EP711" s="467"/>
      <c r="EQ711" s="457"/>
      <c r="ER711" s="808"/>
      <c r="ES711" s="881">
        <f t="shared" si="231"/>
        <v>0</v>
      </c>
      <c r="ET711" s="882"/>
      <c r="EU711" s="883"/>
      <c r="EV711" s="884">
        <f t="shared" si="229"/>
        <v>0</v>
      </c>
      <c r="EW711" s="885"/>
      <c r="EX711" s="885"/>
      <c r="EY711" s="885"/>
      <c r="EZ711" s="885"/>
      <c r="FA711" s="885"/>
      <c r="FB711" s="885"/>
      <c r="FC711" s="885"/>
      <c r="FD711" s="886"/>
      <c r="FE711" s="878"/>
      <c r="FF711" s="878"/>
      <c r="FG711" s="878"/>
      <c r="FH711" s="878"/>
      <c r="FI711" s="878"/>
      <c r="FJ711" s="878"/>
      <c r="FK711" s="878"/>
      <c r="FL711" s="555"/>
      <c r="FM711" s="554"/>
      <c r="FN711" s="554"/>
      <c r="FO711" s="554"/>
      <c r="FP711" s="554"/>
      <c r="FQ711" s="554"/>
      <c r="FR711" s="554"/>
      <c r="FS711" s="554"/>
      <c r="FT711" s="554"/>
      <c r="FU711" s="554"/>
      <c r="FV711" s="554"/>
      <c r="FW711" s="554"/>
      <c r="FX711" s="554"/>
      <c r="FY711" s="554"/>
      <c r="FZ711" s="554"/>
      <c r="GA711" s="554"/>
      <c r="GB711" s="556"/>
      <c r="GC711" s="370"/>
      <c r="GD711" s="453"/>
      <c r="GE711" s="453"/>
      <c r="GF711" s="453"/>
      <c r="GG711" s="453"/>
      <c r="GH711" s="454"/>
      <c r="GI711" s="453"/>
      <c r="GJ711" s="453"/>
      <c r="GK711" s="453"/>
      <c r="GL711" s="453"/>
      <c r="GM711" s="453"/>
      <c r="GN711" s="453"/>
      <c r="GO711" s="453"/>
      <c r="GP711" s="453"/>
      <c r="GQ711" s="453"/>
      <c r="GR711" s="453"/>
      <c r="GS711" s="561"/>
      <c r="GT711" s="475"/>
      <c r="GU711" s="472"/>
      <c r="GV711" s="453"/>
      <c r="GW711" s="453"/>
      <c r="GX711" s="869"/>
      <c r="GY711" s="870"/>
      <c r="GZ711" s="867"/>
      <c r="HA711" s="868"/>
      <c r="HB711" s="473"/>
      <c r="HC711" s="869"/>
      <c r="HD711" s="870"/>
      <c r="HE711" s="867"/>
      <c r="HF711" s="868"/>
      <c r="HG711" s="473"/>
      <c r="HH711" s="867"/>
      <c r="HI711" s="868"/>
      <c r="HJ711" s="867"/>
      <c r="HK711" s="868"/>
      <c r="HL711" s="370"/>
      <c r="HM711" s="865"/>
      <c r="HN711" s="866"/>
      <c r="HO711" s="865"/>
      <c r="HP711" s="866"/>
      <c r="HQ711" s="865"/>
      <c r="HR711" s="866"/>
      <c r="HS711" s="867"/>
      <c r="HT711" s="868"/>
      <c r="HU711" s="489"/>
      <c r="HV711" s="865"/>
      <c r="HW711" s="866"/>
    </row>
    <row r="712" spans="25:231" ht="15" customHeight="1">
      <c r="Y712" s="332"/>
      <c r="Z712" s="332"/>
      <c r="AA712" s="332"/>
      <c r="AB712" s="332"/>
      <c r="AC712" s="332"/>
      <c r="AD712" s="332"/>
      <c r="AE712" s="332"/>
      <c r="AF712" s="332"/>
      <c r="AG712" s="332"/>
      <c r="AH712" s="332"/>
      <c r="AI712" s="332"/>
      <c r="AJ712" s="332"/>
      <c r="AK712" s="332"/>
      <c r="AL712" s="332"/>
      <c r="AM712" s="332"/>
      <c r="AN712" s="332"/>
      <c r="AO712" s="332"/>
      <c r="AP712" s="332"/>
      <c r="AQ712" s="332"/>
      <c r="AR712" s="332"/>
      <c r="AS712" s="332"/>
      <c r="AT712" s="332"/>
      <c r="AU712" s="332"/>
      <c r="AV712" s="332"/>
      <c r="AW712" s="332"/>
      <c r="AX712" s="332"/>
      <c r="AY712" s="332"/>
      <c r="AZ712" s="332"/>
      <c r="BA712" s="332"/>
      <c r="BB712" s="332"/>
      <c r="BC712" s="332"/>
      <c r="BD712" s="332"/>
      <c r="BE712" s="332"/>
      <c r="BF712" s="332"/>
      <c r="BG712" s="332"/>
      <c r="BH712" s="332"/>
      <c r="BI712" s="332"/>
      <c r="BJ712" s="332"/>
      <c r="BK712" s="332"/>
      <c r="BL712" s="332"/>
      <c r="BM712" s="332"/>
      <c r="BN712" s="332"/>
      <c r="BO712" s="332"/>
      <c r="BP712" s="332"/>
      <c r="BQ712" s="332"/>
      <c r="BR712" s="332"/>
      <c r="BS712" s="332"/>
      <c r="BT712" s="332"/>
      <c r="BU712" s="332"/>
      <c r="BV712" s="332"/>
      <c r="BW712" s="332"/>
      <c r="BX712" s="332"/>
      <c r="BY712" s="332"/>
      <c r="BZ712" s="332"/>
      <c r="CA712" s="332"/>
      <c r="CB712" s="332"/>
      <c r="CC712" s="332"/>
      <c r="CD712" s="332"/>
      <c r="CE712" s="332"/>
      <c r="CF712" s="332"/>
      <c r="CG712" s="332"/>
      <c r="CH712" s="332"/>
      <c r="CI712" s="332"/>
      <c r="CJ712" s="332"/>
      <c r="CK712" s="332"/>
      <c r="CL712" s="332"/>
      <c r="CM712" s="332"/>
      <c r="CN712" s="332"/>
      <c r="CO712" s="332"/>
      <c r="CP712" s="332"/>
      <c r="CQ712" s="332"/>
      <c r="CR712" s="332"/>
      <c r="CS712" s="332"/>
      <c r="CT712" s="332"/>
      <c r="CU712" s="332"/>
      <c r="CV712" s="332"/>
      <c r="CW712" s="332"/>
      <c r="CX712" s="332"/>
      <c r="CY712" s="332"/>
      <c r="CZ712" s="332"/>
      <c r="DA712" s="332"/>
      <c r="DB712" s="332"/>
      <c r="DC712" s="332"/>
      <c r="DD712" s="332"/>
      <c r="DE712" s="332"/>
      <c r="DF712" s="332"/>
      <c r="DG712" s="332"/>
      <c r="DH712" s="332"/>
      <c r="DI712" s="332"/>
      <c r="DJ712" s="332"/>
      <c r="DK712" s="332"/>
      <c r="DL712" s="332"/>
      <c r="DM712" s="332"/>
      <c r="DN712" s="332"/>
      <c r="DO712" s="332"/>
      <c r="DP712" s="332"/>
      <c r="DQ712" s="332"/>
      <c r="DR712" s="332"/>
      <c r="DS712" s="332"/>
      <c r="DT712" s="332"/>
      <c r="DU712" s="453"/>
      <c r="DV712" s="453"/>
      <c r="DW712" s="453"/>
      <c r="DX712" s="453"/>
      <c r="DY712" s="453"/>
      <c r="DZ712" s="453"/>
      <c r="EA712" s="453"/>
      <c r="EB712" s="453"/>
      <c r="EC712" s="453"/>
      <c r="ED712" s="453"/>
      <c r="EE712" s="453"/>
      <c r="EF712" s="453"/>
      <c r="EG712" s="453"/>
      <c r="EH712" s="453"/>
      <c r="EI712" s="453"/>
      <c r="EJ712" s="453"/>
      <c r="EK712" s="453"/>
      <c r="EL712" s="453"/>
      <c r="EM712" s="483">
        <f t="shared" si="230"/>
        <v>403</v>
      </c>
      <c r="EN712" s="485"/>
      <c r="EO712" s="458"/>
      <c r="EP712" s="467"/>
      <c r="EQ712" s="457"/>
      <c r="ER712" s="808"/>
      <c r="ES712" s="881">
        <f t="shared" si="231"/>
        <v>0</v>
      </c>
      <c r="ET712" s="882"/>
      <c r="EU712" s="883"/>
      <c r="EV712" s="884">
        <f t="shared" si="229"/>
        <v>0</v>
      </c>
      <c r="EW712" s="885"/>
      <c r="EX712" s="885"/>
      <c r="EY712" s="885"/>
      <c r="EZ712" s="885"/>
      <c r="FA712" s="885"/>
      <c r="FB712" s="885"/>
      <c r="FC712" s="885"/>
      <c r="FD712" s="886"/>
      <c r="FE712" s="878"/>
      <c r="FF712" s="878"/>
      <c r="FG712" s="878"/>
      <c r="FH712" s="878"/>
      <c r="FI712" s="878"/>
      <c r="FJ712" s="878"/>
      <c r="FK712" s="878"/>
      <c r="FL712" s="555"/>
      <c r="FM712" s="554"/>
      <c r="FN712" s="554"/>
      <c r="FO712" s="554"/>
      <c r="FP712" s="554"/>
      <c r="FQ712" s="554"/>
      <c r="FR712" s="554"/>
      <c r="FS712" s="554"/>
      <c r="FT712" s="554"/>
      <c r="FU712" s="554"/>
      <c r="FV712" s="554"/>
      <c r="FW712" s="554"/>
      <c r="FX712" s="554"/>
      <c r="FY712" s="554"/>
      <c r="FZ712" s="554"/>
      <c r="GA712" s="554"/>
      <c r="GB712" s="556"/>
      <c r="GC712" s="370"/>
      <c r="GD712" s="453"/>
      <c r="GE712" s="453"/>
      <c r="GF712" s="453"/>
      <c r="GG712" s="453"/>
      <c r="GH712" s="454"/>
      <c r="GI712" s="453"/>
      <c r="GJ712" s="453"/>
      <c r="GK712" s="453"/>
      <c r="GL712" s="453"/>
      <c r="GM712" s="453"/>
      <c r="GN712" s="453"/>
      <c r="GO712" s="453"/>
      <c r="GP712" s="453"/>
      <c r="GQ712" s="453"/>
      <c r="GR712" s="453"/>
      <c r="GS712" s="561"/>
      <c r="GT712" s="475"/>
      <c r="GU712" s="472"/>
      <c r="GV712" s="453"/>
      <c r="GW712" s="453"/>
      <c r="GX712" s="869"/>
      <c r="GY712" s="870"/>
      <c r="GZ712" s="867"/>
      <c r="HA712" s="868"/>
      <c r="HB712" s="473"/>
      <c r="HC712" s="869"/>
      <c r="HD712" s="870"/>
      <c r="HE712" s="867"/>
      <c r="HF712" s="868"/>
      <c r="HG712" s="473"/>
      <c r="HH712" s="867"/>
      <c r="HI712" s="868"/>
      <c r="HJ712" s="867"/>
      <c r="HK712" s="868"/>
      <c r="HL712" s="370"/>
      <c r="HM712" s="865"/>
      <c r="HN712" s="866"/>
      <c r="HO712" s="865"/>
      <c r="HP712" s="866"/>
      <c r="HQ712" s="865"/>
      <c r="HR712" s="866"/>
      <c r="HS712" s="867"/>
      <c r="HT712" s="868"/>
      <c r="HU712" s="489"/>
      <c r="HV712" s="865"/>
      <c r="HW712" s="866"/>
    </row>
    <row r="713" spans="25:231" ht="15" customHeight="1">
      <c r="Y713" s="332"/>
      <c r="Z713" s="332"/>
      <c r="AA713" s="332"/>
      <c r="AB713" s="332"/>
      <c r="AC713" s="332"/>
      <c r="AD713" s="332"/>
      <c r="AE713" s="332"/>
      <c r="AF713" s="332"/>
      <c r="AG713" s="332"/>
      <c r="AH713" s="332"/>
      <c r="AI713" s="332"/>
      <c r="AJ713" s="332"/>
      <c r="AK713" s="332"/>
      <c r="AL713" s="332"/>
      <c r="AM713" s="332"/>
      <c r="AN713" s="332"/>
      <c r="AO713" s="332"/>
      <c r="AP713" s="332"/>
      <c r="AQ713" s="332"/>
      <c r="AR713" s="332"/>
      <c r="AS713" s="332"/>
      <c r="AT713" s="332"/>
      <c r="AU713" s="332"/>
      <c r="AV713" s="332"/>
      <c r="AW713" s="332"/>
      <c r="AX713" s="332"/>
      <c r="AY713" s="332"/>
      <c r="AZ713" s="332"/>
      <c r="BA713" s="332"/>
      <c r="BB713" s="332"/>
      <c r="BC713" s="332"/>
      <c r="BD713" s="332"/>
      <c r="BE713" s="332"/>
      <c r="BF713" s="332"/>
      <c r="BG713" s="332"/>
      <c r="BH713" s="332"/>
      <c r="BI713" s="332"/>
      <c r="BJ713" s="332"/>
      <c r="BK713" s="332"/>
      <c r="BL713" s="332"/>
      <c r="BM713" s="332"/>
      <c r="BN713" s="332"/>
      <c r="BO713" s="332"/>
      <c r="BP713" s="332"/>
      <c r="BQ713" s="332"/>
      <c r="BR713" s="332"/>
      <c r="BS713" s="332"/>
      <c r="BT713" s="332"/>
      <c r="BU713" s="332"/>
      <c r="BV713" s="332"/>
      <c r="BW713" s="332"/>
      <c r="BX713" s="332"/>
      <c r="BY713" s="332"/>
      <c r="BZ713" s="332"/>
      <c r="CA713" s="332"/>
      <c r="CB713" s="332"/>
      <c r="CC713" s="332"/>
      <c r="CD713" s="332"/>
      <c r="CE713" s="332"/>
      <c r="CF713" s="332"/>
      <c r="CG713" s="332"/>
      <c r="CH713" s="332"/>
      <c r="CI713" s="332"/>
      <c r="CJ713" s="332"/>
      <c r="CK713" s="332"/>
      <c r="CL713" s="332"/>
      <c r="CM713" s="332"/>
      <c r="CN713" s="332"/>
      <c r="CO713" s="332"/>
      <c r="CP713" s="332"/>
      <c r="CQ713" s="332"/>
      <c r="CR713" s="332"/>
      <c r="CS713" s="332"/>
      <c r="CT713" s="332"/>
      <c r="CU713" s="332"/>
      <c r="CV713" s="332"/>
      <c r="CW713" s="332"/>
      <c r="CX713" s="332"/>
      <c r="CY713" s="332"/>
      <c r="CZ713" s="332"/>
      <c r="DA713" s="332"/>
      <c r="DB713" s="332"/>
      <c r="DC713" s="332"/>
      <c r="DD713" s="332"/>
      <c r="DE713" s="332"/>
      <c r="DF713" s="332"/>
      <c r="DG713" s="332"/>
      <c r="DH713" s="332"/>
      <c r="DI713" s="332"/>
      <c r="DJ713" s="332"/>
      <c r="DK713" s="332"/>
      <c r="DL713" s="332"/>
      <c r="DM713" s="332"/>
      <c r="DN713" s="332"/>
      <c r="DO713" s="332"/>
      <c r="DP713" s="332"/>
      <c r="DQ713" s="332"/>
      <c r="DR713" s="332"/>
      <c r="DS713" s="332"/>
      <c r="DT713" s="332"/>
      <c r="DU713" s="453"/>
      <c r="DV713" s="453"/>
      <c r="DW713" s="453"/>
      <c r="DX713" s="453"/>
      <c r="DY713" s="453"/>
      <c r="DZ713" s="453"/>
      <c r="EA713" s="453"/>
      <c r="EB713" s="453"/>
      <c r="EC713" s="453"/>
      <c r="ED713" s="453"/>
      <c r="EE713" s="453"/>
      <c r="EF713" s="453"/>
      <c r="EG713" s="453"/>
      <c r="EH713" s="453"/>
      <c r="EI713" s="453"/>
      <c r="EJ713" s="453"/>
      <c r="EK713" s="453"/>
      <c r="EL713" s="453"/>
      <c r="EM713" s="483">
        <f t="shared" si="230"/>
        <v>404</v>
      </c>
      <c r="EN713" s="485"/>
      <c r="EO713" s="458"/>
      <c r="EP713" s="467"/>
      <c r="EQ713" s="457"/>
      <c r="ER713" s="808"/>
      <c r="ES713" s="881">
        <f t="shared" si="231"/>
        <v>0</v>
      </c>
      <c r="ET713" s="882"/>
      <c r="EU713" s="883"/>
      <c r="EV713" s="884">
        <f t="shared" si="229"/>
        <v>0</v>
      </c>
      <c r="EW713" s="885"/>
      <c r="EX713" s="885"/>
      <c r="EY713" s="885"/>
      <c r="EZ713" s="885"/>
      <c r="FA713" s="885"/>
      <c r="FB713" s="885"/>
      <c r="FC713" s="885"/>
      <c r="FD713" s="886"/>
      <c r="FE713" s="878"/>
      <c r="FF713" s="878"/>
      <c r="FG713" s="878"/>
      <c r="FH713" s="878"/>
      <c r="FI713" s="878"/>
      <c r="FJ713" s="878"/>
      <c r="FK713" s="878"/>
      <c r="FL713" s="555"/>
      <c r="FM713" s="554"/>
      <c r="FN713" s="554"/>
      <c r="FO713" s="554"/>
      <c r="FP713" s="554"/>
      <c r="FQ713" s="554"/>
      <c r="FR713" s="554"/>
      <c r="FS713" s="554"/>
      <c r="FT713" s="554"/>
      <c r="FU713" s="554"/>
      <c r="FV713" s="554"/>
      <c r="FW713" s="554"/>
      <c r="FX713" s="554"/>
      <c r="FY713" s="554"/>
      <c r="FZ713" s="554"/>
      <c r="GA713" s="554"/>
      <c r="GB713" s="556"/>
      <c r="GC713" s="370"/>
      <c r="GD713" s="453"/>
      <c r="GE713" s="453"/>
      <c r="GF713" s="453"/>
      <c r="GG713" s="453"/>
      <c r="GH713" s="454"/>
      <c r="GI713" s="453"/>
      <c r="GJ713" s="453"/>
      <c r="GK713" s="453"/>
      <c r="GL713" s="453"/>
      <c r="GM713" s="453"/>
      <c r="GN713" s="453"/>
      <c r="GO713" s="453"/>
      <c r="GP713" s="453"/>
      <c r="GQ713" s="453"/>
      <c r="GR713" s="453"/>
      <c r="GS713" s="561"/>
      <c r="GT713" s="475"/>
      <c r="GU713" s="472"/>
      <c r="GV713" s="453"/>
      <c r="GW713" s="453"/>
      <c r="GX713" s="869"/>
      <c r="GY713" s="870"/>
      <c r="GZ713" s="867"/>
      <c r="HA713" s="868"/>
      <c r="HB713" s="473"/>
      <c r="HC713" s="869"/>
      <c r="HD713" s="870"/>
      <c r="HE713" s="867"/>
      <c r="HF713" s="868"/>
      <c r="HG713" s="473"/>
      <c r="HH713" s="867"/>
      <c r="HI713" s="868"/>
      <c r="HJ713" s="867"/>
      <c r="HK713" s="868"/>
      <c r="HL713" s="370"/>
      <c r="HM713" s="865"/>
      <c r="HN713" s="866"/>
      <c r="HO713" s="865"/>
      <c r="HP713" s="866"/>
      <c r="HQ713" s="865"/>
      <c r="HR713" s="866"/>
      <c r="HS713" s="867"/>
      <c r="HT713" s="868"/>
      <c r="HU713" s="489"/>
      <c r="HV713" s="865"/>
      <c r="HW713" s="866"/>
    </row>
    <row r="714" spans="25:231" ht="15" customHeight="1">
      <c r="Y714" s="332"/>
      <c r="Z714" s="332"/>
      <c r="AA714" s="332"/>
      <c r="AB714" s="332"/>
      <c r="AC714" s="332"/>
      <c r="AD714" s="332"/>
      <c r="AE714" s="332"/>
      <c r="AF714" s="332"/>
      <c r="AG714" s="332"/>
      <c r="AH714" s="332"/>
      <c r="AI714" s="332"/>
      <c r="AJ714" s="332"/>
      <c r="AK714" s="332"/>
      <c r="AL714" s="332"/>
      <c r="AM714" s="332"/>
      <c r="AN714" s="332"/>
      <c r="AO714" s="332"/>
      <c r="AP714" s="332"/>
      <c r="AQ714" s="332"/>
      <c r="AR714" s="332"/>
      <c r="AS714" s="332"/>
      <c r="AT714" s="332"/>
      <c r="AU714" s="332"/>
      <c r="AV714" s="332"/>
      <c r="AW714" s="332"/>
      <c r="AX714" s="332"/>
      <c r="AY714" s="332"/>
      <c r="AZ714" s="332"/>
      <c r="BA714" s="332"/>
      <c r="BB714" s="332"/>
      <c r="BC714" s="332"/>
      <c r="BD714" s="332"/>
      <c r="BE714" s="332"/>
      <c r="BF714" s="332"/>
      <c r="BG714" s="332"/>
      <c r="BH714" s="332"/>
      <c r="BI714" s="332"/>
      <c r="BJ714" s="332"/>
      <c r="BK714" s="332"/>
      <c r="BL714" s="332"/>
      <c r="BM714" s="332"/>
      <c r="BN714" s="332"/>
      <c r="BO714" s="332"/>
      <c r="BP714" s="332"/>
      <c r="BQ714" s="332"/>
      <c r="BR714" s="332"/>
      <c r="BS714" s="332"/>
      <c r="BT714" s="332"/>
      <c r="BU714" s="332"/>
      <c r="BV714" s="332"/>
      <c r="BW714" s="332"/>
      <c r="BX714" s="332"/>
      <c r="BY714" s="332"/>
      <c r="BZ714" s="332"/>
      <c r="CA714" s="332"/>
      <c r="CB714" s="332"/>
      <c r="CC714" s="332"/>
      <c r="CD714" s="332"/>
      <c r="CE714" s="332"/>
      <c r="CF714" s="332"/>
      <c r="CG714" s="332"/>
      <c r="CH714" s="332"/>
      <c r="CI714" s="332"/>
      <c r="CJ714" s="332"/>
      <c r="CK714" s="332"/>
      <c r="CL714" s="332"/>
      <c r="CM714" s="332"/>
      <c r="CN714" s="332"/>
      <c r="CO714" s="332"/>
      <c r="CP714" s="332"/>
      <c r="CQ714" s="332"/>
      <c r="CR714" s="332"/>
      <c r="CS714" s="332"/>
      <c r="CT714" s="332"/>
      <c r="CU714" s="332"/>
      <c r="CV714" s="332"/>
      <c r="CW714" s="332"/>
      <c r="CX714" s="332"/>
      <c r="CY714" s="332"/>
      <c r="CZ714" s="332"/>
      <c r="DA714" s="332"/>
      <c r="DB714" s="332"/>
      <c r="DC714" s="332"/>
      <c r="DD714" s="332"/>
      <c r="DE714" s="332"/>
      <c r="DF714" s="332"/>
      <c r="DG714" s="332"/>
      <c r="DH714" s="332"/>
      <c r="DI714" s="332"/>
      <c r="DJ714" s="332"/>
      <c r="DK714" s="332"/>
      <c r="DL714" s="332"/>
      <c r="DM714" s="332"/>
      <c r="DN714" s="332"/>
      <c r="DO714" s="332"/>
      <c r="DP714" s="332"/>
      <c r="DQ714" s="332"/>
      <c r="DR714" s="332"/>
      <c r="DS714" s="332"/>
      <c r="DT714" s="332"/>
      <c r="DU714" s="453"/>
      <c r="DV714" s="453"/>
      <c r="DW714" s="453"/>
      <c r="DX714" s="453"/>
      <c r="DY714" s="453"/>
      <c r="DZ714" s="453"/>
      <c r="EA714" s="453"/>
      <c r="EB714" s="453"/>
      <c r="EC714" s="453"/>
      <c r="ED714" s="453"/>
      <c r="EE714" s="453"/>
      <c r="EF714" s="453"/>
      <c r="EG714" s="453"/>
      <c r="EH714" s="453"/>
      <c r="EI714" s="453"/>
      <c r="EJ714" s="453"/>
      <c r="EK714" s="453"/>
      <c r="EL714" s="453"/>
      <c r="EM714" s="483">
        <f t="shared" si="230"/>
        <v>405</v>
      </c>
      <c r="EN714" s="485"/>
      <c r="EO714" s="458"/>
      <c r="EP714" s="467"/>
      <c r="EQ714" s="457"/>
      <c r="ER714" s="808"/>
      <c r="ES714" s="881">
        <f t="shared" si="231"/>
        <v>0</v>
      </c>
      <c r="ET714" s="882"/>
      <c r="EU714" s="883"/>
      <c r="EV714" s="884">
        <f t="shared" si="229"/>
        <v>0</v>
      </c>
      <c r="EW714" s="885"/>
      <c r="EX714" s="885"/>
      <c r="EY714" s="885"/>
      <c r="EZ714" s="885"/>
      <c r="FA714" s="885"/>
      <c r="FB714" s="885"/>
      <c r="FC714" s="885"/>
      <c r="FD714" s="886"/>
      <c r="FE714" s="878"/>
      <c r="FF714" s="878"/>
      <c r="FG714" s="878"/>
      <c r="FH714" s="878"/>
      <c r="FI714" s="878"/>
      <c r="FJ714" s="878"/>
      <c r="FK714" s="878"/>
      <c r="FL714" s="555"/>
      <c r="FM714" s="554"/>
      <c r="FN714" s="554"/>
      <c r="FO714" s="554"/>
      <c r="FP714" s="554"/>
      <c r="FQ714" s="554"/>
      <c r="FR714" s="554"/>
      <c r="FS714" s="554"/>
      <c r="FT714" s="554"/>
      <c r="FU714" s="554"/>
      <c r="FV714" s="554"/>
      <c r="FW714" s="554"/>
      <c r="FX714" s="554"/>
      <c r="FY714" s="554"/>
      <c r="FZ714" s="554"/>
      <c r="GA714" s="554"/>
      <c r="GB714" s="556"/>
      <c r="GC714" s="370"/>
      <c r="GD714" s="453"/>
      <c r="GE714" s="453"/>
      <c r="GF714" s="453"/>
      <c r="GG714" s="453"/>
      <c r="GH714" s="454"/>
      <c r="GI714" s="453"/>
      <c r="GJ714" s="453"/>
      <c r="GK714" s="453"/>
      <c r="GL714" s="453"/>
      <c r="GM714" s="453"/>
      <c r="GN714" s="453"/>
      <c r="GO714" s="453"/>
      <c r="GP714" s="453"/>
      <c r="GQ714" s="453"/>
      <c r="GR714" s="453"/>
      <c r="GS714" s="561"/>
      <c r="GT714" s="475"/>
      <c r="GU714" s="472"/>
      <c r="GV714" s="453"/>
      <c r="GW714" s="453"/>
      <c r="GX714" s="869"/>
      <c r="GY714" s="870"/>
      <c r="GZ714" s="867"/>
      <c r="HA714" s="868"/>
      <c r="HB714" s="473"/>
      <c r="HC714" s="869"/>
      <c r="HD714" s="870"/>
      <c r="HE714" s="867"/>
      <c r="HF714" s="868"/>
      <c r="HG714" s="473"/>
      <c r="HH714" s="867"/>
      <c r="HI714" s="868"/>
      <c r="HJ714" s="867"/>
      <c r="HK714" s="868"/>
      <c r="HL714" s="370"/>
      <c r="HM714" s="865"/>
      <c r="HN714" s="866"/>
      <c r="HO714" s="865"/>
      <c r="HP714" s="866"/>
      <c r="HQ714" s="865"/>
      <c r="HR714" s="866"/>
      <c r="HS714" s="867"/>
      <c r="HT714" s="868"/>
      <c r="HU714" s="489"/>
      <c r="HV714" s="865"/>
      <c r="HW714" s="866"/>
    </row>
    <row r="715" spans="25:231" ht="15" customHeight="1">
      <c r="Y715" s="332"/>
      <c r="Z715" s="332"/>
      <c r="AA715" s="332"/>
      <c r="AB715" s="332"/>
      <c r="AC715" s="332"/>
      <c r="AD715" s="332"/>
      <c r="AE715" s="332"/>
      <c r="AF715" s="332"/>
      <c r="AG715" s="332"/>
      <c r="AH715" s="332"/>
      <c r="AI715" s="332"/>
      <c r="AJ715" s="332"/>
      <c r="AK715" s="332"/>
      <c r="AL715" s="332"/>
      <c r="AM715" s="332"/>
      <c r="AN715" s="332"/>
      <c r="AO715" s="332"/>
      <c r="AP715" s="332"/>
      <c r="AQ715" s="332"/>
      <c r="AR715" s="332"/>
      <c r="AS715" s="332"/>
      <c r="AT715" s="332"/>
      <c r="AU715" s="332"/>
      <c r="AV715" s="332"/>
      <c r="AW715" s="332"/>
      <c r="AX715" s="332"/>
      <c r="AY715" s="332"/>
      <c r="AZ715" s="332"/>
      <c r="BA715" s="332"/>
      <c r="BB715" s="332"/>
      <c r="BC715" s="332"/>
      <c r="BD715" s="332"/>
      <c r="BE715" s="332"/>
      <c r="BF715" s="332"/>
      <c r="BG715" s="332"/>
      <c r="BH715" s="332"/>
      <c r="BI715" s="332"/>
      <c r="BJ715" s="332"/>
      <c r="BK715" s="332"/>
      <c r="BL715" s="332"/>
      <c r="BM715" s="332"/>
      <c r="BN715" s="332"/>
      <c r="BO715" s="332"/>
      <c r="BP715" s="332"/>
      <c r="BQ715" s="332"/>
      <c r="BR715" s="332"/>
      <c r="BS715" s="332"/>
      <c r="BT715" s="332"/>
      <c r="BU715" s="332"/>
      <c r="BV715" s="332"/>
      <c r="BW715" s="332"/>
      <c r="BX715" s="332"/>
      <c r="BY715" s="332"/>
      <c r="BZ715" s="332"/>
      <c r="CA715" s="332"/>
      <c r="CB715" s="332"/>
      <c r="CC715" s="332"/>
      <c r="CD715" s="332"/>
      <c r="CE715" s="332"/>
      <c r="CF715" s="332"/>
      <c r="CG715" s="332"/>
      <c r="CH715" s="332"/>
      <c r="CI715" s="332"/>
      <c r="CJ715" s="332"/>
      <c r="CK715" s="332"/>
      <c r="CL715" s="332"/>
      <c r="CM715" s="332"/>
      <c r="CN715" s="332"/>
      <c r="CO715" s="332"/>
      <c r="CP715" s="332"/>
      <c r="CQ715" s="332"/>
      <c r="CR715" s="332"/>
      <c r="CS715" s="332"/>
      <c r="CT715" s="332"/>
      <c r="CU715" s="332"/>
      <c r="CV715" s="332"/>
      <c r="CW715" s="332"/>
      <c r="CX715" s="332"/>
      <c r="CY715" s="332"/>
      <c r="CZ715" s="332"/>
      <c r="DA715" s="332"/>
      <c r="DB715" s="332"/>
      <c r="DC715" s="332"/>
      <c r="DD715" s="332"/>
      <c r="DE715" s="332"/>
      <c r="DF715" s="332"/>
      <c r="DG715" s="332"/>
      <c r="DH715" s="332"/>
      <c r="DI715" s="332"/>
      <c r="DJ715" s="332"/>
      <c r="DK715" s="332"/>
      <c r="DL715" s="332"/>
      <c r="DM715" s="332"/>
      <c r="DN715" s="332"/>
      <c r="DO715" s="332"/>
      <c r="DP715" s="332"/>
      <c r="DQ715" s="332"/>
      <c r="DR715" s="332"/>
      <c r="DS715" s="332"/>
      <c r="DT715" s="332"/>
      <c r="DU715" s="453"/>
      <c r="DV715" s="453"/>
      <c r="DW715" s="453"/>
      <c r="DX715" s="453"/>
      <c r="DY715" s="453"/>
      <c r="DZ715" s="453"/>
      <c r="EA715" s="453"/>
      <c r="EB715" s="453"/>
      <c r="EC715" s="453"/>
      <c r="ED715" s="453"/>
      <c r="EE715" s="453"/>
      <c r="EF715" s="453"/>
      <c r="EG715" s="453"/>
      <c r="EH715" s="453"/>
      <c r="EI715" s="453"/>
      <c r="EJ715" s="453"/>
      <c r="EK715" s="453"/>
      <c r="EL715" s="453"/>
      <c r="EM715" s="483">
        <f t="shared" si="230"/>
        <v>406</v>
      </c>
      <c r="EN715" s="485"/>
      <c r="EO715" s="458"/>
      <c r="EP715" s="467"/>
      <c r="EQ715" s="457"/>
      <c r="ER715" s="808"/>
      <c r="ES715" s="881">
        <f t="shared" si="231"/>
        <v>0</v>
      </c>
      <c r="ET715" s="882"/>
      <c r="EU715" s="883"/>
      <c r="EV715" s="884">
        <f t="shared" si="229"/>
        <v>0</v>
      </c>
      <c r="EW715" s="885"/>
      <c r="EX715" s="885"/>
      <c r="EY715" s="885"/>
      <c r="EZ715" s="885"/>
      <c r="FA715" s="885"/>
      <c r="FB715" s="885"/>
      <c r="FC715" s="885"/>
      <c r="FD715" s="886"/>
      <c r="FE715" s="878"/>
      <c r="FF715" s="878"/>
      <c r="FG715" s="878"/>
      <c r="FH715" s="878"/>
      <c r="FI715" s="878"/>
      <c r="FJ715" s="878"/>
      <c r="FK715" s="878"/>
      <c r="FL715" s="555"/>
      <c r="FM715" s="554"/>
      <c r="FN715" s="554"/>
      <c r="FO715" s="554"/>
      <c r="FP715" s="554"/>
      <c r="FQ715" s="554"/>
      <c r="FR715" s="554"/>
      <c r="FS715" s="554"/>
      <c r="FT715" s="554"/>
      <c r="FU715" s="554"/>
      <c r="FV715" s="554"/>
      <c r="FW715" s="554"/>
      <c r="FX715" s="554"/>
      <c r="FY715" s="554"/>
      <c r="FZ715" s="554"/>
      <c r="GA715" s="554"/>
      <c r="GB715" s="556"/>
      <c r="GC715" s="370"/>
      <c r="GD715" s="453"/>
      <c r="GE715" s="453"/>
      <c r="GF715" s="453"/>
      <c r="GG715" s="453"/>
      <c r="GH715" s="454"/>
      <c r="GI715" s="453"/>
      <c r="GJ715" s="453"/>
      <c r="GK715" s="453"/>
      <c r="GL715" s="453"/>
      <c r="GM715" s="453"/>
      <c r="GN715" s="453"/>
      <c r="GO715" s="453"/>
      <c r="GP715" s="453"/>
      <c r="GQ715" s="453"/>
      <c r="GR715" s="453"/>
      <c r="GS715" s="561"/>
      <c r="GT715" s="475"/>
      <c r="GU715" s="472"/>
      <c r="GV715" s="453"/>
      <c r="GW715" s="453"/>
      <c r="GX715" s="869"/>
      <c r="GY715" s="870"/>
      <c r="GZ715" s="867"/>
      <c r="HA715" s="868"/>
      <c r="HB715" s="473"/>
      <c r="HC715" s="869"/>
      <c r="HD715" s="870"/>
      <c r="HE715" s="867"/>
      <c r="HF715" s="868"/>
      <c r="HG715" s="473"/>
      <c r="HH715" s="867"/>
      <c r="HI715" s="868"/>
      <c r="HJ715" s="867"/>
      <c r="HK715" s="868"/>
      <c r="HL715" s="370"/>
      <c r="HM715" s="865"/>
      <c r="HN715" s="866"/>
      <c r="HO715" s="865"/>
      <c r="HP715" s="866"/>
      <c r="HQ715" s="865"/>
      <c r="HR715" s="866"/>
      <c r="HS715" s="867"/>
      <c r="HT715" s="868"/>
      <c r="HU715" s="489"/>
      <c r="HV715" s="865"/>
      <c r="HW715" s="866"/>
    </row>
    <row r="716" spans="25:231" ht="15" customHeight="1">
      <c r="Y716" s="332"/>
      <c r="Z716" s="332"/>
      <c r="AA716" s="332"/>
      <c r="AB716" s="332"/>
      <c r="AC716" s="332"/>
      <c r="AD716" s="332"/>
      <c r="AE716" s="332"/>
      <c r="AF716" s="332"/>
      <c r="AG716" s="332"/>
      <c r="AH716" s="332"/>
      <c r="AI716" s="332"/>
      <c r="AJ716" s="332"/>
      <c r="AK716" s="332"/>
      <c r="AL716" s="332"/>
      <c r="AM716" s="332"/>
      <c r="AN716" s="332"/>
      <c r="AO716" s="332"/>
      <c r="AP716" s="332"/>
      <c r="AQ716" s="332"/>
      <c r="AR716" s="332"/>
      <c r="AS716" s="332"/>
      <c r="AT716" s="332"/>
      <c r="AU716" s="332"/>
      <c r="AV716" s="332"/>
      <c r="AW716" s="332"/>
      <c r="AX716" s="332"/>
      <c r="AY716" s="332"/>
      <c r="AZ716" s="332"/>
      <c r="BA716" s="332"/>
      <c r="BB716" s="332"/>
      <c r="BC716" s="332"/>
      <c r="BD716" s="332"/>
      <c r="BE716" s="332"/>
      <c r="BF716" s="332"/>
      <c r="BG716" s="332"/>
      <c r="BH716" s="332"/>
      <c r="BI716" s="332"/>
      <c r="BJ716" s="332"/>
      <c r="BK716" s="332"/>
      <c r="BL716" s="332"/>
      <c r="BM716" s="332"/>
      <c r="BN716" s="332"/>
      <c r="BO716" s="332"/>
      <c r="BP716" s="332"/>
      <c r="BQ716" s="332"/>
      <c r="BR716" s="332"/>
      <c r="BS716" s="332"/>
      <c r="BT716" s="332"/>
      <c r="BU716" s="332"/>
      <c r="BV716" s="332"/>
      <c r="BW716" s="332"/>
      <c r="BX716" s="332"/>
      <c r="BY716" s="332"/>
      <c r="BZ716" s="332"/>
      <c r="CA716" s="332"/>
      <c r="CB716" s="332"/>
      <c r="CC716" s="332"/>
      <c r="CD716" s="332"/>
      <c r="CE716" s="332"/>
      <c r="CF716" s="332"/>
      <c r="CG716" s="332"/>
      <c r="CH716" s="332"/>
      <c r="CI716" s="332"/>
      <c r="CJ716" s="332"/>
      <c r="CK716" s="332"/>
      <c r="CL716" s="332"/>
      <c r="CM716" s="332"/>
      <c r="CN716" s="332"/>
      <c r="CO716" s="332"/>
      <c r="CP716" s="332"/>
      <c r="CQ716" s="332"/>
      <c r="CR716" s="332"/>
      <c r="CS716" s="332"/>
      <c r="CT716" s="332"/>
      <c r="CU716" s="332"/>
      <c r="CV716" s="332"/>
      <c r="CW716" s="332"/>
      <c r="CX716" s="332"/>
      <c r="CY716" s="332"/>
      <c r="CZ716" s="332"/>
      <c r="DA716" s="332"/>
      <c r="DB716" s="332"/>
      <c r="DC716" s="332"/>
      <c r="DD716" s="332"/>
      <c r="DE716" s="332"/>
      <c r="DF716" s="332"/>
      <c r="DG716" s="332"/>
      <c r="DH716" s="332"/>
      <c r="DI716" s="332"/>
      <c r="DJ716" s="332"/>
      <c r="DK716" s="332"/>
      <c r="DL716" s="332"/>
      <c r="DM716" s="332"/>
      <c r="DN716" s="332"/>
      <c r="DO716" s="332"/>
      <c r="DP716" s="332"/>
      <c r="DQ716" s="332"/>
      <c r="DR716" s="332"/>
      <c r="DS716" s="332"/>
      <c r="DT716" s="332"/>
      <c r="DU716" s="453"/>
      <c r="DV716" s="453"/>
      <c r="DW716" s="453"/>
      <c r="DX716" s="453"/>
      <c r="DY716" s="453"/>
      <c r="DZ716" s="453"/>
      <c r="EA716" s="453"/>
      <c r="EB716" s="453"/>
      <c r="EC716" s="453"/>
      <c r="ED716" s="453"/>
      <c r="EE716" s="453"/>
      <c r="EF716" s="453"/>
      <c r="EG716" s="453"/>
      <c r="EH716" s="453"/>
      <c r="EI716" s="453"/>
      <c r="EJ716" s="453"/>
      <c r="EK716" s="453"/>
      <c r="EL716" s="453"/>
      <c r="EM716" s="483">
        <f t="shared" si="230"/>
        <v>407</v>
      </c>
      <c r="EN716" s="485"/>
      <c r="EO716" s="458"/>
      <c r="EP716" s="467"/>
      <c r="EQ716" s="457"/>
      <c r="ER716" s="808"/>
      <c r="ES716" s="881">
        <f t="shared" si="231"/>
        <v>0</v>
      </c>
      <c r="ET716" s="882"/>
      <c r="EU716" s="883"/>
      <c r="EV716" s="884">
        <f t="shared" si="229"/>
        <v>0</v>
      </c>
      <c r="EW716" s="885"/>
      <c r="EX716" s="885"/>
      <c r="EY716" s="885"/>
      <c r="EZ716" s="885"/>
      <c r="FA716" s="885"/>
      <c r="FB716" s="885"/>
      <c r="FC716" s="885"/>
      <c r="FD716" s="886"/>
      <c r="FE716" s="878"/>
      <c r="FF716" s="878"/>
      <c r="FG716" s="878"/>
      <c r="FH716" s="878"/>
      <c r="FI716" s="878"/>
      <c r="FJ716" s="878"/>
      <c r="FK716" s="878"/>
      <c r="FL716" s="555"/>
      <c r="FM716" s="554"/>
      <c r="FN716" s="554"/>
      <c r="FO716" s="554"/>
      <c r="FP716" s="554"/>
      <c r="FQ716" s="554"/>
      <c r="FR716" s="554"/>
      <c r="FS716" s="554"/>
      <c r="FT716" s="554"/>
      <c r="FU716" s="554"/>
      <c r="FV716" s="554"/>
      <c r="FW716" s="554"/>
      <c r="FX716" s="554"/>
      <c r="FY716" s="554"/>
      <c r="FZ716" s="554"/>
      <c r="GA716" s="554"/>
      <c r="GB716" s="556"/>
      <c r="GC716" s="370"/>
      <c r="GD716" s="453"/>
      <c r="GE716" s="453"/>
      <c r="GF716" s="453"/>
      <c r="GG716" s="453"/>
      <c r="GH716" s="454"/>
      <c r="GI716" s="453"/>
      <c r="GJ716" s="453"/>
      <c r="GK716" s="453"/>
      <c r="GL716" s="453"/>
      <c r="GM716" s="453"/>
      <c r="GN716" s="453"/>
      <c r="GO716" s="453"/>
      <c r="GP716" s="453"/>
      <c r="GQ716" s="453"/>
      <c r="GR716" s="453"/>
      <c r="GS716" s="561"/>
      <c r="GT716" s="475"/>
      <c r="GU716" s="472"/>
      <c r="GV716" s="453"/>
      <c r="GW716" s="453"/>
      <c r="GX716" s="869"/>
      <c r="GY716" s="870"/>
      <c r="GZ716" s="867"/>
      <c r="HA716" s="868"/>
      <c r="HB716" s="473"/>
      <c r="HC716" s="869"/>
      <c r="HD716" s="870"/>
      <c r="HE716" s="867"/>
      <c r="HF716" s="868"/>
      <c r="HG716" s="473"/>
      <c r="HH716" s="867"/>
      <c r="HI716" s="868"/>
      <c r="HJ716" s="867"/>
      <c r="HK716" s="868"/>
      <c r="HL716" s="370"/>
      <c r="HM716" s="865"/>
      <c r="HN716" s="866"/>
      <c r="HO716" s="865"/>
      <c r="HP716" s="866"/>
      <c r="HQ716" s="865"/>
      <c r="HR716" s="866"/>
      <c r="HS716" s="867"/>
      <c r="HT716" s="868"/>
      <c r="HU716" s="489"/>
      <c r="HV716" s="865"/>
      <c r="HW716" s="866"/>
    </row>
    <row r="717" spans="25:231" ht="15" customHeight="1">
      <c r="Y717" s="332"/>
      <c r="Z717" s="332"/>
      <c r="AA717" s="332"/>
      <c r="AB717" s="332"/>
      <c r="AC717" s="332"/>
      <c r="AD717" s="332"/>
      <c r="AE717" s="332"/>
      <c r="AF717" s="332"/>
      <c r="AG717" s="332"/>
      <c r="AH717" s="332"/>
      <c r="AI717" s="332"/>
      <c r="AJ717" s="332"/>
      <c r="AK717" s="332"/>
      <c r="AL717" s="332"/>
      <c r="AM717" s="332"/>
      <c r="AN717" s="332"/>
      <c r="AO717" s="332"/>
      <c r="AP717" s="332"/>
      <c r="AQ717" s="332"/>
      <c r="AR717" s="332"/>
      <c r="AS717" s="332"/>
      <c r="AT717" s="332"/>
      <c r="AU717" s="332"/>
      <c r="AV717" s="332"/>
      <c r="AW717" s="332"/>
      <c r="AX717" s="332"/>
      <c r="AY717" s="332"/>
      <c r="AZ717" s="332"/>
      <c r="BA717" s="332"/>
      <c r="BB717" s="332"/>
      <c r="BC717" s="332"/>
      <c r="BD717" s="332"/>
      <c r="BE717" s="332"/>
      <c r="BF717" s="332"/>
      <c r="BG717" s="332"/>
      <c r="BH717" s="332"/>
      <c r="BI717" s="332"/>
      <c r="BJ717" s="332"/>
      <c r="BK717" s="332"/>
      <c r="BL717" s="332"/>
      <c r="BM717" s="332"/>
      <c r="BN717" s="332"/>
      <c r="BO717" s="332"/>
      <c r="BP717" s="332"/>
      <c r="BQ717" s="332"/>
      <c r="BR717" s="332"/>
      <c r="BS717" s="332"/>
      <c r="BT717" s="332"/>
      <c r="BU717" s="332"/>
      <c r="BV717" s="332"/>
      <c r="BW717" s="332"/>
      <c r="BX717" s="332"/>
      <c r="BY717" s="332"/>
      <c r="BZ717" s="332"/>
      <c r="CA717" s="332"/>
      <c r="CB717" s="332"/>
      <c r="CC717" s="332"/>
      <c r="CD717" s="332"/>
      <c r="CE717" s="332"/>
      <c r="CF717" s="332"/>
      <c r="CG717" s="332"/>
      <c r="CH717" s="332"/>
      <c r="CI717" s="332"/>
      <c r="CJ717" s="332"/>
      <c r="CK717" s="332"/>
      <c r="CL717" s="332"/>
      <c r="CM717" s="332"/>
      <c r="CN717" s="332"/>
      <c r="CO717" s="332"/>
      <c r="CP717" s="332"/>
      <c r="CQ717" s="332"/>
      <c r="CR717" s="332"/>
      <c r="CS717" s="332"/>
      <c r="CT717" s="332"/>
      <c r="CU717" s="332"/>
      <c r="CV717" s="332"/>
      <c r="CW717" s="332"/>
      <c r="CX717" s="332"/>
      <c r="CY717" s="332"/>
      <c r="CZ717" s="332"/>
      <c r="DA717" s="332"/>
      <c r="DB717" s="332"/>
      <c r="DC717" s="332"/>
      <c r="DD717" s="332"/>
      <c r="DE717" s="332"/>
      <c r="DF717" s="332"/>
      <c r="DG717" s="332"/>
      <c r="DH717" s="332"/>
      <c r="DI717" s="332"/>
      <c r="DJ717" s="332"/>
      <c r="DK717" s="332"/>
      <c r="DL717" s="332"/>
      <c r="DM717" s="332"/>
      <c r="DN717" s="332"/>
      <c r="DO717" s="332"/>
      <c r="DP717" s="332"/>
      <c r="DQ717" s="332"/>
      <c r="DR717" s="332"/>
      <c r="DS717" s="332"/>
      <c r="DT717" s="332"/>
      <c r="DU717" s="453"/>
      <c r="DV717" s="453"/>
      <c r="DW717" s="453"/>
      <c r="DX717" s="453"/>
      <c r="DY717" s="453"/>
      <c r="DZ717" s="453"/>
      <c r="EA717" s="453"/>
      <c r="EB717" s="453"/>
      <c r="EC717" s="453"/>
      <c r="ED717" s="453"/>
      <c r="EE717" s="453"/>
      <c r="EF717" s="453"/>
      <c r="EG717" s="453"/>
      <c r="EH717" s="453"/>
      <c r="EI717" s="453"/>
      <c r="EJ717" s="453"/>
      <c r="EK717" s="453"/>
      <c r="EL717" s="453"/>
      <c r="EM717" s="483">
        <f t="shared" si="230"/>
        <v>408</v>
      </c>
      <c r="EN717" s="485"/>
      <c r="EO717" s="458"/>
      <c r="EP717" s="467"/>
      <c r="EQ717" s="457"/>
      <c r="ER717" s="808"/>
      <c r="ES717" s="881">
        <f t="shared" si="231"/>
        <v>0</v>
      </c>
      <c r="ET717" s="882"/>
      <c r="EU717" s="883"/>
      <c r="EV717" s="884">
        <f t="shared" si="229"/>
        <v>0</v>
      </c>
      <c r="EW717" s="885"/>
      <c r="EX717" s="885"/>
      <c r="EY717" s="885"/>
      <c r="EZ717" s="885"/>
      <c r="FA717" s="885"/>
      <c r="FB717" s="885"/>
      <c r="FC717" s="885"/>
      <c r="FD717" s="886"/>
      <c r="FE717" s="878"/>
      <c r="FF717" s="878"/>
      <c r="FG717" s="878"/>
      <c r="FH717" s="878"/>
      <c r="FI717" s="878"/>
      <c r="FJ717" s="878"/>
      <c r="FK717" s="878"/>
      <c r="FL717" s="555"/>
      <c r="FM717" s="554"/>
      <c r="FN717" s="554"/>
      <c r="FO717" s="554"/>
      <c r="FP717" s="554"/>
      <c r="FQ717" s="554"/>
      <c r="FR717" s="554"/>
      <c r="FS717" s="554"/>
      <c r="FT717" s="554"/>
      <c r="FU717" s="554"/>
      <c r="FV717" s="554"/>
      <c r="FW717" s="554"/>
      <c r="FX717" s="554"/>
      <c r="FY717" s="554"/>
      <c r="FZ717" s="554"/>
      <c r="GA717" s="554"/>
      <c r="GB717" s="556"/>
      <c r="GC717" s="370"/>
      <c r="GD717" s="453"/>
      <c r="GE717" s="453"/>
      <c r="GF717" s="453"/>
      <c r="GG717" s="453"/>
      <c r="GH717" s="454"/>
      <c r="GI717" s="453"/>
      <c r="GJ717" s="453"/>
      <c r="GK717" s="453"/>
      <c r="GL717" s="453"/>
      <c r="GM717" s="453"/>
      <c r="GN717" s="453"/>
      <c r="GO717" s="453"/>
      <c r="GP717" s="453"/>
      <c r="GQ717" s="453"/>
      <c r="GR717" s="453"/>
      <c r="GS717" s="561"/>
      <c r="GT717" s="475"/>
      <c r="GU717" s="472"/>
      <c r="GV717" s="453"/>
      <c r="GW717" s="453"/>
      <c r="GX717" s="869"/>
      <c r="GY717" s="870"/>
      <c r="GZ717" s="867"/>
      <c r="HA717" s="868"/>
      <c r="HB717" s="473"/>
      <c r="HC717" s="869"/>
      <c r="HD717" s="870"/>
      <c r="HE717" s="867"/>
      <c r="HF717" s="868"/>
      <c r="HG717" s="473"/>
      <c r="HH717" s="867"/>
      <c r="HI717" s="868"/>
      <c r="HJ717" s="867"/>
      <c r="HK717" s="868"/>
      <c r="HL717" s="370"/>
      <c r="HM717" s="865"/>
      <c r="HN717" s="866"/>
      <c r="HO717" s="865"/>
      <c r="HP717" s="866"/>
      <c r="HQ717" s="865"/>
      <c r="HR717" s="866"/>
      <c r="HS717" s="867"/>
      <c r="HT717" s="868"/>
      <c r="HU717" s="489"/>
      <c r="HV717" s="865"/>
      <c r="HW717" s="866"/>
    </row>
    <row r="718" spans="25:231" ht="15" customHeight="1">
      <c r="Y718" s="332"/>
      <c r="Z718" s="332"/>
      <c r="AA718" s="332"/>
      <c r="AB718" s="332"/>
      <c r="AC718" s="332"/>
      <c r="AD718" s="332"/>
      <c r="AE718" s="332"/>
      <c r="AF718" s="332"/>
      <c r="AG718" s="332"/>
      <c r="AH718" s="332"/>
      <c r="AI718" s="332"/>
      <c r="AJ718" s="332"/>
      <c r="AK718" s="332"/>
      <c r="AL718" s="332"/>
      <c r="AM718" s="332"/>
      <c r="AN718" s="332"/>
      <c r="AO718" s="332"/>
      <c r="AP718" s="332"/>
      <c r="AQ718" s="332"/>
      <c r="AR718" s="332"/>
      <c r="AS718" s="332"/>
      <c r="AT718" s="332"/>
      <c r="AU718" s="332"/>
      <c r="AV718" s="332"/>
      <c r="AW718" s="332"/>
      <c r="AX718" s="332"/>
      <c r="AY718" s="332"/>
      <c r="AZ718" s="332"/>
      <c r="BA718" s="332"/>
      <c r="BB718" s="332"/>
      <c r="BC718" s="332"/>
      <c r="BD718" s="332"/>
      <c r="BE718" s="332"/>
      <c r="BF718" s="332"/>
      <c r="BG718" s="332"/>
      <c r="BH718" s="332"/>
      <c r="BI718" s="332"/>
      <c r="BJ718" s="332"/>
      <c r="BK718" s="332"/>
      <c r="BL718" s="332"/>
      <c r="BM718" s="332"/>
      <c r="BN718" s="332"/>
      <c r="BO718" s="332"/>
      <c r="BP718" s="332"/>
      <c r="BQ718" s="332"/>
      <c r="BR718" s="332"/>
      <c r="BS718" s="332"/>
      <c r="BT718" s="332"/>
      <c r="BU718" s="332"/>
      <c r="BV718" s="332"/>
      <c r="BW718" s="332"/>
      <c r="BX718" s="332"/>
      <c r="BY718" s="332"/>
      <c r="BZ718" s="332"/>
      <c r="CA718" s="332"/>
      <c r="CB718" s="332"/>
      <c r="CC718" s="332"/>
      <c r="CD718" s="332"/>
      <c r="CE718" s="332"/>
      <c r="CF718" s="332"/>
      <c r="CG718" s="332"/>
      <c r="CH718" s="332"/>
      <c r="CI718" s="332"/>
      <c r="CJ718" s="332"/>
      <c r="CK718" s="332"/>
      <c r="CL718" s="332"/>
      <c r="CM718" s="332"/>
      <c r="CN718" s="332"/>
      <c r="CO718" s="332"/>
      <c r="CP718" s="332"/>
      <c r="CQ718" s="332"/>
      <c r="CR718" s="332"/>
      <c r="CS718" s="332"/>
      <c r="CT718" s="332"/>
      <c r="CU718" s="332"/>
      <c r="CV718" s="332"/>
      <c r="CW718" s="332"/>
      <c r="CX718" s="332"/>
      <c r="CY718" s="332"/>
      <c r="CZ718" s="332"/>
      <c r="DA718" s="332"/>
      <c r="DB718" s="332"/>
      <c r="DC718" s="332"/>
      <c r="DD718" s="332"/>
      <c r="DE718" s="332"/>
      <c r="DF718" s="332"/>
      <c r="DG718" s="332"/>
      <c r="DH718" s="332"/>
      <c r="DI718" s="332"/>
      <c r="DJ718" s="332"/>
      <c r="DK718" s="332"/>
      <c r="DL718" s="332"/>
      <c r="DM718" s="332"/>
      <c r="DN718" s="332"/>
      <c r="DO718" s="332"/>
      <c r="DP718" s="332"/>
      <c r="DQ718" s="332"/>
      <c r="DR718" s="332"/>
      <c r="DS718" s="332"/>
      <c r="DT718" s="332"/>
      <c r="DU718" s="453"/>
      <c r="DV718" s="453"/>
      <c r="DW718" s="453"/>
      <c r="DX718" s="453"/>
      <c r="DY718" s="453"/>
      <c r="DZ718" s="453"/>
      <c r="EA718" s="453"/>
      <c r="EB718" s="453"/>
      <c r="EC718" s="453"/>
      <c r="ED718" s="453"/>
      <c r="EE718" s="453"/>
      <c r="EF718" s="453"/>
      <c r="EG718" s="453"/>
      <c r="EH718" s="453"/>
      <c r="EI718" s="453"/>
      <c r="EJ718" s="453"/>
      <c r="EK718" s="453"/>
      <c r="EL718" s="453"/>
      <c r="EM718" s="483">
        <f t="shared" si="230"/>
        <v>409</v>
      </c>
      <c r="EN718" s="485"/>
      <c r="EO718" s="458"/>
      <c r="EP718" s="467"/>
      <c r="EQ718" s="457"/>
      <c r="ER718" s="808"/>
      <c r="ES718" s="881">
        <f t="shared" si="231"/>
        <v>0</v>
      </c>
      <c r="ET718" s="882"/>
      <c r="EU718" s="883"/>
      <c r="EV718" s="884">
        <f t="shared" si="229"/>
        <v>0</v>
      </c>
      <c r="EW718" s="885"/>
      <c r="EX718" s="885"/>
      <c r="EY718" s="885"/>
      <c r="EZ718" s="885"/>
      <c r="FA718" s="885"/>
      <c r="FB718" s="885"/>
      <c r="FC718" s="885"/>
      <c r="FD718" s="886"/>
      <c r="FE718" s="878"/>
      <c r="FF718" s="878"/>
      <c r="FG718" s="878"/>
      <c r="FH718" s="878"/>
      <c r="FI718" s="878"/>
      <c r="FJ718" s="878"/>
      <c r="FK718" s="878"/>
      <c r="FL718" s="555"/>
      <c r="FM718" s="554"/>
      <c r="FN718" s="554"/>
      <c r="FO718" s="554"/>
      <c r="FP718" s="554"/>
      <c r="FQ718" s="554"/>
      <c r="FR718" s="554"/>
      <c r="FS718" s="554"/>
      <c r="FT718" s="554"/>
      <c r="FU718" s="554"/>
      <c r="FV718" s="554"/>
      <c r="FW718" s="554"/>
      <c r="FX718" s="554"/>
      <c r="FY718" s="554"/>
      <c r="FZ718" s="554"/>
      <c r="GA718" s="554"/>
      <c r="GB718" s="556"/>
      <c r="GC718" s="370"/>
      <c r="GD718" s="453"/>
      <c r="GE718" s="453"/>
      <c r="GF718" s="453"/>
      <c r="GG718" s="453"/>
      <c r="GH718" s="454"/>
      <c r="GI718" s="453"/>
      <c r="GJ718" s="453"/>
      <c r="GK718" s="453"/>
      <c r="GL718" s="453"/>
      <c r="GM718" s="453"/>
      <c r="GN718" s="453"/>
      <c r="GO718" s="453"/>
      <c r="GP718" s="453"/>
      <c r="GQ718" s="453"/>
      <c r="GR718" s="453"/>
      <c r="GS718" s="561"/>
      <c r="GT718" s="475"/>
      <c r="GU718" s="472"/>
      <c r="GV718" s="453"/>
      <c r="GW718" s="453"/>
      <c r="GX718" s="869"/>
      <c r="GY718" s="870"/>
      <c r="GZ718" s="867"/>
      <c r="HA718" s="868"/>
      <c r="HB718" s="473"/>
      <c r="HC718" s="869"/>
      <c r="HD718" s="870"/>
      <c r="HE718" s="867"/>
      <c r="HF718" s="868"/>
      <c r="HG718" s="473"/>
      <c r="HH718" s="867"/>
      <c r="HI718" s="868"/>
      <c r="HJ718" s="867"/>
      <c r="HK718" s="868"/>
      <c r="HL718" s="370"/>
      <c r="HM718" s="865"/>
      <c r="HN718" s="866"/>
      <c r="HO718" s="865"/>
      <c r="HP718" s="866"/>
      <c r="HQ718" s="865"/>
      <c r="HR718" s="866"/>
      <c r="HS718" s="867"/>
      <c r="HT718" s="868"/>
      <c r="HU718" s="489"/>
      <c r="HV718" s="865"/>
      <c r="HW718" s="866"/>
    </row>
    <row r="719" spans="25:231" ht="15" customHeight="1">
      <c r="Y719" s="332"/>
      <c r="Z719" s="332"/>
      <c r="AA719" s="332"/>
      <c r="AB719" s="332"/>
      <c r="AC719" s="332"/>
      <c r="AD719" s="332"/>
      <c r="AE719" s="332"/>
      <c r="AF719" s="332"/>
      <c r="AG719" s="332"/>
      <c r="AH719" s="332"/>
      <c r="AI719" s="332"/>
      <c r="AJ719" s="332"/>
      <c r="AK719" s="332"/>
      <c r="AL719" s="332"/>
      <c r="AM719" s="332"/>
      <c r="AN719" s="332"/>
      <c r="AO719" s="332"/>
      <c r="AP719" s="332"/>
      <c r="AQ719" s="332"/>
      <c r="AR719" s="332"/>
      <c r="AS719" s="332"/>
      <c r="AT719" s="332"/>
      <c r="AU719" s="332"/>
      <c r="AV719" s="332"/>
      <c r="AW719" s="332"/>
      <c r="AX719" s="332"/>
      <c r="AY719" s="332"/>
      <c r="AZ719" s="332"/>
      <c r="BA719" s="332"/>
      <c r="BB719" s="332"/>
      <c r="BC719" s="332"/>
      <c r="BD719" s="332"/>
      <c r="BE719" s="332"/>
      <c r="BF719" s="332"/>
      <c r="BG719" s="332"/>
      <c r="BH719" s="332"/>
      <c r="BI719" s="332"/>
      <c r="BJ719" s="332"/>
      <c r="BK719" s="332"/>
      <c r="BL719" s="332"/>
      <c r="BM719" s="332"/>
      <c r="BN719" s="332"/>
      <c r="BO719" s="332"/>
      <c r="BP719" s="332"/>
      <c r="BQ719" s="332"/>
      <c r="BR719" s="332"/>
      <c r="BS719" s="332"/>
      <c r="BT719" s="332"/>
      <c r="BU719" s="332"/>
      <c r="BV719" s="332"/>
      <c r="BW719" s="332"/>
      <c r="BX719" s="332"/>
      <c r="BY719" s="332"/>
      <c r="BZ719" s="332"/>
      <c r="CA719" s="332"/>
      <c r="CB719" s="332"/>
      <c r="CC719" s="332"/>
      <c r="CD719" s="332"/>
      <c r="CE719" s="332"/>
      <c r="CF719" s="332"/>
      <c r="CG719" s="332"/>
      <c r="CH719" s="332"/>
      <c r="CI719" s="332"/>
      <c r="CJ719" s="332"/>
      <c r="CK719" s="332"/>
      <c r="CL719" s="332"/>
      <c r="CM719" s="332"/>
      <c r="CN719" s="332"/>
      <c r="CO719" s="332"/>
      <c r="CP719" s="332"/>
      <c r="CQ719" s="332"/>
      <c r="CR719" s="332"/>
      <c r="CS719" s="332"/>
      <c r="CT719" s="332"/>
      <c r="CU719" s="332"/>
      <c r="CV719" s="332"/>
      <c r="CW719" s="332"/>
      <c r="CX719" s="332"/>
      <c r="CY719" s="332"/>
      <c r="CZ719" s="332"/>
      <c r="DA719" s="332"/>
      <c r="DB719" s="332"/>
      <c r="DC719" s="332"/>
      <c r="DD719" s="332"/>
      <c r="DE719" s="332"/>
      <c r="DF719" s="332"/>
      <c r="DG719" s="332"/>
      <c r="DH719" s="332"/>
      <c r="DI719" s="332"/>
      <c r="DJ719" s="332"/>
      <c r="DK719" s="332"/>
      <c r="DL719" s="332"/>
      <c r="DM719" s="332"/>
      <c r="DN719" s="332"/>
      <c r="DO719" s="332"/>
      <c r="DP719" s="332"/>
      <c r="DQ719" s="332"/>
      <c r="DR719" s="332"/>
      <c r="DS719" s="332"/>
      <c r="DT719" s="332"/>
      <c r="DU719" s="453"/>
      <c r="DV719" s="453"/>
      <c r="DW719" s="453"/>
      <c r="DX719" s="453"/>
      <c r="DY719" s="453"/>
      <c r="DZ719" s="453"/>
      <c r="EA719" s="453"/>
      <c r="EB719" s="453"/>
      <c r="EC719" s="453"/>
      <c r="ED719" s="453"/>
      <c r="EE719" s="453"/>
      <c r="EF719" s="453"/>
      <c r="EG719" s="453"/>
      <c r="EH719" s="453"/>
      <c r="EI719" s="453"/>
      <c r="EJ719" s="453"/>
      <c r="EK719" s="453"/>
      <c r="EL719" s="453"/>
      <c r="EM719" s="483">
        <f t="shared" si="230"/>
        <v>410</v>
      </c>
      <c r="EN719" s="485"/>
      <c r="EO719" s="458"/>
      <c r="EP719" s="467"/>
      <c r="EQ719" s="457"/>
      <c r="ER719" s="808"/>
      <c r="ES719" s="881">
        <f t="shared" si="231"/>
        <v>0</v>
      </c>
      <c r="ET719" s="882"/>
      <c r="EU719" s="883"/>
      <c r="EV719" s="884">
        <f t="shared" si="229"/>
        <v>0</v>
      </c>
      <c r="EW719" s="885"/>
      <c r="EX719" s="885"/>
      <c r="EY719" s="885"/>
      <c r="EZ719" s="885"/>
      <c r="FA719" s="885"/>
      <c r="FB719" s="885"/>
      <c r="FC719" s="885"/>
      <c r="FD719" s="886"/>
      <c r="FE719" s="878"/>
      <c r="FF719" s="878"/>
      <c r="FG719" s="878"/>
      <c r="FH719" s="878"/>
      <c r="FI719" s="878"/>
      <c r="FJ719" s="878"/>
      <c r="FK719" s="878"/>
      <c r="FL719" s="555"/>
      <c r="FM719" s="554"/>
      <c r="FN719" s="554"/>
      <c r="FO719" s="554"/>
      <c r="FP719" s="554"/>
      <c r="FQ719" s="554"/>
      <c r="FR719" s="554"/>
      <c r="FS719" s="554"/>
      <c r="FT719" s="554"/>
      <c r="FU719" s="554"/>
      <c r="FV719" s="554"/>
      <c r="FW719" s="554"/>
      <c r="FX719" s="554"/>
      <c r="FY719" s="554"/>
      <c r="FZ719" s="554"/>
      <c r="GA719" s="554"/>
      <c r="GB719" s="556"/>
      <c r="GC719" s="370"/>
      <c r="GD719" s="453"/>
      <c r="GE719" s="453"/>
      <c r="GF719" s="453"/>
      <c r="GG719" s="453"/>
      <c r="GH719" s="454"/>
      <c r="GI719" s="453"/>
      <c r="GJ719" s="453"/>
      <c r="GK719" s="453"/>
      <c r="GL719" s="453"/>
      <c r="GM719" s="453"/>
      <c r="GN719" s="453"/>
      <c r="GO719" s="453"/>
      <c r="GP719" s="453"/>
      <c r="GQ719" s="453"/>
      <c r="GR719" s="453"/>
      <c r="GS719" s="561"/>
      <c r="GT719" s="475"/>
      <c r="GU719" s="472"/>
      <c r="GV719" s="453"/>
      <c r="GW719" s="453"/>
      <c r="GX719" s="869"/>
      <c r="GY719" s="870"/>
      <c r="GZ719" s="867"/>
      <c r="HA719" s="868"/>
      <c r="HB719" s="473"/>
      <c r="HC719" s="869"/>
      <c r="HD719" s="870"/>
      <c r="HE719" s="867"/>
      <c r="HF719" s="868"/>
      <c r="HG719" s="473"/>
      <c r="HH719" s="867"/>
      <c r="HI719" s="868"/>
      <c r="HJ719" s="867"/>
      <c r="HK719" s="868"/>
      <c r="HL719" s="370"/>
      <c r="HM719" s="865"/>
      <c r="HN719" s="866"/>
      <c r="HO719" s="865"/>
      <c r="HP719" s="866"/>
      <c r="HQ719" s="865"/>
      <c r="HR719" s="866"/>
      <c r="HS719" s="867"/>
      <c r="HT719" s="868"/>
      <c r="HU719" s="489"/>
      <c r="HV719" s="865"/>
      <c r="HW719" s="866"/>
    </row>
    <row r="720" spans="25:231" ht="15" customHeight="1">
      <c r="Y720" s="332"/>
      <c r="Z720" s="332"/>
      <c r="AA720" s="332"/>
      <c r="AB720" s="332"/>
      <c r="AC720" s="332"/>
      <c r="AD720" s="332"/>
      <c r="AE720" s="332"/>
      <c r="AF720" s="332"/>
      <c r="AG720" s="332"/>
      <c r="AH720" s="332"/>
      <c r="AI720" s="332"/>
      <c r="AJ720" s="332"/>
      <c r="AK720" s="332"/>
      <c r="AL720" s="332"/>
      <c r="AM720" s="332"/>
      <c r="AN720" s="332"/>
      <c r="AO720" s="332"/>
      <c r="AP720" s="332"/>
      <c r="AQ720" s="332"/>
      <c r="AR720" s="332"/>
      <c r="AS720" s="332"/>
      <c r="AT720" s="332"/>
      <c r="AU720" s="332"/>
      <c r="AV720" s="332"/>
      <c r="AW720" s="332"/>
      <c r="AX720" s="332"/>
      <c r="AY720" s="332"/>
      <c r="AZ720" s="332"/>
      <c r="BA720" s="332"/>
      <c r="BB720" s="332"/>
      <c r="BC720" s="332"/>
      <c r="BD720" s="332"/>
      <c r="BE720" s="332"/>
      <c r="BF720" s="332"/>
      <c r="BG720" s="332"/>
      <c r="BH720" s="332"/>
      <c r="BI720" s="332"/>
      <c r="BJ720" s="332"/>
      <c r="BK720" s="332"/>
      <c r="BL720" s="332"/>
      <c r="BM720" s="332"/>
      <c r="BN720" s="332"/>
      <c r="BO720" s="332"/>
      <c r="BP720" s="332"/>
      <c r="BQ720" s="332"/>
      <c r="BR720" s="332"/>
      <c r="BS720" s="332"/>
      <c r="BT720" s="332"/>
      <c r="BU720" s="332"/>
      <c r="BV720" s="332"/>
      <c r="BW720" s="332"/>
      <c r="BX720" s="332"/>
      <c r="BY720" s="332"/>
      <c r="BZ720" s="332"/>
      <c r="CA720" s="332"/>
      <c r="CB720" s="332"/>
      <c r="CC720" s="332"/>
      <c r="CD720" s="332"/>
      <c r="CE720" s="332"/>
      <c r="CF720" s="332"/>
      <c r="CG720" s="332"/>
      <c r="CH720" s="332"/>
      <c r="CI720" s="332"/>
      <c r="CJ720" s="332"/>
      <c r="CK720" s="332"/>
      <c r="CL720" s="332"/>
      <c r="CM720" s="332"/>
      <c r="CN720" s="332"/>
      <c r="CO720" s="332"/>
      <c r="CP720" s="332"/>
      <c r="CQ720" s="332"/>
      <c r="CR720" s="332"/>
      <c r="CS720" s="332"/>
      <c r="CT720" s="332"/>
      <c r="CU720" s="332"/>
      <c r="CV720" s="332"/>
      <c r="CW720" s="332"/>
      <c r="CX720" s="332"/>
      <c r="CY720" s="332"/>
      <c r="CZ720" s="332"/>
      <c r="DA720" s="332"/>
      <c r="DB720" s="332"/>
      <c r="DC720" s="332"/>
      <c r="DD720" s="332"/>
      <c r="DE720" s="332"/>
      <c r="DF720" s="332"/>
      <c r="DG720" s="332"/>
      <c r="DH720" s="332"/>
      <c r="DI720" s="332"/>
      <c r="DJ720" s="332"/>
      <c r="DK720" s="332"/>
      <c r="DL720" s="332"/>
      <c r="DM720" s="332"/>
      <c r="DN720" s="332"/>
      <c r="DO720" s="332"/>
      <c r="DP720" s="332"/>
      <c r="DQ720" s="332"/>
      <c r="DR720" s="332"/>
      <c r="DS720" s="332"/>
      <c r="DT720" s="332"/>
      <c r="DU720" s="453"/>
      <c r="DV720" s="453"/>
      <c r="DW720" s="453"/>
      <c r="DX720" s="453"/>
      <c r="DY720" s="453"/>
      <c r="DZ720" s="453"/>
      <c r="EA720" s="453"/>
      <c r="EB720" s="453"/>
      <c r="EC720" s="453"/>
      <c r="ED720" s="453"/>
      <c r="EE720" s="453"/>
      <c r="EF720" s="453"/>
      <c r="EG720" s="453"/>
      <c r="EH720" s="453"/>
      <c r="EI720" s="453"/>
      <c r="EJ720" s="453"/>
      <c r="EK720" s="453"/>
      <c r="EL720" s="453"/>
      <c r="EM720" s="483">
        <f t="shared" si="230"/>
        <v>411</v>
      </c>
      <c r="EN720" s="485"/>
      <c r="EO720" s="458"/>
      <c r="EP720" s="467"/>
      <c r="EQ720" s="457"/>
      <c r="ER720" s="808"/>
      <c r="ES720" s="881">
        <f t="shared" si="231"/>
        <v>0</v>
      </c>
      <c r="ET720" s="882"/>
      <c r="EU720" s="883"/>
      <c r="EV720" s="884">
        <f t="shared" si="229"/>
        <v>0</v>
      </c>
      <c r="EW720" s="885"/>
      <c r="EX720" s="885"/>
      <c r="EY720" s="885"/>
      <c r="EZ720" s="885"/>
      <c r="FA720" s="885"/>
      <c r="FB720" s="885"/>
      <c r="FC720" s="885"/>
      <c r="FD720" s="886"/>
      <c r="FE720" s="878"/>
      <c r="FF720" s="878"/>
      <c r="FG720" s="878"/>
      <c r="FH720" s="878"/>
      <c r="FI720" s="878"/>
      <c r="FJ720" s="878"/>
      <c r="FK720" s="878"/>
      <c r="FL720" s="555"/>
      <c r="FM720" s="554"/>
      <c r="FN720" s="554"/>
      <c r="FO720" s="554"/>
      <c r="FP720" s="554"/>
      <c r="FQ720" s="554"/>
      <c r="FR720" s="554"/>
      <c r="FS720" s="554"/>
      <c r="FT720" s="554"/>
      <c r="FU720" s="554"/>
      <c r="FV720" s="554"/>
      <c r="FW720" s="554"/>
      <c r="FX720" s="554"/>
      <c r="FY720" s="554"/>
      <c r="FZ720" s="554"/>
      <c r="GA720" s="554"/>
      <c r="GB720" s="556"/>
      <c r="GC720" s="370"/>
      <c r="GD720" s="453"/>
      <c r="GE720" s="453"/>
      <c r="GF720" s="453"/>
      <c r="GG720" s="453"/>
      <c r="GH720" s="454"/>
      <c r="GI720" s="453"/>
      <c r="GJ720" s="453"/>
      <c r="GK720" s="453"/>
      <c r="GL720" s="453"/>
      <c r="GM720" s="453"/>
      <c r="GN720" s="453"/>
      <c r="GO720" s="453"/>
      <c r="GP720" s="453"/>
      <c r="GQ720" s="453"/>
      <c r="GR720" s="453"/>
      <c r="GS720" s="561"/>
      <c r="GT720" s="475"/>
      <c r="GU720" s="472"/>
      <c r="GV720" s="453"/>
      <c r="GW720" s="453"/>
      <c r="GX720" s="869"/>
      <c r="GY720" s="870"/>
      <c r="GZ720" s="867"/>
      <c r="HA720" s="868"/>
      <c r="HB720" s="473"/>
      <c r="HC720" s="869"/>
      <c r="HD720" s="870"/>
      <c r="HE720" s="867"/>
      <c r="HF720" s="868"/>
      <c r="HG720" s="473"/>
      <c r="HH720" s="867"/>
      <c r="HI720" s="868"/>
      <c r="HJ720" s="867"/>
      <c r="HK720" s="868"/>
      <c r="HL720" s="370"/>
      <c r="HM720" s="865"/>
      <c r="HN720" s="866"/>
      <c r="HO720" s="865"/>
      <c r="HP720" s="866"/>
      <c r="HQ720" s="865"/>
      <c r="HR720" s="866"/>
      <c r="HS720" s="867"/>
      <c r="HT720" s="868"/>
      <c r="HU720" s="489"/>
      <c r="HV720" s="865"/>
      <c r="HW720" s="866"/>
    </row>
    <row r="721" spans="25:231" ht="15" customHeight="1">
      <c r="Y721" s="332"/>
      <c r="Z721" s="332"/>
      <c r="AA721" s="332"/>
      <c r="AB721" s="332"/>
      <c r="AC721" s="332"/>
      <c r="AD721" s="332"/>
      <c r="AE721" s="332"/>
      <c r="AF721" s="332"/>
      <c r="AG721" s="332"/>
      <c r="AH721" s="332"/>
      <c r="AI721" s="332"/>
      <c r="AJ721" s="332"/>
      <c r="AK721" s="332"/>
      <c r="AL721" s="332"/>
      <c r="AM721" s="332"/>
      <c r="AN721" s="332"/>
      <c r="AO721" s="332"/>
      <c r="AP721" s="332"/>
      <c r="AQ721" s="332"/>
      <c r="AR721" s="332"/>
      <c r="AS721" s="332"/>
      <c r="AT721" s="332"/>
      <c r="AU721" s="332"/>
      <c r="AV721" s="332"/>
      <c r="AW721" s="332"/>
      <c r="AX721" s="332"/>
      <c r="AY721" s="332"/>
      <c r="AZ721" s="332"/>
      <c r="BA721" s="332"/>
      <c r="BB721" s="332"/>
      <c r="BC721" s="332"/>
      <c r="BD721" s="332"/>
      <c r="BE721" s="332"/>
      <c r="BF721" s="332"/>
      <c r="BG721" s="332"/>
      <c r="BH721" s="332"/>
      <c r="BI721" s="332"/>
      <c r="BJ721" s="332"/>
      <c r="BK721" s="332"/>
      <c r="BL721" s="332"/>
      <c r="BM721" s="332"/>
      <c r="BN721" s="332"/>
      <c r="BO721" s="332"/>
      <c r="BP721" s="332"/>
      <c r="BQ721" s="332"/>
      <c r="BR721" s="332"/>
      <c r="BS721" s="332"/>
      <c r="BT721" s="332"/>
      <c r="BU721" s="332"/>
      <c r="BV721" s="332"/>
      <c r="BW721" s="332"/>
      <c r="BX721" s="332"/>
      <c r="BY721" s="332"/>
      <c r="BZ721" s="332"/>
      <c r="CA721" s="332"/>
      <c r="CB721" s="332"/>
      <c r="CC721" s="332"/>
      <c r="CD721" s="332"/>
      <c r="CE721" s="332"/>
      <c r="CF721" s="332"/>
      <c r="CG721" s="332"/>
      <c r="CH721" s="332"/>
      <c r="CI721" s="332"/>
      <c r="CJ721" s="332"/>
      <c r="CK721" s="332"/>
      <c r="CL721" s="332"/>
      <c r="CM721" s="332"/>
      <c r="CN721" s="332"/>
      <c r="CO721" s="332"/>
      <c r="CP721" s="332"/>
      <c r="CQ721" s="332"/>
      <c r="CR721" s="332"/>
      <c r="CS721" s="332"/>
      <c r="CT721" s="332"/>
      <c r="CU721" s="332"/>
      <c r="CV721" s="332"/>
      <c r="CW721" s="332"/>
      <c r="CX721" s="332"/>
      <c r="CY721" s="332"/>
      <c r="CZ721" s="332"/>
      <c r="DA721" s="332"/>
      <c r="DB721" s="332"/>
      <c r="DC721" s="332"/>
      <c r="DD721" s="332"/>
      <c r="DE721" s="332"/>
      <c r="DF721" s="332"/>
      <c r="DG721" s="332"/>
      <c r="DH721" s="332"/>
      <c r="DI721" s="332"/>
      <c r="DJ721" s="332"/>
      <c r="DK721" s="332"/>
      <c r="DL721" s="332"/>
      <c r="DM721" s="332"/>
      <c r="DN721" s="332"/>
      <c r="DO721" s="332"/>
      <c r="DP721" s="332"/>
      <c r="DQ721" s="332"/>
      <c r="DR721" s="332"/>
      <c r="DS721" s="332"/>
      <c r="DT721" s="332"/>
      <c r="DU721" s="453"/>
      <c r="DV721" s="453"/>
      <c r="DW721" s="453"/>
      <c r="DX721" s="453"/>
      <c r="DY721" s="453"/>
      <c r="DZ721" s="453"/>
      <c r="EA721" s="453"/>
      <c r="EB721" s="453"/>
      <c r="EC721" s="453"/>
      <c r="ED721" s="453"/>
      <c r="EE721" s="453"/>
      <c r="EF721" s="453"/>
      <c r="EG721" s="453"/>
      <c r="EH721" s="453"/>
      <c r="EI721" s="453"/>
      <c r="EJ721" s="453"/>
      <c r="EK721" s="453"/>
      <c r="EL721" s="453"/>
      <c r="EM721" s="483">
        <f t="shared" si="230"/>
        <v>412</v>
      </c>
      <c r="EN721" s="485"/>
      <c r="EO721" s="458"/>
      <c r="EP721" s="467"/>
      <c r="EQ721" s="457"/>
      <c r="ER721" s="808"/>
      <c r="ES721" s="881">
        <f t="shared" si="231"/>
        <v>0</v>
      </c>
      <c r="ET721" s="882"/>
      <c r="EU721" s="883"/>
      <c r="EV721" s="884">
        <f t="shared" si="229"/>
        <v>0</v>
      </c>
      <c r="EW721" s="885"/>
      <c r="EX721" s="885"/>
      <c r="EY721" s="885"/>
      <c r="EZ721" s="885"/>
      <c r="FA721" s="885"/>
      <c r="FB721" s="885"/>
      <c r="FC721" s="885"/>
      <c r="FD721" s="886"/>
      <c r="FE721" s="878"/>
      <c r="FF721" s="878"/>
      <c r="FG721" s="878"/>
      <c r="FH721" s="878"/>
      <c r="FI721" s="878"/>
      <c r="FJ721" s="878"/>
      <c r="FK721" s="878"/>
      <c r="FL721" s="555"/>
      <c r="FM721" s="554"/>
      <c r="FN721" s="554"/>
      <c r="FO721" s="554"/>
      <c r="FP721" s="554"/>
      <c r="FQ721" s="554"/>
      <c r="FR721" s="554"/>
      <c r="FS721" s="554"/>
      <c r="FT721" s="554"/>
      <c r="FU721" s="554"/>
      <c r="FV721" s="554"/>
      <c r="FW721" s="554"/>
      <c r="FX721" s="554"/>
      <c r="FY721" s="554"/>
      <c r="FZ721" s="554"/>
      <c r="GA721" s="554"/>
      <c r="GB721" s="556"/>
      <c r="GC721" s="370"/>
      <c r="GD721" s="453"/>
      <c r="GE721" s="453"/>
      <c r="GF721" s="453"/>
      <c r="GG721" s="453"/>
      <c r="GH721" s="454"/>
      <c r="GI721" s="453"/>
      <c r="GJ721" s="453"/>
      <c r="GK721" s="453"/>
      <c r="GL721" s="453"/>
      <c r="GM721" s="453"/>
      <c r="GN721" s="453"/>
      <c r="GO721" s="453"/>
      <c r="GP721" s="453"/>
      <c r="GQ721" s="453"/>
      <c r="GR721" s="453"/>
      <c r="GS721" s="561"/>
      <c r="GT721" s="475"/>
      <c r="GU721" s="472"/>
      <c r="GV721" s="453"/>
      <c r="GW721" s="453"/>
      <c r="GX721" s="869"/>
      <c r="GY721" s="870"/>
      <c r="GZ721" s="867"/>
      <c r="HA721" s="868"/>
      <c r="HB721" s="473"/>
      <c r="HC721" s="869"/>
      <c r="HD721" s="870"/>
      <c r="HE721" s="867"/>
      <c r="HF721" s="868"/>
      <c r="HG721" s="473"/>
      <c r="HH721" s="867"/>
      <c r="HI721" s="868"/>
      <c r="HJ721" s="867"/>
      <c r="HK721" s="868"/>
      <c r="HL721" s="370"/>
      <c r="HM721" s="865"/>
      <c r="HN721" s="866"/>
      <c r="HO721" s="865"/>
      <c r="HP721" s="866"/>
      <c r="HQ721" s="865"/>
      <c r="HR721" s="866"/>
      <c r="HS721" s="867"/>
      <c r="HT721" s="868"/>
      <c r="HU721" s="489"/>
      <c r="HV721" s="865"/>
      <c r="HW721" s="866"/>
    </row>
    <row r="722" spans="25:231" ht="15" customHeight="1">
      <c r="Y722" s="332"/>
      <c r="Z722" s="332"/>
      <c r="AA722" s="332"/>
      <c r="AB722" s="332"/>
      <c r="AC722" s="332"/>
      <c r="AD722" s="332"/>
      <c r="AE722" s="332"/>
      <c r="AF722" s="332"/>
      <c r="AG722" s="332"/>
      <c r="AH722" s="332"/>
      <c r="AI722" s="332"/>
      <c r="AJ722" s="332"/>
      <c r="AK722" s="332"/>
      <c r="AL722" s="332"/>
      <c r="AM722" s="332"/>
      <c r="AN722" s="332"/>
      <c r="AO722" s="332"/>
      <c r="AP722" s="332"/>
      <c r="AQ722" s="332"/>
      <c r="AR722" s="332"/>
      <c r="AS722" s="332"/>
      <c r="AT722" s="332"/>
      <c r="AU722" s="332"/>
      <c r="AV722" s="332"/>
      <c r="AW722" s="332"/>
      <c r="AX722" s="332"/>
      <c r="AY722" s="332"/>
      <c r="AZ722" s="332"/>
      <c r="BA722" s="332"/>
      <c r="BB722" s="332"/>
      <c r="BC722" s="332"/>
      <c r="BD722" s="332"/>
      <c r="BE722" s="332"/>
      <c r="BF722" s="332"/>
      <c r="BG722" s="332"/>
      <c r="BH722" s="332"/>
      <c r="BI722" s="332"/>
      <c r="BJ722" s="332"/>
      <c r="BK722" s="332"/>
      <c r="BL722" s="332"/>
      <c r="BM722" s="332"/>
      <c r="BN722" s="332"/>
      <c r="BO722" s="332"/>
      <c r="BP722" s="332"/>
      <c r="BQ722" s="332"/>
      <c r="BR722" s="332"/>
      <c r="BS722" s="332"/>
      <c r="BT722" s="332"/>
      <c r="BU722" s="332"/>
      <c r="BV722" s="332"/>
      <c r="BW722" s="332"/>
      <c r="BX722" s="332"/>
      <c r="BY722" s="332"/>
      <c r="BZ722" s="332"/>
      <c r="CA722" s="332"/>
      <c r="CB722" s="332"/>
      <c r="CC722" s="332"/>
      <c r="CD722" s="332"/>
      <c r="CE722" s="332"/>
      <c r="CF722" s="332"/>
      <c r="CG722" s="332"/>
      <c r="CH722" s="332"/>
      <c r="CI722" s="332"/>
      <c r="CJ722" s="332"/>
      <c r="CK722" s="332"/>
      <c r="CL722" s="332"/>
      <c r="CM722" s="332"/>
      <c r="CN722" s="332"/>
      <c r="CO722" s="332"/>
      <c r="CP722" s="332"/>
      <c r="CQ722" s="332"/>
      <c r="CR722" s="332"/>
      <c r="CS722" s="332"/>
      <c r="CT722" s="332"/>
      <c r="CU722" s="332"/>
      <c r="CV722" s="332"/>
      <c r="CW722" s="332"/>
      <c r="CX722" s="332"/>
      <c r="CY722" s="332"/>
      <c r="CZ722" s="332"/>
      <c r="DA722" s="332"/>
      <c r="DB722" s="332"/>
      <c r="DC722" s="332"/>
      <c r="DD722" s="332"/>
      <c r="DE722" s="332"/>
      <c r="DF722" s="332"/>
      <c r="DG722" s="332"/>
      <c r="DH722" s="332"/>
      <c r="DI722" s="332"/>
      <c r="DJ722" s="332"/>
      <c r="DK722" s="332"/>
      <c r="DL722" s="332"/>
      <c r="DM722" s="332"/>
      <c r="DN722" s="332"/>
      <c r="DO722" s="332"/>
      <c r="DP722" s="332"/>
      <c r="DQ722" s="332"/>
      <c r="DR722" s="332"/>
      <c r="DS722" s="332"/>
      <c r="DT722" s="332"/>
      <c r="DU722" s="453"/>
      <c r="DV722" s="453"/>
      <c r="DW722" s="453"/>
      <c r="DX722" s="453"/>
      <c r="DY722" s="453"/>
      <c r="DZ722" s="453"/>
      <c r="EA722" s="453"/>
      <c r="EB722" s="453"/>
      <c r="EC722" s="453"/>
      <c r="ED722" s="453"/>
      <c r="EE722" s="453"/>
      <c r="EF722" s="453"/>
      <c r="EG722" s="453"/>
      <c r="EH722" s="453"/>
      <c r="EI722" s="453"/>
      <c r="EJ722" s="453"/>
      <c r="EK722" s="453"/>
      <c r="EL722" s="453"/>
      <c r="EM722" s="483">
        <f t="shared" si="230"/>
        <v>413</v>
      </c>
      <c r="EN722" s="485"/>
      <c r="EO722" s="458"/>
      <c r="EP722" s="467"/>
      <c r="EQ722" s="457"/>
      <c r="ER722" s="808"/>
      <c r="ES722" s="881">
        <f t="shared" si="231"/>
        <v>0</v>
      </c>
      <c r="ET722" s="882"/>
      <c r="EU722" s="883"/>
      <c r="EV722" s="884">
        <f t="shared" si="229"/>
        <v>0</v>
      </c>
      <c r="EW722" s="885"/>
      <c r="EX722" s="885"/>
      <c r="EY722" s="885"/>
      <c r="EZ722" s="885"/>
      <c r="FA722" s="885"/>
      <c r="FB722" s="885"/>
      <c r="FC722" s="885"/>
      <c r="FD722" s="886"/>
      <c r="FE722" s="878"/>
      <c r="FF722" s="878"/>
      <c r="FG722" s="878"/>
      <c r="FH722" s="878"/>
      <c r="FI722" s="878"/>
      <c r="FJ722" s="878"/>
      <c r="FK722" s="878"/>
      <c r="FL722" s="555"/>
      <c r="FM722" s="554"/>
      <c r="FN722" s="554"/>
      <c r="FO722" s="554"/>
      <c r="FP722" s="554"/>
      <c r="FQ722" s="554"/>
      <c r="FR722" s="554"/>
      <c r="FS722" s="554"/>
      <c r="FT722" s="554"/>
      <c r="FU722" s="554"/>
      <c r="FV722" s="554"/>
      <c r="FW722" s="554"/>
      <c r="FX722" s="554"/>
      <c r="FY722" s="554"/>
      <c r="FZ722" s="554"/>
      <c r="GA722" s="554"/>
      <c r="GB722" s="556"/>
      <c r="GC722" s="370"/>
      <c r="GD722" s="453"/>
      <c r="GE722" s="453"/>
      <c r="GF722" s="453"/>
      <c r="GG722" s="453"/>
      <c r="GH722" s="454"/>
      <c r="GI722" s="453"/>
      <c r="GJ722" s="453"/>
      <c r="GK722" s="453"/>
      <c r="GL722" s="453"/>
      <c r="GM722" s="453"/>
      <c r="GN722" s="453"/>
      <c r="GO722" s="453"/>
      <c r="GP722" s="453"/>
      <c r="GQ722" s="453"/>
      <c r="GR722" s="453"/>
      <c r="GS722" s="561"/>
      <c r="GT722" s="475"/>
      <c r="GU722" s="472"/>
      <c r="GV722" s="453"/>
      <c r="GW722" s="453"/>
      <c r="GX722" s="869"/>
      <c r="GY722" s="870"/>
      <c r="GZ722" s="867"/>
      <c r="HA722" s="868"/>
      <c r="HB722" s="473"/>
      <c r="HC722" s="869"/>
      <c r="HD722" s="870"/>
      <c r="HE722" s="867"/>
      <c r="HF722" s="868"/>
      <c r="HG722" s="473"/>
      <c r="HH722" s="867"/>
      <c r="HI722" s="868"/>
      <c r="HJ722" s="867"/>
      <c r="HK722" s="868"/>
      <c r="HL722" s="370"/>
      <c r="HM722" s="865"/>
      <c r="HN722" s="866"/>
      <c r="HO722" s="865"/>
      <c r="HP722" s="866"/>
      <c r="HQ722" s="865"/>
      <c r="HR722" s="866"/>
      <c r="HS722" s="867"/>
      <c r="HT722" s="868"/>
      <c r="HU722" s="489"/>
      <c r="HV722" s="865"/>
      <c r="HW722" s="866"/>
    </row>
    <row r="723" spans="25:231" ht="15" customHeight="1">
      <c r="Y723" s="332"/>
      <c r="Z723" s="332"/>
      <c r="AA723" s="332"/>
      <c r="AB723" s="332"/>
      <c r="AC723" s="332"/>
      <c r="AD723" s="332"/>
      <c r="AE723" s="332"/>
      <c r="AF723" s="332"/>
      <c r="AG723" s="332"/>
      <c r="AH723" s="332"/>
      <c r="AI723" s="332"/>
      <c r="AJ723" s="332"/>
      <c r="AK723" s="332"/>
      <c r="AL723" s="332"/>
      <c r="AM723" s="332"/>
      <c r="AN723" s="332"/>
      <c r="AO723" s="332"/>
      <c r="AP723" s="332"/>
      <c r="AQ723" s="332"/>
      <c r="AR723" s="332"/>
      <c r="AS723" s="332"/>
      <c r="AT723" s="332"/>
      <c r="AU723" s="332"/>
      <c r="AV723" s="332"/>
      <c r="AW723" s="332"/>
      <c r="AX723" s="332"/>
      <c r="AY723" s="332"/>
      <c r="AZ723" s="332"/>
      <c r="BA723" s="332"/>
      <c r="BB723" s="332"/>
      <c r="BC723" s="332"/>
      <c r="BD723" s="332"/>
      <c r="BE723" s="332"/>
      <c r="BF723" s="332"/>
      <c r="BG723" s="332"/>
      <c r="BH723" s="332"/>
      <c r="BI723" s="332"/>
      <c r="BJ723" s="332"/>
      <c r="BK723" s="332"/>
      <c r="BL723" s="332"/>
      <c r="BM723" s="332"/>
      <c r="BN723" s="332"/>
      <c r="BO723" s="332"/>
      <c r="BP723" s="332"/>
      <c r="BQ723" s="332"/>
      <c r="BR723" s="332"/>
      <c r="BS723" s="332"/>
      <c r="BT723" s="332"/>
      <c r="BU723" s="332"/>
      <c r="BV723" s="332"/>
      <c r="BW723" s="332"/>
      <c r="BX723" s="332"/>
      <c r="BY723" s="332"/>
      <c r="BZ723" s="332"/>
      <c r="CA723" s="332"/>
      <c r="CB723" s="332"/>
      <c r="CC723" s="332"/>
      <c r="CD723" s="332"/>
      <c r="CE723" s="332"/>
      <c r="CF723" s="332"/>
      <c r="CG723" s="332"/>
      <c r="CH723" s="332"/>
      <c r="CI723" s="332"/>
      <c r="CJ723" s="332"/>
      <c r="CK723" s="332"/>
      <c r="CL723" s="332"/>
      <c r="CM723" s="332"/>
      <c r="CN723" s="332"/>
      <c r="CO723" s="332"/>
      <c r="CP723" s="332"/>
      <c r="CQ723" s="332"/>
      <c r="CR723" s="332"/>
      <c r="CS723" s="332"/>
      <c r="CT723" s="332"/>
      <c r="CU723" s="332"/>
      <c r="CV723" s="332"/>
      <c r="CW723" s="332"/>
      <c r="CX723" s="332"/>
      <c r="CY723" s="332"/>
      <c r="CZ723" s="332"/>
      <c r="DA723" s="332"/>
      <c r="DB723" s="332"/>
      <c r="DC723" s="332"/>
      <c r="DD723" s="332"/>
      <c r="DE723" s="332"/>
      <c r="DF723" s="332"/>
      <c r="DG723" s="332"/>
      <c r="DH723" s="332"/>
      <c r="DI723" s="332"/>
      <c r="DJ723" s="332"/>
      <c r="DK723" s="332"/>
      <c r="DL723" s="332"/>
      <c r="DM723" s="332"/>
      <c r="DN723" s="332"/>
      <c r="DO723" s="332"/>
      <c r="DP723" s="332"/>
      <c r="DQ723" s="332"/>
      <c r="DR723" s="332"/>
      <c r="DS723" s="332"/>
      <c r="DT723" s="332"/>
      <c r="DU723" s="453"/>
      <c r="DV723" s="453"/>
      <c r="DW723" s="453"/>
      <c r="DX723" s="453"/>
      <c r="DY723" s="453"/>
      <c r="DZ723" s="453"/>
      <c r="EA723" s="453"/>
      <c r="EB723" s="453"/>
      <c r="EC723" s="453"/>
      <c r="ED723" s="453"/>
      <c r="EE723" s="453"/>
      <c r="EF723" s="453"/>
      <c r="EG723" s="453"/>
      <c r="EH723" s="453"/>
      <c r="EI723" s="453"/>
      <c r="EJ723" s="453"/>
      <c r="EK723" s="453"/>
      <c r="EL723" s="453"/>
      <c r="EM723" s="483">
        <f t="shared" si="230"/>
        <v>414</v>
      </c>
      <c r="EN723" s="485"/>
      <c r="EO723" s="458"/>
      <c r="EP723" s="467"/>
      <c r="EQ723" s="457"/>
      <c r="ER723" s="808"/>
      <c r="ES723" s="881">
        <f t="shared" si="231"/>
        <v>0</v>
      </c>
      <c r="ET723" s="882"/>
      <c r="EU723" s="883"/>
      <c r="EV723" s="884">
        <f t="shared" si="229"/>
        <v>0</v>
      </c>
      <c r="EW723" s="885"/>
      <c r="EX723" s="885"/>
      <c r="EY723" s="885"/>
      <c r="EZ723" s="885"/>
      <c r="FA723" s="885"/>
      <c r="FB723" s="885"/>
      <c r="FC723" s="885"/>
      <c r="FD723" s="886"/>
      <c r="FE723" s="878"/>
      <c r="FF723" s="878"/>
      <c r="FG723" s="878"/>
      <c r="FH723" s="878"/>
      <c r="FI723" s="878"/>
      <c r="FJ723" s="878"/>
      <c r="FK723" s="878"/>
      <c r="FL723" s="555"/>
      <c r="FM723" s="554"/>
      <c r="FN723" s="554"/>
      <c r="FO723" s="554"/>
      <c r="FP723" s="554"/>
      <c r="FQ723" s="554"/>
      <c r="FR723" s="554"/>
      <c r="FS723" s="554"/>
      <c r="FT723" s="554"/>
      <c r="FU723" s="554"/>
      <c r="FV723" s="554"/>
      <c r="FW723" s="554"/>
      <c r="FX723" s="554"/>
      <c r="FY723" s="554"/>
      <c r="FZ723" s="554"/>
      <c r="GA723" s="554"/>
      <c r="GB723" s="556"/>
      <c r="GC723" s="370"/>
      <c r="GD723" s="453"/>
      <c r="GE723" s="453"/>
      <c r="GF723" s="453"/>
      <c r="GG723" s="453"/>
      <c r="GH723" s="454"/>
      <c r="GI723" s="453"/>
      <c r="GJ723" s="453"/>
      <c r="GK723" s="453"/>
      <c r="GL723" s="453"/>
      <c r="GM723" s="453"/>
      <c r="GN723" s="453"/>
      <c r="GO723" s="453"/>
      <c r="GP723" s="453"/>
      <c r="GQ723" s="453"/>
      <c r="GR723" s="453"/>
      <c r="GS723" s="561"/>
      <c r="GT723" s="475"/>
      <c r="GU723" s="472"/>
      <c r="GV723" s="453"/>
      <c r="GW723" s="453"/>
      <c r="GX723" s="869"/>
      <c r="GY723" s="870"/>
      <c r="GZ723" s="867"/>
      <c r="HA723" s="868"/>
      <c r="HB723" s="473"/>
      <c r="HC723" s="869"/>
      <c r="HD723" s="870"/>
      <c r="HE723" s="867"/>
      <c r="HF723" s="868"/>
      <c r="HG723" s="473"/>
      <c r="HH723" s="867"/>
      <c r="HI723" s="868"/>
      <c r="HJ723" s="867"/>
      <c r="HK723" s="868"/>
      <c r="HL723" s="370"/>
      <c r="HM723" s="865"/>
      <c r="HN723" s="866"/>
      <c r="HO723" s="865"/>
      <c r="HP723" s="866"/>
      <c r="HQ723" s="865"/>
      <c r="HR723" s="866"/>
      <c r="HS723" s="867"/>
      <c r="HT723" s="868"/>
      <c r="HU723" s="489"/>
      <c r="HV723" s="865"/>
      <c r="HW723" s="866"/>
    </row>
    <row r="724" spans="25:231" ht="15" customHeight="1">
      <c r="Y724" s="332"/>
      <c r="Z724" s="332"/>
      <c r="AA724" s="332"/>
      <c r="AB724" s="332"/>
      <c r="AC724" s="332"/>
      <c r="AD724" s="332"/>
      <c r="AE724" s="332"/>
      <c r="AF724" s="332"/>
      <c r="AG724" s="332"/>
      <c r="AH724" s="332"/>
      <c r="AI724" s="332"/>
      <c r="AJ724" s="332"/>
      <c r="AK724" s="332"/>
      <c r="AL724" s="332"/>
      <c r="AM724" s="332"/>
      <c r="AN724" s="332"/>
      <c r="AO724" s="332"/>
      <c r="AP724" s="332"/>
      <c r="AQ724" s="332"/>
      <c r="AR724" s="332"/>
      <c r="AS724" s="332"/>
      <c r="AT724" s="332"/>
      <c r="AU724" s="332"/>
      <c r="AV724" s="332"/>
      <c r="AW724" s="332"/>
      <c r="AX724" s="332"/>
      <c r="AY724" s="332"/>
      <c r="AZ724" s="332"/>
      <c r="BA724" s="332"/>
      <c r="BB724" s="332"/>
      <c r="BC724" s="332"/>
      <c r="BD724" s="332"/>
      <c r="BE724" s="332"/>
      <c r="BF724" s="332"/>
      <c r="BG724" s="332"/>
      <c r="BH724" s="332"/>
      <c r="BI724" s="332"/>
      <c r="BJ724" s="332"/>
      <c r="BK724" s="332"/>
      <c r="BL724" s="332"/>
      <c r="BM724" s="332"/>
      <c r="BN724" s="332"/>
      <c r="BO724" s="332"/>
      <c r="BP724" s="332"/>
      <c r="BQ724" s="332"/>
      <c r="BR724" s="332"/>
      <c r="BS724" s="332"/>
      <c r="BT724" s="332"/>
      <c r="BU724" s="332"/>
      <c r="BV724" s="332"/>
      <c r="BW724" s="332"/>
      <c r="BX724" s="332"/>
      <c r="BY724" s="332"/>
      <c r="BZ724" s="332"/>
      <c r="CA724" s="332"/>
      <c r="CB724" s="332"/>
      <c r="CC724" s="332"/>
      <c r="CD724" s="332"/>
      <c r="CE724" s="332"/>
      <c r="CF724" s="332"/>
      <c r="CG724" s="332"/>
      <c r="CH724" s="332"/>
      <c r="CI724" s="332"/>
      <c r="CJ724" s="332"/>
      <c r="CK724" s="332"/>
      <c r="CL724" s="332"/>
      <c r="CM724" s="332"/>
      <c r="CN724" s="332"/>
      <c r="CO724" s="332"/>
      <c r="CP724" s="332"/>
      <c r="CQ724" s="332"/>
      <c r="CR724" s="332"/>
      <c r="CS724" s="332"/>
      <c r="CT724" s="332"/>
      <c r="CU724" s="332"/>
      <c r="CV724" s="332"/>
      <c r="CW724" s="332"/>
      <c r="CX724" s="332"/>
      <c r="CY724" s="332"/>
      <c r="CZ724" s="332"/>
      <c r="DA724" s="332"/>
      <c r="DB724" s="332"/>
      <c r="DC724" s="332"/>
      <c r="DD724" s="332"/>
      <c r="DE724" s="332"/>
      <c r="DF724" s="332"/>
      <c r="DG724" s="332"/>
      <c r="DH724" s="332"/>
      <c r="DI724" s="332"/>
      <c r="DJ724" s="332"/>
      <c r="DK724" s="332"/>
      <c r="DL724" s="332"/>
      <c r="DM724" s="332"/>
      <c r="DN724" s="332"/>
      <c r="DO724" s="332"/>
      <c r="DP724" s="332"/>
      <c r="DQ724" s="332"/>
      <c r="DR724" s="332"/>
      <c r="DS724" s="332"/>
      <c r="DT724" s="332"/>
      <c r="DU724" s="453"/>
      <c r="DV724" s="453"/>
      <c r="DW724" s="453"/>
      <c r="DX724" s="453"/>
      <c r="DY724" s="453"/>
      <c r="DZ724" s="453"/>
      <c r="EA724" s="453"/>
      <c r="EB724" s="453"/>
      <c r="EC724" s="453"/>
      <c r="ED724" s="453"/>
      <c r="EE724" s="453"/>
      <c r="EF724" s="453"/>
      <c r="EG724" s="453"/>
      <c r="EH724" s="453"/>
      <c r="EI724" s="453"/>
      <c r="EJ724" s="453"/>
      <c r="EK724" s="453"/>
      <c r="EL724" s="453"/>
      <c r="EM724" s="483">
        <f t="shared" si="230"/>
        <v>415</v>
      </c>
      <c r="EN724" s="485"/>
      <c r="EO724" s="458"/>
      <c r="EP724" s="467"/>
      <c r="EQ724" s="457"/>
      <c r="ER724" s="808"/>
      <c r="ES724" s="881">
        <f t="shared" si="231"/>
        <v>0</v>
      </c>
      <c r="ET724" s="882"/>
      <c r="EU724" s="883"/>
      <c r="EV724" s="884">
        <f t="shared" si="229"/>
        <v>0</v>
      </c>
      <c r="EW724" s="885"/>
      <c r="EX724" s="885"/>
      <c r="EY724" s="885"/>
      <c r="EZ724" s="885"/>
      <c r="FA724" s="885"/>
      <c r="FB724" s="885"/>
      <c r="FC724" s="885"/>
      <c r="FD724" s="886"/>
      <c r="FE724" s="878"/>
      <c r="FF724" s="878"/>
      <c r="FG724" s="878"/>
      <c r="FH724" s="878"/>
      <c r="FI724" s="878"/>
      <c r="FJ724" s="878"/>
      <c r="FK724" s="878"/>
      <c r="FL724" s="555"/>
      <c r="FM724" s="554"/>
      <c r="FN724" s="554"/>
      <c r="FO724" s="554"/>
      <c r="FP724" s="554"/>
      <c r="FQ724" s="554"/>
      <c r="FR724" s="554"/>
      <c r="FS724" s="554"/>
      <c r="FT724" s="554"/>
      <c r="FU724" s="554"/>
      <c r="FV724" s="554"/>
      <c r="FW724" s="554"/>
      <c r="FX724" s="554"/>
      <c r="FY724" s="554"/>
      <c r="FZ724" s="554"/>
      <c r="GA724" s="554"/>
      <c r="GB724" s="556"/>
      <c r="GC724" s="370"/>
      <c r="GD724" s="453"/>
      <c r="GE724" s="453"/>
      <c r="GF724" s="453"/>
      <c r="GG724" s="453"/>
      <c r="GH724" s="454"/>
      <c r="GI724" s="453"/>
      <c r="GJ724" s="453"/>
      <c r="GK724" s="453"/>
      <c r="GL724" s="453"/>
      <c r="GM724" s="453"/>
      <c r="GN724" s="453"/>
      <c r="GO724" s="453"/>
      <c r="GP724" s="453"/>
      <c r="GQ724" s="453"/>
      <c r="GR724" s="453"/>
      <c r="GS724" s="561"/>
      <c r="GT724" s="475"/>
      <c r="GU724" s="472"/>
      <c r="GV724" s="453"/>
      <c r="GW724" s="453"/>
      <c r="GX724" s="869"/>
      <c r="GY724" s="870"/>
      <c r="GZ724" s="867"/>
      <c r="HA724" s="868"/>
      <c r="HB724" s="473"/>
      <c r="HC724" s="869"/>
      <c r="HD724" s="870"/>
      <c r="HE724" s="867"/>
      <c r="HF724" s="868"/>
      <c r="HG724" s="473"/>
      <c r="HH724" s="867"/>
      <c r="HI724" s="868"/>
      <c r="HJ724" s="867"/>
      <c r="HK724" s="868"/>
      <c r="HL724" s="370"/>
      <c r="HM724" s="865"/>
      <c r="HN724" s="866"/>
      <c r="HO724" s="865"/>
      <c r="HP724" s="866"/>
      <c r="HQ724" s="865"/>
      <c r="HR724" s="866"/>
      <c r="HS724" s="867"/>
      <c r="HT724" s="868"/>
      <c r="HU724" s="489"/>
      <c r="HV724" s="865"/>
      <c r="HW724" s="866"/>
    </row>
    <row r="725" spans="25:231" ht="15" customHeight="1">
      <c r="Y725" s="332"/>
      <c r="Z725" s="332"/>
      <c r="AA725" s="332"/>
      <c r="AB725" s="332"/>
      <c r="AC725" s="332"/>
      <c r="AD725" s="332"/>
      <c r="AE725" s="332"/>
      <c r="AF725" s="332"/>
      <c r="AG725" s="332"/>
      <c r="AH725" s="332"/>
      <c r="AI725" s="332"/>
      <c r="AJ725" s="332"/>
      <c r="AK725" s="332"/>
      <c r="AL725" s="332"/>
      <c r="AM725" s="332"/>
      <c r="AN725" s="332"/>
      <c r="AO725" s="332"/>
      <c r="AP725" s="332"/>
      <c r="AQ725" s="332"/>
      <c r="AR725" s="332"/>
      <c r="AS725" s="332"/>
      <c r="AT725" s="332"/>
      <c r="AU725" s="332"/>
      <c r="AV725" s="332"/>
      <c r="AW725" s="332"/>
      <c r="AX725" s="332"/>
      <c r="AY725" s="332"/>
      <c r="AZ725" s="332"/>
      <c r="BA725" s="332"/>
      <c r="BB725" s="332"/>
      <c r="BC725" s="332"/>
      <c r="BD725" s="332"/>
      <c r="BE725" s="332"/>
      <c r="BF725" s="332"/>
      <c r="BG725" s="332"/>
      <c r="BH725" s="332"/>
      <c r="BI725" s="332"/>
      <c r="BJ725" s="332"/>
      <c r="BK725" s="332"/>
      <c r="BL725" s="332"/>
      <c r="BM725" s="332"/>
      <c r="BN725" s="332"/>
      <c r="BO725" s="332"/>
      <c r="BP725" s="332"/>
      <c r="BQ725" s="332"/>
      <c r="BR725" s="332"/>
      <c r="BS725" s="332"/>
      <c r="BT725" s="332"/>
      <c r="BU725" s="332"/>
      <c r="BV725" s="332"/>
      <c r="BW725" s="332"/>
      <c r="BX725" s="332"/>
      <c r="BY725" s="332"/>
      <c r="BZ725" s="332"/>
      <c r="CA725" s="332"/>
      <c r="CB725" s="332"/>
      <c r="CC725" s="332"/>
      <c r="CD725" s="332"/>
      <c r="CE725" s="332"/>
      <c r="CF725" s="332"/>
      <c r="CG725" s="332"/>
      <c r="CH725" s="332"/>
      <c r="CI725" s="332"/>
      <c r="CJ725" s="332"/>
      <c r="CK725" s="332"/>
      <c r="CL725" s="332"/>
      <c r="CM725" s="332"/>
      <c r="CN725" s="332"/>
      <c r="CO725" s="332"/>
      <c r="CP725" s="332"/>
      <c r="CQ725" s="332"/>
      <c r="CR725" s="332"/>
      <c r="CS725" s="332"/>
      <c r="CT725" s="332"/>
      <c r="CU725" s="332"/>
      <c r="CV725" s="332"/>
      <c r="CW725" s="332"/>
      <c r="CX725" s="332"/>
      <c r="CY725" s="332"/>
      <c r="CZ725" s="332"/>
      <c r="DA725" s="332"/>
      <c r="DB725" s="332"/>
      <c r="DC725" s="332"/>
      <c r="DD725" s="332"/>
      <c r="DE725" s="332"/>
      <c r="DF725" s="332"/>
      <c r="DG725" s="332"/>
      <c r="DH725" s="332"/>
      <c r="DI725" s="332"/>
      <c r="DJ725" s="332"/>
      <c r="DK725" s="332"/>
      <c r="DL725" s="332"/>
      <c r="DM725" s="332"/>
      <c r="DN725" s="332"/>
      <c r="DO725" s="332"/>
      <c r="DP725" s="332"/>
      <c r="DQ725" s="332"/>
      <c r="DR725" s="332"/>
      <c r="DS725" s="332"/>
      <c r="DT725" s="332"/>
      <c r="DU725" s="453"/>
      <c r="DV725" s="453"/>
      <c r="DW725" s="453"/>
      <c r="DX725" s="453"/>
      <c r="DY725" s="453"/>
      <c r="DZ725" s="453"/>
      <c r="EA725" s="453"/>
      <c r="EB725" s="453"/>
      <c r="EC725" s="453"/>
      <c r="ED725" s="453"/>
      <c r="EE725" s="453"/>
      <c r="EF725" s="453"/>
      <c r="EG725" s="453"/>
      <c r="EH725" s="453"/>
      <c r="EI725" s="453"/>
      <c r="EJ725" s="453"/>
      <c r="EK725" s="453"/>
      <c r="EL725" s="453"/>
      <c r="EM725" s="483">
        <f t="shared" si="230"/>
        <v>416</v>
      </c>
      <c r="EN725" s="485"/>
      <c r="EO725" s="458"/>
      <c r="EP725" s="467"/>
      <c r="EQ725" s="457"/>
      <c r="ER725" s="808"/>
      <c r="ES725" s="881">
        <f t="shared" si="231"/>
        <v>0</v>
      </c>
      <c r="ET725" s="882"/>
      <c r="EU725" s="883"/>
      <c r="EV725" s="884">
        <f t="shared" si="229"/>
        <v>0</v>
      </c>
      <c r="EW725" s="885"/>
      <c r="EX725" s="885"/>
      <c r="EY725" s="885"/>
      <c r="EZ725" s="885"/>
      <c r="FA725" s="885"/>
      <c r="FB725" s="885"/>
      <c r="FC725" s="885"/>
      <c r="FD725" s="886"/>
      <c r="FE725" s="878"/>
      <c r="FF725" s="878"/>
      <c r="FG725" s="878"/>
      <c r="FH725" s="878"/>
      <c r="FI725" s="878"/>
      <c r="FJ725" s="878"/>
      <c r="FK725" s="878"/>
      <c r="FL725" s="555"/>
      <c r="FM725" s="554"/>
      <c r="FN725" s="554"/>
      <c r="FO725" s="554"/>
      <c r="FP725" s="554"/>
      <c r="FQ725" s="554"/>
      <c r="FR725" s="554"/>
      <c r="FS725" s="554"/>
      <c r="FT725" s="554"/>
      <c r="FU725" s="554"/>
      <c r="FV725" s="554"/>
      <c r="FW725" s="554"/>
      <c r="FX725" s="554"/>
      <c r="FY725" s="554"/>
      <c r="FZ725" s="554"/>
      <c r="GA725" s="554"/>
      <c r="GB725" s="556"/>
      <c r="GC725" s="370"/>
      <c r="GD725" s="453"/>
      <c r="GE725" s="453"/>
      <c r="GF725" s="453"/>
      <c r="GG725" s="453"/>
      <c r="GH725" s="454"/>
      <c r="GI725" s="453"/>
      <c r="GJ725" s="453"/>
      <c r="GK725" s="453"/>
      <c r="GL725" s="453"/>
      <c r="GM725" s="453"/>
      <c r="GN725" s="453"/>
      <c r="GO725" s="453"/>
      <c r="GP725" s="453"/>
      <c r="GQ725" s="453"/>
      <c r="GR725" s="453"/>
      <c r="GS725" s="561"/>
      <c r="GT725" s="475"/>
      <c r="GU725" s="472"/>
      <c r="GV725" s="453"/>
      <c r="GW725" s="453"/>
      <c r="GX725" s="869"/>
      <c r="GY725" s="870"/>
      <c r="GZ725" s="867"/>
      <c r="HA725" s="868"/>
      <c r="HB725" s="473"/>
      <c r="HC725" s="869"/>
      <c r="HD725" s="870"/>
      <c r="HE725" s="867"/>
      <c r="HF725" s="868"/>
      <c r="HG725" s="473"/>
      <c r="HH725" s="867"/>
      <c r="HI725" s="868"/>
      <c r="HJ725" s="867"/>
      <c r="HK725" s="868"/>
      <c r="HL725" s="370"/>
      <c r="HM725" s="865"/>
      <c r="HN725" s="866"/>
      <c r="HO725" s="865"/>
      <c r="HP725" s="866"/>
      <c r="HQ725" s="865"/>
      <c r="HR725" s="866"/>
      <c r="HS725" s="867"/>
      <c r="HT725" s="868"/>
      <c r="HU725" s="489"/>
      <c r="HV725" s="865"/>
      <c r="HW725" s="866"/>
    </row>
    <row r="726" spans="25:231" ht="15" customHeight="1">
      <c r="Y726" s="332"/>
      <c r="Z726" s="332"/>
      <c r="AA726" s="332"/>
      <c r="AB726" s="332"/>
      <c r="AC726" s="332"/>
      <c r="AD726" s="332"/>
      <c r="AE726" s="332"/>
      <c r="AF726" s="332"/>
      <c r="AG726" s="332"/>
      <c r="AH726" s="332"/>
      <c r="AI726" s="332"/>
      <c r="AJ726" s="332"/>
      <c r="AK726" s="332"/>
      <c r="AL726" s="332"/>
      <c r="AM726" s="332"/>
      <c r="AN726" s="332"/>
      <c r="AO726" s="332"/>
      <c r="AP726" s="332"/>
      <c r="AQ726" s="332"/>
      <c r="AR726" s="332"/>
      <c r="AS726" s="332"/>
      <c r="AT726" s="332"/>
      <c r="AU726" s="332"/>
      <c r="AV726" s="332"/>
      <c r="AW726" s="332"/>
      <c r="AX726" s="332"/>
      <c r="AY726" s="332"/>
      <c r="AZ726" s="332"/>
      <c r="BA726" s="332"/>
      <c r="BB726" s="332"/>
      <c r="BC726" s="332"/>
      <c r="BD726" s="332"/>
      <c r="BE726" s="332"/>
      <c r="BF726" s="332"/>
      <c r="BG726" s="332"/>
      <c r="BH726" s="332"/>
      <c r="BI726" s="332"/>
      <c r="BJ726" s="332"/>
      <c r="BK726" s="332"/>
      <c r="BL726" s="332"/>
      <c r="BM726" s="332"/>
      <c r="BN726" s="332"/>
      <c r="BO726" s="332"/>
      <c r="BP726" s="332"/>
      <c r="BQ726" s="332"/>
      <c r="BR726" s="332"/>
      <c r="BS726" s="332"/>
      <c r="BT726" s="332"/>
      <c r="BU726" s="332"/>
      <c r="BV726" s="332"/>
      <c r="BW726" s="332"/>
      <c r="BX726" s="332"/>
      <c r="BY726" s="332"/>
      <c r="BZ726" s="332"/>
      <c r="CA726" s="332"/>
      <c r="CB726" s="332"/>
      <c r="CC726" s="332"/>
      <c r="CD726" s="332"/>
      <c r="CE726" s="332"/>
      <c r="CF726" s="332"/>
      <c r="CG726" s="332"/>
      <c r="CH726" s="332"/>
      <c r="CI726" s="332"/>
      <c r="CJ726" s="332"/>
      <c r="CK726" s="332"/>
      <c r="CL726" s="332"/>
      <c r="CM726" s="332"/>
      <c r="CN726" s="332"/>
      <c r="CO726" s="332"/>
      <c r="CP726" s="332"/>
      <c r="CQ726" s="332"/>
      <c r="CR726" s="332"/>
      <c r="CS726" s="332"/>
      <c r="CT726" s="332"/>
      <c r="CU726" s="332"/>
      <c r="CV726" s="332"/>
      <c r="CW726" s="332"/>
      <c r="CX726" s="332"/>
      <c r="CY726" s="332"/>
      <c r="CZ726" s="332"/>
      <c r="DA726" s="332"/>
      <c r="DB726" s="332"/>
      <c r="DC726" s="332"/>
      <c r="DD726" s="332"/>
      <c r="DE726" s="332"/>
      <c r="DF726" s="332"/>
      <c r="DG726" s="332"/>
      <c r="DH726" s="332"/>
      <c r="DI726" s="332"/>
      <c r="DJ726" s="332"/>
      <c r="DK726" s="332"/>
      <c r="DL726" s="332"/>
      <c r="DM726" s="332"/>
      <c r="DN726" s="332"/>
      <c r="DO726" s="332"/>
      <c r="DP726" s="332"/>
      <c r="DQ726" s="332"/>
      <c r="DR726" s="332"/>
      <c r="DS726" s="332"/>
      <c r="DT726" s="332"/>
      <c r="DU726" s="453"/>
      <c r="DV726" s="453"/>
      <c r="DW726" s="453"/>
      <c r="DX726" s="453"/>
      <c r="DY726" s="453"/>
      <c r="DZ726" s="453"/>
      <c r="EA726" s="453"/>
      <c r="EB726" s="453"/>
      <c r="EC726" s="453"/>
      <c r="ED726" s="453"/>
      <c r="EE726" s="453"/>
      <c r="EF726" s="453"/>
      <c r="EG726" s="453"/>
      <c r="EH726" s="453"/>
      <c r="EI726" s="453"/>
      <c r="EJ726" s="453"/>
      <c r="EK726" s="453"/>
      <c r="EL726" s="453"/>
      <c r="EM726" s="483">
        <f t="shared" si="230"/>
        <v>417</v>
      </c>
      <c r="EN726" s="485"/>
      <c r="EO726" s="458"/>
      <c r="EP726" s="467"/>
      <c r="EQ726" s="457"/>
      <c r="ER726" s="808"/>
      <c r="ES726" s="881">
        <f t="shared" si="231"/>
        <v>0</v>
      </c>
      <c r="ET726" s="882"/>
      <c r="EU726" s="883"/>
      <c r="EV726" s="884">
        <f t="shared" si="229"/>
        <v>0</v>
      </c>
      <c r="EW726" s="885"/>
      <c r="EX726" s="885"/>
      <c r="EY726" s="885"/>
      <c r="EZ726" s="885"/>
      <c r="FA726" s="885"/>
      <c r="FB726" s="885"/>
      <c r="FC726" s="885"/>
      <c r="FD726" s="886"/>
      <c r="FE726" s="878"/>
      <c r="FF726" s="878"/>
      <c r="FG726" s="878"/>
      <c r="FH726" s="878"/>
      <c r="FI726" s="878"/>
      <c r="FJ726" s="878"/>
      <c r="FK726" s="878"/>
      <c r="FL726" s="555"/>
      <c r="FM726" s="554"/>
      <c r="FN726" s="554"/>
      <c r="FO726" s="554"/>
      <c r="FP726" s="554"/>
      <c r="FQ726" s="554"/>
      <c r="FR726" s="554"/>
      <c r="FS726" s="554"/>
      <c r="FT726" s="554"/>
      <c r="FU726" s="554"/>
      <c r="FV726" s="554"/>
      <c r="FW726" s="554"/>
      <c r="FX726" s="554"/>
      <c r="FY726" s="554"/>
      <c r="FZ726" s="554"/>
      <c r="GA726" s="554"/>
      <c r="GB726" s="556"/>
      <c r="GC726" s="370"/>
      <c r="GD726" s="453"/>
      <c r="GE726" s="453"/>
      <c r="GF726" s="453"/>
      <c r="GG726" s="453"/>
      <c r="GH726" s="454"/>
      <c r="GI726" s="453"/>
      <c r="GJ726" s="453"/>
      <c r="GK726" s="453"/>
      <c r="GL726" s="453"/>
      <c r="GM726" s="453"/>
      <c r="GN726" s="453"/>
      <c r="GO726" s="453"/>
      <c r="GP726" s="453"/>
      <c r="GQ726" s="453"/>
      <c r="GR726" s="453"/>
      <c r="GS726" s="561"/>
      <c r="GT726" s="475"/>
      <c r="GU726" s="472"/>
      <c r="GV726" s="453"/>
      <c r="GW726" s="453"/>
      <c r="GX726" s="869"/>
      <c r="GY726" s="870"/>
      <c r="GZ726" s="867"/>
      <c r="HA726" s="868"/>
      <c r="HB726" s="473"/>
      <c r="HC726" s="869"/>
      <c r="HD726" s="870"/>
      <c r="HE726" s="867"/>
      <c r="HF726" s="868"/>
      <c r="HG726" s="473"/>
      <c r="HH726" s="867"/>
      <c r="HI726" s="868"/>
      <c r="HJ726" s="867"/>
      <c r="HK726" s="868"/>
      <c r="HL726" s="370"/>
      <c r="HM726" s="865"/>
      <c r="HN726" s="866"/>
      <c r="HO726" s="865"/>
      <c r="HP726" s="866"/>
      <c r="HQ726" s="865"/>
      <c r="HR726" s="866"/>
      <c r="HS726" s="867"/>
      <c r="HT726" s="868"/>
      <c r="HU726" s="489"/>
      <c r="HV726" s="865"/>
      <c r="HW726" s="866"/>
    </row>
    <row r="727" spans="25:231" ht="15" customHeight="1">
      <c r="Y727" s="332"/>
      <c r="Z727" s="332"/>
      <c r="AA727" s="332"/>
      <c r="AB727" s="332"/>
      <c r="AC727" s="332"/>
      <c r="AD727" s="332"/>
      <c r="AE727" s="332"/>
      <c r="AF727" s="332"/>
      <c r="AG727" s="332"/>
      <c r="AH727" s="332"/>
      <c r="AI727" s="332"/>
      <c r="AJ727" s="332"/>
      <c r="AK727" s="332"/>
      <c r="AL727" s="332"/>
      <c r="AM727" s="332"/>
      <c r="AN727" s="332"/>
      <c r="AO727" s="332"/>
      <c r="AP727" s="332"/>
      <c r="AQ727" s="332"/>
      <c r="AR727" s="332"/>
      <c r="AS727" s="332"/>
      <c r="AT727" s="332"/>
      <c r="AU727" s="332"/>
      <c r="AV727" s="332"/>
      <c r="AW727" s="332"/>
      <c r="AX727" s="332"/>
      <c r="AY727" s="332"/>
      <c r="AZ727" s="332"/>
      <c r="BA727" s="332"/>
      <c r="BB727" s="332"/>
      <c r="BC727" s="332"/>
      <c r="BD727" s="332"/>
      <c r="BE727" s="332"/>
      <c r="BF727" s="332"/>
      <c r="BG727" s="332"/>
      <c r="BH727" s="332"/>
      <c r="BI727" s="332"/>
      <c r="BJ727" s="332"/>
      <c r="BK727" s="332"/>
      <c r="BL727" s="332"/>
      <c r="BM727" s="332"/>
      <c r="BN727" s="332"/>
      <c r="BO727" s="332"/>
      <c r="BP727" s="332"/>
      <c r="BQ727" s="332"/>
      <c r="BR727" s="332"/>
      <c r="BS727" s="332"/>
      <c r="BT727" s="332"/>
      <c r="BU727" s="332"/>
      <c r="BV727" s="332"/>
      <c r="BW727" s="332"/>
      <c r="BX727" s="332"/>
      <c r="BY727" s="332"/>
      <c r="BZ727" s="332"/>
      <c r="CA727" s="332"/>
      <c r="CB727" s="332"/>
      <c r="CC727" s="332"/>
      <c r="CD727" s="332"/>
      <c r="CE727" s="332"/>
      <c r="CF727" s="332"/>
      <c r="CG727" s="332"/>
      <c r="CH727" s="332"/>
      <c r="CI727" s="332"/>
      <c r="CJ727" s="332"/>
      <c r="CK727" s="332"/>
      <c r="CL727" s="332"/>
      <c r="CM727" s="332"/>
      <c r="CN727" s="332"/>
      <c r="CO727" s="332"/>
      <c r="CP727" s="332"/>
      <c r="CQ727" s="332"/>
      <c r="CR727" s="332"/>
      <c r="CS727" s="332"/>
      <c r="CT727" s="332"/>
      <c r="CU727" s="332"/>
      <c r="CV727" s="332"/>
      <c r="CW727" s="332"/>
      <c r="CX727" s="332"/>
      <c r="CY727" s="332"/>
      <c r="CZ727" s="332"/>
      <c r="DA727" s="332"/>
      <c r="DB727" s="332"/>
      <c r="DC727" s="332"/>
      <c r="DD727" s="332"/>
      <c r="DE727" s="332"/>
      <c r="DF727" s="332"/>
      <c r="DG727" s="332"/>
      <c r="DH727" s="332"/>
      <c r="DI727" s="332"/>
      <c r="DJ727" s="332"/>
      <c r="DK727" s="332"/>
      <c r="DL727" s="332"/>
      <c r="DM727" s="332"/>
      <c r="DN727" s="332"/>
      <c r="DO727" s="332"/>
      <c r="DP727" s="332"/>
      <c r="DQ727" s="332"/>
      <c r="DR727" s="332"/>
      <c r="DS727" s="332"/>
      <c r="DT727" s="332"/>
      <c r="DU727" s="453"/>
      <c r="DV727" s="453"/>
      <c r="DW727" s="453"/>
      <c r="DX727" s="453"/>
      <c r="DY727" s="453"/>
      <c r="DZ727" s="453"/>
      <c r="EA727" s="453"/>
      <c r="EB727" s="453"/>
      <c r="EC727" s="453"/>
      <c r="ED727" s="453"/>
      <c r="EE727" s="453"/>
      <c r="EF727" s="453"/>
      <c r="EG727" s="453"/>
      <c r="EH727" s="453"/>
      <c r="EI727" s="453"/>
      <c r="EJ727" s="453"/>
      <c r="EK727" s="453"/>
      <c r="EL727" s="453"/>
      <c r="EM727" s="483">
        <f t="shared" si="230"/>
        <v>418</v>
      </c>
      <c r="EN727" s="485"/>
      <c r="EO727" s="458"/>
      <c r="EP727" s="467"/>
      <c r="EQ727" s="457"/>
      <c r="ER727" s="808"/>
      <c r="ES727" s="881">
        <f t="shared" si="231"/>
        <v>0</v>
      </c>
      <c r="ET727" s="882"/>
      <c r="EU727" s="883"/>
      <c r="EV727" s="884">
        <f t="shared" si="229"/>
        <v>0</v>
      </c>
      <c r="EW727" s="885"/>
      <c r="EX727" s="885"/>
      <c r="EY727" s="885"/>
      <c r="EZ727" s="885"/>
      <c r="FA727" s="885"/>
      <c r="FB727" s="885"/>
      <c r="FC727" s="885"/>
      <c r="FD727" s="886"/>
      <c r="FE727" s="878"/>
      <c r="FF727" s="878"/>
      <c r="FG727" s="878"/>
      <c r="FH727" s="878"/>
      <c r="FI727" s="878"/>
      <c r="FJ727" s="878"/>
      <c r="FK727" s="878"/>
      <c r="FL727" s="555"/>
      <c r="FM727" s="554"/>
      <c r="FN727" s="554"/>
      <c r="FO727" s="554"/>
      <c r="FP727" s="554"/>
      <c r="FQ727" s="554"/>
      <c r="FR727" s="554"/>
      <c r="FS727" s="554"/>
      <c r="FT727" s="554"/>
      <c r="FU727" s="554"/>
      <c r="FV727" s="554"/>
      <c r="FW727" s="554"/>
      <c r="FX727" s="554"/>
      <c r="FY727" s="554"/>
      <c r="FZ727" s="554"/>
      <c r="GA727" s="554"/>
      <c r="GB727" s="556"/>
      <c r="GC727" s="370"/>
      <c r="GD727" s="453"/>
      <c r="GE727" s="453"/>
      <c r="GF727" s="453"/>
      <c r="GG727" s="453"/>
      <c r="GH727" s="454"/>
      <c r="GI727" s="453"/>
      <c r="GJ727" s="453"/>
      <c r="GK727" s="453"/>
      <c r="GL727" s="453"/>
      <c r="GM727" s="453"/>
      <c r="GN727" s="453"/>
      <c r="GO727" s="453"/>
      <c r="GP727" s="453"/>
      <c r="GQ727" s="453"/>
      <c r="GR727" s="453"/>
      <c r="GS727" s="561"/>
      <c r="GT727" s="475"/>
      <c r="GU727" s="472"/>
      <c r="GV727" s="453"/>
      <c r="GW727" s="453"/>
      <c r="GX727" s="869"/>
      <c r="GY727" s="870"/>
      <c r="GZ727" s="867"/>
      <c r="HA727" s="868"/>
      <c r="HB727" s="473"/>
      <c r="HC727" s="869"/>
      <c r="HD727" s="870"/>
      <c r="HE727" s="867"/>
      <c r="HF727" s="868"/>
      <c r="HG727" s="473"/>
      <c r="HH727" s="867"/>
      <c r="HI727" s="868"/>
      <c r="HJ727" s="867"/>
      <c r="HK727" s="868"/>
      <c r="HL727" s="370"/>
      <c r="HM727" s="865"/>
      <c r="HN727" s="866"/>
      <c r="HO727" s="865"/>
      <c r="HP727" s="866"/>
      <c r="HQ727" s="865"/>
      <c r="HR727" s="866"/>
      <c r="HS727" s="867"/>
      <c r="HT727" s="868"/>
      <c r="HU727" s="489"/>
      <c r="HV727" s="865"/>
      <c r="HW727" s="866"/>
    </row>
    <row r="728" spans="25:231" ht="15" customHeight="1">
      <c r="Y728" s="332"/>
      <c r="Z728" s="332"/>
      <c r="AA728" s="332"/>
      <c r="AB728" s="332"/>
      <c r="AC728" s="332"/>
      <c r="AD728" s="332"/>
      <c r="AE728" s="332"/>
      <c r="AF728" s="332"/>
      <c r="AG728" s="332"/>
      <c r="AH728" s="332"/>
      <c r="AI728" s="332"/>
      <c r="AJ728" s="332"/>
      <c r="AK728" s="332"/>
      <c r="AL728" s="332"/>
      <c r="AM728" s="332"/>
      <c r="AN728" s="332"/>
      <c r="AO728" s="332"/>
      <c r="AP728" s="332"/>
      <c r="AQ728" s="332"/>
      <c r="AR728" s="332"/>
      <c r="AS728" s="332"/>
      <c r="AT728" s="332"/>
      <c r="AU728" s="332"/>
      <c r="AV728" s="332"/>
      <c r="AW728" s="332"/>
      <c r="AX728" s="332"/>
      <c r="AY728" s="332"/>
      <c r="AZ728" s="332"/>
      <c r="BA728" s="332"/>
      <c r="BB728" s="332"/>
      <c r="BC728" s="332"/>
      <c r="BD728" s="332"/>
      <c r="BE728" s="332"/>
      <c r="BF728" s="332"/>
      <c r="BG728" s="332"/>
      <c r="BH728" s="332"/>
      <c r="BI728" s="332"/>
      <c r="BJ728" s="332"/>
      <c r="BK728" s="332"/>
      <c r="BL728" s="332"/>
      <c r="BM728" s="332"/>
      <c r="BN728" s="332"/>
      <c r="BO728" s="332"/>
      <c r="BP728" s="332"/>
      <c r="BQ728" s="332"/>
      <c r="BR728" s="332"/>
      <c r="BS728" s="332"/>
      <c r="BT728" s="332"/>
      <c r="BU728" s="332"/>
      <c r="BV728" s="332"/>
      <c r="BW728" s="332"/>
      <c r="BX728" s="332"/>
      <c r="BY728" s="332"/>
      <c r="BZ728" s="332"/>
      <c r="CA728" s="332"/>
      <c r="CB728" s="332"/>
      <c r="CC728" s="332"/>
      <c r="CD728" s="332"/>
      <c r="CE728" s="332"/>
      <c r="CF728" s="332"/>
      <c r="CG728" s="332"/>
      <c r="CH728" s="332"/>
      <c r="CI728" s="332"/>
      <c r="CJ728" s="332"/>
      <c r="CK728" s="332"/>
      <c r="CL728" s="332"/>
      <c r="CM728" s="332"/>
      <c r="CN728" s="332"/>
      <c r="CO728" s="332"/>
      <c r="CP728" s="332"/>
      <c r="CQ728" s="332"/>
      <c r="CR728" s="332"/>
      <c r="CS728" s="332"/>
      <c r="CT728" s="332"/>
      <c r="CU728" s="332"/>
      <c r="CV728" s="332"/>
      <c r="CW728" s="332"/>
      <c r="CX728" s="332"/>
      <c r="CY728" s="332"/>
      <c r="CZ728" s="332"/>
      <c r="DA728" s="332"/>
      <c r="DB728" s="332"/>
      <c r="DC728" s="332"/>
      <c r="DD728" s="332"/>
      <c r="DE728" s="332"/>
      <c r="DF728" s="332"/>
      <c r="DG728" s="332"/>
      <c r="DH728" s="332"/>
      <c r="DI728" s="332"/>
      <c r="DJ728" s="332"/>
      <c r="DK728" s="332"/>
      <c r="DL728" s="332"/>
      <c r="DM728" s="332"/>
      <c r="DN728" s="332"/>
      <c r="DO728" s="332"/>
      <c r="DP728" s="332"/>
      <c r="DQ728" s="332"/>
      <c r="DR728" s="332"/>
      <c r="DS728" s="332"/>
      <c r="DT728" s="332"/>
      <c r="DU728" s="453"/>
      <c r="DV728" s="453"/>
      <c r="DW728" s="453"/>
      <c r="DX728" s="453"/>
      <c r="DY728" s="453"/>
      <c r="DZ728" s="453"/>
      <c r="EA728" s="453"/>
      <c r="EB728" s="453"/>
      <c r="EC728" s="453"/>
      <c r="ED728" s="453"/>
      <c r="EE728" s="453"/>
      <c r="EF728" s="453"/>
      <c r="EG728" s="453"/>
      <c r="EH728" s="453"/>
      <c r="EI728" s="453"/>
      <c r="EJ728" s="453"/>
      <c r="EK728" s="453"/>
      <c r="EL728" s="453"/>
      <c r="EM728" s="483">
        <f t="shared" si="230"/>
        <v>419</v>
      </c>
      <c r="EN728" s="485"/>
      <c r="EO728" s="458"/>
      <c r="EP728" s="467"/>
      <c r="EQ728" s="457"/>
      <c r="ER728" s="808"/>
      <c r="ES728" s="881">
        <f t="shared" si="231"/>
        <v>0</v>
      </c>
      <c r="ET728" s="882"/>
      <c r="EU728" s="883"/>
      <c r="EV728" s="884">
        <f t="shared" si="229"/>
        <v>0</v>
      </c>
      <c r="EW728" s="885"/>
      <c r="EX728" s="885"/>
      <c r="EY728" s="885"/>
      <c r="EZ728" s="885"/>
      <c r="FA728" s="885"/>
      <c r="FB728" s="885"/>
      <c r="FC728" s="885"/>
      <c r="FD728" s="886"/>
      <c r="FE728" s="878"/>
      <c r="FF728" s="878"/>
      <c r="FG728" s="878"/>
      <c r="FH728" s="878"/>
      <c r="FI728" s="878"/>
      <c r="FJ728" s="878"/>
      <c r="FK728" s="878"/>
      <c r="FL728" s="555"/>
      <c r="FM728" s="554"/>
      <c r="FN728" s="554"/>
      <c r="FO728" s="554"/>
      <c r="FP728" s="554"/>
      <c r="FQ728" s="554"/>
      <c r="FR728" s="554"/>
      <c r="FS728" s="554"/>
      <c r="FT728" s="554"/>
      <c r="FU728" s="554"/>
      <c r="FV728" s="554"/>
      <c r="FW728" s="554"/>
      <c r="FX728" s="554"/>
      <c r="FY728" s="554"/>
      <c r="FZ728" s="554"/>
      <c r="GA728" s="554"/>
      <c r="GB728" s="556"/>
      <c r="GC728" s="370"/>
      <c r="GD728" s="453"/>
      <c r="GE728" s="453"/>
      <c r="GF728" s="453"/>
      <c r="GG728" s="453"/>
      <c r="GH728" s="454"/>
      <c r="GI728" s="453"/>
      <c r="GJ728" s="453"/>
      <c r="GK728" s="453"/>
      <c r="GL728" s="453"/>
      <c r="GM728" s="453"/>
      <c r="GN728" s="453"/>
      <c r="GO728" s="453"/>
      <c r="GP728" s="453"/>
      <c r="GQ728" s="453"/>
      <c r="GR728" s="453"/>
      <c r="GS728" s="561"/>
      <c r="GT728" s="475"/>
      <c r="GU728" s="472"/>
      <c r="GV728" s="453"/>
      <c r="GW728" s="453"/>
      <c r="GX728" s="869"/>
      <c r="GY728" s="870"/>
      <c r="GZ728" s="867"/>
      <c r="HA728" s="868"/>
      <c r="HB728" s="473"/>
      <c r="HC728" s="869"/>
      <c r="HD728" s="870"/>
      <c r="HE728" s="867"/>
      <c r="HF728" s="868"/>
      <c r="HG728" s="473"/>
      <c r="HH728" s="867"/>
      <c r="HI728" s="868"/>
      <c r="HJ728" s="867"/>
      <c r="HK728" s="868"/>
      <c r="HL728" s="370"/>
      <c r="HM728" s="865"/>
      <c r="HN728" s="866"/>
      <c r="HO728" s="865"/>
      <c r="HP728" s="866"/>
      <c r="HQ728" s="865"/>
      <c r="HR728" s="866"/>
      <c r="HS728" s="867"/>
      <c r="HT728" s="868"/>
      <c r="HU728" s="489"/>
      <c r="HV728" s="865"/>
      <c r="HW728" s="866"/>
    </row>
    <row r="729" spans="25:231" ht="15" customHeight="1">
      <c r="Y729" s="332"/>
      <c r="Z729" s="332"/>
      <c r="AA729" s="332"/>
      <c r="AB729" s="332"/>
      <c r="AC729" s="332"/>
      <c r="AD729" s="332"/>
      <c r="AE729" s="332"/>
      <c r="AF729" s="332"/>
      <c r="AG729" s="332"/>
      <c r="AH729" s="332"/>
      <c r="AI729" s="332"/>
      <c r="AJ729" s="332"/>
      <c r="AK729" s="332"/>
      <c r="AL729" s="332"/>
      <c r="AM729" s="332"/>
      <c r="AN729" s="332"/>
      <c r="AO729" s="332"/>
      <c r="AP729" s="332"/>
      <c r="AQ729" s="332"/>
      <c r="AR729" s="332"/>
      <c r="AS729" s="332"/>
      <c r="AT729" s="332"/>
      <c r="AU729" s="332"/>
      <c r="AV729" s="332"/>
      <c r="AW729" s="332"/>
      <c r="AX729" s="332"/>
      <c r="AY729" s="332"/>
      <c r="AZ729" s="332"/>
      <c r="BA729" s="332"/>
      <c r="BB729" s="332"/>
      <c r="BC729" s="332"/>
      <c r="BD729" s="332"/>
      <c r="BE729" s="332"/>
      <c r="BF729" s="332"/>
      <c r="BG729" s="332"/>
      <c r="BH729" s="332"/>
      <c r="BI729" s="332"/>
      <c r="BJ729" s="332"/>
      <c r="BK729" s="332"/>
      <c r="BL729" s="332"/>
      <c r="BM729" s="332"/>
      <c r="BN729" s="332"/>
      <c r="BO729" s="332"/>
      <c r="BP729" s="332"/>
      <c r="BQ729" s="332"/>
      <c r="BR729" s="332"/>
      <c r="BS729" s="332"/>
      <c r="BT729" s="332"/>
      <c r="BU729" s="332"/>
      <c r="BV729" s="332"/>
      <c r="BW729" s="332"/>
      <c r="BX729" s="332"/>
      <c r="BY729" s="332"/>
      <c r="BZ729" s="332"/>
      <c r="CA729" s="332"/>
      <c r="CB729" s="332"/>
      <c r="CC729" s="332"/>
      <c r="CD729" s="332"/>
      <c r="CE729" s="332"/>
      <c r="CF729" s="332"/>
      <c r="CG729" s="332"/>
      <c r="CH729" s="332"/>
      <c r="CI729" s="332"/>
      <c r="CJ729" s="332"/>
      <c r="CK729" s="332"/>
      <c r="CL729" s="332"/>
      <c r="CM729" s="332"/>
      <c r="CN729" s="332"/>
      <c r="CO729" s="332"/>
      <c r="CP729" s="332"/>
      <c r="CQ729" s="332"/>
      <c r="CR729" s="332"/>
      <c r="CS729" s="332"/>
      <c r="CT729" s="332"/>
      <c r="CU729" s="332"/>
      <c r="CV729" s="332"/>
      <c r="CW729" s="332"/>
      <c r="CX729" s="332"/>
      <c r="CY729" s="332"/>
      <c r="CZ729" s="332"/>
      <c r="DA729" s="332"/>
      <c r="DB729" s="332"/>
      <c r="DC729" s="332"/>
      <c r="DD729" s="332"/>
      <c r="DE729" s="332"/>
      <c r="DF729" s="332"/>
      <c r="DG729" s="332"/>
      <c r="DH729" s="332"/>
      <c r="DI729" s="332"/>
      <c r="DJ729" s="332"/>
      <c r="DK729" s="332"/>
      <c r="DL729" s="332"/>
      <c r="DM729" s="332"/>
      <c r="DN729" s="332"/>
      <c r="DO729" s="332"/>
      <c r="DP729" s="332"/>
      <c r="DQ729" s="332"/>
      <c r="DR729" s="332"/>
      <c r="DS729" s="332"/>
      <c r="DT729" s="332"/>
      <c r="DU729" s="453"/>
      <c r="DV729" s="453"/>
      <c r="DW729" s="453"/>
      <c r="DX729" s="453"/>
      <c r="DY729" s="453"/>
      <c r="DZ729" s="453"/>
      <c r="EA729" s="453"/>
      <c r="EB729" s="453"/>
      <c r="EC729" s="453"/>
      <c r="ED729" s="453"/>
      <c r="EE729" s="453"/>
      <c r="EF729" s="453"/>
      <c r="EG729" s="453"/>
      <c r="EH729" s="453"/>
      <c r="EI729" s="453"/>
      <c r="EJ729" s="453"/>
      <c r="EK729" s="453"/>
      <c r="EL729" s="453"/>
      <c r="EM729" s="483">
        <f t="shared" si="230"/>
        <v>420</v>
      </c>
      <c r="EN729" s="485"/>
      <c r="EO729" s="458"/>
      <c r="EP729" s="467"/>
      <c r="EQ729" s="457"/>
      <c r="ER729" s="808"/>
      <c r="ES729" s="881">
        <f t="shared" si="231"/>
        <v>0</v>
      </c>
      <c r="ET729" s="882"/>
      <c r="EU729" s="883"/>
      <c r="EV729" s="884">
        <f t="shared" si="229"/>
        <v>0</v>
      </c>
      <c r="EW729" s="885"/>
      <c r="EX729" s="885"/>
      <c r="EY729" s="885"/>
      <c r="EZ729" s="885"/>
      <c r="FA729" s="885"/>
      <c r="FB729" s="885"/>
      <c r="FC729" s="885"/>
      <c r="FD729" s="886"/>
      <c r="FE729" s="1040" t="s">
        <v>317</v>
      </c>
      <c r="FF729" s="872"/>
      <c r="FG729" s="872"/>
      <c r="FH729" s="872"/>
      <c r="FI729" s="872"/>
      <c r="FJ729" s="872"/>
      <c r="FK729" s="1041"/>
      <c r="FL729" s="871" t="s">
        <v>318</v>
      </c>
      <c r="FM729" s="872"/>
      <c r="FN729" s="872"/>
      <c r="FO729" s="872"/>
      <c r="FP729" s="872"/>
      <c r="FQ729" s="872"/>
      <c r="FR729" s="872"/>
      <c r="FS729" s="872"/>
      <c r="FT729" s="872"/>
      <c r="FU729" s="872"/>
      <c r="FV729" s="872"/>
      <c r="FW729" s="872"/>
      <c r="FX729" s="872"/>
      <c r="FY729" s="872"/>
      <c r="FZ729" s="872"/>
      <c r="GA729" s="872"/>
      <c r="GB729" s="873"/>
      <c r="GC729" s="370"/>
      <c r="GD729" s="453"/>
      <c r="GE729" s="453"/>
      <c r="GF729" s="453"/>
      <c r="GG729" s="453"/>
      <c r="GH729" s="454"/>
      <c r="GI729" s="453"/>
      <c r="GJ729" s="453"/>
      <c r="GK729" s="453"/>
      <c r="GL729" s="453"/>
      <c r="GM729" s="453"/>
      <c r="GN729" s="453"/>
      <c r="GO729" s="453"/>
      <c r="GP729" s="453"/>
      <c r="GQ729" s="453"/>
      <c r="GR729" s="453"/>
      <c r="GS729" s="561"/>
      <c r="GT729" s="475"/>
      <c r="GU729" s="472"/>
      <c r="GV729" s="453"/>
      <c r="GW729" s="453"/>
      <c r="GX729" s="869"/>
      <c r="GY729" s="870"/>
      <c r="GZ729" s="867"/>
      <c r="HA729" s="868"/>
      <c r="HB729" s="473"/>
      <c r="HC729" s="869"/>
      <c r="HD729" s="870"/>
      <c r="HE729" s="867"/>
      <c r="HF729" s="868"/>
      <c r="HG729" s="473"/>
      <c r="HH729" s="867"/>
      <c r="HI729" s="868"/>
      <c r="HJ729" s="867"/>
      <c r="HK729" s="868"/>
      <c r="HL729" s="370"/>
      <c r="HM729" s="865"/>
      <c r="HN729" s="866"/>
      <c r="HO729" s="865"/>
      <c r="HP729" s="866"/>
      <c r="HQ729" s="865"/>
      <c r="HR729" s="866"/>
      <c r="HS729" s="867"/>
      <c r="HT729" s="868"/>
      <c r="HU729" s="489"/>
      <c r="HV729" s="865"/>
      <c r="HW729" s="866"/>
    </row>
    <row r="730" spans="25:231" ht="15" customHeight="1">
      <c r="Y730" s="332"/>
      <c r="Z730" s="332"/>
      <c r="AA730" s="332"/>
      <c r="AB730" s="332"/>
      <c r="AC730" s="332"/>
      <c r="AD730" s="332"/>
      <c r="AE730" s="332"/>
      <c r="AF730" s="332"/>
      <c r="AG730" s="332"/>
      <c r="AH730" s="332"/>
      <c r="AI730" s="332"/>
      <c r="AJ730" s="332"/>
      <c r="AK730" s="332"/>
      <c r="AL730" s="332"/>
      <c r="AM730" s="332"/>
      <c r="AN730" s="332"/>
      <c r="AO730" s="332"/>
      <c r="AP730" s="332"/>
      <c r="AQ730" s="332"/>
      <c r="AR730" s="332"/>
      <c r="AS730" s="332"/>
      <c r="AT730" s="332"/>
      <c r="AU730" s="332"/>
      <c r="AV730" s="332"/>
      <c r="AW730" s="332"/>
      <c r="AX730" s="332"/>
      <c r="AY730" s="332"/>
      <c r="AZ730" s="332"/>
      <c r="BA730" s="332"/>
      <c r="BB730" s="332"/>
      <c r="BC730" s="332"/>
      <c r="BD730" s="332"/>
      <c r="BE730" s="332"/>
      <c r="BF730" s="332"/>
      <c r="BG730" s="332"/>
      <c r="BH730" s="332"/>
      <c r="BI730" s="332"/>
      <c r="BJ730" s="332"/>
      <c r="BK730" s="332"/>
      <c r="BL730" s="332"/>
      <c r="BM730" s="332"/>
      <c r="BN730" s="332"/>
      <c r="BO730" s="332"/>
      <c r="BP730" s="332"/>
      <c r="BQ730" s="332"/>
      <c r="BR730" s="332"/>
      <c r="BS730" s="332"/>
      <c r="BT730" s="332"/>
      <c r="BU730" s="332"/>
      <c r="BV730" s="332"/>
      <c r="BW730" s="332"/>
      <c r="BX730" s="332"/>
      <c r="BY730" s="332"/>
      <c r="BZ730" s="332"/>
      <c r="CA730" s="332"/>
      <c r="CB730" s="332"/>
      <c r="CC730" s="332"/>
      <c r="CD730" s="332"/>
      <c r="CE730" s="332"/>
      <c r="CF730" s="332"/>
      <c r="CG730" s="332"/>
      <c r="CH730" s="332"/>
      <c r="CI730" s="332"/>
      <c r="CJ730" s="332"/>
      <c r="CK730" s="332"/>
      <c r="CL730" s="332"/>
      <c r="CM730" s="332"/>
      <c r="CN730" s="332"/>
      <c r="CO730" s="332"/>
      <c r="CP730" s="332"/>
      <c r="CQ730" s="332"/>
      <c r="CR730" s="332"/>
      <c r="CS730" s="332"/>
      <c r="CT730" s="332"/>
      <c r="CU730" s="332"/>
      <c r="CV730" s="332"/>
      <c r="CW730" s="332"/>
      <c r="CX730" s="332"/>
      <c r="CY730" s="332"/>
      <c r="CZ730" s="332"/>
      <c r="DA730" s="332"/>
      <c r="DB730" s="332"/>
      <c r="DC730" s="332"/>
      <c r="DD730" s="332"/>
      <c r="DE730" s="332"/>
      <c r="DF730" s="332"/>
      <c r="DG730" s="332"/>
      <c r="DH730" s="332"/>
      <c r="DI730" s="332"/>
      <c r="DJ730" s="332"/>
      <c r="DK730" s="332"/>
      <c r="DL730" s="332"/>
      <c r="DM730" s="332"/>
      <c r="DN730" s="332"/>
      <c r="DO730" s="332"/>
      <c r="DP730" s="332"/>
      <c r="DQ730" s="332"/>
      <c r="DR730" s="332"/>
      <c r="DS730" s="332"/>
      <c r="DT730" s="332"/>
      <c r="DU730" s="453"/>
      <c r="DV730" s="453"/>
      <c r="DW730" s="453"/>
      <c r="DX730" s="453"/>
      <c r="DY730" s="453"/>
      <c r="DZ730" s="453"/>
      <c r="EA730" s="453"/>
      <c r="EB730" s="453"/>
      <c r="EC730" s="453"/>
      <c r="ED730" s="453"/>
      <c r="EE730" s="453"/>
      <c r="EF730" s="453"/>
      <c r="EG730" s="453"/>
      <c r="EH730" s="453"/>
      <c r="EI730" s="453"/>
      <c r="EJ730" s="453"/>
      <c r="EK730" s="453"/>
      <c r="EL730" s="453"/>
      <c r="EM730" s="483">
        <f t="shared" si="230"/>
        <v>421</v>
      </c>
      <c r="EN730" s="485"/>
      <c r="EO730" s="458"/>
      <c r="EP730" s="467"/>
      <c r="EQ730" s="457"/>
      <c r="ER730" s="808"/>
      <c r="ES730" s="881">
        <f t="shared" si="231"/>
        <v>0</v>
      </c>
      <c r="ET730" s="882"/>
      <c r="EU730" s="883"/>
      <c r="EV730" s="884">
        <f t="shared" si="229"/>
        <v>0</v>
      </c>
      <c r="EW730" s="885"/>
      <c r="EX730" s="885"/>
      <c r="EY730" s="885"/>
      <c r="EZ730" s="885"/>
      <c r="FA730" s="885"/>
      <c r="FB730" s="885"/>
      <c r="FC730" s="885"/>
      <c r="FD730" s="886"/>
      <c r="FE730" s="878"/>
      <c r="FF730" s="878"/>
      <c r="FG730" s="878"/>
      <c r="FH730" s="878"/>
      <c r="FI730" s="878"/>
      <c r="FJ730" s="878"/>
      <c r="FK730" s="878"/>
      <c r="FL730" s="555"/>
      <c r="FM730" s="554"/>
      <c r="FN730" s="554"/>
      <c r="FO730" s="554"/>
      <c r="FP730" s="554"/>
      <c r="FQ730" s="554"/>
      <c r="FR730" s="554"/>
      <c r="FS730" s="554"/>
      <c r="FT730" s="554"/>
      <c r="FU730" s="554"/>
      <c r="FV730" s="554"/>
      <c r="FW730" s="554"/>
      <c r="FX730" s="554"/>
      <c r="FY730" s="554"/>
      <c r="FZ730" s="554"/>
      <c r="GA730" s="554"/>
      <c r="GB730" s="556"/>
      <c r="GC730" s="370"/>
      <c r="GD730" s="453"/>
      <c r="GE730" s="453"/>
      <c r="GF730" s="453"/>
      <c r="GG730" s="453"/>
      <c r="GH730" s="454"/>
      <c r="GI730" s="453"/>
      <c r="GJ730" s="453"/>
      <c r="GK730" s="453"/>
      <c r="GL730" s="453"/>
      <c r="GM730" s="453"/>
      <c r="GN730" s="453"/>
      <c r="GO730" s="453"/>
      <c r="GP730" s="453"/>
      <c r="GQ730" s="453"/>
      <c r="GR730" s="453"/>
      <c r="GS730" s="561"/>
      <c r="GT730" s="475"/>
      <c r="GU730" s="472"/>
      <c r="GV730" s="453"/>
      <c r="GW730" s="453"/>
      <c r="GX730" s="869"/>
      <c r="GY730" s="870"/>
      <c r="GZ730" s="867"/>
      <c r="HA730" s="868"/>
      <c r="HB730" s="473"/>
      <c r="HC730" s="869"/>
      <c r="HD730" s="870"/>
      <c r="HE730" s="867"/>
      <c r="HF730" s="868"/>
      <c r="HG730" s="473"/>
      <c r="HH730" s="867"/>
      <c r="HI730" s="868"/>
      <c r="HJ730" s="867"/>
      <c r="HK730" s="868"/>
      <c r="HL730" s="370"/>
      <c r="HM730" s="865"/>
      <c r="HN730" s="866"/>
      <c r="HO730" s="865"/>
      <c r="HP730" s="866"/>
      <c r="HQ730" s="865"/>
      <c r="HR730" s="866"/>
      <c r="HS730" s="867"/>
      <c r="HT730" s="868"/>
      <c r="HU730" s="489"/>
      <c r="HV730" s="865"/>
      <c r="HW730" s="866"/>
    </row>
    <row r="731" spans="25:231" ht="15" customHeight="1">
      <c r="Y731" s="332"/>
      <c r="Z731" s="332"/>
      <c r="AA731" s="332"/>
      <c r="AB731" s="332"/>
      <c r="AC731" s="332"/>
      <c r="AD731" s="332"/>
      <c r="AE731" s="332"/>
      <c r="AF731" s="332"/>
      <c r="AG731" s="332"/>
      <c r="AH731" s="332"/>
      <c r="AI731" s="332"/>
      <c r="AJ731" s="332"/>
      <c r="AK731" s="332"/>
      <c r="AL731" s="332"/>
      <c r="AM731" s="332"/>
      <c r="AN731" s="332"/>
      <c r="AO731" s="332"/>
      <c r="AP731" s="332"/>
      <c r="AQ731" s="332"/>
      <c r="AR731" s="332"/>
      <c r="AS731" s="332"/>
      <c r="AT731" s="332"/>
      <c r="AU731" s="332"/>
      <c r="AV731" s="332"/>
      <c r="AW731" s="332"/>
      <c r="AX731" s="332"/>
      <c r="AY731" s="332"/>
      <c r="AZ731" s="332"/>
      <c r="BA731" s="332"/>
      <c r="BB731" s="332"/>
      <c r="BC731" s="332"/>
      <c r="BD731" s="332"/>
      <c r="BE731" s="332"/>
      <c r="BF731" s="332"/>
      <c r="BG731" s="332"/>
      <c r="BH731" s="332"/>
      <c r="BI731" s="332"/>
      <c r="BJ731" s="332"/>
      <c r="BK731" s="332"/>
      <c r="BL731" s="332"/>
      <c r="BM731" s="332"/>
      <c r="BN731" s="332"/>
      <c r="BO731" s="332"/>
      <c r="BP731" s="332"/>
      <c r="BQ731" s="332"/>
      <c r="BR731" s="332"/>
      <c r="BS731" s="332"/>
      <c r="BT731" s="332"/>
      <c r="BU731" s="332"/>
      <c r="BV731" s="332"/>
      <c r="BW731" s="332"/>
      <c r="BX731" s="332"/>
      <c r="BY731" s="332"/>
      <c r="BZ731" s="332"/>
      <c r="CA731" s="332"/>
      <c r="CB731" s="332"/>
      <c r="CC731" s="332"/>
      <c r="CD731" s="332"/>
      <c r="CE731" s="332"/>
      <c r="CF731" s="332"/>
      <c r="CG731" s="332"/>
      <c r="CH731" s="332"/>
      <c r="CI731" s="332"/>
      <c r="CJ731" s="332"/>
      <c r="CK731" s="332"/>
      <c r="CL731" s="332"/>
      <c r="CM731" s="332"/>
      <c r="CN731" s="332"/>
      <c r="CO731" s="332"/>
      <c r="CP731" s="332"/>
      <c r="CQ731" s="332"/>
      <c r="CR731" s="332"/>
      <c r="CS731" s="332"/>
      <c r="CT731" s="332"/>
      <c r="CU731" s="332"/>
      <c r="CV731" s="332"/>
      <c r="CW731" s="332"/>
      <c r="CX731" s="332"/>
      <c r="CY731" s="332"/>
      <c r="CZ731" s="332"/>
      <c r="DA731" s="332"/>
      <c r="DB731" s="332"/>
      <c r="DC731" s="332"/>
      <c r="DD731" s="332"/>
      <c r="DE731" s="332"/>
      <c r="DF731" s="332"/>
      <c r="DG731" s="332"/>
      <c r="DH731" s="332"/>
      <c r="DI731" s="332"/>
      <c r="DJ731" s="332"/>
      <c r="DK731" s="332"/>
      <c r="DL731" s="332"/>
      <c r="DM731" s="332"/>
      <c r="DN731" s="332"/>
      <c r="DO731" s="332"/>
      <c r="DP731" s="332"/>
      <c r="DQ731" s="332"/>
      <c r="DR731" s="332"/>
      <c r="DS731" s="332"/>
      <c r="DT731" s="332"/>
      <c r="DU731" s="453"/>
      <c r="DV731" s="453"/>
      <c r="DW731" s="453"/>
      <c r="DX731" s="453"/>
      <c r="DY731" s="453"/>
      <c r="DZ731" s="453"/>
      <c r="EA731" s="453"/>
      <c r="EB731" s="453"/>
      <c r="EC731" s="453"/>
      <c r="ED731" s="453"/>
      <c r="EE731" s="453"/>
      <c r="EF731" s="453"/>
      <c r="EG731" s="453"/>
      <c r="EH731" s="453"/>
      <c r="EI731" s="453"/>
      <c r="EJ731" s="453"/>
      <c r="EK731" s="453"/>
      <c r="EL731" s="453"/>
      <c r="EM731" s="483">
        <f t="shared" si="230"/>
        <v>422</v>
      </c>
      <c r="EN731" s="485"/>
      <c r="EO731" s="458"/>
      <c r="EP731" s="467"/>
      <c r="EQ731" s="457"/>
      <c r="ER731" s="808"/>
      <c r="ES731" s="881">
        <f t="shared" si="231"/>
        <v>0</v>
      </c>
      <c r="ET731" s="882"/>
      <c r="EU731" s="883"/>
      <c r="EV731" s="884">
        <f t="shared" si="229"/>
        <v>0</v>
      </c>
      <c r="EW731" s="885"/>
      <c r="EX731" s="885"/>
      <c r="EY731" s="885"/>
      <c r="EZ731" s="885"/>
      <c r="FA731" s="885"/>
      <c r="FB731" s="885"/>
      <c r="FC731" s="885"/>
      <c r="FD731" s="886"/>
      <c r="FE731" s="878"/>
      <c r="FF731" s="878"/>
      <c r="FG731" s="878"/>
      <c r="FH731" s="878"/>
      <c r="FI731" s="878"/>
      <c r="FJ731" s="878"/>
      <c r="FK731" s="878"/>
      <c r="FL731" s="555"/>
      <c r="FM731" s="554"/>
      <c r="FN731" s="554"/>
      <c r="FO731" s="554"/>
      <c r="FP731" s="554"/>
      <c r="FQ731" s="554"/>
      <c r="FR731" s="554"/>
      <c r="FS731" s="554"/>
      <c r="FT731" s="554"/>
      <c r="FU731" s="554"/>
      <c r="FV731" s="554"/>
      <c r="FW731" s="554"/>
      <c r="FX731" s="554"/>
      <c r="FY731" s="554"/>
      <c r="FZ731" s="554"/>
      <c r="GA731" s="554"/>
      <c r="GB731" s="556"/>
      <c r="GC731" s="370"/>
      <c r="GD731" s="453"/>
      <c r="GE731" s="453"/>
      <c r="GF731" s="453"/>
      <c r="GG731" s="453"/>
      <c r="GH731" s="454"/>
      <c r="GI731" s="453"/>
      <c r="GJ731" s="453"/>
      <c r="GK731" s="453"/>
      <c r="GL731" s="453"/>
      <c r="GM731" s="453"/>
      <c r="GN731" s="453"/>
      <c r="GO731" s="453"/>
      <c r="GP731" s="453"/>
      <c r="GQ731" s="453"/>
      <c r="GR731" s="453"/>
      <c r="GS731" s="561"/>
      <c r="GT731" s="475"/>
      <c r="GU731" s="472"/>
      <c r="GV731" s="453"/>
      <c r="GW731" s="453"/>
      <c r="GX731" s="869"/>
      <c r="GY731" s="870"/>
      <c r="GZ731" s="867"/>
      <c r="HA731" s="868"/>
      <c r="HB731" s="473"/>
      <c r="HC731" s="869"/>
      <c r="HD731" s="870"/>
      <c r="HE731" s="867"/>
      <c r="HF731" s="868"/>
      <c r="HG731" s="473"/>
      <c r="HH731" s="867"/>
      <c r="HI731" s="868"/>
      <c r="HJ731" s="867"/>
      <c r="HK731" s="868"/>
      <c r="HL731" s="370"/>
      <c r="HM731" s="865"/>
      <c r="HN731" s="866"/>
      <c r="HO731" s="865"/>
      <c r="HP731" s="866"/>
      <c r="HQ731" s="865"/>
      <c r="HR731" s="866"/>
      <c r="HS731" s="867"/>
      <c r="HT731" s="868"/>
      <c r="HU731" s="489"/>
      <c r="HV731" s="865"/>
      <c r="HW731" s="866"/>
    </row>
    <row r="732" spans="25:231" ht="15" customHeight="1">
      <c r="Y732" s="332"/>
      <c r="Z732" s="332"/>
      <c r="AA732" s="332"/>
      <c r="AB732" s="332"/>
      <c r="AC732" s="332"/>
      <c r="AD732" s="332"/>
      <c r="AE732" s="332"/>
      <c r="AF732" s="332"/>
      <c r="AG732" s="332"/>
      <c r="AH732" s="332"/>
      <c r="AI732" s="332"/>
      <c r="AJ732" s="332"/>
      <c r="AK732" s="332"/>
      <c r="AL732" s="332"/>
      <c r="AM732" s="332"/>
      <c r="AN732" s="332"/>
      <c r="AO732" s="332"/>
      <c r="AP732" s="332"/>
      <c r="AQ732" s="332"/>
      <c r="AR732" s="332"/>
      <c r="AS732" s="332"/>
      <c r="AT732" s="332"/>
      <c r="AU732" s="332"/>
      <c r="AV732" s="332"/>
      <c r="AW732" s="332"/>
      <c r="AX732" s="332"/>
      <c r="AY732" s="332"/>
      <c r="AZ732" s="332"/>
      <c r="BA732" s="332"/>
      <c r="BB732" s="332"/>
      <c r="BC732" s="332"/>
      <c r="BD732" s="332"/>
      <c r="BE732" s="332"/>
      <c r="BF732" s="332"/>
      <c r="BG732" s="332"/>
      <c r="BH732" s="332"/>
      <c r="BI732" s="332"/>
      <c r="BJ732" s="332"/>
      <c r="BK732" s="332"/>
      <c r="BL732" s="332"/>
      <c r="BM732" s="332"/>
      <c r="BN732" s="332"/>
      <c r="BO732" s="332"/>
      <c r="BP732" s="332"/>
      <c r="BQ732" s="332"/>
      <c r="BR732" s="332"/>
      <c r="BS732" s="332"/>
      <c r="BT732" s="332"/>
      <c r="BU732" s="332"/>
      <c r="BV732" s="332"/>
      <c r="BW732" s="332"/>
      <c r="BX732" s="332"/>
      <c r="BY732" s="332"/>
      <c r="BZ732" s="332"/>
      <c r="CA732" s="332"/>
      <c r="CB732" s="332"/>
      <c r="CC732" s="332"/>
      <c r="CD732" s="332"/>
      <c r="CE732" s="332"/>
      <c r="CF732" s="332"/>
      <c r="CG732" s="332"/>
      <c r="CH732" s="332"/>
      <c r="CI732" s="332"/>
      <c r="CJ732" s="332"/>
      <c r="CK732" s="332"/>
      <c r="CL732" s="332"/>
      <c r="CM732" s="332"/>
      <c r="CN732" s="332"/>
      <c r="CO732" s="332"/>
      <c r="CP732" s="332"/>
      <c r="CQ732" s="332"/>
      <c r="CR732" s="332"/>
      <c r="CS732" s="332"/>
      <c r="CT732" s="332"/>
      <c r="CU732" s="332"/>
      <c r="CV732" s="332"/>
      <c r="CW732" s="332"/>
      <c r="CX732" s="332"/>
      <c r="CY732" s="332"/>
      <c r="CZ732" s="332"/>
      <c r="DA732" s="332"/>
      <c r="DB732" s="332"/>
      <c r="DC732" s="332"/>
      <c r="DD732" s="332"/>
      <c r="DE732" s="332"/>
      <c r="DF732" s="332"/>
      <c r="DG732" s="332"/>
      <c r="DH732" s="332"/>
      <c r="DI732" s="332"/>
      <c r="DJ732" s="332"/>
      <c r="DK732" s="332"/>
      <c r="DL732" s="332"/>
      <c r="DM732" s="332"/>
      <c r="DN732" s="332"/>
      <c r="DO732" s="332"/>
      <c r="DP732" s="332"/>
      <c r="DQ732" s="332"/>
      <c r="DR732" s="332"/>
      <c r="DS732" s="332"/>
      <c r="DT732" s="332"/>
      <c r="DU732" s="453"/>
      <c r="DV732" s="453"/>
      <c r="DW732" s="453"/>
      <c r="DX732" s="453"/>
      <c r="DY732" s="453"/>
      <c r="DZ732" s="453"/>
      <c r="EA732" s="453"/>
      <c r="EB732" s="453"/>
      <c r="EC732" s="453"/>
      <c r="ED732" s="453"/>
      <c r="EE732" s="453"/>
      <c r="EF732" s="453"/>
      <c r="EG732" s="453"/>
      <c r="EH732" s="453"/>
      <c r="EI732" s="453"/>
      <c r="EJ732" s="453"/>
      <c r="EK732" s="453"/>
      <c r="EL732" s="453"/>
      <c r="EM732" s="483">
        <f t="shared" si="230"/>
        <v>423</v>
      </c>
      <c r="EN732" s="485"/>
      <c r="EO732" s="458"/>
      <c r="EP732" s="467"/>
      <c r="EQ732" s="457"/>
      <c r="ER732" s="808"/>
      <c r="ES732" s="881">
        <f t="shared" si="231"/>
        <v>0</v>
      </c>
      <c r="ET732" s="882"/>
      <c r="EU732" s="883"/>
      <c r="EV732" s="884">
        <f t="shared" si="229"/>
        <v>0</v>
      </c>
      <c r="EW732" s="885"/>
      <c r="EX732" s="885"/>
      <c r="EY732" s="885"/>
      <c r="EZ732" s="885"/>
      <c r="FA732" s="885"/>
      <c r="FB732" s="885"/>
      <c r="FC732" s="885"/>
      <c r="FD732" s="886"/>
      <c r="FE732" s="878"/>
      <c r="FF732" s="878"/>
      <c r="FG732" s="878"/>
      <c r="FH732" s="878"/>
      <c r="FI732" s="878"/>
      <c r="FJ732" s="878"/>
      <c r="FK732" s="878"/>
      <c r="FL732" s="555"/>
      <c r="FM732" s="554"/>
      <c r="FN732" s="554"/>
      <c r="FO732" s="554"/>
      <c r="FP732" s="554"/>
      <c r="FQ732" s="554"/>
      <c r="FR732" s="554"/>
      <c r="FS732" s="554"/>
      <c r="FT732" s="554"/>
      <c r="FU732" s="554"/>
      <c r="FV732" s="554"/>
      <c r="FW732" s="554"/>
      <c r="FX732" s="554"/>
      <c r="FY732" s="554"/>
      <c r="FZ732" s="554"/>
      <c r="GA732" s="554"/>
      <c r="GB732" s="556"/>
      <c r="GC732" s="370"/>
      <c r="GD732" s="453"/>
      <c r="GE732" s="453"/>
      <c r="GF732" s="453"/>
      <c r="GG732" s="453"/>
      <c r="GH732" s="454"/>
      <c r="GI732" s="453"/>
      <c r="GJ732" s="453"/>
      <c r="GK732" s="453"/>
      <c r="GL732" s="453"/>
      <c r="GM732" s="453"/>
      <c r="GN732" s="453"/>
      <c r="GO732" s="453"/>
      <c r="GP732" s="453"/>
      <c r="GQ732" s="453"/>
      <c r="GR732" s="453"/>
      <c r="GS732" s="561"/>
      <c r="GT732" s="475"/>
      <c r="GU732" s="472"/>
      <c r="GV732" s="453"/>
      <c r="GW732" s="453"/>
      <c r="GX732" s="869"/>
      <c r="GY732" s="870"/>
      <c r="GZ732" s="867"/>
      <c r="HA732" s="868"/>
      <c r="HB732" s="473"/>
      <c r="HC732" s="869"/>
      <c r="HD732" s="870"/>
      <c r="HE732" s="867"/>
      <c r="HF732" s="868"/>
      <c r="HG732" s="473"/>
      <c r="HH732" s="867"/>
      <c r="HI732" s="868"/>
      <c r="HJ732" s="867"/>
      <c r="HK732" s="868"/>
      <c r="HL732" s="370"/>
      <c r="HM732" s="865"/>
      <c r="HN732" s="866"/>
      <c r="HO732" s="865"/>
      <c r="HP732" s="866"/>
      <c r="HQ732" s="865"/>
      <c r="HR732" s="866"/>
      <c r="HS732" s="867"/>
      <c r="HT732" s="868"/>
      <c r="HU732" s="489"/>
      <c r="HV732" s="865"/>
      <c r="HW732" s="866"/>
    </row>
    <row r="733" spans="25:231" ht="15" customHeight="1">
      <c r="Y733" s="332"/>
      <c r="Z733" s="332"/>
      <c r="AA733" s="332"/>
      <c r="AB733" s="332"/>
      <c r="AC733" s="332"/>
      <c r="AD733" s="332"/>
      <c r="AE733" s="332"/>
      <c r="AF733" s="332"/>
      <c r="AG733" s="332"/>
      <c r="AH733" s="332"/>
      <c r="AI733" s="332"/>
      <c r="AJ733" s="332"/>
      <c r="AK733" s="332"/>
      <c r="AL733" s="332"/>
      <c r="AM733" s="332"/>
      <c r="AN733" s="332"/>
      <c r="AO733" s="332"/>
      <c r="AP733" s="332"/>
      <c r="AQ733" s="332"/>
      <c r="AR733" s="332"/>
      <c r="AS733" s="332"/>
      <c r="AT733" s="332"/>
      <c r="AU733" s="332"/>
      <c r="AV733" s="332"/>
      <c r="AW733" s="332"/>
      <c r="AX733" s="332"/>
      <c r="AY733" s="332"/>
      <c r="AZ733" s="332"/>
      <c r="BA733" s="332"/>
      <c r="BB733" s="332"/>
      <c r="BC733" s="332"/>
      <c r="BD733" s="332"/>
      <c r="BE733" s="332"/>
      <c r="BF733" s="332"/>
      <c r="BG733" s="332"/>
      <c r="BH733" s="332"/>
      <c r="BI733" s="332"/>
      <c r="BJ733" s="332"/>
      <c r="BK733" s="332"/>
      <c r="BL733" s="332"/>
      <c r="BM733" s="332"/>
      <c r="BN733" s="332"/>
      <c r="BO733" s="332"/>
      <c r="BP733" s="332"/>
      <c r="BQ733" s="332"/>
      <c r="BR733" s="332"/>
      <c r="BS733" s="332"/>
      <c r="BT733" s="332"/>
      <c r="BU733" s="332"/>
      <c r="BV733" s="332"/>
      <c r="BW733" s="332"/>
      <c r="BX733" s="332"/>
      <c r="BY733" s="332"/>
      <c r="BZ733" s="332"/>
      <c r="CA733" s="332"/>
      <c r="CB733" s="332"/>
      <c r="CC733" s="332"/>
      <c r="CD733" s="332"/>
      <c r="CE733" s="332"/>
      <c r="CF733" s="332"/>
      <c r="CG733" s="332"/>
      <c r="CH733" s="332"/>
      <c r="CI733" s="332"/>
      <c r="CJ733" s="332"/>
      <c r="CK733" s="332"/>
      <c r="CL733" s="332"/>
      <c r="CM733" s="332"/>
      <c r="CN733" s="332"/>
      <c r="CO733" s="332"/>
      <c r="CP733" s="332"/>
      <c r="CQ733" s="332"/>
      <c r="CR733" s="332"/>
      <c r="CS733" s="332"/>
      <c r="CT733" s="332"/>
      <c r="CU733" s="332"/>
      <c r="CV733" s="332"/>
      <c r="CW733" s="332"/>
      <c r="CX733" s="332"/>
      <c r="CY733" s="332"/>
      <c r="CZ733" s="332"/>
      <c r="DA733" s="332"/>
      <c r="DB733" s="332"/>
      <c r="DC733" s="332"/>
      <c r="DD733" s="332"/>
      <c r="DE733" s="332"/>
      <c r="DF733" s="332"/>
      <c r="DG733" s="332"/>
      <c r="DH733" s="332"/>
      <c r="DI733" s="332"/>
      <c r="DJ733" s="332"/>
      <c r="DK733" s="332"/>
      <c r="DL733" s="332"/>
      <c r="DM733" s="332"/>
      <c r="DN733" s="332"/>
      <c r="DO733" s="332"/>
      <c r="DP733" s="332"/>
      <c r="DQ733" s="332"/>
      <c r="DR733" s="332"/>
      <c r="DS733" s="332"/>
      <c r="DT733" s="332"/>
      <c r="DU733" s="453"/>
      <c r="DV733" s="453"/>
      <c r="DW733" s="453"/>
      <c r="DX733" s="453"/>
      <c r="DY733" s="453"/>
      <c r="DZ733" s="453"/>
      <c r="EA733" s="453"/>
      <c r="EB733" s="453"/>
      <c r="EC733" s="453"/>
      <c r="ED733" s="453"/>
      <c r="EE733" s="453"/>
      <c r="EF733" s="453"/>
      <c r="EG733" s="453"/>
      <c r="EH733" s="453"/>
      <c r="EI733" s="453"/>
      <c r="EJ733" s="453"/>
      <c r="EK733" s="453"/>
      <c r="EL733" s="453"/>
      <c r="EM733" s="483">
        <f t="shared" si="230"/>
        <v>424</v>
      </c>
      <c r="EN733" s="485"/>
      <c r="EO733" s="458"/>
      <c r="EP733" s="467"/>
      <c r="EQ733" s="457"/>
      <c r="ER733" s="808"/>
      <c r="ES733" s="881">
        <f t="shared" si="231"/>
        <v>0</v>
      </c>
      <c r="ET733" s="882"/>
      <c r="EU733" s="883"/>
      <c r="EV733" s="884">
        <f t="shared" si="229"/>
        <v>0</v>
      </c>
      <c r="EW733" s="885"/>
      <c r="EX733" s="885"/>
      <c r="EY733" s="885"/>
      <c r="EZ733" s="885"/>
      <c r="FA733" s="885"/>
      <c r="FB733" s="885"/>
      <c r="FC733" s="885"/>
      <c r="FD733" s="886"/>
      <c r="FE733" s="878"/>
      <c r="FF733" s="878"/>
      <c r="FG733" s="878"/>
      <c r="FH733" s="878"/>
      <c r="FI733" s="878"/>
      <c r="FJ733" s="878"/>
      <c r="FK733" s="878"/>
      <c r="FL733" s="555"/>
      <c r="FM733" s="554"/>
      <c r="FN733" s="554"/>
      <c r="FO733" s="554"/>
      <c r="FP733" s="554"/>
      <c r="FQ733" s="554"/>
      <c r="FR733" s="554"/>
      <c r="FS733" s="554"/>
      <c r="FT733" s="554"/>
      <c r="FU733" s="554"/>
      <c r="FV733" s="554"/>
      <c r="FW733" s="554"/>
      <c r="FX733" s="554"/>
      <c r="FY733" s="554"/>
      <c r="FZ733" s="554"/>
      <c r="GA733" s="554"/>
      <c r="GB733" s="556"/>
      <c r="GC733" s="370"/>
      <c r="GD733" s="453"/>
      <c r="GE733" s="453"/>
      <c r="GF733" s="453"/>
      <c r="GG733" s="453"/>
      <c r="GH733" s="454"/>
      <c r="GI733" s="453"/>
      <c r="GJ733" s="453"/>
      <c r="GK733" s="453"/>
      <c r="GL733" s="453"/>
      <c r="GM733" s="453"/>
      <c r="GN733" s="453"/>
      <c r="GO733" s="453"/>
      <c r="GP733" s="453"/>
      <c r="GQ733" s="453"/>
      <c r="GR733" s="453"/>
      <c r="GS733" s="561"/>
      <c r="GT733" s="475"/>
      <c r="GU733" s="472"/>
      <c r="GV733" s="453"/>
      <c r="GW733" s="453"/>
      <c r="GX733" s="869"/>
      <c r="GY733" s="870"/>
      <c r="GZ733" s="867"/>
      <c r="HA733" s="868"/>
      <c r="HB733" s="473"/>
      <c r="HC733" s="869"/>
      <c r="HD733" s="870"/>
      <c r="HE733" s="867"/>
      <c r="HF733" s="868"/>
      <c r="HG733" s="473"/>
      <c r="HH733" s="867"/>
      <c r="HI733" s="868"/>
      <c r="HJ733" s="867"/>
      <c r="HK733" s="868"/>
      <c r="HL733" s="370"/>
      <c r="HM733" s="865"/>
      <c r="HN733" s="866"/>
      <c r="HO733" s="865"/>
      <c r="HP733" s="866"/>
      <c r="HQ733" s="865"/>
      <c r="HR733" s="866"/>
      <c r="HS733" s="867"/>
      <c r="HT733" s="868"/>
      <c r="HU733" s="489"/>
      <c r="HV733" s="865"/>
      <c r="HW733" s="866"/>
    </row>
    <row r="734" spans="25:231" ht="15" customHeight="1">
      <c r="Y734" s="332"/>
      <c r="Z734" s="332"/>
      <c r="AA734" s="332"/>
      <c r="AB734" s="332"/>
      <c r="AC734" s="332"/>
      <c r="AD734" s="332"/>
      <c r="AE734" s="332"/>
      <c r="AF734" s="332"/>
      <c r="AG734" s="332"/>
      <c r="AH734" s="332"/>
      <c r="AI734" s="332"/>
      <c r="AJ734" s="332"/>
      <c r="AK734" s="332"/>
      <c r="AL734" s="332"/>
      <c r="AM734" s="332"/>
      <c r="AN734" s="332"/>
      <c r="AO734" s="332"/>
      <c r="AP734" s="332"/>
      <c r="AQ734" s="332"/>
      <c r="AR734" s="332"/>
      <c r="AS734" s="332"/>
      <c r="AT734" s="332"/>
      <c r="AU734" s="332"/>
      <c r="AV734" s="332"/>
      <c r="AW734" s="332"/>
      <c r="AX734" s="332"/>
      <c r="AY734" s="332"/>
      <c r="AZ734" s="332"/>
      <c r="BA734" s="332"/>
      <c r="BB734" s="332"/>
      <c r="BC734" s="332"/>
      <c r="BD734" s="332"/>
      <c r="BE734" s="332"/>
      <c r="BF734" s="332"/>
      <c r="BG734" s="332"/>
      <c r="BH734" s="332"/>
      <c r="BI734" s="332"/>
      <c r="BJ734" s="332"/>
      <c r="BK734" s="332"/>
      <c r="BL734" s="332"/>
      <c r="BM734" s="332"/>
      <c r="BN734" s="332"/>
      <c r="BO734" s="332"/>
      <c r="BP734" s="332"/>
      <c r="BQ734" s="332"/>
      <c r="BR734" s="332"/>
      <c r="BS734" s="332"/>
      <c r="BT734" s="332"/>
      <c r="BU734" s="332"/>
      <c r="BV734" s="332"/>
      <c r="BW734" s="332"/>
      <c r="BX734" s="332"/>
      <c r="BY734" s="332"/>
      <c r="BZ734" s="332"/>
      <c r="CA734" s="332"/>
      <c r="CB734" s="332"/>
      <c r="CC734" s="332"/>
      <c r="CD734" s="332"/>
      <c r="CE734" s="332"/>
      <c r="CF734" s="332"/>
      <c r="CG734" s="332"/>
      <c r="CH734" s="332"/>
      <c r="CI734" s="332"/>
      <c r="CJ734" s="332"/>
      <c r="CK734" s="332"/>
      <c r="CL734" s="332"/>
      <c r="CM734" s="332"/>
      <c r="CN734" s="332"/>
      <c r="CO734" s="332"/>
      <c r="CP734" s="332"/>
      <c r="CQ734" s="332"/>
      <c r="CR734" s="332"/>
      <c r="CS734" s="332"/>
      <c r="CT734" s="332"/>
      <c r="CU734" s="332"/>
      <c r="CV734" s="332"/>
      <c r="CW734" s="332"/>
      <c r="CX734" s="332"/>
      <c r="CY734" s="332"/>
      <c r="CZ734" s="332"/>
      <c r="DA734" s="332"/>
      <c r="DB734" s="332"/>
      <c r="DC734" s="332"/>
      <c r="DD734" s="332"/>
      <c r="DE734" s="332"/>
      <c r="DF734" s="332"/>
      <c r="DG734" s="332"/>
      <c r="DH734" s="332"/>
      <c r="DI734" s="332"/>
      <c r="DJ734" s="332"/>
      <c r="DK734" s="332"/>
      <c r="DL734" s="332"/>
      <c r="DM734" s="332"/>
      <c r="DN734" s="332"/>
      <c r="DO734" s="332"/>
      <c r="DP734" s="332"/>
      <c r="DQ734" s="332"/>
      <c r="DR734" s="332"/>
      <c r="DS734" s="332"/>
      <c r="DT734" s="332"/>
      <c r="DU734" s="453"/>
      <c r="DV734" s="453"/>
      <c r="DW734" s="453"/>
      <c r="DX734" s="453"/>
      <c r="DY734" s="453"/>
      <c r="DZ734" s="453"/>
      <c r="EA734" s="453"/>
      <c r="EB734" s="453"/>
      <c r="EC734" s="453"/>
      <c r="ED734" s="453"/>
      <c r="EE734" s="453"/>
      <c r="EF734" s="453"/>
      <c r="EG734" s="453"/>
      <c r="EH734" s="453"/>
      <c r="EI734" s="453"/>
      <c r="EJ734" s="453"/>
      <c r="EK734" s="453"/>
      <c r="EL734" s="453"/>
      <c r="EM734" s="483">
        <f t="shared" si="230"/>
        <v>425</v>
      </c>
      <c r="EN734" s="485"/>
      <c r="EO734" s="458"/>
      <c r="EP734" s="467"/>
      <c r="EQ734" s="457"/>
      <c r="ER734" s="808"/>
      <c r="ES734" s="881">
        <f t="shared" si="231"/>
        <v>0</v>
      </c>
      <c r="ET734" s="882"/>
      <c r="EU734" s="883"/>
      <c r="EV734" s="884">
        <f t="shared" si="229"/>
        <v>0</v>
      </c>
      <c r="EW734" s="885"/>
      <c r="EX734" s="885"/>
      <c r="EY734" s="885"/>
      <c r="EZ734" s="885"/>
      <c r="FA734" s="885"/>
      <c r="FB734" s="885"/>
      <c r="FC734" s="885"/>
      <c r="FD734" s="886"/>
      <c r="FE734" s="878"/>
      <c r="FF734" s="878"/>
      <c r="FG734" s="878"/>
      <c r="FH734" s="878"/>
      <c r="FI734" s="878"/>
      <c r="FJ734" s="878"/>
      <c r="FK734" s="878"/>
      <c r="FL734" s="555"/>
      <c r="FM734" s="554"/>
      <c r="FN734" s="554"/>
      <c r="FO734" s="554"/>
      <c r="FP734" s="554"/>
      <c r="FQ734" s="554"/>
      <c r="FR734" s="554"/>
      <c r="FS734" s="554"/>
      <c r="FT734" s="554"/>
      <c r="FU734" s="554"/>
      <c r="FV734" s="554"/>
      <c r="FW734" s="554"/>
      <c r="FX734" s="554"/>
      <c r="FY734" s="554"/>
      <c r="FZ734" s="554"/>
      <c r="GA734" s="554"/>
      <c r="GB734" s="556"/>
      <c r="GC734" s="370"/>
      <c r="GD734" s="453"/>
      <c r="GE734" s="453"/>
      <c r="GF734" s="453"/>
      <c r="GG734" s="453"/>
      <c r="GH734" s="454"/>
      <c r="GI734" s="453"/>
      <c r="GJ734" s="453"/>
      <c r="GK734" s="453"/>
      <c r="GL734" s="453"/>
      <c r="GM734" s="453"/>
      <c r="GN734" s="453"/>
      <c r="GO734" s="453"/>
      <c r="GP734" s="453"/>
      <c r="GQ734" s="453"/>
      <c r="GR734" s="453"/>
      <c r="GS734" s="561"/>
      <c r="GT734" s="475"/>
      <c r="GU734" s="472"/>
      <c r="GV734" s="453"/>
      <c r="GW734" s="453"/>
      <c r="GX734" s="869"/>
      <c r="GY734" s="870"/>
      <c r="GZ734" s="867"/>
      <c r="HA734" s="868"/>
      <c r="HB734" s="473"/>
      <c r="HC734" s="869"/>
      <c r="HD734" s="870"/>
      <c r="HE734" s="867"/>
      <c r="HF734" s="868"/>
      <c r="HG734" s="473"/>
      <c r="HH734" s="867"/>
      <c r="HI734" s="868"/>
      <c r="HJ734" s="867"/>
      <c r="HK734" s="868"/>
      <c r="HL734" s="370"/>
      <c r="HM734" s="865"/>
      <c r="HN734" s="866"/>
      <c r="HO734" s="865"/>
      <c r="HP734" s="866"/>
      <c r="HQ734" s="865"/>
      <c r="HR734" s="866"/>
      <c r="HS734" s="867"/>
      <c r="HT734" s="868"/>
      <c r="HU734" s="489"/>
      <c r="HV734" s="865"/>
      <c r="HW734" s="866"/>
    </row>
    <row r="735" spans="25:231" ht="15" customHeight="1">
      <c r="Y735" s="332"/>
      <c r="Z735" s="332"/>
      <c r="AA735" s="332"/>
      <c r="AB735" s="332"/>
      <c r="AC735" s="332"/>
      <c r="AD735" s="332"/>
      <c r="AE735" s="332"/>
      <c r="AF735" s="332"/>
      <c r="AG735" s="332"/>
      <c r="AH735" s="332"/>
      <c r="AI735" s="332"/>
      <c r="AJ735" s="332"/>
      <c r="AK735" s="332"/>
      <c r="AL735" s="332"/>
      <c r="AM735" s="332"/>
      <c r="AN735" s="332"/>
      <c r="AO735" s="332"/>
      <c r="AP735" s="332"/>
      <c r="AQ735" s="332"/>
      <c r="AR735" s="332"/>
      <c r="AS735" s="332"/>
      <c r="AT735" s="332"/>
      <c r="AU735" s="332"/>
      <c r="AV735" s="332"/>
      <c r="AW735" s="332"/>
      <c r="AX735" s="332"/>
      <c r="AY735" s="332"/>
      <c r="AZ735" s="332"/>
      <c r="BA735" s="332"/>
      <c r="BB735" s="332"/>
      <c r="BC735" s="332"/>
      <c r="BD735" s="332"/>
      <c r="BE735" s="332"/>
      <c r="BF735" s="332"/>
      <c r="BG735" s="332"/>
      <c r="BH735" s="332"/>
      <c r="BI735" s="332"/>
      <c r="BJ735" s="332"/>
      <c r="BK735" s="332"/>
      <c r="BL735" s="332"/>
      <c r="BM735" s="332"/>
      <c r="BN735" s="332"/>
      <c r="BO735" s="332"/>
      <c r="BP735" s="332"/>
      <c r="BQ735" s="332"/>
      <c r="BR735" s="332"/>
      <c r="BS735" s="332"/>
      <c r="BT735" s="332"/>
      <c r="BU735" s="332"/>
      <c r="BV735" s="332"/>
      <c r="BW735" s="332"/>
      <c r="BX735" s="332"/>
      <c r="BY735" s="332"/>
      <c r="BZ735" s="332"/>
      <c r="CA735" s="332"/>
      <c r="CB735" s="332"/>
      <c r="CC735" s="332"/>
      <c r="CD735" s="332"/>
      <c r="CE735" s="332"/>
      <c r="CF735" s="332"/>
      <c r="CG735" s="332"/>
      <c r="CH735" s="332"/>
      <c r="CI735" s="332"/>
      <c r="CJ735" s="332"/>
      <c r="CK735" s="332"/>
      <c r="CL735" s="332"/>
      <c r="CM735" s="332"/>
      <c r="CN735" s="332"/>
      <c r="CO735" s="332"/>
      <c r="CP735" s="332"/>
      <c r="CQ735" s="332"/>
      <c r="CR735" s="332"/>
      <c r="CS735" s="332"/>
      <c r="CT735" s="332"/>
      <c r="CU735" s="332"/>
      <c r="CV735" s="332"/>
      <c r="CW735" s="332"/>
      <c r="CX735" s="332"/>
      <c r="CY735" s="332"/>
      <c r="CZ735" s="332"/>
      <c r="DA735" s="332"/>
      <c r="DB735" s="332"/>
      <c r="DC735" s="332"/>
      <c r="DD735" s="332"/>
      <c r="DE735" s="332"/>
      <c r="DF735" s="332"/>
      <c r="DG735" s="332"/>
      <c r="DH735" s="332"/>
      <c r="DI735" s="332"/>
      <c r="DJ735" s="332"/>
      <c r="DK735" s="332"/>
      <c r="DL735" s="332"/>
      <c r="DM735" s="332"/>
      <c r="DN735" s="332"/>
      <c r="DO735" s="332"/>
      <c r="DP735" s="332"/>
      <c r="DQ735" s="332"/>
      <c r="DR735" s="332"/>
      <c r="DS735" s="332"/>
      <c r="DT735" s="332"/>
      <c r="DU735" s="453"/>
      <c r="DV735" s="453"/>
      <c r="DW735" s="453"/>
      <c r="DX735" s="453"/>
      <c r="DY735" s="453"/>
      <c r="DZ735" s="453"/>
      <c r="EA735" s="453"/>
      <c r="EB735" s="453"/>
      <c r="EC735" s="453"/>
      <c r="ED735" s="453"/>
      <c r="EE735" s="453"/>
      <c r="EF735" s="453"/>
      <c r="EG735" s="453"/>
      <c r="EH735" s="453"/>
      <c r="EI735" s="453"/>
      <c r="EJ735" s="453"/>
      <c r="EK735" s="453"/>
      <c r="EL735" s="453"/>
      <c r="EM735" s="483">
        <f t="shared" si="230"/>
        <v>426</v>
      </c>
      <c r="EN735" s="485"/>
      <c r="EO735" s="458"/>
      <c r="EP735" s="467"/>
      <c r="EQ735" s="457"/>
      <c r="ER735" s="808"/>
      <c r="ES735" s="881">
        <f t="shared" si="231"/>
        <v>0</v>
      </c>
      <c r="ET735" s="882"/>
      <c r="EU735" s="883"/>
      <c r="EV735" s="884">
        <f t="shared" si="229"/>
        <v>0</v>
      </c>
      <c r="EW735" s="885"/>
      <c r="EX735" s="885"/>
      <c r="EY735" s="885"/>
      <c r="EZ735" s="885"/>
      <c r="FA735" s="885"/>
      <c r="FB735" s="885"/>
      <c r="FC735" s="885"/>
      <c r="FD735" s="886"/>
      <c r="FE735" s="878"/>
      <c r="FF735" s="878"/>
      <c r="FG735" s="878"/>
      <c r="FH735" s="878"/>
      <c r="FI735" s="878"/>
      <c r="FJ735" s="878"/>
      <c r="FK735" s="878"/>
      <c r="FL735" s="555"/>
      <c r="FM735" s="554"/>
      <c r="FN735" s="554"/>
      <c r="FO735" s="554"/>
      <c r="FP735" s="554"/>
      <c r="FQ735" s="554"/>
      <c r="FR735" s="554"/>
      <c r="FS735" s="554"/>
      <c r="FT735" s="554"/>
      <c r="FU735" s="554"/>
      <c r="FV735" s="554"/>
      <c r="FW735" s="554"/>
      <c r="FX735" s="554"/>
      <c r="FY735" s="554"/>
      <c r="FZ735" s="554"/>
      <c r="GA735" s="554"/>
      <c r="GB735" s="556"/>
      <c r="GC735" s="370"/>
      <c r="GD735" s="453"/>
      <c r="GE735" s="453"/>
      <c r="GF735" s="453"/>
      <c r="GG735" s="453"/>
      <c r="GH735" s="454"/>
      <c r="GI735" s="453"/>
      <c r="GJ735" s="453"/>
      <c r="GK735" s="453"/>
      <c r="GL735" s="453"/>
      <c r="GM735" s="453"/>
      <c r="GN735" s="453"/>
      <c r="GO735" s="453"/>
      <c r="GP735" s="453"/>
      <c r="GQ735" s="453"/>
      <c r="GR735" s="453"/>
      <c r="GS735" s="561"/>
      <c r="GT735" s="475"/>
      <c r="GU735" s="472"/>
      <c r="GV735" s="453"/>
      <c r="GW735" s="453"/>
      <c r="GX735" s="869"/>
      <c r="GY735" s="870"/>
      <c r="GZ735" s="867"/>
      <c r="HA735" s="868"/>
      <c r="HB735" s="473"/>
      <c r="HC735" s="869"/>
      <c r="HD735" s="870"/>
      <c r="HE735" s="867"/>
      <c r="HF735" s="868"/>
      <c r="HG735" s="473"/>
      <c r="HH735" s="867"/>
      <c r="HI735" s="868"/>
      <c r="HJ735" s="867"/>
      <c r="HK735" s="868"/>
      <c r="HL735" s="370"/>
      <c r="HM735" s="865"/>
      <c r="HN735" s="866"/>
      <c r="HO735" s="865"/>
      <c r="HP735" s="866"/>
      <c r="HQ735" s="865"/>
      <c r="HR735" s="866"/>
      <c r="HS735" s="867"/>
      <c r="HT735" s="868"/>
      <c r="HU735" s="489"/>
      <c r="HV735" s="865"/>
      <c r="HW735" s="866"/>
    </row>
    <row r="736" spans="25:231" ht="15" customHeight="1">
      <c r="Y736" s="332"/>
      <c r="Z736" s="332"/>
      <c r="AA736" s="332"/>
      <c r="AB736" s="332"/>
      <c r="AC736" s="332"/>
      <c r="AD736" s="332"/>
      <c r="AE736" s="332"/>
      <c r="AF736" s="332"/>
      <c r="AG736" s="332"/>
      <c r="AH736" s="332"/>
      <c r="AI736" s="332"/>
      <c r="AJ736" s="332"/>
      <c r="AK736" s="332"/>
      <c r="AL736" s="332"/>
      <c r="AM736" s="332"/>
      <c r="AN736" s="332"/>
      <c r="AO736" s="332"/>
      <c r="AP736" s="332"/>
      <c r="AQ736" s="332"/>
      <c r="AR736" s="332"/>
      <c r="AS736" s="332"/>
      <c r="AT736" s="332"/>
      <c r="AU736" s="332"/>
      <c r="AV736" s="332"/>
      <c r="AW736" s="332"/>
      <c r="AX736" s="332"/>
      <c r="AY736" s="332"/>
      <c r="AZ736" s="332"/>
      <c r="BA736" s="332"/>
      <c r="BB736" s="332"/>
      <c r="BC736" s="332"/>
      <c r="BD736" s="332"/>
      <c r="BE736" s="332"/>
      <c r="BF736" s="332"/>
      <c r="BG736" s="332"/>
      <c r="BH736" s="332"/>
      <c r="BI736" s="332"/>
      <c r="BJ736" s="332"/>
      <c r="BK736" s="332"/>
      <c r="BL736" s="332"/>
      <c r="BM736" s="332"/>
      <c r="BN736" s="332"/>
      <c r="BO736" s="332"/>
      <c r="BP736" s="332"/>
      <c r="BQ736" s="332"/>
      <c r="BR736" s="332"/>
      <c r="BS736" s="332"/>
      <c r="BT736" s="332"/>
      <c r="BU736" s="332"/>
      <c r="BV736" s="332"/>
      <c r="BW736" s="332"/>
      <c r="BX736" s="332"/>
      <c r="BY736" s="332"/>
      <c r="BZ736" s="332"/>
      <c r="CA736" s="332"/>
      <c r="CB736" s="332"/>
      <c r="CC736" s="332"/>
      <c r="CD736" s="332"/>
      <c r="CE736" s="332"/>
      <c r="CF736" s="332"/>
      <c r="CG736" s="332"/>
      <c r="CH736" s="332"/>
      <c r="CI736" s="332"/>
      <c r="CJ736" s="332"/>
      <c r="CK736" s="332"/>
      <c r="CL736" s="332"/>
      <c r="CM736" s="332"/>
      <c r="CN736" s="332"/>
      <c r="CO736" s="332"/>
      <c r="CP736" s="332"/>
      <c r="CQ736" s="332"/>
      <c r="CR736" s="332"/>
      <c r="CS736" s="332"/>
      <c r="CT736" s="332"/>
      <c r="CU736" s="332"/>
      <c r="CV736" s="332"/>
      <c r="CW736" s="332"/>
      <c r="CX736" s="332"/>
      <c r="CY736" s="332"/>
      <c r="CZ736" s="332"/>
      <c r="DA736" s="332"/>
      <c r="DB736" s="332"/>
      <c r="DC736" s="332"/>
      <c r="DD736" s="332"/>
      <c r="DE736" s="332"/>
      <c r="DF736" s="332"/>
      <c r="DG736" s="332"/>
      <c r="DH736" s="332"/>
      <c r="DI736" s="332"/>
      <c r="DJ736" s="332"/>
      <c r="DK736" s="332"/>
      <c r="DL736" s="332"/>
      <c r="DM736" s="332"/>
      <c r="DN736" s="332"/>
      <c r="DO736" s="332"/>
      <c r="DP736" s="332"/>
      <c r="DQ736" s="332"/>
      <c r="DR736" s="332"/>
      <c r="DS736" s="332"/>
      <c r="DT736" s="332"/>
      <c r="DU736" s="453"/>
      <c r="DV736" s="453"/>
      <c r="DW736" s="453"/>
      <c r="DX736" s="453"/>
      <c r="DY736" s="453"/>
      <c r="DZ736" s="453"/>
      <c r="EA736" s="453"/>
      <c r="EB736" s="453"/>
      <c r="EC736" s="453"/>
      <c r="ED736" s="453"/>
      <c r="EE736" s="453"/>
      <c r="EF736" s="453"/>
      <c r="EG736" s="453"/>
      <c r="EH736" s="453"/>
      <c r="EI736" s="453"/>
      <c r="EJ736" s="453"/>
      <c r="EK736" s="453"/>
      <c r="EL736" s="453"/>
      <c r="EM736" s="483">
        <f t="shared" si="230"/>
        <v>427</v>
      </c>
      <c r="EN736" s="485"/>
      <c r="EO736" s="458"/>
      <c r="EP736" s="467"/>
      <c r="EQ736" s="457"/>
      <c r="ER736" s="808"/>
      <c r="ES736" s="881">
        <f t="shared" si="231"/>
        <v>0</v>
      </c>
      <c r="ET736" s="882"/>
      <c r="EU736" s="883"/>
      <c r="EV736" s="884">
        <f t="shared" si="229"/>
        <v>0</v>
      </c>
      <c r="EW736" s="885"/>
      <c r="EX736" s="885"/>
      <c r="EY736" s="885"/>
      <c r="EZ736" s="885"/>
      <c r="FA736" s="885"/>
      <c r="FB736" s="885"/>
      <c r="FC736" s="885"/>
      <c r="FD736" s="886"/>
      <c r="FE736" s="878"/>
      <c r="FF736" s="878"/>
      <c r="FG736" s="878"/>
      <c r="FH736" s="878"/>
      <c r="FI736" s="878"/>
      <c r="FJ736" s="878"/>
      <c r="FK736" s="878"/>
      <c r="FL736" s="555"/>
      <c r="FM736" s="554"/>
      <c r="FN736" s="554"/>
      <c r="FO736" s="554"/>
      <c r="FP736" s="554"/>
      <c r="FQ736" s="554"/>
      <c r="FR736" s="554"/>
      <c r="FS736" s="554"/>
      <c r="FT736" s="554"/>
      <c r="FU736" s="554"/>
      <c r="FV736" s="554"/>
      <c r="FW736" s="554"/>
      <c r="FX736" s="554"/>
      <c r="FY736" s="554"/>
      <c r="FZ736" s="554"/>
      <c r="GA736" s="554"/>
      <c r="GB736" s="556"/>
      <c r="GC736" s="370"/>
      <c r="GD736" s="453"/>
      <c r="GE736" s="453"/>
      <c r="GF736" s="453"/>
      <c r="GG736" s="453"/>
      <c r="GH736" s="454"/>
      <c r="GI736" s="453"/>
      <c r="GJ736" s="453"/>
      <c r="GK736" s="453"/>
      <c r="GL736" s="453"/>
      <c r="GM736" s="453"/>
      <c r="GN736" s="453"/>
      <c r="GO736" s="453"/>
      <c r="GP736" s="453"/>
      <c r="GQ736" s="453"/>
      <c r="GR736" s="453"/>
      <c r="GS736" s="561"/>
      <c r="GT736" s="475"/>
      <c r="GU736" s="472"/>
      <c r="GV736" s="453"/>
      <c r="GW736" s="453"/>
      <c r="GX736" s="869"/>
      <c r="GY736" s="870"/>
      <c r="GZ736" s="867"/>
      <c r="HA736" s="868"/>
      <c r="HB736" s="473"/>
      <c r="HC736" s="869"/>
      <c r="HD736" s="870"/>
      <c r="HE736" s="867"/>
      <c r="HF736" s="868"/>
      <c r="HG736" s="473"/>
      <c r="HH736" s="867"/>
      <c r="HI736" s="868"/>
      <c r="HJ736" s="867"/>
      <c r="HK736" s="868"/>
      <c r="HL736" s="370"/>
      <c r="HM736" s="865"/>
      <c r="HN736" s="866"/>
      <c r="HO736" s="865"/>
      <c r="HP736" s="866"/>
      <c r="HQ736" s="865"/>
      <c r="HR736" s="866"/>
      <c r="HS736" s="867"/>
      <c r="HT736" s="868"/>
      <c r="HU736" s="489"/>
      <c r="HV736" s="865"/>
      <c r="HW736" s="866"/>
    </row>
    <row r="737" spans="25:231" ht="15" customHeight="1">
      <c r="Y737" s="332"/>
      <c r="Z737" s="332"/>
      <c r="AA737" s="332"/>
      <c r="AB737" s="332"/>
      <c r="AC737" s="332"/>
      <c r="AD737" s="332"/>
      <c r="AE737" s="332"/>
      <c r="AF737" s="332"/>
      <c r="AG737" s="332"/>
      <c r="AH737" s="332"/>
      <c r="AI737" s="332"/>
      <c r="AJ737" s="332"/>
      <c r="AK737" s="332"/>
      <c r="AL737" s="332"/>
      <c r="AM737" s="332"/>
      <c r="AN737" s="332"/>
      <c r="AO737" s="332"/>
      <c r="AP737" s="332"/>
      <c r="AQ737" s="332"/>
      <c r="AR737" s="332"/>
      <c r="AS737" s="332"/>
      <c r="AT737" s="332"/>
      <c r="AU737" s="332"/>
      <c r="AV737" s="332"/>
      <c r="AW737" s="332"/>
      <c r="AX737" s="332"/>
      <c r="AY737" s="332"/>
      <c r="AZ737" s="332"/>
      <c r="BA737" s="332"/>
      <c r="BB737" s="332"/>
      <c r="BC737" s="332"/>
      <c r="BD737" s="332"/>
      <c r="BE737" s="332"/>
      <c r="BF737" s="332"/>
      <c r="BG737" s="332"/>
      <c r="BH737" s="332"/>
      <c r="BI737" s="332"/>
      <c r="BJ737" s="332"/>
      <c r="BK737" s="332"/>
      <c r="BL737" s="332"/>
      <c r="BM737" s="332"/>
      <c r="BN737" s="332"/>
      <c r="BO737" s="332"/>
      <c r="BP737" s="332"/>
      <c r="BQ737" s="332"/>
      <c r="BR737" s="332"/>
      <c r="BS737" s="332"/>
      <c r="BT737" s="332"/>
      <c r="BU737" s="332"/>
      <c r="BV737" s="332"/>
      <c r="BW737" s="332"/>
      <c r="BX737" s="332"/>
      <c r="BY737" s="332"/>
      <c r="BZ737" s="332"/>
      <c r="CA737" s="332"/>
      <c r="CB737" s="332"/>
      <c r="CC737" s="332"/>
      <c r="CD737" s="332"/>
      <c r="CE737" s="332"/>
      <c r="CF737" s="332"/>
      <c r="CG737" s="332"/>
      <c r="CH737" s="332"/>
      <c r="CI737" s="332"/>
      <c r="CJ737" s="332"/>
      <c r="CK737" s="332"/>
      <c r="CL737" s="332"/>
      <c r="CM737" s="332"/>
      <c r="CN737" s="332"/>
      <c r="CO737" s="332"/>
      <c r="CP737" s="332"/>
      <c r="CQ737" s="332"/>
      <c r="CR737" s="332"/>
      <c r="CS737" s="332"/>
      <c r="CT737" s="332"/>
      <c r="CU737" s="332"/>
      <c r="CV737" s="332"/>
      <c r="CW737" s="332"/>
      <c r="CX737" s="332"/>
      <c r="CY737" s="332"/>
      <c r="CZ737" s="332"/>
      <c r="DA737" s="332"/>
      <c r="DB737" s="332"/>
      <c r="DC737" s="332"/>
      <c r="DD737" s="332"/>
      <c r="DE737" s="332"/>
      <c r="DF737" s="332"/>
      <c r="DG737" s="332"/>
      <c r="DH737" s="332"/>
      <c r="DI737" s="332"/>
      <c r="DJ737" s="332"/>
      <c r="DK737" s="332"/>
      <c r="DL737" s="332"/>
      <c r="DM737" s="332"/>
      <c r="DN737" s="332"/>
      <c r="DO737" s="332"/>
      <c r="DP737" s="332"/>
      <c r="DQ737" s="332"/>
      <c r="DR737" s="332"/>
      <c r="DS737" s="332"/>
      <c r="DT737" s="332"/>
      <c r="DU737" s="453"/>
      <c r="DV737" s="453"/>
      <c r="DW737" s="453"/>
      <c r="DX737" s="453"/>
      <c r="DY737" s="453"/>
      <c r="DZ737" s="453"/>
      <c r="EA737" s="453"/>
      <c r="EB737" s="453"/>
      <c r="EC737" s="453"/>
      <c r="ED737" s="453"/>
      <c r="EE737" s="453"/>
      <c r="EF737" s="453"/>
      <c r="EG737" s="453"/>
      <c r="EH737" s="453"/>
      <c r="EI737" s="453"/>
      <c r="EJ737" s="453"/>
      <c r="EK737" s="453"/>
      <c r="EL737" s="453"/>
      <c r="EM737" s="483">
        <f t="shared" si="230"/>
        <v>428</v>
      </c>
      <c r="EN737" s="485"/>
      <c r="EO737" s="458"/>
      <c r="EP737" s="467"/>
      <c r="EQ737" s="457"/>
      <c r="ER737" s="808"/>
      <c r="ES737" s="881">
        <f t="shared" si="231"/>
        <v>0</v>
      </c>
      <c r="ET737" s="882"/>
      <c r="EU737" s="883"/>
      <c r="EV737" s="884">
        <f t="shared" si="229"/>
        <v>0</v>
      </c>
      <c r="EW737" s="885"/>
      <c r="EX737" s="885"/>
      <c r="EY737" s="885"/>
      <c r="EZ737" s="885"/>
      <c r="FA737" s="885"/>
      <c r="FB737" s="885"/>
      <c r="FC737" s="885"/>
      <c r="FD737" s="886"/>
      <c r="FE737" s="878"/>
      <c r="FF737" s="878"/>
      <c r="FG737" s="878"/>
      <c r="FH737" s="878"/>
      <c r="FI737" s="878"/>
      <c r="FJ737" s="878"/>
      <c r="FK737" s="878"/>
      <c r="FL737" s="555"/>
      <c r="FM737" s="554"/>
      <c r="FN737" s="554"/>
      <c r="FO737" s="554"/>
      <c r="FP737" s="554"/>
      <c r="FQ737" s="554"/>
      <c r="FR737" s="554"/>
      <c r="FS737" s="554"/>
      <c r="FT737" s="554"/>
      <c r="FU737" s="554"/>
      <c r="FV737" s="554"/>
      <c r="FW737" s="554"/>
      <c r="FX737" s="554"/>
      <c r="FY737" s="554"/>
      <c r="FZ737" s="554"/>
      <c r="GA737" s="554"/>
      <c r="GB737" s="556"/>
      <c r="GC737" s="370"/>
      <c r="GD737" s="453"/>
      <c r="GE737" s="453"/>
      <c r="GF737" s="453"/>
      <c r="GG737" s="453"/>
      <c r="GH737" s="454"/>
      <c r="GI737" s="453"/>
      <c r="GJ737" s="453"/>
      <c r="GK737" s="453"/>
      <c r="GL737" s="453"/>
      <c r="GM737" s="453"/>
      <c r="GN737" s="453"/>
      <c r="GO737" s="453"/>
      <c r="GP737" s="453"/>
      <c r="GQ737" s="453"/>
      <c r="GR737" s="453"/>
      <c r="GS737" s="561"/>
      <c r="GT737" s="475"/>
      <c r="GU737" s="472"/>
      <c r="GV737" s="453"/>
      <c r="GW737" s="453"/>
      <c r="GX737" s="869"/>
      <c r="GY737" s="870"/>
      <c r="GZ737" s="867"/>
      <c r="HA737" s="868"/>
      <c r="HB737" s="473"/>
      <c r="HC737" s="869"/>
      <c r="HD737" s="870"/>
      <c r="HE737" s="867"/>
      <c r="HF737" s="868"/>
      <c r="HG737" s="473"/>
      <c r="HH737" s="867"/>
      <c r="HI737" s="868"/>
      <c r="HJ737" s="867"/>
      <c r="HK737" s="868"/>
      <c r="HL737" s="370"/>
      <c r="HM737" s="865"/>
      <c r="HN737" s="866"/>
      <c r="HO737" s="865"/>
      <c r="HP737" s="866"/>
      <c r="HQ737" s="865"/>
      <c r="HR737" s="866"/>
      <c r="HS737" s="867"/>
      <c r="HT737" s="868"/>
      <c r="HU737" s="489"/>
      <c r="HV737" s="865"/>
      <c r="HW737" s="866"/>
    </row>
    <row r="738" spans="25:231" ht="15" customHeight="1">
      <c r="Y738" s="332"/>
      <c r="Z738" s="332"/>
      <c r="AA738" s="332"/>
      <c r="AB738" s="332"/>
      <c r="AC738" s="332"/>
      <c r="AD738" s="332"/>
      <c r="AE738" s="332"/>
      <c r="AF738" s="332"/>
      <c r="AG738" s="332"/>
      <c r="AH738" s="332"/>
      <c r="AI738" s="332"/>
      <c r="AJ738" s="332"/>
      <c r="AK738" s="332"/>
      <c r="AL738" s="332"/>
      <c r="AM738" s="332"/>
      <c r="AN738" s="332"/>
      <c r="AO738" s="332"/>
      <c r="AP738" s="332"/>
      <c r="AQ738" s="332"/>
      <c r="AR738" s="332"/>
      <c r="AS738" s="332"/>
      <c r="AT738" s="332"/>
      <c r="AU738" s="332"/>
      <c r="AV738" s="332"/>
      <c r="AW738" s="332"/>
      <c r="AX738" s="332"/>
      <c r="AY738" s="332"/>
      <c r="AZ738" s="332"/>
      <c r="BA738" s="332"/>
      <c r="BB738" s="332"/>
      <c r="BC738" s="332"/>
      <c r="BD738" s="332"/>
      <c r="BE738" s="332"/>
      <c r="BF738" s="332"/>
      <c r="BG738" s="332"/>
      <c r="BH738" s="332"/>
      <c r="BI738" s="332"/>
      <c r="BJ738" s="332"/>
      <c r="BK738" s="332"/>
      <c r="BL738" s="332"/>
      <c r="BM738" s="332"/>
      <c r="BN738" s="332"/>
      <c r="BO738" s="332"/>
      <c r="BP738" s="332"/>
      <c r="BQ738" s="332"/>
      <c r="BR738" s="332"/>
      <c r="BS738" s="332"/>
      <c r="BT738" s="332"/>
      <c r="BU738" s="332"/>
      <c r="BV738" s="332"/>
      <c r="BW738" s="332"/>
      <c r="BX738" s="332"/>
      <c r="BY738" s="332"/>
      <c r="BZ738" s="332"/>
      <c r="CA738" s="332"/>
      <c r="CB738" s="332"/>
      <c r="CC738" s="332"/>
      <c r="CD738" s="332"/>
      <c r="CE738" s="332"/>
      <c r="CF738" s="332"/>
      <c r="CG738" s="332"/>
      <c r="CH738" s="332"/>
      <c r="CI738" s="332"/>
      <c r="CJ738" s="332"/>
      <c r="CK738" s="332"/>
      <c r="CL738" s="332"/>
      <c r="CM738" s="332"/>
      <c r="CN738" s="332"/>
      <c r="CO738" s="332"/>
      <c r="CP738" s="332"/>
      <c r="CQ738" s="332"/>
      <c r="CR738" s="332"/>
      <c r="CS738" s="332"/>
      <c r="CT738" s="332"/>
      <c r="CU738" s="332"/>
      <c r="CV738" s="332"/>
      <c r="CW738" s="332"/>
      <c r="CX738" s="332"/>
      <c r="CY738" s="332"/>
      <c r="CZ738" s="332"/>
      <c r="DA738" s="332"/>
      <c r="DB738" s="332"/>
      <c r="DC738" s="332"/>
      <c r="DD738" s="332"/>
      <c r="DE738" s="332"/>
      <c r="DF738" s="332"/>
      <c r="DG738" s="332"/>
      <c r="DH738" s="332"/>
      <c r="DI738" s="332"/>
      <c r="DJ738" s="332"/>
      <c r="DK738" s="332"/>
      <c r="DL738" s="332"/>
      <c r="DM738" s="332"/>
      <c r="DN738" s="332"/>
      <c r="DO738" s="332"/>
      <c r="DP738" s="332"/>
      <c r="DQ738" s="332"/>
      <c r="DR738" s="332"/>
      <c r="DS738" s="332"/>
      <c r="DT738" s="332"/>
      <c r="DU738" s="453"/>
      <c r="DV738" s="453"/>
      <c r="DW738" s="453"/>
      <c r="DX738" s="453"/>
      <c r="DY738" s="453"/>
      <c r="DZ738" s="453"/>
      <c r="EA738" s="453"/>
      <c r="EB738" s="453"/>
      <c r="EC738" s="453"/>
      <c r="ED738" s="453"/>
      <c r="EE738" s="453"/>
      <c r="EF738" s="453"/>
      <c r="EG738" s="453"/>
      <c r="EH738" s="453"/>
      <c r="EI738" s="453"/>
      <c r="EJ738" s="453"/>
      <c r="EK738" s="453"/>
      <c r="EL738" s="453"/>
      <c r="EM738" s="483">
        <f t="shared" si="230"/>
        <v>429</v>
      </c>
      <c r="EN738" s="485"/>
      <c r="EO738" s="458"/>
      <c r="EP738" s="467"/>
      <c r="EQ738" s="457"/>
      <c r="ER738" s="808"/>
      <c r="ES738" s="881">
        <f t="shared" si="231"/>
        <v>0</v>
      </c>
      <c r="ET738" s="882"/>
      <c r="EU738" s="883"/>
      <c r="EV738" s="884">
        <f t="shared" si="229"/>
        <v>0</v>
      </c>
      <c r="EW738" s="885"/>
      <c r="EX738" s="885"/>
      <c r="EY738" s="885"/>
      <c r="EZ738" s="885"/>
      <c r="FA738" s="885"/>
      <c r="FB738" s="885"/>
      <c r="FC738" s="885"/>
      <c r="FD738" s="886"/>
      <c r="FE738" s="878"/>
      <c r="FF738" s="878"/>
      <c r="FG738" s="878"/>
      <c r="FH738" s="878"/>
      <c r="FI738" s="878"/>
      <c r="FJ738" s="878"/>
      <c r="FK738" s="878"/>
      <c r="FL738" s="555"/>
      <c r="FM738" s="554"/>
      <c r="FN738" s="554"/>
      <c r="FO738" s="554"/>
      <c r="FP738" s="554"/>
      <c r="FQ738" s="554"/>
      <c r="FR738" s="554"/>
      <c r="FS738" s="554"/>
      <c r="FT738" s="554"/>
      <c r="FU738" s="554"/>
      <c r="FV738" s="554"/>
      <c r="FW738" s="554"/>
      <c r="FX738" s="554"/>
      <c r="FY738" s="554"/>
      <c r="FZ738" s="554"/>
      <c r="GA738" s="554"/>
      <c r="GB738" s="556"/>
      <c r="GC738" s="370"/>
      <c r="GD738" s="453"/>
      <c r="GE738" s="453"/>
      <c r="GF738" s="453"/>
      <c r="GG738" s="453"/>
      <c r="GH738" s="454"/>
      <c r="GI738" s="453"/>
      <c r="GJ738" s="453"/>
      <c r="GK738" s="453"/>
      <c r="GL738" s="453"/>
      <c r="GM738" s="453"/>
      <c r="GN738" s="453"/>
      <c r="GO738" s="453"/>
      <c r="GP738" s="453"/>
      <c r="GQ738" s="453"/>
      <c r="GR738" s="453"/>
      <c r="GS738" s="561"/>
      <c r="GT738" s="475"/>
      <c r="GU738" s="472"/>
      <c r="GV738" s="453"/>
      <c r="GW738" s="453"/>
      <c r="GX738" s="869"/>
      <c r="GY738" s="870"/>
      <c r="GZ738" s="867"/>
      <c r="HA738" s="868"/>
      <c r="HB738" s="473"/>
      <c r="HC738" s="869"/>
      <c r="HD738" s="870"/>
      <c r="HE738" s="867"/>
      <c r="HF738" s="868"/>
      <c r="HG738" s="473"/>
      <c r="HH738" s="867"/>
      <c r="HI738" s="868"/>
      <c r="HJ738" s="867"/>
      <c r="HK738" s="868"/>
      <c r="HL738" s="370"/>
      <c r="HM738" s="865"/>
      <c r="HN738" s="866"/>
      <c r="HO738" s="865"/>
      <c r="HP738" s="866"/>
      <c r="HQ738" s="865"/>
      <c r="HR738" s="866"/>
      <c r="HS738" s="867"/>
      <c r="HT738" s="868"/>
      <c r="HU738" s="489"/>
      <c r="HV738" s="865"/>
      <c r="HW738" s="866"/>
    </row>
    <row r="739" spans="25:231" ht="15" customHeight="1">
      <c r="Y739" s="332"/>
      <c r="Z739" s="332"/>
      <c r="AA739" s="332"/>
      <c r="AB739" s="332"/>
      <c r="AC739" s="332"/>
      <c r="AD739" s="332"/>
      <c r="AE739" s="332"/>
      <c r="AF739" s="332"/>
      <c r="AG739" s="332"/>
      <c r="AH739" s="332"/>
      <c r="AI739" s="332"/>
      <c r="AJ739" s="332"/>
      <c r="AK739" s="332"/>
      <c r="AL739" s="332"/>
      <c r="AM739" s="332"/>
      <c r="AN739" s="332"/>
      <c r="AO739" s="332"/>
      <c r="AP739" s="332"/>
      <c r="AQ739" s="332"/>
      <c r="AR739" s="332"/>
      <c r="AS739" s="332"/>
      <c r="AT739" s="332"/>
      <c r="AU739" s="332"/>
      <c r="AV739" s="332"/>
      <c r="AW739" s="332"/>
      <c r="AX739" s="332"/>
      <c r="AY739" s="332"/>
      <c r="AZ739" s="332"/>
      <c r="BA739" s="332"/>
      <c r="BB739" s="332"/>
      <c r="BC739" s="332"/>
      <c r="BD739" s="332"/>
      <c r="BE739" s="332"/>
      <c r="BF739" s="332"/>
      <c r="BG739" s="332"/>
      <c r="BH739" s="332"/>
      <c r="BI739" s="332"/>
      <c r="BJ739" s="332"/>
      <c r="BK739" s="332"/>
      <c r="BL739" s="332"/>
      <c r="BM739" s="332"/>
      <c r="BN739" s="332"/>
      <c r="BO739" s="332"/>
      <c r="BP739" s="332"/>
      <c r="BQ739" s="332"/>
      <c r="BR739" s="332"/>
      <c r="BS739" s="332"/>
      <c r="BT739" s="332"/>
      <c r="BU739" s="332"/>
      <c r="BV739" s="332"/>
      <c r="BW739" s="332"/>
      <c r="BX739" s="332"/>
      <c r="BY739" s="332"/>
      <c r="BZ739" s="332"/>
      <c r="CA739" s="332"/>
      <c r="CB739" s="332"/>
      <c r="CC739" s="332"/>
      <c r="CD739" s="332"/>
      <c r="CE739" s="332"/>
      <c r="CF739" s="332"/>
      <c r="CG739" s="332"/>
      <c r="CH739" s="332"/>
      <c r="CI739" s="332"/>
      <c r="CJ739" s="332"/>
      <c r="CK739" s="332"/>
      <c r="CL739" s="332"/>
      <c r="CM739" s="332"/>
      <c r="CN739" s="332"/>
      <c r="CO739" s="332"/>
      <c r="CP739" s="332"/>
      <c r="CQ739" s="332"/>
      <c r="CR739" s="332"/>
      <c r="CS739" s="332"/>
      <c r="CT739" s="332"/>
      <c r="CU739" s="332"/>
      <c r="CV739" s="332"/>
      <c r="CW739" s="332"/>
      <c r="CX739" s="332"/>
      <c r="CY739" s="332"/>
      <c r="CZ739" s="332"/>
      <c r="DA739" s="332"/>
      <c r="DB739" s="332"/>
      <c r="DC739" s="332"/>
      <c r="DD739" s="332"/>
      <c r="DE739" s="332"/>
      <c r="DF739" s="332"/>
      <c r="DG739" s="332"/>
      <c r="DH739" s="332"/>
      <c r="DI739" s="332"/>
      <c r="DJ739" s="332"/>
      <c r="DK739" s="332"/>
      <c r="DL739" s="332"/>
      <c r="DM739" s="332"/>
      <c r="DN739" s="332"/>
      <c r="DO739" s="332"/>
      <c r="DP739" s="332"/>
      <c r="DQ739" s="332"/>
      <c r="DR739" s="332"/>
      <c r="DS739" s="332"/>
      <c r="DT739" s="332"/>
      <c r="DU739" s="453"/>
      <c r="DV739" s="453"/>
      <c r="DW739" s="453"/>
      <c r="DX739" s="453"/>
      <c r="DY739" s="453"/>
      <c r="DZ739" s="453"/>
      <c r="EA739" s="453"/>
      <c r="EB739" s="453"/>
      <c r="EC739" s="453"/>
      <c r="ED739" s="453"/>
      <c r="EE739" s="453"/>
      <c r="EF739" s="453"/>
      <c r="EG739" s="453"/>
      <c r="EH739" s="453"/>
      <c r="EI739" s="453"/>
      <c r="EJ739" s="453"/>
      <c r="EK739" s="453"/>
      <c r="EL739" s="453"/>
      <c r="EM739" s="483">
        <f t="shared" si="230"/>
        <v>430</v>
      </c>
      <c r="EN739" s="485"/>
      <c r="EO739" s="458"/>
      <c r="EP739" s="467"/>
      <c r="EQ739" s="457"/>
      <c r="ER739" s="808"/>
      <c r="ES739" s="881">
        <f t="shared" si="231"/>
        <v>0</v>
      </c>
      <c r="ET739" s="882"/>
      <c r="EU739" s="883"/>
      <c r="EV739" s="884">
        <f t="shared" si="229"/>
        <v>0</v>
      </c>
      <c r="EW739" s="885"/>
      <c r="EX739" s="885"/>
      <c r="EY739" s="885"/>
      <c r="EZ739" s="885"/>
      <c r="FA739" s="885"/>
      <c r="FB739" s="885"/>
      <c r="FC739" s="885"/>
      <c r="FD739" s="886"/>
      <c r="FE739" s="878"/>
      <c r="FF739" s="878"/>
      <c r="FG739" s="878"/>
      <c r="FH739" s="878"/>
      <c r="FI739" s="878"/>
      <c r="FJ739" s="878"/>
      <c r="FK739" s="878"/>
      <c r="FL739" s="555"/>
      <c r="FM739" s="554"/>
      <c r="FN739" s="554"/>
      <c r="FO739" s="554"/>
      <c r="FP739" s="554"/>
      <c r="FQ739" s="554"/>
      <c r="FR739" s="554"/>
      <c r="FS739" s="554"/>
      <c r="FT739" s="554"/>
      <c r="FU739" s="554"/>
      <c r="FV739" s="554"/>
      <c r="FW739" s="554"/>
      <c r="FX739" s="554"/>
      <c r="FY739" s="554"/>
      <c r="FZ739" s="554"/>
      <c r="GA739" s="554"/>
      <c r="GB739" s="556"/>
      <c r="GC739" s="370"/>
      <c r="GD739" s="453"/>
      <c r="GE739" s="453"/>
      <c r="GF739" s="453"/>
      <c r="GG739" s="453"/>
      <c r="GH739" s="454"/>
      <c r="GI739" s="453"/>
      <c r="GJ739" s="453"/>
      <c r="GK739" s="453"/>
      <c r="GL739" s="453"/>
      <c r="GM739" s="453"/>
      <c r="GN739" s="453"/>
      <c r="GO739" s="453"/>
      <c r="GP739" s="453"/>
      <c r="GQ739" s="453"/>
      <c r="GR739" s="453"/>
      <c r="GS739" s="561"/>
      <c r="GT739" s="475"/>
      <c r="GU739" s="472"/>
      <c r="GV739" s="453"/>
      <c r="GW739" s="453"/>
      <c r="GX739" s="869"/>
      <c r="GY739" s="870"/>
      <c r="GZ739" s="867"/>
      <c r="HA739" s="868"/>
      <c r="HB739" s="473"/>
      <c r="HC739" s="869"/>
      <c r="HD739" s="870"/>
      <c r="HE739" s="867"/>
      <c r="HF739" s="868"/>
      <c r="HG739" s="473"/>
      <c r="HH739" s="867"/>
      <c r="HI739" s="868"/>
      <c r="HJ739" s="867"/>
      <c r="HK739" s="868"/>
      <c r="HL739" s="370"/>
      <c r="HM739" s="865"/>
      <c r="HN739" s="866"/>
      <c r="HO739" s="865"/>
      <c r="HP739" s="866"/>
      <c r="HQ739" s="865"/>
      <c r="HR739" s="866"/>
      <c r="HS739" s="867"/>
      <c r="HT739" s="868"/>
      <c r="HU739" s="489"/>
      <c r="HV739" s="865"/>
      <c r="HW739" s="866"/>
    </row>
    <row r="740" spans="25:231" ht="15" customHeight="1">
      <c r="Y740" s="332"/>
      <c r="Z740" s="332"/>
      <c r="AA740" s="332"/>
      <c r="AB740" s="332"/>
      <c r="AC740" s="332"/>
      <c r="AD740" s="332"/>
      <c r="AE740" s="332"/>
      <c r="AF740" s="332"/>
      <c r="AG740" s="332"/>
      <c r="AH740" s="332"/>
      <c r="AI740" s="332"/>
      <c r="AJ740" s="332"/>
      <c r="AK740" s="332"/>
      <c r="AL740" s="332"/>
      <c r="AM740" s="332"/>
      <c r="AN740" s="332"/>
      <c r="AO740" s="332"/>
      <c r="AP740" s="332"/>
      <c r="AQ740" s="332"/>
      <c r="AR740" s="332"/>
      <c r="AS740" s="332"/>
      <c r="AT740" s="332"/>
      <c r="AU740" s="332"/>
      <c r="AV740" s="332"/>
      <c r="AW740" s="332"/>
      <c r="AX740" s="332"/>
      <c r="AY740" s="332"/>
      <c r="AZ740" s="332"/>
      <c r="BA740" s="332"/>
      <c r="BB740" s="332"/>
      <c r="BC740" s="332"/>
      <c r="BD740" s="332"/>
      <c r="BE740" s="332"/>
      <c r="BF740" s="332"/>
      <c r="BG740" s="332"/>
      <c r="BH740" s="332"/>
      <c r="BI740" s="332"/>
      <c r="BJ740" s="332"/>
      <c r="BK740" s="332"/>
      <c r="BL740" s="332"/>
      <c r="BM740" s="332"/>
      <c r="BN740" s="332"/>
      <c r="BO740" s="332"/>
      <c r="BP740" s="332"/>
      <c r="BQ740" s="332"/>
      <c r="BR740" s="332"/>
      <c r="BS740" s="332"/>
      <c r="BT740" s="332"/>
      <c r="BU740" s="332"/>
      <c r="BV740" s="332"/>
      <c r="BW740" s="332"/>
      <c r="BX740" s="332"/>
      <c r="BY740" s="332"/>
      <c r="BZ740" s="332"/>
      <c r="CA740" s="332"/>
      <c r="CB740" s="332"/>
      <c r="CC740" s="332"/>
      <c r="CD740" s="332"/>
      <c r="CE740" s="332"/>
      <c r="CF740" s="332"/>
      <c r="CG740" s="332"/>
      <c r="CH740" s="332"/>
      <c r="CI740" s="332"/>
      <c r="CJ740" s="332"/>
      <c r="CK740" s="332"/>
      <c r="CL740" s="332"/>
      <c r="CM740" s="332"/>
      <c r="CN740" s="332"/>
      <c r="CO740" s="332"/>
      <c r="CP740" s="332"/>
      <c r="CQ740" s="332"/>
      <c r="CR740" s="332"/>
      <c r="CS740" s="332"/>
      <c r="CT740" s="332"/>
      <c r="CU740" s="332"/>
      <c r="CV740" s="332"/>
      <c r="CW740" s="332"/>
      <c r="CX740" s="332"/>
      <c r="CY740" s="332"/>
      <c r="CZ740" s="332"/>
      <c r="DA740" s="332"/>
      <c r="DB740" s="332"/>
      <c r="DC740" s="332"/>
      <c r="DD740" s="332"/>
      <c r="DE740" s="332"/>
      <c r="DF740" s="332"/>
      <c r="DG740" s="332"/>
      <c r="DH740" s="332"/>
      <c r="DI740" s="332"/>
      <c r="DJ740" s="332"/>
      <c r="DK740" s="332"/>
      <c r="DL740" s="332"/>
      <c r="DM740" s="332"/>
      <c r="DN740" s="332"/>
      <c r="DO740" s="332"/>
      <c r="DP740" s="332"/>
      <c r="DQ740" s="332"/>
      <c r="DR740" s="332"/>
      <c r="DS740" s="332"/>
      <c r="DT740" s="332"/>
      <c r="DU740" s="453"/>
      <c r="DV740" s="453"/>
      <c r="DW740" s="453"/>
      <c r="DX740" s="453"/>
      <c r="DY740" s="453"/>
      <c r="DZ740" s="453"/>
      <c r="EA740" s="453"/>
      <c r="EB740" s="453"/>
      <c r="EC740" s="453"/>
      <c r="ED740" s="453"/>
      <c r="EE740" s="453"/>
      <c r="EF740" s="453"/>
      <c r="EG740" s="453"/>
      <c r="EH740" s="453"/>
      <c r="EI740" s="453"/>
      <c r="EJ740" s="453"/>
      <c r="EK740" s="453"/>
      <c r="EL740" s="453"/>
      <c r="EM740" s="483">
        <f t="shared" si="230"/>
        <v>431</v>
      </c>
      <c r="EN740" s="485"/>
      <c r="EO740" s="458"/>
      <c r="EP740" s="467"/>
      <c r="EQ740" s="457"/>
      <c r="ER740" s="808"/>
      <c r="ES740" s="881">
        <f t="shared" si="231"/>
        <v>0</v>
      </c>
      <c r="ET740" s="882"/>
      <c r="EU740" s="883"/>
      <c r="EV740" s="884">
        <f t="shared" si="229"/>
        <v>0</v>
      </c>
      <c r="EW740" s="885"/>
      <c r="EX740" s="885"/>
      <c r="EY740" s="885"/>
      <c r="EZ740" s="885"/>
      <c r="FA740" s="885"/>
      <c r="FB740" s="885"/>
      <c r="FC740" s="885"/>
      <c r="FD740" s="886"/>
      <c r="FE740" s="878"/>
      <c r="FF740" s="878"/>
      <c r="FG740" s="878"/>
      <c r="FH740" s="878"/>
      <c r="FI740" s="878"/>
      <c r="FJ740" s="878"/>
      <c r="FK740" s="878"/>
      <c r="FL740" s="555"/>
      <c r="FM740" s="554"/>
      <c r="FN740" s="554"/>
      <c r="FO740" s="554"/>
      <c r="FP740" s="554"/>
      <c r="FQ740" s="554"/>
      <c r="FR740" s="554"/>
      <c r="FS740" s="554"/>
      <c r="FT740" s="554"/>
      <c r="FU740" s="554"/>
      <c r="FV740" s="554"/>
      <c r="FW740" s="554"/>
      <c r="FX740" s="554"/>
      <c r="FY740" s="554"/>
      <c r="FZ740" s="554"/>
      <c r="GA740" s="554"/>
      <c r="GB740" s="556"/>
      <c r="GC740" s="370"/>
      <c r="GD740" s="453"/>
      <c r="GE740" s="453"/>
      <c r="GF740" s="453"/>
      <c r="GG740" s="453"/>
      <c r="GH740" s="454"/>
      <c r="GI740" s="453"/>
      <c r="GJ740" s="453"/>
      <c r="GK740" s="453"/>
      <c r="GL740" s="453"/>
      <c r="GM740" s="453"/>
      <c r="GN740" s="453"/>
      <c r="GO740" s="453"/>
      <c r="GP740" s="453"/>
      <c r="GQ740" s="453"/>
      <c r="GR740" s="453"/>
      <c r="GS740" s="561"/>
      <c r="GT740" s="475"/>
      <c r="GU740" s="472"/>
      <c r="GV740" s="453"/>
      <c r="GW740" s="453"/>
      <c r="GX740" s="869"/>
      <c r="GY740" s="870"/>
      <c r="GZ740" s="867"/>
      <c r="HA740" s="868"/>
      <c r="HB740" s="473"/>
      <c r="HC740" s="869"/>
      <c r="HD740" s="870"/>
      <c r="HE740" s="867"/>
      <c r="HF740" s="868"/>
      <c r="HG740" s="473"/>
      <c r="HH740" s="867"/>
      <c r="HI740" s="868"/>
      <c r="HJ740" s="867"/>
      <c r="HK740" s="868"/>
      <c r="HL740" s="370"/>
      <c r="HM740" s="865"/>
      <c r="HN740" s="866"/>
      <c r="HO740" s="865"/>
      <c r="HP740" s="866"/>
      <c r="HQ740" s="865"/>
      <c r="HR740" s="866"/>
      <c r="HS740" s="867"/>
      <c r="HT740" s="868"/>
      <c r="HU740" s="489"/>
      <c r="HV740" s="865"/>
      <c r="HW740" s="866"/>
    </row>
    <row r="741" spans="25:231" ht="15" customHeight="1">
      <c r="Y741" s="332"/>
      <c r="Z741" s="332"/>
      <c r="AA741" s="332"/>
      <c r="AB741" s="332"/>
      <c r="AC741" s="332"/>
      <c r="AD741" s="332"/>
      <c r="AE741" s="332"/>
      <c r="AF741" s="332"/>
      <c r="AG741" s="332"/>
      <c r="AH741" s="332"/>
      <c r="AI741" s="332"/>
      <c r="AJ741" s="332"/>
      <c r="AK741" s="332"/>
      <c r="AL741" s="332"/>
      <c r="AM741" s="332"/>
      <c r="AN741" s="332"/>
      <c r="AO741" s="332"/>
      <c r="AP741" s="332"/>
      <c r="AQ741" s="332"/>
      <c r="AR741" s="332"/>
      <c r="AS741" s="332"/>
      <c r="AT741" s="332"/>
      <c r="AU741" s="332"/>
      <c r="AV741" s="332"/>
      <c r="AW741" s="332"/>
      <c r="AX741" s="332"/>
      <c r="AY741" s="332"/>
      <c r="AZ741" s="332"/>
      <c r="BA741" s="332"/>
      <c r="BB741" s="332"/>
      <c r="BC741" s="332"/>
      <c r="BD741" s="332"/>
      <c r="BE741" s="332"/>
      <c r="BF741" s="332"/>
      <c r="BG741" s="332"/>
      <c r="BH741" s="332"/>
      <c r="BI741" s="332"/>
      <c r="BJ741" s="332"/>
      <c r="BK741" s="332"/>
      <c r="BL741" s="332"/>
      <c r="BM741" s="332"/>
      <c r="BN741" s="332"/>
      <c r="BO741" s="332"/>
      <c r="BP741" s="332"/>
      <c r="BQ741" s="332"/>
      <c r="BR741" s="332"/>
      <c r="BS741" s="332"/>
      <c r="BT741" s="332"/>
      <c r="BU741" s="332"/>
      <c r="BV741" s="332"/>
      <c r="BW741" s="332"/>
      <c r="BX741" s="332"/>
      <c r="BY741" s="332"/>
      <c r="BZ741" s="332"/>
      <c r="CA741" s="332"/>
      <c r="CB741" s="332"/>
      <c r="CC741" s="332"/>
      <c r="CD741" s="332"/>
      <c r="CE741" s="332"/>
      <c r="CF741" s="332"/>
      <c r="CG741" s="332"/>
      <c r="CH741" s="332"/>
      <c r="CI741" s="332"/>
      <c r="CJ741" s="332"/>
      <c r="CK741" s="332"/>
      <c r="CL741" s="332"/>
      <c r="CM741" s="332"/>
      <c r="CN741" s="332"/>
      <c r="CO741" s="332"/>
      <c r="CP741" s="332"/>
      <c r="CQ741" s="332"/>
      <c r="CR741" s="332"/>
      <c r="CS741" s="332"/>
      <c r="CT741" s="332"/>
      <c r="CU741" s="332"/>
      <c r="CV741" s="332"/>
      <c r="CW741" s="332"/>
      <c r="CX741" s="332"/>
      <c r="CY741" s="332"/>
      <c r="CZ741" s="332"/>
      <c r="DA741" s="332"/>
      <c r="DB741" s="332"/>
      <c r="DC741" s="332"/>
      <c r="DD741" s="332"/>
      <c r="DE741" s="332"/>
      <c r="DF741" s="332"/>
      <c r="DG741" s="332"/>
      <c r="DH741" s="332"/>
      <c r="DI741" s="332"/>
      <c r="DJ741" s="332"/>
      <c r="DK741" s="332"/>
      <c r="DL741" s="332"/>
      <c r="DM741" s="332"/>
      <c r="DN741" s="332"/>
      <c r="DO741" s="332"/>
      <c r="DP741" s="332"/>
      <c r="DQ741" s="332"/>
      <c r="DR741" s="332"/>
      <c r="DS741" s="332"/>
      <c r="DT741" s="332"/>
      <c r="DU741" s="453"/>
      <c r="DV741" s="453"/>
      <c r="DW741" s="453"/>
      <c r="DX741" s="453"/>
      <c r="DY741" s="453"/>
      <c r="DZ741" s="453"/>
      <c r="EA741" s="453"/>
      <c r="EB741" s="453"/>
      <c r="EC741" s="453"/>
      <c r="ED741" s="453"/>
      <c r="EE741" s="453"/>
      <c r="EF741" s="453"/>
      <c r="EG741" s="453"/>
      <c r="EH741" s="453"/>
      <c r="EI741" s="453"/>
      <c r="EJ741" s="453"/>
      <c r="EK741" s="453"/>
      <c r="EL741" s="453"/>
      <c r="EM741" s="483">
        <f t="shared" si="230"/>
        <v>432</v>
      </c>
      <c r="EN741" s="485"/>
      <c r="EO741" s="458"/>
      <c r="EP741" s="467"/>
      <c r="EQ741" s="457"/>
      <c r="ER741" s="808"/>
      <c r="ES741" s="881">
        <f t="shared" si="231"/>
        <v>0</v>
      </c>
      <c r="ET741" s="882"/>
      <c r="EU741" s="883"/>
      <c r="EV741" s="884">
        <f t="shared" si="229"/>
        <v>0</v>
      </c>
      <c r="EW741" s="885"/>
      <c r="EX741" s="885"/>
      <c r="EY741" s="885"/>
      <c r="EZ741" s="885"/>
      <c r="FA741" s="885"/>
      <c r="FB741" s="885"/>
      <c r="FC741" s="885"/>
      <c r="FD741" s="886"/>
      <c r="FE741" s="878"/>
      <c r="FF741" s="878"/>
      <c r="FG741" s="878"/>
      <c r="FH741" s="878"/>
      <c r="FI741" s="878"/>
      <c r="FJ741" s="878"/>
      <c r="FK741" s="878"/>
      <c r="FL741" s="555"/>
      <c r="FM741" s="554"/>
      <c r="FN741" s="554"/>
      <c r="FO741" s="554"/>
      <c r="FP741" s="554"/>
      <c r="FQ741" s="554"/>
      <c r="FR741" s="554"/>
      <c r="FS741" s="554"/>
      <c r="FT741" s="554"/>
      <c r="FU741" s="554"/>
      <c r="FV741" s="554"/>
      <c r="FW741" s="554"/>
      <c r="FX741" s="554"/>
      <c r="FY741" s="554"/>
      <c r="FZ741" s="554"/>
      <c r="GA741" s="554"/>
      <c r="GB741" s="556"/>
      <c r="GC741" s="370"/>
      <c r="GD741" s="453"/>
      <c r="GE741" s="453"/>
      <c r="GF741" s="453"/>
      <c r="GG741" s="453"/>
      <c r="GH741" s="454"/>
      <c r="GI741" s="453"/>
      <c r="GJ741" s="453"/>
      <c r="GK741" s="453"/>
      <c r="GL741" s="453"/>
      <c r="GM741" s="453"/>
      <c r="GN741" s="453"/>
      <c r="GO741" s="453"/>
      <c r="GP741" s="453"/>
      <c r="GQ741" s="453"/>
      <c r="GR741" s="453"/>
      <c r="GS741" s="561"/>
      <c r="GT741" s="475"/>
      <c r="GU741" s="472"/>
      <c r="GV741" s="453"/>
      <c r="GW741" s="453"/>
      <c r="GX741" s="869"/>
      <c r="GY741" s="870"/>
      <c r="GZ741" s="867"/>
      <c r="HA741" s="868"/>
      <c r="HB741" s="473"/>
      <c r="HC741" s="869"/>
      <c r="HD741" s="870"/>
      <c r="HE741" s="867"/>
      <c r="HF741" s="868"/>
      <c r="HG741" s="473"/>
      <c r="HH741" s="867"/>
      <c r="HI741" s="868"/>
      <c r="HJ741" s="867"/>
      <c r="HK741" s="868"/>
      <c r="HL741" s="370"/>
      <c r="HM741" s="865"/>
      <c r="HN741" s="866"/>
      <c r="HO741" s="865"/>
      <c r="HP741" s="866"/>
      <c r="HQ741" s="865"/>
      <c r="HR741" s="866"/>
      <c r="HS741" s="867"/>
      <c r="HT741" s="868"/>
      <c r="HU741" s="489"/>
      <c r="HV741" s="865"/>
      <c r="HW741" s="866"/>
    </row>
    <row r="742" spans="25:231" ht="15" customHeight="1">
      <c r="Y742" s="332"/>
      <c r="Z742" s="332"/>
      <c r="AA742" s="332"/>
      <c r="AB742" s="332"/>
      <c r="AC742" s="332"/>
      <c r="AD742" s="332"/>
      <c r="AE742" s="332"/>
      <c r="AF742" s="332"/>
      <c r="AG742" s="332"/>
      <c r="AH742" s="332"/>
      <c r="AI742" s="332"/>
      <c r="AJ742" s="332"/>
      <c r="AK742" s="332"/>
      <c r="AL742" s="332"/>
      <c r="AM742" s="332"/>
      <c r="AN742" s="332"/>
      <c r="AO742" s="332"/>
      <c r="AP742" s="332"/>
      <c r="AQ742" s="332"/>
      <c r="AR742" s="332"/>
      <c r="AS742" s="332"/>
      <c r="AT742" s="332"/>
      <c r="AU742" s="332"/>
      <c r="AV742" s="332"/>
      <c r="AW742" s="332"/>
      <c r="AX742" s="332"/>
      <c r="AY742" s="332"/>
      <c r="AZ742" s="332"/>
      <c r="BA742" s="332"/>
      <c r="BB742" s="332"/>
      <c r="BC742" s="332"/>
      <c r="BD742" s="332"/>
      <c r="BE742" s="332"/>
      <c r="BF742" s="332"/>
      <c r="BG742" s="332"/>
      <c r="BH742" s="332"/>
      <c r="BI742" s="332"/>
      <c r="BJ742" s="332"/>
      <c r="BK742" s="332"/>
      <c r="BL742" s="332"/>
      <c r="BM742" s="332"/>
      <c r="BN742" s="332"/>
      <c r="BO742" s="332"/>
      <c r="BP742" s="332"/>
      <c r="BQ742" s="332"/>
      <c r="BR742" s="332"/>
      <c r="BS742" s="332"/>
      <c r="BT742" s="332"/>
      <c r="BU742" s="332"/>
      <c r="BV742" s="332"/>
      <c r="BW742" s="332"/>
      <c r="BX742" s="332"/>
      <c r="BY742" s="332"/>
      <c r="BZ742" s="332"/>
      <c r="CA742" s="332"/>
      <c r="CB742" s="332"/>
      <c r="CC742" s="332"/>
      <c r="CD742" s="332"/>
      <c r="CE742" s="332"/>
      <c r="CF742" s="332"/>
      <c r="CG742" s="332"/>
      <c r="CH742" s="332"/>
      <c r="CI742" s="332"/>
      <c r="CJ742" s="332"/>
      <c r="CK742" s="332"/>
      <c r="CL742" s="332"/>
      <c r="CM742" s="332"/>
      <c r="CN742" s="332"/>
      <c r="CO742" s="332"/>
      <c r="CP742" s="332"/>
      <c r="CQ742" s="332"/>
      <c r="CR742" s="332"/>
      <c r="CS742" s="332"/>
      <c r="CT742" s="332"/>
      <c r="CU742" s="332"/>
      <c r="CV742" s="332"/>
      <c r="CW742" s="332"/>
      <c r="CX742" s="332"/>
      <c r="CY742" s="332"/>
      <c r="CZ742" s="332"/>
      <c r="DA742" s="332"/>
      <c r="DB742" s="332"/>
      <c r="DC742" s="332"/>
      <c r="DD742" s="332"/>
      <c r="DE742" s="332"/>
      <c r="DF742" s="332"/>
      <c r="DG742" s="332"/>
      <c r="DH742" s="332"/>
      <c r="DI742" s="332"/>
      <c r="DJ742" s="332"/>
      <c r="DK742" s="332"/>
      <c r="DL742" s="332"/>
      <c r="DM742" s="332"/>
      <c r="DN742" s="332"/>
      <c r="DO742" s="332"/>
      <c r="DP742" s="332"/>
      <c r="DQ742" s="332"/>
      <c r="DR742" s="332"/>
      <c r="DS742" s="332"/>
      <c r="DT742" s="332"/>
      <c r="DU742" s="453"/>
      <c r="DV742" s="453"/>
      <c r="DW742" s="453"/>
      <c r="DX742" s="453"/>
      <c r="DY742" s="453"/>
      <c r="DZ742" s="453"/>
      <c r="EA742" s="453"/>
      <c r="EB742" s="453"/>
      <c r="EC742" s="453"/>
      <c r="ED742" s="453"/>
      <c r="EE742" s="453"/>
      <c r="EF742" s="453"/>
      <c r="EG742" s="453"/>
      <c r="EH742" s="453"/>
      <c r="EI742" s="453"/>
      <c r="EJ742" s="453"/>
      <c r="EK742" s="453"/>
      <c r="EL742" s="453"/>
      <c r="EM742" s="483">
        <f t="shared" si="230"/>
        <v>433</v>
      </c>
      <c r="EN742" s="485"/>
      <c r="EO742" s="458"/>
      <c r="EP742" s="467"/>
      <c r="EQ742" s="457"/>
      <c r="ER742" s="808"/>
      <c r="ES742" s="881">
        <f t="shared" si="231"/>
        <v>0</v>
      </c>
      <c r="ET742" s="882"/>
      <c r="EU742" s="883"/>
      <c r="EV742" s="884">
        <f t="shared" si="229"/>
        <v>0</v>
      </c>
      <c r="EW742" s="885"/>
      <c r="EX742" s="885"/>
      <c r="EY742" s="885"/>
      <c r="EZ742" s="885"/>
      <c r="FA742" s="885"/>
      <c r="FB742" s="885"/>
      <c r="FC742" s="885"/>
      <c r="FD742" s="886"/>
      <c r="FE742" s="878"/>
      <c r="FF742" s="878"/>
      <c r="FG742" s="878"/>
      <c r="FH742" s="878"/>
      <c r="FI742" s="878"/>
      <c r="FJ742" s="878"/>
      <c r="FK742" s="878"/>
      <c r="FL742" s="555"/>
      <c r="FM742" s="554"/>
      <c r="FN742" s="554"/>
      <c r="FO742" s="554"/>
      <c r="FP742" s="554"/>
      <c r="FQ742" s="554"/>
      <c r="FR742" s="554"/>
      <c r="FS742" s="554"/>
      <c r="FT742" s="554"/>
      <c r="FU742" s="554"/>
      <c r="FV742" s="554"/>
      <c r="FW742" s="554"/>
      <c r="FX742" s="554"/>
      <c r="FY742" s="554"/>
      <c r="FZ742" s="554"/>
      <c r="GA742" s="554"/>
      <c r="GB742" s="556"/>
      <c r="GC742" s="370"/>
      <c r="GD742" s="453"/>
      <c r="GE742" s="453"/>
      <c r="GF742" s="453"/>
      <c r="GG742" s="453"/>
      <c r="GH742" s="454"/>
      <c r="GI742" s="453"/>
      <c r="GJ742" s="453"/>
      <c r="GK742" s="453"/>
      <c r="GL742" s="453"/>
      <c r="GM742" s="453"/>
      <c r="GN742" s="453"/>
      <c r="GO742" s="453"/>
      <c r="GP742" s="453"/>
      <c r="GQ742" s="453"/>
      <c r="GR742" s="453"/>
      <c r="GS742" s="561"/>
      <c r="GT742" s="475"/>
      <c r="GU742" s="472"/>
      <c r="GV742" s="453"/>
      <c r="GW742" s="453"/>
      <c r="GX742" s="869"/>
      <c r="GY742" s="870"/>
      <c r="GZ742" s="867"/>
      <c r="HA742" s="868"/>
      <c r="HB742" s="473"/>
      <c r="HC742" s="869"/>
      <c r="HD742" s="870"/>
      <c r="HE742" s="867"/>
      <c r="HF742" s="868"/>
      <c r="HG742" s="473"/>
      <c r="HH742" s="867"/>
      <c r="HI742" s="868"/>
      <c r="HJ742" s="867"/>
      <c r="HK742" s="868"/>
      <c r="HL742" s="370"/>
      <c r="HM742" s="865"/>
      <c r="HN742" s="866"/>
      <c r="HO742" s="865"/>
      <c r="HP742" s="866"/>
      <c r="HQ742" s="865"/>
      <c r="HR742" s="866"/>
      <c r="HS742" s="867"/>
      <c r="HT742" s="868"/>
      <c r="HU742" s="489"/>
      <c r="HV742" s="865"/>
      <c r="HW742" s="866"/>
    </row>
    <row r="743" spans="25:231" ht="15" customHeight="1">
      <c r="Y743" s="332"/>
      <c r="Z743" s="332"/>
      <c r="AA743" s="332"/>
      <c r="AB743" s="332"/>
      <c r="AC743" s="332"/>
      <c r="AD743" s="332"/>
      <c r="AE743" s="332"/>
      <c r="AF743" s="332"/>
      <c r="AG743" s="332"/>
      <c r="AH743" s="332"/>
      <c r="AI743" s="332"/>
      <c r="AJ743" s="332"/>
      <c r="AK743" s="332"/>
      <c r="AL743" s="332"/>
      <c r="AM743" s="332"/>
      <c r="AN743" s="332"/>
      <c r="AO743" s="332"/>
      <c r="AP743" s="332"/>
      <c r="AQ743" s="332"/>
      <c r="AR743" s="332"/>
      <c r="AS743" s="332"/>
      <c r="AT743" s="332"/>
      <c r="AU743" s="332"/>
      <c r="AV743" s="332"/>
      <c r="AW743" s="332"/>
      <c r="AX743" s="332"/>
      <c r="AY743" s="332"/>
      <c r="AZ743" s="332"/>
      <c r="BA743" s="332"/>
      <c r="BB743" s="332"/>
      <c r="BC743" s="332"/>
      <c r="BD743" s="332"/>
      <c r="BE743" s="332"/>
      <c r="BF743" s="332"/>
      <c r="BG743" s="332"/>
      <c r="BH743" s="332"/>
      <c r="BI743" s="332"/>
      <c r="BJ743" s="332"/>
      <c r="BK743" s="332"/>
      <c r="BL743" s="332"/>
      <c r="BM743" s="332"/>
      <c r="BN743" s="332"/>
      <c r="BO743" s="332"/>
      <c r="BP743" s="332"/>
      <c r="BQ743" s="332"/>
      <c r="BR743" s="332"/>
      <c r="BS743" s="332"/>
      <c r="BT743" s="332"/>
      <c r="BU743" s="332"/>
      <c r="BV743" s="332"/>
      <c r="BW743" s="332"/>
      <c r="BX743" s="332"/>
      <c r="BY743" s="332"/>
      <c r="BZ743" s="332"/>
      <c r="CA743" s="332"/>
      <c r="CB743" s="332"/>
      <c r="CC743" s="332"/>
      <c r="CD743" s="332"/>
      <c r="CE743" s="332"/>
      <c r="CF743" s="332"/>
      <c r="CG743" s="332"/>
      <c r="CH743" s="332"/>
      <c r="CI743" s="332"/>
      <c r="CJ743" s="332"/>
      <c r="CK743" s="332"/>
      <c r="CL743" s="332"/>
      <c r="CM743" s="332"/>
      <c r="CN743" s="332"/>
      <c r="CO743" s="332"/>
      <c r="CP743" s="332"/>
      <c r="CQ743" s="332"/>
      <c r="CR743" s="332"/>
      <c r="CS743" s="332"/>
      <c r="CT743" s="332"/>
      <c r="CU743" s="332"/>
      <c r="CV743" s="332"/>
      <c r="CW743" s="332"/>
      <c r="CX743" s="332"/>
      <c r="CY743" s="332"/>
      <c r="CZ743" s="332"/>
      <c r="DA743" s="332"/>
      <c r="DB743" s="332"/>
      <c r="DC743" s="332"/>
      <c r="DD743" s="332"/>
      <c r="DE743" s="332"/>
      <c r="DF743" s="332"/>
      <c r="DG743" s="332"/>
      <c r="DH743" s="332"/>
      <c r="DI743" s="332"/>
      <c r="DJ743" s="332"/>
      <c r="DK743" s="332"/>
      <c r="DL743" s="332"/>
      <c r="DM743" s="332"/>
      <c r="DN743" s="332"/>
      <c r="DO743" s="332"/>
      <c r="DP743" s="332"/>
      <c r="DQ743" s="332"/>
      <c r="DR743" s="332"/>
      <c r="DS743" s="332"/>
      <c r="DT743" s="332"/>
      <c r="DU743" s="453"/>
      <c r="DV743" s="453"/>
      <c r="DW743" s="453"/>
      <c r="DX743" s="453"/>
      <c r="DY743" s="453"/>
      <c r="DZ743" s="453"/>
      <c r="EA743" s="453"/>
      <c r="EB743" s="453"/>
      <c r="EC743" s="453"/>
      <c r="ED743" s="453"/>
      <c r="EE743" s="453"/>
      <c r="EF743" s="453"/>
      <c r="EG743" s="453"/>
      <c r="EH743" s="453"/>
      <c r="EI743" s="453"/>
      <c r="EJ743" s="453"/>
      <c r="EK743" s="453"/>
      <c r="EL743" s="453"/>
      <c r="EM743" s="483">
        <f t="shared" si="230"/>
        <v>434</v>
      </c>
      <c r="EN743" s="485"/>
      <c r="EO743" s="458"/>
      <c r="EP743" s="467"/>
      <c r="EQ743" s="457"/>
      <c r="ER743" s="808"/>
      <c r="ES743" s="881">
        <f t="shared" si="231"/>
        <v>0</v>
      </c>
      <c r="ET743" s="882"/>
      <c r="EU743" s="883"/>
      <c r="EV743" s="884">
        <f t="shared" si="229"/>
        <v>0</v>
      </c>
      <c r="EW743" s="885"/>
      <c r="EX743" s="885"/>
      <c r="EY743" s="885"/>
      <c r="EZ743" s="885"/>
      <c r="FA743" s="885"/>
      <c r="FB743" s="885"/>
      <c r="FC743" s="885"/>
      <c r="FD743" s="886"/>
      <c r="FE743" s="878"/>
      <c r="FF743" s="878"/>
      <c r="FG743" s="878"/>
      <c r="FH743" s="878"/>
      <c r="FI743" s="878"/>
      <c r="FJ743" s="878"/>
      <c r="FK743" s="878"/>
      <c r="FL743" s="555"/>
      <c r="FM743" s="554"/>
      <c r="FN743" s="554"/>
      <c r="FO743" s="554"/>
      <c r="FP743" s="554"/>
      <c r="FQ743" s="554"/>
      <c r="FR743" s="554"/>
      <c r="FS743" s="554"/>
      <c r="FT743" s="554"/>
      <c r="FU743" s="554"/>
      <c r="FV743" s="554"/>
      <c r="FW743" s="554"/>
      <c r="FX743" s="554"/>
      <c r="FY743" s="554"/>
      <c r="FZ743" s="554"/>
      <c r="GA743" s="554"/>
      <c r="GB743" s="556"/>
      <c r="GC743" s="370"/>
      <c r="GD743" s="453"/>
      <c r="GE743" s="453"/>
      <c r="GF743" s="453"/>
      <c r="GG743" s="453"/>
      <c r="GH743" s="454"/>
      <c r="GI743" s="453"/>
      <c r="GJ743" s="453"/>
      <c r="GK743" s="453"/>
      <c r="GL743" s="453"/>
      <c r="GM743" s="453"/>
      <c r="GN743" s="453"/>
      <c r="GO743" s="453"/>
      <c r="GP743" s="453"/>
      <c r="GQ743" s="453"/>
      <c r="GR743" s="453"/>
      <c r="GS743" s="561"/>
      <c r="GT743" s="475"/>
      <c r="GU743" s="472"/>
      <c r="GV743" s="453"/>
      <c r="GW743" s="453"/>
      <c r="GX743" s="869"/>
      <c r="GY743" s="870"/>
      <c r="GZ743" s="867"/>
      <c r="HA743" s="868"/>
      <c r="HB743" s="473"/>
      <c r="HC743" s="869"/>
      <c r="HD743" s="870"/>
      <c r="HE743" s="867"/>
      <c r="HF743" s="868"/>
      <c r="HG743" s="473"/>
      <c r="HH743" s="867"/>
      <c r="HI743" s="868"/>
      <c r="HJ743" s="867"/>
      <c r="HK743" s="868"/>
      <c r="HL743" s="370"/>
      <c r="HM743" s="865"/>
      <c r="HN743" s="866"/>
      <c r="HO743" s="865"/>
      <c r="HP743" s="866"/>
      <c r="HQ743" s="865"/>
      <c r="HR743" s="866"/>
      <c r="HS743" s="867"/>
      <c r="HT743" s="868"/>
      <c r="HU743" s="489"/>
      <c r="HV743" s="865"/>
      <c r="HW743" s="866"/>
    </row>
    <row r="744" spans="25:231" ht="15" customHeight="1">
      <c r="Y744" s="332"/>
      <c r="Z744" s="332"/>
      <c r="AA744" s="332"/>
      <c r="AB744" s="332"/>
      <c r="AC744" s="332"/>
      <c r="AD744" s="332"/>
      <c r="AE744" s="332"/>
      <c r="AF744" s="332"/>
      <c r="AG744" s="332"/>
      <c r="AH744" s="332"/>
      <c r="AI744" s="332"/>
      <c r="AJ744" s="332"/>
      <c r="AK744" s="332"/>
      <c r="AL744" s="332"/>
      <c r="AM744" s="332"/>
      <c r="AN744" s="332"/>
      <c r="AO744" s="332"/>
      <c r="AP744" s="332"/>
      <c r="AQ744" s="332"/>
      <c r="AR744" s="332"/>
      <c r="AS744" s="332"/>
      <c r="AT744" s="332"/>
      <c r="AU744" s="332"/>
      <c r="AV744" s="332"/>
      <c r="AW744" s="332"/>
      <c r="AX744" s="332"/>
      <c r="AY744" s="332"/>
      <c r="AZ744" s="332"/>
      <c r="BA744" s="332"/>
      <c r="BB744" s="332"/>
      <c r="BC744" s="332"/>
      <c r="BD744" s="332"/>
      <c r="BE744" s="332"/>
      <c r="BF744" s="332"/>
      <c r="BG744" s="332"/>
      <c r="BH744" s="332"/>
      <c r="BI744" s="332"/>
      <c r="BJ744" s="332"/>
      <c r="BK744" s="332"/>
      <c r="BL744" s="332"/>
      <c r="BM744" s="332"/>
      <c r="BN744" s="332"/>
      <c r="BO744" s="332"/>
      <c r="BP744" s="332"/>
      <c r="BQ744" s="332"/>
      <c r="BR744" s="332"/>
      <c r="BS744" s="332"/>
      <c r="BT744" s="332"/>
      <c r="BU744" s="332"/>
      <c r="BV744" s="332"/>
      <c r="BW744" s="332"/>
      <c r="BX744" s="332"/>
      <c r="BY744" s="332"/>
      <c r="BZ744" s="332"/>
      <c r="CA744" s="332"/>
      <c r="CB744" s="332"/>
      <c r="CC744" s="332"/>
      <c r="CD744" s="332"/>
      <c r="CE744" s="332"/>
      <c r="CF744" s="332"/>
      <c r="CG744" s="332"/>
      <c r="CH744" s="332"/>
      <c r="CI744" s="332"/>
      <c r="CJ744" s="332"/>
      <c r="CK744" s="332"/>
      <c r="CL744" s="332"/>
      <c r="CM744" s="332"/>
      <c r="CN744" s="332"/>
      <c r="CO744" s="332"/>
      <c r="CP744" s="332"/>
      <c r="CQ744" s="332"/>
      <c r="CR744" s="332"/>
      <c r="CS744" s="332"/>
      <c r="CT744" s="332"/>
      <c r="CU744" s="332"/>
      <c r="CV744" s="332"/>
      <c r="CW744" s="332"/>
      <c r="CX744" s="332"/>
      <c r="CY744" s="332"/>
      <c r="CZ744" s="332"/>
      <c r="DA744" s="332"/>
      <c r="DB744" s="332"/>
      <c r="DC744" s="332"/>
      <c r="DD744" s="332"/>
      <c r="DE744" s="332"/>
      <c r="DF744" s="332"/>
      <c r="DG744" s="332"/>
      <c r="DH744" s="332"/>
      <c r="DI744" s="332"/>
      <c r="DJ744" s="332"/>
      <c r="DK744" s="332"/>
      <c r="DL744" s="332"/>
      <c r="DM744" s="332"/>
      <c r="DN744" s="332"/>
      <c r="DO744" s="332"/>
      <c r="DP744" s="332"/>
      <c r="DQ744" s="332"/>
      <c r="DR744" s="332"/>
      <c r="DS744" s="332"/>
      <c r="DT744" s="332"/>
      <c r="DU744" s="453"/>
      <c r="DV744" s="453"/>
      <c r="DW744" s="453"/>
      <c r="DX744" s="453"/>
      <c r="DY744" s="453"/>
      <c r="DZ744" s="453"/>
      <c r="EA744" s="453"/>
      <c r="EB744" s="453"/>
      <c r="EC744" s="453"/>
      <c r="ED744" s="453"/>
      <c r="EE744" s="453"/>
      <c r="EF744" s="453"/>
      <c r="EG744" s="453"/>
      <c r="EH744" s="453"/>
      <c r="EI744" s="453"/>
      <c r="EJ744" s="453"/>
      <c r="EK744" s="453"/>
      <c r="EL744" s="453"/>
      <c r="EM744" s="483">
        <f t="shared" si="230"/>
        <v>435</v>
      </c>
      <c r="EN744" s="485"/>
      <c r="EO744" s="458"/>
      <c r="EP744" s="467"/>
      <c r="EQ744" s="457"/>
      <c r="ER744" s="808"/>
      <c r="ES744" s="881">
        <f t="shared" si="231"/>
        <v>0</v>
      </c>
      <c r="ET744" s="882"/>
      <c r="EU744" s="883"/>
      <c r="EV744" s="884">
        <f t="shared" si="229"/>
        <v>0</v>
      </c>
      <c r="EW744" s="885"/>
      <c r="EX744" s="885"/>
      <c r="EY744" s="885"/>
      <c r="EZ744" s="885"/>
      <c r="FA744" s="885"/>
      <c r="FB744" s="885"/>
      <c r="FC744" s="885"/>
      <c r="FD744" s="886"/>
      <c r="FE744" s="878"/>
      <c r="FF744" s="878"/>
      <c r="FG744" s="878"/>
      <c r="FH744" s="878"/>
      <c r="FI744" s="878"/>
      <c r="FJ744" s="878"/>
      <c r="FK744" s="878"/>
      <c r="FL744" s="555"/>
      <c r="FM744" s="554"/>
      <c r="FN744" s="554"/>
      <c r="FO744" s="554"/>
      <c r="FP744" s="554"/>
      <c r="FQ744" s="554"/>
      <c r="FR744" s="554"/>
      <c r="FS744" s="554"/>
      <c r="FT744" s="554"/>
      <c r="FU744" s="554"/>
      <c r="FV744" s="554"/>
      <c r="FW744" s="554"/>
      <c r="FX744" s="554"/>
      <c r="FY744" s="554"/>
      <c r="FZ744" s="554"/>
      <c r="GA744" s="554"/>
      <c r="GB744" s="556"/>
      <c r="GC744" s="370"/>
      <c r="GD744" s="453"/>
      <c r="GE744" s="453"/>
      <c r="GF744" s="453"/>
      <c r="GG744" s="453"/>
      <c r="GH744" s="454"/>
      <c r="GI744" s="453"/>
      <c r="GJ744" s="453"/>
      <c r="GK744" s="453"/>
      <c r="GL744" s="453"/>
      <c r="GM744" s="453"/>
      <c r="GN744" s="453"/>
      <c r="GO744" s="453"/>
      <c r="GP744" s="453"/>
      <c r="GQ744" s="453"/>
      <c r="GR744" s="453"/>
      <c r="GS744" s="561"/>
      <c r="GT744" s="475"/>
      <c r="GU744" s="472"/>
      <c r="GV744" s="453"/>
      <c r="GW744" s="453"/>
      <c r="GX744" s="869"/>
      <c r="GY744" s="870"/>
      <c r="GZ744" s="867"/>
      <c r="HA744" s="868"/>
      <c r="HB744" s="473"/>
      <c r="HC744" s="869"/>
      <c r="HD744" s="870"/>
      <c r="HE744" s="867"/>
      <c r="HF744" s="868"/>
      <c r="HG744" s="473"/>
      <c r="HH744" s="867"/>
      <c r="HI744" s="868"/>
      <c r="HJ744" s="867"/>
      <c r="HK744" s="868"/>
      <c r="HL744" s="370"/>
      <c r="HM744" s="865"/>
      <c r="HN744" s="866"/>
      <c r="HO744" s="865"/>
      <c r="HP744" s="866"/>
      <c r="HQ744" s="865"/>
      <c r="HR744" s="866"/>
      <c r="HS744" s="867"/>
      <c r="HT744" s="868"/>
      <c r="HU744" s="489"/>
      <c r="HV744" s="865"/>
      <c r="HW744" s="866"/>
    </row>
    <row r="745" spans="25:231" ht="15" customHeight="1">
      <c r="Y745" s="332"/>
      <c r="Z745" s="332"/>
      <c r="AA745" s="332"/>
      <c r="AB745" s="332"/>
      <c r="AC745" s="332"/>
      <c r="AD745" s="332"/>
      <c r="AE745" s="332"/>
      <c r="AF745" s="332"/>
      <c r="AG745" s="332"/>
      <c r="AH745" s="332"/>
      <c r="AI745" s="332"/>
      <c r="AJ745" s="332"/>
      <c r="AK745" s="332"/>
      <c r="AL745" s="332"/>
      <c r="AM745" s="332"/>
      <c r="AN745" s="332"/>
      <c r="AO745" s="332"/>
      <c r="AP745" s="332"/>
      <c r="AQ745" s="332"/>
      <c r="AR745" s="332"/>
      <c r="AS745" s="332"/>
      <c r="AT745" s="332"/>
      <c r="AU745" s="332"/>
      <c r="AV745" s="332"/>
      <c r="AW745" s="332"/>
      <c r="AX745" s="332"/>
      <c r="AY745" s="332"/>
      <c r="AZ745" s="332"/>
      <c r="BA745" s="332"/>
      <c r="BB745" s="332"/>
      <c r="BC745" s="332"/>
      <c r="BD745" s="332"/>
      <c r="BE745" s="332"/>
      <c r="BF745" s="332"/>
      <c r="BG745" s="332"/>
      <c r="BH745" s="332"/>
      <c r="BI745" s="332"/>
      <c r="BJ745" s="332"/>
      <c r="BK745" s="332"/>
      <c r="BL745" s="332"/>
      <c r="BM745" s="332"/>
      <c r="BN745" s="332"/>
      <c r="BO745" s="332"/>
      <c r="BP745" s="332"/>
      <c r="BQ745" s="332"/>
      <c r="BR745" s="332"/>
      <c r="BS745" s="332"/>
      <c r="BT745" s="332"/>
      <c r="BU745" s="332"/>
      <c r="BV745" s="332"/>
      <c r="BW745" s="332"/>
      <c r="BX745" s="332"/>
      <c r="BY745" s="332"/>
      <c r="BZ745" s="332"/>
      <c r="CA745" s="332"/>
      <c r="CB745" s="332"/>
      <c r="CC745" s="332"/>
      <c r="CD745" s="332"/>
      <c r="CE745" s="332"/>
      <c r="CF745" s="332"/>
      <c r="CG745" s="332"/>
      <c r="CH745" s="332"/>
      <c r="CI745" s="332"/>
      <c r="CJ745" s="332"/>
      <c r="CK745" s="332"/>
      <c r="CL745" s="332"/>
      <c r="CM745" s="332"/>
      <c r="CN745" s="332"/>
      <c r="CO745" s="332"/>
      <c r="CP745" s="332"/>
      <c r="CQ745" s="332"/>
      <c r="CR745" s="332"/>
      <c r="CS745" s="332"/>
      <c r="CT745" s="332"/>
      <c r="CU745" s="332"/>
      <c r="CV745" s="332"/>
      <c r="CW745" s="332"/>
      <c r="CX745" s="332"/>
      <c r="CY745" s="332"/>
      <c r="CZ745" s="332"/>
      <c r="DA745" s="332"/>
      <c r="DB745" s="332"/>
      <c r="DC745" s="332"/>
      <c r="DD745" s="332"/>
      <c r="DE745" s="332"/>
      <c r="DF745" s="332"/>
      <c r="DG745" s="332"/>
      <c r="DH745" s="332"/>
      <c r="DI745" s="332"/>
      <c r="DJ745" s="332"/>
      <c r="DK745" s="332"/>
      <c r="DL745" s="332"/>
      <c r="DM745" s="332"/>
      <c r="DN745" s="332"/>
      <c r="DO745" s="332"/>
      <c r="DP745" s="332"/>
      <c r="DQ745" s="332"/>
      <c r="DR745" s="332"/>
      <c r="DS745" s="332"/>
      <c r="DT745" s="332"/>
      <c r="DU745" s="453"/>
      <c r="DV745" s="453"/>
      <c r="DW745" s="453"/>
      <c r="DX745" s="453"/>
      <c r="DY745" s="453"/>
      <c r="DZ745" s="453"/>
      <c r="EA745" s="453"/>
      <c r="EB745" s="453"/>
      <c r="EC745" s="453"/>
      <c r="ED745" s="453"/>
      <c r="EE745" s="453"/>
      <c r="EF745" s="453"/>
      <c r="EG745" s="453"/>
      <c r="EH745" s="453"/>
      <c r="EI745" s="453"/>
      <c r="EJ745" s="453"/>
      <c r="EK745" s="453"/>
      <c r="EL745" s="453"/>
      <c r="EM745" s="483">
        <f t="shared" si="230"/>
        <v>436</v>
      </c>
      <c r="EN745" s="485"/>
      <c r="EO745" s="458"/>
      <c r="EP745" s="467"/>
      <c r="EQ745" s="457"/>
      <c r="ER745" s="808"/>
      <c r="ES745" s="881">
        <f t="shared" si="231"/>
        <v>0</v>
      </c>
      <c r="ET745" s="882"/>
      <c r="EU745" s="883"/>
      <c r="EV745" s="884">
        <f t="shared" si="229"/>
        <v>0</v>
      </c>
      <c r="EW745" s="885"/>
      <c r="EX745" s="885"/>
      <c r="EY745" s="885"/>
      <c r="EZ745" s="885"/>
      <c r="FA745" s="885"/>
      <c r="FB745" s="885"/>
      <c r="FC745" s="885"/>
      <c r="FD745" s="886"/>
      <c r="FE745" s="878"/>
      <c r="FF745" s="878"/>
      <c r="FG745" s="878"/>
      <c r="FH745" s="878"/>
      <c r="FI745" s="878"/>
      <c r="FJ745" s="878"/>
      <c r="FK745" s="878"/>
      <c r="FL745" s="555"/>
      <c r="FM745" s="554"/>
      <c r="FN745" s="554"/>
      <c r="FO745" s="554"/>
      <c r="FP745" s="554"/>
      <c r="FQ745" s="554"/>
      <c r="FR745" s="554"/>
      <c r="FS745" s="554"/>
      <c r="FT745" s="554"/>
      <c r="FU745" s="554"/>
      <c r="FV745" s="554"/>
      <c r="FW745" s="554"/>
      <c r="FX745" s="554"/>
      <c r="FY745" s="554"/>
      <c r="FZ745" s="554"/>
      <c r="GA745" s="554"/>
      <c r="GB745" s="556"/>
      <c r="GC745" s="370"/>
      <c r="GD745" s="453"/>
      <c r="GE745" s="453"/>
      <c r="GF745" s="453"/>
      <c r="GG745" s="453"/>
      <c r="GH745" s="454"/>
      <c r="GI745" s="453"/>
      <c r="GJ745" s="453"/>
      <c r="GK745" s="453"/>
      <c r="GL745" s="453"/>
      <c r="GM745" s="453"/>
      <c r="GN745" s="453"/>
      <c r="GO745" s="453"/>
      <c r="GP745" s="453"/>
      <c r="GQ745" s="453"/>
      <c r="GR745" s="453"/>
      <c r="GS745" s="561"/>
      <c r="GT745" s="475"/>
      <c r="GU745" s="472"/>
      <c r="GV745" s="453"/>
      <c r="GW745" s="453"/>
      <c r="GX745" s="869"/>
      <c r="GY745" s="870"/>
      <c r="GZ745" s="867"/>
      <c r="HA745" s="868"/>
      <c r="HB745" s="473"/>
      <c r="HC745" s="869"/>
      <c r="HD745" s="870"/>
      <c r="HE745" s="867"/>
      <c r="HF745" s="868"/>
      <c r="HG745" s="473"/>
      <c r="HH745" s="867"/>
      <c r="HI745" s="868"/>
      <c r="HJ745" s="867"/>
      <c r="HK745" s="868"/>
      <c r="HL745" s="370"/>
      <c r="HM745" s="865"/>
      <c r="HN745" s="866"/>
      <c r="HO745" s="865"/>
      <c r="HP745" s="866"/>
      <c r="HQ745" s="865"/>
      <c r="HR745" s="866"/>
      <c r="HS745" s="867"/>
      <c r="HT745" s="868"/>
      <c r="HU745" s="489"/>
      <c r="HV745" s="865"/>
      <c r="HW745" s="866"/>
    </row>
    <row r="746" spans="25:231" ht="15" customHeight="1">
      <c r="Y746" s="332"/>
      <c r="Z746" s="332"/>
      <c r="AA746" s="332"/>
      <c r="AB746" s="332"/>
      <c r="AC746" s="332"/>
      <c r="AD746" s="332"/>
      <c r="AE746" s="332"/>
      <c r="AF746" s="332"/>
      <c r="AG746" s="332"/>
      <c r="AH746" s="332"/>
      <c r="AI746" s="332"/>
      <c r="AJ746" s="332"/>
      <c r="AK746" s="332"/>
      <c r="AL746" s="332"/>
      <c r="AM746" s="332"/>
      <c r="AN746" s="332"/>
      <c r="AO746" s="332"/>
      <c r="AP746" s="332"/>
      <c r="AQ746" s="332"/>
      <c r="AR746" s="332"/>
      <c r="AS746" s="332"/>
      <c r="AT746" s="332"/>
      <c r="AU746" s="332"/>
      <c r="AV746" s="332"/>
      <c r="AW746" s="332"/>
      <c r="AX746" s="332"/>
      <c r="AY746" s="332"/>
      <c r="AZ746" s="332"/>
      <c r="BA746" s="332"/>
      <c r="BB746" s="332"/>
      <c r="BC746" s="332"/>
      <c r="BD746" s="332"/>
      <c r="BE746" s="332"/>
      <c r="BF746" s="332"/>
      <c r="BG746" s="332"/>
      <c r="BH746" s="332"/>
      <c r="BI746" s="332"/>
      <c r="BJ746" s="332"/>
      <c r="BK746" s="332"/>
      <c r="BL746" s="332"/>
      <c r="BM746" s="332"/>
      <c r="BN746" s="332"/>
      <c r="BO746" s="332"/>
      <c r="BP746" s="332"/>
      <c r="BQ746" s="332"/>
      <c r="BR746" s="332"/>
      <c r="BS746" s="332"/>
      <c r="BT746" s="332"/>
      <c r="BU746" s="332"/>
      <c r="BV746" s="332"/>
      <c r="BW746" s="332"/>
      <c r="BX746" s="332"/>
      <c r="BY746" s="332"/>
      <c r="BZ746" s="332"/>
      <c r="CA746" s="332"/>
      <c r="CB746" s="332"/>
      <c r="CC746" s="332"/>
      <c r="CD746" s="332"/>
      <c r="CE746" s="332"/>
      <c r="CF746" s="332"/>
      <c r="CG746" s="332"/>
      <c r="CH746" s="332"/>
      <c r="CI746" s="332"/>
      <c r="CJ746" s="332"/>
      <c r="CK746" s="332"/>
      <c r="CL746" s="332"/>
      <c r="CM746" s="332"/>
      <c r="CN746" s="332"/>
      <c r="CO746" s="332"/>
      <c r="CP746" s="332"/>
      <c r="CQ746" s="332"/>
      <c r="CR746" s="332"/>
      <c r="CS746" s="332"/>
      <c r="CT746" s="332"/>
      <c r="CU746" s="332"/>
      <c r="CV746" s="332"/>
      <c r="CW746" s="332"/>
      <c r="CX746" s="332"/>
      <c r="CY746" s="332"/>
      <c r="CZ746" s="332"/>
      <c r="DA746" s="332"/>
      <c r="DB746" s="332"/>
      <c r="DC746" s="332"/>
      <c r="DD746" s="332"/>
      <c r="DE746" s="332"/>
      <c r="DF746" s="332"/>
      <c r="DG746" s="332"/>
      <c r="DH746" s="332"/>
      <c r="DI746" s="332"/>
      <c r="DJ746" s="332"/>
      <c r="DK746" s="332"/>
      <c r="DL746" s="332"/>
      <c r="DM746" s="332"/>
      <c r="DN746" s="332"/>
      <c r="DO746" s="332"/>
      <c r="DP746" s="332"/>
      <c r="DQ746" s="332"/>
      <c r="DR746" s="332"/>
      <c r="DS746" s="332"/>
      <c r="DT746" s="332"/>
      <c r="DU746" s="453"/>
      <c r="DV746" s="453"/>
      <c r="DW746" s="453"/>
      <c r="DX746" s="453"/>
      <c r="DY746" s="453"/>
      <c r="DZ746" s="453"/>
      <c r="EA746" s="453"/>
      <c r="EB746" s="453"/>
      <c r="EC746" s="453"/>
      <c r="ED746" s="453"/>
      <c r="EE746" s="453"/>
      <c r="EF746" s="453"/>
      <c r="EG746" s="453"/>
      <c r="EH746" s="453"/>
      <c r="EI746" s="453"/>
      <c r="EJ746" s="453"/>
      <c r="EK746" s="453"/>
      <c r="EL746" s="453"/>
      <c r="EM746" s="483">
        <f t="shared" si="230"/>
        <v>437</v>
      </c>
      <c r="EN746" s="485"/>
      <c r="EO746" s="458"/>
      <c r="EP746" s="467"/>
      <c r="EQ746" s="457"/>
      <c r="ER746" s="808"/>
      <c r="ES746" s="881">
        <f t="shared" si="231"/>
        <v>0</v>
      </c>
      <c r="ET746" s="882"/>
      <c r="EU746" s="883"/>
      <c r="EV746" s="884">
        <f t="shared" si="229"/>
        <v>0</v>
      </c>
      <c r="EW746" s="885"/>
      <c r="EX746" s="885"/>
      <c r="EY746" s="885"/>
      <c r="EZ746" s="885"/>
      <c r="FA746" s="885"/>
      <c r="FB746" s="885"/>
      <c r="FC746" s="885"/>
      <c r="FD746" s="886"/>
      <c r="FE746" s="878"/>
      <c r="FF746" s="878"/>
      <c r="FG746" s="878"/>
      <c r="FH746" s="878"/>
      <c r="FI746" s="878"/>
      <c r="FJ746" s="878"/>
      <c r="FK746" s="878"/>
      <c r="FL746" s="555"/>
      <c r="FM746" s="554"/>
      <c r="FN746" s="554"/>
      <c r="FO746" s="554"/>
      <c r="FP746" s="554"/>
      <c r="FQ746" s="554"/>
      <c r="FR746" s="554"/>
      <c r="FS746" s="554"/>
      <c r="FT746" s="554"/>
      <c r="FU746" s="554"/>
      <c r="FV746" s="554"/>
      <c r="FW746" s="554"/>
      <c r="FX746" s="554"/>
      <c r="FY746" s="554"/>
      <c r="FZ746" s="554"/>
      <c r="GA746" s="554"/>
      <c r="GB746" s="556"/>
      <c r="GC746" s="370"/>
      <c r="GD746" s="453"/>
      <c r="GE746" s="453"/>
      <c r="GF746" s="453"/>
      <c r="GG746" s="453"/>
      <c r="GH746" s="454"/>
      <c r="GI746" s="453"/>
      <c r="GJ746" s="453"/>
      <c r="GK746" s="453"/>
      <c r="GL746" s="453"/>
      <c r="GM746" s="453"/>
      <c r="GN746" s="453"/>
      <c r="GO746" s="453"/>
      <c r="GP746" s="453"/>
      <c r="GQ746" s="453"/>
      <c r="GR746" s="453"/>
      <c r="GS746" s="561"/>
      <c r="GT746" s="475"/>
      <c r="GU746" s="472"/>
      <c r="GV746" s="453"/>
      <c r="GW746" s="453"/>
      <c r="GX746" s="869"/>
      <c r="GY746" s="870"/>
      <c r="GZ746" s="867"/>
      <c r="HA746" s="868"/>
      <c r="HB746" s="473"/>
      <c r="HC746" s="869"/>
      <c r="HD746" s="870"/>
      <c r="HE746" s="867"/>
      <c r="HF746" s="868"/>
      <c r="HG746" s="473"/>
      <c r="HH746" s="867"/>
      <c r="HI746" s="868"/>
      <c r="HJ746" s="867"/>
      <c r="HK746" s="868"/>
      <c r="HL746" s="370"/>
      <c r="HM746" s="865"/>
      <c r="HN746" s="866"/>
      <c r="HO746" s="865"/>
      <c r="HP746" s="866"/>
      <c r="HQ746" s="865"/>
      <c r="HR746" s="866"/>
      <c r="HS746" s="867"/>
      <c r="HT746" s="868"/>
      <c r="HU746" s="489"/>
      <c r="HV746" s="865"/>
      <c r="HW746" s="866"/>
    </row>
    <row r="747" spans="25:231" ht="15" customHeight="1">
      <c r="Y747" s="332"/>
      <c r="Z747" s="332"/>
      <c r="AA747" s="332"/>
      <c r="AB747" s="332"/>
      <c r="AC747" s="332"/>
      <c r="AD747" s="332"/>
      <c r="AE747" s="332"/>
      <c r="AF747" s="332"/>
      <c r="AG747" s="332"/>
      <c r="AH747" s="332"/>
      <c r="AI747" s="332"/>
      <c r="AJ747" s="332"/>
      <c r="AK747" s="332"/>
      <c r="AL747" s="332"/>
      <c r="AM747" s="332"/>
      <c r="AN747" s="332"/>
      <c r="AO747" s="332"/>
      <c r="AP747" s="332"/>
      <c r="AQ747" s="332"/>
      <c r="AR747" s="332"/>
      <c r="AS747" s="332"/>
      <c r="AT747" s="332"/>
      <c r="AU747" s="332"/>
      <c r="AV747" s="332"/>
      <c r="AW747" s="332"/>
      <c r="AX747" s="332"/>
      <c r="AY747" s="332"/>
      <c r="AZ747" s="332"/>
      <c r="BA747" s="332"/>
      <c r="BB747" s="332"/>
      <c r="BC747" s="332"/>
      <c r="BD747" s="332"/>
      <c r="BE747" s="332"/>
      <c r="BF747" s="332"/>
      <c r="BG747" s="332"/>
      <c r="BH747" s="332"/>
      <c r="BI747" s="332"/>
      <c r="BJ747" s="332"/>
      <c r="BK747" s="332"/>
      <c r="BL747" s="332"/>
      <c r="BM747" s="332"/>
      <c r="BN747" s="332"/>
      <c r="BO747" s="332"/>
      <c r="BP747" s="332"/>
      <c r="BQ747" s="332"/>
      <c r="BR747" s="332"/>
      <c r="BS747" s="332"/>
      <c r="BT747" s="332"/>
      <c r="BU747" s="332"/>
      <c r="BV747" s="332"/>
      <c r="BW747" s="332"/>
      <c r="BX747" s="332"/>
      <c r="BY747" s="332"/>
      <c r="BZ747" s="332"/>
      <c r="CA747" s="332"/>
      <c r="CB747" s="332"/>
      <c r="CC747" s="332"/>
      <c r="CD747" s="332"/>
      <c r="CE747" s="332"/>
      <c r="CF747" s="332"/>
      <c r="CG747" s="332"/>
      <c r="CH747" s="332"/>
      <c r="CI747" s="332"/>
      <c r="CJ747" s="332"/>
      <c r="CK747" s="332"/>
      <c r="CL747" s="332"/>
      <c r="CM747" s="332"/>
      <c r="CN747" s="332"/>
      <c r="CO747" s="332"/>
      <c r="CP747" s="332"/>
      <c r="CQ747" s="332"/>
      <c r="CR747" s="332"/>
      <c r="CS747" s="332"/>
      <c r="CT747" s="332"/>
      <c r="CU747" s="332"/>
      <c r="CV747" s="332"/>
      <c r="CW747" s="332"/>
      <c r="CX747" s="332"/>
      <c r="CY747" s="332"/>
      <c r="CZ747" s="332"/>
      <c r="DA747" s="332"/>
      <c r="DB747" s="332"/>
      <c r="DC747" s="332"/>
      <c r="DD747" s="332"/>
      <c r="DE747" s="332"/>
      <c r="DF747" s="332"/>
      <c r="DG747" s="332"/>
      <c r="DH747" s="332"/>
      <c r="DI747" s="332"/>
      <c r="DJ747" s="332"/>
      <c r="DK747" s="332"/>
      <c r="DL747" s="332"/>
      <c r="DM747" s="332"/>
      <c r="DN747" s="332"/>
      <c r="DO747" s="332"/>
      <c r="DP747" s="332"/>
      <c r="DQ747" s="332"/>
      <c r="DR747" s="332"/>
      <c r="DS747" s="332"/>
      <c r="DT747" s="332"/>
      <c r="DU747" s="453"/>
      <c r="DV747" s="453"/>
      <c r="DW747" s="453"/>
      <c r="DX747" s="453"/>
      <c r="DY747" s="453"/>
      <c r="DZ747" s="453"/>
      <c r="EA747" s="453"/>
      <c r="EB747" s="453"/>
      <c r="EC747" s="453"/>
      <c r="ED747" s="453"/>
      <c r="EE747" s="453"/>
      <c r="EF747" s="453"/>
      <c r="EG747" s="453"/>
      <c r="EH747" s="453"/>
      <c r="EI747" s="453"/>
      <c r="EJ747" s="453"/>
      <c r="EK747" s="453"/>
      <c r="EL747" s="453"/>
      <c r="EM747" s="483">
        <f t="shared" si="230"/>
        <v>438</v>
      </c>
      <c r="EN747" s="485"/>
      <c r="EO747" s="458"/>
      <c r="EP747" s="467"/>
      <c r="EQ747" s="457"/>
      <c r="ER747" s="808"/>
      <c r="ES747" s="881">
        <f t="shared" si="231"/>
        <v>0</v>
      </c>
      <c r="ET747" s="882"/>
      <c r="EU747" s="883"/>
      <c r="EV747" s="884">
        <f t="shared" si="229"/>
        <v>0</v>
      </c>
      <c r="EW747" s="885"/>
      <c r="EX747" s="885"/>
      <c r="EY747" s="885"/>
      <c r="EZ747" s="885"/>
      <c r="FA747" s="885"/>
      <c r="FB747" s="885"/>
      <c r="FC747" s="885"/>
      <c r="FD747" s="886"/>
      <c r="FE747" s="878"/>
      <c r="FF747" s="878"/>
      <c r="FG747" s="878"/>
      <c r="FH747" s="878"/>
      <c r="FI747" s="878"/>
      <c r="FJ747" s="878"/>
      <c r="FK747" s="878"/>
      <c r="FL747" s="555"/>
      <c r="FM747" s="554"/>
      <c r="FN747" s="554"/>
      <c r="FO747" s="554"/>
      <c r="FP747" s="554"/>
      <c r="FQ747" s="554"/>
      <c r="FR747" s="554"/>
      <c r="FS747" s="554"/>
      <c r="FT747" s="554"/>
      <c r="FU747" s="554"/>
      <c r="FV747" s="554"/>
      <c r="FW747" s="554"/>
      <c r="FX747" s="554"/>
      <c r="FY747" s="554"/>
      <c r="FZ747" s="554"/>
      <c r="GA747" s="554"/>
      <c r="GB747" s="556"/>
      <c r="GC747" s="370"/>
      <c r="GD747" s="453"/>
      <c r="GE747" s="453"/>
      <c r="GF747" s="453"/>
      <c r="GG747" s="453"/>
      <c r="GH747" s="454"/>
      <c r="GI747" s="453"/>
      <c r="GJ747" s="453"/>
      <c r="GK747" s="453"/>
      <c r="GL747" s="453"/>
      <c r="GM747" s="453"/>
      <c r="GN747" s="453"/>
      <c r="GO747" s="453"/>
      <c r="GP747" s="453"/>
      <c r="GQ747" s="453"/>
      <c r="GR747" s="453"/>
      <c r="GS747" s="561"/>
      <c r="GT747" s="475"/>
      <c r="GU747" s="472"/>
      <c r="GV747" s="453"/>
      <c r="GW747" s="453"/>
      <c r="GX747" s="869"/>
      <c r="GY747" s="870"/>
      <c r="GZ747" s="867"/>
      <c r="HA747" s="868"/>
      <c r="HB747" s="473"/>
      <c r="HC747" s="869"/>
      <c r="HD747" s="870"/>
      <c r="HE747" s="867"/>
      <c r="HF747" s="868"/>
      <c r="HG747" s="473"/>
      <c r="HH747" s="867"/>
      <c r="HI747" s="868"/>
      <c r="HJ747" s="867"/>
      <c r="HK747" s="868"/>
      <c r="HL747" s="370"/>
      <c r="HM747" s="865"/>
      <c r="HN747" s="866"/>
      <c r="HO747" s="865"/>
      <c r="HP747" s="866"/>
      <c r="HQ747" s="865"/>
      <c r="HR747" s="866"/>
      <c r="HS747" s="867"/>
      <c r="HT747" s="868"/>
      <c r="HU747" s="489"/>
      <c r="HV747" s="865"/>
      <c r="HW747" s="866"/>
    </row>
    <row r="748" spans="25:231" ht="15" customHeight="1">
      <c r="Y748" s="332"/>
      <c r="Z748" s="332"/>
      <c r="AA748" s="332"/>
      <c r="AB748" s="332"/>
      <c r="AC748" s="332"/>
      <c r="AD748" s="332"/>
      <c r="AE748" s="332"/>
      <c r="AF748" s="332"/>
      <c r="AG748" s="332"/>
      <c r="AH748" s="332"/>
      <c r="AI748" s="332"/>
      <c r="AJ748" s="332"/>
      <c r="AK748" s="332"/>
      <c r="AL748" s="332"/>
      <c r="AM748" s="332"/>
      <c r="AN748" s="332"/>
      <c r="AO748" s="332"/>
      <c r="AP748" s="332"/>
      <c r="AQ748" s="332"/>
      <c r="AR748" s="332"/>
      <c r="AS748" s="332"/>
      <c r="AT748" s="332"/>
      <c r="AU748" s="332"/>
      <c r="AV748" s="332"/>
      <c r="AW748" s="332"/>
      <c r="AX748" s="332"/>
      <c r="AY748" s="332"/>
      <c r="AZ748" s="332"/>
      <c r="BA748" s="332"/>
      <c r="BB748" s="332"/>
      <c r="BC748" s="332"/>
      <c r="BD748" s="332"/>
      <c r="BE748" s="332"/>
      <c r="BF748" s="332"/>
      <c r="BG748" s="332"/>
      <c r="BH748" s="332"/>
      <c r="BI748" s="332"/>
      <c r="BJ748" s="332"/>
      <c r="BK748" s="332"/>
      <c r="BL748" s="332"/>
      <c r="BM748" s="332"/>
      <c r="BN748" s="332"/>
      <c r="BO748" s="332"/>
      <c r="BP748" s="332"/>
      <c r="BQ748" s="332"/>
      <c r="BR748" s="332"/>
      <c r="BS748" s="332"/>
      <c r="BT748" s="332"/>
      <c r="BU748" s="332"/>
      <c r="BV748" s="332"/>
      <c r="BW748" s="332"/>
      <c r="BX748" s="332"/>
      <c r="BY748" s="332"/>
      <c r="BZ748" s="332"/>
      <c r="CA748" s="332"/>
      <c r="CB748" s="332"/>
      <c r="CC748" s="332"/>
      <c r="CD748" s="332"/>
      <c r="CE748" s="332"/>
      <c r="CF748" s="332"/>
      <c r="CG748" s="332"/>
      <c r="CH748" s="332"/>
      <c r="CI748" s="332"/>
      <c r="CJ748" s="332"/>
      <c r="CK748" s="332"/>
      <c r="CL748" s="332"/>
      <c r="CM748" s="332"/>
      <c r="CN748" s="332"/>
      <c r="CO748" s="332"/>
      <c r="CP748" s="332"/>
      <c r="CQ748" s="332"/>
      <c r="CR748" s="332"/>
      <c r="CS748" s="332"/>
      <c r="CT748" s="332"/>
      <c r="CU748" s="332"/>
      <c r="CV748" s="332"/>
      <c r="CW748" s="332"/>
      <c r="CX748" s="332"/>
      <c r="CY748" s="332"/>
      <c r="CZ748" s="332"/>
      <c r="DA748" s="332"/>
      <c r="DB748" s="332"/>
      <c r="DC748" s="332"/>
      <c r="DD748" s="332"/>
      <c r="DE748" s="332"/>
      <c r="DF748" s="332"/>
      <c r="DG748" s="332"/>
      <c r="DH748" s="332"/>
      <c r="DI748" s="332"/>
      <c r="DJ748" s="332"/>
      <c r="DK748" s="332"/>
      <c r="DL748" s="332"/>
      <c r="DM748" s="332"/>
      <c r="DN748" s="332"/>
      <c r="DO748" s="332"/>
      <c r="DP748" s="332"/>
      <c r="DQ748" s="332"/>
      <c r="DR748" s="332"/>
      <c r="DS748" s="332"/>
      <c r="DT748" s="332"/>
      <c r="DU748" s="453"/>
      <c r="DV748" s="453"/>
      <c r="DW748" s="453"/>
      <c r="DX748" s="453"/>
      <c r="DY748" s="453"/>
      <c r="DZ748" s="453"/>
      <c r="EA748" s="453"/>
      <c r="EB748" s="453"/>
      <c r="EC748" s="453"/>
      <c r="ED748" s="453"/>
      <c r="EE748" s="453"/>
      <c r="EF748" s="453"/>
      <c r="EG748" s="453"/>
      <c r="EH748" s="453"/>
      <c r="EI748" s="453"/>
      <c r="EJ748" s="453"/>
      <c r="EK748" s="453"/>
      <c r="EL748" s="453"/>
      <c r="EM748" s="483">
        <f t="shared" si="230"/>
        <v>439</v>
      </c>
      <c r="EN748" s="485"/>
      <c r="EO748" s="458"/>
      <c r="EP748" s="467"/>
      <c r="EQ748" s="457"/>
      <c r="ER748" s="808"/>
      <c r="ES748" s="881">
        <f t="shared" si="231"/>
        <v>0</v>
      </c>
      <c r="ET748" s="882"/>
      <c r="EU748" s="883"/>
      <c r="EV748" s="884">
        <f t="shared" si="229"/>
        <v>0</v>
      </c>
      <c r="EW748" s="885"/>
      <c r="EX748" s="885"/>
      <c r="EY748" s="885"/>
      <c r="EZ748" s="885"/>
      <c r="FA748" s="885"/>
      <c r="FB748" s="885"/>
      <c r="FC748" s="885"/>
      <c r="FD748" s="886"/>
      <c r="FE748" s="878"/>
      <c r="FF748" s="878"/>
      <c r="FG748" s="878"/>
      <c r="FH748" s="878"/>
      <c r="FI748" s="878"/>
      <c r="FJ748" s="878"/>
      <c r="FK748" s="878"/>
      <c r="FL748" s="555"/>
      <c r="FM748" s="554"/>
      <c r="FN748" s="554"/>
      <c r="FO748" s="554"/>
      <c r="FP748" s="554"/>
      <c r="FQ748" s="554"/>
      <c r="FR748" s="554"/>
      <c r="FS748" s="554"/>
      <c r="FT748" s="554"/>
      <c r="FU748" s="554"/>
      <c r="FV748" s="554"/>
      <c r="FW748" s="554"/>
      <c r="FX748" s="554"/>
      <c r="FY748" s="554"/>
      <c r="FZ748" s="554"/>
      <c r="GA748" s="554"/>
      <c r="GB748" s="556"/>
      <c r="GC748" s="370"/>
      <c r="GD748" s="453"/>
      <c r="GE748" s="453"/>
      <c r="GF748" s="453"/>
      <c r="GG748" s="453"/>
      <c r="GH748" s="454"/>
      <c r="GI748" s="453"/>
      <c r="GJ748" s="453"/>
      <c r="GK748" s="453"/>
      <c r="GL748" s="453"/>
      <c r="GM748" s="453"/>
      <c r="GN748" s="453"/>
      <c r="GO748" s="453"/>
      <c r="GP748" s="453"/>
      <c r="GQ748" s="453"/>
      <c r="GR748" s="453"/>
      <c r="GS748" s="561"/>
      <c r="GT748" s="475"/>
      <c r="GU748" s="472"/>
      <c r="GV748" s="453"/>
      <c r="GW748" s="453"/>
      <c r="GX748" s="869"/>
      <c r="GY748" s="870"/>
      <c r="GZ748" s="867"/>
      <c r="HA748" s="868"/>
      <c r="HB748" s="473"/>
      <c r="HC748" s="869"/>
      <c r="HD748" s="870"/>
      <c r="HE748" s="867"/>
      <c r="HF748" s="868"/>
      <c r="HG748" s="473"/>
      <c r="HH748" s="867"/>
      <c r="HI748" s="868"/>
      <c r="HJ748" s="867"/>
      <c r="HK748" s="868"/>
      <c r="HL748" s="370"/>
      <c r="HM748" s="865"/>
      <c r="HN748" s="866"/>
      <c r="HO748" s="865"/>
      <c r="HP748" s="866"/>
      <c r="HQ748" s="865"/>
      <c r="HR748" s="866"/>
      <c r="HS748" s="867"/>
      <c r="HT748" s="868"/>
      <c r="HU748" s="489"/>
      <c r="HV748" s="865"/>
      <c r="HW748" s="866"/>
    </row>
    <row r="749" spans="25:231" ht="15" customHeight="1">
      <c r="Y749" s="332"/>
      <c r="Z749" s="332"/>
      <c r="AA749" s="332"/>
      <c r="AB749" s="332"/>
      <c r="AC749" s="332"/>
      <c r="AD749" s="332"/>
      <c r="AE749" s="332"/>
      <c r="AF749" s="332"/>
      <c r="AG749" s="332"/>
      <c r="AH749" s="332"/>
      <c r="AI749" s="332"/>
      <c r="AJ749" s="332"/>
      <c r="AK749" s="332"/>
      <c r="AL749" s="332"/>
      <c r="AM749" s="332"/>
      <c r="AN749" s="332"/>
      <c r="AO749" s="332"/>
      <c r="AP749" s="332"/>
      <c r="AQ749" s="332"/>
      <c r="AR749" s="332"/>
      <c r="AS749" s="332"/>
      <c r="AT749" s="332"/>
      <c r="AU749" s="332"/>
      <c r="AV749" s="332"/>
      <c r="AW749" s="332"/>
      <c r="AX749" s="332"/>
      <c r="AY749" s="332"/>
      <c r="AZ749" s="332"/>
      <c r="BA749" s="332"/>
      <c r="BB749" s="332"/>
      <c r="BC749" s="332"/>
      <c r="BD749" s="332"/>
      <c r="BE749" s="332"/>
      <c r="BF749" s="332"/>
      <c r="BG749" s="332"/>
      <c r="BH749" s="332"/>
      <c r="BI749" s="332"/>
      <c r="BJ749" s="332"/>
      <c r="BK749" s="332"/>
      <c r="BL749" s="332"/>
      <c r="BM749" s="332"/>
      <c r="BN749" s="332"/>
      <c r="BO749" s="332"/>
      <c r="BP749" s="332"/>
      <c r="BQ749" s="332"/>
      <c r="BR749" s="332"/>
      <c r="BS749" s="332"/>
      <c r="BT749" s="332"/>
      <c r="BU749" s="332"/>
      <c r="BV749" s="332"/>
      <c r="BW749" s="332"/>
      <c r="BX749" s="332"/>
      <c r="BY749" s="332"/>
      <c r="BZ749" s="332"/>
      <c r="CA749" s="332"/>
      <c r="CB749" s="332"/>
      <c r="CC749" s="332"/>
      <c r="CD749" s="332"/>
      <c r="CE749" s="332"/>
      <c r="CF749" s="332"/>
      <c r="CG749" s="332"/>
      <c r="CH749" s="332"/>
      <c r="CI749" s="332"/>
      <c r="CJ749" s="332"/>
      <c r="CK749" s="332"/>
      <c r="CL749" s="332"/>
      <c r="CM749" s="332"/>
      <c r="CN749" s="332"/>
      <c r="CO749" s="332"/>
      <c r="CP749" s="332"/>
      <c r="CQ749" s="332"/>
      <c r="CR749" s="332"/>
      <c r="CS749" s="332"/>
      <c r="CT749" s="332"/>
      <c r="CU749" s="332"/>
      <c r="CV749" s="332"/>
      <c r="CW749" s="332"/>
      <c r="CX749" s="332"/>
      <c r="CY749" s="332"/>
      <c r="CZ749" s="332"/>
      <c r="DA749" s="332"/>
      <c r="DB749" s="332"/>
      <c r="DC749" s="332"/>
      <c r="DD749" s="332"/>
      <c r="DE749" s="332"/>
      <c r="DF749" s="332"/>
      <c r="DG749" s="332"/>
      <c r="DH749" s="332"/>
      <c r="DI749" s="332"/>
      <c r="DJ749" s="332"/>
      <c r="DK749" s="332"/>
      <c r="DL749" s="332"/>
      <c r="DM749" s="332"/>
      <c r="DN749" s="332"/>
      <c r="DO749" s="332"/>
      <c r="DP749" s="332"/>
      <c r="DQ749" s="332"/>
      <c r="DR749" s="332"/>
      <c r="DS749" s="332"/>
      <c r="DT749" s="332"/>
      <c r="DU749" s="453"/>
      <c r="DV749" s="453"/>
      <c r="DW749" s="453"/>
      <c r="DX749" s="453"/>
      <c r="DY749" s="453"/>
      <c r="DZ749" s="453"/>
      <c r="EA749" s="453"/>
      <c r="EB749" s="453"/>
      <c r="EC749" s="453"/>
      <c r="ED749" s="453"/>
      <c r="EE749" s="453"/>
      <c r="EF749" s="453"/>
      <c r="EG749" s="453"/>
      <c r="EH749" s="453"/>
      <c r="EI749" s="453"/>
      <c r="EJ749" s="453"/>
      <c r="EK749" s="453"/>
      <c r="EL749" s="453"/>
      <c r="EM749" s="483">
        <f t="shared" si="230"/>
        <v>440</v>
      </c>
      <c r="EN749" s="485"/>
      <c r="EO749" s="458"/>
      <c r="EP749" s="467"/>
      <c r="EQ749" s="457"/>
      <c r="ER749" s="808"/>
      <c r="ES749" s="881">
        <f t="shared" si="231"/>
        <v>0</v>
      </c>
      <c r="ET749" s="882"/>
      <c r="EU749" s="883"/>
      <c r="EV749" s="884">
        <f t="shared" si="229"/>
        <v>0</v>
      </c>
      <c r="EW749" s="885"/>
      <c r="EX749" s="885"/>
      <c r="EY749" s="885"/>
      <c r="EZ749" s="885"/>
      <c r="FA749" s="885"/>
      <c r="FB749" s="885"/>
      <c r="FC749" s="885"/>
      <c r="FD749" s="886"/>
      <c r="FE749" s="878"/>
      <c r="FF749" s="878"/>
      <c r="FG749" s="878"/>
      <c r="FH749" s="878"/>
      <c r="FI749" s="878"/>
      <c r="FJ749" s="878"/>
      <c r="FK749" s="878"/>
      <c r="FL749" s="555"/>
      <c r="FM749" s="554"/>
      <c r="FN749" s="554"/>
      <c r="FO749" s="554"/>
      <c r="FP749" s="554"/>
      <c r="FQ749" s="554"/>
      <c r="FR749" s="554"/>
      <c r="FS749" s="554"/>
      <c r="FT749" s="554"/>
      <c r="FU749" s="554"/>
      <c r="FV749" s="554"/>
      <c r="FW749" s="554"/>
      <c r="FX749" s="554"/>
      <c r="FY749" s="554"/>
      <c r="FZ749" s="554"/>
      <c r="GA749" s="554"/>
      <c r="GB749" s="556"/>
      <c r="GC749" s="370"/>
      <c r="GD749" s="453"/>
      <c r="GE749" s="453"/>
      <c r="GF749" s="453"/>
      <c r="GG749" s="453"/>
      <c r="GH749" s="454"/>
      <c r="GI749" s="453"/>
      <c r="GJ749" s="453"/>
      <c r="GK749" s="453"/>
      <c r="GL749" s="453"/>
      <c r="GM749" s="453"/>
      <c r="GN749" s="453"/>
      <c r="GO749" s="453"/>
      <c r="GP749" s="453"/>
      <c r="GQ749" s="453"/>
      <c r="GR749" s="453"/>
      <c r="GS749" s="561"/>
      <c r="GT749" s="475"/>
      <c r="GU749" s="472"/>
      <c r="GV749" s="453"/>
      <c r="GW749" s="453"/>
      <c r="GX749" s="869"/>
      <c r="GY749" s="870"/>
      <c r="GZ749" s="867"/>
      <c r="HA749" s="868"/>
      <c r="HB749" s="473"/>
      <c r="HC749" s="869"/>
      <c r="HD749" s="870"/>
      <c r="HE749" s="867"/>
      <c r="HF749" s="868"/>
      <c r="HG749" s="473"/>
      <c r="HH749" s="867"/>
      <c r="HI749" s="868"/>
      <c r="HJ749" s="867"/>
      <c r="HK749" s="868"/>
      <c r="HL749" s="370"/>
      <c r="HM749" s="865"/>
      <c r="HN749" s="866"/>
      <c r="HO749" s="865"/>
      <c r="HP749" s="866"/>
      <c r="HQ749" s="865"/>
      <c r="HR749" s="866"/>
      <c r="HS749" s="867"/>
      <c r="HT749" s="868"/>
      <c r="HU749" s="489"/>
      <c r="HV749" s="865"/>
      <c r="HW749" s="866"/>
    </row>
    <row r="750" spans="25:231" ht="15" customHeight="1">
      <c r="Y750" s="332"/>
      <c r="Z750" s="332"/>
      <c r="AA750" s="332"/>
      <c r="AB750" s="332"/>
      <c r="AC750" s="332"/>
      <c r="AD750" s="332"/>
      <c r="AE750" s="332"/>
      <c r="AF750" s="332"/>
      <c r="AG750" s="332"/>
      <c r="AH750" s="332"/>
      <c r="AI750" s="332"/>
      <c r="AJ750" s="332"/>
      <c r="AK750" s="332"/>
      <c r="AL750" s="332"/>
      <c r="AM750" s="332"/>
      <c r="AN750" s="332"/>
      <c r="AO750" s="332"/>
      <c r="AP750" s="332"/>
      <c r="AQ750" s="332"/>
      <c r="AR750" s="332"/>
      <c r="AS750" s="332"/>
      <c r="AT750" s="332"/>
      <c r="AU750" s="332"/>
      <c r="AV750" s="332"/>
      <c r="AW750" s="332"/>
      <c r="AX750" s="332"/>
      <c r="AY750" s="332"/>
      <c r="AZ750" s="332"/>
      <c r="BA750" s="332"/>
      <c r="BB750" s="332"/>
      <c r="BC750" s="332"/>
      <c r="BD750" s="332"/>
      <c r="BE750" s="332"/>
      <c r="BF750" s="332"/>
      <c r="BG750" s="332"/>
      <c r="BH750" s="332"/>
      <c r="BI750" s="332"/>
      <c r="BJ750" s="332"/>
      <c r="BK750" s="332"/>
      <c r="BL750" s="332"/>
      <c r="BM750" s="332"/>
      <c r="BN750" s="332"/>
      <c r="BO750" s="332"/>
      <c r="BP750" s="332"/>
      <c r="BQ750" s="332"/>
      <c r="BR750" s="332"/>
      <c r="BS750" s="332"/>
      <c r="BT750" s="332"/>
      <c r="BU750" s="332"/>
      <c r="BV750" s="332"/>
      <c r="BW750" s="332"/>
      <c r="BX750" s="332"/>
      <c r="BY750" s="332"/>
      <c r="BZ750" s="332"/>
      <c r="CA750" s="332"/>
      <c r="CB750" s="332"/>
      <c r="CC750" s="332"/>
      <c r="CD750" s="332"/>
      <c r="CE750" s="332"/>
      <c r="CF750" s="332"/>
      <c r="CG750" s="332"/>
      <c r="CH750" s="332"/>
      <c r="CI750" s="332"/>
      <c r="CJ750" s="332"/>
      <c r="CK750" s="332"/>
      <c r="CL750" s="332"/>
      <c r="CM750" s="332"/>
      <c r="CN750" s="332"/>
      <c r="CO750" s="332"/>
      <c r="CP750" s="332"/>
      <c r="CQ750" s="332"/>
      <c r="CR750" s="332"/>
      <c r="CS750" s="332"/>
      <c r="CT750" s="332"/>
      <c r="CU750" s="332"/>
      <c r="CV750" s="332"/>
      <c r="CW750" s="332"/>
      <c r="CX750" s="332"/>
      <c r="CY750" s="332"/>
      <c r="CZ750" s="332"/>
      <c r="DA750" s="332"/>
      <c r="DB750" s="332"/>
      <c r="DC750" s="332"/>
      <c r="DD750" s="332"/>
      <c r="DE750" s="332"/>
      <c r="DF750" s="332"/>
      <c r="DG750" s="332"/>
      <c r="DH750" s="332"/>
      <c r="DI750" s="332"/>
      <c r="DJ750" s="332"/>
      <c r="DK750" s="332"/>
      <c r="DL750" s="332"/>
      <c r="DM750" s="332"/>
      <c r="DN750" s="332"/>
      <c r="DO750" s="332"/>
      <c r="DP750" s="332"/>
      <c r="DQ750" s="332"/>
      <c r="DR750" s="332"/>
      <c r="DS750" s="332"/>
      <c r="DT750" s="332"/>
      <c r="DU750" s="453"/>
      <c r="DV750" s="453"/>
      <c r="DW750" s="453"/>
      <c r="DX750" s="453"/>
      <c r="DY750" s="453"/>
      <c r="DZ750" s="453"/>
      <c r="EA750" s="453"/>
      <c r="EB750" s="453"/>
      <c r="EC750" s="453"/>
      <c r="ED750" s="453"/>
      <c r="EE750" s="453"/>
      <c r="EF750" s="453"/>
      <c r="EG750" s="453"/>
      <c r="EH750" s="453"/>
      <c r="EI750" s="453"/>
      <c r="EJ750" s="453"/>
      <c r="EK750" s="453"/>
      <c r="EL750" s="453"/>
      <c r="EM750" s="483">
        <f t="shared" si="230"/>
        <v>441</v>
      </c>
      <c r="EN750" s="485"/>
      <c r="EO750" s="458"/>
      <c r="EP750" s="467"/>
      <c r="EQ750" s="457"/>
      <c r="ER750" s="808"/>
      <c r="ES750" s="881">
        <f t="shared" si="231"/>
        <v>0</v>
      </c>
      <c r="ET750" s="882"/>
      <c r="EU750" s="883"/>
      <c r="EV750" s="884">
        <f t="shared" si="229"/>
        <v>0</v>
      </c>
      <c r="EW750" s="885"/>
      <c r="EX750" s="885"/>
      <c r="EY750" s="885"/>
      <c r="EZ750" s="885"/>
      <c r="FA750" s="885"/>
      <c r="FB750" s="885"/>
      <c r="FC750" s="885"/>
      <c r="FD750" s="886"/>
      <c r="FE750" s="878"/>
      <c r="FF750" s="878"/>
      <c r="FG750" s="878"/>
      <c r="FH750" s="878"/>
      <c r="FI750" s="878"/>
      <c r="FJ750" s="878"/>
      <c r="FK750" s="878"/>
      <c r="FL750" s="555"/>
      <c r="FM750" s="554"/>
      <c r="FN750" s="554"/>
      <c r="FO750" s="554"/>
      <c r="FP750" s="554"/>
      <c r="FQ750" s="554"/>
      <c r="FR750" s="554"/>
      <c r="FS750" s="554"/>
      <c r="FT750" s="554"/>
      <c r="FU750" s="554"/>
      <c r="FV750" s="554"/>
      <c r="FW750" s="554"/>
      <c r="FX750" s="554"/>
      <c r="FY750" s="554"/>
      <c r="FZ750" s="554"/>
      <c r="GA750" s="554"/>
      <c r="GB750" s="556"/>
      <c r="GC750" s="370"/>
      <c r="GD750" s="453"/>
      <c r="GE750" s="453"/>
      <c r="GF750" s="453"/>
      <c r="GG750" s="453"/>
      <c r="GH750" s="454"/>
      <c r="GI750" s="453"/>
      <c r="GJ750" s="453"/>
      <c r="GK750" s="453"/>
      <c r="GL750" s="453"/>
      <c r="GM750" s="453"/>
      <c r="GN750" s="453"/>
      <c r="GO750" s="453"/>
      <c r="GP750" s="453"/>
      <c r="GQ750" s="453"/>
      <c r="GR750" s="453"/>
      <c r="GS750" s="561"/>
      <c r="GT750" s="475"/>
      <c r="GU750" s="472"/>
      <c r="GV750" s="453"/>
      <c r="GW750" s="453"/>
      <c r="GX750" s="869"/>
      <c r="GY750" s="870"/>
      <c r="GZ750" s="867"/>
      <c r="HA750" s="868"/>
      <c r="HB750" s="473"/>
      <c r="HC750" s="869"/>
      <c r="HD750" s="870"/>
      <c r="HE750" s="867"/>
      <c r="HF750" s="868"/>
      <c r="HG750" s="473"/>
      <c r="HH750" s="867"/>
      <c r="HI750" s="868"/>
      <c r="HJ750" s="867"/>
      <c r="HK750" s="868"/>
      <c r="HL750" s="370"/>
      <c r="HM750" s="865"/>
      <c r="HN750" s="866"/>
      <c r="HO750" s="865"/>
      <c r="HP750" s="866"/>
      <c r="HQ750" s="865"/>
      <c r="HR750" s="866"/>
      <c r="HS750" s="867"/>
      <c r="HT750" s="868"/>
      <c r="HU750" s="489"/>
      <c r="HV750" s="865"/>
      <c r="HW750" s="866"/>
    </row>
    <row r="751" spans="25:231" ht="15" customHeight="1">
      <c r="Y751" s="332"/>
      <c r="Z751" s="332"/>
      <c r="AA751" s="332"/>
      <c r="AB751" s="332"/>
      <c r="AC751" s="332"/>
      <c r="AD751" s="332"/>
      <c r="AE751" s="332"/>
      <c r="AF751" s="332"/>
      <c r="AG751" s="332"/>
      <c r="AH751" s="332"/>
      <c r="AI751" s="332"/>
      <c r="AJ751" s="332"/>
      <c r="AK751" s="332"/>
      <c r="AL751" s="332"/>
      <c r="AM751" s="332"/>
      <c r="AN751" s="332"/>
      <c r="AO751" s="332"/>
      <c r="AP751" s="332"/>
      <c r="AQ751" s="332"/>
      <c r="AR751" s="332"/>
      <c r="AS751" s="332"/>
      <c r="AT751" s="332"/>
      <c r="AU751" s="332"/>
      <c r="AV751" s="332"/>
      <c r="AW751" s="332"/>
      <c r="AX751" s="332"/>
      <c r="AY751" s="332"/>
      <c r="AZ751" s="332"/>
      <c r="BA751" s="332"/>
      <c r="BB751" s="332"/>
      <c r="BC751" s="332"/>
      <c r="BD751" s="332"/>
      <c r="BE751" s="332"/>
      <c r="BF751" s="332"/>
      <c r="BG751" s="332"/>
      <c r="BH751" s="332"/>
      <c r="BI751" s="332"/>
      <c r="BJ751" s="332"/>
      <c r="BK751" s="332"/>
      <c r="BL751" s="332"/>
      <c r="BM751" s="332"/>
      <c r="BN751" s="332"/>
      <c r="BO751" s="332"/>
      <c r="BP751" s="332"/>
      <c r="BQ751" s="332"/>
      <c r="BR751" s="332"/>
      <c r="BS751" s="332"/>
      <c r="BT751" s="332"/>
      <c r="BU751" s="332"/>
      <c r="BV751" s="332"/>
      <c r="BW751" s="332"/>
      <c r="BX751" s="332"/>
      <c r="BY751" s="332"/>
      <c r="BZ751" s="332"/>
      <c r="CA751" s="332"/>
      <c r="CB751" s="332"/>
      <c r="CC751" s="332"/>
      <c r="CD751" s="332"/>
      <c r="CE751" s="332"/>
      <c r="CF751" s="332"/>
      <c r="CG751" s="332"/>
      <c r="CH751" s="332"/>
      <c r="CI751" s="332"/>
      <c r="CJ751" s="332"/>
      <c r="CK751" s="332"/>
      <c r="CL751" s="332"/>
      <c r="CM751" s="332"/>
      <c r="CN751" s="332"/>
      <c r="CO751" s="332"/>
      <c r="CP751" s="332"/>
      <c r="CQ751" s="332"/>
      <c r="CR751" s="332"/>
      <c r="CS751" s="332"/>
      <c r="CT751" s="332"/>
      <c r="CU751" s="332"/>
      <c r="CV751" s="332"/>
      <c r="CW751" s="332"/>
      <c r="CX751" s="332"/>
      <c r="CY751" s="332"/>
      <c r="CZ751" s="332"/>
      <c r="DA751" s="332"/>
      <c r="DB751" s="332"/>
      <c r="DC751" s="332"/>
      <c r="DD751" s="332"/>
      <c r="DE751" s="332"/>
      <c r="DF751" s="332"/>
      <c r="DG751" s="332"/>
      <c r="DH751" s="332"/>
      <c r="DI751" s="332"/>
      <c r="DJ751" s="332"/>
      <c r="DK751" s="332"/>
      <c r="DL751" s="332"/>
      <c r="DM751" s="332"/>
      <c r="DN751" s="332"/>
      <c r="DO751" s="332"/>
      <c r="DP751" s="332"/>
      <c r="DQ751" s="332"/>
      <c r="DR751" s="332"/>
      <c r="DS751" s="332"/>
      <c r="DT751" s="332"/>
      <c r="DU751" s="453"/>
      <c r="DV751" s="453"/>
      <c r="DW751" s="453"/>
      <c r="DX751" s="453"/>
      <c r="DY751" s="453"/>
      <c r="DZ751" s="453"/>
      <c r="EA751" s="453"/>
      <c r="EB751" s="453"/>
      <c r="EC751" s="453"/>
      <c r="ED751" s="453"/>
      <c r="EE751" s="453"/>
      <c r="EF751" s="453"/>
      <c r="EG751" s="453"/>
      <c r="EH751" s="453"/>
      <c r="EI751" s="453"/>
      <c r="EJ751" s="453"/>
      <c r="EK751" s="453"/>
      <c r="EL751" s="453"/>
      <c r="EM751" s="483">
        <f t="shared" si="230"/>
        <v>442</v>
      </c>
      <c r="EN751" s="485"/>
      <c r="EO751" s="458"/>
      <c r="EP751" s="467"/>
      <c r="EQ751" s="457"/>
      <c r="ER751" s="808"/>
      <c r="ES751" s="881">
        <f t="shared" si="231"/>
        <v>0</v>
      </c>
      <c r="ET751" s="882"/>
      <c r="EU751" s="883"/>
      <c r="EV751" s="884">
        <f t="shared" si="229"/>
        <v>0</v>
      </c>
      <c r="EW751" s="885"/>
      <c r="EX751" s="885"/>
      <c r="EY751" s="885"/>
      <c r="EZ751" s="885"/>
      <c r="FA751" s="885"/>
      <c r="FB751" s="885"/>
      <c r="FC751" s="885"/>
      <c r="FD751" s="886"/>
      <c r="FE751" s="878"/>
      <c r="FF751" s="878"/>
      <c r="FG751" s="878"/>
      <c r="FH751" s="878"/>
      <c r="FI751" s="878"/>
      <c r="FJ751" s="878"/>
      <c r="FK751" s="878"/>
      <c r="FL751" s="555"/>
      <c r="FM751" s="554"/>
      <c r="FN751" s="554"/>
      <c r="FO751" s="554"/>
      <c r="FP751" s="554"/>
      <c r="FQ751" s="554"/>
      <c r="FR751" s="554"/>
      <c r="FS751" s="554"/>
      <c r="FT751" s="554"/>
      <c r="FU751" s="554"/>
      <c r="FV751" s="554"/>
      <c r="FW751" s="554"/>
      <c r="FX751" s="554"/>
      <c r="FY751" s="554"/>
      <c r="FZ751" s="554"/>
      <c r="GA751" s="554"/>
      <c r="GB751" s="556"/>
      <c r="GC751" s="370"/>
      <c r="GD751" s="453"/>
      <c r="GE751" s="453"/>
      <c r="GF751" s="453"/>
      <c r="GG751" s="453"/>
      <c r="GH751" s="454"/>
      <c r="GI751" s="453"/>
      <c r="GJ751" s="453"/>
      <c r="GK751" s="453"/>
      <c r="GL751" s="453"/>
      <c r="GM751" s="453"/>
      <c r="GN751" s="453"/>
      <c r="GO751" s="453"/>
      <c r="GP751" s="453"/>
      <c r="GQ751" s="453"/>
      <c r="GR751" s="453"/>
      <c r="GS751" s="561"/>
      <c r="GT751" s="475"/>
      <c r="GU751" s="472"/>
      <c r="GV751" s="453"/>
      <c r="GW751" s="453"/>
      <c r="GX751" s="869"/>
      <c r="GY751" s="870"/>
      <c r="GZ751" s="867"/>
      <c r="HA751" s="868"/>
      <c r="HB751" s="473"/>
      <c r="HC751" s="869"/>
      <c r="HD751" s="870"/>
      <c r="HE751" s="867"/>
      <c r="HF751" s="868"/>
      <c r="HG751" s="473"/>
      <c r="HH751" s="867"/>
      <c r="HI751" s="868"/>
      <c r="HJ751" s="867"/>
      <c r="HK751" s="868"/>
      <c r="HL751" s="370"/>
      <c r="HM751" s="865"/>
      <c r="HN751" s="866"/>
      <c r="HO751" s="865"/>
      <c r="HP751" s="866"/>
      <c r="HQ751" s="865"/>
      <c r="HR751" s="866"/>
      <c r="HS751" s="867"/>
      <c r="HT751" s="868"/>
      <c r="HU751" s="489"/>
      <c r="HV751" s="865"/>
      <c r="HW751" s="866"/>
    </row>
    <row r="752" spans="25:231" ht="15" customHeight="1">
      <c r="Y752" s="332"/>
      <c r="Z752" s="332"/>
      <c r="AA752" s="332"/>
      <c r="AB752" s="332"/>
      <c r="AC752" s="332"/>
      <c r="AD752" s="332"/>
      <c r="AE752" s="332"/>
      <c r="AF752" s="332"/>
      <c r="AG752" s="332"/>
      <c r="AH752" s="332"/>
      <c r="AI752" s="332"/>
      <c r="AJ752" s="332"/>
      <c r="AK752" s="332"/>
      <c r="AL752" s="332"/>
      <c r="AM752" s="332"/>
      <c r="AN752" s="332"/>
      <c r="AO752" s="332"/>
      <c r="AP752" s="332"/>
      <c r="AQ752" s="332"/>
      <c r="AR752" s="332"/>
      <c r="AS752" s="332"/>
      <c r="AT752" s="332"/>
      <c r="AU752" s="332"/>
      <c r="AV752" s="332"/>
      <c r="AW752" s="332"/>
      <c r="AX752" s="332"/>
      <c r="AY752" s="332"/>
      <c r="AZ752" s="332"/>
      <c r="BA752" s="332"/>
      <c r="BB752" s="332"/>
      <c r="BC752" s="332"/>
      <c r="BD752" s="332"/>
      <c r="BE752" s="332"/>
      <c r="BF752" s="332"/>
      <c r="BG752" s="332"/>
      <c r="BH752" s="332"/>
      <c r="BI752" s="332"/>
      <c r="BJ752" s="332"/>
      <c r="BK752" s="332"/>
      <c r="BL752" s="332"/>
      <c r="BM752" s="332"/>
      <c r="BN752" s="332"/>
      <c r="BO752" s="332"/>
      <c r="BP752" s="332"/>
      <c r="BQ752" s="332"/>
      <c r="BR752" s="332"/>
      <c r="BS752" s="332"/>
      <c r="BT752" s="332"/>
      <c r="BU752" s="332"/>
      <c r="BV752" s="332"/>
      <c r="BW752" s="332"/>
      <c r="BX752" s="332"/>
      <c r="BY752" s="332"/>
      <c r="BZ752" s="332"/>
      <c r="CA752" s="332"/>
      <c r="CB752" s="332"/>
      <c r="CC752" s="332"/>
      <c r="CD752" s="332"/>
      <c r="CE752" s="332"/>
      <c r="CF752" s="332"/>
      <c r="CG752" s="332"/>
      <c r="CH752" s="332"/>
      <c r="CI752" s="332"/>
      <c r="CJ752" s="332"/>
      <c r="CK752" s="332"/>
      <c r="CL752" s="332"/>
      <c r="CM752" s="332"/>
      <c r="CN752" s="332"/>
      <c r="CO752" s="332"/>
      <c r="CP752" s="332"/>
      <c r="CQ752" s="332"/>
      <c r="CR752" s="332"/>
      <c r="CS752" s="332"/>
      <c r="CT752" s="332"/>
      <c r="CU752" s="332"/>
      <c r="CV752" s="332"/>
      <c r="CW752" s="332"/>
      <c r="CX752" s="332"/>
      <c r="CY752" s="332"/>
      <c r="CZ752" s="332"/>
      <c r="DA752" s="332"/>
      <c r="DB752" s="332"/>
      <c r="DC752" s="332"/>
      <c r="DD752" s="332"/>
      <c r="DE752" s="332"/>
      <c r="DF752" s="332"/>
      <c r="DG752" s="332"/>
      <c r="DH752" s="332"/>
      <c r="DI752" s="332"/>
      <c r="DJ752" s="332"/>
      <c r="DK752" s="332"/>
      <c r="DL752" s="332"/>
      <c r="DM752" s="332"/>
      <c r="DN752" s="332"/>
      <c r="DO752" s="332"/>
      <c r="DP752" s="332"/>
      <c r="DQ752" s="332"/>
      <c r="DR752" s="332"/>
      <c r="DS752" s="332"/>
      <c r="DT752" s="332"/>
      <c r="DU752" s="453"/>
      <c r="DV752" s="453"/>
      <c r="DW752" s="453"/>
      <c r="DX752" s="453"/>
      <c r="DY752" s="453"/>
      <c r="DZ752" s="453"/>
      <c r="EA752" s="453"/>
      <c r="EB752" s="453"/>
      <c r="EC752" s="453"/>
      <c r="ED752" s="453"/>
      <c r="EE752" s="453"/>
      <c r="EF752" s="453"/>
      <c r="EG752" s="453"/>
      <c r="EH752" s="453"/>
      <c r="EI752" s="453"/>
      <c r="EJ752" s="453"/>
      <c r="EK752" s="453"/>
      <c r="EL752" s="453"/>
      <c r="EM752" s="483">
        <f t="shared" si="230"/>
        <v>443</v>
      </c>
      <c r="EN752" s="485"/>
      <c r="EO752" s="458"/>
      <c r="EP752" s="467"/>
      <c r="EQ752" s="457"/>
      <c r="ER752" s="808"/>
      <c r="ES752" s="881">
        <f t="shared" si="231"/>
        <v>0</v>
      </c>
      <c r="ET752" s="882"/>
      <c r="EU752" s="883"/>
      <c r="EV752" s="884">
        <f t="shared" si="229"/>
        <v>0</v>
      </c>
      <c r="EW752" s="885"/>
      <c r="EX752" s="885"/>
      <c r="EY752" s="885"/>
      <c r="EZ752" s="885"/>
      <c r="FA752" s="885"/>
      <c r="FB752" s="885"/>
      <c r="FC752" s="885"/>
      <c r="FD752" s="886"/>
      <c r="FE752" s="878"/>
      <c r="FF752" s="878"/>
      <c r="FG752" s="878"/>
      <c r="FH752" s="878"/>
      <c r="FI752" s="878"/>
      <c r="FJ752" s="878"/>
      <c r="FK752" s="878"/>
      <c r="FL752" s="555"/>
      <c r="FM752" s="554"/>
      <c r="FN752" s="554"/>
      <c r="FO752" s="554"/>
      <c r="FP752" s="554"/>
      <c r="FQ752" s="554"/>
      <c r="FR752" s="554"/>
      <c r="FS752" s="554"/>
      <c r="FT752" s="554"/>
      <c r="FU752" s="554"/>
      <c r="FV752" s="554"/>
      <c r="FW752" s="554"/>
      <c r="FX752" s="554"/>
      <c r="FY752" s="554"/>
      <c r="FZ752" s="554"/>
      <c r="GA752" s="554"/>
      <c r="GB752" s="556"/>
      <c r="GC752" s="370"/>
      <c r="GD752" s="453"/>
      <c r="GE752" s="453"/>
      <c r="GF752" s="453"/>
      <c r="GG752" s="453"/>
      <c r="GH752" s="454"/>
      <c r="GI752" s="453"/>
      <c r="GJ752" s="453"/>
      <c r="GK752" s="453"/>
      <c r="GL752" s="453"/>
      <c r="GM752" s="453"/>
      <c r="GN752" s="453"/>
      <c r="GO752" s="453"/>
      <c r="GP752" s="453"/>
      <c r="GQ752" s="453"/>
      <c r="GR752" s="453"/>
      <c r="GS752" s="561"/>
      <c r="GT752" s="475"/>
      <c r="GU752" s="472"/>
      <c r="GV752" s="453"/>
      <c r="GW752" s="453"/>
      <c r="GX752" s="869"/>
      <c r="GY752" s="870"/>
      <c r="GZ752" s="867"/>
      <c r="HA752" s="868"/>
      <c r="HB752" s="473"/>
      <c r="HC752" s="869"/>
      <c r="HD752" s="870"/>
      <c r="HE752" s="867"/>
      <c r="HF752" s="868"/>
      <c r="HG752" s="473"/>
      <c r="HH752" s="867"/>
      <c r="HI752" s="868"/>
      <c r="HJ752" s="867"/>
      <c r="HK752" s="868"/>
      <c r="HL752" s="370"/>
      <c r="HM752" s="865"/>
      <c r="HN752" s="866"/>
      <c r="HO752" s="865"/>
      <c r="HP752" s="866"/>
      <c r="HQ752" s="865"/>
      <c r="HR752" s="866"/>
      <c r="HS752" s="867"/>
      <c r="HT752" s="868"/>
      <c r="HU752" s="489"/>
      <c r="HV752" s="865"/>
      <c r="HW752" s="866"/>
    </row>
    <row r="753" spans="25:231" ht="15" customHeight="1">
      <c r="Y753" s="332"/>
      <c r="Z753" s="332"/>
      <c r="AA753" s="332"/>
      <c r="AB753" s="332"/>
      <c r="AC753" s="332"/>
      <c r="AD753" s="332"/>
      <c r="AE753" s="332"/>
      <c r="AF753" s="332"/>
      <c r="AG753" s="332"/>
      <c r="AH753" s="332"/>
      <c r="AI753" s="332"/>
      <c r="AJ753" s="332"/>
      <c r="AK753" s="332"/>
      <c r="AL753" s="332"/>
      <c r="AM753" s="332"/>
      <c r="AN753" s="332"/>
      <c r="AO753" s="332"/>
      <c r="AP753" s="332"/>
      <c r="AQ753" s="332"/>
      <c r="AR753" s="332"/>
      <c r="AS753" s="332"/>
      <c r="AT753" s="332"/>
      <c r="AU753" s="332"/>
      <c r="AV753" s="332"/>
      <c r="AW753" s="332"/>
      <c r="AX753" s="332"/>
      <c r="AY753" s="332"/>
      <c r="AZ753" s="332"/>
      <c r="BA753" s="332"/>
      <c r="BB753" s="332"/>
      <c r="BC753" s="332"/>
      <c r="BD753" s="332"/>
      <c r="BE753" s="332"/>
      <c r="BF753" s="332"/>
      <c r="BG753" s="332"/>
      <c r="BH753" s="332"/>
      <c r="BI753" s="332"/>
      <c r="BJ753" s="332"/>
      <c r="BK753" s="332"/>
      <c r="BL753" s="332"/>
      <c r="BM753" s="332"/>
      <c r="BN753" s="332"/>
      <c r="BO753" s="332"/>
      <c r="BP753" s="332"/>
      <c r="BQ753" s="332"/>
      <c r="BR753" s="332"/>
      <c r="BS753" s="332"/>
      <c r="BT753" s="332"/>
      <c r="BU753" s="332"/>
      <c r="BV753" s="332"/>
      <c r="BW753" s="332"/>
      <c r="BX753" s="332"/>
      <c r="BY753" s="332"/>
      <c r="BZ753" s="332"/>
      <c r="CA753" s="332"/>
      <c r="CB753" s="332"/>
      <c r="CC753" s="332"/>
      <c r="CD753" s="332"/>
      <c r="CE753" s="332"/>
      <c r="CF753" s="332"/>
      <c r="CG753" s="332"/>
      <c r="CH753" s="332"/>
      <c r="CI753" s="332"/>
      <c r="CJ753" s="332"/>
      <c r="CK753" s="332"/>
      <c r="CL753" s="332"/>
      <c r="CM753" s="332"/>
      <c r="CN753" s="332"/>
      <c r="CO753" s="332"/>
      <c r="CP753" s="332"/>
      <c r="CQ753" s="332"/>
      <c r="CR753" s="332"/>
      <c r="CS753" s="332"/>
      <c r="CT753" s="332"/>
      <c r="CU753" s="332"/>
      <c r="CV753" s="332"/>
      <c r="CW753" s="332"/>
      <c r="CX753" s="332"/>
      <c r="CY753" s="332"/>
      <c r="CZ753" s="332"/>
      <c r="DA753" s="332"/>
      <c r="DB753" s="332"/>
      <c r="DC753" s="332"/>
      <c r="DD753" s="332"/>
      <c r="DE753" s="332"/>
      <c r="DF753" s="332"/>
      <c r="DG753" s="332"/>
      <c r="DH753" s="332"/>
      <c r="DI753" s="332"/>
      <c r="DJ753" s="332"/>
      <c r="DK753" s="332"/>
      <c r="DL753" s="332"/>
      <c r="DM753" s="332"/>
      <c r="DN753" s="332"/>
      <c r="DO753" s="332"/>
      <c r="DP753" s="332"/>
      <c r="DQ753" s="332"/>
      <c r="DR753" s="332"/>
      <c r="DS753" s="332"/>
      <c r="DT753" s="332"/>
      <c r="DU753" s="453"/>
      <c r="DV753" s="453"/>
      <c r="DW753" s="453"/>
      <c r="DX753" s="453"/>
      <c r="DY753" s="453"/>
      <c r="DZ753" s="453"/>
      <c r="EA753" s="453"/>
      <c r="EB753" s="453"/>
      <c r="EC753" s="453"/>
      <c r="ED753" s="453"/>
      <c r="EE753" s="453"/>
      <c r="EF753" s="453"/>
      <c r="EG753" s="453"/>
      <c r="EH753" s="453"/>
      <c r="EI753" s="453"/>
      <c r="EJ753" s="453"/>
      <c r="EK753" s="453"/>
      <c r="EL753" s="453"/>
      <c r="EM753" s="483">
        <f t="shared" si="230"/>
        <v>444</v>
      </c>
      <c r="EN753" s="485"/>
      <c r="EO753" s="458"/>
      <c r="EP753" s="467"/>
      <c r="EQ753" s="457"/>
      <c r="ER753" s="808"/>
      <c r="ES753" s="881">
        <f t="shared" si="231"/>
        <v>0</v>
      </c>
      <c r="ET753" s="882"/>
      <c r="EU753" s="883"/>
      <c r="EV753" s="884">
        <f t="shared" si="229"/>
        <v>0</v>
      </c>
      <c r="EW753" s="885"/>
      <c r="EX753" s="885"/>
      <c r="EY753" s="885"/>
      <c r="EZ753" s="885"/>
      <c r="FA753" s="885"/>
      <c r="FB753" s="885"/>
      <c r="FC753" s="885"/>
      <c r="FD753" s="886"/>
      <c r="FE753" s="878"/>
      <c r="FF753" s="878"/>
      <c r="FG753" s="878"/>
      <c r="FH753" s="878"/>
      <c r="FI753" s="878"/>
      <c r="FJ753" s="878"/>
      <c r="FK753" s="878"/>
      <c r="FL753" s="555"/>
      <c r="FM753" s="554"/>
      <c r="FN753" s="554"/>
      <c r="FO753" s="554"/>
      <c r="FP753" s="554"/>
      <c r="FQ753" s="554"/>
      <c r="FR753" s="554"/>
      <c r="FS753" s="554"/>
      <c r="FT753" s="554"/>
      <c r="FU753" s="554"/>
      <c r="FV753" s="554"/>
      <c r="FW753" s="554"/>
      <c r="FX753" s="554"/>
      <c r="FY753" s="554"/>
      <c r="FZ753" s="554"/>
      <c r="GA753" s="554"/>
      <c r="GB753" s="556"/>
      <c r="GC753" s="370"/>
      <c r="GD753" s="453"/>
      <c r="GE753" s="453"/>
      <c r="GF753" s="453"/>
      <c r="GG753" s="453"/>
      <c r="GH753" s="454"/>
      <c r="GI753" s="453"/>
      <c r="GJ753" s="453"/>
      <c r="GK753" s="453"/>
      <c r="GL753" s="453"/>
      <c r="GM753" s="453"/>
      <c r="GN753" s="453"/>
      <c r="GO753" s="453"/>
      <c r="GP753" s="453"/>
      <c r="GQ753" s="453"/>
      <c r="GR753" s="453"/>
      <c r="GS753" s="561"/>
      <c r="GT753" s="475"/>
      <c r="GU753" s="472"/>
      <c r="GV753" s="453"/>
      <c r="GW753" s="453"/>
      <c r="GX753" s="869"/>
      <c r="GY753" s="870"/>
      <c r="GZ753" s="867"/>
      <c r="HA753" s="868"/>
      <c r="HB753" s="473"/>
      <c r="HC753" s="869"/>
      <c r="HD753" s="870"/>
      <c r="HE753" s="867"/>
      <c r="HF753" s="868"/>
      <c r="HG753" s="473"/>
      <c r="HH753" s="867"/>
      <c r="HI753" s="868"/>
      <c r="HJ753" s="867"/>
      <c r="HK753" s="868"/>
      <c r="HL753" s="370"/>
      <c r="HM753" s="865"/>
      <c r="HN753" s="866"/>
      <c r="HO753" s="865"/>
      <c r="HP753" s="866"/>
      <c r="HQ753" s="865"/>
      <c r="HR753" s="866"/>
      <c r="HS753" s="867"/>
      <c r="HT753" s="868"/>
      <c r="HU753" s="489"/>
      <c r="HV753" s="865"/>
      <c r="HW753" s="866"/>
    </row>
    <row r="754" spans="25:231" ht="15" customHeight="1">
      <c r="Y754" s="332"/>
      <c r="Z754" s="332"/>
      <c r="AA754" s="332"/>
      <c r="AB754" s="332"/>
      <c r="AC754" s="332"/>
      <c r="AD754" s="332"/>
      <c r="AE754" s="332"/>
      <c r="AF754" s="332"/>
      <c r="AG754" s="332"/>
      <c r="AH754" s="332"/>
      <c r="AI754" s="332"/>
      <c r="AJ754" s="332"/>
      <c r="AK754" s="332"/>
      <c r="AL754" s="332"/>
      <c r="AM754" s="332"/>
      <c r="AN754" s="332"/>
      <c r="AO754" s="332"/>
      <c r="AP754" s="332"/>
      <c r="AQ754" s="332"/>
      <c r="AR754" s="332"/>
      <c r="AS754" s="332"/>
      <c r="AT754" s="332"/>
      <c r="AU754" s="332"/>
      <c r="AV754" s="332"/>
      <c r="AW754" s="332"/>
      <c r="AX754" s="332"/>
      <c r="AY754" s="332"/>
      <c r="AZ754" s="332"/>
      <c r="BA754" s="332"/>
      <c r="BB754" s="332"/>
      <c r="BC754" s="332"/>
      <c r="BD754" s="332"/>
      <c r="BE754" s="332"/>
      <c r="BF754" s="332"/>
      <c r="BG754" s="332"/>
      <c r="BH754" s="332"/>
      <c r="BI754" s="332"/>
      <c r="BJ754" s="332"/>
      <c r="BK754" s="332"/>
      <c r="BL754" s="332"/>
      <c r="BM754" s="332"/>
      <c r="BN754" s="332"/>
      <c r="BO754" s="332"/>
      <c r="BP754" s="332"/>
      <c r="BQ754" s="332"/>
      <c r="BR754" s="332"/>
      <c r="BS754" s="332"/>
      <c r="BT754" s="332"/>
      <c r="BU754" s="332"/>
      <c r="BV754" s="332"/>
      <c r="BW754" s="332"/>
      <c r="BX754" s="332"/>
      <c r="BY754" s="332"/>
      <c r="BZ754" s="332"/>
      <c r="CA754" s="332"/>
      <c r="CB754" s="332"/>
      <c r="CC754" s="332"/>
      <c r="CD754" s="332"/>
      <c r="CE754" s="332"/>
      <c r="CF754" s="332"/>
      <c r="CG754" s="332"/>
      <c r="CH754" s="332"/>
      <c r="CI754" s="332"/>
      <c r="CJ754" s="332"/>
      <c r="CK754" s="332"/>
      <c r="CL754" s="332"/>
      <c r="CM754" s="332"/>
      <c r="CN754" s="332"/>
      <c r="CO754" s="332"/>
      <c r="CP754" s="332"/>
      <c r="CQ754" s="332"/>
      <c r="CR754" s="332"/>
      <c r="CS754" s="332"/>
      <c r="CT754" s="332"/>
      <c r="CU754" s="332"/>
      <c r="CV754" s="332"/>
      <c r="CW754" s="332"/>
      <c r="CX754" s="332"/>
      <c r="CY754" s="332"/>
      <c r="CZ754" s="332"/>
      <c r="DA754" s="332"/>
      <c r="DB754" s="332"/>
      <c r="DC754" s="332"/>
      <c r="DD754" s="332"/>
      <c r="DE754" s="332"/>
      <c r="DF754" s="332"/>
      <c r="DG754" s="332"/>
      <c r="DH754" s="332"/>
      <c r="DI754" s="332"/>
      <c r="DJ754" s="332"/>
      <c r="DK754" s="332"/>
      <c r="DL754" s="332"/>
      <c r="DM754" s="332"/>
      <c r="DN754" s="332"/>
      <c r="DO754" s="332"/>
      <c r="DP754" s="332"/>
      <c r="DQ754" s="332"/>
      <c r="DR754" s="332"/>
      <c r="DS754" s="332"/>
      <c r="DT754" s="332"/>
      <c r="DU754" s="453"/>
      <c r="DV754" s="453"/>
      <c r="DW754" s="453"/>
      <c r="DX754" s="453"/>
      <c r="DY754" s="453"/>
      <c r="DZ754" s="453"/>
      <c r="EA754" s="453"/>
      <c r="EB754" s="453"/>
      <c r="EC754" s="453"/>
      <c r="ED754" s="453"/>
      <c r="EE754" s="453"/>
      <c r="EF754" s="453"/>
      <c r="EG754" s="453"/>
      <c r="EH754" s="453"/>
      <c r="EI754" s="453"/>
      <c r="EJ754" s="453"/>
      <c r="EK754" s="453"/>
      <c r="EL754" s="453"/>
      <c r="EM754" s="483">
        <f t="shared" si="230"/>
        <v>445</v>
      </c>
      <c r="EN754" s="485"/>
      <c r="EO754" s="458"/>
      <c r="EP754" s="467"/>
      <c r="EQ754" s="457"/>
      <c r="ER754" s="808"/>
      <c r="ES754" s="881">
        <f t="shared" si="231"/>
        <v>0</v>
      </c>
      <c r="ET754" s="882"/>
      <c r="EU754" s="883"/>
      <c r="EV754" s="884">
        <f t="shared" si="229"/>
        <v>0</v>
      </c>
      <c r="EW754" s="885"/>
      <c r="EX754" s="885"/>
      <c r="EY754" s="885"/>
      <c r="EZ754" s="885"/>
      <c r="FA754" s="885"/>
      <c r="FB754" s="885"/>
      <c r="FC754" s="885"/>
      <c r="FD754" s="886"/>
      <c r="FE754" s="878"/>
      <c r="FF754" s="878"/>
      <c r="FG754" s="878"/>
      <c r="FH754" s="878"/>
      <c r="FI754" s="878"/>
      <c r="FJ754" s="878"/>
      <c r="FK754" s="878"/>
      <c r="FL754" s="555"/>
      <c r="FM754" s="554"/>
      <c r="FN754" s="554"/>
      <c r="FO754" s="554"/>
      <c r="FP754" s="554"/>
      <c r="FQ754" s="554"/>
      <c r="FR754" s="554"/>
      <c r="FS754" s="554"/>
      <c r="FT754" s="554"/>
      <c r="FU754" s="554"/>
      <c r="FV754" s="554"/>
      <c r="FW754" s="554"/>
      <c r="FX754" s="554"/>
      <c r="FY754" s="554"/>
      <c r="FZ754" s="554"/>
      <c r="GA754" s="554"/>
      <c r="GB754" s="556"/>
      <c r="GC754" s="370"/>
      <c r="GD754" s="453"/>
      <c r="GE754" s="453"/>
      <c r="GF754" s="453"/>
      <c r="GG754" s="453"/>
      <c r="GH754" s="454"/>
      <c r="GI754" s="453"/>
      <c r="GJ754" s="453"/>
      <c r="GK754" s="453"/>
      <c r="GL754" s="453"/>
      <c r="GM754" s="453"/>
      <c r="GN754" s="453"/>
      <c r="GO754" s="453"/>
      <c r="GP754" s="453"/>
      <c r="GQ754" s="453"/>
      <c r="GR754" s="453"/>
      <c r="GS754" s="561"/>
      <c r="GT754" s="475"/>
      <c r="GU754" s="472"/>
      <c r="GV754" s="453"/>
      <c r="GW754" s="453"/>
      <c r="GX754" s="869"/>
      <c r="GY754" s="870"/>
      <c r="GZ754" s="867"/>
      <c r="HA754" s="868"/>
      <c r="HB754" s="473"/>
      <c r="HC754" s="869"/>
      <c r="HD754" s="870"/>
      <c r="HE754" s="867"/>
      <c r="HF754" s="868"/>
      <c r="HG754" s="473"/>
      <c r="HH754" s="867"/>
      <c r="HI754" s="868"/>
      <c r="HJ754" s="867"/>
      <c r="HK754" s="868"/>
      <c r="HL754" s="370"/>
      <c r="HM754" s="865"/>
      <c r="HN754" s="866"/>
      <c r="HO754" s="865"/>
      <c r="HP754" s="866"/>
      <c r="HQ754" s="865"/>
      <c r="HR754" s="866"/>
      <c r="HS754" s="867"/>
      <c r="HT754" s="868"/>
      <c r="HU754" s="489"/>
      <c r="HV754" s="865"/>
      <c r="HW754" s="866"/>
    </row>
    <row r="755" spans="25:231" ht="15" customHeight="1">
      <c r="Y755" s="332"/>
      <c r="Z755" s="332"/>
      <c r="AA755" s="332"/>
      <c r="AB755" s="332"/>
      <c r="AC755" s="332"/>
      <c r="AD755" s="332"/>
      <c r="AE755" s="332"/>
      <c r="AF755" s="332"/>
      <c r="AG755" s="332"/>
      <c r="AH755" s="332"/>
      <c r="AI755" s="332"/>
      <c r="AJ755" s="332"/>
      <c r="AK755" s="332"/>
      <c r="AL755" s="332"/>
      <c r="AM755" s="332"/>
      <c r="AN755" s="332"/>
      <c r="AO755" s="332"/>
      <c r="AP755" s="332"/>
      <c r="AQ755" s="332"/>
      <c r="AR755" s="332"/>
      <c r="AS755" s="332"/>
      <c r="AT755" s="332"/>
      <c r="AU755" s="332"/>
      <c r="AV755" s="332"/>
      <c r="AW755" s="332"/>
      <c r="AX755" s="332"/>
      <c r="AY755" s="332"/>
      <c r="AZ755" s="332"/>
      <c r="BA755" s="332"/>
      <c r="BB755" s="332"/>
      <c r="BC755" s="332"/>
      <c r="BD755" s="332"/>
      <c r="BE755" s="332"/>
      <c r="BF755" s="332"/>
      <c r="BG755" s="332"/>
      <c r="BH755" s="332"/>
      <c r="BI755" s="332"/>
      <c r="BJ755" s="332"/>
      <c r="BK755" s="332"/>
      <c r="BL755" s="332"/>
      <c r="BM755" s="332"/>
      <c r="BN755" s="332"/>
      <c r="BO755" s="332"/>
      <c r="BP755" s="332"/>
      <c r="BQ755" s="332"/>
      <c r="BR755" s="332"/>
      <c r="BS755" s="332"/>
      <c r="BT755" s="332"/>
      <c r="BU755" s="332"/>
      <c r="BV755" s="332"/>
      <c r="BW755" s="332"/>
      <c r="BX755" s="332"/>
      <c r="BY755" s="332"/>
      <c r="BZ755" s="332"/>
      <c r="CA755" s="332"/>
      <c r="CB755" s="332"/>
      <c r="CC755" s="332"/>
      <c r="CD755" s="332"/>
      <c r="CE755" s="332"/>
      <c r="CF755" s="332"/>
      <c r="CG755" s="332"/>
      <c r="CH755" s="332"/>
      <c r="CI755" s="332"/>
      <c r="CJ755" s="332"/>
      <c r="CK755" s="332"/>
      <c r="CL755" s="332"/>
      <c r="CM755" s="332"/>
      <c r="CN755" s="332"/>
      <c r="CO755" s="332"/>
      <c r="CP755" s="332"/>
      <c r="CQ755" s="332"/>
      <c r="CR755" s="332"/>
      <c r="CS755" s="332"/>
      <c r="CT755" s="332"/>
      <c r="CU755" s="332"/>
      <c r="CV755" s="332"/>
      <c r="CW755" s="332"/>
      <c r="CX755" s="332"/>
      <c r="CY755" s="332"/>
      <c r="CZ755" s="332"/>
      <c r="DA755" s="332"/>
      <c r="DB755" s="332"/>
      <c r="DC755" s="332"/>
      <c r="DD755" s="332"/>
      <c r="DE755" s="332"/>
      <c r="DF755" s="332"/>
      <c r="DG755" s="332"/>
      <c r="DH755" s="332"/>
      <c r="DI755" s="332"/>
      <c r="DJ755" s="332"/>
      <c r="DK755" s="332"/>
      <c r="DL755" s="332"/>
      <c r="DM755" s="332"/>
      <c r="DN755" s="332"/>
      <c r="DO755" s="332"/>
      <c r="DP755" s="332"/>
      <c r="DQ755" s="332"/>
      <c r="DR755" s="332"/>
      <c r="DS755" s="332"/>
      <c r="DT755" s="332"/>
      <c r="DU755" s="453"/>
      <c r="DV755" s="453"/>
      <c r="DW755" s="453"/>
      <c r="DX755" s="453"/>
      <c r="DY755" s="453"/>
      <c r="DZ755" s="453"/>
      <c r="EA755" s="453"/>
      <c r="EB755" s="453"/>
      <c r="EC755" s="453"/>
      <c r="ED755" s="453"/>
      <c r="EE755" s="453"/>
      <c r="EF755" s="453"/>
      <c r="EG755" s="453"/>
      <c r="EH755" s="453"/>
      <c r="EI755" s="453"/>
      <c r="EJ755" s="453"/>
      <c r="EK755" s="453"/>
      <c r="EL755" s="453"/>
      <c r="EM755" s="483">
        <f t="shared" si="230"/>
        <v>446</v>
      </c>
      <c r="EN755" s="485"/>
      <c r="EO755" s="458"/>
      <c r="EP755" s="467"/>
      <c r="EQ755" s="457"/>
      <c r="ER755" s="808"/>
      <c r="ES755" s="881">
        <f t="shared" si="231"/>
        <v>0</v>
      </c>
      <c r="ET755" s="882"/>
      <c r="EU755" s="883"/>
      <c r="EV755" s="884">
        <f t="shared" si="229"/>
        <v>0</v>
      </c>
      <c r="EW755" s="885"/>
      <c r="EX755" s="885"/>
      <c r="EY755" s="885"/>
      <c r="EZ755" s="885"/>
      <c r="FA755" s="885"/>
      <c r="FB755" s="885"/>
      <c r="FC755" s="885"/>
      <c r="FD755" s="886"/>
      <c r="FE755" s="878"/>
      <c r="FF755" s="878"/>
      <c r="FG755" s="878"/>
      <c r="FH755" s="878"/>
      <c r="FI755" s="878"/>
      <c r="FJ755" s="878"/>
      <c r="FK755" s="878"/>
      <c r="FL755" s="555"/>
      <c r="FM755" s="554"/>
      <c r="FN755" s="554"/>
      <c r="FO755" s="554"/>
      <c r="FP755" s="554"/>
      <c r="FQ755" s="554"/>
      <c r="FR755" s="554"/>
      <c r="FS755" s="554"/>
      <c r="FT755" s="554"/>
      <c r="FU755" s="554"/>
      <c r="FV755" s="554"/>
      <c r="FW755" s="554"/>
      <c r="FX755" s="554"/>
      <c r="FY755" s="554"/>
      <c r="FZ755" s="554"/>
      <c r="GA755" s="554"/>
      <c r="GB755" s="556"/>
      <c r="GC755" s="370"/>
      <c r="GD755" s="453"/>
      <c r="GE755" s="453"/>
      <c r="GF755" s="453"/>
      <c r="GG755" s="453"/>
      <c r="GH755" s="454"/>
      <c r="GI755" s="453"/>
      <c r="GJ755" s="453"/>
      <c r="GK755" s="453"/>
      <c r="GL755" s="453"/>
      <c r="GM755" s="453"/>
      <c r="GN755" s="453"/>
      <c r="GO755" s="453"/>
      <c r="GP755" s="453"/>
      <c r="GQ755" s="453"/>
      <c r="GR755" s="453"/>
      <c r="GS755" s="561"/>
      <c r="GT755" s="475"/>
      <c r="GU755" s="472"/>
      <c r="GV755" s="453"/>
      <c r="GW755" s="453"/>
      <c r="GX755" s="869"/>
      <c r="GY755" s="870"/>
      <c r="GZ755" s="867"/>
      <c r="HA755" s="868"/>
      <c r="HB755" s="473"/>
      <c r="HC755" s="869"/>
      <c r="HD755" s="870"/>
      <c r="HE755" s="867"/>
      <c r="HF755" s="868"/>
      <c r="HG755" s="473"/>
      <c r="HH755" s="867"/>
      <c r="HI755" s="868"/>
      <c r="HJ755" s="867"/>
      <c r="HK755" s="868"/>
      <c r="HL755" s="370"/>
      <c r="HM755" s="865"/>
      <c r="HN755" s="866"/>
      <c r="HO755" s="865"/>
      <c r="HP755" s="866"/>
      <c r="HQ755" s="865"/>
      <c r="HR755" s="866"/>
      <c r="HS755" s="867"/>
      <c r="HT755" s="868"/>
      <c r="HU755" s="489"/>
      <c r="HV755" s="865"/>
      <c r="HW755" s="866"/>
    </row>
    <row r="756" spans="25:231" ht="15" customHeight="1">
      <c r="Y756" s="332"/>
      <c r="Z756" s="332"/>
      <c r="AA756" s="332"/>
      <c r="AB756" s="332"/>
      <c r="AC756" s="332"/>
      <c r="AD756" s="332"/>
      <c r="AE756" s="332"/>
      <c r="AF756" s="332"/>
      <c r="AG756" s="332"/>
      <c r="AH756" s="332"/>
      <c r="AI756" s="332"/>
      <c r="AJ756" s="332"/>
      <c r="AK756" s="332"/>
      <c r="AL756" s="332"/>
      <c r="AM756" s="332"/>
      <c r="AN756" s="332"/>
      <c r="AO756" s="332"/>
      <c r="AP756" s="332"/>
      <c r="AQ756" s="332"/>
      <c r="AR756" s="332"/>
      <c r="AS756" s="332"/>
      <c r="AT756" s="332"/>
      <c r="AU756" s="332"/>
      <c r="AV756" s="332"/>
      <c r="AW756" s="332"/>
      <c r="AX756" s="332"/>
      <c r="AY756" s="332"/>
      <c r="AZ756" s="332"/>
      <c r="BA756" s="332"/>
      <c r="BB756" s="332"/>
      <c r="BC756" s="332"/>
      <c r="BD756" s="332"/>
      <c r="BE756" s="332"/>
      <c r="BF756" s="332"/>
      <c r="BG756" s="332"/>
      <c r="BH756" s="332"/>
      <c r="BI756" s="332"/>
      <c r="BJ756" s="332"/>
      <c r="BK756" s="332"/>
      <c r="BL756" s="332"/>
      <c r="BM756" s="332"/>
      <c r="BN756" s="332"/>
      <c r="BO756" s="332"/>
      <c r="BP756" s="332"/>
      <c r="BQ756" s="332"/>
      <c r="BR756" s="332"/>
      <c r="BS756" s="332"/>
      <c r="BT756" s="332"/>
      <c r="BU756" s="332"/>
      <c r="BV756" s="332"/>
      <c r="BW756" s="332"/>
      <c r="BX756" s="332"/>
      <c r="BY756" s="332"/>
      <c r="BZ756" s="332"/>
      <c r="CA756" s="332"/>
      <c r="CB756" s="332"/>
      <c r="CC756" s="332"/>
      <c r="CD756" s="332"/>
      <c r="CE756" s="332"/>
      <c r="CF756" s="332"/>
      <c r="CG756" s="332"/>
      <c r="CH756" s="332"/>
      <c r="CI756" s="332"/>
      <c r="CJ756" s="332"/>
      <c r="CK756" s="332"/>
      <c r="CL756" s="332"/>
      <c r="CM756" s="332"/>
      <c r="CN756" s="332"/>
      <c r="CO756" s="332"/>
      <c r="CP756" s="332"/>
      <c r="CQ756" s="332"/>
      <c r="CR756" s="332"/>
      <c r="CS756" s="332"/>
      <c r="CT756" s="332"/>
      <c r="CU756" s="332"/>
      <c r="CV756" s="332"/>
      <c r="CW756" s="332"/>
      <c r="CX756" s="332"/>
      <c r="CY756" s="332"/>
      <c r="CZ756" s="332"/>
      <c r="DA756" s="332"/>
      <c r="DB756" s="332"/>
      <c r="DC756" s="332"/>
      <c r="DD756" s="332"/>
      <c r="DE756" s="332"/>
      <c r="DF756" s="332"/>
      <c r="DG756" s="332"/>
      <c r="DH756" s="332"/>
      <c r="DI756" s="332"/>
      <c r="DJ756" s="332"/>
      <c r="DK756" s="332"/>
      <c r="DL756" s="332"/>
      <c r="DM756" s="332"/>
      <c r="DN756" s="332"/>
      <c r="DO756" s="332"/>
      <c r="DP756" s="332"/>
      <c r="DQ756" s="332"/>
      <c r="DR756" s="332"/>
      <c r="DS756" s="332"/>
      <c r="DT756" s="332"/>
      <c r="DU756" s="453"/>
      <c r="DV756" s="453"/>
      <c r="DW756" s="453"/>
      <c r="DX756" s="453"/>
      <c r="DY756" s="453"/>
      <c r="DZ756" s="453"/>
      <c r="EA756" s="453"/>
      <c r="EB756" s="453"/>
      <c r="EC756" s="453"/>
      <c r="ED756" s="453"/>
      <c r="EE756" s="453"/>
      <c r="EF756" s="453"/>
      <c r="EG756" s="453"/>
      <c r="EH756" s="453"/>
      <c r="EI756" s="453"/>
      <c r="EJ756" s="453"/>
      <c r="EK756" s="453"/>
      <c r="EL756" s="453"/>
      <c r="EM756" s="483">
        <f t="shared" si="230"/>
        <v>447</v>
      </c>
      <c r="EN756" s="485"/>
      <c r="EO756" s="458"/>
      <c r="EP756" s="467"/>
      <c r="EQ756" s="457"/>
      <c r="ER756" s="808"/>
      <c r="ES756" s="881">
        <f t="shared" si="231"/>
        <v>0</v>
      </c>
      <c r="ET756" s="882"/>
      <c r="EU756" s="883"/>
      <c r="EV756" s="884">
        <f t="shared" si="229"/>
        <v>0</v>
      </c>
      <c r="EW756" s="885"/>
      <c r="EX756" s="885"/>
      <c r="EY756" s="885"/>
      <c r="EZ756" s="885"/>
      <c r="FA756" s="885"/>
      <c r="FB756" s="885"/>
      <c r="FC756" s="885"/>
      <c r="FD756" s="886"/>
      <c r="FE756" s="878"/>
      <c r="FF756" s="878"/>
      <c r="FG756" s="878"/>
      <c r="FH756" s="878"/>
      <c r="FI756" s="878"/>
      <c r="FJ756" s="878"/>
      <c r="FK756" s="878"/>
      <c r="FL756" s="555"/>
      <c r="FM756" s="554"/>
      <c r="FN756" s="554"/>
      <c r="FO756" s="554"/>
      <c r="FP756" s="554"/>
      <c r="FQ756" s="554"/>
      <c r="FR756" s="554"/>
      <c r="FS756" s="554"/>
      <c r="FT756" s="554"/>
      <c r="FU756" s="554"/>
      <c r="FV756" s="554"/>
      <c r="FW756" s="554"/>
      <c r="FX756" s="554"/>
      <c r="FY756" s="554"/>
      <c r="FZ756" s="554"/>
      <c r="GA756" s="554"/>
      <c r="GB756" s="556"/>
      <c r="GC756" s="370"/>
      <c r="GD756" s="453"/>
      <c r="GE756" s="453"/>
      <c r="GF756" s="453"/>
      <c r="GG756" s="453"/>
      <c r="GH756" s="454"/>
      <c r="GI756" s="453"/>
      <c r="GJ756" s="453"/>
      <c r="GK756" s="453"/>
      <c r="GL756" s="453"/>
      <c r="GM756" s="453"/>
      <c r="GN756" s="453"/>
      <c r="GO756" s="453"/>
      <c r="GP756" s="453"/>
      <c r="GQ756" s="453"/>
      <c r="GR756" s="453"/>
      <c r="GS756" s="561"/>
      <c r="GT756" s="475"/>
      <c r="GU756" s="472"/>
      <c r="GV756" s="453"/>
      <c r="GW756" s="453"/>
      <c r="GX756" s="869"/>
      <c r="GY756" s="870"/>
      <c r="GZ756" s="867"/>
      <c r="HA756" s="868"/>
      <c r="HB756" s="473"/>
      <c r="HC756" s="869"/>
      <c r="HD756" s="870"/>
      <c r="HE756" s="867"/>
      <c r="HF756" s="868"/>
      <c r="HG756" s="473"/>
      <c r="HH756" s="867"/>
      <c r="HI756" s="868"/>
      <c r="HJ756" s="867"/>
      <c r="HK756" s="868"/>
      <c r="HL756" s="370"/>
      <c r="HM756" s="865"/>
      <c r="HN756" s="866"/>
      <c r="HO756" s="865"/>
      <c r="HP756" s="866"/>
      <c r="HQ756" s="865"/>
      <c r="HR756" s="866"/>
      <c r="HS756" s="867"/>
      <c r="HT756" s="868"/>
      <c r="HU756" s="489"/>
      <c r="HV756" s="865"/>
      <c r="HW756" s="866"/>
    </row>
    <row r="757" spans="25:231" ht="15" customHeight="1">
      <c r="Y757" s="332"/>
      <c r="Z757" s="332"/>
      <c r="AA757" s="332"/>
      <c r="AB757" s="332"/>
      <c r="AC757" s="332"/>
      <c r="AD757" s="332"/>
      <c r="AE757" s="332"/>
      <c r="AF757" s="332"/>
      <c r="AG757" s="332"/>
      <c r="AH757" s="332"/>
      <c r="AI757" s="332"/>
      <c r="AJ757" s="332"/>
      <c r="AK757" s="332"/>
      <c r="AL757" s="332"/>
      <c r="AM757" s="332"/>
      <c r="AN757" s="332"/>
      <c r="AO757" s="332"/>
      <c r="AP757" s="332"/>
      <c r="AQ757" s="332"/>
      <c r="AR757" s="332"/>
      <c r="AS757" s="332"/>
      <c r="AT757" s="332"/>
      <c r="AU757" s="332"/>
      <c r="AV757" s="332"/>
      <c r="AW757" s="332"/>
      <c r="AX757" s="332"/>
      <c r="AY757" s="332"/>
      <c r="AZ757" s="332"/>
      <c r="BA757" s="332"/>
      <c r="BB757" s="332"/>
      <c r="BC757" s="332"/>
      <c r="BD757" s="332"/>
      <c r="BE757" s="332"/>
      <c r="BF757" s="332"/>
      <c r="BG757" s="332"/>
      <c r="BH757" s="332"/>
      <c r="BI757" s="332"/>
      <c r="BJ757" s="332"/>
      <c r="BK757" s="332"/>
      <c r="BL757" s="332"/>
      <c r="BM757" s="332"/>
      <c r="BN757" s="332"/>
      <c r="BO757" s="332"/>
      <c r="BP757" s="332"/>
      <c r="BQ757" s="332"/>
      <c r="BR757" s="332"/>
      <c r="BS757" s="332"/>
      <c r="BT757" s="332"/>
      <c r="BU757" s="332"/>
      <c r="BV757" s="332"/>
      <c r="BW757" s="332"/>
      <c r="BX757" s="332"/>
      <c r="BY757" s="332"/>
      <c r="BZ757" s="332"/>
      <c r="CA757" s="332"/>
      <c r="CB757" s="332"/>
      <c r="CC757" s="332"/>
      <c r="CD757" s="332"/>
      <c r="CE757" s="332"/>
      <c r="CF757" s="332"/>
      <c r="CG757" s="332"/>
      <c r="CH757" s="332"/>
      <c r="CI757" s="332"/>
      <c r="CJ757" s="332"/>
      <c r="CK757" s="332"/>
      <c r="CL757" s="332"/>
      <c r="CM757" s="332"/>
      <c r="CN757" s="332"/>
      <c r="CO757" s="332"/>
      <c r="CP757" s="332"/>
      <c r="CQ757" s="332"/>
      <c r="CR757" s="332"/>
      <c r="CS757" s="332"/>
      <c r="CT757" s="332"/>
      <c r="CU757" s="332"/>
      <c r="CV757" s="332"/>
      <c r="CW757" s="332"/>
      <c r="CX757" s="332"/>
      <c r="CY757" s="332"/>
      <c r="CZ757" s="332"/>
      <c r="DA757" s="332"/>
      <c r="DB757" s="332"/>
      <c r="DC757" s="332"/>
      <c r="DD757" s="332"/>
      <c r="DE757" s="332"/>
      <c r="DF757" s="332"/>
      <c r="DG757" s="332"/>
      <c r="DH757" s="332"/>
      <c r="DI757" s="332"/>
      <c r="DJ757" s="332"/>
      <c r="DK757" s="332"/>
      <c r="DL757" s="332"/>
      <c r="DM757" s="332"/>
      <c r="DN757" s="332"/>
      <c r="DO757" s="332"/>
      <c r="DP757" s="332"/>
      <c r="DQ757" s="332"/>
      <c r="DR757" s="332"/>
      <c r="DS757" s="332"/>
      <c r="DT757" s="332"/>
      <c r="DU757" s="453"/>
      <c r="DV757" s="453"/>
      <c r="DW757" s="453"/>
      <c r="DX757" s="453"/>
      <c r="DY757" s="453"/>
      <c r="DZ757" s="453"/>
      <c r="EA757" s="453"/>
      <c r="EB757" s="453"/>
      <c r="EC757" s="453"/>
      <c r="ED757" s="453"/>
      <c r="EE757" s="453"/>
      <c r="EF757" s="453"/>
      <c r="EG757" s="453"/>
      <c r="EH757" s="453"/>
      <c r="EI757" s="453"/>
      <c r="EJ757" s="453"/>
      <c r="EK757" s="453"/>
      <c r="EL757" s="453"/>
      <c r="EM757" s="483">
        <f t="shared" si="230"/>
        <v>448</v>
      </c>
      <c r="EN757" s="485"/>
      <c r="EO757" s="458"/>
      <c r="EP757" s="467"/>
      <c r="EQ757" s="457"/>
      <c r="ER757" s="808"/>
      <c r="ES757" s="881">
        <f t="shared" si="231"/>
        <v>0</v>
      </c>
      <c r="ET757" s="882"/>
      <c r="EU757" s="883"/>
      <c r="EV757" s="884">
        <f t="shared" si="229"/>
        <v>0</v>
      </c>
      <c r="EW757" s="885"/>
      <c r="EX757" s="885"/>
      <c r="EY757" s="885"/>
      <c r="EZ757" s="885"/>
      <c r="FA757" s="885"/>
      <c r="FB757" s="885"/>
      <c r="FC757" s="885"/>
      <c r="FD757" s="886"/>
      <c r="FE757" s="878"/>
      <c r="FF757" s="878"/>
      <c r="FG757" s="878"/>
      <c r="FH757" s="878"/>
      <c r="FI757" s="878"/>
      <c r="FJ757" s="878"/>
      <c r="FK757" s="878"/>
      <c r="FL757" s="555"/>
      <c r="FM757" s="554"/>
      <c r="FN757" s="554"/>
      <c r="FO757" s="554"/>
      <c r="FP757" s="554"/>
      <c r="FQ757" s="554"/>
      <c r="FR757" s="554"/>
      <c r="FS757" s="554"/>
      <c r="FT757" s="554"/>
      <c r="FU757" s="554"/>
      <c r="FV757" s="554"/>
      <c r="FW757" s="554"/>
      <c r="FX757" s="554"/>
      <c r="FY757" s="554"/>
      <c r="FZ757" s="554"/>
      <c r="GA757" s="554"/>
      <c r="GB757" s="556"/>
      <c r="GC757" s="370"/>
      <c r="GD757" s="453"/>
      <c r="GE757" s="453"/>
      <c r="GF757" s="453"/>
      <c r="GG757" s="453"/>
      <c r="GH757" s="454"/>
      <c r="GI757" s="453"/>
      <c r="GJ757" s="453"/>
      <c r="GK757" s="453"/>
      <c r="GL757" s="453"/>
      <c r="GM757" s="453"/>
      <c r="GN757" s="453"/>
      <c r="GO757" s="453"/>
      <c r="GP757" s="453"/>
      <c r="GQ757" s="453"/>
      <c r="GR757" s="453"/>
      <c r="GS757" s="561"/>
      <c r="GT757" s="475"/>
      <c r="GU757" s="472"/>
      <c r="GV757" s="453"/>
      <c r="GW757" s="453"/>
      <c r="GX757" s="869"/>
      <c r="GY757" s="870"/>
      <c r="GZ757" s="867"/>
      <c r="HA757" s="868"/>
      <c r="HB757" s="473"/>
      <c r="HC757" s="869"/>
      <c r="HD757" s="870"/>
      <c r="HE757" s="867"/>
      <c r="HF757" s="868"/>
      <c r="HG757" s="473"/>
      <c r="HH757" s="867"/>
      <c r="HI757" s="868"/>
      <c r="HJ757" s="867"/>
      <c r="HK757" s="868"/>
      <c r="HL757" s="370"/>
      <c r="HM757" s="865"/>
      <c r="HN757" s="866"/>
      <c r="HO757" s="865"/>
      <c r="HP757" s="866"/>
      <c r="HQ757" s="865"/>
      <c r="HR757" s="866"/>
      <c r="HS757" s="867"/>
      <c r="HT757" s="868"/>
      <c r="HU757" s="489"/>
      <c r="HV757" s="865"/>
      <c r="HW757" s="866"/>
    </row>
    <row r="758" spans="25:231" ht="15" customHeight="1">
      <c r="Y758" s="332"/>
      <c r="Z758" s="332"/>
      <c r="AA758" s="332"/>
      <c r="AB758" s="332"/>
      <c r="AC758" s="332"/>
      <c r="AD758" s="332"/>
      <c r="AE758" s="332"/>
      <c r="AF758" s="332"/>
      <c r="AG758" s="332"/>
      <c r="AH758" s="332"/>
      <c r="AI758" s="332"/>
      <c r="AJ758" s="332"/>
      <c r="AK758" s="332"/>
      <c r="AL758" s="332"/>
      <c r="AM758" s="332"/>
      <c r="AN758" s="332"/>
      <c r="AO758" s="332"/>
      <c r="AP758" s="332"/>
      <c r="AQ758" s="332"/>
      <c r="AR758" s="332"/>
      <c r="AS758" s="332"/>
      <c r="AT758" s="332"/>
      <c r="AU758" s="332"/>
      <c r="AV758" s="332"/>
      <c r="AW758" s="332"/>
      <c r="AX758" s="332"/>
      <c r="AY758" s="332"/>
      <c r="AZ758" s="332"/>
      <c r="BA758" s="332"/>
      <c r="BB758" s="332"/>
      <c r="BC758" s="332"/>
      <c r="BD758" s="332"/>
      <c r="BE758" s="332"/>
      <c r="BF758" s="332"/>
      <c r="BG758" s="332"/>
      <c r="BH758" s="332"/>
      <c r="BI758" s="332"/>
      <c r="BJ758" s="332"/>
      <c r="BK758" s="332"/>
      <c r="BL758" s="332"/>
      <c r="BM758" s="332"/>
      <c r="BN758" s="332"/>
      <c r="BO758" s="332"/>
      <c r="BP758" s="332"/>
      <c r="BQ758" s="332"/>
      <c r="BR758" s="332"/>
      <c r="BS758" s="332"/>
      <c r="BT758" s="332"/>
      <c r="BU758" s="332"/>
      <c r="BV758" s="332"/>
      <c r="BW758" s="332"/>
      <c r="BX758" s="332"/>
      <c r="BY758" s="332"/>
      <c r="BZ758" s="332"/>
      <c r="CA758" s="332"/>
      <c r="CB758" s="332"/>
      <c r="CC758" s="332"/>
      <c r="CD758" s="332"/>
      <c r="CE758" s="332"/>
      <c r="CF758" s="332"/>
      <c r="CG758" s="332"/>
      <c r="CH758" s="332"/>
      <c r="CI758" s="332"/>
      <c r="CJ758" s="332"/>
      <c r="CK758" s="332"/>
      <c r="CL758" s="332"/>
      <c r="CM758" s="332"/>
      <c r="CN758" s="332"/>
      <c r="CO758" s="332"/>
      <c r="CP758" s="332"/>
      <c r="CQ758" s="332"/>
      <c r="CR758" s="332"/>
      <c r="CS758" s="332"/>
      <c r="CT758" s="332"/>
      <c r="CU758" s="332"/>
      <c r="CV758" s="332"/>
      <c r="CW758" s="332"/>
      <c r="CX758" s="332"/>
      <c r="CY758" s="332"/>
      <c r="CZ758" s="332"/>
      <c r="DA758" s="332"/>
      <c r="DB758" s="332"/>
      <c r="DC758" s="332"/>
      <c r="DD758" s="332"/>
      <c r="DE758" s="332"/>
      <c r="DF758" s="332"/>
      <c r="DG758" s="332"/>
      <c r="DH758" s="332"/>
      <c r="DI758" s="332"/>
      <c r="DJ758" s="332"/>
      <c r="DK758" s="332"/>
      <c r="DL758" s="332"/>
      <c r="DM758" s="332"/>
      <c r="DN758" s="332"/>
      <c r="DO758" s="332"/>
      <c r="DP758" s="332"/>
      <c r="DQ758" s="332"/>
      <c r="DR758" s="332"/>
      <c r="DS758" s="332"/>
      <c r="DT758" s="332"/>
      <c r="DU758" s="453"/>
      <c r="DV758" s="453"/>
      <c r="DW758" s="453"/>
      <c r="DX758" s="453"/>
      <c r="DY758" s="453"/>
      <c r="DZ758" s="453"/>
      <c r="EA758" s="453"/>
      <c r="EB758" s="453"/>
      <c r="EC758" s="453"/>
      <c r="ED758" s="453"/>
      <c r="EE758" s="453"/>
      <c r="EF758" s="453"/>
      <c r="EG758" s="453"/>
      <c r="EH758" s="453"/>
      <c r="EI758" s="453"/>
      <c r="EJ758" s="453"/>
      <c r="EK758" s="453"/>
      <c r="EL758" s="453"/>
      <c r="EM758" s="483">
        <f t="shared" si="230"/>
        <v>449</v>
      </c>
      <c r="EN758" s="485"/>
      <c r="EO758" s="458"/>
      <c r="EP758" s="467"/>
      <c r="EQ758" s="457"/>
      <c r="ER758" s="808"/>
      <c r="ES758" s="881">
        <f t="shared" si="231"/>
        <v>0</v>
      </c>
      <c r="ET758" s="882"/>
      <c r="EU758" s="883"/>
      <c r="EV758" s="884">
        <f t="shared" ref="EV758:EV1507" si="232">+IF(OR(EO758 = "", EP758 = 0, EP758 = "", EQ758 = 0, EQ758 = "", ER758 = 0, ER758 = ""), 0,
IF(EO758 &lt;&gt; "ACCION",
IF(EP758 &gt; 0, EP758 * ER758 * -100 * ( 1 + COMIS_OPCION), EP758 * ER758 * -100 * ( 1 - COMIS_OPCION)),
IF(EP758 &gt; 0, EP758 * ER758 * -1 * ( 1 + COMIS_ACCION), EP758 * ER758 * -1 * ( 1 - COMIS_ACCION))  ))</f>
        <v>0</v>
      </c>
      <c r="EW758" s="885"/>
      <c r="EX758" s="885"/>
      <c r="EY758" s="885"/>
      <c r="EZ758" s="885"/>
      <c r="FA758" s="885"/>
      <c r="FB758" s="885"/>
      <c r="FC758" s="885"/>
      <c r="FD758" s="886"/>
      <c r="FE758" s="878"/>
      <c r="FF758" s="878"/>
      <c r="FG758" s="878"/>
      <c r="FH758" s="878"/>
      <c r="FI758" s="878"/>
      <c r="FJ758" s="878"/>
      <c r="FK758" s="878"/>
      <c r="FL758" s="555"/>
      <c r="FM758" s="554"/>
      <c r="FN758" s="554"/>
      <c r="FO758" s="554"/>
      <c r="FP758" s="554"/>
      <c r="FQ758" s="554"/>
      <c r="FR758" s="554"/>
      <c r="FS758" s="554"/>
      <c r="FT758" s="554"/>
      <c r="FU758" s="554"/>
      <c r="FV758" s="554"/>
      <c r="FW758" s="554"/>
      <c r="FX758" s="554"/>
      <c r="FY758" s="554"/>
      <c r="FZ758" s="554"/>
      <c r="GA758" s="554"/>
      <c r="GB758" s="556"/>
      <c r="GC758" s="370"/>
      <c r="GD758" s="453"/>
      <c r="GE758" s="453"/>
      <c r="GF758" s="453"/>
      <c r="GG758" s="453"/>
      <c r="GH758" s="454"/>
      <c r="GI758" s="453"/>
      <c r="GJ758" s="453"/>
      <c r="GK758" s="453"/>
      <c r="GL758" s="453"/>
      <c r="GM758" s="453"/>
      <c r="GN758" s="453"/>
      <c r="GO758" s="453"/>
      <c r="GP758" s="453"/>
      <c r="GQ758" s="453"/>
      <c r="GR758" s="453"/>
      <c r="GS758" s="561"/>
      <c r="GT758" s="475"/>
      <c r="GU758" s="472"/>
      <c r="GV758" s="453"/>
      <c r="GW758" s="453"/>
      <c r="GX758" s="869"/>
      <c r="GY758" s="870"/>
      <c r="GZ758" s="867"/>
      <c r="HA758" s="868"/>
      <c r="HB758" s="473"/>
      <c r="HC758" s="869"/>
      <c r="HD758" s="870"/>
      <c r="HE758" s="867"/>
      <c r="HF758" s="868"/>
      <c r="HG758" s="473"/>
      <c r="HH758" s="867"/>
      <c r="HI758" s="868"/>
      <c r="HJ758" s="867"/>
      <c r="HK758" s="868"/>
      <c r="HL758" s="370"/>
      <c r="HM758" s="865"/>
      <c r="HN758" s="866"/>
      <c r="HO758" s="865"/>
      <c r="HP758" s="866"/>
      <c r="HQ758" s="865"/>
      <c r="HR758" s="866"/>
      <c r="HS758" s="867"/>
      <c r="HT758" s="868"/>
      <c r="HU758" s="489"/>
      <c r="HV758" s="865"/>
      <c r="HW758" s="866"/>
    </row>
    <row r="759" spans="25:231" ht="15" customHeight="1">
      <c r="Y759" s="332"/>
      <c r="Z759" s="332"/>
      <c r="AA759" s="332"/>
      <c r="AB759" s="332"/>
      <c r="AC759" s="332"/>
      <c r="AD759" s="332"/>
      <c r="AE759" s="332"/>
      <c r="AF759" s="332"/>
      <c r="AG759" s="332"/>
      <c r="AH759" s="332"/>
      <c r="AI759" s="332"/>
      <c r="AJ759" s="332"/>
      <c r="AK759" s="332"/>
      <c r="AL759" s="332"/>
      <c r="AM759" s="332"/>
      <c r="AN759" s="332"/>
      <c r="AO759" s="332"/>
      <c r="AP759" s="332"/>
      <c r="AQ759" s="332"/>
      <c r="AR759" s="332"/>
      <c r="AS759" s="332"/>
      <c r="AT759" s="332"/>
      <c r="AU759" s="332"/>
      <c r="AV759" s="332"/>
      <c r="AW759" s="332"/>
      <c r="AX759" s="332"/>
      <c r="AY759" s="332"/>
      <c r="AZ759" s="332"/>
      <c r="BA759" s="332"/>
      <c r="BB759" s="332"/>
      <c r="BC759" s="332"/>
      <c r="BD759" s="332"/>
      <c r="BE759" s="332"/>
      <c r="BF759" s="332"/>
      <c r="BG759" s="332"/>
      <c r="BH759" s="332"/>
      <c r="BI759" s="332"/>
      <c r="BJ759" s="332"/>
      <c r="BK759" s="332"/>
      <c r="BL759" s="332"/>
      <c r="BM759" s="332"/>
      <c r="BN759" s="332"/>
      <c r="BO759" s="332"/>
      <c r="BP759" s="332"/>
      <c r="BQ759" s="332"/>
      <c r="BR759" s="332"/>
      <c r="BS759" s="332"/>
      <c r="BT759" s="332"/>
      <c r="BU759" s="332"/>
      <c r="BV759" s="332"/>
      <c r="BW759" s="332"/>
      <c r="BX759" s="332"/>
      <c r="BY759" s="332"/>
      <c r="BZ759" s="332"/>
      <c r="CA759" s="332"/>
      <c r="CB759" s="332"/>
      <c r="CC759" s="332"/>
      <c r="CD759" s="332"/>
      <c r="CE759" s="332"/>
      <c r="CF759" s="332"/>
      <c r="CG759" s="332"/>
      <c r="CH759" s="332"/>
      <c r="CI759" s="332"/>
      <c r="CJ759" s="332"/>
      <c r="CK759" s="332"/>
      <c r="CL759" s="332"/>
      <c r="CM759" s="332"/>
      <c r="CN759" s="332"/>
      <c r="CO759" s="332"/>
      <c r="CP759" s="332"/>
      <c r="CQ759" s="332"/>
      <c r="CR759" s="332"/>
      <c r="CS759" s="332"/>
      <c r="CT759" s="332"/>
      <c r="CU759" s="332"/>
      <c r="CV759" s="332"/>
      <c r="CW759" s="332"/>
      <c r="CX759" s="332"/>
      <c r="CY759" s="332"/>
      <c r="CZ759" s="332"/>
      <c r="DA759" s="332"/>
      <c r="DB759" s="332"/>
      <c r="DC759" s="332"/>
      <c r="DD759" s="332"/>
      <c r="DE759" s="332"/>
      <c r="DF759" s="332"/>
      <c r="DG759" s="332"/>
      <c r="DH759" s="332"/>
      <c r="DI759" s="332"/>
      <c r="DJ759" s="332"/>
      <c r="DK759" s="332"/>
      <c r="DL759" s="332"/>
      <c r="DM759" s="332"/>
      <c r="DN759" s="332"/>
      <c r="DO759" s="332"/>
      <c r="DP759" s="332"/>
      <c r="DQ759" s="332"/>
      <c r="DR759" s="332"/>
      <c r="DS759" s="332"/>
      <c r="DT759" s="332"/>
      <c r="DU759" s="453"/>
      <c r="DV759" s="453"/>
      <c r="DW759" s="453"/>
      <c r="DX759" s="453"/>
      <c r="DY759" s="453"/>
      <c r="DZ759" s="453"/>
      <c r="EA759" s="453"/>
      <c r="EB759" s="453"/>
      <c r="EC759" s="453"/>
      <c r="ED759" s="453"/>
      <c r="EE759" s="453"/>
      <c r="EF759" s="453"/>
      <c r="EG759" s="453"/>
      <c r="EH759" s="453"/>
      <c r="EI759" s="453"/>
      <c r="EJ759" s="453"/>
      <c r="EK759" s="453"/>
      <c r="EL759" s="453"/>
      <c r="EM759" s="483">
        <f t="shared" si="230"/>
        <v>450</v>
      </c>
      <c r="EN759" s="485"/>
      <c r="EO759" s="458"/>
      <c r="EP759" s="467"/>
      <c r="EQ759" s="457"/>
      <c r="ER759" s="808"/>
      <c r="ES759" s="881">
        <f t="shared" si="231"/>
        <v>0</v>
      </c>
      <c r="ET759" s="882"/>
      <c r="EU759" s="883"/>
      <c r="EV759" s="884">
        <f t="shared" si="232"/>
        <v>0</v>
      </c>
      <c r="EW759" s="885"/>
      <c r="EX759" s="885"/>
      <c r="EY759" s="885"/>
      <c r="EZ759" s="885"/>
      <c r="FA759" s="885"/>
      <c r="FB759" s="885"/>
      <c r="FC759" s="885"/>
      <c r="FD759" s="886"/>
      <c r="FE759" s="878"/>
      <c r="FF759" s="878"/>
      <c r="FG759" s="878"/>
      <c r="FH759" s="878"/>
      <c r="FI759" s="878"/>
      <c r="FJ759" s="878"/>
      <c r="FK759" s="878"/>
      <c r="FL759" s="555"/>
      <c r="FM759" s="554"/>
      <c r="FN759" s="554"/>
      <c r="FO759" s="554"/>
      <c r="FP759" s="554"/>
      <c r="FQ759" s="554"/>
      <c r="FR759" s="554"/>
      <c r="FS759" s="554"/>
      <c r="FT759" s="554"/>
      <c r="FU759" s="554"/>
      <c r="FV759" s="554"/>
      <c r="FW759" s="554"/>
      <c r="FX759" s="554"/>
      <c r="FY759" s="554"/>
      <c r="FZ759" s="554"/>
      <c r="GA759" s="554"/>
      <c r="GB759" s="556"/>
      <c r="GC759" s="370"/>
      <c r="GD759" s="453"/>
      <c r="GE759" s="453"/>
      <c r="GF759" s="453"/>
      <c r="GG759" s="453"/>
      <c r="GH759" s="454"/>
      <c r="GI759" s="453"/>
      <c r="GJ759" s="453"/>
      <c r="GK759" s="453"/>
      <c r="GL759" s="453"/>
      <c r="GM759" s="453"/>
      <c r="GN759" s="453"/>
      <c r="GO759" s="453"/>
      <c r="GP759" s="453"/>
      <c r="GQ759" s="453"/>
      <c r="GR759" s="453"/>
      <c r="GS759" s="561"/>
      <c r="GT759" s="475"/>
      <c r="GU759" s="472"/>
      <c r="GV759" s="453"/>
      <c r="GW759" s="453"/>
      <c r="GX759" s="869"/>
      <c r="GY759" s="870"/>
      <c r="GZ759" s="867"/>
      <c r="HA759" s="868"/>
      <c r="HB759" s="473"/>
      <c r="HC759" s="869"/>
      <c r="HD759" s="870"/>
      <c r="HE759" s="867"/>
      <c r="HF759" s="868"/>
      <c r="HG759" s="473"/>
      <c r="HH759" s="867"/>
      <c r="HI759" s="868"/>
      <c r="HJ759" s="867"/>
      <c r="HK759" s="868"/>
      <c r="HL759" s="370"/>
      <c r="HM759" s="865"/>
      <c r="HN759" s="866"/>
      <c r="HO759" s="865"/>
      <c r="HP759" s="866"/>
      <c r="HQ759" s="865"/>
      <c r="HR759" s="866"/>
      <c r="HS759" s="867"/>
      <c r="HT759" s="868"/>
      <c r="HU759" s="489"/>
      <c r="HV759" s="865"/>
      <c r="HW759" s="866"/>
    </row>
    <row r="760" spans="25:231" ht="15" customHeight="1">
      <c r="Y760" s="332"/>
      <c r="Z760" s="332"/>
      <c r="AA760" s="332"/>
      <c r="AB760" s="332"/>
      <c r="AC760" s="332"/>
      <c r="AD760" s="332"/>
      <c r="AE760" s="332"/>
      <c r="AF760" s="332"/>
      <c r="AG760" s="332"/>
      <c r="AH760" s="332"/>
      <c r="AI760" s="332"/>
      <c r="AJ760" s="332"/>
      <c r="AK760" s="332"/>
      <c r="AL760" s="332"/>
      <c r="AM760" s="332"/>
      <c r="AN760" s="332"/>
      <c r="AO760" s="332"/>
      <c r="AP760" s="332"/>
      <c r="AQ760" s="332"/>
      <c r="AR760" s="332"/>
      <c r="AS760" s="332"/>
      <c r="AT760" s="332"/>
      <c r="AU760" s="332"/>
      <c r="AV760" s="332"/>
      <c r="AW760" s="332"/>
      <c r="AX760" s="332"/>
      <c r="AY760" s="332"/>
      <c r="AZ760" s="332"/>
      <c r="BA760" s="332"/>
      <c r="BB760" s="332"/>
      <c r="BC760" s="332"/>
      <c r="BD760" s="332"/>
      <c r="BE760" s="332"/>
      <c r="BF760" s="332"/>
      <c r="BG760" s="332"/>
      <c r="BH760" s="332"/>
      <c r="BI760" s="332"/>
      <c r="BJ760" s="332"/>
      <c r="BK760" s="332"/>
      <c r="BL760" s="332"/>
      <c r="BM760" s="332"/>
      <c r="BN760" s="332"/>
      <c r="BO760" s="332"/>
      <c r="BP760" s="332"/>
      <c r="BQ760" s="332"/>
      <c r="BR760" s="332"/>
      <c r="BS760" s="332"/>
      <c r="BT760" s="332"/>
      <c r="BU760" s="332"/>
      <c r="BV760" s="332"/>
      <c r="BW760" s="332"/>
      <c r="BX760" s="332"/>
      <c r="BY760" s="332"/>
      <c r="BZ760" s="332"/>
      <c r="CA760" s="332"/>
      <c r="CB760" s="332"/>
      <c r="CC760" s="332"/>
      <c r="CD760" s="332"/>
      <c r="CE760" s="332"/>
      <c r="CF760" s="332"/>
      <c r="CG760" s="332"/>
      <c r="CH760" s="332"/>
      <c r="CI760" s="332"/>
      <c r="CJ760" s="332"/>
      <c r="CK760" s="332"/>
      <c r="CL760" s="332"/>
      <c r="CM760" s="332"/>
      <c r="CN760" s="332"/>
      <c r="CO760" s="332"/>
      <c r="CP760" s="332"/>
      <c r="CQ760" s="332"/>
      <c r="CR760" s="332"/>
      <c r="CS760" s="332"/>
      <c r="CT760" s="332"/>
      <c r="CU760" s="332"/>
      <c r="CV760" s="332"/>
      <c r="CW760" s="332"/>
      <c r="CX760" s="332"/>
      <c r="CY760" s="332"/>
      <c r="CZ760" s="332"/>
      <c r="DA760" s="332"/>
      <c r="DB760" s="332"/>
      <c r="DC760" s="332"/>
      <c r="DD760" s="332"/>
      <c r="DE760" s="332"/>
      <c r="DF760" s="332"/>
      <c r="DG760" s="332"/>
      <c r="DH760" s="332"/>
      <c r="DI760" s="332"/>
      <c r="DJ760" s="332"/>
      <c r="DK760" s="332"/>
      <c r="DL760" s="332"/>
      <c r="DM760" s="332"/>
      <c r="DN760" s="332"/>
      <c r="DO760" s="332"/>
      <c r="DP760" s="332"/>
      <c r="DQ760" s="332"/>
      <c r="DR760" s="332"/>
      <c r="DS760" s="332"/>
      <c r="DT760" s="332"/>
      <c r="DU760" s="453"/>
      <c r="DV760" s="453"/>
      <c r="DW760" s="453"/>
      <c r="DX760" s="453"/>
      <c r="DY760" s="453"/>
      <c r="DZ760" s="453"/>
      <c r="EA760" s="453"/>
      <c r="EB760" s="453"/>
      <c r="EC760" s="453"/>
      <c r="ED760" s="453"/>
      <c r="EE760" s="453"/>
      <c r="EF760" s="453"/>
      <c r="EG760" s="453"/>
      <c r="EH760" s="453"/>
      <c r="EI760" s="453"/>
      <c r="EJ760" s="453"/>
      <c r="EK760" s="453"/>
      <c r="EL760" s="453"/>
      <c r="EM760" s="483">
        <f t="shared" ref="EM760:EM823" si="233">+EM759+1</f>
        <v>451</v>
      </c>
      <c r="EN760" s="485"/>
      <c r="EO760" s="458"/>
      <c r="EP760" s="467"/>
      <c r="EQ760" s="457"/>
      <c r="ER760" s="808"/>
      <c r="ES760" s="881">
        <f t="shared" si="231"/>
        <v>0</v>
      </c>
      <c r="ET760" s="882"/>
      <c r="EU760" s="883"/>
      <c r="EV760" s="884">
        <f t="shared" si="232"/>
        <v>0</v>
      </c>
      <c r="EW760" s="885"/>
      <c r="EX760" s="885"/>
      <c r="EY760" s="885"/>
      <c r="EZ760" s="885"/>
      <c r="FA760" s="885"/>
      <c r="FB760" s="885"/>
      <c r="FC760" s="885"/>
      <c r="FD760" s="886"/>
      <c r="FE760" s="878"/>
      <c r="FF760" s="878"/>
      <c r="FG760" s="878"/>
      <c r="FH760" s="878"/>
      <c r="FI760" s="878"/>
      <c r="FJ760" s="878"/>
      <c r="FK760" s="878"/>
      <c r="FL760" s="555"/>
      <c r="FM760" s="554"/>
      <c r="FN760" s="554"/>
      <c r="FO760" s="554"/>
      <c r="FP760" s="554"/>
      <c r="FQ760" s="554"/>
      <c r="FR760" s="554"/>
      <c r="FS760" s="554"/>
      <c r="FT760" s="554"/>
      <c r="FU760" s="554"/>
      <c r="FV760" s="554"/>
      <c r="FW760" s="554"/>
      <c r="FX760" s="554"/>
      <c r="FY760" s="554"/>
      <c r="FZ760" s="554"/>
      <c r="GA760" s="554"/>
      <c r="GB760" s="556"/>
      <c r="GC760" s="370"/>
      <c r="GD760" s="453"/>
      <c r="GE760" s="453"/>
      <c r="GF760" s="453"/>
      <c r="GG760" s="453"/>
      <c r="GH760" s="454"/>
      <c r="GI760" s="453"/>
      <c r="GJ760" s="453"/>
      <c r="GK760" s="453"/>
      <c r="GL760" s="453"/>
      <c r="GM760" s="453"/>
      <c r="GN760" s="453"/>
      <c r="GO760" s="453"/>
      <c r="GP760" s="453"/>
      <c r="GQ760" s="453"/>
      <c r="GR760" s="453"/>
      <c r="GS760" s="561"/>
      <c r="GT760" s="475"/>
      <c r="GU760" s="472"/>
      <c r="GV760" s="453"/>
      <c r="GW760" s="453"/>
      <c r="GX760" s="869"/>
      <c r="GY760" s="870"/>
      <c r="GZ760" s="867"/>
      <c r="HA760" s="868"/>
      <c r="HB760" s="473"/>
      <c r="HC760" s="869"/>
      <c r="HD760" s="870"/>
      <c r="HE760" s="867"/>
      <c r="HF760" s="868"/>
      <c r="HG760" s="473"/>
      <c r="HH760" s="867"/>
      <c r="HI760" s="868"/>
      <c r="HJ760" s="867"/>
      <c r="HK760" s="868"/>
      <c r="HL760" s="370"/>
      <c r="HM760" s="865"/>
      <c r="HN760" s="866"/>
      <c r="HO760" s="865"/>
      <c r="HP760" s="866"/>
      <c r="HQ760" s="865"/>
      <c r="HR760" s="866"/>
      <c r="HS760" s="867"/>
      <c r="HT760" s="868"/>
      <c r="HU760" s="489"/>
      <c r="HV760" s="865"/>
      <c r="HW760" s="866"/>
    </row>
    <row r="761" spans="25:231" ht="15" customHeight="1">
      <c r="Y761" s="332"/>
      <c r="Z761" s="332"/>
      <c r="AA761" s="332"/>
      <c r="AB761" s="332"/>
      <c r="AC761" s="332"/>
      <c r="AD761" s="332"/>
      <c r="AE761" s="332"/>
      <c r="AF761" s="332"/>
      <c r="AG761" s="332"/>
      <c r="AH761" s="332"/>
      <c r="AI761" s="332"/>
      <c r="AJ761" s="332"/>
      <c r="AK761" s="332"/>
      <c r="AL761" s="332"/>
      <c r="AM761" s="332"/>
      <c r="AN761" s="332"/>
      <c r="AO761" s="332"/>
      <c r="AP761" s="332"/>
      <c r="AQ761" s="332"/>
      <c r="AR761" s="332"/>
      <c r="AS761" s="332"/>
      <c r="AT761" s="332"/>
      <c r="AU761" s="332"/>
      <c r="AV761" s="332"/>
      <c r="AW761" s="332"/>
      <c r="AX761" s="332"/>
      <c r="AY761" s="332"/>
      <c r="AZ761" s="332"/>
      <c r="BA761" s="332"/>
      <c r="BB761" s="332"/>
      <c r="BC761" s="332"/>
      <c r="BD761" s="332"/>
      <c r="BE761" s="332"/>
      <c r="BF761" s="332"/>
      <c r="BG761" s="332"/>
      <c r="BH761" s="332"/>
      <c r="BI761" s="332"/>
      <c r="BJ761" s="332"/>
      <c r="BK761" s="332"/>
      <c r="BL761" s="332"/>
      <c r="BM761" s="332"/>
      <c r="BN761" s="332"/>
      <c r="BO761" s="332"/>
      <c r="BP761" s="332"/>
      <c r="BQ761" s="332"/>
      <c r="BR761" s="332"/>
      <c r="BS761" s="332"/>
      <c r="BT761" s="332"/>
      <c r="BU761" s="332"/>
      <c r="BV761" s="332"/>
      <c r="BW761" s="332"/>
      <c r="BX761" s="332"/>
      <c r="BY761" s="332"/>
      <c r="BZ761" s="332"/>
      <c r="CA761" s="332"/>
      <c r="CB761" s="332"/>
      <c r="CC761" s="332"/>
      <c r="CD761" s="332"/>
      <c r="CE761" s="332"/>
      <c r="CF761" s="332"/>
      <c r="CG761" s="332"/>
      <c r="CH761" s="332"/>
      <c r="CI761" s="332"/>
      <c r="CJ761" s="332"/>
      <c r="CK761" s="332"/>
      <c r="CL761" s="332"/>
      <c r="CM761" s="332"/>
      <c r="CN761" s="332"/>
      <c r="CO761" s="332"/>
      <c r="CP761" s="332"/>
      <c r="CQ761" s="332"/>
      <c r="CR761" s="332"/>
      <c r="CS761" s="332"/>
      <c r="CT761" s="332"/>
      <c r="CU761" s="332"/>
      <c r="CV761" s="332"/>
      <c r="CW761" s="332"/>
      <c r="CX761" s="332"/>
      <c r="CY761" s="332"/>
      <c r="CZ761" s="332"/>
      <c r="DA761" s="332"/>
      <c r="DB761" s="332"/>
      <c r="DC761" s="332"/>
      <c r="DD761" s="332"/>
      <c r="DE761" s="332"/>
      <c r="DF761" s="332"/>
      <c r="DG761" s="332"/>
      <c r="DH761" s="332"/>
      <c r="DI761" s="332"/>
      <c r="DJ761" s="332"/>
      <c r="DK761" s="332"/>
      <c r="DL761" s="332"/>
      <c r="DM761" s="332"/>
      <c r="DN761" s="332"/>
      <c r="DO761" s="332"/>
      <c r="DP761" s="332"/>
      <c r="DQ761" s="332"/>
      <c r="DR761" s="332"/>
      <c r="DS761" s="332"/>
      <c r="DT761" s="332"/>
      <c r="DU761" s="453"/>
      <c r="DV761" s="453"/>
      <c r="DW761" s="453"/>
      <c r="DX761" s="453"/>
      <c r="DY761" s="453"/>
      <c r="DZ761" s="453"/>
      <c r="EA761" s="453"/>
      <c r="EB761" s="453"/>
      <c r="EC761" s="453"/>
      <c r="ED761" s="453"/>
      <c r="EE761" s="453"/>
      <c r="EF761" s="453"/>
      <c r="EG761" s="453"/>
      <c r="EH761" s="453"/>
      <c r="EI761" s="453"/>
      <c r="EJ761" s="453"/>
      <c r="EK761" s="453"/>
      <c r="EL761" s="453"/>
      <c r="EM761" s="483">
        <f t="shared" si="233"/>
        <v>452</v>
      </c>
      <c r="EN761" s="485"/>
      <c r="EO761" s="458"/>
      <c r="EP761" s="467"/>
      <c r="EQ761" s="457"/>
      <c r="ER761" s="808"/>
      <c r="ES761" s="881">
        <f t="shared" si="231"/>
        <v>0</v>
      </c>
      <c r="ET761" s="882"/>
      <c r="EU761" s="883"/>
      <c r="EV761" s="884">
        <f t="shared" si="232"/>
        <v>0</v>
      </c>
      <c r="EW761" s="885"/>
      <c r="EX761" s="885"/>
      <c r="EY761" s="885"/>
      <c r="EZ761" s="885"/>
      <c r="FA761" s="885"/>
      <c r="FB761" s="885"/>
      <c r="FC761" s="885"/>
      <c r="FD761" s="886"/>
      <c r="FE761" s="878"/>
      <c r="FF761" s="878"/>
      <c r="FG761" s="878"/>
      <c r="FH761" s="878"/>
      <c r="FI761" s="878"/>
      <c r="FJ761" s="878"/>
      <c r="FK761" s="878"/>
      <c r="FL761" s="555"/>
      <c r="FM761" s="554"/>
      <c r="FN761" s="554"/>
      <c r="FO761" s="554"/>
      <c r="FP761" s="554"/>
      <c r="FQ761" s="554"/>
      <c r="FR761" s="554"/>
      <c r="FS761" s="554"/>
      <c r="FT761" s="554"/>
      <c r="FU761" s="554"/>
      <c r="FV761" s="554"/>
      <c r="FW761" s="554"/>
      <c r="FX761" s="554"/>
      <c r="FY761" s="554"/>
      <c r="FZ761" s="554"/>
      <c r="GA761" s="554"/>
      <c r="GB761" s="556"/>
      <c r="GC761" s="370"/>
      <c r="GD761" s="453"/>
      <c r="GE761" s="453"/>
      <c r="GF761" s="453"/>
      <c r="GG761" s="453"/>
      <c r="GH761" s="454"/>
      <c r="GI761" s="453"/>
      <c r="GJ761" s="453"/>
      <c r="GK761" s="453"/>
      <c r="GL761" s="453"/>
      <c r="GM761" s="453"/>
      <c r="GN761" s="453"/>
      <c r="GO761" s="453"/>
      <c r="GP761" s="453"/>
      <c r="GQ761" s="453"/>
      <c r="GR761" s="453"/>
      <c r="GS761" s="561"/>
      <c r="GT761" s="475"/>
      <c r="GU761" s="472"/>
      <c r="GV761" s="453"/>
      <c r="GW761" s="453"/>
      <c r="GX761" s="869"/>
      <c r="GY761" s="870"/>
      <c r="GZ761" s="867"/>
      <c r="HA761" s="868"/>
      <c r="HB761" s="473"/>
      <c r="HC761" s="869"/>
      <c r="HD761" s="870"/>
      <c r="HE761" s="867"/>
      <c r="HF761" s="868"/>
      <c r="HG761" s="473"/>
      <c r="HH761" s="867"/>
      <c r="HI761" s="868"/>
      <c r="HJ761" s="867"/>
      <c r="HK761" s="868"/>
      <c r="HL761" s="370"/>
      <c r="HM761" s="865"/>
      <c r="HN761" s="866"/>
      <c r="HO761" s="865"/>
      <c r="HP761" s="866"/>
      <c r="HQ761" s="865"/>
      <c r="HR761" s="866"/>
      <c r="HS761" s="867"/>
      <c r="HT761" s="868"/>
      <c r="HU761" s="489"/>
      <c r="HV761" s="865"/>
      <c r="HW761" s="866"/>
    </row>
    <row r="762" spans="25:231" ht="15" customHeight="1">
      <c r="Y762" s="332"/>
      <c r="Z762" s="332"/>
      <c r="AA762" s="332"/>
      <c r="AB762" s="332"/>
      <c r="AC762" s="332"/>
      <c r="AD762" s="332"/>
      <c r="AE762" s="332"/>
      <c r="AF762" s="332"/>
      <c r="AG762" s="332"/>
      <c r="AH762" s="332"/>
      <c r="AI762" s="332"/>
      <c r="AJ762" s="332"/>
      <c r="AK762" s="332"/>
      <c r="AL762" s="332"/>
      <c r="AM762" s="332"/>
      <c r="AN762" s="332"/>
      <c r="AO762" s="332"/>
      <c r="AP762" s="332"/>
      <c r="AQ762" s="332"/>
      <c r="AR762" s="332"/>
      <c r="AS762" s="332"/>
      <c r="AT762" s="332"/>
      <c r="AU762" s="332"/>
      <c r="AV762" s="332"/>
      <c r="AW762" s="332"/>
      <c r="AX762" s="332"/>
      <c r="AY762" s="332"/>
      <c r="AZ762" s="332"/>
      <c r="BA762" s="332"/>
      <c r="BB762" s="332"/>
      <c r="BC762" s="332"/>
      <c r="BD762" s="332"/>
      <c r="BE762" s="332"/>
      <c r="BF762" s="332"/>
      <c r="BG762" s="332"/>
      <c r="BH762" s="332"/>
      <c r="BI762" s="332"/>
      <c r="BJ762" s="332"/>
      <c r="BK762" s="332"/>
      <c r="BL762" s="332"/>
      <c r="BM762" s="332"/>
      <c r="BN762" s="332"/>
      <c r="BO762" s="332"/>
      <c r="BP762" s="332"/>
      <c r="BQ762" s="332"/>
      <c r="BR762" s="332"/>
      <c r="BS762" s="332"/>
      <c r="BT762" s="332"/>
      <c r="BU762" s="332"/>
      <c r="BV762" s="332"/>
      <c r="BW762" s="332"/>
      <c r="BX762" s="332"/>
      <c r="BY762" s="332"/>
      <c r="BZ762" s="332"/>
      <c r="CA762" s="332"/>
      <c r="CB762" s="332"/>
      <c r="CC762" s="332"/>
      <c r="CD762" s="332"/>
      <c r="CE762" s="332"/>
      <c r="CF762" s="332"/>
      <c r="CG762" s="332"/>
      <c r="CH762" s="332"/>
      <c r="CI762" s="332"/>
      <c r="CJ762" s="332"/>
      <c r="CK762" s="332"/>
      <c r="CL762" s="332"/>
      <c r="CM762" s="332"/>
      <c r="CN762" s="332"/>
      <c r="CO762" s="332"/>
      <c r="CP762" s="332"/>
      <c r="CQ762" s="332"/>
      <c r="CR762" s="332"/>
      <c r="CS762" s="332"/>
      <c r="CT762" s="332"/>
      <c r="CU762" s="332"/>
      <c r="CV762" s="332"/>
      <c r="CW762" s="332"/>
      <c r="CX762" s="332"/>
      <c r="CY762" s="332"/>
      <c r="CZ762" s="332"/>
      <c r="DA762" s="332"/>
      <c r="DB762" s="332"/>
      <c r="DC762" s="332"/>
      <c r="DD762" s="332"/>
      <c r="DE762" s="332"/>
      <c r="DF762" s="332"/>
      <c r="DG762" s="332"/>
      <c r="DH762" s="332"/>
      <c r="DI762" s="332"/>
      <c r="DJ762" s="332"/>
      <c r="DK762" s="332"/>
      <c r="DL762" s="332"/>
      <c r="DM762" s="332"/>
      <c r="DN762" s="332"/>
      <c r="DO762" s="332"/>
      <c r="DP762" s="332"/>
      <c r="DQ762" s="332"/>
      <c r="DR762" s="332"/>
      <c r="DS762" s="332"/>
      <c r="DT762" s="332"/>
      <c r="DU762" s="453"/>
      <c r="DV762" s="453"/>
      <c r="DW762" s="453"/>
      <c r="DX762" s="453"/>
      <c r="DY762" s="453"/>
      <c r="DZ762" s="453"/>
      <c r="EA762" s="453"/>
      <c r="EB762" s="453"/>
      <c r="EC762" s="453"/>
      <c r="ED762" s="453"/>
      <c r="EE762" s="453"/>
      <c r="EF762" s="453"/>
      <c r="EG762" s="453"/>
      <c r="EH762" s="453"/>
      <c r="EI762" s="453"/>
      <c r="EJ762" s="453"/>
      <c r="EK762" s="453"/>
      <c r="EL762" s="453"/>
      <c r="EM762" s="483">
        <f t="shared" si="233"/>
        <v>453</v>
      </c>
      <c r="EN762" s="485"/>
      <c r="EO762" s="458"/>
      <c r="EP762" s="467"/>
      <c r="EQ762" s="457"/>
      <c r="ER762" s="808"/>
      <c r="ES762" s="881">
        <f t="shared" si="231"/>
        <v>0</v>
      </c>
      <c r="ET762" s="882"/>
      <c r="EU762" s="883"/>
      <c r="EV762" s="884">
        <f t="shared" si="232"/>
        <v>0</v>
      </c>
      <c r="EW762" s="885"/>
      <c r="EX762" s="885"/>
      <c r="EY762" s="885"/>
      <c r="EZ762" s="885"/>
      <c r="FA762" s="885"/>
      <c r="FB762" s="885"/>
      <c r="FC762" s="885"/>
      <c r="FD762" s="886"/>
      <c r="FE762" s="878"/>
      <c r="FF762" s="878"/>
      <c r="FG762" s="878"/>
      <c r="FH762" s="878"/>
      <c r="FI762" s="878"/>
      <c r="FJ762" s="878"/>
      <c r="FK762" s="878"/>
      <c r="FL762" s="555"/>
      <c r="FM762" s="554"/>
      <c r="FN762" s="554"/>
      <c r="FO762" s="554"/>
      <c r="FP762" s="554"/>
      <c r="FQ762" s="554"/>
      <c r="FR762" s="554"/>
      <c r="FS762" s="554"/>
      <c r="FT762" s="554"/>
      <c r="FU762" s="554"/>
      <c r="FV762" s="554"/>
      <c r="FW762" s="554"/>
      <c r="FX762" s="554"/>
      <c r="FY762" s="554"/>
      <c r="FZ762" s="554"/>
      <c r="GA762" s="554"/>
      <c r="GB762" s="556"/>
      <c r="GC762" s="370"/>
      <c r="GD762" s="453"/>
      <c r="GE762" s="453"/>
      <c r="GF762" s="453"/>
      <c r="GG762" s="453"/>
      <c r="GH762" s="454"/>
      <c r="GI762" s="453"/>
      <c r="GJ762" s="453"/>
      <c r="GK762" s="453"/>
      <c r="GL762" s="453"/>
      <c r="GM762" s="453"/>
      <c r="GN762" s="453"/>
      <c r="GO762" s="453"/>
      <c r="GP762" s="453"/>
      <c r="GQ762" s="453"/>
      <c r="GR762" s="453"/>
      <c r="GS762" s="561"/>
      <c r="GT762" s="475"/>
      <c r="GU762" s="472"/>
      <c r="GV762" s="453"/>
      <c r="GW762" s="453"/>
      <c r="GX762" s="869"/>
      <c r="GY762" s="870"/>
      <c r="GZ762" s="867"/>
      <c r="HA762" s="868"/>
      <c r="HB762" s="473"/>
      <c r="HC762" s="869"/>
      <c r="HD762" s="870"/>
      <c r="HE762" s="867"/>
      <c r="HF762" s="868"/>
      <c r="HG762" s="473"/>
      <c r="HH762" s="867"/>
      <c r="HI762" s="868"/>
      <c r="HJ762" s="867"/>
      <c r="HK762" s="868"/>
      <c r="HL762" s="370"/>
      <c r="HM762" s="865"/>
      <c r="HN762" s="866"/>
      <c r="HO762" s="865"/>
      <c r="HP762" s="866"/>
      <c r="HQ762" s="865"/>
      <c r="HR762" s="866"/>
      <c r="HS762" s="867"/>
      <c r="HT762" s="868"/>
      <c r="HU762" s="489"/>
      <c r="HV762" s="865"/>
      <c r="HW762" s="866"/>
    </row>
    <row r="763" spans="25:231" ht="15" customHeight="1">
      <c r="Y763" s="332"/>
      <c r="Z763" s="332"/>
      <c r="AA763" s="332"/>
      <c r="AB763" s="332"/>
      <c r="AC763" s="332"/>
      <c r="AD763" s="332"/>
      <c r="AE763" s="332"/>
      <c r="AF763" s="332"/>
      <c r="AG763" s="332"/>
      <c r="AH763" s="332"/>
      <c r="AI763" s="332"/>
      <c r="AJ763" s="332"/>
      <c r="AK763" s="332"/>
      <c r="AL763" s="332"/>
      <c r="AM763" s="332"/>
      <c r="AN763" s="332"/>
      <c r="AO763" s="332"/>
      <c r="AP763" s="332"/>
      <c r="AQ763" s="332"/>
      <c r="AR763" s="332"/>
      <c r="AS763" s="332"/>
      <c r="AT763" s="332"/>
      <c r="AU763" s="332"/>
      <c r="AV763" s="332"/>
      <c r="AW763" s="332"/>
      <c r="AX763" s="332"/>
      <c r="AY763" s="332"/>
      <c r="AZ763" s="332"/>
      <c r="BA763" s="332"/>
      <c r="BB763" s="332"/>
      <c r="BC763" s="332"/>
      <c r="BD763" s="332"/>
      <c r="BE763" s="332"/>
      <c r="BF763" s="332"/>
      <c r="BG763" s="332"/>
      <c r="BH763" s="332"/>
      <c r="BI763" s="332"/>
      <c r="BJ763" s="332"/>
      <c r="BK763" s="332"/>
      <c r="BL763" s="332"/>
      <c r="BM763" s="332"/>
      <c r="BN763" s="332"/>
      <c r="BO763" s="332"/>
      <c r="BP763" s="332"/>
      <c r="BQ763" s="332"/>
      <c r="BR763" s="332"/>
      <c r="BS763" s="332"/>
      <c r="BT763" s="332"/>
      <c r="BU763" s="332"/>
      <c r="BV763" s="332"/>
      <c r="BW763" s="332"/>
      <c r="BX763" s="332"/>
      <c r="BY763" s="332"/>
      <c r="BZ763" s="332"/>
      <c r="CA763" s="332"/>
      <c r="CB763" s="332"/>
      <c r="CC763" s="332"/>
      <c r="CD763" s="332"/>
      <c r="CE763" s="332"/>
      <c r="CF763" s="332"/>
      <c r="CG763" s="332"/>
      <c r="CH763" s="332"/>
      <c r="CI763" s="332"/>
      <c r="CJ763" s="332"/>
      <c r="CK763" s="332"/>
      <c r="CL763" s="332"/>
      <c r="CM763" s="332"/>
      <c r="CN763" s="332"/>
      <c r="CO763" s="332"/>
      <c r="CP763" s="332"/>
      <c r="CQ763" s="332"/>
      <c r="CR763" s="332"/>
      <c r="CS763" s="332"/>
      <c r="CT763" s="332"/>
      <c r="CU763" s="332"/>
      <c r="CV763" s="332"/>
      <c r="CW763" s="332"/>
      <c r="CX763" s="332"/>
      <c r="CY763" s="332"/>
      <c r="CZ763" s="332"/>
      <c r="DA763" s="332"/>
      <c r="DB763" s="332"/>
      <c r="DC763" s="332"/>
      <c r="DD763" s="332"/>
      <c r="DE763" s="332"/>
      <c r="DF763" s="332"/>
      <c r="DG763" s="332"/>
      <c r="DH763" s="332"/>
      <c r="DI763" s="332"/>
      <c r="DJ763" s="332"/>
      <c r="DK763" s="332"/>
      <c r="DL763" s="332"/>
      <c r="DM763" s="332"/>
      <c r="DN763" s="332"/>
      <c r="DO763" s="332"/>
      <c r="DP763" s="332"/>
      <c r="DQ763" s="332"/>
      <c r="DR763" s="332"/>
      <c r="DS763" s="332"/>
      <c r="DT763" s="332"/>
      <c r="DU763" s="453"/>
      <c r="DV763" s="453"/>
      <c r="DW763" s="453"/>
      <c r="DX763" s="453"/>
      <c r="DY763" s="453"/>
      <c r="DZ763" s="453"/>
      <c r="EA763" s="453"/>
      <c r="EB763" s="453"/>
      <c r="EC763" s="453"/>
      <c r="ED763" s="453"/>
      <c r="EE763" s="453"/>
      <c r="EF763" s="453"/>
      <c r="EG763" s="453"/>
      <c r="EH763" s="453"/>
      <c r="EI763" s="453"/>
      <c r="EJ763" s="453"/>
      <c r="EK763" s="453"/>
      <c r="EL763" s="453"/>
      <c r="EM763" s="483">
        <f t="shared" si="233"/>
        <v>454</v>
      </c>
      <c r="EN763" s="485"/>
      <c r="EO763" s="458"/>
      <c r="EP763" s="467"/>
      <c r="EQ763" s="457"/>
      <c r="ER763" s="808"/>
      <c r="ES763" s="881">
        <f t="shared" si="231"/>
        <v>0</v>
      </c>
      <c r="ET763" s="882"/>
      <c r="EU763" s="883"/>
      <c r="EV763" s="884">
        <f t="shared" si="232"/>
        <v>0</v>
      </c>
      <c r="EW763" s="885"/>
      <c r="EX763" s="885"/>
      <c r="EY763" s="885"/>
      <c r="EZ763" s="885"/>
      <c r="FA763" s="885"/>
      <c r="FB763" s="885"/>
      <c r="FC763" s="885"/>
      <c r="FD763" s="886"/>
      <c r="FE763" s="878"/>
      <c r="FF763" s="878"/>
      <c r="FG763" s="878"/>
      <c r="FH763" s="878"/>
      <c r="FI763" s="878"/>
      <c r="FJ763" s="878"/>
      <c r="FK763" s="878"/>
      <c r="FL763" s="555"/>
      <c r="FM763" s="554"/>
      <c r="FN763" s="554"/>
      <c r="FO763" s="554"/>
      <c r="FP763" s="554"/>
      <c r="FQ763" s="554"/>
      <c r="FR763" s="554"/>
      <c r="FS763" s="554"/>
      <c r="FT763" s="554"/>
      <c r="FU763" s="554"/>
      <c r="FV763" s="554"/>
      <c r="FW763" s="554"/>
      <c r="FX763" s="554"/>
      <c r="FY763" s="554"/>
      <c r="FZ763" s="554"/>
      <c r="GA763" s="554"/>
      <c r="GB763" s="556"/>
      <c r="GC763" s="370"/>
      <c r="GD763" s="453"/>
      <c r="GE763" s="453"/>
      <c r="GF763" s="453"/>
      <c r="GG763" s="453"/>
      <c r="GH763" s="454"/>
      <c r="GI763" s="453"/>
      <c r="GJ763" s="453"/>
      <c r="GK763" s="453"/>
      <c r="GL763" s="453"/>
      <c r="GM763" s="453"/>
      <c r="GN763" s="453"/>
      <c r="GO763" s="453"/>
      <c r="GP763" s="453"/>
      <c r="GQ763" s="453"/>
      <c r="GR763" s="453"/>
      <c r="GS763" s="561"/>
      <c r="GT763" s="475"/>
      <c r="GU763" s="472"/>
      <c r="GV763" s="453"/>
      <c r="GW763" s="453"/>
      <c r="GX763" s="869"/>
      <c r="GY763" s="870"/>
      <c r="GZ763" s="867"/>
      <c r="HA763" s="868"/>
      <c r="HB763" s="473"/>
      <c r="HC763" s="869"/>
      <c r="HD763" s="870"/>
      <c r="HE763" s="867"/>
      <c r="HF763" s="868"/>
      <c r="HG763" s="473"/>
      <c r="HH763" s="867"/>
      <c r="HI763" s="868"/>
      <c r="HJ763" s="867"/>
      <c r="HK763" s="868"/>
      <c r="HL763" s="370"/>
      <c r="HM763" s="865"/>
      <c r="HN763" s="866"/>
      <c r="HO763" s="865"/>
      <c r="HP763" s="866"/>
      <c r="HQ763" s="865"/>
      <c r="HR763" s="866"/>
      <c r="HS763" s="867"/>
      <c r="HT763" s="868"/>
      <c r="HU763" s="489"/>
      <c r="HV763" s="865"/>
      <c r="HW763" s="866"/>
    </row>
    <row r="764" spans="25:231" ht="15" customHeight="1">
      <c r="Y764" s="332"/>
      <c r="Z764" s="332"/>
      <c r="AA764" s="332"/>
      <c r="AB764" s="332"/>
      <c r="AC764" s="332"/>
      <c r="AD764" s="332"/>
      <c r="AE764" s="332"/>
      <c r="AF764" s="332"/>
      <c r="AG764" s="332"/>
      <c r="AH764" s="332"/>
      <c r="AI764" s="332"/>
      <c r="AJ764" s="332"/>
      <c r="AK764" s="332"/>
      <c r="AL764" s="332"/>
      <c r="AM764" s="332"/>
      <c r="AN764" s="332"/>
      <c r="AO764" s="332"/>
      <c r="AP764" s="332"/>
      <c r="AQ764" s="332"/>
      <c r="AR764" s="332"/>
      <c r="AS764" s="332"/>
      <c r="AT764" s="332"/>
      <c r="AU764" s="332"/>
      <c r="AV764" s="332"/>
      <c r="AW764" s="332"/>
      <c r="AX764" s="332"/>
      <c r="AY764" s="332"/>
      <c r="AZ764" s="332"/>
      <c r="BA764" s="332"/>
      <c r="BB764" s="332"/>
      <c r="BC764" s="332"/>
      <c r="BD764" s="332"/>
      <c r="BE764" s="332"/>
      <c r="BF764" s="332"/>
      <c r="BG764" s="332"/>
      <c r="BH764" s="332"/>
      <c r="BI764" s="332"/>
      <c r="BJ764" s="332"/>
      <c r="BK764" s="332"/>
      <c r="BL764" s="332"/>
      <c r="BM764" s="332"/>
      <c r="BN764" s="332"/>
      <c r="BO764" s="332"/>
      <c r="BP764" s="332"/>
      <c r="BQ764" s="332"/>
      <c r="BR764" s="332"/>
      <c r="BS764" s="332"/>
      <c r="BT764" s="332"/>
      <c r="BU764" s="332"/>
      <c r="BV764" s="332"/>
      <c r="BW764" s="332"/>
      <c r="BX764" s="332"/>
      <c r="BY764" s="332"/>
      <c r="BZ764" s="332"/>
      <c r="CA764" s="332"/>
      <c r="CB764" s="332"/>
      <c r="CC764" s="332"/>
      <c r="CD764" s="332"/>
      <c r="CE764" s="332"/>
      <c r="CF764" s="332"/>
      <c r="CG764" s="332"/>
      <c r="CH764" s="332"/>
      <c r="CI764" s="332"/>
      <c r="CJ764" s="332"/>
      <c r="CK764" s="332"/>
      <c r="CL764" s="332"/>
      <c r="CM764" s="332"/>
      <c r="CN764" s="332"/>
      <c r="CO764" s="332"/>
      <c r="CP764" s="332"/>
      <c r="CQ764" s="332"/>
      <c r="CR764" s="332"/>
      <c r="CS764" s="332"/>
      <c r="CT764" s="332"/>
      <c r="CU764" s="332"/>
      <c r="CV764" s="332"/>
      <c r="CW764" s="332"/>
      <c r="CX764" s="332"/>
      <c r="CY764" s="332"/>
      <c r="CZ764" s="332"/>
      <c r="DA764" s="332"/>
      <c r="DB764" s="332"/>
      <c r="DC764" s="332"/>
      <c r="DD764" s="332"/>
      <c r="DE764" s="332"/>
      <c r="DF764" s="332"/>
      <c r="DG764" s="332"/>
      <c r="DH764" s="332"/>
      <c r="DI764" s="332"/>
      <c r="DJ764" s="332"/>
      <c r="DK764" s="332"/>
      <c r="DL764" s="332"/>
      <c r="DM764" s="332"/>
      <c r="DN764" s="332"/>
      <c r="DO764" s="332"/>
      <c r="DP764" s="332"/>
      <c r="DQ764" s="332"/>
      <c r="DR764" s="332"/>
      <c r="DS764" s="332"/>
      <c r="DT764" s="332"/>
      <c r="DU764" s="453"/>
      <c r="DV764" s="453"/>
      <c r="DW764" s="453"/>
      <c r="DX764" s="453"/>
      <c r="DY764" s="453"/>
      <c r="DZ764" s="453"/>
      <c r="EA764" s="453"/>
      <c r="EB764" s="453"/>
      <c r="EC764" s="453"/>
      <c r="ED764" s="453"/>
      <c r="EE764" s="453"/>
      <c r="EF764" s="453"/>
      <c r="EG764" s="453"/>
      <c r="EH764" s="453"/>
      <c r="EI764" s="453"/>
      <c r="EJ764" s="453"/>
      <c r="EK764" s="453"/>
      <c r="EL764" s="453"/>
      <c r="EM764" s="483">
        <f t="shared" si="233"/>
        <v>455</v>
      </c>
      <c r="EN764" s="485"/>
      <c r="EO764" s="458"/>
      <c r="EP764" s="467"/>
      <c r="EQ764" s="457"/>
      <c r="ER764" s="808"/>
      <c r="ES764" s="881">
        <f t="shared" si="231"/>
        <v>0</v>
      </c>
      <c r="ET764" s="882"/>
      <c r="EU764" s="883"/>
      <c r="EV764" s="884">
        <f t="shared" si="232"/>
        <v>0</v>
      </c>
      <c r="EW764" s="885"/>
      <c r="EX764" s="885"/>
      <c r="EY764" s="885"/>
      <c r="EZ764" s="885"/>
      <c r="FA764" s="885"/>
      <c r="FB764" s="885"/>
      <c r="FC764" s="885"/>
      <c r="FD764" s="886"/>
      <c r="FE764" s="878"/>
      <c r="FF764" s="878"/>
      <c r="FG764" s="878"/>
      <c r="FH764" s="878"/>
      <c r="FI764" s="878"/>
      <c r="FJ764" s="878"/>
      <c r="FK764" s="878"/>
      <c r="FL764" s="555"/>
      <c r="FM764" s="554"/>
      <c r="FN764" s="554"/>
      <c r="FO764" s="554"/>
      <c r="FP764" s="554"/>
      <c r="FQ764" s="554"/>
      <c r="FR764" s="554"/>
      <c r="FS764" s="554"/>
      <c r="FT764" s="554"/>
      <c r="FU764" s="554"/>
      <c r="FV764" s="554"/>
      <c r="FW764" s="554"/>
      <c r="FX764" s="554"/>
      <c r="FY764" s="554"/>
      <c r="FZ764" s="554"/>
      <c r="GA764" s="554"/>
      <c r="GB764" s="556"/>
      <c r="GC764" s="370"/>
      <c r="GD764" s="453"/>
      <c r="GE764" s="453"/>
      <c r="GF764" s="453"/>
      <c r="GG764" s="453"/>
      <c r="GH764" s="454"/>
      <c r="GI764" s="453"/>
      <c r="GJ764" s="453"/>
      <c r="GK764" s="453"/>
      <c r="GL764" s="453"/>
      <c r="GM764" s="453"/>
      <c r="GN764" s="453"/>
      <c r="GO764" s="453"/>
      <c r="GP764" s="453"/>
      <c r="GQ764" s="453"/>
      <c r="GR764" s="453"/>
      <c r="GS764" s="561"/>
      <c r="GT764" s="475"/>
      <c r="GU764" s="472"/>
      <c r="GV764" s="453"/>
      <c r="GW764" s="453"/>
      <c r="GX764" s="869"/>
      <c r="GY764" s="870"/>
      <c r="GZ764" s="867"/>
      <c r="HA764" s="868"/>
      <c r="HB764" s="473"/>
      <c r="HC764" s="869"/>
      <c r="HD764" s="870"/>
      <c r="HE764" s="867"/>
      <c r="HF764" s="868"/>
      <c r="HG764" s="473"/>
      <c r="HH764" s="867"/>
      <c r="HI764" s="868"/>
      <c r="HJ764" s="867"/>
      <c r="HK764" s="868"/>
      <c r="HL764" s="370"/>
      <c r="HM764" s="865"/>
      <c r="HN764" s="866"/>
      <c r="HO764" s="865"/>
      <c r="HP764" s="866"/>
      <c r="HQ764" s="865"/>
      <c r="HR764" s="866"/>
      <c r="HS764" s="867"/>
      <c r="HT764" s="868"/>
      <c r="HU764" s="489"/>
      <c r="HV764" s="865"/>
      <c r="HW764" s="866"/>
    </row>
    <row r="765" spans="25:231" ht="15" customHeight="1">
      <c r="Y765" s="332"/>
      <c r="Z765" s="332"/>
      <c r="AA765" s="332"/>
      <c r="AB765" s="332"/>
      <c r="AC765" s="332"/>
      <c r="AD765" s="332"/>
      <c r="AE765" s="332"/>
      <c r="AF765" s="332"/>
      <c r="AG765" s="332"/>
      <c r="AH765" s="332"/>
      <c r="AI765" s="332"/>
      <c r="AJ765" s="332"/>
      <c r="AK765" s="332"/>
      <c r="AL765" s="332"/>
      <c r="AM765" s="332"/>
      <c r="AN765" s="332"/>
      <c r="AO765" s="332"/>
      <c r="AP765" s="332"/>
      <c r="AQ765" s="332"/>
      <c r="AR765" s="332"/>
      <c r="AS765" s="332"/>
      <c r="AT765" s="332"/>
      <c r="AU765" s="332"/>
      <c r="AV765" s="332"/>
      <c r="AW765" s="332"/>
      <c r="AX765" s="332"/>
      <c r="AY765" s="332"/>
      <c r="AZ765" s="332"/>
      <c r="BA765" s="332"/>
      <c r="BB765" s="332"/>
      <c r="BC765" s="332"/>
      <c r="BD765" s="332"/>
      <c r="BE765" s="332"/>
      <c r="BF765" s="332"/>
      <c r="BG765" s="332"/>
      <c r="BH765" s="332"/>
      <c r="BI765" s="332"/>
      <c r="BJ765" s="332"/>
      <c r="BK765" s="332"/>
      <c r="BL765" s="332"/>
      <c r="BM765" s="332"/>
      <c r="BN765" s="332"/>
      <c r="BO765" s="332"/>
      <c r="BP765" s="332"/>
      <c r="BQ765" s="332"/>
      <c r="BR765" s="332"/>
      <c r="BS765" s="332"/>
      <c r="BT765" s="332"/>
      <c r="BU765" s="332"/>
      <c r="BV765" s="332"/>
      <c r="BW765" s="332"/>
      <c r="BX765" s="332"/>
      <c r="BY765" s="332"/>
      <c r="BZ765" s="332"/>
      <c r="CA765" s="332"/>
      <c r="CB765" s="332"/>
      <c r="CC765" s="332"/>
      <c r="CD765" s="332"/>
      <c r="CE765" s="332"/>
      <c r="CF765" s="332"/>
      <c r="CG765" s="332"/>
      <c r="CH765" s="332"/>
      <c r="CI765" s="332"/>
      <c r="CJ765" s="332"/>
      <c r="CK765" s="332"/>
      <c r="CL765" s="332"/>
      <c r="CM765" s="332"/>
      <c r="CN765" s="332"/>
      <c r="CO765" s="332"/>
      <c r="CP765" s="332"/>
      <c r="CQ765" s="332"/>
      <c r="CR765" s="332"/>
      <c r="CS765" s="332"/>
      <c r="CT765" s="332"/>
      <c r="CU765" s="332"/>
      <c r="CV765" s="332"/>
      <c r="CW765" s="332"/>
      <c r="CX765" s="332"/>
      <c r="CY765" s="332"/>
      <c r="CZ765" s="332"/>
      <c r="DA765" s="332"/>
      <c r="DB765" s="332"/>
      <c r="DC765" s="332"/>
      <c r="DD765" s="332"/>
      <c r="DE765" s="332"/>
      <c r="DF765" s="332"/>
      <c r="DG765" s="332"/>
      <c r="DH765" s="332"/>
      <c r="DI765" s="332"/>
      <c r="DJ765" s="332"/>
      <c r="DK765" s="332"/>
      <c r="DL765" s="332"/>
      <c r="DM765" s="332"/>
      <c r="DN765" s="332"/>
      <c r="DO765" s="332"/>
      <c r="DP765" s="332"/>
      <c r="DQ765" s="332"/>
      <c r="DR765" s="332"/>
      <c r="DS765" s="332"/>
      <c r="DT765" s="332"/>
      <c r="DU765" s="453"/>
      <c r="DV765" s="453"/>
      <c r="DW765" s="453"/>
      <c r="DX765" s="453"/>
      <c r="DY765" s="453"/>
      <c r="DZ765" s="453"/>
      <c r="EA765" s="453"/>
      <c r="EB765" s="453"/>
      <c r="EC765" s="453"/>
      <c r="ED765" s="453"/>
      <c r="EE765" s="453"/>
      <c r="EF765" s="453"/>
      <c r="EG765" s="453"/>
      <c r="EH765" s="453"/>
      <c r="EI765" s="453"/>
      <c r="EJ765" s="453"/>
      <c r="EK765" s="453"/>
      <c r="EL765" s="453"/>
      <c r="EM765" s="483">
        <f t="shared" si="233"/>
        <v>456</v>
      </c>
      <c r="EN765" s="485"/>
      <c r="EO765" s="458"/>
      <c r="EP765" s="467"/>
      <c r="EQ765" s="457"/>
      <c r="ER765" s="808"/>
      <c r="ES765" s="881">
        <f t="shared" ref="ES765:ES1507" si="234">IF(OR(EO765 = "", EP765 = 0, EP765 = "", EQ765 = 0, EQ765 = "", ER765 = 0, ER765 = ""), 0,
IF(EO765 &lt;&gt; "ACCION", EP765 * ER765 * -100,  EP765 * ER765 * -1))</f>
        <v>0</v>
      </c>
      <c r="ET765" s="882"/>
      <c r="EU765" s="883"/>
      <c r="EV765" s="884">
        <f t="shared" si="232"/>
        <v>0</v>
      </c>
      <c r="EW765" s="885"/>
      <c r="EX765" s="885"/>
      <c r="EY765" s="885"/>
      <c r="EZ765" s="885"/>
      <c r="FA765" s="885"/>
      <c r="FB765" s="885"/>
      <c r="FC765" s="885"/>
      <c r="FD765" s="886"/>
      <c r="FE765" s="878"/>
      <c r="FF765" s="878"/>
      <c r="FG765" s="878"/>
      <c r="FH765" s="878"/>
      <c r="FI765" s="878"/>
      <c r="FJ765" s="878"/>
      <c r="FK765" s="878"/>
      <c r="FL765" s="555"/>
      <c r="FM765" s="554"/>
      <c r="FN765" s="554"/>
      <c r="FO765" s="554"/>
      <c r="FP765" s="554"/>
      <c r="FQ765" s="554"/>
      <c r="FR765" s="554"/>
      <c r="FS765" s="554"/>
      <c r="FT765" s="554"/>
      <c r="FU765" s="554"/>
      <c r="FV765" s="554"/>
      <c r="FW765" s="554"/>
      <c r="FX765" s="554"/>
      <c r="FY765" s="554"/>
      <c r="FZ765" s="554"/>
      <c r="GA765" s="554"/>
      <c r="GB765" s="556"/>
      <c r="GC765" s="370"/>
      <c r="GD765" s="453"/>
      <c r="GE765" s="453"/>
      <c r="GF765" s="453"/>
      <c r="GG765" s="453"/>
      <c r="GH765" s="454"/>
      <c r="GI765" s="453"/>
      <c r="GJ765" s="453"/>
      <c r="GK765" s="453"/>
      <c r="GL765" s="453"/>
      <c r="GM765" s="453"/>
      <c r="GN765" s="453"/>
      <c r="GO765" s="453"/>
      <c r="GP765" s="453"/>
      <c r="GQ765" s="453"/>
      <c r="GR765" s="453"/>
      <c r="GS765" s="561"/>
      <c r="GT765" s="475"/>
      <c r="GU765" s="472"/>
      <c r="GV765" s="453"/>
      <c r="GW765" s="453"/>
      <c r="GX765" s="869"/>
      <c r="GY765" s="870"/>
      <c r="GZ765" s="867"/>
      <c r="HA765" s="868"/>
      <c r="HB765" s="473"/>
      <c r="HC765" s="869"/>
      <c r="HD765" s="870"/>
      <c r="HE765" s="867"/>
      <c r="HF765" s="868"/>
      <c r="HG765" s="473"/>
      <c r="HH765" s="867"/>
      <c r="HI765" s="868"/>
      <c r="HJ765" s="867"/>
      <c r="HK765" s="868"/>
      <c r="HL765" s="370"/>
      <c r="HM765" s="865"/>
      <c r="HN765" s="866"/>
      <c r="HO765" s="865"/>
      <c r="HP765" s="866"/>
      <c r="HQ765" s="865"/>
      <c r="HR765" s="866"/>
      <c r="HS765" s="867"/>
      <c r="HT765" s="868"/>
      <c r="HU765" s="489"/>
      <c r="HV765" s="865"/>
      <c r="HW765" s="866"/>
    </row>
    <row r="766" spans="25:231" ht="15" customHeight="1">
      <c r="Y766" s="332"/>
      <c r="Z766" s="332"/>
      <c r="AA766" s="332"/>
      <c r="AB766" s="332"/>
      <c r="AC766" s="332"/>
      <c r="AD766" s="332"/>
      <c r="AE766" s="332"/>
      <c r="AF766" s="332"/>
      <c r="AG766" s="332"/>
      <c r="AH766" s="332"/>
      <c r="AI766" s="332"/>
      <c r="AJ766" s="332"/>
      <c r="AK766" s="332"/>
      <c r="AL766" s="332"/>
      <c r="AM766" s="332"/>
      <c r="AN766" s="332"/>
      <c r="AO766" s="332"/>
      <c r="AP766" s="332"/>
      <c r="AQ766" s="332"/>
      <c r="AR766" s="332"/>
      <c r="AS766" s="332"/>
      <c r="AT766" s="332"/>
      <c r="AU766" s="332"/>
      <c r="AV766" s="332"/>
      <c r="AW766" s="332"/>
      <c r="AX766" s="332"/>
      <c r="AY766" s="332"/>
      <c r="AZ766" s="332"/>
      <c r="BA766" s="332"/>
      <c r="BB766" s="332"/>
      <c r="BC766" s="332"/>
      <c r="BD766" s="332"/>
      <c r="BE766" s="332"/>
      <c r="BF766" s="332"/>
      <c r="BG766" s="332"/>
      <c r="BH766" s="332"/>
      <c r="BI766" s="332"/>
      <c r="BJ766" s="332"/>
      <c r="BK766" s="332"/>
      <c r="BL766" s="332"/>
      <c r="BM766" s="332"/>
      <c r="BN766" s="332"/>
      <c r="BO766" s="332"/>
      <c r="BP766" s="332"/>
      <c r="BQ766" s="332"/>
      <c r="BR766" s="332"/>
      <c r="BS766" s="332"/>
      <c r="BT766" s="332"/>
      <c r="BU766" s="332"/>
      <c r="BV766" s="332"/>
      <c r="BW766" s="332"/>
      <c r="BX766" s="332"/>
      <c r="BY766" s="332"/>
      <c r="BZ766" s="332"/>
      <c r="CA766" s="332"/>
      <c r="CB766" s="332"/>
      <c r="CC766" s="332"/>
      <c r="CD766" s="332"/>
      <c r="CE766" s="332"/>
      <c r="CF766" s="332"/>
      <c r="CG766" s="332"/>
      <c r="CH766" s="332"/>
      <c r="CI766" s="332"/>
      <c r="CJ766" s="332"/>
      <c r="CK766" s="332"/>
      <c r="CL766" s="332"/>
      <c r="CM766" s="332"/>
      <c r="CN766" s="332"/>
      <c r="CO766" s="332"/>
      <c r="CP766" s="332"/>
      <c r="CQ766" s="332"/>
      <c r="CR766" s="332"/>
      <c r="CS766" s="332"/>
      <c r="CT766" s="332"/>
      <c r="CU766" s="332"/>
      <c r="CV766" s="332"/>
      <c r="CW766" s="332"/>
      <c r="CX766" s="332"/>
      <c r="CY766" s="332"/>
      <c r="CZ766" s="332"/>
      <c r="DA766" s="332"/>
      <c r="DB766" s="332"/>
      <c r="DC766" s="332"/>
      <c r="DD766" s="332"/>
      <c r="DE766" s="332"/>
      <c r="DF766" s="332"/>
      <c r="DG766" s="332"/>
      <c r="DH766" s="332"/>
      <c r="DI766" s="332"/>
      <c r="DJ766" s="332"/>
      <c r="DK766" s="332"/>
      <c r="DL766" s="332"/>
      <c r="DM766" s="332"/>
      <c r="DN766" s="332"/>
      <c r="DO766" s="332"/>
      <c r="DP766" s="332"/>
      <c r="DQ766" s="332"/>
      <c r="DR766" s="332"/>
      <c r="DS766" s="332"/>
      <c r="DT766" s="332"/>
      <c r="DU766" s="453"/>
      <c r="DV766" s="453"/>
      <c r="DW766" s="453"/>
      <c r="DX766" s="453"/>
      <c r="DY766" s="453"/>
      <c r="DZ766" s="453"/>
      <c r="EA766" s="453"/>
      <c r="EB766" s="453"/>
      <c r="EC766" s="453"/>
      <c r="ED766" s="453"/>
      <c r="EE766" s="453"/>
      <c r="EF766" s="453"/>
      <c r="EG766" s="453"/>
      <c r="EH766" s="453"/>
      <c r="EI766" s="453"/>
      <c r="EJ766" s="453"/>
      <c r="EK766" s="453"/>
      <c r="EL766" s="453"/>
      <c r="EM766" s="483">
        <f t="shared" si="233"/>
        <v>457</v>
      </c>
      <c r="EN766" s="485"/>
      <c r="EO766" s="458"/>
      <c r="EP766" s="467"/>
      <c r="EQ766" s="457"/>
      <c r="ER766" s="808"/>
      <c r="ES766" s="881">
        <f t="shared" si="234"/>
        <v>0</v>
      </c>
      <c r="ET766" s="882"/>
      <c r="EU766" s="883"/>
      <c r="EV766" s="884">
        <f t="shared" si="232"/>
        <v>0</v>
      </c>
      <c r="EW766" s="885"/>
      <c r="EX766" s="885"/>
      <c r="EY766" s="885"/>
      <c r="EZ766" s="885"/>
      <c r="FA766" s="885"/>
      <c r="FB766" s="885"/>
      <c r="FC766" s="885"/>
      <c r="FD766" s="886"/>
      <c r="FE766" s="878"/>
      <c r="FF766" s="878"/>
      <c r="FG766" s="878"/>
      <c r="FH766" s="878"/>
      <c r="FI766" s="878"/>
      <c r="FJ766" s="878"/>
      <c r="FK766" s="878"/>
      <c r="FL766" s="555"/>
      <c r="FM766" s="554"/>
      <c r="FN766" s="554"/>
      <c r="FO766" s="554"/>
      <c r="FP766" s="554"/>
      <c r="FQ766" s="554"/>
      <c r="FR766" s="554"/>
      <c r="FS766" s="554"/>
      <c r="FT766" s="554"/>
      <c r="FU766" s="554"/>
      <c r="FV766" s="554"/>
      <c r="FW766" s="554"/>
      <c r="FX766" s="554"/>
      <c r="FY766" s="554"/>
      <c r="FZ766" s="554"/>
      <c r="GA766" s="554"/>
      <c r="GB766" s="556"/>
      <c r="GC766" s="370"/>
      <c r="GD766" s="453"/>
      <c r="GE766" s="453"/>
      <c r="GF766" s="453"/>
      <c r="GG766" s="453"/>
      <c r="GH766" s="454"/>
      <c r="GI766" s="453"/>
      <c r="GJ766" s="453"/>
      <c r="GK766" s="453"/>
      <c r="GL766" s="453"/>
      <c r="GM766" s="453"/>
      <c r="GN766" s="453"/>
      <c r="GO766" s="453"/>
      <c r="GP766" s="453"/>
      <c r="GQ766" s="453"/>
      <c r="GR766" s="453"/>
      <c r="GS766" s="561"/>
      <c r="GT766" s="475"/>
      <c r="GU766" s="472"/>
      <c r="GV766" s="453"/>
      <c r="GW766" s="453"/>
      <c r="GX766" s="869"/>
      <c r="GY766" s="870"/>
      <c r="GZ766" s="867"/>
      <c r="HA766" s="868"/>
      <c r="HB766" s="473"/>
      <c r="HC766" s="869"/>
      <c r="HD766" s="870"/>
      <c r="HE766" s="867"/>
      <c r="HF766" s="868"/>
      <c r="HG766" s="473"/>
      <c r="HH766" s="867"/>
      <c r="HI766" s="868"/>
      <c r="HJ766" s="867"/>
      <c r="HK766" s="868"/>
      <c r="HL766" s="370"/>
      <c r="HM766" s="865"/>
      <c r="HN766" s="866"/>
      <c r="HO766" s="865"/>
      <c r="HP766" s="866"/>
      <c r="HQ766" s="865"/>
      <c r="HR766" s="866"/>
      <c r="HS766" s="867"/>
      <c r="HT766" s="868"/>
      <c r="HU766" s="489"/>
      <c r="HV766" s="865"/>
      <c r="HW766" s="866"/>
    </row>
    <row r="767" spans="25:231" ht="15" customHeight="1">
      <c r="Y767" s="332"/>
      <c r="Z767" s="332"/>
      <c r="AA767" s="332"/>
      <c r="AB767" s="332"/>
      <c r="AC767" s="332"/>
      <c r="AD767" s="332"/>
      <c r="AE767" s="332"/>
      <c r="AF767" s="332"/>
      <c r="AG767" s="332"/>
      <c r="AH767" s="332"/>
      <c r="AI767" s="332"/>
      <c r="AJ767" s="332"/>
      <c r="AK767" s="332"/>
      <c r="AL767" s="332"/>
      <c r="AM767" s="332"/>
      <c r="AN767" s="332"/>
      <c r="AO767" s="332"/>
      <c r="AP767" s="332"/>
      <c r="AQ767" s="332"/>
      <c r="AR767" s="332"/>
      <c r="AS767" s="332"/>
      <c r="AT767" s="332"/>
      <c r="AU767" s="332"/>
      <c r="AV767" s="332"/>
      <c r="AW767" s="332"/>
      <c r="AX767" s="332"/>
      <c r="AY767" s="332"/>
      <c r="AZ767" s="332"/>
      <c r="BA767" s="332"/>
      <c r="BB767" s="332"/>
      <c r="BC767" s="332"/>
      <c r="BD767" s="332"/>
      <c r="BE767" s="332"/>
      <c r="BF767" s="332"/>
      <c r="BG767" s="332"/>
      <c r="BH767" s="332"/>
      <c r="BI767" s="332"/>
      <c r="BJ767" s="332"/>
      <c r="BK767" s="332"/>
      <c r="BL767" s="332"/>
      <c r="BM767" s="332"/>
      <c r="BN767" s="332"/>
      <c r="BO767" s="332"/>
      <c r="BP767" s="332"/>
      <c r="BQ767" s="332"/>
      <c r="BR767" s="332"/>
      <c r="BS767" s="332"/>
      <c r="BT767" s="332"/>
      <c r="BU767" s="332"/>
      <c r="BV767" s="332"/>
      <c r="BW767" s="332"/>
      <c r="BX767" s="332"/>
      <c r="BY767" s="332"/>
      <c r="BZ767" s="332"/>
      <c r="CA767" s="332"/>
      <c r="CB767" s="332"/>
      <c r="CC767" s="332"/>
      <c r="CD767" s="332"/>
      <c r="CE767" s="332"/>
      <c r="CF767" s="332"/>
      <c r="CG767" s="332"/>
      <c r="CH767" s="332"/>
      <c r="CI767" s="332"/>
      <c r="CJ767" s="332"/>
      <c r="CK767" s="332"/>
      <c r="CL767" s="332"/>
      <c r="CM767" s="332"/>
      <c r="CN767" s="332"/>
      <c r="CO767" s="332"/>
      <c r="CP767" s="332"/>
      <c r="CQ767" s="332"/>
      <c r="CR767" s="332"/>
      <c r="CS767" s="332"/>
      <c r="CT767" s="332"/>
      <c r="CU767" s="332"/>
      <c r="CV767" s="332"/>
      <c r="CW767" s="332"/>
      <c r="CX767" s="332"/>
      <c r="CY767" s="332"/>
      <c r="CZ767" s="332"/>
      <c r="DA767" s="332"/>
      <c r="DB767" s="332"/>
      <c r="DC767" s="332"/>
      <c r="DD767" s="332"/>
      <c r="DE767" s="332"/>
      <c r="DF767" s="332"/>
      <c r="DG767" s="332"/>
      <c r="DH767" s="332"/>
      <c r="DI767" s="332"/>
      <c r="DJ767" s="332"/>
      <c r="DK767" s="332"/>
      <c r="DL767" s="332"/>
      <c r="DM767" s="332"/>
      <c r="DN767" s="332"/>
      <c r="DO767" s="332"/>
      <c r="DP767" s="332"/>
      <c r="DQ767" s="332"/>
      <c r="DR767" s="332"/>
      <c r="DS767" s="332"/>
      <c r="DT767" s="332"/>
      <c r="DU767" s="453"/>
      <c r="DV767" s="453"/>
      <c r="DW767" s="453"/>
      <c r="DX767" s="453"/>
      <c r="DY767" s="453"/>
      <c r="DZ767" s="453"/>
      <c r="EA767" s="453"/>
      <c r="EB767" s="453"/>
      <c r="EC767" s="453"/>
      <c r="ED767" s="453"/>
      <c r="EE767" s="453"/>
      <c r="EF767" s="453"/>
      <c r="EG767" s="453"/>
      <c r="EH767" s="453"/>
      <c r="EI767" s="453"/>
      <c r="EJ767" s="453"/>
      <c r="EK767" s="453"/>
      <c r="EL767" s="453"/>
      <c r="EM767" s="483">
        <f t="shared" si="233"/>
        <v>458</v>
      </c>
      <c r="EN767" s="485"/>
      <c r="EO767" s="458"/>
      <c r="EP767" s="467"/>
      <c r="EQ767" s="457"/>
      <c r="ER767" s="808"/>
      <c r="ES767" s="881">
        <f t="shared" si="234"/>
        <v>0</v>
      </c>
      <c r="ET767" s="882"/>
      <c r="EU767" s="883"/>
      <c r="EV767" s="884">
        <f t="shared" si="232"/>
        <v>0</v>
      </c>
      <c r="EW767" s="885"/>
      <c r="EX767" s="885"/>
      <c r="EY767" s="885"/>
      <c r="EZ767" s="885"/>
      <c r="FA767" s="885"/>
      <c r="FB767" s="885"/>
      <c r="FC767" s="885"/>
      <c r="FD767" s="886"/>
      <c r="FE767" s="878"/>
      <c r="FF767" s="878"/>
      <c r="FG767" s="878"/>
      <c r="FH767" s="878"/>
      <c r="FI767" s="878"/>
      <c r="FJ767" s="878"/>
      <c r="FK767" s="878"/>
      <c r="FL767" s="555"/>
      <c r="FM767" s="554"/>
      <c r="FN767" s="554"/>
      <c r="FO767" s="554"/>
      <c r="FP767" s="554"/>
      <c r="FQ767" s="554"/>
      <c r="FR767" s="554"/>
      <c r="FS767" s="554"/>
      <c r="FT767" s="554"/>
      <c r="FU767" s="554"/>
      <c r="FV767" s="554"/>
      <c r="FW767" s="554"/>
      <c r="FX767" s="554"/>
      <c r="FY767" s="554"/>
      <c r="FZ767" s="554"/>
      <c r="GA767" s="554"/>
      <c r="GB767" s="556"/>
      <c r="GC767" s="370"/>
      <c r="GD767" s="453"/>
      <c r="GE767" s="453"/>
      <c r="GF767" s="453"/>
      <c r="GG767" s="453"/>
      <c r="GH767" s="454"/>
      <c r="GI767" s="453"/>
      <c r="GJ767" s="453"/>
      <c r="GK767" s="453"/>
      <c r="GL767" s="453"/>
      <c r="GM767" s="453"/>
      <c r="GN767" s="453"/>
      <c r="GO767" s="453"/>
      <c r="GP767" s="453"/>
      <c r="GQ767" s="453"/>
      <c r="GR767" s="453"/>
      <c r="GS767" s="561"/>
      <c r="GT767" s="475"/>
      <c r="GU767" s="472"/>
      <c r="GV767" s="453"/>
      <c r="GW767" s="453"/>
      <c r="GX767" s="869"/>
      <c r="GY767" s="870"/>
      <c r="GZ767" s="867"/>
      <c r="HA767" s="868"/>
      <c r="HB767" s="473"/>
      <c r="HC767" s="869"/>
      <c r="HD767" s="870"/>
      <c r="HE767" s="867"/>
      <c r="HF767" s="868"/>
      <c r="HG767" s="473"/>
      <c r="HH767" s="867"/>
      <c r="HI767" s="868"/>
      <c r="HJ767" s="867"/>
      <c r="HK767" s="868"/>
      <c r="HL767" s="370"/>
      <c r="HM767" s="865"/>
      <c r="HN767" s="866"/>
      <c r="HO767" s="865"/>
      <c r="HP767" s="866"/>
      <c r="HQ767" s="865"/>
      <c r="HR767" s="866"/>
      <c r="HS767" s="867"/>
      <c r="HT767" s="868"/>
      <c r="HU767" s="489"/>
      <c r="HV767" s="865"/>
      <c r="HW767" s="866"/>
    </row>
    <row r="768" spans="25:231" ht="15" customHeight="1">
      <c r="Y768" s="332"/>
      <c r="Z768" s="332"/>
      <c r="AA768" s="332"/>
      <c r="AB768" s="332"/>
      <c r="AC768" s="332"/>
      <c r="AD768" s="332"/>
      <c r="AE768" s="332"/>
      <c r="AF768" s="332"/>
      <c r="AG768" s="332"/>
      <c r="AH768" s="332"/>
      <c r="AI768" s="332"/>
      <c r="AJ768" s="332"/>
      <c r="AK768" s="332"/>
      <c r="AL768" s="332"/>
      <c r="AM768" s="332"/>
      <c r="AN768" s="332"/>
      <c r="AO768" s="332"/>
      <c r="AP768" s="332"/>
      <c r="AQ768" s="332"/>
      <c r="AR768" s="332"/>
      <c r="AS768" s="332"/>
      <c r="AT768" s="332"/>
      <c r="AU768" s="332"/>
      <c r="AV768" s="332"/>
      <c r="AW768" s="332"/>
      <c r="AX768" s="332"/>
      <c r="AY768" s="332"/>
      <c r="AZ768" s="332"/>
      <c r="BA768" s="332"/>
      <c r="BB768" s="332"/>
      <c r="BC768" s="332"/>
      <c r="BD768" s="332"/>
      <c r="BE768" s="332"/>
      <c r="BF768" s="332"/>
      <c r="BG768" s="332"/>
      <c r="BH768" s="332"/>
      <c r="BI768" s="332"/>
      <c r="BJ768" s="332"/>
      <c r="BK768" s="332"/>
      <c r="BL768" s="332"/>
      <c r="BM768" s="332"/>
      <c r="BN768" s="332"/>
      <c r="BO768" s="332"/>
      <c r="BP768" s="332"/>
      <c r="BQ768" s="332"/>
      <c r="BR768" s="332"/>
      <c r="BS768" s="332"/>
      <c r="BT768" s="332"/>
      <c r="BU768" s="332"/>
      <c r="BV768" s="332"/>
      <c r="BW768" s="332"/>
      <c r="BX768" s="332"/>
      <c r="BY768" s="332"/>
      <c r="BZ768" s="332"/>
      <c r="CA768" s="332"/>
      <c r="CB768" s="332"/>
      <c r="CC768" s="332"/>
      <c r="CD768" s="332"/>
      <c r="CE768" s="332"/>
      <c r="CF768" s="332"/>
      <c r="CG768" s="332"/>
      <c r="CH768" s="332"/>
      <c r="CI768" s="332"/>
      <c r="CJ768" s="332"/>
      <c r="CK768" s="332"/>
      <c r="CL768" s="332"/>
      <c r="CM768" s="332"/>
      <c r="CN768" s="332"/>
      <c r="CO768" s="332"/>
      <c r="CP768" s="332"/>
      <c r="CQ768" s="332"/>
      <c r="CR768" s="332"/>
      <c r="CS768" s="332"/>
      <c r="CT768" s="332"/>
      <c r="CU768" s="332"/>
      <c r="CV768" s="332"/>
      <c r="CW768" s="332"/>
      <c r="CX768" s="332"/>
      <c r="CY768" s="332"/>
      <c r="CZ768" s="332"/>
      <c r="DA768" s="332"/>
      <c r="DB768" s="332"/>
      <c r="DC768" s="332"/>
      <c r="DD768" s="332"/>
      <c r="DE768" s="332"/>
      <c r="DF768" s="332"/>
      <c r="DG768" s="332"/>
      <c r="DH768" s="332"/>
      <c r="DI768" s="332"/>
      <c r="DJ768" s="332"/>
      <c r="DK768" s="332"/>
      <c r="DL768" s="332"/>
      <c r="DM768" s="332"/>
      <c r="DN768" s="332"/>
      <c r="DO768" s="332"/>
      <c r="DP768" s="332"/>
      <c r="DQ768" s="332"/>
      <c r="DR768" s="332"/>
      <c r="DS768" s="332"/>
      <c r="DT768" s="332"/>
      <c r="DU768" s="453"/>
      <c r="DV768" s="453"/>
      <c r="DW768" s="453"/>
      <c r="DX768" s="453"/>
      <c r="DY768" s="453"/>
      <c r="DZ768" s="453"/>
      <c r="EA768" s="453"/>
      <c r="EB768" s="453"/>
      <c r="EC768" s="453"/>
      <c r="ED768" s="453"/>
      <c r="EE768" s="453"/>
      <c r="EF768" s="453"/>
      <c r="EG768" s="453"/>
      <c r="EH768" s="453"/>
      <c r="EI768" s="453"/>
      <c r="EJ768" s="453"/>
      <c r="EK768" s="453"/>
      <c r="EL768" s="453"/>
      <c r="EM768" s="483">
        <f t="shared" si="233"/>
        <v>459</v>
      </c>
      <c r="EN768" s="485"/>
      <c r="EO768" s="458"/>
      <c r="EP768" s="467"/>
      <c r="EQ768" s="457"/>
      <c r="ER768" s="808"/>
      <c r="ES768" s="881">
        <f t="shared" si="234"/>
        <v>0</v>
      </c>
      <c r="ET768" s="882"/>
      <c r="EU768" s="883"/>
      <c r="EV768" s="884">
        <f t="shared" si="232"/>
        <v>0</v>
      </c>
      <c r="EW768" s="885"/>
      <c r="EX768" s="885"/>
      <c r="EY768" s="885"/>
      <c r="EZ768" s="885"/>
      <c r="FA768" s="885"/>
      <c r="FB768" s="885"/>
      <c r="FC768" s="885"/>
      <c r="FD768" s="886"/>
      <c r="FE768" s="878"/>
      <c r="FF768" s="878"/>
      <c r="FG768" s="878"/>
      <c r="FH768" s="878"/>
      <c r="FI768" s="878"/>
      <c r="FJ768" s="878"/>
      <c r="FK768" s="878"/>
      <c r="FL768" s="555"/>
      <c r="FM768" s="554"/>
      <c r="FN768" s="554"/>
      <c r="FO768" s="554"/>
      <c r="FP768" s="554"/>
      <c r="FQ768" s="554"/>
      <c r="FR768" s="554"/>
      <c r="FS768" s="554"/>
      <c r="FT768" s="554"/>
      <c r="FU768" s="554"/>
      <c r="FV768" s="554"/>
      <c r="FW768" s="554"/>
      <c r="FX768" s="554"/>
      <c r="FY768" s="554"/>
      <c r="FZ768" s="554"/>
      <c r="GA768" s="554"/>
      <c r="GB768" s="556"/>
      <c r="GC768" s="370"/>
      <c r="GD768" s="453"/>
      <c r="GE768" s="453"/>
      <c r="GF768" s="453"/>
      <c r="GG768" s="453"/>
      <c r="GH768" s="454"/>
      <c r="GI768" s="453"/>
      <c r="GJ768" s="453"/>
      <c r="GK768" s="453"/>
      <c r="GL768" s="453"/>
      <c r="GM768" s="453"/>
      <c r="GN768" s="453"/>
      <c r="GO768" s="453"/>
      <c r="GP768" s="453"/>
      <c r="GQ768" s="453"/>
      <c r="GR768" s="453"/>
      <c r="GS768" s="561"/>
      <c r="GT768" s="475"/>
      <c r="GU768" s="472"/>
      <c r="GV768" s="453"/>
      <c r="GW768" s="453"/>
      <c r="GX768" s="869"/>
      <c r="GY768" s="870"/>
      <c r="GZ768" s="867"/>
      <c r="HA768" s="868"/>
      <c r="HB768" s="473"/>
      <c r="HC768" s="869"/>
      <c r="HD768" s="870"/>
      <c r="HE768" s="867"/>
      <c r="HF768" s="868"/>
      <c r="HG768" s="473"/>
      <c r="HH768" s="867"/>
      <c r="HI768" s="868"/>
      <c r="HJ768" s="867"/>
      <c r="HK768" s="868"/>
      <c r="HL768" s="370"/>
      <c r="HM768" s="865"/>
      <c r="HN768" s="866"/>
      <c r="HO768" s="865"/>
      <c r="HP768" s="866"/>
      <c r="HQ768" s="865"/>
      <c r="HR768" s="866"/>
      <c r="HS768" s="867"/>
      <c r="HT768" s="868"/>
      <c r="HU768" s="489"/>
      <c r="HV768" s="865"/>
      <c r="HW768" s="866"/>
    </row>
    <row r="769" spans="25:231" ht="15" customHeight="1">
      <c r="Y769" s="332"/>
      <c r="Z769" s="332"/>
      <c r="AA769" s="332"/>
      <c r="AB769" s="332"/>
      <c r="AC769" s="332"/>
      <c r="AD769" s="332"/>
      <c r="AE769" s="332"/>
      <c r="AF769" s="332"/>
      <c r="AG769" s="332"/>
      <c r="AH769" s="332"/>
      <c r="AI769" s="332"/>
      <c r="AJ769" s="332"/>
      <c r="AK769" s="332"/>
      <c r="AL769" s="332"/>
      <c r="AM769" s="332"/>
      <c r="AN769" s="332"/>
      <c r="AO769" s="332"/>
      <c r="AP769" s="332"/>
      <c r="AQ769" s="332"/>
      <c r="AR769" s="332"/>
      <c r="AS769" s="332"/>
      <c r="AT769" s="332"/>
      <c r="AU769" s="332"/>
      <c r="AV769" s="332"/>
      <c r="AW769" s="332"/>
      <c r="AX769" s="332"/>
      <c r="AY769" s="332"/>
      <c r="AZ769" s="332"/>
      <c r="BA769" s="332"/>
      <c r="BB769" s="332"/>
      <c r="BC769" s="332"/>
      <c r="BD769" s="332"/>
      <c r="BE769" s="332"/>
      <c r="BF769" s="332"/>
      <c r="BG769" s="332"/>
      <c r="BH769" s="332"/>
      <c r="BI769" s="332"/>
      <c r="BJ769" s="332"/>
      <c r="BK769" s="332"/>
      <c r="BL769" s="332"/>
      <c r="BM769" s="332"/>
      <c r="BN769" s="332"/>
      <c r="BO769" s="332"/>
      <c r="BP769" s="332"/>
      <c r="BQ769" s="332"/>
      <c r="BR769" s="332"/>
      <c r="BS769" s="332"/>
      <c r="BT769" s="332"/>
      <c r="BU769" s="332"/>
      <c r="BV769" s="332"/>
      <c r="BW769" s="332"/>
      <c r="BX769" s="332"/>
      <c r="BY769" s="332"/>
      <c r="BZ769" s="332"/>
      <c r="CA769" s="332"/>
      <c r="CB769" s="332"/>
      <c r="CC769" s="332"/>
      <c r="CD769" s="332"/>
      <c r="CE769" s="332"/>
      <c r="CF769" s="332"/>
      <c r="CG769" s="332"/>
      <c r="CH769" s="332"/>
      <c r="CI769" s="332"/>
      <c r="CJ769" s="332"/>
      <c r="CK769" s="332"/>
      <c r="CL769" s="332"/>
      <c r="CM769" s="332"/>
      <c r="CN769" s="332"/>
      <c r="CO769" s="332"/>
      <c r="CP769" s="332"/>
      <c r="CQ769" s="332"/>
      <c r="CR769" s="332"/>
      <c r="CS769" s="332"/>
      <c r="CT769" s="332"/>
      <c r="CU769" s="332"/>
      <c r="CV769" s="332"/>
      <c r="CW769" s="332"/>
      <c r="CX769" s="332"/>
      <c r="CY769" s="332"/>
      <c r="CZ769" s="332"/>
      <c r="DA769" s="332"/>
      <c r="DB769" s="332"/>
      <c r="DC769" s="332"/>
      <c r="DD769" s="332"/>
      <c r="DE769" s="332"/>
      <c r="DF769" s="332"/>
      <c r="DG769" s="332"/>
      <c r="DH769" s="332"/>
      <c r="DI769" s="332"/>
      <c r="DJ769" s="332"/>
      <c r="DK769" s="332"/>
      <c r="DL769" s="332"/>
      <c r="DM769" s="332"/>
      <c r="DN769" s="332"/>
      <c r="DO769" s="332"/>
      <c r="DP769" s="332"/>
      <c r="DQ769" s="332"/>
      <c r="DR769" s="332"/>
      <c r="DS769" s="332"/>
      <c r="DT769" s="332"/>
      <c r="DU769" s="453"/>
      <c r="DV769" s="453"/>
      <c r="DW769" s="453"/>
      <c r="DX769" s="453"/>
      <c r="DY769" s="453"/>
      <c r="DZ769" s="453"/>
      <c r="EA769" s="453"/>
      <c r="EB769" s="453"/>
      <c r="EC769" s="453"/>
      <c r="ED769" s="453"/>
      <c r="EE769" s="453"/>
      <c r="EF769" s="453"/>
      <c r="EG769" s="453"/>
      <c r="EH769" s="453"/>
      <c r="EI769" s="453"/>
      <c r="EJ769" s="453"/>
      <c r="EK769" s="453"/>
      <c r="EL769" s="453"/>
      <c r="EM769" s="483">
        <f t="shared" si="233"/>
        <v>460</v>
      </c>
      <c r="EN769" s="485"/>
      <c r="EO769" s="458"/>
      <c r="EP769" s="467"/>
      <c r="EQ769" s="457"/>
      <c r="ER769" s="808"/>
      <c r="ES769" s="881">
        <f t="shared" si="234"/>
        <v>0</v>
      </c>
      <c r="ET769" s="882"/>
      <c r="EU769" s="883"/>
      <c r="EV769" s="884">
        <f t="shared" si="232"/>
        <v>0</v>
      </c>
      <c r="EW769" s="885"/>
      <c r="EX769" s="885"/>
      <c r="EY769" s="885"/>
      <c r="EZ769" s="885"/>
      <c r="FA769" s="885"/>
      <c r="FB769" s="885"/>
      <c r="FC769" s="885"/>
      <c r="FD769" s="886"/>
      <c r="FE769" s="878"/>
      <c r="FF769" s="878"/>
      <c r="FG769" s="878"/>
      <c r="FH769" s="878"/>
      <c r="FI769" s="878"/>
      <c r="FJ769" s="878"/>
      <c r="FK769" s="878"/>
      <c r="FL769" s="555"/>
      <c r="FM769" s="554"/>
      <c r="FN769" s="554"/>
      <c r="FO769" s="554"/>
      <c r="FP769" s="554"/>
      <c r="FQ769" s="554"/>
      <c r="FR769" s="554"/>
      <c r="FS769" s="554"/>
      <c r="FT769" s="554"/>
      <c r="FU769" s="554"/>
      <c r="FV769" s="554"/>
      <c r="FW769" s="554"/>
      <c r="FX769" s="554"/>
      <c r="FY769" s="554"/>
      <c r="FZ769" s="554"/>
      <c r="GA769" s="554"/>
      <c r="GB769" s="556"/>
      <c r="GC769" s="370"/>
      <c r="GD769" s="453"/>
      <c r="GE769" s="453"/>
      <c r="GF769" s="453"/>
      <c r="GG769" s="453"/>
      <c r="GH769" s="454"/>
      <c r="GI769" s="453"/>
      <c r="GJ769" s="453"/>
      <c r="GK769" s="453"/>
      <c r="GL769" s="453"/>
      <c r="GM769" s="453"/>
      <c r="GN769" s="453"/>
      <c r="GO769" s="453"/>
      <c r="GP769" s="453"/>
      <c r="GQ769" s="453"/>
      <c r="GR769" s="453"/>
      <c r="GS769" s="561"/>
      <c r="GT769" s="475"/>
      <c r="GU769" s="472"/>
      <c r="GV769" s="453"/>
      <c r="GW769" s="453"/>
      <c r="GX769" s="869"/>
      <c r="GY769" s="870"/>
      <c r="GZ769" s="867"/>
      <c r="HA769" s="868"/>
      <c r="HB769" s="473"/>
      <c r="HC769" s="869"/>
      <c r="HD769" s="870"/>
      <c r="HE769" s="867"/>
      <c r="HF769" s="868"/>
      <c r="HG769" s="473"/>
      <c r="HH769" s="867"/>
      <c r="HI769" s="868"/>
      <c r="HJ769" s="867"/>
      <c r="HK769" s="868"/>
      <c r="HL769" s="370"/>
      <c r="HM769" s="865"/>
      <c r="HN769" s="866"/>
      <c r="HO769" s="865"/>
      <c r="HP769" s="866"/>
      <c r="HQ769" s="865"/>
      <c r="HR769" s="866"/>
      <c r="HS769" s="867"/>
      <c r="HT769" s="868"/>
      <c r="HU769" s="489"/>
      <c r="HV769" s="865"/>
      <c r="HW769" s="866"/>
    </row>
    <row r="770" spans="25:231" ht="15" customHeight="1">
      <c r="Y770" s="332"/>
      <c r="Z770" s="332"/>
      <c r="AA770" s="332"/>
      <c r="AB770" s="332"/>
      <c r="AC770" s="332"/>
      <c r="AD770" s="332"/>
      <c r="AE770" s="332"/>
      <c r="AF770" s="332"/>
      <c r="AG770" s="332"/>
      <c r="AH770" s="332"/>
      <c r="AI770" s="332"/>
      <c r="AJ770" s="332"/>
      <c r="AK770" s="332"/>
      <c r="AL770" s="332"/>
      <c r="AM770" s="332"/>
      <c r="AN770" s="332"/>
      <c r="AO770" s="332"/>
      <c r="AP770" s="332"/>
      <c r="AQ770" s="332"/>
      <c r="AR770" s="332"/>
      <c r="AS770" s="332"/>
      <c r="AT770" s="332"/>
      <c r="AU770" s="332"/>
      <c r="AV770" s="332"/>
      <c r="AW770" s="332"/>
      <c r="AX770" s="332"/>
      <c r="AY770" s="332"/>
      <c r="AZ770" s="332"/>
      <c r="BA770" s="332"/>
      <c r="BB770" s="332"/>
      <c r="BC770" s="332"/>
      <c r="BD770" s="332"/>
      <c r="BE770" s="332"/>
      <c r="BF770" s="332"/>
      <c r="BG770" s="332"/>
      <c r="BH770" s="332"/>
      <c r="BI770" s="332"/>
      <c r="BJ770" s="332"/>
      <c r="BK770" s="332"/>
      <c r="BL770" s="332"/>
      <c r="BM770" s="332"/>
      <c r="BN770" s="332"/>
      <c r="BO770" s="332"/>
      <c r="BP770" s="332"/>
      <c r="BQ770" s="332"/>
      <c r="BR770" s="332"/>
      <c r="BS770" s="332"/>
      <c r="BT770" s="332"/>
      <c r="BU770" s="332"/>
      <c r="BV770" s="332"/>
      <c r="BW770" s="332"/>
      <c r="BX770" s="332"/>
      <c r="BY770" s="332"/>
      <c r="BZ770" s="332"/>
      <c r="CA770" s="332"/>
      <c r="CB770" s="332"/>
      <c r="CC770" s="332"/>
      <c r="CD770" s="332"/>
      <c r="CE770" s="332"/>
      <c r="CF770" s="332"/>
      <c r="CG770" s="332"/>
      <c r="CH770" s="332"/>
      <c r="CI770" s="332"/>
      <c r="CJ770" s="332"/>
      <c r="CK770" s="332"/>
      <c r="CL770" s="332"/>
      <c r="CM770" s="332"/>
      <c r="CN770" s="332"/>
      <c r="CO770" s="332"/>
      <c r="CP770" s="332"/>
      <c r="CQ770" s="332"/>
      <c r="CR770" s="332"/>
      <c r="CS770" s="332"/>
      <c r="CT770" s="332"/>
      <c r="CU770" s="332"/>
      <c r="CV770" s="332"/>
      <c r="CW770" s="332"/>
      <c r="CX770" s="332"/>
      <c r="CY770" s="332"/>
      <c r="CZ770" s="332"/>
      <c r="DA770" s="332"/>
      <c r="DB770" s="332"/>
      <c r="DC770" s="332"/>
      <c r="DD770" s="332"/>
      <c r="DE770" s="332"/>
      <c r="DF770" s="332"/>
      <c r="DG770" s="332"/>
      <c r="DH770" s="332"/>
      <c r="DI770" s="332"/>
      <c r="DJ770" s="332"/>
      <c r="DK770" s="332"/>
      <c r="DL770" s="332"/>
      <c r="DM770" s="332"/>
      <c r="DN770" s="332"/>
      <c r="DO770" s="332"/>
      <c r="DP770" s="332"/>
      <c r="DQ770" s="332"/>
      <c r="DR770" s="332"/>
      <c r="DS770" s="332"/>
      <c r="DT770" s="332"/>
      <c r="DU770" s="453"/>
      <c r="DV770" s="453"/>
      <c r="DW770" s="453"/>
      <c r="DX770" s="453"/>
      <c r="DY770" s="453"/>
      <c r="DZ770" s="453"/>
      <c r="EA770" s="453"/>
      <c r="EB770" s="453"/>
      <c r="EC770" s="453"/>
      <c r="ED770" s="453"/>
      <c r="EE770" s="453"/>
      <c r="EF770" s="453"/>
      <c r="EG770" s="453"/>
      <c r="EH770" s="453"/>
      <c r="EI770" s="453"/>
      <c r="EJ770" s="453"/>
      <c r="EK770" s="453"/>
      <c r="EL770" s="453"/>
      <c r="EM770" s="483">
        <f t="shared" si="233"/>
        <v>461</v>
      </c>
      <c r="EN770" s="485"/>
      <c r="EO770" s="458"/>
      <c r="EP770" s="467"/>
      <c r="EQ770" s="457"/>
      <c r="ER770" s="808"/>
      <c r="ES770" s="881">
        <f t="shared" si="234"/>
        <v>0</v>
      </c>
      <c r="ET770" s="882"/>
      <c r="EU770" s="883"/>
      <c r="EV770" s="884">
        <f t="shared" si="232"/>
        <v>0</v>
      </c>
      <c r="EW770" s="885"/>
      <c r="EX770" s="885"/>
      <c r="EY770" s="885"/>
      <c r="EZ770" s="885"/>
      <c r="FA770" s="885"/>
      <c r="FB770" s="885"/>
      <c r="FC770" s="885"/>
      <c r="FD770" s="886"/>
      <c r="FE770" s="878"/>
      <c r="FF770" s="878"/>
      <c r="FG770" s="878"/>
      <c r="FH770" s="878"/>
      <c r="FI770" s="878"/>
      <c r="FJ770" s="878"/>
      <c r="FK770" s="878"/>
      <c r="FL770" s="555"/>
      <c r="FM770" s="554"/>
      <c r="FN770" s="554"/>
      <c r="FO770" s="554"/>
      <c r="FP770" s="554"/>
      <c r="FQ770" s="554"/>
      <c r="FR770" s="554"/>
      <c r="FS770" s="554"/>
      <c r="FT770" s="554"/>
      <c r="FU770" s="554"/>
      <c r="FV770" s="554"/>
      <c r="FW770" s="554"/>
      <c r="FX770" s="554"/>
      <c r="FY770" s="554"/>
      <c r="FZ770" s="554"/>
      <c r="GA770" s="554"/>
      <c r="GB770" s="556"/>
      <c r="GC770" s="370"/>
      <c r="GD770" s="453"/>
      <c r="GE770" s="453"/>
      <c r="GF770" s="453"/>
      <c r="GG770" s="453"/>
      <c r="GH770" s="454"/>
      <c r="GI770" s="453"/>
      <c r="GJ770" s="453"/>
      <c r="GK770" s="453"/>
      <c r="GL770" s="453"/>
      <c r="GM770" s="453"/>
      <c r="GN770" s="453"/>
      <c r="GO770" s="453"/>
      <c r="GP770" s="453"/>
      <c r="GQ770" s="453"/>
      <c r="GR770" s="453"/>
      <c r="GS770" s="561"/>
      <c r="GT770" s="475"/>
      <c r="GU770" s="472"/>
      <c r="GV770" s="453"/>
      <c r="GW770" s="453"/>
      <c r="GX770" s="869"/>
      <c r="GY770" s="870"/>
      <c r="GZ770" s="867"/>
      <c r="HA770" s="868"/>
      <c r="HB770" s="473"/>
      <c r="HC770" s="869"/>
      <c r="HD770" s="870"/>
      <c r="HE770" s="867"/>
      <c r="HF770" s="868"/>
      <c r="HG770" s="473"/>
      <c r="HH770" s="867"/>
      <c r="HI770" s="868"/>
      <c r="HJ770" s="867"/>
      <c r="HK770" s="868"/>
      <c r="HL770" s="370"/>
      <c r="HM770" s="865"/>
      <c r="HN770" s="866"/>
      <c r="HO770" s="865"/>
      <c r="HP770" s="866"/>
      <c r="HQ770" s="865"/>
      <c r="HR770" s="866"/>
      <c r="HS770" s="867"/>
      <c r="HT770" s="868"/>
      <c r="HU770" s="489"/>
      <c r="HV770" s="865"/>
      <c r="HW770" s="866"/>
    </row>
    <row r="771" spans="25:231" ht="15" customHeight="1">
      <c r="Y771" s="332"/>
      <c r="Z771" s="332"/>
      <c r="AA771" s="332"/>
      <c r="AB771" s="332"/>
      <c r="AC771" s="332"/>
      <c r="AD771" s="332"/>
      <c r="AE771" s="332"/>
      <c r="AF771" s="332"/>
      <c r="AG771" s="332"/>
      <c r="AH771" s="332"/>
      <c r="AI771" s="332"/>
      <c r="AJ771" s="332"/>
      <c r="AK771" s="332"/>
      <c r="AL771" s="332"/>
      <c r="AM771" s="332"/>
      <c r="AN771" s="332"/>
      <c r="AO771" s="332"/>
      <c r="AP771" s="332"/>
      <c r="AQ771" s="332"/>
      <c r="AR771" s="332"/>
      <c r="AS771" s="332"/>
      <c r="AT771" s="332"/>
      <c r="AU771" s="332"/>
      <c r="AV771" s="332"/>
      <c r="AW771" s="332"/>
      <c r="AX771" s="332"/>
      <c r="AY771" s="332"/>
      <c r="AZ771" s="332"/>
      <c r="BA771" s="332"/>
      <c r="BB771" s="332"/>
      <c r="BC771" s="332"/>
      <c r="BD771" s="332"/>
      <c r="BE771" s="332"/>
      <c r="BF771" s="332"/>
      <c r="BG771" s="332"/>
      <c r="BH771" s="332"/>
      <c r="BI771" s="332"/>
      <c r="BJ771" s="332"/>
      <c r="BK771" s="332"/>
      <c r="BL771" s="332"/>
      <c r="BM771" s="332"/>
      <c r="BN771" s="332"/>
      <c r="BO771" s="332"/>
      <c r="BP771" s="332"/>
      <c r="BQ771" s="332"/>
      <c r="BR771" s="332"/>
      <c r="BS771" s="332"/>
      <c r="BT771" s="332"/>
      <c r="BU771" s="332"/>
      <c r="BV771" s="332"/>
      <c r="BW771" s="332"/>
      <c r="BX771" s="332"/>
      <c r="BY771" s="332"/>
      <c r="BZ771" s="332"/>
      <c r="CA771" s="332"/>
      <c r="CB771" s="332"/>
      <c r="CC771" s="332"/>
      <c r="CD771" s="332"/>
      <c r="CE771" s="332"/>
      <c r="CF771" s="332"/>
      <c r="CG771" s="332"/>
      <c r="CH771" s="332"/>
      <c r="CI771" s="332"/>
      <c r="CJ771" s="332"/>
      <c r="CK771" s="332"/>
      <c r="CL771" s="332"/>
      <c r="CM771" s="332"/>
      <c r="CN771" s="332"/>
      <c r="CO771" s="332"/>
      <c r="CP771" s="332"/>
      <c r="CQ771" s="332"/>
      <c r="CR771" s="332"/>
      <c r="CS771" s="332"/>
      <c r="CT771" s="332"/>
      <c r="CU771" s="332"/>
      <c r="CV771" s="332"/>
      <c r="CW771" s="332"/>
      <c r="CX771" s="332"/>
      <c r="CY771" s="332"/>
      <c r="CZ771" s="332"/>
      <c r="DA771" s="332"/>
      <c r="DB771" s="332"/>
      <c r="DC771" s="332"/>
      <c r="DD771" s="332"/>
      <c r="DE771" s="332"/>
      <c r="DF771" s="332"/>
      <c r="DG771" s="332"/>
      <c r="DH771" s="332"/>
      <c r="DI771" s="332"/>
      <c r="DJ771" s="332"/>
      <c r="DK771" s="332"/>
      <c r="DL771" s="332"/>
      <c r="DM771" s="332"/>
      <c r="DN771" s="332"/>
      <c r="DO771" s="332"/>
      <c r="DP771" s="332"/>
      <c r="DQ771" s="332"/>
      <c r="DR771" s="332"/>
      <c r="DS771" s="332"/>
      <c r="DT771" s="332"/>
      <c r="DU771" s="453"/>
      <c r="DV771" s="453"/>
      <c r="DW771" s="453"/>
      <c r="DX771" s="453"/>
      <c r="DY771" s="453"/>
      <c r="DZ771" s="453"/>
      <c r="EA771" s="453"/>
      <c r="EB771" s="453"/>
      <c r="EC771" s="453"/>
      <c r="ED771" s="453"/>
      <c r="EE771" s="453"/>
      <c r="EF771" s="453"/>
      <c r="EG771" s="453"/>
      <c r="EH771" s="453"/>
      <c r="EI771" s="453"/>
      <c r="EJ771" s="453"/>
      <c r="EK771" s="453"/>
      <c r="EL771" s="453"/>
      <c r="EM771" s="483">
        <f t="shared" si="233"/>
        <v>462</v>
      </c>
      <c r="EN771" s="485"/>
      <c r="EO771" s="458"/>
      <c r="EP771" s="467"/>
      <c r="EQ771" s="457"/>
      <c r="ER771" s="808"/>
      <c r="ES771" s="881">
        <f t="shared" si="234"/>
        <v>0</v>
      </c>
      <c r="ET771" s="882"/>
      <c r="EU771" s="883"/>
      <c r="EV771" s="884">
        <f t="shared" si="232"/>
        <v>0</v>
      </c>
      <c r="EW771" s="885"/>
      <c r="EX771" s="885"/>
      <c r="EY771" s="885"/>
      <c r="EZ771" s="885"/>
      <c r="FA771" s="885"/>
      <c r="FB771" s="885"/>
      <c r="FC771" s="885"/>
      <c r="FD771" s="886"/>
      <c r="FE771" s="878"/>
      <c r="FF771" s="878"/>
      <c r="FG771" s="878"/>
      <c r="FH771" s="878"/>
      <c r="FI771" s="878"/>
      <c r="FJ771" s="878"/>
      <c r="FK771" s="878"/>
      <c r="FL771" s="555"/>
      <c r="FM771" s="554"/>
      <c r="FN771" s="554"/>
      <c r="FO771" s="554"/>
      <c r="FP771" s="554"/>
      <c r="FQ771" s="554"/>
      <c r="FR771" s="554"/>
      <c r="FS771" s="554"/>
      <c r="FT771" s="554"/>
      <c r="FU771" s="554"/>
      <c r="FV771" s="554"/>
      <c r="FW771" s="554"/>
      <c r="FX771" s="554"/>
      <c r="FY771" s="554"/>
      <c r="FZ771" s="554"/>
      <c r="GA771" s="554"/>
      <c r="GB771" s="556"/>
      <c r="GC771" s="370"/>
      <c r="GD771" s="453"/>
      <c r="GE771" s="453"/>
      <c r="GF771" s="453"/>
      <c r="GG771" s="453"/>
      <c r="GH771" s="454"/>
      <c r="GI771" s="453"/>
      <c r="GJ771" s="453"/>
      <c r="GK771" s="453"/>
      <c r="GL771" s="453"/>
      <c r="GM771" s="453"/>
      <c r="GN771" s="453"/>
      <c r="GO771" s="453"/>
      <c r="GP771" s="453"/>
      <c r="GQ771" s="453"/>
      <c r="GR771" s="453"/>
      <c r="GS771" s="561"/>
      <c r="GT771" s="475"/>
      <c r="GU771" s="472"/>
      <c r="GV771" s="453"/>
      <c r="GW771" s="453"/>
      <c r="GX771" s="869"/>
      <c r="GY771" s="870"/>
      <c r="GZ771" s="867"/>
      <c r="HA771" s="868"/>
      <c r="HB771" s="473"/>
      <c r="HC771" s="869"/>
      <c r="HD771" s="870"/>
      <c r="HE771" s="867"/>
      <c r="HF771" s="868"/>
      <c r="HG771" s="473"/>
      <c r="HH771" s="867"/>
      <c r="HI771" s="868"/>
      <c r="HJ771" s="867"/>
      <c r="HK771" s="868"/>
      <c r="HL771" s="370"/>
      <c r="HM771" s="865"/>
      <c r="HN771" s="866"/>
      <c r="HO771" s="865"/>
      <c r="HP771" s="866"/>
      <c r="HQ771" s="865"/>
      <c r="HR771" s="866"/>
      <c r="HS771" s="867"/>
      <c r="HT771" s="868"/>
      <c r="HU771" s="489"/>
      <c r="HV771" s="865"/>
      <c r="HW771" s="866"/>
    </row>
    <row r="772" spans="25:231" ht="15" customHeight="1">
      <c r="Y772" s="332"/>
      <c r="Z772" s="332"/>
      <c r="AA772" s="332"/>
      <c r="AB772" s="332"/>
      <c r="AC772" s="332"/>
      <c r="AD772" s="332"/>
      <c r="AE772" s="332"/>
      <c r="AF772" s="332"/>
      <c r="AG772" s="332"/>
      <c r="AH772" s="332"/>
      <c r="AI772" s="332"/>
      <c r="AJ772" s="332"/>
      <c r="AK772" s="332"/>
      <c r="AL772" s="332"/>
      <c r="AM772" s="332"/>
      <c r="AN772" s="332"/>
      <c r="AO772" s="332"/>
      <c r="AP772" s="332"/>
      <c r="AQ772" s="332"/>
      <c r="AR772" s="332"/>
      <c r="AS772" s="332"/>
      <c r="AT772" s="332"/>
      <c r="AU772" s="332"/>
      <c r="AV772" s="332"/>
      <c r="AW772" s="332"/>
      <c r="AX772" s="332"/>
      <c r="AY772" s="332"/>
      <c r="AZ772" s="332"/>
      <c r="BA772" s="332"/>
      <c r="BB772" s="332"/>
      <c r="BC772" s="332"/>
      <c r="BD772" s="332"/>
      <c r="BE772" s="332"/>
      <c r="BF772" s="332"/>
      <c r="BG772" s="332"/>
      <c r="BH772" s="332"/>
      <c r="BI772" s="332"/>
      <c r="BJ772" s="332"/>
      <c r="BK772" s="332"/>
      <c r="BL772" s="332"/>
      <c r="BM772" s="332"/>
      <c r="BN772" s="332"/>
      <c r="BO772" s="332"/>
      <c r="BP772" s="332"/>
      <c r="BQ772" s="332"/>
      <c r="BR772" s="332"/>
      <c r="BS772" s="332"/>
      <c r="BT772" s="332"/>
      <c r="BU772" s="332"/>
      <c r="BV772" s="332"/>
      <c r="BW772" s="332"/>
      <c r="BX772" s="332"/>
      <c r="BY772" s="332"/>
      <c r="BZ772" s="332"/>
      <c r="CA772" s="332"/>
      <c r="CB772" s="332"/>
      <c r="CC772" s="332"/>
      <c r="CD772" s="332"/>
      <c r="CE772" s="332"/>
      <c r="CF772" s="332"/>
      <c r="CG772" s="332"/>
      <c r="CH772" s="332"/>
      <c r="CI772" s="332"/>
      <c r="CJ772" s="332"/>
      <c r="CK772" s="332"/>
      <c r="CL772" s="332"/>
      <c r="CM772" s="332"/>
      <c r="CN772" s="332"/>
      <c r="CO772" s="332"/>
      <c r="CP772" s="332"/>
      <c r="CQ772" s="332"/>
      <c r="CR772" s="332"/>
      <c r="CS772" s="332"/>
      <c r="CT772" s="332"/>
      <c r="CU772" s="332"/>
      <c r="CV772" s="332"/>
      <c r="CW772" s="332"/>
      <c r="CX772" s="332"/>
      <c r="CY772" s="332"/>
      <c r="CZ772" s="332"/>
      <c r="DA772" s="332"/>
      <c r="DB772" s="332"/>
      <c r="DC772" s="332"/>
      <c r="DD772" s="332"/>
      <c r="DE772" s="332"/>
      <c r="DF772" s="332"/>
      <c r="DG772" s="332"/>
      <c r="DH772" s="332"/>
      <c r="DI772" s="332"/>
      <c r="DJ772" s="332"/>
      <c r="DK772" s="332"/>
      <c r="DL772" s="332"/>
      <c r="DM772" s="332"/>
      <c r="DN772" s="332"/>
      <c r="DO772" s="332"/>
      <c r="DP772" s="332"/>
      <c r="DQ772" s="332"/>
      <c r="DR772" s="332"/>
      <c r="DS772" s="332"/>
      <c r="DT772" s="332"/>
      <c r="DU772" s="453"/>
      <c r="DV772" s="453"/>
      <c r="DW772" s="453"/>
      <c r="DX772" s="453"/>
      <c r="DY772" s="453"/>
      <c r="DZ772" s="453"/>
      <c r="EA772" s="453"/>
      <c r="EB772" s="453"/>
      <c r="EC772" s="453"/>
      <c r="ED772" s="453"/>
      <c r="EE772" s="453"/>
      <c r="EF772" s="453"/>
      <c r="EG772" s="453"/>
      <c r="EH772" s="453"/>
      <c r="EI772" s="453"/>
      <c r="EJ772" s="453"/>
      <c r="EK772" s="453"/>
      <c r="EL772" s="453"/>
      <c r="EM772" s="483">
        <f t="shared" si="233"/>
        <v>463</v>
      </c>
      <c r="EN772" s="485"/>
      <c r="EO772" s="458"/>
      <c r="EP772" s="467"/>
      <c r="EQ772" s="457"/>
      <c r="ER772" s="808"/>
      <c r="ES772" s="881">
        <f t="shared" si="234"/>
        <v>0</v>
      </c>
      <c r="ET772" s="882"/>
      <c r="EU772" s="883"/>
      <c r="EV772" s="884">
        <f t="shared" si="232"/>
        <v>0</v>
      </c>
      <c r="EW772" s="885"/>
      <c r="EX772" s="885"/>
      <c r="EY772" s="885"/>
      <c r="EZ772" s="885"/>
      <c r="FA772" s="885"/>
      <c r="FB772" s="885"/>
      <c r="FC772" s="885"/>
      <c r="FD772" s="886"/>
      <c r="FE772" s="878"/>
      <c r="FF772" s="878"/>
      <c r="FG772" s="878"/>
      <c r="FH772" s="878"/>
      <c r="FI772" s="878"/>
      <c r="FJ772" s="878"/>
      <c r="FK772" s="878"/>
      <c r="FL772" s="555"/>
      <c r="FM772" s="554"/>
      <c r="FN772" s="554"/>
      <c r="FO772" s="554"/>
      <c r="FP772" s="554"/>
      <c r="FQ772" s="554"/>
      <c r="FR772" s="554"/>
      <c r="FS772" s="554"/>
      <c r="FT772" s="554"/>
      <c r="FU772" s="554"/>
      <c r="FV772" s="554"/>
      <c r="FW772" s="554"/>
      <c r="FX772" s="554"/>
      <c r="FY772" s="554"/>
      <c r="FZ772" s="554"/>
      <c r="GA772" s="554"/>
      <c r="GB772" s="556"/>
      <c r="GC772" s="370"/>
      <c r="GD772" s="453"/>
      <c r="GE772" s="453"/>
      <c r="GF772" s="453"/>
      <c r="GG772" s="453"/>
      <c r="GH772" s="454"/>
      <c r="GI772" s="453"/>
      <c r="GJ772" s="453"/>
      <c r="GK772" s="453"/>
      <c r="GL772" s="453"/>
      <c r="GM772" s="453"/>
      <c r="GN772" s="453"/>
      <c r="GO772" s="453"/>
      <c r="GP772" s="453"/>
      <c r="GQ772" s="453"/>
      <c r="GR772" s="453"/>
      <c r="GS772" s="561"/>
      <c r="GT772" s="475"/>
      <c r="GU772" s="472"/>
      <c r="GV772" s="453"/>
      <c r="GW772" s="453"/>
      <c r="GX772" s="869"/>
      <c r="GY772" s="870"/>
      <c r="GZ772" s="867"/>
      <c r="HA772" s="868"/>
      <c r="HB772" s="473"/>
      <c r="HC772" s="869"/>
      <c r="HD772" s="870"/>
      <c r="HE772" s="867"/>
      <c r="HF772" s="868"/>
      <c r="HG772" s="473"/>
      <c r="HH772" s="867"/>
      <c r="HI772" s="868"/>
      <c r="HJ772" s="867"/>
      <c r="HK772" s="868"/>
      <c r="HL772" s="370"/>
      <c r="HM772" s="865"/>
      <c r="HN772" s="866"/>
      <c r="HO772" s="865"/>
      <c r="HP772" s="866"/>
      <c r="HQ772" s="865"/>
      <c r="HR772" s="866"/>
      <c r="HS772" s="867"/>
      <c r="HT772" s="868"/>
      <c r="HU772" s="489"/>
      <c r="HV772" s="865"/>
      <c r="HW772" s="866"/>
    </row>
    <row r="773" spans="25:231" ht="15" customHeight="1">
      <c r="Y773" s="332"/>
      <c r="Z773" s="332"/>
      <c r="AA773" s="332"/>
      <c r="AB773" s="332"/>
      <c r="AC773" s="332"/>
      <c r="AD773" s="332"/>
      <c r="AE773" s="332"/>
      <c r="AF773" s="332"/>
      <c r="AG773" s="332"/>
      <c r="AH773" s="332"/>
      <c r="AI773" s="332"/>
      <c r="AJ773" s="332"/>
      <c r="AK773" s="332"/>
      <c r="AL773" s="332"/>
      <c r="AM773" s="332"/>
      <c r="AN773" s="332"/>
      <c r="AO773" s="332"/>
      <c r="AP773" s="332"/>
      <c r="AQ773" s="332"/>
      <c r="AR773" s="332"/>
      <c r="AS773" s="332"/>
      <c r="AT773" s="332"/>
      <c r="AU773" s="332"/>
      <c r="AV773" s="332"/>
      <c r="AW773" s="332"/>
      <c r="AX773" s="332"/>
      <c r="AY773" s="332"/>
      <c r="AZ773" s="332"/>
      <c r="BA773" s="332"/>
      <c r="BB773" s="332"/>
      <c r="BC773" s="332"/>
      <c r="BD773" s="332"/>
      <c r="BE773" s="332"/>
      <c r="BF773" s="332"/>
      <c r="BG773" s="332"/>
      <c r="BH773" s="332"/>
      <c r="BI773" s="332"/>
      <c r="BJ773" s="332"/>
      <c r="BK773" s="332"/>
      <c r="BL773" s="332"/>
      <c r="BM773" s="332"/>
      <c r="BN773" s="332"/>
      <c r="BO773" s="332"/>
      <c r="BP773" s="332"/>
      <c r="BQ773" s="332"/>
      <c r="BR773" s="332"/>
      <c r="BS773" s="332"/>
      <c r="BT773" s="332"/>
      <c r="BU773" s="332"/>
      <c r="BV773" s="332"/>
      <c r="BW773" s="332"/>
      <c r="BX773" s="332"/>
      <c r="BY773" s="332"/>
      <c r="BZ773" s="332"/>
      <c r="CA773" s="332"/>
      <c r="CB773" s="332"/>
      <c r="CC773" s="332"/>
      <c r="CD773" s="332"/>
      <c r="CE773" s="332"/>
      <c r="CF773" s="332"/>
      <c r="CG773" s="332"/>
      <c r="CH773" s="332"/>
      <c r="CI773" s="332"/>
      <c r="CJ773" s="332"/>
      <c r="CK773" s="332"/>
      <c r="CL773" s="332"/>
      <c r="CM773" s="332"/>
      <c r="CN773" s="332"/>
      <c r="CO773" s="332"/>
      <c r="CP773" s="332"/>
      <c r="CQ773" s="332"/>
      <c r="CR773" s="332"/>
      <c r="CS773" s="332"/>
      <c r="CT773" s="332"/>
      <c r="CU773" s="332"/>
      <c r="CV773" s="332"/>
      <c r="CW773" s="332"/>
      <c r="CX773" s="332"/>
      <c r="CY773" s="332"/>
      <c r="CZ773" s="332"/>
      <c r="DA773" s="332"/>
      <c r="DB773" s="332"/>
      <c r="DC773" s="332"/>
      <c r="DD773" s="332"/>
      <c r="DE773" s="332"/>
      <c r="DF773" s="332"/>
      <c r="DG773" s="332"/>
      <c r="DH773" s="332"/>
      <c r="DI773" s="332"/>
      <c r="DJ773" s="332"/>
      <c r="DK773" s="332"/>
      <c r="DL773" s="332"/>
      <c r="DM773" s="332"/>
      <c r="DN773" s="332"/>
      <c r="DO773" s="332"/>
      <c r="DP773" s="332"/>
      <c r="DQ773" s="332"/>
      <c r="DR773" s="332"/>
      <c r="DS773" s="332"/>
      <c r="DT773" s="332"/>
      <c r="DU773" s="453"/>
      <c r="DV773" s="453"/>
      <c r="DW773" s="453"/>
      <c r="DX773" s="453"/>
      <c r="DY773" s="453"/>
      <c r="DZ773" s="453"/>
      <c r="EA773" s="453"/>
      <c r="EB773" s="453"/>
      <c r="EC773" s="453"/>
      <c r="ED773" s="453"/>
      <c r="EE773" s="453"/>
      <c r="EF773" s="453"/>
      <c r="EG773" s="453"/>
      <c r="EH773" s="453"/>
      <c r="EI773" s="453"/>
      <c r="EJ773" s="453"/>
      <c r="EK773" s="453"/>
      <c r="EL773" s="453"/>
      <c r="EM773" s="483">
        <f t="shared" si="233"/>
        <v>464</v>
      </c>
      <c r="EN773" s="485"/>
      <c r="EO773" s="458"/>
      <c r="EP773" s="467"/>
      <c r="EQ773" s="457"/>
      <c r="ER773" s="808"/>
      <c r="ES773" s="881">
        <f t="shared" si="234"/>
        <v>0</v>
      </c>
      <c r="ET773" s="882"/>
      <c r="EU773" s="883"/>
      <c r="EV773" s="884">
        <f t="shared" si="232"/>
        <v>0</v>
      </c>
      <c r="EW773" s="885"/>
      <c r="EX773" s="885"/>
      <c r="EY773" s="885"/>
      <c r="EZ773" s="885"/>
      <c r="FA773" s="885"/>
      <c r="FB773" s="885"/>
      <c r="FC773" s="885"/>
      <c r="FD773" s="886"/>
      <c r="FE773" s="878"/>
      <c r="FF773" s="878"/>
      <c r="FG773" s="878"/>
      <c r="FH773" s="878"/>
      <c r="FI773" s="878"/>
      <c r="FJ773" s="878"/>
      <c r="FK773" s="878"/>
      <c r="FL773" s="555"/>
      <c r="FM773" s="554"/>
      <c r="FN773" s="554"/>
      <c r="FO773" s="554"/>
      <c r="FP773" s="554"/>
      <c r="FQ773" s="554"/>
      <c r="FR773" s="554"/>
      <c r="FS773" s="554"/>
      <c r="FT773" s="554"/>
      <c r="FU773" s="554"/>
      <c r="FV773" s="554"/>
      <c r="FW773" s="554"/>
      <c r="FX773" s="554"/>
      <c r="FY773" s="554"/>
      <c r="FZ773" s="554"/>
      <c r="GA773" s="554"/>
      <c r="GB773" s="556"/>
      <c r="GC773" s="370"/>
      <c r="GD773" s="453"/>
      <c r="GE773" s="453"/>
      <c r="GF773" s="453"/>
      <c r="GG773" s="453"/>
      <c r="GH773" s="454"/>
      <c r="GI773" s="453"/>
      <c r="GJ773" s="453"/>
      <c r="GK773" s="453"/>
      <c r="GL773" s="453"/>
      <c r="GM773" s="453"/>
      <c r="GN773" s="453"/>
      <c r="GO773" s="453"/>
      <c r="GP773" s="453"/>
      <c r="GQ773" s="453"/>
      <c r="GR773" s="453"/>
      <c r="GS773" s="561"/>
      <c r="GT773" s="475"/>
      <c r="GU773" s="472"/>
      <c r="GV773" s="453"/>
      <c r="GW773" s="453"/>
      <c r="GX773" s="869"/>
      <c r="GY773" s="870"/>
      <c r="GZ773" s="867"/>
      <c r="HA773" s="868"/>
      <c r="HB773" s="473"/>
      <c r="HC773" s="869"/>
      <c r="HD773" s="870"/>
      <c r="HE773" s="867"/>
      <c r="HF773" s="868"/>
      <c r="HG773" s="473"/>
      <c r="HH773" s="867"/>
      <c r="HI773" s="868"/>
      <c r="HJ773" s="867"/>
      <c r="HK773" s="868"/>
      <c r="HL773" s="370"/>
      <c r="HM773" s="865"/>
      <c r="HN773" s="866"/>
      <c r="HO773" s="865"/>
      <c r="HP773" s="866"/>
      <c r="HQ773" s="865"/>
      <c r="HR773" s="866"/>
      <c r="HS773" s="867"/>
      <c r="HT773" s="868"/>
      <c r="HU773" s="489"/>
      <c r="HV773" s="865"/>
      <c r="HW773" s="866"/>
    </row>
    <row r="774" spans="25:231" ht="15" customHeight="1">
      <c r="Y774" s="332"/>
      <c r="Z774" s="332"/>
      <c r="AA774" s="332"/>
      <c r="AB774" s="332"/>
      <c r="AC774" s="332"/>
      <c r="AD774" s="332"/>
      <c r="AE774" s="332"/>
      <c r="AF774" s="332"/>
      <c r="AG774" s="332"/>
      <c r="AH774" s="332"/>
      <c r="AI774" s="332"/>
      <c r="AJ774" s="332"/>
      <c r="AK774" s="332"/>
      <c r="AL774" s="332"/>
      <c r="AM774" s="332"/>
      <c r="AN774" s="332"/>
      <c r="AO774" s="332"/>
      <c r="AP774" s="332"/>
      <c r="AQ774" s="332"/>
      <c r="AR774" s="332"/>
      <c r="AS774" s="332"/>
      <c r="AT774" s="332"/>
      <c r="AU774" s="332"/>
      <c r="AV774" s="332"/>
      <c r="AW774" s="332"/>
      <c r="AX774" s="332"/>
      <c r="AY774" s="332"/>
      <c r="AZ774" s="332"/>
      <c r="BA774" s="332"/>
      <c r="BB774" s="332"/>
      <c r="BC774" s="332"/>
      <c r="BD774" s="332"/>
      <c r="BE774" s="332"/>
      <c r="BF774" s="332"/>
      <c r="BG774" s="332"/>
      <c r="BH774" s="332"/>
      <c r="BI774" s="332"/>
      <c r="BJ774" s="332"/>
      <c r="BK774" s="332"/>
      <c r="BL774" s="332"/>
      <c r="BM774" s="332"/>
      <c r="BN774" s="332"/>
      <c r="BO774" s="332"/>
      <c r="BP774" s="332"/>
      <c r="BQ774" s="332"/>
      <c r="BR774" s="332"/>
      <c r="BS774" s="332"/>
      <c r="BT774" s="332"/>
      <c r="BU774" s="332"/>
      <c r="BV774" s="332"/>
      <c r="BW774" s="332"/>
      <c r="BX774" s="332"/>
      <c r="BY774" s="332"/>
      <c r="BZ774" s="332"/>
      <c r="CA774" s="332"/>
      <c r="CB774" s="332"/>
      <c r="CC774" s="332"/>
      <c r="CD774" s="332"/>
      <c r="CE774" s="332"/>
      <c r="CF774" s="332"/>
      <c r="CG774" s="332"/>
      <c r="CH774" s="332"/>
      <c r="CI774" s="332"/>
      <c r="CJ774" s="332"/>
      <c r="CK774" s="332"/>
      <c r="CL774" s="332"/>
      <c r="CM774" s="332"/>
      <c r="CN774" s="332"/>
      <c r="CO774" s="332"/>
      <c r="CP774" s="332"/>
      <c r="CQ774" s="332"/>
      <c r="CR774" s="332"/>
      <c r="CS774" s="332"/>
      <c r="CT774" s="332"/>
      <c r="CU774" s="332"/>
      <c r="CV774" s="332"/>
      <c r="CW774" s="332"/>
      <c r="CX774" s="332"/>
      <c r="CY774" s="332"/>
      <c r="CZ774" s="332"/>
      <c r="DA774" s="332"/>
      <c r="DB774" s="332"/>
      <c r="DC774" s="332"/>
      <c r="DD774" s="332"/>
      <c r="DE774" s="332"/>
      <c r="DF774" s="332"/>
      <c r="DG774" s="332"/>
      <c r="DH774" s="332"/>
      <c r="DI774" s="332"/>
      <c r="DJ774" s="332"/>
      <c r="DK774" s="332"/>
      <c r="DL774" s="332"/>
      <c r="DM774" s="332"/>
      <c r="DN774" s="332"/>
      <c r="DO774" s="332"/>
      <c r="DP774" s="332"/>
      <c r="DQ774" s="332"/>
      <c r="DR774" s="332"/>
      <c r="DS774" s="332"/>
      <c r="DT774" s="332"/>
      <c r="DU774" s="453"/>
      <c r="DV774" s="453"/>
      <c r="DW774" s="453"/>
      <c r="DX774" s="453"/>
      <c r="DY774" s="453"/>
      <c r="DZ774" s="453"/>
      <c r="EA774" s="453"/>
      <c r="EB774" s="453"/>
      <c r="EC774" s="453"/>
      <c r="ED774" s="453"/>
      <c r="EE774" s="453"/>
      <c r="EF774" s="453"/>
      <c r="EG774" s="453"/>
      <c r="EH774" s="453"/>
      <c r="EI774" s="453"/>
      <c r="EJ774" s="453"/>
      <c r="EK774" s="453"/>
      <c r="EL774" s="453"/>
      <c r="EM774" s="483">
        <f t="shared" si="233"/>
        <v>465</v>
      </c>
      <c r="EN774" s="485"/>
      <c r="EO774" s="458"/>
      <c r="EP774" s="467"/>
      <c r="EQ774" s="457"/>
      <c r="ER774" s="808"/>
      <c r="ES774" s="881">
        <f t="shared" si="234"/>
        <v>0</v>
      </c>
      <c r="ET774" s="882"/>
      <c r="EU774" s="883"/>
      <c r="EV774" s="884">
        <f t="shared" si="232"/>
        <v>0</v>
      </c>
      <c r="EW774" s="885"/>
      <c r="EX774" s="885"/>
      <c r="EY774" s="885"/>
      <c r="EZ774" s="885"/>
      <c r="FA774" s="885"/>
      <c r="FB774" s="885"/>
      <c r="FC774" s="885"/>
      <c r="FD774" s="886"/>
      <c r="FE774" s="878"/>
      <c r="FF774" s="878"/>
      <c r="FG774" s="878"/>
      <c r="FH774" s="878"/>
      <c r="FI774" s="878"/>
      <c r="FJ774" s="878"/>
      <c r="FK774" s="878"/>
      <c r="FL774" s="555"/>
      <c r="FM774" s="554"/>
      <c r="FN774" s="554"/>
      <c r="FO774" s="554"/>
      <c r="FP774" s="554"/>
      <c r="FQ774" s="554"/>
      <c r="FR774" s="554"/>
      <c r="FS774" s="554"/>
      <c r="FT774" s="554"/>
      <c r="FU774" s="554"/>
      <c r="FV774" s="554"/>
      <c r="FW774" s="554"/>
      <c r="FX774" s="554"/>
      <c r="FY774" s="554"/>
      <c r="FZ774" s="554"/>
      <c r="GA774" s="554"/>
      <c r="GB774" s="556"/>
      <c r="GC774" s="370"/>
      <c r="GD774" s="453"/>
      <c r="GE774" s="453"/>
      <c r="GF774" s="453"/>
      <c r="GG774" s="453"/>
      <c r="GH774" s="454"/>
      <c r="GI774" s="453"/>
      <c r="GJ774" s="453"/>
      <c r="GK774" s="453"/>
      <c r="GL774" s="453"/>
      <c r="GM774" s="453"/>
      <c r="GN774" s="453"/>
      <c r="GO774" s="453"/>
      <c r="GP774" s="453"/>
      <c r="GQ774" s="453"/>
      <c r="GR774" s="453"/>
      <c r="GS774" s="561"/>
      <c r="GT774" s="475"/>
      <c r="GU774" s="472"/>
      <c r="GV774" s="453"/>
      <c r="GW774" s="453"/>
      <c r="GX774" s="869"/>
      <c r="GY774" s="870"/>
      <c r="GZ774" s="867"/>
      <c r="HA774" s="868"/>
      <c r="HB774" s="473"/>
      <c r="HC774" s="869"/>
      <c r="HD774" s="870"/>
      <c r="HE774" s="867"/>
      <c r="HF774" s="868"/>
      <c r="HG774" s="473"/>
      <c r="HH774" s="867"/>
      <c r="HI774" s="868"/>
      <c r="HJ774" s="867"/>
      <c r="HK774" s="868"/>
      <c r="HL774" s="370"/>
      <c r="HM774" s="865"/>
      <c r="HN774" s="866"/>
      <c r="HO774" s="865"/>
      <c r="HP774" s="866"/>
      <c r="HQ774" s="865"/>
      <c r="HR774" s="866"/>
      <c r="HS774" s="867"/>
      <c r="HT774" s="868"/>
      <c r="HU774" s="489"/>
      <c r="HV774" s="865"/>
      <c r="HW774" s="866"/>
    </row>
    <row r="775" spans="25:231" ht="15" customHeight="1">
      <c r="Y775" s="332"/>
      <c r="Z775" s="332"/>
      <c r="AA775" s="332"/>
      <c r="AB775" s="332"/>
      <c r="AC775" s="332"/>
      <c r="AD775" s="332"/>
      <c r="AE775" s="332"/>
      <c r="AF775" s="332"/>
      <c r="AG775" s="332"/>
      <c r="AH775" s="332"/>
      <c r="AI775" s="332"/>
      <c r="AJ775" s="332"/>
      <c r="AK775" s="332"/>
      <c r="AL775" s="332"/>
      <c r="AM775" s="332"/>
      <c r="AN775" s="332"/>
      <c r="AO775" s="332"/>
      <c r="AP775" s="332"/>
      <c r="AQ775" s="332"/>
      <c r="AR775" s="332"/>
      <c r="AS775" s="332"/>
      <c r="AT775" s="332"/>
      <c r="AU775" s="332"/>
      <c r="AV775" s="332"/>
      <c r="AW775" s="332"/>
      <c r="AX775" s="332"/>
      <c r="AY775" s="332"/>
      <c r="AZ775" s="332"/>
      <c r="BA775" s="332"/>
      <c r="BB775" s="332"/>
      <c r="BC775" s="332"/>
      <c r="BD775" s="332"/>
      <c r="BE775" s="332"/>
      <c r="BF775" s="332"/>
      <c r="BG775" s="332"/>
      <c r="BH775" s="332"/>
      <c r="BI775" s="332"/>
      <c r="BJ775" s="332"/>
      <c r="BK775" s="332"/>
      <c r="BL775" s="332"/>
      <c r="BM775" s="332"/>
      <c r="BN775" s="332"/>
      <c r="BO775" s="332"/>
      <c r="BP775" s="332"/>
      <c r="BQ775" s="332"/>
      <c r="BR775" s="332"/>
      <c r="BS775" s="332"/>
      <c r="BT775" s="332"/>
      <c r="BU775" s="332"/>
      <c r="BV775" s="332"/>
      <c r="BW775" s="332"/>
      <c r="BX775" s="332"/>
      <c r="BY775" s="332"/>
      <c r="BZ775" s="332"/>
      <c r="CA775" s="332"/>
      <c r="CB775" s="332"/>
      <c r="CC775" s="332"/>
      <c r="CD775" s="332"/>
      <c r="CE775" s="332"/>
      <c r="CF775" s="332"/>
      <c r="CG775" s="332"/>
      <c r="CH775" s="332"/>
      <c r="CI775" s="332"/>
      <c r="CJ775" s="332"/>
      <c r="CK775" s="332"/>
      <c r="CL775" s="332"/>
      <c r="CM775" s="332"/>
      <c r="CN775" s="332"/>
      <c r="CO775" s="332"/>
      <c r="CP775" s="332"/>
      <c r="CQ775" s="332"/>
      <c r="CR775" s="332"/>
      <c r="CS775" s="332"/>
      <c r="CT775" s="332"/>
      <c r="CU775" s="332"/>
      <c r="CV775" s="332"/>
      <c r="CW775" s="332"/>
      <c r="CX775" s="332"/>
      <c r="CY775" s="332"/>
      <c r="CZ775" s="332"/>
      <c r="DA775" s="332"/>
      <c r="DB775" s="332"/>
      <c r="DC775" s="332"/>
      <c r="DD775" s="332"/>
      <c r="DE775" s="332"/>
      <c r="DF775" s="332"/>
      <c r="DG775" s="332"/>
      <c r="DH775" s="332"/>
      <c r="DI775" s="332"/>
      <c r="DJ775" s="332"/>
      <c r="DK775" s="332"/>
      <c r="DL775" s="332"/>
      <c r="DM775" s="332"/>
      <c r="DN775" s="332"/>
      <c r="DO775" s="332"/>
      <c r="DP775" s="332"/>
      <c r="DQ775" s="332"/>
      <c r="DR775" s="332"/>
      <c r="DS775" s="332"/>
      <c r="DT775" s="332"/>
      <c r="DU775" s="453"/>
      <c r="DV775" s="453"/>
      <c r="DW775" s="453"/>
      <c r="DX775" s="453"/>
      <c r="DY775" s="453"/>
      <c r="DZ775" s="453"/>
      <c r="EA775" s="453"/>
      <c r="EB775" s="453"/>
      <c r="EC775" s="453"/>
      <c r="ED775" s="453"/>
      <c r="EE775" s="453"/>
      <c r="EF775" s="453"/>
      <c r="EG775" s="453"/>
      <c r="EH775" s="453"/>
      <c r="EI775" s="453"/>
      <c r="EJ775" s="453"/>
      <c r="EK775" s="453"/>
      <c r="EL775" s="453"/>
      <c r="EM775" s="483">
        <f t="shared" si="233"/>
        <v>466</v>
      </c>
      <c r="EN775" s="485"/>
      <c r="EO775" s="458"/>
      <c r="EP775" s="467"/>
      <c r="EQ775" s="457"/>
      <c r="ER775" s="808"/>
      <c r="ES775" s="881">
        <f t="shared" si="234"/>
        <v>0</v>
      </c>
      <c r="ET775" s="882"/>
      <c r="EU775" s="883"/>
      <c r="EV775" s="884">
        <f t="shared" si="232"/>
        <v>0</v>
      </c>
      <c r="EW775" s="885"/>
      <c r="EX775" s="885"/>
      <c r="EY775" s="885"/>
      <c r="EZ775" s="885"/>
      <c r="FA775" s="885"/>
      <c r="FB775" s="885"/>
      <c r="FC775" s="885"/>
      <c r="FD775" s="886"/>
      <c r="FE775" s="878"/>
      <c r="FF775" s="878"/>
      <c r="FG775" s="878"/>
      <c r="FH775" s="878"/>
      <c r="FI775" s="878"/>
      <c r="FJ775" s="878"/>
      <c r="FK775" s="878"/>
      <c r="FL775" s="555"/>
      <c r="FM775" s="554"/>
      <c r="FN775" s="554"/>
      <c r="FO775" s="554"/>
      <c r="FP775" s="554"/>
      <c r="FQ775" s="554"/>
      <c r="FR775" s="554"/>
      <c r="FS775" s="554"/>
      <c r="FT775" s="554"/>
      <c r="FU775" s="554"/>
      <c r="FV775" s="554"/>
      <c r="FW775" s="554"/>
      <c r="FX775" s="554"/>
      <c r="FY775" s="554"/>
      <c r="FZ775" s="554"/>
      <c r="GA775" s="554"/>
      <c r="GB775" s="556"/>
      <c r="GC775" s="370"/>
      <c r="GD775" s="453"/>
      <c r="GE775" s="453"/>
      <c r="GF775" s="453"/>
      <c r="GG775" s="453"/>
      <c r="GH775" s="454"/>
      <c r="GI775" s="453"/>
      <c r="GJ775" s="453"/>
      <c r="GK775" s="453"/>
      <c r="GL775" s="453"/>
      <c r="GM775" s="453"/>
      <c r="GN775" s="453"/>
      <c r="GO775" s="453"/>
      <c r="GP775" s="453"/>
      <c r="GQ775" s="453"/>
      <c r="GR775" s="453"/>
      <c r="GS775" s="561"/>
      <c r="GT775" s="475"/>
      <c r="GU775" s="472"/>
      <c r="GV775" s="453"/>
      <c r="GW775" s="453"/>
      <c r="GX775" s="869"/>
      <c r="GY775" s="870"/>
      <c r="GZ775" s="867"/>
      <c r="HA775" s="868"/>
      <c r="HB775" s="473"/>
      <c r="HC775" s="869"/>
      <c r="HD775" s="870"/>
      <c r="HE775" s="867"/>
      <c r="HF775" s="868"/>
      <c r="HG775" s="473"/>
      <c r="HH775" s="867"/>
      <c r="HI775" s="868"/>
      <c r="HJ775" s="867"/>
      <c r="HK775" s="868"/>
      <c r="HL775" s="370"/>
      <c r="HM775" s="865"/>
      <c r="HN775" s="866"/>
      <c r="HO775" s="865"/>
      <c r="HP775" s="866"/>
      <c r="HQ775" s="865"/>
      <c r="HR775" s="866"/>
      <c r="HS775" s="867"/>
      <c r="HT775" s="868"/>
      <c r="HU775" s="489"/>
      <c r="HV775" s="865"/>
      <c r="HW775" s="866"/>
    </row>
    <row r="776" spans="25:231" ht="15" customHeight="1">
      <c r="Y776" s="332"/>
      <c r="Z776" s="332"/>
      <c r="AA776" s="332"/>
      <c r="AB776" s="332"/>
      <c r="AC776" s="332"/>
      <c r="AD776" s="332"/>
      <c r="AE776" s="332"/>
      <c r="AF776" s="332"/>
      <c r="AG776" s="332"/>
      <c r="AH776" s="332"/>
      <c r="AI776" s="332"/>
      <c r="AJ776" s="332"/>
      <c r="AK776" s="332"/>
      <c r="AL776" s="332"/>
      <c r="AM776" s="332"/>
      <c r="AN776" s="332"/>
      <c r="AO776" s="332"/>
      <c r="AP776" s="332"/>
      <c r="AQ776" s="332"/>
      <c r="AR776" s="332"/>
      <c r="AS776" s="332"/>
      <c r="AT776" s="332"/>
      <c r="AU776" s="332"/>
      <c r="AV776" s="332"/>
      <c r="AW776" s="332"/>
      <c r="AX776" s="332"/>
      <c r="AY776" s="332"/>
      <c r="AZ776" s="332"/>
      <c r="BA776" s="332"/>
      <c r="BB776" s="332"/>
      <c r="BC776" s="332"/>
      <c r="BD776" s="332"/>
      <c r="BE776" s="332"/>
      <c r="BF776" s="332"/>
      <c r="BG776" s="332"/>
      <c r="BH776" s="332"/>
      <c r="BI776" s="332"/>
      <c r="BJ776" s="332"/>
      <c r="BK776" s="332"/>
      <c r="BL776" s="332"/>
      <c r="BM776" s="332"/>
      <c r="BN776" s="332"/>
      <c r="BO776" s="332"/>
      <c r="BP776" s="332"/>
      <c r="BQ776" s="332"/>
      <c r="BR776" s="332"/>
      <c r="BS776" s="332"/>
      <c r="BT776" s="332"/>
      <c r="BU776" s="332"/>
      <c r="BV776" s="332"/>
      <c r="BW776" s="332"/>
      <c r="BX776" s="332"/>
      <c r="BY776" s="332"/>
      <c r="BZ776" s="332"/>
      <c r="CA776" s="332"/>
      <c r="CB776" s="332"/>
      <c r="CC776" s="332"/>
      <c r="CD776" s="332"/>
      <c r="CE776" s="332"/>
      <c r="CF776" s="332"/>
      <c r="CG776" s="332"/>
      <c r="CH776" s="332"/>
      <c r="CI776" s="332"/>
      <c r="CJ776" s="332"/>
      <c r="CK776" s="332"/>
      <c r="CL776" s="332"/>
      <c r="CM776" s="332"/>
      <c r="CN776" s="332"/>
      <c r="CO776" s="332"/>
      <c r="CP776" s="332"/>
      <c r="CQ776" s="332"/>
      <c r="CR776" s="332"/>
      <c r="CS776" s="332"/>
      <c r="CT776" s="332"/>
      <c r="CU776" s="332"/>
      <c r="CV776" s="332"/>
      <c r="CW776" s="332"/>
      <c r="CX776" s="332"/>
      <c r="CY776" s="332"/>
      <c r="CZ776" s="332"/>
      <c r="DA776" s="332"/>
      <c r="DB776" s="332"/>
      <c r="DC776" s="332"/>
      <c r="DD776" s="332"/>
      <c r="DE776" s="332"/>
      <c r="DF776" s="332"/>
      <c r="DG776" s="332"/>
      <c r="DH776" s="332"/>
      <c r="DI776" s="332"/>
      <c r="DJ776" s="332"/>
      <c r="DK776" s="332"/>
      <c r="DL776" s="332"/>
      <c r="DM776" s="332"/>
      <c r="DN776" s="332"/>
      <c r="DO776" s="332"/>
      <c r="DP776" s="332"/>
      <c r="DQ776" s="332"/>
      <c r="DR776" s="332"/>
      <c r="DS776" s="332"/>
      <c r="DT776" s="332"/>
      <c r="DU776" s="453"/>
      <c r="DV776" s="453"/>
      <c r="DW776" s="453"/>
      <c r="DX776" s="453"/>
      <c r="DY776" s="453"/>
      <c r="DZ776" s="453"/>
      <c r="EA776" s="453"/>
      <c r="EB776" s="453"/>
      <c r="EC776" s="453"/>
      <c r="ED776" s="453"/>
      <c r="EE776" s="453"/>
      <c r="EF776" s="453"/>
      <c r="EG776" s="453"/>
      <c r="EH776" s="453"/>
      <c r="EI776" s="453"/>
      <c r="EJ776" s="453"/>
      <c r="EK776" s="453"/>
      <c r="EL776" s="453"/>
      <c r="EM776" s="483">
        <f t="shared" si="233"/>
        <v>467</v>
      </c>
      <c r="EN776" s="485"/>
      <c r="EO776" s="458"/>
      <c r="EP776" s="467"/>
      <c r="EQ776" s="457"/>
      <c r="ER776" s="808"/>
      <c r="ES776" s="881">
        <f t="shared" si="234"/>
        <v>0</v>
      </c>
      <c r="ET776" s="882"/>
      <c r="EU776" s="883"/>
      <c r="EV776" s="884">
        <f t="shared" si="232"/>
        <v>0</v>
      </c>
      <c r="EW776" s="885"/>
      <c r="EX776" s="885"/>
      <c r="EY776" s="885"/>
      <c r="EZ776" s="885"/>
      <c r="FA776" s="885"/>
      <c r="FB776" s="885"/>
      <c r="FC776" s="885"/>
      <c r="FD776" s="886"/>
      <c r="FE776" s="878"/>
      <c r="FF776" s="878"/>
      <c r="FG776" s="878"/>
      <c r="FH776" s="878"/>
      <c r="FI776" s="878"/>
      <c r="FJ776" s="878"/>
      <c r="FK776" s="878"/>
      <c r="FL776" s="555"/>
      <c r="FM776" s="554"/>
      <c r="FN776" s="554"/>
      <c r="FO776" s="554"/>
      <c r="FP776" s="554"/>
      <c r="FQ776" s="554"/>
      <c r="FR776" s="554"/>
      <c r="FS776" s="554"/>
      <c r="FT776" s="554"/>
      <c r="FU776" s="554"/>
      <c r="FV776" s="554"/>
      <c r="FW776" s="554"/>
      <c r="FX776" s="554"/>
      <c r="FY776" s="554"/>
      <c r="FZ776" s="554"/>
      <c r="GA776" s="554"/>
      <c r="GB776" s="556"/>
      <c r="GC776" s="370"/>
      <c r="GD776" s="453"/>
      <c r="GE776" s="453"/>
      <c r="GF776" s="453"/>
      <c r="GG776" s="453"/>
      <c r="GH776" s="454"/>
      <c r="GI776" s="453"/>
      <c r="GJ776" s="453"/>
      <c r="GK776" s="453"/>
      <c r="GL776" s="453"/>
      <c r="GM776" s="453"/>
      <c r="GN776" s="453"/>
      <c r="GO776" s="453"/>
      <c r="GP776" s="453"/>
      <c r="GQ776" s="453"/>
      <c r="GR776" s="453"/>
      <c r="GS776" s="561"/>
      <c r="GT776" s="475"/>
      <c r="GU776" s="472"/>
      <c r="GV776" s="453"/>
      <c r="GW776" s="453"/>
      <c r="GX776" s="869"/>
      <c r="GY776" s="870"/>
      <c r="GZ776" s="867"/>
      <c r="HA776" s="868"/>
      <c r="HB776" s="473"/>
      <c r="HC776" s="869"/>
      <c r="HD776" s="870"/>
      <c r="HE776" s="867"/>
      <c r="HF776" s="868"/>
      <c r="HG776" s="473"/>
      <c r="HH776" s="867"/>
      <c r="HI776" s="868"/>
      <c r="HJ776" s="867"/>
      <c r="HK776" s="868"/>
      <c r="HL776" s="370"/>
      <c r="HM776" s="865"/>
      <c r="HN776" s="866"/>
      <c r="HO776" s="865"/>
      <c r="HP776" s="866"/>
      <c r="HQ776" s="865"/>
      <c r="HR776" s="866"/>
      <c r="HS776" s="867"/>
      <c r="HT776" s="868"/>
      <c r="HU776" s="489"/>
      <c r="HV776" s="865"/>
      <c r="HW776" s="866"/>
    </row>
    <row r="777" spans="25:231" ht="15" customHeight="1">
      <c r="Y777" s="332"/>
      <c r="Z777" s="332"/>
      <c r="AA777" s="332"/>
      <c r="AB777" s="332"/>
      <c r="AC777" s="332"/>
      <c r="AD777" s="332"/>
      <c r="AE777" s="332"/>
      <c r="AF777" s="332"/>
      <c r="AG777" s="332"/>
      <c r="AH777" s="332"/>
      <c r="AI777" s="332"/>
      <c r="AJ777" s="332"/>
      <c r="AK777" s="332"/>
      <c r="AL777" s="332"/>
      <c r="AM777" s="332"/>
      <c r="AN777" s="332"/>
      <c r="AO777" s="332"/>
      <c r="AP777" s="332"/>
      <c r="AQ777" s="332"/>
      <c r="AR777" s="332"/>
      <c r="AS777" s="332"/>
      <c r="AT777" s="332"/>
      <c r="AU777" s="332"/>
      <c r="AV777" s="332"/>
      <c r="AW777" s="332"/>
      <c r="AX777" s="332"/>
      <c r="AY777" s="332"/>
      <c r="AZ777" s="332"/>
      <c r="BA777" s="332"/>
      <c r="BB777" s="332"/>
      <c r="BC777" s="332"/>
      <c r="BD777" s="332"/>
      <c r="BE777" s="332"/>
      <c r="BF777" s="332"/>
      <c r="BG777" s="332"/>
      <c r="BH777" s="332"/>
      <c r="BI777" s="332"/>
      <c r="BJ777" s="332"/>
      <c r="BK777" s="332"/>
      <c r="BL777" s="332"/>
      <c r="BM777" s="332"/>
      <c r="BN777" s="332"/>
      <c r="BO777" s="332"/>
      <c r="BP777" s="332"/>
      <c r="BQ777" s="332"/>
      <c r="BR777" s="332"/>
      <c r="BS777" s="332"/>
      <c r="BT777" s="332"/>
      <c r="BU777" s="332"/>
      <c r="BV777" s="332"/>
      <c r="BW777" s="332"/>
      <c r="BX777" s="332"/>
      <c r="BY777" s="332"/>
      <c r="BZ777" s="332"/>
      <c r="CA777" s="332"/>
      <c r="CB777" s="332"/>
      <c r="CC777" s="332"/>
      <c r="CD777" s="332"/>
      <c r="CE777" s="332"/>
      <c r="CF777" s="332"/>
      <c r="CG777" s="332"/>
      <c r="CH777" s="332"/>
      <c r="CI777" s="332"/>
      <c r="CJ777" s="332"/>
      <c r="CK777" s="332"/>
      <c r="CL777" s="332"/>
      <c r="CM777" s="332"/>
      <c r="CN777" s="332"/>
      <c r="CO777" s="332"/>
      <c r="CP777" s="332"/>
      <c r="CQ777" s="332"/>
      <c r="CR777" s="332"/>
      <c r="CS777" s="332"/>
      <c r="CT777" s="332"/>
      <c r="CU777" s="332"/>
      <c r="CV777" s="332"/>
      <c r="CW777" s="332"/>
      <c r="CX777" s="332"/>
      <c r="CY777" s="332"/>
      <c r="CZ777" s="332"/>
      <c r="DA777" s="332"/>
      <c r="DB777" s="332"/>
      <c r="DC777" s="332"/>
      <c r="DD777" s="332"/>
      <c r="DE777" s="332"/>
      <c r="DF777" s="332"/>
      <c r="DG777" s="332"/>
      <c r="DH777" s="332"/>
      <c r="DI777" s="332"/>
      <c r="DJ777" s="332"/>
      <c r="DK777" s="332"/>
      <c r="DL777" s="332"/>
      <c r="DM777" s="332"/>
      <c r="DN777" s="332"/>
      <c r="DO777" s="332"/>
      <c r="DP777" s="332"/>
      <c r="DQ777" s="332"/>
      <c r="DR777" s="332"/>
      <c r="DS777" s="332"/>
      <c r="DT777" s="332"/>
      <c r="DU777" s="453"/>
      <c r="DV777" s="453"/>
      <c r="DW777" s="453"/>
      <c r="DX777" s="453"/>
      <c r="DY777" s="453"/>
      <c r="DZ777" s="453"/>
      <c r="EA777" s="453"/>
      <c r="EB777" s="453"/>
      <c r="EC777" s="453"/>
      <c r="ED777" s="453"/>
      <c r="EE777" s="453"/>
      <c r="EF777" s="453"/>
      <c r="EG777" s="453"/>
      <c r="EH777" s="453"/>
      <c r="EI777" s="453"/>
      <c r="EJ777" s="453"/>
      <c r="EK777" s="453"/>
      <c r="EL777" s="453"/>
      <c r="EM777" s="483">
        <f t="shared" si="233"/>
        <v>468</v>
      </c>
      <c r="EN777" s="485"/>
      <c r="EO777" s="458"/>
      <c r="EP777" s="467"/>
      <c r="EQ777" s="457"/>
      <c r="ER777" s="808"/>
      <c r="ES777" s="881">
        <f t="shared" si="234"/>
        <v>0</v>
      </c>
      <c r="ET777" s="882"/>
      <c r="EU777" s="883"/>
      <c r="EV777" s="884">
        <f t="shared" si="232"/>
        <v>0</v>
      </c>
      <c r="EW777" s="885"/>
      <c r="EX777" s="885"/>
      <c r="EY777" s="885"/>
      <c r="EZ777" s="885"/>
      <c r="FA777" s="885"/>
      <c r="FB777" s="885"/>
      <c r="FC777" s="885"/>
      <c r="FD777" s="886"/>
      <c r="FE777" s="878"/>
      <c r="FF777" s="878"/>
      <c r="FG777" s="878"/>
      <c r="FH777" s="878"/>
      <c r="FI777" s="878"/>
      <c r="FJ777" s="878"/>
      <c r="FK777" s="878"/>
      <c r="FL777" s="555"/>
      <c r="FM777" s="554"/>
      <c r="FN777" s="554"/>
      <c r="FO777" s="554"/>
      <c r="FP777" s="554"/>
      <c r="FQ777" s="554"/>
      <c r="FR777" s="554"/>
      <c r="FS777" s="554"/>
      <c r="FT777" s="554"/>
      <c r="FU777" s="554"/>
      <c r="FV777" s="554"/>
      <c r="FW777" s="554"/>
      <c r="FX777" s="554"/>
      <c r="FY777" s="554"/>
      <c r="FZ777" s="554"/>
      <c r="GA777" s="554"/>
      <c r="GB777" s="556"/>
      <c r="GC777" s="370"/>
      <c r="GD777" s="453"/>
      <c r="GE777" s="453"/>
      <c r="GF777" s="453"/>
      <c r="GG777" s="453"/>
      <c r="GH777" s="454"/>
      <c r="GI777" s="453"/>
      <c r="GJ777" s="453"/>
      <c r="GK777" s="453"/>
      <c r="GL777" s="453"/>
      <c r="GM777" s="453"/>
      <c r="GN777" s="453"/>
      <c r="GO777" s="453"/>
      <c r="GP777" s="453"/>
      <c r="GQ777" s="453"/>
      <c r="GR777" s="453"/>
      <c r="GS777" s="561"/>
      <c r="GT777" s="475"/>
      <c r="GU777" s="472"/>
      <c r="GV777" s="453"/>
      <c r="GW777" s="453"/>
      <c r="GX777" s="869"/>
      <c r="GY777" s="870"/>
      <c r="GZ777" s="867"/>
      <c r="HA777" s="868"/>
      <c r="HB777" s="473"/>
      <c r="HC777" s="869"/>
      <c r="HD777" s="870"/>
      <c r="HE777" s="867"/>
      <c r="HF777" s="868"/>
      <c r="HG777" s="473"/>
      <c r="HH777" s="867"/>
      <c r="HI777" s="868"/>
      <c r="HJ777" s="867"/>
      <c r="HK777" s="868"/>
      <c r="HL777" s="370"/>
      <c r="HM777" s="865"/>
      <c r="HN777" s="866"/>
      <c r="HO777" s="865"/>
      <c r="HP777" s="866"/>
      <c r="HQ777" s="865"/>
      <c r="HR777" s="866"/>
      <c r="HS777" s="867"/>
      <c r="HT777" s="868"/>
      <c r="HU777" s="489"/>
      <c r="HV777" s="865"/>
      <c r="HW777" s="866"/>
    </row>
    <row r="778" spans="25:231" ht="15" customHeight="1">
      <c r="Y778" s="332"/>
      <c r="Z778" s="332"/>
      <c r="AA778" s="332"/>
      <c r="AB778" s="332"/>
      <c r="AC778" s="332"/>
      <c r="AD778" s="332"/>
      <c r="AE778" s="332"/>
      <c r="AF778" s="332"/>
      <c r="AG778" s="332"/>
      <c r="AH778" s="332"/>
      <c r="AI778" s="332"/>
      <c r="AJ778" s="332"/>
      <c r="AK778" s="332"/>
      <c r="AL778" s="332"/>
      <c r="AM778" s="332"/>
      <c r="AN778" s="332"/>
      <c r="AO778" s="332"/>
      <c r="AP778" s="332"/>
      <c r="AQ778" s="332"/>
      <c r="AR778" s="332"/>
      <c r="AS778" s="332"/>
      <c r="AT778" s="332"/>
      <c r="AU778" s="332"/>
      <c r="AV778" s="332"/>
      <c r="AW778" s="332"/>
      <c r="AX778" s="332"/>
      <c r="AY778" s="332"/>
      <c r="AZ778" s="332"/>
      <c r="BA778" s="332"/>
      <c r="BB778" s="332"/>
      <c r="BC778" s="332"/>
      <c r="BD778" s="332"/>
      <c r="BE778" s="332"/>
      <c r="BF778" s="332"/>
      <c r="BG778" s="332"/>
      <c r="BH778" s="332"/>
      <c r="BI778" s="332"/>
      <c r="BJ778" s="332"/>
      <c r="BK778" s="332"/>
      <c r="BL778" s="332"/>
      <c r="BM778" s="332"/>
      <c r="BN778" s="332"/>
      <c r="BO778" s="332"/>
      <c r="BP778" s="332"/>
      <c r="BQ778" s="332"/>
      <c r="BR778" s="332"/>
      <c r="BS778" s="332"/>
      <c r="BT778" s="332"/>
      <c r="BU778" s="332"/>
      <c r="BV778" s="332"/>
      <c r="BW778" s="332"/>
      <c r="BX778" s="332"/>
      <c r="BY778" s="332"/>
      <c r="BZ778" s="332"/>
      <c r="CA778" s="332"/>
      <c r="CB778" s="332"/>
      <c r="CC778" s="332"/>
      <c r="CD778" s="332"/>
      <c r="CE778" s="332"/>
      <c r="CF778" s="332"/>
      <c r="CG778" s="332"/>
      <c r="CH778" s="332"/>
      <c r="CI778" s="332"/>
      <c r="CJ778" s="332"/>
      <c r="CK778" s="332"/>
      <c r="CL778" s="332"/>
      <c r="CM778" s="332"/>
      <c r="CN778" s="332"/>
      <c r="CO778" s="332"/>
      <c r="CP778" s="332"/>
      <c r="CQ778" s="332"/>
      <c r="CR778" s="332"/>
      <c r="CS778" s="332"/>
      <c r="CT778" s="332"/>
      <c r="CU778" s="332"/>
      <c r="CV778" s="332"/>
      <c r="CW778" s="332"/>
      <c r="CX778" s="332"/>
      <c r="CY778" s="332"/>
      <c r="CZ778" s="332"/>
      <c r="DA778" s="332"/>
      <c r="DB778" s="332"/>
      <c r="DC778" s="332"/>
      <c r="DD778" s="332"/>
      <c r="DE778" s="332"/>
      <c r="DF778" s="332"/>
      <c r="DG778" s="332"/>
      <c r="DH778" s="332"/>
      <c r="DI778" s="332"/>
      <c r="DJ778" s="332"/>
      <c r="DK778" s="332"/>
      <c r="DL778" s="332"/>
      <c r="DM778" s="332"/>
      <c r="DN778" s="332"/>
      <c r="DO778" s="332"/>
      <c r="DP778" s="332"/>
      <c r="DQ778" s="332"/>
      <c r="DR778" s="332"/>
      <c r="DS778" s="332"/>
      <c r="DT778" s="332"/>
      <c r="DU778" s="453"/>
      <c r="DV778" s="453"/>
      <c r="DW778" s="453"/>
      <c r="DX778" s="453"/>
      <c r="DY778" s="453"/>
      <c r="DZ778" s="453"/>
      <c r="EA778" s="453"/>
      <c r="EB778" s="453"/>
      <c r="EC778" s="453"/>
      <c r="ED778" s="453"/>
      <c r="EE778" s="453"/>
      <c r="EF778" s="453"/>
      <c r="EG778" s="453"/>
      <c r="EH778" s="453"/>
      <c r="EI778" s="453"/>
      <c r="EJ778" s="453"/>
      <c r="EK778" s="453"/>
      <c r="EL778" s="453"/>
      <c r="EM778" s="483">
        <f t="shared" si="233"/>
        <v>469</v>
      </c>
      <c r="EN778" s="485"/>
      <c r="EO778" s="458"/>
      <c r="EP778" s="467"/>
      <c r="EQ778" s="457"/>
      <c r="ER778" s="808"/>
      <c r="ES778" s="881">
        <f t="shared" si="234"/>
        <v>0</v>
      </c>
      <c r="ET778" s="882"/>
      <c r="EU778" s="883"/>
      <c r="EV778" s="884">
        <f t="shared" si="232"/>
        <v>0</v>
      </c>
      <c r="EW778" s="885"/>
      <c r="EX778" s="885"/>
      <c r="EY778" s="885"/>
      <c r="EZ778" s="885"/>
      <c r="FA778" s="885"/>
      <c r="FB778" s="885"/>
      <c r="FC778" s="885"/>
      <c r="FD778" s="886"/>
      <c r="FE778" s="878"/>
      <c r="FF778" s="878"/>
      <c r="FG778" s="878"/>
      <c r="FH778" s="878"/>
      <c r="FI778" s="878"/>
      <c r="FJ778" s="878"/>
      <c r="FK778" s="878"/>
      <c r="FL778" s="555"/>
      <c r="FM778" s="554"/>
      <c r="FN778" s="554"/>
      <c r="FO778" s="554"/>
      <c r="FP778" s="554"/>
      <c r="FQ778" s="554"/>
      <c r="FR778" s="554"/>
      <c r="FS778" s="554"/>
      <c r="FT778" s="554"/>
      <c r="FU778" s="554"/>
      <c r="FV778" s="554"/>
      <c r="FW778" s="554"/>
      <c r="FX778" s="554"/>
      <c r="FY778" s="554"/>
      <c r="FZ778" s="554"/>
      <c r="GA778" s="554"/>
      <c r="GB778" s="556"/>
      <c r="GC778" s="370"/>
      <c r="GD778" s="453"/>
      <c r="GE778" s="453"/>
      <c r="GF778" s="453"/>
      <c r="GG778" s="453"/>
      <c r="GH778" s="454"/>
      <c r="GI778" s="453"/>
      <c r="GJ778" s="453"/>
      <c r="GK778" s="453"/>
      <c r="GL778" s="453"/>
      <c r="GM778" s="453"/>
      <c r="GN778" s="453"/>
      <c r="GO778" s="453"/>
      <c r="GP778" s="453"/>
      <c r="GQ778" s="453"/>
      <c r="GR778" s="453"/>
      <c r="GS778" s="561"/>
      <c r="GT778" s="475"/>
      <c r="GU778" s="472"/>
      <c r="GV778" s="453"/>
      <c r="GW778" s="453"/>
      <c r="GX778" s="869"/>
      <c r="GY778" s="870"/>
      <c r="GZ778" s="867"/>
      <c r="HA778" s="868"/>
      <c r="HB778" s="473"/>
      <c r="HC778" s="869"/>
      <c r="HD778" s="870"/>
      <c r="HE778" s="867"/>
      <c r="HF778" s="868"/>
      <c r="HG778" s="473"/>
      <c r="HH778" s="867"/>
      <c r="HI778" s="868"/>
      <c r="HJ778" s="867"/>
      <c r="HK778" s="868"/>
      <c r="HL778" s="370"/>
      <c r="HM778" s="865"/>
      <c r="HN778" s="866"/>
      <c r="HO778" s="865"/>
      <c r="HP778" s="866"/>
      <c r="HQ778" s="865"/>
      <c r="HR778" s="866"/>
      <c r="HS778" s="867"/>
      <c r="HT778" s="868"/>
      <c r="HU778" s="489"/>
      <c r="HV778" s="865"/>
      <c r="HW778" s="866"/>
    </row>
    <row r="779" spans="25:231" ht="15" customHeight="1">
      <c r="Y779" s="332"/>
      <c r="Z779" s="332"/>
      <c r="AA779" s="332"/>
      <c r="AB779" s="332"/>
      <c r="AC779" s="332"/>
      <c r="AD779" s="332"/>
      <c r="AE779" s="332"/>
      <c r="AF779" s="332"/>
      <c r="AG779" s="332"/>
      <c r="AH779" s="332"/>
      <c r="AI779" s="332"/>
      <c r="AJ779" s="332"/>
      <c r="AK779" s="332"/>
      <c r="AL779" s="332"/>
      <c r="AM779" s="332"/>
      <c r="AN779" s="332"/>
      <c r="AO779" s="332"/>
      <c r="AP779" s="332"/>
      <c r="AQ779" s="332"/>
      <c r="AR779" s="332"/>
      <c r="AS779" s="332"/>
      <c r="AT779" s="332"/>
      <c r="AU779" s="332"/>
      <c r="AV779" s="332"/>
      <c r="AW779" s="332"/>
      <c r="AX779" s="332"/>
      <c r="AY779" s="332"/>
      <c r="AZ779" s="332"/>
      <c r="BA779" s="332"/>
      <c r="BB779" s="332"/>
      <c r="BC779" s="332"/>
      <c r="BD779" s="332"/>
      <c r="BE779" s="332"/>
      <c r="BF779" s="332"/>
      <c r="BG779" s="332"/>
      <c r="BH779" s="332"/>
      <c r="BI779" s="332"/>
      <c r="BJ779" s="332"/>
      <c r="BK779" s="332"/>
      <c r="BL779" s="332"/>
      <c r="BM779" s="332"/>
      <c r="BN779" s="332"/>
      <c r="BO779" s="332"/>
      <c r="BP779" s="332"/>
      <c r="BQ779" s="332"/>
      <c r="BR779" s="332"/>
      <c r="BS779" s="332"/>
      <c r="BT779" s="332"/>
      <c r="BU779" s="332"/>
      <c r="BV779" s="332"/>
      <c r="BW779" s="332"/>
      <c r="BX779" s="332"/>
      <c r="BY779" s="332"/>
      <c r="BZ779" s="332"/>
      <c r="CA779" s="332"/>
      <c r="CB779" s="332"/>
      <c r="CC779" s="332"/>
      <c r="CD779" s="332"/>
      <c r="CE779" s="332"/>
      <c r="CF779" s="332"/>
      <c r="CG779" s="332"/>
      <c r="CH779" s="332"/>
      <c r="CI779" s="332"/>
      <c r="CJ779" s="332"/>
      <c r="CK779" s="332"/>
      <c r="CL779" s="332"/>
      <c r="CM779" s="332"/>
      <c r="CN779" s="332"/>
      <c r="CO779" s="332"/>
      <c r="CP779" s="332"/>
      <c r="CQ779" s="332"/>
      <c r="CR779" s="332"/>
      <c r="CS779" s="332"/>
      <c r="CT779" s="332"/>
      <c r="CU779" s="332"/>
      <c r="CV779" s="332"/>
      <c r="CW779" s="332"/>
      <c r="CX779" s="332"/>
      <c r="CY779" s="332"/>
      <c r="CZ779" s="332"/>
      <c r="DA779" s="332"/>
      <c r="DB779" s="332"/>
      <c r="DC779" s="332"/>
      <c r="DD779" s="332"/>
      <c r="DE779" s="332"/>
      <c r="DF779" s="332"/>
      <c r="DG779" s="332"/>
      <c r="DH779" s="332"/>
      <c r="DI779" s="332"/>
      <c r="DJ779" s="332"/>
      <c r="DK779" s="332"/>
      <c r="DL779" s="332"/>
      <c r="DM779" s="332"/>
      <c r="DN779" s="332"/>
      <c r="DO779" s="332"/>
      <c r="DP779" s="332"/>
      <c r="DQ779" s="332"/>
      <c r="DR779" s="332"/>
      <c r="DS779" s="332"/>
      <c r="DT779" s="332"/>
      <c r="DU779" s="453"/>
      <c r="DV779" s="453"/>
      <c r="DW779" s="453"/>
      <c r="DX779" s="453"/>
      <c r="DY779" s="453"/>
      <c r="DZ779" s="453"/>
      <c r="EA779" s="453"/>
      <c r="EB779" s="453"/>
      <c r="EC779" s="453"/>
      <c r="ED779" s="453"/>
      <c r="EE779" s="453"/>
      <c r="EF779" s="453"/>
      <c r="EG779" s="453"/>
      <c r="EH779" s="453"/>
      <c r="EI779" s="453"/>
      <c r="EJ779" s="453"/>
      <c r="EK779" s="453"/>
      <c r="EL779" s="453"/>
      <c r="EM779" s="483">
        <f t="shared" si="233"/>
        <v>470</v>
      </c>
      <c r="EN779" s="485"/>
      <c r="EO779" s="458"/>
      <c r="EP779" s="467"/>
      <c r="EQ779" s="457"/>
      <c r="ER779" s="808"/>
      <c r="ES779" s="881">
        <f t="shared" si="234"/>
        <v>0</v>
      </c>
      <c r="ET779" s="882"/>
      <c r="EU779" s="883"/>
      <c r="EV779" s="884">
        <f t="shared" si="232"/>
        <v>0</v>
      </c>
      <c r="EW779" s="885"/>
      <c r="EX779" s="885"/>
      <c r="EY779" s="885"/>
      <c r="EZ779" s="885"/>
      <c r="FA779" s="885"/>
      <c r="FB779" s="885"/>
      <c r="FC779" s="885"/>
      <c r="FD779" s="886"/>
      <c r="FE779" s="878"/>
      <c r="FF779" s="878"/>
      <c r="FG779" s="878"/>
      <c r="FH779" s="878"/>
      <c r="FI779" s="878"/>
      <c r="FJ779" s="878"/>
      <c r="FK779" s="878"/>
      <c r="FL779" s="555"/>
      <c r="FM779" s="554"/>
      <c r="FN779" s="554"/>
      <c r="FO779" s="554"/>
      <c r="FP779" s="554"/>
      <c r="FQ779" s="554"/>
      <c r="FR779" s="554"/>
      <c r="FS779" s="554"/>
      <c r="FT779" s="554"/>
      <c r="FU779" s="554"/>
      <c r="FV779" s="554"/>
      <c r="FW779" s="554"/>
      <c r="FX779" s="554"/>
      <c r="FY779" s="554"/>
      <c r="FZ779" s="554"/>
      <c r="GA779" s="554"/>
      <c r="GB779" s="556"/>
      <c r="GC779" s="370"/>
      <c r="GD779" s="453"/>
      <c r="GE779" s="453"/>
      <c r="GF779" s="453"/>
      <c r="GG779" s="453"/>
      <c r="GH779" s="454"/>
      <c r="GI779" s="453"/>
      <c r="GJ779" s="453"/>
      <c r="GK779" s="453"/>
      <c r="GL779" s="453"/>
      <c r="GM779" s="453"/>
      <c r="GN779" s="453"/>
      <c r="GO779" s="453"/>
      <c r="GP779" s="453"/>
      <c r="GQ779" s="453"/>
      <c r="GR779" s="453"/>
      <c r="GS779" s="561"/>
      <c r="GT779" s="475"/>
      <c r="GU779" s="472"/>
      <c r="GV779" s="453"/>
      <c r="GW779" s="453"/>
      <c r="GX779" s="869"/>
      <c r="GY779" s="870"/>
      <c r="GZ779" s="867"/>
      <c r="HA779" s="868"/>
      <c r="HB779" s="473"/>
      <c r="HC779" s="869"/>
      <c r="HD779" s="870"/>
      <c r="HE779" s="867"/>
      <c r="HF779" s="868"/>
      <c r="HG779" s="473"/>
      <c r="HH779" s="867"/>
      <c r="HI779" s="868"/>
      <c r="HJ779" s="867"/>
      <c r="HK779" s="868"/>
      <c r="HL779" s="370"/>
      <c r="HM779" s="865"/>
      <c r="HN779" s="866"/>
      <c r="HO779" s="865"/>
      <c r="HP779" s="866"/>
      <c r="HQ779" s="865"/>
      <c r="HR779" s="866"/>
      <c r="HS779" s="867"/>
      <c r="HT779" s="868"/>
      <c r="HU779" s="489"/>
      <c r="HV779" s="865"/>
      <c r="HW779" s="866"/>
    </row>
    <row r="780" spans="25:231" ht="15" customHeight="1">
      <c r="Y780" s="332"/>
      <c r="Z780" s="332"/>
      <c r="AA780" s="332"/>
      <c r="AB780" s="332"/>
      <c r="AC780" s="332"/>
      <c r="AD780" s="332"/>
      <c r="AE780" s="332"/>
      <c r="AF780" s="332"/>
      <c r="AG780" s="332"/>
      <c r="AH780" s="332"/>
      <c r="AI780" s="332"/>
      <c r="AJ780" s="332"/>
      <c r="AK780" s="332"/>
      <c r="AL780" s="332"/>
      <c r="AM780" s="332"/>
      <c r="AN780" s="332"/>
      <c r="AO780" s="332"/>
      <c r="AP780" s="332"/>
      <c r="AQ780" s="332"/>
      <c r="AR780" s="332"/>
      <c r="AS780" s="332"/>
      <c r="AT780" s="332"/>
      <c r="AU780" s="332"/>
      <c r="AV780" s="332"/>
      <c r="AW780" s="332"/>
      <c r="AX780" s="332"/>
      <c r="AY780" s="332"/>
      <c r="AZ780" s="332"/>
      <c r="BA780" s="332"/>
      <c r="BB780" s="332"/>
      <c r="BC780" s="332"/>
      <c r="BD780" s="332"/>
      <c r="BE780" s="332"/>
      <c r="BF780" s="332"/>
      <c r="BG780" s="332"/>
      <c r="BH780" s="332"/>
      <c r="BI780" s="332"/>
      <c r="BJ780" s="332"/>
      <c r="BK780" s="332"/>
      <c r="BL780" s="332"/>
      <c r="BM780" s="332"/>
      <c r="BN780" s="332"/>
      <c r="BO780" s="332"/>
      <c r="BP780" s="332"/>
      <c r="BQ780" s="332"/>
      <c r="BR780" s="332"/>
      <c r="BS780" s="332"/>
      <c r="BT780" s="332"/>
      <c r="BU780" s="332"/>
      <c r="BV780" s="332"/>
      <c r="BW780" s="332"/>
      <c r="BX780" s="332"/>
      <c r="BY780" s="332"/>
      <c r="BZ780" s="332"/>
      <c r="CA780" s="332"/>
      <c r="CB780" s="332"/>
      <c r="CC780" s="332"/>
      <c r="CD780" s="332"/>
      <c r="CE780" s="332"/>
      <c r="CF780" s="332"/>
      <c r="CG780" s="332"/>
      <c r="CH780" s="332"/>
      <c r="CI780" s="332"/>
      <c r="CJ780" s="332"/>
      <c r="CK780" s="332"/>
      <c r="CL780" s="332"/>
      <c r="CM780" s="332"/>
      <c r="CN780" s="332"/>
      <c r="CO780" s="332"/>
      <c r="CP780" s="332"/>
      <c r="CQ780" s="332"/>
      <c r="CR780" s="332"/>
      <c r="CS780" s="332"/>
      <c r="CT780" s="332"/>
      <c r="CU780" s="332"/>
      <c r="CV780" s="332"/>
      <c r="CW780" s="332"/>
      <c r="CX780" s="332"/>
      <c r="CY780" s="332"/>
      <c r="CZ780" s="332"/>
      <c r="DA780" s="332"/>
      <c r="DB780" s="332"/>
      <c r="DC780" s="332"/>
      <c r="DD780" s="332"/>
      <c r="DE780" s="332"/>
      <c r="DF780" s="332"/>
      <c r="DG780" s="332"/>
      <c r="DH780" s="332"/>
      <c r="DI780" s="332"/>
      <c r="DJ780" s="332"/>
      <c r="DK780" s="332"/>
      <c r="DL780" s="332"/>
      <c r="DM780" s="332"/>
      <c r="DN780" s="332"/>
      <c r="DO780" s="332"/>
      <c r="DP780" s="332"/>
      <c r="DQ780" s="332"/>
      <c r="DR780" s="332"/>
      <c r="DS780" s="332"/>
      <c r="DT780" s="332"/>
      <c r="DU780" s="453"/>
      <c r="DV780" s="453"/>
      <c r="DW780" s="453"/>
      <c r="DX780" s="453"/>
      <c r="DY780" s="453"/>
      <c r="DZ780" s="453"/>
      <c r="EA780" s="453"/>
      <c r="EB780" s="453"/>
      <c r="EC780" s="453"/>
      <c r="ED780" s="453"/>
      <c r="EE780" s="453"/>
      <c r="EF780" s="453"/>
      <c r="EG780" s="453"/>
      <c r="EH780" s="453"/>
      <c r="EI780" s="453"/>
      <c r="EJ780" s="453"/>
      <c r="EK780" s="453"/>
      <c r="EL780" s="453"/>
      <c r="EM780" s="483">
        <f t="shared" si="233"/>
        <v>471</v>
      </c>
      <c r="EN780" s="485"/>
      <c r="EO780" s="458"/>
      <c r="EP780" s="467"/>
      <c r="EQ780" s="457"/>
      <c r="ER780" s="808"/>
      <c r="ES780" s="881">
        <f t="shared" si="234"/>
        <v>0</v>
      </c>
      <c r="ET780" s="882"/>
      <c r="EU780" s="883"/>
      <c r="EV780" s="884">
        <f t="shared" si="232"/>
        <v>0</v>
      </c>
      <c r="EW780" s="885"/>
      <c r="EX780" s="885"/>
      <c r="EY780" s="885"/>
      <c r="EZ780" s="885"/>
      <c r="FA780" s="885"/>
      <c r="FB780" s="885"/>
      <c r="FC780" s="885"/>
      <c r="FD780" s="886"/>
      <c r="FE780" s="878"/>
      <c r="FF780" s="878"/>
      <c r="FG780" s="878"/>
      <c r="FH780" s="878"/>
      <c r="FI780" s="878"/>
      <c r="FJ780" s="878"/>
      <c r="FK780" s="878"/>
      <c r="FL780" s="555"/>
      <c r="FM780" s="554"/>
      <c r="FN780" s="554"/>
      <c r="FO780" s="554"/>
      <c r="FP780" s="554"/>
      <c r="FQ780" s="554"/>
      <c r="FR780" s="554"/>
      <c r="FS780" s="554"/>
      <c r="FT780" s="554"/>
      <c r="FU780" s="554"/>
      <c r="FV780" s="554"/>
      <c r="FW780" s="554"/>
      <c r="FX780" s="554"/>
      <c r="FY780" s="554"/>
      <c r="FZ780" s="554"/>
      <c r="GA780" s="554"/>
      <c r="GB780" s="556"/>
      <c r="GC780" s="370"/>
      <c r="GD780" s="453"/>
      <c r="GE780" s="453"/>
      <c r="GF780" s="453"/>
      <c r="GG780" s="453"/>
      <c r="GH780" s="454"/>
      <c r="GI780" s="453"/>
      <c r="GJ780" s="453"/>
      <c r="GK780" s="453"/>
      <c r="GL780" s="453"/>
      <c r="GM780" s="453"/>
      <c r="GN780" s="453"/>
      <c r="GO780" s="453"/>
      <c r="GP780" s="453"/>
      <c r="GQ780" s="453"/>
      <c r="GR780" s="453"/>
      <c r="GS780" s="561"/>
      <c r="GT780" s="475"/>
      <c r="GU780" s="472"/>
      <c r="GV780" s="453"/>
      <c r="GW780" s="453"/>
      <c r="GX780" s="869"/>
      <c r="GY780" s="870"/>
      <c r="GZ780" s="867"/>
      <c r="HA780" s="868"/>
      <c r="HB780" s="473"/>
      <c r="HC780" s="869"/>
      <c r="HD780" s="870"/>
      <c r="HE780" s="867"/>
      <c r="HF780" s="868"/>
      <c r="HG780" s="473"/>
      <c r="HH780" s="867"/>
      <c r="HI780" s="868"/>
      <c r="HJ780" s="867"/>
      <c r="HK780" s="868"/>
      <c r="HL780" s="370"/>
      <c r="HM780" s="865"/>
      <c r="HN780" s="866"/>
      <c r="HO780" s="865"/>
      <c r="HP780" s="866"/>
      <c r="HQ780" s="865"/>
      <c r="HR780" s="866"/>
      <c r="HS780" s="867"/>
      <c r="HT780" s="868"/>
      <c r="HU780" s="489"/>
      <c r="HV780" s="865"/>
      <c r="HW780" s="866"/>
    </row>
    <row r="781" spans="25:231" ht="15" customHeight="1">
      <c r="Y781" s="332"/>
      <c r="Z781" s="332"/>
      <c r="AA781" s="332"/>
      <c r="AB781" s="332"/>
      <c r="AC781" s="332"/>
      <c r="AD781" s="332"/>
      <c r="AE781" s="332"/>
      <c r="AF781" s="332"/>
      <c r="AG781" s="332"/>
      <c r="AH781" s="332"/>
      <c r="AI781" s="332"/>
      <c r="AJ781" s="332"/>
      <c r="AK781" s="332"/>
      <c r="AL781" s="332"/>
      <c r="AM781" s="332"/>
      <c r="AN781" s="332"/>
      <c r="AO781" s="332"/>
      <c r="AP781" s="332"/>
      <c r="AQ781" s="332"/>
      <c r="AR781" s="332"/>
      <c r="AS781" s="332"/>
      <c r="AT781" s="332"/>
      <c r="AU781" s="332"/>
      <c r="AV781" s="332"/>
      <c r="AW781" s="332"/>
      <c r="AX781" s="332"/>
      <c r="AY781" s="332"/>
      <c r="AZ781" s="332"/>
      <c r="BA781" s="332"/>
      <c r="BB781" s="332"/>
      <c r="BC781" s="332"/>
      <c r="BD781" s="332"/>
      <c r="BE781" s="332"/>
      <c r="BF781" s="332"/>
      <c r="BG781" s="332"/>
      <c r="BH781" s="332"/>
      <c r="BI781" s="332"/>
      <c r="BJ781" s="332"/>
      <c r="BK781" s="332"/>
      <c r="BL781" s="332"/>
      <c r="BM781" s="332"/>
      <c r="BN781" s="332"/>
      <c r="BO781" s="332"/>
      <c r="BP781" s="332"/>
      <c r="BQ781" s="332"/>
      <c r="BR781" s="332"/>
      <c r="BS781" s="332"/>
      <c r="BT781" s="332"/>
      <c r="BU781" s="332"/>
      <c r="BV781" s="332"/>
      <c r="BW781" s="332"/>
      <c r="BX781" s="332"/>
      <c r="BY781" s="332"/>
      <c r="BZ781" s="332"/>
      <c r="CA781" s="332"/>
      <c r="CB781" s="332"/>
      <c r="CC781" s="332"/>
      <c r="CD781" s="332"/>
      <c r="CE781" s="332"/>
      <c r="CF781" s="332"/>
      <c r="CG781" s="332"/>
      <c r="CH781" s="332"/>
      <c r="CI781" s="332"/>
      <c r="CJ781" s="332"/>
      <c r="CK781" s="332"/>
      <c r="CL781" s="332"/>
      <c r="CM781" s="332"/>
      <c r="CN781" s="332"/>
      <c r="CO781" s="332"/>
      <c r="CP781" s="332"/>
      <c r="CQ781" s="332"/>
      <c r="CR781" s="332"/>
      <c r="CS781" s="332"/>
      <c r="CT781" s="332"/>
      <c r="CU781" s="332"/>
      <c r="CV781" s="332"/>
      <c r="CW781" s="332"/>
      <c r="CX781" s="332"/>
      <c r="CY781" s="332"/>
      <c r="CZ781" s="332"/>
      <c r="DA781" s="332"/>
      <c r="DB781" s="332"/>
      <c r="DC781" s="332"/>
      <c r="DD781" s="332"/>
      <c r="DE781" s="332"/>
      <c r="DF781" s="332"/>
      <c r="DG781" s="332"/>
      <c r="DH781" s="332"/>
      <c r="DI781" s="332"/>
      <c r="DJ781" s="332"/>
      <c r="DK781" s="332"/>
      <c r="DL781" s="332"/>
      <c r="DM781" s="332"/>
      <c r="DN781" s="332"/>
      <c r="DO781" s="332"/>
      <c r="DP781" s="332"/>
      <c r="DQ781" s="332"/>
      <c r="DR781" s="332"/>
      <c r="DS781" s="332"/>
      <c r="DT781" s="332"/>
      <c r="DU781" s="453"/>
      <c r="DV781" s="453"/>
      <c r="DW781" s="453"/>
      <c r="DX781" s="453"/>
      <c r="DY781" s="453"/>
      <c r="DZ781" s="453"/>
      <c r="EA781" s="453"/>
      <c r="EB781" s="453"/>
      <c r="EC781" s="453"/>
      <c r="ED781" s="453"/>
      <c r="EE781" s="453"/>
      <c r="EF781" s="453"/>
      <c r="EG781" s="453"/>
      <c r="EH781" s="453"/>
      <c r="EI781" s="453"/>
      <c r="EJ781" s="453"/>
      <c r="EK781" s="453"/>
      <c r="EL781" s="453"/>
      <c r="EM781" s="483">
        <f t="shared" si="233"/>
        <v>472</v>
      </c>
      <c r="EN781" s="485"/>
      <c r="EO781" s="458"/>
      <c r="EP781" s="467"/>
      <c r="EQ781" s="457"/>
      <c r="ER781" s="808"/>
      <c r="ES781" s="881">
        <f t="shared" si="234"/>
        <v>0</v>
      </c>
      <c r="ET781" s="882"/>
      <c r="EU781" s="883"/>
      <c r="EV781" s="884">
        <f t="shared" si="232"/>
        <v>0</v>
      </c>
      <c r="EW781" s="885"/>
      <c r="EX781" s="885"/>
      <c r="EY781" s="885"/>
      <c r="EZ781" s="885"/>
      <c r="FA781" s="885"/>
      <c r="FB781" s="885"/>
      <c r="FC781" s="885"/>
      <c r="FD781" s="886"/>
      <c r="FE781" s="878"/>
      <c r="FF781" s="878"/>
      <c r="FG781" s="878"/>
      <c r="FH781" s="878"/>
      <c r="FI781" s="878"/>
      <c r="FJ781" s="878"/>
      <c r="FK781" s="878"/>
      <c r="FL781" s="555"/>
      <c r="FM781" s="554"/>
      <c r="FN781" s="554"/>
      <c r="FO781" s="554"/>
      <c r="FP781" s="554"/>
      <c r="FQ781" s="554"/>
      <c r="FR781" s="554"/>
      <c r="FS781" s="554"/>
      <c r="FT781" s="554"/>
      <c r="FU781" s="554"/>
      <c r="FV781" s="554"/>
      <c r="FW781" s="554"/>
      <c r="FX781" s="554"/>
      <c r="FY781" s="554"/>
      <c r="FZ781" s="554"/>
      <c r="GA781" s="554"/>
      <c r="GB781" s="556"/>
      <c r="GC781" s="370"/>
      <c r="GD781" s="453"/>
      <c r="GE781" s="453"/>
      <c r="GF781" s="453"/>
      <c r="GG781" s="453"/>
      <c r="GH781" s="454"/>
      <c r="GI781" s="453"/>
      <c r="GJ781" s="453"/>
      <c r="GK781" s="453"/>
      <c r="GL781" s="453"/>
      <c r="GM781" s="453"/>
      <c r="GN781" s="453"/>
      <c r="GO781" s="453"/>
      <c r="GP781" s="453"/>
      <c r="GQ781" s="453"/>
      <c r="GR781" s="453"/>
      <c r="GS781" s="561"/>
      <c r="GT781" s="475"/>
      <c r="GU781" s="472"/>
      <c r="GV781" s="453"/>
      <c r="GW781" s="453"/>
      <c r="GX781" s="869"/>
      <c r="GY781" s="870"/>
      <c r="GZ781" s="867"/>
      <c r="HA781" s="868"/>
      <c r="HB781" s="473"/>
      <c r="HC781" s="869"/>
      <c r="HD781" s="870"/>
      <c r="HE781" s="867"/>
      <c r="HF781" s="868"/>
      <c r="HG781" s="473"/>
      <c r="HH781" s="867"/>
      <c r="HI781" s="868"/>
      <c r="HJ781" s="867"/>
      <c r="HK781" s="868"/>
      <c r="HL781" s="370"/>
      <c r="HM781" s="865"/>
      <c r="HN781" s="866"/>
      <c r="HO781" s="865"/>
      <c r="HP781" s="866"/>
      <c r="HQ781" s="865"/>
      <c r="HR781" s="866"/>
      <c r="HS781" s="867"/>
      <c r="HT781" s="868"/>
      <c r="HU781" s="489"/>
      <c r="HV781" s="865"/>
      <c r="HW781" s="866"/>
    </row>
    <row r="782" spans="25:231" ht="15" customHeight="1">
      <c r="Y782" s="332"/>
      <c r="Z782" s="332"/>
      <c r="AA782" s="332"/>
      <c r="AB782" s="332"/>
      <c r="AC782" s="332"/>
      <c r="AD782" s="332"/>
      <c r="AE782" s="332"/>
      <c r="AF782" s="332"/>
      <c r="AG782" s="332"/>
      <c r="AH782" s="332"/>
      <c r="AI782" s="332"/>
      <c r="AJ782" s="332"/>
      <c r="AK782" s="332"/>
      <c r="AL782" s="332"/>
      <c r="AM782" s="332"/>
      <c r="AN782" s="332"/>
      <c r="AO782" s="332"/>
      <c r="AP782" s="332"/>
      <c r="AQ782" s="332"/>
      <c r="AR782" s="332"/>
      <c r="AS782" s="332"/>
      <c r="AT782" s="332"/>
      <c r="AU782" s="332"/>
      <c r="AV782" s="332"/>
      <c r="AW782" s="332"/>
      <c r="AX782" s="332"/>
      <c r="AY782" s="332"/>
      <c r="AZ782" s="332"/>
      <c r="BA782" s="332"/>
      <c r="BB782" s="332"/>
      <c r="BC782" s="332"/>
      <c r="BD782" s="332"/>
      <c r="BE782" s="332"/>
      <c r="BF782" s="332"/>
      <c r="BG782" s="332"/>
      <c r="BH782" s="332"/>
      <c r="BI782" s="332"/>
      <c r="BJ782" s="332"/>
      <c r="BK782" s="332"/>
      <c r="BL782" s="332"/>
      <c r="BM782" s="332"/>
      <c r="BN782" s="332"/>
      <c r="BO782" s="332"/>
      <c r="BP782" s="332"/>
      <c r="BQ782" s="332"/>
      <c r="BR782" s="332"/>
      <c r="BS782" s="332"/>
      <c r="BT782" s="332"/>
      <c r="BU782" s="332"/>
      <c r="BV782" s="332"/>
      <c r="BW782" s="332"/>
      <c r="BX782" s="332"/>
      <c r="BY782" s="332"/>
      <c r="BZ782" s="332"/>
      <c r="CA782" s="332"/>
      <c r="CB782" s="332"/>
      <c r="CC782" s="332"/>
      <c r="CD782" s="332"/>
      <c r="CE782" s="332"/>
      <c r="CF782" s="332"/>
      <c r="CG782" s="332"/>
      <c r="CH782" s="332"/>
      <c r="CI782" s="332"/>
      <c r="CJ782" s="332"/>
      <c r="CK782" s="332"/>
      <c r="CL782" s="332"/>
      <c r="CM782" s="332"/>
      <c r="CN782" s="332"/>
      <c r="CO782" s="332"/>
      <c r="CP782" s="332"/>
      <c r="CQ782" s="332"/>
      <c r="CR782" s="332"/>
      <c r="CS782" s="332"/>
      <c r="CT782" s="332"/>
      <c r="CU782" s="332"/>
      <c r="CV782" s="332"/>
      <c r="CW782" s="332"/>
      <c r="CX782" s="332"/>
      <c r="CY782" s="332"/>
      <c r="CZ782" s="332"/>
      <c r="DA782" s="332"/>
      <c r="DB782" s="332"/>
      <c r="DC782" s="332"/>
      <c r="DD782" s="332"/>
      <c r="DE782" s="332"/>
      <c r="DF782" s="332"/>
      <c r="DG782" s="332"/>
      <c r="DH782" s="332"/>
      <c r="DI782" s="332"/>
      <c r="DJ782" s="332"/>
      <c r="DK782" s="332"/>
      <c r="DL782" s="332"/>
      <c r="DM782" s="332"/>
      <c r="DN782" s="332"/>
      <c r="DO782" s="332"/>
      <c r="DP782" s="332"/>
      <c r="DQ782" s="332"/>
      <c r="DR782" s="332"/>
      <c r="DS782" s="332"/>
      <c r="DT782" s="332"/>
      <c r="DU782" s="453"/>
      <c r="DV782" s="453"/>
      <c r="DW782" s="453"/>
      <c r="DX782" s="453"/>
      <c r="DY782" s="453"/>
      <c r="DZ782" s="453"/>
      <c r="EA782" s="453"/>
      <c r="EB782" s="453"/>
      <c r="EC782" s="453"/>
      <c r="ED782" s="453"/>
      <c r="EE782" s="453"/>
      <c r="EF782" s="453"/>
      <c r="EG782" s="453"/>
      <c r="EH782" s="453"/>
      <c r="EI782" s="453"/>
      <c r="EJ782" s="453"/>
      <c r="EK782" s="453"/>
      <c r="EL782" s="453"/>
      <c r="EM782" s="483">
        <f t="shared" si="233"/>
        <v>473</v>
      </c>
      <c r="EN782" s="485"/>
      <c r="EO782" s="458"/>
      <c r="EP782" s="467"/>
      <c r="EQ782" s="457"/>
      <c r="ER782" s="808"/>
      <c r="ES782" s="881">
        <f t="shared" si="234"/>
        <v>0</v>
      </c>
      <c r="ET782" s="882"/>
      <c r="EU782" s="883"/>
      <c r="EV782" s="884">
        <f t="shared" si="232"/>
        <v>0</v>
      </c>
      <c r="EW782" s="885"/>
      <c r="EX782" s="885"/>
      <c r="EY782" s="885"/>
      <c r="EZ782" s="885"/>
      <c r="FA782" s="885"/>
      <c r="FB782" s="885"/>
      <c r="FC782" s="885"/>
      <c r="FD782" s="886"/>
      <c r="FE782" s="878"/>
      <c r="FF782" s="878"/>
      <c r="FG782" s="878"/>
      <c r="FH782" s="878"/>
      <c r="FI782" s="878"/>
      <c r="FJ782" s="878"/>
      <c r="FK782" s="878"/>
      <c r="FL782" s="555"/>
      <c r="FM782" s="554"/>
      <c r="FN782" s="554"/>
      <c r="FO782" s="554"/>
      <c r="FP782" s="554"/>
      <c r="FQ782" s="554"/>
      <c r="FR782" s="554"/>
      <c r="FS782" s="554"/>
      <c r="FT782" s="554"/>
      <c r="FU782" s="554"/>
      <c r="FV782" s="554"/>
      <c r="FW782" s="554"/>
      <c r="FX782" s="554"/>
      <c r="FY782" s="554"/>
      <c r="FZ782" s="554"/>
      <c r="GA782" s="554"/>
      <c r="GB782" s="556"/>
      <c r="GC782" s="370"/>
      <c r="GD782" s="453"/>
      <c r="GE782" s="453"/>
      <c r="GF782" s="453"/>
      <c r="GG782" s="453"/>
      <c r="GH782" s="454"/>
      <c r="GI782" s="453"/>
      <c r="GJ782" s="453"/>
      <c r="GK782" s="453"/>
      <c r="GL782" s="453"/>
      <c r="GM782" s="453"/>
      <c r="GN782" s="453"/>
      <c r="GO782" s="453"/>
      <c r="GP782" s="453"/>
      <c r="GQ782" s="453"/>
      <c r="GR782" s="453"/>
      <c r="GS782" s="561"/>
      <c r="GT782" s="475"/>
      <c r="GU782" s="472"/>
      <c r="GV782" s="453"/>
      <c r="GW782" s="453"/>
      <c r="GX782" s="869"/>
      <c r="GY782" s="870"/>
      <c r="GZ782" s="867"/>
      <c r="HA782" s="868"/>
      <c r="HB782" s="473"/>
      <c r="HC782" s="869"/>
      <c r="HD782" s="870"/>
      <c r="HE782" s="867"/>
      <c r="HF782" s="868"/>
      <c r="HG782" s="473"/>
      <c r="HH782" s="867"/>
      <c r="HI782" s="868"/>
      <c r="HJ782" s="867"/>
      <c r="HK782" s="868"/>
      <c r="HL782" s="370"/>
      <c r="HM782" s="865"/>
      <c r="HN782" s="866"/>
      <c r="HO782" s="865"/>
      <c r="HP782" s="866"/>
      <c r="HQ782" s="865"/>
      <c r="HR782" s="866"/>
      <c r="HS782" s="867"/>
      <c r="HT782" s="868"/>
      <c r="HU782" s="489"/>
      <c r="HV782" s="865"/>
      <c r="HW782" s="866"/>
    </row>
    <row r="783" spans="25:231" ht="15" customHeight="1">
      <c r="Y783" s="332"/>
      <c r="Z783" s="332"/>
      <c r="AA783" s="332"/>
      <c r="AB783" s="332"/>
      <c r="AC783" s="332"/>
      <c r="AD783" s="332"/>
      <c r="AE783" s="332"/>
      <c r="AF783" s="332"/>
      <c r="AG783" s="332"/>
      <c r="AH783" s="332"/>
      <c r="AI783" s="332"/>
      <c r="AJ783" s="332"/>
      <c r="AK783" s="332"/>
      <c r="AL783" s="332"/>
      <c r="AM783" s="332"/>
      <c r="AN783" s="332"/>
      <c r="AO783" s="332"/>
      <c r="AP783" s="332"/>
      <c r="AQ783" s="332"/>
      <c r="AR783" s="332"/>
      <c r="AS783" s="332"/>
      <c r="AT783" s="332"/>
      <c r="AU783" s="332"/>
      <c r="AV783" s="332"/>
      <c r="AW783" s="332"/>
      <c r="AX783" s="332"/>
      <c r="AY783" s="332"/>
      <c r="AZ783" s="332"/>
      <c r="BA783" s="332"/>
      <c r="BB783" s="332"/>
      <c r="BC783" s="332"/>
      <c r="BD783" s="332"/>
      <c r="BE783" s="332"/>
      <c r="BF783" s="332"/>
      <c r="BG783" s="332"/>
      <c r="BH783" s="332"/>
      <c r="BI783" s="332"/>
      <c r="BJ783" s="332"/>
      <c r="BK783" s="332"/>
      <c r="BL783" s="332"/>
      <c r="BM783" s="332"/>
      <c r="BN783" s="332"/>
      <c r="BO783" s="332"/>
      <c r="BP783" s="332"/>
      <c r="BQ783" s="332"/>
      <c r="BR783" s="332"/>
      <c r="BS783" s="332"/>
      <c r="BT783" s="332"/>
      <c r="BU783" s="332"/>
      <c r="BV783" s="332"/>
      <c r="BW783" s="332"/>
      <c r="BX783" s="332"/>
      <c r="BY783" s="332"/>
      <c r="BZ783" s="332"/>
      <c r="CA783" s="332"/>
      <c r="CB783" s="332"/>
      <c r="CC783" s="332"/>
      <c r="CD783" s="332"/>
      <c r="CE783" s="332"/>
      <c r="CF783" s="332"/>
      <c r="CG783" s="332"/>
      <c r="CH783" s="332"/>
      <c r="CI783" s="332"/>
      <c r="CJ783" s="332"/>
      <c r="CK783" s="332"/>
      <c r="CL783" s="332"/>
      <c r="CM783" s="332"/>
      <c r="CN783" s="332"/>
      <c r="CO783" s="332"/>
      <c r="CP783" s="332"/>
      <c r="CQ783" s="332"/>
      <c r="CR783" s="332"/>
      <c r="CS783" s="332"/>
      <c r="CT783" s="332"/>
      <c r="CU783" s="332"/>
      <c r="CV783" s="332"/>
      <c r="CW783" s="332"/>
      <c r="CX783" s="332"/>
      <c r="CY783" s="332"/>
      <c r="CZ783" s="332"/>
      <c r="DA783" s="332"/>
      <c r="DB783" s="332"/>
      <c r="DC783" s="332"/>
      <c r="DD783" s="332"/>
      <c r="DE783" s="332"/>
      <c r="DF783" s="332"/>
      <c r="DG783" s="332"/>
      <c r="DH783" s="332"/>
      <c r="DI783" s="332"/>
      <c r="DJ783" s="332"/>
      <c r="DK783" s="332"/>
      <c r="DL783" s="332"/>
      <c r="DM783" s="332"/>
      <c r="DN783" s="332"/>
      <c r="DO783" s="332"/>
      <c r="DP783" s="332"/>
      <c r="DQ783" s="332"/>
      <c r="DR783" s="332"/>
      <c r="DS783" s="332"/>
      <c r="DT783" s="332"/>
      <c r="DU783" s="453"/>
      <c r="DV783" s="453"/>
      <c r="DW783" s="453"/>
      <c r="DX783" s="453"/>
      <c r="DY783" s="453"/>
      <c r="DZ783" s="453"/>
      <c r="EA783" s="453"/>
      <c r="EB783" s="453"/>
      <c r="EC783" s="453"/>
      <c r="ED783" s="453"/>
      <c r="EE783" s="453"/>
      <c r="EF783" s="453"/>
      <c r="EG783" s="453"/>
      <c r="EH783" s="453"/>
      <c r="EI783" s="453"/>
      <c r="EJ783" s="453"/>
      <c r="EK783" s="453"/>
      <c r="EL783" s="453"/>
      <c r="EM783" s="483">
        <f t="shared" si="233"/>
        <v>474</v>
      </c>
      <c r="EN783" s="485"/>
      <c r="EO783" s="458"/>
      <c r="EP783" s="467"/>
      <c r="EQ783" s="457"/>
      <c r="ER783" s="808"/>
      <c r="ES783" s="881">
        <f t="shared" si="234"/>
        <v>0</v>
      </c>
      <c r="ET783" s="882"/>
      <c r="EU783" s="883"/>
      <c r="EV783" s="884">
        <f t="shared" si="232"/>
        <v>0</v>
      </c>
      <c r="EW783" s="885"/>
      <c r="EX783" s="885"/>
      <c r="EY783" s="885"/>
      <c r="EZ783" s="885"/>
      <c r="FA783" s="885"/>
      <c r="FB783" s="885"/>
      <c r="FC783" s="885"/>
      <c r="FD783" s="886"/>
      <c r="FE783" s="878"/>
      <c r="FF783" s="878"/>
      <c r="FG783" s="878"/>
      <c r="FH783" s="878"/>
      <c r="FI783" s="878"/>
      <c r="FJ783" s="878"/>
      <c r="FK783" s="878"/>
      <c r="FL783" s="555"/>
      <c r="FM783" s="554"/>
      <c r="FN783" s="554"/>
      <c r="FO783" s="554"/>
      <c r="FP783" s="554"/>
      <c r="FQ783" s="554"/>
      <c r="FR783" s="554"/>
      <c r="FS783" s="554"/>
      <c r="FT783" s="554"/>
      <c r="FU783" s="554"/>
      <c r="FV783" s="554"/>
      <c r="FW783" s="554"/>
      <c r="FX783" s="554"/>
      <c r="FY783" s="554"/>
      <c r="FZ783" s="554"/>
      <c r="GA783" s="554"/>
      <c r="GB783" s="556"/>
      <c r="GC783" s="370"/>
      <c r="GD783" s="453"/>
      <c r="GE783" s="453"/>
      <c r="GF783" s="453"/>
      <c r="GG783" s="453"/>
      <c r="GH783" s="454"/>
      <c r="GI783" s="453"/>
      <c r="GJ783" s="453"/>
      <c r="GK783" s="453"/>
      <c r="GL783" s="453"/>
      <c r="GM783" s="453"/>
      <c r="GN783" s="453"/>
      <c r="GO783" s="453"/>
      <c r="GP783" s="453"/>
      <c r="GQ783" s="453"/>
      <c r="GR783" s="453"/>
      <c r="GS783" s="561"/>
      <c r="GT783" s="475"/>
      <c r="GU783" s="472"/>
      <c r="GV783" s="453"/>
      <c r="GW783" s="453"/>
      <c r="GX783" s="869"/>
      <c r="GY783" s="870"/>
      <c r="GZ783" s="867"/>
      <c r="HA783" s="868"/>
      <c r="HB783" s="473"/>
      <c r="HC783" s="869"/>
      <c r="HD783" s="870"/>
      <c r="HE783" s="867"/>
      <c r="HF783" s="868"/>
      <c r="HG783" s="473"/>
      <c r="HH783" s="867"/>
      <c r="HI783" s="868"/>
      <c r="HJ783" s="867"/>
      <c r="HK783" s="868"/>
      <c r="HL783" s="370"/>
      <c r="HM783" s="865"/>
      <c r="HN783" s="866"/>
      <c r="HO783" s="865"/>
      <c r="HP783" s="866"/>
      <c r="HQ783" s="865"/>
      <c r="HR783" s="866"/>
      <c r="HS783" s="867"/>
      <c r="HT783" s="868"/>
      <c r="HU783" s="489"/>
      <c r="HV783" s="865"/>
      <c r="HW783" s="866"/>
    </row>
    <row r="784" spans="25:231" ht="15" customHeight="1">
      <c r="Y784" s="332"/>
      <c r="Z784" s="332"/>
      <c r="AA784" s="332"/>
      <c r="AB784" s="332"/>
      <c r="AC784" s="332"/>
      <c r="AD784" s="332"/>
      <c r="AE784" s="332"/>
      <c r="AF784" s="332"/>
      <c r="AG784" s="332"/>
      <c r="AH784" s="332"/>
      <c r="AI784" s="332"/>
      <c r="AJ784" s="332"/>
      <c r="AK784" s="332"/>
      <c r="AL784" s="332"/>
      <c r="AM784" s="332"/>
      <c r="AN784" s="332"/>
      <c r="AO784" s="332"/>
      <c r="AP784" s="332"/>
      <c r="AQ784" s="332"/>
      <c r="AR784" s="332"/>
      <c r="AS784" s="332"/>
      <c r="AT784" s="332"/>
      <c r="AU784" s="332"/>
      <c r="AV784" s="332"/>
      <c r="AW784" s="332"/>
      <c r="AX784" s="332"/>
      <c r="AY784" s="332"/>
      <c r="AZ784" s="332"/>
      <c r="BA784" s="332"/>
      <c r="BB784" s="332"/>
      <c r="BC784" s="332"/>
      <c r="BD784" s="332"/>
      <c r="BE784" s="332"/>
      <c r="BF784" s="332"/>
      <c r="BG784" s="332"/>
      <c r="BH784" s="332"/>
      <c r="BI784" s="332"/>
      <c r="BJ784" s="332"/>
      <c r="BK784" s="332"/>
      <c r="BL784" s="332"/>
      <c r="BM784" s="332"/>
      <c r="BN784" s="332"/>
      <c r="BO784" s="332"/>
      <c r="BP784" s="332"/>
      <c r="BQ784" s="332"/>
      <c r="BR784" s="332"/>
      <c r="BS784" s="332"/>
      <c r="BT784" s="332"/>
      <c r="BU784" s="332"/>
      <c r="BV784" s="332"/>
      <c r="BW784" s="332"/>
      <c r="BX784" s="332"/>
      <c r="BY784" s="332"/>
      <c r="BZ784" s="332"/>
      <c r="CA784" s="332"/>
      <c r="CB784" s="332"/>
      <c r="CC784" s="332"/>
      <c r="CD784" s="332"/>
      <c r="CE784" s="332"/>
      <c r="CF784" s="332"/>
      <c r="CG784" s="332"/>
      <c r="CH784" s="332"/>
      <c r="CI784" s="332"/>
      <c r="CJ784" s="332"/>
      <c r="CK784" s="332"/>
      <c r="CL784" s="332"/>
      <c r="CM784" s="332"/>
      <c r="CN784" s="332"/>
      <c r="CO784" s="332"/>
      <c r="CP784" s="332"/>
      <c r="CQ784" s="332"/>
      <c r="CR784" s="332"/>
      <c r="CS784" s="332"/>
      <c r="CT784" s="332"/>
      <c r="CU784" s="332"/>
      <c r="CV784" s="332"/>
      <c r="CW784" s="332"/>
      <c r="CX784" s="332"/>
      <c r="CY784" s="332"/>
      <c r="CZ784" s="332"/>
      <c r="DA784" s="332"/>
      <c r="DB784" s="332"/>
      <c r="DC784" s="332"/>
      <c r="DD784" s="332"/>
      <c r="DE784" s="332"/>
      <c r="DF784" s="332"/>
      <c r="DG784" s="332"/>
      <c r="DH784" s="332"/>
      <c r="DI784" s="332"/>
      <c r="DJ784" s="332"/>
      <c r="DK784" s="332"/>
      <c r="DL784" s="332"/>
      <c r="DM784" s="332"/>
      <c r="DN784" s="332"/>
      <c r="DO784" s="332"/>
      <c r="DP784" s="332"/>
      <c r="DQ784" s="332"/>
      <c r="DR784" s="332"/>
      <c r="DS784" s="332"/>
      <c r="DT784" s="332"/>
      <c r="DU784" s="453"/>
      <c r="DV784" s="453"/>
      <c r="DW784" s="453"/>
      <c r="DX784" s="453"/>
      <c r="DY784" s="453"/>
      <c r="DZ784" s="453"/>
      <c r="EA784" s="453"/>
      <c r="EB784" s="453"/>
      <c r="EC784" s="453"/>
      <c r="ED784" s="453"/>
      <c r="EE784" s="453"/>
      <c r="EF784" s="453"/>
      <c r="EG784" s="453"/>
      <c r="EH784" s="453"/>
      <c r="EI784" s="453"/>
      <c r="EJ784" s="453"/>
      <c r="EK784" s="453"/>
      <c r="EL784" s="453"/>
      <c r="EM784" s="483">
        <f t="shared" si="233"/>
        <v>475</v>
      </c>
      <c r="EN784" s="485"/>
      <c r="EO784" s="458"/>
      <c r="EP784" s="467"/>
      <c r="EQ784" s="457"/>
      <c r="ER784" s="808"/>
      <c r="ES784" s="881">
        <f t="shared" si="234"/>
        <v>0</v>
      </c>
      <c r="ET784" s="882"/>
      <c r="EU784" s="883"/>
      <c r="EV784" s="884">
        <f t="shared" si="232"/>
        <v>0</v>
      </c>
      <c r="EW784" s="885"/>
      <c r="EX784" s="885"/>
      <c r="EY784" s="885"/>
      <c r="EZ784" s="885"/>
      <c r="FA784" s="885"/>
      <c r="FB784" s="885"/>
      <c r="FC784" s="885"/>
      <c r="FD784" s="886"/>
      <c r="FE784" s="878"/>
      <c r="FF784" s="878"/>
      <c r="FG784" s="878"/>
      <c r="FH784" s="878"/>
      <c r="FI784" s="878"/>
      <c r="FJ784" s="878"/>
      <c r="FK784" s="878"/>
      <c r="FL784" s="555"/>
      <c r="FM784" s="554"/>
      <c r="FN784" s="554"/>
      <c r="FO784" s="554"/>
      <c r="FP784" s="554"/>
      <c r="FQ784" s="554"/>
      <c r="FR784" s="554"/>
      <c r="FS784" s="554"/>
      <c r="FT784" s="554"/>
      <c r="FU784" s="554"/>
      <c r="FV784" s="554"/>
      <c r="FW784" s="554"/>
      <c r="FX784" s="554"/>
      <c r="FY784" s="554"/>
      <c r="FZ784" s="554"/>
      <c r="GA784" s="554"/>
      <c r="GB784" s="556"/>
      <c r="GC784" s="370"/>
      <c r="GD784" s="453"/>
      <c r="GE784" s="453"/>
      <c r="GF784" s="453"/>
      <c r="GG784" s="453"/>
      <c r="GH784" s="454"/>
      <c r="GI784" s="453"/>
      <c r="GJ784" s="453"/>
      <c r="GK784" s="453"/>
      <c r="GL784" s="453"/>
      <c r="GM784" s="453"/>
      <c r="GN784" s="453"/>
      <c r="GO784" s="453"/>
      <c r="GP784" s="453"/>
      <c r="GQ784" s="453"/>
      <c r="GR784" s="453"/>
      <c r="GS784" s="561"/>
      <c r="GT784" s="475"/>
      <c r="GU784" s="472"/>
      <c r="GV784" s="453"/>
      <c r="GW784" s="453"/>
      <c r="GX784" s="869"/>
      <c r="GY784" s="870"/>
      <c r="GZ784" s="867"/>
      <c r="HA784" s="868"/>
      <c r="HB784" s="473"/>
      <c r="HC784" s="869"/>
      <c r="HD784" s="870"/>
      <c r="HE784" s="867"/>
      <c r="HF784" s="868"/>
      <c r="HG784" s="473"/>
      <c r="HH784" s="867"/>
      <c r="HI784" s="868"/>
      <c r="HJ784" s="867"/>
      <c r="HK784" s="868"/>
      <c r="HL784" s="370"/>
      <c r="HM784" s="865"/>
      <c r="HN784" s="866"/>
      <c r="HO784" s="865"/>
      <c r="HP784" s="866"/>
      <c r="HQ784" s="865"/>
      <c r="HR784" s="866"/>
      <c r="HS784" s="867"/>
      <c r="HT784" s="868"/>
      <c r="HU784" s="489"/>
      <c r="HV784" s="865"/>
      <c r="HW784" s="866"/>
    </row>
    <row r="785" spans="25:231" ht="15" customHeight="1">
      <c r="Y785" s="332"/>
      <c r="Z785" s="332"/>
      <c r="AA785" s="332"/>
      <c r="AB785" s="332"/>
      <c r="AC785" s="332"/>
      <c r="AD785" s="332"/>
      <c r="AE785" s="332"/>
      <c r="AF785" s="332"/>
      <c r="AG785" s="332"/>
      <c r="AH785" s="332"/>
      <c r="AI785" s="332"/>
      <c r="AJ785" s="332"/>
      <c r="AK785" s="332"/>
      <c r="AL785" s="332"/>
      <c r="AM785" s="332"/>
      <c r="AN785" s="332"/>
      <c r="AO785" s="332"/>
      <c r="AP785" s="332"/>
      <c r="AQ785" s="332"/>
      <c r="AR785" s="332"/>
      <c r="AS785" s="332"/>
      <c r="AT785" s="332"/>
      <c r="AU785" s="332"/>
      <c r="AV785" s="332"/>
      <c r="AW785" s="332"/>
      <c r="AX785" s="332"/>
      <c r="AY785" s="332"/>
      <c r="AZ785" s="332"/>
      <c r="BA785" s="332"/>
      <c r="BB785" s="332"/>
      <c r="BC785" s="332"/>
      <c r="BD785" s="332"/>
      <c r="BE785" s="332"/>
      <c r="BF785" s="332"/>
      <c r="BG785" s="332"/>
      <c r="BH785" s="332"/>
      <c r="BI785" s="332"/>
      <c r="BJ785" s="332"/>
      <c r="BK785" s="332"/>
      <c r="BL785" s="332"/>
      <c r="BM785" s="332"/>
      <c r="BN785" s="332"/>
      <c r="BO785" s="332"/>
      <c r="BP785" s="332"/>
      <c r="BQ785" s="332"/>
      <c r="BR785" s="332"/>
      <c r="BS785" s="332"/>
      <c r="BT785" s="332"/>
      <c r="BU785" s="332"/>
      <c r="BV785" s="332"/>
      <c r="BW785" s="332"/>
      <c r="BX785" s="332"/>
      <c r="BY785" s="332"/>
      <c r="BZ785" s="332"/>
      <c r="CA785" s="332"/>
      <c r="CB785" s="332"/>
      <c r="CC785" s="332"/>
      <c r="CD785" s="332"/>
      <c r="CE785" s="332"/>
      <c r="CF785" s="332"/>
      <c r="CG785" s="332"/>
      <c r="CH785" s="332"/>
      <c r="CI785" s="332"/>
      <c r="CJ785" s="332"/>
      <c r="CK785" s="332"/>
      <c r="CL785" s="332"/>
      <c r="CM785" s="332"/>
      <c r="CN785" s="332"/>
      <c r="CO785" s="332"/>
      <c r="CP785" s="332"/>
      <c r="CQ785" s="332"/>
      <c r="CR785" s="332"/>
      <c r="CS785" s="332"/>
      <c r="CT785" s="332"/>
      <c r="CU785" s="332"/>
      <c r="CV785" s="332"/>
      <c r="CW785" s="332"/>
      <c r="CX785" s="332"/>
      <c r="CY785" s="332"/>
      <c r="CZ785" s="332"/>
      <c r="DA785" s="332"/>
      <c r="DB785" s="332"/>
      <c r="DC785" s="332"/>
      <c r="DD785" s="332"/>
      <c r="DE785" s="332"/>
      <c r="DF785" s="332"/>
      <c r="DG785" s="332"/>
      <c r="DH785" s="332"/>
      <c r="DI785" s="332"/>
      <c r="DJ785" s="332"/>
      <c r="DK785" s="332"/>
      <c r="DL785" s="332"/>
      <c r="DM785" s="332"/>
      <c r="DN785" s="332"/>
      <c r="DO785" s="332"/>
      <c r="DP785" s="332"/>
      <c r="DQ785" s="332"/>
      <c r="DR785" s="332"/>
      <c r="DS785" s="332"/>
      <c r="DT785" s="332"/>
      <c r="DU785" s="453"/>
      <c r="DV785" s="453"/>
      <c r="DW785" s="453"/>
      <c r="DX785" s="453"/>
      <c r="DY785" s="453"/>
      <c r="DZ785" s="453"/>
      <c r="EA785" s="453"/>
      <c r="EB785" s="453"/>
      <c r="EC785" s="453"/>
      <c r="ED785" s="453"/>
      <c r="EE785" s="453"/>
      <c r="EF785" s="453"/>
      <c r="EG785" s="453"/>
      <c r="EH785" s="453"/>
      <c r="EI785" s="453"/>
      <c r="EJ785" s="453"/>
      <c r="EK785" s="453"/>
      <c r="EL785" s="453"/>
      <c r="EM785" s="483">
        <f t="shared" si="233"/>
        <v>476</v>
      </c>
      <c r="EN785" s="485"/>
      <c r="EO785" s="458"/>
      <c r="EP785" s="467"/>
      <c r="EQ785" s="457"/>
      <c r="ER785" s="808"/>
      <c r="ES785" s="881">
        <f t="shared" si="234"/>
        <v>0</v>
      </c>
      <c r="ET785" s="882"/>
      <c r="EU785" s="883"/>
      <c r="EV785" s="884">
        <f t="shared" si="232"/>
        <v>0</v>
      </c>
      <c r="EW785" s="885"/>
      <c r="EX785" s="885"/>
      <c r="EY785" s="885"/>
      <c r="EZ785" s="885"/>
      <c r="FA785" s="885"/>
      <c r="FB785" s="885"/>
      <c r="FC785" s="885"/>
      <c r="FD785" s="886"/>
      <c r="FE785" s="878"/>
      <c r="FF785" s="878"/>
      <c r="FG785" s="878"/>
      <c r="FH785" s="878"/>
      <c r="FI785" s="878"/>
      <c r="FJ785" s="878"/>
      <c r="FK785" s="878"/>
      <c r="FL785" s="555"/>
      <c r="FM785" s="554"/>
      <c r="FN785" s="554"/>
      <c r="FO785" s="554"/>
      <c r="FP785" s="554"/>
      <c r="FQ785" s="554"/>
      <c r="FR785" s="554"/>
      <c r="FS785" s="554"/>
      <c r="FT785" s="554"/>
      <c r="FU785" s="554"/>
      <c r="FV785" s="554"/>
      <c r="FW785" s="554"/>
      <c r="FX785" s="554"/>
      <c r="FY785" s="554"/>
      <c r="FZ785" s="554"/>
      <c r="GA785" s="554"/>
      <c r="GB785" s="556"/>
      <c r="GC785" s="370"/>
      <c r="GD785" s="453"/>
      <c r="GE785" s="453"/>
      <c r="GF785" s="453"/>
      <c r="GG785" s="453"/>
      <c r="GH785" s="454"/>
      <c r="GI785" s="453"/>
      <c r="GJ785" s="453"/>
      <c r="GK785" s="453"/>
      <c r="GL785" s="453"/>
      <c r="GM785" s="453"/>
      <c r="GN785" s="453"/>
      <c r="GO785" s="453"/>
      <c r="GP785" s="453"/>
      <c r="GQ785" s="453"/>
      <c r="GR785" s="453"/>
      <c r="GS785" s="561"/>
      <c r="GT785" s="475"/>
      <c r="GU785" s="472"/>
      <c r="GV785" s="453"/>
      <c r="GW785" s="453"/>
      <c r="GX785" s="869"/>
      <c r="GY785" s="870"/>
      <c r="GZ785" s="867"/>
      <c r="HA785" s="868"/>
      <c r="HB785" s="473"/>
      <c r="HC785" s="869"/>
      <c r="HD785" s="870"/>
      <c r="HE785" s="867"/>
      <c r="HF785" s="868"/>
      <c r="HG785" s="473"/>
      <c r="HH785" s="867"/>
      <c r="HI785" s="868"/>
      <c r="HJ785" s="867"/>
      <c r="HK785" s="868"/>
      <c r="HL785" s="370"/>
      <c r="HM785" s="865"/>
      <c r="HN785" s="866"/>
      <c r="HO785" s="865"/>
      <c r="HP785" s="866"/>
      <c r="HQ785" s="865"/>
      <c r="HR785" s="866"/>
      <c r="HS785" s="867"/>
      <c r="HT785" s="868"/>
      <c r="HU785" s="489"/>
      <c r="HV785" s="865"/>
      <c r="HW785" s="866"/>
    </row>
    <row r="786" spans="25:231" ht="15" customHeight="1">
      <c r="Y786" s="332"/>
      <c r="Z786" s="332"/>
      <c r="AA786" s="332"/>
      <c r="AB786" s="332"/>
      <c r="AC786" s="332"/>
      <c r="AD786" s="332"/>
      <c r="AE786" s="332"/>
      <c r="AF786" s="332"/>
      <c r="AG786" s="332"/>
      <c r="AH786" s="332"/>
      <c r="AI786" s="332"/>
      <c r="AJ786" s="332"/>
      <c r="AK786" s="332"/>
      <c r="AL786" s="332"/>
      <c r="AM786" s="332"/>
      <c r="AN786" s="332"/>
      <c r="AO786" s="332"/>
      <c r="AP786" s="332"/>
      <c r="AQ786" s="332"/>
      <c r="AR786" s="332"/>
      <c r="AS786" s="332"/>
      <c r="AT786" s="332"/>
      <c r="AU786" s="332"/>
      <c r="AV786" s="332"/>
      <c r="AW786" s="332"/>
      <c r="AX786" s="332"/>
      <c r="AY786" s="332"/>
      <c r="AZ786" s="332"/>
      <c r="BA786" s="332"/>
      <c r="BB786" s="332"/>
      <c r="BC786" s="332"/>
      <c r="BD786" s="332"/>
      <c r="BE786" s="332"/>
      <c r="BF786" s="332"/>
      <c r="BG786" s="332"/>
      <c r="BH786" s="332"/>
      <c r="BI786" s="332"/>
      <c r="BJ786" s="332"/>
      <c r="BK786" s="332"/>
      <c r="BL786" s="332"/>
      <c r="BM786" s="332"/>
      <c r="BN786" s="332"/>
      <c r="BO786" s="332"/>
      <c r="BP786" s="332"/>
      <c r="BQ786" s="332"/>
      <c r="BR786" s="332"/>
      <c r="BS786" s="332"/>
      <c r="BT786" s="332"/>
      <c r="BU786" s="332"/>
      <c r="BV786" s="332"/>
      <c r="BW786" s="332"/>
      <c r="BX786" s="332"/>
      <c r="BY786" s="332"/>
      <c r="BZ786" s="332"/>
      <c r="CA786" s="332"/>
      <c r="CB786" s="332"/>
      <c r="CC786" s="332"/>
      <c r="CD786" s="332"/>
      <c r="CE786" s="332"/>
      <c r="CF786" s="332"/>
      <c r="CG786" s="332"/>
      <c r="CH786" s="332"/>
      <c r="CI786" s="332"/>
      <c r="CJ786" s="332"/>
      <c r="CK786" s="332"/>
      <c r="CL786" s="332"/>
      <c r="CM786" s="332"/>
      <c r="CN786" s="332"/>
      <c r="CO786" s="332"/>
      <c r="CP786" s="332"/>
      <c r="CQ786" s="332"/>
      <c r="CR786" s="332"/>
      <c r="CS786" s="332"/>
      <c r="CT786" s="332"/>
      <c r="CU786" s="332"/>
      <c r="CV786" s="332"/>
      <c r="CW786" s="332"/>
      <c r="CX786" s="332"/>
      <c r="CY786" s="332"/>
      <c r="CZ786" s="332"/>
      <c r="DA786" s="332"/>
      <c r="DB786" s="332"/>
      <c r="DC786" s="332"/>
      <c r="DD786" s="332"/>
      <c r="DE786" s="332"/>
      <c r="DF786" s="332"/>
      <c r="DG786" s="332"/>
      <c r="DH786" s="332"/>
      <c r="DI786" s="332"/>
      <c r="DJ786" s="332"/>
      <c r="DK786" s="332"/>
      <c r="DL786" s="332"/>
      <c r="DM786" s="332"/>
      <c r="DN786" s="332"/>
      <c r="DO786" s="332"/>
      <c r="DP786" s="332"/>
      <c r="DQ786" s="332"/>
      <c r="DR786" s="332"/>
      <c r="DS786" s="332"/>
      <c r="DT786" s="332"/>
      <c r="DU786" s="453"/>
      <c r="DV786" s="453"/>
      <c r="DW786" s="453"/>
      <c r="DX786" s="453"/>
      <c r="DY786" s="453"/>
      <c r="DZ786" s="453"/>
      <c r="EA786" s="453"/>
      <c r="EB786" s="453"/>
      <c r="EC786" s="453"/>
      <c r="ED786" s="453"/>
      <c r="EE786" s="453"/>
      <c r="EF786" s="453"/>
      <c r="EG786" s="453"/>
      <c r="EH786" s="453"/>
      <c r="EI786" s="453"/>
      <c r="EJ786" s="453"/>
      <c r="EK786" s="453"/>
      <c r="EL786" s="453"/>
      <c r="EM786" s="483">
        <f t="shared" si="233"/>
        <v>477</v>
      </c>
      <c r="EN786" s="485"/>
      <c r="EO786" s="458"/>
      <c r="EP786" s="467"/>
      <c r="EQ786" s="457"/>
      <c r="ER786" s="808"/>
      <c r="ES786" s="881">
        <f t="shared" si="234"/>
        <v>0</v>
      </c>
      <c r="ET786" s="882"/>
      <c r="EU786" s="883"/>
      <c r="EV786" s="884">
        <f t="shared" si="232"/>
        <v>0</v>
      </c>
      <c r="EW786" s="885"/>
      <c r="EX786" s="885"/>
      <c r="EY786" s="885"/>
      <c r="EZ786" s="885"/>
      <c r="FA786" s="885"/>
      <c r="FB786" s="885"/>
      <c r="FC786" s="885"/>
      <c r="FD786" s="886"/>
      <c r="FE786" s="878"/>
      <c r="FF786" s="878"/>
      <c r="FG786" s="878"/>
      <c r="FH786" s="878"/>
      <c r="FI786" s="878"/>
      <c r="FJ786" s="878"/>
      <c r="FK786" s="878"/>
      <c r="FL786" s="555"/>
      <c r="FM786" s="554"/>
      <c r="FN786" s="554"/>
      <c r="FO786" s="554"/>
      <c r="FP786" s="554"/>
      <c r="FQ786" s="554"/>
      <c r="FR786" s="554"/>
      <c r="FS786" s="554"/>
      <c r="FT786" s="554"/>
      <c r="FU786" s="554"/>
      <c r="FV786" s="554"/>
      <c r="FW786" s="554"/>
      <c r="FX786" s="554"/>
      <c r="FY786" s="554"/>
      <c r="FZ786" s="554"/>
      <c r="GA786" s="554"/>
      <c r="GB786" s="556"/>
      <c r="GC786" s="370"/>
      <c r="GD786" s="453"/>
      <c r="GE786" s="453"/>
      <c r="GF786" s="453"/>
      <c r="GG786" s="453"/>
      <c r="GH786" s="454"/>
      <c r="GI786" s="453"/>
      <c r="GJ786" s="453"/>
      <c r="GK786" s="453"/>
      <c r="GL786" s="453"/>
      <c r="GM786" s="453"/>
      <c r="GN786" s="453"/>
      <c r="GO786" s="453"/>
      <c r="GP786" s="453"/>
      <c r="GQ786" s="453"/>
      <c r="GR786" s="453"/>
      <c r="GS786" s="561"/>
      <c r="GT786" s="475"/>
      <c r="GU786" s="472"/>
      <c r="GV786" s="453"/>
      <c r="GW786" s="453"/>
      <c r="GX786" s="869"/>
      <c r="GY786" s="870"/>
      <c r="GZ786" s="867"/>
      <c r="HA786" s="868"/>
      <c r="HB786" s="473"/>
      <c r="HC786" s="869"/>
      <c r="HD786" s="870"/>
      <c r="HE786" s="867"/>
      <c r="HF786" s="868"/>
      <c r="HG786" s="473"/>
      <c r="HH786" s="867"/>
      <c r="HI786" s="868"/>
      <c r="HJ786" s="867"/>
      <c r="HK786" s="868"/>
      <c r="HL786" s="370"/>
      <c r="HM786" s="865"/>
      <c r="HN786" s="866"/>
      <c r="HO786" s="865"/>
      <c r="HP786" s="866"/>
      <c r="HQ786" s="865"/>
      <c r="HR786" s="866"/>
      <c r="HS786" s="867"/>
      <c r="HT786" s="868"/>
      <c r="HU786" s="489"/>
      <c r="HV786" s="865"/>
      <c r="HW786" s="866"/>
    </row>
    <row r="787" spans="25:231" ht="15" customHeight="1">
      <c r="Y787" s="332"/>
      <c r="Z787" s="332"/>
      <c r="AA787" s="332"/>
      <c r="AB787" s="332"/>
      <c r="AC787" s="332"/>
      <c r="AD787" s="332"/>
      <c r="AE787" s="332"/>
      <c r="AF787" s="332"/>
      <c r="AG787" s="332"/>
      <c r="AH787" s="332"/>
      <c r="AI787" s="332"/>
      <c r="AJ787" s="332"/>
      <c r="AK787" s="332"/>
      <c r="AL787" s="332"/>
      <c r="AM787" s="332"/>
      <c r="AN787" s="332"/>
      <c r="AO787" s="332"/>
      <c r="AP787" s="332"/>
      <c r="AQ787" s="332"/>
      <c r="AR787" s="332"/>
      <c r="AS787" s="332"/>
      <c r="AT787" s="332"/>
      <c r="AU787" s="332"/>
      <c r="AV787" s="332"/>
      <c r="AW787" s="332"/>
      <c r="AX787" s="332"/>
      <c r="AY787" s="332"/>
      <c r="AZ787" s="332"/>
      <c r="BA787" s="332"/>
      <c r="BB787" s="332"/>
      <c r="BC787" s="332"/>
      <c r="BD787" s="332"/>
      <c r="BE787" s="332"/>
      <c r="BF787" s="332"/>
      <c r="BG787" s="332"/>
      <c r="BH787" s="332"/>
      <c r="BI787" s="332"/>
      <c r="BJ787" s="332"/>
      <c r="BK787" s="332"/>
      <c r="BL787" s="332"/>
      <c r="BM787" s="332"/>
      <c r="BN787" s="332"/>
      <c r="BO787" s="332"/>
      <c r="BP787" s="332"/>
      <c r="BQ787" s="332"/>
      <c r="BR787" s="332"/>
      <c r="BS787" s="332"/>
      <c r="BT787" s="332"/>
      <c r="BU787" s="332"/>
      <c r="BV787" s="332"/>
      <c r="BW787" s="332"/>
      <c r="BX787" s="332"/>
      <c r="BY787" s="332"/>
      <c r="BZ787" s="332"/>
      <c r="CA787" s="332"/>
      <c r="CB787" s="332"/>
      <c r="CC787" s="332"/>
      <c r="CD787" s="332"/>
      <c r="CE787" s="332"/>
      <c r="CF787" s="332"/>
      <c r="CG787" s="332"/>
      <c r="CH787" s="332"/>
      <c r="CI787" s="332"/>
      <c r="CJ787" s="332"/>
      <c r="CK787" s="332"/>
      <c r="CL787" s="332"/>
      <c r="CM787" s="332"/>
      <c r="CN787" s="332"/>
      <c r="CO787" s="332"/>
      <c r="CP787" s="332"/>
      <c r="CQ787" s="332"/>
      <c r="CR787" s="332"/>
      <c r="CS787" s="332"/>
      <c r="CT787" s="332"/>
      <c r="CU787" s="332"/>
      <c r="CV787" s="332"/>
      <c r="CW787" s="332"/>
      <c r="CX787" s="332"/>
      <c r="CY787" s="332"/>
      <c r="CZ787" s="332"/>
      <c r="DA787" s="332"/>
      <c r="DB787" s="332"/>
      <c r="DC787" s="332"/>
      <c r="DD787" s="332"/>
      <c r="DE787" s="332"/>
      <c r="DF787" s="332"/>
      <c r="DG787" s="332"/>
      <c r="DH787" s="332"/>
      <c r="DI787" s="332"/>
      <c r="DJ787" s="332"/>
      <c r="DK787" s="332"/>
      <c r="DL787" s="332"/>
      <c r="DM787" s="332"/>
      <c r="DN787" s="332"/>
      <c r="DO787" s="332"/>
      <c r="DP787" s="332"/>
      <c r="DQ787" s="332"/>
      <c r="DR787" s="332"/>
      <c r="DS787" s="332"/>
      <c r="DT787" s="332"/>
      <c r="DU787" s="453"/>
      <c r="DV787" s="453"/>
      <c r="DW787" s="453"/>
      <c r="DX787" s="453"/>
      <c r="DY787" s="453"/>
      <c r="DZ787" s="453"/>
      <c r="EA787" s="453"/>
      <c r="EB787" s="453"/>
      <c r="EC787" s="453"/>
      <c r="ED787" s="453"/>
      <c r="EE787" s="453"/>
      <c r="EF787" s="453"/>
      <c r="EG787" s="453"/>
      <c r="EH787" s="453"/>
      <c r="EI787" s="453"/>
      <c r="EJ787" s="453"/>
      <c r="EK787" s="453"/>
      <c r="EL787" s="453"/>
      <c r="EM787" s="483">
        <f t="shared" si="233"/>
        <v>478</v>
      </c>
      <c r="EN787" s="485"/>
      <c r="EO787" s="458"/>
      <c r="EP787" s="467"/>
      <c r="EQ787" s="457"/>
      <c r="ER787" s="808"/>
      <c r="ES787" s="881">
        <f t="shared" si="234"/>
        <v>0</v>
      </c>
      <c r="ET787" s="882"/>
      <c r="EU787" s="883"/>
      <c r="EV787" s="884">
        <f t="shared" si="232"/>
        <v>0</v>
      </c>
      <c r="EW787" s="885"/>
      <c r="EX787" s="885"/>
      <c r="EY787" s="885"/>
      <c r="EZ787" s="885"/>
      <c r="FA787" s="885"/>
      <c r="FB787" s="885"/>
      <c r="FC787" s="885"/>
      <c r="FD787" s="886"/>
      <c r="FE787" s="878"/>
      <c r="FF787" s="878"/>
      <c r="FG787" s="878"/>
      <c r="FH787" s="878"/>
      <c r="FI787" s="878"/>
      <c r="FJ787" s="878"/>
      <c r="FK787" s="878"/>
      <c r="FL787" s="555"/>
      <c r="FM787" s="554"/>
      <c r="FN787" s="554"/>
      <c r="FO787" s="554"/>
      <c r="FP787" s="554"/>
      <c r="FQ787" s="554"/>
      <c r="FR787" s="554"/>
      <c r="FS787" s="554"/>
      <c r="FT787" s="554"/>
      <c r="FU787" s="554"/>
      <c r="FV787" s="554"/>
      <c r="FW787" s="554"/>
      <c r="FX787" s="554"/>
      <c r="FY787" s="554"/>
      <c r="FZ787" s="554"/>
      <c r="GA787" s="554"/>
      <c r="GB787" s="556"/>
      <c r="GC787" s="370"/>
      <c r="GD787" s="453"/>
      <c r="GE787" s="453"/>
      <c r="GF787" s="453"/>
      <c r="GG787" s="453"/>
      <c r="GH787" s="454"/>
      <c r="GI787" s="453"/>
      <c r="GJ787" s="453"/>
      <c r="GK787" s="453"/>
      <c r="GL787" s="453"/>
      <c r="GM787" s="453"/>
      <c r="GN787" s="453"/>
      <c r="GO787" s="453"/>
      <c r="GP787" s="453"/>
      <c r="GQ787" s="453"/>
      <c r="GR787" s="453"/>
      <c r="GS787" s="561"/>
      <c r="GT787" s="475"/>
      <c r="GU787" s="472"/>
      <c r="GV787" s="453"/>
      <c r="GW787" s="453"/>
      <c r="GX787" s="869"/>
      <c r="GY787" s="870"/>
      <c r="GZ787" s="867"/>
      <c r="HA787" s="868"/>
      <c r="HB787" s="473"/>
      <c r="HC787" s="869"/>
      <c r="HD787" s="870"/>
      <c r="HE787" s="867"/>
      <c r="HF787" s="868"/>
      <c r="HG787" s="473"/>
      <c r="HH787" s="867"/>
      <c r="HI787" s="868"/>
      <c r="HJ787" s="867"/>
      <c r="HK787" s="868"/>
      <c r="HL787" s="370"/>
      <c r="HM787" s="865"/>
      <c r="HN787" s="866"/>
      <c r="HO787" s="865"/>
      <c r="HP787" s="866"/>
      <c r="HQ787" s="865"/>
      <c r="HR787" s="866"/>
      <c r="HS787" s="867"/>
      <c r="HT787" s="868"/>
      <c r="HU787" s="489"/>
      <c r="HV787" s="865"/>
      <c r="HW787" s="866"/>
    </row>
    <row r="788" spans="25:231" ht="15" customHeight="1">
      <c r="Y788" s="332"/>
      <c r="Z788" s="332"/>
      <c r="AA788" s="332"/>
      <c r="AB788" s="332"/>
      <c r="AC788" s="332"/>
      <c r="AD788" s="332"/>
      <c r="AE788" s="332"/>
      <c r="AF788" s="332"/>
      <c r="AG788" s="332"/>
      <c r="AH788" s="332"/>
      <c r="AI788" s="332"/>
      <c r="AJ788" s="332"/>
      <c r="AK788" s="332"/>
      <c r="AL788" s="332"/>
      <c r="AM788" s="332"/>
      <c r="AN788" s="332"/>
      <c r="AO788" s="332"/>
      <c r="AP788" s="332"/>
      <c r="AQ788" s="332"/>
      <c r="AR788" s="332"/>
      <c r="AS788" s="332"/>
      <c r="AT788" s="332"/>
      <c r="AU788" s="332"/>
      <c r="AV788" s="332"/>
      <c r="AW788" s="332"/>
      <c r="AX788" s="332"/>
      <c r="AY788" s="332"/>
      <c r="AZ788" s="332"/>
      <c r="BA788" s="332"/>
      <c r="BB788" s="332"/>
      <c r="BC788" s="332"/>
      <c r="BD788" s="332"/>
      <c r="BE788" s="332"/>
      <c r="BF788" s="332"/>
      <c r="BG788" s="332"/>
      <c r="BH788" s="332"/>
      <c r="BI788" s="332"/>
      <c r="BJ788" s="332"/>
      <c r="BK788" s="332"/>
      <c r="BL788" s="332"/>
      <c r="BM788" s="332"/>
      <c r="BN788" s="332"/>
      <c r="BO788" s="332"/>
      <c r="BP788" s="332"/>
      <c r="BQ788" s="332"/>
      <c r="BR788" s="332"/>
      <c r="BS788" s="332"/>
      <c r="BT788" s="332"/>
      <c r="BU788" s="332"/>
      <c r="BV788" s="332"/>
      <c r="BW788" s="332"/>
      <c r="BX788" s="332"/>
      <c r="BY788" s="332"/>
      <c r="BZ788" s="332"/>
      <c r="CA788" s="332"/>
      <c r="CB788" s="332"/>
      <c r="CC788" s="332"/>
      <c r="CD788" s="332"/>
      <c r="CE788" s="332"/>
      <c r="CF788" s="332"/>
      <c r="CG788" s="332"/>
      <c r="CH788" s="332"/>
      <c r="CI788" s="332"/>
      <c r="CJ788" s="332"/>
      <c r="CK788" s="332"/>
      <c r="CL788" s="332"/>
      <c r="CM788" s="332"/>
      <c r="CN788" s="332"/>
      <c r="CO788" s="332"/>
      <c r="CP788" s="332"/>
      <c r="CQ788" s="332"/>
      <c r="CR788" s="332"/>
      <c r="CS788" s="332"/>
      <c r="CT788" s="332"/>
      <c r="CU788" s="332"/>
      <c r="CV788" s="332"/>
      <c r="CW788" s="332"/>
      <c r="CX788" s="332"/>
      <c r="CY788" s="332"/>
      <c r="CZ788" s="332"/>
      <c r="DA788" s="332"/>
      <c r="DB788" s="332"/>
      <c r="DC788" s="332"/>
      <c r="DD788" s="332"/>
      <c r="DE788" s="332"/>
      <c r="DF788" s="332"/>
      <c r="DG788" s="332"/>
      <c r="DH788" s="332"/>
      <c r="DI788" s="332"/>
      <c r="DJ788" s="332"/>
      <c r="DK788" s="332"/>
      <c r="DL788" s="332"/>
      <c r="DM788" s="332"/>
      <c r="DN788" s="332"/>
      <c r="DO788" s="332"/>
      <c r="DP788" s="332"/>
      <c r="DQ788" s="332"/>
      <c r="DR788" s="332"/>
      <c r="DS788" s="332"/>
      <c r="DT788" s="332"/>
      <c r="DU788" s="453"/>
      <c r="DV788" s="453"/>
      <c r="DW788" s="453"/>
      <c r="DX788" s="453"/>
      <c r="DY788" s="453"/>
      <c r="DZ788" s="453"/>
      <c r="EA788" s="453"/>
      <c r="EB788" s="453"/>
      <c r="EC788" s="453"/>
      <c r="ED788" s="453"/>
      <c r="EE788" s="453"/>
      <c r="EF788" s="453"/>
      <c r="EG788" s="453"/>
      <c r="EH788" s="453"/>
      <c r="EI788" s="453"/>
      <c r="EJ788" s="453"/>
      <c r="EK788" s="453"/>
      <c r="EL788" s="453"/>
      <c r="EM788" s="483">
        <f t="shared" si="233"/>
        <v>479</v>
      </c>
      <c r="EN788" s="485"/>
      <c r="EO788" s="458"/>
      <c r="EP788" s="467"/>
      <c r="EQ788" s="457"/>
      <c r="ER788" s="808"/>
      <c r="ES788" s="881">
        <f t="shared" si="234"/>
        <v>0</v>
      </c>
      <c r="ET788" s="882"/>
      <c r="EU788" s="883"/>
      <c r="EV788" s="884">
        <f t="shared" si="232"/>
        <v>0</v>
      </c>
      <c r="EW788" s="885"/>
      <c r="EX788" s="885"/>
      <c r="EY788" s="885"/>
      <c r="EZ788" s="885"/>
      <c r="FA788" s="885"/>
      <c r="FB788" s="885"/>
      <c r="FC788" s="885"/>
      <c r="FD788" s="886"/>
      <c r="FE788" s="878"/>
      <c r="FF788" s="878"/>
      <c r="FG788" s="878"/>
      <c r="FH788" s="878"/>
      <c r="FI788" s="878"/>
      <c r="FJ788" s="878"/>
      <c r="FK788" s="878"/>
      <c r="FL788" s="555"/>
      <c r="FM788" s="554"/>
      <c r="FN788" s="554"/>
      <c r="FO788" s="554"/>
      <c r="FP788" s="554"/>
      <c r="FQ788" s="554"/>
      <c r="FR788" s="554"/>
      <c r="FS788" s="554"/>
      <c r="FT788" s="554"/>
      <c r="FU788" s="554"/>
      <c r="FV788" s="554"/>
      <c r="FW788" s="554"/>
      <c r="FX788" s="554"/>
      <c r="FY788" s="554"/>
      <c r="FZ788" s="554"/>
      <c r="GA788" s="554"/>
      <c r="GB788" s="556"/>
      <c r="GC788" s="370"/>
      <c r="GD788" s="453"/>
      <c r="GE788" s="453"/>
      <c r="GF788" s="453"/>
      <c r="GG788" s="453"/>
      <c r="GH788" s="454"/>
      <c r="GI788" s="453"/>
      <c r="GJ788" s="453"/>
      <c r="GK788" s="453"/>
      <c r="GL788" s="453"/>
      <c r="GM788" s="453"/>
      <c r="GN788" s="453"/>
      <c r="GO788" s="453"/>
      <c r="GP788" s="453"/>
      <c r="GQ788" s="453"/>
      <c r="GR788" s="453"/>
      <c r="GS788" s="561"/>
      <c r="GT788" s="475"/>
      <c r="GU788" s="472"/>
      <c r="GV788" s="453"/>
      <c r="GW788" s="453"/>
      <c r="GX788" s="869"/>
      <c r="GY788" s="870"/>
      <c r="GZ788" s="867"/>
      <c r="HA788" s="868"/>
      <c r="HB788" s="473"/>
      <c r="HC788" s="869"/>
      <c r="HD788" s="870"/>
      <c r="HE788" s="867"/>
      <c r="HF788" s="868"/>
      <c r="HG788" s="473"/>
      <c r="HH788" s="867"/>
      <c r="HI788" s="868"/>
      <c r="HJ788" s="867"/>
      <c r="HK788" s="868"/>
      <c r="HL788" s="370"/>
      <c r="HM788" s="865"/>
      <c r="HN788" s="866"/>
      <c r="HO788" s="865"/>
      <c r="HP788" s="866"/>
      <c r="HQ788" s="865"/>
      <c r="HR788" s="866"/>
      <c r="HS788" s="867"/>
      <c r="HT788" s="868"/>
      <c r="HU788" s="489"/>
      <c r="HV788" s="865"/>
      <c r="HW788" s="866"/>
    </row>
    <row r="789" spans="25:231" ht="15" customHeight="1">
      <c r="Y789" s="332"/>
      <c r="Z789" s="332"/>
      <c r="AA789" s="332"/>
      <c r="AB789" s="332"/>
      <c r="AC789" s="332"/>
      <c r="AD789" s="332"/>
      <c r="AE789" s="332"/>
      <c r="AF789" s="332"/>
      <c r="AG789" s="332"/>
      <c r="AH789" s="332"/>
      <c r="AI789" s="332"/>
      <c r="AJ789" s="332"/>
      <c r="AK789" s="332"/>
      <c r="AL789" s="332"/>
      <c r="AM789" s="332"/>
      <c r="AN789" s="332"/>
      <c r="AO789" s="332"/>
      <c r="AP789" s="332"/>
      <c r="AQ789" s="332"/>
      <c r="AR789" s="332"/>
      <c r="AS789" s="332"/>
      <c r="AT789" s="332"/>
      <c r="AU789" s="332"/>
      <c r="AV789" s="332"/>
      <c r="AW789" s="332"/>
      <c r="AX789" s="332"/>
      <c r="AY789" s="332"/>
      <c r="AZ789" s="332"/>
      <c r="BA789" s="332"/>
      <c r="BB789" s="332"/>
      <c r="BC789" s="332"/>
      <c r="BD789" s="332"/>
      <c r="BE789" s="332"/>
      <c r="BF789" s="332"/>
      <c r="BG789" s="332"/>
      <c r="BH789" s="332"/>
      <c r="BI789" s="332"/>
      <c r="BJ789" s="332"/>
      <c r="BK789" s="332"/>
      <c r="BL789" s="332"/>
      <c r="BM789" s="332"/>
      <c r="BN789" s="332"/>
      <c r="BO789" s="332"/>
      <c r="BP789" s="332"/>
      <c r="BQ789" s="332"/>
      <c r="BR789" s="332"/>
      <c r="BS789" s="332"/>
      <c r="BT789" s="332"/>
      <c r="BU789" s="332"/>
      <c r="BV789" s="332"/>
      <c r="BW789" s="332"/>
      <c r="BX789" s="332"/>
      <c r="BY789" s="332"/>
      <c r="BZ789" s="332"/>
      <c r="CA789" s="332"/>
      <c r="CB789" s="332"/>
      <c r="CC789" s="332"/>
      <c r="CD789" s="332"/>
      <c r="CE789" s="332"/>
      <c r="CF789" s="332"/>
      <c r="CG789" s="332"/>
      <c r="CH789" s="332"/>
      <c r="CI789" s="332"/>
      <c r="CJ789" s="332"/>
      <c r="CK789" s="332"/>
      <c r="CL789" s="332"/>
      <c r="CM789" s="332"/>
      <c r="CN789" s="332"/>
      <c r="CO789" s="332"/>
      <c r="CP789" s="332"/>
      <c r="CQ789" s="332"/>
      <c r="CR789" s="332"/>
      <c r="CS789" s="332"/>
      <c r="CT789" s="332"/>
      <c r="CU789" s="332"/>
      <c r="CV789" s="332"/>
      <c r="CW789" s="332"/>
      <c r="CX789" s="332"/>
      <c r="CY789" s="332"/>
      <c r="CZ789" s="332"/>
      <c r="DA789" s="332"/>
      <c r="DB789" s="332"/>
      <c r="DC789" s="332"/>
      <c r="DD789" s="332"/>
      <c r="DE789" s="332"/>
      <c r="DF789" s="332"/>
      <c r="DG789" s="332"/>
      <c r="DH789" s="332"/>
      <c r="DI789" s="332"/>
      <c r="DJ789" s="332"/>
      <c r="DK789" s="332"/>
      <c r="DL789" s="332"/>
      <c r="DM789" s="332"/>
      <c r="DN789" s="332"/>
      <c r="DO789" s="332"/>
      <c r="DP789" s="332"/>
      <c r="DQ789" s="332"/>
      <c r="DR789" s="332"/>
      <c r="DS789" s="332"/>
      <c r="DT789" s="332"/>
      <c r="DU789" s="453"/>
      <c r="DV789" s="453"/>
      <c r="DW789" s="453"/>
      <c r="DX789" s="453"/>
      <c r="DY789" s="453"/>
      <c r="DZ789" s="453"/>
      <c r="EA789" s="453"/>
      <c r="EB789" s="453"/>
      <c r="EC789" s="453"/>
      <c r="ED789" s="453"/>
      <c r="EE789" s="453"/>
      <c r="EF789" s="453"/>
      <c r="EG789" s="453"/>
      <c r="EH789" s="453"/>
      <c r="EI789" s="453"/>
      <c r="EJ789" s="453"/>
      <c r="EK789" s="453"/>
      <c r="EL789" s="453"/>
      <c r="EM789" s="483">
        <f t="shared" si="233"/>
        <v>480</v>
      </c>
      <c r="EN789" s="485"/>
      <c r="EO789" s="458"/>
      <c r="EP789" s="467"/>
      <c r="EQ789" s="457"/>
      <c r="ER789" s="808"/>
      <c r="ES789" s="881">
        <f t="shared" ref="ES789:ES852" si="235">IF(OR(EO789 = "", EP789 = 0, EP789 = "", EQ789 = 0, EQ789 = "", ER789 = 0, ER789 = ""), 0,
IF(EO789 &lt;&gt; "ACCION", EP789 * ER789 * -100,  EP789 * ER789 * -1))</f>
        <v>0</v>
      </c>
      <c r="ET789" s="882"/>
      <c r="EU789" s="883"/>
      <c r="EV789" s="884">
        <f t="shared" ref="EV789:EV852" si="236">+IF(OR(EO789 = "", EP789 = 0, EP789 = "", EQ789 = 0, EQ789 = "", ER789 = 0, ER789 = ""), 0,
IF(EO789 &lt;&gt; "ACCION",
IF(EP789 &gt; 0, EP789 * ER789 * -100 * ( 1 + COMIS_OPCION), EP789 * ER789 * -100 * ( 1 - COMIS_OPCION)),
IF(EP789 &gt; 0, EP789 * ER789 * -1 * ( 1 + COMIS_ACCION), EP789 * ER789 * -1 * ( 1 - COMIS_ACCION))  ))</f>
        <v>0</v>
      </c>
      <c r="EW789" s="885"/>
      <c r="EX789" s="885"/>
      <c r="EY789" s="885"/>
      <c r="EZ789" s="885"/>
      <c r="FA789" s="885"/>
      <c r="FB789" s="885"/>
      <c r="FC789" s="885"/>
      <c r="FD789" s="886"/>
      <c r="FE789" s="550"/>
      <c r="FF789" s="550"/>
      <c r="FG789" s="550"/>
      <c r="FH789" s="550"/>
      <c r="FI789" s="550"/>
      <c r="FJ789" s="550"/>
      <c r="FK789" s="550"/>
      <c r="FL789" s="555"/>
      <c r="FM789" s="554"/>
      <c r="FN789" s="554"/>
      <c r="FO789" s="554"/>
      <c r="FP789" s="554"/>
      <c r="FQ789" s="554"/>
      <c r="FR789" s="554"/>
      <c r="FS789" s="554"/>
      <c r="FT789" s="554"/>
      <c r="FU789" s="554"/>
      <c r="FV789" s="554"/>
      <c r="FW789" s="554"/>
      <c r="FX789" s="554"/>
      <c r="FY789" s="554"/>
      <c r="FZ789" s="554"/>
      <c r="GA789" s="554"/>
      <c r="GB789" s="556"/>
      <c r="GC789" s="370"/>
      <c r="GD789" s="453"/>
      <c r="GE789" s="453"/>
      <c r="GF789" s="453"/>
      <c r="GG789" s="453"/>
      <c r="GH789" s="454"/>
      <c r="GI789" s="453"/>
      <c r="GJ789" s="453"/>
      <c r="GK789" s="453"/>
      <c r="GL789" s="453"/>
      <c r="GM789" s="453"/>
      <c r="GN789" s="453"/>
      <c r="GO789" s="453"/>
      <c r="GP789" s="453"/>
      <c r="GQ789" s="453"/>
      <c r="GR789" s="453"/>
      <c r="GS789" s="561"/>
      <c r="GT789" s="475"/>
      <c r="GU789" s="472"/>
      <c r="GV789" s="453"/>
      <c r="GW789" s="453"/>
      <c r="GX789" s="869"/>
      <c r="GY789" s="870"/>
      <c r="GZ789" s="867"/>
      <c r="HA789" s="868"/>
      <c r="HB789" s="473"/>
      <c r="HC789" s="869"/>
      <c r="HD789" s="870"/>
      <c r="HE789" s="867"/>
      <c r="HF789" s="868"/>
      <c r="HG789" s="473"/>
      <c r="HH789" s="867"/>
      <c r="HI789" s="868"/>
      <c r="HJ789" s="867"/>
      <c r="HK789" s="868"/>
      <c r="HL789" s="370"/>
      <c r="HM789" s="865"/>
      <c r="HN789" s="866"/>
      <c r="HO789" s="865"/>
      <c r="HP789" s="866"/>
      <c r="HQ789" s="865"/>
      <c r="HR789" s="866"/>
      <c r="HS789" s="867"/>
      <c r="HT789" s="868"/>
      <c r="HU789" s="489"/>
      <c r="HV789" s="865"/>
      <c r="HW789" s="866"/>
    </row>
    <row r="790" spans="25:231" ht="15" customHeight="1">
      <c r="Y790" s="332"/>
      <c r="Z790" s="332"/>
      <c r="AA790" s="332"/>
      <c r="AB790" s="332"/>
      <c r="AC790" s="332"/>
      <c r="AD790" s="332"/>
      <c r="AE790" s="332"/>
      <c r="AF790" s="332"/>
      <c r="AG790" s="332"/>
      <c r="AH790" s="332"/>
      <c r="AI790" s="332"/>
      <c r="AJ790" s="332"/>
      <c r="AK790" s="332"/>
      <c r="AL790" s="332"/>
      <c r="AM790" s="332"/>
      <c r="AN790" s="332"/>
      <c r="AO790" s="332"/>
      <c r="AP790" s="332"/>
      <c r="AQ790" s="332"/>
      <c r="AR790" s="332"/>
      <c r="AS790" s="332"/>
      <c r="AT790" s="332"/>
      <c r="AU790" s="332"/>
      <c r="AV790" s="332"/>
      <c r="AW790" s="332"/>
      <c r="AX790" s="332"/>
      <c r="AY790" s="332"/>
      <c r="AZ790" s="332"/>
      <c r="BA790" s="332"/>
      <c r="BB790" s="332"/>
      <c r="BC790" s="332"/>
      <c r="BD790" s="332"/>
      <c r="BE790" s="332"/>
      <c r="BF790" s="332"/>
      <c r="BG790" s="332"/>
      <c r="BH790" s="332"/>
      <c r="BI790" s="332"/>
      <c r="BJ790" s="332"/>
      <c r="BK790" s="332"/>
      <c r="BL790" s="332"/>
      <c r="BM790" s="332"/>
      <c r="BN790" s="332"/>
      <c r="BO790" s="332"/>
      <c r="BP790" s="332"/>
      <c r="BQ790" s="332"/>
      <c r="BR790" s="332"/>
      <c r="BS790" s="332"/>
      <c r="BT790" s="332"/>
      <c r="BU790" s="332"/>
      <c r="BV790" s="332"/>
      <c r="BW790" s="332"/>
      <c r="BX790" s="332"/>
      <c r="BY790" s="332"/>
      <c r="BZ790" s="332"/>
      <c r="CA790" s="332"/>
      <c r="CB790" s="332"/>
      <c r="CC790" s="332"/>
      <c r="CD790" s="332"/>
      <c r="CE790" s="332"/>
      <c r="CF790" s="332"/>
      <c r="CG790" s="332"/>
      <c r="CH790" s="332"/>
      <c r="CI790" s="332"/>
      <c r="CJ790" s="332"/>
      <c r="CK790" s="332"/>
      <c r="CL790" s="332"/>
      <c r="CM790" s="332"/>
      <c r="CN790" s="332"/>
      <c r="CO790" s="332"/>
      <c r="CP790" s="332"/>
      <c r="CQ790" s="332"/>
      <c r="CR790" s="332"/>
      <c r="CS790" s="332"/>
      <c r="CT790" s="332"/>
      <c r="CU790" s="332"/>
      <c r="CV790" s="332"/>
      <c r="CW790" s="332"/>
      <c r="CX790" s="332"/>
      <c r="CY790" s="332"/>
      <c r="CZ790" s="332"/>
      <c r="DA790" s="332"/>
      <c r="DB790" s="332"/>
      <c r="DC790" s="332"/>
      <c r="DD790" s="332"/>
      <c r="DE790" s="332"/>
      <c r="DF790" s="332"/>
      <c r="DG790" s="332"/>
      <c r="DH790" s="332"/>
      <c r="DI790" s="332"/>
      <c r="DJ790" s="332"/>
      <c r="DK790" s="332"/>
      <c r="DL790" s="332"/>
      <c r="DM790" s="332"/>
      <c r="DN790" s="332"/>
      <c r="DO790" s="332"/>
      <c r="DP790" s="332"/>
      <c r="DQ790" s="332"/>
      <c r="DR790" s="332"/>
      <c r="DS790" s="332"/>
      <c r="DT790" s="332"/>
      <c r="DU790" s="453"/>
      <c r="DV790" s="453"/>
      <c r="DW790" s="453"/>
      <c r="DX790" s="453"/>
      <c r="DY790" s="453"/>
      <c r="DZ790" s="453"/>
      <c r="EA790" s="453"/>
      <c r="EB790" s="453"/>
      <c r="EC790" s="453"/>
      <c r="ED790" s="453"/>
      <c r="EE790" s="453"/>
      <c r="EF790" s="453"/>
      <c r="EG790" s="453"/>
      <c r="EH790" s="453"/>
      <c r="EI790" s="453"/>
      <c r="EJ790" s="453"/>
      <c r="EK790" s="453"/>
      <c r="EL790" s="453"/>
      <c r="EM790" s="483">
        <f t="shared" si="233"/>
        <v>481</v>
      </c>
      <c r="EN790" s="485"/>
      <c r="EO790" s="458"/>
      <c r="EP790" s="467"/>
      <c r="EQ790" s="457"/>
      <c r="ER790" s="808"/>
      <c r="ES790" s="881">
        <f t="shared" si="235"/>
        <v>0</v>
      </c>
      <c r="ET790" s="882"/>
      <c r="EU790" s="883"/>
      <c r="EV790" s="884">
        <f t="shared" si="236"/>
        <v>0</v>
      </c>
      <c r="EW790" s="885"/>
      <c r="EX790" s="885"/>
      <c r="EY790" s="885"/>
      <c r="EZ790" s="885"/>
      <c r="FA790" s="885"/>
      <c r="FB790" s="885"/>
      <c r="FC790" s="885"/>
      <c r="FD790" s="886"/>
      <c r="FE790" s="550"/>
      <c r="FF790" s="550"/>
      <c r="FG790" s="550"/>
      <c r="FH790" s="550"/>
      <c r="FI790" s="550"/>
      <c r="FJ790" s="550"/>
      <c r="FK790" s="550"/>
      <c r="FL790" s="555"/>
      <c r="FM790" s="554"/>
      <c r="FN790" s="554"/>
      <c r="FO790" s="554"/>
      <c r="FP790" s="554"/>
      <c r="FQ790" s="554"/>
      <c r="FR790" s="554"/>
      <c r="FS790" s="554"/>
      <c r="FT790" s="554"/>
      <c r="FU790" s="554"/>
      <c r="FV790" s="554"/>
      <c r="FW790" s="554"/>
      <c r="FX790" s="554"/>
      <c r="FY790" s="554"/>
      <c r="FZ790" s="554"/>
      <c r="GA790" s="554"/>
      <c r="GB790" s="556"/>
      <c r="GC790" s="370"/>
      <c r="GD790" s="453"/>
      <c r="GE790" s="453"/>
      <c r="GF790" s="453"/>
      <c r="GG790" s="453"/>
      <c r="GH790" s="454"/>
      <c r="GI790" s="453"/>
      <c r="GJ790" s="453"/>
      <c r="GK790" s="453"/>
      <c r="GL790" s="453"/>
      <c r="GM790" s="453"/>
      <c r="GN790" s="453"/>
      <c r="GO790" s="453"/>
      <c r="GP790" s="453"/>
      <c r="GQ790" s="453"/>
      <c r="GR790" s="453"/>
      <c r="GS790" s="561"/>
      <c r="GT790" s="475"/>
      <c r="GU790" s="472"/>
      <c r="GV790" s="453"/>
      <c r="GW790" s="453"/>
      <c r="GX790" s="869"/>
      <c r="GY790" s="870"/>
      <c r="GZ790" s="867"/>
      <c r="HA790" s="868"/>
      <c r="HB790" s="473"/>
      <c r="HC790" s="869"/>
      <c r="HD790" s="870"/>
      <c r="HE790" s="867"/>
      <c r="HF790" s="868"/>
      <c r="HG790" s="473"/>
      <c r="HH790" s="867"/>
      <c r="HI790" s="868"/>
      <c r="HJ790" s="867"/>
      <c r="HK790" s="868"/>
      <c r="HL790" s="370"/>
      <c r="HM790" s="865"/>
      <c r="HN790" s="866"/>
      <c r="HO790" s="865"/>
      <c r="HP790" s="866"/>
      <c r="HQ790" s="865"/>
      <c r="HR790" s="866"/>
      <c r="HS790" s="867"/>
      <c r="HT790" s="868"/>
      <c r="HU790" s="489"/>
      <c r="HV790" s="865"/>
      <c r="HW790" s="866"/>
    </row>
    <row r="791" spans="25:231" ht="15" customHeight="1">
      <c r="Y791" s="332"/>
      <c r="Z791" s="332"/>
      <c r="AA791" s="332"/>
      <c r="AB791" s="332"/>
      <c r="AC791" s="332"/>
      <c r="AD791" s="332"/>
      <c r="AE791" s="332"/>
      <c r="AF791" s="332"/>
      <c r="AG791" s="332"/>
      <c r="AH791" s="332"/>
      <c r="AI791" s="332"/>
      <c r="AJ791" s="332"/>
      <c r="AK791" s="332"/>
      <c r="AL791" s="332"/>
      <c r="AM791" s="332"/>
      <c r="AN791" s="332"/>
      <c r="AO791" s="332"/>
      <c r="AP791" s="332"/>
      <c r="AQ791" s="332"/>
      <c r="AR791" s="332"/>
      <c r="AS791" s="332"/>
      <c r="AT791" s="332"/>
      <c r="AU791" s="332"/>
      <c r="AV791" s="332"/>
      <c r="AW791" s="332"/>
      <c r="AX791" s="332"/>
      <c r="AY791" s="332"/>
      <c r="AZ791" s="332"/>
      <c r="BA791" s="332"/>
      <c r="BB791" s="332"/>
      <c r="BC791" s="332"/>
      <c r="BD791" s="332"/>
      <c r="BE791" s="332"/>
      <c r="BF791" s="332"/>
      <c r="BG791" s="332"/>
      <c r="BH791" s="332"/>
      <c r="BI791" s="332"/>
      <c r="BJ791" s="332"/>
      <c r="BK791" s="332"/>
      <c r="BL791" s="332"/>
      <c r="BM791" s="332"/>
      <c r="BN791" s="332"/>
      <c r="BO791" s="332"/>
      <c r="BP791" s="332"/>
      <c r="BQ791" s="332"/>
      <c r="BR791" s="332"/>
      <c r="BS791" s="332"/>
      <c r="BT791" s="332"/>
      <c r="BU791" s="332"/>
      <c r="BV791" s="332"/>
      <c r="BW791" s="332"/>
      <c r="BX791" s="332"/>
      <c r="BY791" s="332"/>
      <c r="BZ791" s="332"/>
      <c r="CA791" s="332"/>
      <c r="CB791" s="332"/>
      <c r="CC791" s="332"/>
      <c r="CD791" s="332"/>
      <c r="CE791" s="332"/>
      <c r="CF791" s="332"/>
      <c r="CG791" s="332"/>
      <c r="CH791" s="332"/>
      <c r="CI791" s="332"/>
      <c r="CJ791" s="332"/>
      <c r="CK791" s="332"/>
      <c r="CL791" s="332"/>
      <c r="CM791" s="332"/>
      <c r="CN791" s="332"/>
      <c r="CO791" s="332"/>
      <c r="CP791" s="332"/>
      <c r="CQ791" s="332"/>
      <c r="CR791" s="332"/>
      <c r="CS791" s="332"/>
      <c r="CT791" s="332"/>
      <c r="CU791" s="332"/>
      <c r="CV791" s="332"/>
      <c r="CW791" s="332"/>
      <c r="CX791" s="332"/>
      <c r="CY791" s="332"/>
      <c r="CZ791" s="332"/>
      <c r="DA791" s="332"/>
      <c r="DB791" s="332"/>
      <c r="DC791" s="332"/>
      <c r="DD791" s="332"/>
      <c r="DE791" s="332"/>
      <c r="DF791" s="332"/>
      <c r="DG791" s="332"/>
      <c r="DH791" s="332"/>
      <c r="DI791" s="332"/>
      <c r="DJ791" s="332"/>
      <c r="DK791" s="332"/>
      <c r="DL791" s="332"/>
      <c r="DM791" s="332"/>
      <c r="DN791" s="332"/>
      <c r="DO791" s="332"/>
      <c r="DP791" s="332"/>
      <c r="DQ791" s="332"/>
      <c r="DR791" s="332"/>
      <c r="DS791" s="332"/>
      <c r="DT791" s="332"/>
      <c r="DU791" s="453"/>
      <c r="DV791" s="453"/>
      <c r="DW791" s="453"/>
      <c r="DX791" s="453"/>
      <c r="DY791" s="453"/>
      <c r="DZ791" s="453"/>
      <c r="EA791" s="453"/>
      <c r="EB791" s="453"/>
      <c r="EC791" s="453"/>
      <c r="ED791" s="453"/>
      <c r="EE791" s="453"/>
      <c r="EF791" s="453"/>
      <c r="EG791" s="453"/>
      <c r="EH791" s="453"/>
      <c r="EI791" s="453"/>
      <c r="EJ791" s="453"/>
      <c r="EK791" s="453"/>
      <c r="EL791" s="453"/>
      <c r="EM791" s="483">
        <f t="shared" si="233"/>
        <v>482</v>
      </c>
      <c r="EN791" s="485"/>
      <c r="EO791" s="458"/>
      <c r="EP791" s="467"/>
      <c r="EQ791" s="457"/>
      <c r="ER791" s="808"/>
      <c r="ES791" s="881">
        <f t="shared" si="235"/>
        <v>0</v>
      </c>
      <c r="ET791" s="882"/>
      <c r="EU791" s="883"/>
      <c r="EV791" s="884">
        <f t="shared" si="236"/>
        <v>0</v>
      </c>
      <c r="EW791" s="885"/>
      <c r="EX791" s="885"/>
      <c r="EY791" s="885"/>
      <c r="EZ791" s="885"/>
      <c r="FA791" s="885"/>
      <c r="FB791" s="885"/>
      <c r="FC791" s="885"/>
      <c r="FD791" s="886"/>
      <c r="FE791" s="550"/>
      <c r="FF791" s="550"/>
      <c r="FG791" s="550"/>
      <c r="FH791" s="550"/>
      <c r="FI791" s="550"/>
      <c r="FJ791" s="550"/>
      <c r="FK791" s="550"/>
      <c r="FL791" s="555"/>
      <c r="FM791" s="554"/>
      <c r="FN791" s="554"/>
      <c r="FO791" s="554"/>
      <c r="FP791" s="554"/>
      <c r="FQ791" s="554"/>
      <c r="FR791" s="554"/>
      <c r="FS791" s="554"/>
      <c r="FT791" s="554"/>
      <c r="FU791" s="554"/>
      <c r="FV791" s="554"/>
      <c r="FW791" s="554"/>
      <c r="FX791" s="554"/>
      <c r="FY791" s="554"/>
      <c r="FZ791" s="554"/>
      <c r="GA791" s="554"/>
      <c r="GB791" s="556"/>
      <c r="GC791" s="370"/>
      <c r="GD791" s="453"/>
      <c r="GE791" s="453"/>
      <c r="GF791" s="453"/>
      <c r="GG791" s="453"/>
      <c r="GH791" s="454"/>
      <c r="GI791" s="453"/>
      <c r="GJ791" s="453"/>
      <c r="GK791" s="453"/>
      <c r="GL791" s="453"/>
      <c r="GM791" s="453"/>
      <c r="GN791" s="453"/>
      <c r="GO791" s="453"/>
      <c r="GP791" s="453"/>
      <c r="GQ791" s="453"/>
      <c r="GR791" s="453"/>
      <c r="GS791" s="561"/>
      <c r="GT791" s="475"/>
      <c r="GU791" s="472"/>
      <c r="GV791" s="453"/>
      <c r="GW791" s="453"/>
      <c r="GX791" s="869"/>
      <c r="GY791" s="870"/>
      <c r="GZ791" s="867"/>
      <c r="HA791" s="868"/>
      <c r="HB791" s="473"/>
      <c r="HC791" s="869"/>
      <c r="HD791" s="870"/>
      <c r="HE791" s="867"/>
      <c r="HF791" s="868"/>
      <c r="HG791" s="473"/>
      <c r="HH791" s="867"/>
      <c r="HI791" s="868"/>
      <c r="HJ791" s="867"/>
      <c r="HK791" s="868"/>
      <c r="HL791" s="370"/>
      <c r="HM791" s="865"/>
      <c r="HN791" s="866"/>
      <c r="HO791" s="865"/>
      <c r="HP791" s="866"/>
      <c r="HQ791" s="865"/>
      <c r="HR791" s="866"/>
      <c r="HS791" s="867"/>
      <c r="HT791" s="868"/>
      <c r="HU791" s="489"/>
      <c r="HV791" s="865"/>
      <c r="HW791" s="866"/>
    </row>
    <row r="792" spans="25:231" ht="15" customHeight="1">
      <c r="Y792" s="332"/>
      <c r="Z792" s="332"/>
      <c r="AA792" s="332"/>
      <c r="AB792" s="332"/>
      <c r="AC792" s="332"/>
      <c r="AD792" s="332"/>
      <c r="AE792" s="332"/>
      <c r="AF792" s="332"/>
      <c r="AG792" s="332"/>
      <c r="AH792" s="332"/>
      <c r="AI792" s="332"/>
      <c r="AJ792" s="332"/>
      <c r="AK792" s="332"/>
      <c r="AL792" s="332"/>
      <c r="AM792" s="332"/>
      <c r="AN792" s="332"/>
      <c r="AO792" s="332"/>
      <c r="AP792" s="332"/>
      <c r="AQ792" s="332"/>
      <c r="AR792" s="332"/>
      <c r="AS792" s="332"/>
      <c r="AT792" s="332"/>
      <c r="AU792" s="332"/>
      <c r="AV792" s="332"/>
      <c r="AW792" s="332"/>
      <c r="AX792" s="332"/>
      <c r="AY792" s="332"/>
      <c r="AZ792" s="332"/>
      <c r="BA792" s="332"/>
      <c r="BB792" s="332"/>
      <c r="BC792" s="332"/>
      <c r="BD792" s="332"/>
      <c r="BE792" s="332"/>
      <c r="BF792" s="332"/>
      <c r="BG792" s="332"/>
      <c r="BH792" s="332"/>
      <c r="BI792" s="332"/>
      <c r="BJ792" s="332"/>
      <c r="BK792" s="332"/>
      <c r="BL792" s="332"/>
      <c r="BM792" s="332"/>
      <c r="BN792" s="332"/>
      <c r="BO792" s="332"/>
      <c r="BP792" s="332"/>
      <c r="BQ792" s="332"/>
      <c r="BR792" s="332"/>
      <c r="BS792" s="332"/>
      <c r="BT792" s="332"/>
      <c r="BU792" s="332"/>
      <c r="BV792" s="332"/>
      <c r="BW792" s="332"/>
      <c r="BX792" s="332"/>
      <c r="BY792" s="332"/>
      <c r="BZ792" s="332"/>
      <c r="CA792" s="332"/>
      <c r="CB792" s="332"/>
      <c r="CC792" s="332"/>
      <c r="CD792" s="332"/>
      <c r="CE792" s="332"/>
      <c r="CF792" s="332"/>
      <c r="CG792" s="332"/>
      <c r="CH792" s="332"/>
      <c r="CI792" s="332"/>
      <c r="CJ792" s="332"/>
      <c r="CK792" s="332"/>
      <c r="CL792" s="332"/>
      <c r="CM792" s="332"/>
      <c r="CN792" s="332"/>
      <c r="CO792" s="332"/>
      <c r="CP792" s="332"/>
      <c r="CQ792" s="332"/>
      <c r="CR792" s="332"/>
      <c r="CS792" s="332"/>
      <c r="CT792" s="332"/>
      <c r="CU792" s="332"/>
      <c r="CV792" s="332"/>
      <c r="CW792" s="332"/>
      <c r="CX792" s="332"/>
      <c r="CY792" s="332"/>
      <c r="CZ792" s="332"/>
      <c r="DA792" s="332"/>
      <c r="DB792" s="332"/>
      <c r="DC792" s="332"/>
      <c r="DD792" s="332"/>
      <c r="DE792" s="332"/>
      <c r="DF792" s="332"/>
      <c r="DG792" s="332"/>
      <c r="DH792" s="332"/>
      <c r="DI792" s="332"/>
      <c r="DJ792" s="332"/>
      <c r="DK792" s="332"/>
      <c r="DL792" s="332"/>
      <c r="DM792" s="332"/>
      <c r="DN792" s="332"/>
      <c r="DO792" s="332"/>
      <c r="DP792" s="332"/>
      <c r="DQ792" s="332"/>
      <c r="DR792" s="332"/>
      <c r="DS792" s="332"/>
      <c r="DT792" s="332"/>
      <c r="DU792" s="453"/>
      <c r="DV792" s="453"/>
      <c r="DW792" s="453"/>
      <c r="DX792" s="453"/>
      <c r="DY792" s="453"/>
      <c r="DZ792" s="453"/>
      <c r="EA792" s="453"/>
      <c r="EB792" s="453"/>
      <c r="EC792" s="453"/>
      <c r="ED792" s="453"/>
      <c r="EE792" s="453"/>
      <c r="EF792" s="453"/>
      <c r="EG792" s="453"/>
      <c r="EH792" s="453"/>
      <c r="EI792" s="453"/>
      <c r="EJ792" s="453"/>
      <c r="EK792" s="453"/>
      <c r="EL792" s="453"/>
      <c r="EM792" s="483">
        <f t="shared" si="233"/>
        <v>483</v>
      </c>
      <c r="EN792" s="485"/>
      <c r="EO792" s="458"/>
      <c r="EP792" s="467"/>
      <c r="EQ792" s="457"/>
      <c r="ER792" s="808"/>
      <c r="ES792" s="881">
        <f t="shared" si="235"/>
        <v>0</v>
      </c>
      <c r="ET792" s="882"/>
      <c r="EU792" s="883"/>
      <c r="EV792" s="884">
        <f t="shared" si="236"/>
        <v>0</v>
      </c>
      <c r="EW792" s="885"/>
      <c r="EX792" s="885"/>
      <c r="EY792" s="885"/>
      <c r="EZ792" s="885"/>
      <c r="FA792" s="885"/>
      <c r="FB792" s="885"/>
      <c r="FC792" s="885"/>
      <c r="FD792" s="886"/>
      <c r="FE792" s="550"/>
      <c r="FF792" s="550"/>
      <c r="FG792" s="550"/>
      <c r="FH792" s="550"/>
      <c r="FI792" s="550"/>
      <c r="FJ792" s="550"/>
      <c r="FK792" s="550"/>
      <c r="FL792" s="555"/>
      <c r="FM792" s="554"/>
      <c r="FN792" s="554"/>
      <c r="FO792" s="554"/>
      <c r="FP792" s="554"/>
      <c r="FQ792" s="554"/>
      <c r="FR792" s="554"/>
      <c r="FS792" s="554"/>
      <c r="FT792" s="554"/>
      <c r="FU792" s="554"/>
      <c r="FV792" s="554"/>
      <c r="FW792" s="554"/>
      <c r="FX792" s="554"/>
      <c r="FY792" s="554"/>
      <c r="FZ792" s="554"/>
      <c r="GA792" s="554"/>
      <c r="GB792" s="556"/>
      <c r="GC792" s="370"/>
      <c r="GD792" s="453"/>
      <c r="GE792" s="453"/>
      <c r="GF792" s="453"/>
      <c r="GG792" s="453"/>
      <c r="GH792" s="454"/>
      <c r="GI792" s="453"/>
      <c r="GJ792" s="453"/>
      <c r="GK792" s="453"/>
      <c r="GL792" s="453"/>
      <c r="GM792" s="453"/>
      <c r="GN792" s="453"/>
      <c r="GO792" s="453"/>
      <c r="GP792" s="453"/>
      <c r="GQ792" s="453"/>
      <c r="GR792" s="453"/>
      <c r="GS792" s="561"/>
      <c r="GT792" s="475"/>
      <c r="GU792" s="472"/>
      <c r="GV792" s="453"/>
      <c r="GW792" s="453"/>
      <c r="GX792" s="869"/>
      <c r="GY792" s="870"/>
      <c r="GZ792" s="867"/>
      <c r="HA792" s="868"/>
      <c r="HB792" s="473"/>
      <c r="HC792" s="869"/>
      <c r="HD792" s="870"/>
      <c r="HE792" s="867"/>
      <c r="HF792" s="868"/>
      <c r="HG792" s="473"/>
      <c r="HH792" s="867"/>
      <c r="HI792" s="868"/>
      <c r="HJ792" s="867"/>
      <c r="HK792" s="868"/>
      <c r="HL792" s="370"/>
      <c r="HM792" s="865"/>
      <c r="HN792" s="866"/>
      <c r="HO792" s="865"/>
      <c r="HP792" s="866"/>
      <c r="HQ792" s="865"/>
      <c r="HR792" s="866"/>
      <c r="HS792" s="867"/>
      <c r="HT792" s="868"/>
      <c r="HU792" s="489"/>
      <c r="HV792" s="865"/>
      <c r="HW792" s="866"/>
    </row>
    <row r="793" spans="25:231" ht="15" customHeight="1">
      <c r="Y793" s="332"/>
      <c r="Z793" s="332"/>
      <c r="AA793" s="332"/>
      <c r="AB793" s="332"/>
      <c r="AC793" s="332"/>
      <c r="AD793" s="332"/>
      <c r="AE793" s="332"/>
      <c r="AF793" s="332"/>
      <c r="AG793" s="332"/>
      <c r="AH793" s="332"/>
      <c r="AI793" s="332"/>
      <c r="AJ793" s="332"/>
      <c r="AK793" s="332"/>
      <c r="AL793" s="332"/>
      <c r="AM793" s="332"/>
      <c r="AN793" s="332"/>
      <c r="AO793" s="332"/>
      <c r="AP793" s="332"/>
      <c r="AQ793" s="332"/>
      <c r="AR793" s="332"/>
      <c r="AS793" s="332"/>
      <c r="AT793" s="332"/>
      <c r="AU793" s="332"/>
      <c r="AV793" s="332"/>
      <c r="AW793" s="332"/>
      <c r="AX793" s="332"/>
      <c r="AY793" s="332"/>
      <c r="AZ793" s="332"/>
      <c r="BA793" s="332"/>
      <c r="BB793" s="332"/>
      <c r="BC793" s="332"/>
      <c r="BD793" s="332"/>
      <c r="BE793" s="332"/>
      <c r="BF793" s="332"/>
      <c r="BG793" s="332"/>
      <c r="BH793" s="332"/>
      <c r="BI793" s="332"/>
      <c r="BJ793" s="332"/>
      <c r="BK793" s="332"/>
      <c r="BL793" s="332"/>
      <c r="BM793" s="332"/>
      <c r="BN793" s="332"/>
      <c r="BO793" s="332"/>
      <c r="BP793" s="332"/>
      <c r="BQ793" s="332"/>
      <c r="BR793" s="332"/>
      <c r="BS793" s="332"/>
      <c r="BT793" s="332"/>
      <c r="BU793" s="332"/>
      <c r="BV793" s="332"/>
      <c r="BW793" s="332"/>
      <c r="BX793" s="332"/>
      <c r="BY793" s="332"/>
      <c r="BZ793" s="332"/>
      <c r="CA793" s="332"/>
      <c r="CB793" s="332"/>
      <c r="CC793" s="332"/>
      <c r="CD793" s="332"/>
      <c r="CE793" s="332"/>
      <c r="CF793" s="332"/>
      <c r="CG793" s="332"/>
      <c r="CH793" s="332"/>
      <c r="CI793" s="332"/>
      <c r="CJ793" s="332"/>
      <c r="CK793" s="332"/>
      <c r="CL793" s="332"/>
      <c r="CM793" s="332"/>
      <c r="CN793" s="332"/>
      <c r="CO793" s="332"/>
      <c r="CP793" s="332"/>
      <c r="CQ793" s="332"/>
      <c r="CR793" s="332"/>
      <c r="CS793" s="332"/>
      <c r="CT793" s="332"/>
      <c r="CU793" s="332"/>
      <c r="CV793" s="332"/>
      <c r="CW793" s="332"/>
      <c r="CX793" s="332"/>
      <c r="CY793" s="332"/>
      <c r="CZ793" s="332"/>
      <c r="DA793" s="332"/>
      <c r="DB793" s="332"/>
      <c r="DC793" s="332"/>
      <c r="DD793" s="332"/>
      <c r="DE793" s="332"/>
      <c r="DF793" s="332"/>
      <c r="DG793" s="332"/>
      <c r="DH793" s="332"/>
      <c r="DI793" s="332"/>
      <c r="DJ793" s="332"/>
      <c r="DK793" s="332"/>
      <c r="DL793" s="332"/>
      <c r="DM793" s="332"/>
      <c r="DN793" s="332"/>
      <c r="DO793" s="332"/>
      <c r="DP793" s="332"/>
      <c r="DQ793" s="332"/>
      <c r="DR793" s="332"/>
      <c r="DS793" s="332"/>
      <c r="DT793" s="332"/>
      <c r="DU793" s="453"/>
      <c r="DV793" s="453"/>
      <c r="DW793" s="453"/>
      <c r="DX793" s="453"/>
      <c r="DY793" s="453"/>
      <c r="DZ793" s="453"/>
      <c r="EA793" s="453"/>
      <c r="EB793" s="453"/>
      <c r="EC793" s="453"/>
      <c r="ED793" s="453"/>
      <c r="EE793" s="453"/>
      <c r="EF793" s="453"/>
      <c r="EG793" s="453"/>
      <c r="EH793" s="453"/>
      <c r="EI793" s="453"/>
      <c r="EJ793" s="453"/>
      <c r="EK793" s="453"/>
      <c r="EL793" s="453"/>
      <c r="EM793" s="483">
        <f t="shared" si="233"/>
        <v>484</v>
      </c>
      <c r="EN793" s="485"/>
      <c r="EO793" s="458"/>
      <c r="EP793" s="467"/>
      <c r="EQ793" s="457"/>
      <c r="ER793" s="808"/>
      <c r="ES793" s="881">
        <f t="shared" si="235"/>
        <v>0</v>
      </c>
      <c r="ET793" s="882"/>
      <c r="EU793" s="883"/>
      <c r="EV793" s="884">
        <f t="shared" si="236"/>
        <v>0</v>
      </c>
      <c r="EW793" s="885"/>
      <c r="EX793" s="885"/>
      <c r="EY793" s="885"/>
      <c r="EZ793" s="885"/>
      <c r="FA793" s="885"/>
      <c r="FB793" s="885"/>
      <c r="FC793" s="885"/>
      <c r="FD793" s="886"/>
      <c r="FE793" s="550"/>
      <c r="FF793" s="550"/>
      <c r="FG793" s="550"/>
      <c r="FH793" s="550"/>
      <c r="FI793" s="550"/>
      <c r="FJ793" s="550"/>
      <c r="FK793" s="550"/>
      <c r="FL793" s="555"/>
      <c r="FM793" s="554"/>
      <c r="FN793" s="554"/>
      <c r="FO793" s="554"/>
      <c r="FP793" s="554"/>
      <c r="FQ793" s="554"/>
      <c r="FR793" s="554"/>
      <c r="FS793" s="554"/>
      <c r="FT793" s="554"/>
      <c r="FU793" s="554"/>
      <c r="FV793" s="554"/>
      <c r="FW793" s="554"/>
      <c r="FX793" s="554"/>
      <c r="FY793" s="554"/>
      <c r="FZ793" s="554"/>
      <c r="GA793" s="554"/>
      <c r="GB793" s="556"/>
      <c r="GC793" s="370"/>
      <c r="GD793" s="453"/>
      <c r="GE793" s="453"/>
      <c r="GF793" s="453"/>
      <c r="GG793" s="453"/>
      <c r="GH793" s="454"/>
      <c r="GI793" s="453"/>
      <c r="GJ793" s="453"/>
      <c r="GK793" s="453"/>
      <c r="GL793" s="453"/>
      <c r="GM793" s="453"/>
      <c r="GN793" s="453"/>
      <c r="GO793" s="453"/>
      <c r="GP793" s="453"/>
      <c r="GQ793" s="453"/>
      <c r="GR793" s="453"/>
      <c r="GS793" s="561"/>
      <c r="GT793" s="475"/>
      <c r="GU793" s="472"/>
      <c r="GV793" s="453"/>
      <c r="GW793" s="453"/>
      <c r="GX793" s="869"/>
      <c r="GY793" s="870"/>
      <c r="GZ793" s="867"/>
      <c r="HA793" s="868"/>
      <c r="HB793" s="473"/>
      <c r="HC793" s="869"/>
      <c r="HD793" s="870"/>
      <c r="HE793" s="867"/>
      <c r="HF793" s="868"/>
      <c r="HG793" s="473"/>
      <c r="HH793" s="867"/>
      <c r="HI793" s="868"/>
      <c r="HJ793" s="867"/>
      <c r="HK793" s="868"/>
      <c r="HL793" s="370"/>
      <c r="HM793" s="865"/>
      <c r="HN793" s="866"/>
      <c r="HO793" s="865"/>
      <c r="HP793" s="866"/>
      <c r="HQ793" s="865"/>
      <c r="HR793" s="866"/>
      <c r="HS793" s="867"/>
      <c r="HT793" s="868"/>
      <c r="HU793" s="489"/>
      <c r="HV793" s="865"/>
      <c r="HW793" s="866"/>
    </row>
    <row r="794" spans="25:231" ht="15" customHeight="1">
      <c r="Y794" s="332"/>
      <c r="Z794" s="332"/>
      <c r="AA794" s="332"/>
      <c r="AB794" s="332"/>
      <c r="AC794" s="332"/>
      <c r="AD794" s="332"/>
      <c r="AE794" s="332"/>
      <c r="AF794" s="332"/>
      <c r="AG794" s="332"/>
      <c r="AH794" s="332"/>
      <c r="AI794" s="332"/>
      <c r="AJ794" s="332"/>
      <c r="AK794" s="332"/>
      <c r="AL794" s="332"/>
      <c r="AM794" s="332"/>
      <c r="AN794" s="332"/>
      <c r="AO794" s="332"/>
      <c r="AP794" s="332"/>
      <c r="AQ794" s="332"/>
      <c r="AR794" s="332"/>
      <c r="AS794" s="332"/>
      <c r="AT794" s="332"/>
      <c r="AU794" s="332"/>
      <c r="AV794" s="332"/>
      <c r="AW794" s="332"/>
      <c r="AX794" s="332"/>
      <c r="AY794" s="332"/>
      <c r="AZ794" s="332"/>
      <c r="BA794" s="332"/>
      <c r="BB794" s="332"/>
      <c r="BC794" s="332"/>
      <c r="BD794" s="332"/>
      <c r="BE794" s="332"/>
      <c r="BF794" s="332"/>
      <c r="BG794" s="332"/>
      <c r="BH794" s="332"/>
      <c r="BI794" s="332"/>
      <c r="BJ794" s="332"/>
      <c r="BK794" s="332"/>
      <c r="BL794" s="332"/>
      <c r="BM794" s="332"/>
      <c r="BN794" s="332"/>
      <c r="BO794" s="332"/>
      <c r="BP794" s="332"/>
      <c r="BQ794" s="332"/>
      <c r="BR794" s="332"/>
      <c r="BS794" s="332"/>
      <c r="BT794" s="332"/>
      <c r="BU794" s="332"/>
      <c r="BV794" s="332"/>
      <c r="BW794" s="332"/>
      <c r="BX794" s="332"/>
      <c r="BY794" s="332"/>
      <c r="BZ794" s="332"/>
      <c r="CA794" s="332"/>
      <c r="CB794" s="332"/>
      <c r="CC794" s="332"/>
      <c r="CD794" s="332"/>
      <c r="CE794" s="332"/>
      <c r="CF794" s="332"/>
      <c r="CG794" s="332"/>
      <c r="CH794" s="332"/>
      <c r="CI794" s="332"/>
      <c r="CJ794" s="332"/>
      <c r="CK794" s="332"/>
      <c r="CL794" s="332"/>
      <c r="CM794" s="332"/>
      <c r="CN794" s="332"/>
      <c r="CO794" s="332"/>
      <c r="CP794" s="332"/>
      <c r="CQ794" s="332"/>
      <c r="CR794" s="332"/>
      <c r="CS794" s="332"/>
      <c r="CT794" s="332"/>
      <c r="CU794" s="332"/>
      <c r="CV794" s="332"/>
      <c r="CW794" s="332"/>
      <c r="CX794" s="332"/>
      <c r="CY794" s="332"/>
      <c r="CZ794" s="332"/>
      <c r="DA794" s="332"/>
      <c r="DB794" s="332"/>
      <c r="DC794" s="332"/>
      <c r="DD794" s="332"/>
      <c r="DE794" s="332"/>
      <c r="DF794" s="332"/>
      <c r="DG794" s="332"/>
      <c r="DH794" s="332"/>
      <c r="DI794" s="332"/>
      <c r="DJ794" s="332"/>
      <c r="DK794" s="332"/>
      <c r="DL794" s="332"/>
      <c r="DM794" s="332"/>
      <c r="DN794" s="332"/>
      <c r="DO794" s="332"/>
      <c r="DP794" s="332"/>
      <c r="DQ794" s="332"/>
      <c r="DR794" s="332"/>
      <c r="DS794" s="332"/>
      <c r="DT794" s="332"/>
      <c r="DU794" s="453"/>
      <c r="DV794" s="453"/>
      <c r="DW794" s="453"/>
      <c r="DX794" s="453"/>
      <c r="DY794" s="453"/>
      <c r="DZ794" s="453"/>
      <c r="EA794" s="453"/>
      <c r="EB794" s="453"/>
      <c r="EC794" s="453"/>
      <c r="ED794" s="453"/>
      <c r="EE794" s="453"/>
      <c r="EF794" s="453"/>
      <c r="EG794" s="453"/>
      <c r="EH794" s="453"/>
      <c r="EI794" s="453"/>
      <c r="EJ794" s="453"/>
      <c r="EK794" s="453"/>
      <c r="EL794" s="453"/>
      <c r="EM794" s="483">
        <f t="shared" si="233"/>
        <v>485</v>
      </c>
      <c r="EN794" s="485"/>
      <c r="EO794" s="458"/>
      <c r="EP794" s="467"/>
      <c r="EQ794" s="457"/>
      <c r="ER794" s="808"/>
      <c r="ES794" s="881">
        <f t="shared" si="235"/>
        <v>0</v>
      </c>
      <c r="ET794" s="882"/>
      <c r="EU794" s="883"/>
      <c r="EV794" s="884">
        <f t="shared" si="236"/>
        <v>0</v>
      </c>
      <c r="EW794" s="885"/>
      <c r="EX794" s="885"/>
      <c r="EY794" s="885"/>
      <c r="EZ794" s="885"/>
      <c r="FA794" s="885"/>
      <c r="FB794" s="885"/>
      <c r="FC794" s="885"/>
      <c r="FD794" s="886"/>
      <c r="FE794" s="550"/>
      <c r="FF794" s="550"/>
      <c r="FG794" s="550"/>
      <c r="FH794" s="550"/>
      <c r="FI794" s="550"/>
      <c r="FJ794" s="550"/>
      <c r="FK794" s="550"/>
      <c r="FL794" s="555"/>
      <c r="FM794" s="554"/>
      <c r="FN794" s="554"/>
      <c r="FO794" s="554"/>
      <c r="FP794" s="554"/>
      <c r="FQ794" s="554"/>
      <c r="FR794" s="554"/>
      <c r="FS794" s="554"/>
      <c r="FT794" s="554"/>
      <c r="FU794" s="554"/>
      <c r="FV794" s="554"/>
      <c r="FW794" s="554"/>
      <c r="FX794" s="554"/>
      <c r="FY794" s="554"/>
      <c r="FZ794" s="554"/>
      <c r="GA794" s="554"/>
      <c r="GB794" s="556"/>
      <c r="GC794" s="370"/>
      <c r="GD794" s="453"/>
      <c r="GE794" s="453"/>
      <c r="GF794" s="453"/>
      <c r="GG794" s="453"/>
      <c r="GH794" s="454"/>
      <c r="GI794" s="453"/>
      <c r="GJ794" s="453"/>
      <c r="GK794" s="453"/>
      <c r="GL794" s="453"/>
      <c r="GM794" s="453"/>
      <c r="GN794" s="453"/>
      <c r="GO794" s="453"/>
      <c r="GP794" s="453"/>
      <c r="GQ794" s="453"/>
      <c r="GR794" s="453"/>
      <c r="GS794" s="561"/>
      <c r="GT794" s="475"/>
      <c r="GU794" s="472"/>
      <c r="GV794" s="453"/>
      <c r="GW794" s="453"/>
      <c r="GX794" s="869"/>
      <c r="GY794" s="870"/>
      <c r="GZ794" s="867"/>
      <c r="HA794" s="868"/>
      <c r="HB794" s="473"/>
      <c r="HC794" s="869"/>
      <c r="HD794" s="870"/>
      <c r="HE794" s="867"/>
      <c r="HF794" s="868"/>
      <c r="HG794" s="473"/>
      <c r="HH794" s="867"/>
      <c r="HI794" s="868"/>
      <c r="HJ794" s="867"/>
      <c r="HK794" s="868"/>
      <c r="HL794" s="370"/>
      <c r="HM794" s="865"/>
      <c r="HN794" s="866"/>
      <c r="HO794" s="865"/>
      <c r="HP794" s="866"/>
      <c r="HQ794" s="865"/>
      <c r="HR794" s="866"/>
      <c r="HS794" s="867"/>
      <c r="HT794" s="868"/>
      <c r="HU794" s="489"/>
      <c r="HV794" s="865"/>
      <c r="HW794" s="866"/>
    </row>
    <row r="795" spans="25:231" ht="15" customHeight="1">
      <c r="Y795" s="332"/>
      <c r="Z795" s="332"/>
      <c r="AA795" s="332"/>
      <c r="AB795" s="332"/>
      <c r="AC795" s="332"/>
      <c r="AD795" s="332"/>
      <c r="AE795" s="332"/>
      <c r="AF795" s="332"/>
      <c r="AG795" s="332"/>
      <c r="AH795" s="332"/>
      <c r="AI795" s="332"/>
      <c r="AJ795" s="332"/>
      <c r="AK795" s="332"/>
      <c r="AL795" s="332"/>
      <c r="AM795" s="332"/>
      <c r="AN795" s="332"/>
      <c r="AO795" s="332"/>
      <c r="AP795" s="332"/>
      <c r="AQ795" s="332"/>
      <c r="AR795" s="332"/>
      <c r="AS795" s="332"/>
      <c r="AT795" s="332"/>
      <c r="AU795" s="332"/>
      <c r="AV795" s="332"/>
      <c r="AW795" s="332"/>
      <c r="AX795" s="332"/>
      <c r="AY795" s="332"/>
      <c r="AZ795" s="332"/>
      <c r="BA795" s="332"/>
      <c r="BB795" s="332"/>
      <c r="BC795" s="332"/>
      <c r="BD795" s="332"/>
      <c r="BE795" s="332"/>
      <c r="BF795" s="332"/>
      <c r="BG795" s="332"/>
      <c r="BH795" s="332"/>
      <c r="BI795" s="332"/>
      <c r="BJ795" s="332"/>
      <c r="BK795" s="332"/>
      <c r="BL795" s="332"/>
      <c r="BM795" s="332"/>
      <c r="BN795" s="332"/>
      <c r="BO795" s="332"/>
      <c r="BP795" s="332"/>
      <c r="BQ795" s="332"/>
      <c r="BR795" s="332"/>
      <c r="BS795" s="332"/>
      <c r="BT795" s="332"/>
      <c r="BU795" s="332"/>
      <c r="BV795" s="332"/>
      <c r="BW795" s="332"/>
      <c r="BX795" s="332"/>
      <c r="BY795" s="332"/>
      <c r="BZ795" s="332"/>
      <c r="CA795" s="332"/>
      <c r="CB795" s="332"/>
      <c r="CC795" s="332"/>
      <c r="CD795" s="332"/>
      <c r="CE795" s="332"/>
      <c r="CF795" s="332"/>
      <c r="CG795" s="332"/>
      <c r="CH795" s="332"/>
      <c r="CI795" s="332"/>
      <c r="CJ795" s="332"/>
      <c r="CK795" s="332"/>
      <c r="CL795" s="332"/>
      <c r="CM795" s="332"/>
      <c r="CN795" s="332"/>
      <c r="CO795" s="332"/>
      <c r="CP795" s="332"/>
      <c r="CQ795" s="332"/>
      <c r="CR795" s="332"/>
      <c r="CS795" s="332"/>
      <c r="CT795" s="332"/>
      <c r="CU795" s="332"/>
      <c r="CV795" s="332"/>
      <c r="CW795" s="332"/>
      <c r="CX795" s="332"/>
      <c r="CY795" s="332"/>
      <c r="CZ795" s="332"/>
      <c r="DA795" s="332"/>
      <c r="DB795" s="332"/>
      <c r="DC795" s="332"/>
      <c r="DD795" s="332"/>
      <c r="DE795" s="332"/>
      <c r="DF795" s="332"/>
      <c r="DG795" s="332"/>
      <c r="DH795" s="332"/>
      <c r="DI795" s="332"/>
      <c r="DJ795" s="332"/>
      <c r="DK795" s="332"/>
      <c r="DL795" s="332"/>
      <c r="DM795" s="332"/>
      <c r="DN795" s="332"/>
      <c r="DO795" s="332"/>
      <c r="DP795" s="332"/>
      <c r="DQ795" s="332"/>
      <c r="DR795" s="332"/>
      <c r="DS795" s="332"/>
      <c r="DT795" s="332"/>
      <c r="DU795" s="453"/>
      <c r="DV795" s="453"/>
      <c r="DW795" s="453"/>
      <c r="DX795" s="453"/>
      <c r="DY795" s="453"/>
      <c r="DZ795" s="453"/>
      <c r="EA795" s="453"/>
      <c r="EB795" s="453"/>
      <c r="EC795" s="453"/>
      <c r="ED795" s="453"/>
      <c r="EE795" s="453"/>
      <c r="EF795" s="453"/>
      <c r="EG795" s="453"/>
      <c r="EH795" s="453"/>
      <c r="EI795" s="453"/>
      <c r="EJ795" s="453"/>
      <c r="EK795" s="453"/>
      <c r="EL795" s="453"/>
      <c r="EM795" s="483">
        <f t="shared" si="233"/>
        <v>486</v>
      </c>
      <c r="EN795" s="485"/>
      <c r="EO795" s="458"/>
      <c r="EP795" s="467"/>
      <c r="EQ795" s="457"/>
      <c r="ER795" s="808"/>
      <c r="ES795" s="881">
        <f t="shared" si="235"/>
        <v>0</v>
      </c>
      <c r="ET795" s="882"/>
      <c r="EU795" s="883"/>
      <c r="EV795" s="884">
        <f t="shared" si="236"/>
        <v>0</v>
      </c>
      <c r="EW795" s="885"/>
      <c r="EX795" s="885"/>
      <c r="EY795" s="885"/>
      <c r="EZ795" s="885"/>
      <c r="FA795" s="885"/>
      <c r="FB795" s="885"/>
      <c r="FC795" s="885"/>
      <c r="FD795" s="886"/>
      <c r="FE795" s="550"/>
      <c r="FF795" s="550"/>
      <c r="FG795" s="550"/>
      <c r="FH795" s="550"/>
      <c r="FI795" s="550"/>
      <c r="FJ795" s="550"/>
      <c r="FK795" s="550"/>
      <c r="FL795" s="555"/>
      <c r="FM795" s="554"/>
      <c r="FN795" s="554"/>
      <c r="FO795" s="554"/>
      <c r="FP795" s="554"/>
      <c r="FQ795" s="554"/>
      <c r="FR795" s="554"/>
      <c r="FS795" s="554"/>
      <c r="FT795" s="554"/>
      <c r="FU795" s="554"/>
      <c r="FV795" s="554"/>
      <c r="FW795" s="554"/>
      <c r="FX795" s="554"/>
      <c r="FY795" s="554"/>
      <c r="FZ795" s="554"/>
      <c r="GA795" s="554"/>
      <c r="GB795" s="556"/>
      <c r="GC795" s="370"/>
      <c r="GD795" s="453"/>
      <c r="GE795" s="453"/>
      <c r="GF795" s="453"/>
      <c r="GG795" s="453"/>
      <c r="GH795" s="454"/>
      <c r="GI795" s="453"/>
      <c r="GJ795" s="453"/>
      <c r="GK795" s="453"/>
      <c r="GL795" s="453"/>
      <c r="GM795" s="453"/>
      <c r="GN795" s="453"/>
      <c r="GO795" s="453"/>
      <c r="GP795" s="453"/>
      <c r="GQ795" s="453"/>
      <c r="GR795" s="453"/>
      <c r="GS795" s="561"/>
      <c r="GT795" s="475"/>
      <c r="GU795" s="472"/>
      <c r="GV795" s="453"/>
      <c r="GW795" s="453"/>
      <c r="GX795" s="869"/>
      <c r="GY795" s="870"/>
      <c r="GZ795" s="867"/>
      <c r="HA795" s="868"/>
      <c r="HB795" s="473"/>
      <c r="HC795" s="869"/>
      <c r="HD795" s="870"/>
      <c r="HE795" s="867"/>
      <c r="HF795" s="868"/>
      <c r="HG795" s="473"/>
      <c r="HH795" s="867"/>
      <c r="HI795" s="868"/>
      <c r="HJ795" s="867"/>
      <c r="HK795" s="868"/>
      <c r="HL795" s="370"/>
      <c r="HM795" s="865"/>
      <c r="HN795" s="866"/>
      <c r="HO795" s="865"/>
      <c r="HP795" s="866"/>
      <c r="HQ795" s="865"/>
      <c r="HR795" s="866"/>
      <c r="HS795" s="867"/>
      <c r="HT795" s="868"/>
      <c r="HU795" s="489"/>
      <c r="HV795" s="865"/>
      <c r="HW795" s="866"/>
    </row>
    <row r="796" spans="25:231" ht="15" customHeight="1">
      <c r="Y796" s="332"/>
      <c r="Z796" s="332"/>
      <c r="AA796" s="332"/>
      <c r="AB796" s="332"/>
      <c r="AC796" s="332"/>
      <c r="AD796" s="332"/>
      <c r="AE796" s="332"/>
      <c r="AF796" s="332"/>
      <c r="AG796" s="332"/>
      <c r="AH796" s="332"/>
      <c r="AI796" s="332"/>
      <c r="AJ796" s="332"/>
      <c r="AK796" s="332"/>
      <c r="AL796" s="332"/>
      <c r="AM796" s="332"/>
      <c r="AN796" s="332"/>
      <c r="AO796" s="332"/>
      <c r="AP796" s="332"/>
      <c r="AQ796" s="332"/>
      <c r="AR796" s="332"/>
      <c r="AS796" s="332"/>
      <c r="AT796" s="332"/>
      <c r="AU796" s="332"/>
      <c r="AV796" s="332"/>
      <c r="AW796" s="332"/>
      <c r="AX796" s="332"/>
      <c r="AY796" s="332"/>
      <c r="AZ796" s="332"/>
      <c r="BA796" s="332"/>
      <c r="BB796" s="332"/>
      <c r="BC796" s="332"/>
      <c r="BD796" s="332"/>
      <c r="BE796" s="332"/>
      <c r="BF796" s="332"/>
      <c r="BG796" s="332"/>
      <c r="BH796" s="332"/>
      <c r="BI796" s="332"/>
      <c r="BJ796" s="332"/>
      <c r="BK796" s="332"/>
      <c r="BL796" s="332"/>
      <c r="BM796" s="332"/>
      <c r="BN796" s="332"/>
      <c r="BO796" s="332"/>
      <c r="BP796" s="332"/>
      <c r="BQ796" s="332"/>
      <c r="BR796" s="332"/>
      <c r="BS796" s="332"/>
      <c r="BT796" s="332"/>
      <c r="BU796" s="332"/>
      <c r="BV796" s="332"/>
      <c r="BW796" s="332"/>
      <c r="BX796" s="332"/>
      <c r="BY796" s="332"/>
      <c r="BZ796" s="332"/>
      <c r="CA796" s="332"/>
      <c r="CB796" s="332"/>
      <c r="CC796" s="332"/>
      <c r="CD796" s="332"/>
      <c r="CE796" s="332"/>
      <c r="CF796" s="332"/>
      <c r="CG796" s="332"/>
      <c r="CH796" s="332"/>
      <c r="CI796" s="332"/>
      <c r="CJ796" s="332"/>
      <c r="CK796" s="332"/>
      <c r="CL796" s="332"/>
      <c r="CM796" s="332"/>
      <c r="CN796" s="332"/>
      <c r="CO796" s="332"/>
      <c r="CP796" s="332"/>
      <c r="CQ796" s="332"/>
      <c r="CR796" s="332"/>
      <c r="CS796" s="332"/>
      <c r="CT796" s="332"/>
      <c r="CU796" s="332"/>
      <c r="CV796" s="332"/>
      <c r="CW796" s="332"/>
      <c r="CX796" s="332"/>
      <c r="CY796" s="332"/>
      <c r="CZ796" s="332"/>
      <c r="DA796" s="332"/>
      <c r="DB796" s="332"/>
      <c r="DC796" s="332"/>
      <c r="DD796" s="332"/>
      <c r="DE796" s="332"/>
      <c r="DF796" s="332"/>
      <c r="DG796" s="332"/>
      <c r="DH796" s="332"/>
      <c r="DI796" s="332"/>
      <c r="DJ796" s="332"/>
      <c r="DK796" s="332"/>
      <c r="DL796" s="332"/>
      <c r="DM796" s="332"/>
      <c r="DN796" s="332"/>
      <c r="DO796" s="332"/>
      <c r="DP796" s="332"/>
      <c r="DQ796" s="332"/>
      <c r="DR796" s="332"/>
      <c r="DS796" s="332"/>
      <c r="DT796" s="332"/>
      <c r="DU796" s="453"/>
      <c r="DV796" s="453"/>
      <c r="DW796" s="453"/>
      <c r="DX796" s="453"/>
      <c r="DY796" s="453"/>
      <c r="DZ796" s="453"/>
      <c r="EA796" s="453"/>
      <c r="EB796" s="453"/>
      <c r="EC796" s="453"/>
      <c r="ED796" s="453"/>
      <c r="EE796" s="453"/>
      <c r="EF796" s="453"/>
      <c r="EG796" s="453"/>
      <c r="EH796" s="453"/>
      <c r="EI796" s="453"/>
      <c r="EJ796" s="453"/>
      <c r="EK796" s="453"/>
      <c r="EL796" s="453"/>
      <c r="EM796" s="483">
        <f t="shared" si="233"/>
        <v>487</v>
      </c>
      <c r="EN796" s="485"/>
      <c r="EO796" s="458"/>
      <c r="EP796" s="467"/>
      <c r="EQ796" s="457"/>
      <c r="ER796" s="808"/>
      <c r="ES796" s="881">
        <f t="shared" si="235"/>
        <v>0</v>
      </c>
      <c r="ET796" s="882"/>
      <c r="EU796" s="883"/>
      <c r="EV796" s="884">
        <f t="shared" si="236"/>
        <v>0</v>
      </c>
      <c r="EW796" s="885"/>
      <c r="EX796" s="885"/>
      <c r="EY796" s="885"/>
      <c r="EZ796" s="885"/>
      <c r="FA796" s="885"/>
      <c r="FB796" s="885"/>
      <c r="FC796" s="885"/>
      <c r="FD796" s="886"/>
      <c r="FE796" s="550"/>
      <c r="FF796" s="550"/>
      <c r="FG796" s="550"/>
      <c r="FH796" s="550"/>
      <c r="FI796" s="550"/>
      <c r="FJ796" s="550"/>
      <c r="FK796" s="550"/>
      <c r="FL796" s="555"/>
      <c r="FM796" s="554"/>
      <c r="FN796" s="554"/>
      <c r="FO796" s="554"/>
      <c r="FP796" s="554"/>
      <c r="FQ796" s="554"/>
      <c r="FR796" s="554"/>
      <c r="FS796" s="554"/>
      <c r="FT796" s="554"/>
      <c r="FU796" s="554"/>
      <c r="FV796" s="554"/>
      <c r="FW796" s="554"/>
      <c r="FX796" s="554"/>
      <c r="FY796" s="554"/>
      <c r="FZ796" s="554"/>
      <c r="GA796" s="554"/>
      <c r="GB796" s="556"/>
      <c r="GC796" s="370"/>
      <c r="GD796" s="453"/>
      <c r="GE796" s="453"/>
      <c r="GF796" s="453"/>
      <c r="GG796" s="453"/>
      <c r="GH796" s="454"/>
      <c r="GI796" s="453"/>
      <c r="GJ796" s="453"/>
      <c r="GK796" s="453"/>
      <c r="GL796" s="453"/>
      <c r="GM796" s="453"/>
      <c r="GN796" s="453"/>
      <c r="GO796" s="453"/>
      <c r="GP796" s="453"/>
      <c r="GQ796" s="453"/>
      <c r="GR796" s="453"/>
      <c r="GS796" s="561"/>
      <c r="GT796" s="475"/>
      <c r="GU796" s="472"/>
      <c r="GV796" s="453"/>
      <c r="GW796" s="453"/>
      <c r="GX796" s="869"/>
      <c r="GY796" s="870"/>
      <c r="GZ796" s="867"/>
      <c r="HA796" s="868"/>
      <c r="HB796" s="473"/>
      <c r="HC796" s="869"/>
      <c r="HD796" s="870"/>
      <c r="HE796" s="867"/>
      <c r="HF796" s="868"/>
      <c r="HG796" s="473"/>
      <c r="HH796" s="867"/>
      <c r="HI796" s="868"/>
      <c r="HJ796" s="867"/>
      <c r="HK796" s="868"/>
      <c r="HL796" s="370"/>
      <c r="HM796" s="865"/>
      <c r="HN796" s="866"/>
      <c r="HO796" s="865"/>
      <c r="HP796" s="866"/>
      <c r="HQ796" s="865"/>
      <c r="HR796" s="866"/>
      <c r="HS796" s="867"/>
      <c r="HT796" s="868"/>
      <c r="HU796" s="489"/>
      <c r="HV796" s="865"/>
      <c r="HW796" s="866"/>
    </row>
    <row r="797" spans="25:231" ht="15" customHeight="1">
      <c r="Y797" s="332"/>
      <c r="Z797" s="332"/>
      <c r="AA797" s="332"/>
      <c r="AB797" s="332"/>
      <c r="AC797" s="332"/>
      <c r="AD797" s="332"/>
      <c r="AE797" s="332"/>
      <c r="AF797" s="332"/>
      <c r="AG797" s="332"/>
      <c r="AH797" s="332"/>
      <c r="AI797" s="332"/>
      <c r="AJ797" s="332"/>
      <c r="AK797" s="332"/>
      <c r="AL797" s="332"/>
      <c r="AM797" s="332"/>
      <c r="AN797" s="332"/>
      <c r="AO797" s="332"/>
      <c r="AP797" s="332"/>
      <c r="AQ797" s="332"/>
      <c r="AR797" s="332"/>
      <c r="AS797" s="332"/>
      <c r="AT797" s="332"/>
      <c r="AU797" s="332"/>
      <c r="AV797" s="332"/>
      <c r="AW797" s="332"/>
      <c r="AX797" s="332"/>
      <c r="AY797" s="332"/>
      <c r="AZ797" s="332"/>
      <c r="BA797" s="332"/>
      <c r="BB797" s="332"/>
      <c r="BC797" s="332"/>
      <c r="BD797" s="332"/>
      <c r="BE797" s="332"/>
      <c r="BF797" s="332"/>
      <c r="BG797" s="332"/>
      <c r="BH797" s="332"/>
      <c r="BI797" s="332"/>
      <c r="BJ797" s="332"/>
      <c r="BK797" s="332"/>
      <c r="BL797" s="332"/>
      <c r="BM797" s="332"/>
      <c r="BN797" s="332"/>
      <c r="BO797" s="332"/>
      <c r="BP797" s="332"/>
      <c r="BQ797" s="332"/>
      <c r="BR797" s="332"/>
      <c r="BS797" s="332"/>
      <c r="BT797" s="332"/>
      <c r="BU797" s="332"/>
      <c r="BV797" s="332"/>
      <c r="BW797" s="332"/>
      <c r="BX797" s="332"/>
      <c r="BY797" s="332"/>
      <c r="BZ797" s="332"/>
      <c r="CA797" s="332"/>
      <c r="CB797" s="332"/>
      <c r="CC797" s="332"/>
      <c r="CD797" s="332"/>
      <c r="CE797" s="332"/>
      <c r="CF797" s="332"/>
      <c r="CG797" s="332"/>
      <c r="CH797" s="332"/>
      <c r="CI797" s="332"/>
      <c r="CJ797" s="332"/>
      <c r="CK797" s="332"/>
      <c r="CL797" s="332"/>
      <c r="CM797" s="332"/>
      <c r="CN797" s="332"/>
      <c r="CO797" s="332"/>
      <c r="CP797" s="332"/>
      <c r="CQ797" s="332"/>
      <c r="CR797" s="332"/>
      <c r="CS797" s="332"/>
      <c r="CT797" s="332"/>
      <c r="CU797" s="332"/>
      <c r="CV797" s="332"/>
      <c r="CW797" s="332"/>
      <c r="CX797" s="332"/>
      <c r="CY797" s="332"/>
      <c r="CZ797" s="332"/>
      <c r="DA797" s="332"/>
      <c r="DB797" s="332"/>
      <c r="DC797" s="332"/>
      <c r="DD797" s="332"/>
      <c r="DE797" s="332"/>
      <c r="DF797" s="332"/>
      <c r="DG797" s="332"/>
      <c r="DH797" s="332"/>
      <c r="DI797" s="332"/>
      <c r="DJ797" s="332"/>
      <c r="DK797" s="332"/>
      <c r="DL797" s="332"/>
      <c r="DM797" s="332"/>
      <c r="DN797" s="332"/>
      <c r="DO797" s="332"/>
      <c r="DP797" s="332"/>
      <c r="DQ797" s="332"/>
      <c r="DR797" s="332"/>
      <c r="DS797" s="332"/>
      <c r="DT797" s="332"/>
      <c r="DU797" s="453"/>
      <c r="DV797" s="453"/>
      <c r="DW797" s="453"/>
      <c r="DX797" s="453"/>
      <c r="DY797" s="453"/>
      <c r="DZ797" s="453"/>
      <c r="EA797" s="453"/>
      <c r="EB797" s="453"/>
      <c r="EC797" s="453"/>
      <c r="ED797" s="453"/>
      <c r="EE797" s="453"/>
      <c r="EF797" s="453"/>
      <c r="EG797" s="453"/>
      <c r="EH797" s="453"/>
      <c r="EI797" s="453"/>
      <c r="EJ797" s="453"/>
      <c r="EK797" s="453"/>
      <c r="EL797" s="453"/>
      <c r="EM797" s="483">
        <f t="shared" si="233"/>
        <v>488</v>
      </c>
      <c r="EN797" s="485"/>
      <c r="EO797" s="458"/>
      <c r="EP797" s="467"/>
      <c r="EQ797" s="457"/>
      <c r="ER797" s="808"/>
      <c r="ES797" s="881">
        <f t="shared" si="235"/>
        <v>0</v>
      </c>
      <c r="ET797" s="882"/>
      <c r="EU797" s="883"/>
      <c r="EV797" s="884">
        <f t="shared" si="236"/>
        <v>0</v>
      </c>
      <c r="EW797" s="885"/>
      <c r="EX797" s="885"/>
      <c r="EY797" s="885"/>
      <c r="EZ797" s="885"/>
      <c r="FA797" s="885"/>
      <c r="FB797" s="885"/>
      <c r="FC797" s="885"/>
      <c r="FD797" s="886"/>
      <c r="FE797" s="550"/>
      <c r="FF797" s="550"/>
      <c r="FG797" s="550"/>
      <c r="FH797" s="550"/>
      <c r="FI797" s="550"/>
      <c r="FJ797" s="550"/>
      <c r="FK797" s="550"/>
      <c r="FL797" s="555"/>
      <c r="FM797" s="554"/>
      <c r="FN797" s="554"/>
      <c r="FO797" s="554"/>
      <c r="FP797" s="554"/>
      <c r="FQ797" s="554"/>
      <c r="FR797" s="554"/>
      <c r="FS797" s="554"/>
      <c r="FT797" s="554"/>
      <c r="FU797" s="554"/>
      <c r="FV797" s="554"/>
      <c r="FW797" s="554"/>
      <c r="FX797" s="554"/>
      <c r="FY797" s="554"/>
      <c r="FZ797" s="554"/>
      <c r="GA797" s="554"/>
      <c r="GB797" s="556"/>
      <c r="GC797" s="370"/>
      <c r="GD797" s="453"/>
      <c r="GE797" s="453"/>
      <c r="GF797" s="453"/>
      <c r="GG797" s="453"/>
      <c r="GH797" s="454"/>
      <c r="GI797" s="453"/>
      <c r="GJ797" s="453"/>
      <c r="GK797" s="453"/>
      <c r="GL797" s="453"/>
      <c r="GM797" s="453"/>
      <c r="GN797" s="453"/>
      <c r="GO797" s="453"/>
      <c r="GP797" s="453"/>
      <c r="GQ797" s="453"/>
      <c r="GR797" s="453"/>
      <c r="GS797" s="561"/>
      <c r="GT797" s="475"/>
      <c r="GU797" s="472"/>
      <c r="GV797" s="453"/>
      <c r="GW797" s="453"/>
      <c r="GX797" s="869"/>
      <c r="GY797" s="870"/>
      <c r="GZ797" s="867"/>
      <c r="HA797" s="868"/>
      <c r="HB797" s="473"/>
      <c r="HC797" s="869"/>
      <c r="HD797" s="870"/>
      <c r="HE797" s="867"/>
      <c r="HF797" s="868"/>
      <c r="HG797" s="473"/>
      <c r="HH797" s="867"/>
      <c r="HI797" s="868"/>
      <c r="HJ797" s="867"/>
      <c r="HK797" s="868"/>
      <c r="HL797" s="370"/>
      <c r="HM797" s="865"/>
      <c r="HN797" s="866"/>
      <c r="HO797" s="865"/>
      <c r="HP797" s="866"/>
      <c r="HQ797" s="865"/>
      <c r="HR797" s="866"/>
      <c r="HS797" s="867"/>
      <c r="HT797" s="868"/>
      <c r="HU797" s="489"/>
      <c r="HV797" s="865"/>
      <c r="HW797" s="866"/>
    </row>
    <row r="798" spans="25:231" ht="15" customHeight="1">
      <c r="Y798" s="332"/>
      <c r="Z798" s="332"/>
      <c r="AA798" s="332"/>
      <c r="AB798" s="332"/>
      <c r="AC798" s="332"/>
      <c r="AD798" s="332"/>
      <c r="AE798" s="332"/>
      <c r="AF798" s="332"/>
      <c r="AG798" s="332"/>
      <c r="AH798" s="332"/>
      <c r="AI798" s="332"/>
      <c r="AJ798" s="332"/>
      <c r="AK798" s="332"/>
      <c r="AL798" s="332"/>
      <c r="AM798" s="332"/>
      <c r="AN798" s="332"/>
      <c r="AO798" s="332"/>
      <c r="AP798" s="332"/>
      <c r="AQ798" s="332"/>
      <c r="AR798" s="332"/>
      <c r="AS798" s="332"/>
      <c r="AT798" s="332"/>
      <c r="AU798" s="332"/>
      <c r="AV798" s="332"/>
      <c r="AW798" s="332"/>
      <c r="AX798" s="332"/>
      <c r="AY798" s="332"/>
      <c r="AZ798" s="332"/>
      <c r="BA798" s="332"/>
      <c r="BB798" s="332"/>
      <c r="BC798" s="332"/>
      <c r="BD798" s="332"/>
      <c r="BE798" s="332"/>
      <c r="BF798" s="332"/>
      <c r="BG798" s="332"/>
      <c r="BH798" s="332"/>
      <c r="BI798" s="332"/>
      <c r="BJ798" s="332"/>
      <c r="BK798" s="332"/>
      <c r="BL798" s="332"/>
      <c r="BM798" s="332"/>
      <c r="BN798" s="332"/>
      <c r="BO798" s="332"/>
      <c r="BP798" s="332"/>
      <c r="BQ798" s="332"/>
      <c r="BR798" s="332"/>
      <c r="BS798" s="332"/>
      <c r="BT798" s="332"/>
      <c r="BU798" s="332"/>
      <c r="BV798" s="332"/>
      <c r="BW798" s="332"/>
      <c r="BX798" s="332"/>
      <c r="BY798" s="332"/>
      <c r="BZ798" s="332"/>
      <c r="CA798" s="332"/>
      <c r="CB798" s="332"/>
      <c r="CC798" s="332"/>
      <c r="CD798" s="332"/>
      <c r="CE798" s="332"/>
      <c r="CF798" s="332"/>
      <c r="CG798" s="332"/>
      <c r="CH798" s="332"/>
      <c r="CI798" s="332"/>
      <c r="CJ798" s="332"/>
      <c r="CK798" s="332"/>
      <c r="CL798" s="332"/>
      <c r="CM798" s="332"/>
      <c r="CN798" s="332"/>
      <c r="CO798" s="332"/>
      <c r="CP798" s="332"/>
      <c r="CQ798" s="332"/>
      <c r="CR798" s="332"/>
      <c r="CS798" s="332"/>
      <c r="CT798" s="332"/>
      <c r="CU798" s="332"/>
      <c r="CV798" s="332"/>
      <c r="CW798" s="332"/>
      <c r="CX798" s="332"/>
      <c r="CY798" s="332"/>
      <c r="CZ798" s="332"/>
      <c r="DA798" s="332"/>
      <c r="DB798" s="332"/>
      <c r="DC798" s="332"/>
      <c r="DD798" s="332"/>
      <c r="DE798" s="332"/>
      <c r="DF798" s="332"/>
      <c r="DG798" s="332"/>
      <c r="DH798" s="332"/>
      <c r="DI798" s="332"/>
      <c r="DJ798" s="332"/>
      <c r="DK798" s="332"/>
      <c r="DL798" s="332"/>
      <c r="DM798" s="332"/>
      <c r="DN798" s="332"/>
      <c r="DO798" s="332"/>
      <c r="DP798" s="332"/>
      <c r="DQ798" s="332"/>
      <c r="DR798" s="332"/>
      <c r="DS798" s="332"/>
      <c r="DT798" s="332"/>
      <c r="DU798" s="453"/>
      <c r="DV798" s="453"/>
      <c r="DW798" s="453"/>
      <c r="DX798" s="453"/>
      <c r="DY798" s="453"/>
      <c r="DZ798" s="453"/>
      <c r="EA798" s="453"/>
      <c r="EB798" s="453"/>
      <c r="EC798" s="453"/>
      <c r="ED798" s="453"/>
      <c r="EE798" s="453"/>
      <c r="EF798" s="453"/>
      <c r="EG798" s="453"/>
      <c r="EH798" s="453"/>
      <c r="EI798" s="453"/>
      <c r="EJ798" s="453"/>
      <c r="EK798" s="453"/>
      <c r="EL798" s="453"/>
      <c r="EM798" s="483">
        <f t="shared" si="233"/>
        <v>489</v>
      </c>
      <c r="EN798" s="485"/>
      <c r="EO798" s="458"/>
      <c r="EP798" s="467"/>
      <c r="EQ798" s="457"/>
      <c r="ER798" s="808"/>
      <c r="ES798" s="881">
        <f t="shared" si="235"/>
        <v>0</v>
      </c>
      <c r="ET798" s="882"/>
      <c r="EU798" s="883"/>
      <c r="EV798" s="884">
        <f t="shared" si="236"/>
        <v>0</v>
      </c>
      <c r="EW798" s="885"/>
      <c r="EX798" s="885"/>
      <c r="EY798" s="885"/>
      <c r="EZ798" s="885"/>
      <c r="FA798" s="885"/>
      <c r="FB798" s="885"/>
      <c r="FC798" s="885"/>
      <c r="FD798" s="886"/>
      <c r="FE798" s="550"/>
      <c r="FF798" s="550"/>
      <c r="FG798" s="550"/>
      <c r="FH798" s="550"/>
      <c r="FI798" s="550"/>
      <c r="FJ798" s="550"/>
      <c r="FK798" s="550"/>
      <c r="FL798" s="555"/>
      <c r="FM798" s="554"/>
      <c r="FN798" s="554"/>
      <c r="FO798" s="554"/>
      <c r="FP798" s="554"/>
      <c r="FQ798" s="554"/>
      <c r="FR798" s="554"/>
      <c r="FS798" s="554"/>
      <c r="FT798" s="554"/>
      <c r="FU798" s="554"/>
      <c r="FV798" s="554"/>
      <c r="FW798" s="554"/>
      <c r="FX798" s="554"/>
      <c r="FY798" s="554"/>
      <c r="FZ798" s="554"/>
      <c r="GA798" s="554"/>
      <c r="GB798" s="556"/>
      <c r="GC798" s="370"/>
      <c r="GD798" s="453"/>
      <c r="GE798" s="453"/>
      <c r="GF798" s="453"/>
      <c r="GG798" s="453"/>
      <c r="GH798" s="454"/>
      <c r="GI798" s="453"/>
      <c r="GJ798" s="453"/>
      <c r="GK798" s="453"/>
      <c r="GL798" s="453"/>
      <c r="GM798" s="453"/>
      <c r="GN798" s="453"/>
      <c r="GO798" s="453"/>
      <c r="GP798" s="453"/>
      <c r="GQ798" s="453"/>
      <c r="GR798" s="453"/>
      <c r="GS798" s="561"/>
      <c r="GT798" s="475"/>
      <c r="GU798" s="472"/>
      <c r="GV798" s="453"/>
      <c r="GW798" s="453"/>
      <c r="GX798" s="869"/>
      <c r="GY798" s="870"/>
      <c r="GZ798" s="867"/>
      <c r="HA798" s="868"/>
      <c r="HB798" s="473"/>
      <c r="HC798" s="869"/>
      <c r="HD798" s="870"/>
      <c r="HE798" s="867"/>
      <c r="HF798" s="868"/>
      <c r="HG798" s="473"/>
      <c r="HH798" s="867"/>
      <c r="HI798" s="868"/>
      <c r="HJ798" s="867"/>
      <c r="HK798" s="868"/>
      <c r="HL798" s="370"/>
      <c r="HM798" s="865"/>
      <c r="HN798" s="866"/>
      <c r="HO798" s="865"/>
      <c r="HP798" s="866"/>
      <c r="HQ798" s="865"/>
      <c r="HR798" s="866"/>
      <c r="HS798" s="867"/>
      <c r="HT798" s="868"/>
      <c r="HU798" s="489"/>
      <c r="HV798" s="865"/>
      <c r="HW798" s="866"/>
    </row>
    <row r="799" spans="25:231" ht="15" customHeight="1">
      <c r="Y799" s="332"/>
      <c r="Z799" s="332"/>
      <c r="AA799" s="332"/>
      <c r="AB799" s="332"/>
      <c r="AC799" s="332"/>
      <c r="AD799" s="332"/>
      <c r="AE799" s="332"/>
      <c r="AF799" s="332"/>
      <c r="AG799" s="332"/>
      <c r="AH799" s="332"/>
      <c r="AI799" s="332"/>
      <c r="AJ799" s="332"/>
      <c r="AK799" s="332"/>
      <c r="AL799" s="332"/>
      <c r="AM799" s="332"/>
      <c r="AN799" s="332"/>
      <c r="AO799" s="332"/>
      <c r="AP799" s="332"/>
      <c r="AQ799" s="332"/>
      <c r="AR799" s="332"/>
      <c r="AS799" s="332"/>
      <c r="AT799" s="332"/>
      <c r="AU799" s="332"/>
      <c r="AV799" s="332"/>
      <c r="AW799" s="332"/>
      <c r="AX799" s="332"/>
      <c r="AY799" s="332"/>
      <c r="AZ799" s="332"/>
      <c r="BA799" s="332"/>
      <c r="BB799" s="332"/>
      <c r="BC799" s="332"/>
      <c r="BD799" s="332"/>
      <c r="BE799" s="332"/>
      <c r="BF799" s="332"/>
      <c r="BG799" s="332"/>
      <c r="BH799" s="332"/>
      <c r="BI799" s="332"/>
      <c r="BJ799" s="332"/>
      <c r="BK799" s="332"/>
      <c r="BL799" s="332"/>
      <c r="BM799" s="332"/>
      <c r="BN799" s="332"/>
      <c r="BO799" s="332"/>
      <c r="BP799" s="332"/>
      <c r="BQ799" s="332"/>
      <c r="BR799" s="332"/>
      <c r="BS799" s="332"/>
      <c r="BT799" s="332"/>
      <c r="BU799" s="332"/>
      <c r="BV799" s="332"/>
      <c r="BW799" s="332"/>
      <c r="BX799" s="332"/>
      <c r="BY799" s="332"/>
      <c r="BZ799" s="332"/>
      <c r="CA799" s="332"/>
      <c r="CB799" s="332"/>
      <c r="CC799" s="332"/>
      <c r="CD799" s="332"/>
      <c r="CE799" s="332"/>
      <c r="CF799" s="332"/>
      <c r="CG799" s="332"/>
      <c r="CH799" s="332"/>
      <c r="CI799" s="332"/>
      <c r="CJ799" s="332"/>
      <c r="CK799" s="332"/>
      <c r="CL799" s="332"/>
      <c r="CM799" s="332"/>
      <c r="CN799" s="332"/>
      <c r="CO799" s="332"/>
      <c r="CP799" s="332"/>
      <c r="CQ799" s="332"/>
      <c r="CR799" s="332"/>
      <c r="CS799" s="332"/>
      <c r="CT799" s="332"/>
      <c r="CU799" s="332"/>
      <c r="CV799" s="332"/>
      <c r="CW799" s="332"/>
      <c r="CX799" s="332"/>
      <c r="CY799" s="332"/>
      <c r="CZ799" s="332"/>
      <c r="DA799" s="332"/>
      <c r="DB799" s="332"/>
      <c r="DC799" s="332"/>
      <c r="DD799" s="332"/>
      <c r="DE799" s="332"/>
      <c r="DF799" s="332"/>
      <c r="DG799" s="332"/>
      <c r="DH799" s="332"/>
      <c r="DI799" s="332"/>
      <c r="DJ799" s="332"/>
      <c r="DK799" s="332"/>
      <c r="DL799" s="332"/>
      <c r="DM799" s="332"/>
      <c r="DN799" s="332"/>
      <c r="DO799" s="332"/>
      <c r="DP799" s="332"/>
      <c r="DQ799" s="332"/>
      <c r="DR799" s="332"/>
      <c r="DS799" s="332"/>
      <c r="DT799" s="332"/>
      <c r="DU799" s="453"/>
      <c r="DV799" s="453"/>
      <c r="DW799" s="453"/>
      <c r="DX799" s="453"/>
      <c r="DY799" s="453"/>
      <c r="DZ799" s="453"/>
      <c r="EA799" s="453"/>
      <c r="EB799" s="453"/>
      <c r="EC799" s="453"/>
      <c r="ED799" s="453"/>
      <c r="EE799" s="453"/>
      <c r="EF799" s="453"/>
      <c r="EG799" s="453"/>
      <c r="EH799" s="453"/>
      <c r="EI799" s="453"/>
      <c r="EJ799" s="453"/>
      <c r="EK799" s="453"/>
      <c r="EL799" s="453"/>
      <c r="EM799" s="483">
        <f t="shared" si="233"/>
        <v>490</v>
      </c>
      <c r="EN799" s="485"/>
      <c r="EO799" s="458"/>
      <c r="EP799" s="467"/>
      <c r="EQ799" s="457"/>
      <c r="ER799" s="808"/>
      <c r="ES799" s="881">
        <f t="shared" si="235"/>
        <v>0</v>
      </c>
      <c r="ET799" s="882"/>
      <c r="EU799" s="883"/>
      <c r="EV799" s="884">
        <f t="shared" si="236"/>
        <v>0</v>
      </c>
      <c r="EW799" s="885"/>
      <c r="EX799" s="885"/>
      <c r="EY799" s="885"/>
      <c r="EZ799" s="885"/>
      <c r="FA799" s="885"/>
      <c r="FB799" s="885"/>
      <c r="FC799" s="885"/>
      <c r="FD799" s="886"/>
      <c r="FE799" s="550"/>
      <c r="FF799" s="550"/>
      <c r="FG799" s="550"/>
      <c r="FH799" s="550"/>
      <c r="FI799" s="550"/>
      <c r="FJ799" s="550"/>
      <c r="FK799" s="550"/>
      <c r="FL799" s="555"/>
      <c r="FM799" s="554"/>
      <c r="FN799" s="554"/>
      <c r="FO799" s="554"/>
      <c r="FP799" s="554"/>
      <c r="FQ799" s="554"/>
      <c r="FR799" s="554"/>
      <c r="FS799" s="554"/>
      <c r="FT799" s="554"/>
      <c r="FU799" s="554"/>
      <c r="FV799" s="554"/>
      <c r="FW799" s="554"/>
      <c r="FX799" s="554"/>
      <c r="FY799" s="554"/>
      <c r="FZ799" s="554"/>
      <c r="GA799" s="554"/>
      <c r="GB799" s="556"/>
      <c r="GC799" s="370"/>
      <c r="GD799" s="453"/>
      <c r="GE799" s="453"/>
      <c r="GF799" s="453"/>
      <c r="GG799" s="453"/>
      <c r="GH799" s="454"/>
      <c r="GI799" s="453"/>
      <c r="GJ799" s="453"/>
      <c r="GK799" s="453"/>
      <c r="GL799" s="453"/>
      <c r="GM799" s="453"/>
      <c r="GN799" s="453"/>
      <c r="GO799" s="453"/>
      <c r="GP799" s="453"/>
      <c r="GQ799" s="453"/>
      <c r="GR799" s="453"/>
      <c r="GS799" s="561"/>
      <c r="GT799" s="475"/>
      <c r="GU799" s="472"/>
      <c r="GV799" s="453"/>
      <c r="GW799" s="453"/>
      <c r="GX799" s="869"/>
      <c r="GY799" s="870"/>
      <c r="GZ799" s="867"/>
      <c r="HA799" s="868"/>
      <c r="HB799" s="473"/>
      <c r="HC799" s="869"/>
      <c r="HD799" s="870"/>
      <c r="HE799" s="867"/>
      <c r="HF799" s="868"/>
      <c r="HG799" s="473"/>
      <c r="HH799" s="867"/>
      <c r="HI799" s="868"/>
      <c r="HJ799" s="867"/>
      <c r="HK799" s="868"/>
      <c r="HL799" s="370"/>
      <c r="HM799" s="865"/>
      <c r="HN799" s="866"/>
      <c r="HO799" s="865"/>
      <c r="HP799" s="866"/>
      <c r="HQ799" s="865"/>
      <c r="HR799" s="866"/>
      <c r="HS799" s="867"/>
      <c r="HT799" s="868"/>
      <c r="HU799" s="489"/>
      <c r="HV799" s="865"/>
      <c r="HW799" s="866"/>
    </row>
    <row r="800" spans="25:231" ht="15" customHeight="1">
      <c r="Y800" s="332"/>
      <c r="Z800" s="332"/>
      <c r="AA800" s="332"/>
      <c r="AB800" s="332"/>
      <c r="AC800" s="332"/>
      <c r="AD800" s="332"/>
      <c r="AE800" s="332"/>
      <c r="AF800" s="332"/>
      <c r="AG800" s="332"/>
      <c r="AH800" s="332"/>
      <c r="AI800" s="332"/>
      <c r="AJ800" s="332"/>
      <c r="AK800" s="332"/>
      <c r="AL800" s="332"/>
      <c r="AM800" s="332"/>
      <c r="AN800" s="332"/>
      <c r="AO800" s="332"/>
      <c r="AP800" s="332"/>
      <c r="AQ800" s="332"/>
      <c r="AR800" s="332"/>
      <c r="AS800" s="332"/>
      <c r="AT800" s="332"/>
      <c r="AU800" s="332"/>
      <c r="AV800" s="332"/>
      <c r="AW800" s="332"/>
      <c r="AX800" s="332"/>
      <c r="AY800" s="332"/>
      <c r="AZ800" s="332"/>
      <c r="BA800" s="332"/>
      <c r="BB800" s="332"/>
      <c r="BC800" s="332"/>
      <c r="BD800" s="332"/>
      <c r="BE800" s="332"/>
      <c r="BF800" s="332"/>
      <c r="BG800" s="332"/>
      <c r="BH800" s="332"/>
      <c r="BI800" s="332"/>
      <c r="BJ800" s="332"/>
      <c r="BK800" s="332"/>
      <c r="BL800" s="332"/>
      <c r="BM800" s="332"/>
      <c r="BN800" s="332"/>
      <c r="BO800" s="332"/>
      <c r="BP800" s="332"/>
      <c r="BQ800" s="332"/>
      <c r="BR800" s="332"/>
      <c r="BS800" s="332"/>
      <c r="BT800" s="332"/>
      <c r="BU800" s="332"/>
      <c r="BV800" s="332"/>
      <c r="BW800" s="332"/>
      <c r="BX800" s="332"/>
      <c r="BY800" s="332"/>
      <c r="BZ800" s="332"/>
      <c r="CA800" s="332"/>
      <c r="CB800" s="332"/>
      <c r="CC800" s="332"/>
      <c r="CD800" s="332"/>
      <c r="CE800" s="332"/>
      <c r="CF800" s="332"/>
      <c r="CG800" s="332"/>
      <c r="CH800" s="332"/>
      <c r="CI800" s="332"/>
      <c r="CJ800" s="332"/>
      <c r="CK800" s="332"/>
      <c r="CL800" s="332"/>
      <c r="CM800" s="332"/>
      <c r="CN800" s="332"/>
      <c r="CO800" s="332"/>
      <c r="CP800" s="332"/>
      <c r="CQ800" s="332"/>
      <c r="CR800" s="332"/>
      <c r="CS800" s="332"/>
      <c r="CT800" s="332"/>
      <c r="CU800" s="332"/>
      <c r="CV800" s="332"/>
      <c r="CW800" s="332"/>
      <c r="CX800" s="332"/>
      <c r="CY800" s="332"/>
      <c r="CZ800" s="332"/>
      <c r="DA800" s="332"/>
      <c r="DB800" s="332"/>
      <c r="DC800" s="332"/>
      <c r="DD800" s="332"/>
      <c r="DE800" s="332"/>
      <c r="DF800" s="332"/>
      <c r="DG800" s="332"/>
      <c r="DH800" s="332"/>
      <c r="DI800" s="332"/>
      <c r="DJ800" s="332"/>
      <c r="DK800" s="332"/>
      <c r="DL800" s="332"/>
      <c r="DM800" s="332"/>
      <c r="DN800" s="332"/>
      <c r="DO800" s="332"/>
      <c r="DP800" s="332"/>
      <c r="DQ800" s="332"/>
      <c r="DR800" s="332"/>
      <c r="DS800" s="332"/>
      <c r="DT800" s="332"/>
      <c r="DU800" s="453"/>
      <c r="DV800" s="453"/>
      <c r="DW800" s="453"/>
      <c r="DX800" s="453"/>
      <c r="DY800" s="453"/>
      <c r="DZ800" s="453"/>
      <c r="EA800" s="453"/>
      <c r="EB800" s="453"/>
      <c r="EC800" s="453"/>
      <c r="ED800" s="453"/>
      <c r="EE800" s="453"/>
      <c r="EF800" s="453"/>
      <c r="EG800" s="453"/>
      <c r="EH800" s="453"/>
      <c r="EI800" s="453"/>
      <c r="EJ800" s="453"/>
      <c r="EK800" s="453"/>
      <c r="EL800" s="453"/>
      <c r="EM800" s="483">
        <f t="shared" si="233"/>
        <v>491</v>
      </c>
      <c r="EN800" s="485"/>
      <c r="EO800" s="458"/>
      <c r="EP800" s="467"/>
      <c r="EQ800" s="457"/>
      <c r="ER800" s="808"/>
      <c r="ES800" s="881">
        <f t="shared" si="235"/>
        <v>0</v>
      </c>
      <c r="ET800" s="882"/>
      <c r="EU800" s="883"/>
      <c r="EV800" s="884">
        <f t="shared" si="236"/>
        <v>0</v>
      </c>
      <c r="EW800" s="885"/>
      <c r="EX800" s="885"/>
      <c r="EY800" s="885"/>
      <c r="EZ800" s="885"/>
      <c r="FA800" s="885"/>
      <c r="FB800" s="885"/>
      <c r="FC800" s="885"/>
      <c r="FD800" s="886"/>
      <c r="FE800" s="550"/>
      <c r="FF800" s="550"/>
      <c r="FG800" s="550"/>
      <c r="FH800" s="550"/>
      <c r="FI800" s="550"/>
      <c r="FJ800" s="550"/>
      <c r="FK800" s="550"/>
      <c r="FL800" s="555"/>
      <c r="FM800" s="554"/>
      <c r="FN800" s="554"/>
      <c r="FO800" s="554"/>
      <c r="FP800" s="554"/>
      <c r="FQ800" s="554"/>
      <c r="FR800" s="554"/>
      <c r="FS800" s="554"/>
      <c r="FT800" s="554"/>
      <c r="FU800" s="554"/>
      <c r="FV800" s="554"/>
      <c r="FW800" s="554"/>
      <c r="FX800" s="554"/>
      <c r="FY800" s="554"/>
      <c r="FZ800" s="554"/>
      <c r="GA800" s="554"/>
      <c r="GB800" s="556"/>
      <c r="GC800" s="370"/>
      <c r="GD800" s="453"/>
      <c r="GE800" s="453"/>
      <c r="GF800" s="453"/>
      <c r="GG800" s="453"/>
      <c r="GH800" s="454"/>
      <c r="GI800" s="453"/>
      <c r="GJ800" s="453"/>
      <c r="GK800" s="453"/>
      <c r="GL800" s="453"/>
      <c r="GM800" s="453"/>
      <c r="GN800" s="453"/>
      <c r="GO800" s="453"/>
      <c r="GP800" s="453"/>
      <c r="GQ800" s="453"/>
      <c r="GR800" s="453"/>
      <c r="GS800" s="561"/>
      <c r="GT800" s="475"/>
      <c r="GU800" s="472"/>
      <c r="GV800" s="453"/>
      <c r="GW800" s="453"/>
      <c r="GX800" s="869"/>
      <c r="GY800" s="870"/>
      <c r="GZ800" s="867"/>
      <c r="HA800" s="868"/>
      <c r="HB800" s="473"/>
      <c r="HC800" s="869"/>
      <c r="HD800" s="870"/>
      <c r="HE800" s="867"/>
      <c r="HF800" s="868"/>
      <c r="HG800" s="473"/>
      <c r="HH800" s="867"/>
      <c r="HI800" s="868"/>
      <c r="HJ800" s="867"/>
      <c r="HK800" s="868"/>
      <c r="HL800" s="370"/>
      <c r="HM800" s="865"/>
      <c r="HN800" s="866"/>
      <c r="HO800" s="865"/>
      <c r="HP800" s="866"/>
      <c r="HQ800" s="865"/>
      <c r="HR800" s="866"/>
      <c r="HS800" s="867"/>
      <c r="HT800" s="868"/>
      <c r="HU800" s="489"/>
      <c r="HV800" s="865"/>
      <c r="HW800" s="866"/>
    </row>
    <row r="801" spans="25:231" ht="15" customHeight="1">
      <c r="Y801" s="332"/>
      <c r="Z801" s="332"/>
      <c r="AA801" s="332"/>
      <c r="AB801" s="332"/>
      <c r="AC801" s="332"/>
      <c r="AD801" s="332"/>
      <c r="AE801" s="332"/>
      <c r="AF801" s="332"/>
      <c r="AG801" s="332"/>
      <c r="AH801" s="332"/>
      <c r="AI801" s="332"/>
      <c r="AJ801" s="332"/>
      <c r="AK801" s="332"/>
      <c r="AL801" s="332"/>
      <c r="AM801" s="332"/>
      <c r="AN801" s="332"/>
      <c r="AO801" s="332"/>
      <c r="AP801" s="332"/>
      <c r="AQ801" s="332"/>
      <c r="AR801" s="332"/>
      <c r="AS801" s="332"/>
      <c r="AT801" s="332"/>
      <c r="AU801" s="332"/>
      <c r="AV801" s="332"/>
      <c r="AW801" s="332"/>
      <c r="AX801" s="332"/>
      <c r="AY801" s="332"/>
      <c r="AZ801" s="332"/>
      <c r="BA801" s="332"/>
      <c r="BB801" s="332"/>
      <c r="BC801" s="332"/>
      <c r="BD801" s="332"/>
      <c r="BE801" s="332"/>
      <c r="BF801" s="332"/>
      <c r="BG801" s="332"/>
      <c r="BH801" s="332"/>
      <c r="BI801" s="332"/>
      <c r="BJ801" s="332"/>
      <c r="BK801" s="332"/>
      <c r="BL801" s="332"/>
      <c r="BM801" s="332"/>
      <c r="BN801" s="332"/>
      <c r="BO801" s="332"/>
      <c r="BP801" s="332"/>
      <c r="BQ801" s="332"/>
      <c r="BR801" s="332"/>
      <c r="BS801" s="332"/>
      <c r="BT801" s="332"/>
      <c r="BU801" s="332"/>
      <c r="BV801" s="332"/>
      <c r="BW801" s="332"/>
      <c r="BX801" s="332"/>
      <c r="BY801" s="332"/>
      <c r="BZ801" s="332"/>
      <c r="CA801" s="332"/>
      <c r="CB801" s="332"/>
      <c r="CC801" s="332"/>
      <c r="CD801" s="332"/>
      <c r="CE801" s="332"/>
      <c r="CF801" s="332"/>
      <c r="CG801" s="332"/>
      <c r="CH801" s="332"/>
      <c r="CI801" s="332"/>
      <c r="CJ801" s="332"/>
      <c r="CK801" s="332"/>
      <c r="CL801" s="332"/>
      <c r="CM801" s="332"/>
      <c r="CN801" s="332"/>
      <c r="CO801" s="332"/>
      <c r="CP801" s="332"/>
      <c r="CQ801" s="332"/>
      <c r="CR801" s="332"/>
      <c r="CS801" s="332"/>
      <c r="CT801" s="332"/>
      <c r="CU801" s="332"/>
      <c r="CV801" s="332"/>
      <c r="CW801" s="332"/>
      <c r="CX801" s="332"/>
      <c r="CY801" s="332"/>
      <c r="CZ801" s="332"/>
      <c r="DA801" s="332"/>
      <c r="DB801" s="332"/>
      <c r="DC801" s="332"/>
      <c r="DD801" s="332"/>
      <c r="DE801" s="332"/>
      <c r="DF801" s="332"/>
      <c r="DG801" s="332"/>
      <c r="DH801" s="332"/>
      <c r="DI801" s="332"/>
      <c r="DJ801" s="332"/>
      <c r="DK801" s="332"/>
      <c r="DL801" s="332"/>
      <c r="DM801" s="332"/>
      <c r="DN801" s="332"/>
      <c r="DO801" s="332"/>
      <c r="DP801" s="332"/>
      <c r="DQ801" s="332"/>
      <c r="DR801" s="332"/>
      <c r="DS801" s="332"/>
      <c r="DT801" s="332"/>
      <c r="DU801" s="453"/>
      <c r="DV801" s="453"/>
      <c r="DW801" s="453"/>
      <c r="DX801" s="453"/>
      <c r="DY801" s="453"/>
      <c r="DZ801" s="453"/>
      <c r="EA801" s="453"/>
      <c r="EB801" s="453"/>
      <c r="EC801" s="453"/>
      <c r="ED801" s="453"/>
      <c r="EE801" s="453"/>
      <c r="EF801" s="453"/>
      <c r="EG801" s="453"/>
      <c r="EH801" s="453"/>
      <c r="EI801" s="453"/>
      <c r="EJ801" s="453"/>
      <c r="EK801" s="453"/>
      <c r="EL801" s="453"/>
      <c r="EM801" s="483">
        <f t="shared" si="233"/>
        <v>492</v>
      </c>
      <c r="EN801" s="485"/>
      <c r="EO801" s="458"/>
      <c r="EP801" s="467"/>
      <c r="EQ801" s="457"/>
      <c r="ER801" s="808"/>
      <c r="ES801" s="881">
        <f t="shared" si="235"/>
        <v>0</v>
      </c>
      <c r="ET801" s="882"/>
      <c r="EU801" s="883"/>
      <c r="EV801" s="884">
        <f t="shared" si="236"/>
        <v>0</v>
      </c>
      <c r="EW801" s="885"/>
      <c r="EX801" s="885"/>
      <c r="EY801" s="885"/>
      <c r="EZ801" s="885"/>
      <c r="FA801" s="885"/>
      <c r="FB801" s="885"/>
      <c r="FC801" s="885"/>
      <c r="FD801" s="886"/>
      <c r="FE801" s="550"/>
      <c r="FF801" s="550"/>
      <c r="FG801" s="550"/>
      <c r="FH801" s="550"/>
      <c r="FI801" s="550"/>
      <c r="FJ801" s="550"/>
      <c r="FK801" s="550"/>
      <c r="FL801" s="555"/>
      <c r="FM801" s="554"/>
      <c r="FN801" s="554"/>
      <c r="FO801" s="554"/>
      <c r="FP801" s="554"/>
      <c r="FQ801" s="554"/>
      <c r="FR801" s="554"/>
      <c r="FS801" s="554"/>
      <c r="FT801" s="554"/>
      <c r="FU801" s="554"/>
      <c r="FV801" s="554"/>
      <c r="FW801" s="554"/>
      <c r="FX801" s="554"/>
      <c r="FY801" s="554"/>
      <c r="FZ801" s="554"/>
      <c r="GA801" s="554"/>
      <c r="GB801" s="556"/>
      <c r="GC801" s="370"/>
      <c r="GD801" s="453"/>
      <c r="GE801" s="453"/>
      <c r="GF801" s="453"/>
      <c r="GG801" s="453"/>
      <c r="GH801" s="454"/>
      <c r="GI801" s="453"/>
      <c r="GJ801" s="453"/>
      <c r="GK801" s="453"/>
      <c r="GL801" s="453"/>
      <c r="GM801" s="453"/>
      <c r="GN801" s="453"/>
      <c r="GO801" s="453"/>
      <c r="GP801" s="453"/>
      <c r="GQ801" s="453"/>
      <c r="GR801" s="453"/>
      <c r="GS801" s="561"/>
      <c r="GT801" s="475"/>
      <c r="GU801" s="472"/>
      <c r="GV801" s="453"/>
      <c r="GW801" s="453"/>
      <c r="GX801" s="869"/>
      <c r="GY801" s="870"/>
      <c r="GZ801" s="867"/>
      <c r="HA801" s="868"/>
      <c r="HB801" s="473"/>
      <c r="HC801" s="869"/>
      <c r="HD801" s="870"/>
      <c r="HE801" s="867"/>
      <c r="HF801" s="868"/>
      <c r="HG801" s="473"/>
      <c r="HH801" s="867"/>
      <c r="HI801" s="868"/>
      <c r="HJ801" s="867"/>
      <c r="HK801" s="868"/>
      <c r="HL801" s="370"/>
      <c r="HM801" s="865"/>
      <c r="HN801" s="866"/>
      <c r="HO801" s="865"/>
      <c r="HP801" s="866"/>
      <c r="HQ801" s="865"/>
      <c r="HR801" s="866"/>
      <c r="HS801" s="867"/>
      <c r="HT801" s="868"/>
      <c r="HU801" s="489"/>
      <c r="HV801" s="865"/>
      <c r="HW801" s="866"/>
    </row>
    <row r="802" spans="25:231" ht="15" customHeight="1">
      <c r="Y802" s="332"/>
      <c r="Z802" s="332"/>
      <c r="AA802" s="332"/>
      <c r="AB802" s="332"/>
      <c r="AC802" s="332"/>
      <c r="AD802" s="332"/>
      <c r="AE802" s="332"/>
      <c r="AF802" s="332"/>
      <c r="AG802" s="332"/>
      <c r="AH802" s="332"/>
      <c r="AI802" s="332"/>
      <c r="AJ802" s="332"/>
      <c r="AK802" s="332"/>
      <c r="AL802" s="332"/>
      <c r="AM802" s="332"/>
      <c r="AN802" s="332"/>
      <c r="AO802" s="332"/>
      <c r="AP802" s="332"/>
      <c r="AQ802" s="332"/>
      <c r="AR802" s="332"/>
      <c r="AS802" s="332"/>
      <c r="AT802" s="332"/>
      <c r="AU802" s="332"/>
      <c r="AV802" s="332"/>
      <c r="AW802" s="332"/>
      <c r="AX802" s="332"/>
      <c r="AY802" s="332"/>
      <c r="AZ802" s="332"/>
      <c r="BA802" s="332"/>
      <c r="BB802" s="332"/>
      <c r="BC802" s="332"/>
      <c r="BD802" s="332"/>
      <c r="BE802" s="332"/>
      <c r="BF802" s="332"/>
      <c r="BG802" s="332"/>
      <c r="BH802" s="332"/>
      <c r="BI802" s="332"/>
      <c r="BJ802" s="332"/>
      <c r="BK802" s="332"/>
      <c r="BL802" s="332"/>
      <c r="BM802" s="332"/>
      <c r="BN802" s="332"/>
      <c r="BO802" s="332"/>
      <c r="BP802" s="332"/>
      <c r="BQ802" s="332"/>
      <c r="BR802" s="332"/>
      <c r="BS802" s="332"/>
      <c r="BT802" s="332"/>
      <c r="BU802" s="332"/>
      <c r="BV802" s="332"/>
      <c r="BW802" s="332"/>
      <c r="BX802" s="332"/>
      <c r="BY802" s="332"/>
      <c r="BZ802" s="332"/>
      <c r="CA802" s="332"/>
      <c r="CB802" s="332"/>
      <c r="CC802" s="332"/>
      <c r="CD802" s="332"/>
      <c r="CE802" s="332"/>
      <c r="CF802" s="332"/>
      <c r="CG802" s="332"/>
      <c r="CH802" s="332"/>
      <c r="CI802" s="332"/>
      <c r="CJ802" s="332"/>
      <c r="CK802" s="332"/>
      <c r="CL802" s="332"/>
      <c r="CM802" s="332"/>
      <c r="CN802" s="332"/>
      <c r="CO802" s="332"/>
      <c r="CP802" s="332"/>
      <c r="CQ802" s="332"/>
      <c r="CR802" s="332"/>
      <c r="CS802" s="332"/>
      <c r="CT802" s="332"/>
      <c r="CU802" s="332"/>
      <c r="CV802" s="332"/>
      <c r="CW802" s="332"/>
      <c r="CX802" s="332"/>
      <c r="CY802" s="332"/>
      <c r="CZ802" s="332"/>
      <c r="DA802" s="332"/>
      <c r="DB802" s="332"/>
      <c r="DC802" s="332"/>
      <c r="DD802" s="332"/>
      <c r="DE802" s="332"/>
      <c r="DF802" s="332"/>
      <c r="DG802" s="332"/>
      <c r="DH802" s="332"/>
      <c r="DI802" s="332"/>
      <c r="DJ802" s="332"/>
      <c r="DK802" s="332"/>
      <c r="DL802" s="332"/>
      <c r="DM802" s="332"/>
      <c r="DN802" s="332"/>
      <c r="DO802" s="332"/>
      <c r="DP802" s="332"/>
      <c r="DQ802" s="332"/>
      <c r="DR802" s="332"/>
      <c r="DS802" s="332"/>
      <c r="DT802" s="332"/>
      <c r="DU802" s="453"/>
      <c r="DV802" s="453"/>
      <c r="DW802" s="453"/>
      <c r="DX802" s="453"/>
      <c r="DY802" s="453"/>
      <c r="DZ802" s="453"/>
      <c r="EA802" s="453"/>
      <c r="EB802" s="453"/>
      <c r="EC802" s="453"/>
      <c r="ED802" s="453"/>
      <c r="EE802" s="453"/>
      <c r="EF802" s="453"/>
      <c r="EG802" s="453"/>
      <c r="EH802" s="453"/>
      <c r="EI802" s="453"/>
      <c r="EJ802" s="453"/>
      <c r="EK802" s="453"/>
      <c r="EL802" s="453"/>
      <c r="EM802" s="483">
        <f t="shared" si="233"/>
        <v>493</v>
      </c>
      <c r="EN802" s="485"/>
      <c r="EO802" s="458"/>
      <c r="EP802" s="467"/>
      <c r="EQ802" s="457"/>
      <c r="ER802" s="808"/>
      <c r="ES802" s="881">
        <f t="shared" si="235"/>
        <v>0</v>
      </c>
      <c r="ET802" s="882"/>
      <c r="EU802" s="883"/>
      <c r="EV802" s="884">
        <f t="shared" si="236"/>
        <v>0</v>
      </c>
      <c r="EW802" s="885"/>
      <c r="EX802" s="885"/>
      <c r="EY802" s="885"/>
      <c r="EZ802" s="885"/>
      <c r="FA802" s="885"/>
      <c r="FB802" s="885"/>
      <c r="FC802" s="885"/>
      <c r="FD802" s="886"/>
      <c r="FE802" s="550"/>
      <c r="FF802" s="550"/>
      <c r="FG802" s="550"/>
      <c r="FH802" s="550"/>
      <c r="FI802" s="550"/>
      <c r="FJ802" s="550"/>
      <c r="FK802" s="550"/>
      <c r="FL802" s="555"/>
      <c r="FM802" s="554"/>
      <c r="FN802" s="554"/>
      <c r="FO802" s="554"/>
      <c r="FP802" s="554"/>
      <c r="FQ802" s="554"/>
      <c r="FR802" s="554"/>
      <c r="FS802" s="554"/>
      <c r="FT802" s="554"/>
      <c r="FU802" s="554"/>
      <c r="FV802" s="554"/>
      <c r="FW802" s="554"/>
      <c r="FX802" s="554"/>
      <c r="FY802" s="554"/>
      <c r="FZ802" s="554"/>
      <c r="GA802" s="554"/>
      <c r="GB802" s="556"/>
      <c r="GC802" s="370"/>
      <c r="GD802" s="453"/>
      <c r="GE802" s="453"/>
      <c r="GF802" s="453"/>
      <c r="GG802" s="453"/>
      <c r="GH802" s="454"/>
      <c r="GI802" s="453"/>
      <c r="GJ802" s="453"/>
      <c r="GK802" s="453"/>
      <c r="GL802" s="453"/>
      <c r="GM802" s="453"/>
      <c r="GN802" s="453"/>
      <c r="GO802" s="453"/>
      <c r="GP802" s="453"/>
      <c r="GQ802" s="453"/>
      <c r="GR802" s="453"/>
      <c r="GS802" s="561"/>
      <c r="GT802" s="475"/>
      <c r="GU802" s="472"/>
      <c r="GV802" s="453"/>
      <c r="GW802" s="453"/>
      <c r="GX802" s="869"/>
      <c r="GY802" s="870"/>
      <c r="GZ802" s="867"/>
      <c r="HA802" s="868"/>
      <c r="HB802" s="473"/>
      <c r="HC802" s="869"/>
      <c r="HD802" s="870"/>
      <c r="HE802" s="867"/>
      <c r="HF802" s="868"/>
      <c r="HG802" s="473"/>
      <c r="HH802" s="867"/>
      <c r="HI802" s="868"/>
      <c r="HJ802" s="867"/>
      <c r="HK802" s="868"/>
      <c r="HL802" s="370"/>
      <c r="HM802" s="865"/>
      <c r="HN802" s="866"/>
      <c r="HO802" s="865"/>
      <c r="HP802" s="866"/>
      <c r="HQ802" s="865"/>
      <c r="HR802" s="866"/>
      <c r="HS802" s="867"/>
      <c r="HT802" s="868"/>
      <c r="HU802" s="489"/>
      <c r="HV802" s="865"/>
      <c r="HW802" s="866"/>
    </row>
    <row r="803" spans="25:231" ht="15" customHeight="1">
      <c r="Y803" s="332"/>
      <c r="Z803" s="332"/>
      <c r="AA803" s="332"/>
      <c r="AB803" s="332"/>
      <c r="AC803" s="332"/>
      <c r="AD803" s="332"/>
      <c r="AE803" s="332"/>
      <c r="AF803" s="332"/>
      <c r="AG803" s="332"/>
      <c r="AH803" s="332"/>
      <c r="AI803" s="332"/>
      <c r="AJ803" s="332"/>
      <c r="AK803" s="332"/>
      <c r="AL803" s="332"/>
      <c r="AM803" s="332"/>
      <c r="AN803" s="332"/>
      <c r="AO803" s="332"/>
      <c r="AP803" s="332"/>
      <c r="AQ803" s="332"/>
      <c r="AR803" s="332"/>
      <c r="AS803" s="332"/>
      <c r="AT803" s="332"/>
      <c r="AU803" s="332"/>
      <c r="AV803" s="332"/>
      <c r="AW803" s="332"/>
      <c r="AX803" s="332"/>
      <c r="AY803" s="332"/>
      <c r="AZ803" s="332"/>
      <c r="BA803" s="332"/>
      <c r="BB803" s="332"/>
      <c r="BC803" s="332"/>
      <c r="BD803" s="332"/>
      <c r="BE803" s="332"/>
      <c r="BF803" s="332"/>
      <c r="BG803" s="332"/>
      <c r="BH803" s="332"/>
      <c r="BI803" s="332"/>
      <c r="BJ803" s="332"/>
      <c r="BK803" s="332"/>
      <c r="BL803" s="332"/>
      <c r="BM803" s="332"/>
      <c r="BN803" s="332"/>
      <c r="BO803" s="332"/>
      <c r="BP803" s="332"/>
      <c r="BQ803" s="332"/>
      <c r="BR803" s="332"/>
      <c r="BS803" s="332"/>
      <c r="BT803" s="332"/>
      <c r="BU803" s="332"/>
      <c r="BV803" s="332"/>
      <c r="BW803" s="332"/>
      <c r="BX803" s="332"/>
      <c r="BY803" s="332"/>
      <c r="BZ803" s="332"/>
      <c r="CA803" s="332"/>
      <c r="CB803" s="332"/>
      <c r="CC803" s="332"/>
      <c r="CD803" s="332"/>
      <c r="CE803" s="332"/>
      <c r="CF803" s="332"/>
      <c r="CG803" s="332"/>
      <c r="CH803" s="332"/>
      <c r="CI803" s="332"/>
      <c r="CJ803" s="332"/>
      <c r="CK803" s="332"/>
      <c r="CL803" s="332"/>
      <c r="CM803" s="332"/>
      <c r="CN803" s="332"/>
      <c r="CO803" s="332"/>
      <c r="CP803" s="332"/>
      <c r="CQ803" s="332"/>
      <c r="CR803" s="332"/>
      <c r="CS803" s="332"/>
      <c r="CT803" s="332"/>
      <c r="CU803" s="332"/>
      <c r="CV803" s="332"/>
      <c r="CW803" s="332"/>
      <c r="CX803" s="332"/>
      <c r="CY803" s="332"/>
      <c r="CZ803" s="332"/>
      <c r="DA803" s="332"/>
      <c r="DB803" s="332"/>
      <c r="DC803" s="332"/>
      <c r="DD803" s="332"/>
      <c r="DE803" s="332"/>
      <c r="DF803" s="332"/>
      <c r="DG803" s="332"/>
      <c r="DH803" s="332"/>
      <c r="DI803" s="332"/>
      <c r="DJ803" s="332"/>
      <c r="DK803" s="332"/>
      <c r="DL803" s="332"/>
      <c r="DM803" s="332"/>
      <c r="DN803" s="332"/>
      <c r="DO803" s="332"/>
      <c r="DP803" s="332"/>
      <c r="DQ803" s="332"/>
      <c r="DR803" s="332"/>
      <c r="DS803" s="332"/>
      <c r="DT803" s="332"/>
      <c r="DU803" s="453"/>
      <c r="DV803" s="453"/>
      <c r="DW803" s="453"/>
      <c r="DX803" s="453"/>
      <c r="DY803" s="453"/>
      <c r="DZ803" s="453"/>
      <c r="EA803" s="453"/>
      <c r="EB803" s="453"/>
      <c r="EC803" s="453"/>
      <c r="ED803" s="453"/>
      <c r="EE803" s="453"/>
      <c r="EF803" s="453"/>
      <c r="EG803" s="453"/>
      <c r="EH803" s="453"/>
      <c r="EI803" s="453"/>
      <c r="EJ803" s="453"/>
      <c r="EK803" s="453"/>
      <c r="EL803" s="453"/>
      <c r="EM803" s="483">
        <f t="shared" si="233"/>
        <v>494</v>
      </c>
      <c r="EN803" s="485"/>
      <c r="EO803" s="458"/>
      <c r="EP803" s="467"/>
      <c r="EQ803" s="457"/>
      <c r="ER803" s="808"/>
      <c r="ES803" s="881">
        <f t="shared" si="235"/>
        <v>0</v>
      </c>
      <c r="ET803" s="882"/>
      <c r="EU803" s="883"/>
      <c r="EV803" s="884">
        <f t="shared" si="236"/>
        <v>0</v>
      </c>
      <c r="EW803" s="885"/>
      <c r="EX803" s="885"/>
      <c r="EY803" s="885"/>
      <c r="EZ803" s="885"/>
      <c r="FA803" s="885"/>
      <c r="FB803" s="885"/>
      <c r="FC803" s="885"/>
      <c r="FD803" s="886"/>
      <c r="FE803" s="550"/>
      <c r="FF803" s="550"/>
      <c r="FG803" s="550"/>
      <c r="FH803" s="550"/>
      <c r="FI803" s="550"/>
      <c r="FJ803" s="550"/>
      <c r="FK803" s="550"/>
      <c r="FL803" s="555"/>
      <c r="FM803" s="554"/>
      <c r="FN803" s="554"/>
      <c r="FO803" s="554"/>
      <c r="FP803" s="554"/>
      <c r="FQ803" s="554"/>
      <c r="FR803" s="554"/>
      <c r="FS803" s="554"/>
      <c r="FT803" s="554"/>
      <c r="FU803" s="554"/>
      <c r="FV803" s="554"/>
      <c r="FW803" s="554"/>
      <c r="FX803" s="554"/>
      <c r="FY803" s="554"/>
      <c r="FZ803" s="554"/>
      <c r="GA803" s="554"/>
      <c r="GB803" s="556"/>
      <c r="GC803" s="370"/>
      <c r="GD803" s="453"/>
      <c r="GE803" s="453"/>
      <c r="GF803" s="453"/>
      <c r="GG803" s="453"/>
      <c r="GH803" s="454"/>
      <c r="GI803" s="453"/>
      <c r="GJ803" s="453"/>
      <c r="GK803" s="453"/>
      <c r="GL803" s="453"/>
      <c r="GM803" s="453"/>
      <c r="GN803" s="453"/>
      <c r="GO803" s="453"/>
      <c r="GP803" s="453"/>
      <c r="GQ803" s="453"/>
      <c r="GR803" s="453"/>
      <c r="GS803" s="561"/>
      <c r="GT803" s="475"/>
      <c r="GU803" s="472"/>
      <c r="GV803" s="453"/>
      <c r="GW803" s="453"/>
      <c r="GX803" s="869"/>
      <c r="GY803" s="870"/>
      <c r="GZ803" s="867"/>
      <c r="HA803" s="868"/>
      <c r="HB803" s="473"/>
      <c r="HC803" s="869"/>
      <c r="HD803" s="870"/>
      <c r="HE803" s="867"/>
      <c r="HF803" s="868"/>
      <c r="HG803" s="473"/>
      <c r="HH803" s="867"/>
      <c r="HI803" s="868"/>
      <c r="HJ803" s="867"/>
      <c r="HK803" s="868"/>
      <c r="HL803" s="370"/>
      <c r="HM803" s="865"/>
      <c r="HN803" s="866"/>
      <c r="HO803" s="865"/>
      <c r="HP803" s="866"/>
      <c r="HQ803" s="865"/>
      <c r="HR803" s="866"/>
      <c r="HS803" s="867"/>
      <c r="HT803" s="868"/>
      <c r="HU803" s="489"/>
      <c r="HV803" s="865"/>
      <c r="HW803" s="866"/>
    </row>
    <row r="804" spans="25:231" ht="15" customHeight="1">
      <c r="Y804" s="332"/>
      <c r="Z804" s="332"/>
      <c r="AA804" s="332"/>
      <c r="AB804" s="332"/>
      <c r="AC804" s="332"/>
      <c r="AD804" s="332"/>
      <c r="AE804" s="332"/>
      <c r="AF804" s="332"/>
      <c r="AG804" s="332"/>
      <c r="AH804" s="332"/>
      <c r="AI804" s="332"/>
      <c r="AJ804" s="332"/>
      <c r="AK804" s="332"/>
      <c r="AL804" s="332"/>
      <c r="AM804" s="332"/>
      <c r="AN804" s="332"/>
      <c r="AO804" s="332"/>
      <c r="AP804" s="332"/>
      <c r="AQ804" s="332"/>
      <c r="AR804" s="332"/>
      <c r="AS804" s="332"/>
      <c r="AT804" s="332"/>
      <c r="AU804" s="332"/>
      <c r="AV804" s="332"/>
      <c r="AW804" s="332"/>
      <c r="AX804" s="332"/>
      <c r="AY804" s="332"/>
      <c r="AZ804" s="332"/>
      <c r="BA804" s="332"/>
      <c r="BB804" s="332"/>
      <c r="BC804" s="332"/>
      <c r="BD804" s="332"/>
      <c r="BE804" s="332"/>
      <c r="BF804" s="332"/>
      <c r="BG804" s="332"/>
      <c r="BH804" s="332"/>
      <c r="BI804" s="332"/>
      <c r="BJ804" s="332"/>
      <c r="BK804" s="332"/>
      <c r="BL804" s="332"/>
      <c r="BM804" s="332"/>
      <c r="BN804" s="332"/>
      <c r="BO804" s="332"/>
      <c r="BP804" s="332"/>
      <c r="BQ804" s="332"/>
      <c r="BR804" s="332"/>
      <c r="BS804" s="332"/>
      <c r="BT804" s="332"/>
      <c r="BU804" s="332"/>
      <c r="BV804" s="332"/>
      <c r="BW804" s="332"/>
      <c r="BX804" s="332"/>
      <c r="BY804" s="332"/>
      <c r="BZ804" s="332"/>
      <c r="CA804" s="332"/>
      <c r="CB804" s="332"/>
      <c r="CC804" s="332"/>
      <c r="CD804" s="332"/>
      <c r="CE804" s="332"/>
      <c r="CF804" s="332"/>
      <c r="CG804" s="332"/>
      <c r="CH804" s="332"/>
      <c r="CI804" s="332"/>
      <c r="CJ804" s="332"/>
      <c r="CK804" s="332"/>
      <c r="CL804" s="332"/>
      <c r="CM804" s="332"/>
      <c r="CN804" s="332"/>
      <c r="CO804" s="332"/>
      <c r="CP804" s="332"/>
      <c r="CQ804" s="332"/>
      <c r="CR804" s="332"/>
      <c r="CS804" s="332"/>
      <c r="CT804" s="332"/>
      <c r="CU804" s="332"/>
      <c r="CV804" s="332"/>
      <c r="CW804" s="332"/>
      <c r="CX804" s="332"/>
      <c r="CY804" s="332"/>
      <c r="CZ804" s="332"/>
      <c r="DA804" s="332"/>
      <c r="DB804" s="332"/>
      <c r="DC804" s="332"/>
      <c r="DD804" s="332"/>
      <c r="DE804" s="332"/>
      <c r="DF804" s="332"/>
      <c r="DG804" s="332"/>
      <c r="DH804" s="332"/>
      <c r="DI804" s="332"/>
      <c r="DJ804" s="332"/>
      <c r="DK804" s="332"/>
      <c r="DL804" s="332"/>
      <c r="DM804" s="332"/>
      <c r="DN804" s="332"/>
      <c r="DO804" s="332"/>
      <c r="DP804" s="332"/>
      <c r="DQ804" s="332"/>
      <c r="DR804" s="332"/>
      <c r="DS804" s="332"/>
      <c r="DT804" s="332"/>
      <c r="DU804" s="453"/>
      <c r="DV804" s="453"/>
      <c r="DW804" s="453"/>
      <c r="DX804" s="453"/>
      <c r="DY804" s="453"/>
      <c r="DZ804" s="453"/>
      <c r="EA804" s="453"/>
      <c r="EB804" s="453"/>
      <c r="EC804" s="453"/>
      <c r="ED804" s="453"/>
      <c r="EE804" s="453"/>
      <c r="EF804" s="453"/>
      <c r="EG804" s="453"/>
      <c r="EH804" s="453"/>
      <c r="EI804" s="453"/>
      <c r="EJ804" s="453"/>
      <c r="EK804" s="453"/>
      <c r="EL804" s="453"/>
      <c r="EM804" s="483">
        <f t="shared" si="233"/>
        <v>495</v>
      </c>
      <c r="EN804" s="485"/>
      <c r="EO804" s="458"/>
      <c r="EP804" s="467"/>
      <c r="EQ804" s="457"/>
      <c r="ER804" s="808"/>
      <c r="ES804" s="881">
        <f t="shared" si="235"/>
        <v>0</v>
      </c>
      <c r="ET804" s="882"/>
      <c r="EU804" s="883"/>
      <c r="EV804" s="884">
        <f t="shared" si="236"/>
        <v>0</v>
      </c>
      <c r="EW804" s="885"/>
      <c r="EX804" s="885"/>
      <c r="EY804" s="885"/>
      <c r="EZ804" s="885"/>
      <c r="FA804" s="885"/>
      <c r="FB804" s="885"/>
      <c r="FC804" s="885"/>
      <c r="FD804" s="886"/>
      <c r="FE804" s="550"/>
      <c r="FF804" s="550"/>
      <c r="FG804" s="550"/>
      <c r="FH804" s="550"/>
      <c r="FI804" s="550"/>
      <c r="FJ804" s="550"/>
      <c r="FK804" s="550"/>
      <c r="FL804" s="555"/>
      <c r="FM804" s="554"/>
      <c r="FN804" s="554"/>
      <c r="FO804" s="554"/>
      <c r="FP804" s="554"/>
      <c r="FQ804" s="554"/>
      <c r="FR804" s="554"/>
      <c r="FS804" s="554"/>
      <c r="FT804" s="554"/>
      <c r="FU804" s="554"/>
      <c r="FV804" s="554"/>
      <c r="FW804" s="554"/>
      <c r="FX804" s="554"/>
      <c r="FY804" s="554"/>
      <c r="FZ804" s="554"/>
      <c r="GA804" s="554"/>
      <c r="GB804" s="556"/>
      <c r="GC804" s="370"/>
      <c r="GD804" s="453"/>
      <c r="GE804" s="453"/>
      <c r="GF804" s="453"/>
      <c r="GG804" s="453"/>
      <c r="GH804" s="454"/>
      <c r="GI804" s="453"/>
      <c r="GJ804" s="453"/>
      <c r="GK804" s="453"/>
      <c r="GL804" s="453"/>
      <c r="GM804" s="453"/>
      <c r="GN804" s="453"/>
      <c r="GO804" s="453"/>
      <c r="GP804" s="453"/>
      <c r="GQ804" s="453"/>
      <c r="GR804" s="453"/>
      <c r="GS804" s="561"/>
      <c r="GT804" s="475"/>
      <c r="GU804" s="472"/>
      <c r="GV804" s="453"/>
      <c r="GW804" s="453"/>
      <c r="GX804" s="869"/>
      <c r="GY804" s="870"/>
      <c r="GZ804" s="867"/>
      <c r="HA804" s="868"/>
      <c r="HB804" s="473"/>
      <c r="HC804" s="869"/>
      <c r="HD804" s="870"/>
      <c r="HE804" s="867"/>
      <c r="HF804" s="868"/>
      <c r="HG804" s="473"/>
      <c r="HH804" s="867"/>
      <c r="HI804" s="868"/>
      <c r="HJ804" s="867"/>
      <c r="HK804" s="868"/>
      <c r="HL804" s="370"/>
      <c r="HM804" s="865"/>
      <c r="HN804" s="866"/>
      <c r="HO804" s="865"/>
      <c r="HP804" s="866"/>
      <c r="HQ804" s="865"/>
      <c r="HR804" s="866"/>
      <c r="HS804" s="867"/>
      <c r="HT804" s="868"/>
      <c r="HU804" s="489"/>
      <c r="HV804" s="865"/>
      <c r="HW804" s="866"/>
    </row>
    <row r="805" spans="25:231" ht="15" customHeight="1">
      <c r="Y805" s="332"/>
      <c r="Z805" s="332"/>
      <c r="AA805" s="332"/>
      <c r="AB805" s="332"/>
      <c r="AC805" s="332"/>
      <c r="AD805" s="332"/>
      <c r="AE805" s="332"/>
      <c r="AF805" s="332"/>
      <c r="AG805" s="332"/>
      <c r="AH805" s="332"/>
      <c r="AI805" s="332"/>
      <c r="AJ805" s="332"/>
      <c r="AK805" s="332"/>
      <c r="AL805" s="332"/>
      <c r="AM805" s="332"/>
      <c r="AN805" s="332"/>
      <c r="AO805" s="332"/>
      <c r="AP805" s="332"/>
      <c r="AQ805" s="332"/>
      <c r="AR805" s="332"/>
      <c r="AS805" s="332"/>
      <c r="AT805" s="332"/>
      <c r="AU805" s="332"/>
      <c r="AV805" s="332"/>
      <c r="AW805" s="332"/>
      <c r="AX805" s="332"/>
      <c r="AY805" s="332"/>
      <c r="AZ805" s="332"/>
      <c r="BA805" s="332"/>
      <c r="BB805" s="332"/>
      <c r="BC805" s="332"/>
      <c r="BD805" s="332"/>
      <c r="BE805" s="332"/>
      <c r="BF805" s="332"/>
      <c r="BG805" s="332"/>
      <c r="BH805" s="332"/>
      <c r="BI805" s="332"/>
      <c r="BJ805" s="332"/>
      <c r="BK805" s="332"/>
      <c r="BL805" s="332"/>
      <c r="BM805" s="332"/>
      <c r="BN805" s="332"/>
      <c r="BO805" s="332"/>
      <c r="BP805" s="332"/>
      <c r="BQ805" s="332"/>
      <c r="BR805" s="332"/>
      <c r="BS805" s="332"/>
      <c r="BT805" s="332"/>
      <c r="BU805" s="332"/>
      <c r="BV805" s="332"/>
      <c r="BW805" s="332"/>
      <c r="BX805" s="332"/>
      <c r="BY805" s="332"/>
      <c r="BZ805" s="332"/>
      <c r="CA805" s="332"/>
      <c r="CB805" s="332"/>
      <c r="CC805" s="332"/>
      <c r="CD805" s="332"/>
      <c r="CE805" s="332"/>
      <c r="CF805" s="332"/>
      <c r="CG805" s="332"/>
      <c r="CH805" s="332"/>
      <c r="CI805" s="332"/>
      <c r="CJ805" s="332"/>
      <c r="CK805" s="332"/>
      <c r="CL805" s="332"/>
      <c r="CM805" s="332"/>
      <c r="CN805" s="332"/>
      <c r="CO805" s="332"/>
      <c r="CP805" s="332"/>
      <c r="CQ805" s="332"/>
      <c r="CR805" s="332"/>
      <c r="CS805" s="332"/>
      <c r="CT805" s="332"/>
      <c r="CU805" s="332"/>
      <c r="CV805" s="332"/>
      <c r="CW805" s="332"/>
      <c r="CX805" s="332"/>
      <c r="CY805" s="332"/>
      <c r="CZ805" s="332"/>
      <c r="DA805" s="332"/>
      <c r="DB805" s="332"/>
      <c r="DC805" s="332"/>
      <c r="DD805" s="332"/>
      <c r="DE805" s="332"/>
      <c r="DF805" s="332"/>
      <c r="DG805" s="332"/>
      <c r="DH805" s="332"/>
      <c r="DI805" s="332"/>
      <c r="DJ805" s="332"/>
      <c r="DK805" s="332"/>
      <c r="DL805" s="332"/>
      <c r="DM805" s="332"/>
      <c r="DN805" s="332"/>
      <c r="DO805" s="332"/>
      <c r="DP805" s="332"/>
      <c r="DQ805" s="332"/>
      <c r="DR805" s="332"/>
      <c r="DS805" s="332"/>
      <c r="DT805" s="332"/>
      <c r="DU805" s="453"/>
      <c r="DV805" s="453"/>
      <c r="DW805" s="453"/>
      <c r="DX805" s="453"/>
      <c r="DY805" s="453"/>
      <c r="DZ805" s="453"/>
      <c r="EA805" s="453"/>
      <c r="EB805" s="453"/>
      <c r="EC805" s="453"/>
      <c r="ED805" s="453"/>
      <c r="EE805" s="453"/>
      <c r="EF805" s="453"/>
      <c r="EG805" s="453"/>
      <c r="EH805" s="453"/>
      <c r="EI805" s="453"/>
      <c r="EJ805" s="453"/>
      <c r="EK805" s="453"/>
      <c r="EL805" s="453"/>
      <c r="EM805" s="483">
        <f t="shared" si="233"/>
        <v>496</v>
      </c>
      <c r="EN805" s="485"/>
      <c r="EO805" s="458"/>
      <c r="EP805" s="467"/>
      <c r="EQ805" s="457"/>
      <c r="ER805" s="808"/>
      <c r="ES805" s="881">
        <f t="shared" si="235"/>
        <v>0</v>
      </c>
      <c r="ET805" s="882"/>
      <c r="EU805" s="883"/>
      <c r="EV805" s="884">
        <f t="shared" si="236"/>
        <v>0</v>
      </c>
      <c r="EW805" s="885"/>
      <c r="EX805" s="885"/>
      <c r="EY805" s="885"/>
      <c r="EZ805" s="885"/>
      <c r="FA805" s="885"/>
      <c r="FB805" s="885"/>
      <c r="FC805" s="885"/>
      <c r="FD805" s="886"/>
      <c r="FE805" s="550"/>
      <c r="FF805" s="550"/>
      <c r="FG805" s="550"/>
      <c r="FH805" s="550"/>
      <c r="FI805" s="550"/>
      <c r="FJ805" s="550"/>
      <c r="FK805" s="550"/>
      <c r="FL805" s="555"/>
      <c r="FM805" s="554"/>
      <c r="FN805" s="554"/>
      <c r="FO805" s="554"/>
      <c r="FP805" s="554"/>
      <c r="FQ805" s="554"/>
      <c r="FR805" s="554"/>
      <c r="FS805" s="554"/>
      <c r="FT805" s="554"/>
      <c r="FU805" s="554"/>
      <c r="FV805" s="554"/>
      <c r="FW805" s="554"/>
      <c r="FX805" s="554"/>
      <c r="FY805" s="554"/>
      <c r="FZ805" s="554"/>
      <c r="GA805" s="554"/>
      <c r="GB805" s="556"/>
      <c r="GC805" s="370"/>
      <c r="GD805" s="453"/>
      <c r="GE805" s="453"/>
      <c r="GF805" s="453"/>
      <c r="GG805" s="453"/>
      <c r="GH805" s="454"/>
      <c r="GI805" s="453"/>
      <c r="GJ805" s="453"/>
      <c r="GK805" s="453"/>
      <c r="GL805" s="453"/>
      <c r="GM805" s="453"/>
      <c r="GN805" s="453"/>
      <c r="GO805" s="453"/>
      <c r="GP805" s="453"/>
      <c r="GQ805" s="453"/>
      <c r="GR805" s="453"/>
      <c r="GS805" s="561"/>
      <c r="GT805" s="475"/>
      <c r="GU805" s="472"/>
      <c r="GV805" s="453"/>
      <c r="GW805" s="453"/>
      <c r="GX805" s="869"/>
      <c r="GY805" s="870"/>
      <c r="GZ805" s="867"/>
      <c r="HA805" s="868"/>
      <c r="HB805" s="473"/>
      <c r="HC805" s="869"/>
      <c r="HD805" s="870"/>
      <c r="HE805" s="867"/>
      <c r="HF805" s="868"/>
      <c r="HG805" s="473"/>
      <c r="HH805" s="867"/>
      <c r="HI805" s="868"/>
      <c r="HJ805" s="867"/>
      <c r="HK805" s="868"/>
      <c r="HL805" s="370"/>
      <c r="HM805" s="865"/>
      <c r="HN805" s="866"/>
      <c r="HO805" s="865"/>
      <c r="HP805" s="866"/>
      <c r="HQ805" s="865"/>
      <c r="HR805" s="866"/>
      <c r="HS805" s="867"/>
      <c r="HT805" s="868"/>
      <c r="HU805" s="489"/>
      <c r="HV805" s="865"/>
      <c r="HW805" s="866"/>
    </row>
    <row r="806" spans="25:231" ht="15" customHeight="1">
      <c r="Y806" s="332"/>
      <c r="Z806" s="332"/>
      <c r="AA806" s="332"/>
      <c r="AB806" s="332"/>
      <c r="AC806" s="332"/>
      <c r="AD806" s="332"/>
      <c r="AE806" s="332"/>
      <c r="AF806" s="332"/>
      <c r="AG806" s="332"/>
      <c r="AH806" s="332"/>
      <c r="AI806" s="332"/>
      <c r="AJ806" s="332"/>
      <c r="AK806" s="332"/>
      <c r="AL806" s="332"/>
      <c r="AM806" s="332"/>
      <c r="AN806" s="332"/>
      <c r="AO806" s="332"/>
      <c r="AP806" s="332"/>
      <c r="AQ806" s="332"/>
      <c r="AR806" s="332"/>
      <c r="AS806" s="332"/>
      <c r="AT806" s="332"/>
      <c r="AU806" s="332"/>
      <c r="AV806" s="332"/>
      <c r="AW806" s="332"/>
      <c r="AX806" s="332"/>
      <c r="AY806" s="332"/>
      <c r="AZ806" s="332"/>
      <c r="BA806" s="332"/>
      <c r="BB806" s="332"/>
      <c r="BC806" s="332"/>
      <c r="BD806" s="332"/>
      <c r="BE806" s="332"/>
      <c r="BF806" s="332"/>
      <c r="BG806" s="332"/>
      <c r="BH806" s="332"/>
      <c r="BI806" s="332"/>
      <c r="BJ806" s="332"/>
      <c r="BK806" s="332"/>
      <c r="BL806" s="332"/>
      <c r="BM806" s="332"/>
      <c r="BN806" s="332"/>
      <c r="BO806" s="332"/>
      <c r="BP806" s="332"/>
      <c r="BQ806" s="332"/>
      <c r="BR806" s="332"/>
      <c r="BS806" s="332"/>
      <c r="BT806" s="332"/>
      <c r="BU806" s="332"/>
      <c r="BV806" s="332"/>
      <c r="BW806" s="332"/>
      <c r="BX806" s="332"/>
      <c r="BY806" s="332"/>
      <c r="BZ806" s="332"/>
      <c r="CA806" s="332"/>
      <c r="CB806" s="332"/>
      <c r="CC806" s="332"/>
      <c r="CD806" s="332"/>
      <c r="CE806" s="332"/>
      <c r="CF806" s="332"/>
      <c r="CG806" s="332"/>
      <c r="CH806" s="332"/>
      <c r="CI806" s="332"/>
      <c r="CJ806" s="332"/>
      <c r="CK806" s="332"/>
      <c r="CL806" s="332"/>
      <c r="CM806" s="332"/>
      <c r="CN806" s="332"/>
      <c r="CO806" s="332"/>
      <c r="CP806" s="332"/>
      <c r="CQ806" s="332"/>
      <c r="CR806" s="332"/>
      <c r="CS806" s="332"/>
      <c r="CT806" s="332"/>
      <c r="CU806" s="332"/>
      <c r="CV806" s="332"/>
      <c r="CW806" s="332"/>
      <c r="CX806" s="332"/>
      <c r="CY806" s="332"/>
      <c r="CZ806" s="332"/>
      <c r="DA806" s="332"/>
      <c r="DB806" s="332"/>
      <c r="DC806" s="332"/>
      <c r="DD806" s="332"/>
      <c r="DE806" s="332"/>
      <c r="DF806" s="332"/>
      <c r="DG806" s="332"/>
      <c r="DH806" s="332"/>
      <c r="DI806" s="332"/>
      <c r="DJ806" s="332"/>
      <c r="DK806" s="332"/>
      <c r="DL806" s="332"/>
      <c r="DM806" s="332"/>
      <c r="DN806" s="332"/>
      <c r="DO806" s="332"/>
      <c r="DP806" s="332"/>
      <c r="DQ806" s="332"/>
      <c r="DR806" s="332"/>
      <c r="DS806" s="332"/>
      <c r="DT806" s="332"/>
      <c r="DU806" s="453"/>
      <c r="DV806" s="453"/>
      <c r="DW806" s="453"/>
      <c r="DX806" s="453"/>
      <c r="DY806" s="453"/>
      <c r="DZ806" s="453"/>
      <c r="EA806" s="453"/>
      <c r="EB806" s="453"/>
      <c r="EC806" s="453"/>
      <c r="ED806" s="453"/>
      <c r="EE806" s="453"/>
      <c r="EF806" s="453"/>
      <c r="EG806" s="453"/>
      <c r="EH806" s="453"/>
      <c r="EI806" s="453"/>
      <c r="EJ806" s="453"/>
      <c r="EK806" s="453"/>
      <c r="EL806" s="453"/>
      <c r="EM806" s="483">
        <f t="shared" si="233"/>
        <v>497</v>
      </c>
      <c r="EN806" s="485"/>
      <c r="EO806" s="458"/>
      <c r="EP806" s="467"/>
      <c r="EQ806" s="457"/>
      <c r="ER806" s="808"/>
      <c r="ES806" s="881">
        <f t="shared" si="235"/>
        <v>0</v>
      </c>
      <c r="ET806" s="882"/>
      <c r="EU806" s="883"/>
      <c r="EV806" s="884">
        <f t="shared" si="236"/>
        <v>0</v>
      </c>
      <c r="EW806" s="885"/>
      <c r="EX806" s="885"/>
      <c r="EY806" s="885"/>
      <c r="EZ806" s="885"/>
      <c r="FA806" s="885"/>
      <c r="FB806" s="885"/>
      <c r="FC806" s="885"/>
      <c r="FD806" s="886"/>
      <c r="FE806" s="550"/>
      <c r="FF806" s="550"/>
      <c r="FG806" s="550"/>
      <c r="FH806" s="550"/>
      <c r="FI806" s="550"/>
      <c r="FJ806" s="550"/>
      <c r="FK806" s="550"/>
      <c r="FL806" s="555"/>
      <c r="FM806" s="554"/>
      <c r="FN806" s="554"/>
      <c r="FO806" s="554"/>
      <c r="FP806" s="554"/>
      <c r="FQ806" s="554"/>
      <c r="FR806" s="554"/>
      <c r="FS806" s="554"/>
      <c r="FT806" s="554"/>
      <c r="FU806" s="554"/>
      <c r="FV806" s="554"/>
      <c r="FW806" s="554"/>
      <c r="FX806" s="554"/>
      <c r="FY806" s="554"/>
      <c r="FZ806" s="554"/>
      <c r="GA806" s="554"/>
      <c r="GB806" s="556"/>
      <c r="GC806" s="370"/>
      <c r="GD806" s="453"/>
      <c r="GE806" s="453"/>
      <c r="GF806" s="453"/>
      <c r="GG806" s="453"/>
      <c r="GH806" s="454"/>
      <c r="GI806" s="453"/>
      <c r="GJ806" s="453"/>
      <c r="GK806" s="453"/>
      <c r="GL806" s="453"/>
      <c r="GM806" s="453"/>
      <c r="GN806" s="453"/>
      <c r="GO806" s="453"/>
      <c r="GP806" s="453"/>
      <c r="GQ806" s="453"/>
      <c r="GR806" s="453"/>
      <c r="GS806" s="561"/>
      <c r="GT806" s="475"/>
      <c r="GU806" s="472"/>
      <c r="GV806" s="453"/>
      <c r="GW806" s="453"/>
      <c r="GX806" s="869"/>
      <c r="GY806" s="870"/>
      <c r="GZ806" s="867"/>
      <c r="HA806" s="868"/>
      <c r="HB806" s="473"/>
      <c r="HC806" s="869"/>
      <c r="HD806" s="870"/>
      <c r="HE806" s="867"/>
      <c r="HF806" s="868"/>
      <c r="HG806" s="473"/>
      <c r="HH806" s="867"/>
      <c r="HI806" s="868"/>
      <c r="HJ806" s="867"/>
      <c r="HK806" s="868"/>
      <c r="HL806" s="370"/>
      <c r="HM806" s="865"/>
      <c r="HN806" s="866"/>
      <c r="HO806" s="865"/>
      <c r="HP806" s="866"/>
      <c r="HQ806" s="865"/>
      <c r="HR806" s="866"/>
      <c r="HS806" s="867"/>
      <c r="HT806" s="868"/>
      <c r="HU806" s="489"/>
      <c r="HV806" s="865"/>
      <c r="HW806" s="866"/>
    </row>
    <row r="807" spans="25:231" ht="15" customHeight="1">
      <c r="Y807" s="332"/>
      <c r="Z807" s="332"/>
      <c r="AA807" s="332"/>
      <c r="AB807" s="332"/>
      <c r="AC807" s="332"/>
      <c r="AD807" s="332"/>
      <c r="AE807" s="332"/>
      <c r="AF807" s="332"/>
      <c r="AG807" s="332"/>
      <c r="AH807" s="332"/>
      <c r="AI807" s="332"/>
      <c r="AJ807" s="332"/>
      <c r="AK807" s="332"/>
      <c r="AL807" s="332"/>
      <c r="AM807" s="332"/>
      <c r="AN807" s="332"/>
      <c r="AO807" s="332"/>
      <c r="AP807" s="332"/>
      <c r="AQ807" s="332"/>
      <c r="AR807" s="332"/>
      <c r="AS807" s="332"/>
      <c r="AT807" s="332"/>
      <c r="AU807" s="332"/>
      <c r="AV807" s="332"/>
      <c r="AW807" s="332"/>
      <c r="AX807" s="332"/>
      <c r="AY807" s="332"/>
      <c r="AZ807" s="332"/>
      <c r="BA807" s="332"/>
      <c r="BB807" s="332"/>
      <c r="BC807" s="332"/>
      <c r="BD807" s="332"/>
      <c r="BE807" s="332"/>
      <c r="BF807" s="332"/>
      <c r="BG807" s="332"/>
      <c r="BH807" s="332"/>
      <c r="BI807" s="332"/>
      <c r="BJ807" s="332"/>
      <c r="BK807" s="332"/>
      <c r="BL807" s="332"/>
      <c r="BM807" s="332"/>
      <c r="BN807" s="332"/>
      <c r="BO807" s="332"/>
      <c r="BP807" s="332"/>
      <c r="BQ807" s="332"/>
      <c r="BR807" s="332"/>
      <c r="BS807" s="332"/>
      <c r="BT807" s="332"/>
      <c r="BU807" s="332"/>
      <c r="BV807" s="332"/>
      <c r="BW807" s="332"/>
      <c r="BX807" s="332"/>
      <c r="BY807" s="332"/>
      <c r="BZ807" s="332"/>
      <c r="CA807" s="332"/>
      <c r="CB807" s="332"/>
      <c r="CC807" s="332"/>
      <c r="CD807" s="332"/>
      <c r="CE807" s="332"/>
      <c r="CF807" s="332"/>
      <c r="CG807" s="332"/>
      <c r="CH807" s="332"/>
      <c r="CI807" s="332"/>
      <c r="CJ807" s="332"/>
      <c r="CK807" s="332"/>
      <c r="CL807" s="332"/>
      <c r="CM807" s="332"/>
      <c r="CN807" s="332"/>
      <c r="CO807" s="332"/>
      <c r="CP807" s="332"/>
      <c r="CQ807" s="332"/>
      <c r="CR807" s="332"/>
      <c r="CS807" s="332"/>
      <c r="CT807" s="332"/>
      <c r="CU807" s="332"/>
      <c r="CV807" s="332"/>
      <c r="CW807" s="332"/>
      <c r="CX807" s="332"/>
      <c r="CY807" s="332"/>
      <c r="CZ807" s="332"/>
      <c r="DA807" s="332"/>
      <c r="DB807" s="332"/>
      <c r="DC807" s="332"/>
      <c r="DD807" s="332"/>
      <c r="DE807" s="332"/>
      <c r="DF807" s="332"/>
      <c r="DG807" s="332"/>
      <c r="DH807" s="332"/>
      <c r="DI807" s="332"/>
      <c r="DJ807" s="332"/>
      <c r="DK807" s="332"/>
      <c r="DL807" s="332"/>
      <c r="DM807" s="332"/>
      <c r="DN807" s="332"/>
      <c r="DO807" s="332"/>
      <c r="DP807" s="332"/>
      <c r="DQ807" s="332"/>
      <c r="DR807" s="332"/>
      <c r="DS807" s="332"/>
      <c r="DT807" s="332"/>
      <c r="DU807" s="453"/>
      <c r="DV807" s="453"/>
      <c r="DW807" s="453"/>
      <c r="DX807" s="453"/>
      <c r="DY807" s="453"/>
      <c r="DZ807" s="453"/>
      <c r="EA807" s="453"/>
      <c r="EB807" s="453"/>
      <c r="EC807" s="453"/>
      <c r="ED807" s="453"/>
      <c r="EE807" s="453"/>
      <c r="EF807" s="453"/>
      <c r="EG807" s="453"/>
      <c r="EH807" s="453"/>
      <c r="EI807" s="453"/>
      <c r="EJ807" s="453"/>
      <c r="EK807" s="453"/>
      <c r="EL807" s="453"/>
      <c r="EM807" s="483">
        <f t="shared" si="233"/>
        <v>498</v>
      </c>
      <c r="EN807" s="485"/>
      <c r="EO807" s="458"/>
      <c r="EP807" s="467"/>
      <c r="EQ807" s="457"/>
      <c r="ER807" s="808"/>
      <c r="ES807" s="881">
        <f t="shared" si="235"/>
        <v>0</v>
      </c>
      <c r="ET807" s="882"/>
      <c r="EU807" s="883"/>
      <c r="EV807" s="884">
        <f t="shared" si="236"/>
        <v>0</v>
      </c>
      <c r="EW807" s="885"/>
      <c r="EX807" s="885"/>
      <c r="EY807" s="885"/>
      <c r="EZ807" s="885"/>
      <c r="FA807" s="885"/>
      <c r="FB807" s="885"/>
      <c r="FC807" s="885"/>
      <c r="FD807" s="886"/>
      <c r="FE807" s="550"/>
      <c r="FF807" s="550"/>
      <c r="FG807" s="550"/>
      <c r="FH807" s="550"/>
      <c r="FI807" s="550"/>
      <c r="FJ807" s="550"/>
      <c r="FK807" s="550"/>
      <c r="FL807" s="555"/>
      <c r="FM807" s="554"/>
      <c r="FN807" s="554"/>
      <c r="FO807" s="554"/>
      <c r="FP807" s="554"/>
      <c r="FQ807" s="554"/>
      <c r="FR807" s="554"/>
      <c r="FS807" s="554"/>
      <c r="FT807" s="554"/>
      <c r="FU807" s="554"/>
      <c r="FV807" s="554"/>
      <c r="FW807" s="554"/>
      <c r="FX807" s="554"/>
      <c r="FY807" s="554"/>
      <c r="FZ807" s="554"/>
      <c r="GA807" s="554"/>
      <c r="GB807" s="556"/>
      <c r="GC807" s="370"/>
      <c r="GD807" s="453"/>
      <c r="GE807" s="453"/>
      <c r="GF807" s="453"/>
      <c r="GG807" s="453"/>
      <c r="GH807" s="454"/>
      <c r="GI807" s="453"/>
      <c r="GJ807" s="453"/>
      <c r="GK807" s="453"/>
      <c r="GL807" s="453"/>
      <c r="GM807" s="453"/>
      <c r="GN807" s="453"/>
      <c r="GO807" s="453"/>
      <c r="GP807" s="453"/>
      <c r="GQ807" s="453"/>
      <c r="GR807" s="453"/>
      <c r="GS807" s="561"/>
      <c r="GT807" s="475"/>
      <c r="GU807" s="472"/>
      <c r="GV807" s="453"/>
      <c r="GW807" s="453"/>
      <c r="GX807" s="869"/>
      <c r="GY807" s="870"/>
      <c r="GZ807" s="867"/>
      <c r="HA807" s="868"/>
      <c r="HB807" s="473"/>
      <c r="HC807" s="869"/>
      <c r="HD807" s="870"/>
      <c r="HE807" s="867"/>
      <c r="HF807" s="868"/>
      <c r="HG807" s="473"/>
      <c r="HH807" s="867"/>
      <c r="HI807" s="868"/>
      <c r="HJ807" s="867"/>
      <c r="HK807" s="868"/>
      <c r="HL807" s="370"/>
      <c r="HM807" s="865"/>
      <c r="HN807" s="866"/>
      <c r="HO807" s="865"/>
      <c r="HP807" s="866"/>
      <c r="HQ807" s="865"/>
      <c r="HR807" s="866"/>
      <c r="HS807" s="867"/>
      <c r="HT807" s="868"/>
      <c r="HU807" s="489"/>
      <c r="HV807" s="865"/>
      <c r="HW807" s="866"/>
    </row>
    <row r="808" spans="25:231" ht="15" customHeight="1">
      <c r="Y808" s="332"/>
      <c r="Z808" s="332"/>
      <c r="AA808" s="332"/>
      <c r="AB808" s="332"/>
      <c r="AC808" s="332"/>
      <c r="AD808" s="332"/>
      <c r="AE808" s="332"/>
      <c r="AF808" s="332"/>
      <c r="AG808" s="332"/>
      <c r="AH808" s="332"/>
      <c r="AI808" s="332"/>
      <c r="AJ808" s="332"/>
      <c r="AK808" s="332"/>
      <c r="AL808" s="332"/>
      <c r="AM808" s="332"/>
      <c r="AN808" s="332"/>
      <c r="AO808" s="332"/>
      <c r="AP808" s="332"/>
      <c r="AQ808" s="332"/>
      <c r="AR808" s="332"/>
      <c r="AS808" s="332"/>
      <c r="AT808" s="332"/>
      <c r="AU808" s="332"/>
      <c r="AV808" s="332"/>
      <c r="AW808" s="332"/>
      <c r="AX808" s="332"/>
      <c r="AY808" s="332"/>
      <c r="AZ808" s="332"/>
      <c r="BA808" s="332"/>
      <c r="BB808" s="332"/>
      <c r="BC808" s="332"/>
      <c r="BD808" s="332"/>
      <c r="BE808" s="332"/>
      <c r="BF808" s="332"/>
      <c r="BG808" s="332"/>
      <c r="BH808" s="332"/>
      <c r="BI808" s="332"/>
      <c r="BJ808" s="332"/>
      <c r="BK808" s="332"/>
      <c r="BL808" s="332"/>
      <c r="BM808" s="332"/>
      <c r="BN808" s="332"/>
      <c r="BO808" s="332"/>
      <c r="BP808" s="332"/>
      <c r="BQ808" s="332"/>
      <c r="BR808" s="332"/>
      <c r="BS808" s="332"/>
      <c r="BT808" s="332"/>
      <c r="BU808" s="332"/>
      <c r="BV808" s="332"/>
      <c r="BW808" s="332"/>
      <c r="BX808" s="332"/>
      <c r="BY808" s="332"/>
      <c r="BZ808" s="332"/>
      <c r="CA808" s="332"/>
      <c r="CB808" s="332"/>
      <c r="CC808" s="332"/>
      <c r="CD808" s="332"/>
      <c r="CE808" s="332"/>
      <c r="CF808" s="332"/>
      <c r="CG808" s="332"/>
      <c r="CH808" s="332"/>
      <c r="CI808" s="332"/>
      <c r="CJ808" s="332"/>
      <c r="CK808" s="332"/>
      <c r="CL808" s="332"/>
      <c r="CM808" s="332"/>
      <c r="CN808" s="332"/>
      <c r="CO808" s="332"/>
      <c r="CP808" s="332"/>
      <c r="CQ808" s="332"/>
      <c r="CR808" s="332"/>
      <c r="CS808" s="332"/>
      <c r="CT808" s="332"/>
      <c r="CU808" s="332"/>
      <c r="CV808" s="332"/>
      <c r="CW808" s="332"/>
      <c r="CX808" s="332"/>
      <c r="CY808" s="332"/>
      <c r="CZ808" s="332"/>
      <c r="DA808" s="332"/>
      <c r="DB808" s="332"/>
      <c r="DC808" s="332"/>
      <c r="DD808" s="332"/>
      <c r="DE808" s="332"/>
      <c r="DF808" s="332"/>
      <c r="DG808" s="332"/>
      <c r="DH808" s="332"/>
      <c r="DI808" s="332"/>
      <c r="DJ808" s="332"/>
      <c r="DK808" s="332"/>
      <c r="DL808" s="332"/>
      <c r="DM808" s="332"/>
      <c r="DN808" s="332"/>
      <c r="DO808" s="332"/>
      <c r="DP808" s="332"/>
      <c r="DQ808" s="332"/>
      <c r="DR808" s="332"/>
      <c r="DS808" s="332"/>
      <c r="DT808" s="332"/>
      <c r="DU808" s="453"/>
      <c r="DV808" s="453"/>
      <c r="DW808" s="453"/>
      <c r="DX808" s="453"/>
      <c r="DY808" s="453"/>
      <c r="DZ808" s="453"/>
      <c r="EA808" s="453"/>
      <c r="EB808" s="453"/>
      <c r="EC808" s="453"/>
      <c r="ED808" s="453"/>
      <c r="EE808" s="453"/>
      <c r="EF808" s="453"/>
      <c r="EG808" s="453"/>
      <c r="EH808" s="453"/>
      <c r="EI808" s="453"/>
      <c r="EJ808" s="453"/>
      <c r="EK808" s="453"/>
      <c r="EL808" s="453"/>
      <c r="EM808" s="483">
        <f t="shared" si="233"/>
        <v>499</v>
      </c>
      <c r="EN808" s="485"/>
      <c r="EO808" s="458"/>
      <c r="EP808" s="467"/>
      <c r="EQ808" s="457"/>
      <c r="ER808" s="808"/>
      <c r="ES808" s="881">
        <f t="shared" si="235"/>
        <v>0</v>
      </c>
      <c r="ET808" s="882"/>
      <c r="EU808" s="883"/>
      <c r="EV808" s="884">
        <f t="shared" si="236"/>
        <v>0</v>
      </c>
      <c r="EW808" s="885"/>
      <c r="EX808" s="885"/>
      <c r="EY808" s="885"/>
      <c r="EZ808" s="885"/>
      <c r="FA808" s="885"/>
      <c r="FB808" s="885"/>
      <c r="FC808" s="885"/>
      <c r="FD808" s="886"/>
      <c r="FE808" s="550"/>
      <c r="FF808" s="550"/>
      <c r="FG808" s="550"/>
      <c r="FH808" s="550"/>
      <c r="FI808" s="550"/>
      <c r="FJ808" s="550"/>
      <c r="FK808" s="550"/>
      <c r="FL808" s="555"/>
      <c r="FM808" s="554"/>
      <c r="FN808" s="554"/>
      <c r="FO808" s="554"/>
      <c r="FP808" s="554"/>
      <c r="FQ808" s="554"/>
      <c r="FR808" s="554"/>
      <c r="FS808" s="554"/>
      <c r="FT808" s="554"/>
      <c r="FU808" s="554"/>
      <c r="FV808" s="554"/>
      <c r="FW808" s="554"/>
      <c r="FX808" s="554"/>
      <c r="FY808" s="554"/>
      <c r="FZ808" s="554"/>
      <c r="GA808" s="554"/>
      <c r="GB808" s="556"/>
      <c r="GC808" s="370"/>
      <c r="GD808" s="453"/>
      <c r="GE808" s="453"/>
      <c r="GF808" s="453"/>
      <c r="GG808" s="453"/>
      <c r="GH808" s="454"/>
      <c r="GI808" s="453"/>
      <c r="GJ808" s="453"/>
      <c r="GK808" s="453"/>
      <c r="GL808" s="453"/>
      <c r="GM808" s="453"/>
      <c r="GN808" s="453"/>
      <c r="GO808" s="453"/>
      <c r="GP808" s="453"/>
      <c r="GQ808" s="453"/>
      <c r="GR808" s="453"/>
      <c r="GS808" s="561"/>
      <c r="GT808" s="475"/>
      <c r="GU808" s="472"/>
      <c r="GV808" s="453"/>
      <c r="GW808" s="453"/>
      <c r="GX808" s="869"/>
      <c r="GY808" s="870"/>
      <c r="GZ808" s="867"/>
      <c r="HA808" s="868"/>
      <c r="HB808" s="473"/>
      <c r="HC808" s="869"/>
      <c r="HD808" s="870"/>
      <c r="HE808" s="867"/>
      <c r="HF808" s="868"/>
      <c r="HG808" s="473"/>
      <c r="HH808" s="867"/>
      <c r="HI808" s="868"/>
      <c r="HJ808" s="867"/>
      <c r="HK808" s="868"/>
      <c r="HL808" s="370"/>
      <c r="HM808" s="865"/>
      <c r="HN808" s="866"/>
      <c r="HO808" s="865"/>
      <c r="HP808" s="866"/>
      <c r="HQ808" s="865"/>
      <c r="HR808" s="866"/>
      <c r="HS808" s="867"/>
      <c r="HT808" s="868"/>
      <c r="HU808" s="489"/>
      <c r="HV808" s="865"/>
      <c r="HW808" s="866"/>
    </row>
    <row r="809" spans="25:231" ht="15" customHeight="1">
      <c r="Y809" s="332"/>
      <c r="Z809" s="332"/>
      <c r="AA809" s="332"/>
      <c r="AB809" s="332"/>
      <c r="AC809" s="332"/>
      <c r="AD809" s="332"/>
      <c r="AE809" s="332"/>
      <c r="AF809" s="332"/>
      <c r="AG809" s="332"/>
      <c r="AH809" s="332"/>
      <c r="AI809" s="332"/>
      <c r="AJ809" s="332"/>
      <c r="AK809" s="332"/>
      <c r="AL809" s="332"/>
      <c r="AM809" s="332"/>
      <c r="AN809" s="332"/>
      <c r="AO809" s="332"/>
      <c r="AP809" s="332"/>
      <c r="AQ809" s="332"/>
      <c r="AR809" s="332"/>
      <c r="AS809" s="332"/>
      <c r="AT809" s="332"/>
      <c r="AU809" s="332"/>
      <c r="AV809" s="332"/>
      <c r="AW809" s="332"/>
      <c r="AX809" s="332"/>
      <c r="AY809" s="332"/>
      <c r="AZ809" s="332"/>
      <c r="BA809" s="332"/>
      <c r="BB809" s="332"/>
      <c r="BC809" s="332"/>
      <c r="BD809" s="332"/>
      <c r="BE809" s="332"/>
      <c r="BF809" s="332"/>
      <c r="BG809" s="332"/>
      <c r="BH809" s="332"/>
      <c r="BI809" s="332"/>
      <c r="BJ809" s="332"/>
      <c r="BK809" s="332"/>
      <c r="BL809" s="332"/>
      <c r="BM809" s="332"/>
      <c r="BN809" s="332"/>
      <c r="BO809" s="332"/>
      <c r="BP809" s="332"/>
      <c r="BQ809" s="332"/>
      <c r="BR809" s="332"/>
      <c r="BS809" s="332"/>
      <c r="BT809" s="332"/>
      <c r="BU809" s="332"/>
      <c r="BV809" s="332"/>
      <c r="BW809" s="332"/>
      <c r="BX809" s="332"/>
      <c r="BY809" s="332"/>
      <c r="BZ809" s="332"/>
      <c r="CA809" s="332"/>
      <c r="CB809" s="332"/>
      <c r="CC809" s="332"/>
      <c r="CD809" s="332"/>
      <c r="CE809" s="332"/>
      <c r="CF809" s="332"/>
      <c r="CG809" s="332"/>
      <c r="CH809" s="332"/>
      <c r="CI809" s="332"/>
      <c r="CJ809" s="332"/>
      <c r="CK809" s="332"/>
      <c r="CL809" s="332"/>
      <c r="CM809" s="332"/>
      <c r="CN809" s="332"/>
      <c r="CO809" s="332"/>
      <c r="CP809" s="332"/>
      <c r="CQ809" s="332"/>
      <c r="CR809" s="332"/>
      <c r="CS809" s="332"/>
      <c r="CT809" s="332"/>
      <c r="CU809" s="332"/>
      <c r="CV809" s="332"/>
      <c r="CW809" s="332"/>
      <c r="CX809" s="332"/>
      <c r="CY809" s="332"/>
      <c r="CZ809" s="332"/>
      <c r="DA809" s="332"/>
      <c r="DB809" s="332"/>
      <c r="DC809" s="332"/>
      <c r="DD809" s="332"/>
      <c r="DE809" s="332"/>
      <c r="DF809" s="332"/>
      <c r="DG809" s="332"/>
      <c r="DH809" s="332"/>
      <c r="DI809" s="332"/>
      <c r="DJ809" s="332"/>
      <c r="DK809" s="332"/>
      <c r="DL809" s="332"/>
      <c r="DM809" s="332"/>
      <c r="DN809" s="332"/>
      <c r="DO809" s="332"/>
      <c r="DP809" s="332"/>
      <c r="DQ809" s="332"/>
      <c r="DR809" s="332"/>
      <c r="DS809" s="332"/>
      <c r="DT809" s="332"/>
      <c r="DU809" s="453"/>
      <c r="DV809" s="453"/>
      <c r="DW809" s="453"/>
      <c r="DX809" s="453"/>
      <c r="DY809" s="453"/>
      <c r="DZ809" s="453"/>
      <c r="EA809" s="453"/>
      <c r="EB809" s="453"/>
      <c r="EC809" s="453"/>
      <c r="ED809" s="453"/>
      <c r="EE809" s="453"/>
      <c r="EF809" s="453"/>
      <c r="EG809" s="453"/>
      <c r="EH809" s="453"/>
      <c r="EI809" s="453"/>
      <c r="EJ809" s="453"/>
      <c r="EK809" s="453"/>
      <c r="EL809" s="453"/>
      <c r="EM809" s="483">
        <f t="shared" si="233"/>
        <v>500</v>
      </c>
      <c r="EN809" s="485"/>
      <c r="EO809" s="458"/>
      <c r="EP809" s="467"/>
      <c r="EQ809" s="457"/>
      <c r="ER809" s="808"/>
      <c r="ES809" s="881">
        <f t="shared" si="235"/>
        <v>0</v>
      </c>
      <c r="ET809" s="882"/>
      <c r="EU809" s="883"/>
      <c r="EV809" s="884">
        <f t="shared" si="236"/>
        <v>0</v>
      </c>
      <c r="EW809" s="885"/>
      <c r="EX809" s="885"/>
      <c r="EY809" s="885"/>
      <c r="EZ809" s="885"/>
      <c r="FA809" s="885"/>
      <c r="FB809" s="885"/>
      <c r="FC809" s="885"/>
      <c r="FD809" s="886"/>
      <c r="FE809" s="550"/>
      <c r="FF809" s="550"/>
      <c r="FG809" s="550"/>
      <c r="FH809" s="550"/>
      <c r="FI809" s="550"/>
      <c r="FJ809" s="550"/>
      <c r="FK809" s="550"/>
      <c r="FL809" s="555"/>
      <c r="FM809" s="554"/>
      <c r="FN809" s="554"/>
      <c r="FO809" s="554"/>
      <c r="FP809" s="554"/>
      <c r="FQ809" s="554"/>
      <c r="FR809" s="554"/>
      <c r="FS809" s="554"/>
      <c r="FT809" s="554"/>
      <c r="FU809" s="554"/>
      <c r="FV809" s="554"/>
      <c r="FW809" s="554"/>
      <c r="FX809" s="554"/>
      <c r="FY809" s="554"/>
      <c r="FZ809" s="554"/>
      <c r="GA809" s="554"/>
      <c r="GB809" s="556"/>
      <c r="GC809" s="370"/>
      <c r="GD809" s="453"/>
      <c r="GE809" s="453"/>
      <c r="GF809" s="453"/>
      <c r="GG809" s="453"/>
      <c r="GH809" s="454"/>
      <c r="GI809" s="453"/>
      <c r="GJ809" s="453"/>
      <c r="GK809" s="453"/>
      <c r="GL809" s="453"/>
      <c r="GM809" s="453"/>
      <c r="GN809" s="453"/>
      <c r="GO809" s="453"/>
      <c r="GP809" s="453"/>
      <c r="GQ809" s="453"/>
      <c r="GR809" s="453"/>
      <c r="GS809" s="561"/>
      <c r="GT809" s="475"/>
      <c r="GU809" s="472"/>
      <c r="GV809" s="453"/>
      <c r="GW809" s="453"/>
      <c r="GX809" s="869"/>
      <c r="GY809" s="870"/>
      <c r="GZ809" s="867"/>
      <c r="HA809" s="868"/>
      <c r="HB809" s="473"/>
      <c r="HC809" s="869"/>
      <c r="HD809" s="870"/>
      <c r="HE809" s="867"/>
      <c r="HF809" s="868"/>
      <c r="HG809" s="473"/>
      <c r="HH809" s="867"/>
      <c r="HI809" s="868"/>
      <c r="HJ809" s="867"/>
      <c r="HK809" s="868"/>
      <c r="HL809" s="370"/>
      <c r="HM809" s="865"/>
      <c r="HN809" s="866"/>
      <c r="HO809" s="865"/>
      <c r="HP809" s="866"/>
      <c r="HQ809" s="865"/>
      <c r="HR809" s="866"/>
      <c r="HS809" s="867"/>
      <c r="HT809" s="868"/>
      <c r="HU809" s="489"/>
      <c r="HV809" s="865"/>
      <c r="HW809" s="866"/>
    </row>
    <row r="810" spans="25:231" ht="15" customHeight="1">
      <c r="Y810" s="332"/>
      <c r="Z810" s="332"/>
      <c r="AA810" s="332"/>
      <c r="AB810" s="332"/>
      <c r="AC810" s="332"/>
      <c r="AD810" s="332"/>
      <c r="AE810" s="332"/>
      <c r="AF810" s="332"/>
      <c r="AG810" s="332"/>
      <c r="AH810" s="332"/>
      <c r="AI810" s="332"/>
      <c r="AJ810" s="332"/>
      <c r="AK810" s="332"/>
      <c r="AL810" s="332"/>
      <c r="AM810" s="332"/>
      <c r="AN810" s="332"/>
      <c r="AO810" s="332"/>
      <c r="AP810" s="332"/>
      <c r="AQ810" s="332"/>
      <c r="AR810" s="332"/>
      <c r="AS810" s="332"/>
      <c r="AT810" s="332"/>
      <c r="AU810" s="332"/>
      <c r="AV810" s="332"/>
      <c r="AW810" s="332"/>
      <c r="AX810" s="332"/>
      <c r="AY810" s="332"/>
      <c r="AZ810" s="332"/>
      <c r="BA810" s="332"/>
      <c r="BB810" s="332"/>
      <c r="BC810" s="332"/>
      <c r="BD810" s="332"/>
      <c r="BE810" s="332"/>
      <c r="BF810" s="332"/>
      <c r="BG810" s="332"/>
      <c r="BH810" s="332"/>
      <c r="BI810" s="332"/>
      <c r="BJ810" s="332"/>
      <c r="BK810" s="332"/>
      <c r="BL810" s="332"/>
      <c r="BM810" s="332"/>
      <c r="BN810" s="332"/>
      <c r="BO810" s="332"/>
      <c r="BP810" s="332"/>
      <c r="BQ810" s="332"/>
      <c r="BR810" s="332"/>
      <c r="BS810" s="332"/>
      <c r="BT810" s="332"/>
      <c r="BU810" s="332"/>
      <c r="BV810" s="332"/>
      <c r="BW810" s="332"/>
      <c r="BX810" s="332"/>
      <c r="BY810" s="332"/>
      <c r="BZ810" s="332"/>
      <c r="CA810" s="332"/>
      <c r="CB810" s="332"/>
      <c r="CC810" s="332"/>
      <c r="CD810" s="332"/>
      <c r="CE810" s="332"/>
      <c r="CF810" s="332"/>
      <c r="CG810" s="332"/>
      <c r="CH810" s="332"/>
      <c r="CI810" s="332"/>
      <c r="CJ810" s="332"/>
      <c r="CK810" s="332"/>
      <c r="CL810" s="332"/>
      <c r="CM810" s="332"/>
      <c r="CN810" s="332"/>
      <c r="CO810" s="332"/>
      <c r="CP810" s="332"/>
      <c r="CQ810" s="332"/>
      <c r="CR810" s="332"/>
      <c r="CS810" s="332"/>
      <c r="CT810" s="332"/>
      <c r="CU810" s="332"/>
      <c r="CV810" s="332"/>
      <c r="CW810" s="332"/>
      <c r="CX810" s="332"/>
      <c r="CY810" s="332"/>
      <c r="CZ810" s="332"/>
      <c r="DA810" s="332"/>
      <c r="DB810" s="332"/>
      <c r="DC810" s="332"/>
      <c r="DD810" s="332"/>
      <c r="DE810" s="332"/>
      <c r="DF810" s="332"/>
      <c r="DG810" s="332"/>
      <c r="DH810" s="332"/>
      <c r="DI810" s="332"/>
      <c r="DJ810" s="332"/>
      <c r="DK810" s="332"/>
      <c r="DL810" s="332"/>
      <c r="DM810" s="332"/>
      <c r="DN810" s="332"/>
      <c r="DO810" s="332"/>
      <c r="DP810" s="332"/>
      <c r="DQ810" s="332"/>
      <c r="DR810" s="332"/>
      <c r="DS810" s="332"/>
      <c r="DT810" s="332"/>
      <c r="DU810" s="453"/>
      <c r="DV810" s="453"/>
      <c r="DW810" s="453"/>
      <c r="DX810" s="453"/>
      <c r="DY810" s="453"/>
      <c r="DZ810" s="453"/>
      <c r="EA810" s="453"/>
      <c r="EB810" s="453"/>
      <c r="EC810" s="453"/>
      <c r="ED810" s="453"/>
      <c r="EE810" s="453"/>
      <c r="EF810" s="453"/>
      <c r="EG810" s="453"/>
      <c r="EH810" s="453"/>
      <c r="EI810" s="453"/>
      <c r="EJ810" s="453"/>
      <c r="EK810" s="453"/>
      <c r="EL810" s="453"/>
      <c r="EM810" s="483">
        <f t="shared" si="233"/>
        <v>501</v>
      </c>
      <c r="EN810" s="485"/>
      <c r="EO810" s="458"/>
      <c r="EP810" s="467"/>
      <c r="EQ810" s="457"/>
      <c r="ER810" s="808"/>
      <c r="ES810" s="881">
        <f t="shared" si="235"/>
        <v>0</v>
      </c>
      <c r="ET810" s="882"/>
      <c r="EU810" s="883"/>
      <c r="EV810" s="884">
        <f t="shared" si="236"/>
        <v>0</v>
      </c>
      <c r="EW810" s="885"/>
      <c r="EX810" s="885"/>
      <c r="EY810" s="885"/>
      <c r="EZ810" s="885"/>
      <c r="FA810" s="885"/>
      <c r="FB810" s="885"/>
      <c r="FC810" s="885"/>
      <c r="FD810" s="886"/>
      <c r="FE810" s="550"/>
      <c r="FF810" s="550"/>
      <c r="FG810" s="550"/>
      <c r="FH810" s="550"/>
      <c r="FI810" s="550"/>
      <c r="FJ810" s="550"/>
      <c r="FK810" s="550"/>
      <c r="FL810" s="555"/>
      <c r="FM810" s="554"/>
      <c r="FN810" s="554"/>
      <c r="FO810" s="554"/>
      <c r="FP810" s="554"/>
      <c r="FQ810" s="554"/>
      <c r="FR810" s="554"/>
      <c r="FS810" s="554"/>
      <c r="FT810" s="554"/>
      <c r="FU810" s="554"/>
      <c r="FV810" s="554"/>
      <c r="FW810" s="554"/>
      <c r="FX810" s="554"/>
      <c r="FY810" s="554"/>
      <c r="FZ810" s="554"/>
      <c r="GA810" s="554"/>
      <c r="GB810" s="556"/>
      <c r="GC810" s="370"/>
      <c r="GD810" s="453"/>
      <c r="GE810" s="453"/>
      <c r="GF810" s="453"/>
      <c r="GG810" s="453"/>
      <c r="GH810" s="454"/>
      <c r="GI810" s="453"/>
      <c r="GJ810" s="453"/>
      <c r="GK810" s="453"/>
      <c r="GL810" s="453"/>
      <c r="GM810" s="453"/>
      <c r="GN810" s="453"/>
      <c r="GO810" s="453"/>
      <c r="GP810" s="453"/>
      <c r="GQ810" s="453"/>
      <c r="GR810" s="453"/>
      <c r="GS810" s="561"/>
      <c r="GT810" s="475"/>
      <c r="GU810" s="472"/>
      <c r="GV810" s="453"/>
      <c r="GW810" s="453"/>
      <c r="GX810" s="869"/>
      <c r="GY810" s="870"/>
      <c r="GZ810" s="867"/>
      <c r="HA810" s="868"/>
      <c r="HB810" s="473"/>
      <c r="HC810" s="869"/>
      <c r="HD810" s="870"/>
      <c r="HE810" s="867"/>
      <c r="HF810" s="868"/>
      <c r="HG810" s="473"/>
      <c r="HH810" s="867"/>
      <c r="HI810" s="868"/>
      <c r="HJ810" s="867"/>
      <c r="HK810" s="868"/>
      <c r="HL810" s="370"/>
      <c r="HM810" s="865"/>
      <c r="HN810" s="866"/>
      <c r="HO810" s="865"/>
      <c r="HP810" s="866"/>
      <c r="HQ810" s="865"/>
      <c r="HR810" s="866"/>
      <c r="HS810" s="867"/>
      <c r="HT810" s="868"/>
      <c r="HU810" s="489"/>
      <c r="HV810" s="865"/>
      <c r="HW810" s="866"/>
    </row>
    <row r="811" spans="25:231" ht="15" customHeight="1">
      <c r="Y811" s="332"/>
      <c r="Z811" s="332"/>
      <c r="AA811" s="332"/>
      <c r="AB811" s="332"/>
      <c r="AC811" s="332"/>
      <c r="AD811" s="332"/>
      <c r="AE811" s="332"/>
      <c r="AF811" s="332"/>
      <c r="AG811" s="332"/>
      <c r="AH811" s="332"/>
      <c r="AI811" s="332"/>
      <c r="AJ811" s="332"/>
      <c r="AK811" s="332"/>
      <c r="AL811" s="332"/>
      <c r="AM811" s="332"/>
      <c r="AN811" s="332"/>
      <c r="AO811" s="332"/>
      <c r="AP811" s="332"/>
      <c r="AQ811" s="332"/>
      <c r="AR811" s="332"/>
      <c r="AS811" s="332"/>
      <c r="AT811" s="332"/>
      <c r="AU811" s="332"/>
      <c r="AV811" s="332"/>
      <c r="AW811" s="332"/>
      <c r="AX811" s="332"/>
      <c r="AY811" s="332"/>
      <c r="AZ811" s="332"/>
      <c r="BA811" s="332"/>
      <c r="BB811" s="332"/>
      <c r="BC811" s="332"/>
      <c r="BD811" s="332"/>
      <c r="BE811" s="332"/>
      <c r="BF811" s="332"/>
      <c r="BG811" s="332"/>
      <c r="BH811" s="332"/>
      <c r="BI811" s="332"/>
      <c r="BJ811" s="332"/>
      <c r="BK811" s="332"/>
      <c r="BL811" s="332"/>
      <c r="BM811" s="332"/>
      <c r="BN811" s="332"/>
      <c r="BO811" s="332"/>
      <c r="BP811" s="332"/>
      <c r="BQ811" s="332"/>
      <c r="BR811" s="332"/>
      <c r="BS811" s="332"/>
      <c r="BT811" s="332"/>
      <c r="BU811" s="332"/>
      <c r="BV811" s="332"/>
      <c r="BW811" s="332"/>
      <c r="BX811" s="332"/>
      <c r="BY811" s="332"/>
      <c r="BZ811" s="332"/>
      <c r="CA811" s="332"/>
      <c r="CB811" s="332"/>
      <c r="CC811" s="332"/>
      <c r="CD811" s="332"/>
      <c r="CE811" s="332"/>
      <c r="CF811" s="332"/>
      <c r="CG811" s="332"/>
      <c r="CH811" s="332"/>
      <c r="CI811" s="332"/>
      <c r="CJ811" s="332"/>
      <c r="CK811" s="332"/>
      <c r="CL811" s="332"/>
      <c r="CM811" s="332"/>
      <c r="CN811" s="332"/>
      <c r="CO811" s="332"/>
      <c r="CP811" s="332"/>
      <c r="CQ811" s="332"/>
      <c r="CR811" s="332"/>
      <c r="CS811" s="332"/>
      <c r="CT811" s="332"/>
      <c r="CU811" s="332"/>
      <c r="CV811" s="332"/>
      <c r="CW811" s="332"/>
      <c r="CX811" s="332"/>
      <c r="CY811" s="332"/>
      <c r="CZ811" s="332"/>
      <c r="DA811" s="332"/>
      <c r="DB811" s="332"/>
      <c r="DC811" s="332"/>
      <c r="DD811" s="332"/>
      <c r="DE811" s="332"/>
      <c r="DF811" s="332"/>
      <c r="DG811" s="332"/>
      <c r="DH811" s="332"/>
      <c r="DI811" s="332"/>
      <c r="DJ811" s="332"/>
      <c r="DK811" s="332"/>
      <c r="DL811" s="332"/>
      <c r="DM811" s="332"/>
      <c r="DN811" s="332"/>
      <c r="DO811" s="332"/>
      <c r="DP811" s="332"/>
      <c r="DQ811" s="332"/>
      <c r="DR811" s="332"/>
      <c r="DS811" s="332"/>
      <c r="DT811" s="332"/>
      <c r="DU811" s="453"/>
      <c r="DV811" s="453"/>
      <c r="DW811" s="453"/>
      <c r="DX811" s="453"/>
      <c r="DY811" s="453"/>
      <c r="DZ811" s="453"/>
      <c r="EA811" s="453"/>
      <c r="EB811" s="453"/>
      <c r="EC811" s="453"/>
      <c r="ED811" s="453"/>
      <c r="EE811" s="453"/>
      <c r="EF811" s="453"/>
      <c r="EG811" s="453"/>
      <c r="EH811" s="453"/>
      <c r="EI811" s="453"/>
      <c r="EJ811" s="453"/>
      <c r="EK811" s="453"/>
      <c r="EL811" s="453"/>
      <c r="EM811" s="483">
        <f t="shared" si="233"/>
        <v>502</v>
      </c>
      <c r="EN811" s="485"/>
      <c r="EO811" s="458"/>
      <c r="EP811" s="467"/>
      <c r="EQ811" s="457"/>
      <c r="ER811" s="808"/>
      <c r="ES811" s="881">
        <f t="shared" si="235"/>
        <v>0</v>
      </c>
      <c r="ET811" s="882"/>
      <c r="EU811" s="883"/>
      <c r="EV811" s="884">
        <f t="shared" si="236"/>
        <v>0</v>
      </c>
      <c r="EW811" s="885"/>
      <c r="EX811" s="885"/>
      <c r="EY811" s="885"/>
      <c r="EZ811" s="885"/>
      <c r="FA811" s="885"/>
      <c r="FB811" s="885"/>
      <c r="FC811" s="885"/>
      <c r="FD811" s="886"/>
      <c r="FE811" s="550"/>
      <c r="FF811" s="550"/>
      <c r="FG811" s="550"/>
      <c r="FH811" s="550"/>
      <c r="FI811" s="550"/>
      <c r="FJ811" s="550"/>
      <c r="FK811" s="550"/>
      <c r="FL811" s="555"/>
      <c r="FM811" s="554"/>
      <c r="FN811" s="554"/>
      <c r="FO811" s="554"/>
      <c r="FP811" s="554"/>
      <c r="FQ811" s="554"/>
      <c r="FR811" s="554"/>
      <c r="FS811" s="554"/>
      <c r="FT811" s="554"/>
      <c r="FU811" s="554"/>
      <c r="FV811" s="554"/>
      <c r="FW811" s="554"/>
      <c r="FX811" s="554"/>
      <c r="FY811" s="554"/>
      <c r="FZ811" s="554"/>
      <c r="GA811" s="554"/>
      <c r="GB811" s="556"/>
      <c r="GC811" s="370"/>
      <c r="GD811" s="453"/>
      <c r="GE811" s="453"/>
      <c r="GF811" s="453"/>
      <c r="GG811" s="453"/>
      <c r="GH811" s="454"/>
      <c r="GI811" s="453"/>
      <c r="GJ811" s="453"/>
      <c r="GK811" s="453"/>
      <c r="GL811" s="453"/>
      <c r="GM811" s="453"/>
      <c r="GN811" s="453"/>
      <c r="GO811" s="453"/>
      <c r="GP811" s="453"/>
      <c r="GQ811" s="453"/>
      <c r="GR811" s="453"/>
      <c r="GS811" s="561"/>
      <c r="GT811" s="475"/>
      <c r="GU811" s="472"/>
      <c r="GV811" s="453"/>
      <c r="GW811" s="453"/>
      <c r="GX811" s="869"/>
      <c r="GY811" s="870"/>
      <c r="GZ811" s="867"/>
      <c r="HA811" s="868"/>
      <c r="HB811" s="473"/>
      <c r="HC811" s="869"/>
      <c r="HD811" s="870"/>
      <c r="HE811" s="867"/>
      <c r="HF811" s="868"/>
      <c r="HG811" s="473"/>
      <c r="HH811" s="867"/>
      <c r="HI811" s="868"/>
      <c r="HJ811" s="867"/>
      <c r="HK811" s="868"/>
      <c r="HL811" s="370"/>
      <c r="HM811" s="865"/>
      <c r="HN811" s="866"/>
      <c r="HO811" s="865"/>
      <c r="HP811" s="866"/>
      <c r="HQ811" s="865"/>
      <c r="HR811" s="866"/>
      <c r="HS811" s="867"/>
      <c r="HT811" s="868"/>
      <c r="HU811" s="489"/>
      <c r="HV811" s="865"/>
      <c r="HW811" s="866"/>
    </row>
    <row r="812" spans="25:231" ht="15" customHeight="1">
      <c r="Y812" s="332"/>
      <c r="Z812" s="332"/>
      <c r="AA812" s="332"/>
      <c r="AB812" s="332"/>
      <c r="AC812" s="332"/>
      <c r="AD812" s="332"/>
      <c r="AE812" s="332"/>
      <c r="AF812" s="332"/>
      <c r="AG812" s="332"/>
      <c r="AH812" s="332"/>
      <c r="AI812" s="332"/>
      <c r="AJ812" s="332"/>
      <c r="AK812" s="332"/>
      <c r="AL812" s="332"/>
      <c r="AM812" s="332"/>
      <c r="AN812" s="332"/>
      <c r="AO812" s="332"/>
      <c r="AP812" s="332"/>
      <c r="AQ812" s="332"/>
      <c r="AR812" s="332"/>
      <c r="AS812" s="332"/>
      <c r="AT812" s="332"/>
      <c r="AU812" s="332"/>
      <c r="AV812" s="332"/>
      <c r="AW812" s="332"/>
      <c r="AX812" s="332"/>
      <c r="AY812" s="332"/>
      <c r="AZ812" s="332"/>
      <c r="BA812" s="332"/>
      <c r="BB812" s="332"/>
      <c r="BC812" s="332"/>
      <c r="BD812" s="332"/>
      <c r="BE812" s="332"/>
      <c r="BF812" s="332"/>
      <c r="BG812" s="332"/>
      <c r="BH812" s="332"/>
      <c r="BI812" s="332"/>
      <c r="BJ812" s="332"/>
      <c r="BK812" s="332"/>
      <c r="BL812" s="332"/>
      <c r="BM812" s="332"/>
      <c r="BN812" s="332"/>
      <c r="BO812" s="332"/>
      <c r="BP812" s="332"/>
      <c r="BQ812" s="332"/>
      <c r="BR812" s="332"/>
      <c r="BS812" s="332"/>
      <c r="BT812" s="332"/>
      <c r="BU812" s="332"/>
      <c r="BV812" s="332"/>
      <c r="BW812" s="332"/>
      <c r="BX812" s="332"/>
      <c r="BY812" s="332"/>
      <c r="BZ812" s="332"/>
      <c r="CA812" s="332"/>
      <c r="CB812" s="332"/>
      <c r="CC812" s="332"/>
      <c r="CD812" s="332"/>
      <c r="CE812" s="332"/>
      <c r="CF812" s="332"/>
      <c r="CG812" s="332"/>
      <c r="CH812" s="332"/>
      <c r="CI812" s="332"/>
      <c r="CJ812" s="332"/>
      <c r="CK812" s="332"/>
      <c r="CL812" s="332"/>
      <c r="CM812" s="332"/>
      <c r="CN812" s="332"/>
      <c r="CO812" s="332"/>
      <c r="CP812" s="332"/>
      <c r="CQ812" s="332"/>
      <c r="CR812" s="332"/>
      <c r="CS812" s="332"/>
      <c r="CT812" s="332"/>
      <c r="CU812" s="332"/>
      <c r="CV812" s="332"/>
      <c r="CW812" s="332"/>
      <c r="CX812" s="332"/>
      <c r="CY812" s="332"/>
      <c r="CZ812" s="332"/>
      <c r="DA812" s="332"/>
      <c r="DB812" s="332"/>
      <c r="DC812" s="332"/>
      <c r="DD812" s="332"/>
      <c r="DE812" s="332"/>
      <c r="DF812" s="332"/>
      <c r="DG812" s="332"/>
      <c r="DH812" s="332"/>
      <c r="DI812" s="332"/>
      <c r="DJ812" s="332"/>
      <c r="DK812" s="332"/>
      <c r="DL812" s="332"/>
      <c r="DM812" s="332"/>
      <c r="DN812" s="332"/>
      <c r="DO812" s="332"/>
      <c r="DP812" s="332"/>
      <c r="DQ812" s="332"/>
      <c r="DR812" s="332"/>
      <c r="DS812" s="332"/>
      <c r="DT812" s="332"/>
      <c r="DU812" s="453"/>
      <c r="DV812" s="453"/>
      <c r="DW812" s="453"/>
      <c r="DX812" s="453"/>
      <c r="DY812" s="453"/>
      <c r="DZ812" s="453"/>
      <c r="EA812" s="453"/>
      <c r="EB812" s="453"/>
      <c r="EC812" s="453"/>
      <c r="ED812" s="453"/>
      <c r="EE812" s="453"/>
      <c r="EF812" s="453"/>
      <c r="EG812" s="453"/>
      <c r="EH812" s="453"/>
      <c r="EI812" s="453"/>
      <c r="EJ812" s="453"/>
      <c r="EK812" s="453"/>
      <c r="EL812" s="453"/>
      <c r="EM812" s="483">
        <f t="shared" si="233"/>
        <v>503</v>
      </c>
      <c r="EN812" s="485"/>
      <c r="EO812" s="458"/>
      <c r="EP812" s="467"/>
      <c r="EQ812" s="457"/>
      <c r="ER812" s="808"/>
      <c r="ES812" s="881">
        <f t="shared" si="235"/>
        <v>0</v>
      </c>
      <c r="ET812" s="882"/>
      <c r="EU812" s="883"/>
      <c r="EV812" s="884">
        <f t="shared" si="236"/>
        <v>0</v>
      </c>
      <c r="EW812" s="885"/>
      <c r="EX812" s="885"/>
      <c r="EY812" s="885"/>
      <c r="EZ812" s="885"/>
      <c r="FA812" s="885"/>
      <c r="FB812" s="885"/>
      <c r="FC812" s="885"/>
      <c r="FD812" s="886"/>
      <c r="FE812" s="550"/>
      <c r="FF812" s="550"/>
      <c r="FG812" s="550"/>
      <c r="FH812" s="550"/>
      <c r="FI812" s="550"/>
      <c r="FJ812" s="550"/>
      <c r="FK812" s="550"/>
      <c r="FL812" s="555"/>
      <c r="FM812" s="554"/>
      <c r="FN812" s="554"/>
      <c r="FO812" s="554"/>
      <c r="FP812" s="554"/>
      <c r="FQ812" s="554"/>
      <c r="FR812" s="554"/>
      <c r="FS812" s="554"/>
      <c r="FT812" s="554"/>
      <c r="FU812" s="554"/>
      <c r="FV812" s="554"/>
      <c r="FW812" s="554"/>
      <c r="FX812" s="554"/>
      <c r="FY812" s="554"/>
      <c r="FZ812" s="554"/>
      <c r="GA812" s="554"/>
      <c r="GB812" s="556"/>
      <c r="GC812" s="370"/>
      <c r="GD812" s="453"/>
      <c r="GE812" s="453"/>
      <c r="GF812" s="453"/>
      <c r="GG812" s="453"/>
      <c r="GH812" s="454"/>
      <c r="GI812" s="453"/>
      <c r="GJ812" s="453"/>
      <c r="GK812" s="453"/>
      <c r="GL812" s="453"/>
      <c r="GM812" s="453"/>
      <c r="GN812" s="453"/>
      <c r="GO812" s="453"/>
      <c r="GP812" s="453"/>
      <c r="GQ812" s="453"/>
      <c r="GR812" s="453"/>
      <c r="GS812" s="561"/>
      <c r="GT812" s="475"/>
      <c r="GU812" s="472"/>
      <c r="GV812" s="453"/>
      <c r="GW812" s="453"/>
      <c r="GX812" s="869"/>
      <c r="GY812" s="870"/>
      <c r="GZ812" s="867"/>
      <c r="HA812" s="868"/>
      <c r="HB812" s="473"/>
      <c r="HC812" s="869"/>
      <c r="HD812" s="870"/>
      <c r="HE812" s="867"/>
      <c r="HF812" s="868"/>
      <c r="HG812" s="473"/>
      <c r="HH812" s="867"/>
      <c r="HI812" s="868"/>
      <c r="HJ812" s="867"/>
      <c r="HK812" s="868"/>
      <c r="HL812" s="370"/>
      <c r="HM812" s="865"/>
      <c r="HN812" s="866"/>
      <c r="HO812" s="865"/>
      <c r="HP812" s="866"/>
      <c r="HQ812" s="865"/>
      <c r="HR812" s="866"/>
      <c r="HS812" s="867"/>
      <c r="HT812" s="868"/>
      <c r="HU812" s="489"/>
      <c r="HV812" s="865"/>
      <c r="HW812" s="866"/>
    </row>
    <row r="813" spans="25:231" ht="15" customHeight="1">
      <c r="Y813" s="332"/>
      <c r="Z813" s="332"/>
      <c r="AA813" s="332"/>
      <c r="AB813" s="332"/>
      <c r="AC813" s="332"/>
      <c r="AD813" s="332"/>
      <c r="AE813" s="332"/>
      <c r="AF813" s="332"/>
      <c r="AG813" s="332"/>
      <c r="AH813" s="332"/>
      <c r="AI813" s="332"/>
      <c r="AJ813" s="332"/>
      <c r="AK813" s="332"/>
      <c r="AL813" s="332"/>
      <c r="AM813" s="332"/>
      <c r="AN813" s="332"/>
      <c r="AO813" s="332"/>
      <c r="AP813" s="332"/>
      <c r="AQ813" s="332"/>
      <c r="AR813" s="332"/>
      <c r="AS813" s="332"/>
      <c r="AT813" s="332"/>
      <c r="AU813" s="332"/>
      <c r="AV813" s="332"/>
      <c r="AW813" s="332"/>
      <c r="AX813" s="332"/>
      <c r="AY813" s="332"/>
      <c r="AZ813" s="332"/>
      <c r="BA813" s="332"/>
      <c r="BB813" s="332"/>
      <c r="BC813" s="332"/>
      <c r="BD813" s="332"/>
      <c r="BE813" s="332"/>
      <c r="BF813" s="332"/>
      <c r="BG813" s="332"/>
      <c r="BH813" s="332"/>
      <c r="BI813" s="332"/>
      <c r="BJ813" s="332"/>
      <c r="BK813" s="332"/>
      <c r="BL813" s="332"/>
      <c r="BM813" s="332"/>
      <c r="BN813" s="332"/>
      <c r="BO813" s="332"/>
      <c r="BP813" s="332"/>
      <c r="BQ813" s="332"/>
      <c r="BR813" s="332"/>
      <c r="BS813" s="332"/>
      <c r="BT813" s="332"/>
      <c r="BU813" s="332"/>
      <c r="BV813" s="332"/>
      <c r="BW813" s="332"/>
      <c r="BX813" s="332"/>
      <c r="BY813" s="332"/>
      <c r="BZ813" s="332"/>
      <c r="CA813" s="332"/>
      <c r="CB813" s="332"/>
      <c r="CC813" s="332"/>
      <c r="CD813" s="332"/>
      <c r="CE813" s="332"/>
      <c r="CF813" s="332"/>
      <c r="CG813" s="332"/>
      <c r="CH813" s="332"/>
      <c r="CI813" s="332"/>
      <c r="CJ813" s="332"/>
      <c r="CK813" s="332"/>
      <c r="CL813" s="332"/>
      <c r="CM813" s="332"/>
      <c r="CN813" s="332"/>
      <c r="CO813" s="332"/>
      <c r="CP813" s="332"/>
      <c r="CQ813" s="332"/>
      <c r="CR813" s="332"/>
      <c r="CS813" s="332"/>
      <c r="CT813" s="332"/>
      <c r="CU813" s="332"/>
      <c r="CV813" s="332"/>
      <c r="CW813" s="332"/>
      <c r="CX813" s="332"/>
      <c r="CY813" s="332"/>
      <c r="CZ813" s="332"/>
      <c r="DA813" s="332"/>
      <c r="DB813" s="332"/>
      <c r="DC813" s="332"/>
      <c r="DD813" s="332"/>
      <c r="DE813" s="332"/>
      <c r="DF813" s="332"/>
      <c r="DG813" s="332"/>
      <c r="DH813" s="332"/>
      <c r="DI813" s="332"/>
      <c r="DJ813" s="332"/>
      <c r="DK813" s="332"/>
      <c r="DL813" s="332"/>
      <c r="DM813" s="332"/>
      <c r="DN813" s="332"/>
      <c r="DO813" s="332"/>
      <c r="DP813" s="332"/>
      <c r="DQ813" s="332"/>
      <c r="DR813" s="332"/>
      <c r="DS813" s="332"/>
      <c r="DT813" s="332"/>
      <c r="DU813" s="453"/>
      <c r="DV813" s="453"/>
      <c r="DW813" s="453"/>
      <c r="DX813" s="453"/>
      <c r="DY813" s="453"/>
      <c r="DZ813" s="453"/>
      <c r="EA813" s="453"/>
      <c r="EB813" s="453"/>
      <c r="EC813" s="453"/>
      <c r="ED813" s="453"/>
      <c r="EE813" s="453"/>
      <c r="EF813" s="453"/>
      <c r="EG813" s="453"/>
      <c r="EH813" s="453"/>
      <c r="EI813" s="453"/>
      <c r="EJ813" s="453"/>
      <c r="EK813" s="453"/>
      <c r="EL813" s="453"/>
      <c r="EM813" s="483">
        <f t="shared" si="233"/>
        <v>504</v>
      </c>
      <c r="EN813" s="485"/>
      <c r="EO813" s="458"/>
      <c r="EP813" s="467"/>
      <c r="EQ813" s="457"/>
      <c r="ER813" s="808"/>
      <c r="ES813" s="881">
        <f t="shared" si="235"/>
        <v>0</v>
      </c>
      <c r="ET813" s="882"/>
      <c r="EU813" s="883"/>
      <c r="EV813" s="884">
        <f t="shared" si="236"/>
        <v>0</v>
      </c>
      <c r="EW813" s="885"/>
      <c r="EX813" s="885"/>
      <c r="EY813" s="885"/>
      <c r="EZ813" s="885"/>
      <c r="FA813" s="885"/>
      <c r="FB813" s="885"/>
      <c r="FC813" s="885"/>
      <c r="FD813" s="886"/>
      <c r="FE813" s="550"/>
      <c r="FF813" s="550"/>
      <c r="FG813" s="550"/>
      <c r="FH813" s="550"/>
      <c r="FI813" s="550"/>
      <c r="FJ813" s="550"/>
      <c r="FK813" s="550"/>
      <c r="FL813" s="555"/>
      <c r="FM813" s="554"/>
      <c r="FN813" s="554"/>
      <c r="FO813" s="554"/>
      <c r="FP813" s="554"/>
      <c r="FQ813" s="554"/>
      <c r="FR813" s="554"/>
      <c r="FS813" s="554"/>
      <c r="FT813" s="554"/>
      <c r="FU813" s="554"/>
      <c r="FV813" s="554"/>
      <c r="FW813" s="554"/>
      <c r="FX813" s="554"/>
      <c r="FY813" s="554"/>
      <c r="FZ813" s="554"/>
      <c r="GA813" s="554"/>
      <c r="GB813" s="556"/>
      <c r="GC813" s="370"/>
      <c r="GD813" s="453"/>
      <c r="GE813" s="453"/>
      <c r="GF813" s="453"/>
      <c r="GG813" s="453"/>
      <c r="GH813" s="454"/>
      <c r="GI813" s="453"/>
      <c r="GJ813" s="453"/>
      <c r="GK813" s="453"/>
      <c r="GL813" s="453"/>
      <c r="GM813" s="453"/>
      <c r="GN813" s="453"/>
      <c r="GO813" s="453"/>
      <c r="GP813" s="453"/>
      <c r="GQ813" s="453"/>
      <c r="GR813" s="453"/>
      <c r="GS813" s="561"/>
      <c r="GT813" s="475"/>
      <c r="GU813" s="472"/>
      <c r="GV813" s="453"/>
      <c r="GW813" s="453"/>
      <c r="GX813" s="869"/>
      <c r="GY813" s="870"/>
      <c r="GZ813" s="867"/>
      <c r="HA813" s="868"/>
      <c r="HB813" s="473"/>
      <c r="HC813" s="869"/>
      <c r="HD813" s="870"/>
      <c r="HE813" s="867"/>
      <c r="HF813" s="868"/>
      <c r="HG813" s="473"/>
      <c r="HH813" s="867"/>
      <c r="HI813" s="868"/>
      <c r="HJ813" s="867"/>
      <c r="HK813" s="868"/>
      <c r="HL813" s="370"/>
      <c r="HM813" s="865"/>
      <c r="HN813" s="866"/>
      <c r="HO813" s="865"/>
      <c r="HP813" s="866"/>
      <c r="HQ813" s="865"/>
      <c r="HR813" s="866"/>
      <c r="HS813" s="867"/>
      <c r="HT813" s="868"/>
      <c r="HU813" s="489"/>
      <c r="HV813" s="865"/>
      <c r="HW813" s="866"/>
    </row>
    <row r="814" spans="25:231" ht="15" customHeight="1">
      <c r="Y814" s="332"/>
      <c r="Z814" s="332"/>
      <c r="AA814" s="332"/>
      <c r="AB814" s="332"/>
      <c r="AC814" s="332"/>
      <c r="AD814" s="332"/>
      <c r="AE814" s="332"/>
      <c r="AF814" s="332"/>
      <c r="AG814" s="332"/>
      <c r="AH814" s="332"/>
      <c r="AI814" s="332"/>
      <c r="AJ814" s="332"/>
      <c r="AK814" s="332"/>
      <c r="AL814" s="332"/>
      <c r="AM814" s="332"/>
      <c r="AN814" s="332"/>
      <c r="AO814" s="332"/>
      <c r="AP814" s="332"/>
      <c r="AQ814" s="332"/>
      <c r="AR814" s="332"/>
      <c r="AS814" s="332"/>
      <c r="AT814" s="332"/>
      <c r="AU814" s="332"/>
      <c r="AV814" s="332"/>
      <c r="AW814" s="332"/>
      <c r="AX814" s="332"/>
      <c r="AY814" s="332"/>
      <c r="AZ814" s="332"/>
      <c r="BA814" s="332"/>
      <c r="BB814" s="332"/>
      <c r="BC814" s="332"/>
      <c r="BD814" s="332"/>
      <c r="BE814" s="332"/>
      <c r="BF814" s="332"/>
      <c r="BG814" s="332"/>
      <c r="BH814" s="332"/>
      <c r="BI814" s="332"/>
      <c r="BJ814" s="332"/>
      <c r="BK814" s="332"/>
      <c r="BL814" s="332"/>
      <c r="BM814" s="332"/>
      <c r="BN814" s="332"/>
      <c r="BO814" s="332"/>
      <c r="BP814" s="332"/>
      <c r="BQ814" s="332"/>
      <c r="BR814" s="332"/>
      <c r="BS814" s="332"/>
      <c r="BT814" s="332"/>
      <c r="BU814" s="332"/>
      <c r="BV814" s="332"/>
      <c r="BW814" s="332"/>
      <c r="BX814" s="332"/>
      <c r="BY814" s="332"/>
      <c r="BZ814" s="332"/>
      <c r="CA814" s="332"/>
      <c r="CB814" s="332"/>
      <c r="CC814" s="332"/>
      <c r="CD814" s="332"/>
      <c r="CE814" s="332"/>
      <c r="CF814" s="332"/>
      <c r="CG814" s="332"/>
      <c r="CH814" s="332"/>
      <c r="CI814" s="332"/>
      <c r="CJ814" s="332"/>
      <c r="CK814" s="332"/>
      <c r="CL814" s="332"/>
      <c r="CM814" s="332"/>
      <c r="CN814" s="332"/>
      <c r="CO814" s="332"/>
      <c r="CP814" s="332"/>
      <c r="CQ814" s="332"/>
      <c r="CR814" s="332"/>
      <c r="CS814" s="332"/>
      <c r="CT814" s="332"/>
      <c r="CU814" s="332"/>
      <c r="CV814" s="332"/>
      <c r="CW814" s="332"/>
      <c r="CX814" s="332"/>
      <c r="CY814" s="332"/>
      <c r="CZ814" s="332"/>
      <c r="DA814" s="332"/>
      <c r="DB814" s="332"/>
      <c r="DC814" s="332"/>
      <c r="DD814" s="332"/>
      <c r="DE814" s="332"/>
      <c r="DF814" s="332"/>
      <c r="DG814" s="332"/>
      <c r="DH814" s="332"/>
      <c r="DI814" s="332"/>
      <c r="DJ814" s="332"/>
      <c r="DK814" s="332"/>
      <c r="DL814" s="332"/>
      <c r="DM814" s="332"/>
      <c r="DN814" s="332"/>
      <c r="DO814" s="332"/>
      <c r="DP814" s="332"/>
      <c r="DQ814" s="332"/>
      <c r="DR814" s="332"/>
      <c r="DS814" s="332"/>
      <c r="DT814" s="332"/>
      <c r="DU814" s="453"/>
      <c r="DV814" s="453"/>
      <c r="DW814" s="453"/>
      <c r="DX814" s="453"/>
      <c r="DY814" s="453"/>
      <c r="DZ814" s="453"/>
      <c r="EA814" s="453"/>
      <c r="EB814" s="453"/>
      <c r="EC814" s="453"/>
      <c r="ED814" s="453"/>
      <c r="EE814" s="453"/>
      <c r="EF814" s="453"/>
      <c r="EG814" s="453"/>
      <c r="EH814" s="453"/>
      <c r="EI814" s="453"/>
      <c r="EJ814" s="453"/>
      <c r="EK814" s="453"/>
      <c r="EL814" s="453"/>
      <c r="EM814" s="483">
        <f t="shared" si="233"/>
        <v>505</v>
      </c>
      <c r="EN814" s="485"/>
      <c r="EO814" s="458"/>
      <c r="EP814" s="467"/>
      <c r="EQ814" s="457"/>
      <c r="ER814" s="808"/>
      <c r="ES814" s="881">
        <f t="shared" si="235"/>
        <v>0</v>
      </c>
      <c r="ET814" s="882"/>
      <c r="EU814" s="883"/>
      <c r="EV814" s="884">
        <f t="shared" si="236"/>
        <v>0</v>
      </c>
      <c r="EW814" s="885"/>
      <c r="EX814" s="885"/>
      <c r="EY814" s="885"/>
      <c r="EZ814" s="885"/>
      <c r="FA814" s="885"/>
      <c r="FB814" s="885"/>
      <c r="FC814" s="885"/>
      <c r="FD814" s="886"/>
      <c r="FE814" s="550"/>
      <c r="FF814" s="550"/>
      <c r="FG814" s="550"/>
      <c r="FH814" s="550"/>
      <c r="FI814" s="550"/>
      <c r="FJ814" s="550"/>
      <c r="FK814" s="550"/>
      <c r="FL814" s="555"/>
      <c r="FM814" s="554"/>
      <c r="FN814" s="554"/>
      <c r="FO814" s="554"/>
      <c r="FP814" s="554"/>
      <c r="FQ814" s="554"/>
      <c r="FR814" s="554"/>
      <c r="FS814" s="554"/>
      <c r="FT814" s="554"/>
      <c r="FU814" s="554"/>
      <c r="FV814" s="554"/>
      <c r="FW814" s="554"/>
      <c r="FX814" s="554"/>
      <c r="FY814" s="554"/>
      <c r="FZ814" s="554"/>
      <c r="GA814" s="554"/>
      <c r="GB814" s="556"/>
      <c r="GC814" s="370"/>
      <c r="GD814" s="453"/>
      <c r="GE814" s="453"/>
      <c r="GF814" s="453"/>
      <c r="GG814" s="453"/>
      <c r="GH814" s="454"/>
      <c r="GI814" s="453"/>
      <c r="GJ814" s="453"/>
      <c r="GK814" s="453"/>
      <c r="GL814" s="453"/>
      <c r="GM814" s="453"/>
      <c r="GN814" s="453"/>
      <c r="GO814" s="453"/>
      <c r="GP814" s="453"/>
      <c r="GQ814" s="453"/>
      <c r="GR814" s="453"/>
      <c r="GS814" s="561"/>
      <c r="GT814" s="475"/>
      <c r="GU814" s="472"/>
      <c r="GV814" s="453"/>
      <c r="GW814" s="453"/>
      <c r="GX814" s="869"/>
      <c r="GY814" s="870"/>
      <c r="GZ814" s="867"/>
      <c r="HA814" s="868"/>
      <c r="HB814" s="473"/>
      <c r="HC814" s="869"/>
      <c r="HD814" s="870"/>
      <c r="HE814" s="867"/>
      <c r="HF814" s="868"/>
      <c r="HG814" s="473"/>
      <c r="HH814" s="867"/>
      <c r="HI814" s="868"/>
      <c r="HJ814" s="867"/>
      <c r="HK814" s="868"/>
      <c r="HL814" s="370"/>
      <c r="HM814" s="865"/>
      <c r="HN814" s="866"/>
      <c r="HO814" s="865"/>
      <c r="HP814" s="866"/>
      <c r="HQ814" s="865"/>
      <c r="HR814" s="866"/>
      <c r="HS814" s="867"/>
      <c r="HT814" s="868"/>
      <c r="HU814" s="489"/>
      <c r="HV814" s="865"/>
      <c r="HW814" s="866"/>
    </row>
    <row r="815" spans="25:231" ht="15" customHeight="1">
      <c r="Y815" s="332"/>
      <c r="Z815" s="332"/>
      <c r="AA815" s="332"/>
      <c r="AB815" s="332"/>
      <c r="AC815" s="332"/>
      <c r="AD815" s="332"/>
      <c r="AE815" s="332"/>
      <c r="AF815" s="332"/>
      <c r="AG815" s="332"/>
      <c r="AH815" s="332"/>
      <c r="AI815" s="332"/>
      <c r="AJ815" s="332"/>
      <c r="AK815" s="332"/>
      <c r="AL815" s="332"/>
      <c r="AM815" s="332"/>
      <c r="AN815" s="332"/>
      <c r="AO815" s="332"/>
      <c r="AP815" s="332"/>
      <c r="AQ815" s="332"/>
      <c r="AR815" s="332"/>
      <c r="AS815" s="332"/>
      <c r="AT815" s="332"/>
      <c r="AU815" s="332"/>
      <c r="AV815" s="332"/>
      <c r="AW815" s="332"/>
      <c r="AX815" s="332"/>
      <c r="AY815" s="332"/>
      <c r="AZ815" s="332"/>
      <c r="BA815" s="332"/>
      <c r="BB815" s="332"/>
      <c r="BC815" s="332"/>
      <c r="BD815" s="332"/>
      <c r="BE815" s="332"/>
      <c r="BF815" s="332"/>
      <c r="BG815" s="332"/>
      <c r="BH815" s="332"/>
      <c r="BI815" s="332"/>
      <c r="BJ815" s="332"/>
      <c r="BK815" s="332"/>
      <c r="BL815" s="332"/>
      <c r="BM815" s="332"/>
      <c r="BN815" s="332"/>
      <c r="BO815" s="332"/>
      <c r="BP815" s="332"/>
      <c r="BQ815" s="332"/>
      <c r="BR815" s="332"/>
      <c r="BS815" s="332"/>
      <c r="BT815" s="332"/>
      <c r="BU815" s="332"/>
      <c r="BV815" s="332"/>
      <c r="BW815" s="332"/>
      <c r="BX815" s="332"/>
      <c r="BY815" s="332"/>
      <c r="BZ815" s="332"/>
      <c r="CA815" s="332"/>
      <c r="CB815" s="332"/>
      <c r="CC815" s="332"/>
      <c r="CD815" s="332"/>
      <c r="CE815" s="332"/>
      <c r="CF815" s="332"/>
      <c r="CG815" s="332"/>
      <c r="CH815" s="332"/>
      <c r="CI815" s="332"/>
      <c r="CJ815" s="332"/>
      <c r="CK815" s="332"/>
      <c r="CL815" s="332"/>
      <c r="CM815" s="332"/>
      <c r="CN815" s="332"/>
      <c r="CO815" s="332"/>
      <c r="CP815" s="332"/>
      <c r="CQ815" s="332"/>
      <c r="CR815" s="332"/>
      <c r="CS815" s="332"/>
      <c r="CT815" s="332"/>
      <c r="CU815" s="332"/>
      <c r="CV815" s="332"/>
      <c r="CW815" s="332"/>
      <c r="CX815" s="332"/>
      <c r="CY815" s="332"/>
      <c r="CZ815" s="332"/>
      <c r="DA815" s="332"/>
      <c r="DB815" s="332"/>
      <c r="DC815" s="332"/>
      <c r="DD815" s="332"/>
      <c r="DE815" s="332"/>
      <c r="DF815" s="332"/>
      <c r="DG815" s="332"/>
      <c r="DH815" s="332"/>
      <c r="DI815" s="332"/>
      <c r="DJ815" s="332"/>
      <c r="DK815" s="332"/>
      <c r="DL815" s="332"/>
      <c r="DM815" s="332"/>
      <c r="DN815" s="332"/>
      <c r="DO815" s="332"/>
      <c r="DP815" s="332"/>
      <c r="DQ815" s="332"/>
      <c r="DR815" s="332"/>
      <c r="DS815" s="332"/>
      <c r="DT815" s="332"/>
      <c r="DU815" s="453"/>
      <c r="DV815" s="453"/>
      <c r="DW815" s="453"/>
      <c r="DX815" s="453"/>
      <c r="DY815" s="453"/>
      <c r="DZ815" s="453"/>
      <c r="EA815" s="453"/>
      <c r="EB815" s="453"/>
      <c r="EC815" s="453"/>
      <c r="ED815" s="453"/>
      <c r="EE815" s="453"/>
      <c r="EF815" s="453"/>
      <c r="EG815" s="453"/>
      <c r="EH815" s="453"/>
      <c r="EI815" s="453"/>
      <c r="EJ815" s="453"/>
      <c r="EK815" s="453"/>
      <c r="EL815" s="453"/>
      <c r="EM815" s="483">
        <f t="shared" si="233"/>
        <v>506</v>
      </c>
      <c r="EN815" s="485"/>
      <c r="EO815" s="458"/>
      <c r="EP815" s="467"/>
      <c r="EQ815" s="457"/>
      <c r="ER815" s="808"/>
      <c r="ES815" s="881">
        <f t="shared" si="235"/>
        <v>0</v>
      </c>
      <c r="ET815" s="882"/>
      <c r="EU815" s="883"/>
      <c r="EV815" s="884">
        <f t="shared" si="236"/>
        <v>0</v>
      </c>
      <c r="EW815" s="885"/>
      <c r="EX815" s="885"/>
      <c r="EY815" s="885"/>
      <c r="EZ815" s="885"/>
      <c r="FA815" s="885"/>
      <c r="FB815" s="885"/>
      <c r="FC815" s="885"/>
      <c r="FD815" s="886"/>
      <c r="FE815" s="550"/>
      <c r="FF815" s="550"/>
      <c r="FG815" s="550"/>
      <c r="FH815" s="550"/>
      <c r="FI815" s="550"/>
      <c r="FJ815" s="550"/>
      <c r="FK815" s="550"/>
      <c r="FL815" s="555"/>
      <c r="FM815" s="554"/>
      <c r="FN815" s="554"/>
      <c r="FO815" s="554"/>
      <c r="FP815" s="554"/>
      <c r="FQ815" s="554"/>
      <c r="FR815" s="554"/>
      <c r="FS815" s="554"/>
      <c r="FT815" s="554"/>
      <c r="FU815" s="554"/>
      <c r="FV815" s="554"/>
      <c r="FW815" s="554"/>
      <c r="FX815" s="554"/>
      <c r="FY815" s="554"/>
      <c r="FZ815" s="554"/>
      <c r="GA815" s="554"/>
      <c r="GB815" s="556"/>
      <c r="GC815" s="370"/>
      <c r="GD815" s="453"/>
      <c r="GE815" s="453"/>
      <c r="GF815" s="453"/>
      <c r="GG815" s="453"/>
      <c r="GH815" s="454"/>
      <c r="GI815" s="453"/>
      <c r="GJ815" s="453"/>
      <c r="GK815" s="453"/>
      <c r="GL815" s="453"/>
      <c r="GM815" s="453"/>
      <c r="GN815" s="453"/>
      <c r="GO815" s="453"/>
      <c r="GP815" s="453"/>
      <c r="GQ815" s="453"/>
      <c r="GR815" s="453"/>
      <c r="GS815" s="561"/>
      <c r="GT815" s="475"/>
      <c r="GU815" s="472"/>
      <c r="GV815" s="453"/>
      <c r="GW815" s="453"/>
      <c r="GX815" s="869"/>
      <c r="GY815" s="870"/>
      <c r="GZ815" s="867"/>
      <c r="HA815" s="868"/>
      <c r="HB815" s="473"/>
      <c r="HC815" s="869"/>
      <c r="HD815" s="870"/>
      <c r="HE815" s="867"/>
      <c r="HF815" s="868"/>
      <c r="HG815" s="473"/>
      <c r="HH815" s="867"/>
      <c r="HI815" s="868"/>
      <c r="HJ815" s="867"/>
      <c r="HK815" s="868"/>
      <c r="HL815" s="370"/>
      <c r="HM815" s="865"/>
      <c r="HN815" s="866"/>
      <c r="HO815" s="865"/>
      <c r="HP815" s="866"/>
      <c r="HQ815" s="865"/>
      <c r="HR815" s="866"/>
      <c r="HS815" s="867"/>
      <c r="HT815" s="868"/>
      <c r="HU815" s="489"/>
      <c r="HV815" s="865"/>
      <c r="HW815" s="866"/>
    </row>
    <row r="816" spans="25:231" ht="15" customHeight="1">
      <c r="Y816" s="332"/>
      <c r="Z816" s="332"/>
      <c r="AA816" s="332"/>
      <c r="AB816" s="332"/>
      <c r="AC816" s="332"/>
      <c r="AD816" s="332"/>
      <c r="AE816" s="332"/>
      <c r="AF816" s="332"/>
      <c r="AG816" s="332"/>
      <c r="AH816" s="332"/>
      <c r="AI816" s="332"/>
      <c r="AJ816" s="332"/>
      <c r="AK816" s="332"/>
      <c r="AL816" s="332"/>
      <c r="AM816" s="332"/>
      <c r="AN816" s="332"/>
      <c r="AO816" s="332"/>
      <c r="AP816" s="332"/>
      <c r="AQ816" s="332"/>
      <c r="AR816" s="332"/>
      <c r="AS816" s="332"/>
      <c r="AT816" s="332"/>
      <c r="AU816" s="332"/>
      <c r="AV816" s="332"/>
      <c r="AW816" s="332"/>
      <c r="AX816" s="332"/>
      <c r="AY816" s="332"/>
      <c r="AZ816" s="332"/>
      <c r="BA816" s="332"/>
      <c r="BB816" s="332"/>
      <c r="BC816" s="332"/>
      <c r="BD816" s="332"/>
      <c r="BE816" s="332"/>
      <c r="BF816" s="332"/>
      <c r="BG816" s="332"/>
      <c r="BH816" s="332"/>
      <c r="BI816" s="332"/>
      <c r="BJ816" s="332"/>
      <c r="BK816" s="332"/>
      <c r="BL816" s="332"/>
      <c r="BM816" s="332"/>
      <c r="BN816" s="332"/>
      <c r="BO816" s="332"/>
      <c r="BP816" s="332"/>
      <c r="BQ816" s="332"/>
      <c r="BR816" s="332"/>
      <c r="BS816" s="332"/>
      <c r="BT816" s="332"/>
      <c r="BU816" s="332"/>
      <c r="BV816" s="332"/>
      <c r="BW816" s="332"/>
      <c r="BX816" s="332"/>
      <c r="BY816" s="332"/>
      <c r="BZ816" s="332"/>
      <c r="CA816" s="332"/>
      <c r="CB816" s="332"/>
      <c r="CC816" s="332"/>
      <c r="CD816" s="332"/>
      <c r="CE816" s="332"/>
      <c r="CF816" s="332"/>
      <c r="CG816" s="332"/>
      <c r="CH816" s="332"/>
      <c r="CI816" s="332"/>
      <c r="CJ816" s="332"/>
      <c r="CK816" s="332"/>
      <c r="CL816" s="332"/>
      <c r="CM816" s="332"/>
      <c r="CN816" s="332"/>
      <c r="CO816" s="332"/>
      <c r="CP816" s="332"/>
      <c r="CQ816" s="332"/>
      <c r="CR816" s="332"/>
      <c r="CS816" s="332"/>
      <c r="CT816" s="332"/>
      <c r="CU816" s="332"/>
      <c r="CV816" s="332"/>
      <c r="CW816" s="332"/>
      <c r="CX816" s="332"/>
      <c r="CY816" s="332"/>
      <c r="CZ816" s="332"/>
      <c r="DA816" s="332"/>
      <c r="DB816" s="332"/>
      <c r="DC816" s="332"/>
      <c r="DD816" s="332"/>
      <c r="DE816" s="332"/>
      <c r="DF816" s="332"/>
      <c r="DG816" s="332"/>
      <c r="DH816" s="332"/>
      <c r="DI816" s="332"/>
      <c r="DJ816" s="332"/>
      <c r="DK816" s="332"/>
      <c r="DL816" s="332"/>
      <c r="DM816" s="332"/>
      <c r="DN816" s="332"/>
      <c r="DO816" s="332"/>
      <c r="DP816" s="332"/>
      <c r="DQ816" s="332"/>
      <c r="DR816" s="332"/>
      <c r="DS816" s="332"/>
      <c r="DT816" s="332"/>
      <c r="DU816" s="453"/>
      <c r="DV816" s="453"/>
      <c r="DW816" s="453"/>
      <c r="DX816" s="453"/>
      <c r="DY816" s="453"/>
      <c r="DZ816" s="453"/>
      <c r="EA816" s="453"/>
      <c r="EB816" s="453"/>
      <c r="EC816" s="453"/>
      <c r="ED816" s="453"/>
      <c r="EE816" s="453"/>
      <c r="EF816" s="453"/>
      <c r="EG816" s="453"/>
      <c r="EH816" s="453"/>
      <c r="EI816" s="453"/>
      <c r="EJ816" s="453"/>
      <c r="EK816" s="453"/>
      <c r="EL816" s="453"/>
      <c r="EM816" s="483">
        <f t="shared" si="233"/>
        <v>507</v>
      </c>
      <c r="EN816" s="485"/>
      <c r="EO816" s="458"/>
      <c r="EP816" s="467"/>
      <c r="EQ816" s="457"/>
      <c r="ER816" s="808"/>
      <c r="ES816" s="881">
        <f t="shared" si="235"/>
        <v>0</v>
      </c>
      <c r="ET816" s="882"/>
      <c r="EU816" s="883"/>
      <c r="EV816" s="884">
        <f t="shared" si="236"/>
        <v>0</v>
      </c>
      <c r="EW816" s="885"/>
      <c r="EX816" s="885"/>
      <c r="EY816" s="885"/>
      <c r="EZ816" s="885"/>
      <c r="FA816" s="885"/>
      <c r="FB816" s="885"/>
      <c r="FC816" s="885"/>
      <c r="FD816" s="886"/>
      <c r="FE816" s="550"/>
      <c r="FF816" s="550"/>
      <c r="FG816" s="550"/>
      <c r="FH816" s="550"/>
      <c r="FI816" s="550"/>
      <c r="FJ816" s="550"/>
      <c r="FK816" s="550"/>
      <c r="FL816" s="555"/>
      <c r="FM816" s="554"/>
      <c r="FN816" s="554"/>
      <c r="FO816" s="554"/>
      <c r="FP816" s="554"/>
      <c r="FQ816" s="554"/>
      <c r="FR816" s="554"/>
      <c r="FS816" s="554"/>
      <c r="FT816" s="554"/>
      <c r="FU816" s="554"/>
      <c r="FV816" s="554"/>
      <c r="FW816" s="554"/>
      <c r="FX816" s="554"/>
      <c r="FY816" s="554"/>
      <c r="FZ816" s="554"/>
      <c r="GA816" s="554"/>
      <c r="GB816" s="556"/>
      <c r="GC816" s="370"/>
      <c r="GD816" s="453"/>
      <c r="GE816" s="453"/>
      <c r="GF816" s="453"/>
      <c r="GG816" s="453"/>
      <c r="GH816" s="454"/>
      <c r="GI816" s="453"/>
      <c r="GJ816" s="453"/>
      <c r="GK816" s="453"/>
      <c r="GL816" s="453"/>
      <c r="GM816" s="453"/>
      <c r="GN816" s="453"/>
      <c r="GO816" s="453"/>
      <c r="GP816" s="453"/>
      <c r="GQ816" s="453"/>
      <c r="GR816" s="453"/>
      <c r="GS816" s="561"/>
      <c r="GT816" s="475"/>
      <c r="GU816" s="472"/>
      <c r="GV816" s="453"/>
      <c r="GW816" s="453"/>
      <c r="GX816" s="869"/>
      <c r="GY816" s="870"/>
      <c r="GZ816" s="867"/>
      <c r="HA816" s="868"/>
      <c r="HB816" s="473"/>
      <c r="HC816" s="869"/>
      <c r="HD816" s="870"/>
      <c r="HE816" s="867"/>
      <c r="HF816" s="868"/>
      <c r="HG816" s="473"/>
      <c r="HH816" s="867"/>
      <c r="HI816" s="868"/>
      <c r="HJ816" s="867"/>
      <c r="HK816" s="868"/>
      <c r="HL816" s="370"/>
      <c r="HM816" s="865"/>
      <c r="HN816" s="866"/>
      <c r="HO816" s="865"/>
      <c r="HP816" s="866"/>
      <c r="HQ816" s="865"/>
      <c r="HR816" s="866"/>
      <c r="HS816" s="867"/>
      <c r="HT816" s="868"/>
      <c r="HU816" s="489"/>
      <c r="HV816" s="865"/>
      <c r="HW816" s="866"/>
    </row>
    <row r="817" spans="25:231" ht="15" customHeight="1">
      <c r="Y817" s="332"/>
      <c r="Z817" s="332"/>
      <c r="AA817" s="332"/>
      <c r="AB817" s="332"/>
      <c r="AC817" s="332"/>
      <c r="AD817" s="332"/>
      <c r="AE817" s="332"/>
      <c r="AF817" s="332"/>
      <c r="AG817" s="332"/>
      <c r="AH817" s="332"/>
      <c r="AI817" s="332"/>
      <c r="AJ817" s="332"/>
      <c r="AK817" s="332"/>
      <c r="AL817" s="332"/>
      <c r="AM817" s="332"/>
      <c r="AN817" s="332"/>
      <c r="AO817" s="332"/>
      <c r="AP817" s="332"/>
      <c r="AQ817" s="332"/>
      <c r="AR817" s="332"/>
      <c r="AS817" s="332"/>
      <c r="AT817" s="332"/>
      <c r="AU817" s="332"/>
      <c r="AV817" s="332"/>
      <c r="AW817" s="332"/>
      <c r="AX817" s="332"/>
      <c r="AY817" s="332"/>
      <c r="AZ817" s="332"/>
      <c r="BA817" s="332"/>
      <c r="BB817" s="332"/>
      <c r="BC817" s="332"/>
      <c r="BD817" s="332"/>
      <c r="BE817" s="332"/>
      <c r="BF817" s="332"/>
      <c r="BG817" s="332"/>
      <c r="BH817" s="332"/>
      <c r="BI817" s="332"/>
      <c r="BJ817" s="332"/>
      <c r="BK817" s="332"/>
      <c r="BL817" s="332"/>
      <c r="BM817" s="332"/>
      <c r="BN817" s="332"/>
      <c r="BO817" s="332"/>
      <c r="BP817" s="332"/>
      <c r="BQ817" s="332"/>
      <c r="BR817" s="332"/>
      <c r="BS817" s="332"/>
      <c r="BT817" s="332"/>
      <c r="BU817" s="332"/>
      <c r="BV817" s="332"/>
      <c r="BW817" s="332"/>
      <c r="BX817" s="332"/>
      <c r="BY817" s="332"/>
      <c r="BZ817" s="332"/>
      <c r="CA817" s="332"/>
      <c r="CB817" s="332"/>
      <c r="CC817" s="332"/>
      <c r="CD817" s="332"/>
      <c r="CE817" s="332"/>
      <c r="CF817" s="332"/>
      <c r="CG817" s="332"/>
      <c r="CH817" s="332"/>
      <c r="CI817" s="332"/>
      <c r="CJ817" s="332"/>
      <c r="CK817" s="332"/>
      <c r="CL817" s="332"/>
      <c r="CM817" s="332"/>
      <c r="CN817" s="332"/>
      <c r="CO817" s="332"/>
      <c r="CP817" s="332"/>
      <c r="CQ817" s="332"/>
      <c r="CR817" s="332"/>
      <c r="CS817" s="332"/>
      <c r="CT817" s="332"/>
      <c r="CU817" s="332"/>
      <c r="CV817" s="332"/>
      <c r="CW817" s="332"/>
      <c r="CX817" s="332"/>
      <c r="CY817" s="332"/>
      <c r="CZ817" s="332"/>
      <c r="DA817" s="332"/>
      <c r="DB817" s="332"/>
      <c r="DC817" s="332"/>
      <c r="DD817" s="332"/>
      <c r="DE817" s="332"/>
      <c r="DF817" s="332"/>
      <c r="DG817" s="332"/>
      <c r="DH817" s="332"/>
      <c r="DI817" s="332"/>
      <c r="DJ817" s="332"/>
      <c r="DK817" s="332"/>
      <c r="DL817" s="332"/>
      <c r="DM817" s="332"/>
      <c r="DN817" s="332"/>
      <c r="DO817" s="332"/>
      <c r="DP817" s="332"/>
      <c r="DQ817" s="332"/>
      <c r="DR817" s="332"/>
      <c r="DS817" s="332"/>
      <c r="DT817" s="332"/>
      <c r="DU817" s="453"/>
      <c r="DV817" s="453"/>
      <c r="DW817" s="453"/>
      <c r="DX817" s="453"/>
      <c r="DY817" s="453"/>
      <c r="DZ817" s="453"/>
      <c r="EA817" s="453"/>
      <c r="EB817" s="453"/>
      <c r="EC817" s="453"/>
      <c r="ED817" s="453"/>
      <c r="EE817" s="453"/>
      <c r="EF817" s="453"/>
      <c r="EG817" s="453"/>
      <c r="EH817" s="453"/>
      <c r="EI817" s="453"/>
      <c r="EJ817" s="453"/>
      <c r="EK817" s="453"/>
      <c r="EL817" s="453"/>
      <c r="EM817" s="483">
        <f t="shared" si="233"/>
        <v>508</v>
      </c>
      <c r="EN817" s="485"/>
      <c r="EO817" s="458"/>
      <c r="EP817" s="467"/>
      <c r="EQ817" s="457"/>
      <c r="ER817" s="808"/>
      <c r="ES817" s="881">
        <f t="shared" si="235"/>
        <v>0</v>
      </c>
      <c r="ET817" s="882"/>
      <c r="EU817" s="883"/>
      <c r="EV817" s="884">
        <f t="shared" si="236"/>
        <v>0</v>
      </c>
      <c r="EW817" s="885"/>
      <c r="EX817" s="885"/>
      <c r="EY817" s="885"/>
      <c r="EZ817" s="885"/>
      <c r="FA817" s="885"/>
      <c r="FB817" s="885"/>
      <c r="FC817" s="885"/>
      <c r="FD817" s="886"/>
      <c r="FE817" s="550"/>
      <c r="FF817" s="550"/>
      <c r="FG817" s="550"/>
      <c r="FH817" s="550"/>
      <c r="FI817" s="550"/>
      <c r="FJ817" s="550"/>
      <c r="FK817" s="550"/>
      <c r="FL817" s="555"/>
      <c r="FM817" s="554"/>
      <c r="FN817" s="554"/>
      <c r="FO817" s="554"/>
      <c r="FP817" s="554"/>
      <c r="FQ817" s="554"/>
      <c r="FR817" s="554"/>
      <c r="FS817" s="554"/>
      <c r="FT817" s="554"/>
      <c r="FU817" s="554"/>
      <c r="FV817" s="554"/>
      <c r="FW817" s="554"/>
      <c r="FX817" s="554"/>
      <c r="FY817" s="554"/>
      <c r="FZ817" s="554"/>
      <c r="GA817" s="554"/>
      <c r="GB817" s="556"/>
      <c r="GC817" s="370"/>
      <c r="GD817" s="453"/>
      <c r="GE817" s="453"/>
      <c r="GF817" s="453"/>
      <c r="GG817" s="453"/>
      <c r="GH817" s="454"/>
      <c r="GI817" s="453"/>
      <c r="GJ817" s="453"/>
      <c r="GK817" s="453"/>
      <c r="GL817" s="453"/>
      <c r="GM817" s="453"/>
      <c r="GN817" s="453"/>
      <c r="GO817" s="453"/>
      <c r="GP817" s="453"/>
      <c r="GQ817" s="453"/>
      <c r="GR817" s="453"/>
      <c r="GS817" s="561"/>
      <c r="GT817" s="475"/>
      <c r="GU817" s="472"/>
      <c r="GV817" s="453"/>
      <c r="GW817" s="453"/>
      <c r="GX817" s="869"/>
      <c r="GY817" s="870"/>
      <c r="GZ817" s="867"/>
      <c r="HA817" s="868"/>
      <c r="HB817" s="473"/>
      <c r="HC817" s="869"/>
      <c r="HD817" s="870"/>
      <c r="HE817" s="867"/>
      <c r="HF817" s="868"/>
      <c r="HG817" s="473"/>
      <c r="HH817" s="867"/>
      <c r="HI817" s="868"/>
      <c r="HJ817" s="867"/>
      <c r="HK817" s="868"/>
      <c r="HL817" s="370"/>
      <c r="HM817" s="865"/>
      <c r="HN817" s="866"/>
      <c r="HO817" s="865"/>
      <c r="HP817" s="866"/>
      <c r="HQ817" s="865"/>
      <c r="HR817" s="866"/>
      <c r="HS817" s="867"/>
      <c r="HT817" s="868"/>
      <c r="HU817" s="489"/>
      <c r="HV817" s="865"/>
      <c r="HW817" s="866"/>
    </row>
    <row r="818" spans="25:231" ht="15" customHeight="1">
      <c r="Y818" s="332"/>
      <c r="Z818" s="332"/>
      <c r="AA818" s="332"/>
      <c r="AB818" s="332"/>
      <c r="AC818" s="332"/>
      <c r="AD818" s="332"/>
      <c r="AE818" s="332"/>
      <c r="AF818" s="332"/>
      <c r="AG818" s="332"/>
      <c r="AH818" s="332"/>
      <c r="AI818" s="332"/>
      <c r="AJ818" s="332"/>
      <c r="AK818" s="332"/>
      <c r="AL818" s="332"/>
      <c r="AM818" s="332"/>
      <c r="AN818" s="332"/>
      <c r="AO818" s="332"/>
      <c r="AP818" s="332"/>
      <c r="AQ818" s="332"/>
      <c r="AR818" s="332"/>
      <c r="AS818" s="332"/>
      <c r="AT818" s="332"/>
      <c r="AU818" s="332"/>
      <c r="AV818" s="332"/>
      <c r="AW818" s="332"/>
      <c r="AX818" s="332"/>
      <c r="AY818" s="332"/>
      <c r="AZ818" s="332"/>
      <c r="BA818" s="332"/>
      <c r="BB818" s="332"/>
      <c r="BC818" s="332"/>
      <c r="BD818" s="332"/>
      <c r="BE818" s="332"/>
      <c r="BF818" s="332"/>
      <c r="BG818" s="332"/>
      <c r="BH818" s="332"/>
      <c r="BI818" s="332"/>
      <c r="BJ818" s="332"/>
      <c r="BK818" s="332"/>
      <c r="BL818" s="332"/>
      <c r="BM818" s="332"/>
      <c r="BN818" s="332"/>
      <c r="BO818" s="332"/>
      <c r="BP818" s="332"/>
      <c r="BQ818" s="332"/>
      <c r="BR818" s="332"/>
      <c r="BS818" s="332"/>
      <c r="BT818" s="332"/>
      <c r="BU818" s="332"/>
      <c r="BV818" s="332"/>
      <c r="BW818" s="332"/>
      <c r="BX818" s="332"/>
      <c r="BY818" s="332"/>
      <c r="BZ818" s="332"/>
      <c r="CA818" s="332"/>
      <c r="CB818" s="332"/>
      <c r="CC818" s="332"/>
      <c r="CD818" s="332"/>
      <c r="CE818" s="332"/>
      <c r="CF818" s="332"/>
      <c r="CG818" s="332"/>
      <c r="CH818" s="332"/>
      <c r="CI818" s="332"/>
      <c r="CJ818" s="332"/>
      <c r="CK818" s="332"/>
      <c r="CL818" s="332"/>
      <c r="CM818" s="332"/>
      <c r="CN818" s="332"/>
      <c r="CO818" s="332"/>
      <c r="CP818" s="332"/>
      <c r="CQ818" s="332"/>
      <c r="CR818" s="332"/>
      <c r="CS818" s="332"/>
      <c r="CT818" s="332"/>
      <c r="CU818" s="332"/>
      <c r="CV818" s="332"/>
      <c r="CW818" s="332"/>
      <c r="CX818" s="332"/>
      <c r="CY818" s="332"/>
      <c r="CZ818" s="332"/>
      <c r="DA818" s="332"/>
      <c r="DB818" s="332"/>
      <c r="DC818" s="332"/>
      <c r="DD818" s="332"/>
      <c r="DE818" s="332"/>
      <c r="DF818" s="332"/>
      <c r="DG818" s="332"/>
      <c r="DH818" s="332"/>
      <c r="DI818" s="332"/>
      <c r="DJ818" s="332"/>
      <c r="DK818" s="332"/>
      <c r="DL818" s="332"/>
      <c r="DM818" s="332"/>
      <c r="DN818" s="332"/>
      <c r="DO818" s="332"/>
      <c r="DP818" s="332"/>
      <c r="DQ818" s="332"/>
      <c r="DR818" s="332"/>
      <c r="DS818" s="332"/>
      <c r="DT818" s="332"/>
      <c r="DU818" s="453"/>
      <c r="DV818" s="453"/>
      <c r="DW818" s="453"/>
      <c r="DX818" s="453"/>
      <c r="DY818" s="453"/>
      <c r="DZ818" s="453"/>
      <c r="EA818" s="453"/>
      <c r="EB818" s="453"/>
      <c r="EC818" s="453"/>
      <c r="ED818" s="453"/>
      <c r="EE818" s="453"/>
      <c r="EF818" s="453"/>
      <c r="EG818" s="453"/>
      <c r="EH818" s="453"/>
      <c r="EI818" s="453"/>
      <c r="EJ818" s="453"/>
      <c r="EK818" s="453"/>
      <c r="EL818" s="453"/>
      <c r="EM818" s="483">
        <f t="shared" si="233"/>
        <v>509</v>
      </c>
      <c r="EN818" s="485"/>
      <c r="EO818" s="458"/>
      <c r="EP818" s="467"/>
      <c r="EQ818" s="457"/>
      <c r="ER818" s="808"/>
      <c r="ES818" s="881">
        <f t="shared" si="235"/>
        <v>0</v>
      </c>
      <c r="ET818" s="882"/>
      <c r="EU818" s="883"/>
      <c r="EV818" s="884">
        <f t="shared" si="236"/>
        <v>0</v>
      </c>
      <c r="EW818" s="885"/>
      <c r="EX818" s="885"/>
      <c r="EY818" s="885"/>
      <c r="EZ818" s="885"/>
      <c r="FA818" s="885"/>
      <c r="FB818" s="885"/>
      <c r="FC818" s="885"/>
      <c r="FD818" s="886"/>
      <c r="FE818" s="550"/>
      <c r="FF818" s="550"/>
      <c r="FG818" s="550"/>
      <c r="FH818" s="550"/>
      <c r="FI818" s="550"/>
      <c r="FJ818" s="550"/>
      <c r="FK818" s="550"/>
      <c r="FL818" s="555"/>
      <c r="FM818" s="554"/>
      <c r="FN818" s="554"/>
      <c r="FO818" s="554"/>
      <c r="FP818" s="554"/>
      <c r="FQ818" s="554"/>
      <c r="FR818" s="554"/>
      <c r="FS818" s="554"/>
      <c r="FT818" s="554"/>
      <c r="FU818" s="554"/>
      <c r="FV818" s="554"/>
      <c r="FW818" s="554"/>
      <c r="FX818" s="554"/>
      <c r="FY818" s="554"/>
      <c r="FZ818" s="554"/>
      <c r="GA818" s="554"/>
      <c r="GB818" s="556"/>
      <c r="GC818" s="370"/>
      <c r="GD818" s="453"/>
      <c r="GE818" s="453"/>
      <c r="GF818" s="453"/>
      <c r="GG818" s="453"/>
      <c r="GH818" s="454"/>
      <c r="GI818" s="453"/>
      <c r="GJ818" s="453"/>
      <c r="GK818" s="453"/>
      <c r="GL818" s="453"/>
      <c r="GM818" s="453"/>
      <c r="GN818" s="453"/>
      <c r="GO818" s="453"/>
      <c r="GP818" s="453"/>
      <c r="GQ818" s="453"/>
      <c r="GR818" s="453"/>
      <c r="GS818" s="561"/>
      <c r="GT818" s="475"/>
      <c r="GU818" s="472"/>
      <c r="GV818" s="453"/>
      <c r="GW818" s="453"/>
      <c r="GX818" s="869"/>
      <c r="GY818" s="870"/>
      <c r="GZ818" s="867"/>
      <c r="HA818" s="868"/>
      <c r="HB818" s="473"/>
      <c r="HC818" s="869"/>
      <c r="HD818" s="870"/>
      <c r="HE818" s="867"/>
      <c r="HF818" s="868"/>
      <c r="HG818" s="473"/>
      <c r="HH818" s="867"/>
      <c r="HI818" s="868"/>
      <c r="HJ818" s="867"/>
      <c r="HK818" s="868"/>
      <c r="HL818" s="370"/>
      <c r="HM818" s="865"/>
      <c r="HN818" s="866"/>
      <c r="HO818" s="865"/>
      <c r="HP818" s="866"/>
      <c r="HQ818" s="865"/>
      <c r="HR818" s="866"/>
      <c r="HS818" s="867"/>
      <c r="HT818" s="868"/>
      <c r="HU818" s="489"/>
      <c r="HV818" s="865"/>
      <c r="HW818" s="866"/>
    </row>
    <row r="819" spans="25:231" ht="15" customHeight="1">
      <c r="Y819" s="332"/>
      <c r="Z819" s="332"/>
      <c r="AA819" s="332"/>
      <c r="AB819" s="332"/>
      <c r="AC819" s="332"/>
      <c r="AD819" s="332"/>
      <c r="AE819" s="332"/>
      <c r="AF819" s="332"/>
      <c r="AG819" s="332"/>
      <c r="AH819" s="332"/>
      <c r="AI819" s="332"/>
      <c r="AJ819" s="332"/>
      <c r="AK819" s="332"/>
      <c r="AL819" s="332"/>
      <c r="AM819" s="332"/>
      <c r="AN819" s="332"/>
      <c r="AO819" s="332"/>
      <c r="AP819" s="332"/>
      <c r="AQ819" s="332"/>
      <c r="AR819" s="332"/>
      <c r="AS819" s="332"/>
      <c r="AT819" s="332"/>
      <c r="AU819" s="332"/>
      <c r="AV819" s="332"/>
      <c r="AW819" s="332"/>
      <c r="AX819" s="332"/>
      <c r="AY819" s="332"/>
      <c r="AZ819" s="332"/>
      <c r="BA819" s="332"/>
      <c r="BB819" s="332"/>
      <c r="BC819" s="332"/>
      <c r="BD819" s="332"/>
      <c r="BE819" s="332"/>
      <c r="BF819" s="332"/>
      <c r="BG819" s="332"/>
      <c r="BH819" s="332"/>
      <c r="BI819" s="332"/>
      <c r="BJ819" s="332"/>
      <c r="BK819" s="332"/>
      <c r="BL819" s="332"/>
      <c r="BM819" s="332"/>
      <c r="BN819" s="332"/>
      <c r="BO819" s="332"/>
      <c r="BP819" s="332"/>
      <c r="BQ819" s="332"/>
      <c r="BR819" s="332"/>
      <c r="BS819" s="332"/>
      <c r="BT819" s="332"/>
      <c r="BU819" s="332"/>
      <c r="BV819" s="332"/>
      <c r="BW819" s="332"/>
      <c r="BX819" s="332"/>
      <c r="BY819" s="332"/>
      <c r="BZ819" s="332"/>
      <c r="CA819" s="332"/>
      <c r="CB819" s="332"/>
      <c r="CC819" s="332"/>
      <c r="CD819" s="332"/>
      <c r="CE819" s="332"/>
      <c r="CF819" s="332"/>
      <c r="CG819" s="332"/>
      <c r="CH819" s="332"/>
      <c r="CI819" s="332"/>
      <c r="CJ819" s="332"/>
      <c r="CK819" s="332"/>
      <c r="CL819" s="332"/>
      <c r="CM819" s="332"/>
      <c r="CN819" s="332"/>
      <c r="CO819" s="332"/>
      <c r="CP819" s="332"/>
      <c r="CQ819" s="332"/>
      <c r="CR819" s="332"/>
      <c r="CS819" s="332"/>
      <c r="CT819" s="332"/>
      <c r="CU819" s="332"/>
      <c r="CV819" s="332"/>
      <c r="CW819" s="332"/>
      <c r="CX819" s="332"/>
      <c r="CY819" s="332"/>
      <c r="CZ819" s="332"/>
      <c r="DA819" s="332"/>
      <c r="DB819" s="332"/>
      <c r="DC819" s="332"/>
      <c r="DD819" s="332"/>
      <c r="DE819" s="332"/>
      <c r="DF819" s="332"/>
      <c r="DG819" s="332"/>
      <c r="DH819" s="332"/>
      <c r="DI819" s="332"/>
      <c r="DJ819" s="332"/>
      <c r="DK819" s="332"/>
      <c r="DL819" s="332"/>
      <c r="DM819" s="332"/>
      <c r="DN819" s="332"/>
      <c r="DO819" s="332"/>
      <c r="DP819" s="332"/>
      <c r="DQ819" s="332"/>
      <c r="DR819" s="332"/>
      <c r="DS819" s="332"/>
      <c r="DT819" s="332"/>
      <c r="DU819" s="453"/>
      <c r="DV819" s="453"/>
      <c r="DW819" s="453"/>
      <c r="DX819" s="453"/>
      <c r="DY819" s="453"/>
      <c r="DZ819" s="453"/>
      <c r="EA819" s="453"/>
      <c r="EB819" s="453"/>
      <c r="EC819" s="453"/>
      <c r="ED819" s="453"/>
      <c r="EE819" s="453"/>
      <c r="EF819" s="453"/>
      <c r="EG819" s="453"/>
      <c r="EH819" s="453"/>
      <c r="EI819" s="453"/>
      <c r="EJ819" s="453"/>
      <c r="EK819" s="453"/>
      <c r="EL819" s="453"/>
      <c r="EM819" s="483">
        <f t="shared" si="233"/>
        <v>510</v>
      </c>
      <c r="EN819" s="485"/>
      <c r="EO819" s="458"/>
      <c r="EP819" s="467"/>
      <c r="EQ819" s="457"/>
      <c r="ER819" s="808"/>
      <c r="ES819" s="881">
        <f t="shared" si="235"/>
        <v>0</v>
      </c>
      <c r="ET819" s="882"/>
      <c r="EU819" s="883"/>
      <c r="EV819" s="884">
        <f t="shared" si="236"/>
        <v>0</v>
      </c>
      <c r="EW819" s="885"/>
      <c r="EX819" s="885"/>
      <c r="EY819" s="885"/>
      <c r="EZ819" s="885"/>
      <c r="FA819" s="885"/>
      <c r="FB819" s="885"/>
      <c r="FC819" s="885"/>
      <c r="FD819" s="886"/>
      <c r="FE819" s="550"/>
      <c r="FF819" s="550"/>
      <c r="FG819" s="550"/>
      <c r="FH819" s="550"/>
      <c r="FI819" s="550"/>
      <c r="FJ819" s="550"/>
      <c r="FK819" s="550"/>
      <c r="FL819" s="555"/>
      <c r="FM819" s="554"/>
      <c r="FN819" s="554"/>
      <c r="FO819" s="554"/>
      <c r="FP819" s="554"/>
      <c r="FQ819" s="554"/>
      <c r="FR819" s="554"/>
      <c r="FS819" s="554"/>
      <c r="FT819" s="554"/>
      <c r="FU819" s="554"/>
      <c r="FV819" s="554"/>
      <c r="FW819" s="554"/>
      <c r="FX819" s="554"/>
      <c r="FY819" s="554"/>
      <c r="FZ819" s="554"/>
      <c r="GA819" s="554"/>
      <c r="GB819" s="556"/>
      <c r="GC819" s="370"/>
      <c r="GD819" s="453"/>
      <c r="GE819" s="453"/>
      <c r="GF819" s="453"/>
      <c r="GG819" s="453"/>
      <c r="GH819" s="454"/>
      <c r="GI819" s="453"/>
      <c r="GJ819" s="453"/>
      <c r="GK819" s="453"/>
      <c r="GL819" s="453"/>
      <c r="GM819" s="453"/>
      <c r="GN819" s="453"/>
      <c r="GO819" s="453"/>
      <c r="GP819" s="453"/>
      <c r="GQ819" s="453"/>
      <c r="GR819" s="453"/>
      <c r="GS819" s="561"/>
      <c r="GT819" s="475"/>
      <c r="GU819" s="472"/>
      <c r="GV819" s="453"/>
      <c r="GW819" s="453"/>
      <c r="GX819" s="869"/>
      <c r="GY819" s="870"/>
      <c r="GZ819" s="867"/>
      <c r="HA819" s="868"/>
      <c r="HB819" s="473"/>
      <c r="HC819" s="869"/>
      <c r="HD819" s="870"/>
      <c r="HE819" s="867"/>
      <c r="HF819" s="868"/>
      <c r="HG819" s="473"/>
      <c r="HH819" s="867"/>
      <c r="HI819" s="868"/>
      <c r="HJ819" s="867"/>
      <c r="HK819" s="868"/>
      <c r="HL819" s="370"/>
      <c r="HM819" s="865"/>
      <c r="HN819" s="866"/>
      <c r="HO819" s="865"/>
      <c r="HP819" s="866"/>
      <c r="HQ819" s="865"/>
      <c r="HR819" s="866"/>
      <c r="HS819" s="867"/>
      <c r="HT819" s="868"/>
      <c r="HU819" s="489"/>
      <c r="HV819" s="865"/>
      <c r="HW819" s="866"/>
    </row>
    <row r="820" spans="25:231" ht="15" customHeight="1">
      <c r="Y820" s="332"/>
      <c r="Z820" s="332"/>
      <c r="AA820" s="332"/>
      <c r="AB820" s="332"/>
      <c r="AC820" s="332"/>
      <c r="AD820" s="332"/>
      <c r="AE820" s="332"/>
      <c r="AF820" s="332"/>
      <c r="AG820" s="332"/>
      <c r="AH820" s="332"/>
      <c r="AI820" s="332"/>
      <c r="AJ820" s="332"/>
      <c r="AK820" s="332"/>
      <c r="AL820" s="332"/>
      <c r="AM820" s="332"/>
      <c r="AN820" s="332"/>
      <c r="AO820" s="332"/>
      <c r="AP820" s="332"/>
      <c r="AQ820" s="332"/>
      <c r="AR820" s="332"/>
      <c r="AS820" s="332"/>
      <c r="AT820" s="332"/>
      <c r="AU820" s="332"/>
      <c r="AV820" s="332"/>
      <c r="AW820" s="332"/>
      <c r="AX820" s="332"/>
      <c r="AY820" s="332"/>
      <c r="AZ820" s="332"/>
      <c r="BA820" s="332"/>
      <c r="BB820" s="332"/>
      <c r="BC820" s="332"/>
      <c r="BD820" s="332"/>
      <c r="BE820" s="332"/>
      <c r="BF820" s="332"/>
      <c r="BG820" s="332"/>
      <c r="BH820" s="332"/>
      <c r="BI820" s="332"/>
      <c r="BJ820" s="332"/>
      <c r="BK820" s="332"/>
      <c r="BL820" s="332"/>
      <c r="BM820" s="332"/>
      <c r="BN820" s="332"/>
      <c r="BO820" s="332"/>
      <c r="BP820" s="332"/>
      <c r="BQ820" s="332"/>
      <c r="BR820" s="332"/>
      <c r="BS820" s="332"/>
      <c r="BT820" s="332"/>
      <c r="BU820" s="332"/>
      <c r="BV820" s="332"/>
      <c r="BW820" s="332"/>
      <c r="BX820" s="332"/>
      <c r="BY820" s="332"/>
      <c r="BZ820" s="332"/>
      <c r="CA820" s="332"/>
      <c r="CB820" s="332"/>
      <c r="CC820" s="332"/>
      <c r="CD820" s="332"/>
      <c r="CE820" s="332"/>
      <c r="CF820" s="332"/>
      <c r="CG820" s="332"/>
      <c r="CH820" s="332"/>
      <c r="CI820" s="332"/>
      <c r="CJ820" s="332"/>
      <c r="CK820" s="332"/>
      <c r="CL820" s="332"/>
      <c r="CM820" s="332"/>
      <c r="CN820" s="332"/>
      <c r="CO820" s="332"/>
      <c r="CP820" s="332"/>
      <c r="CQ820" s="332"/>
      <c r="CR820" s="332"/>
      <c r="CS820" s="332"/>
      <c r="CT820" s="332"/>
      <c r="CU820" s="332"/>
      <c r="CV820" s="332"/>
      <c r="CW820" s="332"/>
      <c r="CX820" s="332"/>
      <c r="CY820" s="332"/>
      <c r="CZ820" s="332"/>
      <c r="DA820" s="332"/>
      <c r="DB820" s="332"/>
      <c r="DC820" s="332"/>
      <c r="DD820" s="332"/>
      <c r="DE820" s="332"/>
      <c r="DF820" s="332"/>
      <c r="DG820" s="332"/>
      <c r="DH820" s="332"/>
      <c r="DI820" s="332"/>
      <c r="DJ820" s="332"/>
      <c r="DK820" s="332"/>
      <c r="DL820" s="332"/>
      <c r="DM820" s="332"/>
      <c r="DN820" s="332"/>
      <c r="DO820" s="332"/>
      <c r="DP820" s="332"/>
      <c r="DQ820" s="332"/>
      <c r="DR820" s="332"/>
      <c r="DS820" s="332"/>
      <c r="DT820" s="332"/>
      <c r="DU820" s="453"/>
      <c r="DV820" s="453"/>
      <c r="DW820" s="453"/>
      <c r="DX820" s="453"/>
      <c r="DY820" s="453"/>
      <c r="DZ820" s="453"/>
      <c r="EA820" s="453"/>
      <c r="EB820" s="453"/>
      <c r="EC820" s="453"/>
      <c r="ED820" s="453"/>
      <c r="EE820" s="453"/>
      <c r="EF820" s="453"/>
      <c r="EG820" s="453"/>
      <c r="EH820" s="453"/>
      <c r="EI820" s="453"/>
      <c r="EJ820" s="453"/>
      <c r="EK820" s="453"/>
      <c r="EL820" s="453"/>
      <c r="EM820" s="483">
        <f t="shared" si="233"/>
        <v>511</v>
      </c>
      <c r="EN820" s="485"/>
      <c r="EO820" s="458"/>
      <c r="EP820" s="467"/>
      <c r="EQ820" s="457"/>
      <c r="ER820" s="808"/>
      <c r="ES820" s="881">
        <f t="shared" si="235"/>
        <v>0</v>
      </c>
      <c r="ET820" s="882"/>
      <c r="EU820" s="883"/>
      <c r="EV820" s="884">
        <f t="shared" si="236"/>
        <v>0</v>
      </c>
      <c r="EW820" s="885"/>
      <c r="EX820" s="885"/>
      <c r="EY820" s="885"/>
      <c r="EZ820" s="885"/>
      <c r="FA820" s="885"/>
      <c r="FB820" s="885"/>
      <c r="FC820" s="885"/>
      <c r="FD820" s="886"/>
      <c r="FE820" s="550"/>
      <c r="FF820" s="550"/>
      <c r="FG820" s="550"/>
      <c r="FH820" s="550"/>
      <c r="FI820" s="550"/>
      <c r="FJ820" s="550"/>
      <c r="FK820" s="550"/>
      <c r="FL820" s="555"/>
      <c r="FM820" s="554"/>
      <c r="FN820" s="554"/>
      <c r="FO820" s="554"/>
      <c r="FP820" s="554"/>
      <c r="FQ820" s="554"/>
      <c r="FR820" s="554"/>
      <c r="FS820" s="554"/>
      <c r="FT820" s="554"/>
      <c r="FU820" s="554"/>
      <c r="FV820" s="554"/>
      <c r="FW820" s="554"/>
      <c r="FX820" s="554"/>
      <c r="FY820" s="554"/>
      <c r="FZ820" s="554"/>
      <c r="GA820" s="554"/>
      <c r="GB820" s="556"/>
      <c r="GC820" s="370"/>
      <c r="GD820" s="453"/>
      <c r="GE820" s="453"/>
      <c r="GF820" s="453"/>
      <c r="GG820" s="453"/>
      <c r="GH820" s="454"/>
      <c r="GI820" s="453"/>
      <c r="GJ820" s="453"/>
      <c r="GK820" s="453"/>
      <c r="GL820" s="453"/>
      <c r="GM820" s="453"/>
      <c r="GN820" s="453"/>
      <c r="GO820" s="453"/>
      <c r="GP820" s="453"/>
      <c r="GQ820" s="453"/>
      <c r="GR820" s="453"/>
      <c r="GS820" s="561"/>
      <c r="GT820" s="475"/>
      <c r="GU820" s="472"/>
      <c r="GV820" s="453"/>
      <c r="GW820" s="453"/>
      <c r="GX820" s="869"/>
      <c r="GY820" s="870"/>
      <c r="GZ820" s="867"/>
      <c r="HA820" s="868"/>
      <c r="HB820" s="473"/>
      <c r="HC820" s="869"/>
      <c r="HD820" s="870"/>
      <c r="HE820" s="867"/>
      <c r="HF820" s="868"/>
      <c r="HG820" s="473"/>
      <c r="HH820" s="867"/>
      <c r="HI820" s="868"/>
      <c r="HJ820" s="867"/>
      <c r="HK820" s="868"/>
      <c r="HL820" s="370"/>
      <c r="HM820" s="865"/>
      <c r="HN820" s="866"/>
      <c r="HO820" s="865"/>
      <c r="HP820" s="866"/>
      <c r="HQ820" s="865"/>
      <c r="HR820" s="866"/>
      <c r="HS820" s="867"/>
      <c r="HT820" s="868"/>
      <c r="HU820" s="489"/>
      <c r="HV820" s="865"/>
      <c r="HW820" s="866"/>
    </row>
    <row r="821" spans="25:231" ht="15" customHeight="1">
      <c r="Y821" s="332"/>
      <c r="Z821" s="332"/>
      <c r="AA821" s="332"/>
      <c r="AB821" s="332"/>
      <c r="AC821" s="332"/>
      <c r="AD821" s="332"/>
      <c r="AE821" s="332"/>
      <c r="AF821" s="332"/>
      <c r="AG821" s="332"/>
      <c r="AH821" s="332"/>
      <c r="AI821" s="332"/>
      <c r="AJ821" s="332"/>
      <c r="AK821" s="332"/>
      <c r="AL821" s="332"/>
      <c r="AM821" s="332"/>
      <c r="AN821" s="332"/>
      <c r="AO821" s="332"/>
      <c r="AP821" s="332"/>
      <c r="AQ821" s="332"/>
      <c r="AR821" s="332"/>
      <c r="AS821" s="332"/>
      <c r="AT821" s="332"/>
      <c r="AU821" s="332"/>
      <c r="AV821" s="332"/>
      <c r="AW821" s="332"/>
      <c r="AX821" s="332"/>
      <c r="AY821" s="332"/>
      <c r="AZ821" s="332"/>
      <c r="BA821" s="332"/>
      <c r="BB821" s="332"/>
      <c r="BC821" s="332"/>
      <c r="BD821" s="332"/>
      <c r="BE821" s="332"/>
      <c r="BF821" s="332"/>
      <c r="BG821" s="332"/>
      <c r="BH821" s="332"/>
      <c r="BI821" s="332"/>
      <c r="BJ821" s="332"/>
      <c r="BK821" s="332"/>
      <c r="BL821" s="332"/>
      <c r="BM821" s="332"/>
      <c r="BN821" s="332"/>
      <c r="BO821" s="332"/>
      <c r="BP821" s="332"/>
      <c r="BQ821" s="332"/>
      <c r="BR821" s="332"/>
      <c r="BS821" s="332"/>
      <c r="BT821" s="332"/>
      <c r="BU821" s="332"/>
      <c r="BV821" s="332"/>
      <c r="BW821" s="332"/>
      <c r="BX821" s="332"/>
      <c r="BY821" s="332"/>
      <c r="BZ821" s="332"/>
      <c r="CA821" s="332"/>
      <c r="CB821" s="332"/>
      <c r="CC821" s="332"/>
      <c r="CD821" s="332"/>
      <c r="CE821" s="332"/>
      <c r="CF821" s="332"/>
      <c r="CG821" s="332"/>
      <c r="CH821" s="332"/>
      <c r="CI821" s="332"/>
      <c r="CJ821" s="332"/>
      <c r="CK821" s="332"/>
      <c r="CL821" s="332"/>
      <c r="CM821" s="332"/>
      <c r="CN821" s="332"/>
      <c r="CO821" s="332"/>
      <c r="CP821" s="332"/>
      <c r="CQ821" s="332"/>
      <c r="CR821" s="332"/>
      <c r="CS821" s="332"/>
      <c r="CT821" s="332"/>
      <c r="CU821" s="332"/>
      <c r="CV821" s="332"/>
      <c r="CW821" s="332"/>
      <c r="CX821" s="332"/>
      <c r="CY821" s="332"/>
      <c r="CZ821" s="332"/>
      <c r="DA821" s="332"/>
      <c r="DB821" s="332"/>
      <c r="DC821" s="332"/>
      <c r="DD821" s="332"/>
      <c r="DE821" s="332"/>
      <c r="DF821" s="332"/>
      <c r="DG821" s="332"/>
      <c r="DH821" s="332"/>
      <c r="DI821" s="332"/>
      <c r="DJ821" s="332"/>
      <c r="DK821" s="332"/>
      <c r="DL821" s="332"/>
      <c r="DM821" s="332"/>
      <c r="DN821" s="332"/>
      <c r="DO821" s="332"/>
      <c r="DP821" s="332"/>
      <c r="DQ821" s="332"/>
      <c r="DR821" s="332"/>
      <c r="DS821" s="332"/>
      <c r="DT821" s="332"/>
      <c r="DU821" s="453"/>
      <c r="DV821" s="453"/>
      <c r="DW821" s="453"/>
      <c r="DX821" s="453"/>
      <c r="DY821" s="453"/>
      <c r="DZ821" s="453"/>
      <c r="EA821" s="453"/>
      <c r="EB821" s="453"/>
      <c r="EC821" s="453"/>
      <c r="ED821" s="453"/>
      <c r="EE821" s="453"/>
      <c r="EF821" s="453"/>
      <c r="EG821" s="453"/>
      <c r="EH821" s="453"/>
      <c r="EI821" s="453"/>
      <c r="EJ821" s="453"/>
      <c r="EK821" s="453"/>
      <c r="EL821" s="453"/>
      <c r="EM821" s="483">
        <f t="shared" si="233"/>
        <v>512</v>
      </c>
      <c r="EN821" s="485"/>
      <c r="EO821" s="458"/>
      <c r="EP821" s="467"/>
      <c r="EQ821" s="457"/>
      <c r="ER821" s="808"/>
      <c r="ES821" s="881">
        <f t="shared" si="235"/>
        <v>0</v>
      </c>
      <c r="ET821" s="882"/>
      <c r="EU821" s="883"/>
      <c r="EV821" s="884">
        <f t="shared" si="236"/>
        <v>0</v>
      </c>
      <c r="EW821" s="885"/>
      <c r="EX821" s="885"/>
      <c r="EY821" s="885"/>
      <c r="EZ821" s="885"/>
      <c r="FA821" s="885"/>
      <c r="FB821" s="885"/>
      <c r="FC821" s="885"/>
      <c r="FD821" s="886"/>
      <c r="FE821" s="550"/>
      <c r="FF821" s="550"/>
      <c r="FG821" s="550"/>
      <c r="FH821" s="550"/>
      <c r="FI821" s="550"/>
      <c r="FJ821" s="550"/>
      <c r="FK821" s="550"/>
      <c r="FL821" s="555"/>
      <c r="FM821" s="554"/>
      <c r="FN821" s="554"/>
      <c r="FO821" s="554"/>
      <c r="FP821" s="554"/>
      <c r="FQ821" s="554"/>
      <c r="FR821" s="554"/>
      <c r="FS821" s="554"/>
      <c r="FT821" s="554"/>
      <c r="FU821" s="554"/>
      <c r="FV821" s="554"/>
      <c r="FW821" s="554"/>
      <c r="FX821" s="554"/>
      <c r="FY821" s="554"/>
      <c r="FZ821" s="554"/>
      <c r="GA821" s="554"/>
      <c r="GB821" s="556"/>
      <c r="GC821" s="370"/>
      <c r="GD821" s="453"/>
      <c r="GE821" s="453"/>
      <c r="GF821" s="453"/>
      <c r="GG821" s="453"/>
      <c r="GH821" s="454"/>
      <c r="GI821" s="453"/>
      <c r="GJ821" s="453"/>
      <c r="GK821" s="453"/>
      <c r="GL821" s="453"/>
      <c r="GM821" s="453"/>
      <c r="GN821" s="453"/>
      <c r="GO821" s="453"/>
      <c r="GP821" s="453"/>
      <c r="GQ821" s="453"/>
      <c r="GR821" s="453"/>
      <c r="GS821" s="561"/>
      <c r="GT821" s="475"/>
      <c r="GU821" s="472"/>
      <c r="GV821" s="453"/>
      <c r="GW821" s="453"/>
      <c r="GX821" s="869"/>
      <c r="GY821" s="870"/>
      <c r="GZ821" s="867"/>
      <c r="HA821" s="868"/>
      <c r="HB821" s="473"/>
      <c r="HC821" s="869"/>
      <c r="HD821" s="870"/>
      <c r="HE821" s="867"/>
      <c r="HF821" s="868"/>
      <c r="HG821" s="473"/>
      <c r="HH821" s="867"/>
      <c r="HI821" s="868"/>
      <c r="HJ821" s="867"/>
      <c r="HK821" s="868"/>
      <c r="HL821" s="370"/>
      <c r="HM821" s="865"/>
      <c r="HN821" s="866"/>
      <c r="HO821" s="865"/>
      <c r="HP821" s="866"/>
      <c r="HQ821" s="865"/>
      <c r="HR821" s="866"/>
      <c r="HS821" s="867"/>
      <c r="HT821" s="868"/>
      <c r="HU821" s="489"/>
      <c r="HV821" s="865"/>
      <c r="HW821" s="866"/>
    </row>
    <row r="822" spans="25:231" ht="15" customHeight="1">
      <c r="Y822" s="332"/>
      <c r="Z822" s="332"/>
      <c r="AA822" s="332"/>
      <c r="AB822" s="332"/>
      <c r="AC822" s="332"/>
      <c r="AD822" s="332"/>
      <c r="AE822" s="332"/>
      <c r="AF822" s="332"/>
      <c r="AG822" s="332"/>
      <c r="AH822" s="332"/>
      <c r="AI822" s="332"/>
      <c r="AJ822" s="332"/>
      <c r="AK822" s="332"/>
      <c r="AL822" s="332"/>
      <c r="AM822" s="332"/>
      <c r="AN822" s="332"/>
      <c r="AO822" s="332"/>
      <c r="AP822" s="332"/>
      <c r="AQ822" s="332"/>
      <c r="AR822" s="332"/>
      <c r="AS822" s="332"/>
      <c r="AT822" s="332"/>
      <c r="AU822" s="332"/>
      <c r="AV822" s="332"/>
      <c r="AW822" s="332"/>
      <c r="AX822" s="332"/>
      <c r="AY822" s="332"/>
      <c r="AZ822" s="332"/>
      <c r="BA822" s="332"/>
      <c r="BB822" s="332"/>
      <c r="BC822" s="332"/>
      <c r="BD822" s="332"/>
      <c r="BE822" s="332"/>
      <c r="BF822" s="332"/>
      <c r="BG822" s="332"/>
      <c r="BH822" s="332"/>
      <c r="BI822" s="332"/>
      <c r="BJ822" s="332"/>
      <c r="BK822" s="332"/>
      <c r="BL822" s="332"/>
      <c r="BM822" s="332"/>
      <c r="BN822" s="332"/>
      <c r="BO822" s="332"/>
      <c r="BP822" s="332"/>
      <c r="BQ822" s="332"/>
      <c r="BR822" s="332"/>
      <c r="BS822" s="332"/>
      <c r="BT822" s="332"/>
      <c r="BU822" s="332"/>
      <c r="BV822" s="332"/>
      <c r="BW822" s="332"/>
      <c r="BX822" s="332"/>
      <c r="BY822" s="332"/>
      <c r="BZ822" s="332"/>
      <c r="CA822" s="332"/>
      <c r="CB822" s="332"/>
      <c r="CC822" s="332"/>
      <c r="CD822" s="332"/>
      <c r="CE822" s="332"/>
      <c r="CF822" s="332"/>
      <c r="CG822" s="332"/>
      <c r="CH822" s="332"/>
      <c r="CI822" s="332"/>
      <c r="CJ822" s="332"/>
      <c r="CK822" s="332"/>
      <c r="CL822" s="332"/>
      <c r="CM822" s="332"/>
      <c r="CN822" s="332"/>
      <c r="CO822" s="332"/>
      <c r="CP822" s="332"/>
      <c r="CQ822" s="332"/>
      <c r="CR822" s="332"/>
      <c r="CS822" s="332"/>
      <c r="CT822" s="332"/>
      <c r="CU822" s="332"/>
      <c r="CV822" s="332"/>
      <c r="CW822" s="332"/>
      <c r="CX822" s="332"/>
      <c r="CY822" s="332"/>
      <c r="CZ822" s="332"/>
      <c r="DA822" s="332"/>
      <c r="DB822" s="332"/>
      <c r="DC822" s="332"/>
      <c r="DD822" s="332"/>
      <c r="DE822" s="332"/>
      <c r="DF822" s="332"/>
      <c r="DG822" s="332"/>
      <c r="DH822" s="332"/>
      <c r="DI822" s="332"/>
      <c r="DJ822" s="332"/>
      <c r="DK822" s="332"/>
      <c r="DL822" s="332"/>
      <c r="DM822" s="332"/>
      <c r="DN822" s="332"/>
      <c r="DO822" s="332"/>
      <c r="DP822" s="332"/>
      <c r="DQ822" s="332"/>
      <c r="DR822" s="332"/>
      <c r="DS822" s="332"/>
      <c r="DT822" s="332"/>
      <c r="DU822" s="453"/>
      <c r="DV822" s="453"/>
      <c r="DW822" s="453"/>
      <c r="DX822" s="453"/>
      <c r="DY822" s="453"/>
      <c r="DZ822" s="453"/>
      <c r="EA822" s="453"/>
      <c r="EB822" s="453"/>
      <c r="EC822" s="453"/>
      <c r="ED822" s="453"/>
      <c r="EE822" s="453"/>
      <c r="EF822" s="453"/>
      <c r="EG822" s="453"/>
      <c r="EH822" s="453"/>
      <c r="EI822" s="453"/>
      <c r="EJ822" s="453"/>
      <c r="EK822" s="453"/>
      <c r="EL822" s="453"/>
      <c r="EM822" s="483">
        <f t="shared" si="233"/>
        <v>513</v>
      </c>
      <c r="EN822" s="485"/>
      <c r="EO822" s="458"/>
      <c r="EP822" s="467"/>
      <c r="EQ822" s="457"/>
      <c r="ER822" s="808"/>
      <c r="ES822" s="881">
        <f t="shared" si="235"/>
        <v>0</v>
      </c>
      <c r="ET822" s="882"/>
      <c r="EU822" s="883"/>
      <c r="EV822" s="884">
        <f t="shared" si="236"/>
        <v>0</v>
      </c>
      <c r="EW822" s="885"/>
      <c r="EX822" s="885"/>
      <c r="EY822" s="885"/>
      <c r="EZ822" s="885"/>
      <c r="FA822" s="885"/>
      <c r="FB822" s="885"/>
      <c r="FC822" s="885"/>
      <c r="FD822" s="886"/>
      <c r="FE822" s="550"/>
      <c r="FF822" s="550"/>
      <c r="FG822" s="550"/>
      <c r="FH822" s="550"/>
      <c r="FI822" s="550"/>
      <c r="FJ822" s="550"/>
      <c r="FK822" s="550"/>
      <c r="FL822" s="555"/>
      <c r="FM822" s="554"/>
      <c r="FN822" s="554"/>
      <c r="FO822" s="554"/>
      <c r="FP822" s="554"/>
      <c r="FQ822" s="554"/>
      <c r="FR822" s="554"/>
      <c r="FS822" s="554"/>
      <c r="FT822" s="554"/>
      <c r="FU822" s="554"/>
      <c r="FV822" s="554"/>
      <c r="FW822" s="554"/>
      <c r="FX822" s="554"/>
      <c r="FY822" s="554"/>
      <c r="FZ822" s="554"/>
      <c r="GA822" s="554"/>
      <c r="GB822" s="556"/>
      <c r="GC822" s="370"/>
      <c r="GD822" s="453"/>
      <c r="GE822" s="453"/>
      <c r="GF822" s="453"/>
      <c r="GG822" s="453"/>
      <c r="GH822" s="454"/>
      <c r="GI822" s="453"/>
      <c r="GJ822" s="453"/>
      <c r="GK822" s="453"/>
      <c r="GL822" s="453"/>
      <c r="GM822" s="453"/>
      <c r="GN822" s="453"/>
      <c r="GO822" s="453"/>
      <c r="GP822" s="453"/>
      <c r="GQ822" s="453"/>
      <c r="GR822" s="453"/>
      <c r="GS822" s="561"/>
      <c r="GT822" s="475"/>
      <c r="GU822" s="472"/>
      <c r="GV822" s="453"/>
      <c r="GW822" s="453"/>
      <c r="GX822" s="869"/>
      <c r="GY822" s="870"/>
      <c r="GZ822" s="867"/>
      <c r="HA822" s="868"/>
      <c r="HB822" s="473"/>
      <c r="HC822" s="869"/>
      <c r="HD822" s="870"/>
      <c r="HE822" s="867"/>
      <c r="HF822" s="868"/>
      <c r="HG822" s="473"/>
      <c r="HH822" s="867"/>
      <c r="HI822" s="868"/>
      <c r="HJ822" s="867"/>
      <c r="HK822" s="868"/>
      <c r="HL822" s="370"/>
      <c r="HM822" s="865"/>
      <c r="HN822" s="866"/>
      <c r="HO822" s="865"/>
      <c r="HP822" s="866"/>
      <c r="HQ822" s="865"/>
      <c r="HR822" s="866"/>
      <c r="HS822" s="867"/>
      <c r="HT822" s="868"/>
      <c r="HU822" s="489"/>
      <c r="HV822" s="865"/>
      <c r="HW822" s="866"/>
    </row>
    <row r="823" spans="25:231" ht="15" customHeight="1">
      <c r="Y823" s="332"/>
      <c r="Z823" s="332"/>
      <c r="AA823" s="332"/>
      <c r="AB823" s="332"/>
      <c r="AC823" s="332"/>
      <c r="AD823" s="332"/>
      <c r="AE823" s="332"/>
      <c r="AF823" s="332"/>
      <c r="AG823" s="332"/>
      <c r="AH823" s="332"/>
      <c r="AI823" s="332"/>
      <c r="AJ823" s="332"/>
      <c r="AK823" s="332"/>
      <c r="AL823" s="332"/>
      <c r="AM823" s="332"/>
      <c r="AN823" s="332"/>
      <c r="AO823" s="332"/>
      <c r="AP823" s="332"/>
      <c r="AQ823" s="332"/>
      <c r="AR823" s="332"/>
      <c r="AS823" s="332"/>
      <c r="AT823" s="332"/>
      <c r="AU823" s="332"/>
      <c r="AV823" s="332"/>
      <c r="AW823" s="332"/>
      <c r="AX823" s="332"/>
      <c r="AY823" s="332"/>
      <c r="AZ823" s="332"/>
      <c r="BA823" s="332"/>
      <c r="BB823" s="332"/>
      <c r="BC823" s="332"/>
      <c r="BD823" s="332"/>
      <c r="BE823" s="332"/>
      <c r="BF823" s="332"/>
      <c r="BG823" s="332"/>
      <c r="BH823" s="332"/>
      <c r="BI823" s="332"/>
      <c r="BJ823" s="332"/>
      <c r="BK823" s="332"/>
      <c r="BL823" s="332"/>
      <c r="BM823" s="332"/>
      <c r="BN823" s="332"/>
      <c r="BO823" s="332"/>
      <c r="BP823" s="332"/>
      <c r="BQ823" s="332"/>
      <c r="BR823" s="332"/>
      <c r="BS823" s="332"/>
      <c r="BT823" s="332"/>
      <c r="BU823" s="332"/>
      <c r="BV823" s="332"/>
      <c r="BW823" s="332"/>
      <c r="BX823" s="332"/>
      <c r="BY823" s="332"/>
      <c r="BZ823" s="332"/>
      <c r="CA823" s="332"/>
      <c r="CB823" s="332"/>
      <c r="CC823" s="332"/>
      <c r="CD823" s="332"/>
      <c r="CE823" s="332"/>
      <c r="CF823" s="332"/>
      <c r="CG823" s="332"/>
      <c r="CH823" s="332"/>
      <c r="CI823" s="332"/>
      <c r="CJ823" s="332"/>
      <c r="CK823" s="332"/>
      <c r="CL823" s="332"/>
      <c r="CM823" s="332"/>
      <c r="CN823" s="332"/>
      <c r="CO823" s="332"/>
      <c r="CP823" s="332"/>
      <c r="CQ823" s="332"/>
      <c r="CR823" s="332"/>
      <c r="CS823" s="332"/>
      <c r="CT823" s="332"/>
      <c r="CU823" s="332"/>
      <c r="CV823" s="332"/>
      <c r="CW823" s="332"/>
      <c r="CX823" s="332"/>
      <c r="CY823" s="332"/>
      <c r="CZ823" s="332"/>
      <c r="DA823" s="332"/>
      <c r="DB823" s="332"/>
      <c r="DC823" s="332"/>
      <c r="DD823" s="332"/>
      <c r="DE823" s="332"/>
      <c r="DF823" s="332"/>
      <c r="DG823" s="332"/>
      <c r="DH823" s="332"/>
      <c r="DI823" s="332"/>
      <c r="DJ823" s="332"/>
      <c r="DK823" s="332"/>
      <c r="DL823" s="332"/>
      <c r="DM823" s="332"/>
      <c r="DN823" s="332"/>
      <c r="DO823" s="332"/>
      <c r="DP823" s="332"/>
      <c r="DQ823" s="332"/>
      <c r="DR823" s="332"/>
      <c r="DS823" s="332"/>
      <c r="DT823" s="332"/>
      <c r="DU823" s="453"/>
      <c r="DV823" s="453"/>
      <c r="DW823" s="453"/>
      <c r="DX823" s="453"/>
      <c r="DY823" s="453"/>
      <c r="DZ823" s="453"/>
      <c r="EA823" s="453"/>
      <c r="EB823" s="453"/>
      <c r="EC823" s="453"/>
      <c r="ED823" s="453"/>
      <c r="EE823" s="453"/>
      <c r="EF823" s="453"/>
      <c r="EG823" s="453"/>
      <c r="EH823" s="453"/>
      <c r="EI823" s="453"/>
      <c r="EJ823" s="453"/>
      <c r="EK823" s="453"/>
      <c r="EL823" s="453"/>
      <c r="EM823" s="483">
        <f t="shared" si="233"/>
        <v>514</v>
      </c>
      <c r="EN823" s="485"/>
      <c r="EO823" s="458"/>
      <c r="EP823" s="467"/>
      <c r="EQ823" s="457"/>
      <c r="ER823" s="808"/>
      <c r="ES823" s="881">
        <f t="shared" si="235"/>
        <v>0</v>
      </c>
      <c r="ET823" s="882"/>
      <c r="EU823" s="883"/>
      <c r="EV823" s="884">
        <f t="shared" si="236"/>
        <v>0</v>
      </c>
      <c r="EW823" s="885"/>
      <c r="EX823" s="885"/>
      <c r="EY823" s="885"/>
      <c r="EZ823" s="885"/>
      <c r="FA823" s="885"/>
      <c r="FB823" s="885"/>
      <c r="FC823" s="885"/>
      <c r="FD823" s="886"/>
      <c r="FE823" s="550"/>
      <c r="FF823" s="550"/>
      <c r="FG823" s="550"/>
      <c r="FH823" s="550"/>
      <c r="FI823" s="550"/>
      <c r="FJ823" s="550"/>
      <c r="FK823" s="550"/>
      <c r="FL823" s="555"/>
      <c r="FM823" s="554"/>
      <c r="FN823" s="554"/>
      <c r="FO823" s="554"/>
      <c r="FP823" s="554"/>
      <c r="FQ823" s="554"/>
      <c r="FR823" s="554"/>
      <c r="FS823" s="554"/>
      <c r="FT823" s="554"/>
      <c r="FU823" s="554"/>
      <c r="FV823" s="554"/>
      <c r="FW823" s="554"/>
      <c r="FX823" s="554"/>
      <c r="FY823" s="554"/>
      <c r="FZ823" s="554"/>
      <c r="GA823" s="554"/>
      <c r="GB823" s="556"/>
      <c r="GC823" s="370"/>
      <c r="GD823" s="453"/>
      <c r="GE823" s="453"/>
      <c r="GF823" s="453"/>
      <c r="GG823" s="453"/>
      <c r="GH823" s="454"/>
      <c r="GI823" s="453"/>
      <c r="GJ823" s="453"/>
      <c r="GK823" s="453"/>
      <c r="GL823" s="453"/>
      <c r="GM823" s="453"/>
      <c r="GN823" s="453"/>
      <c r="GO823" s="453"/>
      <c r="GP823" s="453"/>
      <c r="GQ823" s="453"/>
      <c r="GR823" s="453"/>
      <c r="GS823" s="561"/>
      <c r="GT823" s="475"/>
      <c r="GU823" s="472"/>
      <c r="GV823" s="453"/>
      <c r="GW823" s="453"/>
      <c r="GX823" s="869"/>
      <c r="GY823" s="870"/>
      <c r="GZ823" s="867"/>
      <c r="HA823" s="868"/>
      <c r="HB823" s="473"/>
      <c r="HC823" s="869"/>
      <c r="HD823" s="870"/>
      <c r="HE823" s="867"/>
      <c r="HF823" s="868"/>
      <c r="HG823" s="473"/>
      <c r="HH823" s="867"/>
      <c r="HI823" s="868"/>
      <c r="HJ823" s="867"/>
      <c r="HK823" s="868"/>
      <c r="HL823" s="370"/>
      <c r="HM823" s="865"/>
      <c r="HN823" s="866"/>
      <c r="HO823" s="865"/>
      <c r="HP823" s="866"/>
      <c r="HQ823" s="865"/>
      <c r="HR823" s="866"/>
      <c r="HS823" s="867"/>
      <c r="HT823" s="868"/>
      <c r="HU823" s="489"/>
      <c r="HV823" s="865"/>
      <c r="HW823" s="866"/>
    </row>
    <row r="824" spans="25:231" ht="15" customHeight="1">
      <c r="Y824" s="332"/>
      <c r="Z824" s="332"/>
      <c r="AA824" s="332"/>
      <c r="AB824" s="332"/>
      <c r="AC824" s="332"/>
      <c r="AD824" s="332"/>
      <c r="AE824" s="332"/>
      <c r="AF824" s="332"/>
      <c r="AG824" s="332"/>
      <c r="AH824" s="332"/>
      <c r="AI824" s="332"/>
      <c r="AJ824" s="332"/>
      <c r="AK824" s="332"/>
      <c r="AL824" s="332"/>
      <c r="AM824" s="332"/>
      <c r="AN824" s="332"/>
      <c r="AO824" s="332"/>
      <c r="AP824" s="332"/>
      <c r="AQ824" s="332"/>
      <c r="AR824" s="332"/>
      <c r="AS824" s="332"/>
      <c r="AT824" s="332"/>
      <c r="AU824" s="332"/>
      <c r="AV824" s="332"/>
      <c r="AW824" s="332"/>
      <c r="AX824" s="332"/>
      <c r="AY824" s="332"/>
      <c r="AZ824" s="332"/>
      <c r="BA824" s="332"/>
      <c r="BB824" s="332"/>
      <c r="BC824" s="332"/>
      <c r="BD824" s="332"/>
      <c r="BE824" s="332"/>
      <c r="BF824" s="332"/>
      <c r="BG824" s="332"/>
      <c r="BH824" s="332"/>
      <c r="BI824" s="332"/>
      <c r="BJ824" s="332"/>
      <c r="BK824" s="332"/>
      <c r="BL824" s="332"/>
      <c r="BM824" s="332"/>
      <c r="BN824" s="332"/>
      <c r="BO824" s="332"/>
      <c r="BP824" s="332"/>
      <c r="BQ824" s="332"/>
      <c r="BR824" s="332"/>
      <c r="BS824" s="332"/>
      <c r="BT824" s="332"/>
      <c r="BU824" s="332"/>
      <c r="BV824" s="332"/>
      <c r="BW824" s="332"/>
      <c r="BX824" s="332"/>
      <c r="BY824" s="332"/>
      <c r="BZ824" s="332"/>
      <c r="CA824" s="332"/>
      <c r="CB824" s="332"/>
      <c r="CC824" s="332"/>
      <c r="CD824" s="332"/>
      <c r="CE824" s="332"/>
      <c r="CF824" s="332"/>
      <c r="CG824" s="332"/>
      <c r="CH824" s="332"/>
      <c r="CI824" s="332"/>
      <c r="CJ824" s="332"/>
      <c r="CK824" s="332"/>
      <c r="CL824" s="332"/>
      <c r="CM824" s="332"/>
      <c r="CN824" s="332"/>
      <c r="CO824" s="332"/>
      <c r="CP824" s="332"/>
      <c r="CQ824" s="332"/>
      <c r="CR824" s="332"/>
      <c r="CS824" s="332"/>
      <c r="CT824" s="332"/>
      <c r="CU824" s="332"/>
      <c r="CV824" s="332"/>
      <c r="CW824" s="332"/>
      <c r="CX824" s="332"/>
      <c r="CY824" s="332"/>
      <c r="CZ824" s="332"/>
      <c r="DA824" s="332"/>
      <c r="DB824" s="332"/>
      <c r="DC824" s="332"/>
      <c r="DD824" s="332"/>
      <c r="DE824" s="332"/>
      <c r="DF824" s="332"/>
      <c r="DG824" s="332"/>
      <c r="DH824" s="332"/>
      <c r="DI824" s="332"/>
      <c r="DJ824" s="332"/>
      <c r="DK824" s="332"/>
      <c r="DL824" s="332"/>
      <c r="DM824" s="332"/>
      <c r="DN824" s="332"/>
      <c r="DO824" s="332"/>
      <c r="DP824" s="332"/>
      <c r="DQ824" s="332"/>
      <c r="DR824" s="332"/>
      <c r="DS824" s="332"/>
      <c r="DT824" s="332"/>
      <c r="DU824" s="453"/>
      <c r="DV824" s="453"/>
      <c r="DW824" s="453"/>
      <c r="DX824" s="453"/>
      <c r="DY824" s="453"/>
      <c r="DZ824" s="453"/>
      <c r="EA824" s="453"/>
      <c r="EB824" s="453"/>
      <c r="EC824" s="453"/>
      <c r="ED824" s="453"/>
      <c r="EE824" s="453"/>
      <c r="EF824" s="453"/>
      <c r="EG824" s="453"/>
      <c r="EH824" s="453"/>
      <c r="EI824" s="453"/>
      <c r="EJ824" s="453"/>
      <c r="EK824" s="453"/>
      <c r="EL824" s="453"/>
      <c r="EM824" s="483">
        <f t="shared" ref="EM824:EM887" si="237">+EM823+1</f>
        <v>515</v>
      </c>
      <c r="EN824" s="485"/>
      <c r="EO824" s="458"/>
      <c r="EP824" s="467"/>
      <c r="EQ824" s="457"/>
      <c r="ER824" s="808"/>
      <c r="ES824" s="881">
        <f t="shared" si="235"/>
        <v>0</v>
      </c>
      <c r="ET824" s="882"/>
      <c r="EU824" s="883"/>
      <c r="EV824" s="884">
        <f t="shared" si="236"/>
        <v>0</v>
      </c>
      <c r="EW824" s="885"/>
      <c r="EX824" s="885"/>
      <c r="EY824" s="885"/>
      <c r="EZ824" s="885"/>
      <c r="FA824" s="885"/>
      <c r="FB824" s="885"/>
      <c r="FC824" s="885"/>
      <c r="FD824" s="886"/>
      <c r="FE824" s="550"/>
      <c r="FF824" s="550"/>
      <c r="FG824" s="550"/>
      <c r="FH824" s="550"/>
      <c r="FI824" s="550"/>
      <c r="FJ824" s="550"/>
      <c r="FK824" s="550"/>
      <c r="FL824" s="555"/>
      <c r="FM824" s="554"/>
      <c r="FN824" s="554"/>
      <c r="FO824" s="554"/>
      <c r="FP824" s="554"/>
      <c r="FQ824" s="554"/>
      <c r="FR824" s="554"/>
      <c r="FS824" s="554"/>
      <c r="FT824" s="554"/>
      <c r="FU824" s="554"/>
      <c r="FV824" s="554"/>
      <c r="FW824" s="554"/>
      <c r="FX824" s="554"/>
      <c r="FY824" s="554"/>
      <c r="FZ824" s="554"/>
      <c r="GA824" s="554"/>
      <c r="GB824" s="556"/>
      <c r="GC824" s="370"/>
      <c r="GD824" s="453"/>
      <c r="GE824" s="453"/>
      <c r="GF824" s="453"/>
      <c r="GG824" s="453"/>
      <c r="GH824" s="454"/>
      <c r="GI824" s="453"/>
      <c r="GJ824" s="453"/>
      <c r="GK824" s="453"/>
      <c r="GL824" s="453"/>
      <c r="GM824" s="453"/>
      <c r="GN824" s="453"/>
      <c r="GO824" s="453"/>
      <c r="GP824" s="453"/>
      <c r="GQ824" s="453"/>
      <c r="GR824" s="453"/>
      <c r="GS824" s="561"/>
      <c r="GT824" s="475"/>
      <c r="GU824" s="472"/>
      <c r="GV824" s="453"/>
      <c r="GW824" s="453"/>
      <c r="GX824" s="869"/>
      <c r="GY824" s="870"/>
      <c r="GZ824" s="867"/>
      <c r="HA824" s="868"/>
      <c r="HB824" s="473"/>
      <c r="HC824" s="869"/>
      <c r="HD824" s="870"/>
      <c r="HE824" s="867"/>
      <c r="HF824" s="868"/>
      <c r="HG824" s="473"/>
      <c r="HH824" s="867"/>
      <c r="HI824" s="868"/>
      <c r="HJ824" s="867"/>
      <c r="HK824" s="868"/>
      <c r="HL824" s="370"/>
      <c r="HM824" s="865"/>
      <c r="HN824" s="866"/>
      <c r="HO824" s="865"/>
      <c r="HP824" s="866"/>
      <c r="HQ824" s="865"/>
      <c r="HR824" s="866"/>
      <c r="HS824" s="867"/>
      <c r="HT824" s="868"/>
      <c r="HU824" s="489"/>
      <c r="HV824" s="865"/>
      <c r="HW824" s="866"/>
    </row>
    <row r="825" spans="25:231" ht="15" customHeight="1">
      <c r="Y825" s="332"/>
      <c r="Z825" s="332"/>
      <c r="AA825" s="332"/>
      <c r="AB825" s="332"/>
      <c r="AC825" s="332"/>
      <c r="AD825" s="332"/>
      <c r="AE825" s="332"/>
      <c r="AF825" s="332"/>
      <c r="AG825" s="332"/>
      <c r="AH825" s="332"/>
      <c r="AI825" s="332"/>
      <c r="AJ825" s="332"/>
      <c r="AK825" s="332"/>
      <c r="AL825" s="332"/>
      <c r="AM825" s="332"/>
      <c r="AN825" s="332"/>
      <c r="AO825" s="332"/>
      <c r="AP825" s="332"/>
      <c r="AQ825" s="332"/>
      <c r="AR825" s="332"/>
      <c r="AS825" s="332"/>
      <c r="AT825" s="332"/>
      <c r="AU825" s="332"/>
      <c r="AV825" s="332"/>
      <c r="AW825" s="332"/>
      <c r="AX825" s="332"/>
      <c r="AY825" s="332"/>
      <c r="AZ825" s="332"/>
      <c r="BA825" s="332"/>
      <c r="BB825" s="332"/>
      <c r="BC825" s="332"/>
      <c r="BD825" s="332"/>
      <c r="BE825" s="332"/>
      <c r="BF825" s="332"/>
      <c r="BG825" s="332"/>
      <c r="BH825" s="332"/>
      <c r="BI825" s="332"/>
      <c r="BJ825" s="332"/>
      <c r="BK825" s="332"/>
      <c r="BL825" s="332"/>
      <c r="BM825" s="332"/>
      <c r="BN825" s="332"/>
      <c r="BO825" s="332"/>
      <c r="BP825" s="332"/>
      <c r="BQ825" s="332"/>
      <c r="BR825" s="332"/>
      <c r="BS825" s="332"/>
      <c r="BT825" s="332"/>
      <c r="BU825" s="332"/>
      <c r="BV825" s="332"/>
      <c r="BW825" s="332"/>
      <c r="BX825" s="332"/>
      <c r="BY825" s="332"/>
      <c r="BZ825" s="332"/>
      <c r="CA825" s="332"/>
      <c r="CB825" s="332"/>
      <c r="CC825" s="332"/>
      <c r="CD825" s="332"/>
      <c r="CE825" s="332"/>
      <c r="CF825" s="332"/>
      <c r="CG825" s="332"/>
      <c r="CH825" s="332"/>
      <c r="CI825" s="332"/>
      <c r="CJ825" s="332"/>
      <c r="CK825" s="332"/>
      <c r="CL825" s="332"/>
      <c r="CM825" s="332"/>
      <c r="CN825" s="332"/>
      <c r="CO825" s="332"/>
      <c r="CP825" s="332"/>
      <c r="CQ825" s="332"/>
      <c r="CR825" s="332"/>
      <c r="CS825" s="332"/>
      <c r="CT825" s="332"/>
      <c r="CU825" s="332"/>
      <c r="CV825" s="332"/>
      <c r="CW825" s="332"/>
      <c r="CX825" s="332"/>
      <c r="CY825" s="332"/>
      <c r="CZ825" s="332"/>
      <c r="DA825" s="332"/>
      <c r="DB825" s="332"/>
      <c r="DC825" s="332"/>
      <c r="DD825" s="332"/>
      <c r="DE825" s="332"/>
      <c r="DF825" s="332"/>
      <c r="DG825" s="332"/>
      <c r="DH825" s="332"/>
      <c r="DI825" s="332"/>
      <c r="DJ825" s="332"/>
      <c r="DK825" s="332"/>
      <c r="DL825" s="332"/>
      <c r="DM825" s="332"/>
      <c r="DN825" s="332"/>
      <c r="DO825" s="332"/>
      <c r="DP825" s="332"/>
      <c r="DQ825" s="332"/>
      <c r="DR825" s="332"/>
      <c r="DS825" s="332"/>
      <c r="DT825" s="332"/>
      <c r="DU825" s="453"/>
      <c r="DV825" s="453"/>
      <c r="DW825" s="453"/>
      <c r="DX825" s="453"/>
      <c r="DY825" s="453"/>
      <c r="DZ825" s="453"/>
      <c r="EA825" s="453"/>
      <c r="EB825" s="453"/>
      <c r="EC825" s="453"/>
      <c r="ED825" s="453"/>
      <c r="EE825" s="453"/>
      <c r="EF825" s="453"/>
      <c r="EG825" s="453"/>
      <c r="EH825" s="453"/>
      <c r="EI825" s="453"/>
      <c r="EJ825" s="453"/>
      <c r="EK825" s="453"/>
      <c r="EL825" s="453"/>
      <c r="EM825" s="483">
        <f t="shared" si="237"/>
        <v>516</v>
      </c>
      <c r="EN825" s="485"/>
      <c r="EO825" s="458"/>
      <c r="EP825" s="467"/>
      <c r="EQ825" s="457"/>
      <c r="ER825" s="808"/>
      <c r="ES825" s="881">
        <f t="shared" si="235"/>
        <v>0</v>
      </c>
      <c r="ET825" s="882"/>
      <c r="EU825" s="883"/>
      <c r="EV825" s="884">
        <f t="shared" si="236"/>
        <v>0</v>
      </c>
      <c r="EW825" s="885"/>
      <c r="EX825" s="885"/>
      <c r="EY825" s="885"/>
      <c r="EZ825" s="885"/>
      <c r="FA825" s="885"/>
      <c r="FB825" s="885"/>
      <c r="FC825" s="885"/>
      <c r="FD825" s="886"/>
      <c r="FE825" s="550"/>
      <c r="FF825" s="550"/>
      <c r="FG825" s="550"/>
      <c r="FH825" s="550"/>
      <c r="FI825" s="550"/>
      <c r="FJ825" s="550"/>
      <c r="FK825" s="550"/>
      <c r="FL825" s="555"/>
      <c r="FM825" s="554"/>
      <c r="FN825" s="554"/>
      <c r="FO825" s="554"/>
      <c r="FP825" s="554"/>
      <c r="FQ825" s="554"/>
      <c r="FR825" s="554"/>
      <c r="FS825" s="554"/>
      <c r="FT825" s="554"/>
      <c r="FU825" s="554"/>
      <c r="FV825" s="554"/>
      <c r="FW825" s="554"/>
      <c r="FX825" s="554"/>
      <c r="FY825" s="554"/>
      <c r="FZ825" s="554"/>
      <c r="GA825" s="554"/>
      <c r="GB825" s="556"/>
      <c r="GC825" s="370"/>
      <c r="GD825" s="453"/>
      <c r="GE825" s="453"/>
      <c r="GF825" s="453"/>
      <c r="GG825" s="453"/>
      <c r="GH825" s="454"/>
      <c r="GI825" s="453"/>
      <c r="GJ825" s="453"/>
      <c r="GK825" s="453"/>
      <c r="GL825" s="453"/>
      <c r="GM825" s="453"/>
      <c r="GN825" s="453"/>
      <c r="GO825" s="453"/>
      <c r="GP825" s="453"/>
      <c r="GQ825" s="453"/>
      <c r="GR825" s="453"/>
      <c r="GS825" s="561"/>
      <c r="GT825" s="475"/>
      <c r="GU825" s="472"/>
      <c r="GV825" s="453"/>
      <c r="GW825" s="453"/>
      <c r="GX825" s="869"/>
      <c r="GY825" s="870"/>
      <c r="GZ825" s="867"/>
      <c r="HA825" s="868"/>
      <c r="HB825" s="473"/>
      <c r="HC825" s="869"/>
      <c r="HD825" s="870"/>
      <c r="HE825" s="867"/>
      <c r="HF825" s="868"/>
      <c r="HG825" s="473"/>
      <c r="HH825" s="867"/>
      <c r="HI825" s="868"/>
      <c r="HJ825" s="867"/>
      <c r="HK825" s="868"/>
      <c r="HL825" s="370"/>
      <c r="HM825" s="865"/>
      <c r="HN825" s="866"/>
      <c r="HO825" s="865"/>
      <c r="HP825" s="866"/>
      <c r="HQ825" s="865"/>
      <c r="HR825" s="866"/>
      <c r="HS825" s="867"/>
      <c r="HT825" s="868"/>
      <c r="HU825" s="489"/>
      <c r="HV825" s="865"/>
      <c r="HW825" s="866"/>
    </row>
    <row r="826" spans="25:231" ht="15" customHeight="1">
      <c r="Y826" s="332"/>
      <c r="Z826" s="332"/>
      <c r="AA826" s="332"/>
      <c r="AB826" s="332"/>
      <c r="AC826" s="332"/>
      <c r="AD826" s="332"/>
      <c r="AE826" s="332"/>
      <c r="AF826" s="332"/>
      <c r="AG826" s="332"/>
      <c r="AH826" s="332"/>
      <c r="AI826" s="332"/>
      <c r="AJ826" s="332"/>
      <c r="AK826" s="332"/>
      <c r="AL826" s="332"/>
      <c r="AM826" s="332"/>
      <c r="AN826" s="332"/>
      <c r="AO826" s="332"/>
      <c r="AP826" s="332"/>
      <c r="AQ826" s="332"/>
      <c r="AR826" s="332"/>
      <c r="AS826" s="332"/>
      <c r="AT826" s="332"/>
      <c r="AU826" s="332"/>
      <c r="AV826" s="332"/>
      <c r="AW826" s="332"/>
      <c r="AX826" s="332"/>
      <c r="AY826" s="332"/>
      <c r="AZ826" s="332"/>
      <c r="BA826" s="332"/>
      <c r="BB826" s="332"/>
      <c r="BC826" s="332"/>
      <c r="BD826" s="332"/>
      <c r="BE826" s="332"/>
      <c r="BF826" s="332"/>
      <c r="BG826" s="332"/>
      <c r="BH826" s="332"/>
      <c r="BI826" s="332"/>
      <c r="BJ826" s="332"/>
      <c r="BK826" s="332"/>
      <c r="BL826" s="332"/>
      <c r="BM826" s="332"/>
      <c r="BN826" s="332"/>
      <c r="BO826" s="332"/>
      <c r="BP826" s="332"/>
      <c r="BQ826" s="332"/>
      <c r="BR826" s="332"/>
      <c r="BS826" s="332"/>
      <c r="BT826" s="332"/>
      <c r="BU826" s="332"/>
      <c r="BV826" s="332"/>
      <c r="BW826" s="332"/>
      <c r="BX826" s="332"/>
      <c r="BY826" s="332"/>
      <c r="BZ826" s="332"/>
      <c r="CA826" s="332"/>
      <c r="CB826" s="332"/>
      <c r="CC826" s="332"/>
      <c r="CD826" s="332"/>
      <c r="CE826" s="332"/>
      <c r="CF826" s="332"/>
      <c r="CG826" s="332"/>
      <c r="CH826" s="332"/>
      <c r="CI826" s="332"/>
      <c r="CJ826" s="332"/>
      <c r="CK826" s="332"/>
      <c r="CL826" s="332"/>
      <c r="CM826" s="332"/>
      <c r="CN826" s="332"/>
      <c r="CO826" s="332"/>
      <c r="CP826" s="332"/>
      <c r="CQ826" s="332"/>
      <c r="CR826" s="332"/>
      <c r="CS826" s="332"/>
      <c r="CT826" s="332"/>
      <c r="CU826" s="332"/>
      <c r="CV826" s="332"/>
      <c r="CW826" s="332"/>
      <c r="CX826" s="332"/>
      <c r="CY826" s="332"/>
      <c r="CZ826" s="332"/>
      <c r="DA826" s="332"/>
      <c r="DB826" s="332"/>
      <c r="DC826" s="332"/>
      <c r="DD826" s="332"/>
      <c r="DE826" s="332"/>
      <c r="DF826" s="332"/>
      <c r="DG826" s="332"/>
      <c r="DH826" s="332"/>
      <c r="DI826" s="332"/>
      <c r="DJ826" s="332"/>
      <c r="DK826" s="332"/>
      <c r="DL826" s="332"/>
      <c r="DM826" s="332"/>
      <c r="DN826" s="332"/>
      <c r="DO826" s="332"/>
      <c r="DP826" s="332"/>
      <c r="DQ826" s="332"/>
      <c r="DR826" s="332"/>
      <c r="DS826" s="332"/>
      <c r="DT826" s="332"/>
      <c r="DU826" s="453"/>
      <c r="DV826" s="453"/>
      <c r="DW826" s="453"/>
      <c r="DX826" s="453"/>
      <c r="DY826" s="453"/>
      <c r="DZ826" s="453"/>
      <c r="EA826" s="453"/>
      <c r="EB826" s="453"/>
      <c r="EC826" s="453"/>
      <c r="ED826" s="453"/>
      <c r="EE826" s="453"/>
      <c r="EF826" s="453"/>
      <c r="EG826" s="453"/>
      <c r="EH826" s="453"/>
      <c r="EI826" s="453"/>
      <c r="EJ826" s="453"/>
      <c r="EK826" s="453"/>
      <c r="EL826" s="453"/>
      <c r="EM826" s="483">
        <f t="shared" si="237"/>
        <v>517</v>
      </c>
      <c r="EN826" s="485"/>
      <c r="EO826" s="458"/>
      <c r="EP826" s="467"/>
      <c r="EQ826" s="457"/>
      <c r="ER826" s="808"/>
      <c r="ES826" s="881">
        <f t="shared" si="235"/>
        <v>0</v>
      </c>
      <c r="ET826" s="882"/>
      <c r="EU826" s="883"/>
      <c r="EV826" s="884">
        <f t="shared" si="236"/>
        <v>0</v>
      </c>
      <c r="EW826" s="885"/>
      <c r="EX826" s="885"/>
      <c r="EY826" s="885"/>
      <c r="EZ826" s="885"/>
      <c r="FA826" s="885"/>
      <c r="FB826" s="885"/>
      <c r="FC826" s="885"/>
      <c r="FD826" s="886"/>
      <c r="FE826" s="550"/>
      <c r="FF826" s="550"/>
      <c r="FG826" s="550"/>
      <c r="FH826" s="550"/>
      <c r="FI826" s="550"/>
      <c r="FJ826" s="550"/>
      <c r="FK826" s="550"/>
      <c r="FL826" s="555"/>
      <c r="FM826" s="554"/>
      <c r="FN826" s="554"/>
      <c r="FO826" s="554"/>
      <c r="FP826" s="554"/>
      <c r="FQ826" s="554"/>
      <c r="FR826" s="554"/>
      <c r="FS826" s="554"/>
      <c r="FT826" s="554"/>
      <c r="FU826" s="554"/>
      <c r="FV826" s="554"/>
      <c r="FW826" s="554"/>
      <c r="FX826" s="554"/>
      <c r="FY826" s="554"/>
      <c r="FZ826" s="554"/>
      <c r="GA826" s="554"/>
      <c r="GB826" s="556"/>
      <c r="GC826" s="370"/>
      <c r="GD826" s="453"/>
      <c r="GE826" s="453"/>
      <c r="GF826" s="453"/>
      <c r="GG826" s="453"/>
      <c r="GH826" s="454"/>
      <c r="GI826" s="453"/>
      <c r="GJ826" s="453"/>
      <c r="GK826" s="453"/>
      <c r="GL826" s="453"/>
      <c r="GM826" s="453"/>
      <c r="GN826" s="453"/>
      <c r="GO826" s="453"/>
      <c r="GP826" s="453"/>
      <c r="GQ826" s="453"/>
      <c r="GR826" s="453"/>
      <c r="GS826" s="561"/>
      <c r="GT826" s="475"/>
      <c r="GU826" s="472"/>
      <c r="GV826" s="453"/>
      <c r="GW826" s="453"/>
      <c r="GX826" s="869"/>
      <c r="GY826" s="870"/>
      <c r="GZ826" s="867"/>
      <c r="HA826" s="868"/>
      <c r="HB826" s="473"/>
      <c r="HC826" s="869"/>
      <c r="HD826" s="870"/>
      <c r="HE826" s="867"/>
      <c r="HF826" s="868"/>
      <c r="HG826" s="473"/>
      <c r="HH826" s="867"/>
      <c r="HI826" s="868"/>
      <c r="HJ826" s="867"/>
      <c r="HK826" s="868"/>
      <c r="HL826" s="370"/>
      <c r="HM826" s="865"/>
      <c r="HN826" s="866"/>
      <c r="HO826" s="865"/>
      <c r="HP826" s="866"/>
      <c r="HQ826" s="865"/>
      <c r="HR826" s="866"/>
      <c r="HS826" s="867"/>
      <c r="HT826" s="868"/>
      <c r="HU826" s="489"/>
      <c r="HV826" s="865"/>
      <c r="HW826" s="866"/>
    </row>
    <row r="827" spans="25:231" ht="15" customHeight="1">
      <c r="Y827" s="332"/>
      <c r="Z827" s="332"/>
      <c r="AA827" s="332"/>
      <c r="AB827" s="332"/>
      <c r="AC827" s="332"/>
      <c r="AD827" s="332"/>
      <c r="AE827" s="332"/>
      <c r="AF827" s="332"/>
      <c r="AG827" s="332"/>
      <c r="AH827" s="332"/>
      <c r="AI827" s="332"/>
      <c r="AJ827" s="332"/>
      <c r="AK827" s="332"/>
      <c r="AL827" s="332"/>
      <c r="AM827" s="332"/>
      <c r="AN827" s="332"/>
      <c r="AO827" s="332"/>
      <c r="AP827" s="332"/>
      <c r="AQ827" s="332"/>
      <c r="AR827" s="332"/>
      <c r="AS827" s="332"/>
      <c r="AT827" s="332"/>
      <c r="AU827" s="332"/>
      <c r="AV827" s="332"/>
      <c r="AW827" s="332"/>
      <c r="AX827" s="332"/>
      <c r="AY827" s="332"/>
      <c r="AZ827" s="332"/>
      <c r="BA827" s="332"/>
      <c r="BB827" s="332"/>
      <c r="BC827" s="332"/>
      <c r="BD827" s="332"/>
      <c r="BE827" s="332"/>
      <c r="BF827" s="332"/>
      <c r="BG827" s="332"/>
      <c r="BH827" s="332"/>
      <c r="BI827" s="332"/>
      <c r="BJ827" s="332"/>
      <c r="BK827" s="332"/>
      <c r="BL827" s="332"/>
      <c r="BM827" s="332"/>
      <c r="BN827" s="332"/>
      <c r="BO827" s="332"/>
      <c r="BP827" s="332"/>
      <c r="BQ827" s="332"/>
      <c r="BR827" s="332"/>
      <c r="BS827" s="332"/>
      <c r="BT827" s="332"/>
      <c r="BU827" s="332"/>
      <c r="BV827" s="332"/>
      <c r="BW827" s="332"/>
      <c r="BX827" s="332"/>
      <c r="BY827" s="332"/>
      <c r="BZ827" s="332"/>
      <c r="CA827" s="332"/>
      <c r="CB827" s="332"/>
      <c r="CC827" s="332"/>
      <c r="CD827" s="332"/>
      <c r="CE827" s="332"/>
      <c r="CF827" s="332"/>
      <c r="CG827" s="332"/>
      <c r="CH827" s="332"/>
      <c r="CI827" s="332"/>
      <c r="CJ827" s="332"/>
      <c r="CK827" s="332"/>
      <c r="CL827" s="332"/>
      <c r="CM827" s="332"/>
      <c r="CN827" s="332"/>
      <c r="CO827" s="332"/>
      <c r="CP827" s="332"/>
      <c r="CQ827" s="332"/>
      <c r="CR827" s="332"/>
      <c r="CS827" s="332"/>
      <c r="CT827" s="332"/>
      <c r="CU827" s="332"/>
      <c r="CV827" s="332"/>
      <c r="CW827" s="332"/>
      <c r="CX827" s="332"/>
      <c r="CY827" s="332"/>
      <c r="CZ827" s="332"/>
      <c r="DA827" s="332"/>
      <c r="DB827" s="332"/>
      <c r="DC827" s="332"/>
      <c r="DD827" s="332"/>
      <c r="DE827" s="332"/>
      <c r="DF827" s="332"/>
      <c r="DG827" s="332"/>
      <c r="DH827" s="332"/>
      <c r="DI827" s="332"/>
      <c r="DJ827" s="332"/>
      <c r="DK827" s="332"/>
      <c r="DL827" s="332"/>
      <c r="DM827" s="332"/>
      <c r="DN827" s="332"/>
      <c r="DO827" s="332"/>
      <c r="DP827" s="332"/>
      <c r="DQ827" s="332"/>
      <c r="DR827" s="332"/>
      <c r="DS827" s="332"/>
      <c r="DT827" s="332"/>
      <c r="DU827" s="453"/>
      <c r="DV827" s="453"/>
      <c r="DW827" s="453"/>
      <c r="DX827" s="453"/>
      <c r="DY827" s="453"/>
      <c r="DZ827" s="453"/>
      <c r="EA827" s="453"/>
      <c r="EB827" s="453"/>
      <c r="EC827" s="453"/>
      <c r="ED827" s="453"/>
      <c r="EE827" s="453"/>
      <c r="EF827" s="453"/>
      <c r="EG827" s="453"/>
      <c r="EH827" s="453"/>
      <c r="EI827" s="453"/>
      <c r="EJ827" s="453"/>
      <c r="EK827" s="453"/>
      <c r="EL827" s="453"/>
      <c r="EM827" s="483">
        <f t="shared" si="237"/>
        <v>518</v>
      </c>
      <c r="EN827" s="485"/>
      <c r="EO827" s="458"/>
      <c r="EP827" s="467"/>
      <c r="EQ827" s="457"/>
      <c r="ER827" s="808"/>
      <c r="ES827" s="881">
        <f t="shared" si="235"/>
        <v>0</v>
      </c>
      <c r="ET827" s="882"/>
      <c r="EU827" s="883"/>
      <c r="EV827" s="884">
        <f t="shared" si="236"/>
        <v>0</v>
      </c>
      <c r="EW827" s="885"/>
      <c r="EX827" s="885"/>
      <c r="EY827" s="885"/>
      <c r="EZ827" s="885"/>
      <c r="FA827" s="885"/>
      <c r="FB827" s="885"/>
      <c r="FC827" s="885"/>
      <c r="FD827" s="886"/>
      <c r="FE827" s="550"/>
      <c r="FF827" s="550"/>
      <c r="FG827" s="550"/>
      <c r="FH827" s="550"/>
      <c r="FI827" s="550"/>
      <c r="FJ827" s="550"/>
      <c r="FK827" s="550"/>
      <c r="FL827" s="555"/>
      <c r="FM827" s="554"/>
      <c r="FN827" s="554"/>
      <c r="FO827" s="554"/>
      <c r="FP827" s="554"/>
      <c r="FQ827" s="554"/>
      <c r="FR827" s="554"/>
      <c r="FS827" s="554"/>
      <c r="FT827" s="554"/>
      <c r="FU827" s="554"/>
      <c r="FV827" s="554"/>
      <c r="FW827" s="554"/>
      <c r="FX827" s="554"/>
      <c r="FY827" s="554"/>
      <c r="FZ827" s="554"/>
      <c r="GA827" s="554"/>
      <c r="GB827" s="556"/>
      <c r="GC827" s="370"/>
      <c r="GD827" s="453"/>
      <c r="GE827" s="453"/>
      <c r="GF827" s="453"/>
      <c r="GG827" s="453"/>
      <c r="GH827" s="454"/>
      <c r="GI827" s="453"/>
      <c r="GJ827" s="453"/>
      <c r="GK827" s="453"/>
      <c r="GL827" s="453"/>
      <c r="GM827" s="453"/>
      <c r="GN827" s="453"/>
      <c r="GO827" s="453"/>
      <c r="GP827" s="453"/>
      <c r="GQ827" s="453"/>
      <c r="GR827" s="453"/>
      <c r="GS827" s="561"/>
      <c r="GT827" s="475"/>
      <c r="GU827" s="472"/>
      <c r="GV827" s="453"/>
      <c r="GW827" s="453"/>
      <c r="GX827" s="869"/>
      <c r="GY827" s="870"/>
      <c r="GZ827" s="867"/>
      <c r="HA827" s="868"/>
      <c r="HB827" s="473"/>
      <c r="HC827" s="869"/>
      <c r="HD827" s="870"/>
      <c r="HE827" s="867"/>
      <c r="HF827" s="868"/>
      <c r="HG827" s="473"/>
      <c r="HH827" s="867"/>
      <c r="HI827" s="868"/>
      <c r="HJ827" s="867"/>
      <c r="HK827" s="868"/>
      <c r="HL827" s="370"/>
      <c r="HM827" s="865"/>
      <c r="HN827" s="866"/>
      <c r="HO827" s="865"/>
      <c r="HP827" s="866"/>
      <c r="HQ827" s="865"/>
      <c r="HR827" s="866"/>
      <c r="HS827" s="867"/>
      <c r="HT827" s="868"/>
      <c r="HU827" s="489"/>
      <c r="HV827" s="865"/>
      <c r="HW827" s="866"/>
    </row>
    <row r="828" spans="25:231" ht="15" customHeight="1">
      <c r="Y828" s="332"/>
      <c r="Z828" s="332"/>
      <c r="AA828" s="332"/>
      <c r="AB828" s="332"/>
      <c r="AC828" s="332"/>
      <c r="AD828" s="332"/>
      <c r="AE828" s="332"/>
      <c r="AF828" s="332"/>
      <c r="AG828" s="332"/>
      <c r="AH828" s="332"/>
      <c r="AI828" s="332"/>
      <c r="AJ828" s="332"/>
      <c r="AK828" s="332"/>
      <c r="AL828" s="332"/>
      <c r="AM828" s="332"/>
      <c r="AN828" s="332"/>
      <c r="AO828" s="332"/>
      <c r="AP828" s="332"/>
      <c r="AQ828" s="332"/>
      <c r="AR828" s="332"/>
      <c r="AS828" s="332"/>
      <c r="AT828" s="332"/>
      <c r="AU828" s="332"/>
      <c r="AV828" s="332"/>
      <c r="AW828" s="332"/>
      <c r="AX828" s="332"/>
      <c r="AY828" s="332"/>
      <c r="AZ828" s="332"/>
      <c r="BA828" s="332"/>
      <c r="BB828" s="332"/>
      <c r="BC828" s="332"/>
      <c r="BD828" s="332"/>
      <c r="BE828" s="332"/>
      <c r="BF828" s="332"/>
      <c r="BG828" s="332"/>
      <c r="BH828" s="332"/>
      <c r="BI828" s="332"/>
      <c r="BJ828" s="332"/>
      <c r="BK828" s="332"/>
      <c r="BL828" s="332"/>
      <c r="BM828" s="332"/>
      <c r="BN828" s="332"/>
      <c r="BO828" s="332"/>
      <c r="BP828" s="332"/>
      <c r="BQ828" s="332"/>
      <c r="BR828" s="332"/>
      <c r="BS828" s="332"/>
      <c r="BT828" s="332"/>
      <c r="BU828" s="332"/>
      <c r="BV828" s="332"/>
      <c r="BW828" s="332"/>
      <c r="BX828" s="332"/>
      <c r="BY828" s="332"/>
      <c r="BZ828" s="332"/>
      <c r="CA828" s="332"/>
      <c r="CB828" s="332"/>
      <c r="CC828" s="332"/>
      <c r="CD828" s="332"/>
      <c r="CE828" s="332"/>
      <c r="CF828" s="332"/>
      <c r="CG828" s="332"/>
      <c r="CH828" s="332"/>
      <c r="CI828" s="332"/>
      <c r="CJ828" s="332"/>
      <c r="CK828" s="332"/>
      <c r="CL828" s="332"/>
      <c r="CM828" s="332"/>
      <c r="CN828" s="332"/>
      <c r="CO828" s="332"/>
      <c r="CP828" s="332"/>
      <c r="CQ828" s="332"/>
      <c r="CR828" s="332"/>
      <c r="CS828" s="332"/>
      <c r="CT828" s="332"/>
      <c r="CU828" s="332"/>
      <c r="CV828" s="332"/>
      <c r="CW828" s="332"/>
      <c r="CX828" s="332"/>
      <c r="CY828" s="332"/>
      <c r="CZ828" s="332"/>
      <c r="DA828" s="332"/>
      <c r="DB828" s="332"/>
      <c r="DC828" s="332"/>
      <c r="DD828" s="332"/>
      <c r="DE828" s="332"/>
      <c r="DF828" s="332"/>
      <c r="DG828" s="332"/>
      <c r="DH828" s="332"/>
      <c r="DI828" s="332"/>
      <c r="DJ828" s="332"/>
      <c r="DK828" s="332"/>
      <c r="DL828" s="332"/>
      <c r="DM828" s="332"/>
      <c r="DN828" s="332"/>
      <c r="DO828" s="332"/>
      <c r="DP828" s="332"/>
      <c r="DQ828" s="332"/>
      <c r="DR828" s="332"/>
      <c r="DS828" s="332"/>
      <c r="DT828" s="332"/>
      <c r="DU828" s="453"/>
      <c r="DV828" s="453"/>
      <c r="DW828" s="453"/>
      <c r="DX828" s="453"/>
      <c r="DY828" s="453"/>
      <c r="DZ828" s="453"/>
      <c r="EA828" s="453"/>
      <c r="EB828" s="453"/>
      <c r="EC828" s="453"/>
      <c r="ED828" s="453"/>
      <c r="EE828" s="453"/>
      <c r="EF828" s="453"/>
      <c r="EG828" s="453"/>
      <c r="EH828" s="453"/>
      <c r="EI828" s="453"/>
      <c r="EJ828" s="453"/>
      <c r="EK828" s="453"/>
      <c r="EL828" s="453"/>
      <c r="EM828" s="483">
        <f t="shared" si="237"/>
        <v>519</v>
      </c>
      <c r="EN828" s="485"/>
      <c r="EO828" s="458"/>
      <c r="EP828" s="467"/>
      <c r="EQ828" s="457"/>
      <c r="ER828" s="808"/>
      <c r="ES828" s="881">
        <f t="shared" si="235"/>
        <v>0</v>
      </c>
      <c r="ET828" s="882"/>
      <c r="EU828" s="883"/>
      <c r="EV828" s="884">
        <f t="shared" si="236"/>
        <v>0</v>
      </c>
      <c r="EW828" s="885"/>
      <c r="EX828" s="885"/>
      <c r="EY828" s="885"/>
      <c r="EZ828" s="885"/>
      <c r="FA828" s="885"/>
      <c r="FB828" s="885"/>
      <c r="FC828" s="885"/>
      <c r="FD828" s="886"/>
      <c r="FE828" s="550"/>
      <c r="FF828" s="550"/>
      <c r="FG828" s="550"/>
      <c r="FH828" s="550"/>
      <c r="FI828" s="550"/>
      <c r="FJ828" s="550"/>
      <c r="FK828" s="550"/>
      <c r="FL828" s="555"/>
      <c r="FM828" s="554"/>
      <c r="FN828" s="554"/>
      <c r="FO828" s="554"/>
      <c r="FP828" s="554"/>
      <c r="FQ828" s="554"/>
      <c r="FR828" s="554"/>
      <c r="FS828" s="554"/>
      <c r="FT828" s="554"/>
      <c r="FU828" s="554"/>
      <c r="FV828" s="554"/>
      <c r="FW828" s="554"/>
      <c r="FX828" s="554"/>
      <c r="FY828" s="554"/>
      <c r="FZ828" s="554"/>
      <c r="GA828" s="554"/>
      <c r="GB828" s="556"/>
      <c r="GC828" s="370"/>
      <c r="GD828" s="453"/>
      <c r="GE828" s="453"/>
      <c r="GF828" s="453"/>
      <c r="GG828" s="453"/>
      <c r="GH828" s="454"/>
      <c r="GI828" s="453"/>
      <c r="GJ828" s="453"/>
      <c r="GK828" s="453"/>
      <c r="GL828" s="453"/>
      <c r="GM828" s="453"/>
      <c r="GN828" s="453"/>
      <c r="GO828" s="453"/>
      <c r="GP828" s="453"/>
      <c r="GQ828" s="453"/>
      <c r="GR828" s="453"/>
      <c r="GS828" s="561"/>
      <c r="GT828" s="475"/>
      <c r="GU828" s="472"/>
      <c r="GV828" s="453"/>
      <c r="GW828" s="453"/>
      <c r="GX828" s="869"/>
      <c r="GY828" s="870"/>
      <c r="GZ828" s="867"/>
      <c r="HA828" s="868"/>
      <c r="HB828" s="473"/>
      <c r="HC828" s="869"/>
      <c r="HD828" s="870"/>
      <c r="HE828" s="867"/>
      <c r="HF828" s="868"/>
      <c r="HG828" s="473"/>
      <c r="HH828" s="867"/>
      <c r="HI828" s="868"/>
      <c r="HJ828" s="867"/>
      <c r="HK828" s="868"/>
      <c r="HL828" s="370"/>
      <c r="HM828" s="865"/>
      <c r="HN828" s="866"/>
      <c r="HO828" s="865"/>
      <c r="HP828" s="866"/>
      <c r="HQ828" s="865"/>
      <c r="HR828" s="866"/>
      <c r="HS828" s="867"/>
      <c r="HT828" s="868"/>
      <c r="HU828" s="489"/>
      <c r="HV828" s="865"/>
      <c r="HW828" s="866"/>
    </row>
    <row r="829" spans="25:231" ht="15" customHeight="1">
      <c r="Y829" s="332"/>
      <c r="Z829" s="332"/>
      <c r="AA829" s="332"/>
      <c r="AB829" s="332"/>
      <c r="AC829" s="332"/>
      <c r="AD829" s="332"/>
      <c r="AE829" s="332"/>
      <c r="AF829" s="332"/>
      <c r="AG829" s="332"/>
      <c r="AH829" s="332"/>
      <c r="AI829" s="332"/>
      <c r="AJ829" s="332"/>
      <c r="AK829" s="332"/>
      <c r="AL829" s="332"/>
      <c r="AM829" s="332"/>
      <c r="AN829" s="332"/>
      <c r="AO829" s="332"/>
      <c r="AP829" s="332"/>
      <c r="AQ829" s="332"/>
      <c r="AR829" s="332"/>
      <c r="AS829" s="332"/>
      <c r="AT829" s="332"/>
      <c r="AU829" s="332"/>
      <c r="AV829" s="332"/>
      <c r="AW829" s="332"/>
      <c r="AX829" s="332"/>
      <c r="AY829" s="332"/>
      <c r="AZ829" s="332"/>
      <c r="BA829" s="332"/>
      <c r="BB829" s="332"/>
      <c r="BC829" s="332"/>
      <c r="BD829" s="332"/>
      <c r="BE829" s="332"/>
      <c r="BF829" s="332"/>
      <c r="BG829" s="332"/>
      <c r="BH829" s="332"/>
      <c r="BI829" s="332"/>
      <c r="BJ829" s="332"/>
      <c r="BK829" s="332"/>
      <c r="BL829" s="332"/>
      <c r="BM829" s="332"/>
      <c r="BN829" s="332"/>
      <c r="BO829" s="332"/>
      <c r="BP829" s="332"/>
      <c r="BQ829" s="332"/>
      <c r="BR829" s="332"/>
      <c r="BS829" s="332"/>
      <c r="BT829" s="332"/>
      <c r="BU829" s="332"/>
      <c r="BV829" s="332"/>
      <c r="BW829" s="332"/>
      <c r="BX829" s="332"/>
      <c r="BY829" s="332"/>
      <c r="BZ829" s="332"/>
      <c r="CA829" s="332"/>
      <c r="CB829" s="332"/>
      <c r="CC829" s="332"/>
      <c r="CD829" s="332"/>
      <c r="CE829" s="332"/>
      <c r="CF829" s="332"/>
      <c r="CG829" s="332"/>
      <c r="CH829" s="332"/>
      <c r="CI829" s="332"/>
      <c r="CJ829" s="332"/>
      <c r="CK829" s="332"/>
      <c r="CL829" s="332"/>
      <c r="CM829" s="332"/>
      <c r="CN829" s="332"/>
      <c r="CO829" s="332"/>
      <c r="CP829" s="332"/>
      <c r="CQ829" s="332"/>
      <c r="CR829" s="332"/>
      <c r="CS829" s="332"/>
      <c r="CT829" s="332"/>
      <c r="CU829" s="332"/>
      <c r="CV829" s="332"/>
      <c r="CW829" s="332"/>
      <c r="CX829" s="332"/>
      <c r="CY829" s="332"/>
      <c r="CZ829" s="332"/>
      <c r="DA829" s="332"/>
      <c r="DB829" s="332"/>
      <c r="DC829" s="332"/>
      <c r="DD829" s="332"/>
      <c r="DE829" s="332"/>
      <c r="DF829" s="332"/>
      <c r="DG829" s="332"/>
      <c r="DH829" s="332"/>
      <c r="DI829" s="332"/>
      <c r="DJ829" s="332"/>
      <c r="DK829" s="332"/>
      <c r="DL829" s="332"/>
      <c r="DM829" s="332"/>
      <c r="DN829" s="332"/>
      <c r="DO829" s="332"/>
      <c r="DP829" s="332"/>
      <c r="DQ829" s="332"/>
      <c r="DR829" s="332"/>
      <c r="DS829" s="332"/>
      <c r="DT829" s="332"/>
      <c r="DU829" s="453"/>
      <c r="DV829" s="453"/>
      <c r="DW829" s="453"/>
      <c r="DX829" s="453"/>
      <c r="DY829" s="453"/>
      <c r="DZ829" s="453"/>
      <c r="EA829" s="453"/>
      <c r="EB829" s="453"/>
      <c r="EC829" s="453"/>
      <c r="ED829" s="453"/>
      <c r="EE829" s="453"/>
      <c r="EF829" s="453"/>
      <c r="EG829" s="453"/>
      <c r="EH829" s="453"/>
      <c r="EI829" s="453"/>
      <c r="EJ829" s="453"/>
      <c r="EK829" s="453"/>
      <c r="EL829" s="453"/>
      <c r="EM829" s="483">
        <f t="shared" si="237"/>
        <v>520</v>
      </c>
      <c r="EN829" s="485"/>
      <c r="EO829" s="458"/>
      <c r="EP829" s="467"/>
      <c r="EQ829" s="457"/>
      <c r="ER829" s="808"/>
      <c r="ES829" s="881">
        <f t="shared" si="235"/>
        <v>0</v>
      </c>
      <c r="ET829" s="882"/>
      <c r="EU829" s="883"/>
      <c r="EV829" s="884">
        <f t="shared" si="236"/>
        <v>0</v>
      </c>
      <c r="EW829" s="885"/>
      <c r="EX829" s="885"/>
      <c r="EY829" s="885"/>
      <c r="EZ829" s="885"/>
      <c r="FA829" s="885"/>
      <c r="FB829" s="885"/>
      <c r="FC829" s="885"/>
      <c r="FD829" s="886"/>
      <c r="FE829" s="550"/>
      <c r="FF829" s="550"/>
      <c r="FG829" s="550"/>
      <c r="FH829" s="550"/>
      <c r="FI829" s="550"/>
      <c r="FJ829" s="550"/>
      <c r="FK829" s="550"/>
      <c r="FL829" s="555"/>
      <c r="FM829" s="554"/>
      <c r="FN829" s="554"/>
      <c r="FO829" s="554"/>
      <c r="FP829" s="554"/>
      <c r="FQ829" s="554"/>
      <c r="FR829" s="554"/>
      <c r="FS829" s="554"/>
      <c r="FT829" s="554"/>
      <c r="FU829" s="554"/>
      <c r="FV829" s="554"/>
      <c r="FW829" s="554"/>
      <c r="FX829" s="554"/>
      <c r="FY829" s="554"/>
      <c r="FZ829" s="554"/>
      <c r="GA829" s="554"/>
      <c r="GB829" s="556"/>
      <c r="GC829" s="370"/>
      <c r="GD829" s="453"/>
      <c r="GE829" s="453"/>
      <c r="GF829" s="453"/>
      <c r="GG829" s="453"/>
      <c r="GH829" s="454"/>
      <c r="GI829" s="453"/>
      <c r="GJ829" s="453"/>
      <c r="GK829" s="453"/>
      <c r="GL829" s="453"/>
      <c r="GM829" s="453"/>
      <c r="GN829" s="453"/>
      <c r="GO829" s="453"/>
      <c r="GP829" s="453"/>
      <c r="GQ829" s="453"/>
      <c r="GR829" s="453"/>
      <c r="GS829" s="561"/>
      <c r="GT829" s="475"/>
      <c r="GU829" s="472"/>
      <c r="GV829" s="453"/>
      <c r="GW829" s="453"/>
      <c r="GX829" s="869"/>
      <c r="GY829" s="870"/>
      <c r="GZ829" s="867"/>
      <c r="HA829" s="868"/>
      <c r="HB829" s="473"/>
      <c r="HC829" s="869"/>
      <c r="HD829" s="870"/>
      <c r="HE829" s="867"/>
      <c r="HF829" s="868"/>
      <c r="HG829" s="473"/>
      <c r="HH829" s="867"/>
      <c r="HI829" s="868"/>
      <c r="HJ829" s="867"/>
      <c r="HK829" s="868"/>
      <c r="HL829" s="370"/>
      <c r="HM829" s="865"/>
      <c r="HN829" s="866"/>
      <c r="HO829" s="865"/>
      <c r="HP829" s="866"/>
      <c r="HQ829" s="865"/>
      <c r="HR829" s="866"/>
      <c r="HS829" s="867"/>
      <c r="HT829" s="868"/>
      <c r="HU829" s="489"/>
      <c r="HV829" s="865"/>
      <c r="HW829" s="866"/>
    </row>
    <row r="830" spans="25:231" ht="15" customHeight="1">
      <c r="Y830" s="332"/>
      <c r="Z830" s="332"/>
      <c r="AA830" s="332"/>
      <c r="AB830" s="332"/>
      <c r="AC830" s="332"/>
      <c r="AD830" s="332"/>
      <c r="AE830" s="332"/>
      <c r="AF830" s="332"/>
      <c r="AG830" s="332"/>
      <c r="AH830" s="332"/>
      <c r="AI830" s="332"/>
      <c r="AJ830" s="332"/>
      <c r="AK830" s="332"/>
      <c r="AL830" s="332"/>
      <c r="AM830" s="332"/>
      <c r="AN830" s="332"/>
      <c r="AO830" s="332"/>
      <c r="AP830" s="332"/>
      <c r="AQ830" s="332"/>
      <c r="AR830" s="332"/>
      <c r="AS830" s="332"/>
      <c r="AT830" s="332"/>
      <c r="AU830" s="332"/>
      <c r="AV830" s="332"/>
      <c r="AW830" s="332"/>
      <c r="AX830" s="332"/>
      <c r="AY830" s="332"/>
      <c r="AZ830" s="332"/>
      <c r="BA830" s="332"/>
      <c r="BB830" s="332"/>
      <c r="BC830" s="332"/>
      <c r="BD830" s="332"/>
      <c r="BE830" s="332"/>
      <c r="BF830" s="332"/>
      <c r="BG830" s="332"/>
      <c r="BH830" s="332"/>
      <c r="BI830" s="332"/>
      <c r="BJ830" s="332"/>
      <c r="BK830" s="332"/>
      <c r="BL830" s="332"/>
      <c r="BM830" s="332"/>
      <c r="BN830" s="332"/>
      <c r="BO830" s="332"/>
      <c r="BP830" s="332"/>
      <c r="BQ830" s="332"/>
      <c r="BR830" s="332"/>
      <c r="BS830" s="332"/>
      <c r="BT830" s="332"/>
      <c r="BU830" s="332"/>
      <c r="BV830" s="332"/>
      <c r="BW830" s="332"/>
      <c r="BX830" s="332"/>
      <c r="BY830" s="332"/>
      <c r="BZ830" s="332"/>
      <c r="CA830" s="332"/>
      <c r="CB830" s="332"/>
      <c r="CC830" s="332"/>
      <c r="CD830" s="332"/>
      <c r="CE830" s="332"/>
      <c r="CF830" s="332"/>
      <c r="CG830" s="332"/>
      <c r="CH830" s="332"/>
      <c r="CI830" s="332"/>
      <c r="CJ830" s="332"/>
      <c r="CK830" s="332"/>
      <c r="CL830" s="332"/>
      <c r="CM830" s="332"/>
      <c r="CN830" s="332"/>
      <c r="CO830" s="332"/>
      <c r="CP830" s="332"/>
      <c r="CQ830" s="332"/>
      <c r="CR830" s="332"/>
      <c r="CS830" s="332"/>
      <c r="CT830" s="332"/>
      <c r="CU830" s="332"/>
      <c r="CV830" s="332"/>
      <c r="CW830" s="332"/>
      <c r="CX830" s="332"/>
      <c r="CY830" s="332"/>
      <c r="CZ830" s="332"/>
      <c r="DA830" s="332"/>
      <c r="DB830" s="332"/>
      <c r="DC830" s="332"/>
      <c r="DD830" s="332"/>
      <c r="DE830" s="332"/>
      <c r="DF830" s="332"/>
      <c r="DG830" s="332"/>
      <c r="DH830" s="332"/>
      <c r="DI830" s="332"/>
      <c r="DJ830" s="332"/>
      <c r="DK830" s="332"/>
      <c r="DL830" s="332"/>
      <c r="DM830" s="332"/>
      <c r="DN830" s="332"/>
      <c r="DO830" s="332"/>
      <c r="DP830" s="332"/>
      <c r="DQ830" s="332"/>
      <c r="DR830" s="332"/>
      <c r="DS830" s="332"/>
      <c r="DT830" s="332"/>
      <c r="DU830" s="453"/>
      <c r="DV830" s="453"/>
      <c r="DW830" s="453"/>
      <c r="DX830" s="453"/>
      <c r="DY830" s="453"/>
      <c r="DZ830" s="453"/>
      <c r="EA830" s="453"/>
      <c r="EB830" s="453"/>
      <c r="EC830" s="453"/>
      <c r="ED830" s="453"/>
      <c r="EE830" s="453"/>
      <c r="EF830" s="453"/>
      <c r="EG830" s="453"/>
      <c r="EH830" s="453"/>
      <c r="EI830" s="453"/>
      <c r="EJ830" s="453"/>
      <c r="EK830" s="453"/>
      <c r="EL830" s="453"/>
      <c r="EM830" s="483">
        <f t="shared" si="237"/>
        <v>521</v>
      </c>
      <c r="EN830" s="485"/>
      <c r="EO830" s="458"/>
      <c r="EP830" s="467"/>
      <c r="EQ830" s="457"/>
      <c r="ER830" s="808"/>
      <c r="ES830" s="881">
        <f t="shared" si="235"/>
        <v>0</v>
      </c>
      <c r="ET830" s="882"/>
      <c r="EU830" s="883"/>
      <c r="EV830" s="884">
        <f t="shared" si="236"/>
        <v>0</v>
      </c>
      <c r="EW830" s="885"/>
      <c r="EX830" s="885"/>
      <c r="EY830" s="885"/>
      <c r="EZ830" s="885"/>
      <c r="FA830" s="885"/>
      <c r="FB830" s="885"/>
      <c r="FC830" s="885"/>
      <c r="FD830" s="886"/>
      <c r="FE830" s="550"/>
      <c r="FF830" s="550"/>
      <c r="FG830" s="550"/>
      <c r="FH830" s="550"/>
      <c r="FI830" s="550"/>
      <c r="FJ830" s="550"/>
      <c r="FK830" s="550"/>
      <c r="FL830" s="555"/>
      <c r="FM830" s="554"/>
      <c r="FN830" s="554"/>
      <c r="FO830" s="554"/>
      <c r="FP830" s="554"/>
      <c r="FQ830" s="554"/>
      <c r="FR830" s="554"/>
      <c r="FS830" s="554"/>
      <c r="FT830" s="554"/>
      <c r="FU830" s="554"/>
      <c r="FV830" s="554"/>
      <c r="FW830" s="554"/>
      <c r="FX830" s="554"/>
      <c r="FY830" s="554"/>
      <c r="FZ830" s="554"/>
      <c r="GA830" s="554"/>
      <c r="GB830" s="556"/>
      <c r="GC830" s="370"/>
      <c r="GD830" s="453"/>
      <c r="GE830" s="453"/>
      <c r="GF830" s="453"/>
      <c r="GG830" s="453"/>
      <c r="GH830" s="454"/>
      <c r="GI830" s="453"/>
      <c r="GJ830" s="453"/>
      <c r="GK830" s="453"/>
      <c r="GL830" s="453"/>
      <c r="GM830" s="453"/>
      <c r="GN830" s="453"/>
      <c r="GO830" s="453"/>
      <c r="GP830" s="453"/>
      <c r="GQ830" s="453"/>
      <c r="GR830" s="453"/>
      <c r="GS830" s="561"/>
      <c r="GT830" s="475"/>
      <c r="GU830" s="472"/>
      <c r="GV830" s="453"/>
      <c r="GW830" s="453"/>
      <c r="GX830" s="869"/>
      <c r="GY830" s="870"/>
      <c r="GZ830" s="867"/>
      <c r="HA830" s="868"/>
      <c r="HB830" s="473"/>
      <c r="HC830" s="869"/>
      <c r="HD830" s="870"/>
      <c r="HE830" s="867"/>
      <c r="HF830" s="868"/>
      <c r="HG830" s="473"/>
      <c r="HH830" s="867"/>
      <c r="HI830" s="868"/>
      <c r="HJ830" s="867"/>
      <c r="HK830" s="868"/>
      <c r="HL830" s="370"/>
      <c r="HM830" s="865"/>
      <c r="HN830" s="866"/>
      <c r="HO830" s="865"/>
      <c r="HP830" s="866"/>
      <c r="HQ830" s="865"/>
      <c r="HR830" s="866"/>
      <c r="HS830" s="867"/>
      <c r="HT830" s="868"/>
      <c r="HU830" s="489"/>
      <c r="HV830" s="865"/>
      <c r="HW830" s="866"/>
    </row>
    <row r="831" spans="25:231" ht="15" customHeight="1">
      <c r="Y831" s="332"/>
      <c r="Z831" s="332"/>
      <c r="AA831" s="332"/>
      <c r="AB831" s="332"/>
      <c r="AC831" s="332"/>
      <c r="AD831" s="332"/>
      <c r="AE831" s="332"/>
      <c r="AF831" s="332"/>
      <c r="AG831" s="332"/>
      <c r="AH831" s="332"/>
      <c r="AI831" s="332"/>
      <c r="AJ831" s="332"/>
      <c r="AK831" s="332"/>
      <c r="AL831" s="332"/>
      <c r="AM831" s="332"/>
      <c r="AN831" s="332"/>
      <c r="AO831" s="332"/>
      <c r="AP831" s="332"/>
      <c r="AQ831" s="332"/>
      <c r="AR831" s="332"/>
      <c r="AS831" s="332"/>
      <c r="AT831" s="332"/>
      <c r="AU831" s="332"/>
      <c r="AV831" s="332"/>
      <c r="AW831" s="332"/>
      <c r="AX831" s="332"/>
      <c r="AY831" s="332"/>
      <c r="AZ831" s="332"/>
      <c r="BA831" s="332"/>
      <c r="BB831" s="332"/>
      <c r="BC831" s="332"/>
      <c r="BD831" s="332"/>
      <c r="BE831" s="332"/>
      <c r="BF831" s="332"/>
      <c r="BG831" s="332"/>
      <c r="BH831" s="332"/>
      <c r="BI831" s="332"/>
      <c r="BJ831" s="332"/>
      <c r="BK831" s="332"/>
      <c r="BL831" s="332"/>
      <c r="BM831" s="332"/>
      <c r="BN831" s="332"/>
      <c r="BO831" s="332"/>
      <c r="BP831" s="332"/>
      <c r="BQ831" s="332"/>
      <c r="BR831" s="332"/>
      <c r="BS831" s="332"/>
      <c r="BT831" s="332"/>
      <c r="BU831" s="332"/>
      <c r="BV831" s="332"/>
      <c r="BW831" s="332"/>
      <c r="BX831" s="332"/>
      <c r="BY831" s="332"/>
      <c r="BZ831" s="332"/>
      <c r="CA831" s="332"/>
      <c r="CB831" s="332"/>
      <c r="CC831" s="332"/>
      <c r="CD831" s="332"/>
      <c r="CE831" s="332"/>
      <c r="CF831" s="332"/>
      <c r="CG831" s="332"/>
      <c r="CH831" s="332"/>
      <c r="CI831" s="332"/>
      <c r="CJ831" s="332"/>
      <c r="CK831" s="332"/>
      <c r="CL831" s="332"/>
      <c r="CM831" s="332"/>
      <c r="CN831" s="332"/>
      <c r="CO831" s="332"/>
      <c r="CP831" s="332"/>
      <c r="CQ831" s="332"/>
      <c r="CR831" s="332"/>
      <c r="CS831" s="332"/>
      <c r="CT831" s="332"/>
      <c r="CU831" s="332"/>
      <c r="CV831" s="332"/>
      <c r="CW831" s="332"/>
      <c r="CX831" s="332"/>
      <c r="CY831" s="332"/>
      <c r="CZ831" s="332"/>
      <c r="DA831" s="332"/>
      <c r="DB831" s="332"/>
      <c r="DC831" s="332"/>
      <c r="DD831" s="332"/>
      <c r="DE831" s="332"/>
      <c r="DF831" s="332"/>
      <c r="DG831" s="332"/>
      <c r="DH831" s="332"/>
      <c r="DI831" s="332"/>
      <c r="DJ831" s="332"/>
      <c r="DK831" s="332"/>
      <c r="DL831" s="332"/>
      <c r="DM831" s="332"/>
      <c r="DN831" s="332"/>
      <c r="DO831" s="332"/>
      <c r="DP831" s="332"/>
      <c r="DQ831" s="332"/>
      <c r="DR831" s="332"/>
      <c r="DS831" s="332"/>
      <c r="DT831" s="332"/>
      <c r="DU831" s="453"/>
      <c r="DV831" s="453"/>
      <c r="DW831" s="453"/>
      <c r="DX831" s="453"/>
      <c r="DY831" s="453"/>
      <c r="DZ831" s="453"/>
      <c r="EA831" s="453"/>
      <c r="EB831" s="453"/>
      <c r="EC831" s="453"/>
      <c r="ED831" s="453"/>
      <c r="EE831" s="453"/>
      <c r="EF831" s="453"/>
      <c r="EG831" s="453"/>
      <c r="EH831" s="453"/>
      <c r="EI831" s="453"/>
      <c r="EJ831" s="453"/>
      <c r="EK831" s="453"/>
      <c r="EL831" s="453"/>
      <c r="EM831" s="483">
        <f t="shared" si="237"/>
        <v>522</v>
      </c>
      <c r="EN831" s="485"/>
      <c r="EO831" s="458"/>
      <c r="EP831" s="467"/>
      <c r="EQ831" s="457"/>
      <c r="ER831" s="808"/>
      <c r="ES831" s="881">
        <f t="shared" si="235"/>
        <v>0</v>
      </c>
      <c r="ET831" s="882"/>
      <c r="EU831" s="883"/>
      <c r="EV831" s="884">
        <f t="shared" si="236"/>
        <v>0</v>
      </c>
      <c r="EW831" s="885"/>
      <c r="EX831" s="885"/>
      <c r="EY831" s="885"/>
      <c r="EZ831" s="885"/>
      <c r="FA831" s="885"/>
      <c r="FB831" s="885"/>
      <c r="FC831" s="885"/>
      <c r="FD831" s="886"/>
      <c r="FE831" s="550"/>
      <c r="FF831" s="550"/>
      <c r="FG831" s="550"/>
      <c r="FH831" s="550"/>
      <c r="FI831" s="550"/>
      <c r="FJ831" s="550"/>
      <c r="FK831" s="550"/>
      <c r="FL831" s="555"/>
      <c r="FM831" s="554"/>
      <c r="FN831" s="554"/>
      <c r="FO831" s="554"/>
      <c r="FP831" s="554"/>
      <c r="FQ831" s="554"/>
      <c r="FR831" s="554"/>
      <c r="FS831" s="554"/>
      <c r="FT831" s="554"/>
      <c r="FU831" s="554"/>
      <c r="FV831" s="554"/>
      <c r="FW831" s="554"/>
      <c r="FX831" s="554"/>
      <c r="FY831" s="554"/>
      <c r="FZ831" s="554"/>
      <c r="GA831" s="554"/>
      <c r="GB831" s="556"/>
      <c r="GC831" s="370"/>
      <c r="GD831" s="453"/>
      <c r="GE831" s="453"/>
      <c r="GF831" s="453"/>
      <c r="GG831" s="453"/>
      <c r="GH831" s="454"/>
      <c r="GI831" s="453"/>
      <c r="GJ831" s="453"/>
      <c r="GK831" s="453"/>
      <c r="GL831" s="453"/>
      <c r="GM831" s="453"/>
      <c r="GN831" s="453"/>
      <c r="GO831" s="453"/>
      <c r="GP831" s="453"/>
      <c r="GQ831" s="453"/>
      <c r="GR831" s="453"/>
      <c r="GS831" s="561"/>
      <c r="GT831" s="475"/>
      <c r="GU831" s="472"/>
      <c r="GV831" s="453"/>
      <c r="GW831" s="453"/>
      <c r="GX831" s="869"/>
      <c r="GY831" s="870"/>
      <c r="GZ831" s="867"/>
      <c r="HA831" s="868"/>
      <c r="HB831" s="473"/>
      <c r="HC831" s="869"/>
      <c r="HD831" s="870"/>
      <c r="HE831" s="867"/>
      <c r="HF831" s="868"/>
      <c r="HG831" s="473"/>
      <c r="HH831" s="867"/>
      <c r="HI831" s="868"/>
      <c r="HJ831" s="867"/>
      <c r="HK831" s="868"/>
      <c r="HL831" s="370"/>
      <c r="HM831" s="865"/>
      <c r="HN831" s="866"/>
      <c r="HO831" s="865"/>
      <c r="HP831" s="866"/>
      <c r="HQ831" s="865"/>
      <c r="HR831" s="866"/>
      <c r="HS831" s="867"/>
      <c r="HT831" s="868"/>
      <c r="HU831" s="489"/>
      <c r="HV831" s="865"/>
      <c r="HW831" s="866"/>
    </row>
    <row r="832" spans="25:231" ht="15" customHeight="1">
      <c r="Y832" s="332"/>
      <c r="Z832" s="332"/>
      <c r="AA832" s="332"/>
      <c r="AB832" s="332"/>
      <c r="AC832" s="332"/>
      <c r="AD832" s="332"/>
      <c r="AE832" s="332"/>
      <c r="AF832" s="332"/>
      <c r="AG832" s="332"/>
      <c r="AH832" s="332"/>
      <c r="AI832" s="332"/>
      <c r="AJ832" s="332"/>
      <c r="AK832" s="332"/>
      <c r="AL832" s="332"/>
      <c r="AM832" s="332"/>
      <c r="AN832" s="332"/>
      <c r="AO832" s="332"/>
      <c r="AP832" s="332"/>
      <c r="AQ832" s="332"/>
      <c r="AR832" s="332"/>
      <c r="AS832" s="332"/>
      <c r="AT832" s="332"/>
      <c r="AU832" s="332"/>
      <c r="AV832" s="332"/>
      <c r="AW832" s="332"/>
      <c r="AX832" s="332"/>
      <c r="AY832" s="332"/>
      <c r="AZ832" s="332"/>
      <c r="BA832" s="332"/>
      <c r="BB832" s="332"/>
      <c r="BC832" s="332"/>
      <c r="BD832" s="332"/>
      <c r="BE832" s="332"/>
      <c r="BF832" s="332"/>
      <c r="BG832" s="332"/>
      <c r="BH832" s="332"/>
      <c r="BI832" s="332"/>
      <c r="BJ832" s="332"/>
      <c r="BK832" s="332"/>
      <c r="BL832" s="332"/>
      <c r="BM832" s="332"/>
      <c r="BN832" s="332"/>
      <c r="BO832" s="332"/>
      <c r="BP832" s="332"/>
      <c r="BQ832" s="332"/>
      <c r="BR832" s="332"/>
      <c r="BS832" s="332"/>
      <c r="BT832" s="332"/>
      <c r="BU832" s="332"/>
      <c r="BV832" s="332"/>
      <c r="BW832" s="332"/>
      <c r="BX832" s="332"/>
      <c r="BY832" s="332"/>
      <c r="BZ832" s="332"/>
      <c r="CA832" s="332"/>
      <c r="CB832" s="332"/>
      <c r="CC832" s="332"/>
      <c r="CD832" s="332"/>
      <c r="CE832" s="332"/>
      <c r="CF832" s="332"/>
      <c r="CG832" s="332"/>
      <c r="CH832" s="332"/>
      <c r="CI832" s="332"/>
      <c r="CJ832" s="332"/>
      <c r="CK832" s="332"/>
      <c r="CL832" s="332"/>
      <c r="CM832" s="332"/>
      <c r="CN832" s="332"/>
      <c r="CO832" s="332"/>
      <c r="CP832" s="332"/>
      <c r="CQ832" s="332"/>
      <c r="CR832" s="332"/>
      <c r="CS832" s="332"/>
      <c r="CT832" s="332"/>
      <c r="CU832" s="332"/>
      <c r="CV832" s="332"/>
      <c r="CW832" s="332"/>
      <c r="CX832" s="332"/>
      <c r="CY832" s="332"/>
      <c r="CZ832" s="332"/>
      <c r="DA832" s="332"/>
      <c r="DB832" s="332"/>
      <c r="DC832" s="332"/>
      <c r="DD832" s="332"/>
      <c r="DE832" s="332"/>
      <c r="DF832" s="332"/>
      <c r="DG832" s="332"/>
      <c r="DH832" s="332"/>
      <c r="DI832" s="332"/>
      <c r="DJ832" s="332"/>
      <c r="DK832" s="332"/>
      <c r="DL832" s="332"/>
      <c r="DM832" s="332"/>
      <c r="DN832" s="332"/>
      <c r="DO832" s="332"/>
      <c r="DP832" s="332"/>
      <c r="DQ832" s="332"/>
      <c r="DR832" s="332"/>
      <c r="DS832" s="332"/>
      <c r="DT832" s="332"/>
      <c r="DU832" s="453"/>
      <c r="DV832" s="453"/>
      <c r="DW832" s="453"/>
      <c r="DX832" s="453"/>
      <c r="DY832" s="453"/>
      <c r="DZ832" s="453"/>
      <c r="EA832" s="453"/>
      <c r="EB832" s="453"/>
      <c r="EC832" s="453"/>
      <c r="ED832" s="453"/>
      <c r="EE832" s="453"/>
      <c r="EF832" s="453"/>
      <c r="EG832" s="453"/>
      <c r="EH832" s="453"/>
      <c r="EI832" s="453"/>
      <c r="EJ832" s="453"/>
      <c r="EK832" s="453"/>
      <c r="EL832" s="453"/>
      <c r="EM832" s="483">
        <f t="shared" si="237"/>
        <v>523</v>
      </c>
      <c r="EN832" s="485"/>
      <c r="EO832" s="458"/>
      <c r="EP832" s="467"/>
      <c r="EQ832" s="457"/>
      <c r="ER832" s="808"/>
      <c r="ES832" s="881">
        <f t="shared" si="235"/>
        <v>0</v>
      </c>
      <c r="ET832" s="882"/>
      <c r="EU832" s="883"/>
      <c r="EV832" s="884">
        <f t="shared" si="236"/>
        <v>0</v>
      </c>
      <c r="EW832" s="885"/>
      <c r="EX832" s="885"/>
      <c r="EY832" s="885"/>
      <c r="EZ832" s="885"/>
      <c r="FA832" s="885"/>
      <c r="FB832" s="885"/>
      <c r="FC832" s="885"/>
      <c r="FD832" s="886"/>
      <c r="FE832" s="550"/>
      <c r="FF832" s="550"/>
      <c r="FG832" s="550"/>
      <c r="FH832" s="550"/>
      <c r="FI832" s="550"/>
      <c r="FJ832" s="550"/>
      <c r="FK832" s="550"/>
      <c r="FL832" s="555"/>
      <c r="FM832" s="554"/>
      <c r="FN832" s="554"/>
      <c r="FO832" s="554"/>
      <c r="FP832" s="554"/>
      <c r="FQ832" s="554"/>
      <c r="FR832" s="554"/>
      <c r="FS832" s="554"/>
      <c r="FT832" s="554"/>
      <c r="FU832" s="554"/>
      <c r="FV832" s="554"/>
      <c r="FW832" s="554"/>
      <c r="FX832" s="554"/>
      <c r="FY832" s="554"/>
      <c r="FZ832" s="554"/>
      <c r="GA832" s="554"/>
      <c r="GB832" s="556"/>
      <c r="GC832" s="370"/>
      <c r="GD832" s="453"/>
      <c r="GE832" s="453"/>
      <c r="GF832" s="453"/>
      <c r="GG832" s="453"/>
      <c r="GH832" s="454"/>
      <c r="GI832" s="453"/>
      <c r="GJ832" s="453"/>
      <c r="GK832" s="453"/>
      <c r="GL832" s="453"/>
      <c r="GM832" s="453"/>
      <c r="GN832" s="453"/>
      <c r="GO832" s="453"/>
      <c r="GP832" s="453"/>
      <c r="GQ832" s="453"/>
      <c r="GR832" s="453"/>
      <c r="GS832" s="561"/>
      <c r="GT832" s="475"/>
      <c r="GU832" s="472"/>
      <c r="GV832" s="453"/>
      <c r="GW832" s="453"/>
      <c r="GX832" s="869"/>
      <c r="GY832" s="870"/>
      <c r="GZ832" s="867"/>
      <c r="HA832" s="868"/>
      <c r="HB832" s="473"/>
      <c r="HC832" s="869"/>
      <c r="HD832" s="870"/>
      <c r="HE832" s="867"/>
      <c r="HF832" s="868"/>
      <c r="HG832" s="473"/>
      <c r="HH832" s="867"/>
      <c r="HI832" s="868"/>
      <c r="HJ832" s="867"/>
      <c r="HK832" s="868"/>
      <c r="HL832" s="370"/>
      <c r="HM832" s="865"/>
      <c r="HN832" s="866"/>
      <c r="HO832" s="865"/>
      <c r="HP832" s="866"/>
      <c r="HQ832" s="865"/>
      <c r="HR832" s="866"/>
      <c r="HS832" s="867"/>
      <c r="HT832" s="868"/>
      <c r="HU832" s="489"/>
      <c r="HV832" s="865"/>
      <c r="HW832" s="866"/>
    </row>
    <row r="833" spans="25:231" ht="15" customHeight="1">
      <c r="Y833" s="332"/>
      <c r="Z833" s="332"/>
      <c r="AA833" s="332"/>
      <c r="AB833" s="332"/>
      <c r="AC833" s="332"/>
      <c r="AD833" s="332"/>
      <c r="AE833" s="332"/>
      <c r="AF833" s="332"/>
      <c r="AG833" s="332"/>
      <c r="AH833" s="332"/>
      <c r="AI833" s="332"/>
      <c r="AJ833" s="332"/>
      <c r="AK833" s="332"/>
      <c r="AL833" s="332"/>
      <c r="AM833" s="332"/>
      <c r="AN833" s="332"/>
      <c r="AO833" s="332"/>
      <c r="AP833" s="332"/>
      <c r="AQ833" s="332"/>
      <c r="AR833" s="332"/>
      <c r="AS833" s="332"/>
      <c r="AT833" s="332"/>
      <c r="AU833" s="332"/>
      <c r="AV833" s="332"/>
      <c r="AW833" s="332"/>
      <c r="AX833" s="332"/>
      <c r="AY833" s="332"/>
      <c r="AZ833" s="332"/>
      <c r="BA833" s="332"/>
      <c r="BB833" s="332"/>
      <c r="BC833" s="332"/>
      <c r="BD833" s="332"/>
      <c r="BE833" s="332"/>
      <c r="BF833" s="332"/>
      <c r="BG833" s="332"/>
      <c r="BH833" s="332"/>
      <c r="BI833" s="332"/>
      <c r="BJ833" s="332"/>
      <c r="BK833" s="332"/>
      <c r="BL833" s="332"/>
      <c r="BM833" s="332"/>
      <c r="BN833" s="332"/>
      <c r="BO833" s="332"/>
      <c r="BP833" s="332"/>
      <c r="BQ833" s="332"/>
      <c r="BR833" s="332"/>
      <c r="BS833" s="332"/>
      <c r="BT833" s="332"/>
      <c r="BU833" s="332"/>
      <c r="BV833" s="332"/>
      <c r="BW833" s="332"/>
      <c r="BX833" s="332"/>
      <c r="BY833" s="332"/>
      <c r="BZ833" s="332"/>
      <c r="CA833" s="332"/>
      <c r="CB833" s="332"/>
      <c r="CC833" s="332"/>
      <c r="CD833" s="332"/>
      <c r="CE833" s="332"/>
      <c r="CF833" s="332"/>
      <c r="CG833" s="332"/>
      <c r="CH833" s="332"/>
      <c r="CI833" s="332"/>
      <c r="CJ833" s="332"/>
      <c r="CK833" s="332"/>
      <c r="CL833" s="332"/>
      <c r="CM833" s="332"/>
      <c r="CN833" s="332"/>
      <c r="CO833" s="332"/>
      <c r="CP833" s="332"/>
      <c r="CQ833" s="332"/>
      <c r="CR833" s="332"/>
      <c r="CS833" s="332"/>
      <c r="CT833" s="332"/>
      <c r="CU833" s="332"/>
      <c r="CV833" s="332"/>
      <c r="CW833" s="332"/>
      <c r="CX833" s="332"/>
      <c r="CY833" s="332"/>
      <c r="CZ833" s="332"/>
      <c r="DA833" s="332"/>
      <c r="DB833" s="332"/>
      <c r="DC833" s="332"/>
      <c r="DD833" s="332"/>
      <c r="DE833" s="332"/>
      <c r="DF833" s="332"/>
      <c r="DG833" s="332"/>
      <c r="DH833" s="332"/>
      <c r="DI833" s="332"/>
      <c r="DJ833" s="332"/>
      <c r="DK833" s="332"/>
      <c r="DL833" s="332"/>
      <c r="DM833" s="332"/>
      <c r="DN833" s="332"/>
      <c r="DO833" s="332"/>
      <c r="DP833" s="332"/>
      <c r="DQ833" s="332"/>
      <c r="DR833" s="332"/>
      <c r="DS833" s="332"/>
      <c r="DT833" s="332"/>
      <c r="DU833" s="453"/>
      <c r="DV833" s="453"/>
      <c r="DW833" s="453"/>
      <c r="DX833" s="453"/>
      <c r="DY833" s="453"/>
      <c r="DZ833" s="453"/>
      <c r="EA833" s="453"/>
      <c r="EB833" s="453"/>
      <c r="EC833" s="453"/>
      <c r="ED833" s="453"/>
      <c r="EE833" s="453"/>
      <c r="EF833" s="453"/>
      <c r="EG833" s="453"/>
      <c r="EH833" s="453"/>
      <c r="EI833" s="453"/>
      <c r="EJ833" s="453"/>
      <c r="EK833" s="453"/>
      <c r="EL833" s="453"/>
      <c r="EM833" s="483">
        <f t="shared" si="237"/>
        <v>524</v>
      </c>
      <c r="EN833" s="485"/>
      <c r="EO833" s="458"/>
      <c r="EP833" s="467"/>
      <c r="EQ833" s="457"/>
      <c r="ER833" s="808"/>
      <c r="ES833" s="881">
        <f t="shared" si="235"/>
        <v>0</v>
      </c>
      <c r="ET833" s="882"/>
      <c r="EU833" s="883"/>
      <c r="EV833" s="884">
        <f t="shared" si="236"/>
        <v>0</v>
      </c>
      <c r="EW833" s="885"/>
      <c r="EX833" s="885"/>
      <c r="EY833" s="885"/>
      <c r="EZ833" s="885"/>
      <c r="FA833" s="885"/>
      <c r="FB833" s="885"/>
      <c r="FC833" s="885"/>
      <c r="FD833" s="886"/>
      <c r="FE833" s="550"/>
      <c r="FF833" s="550"/>
      <c r="FG833" s="550"/>
      <c r="FH833" s="550"/>
      <c r="FI833" s="550"/>
      <c r="FJ833" s="550"/>
      <c r="FK833" s="550"/>
      <c r="FL833" s="555"/>
      <c r="FM833" s="554"/>
      <c r="FN833" s="554"/>
      <c r="FO833" s="554"/>
      <c r="FP833" s="554"/>
      <c r="FQ833" s="554"/>
      <c r="FR833" s="554"/>
      <c r="FS833" s="554"/>
      <c r="FT833" s="554"/>
      <c r="FU833" s="554"/>
      <c r="FV833" s="554"/>
      <c r="FW833" s="554"/>
      <c r="FX833" s="554"/>
      <c r="FY833" s="554"/>
      <c r="FZ833" s="554"/>
      <c r="GA833" s="554"/>
      <c r="GB833" s="556"/>
      <c r="GC833" s="370"/>
      <c r="GD833" s="453"/>
      <c r="GE833" s="453"/>
      <c r="GF833" s="453"/>
      <c r="GG833" s="453"/>
      <c r="GH833" s="454"/>
      <c r="GI833" s="453"/>
      <c r="GJ833" s="453"/>
      <c r="GK833" s="453"/>
      <c r="GL833" s="453"/>
      <c r="GM833" s="453"/>
      <c r="GN833" s="453"/>
      <c r="GO833" s="453"/>
      <c r="GP833" s="453"/>
      <c r="GQ833" s="453"/>
      <c r="GR833" s="453"/>
      <c r="GS833" s="561"/>
      <c r="GT833" s="475"/>
      <c r="GU833" s="472"/>
      <c r="GV833" s="453"/>
      <c r="GW833" s="453"/>
      <c r="GX833" s="869"/>
      <c r="GY833" s="870"/>
      <c r="GZ833" s="867"/>
      <c r="HA833" s="868"/>
      <c r="HB833" s="473"/>
      <c r="HC833" s="869"/>
      <c r="HD833" s="870"/>
      <c r="HE833" s="867"/>
      <c r="HF833" s="868"/>
      <c r="HG833" s="473"/>
      <c r="HH833" s="867"/>
      <c r="HI833" s="868"/>
      <c r="HJ833" s="867"/>
      <c r="HK833" s="868"/>
      <c r="HL833" s="370"/>
      <c r="HM833" s="865"/>
      <c r="HN833" s="866"/>
      <c r="HO833" s="865"/>
      <c r="HP833" s="866"/>
      <c r="HQ833" s="865"/>
      <c r="HR833" s="866"/>
      <c r="HS833" s="867"/>
      <c r="HT833" s="868"/>
      <c r="HU833" s="489"/>
      <c r="HV833" s="865"/>
      <c r="HW833" s="866"/>
    </row>
    <row r="834" spans="25:231" ht="15" customHeight="1">
      <c r="Y834" s="332"/>
      <c r="Z834" s="332"/>
      <c r="AA834" s="332"/>
      <c r="AB834" s="332"/>
      <c r="AC834" s="332"/>
      <c r="AD834" s="332"/>
      <c r="AE834" s="332"/>
      <c r="AF834" s="332"/>
      <c r="AG834" s="332"/>
      <c r="AH834" s="332"/>
      <c r="AI834" s="332"/>
      <c r="AJ834" s="332"/>
      <c r="AK834" s="332"/>
      <c r="AL834" s="332"/>
      <c r="AM834" s="332"/>
      <c r="AN834" s="332"/>
      <c r="AO834" s="332"/>
      <c r="AP834" s="332"/>
      <c r="AQ834" s="332"/>
      <c r="AR834" s="332"/>
      <c r="AS834" s="332"/>
      <c r="AT834" s="332"/>
      <c r="AU834" s="332"/>
      <c r="AV834" s="332"/>
      <c r="AW834" s="332"/>
      <c r="AX834" s="332"/>
      <c r="AY834" s="332"/>
      <c r="AZ834" s="332"/>
      <c r="BA834" s="332"/>
      <c r="BB834" s="332"/>
      <c r="BC834" s="332"/>
      <c r="BD834" s="332"/>
      <c r="BE834" s="332"/>
      <c r="BF834" s="332"/>
      <c r="BG834" s="332"/>
      <c r="BH834" s="332"/>
      <c r="BI834" s="332"/>
      <c r="BJ834" s="332"/>
      <c r="BK834" s="332"/>
      <c r="BL834" s="332"/>
      <c r="BM834" s="332"/>
      <c r="BN834" s="332"/>
      <c r="BO834" s="332"/>
      <c r="BP834" s="332"/>
      <c r="BQ834" s="332"/>
      <c r="BR834" s="332"/>
      <c r="BS834" s="332"/>
      <c r="BT834" s="332"/>
      <c r="BU834" s="332"/>
      <c r="BV834" s="332"/>
      <c r="BW834" s="332"/>
      <c r="BX834" s="332"/>
      <c r="BY834" s="332"/>
      <c r="BZ834" s="332"/>
      <c r="CA834" s="332"/>
      <c r="CB834" s="332"/>
      <c r="CC834" s="332"/>
      <c r="CD834" s="332"/>
      <c r="CE834" s="332"/>
      <c r="CF834" s="332"/>
      <c r="CG834" s="332"/>
      <c r="CH834" s="332"/>
      <c r="CI834" s="332"/>
      <c r="CJ834" s="332"/>
      <c r="CK834" s="332"/>
      <c r="CL834" s="332"/>
      <c r="CM834" s="332"/>
      <c r="CN834" s="332"/>
      <c r="CO834" s="332"/>
      <c r="CP834" s="332"/>
      <c r="CQ834" s="332"/>
      <c r="CR834" s="332"/>
      <c r="CS834" s="332"/>
      <c r="CT834" s="332"/>
      <c r="CU834" s="332"/>
      <c r="CV834" s="332"/>
      <c r="CW834" s="332"/>
      <c r="CX834" s="332"/>
      <c r="CY834" s="332"/>
      <c r="CZ834" s="332"/>
      <c r="DA834" s="332"/>
      <c r="DB834" s="332"/>
      <c r="DC834" s="332"/>
      <c r="DD834" s="332"/>
      <c r="DE834" s="332"/>
      <c r="DF834" s="332"/>
      <c r="DG834" s="332"/>
      <c r="DH834" s="332"/>
      <c r="DI834" s="332"/>
      <c r="DJ834" s="332"/>
      <c r="DK834" s="332"/>
      <c r="DL834" s="332"/>
      <c r="DM834" s="332"/>
      <c r="DN834" s="332"/>
      <c r="DO834" s="332"/>
      <c r="DP834" s="332"/>
      <c r="DQ834" s="332"/>
      <c r="DR834" s="332"/>
      <c r="DS834" s="332"/>
      <c r="DT834" s="332"/>
      <c r="DU834" s="453"/>
      <c r="DV834" s="453"/>
      <c r="DW834" s="453"/>
      <c r="DX834" s="453"/>
      <c r="DY834" s="453"/>
      <c r="DZ834" s="453"/>
      <c r="EA834" s="453"/>
      <c r="EB834" s="453"/>
      <c r="EC834" s="453"/>
      <c r="ED834" s="453"/>
      <c r="EE834" s="453"/>
      <c r="EF834" s="453"/>
      <c r="EG834" s="453"/>
      <c r="EH834" s="453"/>
      <c r="EI834" s="453"/>
      <c r="EJ834" s="453"/>
      <c r="EK834" s="453"/>
      <c r="EL834" s="453"/>
      <c r="EM834" s="483">
        <f t="shared" si="237"/>
        <v>525</v>
      </c>
      <c r="EN834" s="485"/>
      <c r="EO834" s="458"/>
      <c r="EP834" s="467"/>
      <c r="EQ834" s="457"/>
      <c r="ER834" s="808"/>
      <c r="ES834" s="881">
        <f t="shared" si="235"/>
        <v>0</v>
      </c>
      <c r="ET834" s="882"/>
      <c r="EU834" s="883"/>
      <c r="EV834" s="884">
        <f t="shared" si="236"/>
        <v>0</v>
      </c>
      <c r="EW834" s="885"/>
      <c r="EX834" s="885"/>
      <c r="EY834" s="885"/>
      <c r="EZ834" s="885"/>
      <c r="FA834" s="885"/>
      <c r="FB834" s="885"/>
      <c r="FC834" s="885"/>
      <c r="FD834" s="886"/>
      <c r="FE834" s="550"/>
      <c r="FF834" s="550"/>
      <c r="FG834" s="550"/>
      <c r="FH834" s="550"/>
      <c r="FI834" s="550"/>
      <c r="FJ834" s="550"/>
      <c r="FK834" s="550"/>
      <c r="FL834" s="555"/>
      <c r="FM834" s="554"/>
      <c r="FN834" s="554"/>
      <c r="FO834" s="554"/>
      <c r="FP834" s="554"/>
      <c r="FQ834" s="554"/>
      <c r="FR834" s="554"/>
      <c r="FS834" s="554"/>
      <c r="FT834" s="554"/>
      <c r="FU834" s="554"/>
      <c r="FV834" s="554"/>
      <c r="FW834" s="554"/>
      <c r="FX834" s="554"/>
      <c r="FY834" s="554"/>
      <c r="FZ834" s="554"/>
      <c r="GA834" s="554"/>
      <c r="GB834" s="556"/>
      <c r="GC834" s="370"/>
      <c r="GD834" s="453"/>
      <c r="GE834" s="453"/>
      <c r="GF834" s="453"/>
      <c r="GG834" s="453"/>
      <c r="GH834" s="454"/>
      <c r="GI834" s="453"/>
      <c r="GJ834" s="453"/>
      <c r="GK834" s="453"/>
      <c r="GL834" s="453"/>
      <c r="GM834" s="453"/>
      <c r="GN834" s="453"/>
      <c r="GO834" s="453"/>
      <c r="GP834" s="453"/>
      <c r="GQ834" s="453"/>
      <c r="GR834" s="453"/>
      <c r="GS834" s="561"/>
      <c r="GT834" s="475"/>
      <c r="GU834" s="472"/>
      <c r="GV834" s="453"/>
      <c r="GW834" s="453"/>
      <c r="GX834" s="869"/>
      <c r="GY834" s="870"/>
      <c r="GZ834" s="867"/>
      <c r="HA834" s="868"/>
      <c r="HB834" s="473"/>
      <c r="HC834" s="869"/>
      <c r="HD834" s="870"/>
      <c r="HE834" s="867"/>
      <c r="HF834" s="868"/>
      <c r="HG834" s="473"/>
      <c r="HH834" s="867"/>
      <c r="HI834" s="868"/>
      <c r="HJ834" s="867"/>
      <c r="HK834" s="868"/>
      <c r="HL834" s="370"/>
      <c r="HM834" s="865"/>
      <c r="HN834" s="866"/>
      <c r="HO834" s="865"/>
      <c r="HP834" s="866"/>
      <c r="HQ834" s="865"/>
      <c r="HR834" s="866"/>
      <c r="HS834" s="867"/>
      <c r="HT834" s="868"/>
      <c r="HU834" s="489"/>
      <c r="HV834" s="865"/>
      <c r="HW834" s="866"/>
    </row>
    <row r="835" spans="25:231" ht="15" customHeight="1">
      <c r="Y835" s="332"/>
      <c r="Z835" s="332"/>
      <c r="AA835" s="332"/>
      <c r="AB835" s="332"/>
      <c r="AC835" s="332"/>
      <c r="AD835" s="332"/>
      <c r="AE835" s="332"/>
      <c r="AF835" s="332"/>
      <c r="AG835" s="332"/>
      <c r="AH835" s="332"/>
      <c r="AI835" s="332"/>
      <c r="AJ835" s="332"/>
      <c r="AK835" s="332"/>
      <c r="AL835" s="332"/>
      <c r="AM835" s="332"/>
      <c r="AN835" s="332"/>
      <c r="AO835" s="332"/>
      <c r="AP835" s="332"/>
      <c r="AQ835" s="332"/>
      <c r="AR835" s="332"/>
      <c r="AS835" s="332"/>
      <c r="AT835" s="332"/>
      <c r="AU835" s="332"/>
      <c r="AV835" s="332"/>
      <c r="AW835" s="332"/>
      <c r="AX835" s="332"/>
      <c r="AY835" s="332"/>
      <c r="AZ835" s="332"/>
      <c r="BA835" s="332"/>
      <c r="BB835" s="332"/>
      <c r="BC835" s="332"/>
      <c r="BD835" s="332"/>
      <c r="BE835" s="332"/>
      <c r="BF835" s="332"/>
      <c r="BG835" s="332"/>
      <c r="BH835" s="332"/>
      <c r="BI835" s="332"/>
      <c r="BJ835" s="332"/>
      <c r="BK835" s="332"/>
      <c r="BL835" s="332"/>
      <c r="BM835" s="332"/>
      <c r="BN835" s="332"/>
      <c r="BO835" s="332"/>
      <c r="BP835" s="332"/>
      <c r="BQ835" s="332"/>
      <c r="BR835" s="332"/>
      <c r="BS835" s="332"/>
      <c r="BT835" s="332"/>
      <c r="BU835" s="332"/>
      <c r="BV835" s="332"/>
      <c r="BW835" s="332"/>
      <c r="BX835" s="332"/>
      <c r="BY835" s="332"/>
      <c r="BZ835" s="332"/>
      <c r="CA835" s="332"/>
      <c r="CB835" s="332"/>
      <c r="CC835" s="332"/>
      <c r="CD835" s="332"/>
      <c r="CE835" s="332"/>
      <c r="CF835" s="332"/>
      <c r="CG835" s="332"/>
      <c r="CH835" s="332"/>
      <c r="CI835" s="332"/>
      <c r="CJ835" s="332"/>
      <c r="CK835" s="332"/>
      <c r="CL835" s="332"/>
      <c r="CM835" s="332"/>
      <c r="CN835" s="332"/>
      <c r="CO835" s="332"/>
      <c r="CP835" s="332"/>
      <c r="CQ835" s="332"/>
      <c r="CR835" s="332"/>
      <c r="CS835" s="332"/>
      <c r="CT835" s="332"/>
      <c r="CU835" s="332"/>
      <c r="CV835" s="332"/>
      <c r="CW835" s="332"/>
      <c r="CX835" s="332"/>
      <c r="CY835" s="332"/>
      <c r="CZ835" s="332"/>
      <c r="DA835" s="332"/>
      <c r="DB835" s="332"/>
      <c r="DC835" s="332"/>
      <c r="DD835" s="332"/>
      <c r="DE835" s="332"/>
      <c r="DF835" s="332"/>
      <c r="DG835" s="332"/>
      <c r="DH835" s="332"/>
      <c r="DI835" s="332"/>
      <c r="DJ835" s="332"/>
      <c r="DK835" s="332"/>
      <c r="DL835" s="332"/>
      <c r="DM835" s="332"/>
      <c r="DN835" s="332"/>
      <c r="DO835" s="332"/>
      <c r="DP835" s="332"/>
      <c r="DQ835" s="332"/>
      <c r="DR835" s="332"/>
      <c r="DS835" s="332"/>
      <c r="DT835" s="332"/>
      <c r="DU835" s="453"/>
      <c r="DV835" s="453"/>
      <c r="DW835" s="453"/>
      <c r="DX835" s="453"/>
      <c r="DY835" s="453"/>
      <c r="DZ835" s="453"/>
      <c r="EA835" s="453"/>
      <c r="EB835" s="453"/>
      <c r="EC835" s="453"/>
      <c r="ED835" s="453"/>
      <c r="EE835" s="453"/>
      <c r="EF835" s="453"/>
      <c r="EG835" s="453"/>
      <c r="EH835" s="453"/>
      <c r="EI835" s="453"/>
      <c r="EJ835" s="453"/>
      <c r="EK835" s="453"/>
      <c r="EL835" s="453"/>
      <c r="EM835" s="483">
        <f t="shared" si="237"/>
        <v>526</v>
      </c>
      <c r="EN835" s="485"/>
      <c r="EO835" s="458"/>
      <c r="EP835" s="467"/>
      <c r="EQ835" s="457"/>
      <c r="ER835" s="808"/>
      <c r="ES835" s="881">
        <f t="shared" si="235"/>
        <v>0</v>
      </c>
      <c r="ET835" s="882"/>
      <c r="EU835" s="883"/>
      <c r="EV835" s="884">
        <f t="shared" si="236"/>
        <v>0</v>
      </c>
      <c r="EW835" s="885"/>
      <c r="EX835" s="885"/>
      <c r="EY835" s="885"/>
      <c r="EZ835" s="885"/>
      <c r="FA835" s="885"/>
      <c r="FB835" s="885"/>
      <c r="FC835" s="885"/>
      <c r="FD835" s="886"/>
      <c r="FE835" s="550"/>
      <c r="FF835" s="550"/>
      <c r="FG835" s="550"/>
      <c r="FH835" s="550"/>
      <c r="FI835" s="550"/>
      <c r="FJ835" s="550"/>
      <c r="FK835" s="550"/>
      <c r="FL835" s="555"/>
      <c r="FM835" s="554"/>
      <c r="FN835" s="554"/>
      <c r="FO835" s="554"/>
      <c r="FP835" s="554"/>
      <c r="FQ835" s="554"/>
      <c r="FR835" s="554"/>
      <c r="FS835" s="554"/>
      <c r="FT835" s="554"/>
      <c r="FU835" s="554"/>
      <c r="FV835" s="554"/>
      <c r="FW835" s="554"/>
      <c r="FX835" s="554"/>
      <c r="FY835" s="554"/>
      <c r="FZ835" s="554"/>
      <c r="GA835" s="554"/>
      <c r="GB835" s="556"/>
      <c r="GC835" s="370"/>
      <c r="GD835" s="453"/>
      <c r="GE835" s="453"/>
      <c r="GF835" s="453"/>
      <c r="GG835" s="453"/>
      <c r="GH835" s="454"/>
      <c r="GI835" s="453"/>
      <c r="GJ835" s="453"/>
      <c r="GK835" s="453"/>
      <c r="GL835" s="453"/>
      <c r="GM835" s="453"/>
      <c r="GN835" s="453"/>
      <c r="GO835" s="453"/>
      <c r="GP835" s="453"/>
      <c r="GQ835" s="453"/>
      <c r="GR835" s="453"/>
      <c r="GS835" s="561"/>
      <c r="GT835" s="475"/>
      <c r="GU835" s="472"/>
      <c r="GV835" s="453"/>
      <c r="GW835" s="453"/>
      <c r="GX835" s="869"/>
      <c r="GY835" s="870"/>
      <c r="GZ835" s="867"/>
      <c r="HA835" s="868"/>
      <c r="HB835" s="473"/>
      <c r="HC835" s="869"/>
      <c r="HD835" s="870"/>
      <c r="HE835" s="867"/>
      <c r="HF835" s="868"/>
      <c r="HG835" s="473"/>
      <c r="HH835" s="867"/>
      <c r="HI835" s="868"/>
      <c r="HJ835" s="867"/>
      <c r="HK835" s="868"/>
      <c r="HL835" s="370"/>
      <c r="HM835" s="865"/>
      <c r="HN835" s="866"/>
      <c r="HO835" s="865"/>
      <c r="HP835" s="866"/>
      <c r="HQ835" s="865"/>
      <c r="HR835" s="866"/>
      <c r="HS835" s="867"/>
      <c r="HT835" s="868"/>
      <c r="HU835" s="489"/>
      <c r="HV835" s="865"/>
      <c r="HW835" s="866"/>
    </row>
    <row r="836" spans="25:231" ht="15" customHeight="1">
      <c r="Y836" s="332"/>
      <c r="Z836" s="332"/>
      <c r="AA836" s="332"/>
      <c r="AB836" s="332"/>
      <c r="AC836" s="332"/>
      <c r="AD836" s="332"/>
      <c r="AE836" s="332"/>
      <c r="AF836" s="332"/>
      <c r="AG836" s="332"/>
      <c r="AH836" s="332"/>
      <c r="AI836" s="332"/>
      <c r="AJ836" s="332"/>
      <c r="AK836" s="332"/>
      <c r="AL836" s="332"/>
      <c r="AM836" s="332"/>
      <c r="AN836" s="332"/>
      <c r="AO836" s="332"/>
      <c r="AP836" s="332"/>
      <c r="AQ836" s="332"/>
      <c r="AR836" s="332"/>
      <c r="AS836" s="332"/>
      <c r="AT836" s="332"/>
      <c r="AU836" s="332"/>
      <c r="AV836" s="332"/>
      <c r="AW836" s="332"/>
      <c r="AX836" s="332"/>
      <c r="AY836" s="332"/>
      <c r="AZ836" s="332"/>
      <c r="BA836" s="332"/>
      <c r="BB836" s="332"/>
      <c r="BC836" s="332"/>
      <c r="BD836" s="332"/>
      <c r="BE836" s="332"/>
      <c r="BF836" s="332"/>
      <c r="BG836" s="332"/>
      <c r="BH836" s="332"/>
      <c r="BI836" s="332"/>
      <c r="BJ836" s="332"/>
      <c r="BK836" s="332"/>
      <c r="BL836" s="332"/>
      <c r="BM836" s="332"/>
      <c r="BN836" s="332"/>
      <c r="BO836" s="332"/>
      <c r="BP836" s="332"/>
      <c r="BQ836" s="332"/>
      <c r="BR836" s="332"/>
      <c r="BS836" s="332"/>
      <c r="BT836" s="332"/>
      <c r="BU836" s="332"/>
      <c r="BV836" s="332"/>
      <c r="BW836" s="332"/>
      <c r="BX836" s="332"/>
      <c r="BY836" s="332"/>
      <c r="BZ836" s="332"/>
      <c r="CA836" s="332"/>
      <c r="CB836" s="332"/>
      <c r="CC836" s="332"/>
      <c r="CD836" s="332"/>
      <c r="CE836" s="332"/>
      <c r="CF836" s="332"/>
      <c r="CG836" s="332"/>
      <c r="CH836" s="332"/>
      <c r="CI836" s="332"/>
      <c r="CJ836" s="332"/>
      <c r="CK836" s="332"/>
      <c r="CL836" s="332"/>
      <c r="CM836" s="332"/>
      <c r="CN836" s="332"/>
      <c r="CO836" s="332"/>
      <c r="CP836" s="332"/>
      <c r="CQ836" s="332"/>
      <c r="CR836" s="332"/>
      <c r="CS836" s="332"/>
      <c r="CT836" s="332"/>
      <c r="CU836" s="332"/>
      <c r="CV836" s="332"/>
      <c r="CW836" s="332"/>
      <c r="CX836" s="332"/>
      <c r="CY836" s="332"/>
      <c r="CZ836" s="332"/>
      <c r="DA836" s="332"/>
      <c r="DB836" s="332"/>
      <c r="DC836" s="332"/>
      <c r="DD836" s="332"/>
      <c r="DE836" s="332"/>
      <c r="DF836" s="332"/>
      <c r="DG836" s="332"/>
      <c r="DH836" s="332"/>
      <c r="DI836" s="332"/>
      <c r="DJ836" s="332"/>
      <c r="DK836" s="332"/>
      <c r="DL836" s="332"/>
      <c r="DM836" s="332"/>
      <c r="DN836" s="332"/>
      <c r="DO836" s="332"/>
      <c r="DP836" s="332"/>
      <c r="DQ836" s="332"/>
      <c r="DR836" s="332"/>
      <c r="DS836" s="332"/>
      <c r="DT836" s="332"/>
      <c r="DU836" s="453"/>
      <c r="DV836" s="453"/>
      <c r="DW836" s="453"/>
      <c r="DX836" s="453"/>
      <c r="DY836" s="453"/>
      <c r="DZ836" s="453"/>
      <c r="EA836" s="453"/>
      <c r="EB836" s="453"/>
      <c r="EC836" s="453"/>
      <c r="ED836" s="453"/>
      <c r="EE836" s="453"/>
      <c r="EF836" s="453"/>
      <c r="EG836" s="453"/>
      <c r="EH836" s="453"/>
      <c r="EI836" s="453"/>
      <c r="EJ836" s="453"/>
      <c r="EK836" s="453"/>
      <c r="EL836" s="453"/>
      <c r="EM836" s="483">
        <f t="shared" si="237"/>
        <v>527</v>
      </c>
      <c r="EN836" s="485"/>
      <c r="EO836" s="458"/>
      <c r="EP836" s="467"/>
      <c r="EQ836" s="457"/>
      <c r="ER836" s="808"/>
      <c r="ES836" s="881">
        <f t="shared" si="235"/>
        <v>0</v>
      </c>
      <c r="ET836" s="882"/>
      <c r="EU836" s="883"/>
      <c r="EV836" s="884">
        <f t="shared" si="236"/>
        <v>0</v>
      </c>
      <c r="EW836" s="885"/>
      <c r="EX836" s="885"/>
      <c r="EY836" s="885"/>
      <c r="EZ836" s="885"/>
      <c r="FA836" s="885"/>
      <c r="FB836" s="885"/>
      <c r="FC836" s="885"/>
      <c r="FD836" s="886"/>
      <c r="FE836" s="550"/>
      <c r="FF836" s="550"/>
      <c r="FG836" s="550"/>
      <c r="FH836" s="550"/>
      <c r="FI836" s="550"/>
      <c r="FJ836" s="550"/>
      <c r="FK836" s="550"/>
      <c r="FL836" s="555"/>
      <c r="FM836" s="554"/>
      <c r="FN836" s="554"/>
      <c r="FO836" s="554"/>
      <c r="FP836" s="554"/>
      <c r="FQ836" s="554"/>
      <c r="FR836" s="554"/>
      <c r="FS836" s="554"/>
      <c r="FT836" s="554"/>
      <c r="FU836" s="554"/>
      <c r="FV836" s="554"/>
      <c r="FW836" s="554"/>
      <c r="FX836" s="554"/>
      <c r="FY836" s="554"/>
      <c r="FZ836" s="554"/>
      <c r="GA836" s="554"/>
      <c r="GB836" s="556"/>
      <c r="GC836" s="370"/>
      <c r="GD836" s="453"/>
      <c r="GE836" s="453"/>
      <c r="GF836" s="453"/>
      <c r="GG836" s="453"/>
      <c r="GH836" s="454"/>
      <c r="GI836" s="453"/>
      <c r="GJ836" s="453"/>
      <c r="GK836" s="453"/>
      <c r="GL836" s="453"/>
      <c r="GM836" s="453"/>
      <c r="GN836" s="453"/>
      <c r="GO836" s="453"/>
      <c r="GP836" s="453"/>
      <c r="GQ836" s="453"/>
      <c r="GR836" s="453"/>
      <c r="GS836" s="561"/>
      <c r="GT836" s="475"/>
      <c r="GU836" s="472"/>
      <c r="GV836" s="453"/>
      <c r="GW836" s="453"/>
      <c r="GX836" s="869"/>
      <c r="GY836" s="870"/>
      <c r="GZ836" s="867"/>
      <c r="HA836" s="868"/>
      <c r="HB836" s="473"/>
      <c r="HC836" s="869"/>
      <c r="HD836" s="870"/>
      <c r="HE836" s="867"/>
      <c r="HF836" s="868"/>
      <c r="HG836" s="473"/>
      <c r="HH836" s="867"/>
      <c r="HI836" s="868"/>
      <c r="HJ836" s="867"/>
      <c r="HK836" s="868"/>
      <c r="HL836" s="370"/>
      <c r="HM836" s="865"/>
      <c r="HN836" s="866"/>
      <c r="HO836" s="865"/>
      <c r="HP836" s="866"/>
      <c r="HQ836" s="865"/>
      <c r="HR836" s="866"/>
      <c r="HS836" s="867"/>
      <c r="HT836" s="868"/>
      <c r="HU836" s="489"/>
      <c r="HV836" s="865"/>
      <c r="HW836" s="866"/>
    </row>
    <row r="837" spans="25:231" ht="15" customHeight="1">
      <c r="Y837" s="332"/>
      <c r="Z837" s="332"/>
      <c r="AA837" s="332"/>
      <c r="AB837" s="332"/>
      <c r="AC837" s="332"/>
      <c r="AD837" s="332"/>
      <c r="AE837" s="332"/>
      <c r="AF837" s="332"/>
      <c r="AG837" s="332"/>
      <c r="AH837" s="332"/>
      <c r="AI837" s="332"/>
      <c r="AJ837" s="332"/>
      <c r="AK837" s="332"/>
      <c r="AL837" s="332"/>
      <c r="AM837" s="332"/>
      <c r="AN837" s="332"/>
      <c r="AO837" s="332"/>
      <c r="AP837" s="332"/>
      <c r="AQ837" s="332"/>
      <c r="AR837" s="332"/>
      <c r="AS837" s="332"/>
      <c r="AT837" s="332"/>
      <c r="AU837" s="332"/>
      <c r="AV837" s="332"/>
      <c r="AW837" s="332"/>
      <c r="AX837" s="332"/>
      <c r="AY837" s="332"/>
      <c r="AZ837" s="332"/>
      <c r="BA837" s="332"/>
      <c r="BB837" s="332"/>
      <c r="BC837" s="332"/>
      <c r="BD837" s="332"/>
      <c r="BE837" s="332"/>
      <c r="BF837" s="332"/>
      <c r="BG837" s="332"/>
      <c r="BH837" s="332"/>
      <c r="BI837" s="332"/>
      <c r="BJ837" s="332"/>
      <c r="BK837" s="332"/>
      <c r="BL837" s="332"/>
      <c r="BM837" s="332"/>
      <c r="BN837" s="332"/>
      <c r="BO837" s="332"/>
      <c r="BP837" s="332"/>
      <c r="BQ837" s="332"/>
      <c r="BR837" s="332"/>
      <c r="BS837" s="332"/>
      <c r="BT837" s="332"/>
      <c r="BU837" s="332"/>
      <c r="BV837" s="332"/>
      <c r="BW837" s="332"/>
      <c r="BX837" s="332"/>
      <c r="BY837" s="332"/>
      <c r="BZ837" s="332"/>
      <c r="CA837" s="332"/>
      <c r="CB837" s="332"/>
      <c r="CC837" s="332"/>
      <c r="CD837" s="332"/>
      <c r="CE837" s="332"/>
      <c r="CF837" s="332"/>
      <c r="CG837" s="332"/>
      <c r="CH837" s="332"/>
      <c r="CI837" s="332"/>
      <c r="CJ837" s="332"/>
      <c r="CK837" s="332"/>
      <c r="CL837" s="332"/>
      <c r="CM837" s="332"/>
      <c r="CN837" s="332"/>
      <c r="CO837" s="332"/>
      <c r="CP837" s="332"/>
      <c r="CQ837" s="332"/>
      <c r="CR837" s="332"/>
      <c r="CS837" s="332"/>
      <c r="CT837" s="332"/>
      <c r="CU837" s="332"/>
      <c r="CV837" s="332"/>
      <c r="CW837" s="332"/>
      <c r="CX837" s="332"/>
      <c r="CY837" s="332"/>
      <c r="CZ837" s="332"/>
      <c r="DA837" s="332"/>
      <c r="DB837" s="332"/>
      <c r="DC837" s="332"/>
      <c r="DD837" s="332"/>
      <c r="DE837" s="332"/>
      <c r="DF837" s="332"/>
      <c r="DG837" s="332"/>
      <c r="DH837" s="332"/>
      <c r="DI837" s="332"/>
      <c r="DJ837" s="332"/>
      <c r="DK837" s="332"/>
      <c r="DL837" s="332"/>
      <c r="DM837" s="332"/>
      <c r="DN837" s="332"/>
      <c r="DO837" s="332"/>
      <c r="DP837" s="332"/>
      <c r="DQ837" s="332"/>
      <c r="DR837" s="332"/>
      <c r="DS837" s="332"/>
      <c r="DT837" s="332"/>
      <c r="DU837" s="453"/>
      <c r="DV837" s="453"/>
      <c r="DW837" s="453"/>
      <c r="DX837" s="453"/>
      <c r="DY837" s="453"/>
      <c r="DZ837" s="453"/>
      <c r="EA837" s="453"/>
      <c r="EB837" s="453"/>
      <c r="EC837" s="453"/>
      <c r="ED837" s="453"/>
      <c r="EE837" s="453"/>
      <c r="EF837" s="453"/>
      <c r="EG837" s="453"/>
      <c r="EH837" s="453"/>
      <c r="EI837" s="453"/>
      <c r="EJ837" s="453"/>
      <c r="EK837" s="453"/>
      <c r="EL837" s="453"/>
      <c r="EM837" s="483">
        <f t="shared" si="237"/>
        <v>528</v>
      </c>
      <c r="EN837" s="485"/>
      <c r="EO837" s="458"/>
      <c r="EP837" s="467"/>
      <c r="EQ837" s="457"/>
      <c r="ER837" s="808"/>
      <c r="ES837" s="881">
        <f t="shared" si="235"/>
        <v>0</v>
      </c>
      <c r="ET837" s="882"/>
      <c r="EU837" s="883"/>
      <c r="EV837" s="884">
        <f t="shared" si="236"/>
        <v>0</v>
      </c>
      <c r="EW837" s="885"/>
      <c r="EX837" s="885"/>
      <c r="EY837" s="885"/>
      <c r="EZ837" s="885"/>
      <c r="FA837" s="885"/>
      <c r="FB837" s="885"/>
      <c r="FC837" s="885"/>
      <c r="FD837" s="886"/>
      <c r="FE837" s="550"/>
      <c r="FF837" s="550"/>
      <c r="FG837" s="550"/>
      <c r="FH837" s="550"/>
      <c r="FI837" s="550"/>
      <c r="FJ837" s="550"/>
      <c r="FK837" s="550"/>
      <c r="FL837" s="555"/>
      <c r="FM837" s="554"/>
      <c r="FN837" s="554"/>
      <c r="FO837" s="554"/>
      <c r="FP837" s="554"/>
      <c r="FQ837" s="554"/>
      <c r="FR837" s="554"/>
      <c r="FS837" s="554"/>
      <c r="FT837" s="554"/>
      <c r="FU837" s="554"/>
      <c r="FV837" s="554"/>
      <c r="FW837" s="554"/>
      <c r="FX837" s="554"/>
      <c r="FY837" s="554"/>
      <c r="FZ837" s="554"/>
      <c r="GA837" s="554"/>
      <c r="GB837" s="556"/>
      <c r="GC837" s="370"/>
      <c r="GD837" s="453"/>
      <c r="GE837" s="453"/>
      <c r="GF837" s="453"/>
      <c r="GG837" s="453"/>
      <c r="GH837" s="454"/>
      <c r="GI837" s="453"/>
      <c r="GJ837" s="453"/>
      <c r="GK837" s="453"/>
      <c r="GL837" s="453"/>
      <c r="GM837" s="453"/>
      <c r="GN837" s="453"/>
      <c r="GO837" s="453"/>
      <c r="GP837" s="453"/>
      <c r="GQ837" s="453"/>
      <c r="GR837" s="453"/>
      <c r="GS837" s="561"/>
      <c r="GT837" s="475"/>
      <c r="GU837" s="472"/>
      <c r="GV837" s="453"/>
      <c r="GW837" s="453"/>
      <c r="GX837" s="869"/>
      <c r="GY837" s="870"/>
      <c r="GZ837" s="867"/>
      <c r="HA837" s="868"/>
      <c r="HB837" s="473"/>
      <c r="HC837" s="869"/>
      <c r="HD837" s="870"/>
      <c r="HE837" s="867"/>
      <c r="HF837" s="868"/>
      <c r="HG837" s="473"/>
      <c r="HH837" s="867"/>
      <c r="HI837" s="868"/>
      <c r="HJ837" s="867"/>
      <c r="HK837" s="868"/>
      <c r="HL837" s="370"/>
      <c r="HM837" s="865"/>
      <c r="HN837" s="866"/>
      <c r="HO837" s="865"/>
      <c r="HP837" s="866"/>
      <c r="HQ837" s="865"/>
      <c r="HR837" s="866"/>
      <c r="HS837" s="867"/>
      <c r="HT837" s="868"/>
      <c r="HU837" s="489"/>
      <c r="HV837" s="865"/>
      <c r="HW837" s="866"/>
    </row>
    <row r="838" spans="25:231" ht="15" customHeight="1">
      <c r="Y838" s="332"/>
      <c r="Z838" s="332"/>
      <c r="AA838" s="332"/>
      <c r="AB838" s="332"/>
      <c r="AC838" s="332"/>
      <c r="AD838" s="332"/>
      <c r="AE838" s="332"/>
      <c r="AF838" s="332"/>
      <c r="AG838" s="332"/>
      <c r="AH838" s="332"/>
      <c r="AI838" s="332"/>
      <c r="AJ838" s="332"/>
      <c r="AK838" s="332"/>
      <c r="AL838" s="332"/>
      <c r="AM838" s="332"/>
      <c r="AN838" s="332"/>
      <c r="AO838" s="332"/>
      <c r="AP838" s="332"/>
      <c r="AQ838" s="332"/>
      <c r="AR838" s="332"/>
      <c r="AS838" s="332"/>
      <c r="AT838" s="332"/>
      <c r="AU838" s="332"/>
      <c r="AV838" s="332"/>
      <c r="AW838" s="332"/>
      <c r="AX838" s="332"/>
      <c r="AY838" s="332"/>
      <c r="AZ838" s="332"/>
      <c r="BA838" s="332"/>
      <c r="BB838" s="332"/>
      <c r="BC838" s="332"/>
      <c r="BD838" s="332"/>
      <c r="BE838" s="332"/>
      <c r="BF838" s="332"/>
      <c r="BG838" s="332"/>
      <c r="BH838" s="332"/>
      <c r="BI838" s="332"/>
      <c r="BJ838" s="332"/>
      <c r="BK838" s="332"/>
      <c r="BL838" s="332"/>
      <c r="BM838" s="332"/>
      <c r="BN838" s="332"/>
      <c r="BO838" s="332"/>
      <c r="BP838" s="332"/>
      <c r="BQ838" s="332"/>
      <c r="BR838" s="332"/>
      <c r="BS838" s="332"/>
      <c r="BT838" s="332"/>
      <c r="BU838" s="332"/>
      <c r="BV838" s="332"/>
      <c r="BW838" s="332"/>
      <c r="BX838" s="332"/>
      <c r="BY838" s="332"/>
      <c r="BZ838" s="332"/>
      <c r="CA838" s="332"/>
      <c r="CB838" s="332"/>
      <c r="CC838" s="332"/>
      <c r="CD838" s="332"/>
      <c r="CE838" s="332"/>
      <c r="CF838" s="332"/>
      <c r="CG838" s="332"/>
      <c r="CH838" s="332"/>
      <c r="CI838" s="332"/>
      <c r="CJ838" s="332"/>
      <c r="CK838" s="332"/>
      <c r="CL838" s="332"/>
      <c r="CM838" s="332"/>
      <c r="CN838" s="332"/>
      <c r="CO838" s="332"/>
      <c r="CP838" s="332"/>
      <c r="CQ838" s="332"/>
      <c r="CR838" s="332"/>
      <c r="CS838" s="332"/>
      <c r="CT838" s="332"/>
      <c r="CU838" s="332"/>
      <c r="CV838" s="332"/>
      <c r="CW838" s="332"/>
      <c r="CX838" s="332"/>
      <c r="CY838" s="332"/>
      <c r="CZ838" s="332"/>
      <c r="DA838" s="332"/>
      <c r="DB838" s="332"/>
      <c r="DC838" s="332"/>
      <c r="DD838" s="332"/>
      <c r="DE838" s="332"/>
      <c r="DF838" s="332"/>
      <c r="DG838" s="332"/>
      <c r="DH838" s="332"/>
      <c r="DI838" s="332"/>
      <c r="DJ838" s="332"/>
      <c r="DK838" s="332"/>
      <c r="DL838" s="332"/>
      <c r="DM838" s="332"/>
      <c r="DN838" s="332"/>
      <c r="DO838" s="332"/>
      <c r="DP838" s="332"/>
      <c r="DQ838" s="332"/>
      <c r="DR838" s="332"/>
      <c r="DS838" s="332"/>
      <c r="DT838" s="332"/>
      <c r="DU838" s="453"/>
      <c r="DV838" s="453"/>
      <c r="DW838" s="453"/>
      <c r="DX838" s="453"/>
      <c r="DY838" s="453"/>
      <c r="DZ838" s="453"/>
      <c r="EA838" s="453"/>
      <c r="EB838" s="453"/>
      <c r="EC838" s="453"/>
      <c r="ED838" s="453"/>
      <c r="EE838" s="453"/>
      <c r="EF838" s="453"/>
      <c r="EG838" s="453"/>
      <c r="EH838" s="453"/>
      <c r="EI838" s="453"/>
      <c r="EJ838" s="453"/>
      <c r="EK838" s="453"/>
      <c r="EL838" s="453"/>
      <c r="EM838" s="483">
        <f t="shared" si="237"/>
        <v>529</v>
      </c>
      <c r="EN838" s="485"/>
      <c r="EO838" s="458"/>
      <c r="EP838" s="467"/>
      <c r="EQ838" s="457"/>
      <c r="ER838" s="808"/>
      <c r="ES838" s="881">
        <f t="shared" si="235"/>
        <v>0</v>
      </c>
      <c r="ET838" s="882"/>
      <c r="EU838" s="883"/>
      <c r="EV838" s="884">
        <f t="shared" si="236"/>
        <v>0</v>
      </c>
      <c r="EW838" s="885"/>
      <c r="EX838" s="885"/>
      <c r="EY838" s="885"/>
      <c r="EZ838" s="885"/>
      <c r="FA838" s="885"/>
      <c r="FB838" s="885"/>
      <c r="FC838" s="885"/>
      <c r="FD838" s="886"/>
      <c r="FE838" s="550"/>
      <c r="FF838" s="550"/>
      <c r="FG838" s="550"/>
      <c r="FH838" s="550"/>
      <c r="FI838" s="550"/>
      <c r="FJ838" s="550"/>
      <c r="FK838" s="550"/>
      <c r="FL838" s="555"/>
      <c r="FM838" s="554"/>
      <c r="FN838" s="554"/>
      <c r="FO838" s="554"/>
      <c r="FP838" s="554"/>
      <c r="FQ838" s="554"/>
      <c r="FR838" s="554"/>
      <c r="FS838" s="554"/>
      <c r="FT838" s="554"/>
      <c r="FU838" s="554"/>
      <c r="FV838" s="554"/>
      <c r="FW838" s="554"/>
      <c r="FX838" s="554"/>
      <c r="FY838" s="554"/>
      <c r="FZ838" s="554"/>
      <c r="GA838" s="554"/>
      <c r="GB838" s="556"/>
      <c r="GC838" s="370"/>
      <c r="GD838" s="453"/>
      <c r="GE838" s="453"/>
      <c r="GF838" s="453"/>
      <c r="GG838" s="453"/>
      <c r="GH838" s="454"/>
      <c r="GI838" s="453"/>
      <c r="GJ838" s="453"/>
      <c r="GK838" s="453"/>
      <c r="GL838" s="453"/>
      <c r="GM838" s="453"/>
      <c r="GN838" s="453"/>
      <c r="GO838" s="453"/>
      <c r="GP838" s="453"/>
      <c r="GQ838" s="453"/>
      <c r="GR838" s="453"/>
      <c r="GS838" s="561"/>
      <c r="GT838" s="475"/>
      <c r="GU838" s="472"/>
      <c r="GV838" s="453"/>
      <c r="GW838" s="453"/>
      <c r="GX838" s="869"/>
      <c r="GY838" s="870"/>
      <c r="GZ838" s="867"/>
      <c r="HA838" s="868"/>
      <c r="HB838" s="473"/>
      <c r="HC838" s="869"/>
      <c r="HD838" s="870"/>
      <c r="HE838" s="867"/>
      <c r="HF838" s="868"/>
      <c r="HG838" s="473"/>
      <c r="HH838" s="867"/>
      <c r="HI838" s="868"/>
      <c r="HJ838" s="867"/>
      <c r="HK838" s="868"/>
      <c r="HL838" s="370"/>
      <c r="HM838" s="865"/>
      <c r="HN838" s="866"/>
      <c r="HO838" s="865"/>
      <c r="HP838" s="866"/>
      <c r="HQ838" s="865"/>
      <c r="HR838" s="866"/>
      <c r="HS838" s="867"/>
      <c r="HT838" s="868"/>
      <c r="HU838" s="489"/>
      <c r="HV838" s="865"/>
      <c r="HW838" s="866"/>
    </row>
    <row r="839" spans="25:231" ht="15" customHeight="1">
      <c r="Y839" s="332"/>
      <c r="Z839" s="332"/>
      <c r="AA839" s="332"/>
      <c r="AB839" s="332"/>
      <c r="AC839" s="332"/>
      <c r="AD839" s="332"/>
      <c r="AE839" s="332"/>
      <c r="AF839" s="332"/>
      <c r="AG839" s="332"/>
      <c r="AH839" s="332"/>
      <c r="AI839" s="332"/>
      <c r="AJ839" s="332"/>
      <c r="AK839" s="332"/>
      <c r="AL839" s="332"/>
      <c r="AM839" s="332"/>
      <c r="AN839" s="332"/>
      <c r="AO839" s="332"/>
      <c r="AP839" s="332"/>
      <c r="AQ839" s="332"/>
      <c r="AR839" s="332"/>
      <c r="AS839" s="332"/>
      <c r="AT839" s="332"/>
      <c r="AU839" s="332"/>
      <c r="AV839" s="332"/>
      <c r="AW839" s="332"/>
      <c r="AX839" s="332"/>
      <c r="AY839" s="332"/>
      <c r="AZ839" s="332"/>
      <c r="BA839" s="332"/>
      <c r="BB839" s="332"/>
      <c r="BC839" s="332"/>
      <c r="BD839" s="332"/>
      <c r="BE839" s="332"/>
      <c r="BF839" s="332"/>
      <c r="BG839" s="332"/>
      <c r="BH839" s="332"/>
      <c r="BI839" s="332"/>
      <c r="BJ839" s="332"/>
      <c r="BK839" s="332"/>
      <c r="BL839" s="332"/>
      <c r="BM839" s="332"/>
      <c r="BN839" s="332"/>
      <c r="BO839" s="332"/>
      <c r="BP839" s="332"/>
      <c r="BQ839" s="332"/>
      <c r="BR839" s="332"/>
      <c r="BS839" s="332"/>
      <c r="BT839" s="332"/>
      <c r="BU839" s="332"/>
      <c r="BV839" s="332"/>
      <c r="BW839" s="332"/>
      <c r="BX839" s="332"/>
      <c r="BY839" s="332"/>
      <c r="BZ839" s="332"/>
      <c r="CA839" s="332"/>
      <c r="CB839" s="332"/>
      <c r="CC839" s="332"/>
      <c r="CD839" s="332"/>
      <c r="CE839" s="332"/>
      <c r="CF839" s="332"/>
      <c r="CG839" s="332"/>
      <c r="CH839" s="332"/>
      <c r="CI839" s="332"/>
      <c r="CJ839" s="332"/>
      <c r="CK839" s="332"/>
      <c r="CL839" s="332"/>
      <c r="CM839" s="332"/>
      <c r="CN839" s="332"/>
      <c r="CO839" s="332"/>
      <c r="CP839" s="332"/>
      <c r="CQ839" s="332"/>
      <c r="CR839" s="332"/>
      <c r="CS839" s="332"/>
      <c r="CT839" s="332"/>
      <c r="CU839" s="332"/>
      <c r="CV839" s="332"/>
      <c r="CW839" s="332"/>
      <c r="CX839" s="332"/>
      <c r="CY839" s="332"/>
      <c r="CZ839" s="332"/>
      <c r="DA839" s="332"/>
      <c r="DB839" s="332"/>
      <c r="DC839" s="332"/>
      <c r="DD839" s="332"/>
      <c r="DE839" s="332"/>
      <c r="DF839" s="332"/>
      <c r="DG839" s="332"/>
      <c r="DH839" s="332"/>
      <c r="DI839" s="332"/>
      <c r="DJ839" s="332"/>
      <c r="DK839" s="332"/>
      <c r="DL839" s="332"/>
      <c r="DM839" s="332"/>
      <c r="DN839" s="332"/>
      <c r="DO839" s="332"/>
      <c r="DP839" s="332"/>
      <c r="DQ839" s="332"/>
      <c r="DR839" s="332"/>
      <c r="DS839" s="332"/>
      <c r="DT839" s="332"/>
      <c r="DU839" s="453"/>
      <c r="DV839" s="453"/>
      <c r="DW839" s="453"/>
      <c r="DX839" s="453"/>
      <c r="DY839" s="453"/>
      <c r="DZ839" s="453"/>
      <c r="EA839" s="453"/>
      <c r="EB839" s="453"/>
      <c r="EC839" s="453"/>
      <c r="ED839" s="453"/>
      <c r="EE839" s="453"/>
      <c r="EF839" s="453"/>
      <c r="EG839" s="453"/>
      <c r="EH839" s="453"/>
      <c r="EI839" s="453"/>
      <c r="EJ839" s="453"/>
      <c r="EK839" s="453"/>
      <c r="EL839" s="453"/>
      <c r="EM839" s="483">
        <f t="shared" si="237"/>
        <v>530</v>
      </c>
      <c r="EN839" s="485"/>
      <c r="EO839" s="458"/>
      <c r="EP839" s="467"/>
      <c r="EQ839" s="457"/>
      <c r="ER839" s="808"/>
      <c r="ES839" s="881">
        <f t="shared" si="235"/>
        <v>0</v>
      </c>
      <c r="ET839" s="882"/>
      <c r="EU839" s="883"/>
      <c r="EV839" s="884">
        <f t="shared" si="236"/>
        <v>0</v>
      </c>
      <c r="EW839" s="885"/>
      <c r="EX839" s="885"/>
      <c r="EY839" s="885"/>
      <c r="EZ839" s="885"/>
      <c r="FA839" s="885"/>
      <c r="FB839" s="885"/>
      <c r="FC839" s="885"/>
      <c r="FD839" s="886"/>
      <c r="FE839" s="550"/>
      <c r="FF839" s="550"/>
      <c r="FG839" s="550"/>
      <c r="FH839" s="550"/>
      <c r="FI839" s="550"/>
      <c r="FJ839" s="550"/>
      <c r="FK839" s="550"/>
      <c r="FL839" s="555"/>
      <c r="FM839" s="554"/>
      <c r="FN839" s="554"/>
      <c r="FO839" s="554"/>
      <c r="FP839" s="554"/>
      <c r="FQ839" s="554"/>
      <c r="FR839" s="554"/>
      <c r="FS839" s="554"/>
      <c r="FT839" s="554"/>
      <c r="FU839" s="554"/>
      <c r="FV839" s="554"/>
      <c r="FW839" s="554"/>
      <c r="FX839" s="554"/>
      <c r="FY839" s="554"/>
      <c r="FZ839" s="554"/>
      <c r="GA839" s="554"/>
      <c r="GB839" s="556"/>
      <c r="GC839" s="370"/>
      <c r="GD839" s="453"/>
      <c r="GE839" s="453"/>
      <c r="GF839" s="453"/>
      <c r="GG839" s="453"/>
      <c r="GH839" s="454"/>
      <c r="GI839" s="453"/>
      <c r="GJ839" s="453"/>
      <c r="GK839" s="453"/>
      <c r="GL839" s="453"/>
      <c r="GM839" s="453"/>
      <c r="GN839" s="453"/>
      <c r="GO839" s="453"/>
      <c r="GP839" s="453"/>
      <c r="GQ839" s="453"/>
      <c r="GR839" s="453"/>
      <c r="GS839" s="561"/>
      <c r="GT839" s="475"/>
      <c r="GU839" s="472"/>
      <c r="GV839" s="453"/>
      <c r="GW839" s="453"/>
      <c r="GX839" s="869"/>
      <c r="GY839" s="870"/>
      <c r="GZ839" s="867"/>
      <c r="HA839" s="868"/>
      <c r="HB839" s="473"/>
      <c r="HC839" s="869"/>
      <c r="HD839" s="870"/>
      <c r="HE839" s="867"/>
      <c r="HF839" s="868"/>
      <c r="HG839" s="473"/>
      <c r="HH839" s="867"/>
      <c r="HI839" s="868"/>
      <c r="HJ839" s="867"/>
      <c r="HK839" s="868"/>
      <c r="HL839" s="370"/>
      <c r="HM839" s="865"/>
      <c r="HN839" s="866"/>
      <c r="HO839" s="865"/>
      <c r="HP839" s="866"/>
      <c r="HQ839" s="865"/>
      <c r="HR839" s="866"/>
      <c r="HS839" s="867"/>
      <c r="HT839" s="868"/>
      <c r="HU839" s="489"/>
      <c r="HV839" s="865"/>
      <c r="HW839" s="866"/>
    </row>
    <row r="840" spans="25:231" ht="15" customHeight="1">
      <c r="Y840" s="332"/>
      <c r="Z840" s="332"/>
      <c r="AA840" s="332"/>
      <c r="AB840" s="332"/>
      <c r="AC840" s="332"/>
      <c r="AD840" s="332"/>
      <c r="AE840" s="332"/>
      <c r="AF840" s="332"/>
      <c r="AG840" s="332"/>
      <c r="AH840" s="332"/>
      <c r="AI840" s="332"/>
      <c r="AJ840" s="332"/>
      <c r="AK840" s="332"/>
      <c r="AL840" s="332"/>
      <c r="AM840" s="332"/>
      <c r="AN840" s="332"/>
      <c r="AO840" s="332"/>
      <c r="AP840" s="332"/>
      <c r="AQ840" s="332"/>
      <c r="AR840" s="332"/>
      <c r="AS840" s="332"/>
      <c r="AT840" s="332"/>
      <c r="AU840" s="332"/>
      <c r="AV840" s="332"/>
      <c r="AW840" s="332"/>
      <c r="AX840" s="332"/>
      <c r="AY840" s="332"/>
      <c r="AZ840" s="332"/>
      <c r="BA840" s="332"/>
      <c r="BB840" s="332"/>
      <c r="BC840" s="332"/>
      <c r="BD840" s="332"/>
      <c r="BE840" s="332"/>
      <c r="BF840" s="332"/>
      <c r="BG840" s="332"/>
      <c r="BH840" s="332"/>
      <c r="BI840" s="332"/>
      <c r="BJ840" s="332"/>
      <c r="BK840" s="332"/>
      <c r="BL840" s="332"/>
      <c r="BM840" s="332"/>
      <c r="BN840" s="332"/>
      <c r="BO840" s="332"/>
      <c r="BP840" s="332"/>
      <c r="BQ840" s="332"/>
      <c r="BR840" s="332"/>
      <c r="BS840" s="332"/>
      <c r="BT840" s="332"/>
      <c r="BU840" s="332"/>
      <c r="BV840" s="332"/>
      <c r="BW840" s="332"/>
      <c r="BX840" s="332"/>
      <c r="BY840" s="332"/>
      <c r="BZ840" s="332"/>
      <c r="CA840" s="332"/>
      <c r="CB840" s="332"/>
      <c r="CC840" s="332"/>
      <c r="CD840" s="332"/>
      <c r="CE840" s="332"/>
      <c r="CF840" s="332"/>
      <c r="CG840" s="332"/>
      <c r="CH840" s="332"/>
      <c r="CI840" s="332"/>
      <c r="CJ840" s="332"/>
      <c r="CK840" s="332"/>
      <c r="CL840" s="332"/>
      <c r="CM840" s="332"/>
      <c r="CN840" s="332"/>
      <c r="CO840" s="332"/>
      <c r="CP840" s="332"/>
      <c r="CQ840" s="332"/>
      <c r="CR840" s="332"/>
      <c r="CS840" s="332"/>
      <c r="CT840" s="332"/>
      <c r="CU840" s="332"/>
      <c r="CV840" s="332"/>
      <c r="CW840" s="332"/>
      <c r="CX840" s="332"/>
      <c r="CY840" s="332"/>
      <c r="CZ840" s="332"/>
      <c r="DA840" s="332"/>
      <c r="DB840" s="332"/>
      <c r="DC840" s="332"/>
      <c r="DD840" s="332"/>
      <c r="DE840" s="332"/>
      <c r="DF840" s="332"/>
      <c r="DG840" s="332"/>
      <c r="DH840" s="332"/>
      <c r="DI840" s="332"/>
      <c r="DJ840" s="332"/>
      <c r="DK840" s="332"/>
      <c r="DL840" s="332"/>
      <c r="DM840" s="332"/>
      <c r="DN840" s="332"/>
      <c r="DO840" s="332"/>
      <c r="DP840" s="332"/>
      <c r="DQ840" s="332"/>
      <c r="DR840" s="332"/>
      <c r="DS840" s="332"/>
      <c r="DT840" s="332"/>
      <c r="DU840" s="453"/>
      <c r="DV840" s="453"/>
      <c r="DW840" s="453"/>
      <c r="DX840" s="453"/>
      <c r="DY840" s="453"/>
      <c r="DZ840" s="453"/>
      <c r="EA840" s="453"/>
      <c r="EB840" s="453"/>
      <c r="EC840" s="453"/>
      <c r="ED840" s="453"/>
      <c r="EE840" s="453"/>
      <c r="EF840" s="453"/>
      <c r="EG840" s="453"/>
      <c r="EH840" s="453"/>
      <c r="EI840" s="453"/>
      <c r="EJ840" s="453"/>
      <c r="EK840" s="453"/>
      <c r="EL840" s="453"/>
      <c r="EM840" s="483">
        <f t="shared" si="237"/>
        <v>531</v>
      </c>
      <c r="EN840" s="485"/>
      <c r="EO840" s="458"/>
      <c r="EP840" s="467"/>
      <c r="EQ840" s="457"/>
      <c r="ER840" s="808"/>
      <c r="ES840" s="881">
        <f t="shared" si="235"/>
        <v>0</v>
      </c>
      <c r="ET840" s="882"/>
      <c r="EU840" s="883"/>
      <c r="EV840" s="884">
        <f t="shared" si="236"/>
        <v>0</v>
      </c>
      <c r="EW840" s="885"/>
      <c r="EX840" s="885"/>
      <c r="EY840" s="885"/>
      <c r="EZ840" s="885"/>
      <c r="FA840" s="885"/>
      <c r="FB840" s="885"/>
      <c r="FC840" s="885"/>
      <c r="FD840" s="886"/>
      <c r="FE840" s="550"/>
      <c r="FF840" s="550"/>
      <c r="FG840" s="550"/>
      <c r="FH840" s="550"/>
      <c r="FI840" s="550"/>
      <c r="FJ840" s="550"/>
      <c r="FK840" s="550"/>
      <c r="FL840" s="555"/>
      <c r="FM840" s="554"/>
      <c r="FN840" s="554"/>
      <c r="FO840" s="554"/>
      <c r="FP840" s="554"/>
      <c r="FQ840" s="554"/>
      <c r="FR840" s="554"/>
      <c r="FS840" s="554"/>
      <c r="FT840" s="554"/>
      <c r="FU840" s="554"/>
      <c r="FV840" s="554"/>
      <c r="FW840" s="554"/>
      <c r="FX840" s="554"/>
      <c r="FY840" s="554"/>
      <c r="FZ840" s="554"/>
      <c r="GA840" s="554"/>
      <c r="GB840" s="556"/>
      <c r="GC840" s="370"/>
      <c r="GD840" s="453"/>
      <c r="GE840" s="453"/>
      <c r="GF840" s="453"/>
      <c r="GG840" s="453"/>
      <c r="GH840" s="454"/>
      <c r="GI840" s="453"/>
      <c r="GJ840" s="453"/>
      <c r="GK840" s="453"/>
      <c r="GL840" s="453"/>
      <c r="GM840" s="453"/>
      <c r="GN840" s="453"/>
      <c r="GO840" s="453"/>
      <c r="GP840" s="453"/>
      <c r="GQ840" s="453"/>
      <c r="GR840" s="453"/>
      <c r="GS840" s="561"/>
      <c r="GT840" s="475"/>
      <c r="GU840" s="472"/>
      <c r="GV840" s="453"/>
      <c r="GW840" s="453"/>
      <c r="GX840" s="869"/>
      <c r="GY840" s="870"/>
      <c r="GZ840" s="867"/>
      <c r="HA840" s="868"/>
      <c r="HB840" s="473"/>
      <c r="HC840" s="869"/>
      <c r="HD840" s="870"/>
      <c r="HE840" s="867"/>
      <c r="HF840" s="868"/>
      <c r="HG840" s="473"/>
      <c r="HH840" s="867"/>
      <c r="HI840" s="868"/>
      <c r="HJ840" s="867"/>
      <c r="HK840" s="868"/>
      <c r="HL840" s="370"/>
      <c r="HM840" s="865"/>
      <c r="HN840" s="866"/>
      <c r="HO840" s="865"/>
      <c r="HP840" s="866"/>
      <c r="HQ840" s="865"/>
      <c r="HR840" s="866"/>
      <c r="HS840" s="867"/>
      <c r="HT840" s="868"/>
      <c r="HU840" s="489"/>
      <c r="HV840" s="865"/>
      <c r="HW840" s="866"/>
    </row>
    <row r="841" spans="25:231" ht="15" customHeight="1">
      <c r="Y841" s="332"/>
      <c r="Z841" s="332"/>
      <c r="AA841" s="332"/>
      <c r="AB841" s="332"/>
      <c r="AC841" s="332"/>
      <c r="AD841" s="332"/>
      <c r="AE841" s="332"/>
      <c r="AF841" s="332"/>
      <c r="AG841" s="332"/>
      <c r="AH841" s="332"/>
      <c r="AI841" s="332"/>
      <c r="AJ841" s="332"/>
      <c r="AK841" s="332"/>
      <c r="AL841" s="332"/>
      <c r="AM841" s="332"/>
      <c r="AN841" s="332"/>
      <c r="AO841" s="332"/>
      <c r="AP841" s="332"/>
      <c r="AQ841" s="332"/>
      <c r="AR841" s="332"/>
      <c r="AS841" s="332"/>
      <c r="AT841" s="332"/>
      <c r="AU841" s="332"/>
      <c r="AV841" s="332"/>
      <c r="AW841" s="332"/>
      <c r="AX841" s="332"/>
      <c r="AY841" s="332"/>
      <c r="AZ841" s="332"/>
      <c r="BA841" s="332"/>
      <c r="BB841" s="332"/>
      <c r="BC841" s="332"/>
      <c r="BD841" s="332"/>
      <c r="BE841" s="332"/>
      <c r="BF841" s="332"/>
      <c r="BG841" s="332"/>
      <c r="BH841" s="332"/>
      <c r="BI841" s="332"/>
      <c r="BJ841" s="332"/>
      <c r="BK841" s="332"/>
      <c r="BL841" s="332"/>
      <c r="BM841" s="332"/>
      <c r="BN841" s="332"/>
      <c r="BO841" s="332"/>
      <c r="BP841" s="332"/>
      <c r="BQ841" s="332"/>
      <c r="BR841" s="332"/>
      <c r="BS841" s="332"/>
      <c r="BT841" s="332"/>
      <c r="BU841" s="332"/>
      <c r="BV841" s="332"/>
      <c r="BW841" s="332"/>
      <c r="BX841" s="332"/>
      <c r="BY841" s="332"/>
      <c r="BZ841" s="332"/>
      <c r="CA841" s="332"/>
      <c r="CB841" s="332"/>
      <c r="CC841" s="332"/>
      <c r="CD841" s="332"/>
      <c r="CE841" s="332"/>
      <c r="CF841" s="332"/>
      <c r="CG841" s="332"/>
      <c r="CH841" s="332"/>
      <c r="CI841" s="332"/>
      <c r="CJ841" s="332"/>
      <c r="CK841" s="332"/>
      <c r="CL841" s="332"/>
      <c r="CM841" s="332"/>
      <c r="CN841" s="332"/>
      <c r="CO841" s="332"/>
      <c r="CP841" s="332"/>
      <c r="CQ841" s="332"/>
      <c r="CR841" s="332"/>
      <c r="CS841" s="332"/>
      <c r="CT841" s="332"/>
      <c r="CU841" s="332"/>
      <c r="CV841" s="332"/>
      <c r="CW841" s="332"/>
      <c r="CX841" s="332"/>
      <c r="CY841" s="332"/>
      <c r="CZ841" s="332"/>
      <c r="DA841" s="332"/>
      <c r="DB841" s="332"/>
      <c r="DC841" s="332"/>
      <c r="DD841" s="332"/>
      <c r="DE841" s="332"/>
      <c r="DF841" s="332"/>
      <c r="DG841" s="332"/>
      <c r="DH841" s="332"/>
      <c r="DI841" s="332"/>
      <c r="DJ841" s="332"/>
      <c r="DK841" s="332"/>
      <c r="DL841" s="332"/>
      <c r="DM841" s="332"/>
      <c r="DN841" s="332"/>
      <c r="DO841" s="332"/>
      <c r="DP841" s="332"/>
      <c r="DQ841" s="332"/>
      <c r="DR841" s="332"/>
      <c r="DS841" s="332"/>
      <c r="DT841" s="332"/>
      <c r="DU841" s="453"/>
      <c r="DV841" s="453"/>
      <c r="DW841" s="453"/>
      <c r="DX841" s="453"/>
      <c r="DY841" s="453"/>
      <c r="DZ841" s="453"/>
      <c r="EA841" s="453"/>
      <c r="EB841" s="453"/>
      <c r="EC841" s="453"/>
      <c r="ED841" s="453"/>
      <c r="EE841" s="453"/>
      <c r="EF841" s="453"/>
      <c r="EG841" s="453"/>
      <c r="EH841" s="453"/>
      <c r="EI841" s="453"/>
      <c r="EJ841" s="453"/>
      <c r="EK841" s="453"/>
      <c r="EL841" s="453"/>
      <c r="EM841" s="483">
        <f t="shared" si="237"/>
        <v>532</v>
      </c>
      <c r="EN841" s="485"/>
      <c r="EO841" s="458"/>
      <c r="EP841" s="467"/>
      <c r="EQ841" s="457"/>
      <c r="ER841" s="808"/>
      <c r="ES841" s="881">
        <f t="shared" si="235"/>
        <v>0</v>
      </c>
      <c r="ET841" s="882"/>
      <c r="EU841" s="883"/>
      <c r="EV841" s="884">
        <f t="shared" si="236"/>
        <v>0</v>
      </c>
      <c r="EW841" s="885"/>
      <c r="EX841" s="885"/>
      <c r="EY841" s="885"/>
      <c r="EZ841" s="885"/>
      <c r="FA841" s="885"/>
      <c r="FB841" s="885"/>
      <c r="FC841" s="885"/>
      <c r="FD841" s="886"/>
      <c r="FE841" s="550"/>
      <c r="FF841" s="550"/>
      <c r="FG841" s="550"/>
      <c r="FH841" s="550"/>
      <c r="FI841" s="550"/>
      <c r="FJ841" s="550"/>
      <c r="FK841" s="550"/>
      <c r="FL841" s="555"/>
      <c r="FM841" s="554"/>
      <c r="FN841" s="554"/>
      <c r="FO841" s="554"/>
      <c r="FP841" s="554"/>
      <c r="FQ841" s="554"/>
      <c r="FR841" s="554"/>
      <c r="FS841" s="554"/>
      <c r="FT841" s="554"/>
      <c r="FU841" s="554"/>
      <c r="FV841" s="554"/>
      <c r="FW841" s="554"/>
      <c r="FX841" s="554"/>
      <c r="FY841" s="554"/>
      <c r="FZ841" s="554"/>
      <c r="GA841" s="554"/>
      <c r="GB841" s="556"/>
      <c r="GC841" s="370"/>
      <c r="GD841" s="453"/>
      <c r="GE841" s="453"/>
      <c r="GF841" s="453"/>
      <c r="GG841" s="453"/>
      <c r="GH841" s="454"/>
      <c r="GI841" s="453"/>
      <c r="GJ841" s="453"/>
      <c r="GK841" s="453"/>
      <c r="GL841" s="453"/>
      <c r="GM841" s="453"/>
      <c r="GN841" s="453"/>
      <c r="GO841" s="453"/>
      <c r="GP841" s="453"/>
      <c r="GQ841" s="453"/>
      <c r="GR841" s="453"/>
      <c r="GS841" s="561"/>
      <c r="GT841" s="475"/>
      <c r="GU841" s="472"/>
      <c r="GV841" s="453"/>
      <c r="GW841" s="453"/>
      <c r="GX841" s="869"/>
      <c r="GY841" s="870"/>
      <c r="GZ841" s="867"/>
      <c r="HA841" s="868"/>
      <c r="HB841" s="473"/>
      <c r="HC841" s="869"/>
      <c r="HD841" s="870"/>
      <c r="HE841" s="867"/>
      <c r="HF841" s="868"/>
      <c r="HG841" s="473"/>
      <c r="HH841" s="867"/>
      <c r="HI841" s="868"/>
      <c r="HJ841" s="867"/>
      <c r="HK841" s="868"/>
      <c r="HL841" s="370"/>
      <c r="HM841" s="865"/>
      <c r="HN841" s="866"/>
      <c r="HO841" s="865"/>
      <c r="HP841" s="866"/>
      <c r="HQ841" s="865"/>
      <c r="HR841" s="866"/>
      <c r="HS841" s="867"/>
      <c r="HT841" s="868"/>
      <c r="HU841" s="489"/>
      <c r="HV841" s="865"/>
      <c r="HW841" s="866"/>
    </row>
    <row r="842" spans="25:231" ht="15" customHeight="1">
      <c r="Y842" s="332"/>
      <c r="Z842" s="332"/>
      <c r="AA842" s="332"/>
      <c r="AB842" s="332"/>
      <c r="AC842" s="332"/>
      <c r="AD842" s="332"/>
      <c r="AE842" s="332"/>
      <c r="AF842" s="332"/>
      <c r="AG842" s="332"/>
      <c r="AH842" s="332"/>
      <c r="AI842" s="332"/>
      <c r="AJ842" s="332"/>
      <c r="AK842" s="332"/>
      <c r="AL842" s="332"/>
      <c r="AM842" s="332"/>
      <c r="AN842" s="332"/>
      <c r="AO842" s="332"/>
      <c r="AP842" s="332"/>
      <c r="AQ842" s="332"/>
      <c r="AR842" s="332"/>
      <c r="AS842" s="332"/>
      <c r="AT842" s="332"/>
      <c r="AU842" s="332"/>
      <c r="AV842" s="332"/>
      <c r="AW842" s="332"/>
      <c r="AX842" s="332"/>
      <c r="AY842" s="332"/>
      <c r="AZ842" s="332"/>
      <c r="BA842" s="332"/>
      <c r="BB842" s="332"/>
      <c r="BC842" s="332"/>
      <c r="BD842" s="332"/>
      <c r="BE842" s="332"/>
      <c r="BF842" s="332"/>
      <c r="BG842" s="332"/>
      <c r="BH842" s="332"/>
      <c r="BI842" s="332"/>
      <c r="BJ842" s="332"/>
      <c r="BK842" s="332"/>
      <c r="BL842" s="332"/>
      <c r="BM842" s="332"/>
      <c r="BN842" s="332"/>
      <c r="BO842" s="332"/>
      <c r="BP842" s="332"/>
      <c r="BQ842" s="332"/>
      <c r="BR842" s="332"/>
      <c r="BS842" s="332"/>
      <c r="BT842" s="332"/>
      <c r="BU842" s="332"/>
      <c r="BV842" s="332"/>
      <c r="BW842" s="332"/>
      <c r="BX842" s="332"/>
      <c r="BY842" s="332"/>
      <c r="BZ842" s="332"/>
      <c r="CA842" s="332"/>
      <c r="CB842" s="332"/>
      <c r="CC842" s="332"/>
      <c r="CD842" s="332"/>
      <c r="CE842" s="332"/>
      <c r="CF842" s="332"/>
      <c r="CG842" s="332"/>
      <c r="CH842" s="332"/>
      <c r="CI842" s="332"/>
      <c r="CJ842" s="332"/>
      <c r="CK842" s="332"/>
      <c r="CL842" s="332"/>
      <c r="CM842" s="332"/>
      <c r="CN842" s="332"/>
      <c r="CO842" s="332"/>
      <c r="CP842" s="332"/>
      <c r="CQ842" s="332"/>
      <c r="CR842" s="332"/>
      <c r="CS842" s="332"/>
      <c r="CT842" s="332"/>
      <c r="CU842" s="332"/>
      <c r="CV842" s="332"/>
      <c r="CW842" s="332"/>
      <c r="CX842" s="332"/>
      <c r="CY842" s="332"/>
      <c r="CZ842" s="332"/>
      <c r="DA842" s="332"/>
      <c r="DB842" s="332"/>
      <c r="DC842" s="332"/>
      <c r="DD842" s="332"/>
      <c r="DE842" s="332"/>
      <c r="DF842" s="332"/>
      <c r="DG842" s="332"/>
      <c r="DH842" s="332"/>
      <c r="DI842" s="332"/>
      <c r="DJ842" s="332"/>
      <c r="DK842" s="332"/>
      <c r="DL842" s="332"/>
      <c r="DM842" s="332"/>
      <c r="DN842" s="332"/>
      <c r="DO842" s="332"/>
      <c r="DP842" s="332"/>
      <c r="DQ842" s="332"/>
      <c r="DR842" s="332"/>
      <c r="DS842" s="332"/>
      <c r="DT842" s="332"/>
      <c r="DU842" s="453"/>
      <c r="DV842" s="453"/>
      <c r="DW842" s="453"/>
      <c r="DX842" s="453"/>
      <c r="DY842" s="453"/>
      <c r="DZ842" s="453"/>
      <c r="EA842" s="453"/>
      <c r="EB842" s="453"/>
      <c r="EC842" s="453"/>
      <c r="ED842" s="453"/>
      <c r="EE842" s="453"/>
      <c r="EF842" s="453"/>
      <c r="EG842" s="453"/>
      <c r="EH842" s="453"/>
      <c r="EI842" s="453"/>
      <c r="EJ842" s="453"/>
      <c r="EK842" s="453"/>
      <c r="EL842" s="453"/>
      <c r="EM842" s="483">
        <f t="shared" si="237"/>
        <v>533</v>
      </c>
      <c r="EN842" s="485"/>
      <c r="EO842" s="458"/>
      <c r="EP842" s="467"/>
      <c r="EQ842" s="457"/>
      <c r="ER842" s="808"/>
      <c r="ES842" s="881">
        <f t="shared" si="235"/>
        <v>0</v>
      </c>
      <c r="ET842" s="882"/>
      <c r="EU842" s="883"/>
      <c r="EV842" s="884">
        <f t="shared" si="236"/>
        <v>0</v>
      </c>
      <c r="EW842" s="885"/>
      <c r="EX842" s="885"/>
      <c r="EY842" s="885"/>
      <c r="EZ842" s="885"/>
      <c r="FA842" s="885"/>
      <c r="FB842" s="885"/>
      <c r="FC842" s="885"/>
      <c r="FD842" s="886"/>
      <c r="FE842" s="550"/>
      <c r="FF842" s="550"/>
      <c r="FG842" s="550"/>
      <c r="FH842" s="550"/>
      <c r="FI842" s="550"/>
      <c r="FJ842" s="550"/>
      <c r="FK842" s="550"/>
      <c r="FL842" s="555"/>
      <c r="FM842" s="554"/>
      <c r="FN842" s="554"/>
      <c r="FO842" s="554"/>
      <c r="FP842" s="554"/>
      <c r="FQ842" s="554"/>
      <c r="FR842" s="554"/>
      <c r="FS842" s="554"/>
      <c r="FT842" s="554"/>
      <c r="FU842" s="554"/>
      <c r="FV842" s="554"/>
      <c r="FW842" s="554"/>
      <c r="FX842" s="554"/>
      <c r="FY842" s="554"/>
      <c r="FZ842" s="554"/>
      <c r="GA842" s="554"/>
      <c r="GB842" s="556"/>
      <c r="GC842" s="370"/>
      <c r="GD842" s="453"/>
      <c r="GE842" s="453"/>
      <c r="GF842" s="453"/>
      <c r="GG842" s="453"/>
      <c r="GH842" s="454"/>
      <c r="GI842" s="453"/>
      <c r="GJ842" s="453"/>
      <c r="GK842" s="453"/>
      <c r="GL842" s="453"/>
      <c r="GM842" s="453"/>
      <c r="GN842" s="453"/>
      <c r="GO842" s="453"/>
      <c r="GP842" s="453"/>
      <c r="GQ842" s="453"/>
      <c r="GR842" s="453"/>
      <c r="GS842" s="561"/>
      <c r="GT842" s="475"/>
      <c r="GU842" s="472"/>
      <c r="GV842" s="453"/>
      <c r="GW842" s="453"/>
      <c r="GX842" s="869"/>
      <c r="GY842" s="870"/>
      <c r="GZ842" s="867"/>
      <c r="HA842" s="868"/>
      <c r="HB842" s="473"/>
      <c r="HC842" s="869"/>
      <c r="HD842" s="870"/>
      <c r="HE842" s="867"/>
      <c r="HF842" s="868"/>
      <c r="HG842" s="473"/>
      <c r="HH842" s="867"/>
      <c r="HI842" s="868"/>
      <c r="HJ842" s="867"/>
      <c r="HK842" s="868"/>
      <c r="HL842" s="370"/>
      <c r="HM842" s="865"/>
      <c r="HN842" s="866"/>
      <c r="HO842" s="865"/>
      <c r="HP842" s="866"/>
      <c r="HQ842" s="865"/>
      <c r="HR842" s="866"/>
      <c r="HS842" s="867"/>
      <c r="HT842" s="868"/>
      <c r="HU842" s="489"/>
      <c r="HV842" s="865"/>
      <c r="HW842" s="866"/>
    </row>
    <row r="843" spans="25:231" ht="15" customHeight="1">
      <c r="Y843" s="332"/>
      <c r="Z843" s="332"/>
      <c r="AA843" s="332"/>
      <c r="AB843" s="332"/>
      <c r="AC843" s="332"/>
      <c r="AD843" s="332"/>
      <c r="AE843" s="332"/>
      <c r="AF843" s="332"/>
      <c r="AG843" s="332"/>
      <c r="AH843" s="332"/>
      <c r="AI843" s="332"/>
      <c r="AJ843" s="332"/>
      <c r="AK843" s="332"/>
      <c r="AL843" s="332"/>
      <c r="AM843" s="332"/>
      <c r="AN843" s="332"/>
      <c r="AO843" s="332"/>
      <c r="AP843" s="332"/>
      <c r="AQ843" s="332"/>
      <c r="AR843" s="332"/>
      <c r="AS843" s="332"/>
      <c r="AT843" s="332"/>
      <c r="AU843" s="332"/>
      <c r="AV843" s="332"/>
      <c r="AW843" s="332"/>
      <c r="AX843" s="332"/>
      <c r="AY843" s="332"/>
      <c r="AZ843" s="332"/>
      <c r="BA843" s="332"/>
      <c r="BB843" s="332"/>
      <c r="BC843" s="332"/>
      <c r="BD843" s="332"/>
      <c r="BE843" s="332"/>
      <c r="BF843" s="332"/>
      <c r="BG843" s="332"/>
      <c r="BH843" s="332"/>
      <c r="BI843" s="332"/>
      <c r="BJ843" s="332"/>
      <c r="BK843" s="332"/>
      <c r="BL843" s="332"/>
      <c r="BM843" s="332"/>
      <c r="BN843" s="332"/>
      <c r="BO843" s="332"/>
      <c r="BP843" s="332"/>
      <c r="BQ843" s="332"/>
      <c r="BR843" s="332"/>
      <c r="BS843" s="332"/>
      <c r="BT843" s="332"/>
      <c r="BU843" s="332"/>
      <c r="BV843" s="332"/>
      <c r="BW843" s="332"/>
      <c r="BX843" s="332"/>
      <c r="BY843" s="332"/>
      <c r="BZ843" s="332"/>
      <c r="CA843" s="332"/>
      <c r="CB843" s="332"/>
      <c r="CC843" s="332"/>
      <c r="CD843" s="332"/>
      <c r="CE843" s="332"/>
      <c r="CF843" s="332"/>
      <c r="CG843" s="332"/>
      <c r="CH843" s="332"/>
      <c r="CI843" s="332"/>
      <c r="CJ843" s="332"/>
      <c r="CK843" s="332"/>
      <c r="CL843" s="332"/>
      <c r="CM843" s="332"/>
      <c r="CN843" s="332"/>
      <c r="CO843" s="332"/>
      <c r="CP843" s="332"/>
      <c r="CQ843" s="332"/>
      <c r="CR843" s="332"/>
      <c r="CS843" s="332"/>
      <c r="CT843" s="332"/>
      <c r="CU843" s="332"/>
      <c r="CV843" s="332"/>
      <c r="CW843" s="332"/>
      <c r="CX843" s="332"/>
      <c r="CY843" s="332"/>
      <c r="CZ843" s="332"/>
      <c r="DA843" s="332"/>
      <c r="DB843" s="332"/>
      <c r="DC843" s="332"/>
      <c r="DD843" s="332"/>
      <c r="DE843" s="332"/>
      <c r="DF843" s="332"/>
      <c r="DG843" s="332"/>
      <c r="DH843" s="332"/>
      <c r="DI843" s="332"/>
      <c r="DJ843" s="332"/>
      <c r="DK843" s="332"/>
      <c r="DL843" s="332"/>
      <c r="DM843" s="332"/>
      <c r="DN843" s="332"/>
      <c r="DO843" s="332"/>
      <c r="DP843" s="332"/>
      <c r="DQ843" s="332"/>
      <c r="DR843" s="332"/>
      <c r="DS843" s="332"/>
      <c r="DT843" s="332"/>
      <c r="DU843" s="453"/>
      <c r="DV843" s="453"/>
      <c r="DW843" s="453"/>
      <c r="DX843" s="453"/>
      <c r="DY843" s="453"/>
      <c r="DZ843" s="453"/>
      <c r="EA843" s="453"/>
      <c r="EB843" s="453"/>
      <c r="EC843" s="453"/>
      <c r="ED843" s="453"/>
      <c r="EE843" s="453"/>
      <c r="EF843" s="453"/>
      <c r="EG843" s="453"/>
      <c r="EH843" s="453"/>
      <c r="EI843" s="453"/>
      <c r="EJ843" s="453"/>
      <c r="EK843" s="453"/>
      <c r="EL843" s="453"/>
      <c r="EM843" s="483">
        <f t="shared" si="237"/>
        <v>534</v>
      </c>
      <c r="EN843" s="485"/>
      <c r="EO843" s="458"/>
      <c r="EP843" s="467"/>
      <c r="EQ843" s="457"/>
      <c r="ER843" s="808"/>
      <c r="ES843" s="881">
        <f t="shared" si="235"/>
        <v>0</v>
      </c>
      <c r="ET843" s="882"/>
      <c r="EU843" s="883"/>
      <c r="EV843" s="884">
        <f t="shared" si="236"/>
        <v>0</v>
      </c>
      <c r="EW843" s="885"/>
      <c r="EX843" s="885"/>
      <c r="EY843" s="885"/>
      <c r="EZ843" s="885"/>
      <c r="FA843" s="885"/>
      <c r="FB843" s="885"/>
      <c r="FC843" s="885"/>
      <c r="FD843" s="886"/>
      <c r="FE843" s="550"/>
      <c r="FF843" s="550"/>
      <c r="FG843" s="550"/>
      <c r="FH843" s="550"/>
      <c r="FI843" s="550"/>
      <c r="FJ843" s="550"/>
      <c r="FK843" s="550"/>
      <c r="FL843" s="555"/>
      <c r="FM843" s="554"/>
      <c r="FN843" s="554"/>
      <c r="FO843" s="554"/>
      <c r="FP843" s="554"/>
      <c r="FQ843" s="554"/>
      <c r="FR843" s="554"/>
      <c r="FS843" s="554"/>
      <c r="FT843" s="554"/>
      <c r="FU843" s="554"/>
      <c r="FV843" s="554"/>
      <c r="FW843" s="554"/>
      <c r="FX843" s="554"/>
      <c r="FY843" s="554"/>
      <c r="FZ843" s="554"/>
      <c r="GA843" s="554"/>
      <c r="GB843" s="556"/>
      <c r="GC843" s="370"/>
      <c r="GD843" s="453"/>
      <c r="GE843" s="453"/>
      <c r="GF843" s="453"/>
      <c r="GG843" s="453"/>
      <c r="GH843" s="454"/>
      <c r="GI843" s="453"/>
      <c r="GJ843" s="453"/>
      <c r="GK843" s="453"/>
      <c r="GL843" s="453"/>
      <c r="GM843" s="453"/>
      <c r="GN843" s="453"/>
      <c r="GO843" s="453"/>
      <c r="GP843" s="453"/>
      <c r="GQ843" s="453"/>
      <c r="GR843" s="453"/>
      <c r="GS843" s="561"/>
      <c r="GT843" s="475"/>
      <c r="GU843" s="472"/>
      <c r="GV843" s="453"/>
      <c r="GW843" s="453"/>
      <c r="GX843" s="869"/>
      <c r="GY843" s="870"/>
      <c r="GZ843" s="867"/>
      <c r="HA843" s="868"/>
      <c r="HB843" s="473"/>
      <c r="HC843" s="869"/>
      <c r="HD843" s="870"/>
      <c r="HE843" s="867"/>
      <c r="HF843" s="868"/>
      <c r="HG843" s="473"/>
      <c r="HH843" s="867"/>
      <c r="HI843" s="868"/>
      <c r="HJ843" s="867"/>
      <c r="HK843" s="868"/>
      <c r="HL843" s="370"/>
      <c r="HM843" s="865"/>
      <c r="HN843" s="866"/>
      <c r="HO843" s="865"/>
      <c r="HP843" s="866"/>
      <c r="HQ843" s="865"/>
      <c r="HR843" s="866"/>
      <c r="HS843" s="867"/>
      <c r="HT843" s="868"/>
      <c r="HU843" s="489"/>
      <c r="HV843" s="865"/>
      <c r="HW843" s="866"/>
    </row>
    <row r="844" spans="25:231" ht="15" customHeight="1">
      <c r="Y844" s="332"/>
      <c r="Z844" s="332"/>
      <c r="AA844" s="332"/>
      <c r="AB844" s="332"/>
      <c r="AC844" s="332"/>
      <c r="AD844" s="332"/>
      <c r="AE844" s="332"/>
      <c r="AF844" s="332"/>
      <c r="AG844" s="332"/>
      <c r="AH844" s="332"/>
      <c r="AI844" s="332"/>
      <c r="AJ844" s="332"/>
      <c r="AK844" s="332"/>
      <c r="AL844" s="332"/>
      <c r="AM844" s="332"/>
      <c r="AN844" s="332"/>
      <c r="AO844" s="332"/>
      <c r="AP844" s="332"/>
      <c r="AQ844" s="332"/>
      <c r="AR844" s="332"/>
      <c r="AS844" s="332"/>
      <c r="AT844" s="332"/>
      <c r="AU844" s="332"/>
      <c r="AV844" s="332"/>
      <c r="AW844" s="332"/>
      <c r="AX844" s="332"/>
      <c r="AY844" s="332"/>
      <c r="AZ844" s="332"/>
      <c r="BA844" s="332"/>
      <c r="BB844" s="332"/>
      <c r="BC844" s="332"/>
      <c r="BD844" s="332"/>
      <c r="BE844" s="332"/>
      <c r="BF844" s="332"/>
      <c r="BG844" s="332"/>
      <c r="BH844" s="332"/>
      <c r="BI844" s="332"/>
      <c r="BJ844" s="332"/>
      <c r="BK844" s="332"/>
      <c r="BL844" s="332"/>
      <c r="BM844" s="332"/>
      <c r="BN844" s="332"/>
      <c r="BO844" s="332"/>
      <c r="BP844" s="332"/>
      <c r="BQ844" s="332"/>
      <c r="BR844" s="332"/>
      <c r="BS844" s="332"/>
      <c r="BT844" s="332"/>
      <c r="BU844" s="332"/>
      <c r="BV844" s="332"/>
      <c r="BW844" s="332"/>
      <c r="BX844" s="332"/>
      <c r="BY844" s="332"/>
      <c r="BZ844" s="332"/>
      <c r="CA844" s="332"/>
      <c r="CB844" s="332"/>
      <c r="CC844" s="332"/>
      <c r="CD844" s="332"/>
      <c r="CE844" s="332"/>
      <c r="CF844" s="332"/>
      <c r="CG844" s="332"/>
      <c r="CH844" s="332"/>
      <c r="CI844" s="332"/>
      <c r="CJ844" s="332"/>
      <c r="CK844" s="332"/>
      <c r="CL844" s="332"/>
      <c r="CM844" s="332"/>
      <c r="CN844" s="332"/>
      <c r="CO844" s="332"/>
      <c r="CP844" s="332"/>
      <c r="CQ844" s="332"/>
      <c r="CR844" s="332"/>
      <c r="CS844" s="332"/>
      <c r="CT844" s="332"/>
      <c r="CU844" s="332"/>
      <c r="CV844" s="332"/>
      <c r="CW844" s="332"/>
      <c r="CX844" s="332"/>
      <c r="CY844" s="332"/>
      <c r="CZ844" s="332"/>
      <c r="DA844" s="332"/>
      <c r="DB844" s="332"/>
      <c r="DC844" s="332"/>
      <c r="DD844" s="332"/>
      <c r="DE844" s="332"/>
      <c r="DF844" s="332"/>
      <c r="DG844" s="332"/>
      <c r="DH844" s="332"/>
      <c r="DI844" s="332"/>
      <c r="DJ844" s="332"/>
      <c r="DK844" s="332"/>
      <c r="DL844" s="332"/>
      <c r="DM844" s="332"/>
      <c r="DN844" s="332"/>
      <c r="DO844" s="332"/>
      <c r="DP844" s="332"/>
      <c r="DQ844" s="332"/>
      <c r="DR844" s="332"/>
      <c r="DS844" s="332"/>
      <c r="DT844" s="332"/>
      <c r="DU844" s="453"/>
      <c r="DV844" s="453"/>
      <c r="DW844" s="453"/>
      <c r="DX844" s="453"/>
      <c r="DY844" s="453"/>
      <c r="DZ844" s="453"/>
      <c r="EA844" s="453"/>
      <c r="EB844" s="453"/>
      <c r="EC844" s="453"/>
      <c r="ED844" s="453"/>
      <c r="EE844" s="453"/>
      <c r="EF844" s="453"/>
      <c r="EG844" s="453"/>
      <c r="EH844" s="453"/>
      <c r="EI844" s="453"/>
      <c r="EJ844" s="453"/>
      <c r="EK844" s="453"/>
      <c r="EL844" s="453"/>
      <c r="EM844" s="483">
        <f t="shared" si="237"/>
        <v>535</v>
      </c>
      <c r="EN844" s="485"/>
      <c r="EO844" s="458"/>
      <c r="EP844" s="467"/>
      <c r="EQ844" s="457"/>
      <c r="ER844" s="808"/>
      <c r="ES844" s="881">
        <f t="shared" si="235"/>
        <v>0</v>
      </c>
      <c r="ET844" s="882"/>
      <c r="EU844" s="883"/>
      <c r="EV844" s="884">
        <f t="shared" si="236"/>
        <v>0</v>
      </c>
      <c r="EW844" s="885"/>
      <c r="EX844" s="885"/>
      <c r="EY844" s="885"/>
      <c r="EZ844" s="885"/>
      <c r="FA844" s="885"/>
      <c r="FB844" s="885"/>
      <c r="FC844" s="885"/>
      <c r="FD844" s="886"/>
      <c r="FE844" s="550"/>
      <c r="FF844" s="550"/>
      <c r="FG844" s="550"/>
      <c r="FH844" s="550"/>
      <c r="FI844" s="550"/>
      <c r="FJ844" s="550"/>
      <c r="FK844" s="550"/>
      <c r="FL844" s="555"/>
      <c r="FM844" s="554"/>
      <c r="FN844" s="554"/>
      <c r="FO844" s="554"/>
      <c r="FP844" s="554"/>
      <c r="FQ844" s="554"/>
      <c r="FR844" s="554"/>
      <c r="FS844" s="554"/>
      <c r="FT844" s="554"/>
      <c r="FU844" s="554"/>
      <c r="FV844" s="554"/>
      <c r="FW844" s="554"/>
      <c r="FX844" s="554"/>
      <c r="FY844" s="554"/>
      <c r="FZ844" s="554"/>
      <c r="GA844" s="554"/>
      <c r="GB844" s="556"/>
      <c r="GC844" s="370"/>
      <c r="GD844" s="453"/>
      <c r="GE844" s="453"/>
      <c r="GF844" s="453"/>
      <c r="GG844" s="453"/>
      <c r="GH844" s="454"/>
      <c r="GI844" s="453"/>
      <c r="GJ844" s="453"/>
      <c r="GK844" s="453"/>
      <c r="GL844" s="453"/>
      <c r="GM844" s="453"/>
      <c r="GN844" s="453"/>
      <c r="GO844" s="453"/>
      <c r="GP844" s="453"/>
      <c r="GQ844" s="453"/>
      <c r="GR844" s="453"/>
      <c r="GS844" s="561"/>
      <c r="GT844" s="475"/>
      <c r="GU844" s="472"/>
      <c r="GV844" s="453"/>
      <c r="GW844" s="453"/>
      <c r="GX844" s="869"/>
      <c r="GY844" s="870"/>
      <c r="GZ844" s="867"/>
      <c r="HA844" s="868"/>
      <c r="HB844" s="473"/>
      <c r="HC844" s="869"/>
      <c r="HD844" s="870"/>
      <c r="HE844" s="867"/>
      <c r="HF844" s="868"/>
      <c r="HG844" s="473"/>
      <c r="HH844" s="867"/>
      <c r="HI844" s="868"/>
      <c r="HJ844" s="867"/>
      <c r="HK844" s="868"/>
      <c r="HL844" s="370"/>
      <c r="HM844" s="865"/>
      <c r="HN844" s="866"/>
      <c r="HO844" s="865"/>
      <c r="HP844" s="866"/>
      <c r="HQ844" s="865"/>
      <c r="HR844" s="866"/>
      <c r="HS844" s="867"/>
      <c r="HT844" s="868"/>
      <c r="HU844" s="489"/>
      <c r="HV844" s="865"/>
      <c r="HW844" s="866"/>
    </row>
    <row r="845" spans="25:231" ht="15" customHeight="1">
      <c r="Y845" s="332"/>
      <c r="Z845" s="332"/>
      <c r="AA845" s="332"/>
      <c r="AB845" s="332"/>
      <c r="AC845" s="332"/>
      <c r="AD845" s="332"/>
      <c r="AE845" s="332"/>
      <c r="AF845" s="332"/>
      <c r="AG845" s="332"/>
      <c r="AH845" s="332"/>
      <c r="AI845" s="332"/>
      <c r="AJ845" s="332"/>
      <c r="AK845" s="332"/>
      <c r="AL845" s="332"/>
      <c r="AM845" s="332"/>
      <c r="AN845" s="332"/>
      <c r="AO845" s="332"/>
      <c r="AP845" s="332"/>
      <c r="AQ845" s="332"/>
      <c r="AR845" s="332"/>
      <c r="AS845" s="332"/>
      <c r="AT845" s="332"/>
      <c r="AU845" s="332"/>
      <c r="AV845" s="332"/>
      <c r="AW845" s="332"/>
      <c r="AX845" s="332"/>
      <c r="AY845" s="332"/>
      <c r="AZ845" s="332"/>
      <c r="BA845" s="332"/>
      <c r="BB845" s="332"/>
      <c r="BC845" s="332"/>
      <c r="BD845" s="332"/>
      <c r="BE845" s="332"/>
      <c r="BF845" s="332"/>
      <c r="BG845" s="332"/>
      <c r="BH845" s="332"/>
      <c r="BI845" s="332"/>
      <c r="BJ845" s="332"/>
      <c r="BK845" s="332"/>
      <c r="BL845" s="332"/>
      <c r="BM845" s="332"/>
      <c r="BN845" s="332"/>
      <c r="BO845" s="332"/>
      <c r="BP845" s="332"/>
      <c r="BQ845" s="332"/>
      <c r="BR845" s="332"/>
      <c r="BS845" s="332"/>
      <c r="BT845" s="332"/>
      <c r="BU845" s="332"/>
      <c r="BV845" s="332"/>
      <c r="BW845" s="332"/>
      <c r="BX845" s="332"/>
      <c r="BY845" s="332"/>
      <c r="BZ845" s="332"/>
      <c r="CA845" s="332"/>
      <c r="CB845" s="332"/>
      <c r="CC845" s="332"/>
      <c r="CD845" s="332"/>
      <c r="CE845" s="332"/>
      <c r="CF845" s="332"/>
      <c r="CG845" s="332"/>
      <c r="CH845" s="332"/>
      <c r="CI845" s="332"/>
      <c r="CJ845" s="332"/>
      <c r="CK845" s="332"/>
      <c r="CL845" s="332"/>
      <c r="CM845" s="332"/>
      <c r="CN845" s="332"/>
      <c r="CO845" s="332"/>
      <c r="CP845" s="332"/>
      <c r="CQ845" s="332"/>
      <c r="CR845" s="332"/>
      <c r="CS845" s="332"/>
      <c r="CT845" s="332"/>
      <c r="CU845" s="332"/>
      <c r="CV845" s="332"/>
      <c r="CW845" s="332"/>
      <c r="CX845" s="332"/>
      <c r="CY845" s="332"/>
      <c r="CZ845" s="332"/>
      <c r="DA845" s="332"/>
      <c r="DB845" s="332"/>
      <c r="DC845" s="332"/>
      <c r="DD845" s="332"/>
      <c r="DE845" s="332"/>
      <c r="DF845" s="332"/>
      <c r="DG845" s="332"/>
      <c r="DH845" s="332"/>
      <c r="DI845" s="332"/>
      <c r="DJ845" s="332"/>
      <c r="DK845" s="332"/>
      <c r="DL845" s="332"/>
      <c r="DM845" s="332"/>
      <c r="DN845" s="332"/>
      <c r="DO845" s="332"/>
      <c r="DP845" s="332"/>
      <c r="DQ845" s="332"/>
      <c r="DR845" s="332"/>
      <c r="DS845" s="332"/>
      <c r="DT845" s="332"/>
      <c r="DU845" s="453"/>
      <c r="DV845" s="453"/>
      <c r="DW845" s="453"/>
      <c r="DX845" s="453"/>
      <c r="DY845" s="453"/>
      <c r="DZ845" s="453"/>
      <c r="EA845" s="453"/>
      <c r="EB845" s="453"/>
      <c r="EC845" s="453"/>
      <c r="ED845" s="453"/>
      <c r="EE845" s="453"/>
      <c r="EF845" s="453"/>
      <c r="EG845" s="453"/>
      <c r="EH845" s="453"/>
      <c r="EI845" s="453"/>
      <c r="EJ845" s="453"/>
      <c r="EK845" s="453"/>
      <c r="EL845" s="453"/>
      <c r="EM845" s="483">
        <f t="shared" si="237"/>
        <v>536</v>
      </c>
      <c r="EN845" s="485"/>
      <c r="EO845" s="458"/>
      <c r="EP845" s="467"/>
      <c r="EQ845" s="457"/>
      <c r="ER845" s="808"/>
      <c r="ES845" s="881">
        <f t="shared" si="235"/>
        <v>0</v>
      </c>
      <c r="ET845" s="882"/>
      <c r="EU845" s="883"/>
      <c r="EV845" s="884">
        <f t="shared" si="236"/>
        <v>0</v>
      </c>
      <c r="EW845" s="885"/>
      <c r="EX845" s="885"/>
      <c r="EY845" s="885"/>
      <c r="EZ845" s="885"/>
      <c r="FA845" s="885"/>
      <c r="FB845" s="885"/>
      <c r="FC845" s="885"/>
      <c r="FD845" s="886"/>
      <c r="FE845" s="550"/>
      <c r="FF845" s="550"/>
      <c r="FG845" s="550"/>
      <c r="FH845" s="550"/>
      <c r="FI845" s="550"/>
      <c r="FJ845" s="550"/>
      <c r="FK845" s="550"/>
      <c r="FL845" s="555"/>
      <c r="FM845" s="554"/>
      <c r="FN845" s="554"/>
      <c r="FO845" s="554"/>
      <c r="FP845" s="554"/>
      <c r="FQ845" s="554"/>
      <c r="FR845" s="554"/>
      <c r="FS845" s="554"/>
      <c r="FT845" s="554"/>
      <c r="FU845" s="554"/>
      <c r="FV845" s="554"/>
      <c r="FW845" s="554"/>
      <c r="FX845" s="554"/>
      <c r="FY845" s="554"/>
      <c r="FZ845" s="554"/>
      <c r="GA845" s="554"/>
      <c r="GB845" s="556"/>
      <c r="GC845" s="370"/>
      <c r="GD845" s="453"/>
      <c r="GE845" s="453"/>
      <c r="GF845" s="453"/>
      <c r="GG845" s="453"/>
      <c r="GH845" s="454"/>
      <c r="GI845" s="453"/>
      <c r="GJ845" s="453"/>
      <c r="GK845" s="453"/>
      <c r="GL845" s="453"/>
      <c r="GM845" s="453"/>
      <c r="GN845" s="453"/>
      <c r="GO845" s="453"/>
      <c r="GP845" s="453"/>
      <c r="GQ845" s="453"/>
      <c r="GR845" s="453"/>
      <c r="GS845" s="561"/>
      <c r="GT845" s="475"/>
      <c r="GU845" s="472"/>
      <c r="GV845" s="453"/>
      <c r="GW845" s="453"/>
      <c r="GX845" s="869"/>
      <c r="GY845" s="870"/>
      <c r="GZ845" s="867"/>
      <c r="HA845" s="868"/>
      <c r="HB845" s="473"/>
      <c r="HC845" s="869"/>
      <c r="HD845" s="870"/>
      <c r="HE845" s="867"/>
      <c r="HF845" s="868"/>
      <c r="HG845" s="473"/>
      <c r="HH845" s="867"/>
      <c r="HI845" s="868"/>
      <c r="HJ845" s="867"/>
      <c r="HK845" s="868"/>
      <c r="HL845" s="370"/>
      <c r="HM845" s="865"/>
      <c r="HN845" s="866"/>
      <c r="HO845" s="865"/>
      <c r="HP845" s="866"/>
      <c r="HQ845" s="865"/>
      <c r="HR845" s="866"/>
      <c r="HS845" s="867"/>
      <c r="HT845" s="868"/>
      <c r="HU845" s="489"/>
      <c r="HV845" s="865"/>
      <c r="HW845" s="866"/>
    </row>
    <row r="846" spans="25:231" ht="15" customHeight="1">
      <c r="Y846" s="332"/>
      <c r="Z846" s="332"/>
      <c r="AA846" s="332"/>
      <c r="AB846" s="332"/>
      <c r="AC846" s="332"/>
      <c r="AD846" s="332"/>
      <c r="AE846" s="332"/>
      <c r="AF846" s="332"/>
      <c r="AG846" s="332"/>
      <c r="AH846" s="332"/>
      <c r="AI846" s="332"/>
      <c r="AJ846" s="332"/>
      <c r="AK846" s="332"/>
      <c r="AL846" s="332"/>
      <c r="AM846" s="332"/>
      <c r="AN846" s="332"/>
      <c r="AO846" s="332"/>
      <c r="AP846" s="332"/>
      <c r="AQ846" s="332"/>
      <c r="AR846" s="332"/>
      <c r="AS846" s="332"/>
      <c r="AT846" s="332"/>
      <c r="AU846" s="332"/>
      <c r="AV846" s="332"/>
      <c r="AW846" s="332"/>
      <c r="AX846" s="332"/>
      <c r="AY846" s="332"/>
      <c r="AZ846" s="332"/>
      <c r="BA846" s="332"/>
      <c r="BB846" s="332"/>
      <c r="BC846" s="332"/>
      <c r="BD846" s="332"/>
      <c r="BE846" s="332"/>
      <c r="BF846" s="332"/>
      <c r="BG846" s="332"/>
      <c r="BH846" s="332"/>
      <c r="BI846" s="332"/>
      <c r="BJ846" s="332"/>
      <c r="BK846" s="332"/>
      <c r="BL846" s="332"/>
      <c r="BM846" s="332"/>
      <c r="BN846" s="332"/>
      <c r="BO846" s="332"/>
      <c r="BP846" s="332"/>
      <c r="BQ846" s="332"/>
      <c r="BR846" s="332"/>
      <c r="BS846" s="332"/>
      <c r="BT846" s="332"/>
      <c r="BU846" s="332"/>
      <c r="BV846" s="332"/>
      <c r="BW846" s="332"/>
      <c r="BX846" s="332"/>
      <c r="BY846" s="332"/>
      <c r="BZ846" s="332"/>
      <c r="CA846" s="332"/>
      <c r="CB846" s="332"/>
      <c r="CC846" s="332"/>
      <c r="CD846" s="332"/>
      <c r="CE846" s="332"/>
      <c r="CF846" s="332"/>
      <c r="CG846" s="332"/>
      <c r="CH846" s="332"/>
      <c r="CI846" s="332"/>
      <c r="CJ846" s="332"/>
      <c r="CK846" s="332"/>
      <c r="CL846" s="332"/>
      <c r="CM846" s="332"/>
      <c r="CN846" s="332"/>
      <c r="CO846" s="332"/>
      <c r="CP846" s="332"/>
      <c r="CQ846" s="332"/>
      <c r="CR846" s="332"/>
      <c r="CS846" s="332"/>
      <c r="CT846" s="332"/>
      <c r="CU846" s="332"/>
      <c r="CV846" s="332"/>
      <c r="CW846" s="332"/>
      <c r="CX846" s="332"/>
      <c r="CY846" s="332"/>
      <c r="CZ846" s="332"/>
      <c r="DA846" s="332"/>
      <c r="DB846" s="332"/>
      <c r="DC846" s="332"/>
      <c r="DD846" s="332"/>
      <c r="DE846" s="332"/>
      <c r="DF846" s="332"/>
      <c r="DG846" s="332"/>
      <c r="DH846" s="332"/>
      <c r="DI846" s="332"/>
      <c r="DJ846" s="332"/>
      <c r="DK846" s="332"/>
      <c r="DL846" s="332"/>
      <c r="DM846" s="332"/>
      <c r="DN846" s="332"/>
      <c r="DO846" s="332"/>
      <c r="DP846" s="332"/>
      <c r="DQ846" s="332"/>
      <c r="DR846" s="332"/>
      <c r="DS846" s="332"/>
      <c r="DT846" s="332"/>
      <c r="DU846" s="453"/>
      <c r="DV846" s="453"/>
      <c r="DW846" s="453"/>
      <c r="DX846" s="453"/>
      <c r="DY846" s="453"/>
      <c r="DZ846" s="453"/>
      <c r="EA846" s="453"/>
      <c r="EB846" s="453"/>
      <c r="EC846" s="453"/>
      <c r="ED846" s="453"/>
      <c r="EE846" s="453"/>
      <c r="EF846" s="453"/>
      <c r="EG846" s="453"/>
      <c r="EH846" s="453"/>
      <c r="EI846" s="453"/>
      <c r="EJ846" s="453"/>
      <c r="EK846" s="453"/>
      <c r="EL846" s="453"/>
      <c r="EM846" s="483">
        <f t="shared" si="237"/>
        <v>537</v>
      </c>
      <c r="EN846" s="485"/>
      <c r="EO846" s="458"/>
      <c r="EP846" s="467"/>
      <c r="EQ846" s="457"/>
      <c r="ER846" s="808"/>
      <c r="ES846" s="881">
        <f t="shared" si="235"/>
        <v>0</v>
      </c>
      <c r="ET846" s="882"/>
      <c r="EU846" s="883"/>
      <c r="EV846" s="884">
        <f t="shared" si="236"/>
        <v>0</v>
      </c>
      <c r="EW846" s="885"/>
      <c r="EX846" s="885"/>
      <c r="EY846" s="885"/>
      <c r="EZ846" s="885"/>
      <c r="FA846" s="885"/>
      <c r="FB846" s="885"/>
      <c r="FC846" s="885"/>
      <c r="FD846" s="886"/>
      <c r="FE846" s="550"/>
      <c r="FF846" s="550"/>
      <c r="FG846" s="550"/>
      <c r="FH846" s="550"/>
      <c r="FI846" s="550"/>
      <c r="FJ846" s="550"/>
      <c r="FK846" s="550"/>
      <c r="FL846" s="555"/>
      <c r="FM846" s="554"/>
      <c r="FN846" s="554"/>
      <c r="FO846" s="554"/>
      <c r="FP846" s="554"/>
      <c r="FQ846" s="554"/>
      <c r="FR846" s="554"/>
      <c r="FS846" s="554"/>
      <c r="FT846" s="554"/>
      <c r="FU846" s="554"/>
      <c r="FV846" s="554"/>
      <c r="FW846" s="554"/>
      <c r="FX846" s="554"/>
      <c r="FY846" s="554"/>
      <c r="FZ846" s="554"/>
      <c r="GA846" s="554"/>
      <c r="GB846" s="556"/>
      <c r="GC846" s="370"/>
      <c r="GD846" s="453"/>
      <c r="GE846" s="453"/>
      <c r="GF846" s="453"/>
      <c r="GG846" s="453"/>
      <c r="GH846" s="454"/>
      <c r="GI846" s="453"/>
      <c r="GJ846" s="453"/>
      <c r="GK846" s="453"/>
      <c r="GL846" s="453"/>
      <c r="GM846" s="453"/>
      <c r="GN846" s="453"/>
      <c r="GO846" s="453"/>
      <c r="GP846" s="453"/>
      <c r="GQ846" s="453"/>
      <c r="GR846" s="453"/>
      <c r="GS846" s="561"/>
      <c r="GT846" s="475"/>
      <c r="GU846" s="472"/>
      <c r="GV846" s="453"/>
      <c r="GW846" s="453"/>
      <c r="GX846" s="869"/>
      <c r="GY846" s="870"/>
      <c r="GZ846" s="867"/>
      <c r="HA846" s="868"/>
      <c r="HB846" s="473"/>
      <c r="HC846" s="869"/>
      <c r="HD846" s="870"/>
      <c r="HE846" s="867"/>
      <c r="HF846" s="868"/>
      <c r="HG846" s="473"/>
      <c r="HH846" s="867"/>
      <c r="HI846" s="868"/>
      <c r="HJ846" s="867"/>
      <c r="HK846" s="868"/>
      <c r="HL846" s="370"/>
      <c r="HM846" s="865"/>
      <c r="HN846" s="866"/>
      <c r="HO846" s="865"/>
      <c r="HP846" s="866"/>
      <c r="HQ846" s="865"/>
      <c r="HR846" s="866"/>
      <c r="HS846" s="867"/>
      <c r="HT846" s="868"/>
      <c r="HU846" s="489"/>
      <c r="HV846" s="865"/>
      <c r="HW846" s="866"/>
    </row>
    <row r="847" spans="25:231" ht="15" customHeight="1">
      <c r="Y847" s="332"/>
      <c r="Z847" s="332"/>
      <c r="AA847" s="332"/>
      <c r="AB847" s="332"/>
      <c r="AC847" s="332"/>
      <c r="AD847" s="332"/>
      <c r="AE847" s="332"/>
      <c r="AF847" s="332"/>
      <c r="AG847" s="332"/>
      <c r="AH847" s="332"/>
      <c r="AI847" s="332"/>
      <c r="AJ847" s="332"/>
      <c r="AK847" s="332"/>
      <c r="AL847" s="332"/>
      <c r="AM847" s="332"/>
      <c r="AN847" s="332"/>
      <c r="AO847" s="332"/>
      <c r="AP847" s="332"/>
      <c r="AQ847" s="332"/>
      <c r="AR847" s="332"/>
      <c r="AS847" s="332"/>
      <c r="AT847" s="332"/>
      <c r="AU847" s="332"/>
      <c r="AV847" s="332"/>
      <c r="AW847" s="332"/>
      <c r="AX847" s="332"/>
      <c r="AY847" s="332"/>
      <c r="AZ847" s="332"/>
      <c r="BA847" s="332"/>
      <c r="BB847" s="332"/>
      <c r="BC847" s="332"/>
      <c r="BD847" s="332"/>
      <c r="BE847" s="332"/>
      <c r="BF847" s="332"/>
      <c r="BG847" s="332"/>
      <c r="BH847" s="332"/>
      <c r="BI847" s="332"/>
      <c r="BJ847" s="332"/>
      <c r="BK847" s="332"/>
      <c r="BL847" s="332"/>
      <c r="BM847" s="332"/>
      <c r="BN847" s="332"/>
      <c r="BO847" s="332"/>
      <c r="BP847" s="332"/>
      <c r="BQ847" s="332"/>
      <c r="BR847" s="332"/>
      <c r="BS847" s="332"/>
      <c r="BT847" s="332"/>
      <c r="BU847" s="332"/>
      <c r="BV847" s="332"/>
      <c r="BW847" s="332"/>
      <c r="BX847" s="332"/>
      <c r="BY847" s="332"/>
      <c r="BZ847" s="332"/>
      <c r="CA847" s="332"/>
      <c r="CB847" s="332"/>
      <c r="CC847" s="332"/>
      <c r="CD847" s="332"/>
      <c r="CE847" s="332"/>
      <c r="CF847" s="332"/>
      <c r="CG847" s="332"/>
      <c r="CH847" s="332"/>
      <c r="CI847" s="332"/>
      <c r="CJ847" s="332"/>
      <c r="CK847" s="332"/>
      <c r="CL847" s="332"/>
      <c r="CM847" s="332"/>
      <c r="CN847" s="332"/>
      <c r="CO847" s="332"/>
      <c r="CP847" s="332"/>
      <c r="CQ847" s="332"/>
      <c r="CR847" s="332"/>
      <c r="CS847" s="332"/>
      <c r="CT847" s="332"/>
      <c r="CU847" s="332"/>
      <c r="CV847" s="332"/>
      <c r="CW847" s="332"/>
      <c r="CX847" s="332"/>
      <c r="CY847" s="332"/>
      <c r="CZ847" s="332"/>
      <c r="DA847" s="332"/>
      <c r="DB847" s="332"/>
      <c r="DC847" s="332"/>
      <c r="DD847" s="332"/>
      <c r="DE847" s="332"/>
      <c r="DF847" s="332"/>
      <c r="DG847" s="332"/>
      <c r="DH847" s="332"/>
      <c r="DI847" s="332"/>
      <c r="DJ847" s="332"/>
      <c r="DK847" s="332"/>
      <c r="DL847" s="332"/>
      <c r="DM847" s="332"/>
      <c r="DN847" s="332"/>
      <c r="DO847" s="332"/>
      <c r="DP847" s="332"/>
      <c r="DQ847" s="332"/>
      <c r="DR847" s="332"/>
      <c r="DS847" s="332"/>
      <c r="DT847" s="332"/>
      <c r="DU847" s="453"/>
      <c r="DV847" s="453"/>
      <c r="DW847" s="453"/>
      <c r="DX847" s="453"/>
      <c r="DY847" s="453"/>
      <c r="DZ847" s="453"/>
      <c r="EA847" s="453"/>
      <c r="EB847" s="453"/>
      <c r="EC847" s="453"/>
      <c r="ED847" s="453"/>
      <c r="EE847" s="453"/>
      <c r="EF847" s="453"/>
      <c r="EG847" s="453"/>
      <c r="EH847" s="453"/>
      <c r="EI847" s="453"/>
      <c r="EJ847" s="453"/>
      <c r="EK847" s="453"/>
      <c r="EL847" s="453"/>
      <c r="EM847" s="483">
        <f t="shared" si="237"/>
        <v>538</v>
      </c>
      <c r="EN847" s="485"/>
      <c r="EO847" s="458"/>
      <c r="EP847" s="467"/>
      <c r="EQ847" s="457"/>
      <c r="ER847" s="808"/>
      <c r="ES847" s="881">
        <f t="shared" si="235"/>
        <v>0</v>
      </c>
      <c r="ET847" s="882"/>
      <c r="EU847" s="883"/>
      <c r="EV847" s="884">
        <f t="shared" si="236"/>
        <v>0</v>
      </c>
      <c r="EW847" s="885"/>
      <c r="EX847" s="885"/>
      <c r="EY847" s="885"/>
      <c r="EZ847" s="885"/>
      <c r="FA847" s="885"/>
      <c r="FB847" s="885"/>
      <c r="FC847" s="885"/>
      <c r="FD847" s="886"/>
      <c r="FE847" s="550"/>
      <c r="FF847" s="550"/>
      <c r="FG847" s="550"/>
      <c r="FH847" s="550"/>
      <c r="FI847" s="550"/>
      <c r="FJ847" s="550"/>
      <c r="FK847" s="550"/>
      <c r="FL847" s="555"/>
      <c r="FM847" s="554"/>
      <c r="FN847" s="554"/>
      <c r="FO847" s="554"/>
      <c r="FP847" s="554"/>
      <c r="FQ847" s="554"/>
      <c r="FR847" s="554"/>
      <c r="FS847" s="554"/>
      <c r="FT847" s="554"/>
      <c r="FU847" s="554"/>
      <c r="FV847" s="554"/>
      <c r="FW847" s="554"/>
      <c r="FX847" s="554"/>
      <c r="FY847" s="554"/>
      <c r="FZ847" s="554"/>
      <c r="GA847" s="554"/>
      <c r="GB847" s="556"/>
      <c r="GC847" s="370"/>
      <c r="GD847" s="453"/>
      <c r="GE847" s="453"/>
      <c r="GF847" s="453"/>
      <c r="GG847" s="453"/>
      <c r="GH847" s="454"/>
      <c r="GI847" s="453"/>
      <c r="GJ847" s="453"/>
      <c r="GK847" s="453"/>
      <c r="GL847" s="453"/>
      <c r="GM847" s="453"/>
      <c r="GN847" s="453"/>
      <c r="GO847" s="453"/>
      <c r="GP847" s="453"/>
      <c r="GQ847" s="453"/>
      <c r="GR847" s="453"/>
      <c r="GS847" s="561"/>
      <c r="GT847" s="475"/>
      <c r="GU847" s="472"/>
      <c r="GV847" s="453"/>
      <c r="GW847" s="453"/>
      <c r="GX847" s="869"/>
      <c r="GY847" s="870"/>
      <c r="GZ847" s="867"/>
      <c r="HA847" s="868"/>
      <c r="HB847" s="473"/>
      <c r="HC847" s="869"/>
      <c r="HD847" s="870"/>
      <c r="HE847" s="867"/>
      <c r="HF847" s="868"/>
      <c r="HG847" s="473"/>
      <c r="HH847" s="867"/>
      <c r="HI847" s="868"/>
      <c r="HJ847" s="867"/>
      <c r="HK847" s="868"/>
      <c r="HL847" s="370"/>
      <c r="HM847" s="865"/>
      <c r="HN847" s="866"/>
      <c r="HO847" s="865"/>
      <c r="HP847" s="866"/>
      <c r="HQ847" s="865"/>
      <c r="HR847" s="866"/>
      <c r="HS847" s="867"/>
      <c r="HT847" s="868"/>
      <c r="HU847" s="489"/>
      <c r="HV847" s="865"/>
      <c r="HW847" s="866"/>
    </row>
    <row r="848" spans="25:231" ht="15" customHeight="1">
      <c r="Y848" s="332"/>
      <c r="Z848" s="332"/>
      <c r="AA848" s="332"/>
      <c r="AB848" s="332"/>
      <c r="AC848" s="332"/>
      <c r="AD848" s="332"/>
      <c r="AE848" s="332"/>
      <c r="AF848" s="332"/>
      <c r="AG848" s="332"/>
      <c r="AH848" s="332"/>
      <c r="AI848" s="332"/>
      <c r="AJ848" s="332"/>
      <c r="AK848" s="332"/>
      <c r="AL848" s="332"/>
      <c r="AM848" s="332"/>
      <c r="AN848" s="332"/>
      <c r="AO848" s="332"/>
      <c r="AP848" s="332"/>
      <c r="AQ848" s="332"/>
      <c r="AR848" s="332"/>
      <c r="AS848" s="332"/>
      <c r="AT848" s="332"/>
      <c r="AU848" s="332"/>
      <c r="AV848" s="332"/>
      <c r="AW848" s="332"/>
      <c r="AX848" s="332"/>
      <c r="AY848" s="332"/>
      <c r="AZ848" s="332"/>
      <c r="BA848" s="332"/>
      <c r="BB848" s="332"/>
      <c r="BC848" s="332"/>
      <c r="BD848" s="332"/>
      <c r="BE848" s="332"/>
      <c r="BF848" s="332"/>
      <c r="BG848" s="332"/>
      <c r="BH848" s="332"/>
      <c r="BI848" s="332"/>
      <c r="BJ848" s="332"/>
      <c r="BK848" s="332"/>
      <c r="BL848" s="332"/>
      <c r="BM848" s="332"/>
      <c r="BN848" s="332"/>
      <c r="BO848" s="332"/>
      <c r="BP848" s="332"/>
      <c r="BQ848" s="332"/>
      <c r="BR848" s="332"/>
      <c r="BS848" s="332"/>
      <c r="BT848" s="332"/>
      <c r="BU848" s="332"/>
      <c r="BV848" s="332"/>
      <c r="BW848" s="332"/>
      <c r="BX848" s="332"/>
      <c r="BY848" s="332"/>
      <c r="BZ848" s="332"/>
      <c r="CA848" s="332"/>
      <c r="CB848" s="332"/>
      <c r="CC848" s="332"/>
      <c r="CD848" s="332"/>
      <c r="CE848" s="332"/>
      <c r="CF848" s="332"/>
      <c r="CG848" s="332"/>
      <c r="CH848" s="332"/>
      <c r="CI848" s="332"/>
      <c r="CJ848" s="332"/>
      <c r="CK848" s="332"/>
      <c r="CL848" s="332"/>
      <c r="CM848" s="332"/>
      <c r="CN848" s="332"/>
      <c r="CO848" s="332"/>
      <c r="CP848" s="332"/>
      <c r="CQ848" s="332"/>
      <c r="CR848" s="332"/>
      <c r="CS848" s="332"/>
      <c r="CT848" s="332"/>
      <c r="CU848" s="332"/>
      <c r="CV848" s="332"/>
      <c r="CW848" s="332"/>
      <c r="CX848" s="332"/>
      <c r="CY848" s="332"/>
      <c r="CZ848" s="332"/>
      <c r="DA848" s="332"/>
      <c r="DB848" s="332"/>
      <c r="DC848" s="332"/>
      <c r="DD848" s="332"/>
      <c r="DE848" s="332"/>
      <c r="DF848" s="332"/>
      <c r="DG848" s="332"/>
      <c r="DH848" s="332"/>
      <c r="DI848" s="332"/>
      <c r="DJ848" s="332"/>
      <c r="DK848" s="332"/>
      <c r="DL848" s="332"/>
      <c r="DM848" s="332"/>
      <c r="DN848" s="332"/>
      <c r="DO848" s="332"/>
      <c r="DP848" s="332"/>
      <c r="DQ848" s="332"/>
      <c r="DR848" s="332"/>
      <c r="DS848" s="332"/>
      <c r="DT848" s="332"/>
      <c r="DU848" s="453"/>
      <c r="DV848" s="453"/>
      <c r="DW848" s="453"/>
      <c r="DX848" s="453"/>
      <c r="DY848" s="453"/>
      <c r="DZ848" s="453"/>
      <c r="EA848" s="453"/>
      <c r="EB848" s="453"/>
      <c r="EC848" s="453"/>
      <c r="ED848" s="453"/>
      <c r="EE848" s="453"/>
      <c r="EF848" s="453"/>
      <c r="EG848" s="453"/>
      <c r="EH848" s="453"/>
      <c r="EI848" s="453"/>
      <c r="EJ848" s="453"/>
      <c r="EK848" s="453"/>
      <c r="EL848" s="453"/>
      <c r="EM848" s="483">
        <f t="shared" si="237"/>
        <v>539</v>
      </c>
      <c r="EN848" s="485"/>
      <c r="EO848" s="458"/>
      <c r="EP848" s="467"/>
      <c r="EQ848" s="457"/>
      <c r="ER848" s="808"/>
      <c r="ES848" s="881">
        <f t="shared" si="235"/>
        <v>0</v>
      </c>
      <c r="ET848" s="882"/>
      <c r="EU848" s="883"/>
      <c r="EV848" s="884">
        <f t="shared" si="236"/>
        <v>0</v>
      </c>
      <c r="EW848" s="885"/>
      <c r="EX848" s="885"/>
      <c r="EY848" s="885"/>
      <c r="EZ848" s="885"/>
      <c r="FA848" s="885"/>
      <c r="FB848" s="885"/>
      <c r="FC848" s="885"/>
      <c r="FD848" s="886"/>
      <c r="FE848" s="550"/>
      <c r="FF848" s="550"/>
      <c r="FG848" s="550"/>
      <c r="FH848" s="550"/>
      <c r="FI848" s="550"/>
      <c r="FJ848" s="550"/>
      <c r="FK848" s="550"/>
      <c r="FL848" s="555"/>
      <c r="FM848" s="554"/>
      <c r="FN848" s="554"/>
      <c r="FO848" s="554"/>
      <c r="FP848" s="554"/>
      <c r="FQ848" s="554"/>
      <c r="FR848" s="554"/>
      <c r="FS848" s="554"/>
      <c r="FT848" s="554"/>
      <c r="FU848" s="554"/>
      <c r="FV848" s="554"/>
      <c r="FW848" s="554"/>
      <c r="FX848" s="554"/>
      <c r="FY848" s="554"/>
      <c r="FZ848" s="554"/>
      <c r="GA848" s="554"/>
      <c r="GB848" s="556"/>
      <c r="GC848" s="370"/>
      <c r="GD848" s="453"/>
      <c r="GE848" s="453"/>
      <c r="GF848" s="453"/>
      <c r="GG848" s="453"/>
      <c r="GH848" s="454"/>
      <c r="GI848" s="453"/>
      <c r="GJ848" s="453"/>
      <c r="GK848" s="453"/>
      <c r="GL848" s="453"/>
      <c r="GM848" s="453"/>
      <c r="GN848" s="453"/>
      <c r="GO848" s="453"/>
      <c r="GP848" s="453"/>
      <c r="GQ848" s="453"/>
      <c r="GR848" s="453"/>
      <c r="GS848" s="561"/>
      <c r="GT848" s="475"/>
      <c r="GU848" s="472"/>
      <c r="GV848" s="453"/>
      <c r="GW848" s="453"/>
      <c r="GX848" s="869"/>
      <c r="GY848" s="870"/>
      <c r="GZ848" s="867"/>
      <c r="HA848" s="868"/>
      <c r="HB848" s="473"/>
      <c r="HC848" s="869"/>
      <c r="HD848" s="870"/>
      <c r="HE848" s="867"/>
      <c r="HF848" s="868"/>
      <c r="HG848" s="473"/>
      <c r="HH848" s="867"/>
      <c r="HI848" s="868"/>
      <c r="HJ848" s="867"/>
      <c r="HK848" s="868"/>
      <c r="HL848" s="370"/>
      <c r="HM848" s="865"/>
      <c r="HN848" s="866"/>
      <c r="HO848" s="865"/>
      <c r="HP848" s="866"/>
      <c r="HQ848" s="865"/>
      <c r="HR848" s="866"/>
      <c r="HS848" s="867"/>
      <c r="HT848" s="868"/>
      <c r="HU848" s="489"/>
      <c r="HV848" s="865"/>
      <c r="HW848" s="866"/>
    </row>
    <row r="849" spans="25:231" ht="15" customHeight="1">
      <c r="Y849" s="332"/>
      <c r="Z849" s="332"/>
      <c r="AA849" s="332"/>
      <c r="AB849" s="332"/>
      <c r="AC849" s="332"/>
      <c r="AD849" s="332"/>
      <c r="AE849" s="332"/>
      <c r="AF849" s="332"/>
      <c r="AG849" s="332"/>
      <c r="AH849" s="332"/>
      <c r="AI849" s="332"/>
      <c r="AJ849" s="332"/>
      <c r="AK849" s="332"/>
      <c r="AL849" s="332"/>
      <c r="AM849" s="332"/>
      <c r="AN849" s="332"/>
      <c r="AO849" s="332"/>
      <c r="AP849" s="332"/>
      <c r="AQ849" s="332"/>
      <c r="AR849" s="332"/>
      <c r="AS849" s="332"/>
      <c r="AT849" s="332"/>
      <c r="AU849" s="332"/>
      <c r="AV849" s="332"/>
      <c r="AW849" s="332"/>
      <c r="AX849" s="332"/>
      <c r="AY849" s="332"/>
      <c r="AZ849" s="332"/>
      <c r="BA849" s="332"/>
      <c r="BB849" s="332"/>
      <c r="BC849" s="332"/>
      <c r="BD849" s="332"/>
      <c r="BE849" s="332"/>
      <c r="BF849" s="332"/>
      <c r="BG849" s="332"/>
      <c r="BH849" s="332"/>
      <c r="BI849" s="332"/>
      <c r="BJ849" s="332"/>
      <c r="BK849" s="332"/>
      <c r="BL849" s="332"/>
      <c r="BM849" s="332"/>
      <c r="BN849" s="332"/>
      <c r="BO849" s="332"/>
      <c r="BP849" s="332"/>
      <c r="BQ849" s="332"/>
      <c r="BR849" s="332"/>
      <c r="BS849" s="332"/>
      <c r="BT849" s="332"/>
      <c r="BU849" s="332"/>
      <c r="BV849" s="332"/>
      <c r="BW849" s="332"/>
      <c r="BX849" s="332"/>
      <c r="BY849" s="332"/>
      <c r="BZ849" s="332"/>
      <c r="CA849" s="332"/>
      <c r="CB849" s="332"/>
      <c r="CC849" s="332"/>
      <c r="CD849" s="332"/>
      <c r="CE849" s="332"/>
      <c r="CF849" s="332"/>
      <c r="CG849" s="332"/>
      <c r="CH849" s="332"/>
      <c r="CI849" s="332"/>
      <c r="CJ849" s="332"/>
      <c r="CK849" s="332"/>
      <c r="CL849" s="332"/>
      <c r="CM849" s="332"/>
      <c r="CN849" s="332"/>
      <c r="CO849" s="332"/>
      <c r="CP849" s="332"/>
      <c r="CQ849" s="332"/>
      <c r="CR849" s="332"/>
      <c r="CS849" s="332"/>
      <c r="CT849" s="332"/>
      <c r="CU849" s="332"/>
      <c r="CV849" s="332"/>
      <c r="CW849" s="332"/>
      <c r="CX849" s="332"/>
      <c r="CY849" s="332"/>
      <c r="CZ849" s="332"/>
      <c r="DA849" s="332"/>
      <c r="DB849" s="332"/>
      <c r="DC849" s="332"/>
      <c r="DD849" s="332"/>
      <c r="DE849" s="332"/>
      <c r="DF849" s="332"/>
      <c r="DG849" s="332"/>
      <c r="DH849" s="332"/>
      <c r="DI849" s="332"/>
      <c r="DJ849" s="332"/>
      <c r="DK849" s="332"/>
      <c r="DL849" s="332"/>
      <c r="DM849" s="332"/>
      <c r="DN849" s="332"/>
      <c r="DO849" s="332"/>
      <c r="DP849" s="332"/>
      <c r="DQ849" s="332"/>
      <c r="DR849" s="332"/>
      <c r="DS849" s="332"/>
      <c r="DT849" s="332"/>
      <c r="DU849" s="453"/>
      <c r="DV849" s="453"/>
      <c r="DW849" s="453"/>
      <c r="DX849" s="453"/>
      <c r="DY849" s="453"/>
      <c r="DZ849" s="453"/>
      <c r="EA849" s="453"/>
      <c r="EB849" s="453"/>
      <c r="EC849" s="453"/>
      <c r="ED849" s="453"/>
      <c r="EE849" s="453"/>
      <c r="EF849" s="453"/>
      <c r="EG849" s="453"/>
      <c r="EH849" s="453"/>
      <c r="EI849" s="453"/>
      <c r="EJ849" s="453"/>
      <c r="EK849" s="453"/>
      <c r="EL849" s="453"/>
      <c r="EM849" s="483">
        <f t="shared" si="237"/>
        <v>540</v>
      </c>
      <c r="EN849" s="485"/>
      <c r="EO849" s="458"/>
      <c r="EP849" s="467"/>
      <c r="EQ849" s="457"/>
      <c r="ER849" s="808"/>
      <c r="ES849" s="881">
        <f t="shared" si="235"/>
        <v>0</v>
      </c>
      <c r="ET849" s="882"/>
      <c r="EU849" s="883"/>
      <c r="EV849" s="884">
        <f t="shared" si="236"/>
        <v>0</v>
      </c>
      <c r="EW849" s="885"/>
      <c r="EX849" s="885"/>
      <c r="EY849" s="885"/>
      <c r="EZ849" s="885"/>
      <c r="FA849" s="885"/>
      <c r="FB849" s="885"/>
      <c r="FC849" s="885"/>
      <c r="FD849" s="886"/>
      <c r="FE849" s="550"/>
      <c r="FF849" s="550"/>
      <c r="FG849" s="550"/>
      <c r="FH849" s="550"/>
      <c r="FI849" s="550"/>
      <c r="FJ849" s="550"/>
      <c r="FK849" s="550"/>
      <c r="FL849" s="555"/>
      <c r="FM849" s="554"/>
      <c r="FN849" s="554"/>
      <c r="FO849" s="554"/>
      <c r="FP849" s="554"/>
      <c r="FQ849" s="554"/>
      <c r="FR849" s="554"/>
      <c r="FS849" s="554"/>
      <c r="FT849" s="554"/>
      <c r="FU849" s="554"/>
      <c r="FV849" s="554"/>
      <c r="FW849" s="554"/>
      <c r="FX849" s="554"/>
      <c r="FY849" s="554"/>
      <c r="FZ849" s="554"/>
      <c r="GA849" s="554"/>
      <c r="GB849" s="556"/>
      <c r="GC849" s="370"/>
      <c r="GD849" s="453"/>
      <c r="GE849" s="453"/>
      <c r="GF849" s="453"/>
      <c r="GG849" s="453"/>
      <c r="GH849" s="454"/>
      <c r="GI849" s="453"/>
      <c r="GJ849" s="453"/>
      <c r="GK849" s="453"/>
      <c r="GL849" s="453"/>
      <c r="GM849" s="453"/>
      <c r="GN849" s="453"/>
      <c r="GO849" s="453"/>
      <c r="GP849" s="453"/>
      <c r="GQ849" s="453"/>
      <c r="GR849" s="453"/>
      <c r="GS849" s="561"/>
      <c r="GT849" s="475"/>
      <c r="GU849" s="472"/>
      <c r="GV849" s="453"/>
      <c r="GW849" s="453"/>
      <c r="GX849" s="869"/>
      <c r="GY849" s="870"/>
      <c r="GZ849" s="867"/>
      <c r="HA849" s="868"/>
      <c r="HB849" s="473"/>
      <c r="HC849" s="869"/>
      <c r="HD849" s="870"/>
      <c r="HE849" s="867"/>
      <c r="HF849" s="868"/>
      <c r="HG849" s="473"/>
      <c r="HH849" s="867"/>
      <c r="HI849" s="868"/>
      <c r="HJ849" s="867"/>
      <c r="HK849" s="868"/>
      <c r="HL849" s="370"/>
      <c r="HM849" s="865"/>
      <c r="HN849" s="866"/>
      <c r="HO849" s="865"/>
      <c r="HP849" s="866"/>
      <c r="HQ849" s="865"/>
      <c r="HR849" s="866"/>
      <c r="HS849" s="867"/>
      <c r="HT849" s="868"/>
      <c r="HU849" s="489"/>
      <c r="HV849" s="865"/>
      <c r="HW849" s="866"/>
    </row>
    <row r="850" spans="25:231" ht="15" customHeight="1">
      <c r="Y850" s="332"/>
      <c r="Z850" s="332"/>
      <c r="AA850" s="332"/>
      <c r="AB850" s="332"/>
      <c r="AC850" s="332"/>
      <c r="AD850" s="332"/>
      <c r="AE850" s="332"/>
      <c r="AF850" s="332"/>
      <c r="AG850" s="332"/>
      <c r="AH850" s="332"/>
      <c r="AI850" s="332"/>
      <c r="AJ850" s="332"/>
      <c r="AK850" s="332"/>
      <c r="AL850" s="332"/>
      <c r="AM850" s="332"/>
      <c r="AN850" s="332"/>
      <c r="AO850" s="332"/>
      <c r="AP850" s="332"/>
      <c r="AQ850" s="332"/>
      <c r="AR850" s="332"/>
      <c r="AS850" s="332"/>
      <c r="AT850" s="332"/>
      <c r="AU850" s="332"/>
      <c r="AV850" s="332"/>
      <c r="AW850" s="332"/>
      <c r="AX850" s="332"/>
      <c r="AY850" s="332"/>
      <c r="AZ850" s="332"/>
      <c r="BA850" s="332"/>
      <c r="BB850" s="332"/>
      <c r="BC850" s="332"/>
      <c r="BD850" s="332"/>
      <c r="BE850" s="332"/>
      <c r="BF850" s="332"/>
      <c r="BG850" s="332"/>
      <c r="BH850" s="332"/>
      <c r="BI850" s="332"/>
      <c r="BJ850" s="332"/>
      <c r="BK850" s="332"/>
      <c r="BL850" s="332"/>
      <c r="BM850" s="332"/>
      <c r="BN850" s="332"/>
      <c r="BO850" s="332"/>
      <c r="BP850" s="332"/>
      <c r="BQ850" s="332"/>
      <c r="BR850" s="332"/>
      <c r="BS850" s="332"/>
      <c r="BT850" s="332"/>
      <c r="BU850" s="332"/>
      <c r="BV850" s="332"/>
      <c r="BW850" s="332"/>
      <c r="BX850" s="332"/>
      <c r="BY850" s="332"/>
      <c r="BZ850" s="332"/>
      <c r="CA850" s="332"/>
      <c r="CB850" s="332"/>
      <c r="CC850" s="332"/>
      <c r="CD850" s="332"/>
      <c r="CE850" s="332"/>
      <c r="CF850" s="332"/>
      <c r="CG850" s="332"/>
      <c r="CH850" s="332"/>
      <c r="CI850" s="332"/>
      <c r="CJ850" s="332"/>
      <c r="CK850" s="332"/>
      <c r="CL850" s="332"/>
      <c r="CM850" s="332"/>
      <c r="CN850" s="332"/>
      <c r="CO850" s="332"/>
      <c r="CP850" s="332"/>
      <c r="CQ850" s="332"/>
      <c r="CR850" s="332"/>
      <c r="CS850" s="332"/>
      <c r="CT850" s="332"/>
      <c r="CU850" s="332"/>
      <c r="CV850" s="332"/>
      <c r="CW850" s="332"/>
      <c r="CX850" s="332"/>
      <c r="CY850" s="332"/>
      <c r="CZ850" s="332"/>
      <c r="DA850" s="332"/>
      <c r="DB850" s="332"/>
      <c r="DC850" s="332"/>
      <c r="DD850" s="332"/>
      <c r="DE850" s="332"/>
      <c r="DF850" s="332"/>
      <c r="DG850" s="332"/>
      <c r="DH850" s="332"/>
      <c r="DI850" s="332"/>
      <c r="DJ850" s="332"/>
      <c r="DK850" s="332"/>
      <c r="DL850" s="332"/>
      <c r="DM850" s="332"/>
      <c r="DN850" s="332"/>
      <c r="DO850" s="332"/>
      <c r="DP850" s="332"/>
      <c r="DQ850" s="332"/>
      <c r="DR850" s="332"/>
      <c r="DS850" s="332"/>
      <c r="DT850" s="332"/>
      <c r="DU850" s="453"/>
      <c r="DV850" s="453"/>
      <c r="DW850" s="453"/>
      <c r="DX850" s="453"/>
      <c r="DY850" s="453"/>
      <c r="DZ850" s="453"/>
      <c r="EA850" s="453"/>
      <c r="EB850" s="453"/>
      <c r="EC850" s="453"/>
      <c r="ED850" s="453"/>
      <c r="EE850" s="453"/>
      <c r="EF850" s="453"/>
      <c r="EG850" s="453"/>
      <c r="EH850" s="453"/>
      <c r="EI850" s="453"/>
      <c r="EJ850" s="453"/>
      <c r="EK850" s="453"/>
      <c r="EL850" s="453"/>
      <c r="EM850" s="483">
        <f t="shared" si="237"/>
        <v>541</v>
      </c>
      <c r="EN850" s="485"/>
      <c r="EO850" s="458"/>
      <c r="EP850" s="467"/>
      <c r="EQ850" s="457"/>
      <c r="ER850" s="808"/>
      <c r="ES850" s="881">
        <f t="shared" si="235"/>
        <v>0</v>
      </c>
      <c r="ET850" s="882"/>
      <c r="EU850" s="883"/>
      <c r="EV850" s="884">
        <f t="shared" si="236"/>
        <v>0</v>
      </c>
      <c r="EW850" s="885"/>
      <c r="EX850" s="885"/>
      <c r="EY850" s="885"/>
      <c r="EZ850" s="885"/>
      <c r="FA850" s="885"/>
      <c r="FB850" s="885"/>
      <c r="FC850" s="885"/>
      <c r="FD850" s="886"/>
      <c r="FE850" s="550"/>
      <c r="FF850" s="550"/>
      <c r="FG850" s="550"/>
      <c r="FH850" s="550"/>
      <c r="FI850" s="550"/>
      <c r="FJ850" s="550"/>
      <c r="FK850" s="550"/>
      <c r="FL850" s="555"/>
      <c r="FM850" s="554"/>
      <c r="FN850" s="554"/>
      <c r="FO850" s="554"/>
      <c r="FP850" s="554"/>
      <c r="FQ850" s="554"/>
      <c r="FR850" s="554"/>
      <c r="FS850" s="554"/>
      <c r="FT850" s="554"/>
      <c r="FU850" s="554"/>
      <c r="FV850" s="554"/>
      <c r="FW850" s="554"/>
      <c r="FX850" s="554"/>
      <c r="FY850" s="554"/>
      <c r="FZ850" s="554"/>
      <c r="GA850" s="554"/>
      <c r="GB850" s="556"/>
      <c r="GC850" s="370"/>
      <c r="GD850" s="453"/>
      <c r="GE850" s="453"/>
      <c r="GF850" s="453"/>
      <c r="GG850" s="453"/>
      <c r="GH850" s="454"/>
      <c r="GI850" s="453"/>
      <c r="GJ850" s="453"/>
      <c r="GK850" s="453"/>
      <c r="GL850" s="453"/>
      <c r="GM850" s="453"/>
      <c r="GN850" s="453"/>
      <c r="GO850" s="453"/>
      <c r="GP850" s="453"/>
      <c r="GQ850" s="453"/>
      <c r="GR850" s="453"/>
      <c r="GS850" s="561"/>
      <c r="GT850" s="475"/>
      <c r="GU850" s="472"/>
      <c r="GV850" s="453"/>
      <c r="GW850" s="453"/>
      <c r="GX850" s="869"/>
      <c r="GY850" s="870"/>
      <c r="GZ850" s="867"/>
      <c r="HA850" s="868"/>
      <c r="HB850" s="473"/>
      <c r="HC850" s="869"/>
      <c r="HD850" s="870"/>
      <c r="HE850" s="867"/>
      <c r="HF850" s="868"/>
      <c r="HG850" s="473"/>
      <c r="HH850" s="867"/>
      <c r="HI850" s="868"/>
      <c r="HJ850" s="867"/>
      <c r="HK850" s="868"/>
      <c r="HL850" s="370"/>
      <c r="HM850" s="865"/>
      <c r="HN850" s="866"/>
      <c r="HO850" s="865"/>
      <c r="HP850" s="866"/>
      <c r="HQ850" s="865"/>
      <c r="HR850" s="866"/>
      <c r="HS850" s="867"/>
      <c r="HT850" s="868"/>
      <c r="HU850" s="489"/>
      <c r="HV850" s="865"/>
      <c r="HW850" s="866"/>
    </row>
    <row r="851" spans="25:231" ht="15" customHeight="1">
      <c r="Y851" s="332"/>
      <c r="Z851" s="332"/>
      <c r="AA851" s="332"/>
      <c r="AB851" s="332"/>
      <c r="AC851" s="332"/>
      <c r="AD851" s="332"/>
      <c r="AE851" s="332"/>
      <c r="AF851" s="332"/>
      <c r="AG851" s="332"/>
      <c r="AH851" s="332"/>
      <c r="AI851" s="332"/>
      <c r="AJ851" s="332"/>
      <c r="AK851" s="332"/>
      <c r="AL851" s="332"/>
      <c r="AM851" s="332"/>
      <c r="AN851" s="332"/>
      <c r="AO851" s="332"/>
      <c r="AP851" s="332"/>
      <c r="AQ851" s="332"/>
      <c r="AR851" s="332"/>
      <c r="AS851" s="332"/>
      <c r="AT851" s="332"/>
      <c r="AU851" s="332"/>
      <c r="AV851" s="332"/>
      <c r="AW851" s="332"/>
      <c r="AX851" s="332"/>
      <c r="AY851" s="332"/>
      <c r="AZ851" s="332"/>
      <c r="BA851" s="332"/>
      <c r="BB851" s="332"/>
      <c r="BC851" s="332"/>
      <c r="BD851" s="332"/>
      <c r="BE851" s="332"/>
      <c r="BF851" s="332"/>
      <c r="BG851" s="332"/>
      <c r="BH851" s="332"/>
      <c r="BI851" s="332"/>
      <c r="BJ851" s="332"/>
      <c r="BK851" s="332"/>
      <c r="BL851" s="332"/>
      <c r="BM851" s="332"/>
      <c r="BN851" s="332"/>
      <c r="BO851" s="332"/>
      <c r="BP851" s="332"/>
      <c r="BQ851" s="332"/>
      <c r="BR851" s="332"/>
      <c r="BS851" s="332"/>
      <c r="BT851" s="332"/>
      <c r="BU851" s="332"/>
      <c r="BV851" s="332"/>
      <c r="BW851" s="332"/>
      <c r="BX851" s="332"/>
      <c r="BY851" s="332"/>
      <c r="BZ851" s="332"/>
      <c r="CA851" s="332"/>
      <c r="CB851" s="332"/>
      <c r="CC851" s="332"/>
      <c r="CD851" s="332"/>
      <c r="CE851" s="332"/>
      <c r="CF851" s="332"/>
      <c r="CG851" s="332"/>
      <c r="CH851" s="332"/>
      <c r="CI851" s="332"/>
      <c r="CJ851" s="332"/>
      <c r="CK851" s="332"/>
      <c r="CL851" s="332"/>
      <c r="CM851" s="332"/>
      <c r="CN851" s="332"/>
      <c r="CO851" s="332"/>
      <c r="CP851" s="332"/>
      <c r="CQ851" s="332"/>
      <c r="CR851" s="332"/>
      <c r="CS851" s="332"/>
      <c r="CT851" s="332"/>
      <c r="CU851" s="332"/>
      <c r="CV851" s="332"/>
      <c r="CW851" s="332"/>
      <c r="CX851" s="332"/>
      <c r="CY851" s="332"/>
      <c r="CZ851" s="332"/>
      <c r="DA851" s="332"/>
      <c r="DB851" s="332"/>
      <c r="DC851" s="332"/>
      <c r="DD851" s="332"/>
      <c r="DE851" s="332"/>
      <c r="DF851" s="332"/>
      <c r="DG851" s="332"/>
      <c r="DH851" s="332"/>
      <c r="DI851" s="332"/>
      <c r="DJ851" s="332"/>
      <c r="DK851" s="332"/>
      <c r="DL851" s="332"/>
      <c r="DM851" s="332"/>
      <c r="DN851" s="332"/>
      <c r="DO851" s="332"/>
      <c r="DP851" s="332"/>
      <c r="DQ851" s="332"/>
      <c r="DR851" s="332"/>
      <c r="DS851" s="332"/>
      <c r="DT851" s="332"/>
      <c r="DU851" s="453"/>
      <c r="DV851" s="453"/>
      <c r="DW851" s="453"/>
      <c r="DX851" s="453"/>
      <c r="DY851" s="453"/>
      <c r="DZ851" s="453"/>
      <c r="EA851" s="453"/>
      <c r="EB851" s="453"/>
      <c r="EC851" s="453"/>
      <c r="ED851" s="453"/>
      <c r="EE851" s="453"/>
      <c r="EF851" s="453"/>
      <c r="EG851" s="453"/>
      <c r="EH851" s="453"/>
      <c r="EI851" s="453"/>
      <c r="EJ851" s="453"/>
      <c r="EK851" s="453"/>
      <c r="EL851" s="453"/>
      <c r="EM851" s="483">
        <f t="shared" si="237"/>
        <v>542</v>
      </c>
      <c r="EN851" s="485"/>
      <c r="EO851" s="458"/>
      <c r="EP851" s="467"/>
      <c r="EQ851" s="457"/>
      <c r="ER851" s="808"/>
      <c r="ES851" s="881">
        <f t="shared" si="235"/>
        <v>0</v>
      </c>
      <c r="ET851" s="882"/>
      <c r="EU851" s="883"/>
      <c r="EV851" s="884">
        <f t="shared" si="236"/>
        <v>0</v>
      </c>
      <c r="EW851" s="885"/>
      <c r="EX851" s="885"/>
      <c r="EY851" s="885"/>
      <c r="EZ851" s="885"/>
      <c r="FA851" s="885"/>
      <c r="FB851" s="885"/>
      <c r="FC851" s="885"/>
      <c r="FD851" s="886"/>
      <c r="FE851" s="550"/>
      <c r="FF851" s="550"/>
      <c r="FG851" s="550"/>
      <c r="FH851" s="550"/>
      <c r="FI851" s="550"/>
      <c r="FJ851" s="550"/>
      <c r="FK851" s="550"/>
      <c r="FL851" s="555"/>
      <c r="FM851" s="554"/>
      <c r="FN851" s="554"/>
      <c r="FO851" s="554"/>
      <c r="FP851" s="554"/>
      <c r="FQ851" s="554"/>
      <c r="FR851" s="554"/>
      <c r="FS851" s="554"/>
      <c r="FT851" s="554"/>
      <c r="FU851" s="554"/>
      <c r="FV851" s="554"/>
      <c r="FW851" s="554"/>
      <c r="FX851" s="554"/>
      <c r="FY851" s="554"/>
      <c r="FZ851" s="554"/>
      <c r="GA851" s="554"/>
      <c r="GB851" s="556"/>
      <c r="GC851" s="370"/>
      <c r="GD851" s="453"/>
      <c r="GE851" s="453"/>
      <c r="GF851" s="453"/>
      <c r="GG851" s="453"/>
      <c r="GH851" s="454"/>
      <c r="GI851" s="453"/>
      <c r="GJ851" s="453"/>
      <c r="GK851" s="453"/>
      <c r="GL851" s="453"/>
      <c r="GM851" s="453"/>
      <c r="GN851" s="453"/>
      <c r="GO851" s="453"/>
      <c r="GP851" s="453"/>
      <c r="GQ851" s="453"/>
      <c r="GR851" s="453"/>
      <c r="GS851" s="561"/>
      <c r="GT851" s="475"/>
      <c r="GU851" s="472"/>
      <c r="GV851" s="453"/>
      <c r="GW851" s="453"/>
      <c r="GX851" s="869"/>
      <c r="GY851" s="870"/>
      <c r="GZ851" s="867"/>
      <c r="HA851" s="868"/>
      <c r="HB851" s="473"/>
      <c r="HC851" s="869"/>
      <c r="HD851" s="870"/>
      <c r="HE851" s="867"/>
      <c r="HF851" s="868"/>
      <c r="HG851" s="473"/>
      <c r="HH851" s="867"/>
      <c r="HI851" s="868"/>
      <c r="HJ851" s="867"/>
      <c r="HK851" s="868"/>
      <c r="HL851" s="370"/>
      <c r="HM851" s="865"/>
      <c r="HN851" s="866"/>
      <c r="HO851" s="865"/>
      <c r="HP851" s="866"/>
      <c r="HQ851" s="865"/>
      <c r="HR851" s="866"/>
      <c r="HS851" s="867"/>
      <c r="HT851" s="868"/>
      <c r="HU851" s="489"/>
      <c r="HV851" s="865"/>
      <c r="HW851" s="866"/>
    </row>
    <row r="852" spans="25:231" ht="15" customHeight="1">
      <c r="Y852" s="332"/>
      <c r="Z852" s="332"/>
      <c r="AA852" s="332"/>
      <c r="AB852" s="332"/>
      <c r="AC852" s="332"/>
      <c r="AD852" s="332"/>
      <c r="AE852" s="332"/>
      <c r="AF852" s="332"/>
      <c r="AG852" s="332"/>
      <c r="AH852" s="332"/>
      <c r="AI852" s="332"/>
      <c r="AJ852" s="332"/>
      <c r="AK852" s="332"/>
      <c r="AL852" s="332"/>
      <c r="AM852" s="332"/>
      <c r="AN852" s="332"/>
      <c r="AO852" s="332"/>
      <c r="AP852" s="332"/>
      <c r="AQ852" s="332"/>
      <c r="AR852" s="332"/>
      <c r="AS852" s="332"/>
      <c r="AT852" s="332"/>
      <c r="AU852" s="332"/>
      <c r="AV852" s="332"/>
      <c r="AW852" s="332"/>
      <c r="AX852" s="332"/>
      <c r="AY852" s="332"/>
      <c r="AZ852" s="332"/>
      <c r="BA852" s="332"/>
      <c r="BB852" s="332"/>
      <c r="BC852" s="332"/>
      <c r="BD852" s="332"/>
      <c r="BE852" s="332"/>
      <c r="BF852" s="332"/>
      <c r="BG852" s="332"/>
      <c r="BH852" s="332"/>
      <c r="BI852" s="332"/>
      <c r="BJ852" s="332"/>
      <c r="BK852" s="332"/>
      <c r="BL852" s="332"/>
      <c r="BM852" s="332"/>
      <c r="BN852" s="332"/>
      <c r="BO852" s="332"/>
      <c r="BP852" s="332"/>
      <c r="BQ852" s="332"/>
      <c r="BR852" s="332"/>
      <c r="BS852" s="332"/>
      <c r="BT852" s="332"/>
      <c r="BU852" s="332"/>
      <c r="BV852" s="332"/>
      <c r="BW852" s="332"/>
      <c r="BX852" s="332"/>
      <c r="BY852" s="332"/>
      <c r="BZ852" s="332"/>
      <c r="CA852" s="332"/>
      <c r="CB852" s="332"/>
      <c r="CC852" s="332"/>
      <c r="CD852" s="332"/>
      <c r="CE852" s="332"/>
      <c r="CF852" s="332"/>
      <c r="CG852" s="332"/>
      <c r="CH852" s="332"/>
      <c r="CI852" s="332"/>
      <c r="CJ852" s="332"/>
      <c r="CK852" s="332"/>
      <c r="CL852" s="332"/>
      <c r="CM852" s="332"/>
      <c r="CN852" s="332"/>
      <c r="CO852" s="332"/>
      <c r="CP852" s="332"/>
      <c r="CQ852" s="332"/>
      <c r="CR852" s="332"/>
      <c r="CS852" s="332"/>
      <c r="CT852" s="332"/>
      <c r="CU852" s="332"/>
      <c r="CV852" s="332"/>
      <c r="CW852" s="332"/>
      <c r="CX852" s="332"/>
      <c r="CY852" s="332"/>
      <c r="CZ852" s="332"/>
      <c r="DA852" s="332"/>
      <c r="DB852" s="332"/>
      <c r="DC852" s="332"/>
      <c r="DD852" s="332"/>
      <c r="DE852" s="332"/>
      <c r="DF852" s="332"/>
      <c r="DG852" s="332"/>
      <c r="DH852" s="332"/>
      <c r="DI852" s="332"/>
      <c r="DJ852" s="332"/>
      <c r="DK852" s="332"/>
      <c r="DL852" s="332"/>
      <c r="DM852" s="332"/>
      <c r="DN852" s="332"/>
      <c r="DO852" s="332"/>
      <c r="DP852" s="332"/>
      <c r="DQ852" s="332"/>
      <c r="DR852" s="332"/>
      <c r="DS852" s="332"/>
      <c r="DT852" s="332"/>
      <c r="DU852" s="453"/>
      <c r="DV852" s="453"/>
      <c r="DW852" s="453"/>
      <c r="DX852" s="453"/>
      <c r="DY852" s="453"/>
      <c r="DZ852" s="453"/>
      <c r="EA852" s="453"/>
      <c r="EB852" s="453"/>
      <c r="EC852" s="453"/>
      <c r="ED852" s="453"/>
      <c r="EE852" s="453"/>
      <c r="EF852" s="453"/>
      <c r="EG852" s="453"/>
      <c r="EH852" s="453"/>
      <c r="EI852" s="453"/>
      <c r="EJ852" s="453"/>
      <c r="EK852" s="453"/>
      <c r="EL852" s="453"/>
      <c r="EM852" s="483">
        <f t="shared" si="237"/>
        <v>543</v>
      </c>
      <c r="EN852" s="485"/>
      <c r="EO852" s="458"/>
      <c r="EP852" s="467"/>
      <c r="EQ852" s="457"/>
      <c r="ER852" s="808"/>
      <c r="ES852" s="881">
        <f t="shared" si="235"/>
        <v>0</v>
      </c>
      <c r="ET852" s="882"/>
      <c r="EU852" s="883"/>
      <c r="EV852" s="884">
        <f t="shared" si="236"/>
        <v>0</v>
      </c>
      <c r="EW852" s="885"/>
      <c r="EX852" s="885"/>
      <c r="EY852" s="885"/>
      <c r="EZ852" s="885"/>
      <c r="FA852" s="885"/>
      <c r="FB852" s="885"/>
      <c r="FC852" s="885"/>
      <c r="FD852" s="886"/>
      <c r="FE852" s="550"/>
      <c r="FF852" s="550"/>
      <c r="FG852" s="550"/>
      <c r="FH852" s="550"/>
      <c r="FI852" s="550"/>
      <c r="FJ852" s="550"/>
      <c r="FK852" s="550"/>
      <c r="FL852" s="555"/>
      <c r="FM852" s="554"/>
      <c r="FN852" s="554"/>
      <c r="FO852" s="554"/>
      <c r="FP852" s="554"/>
      <c r="FQ852" s="554"/>
      <c r="FR852" s="554"/>
      <c r="FS852" s="554"/>
      <c r="FT852" s="554"/>
      <c r="FU852" s="554"/>
      <c r="FV852" s="554"/>
      <c r="FW852" s="554"/>
      <c r="FX852" s="554"/>
      <c r="FY852" s="554"/>
      <c r="FZ852" s="554"/>
      <c r="GA852" s="554"/>
      <c r="GB852" s="556"/>
      <c r="GC852" s="370"/>
      <c r="GD852" s="453"/>
      <c r="GE852" s="453"/>
      <c r="GF852" s="453"/>
      <c r="GG852" s="453"/>
      <c r="GH852" s="454"/>
      <c r="GI852" s="453"/>
      <c r="GJ852" s="453"/>
      <c r="GK852" s="453"/>
      <c r="GL852" s="453"/>
      <c r="GM852" s="453"/>
      <c r="GN852" s="453"/>
      <c r="GO852" s="453"/>
      <c r="GP852" s="453"/>
      <c r="GQ852" s="453"/>
      <c r="GR852" s="453"/>
      <c r="GS852" s="561"/>
      <c r="GT852" s="475"/>
      <c r="GU852" s="472"/>
      <c r="GV852" s="453"/>
      <c r="GW852" s="453"/>
      <c r="GX852" s="869"/>
      <c r="GY852" s="870"/>
      <c r="GZ852" s="867"/>
      <c r="HA852" s="868"/>
      <c r="HB852" s="473"/>
      <c r="HC852" s="869"/>
      <c r="HD852" s="870"/>
      <c r="HE852" s="867"/>
      <c r="HF852" s="868"/>
      <c r="HG852" s="473"/>
      <c r="HH852" s="867"/>
      <c r="HI852" s="868"/>
      <c r="HJ852" s="867"/>
      <c r="HK852" s="868"/>
      <c r="HL852" s="370"/>
      <c r="HM852" s="865"/>
      <c r="HN852" s="866"/>
      <c r="HO852" s="865"/>
      <c r="HP852" s="866"/>
      <c r="HQ852" s="865"/>
      <c r="HR852" s="866"/>
      <c r="HS852" s="867"/>
      <c r="HT852" s="868"/>
      <c r="HU852" s="489"/>
      <c r="HV852" s="865"/>
      <c r="HW852" s="866"/>
    </row>
    <row r="853" spans="25:231" ht="15" customHeight="1">
      <c r="Y853" s="332"/>
      <c r="Z853" s="332"/>
      <c r="AA853" s="332"/>
      <c r="AB853" s="332"/>
      <c r="AC853" s="332"/>
      <c r="AD853" s="332"/>
      <c r="AE853" s="332"/>
      <c r="AF853" s="332"/>
      <c r="AG853" s="332"/>
      <c r="AH853" s="332"/>
      <c r="AI853" s="332"/>
      <c r="AJ853" s="332"/>
      <c r="AK853" s="332"/>
      <c r="AL853" s="332"/>
      <c r="AM853" s="332"/>
      <c r="AN853" s="332"/>
      <c r="AO853" s="332"/>
      <c r="AP853" s="332"/>
      <c r="AQ853" s="332"/>
      <c r="AR853" s="332"/>
      <c r="AS853" s="332"/>
      <c r="AT853" s="332"/>
      <c r="AU853" s="332"/>
      <c r="AV853" s="332"/>
      <c r="AW853" s="332"/>
      <c r="AX853" s="332"/>
      <c r="AY853" s="332"/>
      <c r="AZ853" s="332"/>
      <c r="BA853" s="332"/>
      <c r="BB853" s="332"/>
      <c r="BC853" s="332"/>
      <c r="BD853" s="332"/>
      <c r="BE853" s="332"/>
      <c r="BF853" s="332"/>
      <c r="BG853" s="332"/>
      <c r="BH853" s="332"/>
      <c r="BI853" s="332"/>
      <c r="BJ853" s="332"/>
      <c r="BK853" s="332"/>
      <c r="BL853" s="332"/>
      <c r="BM853" s="332"/>
      <c r="BN853" s="332"/>
      <c r="BO853" s="332"/>
      <c r="BP853" s="332"/>
      <c r="BQ853" s="332"/>
      <c r="BR853" s="332"/>
      <c r="BS853" s="332"/>
      <c r="BT853" s="332"/>
      <c r="BU853" s="332"/>
      <c r="BV853" s="332"/>
      <c r="BW853" s="332"/>
      <c r="BX853" s="332"/>
      <c r="BY853" s="332"/>
      <c r="BZ853" s="332"/>
      <c r="CA853" s="332"/>
      <c r="CB853" s="332"/>
      <c r="CC853" s="332"/>
      <c r="CD853" s="332"/>
      <c r="CE853" s="332"/>
      <c r="CF853" s="332"/>
      <c r="CG853" s="332"/>
      <c r="CH853" s="332"/>
      <c r="CI853" s="332"/>
      <c r="CJ853" s="332"/>
      <c r="CK853" s="332"/>
      <c r="CL853" s="332"/>
      <c r="CM853" s="332"/>
      <c r="CN853" s="332"/>
      <c r="CO853" s="332"/>
      <c r="CP853" s="332"/>
      <c r="CQ853" s="332"/>
      <c r="CR853" s="332"/>
      <c r="CS853" s="332"/>
      <c r="CT853" s="332"/>
      <c r="CU853" s="332"/>
      <c r="CV853" s="332"/>
      <c r="CW853" s="332"/>
      <c r="CX853" s="332"/>
      <c r="CY853" s="332"/>
      <c r="CZ853" s="332"/>
      <c r="DA853" s="332"/>
      <c r="DB853" s="332"/>
      <c r="DC853" s="332"/>
      <c r="DD853" s="332"/>
      <c r="DE853" s="332"/>
      <c r="DF853" s="332"/>
      <c r="DG853" s="332"/>
      <c r="DH853" s="332"/>
      <c r="DI853" s="332"/>
      <c r="DJ853" s="332"/>
      <c r="DK853" s="332"/>
      <c r="DL853" s="332"/>
      <c r="DM853" s="332"/>
      <c r="DN853" s="332"/>
      <c r="DO853" s="332"/>
      <c r="DP853" s="332"/>
      <c r="DQ853" s="332"/>
      <c r="DR853" s="332"/>
      <c r="DS853" s="332"/>
      <c r="DT853" s="332"/>
      <c r="DU853" s="453"/>
      <c r="DV853" s="453"/>
      <c r="DW853" s="453"/>
      <c r="DX853" s="453"/>
      <c r="DY853" s="453"/>
      <c r="DZ853" s="453"/>
      <c r="EA853" s="453"/>
      <c r="EB853" s="453"/>
      <c r="EC853" s="453"/>
      <c r="ED853" s="453"/>
      <c r="EE853" s="453"/>
      <c r="EF853" s="453"/>
      <c r="EG853" s="453"/>
      <c r="EH853" s="453"/>
      <c r="EI853" s="453"/>
      <c r="EJ853" s="453"/>
      <c r="EK853" s="453"/>
      <c r="EL853" s="453"/>
      <c r="EM853" s="483">
        <f t="shared" si="237"/>
        <v>544</v>
      </c>
      <c r="EN853" s="485"/>
      <c r="EO853" s="458"/>
      <c r="EP853" s="467"/>
      <c r="EQ853" s="457"/>
      <c r="ER853" s="808"/>
      <c r="ES853" s="881">
        <f t="shared" ref="ES853:ES916" si="238">IF(OR(EO853 = "", EP853 = 0, EP853 = "", EQ853 = 0, EQ853 = "", ER853 = 0, ER853 = ""), 0,
IF(EO853 &lt;&gt; "ACCION", EP853 * ER853 * -100,  EP853 * ER853 * -1))</f>
        <v>0</v>
      </c>
      <c r="ET853" s="882"/>
      <c r="EU853" s="883"/>
      <c r="EV853" s="884">
        <f t="shared" ref="EV853:EV916" si="239">+IF(OR(EO853 = "", EP853 = 0, EP853 = "", EQ853 = 0, EQ853 = "", ER853 = 0, ER853 = ""), 0,
IF(EO853 &lt;&gt; "ACCION",
IF(EP853 &gt; 0, EP853 * ER853 * -100 * ( 1 + COMIS_OPCION), EP853 * ER853 * -100 * ( 1 - COMIS_OPCION)),
IF(EP853 &gt; 0, EP853 * ER853 * -1 * ( 1 + COMIS_ACCION), EP853 * ER853 * -1 * ( 1 - COMIS_ACCION))  ))</f>
        <v>0</v>
      </c>
      <c r="EW853" s="885"/>
      <c r="EX853" s="885"/>
      <c r="EY853" s="885"/>
      <c r="EZ853" s="885"/>
      <c r="FA853" s="885"/>
      <c r="FB853" s="885"/>
      <c r="FC853" s="885"/>
      <c r="FD853" s="886"/>
      <c r="FE853" s="550"/>
      <c r="FF853" s="550"/>
      <c r="FG853" s="550"/>
      <c r="FH853" s="550"/>
      <c r="FI853" s="550"/>
      <c r="FJ853" s="550"/>
      <c r="FK853" s="550"/>
      <c r="FL853" s="555"/>
      <c r="FM853" s="554"/>
      <c r="FN853" s="554"/>
      <c r="FO853" s="554"/>
      <c r="FP853" s="554"/>
      <c r="FQ853" s="554"/>
      <c r="FR853" s="554"/>
      <c r="FS853" s="554"/>
      <c r="FT853" s="554"/>
      <c r="FU853" s="554"/>
      <c r="FV853" s="554"/>
      <c r="FW853" s="554"/>
      <c r="FX853" s="554"/>
      <c r="FY853" s="554"/>
      <c r="FZ853" s="554"/>
      <c r="GA853" s="554"/>
      <c r="GB853" s="556"/>
      <c r="GC853" s="370"/>
      <c r="GD853" s="453"/>
      <c r="GE853" s="453"/>
      <c r="GF853" s="453"/>
      <c r="GG853" s="453"/>
      <c r="GH853" s="454"/>
      <c r="GI853" s="453"/>
      <c r="GJ853" s="453"/>
      <c r="GK853" s="453"/>
      <c r="GL853" s="453"/>
      <c r="GM853" s="453"/>
      <c r="GN853" s="453"/>
      <c r="GO853" s="453"/>
      <c r="GP853" s="453"/>
      <c r="GQ853" s="453"/>
      <c r="GR853" s="453"/>
      <c r="GS853" s="561"/>
      <c r="GT853" s="475"/>
      <c r="GU853" s="472"/>
      <c r="GV853" s="453"/>
      <c r="GW853" s="453"/>
      <c r="GX853" s="869"/>
      <c r="GY853" s="870"/>
      <c r="GZ853" s="867"/>
      <c r="HA853" s="868"/>
      <c r="HB853" s="473"/>
      <c r="HC853" s="869"/>
      <c r="HD853" s="870"/>
      <c r="HE853" s="867"/>
      <c r="HF853" s="868"/>
      <c r="HG853" s="473"/>
      <c r="HH853" s="867"/>
      <c r="HI853" s="868"/>
      <c r="HJ853" s="867"/>
      <c r="HK853" s="868"/>
      <c r="HL853" s="370"/>
      <c r="HM853" s="865"/>
      <c r="HN853" s="866"/>
      <c r="HO853" s="865"/>
      <c r="HP853" s="866"/>
      <c r="HQ853" s="865"/>
      <c r="HR853" s="866"/>
      <c r="HS853" s="867"/>
      <c r="HT853" s="868"/>
      <c r="HU853" s="489"/>
      <c r="HV853" s="865"/>
      <c r="HW853" s="866"/>
    </row>
    <row r="854" spans="25:231" ht="15" customHeight="1">
      <c r="Y854" s="332"/>
      <c r="Z854" s="332"/>
      <c r="AA854" s="332"/>
      <c r="AB854" s="332"/>
      <c r="AC854" s="332"/>
      <c r="AD854" s="332"/>
      <c r="AE854" s="332"/>
      <c r="AF854" s="332"/>
      <c r="AG854" s="332"/>
      <c r="AH854" s="332"/>
      <c r="AI854" s="332"/>
      <c r="AJ854" s="332"/>
      <c r="AK854" s="332"/>
      <c r="AL854" s="332"/>
      <c r="AM854" s="332"/>
      <c r="AN854" s="332"/>
      <c r="AO854" s="332"/>
      <c r="AP854" s="332"/>
      <c r="AQ854" s="332"/>
      <c r="AR854" s="332"/>
      <c r="AS854" s="332"/>
      <c r="AT854" s="332"/>
      <c r="AU854" s="332"/>
      <c r="AV854" s="332"/>
      <c r="AW854" s="332"/>
      <c r="AX854" s="332"/>
      <c r="AY854" s="332"/>
      <c r="AZ854" s="332"/>
      <c r="BA854" s="332"/>
      <c r="BB854" s="332"/>
      <c r="BC854" s="332"/>
      <c r="BD854" s="332"/>
      <c r="BE854" s="332"/>
      <c r="BF854" s="332"/>
      <c r="BG854" s="332"/>
      <c r="BH854" s="332"/>
      <c r="BI854" s="332"/>
      <c r="BJ854" s="332"/>
      <c r="BK854" s="332"/>
      <c r="BL854" s="332"/>
      <c r="BM854" s="332"/>
      <c r="BN854" s="332"/>
      <c r="BO854" s="332"/>
      <c r="BP854" s="332"/>
      <c r="BQ854" s="332"/>
      <c r="BR854" s="332"/>
      <c r="BS854" s="332"/>
      <c r="BT854" s="332"/>
      <c r="BU854" s="332"/>
      <c r="BV854" s="332"/>
      <c r="BW854" s="332"/>
      <c r="BX854" s="332"/>
      <c r="BY854" s="332"/>
      <c r="BZ854" s="332"/>
      <c r="CA854" s="332"/>
      <c r="CB854" s="332"/>
      <c r="CC854" s="332"/>
      <c r="CD854" s="332"/>
      <c r="CE854" s="332"/>
      <c r="CF854" s="332"/>
      <c r="CG854" s="332"/>
      <c r="CH854" s="332"/>
      <c r="CI854" s="332"/>
      <c r="CJ854" s="332"/>
      <c r="CK854" s="332"/>
      <c r="CL854" s="332"/>
      <c r="CM854" s="332"/>
      <c r="CN854" s="332"/>
      <c r="CO854" s="332"/>
      <c r="CP854" s="332"/>
      <c r="CQ854" s="332"/>
      <c r="CR854" s="332"/>
      <c r="CS854" s="332"/>
      <c r="CT854" s="332"/>
      <c r="CU854" s="332"/>
      <c r="CV854" s="332"/>
      <c r="CW854" s="332"/>
      <c r="CX854" s="332"/>
      <c r="CY854" s="332"/>
      <c r="CZ854" s="332"/>
      <c r="DA854" s="332"/>
      <c r="DB854" s="332"/>
      <c r="DC854" s="332"/>
      <c r="DD854" s="332"/>
      <c r="DE854" s="332"/>
      <c r="DF854" s="332"/>
      <c r="DG854" s="332"/>
      <c r="DH854" s="332"/>
      <c r="DI854" s="332"/>
      <c r="DJ854" s="332"/>
      <c r="DK854" s="332"/>
      <c r="DL854" s="332"/>
      <c r="DM854" s="332"/>
      <c r="DN854" s="332"/>
      <c r="DO854" s="332"/>
      <c r="DP854" s="332"/>
      <c r="DQ854" s="332"/>
      <c r="DR854" s="332"/>
      <c r="DS854" s="332"/>
      <c r="DT854" s="332"/>
      <c r="DU854" s="453"/>
      <c r="DV854" s="453"/>
      <c r="DW854" s="453"/>
      <c r="DX854" s="453"/>
      <c r="DY854" s="453"/>
      <c r="DZ854" s="453"/>
      <c r="EA854" s="453"/>
      <c r="EB854" s="453"/>
      <c r="EC854" s="453"/>
      <c r="ED854" s="453"/>
      <c r="EE854" s="453"/>
      <c r="EF854" s="453"/>
      <c r="EG854" s="453"/>
      <c r="EH854" s="453"/>
      <c r="EI854" s="453"/>
      <c r="EJ854" s="453"/>
      <c r="EK854" s="453"/>
      <c r="EL854" s="453"/>
      <c r="EM854" s="483">
        <f t="shared" si="237"/>
        <v>545</v>
      </c>
      <c r="EN854" s="485"/>
      <c r="EO854" s="458"/>
      <c r="EP854" s="467"/>
      <c r="EQ854" s="457"/>
      <c r="ER854" s="808"/>
      <c r="ES854" s="881">
        <f t="shared" si="238"/>
        <v>0</v>
      </c>
      <c r="ET854" s="882"/>
      <c r="EU854" s="883"/>
      <c r="EV854" s="884">
        <f t="shared" si="239"/>
        <v>0</v>
      </c>
      <c r="EW854" s="885"/>
      <c r="EX854" s="885"/>
      <c r="EY854" s="885"/>
      <c r="EZ854" s="885"/>
      <c r="FA854" s="885"/>
      <c r="FB854" s="885"/>
      <c r="FC854" s="885"/>
      <c r="FD854" s="886"/>
      <c r="FE854" s="550"/>
      <c r="FF854" s="550"/>
      <c r="FG854" s="550"/>
      <c r="FH854" s="550"/>
      <c r="FI854" s="550"/>
      <c r="FJ854" s="550"/>
      <c r="FK854" s="550"/>
      <c r="FL854" s="555"/>
      <c r="FM854" s="554"/>
      <c r="FN854" s="554"/>
      <c r="FO854" s="554"/>
      <c r="FP854" s="554"/>
      <c r="FQ854" s="554"/>
      <c r="FR854" s="554"/>
      <c r="FS854" s="554"/>
      <c r="FT854" s="554"/>
      <c r="FU854" s="554"/>
      <c r="FV854" s="554"/>
      <c r="FW854" s="554"/>
      <c r="FX854" s="554"/>
      <c r="FY854" s="554"/>
      <c r="FZ854" s="554"/>
      <c r="GA854" s="554"/>
      <c r="GB854" s="556"/>
      <c r="GC854" s="370"/>
      <c r="GD854" s="453"/>
      <c r="GE854" s="453"/>
      <c r="GF854" s="453"/>
      <c r="GG854" s="453"/>
      <c r="GH854" s="454"/>
      <c r="GI854" s="453"/>
      <c r="GJ854" s="453"/>
      <c r="GK854" s="453"/>
      <c r="GL854" s="453"/>
      <c r="GM854" s="453"/>
      <c r="GN854" s="453"/>
      <c r="GO854" s="453"/>
      <c r="GP854" s="453"/>
      <c r="GQ854" s="453"/>
      <c r="GR854" s="453"/>
      <c r="GS854" s="561"/>
      <c r="GT854" s="475"/>
      <c r="GU854" s="472"/>
      <c r="GV854" s="453"/>
      <c r="GW854" s="453"/>
      <c r="GX854" s="869"/>
      <c r="GY854" s="870"/>
      <c r="GZ854" s="867"/>
      <c r="HA854" s="868"/>
      <c r="HB854" s="473"/>
      <c r="HC854" s="869"/>
      <c r="HD854" s="870"/>
      <c r="HE854" s="867"/>
      <c r="HF854" s="868"/>
      <c r="HG854" s="473"/>
      <c r="HH854" s="867"/>
      <c r="HI854" s="868"/>
      <c r="HJ854" s="867"/>
      <c r="HK854" s="868"/>
      <c r="HL854" s="370"/>
      <c r="HM854" s="865"/>
      <c r="HN854" s="866"/>
      <c r="HO854" s="865"/>
      <c r="HP854" s="866"/>
      <c r="HQ854" s="865"/>
      <c r="HR854" s="866"/>
      <c r="HS854" s="867"/>
      <c r="HT854" s="868"/>
      <c r="HU854" s="489"/>
      <c r="HV854" s="865"/>
      <c r="HW854" s="866"/>
    </row>
    <row r="855" spans="25:231" ht="15" customHeight="1">
      <c r="Y855" s="332"/>
      <c r="Z855" s="332"/>
      <c r="AA855" s="332"/>
      <c r="AB855" s="332"/>
      <c r="AC855" s="332"/>
      <c r="AD855" s="332"/>
      <c r="AE855" s="332"/>
      <c r="AF855" s="332"/>
      <c r="AG855" s="332"/>
      <c r="AH855" s="332"/>
      <c r="AI855" s="332"/>
      <c r="AJ855" s="332"/>
      <c r="AK855" s="332"/>
      <c r="AL855" s="332"/>
      <c r="AM855" s="332"/>
      <c r="AN855" s="332"/>
      <c r="AO855" s="332"/>
      <c r="AP855" s="332"/>
      <c r="AQ855" s="332"/>
      <c r="AR855" s="332"/>
      <c r="AS855" s="332"/>
      <c r="AT855" s="332"/>
      <c r="AU855" s="332"/>
      <c r="AV855" s="332"/>
      <c r="AW855" s="332"/>
      <c r="AX855" s="332"/>
      <c r="AY855" s="332"/>
      <c r="AZ855" s="332"/>
      <c r="BA855" s="332"/>
      <c r="BB855" s="332"/>
      <c r="BC855" s="332"/>
      <c r="BD855" s="332"/>
      <c r="BE855" s="332"/>
      <c r="BF855" s="332"/>
      <c r="BG855" s="332"/>
      <c r="BH855" s="332"/>
      <c r="BI855" s="332"/>
      <c r="BJ855" s="332"/>
      <c r="BK855" s="332"/>
      <c r="BL855" s="332"/>
      <c r="BM855" s="332"/>
      <c r="BN855" s="332"/>
      <c r="BO855" s="332"/>
      <c r="BP855" s="332"/>
      <c r="BQ855" s="332"/>
      <c r="BR855" s="332"/>
      <c r="BS855" s="332"/>
      <c r="BT855" s="332"/>
      <c r="BU855" s="332"/>
      <c r="BV855" s="332"/>
      <c r="BW855" s="332"/>
      <c r="BX855" s="332"/>
      <c r="BY855" s="332"/>
      <c r="BZ855" s="332"/>
      <c r="CA855" s="332"/>
      <c r="CB855" s="332"/>
      <c r="CC855" s="332"/>
      <c r="CD855" s="332"/>
      <c r="CE855" s="332"/>
      <c r="CF855" s="332"/>
      <c r="CG855" s="332"/>
      <c r="CH855" s="332"/>
      <c r="CI855" s="332"/>
      <c r="CJ855" s="332"/>
      <c r="CK855" s="332"/>
      <c r="CL855" s="332"/>
      <c r="CM855" s="332"/>
      <c r="CN855" s="332"/>
      <c r="CO855" s="332"/>
      <c r="CP855" s="332"/>
      <c r="CQ855" s="332"/>
      <c r="CR855" s="332"/>
      <c r="CS855" s="332"/>
      <c r="CT855" s="332"/>
      <c r="CU855" s="332"/>
      <c r="CV855" s="332"/>
      <c r="CW855" s="332"/>
      <c r="CX855" s="332"/>
      <c r="CY855" s="332"/>
      <c r="CZ855" s="332"/>
      <c r="DA855" s="332"/>
      <c r="DB855" s="332"/>
      <c r="DC855" s="332"/>
      <c r="DD855" s="332"/>
      <c r="DE855" s="332"/>
      <c r="DF855" s="332"/>
      <c r="DG855" s="332"/>
      <c r="DH855" s="332"/>
      <c r="DI855" s="332"/>
      <c r="DJ855" s="332"/>
      <c r="DK855" s="332"/>
      <c r="DL855" s="332"/>
      <c r="DM855" s="332"/>
      <c r="DN855" s="332"/>
      <c r="DO855" s="332"/>
      <c r="DP855" s="332"/>
      <c r="DQ855" s="332"/>
      <c r="DR855" s="332"/>
      <c r="DS855" s="332"/>
      <c r="DT855" s="332"/>
      <c r="DU855" s="453"/>
      <c r="DV855" s="453"/>
      <c r="DW855" s="453"/>
      <c r="DX855" s="453"/>
      <c r="DY855" s="453"/>
      <c r="DZ855" s="453"/>
      <c r="EA855" s="453"/>
      <c r="EB855" s="453"/>
      <c r="EC855" s="453"/>
      <c r="ED855" s="453"/>
      <c r="EE855" s="453"/>
      <c r="EF855" s="453"/>
      <c r="EG855" s="453"/>
      <c r="EH855" s="453"/>
      <c r="EI855" s="453"/>
      <c r="EJ855" s="453"/>
      <c r="EK855" s="453"/>
      <c r="EL855" s="453"/>
      <c r="EM855" s="483">
        <f t="shared" si="237"/>
        <v>546</v>
      </c>
      <c r="EN855" s="485"/>
      <c r="EO855" s="458"/>
      <c r="EP855" s="467"/>
      <c r="EQ855" s="457"/>
      <c r="ER855" s="808"/>
      <c r="ES855" s="881">
        <f t="shared" si="238"/>
        <v>0</v>
      </c>
      <c r="ET855" s="882"/>
      <c r="EU855" s="883"/>
      <c r="EV855" s="884">
        <f t="shared" si="239"/>
        <v>0</v>
      </c>
      <c r="EW855" s="885"/>
      <c r="EX855" s="885"/>
      <c r="EY855" s="885"/>
      <c r="EZ855" s="885"/>
      <c r="FA855" s="885"/>
      <c r="FB855" s="885"/>
      <c r="FC855" s="885"/>
      <c r="FD855" s="886"/>
      <c r="FE855" s="550"/>
      <c r="FF855" s="550"/>
      <c r="FG855" s="550"/>
      <c r="FH855" s="550"/>
      <c r="FI855" s="550"/>
      <c r="FJ855" s="550"/>
      <c r="FK855" s="550"/>
      <c r="FL855" s="555"/>
      <c r="FM855" s="554"/>
      <c r="FN855" s="554"/>
      <c r="FO855" s="554"/>
      <c r="FP855" s="554"/>
      <c r="FQ855" s="554"/>
      <c r="FR855" s="554"/>
      <c r="FS855" s="554"/>
      <c r="FT855" s="554"/>
      <c r="FU855" s="554"/>
      <c r="FV855" s="554"/>
      <c r="FW855" s="554"/>
      <c r="FX855" s="554"/>
      <c r="FY855" s="554"/>
      <c r="FZ855" s="554"/>
      <c r="GA855" s="554"/>
      <c r="GB855" s="556"/>
      <c r="GC855" s="370"/>
      <c r="GD855" s="453"/>
      <c r="GE855" s="453"/>
      <c r="GF855" s="453"/>
      <c r="GG855" s="453"/>
      <c r="GH855" s="454"/>
      <c r="GI855" s="453"/>
      <c r="GJ855" s="453"/>
      <c r="GK855" s="453"/>
      <c r="GL855" s="453"/>
      <c r="GM855" s="453"/>
      <c r="GN855" s="453"/>
      <c r="GO855" s="453"/>
      <c r="GP855" s="453"/>
      <c r="GQ855" s="453"/>
      <c r="GR855" s="453"/>
      <c r="GS855" s="561"/>
      <c r="GT855" s="475"/>
      <c r="GU855" s="472"/>
      <c r="GV855" s="453"/>
      <c r="GW855" s="453"/>
      <c r="GX855" s="869"/>
      <c r="GY855" s="870"/>
      <c r="GZ855" s="867"/>
      <c r="HA855" s="868"/>
      <c r="HB855" s="473"/>
      <c r="HC855" s="869"/>
      <c r="HD855" s="870"/>
      <c r="HE855" s="867"/>
      <c r="HF855" s="868"/>
      <c r="HG855" s="473"/>
      <c r="HH855" s="867"/>
      <c r="HI855" s="868"/>
      <c r="HJ855" s="867"/>
      <c r="HK855" s="868"/>
      <c r="HL855" s="370"/>
      <c r="HM855" s="865"/>
      <c r="HN855" s="866"/>
      <c r="HO855" s="865"/>
      <c r="HP855" s="866"/>
      <c r="HQ855" s="865"/>
      <c r="HR855" s="866"/>
      <c r="HS855" s="867"/>
      <c r="HT855" s="868"/>
      <c r="HU855" s="489"/>
      <c r="HV855" s="865"/>
      <c r="HW855" s="866"/>
    </row>
    <row r="856" spans="25:231" ht="15" customHeight="1">
      <c r="Y856" s="332"/>
      <c r="Z856" s="332"/>
      <c r="AA856" s="332"/>
      <c r="AB856" s="332"/>
      <c r="AC856" s="332"/>
      <c r="AD856" s="332"/>
      <c r="AE856" s="332"/>
      <c r="AF856" s="332"/>
      <c r="AG856" s="332"/>
      <c r="AH856" s="332"/>
      <c r="AI856" s="332"/>
      <c r="AJ856" s="332"/>
      <c r="AK856" s="332"/>
      <c r="AL856" s="332"/>
      <c r="AM856" s="332"/>
      <c r="AN856" s="332"/>
      <c r="AO856" s="332"/>
      <c r="AP856" s="332"/>
      <c r="AQ856" s="332"/>
      <c r="AR856" s="332"/>
      <c r="AS856" s="332"/>
      <c r="AT856" s="332"/>
      <c r="AU856" s="332"/>
      <c r="AV856" s="332"/>
      <c r="AW856" s="332"/>
      <c r="AX856" s="332"/>
      <c r="AY856" s="332"/>
      <c r="AZ856" s="332"/>
      <c r="BA856" s="332"/>
      <c r="BB856" s="332"/>
      <c r="BC856" s="332"/>
      <c r="BD856" s="332"/>
      <c r="BE856" s="332"/>
      <c r="BF856" s="332"/>
      <c r="BG856" s="332"/>
      <c r="BH856" s="332"/>
      <c r="BI856" s="332"/>
      <c r="BJ856" s="332"/>
      <c r="BK856" s="332"/>
      <c r="BL856" s="332"/>
      <c r="BM856" s="332"/>
      <c r="BN856" s="332"/>
      <c r="BO856" s="332"/>
      <c r="BP856" s="332"/>
      <c r="BQ856" s="332"/>
      <c r="BR856" s="332"/>
      <c r="BS856" s="332"/>
      <c r="BT856" s="332"/>
      <c r="BU856" s="332"/>
      <c r="BV856" s="332"/>
      <c r="BW856" s="332"/>
      <c r="BX856" s="332"/>
      <c r="BY856" s="332"/>
      <c r="BZ856" s="332"/>
      <c r="CA856" s="332"/>
      <c r="CB856" s="332"/>
      <c r="CC856" s="332"/>
      <c r="CD856" s="332"/>
      <c r="CE856" s="332"/>
      <c r="CF856" s="332"/>
      <c r="CG856" s="332"/>
      <c r="CH856" s="332"/>
      <c r="CI856" s="332"/>
      <c r="CJ856" s="332"/>
      <c r="CK856" s="332"/>
      <c r="CL856" s="332"/>
      <c r="CM856" s="332"/>
      <c r="CN856" s="332"/>
      <c r="CO856" s="332"/>
      <c r="CP856" s="332"/>
      <c r="CQ856" s="332"/>
      <c r="CR856" s="332"/>
      <c r="CS856" s="332"/>
      <c r="CT856" s="332"/>
      <c r="CU856" s="332"/>
      <c r="CV856" s="332"/>
      <c r="CW856" s="332"/>
      <c r="CX856" s="332"/>
      <c r="CY856" s="332"/>
      <c r="CZ856" s="332"/>
      <c r="DA856" s="332"/>
      <c r="DB856" s="332"/>
      <c r="DC856" s="332"/>
      <c r="DD856" s="332"/>
      <c r="DE856" s="332"/>
      <c r="DF856" s="332"/>
      <c r="DG856" s="332"/>
      <c r="DH856" s="332"/>
      <c r="DI856" s="332"/>
      <c r="DJ856" s="332"/>
      <c r="DK856" s="332"/>
      <c r="DL856" s="332"/>
      <c r="DM856" s="332"/>
      <c r="DN856" s="332"/>
      <c r="DO856" s="332"/>
      <c r="DP856" s="332"/>
      <c r="DQ856" s="332"/>
      <c r="DR856" s="332"/>
      <c r="DS856" s="332"/>
      <c r="DT856" s="332"/>
      <c r="DU856" s="453"/>
      <c r="DV856" s="453"/>
      <c r="DW856" s="453"/>
      <c r="DX856" s="453"/>
      <c r="DY856" s="453"/>
      <c r="DZ856" s="453"/>
      <c r="EA856" s="453"/>
      <c r="EB856" s="453"/>
      <c r="EC856" s="453"/>
      <c r="ED856" s="453"/>
      <c r="EE856" s="453"/>
      <c r="EF856" s="453"/>
      <c r="EG856" s="453"/>
      <c r="EH856" s="453"/>
      <c r="EI856" s="453"/>
      <c r="EJ856" s="453"/>
      <c r="EK856" s="453"/>
      <c r="EL856" s="453"/>
      <c r="EM856" s="483">
        <f t="shared" si="237"/>
        <v>547</v>
      </c>
      <c r="EN856" s="485"/>
      <c r="EO856" s="458"/>
      <c r="EP856" s="467"/>
      <c r="EQ856" s="457"/>
      <c r="ER856" s="808"/>
      <c r="ES856" s="881">
        <f t="shared" si="238"/>
        <v>0</v>
      </c>
      <c r="ET856" s="882"/>
      <c r="EU856" s="883"/>
      <c r="EV856" s="884">
        <f t="shared" si="239"/>
        <v>0</v>
      </c>
      <c r="EW856" s="885"/>
      <c r="EX856" s="885"/>
      <c r="EY856" s="885"/>
      <c r="EZ856" s="885"/>
      <c r="FA856" s="885"/>
      <c r="FB856" s="885"/>
      <c r="FC856" s="885"/>
      <c r="FD856" s="886"/>
      <c r="FE856" s="550"/>
      <c r="FF856" s="550"/>
      <c r="FG856" s="550"/>
      <c r="FH856" s="550"/>
      <c r="FI856" s="550"/>
      <c r="FJ856" s="550"/>
      <c r="FK856" s="550"/>
      <c r="FL856" s="555"/>
      <c r="FM856" s="554"/>
      <c r="FN856" s="554"/>
      <c r="FO856" s="554"/>
      <c r="FP856" s="554"/>
      <c r="FQ856" s="554"/>
      <c r="FR856" s="554"/>
      <c r="FS856" s="554"/>
      <c r="FT856" s="554"/>
      <c r="FU856" s="554"/>
      <c r="FV856" s="554"/>
      <c r="FW856" s="554"/>
      <c r="FX856" s="554"/>
      <c r="FY856" s="554"/>
      <c r="FZ856" s="554"/>
      <c r="GA856" s="554"/>
      <c r="GB856" s="556"/>
      <c r="GC856" s="370"/>
      <c r="GD856" s="453"/>
      <c r="GE856" s="453"/>
      <c r="GF856" s="453"/>
      <c r="GG856" s="453"/>
      <c r="GH856" s="454"/>
      <c r="GI856" s="453"/>
      <c r="GJ856" s="453"/>
      <c r="GK856" s="453"/>
      <c r="GL856" s="453"/>
      <c r="GM856" s="453"/>
      <c r="GN856" s="453"/>
      <c r="GO856" s="453"/>
      <c r="GP856" s="453"/>
      <c r="GQ856" s="453"/>
      <c r="GR856" s="453"/>
      <c r="GS856" s="561"/>
      <c r="GT856" s="475"/>
      <c r="GU856" s="472"/>
      <c r="GV856" s="453"/>
      <c r="GW856" s="453"/>
      <c r="GX856" s="869"/>
      <c r="GY856" s="870"/>
      <c r="GZ856" s="867"/>
      <c r="HA856" s="868"/>
      <c r="HB856" s="473"/>
      <c r="HC856" s="869"/>
      <c r="HD856" s="870"/>
      <c r="HE856" s="867"/>
      <c r="HF856" s="868"/>
      <c r="HG856" s="473"/>
      <c r="HH856" s="867"/>
      <c r="HI856" s="868"/>
      <c r="HJ856" s="867"/>
      <c r="HK856" s="868"/>
      <c r="HL856" s="370"/>
      <c r="HM856" s="865"/>
      <c r="HN856" s="866"/>
      <c r="HO856" s="865"/>
      <c r="HP856" s="866"/>
      <c r="HQ856" s="865"/>
      <c r="HR856" s="866"/>
      <c r="HS856" s="867"/>
      <c r="HT856" s="868"/>
      <c r="HU856" s="489"/>
      <c r="HV856" s="865"/>
      <c r="HW856" s="866"/>
    </row>
    <row r="857" spans="25:231" ht="15" customHeight="1">
      <c r="Y857" s="332"/>
      <c r="Z857" s="332"/>
      <c r="AA857" s="332"/>
      <c r="AB857" s="332"/>
      <c r="AC857" s="332"/>
      <c r="AD857" s="332"/>
      <c r="AE857" s="332"/>
      <c r="AF857" s="332"/>
      <c r="AG857" s="332"/>
      <c r="AH857" s="332"/>
      <c r="AI857" s="332"/>
      <c r="AJ857" s="332"/>
      <c r="AK857" s="332"/>
      <c r="AL857" s="332"/>
      <c r="AM857" s="332"/>
      <c r="AN857" s="332"/>
      <c r="AO857" s="332"/>
      <c r="AP857" s="332"/>
      <c r="AQ857" s="332"/>
      <c r="AR857" s="332"/>
      <c r="AS857" s="332"/>
      <c r="AT857" s="332"/>
      <c r="AU857" s="332"/>
      <c r="AV857" s="332"/>
      <c r="AW857" s="332"/>
      <c r="AX857" s="332"/>
      <c r="AY857" s="332"/>
      <c r="AZ857" s="332"/>
      <c r="BA857" s="332"/>
      <c r="BB857" s="332"/>
      <c r="BC857" s="332"/>
      <c r="BD857" s="332"/>
      <c r="BE857" s="332"/>
      <c r="BF857" s="332"/>
      <c r="BG857" s="332"/>
      <c r="BH857" s="332"/>
      <c r="BI857" s="332"/>
      <c r="BJ857" s="332"/>
      <c r="BK857" s="332"/>
      <c r="BL857" s="332"/>
      <c r="BM857" s="332"/>
      <c r="BN857" s="332"/>
      <c r="BO857" s="332"/>
      <c r="BP857" s="332"/>
      <c r="BQ857" s="332"/>
      <c r="BR857" s="332"/>
      <c r="BS857" s="332"/>
      <c r="BT857" s="332"/>
      <c r="BU857" s="332"/>
      <c r="BV857" s="332"/>
      <c r="BW857" s="332"/>
      <c r="BX857" s="332"/>
      <c r="BY857" s="332"/>
      <c r="BZ857" s="332"/>
      <c r="CA857" s="332"/>
      <c r="CB857" s="332"/>
      <c r="CC857" s="332"/>
      <c r="CD857" s="332"/>
      <c r="CE857" s="332"/>
      <c r="CF857" s="332"/>
      <c r="CG857" s="332"/>
      <c r="CH857" s="332"/>
      <c r="CI857" s="332"/>
      <c r="CJ857" s="332"/>
      <c r="CK857" s="332"/>
      <c r="CL857" s="332"/>
      <c r="CM857" s="332"/>
      <c r="CN857" s="332"/>
      <c r="CO857" s="332"/>
      <c r="CP857" s="332"/>
      <c r="CQ857" s="332"/>
      <c r="CR857" s="332"/>
      <c r="CS857" s="332"/>
      <c r="CT857" s="332"/>
      <c r="CU857" s="332"/>
      <c r="CV857" s="332"/>
      <c r="CW857" s="332"/>
      <c r="CX857" s="332"/>
      <c r="CY857" s="332"/>
      <c r="CZ857" s="332"/>
      <c r="DA857" s="332"/>
      <c r="DB857" s="332"/>
      <c r="DC857" s="332"/>
      <c r="DD857" s="332"/>
      <c r="DE857" s="332"/>
      <c r="DF857" s="332"/>
      <c r="DG857" s="332"/>
      <c r="DH857" s="332"/>
      <c r="DI857" s="332"/>
      <c r="DJ857" s="332"/>
      <c r="DK857" s="332"/>
      <c r="DL857" s="332"/>
      <c r="DM857" s="332"/>
      <c r="DN857" s="332"/>
      <c r="DO857" s="332"/>
      <c r="DP857" s="332"/>
      <c r="DQ857" s="332"/>
      <c r="DR857" s="332"/>
      <c r="DS857" s="332"/>
      <c r="DT857" s="332"/>
      <c r="DU857" s="453"/>
      <c r="DV857" s="453"/>
      <c r="DW857" s="453"/>
      <c r="DX857" s="453"/>
      <c r="DY857" s="453"/>
      <c r="DZ857" s="453"/>
      <c r="EA857" s="453"/>
      <c r="EB857" s="453"/>
      <c r="EC857" s="453"/>
      <c r="ED857" s="453"/>
      <c r="EE857" s="453"/>
      <c r="EF857" s="453"/>
      <c r="EG857" s="453"/>
      <c r="EH857" s="453"/>
      <c r="EI857" s="453"/>
      <c r="EJ857" s="453"/>
      <c r="EK857" s="453"/>
      <c r="EL857" s="453"/>
      <c r="EM857" s="483">
        <f t="shared" si="237"/>
        <v>548</v>
      </c>
      <c r="EN857" s="485"/>
      <c r="EO857" s="458"/>
      <c r="EP857" s="467"/>
      <c r="EQ857" s="457"/>
      <c r="ER857" s="808"/>
      <c r="ES857" s="881">
        <f t="shared" si="238"/>
        <v>0</v>
      </c>
      <c r="ET857" s="882"/>
      <c r="EU857" s="883"/>
      <c r="EV857" s="884">
        <f t="shared" si="239"/>
        <v>0</v>
      </c>
      <c r="EW857" s="885"/>
      <c r="EX857" s="885"/>
      <c r="EY857" s="885"/>
      <c r="EZ857" s="885"/>
      <c r="FA857" s="885"/>
      <c r="FB857" s="885"/>
      <c r="FC857" s="885"/>
      <c r="FD857" s="886"/>
      <c r="FE857" s="550"/>
      <c r="FF857" s="550"/>
      <c r="FG857" s="550"/>
      <c r="FH857" s="550"/>
      <c r="FI857" s="550"/>
      <c r="FJ857" s="550"/>
      <c r="FK857" s="550"/>
      <c r="FL857" s="555"/>
      <c r="FM857" s="554"/>
      <c r="FN857" s="554"/>
      <c r="FO857" s="554"/>
      <c r="FP857" s="554"/>
      <c r="FQ857" s="554"/>
      <c r="FR857" s="554"/>
      <c r="FS857" s="554"/>
      <c r="FT857" s="554"/>
      <c r="FU857" s="554"/>
      <c r="FV857" s="554"/>
      <c r="FW857" s="554"/>
      <c r="FX857" s="554"/>
      <c r="FY857" s="554"/>
      <c r="FZ857" s="554"/>
      <c r="GA857" s="554"/>
      <c r="GB857" s="556"/>
      <c r="GC857" s="370"/>
      <c r="GD857" s="453"/>
      <c r="GE857" s="453"/>
      <c r="GF857" s="453"/>
      <c r="GG857" s="453"/>
      <c r="GH857" s="454"/>
      <c r="GI857" s="453"/>
      <c r="GJ857" s="453"/>
      <c r="GK857" s="453"/>
      <c r="GL857" s="453"/>
      <c r="GM857" s="453"/>
      <c r="GN857" s="453"/>
      <c r="GO857" s="453"/>
      <c r="GP857" s="453"/>
      <c r="GQ857" s="453"/>
      <c r="GR857" s="453"/>
      <c r="GS857" s="561"/>
      <c r="GT857" s="475"/>
      <c r="GU857" s="472"/>
      <c r="GV857" s="453"/>
      <c r="GW857" s="453"/>
      <c r="GX857" s="869"/>
      <c r="GY857" s="870"/>
      <c r="GZ857" s="867"/>
      <c r="HA857" s="868"/>
      <c r="HB857" s="473"/>
      <c r="HC857" s="869"/>
      <c r="HD857" s="870"/>
      <c r="HE857" s="867"/>
      <c r="HF857" s="868"/>
      <c r="HG857" s="473"/>
      <c r="HH857" s="867"/>
      <c r="HI857" s="868"/>
      <c r="HJ857" s="867"/>
      <c r="HK857" s="868"/>
      <c r="HL857" s="370"/>
      <c r="HM857" s="865"/>
      <c r="HN857" s="866"/>
      <c r="HO857" s="865"/>
      <c r="HP857" s="866"/>
      <c r="HQ857" s="865"/>
      <c r="HR857" s="866"/>
      <c r="HS857" s="867"/>
      <c r="HT857" s="868"/>
      <c r="HU857" s="489"/>
      <c r="HV857" s="865"/>
      <c r="HW857" s="866"/>
    </row>
    <row r="858" spans="25:231" ht="15" customHeight="1">
      <c r="Y858" s="332"/>
      <c r="Z858" s="332"/>
      <c r="AA858" s="332"/>
      <c r="AB858" s="332"/>
      <c r="AC858" s="332"/>
      <c r="AD858" s="332"/>
      <c r="AE858" s="332"/>
      <c r="AF858" s="332"/>
      <c r="AG858" s="332"/>
      <c r="AH858" s="332"/>
      <c r="AI858" s="332"/>
      <c r="AJ858" s="332"/>
      <c r="AK858" s="332"/>
      <c r="AL858" s="332"/>
      <c r="AM858" s="332"/>
      <c r="AN858" s="332"/>
      <c r="AO858" s="332"/>
      <c r="AP858" s="332"/>
      <c r="AQ858" s="332"/>
      <c r="AR858" s="332"/>
      <c r="AS858" s="332"/>
      <c r="AT858" s="332"/>
      <c r="AU858" s="332"/>
      <c r="AV858" s="332"/>
      <c r="AW858" s="332"/>
      <c r="AX858" s="332"/>
      <c r="AY858" s="332"/>
      <c r="AZ858" s="332"/>
      <c r="BA858" s="332"/>
      <c r="BB858" s="332"/>
      <c r="BC858" s="332"/>
      <c r="BD858" s="332"/>
      <c r="BE858" s="332"/>
      <c r="BF858" s="332"/>
      <c r="BG858" s="332"/>
      <c r="BH858" s="332"/>
      <c r="BI858" s="332"/>
      <c r="BJ858" s="332"/>
      <c r="BK858" s="332"/>
      <c r="BL858" s="332"/>
      <c r="BM858" s="332"/>
      <c r="BN858" s="332"/>
      <c r="BO858" s="332"/>
      <c r="BP858" s="332"/>
      <c r="BQ858" s="332"/>
      <c r="BR858" s="332"/>
      <c r="BS858" s="332"/>
      <c r="BT858" s="332"/>
      <c r="BU858" s="332"/>
      <c r="BV858" s="332"/>
      <c r="BW858" s="332"/>
      <c r="BX858" s="332"/>
      <c r="BY858" s="332"/>
      <c r="BZ858" s="332"/>
      <c r="CA858" s="332"/>
      <c r="CB858" s="332"/>
      <c r="CC858" s="332"/>
      <c r="CD858" s="332"/>
      <c r="CE858" s="332"/>
      <c r="CF858" s="332"/>
      <c r="CG858" s="332"/>
      <c r="CH858" s="332"/>
      <c r="CI858" s="332"/>
      <c r="CJ858" s="332"/>
      <c r="CK858" s="332"/>
      <c r="CL858" s="332"/>
      <c r="CM858" s="332"/>
      <c r="CN858" s="332"/>
      <c r="CO858" s="332"/>
      <c r="CP858" s="332"/>
      <c r="CQ858" s="332"/>
      <c r="CR858" s="332"/>
      <c r="CS858" s="332"/>
      <c r="CT858" s="332"/>
      <c r="CU858" s="332"/>
      <c r="CV858" s="332"/>
      <c r="CW858" s="332"/>
      <c r="CX858" s="332"/>
      <c r="CY858" s="332"/>
      <c r="CZ858" s="332"/>
      <c r="DA858" s="332"/>
      <c r="DB858" s="332"/>
      <c r="DC858" s="332"/>
      <c r="DD858" s="332"/>
      <c r="DE858" s="332"/>
      <c r="DF858" s="332"/>
      <c r="DG858" s="332"/>
      <c r="DH858" s="332"/>
      <c r="DI858" s="332"/>
      <c r="DJ858" s="332"/>
      <c r="DK858" s="332"/>
      <c r="DL858" s="332"/>
      <c r="DM858" s="332"/>
      <c r="DN858" s="332"/>
      <c r="DO858" s="332"/>
      <c r="DP858" s="332"/>
      <c r="DQ858" s="332"/>
      <c r="DR858" s="332"/>
      <c r="DS858" s="332"/>
      <c r="DT858" s="332"/>
      <c r="DU858" s="453"/>
      <c r="DV858" s="453"/>
      <c r="DW858" s="453"/>
      <c r="DX858" s="453"/>
      <c r="DY858" s="453"/>
      <c r="DZ858" s="453"/>
      <c r="EA858" s="453"/>
      <c r="EB858" s="453"/>
      <c r="EC858" s="453"/>
      <c r="ED858" s="453"/>
      <c r="EE858" s="453"/>
      <c r="EF858" s="453"/>
      <c r="EG858" s="453"/>
      <c r="EH858" s="453"/>
      <c r="EI858" s="453"/>
      <c r="EJ858" s="453"/>
      <c r="EK858" s="453"/>
      <c r="EL858" s="453"/>
      <c r="EM858" s="483">
        <f t="shared" si="237"/>
        <v>549</v>
      </c>
      <c r="EN858" s="485"/>
      <c r="EO858" s="458"/>
      <c r="EP858" s="467"/>
      <c r="EQ858" s="457"/>
      <c r="ER858" s="808"/>
      <c r="ES858" s="881">
        <f t="shared" si="238"/>
        <v>0</v>
      </c>
      <c r="ET858" s="882"/>
      <c r="EU858" s="883"/>
      <c r="EV858" s="884">
        <f t="shared" si="239"/>
        <v>0</v>
      </c>
      <c r="EW858" s="885"/>
      <c r="EX858" s="885"/>
      <c r="EY858" s="885"/>
      <c r="EZ858" s="885"/>
      <c r="FA858" s="885"/>
      <c r="FB858" s="885"/>
      <c r="FC858" s="885"/>
      <c r="FD858" s="886"/>
      <c r="FE858" s="550"/>
      <c r="FF858" s="550"/>
      <c r="FG858" s="550"/>
      <c r="FH858" s="550"/>
      <c r="FI858" s="550"/>
      <c r="FJ858" s="550"/>
      <c r="FK858" s="550"/>
      <c r="FL858" s="555"/>
      <c r="FM858" s="554"/>
      <c r="FN858" s="554"/>
      <c r="FO858" s="554"/>
      <c r="FP858" s="554"/>
      <c r="FQ858" s="554"/>
      <c r="FR858" s="554"/>
      <c r="FS858" s="554"/>
      <c r="FT858" s="554"/>
      <c r="FU858" s="554"/>
      <c r="FV858" s="554"/>
      <c r="FW858" s="554"/>
      <c r="FX858" s="554"/>
      <c r="FY858" s="554"/>
      <c r="FZ858" s="554"/>
      <c r="GA858" s="554"/>
      <c r="GB858" s="556"/>
      <c r="GC858" s="370"/>
      <c r="GD858" s="453"/>
      <c r="GE858" s="453"/>
      <c r="GF858" s="453"/>
      <c r="GG858" s="453"/>
      <c r="GH858" s="454"/>
      <c r="GI858" s="453"/>
      <c r="GJ858" s="453"/>
      <c r="GK858" s="453"/>
      <c r="GL858" s="453"/>
      <c r="GM858" s="453"/>
      <c r="GN858" s="453"/>
      <c r="GO858" s="453"/>
      <c r="GP858" s="453"/>
      <c r="GQ858" s="453"/>
      <c r="GR858" s="453"/>
      <c r="GS858" s="561"/>
      <c r="GT858" s="475"/>
      <c r="GU858" s="472"/>
      <c r="GV858" s="453"/>
      <c r="GW858" s="453"/>
      <c r="GX858" s="869"/>
      <c r="GY858" s="870"/>
      <c r="GZ858" s="867"/>
      <c r="HA858" s="868"/>
      <c r="HB858" s="473"/>
      <c r="HC858" s="869"/>
      <c r="HD858" s="870"/>
      <c r="HE858" s="867"/>
      <c r="HF858" s="868"/>
      <c r="HG858" s="473"/>
      <c r="HH858" s="867"/>
      <c r="HI858" s="868"/>
      <c r="HJ858" s="867"/>
      <c r="HK858" s="868"/>
      <c r="HL858" s="370"/>
      <c r="HM858" s="865"/>
      <c r="HN858" s="866"/>
      <c r="HO858" s="865"/>
      <c r="HP858" s="866"/>
      <c r="HQ858" s="865"/>
      <c r="HR858" s="866"/>
      <c r="HS858" s="867"/>
      <c r="HT858" s="868"/>
      <c r="HU858" s="489"/>
      <c r="HV858" s="865"/>
      <c r="HW858" s="866"/>
    </row>
    <row r="859" spans="25:231" ht="15" customHeight="1">
      <c r="Y859" s="332"/>
      <c r="Z859" s="332"/>
      <c r="AA859" s="332"/>
      <c r="AB859" s="332"/>
      <c r="AC859" s="332"/>
      <c r="AD859" s="332"/>
      <c r="AE859" s="332"/>
      <c r="AF859" s="332"/>
      <c r="AG859" s="332"/>
      <c r="AH859" s="332"/>
      <c r="AI859" s="332"/>
      <c r="AJ859" s="332"/>
      <c r="AK859" s="332"/>
      <c r="AL859" s="332"/>
      <c r="AM859" s="332"/>
      <c r="AN859" s="332"/>
      <c r="AO859" s="332"/>
      <c r="AP859" s="332"/>
      <c r="AQ859" s="332"/>
      <c r="AR859" s="332"/>
      <c r="AS859" s="332"/>
      <c r="AT859" s="332"/>
      <c r="AU859" s="332"/>
      <c r="AV859" s="332"/>
      <c r="AW859" s="332"/>
      <c r="AX859" s="332"/>
      <c r="AY859" s="332"/>
      <c r="AZ859" s="332"/>
      <c r="BA859" s="332"/>
      <c r="BB859" s="332"/>
      <c r="BC859" s="332"/>
      <c r="BD859" s="332"/>
      <c r="BE859" s="332"/>
      <c r="BF859" s="332"/>
      <c r="BG859" s="332"/>
      <c r="BH859" s="332"/>
      <c r="BI859" s="332"/>
      <c r="BJ859" s="332"/>
      <c r="BK859" s="332"/>
      <c r="BL859" s="332"/>
      <c r="BM859" s="332"/>
      <c r="BN859" s="332"/>
      <c r="BO859" s="332"/>
      <c r="BP859" s="332"/>
      <c r="BQ859" s="332"/>
      <c r="BR859" s="332"/>
      <c r="BS859" s="332"/>
      <c r="BT859" s="332"/>
      <c r="BU859" s="332"/>
      <c r="BV859" s="332"/>
      <c r="BW859" s="332"/>
      <c r="BX859" s="332"/>
      <c r="BY859" s="332"/>
      <c r="BZ859" s="332"/>
      <c r="CA859" s="332"/>
      <c r="CB859" s="332"/>
      <c r="CC859" s="332"/>
      <c r="CD859" s="332"/>
      <c r="CE859" s="332"/>
      <c r="CF859" s="332"/>
      <c r="CG859" s="332"/>
      <c r="CH859" s="332"/>
      <c r="CI859" s="332"/>
      <c r="CJ859" s="332"/>
      <c r="CK859" s="332"/>
      <c r="CL859" s="332"/>
      <c r="CM859" s="332"/>
      <c r="CN859" s="332"/>
      <c r="CO859" s="332"/>
      <c r="CP859" s="332"/>
      <c r="CQ859" s="332"/>
      <c r="CR859" s="332"/>
      <c r="CS859" s="332"/>
      <c r="CT859" s="332"/>
      <c r="CU859" s="332"/>
      <c r="CV859" s="332"/>
      <c r="CW859" s="332"/>
      <c r="CX859" s="332"/>
      <c r="CY859" s="332"/>
      <c r="CZ859" s="332"/>
      <c r="DA859" s="332"/>
      <c r="DB859" s="332"/>
      <c r="DC859" s="332"/>
      <c r="DD859" s="332"/>
      <c r="DE859" s="332"/>
      <c r="DF859" s="332"/>
      <c r="DG859" s="332"/>
      <c r="DH859" s="332"/>
      <c r="DI859" s="332"/>
      <c r="DJ859" s="332"/>
      <c r="DK859" s="332"/>
      <c r="DL859" s="332"/>
      <c r="DM859" s="332"/>
      <c r="DN859" s="332"/>
      <c r="DO859" s="332"/>
      <c r="DP859" s="332"/>
      <c r="DQ859" s="332"/>
      <c r="DR859" s="332"/>
      <c r="DS859" s="332"/>
      <c r="DT859" s="332"/>
      <c r="DU859" s="453"/>
      <c r="DV859" s="453"/>
      <c r="DW859" s="453"/>
      <c r="DX859" s="453"/>
      <c r="DY859" s="453"/>
      <c r="DZ859" s="453"/>
      <c r="EA859" s="453"/>
      <c r="EB859" s="453"/>
      <c r="EC859" s="453"/>
      <c r="ED859" s="453"/>
      <c r="EE859" s="453"/>
      <c r="EF859" s="453"/>
      <c r="EG859" s="453"/>
      <c r="EH859" s="453"/>
      <c r="EI859" s="453"/>
      <c r="EJ859" s="453"/>
      <c r="EK859" s="453"/>
      <c r="EL859" s="453"/>
      <c r="EM859" s="483">
        <f t="shared" si="237"/>
        <v>550</v>
      </c>
      <c r="EN859" s="485"/>
      <c r="EO859" s="458"/>
      <c r="EP859" s="467"/>
      <c r="EQ859" s="457"/>
      <c r="ER859" s="808"/>
      <c r="ES859" s="881">
        <f t="shared" si="238"/>
        <v>0</v>
      </c>
      <c r="ET859" s="882"/>
      <c r="EU859" s="883"/>
      <c r="EV859" s="884">
        <f t="shared" si="239"/>
        <v>0</v>
      </c>
      <c r="EW859" s="885"/>
      <c r="EX859" s="885"/>
      <c r="EY859" s="885"/>
      <c r="EZ859" s="885"/>
      <c r="FA859" s="885"/>
      <c r="FB859" s="885"/>
      <c r="FC859" s="885"/>
      <c r="FD859" s="886"/>
      <c r="FE859" s="550"/>
      <c r="FF859" s="550"/>
      <c r="FG859" s="550"/>
      <c r="FH859" s="550"/>
      <c r="FI859" s="550"/>
      <c r="FJ859" s="550"/>
      <c r="FK859" s="550"/>
      <c r="FL859" s="555"/>
      <c r="FM859" s="554"/>
      <c r="FN859" s="554"/>
      <c r="FO859" s="554"/>
      <c r="FP859" s="554"/>
      <c r="FQ859" s="554"/>
      <c r="FR859" s="554"/>
      <c r="FS859" s="554"/>
      <c r="FT859" s="554"/>
      <c r="FU859" s="554"/>
      <c r="FV859" s="554"/>
      <c r="FW859" s="554"/>
      <c r="FX859" s="554"/>
      <c r="FY859" s="554"/>
      <c r="FZ859" s="554"/>
      <c r="GA859" s="554"/>
      <c r="GB859" s="556"/>
      <c r="GC859" s="370"/>
      <c r="GD859" s="453"/>
      <c r="GE859" s="453"/>
      <c r="GF859" s="453"/>
      <c r="GG859" s="453"/>
      <c r="GH859" s="454"/>
      <c r="GI859" s="453"/>
      <c r="GJ859" s="453"/>
      <c r="GK859" s="453"/>
      <c r="GL859" s="453"/>
      <c r="GM859" s="453"/>
      <c r="GN859" s="453"/>
      <c r="GO859" s="453"/>
      <c r="GP859" s="453"/>
      <c r="GQ859" s="453"/>
      <c r="GR859" s="453"/>
      <c r="GS859" s="561"/>
      <c r="GT859" s="475"/>
      <c r="GU859" s="472"/>
      <c r="GV859" s="453"/>
      <c r="GW859" s="453"/>
      <c r="GX859" s="869"/>
      <c r="GY859" s="870"/>
      <c r="GZ859" s="867"/>
      <c r="HA859" s="868"/>
      <c r="HB859" s="473"/>
      <c r="HC859" s="869"/>
      <c r="HD859" s="870"/>
      <c r="HE859" s="867"/>
      <c r="HF859" s="868"/>
      <c r="HG859" s="473"/>
      <c r="HH859" s="867"/>
      <c r="HI859" s="868"/>
      <c r="HJ859" s="867"/>
      <c r="HK859" s="868"/>
      <c r="HL859" s="370"/>
      <c r="HM859" s="865"/>
      <c r="HN859" s="866"/>
      <c r="HO859" s="865"/>
      <c r="HP859" s="866"/>
      <c r="HQ859" s="865"/>
      <c r="HR859" s="866"/>
      <c r="HS859" s="867"/>
      <c r="HT859" s="868"/>
      <c r="HU859" s="489"/>
      <c r="HV859" s="865"/>
      <c r="HW859" s="866"/>
    </row>
    <row r="860" spans="25:231" ht="15" customHeight="1">
      <c r="Y860" s="332"/>
      <c r="Z860" s="332"/>
      <c r="AA860" s="332"/>
      <c r="AB860" s="332"/>
      <c r="AC860" s="332"/>
      <c r="AD860" s="332"/>
      <c r="AE860" s="332"/>
      <c r="AF860" s="332"/>
      <c r="AG860" s="332"/>
      <c r="AH860" s="332"/>
      <c r="AI860" s="332"/>
      <c r="AJ860" s="332"/>
      <c r="AK860" s="332"/>
      <c r="AL860" s="332"/>
      <c r="AM860" s="332"/>
      <c r="AN860" s="332"/>
      <c r="AO860" s="332"/>
      <c r="AP860" s="332"/>
      <c r="AQ860" s="332"/>
      <c r="AR860" s="332"/>
      <c r="AS860" s="332"/>
      <c r="AT860" s="332"/>
      <c r="AU860" s="332"/>
      <c r="AV860" s="332"/>
      <c r="AW860" s="332"/>
      <c r="AX860" s="332"/>
      <c r="AY860" s="332"/>
      <c r="AZ860" s="332"/>
      <c r="BA860" s="332"/>
      <c r="BB860" s="332"/>
      <c r="BC860" s="332"/>
      <c r="BD860" s="332"/>
      <c r="BE860" s="332"/>
      <c r="BF860" s="332"/>
      <c r="BG860" s="332"/>
      <c r="BH860" s="332"/>
      <c r="BI860" s="332"/>
      <c r="BJ860" s="332"/>
      <c r="BK860" s="332"/>
      <c r="BL860" s="332"/>
      <c r="BM860" s="332"/>
      <c r="BN860" s="332"/>
      <c r="BO860" s="332"/>
      <c r="BP860" s="332"/>
      <c r="BQ860" s="332"/>
      <c r="BR860" s="332"/>
      <c r="BS860" s="332"/>
      <c r="BT860" s="332"/>
      <c r="BU860" s="332"/>
      <c r="BV860" s="332"/>
      <c r="BW860" s="332"/>
      <c r="BX860" s="332"/>
      <c r="BY860" s="332"/>
      <c r="BZ860" s="332"/>
      <c r="CA860" s="332"/>
      <c r="CB860" s="332"/>
      <c r="CC860" s="332"/>
      <c r="CD860" s="332"/>
      <c r="CE860" s="332"/>
      <c r="CF860" s="332"/>
      <c r="CG860" s="332"/>
      <c r="CH860" s="332"/>
      <c r="CI860" s="332"/>
      <c r="CJ860" s="332"/>
      <c r="CK860" s="332"/>
      <c r="CL860" s="332"/>
      <c r="CM860" s="332"/>
      <c r="CN860" s="332"/>
      <c r="CO860" s="332"/>
      <c r="CP860" s="332"/>
      <c r="CQ860" s="332"/>
      <c r="CR860" s="332"/>
      <c r="CS860" s="332"/>
      <c r="CT860" s="332"/>
      <c r="CU860" s="332"/>
      <c r="CV860" s="332"/>
      <c r="CW860" s="332"/>
      <c r="CX860" s="332"/>
      <c r="CY860" s="332"/>
      <c r="CZ860" s="332"/>
      <c r="DA860" s="332"/>
      <c r="DB860" s="332"/>
      <c r="DC860" s="332"/>
      <c r="DD860" s="332"/>
      <c r="DE860" s="332"/>
      <c r="DF860" s="332"/>
      <c r="DG860" s="332"/>
      <c r="DH860" s="332"/>
      <c r="DI860" s="332"/>
      <c r="DJ860" s="332"/>
      <c r="DK860" s="332"/>
      <c r="DL860" s="332"/>
      <c r="DM860" s="332"/>
      <c r="DN860" s="332"/>
      <c r="DO860" s="332"/>
      <c r="DP860" s="332"/>
      <c r="DQ860" s="332"/>
      <c r="DR860" s="332"/>
      <c r="DS860" s="332"/>
      <c r="DT860" s="332"/>
      <c r="DU860" s="453"/>
      <c r="DV860" s="453"/>
      <c r="DW860" s="453"/>
      <c r="DX860" s="453"/>
      <c r="DY860" s="453"/>
      <c r="DZ860" s="453"/>
      <c r="EA860" s="453"/>
      <c r="EB860" s="453"/>
      <c r="EC860" s="453"/>
      <c r="ED860" s="453"/>
      <c r="EE860" s="453"/>
      <c r="EF860" s="453"/>
      <c r="EG860" s="453"/>
      <c r="EH860" s="453"/>
      <c r="EI860" s="453"/>
      <c r="EJ860" s="453"/>
      <c r="EK860" s="453"/>
      <c r="EL860" s="453"/>
      <c r="EM860" s="483">
        <f t="shared" si="237"/>
        <v>551</v>
      </c>
      <c r="EN860" s="485"/>
      <c r="EO860" s="458"/>
      <c r="EP860" s="467"/>
      <c r="EQ860" s="457"/>
      <c r="ER860" s="808"/>
      <c r="ES860" s="881">
        <f t="shared" si="238"/>
        <v>0</v>
      </c>
      <c r="ET860" s="882"/>
      <c r="EU860" s="883"/>
      <c r="EV860" s="884">
        <f t="shared" si="239"/>
        <v>0</v>
      </c>
      <c r="EW860" s="885"/>
      <c r="EX860" s="885"/>
      <c r="EY860" s="885"/>
      <c r="EZ860" s="885"/>
      <c r="FA860" s="885"/>
      <c r="FB860" s="885"/>
      <c r="FC860" s="885"/>
      <c r="FD860" s="886"/>
      <c r="FE860" s="550"/>
      <c r="FF860" s="550"/>
      <c r="FG860" s="550"/>
      <c r="FH860" s="550"/>
      <c r="FI860" s="550"/>
      <c r="FJ860" s="550"/>
      <c r="FK860" s="550"/>
      <c r="FL860" s="555"/>
      <c r="FM860" s="554"/>
      <c r="FN860" s="554"/>
      <c r="FO860" s="554"/>
      <c r="FP860" s="554"/>
      <c r="FQ860" s="554"/>
      <c r="FR860" s="554"/>
      <c r="FS860" s="554"/>
      <c r="FT860" s="554"/>
      <c r="FU860" s="554"/>
      <c r="FV860" s="554"/>
      <c r="FW860" s="554"/>
      <c r="FX860" s="554"/>
      <c r="FY860" s="554"/>
      <c r="FZ860" s="554"/>
      <c r="GA860" s="554"/>
      <c r="GB860" s="556"/>
      <c r="GC860" s="370"/>
      <c r="GD860" s="453"/>
      <c r="GE860" s="453"/>
      <c r="GF860" s="453"/>
      <c r="GG860" s="453"/>
      <c r="GH860" s="454"/>
      <c r="GI860" s="453"/>
      <c r="GJ860" s="453"/>
      <c r="GK860" s="453"/>
      <c r="GL860" s="453"/>
      <c r="GM860" s="453"/>
      <c r="GN860" s="453"/>
      <c r="GO860" s="453"/>
      <c r="GP860" s="453"/>
      <c r="GQ860" s="453"/>
      <c r="GR860" s="453"/>
      <c r="GS860" s="561"/>
      <c r="GT860" s="475"/>
      <c r="GU860" s="472"/>
      <c r="GV860" s="453"/>
      <c r="GW860" s="453"/>
      <c r="GX860" s="869"/>
      <c r="GY860" s="870"/>
      <c r="GZ860" s="867"/>
      <c r="HA860" s="868"/>
      <c r="HB860" s="473"/>
      <c r="HC860" s="869"/>
      <c r="HD860" s="870"/>
      <c r="HE860" s="867"/>
      <c r="HF860" s="868"/>
      <c r="HG860" s="473"/>
      <c r="HH860" s="867"/>
      <c r="HI860" s="868"/>
      <c r="HJ860" s="867"/>
      <c r="HK860" s="868"/>
      <c r="HL860" s="370"/>
      <c r="HM860" s="865"/>
      <c r="HN860" s="866"/>
      <c r="HO860" s="865"/>
      <c r="HP860" s="866"/>
      <c r="HQ860" s="865"/>
      <c r="HR860" s="866"/>
      <c r="HS860" s="867"/>
      <c r="HT860" s="868"/>
      <c r="HU860" s="489"/>
      <c r="HV860" s="865"/>
      <c r="HW860" s="866"/>
    </row>
    <row r="861" spans="25:231" ht="15" customHeight="1">
      <c r="Y861" s="332"/>
      <c r="Z861" s="332"/>
      <c r="AA861" s="332"/>
      <c r="AB861" s="332"/>
      <c r="AC861" s="332"/>
      <c r="AD861" s="332"/>
      <c r="AE861" s="332"/>
      <c r="AF861" s="332"/>
      <c r="AG861" s="332"/>
      <c r="AH861" s="332"/>
      <c r="AI861" s="332"/>
      <c r="AJ861" s="332"/>
      <c r="AK861" s="332"/>
      <c r="AL861" s="332"/>
      <c r="AM861" s="332"/>
      <c r="AN861" s="332"/>
      <c r="AO861" s="332"/>
      <c r="AP861" s="332"/>
      <c r="AQ861" s="332"/>
      <c r="AR861" s="332"/>
      <c r="AS861" s="332"/>
      <c r="AT861" s="332"/>
      <c r="AU861" s="332"/>
      <c r="AV861" s="332"/>
      <c r="AW861" s="332"/>
      <c r="AX861" s="332"/>
      <c r="AY861" s="332"/>
      <c r="AZ861" s="332"/>
      <c r="BA861" s="332"/>
      <c r="BB861" s="332"/>
      <c r="BC861" s="332"/>
      <c r="BD861" s="332"/>
      <c r="BE861" s="332"/>
      <c r="BF861" s="332"/>
      <c r="BG861" s="332"/>
      <c r="BH861" s="332"/>
      <c r="BI861" s="332"/>
      <c r="BJ861" s="332"/>
      <c r="BK861" s="332"/>
      <c r="BL861" s="332"/>
      <c r="BM861" s="332"/>
      <c r="BN861" s="332"/>
      <c r="BO861" s="332"/>
      <c r="BP861" s="332"/>
      <c r="BQ861" s="332"/>
      <c r="BR861" s="332"/>
      <c r="BS861" s="332"/>
      <c r="BT861" s="332"/>
      <c r="BU861" s="332"/>
      <c r="BV861" s="332"/>
      <c r="BW861" s="332"/>
      <c r="BX861" s="332"/>
      <c r="BY861" s="332"/>
      <c r="BZ861" s="332"/>
      <c r="CA861" s="332"/>
      <c r="CB861" s="332"/>
      <c r="CC861" s="332"/>
      <c r="CD861" s="332"/>
      <c r="CE861" s="332"/>
      <c r="CF861" s="332"/>
      <c r="CG861" s="332"/>
      <c r="CH861" s="332"/>
      <c r="CI861" s="332"/>
      <c r="CJ861" s="332"/>
      <c r="CK861" s="332"/>
      <c r="CL861" s="332"/>
      <c r="CM861" s="332"/>
      <c r="CN861" s="332"/>
      <c r="CO861" s="332"/>
      <c r="CP861" s="332"/>
      <c r="CQ861" s="332"/>
      <c r="CR861" s="332"/>
      <c r="CS861" s="332"/>
      <c r="CT861" s="332"/>
      <c r="CU861" s="332"/>
      <c r="CV861" s="332"/>
      <c r="CW861" s="332"/>
      <c r="CX861" s="332"/>
      <c r="CY861" s="332"/>
      <c r="CZ861" s="332"/>
      <c r="DA861" s="332"/>
      <c r="DB861" s="332"/>
      <c r="DC861" s="332"/>
      <c r="DD861" s="332"/>
      <c r="DE861" s="332"/>
      <c r="DF861" s="332"/>
      <c r="DG861" s="332"/>
      <c r="DH861" s="332"/>
      <c r="DI861" s="332"/>
      <c r="DJ861" s="332"/>
      <c r="DK861" s="332"/>
      <c r="DL861" s="332"/>
      <c r="DM861" s="332"/>
      <c r="DN861" s="332"/>
      <c r="DO861" s="332"/>
      <c r="DP861" s="332"/>
      <c r="DQ861" s="332"/>
      <c r="DR861" s="332"/>
      <c r="DS861" s="332"/>
      <c r="DT861" s="332"/>
      <c r="DU861" s="453"/>
      <c r="DV861" s="453"/>
      <c r="DW861" s="453"/>
      <c r="DX861" s="453"/>
      <c r="DY861" s="453"/>
      <c r="DZ861" s="453"/>
      <c r="EA861" s="453"/>
      <c r="EB861" s="453"/>
      <c r="EC861" s="453"/>
      <c r="ED861" s="453"/>
      <c r="EE861" s="453"/>
      <c r="EF861" s="453"/>
      <c r="EG861" s="453"/>
      <c r="EH861" s="453"/>
      <c r="EI861" s="453"/>
      <c r="EJ861" s="453"/>
      <c r="EK861" s="453"/>
      <c r="EL861" s="453"/>
      <c r="EM861" s="483">
        <f t="shared" si="237"/>
        <v>552</v>
      </c>
      <c r="EN861" s="485"/>
      <c r="EO861" s="458"/>
      <c r="EP861" s="467"/>
      <c r="EQ861" s="457"/>
      <c r="ER861" s="808"/>
      <c r="ES861" s="881">
        <f t="shared" si="238"/>
        <v>0</v>
      </c>
      <c r="ET861" s="882"/>
      <c r="EU861" s="883"/>
      <c r="EV861" s="884">
        <f t="shared" si="239"/>
        <v>0</v>
      </c>
      <c r="EW861" s="885"/>
      <c r="EX861" s="885"/>
      <c r="EY861" s="885"/>
      <c r="EZ861" s="885"/>
      <c r="FA861" s="885"/>
      <c r="FB861" s="885"/>
      <c r="FC861" s="885"/>
      <c r="FD861" s="886"/>
      <c r="FE861" s="550"/>
      <c r="FF861" s="550"/>
      <c r="FG861" s="550"/>
      <c r="FH861" s="550"/>
      <c r="FI861" s="550"/>
      <c r="FJ861" s="550"/>
      <c r="FK861" s="550"/>
      <c r="FL861" s="555"/>
      <c r="FM861" s="554"/>
      <c r="FN861" s="554"/>
      <c r="FO861" s="554"/>
      <c r="FP861" s="554"/>
      <c r="FQ861" s="554"/>
      <c r="FR861" s="554"/>
      <c r="FS861" s="554"/>
      <c r="FT861" s="554"/>
      <c r="FU861" s="554"/>
      <c r="FV861" s="554"/>
      <c r="FW861" s="554"/>
      <c r="FX861" s="554"/>
      <c r="FY861" s="554"/>
      <c r="FZ861" s="554"/>
      <c r="GA861" s="554"/>
      <c r="GB861" s="556"/>
      <c r="GC861" s="370"/>
      <c r="GD861" s="453"/>
      <c r="GE861" s="453"/>
      <c r="GF861" s="453"/>
      <c r="GG861" s="453"/>
      <c r="GH861" s="454"/>
      <c r="GI861" s="453"/>
      <c r="GJ861" s="453"/>
      <c r="GK861" s="453"/>
      <c r="GL861" s="453"/>
      <c r="GM861" s="453"/>
      <c r="GN861" s="453"/>
      <c r="GO861" s="453"/>
      <c r="GP861" s="453"/>
      <c r="GQ861" s="453"/>
      <c r="GR861" s="453"/>
      <c r="GS861" s="561"/>
      <c r="GT861" s="475"/>
      <c r="GU861" s="472"/>
      <c r="GV861" s="453"/>
      <c r="GW861" s="453"/>
      <c r="GX861" s="869"/>
      <c r="GY861" s="870"/>
      <c r="GZ861" s="867"/>
      <c r="HA861" s="868"/>
      <c r="HB861" s="473"/>
      <c r="HC861" s="869"/>
      <c r="HD861" s="870"/>
      <c r="HE861" s="867"/>
      <c r="HF861" s="868"/>
      <c r="HG861" s="473"/>
      <c r="HH861" s="867"/>
      <c r="HI861" s="868"/>
      <c r="HJ861" s="867"/>
      <c r="HK861" s="868"/>
      <c r="HL861" s="370"/>
      <c r="HM861" s="865"/>
      <c r="HN861" s="866"/>
      <c r="HO861" s="865"/>
      <c r="HP861" s="866"/>
      <c r="HQ861" s="865"/>
      <c r="HR861" s="866"/>
      <c r="HS861" s="867"/>
      <c r="HT861" s="868"/>
      <c r="HU861" s="489"/>
      <c r="HV861" s="865"/>
      <c r="HW861" s="866"/>
    </row>
    <row r="862" spans="25:231" ht="15" customHeight="1">
      <c r="Y862" s="332"/>
      <c r="Z862" s="332"/>
      <c r="AA862" s="332"/>
      <c r="AB862" s="332"/>
      <c r="AC862" s="332"/>
      <c r="AD862" s="332"/>
      <c r="AE862" s="332"/>
      <c r="AF862" s="332"/>
      <c r="AG862" s="332"/>
      <c r="AH862" s="332"/>
      <c r="AI862" s="332"/>
      <c r="AJ862" s="332"/>
      <c r="AK862" s="332"/>
      <c r="AL862" s="332"/>
      <c r="AM862" s="332"/>
      <c r="AN862" s="332"/>
      <c r="AO862" s="332"/>
      <c r="AP862" s="332"/>
      <c r="AQ862" s="332"/>
      <c r="AR862" s="332"/>
      <c r="AS862" s="332"/>
      <c r="AT862" s="332"/>
      <c r="AU862" s="332"/>
      <c r="AV862" s="332"/>
      <c r="AW862" s="332"/>
      <c r="AX862" s="332"/>
      <c r="AY862" s="332"/>
      <c r="AZ862" s="332"/>
      <c r="BA862" s="332"/>
      <c r="BB862" s="332"/>
      <c r="BC862" s="332"/>
      <c r="BD862" s="332"/>
      <c r="BE862" s="332"/>
      <c r="BF862" s="332"/>
      <c r="BG862" s="332"/>
      <c r="BH862" s="332"/>
      <c r="BI862" s="332"/>
      <c r="BJ862" s="332"/>
      <c r="BK862" s="332"/>
      <c r="BL862" s="332"/>
      <c r="BM862" s="332"/>
      <c r="BN862" s="332"/>
      <c r="BO862" s="332"/>
      <c r="BP862" s="332"/>
      <c r="BQ862" s="332"/>
      <c r="BR862" s="332"/>
      <c r="BS862" s="332"/>
      <c r="BT862" s="332"/>
      <c r="BU862" s="332"/>
      <c r="BV862" s="332"/>
      <c r="BW862" s="332"/>
      <c r="BX862" s="332"/>
      <c r="BY862" s="332"/>
      <c r="BZ862" s="332"/>
      <c r="CA862" s="332"/>
      <c r="CB862" s="332"/>
      <c r="CC862" s="332"/>
      <c r="CD862" s="332"/>
      <c r="CE862" s="332"/>
      <c r="CF862" s="332"/>
      <c r="CG862" s="332"/>
      <c r="CH862" s="332"/>
      <c r="CI862" s="332"/>
      <c r="CJ862" s="332"/>
      <c r="CK862" s="332"/>
      <c r="CL862" s="332"/>
      <c r="CM862" s="332"/>
      <c r="CN862" s="332"/>
      <c r="CO862" s="332"/>
      <c r="CP862" s="332"/>
      <c r="CQ862" s="332"/>
      <c r="CR862" s="332"/>
      <c r="CS862" s="332"/>
      <c r="CT862" s="332"/>
      <c r="CU862" s="332"/>
      <c r="CV862" s="332"/>
      <c r="CW862" s="332"/>
      <c r="CX862" s="332"/>
      <c r="CY862" s="332"/>
      <c r="CZ862" s="332"/>
      <c r="DA862" s="332"/>
      <c r="DB862" s="332"/>
      <c r="DC862" s="332"/>
      <c r="DD862" s="332"/>
      <c r="DE862" s="332"/>
      <c r="DF862" s="332"/>
      <c r="DG862" s="332"/>
      <c r="DH862" s="332"/>
      <c r="DI862" s="332"/>
      <c r="DJ862" s="332"/>
      <c r="DK862" s="332"/>
      <c r="DL862" s="332"/>
      <c r="DM862" s="332"/>
      <c r="DN862" s="332"/>
      <c r="DO862" s="332"/>
      <c r="DP862" s="332"/>
      <c r="DQ862" s="332"/>
      <c r="DR862" s="332"/>
      <c r="DS862" s="332"/>
      <c r="DT862" s="332"/>
      <c r="DU862" s="453"/>
      <c r="DV862" s="453"/>
      <c r="DW862" s="453"/>
      <c r="DX862" s="453"/>
      <c r="DY862" s="453"/>
      <c r="DZ862" s="453"/>
      <c r="EA862" s="453"/>
      <c r="EB862" s="453"/>
      <c r="EC862" s="453"/>
      <c r="ED862" s="453"/>
      <c r="EE862" s="453"/>
      <c r="EF862" s="453"/>
      <c r="EG862" s="453"/>
      <c r="EH862" s="453"/>
      <c r="EI862" s="453"/>
      <c r="EJ862" s="453"/>
      <c r="EK862" s="453"/>
      <c r="EL862" s="453"/>
      <c r="EM862" s="483">
        <f t="shared" si="237"/>
        <v>553</v>
      </c>
      <c r="EN862" s="485"/>
      <c r="EO862" s="458"/>
      <c r="EP862" s="467"/>
      <c r="EQ862" s="457"/>
      <c r="ER862" s="808"/>
      <c r="ES862" s="881">
        <f t="shared" si="238"/>
        <v>0</v>
      </c>
      <c r="ET862" s="882"/>
      <c r="EU862" s="883"/>
      <c r="EV862" s="884">
        <f t="shared" si="239"/>
        <v>0</v>
      </c>
      <c r="EW862" s="885"/>
      <c r="EX862" s="885"/>
      <c r="EY862" s="885"/>
      <c r="EZ862" s="885"/>
      <c r="FA862" s="885"/>
      <c r="FB862" s="885"/>
      <c r="FC862" s="885"/>
      <c r="FD862" s="886"/>
      <c r="FE862" s="550"/>
      <c r="FF862" s="550"/>
      <c r="FG862" s="550"/>
      <c r="FH862" s="550"/>
      <c r="FI862" s="550"/>
      <c r="FJ862" s="550"/>
      <c r="FK862" s="550"/>
      <c r="FL862" s="555"/>
      <c r="FM862" s="554"/>
      <c r="FN862" s="554"/>
      <c r="FO862" s="554"/>
      <c r="FP862" s="554"/>
      <c r="FQ862" s="554"/>
      <c r="FR862" s="554"/>
      <c r="FS862" s="554"/>
      <c r="FT862" s="554"/>
      <c r="FU862" s="554"/>
      <c r="FV862" s="554"/>
      <c r="FW862" s="554"/>
      <c r="FX862" s="554"/>
      <c r="FY862" s="554"/>
      <c r="FZ862" s="554"/>
      <c r="GA862" s="554"/>
      <c r="GB862" s="556"/>
      <c r="GC862" s="370"/>
      <c r="GD862" s="453"/>
      <c r="GE862" s="453"/>
      <c r="GF862" s="453"/>
      <c r="GG862" s="453"/>
      <c r="GH862" s="454"/>
      <c r="GI862" s="453"/>
      <c r="GJ862" s="453"/>
      <c r="GK862" s="453"/>
      <c r="GL862" s="453"/>
      <c r="GM862" s="453"/>
      <c r="GN862" s="453"/>
      <c r="GO862" s="453"/>
      <c r="GP862" s="453"/>
      <c r="GQ862" s="453"/>
      <c r="GR862" s="453"/>
      <c r="GS862" s="561"/>
      <c r="GT862" s="475"/>
      <c r="GU862" s="472"/>
      <c r="GV862" s="453"/>
      <c r="GW862" s="453"/>
      <c r="GX862" s="869"/>
      <c r="GY862" s="870"/>
      <c r="GZ862" s="867"/>
      <c r="HA862" s="868"/>
      <c r="HB862" s="473"/>
      <c r="HC862" s="869"/>
      <c r="HD862" s="870"/>
      <c r="HE862" s="867"/>
      <c r="HF862" s="868"/>
      <c r="HG862" s="473"/>
      <c r="HH862" s="867"/>
      <c r="HI862" s="868"/>
      <c r="HJ862" s="867"/>
      <c r="HK862" s="868"/>
      <c r="HL862" s="370"/>
      <c r="HM862" s="865"/>
      <c r="HN862" s="866"/>
      <c r="HO862" s="865"/>
      <c r="HP862" s="866"/>
      <c r="HQ862" s="865"/>
      <c r="HR862" s="866"/>
      <c r="HS862" s="867"/>
      <c r="HT862" s="868"/>
      <c r="HU862" s="489"/>
      <c r="HV862" s="865"/>
      <c r="HW862" s="866"/>
    </row>
    <row r="863" spans="25:231" ht="15" customHeight="1">
      <c r="Y863" s="332"/>
      <c r="Z863" s="332"/>
      <c r="AA863" s="332"/>
      <c r="AB863" s="332"/>
      <c r="AC863" s="332"/>
      <c r="AD863" s="332"/>
      <c r="AE863" s="332"/>
      <c r="AF863" s="332"/>
      <c r="AG863" s="332"/>
      <c r="AH863" s="332"/>
      <c r="AI863" s="332"/>
      <c r="AJ863" s="332"/>
      <c r="AK863" s="332"/>
      <c r="AL863" s="332"/>
      <c r="AM863" s="332"/>
      <c r="AN863" s="332"/>
      <c r="AO863" s="332"/>
      <c r="AP863" s="332"/>
      <c r="AQ863" s="332"/>
      <c r="AR863" s="332"/>
      <c r="AS863" s="332"/>
      <c r="AT863" s="332"/>
      <c r="AU863" s="332"/>
      <c r="AV863" s="332"/>
      <c r="AW863" s="332"/>
      <c r="AX863" s="332"/>
      <c r="AY863" s="332"/>
      <c r="AZ863" s="332"/>
      <c r="BA863" s="332"/>
      <c r="BB863" s="332"/>
      <c r="BC863" s="332"/>
      <c r="BD863" s="332"/>
      <c r="BE863" s="332"/>
      <c r="BF863" s="332"/>
      <c r="BG863" s="332"/>
      <c r="BH863" s="332"/>
      <c r="BI863" s="332"/>
      <c r="BJ863" s="332"/>
      <c r="BK863" s="332"/>
      <c r="BL863" s="332"/>
      <c r="BM863" s="332"/>
      <c r="BN863" s="332"/>
      <c r="BO863" s="332"/>
      <c r="BP863" s="332"/>
      <c r="BQ863" s="332"/>
      <c r="BR863" s="332"/>
      <c r="BS863" s="332"/>
      <c r="BT863" s="332"/>
      <c r="BU863" s="332"/>
      <c r="BV863" s="332"/>
      <c r="BW863" s="332"/>
      <c r="BX863" s="332"/>
      <c r="BY863" s="332"/>
      <c r="BZ863" s="332"/>
      <c r="CA863" s="332"/>
      <c r="CB863" s="332"/>
      <c r="CC863" s="332"/>
      <c r="CD863" s="332"/>
      <c r="CE863" s="332"/>
      <c r="CF863" s="332"/>
      <c r="CG863" s="332"/>
      <c r="CH863" s="332"/>
      <c r="CI863" s="332"/>
      <c r="CJ863" s="332"/>
      <c r="CK863" s="332"/>
      <c r="CL863" s="332"/>
      <c r="CM863" s="332"/>
      <c r="CN863" s="332"/>
      <c r="CO863" s="332"/>
      <c r="CP863" s="332"/>
      <c r="CQ863" s="332"/>
      <c r="CR863" s="332"/>
      <c r="CS863" s="332"/>
      <c r="CT863" s="332"/>
      <c r="CU863" s="332"/>
      <c r="CV863" s="332"/>
      <c r="CW863" s="332"/>
      <c r="CX863" s="332"/>
      <c r="CY863" s="332"/>
      <c r="CZ863" s="332"/>
      <c r="DA863" s="332"/>
      <c r="DB863" s="332"/>
      <c r="DC863" s="332"/>
      <c r="DD863" s="332"/>
      <c r="DE863" s="332"/>
      <c r="DF863" s="332"/>
      <c r="DG863" s="332"/>
      <c r="DH863" s="332"/>
      <c r="DI863" s="332"/>
      <c r="DJ863" s="332"/>
      <c r="DK863" s="332"/>
      <c r="DL863" s="332"/>
      <c r="DM863" s="332"/>
      <c r="DN863" s="332"/>
      <c r="DO863" s="332"/>
      <c r="DP863" s="332"/>
      <c r="DQ863" s="332"/>
      <c r="DR863" s="332"/>
      <c r="DS863" s="332"/>
      <c r="DT863" s="332"/>
      <c r="DU863" s="453"/>
      <c r="DV863" s="453"/>
      <c r="DW863" s="453"/>
      <c r="DX863" s="453"/>
      <c r="DY863" s="453"/>
      <c r="DZ863" s="453"/>
      <c r="EA863" s="453"/>
      <c r="EB863" s="453"/>
      <c r="EC863" s="453"/>
      <c r="ED863" s="453"/>
      <c r="EE863" s="453"/>
      <c r="EF863" s="453"/>
      <c r="EG863" s="453"/>
      <c r="EH863" s="453"/>
      <c r="EI863" s="453"/>
      <c r="EJ863" s="453"/>
      <c r="EK863" s="453"/>
      <c r="EL863" s="453"/>
      <c r="EM863" s="483">
        <f t="shared" si="237"/>
        <v>554</v>
      </c>
      <c r="EN863" s="485"/>
      <c r="EO863" s="458"/>
      <c r="EP863" s="467"/>
      <c r="EQ863" s="457"/>
      <c r="ER863" s="808"/>
      <c r="ES863" s="881">
        <f t="shared" si="238"/>
        <v>0</v>
      </c>
      <c r="ET863" s="882"/>
      <c r="EU863" s="883"/>
      <c r="EV863" s="884">
        <f t="shared" si="239"/>
        <v>0</v>
      </c>
      <c r="EW863" s="885"/>
      <c r="EX863" s="885"/>
      <c r="EY863" s="885"/>
      <c r="EZ863" s="885"/>
      <c r="FA863" s="885"/>
      <c r="FB863" s="885"/>
      <c r="FC863" s="885"/>
      <c r="FD863" s="886"/>
      <c r="FE863" s="550"/>
      <c r="FF863" s="550"/>
      <c r="FG863" s="550"/>
      <c r="FH863" s="550"/>
      <c r="FI863" s="550"/>
      <c r="FJ863" s="550"/>
      <c r="FK863" s="550"/>
      <c r="FL863" s="555"/>
      <c r="FM863" s="554"/>
      <c r="FN863" s="554"/>
      <c r="FO863" s="554"/>
      <c r="FP863" s="554"/>
      <c r="FQ863" s="554"/>
      <c r="FR863" s="554"/>
      <c r="FS863" s="554"/>
      <c r="FT863" s="554"/>
      <c r="FU863" s="554"/>
      <c r="FV863" s="554"/>
      <c r="FW863" s="554"/>
      <c r="FX863" s="554"/>
      <c r="FY863" s="554"/>
      <c r="FZ863" s="554"/>
      <c r="GA863" s="554"/>
      <c r="GB863" s="556"/>
      <c r="GC863" s="370"/>
      <c r="GD863" s="453"/>
      <c r="GE863" s="453"/>
      <c r="GF863" s="453"/>
      <c r="GG863" s="453"/>
      <c r="GH863" s="454"/>
      <c r="GI863" s="453"/>
      <c r="GJ863" s="453"/>
      <c r="GK863" s="453"/>
      <c r="GL863" s="453"/>
      <c r="GM863" s="453"/>
      <c r="GN863" s="453"/>
      <c r="GO863" s="453"/>
      <c r="GP863" s="453"/>
      <c r="GQ863" s="453"/>
      <c r="GR863" s="453"/>
      <c r="GS863" s="561"/>
      <c r="GT863" s="475"/>
      <c r="GU863" s="472"/>
      <c r="GV863" s="453"/>
      <c r="GW863" s="453"/>
      <c r="GX863" s="869"/>
      <c r="GY863" s="870"/>
      <c r="GZ863" s="867"/>
      <c r="HA863" s="868"/>
      <c r="HB863" s="473"/>
      <c r="HC863" s="869"/>
      <c r="HD863" s="870"/>
      <c r="HE863" s="867"/>
      <c r="HF863" s="868"/>
      <c r="HG863" s="473"/>
      <c r="HH863" s="867"/>
      <c r="HI863" s="868"/>
      <c r="HJ863" s="867"/>
      <c r="HK863" s="868"/>
      <c r="HL863" s="370"/>
      <c r="HM863" s="865"/>
      <c r="HN863" s="866"/>
      <c r="HO863" s="865"/>
      <c r="HP863" s="866"/>
      <c r="HQ863" s="865"/>
      <c r="HR863" s="866"/>
      <c r="HS863" s="867"/>
      <c r="HT863" s="868"/>
      <c r="HU863" s="489"/>
      <c r="HV863" s="865"/>
      <c r="HW863" s="866"/>
    </row>
    <row r="864" spans="25:231" ht="15" customHeight="1">
      <c r="Y864" s="332"/>
      <c r="Z864" s="332"/>
      <c r="AA864" s="332"/>
      <c r="AB864" s="332"/>
      <c r="AC864" s="332"/>
      <c r="AD864" s="332"/>
      <c r="AE864" s="332"/>
      <c r="AF864" s="332"/>
      <c r="AG864" s="332"/>
      <c r="AH864" s="332"/>
      <c r="AI864" s="332"/>
      <c r="AJ864" s="332"/>
      <c r="AK864" s="332"/>
      <c r="AL864" s="332"/>
      <c r="AM864" s="332"/>
      <c r="AN864" s="332"/>
      <c r="AO864" s="332"/>
      <c r="AP864" s="332"/>
      <c r="AQ864" s="332"/>
      <c r="AR864" s="332"/>
      <c r="AS864" s="332"/>
      <c r="AT864" s="332"/>
      <c r="AU864" s="332"/>
      <c r="AV864" s="332"/>
      <c r="AW864" s="332"/>
      <c r="AX864" s="332"/>
      <c r="AY864" s="332"/>
      <c r="AZ864" s="332"/>
      <c r="BA864" s="332"/>
      <c r="BB864" s="332"/>
      <c r="BC864" s="332"/>
      <c r="BD864" s="332"/>
      <c r="BE864" s="332"/>
      <c r="BF864" s="332"/>
      <c r="BG864" s="332"/>
      <c r="BH864" s="332"/>
      <c r="BI864" s="332"/>
      <c r="BJ864" s="332"/>
      <c r="BK864" s="332"/>
      <c r="BL864" s="332"/>
      <c r="BM864" s="332"/>
      <c r="BN864" s="332"/>
      <c r="BO864" s="332"/>
      <c r="BP864" s="332"/>
      <c r="BQ864" s="332"/>
      <c r="BR864" s="332"/>
      <c r="BS864" s="332"/>
      <c r="BT864" s="332"/>
      <c r="BU864" s="332"/>
      <c r="BV864" s="332"/>
      <c r="BW864" s="332"/>
      <c r="BX864" s="332"/>
      <c r="BY864" s="332"/>
      <c r="BZ864" s="332"/>
      <c r="CA864" s="332"/>
      <c r="CB864" s="332"/>
      <c r="CC864" s="332"/>
      <c r="CD864" s="332"/>
      <c r="CE864" s="332"/>
      <c r="CF864" s="332"/>
      <c r="CG864" s="332"/>
      <c r="CH864" s="332"/>
      <c r="CI864" s="332"/>
      <c r="CJ864" s="332"/>
      <c r="CK864" s="332"/>
      <c r="CL864" s="332"/>
      <c r="CM864" s="332"/>
      <c r="CN864" s="332"/>
      <c r="CO864" s="332"/>
      <c r="CP864" s="332"/>
      <c r="CQ864" s="332"/>
      <c r="CR864" s="332"/>
      <c r="CS864" s="332"/>
      <c r="CT864" s="332"/>
      <c r="CU864" s="332"/>
      <c r="CV864" s="332"/>
      <c r="CW864" s="332"/>
      <c r="CX864" s="332"/>
      <c r="CY864" s="332"/>
      <c r="CZ864" s="332"/>
      <c r="DA864" s="332"/>
      <c r="DB864" s="332"/>
      <c r="DC864" s="332"/>
      <c r="DD864" s="332"/>
      <c r="DE864" s="332"/>
      <c r="DF864" s="332"/>
      <c r="DG864" s="332"/>
      <c r="DH864" s="332"/>
      <c r="DI864" s="332"/>
      <c r="DJ864" s="332"/>
      <c r="DK864" s="332"/>
      <c r="DL864" s="332"/>
      <c r="DM864" s="332"/>
      <c r="DN864" s="332"/>
      <c r="DO864" s="332"/>
      <c r="DP864" s="332"/>
      <c r="DQ864" s="332"/>
      <c r="DR864" s="332"/>
      <c r="DS864" s="332"/>
      <c r="DT864" s="332"/>
      <c r="DU864" s="453"/>
      <c r="DV864" s="453"/>
      <c r="DW864" s="453"/>
      <c r="DX864" s="453"/>
      <c r="DY864" s="453"/>
      <c r="DZ864" s="453"/>
      <c r="EA864" s="453"/>
      <c r="EB864" s="453"/>
      <c r="EC864" s="453"/>
      <c r="ED864" s="453"/>
      <c r="EE864" s="453"/>
      <c r="EF864" s="453"/>
      <c r="EG864" s="453"/>
      <c r="EH864" s="453"/>
      <c r="EI864" s="453"/>
      <c r="EJ864" s="453"/>
      <c r="EK864" s="453"/>
      <c r="EL864" s="453"/>
      <c r="EM864" s="483">
        <f t="shared" si="237"/>
        <v>555</v>
      </c>
      <c r="EN864" s="485"/>
      <c r="EO864" s="458"/>
      <c r="EP864" s="467"/>
      <c r="EQ864" s="457"/>
      <c r="ER864" s="808"/>
      <c r="ES864" s="881">
        <f t="shared" si="238"/>
        <v>0</v>
      </c>
      <c r="ET864" s="882"/>
      <c r="EU864" s="883"/>
      <c r="EV864" s="884">
        <f t="shared" si="239"/>
        <v>0</v>
      </c>
      <c r="EW864" s="885"/>
      <c r="EX864" s="885"/>
      <c r="EY864" s="885"/>
      <c r="EZ864" s="885"/>
      <c r="FA864" s="885"/>
      <c r="FB864" s="885"/>
      <c r="FC864" s="885"/>
      <c r="FD864" s="886"/>
      <c r="FE864" s="550"/>
      <c r="FF864" s="550"/>
      <c r="FG864" s="550"/>
      <c r="FH864" s="550"/>
      <c r="FI864" s="550"/>
      <c r="FJ864" s="550"/>
      <c r="FK864" s="550"/>
      <c r="FL864" s="555"/>
      <c r="FM864" s="554"/>
      <c r="FN864" s="554"/>
      <c r="FO864" s="554"/>
      <c r="FP864" s="554"/>
      <c r="FQ864" s="554"/>
      <c r="FR864" s="554"/>
      <c r="FS864" s="554"/>
      <c r="FT864" s="554"/>
      <c r="FU864" s="554"/>
      <c r="FV864" s="554"/>
      <c r="FW864" s="554"/>
      <c r="FX864" s="554"/>
      <c r="FY864" s="554"/>
      <c r="FZ864" s="554"/>
      <c r="GA864" s="554"/>
      <c r="GB864" s="556"/>
      <c r="GC864" s="370"/>
      <c r="GD864" s="453"/>
      <c r="GE864" s="453"/>
      <c r="GF864" s="453"/>
      <c r="GG864" s="453"/>
      <c r="GH864" s="454"/>
      <c r="GI864" s="453"/>
      <c r="GJ864" s="453"/>
      <c r="GK864" s="453"/>
      <c r="GL864" s="453"/>
      <c r="GM864" s="453"/>
      <c r="GN864" s="453"/>
      <c r="GO864" s="453"/>
      <c r="GP864" s="453"/>
      <c r="GQ864" s="453"/>
      <c r="GR864" s="453"/>
      <c r="GS864" s="561"/>
      <c r="GT864" s="475"/>
      <c r="GU864" s="472"/>
      <c r="GV864" s="453"/>
      <c r="GW864" s="453"/>
      <c r="GX864" s="869"/>
      <c r="GY864" s="870"/>
      <c r="GZ864" s="867"/>
      <c r="HA864" s="868"/>
      <c r="HB864" s="473"/>
      <c r="HC864" s="869"/>
      <c r="HD864" s="870"/>
      <c r="HE864" s="867"/>
      <c r="HF864" s="868"/>
      <c r="HG864" s="473"/>
      <c r="HH864" s="867"/>
      <c r="HI864" s="868"/>
      <c r="HJ864" s="867"/>
      <c r="HK864" s="868"/>
      <c r="HL864" s="370"/>
      <c r="HM864" s="865"/>
      <c r="HN864" s="866"/>
      <c r="HO864" s="865"/>
      <c r="HP864" s="866"/>
      <c r="HQ864" s="865"/>
      <c r="HR864" s="866"/>
      <c r="HS864" s="867"/>
      <c r="HT864" s="868"/>
      <c r="HU864" s="489"/>
      <c r="HV864" s="865"/>
      <c r="HW864" s="866"/>
    </row>
    <row r="865" spans="25:231" ht="15" customHeight="1">
      <c r="Y865" s="332"/>
      <c r="Z865" s="332"/>
      <c r="AA865" s="332"/>
      <c r="AB865" s="332"/>
      <c r="AC865" s="332"/>
      <c r="AD865" s="332"/>
      <c r="AE865" s="332"/>
      <c r="AF865" s="332"/>
      <c r="AG865" s="332"/>
      <c r="AH865" s="332"/>
      <c r="AI865" s="332"/>
      <c r="AJ865" s="332"/>
      <c r="AK865" s="332"/>
      <c r="AL865" s="332"/>
      <c r="AM865" s="332"/>
      <c r="AN865" s="332"/>
      <c r="AO865" s="332"/>
      <c r="AP865" s="332"/>
      <c r="AQ865" s="332"/>
      <c r="AR865" s="332"/>
      <c r="AS865" s="332"/>
      <c r="AT865" s="332"/>
      <c r="AU865" s="332"/>
      <c r="AV865" s="332"/>
      <c r="AW865" s="332"/>
      <c r="AX865" s="332"/>
      <c r="AY865" s="332"/>
      <c r="AZ865" s="332"/>
      <c r="BA865" s="332"/>
      <c r="BB865" s="332"/>
      <c r="BC865" s="332"/>
      <c r="BD865" s="332"/>
      <c r="BE865" s="332"/>
      <c r="BF865" s="332"/>
      <c r="BG865" s="332"/>
      <c r="BH865" s="332"/>
      <c r="BI865" s="332"/>
      <c r="BJ865" s="332"/>
      <c r="BK865" s="332"/>
      <c r="BL865" s="332"/>
      <c r="BM865" s="332"/>
      <c r="BN865" s="332"/>
      <c r="BO865" s="332"/>
      <c r="BP865" s="332"/>
      <c r="BQ865" s="332"/>
      <c r="BR865" s="332"/>
      <c r="BS865" s="332"/>
      <c r="BT865" s="332"/>
      <c r="BU865" s="332"/>
      <c r="BV865" s="332"/>
      <c r="BW865" s="332"/>
      <c r="BX865" s="332"/>
      <c r="BY865" s="332"/>
      <c r="BZ865" s="332"/>
      <c r="CA865" s="332"/>
      <c r="CB865" s="332"/>
      <c r="CC865" s="332"/>
      <c r="CD865" s="332"/>
      <c r="CE865" s="332"/>
      <c r="CF865" s="332"/>
      <c r="CG865" s="332"/>
      <c r="CH865" s="332"/>
      <c r="CI865" s="332"/>
      <c r="CJ865" s="332"/>
      <c r="CK865" s="332"/>
      <c r="CL865" s="332"/>
      <c r="CM865" s="332"/>
      <c r="CN865" s="332"/>
      <c r="CO865" s="332"/>
      <c r="CP865" s="332"/>
      <c r="CQ865" s="332"/>
      <c r="CR865" s="332"/>
      <c r="CS865" s="332"/>
      <c r="CT865" s="332"/>
      <c r="CU865" s="332"/>
      <c r="CV865" s="332"/>
      <c r="CW865" s="332"/>
      <c r="CX865" s="332"/>
      <c r="CY865" s="332"/>
      <c r="CZ865" s="332"/>
      <c r="DA865" s="332"/>
      <c r="DB865" s="332"/>
      <c r="DC865" s="332"/>
      <c r="DD865" s="332"/>
      <c r="DE865" s="332"/>
      <c r="DF865" s="332"/>
      <c r="DG865" s="332"/>
      <c r="DH865" s="332"/>
      <c r="DI865" s="332"/>
      <c r="DJ865" s="332"/>
      <c r="DK865" s="332"/>
      <c r="DL865" s="332"/>
      <c r="DM865" s="332"/>
      <c r="DN865" s="332"/>
      <c r="DO865" s="332"/>
      <c r="DP865" s="332"/>
      <c r="DQ865" s="332"/>
      <c r="DR865" s="332"/>
      <c r="DS865" s="332"/>
      <c r="DT865" s="332"/>
      <c r="DU865" s="453"/>
      <c r="DV865" s="453"/>
      <c r="DW865" s="453"/>
      <c r="DX865" s="453"/>
      <c r="DY865" s="453"/>
      <c r="DZ865" s="453"/>
      <c r="EA865" s="453"/>
      <c r="EB865" s="453"/>
      <c r="EC865" s="453"/>
      <c r="ED865" s="453"/>
      <c r="EE865" s="453"/>
      <c r="EF865" s="453"/>
      <c r="EG865" s="453"/>
      <c r="EH865" s="453"/>
      <c r="EI865" s="453"/>
      <c r="EJ865" s="453"/>
      <c r="EK865" s="453"/>
      <c r="EL865" s="453"/>
      <c r="EM865" s="483">
        <f t="shared" si="237"/>
        <v>556</v>
      </c>
      <c r="EN865" s="485"/>
      <c r="EO865" s="458"/>
      <c r="EP865" s="467"/>
      <c r="EQ865" s="457"/>
      <c r="ER865" s="808"/>
      <c r="ES865" s="881">
        <f t="shared" si="238"/>
        <v>0</v>
      </c>
      <c r="ET865" s="882"/>
      <c r="EU865" s="883"/>
      <c r="EV865" s="884">
        <f t="shared" si="239"/>
        <v>0</v>
      </c>
      <c r="EW865" s="885"/>
      <c r="EX865" s="885"/>
      <c r="EY865" s="885"/>
      <c r="EZ865" s="885"/>
      <c r="FA865" s="885"/>
      <c r="FB865" s="885"/>
      <c r="FC865" s="885"/>
      <c r="FD865" s="886"/>
      <c r="FE865" s="550"/>
      <c r="FF865" s="550"/>
      <c r="FG865" s="550"/>
      <c r="FH865" s="550"/>
      <c r="FI865" s="550"/>
      <c r="FJ865" s="550"/>
      <c r="FK865" s="550"/>
      <c r="FL865" s="555"/>
      <c r="FM865" s="554"/>
      <c r="FN865" s="554"/>
      <c r="FO865" s="554"/>
      <c r="FP865" s="554"/>
      <c r="FQ865" s="554"/>
      <c r="FR865" s="554"/>
      <c r="FS865" s="554"/>
      <c r="FT865" s="554"/>
      <c r="FU865" s="554"/>
      <c r="FV865" s="554"/>
      <c r="FW865" s="554"/>
      <c r="FX865" s="554"/>
      <c r="FY865" s="554"/>
      <c r="FZ865" s="554"/>
      <c r="GA865" s="554"/>
      <c r="GB865" s="556"/>
      <c r="GC865" s="370"/>
      <c r="GD865" s="453"/>
      <c r="GE865" s="453"/>
      <c r="GF865" s="453"/>
      <c r="GG865" s="453"/>
      <c r="GH865" s="454"/>
      <c r="GI865" s="453"/>
      <c r="GJ865" s="453"/>
      <c r="GK865" s="453"/>
      <c r="GL865" s="453"/>
      <c r="GM865" s="453"/>
      <c r="GN865" s="453"/>
      <c r="GO865" s="453"/>
      <c r="GP865" s="453"/>
      <c r="GQ865" s="453"/>
      <c r="GR865" s="453"/>
      <c r="GS865" s="561"/>
      <c r="GT865" s="475"/>
      <c r="GU865" s="472"/>
      <c r="GV865" s="453"/>
      <c r="GW865" s="453"/>
      <c r="GX865" s="869"/>
      <c r="GY865" s="870"/>
      <c r="GZ865" s="867"/>
      <c r="HA865" s="868"/>
      <c r="HB865" s="473"/>
      <c r="HC865" s="869"/>
      <c r="HD865" s="870"/>
      <c r="HE865" s="867"/>
      <c r="HF865" s="868"/>
      <c r="HG865" s="473"/>
      <c r="HH865" s="867"/>
      <c r="HI865" s="868"/>
      <c r="HJ865" s="867"/>
      <c r="HK865" s="868"/>
      <c r="HL865" s="370"/>
      <c r="HM865" s="865"/>
      <c r="HN865" s="866"/>
      <c r="HO865" s="865"/>
      <c r="HP865" s="866"/>
      <c r="HQ865" s="865"/>
      <c r="HR865" s="866"/>
      <c r="HS865" s="867"/>
      <c r="HT865" s="868"/>
      <c r="HU865" s="489"/>
      <c r="HV865" s="865"/>
      <c r="HW865" s="866"/>
    </row>
    <row r="866" spans="25:231" ht="15" customHeight="1">
      <c r="Y866" s="332"/>
      <c r="Z866" s="332"/>
      <c r="AA866" s="332"/>
      <c r="AB866" s="332"/>
      <c r="AC866" s="332"/>
      <c r="AD866" s="332"/>
      <c r="AE866" s="332"/>
      <c r="AF866" s="332"/>
      <c r="AG866" s="332"/>
      <c r="AH866" s="332"/>
      <c r="AI866" s="332"/>
      <c r="AJ866" s="332"/>
      <c r="AK866" s="332"/>
      <c r="AL866" s="332"/>
      <c r="AM866" s="332"/>
      <c r="AN866" s="332"/>
      <c r="AO866" s="332"/>
      <c r="AP866" s="332"/>
      <c r="AQ866" s="332"/>
      <c r="AR866" s="332"/>
      <c r="AS866" s="332"/>
      <c r="AT866" s="332"/>
      <c r="AU866" s="332"/>
      <c r="AV866" s="332"/>
      <c r="AW866" s="332"/>
      <c r="AX866" s="332"/>
      <c r="AY866" s="332"/>
      <c r="AZ866" s="332"/>
      <c r="BA866" s="332"/>
      <c r="BB866" s="332"/>
      <c r="BC866" s="332"/>
      <c r="BD866" s="332"/>
      <c r="BE866" s="332"/>
      <c r="BF866" s="332"/>
      <c r="BG866" s="332"/>
      <c r="BH866" s="332"/>
      <c r="BI866" s="332"/>
      <c r="BJ866" s="332"/>
      <c r="BK866" s="332"/>
      <c r="BL866" s="332"/>
      <c r="BM866" s="332"/>
      <c r="BN866" s="332"/>
      <c r="BO866" s="332"/>
      <c r="BP866" s="332"/>
      <c r="BQ866" s="332"/>
      <c r="BR866" s="332"/>
      <c r="BS866" s="332"/>
      <c r="BT866" s="332"/>
      <c r="BU866" s="332"/>
      <c r="BV866" s="332"/>
      <c r="BW866" s="332"/>
      <c r="BX866" s="332"/>
      <c r="BY866" s="332"/>
      <c r="BZ866" s="332"/>
      <c r="CA866" s="332"/>
      <c r="CB866" s="332"/>
      <c r="CC866" s="332"/>
      <c r="CD866" s="332"/>
      <c r="CE866" s="332"/>
      <c r="CF866" s="332"/>
      <c r="CG866" s="332"/>
      <c r="CH866" s="332"/>
      <c r="CI866" s="332"/>
      <c r="CJ866" s="332"/>
      <c r="CK866" s="332"/>
      <c r="CL866" s="332"/>
      <c r="CM866" s="332"/>
      <c r="CN866" s="332"/>
      <c r="CO866" s="332"/>
      <c r="CP866" s="332"/>
      <c r="CQ866" s="332"/>
      <c r="CR866" s="332"/>
      <c r="CS866" s="332"/>
      <c r="CT866" s="332"/>
      <c r="CU866" s="332"/>
      <c r="CV866" s="332"/>
      <c r="CW866" s="332"/>
      <c r="CX866" s="332"/>
      <c r="CY866" s="332"/>
      <c r="CZ866" s="332"/>
      <c r="DA866" s="332"/>
      <c r="DB866" s="332"/>
      <c r="DC866" s="332"/>
      <c r="DD866" s="332"/>
      <c r="DE866" s="332"/>
      <c r="DF866" s="332"/>
      <c r="DG866" s="332"/>
      <c r="DH866" s="332"/>
      <c r="DI866" s="332"/>
      <c r="DJ866" s="332"/>
      <c r="DK866" s="332"/>
      <c r="DL866" s="332"/>
      <c r="DM866" s="332"/>
      <c r="DN866" s="332"/>
      <c r="DO866" s="332"/>
      <c r="DP866" s="332"/>
      <c r="DQ866" s="332"/>
      <c r="DR866" s="332"/>
      <c r="DS866" s="332"/>
      <c r="DT866" s="332"/>
      <c r="DU866" s="453"/>
      <c r="DV866" s="453"/>
      <c r="DW866" s="453"/>
      <c r="DX866" s="453"/>
      <c r="DY866" s="453"/>
      <c r="DZ866" s="453"/>
      <c r="EA866" s="453"/>
      <c r="EB866" s="453"/>
      <c r="EC866" s="453"/>
      <c r="ED866" s="453"/>
      <c r="EE866" s="453"/>
      <c r="EF866" s="453"/>
      <c r="EG866" s="453"/>
      <c r="EH866" s="453"/>
      <c r="EI866" s="453"/>
      <c r="EJ866" s="453"/>
      <c r="EK866" s="453"/>
      <c r="EL866" s="453"/>
      <c r="EM866" s="483">
        <f t="shared" si="237"/>
        <v>557</v>
      </c>
      <c r="EN866" s="485"/>
      <c r="EO866" s="458"/>
      <c r="EP866" s="467"/>
      <c r="EQ866" s="457"/>
      <c r="ER866" s="808"/>
      <c r="ES866" s="881">
        <f t="shared" si="238"/>
        <v>0</v>
      </c>
      <c r="ET866" s="882"/>
      <c r="EU866" s="883"/>
      <c r="EV866" s="884">
        <f t="shared" si="239"/>
        <v>0</v>
      </c>
      <c r="EW866" s="885"/>
      <c r="EX866" s="885"/>
      <c r="EY866" s="885"/>
      <c r="EZ866" s="885"/>
      <c r="FA866" s="885"/>
      <c r="FB866" s="885"/>
      <c r="FC866" s="885"/>
      <c r="FD866" s="886"/>
      <c r="FE866" s="550"/>
      <c r="FF866" s="550"/>
      <c r="FG866" s="550"/>
      <c r="FH866" s="550"/>
      <c r="FI866" s="550"/>
      <c r="FJ866" s="550"/>
      <c r="FK866" s="550"/>
      <c r="FL866" s="555"/>
      <c r="FM866" s="554"/>
      <c r="FN866" s="554"/>
      <c r="FO866" s="554"/>
      <c r="FP866" s="554"/>
      <c r="FQ866" s="554"/>
      <c r="FR866" s="554"/>
      <c r="FS866" s="554"/>
      <c r="FT866" s="554"/>
      <c r="FU866" s="554"/>
      <c r="FV866" s="554"/>
      <c r="FW866" s="554"/>
      <c r="FX866" s="554"/>
      <c r="FY866" s="554"/>
      <c r="FZ866" s="554"/>
      <c r="GA866" s="554"/>
      <c r="GB866" s="556"/>
      <c r="GC866" s="370"/>
      <c r="GD866" s="453"/>
      <c r="GE866" s="453"/>
      <c r="GF866" s="453"/>
      <c r="GG866" s="453"/>
      <c r="GH866" s="454"/>
      <c r="GI866" s="453"/>
      <c r="GJ866" s="453"/>
      <c r="GK866" s="453"/>
      <c r="GL866" s="453"/>
      <c r="GM866" s="453"/>
      <c r="GN866" s="453"/>
      <c r="GO866" s="453"/>
      <c r="GP866" s="453"/>
      <c r="GQ866" s="453"/>
      <c r="GR866" s="453"/>
      <c r="GS866" s="561"/>
      <c r="GT866" s="475"/>
      <c r="GU866" s="472"/>
      <c r="GV866" s="453"/>
      <c r="GW866" s="453"/>
      <c r="GX866" s="869"/>
      <c r="GY866" s="870"/>
      <c r="GZ866" s="867"/>
      <c r="HA866" s="868"/>
      <c r="HB866" s="473"/>
      <c r="HC866" s="869"/>
      <c r="HD866" s="870"/>
      <c r="HE866" s="867"/>
      <c r="HF866" s="868"/>
      <c r="HG866" s="473"/>
      <c r="HH866" s="867"/>
      <c r="HI866" s="868"/>
      <c r="HJ866" s="867"/>
      <c r="HK866" s="868"/>
      <c r="HL866" s="370"/>
      <c r="HM866" s="865"/>
      <c r="HN866" s="866"/>
      <c r="HO866" s="865"/>
      <c r="HP866" s="866"/>
      <c r="HQ866" s="865"/>
      <c r="HR866" s="866"/>
      <c r="HS866" s="867"/>
      <c r="HT866" s="868"/>
      <c r="HU866" s="489"/>
      <c r="HV866" s="865"/>
      <c r="HW866" s="866"/>
    </row>
    <row r="867" spans="25:231" ht="15" customHeight="1">
      <c r="Y867" s="332"/>
      <c r="Z867" s="332"/>
      <c r="AA867" s="332"/>
      <c r="AB867" s="332"/>
      <c r="AC867" s="332"/>
      <c r="AD867" s="332"/>
      <c r="AE867" s="332"/>
      <c r="AF867" s="332"/>
      <c r="AG867" s="332"/>
      <c r="AH867" s="332"/>
      <c r="AI867" s="332"/>
      <c r="AJ867" s="332"/>
      <c r="AK867" s="332"/>
      <c r="AL867" s="332"/>
      <c r="AM867" s="332"/>
      <c r="AN867" s="332"/>
      <c r="AO867" s="332"/>
      <c r="AP867" s="332"/>
      <c r="AQ867" s="332"/>
      <c r="AR867" s="332"/>
      <c r="AS867" s="332"/>
      <c r="AT867" s="332"/>
      <c r="AU867" s="332"/>
      <c r="AV867" s="332"/>
      <c r="AW867" s="332"/>
      <c r="AX867" s="332"/>
      <c r="AY867" s="332"/>
      <c r="AZ867" s="332"/>
      <c r="BA867" s="332"/>
      <c r="BB867" s="332"/>
      <c r="BC867" s="332"/>
      <c r="BD867" s="332"/>
      <c r="BE867" s="332"/>
      <c r="BF867" s="332"/>
      <c r="BG867" s="332"/>
      <c r="BH867" s="332"/>
      <c r="BI867" s="332"/>
      <c r="BJ867" s="332"/>
      <c r="BK867" s="332"/>
      <c r="BL867" s="332"/>
      <c r="BM867" s="332"/>
      <c r="BN867" s="332"/>
      <c r="BO867" s="332"/>
      <c r="BP867" s="332"/>
      <c r="BQ867" s="332"/>
      <c r="BR867" s="332"/>
      <c r="BS867" s="332"/>
      <c r="BT867" s="332"/>
      <c r="BU867" s="332"/>
      <c r="BV867" s="332"/>
      <c r="BW867" s="332"/>
      <c r="BX867" s="332"/>
      <c r="BY867" s="332"/>
      <c r="BZ867" s="332"/>
      <c r="CA867" s="332"/>
      <c r="CB867" s="332"/>
      <c r="CC867" s="332"/>
      <c r="CD867" s="332"/>
      <c r="CE867" s="332"/>
      <c r="CF867" s="332"/>
      <c r="CG867" s="332"/>
      <c r="CH867" s="332"/>
      <c r="CI867" s="332"/>
      <c r="CJ867" s="332"/>
      <c r="CK867" s="332"/>
      <c r="CL867" s="332"/>
      <c r="CM867" s="332"/>
      <c r="CN867" s="332"/>
      <c r="CO867" s="332"/>
      <c r="CP867" s="332"/>
      <c r="CQ867" s="332"/>
      <c r="CR867" s="332"/>
      <c r="CS867" s="332"/>
      <c r="CT867" s="332"/>
      <c r="CU867" s="332"/>
      <c r="CV867" s="332"/>
      <c r="CW867" s="332"/>
      <c r="CX867" s="332"/>
      <c r="CY867" s="332"/>
      <c r="CZ867" s="332"/>
      <c r="DA867" s="332"/>
      <c r="DB867" s="332"/>
      <c r="DC867" s="332"/>
      <c r="DD867" s="332"/>
      <c r="DE867" s="332"/>
      <c r="DF867" s="332"/>
      <c r="DG867" s="332"/>
      <c r="DH867" s="332"/>
      <c r="DI867" s="332"/>
      <c r="DJ867" s="332"/>
      <c r="DK867" s="332"/>
      <c r="DL867" s="332"/>
      <c r="DM867" s="332"/>
      <c r="DN867" s="332"/>
      <c r="DO867" s="332"/>
      <c r="DP867" s="332"/>
      <c r="DQ867" s="332"/>
      <c r="DR867" s="332"/>
      <c r="DS867" s="332"/>
      <c r="DT867" s="332"/>
      <c r="DU867" s="453"/>
      <c r="DV867" s="453"/>
      <c r="DW867" s="453"/>
      <c r="DX867" s="453"/>
      <c r="DY867" s="453"/>
      <c r="DZ867" s="453"/>
      <c r="EA867" s="453"/>
      <c r="EB867" s="453"/>
      <c r="EC867" s="453"/>
      <c r="ED867" s="453"/>
      <c r="EE867" s="453"/>
      <c r="EF867" s="453"/>
      <c r="EG867" s="453"/>
      <c r="EH867" s="453"/>
      <c r="EI867" s="453"/>
      <c r="EJ867" s="453"/>
      <c r="EK867" s="453"/>
      <c r="EL867" s="453"/>
      <c r="EM867" s="483">
        <f t="shared" si="237"/>
        <v>558</v>
      </c>
      <c r="EN867" s="485"/>
      <c r="EO867" s="458"/>
      <c r="EP867" s="467"/>
      <c r="EQ867" s="457"/>
      <c r="ER867" s="808"/>
      <c r="ES867" s="881">
        <f t="shared" si="238"/>
        <v>0</v>
      </c>
      <c r="ET867" s="882"/>
      <c r="EU867" s="883"/>
      <c r="EV867" s="884">
        <f t="shared" si="239"/>
        <v>0</v>
      </c>
      <c r="EW867" s="885"/>
      <c r="EX867" s="885"/>
      <c r="EY867" s="885"/>
      <c r="EZ867" s="885"/>
      <c r="FA867" s="885"/>
      <c r="FB867" s="885"/>
      <c r="FC867" s="885"/>
      <c r="FD867" s="886"/>
      <c r="FE867" s="550"/>
      <c r="FF867" s="550"/>
      <c r="FG867" s="550"/>
      <c r="FH867" s="550"/>
      <c r="FI867" s="550"/>
      <c r="FJ867" s="550"/>
      <c r="FK867" s="550"/>
      <c r="FL867" s="555"/>
      <c r="FM867" s="554"/>
      <c r="FN867" s="554"/>
      <c r="FO867" s="554"/>
      <c r="FP867" s="554"/>
      <c r="FQ867" s="554"/>
      <c r="FR867" s="554"/>
      <c r="FS867" s="554"/>
      <c r="FT867" s="554"/>
      <c r="FU867" s="554"/>
      <c r="FV867" s="554"/>
      <c r="FW867" s="554"/>
      <c r="FX867" s="554"/>
      <c r="FY867" s="554"/>
      <c r="FZ867" s="554"/>
      <c r="GA867" s="554"/>
      <c r="GB867" s="556"/>
      <c r="GC867" s="370"/>
      <c r="GD867" s="453"/>
      <c r="GE867" s="453"/>
      <c r="GF867" s="453"/>
      <c r="GG867" s="453"/>
      <c r="GH867" s="454"/>
      <c r="GI867" s="453"/>
      <c r="GJ867" s="453"/>
      <c r="GK867" s="453"/>
      <c r="GL867" s="453"/>
      <c r="GM867" s="453"/>
      <c r="GN867" s="453"/>
      <c r="GO867" s="453"/>
      <c r="GP867" s="453"/>
      <c r="GQ867" s="453"/>
      <c r="GR867" s="453"/>
      <c r="GS867" s="561"/>
      <c r="GT867" s="475"/>
      <c r="GU867" s="472"/>
      <c r="GV867" s="453"/>
      <c r="GW867" s="453"/>
      <c r="GX867" s="869"/>
      <c r="GY867" s="870"/>
      <c r="GZ867" s="867"/>
      <c r="HA867" s="868"/>
      <c r="HB867" s="473"/>
      <c r="HC867" s="869"/>
      <c r="HD867" s="870"/>
      <c r="HE867" s="867"/>
      <c r="HF867" s="868"/>
      <c r="HG867" s="473"/>
      <c r="HH867" s="867"/>
      <c r="HI867" s="868"/>
      <c r="HJ867" s="867"/>
      <c r="HK867" s="868"/>
      <c r="HL867" s="370"/>
      <c r="HM867" s="865"/>
      <c r="HN867" s="866"/>
      <c r="HO867" s="865"/>
      <c r="HP867" s="866"/>
      <c r="HQ867" s="865"/>
      <c r="HR867" s="866"/>
      <c r="HS867" s="867"/>
      <c r="HT867" s="868"/>
      <c r="HU867" s="489"/>
      <c r="HV867" s="865"/>
      <c r="HW867" s="866"/>
    </row>
    <row r="868" spans="25:231" ht="15" customHeight="1">
      <c r="Y868" s="332"/>
      <c r="Z868" s="332"/>
      <c r="AA868" s="332"/>
      <c r="AB868" s="332"/>
      <c r="AC868" s="332"/>
      <c r="AD868" s="332"/>
      <c r="AE868" s="332"/>
      <c r="AF868" s="332"/>
      <c r="AG868" s="332"/>
      <c r="AH868" s="332"/>
      <c r="AI868" s="332"/>
      <c r="AJ868" s="332"/>
      <c r="AK868" s="332"/>
      <c r="AL868" s="332"/>
      <c r="AM868" s="332"/>
      <c r="AN868" s="332"/>
      <c r="AO868" s="332"/>
      <c r="AP868" s="332"/>
      <c r="AQ868" s="332"/>
      <c r="AR868" s="332"/>
      <c r="AS868" s="332"/>
      <c r="AT868" s="332"/>
      <c r="AU868" s="332"/>
      <c r="AV868" s="332"/>
      <c r="AW868" s="332"/>
      <c r="AX868" s="332"/>
      <c r="AY868" s="332"/>
      <c r="AZ868" s="332"/>
      <c r="BA868" s="332"/>
      <c r="BB868" s="332"/>
      <c r="BC868" s="332"/>
      <c r="BD868" s="332"/>
      <c r="BE868" s="332"/>
      <c r="BF868" s="332"/>
      <c r="BG868" s="332"/>
      <c r="BH868" s="332"/>
      <c r="BI868" s="332"/>
      <c r="BJ868" s="332"/>
      <c r="BK868" s="332"/>
      <c r="BL868" s="332"/>
      <c r="BM868" s="332"/>
      <c r="BN868" s="332"/>
      <c r="BO868" s="332"/>
      <c r="BP868" s="332"/>
      <c r="BQ868" s="332"/>
      <c r="BR868" s="332"/>
      <c r="BS868" s="332"/>
      <c r="BT868" s="332"/>
      <c r="BU868" s="332"/>
      <c r="BV868" s="332"/>
      <c r="BW868" s="332"/>
      <c r="BX868" s="332"/>
      <c r="BY868" s="332"/>
      <c r="BZ868" s="332"/>
      <c r="CA868" s="332"/>
      <c r="CB868" s="332"/>
      <c r="CC868" s="332"/>
      <c r="CD868" s="332"/>
      <c r="CE868" s="332"/>
      <c r="CF868" s="332"/>
      <c r="CG868" s="332"/>
      <c r="CH868" s="332"/>
      <c r="CI868" s="332"/>
      <c r="CJ868" s="332"/>
      <c r="CK868" s="332"/>
      <c r="CL868" s="332"/>
      <c r="CM868" s="332"/>
      <c r="CN868" s="332"/>
      <c r="CO868" s="332"/>
      <c r="CP868" s="332"/>
      <c r="CQ868" s="332"/>
      <c r="CR868" s="332"/>
      <c r="CS868" s="332"/>
      <c r="CT868" s="332"/>
      <c r="CU868" s="332"/>
      <c r="CV868" s="332"/>
      <c r="CW868" s="332"/>
      <c r="CX868" s="332"/>
      <c r="CY868" s="332"/>
      <c r="CZ868" s="332"/>
      <c r="DA868" s="332"/>
      <c r="DB868" s="332"/>
      <c r="DC868" s="332"/>
      <c r="DD868" s="332"/>
      <c r="DE868" s="332"/>
      <c r="DF868" s="332"/>
      <c r="DG868" s="332"/>
      <c r="DH868" s="332"/>
      <c r="DI868" s="332"/>
      <c r="DJ868" s="332"/>
      <c r="DK868" s="332"/>
      <c r="DL868" s="332"/>
      <c r="DM868" s="332"/>
      <c r="DN868" s="332"/>
      <c r="DO868" s="332"/>
      <c r="DP868" s="332"/>
      <c r="DQ868" s="332"/>
      <c r="DR868" s="332"/>
      <c r="DS868" s="332"/>
      <c r="DT868" s="332"/>
      <c r="DU868" s="453"/>
      <c r="DV868" s="453"/>
      <c r="DW868" s="453"/>
      <c r="DX868" s="453"/>
      <c r="DY868" s="453"/>
      <c r="DZ868" s="453"/>
      <c r="EA868" s="453"/>
      <c r="EB868" s="453"/>
      <c r="EC868" s="453"/>
      <c r="ED868" s="453"/>
      <c r="EE868" s="453"/>
      <c r="EF868" s="453"/>
      <c r="EG868" s="453"/>
      <c r="EH868" s="453"/>
      <c r="EI868" s="453"/>
      <c r="EJ868" s="453"/>
      <c r="EK868" s="453"/>
      <c r="EL868" s="453"/>
      <c r="EM868" s="483">
        <f t="shared" si="237"/>
        <v>559</v>
      </c>
      <c r="EN868" s="485"/>
      <c r="EO868" s="458"/>
      <c r="EP868" s="467"/>
      <c r="EQ868" s="457"/>
      <c r="ER868" s="808"/>
      <c r="ES868" s="881">
        <f t="shared" si="238"/>
        <v>0</v>
      </c>
      <c r="ET868" s="882"/>
      <c r="EU868" s="883"/>
      <c r="EV868" s="884">
        <f t="shared" si="239"/>
        <v>0</v>
      </c>
      <c r="EW868" s="885"/>
      <c r="EX868" s="885"/>
      <c r="EY868" s="885"/>
      <c r="EZ868" s="885"/>
      <c r="FA868" s="885"/>
      <c r="FB868" s="885"/>
      <c r="FC868" s="885"/>
      <c r="FD868" s="886"/>
      <c r="FE868" s="550"/>
      <c r="FF868" s="550"/>
      <c r="FG868" s="550"/>
      <c r="FH868" s="550"/>
      <c r="FI868" s="550"/>
      <c r="FJ868" s="550"/>
      <c r="FK868" s="550"/>
      <c r="FL868" s="555"/>
      <c r="FM868" s="554"/>
      <c r="FN868" s="554"/>
      <c r="FO868" s="554"/>
      <c r="FP868" s="554"/>
      <c r="FQ868" s="554"/>
      <c r="FR868" s="554"/>
      <c r="FS868" s="554"/>
      <c r="FT868" s="554"/>
      <c r="FU868" s="554"/>
      <c r="FV868" s="554"/>
      <c r="FW868" s="554"/>
      <c r="FX868" s="554"/>
      <c r="FY868" s="554"/>
      <c r="FZ868" s="554"/>
      <c r="GA868" s="554"/>
      <c r="GB868" s="556"/>
      <c r="GC868" s="370"/>
      <c r="GD868" s="453"/>
      <c r="GE868" s="453"/>
      <c r="GF868" s="453"/>
      <c r="GG868" s="453"/>
      <c r="GH868" s="454"/>
      <c r="GI868" s="453"/>
      <c r="GJ868" s="453"/>
      <c r="GK868" s="453"/>
      <c r="GL868" s="453"/>
      <c r="GM868" s="453"/>
      <c r="GN868" s="453"/>
      <c r="GO868" s="453"/>
      <c r="GP868" s="453"/>
      <c r="GQ868" s="453"/>
      <c r="GR868" s="453"/>
      <c r="GS868" s="561"/>
      <c r="GT868" s="475"/>
      <c r="GU868" s="472"/>
      <c r="GV868" s="453"/>
      <c r="GW868" s="453"/>
      <c r="GX868" s="869"/>
      <c r="GY868" s="870"/>
      <c r="GZ868" s="867"/>
      <c r="HA868" s="868"/>
      <c r="HB868" s="473"/>
      <c r="HC868" s="869"/>
      <c r="HD868" s="870"/>
      <c r="HE868" s="867"/>
      <c r="HF868" s="868"/>
      <c r="HG868" s="473"/>
      <c r="HH868" s="867"/>
      <c r="HI868" s="868"/>
      <c r="HJ868" s="867"/>
      <c r="HK868" s="868"/>
      <c r="HL868" s="370"/>
      <c r="HM868" s="865"/>
      <c r="HN868" s="866"/>
      <c r="HO868" s="865"/>
      <c r="HP868" s="866"/>
      <c r="HQ868" s="865"/>
      <c r="HR868" s="866"/>
      <c r="HS868" s="867"/>
      <c r="HT868" s="868"/>
      <c r="HU868" s="489"/>
      <c r="HV868" s="865"/>
      <c r="HW868" s="866"/>
    </row>
    <row r="869" spans="25:231" ht="15" customHeight="1">
      <c r="Y869" s="332"/>
      <c r="Z869" s="332"/>
      <c r="AA869" s="332"/>
      <c r="AB869" s="332"/>
      <c r="AC869" s="332"/>
      <c r="AD869" s="332"/>
      <c r="AE869" s="332"/>
      <c r="AF869" s="332"/>
      <c r="AG869" s="332"/>
      <c r="AH869" s="332"/>
      <c r="AI869" s="332"/>
      <c r="AJ869" s="332"/>
      <c r="AK869" s="332"/>
      <c r="AL869" s="332"/>
      <c r="AM869" s="332"/>
      <c r="AN869" s="332"/>
      <c r="AO869" s="332"/>
      <c r="AP869" s="332"/>
      <c r="AQ869" s="332"/>
      <c r="AR869" s="332"/>
      <c r="AS869" s="332"/>
      <c r="AT869" s="332"/>
      <c r="AU869" s="332"/>
      <c r="AV869" s="332"/>
      <c r="AW869" s="332"/>
      <c r="AX869" s="332"/>
      <c r="AY869" s="332"/>
      <c r="AZ869" s="332"/>
      <c r="BA869" s="332"/>
      <c r="BB869" s="332"/>
      <c r="BC869" s="332"/>
      <c r="BD869" s="332"/>
      <c r="BE869" s="332"/>
      <c r="BF869" s="332"/>
      <c r="BG869" s="332"/>
      <c r="BH869" s="332"/>
      <c r="BI869" s="332"/>
      <c r="BJ869" s="332"/>
      <c r="BK869" s="332"/>
      <c r="BL869" s="332"/>
      <c r="BM869" s="332"/>
      <c r="BN869" s="332"/>
      <c r="BO869" s="332"/>
      <c r="BP869" s="332"/>
      <c r="BQ869" s="332"/>
      <c r="BR869" s="332"/>
      <c r="BS869" s="332"/>
      <c r="BT869" s="332"/>
      <c r="BU869" s="332"/>
      <c r="BV869" s="332"/>
      <c r="BW869" s="332"/>
      <c r="BX869" s="332"/>
      <c r="BY869" s="332"/>
      <c r="BZ869" s="332"/>
      <c r="CA869" s="332"/>
      <c r="CB869" s="332"/>
      <c r="CC869" s="332"/>
      <c r="CD869" s="332"/>
      <c r="CE869" s="332"/>
      <c r="CF869" s="332"/>
      <c r="CG869" s="332"/>
      <c r="CH869" s="332"/>
      <c r="CI869" s="332"/>
      <c r="CJ869" s="332"/>
      <c r="CK869" s="332"/>
      <c r="CL869" s="332"/>
      <c r="CM869" s="332"/>
      <c r="CN869" s="332"/>
      <c r="CO869" s="332"/>
      <c r="CP869" s="332"/>
      <c r="CQ869" s="332"/>
      <c r="CR869" s="332"/>
      <c r="CS869" s="332"/>
      <c r="CT869" s="332"/>
      <c r="CU869" s="332"/>
      <c r="CV869" s="332"/>
      <c r="CW869" s="332"/>
      <c r="CX869" s="332"/>
      <c r="CY869" s="332"/>
      <c r="CZ869" s="332"/>
      <c r="DA869" s="332"/>
      <c r="DB869" s="332"/>
      <c r="DC869" s="332"/>
      <c r="DD869" s="332"/>
      <c r="DE869" s="332"/>
      <c r="DF869" s="332"/>
      <c r="DG869" s="332"/>
      <c r="DH869" s="332"/>
      <c r="DI869" s="332"/>
      <c r="DJ869" s="332"/>
      <c r="DK869" s="332"/>
      <c r="DL869" s="332"/>
      <c r="DM869" s="332"/>
      <c r="DN869" s="332"/>
      <c r="DO869" s="332"/>
      <c r="DP869" s="332"/>
      <c r="DQ869" s="332"/>
      <c r="DR869" s="332"/>
      <c r="DS869" s="332"/>
      <c r="DT869" s="332"/>
      <c r="DU869" s="453"/>
      <c r="DV869" s="453"/>
      <c r="DW869" s="453"/>
      <c r="DX869" s="453"/>
      <c r="DY869" s="453"/>
      <c r="DZ869" s="453"/>
      <c r="EA869" s="453"/>
      <c r="EB869" s="453"/>
      <c r="EC869" s="453"/>
      <c r="ED869" s="453"/>
      <c r="EE869" s="453"/>
      <c r="EF869" s="453"/>
      <c r="EG869" s="453"/>
      <c r="EH869" s="453"/>
      <c r="EI869" s="453"/>
      <c r="EJ869" s="453"/>
      <c r="EK869" s="453"/>
      <c r="EL869" s="453"/>
      <c r="EM869" s="483">
        <f t="shared" si="237"/>
        <v>560</v>
      </c>
      <c r="EN869" s="485"/>
      <c r="EO869" s="458"/>
      <c r="EP869" s="467"/>
      <c r="EQ869" s="457"/>
      <c r="ER869" s="808"/>
      <c r="ES869" s="881">
        <f t="shared" si="238"/>
        <v>0</v>
      </c>
      <c r="ET869" s="882"/>
      <c r="EU869" s="883"/>
      <c r="EV869" s="884">
        <f t="shared" si="239"/>
        <v>0</v>
      </c>
      <c r="EW869" s="885"/>
      <c r="EX869" s="885"/>
      <c r="EY869" s="885"/>
      <c r="EZ869" s="885"/>
      <c r="FA869" s="885"/>
      <c r="FB869" s="885"/>
      <c r="FC869" s="885"/>
      <c r="FD869" s="886"/>
      <c r="FE869" s="550"/>
      <c r="FF869" s="550"/>
      <c r="FG869" s="550"/>
      <c r="FH869" s="550"/>
      <c r="FI869" s="550"/>
      <c r="FJ869" s="550"/>
      <c r="FK869" s="550"/>
      <c r="FL869" s="555"/>
      <c r="FM869" s="554"/>
      <c r="FN869" s="554"/>
      <c r="FO869" s="554"/>
      <c r="FP869" s="554"/>
      <c r="FQ869" s="554"/>
      <c r="FR869" s="554"/>
      <c r="FS869" s="554"/>
      <c r="FT869" s="554"/>
      <c r="FU869" s="554"/>
      <c r="FV869" s="554"/>
      <c r="FW869" s="554"/>
      <c r="FX869" s="554"/>
      <c r="FY869" s="554"/>
      <c r="FZ869" s="554"/>
      <c r="GA869" s="554"/>
      <c r="GB869" s="556"/>
      <c r="GC869" s="370"/>
      <c r="GD869" s="453"/>
      <c r="GE869" s="453"/>
      <c r="GF869" s="453"/>
      <c r="GG869" s="453"/>
      <c r="GH869" s="454"/>
      <c r="GI869" s="453"/>
      <c r="GJ869" s="453"/>
      <c r="GK869" s="453"/>
      <c r="GL869" s="453"/>
      <c r="GM869" s="453"/>
      <c r="GN869" s="453"/>
      <c r="GO869" s="453"/>
      <c r="GP869" s="453"/>
      <c r="GQ869" s="453"/>
      <c r="GR869" s="453"/>
      <c r="GS869" s="561"/>
      <c r="GT869" s="475"/>
      <c r="GU869" s="472"/>
      <c r="GV869" s="453"/>
      <c r="GW869" s="453"/>
      <c r="GX869" s="869"/>
      <c r="GY869" s="870"/>
      <c r="GZ869" s="867"/>
      <c r="HA869" s="868"/>
      <c r="HB869" s="473"/>
      <c r="HC869" s="869"/>
      <c r="HD869" s="870"/>
      <c r="HE869" s="867"/>
      <c r="HF869" s="868"/>
      <c r="HG869" s="473"/>
      <c r="HH869" s="867"/>
      <c r="HI869" s="868"/>
      <c r="HJ869" s="867"/>
      <c r="HK869" s="868"/>
      <c r="HL869" s="370"/>
      <c r="HM869" s="865"/>
      <c r="HN869" s="866"/>
      <c r="HO869" s="865"/>
      <c r="HP869" s="866"/>
      <c r="HQ869" s="865"/>
      <c r="HR869" s="866"/>
      <c r="HS869" s="867"/>
      <c r="HT869" s="868"/>
      <c r="HU869" s="489"/>
      <c r="HV869" s="865"/>
      <c r="HW869" s="866"/>
    </row>
    <row r="870" spans="25:231" ht="15" customHeight="1">
      <c r="Y870" s="332"/>
      <c r="Z870" s="332"/>
      <c r="AA870" s="332"/>
      <c r="AB870" s="332"/>
      <c r="AC870" s="332"/>
      <c r="AD870" s="332"/>
      <c r="AE870" s="332"/>
      <c r="AF870" s="332"/>
      <c r="AG870" s="332"/>
      <c r="AH870" s="332"/>
      <c r="AI870" s="332"/>
      <c r="AJ870" s="332"/>
      <c r="AK870" s="332"/>
      <c r="AL870" s="332"/>
      <c r="AM870" s="332"/>
      <c r="AN870" s="332"/>
      <c r="AO870" s="332"/>
      <c r="AP870" s="332"/>
      <c r="AQ870" s="332"/>
      <c r="AR870" s="332"/>
      <c r="AS870" s="332"/>
      <c r="AT870" s="332"/>
      <c r="AU870" s="332"/>
      <c r="AV870" s="332"/>
      <c r="AW870" s="332"/>
      <c r="AX870" s="332"/>
      <c r="AY870" s="332"/>
      <c r="AZ870" s="332"/>
      <c r="BA870" s="332"/>
      <c r="BB870" s="332"/>
      <c r="BC870" s="332"/>
      <c r="BD870" s="332"/>
      <c r="BE870" s="332"/>
      <c r="BF870" s="332"/>
      <c r="BG870" s="332"/>
      <c r="BH870" s="332"/>
      <c r="BI870" s="332"/>
      <c r="BJ870" s="332"/>
      <c r="BK870" s="332"/>
      <c r="BL870" s="332"/>
      <c r="BM870" s="332"/>
      <c r="BN870" s="332"/>
      <c r="BO870" s="332"/>
      <c r="BP870" s="332"/>
      <c r="BQ870" s="332"/>
      <c r="BR870" s="332"/>
      <c r="BS870" s="332"/>
      <c r="BT870" s="332"/>
      <c r="BU870" s="332"/>
      <c r="BV870" s="332"/>
      <c r="BW870" s="332"/>
      <c r="BX870" s="332"/>
      <c r="BY870" s="332"/>
      <c r="BZ870" s="332"/>
      <c r="CA870" s="332"/>
      <c r="CB870" s="332"/>
      <c r="CC870" s="332"/>
      <c r="CD870" s="332"/>
      <c r="CE870" s="332"/>
      <c r="CF870" s="332"/>
      <c r="CG870" s="332"/>
      <c r="CH870" s="332"/>
      <c r="CI870" s="332"/>
      <c r="CJ870" s="332"/>
      <c r="CK870" s="332"/>
      <c r="CL870" s="332"/>
      <c r="CM870" s="332"/>
      <c r="CN870" s="332"/>
      <c r="CO870" s="332"/>
      <c r="CP870" s="332"/>
      <c r="CQ870" s="332"/>
      <c r="CR870" s="332"/>
      <c r="CS870" s="332"/>
      <c r="CT870" s="332"/>
      <c r="CU870" s="332"/>
      <c r="CV870" s="332"/>
      <c r="CW870" s="332"/>
      <c r="CX870" s="332"/>
      <c r="CY870" s="332"/>
      <c r="CZ870" s="332"/>
      <c r="DA870" s="332"/>
      <c r="DB870" s="332"/>
      <c r="DC870" s="332"/>
      <c r="DD870" s="332"/>
      <c r="DE870" s="332"/>
      <c r="DF870" s="332"/>
      <c r="DG870" s="332"/>
      <c r="DH870" s="332"/>
      <c r="DI870" s="332"/>
      <c r="DJ870" s="332"/>
      <c r="DK870" s="332"/>
      <c r="DL870" s="332"/>
      <c r="DM870" s="332"/>
      <c r="DN870" s="332"/>
      <c r="DO870" s="332"/>
      <c r="DP870" s="332"/>
      <c r="DQ870" s="332"/>
      <c r="DR870" s="332"/>
      <c r="DS870" s="332"/>
      <c r="DT870" s="332"/>
      <c r="DU870" s="453"/>
      <c r="DV870" s="453"/>
      <c r="DW870" s="453"/>
      <c r="DX870" s="453"/>
      <c r="DY870" s="453"/>
      <c r="DZ870" s="453"/>
      <c r="EA870" s="453"/>
      <c r="EB870" s="453"/>
      <c r="EC870" s="453"/>
      <c r="ED870" s="453"/>
      <c r="EE870" s="453"/>
      <c r="EF870" s="453"/>
      <c r="EG870" s="453"/>
      <c r="EH870" s="453"/>
      <c r="EI870" s="453"/>
      <c r="EJ870" s="453"/>
      <c r="EK870" s="453"/>
      <c r="EL870" s="453"/>
      <c r="EM870" s="483">
        <f t="shared" si="237"/>
        <v>561</v>
      </c>
      <c r="EN870" s="485"/>
      <c r="EO870" s="458"/>
      <c r="EP870" s="467"/>
      <c r="EQ870" s="457"/>
      <c r="ER870" s="808"/>
      <c r="ES870" s="881">
        <f t="shared" si="238"/>
        <v>0</v>
      </c>
      <c r="ET870" s="882"/>
      <c r="EU870" s="883"/>
      <c r="EV870" s="884">
        <f t="shared" si="239"/>
        <v>0</v>
      </c>
      <c r="EW870" s="885"/>
      <c r="EX870" s="885"/>
      <c r="EY870" s="885"/>
      <c r="EZ870" s="885"/>
      <c r="FA870" s="885"/>
      <c r="FB870" s="885"/>
      <c r="FC870" s="885"/>
      <c r="FD870" s="886"/>
      <c r="FE870" s="550"/>
      <c r="FF870" s="550"/>
      <c r="FG870" s="550"/>
      <c r="FH870" s="550"/>
      <c r="FI870" s="550"/>
      <c r="FJ870" s="550"/>
      <c r="FK870" s="550"/>
      <c r="FL870" s="555"/>
      <c r="FM870" s="554"/>
      <c r="FN870" s="554"/>
      <c r="FO870" s="554"/>
      <c r="FP870" s="554"/>
      <c r="FQ870" s="554"/>
      <c r="FR870" s="554"/>
      <c r="FS870" s="554"/>
      <c r="FT870" s="554"/>
      <c r="FU870" s="554"/>
      <c r="FV870" s="554"/>
      <c r="FW870" s="554"/>
      <c r="FX870" s="554"/>
      <c r="FY870" s="554"/>
      <c r="FZ870" s="554"/>
      <c r="GA870" s="554"/>
      <c r="GB870" s="556"/>
      <c r="GC870" s="370"/>
      <c r="GD870" s="453"/>
      <c r="GE870" s="453"/>
      <c r="GF870" s="453"/>
      <c r="GG870" s="453"/>
      <c r="GH870" s="454"/>
      <c r="GI870" s="453"/>
      <c r="GJ870" s="453"/>
      <c r="GK870" s="453"/>
      <c r="GL870" s="453"/>
      <c r="GM870" s="453"/>
      <c r="GN870" s="453"/>
      <c r="GO870" s="453"/>
      <c r="GP870" s="453"/>
      <c r="GQ870" s="453"/>
      <c r="GR870" s="453"/>
      <c r="GS870" s="561"/>
      <c r="GT870" s="475"/>
      <c r="GU870" s="472"/>
      <c r="GV870" s="453"/>
      <c r="GW870" s="453"/>
      <c r="GX870" s="869"/>
      <c r="GY870" s="870"/>
      <c r="GZ870" s="867"/>
      <c r="HA870" s="868"/>
      <c r="HB870" s="473"/>
      <c r="HC870" s="869"/>
      <c r="HD870" s="870"/>
      <c r="HE870" s="867"/>
      <c r="HF870" s="868"/>
      <c r="HG870" s="473"/>
      <c r="HH870" s="867"/>
      <c r="HI870" s="868"/>
      <c r="HJ870" s="867"/>
      <c r="HK870" s="868"/>
      <c r="HL870" s="370"/>
      <c r="HM870" s="865"/>
      <c r="HN870" s="866"/>
      <c r="HO870" s="865"/>
      <c r="HP870" s="866"/>
      <c r="HQ870" s="865"/>
      <c r="HR870" s="866"/>
      <c r="HS870" s="867"/>
      <c r="HT870" s="868"/>
      <c r="HU870" s="489"/>
      <c r="HV870" s="865"/>
      <c r="HW870" s="866"/>
    </row>
    <row r="871" spans="25:231" ht="15" customHeight="1">
      <c r="Y871" s="332"/>
      <c r="Z871" s="332"/>
      <c r="AA871" s="332"/>
      <c r="AB871" s="332"/>
      <c r="AC871" s="332"/>
      <c r="AD871" s="332"/>
      <c r="AE871" s="332"/>
      <c r="AF871" s="332"/>
      <c r="AG871" s="332"/>
      <c r="AH871" s="332"/>
      <c r="AI871" s="332"/>
      <c r="AJ871" s="332"/>
      <c r="AK871" s="332"/>
      <c r="AL871" s="332"/>
      <c r="AM871" s="332"/>
      <c r="AN871" s="332"/>
      <c r="AO871" s="332"/>
      <c r="AP871" s="332"/>
      <c r="AQ871" s="332"/>
      <c r="AR871" s="332"/>
      <c r="AS871" s="332"/>
      <c r="AT871" s="332"/>
      <c r="AU871" s="332"/>
      <c r="AV871" s="332"/>
      <c r="AW871" s="332"/>
      <c r="AX871" s="332"/>
      <c r="AY871" s="332"/>
      <c r="AZ871" s="332"/>
      <c r="BA871" s="332"/>
      <c r="BB871" s="332"/>
      <c r="BC871" s="332"/>
      <c r="BD871" s="332"/>
      <c r="BE871" s="332"/>
      <c r="BF871" s="332"/>
      <c r="BG871" s="332"/>
      <c r="BH871" s="332"/>
      <c r="BI871" s="332"/>
      <c r="BJ871" s="332"/>
      <c r="BK871" s="332"/>
      <c r="BL871" s="332"/>
      <c r="BM871" s="332"/>
      <c r="BN871" s="332"/>
      <c r="BO871" s="332"/>
      <c r="BP871" s="332"/>
      <c r="BQ871" s="332"/>
      <c r="BR871" s="332"/>
      <c r="BS871" s="332"/>
      <c r="BT871" s="332"/>
      <c r="BU871" s="332"/>
      <c r="BV871" s="332"/>
      <c r="BW871" s="332"/>
      <c r="BX871" s="332"/>
      <c r="BY871" s="332"/>
      <c r="BZ871" s="332"/>
      <c r="CA871" s="332"/>
      <c r="CB871" s="332"/>
      <c r="CC871" s="332"/>
      <c r="CD871" s="332"/>
      <c r="CE871" s="332"/>
      <c r="CF871" s="332"/>
      <c r="CG871" s="332"/>
      <c r="CH871" s="332"/>
      <c r="CI871" s="332"/>
      <c r="CJ871" s="332"/>
      <c r="CK871" s="332"/>
      <c r="CL871" s="332"/>
      <c r="CM871" s="332"/>
      <c r="CN871" s="332"/>
      <c r="CO871" s="332"/>
      <c r="CP871" s="332"/>
      <c r="CQ871" s="332"/>
      <c r="CR871" s="332"/>
      <c r="CS871" s="332"/>
      <c r="CT871" s="332"/>
      <c r="CU871" s="332"/>
      <c r="CV871" s="332"/>
      <c r="CW871" s="332"/>
      <c r="CX871" s="332"/>
      <c r="CY871" s="332"/>
      <c r="CZ871" s="332"/>
      <c r="DA871" s="332"/>
      <c r="DB871" s="332"/>
      <c r="DC871" s="332"/>
      <c r="DD871" s="332"/>
      <c r="DE871" s="332"/>
      <c r="DF871" s="332"/>
      <c r="DG871" s="332"/>
      <c r="DH871" s="332"/>
      <c r="DI871" s="332"/>
      <c r="DJ871" s="332"/>
      <c r="DK871" s="332"/>
      <c r="DL871" s="332"/>
      <c r="DM871" s="332"/>
      <c r="DN871" s="332"/>
      <c r="DO871" s="332"/>
      <c r="DP871" s="332"/>
      <c r="DQ871" s="332"/>
      <c r="DR871" s="332"/>
      <c r="DS871" s="332"/>
      <c r="DT871" s="332"/>
      <c r="DU871" s="453"/>
      <c r="DV871" s="453"/>
      <c r="DW871" s="453"/>
      <c r="DX871" s="453"/>
      <c r="DY871" s="453"/>
      <c r="DZ871" s="453"/>
      <c r="EA871" s="453"/>
      <c r="EB871" s="453"/>
      <c r="EC871" s="453"/>
      <c r="ED871" s="453"/>
      <c r="EE871" s="453"/>
      <c r="EF871" s="453"/>
      <c r="EG871" s="453"/>
      <c r="EH871" s="453"/>
      <c r="EI871" s="453"/>
      <c r="EJ871" s="453"/>
      <c r="EK871" s="453"/>
      <c r="EL871" s="453"/>
      <c r="EM871" s="483">
        <f t="shared" si="237"/>
        <v>562</v>
      </c>
      <c r="EN871" s="485"/>
      <c r="EO871" s="458"/>
      <c r="EP871" s="467"/>
      <c r="EQ871" s="457"/>
      <c r="ER871" s="808"/>
      <c r="ES871" s="881">
        <f t="shared" si="238"/>
        <v>0</v>
      </c>
      <c r="ET871" s="882"/>
      <c r="EU871" s="883"/>
      <c r="EV871" s="884">
        <f t="shared" si="239"/>
        <v>0</v>
      </c>
      <c r="EW871" s="885"/>
      <c r="EX871" s="885"/>
      <c r="EY871" s="885"/>
      <c r="EZ871" s="885"/>
      <c r="FA871" s="885"/>
      <c r="FB871" s="885"/>
      <c r="FC871" s="885"/>
      <c r="FD871" s="886"/>
      <c r="FE871" s="550"/>
      <c r="FF871" s="550"/>
      <c r="FG871" s="550"/>
      <c r="FH871" s="550"/>
      <c r="FI871" s="550"/>
      <c r="FJ871" s="550"/>
      <c r="FK871" s="550"/>
      <c r="FL871" s="555"/>
      <c r="FM871" s="554"/>
      <c r="FN871" s="554"/>
      <c r="FO871" s="554"/>
      <c r="FP871" s="554"/>
      <c r="FQ871" s="554"/>
      <c r="FR871" s="554"/>
      <c r="FS871" s="554"/>
      <c r="FT871" s="554"/>
      <c r="FU871" s="554"/>
      <c r="FV871" s="554"/>
      <c r="FW871" s="554"/>
      <c r="FX871" s="554"/>
      <c r="FY871" s="554"/>
      <c r="FZ871" s="554"/>
      <c r="GA871" s="554"/>
      <c r="GB871" s="556"/>
      <c r="GC871" s="370"/>
      <c r="GD871" s="453"/>
      <c r="GE871" s="453"/>
      <c r="GF871" s="453"/>
      <c r="GG871" s="453"/>
      <c r="GH871" s="454"/>
      <c r="GI871" s="453"/>
      <c r="GJ871" s="453"/>
      <c r="GK871" s="453"/>
      <c r="GL871" s="453"/>
      <c r="GM871" s="453"/>
      <c r="GN871" s="453"/>
      <c r="GO871" s="453"/>
      <c r="GP871" s="453"/>
      <c r="GQ871" s="453"/>
      <c r="GR871" s="453"/>
      <c r="GS871" s="561"/>
      <c r="GT871" s="475"/>
      <c r="GU871" s="472"/>
      <c r="GV871" s="453"/>
      <c r="GW871" s="453"/>
      <c r="GX871" s="869"/>
      <c r="GY871" s="870"/>
      <c r="GZ871" s="867"/>
      <c r="HA871" s="868"/>
      <c r="HB871" s="473"/>
      <c r="HC871" s="869"/>
      <c r="HD871" s="870"/>
      <c r="HE871" s="867"/>
      <c r="HF871" s="868"/>
      <c r="HG871" s="473"/>
      <c r="HH871" s="867"/>
      <c r="HI871" s="868"/>
      <c r="HJ871" s="867"/>
      <c r="HK871" s="868"/>
      <c r="HL871" s="370"/>
      <c r="HM871" s="865"/>
      <c r="HN871" s="866"/>
      <c r="HO871" s="865"/>
      <c r="HP871" s="866"/>
      <c r="HQ871" s="865"/>
      <c r="HR871" s="866"/>
      <c r="HS871" s="867"/>
      <c r="HT871" s="868"/>
      <c r="HU871" s="489"/>
      <c r="HV871" s="865"/>
      <c r="HW871" s="866"/>
    </row>
    <row r="872" spans="25:231" ht="15" customHeight="1">
      <c r="Y872" s="332"/>
      <c r="Z872" s="332"/>
      <c r="AA872" s="332"/>
      <c r="AB872" s="332"/>
      <c r="AC872" s="332"/>
      <c r="AD872" s="332"/>
      <c r="AE872" s="332"/>
      <c r="AF872" s="332"/>
      <c r="AG872" s="332"/>
      <c r="AH872" s="332"/>
      <c r="AI872" s="332"/>
      <c r="AJ872" s="332"/>
      <c r="AK872" s="332"/>
      <c r="AL872" s="332"/>
      <c r="AM872" s="332"/>
      <c r="AN872" s="332"/>
      <c r="AO872" s="332"/>
      <c r="AP872" s="332"/>
      <c r="AQ872" s="332"/>
      <c r="AR872" s="332"/>
      <c r="AS872" s="332"/>
      <c r="AT872" s="332"/>
      <c r="AU872" s="332"/>
      <c r="AV872" s="332"/>
      <c r="AW872" s="332"/>
      <c r="AX872" s="332"/>
      <c r="AY872" s="332"/>
      <c r="AZ872" s="332"/>
      <c r="BA872" s="332"/>
      <c r="BB872" s="332"/>
      <c r="BC872" s="332"/>
      <c r="BD872" s="332"/>
      <c r="BE872" s="332"/>
      <c r="BF872" s="332"/>
      <c r="BG872" s="332"/>
      <c r="BH872" s="332"/>
      <c r="BI872" s="332"/>
      <c r="BJ872" s="332"/>
      <c r="BK872" s="332"/>
      <c r="BL872" s="332"/>
      <c r="BM872" s="332"/>
      <c r="BN872" s="332"/>
      <c r="BO872" s="332"/>
      <c r="BP872" s="332"/>
      <c r="BQ872" s="332"/>
      <c r="BR872" s="332"/>
      <c r="BS872" s="332"/>
      <c r="BT872" s="332"/>
      <c r="BU872" s="332"/>
      <c r="BV872" s="332"/>
      <c r="BW872" s="332"/>
      <c r="BX872" s="332"/>
      <c r="BY872" s="332"/>
      <c r="BZ872" s="332"/>
      <c r="CA872" s="332"/>
      <c r="CB872" s="332"/>
      <c r="CC872" s="332"/>
      <c r="CD872" s="332"/>
      <c r="CE872" s="332"/>
      <c r="CF872" s="332"/>
      <c r="CG872" s="332"/>
      <c r="CH872" s="332"/>
      <c r="CI872" s="332"/>
      <c r="CJ872" s="332"/>
      <c r="CK872" s="332"/>
      <c r="CL872" s="332"/>
      <c r="CM872" s="332"/>
      <c r="CN872" s="332"/>
      <c r="CO872" s="332"/>
      <c r="CP872" s="332"/>
      <c r="CQ872" s="332"/>
      <c r="CR872" s="332"/>
      <c r="CS872" s="332"/>
      <c r="CT872" s="332"/>
      <c r="CU872" s="332"/>
      <c r="CV872" s="332"/>
      <c r="CW872" s="332"/>
      <c r="CX872" s="332"/>
      <c r="CY872" s="332"/>
      <c r="CZ872" s="332"/>
      <c r="DA872" s="332"/>
      <c r="DB872" s="332"/>
      <c r="DC872" s="332"/>
      <c r="DD872" s="332"/>
      <c r="DE872" s="332"/>
      <c r="DF872" s="332"/>
      <c r="DG872" s="332"/>
      <c r="DH872" s="332"/>
      <c r="DI872" s="332"/>
      <c r="DJ872" s="332"/>
      <c r="DK872" s="332"/>
      <c r="DL872" s="332"/>
      <c r="DM872" s="332"/>
      <c r="DN872" s="332"/>
      <c r="DO872" s="332"/>
      <c r="DP872" s="332"/>
      <c r="DQ872" s="332"/>
      <c r="DR872" s="332"/>
      <c r="DS872" s="332"/>
      <c r="DT872" s="332"/>
      <c r="DU872" s="453"/>
      <c r="DV872" s="453"/>
      <c r="DW872" s="453"/>
      <c r="DX872" s="453"/>
      <c r="DY872" s="453"/>
      <c r="DZ872" s="453"/>
      <c r="EA872" s="453"/>
      <c r="EB872" s="453"/>
      <c r="EC872" s="453"/>
      <c r="ED872" s="453"/>
      <c r="EE872" s="453"/>
      <c r="EF872" s="453"/>
      <c r="EG872" s="453"/>
      <c r="EH872" s="453"/>
      <c r="EI872" s="453"/>
      <c r="EJ872" s="453"/>
      <c r="EK872" s="453"/>
      <c r="EL872" s="453"/>
      <c r="EM872" s="483">
        <f t="shared" si="237"/>
        <v>563</v>
      </c>
      <c r="EN872" s="485"/>
      <c r="EO872" s="458"/>
      <c r="EP872" s="467"/>
      <c r="EQ872" s="457"/>
      <c r="ER872" s="808"/>
      <c r="ES872" s="881">
        <f t="shared" si="238"/>
        <v>0</v>
      </c>
      <c r="ET872" s="882"/>
      <c r="EU872" s="883"/>
      <c r="EV872" s="884">
        <f t="shared" si="239"/>
        <v>0</v>
      </c>
      <c r="EW872" s="885"/>
      <c r="EX872" s="885"/>
      <c r="EY872" s="885"/>
      <c r="EZ872" s="885"/>
      <c r="FA872" s="885"/>
      <c r="FB872" s="885"/>
      <c r="FC872" s="885"/>
      <c r="FD872" s="886"/>
      <c r="FE872" s="550"/>
      <c r="FF872" s="550"/>
      <c r="FG872" s="550"/>
      <c r="FH872" s="550"/>
      <c r="FI872" s="550"/>
      <c r="FJ872" s="550"/>
      <c r="FK872" s="550"/>
      <c r="FL872" s="555"/>
      <c r="FM872" s="554"/>
      <c r="FN872" s="554"/>
      <c r="FO872" s="554"/>
      <c r="FP872" s="554"/>
      <c r="FQ872" s="554"/>
      <c r="FR872" s="554"/>
      <c r="FS872" s="554"/>
      <c r="FT872" s="554"/>
      <c r="FU872" s="554"/>
      <c r="FV872" s="554"/>
      <c r="FW872" s="554"/>
      <c r="FX872" s="554"/>
      <c r="FY872" s="554"/>
      <c r="FZ872" s="554"/>
      <c r="GA872" s="554"/>
      <c r="GB872" s="556"/>
      <c r="GC872" s="370"/>
      <c r="GD872" s="453"/>
      <c r="GE872" s="453"/>
      <c r="GF872" s="453"/>
      <c r="GG872" s="453"/>
      <c r="GH872" s="454"/>
      <c r="GI872" s="453"/>
      <c r="GJ872" s="453"/>
      <c r="GK872" s="453"/>
      <c r="GL872" s="453"/>
      <c r="GM872" s="453"/>
      <c r="GN872" s="453"/>
      <c r="GO872" s="453"/>
      <c r="GP872" s="453"/>
      <c r="GQ872" s="453"/>
      <c r="GR872" s="453"/>
      <c r="GS872" s="561"/>
      <c r="GT872" s="475"/>
      <c r="GU872" s="472"/>
      <c r="GV872" s="453"/>
      <c r="GW872" s="453"/>
      <c r="GX872" s="869"/>
      <c r="GY872" s="870"/>
      <c r="GZ872" s="867"/>
      <c r="HA872" s="868"/>
      <c r="HB872" s="473"/>
      <c r="HC872" s="869"/>
      <c r="HD872" s="870"/>
      <c r="HE872" s="867"/>
      <c r="HF872" s="868"/>
      <c r="HG872" s="473"/>
      <c r="HH872" s="867"/>
      <c r="HI872" s="868"/>
      <c r="HJ872" s="867"/>
      <c r="HK872" s="868"/>
      <c r="HL872" s="370"/>
      <c r="HM872" s="865"/>
      <c r="HN872" s="866"/>
      <c r="HO872" s="865"/>
      <c r="HP872" s="866"/>
      <c r="HQ872" s="865"/>
      <c r="HR872" s="866"/>
      <c r="HS872" s="867"/>
      <c r="HT872" s="868"/>
      <c r="HU872" s="489"/>
      <c r="HV872" s="865"/>
      <c r="HW872" s="866"/>
    </row>
    <row r="873" spans="25:231" ht="15" customHeight="1">
      <c r="Y873" s="332"/>
      <c r="Z873" s="332"/>
      <c r="AA873" s="332"/>
      <c r="AB873" s="332"/>
      <c r="AC873" s="332"/>
      <c r="AD873" s="332"/>
      <c r="AE873" s="332"/>
      <c r="AF873" s="332"/>
      <c r="AG873" s="332"/>
      <c r="AH873" s="332"/>
      <c r="AI873" s="332"/>
      <c r="AJ873" s="332"/>
      <c r="AK873" s="332"/>
      <c r="AL873" s="332"/>
      <c r="AM873" s="332"/>
      <c r="AN873" s="332"/>
      <c r="AO873" s="332"/>
      <c r="AP873" s="332"/>
      <c r="AQ873" s="332"/>
      <c r="AR873" s="332"/>
      <c r="AS873" s="332"/>
      <c r="AT873" s="332"/>
      <c r="AU873" s="332"/>
      <c r="AV873" s="332"/>
      <c r="AW873" s="332"/>
      <c r="AX873" s="332"/>
      <c r="AY873" s="332"/>
      <c r="AZ873" s="332"/>
      <c r="BA873" s="332"/>
      <c r="BB873" s="332"/>
      <c r="BC873" s="332"/>
      <c r="BD873" s="332"/>
      <c r="BE873" s="332"/>
      <c r="BF873" s="332"/>
      <c r="BG873" s="332"/>
      <c r="BH873" s="332"/>
      <c r="BI873" s="332"/>
      <c r="BJ873" s="332"/>
      <c r="BK873" s="332"/>
      <c r="BL873" s="332"/>
      <c r="BM873" s="332"/>
      <c r="BN873" s="332"/>
      <c r="BO873" s="332"/>
      <c r="BP873" s="332"/>
      <c r="BQ873" s="332"/>
      <c r="BR873" s="332"/>
      <c r="BS873" s="332"/>
      <c r="BT873" s="332"/>
      <c r="BU873" s="332"/>
      <c r="BV873" s="332"/>
      <c r="BW873" s="332"/>
      <c r="BX873" s="332"/>
      <c r="BY873" s="332"/>
      <c r="BZ873" s="332"/>
      <c r="CA873" s="332"/>
      <c r="CB873" s="332"/>
      <c r="CC873" s="332"/>
      <c r="CD873" s="332"/>
      <c r="CE873" s="332"/>
      <c r="CF873" s="332"/>
      <c r="CG873" s="332"/>
      <c r="CH873" s="332"/>
      <c r="CI873" s="332"/>
      <c r="CJ873" s="332"/>
      <c r="CK873" s="332"/>
      <c r="CL873" s="332"/>
      <c r="CM873" s="332"/>
      <c r="CN873" s="332"/>
      <c r="CO873" s="332"/>
      <c r="CP873" s="332"/>
      <c r="CQ873" s="332"/>
      <c r="CR873" s="332"/>
      <c r="CS873" s="332"/>
      <c r="CT873" s="332"/>
      <c r="CU873" s="332"/>
      <c r="CV873" s="332"/>
      <c r="CW873" s="332"/>
      <c r="CX873" s="332"/>
      <c r="CY873" s="332"/>
      <c r="CZ873" s="332"/>
      <c r="DA873" s="332"/>
      <c r="DB873" s="332"/>
      <c r="DC873" s="332"/>
      <c r="DD873" s="332"/>
      <c r="DE873" s="332"/>
      <c r="DF873" s="332"/>
      <c r="DG873" s="332"/>
      <c r="DH873" s="332"/>
      <c r="DI873" s="332"/>
      <c r="DJ873" s="332"/>
      <c r="DK873" s="332"/>
      <c r="DL873" s="332"/>
      <c r="DM873" s="332"/>
      <c r="DN873" s="332"/>
      <c r="DO873" s="332"/>
      <c r="DP873" s="332"/>
      <c r="DQ873" s="332"/>
      <c r="DR873" s="332"/>
      <c r="DS873" s="332"/>
      <c r="DT873" s="332"/>
      <c r="DU873" s="453"/>
      <c r="DV873" s="453"/>
      <c r="DW873" s="453"/>
      <c r="DX873" s="453"/>
      <c r="DY873" s="453"/>
      <c r="DZ873" s="453"/>
      <c r="EA873" s="453"/>
      <c r="EB873" s="453"/>
      <c r="EC873" s="453"/>
      <c r="ED873" s="453"/>
      <c r="EE873" s="453"/>
      <c r="EF873" s="453"/>
      <c r="EG873" s="453"/>
      <c r="EH873" s="453"/>
      <c r="EI873" s="453"/>
      <c r="EJ873" s="453"/>
      <c r="EK873" s="453"/>
      <c r="EL873" s="453"/>
      <c r="EM873" s="483">
        <f t="shared" si="237"/>
        <v>564</v>
      </c>
      <c r="EN873" s="485"/>
      <c r="EO873" s="458"/>
      <c r="EP873" s="467"/>
      <c r="EQ873" s="457"/>
      <c r="ER873" s="808"/>
      <c r="ES873" s="881">
        <f t="shared" si="238"/>
        <v>0</v>
      </c>
      <c r="ET873" s="882"/>
      <c r="EU873" s="883"/>
      <c r="EV873" s="884">
        <f t="shared" si="239"/>
        <v>0</v>
      </c>
      <c r="EW873" s="885"/>
      <c r="EX873" s="885"/>
      <c r="EY873" s="885"/>
      <c r="EZ873" s="885"/>
      <c r="FA873" s="885"/>
      <c r="FB873" s="885"/>
      <c r="FC873" s="885"/>
      <c r="FD873" s="886"/>
      <c r="FE873" s="550"/>
      <c r="FF873" s="550"/>
      <c r="FG873" s="550"/>
      <c r="FH873" s="550"/>
      <c r="FI873" s="550"/>
      <c r="FJ873" s="550"/>
      <c r="FK873" s="550"/>
      <c r="FL873" s="555"/>
      <c r="FM873" s="554"/>
      <c r="FN873" s="554"/>
      <c r="FO873" s="554"/>
      <c r="FP873" s="554"/>
      <c r="FQ873" s="554"/>
      <c r="FR873" s="554"/>
      <c r="FS873" s="554"/>
      <c r="FT873" s="554"/>
      <c r="FU873" s="554"/>
      <c r="FV873" s="554"/>
      <c r="FW873" s="554"/>
      <c r="FX873" s="554"/>
      <c r="FY873" s="554"/>
      <c r="FZ873" s="554"/>
      <c r="GA873" s="554"/>
      <c r="GB873" s="556"/>
      <c r="GC873" s="370"/>
      <c r="GD873" s="453"/>
      <c r="GE873" s="453"/>
      <c r="GF873" s="453"/>
      <c r="GG873" s="453"/>
      <c r="GH873" s="454"/>
      <c r="GI873" s="453"/>
      <c r="GJ873" s="453"/>
      <c r="GK873" s="453"/>
      <c r="GL873" s="453"/>
      <c r="GM873" s="453"/>
      <c r="GN873" s="453"/>
      <c r="GO873" s="453"/>
      <c r="GP873" s="453"/>
      <c r="GQ873" s="453"/>
      <c r="GR873" s="453"/>
      <c r="GS873" s="561"/>
      <c r="GT873" s="475"/>
      <c r="GU873" s="472"/>
      <c r="GV873" s="453"/>
      <c r="GW873" s="453"/>
      <c r="GX873" s="869"/>
      <c r="GY873" s="870"/>
      <c r="GZ873" s="867"/>
      <c r="HA873" s="868"/>
      <c r="HB873" s="473"/>
      <c r="HC873" s="869"/>
      <c r="HD873" s="870"/>
      <c r="HE873" s="867"/>
      <c r="HF873" s="868"/>
      <c r="HG873" s="473"/>
      <c r="HH873" s="867"/>
      <c r="HI873" s="868"/>
      <c r="HJ873" s="867"/>
      <c r="HK873" s="868"/>
      <c r="HL873" s="370"/>
      <c r="HM873" s="865"/>
      <c r="HN873" s="866"/>
      <c r="HO873" s="865"/>
      <c r="HP873" s="866"/>
      <c r="HQ873" s="865"/>
      <c r="HR873" s="866"/>
      <c r="HS873" s="867"/>
      <c r="HT873" s="868"/>
      <c r="HU873" s="489"/>
      <c r="HV873" s="865"/>
      <c r="HW873" s="866"/>
    </row>
    <row r="874" spans="25:231" ht="15" customHeight="1">
      <c r="Y874" s="332"/>
      <c r="Z874" s="332"/>
      <c r="AA874" s="332"/>
      <c r="AB874" s="332"/>
      <c r="AC874" s="332"/>
      <c r="AD874" s="332"/>
      <c r="AE874" s="332"/>
      <c r="AF874" s="332"/>
      <c r="AG874" s="332"/>
      <c r="AH874" s="332"/>
      <c r="AI874" s="332"/>
      <c r="AJ874" s="332"/>
      <c r="AK874" s="332"/>
      <c r="AL874" s="332"/>
      <c r="AM874" s="332"/>
      <c r="AN874" s="332"/>
      <c r="AO874" s="332"/>
      <c r="AP874" s="332"/>
      <c r="AQ874" s="332"/>
      <c r="AR874" s="332"/>
      <c r="AS874" s="332"/>
      <c r="AT874" s="332"/>
      <c r="AU874" s="332"/>
      <c r="AV874" s="332"/>
      <c r="AW874" s="332"/>
      <c r="AX874" s="332"/>
      <c r="AY874" s="332"/>
      <c r="AZ874" s="332"/>
      <c r="BA874" s="332"/>
      <c r="BB874" s="332"/>
      <c r="BC874" s="332"/>
      <c r="BD874" s="332"/>
      <c r="BE874" s="332"/>
      <c r="BF874" s="332"/>
      <c r="BG874" s="332"/>
      <c r="BH874" s="332"/>
      <c r="BI874" s="332"/>
      <c r="BJ874" s="332"/>
      <c r="BK874" s="332"/>
      <c r="BL874" s="332"/>
      <c r="BM874" s="332"/>
      <c r="BN874" s="332"/>
      <c r="BO874" s="332"/>
      <c r="BP874" s="332"/>
      <c r="BQ874" s="332"/>
      <c r="BR874" s="332"/>
      <c r="BS874" s="332"/>
      <c r="BT874" s="332"/>
      <c r="BU874" s="332"/>
      <c r="BV874" s="332"/>
      <c r="BW874" s="332"/>
      <c r="BX874" s="332"/>
      <c r="BY874" s="332"/>
      <c r="BZ874" s="332"/>
      <c r="CA874" s="332"/>
      <c r="CB874" s="332"/>
      <c r="CC874" s="332"/>
      <c r="CD874" s="332"/>
      <c r="CE874" s="332"/>
      <c r="CF874" s="332"/>
      <c r="CG874" s="332"/>
      <c r="CH874" s="332"/>
      <c r="CI874" s="332"/>
      <c r="CJ874" s="332"/>
      <c r="CK874" s="332"/>
      <c r="CL874" s="332"/>
      <c r="CM874" s="332"/>
      <c r="CN874" s="332"/>
      <c r="CO874" s="332"/>
      <c r="CP874" s="332"/>
      <c r="CQ874" s="332"/>
      <c r="CR874" s="332"/>
      <c r="CS874" s="332"/>
      <c r="CT874" s="332"/>
      <c r="CU874" s="332"/>
      <c r="CV874" s="332"/>
      <c r="CW874" s="332"/>
      <c r="CX874" s="332"/>
      <c r="CY874" s="332"/>
      <c r="CZ874" s="332"/>
      <c r="DA874" s="332"/>
      <c r="DB874" s="332"/>
      <c r="DC874" s="332"/>
      <c r="DD874" s="332"/>
      <c r="DE874" s="332"/>
      <c r="DF874" s="332"/>
      <c r="DG874" s="332"/>
      <c r="DH874" s="332"/>
      <c r="DI874" s="332"/>
      <c r="DJ874" s="332"/>
      <c r="DK874" s="332"/>
      <c r="DL874" s="332"/>
      <c r="DM874" s="332"/>
      <c r="DN874" s="332"/>
      <c r="DO874" s="332"/>
      <c r="DP874" s="332"/>
      <c r="DQ874" s="332"/>
      <c r="DR874" s="332"/>
      <c r="DS874" s="332"/>
      <c r="DT874" s="332"/>
      <c r="DU874" s="453"/>
      <c r="DV874" s="453"/>
      <c r="DW874" s="453"/>
      <c r="DX874" s="453"/>
      <c r="DY874" s="453"/>
      <c r="DZ874" s="453"/>
      <c r="EA874" s="453"/>
      <c r="EB874" s="453"/>
      <c r="EC874" s="453"/>
      <c r="ED874" s="453"/>
      <c r="EE874" s="453"/>
      <c r="EF874" s="453"/>
      <c r="EG874" s="453"/>
      <c r="EH874" s="453"/>
      <c r="EI874" s="453"/>
      <c r="EJ874" s="453"/>
      <c r="EK874" s="453"/>
      <c r="EL874" s="453"/>
      <c r="EM874" s="483">
        <f t="shared" si="237"/>
        <v>565</v>
      </c>
      <c r="EN874" s="485"/>
      <c r="EO874" s="458"/>
      <c r="EP874" s="467"/>
      <c r="EQ874" s="457"/>
      <c r="ER874" s="808"/>
      <c r="ES874" s="881">
        <f t="shared" si="238"/>
        <v>0</v>
      </c>
      <c r="ET874" s="882"/>
      <c r="EU874" s="883"/>
      <c r="EV874" s="884">
        <f t="shared" si="239"/>
        <v>0</v>
      </c>
      <c r="EW874" s="885"/>
      <c r="EX874" s="885"/>
      <c r="EY874" s="885"/>
      <c r="EZ874" s="885"/>
      <c r="FA874" s="885"/>
      <c r="FB874" s="885"/>
      <c r="FC874" s="885"/>
      <c r="FD874" s="886"/>
      <c r="FE874" s="550"/>
      <c r="FF874" s="550"/>
      <c r="FG874" s="550"/>
      <c r="FH874" s="550"/>
      <c r="FI874" s="550"/>
      <c r="FJ874" s="550"/>
      <c r="FK874" s="550"/>
      <c r="FL874" s="555"/>
      <c r="FM874" s="554"/>
      <c r="FN874" s="554"/>
      <c r="FO874" s="554"/>
      <c r="FP874" s="554"/>
      <c r="FQ874" s="554"/>
      <c r="FR874" s="554"/>
      <c r="FS874" s="554"/>
      <c r="FT874" s="554"/>
      <c r="FU874" s="554"/>
      <c r="FV874" s="554"/>
      <c r="FW874" s="554"/>
      <c r="FX874" s="554"/>
      <c r="FY874" s="554"/>
      <c r="FZ874" s="554"/>
      <c r="GA874" s="554"/>
      <c r="GB874" s="556"/>
      <c r="GC874" s="370"/>
      <c r="GD874" s="453"/>
      <c r="GE874" s="453"/>
      <c r="GF874" s="453"/>
      <c r="GG874" s="453"/>
      <c r="GH874" s="454"/>
      <c r="GI874" s="453"/>
      <c r="GJ874" s="453"/>
      <c r="GK874" s="453"/>
      <c r="GL874" s="453"/>
      <c r="GM874" s="453"/>
      <c r="GN874" s="453"/>
      <c r="GO874" s="453"/>
      <c r="GP874" s="453"/>
      <c r="GQ874" s="453"/>
      <c r="GR874" s="453"/>
      <c r="GS874" s="561"/>
      <c r="GT874" s="475"/>
      <c r="GU874" s="472"/>
      <c r="GV874" s="453"/>
      <c r="GW874" s="453"/>
      <c r="GX874" s="869"/>
      <c r="GY874" s="870"/>
      <c r="GZ874" s="867"/>
      <c r="HA874" s="868"/>
      <c r="HB874" s="473"/>
      <c r="HC874" s="869"/>
      <c r="HD874" s="870"/>
      <c r="HE874" s="867"/>
      <c r="HF874" s="868"/>
      <c r="HG874" s="473"/>
      <c r="HH874" s="867"/>
      <c r="HI874" s="868"/>
      <c r="HJ874" s="867"/>
      <c r="HK874" s="868"/>
      <c r="HL874" s="370"/>
      <c r="HM874" s="865"/>
      <c r="HN874" s="866"/>
      <c r="HO874" s="865"/>
      <c r="HP874" s="866"/>
      <c r="HQ874" s="865"/>
      <c r="HR874" s="866"/>
      <c r="HS874" s="867"/>
      <c r="HT874" s="868"/>
      <c r="HU874" s="489"/>
      <c r="HV874" s="865"/>
      <c r="HW874" s="866"/>
    </row>
    <row r="875" spans="25:231" ht="15" customHeight="1">
      <c r="Y875" s="332"/>
      <c r="Z875" s="332"/>
      <c r="AA875" s="332"/>
      <c r="AB875" s="332"/>
      <c r="AC875" s="332"/>
      <c r="AD875" s="332"/>
      <c r="AE875" s="332"/>
      <c r="AF875" s="332"/>
      <c r="AG875" s="332"/>
      <c r="AH875" s="332"/>
      <c r="AI875" s="332"/>
      <c r="AJ875" s="332"/>
      <c r="AK875" s="332"/>
      <c r="AL875" s="332"/>
      <c r="AM875" s="332"/>
      <c r="AN875" s="332"/>
      <c r="AO875" s="332"/>
      <c r="AP875" s="332"/>
      <c r="AQ875" s="332"/>
      <c r="AR875" s="332"/>
      <c r="AS875" s="332"/>
      <c r="AT875" s="332"/>
      <c r="AU875" s="332"/>
      <c r="AV875" s="332"/>
      <c r="AW875" s="332"/>
      <c r="AX875" s="332"/>
      <c r="AY875" s="332"/>
      <c r="AZ875" s="332"/>
      <c r="BA875" s="332"/>
      <c r="BB875" s="332"/>
      <c r="BC875" s="332"/>
      <c r="BD875" s="332"/>
      <c r="BE875" s="332"/>
      <c r="BF875" s="332"/>
      <c r="BG875" s="332"/>
      <c r="BH875" s="332"/>
      <c r="BI875" s="332"/>
      <c r="BJ875" s="332"/>
      <c r="BK875" s="332"/>
      <c r="BL875" s="332"/>
      <c r="BM875" s="332"/>
      <c r="BN875" s="332"/>
      <c r="BO875" s="332"/>
      <c r="BP875" s="332"/>
      <c r="BQ875" s="332"/>
      <c r="BR875" s="332"/>
      <c r="BS875" s="332"/>
      <c r="BT875" s="332"/>
      <c r="BU875" s="332"/>
      <c r="BV875" s="332"/>
      <c r="BW875" s="332"/>
      <c r="BX875" s="332"/>
      <c r="BY875" s="332"/>
      <c r="BZ875" s="332"/>
      <c r="CA875" s="332"/>
      <c r="CB875" s="332"/>
      <c r="CC875" s="332"/>
      <c r="CD875" s="332"/>
      <c r="CE875" s="332"/>
      <c r="CF875" s="332"/>
      <c r="CG875" s="332"/>
      <c r="CH875" s="332"/>
      <c r="CI875" s="332"/>
      <c r="CJ875" s="332"/>
      <c r="CK875" s="332"/>
      <c r="CL875" s="332"/>
      <c r="CM875" s="332"/>
      <c r="CN875" s="332"/>
      <c r="CO875" s="332"/>
      <c r="CP875" s="332"/>
      <c r="CQ875" s="332"/>
      <c r="CR875" s="332"/>
      <c r="CS875" s="332"/>
      <c r="CT875" s="332"/>
      <c r="CU875" s="332"/>
      <c r="CV875" s="332"/>
      <c r="CW875" s="332"/>
      <c r="CX875" s="332"/>
      <c r="CY875" s="332"/>
      <c r="CZ875" s="332"/>
      <c r="DA875" s="332"/>
      <c r="DB875" s="332"/>
      <c r="DC875" s="332"/>
      <c r="DD875" s="332"/>
      <c r="DE875" s="332"/>
      <c r="DF875" s="332"/>
      <c r="DG875" s="332"/>
      <c r="DH875" s="332"/>
      <c r="DI875" s="332"/>
      <c r="DJ875" s="332"/>
      <c r="DK875" s="332"/>
      <c r="DL875" s="332"/>
      <c r="DM875" s="332"/>
      <c r="DN875" s="332"/>
      <c r="DO875" s="332"/>
      <c r="DP875" s="332"/>
      <c r="DQ875" s="332"/>
      <c r="DR875" s="332"/>
      <c r="DS875" s="332"/>
      <c r="DT875" s="332"/>
      <c r="DU875" s="453"/>
      <c r="DV875" s="453"/>
      <c r="DW875" s="453"/>
      <c r="DX875" s="453"/>
      <c r="DY875" s="453"/>
      <c r="DZ875" s="453"/>
      <c r="EA875" s="453"/>
      <c r="EB875" s="453"/>
      <c r="EC875" s="453"/>
      <c r="ED875" s="453"/>
      <c r="EE875" s="453"/>
      <c r="EF875" s="453"/>
      <c r="EG875" s="453"/>
      <c r="EH875" s="453"/>
      <c r="EI875" s="453"/>
      <c r="EJ875" s="453"/>
      <c r="EK875" s="453"/>
      <c r="EL875" s="453"/>
      <c r="EM875" s="483">
        <f t="shared" si="237"/>
        <v>566</v>
      </c>
      <c r="EN875" s="485"/>
      <c r="EO875" s="458"/>
      <c r="EP875" s="467"/>
      <c r="EQ875" s="457"/>
      <c r="ER875" s="808"/>
      <c r="ES875" s="881">
        <f t="shared" si="238"/>
        <v>0</v>
      </c>
      <c r="ET875" s="882"/>
      <c r="EU875" s="883"/>
      <c r="EV875" s="884">
        <f t="shared" si="239"/>
        <v>0</v>
      </c>
      <c r="EW875" s="885"/>
      <c r="EX875" s="885"/>
      <c r="EY875" s="885"/>
      <c r="EZ875" s="885"/>
      <c r="FA875" s="885"/>
      <c r="FB875" s="885"/>
      <c r="FC875" s="885"/>
      <c r="FD875" s="886"/>
      <c r="FE875" s="550"/>
      <c r="FF875" s="550"/>
      <c r="FG875" s="550"/>
      <c r="FH875" s="550"/>
      <c r="FI875" s="550"/>
      <c r="FJ875" s="550"/>
      <c r="FK875" s="550"/>
      <c r="FL875" s="555"/>
      <c r="FM875" s="554"/>
      <c r="FN875" s="554"/>
      <c r="FO875" s="554"/>
      <c r="FP875" s="554"/>
      <c r="FQ875" s="554"/>
      <c r="FR875" s="554"/>
      <c r="FS875" s="554"/>
      <c r="FT875" s="554"/>
      <c r="FU875" s="554"/>
      <c r="FV875" s="554"/>
      <c r="FW875" s="554"/>
      <c r="FX875" s="554"/>
      <c r="FY875" s="554"/>
      <c r="FZ875" s="554"/>
      <c r="GA875" s="554"/>
      <c r="GB875" s="556"/>
      <c r="GC875" s="370"/>
      <c r="GD875" s="453"/>
      <c r="GE875" s="453"/>
      <c r="GF875" s="453"/>
      <c r="GG875" s="453"/>
      <c r="GH875" s="454"/>
      <c r="GI875" s="453"/>
      <c r="GJ875" s="453"/>
      <c r="GK875" s="453"/>
      <c r="GL875" s="453"/>
      <c r="GM875" s="453"/>
      <c r="GN875" s="453"/>
      <c r="GO875" s="453"/>
      <c r="GP875" s="453"/>
      <c r="GQ875" s="453"/>
      <c r="GR875" s="453"/>
      <c r="GS875" s="561"/>
      <c r="GT875" s="475"/>
      <c r="GU875" s="472"/>
      <c r="GV875" s="453"/>
      <c r="GW875" s="453"/>
      <c r="GX875" s="869"/>
      <c r="GY875" s="870"/>
      <c r="GZ875" s="867"/>
      <c r="HA875" s="868"/>
      <c r="HB875" s="473"/>
      <c r="HC875" s="869"/>
      <c r="HD875" s="870"/>
      <c r="HE875" s="867"/>
      <c r="HF875" s="868"/>
      <c r="HG875" s="473"/>
      <c r="HH875" s="867"/>
      <c r="HI875" s="868"/>
      <c r="HJ875" s="867"/>
      <c r="HK875" s="868"/>
      <c r="HL875" s="370"/>
      <c r="HM875" s="865"/>
      <c r="HN875" s="866"/>
      <c r="HO875" s="865"/>
      <c r="HP875" s="866"/>
      <c r="HQ875" s="865"/>
      <c r="HR875" s="866"/>
      <c r="HS875" s="867"/>
      <c r="HT875" s="868"/>
      <c r="HU875" s="489"/>
      <c r="HV875" s="865"/>
      <c r="HW875" s="866"/>
    </row>
    <row r="876" spans="25:231" ht="15" customHeight="1">
      <c r="Y876" s="332"/>
      <c r="Z876" s="332"/>
      <c r="AA876" s="332"/>
      <c r="AB876" s="332"/>
      <c r="AC876" s="332"/>
      <c r="AD876" s="332"/>
      <c r="AE876" s="332"/>
      <c r="AF876" s="332"/>
      <c r="AG876" s="332"/>
      <c r="AH876" s="332"/>
      <c r="AI876" s="332"/>
      <c r="AJ876" s="332"/>
      <c r="AK876" s="332"/>
      <c r="AL876" s="332"/>
      <c r="AM876" s="332"/>
      <c r="AN876" s="332"/>
      <c r="AO876" s="332"/>
      <c r="AP876" s="332"/>
      <c r="AQ876" s="332"/>
      <c r="AR876" s="332"/>
      <c r="AS876" s="332"/>
      <c r="AT876" s="332"/>
      <c r="AU876" s="332"/>
      <c r="AV876" s="332"/>
      <c r="AW876" s="332"/>
      <c r="AX876" s="332"/>
      <c r="AY876" s="332"/>
      <c r="AZ876" s="332"/>
      <c r="BA876" s="332"/>
      <c r="BB876" s="332"/>
      <c r="BC876" s="332"/>
      <c r="BD876" s="332"/>
      <c r="BE876" s="332"/>
      <c r="BF876" s="332"/>
      <c r="BG876" s="332"/>
      <c r="BH876" s="332"/>
      <c r="BI876" s="332"/>
      <c r="BJ876" s="332"/>
      <c r="BK876" s="332"/>
      <c r="BL876" s="332"/>
      <c r="BM876" s="332"/>
      <c r="BN876" s="332"/>
      <c r="BO876" s="332"/>
      <c r="BP876" s="332"/>
      <c r="BQ876" s="332"/>
      <c r="BR876" s="332"/>
      <c r="BS876" s="332"/>
      <c r="BT876" s="332"/>
      <c r="BU876" s="332"/>
      <c r="BV876" s="332"/>
      <c r="BW876" s="332"/>
      <c r="BX876" s="332"/>
      <c r="BY876" s="332"/>
      <c r="BZ876" s="332"/>
      <c r="CA876" s="332"/>
      <c r="CB876" s="332"/>
      <c r="CC876" s="332"/>
      <c r="CD876" s="332"/>
      <c r="CE876" s="332"/>
      <c r="CF876" s="332"/>
      <c r="CG876" s="332"/>
      <c r="CH876" s="332"/>
      <c r="CI876" s="332"/>
      <c r="CJ876" s="332"/>
      <c r="CK876" s="332"/>
      <c r="CL876" s="332"/>
      <c r="CM876" s="332"/>
      <c r="CN876" s="332"/>
      <c r="CO876" s="332"/>
      <c r="CP876" s="332"/>
      <c r="CQ876" s="332"/>
      <c r="CR876" s="332"/>
      <c r="CS876" s="332"/>
      <c r="CT876" s="332"/>
      <c r="CU876" s="332"/>
      <c r="CV876" s="332"/>
      <c r="CW876" s="332"/>
      <c r="CX876" s="332"/>
      <c r="CY876" s="332"/>
      <c r="CZ876" s="332"/>
      <c r="DA876" s="332"/>
      <c r="DB876" s="332"/>
      <c r="DC876" s="332"/>
      <c r="DD876" s="332"/>
      <c r="DE876" s="332"/>
      <c r="DF876" s="332"/>
      <c r="DG876" s="332"/>
      <c r="DH876" s="332"/>
      <c r="DI876" s="332"/>
      <c r="DJ876" s="332"/>
      <c r="DK876" s="332"/>
      <c r="DL876" s="332"/>
      <c r="DM876" s="332"/>
      <c r="DN876" s="332"/>
      <c r="DO876" s="332"/>
      <c r="DP876" s="332"/>
      <c r="DQ876" s="332"/>
      <c r="DR876" s="332"/>
      <c r="DS876" s="332"/>
      <c r="DT876" s="332"/>
      <c r="DU876" s="453"/>
      <c r="DV876" s="453"/>
      <c r="DW876" s="453"/>
      <c r="DX876" s="453"/>
      <c r="DY876" s="453"/>
      <c r="DZ876" s="453"/>
      <c r="EA876" s="453"/>
      <c r="EB876" s="453"/>
      <c r="EC876" s="453"/>
      <c r="ED876" s="453"/>
      <c r="EE876" s="453"/>
      <c r="EF876" s="453"/>
      <c r="EG876" s="453"/>
      <c r="EH876" s="453"/>
      <c r="EI876" s="453"/>
      <c r="EJ876" s="453"/>
      <c r="EK876" s="453"/>
      <c r="EL876" s="453"/>
      <c r="EM876" s="483">
        <f t="shared" si="237"/>
        <v>567</v>
      </c>
      <c r="EN876" s="485"/>
      <c r="EO876" s="458"/>
      <c r="EP876" s="467"/>
      <c r="EQ876" s="457"/>
      <c r="ER876" s="808"/>
      <c r="ES876" s="881">
        <f t="shared" si="238"/>
        <v>0</v>
      </c>
      <c r="ET876" s="882"/>
      <c r="EU876" s="883"/>
      <c r="EV876" s="884">
        <f t="shared" si="239"/>
        <v>0</v>
      </c>
      <c r="EW876" s="885"/>
      <c r="EX876" s="885"/>
      <c r="EY876" s="885"/>
      <c r="EZ876" s="885"/>
      <c r="FA876" s="885"/>
      <c r="FB876" s="885"/>
      <c r="FC876" s="885"/>
      <c r="FD876" s="886"/>
      <c r="FE876" s="550"/>
      <c r="FF876" s="550"/>
      <c r="FG876" s="550"/>
      <c r="FH876" s="550"/>
      <c r="FI876" s="550"/>
      <c r="FJ876" s="550"/>
      <c r="FK876" s="550"/>
      <c r="FL876" s="555"/>
      <c r="FM876" s="554"/>
      <c r="FN876" s="554"/>
      <c r="FO876" s="554"/>
      <c r="FP876" s="554"/>
      <c r="FQ876" s="554"/>
      <c r="FR876" s="554"/>
      <c r="FS876" s="554"/>
      <c r="FT876" s="554"/>
      <c r="FU876" s="554"/>
      <c r="FV876" s="554"/>
      <c r="FW876" s="554"/>
      <c r="FX876" s="554"/>
      <c r="FY876" s="554"/>
      <c r="FZ876" s="554"/>
      <c r="GA876" s="554"/>
      <c r="GB876" s="556"/>
      <c r="GC876" s="370"/>
      <c r="GD876" s="453"/>
      <c r="GE876" s="453"/>
      <c r="GF876" s="453"/>
      <c r="GG876" s="453"/>
      <c r="GH876" s="454"/>
      <c r="GI876" s="453"/>
      <c r="GJ876" s="453"/>
      <c r="GK876" s="453"/>
      <c r="GL876" s="453"/>
      <c r="GM876" s="453"/>
      <c r="GN876" s="453"/>
      <c r="GO876" s="453"/>
      <c r="GP876" s="453"/>
      <c r="GQ876" s="453"/>
      <c r="GR876" s="453"/>
      <c r="GS876" s="561"/>
      <c r="GT876" s="475"/>
      <c r="GU876" s="472"/>
      <c r="GV876" s="453"/>
      <c r="GW876" s="453"/>
      <c r="GX876" s="869"/>
      <c r="GY876" s="870"/>
      <c r="GZ876" s="867"/>
      <c r="HA876" s="868"/>
      <c r="HB876" s="473"/>
      <c r="HC876" s="869"/>
      <c r="HD876" s="870"/>
      <c r="HE876" s="867"/>
      <c r="HF876" s="868"/>
      <c r="HG876" s="473"/>
      <c r="HH876" s="867"/>
      <c r="HI876" s="868"/>
      <c r="HJ876" s="867"/>
      <c r="HK876" s="868"/>
      <c r="HL876" s="370"/>
      <c r="HM876" s="865"/>
      <c r="HN876" s="866"/>
      <c r="HO876" s="865"/>
      <c r="HP876" s="866"/>
      <c r="HQ876" s="865"/>
      <c r="HR876" s="866"/>
      <c r="HS876" s="867"/>
      <c r="HT876" s="868"/>
      <c r="HU876" s="489"/>
      <c r="HV876" s="865"/>
      <c r="HW876" s="866"/>
    </row>
    <row r="877" spans="25:231" ht="15" customHeight="1">
      <c r="Y877" s="332"/>
      <c r="Z877" s="332"/>
      <c r="AA877" s="332"/>
      <c r="AB877" s="332"/>
      <c r="AC877" s="332"/>
      <c r="AD877" s="332"/>
      <c r="AE877" s="332"/>
      <c r="AF877" s="332"/>
      <c r="AG877" s="332"/>
      <c r="AH877" s="332"/>
      <c r="AI877" s="332"/>
      <c r="AJ877" s="332"/>
      <c r="AK877" s="332"/>
      <c r="AL877" s="332"/>
      <c r="AM877" s="332"/>
      <c r="AN877" s="332"/>
      <c r="AO877" s="332"/>
      <c r="AP877" s="332"/>
      <c r="AQ877" s="332"/>
      <c r="AR877" s="332"/>
      <c r="AS877" s="332"/>
      <c r="AT877" s="332"/>
      <c r="AU877" s="332"/>
      <c r="AV877" s="332"/>
      <c r="AW877" s="332"/>
      <c r="AX877" s="332"/>
      <c r="AY877" s="332"/>
      <c r="AZ877" s="332"/>
      <c r="BA877" s="332"/>
      <c r="BB877" s="332"/>
      <c r="BC877" s="332"/>
      <c r="BD877" s="332"/>
      <c r="BE877" s="332"/>
      <c r="BF877" s="332"/>
      <c r="BG877" s="332"/>
      <c r="BH877" s="332"/>
      <c r="BI877" s="332"/>
      <c r="BJ877" s="332"/>
      <c r="BK877" s="332"/>
      <c r="BL877" s="332"/>
      <c r="BM877" s="332"/>
      <c r="BN877" s="332"/>
      <c r="BO877" s="332"/>
      <c r="BP877" s="332"/>
      <c r="BQ877" s="332"/>
      <c r="BR877" s="332"/>
      <c r="BS877" s="332"/>
      <c r="BT877" s="332"/>
      <c r="BU877" s="332"/>
      <c r="BV877" s="332"/>
      <c r="BW877" s="332"/>
      <c r="BX877" s="332"/>
      <c r="BY877" s="332"/>
      <c r="BZ877" s="332"/>
      <c r="CA877" s="332"/>
      <c r="CB877" s="332"/>
      <c r="CC877" s="332"/>
      <c r="CD877" s="332"/>
      <c r="CE877" s="332"/>
      <c r="CF877" s="332"/>
      <c r="CG877" s="332"/>
      <c r="CH877" s="332"/>
      <c r="CI877" s="332"/>
      <c r="CJ877" s="332"/>
      <c r="CK877" s="332"/>
      <c r="CL877" s="332"/>
      <c r="CM877" s="332"/>
      <c r="CN877" s="332"/>
      <c r="CO877" s="332"/>
      <c r="CP877" s="332"/>
      <c r="CQ877" s="332"/>
      <c r="CR877" s="332"/>
      <c r="CS877" s="332"/>
      <c r="CT877" s="332"/>
      <c r="CU877" s="332"/>
      <c r="CV877" s="332"/>
      <c r="CW877" s="332"/>
      <c r="CX877" s="332"/>
      <c r="CY877" s="332"/>
      <c r="CZ877" s="332"/>
      <c r="DA877" s="332"/>
      <c r="DB877" s="332"/>
      <c r="DC877" s="332"/>
      <c r="DD877" s="332"/>
      <c r="DE877" s="332"/>
      <c r="DF877" s="332"/>
      <c r="DG877" s="332"/>
      <c r="DH877" s="332"/>
      <c r="DI877" s="332"/>
      <c r="DJ877" s="332"/>
      <c r="DK877" s="332"/>
      <c r="DL877" s="332"/>
      <c r="DM877" s="332"/>
      <c r="DN877" s="332"/>
      <c r="DO877" s="332"/>
      <c r="DP877" s="332"/>
      <c r="DQ877" s="332"/>
      <c r="DR877" s="332"/>
      <c r="DS877" s="332"/>
      <c r="DT877" s="332"/>
      <c r="DU877" s="453"/>
      <c r="DV877" s="453"/>
      <c r="DW877" s="453"/>
      <c r="DX877" s="453"/>
      <c r="DY877" s="453"/>
      <c r="DZ877" s="453"/>
      <c r="EA877" s="453"/>
      <c r="EB877" s="453"/>
      <c r="EC877" s="453"/>
      <c r="ED877" s="453"/>
      <c r="EE877" s="453"/>
      <c r="EF877" s="453"/>
      <c r="EG877" s="453"/>
      <c r="EH877" s="453"/>
      <c r="EI877" s="453"/>
      <c r="EJ877" s="453"/>
      <c r="EK877" s="453"/>
      <c r="EL877" s="453"/>
      <c r="EM877" s="483">
        <f t="shared" si="237"/>
        <v>568</v>
      </c>
      <c r="EN877" s="485"/>
      <c r="EO877" s="458"/>
      <c r="EP877" s="467"/>
      <c r="EQ877" s="457"/>
      <c r="ER877" s="808"/>
      <c r="ES877" s="881">
        <f t="shared" si="238"/>
        <v>0</v>
      </c>
      <c r="ET877" s="882"/>
      <c r="EU877" s="883"/>
      <c r="EV877" s="884">
        <f t="shared" si="239"/>
        <v>0</v>
      </c>
      <c r="EW877" s="885"/>
      <c r="EX877" s="885"/>
      <c r="EY877" s="885"/>
      <c r="EZ877" s="885"/>
      <c r="FA877" s="885"/>
      <c r="FB877" s="885"/>
      <c r="FC877" s="885"/>
      <c r="FD877" s="886"/>
      <c r="FE877" s="550"/>
      <c r="FF877" s="550"/>
      <c r="FG877" s="550"/>
      <c r="FH877" s="550"/>
      <c r="FI877" s="550"/>
      <c r="FJ877" s="550"/>
      <c r="FK877" s="550"/>
      <c r="FL877" s="555"/>
      <c r="FM877" s="554"/>
      <c r="FN877" s="554"/>
      <c r="FO877" s="554"/>
      <c r="FP877" s="554"/>
      <c r="FQ877" s="554"/>
      <c r="FR877" s="554"/>
      <c r="FS877" s="554"/>
      <c r="FT877" s="554"/>
      <c r="FU877" s="554"/>
      <c r="FV877" s="554"/>
      <c r="FW877" s="554"/>
      <c r="FX877" s="554"/>
      <c r="FY877" s="554"/>
      <c r="FZ877" s="554"/>
      <c r="GA877" s="554"/>
      <c r="GB877" s="556"/>
      <c r="GC877" s="370"/>
      <c r="GD877" s="453"/>
      <c r="GE877" s="453"/>
      <c r="GF877" s="453"/>
      <c r="GG877" s="453"/>
      <c r="GH877" s="454"/>
      <c r="GI877" s="453"/>
      <c r="GJ877" s="453"/>
      <c r="GK877" s="453"/>
      <c r="GL877" s="453"/>
      <c r="GM877" s="453"/>
      <c r="GN877" s="453"/>
      <c r="GO877" s="453"/>
      <c r="GP877" s="453"/>
      <c r="GQ877" s="453"/>
      <c r="GR877" s="453"/>
      <c r="GS877" s="561"/>
      <c r="GT877" s="475"/>
      <c r="GU877" s="472"/>
      <c r="GV877" s="453"/>
      <c r="GW877" s="453"/>
      <c r="GX877" s="869"/>
      <c r="GY877" s="870"/>
      <c r="GZ877" s="867"/>
      <c r="HA877" s="868"/>
      <c r="HB877" s="473"/>
      <c r="HC877" s="869"/>
      <c r="HD877" s="870"/>
      <c r="HE877" s="867"/>
      <c r="HF877" s="868"/>
      <c r="HG877" s="473"/>
      <c r="HH877" s="867"/>
      <c r="HI877" s="868"/>
      <c r="HJ877" s="867"/>
      <c r="HK877" s="868"/>
      <c r="HL877" s="370"/>
      <c r="HM877" s="865"/>
      <c r="HN877" s="866"/>
      <c r="HO877" s="865"/>
      <c r="HP877" s="866"/>
      <c r="HQ877" s="865"/>
      <c r="HR877" s="866"/>
      <c r="HS877" s="867"/>
      <c r="HT877" s="868"/>
      <c r="HU877" s="489"/>
      <c r="HV877" s="865"/>
      <c r="HW877" s="866"/>
    </row>
    <row r="878" spans="25:231" ht="15" customHeight="1">
      <c r="Y878" s="332"/>
      <c r="Z878" s="332"/>
      <c r="AA878" s="332"/>
      <c r="AB878" s="332"/>
      <c r="AC878" s="332"/>
      <c r="AD878" s="332"/>
      <c r="AE878" s="332"/>
      <c r="AF878" s="332"/>
      <c r="AG878" s="332"/>
      <c r="AH878" s="332"/>
      <c r="AI878" s="332"/>
      <c r="AJ878" s="332"/>
      <c r="AK878" s="332"/>
      <c r="AL878" s="332"/>
      <c r="AM878" s="332"/>
      <c r="AN878" s="332"/>
      <c r="AO878" s="332"/>
      <c r="AP878" s="332"/>
      <c r="AQ878" s="332"/>
      <c r="AR878" s="332"/>
      <c r="AS878" s="332"/>
      <c r="AT878" s="332"/>
      <c r="AU878" s="332"/>
      <c r="AV878" s="332"/>
      <c r="AW878" s="332"/>
      <c r="AX878" s="332"/>
      <c r="AY878" s="332"/>
      <c r="AZ878" s="332"/>
      <c r="BA878" s="332"/>
      <c r="BB878" s="332"/>
      <c r="BC878" s="332"/>
      <c r="BD878" s="332"/>
      <c r="BE878" s="332"/>
      <c r="BF878" s="332"/>
      <c r="BG878" s="332"/>
      <c r="BH878" s="332"/>
      <c r="BI878" s="332"/>
      <c r="BJ878" s="332"/>
      <c r="BK878" s="332"/>
      <c r="BL878" s="332"/>
      <c r="BM878" s="332"/>
      <c r="BN878" s="332"/>
      <c r="BO878" s="332"/>
      <c r="BP878" s="332"/>
      <c r="BQ878" s="332"/>
      <c r="BR878" s="332"/>
      <c r="BS878" s="332"/>
      <c r="BT878" s="332"/>
      <c r="BU878" s="332"/>
      <c r="BV878" s="332"/>
      <c r="BW878" s="332"/>
      <c r="BX878" s="332"/>
      <c r="BY878" s="332"/>
      <c r="BZ878" s="332"/>
      <c r="CA878" s="332"/>
      <c r="CB878" s="332"/>
      <c r="CC878" s="332"/>
      <c r="CD878" s="332"/>
      <c r="CE878" s="332"/>
      <c r="CF878" s="332"/>
      <c r="CG878" s="332"/>
      <c r="CH878" s="332"/>
      <c r="CI878" s="332"/>
      <c r="CJ878" s="332"/>
      <c r="CK878" s="332"/>
      <c r="CL878" s="332"/>
      <c r="CM878" s="332"/>
      <c r="CN878" s="332"/>
      <c r="CO878" s="332"/>
      <c r="CP878" s="332"/>
      <c r="CQ878" s="332"/>
      <c r="CR878" s="332"/>
      <c r="CS878" s="332"/>
      <c r="CT878" s="332"/>
      <c r="CU878" s="332"/>
      <c r="CV878" s="332"/>
      <c r="CW878" s="332"/>
      <c r="CX878" s="332"/>
      <c r="CY878" s="332"/>
      <c r="CZ878" s="332"/>
      <c r="DA878" s="332"/>
      <c r="DB878" s="332"/>
      <c r="DC878" s="332"/>
      <c r="DD878" s="332"/>
      <c r="DE878" s="332"/>
      <c r="DF878" s="332"/>
      <c r="DG878" s="332"/>
      <c r="DH878" s="332"/>
      <c r="DI878" s="332"/>
      <c r="DJ878" s="332"/>
      <c r="DK878" s="332"/>
      <c r="DL878" s="332"/>
      <c r="DM878" s="332"/>
      <c r="DN878" s="332"/>
      <c r="DO878" s="332"/>
      <c r="DP878" s="332"/>
      <c r="DQ878" s="332"/>
      <c r="DR878" s="332"/>
      <c r="DS878" s="332"/>
      <c r="DT878" s="332"/>
      <c r="DU878" s="453"/>
      <c r="DV878" s="453"/>
      <c r="DW878" s="453"/>
      <c r="DX878" s="453"/>
      <c r="DY878" s="453"/>
      <c r="DZ878" s="453"/>
      <c r="EA878" s="453"/>
      <c r="EB878" s="453"/>
      <c r="EC878" s="453"/>
      <c r="ED878" s="453"/>
      <c r="EE878" s="453"/>
      <c r="EF878" s="453"/>
      <c r="EG878" s="453"/>
      <c r="EH878" s="453"/>
      <c r="EI878" s="453"/>
      <c r="EJ878" s="453"/>
      <c r="EK878" s="453"/>
      <c r="EL878" s="453"/>
      <c r="EM878" s="483">
        <f t="shared" si="237"/>
        <v>569</v>
      </c>
      <c r="EN878" s="485"/>
      <c r="EO878" s="458"/>
      <c r="EP878" s="467"/>
      <c r="EQ878" s="457"/>
      <c r="ER878" s="808"/>
      <c r="ES878" s="881">
        <f t="shared" si="238"/>
        <v>0</v>
      </c>
      <c r="ET878" s="882"/>
      <c r="EU878" s="883"/>
      <c r="EV878" s="884">
        <f t="shared" si="239"/>
        <v>0</v>
      </c>
      <c r="EW878" s="885"/>
      <c r="EX878" s="885"/>
      <c r="EY878" s="885"/>
      <c r="EZ878" s="885"/>
      <c r="FA878" s="885"/>
      <c r="FB878" s="885"/>
      <c r="FC878" s="885"/>
      <c r="FD878" s="886"/>
      <c r="FE878" s="550"/>
      <c r="FF878" s="550"/>
      <c r="FG878" s="550"/>
      <c r="FH878" s="550"/>
      <c r="FI878" s="550"/>
      <c r="FJ878" s="550"/>
      <c r="FK878" s="550"/>
      <c r="FL878" s="555"/>
      <c r="FM878" s="554"/>
      <c r="FN878" s="554"/>
      <c r="FO878" s="554"/>
      <c r="FP878" s="554"/>
      <c r="FQ878" s="554"/>
      <c r="FR878" s="554"/>
      <c r="FS878" s="554"/>
      <c r="FT878" s="554"/>
      <c r="FU878" s="554"/>
      <c r="FV878" s="554"/>
      <c r="FW878" s="554"/>
      <c r="FX878" s="554"/>
      <c r="FY878" s="554"/>
      <c r="FZ878" s="554"/>
      <c r="GA878" s="554"/>
      <c r="GB878" s="556"/>
      <c r="GC878" s="370"/>
      <c r="GD878" s="453"/>
      <c r="GE878" s="453"/>
      <c r="GF878" s="453"/>
      <c r="GG878" s="453"/>
      <c r="GH878" s="454"/>
      <c r="GI878" s="453"/>
      <c r="GJ878" s="453"/>
      <c r="GK878" s="453"/>
      <c r="GL878" s="453"/>
      <c r="GM878" s="453"/>
      <c r="GN878" s="453"/>
      <c r="GO878" s="453"/>
      <c r="GP878" s="453"/>
      <c r="GQ878" s="453"/>
      <c r="GR878" s="453"/>
      <c r="GS878" s="561"/>
      <c r="GT878" s="475"/>
      <c r="GU878" s="472"/>
      <c r="GV878" s="453"/>
      <c r="GW878" s="453"/>
      <c r="GX878" s="869"/>
      <c r="GY878" s="870"/>
      <c r="GZ878" s="867"/>
      <c r="HA878" s="868"/>
      <c r="HB878" s="473"/>
      <c r="HC878" s="869"/>
      <c r="HD878" s="870"/>
      <c r="HE878" s="867"/>
      <c r="HF878" s="868"/>
      <c r="HG878" s="473"/>
      <c r="HH878" s="867"/>
      <c r="HI878" s="868"/>
      <c r="HJ878" s="867"/>
      <c r="HK878" s="868"/>
      <c r="HL878" s="370"/>
      <c r="HM878" s="865"/>
      <c r="HN878" s="866"/>
      <c r="HO878" s="865"/>
      <c r="HP878" s="866"/>
      <c r="HQ878" s="865"/>
      <c r="HR878" s="866"/>
      <c r="HS878" s="867"/>
      <c r="HT878" s="868"/>
      <c r="HU878" s="489"/>
      <c r="HV878" s="865"/>
      <c r="HW878" s="866"/>
    </row>
    <row r="879" spans="25:231" ht="15" customHeight="1">
      <c r="Y879" s="332"/>
      <c r="Z879" s="332"/>
      <c r="AA879" s="332"/>
      <c r="AB879" s="332"/>
      <c r="AC879" s="332"/>
      <c r="AD879" s="332"/>
      <c r="AE879" s="332"/>
      <c r="AF879" s="332"/>
      <c r="AG879" s="332"/>
      <c r="AH879" s="332"/>
      <c r="AI879" s="332"/>
      <c r="AJ879" s="332"/>
      <c r="AK879" s="332"/>
      <c r="AL879" s="332"/>
      <c r="AM879" s="332"/>
      <c r="AN879" s="332"/>
      <c r="AO879" s="332"/>
      <c r="AP879" s="332"/>
      <c r="AQ879" s="332"/>
      <c r="AR879" s="332"/>
      <c r="AS879" s="332"/>
      <c r="AT879" s="332"/>
      <c r="AU879" s="332"/>
      <c r="AV879" s="332"/>
      <c r="AW879" s="332"/>
      <c r="AX879" s="332"/>
      <c r="AY879" s="332"/>
      <c r="AZ879" s="332"/>
      <c r="BA879" s="332"/>
      <c r="BB879" s="332"/>
      <c r="BC879" s="332"/>
      <c r="BD879" s="332"/>
      <c r="BE879" s="332"/>
      <c r="BF879" s="332"/>
      <c r="BG879" s="332"/>
      <c r="BH879" s="332"/>
      <c r="BI879" s="332"/>
      <c r="BJ879" s="332"/>
      <c r="BK879" s="332"/>
      <c r="BL879" s="332"/>
      <c r="BM879" s="332"/>
      <c r="BN879" s="332"/>
      <c r="BO879" s="332"/>
      <c r="BP879" s="332"/>
      <c r="BQ879" s="332"/>
      <c r="BR879" s="332"/>
      <c r="BS879" s="332"/>
      <c r="BT879" s="332"/>
      <c r="BU879" s="332"/>
      <c r="BV879" s="332"/>
      <c r="BW879" s="332"/>
      <c r="BX879" s="332"/>
      <c r="BY879" s="332"/>
      <c r="BZ879" s="332"/>
      <c r="CA879" s="332"/>
      <c r="CB879" s="332"/>
      <c r="CC879" s="332"/>
      <c r="CD879" s="332"/>
      <c r="CE879" s="332"/>
      <c r="CF879" s="332"/>
      <c r="CG879" s="332"/>
      <c r="CH879" s="332"/>
      <c r="CI879" s="332"/>
      <c r="CJ879" s="332"/>
      <c r="CK879" s="332"/>
      <c r="CL879" s="332"/>
      <c r="CM879" s="332"/>
      <c r="CN879" s="332"/>
      <c r="CO879" s="332"/>
      <c r="CP879" s="332"/>
      <c r="CQ879" s="332"/>
      <c r="CR879" s="332"/>
      <c r="CS879" s="332"/>
      <c r="CT879" s="332"/>
      <c r="CU879" s="332"/>
      <c r="CV879" s="332"/>
      <c r="CW879" s="332"/>
      <c r="CX879" s="332"/>
      <c r="CY879" s="332"/>
      <c r="CZ879" s="332"/>
      <c r="DA879" s="332"/>
      <c r="DB879" s="332"/>
      <c r="DC879" s="332"/>
      <c r="DD879" s="332"/>
      <c r="DE879" s="332"/>
      <c r="DF879" s="332"/>
      <c r="DG879" s="332"/>
      <c r="DH879" s="332"/>
      <c r="DI879" s="332"/>
      <c r="DJ879" s="332"/>
      <c r="DK879" s="332"/>
      <c r="DL879" s="332"/>
      <c r="DM879" s="332"/>
      <c r="DN879" s="332"/>
      <c r="DO879" s="332"/>
      <c r="DP879" s="332"/>
      <c r="DQ879" s="332"/>
      <c r="DR879" s="332"/>
      <c r="DS879" s="332"/>
      <c r="DT879" s="332"/>
      <c r="DU879" s="453"/>
      <c r="DV879" s="453"/>
      <c r="DW879" s="453"/>
      <c r="DX879" s="453"/>
      <c r="DY879" s="453"/>
      <c r="DZ879" s="453"/>
      <c r="EA879" s="453"/>
      <c r="EB879" s="453"/>
      <c r="EC879" s="453"/>
      <c r="ED879" s="453"/>
      <c r="EE879" s="453"/>
      <c r="EF879" s="453"/>
      <c r="EG879" s="453"/>
      <c r="EH879" s="453"/>
      <c r="EI879" s="453"/>
      <c r="EJ879" s="453"/>
      <c r="EK879" s="453"/>
      <c r="EL879" s="453"/>
      <c r="EM879" s="483">
        <f t="shared" si="237"/>
        <v>570</v>
      </c>
      <c r="EN879" s="485"/>
      <c r="EO879" s="458"/>
      <c r="EP879" s="467"/>
      <c r="EQ879" s="457"/>
      <c r="ER879" s="808"/>
      <c r="ES879" s="881">
        <f t="shared" si="238"/>
        <v>0</v>
      </c>
      <c r="ET879" s="882"/>
      <c r="EU879" s="883"/>
      <c r="EV879" s="884">
        <f t="shared" si="239"/>
        <v>0</v>
      </c>
      <c r="EW879" s="885"/>
      <c r="EX879" s="885"/>
      <c r="EY879" s="885"/>
      <c r="EZ879" s="885"/>
      <c r="FA879" s="885"/>
      <c r="FB879" s="885"/>
      <c r="FC879" s="885"/>
      <c r="FD879" s="886"/>
      <c r="FE879" s="550"/>
      <c r="FF879" s="550"/>
      <c r="FG879" s="550"/>
      <c r="FH879" s="550"/>
      <c r="FI879" s="550"/>
      <c r="FJ879" s="550"/>
      <c r="FK879" s="550"/>
      <c r="FL879" s="555"/>
      <c r="FM879" s="554"/>
      <c r="FN879" s="554"/>
      <c r="FO879" s="554"/>
      <c r="FP879" s="554"/>
      <c r="FQ879" s="554"/>
      <c r="FR879" s="554"/>
      <c r="FS879" s="554"/>
      <c r="FT879" s="554"/>
      <c r="FU879" s="554"/>
      <c r="FV879" s="554"/>
      <c r="FW879" s="554"/>
      <c r="FX879" s="554"/>
      <c r="FY879" s="554"/>
      <c r="FZ879" s="554"/>
      <c r="GA879" s="554"/>
      <c r="GB879" s="556"/>
      <c r="GC879" s="370"/>
      <c r="GD879" s="453"/>
      <c r="GE879" s="453"/>
      <c r="GF879" s="453"/>
      <c r="GG879" s="453"/>
      <c r="GH879" s="454"/>
      <c r="GI879" s="453"/>
      <c r="GJ879" s="453"/>
      <c r="GK879" s="453"/>
      <c r="GL879" s="453"/>
      <c r="GM879" s="453"/>
      <c r="GN879" s="453"/>
      <c r="GO879" s="453"/>
      <c r="GP879" s="453"/>
      <c r="GQ879" s="453"/>
      <c r="GR879" s="453"/>
      <c r="GS879" s="561"/>
      <c r="GT879" s="475"/>
      <c r="GU879" s="472"/>
      <c r="GV879" s="453"/>
      <c r="GW879" s="453"/>
      <c r="GX879" s="869"/>
      <c r="GY879" s="870"/>
      <c r="GZ879" s="867"/>
      <c r="HA879" s="868"/>
      <c r="HB879" s="473"/>
      <c r="HC879" s="869"/>
      <c r="HD879" s="870"/>
      <c r="HE879" s="867"/>
      <c r="HF879" s="868"/>
      <c r="HG879" s="473"/>
      <c r="HH879" s="867"/>
      <c r="HI879" s="868"/>
      <c r="HJ879" s="867"/>
      <c r="HK879" s="868"/>
      <c r="HL879" s="370"/>
      <c r="HM879" s="865"/>
      <c r="HN879" s="866"/>
      <c r="HO879" s="865"/>
      <c r="HP879" s="866"/>
      <c r="HQ879" s="865"/>
      <c r="HR879" s="866"/>
      <c r="HS879" s="867"/>
      <c r="HT879" s="868"/>
      <c r="HU879" s="489"/>
      <c r="HV879" s="865"/>
      <c r="HW879" s="866"/>
    </row>
    <row r="880" spans="25:231" ht="15" customHeight="1">
      <c r="Y880" s="332"/>
      <c r="Z880" s="332"/>
      <c r="AA880" s="332"/>
      <c r="AB880" s="332"/>
      <c r="AC880" s="332"/>
      <c r="AD880" s="332"/>
      <c r="AE880" s="332"/>
      <c r="AF880" s="332"/>
      <c r="AG880" s="332"/>
      <c r="AH880" s="332"/>
      <c r="AI880" s="332"/>
      <c r="AJ880" s="332"/>
      <c r="AK880" s="332"/>
      <c r="AL880" s="332"/>
      <c r="AM880" s="332"/>
      <c r="AN880" s="332"/>
      <c r="AO880" s="332"/>
      <c r="AP880" s="332"/>
      <c r="AQ880" s="332"/>
      <c r="AR880" s="332"/>
      <c r="AS880" s="332"/>
      <c r="AT880" s="332"/>
      <c r="AU880" s="332"/>
      <c r="AV880" s="332"/>
      <c r="AW880" s="332"/>
      <c r="AX880" s="332"/>
      <c r="AY880" s="332"/>
      <c r="AZ880" s="332"/>
      <c r="BA880" s="332"/>
      <c r="BB880" s="332"/>
      <c r="BC880" s="332"/>
      <c r="BD880" s="332"/>
      <c r="BE880" s="332"/>
      <c r="BF880" s="332"/>
      <c r="BG880" s="332"/>
      <c r="BH880" s="332"/>
      <c r="BI880" s="332"/>
      <c r="BJ880" s="332"/>
      <c r="BK880" s="332"/>
      <c r="BL880" s="332"/>
      <c r="BM880" s="332"/>
      <c r="BN880" s="332"/>
      <c r="BO880" s="332"/>
      <c r="BP880" s="332"/>
      <c r="BQ880" s="332"/>
      <c r="BR880" s="332"/>
      <c r="BS880" s="332"/>
      <c r="BT880" s="332"/>
      <c r="BU880" s="332"/>
      <c r="BV880" s="332"/>
      <c r="BW880" s="332"/>
      <c r="BX880" s="332"/>
      <c r="BY880" s="332"/>
      <c r="BZ880" s="332"/>
      <c r="CA880" s="332"/>
      <c r="CB880" s="332"/>
      <c r="CC880" s="332"/>
      <c r="CD880" s="332"/>
      <c r="CE880" s="332"/>
      <c r="CF880" s="332"/>
      <c r="CG880" s="332"/>
      <c r="CH880" s="332"/>
      <c r="CI880" s="332"/>
      <c r="CJ880" s="332"/>
      <c r="CK880" s="332"/>
      <c r="CL880" s="332"/>
      <c r="CM880" s="332"/>
      <c r="CN880" s="332"/>
      <c r="CO880" s="332"/>
      <c r="CP880" s="332"/>
      <c r="CQ880" s="332"/>
      <c r="CR880" s="332"/>
      <c r="CS880" s="332"/>
      <c r="CT880" s="332"/>
      <c r="CU880" s="332"/>
      <c r="CV880" s="332"/>
      <c r="CW880" s="332"/>
      <c r="CX880" s="332"/>
      <c r="CY880" s="332"/>
      <c r="CZ880" s="332"/>
      <c r="DA880" s="332"/>
      <c r="DB880" s="332"/>
      <c r="DC880" s="332"/>
      <c r="DD880" s="332"/>
      <c r="DE880" s="332"/>
      <c r="DF880" s="332"/>
      <c r="DG880" s="332"/>
      <c r="DH880" s="332"/>
      <c r="DI880" s="332"/>
      <c r="DJ880" s="332"/>
      <c r="DK880" s="332"/>
      <c r="DL880" s="332"/>
      <c r="DM880" s="332"/>
      <c r="DN880" s="332"/>
      <c r="DO880" s="332"/>
      <c r="DP880" s="332"/>
      <c r="DQ880" s="332"/>
      <c r="DR880" s="332"/>
      <c r="DS880" s="332"/>
      <c r="DT880" s="332"/>
      <c r="DU880" s="453"/>
      <c r="DV880" s="453"/>
      <c r="DW880" s="453"/>
      <c r="DX880" s="453"/>
      <c r="DY880" s="453"/>
      <c r="DZ880" s="453"/>
      <c r="EA880" s="453"/>
      <c r="EB880" s="453"/>
      <c r="EC880" s="453"/>
      <c r="ED880" s="453"/>
      <c r="EE880" s="453"/>
      <c r="EF880" s="453"/>
      <c r="EG880" s="453"/>
      <c r="EH880" s="453"/>
      <c r="EI880" s="453"/>
      <c r="EJ880" s="453"/>
      <c r="EK880" s="453"/>
      <c r="EL880" s="453"/>
      <c r="EM880" s="483">
        <f t="shared" si="237"/>
        <v>571</v>
      </c>
      <c r="EN880" s="485"/>
      <c r="EO880" s="458"/>
      <c r="EP880" s="467"/>
      <c r="EQ880" s="457"/>
      <c r="ER880" s="808"/>
      <c r="ES880" s="881">
        <f t="shared" si="238"/>
        <v>0</v>
      </c>
      <c r="ET880" s="882"/>
      <c r="EU880" s="883"/>
      <c r="EV880" s="884">
        <f t="shared" si="239"/>
        <v>0</v>
      </c>
      <c r="EW880" s="885"/>
      <c r="EX880" s="885"/>
      <c r="EY880" s="885"/>
      <c r="EZ880" s="885"/>
      <c r="FA880" s="885"/>
      <c r="FB880" s="885"/>
      <c r="FC880" s="885"/>
      <c r="FD880" s="886"/>
      <c r="FE880" s="550"/>
      <c r="FF880" s="550"/>
      <c r="FG880" s="550"/>
      <c r="FH880" s="550"/>
      <c r="FI880" s="550"/>
      <c r="FJ880" s="550"/>
      <c r="FK880" s="550"/>
      <c r="FL880" s="555"/>
      <c r="FM880" s="554"/>
      <c r="FN880" s="554"/>
      <c r="FO880" s="554"/>
      <c r="FP880" s="554"/>
      <c r="FQ880" s="554"/>
      <c r="FR880" s="554"/>
      <c r="FS880" s="554"/>
      <c r="FT880" s="554"/>
      <c r="FU880" s="554"/>
      <c r="FV880" s="554"/>
      <c r="FW880" s="554"/>
      <c r="FX880" s="554"/>
      <c r="FY880" s="554"/>
      <c r="FZ880" s="554"/>
      <c r="GA880" s="554"/>
      <c r="GB880" s="556"/>
      <c r="GC880" s="370"/>
      <c r="GD880" s="453"/>
      <c r="GE880" s="453"/>
      <c r="GF880" s="453"/>
      <c r="GG880" s="453"/>
      <c r="GH880" s="454"/>
      <c r="GI880" s="453"/>
      <c r="GJ880" s="453"/>
      <c r="GK880" s="453"/>
      <c r="GL880" s="453"/>
      <c r="GM880" s="453"/>
      <c r="GN880" s="453"/>
      <c r="GO880" s="453"/>
      <c r="GP880" s="453"/>
      <c r="GQ880" s="453"/>
      <c r="GR880" s="453"/>
      <c r="GS880" s="561"/>
      <c r="GT880" s="475"/>
      <c r="GU880" s="472"/>
      <c r="GV880" s="453"/>
      <c r="GW880" s="453"/>
      <c r="GX880" s="869"/>
      <c r="GY880" s="870"/>
      <c r="GZ880" s="867"/>
      <c r="HA880" s="868"/>
      <c r="HB880" s="473"/>
      <c r="HC880" s="869"/>
      <c r="HD880" s="870"/>
      <c r="HE880" s="867"/>
      <c r="HF880" s="868"/>
      <c r="HG880" s="473"/>
      <c r="HH880" s="867"/>
      <c r="HI880" s="868"/>
      <c r="HJ880" s="867"/>
      <c r="HK880" s="868"/>
      <c r="HL880" s="370"/>
      <c r="HM880" s="865"/>
      <c r="HN880" s="866"/>
      <c r="HO880" s="865"/>
      <c r="HP880" s="866"/>
      <c r="HQ880" s="865"/>
      <c r="HR880" s="866"/>
      <c r="HS880" s="867"/>
      <c r="HT880" s="868"/>
      <c r="HU880" s="489"/>
      <c r="HV880" s="865"/>
      <c r="HW880" s="866"/>
    </row>
    <row r="881" spans="25:231" ht="15" customHeight="1">
      <c r="Y881" s="332"/>
      <c r="Z881" s="332"/>
      <c r="AA881" s="332"/>
      <c r="AB881" s="332"/>
      <c r="AC881" s="332"/>
      <c r="AD881" s="332"/>
      <c r="AE881" s="332"/>
      <c r="AF881" s="332"/>
      <c r="AG881" s="332"/>
      <c r="AH881" s="332"/>
      <c r="AI881" s="332"/>
      <c r="AJ881" s="332"/>
      <c r="AK881" s="332"/>
      <c r="AL881" s="332"/>
      <c r="AM881" s="332"/>
      <c r="AN881" s="332"/>
      <c r="AO881" s="332"/>
      <c r="AP881" s="332"/>
      <c r="AQ881" s="332"/>
      <c r="AR881" s="332"/>
      <c r="AS881" s="332"/>
      <c r="AT881" s="332"/>
      <c r="AU881" s="332"/>
      <c r="AV881" s="332"/>
      <c r="AW881" s="332"/>
      <c r="AX881" s="332"/>
      <c r="AY881" s="332"/>
      <c r="AZ881" s="332"/>
      <c r="BA881" s="332"/>
      <c r="BB881" s="332"/>
      <c r="BC881" s="332"/>
      <c r="BD881" s="332"/>
      <c r="BE881" s="332"/>
      <c r="BF881" s="332"/>
      <c r="BG881" s="332"/>
      <c r="BH881" s="332"/>
      <c r="BI881" s="332"/>
      <c r="BJ881" s="332"/>
      <c r="BK881" s="332"/>
      <c r="BL881" s="332"/>
      <c r="BM881" s="332"/>
      <c r="BN881" s="332"/>
      <c r="BO881" s="332"/>
      <c r="BP881" s="332"/>
      <c r="BQ881" s="332"/>
      <c r="BR881" s="332"/>
      <c r="BS881" s="332"/>
      <c r="BT881" s="332"/>
      <c r="BU881" s="332"/>
      <c r="BV881" s="332"/>
      <c r="BW881" s="332"/>
      <c r="BX881" s="332"/>
      <c r="BY881" s="332"/>
      <c r="BZ881" s="332"/>
      <c r="CA881" s="332"/>
      <c r="CB881" s="332"/>
      <c r="CC881" s="332"/>
      <c r="CD881" s="332"/>
      <c r="CE881" s="332"/>
      <c r="CF881" s="332"/>
      <c r="CG881" s="332"/>
      <c r="CH881" s="332"/>
      <c r="CI881" s="332"/>
      <c r="CJ881" s="332"/>
      <c r="CK881" s="332"/>
      <c r="CL881" s="332"/>
      <c r="CM881" s="332"/>
      <c r="CN881" s="332"/>
      <c r="CO881" s="332"/>
      <c r="CP881" s="332"/>
      <c r="CQ881" s="332"/>
      <c r="CR881" s="332"/>
      <c r="CS881" s="332"/>
      <c r="CT881" s="332"/>
      <c r="CU881" s="332"/>
      <c r="CV881" s="332"/>
      <c r="CW881" s="332"/>
      <c r="CX881" s="332"/>
      <c r="CY881" s="332"/>
      <c r="CZ881" s="332"/>
      <c r="DA881" s="332"/>
      <c r="DB881" s="332"/>
      <c r="DC881" s="332"/>
      <c r="DD881" s="332"/>
      <c r="DE881" s="332"/>
      <c r="DF881" s="332"/>
      <c r="DG881" s="332"/>
      <c r="DH881" s="332"/>
      <c r="DI881" s="332"/>
      <c r="DJ881" s="332"/>
      <c r="DK881" s="332"/>
      <c r="DL881" s="332"/>
      <c r="DM881" s="332"/>
      <c r="DN881" s="332"/>
      <c r="DO881" s="332"/>
      <c r="DP881" s="332"/>
      <c r="DQ881" s="332"/>
      <c r="DR881" s="332"/>
      <c r="DS881" s="332"/>
      <c r="DT881" s="332"/>
      <c r="DU881" s="453"/>
      <c r="DV881" s="453"/>
      <c r="DW881" s="453"/>
      <c r="DX881" s="453"/>
      <c r="DY881" s="453"/>
      <c r="DZ881" s="453"/>
      <c r="EA881" s="453"/>
      <c r="EB881" s="453"/>
      <c r="EC881" s="453"/>
      <c r="ED881" s="453"/>
      <c r="EE881" s="453"/>
      <c r="EF881" s="453"/>
      <c r="EG881" s="453"/>
      <c r="EH881" s="453"/>
      <c r="EI881" s="453"/>
      <c r="EJ881" s="453"/>
      <c r="EK881" s="453"/>
      <c r="EL881" s="453"/>
      <c r="EM881" s="483">
        <f t="shared" si="237"/>
        <v>572</v>
      </c>
      <c r="EN881" s="485"/>
      <c r="EO881" s="458"/>
      <c r="EP881" s="467"/>
      <c r="EQ881" s="457"/>
      <c r="ER881" s="808"/>
      <c r="ES881" s="881">
        <f t="shared" si="238"/>
        <v>0</v>
      </c>
      <c r="ET881" s="882"/>
      <c r="EU881" s="883"/>
      <c r="EV881" s="884">
        <f t="shared" si="239"/>
        <v>0</v>
      </c>
      <c r="EW881" s="885"/>
      <c r="EX881" s="885"/>
      <c r="EY881" s="885"/>
      <c r="EZ881" s="885"/>
      <c r="FA881" s="885"/>
      <c r="FB881" s="885"/>
      <c r="FC881" s="885"/>
      <c r="FD881" s="886"/>
      <c r="FE881" s="550"/>
      <c r="FF881" s="550"/>
      <c r="FG881" s="550"/>
      <c r="FH881" s="550"/>
      <c r="FI881" s="550"/>
      <c r="FJ881" s="550"/>
      <c r="FK881" s="550"/>
      <c r="FL881" s="555"/>
      <c r="FM881" s="554"/>
      <c r="FN881" s="554"/>
      <c r="FO881" s="554"/>
      <c r="FP881" s="554"/>
      <c r="FQ881" s="554"/>
      <c r="FR881" s="554"/>
      <c r="FS881" s="554"/>
      <c r="FT881" s="554"/>
      <c r="FU881" s="554"/>
      <c r="FV881" s="554"/>
      <c r="FW881" s="554"/>
      <c r="FX881" s="554"/>
      <c r="FY881" s="554"/>
      <c r="FZ881" s="554"/>
      <c r="GA881" s="554"/>
      <c r="GB881" s="556"/>
      <c r="GC881" s="370"/>
      <c r="GD881" s="453"/>
      <c r="GE881" s="453"/>
      <c r="GF881" s="453"/>
      <c r="GG881" s="453"/>
      <c r="GH881" s="454"/>
      <c r="GI881" s="453"/>
      <c r="GJ881" s="453"/>
      <c r="GK881" s="453"/>
      <c r="GL881" s="453"/>
      <c r="GM881" s="453"/>
      <c r="GN881" s="453"/>
      <c r="GO881" s="453"/>
      <c r="GP881" s="453"/>
      <c r="GQ881" s="453"/>
      <c r="GR881" s="453"/>
      <c r="GS881" s="561"/>
      <c r="GT881" s="475"/>
      <c r="GU881" s="472"/>
      <c r="GV881" s="453"/>
      <c r="GW881" s="453"/>
      <c r="GX881" s="869"/>
      <c r="GY881" s="870"/>
      <c r="GZ881" s="867"/>
      <c r="HA881" s="868"/>
      <c r="HB881" s="473"/>
      <c r="HC881" s="869"/>
      <c r="HD881" s="870"/>
      <c r="HE881" s="867"/>
      <c r="HF881" s="868"/>
      <c r="HG881" s="473"/>
      <c r="HH881" s="867"/>
      <c r="HI881" s="868"/>
      <c r="HJ881" s="867"/>
      <c r="HK881" s="868"/>
      <c r="HL881" s="370"/>
      <c r="HM881" s="865"/>
      <c r="HN881" s="866"/>
      <c r="HO881" s="865"/>
      <c r="HP881" s="866"/>
      <c r="HQ881" s="865"/>
      <c r="HR881" s="866"/>
      <c r="HS881" s="867"/>
      <c r="HT881" s="868"/>
      <c r="HU881" s="489"/>
      <c r="HV881" s="865"/>
      <c r="HW881" s="866"/>
    </row>
    <row r="882" spans="25:231" ht="15" customHeight="1">
      <c r="Y882" s="332"/>
      <c r="Z882" s="332"/>
      <c r="AA882" s="332"/>
      <c r="AB882" s="332"/>
      <c r="AC882" s="332"/>
      <c r="AD882" s="332"/>
      <c r="AE882" s="332"/>
      <c r="AF882" s="332"/>
      <c r="AG882" s="332"/>
      <c r="AH882" s="332"/>
      <c r="AI882" s="332"/>
      <c r="AJ882" s="332"/>
      <c r="AK882" s="332"/>
      <c r="AL882" s="332"/>
      <c r="AM882" s="332"/>
      <c r="AN882" s="332"/>
      <c r="AO882" s="332"/>
      <c r="AP882" s="332"/>
      <c r="AQ882" s="332"/>
      <c r="AR882" s="332"/>
      <c r="AS882" s="332"/>
      <c r="AT882" s="332"/>
      <c r="AU882" s="332"/>
      <c r="AV882" s="332"/>
      <c r="AW882" s="332"/>
      <c r="AX882" s="332"/>
      <c r="AY882" s="332"/>
      <c r="AZ882" s="332"/>
      <c r="BA882" s="332"/>
      <c r="BB882" s="332"/>
      <c r="BC882" s="332"/>
      <c r="BD882" s="332"/>
      <c r="BE882" s="332"/>
      <c r="BF882" s="332"/>
      <c r="BG882" s="332"/>
      <c r="BH882" s="332"/>
      <c r="BI882" s="332"/>
      <c r="BJ882" s="332"/>
      <c r="BK882" s="332"/>
      <c r="BL882" s="332"/>
      <c r="BM882" s="332"/>
      <c r="BN882" s="332"/>
      <c r="BO882" s="332"/>
      <c r="BP882" s="332"/>
      <c r="BQ882" s="332"/>
      <c r="BR882" s="332"/>
      <c r="BS882" s="332"/>
      <c r="BT882" s="332"/>
      <c r="BU882" s="332"/>
      <c r="BV882" s="332"/>
      <c r="BW882" s="332"/>
      <c r="BX882" s="332"/>
      <c r="BY882" s="332"/>
      <c r="BZ882" s="332"/>
      <c r="CA882" s="332"/>
      <c r="CB882" s="332"/>
      <c r="CC882" s="332"/>
      <c r="CD882" s="332"/>
      <c r="CE882" s="332"/>
      <c r="CF882" s="332"/>
      <c r="CG882" s="332"/>
      <c r="CH882" s="332"/>
      <c r="CI882" s="332"/>
      <c r="CJ882" s="332"/>
      <c r="CK882" s="332"/>
      <c r="CL882" s="332"/>
      <c r="CM882" s="332"/>
      <c r="CN882" s="332"/>
      <c r="CO882" s="332"/>
      <c r="CP882" s="332"/>
      <c r="CQ882" s="332"/>
      <c r="CR882" s="332"/>
      <c r="CS882" s="332"/>
      <c r="CT882" s="332"/>
      <c r="CU882" s="332"/>
      <c r="CV882" s="332"/>
      <c r="CW882" s="332"/>
      <c r="CX882" s="332"/>
      <c r="CY882" s="332"/>
      <c r="CZ882" s="332"/>
      <c r="DA882" s="332"/>
      <c r="DB882" s="332"/>
      <c r="DC882" s="332"/>
      <c r="DD882" s="332"/>
      <c r="DE882" s="332"/>
      <c r="DF882" s="332"/>
      <c r="DG882" s="332"/>
      <c r="DH882" s="332"/>
      <c r="DI882" s="332"/>
      <c r="DJ882" s="332"/>
      <c r="DK882" s="332"/>
      <c r="DL882" s="332"/>
      <c r="DM882" s="332"/>
      <c r="DN882" s="332"/>
      <c r="DO882" s="332"/>
      <c r="DP882" s="332"/>
      <c r="DQ882" s="332"/>
      <c r="DR882" s="332"/>
      <c r="DS882" s="332"/>
      <c r="DT882" s="332"/>
      <c r="DU882" s="453"/>
      <c r="DV882" s="453"/>
      <c r="DW882" s="453"/>
      <c r="DX882" s="453"/>
      <c r="DY882" s="453"/>
      <c r="DZ882" s="453"/>
      <c r="EA882" s="453"/>
      <c r="EB882" s="453"/>
      <c r="EC882" s="453"/>
      <c r="ED882" s="453"/>
      <c r="EE882" s="453"/>
      <c r="EF882" s="453"/>
      <c r="EG882" s="453"/>
      <c r="EH882" s="453"/>
      <c r="EI882" s="453"/>
      <c r="EJ882" s="453"/>
      <c r="EK882" s="453"/>
      <c r="EL882" s="453"/>
      <c r="EM882" s="483">
        <f t="shared" si="237"/>
        <v>573</v>
      </c>
      <c r="EN882" s="485"/>
      <c r="EO882" s="458"/>
      <c r="EP882" s="467"/>
      <c r="EQ882" s="457"/>
      <c r="ER882" s="808"/>
      <c r="ES882" s="881">
        <f t="shared" si="238"/>
        <v>0</v>
      </c>
      <c r="ET882" s="882"/>
      <c r="EU882" s="883"/>
      <c r="EV882" s="884">
        <f t="shared" si="239"/>
        <v>0</v>
      </c>
      <c r="EW882" s="885"/>
      <c r="EX882" s="885"/>
      <c r="EY882" s="885"/>
      <c r="EZ882" s="885"/>
      <c r="FA882" s="885"/>
      <c r="FB882" s="885"/>
      <c r="FC882" s="885"/>
      <c r="FD882" s="886"/>
      <c r="FE882" s="550"/>
      <c r="FF882" s="550"/>
      <c r="FG882" s="550"/>
      <c r="FH882" s="550"/>
      <c r="FI882" s="550"/>
      <c r="FJ882" s="550"/>
      <c r="FK882" s="550"/>
      <c r="FL882" s="555"/>
      <c r="FM882" s="554"/>
      <c r="FN882" s="554"/>
      <c r="FO882" s="554"/>
      <c r="FP882" s="554"/>
      <c r="FQ882" s="554"/>
      <c r="FR882" s="554"/>
      <c r="FS882" s="554"/>
      <c r="FT882" s="554"/>
      <c r="FU882" s="554"/>
      <c r="FV882" s="554"/>
      <c r="FW882" s="554"/>
      <c r="FX882" s="554"/>
      <c r="FY882" s="554"/>
      <c r="FZ882" s="554"/>
      <c r="GA882" s="554"/>
      <c r="GB882" s="556"/>
      <c r="GC882" s="370"/>
      <c r="GD882" s="453"/>
      <c r="GE882" s="453"/>
      <c r="GF882" s="453"/>
      <c r="GG882" s="453"/>
      <c r="GH882" s="454"/>
      <c r="GI882" s="453"/>
      <c r="GJ882" s="453"/>
      <c r="GK882" s="453"/>
      <c r="GL882" s="453"/>
      <c r="GM882" s="453"/>
      <c r="GN882" s="453"/>
      <c r="GO882" s="453"/>
      <c r="GP882" s="453"/>
      <c r="GQ882" s="453"/>
      <c r="GR882" s="453"/>
      <c r="GS882" s="561"/>
      <c r="GT882" s="475"/>
      <c r="GU882" s="472"/>
      <c r="GV882" s="453"/>
      <c r="GW882" s="453"/>
      <c r="GX882" s="869"/>
      <c r="GY882" s="870"/>
      <c r="GZ882" s="867"/>
      <c r="HA882" s="868"/>
      <c r="HB882" s="473"/>
      <c r="HC882" s="869"/>
      <c r="HD882" s="870"/>
      <c r="HE882" s="867"/>
      <c r="HF882" s="868"/>
      <c r="HG882" s="473"/>
      <c r="HH882" s="867"/>
      <c r="HI882" s="868"/>
      <c r="HJ882" s="867"/>
      <c r="HK882" s="868"/>
      <c r="HL882" s="370"/>
      <c r="HM882" s="865"/>
      <c r="HN882" s="866"/>
      <c r="HO882" s="865"/>
      <c r="HP882" s="866"/>
      <c r="HQ882" s="865"/>
      <c r="HR882" s="866"/>
      <c r="HS882" s="867"/>
      <c r="HT882" s="868"/>
      <c r="HU882" s="489"/>
      <c r="HV882" s="865"/>
      <c r="HW882" s="866"/>
    </row>
    <row r="883" spans="25:231" ht="15" customHeight="1">
      <c r="Y883" s="332"/>
      <c r="Z883" s="332"/>
      <c r="AA883" s="332"/>
      <c r="AB883" s="332"/>
      <c r="AC883" s="332"/>
      <c r="AD883" s="332"/>
      <c r="AE883" s="332"/>
      <c r="AF883" s="332"/>
      <c r="AG883" s="332"/>
      <c r="AH883" s="332"/>
      <c r="AI883" s="332"/>
      <c r="AJ883" s="332"/>
      <c r="AK883" s="332"/>
      <c r="AL883" s="332"/>
      <c r="AM883" s="332"/>
      <c r="AN883" s="332"/>
      <c r="AO883" s="332"/>
      <c r="AP883" s="332"/>
      <c r="AQ883" s="332"/>
      <c r="AR883" s="332"/>
      <c r="AS883" s="332"/>
      <c r="AT883" s="332"/>
      <c r="AU883" s="332"/>
      <c r="AV883" s="332"/>
      <c r="AW883" s="332"/>
      <c r="AX883" s="332"/>
      <c r="AY883" s="332"/>
      <c r="AZ883" s="332"/>
      <c r="BA883" s="332"/>
      <c r="BB883" s="332"/>
      <c r="BC883" s="332"/>
      <c r="BD883" s="332"/>
      <c r="BE883" s="332"/>
      <c r="BF883" s="332"/>
      <c r="BG883" s="332"/>
      <c r="BH883" s="332"/>
      <c r="BI883" s="332"/>
      <c r="BJ883" s="332"/>
      <c r="BK883" s="332"/>
      <c r="BL883" s="332"/>
      <c r="BM883" s="332"/>
      <c r="BN883" s="332"/>
      <c r="BO883" s="332"/>
      <c r="BP883" s="332"/>
      <c r="BQ883" s="332"/>
      <c r="BR883" s="332"/>
      <c r="BS883" s="332"/>
      <c r="BT883" s="332"/>
      <c r="BU883" s="332"/>
      <c r="BV883" s="332"/>
      <c r="BW883" s="332"/>
      <c r="BX883" s="332"/>
      <c r="BY883" s="332"/>
      <c r="BZ883" s="332"/>
      <c r="CA883" s="332"/>
      <c r="CB883" s="332"/>
      <c r="CC883" s="332"/>
      <c r="CD883" s="332"/>
      <c r="CE883" s="332"/>
      <c r="CF883" s="332"/>
      <c r="CG883" s="332"/>
      <c r="CH883" s="332"/>
      <c r="CI883" s="332"/>
      <c r="CJ883" s="332"/>
      <c r="CK883" s="332"/>
      <c r="CL883" s="332"/>
      <c r="CM883" s="332"/>
      <c r="CN883" s="332"/>
      <c r="CO883" s="332"/>
      <c r="CP883" s="332"/>
      <c r="CQ883" s="332"/>
      <c r="CR883" s="332"/>
      <c r="CS883" s="332"/>
      <c r="CT883" s="332"/>
      <c r="CU883" s="332"/>
      <c r="CV883" s="332"/>
      <c r="CW883" s="332"/>
      <c r="CX883" s="332"/>
      <c r="CY883" s="332"/>
      <c r="CZ883" s="332"/>
      <c r="DA883" s="332"/>
      <c r="DB883" s="332"/>
      <c r="DC883" s="332"/>
      <c r="DD883" s="332"/>
      <c r="DE883" s="332"/>
      <c r="DF883" s="332"/>
      <c r="DG883" s="332"/>
      <c r="DH883" s="332"/>
      <c r="DI883" s="332"/>
      <c r="DJ883" s="332"/>
      <c r="DK883" s="332"/>
      <c r="DL883" s="332"/>
      <c r="DM883" s="332"/>
      <c r="DN883" s="332"/>
      <c r="DO883" s="332"/>
      <c r="DP883" s="332"/>
      <c r="DQ883" s="332"/>
      <c r="DR883" s="332"/>
      <c r="DS883" s="332"/>
      <c r="DT883" s="332"/>
      <c r="DU883" s="453"/>
      <c r="DV883" s="453"/>
      <c r="DW883" s="453"/>
      <c r="DX883" s="453"/>
      <c r="DY883" s="453"/>
      <c r="DZ883" s="453"/>
      <c r="EA883" s="453"/>
      <c r="EB883" s="453"/>
      <c r="EC883" s="453"/>
      <c r="ED883" s="453"/>
      <c r="EE883" s="453"/>
      <c r="EF883" s="453"/>
      <c r="EG883" s="453"/>
      <c r="EH883" s="453"/>
      <c r="EI883" s="453"/>
      <c r="EJ883" s="453"/>
      <c r="EK883" s="453"/>
      <c r="EL883" s="453"/>
      <c r="EM883" s="483">
        <f t="shared" si="237"/>
        <v>574</v>
      </c>
      <c r="EN883" s="485"/>
      <c r="EO883" s="458"/>
      <c r="EP883" s="467"/>
      <c r="EQ883" s="457"/>
      <c r="ER883" s="808"/>
      <c r="ES883" s="881">
        <f t="shared" si="238"/>
        <v>0</v>
      </c>
      <c r="ET883" s="882"/>
      <c r="EU883" s="883"/>
      <c r="EV883" s="884">
        <f t="shared" si="239"/>
        <v>0</v>
      </c>
      <c r="EW883" s="885"/>
      <c r="EX883" s="885"/>
      <c r="EY883" s="885"/>
      <c r="EZ883" s="885"/>
      <c r="FA883" s="885"/>
      <c r="FB883" s="885"/>
      <c r="FC883" s="885"/>
      <c r="FD883" s="886"/>
      <c r="FE883" s="550"/>
      <c r="FF883" s="550"/>
      <c r="FG883" s="550"/>
      <c r="FH883" s="550"/>
      <c r="FI883" s="550"/>
      <c r="FJ883" s="550"/>
      <c r="FK883" s="550"/>
      <c r="FL883" s="555"/>
      <c r="FM883" s="554"/>
      <c r="FN883" s="554"/>
      <c r="FO883" s="554"/>
      <c r="FP883" s="554"/>
      <c r="FQ883" s="554"/>
      <c r="FR883" s="554"/>
      <c r="FS883" s="554"/>
      <c r="FT883" s="554"/>
      <c r="FU883" s="554"/>
      <c r="FV883" s="554"/>
      <c r="FW883" s="554"/>
      <c r="FX883" s="554"/>
      <c r="FY883" s="554"/>
      <c r="FZ883" s="554"/>
      <c r="GA883" s="554"/>
      <c r="GB883" s="556"/>
      <c r="GC883" s="370"/>
      <c r="GD883" s="453"/>
      <c r="GE883" s="453"/>
      <c r="GF883" s="453"/>
      <c r="GG883" s="453"/>
      <c r="GH883" s="454"/>
      <c r="GI883" s="453"/>
      <c r="GJ883" s="453"/>
      <c r="GK883" s="453"/>
      <c r="GL883" s="453"/>
      <c r="GM883" s="453"/>
      <c r="GN883" s="453"/>
      <c r="GO883" s="453"/>
      <c r="GP883" s="453"/>
      <c r="GQ883" s="453"/>
      <c r="GR883" s="453"/>
      <c r="GS883" s="561"/>
      <c r="GT883" s="475"/>
      <c r="GU883" s="472"/>
      <c r="GV883" s="453"/>
      <c r="GW883" s="453"/>
      <c r="GX883" s="869"/>
      <c r="GY883" s="870"/>
      <c r="GZ883" s="867"/>
      <c r="HA883" s="868"/>
      <c r="HB883" s="473"/>
      <c r="HC883" s="869"/>
      <c r="HD883" s="870"/>
      <c r="HE883" s="867"/>
      <c r="HF883" s="868"/>
      <c r="HG883" s="473"/>
      <c r="HH883" s="867"/>
      <c r="HI883" s="868"/>
      <c r="HJ883" s="867"/>
      <c r="HK883" s="868"/>
      <c r="HL883" s="370"/>
      <c r="HM883" s="865"/>
      <c r="HN883" s="866"/>
      <c r="HO883" s="865"/>
      <c r="HP883" s="866"/>
      <c r="HQ883" s="865"/>
      <c r="HR883" s="866"/>
      <c r="HS883" s="867"/>
      <c r="HT883" s="868"/>
      <c r="HU883" s="489"/>
      <c r="HV883" s="865"/>
      <c r="HW883" s="866"/>
    </row>
    <row r="884" spans="25:231" ht="15" customHeight="1">
      <c r="Y884" s="332"/>
      <c r="Z884" s="332"/>
      <c r="AA884" s="332"/>
      <c r="AB884" s="332"/>
      <c r="AC884" s="332"/>
      <c r="AD884" s="332"/>
      <c r="AE884" s="332"/>
      <c r="AF884" s="332"/>
      <c r="AG884" s="332"/>
      <c r="AH884" s="332"/>
      <c r="AI884" s="332"/>
      <c r="AJ884" s="332"/>
      <c r="AK884" s="332"/>
      <c r="AL884" s="332"/>
      <c r="AM884" s="332"/>
      <c r="AN884" s="332"/>
      <c r="AO884" s="332"/>
      <c r="AP884" s="332"/>
      <c r="AQ884" s="332"/>
      <c r="AR884" s="332"/>
      <c r="AS884" s="332"/>
      <c r="AT884" s="332"/>
      <c r="AU884" s="332"/>
      <c r="AV884" s="332"/>
      <c r="AW884" s="332"/>
      <c r="AX884" s="332"/>
      <c r="AY884" s="332"/>
      <c r="AZ884" s="332"/>
      <c r="BA884" s="332"/>
      <c r="BB884" s="332"/>
      <c r="BC884" s="332"/>
      <c r="BD884" s="332"/>
      <c r="BE884" s="332"/>
      <c r="BF884" s="332"/>
      <c r="BG884" s="332"/>
      <c r="BH884" s="332"/>
      <c r="BI884" s="332"/>
      <c r="BJ884" s="332"/>
      <c r="BK884" s="332"/>
      <c r="BL884" s="332"/>
      <c r="BM884" s="332"/>
      <c r="BN884" s="332"/>
      <c r="BO884" s="332"/>
      <c r="BP884" s="332"/>
      <c r="BQ884" s="332"/>
      <c r="BR884" s="332"/>
      <c r="BS884" s="332"/>
      <c r="BT884" s="332"/>
      <c r="BU884" s="332"/>
      <c r="BV884" s="332"/>
      <c r="BW884" s="332"/>
      <c r="BX884" s="332"/>
      <c r="BY884" s="332"/>
      <c r="BZ884" s="332"/>
      <c r="CA884" s="332"/>
      <c r="CB884" s="332"/>
      <c r="CC884" s="332"/>
      <c r="CD884" s="332"/>
      <c r="CE884" s="332"/>
      <c r="CF884" s="332"/>
      <c r="CG884" s="332"/>
      <c r="CH884" s="332"/>
      <c r="CI884" s="332"/>
      <c r="CJ884" s="332"/>
      <c r="CK884" s="332"/>
      <c r="CL884" s="332"/>
      <c r="CM884" s="332"/>
      <c r="CN884" s="332"/>
      <c r="CO884" s="332"/>
      <c r="CP884" s="332"/>
      <c r="CQ884" s="332"/>
      <c r="CR884" s="332"/>
      <c r="CS884" s="332"/>
      <c r="CT884" s="332"/>
      <c r="CU884" s="332"/>
      <c r="CV884" s="332"/>
      <c r="CW884" s="332"/>
      <c r="CX884" s="332"/>
      <c r="CY884" s="332"/>
      <c r="CZ884" s="332"/>
      <c r="DA884" s="332"/>
      <c r="DB884" s="332"/>
      <c r="DC884" s="332"/>
      <c r="DD884" s="332"/>
      <c r="DE884" s="332"/>
      <c r="DF884" s="332"/>
      <c r="DG884" s="332"/>
      <c r="DH884" s="332"/>
      <c r="DI884" s="332"/>
      <c r="DJ884" s="332"/>
      <c r="DK884" s="332"/>
      <c r="DL884" s="332"/>
      <c r="DM884" s="332"/>
      <c r="DN884" s="332"/>
      <c r="DO884" s="332"/>
      <c r="DP884" s="332"/>
      <c r="DQ884" s="332"/>
      <c r="DR884" s="332"/>
      <c r="DS884" s="332"/>
      <c r="DT884" s="332"/>
      <c r="DU884" s="453"/>
      <c r="DV884" s="453"/>
      <c r="DW884" s="453"/>
      <c r="DX884" s="453"/>
      <c r="DY884" s="453"/>
      <c r="DZ884" s="453"/>
      <c r="EA884" s="453"/>
      <c r="EB884" s="453"/>
      <c r="EC884" s="453"/>
      <c r="ED884" s="453"/>
      <c r="EE884" s="453"/>
      <c r="EF884" s="453"/>
      <c r="EG884" s="453"/>
      <c r="EH884" s="453"/>
      <c r="EI884" s="453"/>
      <c r="EJ884" s="453"/>
      <c r="EK884" s="453"/>
      <c r="EL884" s="453"/>
      <c r="EM884" s="483">
        <f t="shared" si="237"/>
        <v>575</v>
      </c>
      <c r="EN884" s="485"/>
      <c r="EO884" s="458"/>
      <c r="EP884" s="467"/>
      <c r="EQ884" s="457"/>
      <c r="ER884" s="808"/>
      <c r="ES884" s="881">
        <f t="shared" si="238"/>
        <v>0</v>
      </c>
      <c r="ET884" s="882"/>
      <c r="EU884" s="883"/>
      <c r="EV884" s="884">
        <f t="shared" si="239"/>
        <v>0</v>
      </c>
      <c r="EW884" s="885"/>
      <c r="EX884" s="885"/>
      <c r="EY884" s="885"/>
      <c r="EZ884" s="885"/>
      <c r="FA884" s="885"/>
      <c r="FB884" s="885"/>
      <c r="FC884" s="885"/>
      <c r="FD884" s="886"/>
      <c r="FE884" s="550"/>
      <c r="FF884" s="550"/>
      <c r="FG884" s="550"/>
      <c r="FH884" s="550"/>
      <c r="FI884" s="550"/>
      <c r="FJ884" s="550"/>
      <c r="FK884" s="550"/>
      <c r="FL884" s="555"/>
      <c r="FM884" s="554"/>
      <c r="FN884" s="554"/>
      <c r="FO884" s="554"/>
      <c r="FP884" s="554"/>
      <c r="FQ884" s="554"/>
      <c r="FR884" s="554"/>
      <c r="FS884" s="554"/>
      <c r="FT884" s="554"/>
      <c r="FU884" s="554"/>
      <c r="FV884" s="554"/>
      <c r="FW884" s="554"/>
      <c r="FX884" s="554"/>
      <c r="FY884" s="554"/>
      <c r="FZ884" s="554"/>
      <c r="GA884" s="554"/>
      <c r="GB884" s="556"/>
      <c r="GC884" s="370"/>
      <c r="GD884" s="453"/>
      <c r="GE884" s="453"/>
      <c r="GF884" s="453"/>
      <c r="GG884" s="453"/>
      <c r="GH884" s="454"/>
      <c r="GI884" s="453"/>
      <c r="GJ884" s="453"/>
      <c r="GK884" s="453"/>
      <c r="GL884" s="453"/>
      <c r="GM884" s="453"/>
      <c r="GN884" s="453"/>
      <c r="GO884" s="453"/>
      <c r="GP884" s="453"/>
      <c r="GQ884" s="453"/>
      <c r="GR884" s="453"/>
      <c r="GS884" s="561"/>
      <c r="GT884" s="475"/>
      <c r="GU884" s="472"/>
      <c r="GV884" s="453"/>
      <c r="GW884" s="453"/>
      <c r="GX884" s="869"/>
      <c r="GY884" s="870"/>
      <c r="GZ884" s="867"/>
      <c r="HA884" s="868"/>
      <c r="HB884" s="473"/>
      <c r="HC884" s="869"/>
      <c r="HD884" s="870"/>
      <c r="HE884" s="867"/>
      <c r="HF884" s="868"/>
      <c r="HG884" s="473"/>
      <c r="HH884" s="867"/>
      <c r="HI884" s="868"/>
      <c r="HJ884" s="867"/>
      <c r="HK884" s="868"/>
      <c r="HL884" s="370"/>
      <c r="HM884" s="865"/>
      <c r="HN884" s="866"/>
      <c r="HO884" s="865"/>
      <c r="HP884" s="866"/>
      <c r="HQ884" s="865"/>
      <c r="HR884" s="866"/>
      <c r="HS884" s="867"/>
      <c r="HT884" s="868"/>
      <c r="HU884" s="489"/>
      <c r="HV884" s="865"/>
      <c r="HW884" s="866"/>
    </row>
    <row r="885" spans="25:231" ht="15" customHeight="1">
      <c r="Y885" s="332"/>
      <c r="Z885" s="332"/>
      <c r="AA885" s="332"/>
      <c r="AB885" s="332"/>
      <c r="AC885" s="332"/>
      <c r="AD885" s="332"/>
      <c r="AE885" s="332"/>
      <c r="AF885" s="332"/>
      <c r="AG885" s="332"/>
      <c r="AH885" s="332"/>
      <c r="AI885" s="332"/>
      <c r="AJ885" s="332"/>
      <c r="AK885" s="332"/>
      <c r="AL885" s="332"/>
      <c r="AM885" s="332"/>
      <c r="AN885" s="332"/>
      <c r="AO885" s="332"/>
      <c r="AP885" s="332"/>
      <c r="AQ885" s="332"/>
      <c r="AR885" s="332"/>
      <c r="AS885" s="332"/>
      <c r="AT885" s="332"/>
      <c r="AU885" s="332"/>
      <c r="AV885" s="332"/>
      <c r="AW885" s="332"/>
      <c r="AX885" s="332"/>
      <c r="AY885" s="332"/>
      <c r="AZ885" s="332"/>
      <c r="BA885" s="332"/>
      <c r="BB885" s="332"/>
      <c r="BC885" s="332"/>
      <c r="BD885" s="332"/>
      <c r="BE885" s="332"/>
      <c r="BF885" s="332"/>
      <c r="BG885" s="332"/>
      <c r="BH885" s="332"/>
      <c r="BI885" s="332"/>
      <c r="BJ885" s="332"/>
      <c r="BK885" s="332"/>
      <c r="BL885" s="332"/>
      <c r="BM885" s="332"/>
      <c r="BN885" s="332"/>
      <c r="BO885" s="332"/>
      <c r="BP885" s="332"/>
      <c r="BQ885" s="332"/>
      <c r="BR885" s="332"/>
      <c r="BS885" s="332"/>
      <c r="BT885" s="332"/>
      <c r="BU885" s="332"/>
      <c r="BV885" s="332"/>
      <c r="BW885" s="332"/>
      <c r="BX885" s="332"/>
      <c r="BY885" s="332"/>
      <c r="BZ885" s="332"/>
      <c r="CA885" s="332"/>
      <c r="CB885" s="332"/>
      <c r="CC885" s="332"/>
      <c r="CD885" s="332"/>
      <c r="CE885" s="332"/>
      <c r="CF885" s="332"/>
      <c r="CG885" s="332"/>
      <c r="CH885" s="332"/>
      <c r="CI885" s="332"/>
      <c r="CJ885" s="332"/>
      <c r="CK885" s="332"/>
      <c r="CL885" s="332"/>
      <c r="CM885" s="332"/>
      <c r="CN885" s="332"/>
      <c r="CO885" s="332"/>
      <c r="CP885" s="332"/>
      <c r="CQ885" s="332"/>
      <c r="CR885" s="332"/>
      <c r="CS885" s="332"/>
      <c r="CT885" s="332"/>
      <c r="CU885" s="332"/>
      <c r="CV885" s="332"/>
      <c r="CW885" s="332"/>
      <c r="CX885" s="332"/>
      <c r="CY885" s="332"/>
      <c r="CZ885" s="332"/>
      <c r="DA885" s="332"/>
      <c r="DB885" s="332"/>
      <c r="DC885" s="332"/>
      <c r="DD885" s="332"/>
      <c r="DE885" s="332"/>
      <c r="DF885" s="332"/>
      <c r="DG885" s="332"/>
      <c r="DH885" s="332"/>
      <c r="DI885" s="332"/>
      <c r="DJ885" s="332"/>
      <c r="DK885" s="332"/>
      <c r="DL885" s="332"/>
      <c r="DM885" s="332"/>
      <c r="DN885" s="332"/>
      <c r="DO885" s="332"/>
      <c r="DP885" s="332"/>
      <c r="DQ885" s="332"/>
      <c r="DR885" s="332"/>
      <c r="DS885" s="332"/>
      <c r="DT885" s="332"/>
      <c r="DU885" s="453"/>
      <c r="DV885" s="453"/>
      <c r="DW885" s="453"/>
      <c r="DX885" s="453"/>
      <c r="DY885" s="453"/>
      <c r="DZ885" s="453"/>
      <c r="EA885" s="453"/>
      <c r="EB885" s="453"/>
      <c r="EC885" s="453"/>
      <c r="ED885" s="453"/>
      <c r="EE885" s="453"/>
      <c r="EF885" s="453"/>
      <c r="EG885" s="453"/>
      <c r="EH885" s="453"/>
      <c r="EI885" s="453"/>
      <c r="EJ885" s="453"/>
      <c r="EK885" s="453"/>
      <c r="EL885" s="453"/>
      <c r="EM885" s="483">
        <f t="shared" si="237"/>
        <v>576</v>
      </c>
      <c r="EN885" s="485"/>
      <c r="EO885" s="458"/>
      <c r="EP885" s="467"/>
      <c r="EQ885" s="457"/>
      <c r="ER885" s="808"/>
      <c r="ES885" s="881">
        <f t="shared" si="238"/>
        <v>0</v>
      </c>
      <c r="ET885" s="882"/>
      <c r="EU885" s="883"/>
      <c r="EV885" s="884">
        <f t="shared" si="239"/>
        <v>0</v>
      </c>
      <c r="EW885" s="885"/>
      <c r="EX885" s="885"/>
      <c r="EY885" s="885"/>
      <c r="EZ885" s="885"/>
      <c r="FA885" s="885"/>
      <c r="FB885" s="885"/>
      <c r="FC885" s="885"/>
      <c r="FD885" s="886"/>
      <c r="FE885" s="550"/>
      <c r="FF885" s="550"/>
      <c r="FG885" s="550"/>
      <c r="FH885" s="550"/>
      <c r="FI885" s="550"/>
      <c r="FJ885" s="550"/>
      <c r="FK885" s="550"/>
      <c r="FL885" s="555"/>
      <c r="FM885" s="554"/>
      <c r="FN885" s="554"/>
      <c r="FO885" s="554"/>
      <c r="FP885" s="554"/>
      <c r="FQ885" s="554"/>
      <c r="FR885" s="554"/>
      <c r="FS885" s="554"/>
      <c r="FT885" s="554"/>
      <c r="FU885" s="554"/>
      <c r="FV885" s="554"/>
      <c r="FW885" s="554"/>
      <c r="FX885" s="554"/>
      <c r="FY885" s="554"/>
      <c r="FZ885" s="554"/>
      <c r="GA885" s="554"/>
      <c r="GB885" s="556"/>
      <c r="GC885" s="370"/>
      <c r="GD885" s="453"/>
      <c r="GE885" s="453"/>
      <c r="GF885" s="453"/>
      <c r="GG885" s="453"/>
      <c r="GH885" s="454"/>
      <c r="GI885" s="453"/>
      <c r="GJ885" s="453"/>
      <c r="GK885" s="453"/>
      <c r="GL885" s="453"/>
      <c r="GM885" s="453"/>
      <c r="GN885" s="453"/>
      <c r="GO885" s="453"/>
      <c r="GP885" s="453"/>
      <c r="GQ885" s="453"/>
      <c r="GR885" s="453"/>
      <c r="GS885" s="561"/>
      <c r="GT885" s="475"/>
      <c r="GU885" s="472"/>
      <c r="GV885" s="453"/>
      <c r="GW885" s="453"/>
      <c r="GX885" s="869"/>
      <c r="GY885" s="870"/>
      <c r="GZ885" s="867"/>
      <c r="HA885" s="868"/>
      <c r="HB885" s="473"/>
      <c r="HC885" s="869"/>
      <c r="HD885" s="870"/>
      <c r="HE885" s="867"/>
      <c r="HF885" s="868"/>
      <c r="HG885" s="473"/>
      <c r="HH885" s="867"/>
      <c r="HI885" s="868"/>
      <c r="HJ885" s="867"/>
      <c r="HK885" s="868"/>
      <c r="HL885" s="370"/>
      <c r="HM885" s="865"/>
      <c r="HN885" s="866"/>
      <c r="HO885" s="865"/>
      <c r="HP885" s="866"/>
      <c r="HQ885" s="865"/>
      <c r="HR885" s="866"/>
      <c r="HS885" s="867"/>
      <c r="HT885" s="868"/>
      <c r="HU885" s="489"/>
      <c r="HV885" s="865"/>
      <c r="HW885" s="866"/>
    </row>
    <row r="886" spans="25:231" ht="15" customHeight="1">
      <c r="Y886" s="332"/>
      <c r="Z886" s="332"/>
      <c r="AA886" s="332"/>
      <c r="AB886" s="332"/>
      <c r="AC886" s="332"/>
      <c r="AD886" s="332"/>
      <c r="AE886" s="332"/>
      <c r="AF886" s="332"/>
      <c r="AG886" s="332"/>
      <c r="AH886" s="332"/>
      <c r="AI886" s="332"/>
      <c r="AJ886" s="332"/>
      <c r="AK886" s="332"/>
      <c r="AL886" s="332"/>
      <c r="AM886" s="332"/>
      <c r="AN886" s="332"/>
      <c r="AO886" s="332"/>
      <c r="AP886" s="332"/>
      <c r="AQ886" s="332"/>
      <c r="AR886" s="332"/>
      <c r="AS886" s="332"/>
      <c r="AT886" s="332"/>
      <c r="AU886" s="332"/>
      <c r="AV886" s="332"/>
      <c r="AW886" s="332"/>
      <c r="AX886" s="332"/>
      <c r="AY886" s="332"/>
      <c r="AZ886" s="332"/>
      <c r="BA886" s="332"/>
      <c r="BB886" s="332"/>
      <c r="BC886" s="332"/>
      <c r="BD886" s="332"/>
      <c r="BE886" s="332"/>
      <c r="BF886" s="332"/>
      <c r="BG886" s="332"/>
      <c r="BH886" s="332"/>
      <c r="BI886" s="332"/>
      <c r="BJ886" s="332"/>
      <c r="BK886" s="332"/>
      <c r="BL886" s="332"/>
      <c r="BM886" s="332"/>
      <c r="BN886" s="332"/>
      <c r="BO886" s="332"/>
      <c r="BP886" s="332"/>
      <c r="BQ886" s="332"/>
      <c r="BR886" s="332"/>
      <c r="BS886" s="332"/>
      <c r="BT886" s="332"/>
      <c r="BU886" s="332"/>
      <c r="BV886" s="332"/>
      <c r="BW886" s="332"/>
      <c r="BX886" s="332"/>
      <c r="BY886" s="332"/>
      <c r="BZ886" s="332"/>
      <c r="CA886" s="332"/>
      <c r="CB886" s="332"/>
      <c r="CC886" s="332"/>
      <c r="CD886" s="332"/>
      <c r="CE886" s="332"/>
      <c r="CF886" s="332"/>
      <c r="CG886" s="332"/>
      <c r="CH886" s="332"/>
      <c r="CI886" s="332"/>
      <c r="CJ886" s="332"/>
      <c r="CK886" s="332"/>
      <c r="CL886" s="332"/>
      <c r="CM886" s="332"/>
      <c r="CN886" s="332"/>
      <c r="CO886" s="332"/>
      <c r="CP886" s="332"/>
      <c r="CQ886" s="332"/>
      <c r="CR886" s="332"/>
      <c r="CS886" s="332"/>
      <c r="CT886" s="332"/>
      <c r="CU886" s="332"/>
      <c r="CV886" s="332"/>
      <c r="CW886" s="332"/>
      <c r="CX886" s="332"/>
      <c r="CY886" s="332"/>
      <c r="CZ886" s="332"/>
      <c r="DA886" s="332"/>
      <c r="DB886" s="332"/>
      <c r="DC886" s="332"/>
      <c r="DD886" s="332"/>
      <c r="DE886" s="332"/>
      <c r="DF886" s="332"/>
      <c r="DG886" s="332"/>
      <c r="DH886" s="332"/>
      <c r="DI886" s="332"/>
      <c r="DJ886" s="332"/>
      <c r="DK886" s="332"/>
      <c r="DL886" s="332"/>
      <c r="DM886" s="332"/>
      <c r="DN886" s="332"/>
      <c r="DO886" s="332"/>
      <c r="DP886" s="332"/>
      <c r="DQ886" s="332"/>
      <c r="DR886" s="332"/>
      <c r="DS886" s="332"/>
      <c r="DT886" s="332"/>
      <c r="DU886" s="453"/>
      <c r="DV886" s="453"/>
      <c r="DW886" s="453"/>
      <c r="DX886" s="453"/>
      <c r="DY886" s="453"/>
      <c r="DZ886" s="453"/>
      <c r="EA886" s="453"/>
      <c r="EB886" s="453"/>
      <c r="EC886" s="453"/>
      <c r="ED886" s="453"/>
      <c r="EE886" s="453"/>
      <c r="EF886" s="453"/>
      <c r="EG886" s="453"/>
      <c r="EH886" s="453"/>
      <c r="EI886" s="453"/>
      <c r="EJ886" s="453"/>
      <c r="EK886" s="453"/>
      <c r="EL886" s="453"/>
      <c r="EM886" s="483">
        <f t="shared" si="237"/>
        <v>577</v>
      </c>
      <c r="EN886" s="485"/>
      <c r="EO886" s="458"/>
      <c r="EP886" s="467"/>
      <c r="EQ886" s="457"/>
      <c r="ER886" s="808"/>
      <c r="ES886" s="881">
        <f t="shared" si="238"/>
        <v>0</v>
      </c>
      <c r="ET886" s="882"/>
      <c r="EU886" s="883"/>
      <c r="EV886" s="884">
        <f t="shared" si="239"/>
        <v>0</v>
      </c>
      <c r="EW886" s="885"/>
      <c r="EX886" s="885"/>
      <c r="EY886" s="885"/>
      <c r="EZ886" s="885"/>
      <c r="FA886" s="885"/>
      <c r="FB886" s="885"/>
      <c r="FC886" s="885"/>
      <c r="FD886" s="886"/>
      <c r="FE886" s="550"/>
      <c r="FF886" s="550"/>
      <c r="FG886" s="550"/>
      <c r="FH886" s="550"/>
      <c r="FI886" s="550"/>
      <c r="FJ886" s="550"/>
      <c r="FK886" s="550"/>
      <c r="FL886" s="555"/>
      <c r="FM886" s="554"/>
      <c r="FN886" s="554"/>
      <c r="FO886" s="554"/>
      <c r="FP886" s="554"/>
      <c r="FQ886" s="554"/>
      <c r="FR886" s="554"/>
      <c r="FS886" s="554"/>
      <c r="FT886" s="554"/>
      <c r="FU886" s="554"/>
      <c r="FV886" s="554"/>
      <c r="FW886" s="554"/>
      <c r="FX886" s="554"/>
      <c r="FY886" s="554"/>
      <c r="FZ886" s="554"/>
      <c r="GA886" s="554"/>
      <c r="GB886" s="556"/>
      <c r="GC886" s="370"/>
      <c r="GD886" s="453"/>
      <c r="GE886" s="453"/>
      <c r="GF886" s="453"/>
      <c r="GG886" s="453"/>
      <c r="GH886" s="454"/>
      <c r="GI886" s="453"/>
      <c r="GJ886" s="453"/>
      <c r="GK886" s="453"/>
      <c r="GL886" s="453"/>
      <c r="GM886" s="453"/>
      <c r="GN886" s="453"/>
      <c r="GO886" s="453"/>
      <c r="GP886" s="453"/>
      <c r="GQ886" s="453"/>
      <c r="GR886" s="453"/>
      <c r="GS886" s="561"/>
      <c r="GT886" s="475"/>
      <c r="GU886" s="472"/>
      <c r="GV886" s="453"/>
      <c r="GW886" s="453"/>
      <c r="GX886" s="869"/>
      <c r="GY886" s="870"/>
      <c r="GZ886" s="867"/>
      <c r="HA886" s="868"/>
      <c r="HB886" s="473"/>
      <c r="HC886" s="869"/>
      <c r="HD886" s="870"/>
      <c r="HE886" s="867"/>
      <c r="HF886" s="868"/>
      <c r="HG886" s="473"/>
      <c r="HH886" s="867"/>
      <c r="HI886" s="868"/>
      <c r="HJ886" s="867"/>
      <c r="HK886" s="868"/>
      <c r="HL886" s="370"/>
      <c r="HM886" s="865"/>
      <c r="HN886" s="866"/>
      <c r="HO886" s="865"/>
      <c r="HP886" s="866"/>
      <c r="HQ886" s="865"/>
      <c r="HR886" s="866"/>
      <c r="HS886" s="867"/>
      <c r="HT886" s="868"/>
      <c r="HU886" s="489"/>
      <c r="HV886" s="865"/>
      <c r="HW886" s="866"/>
    </row>
    <row r="887" spans="25:231" ht="15" customHeight="1">
      <c r="Y887" s="332"/>
      <c r="Z887" s="332"/>
      <c r="AA887" s="332"/>
      <c r="AB887" s="332"/>
      <c r="AC887" s="332"/>
      <c r="AD887" s="332"/>
      <c r="AE887" s="332"/>
      <c r="AF887" s="332"/>
      <c r="AG887" s="332"/>
      <c r="AH887" s="332"/>
      <c r="AI887" s="332"/>
      <c r="AJ887" s="332"/>
      <c r="AK887" s="332"/>
      <c r="AL887" s="332"/>
      <c r="AM887" s="332"/>
      <c r="AN887" s="332"/>
      <c r="AO887" s="332"/>
      <c r="AP887" s="332"/>
      <c r="AQ887" s="332"/>
      <c r="AR887" s="332"/>
      <c r="AS887" s="332"/>
      <c r="AT887" s="332"/>
      <c r="AU887" s="332"/>
      <c r="AV887" s="332"/>
      <c r="AW887" s="332"/>
      <c r="AX887" s="332"/>
      <c r="AY887" s="332"/>
      <c r="AZ887" s="332"/>
      <c r="BA887" s="332"/>
      <c r="BB887" s="332"/>
      <c r="BC887" s="332"/>
      <c r="BD887" s="332"/>
      <c r="BE887" s="332"/>
      <c r="BF887" s="332"/>
      <c r="BG887" s="332"/>
      <c r="BH887" s="332"/>
      <c r="BI887" s="332"/>
      <c r="BJ887" s="332"/>
      <c r="BK887" s="332"/>
      <c r="BL887" s="332"/>
      <c r="BM887" s="332"/>
      <c r="BN887" s="332"/>
      <c r="BO887" s="332"/>
      <c r="BP887" s="332"/>
      <c r="BQ887" s="332"/>
      <c r="BR887" s="332"/>
      <c r="BS887" s="332"/>
      <c r="BT887" s="332"/>
      <c r="BU887" s="332"/>
      <c r="BV887" s="332"/>
      <c r="BW887" s="332"/>
      <c r="BX887" s="332"/>
      <c r="BY887" s="332"/>
      <c r="BZ887" s="332"/>
      <c r="CA887" s="332"/>
      <c r="CB887" s="332"/>
      <c r="CC887" s="332"/>
      <c r="CD887" s="332"/>
      <c r="CE887" s="332"/>
      <c r="CF887" s="332"/>
      <c r="CG887" s="332"/>
      <c r="CH887" s="332"/>
      <c r="CI887" s="332"/>
      <c r="CJ887" s="332"/>
      <c r="CK887" s="332"/>
      <c r="CL887" s="332"/>
      <c r="CM887" s="332"/>
      <c r="CN887" s="332"/>
      <c r="CO887" s="332"/>
      <c r="CP887" s="332"/>
      <c r="CQ887" s="332"/>
      <c r="CR887" s="332"/>
      <c r="CS887" s="332"/>
      <c r="CT887" s="332"/>
      <c r="CU887" s="332"/>
      <c r="CV887" s="332"/>
      <c r="CW887" s="332"/>
      <c r="CX887" s="332"/>
      <c r="CY887" s="332"/>
      <c r="CZ887" s="332"/>
      <c r="DA887" s="332"/>
      <c r="DB887" s="332"/>
      <c r="DC887" s="332"/>
      <c r="DD887" s="332"/>
      <c r="DE887" s="332"/>
      <c r="DF887" s="332"/>
      <c r="DG887" s="332"/>
      <c r="DH887" s="332"/>
      <c r="DI887" s="332"/>
      <c r="DJ887" s="332"/>
      <c r="DK887" s="332"/>
      <c r="DL887" s="332"/>
      <c r="DM887" s="332"/>
      <c r="DN887" s="332"/>
      <c r="DO887" s="332"/>
      <c r="DP887" s="332"/>
      <c r="DQ887" s="332"/>
      <c r="DR887" s="332"/>
      <c r="DS887" s="332"/>
      <c r="DT887" s="332"/>
      <c r="DU887" s="453"/>
      <c r="DV887" s="453"/>
      <c r="DW887" s="453"/>
      <c r="DX887" s="453"/>
      <c r="DY887" s="453"/>
      <c r="DZ887" s="453"/>
      <c r="EA887" s="453"/>
      <c r="EB887" s="453"/>
      <c r="EC887" s="453"/>
      <c r="ED887" s="453"/>
      <c r="EE887" s="453"/>
      <c r="EF887" s="453"/>
      <c r="EG887" s="453"/>
      <c r="EH887" s="453"/>
      <c r="EI887" s="453"/>
      <c r="EJ887" s="453"/>
      <c r="EK887" s="453"/>
      <c r="EL887" s="453"/>
      <c r="EM887" s="483">
        <f t="shared" si="237"/>
        <v>578</v>
      </c>
      <c r="EN887" s="485"/>
      <c r="EO887" s="458"/>
      <c r="EP887" s="467"/>
      <c r="EQ887" s="457"/>
      <c r="ER887" s="808"/>
      <c r="ES887" s="881">
        <f t="shared" si="238"/>
        <v>0</v>
      </c>
      <c r="ET887" s="882"/>
      <c r="EU887" s="883"/>
      <c r="EV887" s="884">
        <f t="shared" si="239"/>
        <v>0</v>
      </c>
      <c r="EW887" s="885"/>
      <c r="EX887" s="885"/>
      <c r="EY887" s="885"/>
      <c r="EZ887" s="885"/>
      <c r="FA887" s="885"/>
      <c r="FB887" s="885"/>
      <c r="FC887" s="885"/>
      <c r="FD887" s="886"/>
      <c r="FE887" s="550"/>
      <c r="FF887" s="550"/>
      <c r="FG887" s="550"/>
      <c r="FH887" s="550"/>
      <c r="FI887" s="550"/>
      <c r="FJ887" s="550"/>
      <c r="FK887" s="550"/>
      <c r="FL887" s="555"/>
      <c r="FM887" s="554"/>
      <c r="FN887" s="554"/>
      <c r="FO887" s="554"/>
      <c r="FP887" s="554"/>
      <c r="FQ887" s="554"/>
      <c r="FR887" s="554"/>
      <c r="FS887" s="554"/>
      <c r="FT887" s="554"/>
      <c r="FU887" s="554"/>
      <c r="FV887" s="554"/>
      <c r="FW887" s="554"/>
      <c r="FX887" s="554"/>
      <c r="FY887" s="554"/>
      <c r="FZ887" s="554"/>
      <c r="GA887" s="554"/>
      <c r="GB887" s="556"/>
      <c r="GC887" s="370"/>
      <c r="GD887" s="453"/>
      <c r="GE887" s="453"/>
      <c r="GF887" s="453"/>
      <c r="GG887" s="453"/>
      <c r="GH887" s="454"/>
      <c r="GI887" s="453"/>
      <c r="GJ887" s="453"/>
      <c r="GK887" s="453"/>
      <c r="GL887" s="453"/>
      <c r="GM887" s="453"/>
      <c r="GN887" s="453"/>
      <c r="GO887" s="453"/>
      <c r="GP887" s="453"/>
      <c r="GQ887" s="453"/>
      <c r="GR887" s="453"/>
      <c r="GS887" s="561"/>
      <c r="GT887" s="475"/>
      <c r="GU887" s="472"/>
      <c r="GV887" s="453"/>
      <c r="GW887" s="453"/>
      <c r="GX887" s="869"/>
      <c r="GY887" s="870"/>
      <c r="GZ887" s="867"/>
      <c r="HA887" s="868"/>
      <c r="HB887" s="473"/>
      <c r="HC887" s="869"/>
      <c r="HD887" s="870"/>
      <c r="HE887" s="867"/>
      <c r="HF887" s="868"/>
      <c r="HG887" s="473"/>
      <c r="HH887" s="867"/>
      <c r="HI887" s="868"/>
      <c r="HJ887" s="867"/>
      <c r="HK887" s="868"/>
      <c r="HL887" s="370"/>
      <c r="HM887" s="865"/>
      <c r="HN887" s="866"/>
      <c r="HO887" s="865"/>
      <c r="HP887" s="866"/>
      <c r="HQ887" s="865"/>
      <c r="HR887" s="866"/>
      <c r="HS887" s="867"/>
      <c r="HT887" s="868"/>
      <c r="HU887" s="489"/>
      <c r="HV887" s="865"/>
      <c r="HW887" s="866"/>
    </row>
    <row r="888" spans="25:231" ht="15" customHeight="1">
      <c r="Y888" s="332"/>
      <c r="Z888" s="332"/>
      <c r="AA888" s="332"/>
      <c r="AB888" s="332"/>
      <c r="AC888" s="332"/>
      <c r="AD888" s="332"/>
      <c r="AE888" s="332"/>
      <c r="AF888" s="332"/>
      <c r="AG888" s="332"/>
      <c r="AH888" s="332"/>
      <c r="AI888" s="332"/>
      <c r="AJ888" s="332"/>
      <c r="AK888" s="332"/>
      <c r="AL888" s="332"/>
      <c r="AM888" s="332"/>
      <c r="AN888" s="332"/>
      <c r="AO888" s="332"/>
      <c r="AP888" s="332"/>
      <c r="AQ888" s="332"/>
      <c r="AR888" s="332"/>
      <c r="AS888" s="332"/>
      <c r="AT888" s="332"/>
      <c r="AU888" s="332"/>
      <c r="AV888" s="332"/>
      <c r="AW888" s="332"/>
      <c r="AX888" s="332"/>
      <c r="AY888" s="332"/>
      <c r="AZ888" s="332"/>
      <c r="BA888" s="332"/>
      <c r="BB888" s="332"/>
      <c r="BC888" s="332"/>
      <c r="BD888" s="332"/>
      <c r="BE888" s="332"/>
      <c r="BF888" s="332"/>
      <c r="BG888" s="332"/>
      <c r="BH888" s="332"/>
      <c r="BI888" s="332"/>
      <c r="BJ888" s="332"/>
      <c r="BK888" s="332"/>
      <c r="BL888" s="332"/>
      <c r="BM888" s="332"/>
      <c r="BN888" s="332"/>
      <c r="BO888" s="332"/>
      <c r="BP888" s="332"/>
      <c r="BQ888" s="332"/>
      <c r="BR888" s="332"/>
      <c r="BS888" s="332"/>
      <c r="BT888" s="332"/>
      <c r="BU888" s="332"/>
      <c r="BV888" s="332"/>
      <c r="BW888" s="332"/>
      <c r="BX888" s="332"/>
      <c r="BY888" s="332"/>
      <c r="BZ888" s="332"/>
      <c r="CA888" s="332"/>
      <c r="CB888" s="332"/>
      <c r="CC888" s="332"/>
      <c r="CD888" s="332"/>
      <c r="CE888" s="332"/>
      <c r="CF888" s="332"/>
      <c r="CG888" s="332"/>
      <c r="CH888" s="332"/>
      <c r="CI888" s="332"/>
      <c r="CJ888" s="332"/>
      <c r="CK888" s="332"/>
      <c r="CL888" s="332"/>
      <c r="CM888" s="332"/>
      <c r="CN888" s="332"/>
      <c r="CO888" s="332"/>
      <c r="CP888" s="332"/>
      <c r="CQ888" s="332"/>
      <c r="CR888" s="332"/>
      <c r="CS888" s="332"/>
      <c r="CT888" s="332"/>
      <c r="CU888" s="332"/>
      <c r="CV888" s="332"/>
      <c r="CW888" s="332"/>
      <c r="CX888" s="332"/>
      <c r="CY888" s="332"/>
      <c r="CZ888" s="332"/>
      <c r="DA888" s="332"/>
      <c r="DB888" s="332"/>
      <c r="DC888" s="332"/>
      <c r="DD888" s="332"/>
      <c r="DE888" s="332"/>
      <c r="DF888" s="332"/>
      <c r="DG888" s="332"/>
      <c r="DH888" s="332"/>
      <c r="DI888" s="332"/>
      <c r="DJ888" s="332"/>
      <c r="DK888" s="332"/>
      <c r="DL888" s="332"/>
      <c r="DM888" s="332"/>
      <c r="DN888" s="332"/>
      <c r="DO888" s="332"/>
      <c r="DP888" s="332"/>
      <c r="DQ888" s="332"/>
      <c r="DR888" s="332"/>
      <c r="DS888" s="332"/>
      <c r="DT888" s="332"/>
      <c r="DU888" s="453"/>
      <c r="DV888" s="453"/>
      <c r="DW888" s="453"/>
      <c r="DX888" s="453"/>
      <c r="DY888" s="453"/>
      <c r="DZ888" s="453"/>
      <c r="EA888" s="453"/>
      <c r="EB888" s="453"/>
      <c r="EC888" s="453"/>
      <c r="ED888" s="453"/>
      <c r="EE888" s="453"/>
      <c r="EF888" s="453"/>
      <c r="EG888" s="453"/>
      <c r="EH888" s="453"/>
      <c r="EI888" s="453"/>
      <c r="EJ888" s="453"/>
      <c r="EK888" s="453"/>
      <c r="EL888" s="453"/>
      <c r="EM888" s="483">
        <f t="shared" ref="EM888:EM951" si="240">+EM887+1</f>
        <v>579</v>
      </c>
      <c r="EN888" s="485"/>
      <c r="EO888" s="458"/>
      <c r="EP888" s="467"/>
      <c r="EQ888" s="457"/>
      <c r="ER888" s="808"/>
      <c r="ES888" s="881">
        <f t="shared" si="238"/>
        <v>0</v>
      </c>
      <c r="ET888" s="882"/>
      <c r="EU888" s="883"/>
      <c r="EV888" s="884">
        <f t="shared" si="239"/>
        <v>0</v>
      </c>
      <c r="EW888" s="885"/>
      <c r="EX888" s="885"/>
      <c r="EY888" s="885"/>
      <c r="EZ888" s="885"/>
      <c r="FA888" s="885"/>
      <c r="FB888" s="885"/>
      <c r="FC888" s="885"/>
      <c r="FD888" s="886"/>
      <c r="FE888" s="550"/>
      <c r="FF888" s="550"/>
      <c r="FG888" s="550"/>
      <c r="FH888" s="550"/>
      <c r="FI888" s="550"/>
      <c r="FJ888" s="550"/>
      <c r="FK888" s="550"/>
      <c r="FL888" s="555"/>
      <c r="FM888" s="554"/>
      <c r="FN888" s="554"/>
      <c r="FO888" s="554"/>
      <c r="FP888" s="554"/>
      <c r="FQ888" s="554"/>
      <c r="FR888" s="554"/>
      <c r="FS888" s="554"/>
      <c r="FT888" s="554"/>
      <c r="FU888" s="554"/>
      <c r="FV888" s="554"/>
      <c r="FW888" s="554"/>
      <c r="FX888" s="554"/>
      <c r="FY888" s="554"/>
      <c r="FZ888" s="554"/>
      <c r="GA888" s="554"/>
      <c r="GB888" s="556"/>
      <c r="GC888" s="370"/>
      <c r="GD888" s="453"/>
      <c r="GE888" s="453"/>
      <c r="GF888" s="453"/>
      <c r="GG888" s="453"/>
      <c r="GH888" s="454"/>
      <c r="GI888" s="453"/>
      <c r="GJ888" s="453"/>
      <c r="GK888" s="453"/>
      <c r="GL888" s="453"/>
      <c r="GM888" s="453"/>
      <c r="GN888" s="453"/>
      <c r="GO888" s="453"/>
      <c r="GP888" s="453"/>
      <c r="GQ888" s="453"/>
      <c r="GR888" s="453"/>
      <c r="GS888" s="561"/>
      <c r="GT888" s="475"/>
      <c r="GU888" s="472"/>
      <c r="GV888" s="453"/>
      <c r="GW888" s="453"/>
      <c r="GX888" s="869"/>
      <c r="GY888" s="870"/>
      <c r="GZ888" s="867"/>
      <c r="HA888" s="868"/>
      <c r="HB888" s="473"/>
      <c r="HC888" s="869"/>
      <c r="HD888" s="870"/>
      <c r="HE888" s="867"/>
      <c r="HF888" s="868"/>
      <c r="HG888" s="473"/>
      <c r="HH888" s="867"/>
      <c r="HI888" s="868"/>
      <c r="HJ888" s="867"/>
      <c r="HK888" s="868"/>
      <c r="HL888" s="370"/>
      <c r="HM888" s="865"/>
      <c r="HN888" s="866"/>
      <c r="HO888" s="865"/>
      <c r="HP888" s="866"/>
      <c r="HQ888" s="865"/>
      <c r="HR888" s="866"/>
      <c r="HS888" s="867"/>
      <c r="HT888" s="868"/>
      <c r="HU888" s="489"/>
      <c r="HV888" s="865"/>
      <c r="HW888" s="866"/>
    </row>
    <row r="889" spans="25:231" ht="15" customHeight="1">
      <c r="Y889" s="332"/>
      <c r="Z889" s="332"/>
      <c r="AA889" s="332"/>
      <c r="AB889" s="332"/>
      <c r="AC889" s="332"/>
      <c r="AD889" s="332"/>
      <c r="AE889" s="332"/>
      <c r="AF889" s="332"/>
      <c r="AG889" s="332"/>
      <c r="AH889" s="332"/>
      <c r="AI889" s="332"/>
      <c r="AJ889" s="332"/>
      <c r="AK889" s="332"/>
      <c r="AL889" s="332"/>
      <c r="AM889" s="332"/>
      <c r="AN889" s="332"/>
      <c r="AO889" s="332"/>
      <c r="AP889" s="332"/>
      <c r="AQ889" s="332"/>
      <c r="AR889" s="332"/>
      <c r="AS889" s="332"/>
      <c r="AT889" s="332"/>
      <c r="AU889" s="332"/>
      <c r="AV889" s="332"/>
      <c r="AW889" s="332"/>
      <c r="AX889" s="332"/>
      <c r="AY889" s="332"/>
      <c r="AZ889" s="332"/>
      <c r="BA889" s="332"/>
      <c r="BB889" s="332"/>
      <c r="BC889" s="332"/>
      <c r="BD889" s="332"/>
      <c r="BE889" s="332"/>
      <c r="BF889" s="332"/>
      <c r="BG889" s="332"/>
      <c r="BH889" s="332"/>
      <c r="BI889" s="332"/>
      <c r="BJ889" s="332"/>
      <c r="BK889" s="332"/>
      <c r="BL889" s="332"/>
      <c r="BM889" s="332"/>
      <c r="BN889" s="332"/>
      <c r="BO889" s="332"/>
      <c r="BP889" s="332"/>
      <c r="BQ889" s="332"/>
      <c r="BR889" s="332"/>
      <c r="BS889" s="332"/>
      <c r="BT889" s="332"/>
      <c r="BU889" s="332"/>
      <c r="BV889" s="332"/>
      <c r="BW889" s="332"/>
      <c r="BX889" s="332"/>
      <c r="BY889" s="332"/>
      <c r="BZ889" s="332"/>
      <c r="CA889" s="332"/>
      <c r="CB889" s="332"/>
      <c r="CC889" s="332"/>
      <c r="CD889" s="332"/>
      <c r="CE889" s="332"/>
      <c r="CF889" s="332"/>
      <c r="CG889" s="332"/>
      <c r="CH889" s="332"/>
      <c r="CI889" s="332"/>
      <c r="CJ889" s="332"/>
      <c r="CK889" s="332"/>
      <c r="CL889" s="332"/>
      <c r="CM889" s="332"/>
      <c r="CN889" s="332"/>
      <c r="CO889" s="332"/>
      <c r="CP889" s="332"/>
      <c r="CQ889" s="332"/>
      <c r="CR889" s="332"/>
      <c r="CS889" s="332"/>
      <c r="CT889" s="332"/>
      <c r="CU889" s="332"/>
      <c r="CV889" s="332"/>
      <c r="CW889" s="332"/>
      <c r="CX889" s="332"/>
      <c r="CY889" s="332"/>
      <c r="CZ889" s="332"/>
      <c r="DA889" s="332"/>
      <c r="DB889" s="332"/>
      <c r="DC889" s="332"/>
      <c r="DD889" s="332"/>
      <c r="DE889" s="332"/>
      <c r="DF889" s="332"/>
      <c r="DG889" s="332"/>
      <c r="DH889" s="332"/>
      <c r="DI889" s="332"/>
      <c r="DJ889" s="332"/>
      <c r="DK889" s="332"/>
      <c r="DL889" s="332"/>
      <c r="DM889" s="332"/>
      <c r="DN889" s="332"/>
      <c r="DO889" s="332"/>
      <c r="DP889" s="332"/>
      <c r="DQ889" s="332"/>
      <c r="DR889" s="332"/>
      <c r="DS889" s="332"/>
      <c r="DT889" s="332"/>
      <c r="DU889" s="453"/>
      <c r="DV889" s="453"/>
      <c r="DW889" s="453"/>
      <c r="DX889" s="453"/>
      <c r="DY889" s="453"/>
      <c r="DZ889" s="453"/>
      <c r="EA889" s="453"/>
      <c r="EB889" s="453"/>
      <c r="EC889" s="453"/>
      <c r="ED889" s="453"/>
      <c r="EE889" s="453"/>
      <c r="EF889" s="453"/>
      <c r="EG889" s="453"/>
      <c r="EH889" s="453"/>
      <c r="EI889" s="453"/>
      <c r="EJ889" s="453"/>
      <c r="EK889" s="453"/>
      <c r="EL889" s="453"/>
      <c r="EM889" s="483">
        <f t="shared" si="240"/>
        <v>580</v>
      </c>
      <c r="EN889" s="485"/>
      <c r="EO889" s="458"/>
      <c r="EP889" s="467"/>
      <c r="EQ889" s="457"/>
      <c r="ER889" s="808"/>
      <c r="ES889" s="881">
        <f t="shared" si="238"/>
        <v>0</v>
      </c>
      <c r="ET889" s="882"/>
      <c r="EU889" s="883"/>
      <c r="EV889" s="884">
        <f t="shared" si="239"/>
        <v>0</v>
      </c>
      <c r="EW889" s="885"/>
      <c r="EX889" s="885"/>
      <c r="EY889" s="885"/>
      <c r="EZ889" s="885"/>
      <c r="FA889" s="885"/>
      <c r="FB889" s="885"/>
      <c r="FC889" s="885"/>
      <c r="FD889" s="886"/>
      <c r="FE889" s="550"/>
      <c r="FF889" s="550"/>
      <c r="FG889" s="550"/>
      <c r="FH889" s="550"/>
      <c r="FI889" s="550"/>
      <c r="FJ889" s="550"/>
      <c r="FK889" s="550"/>
      <c r="FL889" s="555"/>
      <c r="FM889" s="554"/>
      <c r="FN889" s="554"/>
      <c r="FO889" s="554"/>
      <c r="FP889" s="554"/>
      <c r="FQ889" s="554"/>
      <c r="FR889" s="554"/>
      <c r="FS889" s="554"/>
      <c r="FT889" s="554"/>
      <c r="FU889" s="554"/>
      <c r="FV889" s="554"/>
      <c r="FW889" s="554"/>
      <c r="FX889" s="554"/>
      <c r="FY889" s="554"/>
      <c r="FZ889" s="554"/>
      <c r="GA889" s="554"/>
      <c r="GB889" s="556"/>
      <c r="GC889" s="370"/>
      <c r="GD889" s="453"/>
      <c r="GE889" s="453"/>
      <c r="GF889" s="453"/>
      <c r="GG889" s="453"/>
      <c r="GH889" s="454"/>
      <c r="GI889" s="453"/>
      <c r="GJ889" s="453"/>
      <c r="GK889" s="453"/>
      <c r="GL889" s="453"/>
      <c r="GM889" s="453"/>
      <c r="GN889" s="453"/>
      <c r="GO889" s="453"/>
      <c r="GP889" s="453"/>
      <c r="GQ889" s="453"/>
      <c r="GR889" s="453"/>
      <c r="GS889" s="561"/>
      <c r="GT889" s="475"/>
      <c r="GU889" s="472"/>
      <c r="GV889" s="453"/>
      <c r="GW889" s="453"/>
      <c r="GX889" s="869"/>
      <c r="GY889" s="870"/>
      <c r="GZ889" s="867"/>
      <c r="HA889" s="868"/>
      <c r="HB889" s="473"/>
      <c r="HC889" s="869"/>
      <c r="HD889" s="870"/>
      <c r="HE889" s="867"/>
      <c r="HF889" s="868"/>
      <c r="HG889" s="473"/>
      <c r="HH889" s="867"/>
      <c r="HI889" s="868"/>
      <c r="HJ889" s="867"/>
      <c r="HK889" s="868"/>
      <c r="HL889" s="370"/>
      <c r="HM889" s="865"/>
      <c r="HN889" s="866"/>
      <c r="HO889" s="865"/>
      <c r="HP889" s="866"/>
      <c r="HQ889" s="865"/>
      <c r="HR889" s="866"/>
      <c r="HS889" s="867"/>
      <c r="HT889" s="868"/>
      <c r="HU889" s="489"/>
      <c r="HV889" s="865"/>
      <c r="HW889" s="866"/>
    </row>
    <row r="890" spans="25:231" ht="15" customHeight="1">
      <c r="Y890" s="332"/>
      <c r="Z890" s="332"/>
      <c r="AA890" s="332"/>
      <c r="AB890" s="332"/>
      <c r="AC890" s="332"/>
      <c r="AD890" s="332"/>
      <c r="AE890" s="332"/>
      <c r="AF890" s="332"/>
      <c r="AG890" s="332"/>
      <c r="AH890" s="332"/>
      <c r="AI890" s="332"/>
      <c r="AJ890" s="332"/>
      <c r="AK890" s="332"/>
      <c r="AL890" s="332"/>
      <c r="AM890" s="332"/>
      <c r="AN890" s="332"/>
      <c r="AO890" s="332"/>
      <c r="AP890" s="332"/>
      <c r="AQ890" s="332"/>
      <c r="AR890" s="332"/>
      <c r="AS890" s="332"/>
      <c r="AT890" s="332"/>
      <c r="AU890" s="332"/>
      <c r="AV890" s="332"/>
      <c r="AW890" s="332"/>
      <c r="AX890" s="332"/>
      <c r="AY890" s="332"/>
      <c r="AZ890" s="332"/>
      <c r="BA890" s="332"/>
      <c r="BB890" s="332"/>
      <c r="BC890" s="332"/>
      <c r="BD890" s="332"/>
      <c r="BE890" s="332"/>
      <c r="BF890" s="332"/>
      <c r="BG890" s="332"/>
      <c r="BH890" s="332"/>
      <c r="BI890" s="332"/>
      <c r="BJ890" s="332"/>
      <c r="BK890" s="332"/>
      <c r="BL890" s="332"/>
      <c r="BM890" s="332"/>
      <c r="BN890" s="332"/>
      <c r="BO890" s="332"/>
      <c r="BP890" s="332"/>
      <c r="BQ890" s="332"/>
      <c r="BR890" s="332"/>
      <c r="BS890" s="332"/>
      <c r="BT890" s="332"/>
      <c r="BU890" s="332"/>
      <c r="BV890" s="332"/>
      <c r="BW890" s="332"/>
      <c r="BX890" s="332"/>
      <c r="BY890" s="332"/>
      <c r="BZ890" s="332"/>
      <c r="CA890" s="332"/>
      <c r="CB890" s="332"/>
      <c r="CC890" s="332"/>
      <c r="CD890" s="332"/>
      <c r="CE890" s="332"/>
      <c r="CF890" s="332"/>
      <c r="CG890" s="332"/>
      <c r="CH890" s="332"/>
      <c r="CI890" s="332"/>
      <c r="CJ890" s="332"/>
      <c r="CK890" s="332"/>
      <c r="CL890" s="332"/>
      <c r="CM890" s="332"/>
      <c r="CN890" s="332"/>
      <c r="CO890" s="332"/>
      <c r="CP890" s="332"/>
      <c r="CQ890" s="332"/>
      <c r="CR890" s="332"/>
      <c r="CS890" s="332"/>
      <c r="CT890" s="332"/>
      <c r="CU890" s="332"/>
      <c r="CV890" s="332"/>
      <c r="CW890" s="332"/>
      <c r="CX890" s="332"/>
      <c r="CY890" s="332"/>
      <c r="CZ890" s="332"/>
      <c r="DA890" s="332"/>
      <c r="DB890" s="332"/>
      <c r="DC890" s="332"/>
      <c r="DD890" s="332"/>
      <c r="DE890" s="332"/>
      <c r="DF890" s="332"/>
      <c r="DG890" s="332"/>
      <c r="DH890" s="332"/>
      <c r="DI890" s="332"/>
      <c r="DJ890" s="332"/>
      <c r="DK890" s="332"/>
      <c r="DL890" s="332"/>
      <c r="DM890" s="332"/>
      <c r="DN890" s="332"/>
      <c r="DO890" s="332"/>
      <c r="DP890" s="332"/>
      <c r="DQ890" s="332"/>
      <c r="DR890" s="332"/>
      <c r="DS890" s="332"/>
      <c r="DT890" s="332"/>
      <c r="DU890" s="453"/>
      <c r="DV890" s="453"/>
      <c r="DW890" s="453"/>
      <c r="DX890" s="453"/>
      <c r="DY890" s="453"/>
      <c r="DZ890" s="453"/>
      <c r="EA890" s="453"/>
      <c r="EB890" s="453"/>
      <c r="EC890" s="453"/>
      <c r="ED890" s="453"/>
      <c r="EE890" s="453"/>
      <c r="EF890" s="453"/>
      <c r="EG890" s="453"/>
      <c r="EH890" s="453"/>
      <c r="EI890" s="453"/>
      <c r="EJ890" s="453"/>
      <c r="EK890" s="453"/>
      <c r="EL890" s="453"/>
      <c r="EM890" s="483">
        <f t="shared" si="240"/>
        <v>581</v>
      </c>
      <c r="EN890" s="485"/>
      <c r="EO890" s="458"/>
      <c r="EP890" s="467"/>
      <c r="EQ890" s="457"/>
      <c r="ER890" s="808"/>
      <c r="ES890" s="881">
        <f t="shared" si="238"/>
        <v>0</v>
      </c>
      <c r="ET890" s="882"/>
      <c r="EU890" s="883"/>
      <c r="EV890" s="884">
        <f t="shared" si="239"/>
        <v>0</v>
      </c>
      <c r="EW890" s="885"/>
      <c r="EX890" s="885"/>
      <c r="EY890" s="885"/>
      <c r="EZ890" s="885"/>
      <c r="FA890" s="885"/>
      <c r="FB890" s="885"/>
      <c r="FC890" s="885"/>
      <c r="FD890" s="886"/>
      <c r="FE890" s="550"/>
      <c r="FF890" s="550"/>
      <c r="FG890" s="550"/>
      <c r="FH890" s="550"/>
      <c r="FI890" s="550"/>
      <c r="FJ890" s="550"/>
      <c r="FK890" s="550"/>
      <c r="FL890" s="555"/>
      <c r="FM890" s="554"/>
      <c r="FN890" s="554"/>
      <c r="FO890" s="554"/>
      <c r="FP890" s="554"/>
      <c r="FQ890" s="554"/>
      <c r="FR890" s="554"/>
      <c r="FS890" s="554"/>
      <c r="FT890" s="554"/>
      <c r="FU890" s="554"/>
      <c r="FV890" s="554"/>
      <c r="FW890" s="554"/>
      <c r="FX890" s="554"/>
      <c r="FY890" s="554"/>
      <c r="FZ890" s="554"/>
      <c r="GA890" s="554"/>
      <c r="GB890" s="556"/>
      <c r="GC890" s="370"/>
      <c r="GD890" s="453"/>
      <c r="GE890" s="453"/>
      <c r="GF890" s="453"/>
      <c r="GG890" s="453"/>
      <c r="GH890" s="454"/>
      <c r="GI890" s="453"/>
      <c r="GJ890" s="453"/>
      <c r="GK890" s="453"/>
      <c r="GL890" s="453"/>
      <c r="GM890" s="453"/>
      <c r="GN890" s="453"/>
      <c r="GO890" s="453"/>
      <c r="GP890" s="453"/>
      <c r="GQ890" s="453"/>
      <c r="GR890" s="453"/>
      <c r="GS890" s="561"/>
      <c r="GT890" s="475"/>
      <c r="GU890" s="472"/>
      <c r="GV890" s="453"/>
      <c r="GW890" s="453"/>
      <c r="GX890" s="869"/>
      <c r="GY890" s="870"/>
      <c r="GZ890" s="867"/>
      <c r="HA890" s="868"/>
      <c r="HB890" s="473"/>
      <c r="HC890" s="869"/>
      <c r="HD890" s="870"/>
      <c r="HE890" s="867"/>
      <c r="HF890" s="868"/>
      <c r="HG890" s="473"/>
      <c r="HH890" s="867"/>
      <c r="HI890" s="868"/>
      <c r="HJ890" s="867"/>
      <c r="HK890" s="868"/>
      <c r="HL890" s="370"/>
      <c r="HM890" s="865"/>
      <c r="HN890" s="866"/>
      <c r="HO890" s="865"/>
      <c r="HP890" s="866"/>
      <c r="HQ890" s="865"/>
      <c r="HR890" s="866"/>
      <c r="HS890" s="867"/>
      <c r="HT890" s="868"/>
      <c r="HU890" s="489"/>
      <c r="HV890" s="865"/>
      <c r="HW890" s="866"/>
    </row>
    <row r="891" spans="25:231" ht="15" customHeight="1">
      <c r="Y891" s="332"/>
      <c r="Z891" s="332"/>
      <c r="AA891" s="332"/>
      <c r="AB891" s="332"/>
      <c r="AC891" s="332"/>
      <c r="AD891" s="332"/>
      <c r="AE891" s="332"/>
      <c r="AF891" s="332"/>
      <c r="AG891" s="332"/>
      <c r="AH891" s="332"/>
      <c r="AI891" s="332"/>
      <c r="AJ891" s="332"/>
      <c r="AK891" s="332"/>
      <c r="AL891" s="332"/>
      <c r="AM891" s="332"/>
      <c r="AN891" s="332"/>
      <c r="AO891" s="332"/>
      <c r="AP891" s="332"/>
      <c r="AQ891" s="332"/>
      <c r="AR891" s="332"/>
      <c r="AS891" s="332"/>
      <c r="AT891" s="332"/>
      <c r="AU891" s="332"/>
      <c r="AV891" s="332"/>
      <c r="AW891" s="332"/>
      <c r="AX891" s="332"/>
      <c r="AY891" s="332"/>
      <c r="AZ891" s="332"/>
      <c r="BA891" s="332"/>
      <c r="BB891" s="332"/>
      <c r="BC891" s="332"/>
      <c r="BD891" s="332"/>
      <c r="BE891" s="332"/>
      <c r="BF891" s="332"/>
      <c r="BG891" s="332"/>
      <c r="BH891" s="332"/>
      <c r="BI891" s="332"/>
      <c r="BJ891" s="332"/>
      <c r="BK891" s="332"/>
      <c r="BL891" s="332"/>
      <c r="BM891" s="332"/>
      <c r="BN891" s="332"/>
      <c r="BO891" s="332"/>
      <c r="BP891" s="332"/>
      <c r="BQ891" s="332"/>
      <c r="BR891" s="332"/>
      <c r="BS891" s="332"/>
      <c r="BT891" s="332"/>
      <c r="BU891" s="332"/>
      <c r="BV891" s="332"/>
      <c r="BW891" s="332"/>
      <c r="BX891" s="332"/>
      <c r="BY891" s="332"/>
      <c r="BZ891" s="332"/>
      <c r="CA891" s="332"/>
      <c r="CB891" s="332"/>
      <c r="CC891" s="332"/>
      <c r="CD891" s="332"/>
      <c r="CE891" s="332"/>
      <c r="CF891" s="332"/>
      <c r="CG891" s="332"/>
      <c r="CH891" s="332"/>
      <c r="CI891" s="332"/>
      <c r="CJ891" s="332"/>
      <c r="CK891" s="332"/>
      <c r="CL891" s="332"/>
      <c r="CM891" s="332"/>
      <c r="CN891" s="332"/>
      <c r="CO891" s="332"/>
      <c r="CP891" s="332"/>
      <c r="CQ891" s="332"/>
      <c r="CR891" s="332"/>
      <c r="CS891" s="332"/>
      <c r="CT891" s="332"/>
      <c r="CU891" s="332"/>
      <c r="CV891" s="332"/>
      <c r="CW891" s="332"/>
      <c r="CX891" s="332"/>
      <c r="CY891" s="332"/>
      <c r="CZ891" s="332"/>
      <c r="DA891" s="332"/>
      <c r="DB891" s="332"/>
      <c r="DC891" s="332"/>
      <c r="DD891" s="332"/>
      <c r="DE891" s="332"/>
      <c r="DF891" s="332"/>
      <c r="DG891" s="332"/>
      <c r="DH891" s="332"/>
      <c r="DI891" s="332"/>
      <c r="DJ891" s="332"/>
      <c r="DK891" s="332"/>
      <c r="DL891" s="332"/>
      <c r="DM891" s="332"/>
      <c r="DN891" s="332"/>
      <c r="DO891" s="332"/>
      <c r="DP891" s="332"/>
      <c r="DQ891" s="332"/>
      <c r="DR891" s="332"/>
      <c r="DS891" s="332"/>
      <c r="DT891" s="332"/>
      <c r="DU891" s="453"/>
      <c r="DV891" s="453"/>
      <c r="DW891" s="453"/>
      <c r="DX891" s="453"/>
      <c r="DY891" s="453"/>
      <c r="DZ891" s="453"/>
      <c r="EA891" s="453"/>
      <c r="EB891" s="453"/>
      <c r="EC891" s="453"/>
      <c r="ED891" s="453"/>
      <c r="EE891" s="453"/>
      <c r="EF891" s="453"/>
      <c r="EG891" s="453"/>
      <c r="EH891" s="453"/>
      <c r="EI891" s="453"/>
      <c r="EJ891" s="453"/>
      <c r="EK891" s="453"/>
      <c r="EL891" s="453"/>
      <c r="EM891" s="483">
        <f t="shared" si="240"/>
        <v>582</v>
      </c>
      <c r="EN891" s="485"/>
      <c r="EO891" s="458"/>
      <c r="EP891" s="467"/>
      <c r="EQ891" s="457"/>
      <c r="ER891" s="808"/>
      <c r="ES891" s="881">
        <f t="shared" si="238"/>
        <v>0</v>
      </c>
      <c r="ET891" s="882"/>
      <c r="EU891" s="883"/>
      <c r="EV891" s="884">
        <f t="shared" si="239"/>
        <v>0</v>
      </c>
      <c r="EW891" s="885"/>
      <c r="EX891" s="885"/>
      <c r="EY891" s="885"/>
      <c r="EZ891" s="885"/>
      <c r="FA891" s="885"/>
      <c r="FB891" s="885"/>
      <c r="FC891" s="885"/>
      <c r="FD891" s="886"/>
      <c r="FE891" s="550"/>
      <c r="FF891" s="550"/>
      <c r="FG891" s="550"/>
      <c r="FH891" s="550"/>
      <c r="FI891" s="550"/>
      <c r="FJ891" s="550"/>
      <c r="FK891" s="550"/>
      <c r="FL891" s="555"/>
      <c r="FM891" s="554"/>
      <c r="FN891" s="554"/>
      <c r="FO891" s="554"/>
      <c r="FP891" s="554"/>
      <c r="FQ891" s="554"/>
      <c r="FR891" s="554"/>
      <c r="FS891" s="554"/>
      <c r="FT891" s="554"/>
      <c r="FU891" s="554"/>
      <c r="FV891" s="554"/>
      <c r="FW891" s="554"/>
      <c r="FX891" s="554"/>
      <c r="FY891" s="554"/>
      <c r="FZ891" s="554"/>
      <c r="GA891" s="554"/>
      <c r="GB891" s="556"/>
      <c r="GC891" s="370"/>
      <c r="GD891" s="453"/>
      <c r="GE891" s="453"/>
      <c r="GF891" s="453"/>
      <c r="GG891" s="453"/>
      <c r="GH891" s="454"/>
      <c r="GI891" s="453"/>
      <c r="GJ891" s="453"/>
      <c r="GK891" s="453"/>
      <c r="GL891" s="453"/>
      <c r="GM891" s="453"/>
      <c r="GN891" s="453"/>
      <c r="GO891" s="453"/>
      <c r="GP891" s="453"/>
      <c r="GQ891" s="453"/>
      <c r="GR891" s="453"/>
      <c r="GS891" s="561"/>
      <c r="GT891" s="475"/>
      <c r="GU891" s="472"/>
      <c r="GV891" s="453"/>
      <c r="GW891" s="453"/>
      <c r="GX891" s="869"/>
      <c r="GY891" s="870"/>
      <c r="GZ891" s="867"/>
      <c r="HA891" s="868"/>
      <c r="HB891" s="473"/>
      <c r="HC891" s="869"/>
      <c r="HD891" s="870"/>
      <c r="HE891" s="867"/>
      <c r="HF891" s="868"/>
      <c r="HG891" s="473"/>
      <c r="HH891" s="867"/>
      <c r="HI891" s="868"/>
      <c r="HJ891" s="867"/>
      <c r="HK891" s="868"/>
      <c r="HL891" s="370"/>
      <c r="HM891" s="865"/>
      <c r="HN891" s="866"/>
      <c r="HO891" s="865"/>
      <c r="HP891" s="866"/>
      <c r="HQ891" s="865"/>
      <c r="HR891" s="866"/>
      <c r="HS891" s="867"/>
      <c r="HT891" s="868"/>
      <c r="HU891" s="489"/>
      <c r="HV891" s="865"/>
      <c r="HW891" s="866"/>
    </row>
    <row r="892" spans="25:231" ht="15" customHeight="1">
      <c r="Y892" s="332"/>
      <c r="Z892" s="332"/>
      <c r="AA892" s="332"/>
      <c r="AB892" s="332"/>
      <c r="AC892" s="332"/>
      <c r="AD892" s="332"/>
      <c r="AE892" s="332"/>
      <c r="AF892" s="332"/>
      <c r="AG892" s="332"/>
      <c r="AH892" s="332"/>
      <c r="AI892" s="332"/>
      <c r="AJ892" s="332"/>
      <c r="AK892" s="332"/>
      <c r="AL892" s="332"/>
      <c r="AM892" s="332"/>
      <c r="AN892" s="332"/>
      <c r="AO892" s="332"/>
      <c r="AP892" s="332"/>
      <c r="AQ892" s="332"/>
      <c r="AR892" s="332"/>
      <c r="AS892" s="332"/>
      <c r="AT892" s="332"/>
      <c r="AU892" s="332"/>
      <c r="AV892" s="332"/>
      <c r="AW892" s="332"/>
      <c r="AX892" s="332"/>
      <c r="AY892" s="332"/>
      <c r="AZ892" s="332"/>
      <c r="BA892" s="332"/>
      <c r="BB892" s="332"/>
      <c r="BC892" s="332"/>
      <c r="BD892" s="332"/>
      <c r="BE892" s="332"/>
      <c r="BF892" s="332"/>
      <c r="BG892" s="332"/>
      <c r="BH892" s="332"/>
      <c r="BI892" s="332"/>
      <c r="BJ892" s="332"/>
      <c r="BK892" s="332"/>
      <c r="BL892" s="332"/>
      <c r="BM892" s="332"/>
      <c r="BN892" s="332"/>
      <c r="BO892" s="332"/>
      <c r="BP892" s="332"/>
      <c r="BQ892" s="332"/>
      <c r="BR892" s="332"/>
      <c r="BS892" s="332"/>
      <c r="BT892" s="332"/>
      <c r="BU892" s="332"/>
      <c r="BV892" s="332"/>
      <c r="BW892" s="332"/>
      <c r="BX892" s="332"/>
      <c r="BY892" s="332"/>
      <c r="BZ892" s="332"/>
      <c r="CA892" s="332"/>
      <c r="CB892" s="332"/>
      <c r="CC892" s="332"/>
      <c r="CD892" s="332"/>
      <c r="CE892" s="332"/>
      <c r="CF892" s="332"/>
      <c r="CG892" s="332"/>
      <c r="CH892" s="332"/>
      <c r="CI892" s="332"/>
      <c r="CJ892" s="332"/>
      <c r="CK892" s="332"/>
      <c r="CL892" s="332"/>
      <c r="CM892" s="332"/>
      <c r="CN892" s="332"/>
      <c r="CO892" s="332"/>
      <c r="CP892" s="332"/>
      <c r="CQ892" s="332"/>
      <c r="CR892" s="332"/>
      <c r="CS892" s="332"/>
      <c r="CT892" s="332"/>
      <c r="CU892" s="332"/>
      <c r="CV892" s="332"/>
      <c r="CW892" s="332"/>
      <c r="CX892" s="332"/>
      <c r="CY892" s="332"/>
      <c r="CZ892" s="332"/>
      <c r="DA892" s="332"/>
      <c r="DB892" s="332"/>
      <c r="DC892" s="332"/>
      <c r="DD892" s="332"/>
      <c r="DE892" s="332"/>
      <c r="DF892" s="332"/>
      <c r="DG892" s="332"/>
      <c r="DH892" s="332"/>
      <c r="DI892" s="332"/>
      <c r="DJ892" s="332"/>
      <c r="DK892" s="332"/>
      <c r="DL892" s="332"/>
      <c r="DM892" s="332"/>
      <c r="DN892" s="332"/>
      <c r="DO892" s="332"/>
      <c r="DP892" s="332"/>
      <c r="DQ892" s="332"/>
      <c r="DR892" s="332"/>
      <c r="DS892" s="332"/>
      <c r="DT892" s="332"/>
      <c r="DU892" s="453"/>
      <c r="DV892" s="453"/>
      <c r="DW892" s="453"/>
      <c r="DX892" s="453"/>
      <c r="DY892" s="453"/>
      <c r="DZ892" s="453"/>
      <c r="EA892" s="453"/>
      <c r="EB892" s="453"/>
      <c r="EC892" s="453"/>
      <c r="ED892" s="453"/>
      <c r="EE892" s="453"/>
      <c r="EF892" s="453"/>
      <c r="EG892" s="453"/>
      <c r="EH892" s="453"/>
      <c r="EI892" s="453"/>
      <c r="EJ892" s="453"/>
      <c r="EK892" s="453"/>
      <c r="EL892" s="453"/>
      <c r="EM892" s="483">
        <f t="shared" si="240"/>
        <v>583</v>
      </c>
      <c r="EN892" s="485"/>
      <c r="EO892" s="458"/>
      <c r="EP892" s="467"/>
      <c r="EQ892" s="457"/>
      <c r="ER892" s="808"/>
      <c r="ES892" s="881">
        <f t="shared" si="238"/>
        <v>0</v>
      </c>
      <c r="ET892" s="882"/>
      <c r="EU892" s="883"/>
      <c r="EV892" s="884">
        <f t="shared" si="239"/>
        <v>0</v>
      </c>
      <c r="EW892" s="885"/>
      <c r="EX892" s="885"/>
      <c r="EY892" s="885"/>
      <c r="EZ892" s="885"/>
      <c r="FA892" s="885"/>
      <c r="FB892" s="885"/>
      <c r="FC892" s="885"/>
      <c r="FD892" s="886"/>
      <c r="FE892" s="550"/>
      <c r="FF892" s="550"/>
      <c r="FG892" s="550"/>
      <c r="FH892" s="550"/>
      <c r="FI892" s="550"/>
      <c r="FJ892" s="550"/>
      <c r="FK892" s="550"/>
      <c r="FL892" s="555"/>
      <c r="FM892" s="554"/>
      <c r="FN892" s="554"/>
      <c r="FO892" s="554"/>
      <c r="FP892" s="554"/>
      <c r="FQ892" s="554"/>
      <c r="FR892" s="554"/>
      <c r="FS892" s="554"/>
      <c r="FT892" s="554"/>
      <c r="FU892" s="554"/>
      <c r="FV892" s="554"/>
      <c r="FW892" s="554"/>
      <c r="FX892" s="554"/>
      <c r="FY892" s="554"/>
      <c r="FZ892" s="554"/>
      <c r="GA892" s="554"/>
      <c r="GB892" s="556"/>
      <c r="GC892" s="370"/>
      <c r="GD892" s="453"/>
      <c r="GE892" s="453"/>
      <c r="GF892" s="453"/>
      <c r="GG892" s="453"/>
      <c r="GH892" s="454"/>
      <c r="GI892" s="453"/>
      <c r="GJ892" s="453"/>
      <c r="GK892" s="453"/>
      <c r="GL892" s="453"/>
      <c r="GM892" s="453"/>
      <c r="GN892" s="453"/>
      <c r="GO892" s="453"/>
      <c r="GP892" s="453"/>
      <c r="GQ892" s="453"/>
      <c r="GR892" s="453"/>
      <c r="GS892" s="561"/>
      <c r="GT892" s="475"/>
      <c r="GU892" s="472"/>
      <c r="GV892" s="453"/>
      <c r="GW892" s="453"/>
      <c r="GX892" s="869"/>
      <c r="GY892" s="870"/>
      <c r="GZ892" s="867"/>
      <c r="HA892" s="868"/>
      <c r="HB892" s="473"/>
      <c r="HC892" s="869"/>
      <c r="HD892" s="870"/>
      <c r="HE892" s="867"/>
      <c r="HF892" s="868"/>
      <c r="HG892" s="473"/>
      <c r="HH892" s="867"/>
      <c r="HI892" s="868"/>
      <c r="HJ892" s="867"/>
      <c r="HK892" s="868"/>
      <c r="HL892" s="370"/>
      <c r="HM892" s="865"/>
      <c r="HN892" s="866"/>
      <c r="HO892" s="865"/>
      <c r="HP892" s="866"/>
      <c r="HQ892" s="865"/>
      <c r="HR892" s="866"/>
      <c r="HS892" s="867"/>
      <c r="HT892" s="868"/>
      <c r="HU892" s="489"/>
      <c r="HV892" s="865"/>
      <c r="HW892" s="866"/>
    </row>
    <row r="893" spans="25:231" ht="15" customHeight="1">
      <c r="Y893" s="332"/>
      <c r="Z893" s="332"/>
      <c r="AA893" s="332"/>
      <c r="AB893" s="332"/>
      <c r="AC893" s="332"/>
      <c r="AD893" s="332"/>
      <c r="AE893" s="332"/>
      <c r="AF893" s="332"/>
      <c r="AG893" s="332"/>
      <c r="AH893" s="332"/>
      <c r="AI893" s="332"/>
      <c r="AJ893" s="332"/>
      <c r="AK893" s="332"/>
      <c r="AL893" s="332"/>
      <c r="AM893" s="332"/>
      <c r="AN893" s="332"/>
      <c r="AO893" s="332"/>
      <c r="AP893" s="332"/>
      <c r="AQ893" s="332"/>
      <c r="AR893" s="332"/>
      <c r="AS893" s="332"/>
      <c r="AT893" s="332"/>
      <c r="AU893" s="332"/>
      <c r="AV893" s="332"/>
      <c r="AW893" s="332"/>
      <c r="AX893" s="332"/>
      <c r="AY893" s="332"/>
      <c r="AZ893" s="332"/>
      <c r="BA893" s="332"/>
      <c r="BB893" s="332"/>
      <c r="BC893" s="332"/>
      <c r="BD893" s="332"/>
      <c r="BE893" s="332"/>
      <c r="BF893" s="332"/>
      <c r="BG893" s="332"/>
      <c r="BH893" s="332"/>
      <c r="BI893" s="332"/>
      <c r="BJ893" s="332"/>
      <c r="BK893" s="332"/>
      <c r="BL893" s="332"/>
      <c r="BM893" s="332"/>
      <c r="BN893" s="332"/>
      <c r="BO893" s="332"/>
      <c r="BP893" s="332"/>
      <c r="BQ893" s="332"/>
      <c r="BR893" s="332"/>
      <c r="BS893" s="332"/>
      <c r="BT893" s="332"/>
      <c r="BU893" s="332"/>
      <c r="BV893" s="332"/>
      <c r="BW893" s="332"/>
      <c r="BX893" s="332"/>
      <c r="BY893" s="332"/>
      <c r="BZ893" s="332"/>
      <c r="CA893" s="332"/>
      <c r="CB893" s="332"/>
      <c r="CC893" s="332"/>
      <c r="CD893" s="332"/>
      <c r="CE893" s="332"/>
      <c r="CF893" s="332"/>
      <c r="CG893" s="332"/>
      <c r="CH893" s="332"/>
      <c r="CI893" s="332"/>
      <c r="CJ893" s="332"/>
      <c r="CK893" s="332"/>
      <c r="CL893" s="332"/>
      <c r="CM893" s="332"/>
      <c r="CN893" s="332"/>
      <c r="CO893" s="332"/>
      <c r="CP893" s="332"/>
      <c r="CQ893" s="332"/>
      <c r="CR893" s="332"/>
      <c r="CS893" s="332"/>
      <c r="CT893" s="332"/>
      <c r="CU893" s="332"/>
      <c r="CV893" s="332"/>
      <c r="CW893" s="332"/>
      <c r="CX893" s="332"/>
      <c r="CY893" s="332"/>
      <c r="CZ893" s="332"/>
      <c r="DA893" s="332"/>
      <c r="DB893" s="332"/>
      <c r="DC893" s="332"/>
      <c r="DD893" s="332"/>
      <c r="DE893" s="332"/>
      <c r="DF893" s="332"/>
      <c r="DG893" s="332"/>
      <c r="DH893" s="332"/>
      <c r="DI893" s="332"/>
      <c r="DJ893" s="332"/>
      <c r="DK893" s="332"/>
      <c r="DL893" s="332"/>
      <c r="DM893" s="332"/>
      <c r="DN893" s="332"/>
      <c r="DO893" s="332"/>
      <c r="DP893" s="332"/>
      <c r="DQ893" s="332"/>
      <c r="DR893" s="332"/>
      <c r="DS893" s="332"/>
      <c r="DT893" s="332"/>
      <c r="DU893" s="453"/>
      <c r="DV893" s="453"/>
      <c r="DW893" s="453"/>
      <c r="DX893" s="453"/>
      <c r="DY893" s="453"/>
      <c r="DZ893" s="453"/>
      <c r="EA893" s="453"/>
      <c r="EB893" s="453"/>
      <c r="EC893" s="453"/>
      <c r="ED893" s="453"/>
      <c r="EE893" s="453"/>
      <c r="EF893" s="453"/>
      <c r="EG893" s="453"/>
      <c r="EH893" s="453"/>
      <c r="EI893" s="453"/>
      <c r="EJ893" s="453"/>
      <c r="EK893" s="453"/>
      <c r="EL893" s="453"/>
      <c r="EM893" s="483">
        <f t="shared" si="240"/>
        <v>584</v>
      </c>
      <c r="EN893" s="485"/>
      <c r="EO893" s="458"/>
      <c r="EP893" s="467"/>
      <c r="EQ893" s="457"/>
      <c r="ER893" s="808"/>
      <c r="ES893" s="881">
        <f t="shared" si="238"/>
        <v>0</v>
      </c>
      <c r="ET893" s="882"/>
      <c r="EU893" s="883"/>
      <c r="EV893" s="884">
        <f t="shared" si="239"/>
        <v>0</v>
      </c>
      <c r="EW893" s="885"/>
      <c r="EX893" s="885"/>
      <c r="EY893" s="885"/>
      <c r="EZ893" s="885"/>
      <c r="FA893" s="885"/>
      <c r="FB893" s="885"/>
      <c r="FC893" s="885"/>
      <c r="FD893" s="886"/>
      <c r="FE893" s="550"/>
      <c r="FF893" s="550"/>
      <c r="FG893" s="550"/>
      <c r="FH893" s="550"/>
      <c r="FI893" s="550"/>
      <c r="FJ893" s="550"/>
      <c r="FK893" s="550"/>
      <c r="FL893" s="555"/>
      <c r="FM893" s="554"/>
      <c r="FN893" s="554"/>
      <c r="FO893" s="554"/>
      <c r="FP893" s="554"/>
      <c r="FQ893" s="554"/>
      <c r="FR893" s="554"/>
      <c r="FS893" s="554"/>
      <c r="FT893" s="554"/>
      <c r="FU893" s="554"/>
      <c r="FV893" s="554"/>
      <c r="FW893" s="554"/>
      <c r="FX893" s="554"/>
      <c r="FY893" s="554"/>
      <c r="FZ893" s="554"/>
      <c r="GA893" s="554"/>
      <c r="GB893" s="556"/>
      <c r="GC893" s="370"/>
      <c r="GD893" s="453"/>
      <c r="GE893" s="453"/>
      <c r="GF893" s="453"/>
      <c r="GG893" s="453"/>
      <c r="GH893" s="454"/>
      <c r="GI893" s="453"/>
      <c r="GJ893" s="453"/>
      <c r="GK893" s="453"/>
      <c r="GL893" s="453"/>
      <c r="GM893" s="453"/>
      <c r="GN893" s="453"/>
      <c r="GO893" s="453"/>
      <c r="GP893" s="453"/>
      <c r="GQ893" s="453"/>
      <c r="GR893" s="453"/>
      <c r="GS893" s="561"/>
      <c r="GT893" s="475"/>
      <c r="GU893" s="472"/>
      <c r="GV893" s="453"/>
      <c r="GW893" s="453"/>
      <c r="GX893" s="869"/>
      <c r="GY893" s="870"/>
      <c r="GZ893" s="867"/>
      <c r="HA893" s="868"/>
      <c r="HB893" s="473"/>
      <c r="HC893" s="869"/>
      <c r="HD893" s="870"/>
      <c r="HE893" s="867"/>
      <c r="HF893" s="868"/>
      <c r="HG893" s="473"/>
      <c r="HH893" s="867"/>
      <c r="HI893" s="868"/>
      <c r="HJ893" s="867"/>
      <c r="HK893" s="868"/>
      <c r="HL893" s="370"/>
      <c r="HM893" s="865"/>
      <c r="HN893" s="866"/>
      <c r="HO893" s="865"/>
      <c r="HP893" s="866"/>
      <c r="HQ893" s="865"/>
      <c r="HR893" s="866"/>
      <c r="HS893" s="867"/>
      <c r="HT893" s="868"/>
      <c r="HU893" s="489"/>
      <c r="HV893" s="865"/>
      <c r="HW893" s="866"/>
    </row>
    <row r="894" spans="25:231" ht="15" customHeight="1">
      <c r="Y894" s="332"/>
      <c r="Z894" s="332"/>
      <c r="AA894" s="332"/>
      <c r="AB894" s="332"/>
      <c r="AC894" s="332"/>
      <c r="AD894" s="332"/>
      <c r="AE894" s="332"/>
      <c r="AF894" s="332"/>
      <c r="AG894" s="332"/>
      <c r="AH894" s="332"/>
      <c r="AI894" s="332"/>
      <c r="AJ894" s="332"/>
      <c r="AK894" s="332"/>
      <c r="AL894" s="332"/>
      <c r="AM894" s="332"/>
      <c r="AN894" s="332"/>
      <c r="AO894" s="332"/>
      <c r="AP894" s="332"/>
      <c r="AQ894" s="332"/>
      <c r="AR894" s="332"/>
      <c r="AS894" s="332"/>
      <c r="AT894" s="332"/>
      <c r="AU894" s="332"/>
      <c r="AV894" s="332"/>
      <c r="AW894" s="332"/>
      <c r="AX894" s="332"/>
      <c r="AY894" s="332"/>
      <c r="AZ894" s="332"/>
      <c r="BA894" s="332"/>
      <c r="BB894" s="332"/>
      <c r="BC894" s="332"/>
      <c r="BD894" s="332"/>
      <c r="BE894" s="332"/>
      <c r="BF894" s="332"/>
      <c r="BG894" s="332"/>
      <c r="BH894" s="332"/>
      <c r="BI894" s="332"/>
      <c r="BJ894" s="332"/>
      <c r="BK894" s="332"/>
      <c r="BL894" s="332"/>
      <c r="BM894" s="332"/>
      <c r="BN894" s="332"/>
      <c r="BO894" s="332"/>
      <c r="BP894" s="332"/>
      <c r="BQ894" s="332"/>
      <c r="BR894" s="332"/>
      <c r="BS894" s="332"/>
      <c r="BT894" s="332"/>
      <c r="BU894" s="332"/>
      <c r="BV894" s="332"/>
      <c r="BW894" s="332"/>
      <c r="BX894" s="332"/>
      <c r="BY894" s="332"/>
      <c r="BZ894" s="332"/>
      <c r="CA894" s="332"/>
      <c r="CB894" s="332"/>
      <c r="CC894" s="332"/>
      <c r="CD894" s="332"/>
      <c r="CE894" s="332"/>
      <c r="CF894" s="332"/>
      <c r="CG894" s="332"/>
      <c r="CH894" s="332"/>
      <c r="CI894" s="332"/>
      <c r="CJ894" s="332"/>
      <c r="CK894" s="332"/>
      <c r="CL894" s="332"/>
      <c r="CM894" s="332"/>
      <c r="CN894" s="332"/>
      <c r="CO894" s="332"/>
      <c r="CP894" s="332"/>
      <c r="CQ894" s="332"/>
      <c r="CR894" s="332"/>
      <c r="CS894" s="332"/>
      <c r="CT894" s="332"/>
      <c r="CU894" s="332"/>
      <c r="CV894" s="332"/>
      <c r="CW894" s="332"/>
      <c r="CX894" s="332"/>
      <c r="CY894" s="332"/>
      <c r="CZ894" s="332"/>
      <c r="DA894" s="332"/>
      <c r="DB894" s="332"/>
      <c r="DC894" s="332"/>
      <c r="DD894" s="332"/>
      <c r="DE894" s="332"/>
      <c r="DF894" s="332"/>
      <c r="DG894" s="332"/>
      <c r="DH894" s="332"/>
      <c r="DI894" s="332"/>
      <c r="DJ894" s="332"/>
      <c r="DK894" s="332"/>
      <c r="DL894" s="332"/>
      <c r="DM894" s="332"/>
      <c r="DN894" s="332"/>
      <c r="DO894" s="332"/>
      <c r="DP894" s="332"/>
      <c r="DQ894" s="332"/>
      <c r="DR894" s="332"/>
      <c r="DS894" s="332"/>
      <c r="DT894" s="332"/>
      <c r="DU894" s="453"/>
      <c r="DV894" s="453"/>
      <c r="DW894" s="453"/>
      <c r="DX894" s="453"/>
      <c r="DY894" s="453"/>
      <c r="DZ894" s="453"/>
      <c r="EA894" s="453"/>
      <c r="EB894" s="453"/>
      <c r="EC894" s="453"/>
      <c r="ED894" s="453"/>
      <c r="EE894" s="453"/>
      <c r="EF894" s="453"/>
      <c r="EG894" s="453"/>
      <c r="EH894" s="453"/>
      <c r="EI894" s="453"/>
      <c r="EJ894" s="453"/>
      <c r="EK894" s="453"/>
      <c r="EL894" s="453"/>
      <c r="EM894" s="483">
        <f t="shared" si="240"/>
        <v>585</v>
      </c>
      <c r="EN894" s="485"/>
      <c r="EO894" s="458"/>
      <c r="EP894" s="467"/>
      <c r="EQ894" s="457"/>
      <c r="ER894" s="808"/>
      <c r="ES894" s="881">
        <f t="shared" si="238"/>
        <v>0</v>
      </c>
      <c r="ET894" s="882"/>
      <c r="EU894" s="883"/>
      <c r="EV894" s="884">
        <f t="shared" si="239"/>
        <v>0</v>
      </c>
      <c r="EW894" s="885"/>
      <c r="EX894" s="885"/>
      <c r="EY894" s="885"/>
      <c r="EZ894" s="885"/>
      <c r="FA894" s="885"/>
      <c r="FB894" s="885"/>
      <c r="FC894" s="885"/>
      <c r="FD894" s="886"/>
      <c r="FE894" s="550"/>
      <c r="FF894" s="550"/>
      <c r="FG894" s="550"/>
      <c r="FH894" s="550"/>
      <c r="FI894" s="550"/>
      <c r="FJ894" s="550"/>
      <c r="FK894" s="550"/>
      <c r="FL894" s="555"/>
      <c r="FM894" s="554"/>
      <c r="FN894" s="554"/>
      <c r="FO894" s="554"/>
      <c r="FP894" s="554"/>
      <c r="FQ894" s="554"/>
      <c r="FR894" s="554"/>
      <c r="FS894" s="554"/>
      <c r="FT894" s="554"/>
      <c r="FU894" s="554"/>
      <c r="FV894" s="554"/>
      <c r="FW894" s="554"/>
      <c r="FX894" s="554"/>
      <c r="FY894" s="554"/>
      <c r="FZ894" s="554"/>
      <c r="GA894" s="554"/>
      <c r="GB894" s="556"/>
      <c r="GC894" s="370"/>
      <c r="GD894" s="453"/>
      <c r="GE894" s="453"/>
      <c r="GF894" s="453"/>
      <c r="GG894" s="453"/>
      <c r="GH894" s="454"/>
      <c r="GI894" s="453"/>
      <c r="GJ894" s="453"/>
      <c r="GK894" s="453"/>
      <c r="GL894" s="453"/>
      <c r="GM894" s="453"/>
      <c r="GN894" s="453"/>
      <c r="GO894" s="453"/>
      <c r="GP894" s="453"/>
      <c r="GQ894" s="453"/>
      <c r="GR894" s="453"/>
      <c r="GS894" s="561"/>
      <c r="GT894" s="475"/>
      <c r="GU894" s="472"/>
      <c r="GV894" s="453"/>
      <c r="GW894" s="453"/>
      <c r="GX894" s="869"/>
      <c r="GY894" s="870"/>
      <c r="GZ894" s="867"/>
      <c r="HA894" s="868"/>
      <c r="HB894" s="473"/>
      <c r="HC894" s="869"/>
      <c r="HD894" s="870"/>
      <c r="HE894" s="867"/>
      <c r="HF894" s="868"/>
      <c r="HG894" s="473"/>
      <c r="HH894" s="867"/>
      <c r="HI894" s="868"/>
      <c r="HJ894" s="867"/>
      <c r="HK894" s="868"/>
      <c r="HL894" s="370"/>
      <c r="HM894" s="865"/>
      <c r="HN894" s="866"/>
      <c r="HO894" s="865"/>
      <c r="HP894" s="866"/>
      <c r="HQ894" s="865"/>
      <c r="HR894" s="866"/>
      <c r="HS894" s="867"/>
      <c r="HT894" s="868"/>
      <c r="HU894" s="489"/>
      <c r="HV894" s="865"/>
      <c r="HW894" s="866"/>
    </row>
    <row r="895" spans="25:231" ht="15" customHeight="1">
      <c r="Y895" s="332"/>
      <c r="Z895" s="332"/>
      <c r="AA895" s="332"/>
      <c r="AB895" s="332"/>
      <c r="AC895" s="332"/>
      <c r="AD895" s="332"/>
      <c r="AE895" s="332"/>
      <c r="AF895" s="332"/>
      <c r="AG895" s="332"/>
      <c r="AH895" s="332"/>
      <c r="AI895" s="332"/>
      <c r="AJ895" s="332"/>
      <c r="AK895" s="332"/>
      <c r="AL895" s="332"/>
      <c r="AM895" s="332"/>
      <c r="AN895" s="332"/>
      <c r="AO895" s="332"/>
      <c r="AP895" s="332"/>
      <c r="AQ895" s="332"/>
      <c r="AR895" s="332"/>
      <c r="AS895" s="332"/>
      <c r="AT895" s="332"/>
      <c r="AU895" s="332"/>
      <c r="AV895" s="332"/>
      <c r="AW895" s="332"/>
      <c r="AX895" s="332"/>
      <c r="AY895" s="332"/>
      <c r="AZ895" s="332"/>
      <c r="BA895" s="332"/>
      <c r="BB895" s="332"/>
      <c r="BC895" s="332"/>
      <c r="BD895" s="332"/>
      <c r="BE895" s="332"/>
      <c r="BF895" s="332"/>
      <c r="BG895" s="332"/>
      <c r="BH895" s="332"/>
      <c r="BI895" s="332"/>
      <c r="BJ895" s="332"/>
      <c r="BK895" s="332"/>
      <c r="BL895" s="332"/>
      <c r="BM895" s="332"/>
      <c r="BN895" s="332"/>
      <c r="BO895" s="332"/>
      <c r="BP895" s="332"/>
      <c r="BQ895" s="332"/>
      <c r="BR895" s="332"/>
      <c r="BS895" s="332"/>
      <c r="BT895" s="332"/>
      <c r="BU895" s="332"/>
      <c r="BV895" s="332"/>
      <c r="BW895" s="332"/>
      <c r="BX895" s="332"/>
      <c r="BY895" s="332"/>
      <c r="BZ895" s="332"/>
      <c r="CA895" s="332"/>
      <c r="CB895" s="332"/>
      <c r="CC895" s="332"/>
      <c r="CD895" s="332"/>
      <c r="CE895" s="332"/>
      <c r="CF895" s="332"/>
      <c r="CG895" s="332"/>
      <c r="CH895" s="332"/>
      <c r="CI895" s="332"/>
      <c r="CJ895" s="332"/>
      <c r="CK895" s="332"/>
      <c r="CL895" s="332"/>
      <c r="CM895" s="332"/>
      <c r="CN895" s="332"/>
      <c r="CO895" s="332"/>
      <c r="CP895" s="332"/>
      <c r="CQ895" s="332"/>
      <c r="CR895" s="332"/>
      <c r="CS895" s="332"/>
      <c r="CT895" s="332"/>
      <c r="CU895" s="332"/>
      <c r="CV895" s="332"/>
      <c r="CW895" s="332"/>
      <c r="CX895" s="332"/>
      <c r="CY895" s="332"/>
      <c r="CZ895" s="332"/>
      <c r="DA895" s="332"/>
      <c r="DB895" s="332"/>
      <c r="DC895" s="332"/>
      <c r="DD895" s="332"/>
      <c r="DE895" s="332"/>
      <c r="DF895" s="332"/>
      <c r="DG895" s="332"/>
      <c r="DH895" s="332"/>
      <c r="DI895" s="332"/>
      <c r="DJ895" s="332"/>
      <c r="DK895" s="332"/>
      <c r="DL895" s="332"/>
      <c r="DM895" s="332"/>
      <c r="DN895" s="332"/>
      <c r="DO895" s="332"/>
      <c r="DP895" s="332"/>
      <c r="DQ895" s="332"/>
      <c r="DR895" s="332"/>
      <c r="DS895" s="332"/>
      <c r="DT895" s="332"/>
      <c r="DU895" s="453"/>
      <c r="DV895" s="453"/>
      <c r="DW895" s="453"/>
      <c r="DX895" s="453"/>
      <c r="DY895" s="453"/>
      <c r="DZ895" s="453"/>
      <c r="EA895" s="453"/>
      <c r="EB895" s="453"/>
      <c r="EC895" s="453"/>
      <c r="ED895" s="453"/>
      <c r="EE895" s="453"/>
      <c r="EF895" s="453"/>
      <c r="EG895" s="453"/>
      <c r="EH895" s="453"/>
      <c r="EI895" s="453"/>
      <c r="EJ895" s="453"/>
      <c r="EK895" s="453"/>
      <c r="EL895" s="453"/>
      <c r="EM895" s="483">
        <f t="shared" si="240"/>
        <v>586</v>
      </c>
      <c r="EN895" s="485"/>
      <c r="EO895" s="458"/>
      <c r="EP895" s="467"/>
      <c r="EQ895" s="457"/>
      <c r="ER895" s="808"/>
      <c r="ES895" s="881">
        <f t="shared" si="238"/>
        <v>0</v>
      </c>
      <c r="ET895" s="882"/>
      <c r="EU895" s="883"/>
      <c r="EV895" s="884">
        <f t="shared" si="239"/>
        <v>0</v>
      </c>
      <c r="EW895" s="885"/>
      <c r="EX895" s="885"/>
      <c r="EY895" s="885"/>
      <c r="EZ895" s="885"/>
      <c r="FA895" s="885"/>
      <c r="FB895" s="885"/>
      <c r="FC895" s="885"/>
      <c r="FD895" s="886"/>
      <c r="FE895" s="550"/>
      <c r="FF895" s="550"/>
      <c r="FG895" s="550"/>
      <c r="FH895" s="550"/>
      <c r="FI895" s="550"/>
      <c r="FJ895" s="550"/>
      <c r="FK895" s="550"/>
      <c r="FL895" s="555"/>
      <c r="FM895" s="554"/>
      <c r="FN895" s="554"/>
      <c r="FO895" s="554"/>
      <c r="FP895" s="554"/>
      <c r="FQ895" s="554"/>
      <c r="FR895" s="554"/>
      <c r="FS895" s="554"/>
      <c r="FT895" s="554"/>
      <c r="FU895" s="554"/>
      <c r="FV895" s="554"/>
      <c r="FW895" s="554"/>
      <c r="FX895" s="554"/>
      <c r="FY895" s="554"/>
      <c r="FZ895" s="554"/>
      <c r="GA895" s="554"/>
      <c r="GB895" s="556"/>
      <c r="GC895" s="370"/>
      <c r="GD895" s="453"/>
      <c r="GE895" s="453"/>
      <c r="GF895" s="453"/>
      <c r="GG895" s="453"/>
      <c r="GH895" s="454"/>
      <c r="GI895" s="453"/>
      <c r="GJ895" s="453"/>
      <c r="GK895" s="453"/>
      <c r="GL895" s="453"/>
      <c r="GM895" s="453"/>
      <c r="GN895" s="453"/>
      <c r="GO895" s="453"/>
      <c r="GP895" s="453"/>
      <c r="GQ895" s="453"/>
      <c r="GR895" s="453"/>
      <c r="GS895" s="561"/>
      <c r="GT895" s="475"/>
      <c r="GU895" s="472"/>
      <c r="GV895" s="453"/>
      <c r="GW895" s="453"/>
      <c r="GX895" s="869"/>
      <c r="GY895" s="870"/>
      <c r="GZ895" s="867"/>
      <c r="HA895" s="868"/>
      <c r="HB895" s="473"/>
      <c r="HC895" s="869"/>
      <c r="HD895" s="870"/>
      <c r="HE895" s="867"/>
      <c r="HF895" s="868"/>
      <c r="HG895" s="473"/>
      <c r="HH895" s="867"/>
      <c r="HI895" s="868"/>
      <c r="HJ895" s="867"/>
      <c r="HK895" s="868"/>
      <c r="HL895" s="370"/>
      <c r="HM895" s="865"/>
      <c r="HN895" s="866"/>
      <c r="HO895" s="865"/>
      <c r="HP895" s="866"/>
      <c r="HQ895" s="865"/>
      <c r="HR895" s="866"/>
      <c r="HS895" s="867"/>
      <c r="HT895" s="868"/>
      <c r="HU895" s="489"/>
      <c r="HV895" s="865"/>
      <c r="HW895" s="866"/>
    </row>
    <row r="896" spans="25:231" ht="15" customHeight="1">
      <c r="Y896" s="332"/>
      <c r="Z896" s="332"/>
      <c r="AA896" s="332"/>
      <c r="AB896" s="332"/>
      <c r="AC896" s="332"/>
      <c r="AD896" s="332"/>
      <c r="AE896" s="332"/>
      <c r="AF896" s="332"/>
      <c r="AG896" s="332"/>
      <c r="AH896" s="332"/>
      <c r="AI896" s="332"/>
      <c r="AJ896" s="332"/>
      <c r="AK896" s="332"/>
      <c r="AL896" s="332"/>
      <c r="AM896" s="332"/>
      <c r="AN896" s="332"/>
      <c r="AO896" s="332"/>
      <c r="AP896" s="332"/>
      <c r="AQ896" s="332"/>
      <c r="AR896" s="332"/>
      <c r="AS896" s="332"/>
      <c r="AT896" s="332"/>
      <c r="AU896" s="332"/>
      <c r="AV896" s="332"/>
      <c r="AW896" s="332"/>
      <c r="AX896" s="332"/>
      <c r="AY896" s="332"/>
      <c r="AZ896" s="332"/>
      <c r="BA896" s="332"/>
      <c r="BB896" s="332"/>
      <c r="BC896" s="332"/>
      <c r="BD896" s="332"/>
      <c r="BE896" s="332"/>
      <c r="BF896" s="332"/>
      <c r="BG896" s="332"/>
      <c r="BH896" s="332"/>
      <c r="BI896" s="332"/>
      <c r="BJ896" s="332"/>
      <c r="BK896" s="332"/>
      <c r="BL896" s="332"/>
      <c r="BM896" s="332"/>
      <c r="BN896" s="332"/>
      <c r="BO896" s="332"/>
      <c r="BP896" s="332"/>
      <c r="BQ896" s="332"/>
      <c r="BR896" s="332"/>
      <c r="BS896" s="332"/>
      <c r="BT896" s="332"/>
      <c r="BU896" s="332"/>
      <c r="BV896" s="332"/>
      <c r="BW896" s="332"/>
      <c r="BX896" s="332"/>
      <c r="BY896" s="332"/>
      <c r="BZ896" s="332"/>
      <c r="CA896" s="332"/>
      <c r="CB896" s="332"/>
      <c r="CC896" s="332"/>
      <c r="CD896" s="332"/>
      <c r="CE896" s="332"/>
      <c r="CF896" s="332"/>
      <c r="CG896" s="332"/>
      <c r="CH896" s="332"/>
      <c r="CI896" s="332"/>
      <c r="CJ896" s="332"/>
      <c r="CK896" s="332"/>
      <c r="CL896" s="332"/>
      <c r="CM896" s="332"/>
      <c r="CN896" s="332"/>
      <c r="CO896" s="332"/>
      <c r="CP896" s="332"/>
      <c r="CQ896" s="332"/>
      <c r="CR896" s="332"/>
      <c r="CS896" s="332"/>
      <c r="CT896" s="332"/>
      <c r="CU896" s="332"/>
      <c r="CV896" s="332"/>
      <c r="CW896" s="332"/>
      <c r="CX896" s="332"/>
      <c r="CY896" s="332"/>
      <c r="CZ896" s="332"/>
      <c r="DA896" s="332"/>
      <c r="DB896" s="332"/>
      <c r="DC896" s="332"/>
      <c r="DD896" s="332"/>
      <c r="DE896" s="332"/>
      <c r="DF896" s="332"/>
      <c r="DG896" s="332"/>
      <c r="DH896" s="332"/>
      <c r="DI896" s="332"/>
      <c r="DJ896" s="332"/>
      <c r="DK896" s="332"/>
      <c r="DL896" s="332"/>
      <c r="DM896" s="332"/>
      <c r="DN896" s="332"/>
      <c r="DO896" s="332"/>
      <c r="DP896" s="332"/>
      <c r="DQ896" s="332"/>
      <c r="DR896" s="332"/>
      <c r="DS896" s="332"/>
      <c r="DT896" s="332"/>
      <c r="DU896" s="453"/>
      <c r="DV896" s="453"/>
      <c r="DW896" s="453"/>
      <c r="DX896" s="453"/>
      <c r="DY896" s="453"/>
      <c r="DZ896" s="453"/>
      <c r="EA896" s="453"/>
      <c r="EB896" s="453"/>
      <c r="EC896" s="453"/>
      <c r="ED896" s="453"/>
      <c r="EE896" s="453"/>
      <c r="EF896" s="453"/>
      <c r="EG896" s="453"/>
      <c r="EH896" s="453"/>
      <c r="EI896" s="453"/>
      <c r="EJ896" s="453"/>
      <c r="EK896" s="453"/>
      <c r="EL896" s="453"/>
      <c r="EM896" s="483">
        <f t="shared" si="240"/>
        <v>587</v>
      </c>
      <c r="EN896" s="485"/>
      <c r="EO896" s="458"/>
      <c r="EP896" s="467"/>
      <c r="EQ896" s="457"/>
      <c r="ER896" s="808"/>
      <c r="ES896" s="881">
        <f t="shared" si="238"/>
        <v>0</v>
      </c>
      <c r="ET896" s="882"/>
      <c r="EU896" s="883"/>
      <c r="EV896" s="884">
        <f t="shared" si="239"/>
        <v>0</v>
      </c>
      <c r="EW896" s="885"/>
      <c r="EX896" s="885"/>
      <c r="EY896" s="885"/>
      <c r="EZ896" s="885"/>
      <c r="FA896" s="885"/>
      <c r="FB896" s="885"/>
      <c r="FC896" s="885"/>
      <c r="FD896" s="886"/>
      <c r="FE896" s="550"/>
      <c r="FF896" s="550"/>
      <c r="FG896" s="550"/>
      <c r="FH896" s="550"/>
      <c r="FI896" s="550"/>
      <c r="FJ896" s="550"/>
      <c r="FK896" s="550"/>
      <c r="FL896" s="555"/>
      <c r="FM896" s="554"/>
      <c r="FN896" s="554"/>
      <c r="FO896" s="554"/>
      <c r="FP896" s="554"/>
      <c r="FQ896" s="554"/>
      <c r="FR896" s="554"/>
      <c r="FS896" s="554"/>
      <c r="FT896" s="554"/>
      <c r="FU896" s="554"/>
      <c r="FV896" s="554"/>
      <c r="FW896" s="554"/>
      <c r="FX896" s="554"/>
      <c r="FY896" s="554"/>
      <c r="FZ896" s="554"/>
      <c r="GA896" s="554"/>
      <c r="GB896" s="556"/>
      <c r="GC896" s="370"/>
      <c r="GD896" s="453"/>
      <c r="GE896" s="453"/>
      <c r="GF896" s="453"/>
      <c r="GG896" s="453"/>
      <c r="GH896" s="454"/>
      <c r="GI896" s="453"/>
      <c r="GJ896" s="453"/>
      <c r="GK896" s="453"/>
      <c r="GL896" s="453"/>
      <c r="GM896" s="453"/>
      <c r="GN896" s="453"/>
      <c r="GO896" s="453"/>
      <c r="GP896" s="453"/>
      <c r="GQ896" s="453"/>
      <c r="GR896" s="453"/>
      <c r="GS896" s="561"/>
      <c r="GT896" s="475"/>
      <c r="GU896" s="472"/>
      <c r="GV896" s="453"/>
      <c r="GW896" s="453"/>
      <c r="GX896" s="869"/>
      <c r="GY896" s="870"/>
      <c r="GZ896" s="867"/>
      <c r="HA896" s="868"/>
      <c r="HB896" s="473"/>
      <c r="HC896" s="869"/>
      <c r="HD896" s="870"/>
      <c r="HE896" s="867"/>
      <c r="HF896" s="868"/>
      <c r="HG896" s="473"/>
      <c r="HH896" s="867"/>
      <c r="HI896" s="868"/>
      <c r="HJ896" s="867"/>
      <c r="HK896" s="868"/>
      <c r="HL896" s="370"/>
      <c r="HM896" s="865"/>
      <c r="HN896" s="866"/>
      <c r="HO896" s="865"/>
      <c r="HP896" s="866"/>
      <c r="HQ896" s="865"/>
      <c r="HR896" s="866"/>
      <c r="HS896" s="867"/>
      <c r="HT896" s="868"/>
      <c r="HU896" s="489"/>
      <c r="HV896" s="865"/>
      <c r="HW896" s="866"/>
    </row>
    <row r="897" spans="25:231" ht="15" customHeight="1">
      <c r="Y897" s="332"/>
      <c r="Z897" s="332"/>
      <c r="AA897" s="332"/>
      <c r="AB897" s="332"/>
      <c r="AC897" s="332"/>
      <c r="AD897" s="332"/>
      <c r="AE897" s="332"/>
      <c r="AF897" s="332"/>
      <c r="AG897" s="332"/>
      <c r="AH897" s="332"/>
      <c r="AI897" s="332"/>
      <c r="AJ897" s="332"/>
      <c r="AK897" s="332"/>
      <c r="AL897" s="332"/>
      <c r="AM897" s="332"/>
      <c r="AN897" s="332"/>
      <c r="AO897" s="332"/>
      <c r="AP897" s="332"/>
      <c r="AQ897" s="332"/>
      <c r="AR897" s="332"/>
      <c r="AS897" s="332"/>
      <c r="AT897" s="332"/>
      <c r="AU897" s="332"/>
      <c r="AV897" s="332"/>
      <c r="AW897" s="332"/>
      <c r="AX897" s="332"/>
      <c r="AY897" s="332"/>
      <c r="AZ897" s="332"/>
      <c r="BA897" s="332"/>
      <c r="BB897" s="332"/>
      <c r="BC897" s="332"/>
      <c r="BD897" s="332"/>
      <c r="BE897" s="332"/>
      <c r="BF897" s="332"/>
      <c r="BG897" s="332"/>
      <c r="BH897" s="332"/>
      <c r="BI897" s="332"/>
      <c r="BJ897" s="332"/>
      <c r="BK897" s="332"/>
      <c r="BL897" s="332"/>
      <c r="BM897" s="332"/>
      <c r="BN897" s="332"/>
      <c r="BO897" s="332"/>
      <c r="BP897" s="332"/>
      <c r="BQ897" s="332"/>
      <c r="BR897" s="332"/>
      <c r="BS897" s="332"/>
      <c r="BT897" s="332"/>
      <c r="BU897" s="332"/>
      <c r="BV897" s="332"/>
      <c r="BW897" s="332"/>
      <c r="BX897" s="332"/>
      <c r="BY897" s="332"/>
      <c r="BZ897" s="332"/>
      <c r="CA897" s="332"/>
      <c r="CB897" s="332"/>
      <c r="CC897" s="332"/>
      <c r="CD897" s="332"/>
      <c r="CE897" s="332"/>
      <c r="CF897" s="332"/>
      <c r="CG897" s="332"/>
      <c r="CH897" s="332"/>
      <c r="CI897" s="332"/>
      <c r="CJ897" s="332"/>
      <c r="CK897" s="332"/>
      <c r="CL897" s="332"/>
      <c r="CM897" s="332"/>
      <c r="CN897" s="332"/>
      <c r="CO897" s="332"/>
      <c r="CP897" s="332"/>
      <c r="CQ897" s="332"/>
      <c r="CR897" s="332"/>
      <c r="CS897" s="332"/>
      <c r="CT897" s="332"/>
      <c r="CU897" s="332"/>
      <c r="CV897" s="332"/>
      <c r="CW897" s="332"/>
      <c r="CX897" s="332"/>
      <c r="CY897" s="332"/>
      <c r="CZ897" s="332"/>
      <c r="DA897" s="332"/>
      <c r="DB897" s="332"/>
      <c r="DC897" s="332"/>
      <c r="DD897" s="332"/>
      <c r="DE897" s="332"/>
      <c r="DF897" s="332"/>
      <c r="DG897" s="332"/>
      <c r="DH897" s="332"/>
      <c r="DI897" s="332"/>
      <c r="DJ897" s="332"/>
      <c r="DK897" s="332"/>
      <c r="DL897" s="332"/>
      <c r="DM897" s="332"/>
      <c r="DN897" s="332"/>
      <c r="DO897" s="332"/>
      <c r="DP897" s="332"/>
      <c r="DQ897" s="332"/>
      <c r="DR897" s="332"/>
      <c r="DS897" s="332"/>
      <c r="DT897" s="332"/>
      <c r="DU897" s="453"/>
      <c r="DV897" s="453"/>
      <c r="DW897" s="453"/>
      <c r="DX897" s="453"/>
      <c r="DY897" s="453"/>
      <c r="DZ897" s="453"/>
      <c r="EA897" s="453"/>
      <c r="EB897" s="453"/>
      <c r="EC897" s="453"/>
      <c r="ED897" s="453"/>
      <c r="EE897" s="453"/>
      <c r="EF897" s="453"/>
      <c r="EG897" s="453"/>
      <c r="EH897" s="453"/>
      <c r="EI897" s="453"/>
      <c r="EJ897" s="453"/>
      <c r="EK897" s="453"/>
      <c r="EL897" s="453"/>
      <c r="EM897" s="483">
        <f t="shared" si="240"/>
        <v>588</v>
      </c>
      <c r="EN897" s="485"/>
      <c r="EO897" s="458"/>
      <c r="EP897" s="467"/>
      <c r="EQ897" s="457"/>
      <c r="ER897" s="808"/>
      <c r="ES897" s="881">
        <f t="shared" si="238"/>
        <v>0</v>
      </c>
      <c r="ET897" s="882"/>
      <c r="EU897" s="883"/>
      <c r="EV897" s="884">
        <f t="shared" si="239"/>
        <v>0</v>
      </c>
      <c r="EW897" s="885"/>
      <c r="EX897" s="885"/>
      <c r="EY897" s="885"/>
      <c r="EZ897" s="885"/>
      <c r="FA897" s="885"/>
      <c r="FB897" s="885"/>
      <c r="FC897" s="885"/>
      <c r="FD897" s="886"/>
      <c r="FE897" s="550"/>
      <c r="FF897" s="550"/>
      <c r="FG897" s="550"/>
      <c r="FH897" s="550"/>
      <c r="FI897" s="550"/>
      <c r="FJ897" s="550"/>
      <c r="FK897" s="550"/>
      <c r="FL897" s="555"/>
      <c r="FM897" s="554"/>
      <c r="FN897" s="554"/>
      <c r="FO897" s="554"/>
      <c r="FP897" s="554"/>
      <c r="FQ897" s="554"/>
      <c r="FR897" s="554"/>
      <c r="FS897" s="554"/>
      <c r="FT897" s="554"/>
      <c r="FU897" s="554"/>
      <c r="FV897" s="554"/>
      <c r="FW897" s="554"/>
      <c r="FX897" s="554"/>
      <c r="FY897" s="554"/>
      <c r="FZ897" s="554"/>
      <c r="GA897" s="554"/>
      <c r="GB897" s="556"/>
      <c r="GC897" s="370"/>
      <c r="GD897" s="453"/>
      <c r="GE897" s="453"/>
      <c r="GF897" s="453"/>
      <c r="GG897" s="453"/>
      <c r="GH897" s="454"/>
      <c r="GI897" s="453"/>
      <c r="GJ897" s="453"/>
      <c r="GK897" s="453"/>
      <c r="GL897" s="453"/>
      <c r="GM897" s="453"/>
      <c r="GN897" s="453"/>
      <c r="GO897" s="453"/>
      <c r="GP897" s="453"/>
      <c r="GQ897" s="453"/>
      <c r="GR897" s="453"/>
      <c r="GS897" s="561"/>
      <c r="GT897" s="475"/>
      <c r="GU897" s="472"/>
      <c r="GV897" s="453"/>
      <c r="GW897" s="453"/>
      <c r="GX897" s="869"/>
      <c r="GY897" s="870"/>
      <c r="GZ897" s="867"/>
      <c r="HA897" s="868"/>
      <c r="HB897" s="473"/>
      <c r="HC897" s="869"/>
      <c r="HD897" s="870"/>
      <c r="HE897" s="867"/>
      <c r="HF897" s="868"/>
      <c r="HG897" s="473"/>
      <c r="HH897" s="867"/>
      <c r="HI897" s="868"/>
      <c r="HJ897" s="867"/>
      <c r="HK897" s="868"/>
      <c r="HL897" s="370"/>
      <c r="HM897" s="865"/>
      <c r="HN897" s="866"/>
      <c r="HO897" s="865"/>
      <c r="HP897" s="866"/>
      <c r="HQ897" s="865"/>
      <c r="HR897" s="866"/>
      <c r="HS897" s="867"/>
      <c r="HT897" s="868"/>
      <c r="HU897" s="489"/>
      <c r="HV897" s="865"/>
      <c r="HW897" s="866"/>
    </row>
    <row r="898" spans="25:231" ht="15" customHeight="1">
      <c r="Y898" s="332"/>
      <c r="Z898" s="332"/>
      <c r="AA898" s="332"/>
      <c r="AB898" s="332"/>
      <c r="AC898" s="332"/>
      <c r="AD898" s="332"/>
      <c r="AE898" s="332"/>
      <c r="AF898" s="332"/>
      <c r="AG898" s="332"/>
      <c r="AH898" s="332"/>
      <c r="AI898" s="332"/>
      <c r="AJ898" s="332"/>
      <c r="AK898" s="332"/>
      <c r="AL898" s="332"/>
      <c r="AM898" s="332"/>
      <c r="AN898" s="332"/>
      <c r="AO898" s="332"/>
      <c r="AP898" s="332"/>
      <c r="AQ898" s="332"/>
      <c r="AR898" s="332"/>
      <c r="AS898" s="332"/>
      <c r="AT898" s="332"/>
      <c r="AU898" s="332"/>
      <c r="AV898" s="332"/>
      <c r="AW898" s="332"/>
      <c r="AX898" s="332"/>
      <c r="AY898" s="332"/>
      <c r="AZ898" s="332"/>
      <c r="BA898" s="332"/>
      <c r="BB898" s="332"/>
      <c r="BC898" s="332"/>
      <c r="BD898" s="332"/>
      <c r="BE898" s="332"/>
      <c r="BF898" s="332"/>
      <c r="BG898" s="332"/>
      <c r="BH898" s="332"/>
      <c r="BI898" s="332"/>
      <c r="BJ898" s="332"/>
      <c r="BK898" s="332"/>
      <c r="BL898" s="332"/>
      <c r="BM898" s="332"/>
      <c r="BN898" s="332"/>
      <c r="BO898" s="332"/>
      <c r="BP898" s="332"/>
      <c r="BQ898" s="332"/>
      <c r="BR898" s="332"/>
      <c r="BS898" s="332"/>
      <c r="BT898" s="332"/>
      <c r="BU898" s="332"/>
      <c r="BV898" s="332"/>
      <c r="BW898" s="332"/>
      <c r="BX898" s="332"/>
      <c r="BY898" s="332"/>
      <c r="BZ898" s="332"/>
      <c r="CA898" s="332"/>
      <c r="CB898" s="332"/>
      <c r="CC898" s="332"/>
      <c r="CD898" s="332"/>
      <c r="CE898" s="332"/>
      <c r="CF898" s="332"/>
      <c r="CG898" s="332"/>
      <c r="CH898" s="332"/>
      <c r="CI898" s="332"/>
      <c r="CJ898" s="332"/>
      <c r="CK898" s="332"/>
      <c r="CL898" s="332"/>
      <c r="CM898" s="332"/>
      <c r="CN898" s="332"/>
      <c r="CO898" s="332"/>
      <c r="CP898" s="332"/>
      <c r="CQ898" s="332"/>
      <c r="CR898" s="332"/>
      <c r="CS898" s="332"/>
      <c r="CT898" s="332"/>
      <c r="CU898" s="332"/>
      <c r="CV898" s="332"/>
      <c r="CW898" s="332"/>
      <c r="CX898" s="332"/>
      <c r="CY898" s="332"/>
      <c r="CZ898" s="332"/>
      <c r="DA898" s="332"/>
      <c r="DB898" s="332"/>
      <c r="DC898" s="332"/>
      <c r="DD898" s="332"/>
      <c r="DE898" s="332"/>
      <c r="DF898" s="332"/>
      <c r="DG898" s="332"/>
      <c r="DH898" s="332"/>
      <c r="DI898" s="332"/>
      <c r="DJ898" s="332"/>
      <c r="DK898" s="332"/>
      <c r="DL898" s="332"/>
      <c r="DM898" s="332"/>
      <c r="DN898" s="332"/>
      <c r="DO898" s="332"/>
      <c r="DP898" s="332"/>
      <c r="DQ898" s="332"/>
      <c r="DR898" s="332"/>
      <c r="DS898" s="332"/>
      <c r="DT898" s="332"/>
      <c r="DU898" s="453"/>
      <c r="DV898" s="453"/>
      <c r="DW898" s="453"/>
      <c r="DX898" s="453"/>
      <c r="DY898" s="453"/>
      <c r="DZ898" s="453"/>
      <c r="EA898" s="453"/>
      <c r="EB898" s="453"/>
      <c r="EC898" s="453"/>
      <c r="ED898" s="453"/>
      <c r="EE898" s="453"/>
      <c r="EF898" s="453"/>
      <c r="EG898" s="453"/>
      <c r="EH898" s="453"/>
      <c r="EI898" s="453"/>
      <c r="EJ898" s="453"/>
      <c r="EK898" s="453"/>
      <c r="EL898" s="453"/>
      <c r="EM898" s="483">
        <f t="shared" si="240"/>
        <v>589</v>
      </c>
      <c r="EN898" s="485"/>
      <c r="EO898" s="458"/>
      <c r="EP898" s="467"/>
      <c r="EQ898" s="457"/>
      <c r="ER898" s="808"/>
      <c r="ES898" s="881">
        <f t="shared" si="238"/>
        <v>0</v>
      </c>
      <c r="ET898" s="882"/>
      <c r="EU898" s="883"/>
      <c r="EV898" s="884">
        <f t="shared" si="239"/>
        <v>0</v>
      </c>
      <c r="EW898" s="885"/>
      <c r="EX898" s="885"/>
      <c r="EY898" s="885"/>
      <c r="EZ898" s="885"/>
      <c r="FA898" s="885"/>
      <c r="FB898" s="885"/>
      <c r="FC898" s="885"/>
      <c r="FD898" s="886"/>
      <c r="FE898" s="550"/>
      <c r="FF898" s="550"/>
      <c r="FG898" s="550"/>
      <c r="FH898" s="550"/>
      <c r="FI898" s="550"/>
      <c r="FJ898" s="550"/>
      <c r="FK898" s="550"/>
      <c r="FL898" s="555"/>
      <c r="FM898" s="554"/>
      <c r="FN898" s="554"/>
      <c r="FO898" s="554"/>
      <c r="FP898" s="554"/>
      <c r="FQ898" s="554"/>
      <c r="FR898" s="554"/>
      <c r="FS898" s="554"/>
      <c r="FT898" s="554"/>
      <c r="FU898" s="554"/>
      <c r="FV898" s="554"/>
      <c r="FW898" s="554"/>
      <c r="FX898" s="554"/>
      <c r="FY898" s="554"/>
      <c r="FZ898" s="554"/>
      <c r="GA898" s="554"/>
      <c r="GB898" s="556"/>
      <c r="GC898" s="370"/>
      <c r="GD898" s="453"/>
      <c r="GE898" s="453"/>
      <c r="GF898" s="453"/>
      <c r="GG898" s="453"/>
      <c r="GH898" s="454"/>
      <c r="GI898" s="453"/>
      <c r="GJ898" s="453"/>
      <c r="GK898" s="453"/>
      <c r="GL898" s="453"/>
      <c r="GM898" s="453"/>
      <c r="GN898" s="453"/>
      <c r="GO898" s="453"/>
      <c r="GP898" s="453"/>
      <c r="GQ898" s="453"/>
      <c r="GR898" s="453"/>
      <c r="GS898" s="561"/>
      <c r="GT898" s="475"/>
      <c r="GU898" s="472"/>
      <c r="GV898" s="453"/>
      <c r="GW898" s="453"/>
      <c r="GX898" s="869"/>
      <c r="GY898" s="870"/>
      <c r="GZ898" s="867"/>
      <c r="HA898" s="868"/>
      <c r="HB898" s="473"/>
      <c r="HC898" s="869"/>
      <c r="HD898" s="870"/>
      <c r="HE898" s="867"/>
      <c r="HF898" s="868"/>
      <c r="HG898" s="473"/>
      <c r="HH898" s="867"/>
      <c r="HI898" s="868"/>
      <c r="HJ898" s="867"/>
      <c r="HK898" s="868"/>
      <c r="HL898" s="370"/>
      <c r="HM898" s="865"/>
      <c r="HN898" s="866"/>
      <c r="HO898" s="865"/>
      <c r="HP898" s="866"/>
      <c r="HQ898" s="865"/>
      <c r="HR898" s="866"/>
      <c r="HS898" s="867"/>
      <c r="HT898" s="868"/>
      <c r="HU898" s="489"/>
      <c r="HV898" s="865"/>
      <c r="HW898" s="866"/>
    </row>
    <row r="899" spans="25:231" ht="15" customHeight="1">
      <c r="Y899" s="332"/>
      <c r="Z899" s="332"/>
      <c r="AA899" s="332"/>
      <c r="AB899" s="332"/>
      <c r="AC899" s="332"/>
      <c r="AD899" s="332"/>
      <c r="AE899" s="332"/>
      <c r="AF899" s="332"/>
      <c r="AG899" s="332"/>
      <c r="AH899" s="332"/>
      <c r="AI899" s="332"/>
      <c r="AJ899" s="332"/>
      <c r="AK899" s="332"/>
      <c r="AL899" s="332"/>
      <c r="AM899" s="332"/>
      <c r="AN899" s="332"/>
      <c r="AO899" s="332"/>
      <c r="AP899" s="332"/>
      <c r="AQ899" s="332"/>
      <c r="AR899" s="332"/>
      <c r="AS899" s="332"/>
      <c r="AT899" s="332"/>
      <c r="AU899" s="332"/>
      <c r="AV899" s="332"/>
      <c r="AW899" s="332"/>
      <c r="AX899" s="332"/>
      <c r="AY899" s="332"/>
      <c r="AZ899" s="332"/>
      <c r="BA899" s="332"/>
      <c r="BB899" s="332"/>
      <c r="BC899" s="332"/>
      <c r="BD899" s="332"/>
      <c r="BE899" s="332"/>
      <c r="BF899" s="332"/>
      <c r="BG899" s="332"/>
      <c r="BH899" s="332"/>
      <c r="BI899" s="332"/>
      <c r="BJ899" s="332"/>
      <c r="BK899" s="332"/>
      <c r="BL899" s="332"/>
      <c r="BM899" s="332"/>
      <c r="BN899" s="332"/>
      <c r="BO899" s="332"/>
      <c r="BP899" s="332"/>
      <c r="BQ899" s="332"/>
      <c r="BR899" s="332"/>
      <c r="BS899" s="332"/>
      <c r="BT899" s="332"/>
      <c r="BU899" s="332"/>
      <c r="BV899" s="332"/>
      <c r="BW899" s="332"/>
      <c r="BX899" s="332"/>
      <c r="BY899" s="332"/>
      <c r="BZ899" s="332"/>
      <c r="CA899" s="332"/>
      <c r="CB899" s="332"/>
      <c r="CC899" s="332"/>
      <c r="CD899" s="332"/>
      <c r="CE899" s="332"/>
      <c r="CF899" s="332"/>
      <c r="CG899" s="332"/>
      <c r="CH899" s="332"/>
      <c r="CI899" s="332"/>
      <c r="CJ899" s="332"/>
      <c r="CK899" s="332"/>
      <c r="CL899" s="332"/>
      <c r="CM899" s="332"/>
      <c r="CN899" s="332"/>
      <c r="CO899" s="332"/>
      <c r="CP899" s="332"/>
      <c r="CQ899" s="332"/>
      <c r="CR899" s="332"/>
      <c r="CS899" s="332"/>
      <c r="CT899" s="332"/>
      <c r="CU899" s="332"/>
      <c r="CV899" s="332"/>
      <c r="CW899" s="332"/>
      <c r="CX899" s="332"/>
      <c r="CY899" s="332"/>
      <c r="CZ899" s="332"/>
      <c r="DA899" s="332"/>
      <c r="DB899" s="332"/>
      <c r="DC899" s="332"/>
      <c r="DD899" s="332"/>
      <c r="DE899" s="332"/>
      <c r="DF899" s="332"/>
      <c r="DG899" s="332"/>
      <c r="DH899" s="332"/>
      <c r="DI899" s="332"/>
      <c r="DJ899" s="332"/>
      <c r="DK899" s="332"/>
      <c r="DL899" s="332"/>
      <c r="DM899" s="332"/>
      <c r="DN899" s="332"/>
      <c r="DO899" s="332"/>
      <c r="DP899" s="332"/>
      <c r="DQ899" s="332"/>
      <c r="DR899" s="332"/>
      <c r="DS899" s="332"/>
      <c r="DT899" s="332"/>
      <c r="DU899" s="453"/>
      <c r="DV899" s="453"/>
      <c r="DW899" s="453"/>
      <c r="DX899" s="453"/>
      <c r="DY899" s="453"/>
      <c r="DZ899" s="453"/>
      <c r="EA899" s="453"/>
      <c r="EB899" s="453"/>
      <c r="EC899" s="453"/>
      <c r="ED899" s="453"/>
      <c r="EE899" s="453"/>
      <c r="EF899" s="453"/>
      <c r="EG899" s="453"/>
      <c r="EH899" s="453"/>
      <c r="EI899" s="453"/>
      <c r="EJ899" s="453"/>
      <c r="EK899" s="453"/>
      <c r="EL899" s="453"/>
      <c r="EM899" s="483">
        <f t="shared" si="240"/>
        <v>590</v>
      </c>
      <c r="EN899" s="485"/>
      <c r="EO899" s="458"/>
      <c r="EP899" s="467"/>
      <c r="EQ899" s="457"/>
      <c r="ER899" s="808"/>
      <c r="ES899" s="881">
        <f t="shared" si="238"/>
        <v>0</v>
      </c>
      <c r="ET899" s="882"/>
      <c r="EU899" s="883"/>
      <c r="EV899" s="884">
        <f t="shared" si="239"/>
        <v>0</v>
      </c>
      <c r="EW899" s="885"/>
      <c r="EX899" s="885"/>
      <c r="EY899" s="885"/>
      <c r="EZ899" s="885"/>
      <c r="FA899" s="885"/>
      <c r="FB899" s="885"/>
      <c r="FC899" s="885"/>
      <c r="FD899" s="886"/>
      <c r="FE899" s="550"/>
      <c r="FF899" s="550"/>
      <c r="FG899" s="550"/>
      <c r="FH899" s="550"/>
      <c r="FI899" s="550"/>
      <c r="FJ899" s="550"/>
      <c r="FK899" s="550"/>
      <c r="FL899" s="555"/>
      <c r="FM899" s="554"/>
      <c r="FN899" s="554"/>
      <c r="FO899" s="554"/>
      <c r="FP899" s="554"/>
      <c r="FQ899" s="554"/>
      <c r="FR899" s="554"/>
      <c r="FS899" s="554"/>
      <c r="FT899" s="554"/>
      <c r="FU899" s="554"/>
      <c r="FV899" s="554"/>
      <c r="FW899" s="554"/>
      <c r="FX899" s="554"/>
      <c r="FY899" s="554"/>
      <c r="FZ899" s="554"/>
      <c r="GA899" s="554"/>
      <c r="GB899" s="556"/>
      <c r="GC899" s="370"/>
      <c r="GD899" s="453"/>
      <c r="GE899" s="453"/>
      <c r="GF899" s="453"/>
      <c r="GG899" s="453"/>
      <c r="GH899" s="454"/>
      <c r="GI899" s="453"/>
      <c r="GJ899" s="453"/>
      <c r="GK899" s="453"/>
      <c r="GL899" s="453"/>
      <c r="GM899" s="453"/>
      <c r="GN899" s="453"/>
      <c r="GO899" s="453"/>
      <c r="GP899" s="453"/>
      <c r="GQ899" s="453"/>
      <c r="GR899" s="453"/>
      <c r="GS899" s="561"/>
      <c r="GT899" s="475"/>
      <c r="GU899" s="472"/>
      <c r="GV899" s="453"/>
      <c r="GW899" s="453"/>
      <c r="GX899" s="869"/>
      <c r="GY899" s="870"/>
      <c r="GZ899" s="867"/>
      <c r="HA899" s="868"/>
      <c r="HB899" s="473"/>
      <c r="HC899" s="869"/>
      <c r="HD899" s="870"/>
      <c r="HE899" s="867"/>
      <c r="HF899" s="868"/>
      <c r="HG899" s="473"/>
      <c r="HH899" s="867"/>
      <c r="HI899" s="868"/>
      <c r="HJ899" s="867"/>
      <c r="HK899" s="868"/>
      <c r="HL899" s="370"/>
      <c r="HM899" s="865"/>
      <c r="HN899" s="866"/>
      <c r="HO899" s="865"/>
      <c r="HP899" s="866"/>
      <c r="HQ899" s="865"/>
      <c r="HR899" s="866"/>
      <c r="HS899" s="867"/>
      <c r="HT899" s="868"/>
      <c r="HU899" s="489"/>
      <c r="HV899" s="865"/>
      <c r="HW899" s="866"/>
    </row>
    <row r="900" spans="25:231" ht="15" customHeight="1">
      <c r="Y900" s="332"/>
      <c r="Z900" s="332"/>
      <c r="AA900" s="332"/>
      <c r="AB900" s="332"/>
      <c r="AC900" s="332"/>
      <c r="AD900" s="332"/>
      <c r="AE900" s="332"/>
      <c r="AF900" s="332"/>
      <c r="AG900" s="332"/>
      <c r="AH900" s="332"/>
      <c r="AI900" s="332"/>
      <c r="AJ900" s="332"/>
      <c r="AK900" s="332"/>
      <c r="AL900" s="332"/>
      <c r="AM900" s="332"/>
      <c r="AN900" s="332"/>
      <c r="AO900" s="332"/>
      <c r="AP900" s="332"/>
      <c r="AQ900" s="332"/>
      <c r="AR900" s="332"/>
      <c r="AS900" s="332"/>
      <c r="AT900" s="332"/>
      <c r="AU900" s="332"/>
      <c r="AV900" s="332"/>
      <c r="AW900" s="332"/>
      <c r="AX900" s="332"/>
      <c r="AY900" s="332"/>
      <c r="AZ900" s="332"/>
      <c r="BA900" s="332"/>
      <c r="BB900" s="332"/>
      <c r="BC900" s="332"/>
      <c r="BD900" s="332"/>
      <c r="BE900" s="332"/>
      <c r="BF900" s="332"/>
      <c r="BG900" s="332"/>
      <c r="BH900" s="332"/>
      <c r="BI900" s="332"/>
      <c r="BJ900" s="332"/>
      <c r="BK900" s="332"/>
      <c r="BL900" s="332"/>
      <c r="BM900" s="332"/>
      <c r="BN900" s="332"/>
      <c r="BO900" s="332"/>
      <c r="BP900" s="332"/>
      <c r="BQ900" s="332"/>
      <c r="BR900" s="332"/>
      <c r="BS900" s="332"/>
      <c r="BT900" s="332"/>
      <c r="BU900" s="332"/>
      <c r="BV900" s="332"/>
      <c r="BW900" s="332"/>
      <c r="BX900" s="332"/>
      <c r="BY900" s="332"/>
      <c r="BZ900" s="332"/>
      <c r="CA900" s="332"/>
      <c r="CB900" s="332"/>
      <c r="CC900" s="332"/>
      <c r="CD900" s="332"/>
      <c r="CE900" s="332"/>
      <c r="CF900" s="332"/>
      <c r="CG900" s="332"/>
      <c r="CH900" s="332"/>
      <c r="CI900" s="332"/>
      <c r="CJ900" s="332"/>
      <c r="CK900" s="332"/>
      <c r="CL900" s="332"/>
      <c r="CM900" s="332"/>
      <c r="CN900" s="332"/>
      <c r="CO900" s="332"/>
      <c r="CP900" s="332"/>
      <c r="CQ900" s="332"/>
      <c r="CR900" s="332"/>
      <c r="CS900" s="332"/>
      <c r="CT900" s="332"/>
      <c r="CU900" s="332"/>
      <c r="CV900" s="332"/>
      <c r="CW900" s="332"/>
      <c r="CX900" s="332"/>
      <c r="CY900" s="332"/>
      <c r="CZ900" s="332"/>
      <c r="DA900" s="332"/>
      <c r="DB900" s="332"/>
      <c r="DC900" s="332"/>
      <c r="DD900" s="332"/>
      <c r="DE900" s="332"/>
      <c r="DF900" s="332"/>
      <c r="DG900" s="332"/>
      <c r="DH900" s="332"/>
      <c r="DI900" s="332"/>
      <c r="DJ900" s="332"/>
      <c r="DK900" s="332"/>
      <c r="DL900" s="332"/>
      <c r="DM900" s="332"/>
      <c r="DN900" s="332"/>
      <c r="DO900" s="332"/>
      <c r="DP900" s="332"/>
      <c r="DQ900" s="332"/>
      <c r="DR900" s="332"/>
      <c r="DS900" s="332"/>
      <c r="DT900" s="332"/>
      <c r="DU900" s="453"/>
      <c r="DV900" s="453"/>
      <c r="DW900" s="453"/>
      <c r="DX900" s="453"/>
      <c r="DY900" s="453"/>
      <c r="DZ900" s="453"/>
      <c r="EA900" s="453"/>
      <c r="EB900" s="453"/>
      <c r="EC900" s="453"/>
      <c r="ED900" s="453"/>
      <c r="EE900" s="453"/>
      <c r="EF900" s="453"/>
      <c r="EG900" s="453"/>
      <c r="EH900" s="453"/>
      <c r="EI900" s="453"/>
      <c r="EJ900" s="453"/>
      <c r="EK900" s="453"/>
      <c r="EL900" s="453"/>
      <c r="EM900" s="483">
        <f t="shared" si="240"/>
        <v>591</v>
      </c>
      <c r="EN900" s="485"/>
      <c r="EO900" s="458"/>
      <c r="EP900" s="467"/>
      <c r="EQ900" s="457"/>
      <c r="ER900" s="808"/>
      <c r="ES900" s="881">
        <f t="shared" si="238"/>
        <v>0</v>
      </c>
      <c r="ET900" s="882"/>
      <c r="EU900" s="883"/>
      <c r="EV900" s="884">
        <f t="shared" si="239"/>
        <v>0</v>
      </c>
      <c r="EW900" s="885"/>
      <c r="EX900" s="885"/>
      <c r="EY900" s="885"/>
      <c r="EZ900" s="885"/>
      <c r="FA900" s="885"/>
      <c r="FB900" s="885"/>
      <c r="FC900" s="885"/>
      <c r="FD900" s="886"/>
      <c r="FE900" s="550"/>
      <c r="FF900" s="550"/>
      <c r="FG900" s="550"/>
      <c r="FH900" s="550"/>
      <c r="FI900" s="550"/>
      <c r="FJ900" s="550"/>
      <c r="FK900" s="550"/>
      <c r="FL900" s="555"/>
      <c r="FM900" s="554"/>
      <c r="FN900" s="554"/>
      <c r="FO900" s="554"/>
      <c r="FP900" s="554"/>
      <c r="FQ900" s="554"/>
      <c r="FR900" s="554"/>
      <c r="FS900" s="554"/>
      <c r="FT900" s="554"/>
      <c r="FU900" s="554"/>
      <c r="FV900" s="554"/>
      <c r="FW900" s="554"/>
      <c r="FX900" s="554"/>
      <c r="FY900" s="554"/>
      <c r="FZ900" s="554"/>
      <c r="GA900" s="554"/>
      <c r="GB900" s="556"/>
      <c r="GC900" s="370"/>
      <c r="GD900" s="453"/>
      <c r="GE900" s="453"/>
      <c r="GF900" s="453"/>
      <c r="GG900" s="453"/>
      <c r="GH900" s="454"/>
      <c r="GI900" s="453"/>
      <c r="GJ900" s="453"/>
      <c r="GK900" s="453"/>
      <c r="GL900" s="453"/>
      <c r="GM900" s="453"/>
      <c r="GN900" s="453"/>
      <c r="GO900" s="453"/>
      <c r="GP900" s="453"/>
      <c r="GQ900" s="453"/>
      <c r="GR900" s="453"/>
      <c r="GS900" s="561"/>
      <c r="GT900" s="475"/>
      <c r="GU900" s="472"/>
      <c r="GV900" s="453"/>
      <c r="GW900" s="453"/>
      <c r="GX900" s="869"/>
      <c r="GY900" s="870"/>
      <c r="GZ900" s="867"/>
      <c r="HA900" s="868"/>
      <c r="HB900" s="473"/>
      <c r="HC900" s="869"/>
      <c r="HD900" s="870"/>
      <c r="HE900" s="867"/>
      <c r="HF900" s="868"/>
      <c r="HG900" s="473"/>
      <c r="HH900" s="867"/>
      <c r="HI900" s="868"/>
      <c r="HJ900" s="867"/>
      <c r="HK900" s="868"/>
      <c r="HL900" s="370"/>
      <c r="HM900" s="865"/>
      <c r="HN900" s="866"/>
      <c r="HO900" s="865"/>
      <c r="HP900" s="866"/>
      <c r="HQ900" s="865"/>
      <c r="HR900" s="866"/>
      <c r="HS900" s="867"/>
      <c r="HT900" s="868"/>
      <c r="HU900" s="489"/>
      <c r="HV900" s="865"/>
      <c r="HW900" s="866"/>
    </row>
    <row r="901" spans="25:231" ht="15" customHeight="1">
      <c r="Y901" s="332"/>
      <c r="Z901" s="332"/>
      <c r="AA901" s="332"/>
      <c r="AB901" s="332"/>
      <c r="AC901" s="332"/>
      <c r="AD901" s="332"/>
      <c r="AE901" s="332"/>
      <c r="AF901" s="332"/>
      <c r="AG901" s="332"/>
      <c r="AH901" s="332"/>
      <c r="AI901" s="332"/>
      <c r="AJ901" s="332"/>
      <c r="AK901" s="332"/>
      <c r="AL901" s="332"/>
      <c r="AM901" s="332"/>
      <c r="AN901" s="332"/>
      <c r="AO901" s="332"/>
      <c r="AP901" s="332"/>
      <c r="AQ901" s="332"/>
      <c r="AR901" s="332"/>
      <c r="AS901" s="332"/>
      <c r="AT901" s="332"/>
      <c r="AU901" s="332"/>
      <c r="AV901" s="332"/>
      <c r="AW901" s="332"/>
      <c r="AX901" s="332"/>
      <c r="AY901" s="332"/>
      <c r="AZ901" s="332"/>
      <c r="BA901" s="332"/>
      <c r="BB901" s="332"/>
      <c r="BC901" s="332"/>
      <c r="BD901" s="332"/>
      <c r="BE901" s="332"/>
      <c r="BF901" s="332"/>
      <c r="BG901" s="332"/>
      <c r="BH901" s="332"/>
      <c r="BI901" s="332"/>
      <c r="BJ901" s="332"/>
      <c r="BK901" s="332"/>
      <c r="BL901" s="332"/>
      <c r="BM901" s="332"/>
      <c r="BN901" s="332"/>
      <c r="BO901" s="332"/>
      <c r="BP901" s="332"/>
      <c r="BQ901" s="332"/>
      <c r="BR901" s="332"/>
      <c r="BS901" s="332"/>
      <c r="BT901" s="332"/>
      <c r="BU901" s="332"/>
      <c r="BV901" s="332"/>
      <c r="BW901" s="332"/>
      <c r="BX901" s="332"/>
      <c r="BY901" s="332"/>
      <c r="BZ901" s="332"/>
      <c r="CA901" s="332"/>
      <c r="CB901" s="332"/>
      <c r="CC901" s="332"/>
      <c r="CD901" s="332"/>
      <c r="CE901" s="332"/>
      <c r="CF901" s="332"/>
      <c r="CG901" s="332"/>
      <c r="CH901" s="332"/>
      <c r="CI901" s="332"/>
      <c r="CJ901" s="332"/>
      <c r="CK901" s="332"/>
      <c r="CL901" s="332"/>
      <c r="CM901" s="332"/>
      <c r="CN901" s="332"/>
      <c r="CO901" s="332"/>
      <c r="CP901" s="332"/>
      <c r="CQ901" s="332"/>
      <c r="CR901" s="332"/>
      <c r="CS901" s="332"/>
      <c r="CT901" s="332"/>
      <c r="CU901" s="332"/>
      <c r="CV901" s="332"/>
      <c r="CW901" s="332"/>
      <c r="CX901" s="332"/>
      <c r="CY901" s="332"/>
      <c r="CZ901" s="332"/>
      <c r="DA901" s="332"/>
      <c r="DB901" s="332"/>
      <c r="DC901" s="332"/>
      <c r="DD901" s="332"/>
      <c r="DE901" s="332"/>
      <c r="DF901" s="332"/>
      <c r="DG901" s="332"/>
      <c r="DH901" s="332"/>
      <c r="DI901" s="332"/>
      <c r="DJ901" s="332"/>
      <c r="DK901" s="332"/>
      <c r="DL901" s="332"/>
      <c r="DM901" s="332"/>
      <c r="DN901" s="332"/>
      <c r="DO901" s="332"/>
      <c r="DP901" s="332"/>
      <c r="DQ901" s="332"/>
      <c r="DR901" s="332"/>
      <c r="DS901" s="332"/>
      <c r="DT901" s="332"/>
      <c r="DU901" s="453"/>
      <c r="DV901" s="453"/>
      <c r="DW901" s="453"/>
      <c r="DX901" s="453"/>
      <c r="DY901" s="453"/>
      <c r="DZ901" s="453"/>
      <c r="EA901" s="453"/>
      <c r="EB901" s="453"/>
      <c r="EC901" s="453"/>
      <c r="ED901" s="453"/>
      <c r="EE901" s="453"/>
      <c r="EF901" s="453"/>
      <c r="EG901" s="453"/>
      <c r="EH901" s="453"/>
      <c r="EI901" s="453"/>
      <c r="EJ901" s="453"/>
      <c r="EK901" s="453"/>
      <c r="EL901" s="453"/>
      <c r="EM901" s="483">
        <f t="shared" si="240"/>
        <v>592</v>
      </c>
      <c r="EN901" s="485"/>
      <c r="EO901" s="458"/>
      <c r="EP901" s="467"/>
      <c r="EQ901" s="457"/>
      <c r="ER901" s="808"/>
      <c r="ES901" s="881">
        <f t="shared" si="238"/>
        <v>0</v>
      </c>
      <c r="ET901" s="882"/>
      <c r="EU901" s="883"/>
      <c r="EV901" s="884">
        <f t="shared" si="239"/>
        <v>0</v>
      </c>
      <c r="EW901" s="885"/>
      <c r="EX901" s="885"/>
      <c r="EY901" s="885"/>
      <c r="EZ901" s="885"/>
      <c r="FA901" s="885"/>
      <c r="FB901" s="885"/>
      <c r="FC901" s="885"/>
      <c r="FD901" s="886"/>
      <c r="FE901" s="550"/>
      <c r="FF901" s="550"/>
      <c r="FG901" s="550"/>
      <c r="FH901" s="550"/>
      <c r="FI901" s="550"/>
      <c r="FJ901" s="550"/>
      <c r="FK901" s="550"/>
      <c r="FL901" s="555"/>
      <c r="FM901" s="554"/>
      <c r="FN901" s="554"/>
      <c r="FO901" s="554"/>
      <c r="FP901" s="554"/>
      <c r="FQ901" s="554"/>
      <c r="FR901" s="554"/>
      <c r="FS901" s="554"/>
      <c r="FT901" s="554"/>
      <c r="FU901" s="554"/>
      <c r="FV901" s="554"/>
      <c r="FW901" s="554"/>
      <c r="FX901" s="554"/>
      <c r="FY901" s="554"/>
      <c r="FZ901" s="554"/>
      <c r="GA901" s="554"/>
      <c r="GB901" s="556"/>
      <c r="GC901" s="370"/>
      <c r="GD901" s="453"/>
      <c r="GE901" s="453"/>
      <c r="GF901" s="453"/>
      <c r="GG901" s="453"/>
      <c r="GH901" s="454"/>
      <c r="GI901" s="453"/>
      <c r="GJ901" s="453"/>
      <c r="GK901" s="453"/>
      <c r="GL901" s="453"/>
      <c r="GM901" s="453"/>
      <c r="GN901" s="453"/>
      <c r="GO901" s="453"/>
      <c r="GP901" s="453"/>
      <c r="GQ901" s="453"/>
      <c r="GR901" s="453"/>
      <c r="GS901" s="561"/>
      <c r="GT901" s="475"/>
      <c r="GU901" s="472"/>
      <c r="GV901" s="453"/>
      <c r="GW901" s="453"/>
      <c r="GX901" s="869"/>
      <c r="GY901" s="870"/>
      <c r="GZ901" s="867"/>
      <c r="HA901" s="868"/>
      <c r="HB901" s="473"/>
      <c r="HC901" s="869"/>
      <c r="HD901" s="870"/>
      <c r="HE901" s="867"/>
      <c r="HF901" s="868"/>
      <c r="HG901" s="473"/>
      <c r="HH901" s="867"/>
      <c r="HI901" s="868"/>
      <c r="HJ901" s="867"/>
      <c r="HK901" s="868"/>
      <c r="HL901" s="370"/>
      <c r="HM901" s="865"/>
      <c r="HN901" s="866"/>
      <c r="HO901" s="865"/>
      <c r="HP901" s="866"/>
      <c r="HQ901" s="865"/>
      <c r="HR901" s="866"/>
      <c r="HS901" s="867"/>
      <c r="HT901" s="868"/>
      <c r="HU901" s="489"/>
      <c r="HV901" s="865"/>
      <c r="HW901" s="866"/>
    </row>
    <row r="902" spans="25:231" ht="15" customHeight="1">
      <c r="Y902" s="332"/>
      <c r="Z902" s="332"/>
      <c r="AA902" s="332"/>
      <c r="AB902" s="332"/>
      <c r="AC902" s="332"/>
      <c r="AD902" s="332"/>
      <c r="AE902" s="332"/>
      <c r="AF902" s="332"/>
      <c r="AG902" s="332"/>
      <c r="AH902" s="332"/>
      <c r="AI902" s="332"/>
      <c r="AJ902" s="332"/>
      <c r="AK902" s="332"/>
      <c r="AL902" s="332"/>
      <c r="AM902" s="332"/>
      <c r="AN902" s="332"/>
      <c r="AO902" s="332"/>
      <c r="AP902" s="332"/>
      <c r="AQ902" s="332"/>
      <c r="AR902" s="332"/>
      <c r="AS902" s="332"/>
      <c r="AT902" s="332"/>
      <c r="AU902" s="332"/>
      <c r="AV902" s="332"/>
      <c r="AW902" s="332"/>
      <c r="AX902" s="332"/>
      <c r="AY902" s="332"/>
      <c r="AZ902" s="332"/>
      <c r="BA902" s="332"/>
      <c r="BB902" s="332"/>
      <c r="BC902" s="332"/>
      <c r="BD902" s="332"/>
      <c r="BE902" s="332"/>
      <c r="BF902" s="332"/>
      <c r="BG902" s="332"/>
      <c r="BH902" s="332"/>
      <c r="BI902" s="332"/>
      <c r="BJ902" s="332"/>
      <c r="BK902" s="332"/>
      <c r="BL902" s="332"/>
      <c r="BM902" s="332"/>
      <c r="BN902" s="332"/>
      <c r="BO902" s="332"/>
      <c r="BP902" s="332"/>
      <c r="BQ902" s="332"/>
      <c r="BR902" s="332"/>
      <c r="BS902" s="332"/>
      <c r="BT902" s="332"/>
      <c r="BU902" s="332"/>
      <c r="BV902" s="332"/>
      <c r="BW902" s="332"/>
      <c r="BX902" s="332"/>
      <c r="BY902" s="332"/>
      <c r="BZ902" s="332"/>
      <c r="CA902" s="332"/>
      <c r="CB902" s="332"/>
      <c r="CC902" s="332"/>
      <c r="CD902" s="332"/>
      <c r="CE902" s="332"/>
      <c r="CF902" s="332"/>
      <c r="CG902" s="332"/>
      <c r="CH902" s="332"/>
      <c r="CI902" s="332"/>
      <c r="CJ902" s="332"/>
      <c r="CK902" s="332"/>
      <c r="CL902" s="332"/>
      <c r="CM902" s="332"/>
      <c r="CN902" s="332"/>
      <c r="CO902" s="332"/>
      <c r="CP902" s="332"/>
      <c r="CQ902" s="332"/>
      <c r="CR902" s="332"/>
      <c r="CS902" s="332"/>
      <c r="CT902" s="332"/>
      <c r="CU902" s="332"/>
      <c r="CV902" s="332"/>
      <c r="CW902" s="332"/>
      <c r="CX902" s="332"/>
      <c r="CY902" s="332"/>
      <c r="CZ902" s="332"/>
      <c r="DA902" s="332"/>
      <c r="DB902" s="332"/>
      <c r="DC902" s="332"/>
      <c r="DD902" s="332"/>
      <c r="DE902" s="332"/>
      <c r="DF902" s="332"/>
      <c r="DG902" s="332"/>
      <c r="DH902" s="332"/>
      <c r="DI902" s="332"/>
      <c r="DJ902" s="332"/>
      <c r="DK902" s="332"/>
      <c r="DL902" s="332"/>
      <c r="DM902" s="332"/>
      <c r="DN902" s="332"/>
      <c r="DO902" s="332"/>
      <c r="DP902" s="332"/>
      <c r="DQ902" s="332"/>
      <c r="DR902" s="332"/>
      <c r="DS902" s="332"/>
      <c r="DT902" s="332"/>
      <c r="DU902" s="453"/>
      <c r="DV902" s="453"/>
      <c r="DW902" s="453"/>
      <c r="DX902" s="453"/>
      <c r="DY902" s="453"/>
      <c r="DZ902" s="453"/>
      <c r="EA902" s="453"/>
      <c r="EB902" s="453"/>
      <c r="EC902" s="453"/>
      <c r="ED902" s="453"/>
      <c r="EE902" s="453"/>
      <c r="EF902" s="453"/>
      <c r="EG902" s="453"/>
      <c r="EH902" s="453"/>
      <c r="EI902" s="453"/>
      <c r="EJ902" s="453"/>
      <c r="EK902" s="453"/>
      <c r="EL902" s="453"/>
      <c r="EM902" s="483">
        <f t="shared" si="240"/>
        <v>593</v>
      </c>
      <c r="EN902" s="485"/>
      <c r="EO902" s="458"/>
      <c r="EP902" s="467"/>
      <c r="EQ902" s="457"/>
      <c r="ER902" s="808"/>
      <c r="ES902" s="881">
        <f t="shared" si="238"/>
        <v>0</v>
      </c>
      <c r="ET902" s="882"/>
      <c r="EU902" s="883"/>
      <c r="EV902" s="884">
        <f t="shared" si="239"/>
        <v>0</v>
      </c>
      <c r="EW902" s="885"/>
      <c r="EX902" s="885"/>
      <c r="EY902" s="885"/>
      <c r="EZ902" s="885"/>
      <c r="FA902" s="885"/>
      <c r="FB902" s="885"/>
      <c r="FC902" s="885"/>
      <c r="FD902" s="886"/>
      <c r="FE902" s="550"/>
      <c r="FF902" s="550"/>
      <c r="FG902" s="550"/>
      <c r="FH902" s="550"/>
      <c r="FI902" s="550"/>
      <c r="FJ902" s="550"/>
      <c r="FK902" s="550"/>
      <c r="FL902" s="555"/>
      <c r="FM902" s="554"/>
      <c r="FN902" s="554"/>
      <c r="FO902" s="554"/>
      <c r="FP902" s="554"/>
      <c r="FQ902" s="554"/>
      <c r="FR902" s="554"/>
      <c r="FS902" s="554"/>
      <c r="FT902" s="554"/>
      <c r="FU902" s="554"/>
      <c r="FV902" s="554"/>
      <c r="FW902" s="554"/>
      <c r="FX902" s="554"/>
      <c r="FY902" s="554"/>
      <c r="FZ902" s="554"/>
      <c r="GA902" s="554"/>
      <c r="GB902" s="556"/>
      <c r="GC902" s="370"/>
      <c r="GD902" s="453"/>
      <c r="GE902" s="453"/>
      <c r="GF902" s="453"/>
      <c r="GG902" s="453"/>
      <c r="GH902" s="454"/>
      <c r="GI902" s="453"/>
      <c r="GJ902" s="453"/>
      <c r="GK902" s="453"/>
      <c r="GL902" s="453"/>
      <c r="GM902" s="453"/>
      <c r="GN902" s="453"/>
      <c r="GO902" s="453"/>
      <c r="GP902" s="453"/>
      <c r="GQ902" s="453"/>
      <c r="GR902" s="453"/>
      <c r="GS902" s="561"/>
      <c r="GT902" s="475"/>
      <c r="GU902" s="472"/>
      <c r="GV902" s="453"/>
      <c r="GW902" s="453"/>
      <c r="GX902" s="869"/>
      <c r="GY902" s="870"/>
      <c r="GZ902" s="867"/>
      <c r="HA902" s="868"/>
      <c r="HB902" s="473"/>
      <c r="HC902" s="869"/>
      <c r="HD902" s="870"/>
      <c r="HE902" s="867"/>
      <c r="HF902" s="868"/>
      <c r="HG902" s="473"/>
      <c r="HH902" s="867"/>
      <c r="HI902" s="868"/>
      <c r="HJ902" s="867"/>
      <c r="HK902" s="868"/>
      <c r="HL902" s="370"/>
      <c r="HM902" s="865"/>
      <c r="HN902" s="866"/>
      <c r="HO902" s="865"/>
      <c r="HP902" s="866"/>
      <c r="HQ902" s="865"/>
      <c r="HR902" s="866"/>
      <c r="HS902" s="867"/>
      <c r="HT902" s="868"/>
      <c r="HU902" s="489"/>
      <c r="HV902" s="865"/>
      <c r="HW902" s="866"/>
    </row>
    <row r="903" spans="25:231" ht="15" customHeight="1">
      <c r="Y903" s="332"/>
      <c r="Z903" s="332"/>
      <c r="AA903" s="332"/>
      <c r="AB903" s="332"/>
      <c r="AC903" s="332"/>
      <c r="AD903" s="332"/>
      <c r="AE903" s="332"/>
      <c r="AF903" s="332"/>
      <c r="AG903" s="332"/>
      <c r="AH903" s="332"/>
      <c r="AI903" s="332"/>
      <c r="AJ903" s="332"/>
      <c r="AK903" s="332"/>
      <c r="AL903" s="332"/>
      <c r="AM903" s="332"/>
      <c r="AN903" s="332"/>
      <c r="AO903" s="332"/>
      <c r="AP903" s="332"/>
      <c r="AQ903" s="332"/>
      <c r="AR903" s="332"/>
      <c r="AS903" s="332"/>
      <c r="AT903" s="332"/>
      <c r="AU903" s="332"/>
      <c r="AV903" s="332"/>
      <c r="AW903" s="332"/>
      <c r="AX903" s="332"/>
      <c r="AY903" s="332"/>
      <c r="AZ903" s="332"/>
      <c r="BA903" s="332"/>
      <c r="BB903" s="332"/>
      <c r="BC903" s="332"/>
      <c r="BD903" s="332"/>
      <c r="BE903" s="332"/>
      <c r="BF903" s="332"/>
      <c r="BG903" s="332"/>
      <c r="BH903" s="332"/>
      <c r="BI903" s="332"/>
      <c r="BJ903" s="332"/>
      <c r="BK903" s="332"/>
      <c r="BL903" s="332"/>
      <c r="BM903" s="332"/>
      <c r="BN903" s="332"/>
      <c r="BO903" s="332"/>
      <c r="BP903" s="332"/>
      <c r="BQ903" s="332"/>
      <c r="BR903" s="332"/>
      <c r="BS903" s="332"/>
      <c r="BT903" s="332"/>
      <c r="BU903" s="332"/>
      <c r="BV903" s="332"/>
      <c r="BW903" s="332"/>
      <c r="BX903" s="332"/>
      <c r="BY903" s="332"/>
      <c r="BZ903" s="332"/>
      <c r="CA903" s="332"/>
      <c r="CB903" s="332"/>
      <c r="CC903" s="332"/>
      <c r="CD903" s="332"/>
      <c r="CE903" s="332"/>
      <c r="CF903" s="332"/>
      <c r="CG903" s="332"/>
      <c r="CH903" s="332"/>
      <c r="CI903" s="332"/>
      <c r="CJ903" s="332"/>
      <c r="CK903" s="332"/>
      <c r="CL903" s="332"/>
      <c r="CM903" s="332"/>
      <c r="CN903" s="332"/>
      <c r="CO903" s="332"/>
      <c r="CP903" s="332"/>
      <c r="CQ903" s="332"/>
      <c r="CR903" s="332"/>
      <c r="CS903" s="332"/>
      <c r="CT903" s="332"/>
      <c r="CU903" s="332"/>
      <c r="CV903" s="332"/>
      <c r="CW903" s="332"/>
      <c r="CX903" s="332"/>
      <c r="CY903" s="332"/>
      <c r="CZ903" s="332"/>
      <c r="DA903" s="332"/>
      <c r="DB903" s="332"/>
      <c r="DC903" s="332"/>
      <c r="DD903" s="332"/>
      <c r="DE903" s="332"/>
      <c r="DF903" s="332"/>
      <c r="DG903" s="332"/>
      <c r="DH903" s="332"/>
      <c r="DI903" s="332"/>
      <c r="DJ903" s="332"/>
      <c r="DK903" s="332"/>
      <c r="DL903" s="332"/>
      <c r="DM903" s="332"/>
      <c r="DN903" s="332"/>
      <c r="DO903" s="332"/>
      <c r="DP903" s="332"/>
      <c r="DQ903" s="332"/>
      <c r="DR903" s="332"/>
      <c r="DS903" s="332"/>
      <c r="DT903" s="332"/>
      <c r="DU903" s="453"/>
      <c r="DV903" s="453"/>
      <c r="DW903" s="453"/>
      <c r="DX903" s="453"/>
      <c r="DY903" s="453"/>
      <c r="DZ903" s="453"/>
      <c r="EA903" s="453"/>
      <c r="EB903" s="453"/>
      <c r="EC903" s="453"/>
      <c r="ED903" s="453"/>
      <c r="EE903" s="453"/>
      <c r="EF903" s="453"/>
      <c r="EG903" s="453"/>
      <c r="EH903" s="453"/>
      <c r="EI903" s="453"/>
      <c r="EJ903" s="453"/>
      <c r="EK903" s="453"/>
      <c r="EL903" s="453"/>
      <c r="EM903" s="483">
        <f t="shared" si="240"/>
        <v>594</v>
      </c>
      <c r="EN903" s="485"/>
      <c r="EO903" s="458"/>
      <c r="EP903" s="467"/>
      <c r="EQ903" s="457"/>
      <c r="ER903" s="808"/>
      <c r="ES903" s="881">
        <f t="shared" si="238"/>
        <v>0</v>
      </c>
      <c r="ET903" s="882"/>
      <c r="EU903" s="883"/>
      <c r="EV903" s="884">
        <f t="shared" si="239"/>
        <v>0</v>
      </c>
      <c r="EW903" s="885"/>
      <c r="EX903" s="885"/>
      <c r="EY903" s="885"/>
      <c r="EZ903" s="885"/>
      <c r="FA903" s="885"/>
      <c r="FB903" s="885"/>
      <c r="FC903" s="885"/>
      <c r="FD903" s="886"/>
      <c r="FE903" s="550"/>
      <c r="FF903" s="550"/>
      <c r="FG903" s="550"/>
      <c r="FH903" s="550"/>
      <c r="FI903" s="550"/>
      <c r="FJ903" s="550"/>
      <c r="FK903" s="550"/>
      <c r="FL903" s="555"/>
      <c r="FM903" s="554"/>
      <c r="FN903" s="554"/>
      <c r="FO903" s="554"/>
      <c r="FP903" s="554"/>
      <c r="FQ903" s="554"/>
      <c r="FR903" s="554"/>
      <c r="FS903" s="554"/>
      <c r="FT903" s="554"/>
      <c r="FU903" s="554"/>
      <c r="FV903" s="554"/>
      <c r="FW903" s="554"/>
      <c r="FX903" s="554"/>
      <c r="FY903" s="554"/>
      <c r="FZ903" s="554"/>
      <c r="GA903" s="554"/>
      <c r="GB903" s="556"/>
      <c r="GC903" s="370"/>
      <c r="GD903" s="453"/>
      <c r="GE903" s="453"/>
      <c r="GF903" s="453"/>
      <c r="GG903" s="453"/>
      <c r="GH903" s="454"/>
      <c r="GI903" s="453"/>
      <c r="GJ903" s="453"/>
      <c r="GK903" s="453"/>
      <c r="GL903" s="453"/>
      <c r="GM903" s="453"/>
      <c r="GN903" s="453"/>
      <c r="GO903" s="453"/>
      <c r="GP903" s="453"/>
      <c r="GQ903" s="453"/>
      <c r="GR903" s="453"/>
      <c r="GS903" s="561"/>
      <c r="GT903" s="475"/>
      <c r="GU903" s="472"/>
      <c r="GV903" s="453"/>
      <c r="GW903" s="453"/>
      <c r="GX903" s="869"/>
      <c r="GY903" s="870"/>
      <c r="GZ903" s="867"/>
      <c r="HA903" s="868"/>
      <c r="HB903" s="473"/>
      <c r="HC903" s="869"/>
      <c r="HD903" s="870"/>
      <c r="HE903" s="867"/>
      <c r="HF903" s="868"/>
      <c r="HG903" s="473"/>
      <c r="HH903" s="867"/>
      <c r="HI903" s="868"/>
      <c r="HJ903" s="867"/>
      <c r="HK903" s="868"/>
      <c r="HL903" s="370"/>
      <c r="HM903" s="865"/>
      <c r="HN903" s="866"/>
      <c r="HO903" s="865"/>
      <c r="HP903" s="866"/>
      <c r="HQ903" s="865"/>
      <c r="HR903" s="866"/>
      <c r="HS903" s="867"/>
      <c r="HT903" s="868"/>
      <c r="HU903" s="489"/>
      <c r="HV903" s="865"/>
      <c r="HW903" s="866"/>
    </row>
    <row r="904" spans="25:231" ht="15" customHeight="1">
      <c r="Y904" s="332"/>
      <c r="Z904" s="332"/>
      <c r="AA904" s="332"/>
      <c r="AB904" s="332"/>
      <c r="AC904" s="332"/>
      <c r="AD904" s="332"/>
      <c r="AE904" s="332"/>
      <c r="AF904" s="332"/>
      <c r="AG904" s="332"/>
      <c r="AH904" s="332"/>
      <c r="AI904" s="332"/>
      <c r="AJ904" s="332"/>
      <c r="AK904" s="332"/>
      <c r="AL904" s="332"/>
      <c r="AM904" s="332"/>
      <c r="AN904" s="332"/>
      <c r="AO904" s="332"/>
      <c r="AP904" s="332"/>
      <c r="AQ904" s="332"/>
      <c r="AR904" s="332"/>
      <c r="AS904" s="332"/>
      <c r="AT904" s="332"/>
      <c r="AU904" s="332"/>
      <c r="AV904" s="332"/>
      <c r="AW904" s="332"/>
      <c r="AX904" s="332"/>
      <c r="AY904" s="332"/>
      <c r="AZ904" s="332"/>
      <c r="BA904" s="332"/>
      <c r="BB904" s="332"/>
      <c r="BC904" s="332"/>
      <c r="BD904" s="332"/>
      <c r="BE904" s="332"/>
      <c r="BF904" s="332"/>
      <c r="BG904" s="332"/>
      <c r="BH904" s="332"/>
      <c r="BI904" s="332"/>
      <c r="BJ904" s="332"/>
      <c r="BK904" s="332"/>
      <c r="BL904" s="332"/>
      <c r="BM904" s="332"/>
      <c r="BN904" s="332"/>
      <c r="BO904" s="332"/>
      <c r="BP904" s="332"/>
      <c r="BQ904" s="332"/>
      <c r="BR904" s="332"/>
      <c r="BS904" s="332"/>
      <c r="BT904" s="332"/>
      <c r="BU904" s="332"/>
      <c r="BV904" s="332"/>
      <c r="BW904" s="332"/>
      <c r="BX904" s="332"/>
      <c r="BY904" s="332"/>
      <c r="BZ904" s="332"/>
      <c r="CA904" s="332"/>
      <c r="CB904" s="332"/>
      <c r="CC904" s="332"/>
      <c r="CD904" s="332"/>
      <c r="CE904" s="332"/>
      <c r="CF904" s="332"/>
      <c r="CG904" s="332"/>
      <c r="CH904" s="332"/>
      <c r="CI904" s="332"/>
      <c r="CJ904" s="332"/>
      <c r="CK904" s="332"/>
      <c r="CL904" s="332"/>
      <c r="CM904" s="332"/>
      <c r="CN904" s="332"/>
      <c r="CO904" s="332"/>
      <c r="CP904" s="332"/>
      <c r="CQ904" s="332"/>
      <c r="CR904" s="332"/>
      <c r="CS904" s="332"/>
      <c r="CT904" s="332"/>
      <c r="CU904" s="332"/>
      <c r="CV904" s="332"/>
      <c r="CW904" s="332"/>
      <c r="CX904" s="332"/>
      <c r="CY904" s="332"/>
      <c r="CZ904" s="332"/>
      <c r="DA904" s="332"/>
      <c r="DB904" s="332"/>
      <c r="DC904" s="332"/>
      <c r="DD904" s="332"/>
      <c r="DE904" s="332"/>
      <c r="DF904" s="332"/>
      <c r="DG904" s="332"/>
      <c r="DH904" s="332"/>
      <c r="DI904" s="332"/>
      <c r="DJ904" s="332"/>
      <c r="DK904" s="332"/>
      <c r="DL904" s="332"/>
      <c r="DM904" s="332"/>
      <c r="DN904" s="332"/>
      <c r="DO904" s="332"/>
      <c r="DP904" s="332"/>
      <c r="DQ904" s="332"/>
      <c r="DR904" s="332"/>
      <c r="DS904" s="332"/>
      <c r="DT904" s="332"/>
      <c r="DU904" s="453"/>
      <c r="DV904" s="453"/>
      <c r="DW904" s="453"/>
      <c r="DX904" s="453"/>
      <c r="DY904" s="453"/>
      <c r="DZ904" s="453"/>
      <c r="EA904" s="453"/>
      <c r="EB904" s="453"/>
      <c r="EC904" s="453"/>
      <c r="ED904" s="453"/>
      <c r="EE904" s="453"/>
      <c r="EF904" s="453"/>
      <c r="EG904" s="453"/>
      <c r="EH904" s="453"/>
      <c r="EI904" s="453"/>
      <c r="EJ904" s="453"/>
      <c r="EK904" s="453"/>
      <c r="EL904" s="453"/>
      <c r="EM904" s="483">
        <f t="shared" si="240"/>
        <v>595</v>
      </c>
      <c r="EN904" s="485"/>
      <c r="EO904" s="458"/>
      <c r="EP904" s="467"/>
      <c r="EQ904" s="457"/>
      <c r="ER904" s="808"/>
      <c r="ES904" s="881">
        <f t="shared" si="238"/>
        <v>0</v>
      </c>
      <c r="ET904" s="882"/>
      <c r="EU904" s="883"/>
      <c r="EV904" s="884">
        <f t="shared" si="239"/>
        <v>0</v>
      </c>
      <c r="EW904" s="885"/>
      <c r="EX904" s="885"/>
      <c r="EY904" s="885"/>
      <c r="EZ904" s="885"/>
      <c r="FA904" s="885"/>
      <c r="FB904" s="885"/>
      <c r="FC904" s="885"/>
      <c r="FD904" s="886"/>
      <c r="FE904" s="550"/>
      <c r="FF904" s="550"/>
      <c r="FG904" s="550"/>
      <c r="FH904" s="550"/>
      <c r="FI904" s="550"/>
      <c r="FJ904" s="550"/>
      <c r="FK904" s="550"/>
      <c r="FL904" s="555"/>
      <c r="FM904" s="554"/>
      <c r="FN904" s="554"/>
      <c r="FO904" s="554"/>
      <c r="FP904" s="554"/>
      <c r="FQ904" s="554"/>
      <c r="FR904" s="554"/>
      <c r="FS904" s="554"/>
      <c r="FT904" s="554"/>
      <c r="FU904" s="554"/>
      <c r="FV904" s="554"/>
      <c r="FW904" s="554"/>
      <c r="FX904" s="554"/>
      <c r="FY904" s="554"/>
      <c r="FZ904" s="554"/>
      <c r="GA904" s="554"/>
      <c r="GB904" s="556"/>
      <c r="GC904" s="370"/>
      <c r="GD904" s="453"/>
      <c r="GE904" s="453"/>
      <c r="GF904" s="453"/>
      <c r="GG904" s="453"/>
      <c r="GH904" s="454"/>
      <c r="GI904" s="453"/>
      <c r="GJ904" s="453"/>
      <c r="GK904" s="453"/>
      <c r="GL904" s="453"/>
      <c r="GM904" s="453"/>
      <c r="GN904" s="453"/>
      <c r="GO904" s="453"/>
      <c r="GP904" s="453"/>
      <c r="GQ904" s="453"/>
      <c r="GR904" s="453"/>
      <c r="GS904" s="561"/>
      <c r="GT904" s="475"/>
      <c r="GU904" s="472"/>
      <c r="GV904" s="453"/>
      <c r="GW904" s="453"/>
      <c r="GX904" s="869"/>
      <c r="GY904" s="870"/>
      <c r="GZ904" s="867"/>
      <c r="HA904" s="868"/>
      <c r="HB904" s="473"/>
      <c r="HC904" s="869"/>
      <c r="HD904" s="870"/>
      <c r="HE904" s="867"/>
      <c r="HF904" s="868"/>
      <c r="HG904" s="473"/>
      <c r="HH904" s="867"/>
      <c r="HI904" s="868"/>
      <c r="HJ904" s="867"/>
      <c r="HK904" s="868"/>
      <c r="HL904" s="370"/>
      <c r="HM904" s="865"/>
      <c r="HN904" s="866"/>
      <c r="HO904" s="865"/>
      <c r="HP904" s="866"/>
      <c r="HQ904" s="865"/>
      <c r="HR904" s="866"/>
      <c r="HS904" s="867"/>
      <c r="HT904" s="868"/>
      <c r="HU904" s="489"/>
      <c r="HV904" s="865"/>
      <c r="HW904" s="866"/>
    </row>
    <row r="905" spans="25:231" ht="15" customHeight="1">
      <c r="Y905" s="332"/>
      <c r="Z905" s="332"/>
      <c r="AA905" s="332"/>
      <c r="AB905" s="332"/>
      <c r="AC905" s="332"/>
      <c r="AD905" s="332"/>
      <c r="AE905" s="332"/>
      <c r="AF905" s="332"/>
      <c r="AG905" s="332"/>
      <c r="AH905" s="332"/>
      <c r="AI905" s="332"/>
      <c r="AJ905" s="332"/>
      <c r="AK905" s="332"/>
      <c r="AL905" s="332"/>
      <c r="AM905" s="332"/>
      <c r="AN905" s="332"/>
      <c r="AO905" s="332"/>
      <c r="AP905" s="332"/>
      <c r="AQ905" s="332"/>
      <c r="AR905" s="332"/>
      <c r="AS905" s="332"/>
      <c r="AT905" s="332"/>
      <c r="AU905" s="332"/>
      <c r="AV905" s="332"/>
      <c r="AW905" s="332"/>
      <c r="AX905" s="332"/>
      <c r="AY905" s="332"/>
      <c r="AZ905" s="332"/>
      <c r="BA905" s="332"/>
      <c r="BB905" s="332"/>
      <c r="BC905" s="332"/>
      <c r="BD905" s="332"/>
      <c r="BE905" s="332"/>
      <c r="BF905" s="332"/>
      <c r="BG905" s="332"/>
      <c r="BH905" s="332"/>
      <c r="BI905" s="332"/>
      <c r="BJ905" s="332"/>
      <c r="BK905" s="332"/>
      <c r="BL905" s="332"/>
      <c r="BM905" s="332"/>
      <c r="BN905" s="332"/>
      <c r="BO905" s="332"/>
      <c r="BP905" s="332"/>
      <c r="BQ905" s="332"/>
      <c r="BR905" s="332"/>
      <c r="BS905" s="332"/>
      <c r="BT905" s="332"/>
      <c r="BU905" s="332"/>
      <c r="BV905" s="332"/>
      <c r="BW905" s="332"/>
      <c r="BX905" s="332"/>
      <c r="BY905" s="332"/>
      <c r="BZ905" s="332"/>
      <c r="CA905" s="332"/>
      <c r="CB905" s="332"/>
      <c r="CC905" s="332"/>
      <c r="CD905" s="332"/>
      <c r="CE905" s="332"/>
      <c r="CF905" s="332"/>
      <c r="CG905" s="332"/>
      <c r="CH905" s="332"/>
      <c r="CI905" s="332"/>
      <c r="CJ905" s="332"/>
      <c r="CK905" s="332"/>
      <c r="CL905" s="332"/>
      <c r="CM905" s="332"/>
      <c r="CN905" s="332"/>
      <c r="CO905" s="332"/>
      <c r="CP905" s="332"/>
      <c r="CQ905" s="332"/>
      <c r="CR905" s="332"/>
      <c r="CS905" s="332"/>
      <c r="CT905" s="332"/>
      <c r="CU905" s="332"/>
      <c r="CV905" s="332"/>
      <c r="CW905" s="332"/>
      <c r="CX905" s="332"/>
      <c r="CY905" s="332"/>
      <c r="CZ905" s="332"/>
      <c r="DA905" s="332"/>
      <c r="DB905" s="332"/>
      <c r="DC905" s="332"/>
      <c r="DD905" s="332"/>
      <c r="DE905" s="332"/>
      <c r="DF905" s="332"/>
      <c r="DG905" s="332"/>
      <c r="DH905" s="332"/>
      <c r="DI905" s="332"/>
      <c r="DJ905" s="332"/>
      <c r="DK905" s="332"/>
      <c r="DL905" s="332"/>
      <c r="DM905" s="332"/>
      <c r="DN905" s="332"/>
      <c r="DO905" s="332"/>
      <c r="DP905" s="332"/>
      <c r="DQ905" s="332"/>
      <c r="DR905" s="332"/>
      <c r="DS905" s="332"/>
      <c r="DT905" s="332"/>
      <c r="DU905" s="453"/>
      <c r="DV905" s="453"/>
      <c r="DW905" s="453"/>
      <c r="DX905" s="453"/>
      <c r="DY905" s="453"/>
      <c r="DZ905" s="453"/>
      <c r="EA905" s="453"/>
      <c r="EB905" s="453"/>
      <c r="EC905" s="453"/>
      <c r="ED905" s="453"/>
      <c r="EE905" s="453"/>
      <c r="EF905" s="453"/>
      <c r="EG905" s="453"/>
      <c r="EH905" s="453"/>
      <c r="EI905" s="453"/>
      <c r="EJ905" s="453"/>
      <c r="EK905" s="453"/>
      <c r="EL905" s="453"/>
      <c r="EM905" s="483">
        <f t="shared" si="240"/>
        <v>596</v>
      </c>
      <c r="EN905" s="485"/>
      <c r="EO905" s="458"/>
      <c r="EP905" s="467"/>
      <c r="EQ905" s="457"/>
      <c r="ER905" s="808"/>
      <c r="ES905" s="881">
        <f t="shared" si="238"/>
        <v>0</v>
      </c>
      <c r="ET905" s="882"/>
      <c r="EU905" s="883"/>
      <c r="EV905" s="884">
        <f t="shared" si="239"/>
        <v>0</v>
      </c>
      <c r="EW905" s="885"/>
      <c r="EX905" s="885"/>
      <c r="EY905" s="885"/>
      <c r="EZ905" s="885"/>
      <c r="FA905" s="885"/>
      <c r="FB905" s="885"/>
      <c r="FC905" s="885"/>
      <c r="FD905" s="886"/>
      <c r="FE905" s="550"/>
      <c r="FF905" s="550"/>
      <c r="FG905" s="550"/>
      <c r="FH905" s="550"/>
      <c r="FI905" s="550"/>
      <c r="FJ905" s="550"/>
      <c r="FK905" s="550"/>
      <c r="FL905" s="555"/>
      <c r="FM905" s="554"/>
      <c r="FN905" s="554"/>
      <c r="FO905" s="554"/>
      <c r="FP905" s="554"/>
      <c r="FQ905" s="554"/>
      <c r="FR905" s="554"/>
      <c r="FS905" s="554"/>
      <c r="FT905" s="554"/>
      <c r="FU905" s="554"/>
      <c r="FV905" s="554"/>
      <c r="FW905" s="554"/>
      <c r="FX905" s="554"/>
      <c r="FY905" s="554"/>
      <c r="FZ905" s="554"/>
      <c r="GA905" s="554"/>
      <c r="GB905" s="556"/>
      <c r="GC905" s="370"/>
      <c r="GD905" s="453"/>
      <c r="GE905" s="453"/>
      <c r="GF905" s="453"/>
      <c r="GG905" s="453"/>
      <c r="GH905" s="454"/>
      <c r="GI905" s="453"/>
      <c r="GJ905" s="453"/>
      <c r="GK905" s="453"/>
      <c r="GL905" s="453"/>
      <c r="GM905" s="453"/>
      <c r="GN905" s="453"/>
      <c r="GO905" s="453"/>
      <c r="GP905" s="453"/>
      <c r="GQ905" s="453"/>
      <c r="GR905" s="453"/>
      <c r="GS905" s="561"/>
      <c r="GT905" s="475"/>
      <c r="GU905" s="472"/>
      <c r="GV905" s="453"/>
      <c r="GW905" s="453"/>
      <c r="GX905" s="869"/>
      <c r="GY905" s="870"/>
      <c r="GZ905" s="867"/>
      <c r="HA905" s="868"/>
      <c r="HB905" s="473"/>
      <c r="HC905" s="869"/>
      <c r="HD905" s="870"/>
      <c r="HE905" s="867"/>
      <c r="HF905" s="868"/>
      <c r="HG905" s="473"/>
      <c r="HH905" s="867"/>
      <c r="HI905" s="868"/>
      <c r="HJ905" s="867"/>
      <c r="HK905" s="868"/>
      <c r="HL905" s="370"/>
      <c r="HM905" s="865"/>
      <c r="HN905" s="866"/>
      <c r="HO905" s="865"/>
      <c r="HP905" s="866"/>
      <c r="HQ905" s="865"/>
      <c r="HR905" s="866"/>
      <c r="HS905" s="867"/>
      <c r="HT905" s="868"/>
      <c r="HU905" s="489"/>
      <c r="HV905" s="865"/>
      <c r="HW905" s="866"/>
    </row>
    <row r="906" spans="25:231" ht="15" customHeight="1">
      <c r="Y906" s="332"/>
      <c r="Z906" s="332"/>
      <c r="AA906" s="332"/>
      <c r="AB906" s="332"/>
      <c r="AC906" s="332"/>
      <c r="AD906" s="332"/>
      <c r="AE906" s="332"/>
      <c r="AF906" s="332"/>
      <c r="AG906" s="332"/>
      <c r="AH906" s="332"/>
      <c r="AI906" s="332"/>
      <c r="AJ906" s="332"/>
      <c r="AK906" s="332"/>
      <c r="AL906" s="332"/>
      <c r="AM906" s="332"/>
      <c r="AN906" s="332"/>
      <c r="AO906" s="332"/>
      <c r="AP906" s="332"/>
      <c r="AQ906" s="332"/>
      <c r="AR906" s="332"/>
      <c r="AS906" s="332"/>
      <c r="AT906" s="332"/>
      <c r="AU906" s="332"/>
      <c r="AV906" s="332"/>
      <c r="AW906" s="332"/>
      <c r="AX906" s="332"/>
      <c r="AY906" s="332"/>
      <c r="AZ906" s="332"/>
      <c r="BA906" s="332"/>
      <c r="BB906" s="332"/>
      <c r="BC906" s="332"/>
      <c r="BD906" s="332"/>
      <c r="BE906" s="332"/>
      <c r="BF906" s="332"/>
      <c r="BG906" s="332"/>
      <c r="BH906" s="332"/>
      <c r="BI906" s="332"/>
      <c r="BJ906" s="332"/>
      <c r="BK906" s="332"/>
      <c r="BL906" s="332"/>
      <c r="BM906" s="332"/>
      <c r="BN906" s="332"/>
      <c r="BO906" s="332"/>
      <c r="BP906" s="332"/>
      <c r="BQ906" s="332"/>
      <c r="BR906" s="332"/>
      <c r="BS906" s="332"/>
      <c r="BT906" s="332"/>
      <c r="BU906" s="332"/>
      <c r="BV906" s="332"/>
      <c r="BW906" s="332"/>
      <c r="BX906" s="332"/>
      <c r="BY906" s="332"/>
      <c r="BZ906" s="332"/>
      <c r="CA906" s="332"/>
      <c r="CB906" s="332"/>
      <c r="CC906" s="332"/>
      <c r="CD906" s="332"/>
      <c r="CE906" s="332"/>
      <c r="CF906" s="332"/>
      <c r="CG906" s="332"/>
      <c r="CH906" s="332"/>
      <c r="CI906" s="332"/>
      <c r="CJ906" s="332"/>
      <c r="CK906" s="332"/>
      <c r="CL906" s="332"/>
      <c r="CM906" s="332"/>
      <c r="CN906" s="332"/>
      <c r="CO906" s="332"/>
      <c r="CP906" s="332"/>
      <c r="CQ906" s="332"/>
      <c r="CR906" s="332"/>
      <c r="CS906" s="332"/>
      <c r="CT906" s="332"/>
      <c r="CU906" s="332"/>
      <c r="CV906" s="332"/>
      <c r="CW906" s="332"/>
      <c r="CX906" s="332"/>
      <c r="CY906" s="332"/>
      <c r="CZ906" s="332"/>
      <c r="DA906" s="332"/>
      <c r="DB906" s="332"/>
      <c r="DC906" s="332"/>
      <c r="DD906" s="332"/>
      <c r="DE906" s="332"/>
      <c r="DF906" s="332"/>
      <c r="DG906" s="332"/>
      <c r="DH906" s="332"/>
      <c r="DI906" s="332"/>
      <c r="DJ906" s="332"/>
      <c r="DK906" s="332"/>
      <c r="DL906" s="332"/>
      <c r="DM906" s="332"/>
      <c r="DN906" s="332"/>
      <c r="DO906" s="332"/>
      <c r="DP906" s="332"/>
      <c r="DQ906" s="332"/>
      <c r="DR906" s="332"/>
      <c r="DS906" s="332"/>
      <c r="DT906" s="332"/>
      <c r="DU906" s="453"/>
      <c r="DV906" s="453"/>
      <c r="DW906" s="453"/>
      <c r="DX906" s="453"/>
      <c r="DY906" s="453"/>
      <c r="DZ906" s="453"/>
      <c r="EA906" s="453"/>
      <c r="EB906" s="453"/>
      <c r="EC906" s="453"/>
      <c r="ED906" s="453"/>
      <c r="EE906" s="453"/>
      <c r="EF906" s="453"/>
      <c r="EG906" s="453"/>
      <c r="EH906" s="453"/>
      <c r="EI906" s="453"/>
      <c r="EJ906" s="453"/>
      <c r="EK906" s="453"/>
      <c r="EL906" s="453"/>
      <c r="EM906" s="483">
        <f t="shared" si="240"/>
        <v>597</v>
      </c>
      <c r="EN906" s="485"/>
      <c r="EO906" s="458"/>
      <c r="EP906" s="467"/>
      <c r="EQ906" s="457"/>
      <c r="ER906" s="808"/>
      <c r="ES906" s="881">
        <f t="shared" si="238"/>
        <v>0</v>
      </c>
      <c r="ET906" s="882"/>
      <c r="EU906" s="883"/>
      <c r="EV906" s="884">
        <f t="shared" si="239"/>
        <v>0</v>
      </c>
      <c r="EW906" s="885"/>
      <c r="EX906" s="885"/>
      <c r="EY906" s="885"/>
      <c r="EZ906" s="885"/>
      <c r="FA906" s="885"/>
      <c r="FB906" s="885"/>
      <c r="FC906" s="885"/>
      <c r="FD906" s="886"/>
      <c r="FE906" s="550"/>
      <c r="FF906" s="550"/>
      <c r="FG906" s="550"/>
      <c r="FH906" s="550"/>
      <c r="FI906" s="550"/>
      <c r="FJ906" s="550"/>
      <c r="FK906" s="550"/>
      <c r="FL906" s="555"/>
      <c r="FM906" s="554"/>
      <c r="FN906" s="554"/>
      <c r="FO906" s="554"/>
      <c r="FP906" s="554"/>
      <c r="FQ906" s="554"/>
      <c r="FR906" s="554"/>
      <c r="FS906" s="554"/>
      <c r="FT906" s="554"/>
      <c r="FU906" s="554"/>
      <c r="FV906" s="554"/>
      <c r="FW906" s="554"/>
      <c r="FX906" s="554"/>
      <c r="FY906" s="554"/>
      <c r="FZ906" s="554"/>
      <c r="GA906" s="554"/>
      <c r="GB906" s="556"/>
      <c r="GC906" s="370"/>
      <c r="GD906" s="453"/>
      <c r="GE906" s="453"/>
      <c r="GF906" s="453"/>
      <c r="GG906" s="453"/>
      <c r="GH906" s="454"/>
      <c r="GI906" s="453"/>
      <c r="GJ906" s="453"/>
      <c r="GK906" s="453"/>
      <c r="GL906" s="453"/>
      <c r="GM906" s="453"/>
      <c r="GN906" s="453"/>
      <c r="GO906" s="453"/>
      <c r="GP906" s="453"/>
      <c r="GQ906" s="453"/>
      <c r="GR906" s="453"/>
      <c r="GS906" s="561"/>
      <c r="GT906" s="475"/>
      <c r="GU906" s="472"/>
      <c r="GV906" s="453"/>
      <c r="GW906" s="453"/>
      <c r="GX906" s="869"/>
      <c r="GY906" s="870"/>
      <c r="GZ906" s="867"/>
      <c r="HA906" s="868"/>
      <c r="HB906" s="473"/>
      <c r="HC906" s="869"/>
      <c r="HD906" s="870"/>
      <c r="HE906" s="867"/>
      <c r="HF906" s="868"/>
      <c r="HG906" s="473"/>
      <c r="HH906" s="867"/>
      <c r="HI906" s="868"/>
      <c r="HJ906" s="867"/>
      <c r="HK906" s="868"/>
      <c r="HL906" s="370"/>
      <c r="HM906" s="865"/>
      <c r="HN906" s="866"/>
      <c r="HO906" s="865"/>
      <c r="HP906" s="866"/>
      <c r="HQ906" s="865"/>
      <c r="HR906" s="866"/>
      <c r="HS906" s="867"/>
      <c r="HT906" s="868"/>
      <c r="HU906" s="489"/>
      <c r="HV906" s="865"/>
      <c r="HW906" s="866"/>
    </row>
    <row r="907" spans="25:231" ht="15" customHeight="1">
      <c r="Y907" s="332"/>
      <c r="Z907" s="332"/>
      <c r="AA907" s="332"/>
      <c r="AB907" s="332"/>
      <c r="AC907" s="332"/>
      <c r="AD907" s="332"/>
      <c r="AE907" s="332"/>
      <c r="AF907" s="332"/>
      <c r="AG907" s="332"/>
      <c r="AH907" s="332"/>
      <c r="AI907" s="332"/>
      <c r="AJ907" s="332"/>
      <c r="AK907" s="332"/>
      <c r="AL907" s="332"/>
      <c r="AM907" s="332"/>
      <c r="AN907" s="332"/>
      <c r="AO907" s="332"/>
      <c r="AP907" s="332"/>
      <c r="AQ907" s="332"/>
      <c r="AR907" s="332"/>
      <c r="AS907" s="332"/>
      <c r="AT907" s="332"/>
      <c r="AU907" s="332"/>
      <c r="AV907" s="332"/>
      <c r="AW907" s="332"/>
      <c r="AX907" s="332"/>
      <c r="AY907" s="332"/>
      <c r="AZ907" s="332"/>
      <c r="BA907" s="332"/>
      <c r="BB907" s="332"/>
      <c r="BC907" s="332"/>
      <c r="BD907" s="332"/>
      <c r="BE907" s="332"/>
      <c r="BF907" s="332"/>
      <c r="BG907" s="332"/>
      <c r="BH907" s="332"/>
      <c r="BI907" s="332"/>
      <c r="BJ907" s="332"/>
      <c r="BK907" s="332"/>
      <c r="BL907" s="332"/>
      <c r="BM907" s="332"/>
      <c r="BN907" s="332"/>
      <c r="BO907" s="332"/>
      <c r="BP907" s="332"/>
      <c r="BQ907" s="332"/>
      <c r="BR907" s="332"/>
      <c r="BS907" s="332"/>
      <c r="BT907" s="332"/>
      <c r="BU907" s="332"/>
      <c r="BV907" s="332"/>
      <c r="BW907" s="332"/>
      <c r="BX907" s="332"/>
      <c r="BY907" s="332"/>
      <c r="BZ907" s="332"/>
      <c r="CA907" s="332"/>
      <c r="CB907" s="332"/>
      <c r="CC907" s="332"/>
      <c r="CD907" s="332"/>
      <c r="CE907" s="332"/>
      <c r="CF907" s="332"/>
      <c r="CG907" s="332"/>
      <c r="CH907" s="332"/>
      <c r="CI907" s="332"/>
      <c r="CJ907" s="332"/>
      <c r="CK907" s="332"/>
      <c r="CL907" s="332"/>
      <c r="CM907" s="332"/>
      <c r="CN907" s="332"/>
      <c r="CO907" s="332"/>
      <c r="CP907" s="332"/>
      <c r="CQ907" s="332"/>
      <c r="CR907" s="332"/>
      <c r="CS907" s="332"/>
      <c r="CT907" s="332"/>
      <c r="CU907" s="332"/>
      <c r="CV907" s="332"/>
      <c r="CW907" s="332"/>
      <c r="CX907" s="332"/>
      <c r="CY907" s="332"/>
      <c r="CZ907" s="332"/>
      <c r="DA907" s="332"/>
      <c r="DB907" s="332"/>
      <c r="DC907" s="332"/>
      <c r="DD907" s="332"/>
      <c r="DE907" s="332"/>
      <c r="DF907" s="332"/>
      <c r="DG907" s="332"/>
      <c r="DH907" s="332"/>
      <c r="DI907" s="332"/>
      <c r="DJ907" s="332"/>
      <c r="DK907" s="332"/>
      <c r="DL907" s="332"/>
      <c r="DM907" s="332"/>
      <c r="DN907" s="332"/>
      <c r="DO907" s="332"/>
      <c r="DP907" s="332"/>
      <c r="DQ907" s="332"/>
      <c r="DR907" s="332"/>
      <c r="DS907" s="332"/>
      <c r="DT907" s="332"/>
      <c r="DU907" s="453"/>
      <c r="DV907" s="453"/>
      <c r="DW907" s="453"/>
      <c r="DX907" s="453"/>
      <c r="DY907" s="453"/>
      <c r="DZ907" s="453"/>
      <c r="EA907" s="453"/>
      <c r="EB907" s="453"/>
      <c r="EC907" s="453"/>
      <c r="ED907" s="453"/>
      <c r="EE907" s="453"/>
      <c r="EF907" s="453"/>
      <c r="EG907" s="453"/>
      <c r="EH907" s="453"/>
      <c r="EI907" s="453"/>
      <c r="EJ907" s="453"/>
      <c r="EK907" s="453"/>
      <c r="EL907" s="453"/>
      <c r="EM907" s="483">
        <f t="shared" si="240"/>
        <v>598</v>
      </c>
      <c r="EN907" s="485"/>
      <c r="EO907" s="458"/>
      <c r="EP907" s="467"/>
      <c r="EQ907" s="457"/>
      <c r="ER907" s="808"/>
      <c r="ES907" s="881">
        <f t="shared" si="238"/>
        <v>0</v>
      </c>
      <c r="ET907" s="882"/>
      <c r="EU907" s="883"/>
      <c r="EV907" s="884">
        <f t="shared" si="239"/>
        <v>0</v>
      </c>
      <c r="EW907" s="885"/>
      <c r="EX907" s="885"/>
      <c r="EY907" s="885"/>
      <c r="EZ907" s="885"/>
      <c r="FA907" s="885"/>
      <c r="FB907" s="885"/>
      <c r="FC907" s="885"/>
      <c r="FD907" s="886"/>
      <c r="FE907" s="550"/>
      <c r="FF907" s="550"/>
      <c r="FG907" s="550"/>
      <c r="FH907" s="550"/>
      <c r="FI907" s="550"/>
      <c r="FJ907" s="550"/>
      <c r="FK907" s="550"/>
      <c r="FL907" s="555"/>
      <c r="FM907" s="554"/>
      <c r="FN907" s="554"/>
      <c r="FO907" s="554"/>
      <c r="FP907" s="554"/>
      <c r="FQ907" s="554"/>
      <c r="FR907" s="554"/>
      <c r="FS907" s="554"/>
      <c r="FT907" s="554"/>
      <c r="FU907" s="554"/>
      <c r="FV907" s="554"/>
      <c r="FW907" s="554"/>
      <c r="FX907" s="554"/>
      <c r="FY907" s="554"/>
      <c r="FZ907" s="554"/>
      <c r="GA907" s="554"/>
      <c r="GB907" s="556"/>
      <c r="GC907" s="370"/>
      <c r="GD907" s="453"/>
      <c r="GE907" s="453"/>
      <c r="GF907" s="453"/>
      <c r="GG907" s="453"/>
      <c r="GH907" s="454"/>
      <c r="GI907" s="453"/>
      <c r="GJ907" s="453"/>
      <c r="GK907" s="453"/>
      <c r="GL907" s="453"/>
      <c r="GM907" s="453"/>
      <c r="GN907" s="453"/>
      <c r="GO907" s="453"/>
      <c r="GP907" s="453"/>
      <c r="GQ907" s="453"/>
      <c r="GR907" s="453"/>
      <c r="GS907" s="561"/>
      <c r="GT907" s="475"/>
      <c r="GU907" s="472"/>
      <c r="GV907" s="453"/>
      <c r="GW907" s="453"/>
      <c r="GX907" s="869"/>
      <c r="GY907" s="870"/>
      <c r="GZ907" s="867"/>
      <c r="HA907" s="868"/>
      <c r="HB907" s="473"/>
      <c r="HC907" s="869"/>
      <c r="HD907" s="870"/>
      <c r="HE907" s="867"/>
      <c r="HF907" s="868"/>
      <c r="HG907" s="473"/>
      <c r="HH907" s="867"/>
      <c r="HI907" s="868"/>
      <c r="HJ907" s="867"/>
      <c r="HK907" s="868"/>
      <c r="HL907" s="370"/>
      <c r="HM907" s="865"/>
      <c r="HN907" s="866"/>
      <c r="HO907" s="865"/>
      <c r="HP907" s="866"/>
      <c r="HQ907" s="865"/>
      <c r="HR907" s="866"/>
      <c r="HS907" s="867"/>
      <c r="HT907" s="868"/>
      <c r="HU907" s="489"/>
      <c r="HV907" s="865"/>
      <c r="HW907" s="866"/>
    </row>
    <row r="908" spans="25:231" ht="15" customHeight="1">
      <c r="Y908" s="332"/>
      <c r="Z908" s="332"/>
      <c r="AA908" s="332"/>
      <c r="AB908" s="332"/>
      <c r="AC908" s="332"/>
      <c r="AD908" s="332"/>
      <c r="AE908" s="332"/>
      <c r="AF908" s="332"/>
      <c r="AG908" s="332"/>
      <c r="AH908" s="332"/>
      <c r="AI908" s="332"/>
      <c r="AJ908" s="332"/>
      <c r="AK908" s="332"/>
      <c r="AL908" s="332"/>
      <c r="AM908" s="332"/>
      <c r="AN908" s="332"/>
      <c r="AO908" s="332"/>
      <c r="AP908" s="332"/>
      <c r="AQ908" s="332"/>
      <c r="AR908" s="332"/>
      <c r="AS908" s="332"/>
      <c r="AT908" s="332"/>
      <c r="AU908" s="332"/>
      <c r="AV908" s="332"/>
      <c r="AW908" s="332"/>
      <c r="AX908" s="332"/>
      <c r="AY908" s="332"/>
      <c r="AZ908" s="332"/>
      <c r="BA908" s="332"/>
      <c r="BB908" s="332"/>
      <c r="BC908" s="332"/>
      <c r="BD908" s="332"/>
      <c r="BE908" s="332"/>
      <c r="BF908" s="332"/>
      <c r="BG908" s="332"/>
      <c r="BH908" s="332"/>
      <c r="BI908" s="332"/>
      <c r="BJ908" s="332"/>
      <c r="BK908" s="332"/>
      <c r="BL908" s="332"/>
      <c r="BM908" s="332"/>
      <c r="BN908" s="332"/>
      <c r="BO908" s="332"/>
      <c r="BP908" s="332"/>
      <c r="BQ908" s="332"/>
      <c r="BR908" s="332"/>
      <c r="BS908" s="332"/>
      <c r="BT908" s="332"/>
      <c r="BU908" s="332"/>
      <c r="BV908" s="332"/>
      <c r="BW908" s="332"/>
      <c r="BX908" s="332"/>
      <c r="BY908" s="332"/>
      <c r="BZ908" s="332"/>
      <c r="CA908" s="332"/>
      <c r="CB908" s="332"/>
      <c r="CC908" s="332"/>
      <c r="CD908" s="332"/>
      <c r="CE908" s="332"/>
      <c r="CF908" s="332"/>
      <c r="CG908" s="332"/>
      <c r="CH908" s="332"/>
      <c r="CI908" s="332"/>
      <c r="CJ908" s="332"/>
      <c r="CK908" s="332"/>
      <c r="CL908" s="332"/>
      <c r="CM908" s="332"/>
      <c r="CN908" s="332"/>
      <c r="CO908" s="332"/>
      <c r="CP908" s="332"/>
      <c r="CQ908" s="332"/>
      <c r="CR908" s="332"/>
      <c r="CS908" s="332"/>
      <c r="CT908" s="332"/>
      <c r="CU908" s="332"/>
      <c r="CV908" s="332"/>
      <c r="CW908" s="332"/>
      <c r="CX908" s="332"/>
      <c r="CY908" s="332"/>
      <c r="CZ908" s="332"/>
      <c r="DA908" s="332"/>
      <c r="DB908" s="332"/>
      <c r="DC908" s="332"/>
      <c r="DD908" s="332"/>
      <c r="DE908" s="332"/>
      <c r="DF908" s="332"/>
      <c r="DG908" s="332"/>
      <c r="DH908" s="332"/>
      <c r="DI908" s="332"/>
      <c r="DJ908" s="332"/>
      <c r="DK908" s="332"/>
      <c r="DL908" s="332"/>
      <c r="DM908" s="332"/>
      <c r="DN908" s="332"/>
      <c r="DO908" s="332"/>
      <c r="DP908" s="332"/>
      <c r="DQ908" s="332"/>
      <c r="DR908" s="332"/>
      <c r="DS908" s="332"/>
      <c r="DT908" s="332"/>
      <c r="DU908" s="453"/>
      <c r="DV908" s="453"/>
      <c r="DW908" s="453"/>
      <c r="DX908" s="453"/>
      <c r="DY908" s="453"/>
      <c r="DZ908" s="453"/>
      <c r="EA908" s="453"/>
      <c r="EB908" s="453"/>
      <c r="EC908" s="453"/>
      <c r="ED908" s="453"/>
      <c r="EE908" s="453"/>
      <c r="EF908" s="453"/>
      <c r="EG908" s="453"/>
      <c r="EH908" s="453"/>
      <c r="EI908" s="453"/>
      <c r="EJ908" s="453"/>
      <c r="EK908" s="453"/>
      <c r="EL908" s="453"/>
      <c r="EM908" s="483">
        <f t="shared" si="240"/>
        <v>599</v>
      </c>
      <c r="EN908" s="485"/>
      <c r="EO908" s="458"/>
      <c r="EP908" s="467"/>
      <c r="EQ908" s="457"/>
      <c r="ER908" s="808"/>
      <c r="ES908" s="881">
        <f t="shared" si="238"/>
        <v>0</v>
      </c>
      <c r="ET908" s="882"/>
      <c r="EU908" s="883"/>
      <c r="EV908" s="884">
        <f t="shared" si="239"/>
        <v>0</v>
      </c>
      <c r="EW908" s="885"/>
      <c r="EX908" s="885"/>
      <c r="EY908" s="885"/>
      <c r="EZ908" s="885"/>
      <c r="FA908" s="885"/>
      <c r="FB908" s="885"/>
      <c r="FC908" s="885"/>
      <c r="FD908" s="886"/>
      <c r="FE908" s="550"/>
      <c r="FF908" s="550"/>
      <c r="FG908" s="550"/>
      <c r="FH908" s="550"/>
      <c r="FI908" s="550"/>
      <c r="FJ908" s="550"/>
      <c r="FK908" s="550"/>
      <c r="FL908" s="555"/>
      <c r="FM908" s="554"/>
      <c r="FN908" s="554"/>
      <c r="FO908" s="554"/>
      <c r="FP908" s="554"/>
      <c r="FQ908" s="554"/>
      <c r="FR908" s="554"/>
      <c r="FS908" s="554"/>
      <c r="FT908" s="554"/>
      <c r="FU908" s="554"/>
      <c r="FV908" s="554"/>
      <c r="FW908" s="554"/>
      <c r="FX908" s="554"/>
      <c r="FY908" s="554"/>
      <c r="FZ908" s="554"/>
      <c r="GA908" s="554"/>
      <c r="GB908" s="556"/>
      <c r="GC908" s="370"/>
      <c r="GD908" s="453"/>
      <c r="GE908" s="453"/>
      <c r="GF908" s="453"/>
      <c r="GG908" s="453"/>
      <c r="GH908" s="454"/>
      <c r="GI908" s="453"/>
      <c r="GJ908" s="453"/>
      <c r="GK908" s="453"/>
      <c r="GL908" s="453"/>
      <c r="GM908" s="453"/>
      <c r="GN908" s="453"/>
      <c r="GO908" s="453"/>
      <c r="GP908" s="453"/>
      <c r="GQ908" s="453"/>
      <c r="GR908" s="453"/>
      <c r="GS908" s="561"/>
      <c r="GT908" s="475"/>
      <c r="GU908" s="472"/>
      <c r="GV908" s="453"/>
      <c r="GW908" s="453"/>
      <c r="GX908" s="869"/>
      <c r="GY908" s="870"/>
      <c r="GZ908" s="867"/>
      <c r="HA908" s="868"/>
      <c r="HB908" s="473"/>
      <c r="HC908" s="869"/>
      <c r="HD908" s="870"/>
      <c r="HE908" s="867"/>
      <c r="HF908" s="868"/>
      <c r="HG908" s="473"/>
      <c r="HH908" s="867"/>
      <c r="HI908" s="868"/>
      <c r="HJ908" s="867"/>
      <c r="HK908" s="868"/>
      <c r="HL908" s="370"/>
      <c r="HM908" s="865"/>
      <c r="HN908" s="866"/>
      <c r="HO908" s="865"/>
      <c r="HP908" s="866"/>
      <c r="HQ908" s="865"/>
      <c r="HR908" s="866"/>
      <c r="HS908" s="867"/>
      <c r="HT908" s="868"/>
      <c r="HU908" s="489"/>
      <c r="HV908" s="865"/>
      <c r="HW908" s="866"/>
    </row>
    <row r="909" spans="25:231" ht="15" customHeight="1">
      <c r="Y909" s="332"/>
      <c r="Z909" s="332"/>
      <c r="AA909" s="332"/>
      <c r="AB909" s="332"/>
      <c r="AC909" s="332"/>
      <c r="AD909" s="332"/>
      <c r="AE909" s="332"/>
      <c r="AF909" s="332"/>
      <c r="AG909" s="332"/>
      <c r="AH909" s="332"/>
      <c r="AI909" s="332"/>
      <c r="AJ909" s="332"/>
      <c r="AK909" s="332"/>
      <c r="AL909" s="332"/>
      <c r="AM909" s="332"/>
      <c r="AN909" s="332"/>
      <c r="AO909" s="332"/>
      <c r="AP909" s="332"/>
      <c r="AQ909" s="332"/>
      <c r="AR909" s="332"/>
      <c r="AS909" s="332"/>
      <c r="AT909" s="332"/>
      <c r="AU909" s="332"/>
      <c r="AV909" s="332"/>
      <c r="AW909" s="332"/>
      <c r="AX909" s="332"/>
      <c r="AY909" s="332"/>
      <c r="AZ909" s="332"/>
      <c r="BA909" s="332"/>
      <c r="BB909" s="332"/>
      <c r="BC909" s="332"/>
      <c r="BD909" s="332"/>
      <c r="BE909" s="332"/>
      <c r="BF909" s="332"/>
      <c r="BG909" s="332"/>
      <c r="BH909" s="332"/>
      <c r="BI909" s="332"/>
      <c r="BJ909" s="332"/>
      <c r="BK909" s="332"/>
      <c r="BL909" s="332"/>
      <c r="BM909" s="332"/>
      <c r="BN909" s="332"/>
      <c r="BO909" s="332"/>
      <c r="BP909" s="332"/>
      <c r="BQ909" s="332"/>
      <c r="BR909" s="332"/>
      <c r="BS909" s="332"/>
      <c r="BT909" s="332"/>
      <c r="BU909" s="332"/>
      <c r="BV909" s="332"/>
      <c r="BW909" s="332"/>
      <c r="BX909" s="332"/>
      <c r="BY909" s="332"/>
      <c r="BZ909" s="332"/>
      <c r="CA909" s="332"/>
      <c r="CB909" s="332"/>
      <c r="CC909" s="332"/>
      <c r="CD909" s="332"/>
      <c r="CE909" s="332"/>
      <c r="CF909" s="332"/>
      <c r="CG909" s="332"/>
      <c r="CH909" s="332"/>
      <c r="CI909" s="332"/>
      <c r="CJ909" s="332"/>
      <c r="CK909" s="332"/>
      <c r="CL909" s="332"/>
      <c r="CM909" s="332"/>
      <c r="CN909" s="332"/>
      <c r="CO909" s="332"/>
      <c r="CP909" s="332"/>
      <c r="CQ909" s="332"/>
      <c r="CR909" s="332"/>
      <c r="CS909" s="332"/>
      <c r="CT909" s="332"/>
      <c r="CU909" s="332"/>
      <c r="CV909" s="332"/>
      <c r="CW909" s="332"/>
      <c r="CX909" s="332"/>
      <c r="CY909" s="332"/>
      <c r="CZ909" s="332"/>
      <c r="DA909" s="332"/>
      <c r="DB909" s="332"/>
      <c r="DC909" s="332"/>
      <c r="DD909" s="332"/>
      <c r="DE909" s="332"/>
      <c r="DF909" s="332"/>
      <c r="DG909" s="332"/>
      <c r="DH909" s="332"/>
      <c r="DI909" s="332"/>
      <c r="DJ909" s="332"/>
      <c r="DK909" s="332"/>
      <c r="DL909" s="332"/>
      <c r="DM909" s="332"/>
      <c r="DN909" s="332"/>
      <c r="DO909" s="332"/>
      <c r="DP909" s="332"/>
      <c r="DQ909" s="332"/>
      <c r="DR909" s="332"/>
      <c r="DS909" s="332"/>
      <c r="DT909" s="332"/>
      <c r="DU909" s="453"/>
      <c r="DV909" s="453"/>
      <c r="DW909" s="453"/>
      <c r="DX909" s="453"/>
      <c r="DY909" s="453"/>
      <c r="DZ909" s="453"/>
      <c r="EA909" s="453"/>
      <c r="EB909" s="453"/>
      <c r="EC909" s="453"/>
      <c r="ED909" s="453"/>
      <c r="EE909" s="453"/>
      <c r="EF909" s="453"/>
      <c r="EG909" s="453"/>
      <c r="EH909" s="453"/>
      <c r="EI909" s="453"/>
      <c r="EJ909" s="453"/>
      <c r="EK909" s="453"/>
      <c r="EL909" s="453"/>
      <c r="EM909" s="483">
        <f t="shared" si="240"/>
        <v>600</v>
      </c>
      <c r="EN909" s="485"/>
      <c r="EO909" s="458"/>
      <c r="EP909" s="467"/>
      <c r="EQ909" s="457"/>
      <c r="ER909" s="808"/>
      <c r="ES909" s="881">
        <f t="shared" si="238"/>
        <v>0</v>
      </c>
      <c r="ET909" s="882"/>
      <c r="EU909" s="883"/>
      <c r="EV909" s="884">
        <f t="shared" si="239"/>
        <v>0</v>
      </c>
      <c r="EW909" s="885"/>
      <c r="EX909" s="885"/>
      <c r="EY909" s="885"/>
      <c r="EZ909" s="885"/>
      <c r="FA909" s="885"/>
      <c r="FB909" s="885"/>
      <c r="FC909" s="885"/>
      <c r="FD909" s="886"/>
      <c r="FE909" s="550"/>
      <c r="FF909" s="550"/>
      <c r="FG909" s="550"/>
      <c r="FH909" s="550"/>
      <c r="FI909" s="550"/>
      <c r="FJ909" s="550"/>
      <c r="FK909" s="550"/>
      <c r="FL909" s="555"/>
      <c r="FM909" s="554"/>
      <c r="FN909" s="554"/>
      <c r="FO909" s="554"/>
      <c r="FP909" s="554"/>
      <c r="FQ909" s="554"/>
      <c r="FR909" s="554"/>
      <c r="FS909" s="554"/>
      <c r="FT909" s="554"/>
      <c r="FU909" s="554"/>
      <c r="FV909" s="554"/>
      <c r="FW909" s="554"/>
      <c r="FX909" s="554"/>
      <c r="FY909" s="554"/>
      <c r="FZ909" s="554"/>
      <c r="GA909" s="554"/>
      <c r="GB909" s="556"/>
      <c r="GC909" s="370"/>
      <c r="GD909" s="453"/>
      <c r="GE909" s="453"/>
      <c r="GF909" s="453"/>
      <c r="GG909" s="453"/>
      <c r="GH909" s="454"/>
      <c r="GI909" s="453"/>
      <c r="GJ909" s="453"/>
      <c r="GK909" s="453"/>
      <c r="GL909" s="453"/>
      <c r="GM909" s="453"/>
      <c r="GN909" s="453"/>
      <c r="GO909" s="453"/>
      <c r="GP909" s="453"/>
      <c r="GQ909" s="453"/>
      <c r="GR909" s="453"/>
      <c r="GS909" s="561"/>
      <c r="GT909" s="475"/>
      <c r="GU909" s="472"/>
      <c r="GV909" s="453"/>
      <c r="GW909" s="453"/>
      <c r="GX909" s="869"/>
      <c r="GY909" s="870"/>
      <c r="GZ909" s="867"/>
      <c r="HA909" s="868"/>
      <c r="HB909" s="473"/>
      <c r="HC909" s="869"/>
      <c r="HD909" s="870"/>
      <c r="HE909" s="867"/>
      <c r="HF909" s="868"/>
      <c r="HG909" s="473"/>
      <c r="HH909" s="867"/>
      <c r="HI909" s="868"/>
      <c r="HJ909" s="867"/>
      <c r="HK909" s="868"/>
      <c r="HL909" s="370"/>
      <c r="HM909" s="865"/>
      <c r="HN909" s="866"/>
      <c r="HO909" s="865"/>
      <c r="HP909" s="866"/>
      <c r="HQ909" s="865"/>
      <c r="HR909" s="866"/>
      <c r="HS909" s="867"/>
      <c r="HT909" s="868"/>
      <c r="HU909" s="489"/>
      <c r="HV909" s="865"/>
      <c r="HW909" s="866"/>
    </row>
    <row r="910" spans="25:231" ht="15" customHeight="1">
      <c r="Y910" s="332"/>
      <c r="Z910" s="332"/>
      <c r="AA910" s="332"/>
      <c r="AB910" s="332"/>
      <c r="AC910" s="332"/>
      <c r="AD910" s="332"/>
      <c r="AE910" s="332"/>
      <c r="AF910" s="332"/>
      <c r="AG910" s="332"/>
      <c r="AH910" s="332"/>
      <c r="AI910" s="332"/>
      <c r="AJ910" s="332"/>
      <c r="AK910" s="332"/>
      <c r="AL910" s="332"/>
      <c r="AM910" s="332"/>
      <c r="AN910" s="332"/>
      <c r="AO910" s="332"/>
      <c r="AP910" s="332"/>
      <c r="AQ910" s="332"/>
      <c r="AR910" s="332"/>
      <c r="AS910" s="332"/>
      <c r="AT910" s="332"/>
      <c r="AU910" s="332"/>
      <c r="AV910" s="332"/>
      <c r="AW910" s="332"/>
      <c r="AX910" s="332"/>
      <c r="AY910" s="332"/>
      <c r="AZ910" s="332"/>
      <c r="BA910" s="332"/>
      <c r="BB910" s="332"/>
      <c r="BC910" s="332"/>
      <c r="BD910" s="332"/>
      <c r="BE910" s="332"/>
      <c r="BF910" s="332"/>
      <c r="BG910" s="332"/>
      <c r="BH910" s="332"/>
      <c r="BI910" s="332"/>
      <c r="BJ910" s="332"/>
      <c r="BK910" s="332"/>
      <c r="BL910" s="332"/>
      <c r="BM910" s="332"/>
      <c r="BN910" s="332"/>
      <c r="BO910" s="332"/>
      <c r="BP910" s="332"/>
      <c r="BQ910" s="332"/>
      <c r="BR910" s="332"/>
      <c r="BS910" s="332"/>
      <c r="BT910" s="332"/>
      <c r="BU910" s="332"/>
      <c r="BV910" s="332"/>
      <c r="BW910" s="332"/>
      <c r="BX910" s="332"/>
      <c r="BY910" s="332"/>
      <c r="BZ910" s="332"/>
      <c r="CA910" s="332"/>
      <c r="CB910" s="332"/>
      <c r="CC910" s="332"/>
      <c r="CD910" s="332"/>
      <c r="CE910" s="332"/>
      <c r="CF910" s="332"/>
      <c r="CG910" s="332"/>
      <c r="CH910" s="332"/>
      <c r="CI910" s="332"/>
      <c r="CJ910" s="332"/>
      <c r="CK910" s="332"/>
      <c r="CL910" s="332"/>
      <c r="CM910" s="332"/>
      <c r="CN910" s="332"/>
      <c r="CO910" s="332"/>
      <c r="CP910" s="332"/>
      <c r="CQ910" s="332"/>
      <c r="CR910" s="332"/>
      <c r="CS910" s="332"/>
      <c r="CT910" s="332"/>
      <c r="CU910" s="332"/>
      <c r="CV910" s="332"/>
      <c r="CW910" s="332"/>
      <c r="CX910" s="332"/>
      <c r="CY910" s="332"/>
      <c r="CZ910" s="332"/>
      <c r="DA910" s="332"/>
      <c r="DB910" s="332"/>
      <c r="DC910" s="332"/>
      <c r="DD910" s="332"/>
      <c r="DE910" s="332"/>
      <c r="DF910" s="332"/>
      <c r="DG910" s="332"/>
      <c r="DH910" s="332"/>
      <c r="DI910" s="332"/>
      <c r="DJ910" s="332"/>
      <c r="DK910" s="332"/>
      <c r="DL910" s="332"/>
      <c r="DM910" s="332"/>
      <c r="DN910" s="332"/>
      <c r="DO910" s="332"/>
      <c r="DP910" s="332"/>
      <c r="DQ910" s="332"/>
      <c r="DR910" s="332"/>
      <c r="DS910" s="332"/>
      <c r="DT910" s="332"/>
      <c r="DU910" s="453"/>
      <c r="DV910" s="453"/>
      <c r="DW910" s="453"/>
      <c r="DX910" s="453"/>
      <c r="DY910" s="453"/>
      <c r="DZ910" s="453"/>
      <c r="EA910" s="453"/>
      <c r="EB910" s="453"/>
      <c r="EC910" s="453"/>
      <c r="ED910" s="453"/>
      <c r="EE910" s="453"/>
      <c r="EF910" s="453"/>
      <c r="EG910" s="453"/>
      <c r="EH910" s="453"/>
      <c r="EI910" s="453"/>
      <c r="EJ910" s="453"/>
      <c r="EK910" s="453"/>
      <c r="EL910" s="453"/>
      <c r="EM910" s="483">
        <f t="shared" si="240"/>
        <v>601</v>
      </c>
      <c r="EN910" s="485"/>
      <c r="EO910" s="458"/>
      <c r="EP910" s="467"/>
      <c r="EQ910" s="457"/>
      <c r="ER910" s="808"/>
      <c r="ES910" s="881">
        <f t="shared" si="238"/>
        <v>0</v>
      </c>
      <c r="ET910" s="882"/>
      <c r="EU910" s="883"/>
      <c r="EV910" s="884">
        <f t="shared" si="239"/>
        <v>0</v>
      </c>
      <c r="EW910" s="885"/>
      <c r="EX910" s="885"/>
      <c r="EY910" s="885"/>
      <c r="EZ910" s="885"/>
      <c r="FA910" s="885"/>
      <c r="FB910" s="885"/>
      <c r="FC910" s="885"/>
      <c r="FD910" s="886"/>
      <c r="FE910" s="550"/>
      <c r="FF910" s="550"/>
      <c r="FG910" s="550"/>
      <c r="FH910" s="550"/>
      <c r="FI910" s="550"/>
      <c r="FJ910" s="550"/>
      <c r="FK910" s="550"/>
      <c r="FL910" s="555"/>
      <c r="FM910" s="554"/>
      <c r="FN910" s="554"/>
      <c r="FO910" s="554"/>
      <c r="FP910" s="554"/>
      <c r="FQ910" s="554"/>
      <c r="FR910" s="554"/>
      <c r="FS910" s="554"/>
      <c r="FT910" s="554"/>
      <c r="FU910" s="554"/>
      <c r="FV910" s="554"/>
      <c r="FW910" s="554"/>
      <c r="FX910" s="554"/>
      <c r="FY910" s="554"/>
      <c r="FZ910" s="554"/>
      <c r="GA910" s="554"/>
      <c r="GB910" s="556"/>
      <c r="GC910" s="370"/>
      <c r="GD910" s="453"/>
      <c r="GE910" s="453"/>
      <c r="GF910" s="453"/>
      <c r="GG910" s="453"/>
      <c r="GH910" s="454"/>
      <c r="GI910" s="453"/>
      <c r="GJ910" s="453"/>
      <c r="GK910" s="453"/>
      <c r="GL910" s="453"/>
      <c r="GM910" s="453"/>
      <c r="GN910" s="453"/>
      <c r="GO910" s="453"/>
      <c r="GP910" s="453"/>
      <c r="GQ910" s="453"/>
      <c r="GR910" s="453"/>
      <c r="GS910" s="561"/>
      <c r="GT910" s="475"/>
      <c r="GU910" s="472"/>
      <c r="GV910" s="453"/>
      <c r="GW910" s="453"/>
      <c r="GX910" s="869"/>
      <c r="GY910" s="870"/>
      <c r="GZ910" s="867"/>
      <c r="HA910" s="868"/>
      <c r="HB910" s="473"/>
      <c r="HC910" s="869"/>
      <c r="HD910" s="870"/>
      <c r="HE910" s="867"/>
      <c r="HF910" s="868"/>
      <c r="HG910" s="473"/>
      <c r="HH910" s="867"/>
      <c r="HI910" s="868"/>
      <c r="HJ910" s="867"/>
      <c r="HK910" s="868"/>
      <c r="HL910" s="370"/>
      <c r="HM910" s="865"/>
      <c r="HN910" s="866"/>
      <c r="HO910" s="865"/>
      <c r="HP910" s="866"/>
      <c r="HQ910" s="865"/>
      <c r="HR910" s="866"/>
      <c r="HS910" s="867"/>
      <c r="HT910" s="868"/>
      <c r="HU910" s="489"/>
      <c r="HV910" s="865"/>
      <c r="HW910" s="866"/>
    </row>
    <row r="911" spans="25:231" ht="15" customHeight="1">
      <c r="Y911" s="332"/>
      <c r="Z911" s="332"/>
      <c r="AA911" s="332"/>
      <c r="AB911" s="332"/>
      <c r="AC911" s="332"/>
      <c r="AD911" s="332"/>
      <c r="AE911" s="332"/>
      <c r="AF911" s="332"/>
      <c r="AG911" s="332"/>
      <c r="AH911" s="332"/>
      <c r="AI911" s="332"/>
      <c r="AJ911" s="332"/>
      <c r="AK911" s="332"/>
      <c r="AL911" s="332"/>
      <c r="AM911" s="332"/>
      <c r="AN911" s="332"/>
      <c r="AO911" s="332"/>
      <c r="AP911" s="332"/>
      <c r="AQ911" s="332"/>
      <c r="AR911" s="332"/>
      <c r="AS911" s="332"/>
      <c r="AT911" s="332"/>
      <c r="AU911" s="332"/>
      <c r="AV911" s="332"/>
      <c r="AW911" s="332"/>
      <c r="AX911" s="332"/>
      <c r="AY911" s="332"/>
      <c r="AZ911" s="332"/>
      <c r="BA911" s="332"/>
      <c r="BB911" s="332"/>
      <c r="BC911" s="332"/>
      <c r="BD911" s="332"/>
      <c r="BE911" s="332"/>
      <c r="BF911" s="332"/>
      <c r="BG911" s="332"/>
      <c r="BH911" s="332"/>
      <c r="BI911" s="332"/>
      <c r="BJ911" s="332"/>
      <c r="BK911" s="332"/>
      <c r="BL911" s="332"/>
      <c r="BM911" s="332"/>
      <c r="BN911" s="332"/>
      <c r="BO911" s="332"/>
      <c r="BP911" s="332"/>
      <c r="BQ911" s="332"/>
      <c r="BR911" s="332"/>
      <c r="BS911" s="332"/>
      <c r="BT911" s="332"/>
      <c r="BU911" s="332"/>
      <c r="BV911" s="332"/>
      <c r="BW911" s="332"/>
      <c r="BX911" s="332"/>
      <c r="BY911" s="332"/>
      <c r="BZ911" s="332"/>
      <c r="CA911" s="332"/>
      <c r="CB911" s="332"/>
      <c r="CC911" s="332"/>
      <c r="CD911" s="332"/>
      <c r="CE911" s="332"/>
      <c r="CF911" s="332"/>
      <c r="CG911" s="332"/>
      <c r="CH911" s="332"/>
      <c r="CI911" s="332"/>
      <c r="CJ911" s="332"/>
      <c r="CK911" s="332"/>
      <c r="CL911" s="332"/>
      <c r="CM911" s="332"/>
      <c r="CN911" s="332"/>
      <c r="CO911" s="332"/>
      <c r="CP911" s="332"/>
      <c r="CQ911" s="332"/>
      <c r="CR911" s="332"/>
      <c r="CS911" s="332"/>
      <c r="CT911" s="332"/>
      <c r="CU911" s="332"/>
      <c r="CV911" s="332"/>
      <c r="CW911" s="332"/>
      <c r="CX911" s="332"/>
      <c r="CY911" s="332"/>
      <c r="CZ911" s="332"/>
      <c r="DA911" s="332"/>
      <c r="DB911" s="332"/>
      <c r="DC911" s="332"/>
      <c r="DD911" s="332"/>
      <c r="DE911" s="332"/>
      <c r="DF911" s="332"/>
      <c r="DG911" s="332"/>
      <c r="DH911" s="332"/>
      <c r="DI911" s="332"/>
      <c r="DJ911" s="332"/>
      <c r="DK911" s="332"/>
      <c r="DL911" s="332"/>
      <c r="DM911" s="332"/>
      <c r="DN911" s="332"/>
      <c r="DO911" s="332"/>
      <c r="DP911" s="332"/>
      <c r="DQ911" s="332"/>
      <c r="DR911" s="332"/>
      <c r="DS911" s="332"/>
      <c r="DT911" s="332"/>
      <c r="DU911" s="453"/>
      <c r="DV911" s="453"/>
      <c r="DW911" s="453"/>
      <c r="DX911" s="453"/>
      <c r="DY911" s="453"/>
      <c r="DZ911" s="453"/>
      <c r="EA911" s="453"/>
      <c r="EB911" s="453"/>
      <c r="EC911" s="453"/>
      <c r="ED911" s="453"/>
      <c r="EE911" s="453"/>
      <c r="EF911" s="453"/>
      <c r="EG911" s="453"/>
      <c r="EH911" s="453"/>
      <c r="EI911" s="453"/>
      <c r="EJ911" s="453"/>
      <c r="EK911" s="453"/>
      <c r="EL911" s="453"/>
      <c r="EM911" s="483">
        <f t="shared" si="240"/>
        <v>602</v>
      </c>
      <c r="EN911" s="485"/>
      <c r="EO911" s="458"/>
      <c r="EP911" s="467"/>
      <c r="EQ911" s="457"/>
      <c r="ER911" s="808"/>
      <c r="ES911" s="881">
        <f t="shared" si="238"/>
        <v>0</v>
      </c>
      <c r="ET911" s="882"/>
      <c r="EU911" s="883"/>
      <c r="EV911" s="884">
        <f t="shared" si="239"/>
        <v>0</v>
      </c>
      <c r="EW911" s="885"/>
      <c r="EX911" s="885"/>
      <c r="EY911" s="885"/>
      <c r="EZ911" s="885"/>
      <c r="FA911" s="885"/>
      <c r="FB911" s="885"/>
      <c r="FC911" s="885"/>
      <c r="FD911" s="886"/>
      <c r="FE911" s="550"/>
      <c r="FF911" s="550"/>
      <c r="FG911" s="550"/>
      <c r="FH911" s="550"/>
      <c r="FI911" s="550"/>
      <c r="FJ911" s="550"/>
      <c r="FK911" s="550"/>
      <c r="FL911" s="555"/>
      <c r="FM911" s="554"/>
      <c r="FN911" s="554"/>
      <c r="FO911" s="554"/>
      <c r="FP911" s="554"/>
      <c r="FQ911" s="554"/>
      <c r="FR911" s="554"/>
      <c r="FS911" s="554"/>
      <c r="FT911" s="554"/>
      <c r="FU911" s="554"/>
      <c r="FV911" s="554"/>
      <c r="FW911" s="554"/>
      <c r="FX911" s="554"/>
      <c r="FY911" s="554"/>
      <c r="FZ911" s="554"/>
      <c r="GA911" s="554"/>
      <c r="GB911" s="556"/>
      <c r="GC911" s="370"/>
      <c r="GD911" s="453"/>
      <c r="GE911" s="453"/>
      <c r="GF911" s="453"/>
      <c r="GG911" s="453"/>
      <c r="GH911" s="454"/>
      <c r="GI911" s="453"/>
      <c r="GJ911" s="453"/>
      <c r="GK911" s="453"/>
      <c r="GL911" s="453"/>
      <c r="GM911" s="453"/>
      <c r="GN911" s="453"/>
      <c r="GO911" s="453"/>
      <c r="GP911" s="453"/>
      <c r="GQ911" s="453"/>
      <c r="GR911" s="453"/>
      <c r="GS911" s="561"/>
      <c r="GT911" s="475"/>
      <c r="GU911" s="472"/>
      <c r="GV911" s="453"/>
      <c r="GW911" s="453"/>
      <c r="GX911" s="869"/>
      <c r="GY911" s="870"/>
      <c r="GZ911" s="867"/>
      <c r="HA911" s="868"/>
      <c r="HB911" s="473"/>
      <c r="HC911" s="869"/>
      <c r="HD911" s="870"/>
      <c r="HE911" s="867"/>
      <c r="HF911" s="868"/>
      <c r="HG911" s="473"/>
      <c r="HH911" s="867"/>
      <c r="HI911" s="868"/>
      <c r="HJ911" s="867"/>
      <c r="HK911" s="868"/>
      <c r="HL911" s="370"/>
      <c r="HM911" s="865"/>
      <c r="HN911" s="866"/>
      <c r="HO911" s="865"/>
      <c r="HP911" s="866"/>
      <c r="HQ911" s="865"/>
      <c r="HR911" s="866"/>
      <c r="HS911" s="867"/>
      <c r="HT911" s="868"/>
      <c r="HU911" s="489"/>
      <c r="HV911" s="865"/>
      <c r="HW911" s="866"/>
    </row>
    <row r="912" spans="25:231" ht="15" customHeight="1">
      <c r="Y912" s="332"/>
      <c r="Z912" s="332"/>
      <c r="AA912" s="332"/>
      <c r="AB912" s="332"/>
      <c r="AC912" s="332"/>
      <c r="AD912" s="332"/>
      <c r="AE912" s="332"/>
      <c r="AF912" s="332"/>
      <c r="AG912" s="332"/>
      <c r="AH912" s="332"/>
      <c r="AI912" s="332"/>
      <c r="AJ912" s="332"/>
      <c r="AK912" s="332"/>
      <c r="AL912" s="332"/>
      <c r="AM912" s="332"/>
      <c r="AN912" s="332"/>
      <c r="AO912" s="332"/>
      <c r="AP912" s="332"/>
      <c r="AQ912" s="332"/>
      <c r="AR912" s="332"/>
      <c r="AS912" s="332"/>
      <c r="AT912" s="332"/>
      <c r="AU912" s="332"/>
      <c r="AV912" s="332"/>
      <c r="AW912" s="332"/>
      <c r="AX912" s="332"/>
      <c r="AY912" s="332"/>
      <c r="AZ912" s="332"/>
      <c r="BA912" s="332"/>
      <c r="BB912" s="332"/>
      <c r="BC912" s="332"/>
      <c r="BD912" s="332"/>
      <c r="BE912" s="332"/>
      <c r="BF912" s="332"/>
      <c r="BG912" s="332"/>
      <c r="BH912" s="332"/>
      <c r="BI912" s="332"/>
      <c r="BJ912" s="332"/>
      <c r="BK912" s="332"/>
      <c r="BL912" s="332"/>
      <c r="BM912" s="332"/>
      <c r="BN912" s="332"/>
      <c r="BO912" s="332"/>
      <c r="BP912" s="332"/>
      <c r="BQ912" s="332"/>
      <c r="BR912" s="332"/>
      <c r="BS912" s="332"/>
      <c r="BT912" s="332"/>
      <c r="BU912" s="332"/>
      <c r="BV912" s="332"/>
      <c r="BW912" s="332"/>
      <c r="BX912" s="332"/>
      <c r="BY912" s="332"/>
      <c r="BZ912" s="332"/>
      <c r="CA912" s="332"/>
      <c r="CB912" s="332"/>
      <c r="CC912" s="332"/>
      <c r="CD912" s="332"/>
      <c r="CE912" s="332"/>
      <c r="CF912" s="332"/>
      <c r="CG912" s="332"/>
      <c r="CH912" s="332"/>
      <c r="CI912" s="332"/>
      <c r="CJ912" s="332"/>
      <c r="CK912" s="332"/>
      <c r="CL912" s="332"/>
      <c r="CM912" s="332"/>
      <c r="CN912" s="332"/>
      <c r="CO912" s="332"/>
      <c r="CP912" s="332"/>
      <c r="CQ912" s="332"/>
      <c r="CR912" s="332"/>
      <c r="CS912" s="332"/>
      <c r="CT912" s="332"/>
      <c r="CU912" s="332"/>
      <c r="CV912" s="332"/>
      <c r="CW912" s="332"/>
      <c r="CX912" s="332"/>
      <c r="CY912" s="332"/>
      <c r="CZ912" s="332"/>
      <c r="DA912" s="332"/>
      <c r="DB912" s="332"/>
      <c r="DC912" s="332"/>
      <c r="DD912" s="332"/>
      <c r="DE912" s="332"/>
      <c r="DF912" s="332"/>
      <c r="DG912" s="332"/>
      <c r="DH912" s="332"/>
      <c r="DI912" s="332"/>
      <c r="DJ912" s="332"/>
      <c r="DK912" s="332"/>
      <c r="DL912" s="332"/>
      <c r="DM912" s="332"/>
      <c r="DN912" s="332"/>
      <c r="DO912" s="332"/>
      <c r="DP912" s="332"/>
      <c r="DQ912" s="332"/>
      <c r="DR912" s="332"/>
      <c r="DS912" s="332"/>
      <c r="DT912" s="332"/>
      <c r="DU912" s="453"/>
      <c r="DV912" s="453"/>
      <c r="DW912" s="453"/>
      <c r="DX912" s="453"/>
      <c r="DY912" s="453"/>
      <c r="DZ912" s="453"/>
      <c r="EA912" s="453"/>
      <c r="EB912" s="453"/>
      <c r="EC912" s="453"/>
      <c r="ED912" s="453"/>
      <c r="EE912" s="453"/>
      <c r="EF912" s="453"/>
      <c r="EG912" s="453"/>
      <c r="EH912" s="453"/>
      <c r="EI912" s="453"/>
      <c r="EJ912" s="453"/>
      <c r="EK912" s="453"/>
      <c r="EL912" s="453"/>
      <c r="EM912" s="483">
        <f t="shared" si="240"/>
        <v>603</v>
      </c>
      <c r="EN912" s="485"/>
      <c r="EO912" s="458"/>
      <c r="EP912" s="467"/>
      <c r="EQ912" s="457"/>
      <c r="ER912" s="808"/>
      <c r="ES912" s="881">
        <f t="shared" si="238"/>
        <v>0</v>
      </c>
      <c r="ET912" s="882"/>
      <c r="EU912" s="883"/>
      <c r="EV912" s="884">
        <f t="shared" si="239"/>
        <v>0</v>
      </c>
      <c r="EW912" s="885"/>
      <c r="EX912" s="885"/>
      <c r="EY912" s="885"/>
      <c r="EZ912" s="885"/>
      <c r="FA912" s="885"/>
      <c r="FB912" s="885"/>
      <c r="FC912" s="885"/>
      <c r="FD912" s="886"/>
      <c r="FE912" s="550"/>
      <c r="FF912" s="550"/>
      <c r="FG912" s="550"/>
      <c r="FH912" s="550"/>
      <c r="FI912" s="550"/>
      <c r="FJ912" s="550"/>
      <c r="FK912" s="550"/>
      <c r="FL912" s="555"/>
      <c r="FM912" s="554"/>
      <c r="FN912" s="554"/>
      <c r="FO912" s="554"/>
      <c r="FP912" s="554"/>
      <c r="FQ912" s="554"/>
      <c r="FR912" s="554"/>
      <c r="FS912" s="554"/>
      <c r="FT912" s="554"/>
      <c r="FU912" s="554"/>
      <c r="FV912" s="554"/>
      <c r="FW912" s="554"/>
      <c r="FX912" s="554"/>
      <c r="FY912" s="554"/>
      <c r="FZ912" s="554"/>
      <c r="GA912" s="554"/>
      <c r="GB912" s="556"/>
      <c r="GC912" s="370"/>
      <c r="GD912" s="453"/>
      <c r="GE912" s="453"/>
      <c r="GF912" s="453"/>
      <c r="GG912" s="453"/>
      <c r="GH912" s="454"/>
      <c r="GI912" s="453"/>
      <c r="GJ912" s="453"/>
      <c r="GK912" s="453"/>
      <c r="GL912" s="453"/>
      <c r="GM912" s="453"/>
      <c r="GN912" s="453"/>
      <c r="GO912" s="453"/>
      <c r="GP912" s="453"/>
      <c r="GQ912" s="453"/>
      <c r="GR912" s="453"/>
      <c r="GS912" s="561"/>
      <c r="GT912" s="475"/>
      <c r="GU912" s="472"/>
      <c r="GV912" s="453"/>
      <c r="GW912" s="453"/>
      <c r="GX912" s="869"/>
      <c r="GY912" s="870"/>
      <c r="GZ912" s="867"/>
      <c r="HA912" s="868"/>
      <c r="HB912" s="473"/>
      <c r="HC912" s="869"/>
      <c r="HD912" s="870"/>
      <c r="HE912" s="867"/>
      <c r="HF912" s="868"/>
      <c r="HG912" s="473"/>
      <c r="HH912" s="867"/>
      <c r="HI912" s="868"/>
      <c r="HJ912" s="867"/>
      <c r="HK912" s="868"/>
      <c r="HL912" s="370"/>
      <c r="HM912" s="865"/>
      <c r="HN912" s="866"/>
      <c r="HO912" s="865"/>
      <c r="HP912" s="866"/>
      <c r="HQ912" s="865"/>
      <c r="HR912" s="866"/>
      <c r="HS912" s="867"/>
      <c r="HT912" s="868"/>
      <c r="HU912" s="489"/>
      <c r="HV912" s="865"/>
      <c r="HW912" s="866"/>
    </row>
    <row r="913" spans="25:231" ht="15" customHeight="1">
      <c r="Y913" s="332"/>
      <c r="Z913" s="332"/>
      <c r="AA913" s="332"/>
      <c r="AB913" s="332"/>
      <c r="AC913" s="332"/>
      <c r="AD913" s="332"/>
      <c r="AE913" s="332"/>
      <c r="AF913" s="332"/>
      <c r="AG913" s="332"/>
      <c r="AH913" s="332"/>
      <c r="AI913" s="332"/>
      <c r="AJ913" s="332"/>
      <c r="AK913" s="332"/>
      <c r="AL913" s="332"/>
      <c r="AM913" s="332"/>
      <c r="AN913" s="332"/>
      <c r="AO913" s="332"/>
      <c r="AP913" s="332"/>
      <c r="AQ913" s="332"/>
      <c r="AR913" s="332"/>
      <c r="AS913" s="332"/>
      <c r="AT913" s="332"/>
      <c r="AU913" s="332"/>
      <c r="AV913" s="332"/>
      <c r="AW913" s="332"/>
      <c r="AX913" s="332"/>
      <c r="AY913" s="332"/>
      <c r="AZ913" s="332"/>
      <c r="BA913" s="332"/>
      <c r="BB913" s="332"/>
      <c r="BC913" s="332"/>
      <c r="BD913" s="332"/>
      <c r="BE913" s="332"/>
      <c r="BF913" s="332"/>
      <c r="BG913" s="332"/>
      <c r="BH913" s="332"/>
      <c r="BI913" s="332"/>
      <c r="BJ913" s="332"/>
      <c r="BK913" s="332"/>
      <c r="BL913" s="332"/>
      <c r="BM913" s="332"/>
      <c r="BN913" s="332"/>
      <c r="BO913" s="332"/>
      <c r="BP913" s="332"/>
      <c r="BQ913" s="332"/>
      <c r="BR913" s="332"/>
      <c r="BS913" s="332"/>
      <c r="BT913" s="332"/>
      <c r="BU913" s="332"/>
      <c r="BV913" s="332"/>
      <c r="BW913" s="332"/>
      <c r="BX913" s="332"/>
      <c r="BY913" s="332"/>
      <c r="BZ913" s="332"/>
      <c r="CA913" s="332"/>
      <c r="CB913" s="332"/>
      <c r="CC913" s="332"/>
      <c r="CD913" s="332"/>
      <c r="CE913" s="332"/>
      <c r="CF913" s="332"/>
      <c r="CG913" s="332"/>
      <c r="CH913" s="332"/>
      <c r="CI913" s="332"/>
      <c r="CJ913" s="332"/>
      <c r="CK913" s="332"/>
      <c r="CL913" s="332"/>
      <c r="CM913" s="332"/>
      <c r="CN913" s="332"/>
      <c r="CO913" s="332"/>
      <c r="CP913" s="332"/>
      <c r="CQ913" s="332"/>
      <c r="CR913" s="332"/>
      <c r="CS913" s="332"/>
      <c r="CT913" s="332"/>
      <c r="CU913" s="332"/>
      <c r="CV913" s="332"/>
      <c r="CW913" s="332"/>
      <c r="CX913" s="332"/>
      <c r="CY913" s="332"/>
      <c r="CZ913" s="332"/>
      <c r="DA913" s="332"/>
      <c r="DB913" s="332"/>
      <c r="DC913" s="332"/>
      <c r="DD913" s="332"/>
      <c r="DE913" s="332"/>
      <c r="DF913" s="332"/>
      <c r="DG913" s="332"/>
      <c r="DH913" s="332"/>
      <c r="DI913" s="332"/>
      <c r="DJ913" s="332"/>
      <c r="DK913" s="332"/>
      <c r="DL913" s="332"/>
      <c r="DM913" s="332"/>
      <c r="DN913" s="332"/>
      <c r="DO913" s="332"/>
      <c r="DP913" s="332"/>
      <c r="DQ913" s="332"/>
      <c r="DR913" s="332"/>
      <c r="DS913" s="332"/>
      <c r="DT913" s="332"/>
      <c r="DU913" s="453"/>
      <c r="DV913" s="453"/>
      <c r="DW913" s="453"/>
      <c r="DX913" s="453"/>
      <c r="DY913" s="453"/>
      <c r="DZ913" s="453"/>
      <c r="EA913" s="453"/>
      <c r="EB913" s="453"/>
      <c r="EC913" s="453"/>
      <c r="ED913" s="453"/>
      <c r="EE913" s="453"/>
      <c r="EF913" s="453"/>
      <c r="EG913" s="453"/>
      <c r="EH913" s="453"/>
      <c r="EI913" s="453"/>
      <c r="EJ913" s="453"/>
      <c r="EK913" s="453"/>
      <c r="EL913" s="453"/>
      <c r="EM913" s="483">
        <f t="shared" si="240"/>
        <v>604</v>
      </c>
      <c r="EN913" s="485"/>
      <c r="EO913" s="458"/>
      <c r="EP913" s="467"/>
      <c r="EQ913" s="457"/>
      <c r="ER913" s="808"/>
      <c r="ES913" s="881">
        <f t="shared" si="238"/>
        <v>0</v>
      </c>
      <c r="ET913" s="882"/>
      <c r="EU913" s="883"/>
      <c r="EV913" s="884">
        <f t="shared" si="239"/>
        <v>0</v>
      </c>
      <c r="EW913" s="885"/>
      <c r="EX913" s="885"/>
      <c r="EY913" s="885"/>
      <c r="EZ913" s="885"/>
      <c r="FA913" s="885"/>
      <c r="FB913" s="885"/>
      <c r="FC913" s="885"/>
      <c r="FD913" s="886"/>
      <c r="FE913" s="550"/>
      <c r="FF913" s="550"/>
      <c r="FG913" s="550"/>
      <c r="FH913" s="550"/>
      <c r="FI913" s="550"/>
      <c r="FJ913" s="550"/>
      <c r="FK913" s="550"/>
      <c r="FL913" s="555"/>
      <c r="FM913" s="554"/>
      <c r="FN913" s="554"/>
      <c r="FO913" s="554"/>
      <c r="FP913" s="554"/>
      <c r="FQ913" s="554"/>
      <c r="FR913" s="554"/>
      <c r="FS913" s="554"/>
      <c r="FT913" s="554"/>
      <c r="FU913" s="554"/>
      <c r="FV913" s="554"/>
      <c r="FW913" s="554"/>
      <c r="FX913" s="554"/>
      <c r="FY913" s="554"/>
      <c r="FZ913" s="554"/>
      <c r="GA913" s="554"/>
      <c r="GB913" s="556"/>
      <c r="GC913" s="370"/>
      <c r="GD913" s="453"/>
      <c r="GE913" s="453"/>
      <c r="GF913" s="453"/>
      <c r="GG913" s="453"/>
      <c r="GH913" s="454"/>
      <c r="GI913" s="453"/>
      <c r="GJ913" s="453"/>
      <c r="GK913" s="453"/>
      <c r="GL913" s="453"/>
      <c r="GM913" s="453"/>
      <c r="GN913" s="453"/>
      <c r="GO913" s="453"/>
      <c r="GP913" s="453"/>
      <c r="GQ913" s="453"/>
      <c r="GR913" s="453"/>
      <c r="GS913" s="561"/>
      <c r="GT913" s="475"/>
      <c r="GU913" s="472"/>
      <c r="GV913" s="453"/>
      <c r="GW913" s="453"/>
      <c r="GX913" s="869"/>
      <c r="GY913" s="870"/>
      <c r="GZ913" s="867"/>
      <c r="HA913" s="868"/>
      <c r="HB913" s="473"/>
      <c r="HC913" s="869"/>
      <c r="HD913" s="870"/>
      <c r="HE913" s="867"/>
      <c r="HF913" s="868"/>
      <c r="HG913" s="473"/>
      <c r="HH913" s="867"/>
      <c r="HI913" s="868"/>
      <c r="HJ913" s="867"/>
      <c r="HK913" s="868"/>
      <c r="HL913" s="370"/>
      <c r="HM913" s="865"/>
      <c r="HN913" s="866"/>
      <c r="HO913" s="865"/>
      <c r="HP913" s="866"/>
      <c r="HQ913" s="865"/>
      <c r="HR913" s="866"/>
      <c r="HS913" s="867"/>
      <c r="HT913" s="868"/>
      <c r="HU913" s="489"/>
      <c r="HV913" s="865"/>
      <c r="HW913" s="866"/>
    </row>
    <row r="914" spans="25:231" ht="15" customHeight="1">
      <c r="Y914" s="332"/>
      <c r="Z914" s="332"/>
      <c r="AA914" s="332"/>
      <c r="AB914" s="332"/>
      <c r="AC914" s="332"/>
      <c r="AD914" s="332"/>
      <c r="AE914" s="332"/>
      <c r="AF914" s="332"/>
      <c r="AG914" s="332"/>
      <c r="AH914" s="332"/>
      <c r="AI914" s="332"/>
      <c r="AJ914" s="332"/>
      <c r="AK914" s="332"/>
      <c r="AL914" s="332"/>
      <c r="AM914" s="332"/>
      <c r="AN914" s="332"/>
      <c r="AO914" s="332"/>
      <c r="AP914" s="332"/>
      <c r="AQ914" s="332"/>
      <c r="AR914" s="332"/>
      <c r="AS914" s="332"/>
      <c r="AT914" s="332"/>
      <c r="AU914" s="332"/>
      <c r="AV914" s="332"/>
      <c r="AW914" s="332"/>
      <c r="AX914" s="332"/>
      <c r="AY914" s="332"/>
      <c r="AZ914" s="332"/>
      <c r="BA914" s="332"/>
      <c r="BB914" s="332"/>
      <c r="BC914" s="332"/>
      <c r="BD914" s="332"/>
      <c r="BE914" s="332"/>
      <c r="BF914" s="332"/>
      <c r="BG914" s="332"/>
      <c r="BH914" s="332"/>
      <c r="BI914" s="332"/>
      <c r="BJ914" s="332"/>
      <c r="BK914" s="332"/>
      <c r="BL914" s="332"/>
      <c r="BM914" s="332"/>
      <c r="BN914" s="332"/>
      <c r="BO914" s="332"/>
      <c r="BP914" s="332"/>
      <c r="BQ914" s="332"/>
      <c r="BR914" s="332"/>
      <c r="BS914" s="332"/>
      <c r="BT914" s="332"/>
      <c r="BU914" s="332"/>
      <c r="BV914" s="332"/>
      <c r="BW914" s="332"/>
      <c r="BX914" s="332"/>
      <c r="BY914" s="332"/>
      <c r="BZ914" s="332"/>
      <c r="CA914" s="332"/>
      <c r="CB914" s="332"/>
      <c r="CC914" s="332"/>
      <c r="CD914" s="332"/>
      <c r="CE914" s="332"/>
      <c r="CF914" s="332"/>
      <c r="CG914" s="332"/>
      <c r="CH914" s="332"/>
      <c r="CI914" s="332"/>
      <c r="CJ914" s="332"/>
      <c r="CK914" s="332"/>
      <c r="CL914" s="332"/>
      <c r="CM914" s="332"/>
      <c r="CN914" s="332"/>
      <c r="CO914" s="332"/>
      <c r="CP914" s="332"/>
      <c r="CQ914" s="332"/>
      <c r="CR914" s="332"/>
      <c r="CS914" s="332"/>
      <c r="CT914" s="332"/>
      <c r="CU914" s="332"/>
      <c r="CV914" s="332"/>
      <c r="CW914" s="332"/>
      <c r="CX914" s="332"/>
      <c r="CY914" s="332"/>
      <c r="CZ914" s="332"/>
      <c r="DA914" s="332"/>
      <c r="DB914" s="332"/>
      <c r="DC914" s="332"/>
      <c r="DD914" s="332"/>
      <c r="DE914" s="332"/>
      <c r="DF914" s="332"/>
      <c r="DG914" s="332"/>
      <c r="DH914" s="332"/>
      <c r="DI914" s="332"/>
      <c r="DJ914" s="332"/>
      <c r="DK914" s="332"/>
      <c r="DL914" s="332"/>
      <c r="DM914" s="332"/>
      <c r="DN914" s="332"/>
      <c r="DO914" s="332"/>
      <c r="DP914" s="332"/>
      <c r="DQ914" s="332"/>
      <c r="DR914" s="332"/>
      <c r="DS914" s="332"/>
      <c r="DT914" s="332"/>
      <c r="DU914" s="453"/>
      <c r="DV914" s="453"/>
      <c r="DW914" s="453"/>
      <c r="DX914" s="453"/>
      <c r="DY914" s="453"/>
      <c r="DZ914" s="453"/>
      <c r="EA914" s="453"/>
      <c r="EB914" s="453"/>
      <c r="EC914" s="453"/>
      <c r="ED914" s="453"/>
      <c r="EE914" s="453"/>
      <c r="EF914" s="453"/>
      <c r="EG914" s="453"/>
      <c r="EH914" s="453"/>
      <c r="EI914" s="453"/>
      <c r="EJ914" s="453"/>
      <c r="EK914" s="453"/>
      <c r="EL914" s="453"/>
      <c r="EM914" s="483">
        <f t="shared" si="240"/>
        <v>605</v>
      </c>
      <c r="EN914" s="485"/>
      <c r="EO914" s="458"/>
      <c r="EP914" s="467"/>
      <c r="EQ914" s="457"/>
      <c r="ER914" s="808"/>
      <c r="ES914" s="881">
        <f t="shared" si="238"/>
        <v>0</v>
      </c>
      <c r="ET914" s="882"/>
      <c r="EU914" s="883"/>
      <c r="EV914" s="884">
        <f t="shared" si="239"/>
        <v>0</v>
      </c>
      <c r="EW914" s="885"/>
      <c r="EX914" s="885"/>
      <c r="EY914" s="885"/>
      <c r="EZ914" s="885"/>
      <c r="FA914" s="885"/>
      <c r="FB914" s="885"/>
      <c r="FC914" s="885"/>
      <c r="FD914" s="886"/>
      <c r="FE914" s="550"/>
      <c r="FF914" s="550"/>
      <c r="FG914" s="550"/>
      <c r="FH914" s="550"/>
      <c r="FI914" s="550"/>
      <c r="FJ914" s="550"/>
      <c r="FK914" s="550"/>
      <c r="FL914" s="555"/>
      <c r="FM914" s="554"/>
      <c r="FN914" s="554"/>
      <c r="FO914" s="554"/>
      <c r="FP914" s="554"/>
      <c r="FQ914" s="554"/>
      <c r="FR914" s="554"/>
      <c r="FS914" s="554"/>
      <c r="FT914" s="554"/>
      <c r="FU914" s="554"/>
      <c r="FV914" s="554"/>
      <c r="FW914" s="554"/>
      <c r="FX914" s="554"/>
      <c r="FY914" s="554"/>
      <c r="FZ914" s="554"/>
      <c r="GA914" s="554"/>
      <c r="GB914" s="556"/>
      <c r="GC914" s="370"/>
      <c r="GD914" s="453"/>
      <c r="GE914" s="453"/>
      <c r="GF914" s="453"/>
      <c r="GG914" s="453"/>
      <c r="GH914" s="454"/>
      <c r="GI914" s="453"/>
      <c r="GJ914" s="453"/>
      <c r="GK914" s="453"/>
      <c r="GL914" s="453"/>
      <c r="GM914" s="453"/>
      <c r="GN914" s="453"/>
      <c r="GO914" s="453"/>
      <c r="GP914" s="453"/>
      <c r="GQ914" s="453"/>
      <c r="GR914" s="453"/>
      <c r="GS914" s="561"/>
      <c r="GT914" s="475"/>
      <c r="GU914" s="472"/>
      <c r="GV914" s="453"/>
      <c r="GW914" s="453"/>
      <c r="GX914" s="869"/>
      <c r="GY914" s="870"/>
      <c r="GZ914" s="867"/>
      <c r="HA914" s="868"/>
      <c r="HB914" s="473"/>
      <c r="HC914" s="869"/>
      <c r="HD914" s="870"/>
      <c r="HE914" s="867"/>
      <c r="HF914" s="868"/>
      <c r="HG914" s="473"/>
      <c r="HH914" s="867"/>
      <c r="HI914" s="868"/>
      <c r="HJ914" s="867"/>
      <c r="HK914" s="868"/>
      <c r="HL914" s="370"/>
      <c r="HM914" s="865"/>
      <c r="HN914" s="866"/>
      <c r="HO914" s="865"/>
      <c r="HP914" s="866"/>
      <c r="HQ914" s="865"/>
      <c r="HR914" s="866"/>
      <c r="HS914" s="867"/>
      <c r="HT914" s="868"/>
      <c r="HU914" s="489"/>
      <c r="HV914" s="865"/>
      <c r="HW914" s="866"/>
    </row>
    <row r="915" spans="25:231" ht="15" customHeight="1">
      <c r="Y915" s="332"/>
      <c r="Z915" s="332"/>
      <c r="AA915" s="332"/>
      <c r="AB915" s="332"/>
      <c r="AC915" s="332"/>
      <c r="AD915" s="332"/>
      <c r="AE915" s="332"/>
      <c r="AF915" s="332"/>
      <c r="AG915" s="332"/>
      <c r="AH915" s="332"/>
      <c r="AI915" s="332"/>
      <c r="AJ915" s="332"/>
      <c r="AK915" s="332"/>
      <c r="AL915" s="332"/>
      <c r="AM915" s="332"/>
      <c r="AN915" s="332"/>
      <c r="AO915" s="332"/>
      <c r="AP915" s="332"/>
      <c r="AQ915" s="332"/>
      <c r="AR915" s="332"/>
      <c r="AS915" s="332"/>
      <c r="AT915" s="332"/>
      <c r="AU915" s="332"/>
      <c r="AV915" s="332"/>
      <c r="AW915" s="332"/>
      <c r="AX915" s="332"/>
      <c r="AY915" s="332"/>
      <c r="AZ915" s="332"/>
      <c r="BA915" s="332"/>
      <c r="BB915" s="332"/>
      <c r="BC915" s="332"/>
      <c r="BD915" s="332"/>
      <c r="BE915" s="332"/>
      <c r="BF915" s="332"/>
      <c r="BG915" s="332"/>
      <c r="BH915" s="332"/>
      <c r="BI915" s="332"/>
      <c r="BJ915" s="332"/>
      <c r="BK915" s="332"/>
      <c r="BL915" s="332"/>
      <c r="BM915" s="332"/>
      <c r="BN915" s="332"/>
      <c r="BO915" s="332"/>
      <c r="BP915" s="332"/>
      <c r="BQ915" s="332"/>
      <c r="BR915" s="332"/>
      <c r="BS915" s="332"/>
      <c r="BT915" s="332"/>
      <c r="BU915" s="332"/>
      <c r="BV915" s="332"/>
      <c r="BW915" s="332"/>
      <c r="BX915" s="332"/>
      <c r="BY915" s="332"/>
      <c r="BZ915" s="332"/>
      <c r="CA915" s="332"/>
      <c r="CB915" s="332"/>
      <c r="CC915" s="332"/>
      <c r="CD915" s="332"/>
      <c r="CE915" s="332"/>
      <c r="CF915" s="332"/>
      <c r="CG915" s="332"/>
      <c r="CH915" s="332"/>
      <c r="CI915" s="332"/>
      <c r="CJ915" s="332"/>
      <c r="CK915" s="332"/>
      <c r="CL915" s="332"/>
      <c r="CM915" s="332"/>
      <c r="CN915" s="332"/>
      <c r="CO915" s="332"/>
      <c r="CP915" s="332"/>
      <c r="CQ915" s="332"/>
      <c r="CR915" s="332"/>
      <c r="CS915" s="332"/>
      <c r="CT915" s="332"/>
      <c r="CU915" s="332"/>
      <c r="CV915" s="332"/>
      <c r="CW915" s="332"/>
      <c r="CX915" s="332"/>
      <c r="CY915" s="332"/>
      <c r="CZ915" s="332"/>
      <c r="DA915" s="332"/>
      <c r="DB915" s="332"/>
      <c r="DC915" s="332"/>
      <c r="DD915" s="332"/>
      <c r="DE915" s="332"/>
      <c r="DF915" s="332"/>
      <c r="DG915" s="332"/>
      <c r="DH915" s="332"/>
      <c r="DI915" s="332"/>
      <c r="DJ915" s="332"/>
      <c r="DK915" s="332"/>
      <c r="DL915" s="332"/>
      <c r="DM915" s="332"/>
      <c r="DN915" s="332"/>
      <c r="DO915" s="332"/>
      <c r="DP915" s="332"/>
      <c r="DQ915" s="332"/>
      <c r="DR915" s="332"/>
      <c r="DS915" s="332"/>
      <c r="DT915" s="332"/>
      <c r="DU915" s="453"/>
      <c r="DV915" s="453"/>
      <c r="DW915" s="453"/>
      <c r="DX915" s="453"/>
      <c r="DY915" s="453"/>
      <c r="DZ915" s="453"/>
      <c r="EA915" s="453"/>
      <c r="EB915" s="453"/>
      <c r="EC915" s="453"/>
      <c r="ED915" s="453"/>
      <c r="EE915" s="453"/>
      <c r="EF915" s="453"/>
      <c r="EG915" s="453"/>
      <c r="EH915" s="453"/>
      <c r="EI915" s="453"/>
      <c r="EJ915" s="453"/>
      <c r="EK915" s="453"/>
      <c r="EL915" s="453"/>
      <c r="EM915" s="483">
        <f t="shared" si="240"/>
        <v>606</v>
      </c>
      <c r="EN915" s="485"/>
      <c r="EO915" s="458"/>
      <c r="EP915" s="467"/>
      <c r="EQ915" s="457"/>
      <c r="ER915" s="808"/>
      <c r="ES915" s="881">
        <f t="shared" si="238"/>
        <v>0</v>
      </c>
      <c r="ET915" s="882"/>
      <c r="EU915" s="883"/>
      <c r="EV915" s="884">
        <f t="shared" si="239"/>
        <v>0</v>
      </c>
      <c r="EW915" s="885"/>
      <c r="EX915" s="885"/>
      <c r="EY915" s="885"/>
      <c r="EZ915" s="885"/>
      <c r="FA915" s="885"/>
      <c r="FB915" s="885"/>
      <c r="FC915" s="885"/>
      <c r="FD915" s="886"/>
      <c r="FE915" s="550"/>
      <c r="FF915" s="550"/>
      <c r="FG915" s="550"/>
      <c r="FH915" s="550"/>
      <c r="FI915" s="550"/>
      <c r="FJ915" s="550"/>
      <c r="FK915" s="550"/>
      <c r="FL915" s="555"/>
      <c r="FM915" s="554"/>
      <c r="FN915" s="554"/>
      <c r="FO915" s="554"/>
      <c r="FP915" s="554"/>
      <c r="FQ915" s="554"/>
      <c r="FR915" s="554"/>
      <c r="FS915" s="554"/>
      <c r="FT915" s="554"/>
      <c r="FU915" s="554"/>
      <c r="FV915" s="554"/>
      <c r="FW915" s="554"/>
      <c r="FX915" s="554"/>
      <c r="FY915" s="554"/>
      <c r="FZ915" s="554"/>
      <c r="GA915" s="554"/>
      <c r="GB915" s="556"/>
      <c r="GC915" s="370"/>
      <c r="GD915" s="453"/>
      <c r="GE915" s="453"/>
      <c r="GF915" s="453"/>
      <c r="GG915" s="453"/>
      <c r="GH915" s="454"/>
      <c r="GI915" s="453"/>
      <c r="GJ915" s="453"/>
      <c r="GK915" s="453"/>
      <c r="GL915" s="453"/>
      <c r="GM915" s="453"/>
      <c r="GN915" s="453"/>
      <c r="GO915" s="453"/>
      <c r="GP915" s="453"/>
      <c r="GQ915" s="453"/>
      <c r="GR915" s="453"/>
      <c r="GS915" s="561"/>
      <c r="GT915" s="475"/>
      <c r="GU915" s="472"/>
      <c r="GV915" s="453"/>
      <c r="GW915" s="453"/>
      <c r="GX915" s="869"/>
      <c r="GY915" s="870"/>
      <c r="GZ915" s="867"/>
      <c r="HA915" s="868"/>
      <c r="HB915" s="473"/>
      <c r="HC915" s="869"/>
      <c r="HD915" s="870"/>
      <c r="HE915" s="867"/>
      <c r="HF915" s="868"/>
      <c r="HG915" s="473"/>
      <c r="HH915" s="867"/>
      <c r="HI915" s="868"/>
      <c r="HJ915" s="867"/>
      <c r="HK915" s="868"/>
      <c r="HL915" s="370"/>
      <c r="HM915" s="865"/>
      <c r="HN915" s="866"/>
      <c r="HO915" s="865"/>
      <c r="HP915" s="866"/>
      <c r="HQ915" s="865"/>
      <c r="HR915" s="866"/>
      <c r="HS915" s="867"/>
      <c r="HT915" s="868"/>
      <c r="HU915" s="489"/>
      <c r="HV915" s="865"/>
      <c r="HW915" s="866"/>
    </row>
    <row r="916" spans="25:231" ht="15" customHeight="1">
      <c r="Y916" s="332"/>
      <c r="Z916" s="332"/>
      <c r="AA916" s="332"/>
      <c r="AB916" s="332"/>
      <c r="AC916" s="332"/>
      <c r="AD916" s="332"/>
      <c r="AE916" s="332"/>
      <c r="AF916" s="332"/>
      <c r="AG916" s="332"/>
      <c r="AH916" s="332"/>
      <c r="AI916" s="332"/>
      <c r="AJ916" s="332"/>
      <c r="AK916" s="332"/>
      <c r="AL916" s="332"/>
      <c r="AM916" s="332"/>
      <c r="AN916" s="332"/>
      <c r="AO916" s="332"/>
      <c r="AP916" s="332"/>
      <c r="AQ916" s="332"/>
      <c r="AR916" s="332"/>
      <c r="AS916" s="332"/>
      <c r="AT916" s="332"/>
      <c r="AU916" s="332"/>
      <c r="AV916" s="332"/>
      <c r="AW916" s="332"/>
      <c r="AX916" s="332"/>
      <c r="AY916" s="332"/>
      <c r="AZ916" s="332"/>
      <c r="BA916" s="332"/>
      <c r="BB916" s="332"/>
      <c r="BC916" s="332"/>
      <c r="BD916" s="332"/>
      <c r="BE916" s="332"/>
      <c r="BF916" s="332"/>
      <c r="BG916" s="332"/>
      <c r="BH916" s="332"/>
      <c r="BI916" s="332"/>
      <c r="BJ916" s="332"/>
      <c r="BK916" s="332"/>
      <c r="BL916" s="332"/>
      <c r="BM916" s="332"/>
      <c r="BN916" s="332"/>
      <c r="BO916" s="332"/>
      <c r="BP916" s="332"/>
      <c r="BQ916" s="332"/>
      <c r="BR916" s="332"/>
      <c r="BS916" s="332"/>
      <c r="BT916" s="332"/>
      <c r="BU916" s="332"/>
      <c r="BV916" s="332"/>
      <c r="BW916" s="332"/>
      <c r="BX916" s="332"/>
      <c r="BY916" s="332"/>
      <c r="BZ916" s="332"/>
      <c r="CA916" s="332"/>
      <c r="CB916" s="332"/>
      <c r="CC916" s="332"/>
      <c r="CD916" s="332"/>
      <c r="CE916" s="332"/>
      <c r="CF916" s="332"/>
      <c r="CG916" s="332"/>
      <c r="CH916" s="332"/>
      <c r="CI916" s="332"/>
      <c r="CJ916" s="332"/>
      <c r="CK916" s="332"/>
      <c r="CL916" s="332"/>
      <c r="CM916" s="332"/>
      <c r="CN916" s="332"/>
      <c r="CO916" s="332"/>
      <c r="CP916" s="332"/>
      <c r="CQ916" s="332"/>
      <c r="CR916" s="332"/>
      <c r="CS916" s="332"/>
      <c r="CT916" s="332"/>
      <c r="CU916" s="332"/>
      <c r="CV916" s="332"/>
      <c r="CW916" s="332"/>
      <c r="CX916" s="332"/>
      <c r="CY916" s="332"/>
      <c r="CZ916" s="332"/>
      <c r="DA916" s="332"/>
      <c r="DB916" s="332"/>
      <c r="DC916" s="332"/>
      <c r="DD916" s="332"/>
      <c r="DE916" s="332"/>
      <c r="DF916" s="332"/>
      <c r="DG916" s="332"/>
      <c r="DH916" s="332"/>
      <c r="DI916" s="332"/>
      <c r="DJ916" s="332"/>
      <c r="DK916" s="332"/>
      <c r="DL916" s="332"/>
      <c r="DM916" s="332"/>
      <c r="DN916" s="332"/>
      <c r="DO916" s="332"/>
      <c r="DP916" s="332"/>
      <c r="DQ916" s="332"/>
      <c r="DR916" s="332"/>
      <c r="DS916" s="332"/>
      <c r="DT916" s="332"/>
      <c r="DU916" s="453"/>
      <c r="DV916" s="453"/>
      <c r="DW916" s="453"/>
      <c r="DX916" s="453"/>
      <c r="DY916" s="453"/>
      <c r="DZ916" s="453"/>
      <c r="EA916" s="453"/>
      <c r="EB916" s="453"/>
      <c r="EC916" s="453"/>
      <c r="ED916" s="453"/>
      <c r="EE916" s="453"/>
      <c r="EF916" s="453"/>
      <c r="EG916" s="453"/>
      <c r="EH916" s="453"/>
      <c r="EI916" s="453"/>
      <c r="EJ916" s="453"/>
      <c r="EK916" s="453"/>
      <c r="EL916" s="453"/>
      <c r="EM916" s="483">
        <f t="shared" si="240"/>
        <v>607</v>
      </c>
      <c r="EN916" s="485"/>
      <c r="EO916" s="458"/>
      <c r="EP916" s="467"/>
      <c r="EQ916" s="457"/>
      <c r="ER916" s="808"/>
      <c r="ES916" s="881">
        <f t="shared" si="238"/>
        <v>0</v>
      </c>
      <c r="ET916" s="882"/>
      <c r="EU916" s="883"/>
      <c r="EV916" s="884">
        <f t="shared" si="239"/>
        <v>0</v>
      </c>
      <c r="EW916" s="885"/>
      <c r="EX916" s="885"/>
      <c r="EY916" s="885"/>
      <c r="EZ916" s="885"/>
      <c r="FA916" s="885"/>
      <c r="FB916" s="885"/>
      <c r="FC916" s="885"/>
      <c r="FD916" s="886"/>
      <c r="FE916" s="550"/>
      <c r="FF916" s="550"/>
      <c r="FG916" s="550"/>
      <c r="FH916" s="550"/>
      <c r="FI916" s="550"/>
      <c r="FJ916" s="550"/>
      <c r="FK916" s="550"/>
      <c r="FL916" s="555"/>
      <c r="FM916" s="554"/>
      <c r="FN916" s="554"/>
      <c r="FO916" s="554"/>
      <c r="FP916" s="554"/>
      <c r="FQ916" s="554"/>
      <c r="FR916" s="554"/>
      <c r="FS916" s="554"/>
      <c r="FT916" s="554"/>
      <c r="FU916" s="554"/>
      <c r="FV916" s="554"/>
      <c r="FW916" s="554"/>
      <c r="FX916" s="554"/>
      <c r="FY916" s="554"/>
      <c r="FZ916" s="554"/>
      <c r="GA916" s="554"/>
      <c r="GB916" s="556"/>
      <c r="GC916" s="370"/>
      <c r="GD916" s="453"/>
      <c r="GE916" s="453"/>
      <c r="GF916" s="453"/>
      <c r="GG916" s="453"/>
      <c r="GH916" s="454"/>
      <c r="GI916" s="453"/>
      <c r="GJ916" s="453"/>
      <c r="GK916" s="453"/>
      <c r="GL916" s="453"/>
      <c r="GM916" s="453"/>
      <c r="GN916" s="453"/>
      <c r="GO916" s="453"/>
      <c r="GP916" s="453"/>
      <c r="GQ916" s="453"/>
      <c r="GR916" s="453"/>
      <c r="GS916" s="561"/>
      <c r="GT916" s="475"/>
      <c r="GU916" s="472"/>
      <c r="GV916" s="453"/>
      <c r="GW916" s="453"/>
      <c r="GX916" s="869"/>
      <c r="GY916" s="870"/>
      <c r="GZ916" s="867"/>
      <c r="HA916" s="868"/>
      <c r="HB916" s="473"/>
      <c r="HC916" s="869"/>
      <c r="HD916" s="870"/>
      <c r="HE916" s="867"/>
      <c r="HF916" s="868"/>
      <c r="HG916" s="473"/>
      <c r="HH916" s="867"/>
      <c r="HI916" s="868"/>
      <c r="HJ916" s="867"/>
      <c r="HK916" s="868"/>
      <c r="HL916" s="370"/>
      <c r="HM916" s="865"/>
      <c r="HN916" s="866"/>
      <c r="HO916" s="865"/>
      <c r="HP916" s="866"/>
      <c r="HQ916" s="865"/>
      <c r="HR916" s="866"/>
      <c r="HS916" s="867"/>
      <c r="HT916" s="868"/>
      <c r="HU916" s="489"/>
      <c r="HV916" s="865"/>
      <c r="HW916" s="866"/>
    </row>
    <row r="917" spans="25:231" ht="15" customHeight="1">
      <c r="Y917" s="332"/>
      <c r="Z917" s="332"/>
      <c r="AA917" s="332"/>
      <c r="AB917" s="332"/>
      <c r="AC917" s="332"/>
      <c r="AD917" s="332"/>
      <c r="AE917" s="332"/>
      <c r="AF917" s="332"/>
      <c r="AG917" s="332"/>
      <c r="AH917" s="332"/>
      <c r="AI917" s="332"/>
      <c r="AJ917" s="332"/>
      <c r="AK917" s="332"/>
      <c r="AL917" s="332"/>
      <c r="AM917" s="332"/>
      <c r="AN917" s="332"/>
      <c r="AO917" s="332"/>
      <c r="AP917" s="332"/>
      <c r="AQ917" s="332"/>
      <c r="AR917" s="332"/>
      <c r="AS917" s="332"/>
      <c r="AT917" s="332"/>
      <c r="AU917" s="332"/>
      <c r="AV917" s="332"/>
      <c r="AW917" s="332"/>
      <c r="AX917" s="332"/>
      <c r="AY917" s="332"/>
      <c r="AZ917" s="332"/>
      <c r="BA917" s="332"/>
      <c r="BB917" s="332"/>
      <c r="BC917" s="332"/>
      <c r="BD917" s="332"/>
      <c r="BE917" s="332"/>
      <c r="BF917" s="332"/>
      <c r="BG917" s="332"/>
      <c r="BH917" s="332"/>
      <c r="BI917" s="332"/>
      <c r="BJ917" s="332"/>
      <c r="BK917" s="332"/>
      <c r="BL917" s="332"/>
      <c r="BM917" s="332"/>
      <c r="BN917" s="332"/>
      <c r="BO917" s="332"/>
      <c r="BP917" s="332"/>
      <c r="BQ917" s="332"/>
      <c r="BR917" s="332"/>
      <c r="BS917" s="332"/>
      <c r="BT917" s="332"/>
      <c r="BU917" s="332"/>
      <c r="BV917" s="332"/>
      <c r="BW917" s="332"/>
      <c r="BX917" s="332"/>
      <c r="BY917" s="332"/>
      <c r="BZ917" s="332"/>
      <c r="CA917" s="332"/>
      <c r="CB917" s="332"/>
      <c r="CC917" s="332"/>
      <c r="CD917" s="332"/>
      <c r="CE917" s="332"/>
      <c r="CF917" s="332"/>
      <c r="CG917" s="332"/>
      <c r="CH917" s="332"/>
      <c r="CI917" s="332"/>
      <c r="CJ917" s="332"/>
      <c r="CK917" s="332"/>
      <c r="CL917" s="332"/>
      <c r="CM917" s="332"/>
      <c r="CN917" s="332"/>
      <c r="CO917" s="332"/>
      <c r="CP917" s="332"/>
      <c r="CQ917" s="332"/>
      <c r="CR917" s="332"/>
      <c r="CS917" s="332"/>
      <c r="CT917" s="332"/>
      <c r="CU917" s="332"/>
      <c r="CV917" s="332"/>
      <c r="CW917" s="332"/>
      <c r="CX917" s="332"/>
      <c r="CY917" s="332"/>
      <c r="CZ917" s="332"/>
      <c r="DA917" s="332"/>
      <c r="DB917" s="332"/>
      <c r="DC917" s="332"/>
      <c r="DD917" s="332"/>
      <c r="DE917" s="332"/>
      <c r="DF917" s="332"/>
      <c r="DG917" s="332"/>
      <c r="DH917" s="332"/>
      <c r="DI917" s="332"/>
      <c r="DJ917" s="332"/>
      <c r="DK917" s="332"/>
      <c r="DL917" s="332"/>
      <c r="DM917" s="332"/>
      <c r="DN917" s="332"/>
      <c r="DO917" s="332"/>
      <c r="DP917" s="332"/>
      <c r="DQ917" s="332"/>
      <c r="DR917" s="332"/>
      <c r="DS917" s="332"/>
      <c r="DT917" s="332"/>
      <c r="DU917" s="453"/>
      <c r="DV917" s="453"/>
      <c r="DW917" s="453"/>
      <c r="DX917" s="453"/>
      <c r="DY917" s="453"/>
      <c r="DZ917" s="453"/>
      <c r="EA917" s="453"/>
      <c r="EB917" s="453"/>
      <c r="EC917" s="453"/>
      <c r="ED917" s="453"/>
      <c r="EE917" s="453"/>
      <c r="EF917" s="453"/>
      <c r="EG917" s="453"/>
      <c r="EH917" s="453"/>
      <c r="EI917" s="453"/>
      <c r="EJ917" s="453"/>
      <c r="EK917" s="453"/>
      <c r="EL917" s="453"/>
      <c r="EM917" s="483">
        <f t="shared" si="240"/>
        <v>608</v>
      </c>
      <c r="EN917" s="485"/>
      <c r="EO917" s="458"/>
      <c r="EP917" s="467"/>
      <c r="EQ917" s="457"/>
      <c r="ER917" s="808"/>
      <c r="ES917" s="881">
        <f t="shared" ref="ES917:ES980" si="241">IF(OR(EO917 = "", EP917 = 0, EP917 = "", EQ917 = 0, EQ917 = "", ER917 = 0, ER917 = ""), 0,
IF(EO917 &lt;&gt; "ACCION", EP917 * ER917 * -100,  EP917 * ER917 * -1))</f>
        <v>0</v>
      </c>
      <c r="ET917" s="882"/>
      <c r="EU917" s="883"/>
      <c r="EV917" s="884">
        <f t="shared" ref="EV917:EV980" si="242">+IF(OR(EO917 = "", EP917 = 0, EP917 = "", EQ917 = 0, EQ917 = "", ER917 = 0, ER917 = ""), 0,
IF(EO917 &lt;&gt; "ACCION",
IF(EP917 &gt; 0, EP917 * ER917 * -100 * ( 1 + COMIS_OPCION), EP917 * ER917 * -100 * ( 1 - COMIS_OPCION)),
IF(EP917 &gt; 0, EP917 * ER917 * -1 * ( 1 + COMIS_ACCION), EP917 * ER917 * -1 * ( 1 - COMIS_ACCION))  ))</f>
        <v>0</v>
      </c>
      <c r="EW917" s="885"/>
      <c r="EX917" s="885"/>
      <c r="EY917" s="885"/>
      <c r="EZ917" s="885"/>
      <c r="FA917" s="885"/>
      <c r="FB917" s="885"/>
      <c r="FC917" s="885"/>
      <c r="FD917" s="886"/>
      <c r="FE917" s="550"/>
      <c r="FF917" s="550"/>
      <c r="FG917" s="550"/>
      <c r="FH917" s="550"/>
      <c r="FI917" s="550"/>
      <c r="FJ917" s="550"/>
      <c r="FK917" s="550"/>
      <c r="FL917" s="555"/>
      <c r="FM917" s="554"/>
      <c r="FN917" s="554"/>
      <c r="FO917" s="554"/>
      <c r="FP917" s="554"/>
      <c r="FQ917" s="554"/>
      <c r="FR917" s="554"/>
      <c r="FS917" s="554"/>
      <c r="FT917" s="554"/>
      <c r="FU917" s="554"/>
      <c r="FV917" s="554"/>
      <c r="FW917" s="554"/>
      <c r="FX917" s="554"/>
      <c r="FY917" s="554"/>
      <c r="FZ917" s="554"/>
      <c r="GA917" s="554"/>
      <c r="GB917" s="556"/>
      <c r="GC917" s="370"/>
      <c r="GD917" s="453"/>
      <c r="GE917" s="453"/>
      <c r="GF917" s="453"/>
      <c r="GG917" s="453"/>
      <c r="GH917" s="454"/>
      <c r="GI917" s="453"/>
      <c r="GJ917" s="453"/>
      <c r="GK917" s="453"/>
      <c r="GL917" s="453"/>
      <c r="GM917" s="453"/>
      <c r="GN917" s="453"/>
      <c r="GO917" s="453"/>
      <c r="GP917" s="453"/>
      <c r="GQ917" s="453"/>
      <c r="GR917" s="453"/>
      <c r="GS917" s="561"/>
      <c r="GT917" s="475"/>
      <c r="GU917" s="472"/>
      <c r="GV917" s="453"/>
      <c r="GW917" s="453"/>
      <c r="GX917" s="869"/>
      <c r="GY917" s="870"/>
      <c r="GZ917" s="867"/>
      <c r="HA917" s="868"/>
      <c r="HB917" s="473"/>
      <c r="HC917" s="869"/>
      <c r="HD917" s="870"/>
      <c r="HE917" s="867"/>
      <c r="HF917" s="868"/>
      <c r="HG917" s="473"/>
      <c r="HH917" s="867"/>
      <c r="HI917" s="868"/>
      <c r="HJ917" s="867"/>
      <c r="HK917" s="868"/>
      <c r="HL917" s="370"/>
      <c r="HM917" s="865"/>
      <c r="HN917" s="866"/>
      <c r="HO917" s="865"/>
      <c r="HP917" s="866"/>
      <c r="HQ917" s="865"/>
      <c r="HR917" s="866"/>
      <c r="HS917" s="867"/>
      <c r="HT917" s="868"/>
      <c r="HU917" s="489"/>
      <c r="HV917" s="865"/>
      <c r="HW917" s="866"/>
    </row>
    <row r="918" spans="25:231" ht="15" customHeight="1">
      <c r="Y918" s="332"/>
      <c r="Z918" s="332"/>
      <c r="AA918" s="332"/>
      <c r="AB918" s="332"/>
      <c r="AC918" s="332"/>
      <c r="AD918" s="332"/>
      <c r="AE918" s="332"/>
      <c r="AF918" s="332"/>
      <c r="AG918" s="332"/>
      <c r="AH918" s="332"/>
      <c r="AI918" s="332"/>
      <c r="AJ918" s="332"/>
      <c r="AK918" s="332"/>
      <c r="AL918" s="332"/>
      <c r="AM918" s="332"/>
      <c r="AN918" s="332"/>
      <c r="AO918" s="332"/>
      <c r="AP918" s="332"/>
      <c r="AQ918" s="332"/>
      <c r="AR918" s="332"/>
      <c r="AS918" s="332"/>
      <c r="AT918" s="332"/>
      <c r="AU918" s="332"/>
      <c r="AV918" s="332"/>
      <c r="AW918" s="332"/>
      <c r="AX918" s="332"/>
      <c r="AY918" s="332"/>
      <c r="AZ918" s="332"/>
      <c r="BA918" s="332"/>
      <c r="BB918" s="332"/>
      <c r="BC918" s="332"/>
      <c r="BD918" s="332"/>
      <c r="BE918" s="332"/>
      <c r="BF918" s="332"/>
      <c r="BG918" s="332"/>
      <c r="BH918" s="332"/>
      <c r="BI918" s="332"/>
      <c r="BJ918" s="332"/>
      <c r="BK918" s="332"/>
      <c r="BL918" s="332"/>
      <c r="BM918" s="332"/>
      <c r="BN918" s="332"/>
      <c r="BO918" s="332"/>
      <c r="BP918" s="332"/>
      <c r="BQ918" s="332"/>
      <c r="BR918" s="332"/>
      <c r="BS918" s="332"/>
      <c r="BT918" s="332"/>
      <c r="BU918" s="332"/>
      <c r="BV918" s="332"/>
      <c r="BW918" s="332"/>
      <c r="BX918" s="332"/>
      <c r="BY918" s="332"/>
      <c r="BZ918" s="332"/>
      <c r="CA918" s="332"/>
      <c r="CB918" s="332"/>
      <c r="CC918" s="332"/>
      <c r="CD918" s="332"/>
      <c r="CE918" s="332"/>
      <c r="CF918" s="332"/>
      <c r="CG918" s="332"/>
      <c r="CH918" s="332"/>
      <c r="CI918" s="332"/>
      <c r="CJ918" s="332"/>
      <c r="CK918" s="332"/>
      <c r="CL918" s="332"/>
      <c r="CM918" s="332"/>
      <c r="CN918" s="332"/>
      <c r="CO918" s="332"/>
      <c r="CP918" s="332"/>
      <c r="CQ918" s="332"/>
      <c r="CR918" s="332"/>
      <c r="CS918" s="332"/>
      <c r="CT918" s="332"/>
      <c r="CU918" s="332"/>
      <c r="CV918" s="332"/>
      <c r="CW918" s="332"/>
      <c r="CX918" s="332"/>
      <c r="CY918" s="332"/>
      <c r="CZ918" s="332"/>
      <c r="DA918" s="332"/>
      <c r="DB918" s="332"/>
      <c r="DC918" s="332"/>
      <c r="DD918" s="332"/>
      <c r="DE918" s="332"/>
      <c r="DF918" s="332"/>
      <c r="DG918" s="332"/>
      <c r="DH918" s="332"/>
      <c r="DI918" s="332"/>
      <c r="DJ918" s="332"/>
      <c r="DK918" s="332"/>
      <c r="DL918" s="332"/>
      <c r="DM918" s="332"/>
      <c r="DN918" s="332"/>
      <c r="DO918" s="332"/>
      <c r="DP918" s="332"/>
      <c r="DQ918" s="332"/>
      <c r="DR918" s="332"/>
      <c r="DS918" s="332"/>
      <c r="DT918" s="332"/>
      <c r="DU918" s="453"/>
      <c r="DV918" s="453"/>
      <c r="DW918" s="453"/>
      <c r="DX918" s="453"/>
      <c r="DY918" s="453"/>
      <c r="DZ918" s="453"/>
      <c r="EA918" s="453"/>
      <c r="EB918" s="453"/>
      <c r="EC918" s="453"/>
      <c r="ED918" s="453"/>
      <c r="EE918" s="453"/>
      <c r="EF918" s="453"/>
      <c r="EG918" s="453"/>
      <c r="EH918" s="453"/>
      <c r="EI918" s="453"/>
      <c r="EJ918" s="453"/>
      <c r="EK918" s="453"/>
      <c r="EL918" s="453"/>
      <c r="EM918" s="483">
        <f t="shared" si="240"/>
        <v>609</v>
      </c>
      <c r="EN918" s="485"/>
      <c r="EO918" s="458"/>
      <c r="EP918" s="467"/>
      <c r="EQ918" s="457"/>
      <c r="ER918" s="808"/>
      <c r="ES918" s="881">
        <f t="shared" si="241"/>
        <v>0</v>
      </c>
      <c r="ET918" s="882"/>
      <c r="EU918" s="883"/>
      <c r="EV918" s="884">
        <f t="shared" si="242"/>
        <v>0</v>
      </c>
      <c r="EW918" s="885"/>
      <c r="EX918" s="885"/>
      <c r="EY918" s="885"/>
      <c r="EZ918" s="885"/>
      <c r="FA918" s="885"/>
      <c r="FB918" s="885"/>
      <c r="FC918" s="885"/>
      <c r="FD918" s="886"/>
      <c r="FE918" s="550"/>
      <c r="FF918" s="550"/>
      <c r="FG918" s="550"/>
      <c r="FH918" s="550"/>
      <c r="FI918" s="550"/>
      <c r="FJ918" s="550"/>
      <c r="FK918" s="550"/>
      <c r="FL918" s="555"/>
      <c r="FM918" s="554"/>
      <c r="FN918" s="554"/>
      <c r="FO918" s="554"/>
      <c r="FP918" s="554"/>
      <c r="FQ918" s="554"/>
      <c r="FR918" s="554"/>
      <c r="FS918" s="554"/>
      <c r="FT918" s="554"/>
      <c r="FU918" s="554"/>
      <c r="FV918" s="554"/>
      <c r="FW918" s="554"/>
      <c r="FX918" s="554"/>
      <c r="FY918" s="554"/>
      <c r="FZ918" s="554"/>
      <c r="GA918" s="554"/>
      <c r="GB918" s="556"/>
      <c r="GC918" s="370"/>
      <c r="GD918" s="453"/>
      <c r="GE918" s="453"/>
      <c r="GF918" s="453"/>
      <c r="GG918" s="453"/>
      <c r="GH918" s="454"/>
      <c r="GI918" s="453"/>
      <c r="GJ918" s="453"/>
      <c r="GK918" s="453"/>
      <c r="GL918" s="453"/>
      <c r="GM918" s="453"/>
      <c r="GN918" s="453"/>
      <c r="GO918" s="453"/>
      <c r="GP918" s="453"/>
      <c r="GQ918" s="453"/>
      <c r="GR918" s="453"/>
      <c r="GS918" s="561"/>
      <c r="GT918" s="475"/>
      <c r="GU918" s="472"/>
      <c r="GV918" s="453"/>
      <c r="GW918" s="453"/>
      <c r="GX918" s="869"/>
      <c r="GY918" s="870"/>
      <c r="GZ918" s="867"/>
      <c r="HA918" s="868"/>
      <c r="HB918" s="473"/>
      <c r="HC918" s="869"/>
      <c r="HD918" s="870"/>
      <c r="HE918" s="867"/>
      <c r="HF918" s="868"/>
      <c r="HG918" s="473"/>
      <c r="HH918" s="867"/>
      <c r="HI918" s="868"/>
      <c r="HJ918" s="867"/>
      <c r="HK918" s="868"/>
      <c r="HL918" s="370"/>
      <c r="HM918" s="865"/>
      <c r="HN918" s="866"/>
      <c r="HO918" s="865"/>
      <c r="HP918" s="866"/>
      <c r="HQ918" s="865"/>
      <c r="HR918" s="866"/>
      <c r="HS918" s="867"/>
      <c r="HT918" s="868"/>
      <c r="HU918" s="489"/>
      <c r="HV918" s="865"/>
      <c r="HW918" s="866"/>
    </row>
    <row r="919" spans="25:231" ht="15" customHeight="1">
      <c r="Y919" s="332"/>
      <c r="Z919" s="332"/>
      <c r="AA919" s="332"/>
      <c r="AB919" s="332"/>
      <c r="AC919" s="332"/>
      <c r="AD919" s="332"/>
      <c r="AE919" s="332"/>
      <c r="AF919" s="332"/>
      <c r="AG919" s="332"/>
      <c r="AH919" s="332"/>
      <c r="AI919" s="332"/>
      <c r="AJ919" s="332"/>
      <c r="AK919" s="332"/>
      <c r="AL919" s="332"/>
      <c r="AM919" s="332"/>
      <c r="AN919" s="332"/>
      <c r="AO919" s="332"/>
      <c r="AP919" s="332"/>
      <c r="AQ919" s="332"/>
      <c r="AR919" s="332"/>
      <c r="AS919" s="332"/>
      <c r="AT919" s="332"/>
      <c r="AU919" s="332"/>
      <c r="AV919" s="332"/>
      <c r="AW919" s="332"/>
      <c r="AX919" s="332"/>
      <c r="AY919" s="332"/>
      <c r="AZ919" s="332"/>
      <c r="BA919" s="332"/>
      <c r="BB919" s="332"/>
      <c r="BC919" s="332"/>
      <c r="BD919" s="332"/>
      <c r="BE919" s="332"/>
      <c r="BF919" s="332"/>
      <c r="BG919" s="332"/>
      <c r="BH919" s="332"/>
      <c r="BI919" s="332"/>
      <c r="BJ919" s="332"/>
      <c r="BK919" s="332"/>
      <c r="BL919" s="332"/>
      <c r="BM919" s="332"/>
      <c r="BN919" s="332"/>
      <c r="BO919" s="332"/>
      <c r="BP919" s="332"/>
      <c r="BQ919" s="332"/>
      <c r="BR919" s="332"/>
      <c r="BS919" s="332"/>
      <c r="BT919" s="332"/>
      <c r="BU919" s="332"/>
      <c r="BV919" s="332"/>
      <c r="BW919" s="332"/>
      <c r="BX919" s="332"/>
      <c r="BY919" s="332"/>
      <c r="BZ919" s="332"/>
      <c r="CA919" s="332"/>
      <c r="CB919" s="332"/>
      <c r="CC919" s="332"/>
      <c r="CD919" s="332"/>
      <c r="CE919" s="332"/>
      <c r="CF919" s="332"/>
      <c r="CG919" s="332"/>
      <c r="CH919" s="332"/>
      <c r="CI919" s="332"/>
      <c r="CJ919" s="332"/>
      <c r="CK919" s="332"/>
      <c r="CL919" s="332"/>
      <c r="CM919" s="332"/>
      <c r="CN919" s="332"/>
      <c r="CO919" s="332"/>
      <c r="CP919" s="332"/>
      <c r="CQ919" s="332"/>
      <c r="CR919" s="332"/>
      <c r="CS919" s="332"/>
      <c r="CT919" s="332"/>
      <c r="CU919" s="332"/>
      <c r="CV919" s="332"/>
      <c r="CW919" s="332"/>
      <c r="CX919" s="332"/>
      <c r="CY919" s="332"/>
      <c r="CZ919" s="332"/>
      <c r="DA919" s="332"/>
      <c r="DB919" s="332"/>
      <c r="DC919" s="332"/>
      <c r="DD919" s="332"/>
      <c r="DE919" s="332"/>
      <c r="DF919" s="332"/>
      <c r="DG919" s="332"/>
      <c r="DH919" s="332"/>
      <c r="DI919" s="332"/>
      <c r="DJ919" s="332"/>
      <c r="DK919" s="332"/>
      <c r="DL919" s="332"/>
      <c r="DM919" s="332"/>
      <c r="DN919" s="332"/>
      <c r="DO919" s="332"/>
      <c r="DP919" s="332"/>
      <c r="DQ919" s="332"/>
      <c r="DR919" s="332"/>
      <c r="DS919" s="332"/>
      <c r="DT919" s="332"/>
      <c r="DU919" s="453"/>
      <c r="DV919" s="453"/>
      <c r="DW919" s="453"/>
      <c r="DX919" s="453"/>
      <c r="DY919" s="453"/>
      <c r="DZ919" s="453"/>
      <c r="EA919" s="453"/>
      <c r="EB919" s="453"/>
      <c r="EC919" s="453"/>
      <c r="ED919" s="453"/>
      <c r="EE919" s="453"/>
      <c r="EF919" s="453"/>
      <c r="EG919" s="453"/>
      <c r="EH919" s="453"/>
      <c r="EI919" s="453"/>
      <c r="EJ919" s="453"/>
      <c r="EK919" s="453"/>
      <c r="EL919" s="453"/>
      <c r="EM919" s="483">
        <f t="shared" si="240"/>
        <v>610</v>
      </c>
      <c r="EN919" s="485"/>
      <c r="EO919" s="458"/>
      <c r="EP919" s="467"/>
      <c r="EQ919" s="457"/>
      <c r="ER919" s="808"/>
      <c r="ES919" s="881">
        <f t="shared" si="241"/>
        <v>0</v>
      </c>
      <c r="ET919" s="882"/>
      <c r="EU919" s="883"/>
      <c r="EV919" s="884">
        <f t="shared" si="242"/>
        <v>0</v>
      </c>
      <c r="EW919" s="885"/>
      <c r="EX919" s="885"/>
      <c r="EY919" s="885"/>
      <c r="EZ919" s="885"/>
      <c r="FA919" s="885"/>
      <c r="FB919" s="885"/>
      <c r="FC919" s="885"/>
      <c r="FD919" s="886"/>
      <c r="FE919" s="550"/>
      <c r="FF919" s="550"/>
      <c r="FG919" s="550"/>
      <c r="FH919" s="550"/>
      <c r="FI919" s="550"/>
      <c r="FJ919" s="550"/>
      <c r="FK919" s="550"/>
      <c r="FL919" s="555"/>
      <c r="FM919" s="554"/>
      <c r="FN919" s="554"/>
      <c r="FO919" s="554"/>
      <c r="FP919" s="554"/>
      <c r="FQ919" s="554"/>
      <c r="FR919" s="554"/>
      <c r="FS919" s="554"/>
      <c r="FT919" s="554"/>
      <c r="FU919" s="554"/>
      <c r="FV919" s="554"/>
      <c r="FW919" s="554"/>
      <c r="FX919" s="554"/>
      <c r="FY919" s="554"/>
      <c r="FZ919" s="554"/>
      <c r="GA919" s="554"/>
      <c r="GB919" s="556"/>
      <c r="GC919" s="370"/>
      <c r="GD919" s="453"/>
      <c r="GE919" s="453"/>
      <c r="GF919" s="453"/>
      <c r="GG919" s="453"/>
      <c r="GH919" s="454"/>
      <c r="GI919" s="453"/>
      <c r="GJ919" s="453"/>
      <c r="GK919" s="453"/>
      <c r="GL919" s="453"/>
      <c r="GM919" s="453"/>
      <c r="GN919" s="453"/>
      <c r="GO919" s="453"/>
      <c r="GP919" s="453"/>
      <c r="GQ919" s="453"/>
      <c r="GR919" s="453"/>
      <c r="GS919" s="561"/>
      <c r="GT919" s="475"/>
      <c r="GU919" s="472"/>
      <c r="GV919" s="453"/>
      <c r="GW919" s="453"/>
      <c r="GX919" s="869"/>
      <c r="GY919" s="870"/>
      <c r="GZ919" s="867"/>
      <c r="HA919" s="868"/>
      <c r="HB919" s="473"/>
      <c r="HC919" s="869"/>
      <c r="HD919" s="870"/>
      <c r="HE919" s="867"/>
      <c r="HF919" s="868"/>
      <c r="HG919" s="473"/>
      <c r="HH919" s="867"/>
      <c r="HI919" s="868"/>
      <c r="HJ919" s="867"/>
      <c r="HK919" s="868"/>
      <c r="HL919" s="370"/>
      <c r="HM919" s="865"/>
      <c r="HN919" s="866"/>
      <c r="HO919" s="865"/>
      <c r="HP919" s="866"/>
      <c r="HQ919" s="865"/>
      <c r="HR919" s="866"/>
      <c r="HS919" s="867"/>
      <c r="HT919" s="868"/>
      <c r="HU919" s="489"/>
      <c r="HV919" s="865"/>
      <c r="HW919" s="866"/>
    </row>
    <row r="920" spans="25:231" ht="15" customHeight="1">
      <c r="Y920" s="332"/>
      <c r="Z920" s="332"/>
      <c r="AA920" s="332"/>
      <c r="AB920" s="332"/>
      <c r="AC920" s="332"/>
      <c r="AD920" s="332"/>
      <c r="AE920" s="332"/>
      <c r="AF920" s="332"/>
      <c r="AG920" s="332"/>
      <c r="AH920" s="332"/>
      <c r="AI920" s="332"/>
      <c r="AJ920" s="332"/>
      <c r="AK920" s="332"/>
      <c r="AL920" s="332"/>
      <c r="AM920" s="332"/>
      <c r="AN920" s="332"/>
      <c r="AO920" s="332"/>
      <c r="AP920" s="332"/>
      <c r="AQ920" s="332"/>
      <c r="AR920" s="332"/>
      <c r="AS920" s="332"/>
      <c r="AT920" s="332"/>
      <c r="AU920" s="332"/>
      <c r="AV920" s="332"/>
      <c r="AW920" s="332"/>
      <c r="AX920" s="332"/>
      <c r="AY920" s="332"/>
      <c r="AZ920" s="332"/>
      <c r="BA920" s="332"/>
      <c r="BB920" s="332"/>
      <c r="BC920" s="332"/>
      <c r="BD920" s="332"/>
      <c r="BE920" s="332"/>
      <c r="BF920" s="332"/>
      <c r="BG920" s="332"/>
      <c r="BH920" s="332"/>
      <c r="BI920" s="332"/>
      <c r="BJ920" s="332"/>
      <c r="BK920" s="332"/>
      <c r="BL920" s="332"/>
      <c r="BM920" s="332"/>
      <c r="BN920" s="332"/>
      <c r="BO920" s="332"/>
      <c r="BP920" s="332"/>
      <c r="BQ920" s="332"/>
      <c r="BR920" s="332"/>
      <c r="BS920" s="332"/>
      <c r="BT920" s="332"/>
      <c r="BU920" s="332"/>
      <c r="BV920" s="332"/>
      <c r="BW920" s="332"/>
      <c r="BX920" s="332"/>
      <c r="BY920" s="332"/>
      <c r="BZ920" s="332"/>
      <c r="CA920" s="332"/>
      <c r="CB920" s="332"/>
      <c r="CC920" s="332"/>
      <c r="CD920" s="332"/>
      <c r="CE920" s="332"/>
      <c r="CF920" s="332"/>
      <c r="CG920" s="332"/>
      <c r="CH920" s="332"/>
      <c r="CI920" s="332"/>
      <c r="CJ920" s="332"/>
      <c r="CK920" s="332"/>
      <c r="CL920" s="332"/>
      <c r="CM920" s="332"/>
      <c r="CN920" s="332"/>
      <c r="CO920" s="332"/>
      <c r="CP920" s="332"/>
      <c r="CQ920" s="332"/>
      <c r="CR920" s="332"/>
      <c r="CS920" s="332"/>
      <c r="CT920" s="332"/>
      <c r="CU920" s="332"/>
      <c r="CV920" s="332"/>
      <c r="CW920" s="332"/>
      <c r="CX920" s="332"/>
      <c r="CY920" s="332"/>
      <c r="CZ920" s="332"/>
      <c r="DA920" s="332"/>
      <c r="DB920" s="332"/>
      <c r="DC920" s="332"/>
      <c r="DD920" s="332"/>
      <c r="DE920" s="332"/>
      <c r="DF920" s="332"/>
      <c r="DG920" s="332"/>
      <c r="DH920" s="332"/>
      <c r="DI920" s="332"/>
      <c r="DJ920" s="332"/>
      <c r="DK920" s="332"/>
      <c r="DL920" s="332"/>
      <c r="DM920" s="332"/>
      <c r="DN920" s="332"/>
      <c r="DO920" s="332"/>
      <c r="DP920" s="332"/>
      <c r="DQ920" s="332"/>
      <c r="DR920" s="332"/>
      <c r="DS920" s="332"/>
      <c r="DT920" s="332"/>
      <c r="DU920" s="453"/>
      <c r="DV920" s="453"/>
      <c r="DW920" s="453"/>
      <c r="DX920" s="453"/>
      <c r="DY920" s="453"/>
      <c r="DZ920" s="453"/>
      <c r="EA920" s="453"/>
      <c r="EB920" s="453"/>
      <c r="EC920" s="453"/>
      <c r="ED920" s="453"/>
      <c r="EE920" s="453"/>
      <c r="EF920" s="453"/>
      <c r="EG920" s="453"/>
      <c r="EH920" s="453"/>
      <c r="EI920" s="453"/>
      <c r="EJ920" s="453"/>
      <c r="EK920" s="453"/>
      <c r="EL920" s="453"/>
      <c r="EM920" s="483">
        <f t="shared" si="240"/>
        <v>611</v>
      </c>
      <c r="EN920" s="485"/>
      <c r="EO920" s="458"/>
      <c r="EP920" s="467"/>
      <c r="EQ920" s="457"/>
      <c r="ER920" s="808"/>
      <c r="ES920" s="881">
        <f t="shared" si="241"/>
        <v>0</v>
      </c>
      <c r="ET920" s="882"/>
      <c r="EU920" s="883"/>
      <c r="EV920" s="884">
        <f t="shared" si="242"/>
        <v>0</v>
      </c>
      <c r="EW920" s="885"/>
      <c r="EX920" s="885"/>
      <c r="EY920" s="885"/>
      <c r="EZ920" s="885"/>
      <c r="FA920" s="885"/>
      <c r="FB920" s="885"/>
      <c r="FC920" s="885"/>
      <c r="FD920" s="886"/>
      <c r="FE920" s="550"/>
      <c r="FF920" s="550"/>
      <c r="FG920" s="550"/>
      <c r="FH920" s="550"/>
      <c r="FI920" s="550"/>
      <c r="FJ920" s="550"/>
      <c r="FK920" s="550"/>
      <c r="FL920" s="555"/>
      <c r="FM920" s="554"/>
      <c r="FN920" s="554"/>
      <c r="FO920" s="554"/>
      <c r="FP920" s="554"/>
      <c r="FQ920" s="554"/>
      <c r="FR920" s="554"/>
      <c r="FS920" s="554"/>
      <c r="FT920" s="554"/>
      <c r="FU920" s="554"/>
      <c r="FV920" s="554"/>
      <c r="FW920" s="554"/>
      <c r="FX920" s="554"/>
      <c r="FY920" s="554"/>
      <c r="FZ920" s="554"/>
      <c r="GA920" s="554"/>
      <c r="GB920" s="556"/>
      <c r="GC920" s="370"/>
      <c r="GD920" s="453"/>
      <c r="GE920" s="453"/>
      <c r="GF920" s="453"/>
      <c r="GG920" s="453"/>
      <c r="GH920" s="454"/>
      <c r="GI920" s="453"/>
      <c r="GJ920" s="453"/>
      <c r="GK920" s="453"/>
      <c r="GL920" s="453"/>
      <c r="GM920" s="453"/>
      <c r="GN920" s="453"/>
      <c r="GO920" s="453"/>
      <c r="GP920" s="453"/>
      <c r="GQ920" s="453"/>
      <c r="GR920" s="453"/>
      <c r="GS920" s="561"/>
      <c r="GT920" s="475"/>
      <c r="GU920" s="472"/>
      <c r="GV920" s="453"/>
      <c r="GW920" s="453"/>
      <c r="GX920" s="869"/>
      <c r="GY920" s="870"/>
      <c r="GZ920" s="867"/>
      <c r="HA920" s="868"/>
      <c r="HB920" s="473"/>
      <c r="HC920" s="869"/>
      <c r="HD920" s="870"/>
      <c r="HE920" s="867"/>
      <c r="HF920" s="868"/>
      <c r="HG920" s="473"/>
      <c r="HH920" s="867"/>
      <c r="HI920" s="868"/>
      <c r="HJ920" s="867"/>
      <c r="HK920" s="868"/>
      <c r="HL920" s="370"/>
      <c r="HM920" s="865"/>
      <c r="HN920" s="866"/>
      <c r="HO920" s="865"/>
      <c r="HP920" s="866"/>
      <c r="HQ920" s="865"/>
      <c r="HR920" s="866"/>
      <c r="HS920" s="867"/>
      <c r="HT920" s="868"/>
      <c r="HU920" s="489"/>
      <c r="HV920" s="865"/>
      <c r="HW920" s="866"/>
    </row>
    <row r="921" spans="25:231" ht="15" customHeight="1">
      <c r="Y921" s="332"/>
      <c r="Z921" s="332"/>
      <c r="AA921" s="332"/>
      <c r="AB921" s="332"/>
      <c r="AC921" s="332"/>
      <c r="AD921" s="332"/>
      <c r="AE921" s="332"/>
      <c r="AF921" s="332"/>
      <c r="AG921" s="332"/>
      <c r="AH921" s="332"/>
      <c r="AI921" s="332"/>
      <c r="AJ921" s="332"/>
      <c r="AK921" s="332"/>
      <c r="AL921" s="332"/>
      <c r="AM921" s="332"/>
      <c r="AN921" s="332"/>
      <c r="AO921" s="332"/>
      <c r="AP921" s="332"/>
      <c r="AQ921" s="332"/>
      <c r="AR921" s="332"/>
      <c r="AS921" s="332"/>
      <c r="AT921" s="332"/>
      <c r="AU921" s="332"/>
      <c r="AV921" s="332"/>
      <c r="AW921" s="332"/>
      <c r="AX921" s="332"/>
      <c r="AY921" s="332"/>
      <c r="AZ921" s="332"/>
      <c r="BA921" s="332"/>
      <c r="BB921" s="332"/>
      <c r="BC921" s="332"/>
      <c r="BD921" s="332"/>
      <c r="BE921" s="332"/>
      <c r="BF921" s="332"/>
      <c r="BG921" s="332"/>
      <c r="BH921" s="332"/>
      <c r="BI921" s="332"/>
      <c r="BJ921" s="332"/>
      <c r="BK921" s="332"/>
      <c r="BL921" s="332"/>
      <c r="BM921" s="332"/>
      <c r="BN921" s="332"/>
      <c r="BO921" s="332"/>
      <c r="BP921" s="332"/>
      <c r="BQ921" s="332"/>
      <c r="BR921" s="332"/>
      <c r="BS921" s="332"/>
      <c r="BT921" s="332"/>
      <c r="BU921" s="332"/>
      <c r="BV921" s="332"/>
      <c r="BW921" s="332"/>
      <c r="BX921" s="332"/>
      <c r="BY921" s="332"/>
      <c r="BZ921" s="332"/>
      <c r="CA921" s="332"/>
      <c r="CB921" s="332"/>
      <c r="CC921" s="332"/>
      <c r="CD921" s="332"/>
      <c r="CE921" s="332"/>
      <c r="CF921" s="332"/>
      <c r="CG921" s="332"/>
      <c r="CH921" s="332"/>
      <c r="CI921" s="332"/>
      <c r="CJ921" s="332"/>
      <c r="CK921" s="332"/>
      <c r="CL921" s="332"/>
      <c r="CM921" s="332"/>
      <c r="CN921" s="332"/>
      <c r="CO921" s="332"/>
      <c r="CP921" s="332"/>
      <c r="CQ921" s="332"/>
      <c r="CR921" s="332"/>
      <c r="CS921" s="332"/>
      <c r="CT921" s="332"/>
      <c r="CU921" s="332"/>
      <c r="CV921" s="332"/>
      <c r="CW921" s="332"/>
      <c r="CX921" s="332"/>
      <c r="CY921" s="332"/>
      <c r="CZ921" s="332"/>
      <c r="DA921" s="332"/>
      <c r="DB921" s="332"/>
      <c r="DC921" s="332"/>
      <c r="DD921" s="332"/>
      <c r="DE921" s="332"/>
      <c r="DF921" s="332"/>
      <c r="DG921" s="332"/>
      <c r="DH921" s="332"/>
      <c r="DI921" s="332"/>
      <c r="DJ921" s="332"/>
      <c r="DK921" s="332"/>
      <c r="DL921" s="332"/>
      <c r="DM921" s="332"/>
      <c r="DN921" s="332"/>
      <c r="DO921" s="332"/>
      <c r="DP921" s="332"/>
      <c r="DQ921" s="332"/>
      <c r="DR921" s="332"/>
      <c r="DS921" s="332"/>
      <c r="DT921" s="332"/>
      <c r="DU921" s="453"/>
      <c r="DV921" s="453"/>
      <c r="DW921" s="453"/>
      <c r="DX921" s="453"/>
      <c r="DY921" s="453"/>
      <c r="DZ921" s="453"/>
      <c r="EA921" s="453"/>
      <c r="EB921" s="453"/>
      <c r="EC921" s="453"/>
      <c r="ED921" s="453"/>
      <c r="EE921" s="453"/>
      <c r="EF921" s="453"/>
      <c r="EG921" s="453"/>
      <c r="EH921" s="453"/>
      <c r="EI921" s="453"/>
      <c r="EJ921" s="453"/>
      <c r="EK921" s="453"/>
      <c r="EL921" s="453"/>
      <c r="EM921" s="483">
        <f t="shared" si="240"/>
        <v>612</v>
      </c>
      <c r="EN921" s="485"/>
      <c r="EO921" s="458"/>
      <c r="EP921" s="467"/>
      <c r="EQ921" s="457"/>
      <c r="ER921" s="808"/>
      <c r="ES921" s="881">
        <f t="shared" si="241"/>
        <v>0</v>
      </c>
      <c r="ET921" s="882"/>
      <c r="EU921" s="883"/>
      <c r="EV921" s="884">
        <f t="shared" si="242"/>
        <v>0</v>
      </c>
      <c r="EW921" s="885"/>
      <c r="EX921" s="885"/>
      <c r="EY921" s="885"/>
      <c r="EZ921" s="885"/>
      <c r="FA921" s="885"/>
      <c r="FB921" s="885"/>
      <c r="FC921" s="885"/>
      <c r="FD921" s="886"/>
      <c r="FE921" s="550"/>
      <c r="FF921" s="550"/>
      <c r="FG921" s="550"/>
      <c r="FH921" s="550"/>
      <c r="FI921" s="550"/>
      <c r="FJ921" s="550"/>
      <c r="FK921" s="550"/>
      <c r="FL921" s="555"/>
      <c r="FM921" s="554"/>
      <c r="FN921" s="554"/>
      <c r="FO921" s="554"/>
      <c r="FP921" s="554"/>
      <c r="FQ921" s="554"/>
      <c r="FR921" s="554"/>
      <c r="FS921" s="554"/>
      <c r="FT921" s="554"/>
      <c r="FU921" s="554"/>
      <c r="FV921" s="554"/>
      <c r="FW921" s="554"/>
      <c r="FX921" s="554"/>
      <c r="FY921" s="554"/>
      <c r="FZ921" s="554"/>
      <c r="GA921" s="554"/>
      <c r="GB921" s="556"/>
      <c r="GC921" s="370"/>
      <c r="GD921" s="453"/>
      <c r="GE921" s="453"/>
      <c r="GF921" s="453"/>
      <c r="GG921" s="453"/>
      <c r="GH921" s="454"/>
      <c r="GI921" s="453"/>
      <c r="GJ921" s="453"/>
      <c r="GK921" s="453"/>
      <c r="GL921" s="453"/>
      <c r="GM921" s="453"/>
      <c r="GN921" s="453"/>
      <c r="GO921" s="453"/>
      <c r="GP921" s="453"/>
      <c r="GQ921" s="453"/>
      <c r="GR921" s="453"/>
      <c r="GS921" s="561"/>
      <c r="GT921" s="475"/>
      <c r="GU921" s="472"/>
      <c r="GV921" s="453"/>
      <c r="GW921" s="453"/>
      <c r="GX921" s="869"/>
      <c r="GY921" s="870"/>
      <c r="GZ921" s="867"/>
      <c r="HA921" s="868"/>
      <c r="HB921" s="473"/>
      <c r="HC921" s="869"/>
      <c r="HD921" s="870"/>
      <c r="HE921" s="867"/>
      <c r="HF921" s="868"/>
      <c r="HG921" s="473"/>
      <c r="HH921" s="867"/>
      <c r="HI921" s="868"/>
      <c r="HJ921" s="867"/>
      <c r="HK921" s="868"/>
      <c r="HL921" s="370"/>
      <c r="HM921" s="865"/>
      <c r="HN921" s="866"/>
      <c r="HO921" s="865"/>
      <c r="HP921" s="866"/>
      <c r="HQ921" s="865"/>
      <c r="HR921" s="866"/>
      <c r="HS921" s="867"/>
      <c r="HT921" s="868"/>
      <c r="HU921" s="489"/>
      <c r="HV921" s="865"/>
      <c r="HW921" s="866"/>
    </row>
    <row r="922" spans="25:231" ht="15" customHeight="1">
      <c r="Y922" s="332"/>
      <c r="Z922" s="332"/>
      <c r="AA922" s="332"/>
      <c r="AB922" s="332"/>
      <c r="AC922" s="332"/>
      <c r="AD922" s="332"/>
      <c r="AE922" s="332"/>
      <c r="AF922" s="332"/>
      <c r="AG922" s="332"/>
      <c r="AH922" s="332"/>
      <c r="AI922" s="332"/>
      <c r="AJ922" s="332"/>
      <c r="AK922" s="332"/>
      <c r="AL922" s="332"/>
      <c r="AM922" s="332"/>
      <c r="AN922" s="332"/>
      <c r="AO922" s="332"/>
      <c r="AP922" s="332"/>
      <c r="AQ922" s="332"/>
      <c r="AR922" s="332"/>
      <c r="AS922" s="332"/>
      <c r="AT922" s="332"/>
      <c r="AU922" s="332"/>
      <c r="AV922" s="332"/>
      <c r="AW922" s="332"/>
      <c r="AX922" s="332"/>
      <c r="AY922" s="332"/>
      <c r="AZ922" s="332"/>
      <c r="BA922" s="332"/>
      <c r="BB922" s="332"/>
      <c r="BC922" s="332"/>
      <c r="BD922" s="332"/>
      <c r="BE922" s="332"/>
      <c r="BF922" s="332"/>
      <c r="BG922" s="332"/>
      <c r="BH922" s="332"/>
      <c r="BI922" s="332"/>
      <c r="BJ922" s="332"/>
      <c r="BK922" s="332"/>
      <c r="BL922" s="332"/>
      <c r="BM922" s="332"/>
      <c r="BN922" s="332"/>
      <c r="BO922" s="332"/>
      <c r="BP922" s="332"/>
      <c r="BQ922" s="332"/>
      <c r="BR922" s="332"/>
      <c r="BS922" s="332"/>
      <c r="BT922" s="332"/>
      <c r="BU922" s="332"/>
      <c r="BV922" s="332"/>
      <c r="BW922" s="332"/>
      <c r="BX922" s="332"/>
      <c r="BY922" s="332"/>
      <c r="BZ922" s="332"/>
      <c r="CA922" s="332"/>
      <c r="CB922" s="332"/>
      <c r="CC922" s="332"/>
      <c r="CD922" s="332"/>
      <c r="CE922" s="332"/>
      <c r="CF922" s="332"/>
      <c r="CG922" s="332"/>
      <c r="CH922" s="332"/>
      <c r="CI922" s="332"/>
      <c r="CJ922" s="332"/>
      <c r="CK922" s="332"/>
      <c r="CL922" s="332"/>
      <c r="CM922" s="332"/>
      <c r="CN922" s="332"/>
      <c r="CO922" s="332"/>
      <c r="CP922" s="332"/>
      <c r="CQ922" s="332"/>
      <c r="CR922" s="332"/>
      <c r="CS922" s="332"/>
      <c r="CT922" s="332"/>
      <c r="CU922" s="332"/>
      <c r="CV922" s="332"/>
      <c r="CW922" s="332"/>
      <c r="CX922" s="332"/>
      <c r="CY922" s="332"/>
      <c r="CZ922" s="332"/>
      <c r="DA922" s="332"/>
      <c r="DB922" s="332"/>
      <c r="DC922" s="332"/>
      <c r="DD922" s="332"/>
      <c r="DE922" s="332"/>
      <c r="DF922" s="332"/>
      <c r="DG922" s="332"/>
      <c r="DH922" s="332"/>
      <c r="DI922" s="332"/>
      <c r="DJ922" s="332"/>
      <c r="DK922" s="332"/>
      <c r="DL922" s="332"/>
      <c r="DM922" s="332"/>
      <c r="DN922" s="332"/>
      <c r="DO922" s="332"/>
      <c r="DP922" s="332"/>
      <c r="DQ922" s="332"/>
      <c r="DR922" s="332"/>
      <c r="DS922" s="332"/>
      <c r="DT922" s="332"/>
      <c r="DU922" s="453"/>
      <c r="DV922" s="453"/>
      <c r="DW922" s="453"/>
      <c r="DX922" s="453"/>
      <c r="DY922" s="453"/>
      <c r="DZ922" s="453"/>
      <c r="EA922" s="453"/>
      <c r="EB922" s="453"/>
      <c r="EC922" s="453"/>
      <c r="ED922" s="453"/>
      <c r="EE922" s="453"/>
      <c r="EF922" s="453"/>
      <c r="EG922" s="453"/>
      <c r="EH922" s="453"/>
      <c r="EI922" s="453"/>
      <c r="EJ922" s="453"/>
      <c r="EK922" s="453"/>
      <c r="EL922" s="453"/>
      <c r="EM922" s="483">
        <f t="shared" si="240"/>
        <v>613</v>
      </c>
      <c r="EN922" s="485"/>
      <c r="EO922" s="458"/>
      <c r="EP922" s="467"/>
      <c r="EQ922" s="457"/>
      <c r="ER922" s="808"/>
      <c r="ES922" s="881">
        <f t="shared" si="241"/>
        <v>0</v>
      </c>
      <c r="ET922" s="882"/>
      <c r="EU922" s="883"/>
      <c r="EV922" s="884">
        <f t="shared" si="242"/>
        <v>0</v>
      </c>
      <c r="EW922" s="885"/>
      <c r="EX922" s="885"/>
      <c r="EY922" s="885"/>
      <c r="EZ922" s="885"/>
      <c r="FA922" s="885"/>
      <c r="FB922" s="885"/>
      <c r="FC922" s="885"/>
      <c r="FD922" s="886"/>
      <c r="FE922" s="550"/>
      <c r="FF922" s="550"/>
      <c r="FG922" s="550"/>
      <c r="FH922" s="550"/>
      <c r="FI922" s="550"/>
      <c r="FJ922" s="550"/>
      <c r="FK922" s="550"/>
      <c r="FL922" s="555"/>
      <c r="FM922" s="554"/>
      <c r="FN922" s="554"/>
      <c r="FO922" s="554"/>
      <c r="FP922" s="554"/>
      <c r="FQ922" s="554"/>
      <c r="FR922" s="554"/>
      <c r="FS922" s="554"/>
      <c r="FT922" s="554"/>
      <c r="FU922" s="554"/>
      <c r="FV922" s="554"/>
      <c r="FW922" s="554"/>
      <c r="FX922" s="554"/>
      <c r="FY922" s="554"/>
      <c r="FZ922" s="554"/>
      <c r="GA922" s="554"/>
      <c r="GB922" s="556"/>
      <c r="GC922" s="370"/>
      <c r="GD922" s="453"/>
      <c r="GE922" s="453"/>
      <c r="GF922" s="453"/>
      <c r="GG922" s="453"/>
      <c r="GH922" s="454"/>
      <c r="GI922" s="453"/>
      <c r="GJ922" s="453"/>
      <c r="GK922" s="453"/>
      <c r="GL922" s="453"/>
      <c r="GM922" s="453"/>
      <c r="GN922" s="453"/>
      <c r="GO922" s="453"/>
      <c r="GP922" s="453"/>
      <c r="GQ922" s="453"/>
      <c r="GR922" s="453"/>
      <c r="GS922" s="561"/>
      <c r="GT922" s="475"/>
      <c r="GU922" s="472"/>
      <c r="GV922" s="453"/>
      <c r="GW922" s="453"/>
      <c r="GX922" s="869"/>
      <c r="GY922" s="870"/>
      <c r="GZ922" s="867"/>
      <c r="HA922" s="868"/>
      <c r="HB922" s="473"/>
      <c r="HC922" s="869"/>
      <c r="HD922" s="870"/>
      <c r="HE922" s="867"/>
      <c r="HF922" s="868"/>
      <c r="HG922" s="473"/>
      <c r="HH922" s="867"/>
      <c r="HI922" s="868"/>
      <c r="HJ922" s="867"/>
      <c r="HK922" s="868"/>
      <c r="HL922" s="370"/>
      <c r="HM922" s="865"/>
      <c r="HN922" s="866"/>
      <c r="HO922" s="865"/>
      <c r="HP922" s="866"/>
      <c r="HQ922" s="865"/>
      <c r="HR922" s="866"/>
      <c r="HS922" s="867"/>
      <c r="HT922" s="868"/>
      <c r="HU922" s="489"/>
      <c r="HV922" s="865"/>
      <c r="HW922" s="866"/>
    </row>
    <row r="923" spans="25:231" ht="15" customHeight="1">
      <c r="Y923" s="332"/>
      <c r="Z923" s="332"/>
      <c r="AA923" s="332"/>
      <c r="AB923" s="332"/>
      <c r="AC923" s="332"/>
      <c r="AD923" s="332"/>
      <c r="AE923" s="332"/>
      <c r="AF923" s="332"/>
      <c r="AG923" s="332"/>
      <c r="AH923" s="332"/>
      <c r="AI923" s="332"/>
      <c r="AJ923" s="332"/>
      <c r="AK923" s="332"/>
      <c r="AL923" s="332"/>
      <c r="AM923" s="332"/>
      <c r="AN923" s="332"/>
      <c r="AO923" s="332"/>
      <c r="AP923" s="332"/>
      <c r="AQ923" s="332"/>
      <c r="AR923" s="332"/>
      <c r="AS923" s="332"/>
      <c r="AT923" s="332"/>
      <c r="AU923" s="332"/>
      <c r="AV923" s="332"/>
      <c r="AW923" s="332"/>
      <c r="AX923" s="332"/>
      <c r="AY923" s="332"/>
      <c r="AZ923" s="332"/>
      <c r="BA923" s="332"/>
      <c r="BB923" s="332"/>
      <c r="BC923" s="332"/>
      <c r="BD923" s="332"/>
      <c r="BE923" s="332"/>
      <c r="BF923" s="332"/>
      <c r="BG923" s="332"/>
      <c r="BH923" s="332"/>
      <c r="BI923" s="332"/>
      <c r="BJ923" s="332"/>
      <c r="BK923" s="332"/>
      <c r="BL923" s="332"/>
      <c r="BM923" s="332"/>
      <c r="BN923" s="332"/>
      <c r="BO923" s="332"/>
      <c r="BP923" s="332"/>
      <c r="BQ923" s="332"/>
      <c r="BR923" s="332"/>
      <c r="BS923" s="332"/>
      <c r="BT923" s="332"/>
      <c r="BU923" s="332"/>
      <c r="BV923" s="332"/>
      <c r="BW923" s="332"/>
      <c r="BX923" s="332"/>
      <c r="BY923" s="332"/>
      <c r="BZ923" s="332"/>
      <c r="CA923" s="332"/>
      <c r="CB923" s="332"/>
      <c r="CC923" s="332"/>
      <c r="CD923" s="332"/>
      <c r="CE923" s="332"/>
      <c r="CF923" s="332"/>
      <c r="CG923" s="332"/>
      <c r="CH923" s="332"/>
      <c r="CI923" s="332"/>
      <c r="CJ923" s="332"/>
      <c r="CK923" s="332"/>
      <c r="CL923" s="332"/>
      <c r="CM923" s="332"/>
      <c r="CN923" s="332"/>
      <c r="CO923" s="332"/>
      <c r="CP923" s="332"/>
      <c r="CQ923" s="332"/>
      <c r="CR923" s="332"/>
      <c r="CS923" s="332"/>
      <c r="CT923" s="332"/>
      <c r="CU923" s="332"/>
      <c r="CV923" s="332"/>
      <c r="CW923" s="332"/>
      <c r="CX923" s="332"/>
      <c r="CY923" s="332"/>
      <c r="CZ923" s="332"/>
      <c r="DA923" s="332"/>
      <c r="DB923" s="332"/>
      <c r="DC923" s="332"/>
      <c r="DD923" s="332"/>
      <c r="DE923" s="332"/>
      <c r="DF923" s="332"/>
      <c r="DG923" s="332"/>
      <c r="DH923" s="332"/>
      <c r="DI923" s="332"/>
      <c r="DJ923" s="332"/>
      <c r="DK923" s="332"/>
      <c r="DL923" s="332"/>
      <c r="DM923" s="332"/>
      <c r="DN923" s="332"/>
      <c r="DO923" s="332"/>
      <c r="DP923" s="332"/>
      <c r="DQ923" s="332"/>
      <c r="DR923" s="332"/>
      <c r="DS923" s="332"/>
      <c r="DT923" s="332"/>
      <c r="DU923" s="453"/>
      <c r="DV923" s="453"/>
      <c r="DW923" s="453"/>
      <c r="DX923" s="453"/>
      <c r="DY923" s="453"/>
      <c r="DZ923" s="453"/>
      <c r="EA923" s="453"/>
      <c r="EB923" s="453"/>
      <c r="EC923" s="453"/>
      <c r="ED923" s="453"/>
      <c r="EE923" s="453"/>
      <c r="EF923" s="453"/>
      <c r="EG923" s="453"/>
      <c r="EH923" s="453"/>
      <c r="EI923" s="453"/>
      <c r="EJ923" s="453"/>
      <c r="EK923" s="453"/>
      <c r="EL923" s="453"/>
      <c r="EM923" s="483">
        <f t="shared" si="240"/>
        <v>614</v>
      </c>
      <c r="EN923" s="485"/>
      <c r="EO923" s="458"/>
      <c r="EP923" s="467"/>
      <c r="EQ923" s="457"/>
      <c r="ER923" s="808"/>
      <c r="ES923" s="881">
        <f t="shared" si="241"/>
        <v>0</v>
      </c>
      <c r="ET923" s="882"/>
      <c r="EU923" s="883"/>
      <c r="EV923" s="884">
        <f t="shared" si="242"/>
        <v>0</v>
      </c>
      <c r="EW923" s="885"/>
      <c r="EX923" s="885"/>
      <c r="EY923" s="885"/>
      <c r="EZ923" s="885"/>
      <c r="FA923" s="885"/>
      <c r="FB923" s="885"/>
      <c r="FC923" s="885"/>
      <c r="FD923" s="886"/>
      <c r="FE923" s="550"/>
      <c r="FF923" s="550"/>
      <c r="FG923" s="550"/>
      <c r="FH923" s="550"/>
      <c r="FI923" s="550"/>
      <c r="FJ923" s="550"/>
      <c r="FK923" s="550"/>
      <c r="FL923" s="555"/>
      <c r="FM923" s="554"/>
      <c r="FN923" s="554"/>
      <c r="FO923" s="554"/>
      <c r="FP923" s="554"/>
      <c r="FQ923" s="554"/>
      <c r="FR923" s="554"/>
      <c r="FS923" s="554"/>
      <c r="FT923" s="554"/>
      <c r="FU923" s="554"/>
      <c r="FV923" s="554"/>
      <c r="FW923" s="554"/>
      <c r="FX923" s="554"/>
      <c r="FY923" s="554"/>
      <c r="FZ923" s="554"/>
      <c r="GA923" s="554"/>
      <c r="GB923" s="556"/>
      <c r="GC923" s="370"/>
      <c r="GD923" s="453"/>
      <c r="GE923" s="453"/>
      <c r="GF923" s="453"/>
      <c r="GG923" s="453"/>
      <c r="GH923" s="454"/>
      <c r="GI923" s="453"/>
      <c r="GJ923" s="453"/>
      <c r="GK923" s="453"/>
      <c r="GL923" s="453"/>
      <c r="GM923" s="453"/>
      <c r="GN923" s="453"/>
      <c r="GO923" s="453"/>
      <c r="GP923" s="453"/>
      <c r="GQ923" s="453"/>
      <c r="GR923" s="453"/>
      <c r="GS923" s="561"/>
      <c r="GT923" s="475"/>
      <c r="GU923" s="472"/>
      <c r="GV923" s="453"/>
      <c r="GW923" s="453"/>
      <c r="GX923" s="869"/>
      <c r="GY923" s="870"/>
      <c r="GZ923" s="867"/>
      <c r="HA923" s="868"/>
      <c r="HB923" s="473"/>
      <c r="HC923" s="869"/>
      <c r="HD923" s="870"/>
      <c r="HE923" s="867"/>
      <c r="HF923" s="868"/>
      <c r="HG923" s="473"/>
      <c r="HH923" s="867"/>
      <c r="HI923" s="868"/>
      <c r="HJ923" s="867"/>
      <c r="HK923" s="868"/>
      <c r="HL923" s="370"/>
      <c r="HM923" s="865"/>
      <c r="HN923" s="866"/>
      <c r="HO923" s="865"/>
      <c r="HP923" s="866"/>
      <c r="HQ923" s="865"/>
      <c r="HR923" s="866"/>
      <c r="HS923" s="867"/>
      <c r="HT923" s="868"/>
      <c r="HU923" s="489"/>
      <c r="HV923" s="865"/>
      <c r="HW923" s="866"/>
    </row>
    <row r="924" spans="25:231" ht="15" customHeight="1">
      <c r="Y924" s="332"/>
      <c r="Z924" s="332"/>
      <c r="AA924" s="332"/>
      <c r="AB924" s="332"/>
      <c r="AC924" s="332"/>
      <c r="AD924" s="332"/>
      <c r="AE924" s="332"/>
      <c r="AF924" s="332"/>
      <c r="AG924" s="332"/>
      <c r="AH924" s="332"/>
      <c r="AI924" s="332"/>
      <c r="AJ924" s="332"/>
      <c r="AK924" s="332"/>
      <c r="AL924" s="332"/>
      <c r="AM924" s="332"/>
      <c r="AN924" s="332"/>
      <c r="AO924" s="332"/>
      <c r="AP924" s="332"/>
      <c r="AQ924" s="332"/>
      <c r="AR924" s="332"/>
      <c r="AS924" s="332"/>
      <c r="AT924" s="332"/>
      <c r="AU924" s="332"/>
      <c r="AV924" s="332"/>
      <c r="AW924" s="332"/>
      <c r="AX924" s="332"/>
      <c r="AY924" s="332"/>
      <c r="AZ924" s="332"/>
      <c r="BA924" s="332"/>
      <c r="BB924" s="332"/>
      <c r="BC924" s="332"/>
      <c r="BD924" s="332"/>
      <c r="BE924" s="332"/>
      <c r="BF924" s="332"/>
      <c r="BG924" s="332"/>
      <c r="BH924" s="332"/>
      <c r="BI924" s="332"/>
      <c r="BJ924" s="332"/>
      <c r="BK924" s="332"/>
      <c r="BL924" s="332"/>
      <c r="BM924" s="332"/>
      <c r="BN924" s="332"/>
      <c r="BO924" s="332"/>
      <c r="BP924" s="332"/>
      <c r="BQ924" s="332"/>
      <c r="BR924" s="332"/>
      <c r="BS924" s="332"/>
      <c r="BT924" s="332"/>
      <c r="BU924" s="332"/>
      <c r="BV924" s="332"/>
      <c r="BW924" s="332"/>
      <c r="BX924" s="332"/>
      <c r="BY924" s="332"/>
      <c r="BZ924" s="332"/>
      <c r="CA924" s="332"/>
      <c r="CB924" s="332"/>
      <c r="CC924" s="332"/>
      <c r="CD924" s="332"/>
      <c r="CE924" s="332"/>
      <c r="CF924" s="332"/>
      <c r="CG924" s="332"/>
      <c r="CH924" s="332"/>
      <c r="CI924" s="332"/>
      <c r="CJ924" s="332"/>
      <c r="CK924" s="332"/>
      <c r="CL924" s="332"/>
      <c r="CM924" s="332"/>
      <c r="CN924" s="332"/>
      <c r="CO924" s="332"/>
      <c r="CP924" s="332"/>
      <c r="CQ924" s="332"/>
      <c r="CR924" s="332"/>
      <c r="CS924" s="332"/>
      <c r="CT924" s="332"/>
      <c r="CU924" s="332"/>
      <c r="CV924" s="332"/>
      <c r="CW924" s="332"/>
      <c r="CX924" s="332"/>
      <c r="CY924" s="332"/>
      <c r="CZ924" s="332"/>
      <c r="DA924" s="332"/>
      <c r="DB924" s="332"/>
      <c r="DC924" s="332"/>
      <c r="DD924" s="332"/>
      <c r="DE924" s="332"/>
      <c r="DF924" s="332"/>
      <c r="DG924" s="332"/>
      <c r="DH924" s="332"/>
      <c r="DI924" s="332"/>
      <c r="DJ924" s="332"/>
      <c r="DK924" s="332"/>
      <c r="DL924" s="332"/>
      <c r="DM924" s="332"/>
      <c r="DN924" s="332"/>
      <c r="DO924" s="332"/>
      <c r="DP924" s="332"/>
      <c r="DQ924" s="332"/>
      <c r="DR924" s="332"/>
      <c r="DS924" s="332"/>
      <c r="DT924" s="332"/>
      <c r="DU924" s="453"/>
      <c r="DV924" s="453"/>
      <c r="DW924" s="453"/>
      <c r="DX924" s="453"/>
      <c r="DY924" s="453"/>
      <c r="DZ924" s="453"/>
      <c r="EA924" s="453"/>
      <c r="EB924" s="453"/>
      <c r="EC924" s="453"/>
      <c r="ED924" s="453"/>
      <c r="EE924" s="453"/>
      <c r="EF924" s="453"/>
      <c r="EG924" s="453"/>
      <c r="EH924" s="453"/>
      <c r="EI924" s="453"/>
      <c r="EJ924" s="453"/>
      <c r="EK924" s="453"/>
      <c r="EL924" s="453"/>
      <c r="EM924" s="483">
        <f t="shared" si="240"/>
        <v>615</v>
      </c>
      <c r="EN924" s="485"/>
      <c r="EO924" s="458"/>
      <c r="EP924" s="467"/>
      <c r="EQ924" s="457"/>
      <c r="ER924" s="808"/>
      <c r="ES924" s="881">
        <f t="shared" si="241"/>
        <v>0</v>
      </c>
      <c r="ET924" s="882"/>
      <c r="EU924" s="883"/>
      <c r="EV924" s="884">
        <f t="shared" si="242"/>
        <v>0</v>
      </c>
      <c r="EW924" s="885"/>
      <c r="EX924" s="885"/>
      <c r="EY924" s="885"/>
      <c r="EZ924" s="885"/>
      <c r="FA924" s="885"/>
      <c r="FB924" s="885"/>
      <c r="FC924" s="885"/>
      <c r="FD924" s="886"/>
      <c r="FE924" s="550"/>
      <c r="FF924" s="550"/>
      <c r="FG924" s="550"/>
      <c r="FH924" s="550"/>
      <c r="FI924" s="550"/>
      <c r="FJ924" s="550"/>
      <c r="FK924" s="550"/>
      <c r="FL924" s="555"/>
      <c r="FM924" s="554"/>
      <c r="FN924" s="554"/>
      <c r="FO924" s="554"/>
      <c r="FP924" s="554"/>
      <c r="FQ924" s="554"/>
      <c r="FR924" s="554"/>
      <c r="FS924" s="554"/>
      <c r="FT924" s="554"/>
      <c r="FU924" s="554"/>
      <c r="FV924" s="554"/>
      <c r="FW924" s="554"/>
      <c r="FX924" s="554"/>
      <c r="FY924" s="554"/>
      <c r="FZ924" s="554"/>
      <c r="GA924" s="554"/>
      <c r="GB924" s="556"/>
      <c r="GC924" s="370"/>
      <c r="GD924" s="453"/>
      <c r="GE924" s="453"/>
      <c r="GF924" s="453"/>
      <c r="GG924" s="453"/>
      <c r="GH924" s="454"/>
      <c r="GI924" s="453"/>
      <c r="GJ924" s="453"/>
      <c r="GK924" s="453"/>
      <c r="GL924" s="453"/>
      <c r="GM924" s="453"/>
      <c r="GN924" s="453"/>
      <c r="GO924" s="453"/>
      <c r="GP924" s="453"/>
      <c r="GQ924" s="453"/>
      <c r="GR924" s="453"/>
      <c r="GS924" s="561"/>
      <c r="GT924" s="475"/>
      <c r="GU924" s="472"/>
      <c r="GV924" s="453"/>
      <c r="GW924" s="453"/>
      <c r="GX924" s="869"/>
      <c r="GY924" s="870"/>
      <c r="GZ924" s="867"/>
      <c r="HA924" s="868"/>
      <c r="HB924" s="473"/>
      <c r="HC924" s="869"/>
      <c r="HD924" s="870"/>
      <c r="HE924" s="867"/>
      <c r="HF924" s="868"/>
      <c r="HG924" s="473"/>
      <c r="HH924" s="867"/>
      <c r="HI924" s="868"/>
      <c r="HJ924" s="867"/>
      <c r="HK924" s="868"/>
      <c r="HL924" s="370"/>
      <c r="HM924" s="865"/>
      <c r="HN924" s="866"/>
      <c r="HO924" s="865"/>
      <c r="HP924" s="866"/>
      <c r="HQ924" s="865"/>
      <c r="HR924" s="866"/>
      <c r="HS924" s="867"/>
      <c r="HT924" s="868"/>
      <c r="HU924" s="489"/>
      <c r="HV924" s="865"/>
      <c r="HW924" s="866"/>
    </row>
    <row r="925" spans="25:231" ht="15" customHeight="1">
      <c r="Y925" s="332"/>
      <c r="Z925" s="332"/>
      <c r="AA925" s="332"/>
      <c r="AB925" s="332"/>
      <c r="AC925" s="332"/>
      <c r="AD925" s="332"/>
      <c r="AE925" s="332"/>
      <c r="AF925" s="332"/>
      <c r="AG925" s="332"/>
      <c r="AH925" s="332"/>
      <c r="AI925" s="332"/>
      <c r="AJ925" s="332"/>
      <c r="AK925" s="332"/>
      <c r="AL925" s="332"/>
      <c r="AM925" s="332"/>
      <c r="AN925" s="332"/>
      <c r="AO925" s="332"/>
      <c r="AP925" s="332"/>
      <c r="AQ925" s="332"/>
      <c r="AR925" s="332"/>
      <c r="AS925" s="332"/>
      <c r="AT925" s="332"/>
      <c r="AU925" s="332"/>
      <c r="AV925" s="332"/>
      <c r="AW925" s="332"/>
      <c r="AX925" s="332"/>
      <c r="AY925" s="332"/>
      <c r="AZ925" s="332"/>
      <c r="BA925" s="332"/>
      <c r="BB925" s="332"/>
      <c r="BC925" s="332"/>
      <c r="BD925" s="332"/>
      <c r="BE925" s="332"/>
      <c r="BF925" s="332"/>
      <c r="BG925" s="332"/>
      <c r="BH925" s="332"/>
      <c r="BI925" s="332"/>
      <c r="BJ925" s="332"/>
      <c r="BK925" s="332"/>
      <c r="BL925" s="332"/>
      <c r="BM925" s="332"/>
      <c r="BN925" s="332"/>
      <c r="BO925" s="332"/>
      <c r="BP925" s="332"/>
      <c r="BQ925" s="332"/>
      <c r="BR925" s="332"/>
      <c r="BS925" s="332"/>
      <c r="BT925" s="332"/>
      <c r="BU925" s="332"/>
      <c r="BV925" s="332"/>
      <c r="BW925" s="332"/>
      <c r="BX925" s="332"/>
      <c r="BY925" s="332"/>
      <c r="BZ925" s="332"/>
      <c r="CA925" s="332"/>
      <c r="CB925" s="332"/>
      <c r="CC925" s="332"/>
      <c r="CD925" s="332"/>
      <c r="CE925" s="332"/>
      <c r="CF925" s="332"/>
      <c r="CG925" s="332"/>
      <c r="CH925" s="332"/>
      <c r="CI925" s="332"/>
      <c r="CJ925" s="332"/>
      <c r="CK925" s="332"/>
      <c r="CL925" s="332"/>
      <c r="CM925" s="332"/>
      <c r="CN925" s="332"/>
      <c r="CO925" s="332"/>
      <c r="CP925" s="332"/>
      <c r="CQ925" s="332"/>
      <c r="CR925" s="332"/>
      <c r="CS925" s="332"/>
      <c r="CT925" s="332"/>
      <c r="CU925" s="332"/>
      <c r="CV925" s="332"/>
      <c r="CW925" s="332"/>
      <c r="CX925" s="332"/>
      <c r="CY925" s="332"/>
      <c r="CZ925" s="332"/>
      <c r="DA925" s="332"/>
      <c r="DB925" s="332"/>
      <c r="DC925" s="332"/>
      <c r="DD925" s="332"/>
      <c r="DE925" s="332"/>
      <c r="DF925" s="332"/>
      <c r="DG925" s="332"/>
      <c r="DH925" s="332"/>
      <c r="DI925" s="332"/>
      <c r="DJ925" s="332"/>
      <c r="DK925" s="332"/>
      <c r="DL925" s="332"/>
      <c r="DM925" s="332"/>
      <c r="DN925" s="332"/>
      <c r="DO925" s="332"/>
      <c r="DP925" s="332"/>
      <c r="DQ925" s="332"/>
      <c r="DR925" s="332"/>
      <c r="DS925" s="332"/>
      <c r="DT925" s="332"/>
      <c r="DU925" s="453"/>
      <c r="DV925" s="453"/>
      <c r="DW925" s="453"/>
      <c r="DX925" s="453"/>
      <c r="DY925" s="453"/>
      <c r="DZ925" s="453"/>
      <c r="EA925" s="453"/>
      <c r="EB925" s="453"/>
      <c r="EC925" s="453"/>
      <c r="ED925" s="453"/>
      <c r="EE925" s="453"/>
      <c r="EF925" s="453"/>
      <c r="EG925" s="453"/>
      <c r="EH925" s="453"/>
      <c r="EI925" s="453"/>
      <c r="EJ925" s="453"/>
      <c r="EK925" s="453"/>
      <c r="EL925" s="453"/>
      <c r="EM925" s="483">
        <f t="shared" si="240"/>
        <v>616</v>
      </c>
      <c r="EN925" s="485"/>
      <c r="EO925" s="458"/>
      <c r="EP925" s="467"/>
      <c r="EQ925" s="457"/>
      <c r="ER925" s="808"/>
      <c r="ES925" s="881">
        <f t="shared" si="241"/>
        <v>0</v>
      </c>
      <c r="ET925" s="882"/>
      <c r="EU925" s="883"/>
      <c r="EV925" s="884">
        <f t="shared" si="242"/>
        <v>0</v>
      </c>
      <c r="EW925" s="885"/>
      <c r="EX925" s="885"/>
      <c r="EY925" s="885"/>
      <c r="EZ925" s="885"/>
      <c r="FA925" s="885"/>
      <c r="FB925" s="885"/>
      <c r="FC925" s="885"/>
      <c r="FD925" s="886"/>
      <c r="FE925" s="550"/>
      <c r="FF925" s="550"/>
      <c r="FG925" s="550"/>
      <c r="FH925" s="550"/>
      <c r="FI925" s="550"/>
      <c r="FJ925" s="550"/>
      <c r="FK925" s="550"/>
      <c r="FL925" s="555"/>
      <c r="FM925" s="554"/>
      <c r="FN925" s="554"/>
      <c r="FO925" s="554"/>
      <c r="FP925" s="554"/>
      <c r="FQ925" s="554"/>
      <c r="FR925" s="554"/>
      <c r="FS925" s="554"/>
      <c r="FT925" s="554"/>
      <c r="FU925" s="554"/>
      <c r="FV925" s="554"/>
      <c r="FW925" s="554"/>
      <c r="FX925" s="554"/>
      <c r="FY925" s="554"/>
      <c r="FZ925" s="554"/>
      <c r="GA925" s="554"/>
      <c r="GB925" s="556"/>
      <c r="GC925" s="370"/>
      <c r="GD925" s="453"/>
      <c r="GE925" s="453"/>
      <c r="GF925" s="453"/>
      <c r="GG925" s="453"/>
      <c r="GH925" s="454"/>
      <c r="GI925" s="453"/>
      <c r="GJ925" s="453"/>
      <c r="GK925" s="453"/>
      <c r="GL925" s="453"/>
      <c r="GM925" s="453"/>
      <c r="GN925" s="453"/>
      <c r="GO925" s="453"/>
      <c r="GP925" s="453"/>
      <c r="GQ925" s="453"/>
      <c r="GR925" s="453"/>
      <c r="GS925" s="561"/>
      <c r="GT925" s="475"/>
      <c r="GU925" s="472"/>
      <c r="GV925" s="453"/>
      <c r="GW925" s="453"/>
      <c r="GX925" s="869"/>
      <c r="GY925" s="870"/>
      <c r="GZ925" s="867"/>
      <c r="HA925" s="868"/>
      <c r="HB925" s="473"/>
      <c r="HC925" s="869"/>
      <c r="HD925" s="870"/>
      <c r="HE925" s="867"/>
      <c r="HF925" s="868"/>
      <c r="HG925" s="473"/>
      <c r="HH925" s="867"/>
      <c r="HI925" s="868"/>
      <c r="HJ925" s="867"/>
      <c r="HK925" s="868"/>
      <c r="HL925" s="370"/>
      <c r="HM925" s="865"/>
      <c r="HN925" s="866"/>
      <c r="HO925" s="865"/>
      <c r="HP925" s="866"/>
      <c r="HQ925" s="865"/>
      <c r="HR925" s="866"/>
      <c r="HS925" s="867"/>
      <c r="HT925" s="868"/>
      <c r="HU925" s="489"/>
      <c r="HV925" s="865"/>
      <c r="HW925" s="866"/>
    </row>
    <row r="926" spans="25:231" ht="15" customHeight="1">
      <c r="Y926" s="332"/>
      <c r="Z926" s="332"/>
      <c r="AA926" s="332"/>
      <c r="AB926" s="332"/>
      <c r="AC926" s="332"/>
      <c r="AD926" s="332"/>
      <c r="AE926" s="332"/>
      <c r="AF926" s="332"/>
      <c r="AG926" s="332"/>
      <c r="AH926" s="332"/>
      <c r="AI926" s="332"/>
      <c r="AJ926" s="332"/>
      <c r="AK926" s="332"/>
      <c r="AL926" s="332"/>
      <c r="AM926" s="332"/>
      <c r="AN926" s="332"/>
      <c r="AO926" s="332"/>
      <c r="AP926" s="332"/>
      <c r="AQ926" s="332"/>
      <c r="AR926" s="332"/>
      <c r="AS926" s="332"/>
      <c r="AT926" s="332"/>
      <c r="AU926" s="332"/>
      <c r="AV926" s="332"/>
      <c r="AW926" s="332"/>
      <c r="AX926" s="332"/>
      <c r="AY926" s="332"/>
      <c r="AZ926" s="332"/>
      <c r="BA926" s="332"/>
      <c r="BB926" s="332"/>
      <c r="BC926" s="332"/>
      <c r="BD926" s="332"/>
      <c r="BE926" s="332"/>
      <c r="BF926" s="332"/>
      <c r="BG926" s="332"/>
      <c r="BH926" s="332"/>
      <c r="BI926" s="332"/>
      <c r="BJ926" s="332"/>
      <c r="BK926" s="332"/>
      <c r="BL926" s="332"/>
      <c r="BM926" s="332"/>
      <c r="BN926" s="332"/>
      <c r="BO926" s="332"/>
      <c r="BP926" s="332"/>
      <c r="BQ926" s="332"/>
      <c r="BR926" s="332"/>
      <c r="BS926" s="332"/>
      <c r="BT926" s="332"/>
      <c r="BU926" s="332"/>
      <c r="BV926" s="332"/>
      <c r="BW926" s="332"/>
      <c r="BX926" s="332"/>
      <c r="BY926" s="332"/>
      <c r="BZ926" s="332"/>
      <c r="CA926" s="332"/>
      <c r="CB926" s="332"/>
      <c r="CC926" s="332"/>
      <c r="CD926" s="332"/>
      <c r="CE926" s="332"/>
      <c r="CF926" s="332"/>
      <c r="CG926" s="332"/>
      <c r="CH926" s="332"/>
      <c r="CI926" s="332"/>
      <c r="CJ926" s="332"/>
      <c r="CK926" s="332"/>
      <c r="CL926" s="332"/>
      <c r="CM926" s="332"/>
      <c r="CN926" s="332"/>
      <c r="CO926" s="332"/>
      <c r="CP926" s="332"/>
      <c r="CQ926" s="332"/>
      <c r="CR926" s="332"/>
      <c r="CS926" s="332"/>
      <c r="CT926" s="332"/>
      <c r="CU926" s="332"/>
      <c r="CV926" s="332"/>
      <c r="CW926" s="332"/>
      <c r="CX926" s="332"/>
      <c r="CY926" s="332"/>
      <c r="CZ926" s="332"/>
      <c r="DA926" s="332"/>
      <c r="DB926" s="332"/>
      <c r="DC926" s="332"/>
      <c r="DD926" s="332"/>
      <c r="DE926" s="332"/>
      <c r="DF926" s="332"/>
      <c r="DG926" s="332"/>
      <c r="DH926" s="332"/>
      <c r="DI926" s="332"/>
      <c r="DJ926" s="332"/>
      <c r="DK926" s="332"/>
      <c r="DL926" s="332"/>
      <c r="DM926" s="332"/>
      <c r="DN926" s="332"/>
      <c r="DO926" s="332"/>
      <c r="DP926" s="332"/>
      <c r="DQ926" s="332"/>
      <c r="DR926" s="332"/>
      <c r="DS926" s="332"/>
      <c r="DT926" s="332"/>
      <c r="DU926" s="453"/>
      <c r="DV926" s="453"/>
      <c r="DW926" s="453"/>
      <c r="DX926" s="453"/>
      <c r="DY926" s="453"/>
      <c r="DZ926" s="453"/>
      <c r="EA926" s="453"/>
      <c r="EB926" s="453"/>
      <c r="EC926" s="453"/>
      <c r="ED926" s="453"/>
      <c r="EE926" s="453"/>
      <c r="EF926" s="453"/>
      <c r="EG926" s="453"/>
      <c r="EH926" s="453"/>
      <c r="EI926" s="453"/>
      <c r="EJ926" s="453"/>
      <c r="EK926" s="453"/>
      <c r="EL926" s="453"/>
      <c r="EM926" s="483">
        <f t="shared" si="240"/>
        <v>617</v>
      </c>
      <c r="EN926" s="485"/>
      <c r="EO926" s="458"/>
      <c r="EP926" s="467"/>
      <c r="EQ926" s="457"/>
      <c r="ER926" s="808"/>
      <c r="ES926" s="881">
        <f t="shared" si="241"/>
        <v>0</v>
      </c>
      <c r="ET926" s="882"/>
      <c r="EU926" s="883"/>
      <c r="EV926" s="884">
        <f t="shared" si="242"/>
        <v>0</v>
      </c>
      <c r="EW926" s="885"/>
      <c r="EX926" s="885"/>
      <c r="EY926" s="885"/>
      <c r="EZ926" s="885"/>
      <c r="FA926" s="885"/>
      <c r="FB926" s="885"/>
      <c r="FC926" s="885"/>
      <c r="FD926" s="886"/>
      <c r="FE926" s="550"/>
      <c r="FF926" s="550"/>
      <c r="FG926" s="550"/>
      <c r="FH926" s="550"/>
      <c r="FI926" s="550"/>
      <c r="FJ926" s="550"/>
      <c r="FK926" s="550"/>
      <c r="FL926" s="555"/>
      <c r="FM926" s="554"/>
      <c r="FN926" s="554"/>
      <c r="FO926" s="554"/>
      <c r="FP926" s="554"/>
      <c r="FQ926" s="554"/>
      <c r="FR926" s="554"/>
      <c r="FS926" s="554"/>
      <c r="FT926" s="554"/>
      <c r="FU926" s="554"/>
      <c r="FV926" s="554"/>
      <c r="FW926" s="554"/>
      <c r="FX926" s="554"/>
      <c r="FY926" s="554"/>
      <c r="FZ926" s="554"/>
      <c r="GA926" s="554"/>
      <c r="GB926" s="556"/>
      <c r="GC926" s="370"/>
      <c r="GD926" s="453"/>
      <c r="GE926" s="453"/>
      <c r="GF926" s="453"/>
      <c r="GG926" s="453"/>
      <c r="GH926" s="454"/>
      <c r="GI926" s="453"/>
      <c r="GJ926" s="453"/>
      <c r="GK926" s="453"/>
      <c r="GL926" s="453"/>
      <c r="GM926" s="453"/>
      <c r="GN926" s="453"/>
      <c r="GO926" s="453"/>
      <c r="GP926" s="453"/>
      <c r="GQ926" s="453"/>
      <c r="GR926" s="453"/>
      <c r="GS926" s="561"/>
      <c r="GT926" s="475"/>
      <c r="GU926" s="472"/>
      <c r="GV926" s="453"/>
      <c r="GW926" s="453"/>
      <c r="GX926" s="869"/>
      <c r="GY926" s="870"/>
      <c r="GZ926" s="867"/>
      <c r="HA926" s="868"/>
      <c r="HB926" s="473"/>
      <c r="HC926" s="869"/>
      <c r="HD926" s="870"/>
      <c r="HE926" s="867"/>
      <c r="HF926" s="868"/>
      <c r="HG926" s="473"/>
      <c r="HH926" s="867"/>
      <c r="HI926" s="868"/>
      <c r="HJ926" s="867"/>
      <c r="HK926" s="868"/>
      <c r="HL926" s="370"/>
      <c r="HM926" s="865"/>
      <c r="HN926" s="866"/>
      <c r="HO926" s="865"/>
      <c r="HP926" s="866"/>
      <c r="HQ926" s="865"/>
      <c r="HR926" s="866"/>
      <c r="HS926" s="867"/>
      <c r="HT926" s="868"/>
      <c r="HU926" s="489"/>
      <c r="HV926" s="865"/>
      <c r="HW926" s="866"/>
    </row>
    <row r="927" spans="25:231" ht="15" customHeight="1">
      <c r="Y927" s="332"/>
      <c r="Z927" s="332"/>
      <c r="AA927" s="332"/>
      <c r="AB927" s="332"/>
      <c r="AC927" s="332"/>
      <c r="AD927" s="332"/>
      <c r="AE927" s="332"/>
      <c r="AF927" s="332"/>
      <c r="AG927" s="332"/>
      <c r="AH927" s="332"/>
      <c r="AI927" s="332"/>
      <c r="AJ927" s="332"/>
      <c r="AK927" s="332"/>
      <c r="AL927" s="332"/>
      <c r="AM927" s="332"/>
      <c r="AN927" s="332"/>
      <c r="AO927" s="332"/>
      <c r="AP927" s="332"/>
      <c r="AQ927" s="332"/>
      <c r="AR927" s="332"/>
      <c r="AS927" s="332"/>
      <c r="AT927" s="332"/>
      <c r="AU927" s="332"/>
      <c r="AV927" s="332"/>
      <c r="AW927" s="332"/>
      <c r="AX927" s="332"/>
      <c r="AY927" s="332"/>
      <c r="AZ927" s="332"/>
      <c r="BA927" s="332"/>
      <c r="BB927" s="332"/>
      <c r="BC927" s="332"/>
      <c r="BD927" s="332"/>
      <c r="BE927" s="332"/>
      <c r="BF927" s="332"/>
      <c r="BG927" s="332"/>
      <c r="BH927" s="332"/>
      <c r="BI927" s="332"/>
      <c r="BJ927" s="332"/>
      <c r="BK927" s="332"/>
      <c r="BL927" s="332"/>
      <c r="BM927" s="332"/>
      <c r="BN927" s="332"/>
      <c r="BO927" s="332"/>
      <c r="BP927" s="332"/>
      <c r="BQ927" s="332"/>
      <c r="BR927" s="332"/>
      <c r="BS927" s="332"/>
      <c r="BT927" s="332"/>
      <c r="BU927" s="332"/>
      <c r="BV927" s="332"/>
      <c r="BW927" s="332"/>
      <c r="BX927" s="332"/>
      <c r="BY927" s="332"/>
      <c r="BZ927" s="332"/>
      <c r="CA927" s="332"/>
      <c r="CB927" s="332"/>
      <c r="CC927" s="332"/>
      <c r="CD927" s="332"/>
      <c r="CE927" s="332"/>
      <c r="CF927" s="332"/>
      <c r="CG927" s="332"/>
      <c r="CH927" s="332"/>
      <c r="CI927" s="332"/>
      <c r="CJ927" s="332"/>
      <c r="CK927" s="332"/>
      <c r="CL927" s="332"/>
      <c r="CM927" s="332"/>
      <c r="CN927" s="332"/>
      <c r="CO927" s="332"/>
      <c r="CP927" s="332"/>
      <c r="CQ927" s="332"/>
      <c r="CR927" s="332"/>
      <c r="CS927" s="332"/>
      <c r="CT927" s="332"/>
      <c r="CU927" s="332"/>
      <c r="CV927" s="332"/>
      <c r="CW927" s="332"/>
      <c r="CX927" s="332"/>
      <c r="CY927" s="332"/>
      <c r="CZ927" s="332"/>
      <c r="DA927" s="332"/>
      <c r="DB927" s="332"/>
      <c r="DC927" s="332"/>
      <c r="DD927" s="332"/>
      <c r="DE927" s="332"/>
      <c r="DF927" s="332"/>
      <c r="DG927" s="332"/>
      <c r="DH927" s="332"/>
      <c r="DI927" s="332"/>
      <c r="DJ927" s="332"/>
      <c r="DK927" s="332"/>
      <c r="DL927" s="332"/>
      <c r="DM927" s="332"/>
      <c r="DN927" s="332"/>
      <c r="DO927" s="332"/>
      <c r="DP927" s="332"/>
      <c r="DQ927" s="332"/>
      <c r="DR927" s="332"/>
      <c r="DS927" s="332"/>
      <c r="DT927" s="332"/>
      <c r="DU927" s="453"/>
      <c r="DV927" s="453"/>
      <c r="DW927" s="453"/>
      <c r="DX927" s="453"/>
      <c r="DY927" s="453"/>
      <c r="DZ927" s="453"/>
      <c r="EA927" s="453"/>
      <c r="EB927" s="453"/>
      <c r="EC927" s="453"/>
      <c r="ED927" s="453"/>
      <c r="EE927" s="453"/>
      <c r="EF927" s="453"/>
      <c r="EG927" s="453"/>
      <c r="EH927" s="453"/>
      <c r="EI927" s="453"/>
      <c r="EJ927" s="453"/>
      <c r="EK927" s="453"/>
      <c r="EL927" s="453"/>
      <c r="EM927" s="483">
        <f t="shared" si="240"/>
        <v>618</v>
      </c>
      <c r="EN927" s="485"/>
      <c r="EO927" s="458"/>
      <c r="EP927" s="467"/>
      <c r="EQ927" s="457"/>
      <c r="ER927" s="808"/>
      <c r="ES927" s="881">
        <f t="shared" si="241"/>
        <v>0</v>
      </c>
      <c r="ET927" s="882"/>
      <c r="EU927" s="883"/>
      <c r="EV927" s="884">
        <f t="shared" si="242"/>
        <v>0</v>
      </c>
      <c r="EW927" s="885"/>
      <c r="EX927" s="885"/>
      <c r="EY927" s="885"/>
      <c r="EZ927" s="885"/>
      <c r="FA927" s="885"/>
      <c r="FB927" s="885"/>
      <c r="FC927" s="885"/>
      <c r="FD927" s="886"/>
      <c r="FE927" s="550"/>
      <c r="FF927" s="550"/>
      <c r="FG927" s="550"/>
      <c r="FH927" s="550"/>
      <c r="FI927" s="550"/>
      <c r="FJ927" s="550"/>
      <c r="FK927" s="550"/>
      <c r="FL927" s="555"/>
      <c r="FM927" s="554"/>
      <c r="FN927" s="554"/>
      <c r="FO927" s="554"/>
      <c r="FP927" s="554"/>
      <c r="FQ927" s="554"/>
      <c r="FR927" s="554"/>
      <c r="FS927" s="554"/>
      <c r="FT927" s="554"/>
      <c r="FU927" s="554"/>
      <c r="FV927" s="554"/>
      <c r="FW927" s="554"/>
      <c r="FX927" s="554"/>
      <c r="FY927" s="554"/>
      <c r="FZ927" s="554"/>
      <c r="GA927" s="554"/>
      <c r="GB927" s="556"/>
      <c r="GC927" s="370"/>
      <c r="GD927" s="453"/>
      <c r="GE927" s="453"/>
      <c r="GF927" s="453"/>
      <c r="GG927" s="453"/>
      <c r="GH927" s="454"/>
      <c r="GI927" s="453"/>
      <c r="GJ927" s="453"/>
      <c r="GK927" s="453"/>
      <c r="GL927" s="453"/>
      <c r="GM927" s="453"/>
      <c r="GN927" s="453"/>
      <c r="GO927" s="453"/>
      <c r="GP927" s="453"/>
      <c r="GQ927" s="453"/>
      <c r="GR927" s="453"/>
      <c r="GS927" s="561"/>
      <c r="GT927" s="475"/>
      <c r="GU927" s="472"/>
      <c r="GV927" s="453"/>
      <c r="GW927" s="453"/>
      <c r="GX927" s="869"/>
      <c r="GY927" s="870"/>
      <c r="GZ927" s="867"/>
      <c r="HA927" s="868"/>
      <c r="HB927" s="473"/>
      <c r="HC927" s="869"/>
      <c r="HD927" s="870"/>
      <c r="HE927" s="867"/>
      <c r="HF927" s="868"/>
      <c r="HG927" s="473"/>
      <c r="HH927" s="867"/>
      <c r="HI927" s="868"/>
      <c r="HJ927" s="867"/>
      <c r="HK927" s="868"/>
      <c r="HL927" s="370"/>
      <c r="HM927" s="865"/>
      <c r="HN927" s="866"/>
      <c r="HO927" s="865"/>
      <c r="HP927" s="866"/>
      <c r="HQ927" s="865"/>
      <c r="HR927" s="866"/>
      <c r="HS927" s="867"/>
      <c r="HT927" s="868"/>
      <c r="HU927" s="489"/>
      <c r="HV927" s="865"/>
      <c r="HW927" s="866"/>
    </row>
    <row r="928" spans="25:231" ht="15" customHeight="1">
      <c r="Y928" s="332"/>
      <c r="Z928" s="332"/>
      <c r="AA928" s="332"/>
      <c r="AB928" s="332"/>
      <c r="AC928" s="332"/>
      <c r="AD928" s="332"/>
      <c r="AE928" s="332"/>
      <c r="AF928" s="332"/>
      <c r="AG928" s="332"/>
      <c r="AH928" s="332"/>
      <c r="AI928" s="332"/>
      <c r="AJ928" s="332"/>
      <c r="AK928" s="332"/>
      <c r="AL928" s="332"/>
      <c r="AM928" s="332"/>
      <c r="AN928" s="332"/>
      <c r="AO928" s="332"/>
      <c r="AP928" s="332"/>
      <c r="AQ928" s="332"/>
      <c r="AR928" s="332"/>
      <c r="AS928" s="332"/>
      <c r="AT928" s="332"/>
      <c r="AU928" s="332"/>
      <c r="AV928" s="332"/>
      <c r="AW928" s="332"/>
      <c r="AX928" s="332"/>
      <c r="AY928" s="332"/>
      <c r="AZ928" s="332"/>
      <c r="BA928" s="332"/>
      <c r="BB928" s="332"/>
      <c r="BC928" s="332"/>
      <c r="BD928" s="332"/>
      <c r="BE928" s="332"/>
      <c r="BF928" s="332"/>
      <c r="BG928" s="332"/>
      <c r="BH928" s="332"/>
      <c r="BI928" s="332"/>
      <c r="BJ928" s="332"/>
      <c r="BK928" s="332"/>
      <c r="BL928" s="332"/>
      <c r="BM928" s="332"/>
      <c r="BN928" s="332"/>
      <c r="BO928" s="332"/>
      <c r="BP928" s="332"/>
      <c r="BQ928" s="332"/>
      <c r="BR928" s="332"/>
      <c r="BS928" s="332"/>
      <c r="BT928" s="332"/>
      <c r="BU928" s="332"/>
      <c r="BV928" s="332"/>
      <c r="BW928" s="332"/>
      <c r="BX928" s="332"/>
      <c r="BY928" s="332"/>
      <c r="BZ928" s="332"/>
      <c r="CA928" s="332"/>
      <c r="CB928" s="332"/>
      <c r="CC928" s="332"/>
      <c r="CD928" s="332"/>
      <c r="CE928" s="332"/>
      <c r="CF928" s="332"/>
      <c r="CG928" s="332"/>
      <c r="CH928" s="332"/>
      <c r="CI928" s="332"/>
      <c r="CJ928" s="332"/>
      <c r="CK928" s="332"/>
      <c r="CL928" s="332"/>
      <c r="CM928" s="332"/>
      <c r="CN928" s="332"/>
      <c r="CO928" s="332"/>
      <c r="CP928" s="332"/>
      <c r="CQ928" s="332"/>
      <c r="CR928" s="332"/>
      <c r="CS928" s="332"/>
      <c r="CT928" s="332"/>
      <c r="CU928" s="332"/>
      <c r="CV928" s="332"/>
      <c r="CW928" s="332"/>
      <c r="CX928" s="332"/>
      <c r="CY928" s="332"/>
      <c r="CZ928" s="332"/>
      <c r="DA928" s="332"/>
      <c r="DB928" s="332"/>
      <c r="DC928" s="332"/>
      <c r="DD928" s="332"/>
      <c r="DE928" s="332"/>
      <c r="DF928" s="332"/>
      <c r="DG928" s="332"/>
      <c r="DH928" s="332"/>
      <c r="DI928" s="332"/>
      <c r="DJ928" s="332"/>
      <c r="DK928" s="332"/>
      <c r="DL928" s="332"/>
      <c r="DM928" s="332"/>
      <c r="DN928" s="332"/>
      <c r="DO928" s="332"/>
      <c r="DP928" s="332"/>
      <c r="DQ928" s="332"/>
      <c r="DR928" s="332"/>
      <c r="DS928" s="332"/>
      <c r="DT928" s="332"/>
      <c r="DU928" s="453"/>
      <c r="DV928" s="453"/>
      <c r="DW928" s="453"/>
      <c r="DX928" s="453"/>
      <c r="DY928" s="453"/>
      <c r="DZ928" s="453"/>
      <c r="EA928" s="453"/>
      <c r="EB928" s="453"/>
      <c r="EC928" s="453"/>
      <c r="ED928" s="453"/>
      <c r="EE928" s="453"/>
      <c r="EF928" s="453"/>
      <c r="EG928" s="453"/>
      <c r="EH928" s="453"/>
      <c r="EI928" s="453"/>
      <c r="EJ928" s="453"/>
      <c r="EK928" s="453"/>
      <c r="EL928" s="453"/>
      <c r="EM928" s="483">
        <f t="shared" si="240"/>
        <v>619</v>
      </c>
      <c r="EN928" s="485"/>
      <c r="EO928" s="458"/>
      <c r="EP928" s="467"/>
      <c r="EQ928" s="457"/>
      <c r="ER928" s="808"/>
      <c r="ES928" s="881">
        <f t="shared" si="241"/>
        <v>0</v>
      </c>
      <c r="ET928" s="882"/>
      <c r="EU928" s="883"/>
      <c r="EV928" s="884">
        <f t="shared" si="242"/>
        <v>0</v>
      </c>
      <c r="EW928" s="885"/>
      <c r="EX928" s="885"/>
      <c r="EY928" s="885"/>
      <c r="EZ928" s="885"/>
      <c r="FA928" s="885"/>
      <c r="FB928" s="885"/>
      <c r="FC928" s="885"/>
      <c r="FD928" s="886"/>
      <c r="FE928" s="550"/>
      <c r="FF928" s="550"/>
      <c r="FG928" s="550"/>
      <c r="FH928" s="550"/>
      <c r="FI928" s="550"/>
      <c r="FJ928" s="550"/>
      <c r="FK928" s="550"/>
      <c r="FL928" s="555"/>
      <c r="FM928" s="554"/>
      <c r="FN928" s="554"/>
      <c r="FO928" s="554"/>
      <c r="FP928" s="554"/>
      <c r="FQ928" s="554"/>
      <c r="FR928" s="554"/>
      <c r="FS928" s="554"/>
      <c r="FT928" s="554"/>
      <c r="FU928" s="554"/>
      <c r="FV928" s="554"/>
      <c r="FW928" s="554"/>
      <c r="FX928" s="554"/>
      <c r="FY928" s="554"/>
      <c r="FZ928" s="554"/>
      <c r="GA928" s="554"/>
      <c r="GB928" s="556"/>
      <c r="GC928" s="370"/>
      <c r="GD928" s="453"/>
      <c r="GE928" s="453"/>
      <c r="GF928" s="453"/>
      <c r="GG928" s="453"/>
      <c r="GH928" s="454"/>
      <c r="GI928" s="453"/>
      <c r="GJ928" s="453"/>
      <c r="GK928" s="453"/>
      <c r="GL928" s="453"/>
      <c r="GM928" s="453"/>
      <c r="GN928" s="453"/>
      <c r="GO928" s="453"/>
      <c r="GP928" s="453"/>
      <c r="GQ928" s="453"/>
      <c r="GR928" s="453"/>
      <c r="GS928" s="561"/>
      <c r="GT928" s="475"/>
      <c r="GU928" s="472"/>
      <c r="GV928" s="453"/>
      <c r="GW928" s="453"/>
      <c r="GX928" s="869"/>
      <c r="GY928" s="870"/>
      <c r="GZ928" s="867"/>
      <c r="HA928" s="868"/>
      <c r="HB928" s="473"/>
      <c r="HC928" s="869"/>
      <c r="HD928" s="870"/>
      <c r="HE928" s="867"/>
      <c r="HF928" s="868"/>
      <c r="HG928" s="473"/>
      <c r="HH928" s="867"/>
      <c r="HI928" s="868"/>
      <c r="HJ928" s="867"/>
      <c r="HK928" s="868"/>
      <c r="HL928" s="370"/>
      <c r="HM928" s="865"/>
      <c r="HN928" s="866"/>
      <c r="HO928" s="865"/>
      <c r="HP928" s="866"/>
      <c r="HQ928" s="865"/>
      <c r="HR928" s="866"/>
      <c r="HS928" s="867"/>
      <c r="HT928" s="868"/>
      <c r="HU928" s="489"/>
      <c r="HV928" s="865"/>
      <c r="HW928" s="866"/>
    </row>
    <row r="929" spans="25:231" ht="15" customHeight="1">
      <c r="Y929" s="332"/>
      <c r="Z929" s="332"/>
      <c r="AA929" s="332"/>
      <c r="AB929" s="332"/>
      <c r="AC929" s="332"/>
      <c r="AD929" s="332"/>
      <c r="AE929" s="332"/>
      <c r="AF929" s="332"/>
      <c r="AG929" s="332"/>
      <c r="AH929" s="332"/>
      <c r="AI929" s="332"/>
      <c r="AJ929" s="332"/>
      <c r="AK929" s="332"/>
      <c r="AL929" s="332"/>
      <c r="AM929" s="332"/>
      <c r="AN929" s="332"/>
      <c r="AO929" s="332"/>
      <c r="AP929" s="332"/>
      <c r="AQ929" s="332"/>
      <c r="AR929" s="332"/>
      <c r="AS929" s="332"/>
      <c r="AT929" s="332"/>
      <c r="AU929" s="332"/>
      <c r="AV929" s="332"/>
      <c r="AW929" s="332"/>
      <c r="AX929" s="332"/>
      <c r="AY929" s="332"/>
      <c r="AZ929" s="332"/>
      <c r="BA929" s="332"/>
      <c r="BB929" s="332"/>
      <c r="BC929" s="332"/>
      <c r="BD929" s="332"/>
      <c r="BE929" s="332"/>
      <c r="BF929" s="332"/>
      <c r="BG929" s="332"/>
      <c r="BH929" s="332"/>
      <c r="BI929" s="332"/>
      <c r="BJ929" s="332"/>
      <c r="BK929" s="332"/>
      <c r="BL929" s="332"/>
      <c r="BM929" s="332"/>
      <c r="BN929" s="332"/>
      <c r="BO929" s="332"/>
      <c r="BP929" s="332"/>
      <c r="BQ929" s="332"/>
      <c r="BR929" s="332"/>
      <c r="BS929" s="332"/>
      <c r="BT929" s="332"/>
      <c r="BU929" s="332"/>
      <c r="BV929" s="332"/>
      <c r="BW929" s="332"/>
      <c r="BX929" s="332"/>
      <c r="BY929" s="332"/>
      <c r="BZ929" s="332"/>
      <c r="CA929" s="332"/>
      <c r="CB929" s="332"/>
      <c r="CC929" s="332"/>
      <c r="CD929" s="332"/>
      <c r="CE929" s="332"/>
      <c r="CF929" s="332"/>
      <c r="CG929" s="332"/>
      <c r="CH929" s="332"/>
      <c r="CI929" s="332"/>
      <c r="CJ929" s="332"/>
      <c r="CK929" s="332"/>
      <c r="CL929" s="332"/>
      <c r="CM929" s="332"/>
      <c r="CN929" s="332"/>
      <c r="CO929" s="332"/>
      <c r="CP929" s="332"/>
      <c r="CQ929" s="332"/>
      <c r="CR929" s="332"/>
      <c r="CS929" s="332"/>
      <c r="CT929" s="332"/>
      <c r="CU929" s="332"/>
      <c r="CV929" s="332"/>
      <c r="CW929" s="332"/>
      <c r="CX929" s="332"/>
      <c r="CY929" s="332"/>
      <c r="CZ929" s="332"/>
      <c r="DA929" s="332"/>
      <c r="DB929" s="332"/>
      <c r="DC929" s="332"/>
      <c r="DD929" s="332"/>
      <c r="DE929" s="332"/>
      <c r="DF929" s="332"/>
      <c r="DG929" s="332"/>
      <c r="DH929" s="332"/>
      <c r="DI929" s="332"/>
      <c r="DJ929" s="332"/>
      <c r="DK929" s="332"/>
      <c r="DL929" s="332"/>
      <c r="DM929" s="332"/>
      <c r="DN929" s="332"/>
      <c r="DO929" s="332"/>
      <c r="DP929" s="332"/>
      <c r="DQ929" s="332"/>
      <c r="DR929" s="332"/>
      <c r="DS929" s="332"/>
      <c r="DT929" s="332"/>
      <c r="DU929" s="453"/>
      <c r="DV929" s="453"/>
      <c r="DW929" s="453"/>
      <c r="DX929" s="453"/>
      <c r="DY929" s="453"/>
      <c r="DZ929" s="453"/>
      <c r="EA929" s="453"/>
      <c r="EB929" s="453"/>
      <c r="EC929" s="453"/>
      <c r="ED929" s="453"/>
      <c r="EE929" s="453"/>
      <c r="EF929" s="453"/>
      <c r="EG929" s="453"/>
      <c r="EH929" s="453"/>
      <c r="EI929" s="453"/>
      <c r="EJ929" s="453"/>
      <c r="EK929" s="453"/>
      <c r="EL929" s="453"/>
      <c r="EM929" s="483">
        <f t="shared" si="240"/>
        <v>620</v>
      </c>
      <c r="EN929" s="485"/>
      <c r="EO929" s="458"/>
      <c r="EP929" s="467"/>
      <c r="EQ929" s="457"/>
      <c r="ER929" s="808"/>
      <c r="ES929" s="881">
        <f t="shared" si="241"/>
        <v>0</v>
      </c>
      <c r="ET929" s="882"/>
      <c r="EU929" s="883"/>
      <c r="EV929" s="884">
        <f t="shared" si="242"/>
        <v>0</v>
      </c>
      <c r="EW929" s="885"/>
      <c r="EX929" s="885"/>
      <c r="EY929" s="885"/>
      <c r="EZ929" s="885"/>
      <c r="FA929" s="885"/>
      <c r="FB929" s="885"/>
      <c r="FC929" s="885"/>
      <c r="FD929" s="886"/>
      <c r="FE929" s="550"/>
      <c r="FF929" s="550"/>
      <c r="FG929" s="550"/>
      <c r="FH929" s="550"/>
      <c r="FI929" s="550"/>
      <c r="FJ929" s="550"/>
      <c r="FK929" s="550"/>
      <c r="FL929" s="555"/>
      <c r="FM929" s="554"/>
      <c r="FN929" s="554"/>
      <c r="FO929" s="554"/>
      <c r="FP929" s="554"/>
      <c r="FQ929" s="554"/>
      <c r="FR929" s="554"/>
      <c r="FS929" s="554"/>
      <c r="FT929" s="554"/>
      <c r="FU929" s="554"/>
      <c r="FV929" s="554"/>
      <c r="FW929" s="554"/>
      <c r="FX929" s="554"/>
      <c r="FY929" s="554"/>
      <c r="FZ929" s="554"/>
      <c r="GA929" s="554"/>
      <c r="GB929" s="556"/>
      <c r="GC929" s="370"/>
      <c r="GD929" s="453"/>
      <c r="GE929" s="453"/>
      <c r="GF929" s="453"/>
      <c r="GG929" s="453"/>
      <c r="GH929" s="454"/>
      <c r="GI929" s="453"/>
      <c r="GJ929" s="453"/>
      <c r="GK929" s="453"/>
      <c r="GL929" s="453"/>
      <c r="GM929" s="453"/>
      <c r="GN929" s="453"/>
      <c r="GO929" s="453"/>
      <c r="GP929" s="453"/>
      <c r="GQ929" s="453"/>
      <c r="GR929" s="453"/>
      <c r="GS929" s="561"/>
      <c r="GT929" s="475"/>
      <c r="GU929" s="472"/>
      <c r="GV929" s="453"/>
      <c r="GW929" s="453"/>
      <c r="GX929" s="869"/>
      <c r="GY929" s="870"/>
      <c r="GZ929" s="867"/>
      <c r="HA929" s="868"/>
      <c r="HB929" s="473"/>
      <c r="HC929" s="869"/>
      <c r="HD929" s="870"/>
      <c r="HE929" s="867"/>
      <c r="HF929" s="868"/>
      <c r="HG929" s="473"/>
      <c r="HH929" s="867"/>
      <c r="HI929" s="868"/>
      <c r="HJ929" s="867"/>
      <c r="HK929" s="868"/>
      <c r="HL929" s="370"/>
      <c r="HM929" s="865"/>
      <c r="HN929" s="866"/>
      <c r="HO929" s="865"/>
      <c r="HP929" s="866"/>
      <c r="HQ929" s="865"/>
      <c r="HR929" s="866"/>
      <c r="HS929" s="867"/>
      <c r="HT929" s="868"/>
      <c r="HU929" s="489"/>
      <c r="HV929" s="865"/>
      <c r="HW929" s="866"/>
    </row>
    <row r="930" spans="25:231" ht="15" customHeight="1">
      <c r="Y930" s="332"/>
      <c r="Z930" s="332"/>
      <c r="AA930" s="332"/>
      <c r="AB930" s="332"/>
      <c r="AC930" s="332"/>
      <c r="AD930" s="332"/>
      <c r="AE930" s="332"/>
      <c r="AF930" s="332"/>
      <c r="AG930" s="332"/>
      <c r="AH930" s="332"/>
      <c r="AI930" s="332"/>
      <c r="AJ930" s="332"/>
      <c r="AK930" s="332"/>
      <c r="AL930" s="332"/>
      <c r="AM930" s="332"/>
      <c r="AN930" s="332"/>
      <c r="AO930" s="332"/>
      <c r="AP930" s="332"/>
      <c r="AQ930" s="332"/>
      <c r="AR930" s="332"/>
      <c r="AS930" s="332"/>
      <c r="AT930" s="332"/>
      <c r="AU930" s="332"/>
      <c r="AV930" s="332"/>
      <c r="AW930" s="332"/>
      <c r="AX930" s="332"/>
      <c r="AY930" s="332"/>
      <c r="AZ930" s="332"/>
      <c r="BA930" s="332"/>
      <c r="BB930" s="332"/>
      <c r="BC930" s="332"/>
      <c r="BD930" s="332"/>
      <c r="BE930" s="332"/>
      <c r="BF930" s="332"/>
      <c r="BG930" s="332"/>
      <c r="BH930" s="332"/>
      <c r="BI930" s="332"/>
      <c r="BJ930" s="332"/>
      <c r="BK930" s="332"/>
      <c r="BL930" s="332"/>
      <c r="BM930" s="332"/>
      <c r="BN930" s="332"/>
      <c r="BO930" s="332"/>
      <c r="BP930" s="332"/>
      <c r="BQ930" s="332"/>
      <c r="BR930" s="332"/>
      <c r="BS930" s="332"/>
      <c r="BT930" s="332"/>
      <c r="BU930" s="332"/>
      <c r="BV930" s="332"/>
      <c r="BW930" s="332"/>
      <c r="BX930" s="332"/>
      <c r="BY930" s="332"/>
      <c r="BZ930" s="332"/>
      <c r="CA930" s="332"/>
      <c r="CB930" s="332"/>
      <c r="CC930" s="332"/>
      <c r="CD930" s="332"/>
      <c r="CE930" s="332"/>
      <c r="CF930" s="332"/>
      <c r="CG930" s="332"/>
      <c r="CH930" s="332"/>
      <c r="CI930" s="332"/>
      <c r="CJ930" s="332"/>
      <c r="CK930" s="332"/>
      <c r="CL930" s="332"/>
      <c r="CM930" s="332"/>
      <c r="CN930" s="332"/>
      <c r="CO930" s="332"/>
      <c r="CP930" s="332"/>
      <c r="CQ930" s="332"/>
      <c r="CR930" s="332"/>
      <c r="CS930" s="332"/>
      <c r="CT930" s="332"/>
      <c r="CU930" s="332"/>
      <c r="CV930" s="332"/>
      <c r="CW930" s="332"/>
      <c r="CX930" s="332"/>
      <c r="CY930" s="332"/>
      <c r="CZ930" s="332"/>
      <c r="DA930" s="332"/>
      <c r="DB930" s="332"/>
      <c r="DC930" s="332"/>
      <c r="DD930" s="332"/>
      <c r="DE930" s="332"/>
      <c r="DF930" s="332"/>
      <c r="DG930" s="332"/>
      <c r="DH930" s="332"/>
      <c r="DI930" s="332"/>
      <c r="DJ930" s="332"/>
      <c r="DK930" s="332"/>
      <c r="DL930" s="332"/>
      <c r="DM930" s="332"/>
      <c r="DN930" s="332"/>
      <c r="DO930" s="332"/>
      <c r="DP930" s="332"/>
      <c r="DQ930" s="332"/>
      <c r="DR930" s="332"/>
      <c r="DS930" s="332"/>
      <c r="DT930" s="332"/>
      <c r="DU930" s="453"/>
      <c r="DV930" s="453"/>
      <c r="DW930" s="453"/>
      <c r="DX930" s="453"/>
      <c r="DY930" s="453"/>
      <c r="DZ930" s="453"/>
      <c r="EA930" s="453"/>
      <c r="EB930" s="453"/>
      <c r="EC930" s="453"/>
      <c r="ED930" s="453"/>
      <c r="EE930" s="453"/>
      <c r="EF930" s="453"/>
      <c r="EG930" s="453"/>
      <c r="EH930" s="453"/>
      <c r="EI930" s="453"/>
      <c r="EJ930" s="453"/>
      <c r="EK930" s="453"/>
      <c r="EL930" s="453"/>
      <c r="EM930" s="483">
        <f t="shared" si="240"/>
        <v>621</v>
      </c>
      <c r="EN930" s="485"/>
      <c r="EO930" s="458"/>
      <c r="EP930" s="467"/>
      <c r="EQ930" s="457"/>
      <c r="ER930" s="808"/>
      <c r="ES930" s="881">
        <f t="shared" si="241"/>
        <v>0</v>
      </c>
      <c r="ET930" s="882"/>
      <c r="EU930" s="883"/>
      <c r="EV930" s="884">
        <f t="shared" si="242"/>
        <v>0</v>
      </c>
      <c r="EW930" s="885"/>
      <c r="EX930" s="885"/>
      <c r="EY930" s="885"/>
      <c r="EZ930" s="885"/>
      <c r="FA930" s="885"/>
      <c r="FB930" s="885"/>
      <c r="FC930" s="885"/>
      <c r="FD930" s="886"/>
      <c r="FE930" s="550"/>
      <c r="FF930" s="550"/>
      <c r="FG930" s="550"/>
      <c r="FH930" s="550"/>
      <c r="FI930" s="550"/>
      <c r="FJ930" s="550"/>
      <c r="FK930" s="550"/>
      <c r="FL930" s="555"/>
      <c r="FM930" s="554"/>
      <c r="FN930" s="554"/>
      <c r="FO930" s="554"/>
      <c r="FP930" s="554"/>
      <c r="FQ930" s="554"/>
      <c r="FR930" s="554"/>
      <c r="FS930" s="554"/>
      <c r="FT930" s="554"/>
      <c r="FU930" s="554"/>
      <c r="FV930" s="554"/>
      <c r="FW930" s="554"/>
      <c r="FX930" s="554"/>
      <c r="FY930" s="554"/>
      <c r="FZ930" s="554"/>
      <c r="GA930" s="554"/>
      <c r="GB930" s="556"/>
      <c r="GC930" s="370"/>
      <c r="GD930" s="453"/>
      <c r="GE930" s="453"/>
      <c r="GF930" s="453"/>
      <c r="GG930" s="453"/>
      <c r="GH930" s="454"/>
      <c r="GI930" s="453"/>
      <c r="GJ930" s="453"/>
      <c r="GK930" s="453"/>
      <c r="GL930" s="453"/>
      <c r="GM930" s="453"/>
      <c r="GN930" s="453"/>
      <c r="GO930" s="453"/>
      <c r="GP930" s="453"/>
      <c r="GQ930" s="453"/>
      <c r="GR930" s="453"/>
      <c r="GS930" s="561"/>
      <c r="GT930" s="475"/>
      <c r="GU930" s="472"/>
      <c r="GV930" s="453"/>
      <c r="GW930" s="453"/>
      <c r="GX930" s="869"/>
      <c r="GY930" s="870"/>
      <c r="GZ930" s="867"/>
      <c r="HA930" s="868"/>
      <c r="HB930" s="473"/>
      <c r="HC930" s="869"/>
      <c r="HD930" s="870"/>
      <c r="HE930" s="867"/>
      <c r="HF930" s="868"/>
      <c r="HG930" s="473"/>
      <c r="HH930" s="867"/>
      <c r="HI930" s="868"/>
      <c r="HJ930" s="867"/>
      <c r="HK930" s="868"/>
      <c r="HL930" s="370"/>
      <c r="HM930" s="865"/>
      <c r="HN930" s="866"/>
      <c r="HO930" s="865"/>
      <c r="HP930" s="866"/>
      <c r="HQ930" s="865"/>
      <c r="HR930" s="866"/>
      <c r="HS930" s="867"/>
      <c r="HT930" s="868"/>
      <c r="HU930" s="489"/>
      <c r="HV930" s="865"/>
      <c r="HW930" s="866"/>
    </row>
    <row r="931" spans="25:231" ht="15" customHeight="1">
      <c r="Y931" s="332"/>
      <c r="Z931" s="332"/>
      <c r="AA931" s="332"/>
      <c r="AB931" s="332"/>
      <c r="AC931" s="332"/>
      <c r="AD931" s="332"/>
      <c r="AE931" s="332"/>
      <c r="AF931" s="332"/>
      <c r="AG931" s="332"/>
      <c r="AH931" s="332"/>
      <c r="AI931" s="332"/>
      <c r="AJ931" s="332"/>
      <c r="AK931" s="332"/>
      <c r="AL931" s="332"/>
      <c r="AM931" s="332"/>
      <c r="AN931" s="332"/>
      <c r="AO931" s="332"/>
      <c r="AP931" s="332"/>
      <c r="AQ931" s="332"/>
      <c r="AR931" s="332"/>
      <c r="AS931" s="332"/>
      <c r="AT931" s="332"/>
      <c r="AU931" s="332"/>
      <c r="AV931" s="332"/>
      <c r="AW931" s="332"/>
      <c r="AX931" s="332"/>
      <c r="AY931" s="332"/>
      <c r="AZ931" s="332"/>
      <c r="BA931" s="332"/>
      <c r="BB931" s="332"/>
      <c r="BC931" s="332"/>
      <c r="BD931" s="332"/>
      <c r="BE931" s="332"/>
      <c r="BF931" s="332"/>
      <c r="BG931" s="332"/>
      <c r="BH931" s="332"/>
      <c r="BI931" s="332"/>
      <c r="BJ931" s="332"/>
      <c r="BK931" s="332"/>
      <c r="BL931" s="332"/>
      <c r="BM931" s="332"/>
      <c r="BN931" s="332"/>
      <c r="BO931" s="332"/>
      <c r="BP931" s="332"/>
      <c r="BQ931" s="332"/>
      <c r="BR931" s="332"/>
      <c r="BS931" s="332"/>
      <c r="BT931" s="332"/>
      <c r="BU931" s="332"/>
      <c r="BV931" s="332"/>
      <c r="BW931" s="332"/>
      <c r="BX931" s="332"/>
      <c r="BY931" s="332"/>
      <c r="BZ931" s="332"/>
      <c r="CA931" s="332"/>
      <c r="CB931" s="332"/>
      <c r="CC931" s="332"/>
      <c r="CD931" s="332"/>
      <c r="CE931" s="332"/>
      <c r="CF931" s="332"/>
      <c r="CG931" s="332"/>
      <c r="CH931" s="332"/>
      <c r="CI931" s="332"/>
      <c r="CJ931" s="332"/>
      <c r="CK931" s="332"/>
      <c r="CL931" s="332"/>
      <c r="CM931" s="332"/>
      <c r="CN931" s="332"/>
      <c r="CO931" s="332"/>
      <c r="CP931" s="332"/>
      <c r="CQ931" s="332"/>
      <c r="CR931" s="332"/>
      <c r="CS931" s="332"/>
      <c r="CT931" s="332"/>
      <c r="CU931" s="332"/>
      <c r="CV931" s="332"/>
      <c r="CW931" s="332"/>
      <c r="CX931" s="332"/>
      <c r="CY931" s="332"/>
      <c r="CZ931" s="332"/>
      <c r="DA931" s="332"/>
      <c r="DB931" s="332"/>
      <c r="DC931" s="332"/>
      <c r="DD931" s="332"/>
      <c r="DE931" s="332"/>
      <c r="DF931" s="332"/>
      <c r="DG931" s="332"/>
      <c r="DH931" s="332"/>
      <c r="DI931" s="332"/>
      <c r="DJ931" s="332"/>
      <c r="DK931" s="332"/>
      <c r="DL931" s="332"/>
      <c r="DM931" s="332"/>
      <c r="DN931" s="332"/>
      <c r="DO931" s="332"/>
      <c r="DP931" s="332"/>
      <c r="DQ931" s="332"/>
      <c r="DR931" s="332"/>
      <c r="DS931" s="332"/>
      <c r="DT931" s="332"/>
      <c r="DU931" s="453"/>
      <c r="DV931" s="453"/>
      <c r="DW931" s="453"/>
      <c r="DX931" s="453"/>
      <c r="DY931" s="453"/>
      <c r="DZ931" s="453"/>
      <c r="EA931" s="453"/>
      <c r="EB931" s="453"/>
      <c r="EC931" s="453"/>
      <c r="ED931" s="453"/>
      <c r="EE931" s="453"/>
      <c r="EF931" s="453"/>
      <c r="EG931" s="453"/>
      <c r="EH931" s="453"/>
      <c r="EI931" s="453"/>
      <c r="EJ931" s="453"/>
      <c r="EK931" s="453"/>
      <c r="EL931" s="453"/>
      <c r="EM931" s="483">
        <f t="shared" si="240"/>
        <v>622</v>
      </c>
      <c r="EN931" s="485"/>
      <c r="EO931" s="458"/>
      <c r="EP931" s="467"/>
      <c r="EQ931" s="457"/>
      <c r="ER931" s="808"/>
      <c r="ES931" s="881">
        <f t="shared" si="241"/>
        <v>0</v>
      </c>
      <c r="ET931" s="882"/>
      <c r="EU931" s="883"/>
      <c r="EV931" s="884">
        <f t="shared" si="242"/>
        <v>0</v>
      </c>
      <c r="EW931" s="885"/>
      <c r="EX931" s="885"/>
      <c r="EY931" s="885"/>
      <c r="EZ931" s="885"/>
      <c r="FA931" s="885"/>
      <c r="FB931" s="885"/>
      <c r="FC931" s="885"/>
      <c r="FD931" s="886"/>
      <c r="FE931" s="550"/>
      <c r="FF931" s="550"/>
      <c r="FG931" s="550"/>
      <c r="FH931" s="550"/>
      <c r="FI931" s="550"/>
      <c r="FJ931" s="550"/>
      <c r="FK931" s="550"/>
      <c r="FL931" s="555"/>
      <c r="FM931" s="554"/>
      <c r="FN931" s="554"/>
      <c r="FO931" s="554"/>
      <c r="FP931" s="554"/>
      <c r="FQ931" s="554"/>
      <c r="FR931" s="554"/>
      <c r="FS931" s="554"/>
      <c r="FT931" s="554"/>
      <c r="FU931" s="554"/>
      <c r="FV931" s="554"/>
      <c r="FW931" s="554"/>
      <c r="FX931" s="554"/>
      <c r="FY931" s="554"/>
      <c r="FZ931" s="554"/>
      <c r="GA931" s="554"/>
      <c r="GB931" s="556"/>
      <c r="GC931" s="370"/>
      <c r="GD931" s="453"/>
      <c r="GE931" s="453"/>
      <c r="GF931" s="453"/>
      <c r="GG931" s="453"/>
      <c r="GH931" s="454"/>
      <c r="GI931" s="453"/>
      <c r="GJ931" s="453"/>
      <c r="GK931" s="453"/>
      <c r="GL931" s="453"/>
      <c r="GM931" s="453"/>
      <c r="GN931" s="453"/>
      <c r="GO931" s="453"/>
      <c r="GP931" s="453"/>
      <c r="GQ931" s="453"/>
      <c r="GR931" s="453"/>
      <c r="GS931" s="561"/>
      <c r="GT931" s="475"/>
      <c r="GU931" s="472"/>
      <c r="GV931" s="453"/>
      <c r="GW931" s="453"/>
      <c r="GX931" s="869"/>
      <c r="GY931" s="870"/>
      <c r="GZ931" s="867"/>
      <c r="HA931" s="868"/>
      <c r="HB931" s="473"/>
      <c r="HC931" s="869"/>
      <c r="HD931" s="870"/>
      <c r="HE931" s="867"/>
      <c r="HF931" s="868"/>
      <c r="HG931" s="473"/>
      <c r="HH931" s="867"/>
      <c r="HI931" s="868"/>
      <c r="HJ931" s="867"/>
      <c r="HK931" s="868"/>
      <c r="HL931" s="370"/>
      <c r="HM931" s="865"/>
      <c r="HN931" s="866"/>
      <c r="HO931" s="865"/>
      <c r="HP931" s="866"/>
      <c r="HQ931" s="865"/>
      <c r="HR931" s="866"/>
      <c r="HS931" s="867"/>
      <c r="HT931" s="868"/>
      <c r="HU931" s="489"/>
      <c r="HV931" s="865"/>
      <c r="HW931" s="866"/>
    </row>
    <row r="932" spans="25:231" ht="15" customHeight="1">
      <c r="Y932" s="332"/>
      <c r="Z932" s="332"/>
      <c r="AA932" s="332"/>
      <c r="AB932" s="332"/>
      <c r="AC932" s="332"/>
      <c r="AD932" s="332"/>
      <c r="AE932" s="332"/>
      <c r="AF932" s="332"/>
      <c r="AG932" s="332"/>
      <c r="AH932" s="332"/>
      <c r="AI932" s="332"/>
      <c r="AJ932" s="332"/>
      <c r="AK932" s="332"/>
      <c r="AL932" s="332"/>
      <c r="AM932" s="332"/>
      <c r="AN932" s="332"/>
      <c r="AO932" s="332"/>
      <c r="AP932" s="332"/>
      <c r="AQ932" s="332"/>
      <c r="AR932" s="332"/>
      <c r="AS932" s="332"/>
      <c r="AT932" s="332"/>
      <c r="AU932" s="332"/>
      <c r="AV932" s="332"/>
      <c r="AW932" s="332"/>
      <c r="AX932" s="332"/>
      <c r="AY932" s="332"/>
      <c r="AZ932" s="332"/>
      <c r="BA932" s="332"/>
      <c r="BB932" s="332"/>
      <c r="BC932" s="332"/>
      <c r="BD932" s="332"/>
      <c r="BE932" s="332"/>
      <c r="BF932" s="332"/>
      <c r="BG932" s="332"/>
      <c r="BH932" s="332"/>
      <c r="BI932" s="332"/>
      <c r="BJ932" s="332"/>
      <c r="BK932" s="332"/>
      <c r="BL932" s="332"/>
      <c r="BM932" s="332"/>
      <c r="BN932" s="332"/>
      <c r="BO932" s="332"/>
      <c r="BP932" s="332"/>
      <c r="BQ932" s="332"/>
      <c r="BR932" s="332"/>
      <c r="BS932" s="332"/>
      <c r="BT932" s="332"/>
      <c r="BU932" s="332"/>
      <c r="BV932" s="332"/>
      <c r="BW932" s="332"/>
      <c r="BX932" s="332"/>
      <c r="BY932" s="332"/>
      <c r="BZ932" s="332"/>
      <c r="CA932" s="332"/>
      <c r="CB932" s="332"/>
      <c r="CC932" s="332"/>
      <c r="CD932" s="332"/>
      <c r="CE932" s="332"/>
      <c r="CF932" s="332"/>
      <c r="CG932" s="332"/>
      <c r="CH932" s="332"/>
      <c r="CI932" s="332"/>
      <c r="CJ932" s="332"/>
      <c r="CK932" s="332"/>
      <c r="CL932" s="332"/>
      <c r="CM932" s="332"/>
      <c r="CN932" s="332"/>
      <c r="CO932" s="332"/>
      <c r="CP932" s="332"/>
      <c r="CQ932" s="332"/>
      <c r="CR932" s="332"/>
      <c r="CS932" s="332"/>
      <c r="CT932" s="332"/>
      <c r="CU932" s="332"/>
      <c r="CV932" s="332"/>
      <c r="CW932" s="332"/>
      <c r="CX932" s="332"/>
      <c r="CY932" s="332"/>
      <c r="CZ932" s="332"/>
      <c r="DA932" s="332"/>
      <c r="DB932" s="332"/>
      <c r="DC932" s="332"/>
      <c r="DD932" s="332"/>
      <c r="DE932" s="332"/>
      <c r="DF932" s="332"/>
      <c r="DG932" s="332"/>
      <c r="DH932" s="332"/>
      <c r="DI932" s="332"/>
      <c r="DJ932" s="332"/>
      <c r="DK932" s="332"/>
      <c r="DL932" s="332"/>
      <c r="DM932" s="332"/>
      <c r="DN932" s="332"/>
      <c r="DO932" s="332"/>
      <c r="DP932" s="332"/>
      <c r="DQ932" s="332"/>
      <c r="DR932" s="332"/>
      <c r="DS932" s="332"/>
      <c r="DT932" s="332"/>
      <c r="DU932" s="453"/>
      <c r="DV932" s="453"/>
      <c r="DW932" s="453"/>
      <c r="DX932" s="453"/>
      <c r="DY932" s="453"/>
      <c r="DZ932" s="453"/>
      <c r="EA932" s="453"/>
      <c r="EB932" s="453"/>
      <c r="EC932" s="453"/>
      <c r="ED932" s="453"/>
      <c r="EE932" s="453"/>
      <c r="EF932" s="453"/>
      <c r="EG932" s="453"/>
      <c r="EH932" s="453"/>
      <c r="EI932" s="453"/>
      <c r="EJ932" s="453"/>
      <c r="EK932" s="453"/>
      <c r="EL932" s="453"/>
      <c r="EM932" s="483">
        <f t="shared" si="240"/>
        <v>623</v>
      </c>
      <c r="EN932" s="485"/>
      <c r="EO932" s="458"/>
      <c r="EP932" s="467"/>
      <c r="EQ932" s="457"/>
      <c r="ER932" s="808"/>
      <c r="ES932" s="881">
        <f t="shared" si="241"/>
        <v>0</v>
      </c>
      <c r="ET932" s="882"/>
      <c r="EU932" s="883"/>
      <c r="EV932" s="884">
        <f t="shared" si="242"/>
        <v>0</v>
      </c>
      <c r="EW932" s="885"/>
      <c r="EX932" s="885"/>
      <c r="EY932" s="885"/>
      <c r="EZ932" s="885"/>
      <c r="FA932" s="885"/>
      <c r="FB932" s="885"/>
      <c r="FC932" s="885"/>
      <c r="FD932" s="886"/>
      <c r="FE932" s="550"/>
      <c r="FF932" s="550"/>
      <c r="FG932" s="550"/>
      <c r="FH932" s="550"/>
      <c r="FI932" s="550"/>
      <c r="FJ932" s="550"/>
      <c r="FK932" s="550"/>
      <c r="FL932" s="555"/>
      <c r="FM932" s="554"/>
      <c r="FN932" s="554"/>
      <c r="FO932" s="554"/>
      <c r="FP932" s="554"/>
      <c r="FQ932" s="554"/>
      <c r="FR932" s="554"/>
      <c r="FS932" s="554"/>
      <c r="FT932" s="554"/>
      <c r="FU932" s="554"/>
      <c r="FV932" s="554"/>
      <c r="FW932" s="554"/>
      <c r="FX932" s="554"/>
      <c r="FY932" s="554"/>
      <c r="FZ932" s="554"/>
      <c r="GA932" s="554"/>
      <c r="GB932" s="556"/>
      <c r="GC932" s="370"/>
      <c r="GD932" s="453"/>
      <c r="GE932" s="453"/>
      <c r="GF932" s="453"/>
      <c r="GG932" s="453"/>
      <c r="GH932" s="454"/>
      <c r="GI932" s="453"/>
      <c r="GJ932" s="453"/>
      <c r="GK932" s="453"/>
      <c r="GL932" s="453"/>
      <c r="GM932" s="453"/>
      <c r="GN932" s="453"/>
      <c r="GO932" s="453"/>
      <c r="GP932" s="453"/>
      <c r="GQ932" s="453"/>
      <c r="GR932" s="453"/>
      <c r="GS932" s="561"/>
      <c r="GT932" s="475"/>
      <c r="GU932" s="472"/>
      <c r="GV932" s="453"/>
      <c r="GW932" s="453"/>
      <c r="GX932" s="869"/>
      <c r="GY932" s="870"/>
      <c r="GZ932" s="867"/>
      <c r="HA932" s="868"/>
      <c r="HB932" s="473"/>
      <c r="HC932" s="869"/>
      <c r="HD932" s="870"/>
      <c r="HE932" s="867"/>
      <c r="HF932" s="868"/>
      <c r="HG932" s="473"/>
      <c r="HH932" s="867"/>
      <c r="HI932" s="868"/>
      <c r="HJ932" s="867"/>
      <c r="HK932" s="868"/>
      <c r="HL932" s="370"/>
      <c r="HM932" s="865"/>
      <c r="HN932" s="866"/>
      <c r="HO932" s="865"/>
      <c r="HP932" s="866"/>
      <c r="HQ932" s="865"/>
      <c r="HR932" s="866"/>
      <c r="HS932" s="867"/>
      <c r="HT932" s="868"/>
      <c r="HU932" s="489"/>
      <c r="HV932" s="865"/>
      <c r="HW932" s="866"/>
    </row>
    <row r="933" spans="25:231" ht="15" customHeight="1">
      <c r="Y933" s="332"/>
      <c r="Z933" s="332"/>
      <c r="AA933" s="332"/>
      <c r="AB933" s="332"/>
      <c r="AC933" s="332"/>
      <c r="AD933" s="332"/>
      <c r="AE933" s="332"/>
      <c r="AF933" s="332"/>
      <c r="AG933" s="332"/>
      <c r="AH933" s="332"/>
      <c r="AI933" s="332"/>
      <c r="AJ933" s="332"/>
      <c r="AK933" s="332"/>
      <c r="AL933" s="332"/>
      <c r="AM933" s="332"/>
      <c r="AN933" s="332"/>
      <c r="AO933" s="332"/>
      <c r="AP933" s="332"/>
      <c r="AQ933" s="332"/>
      <c r="AR933" s="332"/>
      <c r="AS933" s="332"/>
      <c r="AT933" s="332"/>
      <c r="AU933" s="332"/>
      <c r="AV933" s="332"/>
      <c r="AW933" s="332"/>
      <c r="AX933" s="332"/>
      <c r="AY933" s="332"/>
      <c r="AZ933" s="332"/>
      <c r="BA933" s="332"/>
      <c r="BB933" s="332"/>
      <c r="BC933" s="332"/>
      <c r="BD933" s="332"/>
      <c r="BE933" s="332"/>
      <c r="BF933" s="332"/>
      <c r="BG933" s="332"/>
      <c r="BH933" s="332"/>
      <c r="BI933" s="332"/>
      <c r="BJ933" s="332"/>
      <c r="BK933" s="332"/>
      <c r="BL933" s="332"/>
      <c r="BM933" s="332"/>
      <c r="BN933" s="332"/>
      <c r="BO933" s="332"/>
      <c r="BP933" s="332"/>
      <c r="BQ933" s="332"/>
      <c r="BR933" s="332"/>
      <c r="BS933" s="332"/>
      <c r="BT933" s="332"/>
      <c r="BU933" s="332"/>
      <c r="BV933" s="332"/>
      <c r="BW933" s="332"/>
      <c r="BX933" s="332"/>
      <c r="BY933" s="332"/>
      <c r="BZ933" s="332"/>
      <c r="CA933" s="332"/>
      <c r="CB933" s="332"/>
      <c r="CC933" s="332"/>
      <c r="CD933" s="332"/>
      <c r="CE933" s="332"/>
      <c r="CF933" s="332"/>
      <c r="CG933" s="332"/>
      <c r="CH933" s="332"/>
      <c r="CI933" s="332"/>
      <c r="CJ933" s="332"/>
      <c r="CK933" s="332"/>
      <c r="CL933" s="332"/>
      <c r="CM933" s="332"/>
      <c r="CN933" s="332"/>
      <c r="CO933" s="332"/>
      <c r="CP933" s="332"/>
      <c r="CQ933" s="332"/>
      <c r="CR933" s="332"/>
      <c r="CS933" s="332"/>
      <c r="CT933" s="332"/>
      <c r="CU933" s="332"/>
      <c r="CV933" s="332"/>
      <c r="CW933" s="332"/>
      <c r="CX933" s="332"/>
      <c r="CY933" s="332"/>
      <c r="CZ933" s="332"/>
      <c r="DA933" s="332"/>
      <c r="DB933" s="332"/>
      <c r="DC933" s="332"/>
      <c r="DD933" s="332"/>
      <c r="DE933" s="332"/>
      <c r="DF933" s="332"/>
      <c r="DG933" s="332"/>
      <c r="DH933" s="332"/>
      <c r="DI933" s="332"/>
      <c r="DJ933" s="332"/>
      <c r="DK933" s="332"/>
      <c r="DL933" s="332"/>
      <c r="DM933" s="332"/>
      <c r="DN933" s="332"/>
      <c r="DO933" s="332"/>
      <c r="DP933" s="332"/>
      <c r="DQ933" s="332"/>
      <c r="DR933" s="332"/>
      <c r="DS933" s="332"/>
      <c r="DT933" s="332"/>
      <c r="DU933" s="453"/>
      <c r="DV933" s="453"/>
      <c r="DW933" s="453"/>
      <c r="DX933" s="453"/>
      <c r="DY933" s="453"/>
      <c r="DZ933" s="453"/>
      <c r="EA933" s="453"/>
      <c r="EB933" s="453"/>
      <c r="EC933" s="453"/>
      <c r="ED933" s="453"/>
      <c r="EE933" s="453"/>
      <c r="EF933" s="453"/>
      <c r="EG933" s="453"/>
      <c r="EH933" s="453"/>
      <c r="EI933" s="453"/>
      <c r="EJ933" s="453"/>
      <c r="EK933" s="453"/>
      <c r="EL933" s="453"/>
      <c r="EM933" s="483">
        <f t="shared" si="240"/>
        <v>624</v>
      </c>
      <c r="EN933" s="485"/>
      <c r="EO933" s="458"/>
      <c r="EP933" s="467"/>
      <c r="EQ933" s="457"/>
      <c r="ER933" s="808"/>
      <c r="ES933" s="881">
        <f t="shared" si="241"/>
        <v>0</v>
      </c>
      <c r="ET933" s="882"/>
      <c r="EU933" s="883"/>
      <c r="EV933" s="884">
        <f t="shared" si="242"/>
        <v>0</v>
      </c>
      <c r="EW933" s="885"/>
      <c r="EX933" s="885"/>
      <c r="EY933" s="885"/>
      <c r="EZ933" s="885"/>
      <c r="FA933" s="885"/>
      <c r="FB933" s="885"/>
      <c r="FC933" s="885"/>
      <c r="FD933" s="886"/>
      <c r="FE933" s="550"/>
      <c r="FF933" s="550"/>
      <c r="FG933" s="550"/>
      <c r="FH933" s="550"/>
      <c r="FI933" s="550"/>
      <c r="FJ933" s="550"/>
      <c r="FK933" s="550"/>
      <c r="FL933" s="555"/>
      <c r="FM933" s="554"/>
      <c r="FN933" s="554"/>
      <c r="FO933" s="554"/>
      <c r="FP933" s="554"/>
      <c r="FQ933" s="554"/>
      <c r="FR933" s="554"/>
      <c r="FS933" s="554"/>
      <c r="FT933" s="554"/>
      <c r="FU933" s="554"/>
      <c r="FV933" s="554"/>
      <c r="FW933" s="554"/>
      <c r="FX933" s="554"/>
      <c r="FY933" s="554"/>
      <c r="FZ933" s="554"/>
      <c r="GA933" s="554"/>
      <c r="GB933" s="556"/>
      <c r="GC933" s="370"/>
      <c r="GD933" s="453"/>
      <c r="GE933" s="453"/>
      <c r="GF933" s="453"/>
      <c r="GG933" s="453"/>
      <c r="GH933" s="454"/>
      <c r="GI933" s="453"/>
      <c r="GJ933" s="453"/>
      <c r="GK933" s="453"/>
      <c r="GL933" s="453"/>
      <c r="GM933" s="453"/>
      <c r="GN933" s="453"/>
      <c r="GO933" s="453"/>
      <c r="GP933" s="453"/>
      <c r="GQ933" s="453"/>
      <c r="GR933" s="453"/>
      <c r="GS933" s="561"/>
      <c r="GT933" s="475"/>
      <c r="GU933" s="472"/>
      <c r="GV933" s="453"/>
      <c r="GW933" s="453"/>
      <c r="GX933" s="869"/>
      <c r="GY933" s="870"/>
      <c r="GZ933" s="867"/>
      <c r="HA933" s="868"/>
      <c r="HB933" s="473"/>
      <c r="HC933" s="869"/>
      <c r="HD933" s="870"/>
      <c r="HE933" s="867"/>
      <c r="HF933" s="868"/>
      <c r="HG933" s="473"/>
      <c r="HH933" s="867"/>
      <c r="HI933" s="868"/>
      <c r="HJ933" s="867"/>
      <c r="HK933" s="868"/>
      <c r="HL933" s="370"/>
      <c r="HM933" s="865"/>
      <c r="HN933" s="866"/>
      <c r="HO933" s="865"/>
      <c r="HP933" s="866"/>
      <c r="HQ933" s="865"/>
      <c r="HR933" s="866"/>
      <c r="HS933" s="867"/>
      <c r="HT933" s="868"/>
      <c r="HU933" s="489"/>
      <c r="HV933" s="865"/>
      <c r="HW933" s="866"/>
    </row>
    <row r="934" spans="25:231" ht="15" customHeight="1">
      <c r="Y934" s="332"/>
      <c r="Z934" s="332"/>
      <c r="AA934" s="332"/>
      <c r="AB934" s="332"/>
      <c r="AC934" s="332"/>
      <c r="AD934" s="332"/>
      <c r="AE934" s="332"/>
      <c r="AF934" s="332"/>
      <c r="AG934" s="332"/>
      <c r="AH934" s="332"/>
      <c r="AI934" s="332"/>
      <c r="AJ934" s="332"/>
      <c r="AK934" s="332"/>
      <c r="AL934" s="332"/>
      <c r="AM934" s="332"/>
      <c r="AN934" s="332"/>
      <c r="AO934" s="332"/>
      <c r="AP934" s="332"/>
      <c r="AQ934" s="332"/>
      <c r="AR934" s="332"/>
      <c r="AS934" s="332"/>
      <c r="AT934" s="332"/>
      <c r="AU934" s="332"/>
      <c r="AV934" s="332"/>
      <c r="AW934" s="332"/>
      <c r="AX934" s="332"/>
      <c r="AY934" s="332"/>
      <c r="AZ934" s="332"/>
      <c r="BA934" s="332"/>
      <c r="BB934" s="332"/>
      <c r="BC934" s="332"/>
      <c r="BD934" s="332"/>
      <c r="BE934" s="332"/>
      <c r="BF934" s="332"/>
      <c r="BG934" s="332"/>
      <c r="BH934" s="332"/>
      <c r="BI934" s="332"/>
      <c r="BJ934" s="332"/>
      <c r="BK934" s="332"/>
      <c r="BL934" s="332"/>
      <c r="BM934" s="332"/>
      <c r="BN934" s="332"/>
      <c r="BO934" s="332"/>
      <c r="BP934" s="332"/>
      <c r="BQ934" s="332"/>
      <c r="BR934" s="332"/>
      <c r="BS934" s="332"/>
      <c r="BT934" s="332"/>
      <c r="BU934" s="332"/>
      <c r="BV934" s="332"/>
      <c r="BW934" s="332"/>
      <c r="BX934" s="332"/>
      <c r="BY934" s="332"/>
      <c r="BZ934" s="332"/>
      <c r="CA934" s="332"/>
      <c r="CB934" s="332"/>
      <c r="CC934" s="332"/>
      <c r="CD934" s="332"/>
      <c r="CE934" s="332"/>
      <c r="CF934" s="332"/>
      <c r="CG934" s="332"/>
      <c r="CH934" s="332"/>
      <c r="CI934" s="332"/>
      <c r="CJ934" s="332"/>
      <c r="CK934" s="332"/>
      <c r="CL934" s="332"/>
      <c r="CM934" s="332"/>
      <c r="CN934" s="332"/>
      <c r="CO934" s="332"/>
      <c r="CP934" s="332"/>
      <c r="CQ934" s="332"/>
      <c r="CR934" s="332"/>
      <c r="CS934" s="332"/>
      <c r="CT934" s="332"/>
      <c r="CU934" s="332"/>
      <c r="CV934" s="332"/>
      <c r="CW934" s="332"/>
      <c r="CX934" s="332"/>
      <c r="CY934" s="332"/>
      <c r="CZ934" s="332"/>
      <c r="DA934" s="332"/>
      <c r="DB934" s="332"/>
      <c r="DC934" s="332"/>
      <c r="DD934" s="332"/>
      <c r="DE934" s="332"/>
      <c r="DF934" s="332"/>
      <c r="DG934" s="332"/>
      <c r="DH934" s="332"/>
      <c r="DI934" s="332"/>
      <c r="DJ934" s="332"/>
      <c r="DK934" s="332"/>
      <c r="DL934" s="332"/>
      <c r="DM934" s="332"/>
      <c r="DN934" s="332"/>
      <c r="DO934" s="332"/>
      <c r="DP934" s="332"/>
      <c r="DQ934" s="332"/>
      <c r="DR934" s="332"/>
      <c r="DS934" s="332"/>
      <c r="DT934" s="332"/>
      <c r="DU934" s="453"/>
      <c r="DV934" s="453"/>
      <c r="DW934" s="453"/>
      <c r="DX934" s="453"/>
      <c r="DY934" s="453"/>
      <c r="DZ934" s="453"/>
      <c r="EA934" s="453"/>
      <c r="EB934" s="453"/>
      <c r="EC934" s="453"/>
      <c r="ED934" s="453"/>
      <c r="EE934" s="453"/>
      <c r="EF934" s="453"/>
      <c r="EG934" s="453"/>
      <c r="EH934" s="453"/>
      <c r="EI934" s="453"/>
      <c r="EJ934" s="453"/>
      <c r="EK934" s="453"/>
      <c r="EL934" s="453"/>
      <c r="EM934" s="483">
        <f t="shared" si="240"/>
        <v>625</v>
      </c>
      <c r="EN934" s="485"/>
      <c r="EO934" s="458"/>
      <c r="EP934" s="467"/>
      <c r="EQ934" s="457"/>
      <c r="ER934" s="808"/>
      <c r="ES934" s="881">
        <f t="shared" si="241"/>
        <v>0</v>
      </c>
      <c r="ET934" s="882"/>
      <c r="EU934" s="883"/>
      <c r="EV934" s="884">
        <f t="shared" si="242"/>
        <v>0</v>
      </c>
      <c r="EW934" s="885"/>
      <c r="EX934" s="885"/>
      <c r="EY934" s="885"/>
      <c r="EZ934" s="885"/>
      <c r="FA934" s="885"/>
      <c r="FB934" s="885"/>
      <c r="FC934" s="885"/>
      <c r="FD934" s="886"/>
      <c r="FE934" s="550"/>
      <c r="FF934" s="550"/>
      <c r="FG934" s="550"/>
      <c r="FH934" s="550"/>
      <c r="FI934" s="550"/>
      <c r="FJ934" s="550"/>
      <c r="FK934" s="550"/>
      <c r="FL934" s="555"/>
      <c r="FM934" s="554"/>
      <c r="FN934" s="554"/>
      <c r="FO934" s="554"/>
      <c r="FP934" s="554"/>
      <c r="FQ934" s="554"/>
      <c r="FR934" s="554"/>
      <c r="FS934" s="554"/>
      <c r="FT934" s="554"/>
      <c r="FU934" s="554"/>
      <c r="FV934" s="554"/>
      <c r="FW934" s="554"/>
      <c r="FX934" s="554"/>
      <c r="FY934" s="554"/>
      <c r="FZ934" s="554"/>
      <c r="GA934" s="554"/>
      <c r="GB934" s="556"/>
      <c r="GC934" s="370"/>
      <c r="GD934" s="453"/>
      <c r="GE934" s="453"/>
      <c r="GF934" s="453"/>
      <c r="GG934" s="453"/>
      <c r="GH934" s="454"/>
      <c r="GI934" s="453"/>
      <c r="GJ934" s="453"/>
      <c r="GK934" s="453"/>
      <c r="GL934" s="453"/>
      <c r="GM934" s="453"/>
      <c r="GN934" s="453"/>
      <c r="GO934" s="453"/>
      <c r="GP934" s="453"/>
      <c r="GQ934" s="453"/>
      <c r="GR934" s="453"/>
      <c r="GS934" s="561"/>
      <c r="GT934" s="475"/>
      <c r="GU934" s="472"/>
      <c r="GV934" s="453"/>
      <c r="GW934" s="453"/>
      <c r="GX934" s="869"/>
      <c r="GY934" s="870"/>
      <c r="GZ934" s="867"/>
      <c r="HA934" s="868"/>
      <c r="HB934" s="473"/>
      <c r="HC934" s="869"/>
      <c r="HD934" s="870"/>
      <c r="HE934" s="867"/>
      <c r="HF934" s="868"/>
      <c r="HG934" s="473"/>
      <c r="HH934" s="867"/>
      <c r="HI934" s="868"/>
      <c r="HJ934" s="867"/>
      <c r="HK934" s="868"/>
      <c r="HL934" s="370"/>
      <c r="HM934" s="865"/>
      <c r="HN934" s="866"/>
      <c r="HO934" s="865"/>
      <c r="HP934" s="866"/>
      <c r="HQ934" s="865"/>
      <c r="HR934" s="866"/>
      <c r="HS934" s="867"/>
      <c r="HT934" s="868"/>
      <c r="HU934" s="489"/>
      <c r="HV934" s="865"/>
      <c r="HW934" s="866"/>
    </row>
    <row r="935" spans="25:231" ht="15" customHeight="1">
      <c r="Y935" s="332"/>
      <c r="Z935" s="332"/>
      <c r="AA935" s="332"/>
      <c r="AB935" s="332"/>
      <c r="AC935" s="332"/>
      <c r="AD935" s="332"/>
      <c r="AE935" s="332"/>
      <c r="AF935" s="332"/>
      <c r="AG935" s="332"/>
      <c r="AH935" s="332"/>
      <c r="AI935" s="332"/>
      <c r="AJ935" s="332"/>
      <c r="AK935" s="332"/>
      <c r="AL935" s="332"/>
      <c r="AM935" s="332"/>
      <c r="AN935" s="332"/>
      <c r="AO935" s="332"/>
      <c r="AP935" s="332"/>
      <c r="AQ935" s="332"/>
      <c r="AR935" s="332"/>
      <c r="AS935" s="332"/>
      <c r="AT935" s="332"/>
      <c r="AU935" s="332"/>
      <c r="AV935" s="332"/>
      <c r="AW935" s="332"/>
      <c r="AX935" s="332"/>
      <c r="AY935" s="332"/>
      <c r="AZ935" s="332"/>
      <c r="BA935" s="332"/>
      <c r="BB935" s="332"/>
      <c r="BC935" s="332"/>
      <c r="BD935" s="332"/>
      <c r="BE935" s="332"/>
      <c r="BF935" s="332"/>
      <c r="BG935" s="332"/>
      <c r="BH935" s="332"/>
      <c r="BI935" s="332"/>
      <c r="BJ935" s="332"/>
      <c r="BK935" s="332"/>
      <c r="BL935" s="332"/>
      <c r="BM935" s="332"/>
      <c r="BN935" s="332"/>
      <c r="BO935" s="332"/>
      <c r="BP935" s="332"/>
      <c r="BQ935" s="332"/>
      <c r="BR935" s="332"/>
      <c r="BS935" s="332"/>
      <c r="BT935" s="332"/>
      <c r="BU935" s="332"/>
      <c r="BV935" s="332"/>
      <c r="BW935" s="332"/>
      <c r="BX935" s="332"/>
      <c r="BY935" s="332"/>
      <c r="BZ935" s="332"/>
      <c r="CA935" s="332"/>
      <c r="CB935" s="332"/>
      <c r="CC935" s="332"/>
      <c r="CD935" s="332"/>
      <c r="CE935" s="332"/>
      <c r="CF935" s="332"/>
      <c r="CG935" s="332"/>
      <c r="CH935" s="332"/>
      <c r="CI935" s="332"/>
      <c r="CJ935" s="332"/>
      <c r="CK935" s="332"/>
      <c r="CL935" s="332"/>
      <c r="CM935" s="332"/>
      <c r="CN935" s="332"/>
      <c r="CO935" s="332"/>
      <c r="CP935" s="332"/>
      <c r="CQ935" s="332"/>
      <c r="CR935" s="332"/>
      <c r="CS935" s="332"/>
      <c r="CT935" s="332"/>
      <c r="CU935" s="332"/>
      <c r="CV935" s="332"/>
      <c r="CW935" s="332"/>
      <c r="CX935" s="332"/>
      <c r="CY935" s="332"/>
      <c r="CZ935" s="332"/>
      <c r="DA935" s="332"/>
      <c r="DB935" s="332"/>
      <c r="DC935" s="332"/>
      <c r="DD935" s="332"/>
      <c r="DE935" s="332"/>
      <c r="DF935" s="332"/>
      <c r="DG935" s="332"/>
      <c r="DH935" s="332"/>
      <c r="DI935" s="332"/>
      <c r="DJ935" s="332"/>
      <c r="DK935" s="332"/>
      <c r="DL935" s="332"/>
      <c r="DM935" s="332"/>
      <c r="DN935" s="332"/>
      <c r="DO935" s="332"/>
      <c r="DP935" s="332"/>
      <c r="DQ935" s="332"/>
      <c r="DR935" s="332"/>
      <c r="DS935" s="332"/>
      <c r="DT935" s="332"/>
      <c r="DU935" s="453"/>
      <c r="DV935" s="453"/>
      <c r="DW935" s="453"/>
      <c r="DX935" s="453"/>
      <c r="DY935" s="453"/>
      <c r="DZ935" s="453"/>
      <c r="EA935" s="453"/>
      <c r="EB935" s="453"/>
      <c r="EC935" s="453"/>
      <c r="ED935" s="453"/>
      <c r="EE935" s="453"/>
      <c r="EF935" s="453"/>
      <c r="EG935" s="453"/>
      <c r="EH935" s="453"/>
      <c r="EI935" s="453"/>
      <c r="EJ935" s="453"/>
      <c r="EK935" s="453"/>
      <c r="EL935" s="453"/>
      <c r="EM935" s="483">
        <f t="shared" si="240"/>
        <v>626</v>
      </c>
      <c r="EN935" s="485"/>
      <c r="EO935" s="458"/>
      <c r="EP935" s="467"/>
      <c r="EQ935" s="457"/>
      <c r="ER935" s="808"/>
      <c r="ES935" s="881">
        <f t="shared" si="241"/>
        <v>0</v>
      </c>
      <c r="ET935" s="882"/>
      <c r="EU935" s="883"/>
      <c r="EV935" s="884">
        <f t="shared" si="242"/>
        <v>0</v>
      </c>
      <c r="EW935" s="885"/>
      <c r="EX935" s="885"/>
      <c r="EY935" s="885"/>
      <c r="EZ935" s="885"/>
      <c r="FA935" s="885"/>
      <c r="FB935" s="885"/>
      <c r="FC935" s="885"/>
      <c r="FD935" s="886"/>
      <c r="FE935" s="550"/>
      <c r="FF935" s="550"/>
      <c r="FG935" s="550"/>
      <c r="FH935" s="550"/>
      <c r="FI935" s="550"/>
      <c r="FJ935" s="550"/>
      <c r="FK935" s="550"/>
      <c r="FL935" s="555"/>
      <c r="FM935" s="554"/>
      <c r="FN935" s="554"/>
      <c r="FO935" s="554"/>
      <c r="FP935" s="554"/>
      <c r="FQ935" s="554"/>
      <c r="FR935" s="554"/>
      <c r="FS935" s="554"/>
      <c r="FT935" s="554"/>
      <c r="FU935" s="554"/>
      <c r="FV935" s="554"/>
      <c r="FW935" s="554"/>
      <c r="FX935" s="554"/>
      <c r="FY935" s="554"/>
      <c r="FZ935" s="554"/>
      <c r="GA935" s="554"/>
      <c r="GB935" s="556"/>
      <c r="GC935" s="370"/>
      <c r="GD935" s="453"/>
      <c r="GE935" s="453"/>
      <c r="GF935" s="453"/>
      <c r="GG935" s="453"/>
      <c r="GH935" s="454"/>
      <c r="GI935" s="453"/>
      <c r="GJ935" s="453"/>
      <c r="GK935" s="453"/>
      <c r="GL935" s="453"/>
      <c r="GM935" s="453"/>
      <c r="GN935" s="453"/>
      <c r="GO935" s="453"/>
      <c r="GP935" s="453"/>
      <c r="GQ935" s="453"/>
      <c r="GR935" s="453"/>
      <c r="GS935" s="561"/>
      <c r="GT935" s="475"/>
      <c r="GU935" s="472"/>
      <c r="GV935" s="453"/>
      <c r="GW935" s="453"/>
      <c r="GX935" s="869"/>
      <c r="GY935" s="870"/>
      <c r="GZ935" s="867"/>
      <c r="HA935" s="868"/>
      <c r="HB935" s="473"/>
      <c r="HC935" s="869"/>
      <c r="HD935" s="870"/>
      <c r="HE935" s="867"/>
      <c r="HF935" s="868"/>
      <c r="HG935" s="473"/>
      <c r="HH935" s="867"/>
      <c r="HI935" s="868"/>
      <c r="HJ935" s="867"/>
      <c r="HK935" s="868"/>
      <c r="HL935" s="370"/>
      <c r="HM935" s="865"/>
      <c r="HN935" s="866"/>
      <c r="HO935" s="865"/>
      <c r="HP935" s="866"/>
      <c r="HQ935" s="865"/>
      <c r="HR935" s="866"/>
      <c r="HS935" s="867"/>
      <c r="HT935" s="868"/>
      <c r="HU935" s="489"/>
      <c r="HV935" s="865"/>
      <c r="HW935" s="866"/>
    </row>
    <row r="936" spans="25:231" ht="15" customHeight="1">
      <c r="Y936" s="332"/>
      <c r="Z936" s="332"/>
      <c r="AA936" s="332"/>
      <c r="AB936" s="332"/>
      <c r="AC936" s="332"/>
      <c r="AD936" s="332"/>
      <c r="AE936" s="332"/>
      <c r="AF936" s="332"/>
      <c r="AG936" s="332"/>
      <c r="AH936" s="332"/>
      <c r="AI936" s="332"/>
      <c r="AJ936" s="332"/>
      <c r="AK936" s="332"/>
      <c r="AL936" s="332"/>
      <c r="AM936" s="332"/>
      <c r="AN936" s="332"/>
      <c r="AO936" s="332"/>
      <c r="AP936" s="332"/>
      <c r="AQ936" s="332"/>
      <c r="AR936" s="332"/>
      <c r="AS936" s="332"/>
      <c r="AT936" s="332"/>
      <c r="AU936" s="332"/>
      <c r="AV936" s="332"/>
      <c r="AW936" s="332"/>
      <c r="AX936" s="332"/>
      <c r="AY936" s="332"/>
      <c r="AZ936" s="332"/>
      <c r="BA936" s="332"/>
      <c r="BB936" s="332"/>
      <c r="BC936" s="332"/>
      <c r="BD936" s="332"/>
      <c r="BE936" s="332"/>
      <c r="BF936" s="332"/>
      <c r="BG936" s="332"/>
      <c r="BH936" s="332"/>
      <c r="BI936" s="332"/>
      <c r="BJ936" s="332"/>
      <c r="BK936" s="332"/>
      <c r="BL936" s="332"/>
      <c r="BM936" s="332"/>
      <c r="BN936" s="332"/>
      <c r="BO936" s="332"/>
      <c r="BP936" s="332"/>
      <c r="BQ936" s="332"/>
      <c r="BR936" s="332"/>
      <c r="BS936" s="332"/>
      <c r="BT936" s="332"/>
      <c r="BU936" s="332"/>
      <c r="BV936" s="332"/>
      <c r="BW936" s="332"/>
      <c r="BX936" s="332"/>
      <c r="BY936" s="332"/>
      <c r="BZ936" s="332"/>
      <c r="CA936" s="332"/>
      <c r="CB936" s="332"/>
      <c r="CC936" s="332"/>
      <c r="CD936" s="332"/>
      <c r="CE936" s="332"/>
      <c r="CF936" s="332"/>
      <c r="CG936" s="332"/>
      <c r="CH936" s="332"/>
      <c r="CI936" s="332"/>
      <c r="CJ936" s="332"/>
      <c r="CK936" s="332"/>
      <c r="CL936" s="332"/>
      <c r="CM936" s="332"/>
      <c r="CN936" s="332"/>
      <c r="CO936" s="332"/>
      <c r="CP936" s="332"/>
      <c r="CQ936" s="332"/>
      <c r="CR936" s="332"/>
      <c r="CS936" s="332"/>
      <c r="CT936" s="332"/>
      <c r="CU936" s="332"/>
      <c r="CV936" s="332"/>
      <c r="CW936" s="332"/>
      <c r="CX936" s="332"/>
      <c r="CY936" s="332"/>
      <c r="CZ936" s="332"/>
      <c r="DA936" s="332"/>
      <c r="DB936" s="332"/>
      <c r="DC936" s="332"/>
      <c r="DD936" s="332"/>
      <c r="DE936" s="332"/>
      <c r="DF936" s="332"/>
      <c r="DG936" s="332"/>
      <c r="DH936" s="332"/>
      <c r="DI936" s="332"/>
      <c r="DJ936" s="332"/>
      <c r="DK936" s="332"/>
      <c r="DL936" s="332"/>
      <c r="DM936" s="332"/>
      <c r="DN936" s="332"/>
      <c r="DO936" s="332"/>
      <c r="DP936" s="332"/>
      <c r="DQ936" s="332"/>
      <c r="DR936" s="332"/>
      <c r="DS936" s="332"/>
      <c r="DT936" s="332"/>
      <c r="DU936" s="453"/>
      <c r="DV936" s="453"/>
      <c r="DW936" s="453"/>
      <c r="DX936" s="453"/>
      <c r="DY936" s="453"/>
      <c r="DZ936" s="453"/>
      <c r="EA936" s="453"/>
      <c r="EB936" s="453"/>
      <c r="EC936" s="453"/>
      <c r="ED936" s="453"/>
      <c r="EE936" s="453"/>
      <c r="EF936" s="453"/>
      <c r="EG936" s="453"/>
      <c r="EH936" s="453"/>
      <c r="EI936" s="453"/>
      <c r="EJ936" s="453"/>
      <c r="EK936" s="453"/>
      <c r="EL936" s="453"/>
      <c r="EM936" s="483">
        <f t="shared" si="240"/>
        <v>627</v>
      </c>
      <c r="EN936" s="485"/>
      <c r="EO936" s="458"/>
      <c r="EP936" s="467"/>
      <c r="EQ936" s="457"/>
      <c r="ER936" s="808"/>
      <c r="ES936" s="881">
        <f t="shared" si="241"/>
        <v>0</v>
      </c>
      <c r="ET936" s="882"/>
      <c r="EU936" s="883"/>
      <c r="EV936" s="884">
        <f t="shared" si="242"/>
        <v>0</v>
      </c>
      <c r="EW936" s="885"/>
      <c r="EX936" s="885"/>
      <c r="EY936" s="885"/>
      <c r="EZ936" s="885"/>
      <c r="FA936" s="885"/>
      <c r="FB936" s="885"/>
      <c r="FC936" s="885"/>
      <c r="FD936" s="886"/>
      <c r="FE936" s="550"/>
      <c r="FF936" s="550"/>
      <c r="FG936" s="550"/>
      <c r="FH936" s="550"/>
      <c r="FI936" s="550"/>
      <c r="FJ936" s="550"/>
      <c r="FK936" s="550"/>
      <c r="FL936" s="555"/>
      <c r="FM936" s="554"/>
      <c r="FN936" s="554"/>
      <c r="FO936" s="554"/>
      <c r="FP936" s="554"/>
      <c r="FQ936" s="554"/>
      <c r="FR936" s="554"/>
      <c r="FS936" s="554"/>
      <c r="FT936" s="554"/>
      <c r="FU936" s="554"/>
      <c r="FV936" s="554"/>
      <c r="FW936" s="554"/>
      <c r="FX936" s="554"/>
      <c r="FY936" s="554"/>
      <c r="FZ936" s="554"/>
      <c r="GA936" s="554"/>
      <c r="GB936" s="556"/>
      <c r="GC936" s="370"/>
      <c r="GD936" s="453"/>
      <c r="GE936" s="453"/>
      <c r="GF936" s="453"/>
      <c r="GG936" s="453"/>
      <c r="GH936" s="454"/>
      <c r="GI936" s="453"/>
      <c r="GJ936" s="453"/>
      <c r="GK936" s="453"/>
      <c r="GL936" s="453"/>
      <c r="GM936" s="453"/>
      <c r="GN936" s="453"/>
      <c r="GO936" s="453"/>
      <c r="GP936" s="453"/>
      <c r="GQ936" s="453"/>
      <c r="GR936" s="453"/>
      <c r="GS936" s="561"/>
      <c r="GT936" s="475"/>
      <c r="GU936" s="472"/>
      <c r="GV936" s="453"/>
      <c r="GW936" s="453"/>
      <c r="GX936" s="869"/>
      <c r="GY936" s="870"/>
      <c r="GZ936" s="867"/>
      <c r="HA936" s="868"/>
      <c r="HB936" s="473"/>
      <c r="HC936" s="869"/>
      <c r="HD936" s="870"/>
      <c r="HE936" s="867"/>
      <c r="HF936" s="868"/>
      <c r="HG936" s="473"/>
      <c r="HH936" s="867"/>
      <c r="HI936" s="868"/>
      <c r="HJ936" s="867"/>
      <c r="HK936" s="868"/>
      <c r="HL936" s="370"/>
      <c r="HM936" s="865"/>
      <c r="HN936" s="866"/>
      <c r="HO936" s="865"/>
      <c r="HP936" s="866"/>
      <c r="HQ936" s="865"/>
      <c r="HR936" s="866"/>
      <c r="HS936" s="867"/>
      <c r="HT936" s="868"/>
      <c r="HU936" s="489"/>
      <c r="HV936" s="865"/>
      <c r="HW936" s="866"/>
    </row>
    <row r="937" spans="25:231" ht="15" customHeight="1">
      <c r="Y937" s="332"/>
      <c r="Z937" s="332"/>
      <c r="AA937" s="332"/>
      <c r="AB937" s="332"/>
      <c r="AC937" s="332"/>
      <c r="AD937" s="332"/>
      <c r="AE937" s="332"/>
      <c r="AF937" s="332"/>
      <c r="AG937" s="332"/>
      <c r="AH937" s="332"/>
      <c r="AI937" s="332"/>
      <c r="AJ937" s="332"/>
      <c r="AK937" s="332"/>
      <c r="AL937" s="332"/>
      <c r="AM937" s="332"/>
      <c r="AN937" s="332"/>
      <c r="AO937" s="332"/>
      <c r="AP937" s="332"/>
      <c r="AQ937" s="332"/>
      <c r="AR937" s="332"/>
      <c r="AS937" s="332"/>
      <c r="AT937" s="332"/>
      <c r="AU937" s="332"/>
      <c r="AV937" s="332"/>
      <c r="AW937" s="332"/>
      <c r="AX937" s="332"/>
      <c r="AY937" s="332"/>
      <c r="AZ937" s="332"/>
      <c r="BA937" s="332"/>
      <c r="BB937" s="332"/>
      <c r="BC937" s="332"/>
      <c r="BD937" s="332"/>
      <c r="BE937" s="332"/>
      <c r="BF937" s="332"/>
      <c r="BG937" s="332"/>
      <c r="BH937" s="332"/>
      <c r="BI937" s="332"/>
      <c r="BJ937" s="332"/>
      <c r="BK937" s="332"/>
      <c r="BL937" s="332"/>
      <c r="BM937" s="332"/>
      <c r="BN937" s="332"/>
      <c r="BO937" s="332"/>
      <c r="BP937" s="332"/>
      <c r="BQ937" s="332"/>
      <c r="BR937" s="332"/>
      <c r="BS937" s="332"/>
      <c r="BT937" s="332"/>
      <c r="BU937" s="332"/>
      <c r="BV937" s="332"/>
      <c r="BW937" s="332"/>
      <c r="BX937" s="332"/>
      <c r="BY937" s="332"/>
      <c r="BZ937" s="332"/>
      <c r="CA937" s="332"/>
      <c r="CB937" s="332"/>
      <c r="CC937" s="332"/>
      <c r="CD937" s="332"/>
      <c r="CE937" s="332"/>
      <c r="CF937" s="332"/>
      <c r="CG937" s="332"/>
      <c r="CH937" s="332"/>
      <c r="CI937" s="332"/>
      <c r="CJ937" s="332"/>
      <c r="CK937" s="332"/>
      <c r="CL937" s="332"/>
      <c r="CM937" s="332"/>
      <c r="CN937" s="332"/>
      <c r="CO937" s="332"/>
      <c r="CP937" s="332"/>
      <c r="CQ937" s="332"/>
      <c r="CR937" s="332"/>
      <c r="CS937" s="332"/>
      <c r="CT937" s="332"/>
      <c r="CU937" s="332"/>
      <c r="CV937" s="332"/>
      <c r="CW937" s="332"/>
      <c r="CX937" s="332"/>
      <c r="CY937" s="332"/>
      <c r="CZ937" s="332"/>
      <c r="DA937" s="332"/>
      <c r="DB937" s="332"/>
      <c r="DC937" s="332"/>
      <c r="DD937" s="332"/>
      <c r="DE937" s="332"/>
      <c r="DF937" s="332"/>
      <c r="DG937" s="332"/>
      <c r="DH937" s="332"/>
      <c r="DI937" s="332"/>
      <c r="DJ937" s="332"/>
      <c r="DK937" s="332"/>
      <c r="DL937" s="332"/>
      <c r="DM937" s="332"/>
      <c r="DN937" s="332"/>
      <c r="DO937" s="332"/>
      <c r="DP937" s="332"/>
      <c r="DQ937" s="332"/>
      <c r="DR937" s="332"/>
      <c r="DS937" s="332"/>
      <c r="DT937" s="332"/>
      <c r="DU937" s="453"/>
      <c r="DV937" s="453"/>
      <c r="DW937" s="453"/>
      <c r="DX937" s="453"/>
      <c r="DY937" s="453"/>
      <c r="DZ937" s="453"/>
      <c r="EA937" s="453"/>
      <c r="EB937" s="453"/>
      <c r="EC937" s="453"/>
      <c r="ED937" s="453"/>
      <c r="EE937" s="453"/>
      <c r="EF937" s="453"/>
      <c r="EG937" s="453"/>
      <c r="EH937" s="453"/>
      <c r="EI937" s="453"/>
      <c r="EJ937" s="453"/>
      <c r="EK937" s="453"/>
      <c r="EL937" s="453"/>
      <c r="EM937" s="483">
        <f t="shared" si="240"/>
        <v>628</v>
      </c>
      <c r="EN937" s="485"/>
      <c r="EO937" s="458"/>
      <c r="EP937" s="467"/>
      <c r="EQ937" s="457"/>
      <c r="ER937" s="808"/>
      <c r="ES937" s="881">
        <f t="shared" si="241"/>
        <v>0</v>
      </c>
      <c r="ET937" s="882"/>
      <c r="EU937" s="883"/>
      <c r="EV937" s="884">
        <f t="shared" si="242"/>
        <v>0</v>
      </c>
      <c r="EW937" s="885"/>
      <c r="EX937" s="885"/>
      <c r="EY937" s="885"/>
      <c r="EZ937" s="885"/>
      <c r="FA937" s="885"/>
      <c r="FB937" s="885"/>
      <c r="FC937" s="885"/>
      <c r="FD937" s="886"/>
      <c r="FE937" s="550"/>
      <c r="FF937" s="550"/>
      <c r="FG937" s="550"/>
      <c r="FH937" s="550"/>
      <c r="FI937" s="550"/>
      <c r="FJ937" s="550"/>
      <c r="FK937" s="550"/>
      <c r="FL937" s="555"/>
      <c r="FM937" s="554"/>
      <c r="FN937" s="554"/>
      <c r="FO937" s="554"/>
      <c r="FP937" s="554"/>
      <c r="FQ937" s="554"/>
      <c r="FR937" s="554"/>
      <c r="FS937" s="554"/>
      <c r="FT937" s="554"/>
      <c r="FU937" s="554"/>
      <c r="FV937" s="554"/>
      <c r="FW937" s="554"/>
      <c r="FX937" s="554"/>
      <c r="FY937" s="554"/>
      <c r="FZ937" s="554"/>
      <c r="GA937" s="554"/>
      <c r="GB937" s="556"/>
      <c r="GC937" s="370"/>
      <c r="GD937" s="453"/>
      <c r="GE937" s="453"/>
      <c r="GF937" s="453"/>
      <c r="GG937" s="453"/>
      <c r="GH937" s="454"/>
      <c r="GI937" s="453"/>
      <c r="GJ937" s="453"/>
      <c r="GK937" s="453"/>
      <c r="GL937" s="453"/>
      <c r="GM937" s="453"/>
      <c r="GN937" s="453"/>
      <c r="GO937" s="453"/>
      <c r="GP937" s="453"/>
      <c r="GQ937" s="453"/>
      <c r="GR937" s="453"/>
      <c r="GS937" s="561"/>
      <c r="GT937" s="475"/>
      <c r="GU937" s="472"/>
      <c r="GV937" s="453"/>
      <c r="GW937" s="453"/>
      <c r="GX937" s="869"/>
      <c r="GY937" s="870"/>
      <c r="GZ937" s="867"/>
      <c r="HA937" s="868"/>
      <c r="HB937" s="473"/>
      <c r="HC937" s="869"/>
      <c r="HD937" s="870"/>
      <c r="HE937" s="867"/>
      <c r="HF937" s="868"/>
      <c r="HG937" s="473"/>
      <c r="HH937" s="867"/>
      <c r="HI937" s="868"/>
      <c r="HJ937" s="867"/>
      <c r="HK937" s="868"/>
      <c r="HL937" s="370"/>
      <c r="HM937" s="865"/>
      <c r="HN937" s="866"/>
      <c r="HO937" s="865"/>
      <c r="HP937" s="866"/>
      <c r="HQ937" s="865"/>
      <c r="HR937" s="866"/>
      <c r="HS937" s="867"/>
      <c r="HT937" s="868"/>
      <c r="HU937" s="489"/>
      <c r="HV937" s="865"/>
      <c r="HW937" s="866"/>
    </row>
    <row r="938" spans="25:231" ht="15" customHeight="1">
      <c r="Y938" s="332"/>
      <c r="Z938" s="332"/>
      <c r="AA938" s="332"/>
      <c r="AB938" s="332"/>
      <c r="AC938" s="332"/>
      <c r="AD938" s="332"/>
      <c r="AE938" s="332"/>
      <c r="AF938" s="332"/>
      <c r="AG938" s="332"/>
      <c r="AH938" s="332"/>
      <c r="AI938" s="332"/>
      <c r="AJ938" s="332"/>
      <c r="AK938" s="332"/>
      <c r="AL938" s="332"/>
      <c r="AM938" s="332"/>
      <c r="AN938" s="332"/>
      <c r="AO938" s="332"/>
      <c r="AP938" s="332"/>
      <c r="AQ938" s="332"/>
      <c r="AR938" s="332"/>
      <c r="AS938" s="332"/>
      <c r="AT938" s="332"/>
      <c r="AU938" s="332"/>
      <c r="AV938" s="332"/>
      <c r="AW938" s="332"/>
      <c r="AX938" s="332"/>
      <c r="AY938" s="332"/>
      <c r="AZ938" s="332"/>
      <c r="BA938" s="332"/>
      <c r="BB938" s="332"/>
      <c r="BC938" s="332"/>
      <c r="BD938" s="332"/>
      <c r="BE938" s="332"/>
      <c r="BF938" s="332"/>
      <c r="BG938" s="332"/>
      <c r="BH938" s="332"/>
      <c r="BI938" s="332"/>
      <c r="BJ938" s="332"/>
      <c r="BK938" s="332"/>
      <c r="BL938" s="332"/>
      <c r="BM938" s="332"/>
      <c r="BN938" s="332"/>
      <c r="BO938" s="332"/>
      <c r="BP938" s="332"/>
      <c r="BQ938" s="332"/>
      <c r="BR938" s="332"/>
      <c r="BS938" s="332"/>
      <c r="BT938" s="332"/>
      <c r="BU938" s="332"/>
      <c r="BV938" s="332"/>
      <c r="BW938" s="332"/>
      <c r="BX938" s="332"/>
      <c r="BY938" s="332"/>
      <c r="BZ938" s="332"/>
      <c r="CA938" s="332"/>
      <c r="CB938" s="332"/>
      <c r="CC938" s="332"/>
      <c r="CD938" s="332"/>
      <c r="CE938" s="332"/>
      <c r="CF938" s="332"/>
      <c r="CG938" s="332"/>
      <c r="CH938" s="332"/>
      <c r="CI938" s="332"/>
      <c r="CJ938" s="332"/>
      <c r="CK938" s="332"/>
      <c r="CL938" s="332"/>
      <c r="CM938" s="332"/>
      <c r="CN938" s="332"/>
      <c r="CO938" s="332"/>
      <c r="CP938" s="332"/>
      <c r="CQ938" s="332"/>
      <c r="CR938" s="332"/>
      <c r="CS938" s="332"/>
      <c r="CT938" s="332"/>
      <c r="CU938" s="332"/>
      <c r="CV938" s="332"/>
      <c r="CW938" s="332"/>
      <c r="CX938" s="332"/>
      <c r="CY938" s="332"/>
      <c r="CZ938" s="332"/>
      <c r="DA938" s="332"/>
      <c r="DB938" s="332"/>
      <c r="DC938" s="332"/>
      <c r="DD938" s="332"/>
      <c r="DE938" s="332"/>
      <c r="DF938" s="332"/>
      <c r="DG938" s="332"/>
      <c r="DH938" s="332"/>
      <c r="DI938" s="332"/>
      <c r="DJ938" s="332"/>
      <c r="DK938" s="332"/>
      <c r="DL938" s="332"/>
      <c r="DM938" s="332"/>
      <c r="DN938" s="332"/>
      <c r="DO938" s="332"/>
      <c r="DP938" s="332"/>
      <c r="DQ938" s="332"/>
      <c r="DR938" s="332"/>
      <c r="DS938" s="332"/>
      <c r="DT938" s="332"/>
      <c r="DU938" s="453"/>
      <c r="DV938" s="453"/>
      <c r="DW938" s="453"/>
      <c r="DX938" s="453"/>
      <c r="DY938" s="453"/>
      <c r="DZ938" s="453"/>
      <c r="EA938" s="453"/>
      <c r="EB938" s="453"/>
      <c r="EC938" s="453"/>
      <c r="ED938" s="453"/>
      <c r="EE938" s="453"/>
      <c r="EF938" s="453"/>
      <c r="EG938" s="453"/>
      <c r="EH938" s="453"/>
      <c r="EI938" s="453"/>
      <c r="EJ938" s="453"/>
      <c r="EK938" s="453"/>
      <c r="EL938" s="453"/>
      <c r="EM938" s="483">
        <f t="shared" si="240"/>
        <v>629</v>
      </c>
      <c r="EN938" s="485"/>
      <c r="EO938" s="458"/>
      <c r="EP938" s="467"/>
      <c r="EQ938" s="457"/>
      <c r="ER938" s="808"/>
      <c r="ES938" s="881">
        <f t="shared" si="241"/>
        <v>0</v>
      </c>
      <c r="ET938" s="882"/>
      <c r="EU938" s="883"/>
      <c r="EV938" s="884">
        <f t="shared" si="242"/>
        <v>0</v>
      </c>
      <c r="EW938" s="885"/>
      <c r="EX938" s="885"/>
      <c r="EY938" s="885"/>
      <c r="EZ938" s="885"/>
      <c r="FA938" s="885"/>
      <c r="FB938" s="885"/>
      <c r="FC938" s="885"/>
      <c r="FD938" s="886"/>
      <c r="FE938" s="550"/>
      <c r="FF938" s="550"/>
      <c r="FG938" s="550"/>
      <c r="FH938" s="550"/>
      <c r="FI938" s="550"/>
      <c r="FJ938" s="550"/>
      <c r="FK938" s="550"/>
      <c r="FL938" s="555"/>
      <c r="FM938" s="554"/>
      <c r="FN938" s="554"/>
      <c r="FO938" s="554"/>
      <c r="FP938" s="554"/>
      <c r="FQ938" s="554"/>
      <c r="FR938" s="554"/>
      <c r="FS938" s="554"/>
      <c r="FT938" s="554"/>
      <c r="FU938" s="554"/>
      <c r="FV938" s="554"/>
      <c r="FW938" s="554"/>
      <c r="FX938" s="554"/>
      <c r="FY938" s="554"/>
      <c r="FZ938" s="554"/>
      <c r="GA938" s="554"/>
      <c r="GB938" s="556"/>
      <c r="GC938" s="370"/>
      <c r="GD938" s="453"/>
      <c r="GE938" s="453"/>
      <c r="GF938" s="453"/>
      <c r="GG938" s="453"/>
      <c r="GH938" s="454"/>
      <c r="GI938" s="453"/>
      <c r="GJ938" s="453"/>
      <c r="GK938" s="453"/>
      <c r="GL938" s="453"/>
      <c r="GM938" s="453"/>
      <c r="GN938" s="453"/>
      <c r="GO938" s="453"/>
      <c r="GP938" s="453"/>
      <c r="GQ938" s="453"/>
      <c r="GR938" s="453"/>
      <c r="GS938" s="561"/>
      <c r="GT938" s="475"/>
      <c r="GU938" s="472"/>
      <c r="GV938" s="453"/>
      <c r="GW938" s="453"/>
      <c r="GX938" s="869"/>
      <c r="GY938" s="870"/>
      <c r="GZ938" s="867"/>
      <c r="HA938" s="868"/>
      <c r="HB938" s="473"/>
      <c r="HC938" s="869"/>
      <c r="HD938" s="870"/>
      <c r="HE938" s="867"/>
      <c r="HF938" s="868"/>
      <c r="HG938" s="473"/>
      <c r="HH938" s="867"/>
      <c r="HI938" s="868"/>
      <c r="HJ938" s="867"/>
      <c r="HK938" s="868"/>
      <c r="HL938" s="370"/>
      <c r="HM938" s="865"/>
      <c r="HN938" s="866"/>
      <c r="HO938" s="865"/>
      <c r="HP938" s="866"/>
      <c r="HQ938" s="865"/>
      <c r="HR938" s="866"/>
      <c r="HS938" s="867"/>
      <c r="HT938" s="868"/>
      <c r="HU938" s="489"/>
      <c r="HV938" s="865"/>
      <c r="HW938" s="866"/>
    </row>
    <row r="939" spans="25:231" ht="15" customHeight="1">
      <c r="Y939" s="332"/>
      <c r="Z939" s="332"/>
      <c r="AA939" s="332"/>
      <c r="AB939" s="332"/>
      <c r="AC939" s="332"/>
      <c r="AD939" s="332"/>
      <c r="AE939" s="332"/>
      <c r="AF939" s="332"/>
      <c r="AG939" s="332"/>
      <c r="AH939" s="332"/>
      <c r="AI939" s="332"/>
      <c r="AJ939" s="332"/>
      <c r="AK939" s="332"/>
      <c r="AL939" s="332"/>
      <c r="AM939" s="332"/>
      <c r="AN939" s="332"/>
      <c r="AO939" s="332"/>
      <c r="AP939" s="332"/>
      <c r="AQ939" s="332"/>
      <c r="AR939" s="332"/>
      <c r="AS939" s="332"/>
      <c r="AT939" s="332"/>
      <c r="AU939" s="332"/>
      <c r="AV939" s="332"/>
      <c r="AW939" s="332"/>
      <c r="AX939" s="332"/>
      <c r="AY939" s="332"/>
      <c r="AZ939" s="332"/>
      <c r="BA939" s="332"/>
      <c r="BB939" s="332"/>
      <c r="BC939" s="332"/>
      <c r="BD939" s="332"/>
      <c r="BE939" s="332"/>
      <c r="BF939" s="332"/>
      <c r="BG939" s="332"/>
      <c r="BH939" s="332"/>
      <c r="BI939" s="332"/>
      <c r="BJ939" s="332"/>
      <c r="BK939" s="332"/>
      <c r="BL939" s="332"/>
      <c r="BM939" s="332"/>
      <c r="BN939" s="332"/>
      <c r="BO939" s="332"/>
      <c r="BP939" s="332"/>
      <c r="BQ939" s="332"/>
      <c r="BR939" s="332"/>
      <c r="BS939" s="332"/>
      <c r="BT939" s="332"/>
      <c r="BU939" s="332"/>
      <c r="BV939" s="332"/>
      <c r="BW939" s="332"/>
      <c r="BX939" s="332"/>
      <c r="BY939" s="332"/>
      <c r="BZ939" s="332"/>
      <c r="CA939" s="332"/>
      <c r="CB939" s="332"/>
      <c r="CC939" s="332"/>
      <c r="CD939" s="332"/>
      <c r="CE939" s="332"/>
      <c r="CF939" s="332"/>
      <c r="CG939" s="332"/>
      <c r="CH939" s="332"/>
      <c r="CI939" s="332"/>
      <c r="CJ939" s="332"/>
      <c r="CK939" s="332"/>
      <c r="CL939" s="332"/>
      <c r="CM939" s="332"/>
      <c r="CN939" s="332"/>
      <c r="CO939" s="332"/>
      <c r="CP939" s="332"/>
      <c r="CQ939" s="332"/>
      <c r="CR939" s="332"/>
      <c r="CS939" s="332"/>
      <c r="CT939" s="332"/>
      <c r="CU939" s="332"/>
      <c r="CV939" s="332"/>
      <c r="CW939" s="332"/>
      <c r="CX939" s="332"/>
      <c r="CY939" s="332"/>
      <c r="CZ939" s="332"/>
      <c r="DA939" s="332"/>
      <c r="DB939" s="332"/>
      <c r="DC939" s="332"/>
      <c r="DD939" s="332"/>
      <c r="DE939" s="332"/>
      <c r="DF939" s="332"/>
      <c r="DG939" s="332"/>
      <c r="DH939" s="332"/>
      <c r="DI939" s="332"/>
      <c r="DJ939" s="332"/>
      <c r="DK939" s="332"/>
      <c r="DL939" s="332"/>
      <c r="DM939" s="332"/>
      <c r="DN939" s="332"/>
      <c r="DO939" s="332"/>
      <c r="DP939" s="332"/>
      <c r="DQ939" s="332"/>
      <c r="DR939" s="332"/>
      <c r="DS939" s="332"/>
      <c r="DT939" s="332"/>
      <c r="DU939" s="453"/>
      <c r="DV939" s="453"/>
      <c r="DW939" s="453"/>
      <c r="DX939" s="453"/>
      <c r="DY939" s="453"/>
      <c r="DZ939" s="453"/>
      <c r="EA939" s="453"/>
      <c r="EB939" s="453"/>
      <c r="EC939" s="453"/>
      <c r="ED939" s="453"/>
      <c r="EE939" s="453"/>
      <c r="EF939" s="453"/>
      <c r="EG939" s="453"/>
      <c r="EH939" s="453"/>
      <c r="EI939" s="453"/>
      <c r="EJ939" s="453"/>
      <c r="EK939" s="453"/>
      <c r="EL939" s="453"/>
      <c r="EM939" s="483">
        <f t="shared" si="240"/>
        <v>630</v>
      </c>
      <c r="EN939" s="485"/>
      <c r="EO939" s="458"/>
      <c r="EP939" s="467"/>
      <c r="EQ939" s="457"/>
      <c r="ER939" s="808"/>
      <c r="ES939" s="881">
        <f t="shared" si="241"/>
        <v>0</v>
      </c>
      <c r="ET939" s="882"/>
      <c r="EU939" s="883"/>
      <c r="EV939" s="884">
        <f t="shared" si="242"/>
        <v>0</v>
      </c>
      <c r="EW939" s="885"/>
      <c r="EX939" s="885"/>
      <c r="EY939" s="885"/>
      <c r="EZ939" s="885"/>
      <c r="FA939" s="885"/>
      <c r="FB939" s="885"/>
      <c r="FC939" s="885"/>
      <c r="FD939" s="886"/>
      <c r="FE939" s="550"/>
      <c r="FF939" s="550"/>
      <c r="FG939" s="550"/>
      <c r="FH939" s="550"/>
      <c r="FI939" s="550"/>
      <c r="FJ939" s="550"/>
      <c r="FK939" s="550"/>
      <c r="FL939" s="555"/>
      <c r="FM939" s="554"/>
      <c r="FN939" s="554"/>
      <c r="FO939" s="554"/>
      <c r="FP939" s="554"/>
      <c r="FQ939" s="554"/>
      <c r="FR939" s="554"/>
      <c r="FS939" s="554"/>
      <c r="FT939" s="554"/>
      <c r="FU939" s="554"/>
      <c r="FV939" s="554"/>
      <c r="FW939" s="554"/>
      <c r="FX939" s="554"/>
      <c r="FY939" s="554"/>
      <c r="FZ939" s="554"/>
      <c r="GA939" s="554"/>
      <c r="GB939" s="556"/>
      <c r="GC939" s="370"/>
      <c r="GD939" s="453"/>
      <c r="GE939" s="453"/>
      <c r="GF939" s="453"/>
      <c r="GG939" s="453"/>
      <c r="GH939" s="454"/>
      <c r="GI939" s="453"/>
      <c r="GJ939" s="453"/>
      <c r="GK939" s="453"/>
      <c r="GL939" s="453"/>
      <c r="GM939" s="453"/>
      <c r="GN939" s="453"/>
      <c r="GO939" s="453"/>
      <c r="GP939" s="453"/>
      <c r="GQ939" s="453"/>
      <c r="GR939" s="453"/>
      <c r="GS939" s="561"/>
      <c r="GT939" s="475"/>
      <c r="GU939" s="472"/>
      <c r="GV939" s="453"/>
      <c r="GW939" s="453"/>
      <c r="GX939" s="869"/>
      <c r="GY939" s="870"/>
      <c r="GZ939" s="867"/>
      <c r="HA939" s="868"/>
      <c r="HB939" s="473"/>
      <c r="HC939" s="869"/>
      <c r="HD939" s="870"/>
      <c r="HE939" s="867"/>
      <c r="HF939" s="868"/>
      <c r="HG939" s="473"/>
      <c r="HH939" s="867"/>
      <c r="HI939" s="868"/>
      <c r="HJ939" s="867"/>
      <c r="HK939" s="868"/>
      <c r="HL939" s="370"/>
      <c r="HM939" s="865"/>
      <c r="HN939" s="866"/>
      <c r="HO939" s="865"/>
      <c r="HP939" s="866"/>
      <c r="HQ939" s="865"/>
      <c r="HR939" s="866"/>
      <c r="HS939" s="867"/>
      <c r="HT939" s="868"/>
      <c r="HU939" s="489"/>
      <c r="HV939" s="865"/>
      <c r="HW939" s="866"/>
    </row>
    <row r="940" spans="25:231" ht="15" customHeight="1">
      <c r="Y940" s="332"/>
      <c r="Z940" s="332"/>
      <c r="AA940" s="332"/>
      <c r="AB940" s="332"/>
      <c r="AC940" s="332"/>
      <c r="AD940" s="332"/>
      <c r="AE940" s="332"/>
      <c r="AF940" s="332"/>
      <c r="AG940" s="332"/>
      <c r="AH940" s="332"/>
      <c r="AI940" s="332"/>
      <c r="AJ940" s="332"/>
      <c r="AK940" s="332"/>
      <c r="AL940" s="332"/>
      <c r="AM940" s="332"/>
      <c r="AN940" s="332"/>
      <c r="AO940" s="332"/>
      <c r="AP940" s="332"/>
      <c r="AQ940" s="332"/>
      <c r="AR940" s="332"/>
      <c r="AS940" s="332"/>
      <c r="AT940" s="332"/>
      <c r="AU940" s="332"/>
      <c r="AV940" s="332"/>
      <c r="AW940" s="332"/>
      <c r="AX940" s="332"/>
      <c r="AY940" s="332"/>
      <c r="AZ940" s="332"/>
      <c r="BA940" s="332"/>
      <c r="BB940" s="332"/>
      <c r="BC940" s="332"/>
      <c r="BD940" s="332"/>
      <c r="BE940" s="332"/>
      <c r="BF940" s="332"/>
      <c r="BG940" s="332"/>
      <c r="BH940" s="332"/>
      <c r="BI940" s="332"/>
      <c r="BJ940" s="332"/>
      <c r="BK940" s="332"/>
      <c r="BL940" s="332"/>
      <c r="BM940" s="332"/>
      <c r="BN940" s="332"/>
      <c r="BO940" s="332"/>
      <c r="BP940" s="332"/>
      <c r="BQ940" s="332"/>
      <c r="BR940" s="332"/>
      <c r="BS940" s="332"/>
      <c r="BT940" s="332"/>
      <c r="BU940" s="332"/>
      <c r="BV940" s="332"/>
      <c r="BW940" s="332"/>
      <c r="BX940" s="332"/>
      <c r="BY940" s="332"/>
      <c r="BZ940" s="332"/>
      <c r="CA940" s="332"/>
      <c r="CB940" s="332"/>
      <c r="CC940" s="332"/>
      <c r="CD940" s="332"/>
      <c r="CE940" s="332"/>
      <c r="CF940" s="332"/>
      <c r="CG940" s="332"/>
      <c r="CH940" s="332"/>
      <c r="CI940" s="332"/>
      <c r="CJ940" s="332"/>
      <c r="CK940" s="332"/>
      <c r="CL940" s="332"/>
      <c r="CM940" s="332"/>
      <c r="CN940" s="332"/>
      <c r="CO940" s="332"/>
      <c r="CP940" s="332"/>
      <c r="CQ940" s="332"/>
      <c r="CR940" s="332"/>
      <c r="CS940" s="332"/>
      <c r="CT940" s="332"/>
      <c r="CU940" s="332"/>
      <c r="CV940" s="332"/>
      <c r="CW940" s="332"/>
      <c r="CX940" s="332"/>
      <c r="CY940" s="332"/>
      <c r="CZ940" s="332"/>
      <c r="DA940" s="332"/>
      <c r="DB940" s="332"/>
      <c r="DC940" s="332"/>
      <c r="DD940" s="332"/>
      <c r="DE940" s="332"/>
      <c r="DF940" s="332"/>
      <c r="DG940" s="332"/>
      <c r="DH940" s="332"/>
      <c r="DI940" s="332"/>
      <c r="DJ940" s="332"/>
      <c r="DK940" s="332"/>
      <c r="DL940" s="332"/>
      <c r="DM940" s="332"/>
      <c r="DN940" s="332"/>
      <c r="DO940" s="332"/>
      <c r="DP940" s="332"/>
      <c r="DQ940" s="332"/>
      <c r="DR940" s="332"/>
      <c r="DS940" s="332"/>
      <c r="DT940" s="332"/>
      <c r="DU940" s="453"/>
      <c r="DV940" s="453"/>
      <c r="DW940" s="453"/>
      <c r="DX940" s="453"/>
      <c r="DY940" s="453"/>
      <c r="DZ940" s="453"/>
      <c r="EA940" s="453"/>
      <c r="EB940" s="453"/>
      <c r="EC940" s="453"/>
      <c r="ED940" s="453"/>
      <c r="EE940" s="453"/>
      <c r="EF940" s="453"/>
      <c r="EG940" s="453"/>
      <c r="EH940" s="453"/>
      <c r="EI940" s="453"/>
      <c r="EJ940" s="453"/>
      <c r="EK940" s="453"/>
      <c r="EL940" s="453"/>
      <c r="EM940" s="483">
        <f t="shared" si="240"/>
        <v>631</v>
      </c>
      <c r="EN940" s="485"/>
      <c r="EO940" s="458"/>
      <c r="EP940" s="467"/>
      <c r="EQ940" s="457"/>
      <c r="ER940" s="808"/>
      <c r="ES940" s="881">
        <f t="shared" si="241"/>
        <v>0</v>
      </c>
      <c r="ET940" s="882"/>
      <c r="EU940" s="883"/>
      <c r="EV940" s="884">
        <f t="shared" si="242"/>
        <v>0</v>
      </c>
      <c r="EW940" s="885"/>
      <c r="EX940" s="885"/>
      <c r="EY940" s="885"/>
      <c r="EZ940" s="885"/>
      <c r="FA940" s="885"/>
      <c r="FB940" s="885"/>
      <c r="FC940" s="885"/>
      <c r="FD940" s="886"/>
      <c r="FE940" s="550"/>
      <c r="FF940" s="550"/>
      <c r="FG940" s="550"/>
      <c r="FH940" s="550"/>
      <c r="FI940" s="550"/>
      <c r="FJ940" s="550"/>
      <c r="FK940" s="550"/>
      <c r="FL940" s="555"/>
      <c r="FM940" s="554"/>
      <c r="FN940" s="554"/>
      <c r="FO940" s="554"/>
      <c r="FP940" s="554"/>
      <c r="FQ940" s="554"/>
      <c r="FR940" s="554"/>
      <c r="FS940" s="554"/>
      <c r="FT940" s="554"/>
      <c r="FU940" s="554"/>
      <c r="FV940" s="554"/>
      <c r="FW940" s="554"/>
      <c r="FX940" s="554"/>
      <c r="FY940" s="554"/>
      <c r="FZ940" s="554"/>
      <c r="GA940" s="554"/>
      <c r="GB940" s="556"/>
      <c r="GC940" s="370"/>
      <c r="GD940" s="453"/>
      <c r="GE940" s="453"/>
      <c r="GF940" s="453"/>
      <c r="GG940" s="453"/>
      <c r="GH940" s="454"/>
      <c r="GI940" s="453"/>
      <c r="GJ940" s="453"/>
      <c r="GK940" s="453"/>
      <c r="GL940" s="453"/>
      <c r="GM940" s="453"/>
      <c r="GN940" s="453"/>
      <c r="GO940" s="453"/>
      <c r="GP940" s="453"/>
      <c r="GQ940" s="453"/>
      <c r="GR940" s="453"/>
      <c r="GS940" s="561"/>
      <c r="GT940" s="475"/>
      <c r="GU940" s="472"/>
      <c r="GV940" s="453"/>
      <c r="GW940" s="453"/>
      <c r="GX940" s="869"/>
      <c r="GY940" s="870"/>
      <c r="GZ940" s="867"/>
      <c r="HA940" s="868"/>
      <c r="HB940" s="473"/>
      <c r="HC940" s="869"/>
      <c r="HD940" s="870"/>
      <c r="HE940" s="867"/>
      <c r="HF940" s="868"/>
      <c r="HG940" s="473"/>
      <c r="HH940" s="867"/>
      <c r="HI940" s="868"/>
      <c r="HJ940" s="867"/>
      <c r="HK940" s="868"/>
      <c r="HL940" s="370"/>
      <c r="HM940" s="865"/>
      <c r="HN940" s="866"/>
      <c r="HO940" s="865"/>
      <c r="HP940" s="866"/>
      <c r="HQ940" s="865"/>
      <c r="HR940" s="866"/>
      <c r="HS940" s="867"/>
      <c r="HT940" s="868"/>
      <c r="HU940" s="489"/>
      <c r="HV940" s="865"/>
      <c r="HW940" s="866"/>
    </row>
    <row r="941" spans="25:231" ht="15" customHeight="1">
      <c r="Y941" s="332"/>
      <c r="Z941" s="332"/>
      <c r="AA941" s="332"/>
      <c r="AB941" s="332"/>
      <c r="AC941" s="332"/>
      <c r="AD941" s="332"/>
      <c r="AE941" s="332"/>
      <c r="AF941" s="332"/>
      <c r="AG941" s="332"/>
      <c r="AH941" s="332"/>
      <c r="AI941" s="332"/>
      <c r="AJ941" s="332"/>
      <c r="AK941" s="332"/>
      <c r="AL941" s="332"/>
      <c r="AM941" s="332"/>
      <c r="AN941" s="332"/>
      <c r="AO941" s="332"/>
      <c r="AP941" s="332"/>
      <c r="AQ941" s="332"/>
      <c r="AR941" s="332"/>
      <c r="AS941" s="332"/>
      <c r="AT941" s="332"/>
      <c r="AU941" s="332"/>
      <c r="AV941" s="332"/>
      <c r="AW941" s="332"/>
      <c r="AX941" s="332"/>
      <c r="AY941" s="332"/>
      <c r="AZ941" s="332"/>
      <c r="BA941" s="332"/>
      <c r="BB941" s="332"/>
      <c r="BC941" s="332"/>
      <c r="BD941" s="332"/>
      <c r="BE941" s="332"/>
      <c r="BF941" s="332"/>
      <c r="BG941" s="332"/>
      <c r="BH941" s="332"/>
      <c r="BI941" s="332"/>
      <c r="BJ941" s="332"/>
      <c r="BK941" s="332"/>
      <c r="BL941" s="332"/>
      <c r="BM941" s="332"/>
      <c r="BN941" s="332"/>
      <c r="BO941" s="332"/>
      <c r="BP941" s="332"/>
      <c r="BQ941" s="332"/>
      <c r="BR941" s="332"/>
      <c r="BS941" s="332"/>
      <c r="BT941" s="332"/>
      <c r="BU941" s="332"/>
      <c r="BV941" s="332"/>
      <c r="BW941" s="332"/>
      <c r="BX941" s="332"/>
      <c r="BY941" s="332"/>
      <c r="BZ941" s="332"/>
      <c r="CA941" s="332"/>
      <c r="CB941" s="332"/>
      <c r="CC941" s="332"/>
      <c r="CD941" s="332"/>
      <c r="CE941" s="332"/>
      <c r="CF941" s="332"/>
      <c r="CG941" s="332"/>
      <c r="CH941" s="332"/>
      <c r="CI941" s="332"/>
      <c r="CJ941" s="332"/>
      <c r="CK941" s="332"/>
      <c r="CL941" s="332"/>
      <c r="CM941" s="332"/>
      <c r="CN941" s="332"/>
      <c r="CO941" s="332"/>
      <c r="CP941" s="332"/>
      <c r="CQ941" s="332"/>
      <c r="CR941" s="332"/>
      <c r="CS941" s="332"/>
      <c r="CT941" s="332"/>
      <c r="CU941" s="332"/>
      <c r="CV941" s="332"/>
      <c r="CW941" s="332"/>
      <c r="CX941" s="332"/>
      <c r="CY941" s="332"/>
      <c r="CZ941" s="332"/>
      <c r="DA941" s="332"/>
      <c r="DB941" s="332"/>
      <c r="DC941" s="332"/>
      <c r="DD941" s="332"/>
      <c r="DE941" s="332"/>
      <c r="DF941" s="332"/>
      <c r="DG941" s="332"/>
      <c r="DH941" s="332"/>
      <c r="DI941" s="332"/>
      <c r="DJ941" s="332"/>
      <c r="DK941" s="332"/>
      <c r="DL941" s="332"/>
      <c r="DM941" s="332"/>
      <c r="DN941" s="332"/>
      <c r="DO941" s="332"/>
      <c r="DP941" s="332"/>
      <c r="DQ941" s="332"/>
      <c r="DR941" s="332"/>
      <c r="DS941" s="332"/>
      <c r="DT941" s="332"/>
      <c r="DU941" s="453"/>
      <c r="DV941" s="453"/>
      <c r="DW941" s="453"/>
      <c r="DX941" s="453"/>
      <c r="DY941" s="453"/>
      <c r="DZ941" s="453"/>
      <c r="EA941" s="453"/>
      <c r="EB941" s="453"/>
      <c r="EC941" s="453"/>
      <c r="ED941" s="453"/>
      <c r="EE941" s="453"/>
      <c r="EF941" s="453"/>
      <c r="EG941" s="453"/>
      <c r="EH941" s="453"/>
      <c r="EI941" s="453"/>
      <c r="EJ941" s="453"/>
      <c r="EK941" s="453"/>
      <c r="EL941" s="453"/>
      <c r="EM941" s="483">
        <f t="shared" si="240"/>
        <v>632</v>
      </c>
      <c r="EN941" s="485"/>
      <c r="EO941" s="458"/>
      <c r="EP941" s="467"/>
      <c r="EQ941" s="457"/>
      <c r="ER941" s="808"/>
      <c r="ES941" s="881">
        <f t="shared" si="241"/>
        <v>0</v>
      </c>
      <c r="ET941" s="882"/>
      <c r="EU941" s="883"/>
      <c r="EV941" s="884">
        <f t="shared" si="242"/>
        <v>0</v>
      </c>
      <c r="EW941" s="885"/>
      <c r="EX941" s="885"/>
      <c r="EY941" s="885"/>
      <c r="EZ941" s="885"/>
      <c r="FA941" s="885"/>
      <c r="FB941" s="885"/>
      <c r="FC941" s="885"/>
      <c r="FD941" s="886"/>
      <c r="FE941" s="550"/>
      <c r="FF941" s="550"/>
      <c r="FG941" s="550"/>
      <c r="FH941" s="550"/>
      <c r="FI941" s="550"/>
      <c r="FJ941" s="550"/>
      <c r="FK941" s="550"/>
      <c r="FL941" s="555"/>
      <c r="FM941" s="554"/>
      <c r="FN941" s="554"/>
      <c r="FO941" s="554"/>
      <c r="FP941" s="554"/>
      <c r="FQ941" s="554"/>
      <c r="FR941" s="554"/>
      <c r="FS941" s="554"/>
      <c r="FT941" s="554"/>
      <c r="FU941" s="554"/>
      <c r="FV941" s="554"/>
      <c r="FW941" s="554"/>
      <c r="FX941" s="554"/>
      <c r="FY941" s="554"/>
      <c r="FZ941" s="554"/>
      <c r="GA941" s="554"/>
      <c r="GB941" s="556"/>
      <c r="GC941" s="370"/>
      <c r="GD941" s="453"/>
      <c r="GE941" s="453"/>
      <c r="GF941" s="453"/>
      <c r="GG941" s="453"/>
      <c r="GH941" s="454"/>
      <c r="GI941" s="453"/>
      <c r="GJ941" s="453"/>
      <c r="GK941" s="453"/>
      <c r="GL941" s="453"/>
      <c r="GM941" s="453"/>
      <c r="GN941" s="453"/>
      <c r="GO941" s="453"/>
      <c r="GP941" s="453"/>
      <c r="GQ941" s="453"/>
      <c r="GR941" s="453"/>
      <c r="GS941" s="561"/>
      <c r="GT941" s="475"/>
      <c r="GU941" s="472"/>
      <c r="GV941" s="453"/>
      <c r="GW941" s="453"/>
      <c r="GX941" s="869"/>
      <c r="GY941" s="870"/>
      <c r="GZ941" s="867"/>
      <c r="HA941" s="868"/>
      <c r="HB941" s="473"/>
      <c r="HC941" s="869"/>
      <c r="HD941" s="870"/>
      <c r="HE941" s="867"/>
      <c r="HF941" s="868"/>
      <c r="HG941" s="473"/>
      <c r="HH941" s="867"/>
      <c r="HI941" s="868"/>
      <c r="HJ941" s="867"/>
      <c r="HK941" s="868"/>
      <c r="HL941" s="370"/>
      <c r="HM941" s="865"/>
      <c r="HN941" s="866"/>
      <c r="HO941" s="865"/>
      <c r="HP941" s="866"/>
      <c r="HQ941" s="865"/>
      <c r="HR941" s="866"/>
      <c r="HS941" s="867"/>
      <c r="HT941" s="868"/>
      <c r="HU941" s="489"/>
      <c r="HV941" s="865"/>
      <c r="HW941" s="866"/>
    </row>
    <row r="942" spans="25:231" ht="15" customHeight="1">
      <c r="Y942" s="332"/>
      <c r="Z942" s="332"/>
      <c r="AA942" s="332"/>
      <c r="AB942" s="332"/>
      <c r="AC942" s="332"/>
      <c r="AD942" s="332"/>
      <c r="AE942" s="332"/>
      <c r="AF942" s="332"/>
      <c r="AG942" s="332"/>
      <c r="AH942" s="332"/>
      <c r="AI942" s="332"/>
      <c r="AJ942" s="332"/>
      <c r="AK942" s="332"/>
      <c r="AL942" s="332"/>
      <c r="AM942" s="332"/>
      <c r="AN942" s="332"/>
      <c r="AO942" s="332"/>
      <c r="AP942" s="332"/>
      <c r="AQ942" s="332"/>
      <c r="AR942" s="332"/>
      <c r="AS942" s="332"/>
      <c r="AT942" s="332"/>
      <c r="AU942" s="332"/>
      <c r="AV942" s="332"/>
      <c r="AW942" s="332"/>
      <c r="AX942" s="332"/>
      <c r="AY942" s="332"/>
      <c r="AZ942" s="332"/>
      <c r="BA942" s="332"/>
      <c r="BB942" s="332"/>
      <c r="BC942" s="332"/>
      <c r="BD942" s="332"/>
      <c r="BE942" s="332"/>
      <c r="BF942" s="332"/>
      <c r="BG942" s="332"/>
      <c r="BH942" s="332"/>
      <c r="BI942" s="332"/>
      <c r="BJ942" s="332"/>
      <c r="BK942" s="332"/>
      <c r="BL942" s="332"/>
      <c r="BM942" s="332"/>
      <c r="BN942" s="332"/>
      <c r="BO942" s="332"/>
      <c r="BP942" s="332"/>
      <c r="BQ942" s="332"/>
      <c r="BR942" s="332"/>
      <c r="BS942" s="332"/>
      <c r="BT942" s="332"/>
      <c r="BU942" s="332"/>
      <c r="BV942" s="332"/>
      <c r="BW942" s="332"/>
      <c r="BX942" s="332"/>
      <c r="BY942" s="332"/>
      <c r="BZ942" s="332"/>
      <c r="CA942" s="332"/>
      <c r="CB942" s="332"/>
      <c r="CC942" s="332"/>
      <c r="CD942" s="332"/>
      <c r="CE942" s="332"/>
      <c r="CF942" s="332"/>
      <c r="CG942" s="332"/>
      <c r="CH942" s="332"/>
      <c r="CI942" s="332"/>
      <c r="CJ942" s="332"/>
      <c r="CK942" s="332"/>
      <c r="CL942" s="332"/>
      <c r="CM942" s="332"/>
      <c r="CN942" s="332"/>
      <c r="CO942" s="332"/>
      <c r="CP942" s="332"/>
      <c r="CQ942" s="332"/>
      <c r="CR942" s="332"/>
      <c r="CS942" s="332"/>
      <c r="CT942" s="332"/>
      <c r="CU942" s="332"/>
      <c r="CV942" s="332"/>
      <c r="CW942" s="332"/>
      <c r="CX942" s="332"/>
      <c r="CY942" s="332"/>
      <c r="CZ942" s="332"/>
      <c r="DA942" s="332"/>
      <c r="DB942" s="332"/>
      <c r="DC942" s="332"/>
      <c r="DD942" s="332"/>
      <c r="DE942" s="332"/>
      <c r="DF942" s="332"/>
      <c r="DG942" s="332"/>
      <c r="DH942" s="332"/>
      <c r="DI942" s="332"/>
      <c r="DJ942" s="332"/>
      <c r="DK942" s="332"/>
      <c r="DL942" s="332"/>
      <c r="DM942" s="332"/>
      <c r="DN942" s="332"/>
      <c r="DO942" s="332"/>
      <c r="DP942" s="332"/>
      <c r="DQ942" s="332"/>
      <c r="DR942" s="332"/>
      <c r="DS942" s="332"/>
      <c r="DT942" s="332"/>
      <c r="DU942" s="453"/>
      <c r="DV942" s="453"/>
      <c r="DW942" s="453"/>
      <c r="DX942" s="453"/>
      <c r="DY942" s="453"/>
      <c r="DZ942" s="453"/>
      <c r="EA942" s="453"/>
      <c r="EB942" s="453"/>
      <c r="EC942" s="453"/>
      <c r="ED942" s="453"/>
      <c r="EE942" s="453"/>
      <c r="EF942" s="453"/>
      <c r="EG942" s="453"/>
      <c r="EH942" s="453"/>
      <c r="EI942" s="453"/>
      <c r="EJ942" s="453"/>
      <c r="EK942" s="453"/>
      <c r="EL942" s="453"/>
      <c r="EM942" s="483">
        <f t="shared" si="240"/>
        <v>633</v>
      </c>
      <c r="EN942" s="485"/>
      <c r="EO942" s="458"/>
      <c r="EP942" s="467"/>
      <c r="EQ942" s="457"/>
      <c r="ER942" s="808"/>
      <c r="ES942" s="881">
        <f t="shared" si="241"/>
        <v>0</v>
      </c>
      <c r="ET942" s="882"/>
      <c r="EU942" s="883"/>
      <c r="EV942" s="884">
        <f t="shared" si="242"/>
        <v>0</v>
      </c>
      <c r="EW942" s="885"/>
      <c r="EX942" s="885"/>
      <c r="EY942" s="885"/>
      <c r="EZ942" s="885"/>
      <c r="FA942" s="885"/>
      <c r="FB942" s="885"/>
      <c r="FC942" s="885"/>
      <c r="FD942" s="886"/>
      <c r="FE942" s="550"/>
      <c r="FF942" s="550"/>
      <c r="FG942" s="550"/>
      <c r="FH942" s="550"/>
      <c r="FI942" s="550"/>
      <c r="FJ942" s="550"/>
      <c r="FK942" s="550"/>
      <c r="FL942" s="555"/>
      <c r="FM942" s="554"/>
      <c r="FN942" s="554"/>
      <c r="FO942" s="554"/>
      <c r="FP942" s="554"/>
      <c r="FQ942" s="554"/>
      <c r="FR942" s="554"/>
      <c r="FS942" s="554"/>
      <c r="FT942" s="554"/>
      <c r="FU942" s="554"/>
      <c r="FV942" s="554"/>
      <c r="FW942" s="554"/>
      <c r="FX942" s="554"/>
      <c r="FY942" s="554"/>
      <c r="FZ942" s="554"/>
      <c r="GA942" s="554"/>
      <c r="GB942" s="556"/>
      <c r="GC942" s="370"/>
      <c r="GD942" s="453"/>
      <c r="GE942" s="453"/>
      <c r="GF942" s="453"/>
      <c r="GG942" s="453"/>
      <c r="GH942" s="454"/>
      <c r="GI942" s="453"/>
      <c r="GJ942" s="453"/>
      <c r="GK942" s="453"/>
      <c r="GL942" s="453"/>
      <c r="GM942" s="453"/>
      <c r="GN942" s="453"/>
      <c r="GO942" s="453"/>
      <c r="GP942" s="453"/>
      <c r="GQ942" s="453"/>
      <c r="GR942" s="453"/>
      <c r="GS942" s="561"/>
      <c r="GT942" s="475"/>
      <c r="GU942" s="472"/>
      <c r="GV942" s="453"/>
      <c r="GW942" s="453"/>
      <c r="GX942" s="869"/>
      <c r="GY942" s="870"/>
      <c r="GZ942" s="867"/>
      <c r="HA942" s="868"/>
      <c r="HB942" s="473"/>
      <c r="HC942" s="869"/>
      <c r="HD942" s="870"/>
      <c r="HE942" s="867"/>
      <c r="HF942" s="868"/>
      <c r="HG942" s="473"/>
      <c r="HH942" s="867"/>
      <c r="HI942" s="868"/>
      <c r="HJ942" s="867"/>
      <c r="HK942" s="868"/>
      <c r="HL942" s="370"/>
      <c r="HM942" s="865"/>
      <c r="HN942" s="866"/>
      <c r="HO942" s="865"/>
      <c r="HP942" s="866"/>
      <c r="HQ942" s="865"/>
      <c r="HR942" s="866"/>
      <c r="HS942" s="867"/>
      <c r="HT942" s="868"/>
      <c r="HU942" s="489"/>
      <c r="HV942" s="865"/>
      <c r="HW942" s="866"/>
    </row>
    <row r="943" spans="25:231" ht="15" customHeight="1">
      <c r="Y943" s="332"/>
      <c r="Z943" s="332"/>
      <c r="AA943" s="332"/>
      <c r="AB943" s="332"/>
      <c r="AC943" s="332"/>
      <c r="AD943" s="332"/>
      <c r="AE943" s="332"/>
      <c r="AF943" s="332"/>
      <c r="AG943" s="332"/>
      <c r="AH943" s="332"/>
      <c r="AI943" s="332"/>
      <c r="AJ943" s="332"/>
      <c r="AK943" s="332"/>
      <c r="AL943" s="332"/>
      <c r="AM943" s="332"/>
      <c r="AN943" s="332"/>
      <c r="AO943" s="332"/>
      <c r="AP943" s="332"/>
      <c r="AQ943" s="332"/>
      <c r="AR943" s="332"/>
      <c r="AS943" s="332"/>
      <c r="AT943" s="332"/>
      <c r="AU943" s="332"/>
      <c r="AV943" s="332"/>
      <c r="AW943" s="332"/>
      <c r="AX943" s="332"/>
      <c r="AY943" s="332"/>
      <c r="AZ943" s="332"/>
      <c r="BA943" s="332"/>
      <c r="BB943" s="332"/>
      <c r="BC943" s="332"/>
      <c r="BD943" s="332"/>
      <c r="BE943" s="332"/>
      <c r="BF943" s="332"/>
      <c r="BG943" s="332"/>
      <c r="BH943" s="332"/>
      <c r="BI943" s="332"/>
      <c r="BJ943" s="332"/>
      <c r="BK943" s="332"/>
      <c r="BL943" s="332"/>
      <c r="BM943" s="332"/>
      <c r="BN943" s="332"/>
      <c r="BO943" s="332"/>
      <c r="BP943" s="332"/>
      <c r="BQ943" s="332"/>
      <c r="BR943" s="332"/>
      <c r="BS943" s="332"/>
      <c r="BT943" s="332"/>
      <c r="BU943" s="332"/>
      <c r="BV943" s="332"/>
      <c r="BW943" s="332"/>
      <c r="BX943" s="332"/>
      <c r="BY943" s="332"/>
      <c r="BZ943" s="332"/>
      <c r="CA943" s="332"/>
      <c r="CB943" s="332"/>
      <c r="CC943" s="332"/>
      <c r="CD943" s="332"/>
      <c r="CE943" s="332"/>
      <c r="CF943" s="332"/>
      <c r="CG943" s="332"/>
      <c r="CH943" s="332"/>
      <c r="CI943" s="332"/>
      <c r="CJ943" s="332"/>
      <c r="CK943" s="332"/>
      <c r="CL943" s="332"/>
      <c r="CM943" s="332"/>
      <c r="CN943" s="332"/>
      <c r="CO943" s="332"/>
      <c r="CP943" s="332"/>
      <c r="CQ943" s="332"/>
      <c r="CR943" s="332"/>
      <c r="CS943" s="332"/>
      <c r="CT943" s="332"/>
      <c r="CU943" s="332"/>
      <c r="CV943" s="332"/>
      <c r="CW943" s="332"/>
      <c r="CX943" s="332"/>
      <c r="CY943" s="332"/>
      <c r="CZ943" s="332"/>
      <c r="DA943" s="332"/>
      <c r="DB943" s="332"/>
      <c r="DC943" s="332"/>
      <c r="DD943" s="332"/>
      <c r="DE943" s="332"/>
      <c r="DF943" s="332"/>
      <c r="DG943" s="332"/>
      <c r="DH943" s="332"/>
      <c r="DI943" s="332"/>
      <c r="DJ943" s="332"/>
      <c r="DK943" s="332"/>
      <c r="DL943" s="332"/>
      <c r="DM943" s="332"/>
      <c r="DN943" s="332"/>
      <c r="DO943" s="332"/>
      <c r="DP943" s="332"/>
      <c r="DQ943" s="332"/>
      <c r="DR943" s="332"/>
      <c r="DS943" s="332"/>
      <c r="DT943" s="332"/>
      <c r="DU943" s="453"/>
      <c r="DV943" s="453"/>
      <c r="DW943" s="453"/>
      <c r="DX943" s="453"/>
      <c r="DY943" s="453"/>
      <c r="DZ943" s="453"/>
      <c r="EA943" s="453"/>
      <c r="EB943" s="453"/>
      <c r="EC943" s="453"/>
      <c r="ED943" s="453"/>
      <c r="EE943" s="453"/>
      <c r="EF943" s="453"/>
      <c r="EG943" s="453"/>
      <c r="EH943" s="453"/>
      <c r="EI943" s="453"/>
      <c r="EJ943" s="453"/>
      <c r="EK943" s="453"/>
      <c r="EL943" s="453"/>
      <c r="EM943" s="483">
        <f t="shared" si="240"/>
        <v>634</v>
      </c>
      <c r="EN943" s="485"/>
      <c r="EO943" s="458"/>
      <c r="EP943" s="467"/>
      <c r="EQ943" s="457"/>
      <c r="ER943" s="808"/>
      <c r="ES943" s="881">
        <f t="shared" si="241"/>
        <v>0</v>
      </c>
      <c r="ET943" s="882"/>
      <c r="EU943" s="883"/>
      <c r="EV943" s="884">
        <f t="shared" si="242"/>
        <v>0</v>
      </c>
      <c r="EW943" s="885"/>
      <c r="EX943" s="885"/>
      <c r="EY943" s="885"/>
      <c r="EZ943" s="885"/>
      <c r="FA943" s="885"/>
      <c r="FB943" s="885"/>
      <c r="FC943" s="885"/>
      <c r="FD943" s="886"/>
      <c r="FE943" s="550"/>
      <c r="FF943" s="550"/>
      <c r="FG943" s="550"/>
      <c r="FH943" s="550"/>
      <c r="FI943" s="550"/>
      <c r="FJ943" s="550"/>
      <c r="FK943" s="550"/>
      <c r="FL943" s="555"/>
      <c r="FM943" s="554"/>
      <c r="FN943" s="554"/>
      <c r="FO943" s="554"/>
      <c r="FP943" s="554"/>
      <c r="FQ943" s="554"/>
      <c r="FR943" s="554"/>
      <c r="FS943" s="554"/>
      <c r="FT943" s="554"/>
      <c r="FU943" s="554"/>
      <c r="FV943" s="554"/>
      <c r="FW943" s="554"/>
      <c r="FX943" s="554"/>
      <c r="FY943" s="554"/>
      <c r="FZ943" s="554"/>
      <c r="GA943" s="554"/>
      <c r="GB943" s="556"/>
      <c r="GC943" s="370"/>
      <c r="GD943" s="453"/>
      <c r="GE943" s="453"/>
      <c r="GF943" s="453"/>
      <c r="GG943" s="453"/>
      <c r="GH943" s="454"/>
      <c r="GI943" s="453"/>
      <c r="GJ943" s="453"/>
      <c r="GK943" s="453"/>
      <c r="GL943" s="453"/>
      <c r="GM943" s="453"/>
      <c r="GN943" s="453"/>
      <c r="GO943" s="453"/>
      <c r="GP943" s="453"/>
      <c r="GQ943" s="453"/>
      <c r="GR943" s="453"/>
      <c r="GS943" s="561"/>
      <c r="GT943" s="475"/>
      <c r="GU943" s="472"/>
      <c r="GV943" s="453"/>
      <c r="GW943" s="453"/>
      <c r="GX943" s="869"/>
      <c r="GY943" s="870"/>
      <c r="GZ943" s="867"/>
      <c r="HA943" s="868"/>
      <c r="HB943" s="473"/>
      <c r="HC943" s="869"/>
      <c r="HD943" s="870"/>
      <c r="HE943" s="867"/>
      <c r="HF943" s="868"/>
      <c r="HG943" s="473"/>
      <c r="HH943" s="867"/>
      <c r="HI943" s="868"/>
      <c r="HJ943" s="867"/>
      <c r="HK943" s="868"/>
      <c r="HL943" s="370"/>
      <c r="HM943" s="865"/>
      <c r="HN943" s="866"/>
      <c r="HO943" s="865"/>
      <c r="HP943" s="866"/>
      <c r="HQ943" s="865"/>
      <c r="HR943" s="866"/>
      <c r="HS943" s="867"/>
      <c r="HT943" s="868"/>
      <c r="HU943" s="489"/>
      <c r="HV943" s="865"/>
      <c r="HW943" s="866"/>
    </row>
    <row r="944" spans="25:231" ht="15" customHeight="1">
      <c r="Y944" s="332"/>
      <c r="Z944" s="332"/>
      <c r="AA944" s="332"/>
      <c r="AB944" s="332"/>
      <c r="AC944" s="332"/>
      <c r="AD944" s="332"/>
      <c r="AE944" s="332"/>
      <c r="AF944" s="332"/>
      <c r="AG944" s="332"/>
      <c r="AH944" s="332"/>
      <c r="AI944" s="332"/>
      <c r="AJ944" s="332"/>
      <c r="AK944" s="332"/>
      <c r="AL944" s="332"/>
      <c r="AM944" s="332"/>
      <c r="AN944" s="332"/>
      <c r="AO944" s="332"/>
      <c r="AP944" s="332"/>
      <c r="AQ944" s="332"/>
      <c r="AR944" s="332"/>
      <c r="AS944" s="332"/>
      <c r="AT944" s="332"/>
      <c r="AU944" s="332"/>
      <c r="AV944" s="332"/>
      <c r="AW944" s="332"/>
      <c r="AX944" s="332"/>
      <c r="AY944" s="332"/>
      <c r="AZ944" s="332"/>
      <c r="BA944" s="332"/>
      <c r="BB944" s="332"/>
      <c r="BC944" s="332"/>
      <c r="BD944" s="332"/>
      <c r="BE944" s="332"/>
      <c r="BF944" s="332"/>
      <c r="BG944" s="332"/>
      <c r="BH944" s="332"/>
      <c r="BI944" s="332"/>
      <c r="BJ944" s="332"/>
      <c r="BK944" s="332"/>
      <c r="BL944" s="332"/>
      <c r="BM944" s="332"/>
      <c r="BN944" s="332"/>
      <c r="BO944" s="332"/>
      <c r="BP944" s="332"/>
      <c r="BQ944" s="332"/>
      <c r="BR944" s="332"/>
      <c r="BS944" s="332"/>
      <c r="BT944" s="332"/>
      <c r="BU944" s="332"/>
      <c r="BV944" s="332"/>
      <c r="BW944" s="332"/>
      <c r="BX944" s="332"/>
      <c r="BY944" s="332"/>
      <c r="BZ944" s="332"/>
      <c r="CA944" s="332"/>
      <c r="CB944" s="332"/>
      <c r="CC944" s="332"/>
      <c r="CD944" s="332"/>
      <c r="CE944" s="332"/>
      <c r="CF944" s="332"/>
      <c r="CG944" s="332"/>
      <c r="CH944" s="332"/>
      <c r="CI944" s="332"/>
      <c r="CJ944" s="332"/>
      <c r="CK944" s="332"/>
      <c r="CL944" s="332"/>
      <c r="CM944" s="332"/>
      <c r="CN944" s="332"/>
      <c r="CO944" s="332"/>
      <c r="CP944" s="332"/>
      <c r="CQ944" s="332"/>
      <c r="CR944" s="332"/>
      <c r="CS944" s="332"/>
      <c r="CT944" s="332"/>
      <c r="CU944" s="332"/>
      <c r="CV944" s="332"/>
      <c r="CW944" s="332"/>
      <c r="CX944" s="332"/>
      <c r="CY944" s="332"/>
      <c r="CZ944" s="332"/>
      <c r="DA944" s="332"/>
      <c r="DB944" s="332"/>
      <c r="DC944" s="332"/>
      <c r="DD944" s="332"/>
      <c r="DE944" s="332"/>
      <c r="DF944" s="332"/>
      <c r="DG944" s="332"/>
      <c r="DH944" s="332"/>
      <c r="DI944" s="332"/>
      <c r="DJ944" s="332"/>
      <c r="DK944" s="332"/>
      <c r="DL944" s="332"/>
      <c r="DM944" s="332"/>
      <c r="DN944" s="332"/>
      <c r="DO944" s="332"/>
      <c r="DP944" s="332"/>
      <c r="DQ944" s="332"/>
      <c r="DR944" s="332"/>
      <c r="DS944" s="332"/>
      <c r="DT944" s="332"/>
      <c r="DU944" s="453"/>
      <c r="DV944" s="453"/>
      <c r="DW944" s="453"/>
      <c r="DX944" s="453"/>
      <c r="DY944" s="453"/>
      <c r="DZ944" s="453"/>
      <c r="EA944" s="453"/>
      <c r="EB944" s="453"/>
      <c r="EC944" s="453"/>
      <c r="ED944" s="453"/>
      <c r="EE944" s="453"/>
      <c r="EF944" s="453"/>
      <c r="EG944" s="453"/>
      <c r="EH944" s="453"/>
      <c r="EI944" s="453"/>
      <c r="EJ944" s="453"/>
      <c r="EK944" s="453"/>
      <c r="EL944" s="453"/>
      <c r="EM944" s="483">
        <f t="shared" si="240"/>
        <v>635</v>
      </c>
      <c r="EN944" s="485"/>
      <c r="EO944" s="458"/>
      <c r="EP944" s="467"/>
      <c r="EQ944" s="457"/>
      <c r="ER944" s="808"/>
      <c r="ES944" s="881">
        <f t="shared" si="241"/>
        <v>0</v>
      </c>
      <c r="ET944" s="882"/>
      <c r="EU944" s="883"/>
      <c r="EV944" s="884">
        <f t="shared" si="242"/>
        <v>0</v>
      </c>
      <c r="EW944" s="885"/>
      <c r="EX944" s="885"/>
      <c r="EY944" s="885"/>
      <c r="EZ944" s="885"/>
      <c r="FA944" s="885"/>
      <c r="FB944" s="885"/>
      <c r="FC944" s="885"/>
      <c r="FD944" s="886"/>
      <c r="FE944" s="550"/>
      <c r="FF944" s="550"/>
      <c r="FG944" s="550"/>
      <c r="FH944" s="550"/>
      <c r="FI944" s="550"/>
      <c r="FJ944" s="550"/>
      <c r="FK944" s="550"/>
      <c r="FL944" s="555"/>
      <c r="FM944" s="554"/>
      <c r="FN944" s="554"/>
      <c r="FO944" s="554"/>
      <c r="FP944" s="554"/>
      <c r="FQ944" s="554"/>
      <c r="FR944" s="554"/>
      <c r="FS944" s="554"/>
      <c r="FT944" s="554"/>
      <c r="FU944" s="554"/>
      <c r="FV944" s="554"/>
      <c r="FW944" s="554"/>
      <c r="FX944" s="554"/>
      <c r="FY944" s="554"/>
      <c r="FZ944" s="554"/>
      <c r="GA944" s="554"/>
      <c r="GB944" s="556"/>
      <c r="GC944" s="370"/>
      <c r="GD944" s="453"/>
      <c r="GE944" s="453"/>
      <c r="GF944" s="453"/>
      <c r="GG944" s="453"/>
      <c r="GH944" s="454"/>
      <c r="GI944" s="453"/>
      <c r="GJ944" s="453"/>
      <c r="GK944" s="453"/>
      <c r="GL944" s="453"/>
      <c r="GM944" s="453"/>
      <c r="GN944" s="453"/>
      <c r="GO944" s="453"/>
      <c r="GP944" s="453"/>
      <c r="GQ944" s="453"/>
      <c r="GR944" s="453"/>
      <c r="GS944" s="561"/>
      <c r="GT944" s="475"/>
      <c r="GU944" s="472"/>
      <c r="GV944" s="453"/>
      <c r="GW944" s="453"/>
      <c r="GX944" s="869"/>
      <c r="GY944" s="870"/>
      <c r="GZ944" s="867"/>
      <c r="HA944" s="868"/>
      <c r="HB944" s="473"/>
      <c r="HC944" s="869"/>
      <c r="HD944" s="870"/>
      <c r="HE944" s="867"/>
      <c r="HF944" s="868"/>
      <c r="HG944" s="473"/>
      <c r="HH944" s="867"/>
      <c r="HI944" s="868"/>
      <c r="HJ944" s="867"/>
      <c r="HK944" s="868"/>
      <c r="HL944" s="370"/>
      <c r="HM944" s="865"/>
      <c r="HN944" s="866"/>
      <c r="HO944" s="865"/>
      <c r="HP944" s="866"/>
      <c r="HQ944" s="865"/>
      <c r="HR944" s="866"/>
      <c r="HS944" s="867"/>
      <c r="HT944" s="868"/>
      <c r="HU944" s="489"/>
      <c r="HV944" s="865"/>
      <c r="HW944" s="866"/>
    </row>
    <row r="945" spans="25:231" ht="15" customHeight="1">
      <c r="Y945" s="332"/>
      <c r="Z945" s="332"/>
      <c r="AA945" s="332"/>
      <c r="AB945" s="332"/>
      <c r="AC945" s="332"/>
      <c r="AD945" s="332"/>
      <c r="AE945" s="332"/>
      <c r="AF945" s="332"/>
      <c r="AG945" s="332"/>
      <c r="AH945" s="332"/>
      <c r="AI945" s="332"/>
      <c r="AJ945" s="332"/>
      <c r="AK945" s="332"/>
      <c r="AL945" s="332"/>
      <c r="AM945" s="332"/>
      <c r="AN945" s="332"/>
      <c r="AO945" s="332"/>
      <c r="AP945" s="332"/>
      <c r="AQ945" s="332"/>
      <c r="AR945" s="332"/>
      <c r="AS945" s="332"/>
      <c r="AT945" s="332"/>
      <c r="AU945" s="332"/>
      <c r="AV945" s="332"/>
      <c r="AW945" s="332"/>
      <c r="AX945" s="332"/>
      <c r="AY945" s="332"/>
      <c r="AZ945" s="332"/>
      <c r="BA945" s="332"/>
      <c r="BB945" s="332"/>
      <c r="BC945" s="332"/>
      <c r="BD945" s="332"/>
      <c r="BE945" s="332"/>
      <c r="BF945" s="332"/>
      <c r="BG945" s="332"/>
      <c r="BH945" s="332"/>
      <c r="BI945" s="332"/>
      <c r="BJ945" s="332"/>
      <c r="BK945" s="332"/>
      <c r="BL945" s="332"/>
      <c r="BM945" s="332"/>
      <c r="BN945" s="332"/>
      <c r="BO945" s="332"/>
      <c r="BP945" s="332"/>
      <c r="BQ945" s="332"/>
      <c r="BR945" s="332"/>
      <c r="BS945" s="332"/>
      <c r="BT945" s="332"/>
      <c r="BU945" s="332"/>
      <c r="BV945" s="332"/>
      <c r="BW945" s="332"/>
      <c r="BX945" s="332"/>
      <c r="BY945" s="332"/>
      <c r="BZ945" s="332"/>
      <c r="CA945" s="332"/>
      <c r="CB945" s="332"/>
      <c r="CC945" s="332"/>
      <c r="CD945" s="332"/>
      <c r="CE945" s="332"/>
      <c r="CF945" s="332"/>
      <c r="CG945" s="332"/>
      <c r="CH945" s="332"/>
      <c r="CI945" s="332"/>
      <c r="CJ945" s="332"/>
      <c r="CK945" s="332"/>
      <c r="CL945" s="332"/>
      <c r="CM945" s="332"/>
      <c r="CN945" s="332"/>
      <c r="CO945" s="332"/>
      <c r="CP945" s="332"/>
      <c r="CQ945" s="332"/>
      <c r="CR945" s="332"/>
      <c r="CS945" s="332"/>
      <c r="CT945" s="332"/>
      <c r="CU945" s="332"/>
      <c r="CV945" s="332"/>
      <c r="CW945" s="332"/>
      <c r="CX945" s="332"/>
      <c r="CY945" s="332"/>
      <c r="CZ945" s="332"/>
      <c r="DA945" s="332"/>
      <c r="DB945" s="332"/>
      <c r="DC945" s="332"/>
      <c r="DD945" s="332"/>
      <c r="DE945" s="332"/>
      <c r="DF945" s="332"/>
      <c r="DG945" s="332"/>
      <c r="DH945" s="332"/>
      <c r="DI945" s="332"/>
      <c r="DJ945" s="332"/>
      <c r="DK945" s="332"/>
      <c r="DL945" s="332"/>
      <c r="DM945" s="332"/>
      <c r="DN945" s="332"/>
      <c r="DO945" s="332"/>
      <c r="DP945" s="332"/>
      <c r="DQ945" s="332"/>
      <c r="DR945" s="332"/>
      <c r="DS945" s="332"/>
      <c r="DT945" s="332"/>
      <c r="DU945" s="453"/>
      <c r="DV945" s="453"/>
      <c r="DW945" s="453"/>
      <c r="DX945" s="453"/>
      <c r="DY945" s="453"/>
      <c r="DZ945" s="453"/>
      <c r="EA945" s="453"/>
      <c r="EB945" s="453"/>
      <c r="EC945" s="453"/>
      <c r="ED945" s="453"/>
      <c r="EE945" s="453"/>
      <c r="EF945" s="453"/>
      <c r="EG945" s="453"/>
      <c r="EH945" s="453"/>
      <c r="EI945" s="453"/>
      <c r="EJ945" s="453"/>
      <c r="EK945" s="453"/>
      <c r="EL945" s="453"/>
      <c r="EM945" s="483">
        <f t="shared" si="240"/>
        <v>636</v>
      </c>
      <c r="EN945" s="485"/>
      <c r="EO945" s="458"/>
      <c r="EP945" s="467"/>
      <c r="EQ945" s="457"/>
      <c r="ER945" s="808"/>
      <c r="ES945" s="881">
        <f t="shared" si="241"/>
        <v>0</v>
      </c>
      <c r="ET945" s="882"/>
      <c r="EU945" s="883"/>
      <c r="EV945" s="884">
        <f t="shared" si="242"/>
        <v>0</v>
      </c>
      <c r="EW945" s="885"/>
      <c r="EX945" s="885"/>
      <c r="EY945" s="885"/>
      <c r="EZ945" s="885"/>
      <c r="FA945" s="885"/>
      <c r="FB945" s="885"/>
      <c r="FC945" s="885"/>
      <c r="FD945" s="886"/>
      <c r="FE945" s="550"/>
      <c r="FF945" s="550"/>
      <c r="FG945" s="550"/>
      <c r="FH945" s="550"/>
      <c r="FI945" s="550"/>
      <c r="FJ945" s="550"/>
      <c r="FK945" s="550"/>
      <c r="FL945" s="555"/>
      <c r="FM945" s="554"/>
      <c r="FN945" s="554"/>
      <c r="FO945" s="554"/>
      <c r="FP945" s="554"/>
      <c r="FQ945" s="554"/>
      <c r="FR945" s="554"/>
      <c r="FS945" s="554"/>
      <c r="FT945" s="554"/>
      <c r="FU945" s="554"/>
      <c r="FV945" s="554"/>
      <c r="FW945" s="554"/>
      <c r="FX945" s="554"/>
      <c r="FY945" s="554"/>
      <c r="FZ945" s="554"/>
      <c r="GA945" s="554"/>
      <c r="GB945" s="556"/>
      <c r="GC945" s="370"/>
      <c r="GD945" s="453"/>
      <c r="GE945" s="453"/>
      <c r="GF945" s="453"/>
      <c r="GG945" s="453"/>
      <c r="GH945" s="454"/>
      <c r="GI945" s="453"/>
      <c r="GJ945" s="453"/>
      <c r="GK945" s="453"/>
      <c r="GL945" s="453"/>
      <c r="GM945" s="453"/>
      <c r="GN945" s="453"/>
      <c r="GO945" s="453"/>
      <c r="GP945" s="453"/>
      <c r="GQ945" s="453"/>
      <c r="GR945" s="453"/>
      <c r="GS945" s="561"/>
      <c r="GT945" s="475"/>
      <c r="GU945" s="472"/>
      <c r="GV945" s="453"/>
      <c r="GW945" s="453"/>
      <c r="GX945" s="869"/>
      <c r="GY945" s="870"/>
      <c r="GZ945" s="867"/>
      <c r="HA945" s="868"/>
      <c r="HB945" s="473"/>
      <c r="HC945" s="869"/>
      <c r="HD945" s="870"/>
      <c r="HE945" s="867"/>
      <c r="HF945" s="868"/>
      <c r="HG945" s="473"/>
      <c r="HH945" s="867"/>
      <c r="HI945" s="868"/>
      <c r="HJ945" s="867"/>
      <c r="HK945" s="868"/>
      <c r="HL945" s="370"/>
      <c r="HM945" s="865"/>
      <c r="HN945" s="866"/>
      <c r="HO945" s="865"/>
      <c r="HP945" s="866"/>
      <c r="HQ945" s="865"/>
      <c r="HR945" s="866"/>
      <c r="HS945" s="867"/>
      <c r="HT945" s="868"/>
      <c r="HU945" s="489"/>
      <c r="HV945" s="865"/>
      <c r="HW945" s="866"/>
    </row>
    <row r="946" spans="25:231" ht="15" customHeight="1">
      <c r="Y946" s="332"/>
      <c r="Z946" s="332"/>
      <c r="AA946" s="332"/>
      <c r="AB946" s="332"/>
      <c r="AC946" s="332"/>
      <c r="AD946" s="332"/>
      <c r="AE946" s="332"/>
      <c r="AF946" s="332"/>
      <c r="AG946" s="332"/>
      <c r="AH946" s="332"/>
      <c r="AI946" s="332"/>
      <c r="AJ946" s="332"/>
      <c r="AK946" s="332"/>
      <c r="AL946" s="332"/>
      <c r="AM946" s="332"/>
      <c r="AN946" s="332"/>
      <c r="AO946" s="332"/>
      <c r="AP946" s="332"/>
      <c r="AQ946" s="332"/>
      <c r="AR946" s="332"/>
      <c r="AS946" s="332"/>
      <c r="AT946" s="332"/>
      <c r="AU946" s="332"/>
      <c r="AV946" s="332"/>
      <c r="AW946" s="332"/>
      <c r="AX946" s="332"/>
      <c r="AY946" s="332"/>
      <c r="AZ946" s="332"/>
      <c r="BA946" s="332"/>
      <c r="BB946" s="332"/>
      <c r="BC946" s="332"/>
      <c r="BD946" s="332"/>
      <c r="BE946" s="332"/>
      <c r="BF946" s="332"/>
      <c r="BG946" s="332"/>
      <c r="BH946" s="332"/>
      <c r="BI946" s="332"/>
      <c r="BJ946" s="332"/>
      <c r="BK946" s="332"/>
      <c r="BL946" s="332"/>
      <c r="BM946" s="332"/>
      <c r="BN946" s="332"/>
      <c r="BO946" s="332"/>
      <c r="BP946" s="332"/>
      <c r="BQ946" s="332"/>
      <c r="BR946" s="332"/>
      <c r="BS946" s="332"/>
      <c r="BT946" s="332"/>
      <c r="BU946" s="332"/>
      <c r="BV946" s="332"/>
      <c r="BW946" s="332"/>
      <c r="BX946" s="332"/>
      <c r="BY946" s="332"/>
      <c r="BZ946" s="332"/>
      <c r="CA946" s="332"/>
      <c r="CB946" s="332"/>
      <c r="CC946" s="332"/>
      <c r="CD946" s="332"/>
      <c r="CE946" s="332"/>
      <c r="CF946" s="332"/>
      <c r="CG946" s="332"/>
      <c r="CH946" s="332"/>
      <c r="CI946" s="332"/>
      <c r="CJ946" s="332"/>
      <c r="CK946" s="332"/>
      <c r="CL946" s="332"/>
      <c r="CM946" s="332"/>
      <c r="CN946" s="332"/>
      <c r="CO946" s="332"/>
      <c r="CP946" s="332"/>
      <c r="CQ946" s="332"/>
      <c r="CR946" s="332"/>
      <c r="CS946" s="332"/>
      <c r="CT946" s="332"/>
      <c r="CU946" s="332"/>
      <c r="CV946" s="332"/>
      <c r="CW946" s="332"/>
      <c r="CX946" s="332"/>
      <c r="CY946" s="332"/>
      <c r="CZ946" s="332"/>
      <c r="DA946" s="332"/>
      <c r="DB946" s="332"/>
      <c r="DC946" s="332"/>
      <c r="DD946" s="332"/>
      <c r="DE946" s="332"/>
      <c r="DF946" s="332"/>
      <c r="DG946" s="332"/>
      <c r="DH946" s="332"/>
      <c r="DI946" s="332"/>
      <c r="DJ946" s="332"/>
      <c r="DK946" s="332"/>
      <c r="DL946" s="332"/>
      <c r="DM946" s="332"/>
      <c r="DN946" s="332"/>
      <c r="DO946" s="332"/>
      <c r="DP946" s="332"/>
      <c r="DQ946" s="332"/>
      <c r="DR946" s="332"/>
      <c r="DS946" s="332"/>
      <c r="DT946" s="332"/>
      <c r="DU946" s="453"/>
      <c r="DV946" s="453"/>
      <c r="DW946" s="453"/>
      <c r="DX946" s="453"/>
      <c r="DY946" s="453"/>
      <c r="DZ946" s="453"/>
      <c r="EA946" s="453"/>
      <c r="EB946" s="453"/>
      <c r="EC946" s="453"/>
      <c r="ED946" s="453"/>
      <c r="EE946" s="453"/>
      <c r="EF946" s="453"/>
      <c r="EG946" s="453"/>
      <c r="EH946" s="453"/>
      <c r="EI946" s="453"/>
      <c r="EJ946" s="453"/>
      <c r="EK946" s="453"/>
      <c r="EL946" s="453"/>
      <c r="EM946" s="483">
        <f t="shared" si="240"/>
        <v>637</v>
      </c>
      <c r="EN946" s="485"/>
      <c r="EO946" s="458"/>
      <c r="EP946" s="467"/>
      <c r="EQ946" s="457"/>
      <c r="ER946" s="808"/>
      <c r="ES946" s="881">
        <f t="shared" si="241"/>
        <v>0</v>
      </c>
      <c r="ET946" s="882"/>
      <c r="EU946" s="883"/>
      <c r="EV946" s="884">
        <f t="shared" si="242"/>
        <v>0</v>
      </c>
      <c r="EW946" s="885"/>
      <c r="EX946" s="885"/>
      <c r="EY946" s="885"/>
      <c r="EZ946" s="885"/>
      <c r="FA946" s="885"/>
      <c r="FB946" s="885"/>
      <c r="FC946" s="885"/>
      <c r="FD946" s="886"/>
      <c r="FE946" s="550"/>
      <c r="FF946" s="550"/>
      <c r="FG946" s="550"/>
      <c r="FH946" s="550"/>
      <c r="FI946" s="550"/>
      <c r="FJ946" s="550"/>
      <c r="FK946" s="550"/>
      <c r="FL946" s="555"/>
      <c r="FM946" s="554"/>
      <c r="FN946" s="554"/>
      <c r="FO946" s="554"/>
      <c r="FP946" s="554"/>
      <c r="FQ946" s="554"/>
      <c r="FR946" s="554"/>
      <c r="FS946" s="554"/>
      <c r="FT946" s="554"/>
      <c r="FU946" s="554"/>
      <c r="FV946" s="554"/>
      <c r="FW946" s="554"/>
      <c r="FX946" s="554"/>
      <c r="FY946" s="554"/>
      <c r="FZ946" s="554"/>
      <c r="GA946" s="554"/>
      <c r="GB946" s="556"/>
      <c r="GC946" s="370"/>
      <c r="GD946" s="453"/>
      <c r="GE946" s="453"/>
      <c r="GF946" s="453"/>
      <c r="GG946" s="453"/>
      <c r="GH946" s="454"/>
      <c r="GI946" s="453"/>
      <c r="GJ946" s="453"/>
      <c r="GK946" s="453"/>
      <c r="GL946" s="453"/>
      <c r="GM946" s="453"/>
      <c r="GN946" s="453"/>
      <c r="GO946" s="453"/>
      <c r="GP946" s="453"/>
      <c r="GQ946" s="453"/>
      <c r="GR946" s="453"/>
      <c r="GS946" s="561"/>
      <c r="GT946" s="475"/>
      <c r="GU946" s="472"/>
      <c r="GV946" s="453"/>
      <c r="GW946" s="453"/>
      <c r="GX946" s="869"/>
      <c r="GY946" s="870"/>
      <c r="GZ946" s="867"/>
      <c r="HA946" s="868"/>
      <c r="HB946" s="473"/>
      <c r="HC946" s="869"/>
      <c r="HD946" s="870"/>
      <c r="HE946" s="867"/>
      <c r="HF946" s="868"/>
      <c r="HG946" s="473"/>
      <c r="HH946" s="867"/>
      <c r="HI946" s="868"/>
      <c r="HJ946" s="867"/>
      <c r="HK946" s="868"/>
      <c r="HL946" s="370"/>
      <c r="HM946" s="865"/>
      <c r="HN946" s="866"/>
      <c r="HO946" s="865"/>
      <c r="HP946" s="866"/>
      <c r="HQ946" s="865"/>
      <c r="HR946" s="866"/>
      <c r="HS946" s="867"/>
      <c r="HT946" s="868"/>
      <c r="HU946" s="489"/>
      <c r="HV946" s="865"/>
      <c r="HW946" s="866"/>
    </row>
    <row r="947" spans="25:231" ht="15" customHeight="1">
      <c r="Y947" s="332"/>
      <c r="Z947" s="332"/>
      <c r="AA947" s="332"/>
      <c r="AB947" s="332"/>
      <c r="AC947" s="332"/>
      <c r="AD947" s="332"/>
      <c r="AE947" s="332"/>
      <c r="AF947" s="332"/>
      <c r="AG947" s="332"/>
      <c r="AH947" s="332"/>
      <c r="AI947" s="332"/>
      <c r="AJ947" s="332"/>
      <c r="AK947" s="332"/>
      <c r="AL947" s="332"/>
      <c r="AM947" s="332"/>
      <c r="AN947" s="332"/>
      <c r="AO947" s="332"/>
      <c r="AP947" s="332"/>
      <c r="AQ947" s="332"/>
      <c r="AR947" s="332"/>
      <c r="AS947" s="332"/>
      <c r="AT947" s="332"/>
      <c r="AU947" s="332"/>
      <c r="AV947" s="332"/>
      <c r="AW947" s="332"/>
      <c r="AX947" s="332"/>
      <c r="AY947" s="332"/>
      <c r="AZ947" s="332"/>
      <c r="BA947" s="332"/>
      <c r="BB947" s="332"/>
      <c r="BC947" s="332"/>
      <c r="BD947" s="332"/>
      <c r="BE947" s="332"/>
      <c r="BF947" s="332"/>
      <c r="BG947" s="332"/>
      <c r="BH947" s="332"/>
      <c r="BI947" s="332"/>
      <c r="BJ947" s="332"/>
      <c r="BK947" s="332"/>
      <c r="BL947" s="332"/>
      <c r="BM947" s="332"/>
      <c r="BN947" s="332"/>
      <c r="BO947" s="332"/>
      <c r="BP947" s="332"/>
      <c r="BQ947" s="332"/>
      <c r="BR947" s="332"/>
      <c r="BS947" s="332"/>
      <c r="BT947" s="332"/>
      <c r="BU947" s="332"/>
      <c r="BV947" s="332"/>
      <c r="BW947" s="332"/>
      <c r="BX947" s="332"/>
      <c r="BY947" s="332"/>
      <c r="BZ947" s="332"/>
      <c r="CA947" s="332"/>
      <c r="CB947" s="332"/>
      <c r="CC947" s="332"/>
      <c r="CD947" s="332"/>
      <c r="CE947" s="332"/>
      <c r="CF947" s="332"/>
      <c r="CG947" s="332"/>
      <c r="CH947" s="332"/>
      <c r="CI947" s="332"/>
      <c r="CJ947" s="332"/>
      <c r="CK947" s="332"/>
      <c r="CL947" s="332"/>
      <c r="CM947" s="332"/>
      <c r="CN947" s="332"/>
      <c r="CO947" s="332"/>
      <c r="CP947" s="332"/>
      <c r="CQ947" s="332"/>
      <c r="CR947" s="332"/>
      <c r="CS947" s="332"/>
      <c r="CT947" s="332"/>
      <c r="CU947" s="332"/>
      <c r="CV947" s="332"/>
      <c r="CW947" s="332"/>
      <c r="CX947" s="332"/>
      <c r="CY947" s="332"/>
      <c r="CZ947" s="332"/>
      <c r="DA947" s="332"/>
      <c r="DB947" s="332"/>
      <c r="DC947" s="332"/>
      <c r="DD947" s="332"/>
      <c r="DE947" s="332"/>
      <c r="DF947" s="332"/>
      <c r="DG947" s="332"/>
      <c r="DH947" s="332"/>
      <c r="DI947" s="332"/>
      <c r="DJ947" s="332"/>
      <c r="DK947" s="332"/>
      <c r="DL947" s="332"/>
      <c r="DM947" s="332"/>
      <c r="DN947" s="332"/>
      <c r="DO947" s="332"/>
      <c r="DP947" s="332"/>
      <c r="DQ947" s="332"/>
      <c r="DR947" s="332"/>
      <c r="DS947" s="332"/>
      <c r="DT947" s="332"/>
      <c r="DU947" s="453"/>
      <c r="DV947" s="453"/>
      <c r="DW947" s="453"/>
      <c r="DX947" s="453"/>
      <c r="DY947" s="453"/>
      <c r="DZ947" s="453"/>
      <c r="EA947" s="453"/>
      <c r="EB947" s="453"/>
      <c r="EC947" s="453"/>
      <c r="ED947" s="453"/>
      <c r="EE947" s="453"/>
      <c r="EF947" s="453"/>
      <c r="EG947" s="453"/>
      <c r="EH947" s="453"/>
      <c r="EI947" s="453"/>
      <c r="EJ947" s="453"/>
      <c r="EK947" s="453"/>
      <c r="EL947" s="453"/>
      <c r="EM947" s="483">
        <f t="shared" si="240"/>
        <v>638</v>
      </c>
      <c r="EN947" s="485"/>
      <c r="EO947" s="458"/>
      <c r="EP947" s="467"/>
      <c r="EQ947" s="457"/>
      <c r="ER947" s="808"/>
      <c r="ES947" s="881">
        <f t="shared" si="241"/>
        <v>0</v>
      </c>
      <c r="ET947" s="882"/>
      <c r="EU947" s="883"/>
      <c r="EV947" s="884">
        <f t="shared" si="242"/>
        <v>0</v>
      </c>
      <c r="EW947" s="885"/>
      <c r="EX947" s="885"/>
      <c r="EY947" s="885"/>
      <c r="EZ947" s="885"/>
      <c r="FA947" s="885"/>
      <c r="FB947" s="885"/>
      <c r="FC947" s="885"/>
      <c r="FD947" s="886"/>
      <c r="FE947" s="550"/>
      <c r="FF947" s="550"/>
      <c r="FG947" s="550"/>
      <c r="FH947" s="550"/>
      <c r="FI947" s="550"/>
      <c r="FJ947" s="550"/>
      <c r="FK947" s="550"/>
      <c r="FL947" s="555"/>
      <c r="FM947" s="554"/>
      <c r="FN947" s="554"/>
      <c r="FO947" s="554"/>
      <c r="FP947" s="554"/>
      <c r="FQ947" s="554"/>
      <c r="FR947" s="554"/>
      <c r="FS947" s="554"/>
      <c r="FT947" s="554"/>
      <c r="FU947" s="554"/>
      <c r="FV947" s="554"/>
      <c r="FW947" s="554"/>
      <c r="FX947" s="554"/>
      <c r="FY947" s="554"/>
      <c r="FZ947" s="554"/>
      <c r="GA947" s="554"/>
      <c r="GB947" s="556"/>
      <c r="GC947" s="370"/>
      <c r="GD947" s="453"/>
      <c r="GE947" s="453"/>
      <c r="GF947" s="453"/>
      <c r="GG947" s="453"/>
      <c r="GH947" s="454"/>
      <c r="GI947" s="453"/>
      <c r="GJ947" s="453"/>
      <c r="GK947" s="453"/>
      <c r="GL947" s="453"/>
      <c r="GM947" s="453"/>
      <c r="GN947" s="453"/>
      <c r="GO947" s="453"/>
      <c r="GP947" s="453"/>
      <c r="GQ947" s="453"/>
      <c r="GR947" s="453"/>
      <c r="GS947" s="561"/>
      <c r="GT947" s="475"/>
      <c r="GU947" s="472"/>
      <c r="GV947" s="453"/>
      <c r="GW947" s="453"/>
      <c r="GX947" s="869"/>
      <c r="GY947" s="870"/>
      <c r="GZ947" s="867"/>
      <c r="HA947" s="868"/>
      <c r="HB947" s="473"/>
      <c r="HC947" s="869"/>
      <c r="HD947" s="870"/>
      <c r="HE947" s="867"/>
      <c r="HF947" s="868"/>
      <c r="HG947" s="473"/>
      <c r="HH947" s="867"/>
      <c r="HI947" s="868"/>
      <c r="HJ947" s="867"/>
      <c r="HK947" s="868"/>
      <c r="HL947" s="370"/>
      <c r="HM947" s="865"/>
      <c r="HN947" s="866"/>
      <c r="HO947" s="865"/>
      <c r="HP947" s="866"/>
      <c r="HQ947" s="865"/>
      <c r="HR947" s="866"/>
      <c r="HS947" s="867"/>
      <c r="HT947" s="868"/>
      <c r="HU947" s="489"/>
      <c r="HV947" s="865"/>
      <c r="HW947" s="866"/>
    </row>
    <row r="948" spans="25:231" ht="15" customHeight="1">
      <c r="Y948" s="332"/>
      <c r="Z948" s="332"/>
      <c r="AA948" s="332"/>
      <c r="AB948" s="332"/>
      <c r="AC948" s="332"/>
      <c r="AD948" s="332"/>
      <c r="AE948" s="332"/>
      <c r="AF948" s="332"/>
      <c r="AG948" s="332"/>
      <c r="AH948" s="332"/>
      <c r="AI948" s="332"/>
      <c r="AJ948" s="332"/>
      <c r="AK948" s="332"/>
      <c r="AL948" s="332"/>
      <c r="AM948" s="332"/>
      <c r="AN948" s="332"/>
      <c r="AO948" s="332"/>
      <c r="AP948" s="332"/>
      <c r="AQ948" s="332"/>
      <c r="AR948" s="332"/>
      <c r="AS948" s="332"/>
      <c r="AT948" s="332"/>
      <c r="AU948" s="332"/>
      <c r="AV948" s="332"/>
      <c r="AW948" s="332"/>
      <c r="AX948" s="332"/>
      <c r="AY948" s="332"/>
      <c r="AZ948" s="332"/>
      <c r="BA948" s="332"/>
      <c r="BB948" s="332"/>
      <c r="BC948" s="332"/>
      <c r="BD948" s="332"/>
      <c r="BE948" s="332"/>
      <c r="BF948" s="332"/>
      <c r="BG948" s="332"/>
      <c r="BH948" s="332"/>
      <c r="BI948" s="332"/>
      <c r="BJ948" s="332"/>
      <c r="BK948" s="332"/>
      <c r="BL948" s="332"/>
      <c r="BM948" s="332"/>
      <c r="BN948" s="332"/>
      <c r="BO948" s="332"/>
      <c r="BP948" s="332"/>
      <c r="BQ948" s="332"/>
      <c r="BR948" s="332"/>
      <c r="BS948" s="332"/>
      <c r="BT948" s="332"/>
      <c r="BU948" s="332"/>
      <c r="BV948" s="332"/>
      <c r="BW948" s="332"/>
      <c r="BX948" s="332"/>
      <c r="BY948" s="332"/>
      <c r="BZ948" s="332"/>
      <c r="CA948" s="332"/>
      <c r="CB948" s="332"/>
      <c r="CC948" s="332"/>
      <c r="CD948" s="332"/>
      <c r="CE948" s="332"/>
      <c r="CF948" s="332"/>
      <c r="CG948" s="332"/>
      <c r="CH948" s="332"/>
      <c r="CI948" s="332"/>
      <c r="CJ948" s="332"/>
      <c r="CK948" s="332"/>
      <c r="CL948" s="332"/>
      <c r="CM948" s="332"/>
      <c r="CN948" s="332"/>
      <c r="CO948" s="332"/>
      <c r="CP948" s="332"/>
      <c r="CQ948" s="332"/>
      <c r="CR948" s="332"/>
      <c r="CS948" s="332"/>
      <c r="CT948" s="332"/>
      <c r="CU948" s="332"/>
      <c r="CV948" s="332"/>
      <c r="CW948" s="332"/>
      <c r="CX948" s="332"/>
      <c r="CY948" s="332"/>
      <c r="CZ948" s="332"/>
      <c r="DA948" s="332"/>
      <c r="DB948" s="332"/>
      <c r="DC948" s="332"/>
      <c r="DD948" s="332"/>
      <c r="DE948" s="332"/>
      <c r="DF948" s="332"/>
      <c r="DG948" s="332"/>
      <c r="DH948" s="332"/>
      <c r="DI948" s="332"/>
      <c r="DJ948" s="332"/>
      <c r="DK948" s="332"/>
      <c r="DL948" s="332"/>
      <c r="DM948" s="332"/>
      <c r="DN948" s="332"/>
      <c r="DO948" s="332"/>
      <c r="DP948" s="332"/>
      <c r="DQ948" s="332"/>
      <c r="DR948" s="332"/>
      <c r="DS948" s="332"/>
      <c r="DT948" s="332"/>
      <c r="DU948" s="453"/>
      <c r="DV948" s="453"/>
      <c r="DW948" s="453"/>
      <c r="DX948" s="453"/>
      <c r="DY948" s="453"/>
      <c r="DZ948" s="453"/>
      <c r="EA948" s="453"/>
      <c r="EB948" s="453"/>
      <c r="EC948" s="453"/>
      <c r="ED948" s="453"/>
      <c r="EE948" s="453"/>
      <c r="EF948" s="453"/>
      <c r="EG948" s="453"/>
      <c r="EH948" s="453"/>
      <c r="EI948" s="453"/>
      <c r="EJ948" s="453"/>
      <c r="EK948" s="453"/>
      <c r="EL948" s="453"/>
      <c r="EM948" s="483">
        <f t="shared" si="240"/>
        <v>639</v>
      </c>
      <c r="EN948" s="485"/>
      <c r="EO948" s="458"/>
      <c r="EP948" s="467"/>
      <c r="EQ948" s="457"/>
      <c r="ER948" s="808"/>
      <c r="ES948" s="881">
        <f t="shared" si="241"/>
        <v>0</v>
      </c>
      <c r="ET948" s="882"/>
      <c r="EU948" s="883"/>
      <c r="EV948" s="884">
        <f t="shared" si="242"/>
        <v>0</v>
      </c>
      <c r="EW948" s="885"/>
      <c r="EX948" s="885"/>
      <c r="EY948" s="885"/>
      <c r="EZ948" s="885"/>
      <c r="FA948" s="885"/>
      <c r="FB948" s="885"/>
      <c r="FC948" s="885"/>
      <c r="FD948" s="886"/>
      <c r="FE948" s="550"/>
      <c r="FF948" s="550"/>
      <c r="FG948" s="550"/>
      <c r="FH948" s="550"/>
      <c r="FI948" s="550"/>
      <c r="FJ948" s="550"/>
      <c r="FK948" s="550"/>
      <c r="FL948" s="555"/>
      <c r="FM948" s="554"/>
      <c r="FN948" s="554"/>
      <c r="FO948" s="554"/>
      <c r="FP948" s="554"/>
      <c r="FQ948" s="554"/>
      <c r="FR948" s="554"/>
      <c r="FS948" s="554"/>
      <c r="FT948" s="554"/>
      <c r="FU948" s="554"/>
      <c r="FV948" s="554"/>
      <c r="FW948" s="554"/>
      <c r="FX948" s="554"/>
      <c r="FY948" s="554"/>
      <c r="FZ948" s="554"/>
      <c r="GA948" s="554"/>
      <c r="GB948" s="556"/>
      <c r="GC948" s="370"/>
      <c r="GD948" s="453"/>
      <c r="GE948" s="453"/>
      <c r="GF948" s="453"/>
      <c r="GG948" s="453"/>
      <c r="GH948" s="454"/>
      <c r="GI948" s="453"/>
      <c r="GJ948" s="453"/>
      <c r="GK948" s="453"/>
      <c r="GL948" s="453"/>
      <c r="GM948" s="453"/>
      <c r="GN948" s="453"/>
      <c r="GO948" s="453"/>
      <c r="GP948" s="453"/>
      <c r="GQ948" s="453"/>
      <c r="GR948" s="453"/>
      <c r="GS948" s="561"/>
      <c r="GT948" s="475"/>
      <c r="GU948" s="472"/>
      <c r="GV948" s="453"/>
      <c r="GW948" s="453"/>
      <c r="GX948" s="869"/>
      <c r="GY948" s="870"/>
      <c r="GZ948" s="867"/>
      <c r="HA948" s="868"/>
      <c r="HB948" s="473"/>
      <c r="HC948" s="869"/>
      <c r="HD948" s="870"/>
      <c r="HE948" s="867"/>
      <c r="HF948" s="868"/>
      <c r="HG948" s="473"/>
      <c r="HH948" s="867"/>
      <c r="HI948" s="868"/>
      <c r="HJ948" s="867"/>
      <c r="HK948" s="868"/>
      <c r="HL948" s="370"/>
      <c r="HM948" s="865"/>
      <c r="HN948" s="866"/>
      <c r="HO948" s="865"/>
      <c r="HP948" s="866"/>
      <c r="HQ948" s="865"/>
      <c r="HR948" s="866"/>
      <c r="HS948" s="867"/>
      <c r="HT948" s="868"/>
      <c r="HU948" s="489"/>
      <c r="HV948" s="865"/>
      <c r="HW948" s="866"/>
    </row>
    <row r="949" spans="25:231" ht="15" customHeight="1">
      <c r="Y949" s="332"/>
      <c r="Z949" s="332"/>
      <c r="AA949" s="332"/>
      <c r="AB949" s="332"/>
      <c r="AC949" s="332"/>
      <c r="AD949" s="332"/>
      <c r="AE949" s="332"/>
      <c r="AF949" s="332"/>
      <c r="AG949" s="332"/>
      <c r="AH949" s="332"/>
      <c r="AI949" s="332"/>
      <c r="AJ949" s="332"/>
      <c r="AK949" s="332"/>
      <c r="AL949" s="332"/>
      <c r="AM949" s="332"/>
      <c r="AN949" s="332"/>
      <c r="AO949" s="332"/>
      <c r="AP949" s="332"/>
      <c r="AQ949" s="332"/>
      <c r="AR949" s="332"/>
      <c r="AS949" s="332"/>
      <c r="AT949" s="332"/>
      <c r="AU949" s="332"/>
      <c r="AV949" s="332"/>
      <c r="AW949" s="332"/>
      <c r="AX949" s="332"/>
      <c r="AY949" s="332"/>
      <c r="AZ949" s="332"/>
      <c r="BA949" s="332"/>
      <c r="BB949" s="332"/>
      <c r="BC949" s="332"/>
      <c r="BD949" s="332"/>
      <c r="BE949" s="332"/>
      <c r="BF949" s="332"/>
      <c r="BG949" s="332"/>
      <c r="BH949" s="332"/>
      <c r="BI949" s="332"/>
      <c r="BJ949" s="332"/>
      <c r="BK949" s="332"/>
      <c r="BL949" s="332"/>
      <c r="BM949" s="332"/>
      <c r="BN949" s="332"/>
      <c r="BO949" s="332"/>
      <c r="BP949" s="332"/>
      <c r="BQ949" s="332"/>
      <c r="BR949" s="332"/>
      <c r="BS949" s="332"/>
      <c r="BT949" s="332"/>
      <c r="BU949" s="332"/>
      <c r="BV949" s="332"/>
      <c r="BW949" s="332"/>
      <c r="BX949" s="332"/>
      <c r="BY949" s="332"/>
      <c r="BZ949" s="332"/>
      <c r="CA949" s="332"/>
      <c r="CB949" s="332"/>
      <c r="CC949" s="332"/>
      <c r="CD949" s="332"/>
      <c r="CE949" s="332"/>
      <c r="CF949" s="332"/>
      <c r="CG949" s="332"/>
      <c r="CH949" s="332"/>
      <c r="CI949" s="332"/>
      <c r="CJ949" s="332"/>
      <c r="CK949" s="332"/>
      <c r="CL949" s="332"/>
      <c r="CM949" s="332"/>
      <c r="CN949" s="332"/>
      <c r="CO949" s="332"/>
      <c r="CP949" s="332"/>
      <c r="CQ949" s="332"/>
      <c r="CR949" s="332"/>
      <c r="CS949" s="332"/>
      <c r="CT949" s="332"/>
      <c r="CU949" s="332"/>
      <c r="CV949" s="332"/>
      <c r="CW949" s="332"/>
      <c r="CX949" s="332"/>
      <c r="CY949" s="332"/>
      <c r="CZ949" s="332"/>
      <c r="DA949" s="332"/>
      <c r="DB949" s="332"/>
      <c r="DC949" s="332"/>
      <c r="DD949" s="332"/>
      <c r="DE949" s="332"/>
      <c r="DF949" s="332"/>
      <c r="DG949" s="332"/>
      <c r="DH949" s="332"/>
      <c r="DI949" s="332"/>
      <c r="DJ949" s="332"/>
      <c r="DK949" s="332"/>
      <c r="DL949" s="332"/>
      <c r="DM949" s="332"/>
      <c r="DN949" s="332"/>
      <c r="DO949" s="332"/>
      <c r="DP949" s="332"/>
      <c r="DQ949" s="332"/>
      <c r="DR949" s="332"/>
      <c r="DS949" s="332"/>
      <c r="DT949" s="332"/>
      <c r="DU949" s="453"/>
      <c r="DV949" s="453"/>
      <c r="DW949" s="453"/>
      <c r="DX949" s="453"/>
      <c r="DY949" s="453"/>
      <c r="DZ949" s="453"/>
      <c r="EA949" s="453"/>
      <c r="EB949" s="453"/>
      <c r="EC949" s="453"/>
      <c r="ED949" s="453"/>
      <c r="EE949" s="453"/>
      <c r="EF949" s="453"/>
      <c r="EG949" s="453"/>
      <c r="EH949" s="453"/>
      <c r="EI949" s="453"/>
      <c r="EJ949" s="453"/>
      <c r="EK949" s="453"/>
      <c r="EL949" s="453"/>
      <c r="EM949" s="483">
        <f t="shared" si="240"/>
        <v>640</v>
      </c>
      <c r="EN949" s="485"/>
      <c r="EO949" s="458"/>
      <c r="EP949" s="467"/>
      <c r="EQ949" s="457"/>
      <c r="ER949" s="808"/>
      <c r="ES949" s="881">
        <f t="shared" si="241"/>
        <v>0</v>
      </c>
      <c r="ET949" s="882"/>
      <c r="EU949" s="883"/>
      <c r="EV949" s="884">
        <f t="shared" si="242"/>
        <v>0</v>
      </c>
      <c r="EW949" s="885"/>
      <c r="EX949" s="885"/>
      <c r="EY949" s="885"/>
      <c r="EZ949" s="885"/>
      <c r="FA949" s="885"/>
      <c r="FB949" s="885"/>
      <c r="FC949" s="885"/>
      <c r="FD949" s="886"/>
      <c r="FE949" s="550"/>
      <c r="FF949" s="550"/>
      <c r="FG949" s="550"/>
      <c r="FH949" s="550"/>
      <c r="FI949" s="550"/>
      <c r="FJ949" s="550"/>
      <c r="FK949" s="550"/>
      <c r="FL949" s="555"/>
      <c r="FM949" s="554"/>
      <c r="FN949" s="554"/>
      <c r="FO949" s="554"/>
      <c r="FP949" s="554"/>
      <c r="FQ949" s="554"/>
      <c r="FR949" s="554"/>
      <c r="FS949" s="554"/>
      <c r="FT949" s="554"/>
      <c r="FU949" s="554"/>
      <c r="FV949" s="554"/>
      <c r="FW949" s="554"/>
      <c r="FX949" s="554"/>
      <c r="FY949" s="554"/>
      <c r="FZ949" s="554"/>
      <c r="GA949" s="554"/>
      <c r="GB949" s="556"/>
      <c r="GC949" s="370"/>
      <c r="GD949" s="453"/>
      <c r="GE949" s="453"/>
      <c r="GF949" s="453"/>
      <c r="GG949" s="453"/>
      <c r="GH949" s="454"/>
      <c r="GI949" s="453"/>
      <c r="GJ949" s="453"/>
      <c r="GK949" s="453"/>
      <c r="GL949" s="453"/>
      <c r="GM949" s="453"/>
      <c r="GN949" s="453"/>
      <c r="GO949" s="453"/>
      <c r="GP949" s="453"/>
      <c r="GQ949" s="453"/>
      <c r="GR949" s="453"/>
      <c r="GS949" s="561"/>
      <c r="GT949" s="475"/>
      <c r="GU949" s="472"/>
      <c r="GV949" s="453"/>
      <c r="GW949" s="453"/>
      <c r="GX949" s="869"/>
      <c r="GY949" s="870"/>
      <c r="GZ949" s="867"/>
      <c r="HA949" s="868"/>
      <c r="HB949" s="473"/>
      <c r="HC949" s="869"/>
      <c r="HD949" s="870"/>
      <c r="HE949" s="867"/>
      <c r="HF949" s="868"/>
      <c r="HG949" s="473"/>
      <c r="HH949" s="867"/>
      <c r="HI949" s="868"/>
      <c r="HJ949" s="867"/>
      <c r="HK949" s="868"/>
      <c r="HL949" s="370"/>
      <c r="HM949" s="865"/>
      <c r="HN949" s="866"/>
      <c r="HO949" s="865"/>
      <c r="HP949" s="866"/>
      <c r="HQ949" s="865"/>
      <c r="HR949" s="866"/>
      <c r="HS949" s="867"/>
      <c r="HT949" s="868"/>
      <c r="HU949" s="489"/>
      <c r="HV949" s="865"/>
      <c r="HW949" s="866"/>
    </row>
    <row r="950" spans="25:231" ht="15" customHeight="1">
      <c r="Y950" s="332"/>
      <c r="Z950" s="332"/>
      <c r="AA950" s="332"/>
      <c r="AB950" s="332"/>
      <c r="AC950" s="332"/>
      <c r="AD950" s="332"/>
      <c r="AE950" s="332"/>
      <c r="AF950" s="332"/>
      <c r="AG950" s="332"/>
      <c r="AH950" s="332"/>
      <c r="AI950" s="332"/>
      <c r="AJ950" s="332"/>
      <c r="AK950" s="332"/>
      <c r="AL950" s="332"/>
      <c r="AM950" s="332"/>
      <c r="AN950" s="332"/>
      <c r="AO950" s="332"/>
      <c r="AP950" s="332"/>
      <c r="AQ950" s="332"/>
      <c r="AR950" s="332"/>
      <c r="AS950" s="332"/>
      <c r="AT950" s="332"/>
      <c r="AU950" s="332"/>
      <c r="AV950" s="332"/>
      <c r="AW950" s="332"/>
      <c r="AX950" s="332"/>
      <c r="AY950" s="332"/>
      <c r="AZ950" s="332"/>
      <c r="BA950" s="332"/>
      <c r="BB950" s="332"/>
      <c r="BC950" s="332"/>
      <c r="BD950" s="332"/>
      <c r="BE950" s="332"/>
      <c r="BF950" s="332"/>
      <c r="BG950" s="332"/>
      <c r="BH950" s="332"/>
      <c r="BI950" s="332"/>
      <c r="BJ950" s="332"/>
      <c r="BK950" s="332"/>
      <c r="BL950" s="332"/>
      <c r="BM950" s="332"/>
      <c r="BN950" s="332"/>
      <c r="BO950" s="332"/>
      <c r="BP950" s="332"/>
      <c r="BQ950" s="332"/>
      <c r="BR950" s="332"/>
      <c r="BS950" s="332"/>
      <c r="BT950" s="332"/>
      <c r="BU950" s="332"/>
      <c r="BV950" s="332"/>
      <c r="BW950" s="332"/>
      <c r="BX950" s="332"/>
      <c r="BY950" s="332"/>
      <c r="BZ950" s="332"/>
      <c r="CA950" s="332"/>
      <c r="CB950" s="332"/>
      <c r="CC950" s="332"/>
      <c r="CD950" s="332"/>
      <c r="CE950" s="332"/>
      <c r="CF950" s="332"/>
      <c r="CG950" s="332"/>
      <c r="CH950" s="332"/>
      <c r="CI950" s="332"/>
      <c r="CJ950" s="332"/>
      <c r="CK950" s="332"/>
      <c r="CL950" s="332"/>
      <c r="CM950" s="332"/>
      <c r="CN950" s="332"/>
      <c r="CO950" s="332"/>
      <c r="CP950" s="332"/>
      <c r="CQ950" s="332"/>
      <c r="CR950" s="332"/>
      <c r="CS950" s="332"/>
      <c r="CT950" s="332"/>
      <c r="CU950" s="332"/>
      <c r="CV950" s="332"/>
      <c r="CW950" s="332"/>
      <c r="CX950" s="332"/>
      <c r="CY950" s="332"/>
      <c r="CZ950" s="332"/>
      <c r="DA950" s="332"/>
      <c r="DB950" s="332"/>
      <c r="DC950" s="332"/>
      <c r="DD950" s="332"/>
      <c r="DE950" s="332"/>
      <c r="DF950" s="332"/>
      <c r="DG950" s="332"/>
      <c r="DH950" s="332"/>
      <c r="DI950" s="332"/>
      <c r="DJ950" s="332"/>
      <c r="DK950" s="332"/>
      <c r="DL950" s="332"/>
      <c r="DM950" s="332"/>
      <c r="DN950" s="332"/>
      <c r="DO950" s="332"/>
      <c r="DP950" s="332"/>
      <c r="DQ950" s="332"/>
      <c r="DR950" s="332"/>
      <c r="DS950" s="332"/>
      <c r="DT950" s="332"/>
      <c r="DU950" s="453"/>
      <c r="DV950" s="453"/>
      <c r="DW950" s="453"/>
      <c r="DX950" s="453"/>
      <c r="DY950" s="453"/>
      <c r="DZ950" s="453"/>
      <c r="EA950" s="453"/>
      <c r="EB950" s="453"/>
      <c r="EC950" s="453"/>
      <c r="ED950" s="453"/>
      <c r="EE950" s="453"/>
      <c r="EF950" s="453"/>
      <c r="EG950" s="453"/>
      <c r="EH950" s="453"/>
      <c r="EI950" s="453"/>
      <c r="EJ950" s="453"/>
      <c r="EK950" s="453"/>
      <c r="EL950" s="453"/>
      <c r="EM950" s="483">
        <f t="shared" si="240"/>
        <v>641</v>
      </c>
      <c r="EN950" s="485"/>
      <c r="EO950" s="458"/>
      <c r="EP950" s="467"/>
      <c r="EQ950" s="457"/>
      <c r="ER950" s="808"/>
      <c r="ES950" s="881">
        <f t="shared" si="241"/>
        <v>0</v>
      </c>
      <c r="ET950" s="882"/>
      <c r="EU950" s="883"/>
      <c r="EV950" s="884">
        <f t="shared" si="242"/>
        <v>0</v>
      </c>
      <c r="EW950" s="885"/>
      <c r="EX950" s="885"/>
      <c r="EY950" s="885"/>
      <c r="EZ950" s="885"/>
      <c r="FA950" s="885"/>
      <c r="FB950" s="885"/>
      <c r="FC950" s="885"/>
      <c r="FD950" s="886"/>
      <c r="FE950" s="550"/>
      <c r="FF950" s="550"/>
      <c r="FG950" s="550"/>
      <c r="FH950" s="550"/>
      <c r="FI950" s="550"/>
      <c r="FJ950" s="550"/>
      <c r="FK950" s="550"/>
      <c r="FL950" s="555"/>
      <c r="FM950" s="554"/>
      <c r="FN950" s="554"/>
      <c r="FO950" s="554"/>
      <c r="FP950" s="554"/>
      <c r="FQ950" s="554"/>
      <c r="FR950" s="554"/>
      <c r="FS950" s="554"/>
      <c r="FT950" s="554"/>
      <c r="FU950" s="554"/>
      <c r="FV950" s="554"/>
      <c r="FW950" s="554"/>
      <c r="FX950" s="554"/>
      <c r="FY950" s="554"/>
      <c r="FZ950" s="554"/>
      <c r="GA950" s="554"/>
      <c r="GB950" s="556"/>
      <c r="GC950" s="370"/>
      <c r="GD950" s="453"/>
      <c r="GE950" s="453"/>
      <c r="GF950" s="453"/>
      <c r="GG950" s="453"/>
      <c r="GH950" s="454"/>
      <c r="GI950" s="453"/>
      <c r="GJ950" s="453"/>
      <c r="GK950" s="453"/>
      <c r="GL950" s="453"/>
      <c r="GM950" s="453"/>
      <c r="GN950" s="453"/>
      <c r="GO950" s="453"/>
      <c r="GP950" s="453"/>
      <c r="GQ950" s="453"/>
      <c r="GR950" s="453"/>
      <c r="GS950" s="561"/>
      <c r="GT950" s="475"/>
      <c r="GU950" s="472"/>
      <c r="GV950" s="453"/>
      <c r="GW950" s="453"/>
      <c r="GX950" s="869"/>
      <c r="GY950" s="870"/>
      <c r="GZ950" s="867"/>
      <c r="HA950" s="868"/>
      <c r="HB950" s="473"/>
      <c r="HC950" s="869"/>
      <c r="HD950" s="870"/>
      <c r="HE950" s="867"/>
      <c r="HF950" s="868"/>
      <c r="HG950" s="473"/>
      <c r="HH950" s="867"/>
      <c r="HI950" s="868"/>
      <c r="HJ950" s="867"/>
      <c r="HK950" s="868"/>
      <c r="HL950" s="370"/>
      <c r="HM950" s="865"/>
      <c r="HN950" s="866"/>
      <c r="HO950" s="865"/>
      <c r="HP950" s="866"/>
      <c r="HQ950" s="865"/>
      <c r="HR950" s="866"/>
      <c r="HS950" s="867"/>
      <c r="HT950" s="868"/>
      <c r="HU950" s="489"/>
      <c r="HV950" s="865"/>
      <c r="HW950" s="866"/>
    </row>
    <row r="951" spans="25:231" ht="15" customHeight="1">
      <c r="Y951" s="332"/>
      <c r="Z951" s="332"/>
      <c r="AA951" s="332"/>
      <c r="AB951" s="332"/>
      <c r="AC951" s="332"/>
      <c r="AD951" s="332"/>
      <c r="AE951" s="332"/>
      <c r="AF951" s="332"/>
      <c r="AG951" s="332"/>
      <c r="AH951" s="332"/>
      <c r="AI951" s="332"/>
      <c r="AJ951" s="332"/>
      <c r="AK951" s="332"/>
      <c r="AL951" s="332"/>
      <c r="AM951" s="332"/>
      <c r="AN951" s="332"/>
      <c r="AO951" s="332"/>
      <c r="AP951" s="332"/>
      <c r="AQ951" s="332"/>
      <c r="AR951" s="332"/>
      <c r="AS951" s="332"/>
      <c r="AT951" s="332"/>
      <c r="AU951" s="332"/>
      <c r="AV951" s="332"/>
      <c r="AW951" s="332"/>
      <c r="AX951" s="332"/>
      <c r="AY951" s="332"/>
      <c r="AZ951" s="332"/>
      <c r="BA951" s="332"/>
      <c r="BB951" s="332"/>
      <c r="BC951" s="332"/>
      <c r="BD951" s="332"/>
      <c r="BE951" s="332"/>
      <c r="BF951" s="332"/>
      <c r="BG951" s="332"/>
      <c r="BH951" s="332"/>
      <c r="BI951" s="332"/>
      <c r="BJ951" s="332"/>
      <c r="BK951" s="332"/>
      <c r="BL951" s="332"/>
      <c r="BM951" s="332"/>
      <c r="BN951" s="332"/>
      <c r="BO951" s="332"/>
      <c r="BP951" s="332"/>
      <c r="BQ951" s="332"/>
      <c r="BR951" s="332"/>
      <c r="BS951" s="332"/>
      <c r="BT951" s="332"/>
      <c r="BU951" s="332"/>
      <c r="BV951" s="332"/>
      <c r="BW951" s="332"/>
      <c r="BX951" s="332"/>
      <c r="BY951" s="332"/>
      <c r="BZ951" s="332"/>
      <c r="CA951" s="332"/>
      <c r="CB951" s="332"/>
      <c r="CC951" s="332"/>
      <c r="CD951" s="332"/>
      <c r="CE951" s="332"/>
      <c r="CF951" s="332"/>
      <c r="CG951" s="332"/>
      <c r="CH951" s="332"/>
      <c r="CI951" s="332"/>
      <c r="CJ951" s="332"/>
      <c r="CK951" s="332"/>
      <c r="CL951" s="332"/>
      <c r="CM951" s="332"/>
      <c r="CN951" s="332"/>
      <c r="CO951" s="332"/>
      <c r="CP951" s="332"/>
      <c r="CQ951" s="332"/>
      <c r="CR951" s="332"/>
      <c r="CS951" s="332"/>
      <c r="CT951" s="332"/>
      <c r="CU951" s="332"/>
      <c r="CV951" s="332"/>
      <c r="CW951" s="332"/>
      <c r="CX951" s="332"/>
      <c r="CY951" s="332"/>
      <c r="CZ951" s="332"/>
      <c r="DA951" s="332"/>
      <c r="DB951" s="332"/>
      <c r="DC951" s="332"/>
      <c r="DD951" s="332"/>
      <c r="DE951" s="332"/>
      <c r="DF951" s="332"/>
      <c r="DG951" s="332"/>
      <c r="DH951" s="332"/>
      <c r="DI951" s="332"/>
      <c r="DJ951" s="332"/>
      <c r="DK951" s="332"/>
      <c r="DL951" s="332"/>
      <c r="DM951" s="332"/>
      <c r="DN951" s="332"/>
      <c r="DO951" s="332"/>
      <c r="DP951" s="332"/>
      <c r="DQ951" s="332"/>
      <c r="DR951" s="332"/>
      <c r="DS951" s="332"/>
      <c r="DT951" s="332"/>
      <c r="DU951" s="453"/>
      <c r="DV951" s="453"/>
      <c r="DW951" s="453"/>
      <c r="DX951" s="453"/>
      <c r="DY951" s="453"/>
      <c r="DZ951" s="453"/>
      <c r="EA951" s="453"/>
      <c r="EB951" s="453"/>
      <c r="EC951" s="453"/>
      <c r="ED951" s="453"/>
      <c r="EE951" s="453"/>
      <c r="EF951" s="453"/>
      <c r="EG951" s="453"/>
      <c r="EH951" s="453"/>
      <c r="EI951" s="453"/>
      <c r="EJ951" s="453"/>
      <c r="EK951" s="453"/>
      <c r="EL951" s="453"/>
      <c r="EM951" s="483">
        <f t="shared" si="240"/>
        <v>642</v>
      </c>
      <c r="EN951" s="485"/>
      <c r="EO951" s="458"/>
      <c r="EP951" s="467"/>
      <c r="EQ951" s="457"/>
      <c r="ER951" s="808"/>
      <c r="ES951" s="881">
        <f t="shared" si="241"/>
        <v>0</v>
      </c>
      <c r="ET951" s="882"/>
      <c r="EU951" s="883"/>
      <c r="EV951" s="884">
        <f t="shared" si="242"/>
        <v>0</v>
      </c>
      <c r="EW951" s="885"/>
      <c r="EX951" s="885"/>
      <c r="EY951" s="885"/>
      <c r="EZ951" s="885"/>
      <c r="FA951" s="885"/>
      <c r="FB951" s="885"/>
      <c r="FC951" s="885"/>
      <c r="FD951" s="886"/>
      <c r="FE951" s="550"/>
      <c r="FF951" s="550"/>
      <c r="FG951" s="550"/>
      <c r="FH951" s="550"/>
      <c r="FI951" s="550"/>
      <c r="FJ951" s="550"/>
      <c r="FK951" s="550"/>
      <c r="FL951" s="555"/>
      <c r="FM951" s="554"/>
      <c r="FN951" s="554"/>
      <c r="FO951" s="554"/>
      <c r="FP951" s="554"/>
      <c r="FQ951" s="554"/>
      <c r="FR951" s="554"/>
      <c r="FS951" s="554"/>
      <c r="FT951" s="554"/>
      <c r="FU951" s="554"/>
      <c r="FV951" s="554"/>
      <c r="FW951" s="554"/>
      <c r="FX951" s="554"/>
      <c r="FY951" s="554"/>
      <c r="FZ951" s="554"/>
      <c r="GA951" s="554"/>
      <c r="GB951" s="556"/>
      <c r="GC951" s="370"/>
      <c r="GD951" s="453"/>
      <c r="GE951" s="453"/>
      <c r="GF951" s="453"/>
      <c r="GG951" s="453"/>
      <c r="GH951" s="454"/>
      <c r="GI951" s="453"/>
      <c r="GJ951" s="453"/>
      <c r="GK951" s="453"/>
      <c r="GL951" s="453"/>
      <c r="GM951" s="453"/>
      <c r="GN951" s="453"/>
      <c r="GO951" s="453"/>
      <c r="GP951" s="453"/>
      <c r="GQ951" s="453"/>
      <c r="GR951" s="453"/>
      <c r="GS951" s="561"/>
      <c r="GT951" s="475"/>
      <c r="GU951" s="472"/>
      <c r="GV951" s="453"/>
      <c r="GW951" s="453"/>
      <c r="GX951" s="869"/>
      <c r="GY951" s="870"/>
      <c r="GZ951" s="867"/>
      <c r="HA951" s="868"/>
      <c r="HB951" s="473"/>
      <c r="HC951" s="869"/>
      <c r="HD951" s="870"/>
      <c r="HE951" s="867"/>
      <c r="HF951" s="868"/>
      <c r="HG951" s="473"/>
      <c r="HH951" s="867"/>
      <c r="HI951" s="868"/>
      <c r="HJ951" s="867"/>
      <c r="HK951" s="868"/>
      <c r="HL951" s="370"/>
      <c r="HM951" s="865"/>
      <c r="HN951" s="866"/>
      <c r="HO951" s="865"/>
      <c r="HP951" s="866"/>
      <c r="HQ951" s="865"/>
      <c r="HR951" s="866"/>
      <c r="HS951" s="867"/>
      <c r="HT951" s="868"/>
      <c r="HU951" s="489"/>
      <c r="HV951" s="865"/>
      <c r="HW951" s="866"/>
    </row>
    <row r="952" spans="25:231" ht="15" customHeight="1">
      <c r="Y952" s="332"/>
      <c r="Z952" s="332"/>
      <c r="AA952" s="332"/>
      <c r="AB952" s="332"/>
      <c r="AC952" s="332"/>
      <c r="AD952" s="332"/>
      <c r="AE952" s="332"/>
      <c r="AF952" s="332"/>
      <c r="AG952" s="332"/>
      <c r="AH952" s="332"/>
      <c r="AI952" s="332"/>
      <c r="AJ952" s="332"/>
      <c r="AK952" s="332"/>
      <c r="AL952" s="332"/>
      <c r="AM952" s="332"/>
      <c r="AN952" s="332"/>
      <c r="AO952" s="332"/>
      <c r="AP952" s="332"/>
      <c r="AQ952" s="332"/>
      <c r="AR952" s="332"/>
      <c r="AS952" s="332"/>
      <c r="AT952" s="332"/>
      <c r="AU952" s="332"/>
      <c r="AV952" s="332"/>
      <c r="AW952" s="332"/>
      <c r="AX952" s="332"/>
      <c r="AY952" s="332"/>
      <c r="AZ952" s="332"/>
      <c r="BA952" s="332"/>
      <c r="BB952" s="332"/>
      <c r="BC952" s="332"/>
      <c r="BD952" s="332"/>
      <c r="BE952" s="332"/>
      <c r="BF952" s="332"/>
      <c r="BG952" s="332"/>
      <c r="BH952" s="332"/>
      <c r="BI952" s="332"/>
      <c r="BJ952" s="332"/>
      <c r="BK952" s="332"/>
      <c r="BL952" s="332"/>
      <c r="BM952" s="332"/>
      <c r="BN952" s="332"/>
      <c r="BO952" s="332"/>
      <c r="BP952" s="332"/>
      <c r="BQ952" s="332"/>
      <c r="BR952" s="332"/>
      <c r="BS952" s="332"/>
      <c r="BT952" s="332"/>
      <c r="BU952" s="332"/>
      <c r="BV952" s="332"/>
      <c r="BW952" s="332"/>
      <c r="BX952" s="332"/>
      <c r="BY952" s="332"/>
      <c r="BZ952" s="332"/>
      <c r="CA952" s="332"/>
      <c r="CB952" s="332"/>
      <c r="CC952" s="332"/>
      <c r="CD952" s="332"/>
      <c r="CE952" s="332"/>
      <c r="CF952" s="332"/>
      <c r="CG952" s="332"/>
      <c r="CH952" s="332"/>
      <c r="CI952" s="332"/>
      <c r="CJ952" s="332"/>
      <c r="CK952" s="332"/>
      <c r="CL952" s="332"/>
      <c r="CM952" s="332"/>
      <c r="CN952" s="332"/>
      <c r="CO952" s="332"/>
      <c r="CP952" s="332"/>
      <c r="CQ952" s="332"/>
      <c r="CR952" s="332"/>
      <c r="CS952" s="332"/>
      <c r="CT952" s="332"/>
      <c r="CU952" s="332"/>
      <c r="CV952" s="332"/>
      <c r="CW952" s="332"/>
      <c r="CX952" s="332"/>
      <c r="CY952" s="332"/>
      <c r="CZ952" s="332"/>
      <c r="DA952" s="332"/>
      <c r="DB952" s="332"/>
      <c r="DC952" s="332"/>
      <c r="DD952" s="332"/>
      <c r="DE952" s="332"/>
      <c r="DF952" s="332"/>
      <c r="DG952" s="332"/>
      <c r="DH952" s="332"/>
      <c r="DI952" s="332"/>
      <c r="DJ952" s="332"/>
      <c r="DK952" s="332"/>
      <c r="DL952" s="332"/>
      <c r="DM952" s="332"/>
      <c r="DN952" s="332"/>
      <c r="DO952" s="332"/>
      <c r="DP952" s="332"/>
      <c r="DQ952" s="332"/>
      <c r="DR952" s="332"/>
      <c r="DS952" s="332"/>
      <c r="DT952" s="332"/>
      <c r="DU952" s="453"/>
      <c r="DV952" s="453"/>
      <c r="DW952" s="453"/>
      <c r="DX952" s="453"/>
      <c r="DY952" s="453"/>
      <c r="DZ952" s="453"/>
      <c r="EA952" s="453"/>
      <c r="EB952" s="453"/>
      <c r="EC952" s="453"/>
      <c r="ED952" s="453"/>
      <c r="EE952" s="453"/>
      <c r="EF952" s="453"/>
      <c r="EG952" s="453"/>
      <c r="EH952" s="453"/>
      <c r="EI952" s="453"/>
      <c r="EJ952" s="453"/>
      <c r="EK952" s="453"/>
      <c r="EL952" s="453"/>
      <c r="EM952" s="483">
        <f t="shared" ref="EM952:EM1015" si="243">+EM951+1</f>
        <v>643</v>
      </c>
      <c r="EN952" s="485"/>
      <c r="EO952" s="458"/>
      <c r="EP952" s="467"/>
      <c r="EQ952" s="457"/>
      <c r="ER952" s="808"/>
      <c r="ES952" s="881">
        <f t="shared" si="241"/>
        <v>0</v>
      </c>
      <c r="ET952" s="882"/>
      <c r="EU952" s="883"/>
      <c r="EV952" s="884">
        <f t="shared" si="242"/>
        <v>0</v>
      </c>
      <c r="EW952" s="885"/>
      <c r="EX952" s="885"/>
      <c r="EY952" s="885"/>
      <c r="EZ952" s="885"/>
      <c r="FA952" s="885"/>
      <c r="FB952" s="885"/>
      <c r="FC952" s="885"/>
      <c r="FD952" s="886"/>
      <c r="FE952" s="550"/>
      <c r="FF952" s="550"/>
      <c r="FG952" s="550"/>
      <c r="FH952" s="550"/>
      <c r="FI952" s="550"/>
      <c r="FJ952" s="550"/>
      <c r="FK952" s="550"/>
      <c r="FL952" s="555"/>
      <c r="FM952" s="554"/>
      <c r="FN952" s="554"/>
      <c r="FO952" s="554"/>
      <c r="FP952" s="554"/>
      <c r="FQ952" s="554"/>
      <c r="FR952" s="554"/>
      <c r="FS952" s="554"/>
      <c r="FT952" s="554"/>
      <c r="FU952" s="554"/>
      <c r="FV952" s="554"/>
      <c r="FW952" s="554"/>
      <c r="FX952" s="554"/>
      <c r="FY952" s="554"/>
      <c r="FZ952" s="554"/>
      <c r="GA952" s="554"/>
      <c r="GB952" s="556"/>
      <c r="GC952" s="370"/>
      <c r="GD952" s="453"/>
      <c r="GE952" s="453"/>
      <c r="GF952" s="453"/>
      <c r="GG952" s="453"/>
      <c r="GH952" s="454"/>
      <c r="GI952" s="453"/>
      <c r="GJ952" s="453"/>
      <c r="GK952" s="453"/>
      <c r="GL952" s="453"/>
      <c r="GM952" s="453"/>
      <c r="GN952" s="453"/>
      <c r="GO952" s="453"/>
      <c r="GP952" s="453"/>
      <c r="GQ952" s="453"/>
      <c r="GR952" s="453"/>
      <c r="GS952" s="561"/>
      <c r="GT952" s="475"/>
      <c r="GU952" s="472"/>
      <c r="GV952" s="453"/>
      <c r="GW952" s="453"/>
      <c r="GX952" s="869"/>
      <c r="GY952" s="870"/>
      <c r="GZ952" s="867"/>
      <c r="HA952" s="868"/>
      <c r="HB952" s="473"/>
      <c r="HC952" s="869"/>
      <c r="HD952" s="870"/>
      <c r="HE952" s="867"/>
      <c r="HF952" s="868"/>
      <c r="HG952" s="473"/>
      <c r="HH952" s="867"/>
      <c r="HI952" s="868"/>
      <c r="HJ952" s="867"/>
      <c r="HK952" s="868"/>
      <c r="HL952" s="370"/>
      <c r="HM952" s="865"/>
      <c r="HN952" s="866"/>
      <c r="HO952" s="865"/>
      <c r="HP952" s="866"/>
      <c r="HQ952" s="865"/>
      <c r="HR952" s="866"/>
      <c r="HS952" s="867"/>
      <c r="HT952" s="868"/>
      <c r="HU952" s="489"/>
      <c r="HV952" s="865"/>
      <c r="HW952" s="866"/>
    </row>
    <row r="953" spans="25:231" ht="15" customHeight="1">
      <c r="Y953" s="332"/>
      <c r="Z953" s="332"/>
      <c r="AA953" s="332"/>
      <c r="AB953" s="332"/>
      <c r="AC953" s="332"/>
      <c r="AD953" s="332"/>
      <c r="AE953" s="332"/>
      <c r="AF953" s="332"/>
      <c r="AG953" s="332"/>
      <c r="AH953" s="332"/>
      <c r="AI953" s="332"/>
      <c r="AJ953" s="332"/>
      <c r="AK953" s="332"/>
      <c r="AL953" s="332"/>
      <c r="AM953" s="332"/>
      <c r="AN953" s="332"/>
      <c r="AO953" s="332"/>
      <c r="AP953" s="332"/>
      <c r="AQ953" s="332"/>
      <c r="AR953" s="332"/>
      <c r="AS953" s="332"/>
      <c r="AT953" s="332"/>
      <c r="AU953" s="332"/>
      <c r="AV953" s="332"/>
      <c r="AW953" s="332"/>
      <c r="AX953" s="332"/>
      <c r="AY953" s="332"/>
      <c r="AZ953" s="332"/>
      <c r="BA953" s="332"/>
      <c r="BB953" s="332"/>
      <c r="BC953" s="332"/>
      <c r="BD953" s="332"/>
      <c r="BE953" s="332"/>
      <c r="BF953" s="332"/>
      <c r="BG953" s="332"/>
      <c r="BH953" s="332"/>
      <c r="BI953" s="332"/>
      <c r="BJ953" s="332"/>
      <c r="BK953" s="332"/>
      <c r="BL953" s="332"/>
      <c r="BM953" s="332"/>
      <c r="BN953" s="332"/>
      <c r="BO953" s="332"/>
      <c r="BP953" s="332"/>
      <c r="BQ953" s="332"/>
      <c r="BR953" s="332"/>
      <c r="BS953" s="332"/>
      <c r="BT953" s="332"/>
      <c r="BU953" s="332"/>
      <c r="BV953" s="332"/>
      <c r="BW953" s="332"/>
      <c r="BX953" s="332"/>
      <c r="BY953" s="332"/>
      <c r="BZ953" s="332"/>
      <c r="CA953" s="332"/>
      <c r="CB953" s="332"/>
      <c r="CC953" s="332"/>
      <c r="CD953" s="332"/>
      <c r="CE953" s="332"/>
      <c r="CF953" s="332"/>
      <c r="CG953" s="332"/>
      <c r="CH953" s="332"/>
      <c r="CI953" s="332"/>
      <c r="CJ953" s="332"/>
      <c r="CK953" s="332"/>
      <c r="CL953" s="332"/>
      <c r="CM953" s="332"/>
      <c r="CN953" s="332"/>
      <c r="CO953" s="332"/>
      <c r="CP953" s="332"/>
      <c r="CQ953" s="332"/>
      <c r="CR953" s="332"/>
      <c r="CS953" s="332"/>
      <c r="CT953" s="332"/>
      <c r="CU953" s="332"/>
      <c r="CV953" s="332"/>
      <c r="CW953" s="332"/>
      <c r="CX953" s="332"/>
      <c r="CY953" s="332"/>
      <c r="CZ953" s="332"/>
      <c r="DA953" s="332"/>
      <c r="DB953" s="332"/>
      <c r="DC953" s="332"/>
      <c r="DD953" s="332"/>
      <c r="DE953" s="332"/>
      <c r="DF953" s="332"/>
      <c r="DG953" s="332"/>
      <c r="DH953" s="332"/>
      <c r="DI953" s="332"/>
      <c r="DJ953" s="332"/>
      <c r="DK953" s="332"/>
      <c r="DL953" s="332"/>
      <c r="DM953" s="332"/>
      <c r="DN953" s="332"/>
      <c r="DO953" s="332"/>
      <c r="DP953" s="332"/>
      <c r="DQ953" s="332"/>
      <c r="DR953" s="332"/>
      <c r="DS953" s="332"/>
      <c r="DT953" s="332"/>
      <c r="DU953" s="453"/>
      <c r="DV953" s="453"/>
      <c r="DW953" s="453"/>
      <c r="DX953" s="453"/>
      <c r="DY953" s="453"/>
      <c r="DZ953" s="453"/>
      <c r="EA953" s="453"/>
      <c r="EB953" s="453"/>
      <c r="EC953" s="453"/>
      <c r="ED953" s="453"/>
      <c r="EE953" s="453"/>
      <c r="EF953" s="453"/>
      <c r="EG953" s="453"/>
      <c r="EH953" s="453"/>
      <c r="EI953" s="453"/>
      <c r="EJ953" s="453"/>
      <c r="EK953" s="453"/>
      <c r="EL953" s="453"/>
      <c r="EM953" s="483">
        <f t="shared" si="243"/>
        <v>644</v>
      </c>
      <c r="EN953" s="485"/>
      <c r="EO953" s="458"/>
      <c r="EP953" s="467"/>
      <c r="EQ953" s="457"/>
      <c r="ER953" s="808"/>
      <c r="ES953" s="881">
        <f t="shared" si="241"/>
        <v>0</v>
      </c>
      <c r="ET953" s="882"/>
      <c r="EU953" s="883"/>
      <c r="EV953" s="884">
        <f t="shared" si="242"/>
        <v>0</v>
      </c>
      <c r="EW953" s="885"/>
      <c r="EX953" s="885"/>
      <c r="EY953" s="885"/>
      <c r="EZ953" s="885"/>
      <c r="FA953" s="885"/>
      <c r="FB953" s="885"/>
      <c r="FC953" s="885"/>
      <c r="FD953" s="886"/>
      <c r="FE953" s="550"/>
      <c r="FF953" s="550"/>
      <c r="FG953" s="550"/>
      <c r="FH953" s="550"/>
      <c r="FI953" s="550"/>
      <c r="FJ953" s="550"/>
      <c r="FK953" s="550"/>
      <c r="FL953" s="555"/>
      <c r="FM953" s="554"/>
      <c r="FN953" s="554"/>
      <c r="FO953" s="554"/>
      <c r="FP953" s="554"/>
      <c r="FQ953" s="554"/>
      <c r="FR953" s="554"/>
      <c r="FS953" s="554"/>
      <c r="FT953" s="554"/>
      <c r="FU953" s="554"/>
      <c r="FV953" s="554"/>
      <c r="FW953" s="554"/>
      <c r="FX953" s="554"/>
      <c r="FY953" s="554"/>
      <c r="FZ953" s="554"/>
      <c r="GA953" s="554"/>
      <c r="GB953" s="556"/>
      <c r="GC953" s="370"/>
      <c r="GD953" s="453"/>
      <c r="GE953" s="453"/>
      <c r="GF953" s="453"/>
      <c r="GG953" s="453"/>
      <c r="GH953" s="454"/>
      <c r="GI953" s="453"/>
      <c r="GJ953" s="453"/>
      <c r="GK953" s="453"/>
      <c r="GL953" s="453"/>
      <c r="GM953" s="453"/>
      <c r="GN953" s="453"/>
      <c r="GO953" s="453"/>
      <c r="GP953" s="453"/>
      <c r="GQ953" s="453"/>
      <c r="GR953" s="453"/>
      <c r="GS953" s="561"/>
      <c r="GT953" s="475"/>
      <c r="GU953" s="472"/>
      <c r="GV953" s="453"/>
      <c r="GW953" s="453"/>
      <c r="GX953" s="869"/>
      <c r="GY953" s="870"/>
      <c r="GZ953" s="867"/>
      <c r="HA953" s="868"/>
      <c r="HB953" s="473"/>
      <c r="HC953" s="869"/>
      <c r="HD953" s="870"/>
      <c r="HE953" s="867"/>
      <c r="HF953" s="868"/>
      <c r="HG953" s="473"/>
      <c r="HH953" s="867"/>
      <c r="HI953" s="868"/>
      <c r="HJ953" s="867"/>
      <c r="HK953" s="868"/>
      <c r="HL953" s="370"/>
      <c r="HM953" s="865"/>
      <c r="HN953" s="866"/>
      <c r="HO953" s="865"/>
      <c r="HP953" s="866"/>
      <c r="HQ953" s="865"/>
      <c r="HR953" s="866"/>
      <c r="HS953" s="867"/>
      <c r="HT953" s="868"/>
      <c r="HU953" s="489"/>
      <c r="HV953" s="865"/>
      <c r="HW953" s="866"/>
    </row>
    <row r="954" spans="25:231" ht="15" customHeight="1">
      <c r="Y954" s="332"/>
      <c r="Z954" s="332"/>
      <c r="AA954" s="332"/>
      <c r="AB954" s="332"/>
      <c r="AC954" s="332"/>
      <c r="AD954" s="332"/>
      <c r="AE954" s="332"/>
      <c r="AF954" s="332"/>
      <c r="AG954" s="332"/>
      <c r="AH954" s="332"/>
      <c r="AI954" s="332"/>
      <c r="AJ954" s="332"/>
      <c r="AK954" s="332"/>
      <c r="AL954" s="332"/>
      <c r="AM954" s="332"/>
      <c r="AN954" s="332"/>
      <c r="AO954" s="332"/>
      <c r="AP954" s="332"/>
      <c r="AQ954" s="332"/>
      <c r="AR954" s="332"/>
      <c r="AS954" s="332"/>
      <c r="AT954" s="332"/>
      <c r="AU954" s="332"/>
      <c r="AV954" s="332"/>
      <c r="AW954" s="332"/>
      <c r="AX954" s="332"/>
      <c r="AY954" s="332"/>
      <c r="AZ954" s="332"/>
      <c r="BA954" s="332"/>
      <c r="BB954" s="332"/>
      <c r="BC954" s="332"/>
      <c r="BD954" s="332"/>
      <c r="BE954" s="332"/>
      <c r="BF954" s="332"/>
      <c r="BG954" s="332"/>
      <c r="BH954" s="332"/>
      <c r="BI954" s="332"/>
      <c r="BJ954" s="332"/>
      <c r="BK954" s="332"/>
      <c r="BL954" s="332"/>
      <c r="BM954" s="332"/>
      <c r="BN954" s="332"/>
      <c r="BO954" s="332"/>
      <c r="BP954" s="332"/>
      <c r="BQ954" s="332"/>
      <c r="BR954" s="332"/>
      <c r="BS954" s="332"/>
      <c r="BT954" s="332"/>
      <c r="BU954" s="332"/>
      <c r="BV954" s="332"/>
      <c r="BW954" s="332"/>
      <c r="BX954" s="332"/>
      <c r="BY954" s="332"/>
      <c r="BZ954" s="332"/>
      <c r="CA954" s="332"/>
      <c r="CB954" s="332"/>
      <c r="CC954" s="332"/>
      <c r="CD954" s="332"/>
      <c r="CE954" s="332"/>
      <c r="CF954" s="332"/>
      <c r="CG954" s="332"/>
      <c r="CH954" s="332"/>
      <c r="CI954" s="332"/>
      <c r="CJ954" s="332"/>
      <c r="CK954" s="332"/>
      <c r="CL954" s="332"/>
      <c r="CM954" s="332"/>
      <c r="CN954" s="332"/>
      <c r="CO954" s="332"/>
      <c r="CP954" s="332"/>
      <c r="CQ954" s="332"/>
      <c r="CR954" s="332"/>
      <c r="CS954" s="332"/>
      <c r="CT954" s="332"/>
      <c r="CU954" s="332"/>
      <c r="CV954" s="332"/>
      <c r="CW954" s="332"/>
      <c r="CX954" s="332"/>
      <c r="CY954" s="332"/>
      <c r="CZ954" s="332"/>
      <c r="DA954" s="332"/>
      <c r="DB954" s="332"/>
      <c r="DC954" s="332"/>
      <c r="DD954" s="332"/>
      <c r="DE954" s="332"/>
      <c r="DF954" s="332"/>
      <c r="DG954" s="332"/>
      <c r="DH954" s="332"/>
      <c r="DI954" s="332"/>
      <c r="DJ954" s="332"/>
      <c r="DK954" s="332"/>
      <c r="DL954" s="332"/>
      <c r="DM954" s="332"/>
      <c r="DN954" s="332"/>
      <c r="DO954" s="332"/>
      <c r="DP954" s="332"/>
      <c r="DQ954" s="332"/>
      <c r="DR954" s="332"/>
      <c r="DS954" s="332"/>
      <c r="DT954" s="332"/>
      <c r="DU954" s="453"/>
      <c r="DV954" s="453"/>
      <c r="DW954" s="453"/>
      <c r="DX954" s="453"/>
      <c r="DY954" s="453"/>
      <c r="DZ954" s="453"/>
      <c r="EA954" s="453"/>
      <c r="EB954" s="453"/>
      <c r="EC954" s="453"/>
      <c r="ED954" s="453"/>
      <c r="EE954" s="453"/>
      <c r="EF954" s="453"/>
      <c r="EG954" s="453"/>
      <c r="EH954" s="453"/>
      <c r="EI954" s="453"/>
      <c r="EJ954" s="453"/>
      <c r="EK954" s="453"/>
      <c r="EL954" s="453"/>
      <c r="EM954" s="483">
        <f t="shared" si="243"/>
        <v>645</v>
      </c>
      <c r="EN954" s="485"/>
      <c r="EO954" s="458"/>
      <c r="EP954" s="467"/>
      <c r="EQ954" s="457"/>
      <c r="ER954" s="808"/>
      <c r="ES954" s="881">
        <f t="shared" si="241"/>
        <v>0</v>
      </c>
      <c r="ET954" s="882"/>
      <c r="EU954" s="883"/>
      <c r="EV954" s="884">
        <f t="shared" si="242"/>
        <v>0</v>
      </c>
      <c r="EW954" s="885"/>
      <c r="EX954" s="885"/>
      <c r="EY954" s="885"/>
      <c r="EZ954" s="885"/>
      <c r="FA954" s="885"/>
      <c r="FB954" s="885"/>
      <c r="FC954" s="885"/>
      <c r="FD954" s="886"/>
      <c r="FE954" s="550"/>
      <c r="FF954" s="550"/>
      <c r="FG954" s="550"/>
      <c r="FH954" s="550"/>
      <c r="FI954" s="550"/>
      <c r="FJ954" s="550"/>
      <c r="FK954" s="550"/>
      <c r="FL954" s="555"/>
      <c r="FM954" s="554"/>
      <c r="FN954" s="554"/>
      <c r="FO954" s="554"/>
      <c r="FP954" s="554"/>
      <c r="FQ954" s="554"/>
      <c r="FR954" s="554"/>
      <c r="FS954" s="554"/>
      <c r="FT954" s="554"/>
      <c r="FU954" s="554"/>
      <c r="FV954" s="554"/>
      <c r="FW954" s="554"/>
      <c r="FX954" s="554"/>
      <c r="FY954" s="554"/>
      <c r="FZ954" s="554"/>
      <c r="GA954" s="554"/>
      <c r="GB954" s="556"/>
      <c r="GC954" s="370"/>
      <c r="GD954" s="453"/>
      <c r="GE954" s="453"/>
      <c r="GF954" s="453"/>
      <c r="GG954" s="453"/>
      <c r="GH954" s="454"/>
      <c r="GI954" s="453"/>
      <c r="GJ954" s="453"/>
      <c r="GK954" s="453"/>
      <c r="GL954" s="453"/>
      <c r="GM954" s="453"/>
      <c r="GN954" s="453"/>
      <c r="GO954" s="453"/>
      <c r="GP954" s="453"/>
      <c r="GQ954" s="453"/>
      <c r="GR954" s="453"/>
      <c r="GS954" s="561"/>
      <c r="GT954" s="475"/>
      <c r="GU954" s="472"/>
      <c r="GV954" s="453"/>
      <c r="GW954" s="453"/>
      <c r="GX954" s="869"/>
      <c r="GY954" s="870"/>
      <c r="GZ954" s="867"/>
      <c r="HA954" s="868"/>
      <c r="HB954" s="473"/>
      <c r="HC954" s="869"/>
      <c r="HD954" s="870"/>
      <c r="HE954" s="867"/>
      <c r="HF954" s="868"/>
      <c r="HG954" s="473"/>
      <c r="HH954" s="867"/>
      <c r="HI954" s="868"/>
      <c r="HJ954" s="867"/>
      <c r="HK954" s="868"/>
      <c r="HL954" s="370"/>
      <c r="HM954" s="865"/>
      <c r="HN954" s="866"/>
      <c r="HO954" s="865"/>
      <c r="HP954" s="866"/>
      <c r="HQ954" s="865"/>
      <c r="HR954" s="866"/>
      <c r="HS954" s="867"/>
      <c r="HT954" s="868"/>
      <c r="HU954" s="489"/>
      <c r="HV954" s="865"/>
      <c r="HW954" s="866"/>
    </row>
    <row r="955" spans="25:231" ht="15" customHeight="1">
      <c r="Y955" s="332"/>
      <c r="Z955" s="332"/>
      <c r="AA955" s="332"/>
      <c r="AB955" s="332"/>
      <c r="AC955" s="332"/>
      <c r="AD955" s="332"/>
      <c r="AE955" s="332"/>
      <c r="AF955" s="332"/>
      <c r="AG955" s="332"/>
      <c r="AH955" s="332"/>
      <c r="AI955" s="332"/>
      <c r="AJ955" s="332"/>
      <c r="AK955" s="332"/>
      <c r="AL955" s="332"/>
      <c r="AM955" s="332"/>
      <c r="AN955" s="332"/>
      <c r="AO955" s="332"/>
      <c r="AP955" s="332"/>
      <c r="AQ955" s="332"/>
      <c r="AR955" s="332"/>
      <c r="AS955" s="332"/>
      <c r="AT955" s="332"/>
      <c r="AU955" s="332"/>
      <c r="AV955" s="332"/>
      <c r="AW955" s="332"/>
      <c r="AX955" s="332"/>
      <c r="AY955" s="332"/>
      <c r="AZ955" s="332"/>
      <c r="BA955" s="332"/>
      <c r="BB955" s="332"/>
      <c r="BC955" s="332"/>
      <c r="BD955" s="332"/>
      <c r="BE955" s="332"/>
      <c r="BF955" s="332"/>
      <c r="BG955" s="332"/>
      <c r="BH955" s="332"/>
      <c r="BI955" s="332"/>
      <c r="BJ955" s="332"/>
      <c r="BK955" s="332"/>
      <c r="BL955" s="332"/>
      <c r="BM955" s="332"/>
      <c r="BN955" s="332"/>
      <c r="BO955" s="332"/>
      <c r="BP955" s="332"/>
      <c r="BQ955" s="332"/>
      <c r="BR955" s="332"/>
      <c r="BS955" s="332"/>
      <c r="BT955" s="332"/>
      <c r="BU955" s="332"/>
      <c r="BV955" s="332"/>
      <c r="BW955" s="332"/>
      <c r="BX955" s="332"/>
      <c r="BY955" s="332"/>
      <c r="BZ955" s="332"/>
      <c r="CA955" s="332"/>
      <c r="CB955" s="332"/>
      <c r="CC955" s="332"/>
      <c r="CD955" s="332"/>
      <c r="CE955" s="332"/>
      <c r="CF955" s="332"/>
      <c r="CG955" s="332"/>
      <c r="CH955" s="332"/>
      <c r="CI955" s="332"/>
      <c r="CJ955" s="332"/>
      <c r="CK955" s="332"/>
      <c r="CL955" s="332"/>
      <c r="CM955" s="332"/>
      <c r="CN955" s="332"/>
      <c r="CO955" s="332"/>
      <c r="CP955" s="332"/>
      <c r="CQ955" s="332"/>
      <c r="CR955" s="332"/>
      <c r="CS955" s="332"/>
      <c r="CT955" s="332"/>
      <c r="CU955" s="332"/>
      <c r="CV955" s="332"/>
      <c r="CW955" s="332"/>
      <c r="CX955" s="332"/>
      <c r="CY955" s="332"/>
      <c r="CZ955" s="332"/>
      <c r="DA955" s="332"/>
      <c r="DB955" s="332"/>
      <c r="DC955" s="332"/>
      <c r="DD955" s="332"/>
      <c r="DE955" s="332"/>
      <c r="DF955" s="332"/>
      <c r="DG955" s="332"/>
      <c r="DH955" s="332"/>
      <c r="DI955" s="332"/>
      <c r="DJ955" s="332"/>
      <c r="DK955" s="332"/>
      <c r="DL955" s="332"/>
      <c r="DM955" s="332"/>
      <c r="DN955" s="332"/>
      <c r="DO955" s="332"/>
      <c r="DP955" s="332"/>
      <c r="DQ955" s="332"/>
      <c r="DR955" s="332"/>
      <c r="DS955" s="332"/>
      <c r="DT955" s="332"/>
      <c r="DU955" s="453"/>
      <c r="DV955" s="453"/>
      <c r="DW955" s="453"/>
      <c r="DX955" s="453"/>
      <c r="DY955" s="453"/>
      <c r="DZ955" s="453"/>
      <c r="EA955" s="453"/>
      <c r="EB955" s="453"/>
      <c r="EC955" s="453"/>
      <c r="ED955" s="453"/>
      <c r="EE955" s="453"/>
      <c r="EF955" s="453"/>
      <c r="EG955" s="453"/>
      <c r="EH955" s="453"/>
      <c r="EI955" s="453"/>
      <c r="EJ955" s="453"/>
      <c r="EK955" s="453"/>
      <c r="EL955" s="453"/>
      <c r="EM955" s="483">
        <f t="shared" si="243"/>
        <v>646</v>
      </c>
      <c r="EN955" s="485"/>
      <c r="EO955" s="458"/>
      <c r="EP955" s="467"/>
      <c r="EQ955" s="457"/>
      <c r="ER955" s="808"/>
      <c r="ES955" s="881">
        <f t="shared" si="241"/>
        <v>0</v>
      </c>
      <c r="ET955" s="882"/>
      <c r="EU955" s="883"/>
      <c r="EV955" s="884">
        <f t="shared" si="242"/>
        <v>0</v>
      </c>
      <c r="EW955" s="885"/>
      <c r="EX955" s="885"/>
      <c r="EY955" s="885"/>
      <c r="EZ955" s="885"/>
      <c r="FA955" s="885"/>
      <c r="FB955" s="885"/>
      <c r="FC955" s="885"/>
      <c r="FD955" s="886"/>
      <c r="FE955" s="550"/>
      <c r="FF955" s="550"/>
      <c r="FG955" s="550"/>
      <c r="FH955" s="550"/>
      <c r="FI955" s="550"/>
      <c r="FJ955" s="550"/>
      <c r="FK955" s="550"/>
      <c r="FL955" s="555"/>
      <c r="FM955" s="554"/>
      <c r="FN955" s="554"/>
      <c r="FO955" s="554"/>
      <c r="FP955" s="554"/>
      <c r="FQ955" s="554"/>
      <c r="FR955" s="554"/>
      <c r="FS955" s="554"/>
      <c r="FT955" s="554"/>
      <c r="FU955" s="554"/>
      <c r="FV955" s="554"/>
      <c r="FW955" s="554"/>
      <c r="FX955" s="554"/>
      <c r="FY955" s="554"/>
      <c r="FZ955" s="554"/>
      <c r="GA955" s="554"/>
      <c r="GB955" s="556"/>
      <c r="GC955" s="370"/>
      <c r="GD955" s="453"/>
      <c r="GE955" s="453"/>
      <c r="GF955" s="453"/>
      <c r="GG955" s="453"/>
      <c r="GH955" s="454"/>
      <c r="GI955" s="453"/>
      <c r="GJ955" s="453"/>
      <c r="GK955" s="453"/>
      <c r="GL955" s="453"/>
      <c r="GM955" s="453"/>
      <c r="GN955" s="453"/>
      <c r="GO955" s="453"/>
      <c r="GP955" s="453"/>
      <c r="GQ955" s="453"/>
      <c r="GR955" s="453"/>
      <c r="GS955" s="561"/>
      <c r="GT955" s="475"/>
      <c r="GU955" s="472"/>
      <c r="GV955" s="453"/>
      <c r="GW955" s="453"/>
      <c r="GX955" s="869"/>
      <c r="GY955" s="870"/>
      <c r="GZ955" s="867"/>
      <c r="HA955" s="868"/>
      <c r="HB955" s="473"/>
      <c r="HC955" s="869"/>
      <c r="HD955" s="870"/>
      <c r="HE955" s="867"/>
      <c r="HF955" s="868"/>
      <c r="HG955" s="473"/>
      <c r="HH955" s="867"/>
      <c r="HI955" s="868"/>
      <c r="HJ955" s="867"/>
      <c r="HK955" s="868"/>
      <c r="HL955" s="370"/>
      <c r="HM955" s="865"/>
      <c r="HN955" s="866"/>
      <c r="HO955" s="865"/>
      <c r="HP955" s="866"/>
      <c r="HQ955" s="865"/>
      <c r="HR955" s="866"/>
      <c r="HS955" s="867"/>
      <c r="HT955" s="868"/>
      <c r="HU955" s="489"/>
      <c r="HV955" s="865"/>
      <c r="HW955" s="866"/>
    </row>
    <row r="956" spans="25:231" ht="15" customHeight="1">
      <c r="Y956" s="332"/>
      <c r="Z956" s="332"/>
      <c r="AA956" s="332"/>
      <c r="AB956" s="332"/>
      <c r="AC956" s="332"/>
      <c r="AD956" s="332"/>
      <c r="AE956" s="332"/>
      <c r="AF956" s="332"/>
      <c r="AG956" s="332"/>
      <c r="AH956" s="332"/>
      <c r="AI956" s="332"/>
      <c r="AJ956" s="332"/>
      <c r="AK956" s="332"/>
      <c r="AL956" s="332"/>
      <c r="AM956" s="332"/>
      <c r="AN956" s="332"/>
      <c r="AO956" s="332"/>
      <c r="AP956" s="332"/>
      <c r="AQ956" s="332"/>
      <c r="AR956" s="332"/>
      <c r="AS956" s="332"/>
      <c r="AT956" s="332"/>
      <c r="AU956" s="332"/>
      <c r="AV956" s="332"/>
      <c r="AW956" s="332"/>
      <c r="AX956" s="332"/>
      <c r="AY956" s="332"/>
      <c r="AZ956" s="332"/>
      <c r="BA956" s="332"/>
      <c r="BB956" s="332"/>
      <c r="BC956" s="332"/>
      <c r="BD956" s="332"/>
      <c r="BE956" s="332"/>
      <c r="BF956" s="332"/>
      <c r="BG956" s="332"/>
      <c r="BH956" s="332"/>
      <c r="BI956" s="332"/>
      <c r="BJ956" s="332"/>
      <c r="BK956" s="332"/>
      <c r="BL956" s="332"/>
      <c r="BM956" s="332"/>
      <c r="BN956" s="332"/>
      <c r="BO956" s="332"/>
      <c r="BP956" s="332"/>
      <c r="BQ956" s="332"/>
      <c r="BR956" s="332"/>
      <c r="BS956" s="332"/>
      <c r="BT956" s="332"/>
      <c r="BU956" s="332"/>
      <c r="BV956" s="332"/>
      <c r="BW956" s="332"/>
      <c r="BX956" s="332"/>
      <c r="BY956" s="332"/>
      <c r="BZ956" s="332"/>
      <c r="CA956" s="332"/>
      <c r="CB956" s="332"/>
      <c r="CC956" s="332"/>
      <c r="CD956" s="332"/>
      <c r="CE956" s="332"/>
      <c r="CF956" s="332"/>
      <c r="CG956" s="332"/>
      <c r="CH956" s="332"/>
      <c r="CI956" s="332"/>
      <c r="CJ956" s="332"/>
      <c r="CK956" s="332"/>
      <c r="CL956" s="332"/>
      <c r="CM956" s="332"/>
      <c r="CN956" s="332"/>
      <c r="CO956" s="332"/>
      <c r="CP956" s="332"/>
      <c r="CQ956" s="332"/>
      <c r="CR956" s="332"/>
      <c r="CS956" s="332"/>
      <c r="CT956" s="332"/>
      <c r="CU956" s="332"/>
      <c r="CV956" s="332"/>
      <c r="CW956" s="332"/>
      <c r="CX956" s="332"/>
      <c r="CY956" s="332"/>
      <c r="CZ956" s="332"/>
      <c r="DA956" s="332"/>
      <c r="DB956" s="332"/>
      <c r="DC956" s="332"/>
      <c r="DD956" s="332"/>
      <c r="DE956" s="332"/>
      <c r="DF956" s="332"/>
      <c r="DG956" s="332"/>
      <c r="DH956" s="332"/>
      <c r="DI956" s="332"/>
      <c r="DJ956" s="332"/>
      <c r="DK956" s="332"/>
      <c r="DL956" s="332"/>
      <c r="DM956" s="332"/>
      <c r="DN956" s="332"/>
      <c r="DO956" s="332"/>
      <c r="DP956" s="332"/>
      <c r="DQ956" s="332"/>
      <c r="DR956" s="332"/>
      <c r="DS956" s="332"/>
      <c r="DT956" s="332"/>
      <c r="DU956" s="453"/>
      <c r="DV956" s="453"/>
      <c r="DW956" s="453"/>
      <c r="DX956" s="453"/>
      <c r="DY956" s="453"/>
      <c r="DZ956" s="453"/>
      <c r="EA956" s="453"/>
      <c r="EB956" s="453"/>
      <c r="EC956" s="453"/>
      <c r="ED956" s="453"/>
      <c r="EE956" s="453"/>
      <c r="EF956" s="453"/>
      <c r="EG956" s="453"/>
      <c r="EH956" s="453"/>
      <c r="EI956" s="453"/>
      <c r="EJ956" s="453"/>
      <c r="EK956" s="453"/>
      <c r="EL956" s="453"/>
      <c r="EM956" s="483">
        <f t="shared" si="243"/>
        <v>647</v>
      </c>
      <c r="EN956" s="485"/>
      <c r="EO956" s="458"/>
      <c r="EP956" s="467"/>
      <c r="EQ956" s="457"/>
      <c r="ER956" s="808"/>
      <c r="ES956" s="881">
        <f t="shared" si="241"/>
        <v>0</v>
      </c>
      <c r="ET956" s="882"/>
      <c r="EU956" s="883"/>
      <c r="EV956" s="884">
        <f t="shared" si="242"/>
        <v>0</v>
      </c>
      <c r="EW956" s="885"/>
      <c r="EX956" s="885"/>
      <c r="EY956" s="885"/>
      <c r="EZ956" s="885"/>
      <c r="FA956" s="885"/>
      <c r="FB956" s="885"/>
      <c r="FC956" s="885"/>
      <c r="FD956" s="886"/>
      <c r="FE956" s="550"/>
      <c r="FF956" s="550"/>
      <c r="FG956" s="550"/>
      <c r="FH956" s="550"/>
      <c r="FI956" s="550"/>
      <c r="FJ956" s="550"/>
      <c r="FK956" s="550"/>
      <c r="FL956" s="555"/>
      <c r="FM956" s="554"/>
      <c r="FN956" s="554"/>
      <c r="FO956" s="554"/>
      <c r="FP956" s="554"/>
      <c r="FQ956" s="554"/>
      <c r="FR956" s="554"/>
      <c r="FS956" s="554"/>
      <c r="FT956" s="554"/>
      <c r="FU956" s="554"/>
      <c r="FV956" s="554"/>
      <c r="FW956" s="554"/>
      <c r="FX956" s="554"/>
      <c r="FY956" s="554"/>
      <c r="FZ956" s="554"/>
      <c r="GA956" s="554"/>
      <c r="GB956" s="556"/>
      <c r="GC956" s="370"/>
      <c r="GD956" s="453"/>
      <c r="GE956" s="453"/>
      <c r="GF956" s="453"/>
      <c r="GG956" s="453"/>
      <c r="GH956" s="454"/>
      <c r="GI956" s="453"/>
      <c r="GJ956" s="453"/>
      <c r="GK956" s="453"/>
      <c r="GL956" s="453"/>
      <c r="GM956" s="453"/>
      <c r="GN956" s="453"/>
      <c r="GO956" s="453"/>
      <c r="GP956" s="453"/>
      <c r="GQ956" s="453"/>
      <c r="GR956" s="453"/>
      <c r="GS956" s="561"/>
      <c r="GT956" s="475"/>
      <c r="GU956" s="472"/>
      <c r="GV956" s="453"/>
      <c r="GW956" s="453"/>
      <c r="GX956" s="869"/>
      <c r="GY956" s="870"/>
      <c r="GZ956" s="867"/>
      <c r="HA956" s="868"/>
      <c r="HB956" s="473"/>
      <c r="HC956" s="869"/>
      <c r="HD956" s="870"/>
      <c r="HE956" s="867"/>
      <c r="HF956" s="868"/>
      <c r="HG956" s="473"/>
      <c r="HH956" s="867"/>
      <c r="HI956" s="868"/>
      <c r="HJ956" s="867"/>
      <c r="HK956" s="868"/>
      <c r="HL956" s="370"/>
      <c r="HM956" s="865"/>
      <c r="HN956" s="866"/>
      <c r="HO956" s="865"/>
      <c r="HP956" s="866"/>
      <c r="HQ956" s="865"/>
      <c r="HR956" s="866"/>
      <c r="HS956" s="867"/>
      <c r="HT956" s="868"/>
      <c r="HU956" s="489"/>
      <c r="HV956" s="865"/>
      <c r="HW956" s="866"/>
    </row>
    <row r="957" spans="25:231" ht="15" customHeight="1">
      <c r="Y957" s="332"/>
      <c r="Z957" s="332"/>
      <c r="AA957" s="332"/>
      <c r="AB957" s="332"/>
      <c r="AC957" s="332"/>
      <c r="AD957" s="332"/>
      <c r="AE957" s="332"/>
      <c r="AF957" s="332"/>
      <c r="AG957" s="332"/>
      <c r="AH957" s="332"/>
      <c r="AI957" s="332"/>
      <c r="AJ957" s="332"/>
      <c r="AK957" s="332"/>
      <c r="AL957" s="332"/>
      <c r="AM957" s="332"/>
      <c r="AN957" s="332"/>
      <c r="AO957" s="332"/>
      <c r="AP957" s="332"/>
      <c r="AQ957" s="332"/>
      <c r="AR957" s="332"/>
      <c r="AS957" s="332"/>
      <c r="AT957" s="332"/>
      <c r="AU957" s="332"/>
      <c r="AV957" s="332"/>
      <c r="AW957" s="332"/>
      <c r="AX957" s="332"/>
      <c r="AY957" s="332"/>
      <c r="AZ957" s="332"/>
      <c r="BA957" s="332"/>
      <c r="BB957" s="332"/>
      <c r="BC957" s="332"/>
      <c r="BD957" s="332"/>
      <c r="BE957" s="332"/>
      <c r="BF957" s="332"/>
      <c r="BG957" s="332"/>
      <c r="BH957" s="332"/>
      <c r="BI957" s="332"/>
      <c r="BJ957" s="332"/>
      <c r="BK957" s="332"/>
      <c r="BL957" s="332"/>
      <c r="BM957" s="332"/>
      <c r="BN957" s="332"/>
      <c r="BO957" s="332"/>
      <c r="BP957" s="332"/>
      <c r="BQ957" s="332"/>
      <c r="BR957" s="332"/>
      <c r="BS957" s="332"/>
      <c r="BT957" s="332"/>
      <c r="BU957" s="332"/>
      <c r="BV957" s="332"/>
      <c r="BW957" s="332"/>
      <c r="BX957" s="332"/>
      <c r="BY957" s="332"/>
      <c r="BZ957" s="332"/>
      <c r="CA957" s="332"/>
      <c r="CB957" s="332"/>
      <c r="CC957" s="332"/>
      <c r="CD957" s="332"/>
      <c r="CE957" s="332"/>
      <c r="CF957" s="332"/>
      <c r="CG957" s="332"/>
      <c r="CH957" s="332"/>
      <c r="CI957" s="332"/>
      <c r="CJ957" s="332"/>
      <c r="CK957" s="332"/>
      <c r="CL957" s="332"/>
      <c r="CM957" s="332"/>
      <c r="CN957" s="332"/>
      <c r="CO957" s="332"/>
      <c r="CP957" s="332"/>
      <c r="CQ957" s="332"/>
      <c r="CR957" s="332"/>
      <c r="CS957" s="332"/>
      <c r="CT957" s="332"/>
      <c r="CU957" s="332"/>
      <c r="CV957" s="332"/>
      <c r="CW957" s="332"/>
      <c r="CX957" s="332"/>
      <c r="CY957" s="332"/>
      <c r="CZ957" s="332"/>
      <c r="DA957" s="332"/>
      <c r="DB957" s="332"/>
      <c r="DC957" s="332"/>
      <c r="DD957" s="332"/>
      <c r="DE957" s="332"/>
      <c r="DF957" s="332"/>
      <c r="DG957" s="332"/>
      <c r="DH957" s="332"/>
      <c r="DI957" s="332"/>
      <c r="DJ957" s="332"/>
      <c r="DK957" s="332"/>
      <c r="DL957" s="332"/>
      <c r="DM957" s="332"/>
      <c r="DN957" s="332"/>
      <c r="DO957" s="332"/>
      <c r="DP957" s="332"/>
      <c r="DQ957" s="332"/>
      <c r="DR957" s="332"/>
      <c r="DS957" s="332"/>
      <c r="DT957" s="332"/>
      <c r="DU957" s="453"/>
      <c r="DV957" s="453"/>
      <c r="DW957" s="453"/>
      <c r="DX957" s="453"/>
      <c r="DY957" s="453"/>
      <c r="DZ957" s="453"/>
      <c r="EA957" s="453"/>
      <c r="EB957" s="453"/>
      <c r="EC957" s="453"/>
      <c r="ED957" s="453"/>
      <c r="EE957" s="453"/>
      <c r="EF957" s="453"/>
      <c r="EG957" s="453"/>
      <c r="EH957" s="453"/>
      <c r="EI957" s="453"/>
      <c r="EJ957" s="453"/>
      <c r="EK957" s="453"/>
      <c r="EL957" s="453"/>
      <c r="EM957" s="483">
        <f t="shared" si="243"/>
        <v>648</v>
      </c>
      <c r="EN957" s="485"/>
      <c r="EO957" s="458"/>
      <c r="EP957" s="467"/>
      <c r="EQ957" s="457"/>
      <c r="ER957" s="808"/>
      <c r="ES957" s="881">
        <f t="shared" si="241"/>
        <v>0</v>
      </c>
      <c r="ET957" s="882"/>
      <c r="EU957" s="883"/>
      <c r="EV957" s="884">
        <f t="shared" si="242"/>
        <v>0</v>
      </c>
      <c r="EW957" s="885"/>
      <c r="EX957" s="885"/>
      <c r="EY957" s="885"/>
      <c r="EZ957" s="885"/>
      <c r="FA957" s="885"/>
      <c r="FB957" s="885"/>
      <c r="FC957" s="885"/>
      <c r="FD957" s="886"/>
      <c r="FE957" s="550"/>
      <c r="FF957" s="550"/>
      <c r="FG957" s="550"/>
      <c r="FH957" s="550"/>
      <c r="FI957" s="550"/>
      <c r="FJ957" s="550"/>
      <c r="FK957" s="550"/>
      <c r="FL957" s="555"/>
      <c r="FM957" s="554"/>
      <c r="FN957" s="554"/>
      <c r="FO957" s="554"/>
      <c r="FP957" s="554"/>
      <c r="FQ957" s="554"/>
      <c r="FR957" s="554"/>
      <c r="FS957" s="554"/>
      <c r="FT957" s="554"/>
      <c r="FU957" s="554"/>
      <c r="FV957" s="554"/>
      <c r="FW957" s="554"/>
      <c r="FX957" s="554"/>
      <c r="FY957" s="554"/>
      <c r="FZ957" s="554"/>
      <c r="GA957" s="554"/>
      <c r="GB957" s="556"/>
      <c r="GC957" s="370"/>
      <c r="GD957" s="453"/>
      <c r="GE957" s="453"/>
      <c r="GF957" s="453"/>
      <c r="GG957" s="453"/>
      <c r="GH957" s="454"/>
      <c r="GI957" s="453"/>
      <c r="GJ957" s="453"/>
      <c r="GK957" s="453"/>
      <c r="GL957" s="453"/>
      <c r="GM957" s="453"/>
      <c r="GN957" s="453"/>
      <c r="GO957" s="453"/>
      <c r="GP957" s="453"/>
      <c r="GQ957" s="453"/>
      <c r="GR957" s="453"/>
      <c r="GS957" s="561"/>
      <c r="GT957" s="475"/>
      <c r="GU957" s="472"/>
      <c r="GV957" s="453"/>
      <c r="GW957" s="453"/>
      <c r="GX957" s="869"/>
      <c r="GY957" s="870"/>
      <c r="GZ957" s="867"/>
      <c r="HA957" s="868"/>
      <c r="HB957" s="473"/>
      <c r="HC957" s="869"/>
      <c r="HD957" s="870"/>
      <c r="HE957" s="867"/>
      <c r="HF957" s="868"/>
      <c r="HG957" s="473"/>
      <c r="HH957" s="867"/>
      <c r="HI957" s="868"/>
      <c r="HJ957" s="867"/>
      <c r="HK957" s="868"/>
      <c r="HL957" s="370"/>
      <c r="HM957" s="865"/>
      <c r="HN957" s="866"/>
      <c r="HO957" s="865"/>
      <c r="HP957" s="866"/>
      <c r="HQ957" s="865"/>
      <c r="HR957" s="866"/>
      <c r="HS957" s="867"/>
      <c r="HT957" s="868"/>
      <c r="HU957" s="489"/>
      <c r="HV957" s="865"/>
      <c r="HW957" s="866"/>
    </row>
    <row r="958" spans="25:231" ht="15" customHeight="1">
      <c r="Y958" s="332"/>
      <c r="Z958" s="332"/>
      <c r="AA958" s="332"/>
      <c r="AB958" s="332"/>
      <c r="AC958" s="332"/>
      <c r="AD958" s="332"/>
      <c r="AE958" s="332"/>
      <c r="AF958" s="332"/>
      <c r="AG958" s="332"/>
      <c r="AH958" s="332"/>
      <c r="AI958" s="332"/>
      <c r="AJ958" s="332"/>
      <c r="AK958" s="332"/>
      <c r="AL958" s="332"/>
      <c r="AM958" s="332"/>
      <c r="AN958" s="332"/>
      <c r="AO958" s="332"/>
      <c r="AP958" s="332"/>
      <c r="AQ958" s="332"/>
      <c r="AR958" s="332"/>
      <c r="AS958" s="332"/>
      <c r="AT958" s="332"/>
      <c r="AU958" s="332"/>
      <c r="AV958" s="332"/>
      <c r="AW958" s="332"/>
      <c r="AX958" s="332"/>
      <c r="AY958" s="332"/>
      <c r="AZ958" s="332"/>
      <c r="BA958" s="332"/>
      <c r="BB958" s="332"/>
      <c r="BC958" s="332"/>
      <c r="BD958" s="332"/>
      <c r="BE958" s="332"/>
      <c r="BF958" s="332"/>
      <c r="BG958" s="332"/>
      <c r="BH958" s="332"/>
      <c r="BI958" s="332"/>
      <c r="BJ958" s="332"/>
      <c r="BK958" s="332"/>
      <c r="BL958" s="332"/>
      <c r="BM958" s="332"/>
      <c r="BN958" s="332"/>
      <c r="BO958" s="332"/>
      <c r="BP958" s="332"/>
      <c r="BQ958" s="332"/>
      <c r="BR958" s="332"/>
      <c r="BS958" s="332"/>
      <c r="BT958" s="332"/>
      <c r="BU958" s="332"/>
      <c r="BV958" s="332"/>
      <c r="BW958" s="332"/>
      <c r="BX958" s="332"/>
      <c r="BY958" s="332"/>
      <c r="BZ958" s="332"/>
      <c r="CA958" s="332"/>
      <c r="CB958" s="332"/>
      <c r="CC958" s="332"/>
      <c r="CD958" s="332"/>
      <c r="CE958" s="332"/>
      <c r="CF958" s="332"/>
      <c r="CG958" s="332"/>
      <c r="CH958" s="332"/>
      <c r="CI958" s="332"/>
      <c r="CJ958" s="332"/>
      <c r="CK958" s="332"/>
      <c r="CL958" s="332"/>
      <c r="CM958" s="332"/>
      <c r="CN958" s="332"/>
      <c r="CO958" s="332"/>
      <c r="CP958" s="332"/>
      <c r="CQ958" s="332"/>
      <c r="CR958" s="332"/>
      <c r="CS958" s="332"/>
      <c r="CT958" s="332"/>
      <c r="CU958" s="332"/>
      <c r="CV958" s="332"/>
      <c r="CW958" s="332"/>
      <c r="CX958" s="332"/>
      <c r="CY958" s="332"/>
      <c r="CZ958" s="332"/>
      <c r="DA958" s="332"/>
      <c r="DB958" s="332"/>
      <c r="DC958" s="332"/>
      <c r="DD958" s="332"/>
      <c r="DE958" s="332"/>
      <c r="DF958" s="332"/>
      <c r="DG958" s="332"/>
      <c r="DH958" s="332"/>
      <c r="DI958" s="332"/>
      <c r="DJ958" s="332"/>
      <c r="DK958" s="332"/>
      <c r="DL958" s="332"/>
      <c r="DM958" s="332"/>
      <c r="DN958" s="332"/>
      <c r="DO958" s="332"/>
      <c r="DP958" s="332"/>
      <c r="DQ958" s="332"/>
      <c r="DR958" s="332"/>
      <c r="DS958" s="332"/>
      <c r="DT958" s="332"/>
      <c r="DU958" s="453"/>
      <c r="DV958" s="453"/>
      <c r="DW958" s="453"/>
      <c r="DX958" s="453"/>
      <c r="DY958" s="453"/>
      <c r="DZ958" s="453"/>
      <c r="EA958" s="453"/>
      <c r="EB958" s="453"/>
      <c r="EC958" s="453"/>
      <c r="ED958" s="453"/>
      <c r="EE958" s="453"/>
      <c r="EF958" s="453"/>
      <c r="EG958" s="453"/>
      <c r="EH958" s="453"/>
      <c r="EI958" s="453"/>
      <c r="EJ958" s="453"/>
      <c r="EK958" s="453"/>
      <c r="EL958" s="453"/>
      <c r="EM958" s="483">
        <f t="shared" si="243"/>
        <v>649</v>
      </c>
      <c r="EN958" s="485"/>
      <c r="EO958" s="458"/>
      <c r="EP958" s="467"/>
      <c r="EQ958" s="457"/>
      <c r="ER958" s="808"/>
      <c r="ES958" s="881">
        <f t="shared" si="241"/>
        <v>0</v>
      </c>
      <c r="ET958" s="882"/>
      <c r="EU958" s="883"/>
      <c r="EV958" s="884">
        <f t="shared" si="242"/>
        <v>0</v>
      </c>
      <c r="EW958" s="885"/>
      <c r="EX958" s="885"/>
      <c r="EY958" s="885"/>
      <c r="EZ958" s="885"/>
      <c r="FA958" s="885"/>
      <c r="FB958" s="885"/>
      <c r="FC958" s="885"/>
      <c r="FD958" s="886"/>
      <c r="FE958" s="550"/>
      <c r="FF958" s="550"/>
      <c r="FG958" s="550"/>
      <c r="FH958" s="550"/>
      <c r="FI958" s="550"/>
      <c r="FJ958" s="550"/>
      <c r="FK958" s="550"/>
      <c r="FL958" s="555"/>
      <c r="FM958" s="554"/>
      <c r="FN958" s="554"/>
      <c r="FO958" s="554"/>
      <c r="FP958" s="554"/>
      <c r="FQ958" s="554"/>
      <c r="FR958" s="554"/>
      <c r="FS958" s="554"/>
      <c r="FT958" s="554"/>
      <c r="FU958" s="554"/>
      <c r="FV958" s="554"/>
      <c r="FW958" s="554"/>
      <c r="FX958" s="554"/>
      <c r="FY958" s="554"/>
      <c r="FZ958" s="554"/>
      <c r="GA958" s="554"/>
      <c r="GB958" s="556"/>
      <c r="GC958" s="370"/>
      <c r="GD958" s="453"/>
      <c r="GE958" s="453"/>
      <c r="GF958" s="453"/>
      <c r="GG958" s="453"/>
      <c r="GH958" s="454"/>
      <c r="GI958" s="453"/>
      <c r="GJ958" s="453"/>
      <c r="GK958" s="453"/>
      <c r="GL958" s="453"/>
      <c r="GM958" s="453"/>
      <c r="GN958" s="453"/>
      <c r="GO958" s="453"/>
      <c r="GP958" s="453"/>
      <c r="GQ958" s="453"/>
      <c r="GR958" s="453"/>
      <c r="GS958" s="561"/>
      <c r="GT958" s="475"/>
      <c r="GU958" s="472"/>
      <c r="GV958" s="453"/>
      <c r="GW958" s="453"/>
      <c r="GX958" s="869"/>
      <c r="GY958" s="870"/>
      <c r="GZ958" s="867"/>
      <c r="HA958" s="868"/>
      <c r="HB958" s="473"/>
      <c r="HC958" s="869"/>
      <c r="HD958" s="870"/>
      <c r="HE958" s="867"/>
      <c r="HF958" s="868"/>
      <c r="HG958" s="473"/>
      <c r="HH958" s="867"/>
      <c r="HI958" s="868"/>
      <c r="HJ958" s="867"/>
      <c r="HK958" s="868"/>
      <c r="HL958" s="370"/>
      <c r="HM958" s="865"/>
      <c r="HN958" s="866"/>
      <c r="HO958" s="865"/>
      <c r="HP958" s="866"/>
      <c r="HQ958" s="865"/>
      <c r="HR958" s="866"/>
      <c r="HS958" s="867"/>
      <c r="HT958" s="868"/>
      <c r="HU958" s="489"/>
      <c r="HV958" s="865"/>
      <c r="HW958" s="866"/>
    </row>
    <row r="959" spans="25:231" ht="15" customHeight="1">
      <c r="Y959" s="332"/>
      <c r="Z959" s="332"/>
      <c r="AA959" s="332"/>
      <c r="AB959" s="332"/>
      <c r="AC959" s="332"/>
      <c r="AD959" s="332"/>
      <c r="AE959" s="332"/>
      <c r="AF959" s="332"/>
      <c r="AG959" s="332"/>
      <c r="AH959" s="332"/>
      <c r="AI959" s="332"/>
      <c r="AJ959" s="332"/>
      <c r="AK959" s="332"/>
      <c r="AL959" s="332"/>
      <c r="AM959" s="332"/>
      <c r="AN959" s="332"/>
      <c r="AO959" s="332"/>
      <c r="AP959" s="332"/>
      <c r="AQ959" s="332"/>
      <c r="AR959" s="332"/>
      <c r="AS959" s="332"/>
      <c r="AT959" s="332"/>
      <c r="AU959" s="332"/>
      <c r="AV959" s="332"/>
      <c r="AW959" s="332"/>
      <c r="AX959" s="332"/>
      <c r="AY959" s="332"/>
      <c r="AZ959" s="332"/>
      <c r="BA959" s="332"/>
      <c r="BB959" s="332"/>
      <c r="BC959" s="332"/>
      <c r="BD959" s="332"/>
      <c r="BE959" s="332"/>
      <c r="BF959" s="332"/>
      <c r="BG959" s="332"/>
      <c r="BH959" s="332"/>
      <c r="BI959" s="332"/>
      <c r="BJ959" s="332"/>
      <c r="BK959" s="332"/>
      <c r="BL959" s="332"/>
      <c r="BM959" s="332"/>
      <c r="BN959" s="332"/>
      <c r="BO959" s="332"/>
      <c r="BP959" s="332"/>
      <c r="BQ959" s="332"/>
      <c r="BR959" s="332"/>
      <c r="BS959" s="332"/>
      <c r="BT959" s="332"/>
      <c r="BU959" s="332"/>
      <c r="BV959" s="332"/>
      <c r="BW959" s="332"/>
      <c r="BX959" s="332"/>
      <c r="BY959" s="332"/>
      <c r="BZ959" s="332"/>
      <c r="CA959" s="332"/>
      <c r="CB959" s="332"/>
      <c r="CC959" s="332"/>
      <c r="CD959" s="332"/>
      <c r="CE959" s="332"/>
      <c r="CF959" s="332"/>
      <c r="CG959" s="332"/>
      <c r="CH959" s="332"/>
      <c r="CI959" s="332"/>
      <c r="CJ959" s="332"/>
      <c r="CK959" s="332"/>
      <c r="CL959" s="332"/>
      <c r="CM959" s="332"/>
      <c r="CN959" s="332"/>
      <c r="CO959" s="332"/>
      <c r="CP959" s="332"/>
      <c r="CQ959" s="332"/>
      <c r="CR959" s="332"/>
      <c r="CS959" s="332"/>
      <c r="CT959" s="332"/>
      <c r="CU959" s="332"/>
      <c r="CV959" s="332"/>
      <c r="CW959" s="332"/>
      <c r="CX959" s="332"/>
      <c r="CY959" s="332"/>
      <c r="CZ959" s="332"/>
      <c r="DA959" s="332"/>
      <c r="DB959" s="332"/>
      <c r="DC959" s="332"/>
      <c r="DD959" s="332"/>
      <c r="DE959" s="332"/>
      <c r="DF959" s="332"/>
      <c r="DG959" s="332"/>
      <c r="DH959" s="332"/>
      <c r="DI959" s="332"/>
      <c r="DJ959" s="332"/>
      <c r="DK959" s="332"/>
      <c r="DL959" s="332"/>
      <c r="DM959" s="332"/>
      <c r="DN959" s="332"/>
      <c r="DO959" s="332"/>
      <c r="DP959" s="332"/>
      <c r="DQ959" s="332"/>
      <c r="DR959" s="332"/>
      <c r="DS959" s="332"/>
      <c r="DT959" s="332"/>
      <c r="DU959" s="453"/>
      <c r="DV959" s="453"/>
      <c r="DW959" s="453"/>
      <c r="DX959" s="453"/>
      <c r="DY959" s="453"/>
      <c r="DZ959" s="453"/>
      <c r="EA959" s="453"/>
      <c r="EB959" s="453"/>
      <c r="EC959" s="453"/>
      <c r="ED959" s="453"/>
      <c r="EE959" s="453"/>
      <c r="EF959" s="453"/>
      <c r="EG959" s="453"/>
      <c r="EH959" s="453"/>
      <c r="EI959" s="453"/>
      <c r="EJ959" s="453"/>
      <c r="EK959" s="453"/>
      <c r="EL959" s="453"/>
      <c r="EM959" s="483">
        <f t="shared" si="243"/>
        <v>650</v>
      </c>
      <c r="EN959" s="485"/>
      <c r="EO959" s="458"/>
      <c r="EP959" s="467"/>
      <c r="EQ959" s="457"/>
      <c r="ER959" s="808"/>
      <c r="ES959" s="881">
        <f t="shared" si="241"/>
        <v>0</v>
      </c>
      <c r="ET959" s="882"/>
      <c r="EU959" s="883"/>
      <c r="EV959" s="884">
        <f t="shared" si="242"/>
        <v>0</v>
      </c>
      <c r="EW959" s="885"/>
      <c r="EX959" s="885"/>
      <c r="EY959" s="885"/>
      <c r="EZ959" s="885"/>
      <c r="FA959" s="885"/>
      <c r="FB959" s="885"/>
      <c r="FC959" s="885"/>
      <c r="FD959" s="886"/>
      <c r="FE959" s="550"/>
      <c r="FF959" s="550"/>
      <c r="FG959" s="550"/>
      <c r="FH959" s="550"/>
      <c r="FI959" s="550"/>
      <c r="FJ959" s="550"/>
      <c r="FK959" s="550"/>
      <c r="FL959" s="555"/>
      <c r="FM959" s="554"/>
      <c r="FN959" s="554"/>
      <c r="FO959" s="554"/>
      <c r="FP959" s="554"/>
      <c r="FQ959" s="554"/>
      <c r="FR959" s="554"/>
      <c r="FS959" s="554"/>
      <c r="FT959" s="554"/>
      <c r="FU959" s="554"/>
      <c r="FV959" s="554"/>
      <c r="FW959" s="554"/>
      <c r="FX959" s="554"/>
      <c r="FY959" s="554"/>
      <c r="FZ959" s="554"/>
      <c r="GA959" s="554"/>
      <c r="GB959" s="556"/>
      <c r="GC959" s="370"/>
      <c r="GD959" s="453"/>
      <c r="GE959" s="453"/>
      <c r="GF959" s="453"/>
      <c r="GG959" s="453"/>
      <c r="GH959" s="454"/>
      <c r="GI959" s="453"/>
      <c r="GJ959" s="453"/>
      <c r="GK959" s="453"/>
      <c r="GL959" s="453"/>
      <c r="GM959" s="453"/>
      <c r="GN959" s="453"/>
      <c r="GO959" s="453"/>
      <c r="GP959" s="453"/>
      <c r="GQ959" s="453"/>
      <c r="GR959" s="453"/>
      <c r="GS959" s="561"/>
      <c r="GT959" s="475"/>
      <c r="GU959" s="472"/>
      <c r="GV959" s="453"/>
      <c r="GW959" s="453"/>
      <c r="GX959" s="869"/>
      <c r="GY959" s="870"/>
      <c r="GZ959" s="867"/>
      <c r="HA959" s="868"/>
      <c r="HB959" s="473"/>
      <c r="HC959" s="869"/>
      <c r="HD959" s="870"/>
      <c r="HE959" s="867"/>
      <c r="HF959" s="868"/>
      <c r="HG959" s="473"/>
      <c r="HH959" s="867"/>
      <c r="HI959" s="868"/>
      <c r="HJ959" s="867"/>
      <c r="HK959" s="868"/>
      <c r="HL959" s="370"/>
      <c r="HM959" s="865"/>
      <c r="HN959" s="866"/>
      <c r="HO959" s="865"/>
      <c r="HP959" s="866"/>
      <c r="HQ959" s="865"/>
      <c r="HR959" s="866"/>
      <c r="HS959" s="867"/>
      <c r="HT959" s="868"/>
      <c r="HU959" s="489"/>
      <c r="HV959" s="865"/>
      <c r="HW959" s="866"/>
    </row>
    <row r="960" spans="25:231" ht="15" customHeight="1">
      <c r="Y960" s="332"/>
      <c r="Z960" s="332"/>
      <c r="AA960" s="332"/>
      <c r="AB960" s="332"/>
      <c r="AC960" s="332"/>
      <c r="AD960" s="332"/>
      <c r="AE960" s="332"/>
      <c r="AF960" s="332"/>
      <c r="AG960" s="332"/>
      <c r="AH960" s="332"/>
      <c r="AI960" s="332"/>
      <c r="AJ960" s="332"/>
      <c r="AK960" s="332"/>
      <c r="AL960" s="332"/>
      <c r="AM960" s="332"/>
      <c r="AN960" s="332"/>
      <c r="AO960" s="332"/>
      <c r="AP960" s="332"/>
      <c r="AQ960" s="332"/>
      <c r="AR960" s="332"/>
      <c r="AS960" s="332"/>
      <c r="AT960" s="332"/>
      <c r="AU960" s="332"/>
      <c r="AV960" s="332"/>
      <c r="AW960" s="332"/>
      <c r="AX960" s="332"/>
      <c r="AY960" s="332"/>
      <c r="AZ960" s="332"/>
      <c r="BA960" s="332"/>
      <c r="BB960" s="332"/>
      <c r="BC960" s="332"/>
      <c r="BD960" s="332"/>
      <c r="BE960" s="332"/>
      <c r="BF960" s="332"/>
      <c r="BG960" s="332"/>
      <c r="BH960" s="332"/>
      <c r="BI960" s="332"/>
      <c r="BJ960" s="332"/>
      <c r="BK960" s="332"/>
      <c r="BL960" s="332"/>
      <c r="BM960" s="332"/>
      <c r="BN960" s="332"/>
      <c r="BO960" s="332"/>
      <c r="BP960" s="332"/>
      <c r="BQ960" s="332"/>
      <c r="BR960" s="332"/>
      <c r="BS960" s="332"/>
      <c r="BT960" s="332"/>
      <c r="BU960" s="332"/>
      <c r="BV960" s="332"/>
      <c r="BW960" s="332"/>
      <c r="BX960" s="332"/>
      <c r="BY960" s="332"/>
      <c r="BZ960" s="332"/>
      <c r="CA960" s="332"/>
      <c r="CB960" s="332"/>
      <c r="CC960" s="332"/>
      <c r="CD960" s="332"/>
      <c r="CE960" s="332"/>
      <c r="CF960" s="332"/>
      <c r="CG960" s="332"/>
      <c r="CH960" s="332"/>
      <c r="CI960" s="332"/>
      <c r="CJ960" s="332"/>
      <c r="CK960" s="332"/>
      <c r="CL960" s="332"/>
      <c r="CM960" s="332"/>
      <c r="CN960" s="332"/>
      <c r="CO960" s="332"/>
      <c r="CP960" s="332"/>
      <c r="CQ960" s="332"/>
      <c r="CR960" s="332"/>
      <c r="CS960" s="332"/>
      <c r="CT960" s="332"/>
      <c r="CU960" s="332"/>
      <c r="CV960" s="332"/>
      <c r="CW960" s="332"/>
      <c r="CX960" s="332"/>
      <c r="CY960" s="332"/>
      <c r="CZ960" s="332"/>
      <c r="DA960" s="332"/>
      <c r="DB960" s="332"/>
      <c r="DC960" s="332"/>
      <c r="DD960" s="332"/>
      <c r="DE960" s="332"/>
      <c r="DF960" s="332"/>
      <c r="DG960" s="332"/>
      <c r="DH960" s="332"/>
      <c r="DI960" s="332"/>
      <c r="DJ960" s="332"/>
      <c r="DK960" s="332"/>
      <c r="DL960" s="332"/>
      <c r="DM960" s="332"/>
      <c r="DN960" s="332"/>
      <c r="DO960" s="332"/>
      <c r="DP960" s="332"/>
      <c r="DQ960" s="332"/>
      <c r="DR960" s="332"/>
      <c r="DS960" s="332"/>
      <c r="DT960" s="332"/>
      <c r="DU960" s="453"/>
      <c r="DV960" s="453"/>
      <c r="DW960" s="453"/>
      <c r="DX960" s="453"/>
      <c r="DY960" s="453"/>
      <c r="DZ960" s="453"/>
      <c r="EA960" s="453"/>
      <c r="EB960" s="453"/>
      <c r="EC960" s="453"/>
      <c r="ED960" s="453"/>
      <c r="EE960" s="453"/>
      <c r="EF960" s="453"/>
      <c r="EG960" s="453"/>
      <c r="EH960" s="453"/>
      <c r="EI960" s="453"/>
      <c r="EJ960" s="453"/>
      <c r="EK960" s="453"/>
      <c r="EL960" s="453"/>
      <c r="EM960" s="483">
        <f t="shared" si="243"/>
        <v>651</v>
      </c>
      <c r="EN960" s="485"/>
      <c r="EO960" s="458"/>
      <c r="EP960" s="467"/>
      <c r="EQ960" s="457"/>
      <c r="ER960" s="808"/>
      <c r="ES960" s="881">
        <f t="shared" si="241"/>
        <v>0</v>
      </c>
      <c r="ET960" s="882"/>
      <c r="EU960" s="883"/>
      <c r="EV960" s="884">
        <f t="shared" si="242"/>
        <v>0</v>
      </c>
      <c r="EW960" s="885"/>
      <c r="EX960" s="885"/>
      <c r="EY960" s="885"/>
      <c r="EZ960" s="885"/>
      <c r="FA960" s="885"/>
      <c r="FB960" s="885"/>
      <c r="FC960" s="885"/>
      <c r="FD960" s="886"/>
      <c r="FE960" s="550"/>
      <c r="FF960" s="550"/>
      <c r="FG960" s="550"/>
      <c r="FH960" s="550"/>
      <c r="FI960" s="550"/>
      <c r="FJ960" s="550"/>
      <c r="FK960" s="550"/>
      <c r="FL960" s="555"/>
      <c r="FM960" s="554"/>
      <c r="FN960" s="554"/>
      <c r="FO960" s="554"/>
      <c r="FP960" s="554"/>
      <c r="FQ960" s="554"/>
      <c r="FR960" s="554"/>
      <c r="FS960" s="554"/>
      <c r="FT960" s="554"/>
      <c r="FU960" s="554"/>
      <c r="FV960" s="554"/>
      <c r="FW960" s="554"/>
      <c r="FX960" s="554"/>
      <c r="FY960" s="554"/>
      <c r="FZ960" s="554"/>
      <c r="GA960" s="554"/>
      <c r="GB960" s="556"/>
      <c r="GC960" s="370"/>
      <c r="GD960" s="453"/>
      <c r="GE960" s="453"/>
      <c r="GF960" s="453"/>
      <c r="GG960" s="453"/>
      <c r="GH960" s="454"/>
      <c r="GI960" s="453"/>
      <c r="GJ960" s="453"/>
      <c r="GK960" s="453"/>
      <c r="GL960" s="453"/>
      <c r="GM960" s="453"/>
      <c r="GN960" s="453"/>
      <c r="GO960" s="453"/>
      <c r="GP960" s="453"/>
      <c r="GQ960" s="453"/>
      <c r="GR960" s="453"/>
      <c r="GS960" s="561"/>
      <c r="GT960" s="475"/>
      <c r="GU960" s="472"/>
      <c r="GV960" s="453"/>
      <c r="GW960" s="453"/>
      <c r="GX960" s="869"/>
      <c r="GY960" s="870"/>
      <c r="GZ960" s="867"/>
      <c r="HA960" s="868"/>
      <c r="HB960" s="473"/>
      <c r="HC960" s="869"/>
      <c r="HD960" s="870"/>
      <c r="HE960" s="867"/>
      <c r="HF960" s="868"/>
      <c r="HG960" s="473"/>
      <c r="HH960" s="867"/>
      <c r="HI960" s="868"/>
      <c r="HJ960" s="867"/>
      <c r="HK960" s="868"/>
      <c r="HL960" s="370"/>
      <c r="HM960" s="865"/>
      <c r="HN960" s="866"/>
      <c r="HO960" s="865"/>
      <c r="HP960" s="866"/>
      <c r="HQ960" s="865"/>
      <c r="HR960" s="866"/>
      <c r="HS960" s="867"/>
      <c r="HT960" s="868"/>
      <c r="HU960" s="489"/>
      <c r="HV960" s="865"/>
      <c r="HW960" s="866"/>
    </row>
    <row r="961" spans="25:231" ht="15" customHeight="1">
      <c r="Y961" s="332"/>
      <c r="Z961" s="332"/>
      <c r="AA961" s="332"/>
      <c r="AB961" s="332"/>
      <c r="AC961" s="332"/>
      <c r="AD961" s="332"/>
      <c r="AE961" s="332"/>
      <c r="AF961" s="332"/>
      <c r="AG961" s="332"/>
      <c r="AH961" s="332"/>
      <c r="AI961" s="332"/>
      <c r="AJ961" s="332"/>
      <c r="AK961" s="332"/>
      <c r="AL961" s="332"/>
      <c r="AM961" s="332"/>
      <c r="AN961" s="332"/>
      <c r="AO961" s="332"/>
      <c r="AP961" s="332"/>
      <c r="AQ961" s="332"/>
      <c r="AR961" s="332"/>
      <c r="AS961" s="332"/>
      <c r="AT961" s="332"/>
      <c r="AU961" s="332"/>
      <c r="AV961" s="332"/>
      <c r="AW961" s="332"/>
      <c r="AX961" s="332"/>
      <c r="AY961" s="332"/>
      <c r="AZ961" s="332"/>
      <c r="BA961" s="332"/>
      <c r="BB961" s="332"/>
      <c r="BC961" s="332"/>
      <c r="BD961" s="332"/>
      <c r="BE961" s="332"/>
      <c r="BF961" s="332"/>
      <c r="BG961" s="332"/>
      <c r="BH961" s="332"/>
      <c r="BI961" s="332"/>
      <c r="BJ961" s="332"/>
      <c r="BK961" s="332"/>
      <c r="BL961" s="332"/>
      <c r="BM961" s="332"/>
      <c r="BN961" s="332"/>
      <c r="BO961" s="332"/>
      <c r="BP961" s="332"/>
      <c r="BQ961" s="332"/>
      <c r="BR961" s="332"/>
      <c r="BS961" s="332"/>
      <c r="BT961" s="332"/>
      <c r="BU961" s="332"/>
      <c r="BV961" s="332"/>
      <c r="BW961" s="332"/>
      <c r="BX961" s="332"/>
      <c r="BY961" s="332"/>
      <c r="BZ961" s="332"/>
      <c r="CA961" s="332"/>
      <c r="CB961" s="332"/>
      <c r="CC961" s="332"/>
      <c r="CD961" s="332"/>
      <c r="CE961" s="332"/>
      <c r="CF961" s="332"/>
      <c r="CG961" s="332"/>
      <c r="CH961" s="332"/>
      <c r="CI961" s="332"/>
      <c r="CJ961" s="332"/>
      <c r="CK961" s="332"/>
      <c r="CL961" s="332"/>
      <c r="CM961" s="332"/>
      <c r="CN961" s="332"/>
      <c r="CO961" s="332"/>
      <c r="CP961" s="332"/>
      <c r="CQ961" s="332"/>
      <c r="CR961" s="332"/>
      <c r="CS961" s="332"/>
      <c r="CT961" s="332"/>
      <c r="CU961" s="332"/>
      <c r="CV961" s="332"/>
      <c r="CW961" s="332"/>
      <c r="CX961" s="332"/>
      <c r="CY961" s="332"/>
      <c r="CZ961" s="332"/>
      <c r="DA961" s="332"/>
      <c r="DB961" s="332"/>
      <c r="DC961" s="332"/>
      <c r="DD961" s="332"/>
      <c r="DE961" s="332"/>
      <c r="DF961" s="332"/>
      <c r="DG961" s="332"/>
      <c r="DH961" s="332"/>
      <c r="DI961" s="332"/>
      <c r="DJ961" s="332"/>
      <c r="DK961" s="332"/>
      <c r="DL961" s="332"/>
      <c r="DM961" s="332"/>
      <c r="DN961" s="332"/>
      <c r="DO961" s="332"/>
      <c r="DP961" s="332"/>
      <c r="DQ961" s="332"/>
      <c r="DR961" s="332"/>
      <c r="DS961" s="332"/>
      <c r="DT961" s="332"/>
      <c r="DU961" s="453"/>
      <c r="DV961" s="453"/>
      <c r="DW961" s="453"/>
      <c r="DX961" s="453"/>
      <c r="DY961" s="453"/>
      <c r="DZ961" s="453"/>
      <c r="EA961" s="453"/>
      <c r="EB961" s="453"/>
      <c r="EC961" s="453"/>
      <c r="ED961" s="453"/>
      <c r="EE961" s="453"/>
      <c r="EF961" s="453"/>
      <c r="EG961" s="453"/>
      <c r="EH961" s="453"/>
      <c r="EI961" s="453"/>
      <c r="EJ961" s="453"/>
      <c r="EK961" s="453"/>
      <c r="EL961" s="453"/>
      <c r="EM961" s="483">
        <f t="shared" si="243"/>
        <v>652</v>
      </c>
      <c r="EN961" s="485"/>
      <c r="EO961" s="458"/>
      <c r="EP961" s="467"/>
      <c r="EQ961" s="457"/>
      <c r="ER961" s="808"/>
      <c r="ES961" s="881">
        <f t="shared" si="241"/>
        <v>0</v>
      </c>
      <c r="ET961" s="882"/>
      <c r="EU961" s="883"/>
      <c r="EV961" s="884">
        <f t="shared" si="242"/>
        <v>0</v>
      </c>
      <c r="EW961" s="885"/>
      <c r="EX961" s="885"/>
      <c r="EY961" s="885"/>
      <c r="EZ961" s="885"/>
      <c r="FA961" s="885"/>
      <c r="FB961" s="885"/>
      <c r="FC961" s="885"/>
      <c r="FD961" s="886"/>
      <c r="FE961" s="550"/>
      <c r="FF961" s="550"/>
      <c r="FG961" s="550"/>
      <c r="FH961" s="550"/>
      <c r="FI961" s="550"/>
      <c r="FJ961" s="550"/>
      <c r="FK961" s="550"/>
      <c r="FL961" s="555"/>
      <c r="FM961" s="554"/>
      <c r="FN961" s="554"/>
      <c r="FO961" s="554"/>
      <c r="FP961" s="554"/>
      <c r="FQ961" s="554"/>
      <c r="FR961" s="554"/>
      <c r="FS961" s="554"/>
      <c r="FT961" s="554"/>
      <c r="FU961" s="554"/>
      <c r="FV961" s="554"/>
      <c r="FW961" s="554"/>
      <c r="FX961" s="554"/>
      <c r="FY961" s="554"/>
      <c r="FZ961" s="554"/>
      <c r="GA961" s="554"/>
      <c r="GB961" s="556"/>
      <c r="GC961" s="370"/>
      <c r="GD961" s="453"/>
      <c r="GE961" s="453"/>
      <c r="GF961" s="453"/>
      <c r="GG961" s="453"/>
      <c r="GH961" s="454"/>
      <c r="GI961" s="453"/>
      <c r="GJ961" s="453"/>
      <c r="GK961" s="453"/>
      <c r="GL961" s="453"/>
      <c r="GM961" s="453"/>
      <c r="GN961" s="453"/>
      <c r="GO961" s="453"/>
      <c r="GP961" s="453"/>
      <c r="GQ961" s="453"/>
      <c r="GR961" s="453"/>
      <c r="GS961" s="561"/>
      <c r="GT961" s="475"/>
      <c r="GU961" s="472"/>
      <c r="GV961" s="453"/>
      <c r="GW961" s="453"/>
      <c r="GX961" s="869"/>
      <c r="GY961" s="870"/>
      <c r="GZ961" s="867"/>
      <c r="HA961" s="868"/>
      <c r="HB961" s="473"/>
      <c r="HC961" s="869"/>
      <c r="HD961" s="870"/>
      <c r="HE961" s="867"/>
      <c r="HF961" s="868"/>
      <c r="HG961" s="473"/>
      <c r="HH961" s="867"/>
      <c r="HI961" s="868"/>
      <c r="HJ961" s="867"/>
      <c r="HK961" s="868"/>
      <c r="HL961" s="370"/>
      <c r="HM961" s="865"/>
      <c r="HN961" s="866"/>
      <c r="HO961" s="865"/>
      <c r="HP961" s="866"/>
      <c r="HQ961" s="865"/>
      <c r="HR961" s="866"/>
      <c r="HS961" s="867"/>
      <c r="HT961" s="868"/>
      <c r="HU961" s="489"/>
      <c r="HV961" s="865"/>
      <c r="HW961" s="866"/>
    </row>
    <row r="962" spans="25:231" ht="15" customHeight="1">
      <c r="Y962" s="332"/>
      <c r="Z962" s="332"/>
      <c r="AA962" s="332"/>
      <c r="AB962" s="332"/>
      <c r="AC962" s="332"/>
      <c r="AD962" s="332"/>
      <c r="AE962" s="332"/>
      <c r="AF962" s="332"/>
      <c r="AG962" s="332"/>
      <c r="AH962" s="332"/>
      <c r="AI962" s="332"/>
      <c r="AJ962" s="332"/>
      <c r="AK962" s="332"/>
      <c r="AL962" s="332"/>
      <c r="AM962" s="332"/>
      <c r="AN962" s="332"/>
      <c r="AO962" s="332"/>
      <c r="AP962" s="332"/>
      <c r="AQ962" s="332"/>
      <c r="AR962" s="332"/>
      <c r="AS962" s="332"/>
      <c r="AT962" s="332"/>
      <c r="AU962" s="332"/>
      <c r="AV962" s="332"/>
      <c r="AW962" s="332"/>
      <c r="AX962" s="332"/>
      <c r="AY962" s="332"/>
      <c r="AZ962" s="332"/>
      <c r="BA962" s="332"/>
      <c r="BB962" s="332"/>
      <c r="BC962" s="332"/>
      <c r="BD962" s="332"/>
      <c r="BE962" s="332"/>
      <c r="BF962" s="332"/>
      <c r="BG962" s="332"/>
      <c r="BH962" s="332"/>
      <c r="BI962" s="332"/>
      <c r="BJ962" s="332"/>
      <c r="BK962" s="332"/>
      <c r="BL962" s="332"/>
      <c r="BM962" s="332"/>
      <c r="BN962" s="332"/>
      <c r="BO962" s="332"/>
      <c r="BP962" s="332"/>
      <c r="BQ962" s="332"/>
      <c r="BR962" s="332"/>
      <c r="BS962" s="332"/>
      <c r="BT962" s="332"/>
      <c r="BU962" s="332"/>
      <c r="BV962" s="332"/>
      <c r="BW962" s="332"/>
      <c r="BX962" s="332"/>
      <c r="BY962" s="332"/>
      <c r="BZ962" s="332"/>
      <c r="CA962" s="332"/>
      <c r="CB962" s="332"/>
      <c r="CC962" s="332"/>
      <c r="CD962" s="332"/>
      <c r="CE962" s="332"/>
      <c r="CF962" s="332"/>
      <c r="CG962" s="332"/>
      <c r="CH962" s="332"/>
      <c r="CI962" s="332"/>
      <c r="CJ962" s="332"/>
      <c r="CK962" s="332"/>
      <c r="CL962" s="332"/>
      <c r="CM962" s="332"/>
      <c r="CN962" s="332"/>
      <c r="CO962" s="332"/>
      <c r="CP962" s="332"/>
      <c r="CQ962" s="332"/>
      <c r="CR962" s="332"/>
      <c r="CS962" s="332"/>
      <c r="CT962" s="332"/>
      <c r="CU962" s="332"/>
      <c r="CV962" s="332"/>
      <c r="CW962" s="332"/>
      <c r="CX962" s="332"/>
      <c r="CY962" s="332"/>
      <c r="CZ962" s="332"/>
      <c r="DA962" s="332"/>
      <c r="DB962" s="332"/>
      <c r="DC962" s="332"/>
      <c r="DD962" s="332"/>
      <c r="DE962" s="332"/>
      <c r="DF962" s="332"/>
      <c r="DG962" s="332"/>
      <c r="DH962" s="332"/>
      <c r="DI962" s="332"/>
      <c r="DJ962" s="332"/>
      <c r="DK962" s="332"/>
      <c r="DL962" s="332"/>
      <c r="DM962" s="332"/>
      <c r="DN962" s="332"/>
      <c r="DO962" s="332"/>
      <c r="DP962" s="332"/>
      <c r="DQ962" s="332"/>
      <c r="DR962" s="332"/>
      <c r="DS962" s="332"/>
      <c r="DT962" s="332"/>
      <c r="DU962" s="453"/>
      <c r="DV962" s="453"/>
      <c r="DW962" s="453"/>
      <c r="DX962" s="453"/>
      <c r="DY962" s="453"/>
      <c r="DZ962" s="453"/>
      <c r="EA962" s="453"/>
      <c r="EB962" s="453"/>
      <c r="EC962" s="453"/>
      <c r="ED962" s="453"/>
      <c r="EE962" s="453"/>
      <c r="EF962" s="453"/>
      <c r="EG962" s="453"/>
      <c r="EH962" s="453"/>
      <c r="EI962" s="453"/>
      <c r="EJ962" s="453"/>
      <c r="EK962" s="453"/>
      <c r="EL962" s="453"/>
      <c r="EM962" s="483">
        <f t="shared" si="243"/>
        <v>653</v>
      </c>
      <c r="EN962" s="485"/>
      <c r="EO962" s="458"/>
      <c r="EP962" s="467"/>
      <c r="EQ962" s="457"/>
      <c r="ER962" s="808"/>
      <c r="ES962" s="881">
        <f t="shared" si="241"/>
        <v>0</v>
      </c>
      <c r="ET962" s="882"/>
      <c r="EU962" s="883"/>
      <c r="EV962" s="884">
        <f t="shared" si="242"/>
        <v>0</v>
      </c>
      <c r="EW962" s="885"/>
      <c r="EX962" s="885"/>
      <c r="EY962" s="885"/>
      <c r="EZ962" s="885"/>
      <c r="FA962" s="885"/>
      <c r="FB962" s="885"/>
      <c r="FC962" s="885"/>
      <c r="FD962" s="886"/>
      <c r="FE962" s="550"/>
      <c r="FF962" s="550"/>
      <c r="FG962" s="550"/>
      <c r="FH962" s="550"/>
      <c r="FI962" s="550"/>
      <c r="FJ962" s="550"/>
      <c r="FK962" s="550"/>
      <c r="FL962" s="555"/>
      <c r="FM962" s="554"/>
      <c r="FN962" s="554"/>
      <c r="FO962" s="554"/>
      <c r="FP962" s="554"/>
      <c r="FQ962" s="554"/>
      <c r="FR962" s="554"/>
      <c r="FS962" s="554"/>
      <c r="FT962" s="554"/>
      <c r="FU962" s="554"/>
      <c r="FV962" s="554"/>
      <c r="FW962" s="554"/>
      <c r="FX962" s="554"/>
      <c r="FY962" s="554"/>
      <c r="FZ962" s="554"/>
      <c r="GA962" s="554"/>
      <c r="GB962" s="556"/>
      <c r="GC962" s="370"/>
      <c r="GD962" s="453"/>
      <c r="GE962" s="453"/>
      <c r="GF962" s="453"/>
      <c r="GG962" s="453"/>
      <c r="GH962" s="454"/>
      <c r="GI962" s="453"/>
      <c r="GJ962" s="453"/>
      <c r="GK962" s="453"/>
      <c r="GL962" s="453"/>
      <c r="GM962" s="453"/>
      <c r="GN962" s="453"/>
      <c r="GO962" s="453"/>
      <c r="GP962" s="453"/>
      <c r="GQ962" s="453"/>
      <c r="GR962" s="453"/>
      <c r="GS962" s="561"/>
      <c r="GT962" s="475"/>
      <c r="GU962" s="472"/>
      <c r="GV962" s="453"/>
      <c r="GW962" s="453"/>
      <c r="GX962" s="869"/>
      <c r="GY962" s="870"/>
      <c r="GZ962" s="867"/>
      <c r="HA962" s="868"/>
      <c r="HB962" s="473"/>
      <c r="HC962" s="869"/>
      <c r="HD962" s="870"/>
      <c r="HE962" s="867"/>
      <c r="HF962" s="868"/>
      <c r="HG962" s="473"/>
      <c r="HH962" s="867"/>
      <c r="HI962" s="868"/>
      <c r="HJ962" s="867"/>
      <c r="HK962" s="868"/>
      <c r="HL962" s="370"/>
      <c r="HM962" s="865"/>
      <c r="HN962" s="866"/>
      <c r="HO962" s="865"/>
      <c r="HP962" s="866"/>
      <c r="HQ962" s="865"/>
      <c r="HR962" s="866"/>
      <c r="HS962" s="867"/>
      <c r="HT962" s="868"/>
      <c r="HU962" s="489"/>
      <c r="HV962" s="865"/>
      <c r="HW962" s="866"/>
    </row>
    <row r="963" spans="25:231" ht="15" customHeight="1">
      <c r="Y963" s="332"/>
      <c r="Z963" s="332"/>
      <c r="AA963" s="332"/>
      <c r="AB963" s="332"/>
      <c r="AC963" s="332"/>
      <c r="AD963" s="332"/>
      <c r="AE963" s="332"/>
      <c r="AF963" s="332"/>
      <c r="AG963" s="332"/>
      <c r="AH963" s="332"/>
      <c r="AI963" s="332"/>
      <c r="AJ963" s="332"/>
      <c r="AK963" s="332"/>
      <c r="AL963" s="332"/>
      <c r="AM963" s="332"/>
      <c r="AN963" s="332"/>
      <c r="AO963" s="332"/>
      <c r="AP963" s="332"/>
      <c r="AQ963" s="332"/>
      <c r="AR963" s="332"/>
      <c r="AS963" s="332"/>
      <c r="AT963" s="332"/>
      <c r="AU963" s="332"/>
      <c r="AV963" s="332"/>
      <c r="AW963" s="332"/>
      <c r="AX963" s="332"/>
      <c r="AY963" s="332"/>
      <c r="AZ963" s="332"/>
      <c r="BA963" s="332"/>
      <c r="BB963" s="332"/>
      <c r="BC963" s="332"/>
      <c r="BD963" s="332"/>
      <c r="BE963" s="332"/>
      <c r="BF963" s="332"/>
      <c r="BG963" s="332"/>
      <c r="BH963" s="332"/>
      <c r="BI963" s="332"/>
      <c r="BJ963" s="332"/>
      <c r="BK963" s="332"/>
      <c r="BL963" s="332"/>
      <c r="BM963" s="332"/>
      <c r="BN963" s="332"/>
      <c r="BO963" s="332"/>
      <c r="BP963" s="332"/>
      <c r="BQ963" s="332"/>
      <c r="BR963" s="332"/>
      <c r="BS963" s="332"/>
      <c r="BT963" s="332"/>
      <c r="BU963" s="332"/>
      <c r="BV963" s="332"/>
      <c r="BW963" s="332"/>
      <c r="BX963" s="332"/>
      <c r="BY963" s="332"/>
      <c r="BZ963" s="332"/>
      <c r="CA963" s="332"/>
      <c r="CB963" s="332"/>
      <c r="CC963" s="332"/>
      <c r="CD963" s="332"/>
      <c r="CE963" s="332"/>
      <c r="CF963" s="332"/>
      <c r="CG963" s="332"/>
      <c r="CH963" s="332"/>
      <c r="CI963" s="332"/>
      <c r="CJ963" s="332"/>
      <c r="CK963" s="332"/>
      <c r="CL963" s="332"/>
      <c r="CM963" s="332"/>
      <c r="CN963" s="332"/>
      <c r="CO963" s="332"/>
      <c r="CP963" s="332"/>
      <c r="CQ963" s="332"/>
      <c r="CR963" s="332"/>
      <c r="CS963" s="332"/>
      <c r="CT963" s="332"/>
      <c r="CU963" s="332"/>
      <c r="CV963" s="332"/>
      <c r="CW963" s="332"/>
      <c r="CX963" s="332"/>
      <c r="CY963" s="332"/>
      <c r="CZ963" s="332"/>
      <c r="DA963" s="332"/>
      <c r="DB963" s="332"/>
      <c r="DC963" s="332"/>
      <c r="DD963" s="332"/>
      <c r="DE963" s="332"/>
      <c r="DF963" s="332"/>
      <c r="DG963" s="332"/>
      <c r="DH963" s="332"/>
      <c r="DI963" s="332"/>
      <c r="DJ963" s="332"/>
      <c r="DK963" s="332"/>
      <c r="DL963" s="332"/>
      <c r="DM963" s="332"/>
      <c r="DN963" s="332"/>
      <c r="DO963" s="332"/>
      <c r="DP963" s="332"/>
      <c r="DQ963" s="332"/>
      <c r="DR963" s="332"/>
      <c r="DS963" s="332"/>
      <c r="DT963" s="332"/>
      <c r="DU963" s="453"/>
      <c r="DV963" s="453"/>
      <c r="DW963" s="453"/>
      <c r="DX963" s="453"/>
      <c r="DY963" s="453"/>
      <c r="DZ963" s="453"/>
      <c r="EA963" s="453"/>
      <c r="EB963" s="453"/>
      <c r="EC963" s="453"/>
      <c r="ED963" s="453"/>
      <c r="EE963" s="453"/>
      <c r="EF963" s="453"/>
      <c r="EG963" s="453"/>
      <c r="EH963" s="453"/>
      <c r="EI963" s="453"/>
      <c r="EJ963" s="453"/>
      <c r="EK963" s="453"/>
      <c r="EL963" s="453"/>
      <c r="EM963" s="483">
        <f t="shared" si="243"/>
        <v>654</v>
      </c>
      <c r="EN963" s="485"/>
      <c r="EO963" s="458"/>
      <c r="EP963" s="467"/>
      <c r="EQ963" s="457"/>
      <c r="ER963" s="808"/>
      <c r="ES963" s="881">
        <f t="shared" si="241"/>
        <v>0</v>
      </c>
      <c r="ET963" s="882"/>
      <c r="EU963" s="883"/>
      <c r="EV963" s="884">
        <f t="shared" si="242"/>
        <v>0</v>
      </c>
      <c r="EW963" s="885"/>
      <c r="EX963" s="885"/>
      <c r="EY963" s="885"/>
      <c r="EZ963" s="885"/>
      <c r="FA963" s="885"/>
      <c r="FB963" s="885"/>
      <c r="FC963" s="885"/>
      <c r="FD963" s="886"/>
      <c r="FE963" s="550"/>
      <c r="FF963" s="550"/>
      <c r="FG963" s="550"/>
      <c r="FH963" s="550"/>
      <c r="FI963" s="550"/>
      <c r="FJ963" s="550"/>
      <c r="FK963" s="550"/>
      <c r="FL963" s="555"/>
      <c r="FM963" s="554"/>
      <c r="FN963" s="554"/>
      <c r="FO963" s="554"/>
      <c r="FP963" s="554"/>
      <c r="FQ963" s="554"/>
      <c r="FR963" s="554"/>
      <c r="FS963" s="554"/>
      <c r="FT963" s="554"/>
      <c r="FU963" s="554"/>
      <c r="FV963" s="554"/>
      <c r="FW963" s="554"/>
      <c r="FX963" s="554"/>
      <c r="FY963" s="554"/>
      <c r="FZ963" s="554"/>
      <c r="GA963" s="554"/>
      <c r="GB963" s="556"/>
      <c r="GC963" s="370"/>
      <c r="GD963" s="453"/>
      <c r="GE963" s="453"/>
      <c r="GF963" s="453"/>
      <c r="GG963" s="453"/>
      <c r="GH963" s="454"/>
      <c r="GI963" s="453"/>
      <c r="GJ963" s="453"/>
      <c r="GK963" s="453"/>
      <c r="GL963" s="453"/>
      <c r="GM963" s="453"/>
      <c r="GN963" s="453"/>
      <c r="GO963" s="453"/>
      <c r="GP963" s="453"/>
      <c r="GQ963" s="453"/>
      <c r="GR963" s="453"/>
      <c r="GS963" s="561"/>
      <c r="GT963" s="475"/>
      <c r="GU963" s="472"/>
      <c r="GV963" s="453"/>
      <c r="GW963" s="453"/>
      <c r="GX963" s="869"/>
      <c r="GY963" s="870"/>
      <c r="GZ963" s="867"/>
      <c r="HA963" s="868"/>
      <c r="HB963" s="473"/>
      <c r="HC963" s="869"/>
      <c r="HD963" s="870"/>
      <c r="HE963" s="867"/>
      <c r="HF963" s="868"/>
      <c r="HG963" s="473"/>
      <c r="HH963" s="867"/>
      <c r="HI963" s="868"/>
      <c r="HJ963" s="867"/>
      <c r="HK963" s="868"/>
      <c r="HL963" s="370"/>
      <c r="HM963" s="865"/>
      <c r="HN963" s="866"/>
      <c r="HO963" s="865"/>
      <c r="HP963" s="866"/>
      <c r="HQ963" s="865"/>
      <c r="HR963" s="866"/>
      <c r="HS963" s="867"/>
      <c r="HT963" s="868"/>
      <c r="HU963" s="489"/>
      <c r="HV963" s="865"/>
      <c r="HW963" s="866"/>
    </row>
    <row r="964" spans="25:231" ht="15" customHeight="1">
      <c r="Y964" s="332"/>
      <c r="Z964" s="332"/>
      <c r="AA964" s="332"/>
      <c r="AB964" s="332"/>
      <c r="AC964" s="332"/>
      <c r="AD964" s="332"/>
      <c r="AE964" s="332"/>
      <c r="AF964" s="332"/>
      <c r="AG964" s="332"/>
      <c r="AH964" s="332"/>
      <c r="AI964" s="332"/>
      <c r="AJ964" s="332"/>
      <c r="AK964" s="332"/>
      <c r="AL964" s="332"/>
      <c r="AM964" s="332"/>
      <c r="AN964" s="332"/>
      <c r="AO964" s="332"/>
      <c r="AP964" s="332"/>
      <c r="AQ964" s="332"/>
      <c r="AR964" s="332"/>
      <c r="AS964" s="332"/>
      <c r="AT964" s="332"/>
      <c r="AU964" s="332"/>
      <c r="AV964" s="332"/>
      <c r="AW964" s="332"/>
      <c r="AX964" s="332"/>
      <c r="AY964" s="332"/>
      <c r="AZ964" s="332"/>
      <c r="BA964" s="332"/>
      <c r="BB964" s="332"/>
      <c r="BC964" s="332"/>
      <c r="BD964" s="332"/>
      <c r="BE964" s="332"/>
      <c r="BF964" s="332"/>
      <c r="BG964" s="332"/>
      <c r="BH964" s="332"/>
      <c r="BI964" s="332"/>
      <c r="BJ964" s="332"/>
      <c r="BK964" s="332"/>
      <c r="BL964" s="332"/>
      <c r="BM964" s="332"/>
      <c r="BN964" s="332"/>
      <c r="BO964" s="332"/>
      <c r="BP964" s="332"/>
      <c r="BQ964" s="332"/>
      <c r="BR964" s="332"/>
      <c r="BS964" s="332"/>
      <c r="BT964" s="332"/>
      <c r="BU964" s="332"/>
      <c r="BV964" s="332"/>
      <c r="BW964" s="332"/>
      <c r="BX964" s="332"/>
      <c r="BY964" s="332"/>
      <c r="BZ964" s="332"/>
      <c r="CA964" s="332"/>
      <c r="CB964" s="332"/>
      <c r="CC964" s="332"/>
      <c r="CD964" s="332"/>
      <c r="CE964" s="332"/>
      <c r="CF964" s="332"/>
      <c r="CG964" s="332"/>
      <c r="CH964" s="332"/>
      <c r="CI964" s="332"/>
      <c r="CJ964" s="332"/>
      <c r="CK964" s="332"/>
      <c r="CL964" s="332"/>
      <c r="CM964" s="332"/>
      <c r="CN964" s="332"/>
      <c r="CO964" s="332"/>
      <c r="CP964" s="332"/>
      <c r="CQ964" s="332"/>
      <c r="CR964" s="332"/>
      <c r="CS964" s="332"/>
      <c r="CT964" s="332"/>
      <c r="CU964" s="332"/>
      <c r="CV964" s="332"/>
      <c r="CW964" s="332"/>
      <c r="CX964" s="332"/>
      <c r="CY964" s="332"/>
      <c r="CZ964" s="332"/>
      <c r="DA964" s="332"/>
      <c r="DB964" s="332"/>
      <c r="DC964" s="332"/>
      <c r="DD964" s="332"/>
      <c r="DE964" s="332"/>
      <c r="DF964" s="332"/>
      <c r="DG964" s="332"/>
      <c r="DH964" s="332"/>
      <c r="DI964" s="332"/>
      <c r="DJ964" s="332"/>
      <c r="DK964" s="332"/>
      <c r="DL964" s="332"/>
      <c r="DM964" s="332"/>
      <c r="DN964" s="332"/>
      <c r="DO964" s="332"/>
      <c r="DP964" s="332"/>
      <c r="DQ964" s="332"/>
      <c r="DR964" s="332"/>
      <c r="DS964" s="332"/>
      <c r="DT964" s="332"/>
      <c r="DU964" s="453"/>
      <c r="DV964" s="453"/>
      <c r="DW964" s="453"/>
      <c r="DX964" s="453"/>
      <c r="DY964" s="453"/>
      <c r="DZ964" s="453"/>
      <c r="EA964" s="453"/>
      <c r="EB964" s="453"/>
      <c r="EC964" s="453"/>
      <c r="ED964" s="453"/>
      <c r="EE964" s="453"/>
      <c r="EF964" s="453"/>
      <c r="EG964" s="453"/>
      <c r="EH964" s="453"/>
      <c r="EI964" s="453"/>
      <c r="EJ964" s="453"/>
      <c r="EK964" s="453"/>
      <c r="EL964" s="453"/>
      <c r="EM964" s="483">
        <f t="shared" si="243"/>
        <v>655</v>
      </c>
      <c r="EN964" s="485"/>
      <c r="EO964" s="458"/>
      <c r="EP964" s="467"/>
      <c r="EQ964" s="457"/>
      <c r="ER964" s="808"/>
      <c r="ES964" s="881">
        <f t="shared" si="241"/>
        <v>0</v>
      </c>
      <c r="ET964" s="882"/>
      <c r="EU964" s="883"/>
      <c r="EV964" s="884">
        <f t="shared" si="242"/>
        <v>0</v>
      </c>
      <c r="EW964" s="885"/>
      <c r="EX964" s="885"/>
      <c r="EY964" s="885"/>
      <c r="EZ964" s="885"/>
      <c r="FA964" s="885"/>
      <c r="FB964" s="885"/>
      <c r="FC964" s="885"/>
      <c r="FD964" s="886"/>
      <c r="FE964" s="550"/>
      <c r="FF964" s="550"/>
      <c r="FG964" s="550"/>
      <c r="FH964" s="550"/>
      <c r="FI964" s="550"/>
      <c r="FJ964" s="550"/>
      <c r="FK964" s="550"/>
      <c r="FL964" s="555"/>
      <c r="FM964" s="554"/>
      <c r="FN964" s="554"/>
      <c r="FO964" s="554"/>
      <c r="FP964" s="554"/>
      <c r="FQ964" s="554"/>
      <c r="FR964" s="554"/>
      <c r="FS964" s="554"/>
      <c r="FT964" s="554"/>
      <c r="FU964" s="554"/>
      <c r="FV964" s="554"/>
      <c r="FW964" s="554"/>
      <c r="FX964" s="554"/>
      <c r="FY964" s="554"/>
      <c r="FZ964" s="554"/>
      <c r="GA964" s="554"/>
      <c r="GB964" s="556"/>
      <c r="GC964" s="370"/>
      <c r="GD964" s="453"/>
      <c r="GE964" s="453"/>
      <c r="GF964" s="453"/>
      <c r="GG964" s="453"/>
      <c r="GH964" s="454"/>
      <c r="GI964" s="453"/>
      <c r="GJ964" s="453"/>
      <c r="GK964" s="453"/>
      <c r="GL964" s="453"/>
      <c r="GM964" s="453"/>
      <c r="GN964" s="453"/>
      <c r="GO964" s="453"/>
      <c r="GP964" s="453"/>
      <c r="GQ964" s="453"/>
      <c r="GR964" s="453"/>
      <c r="GS964" s="561"/>
      <c r="GT964" s="475"/>
      <c r="GU964" s="472"/>
      <c r="GV964" s="453"/>
      <c r="GW964" s="453"/>
      <c r="GX964" s="869"/>
      <c r="GY964" s="870"/>
      <c r="GZ964" s="867"/>
      <c r="HA964" s="868"/>
      <c r="HB964" s="473"/>
      <c r="HC964" s="869"/>
      <c r="HD964" s="870"/>
      <c r="HE964" s="867"/>
      <c r="HF964" s="868"/>
      <c r="HG964" s="473"/>
      <c r="HH964" s="867"/>
      <c r="HI964" s="868"/>
      <c r="HJ964" s="867"/>
      <c r="HK964" s="868"/>
      <c r="HL964" s="370"/>
      <c r="HM964" s="865"/>
      <c r="HN964" s="866"/>
      <c r="HO964" s="865"/>
      <c r="HP964" s="866"/>
      <c r="HQ964" s="865"/>
      <c r="HR964" s="866"/>
      <c r="HS964" s="867"/>
      <c r="HT964" s="868"/>
      <c r="HU964" s="489"/>
      <c r="HV964" s="865"/>
      <c r="HW964" s="866"/>
    </row>
    <row r="965" spans="25:231" ht="15" customHeight="1">
      <c r="Y965" s="332"/>
      <c r="Z965" s="332"/>
      <c r="AA965" s="332"/>
      <c r="AB965" s="332"/>
      <c r="AC965" s="332"/>
      <c r="AD965" s="332"/>
      <c r="AE965" s="332"/>
      <c r="AF965" s="332"/>
      <c r="AG965" s="332"/>
      <c r="AH965" s="332"/>
      <c r="AI965" s="332"/>
      <c r="AJ965" s="332"/>
      <c r="AK965" s="332"/>
      <c r="AL965" s="332"/>
      <c r="AM965" s="332"/>
      <c r="AN965" s="332"/>
      <c r="AO965" s="332"/>
      <c r="AP965" s="332"/>
      <c r="AQ965" s="332"/>
      <c r="AR965" s="332"/>
      <c r="AS965" s="332"/>
      <c r="AT965" s="332"/>
      <c r="AU965" s="332"/>
      <c r="AV965" s="332"/>
      <c r="AW965" s="332"/>
      <c r="AX965" s="332"/>
      <c r="AY965" s="332"/>
      <c r="AZ965" s="332"/>
      <c r="BA965" s="332"/>
      <c r="BB965" s="332"/>
      <c r="BC965" s="332"/>
      <c r="BD965" s="332"/>
      <c r="BE965" s="332"/>
      <c r="BF965" s="332"/>
      <c r="BG965" s="332"/>
      <c r="BH965" s="332"/>
      <c r="BI965" s="332"/>
      <c r="BJ965" s="332"/>
      <c r="BK965" s="332"/>
      <c r="BL965" s="332"/>
      <c r="BM965" s="332"/>
      <c r="BN965" s="332"/>
      <c r="BO965" s="332"/>
      <c r="BP965" s="332"/>
      <c r="BQ965" s="332"/>
      <c r="BR965" s="332"/>
      <c r="BS965" s="332"/>
      <c r="BT965" s="332"/>
      <c r="BU965" s="332"/>
      <c r="BV965" s="332"/>
      <c r="BW965" s="332"/>
      <c r="BX965" s="332"/>
      <c r="BY965" s="332"/>
      <c r="BZ965" s="332"/>
      <c r="CA965" s="332"/>
      <c r="CB965" s="332"/>
      <c r="CC965" s="332"/>
      <c r="CD965" s="332"/>
      <c r="CE965" s="332"/>
      <c r="CF965" s="332"/>
      <c r="CG965" s="332"/>
      <c r="CH965" s="332"/>
      <c r="CI965" s="332"/>
      <c r="CJ965" s="332"/>
      <c r="CK965" s="332"/>
      <c r="CL965" s="332"/>
      <c r="CM965" s="332"/>
      <c r="CN965" s="332"/>
      <c r="CO965" s="332"/>
      <c r="CP965" s="332"/>
      <c r="CQ965" s="332"/>
      <c r="CR965" s="332"/>
      <c r="CS965" s="332"/>
      <c r="CT965" s="332"/>
      <c r="CU965" s="332"/>
      <c r="CV965" s="332"/>
      <c r="CW965" s="332"/>
      <c r="CX965" s="332"/>
      <c r="CY965" s="332"/>
      <c r="CZ965" s="332"/>
      <c r="DA965" s="332"/>
      <c r="DB965" s="332"/>
      <c r="DC965" s="332"/>
      <c r="DD965" s="332"/>
      <c r="DE965" s="332"/>
      <c r="DF965" s="332"/>
      <c r="DG965" s="332"/>
      <c r="DH965" s="332"/>
      <c r="DI965" s="332"/>
      <c r="DJ965" s="332"/>
      <c r="DK965" s="332"/>
      <c r="DL965" s="332"/>
      <c r="DM965" s="332"/>
      <c r="DN965" s="332"/>
      <c r="DO965" s="332"/>
      <c r="DP965" s="332"/>
      <c r="DQ965" s="332"/>
      <c r="DR965" s="332"/>
      <c r="DS965" s="332"/>
      <c r="DT965" s="332"/>
      <c r="DU965" s="453"/>
      <c r="DV965" s="453"/>
      <c r="DW965" s="453"/>
      <c r="DX965" s="453"/>
      <c r="DY965" s="453"/>
      <c r="DZ965" s="453"/>
      <c r="EA965" s="453"/>
      <c r="EB965" s="453"/>
      <c r="EC965" s="453"/>
      <c r="ED965" s="453"/>
      <c r="EE965" s="453"/>
      <c r="EF965" s="453"/>
      <c r="EG965" s="453"/>
      <c r="EH965" s="453"/>
      <c r="EI965" s="453"/>
      <c r="EJ965" s="453"/>
      <c r="EK965" s="453"/>
      <c r="EL965" s="453"/>
      <c r="EM965" s="483">
        <f t="shared" si="243"/>
        <v>656</v>
      </c>
      <c r="EN965" s="485"/>
      <c r="EO965" s="458"/>
      <c r="EP965" s="467"/>
      <c r="EQ965" s="457"/>
      <c r="ER965" s="808"/>
      <c r="ES965" s="881">
        <f t="shared" si="241"/>
        <v>0</v>
      </c>
      <c r="ET965" s="882"/>
      <c r="EU965" s="883"/>
      <c r="EV965" s="884">
        <f t="shared" si="242"/>
        <v>0</v>
      </c>
      <c r="EW965" s="885"/>
      <c r="EX965" s="885"/>
      <c r="EY965" s="885"/>
      <c r="EZ965" s="885"/>
      <c r="FA965" s="885"/>
      <c r="FB965" s="885"/>
      <c r="FC965" s="885"/>
      <c r="FD965" s="886"/>
      <c r="FE965" s="550"/>
      <c r="FF965" s="550"/>
      <c r="FG965" s="550"/>
      <c r="FH965" s="550"/>
      <c r="FI965" s="550"/>
      <c r="FJ965" s="550"/>
      <c r="FK965" s="550"/>
      <c r="FL965" s="555"/>
      <c r="FM965" s="554"/>
      <c r="FN965" s="554"/>
      <c r="FO965" s="554"/>
      <c r="FP965" s="554"/>
      <c r="FQ965" s="554"/>
      <c r="FR965" s="554"/>
      <c r="FS965" s="554"/>
      <c r="FT965" s="554"/>
      <c r="FU965" s="554"/>
      <c r="FV965" s="554"/>
      <c r="FW965" s="554"/>
      <c r="FX965" s="554"/>
      <c r="FY965" s="554"/>
      <c r="FZ965" s="554"/>
      <c r="GA965" s="554"/>
      <c r="GB965" s="556"/>
      <c r="GC965" s="370"/>
      <c r="GD965" s="453"/>
      <c r="GE965" s="453"/>
      <c r="GF965" s="453"/>
      <c r="GG965" s="453"/>
      <c r="GH965" s="454"/>
      <c r="GI965" s="453"/>
      <c r="GJ965" s="453"/>
      <c r="GK965" s="453"/>
      <c r="GL965" s="453"/>
      <c r="GM965" s="453"/>
      <c r="GN965" s="453"/>
      <c r="GO965" s="453"/>
      <c r="GP965" s="453"/>
      <c r="GQ965" s="453"/>
      <c r="GR965" s="453"/>
      <c r="GS965" s="561"/>
      <c r="GT965" s="475"/>
      <c r="GU965" s="472"/>
      <c r="GV965" s="453"/>
      <c r="GW965" s="453"/>
      <c r="GX965" s="869"/>
      <c r="GY965" s="870"/>
      <c r="GZ965" s="867"/>
      <c r="HA965" s="868"/>
      <c r="HB965" s="473"/>
      <c r="HC965" s="869"/>
      <c r="HD965" s="870"/>
      <c r="HE965" s="867"/>
      <c r="HF965" s="868"/>
      <c r="HG965" s="473"/>
      <c r="HH965" s="867"/>
      <c r="HI965" s="868"/>
      <c r="HJ965" s="867"/>
      <c r="HK965" s="868"/>
      <c r="HL965" s="370"/>
      <c r="HM965" s="865"/>
      <c r="HN965" s="866"/>
      <c r="HO965" s="865"/>
      <c r="HP965" s="866"/>
      <c r="HQ965" s="865"/>
      <c r="HR965" s="866"/>
      <c r="HS965" s="867"/>
      <c r="HT965" s="868"/>
      <c r="HU965" s="489"/>
      <c r="HV965" s="865"/>
      <c r="HW965" s="866"/>
    </row>
    <row r="966" spans="25:231" ht="15" customHeight="1">
      <c r="Y966" s="332"/>
      <c r="Z966" s="332"/>
      <c r="AA966" s="332"/>
      <c r="AB966" s="332"/>
      <c r="AC966" s="332"/>
      <c r="AD966" s="332"/>
      <c r="AE966" s="332"/>
      <c r="AF966" s="332"/>
      <c r="AG966" s="332"/>
      <c r="AH966" s="332"/>
      <c r="AI966" s="332"/>
      <c r="AJ966" s="332"/>
      <c r="AK966" s="332"/>
      <c r="AL966" s="332"/>
      <c r="AM966" s="332"/>
      <c r="AN966" s="332"/>
      <c r="AO966" s="332"/>
      <c r="AP966" s="332"/>
      <c r="AQ966" s="332"/>
      <c r="AR966" s="332"/>
      <c r="AS966" s="332"/>
      <c r="AT966" s="332"/>
      <c r="AU966" s="332"/>
      <c r="AV966" s="332"/>
      <c r="AW966" s="332"/>
      <c r="AX966" s="332"/>
      <c r="AY966" s="332"/>
      <c r="AZ966" s="332"/>
      <c r="BA966" s="332"/>
      <c r="BB966" s="332"/>
      <c r="BC966" s="332"/>
      <c r="BD966" s="332"/>
      <c r="BE966" s="332"/>
      <c r="BF966" s="332"/>
      <c r="BG966" s="332"/>
      <c r="BH966" s="332"/>
      <c r="BI966" s="332"/>
      <c r="BJ966" s="332"/>
      <c r="BK966" s="332"/>
      <c r="BL966" s="332"/>
      <c r="BM966" s="332"/>
      <c r="BN966" s="332"/>
      <c r="BO966" s="332"/>
      <c r="BP966" s="332"/>
      <c r="BQ966" s="332"/>
      <c r="BR966" s="332"/>
      <c r="BS966" s="332"/>
      <c r="BT966" s="332"/>
      <c r="BU966" s="332"/>
      <c r="BV966" s="332"/>
      <c r="BW966" s="332"/>
      <c r="BX966" s="332"/>
      <c r="BY966" s="332"/>
      <c r="BZ966" s="332"/>
      <c r="CA966" s="332"/>
      <c r="CB966" s="332"/>
      <c r="CC966" s="332"/>
      <c r="CD966" s="332"/>
      <c r="CE966" s="332"/>
      <c r="CF966" s="332"/>
      <c r="CG966" s="332"/>
      <c r="CH966" s="332"/>
      <c r="CI966" s="332"/>
      <c r="CJ966" s="332"/>
      <c r="CK966" s="332"/>
      <c r="CL966" s="332"/>
      <c r="CM966" s="332"/>
      <c r="CN966" s="332"/>
      <c r="CO966" s="332"/>
      <c r="CP966" s="332"/>
      <c r="CQ966" s="332"/>
      <c r="CR966" s="332"/>
      <c r="CS966" s="332"/>
      <c r="CT966" s="332"/>
      <c r="CU966" s="332"/>
      <c r="CV966" s="332"/>
      <c r="CW966" s="332"/>
      <c r="CX966" s="332"/>
      <c r="CY966" s="332"/>
      <c r="CZ966" s="332"/>
      <c r="DA966" s="332"/>
      <c r="DB966" s="332"/>
      <c r="DC966" s="332"/>
      <c r="DD966" s="332"/>
      <c r="DE966" s="332"/>
      <c r="DF966" s="332"/>
      <c r="DG966" s="332"/>
      <c r="DH966" s="332"/>
      <c r="DI966" s="332"/>
      <c r="DJ966" s="332"/>
      <c r="DK966" s="332"/>
      <c r="DL966" s="332"/>
      <c r="DM966" s="332"/>
      <c r="DN966" s="332"/>
      <c r="DO966" s="332"/>
      <c r="DP966" s="332"/>
      <c r="DQ966" s="332"/>
      <c r="DR966" s="332"/>
      <c r="DS966" s="332"/>
      <c r="DT966" s="332"/>
      <c r="DU966" s="453"/>
      <c r="DV966" s="453"/>
      <c r="DW966" s="453"/>
      <c r="DX966" s="453"/>
      <c r="DY966" s="453"/>
      <c r="DZ966" s="453"/>
      <c r="EA966" s="453"/>
      <c r="EB966" s="453"/>
      <c r="EC966" s="453"/>
      <c r="ED966" s="453"/>
      <c r="EE966" s="453"/>
      <c r="EF966" s="453"/>
      <c r="EG966" s="453"/>
      <c r="EH966" s="453"/>
      <c r="EI966" s="453"/>
      <c r="EJ966" s="453"/>
      <c r="EK966" s="453"/>
      <c r="EL966" s="453"/>
      <c r="EM966" s="483">
        <f t="shared" si="243"/>
        <v>657</v>
      </c>
      <c r="EN966" s="485"/>
      <c r="EO966" s="458"/>
      <c r="EP966" s="467"/>
      <c r="EQ966" s="457"/>
      <c r="ER966" s="808"/>
      <c r="ES966" s="881">
        <f t="shared" si="241"/>
        <v>0</v>
      </c>
      <c r="ET966" s="882"/>
      <c r="EU966" s="883"/>
      <c r="EV966" s="884">
        <f t="shared" si="242"/>
        <v>0</v>
      </c>
      <c r="EW966" s="885"/>
      <c r="EX966" s="885"/>
      <c r="EY966" s="885"/>
      <c r="EZ966" s="885"/>
      <c r="FA966" s="885"/>
      <c r="FB966" s="885"/>
      <c r="FC966" s="885"/>
      <c r="FD966" s="886"/>
      <c r="FE966" s="550"/>
      <c r="FF966" s="550"/>
      <c r="FG966" s="550"/>
      <c r="FH966" s="550"/>
      <c r="FI966" s="550"/>
      <c r="FJ966" s="550"/>
      <c r="FK966" s="550"/>
      <c r="FL966" s="555"/>
      <c r="FM966" s="554"/>
      <c r="FN966" s="554"/>
      <c r="FO966" s="554"/>
      <c r="FP966" s="554"/>
      <c r="FQ966" s="554"/>
      <c r="FR966" s="554"/>
      <c r="FS966" s="554"/>
      <c r="FT966" s="554"/>
      <c r="FU966" s="554"/>
      <c r="FV966" s="554"/>
      <c r="FW966" s="554"/>
      <c r="FX966" s="554"/>
      <c r="FY966" s="554"/>
      <c r="FZ966" s="554"/>
      <c r="GA966" s="554"/>
      <c r="GB966" s="556"/>
      <c r="GC966" s="370"/>
      <c r="GD966" s="453"/>
      <c r="GE966" s="453"/>
      <c r="GF966" s="453"/>
      <c r="GG966" s="453"/>
      <c r="GH966" s="454"/>
      <c r="GI966" s="453"/>
      <c r="GJ966" s="453"/>
      <c r="GK966" s="453"/>
      <c r="GL966" s="453"/>
      <c r="GM966" s="453"/>
      <c r="GN966" s="453"/>
      <c r="GO966" s="453"/>
      <c r="GP966" s="453"/>
      <c r="GQ966" s="453"/>
      <c r="GR966" s="453"/>
      <c r="GS966" s="561"/>
      <c r="GT966" s="475"/>
      <c r="GU966" s="472"/>
      <c r="GV966" s="453"/>
      <c r="GW966" s="453"/>
      <c r="GX966" s="869"/>
      <c r="GY966" s="870"/>
      <c r="GZ966" s="867"/>
      <c r="HA966" s="868"/>
      <c r="HB966" s="473"/>
      <c r="HC966" s="869"/>
      <c r="HD966" s="870"/>
      <c r="HE966" s="867"/>
      <c r="HF966" s="868"/>
      <c r="HG966" s="473"/>
      <c r="HH966" s="867"/>
      <c r="HI966" s="868"/>
      <c r="HJ966" s="867"/>
      <c r="HK966" s="868"/>
      <c r="HL966" s="370"/>
      <c r="HM966" s="865"/>
      <c r="HN966" s="866"/>
      <c r="HO966" s="865"/>
      <c r="HP966" s="866"/>
      <c r="HQ966" s="865"/>
      <c r="HR966" s="866"/>
      <c r="HS966" s="867"/>
      <c r="HT966" s="868"/>
      <c r="HU966" s="489"/>
      <c r="HV966" s="865"/>
      <c r="HW966" s="866"/>
    </row>
    <row r="967" spans="25:231" ht="15" customHeight="1">
      <c r="Y967" s="332"/>
      <c r="Z967" s="332"/>
      <c r="AA967" s="332"/>
      <c r="AB967" s="332"/>
      <c r="AC967" s="332"/>
      <c r="AD967" s="332"/>
      <c r="AE967" s="332"/>
      <c r="AF967" s="332"/>
      <c r="AG967" s="332"/>
      <c r="AH967" s="332"/>
      <c r="AI967" s="332"/>
      <c r="AJ967" s="332"/>
      <c r="AK967" s="332"/>
      <c r="AL967" s="332"/>
      <c r="AM967" s="332"/>
      <c r="AN967" s="332"/>
      <c r="AO967" s="332"/>
      <c r="AP967" s="332"/>
      <c r="AQ967" s="332"/>
      <c r="AR967" s="332"/>
      <c r="AS967" s="332"/>
      <c r="AT967" s="332"/>
      <c r="AU967" s="332"/>
      <c r="AV967" s="332"/>
      <c r="AW967" s="332"/>
      <c r="AX967" s="332"/>
      <c r="AY967" s="332"/>
      <c r="AZ967" s="332"/>
      <c r="BA967" s="332"/>
      <c r="BB967" s="332"/>
      <c r="BC967" s="332"/>
      <c r="BD967" s="332"/>
      <c r="BE967" s="332"/>
      <c r="BF967" s="332"/>
      <c r="BG967" s="332"/>
      <c r="BH967" s="332"/>
      <c r="BI967" s="332"/>
      <c r="BJ967" s="332"/>
      <c r="BK967" s="332"/>
      <c r="BL967" s="332"/>
      <c r="BM967" s="332"/>
      <c r="BN967" s="332"/>
      <c r="BO967" s="332"/>
      <c r="BP967" s="332"/>
      <c r="BQ967" s="332"/>
      <c r="BR967" s="332"/>
      <c r="BS967" s="332"/>
      <c r="BT967" s="332"/>
      <c r="BU967" s="332"/>
      <c r="BV967" s="332"/>
      <c r="BW967" s="332"/>
      <c r="BX967" s="332"/>
      <c r="BY967" s="332"/>
      <c r="BZ967" s="332"/>
      <c r="CA967" s="332"/>
      <c r="CB967" s="332"/>
      <c r="CC967" s="332"/>
      <c r="CD967" s="332"/>
      <c r="CE967" s="332"/>
      <c r="CF967" s="332"/>
      <c r="CG967" s="332"/>
      <c r="CH967" s="332"/>
      <c r="CI967" s="332"/>
      <c r="CJ967" s="332"/>
      <c r="CK967" s="332"/>
      <c r="CL967" s="332"/>
      <c r="CM967" s="332"/>
      <c r="CN967" s="332"/>
      <c r="CO967" s="332"/>
      <c r="CP967" s="332"/>
      <c r="CQ967" s="332"/>
      <c r="CR967" s="332"/>
      <c r="CS967" s="332"/>
      <c r="CT967" s="332"/>
      <c r="CU967" s="332"/>
      <c r="CV967" s="332"/>
      <c r="CW967" s="332"/>
      <c r="CX967" s="332"/>
      <c r="CY967" s="332"/>
      <c r="CZ967" s="332"/>
      <c r="DA967" s="332"/>
      <c r="DB967" s="332"/>
      <c r="DC967" s="332"/>
      <c r="DD967" s="332"/>
      <c r="DE967" s="332"/>
      <c r="DF967" s="332"/>
      <c r="DG967" s="332"/>
      <c r="DH967" s="332"/>
      <c r="DI967" s="332"/>
      <c r="DJ967" s="332"/>
      <c r="DK967" s="332"/>
      <c r="DL967" s="332"/>
      <c r="DM967" s="332"/>
      <c r="DN967" s="332"/>
      <c r="DO967" s="332"/>
      <c r="DP967" s="332"/>
      <c r="DQ967" s="332"/>
      <c r="DR967" s="332"/>
      <c r="DS967" s="332"/>
      <c r="DT967" s="332"/>
      <c r="DU967" s="453"/>
      <c r="DV967" s="453"/>
      <c r="DW967" s="453"/>
      <c r="DX967" s="453"/>
      <c r="DY967" s="453"/>
      <c r="DZ967" s="453"/>
      <c r="EA967" s="453"/>
      <c r="EB967" s="453"/>
      <c r="EC967" s="453"/>
      <c r="ED967" s="453"/>
      <c r="EE967" s="453"/>
      <c r="EF967" s="453"/>
      <c r="EG967" s="453"/>
      <c r="EH967" s="453"/>
      <c r="EI967" s="453"/>
      <c r="EJ967" s="453"/>
      <c r="EK967" s="453"/>
      <c r="EL967" s="453"/>
      <c r="EM967" s="483">
        <f t="shared" si="243"/>
        <v>658</v>
      </c>
      <c r="EN967" s="485"/>
      <c r="EO967" s="458"/>
      <c r="EP967" s="467"/>
      <c r="EQ967" s="457"/>
      <c r="ER967" s="808"/>
      <c r="ES967" s="881">
        <f t="shared" si="241"/>
        <v>0</v>
      </c>
      <c r="ET967" s="882"/>
      <c r="EU967" s="883"/>
      <c r="EV967" s="884">
        <f t="shared" si="242"/>
        <v>0</v>
      </c>
      <c r="EW967" s="885"/>
      <c r="EX967" s="885"/>
      <c r="EY967" s="885"/>
      <c r="EZ967" s="885"/>
      <c r="FA967" s="885"/>
      <c r="FB967" s="885"/>
      <c r="FC967" s="885"/>
      <c r="FD967" s="886"/>
      <c r="FE967" s="550"/>
      <c r="FF967" s="550"/>
      <c r="FG967" s="550"/>
      <c r="FH967" s="550"/>
      <c r="FI967" s="550"/>
      <c r="FJ967" s="550"/>
      <c r="FK967" s="550"/>
      <c r="FL967" s="555"/>
      <c r="FM967" s="554"/>
      <c r="FN967" s="554"/>
      <c r="FO967" s="554"/>
      <c r="FP967" s="554"/>
      <c r="FQ967" s="554"/>
      <c r="FR967" s="554"/>
      <c r="FS967" s="554"/>
      <c r="FT967" s="554"/>
      <c r="FU967" s="554"/>
      <c r="FV967" s="554"/>
      <c r="FW967" s="554"/>
      <c r="FX967" s="554"/>
      <c r="FY967" s="554"/>
      <c r="FZ967" s="554"/>
      <c r="GA967" s="554"/>
      <c r="GB967" s="556"/>
      <c r="GC967" s="370"/>
      <c r="GD967" s="453"/>
      <c r="GE967" s="453"/>
      <c r="GF967" s="453"/>
      <c r="GG967" s="453"/>
      <c r="GH967" s="454"/>
      <c r="GI967" s="453"/>
      <c r="GJ967" s="453"/>
      <c r="GK967" s="453"/>
      <c r="GL967" s="453"/>
      <c r="GM967" s="453"/>
      <c r="GN967" s="453"/>
      <c r="GO967" s="453"/>
      <c r="GP967" s="453"/>
      <c r="GQ967" s="453"/>
      <c r="GR967" s="453"/>
      <c r="GS967" s="561"/>
      <c r="GT967" s="475"/>
      <c r="GU967" s="472"/>
      <c r="GV967" s="453"/>
      <c r="GW967" s="453"/>
      <c r="GX967" s="869"/>
      <c r="GY967" s="870"/>
      <c r="GZ967" s="867"/>
      <c r="HA967" s="868"/>
      <c r="HB967" s="473"/>
      <c r="HC967" s="869"/>
      <c r="HD967" s="870"/>
      <c r="HE967" s="867"/>
      <c r="HF967" s="868"/>
      <c r="HG967" s="473"/>
      <c r="HH967" s="867"/>
      <c r="HI967" s="868"/>
      <c r="HJ967" s="867"/>
      <c r="HK967" s="868"/>
      <c r="HL967" s="370"/>
      <c r="HM967" s="865"/>
      <c r="HN967" s="866"/>
      <c r="HO967" s="865"/>
      <c r="HP967" s="866"/>
      <c r="HQ967" s="865"/>
      <c r="HR967" s="866"/>
      <c r="HS967" s="867"/>
      <c r="HT967" s="868"/>
      <c r="HU967" s="489"/>
      <c r="HV967" s="865"/>
      <c r="HW967" s="866"/>
    </row>
    <row r="968" spans="25:231" ht="15" customHeight="1">
      <c r="Y968" s="332"/>
      <c r="Z968" s="332"/>
      <c r="AA968" s="332"/>
      <c r="AB968" s="332"/>
      <c r="AC968" s="332"/>
      <c r="AD968" s="332"/>
      <c r="AE968" s="332"/>
      <c r="AF968" s="332"/>
      <c r="AG968" s="332"/>
      <c r="AH968" s="332"/>
      <c r="AI968" s="332"/>
      <c r="AJ968" s="332"/>
      <c r="AK968" s="332"/>
      <c r="AL968" s="332"/>
      <c r="AM968" s="332"/>
      <c r="AN968" s="332"/>
      <c r="AO968" s="332"/>
      <c r="AP968" s="332"/>
      <c r="AQ968" s="332"/>
      <c r="AR968" s="332"/>
      <c r="AS968" s="332"/>
      <c r="AT968" s="332"/>
      <c r="AU968" s="332"/>
      <c r="AV968" s="332"/>
      <c r="AW968" s="332"/>
      <c r="AX968" s="332"/>
      <c r="AY968" s="332"/>
      <c r="AZ968" s="332"/>
      <c r="BA968" s="332"/>
      <c r="BB968" s="332"/>
      <c r="BC968" s="332"/>
      <c r="BD968" s="332"/>
      <c r="BE968" s="332"/>
      <c r="BF968" s="332"/>
      <c r="BG968" s="332"/>
      <c r="BH968" s="332"/>
      <c r="BI968" s="332"/>
      <c r="BJ968" s="332"/>
      <c r="BK968" s="332"/>
      <c r="BL968" s="332"/>
      <c r="BM968" s="332"/>
      <c r="BN968" s="332"/>
      <c r="BO968" s="332"/>
      <c r="BP968" s="332"/>
      <c r="BQ968" s="332"/>
      <c r="BR968" s="332"/>
      <c r="BS968" s="332"/>
      <c r="BT968" s="332"/>
      <c r="BU968" s="332"/>
      <c r="BV968" s="332"/>
      <c r="BW968" s="332"/>
      <c r="BX968" s="332"/>
      <c r="BY968" s="332"/>
      <c r="BZ968" s="332"/>
      <c r="CA968" s="332"/>
      <c r="CB968" s="332"/>
      <c r="CC968" s="332"/>
      <c r="CD968" s="332"/>
      <c r="CE968" s="332"/>
      <c r="CF968" s="332"/>
      <c r="CG968" s="332"/>
      <c r="CH968" s="332"/>
      <c r="CI968" s="332"/>
      <c r="CJ968" s="332"/>
      <c r="CK968" s="332"/>
      <c r="CL968" s="332"/>
      <c r="CM968" s="332"/>
      <c r="CN968" s="332"/>
      <c r="CO968" s="332"/>
      <c r="CP968" s="332"/>
      <c r="CQ968" s="332"/>
      <c r="CR968" s="332"/>
      <c r="CS968" s="332"/>
      <c r="CT968" s="332"/>
      <c r="CU968" s="332"/>
      <c r="CV968" s="332"/>
      <c r="CW968" s="332"/>
      <c r="CX968" s="332"/>
      <c r="CY968" s="332"/>
      <c r="CZ968" s="332"/>
      <c r="DA968" s="332"/>
      <c r="DB968" s="332"/>
      <c r="DC968" s="332"/>
      <c r="DD968" s="332"/>
      <c r="DE968" s="332"/>
      <c r="DF968" s="332"/>
      <c r="DG968" s="332"/>
      <c r="DH968" s="332"/>
      <c r="DI968" s="332"/>
      <c r="DJ968" s="332"/>
      <c r="DK968" s="332"/>
      <c r="DL968" s="332"/>
      <c r="DM968" s="332"/>
      <c r="DN968" s="332"/>
      <c r="DO968" s="332"/>
      <c r="DP968" s="332"/>
      <c r="DQ968" s="332"/>
      <c r="DR968" s="332"/>
      <c r="DS968" s="332"/>
      <c r="DT968" s="332"/>
      <c r="DU968" s="453"/>
      <c r="DV968" s="453"/>
      <c r="DW968" s="453"/>
      <c r="DX968" s="453"/>
      <c r="DY968" s="453"/>
      <c r="DZ968" s="453"/>
      <c r="EA968" s="453"/>
      <c r="EB968" s="453"/>
      <c r="EC968" s="453"/>
      <c r="ED968" s="453"/>
      <c r="EE968" s="453"/>
      <c r="EF968" s="453"/>
      <c r="EG968" s="453"/>
      <c r="EH968" s="453"/>
      <c r="EI968" s="453"/>
      <c r="EJ968" s="453"/>
      <c r="EK968" s="453"/>
      <c r="EL968" s="453"/>
      <c r="EM968" s="483">
        <f t="shared" si="243"/>
        <v>659</v>
      </c>
      <c r="EN968" s="485"/>
      <c r="EO968" s="458"/>
      <c r="EP968" s="467"/>
      <c r="EQ968" s="457"/>
      <c r="ER968" s="808"/>
      <c r="ES968" s="881">
        <f t="shared" si="241"/>
        <v>0</v>
      </c>
      <c r="ET968" s="882"/>
      <c r="EU968" s="883"/>
      <c r="EV968" s="884">
        <f t="shared" si="242"/>
        <v>0</v>
      </c>
      <c r="EW968" s="885"/>
      <c r="EX968" s="885"/>
      <c r="EY968" s="885"/>
      <c r="EZ968" s="885"/>
      <c r="FA968" s="885"/>
      <c r="FB968" s="885"/>
      <c r="FC968" s="885"/>
      <c r="FD968" s="886"/>
      <c r="FE968" s="550"/>
      <c r="FF968" s="550"/>
      <c r="FG968" s="550"/>
      <c r="FH968" s="550"/>
      <c r="FI968" s="550"/>
      <c r="FJ968" s="550"/>
      <c r="FK968" s="550"/>
      <c r="FL968" s="555"/>
      <c r="FM968" s="554"/>
      <c r="FN968" s="554"/>
      <c r="FO968" s="554"/>
      <c r="FP968" s="554"/>
      <c r="FQ968" s="554"/>
      <c r="FR968" s="554"/>
      <c r="FS968" s="554"/>
      <c r="FT968" s="554"/>
      <c r="FU968" s="554"/>
      <c r="FV968" s="554"/>
      <c r="FW968" s="554"/>
      <c r="FX968" s="554"/>
      <c r="FY968" s="554"/>
      <c r="FZ968" s="554"/>
      <c r="GA968" s="554"/>
      <c r="GB968" s="556"/>
      <c r="GC968" s="370"/>
      <c r="GD968" s="453"/>
      <c r="GE968" s="453"/>
      <c r="GF968" s="453"/>
      <c r="GG968" s="453"/>
      <c r="GH968" s="454"/>
      <c r="GI968" s="453"/>
      <c r="GJ968" s="453"/>
      <c r="GK968" s="453"/>
      <c r="GL968" s="453"/>
      <c r="GM968" s="453"/>
      <c r="GN968" s="453"/>
      <c r="GO968" s="453"/>
      <c r="GP968" s="453"/>
      <c r="GQ968" s="453"/>
      <c r="GR968" s="453"/>
      <c r="GS968" s="561"/>
      <c r="GT968" s="475"/>
      <c r="GU968" s="472"/>
      <c r="GV968" s="453"/>
      <c r="GW968" s="453"/>
      <c r="GX968" s="869"/>
      <c r="GY968" s="870"/>
      <c r="GZ968" s="867"/>
      <c r="HA968" s="868"/>
      <c r="HB968" s="473"/>
      <c r="HC968" s="869"/>
      <c r="HD968" s="870"/>
      <c r="HE968" s="867"/>
      <c r="HF968" s="868"/>
      <c r="HG968" s="473"/>
      <c r="HH968" s="867"/>
      <c r="HI968" s="868"/>
      <c r="HJ968" s="867"/>
      <c r="HK968" s="868"/>
      <c r="HL968" s="370"/>
      <c r="HM968" s="865"/>
      <c r="HN968" s="866"/>
      <c r="HO968" s="865"/>
      <c r="HP968" s="866"/>
      <c r="HQ968" s="865"/>
      <c r="HR968" s="866"/>
      <c r="HS968" s="867"/>
      <c r="HT968" s="868"/>
      <c r="HU968" s="489"/>
      <c r="HV968" s="865"/>
      <c r="HW968" s="866"/>
    </row>
    <row r="969" spans="25:231" ht="15" customHeight="1">
      <c r="Y969" s="332"/>
      <c r="Z969" s="332"/>
      <c r="AA969" s="332"/>
      <c r="AB969" s="332"/>
      <c r="AC969" s="332"/>
      <c r="AD969" s="332"/>
      <c r="AE969" s="332"/>
      <c r="AF969" s="332"/>
      <c r="AG969" s="332"/>
      <c r="AH969" s="332"/>
      <c r="AI969" s="332"/>
      <c r="AJ969" s="332"/>
      <c r="AK969" s="332"/>
      <c r="AL969" s="332"/>
      <c r="AM969" s="332"/>
      <c r="AN969" s="332"/>
      <c r="AO969" s="332"/>
      <c r="AP969" s="332"/>
      <c r="AQ969" s="332"/>
      <c r="AR969" s="332"/>
      <c r="AS969" s="332"/>
      <c r="AT969" s="332"/>
      <c r="AU969" s="332"/>
      <c r="AV969" s="332"/>
      <c r="AW969" s="332"/>
      <c r="AX969" s="332"/>
      <c r="AY969" s="332"/>
      <c r="AZ969" s="332"/>
      <c r="BA969" s="332"/>
      <c r="BB969" s="332"/>
      <c r="BC969" s="332"/>
      <c r="BD969" s="332"/>
      <c r="BE969" s="332"/>
      <c r="BF969" s="332"/>
      <c r="BG969" s="332"/>
      <c r="BH969" s="332"/>
      <c r="BI969" s="332"/>
      <c r="BJ969" s="332"/>
      <c r="BK969" s="332"/>
      <c r="BL969" s="332"/>
      <c r="BM969" s="332"/>
      <c r="BN969" s="332"/>
      <c r="BO969" s="332"/>
      <c r="BP969" s="332"/>
      <c r="BQ969" s="332"/>
      <c r="BR969" s="332"/>
      <c r="BS969" s="332"/>
      <c r="BT969" s="332"/>
      <c r="BU969" s="332"/>
      <c r="BV969" s="332"/>
      <c r="BW969" s="332"/>
      <c r="BX969" s="332"/>
      <c r="BY969" s="332"/>
      <c r="BZ969" s="332"/>
      <c r="CA969" s="332"/>
      <c r="CB969" s="332"/>
      <c r="CC969" s="332"/>
      <c r="CD969" s="332"/>
      <c r="CE969" s="332"/>
      <c r="CF969" s="332"/>
      <c r="CG969" s="332"/>
      <c r="CH969" s="332"/>
      <c r="CI969" s="332"/>
      <c r="CJ969" s="332"/>
      <c r="CK969" s="332"/>
      <c r="CL969" s="332"/>
      <c r="CM969" s="332"/>
      <c r="CN969" s="332"/>
      <c r="CO969" s="332"/>
      <c r="CP969" s="332"/>
      <c r="CQ969" s="332"/>
      <c r="CR969" s="332"/>
      <c r="CS969" s="332"/>
      <c r="CT969" s="332"/>
      <c r="CU969" s="332"/>
      <c r="CV969" s="332"/>
      <c r="CW969" s="332"/>
      <c r="CX969" s="332"/>
      <c r="CY969" s="332"/>
      <c r="CZ969" s="332"/>
      <c r="DA969" s="332"/>
      <c r="DB969" s="332"/>
      <c r="DC969" s="332"/>
      <c r="DD969" s="332"/>
      <c r="DE969" s="332"/>
      <c r="DF969" s="332"/>
      <c r="DG969" s="332"/>
      <c r="DH969" s="332"/>
      <c r="DI969" s="332"/>
      <c r="DJ969" s="332"/>
      <c r="DK969" s="332"/>
      <c r="DL969" s="332"/>
      <c r="DM969" s="332"/>
      <c r="DN969" s="332"/>
      <c r="DO969" s="332"/>
      <c r="DP969" s="332"/>
      <c r="DQ969" s="332"/>
      <c r="DR969" s="332"/>
      <c r="DS969" s="332"/>
      <c r="DT969" s="332"/>
      <c r="DU969" s="453"/>
      <c r="DV969" s="453"/>
      <c r="DW969" s="453"/>
      <c r="DX969" s="453"/>
      <c r="DY969" s="453"/>
      <c r="DZ969" s="453"/>
      <c r="EA969" s="453"/>
      <c r="EB969" s="453"/>
      <c r="EC969" s="453"/>
      <c r="ED969" s="453"/>
      <c r="EE969" s="453"/>
      <c r="EF969" s="453"/>
      <c r="EG969" s="453"/>
      <c r="EH969" s="453"/>
      <c r="EI969" s="453"/>
      <c r="EJ969" s="453"/>
      <c r="EK969" s="453"/>
      <c r="EL969" s="453"/>
      <c r="EM969" s="483">
        <f t="shared" si="243"/>
        <v>660</v>
      </c>
      <c r="EN969" s="485"/>
      <c r="EO969" s="458"/>
      <c r="EP969" s="467"/>
      <c r="EQ969" s="457"/>
      <c r="ER969" s="808"/>
      <c r="ES969" s="881">
        <f t="shared" si="241"/>
        <v>0</v>
      </c>
      <c r="ET969" s="882"/>
      <c r="EU969" s="883"/>
      <c r="EV969" s="884">
        <f t="shared" si="242"/>
        <v>0</v>
      </c>
      <c r="EW969" s="885"/>
      <c r="EX969" s="885"/>
      <c r="EY969" s="885"/>
      <c r="EZ969" s="885"/>
      <c r="FA969" s="885"/>
      <c r="FB969" s="885"/>
      <c r="FC969" s="885"/>
      <c r="FD969" s="886"/>
      <c r="FE969" s="550"/>
      <c r="FF969" s="550"/>
      <c r="FG969" s="550"/>
      <c r="FH969" s="550"/>
      <c r="FI969" s="550"/>
      <c r="FJ969" s="550"/>
      <c r="FK969" s="550"/>
      <c r="FL969" s="555"/>
      <c r="FM969" s="554"/>
      <c r="FN969" s="554"/>
      <c r="FO969" s="554"/>
      <c r="FP969" s="554"/>
      <c r="FQ969" s="554"/>
      <c r="FR969" s="554"/>
      <c r="FS969" s="554"/>
      <c r="FT969" s="554"/>
      <c r="FU969" s="554"/>
      <c r="FV969" s="554"/>
      <c r="FW969" s="554"/>
      <c r="FX969" s="554"/>
      <c r="FY969" s="554"/>
      <c r="FZ969" s="554"/>
      <c r="GA969" s="554"/>
      <c r="GB969" s="556"/>
      <c r="GC969" s="370"/>
      <c r="GD969" s="453"/>
      <c r="GE969" s="453"/>
      <c r="GF969" s="453"/>
      <c r="GG969" s="453"/>
      <c r="GH969" s="454"/>
      <c r="GI969" s="453"/>
      <c r="GJ969" s="453"/>
      <c r="GK969" s="453"/>
      <c r="GL969" s="453"/>
      <c r="GM969" s="453"/>
      <c r="GN969" s="453"/>
      <c r="GO969" s="453"/>
      <c r="GP969" s="453"/>
      <c r="GQ969" s="453"/>
      <c r="GR969" s="453"/>
      <c r="GS969" s="561"/>
      <c r="GT969" s="475"/>
      <c r="GU969" s="472"/>
      <c r="GV969" s="453"/>
      <c r="GW969" s="453"/>
      <c r="GX969" s="869"/>
      <c r="GY969" s="870"/>
      <c r="GZ969" s="867"/>
      <c r="HA969" s="868"/>
      <c r="HB969" s="473"/>
      <c r="HC969" s="869"/>
      <c r="HD969" s="870"/>
      <c r="HE969" s="867"/>
      <c r="HF969" s="868"/>
      <c r="HG969" s="473"/>
      <c r="HH969" s="867"/>
      <c r="HI969" s="868"/>
      <c r="HJ969" s="867"/>
      <c r="HK969" s="868"/>
      <c r="HL969" s="370"/>
      <c r="HM969" s="865"/>
      <c r="HN969" s="866"/>
      <c r="HO969" s="865"/>
      <c r="HP969" s="866"/>
      <c r="HQ969" s="865"/>
      <c r="HR969" s="866"/>
      <c r="HS969" s="867"/>
      <c r="HT969" s="868"/>
      <c r="HU969" s="489"/>
      <c r="HV969" s="865"/>
      <c r="HW969" s="866"/>
    </row>
    <row r="970" spans="25:231" ht="15" customHeight="1">
      <c r="Y970" s="332"/>
      <c r="Z970" s="332"/>
      <c r="AA970" s="332"/>
      <c r="AB970" s="332"/>
      <c r="AC970" s="332"/>
      <c r="AD970" s="332"/>
      <c r="AE970" s="332"/>
      <c r="AF970" s="332"/>
      <c r="AG970" s="332"/>
      <c r="AH970" s="332"/>
      <c r="AI970" s="332"/>
      <c r="AJ970" s="332"/>
      <c r="AK970" s="332"/>
      <c r="AL970" s="332"/>
      <c r="AM970" s="332"/>
      <c r="AN970" s="332"/>
      <c r="AO970" s="332"/>
      <c r="AP970" s="332"/>
      <c r="AQ970" s="332"/>
      <c r="AR970" s="332"/>
      <c r="AS970" s="332"/>
      <c r="AT970" s="332"/>
      <c r="AU970" s="332"/>
      <c r="AV970" s="332"/>
      <c r="AW970" s="332"/>
      <c r="AX970" s="332"/>
      <c r="AY970" s="332"/>
      <c r="AZ970" s="332"/>
      <c r="BA970" s="332"/>
      <c r="BB970" s="332"/>
      <c r="BC970" s="332"/>
      <c r="BD970" s="332"/>
      <c r="BE970" s="332"/>
      <c r="BF970" s="332"/>
      <c r="BG970" s="332"/>
      <c r="BH970" s="332"/>
      <c r="BI970" s="332"/>
      <c r="BJ970" s="332"/>
      <c r="BK970" s="332"/>
      <c r="BL970" s="332"/>
      <c r="BM970" s="332"/>
      <c r="BN970" s="332"/>
      <c r="BO970" s="332"/>
      <c r="BP970" s="332"/>
      <c r="BQ970" s="332"/>
      <c r="BR970" s="332"/>
      <c r="BS970" s="332"/>
      <c r="BT970" s="332"/>
      <c r="BU970" s="332"/>
      <c r="BV970" s="332"/>
      <c r="BW970" s="332"/>
      <c r="BX970" s="332"/>
      <c r="BY970" s="332"/>
      <c r="BZ970" s="332"/>
      <c r="CA970" s="332"/>
      <c r="CB970" s="332"/>
      <c r="CC970" s="332"/>
      <c r="CD970" s="332"/>
      <c r="CE970" s="332"/>
      <c r="CF970" s="332"/>
      <c r="CG970" s="332"/>
      <c r="CH970" s="332"/>
      <c r="CI970" s="332"/>
      <c r="CJ970" s="332"/>
      <c r="CK970" s="332"/>
      <c r="CL970" s="332"/>
      <c r="CM970" s="332"/>
      <c r="CN970" s="332"/>
      <c r="CO970" s="332"/>
      <c r="CP970" s="332"/>
      <c r="CQ970" s="332"/>
      <c r="CR970" s="332"/>
      <c r="CS970" s="332"/>
      <c r="CT970" s="332"/>
      <c r="CU970" s="332"/>
      <c r="CV970" s="332"/>
      <c r="CW970" s="332"/>
      <c r="CX970" s="332"/>
      <c r="CY970" s="332"/>
      <c r="CZ970" s="332"/>
      <c r="DA970" s="332"/>
      <c r="DB970" s="332"/>
      <c r="DC970" s="332"/>
      <c r="DD970" s="332"/>
      <c r="DE970" s="332"/>
      <c r="DF970" s="332"/>
      <c r="DG970" s="332"/>
      <c r="DH970" s="332"/>
      <c r="DI970" s="332"/>
      <c r="DJ970" s="332"/>
      <c r="DK970" s="332"/>
      <c r="DL970" s="332"/>
      <c r="DM970" s="332"/>
      <c r="DN970" s="332"/>
      <c r="DO970" s="332"/>
      <c r="DP970" s="332"/>
      <c r="DQ970" s="332"/>
      <c r="DR970" s="332"/>
      <c r="DS970" s="332"/>
      <c r="DT970" s="332"/>
      <c r="DU970" s="453"/>
      <c r="DV970" s="453"/>
      <c r="DW970" s="453"/>
      <c r="DX970" s="453"/>
      <c r="DY970" s="453"/>
      <c r="DZ970" s="453"/>
      <c r="EA970" s="453"/>
      <c r="EB970" s="453"/>
      <c r="EC970" s="453"/>
      <c r="ED970" s="453"/>
      <c r="EE970" s="453"/>
      <c r="EF970" s="453"/>
      <c r="EG970" s="453"/>
      <c r="EH970" s="453"/>
      <c r="EI970" s="453"/>
      <c r="EJ970" s="453"/>
      <c r="EK970" s="453"/>
      <c r="EL970" s="453"/>
      <c r="EM970" s="483">
        <f t="shared" si="243"/>
        <v>661</v>
      </c>
      <c r="EN970" s="485"/>
      <c r="EO970" s="458"/>
      <c r="EP970" s="467"/>
      <c r="EQ970" s="457"/>
      <c r="ER970" s="808"/>
      <c r="ES970" s="881">
        <f t="shared" si="241"/>
        <v>0</v>
      </c>
      <c r="ET970" s="882"/>
      <c r="EU970" s="883"/>
      <c r="EV970" s="884">
        <f t="shared" si="242"/>
        <v>0</v>
      </c>
      <c r="EW970" s="885"/>
      <c r="EX970" s="885"/>
      <c r="EY970" s="885"/>
      <c r="EZ970" s="885"/>
      <c r="FA970" s="885"/>
      <c r="FB970" s="885"/>
      <c r="FC970" s="885"/>
      <c r="FD970" s="886"/>
      <c r="FE970" s="550"/>
      <c r="FF970" s="550"/>
      <c r="FG970" s="550"/>
      <c r="FH970" s="550"/>
      <c r="FI970" s="550"/>
      <c r="FJ970" s="550"/>
      <c r="FK970" s="550"/>
      <c r="FL970" s="555"/>
      <c r="FM970" s="554"/>
      <c r="FN970" s="554"/>
      <c r="FO970" s="554"/>
      <c r="FP970" s="554"/>
      <c r="FQ970" s="554"/>
      <c r="FR970" s="554"/>
      <c r="FS970" s="554"/>
      <c r="FT970" s="554"/>
      <c r="FU970" s="554"/>
      <c r="FV970" s="554"/>
      <c r="FW970" s="554"/>
      <c r="FX970" s="554"/>
      <c r="FY970" s="554"/>
      <c r="FZ970" s="554"/>
      <c r="GA970" s="554"/>
      <c r="GB970" s="556"/>
      <c r="GC970" s="370"/>
      <c r="GD970" s="453"/>
      <c r="GE970" s="453"/>
      <c r="GF970" s="453"/>
      <c r="GG970" s="453"/>
      <c r="GH970" s="454"/>
      <c r="GI970" s="453"/>
      <c r="GJ970" s="453"/>
      <c r="GK970" s="453"/>
      <c r="GL970" s="453"/>
      <c r="GM970" s="453"/>
      <c r="GN970" s="453"/>
      <c r="GO970" s="453"/>
      <c r="GP970" s="453"/>
      <c r="GQ970" s="453"/>
      <c r="GR970" s="453"/>
      <c r="GS970" s="561"/>
      <c r="GT970" s="475"/>
      <c r="GU970" s="472"/>
      <c r="GV970" s="453"/>
      <c r="GW970" s="453"/>
      <c r="GX970" s="869"/>
      <c r="GY970" s="870"/>
      <c r="GZ970" s="867"/>
      <c r="HA970" s="868"/>
      <c r="HB970" s="473"/>
      <c r="HC970" s="869"/>
      <c r="HD970" s="870"/>
      <c r="HE970" s="867"/>
      <c r="HF970" s="868"/>
      <c r="HG970" s="473"/>
      <c r="HH970" s="867"/>
      <c r="HI970" s="868"/>
      <c r="HJ970" s="867"/>
      <c r="HK970" s="868"/>
      <c r="HL970" s="370"/>
      <c r="HM970" s="865"/>
      <c r="HN970" s="866"/>
      <c r="HO970" s="865"/>
      <c r="HP970" s="866"/>
      <c r="HQ970" s="865"/>
      <c r="HR970" s="866"/>
      <c r="HS970" s="867"/>
      <c r="HT970" s="868"/>
      <c r="HU970" s="489"/>
      <c r="HV970" s="865"/>
      <c r="HW970" s="866"/>
    </row>
    <row r="971" spans="25:231" ht="15" customHeight="1">
      <c r="Y971" s="332"/>
      <c r="Z971" s="332"/>
      <c r="AA971" s="332"/>
      <c r="AB971" s="332"/>
      <c r="AC971" s="332"/>
      <c r="AD971" s="332"/>
      <c r="AE971" s="332"/>
      <c r="AF971" s="332"/>
      <c r="AG971" s="332"/>
      <c r="AH971" s="332"/>
      <c r="AI971" s="332"/>
      <c r="AJ971" s="332"/>
      <c r="AK971" s="332"/>
      <c r="AL971" s="332"/>
      <c r="AM971" s="332"/>
      <c r="AN971" s="332"/>
      <c r="AO971" s="332"/>
      <c r="AP971" s="332"/>
      <c r="AQ971" s="332"/>
      <c r="AR971" s="332"/>
      <c r="AS971" s="332"/>
      <c r="AT971" s="332"/>
      <c r="AU971" s="332"/>
      <c r="AV971" s="332"/>
      <c r="AW971" s="332"/>
      <c r="AX971" s="332"/>
      <c r="AY971" s="332"/>
      <c r="AZ971" s="332"/>
      <c r="BA971" s="332"/>
      <c r="BB971" s="332"/>
      <c r="BC971" s="332"/>
      <c r="BD971" s="332"/>
      <c r="BE971" s="332"/>
      <c r="BF971" s="332"/>
      <c r="BG971" s="332"/>
      <c r="BH971" s="332"/>
      <c r="BI971" s="332"/>
      <c r="BJ971" s="332"/>
      <c r="BK971" s="332"/>
      <c r="BL971" s="332"/>
      <c r="BM971" s="332"/>
      <c r="BN971" s="332"/>
      <c r="BO971" s="332"/>
      <c r="BP971" s="332"/>
      <c r="BQ971" s="332"/>
      <c r="BR971" s="332"/>
      <c r="BS971" s="332"/>
      <c r="BT971" s="332"/>
      <c r="BU971" s="332"/>
      <c r="BV971" s="332"/>
      <c r="BW971" s="332"/>
      <c r="BX971" s="332"/>
      <c r="BY971" s="332"/>
      <c r="BZ971" s="332"/>
      <c r="CA971" s="332"/>
      <c r="CB971" s="332"/>
      <c r="CC971" s="332"/>
      <c r="CD971" s="332"/>
      <c r="CE971" s="332"/>
      <c r="CF971" s="332"/>
      <c r="CG971" s="332"/>
      <c r="CH971" s="332"/>
      <c r="CI971" s="332"/>
      <c r="CJ971" s="332"/>
      <c r="CK971" s="332"/>
      <c r="CL971" s="332"/>
      <c r="CM971" s="332"/>
      <c r="CN971" s="332"/>
      <c r="CO971" s="332"/>
      <c r="CP971" s="332"/>
      <c r="CQ971" s="332"/>
      <c r="CR971" s="332"/>
      <c r="CS971" s="332"/>
      <c r="CT971" s="332"/>
      <c r="CU971" s="332"/>
      <c r="CV971" s="332"/>
      <c r="CW971" s="332"/>
      <c r="CX971" s="332"/>
      <c r="CY971" s="332"/>
      <c r="CZ971" s="332"/>
      <c r="DA971" s="332"/>
      <c r="DB971" s="332"/>
      <c r="DC971" s="332"/>
      <c r="DD971" s="332"/>
      <c r="DE971" s="332"/>
      <c r="DF971" s="332"/>
      <c r="DG971" s="332"/>
      <c r="DH971" s="332"/>
      <c r="DI971" s="332"/>
      <c r="DJ971" s="332"/>
      <c r="DK971" s="332"/>
      <c r="DL971" s="332"/>
      <c r="DM971" s="332"/>
      <c r="DN971" s="332"/>
      <c r="DO971" s="332"/>
      <c r="DP971" s="332"/>
      <c r="DQ971" s="332"/>
      <c r="DR971" s="332"/>
      <c r="DS971" s="332"/>
      <c r="DT971" s="332"/>
      <c r="DU971" s="453"/>
      <c r="DV971" s="453"/>
      <c r="DW971" s="453"/>
      <c r="DX971" s="453"/>
      <c r="DY971" s="453"/>
      <c r="DZ971" s="453"/>
      <c r="EA971" s="453"/>
      <c r="EB971" s="453"/>
      <c r="EC971" s="453"/>
      <c r="ED971" s="453"/>
      <c r="EE971" s="453"/>
      <c r="EF971" s="453"/>
      <c r="EG971" s="453"/>
      <c r="EH971" s="453"/>
      <c r="EI971" s="453"/>
      <c r="EJ971" s="453"/>
      <c r="EK971" s="453"/>
      <c r="EL971" s="453"/>
      <c r="EM971" s="483">
        <f t="shared" si="243"/>
        <v>662</v>
      </c>
      <c r="EN971" s="485"/>
      <c r="EO971" s="458"/>
      <c r="EP971" s="467"/>
      <c r="EQ971" s="457"/>
      <c r="ER971" s="808"/>
      <c r="ES971" s="881">
        <f t="shared" si="241"/>
        <v>0</v>
      </c>
      <c r="ET971" s="882"/>
      <c r="EU971" s="883"/>
      <c r="EV971" s="884">
        <f t="shared" si="242"/>
        <v>0</v>
      </c>
      <c r="EW971" s="885"/>
      <c r="EX971" s="885"/>
      <c r="EY971" s="885"/>
      <c r="EZ971" s="885"/>
      <c r="FA971" s="885"/>
      <c r="FB971" s="885"/>
      <c r="FC971" s="885"/>
      <c r="FD971" s="886"/>
      <c r="FE971" s="550"/>
      <c r="FF971" s="550"/>
      <c r="FG971" s="550"/>
      <c r="FH971" s="550"/>
      <c r="FI971" s="550"/>
      <c r="FJ971" s="550"/>
      <c r="FK971" s="550"/>
      <c r="FL971" s="555"/>
      <c r="FM971" s="554"/>
      <c r="FN971" s="554"/>
      <c r="FO971" s="554"/>
      <c r="FP971" s="554"/>
      <c r="FQ971" s="554"/>
      <c r="FR971" s="554"/>
      <c r="FS971" s="554"/>
      <c r="FT971" s="554"/>
      <c r="FU971" s="554"/>
      <c r="FV971" s="554"/>
      <c r="FW971" s="554"/>
      <c r="FX971" s="554"/>
      <c r="FY971" s="554"/>
      <c r="FZ971" s="554"/>
      <c r="GA971" s="554"/>
      <c r="GB971" s="556"/>
      <c r="GC971" s="370"/>
      <c r="GD971" s="453"/>
      <c r="GE971" s="453"/>
      <c r="GF971" s="453"/>
      <c r="GG971" s="453"/>
      <c r="GH971" s="454"/>
      <c r="GI971" s="453"/>
      <c r="GJ971" s="453"/>
      <c r="GK971" s="453"/>
      <c r="GL971" s="453"/>
      <c r="GM971" s="453"/>
      <c r="GN971" s="453"/>
      <c r="GO971" s="453"/>
      <c r="GP971" s="453"/>
      <c r="GQ971" s="453"/>
      <c r="GR971" s="453"/>
      <c r="GS971" s="561"/>
      <c r="GT971" s="475"/>
      <c r="GU971" s="472"/>
      <c r="GV971" s="453"/>
      <c r="GW971" s="453"/>
      <c r="GX971" s="869"/>
      <c r="GY971" s="870"/>
      <c r="GZ971" s="867"/>
      <c r="HA971" s="868"/>
      <c r="HB971" s="473"/>
      <c r="HC971" s="869"/>
      <c r="HD971" s="870"/>
      <c r="HE971" s="867"/>
      <c r="HF971" s="868"/>
      <c r="HG971" s="473"/>
      <c r="HH971" s="867"/>
      <c r="HI971" s="868"/>
      <c r="HJ971" s="867"/>
      <c r="HK971" s="868"/>
      <c r="HL971" s="370"/>
      <c r="HM971" s="865"/>
      <c r="HN971" s="866"/>
      <c r="HO971" s="865"/>
      <c r="HP971" s="866"/>
      <c r="HQ971" s="865"/>
      <c r="HR971" s="866"/>
      <c r="HS971" s="867"/>
      <c r="HT971" s="868"/>
      <c r="HU971" s="489"/>
      <c r="HV971" s="865"/>
      <c r="HW971" s="866"/>
    </row>
    <row r="972" spans="25:231" ht="15" customHeight="1">
      <c r="Y972" s="332"/>
      <c r="Z972" s="332"/>
      <c r="AA972" s="332"/>
      <c r="AB972" s="332"/>
      <c r="AC972" s="332"/>
      <c r="AD972" s="332"/>
      <c r="AE972" s="332"/>
      <c r="AF972" s="332"/>
      <c r="AG972" s="332"/>
      <c r="AH972" s="332"/>
      <c r="AI972" s="332"/>
      <c r="AJ972" s="332"/>
      <c r="AK972" s="332"/>
      <c r="AL972" s="332"/>
      <c r="AM972" s="332"/>
      <c r="AN972" s="332"/>
      <c r="AO972" s="332"/>
      <c r="AP972" s="332"/>
      <c r="AQ972" s="332"/>
      <c r="AR972" s="332"/>
      <c r="AS972" s="332"/>
      <c r="AT972" s="332"/>
      <c r="AU972" s="332"/>
      <c r="AV972" s="332"/>
      <c r="AW972" s="332"/>
      <c r="AX972" s="332"/>
      <c r="AY972" s="332"/>
      <c r="AZ972" s="332"/>
      <c r="BA972" s="332"/>
      <c r="BB972" s="332"/>
      <c r="BC972" s="332"/>
      <c r="BD972" s="332"/>
      <c r="BE972" s="332"/>
      <c r="BF972" s="332"/>
      <c r="BG972" s="332"/>
      <c r="BH972" s="332"/>
      <c r="BI972" s="332"/>
      <c r="BJ972" s="332"/>
      <c r="BK972" s="332"/>
      <c r="BL972" s="332"/>
      <c r="BM972" s="332"/>
      <c r="BN972" s="332"/>
      <c r="BO972" s="332"/>
      <c r="BP972" s="332"/>
      <c r="BQ972" s="332"/>
      <c r="BR972" s="332"/>
      <c r="BS972" s="332"/>
      <c r="BT972" s="332"/>
      <c r="BU972" s="332"/>
      <c r="BV972" s="332"/>
      <c r="BW972" s="332"/>
      <c r="BX972" s="332"/>
      <c r="BY972" s="332"/>
      <c r="BZ972" s="332"/>
      <c r="CA972" s="332"/>
      <c r="CB972" s="332"/>
      <c r="CC972" s="332"/>
      <c r="CD972" s="332"/>
      <c r="CE972" s="332"/>
      <c r="CF972" s="332"/>
      <c r="CG972" s="332"/>
      <c r="CH972" s="332"/>
      <c r="CI972" s="332"/>
      <c r="CJ972" s="332"/>
      <c r="CK972" s="332"/>
      <c r="CL972" s="332"/>
      <c r="CM972" s="332"/>
      <c r="CN972" s="332"/>
      <c r="CO972" s="332"/>
      <c r="CP972" s="332"/>
      <c r="CQ972" s="332"/>
      <c r="CR972" s="332"/>
      <c r="CS972" s="332"/>
      <c r="CT972" s="332"/>
      <c r="CU972" s="332"/>
      <c r="CV972" s="332"/>
      <c r="CW972" s="332"/>
      <c r="CX972" s="332"/>
      <c r="CY972" s="332"/>
      <c r="CZ972" s="332"/>
      <c r="DA972" s="332"/>
      <c r="DB972" s="332"/>
      <c r="DC972" s="332"/>
      <c r="DD972" s="332"/>
      <c r="DE972" s="332"/>
      <c r="DF972" s="332"/>
      <c r="DG972" s="332"/>
      <c r="DH972" s="332"/>
      <c r="DI972" s="332"/>
      <c r="DJ972" s="332"/>
      <c r="DK972" s="332"/>
      <c r="DL972" s="332"/>
      <c r="DM972" s="332"/>
      <c r="DN972" s="332"/>
      <c r="DO972" s="332"/>
      <c r="DP972" s="332"/>
      <c r="DQ972" s="332"/>
      <c r="DR972" s="332"/>
      <c r="DS972" s="332"/>
      <c r="DT972" s="332"/>
      <c r="DU972" s="453"/>
      <c r="DV972" s="453"/>
      <c r="DW972" s="453"/>
      <c r="DX972" s="453"/>
      <c r="DY972" s="453"/>
      <c r="DZ972" s="453"/>
      <c r="EA972" s="453"/>
      <c r="EB972" s="453"/>
      <c r="EC972" s="453"/>
      <c r="ED972" s="453"/>
      <c r="EE972" s="453"/>
      <c r="EF972" s="453"/>
      <c r="EG972" s="453"/>
      <c r="EH972" s="453"/>
      <c r="EI972" s="453"/>
      <c r="EJ972" s="453"/>
      <c r="EK972" s="453"/>
      <c r="EL972" s="453"/>
      <c r="EM972" s="483">
        <f t="shared" si="243"/>
        <v>663</v>
      </c>
      <c r="EN972" s="485"/>
      <c r="EO972" s="458"/>
      <c r="EP972" s="467"/>
      <c r="EQ972" s="457"/>
      <c r="ER972" s="808"/>
      <c r="ES972" s="881">
        <f t="shared" si="241"/>
        <v>0</v>
      </c>
      <c r="ET972" s="882"/>
      <c r="EU972" s="883"/>
      <c r="EV972" s="884">
        <f t="shared" si="242"/>
        <v>0</v>
      </c>
      <c r="EW972" s="885"/>
      <c r="EX972" s="885"/>
      <c r="EY972" s="885"/>
      <c r="EZ972" s="885"/>
      <c r="FA972" s="885"/>
      <c r="FB972" s="885"/>
      <c r="FC972" s="885"/>
      <c r="FD972" s="886"/>
      <c r="FE972" s="550"/>
      <c r="FF972" s="550"/>
      <c r="FG972" s="550"/>
      <c r="FH972" s="550"/>
      <c r="FI972" s="550"/>
      <c r="FJ972" s="550"/>
      <c r="FK972" s="550"/>
      <c r="FL972" s="555"/>
      <c r="FM972" s="554"/>
      <c r="FN972" s="554"/>
      <c r="FO972" s="554"/>
      <c r="FP972" s="554"/>
      <c r="FQ972" s="554"/>
      <c r="FR972" s="554"/>
      <c r="FS972" s="554"/>
      <c r="FT972" s="554"/>
      <c r="FU972" s="554"/>
      <c r="FV972" s="554"/>
      <c r="FW972" s="554"/>
      <c r="FX972" s="554"/>
      <c r="FY972" s="554"/>
      <c r="FZ972" s="554"/>
      <c r="GA972" s="554"/>
      <c r="GB972" s="556"/>
      <c r="GC972" s="370"/>
      <c r="GD972" s="453"/>
      <c r="GE972" s="453"/>
      <c r="GF972" s="453"/>
      <c r="GG972" s="453"/>
      <c r="GH972" s="454"/>
      <c r="GI972" s="453"/>
      <c r="GJ972" s="453"/>
      <c r="GK972" s="453"/>
      <c r="GL972" s="453"/>
      <c r="GM972" s="453"/>
      <c r="GN972" s="453"/>
      <c r="GO972" s="453"/>
      <c r="GP972" s="453"/>
      <c r="GQ972" s="453"/>
      <c r="GR972" s="453"/>
      <c r="GS972" s="561"/>
      <c r="GT972" s="475"/>
      <c r="GU972" s="472"/>
      <c r="GV972" s="453"/>
      <c r="GW972" s="453"/>
      <c r="GX972" s="869"/>
      <c r="GY972" s="870"/>
      <c r="GZ972" s="867"/>
      <c r="HA972" s="868"/>
      <c r="HB972" s="473"/>
      <c r="HC972" s="869"/>
      <c r="HD972" s="870"/>
      <c r="HE972" s="867"/>
      <c r="HF972" s="868"/>
      <c r="HG972" s="473"/>
      <c r="HH972" s="867"/>
      <c r="HI972" s="868"/>
      <c r="HJ972" s="867"/>
      <c r="HK972" s="868"/>
      <c r="HL972" s="370"/>
      <c r="HM972" s="865"/>
      <c r="HN972" s="866"/>
      <c r="HO972" s="865"/>
      <c r="HP972" s="866"/>
      <c r="HQ972" s="865"/>
      <c r="HR972" s="866"/>
      <c r="HS972" s="867"/>
      <c r="HT972" s="868"/>
      <c r="HU972" s="489"/>
      <c r="HV972" s="865"/>
      <c r="HW972" s="866"/>
    </row>
    <row r="973" spans="25:231" ht="15" customHeight="1">
      <c r="Y973" s="332"/>
      <c r="Z973" s="332"/>
      <c r="AA973" s="332"/>
      <c r="AB973" s="332"/>
      <c r="AC973" s="332"/>
      <c r="AD973" s="332"/>
      <c r="AE973" s="332"/>
      <c r="AF973" s="332"/>
      <c r="AG973" s="332"/>
      <c r="AH973" s="332"/>
      <c r="AI973" s="332"/>
      <c r="AJ973" s="332"/>
      <c r="AK973" s="332"/>
      <c r="AL973" s="332"/>
      <c r="AM973" s="332"/>
      <c r="AN973" s="332"/>
      <c r="AO973" s="332"/>
      <c r="AP973" s="332"/>
      <c r="AQ973" s="332"/>
      <c r="AR973" s="332"/>
      <c r="AS973" s="332"/>
      <c r="AT973" s="332"/>
      <c r="AU973" s="332"/>
      <c r="AV973" s="332"/>
      <c r="AW973" s="332"/>
      <c r="AX973" s="332"/>
      <c r="AY973" s="332"/>
      <c r="AZ973" s="332"/>
      <c r="BA973" s="332"/>
      <c r="BB973" s="332"/>
      <c r="BC973" s="332"/>
      <c r="BD973" s="332"/>
      <c r="BE973" s="332"/>
      <c r="BF973" s="332"/>
      <c r="BG973" s="332"/>
      <c r="BH973" s="332"/>
      <c r="BI973" s="332"/>
      <c r="BJ973" s="332"/>
      <c r="BK973" s="332"/>
      <c r="BL973" s="332"/>
      <c r="BM973" s="332"/>
      <c r="BN973" s="332"/>
      <c r="BO973" s="332"/>
      <c r="BP973" s="332"/>
      <c r="BQ973" s="332"/>
      <c r="BR973" s="332"/>
      <c r="BS973" s="332"/>
      <c r="BT973" s="332"/>
      <c r="BU973" s="332"/>
      <c r="BV973" s="332"/>
      <c r="BW973" s="332"/>
      <c r="BX973" s="332"/>
      <c r="BY973" s="332"/>
      <c r="BZ973" s="332"/>
      <c r="CA973" s="332"/>
      <c r="CB973" s="332"/>
      <c r="CC973" s="332"/>
      <c r="CD973" s="332"/>
      <c r="CE973" s="332"/>
      <c r="CF973" s="332"/>
      <c r="CG973" s="332"/>
      <c r="CH973" s="332"/>
      <c r="CI973" s="332"/>
      <c r="CJ973" s="332"/>
      <c r="CK973" s="332"/>
      <c r="CL973" s="332"/>
      <c r="CM973" s="332"/>
      <c r="CN973" s="332"/>
      <c r="CO973" s="332"/>
      <c r="CP973" s="332"/>
      <c r="CQ973" s="332"/>
      <c r="CR973" s="332"/>
      <c r="CS973" s="332"/>
      <c r="CT973" s="332"/>
      <c r="CU973" s="332"/>
      <c r="CV973" s="332"/>
      <c r="CW973" s="332"/>
      <c r="CX973" s="332"/>
      <c r="CY973" s="332"/>
      <c r="CZ973" s="332"/>
      <c r="DA973" s="332"/>
      <c r="DB973" s="332"/>
      <c r="DC973" s="332"/>
      <c r="DD973" s="332"/>
      <c r="DE973" s="332"/>
      <c r="DF973" s="332"/>
      <c r="DG973" s="332"/>
      <c r="DH973" s="332"/>
      <c r="DI973" s="332"/>
      <c r="DJ973" s="332"/>
      <c r="DK973" s="332"/>
      <c r="DL973" s="332"/>
      <c r="DM973" s="332"/>
      <c r="DN973" s="332"/>
      <c r="DO973" s="332"/>
      <c r="DP973" s="332"/>
      <c r="DQ973" s="332"/>
      <c r="DR973" s="332"/>
      <c r="DS973" s="332"/>
      <c r="DT973" s="332"/>
      <c r="DU973" s="453"/>
      <c r="DV973" s="453"/>
      <c r="DW973" s="453"/>
      <c r="DX973" s="453"/>
      <c r="DY973" s="453"/>
      <c r="DZ973" s="453"/>
      <c r="EA973" s="453"/>
      <c r="EB973" s="453"/>
      <c r="EC973" s="453"/>
      <c r="ED973" s="453"/>
      <c r="EE973" s="453"/>
      <c r="EF973" s="453"/>
      <c r="EG973" s="453"/>
      <c r="EH973" s="453"/>
      <c r="EI973" s="453"/>
      <c r="EJ973" s="453"/>
      <c r="EK973" s="453"/>
      <c r="EL973" s="453"/>
      <c r="EM973" s="483">
        <f t="shared" si="243"/>
        <v>664</v>
      </c>
      <c r="EN973" s="485"/>
      <c r="EO973" s="458"/>
      <c r="EP973" s="467"/>
      <c r="EQ973" s="457"/>
      <c r="ER973" s="808"/>
      <c r="ES973" s="881">
        <f t="shared" si="241"/>
        <v>0</v>
      </c>
      <c r="ET973" s="882"/>
      <c r="EU973" s="883"/>
      <c r="EV973" s="884">
        <f t="shared" si="242"/>
        <v>0</v>
      </c>
      <c r="EW973" s="885"/>
      <c r="EX973" s="885"/>
      <c r="EY973" s="885"/>
      <c r="EZ973" s="885"/>
      <c r="FA973" s="885"/>
      <c r="FB973" s="885"/>
      <c r="FC973" s="885"/>
      <c r="FD973" s="886"/>
      <c r="FE973" s="550"/>
      <c r="FF973" s="550"/>
      <c r="FG973" s="550"/>
      <c r="FH973" s="550"/>
      <c r="FI973" s="550"/>
      <c r="FJ973" s="550"/>
      <c r="FK973" s="550"/>
      <c r="FL973" s="555"/>
      <c r="FM973" s="554"/>
      <c r="FN973" s="554"/>
      <c r="FO973" s="554"/>
      <c r="FP973" s="554"/>
      <c r="FQ973" s="554"/>
      <c r="FR973" s="554"/>
      <c r="FS973" s="554"/>
      <c r="FT973" s="554"/>
      <c r="FU973" s="554"/>
      <c r="FV973" s="554"/>
      <c r="FW973" s="554"/>
      <c r="FX973" s="554"/>
      <c r="FY973" s="554"/>
      <c r="FZ973" s="554"/>
      <c r="GA973" s="554"/>
      <c r="GB973" s="556"/>
      <c r="GC973" s="370"/>
      <c r="GD973" s="453"/>
      <c r="GE973" s="453"/>
      <c r="GF973" s="453"/>
      <c r="GG973" s="453"/>
      <c r="GH973" s="454"/>
      <c r="GI973" s="453"/>
      <c r="GJ973" s="453"/>
      <c r="GK973" s="453"/>
      <c r="GL973" s="453"/>
      <c r="GM973" s="453"/>
      <c r="GN973" s="453"/>
      <c r="GO973" s="453"/>
      <c r="GP973" s="453"/>
      <c r="GQ973" s="453"/>
      <c r="GR973" s="453"/>
      <c r="GS973" s="561"/>
      <c r="GT973" s="475"/>
      <c r="GU973" s="472"/>
      <c r="GV973" s="453"/>
      <c r="GW973" s="453"/>
      <c r="GX973" s="869"/>
      <c r="GY973" s="870"/>
      <c r="GZ973" s="867"/>
      <c r="HA973" s="868"/>
      <c r="HB973" s="473"/>
      <c r="HC973" s="869"/>
      <c r="HD973" s="870"/>
      <c r="HE973" s="867"/>
      <c r="HF973" s="868"/>
      <c r="HG973" s="473"/>
      <c r="HH973" s="867"/>
      <c r="HI973" s="868"/>
      <c r="HJ973" s="867"/>
      <c r="HK973" s="868"/>
      <c r="HL973" s="370"/>
      <c r="HM973" s="865"/>
      <c r="HN973" s="866"/>
      <c r="HO973" s="865"/>
      <c r="HP973" s="866"/>
      <c r="HQ973" s="865"/>
      <c r="HR973" s="866"/>
      <c r="HS973" s="867"/>
      <c r="HT973" s="868"/>
      <c r="HU973" s="489"/>
      <c r="HV973" s="865"/>
      <c r="HW973" s="866"/>
    </row>
    <row r="974" spans="25:231" ht="15" customHeight="1">
      <c r="Y974" s="332"/>
      <c r="Z974" s="332"/>
      <c r="AA974" s="332"/>
      <c r="AB974" s="332"/>
      <c r="AC974" s="332"/>
      <c r="AD974" s="332"/>
      <c r="AE974" s="332"/>
      <c r="AF974" s="332"/>
      <c r="AG974" s="332"/>
      <c r="AH974" s="332"/>
      <c r="AI974" s="332"/>
      <c r="AJ974" s="332"/>
      <c r="AK974" s="332"/>
      <c r="AL974" s="332"/>
      <c r="AM974" s="332"/>
      <c r="AN974" s="332"/>
      <c r="AO974" s="332"/>
      <c r="AP974" s="332"/>
      <c r="AQ974" s="332"/>
      <c r="AR974" s="332"/>
      <c r="AS974" s="332"/>
      <c r="AT974" s="332"/>
      <c r="AU974" s="332"/>
      <c r="AV974" s="332"/>
      <c r="AW974" s="332"/>
      <c r="AX974" s="332"/>
      <c r="AY974" s="332"/>
      <c r="AZ974" s="332"/>
      <c r="BA974" s="332"/>
      <c r="BB974" s="332"/>
      <c r="BC974" s="332"/>
      <c r="BD974" s="332"/>
      <c r="BE974" s="332"/>
      <c r="BF974" s="332"/>
      <c r="BG974" s="332"/>
      <c r="BH974" s="332"/>
      <c r="BI974" s="332"/>
      <c r="BJ974" s="332"/>
      <c r="BK974" s="332"/>
      <c r="BL974" s="332"/>
      <c r="BM974" s="332"/>
      <c r="BN974" s="332"/>
      <c r="BO974" s="332"/>
      <c r="BP974" s="332"/>
      <c r="BQ974" s="332"/>
      <c r="BR974" s="332"/>
      <c r="BS974" s="332"/>
      <c r="BT974" s="332"/>
      <c r="BU974" s="332"/>
      <c r="BV974" s="332"/>
      <c r="BW974" s="332"/>
      <c r="BX974" s="332"/>
      <c r="BY974" s="332"/>
      <c r="BZ974" s="332"/>
      <c r="CA974" s="332"/>
      <c r="CB974" s="332"/>
      <c r="CC974" s="332"/>
      <c r="CD974" s="332"/>
      <c r="CE974" s="332"/>
      <c r="CF974" s="332"/>
      <c r="CG974" s="332"/>
      <c r="CH974" s="332"/>
      <c r="CI974" s="332"/>
      <c r="CJ974" s="332"/>
      <c r="CK974" s="332"/>
      <c r="CL974" s="332"/>
      <c r="CM974" s="332"/>
      <c r="CN974" s="332"/>
      <c r="CO974" s="332"/>
      <c r="CP974" s="332"/>
      <c r="CQ974" s="332"/>
      <c r="CR974" s="332"/>
      <c r="CS974" s="332"/>
      <c r="CT974" s="332"/>
      <c r="CU974" s="332"/>
      <c r="CV974" s="332"/>
      <c r="CW974" s="332"/>
      <c r="CX974" s="332"/>
      <c r="CY974" s="332"/>
      <c r="CZ974" s="332"/>
      <c r="DA974" s="332"/>
      <c r="DB974" s="332"/>
      <c r="DC974" s="332"/>
      <c r="DD974" s="332"/>
      <c r="DE974" s="332"/>
      <c r="DF974" s="332"/>
      <c r="DG974" s="332"/>
      <c r="DH974" s="332"/>
      <c r="DI974" s="332"/>
      <c r="DJ974" s="332"/>
      <c r="DK974" s="332"/>
      <c r="DL974" s="332"/>
      <c r="DM974" s="332"/>
      <c r="DN974" s="332"/>
      <c r="DO974" s="332"/>
      <c r="DP974" s="332"/>
      <c r="DQ974" s="332"/>
      <c r="DR974" s="332"/>
      <c r="DS974" s="332"/>
      <c r="DT974" s="332"/>
      <c r="DU974" s="453"/>
      <c r="DV974" s="453"/>
      <c r="DW974" s="453"/>
      <c r="DX974" s="453"/>
      <c r="DY974" s="453"/>
      <c r="DZ974" s="453"/>
      <c r="EA974" s="453"/>
      <c r="EB974" s="453"/>
      <c r="EC974" s="453"/>
      <c r="ED974" s="453"/>
      <c r="EE974" s="453"/>
      <c r="EF974" s="453"/>
      <c r="EG974" s="453"/>
      <c r="EH974" s="453"/>
      <c r="EI974" s="453"/>
      <c r="EJ974" s="453"/>
      <c r="EK974" s="453"/>
      <c r="EL974" s="453"/>
      <c r="EM974" s="483">
        <f t="shared" si="243"/>
        <v>665</v>
      </c>
      <c r="EN974" s="485"/>
      <c r="EO974" s="458"/>
      <c r="EP974" s="467"/>
      <c r="EQ974" s="457"/>
      <c r="ER974" s="808"/>
      <c r="ES974" s="881">
        <f t="shared" si="241"/>
        <v>0</v>
      </c>
      <c r="ET974" s="882"/>
      <c r="EU974" s="883"/>
      <c r="EV974" s="884">
        <f t="shared" si="242"/>
        <v>0</v>
      </c>
      <c r="EW974" s="885"/>
      <c r="EX974" s="885"/>
      <c r="EY974" s="885"/>
      <c r="EZ974" s="885"/>
      <c r="FA974" s="885"/>
      <c r="FB974" s="885"/>
      <c r="FC974" s="885"/>
      <c r="FD974" s="886"/>
      <c r="FE974" s="550"/>
      <c r="FF974" s="550"/>
      <c r="FG974" s="550"/>
      <c r="FH974" s="550"/>
      <c r="FI974" s="550"/>
      <c r="FJ974" s="550"/>
      <c r="FK974" s="550"/>
      <c r="FL974" s="555"/>
      <c r="FM974" s="554"/>
      <c r="FN974" s="554"/>
      <c r="FO974" s="554"/>
      <c r="FP974" s="554"/>
      <c r="FQ974" s="554"/>
      <c r="FR974" s="554"/>
      <c r="FS974" s="554"/>
      <c r="FT974" s="554"/>
      <c r="FU974" s="554"/>
      <c r="FV974" s="554"/>
      <c r="FW974" s="554"/>
      <c r="FX974" s="554"/>
      <c r="FY974" s="554"/>
      <c r="FZ974" s="554"/>
      <c r="GA974" s="554"/>
      <c r="GB974" s="556"/>
      <c r="GC974" s="370"/>
      <c r="GD974" s="453"/>
      <c r="GE974" s="453"/>
      <c r="GF974" s="453"/>
      <c r="GG974" s="453"/>
      <c r="GH974" s="454"/>
      <c r="GI974" s="453"/>
      <c r="GJ974" s="453"/>
      <c r="GK974" s="453"/>
      <c r="GL974" s="453"/>
      <c r="GM974" s="453"/>
      <c r="GN974" s="453"/>
      <c r="GO974" s="453"/>
      <c r="GP974" s="453"/>
      <c r="GQ974" s="453"/>
      <c r="GR974" s="453"/>
      <c r="GS974" s="561"/>
      <c r="GT974" s="475"/>
      <c r="GU974" s="472"/>
      <c r="GV974" s="453"/>
      <c r="GW974" s="453"/>
      <c r="GX974" s="869"/>
      <c r="GY974" s="870"/>
      <c r="GZ974" s="867"/>
      <c r="HA974" s="868"/>
      <c r="HB974" s="473"/>
      <c r="HC974" s="869"/>
      <c r="HD974" s="870"/>
      <c r="HE974" s="867"/>
      <c r="HF974" s="868"/>
      <c r="HG974" s="473"/>
      <c r="HH974" s="867"/>
      <c r="HI974" s="868"/>
      <c r="HJ974" s="867"/>
      <c r="HK974" s="868"/>
      <c r="HL974" s="370"/>
      <c r="HM974" s="865"/>
      <c r="HN974" s="866"/>
      <c r="HO974" s="865"/>
      <c r="HP974" s="866"/>
      <c r="HQ974" s="865"/>
      <c r="HR974" s="866"/>
      <c r="HS974" s="867"/>
      <c r="HT974" s="868"/>
      <c r="HU974" s="489"/>
      <c r="HV974" s="865"/>
      <c r="HW974" s="866"/>
    </row>
    <row r="975" spans="25:231" ht="15" customHeight="1">
      <c r="Y975" s="332"/>
      <c r="Z975" s="332"/>
      <c r="AA975" s="332"/>
      <c r="AB975" s="332"/>
      <c r="AC975" s="332"/>
      <c r="AD975" s="332"/>
      <c r="AE975" s="332"/>
      <c r="AF975" s="332"/>
      <c r="AG975" s="332"/>
      <c r="AH975" s="332"/>
      <c r="AI975" s="332"/>
      <c r="AJ975" s="332"/>
      <c r="AK975" s="332"/>
      <c r="AL975" s="332"/>
      <c r="AM975" s="332"/>
      <c r="AN975" s="332"/>
      <c r="AO975" s="332"/>
      <c r="AP975" s="332"/>
      <c r="AQ975" s="332"/>
      <c r="AR975" s="332"/>
      <c r="AS975" s="332"/>
      <c r="AT975" s="332"/>
      <c r="AU975" s="332"/>
      <c r="AV975" s="332"/>
      <c r="AW975" s="332"/>
      <c r="AX975" s="332"/>
      <c r="AY975" s="332"/>
      <c r="AZ975" s="332"/>
      <c r="BA975" s="332"/>
      <c r="BB975" s="332"/>
      <c r="BC975" s="332"/>
      <c r="BD975" s="332"/>
      <c r="BE975" s="332"/>
      <c r="BF975" s="332"/>
      <c r="BG975" s="332"/>
      <c r="BH975" s="332"/>
      <c r="BI975" s="332"/>
      <c r="BJ975" s="332"/>
      <c r="BK975" s="332"/>
      <c r="BL975" s="332"/>
      <c r="BM975" s="332"/>
      <c r="BN975" s="332"/>
      <c r="BO975" s="332"/>
      <c r="BP975" s="332"/>
      <c r="BQ975" s="332"/>
      <c r="BR975" s="332"/>
      <c r="BS975" s="332"/>
      <c r="BT975" s="332"/>
      <c r="BU975" s="332"/>
      <c r="BV975" s="332"/>
      <c r="BW975" s="332"/>
      <c r="BX975" s="332"/>
      <c r="BY975" s="332"/>
      <c r="BZ975" s="332"/>
      <c r="CA975" s="332"/>
      <c r="CB975" s="332"/>
      <c r="CC975" s="332"/>
      <c r="CD975" s="332"/>
      <c r="CE975" s="332"/>
      <c r="CF975" s="332"/>
      <c r="CG975" s="332"/>
      <c r="CH975" s="332"/>
      <c r="CI975" s="332"/>
      <c r="CJ975" s="332"/>
      <c r="CK975" s="332"/>
      <c r="CL975" s="332"/>
      <c r="CM975" s="332"/>
      <c r="CN975" s="332"/>
      <c r="CO975" s="332"/>
      <c r="CP975" s="332"/>
      <c r="CQ975" s="332"/>
      <c r="CR975" s="332"/>
      <c r="CS975" s="332"/>
      <c r="CT975" s="332"/>
      <c r="CU975" s="332"/>
      <c r="CV975" s="332"/>
      <c r="CW975" s="332"/>
      <c r="CX975" s="332"/>
      <c r="CY975" s="332"/>
      <c r="CZ975" s="332"/>
      <c r="DA975" s="332"/>
      <c r="DB975" s="332"/>
      <c r="DC975" s="332"/>
      <c r="DD975" s="332"/>
      <c r="DE975" s="332"/>
      <c r="DF975" s="332"/>
      <c r="DG975" s="332"/>
      <c r="DH975" s="332"/>
      <c r="DI975" s="332"/>
      <c r="DJ975" s="332"/>
      <c r="DK975" s="332"/>
      <c r="DL975" s="332"/>
      <c r="DM975" s="332"/>
      <c r="DN975" s="332"/>
      <c r="DO975" s="332"/>
      <c r="DP975" s="332"/>
      <c r="DQ975" s="332"/>
      <c r="DR975" s="332"/>
      <c r="DS975" s="332"/>
      <c r="DT975" s="332"/>
      <c r="DU975" s="453"/>
      <c r="DV975" s="453"/>
      <c r="DW975" s="453"/>
      <c r="DX975" s="453"/>
      <c r="DY975" s="453"/>
      <c r="DZ975" s="453"/>
      <c r="EA975" s="453"/>
      <c r="EB975" s="453"/>
      <c r="EC975" s="453"/>
      <c r="ED975" s="453"/>
      <c r="EE975" s="453"/>
      <c r="EF975" s="453"/>
      <c r="EG975" s="453"/>
      <c r="EH975" s="453"/>
      <c r="EI975" s="453"/>
      <c r="EJ975" s="453"/>
      <c r="EK975" s="453"/>
      <c r="EL975" s="453"/>
      <c r="EM975" s="483">
        <f t="shared" si="243"/>
        <v>666</v>
      </c>
      <c r="EN975" s="485"/>
      <c r="EO975" s="458"/>
      <c r="EP975" s="467"/>
      <c r="EQ975" s="457"/>
      <c r="ER975" s="808"/>
      <c r="ES975" s="881">
        <f t="shared" si="241"/>
        <v>0</v>
      </c>
      <c r="ET975" s="882"/>
      <c r="EU975" s="883"/>
      <c r="EV975" s="884">
        <f t="shared" si="242"/>
        <v>0</v>
      </c>
      <c r="EW975" s="885"/>
      <c r="EX975" s="885"/>
      <c r="EY975" s="885"/>
      <c r="EZ975" s="885"/>
      <c r="FA975" s="885"/>
      <c r="FB975" s="885"/>
      <c r="FC975" s="885"/>
      <c r="FD975" s="886"/>
      <c r="FE975" s="550"/>
      <c r="FF975" s="550"/>
      <c r="FG975" s="550"/>
      <c r="FH975" s="550"/>
      <c r="FI975" s="550"/>
      <c r="FJ975" s="550"/>
      <c r="FK975" s="550"/>
      <c r="FL975" s="555"/>
      <c r="FM975" s="554"/>
      <c r="FN975" s="554"/>
      <c r="FO975" s="554"/>
      <c r="FP975" s="554"/>
      <c r="FQ975" s="554"/>
      <c r="FR975" s="554"/>
      <c r="FS975" s="554"/>
      <c r="FT975" s="554"/>
      <c r="FU975" s="554"/>
      <c r="FV975" s="554"/>
      <c r="FW975" s="554"/>
      <c r="FX975" s="554"/>
      <c r="FY975" s="554"/>
      <c r="FZ975" s="554"/>
      <c r="GA975" s="554"/>
      <c r="GB975" s="556"/>
      <c r="GC975" s="370"/>
      <c r="GD975" s="453"/>
      <c r="GE975" s="453"/>
      <c r="GF975" s="453"/>
      <c r="GG975" s="453"/>
      <c r="GH975" s="454"/>
      <c r="GI975" s="453"/>
      <c r="GJ975" s="453"/>
      <c r="GK975" s="453"/>
      <c r="GL975" s="453"/>
      <c r="GM975" s="453"/>
      <c r="GN975" s="453"/>
      <c r="GO975" s="453"/>
      <c r="GP975" s="453"/>
      <c r="GQ975" s="453"/>
      <c r="GR975" s="453"/>
      <c r="GS975" s="561"/>
      <c r="GT975" s="475"/>
      <c r="GU975" s="472"/>
      <c r="GV975" s="453"/>
      <c r="GW975" s="453"/>
      <c r="GX975" s="869"/>
      <c r="GY975" s="870"/>
      <c r="GZ975" s="867"/>
      <c r="HA975" s="868"/>
      <c r="HB975" s="473"/>
      <c r="HC975" s="869"/>
      <c r="HD975" s="870"/>
      <c r="HE975" s="867"/>
      <c r="HF975" s="868"/>
      <c r="HG975" s="473"/>
      <c r="HH975" s="867"/>
      <c r="HI975" s="868"/>
      <c r="HJ975" s="867"/>
      <c r="HK975" s="868"/>
      <c r="HL975" s="370"/>
      <c r="HM975" s="865"/>
      <c r="HN975" s="866"/>
      <c r="HO975" s="865"/>
      <c r="HP975" s="866"/>
      <c r="HQ975" s="865"/>
      <c r="HR975" s="866"/>
      <c r="HS975" s="867"/>
      <c r="HT975" s="868"/>
      <c r="HU975" s="489"/>
      <c r="HV975" s="865"/>
      <c r="HW975" s="866"/>
    </row>
    <row r="976" spans="25:231" ht="15" customHeight="1">
      <c r="Y976" s="332"/>
      <c r="Z976" s="332"/>
      <c r="AA976" s="332"/>
      <c r="AB976" s="332"/>
      <c r="AC976" s="332"/>
      <c r="AD976" s="332"/>
      <c r="AE976" s="332"/>
      <c r="AF976" s="332"/>
      <c r="AG976" s="332"/>
      <c r="AH976" s="332"/>
      <c r="AI976" s="332"/>
      <c r="AJ976" s="332"/>
      <c r="AK976" s="332"/>
      <c r="AL976" s="332"/>
      <c r="AM976" s="332"/>
      <c r="AN976" s="332"/>
      <c r="AO976" s="332"/>
      <c r="AP976" s="332"/>
      <c r="AQ976" s="332"/>
      <c r="AR976" s="332"/>
      <c r="AS976" s="332"/>
      <c r="AT976" s="332"/>
      <c r="AU976" s="332"/>
      <c r="AV976" s="332"/>
      <c r="AW976" s="332"/>
      <c r="AX976" s="332"/>
      <c r="AY976" s="332"/>
      <c r="AZ976" s="332"/>
      <c r="BA976" s="332"/>
      <c r="BB976" s="332"/>
      <c r="BC976" s="332"/>
      <c r="BD976" s="332"/>
      <c r="BE976" s="332"/>
      <c r="BF976" s="332"/>
      <c r="BG976" s="332"/>
      <c r="BH976" s="332"/>
      <c r="BI976" s="332"/>
      <c r="BJ976" s="332"/>
      <c r="BK976" s="332"/>
      <c r="BL976" s="332"/>
      <c r="BM976" s="332"/>
      <c r="BN976" s="332"/>
      <c r="BO976" s="332"/>
      <c r="BP976" s="332"/>
      <c r="BQ976" s="332"/>
      <c r="BR976" s="332"/>
      <c r="BS976" s="332"/>
      <c r="BT976" s="332"/>
      <c r="BU976" s="332"/>
      <c r="BV976" s="332"/>
      <c r="BW976" s="332"/>
      <c r="BX976" s="332"/>
      <c r="BY976" s="332"/>
      <c r="BZ976" s="332"/>
      <c r="CA976" s="332"/>
      <c r="CB976" s="332"/>
      <c r="CC976" s="332"/>
      <c r="CD976" s="332"/>
      <c r="CE976" s="332"/>
      <c r="CF976" s="332"/>
      <c r="CG976" s="332"/>
      <c r="CH976" s="332"/>
      <c r="CI976" s="332"/>
      <c r="CJ976" s="332"/>
      <c r="CK976" s="332"/>
      <c r="CL976" s="332"/>
      <c r="CM976" s="332"/>
      <c r="CN976" s="332"/>
      <c r="CO976" s="332"/>
      <c r="CP976" s="332"/>
      <c r="CQ976" s="332"/>
      <c r="CR976" s="332"/>
      <c r="CS976" s="332"/>
      <c r="CT976" s="332"/>
      <c r="CU976" s="332"/>
      <c r="CV976" s="332"/>
      <c r="CW976" s="332"/>
      <c r="CX976" s="332"/>
      <c r="CY976" s="332"/>
      <c r="CZ976" s="332"/>
      <c r="DA976" s="332"/>
      <c r="DB976" s="332"/>
      <c r="DC976" s="332"/>
      <c r="DD976" s="332"/>
      <c r="DE976" s="332"/>
      <c r="DF976" s="332"/>
      <c r="DG976" s="332"/>
      <c r="DH976" s="332"/>
      <c r="DI976" s="332"/>
      <c r="DJ976" s="332"/>
      <c r="DK976" s="332"/>
      <c r="DL976" s="332"/>
      <c r="DM976" s="332"/>
      <c r="DN976" s="332"/>
      <c r="DO976" s="332"/>
      <c r="DP976" s="332"/>
      <c r="DQ976" s="332"/>
      <c r="DR976" s="332"/>
      <c r="DS976" s="332"/>
      <c r="DT976" s="332"/>
      <c r="DU976" s="453"/>
      <c r="DV976" s="453"/>
      <c r="DW976" s="453"/>
      <c r="DX976" s="453"/>
      <c r="DY976" s="453"/>
      <c r="DZ976" s="453"/>
      <c r="EA976" s="453"/>
      <c r="EB976" s="453"/>
      <c r="EC976" s="453"/>
      <c r="ED976" s="453"/>
      <c r="EE976" s="453"/>
      <c r="EF976" s="453"/>
      <c r="EG976" s="453"/>
      <c r="EH976" s="453"/>
      <c r="EI976" s="453"/>
      <c r="EJ976" s="453"/>
      <c r="EK976" s="453"/>
      <c r="EL976" s="453"/>
      <c r="EM976" s="483">
        <f t="shared" si="243"/>
        <v>667</v>
      </c>
      <c r="EN976" s="485"/>
      <c r="EO976" s="458"/>
      <c r="EP976" s="467"/>
      <c r="EQ976" s="457"/>
      <c r="ER976" s="808"/>
      <c r="ES976" s="881">
        <f t="shared" si="241"/>
        <v>0</v>
      </c>
      <c r="ET976" s="882"/>
      <c r="EU976" s="883"/>
      <c r="EV976" s="884">
        <f t="shared" si="242"/>
        <v>0</v>
      </c>
      <c r="EW976" s="885"/>
      <c r="EX976" s="885"/>
      <c r="EY976" s="885"/>
      <c r="EZ976" s="885"/>
      <c r="FA976" s="885"/>
      <c r="FB976" s="885"/>
      <c r="FC976" s="885"/>
      <c r="FD976" s="886"/>
      <c r="FE976" s="550"/>
      <c r="FF976" s="550"/>
      <c r="FG976" s="550"/>
      <c r="FH976" s="550"/>
      <c r="FI976" s="550"/>
      <c r="FJ976" s="550"/>
      <c r="FK976" s="550"/>
      <c r="FL976" s="555"/>
      <c r="FM976" s="554"/>
      <c r="FN976" s="554"/>
      <c r="FO976" s="554"/>
      <c r="FP976" s="554"/>
      <c r="FQ976" s="554"/>
      <c r="FR976" s="554"/>
      <c r="FS976" s="554"/>
      <c r="FT976" s="554"/>
      <c r="FU976" s="554"/>
      <c r="FV976" s="554"/>
      <c r="FW976" s="554"/>
      <c r="FX976" s="554"/>
      <c r="FY976" s="554"/>
      <c r="FZ976" s="554"/>
      <c r="GA976" s="554"/>
      <c r="GB976" s="556"/>
      <c r="GC976" s="370"/>
      <c r="GD976" s="453"/>
      <c r="GE976" s="453"/>
      <c r="GF976" s="453"/>
      <c r="GG976" s="453"/>
      <c r="GH976" s="454"/>
      <c r="GI976" s="453"/>
      <c r="GJ976" s="453"/>
      <c r="GK976" s="453"/>
      <c r="GL976" s="453"/>
      <c r="GM976" s="453"/>
      <c r="GN976" s="453"/>
      <c r="GO976" s="453"/>
      <c r="GP976" s="453"/>
      <c r="GQ976" s="453"/>
      <c r="GR976" s="453"/>
      <c r="GS976" s="561"/>
      <c r="GT976" s="475"/>
      <c r="GU976" s="472"/>
      <c r="GV976" s="453"/>
      <c r="GW976" s="453"/>
      <c r="GX976" s="869"/>
      <c r="GY976" s="870"/>
      <c r="GZ976" s="867"/>
      <c r="HA976" s="868"/>
      <c r="HB976" s="473"/>
      <c r="HC976" s="869"/>
      <c r="HD976" s="870"/>
      <c r="HE976" s="867"/>
      <c r="HF976" s="868"/>
      <c r="HG976" s="473"/>
      <c r="HH976" s="867"/>
      <c r="HI976" s="868"/>
      <c r="HJ976" s="867"/>
      <c r="HK976" s="868"/>
      <c r="HL976" s="370"/>
      <c r="HM976" s="865"/>
      <c r="HN976" s="866"/>
      <c r="HO976" s="865"/>
      <c r="HP976" s="866"/>
      <c r="HQ976" s="865"/>
      <c r="HR976" s="866"/>
      <c r="HS976" s="867"/>
      <c r="HT976" s="868"/>
      <c r="HU976" s="489"/>
      <c r="HV976" s="865"/>
      <c r="HW976" s="866"/>
    </row>
    <row r="977" spans="25:231" ht="15" customHeight="1">
      <c r="Y977" s="332"/>
      <c r="Z977" s="332"/>
      <c r="AA977" s="332"/>
      <c r="AB977" s="332"/>
      <c r="AC977" s="332"/>
      <c r="AD977" s="332"/>
      <c r="AE977" s="332"/>
      <c r="AF977" s="332"/>
      <c r="AG977" s="332"/>
      <c r="AH977" s="332"/>
      <c r="AI977" s="332"/>
      <c r="AJ977" s="332"/>
      <c r="AK977" s="332"/>
      <c r="AL977" s="332"/>
      <c r="AM977" s="332"/>
      <c r="AN977" s="332"/>
      <c r="AO977" s="332"/>
      <c r="AP977" s="332"/>
      <c r="AQ977" s="332"/>
      <c r="AR977" s="332"/>
      <c r="AS977" s="332"/>
      <c r="AT977" s="332"/>
      <c r="AU977" s="332"/>
      <c r="AV977" s="332"/>
      <c r="AW977" s="332"/>
      <c r="AX977" s="332"/>
      <c r="AY977" s="332"/>
      <c r="AZ977" s="332"/>
      <c r="BA977" s="332"/>
      <c r="BB977" s="332"/>
      <c r="BC977" s="332"/>
      <c r="BD977" s="332"/>
      <c r="BE977" s="332"/>
      <c r="BF977" s="332"/>
      <c r="BG977" s="332"/>
      <c r="BH977" s="332"/>
      <c r="BI977" s="332"/>
      <c r="BJ977" s="332"/>
      <c r="BK977" s="332"/>
      <c r="BL977" s="332"/>
      <c r="BM977" s="332"/>
      <c r="BN977" s="332"/>
      <c r="BO977" s="332"/>
      <c r="BP977" s="332"/>
      <c r="BQ977" s="332"/>
      <c r="BR977" s="332"/>
      <c r="BS977" s="332"/>
      <c r="BT977" s="332"/>
      <c r="BU977" s="332"/>
      <c r="BV977" s="332"/>
      <c r="BW977" s="332"/>
      <c r="BX977" s="332"/>
      <c r="BY977" s="332"/>
      <c r="BZ977" s="332"/>
      <c r="CA977" s="332"/>
      <c r="CB977" s="332"/>
      <c r="CC977" s="332"/>
      <c r="CD977" s="332"/>
      <c r="CE977" s="332"/>
      <c r="CF977" s="332"/>
      <c r="CG977" s="332"/>
      <c r="CH977" s="332"/>
      <c r="CI977" s="332"/>
      <c r="CJ977" s="332"/>
      <c r="CK977" s="332"/>
      <c r="CL977" s="332"/>
      <c r="CM977" s="332"/>
      <c r="CN977" s="332"/>
      <c r="CO977" s="332"/>
      <c r="CP977" s="332"/>
      <c r="CQ977" s="332"/>
      <c r="CR977" s="332"/>
      <c r="CS977" s="332"/>
      <c r="CT977" s="332"/>
      <c r="CU977" s="332"/>
      <c r="CV977" s="332"/>
      <c r="CW977" s="332"/>
      <c r="CX977" s="332"/>
      <c r="CY977" s="332"/>
      <c r="CZ977" s="332"/>
      <c r="DA977" s="332"/>
      <c r="DB977" s="332"/>
      <c r="DC977" s="332"/>
      <c r="DD977" s="332"/>
      <c r="DE977" s="332"/>
      <c r="DF977" s="332"/>
      <c r="DG977" s="332"/>
      <c r="DH977" s="332"/>
      <c r="DI977" s="332"/>
      <c r="DJ977" s="332"/>
      <c r="DK977" s="332"/>
      <c r="DL977" s="332"/>
      <c r="DM977" s="332"/>
      <c r="DN977" s="332"/>
      <c r="DO977" s="332"/>
      <c r="DP977" s="332"/>
      <c r="DQ977" s="332"/>
      <c r="DR977" s="332"/>
      <c r="DS977" s="332"/>
      <c r="DT977" s="332"/>
      <c r="DU977" s="453"/>
      <c r="DV977" s="453"/>
      <c r="DW977" s="453"/>
      <c r="DX977" s="453"/>
      <c r="DY977" s="453"/>
      <c r="DZ977" s="453"/>
      <c r="EA977" s="453"/>
      <c r="EB977" s="453"/>
      <c r="EC977" s="453"/>
      <c r="ED977" s="453"/>
      <c r="EE977" s="453"/>
      <c r="EF977" s="453"/>
      <c r="EG977" s="453"/>
      <c r="EH977" s="453"/>
      <c r="EI977" s="453"/>
      <c r="EJ977" s="453"/>
      <c r="EK977" s="453"/>
      <c r="EL977" s="453"/>
      <c r="EM977" s="483">
        <f t="shared" si="243"/>
        <v>668</v>
      </c>
      <c r="EN977" s="485"/>
      <c r="EO977" s="458"/>
      <c r="EP977" s="467"/>
      <c r="EQ977" s="457"/>
      <c r="ER977" s="808"/>
      <c r="ES977" s="881">
        <f t="shared" si="241"/>
        <v>0</v>
      </c>
      <c r="ET977" s="882"/>
      <c r="EU977" s="883"/>
      <c r="EV977" s="884">
        <f t="shared" si="242"/>
        <v>0</v>
      </c>
      <c r="EW977" s="885"/>
      <c r="EX977" s="885"/>
      <c r="EY977" s="885"/>
      <c r="EZ977" s="885"/>
      <c r="FA977" s="885"/>
      <c r="FB977" s="885"/>
      <c r="FC977" s="885"/>
      <c r="FD977" s="886"/>
      <c r="FE977" s="550"/>
      <c r="FF977" s="550"/>
      <c r="FG977" s="550"/>
      <c r="FH977" s="550"/>
      <c r="FI977" s="550"/>
      <c r="FJ977" s="550"/>
      <c r="FK977" s="550"/>
      <c r="FL977" s="555"/>
      <c r="FM977" s="554"/>
      <c r="FN977" s="554"/>
      <c r="FO977" s="554"/>
      <c r="FP977" s="554"/>
      <c r="FQ977" s="554"/>
      <c r="FR977" s="554"/>
      <c r="FS977" s="554"/>
      <c r="FT977" s="554"/>
      <c r="FU977" s="554"/>
      <c r="FV977" s="554"/>
      <c r="FW977" s="554"/>
      <c r="FX977" s="554"/>
      <c r="FY977" s="554"/>
      <c r="FZ977" s="554"/>
      <c r="GA977" s="554"/>
      <c r="GB977" s="556"/>
      <c r="GC977" s="370"/>
      <c r="GD977" s="453"/>
      <c r="GE977" s="453"/>
      <c r="GF977" s="453"/>
      <c r="GG977" s="453"/>
      <c r="GH977" s="454"/>
      <c r="GI977" s="453"/>
      <c r="GJ977" s="453"/>
      <c r="GK977" s="453"/>
      <c r="GL977" s="453"/>
      <c r="GM977" s="453"/>
      <c r="GN977" s="453"/>
      <c r="GO977" s="453"/>
      <c r="GP977" s="453"/>
      <c r="GQ977" s="453"/>
      <c r="GR977" s="453"/>
      <c r="GS977" s="561"/>
      <c r="GT977" s="475"/>
      <c r="GU977" s="472"/>
      <c r="GV977" s="453"/>
      <c r="GW977" s="453"/>
      <c r="GX977" s="869"/>
      <c r="GY977" s="870"/>
      <c r="GZ977" s="867"/>
      <c r="HA977" s="868"/>
      <c r="HB977" s="473"/>
      <c r="HC977" s="869"/>
      <c r="HD977" s="870"/>
      <c r="HE977" s="867"/>
      <c r="HF977" s="868"/>
      <c r="HG977" s="473"/>
      <c r="HH977" s="867"/>
      <c r="HI977" s="868"/>
      <c r="HJ977" s="867"/>
      <c r="HK977" s="868"/>
      <c r="HL977" s="370"/>
      <c r="HM977" s="865"/>
      <c r="HN977" s="866"/>
      <c r="HO977" s="865"/>
      <c r="HP977" s="866"/>
      <c r="HQ977" s="865"/>
      <c r="HR977" s="866"/>
      <c r="HS977" s="867"/>
      <c r="HT977" s="868"/>
      <c r="HU977" s="489"/>
      <c r="HV977" s="865"/>
      <c r="HW977" s="866"/>
    </row>
    <row r="978" spans="25:231" ht="15" customHeight="1">
      <c r="Y978" s="332"/>
      <c r="Z978" s="332"/>
      <c r="AA978" s="332"/>
      <c r="AB978" s="332"/>
      <c r="AC978" s="332"/>
      <c r="AD978" s="332"/>
      <c r="AE978" s="332"/>
      <c r="AF978" s="332"/>
      <c r="AG978" s="332"/>
      <c r="AH978" s="332"/>
      <c r="AI978" s="332"/>
      <c r="AJ978" s="332"/>
      <c r="AK978" s="332"/>
      <c r="AL978" s="332"/>
      <c r="AM978" s="332"/>
      <c r="AN978" s="332"/>
      <c r="AO978" s="332"/>
      <c r="AP978" s="332"/>
      <c r="AQ978" s="332"/>
      <c r="AR978" s="332"/>
      <c r="AS978" s="332"/>
      <c r="AT978" s="332"/>
      <c r="AU978" s="332"/>
      <c r="AV978" s="332"/>
      <c r="AW978" s="332"/>
      <c r="AX978" s="332"/>
      <c r="AY978" s="332"/>
      <c r="AZ978" s="332"/>
      <c r="BA978" s="332"/>
      <c r="BB978" s="332"/>
      <c r="BC978" s="332"/>
      <c r="BD978" s="332"/>
      <c r="BE978" s="332"/>
      <c r="BF978" s="332"/>
      <c r="BG978" s="332"/>
      <c r="BH978" s="332"/>
      <c r="BI978" s="332"/>
      <c r="BJ978" s="332"/>
      <c r="BK978" s="332"/>
      <c r="BL978" s="332"/>
      <c r="BM978" s="332"/>
      <c r="BN978" s="332"/>
      <c r="BO978" s="332"/>
      <c r="BP978" s="332"/>
      <c r="BQ978" s="332"/>
      <c r="BR978" s="332"/>
      <c r="BS978" s="332"/>
      <c r="BT978" s="332"/>
      <c r="BU978" s="332"/>
      <c r="BV978" s="332"/>
      <c r="BW978" s="332"/>
      <c r="BX978" s="332"/>
      <c r="BY978" s="332"/>
      <c r="BZ978" s="332"/>
      <c r="CA978" s="332"/>
      <c r="CB978" s="332"/>
      <c r="CC978" s="332"/>
      <c r="CD978" s="332"/>
      <c r="CE978" s="332"/>
      <c r="CF978" s="332"/>
      <c r="CG978" s="332"/>
      <c r="CH978" s="332"/>
      <c r="CI978" s="332"/>
      <c r="CJ978" s="332"/>
      <c r="CK978" s="332"/>
      <c r="CL978" s="332"/>
      <c r="CM978" s="332"/>
      <c r="CN978" s="332"/>
      <c r="CO978" s="332"/>
      <c r="CP978" s="332"/>
      <c r="CQ978" s="332"/>
      <c r="CR978" s="332"/>
      <c r="CS978" s="332"/>
      <c r="CT978" s="332"/>
      <c r="CU978" s="332"/>
      <c r="CV978" s="332"/>
      <c r="CW978" s="332"/>
      <c r="CX978" s="332"/>
      <c r="CY978" s="332"/>
      <c r="CZ978" s="332"/>
      <c r="DA978" s="332"/>
      <c r="DB978" s="332"/>
      <c r="DC978" s="332"/>
      <c r="DD978" s="332"/>
      <c r="DE978" s="332"/>
      <c r="DF978" s="332"/>
      <c r="DG978" s="332"/>
      <c r="DH978" s="332"/>
      <c r="DI978" s="332"/>
      <c r="DJ978" s="332"/>
      <c r="DK978" s="332"/>
      <c r="DL978" s="332"/>
      <c r="DM978" s="332"/>
      <c r="DN978" s="332"/>
      <c r="DO978" s="332"/>
      <c r="DP978" s="332"/>
      <c r="DQ978" s="332"/>
      <c r="DR978" s="332"/>
      <c r="DS978" s="332"/>
      <c r="DT978" s="332"/>
      <c r="DU978" s="453"/>
      <c r="DV978" s="453"/>
      <c r="DW978" s="453"/>
      <c r="DX978" s="453"/>
      <c r="DY978" s="453"/>
      <c r="DZ978" s="453"/>
      <c r="EA978" s="453"/>
      <c r="EB978" s="453"/>
      <c r="EC978" s="453"/>
      <c r="ED978" s="453"/>
      <c r="EE978" s="453"/>
      <c r="EF978" s="453"/>
      <c r="EG978" s="453"/>
      <c r="EH978" s="453"/>
      <c r="EI978" s="453"/>
      <c r="EJ978" s="453"/>
      <c r="EK978" s="453"/>
      <c r="EL978" s="453"/>
      <c r="EM978" s="483">
        <f t="shared" si="243"/>
        <v>669</v>
      </c>
      <c r="EN978" s="485"/>
      <c r="EO978" s="458"/>
      <c r="EP978" s="467"/>
      <c r="EQ978" s="457"/>
      <c r="ER978" s="808"/>
      <c r="ES978" s="881">
        <f t="shared" si="241"/>
        <v>0</v>
      </c>
      <c r="ET978" s="882"/>
      <c r="EU978" s="883"/>
      <c r="EV978" s="884">
        <f t="shared" si="242"/>
        <v>0</v>
      </c>
      <c r="EW978" s="885"/>
      <c r="EX978" s="885"/>
      <c r="EY978" s="885"/>
      <c r="EZ978" s="885"/>
      <c r="FA978" s="885"/>
      <c r="FB978" s="885"/>
      <c r="FC978" s="885"/>
      <c r="FD978" s="886"/>
      <c r="FE978" s="550"/>
      <c r="FF978" s="550"/>
      <c r="FG978" s="550"/>
      <c r="FH978" s="550"/>
      <c r="FI978" s="550"/>
      <c r="FJ978" s="550"/>
      <c r="FK978" s="550"/>
      <c r="FL978" s="555"/>
      <c r="FM978" s="554"/>
      <c r="FN978" s="554"/>
      <c r="FO978" s="554"/>
      <c r="FP978" s="554"/>
      <c r="FQ978" s="554"/>
      <c r="FR978" s="554"/>
      <c r="FS978" s="554"/>
      <c r="FT978" s="554"/>
      <c r="FU978" s="554"/>
      <c r="FV978" s="554"/>
      <c r="FW978" s="554"/>
      <c r="FX978" s="554"/>
      <c r="FY978" s="554"/>
      <c r="FZ978" s="554"/>
      <c r="GA978" s="554"/>
      <c r="GB978" s="556"/>
      <c r="GC978" s="370"/>
      <c r="GD978" s="453"/>
      <c r="GE978" s="453"/>
      <c r="GF978" s="453"/>
      <c r="GG978" s="453"/>
      <c r="GH978" s="454"/>
      <c r="GI978" s="453"/>
      <c r="GJ978" s="453"/>
      <c r="GK978" s="453"/>
      <c r="GL978" s="453"/>
      <c r="GM978" s="453"/>
      <c r="GN978" s="453"/>
      <c r="GO978" s="453"/>
      <c r="GP978" s="453"/>
      <c r="GQ978" s="453"/>
      <c r="GR978" s="453"/>
      <c r="GS978" s="561"/>
      <c r="GT978" s="475"/>
      <c r="GU978" s="472"/>
      <c r="GV978" s="453"/>
      <c r="GW978" s="453"/>
      <c r="GX978" s="869"/>
      <c r="GY978" s="870"/>
      <c r="GZ978" s="867"/>
      <c r="HA978" s="868"/>
      <c r="HB978" s="473"/>
      <c r="HC978" s="869"/>
      <c r="HD978" s="870"/>
      <c r="HE978" s="867"/>
      <c r="HF978" s="868"/>
      <c r="HG978" s="473"/>
      <c r="HH978" s="867"/>
      <c r="HI978" s="868"/>
      <c r="HJ978" s="867"/>
      <c r="HK978" s="868"/>
      <c r="HL978" s="370"/>
      <c r="HM978" s="865"/>
      <c r="HN978" s="866"/>
      <c r="HO978" s="865"/>
      <c r="HP978" s="866"/>
      <c r="HQ978" s="865"/>
      <c r="HR978" s="866"/>
      <c r="HS978" s="867"/>
      <c r="HT978" s="868"/>
      <c r="HU978" s="489"/>
      <c r="HV978" s="865"/>
      <c r="HW978" s="866"/>
    </row>
    <row r="979" spans="25:231" ht="15" customHeight="1">
      <c r="Y979" s="332"/>
      <c r="Z979" s="332"/>
      <c r="AA979" s="332"/>
      <c r="AB979" s="332"/>
      <c r="AC979" s="332"/>
      <c r="AD979" s="332"/>
      <c r="AE979" s="332"/>
      <c r="AF979" s="332"/>
      <c r="AG979" s="332"/>
      <c r="AH979" s="332"/>
      <c r="AI979" s="332"/>
      <c r="AJ979" s="332"/>
      <c r="AK979" s="332"/>
      <c r="AL979" s="332"/>
      <c r="AM979" s="332"/>
      <c r="AN979" s="332"/>
      <c r="AO979" s="332"/>
      <c r="AP979" s="332"/>
      <c r="AQ979" s="332"/>
      <c r="AR979" s="332"/>
      <c r="AS979" s="332"/>
      <c r="AT979" s="332"/>
      <c r="AU979" s="332"/>
      <c r="AV979" s="332"/>
      <c r="AW979" s="332"/>
      <c r="AX979" s="332"/>
      <c r="AY979" s="332"/>
      <c r="AZ979" s="332"/>
      <c r="BA979" s="332"/>
      <c r="BB979" s="332"/>
      <c r="BC979" s="332"/>
      <c r="BD979" s="332"/>
      <c r="BE979" s="332"/>
      <c r="BF979" s="332"/>
      <c r="BG979" s="332"/>
      <c r="BH979" s="332"/>
      <c r="BI979" s="332"/>
      <c r="BJ979" s="332"/>
      <c r="BK979" s="332"/>
      <c r="BL979" s="332"/>
      <c r="BM979" s="332"/>
      <c r="BN979" s="332"/>
      <c r="BO979" s="332"/>
      <c r="BP979" s="332"/>
      <c r="BQ979" s="332"/>
      <c r="BR979" s="332"/>
      <c r="BS979" s="332"/>
      <c r="BT979" s="332"/>
      <c r="BU979" s="332"/>
      <c r="BV979" s="332"/>
      <c r="BW979" s="332"/>
      <c r="BX979" s="332"/>
      <c r="BY979" s="332"/>
      <c r="BZ979" s="332"/>
      <c r="CA979" s="332"/>
      <c r="CB979" s="332"/>
      <c r="CC979" s="332"/>
      <c r="CD979" s="332"/>
      <c r="CE979" s="332"/>
      <c r="CF979" s="332"/>
      <c r="CG979" s="332"/>
      <c r="CH979" s="332"/>
      <c r="CI979" s="332"/>
      <c r="CJ979" s="332"/>
      <c r="CK979" s="332"/>
      <c r="CL979" s="332"/>
      <c r="CM979" s="332"/>
      <c r="CN979" s="332"/>
      <c r="CO979" s="332"/>
      <c r="CP979" s="332"/>
      <c r="CQ979" s="332"/>
      <c r="CR979" s="332"/>
      <c r="CS979" s="332"/>
      <c r="CT979" s="332"/>
      <c r="CU979" s="332"/>
      <c r="CV979" s="332"/>
      <c r="CW979" s="332"/>
      <c r="CX979" s="332"/>
      <c r="CY979" s="332"/>
      <c r="CZ979" s="332"/>
      <c r="DA979" s="332"/>
      <c r="DB979" s="332"/>
      <c r="DC979" s="332"/>
      <c r="DD979" s="332"/>
      <c r="DE979" s="332"/>
      <c r="DF979" s="332"/>
      <c r="DG979" s="332"/>
      <c r="DH979" s="332"/>
      <c r="DI979" s="332"/>
      <c r="DJ979" s="332"/>
      <c r="DK979" s="332"/>
      <c r="DL979" s="332"/>
      <c r="DM979" s="332"/>
      <c r="DN979" s="332"/>
      <c r="DO979" s="332"/>
      <c r="DP979" s="332"/>
      <c r="DQ979" s="332"/>
      <c r="DR979" s="332"/>
      <c r="DS979" s="332"/>
      <c r="DT979" s="332"/>
      <c r="DU979" s="453"/>
      <c r="DV979" s="453"/>
      <c r="DW979" s="453"/>
      <c r="DX979" s="453"/>
      <c r="DY979" s="453"/>
      <c r="DZ979" s="453"/>
      <c r="EA979" s="453"/>
      <c r="EB979" s="453"/>
      <c r="EC979" s="453"/>
      <c r="ED979" s="453"/>
      <c r="EE979" s="453"/>
      <c r="EF979" s="453"/>
      <c r="EG979" s="453"/>
      <c r="EH979" s="453"/>
      <c r="EI979" s="453"/>
      <c r="EJ979" s="453"/>
      <c r="EK979" s="453"/>
      <c r="EL979" s="453"/>
      <c r="EM979" s="483">
        <f t="shared" si="243"/>
        <v>670</v>
      </c>
      <c r="EN979" s="485"/>
      <c r="EO979" s="458"/>
      <c r="EP979" s="467"/>
      <c r="EQ979" s="457"/>
      <c r="ER979" s="808"/>
      <c r="ES979" s="881">
        <f t="shared" si="241"/>
        <v>0</v>
      </c>
      <c r="ET979" s="882"/>
      <c r="EU979" s="883"/>
      <c r="EV979" s="884">
        <f t="shared" si="242"/>
        <v>0</v>
      </c>
      <c r="EW979" s="885"/>
      <c r="EX979" s="885"/>
      <c r="EY979" s="885"/>
      <c r="EZ979" s="885"/>
      <c r="FA979" s="885"/>
      <c r="FB979" s="885"/>
      <c r="FC979" s="885"/>
      <c r="FD979" s="886"/>
      <c r="FE979" s="550"/>
      <c r="FF979" s="550"/>
      <c r="FG979" s="550"/>
      <c r="FH979" s="550"/>
      <c r="FI979" s="550"/>
      <c r="FJ979" s="550"/>
      <c r="FK979" s="550"/>
      <c r="FL979" s="555"/>
      <c r="FM979" s="554"/>
      <c r="FN979" s="554"/>
      <c r="FO979" s="554"/>
      <c r="FP979" s="554"/>
      <c r="FQ979" s="554"/>
      <c r="FR979" s="554"/>
      <c r="FS979" s="554"/>
      <c r="FT979" s="554"/>
      <c r="FU979" s="554"/>
      <c r="FV979" s="554"/>
      <c r="FW979" s="554"/>
      <c r="FX979" s="554"/>
      <c r="FY979" s="554"/>
      <c r="FZ979" s="554"/>
      <c r="GA979" s="554"/>
      <c r="GB979" s="556"/>
      <c r="GC979" s="370"/>
      <c r="GD979" s="453"/>
      <c r="GE979" s="453"/>
      <c r="GF979" s="453"/>
      <c r="GG979" s="453"/>
      <c r="GH979" s="454"/>
      <c r="GI979" s="453"/>
      <c r="GJ979" s="453"/>
      <c r="GK979" s="453"/>
      <c r="GL979" s="453"/>
      <c r="GM979" s="453"/>
      <c r="GN979" s="453"/>
      <c r="GO979" s="453"/>
      <c r="GP979" s="453"/>
      <c r="GQ979" s="453"/>
      <c r="GR979" s="453"/>
      <c r="GS979" s="561"/>
      <c r="GT979" s="475"/>
      <c r="GU979" s="472"/>
      <c r="GV979" s="453"/>
      <c r="GW979" s="453"/>
      <c r="GX979" s="869"/>
      <c r="GY979" s="870"/>
      <c r="GZ979" s="867"/>
      <c r="HA979" s="868"/>
      <c r="HB979" s="473"/>
      <c r="HC979" s="869"/>
      <c r="HD979" s="870"/>
      <c r="HE979" s="867"/>
      <c r="HF979" s="868"/>
      <c r="HG979" s="473"/>
      <c r="HH979" s="867"/>
      <c r="HI979" s="868"/>
      <c r="HJ979" s="867"/>
      <c r="HK979" s="868"/>
      <c r="HL979" s="370"/>
      <c r="HM979" s="865"/>
      <c r="HN979" s="866"/>
      <c r="HO979" s="865"/>
      <c r="HP979" s="866"/>
      <c r="HQ979" s="865"/>
      <c r="HR979" s="866"/>
      <c r="HS979" s="867"/>
      <c r="HT979" s="868"/>
      <c r="HU979" s="489"/>
      <c r="HV979" s="865"/>
      <c r="HW979" s="866"/>
    </row>
    <row r="980" spans="25:231" ht="15" customHeight="1">
      <c r="Y980" s="332"/>
      <c r="Z980" s="332"/>
      <c r="AA980" s="332"/>
      <c r="AB980" s="332"/>
      <c r="AC980" s="332"/>
      <c r="AD980" s="332"/>
      <c r="AE980" s="332"/>
      <c r="AF980" s="332"/>
      <c r="AG980" s="332"/>
      <c r="AH980" s="332"/>
      <c r="AI980" s="332"/>
      <c r="AJ980" s="332"/>
      <c r="AK980" s="332"/>
      <c r="AL980" s="332"/>
      <c r="AM980" s="332"/>
      <c r="AN980" s="332"/>
      <c r="AO980" s="332"/>
      <c r="AP980" s="332"/>
      <c r="AQ980" s="332"/>
      <c r="AR980" s="332"/>
      <c r="AS980" s="332"/>
      <c r="AT980" s="332"/>
      <c r="AU980" s="332"/>
      <c r="AV980" s="332"/>
      <c r="AW980" s="332"/>
      <c r="AX980" s="332"/>
      <c r="AY980" s="332"/>
      <c r="AZ980" s="332"/>
      <c r="BA980" s="332"/>
      <c r="BB980" s="332"/>
      <c r="BC980" s="332"/>
      <c r="BD980" s="332"/>
      <c r="BE980" s="332"/>
      <c r="BF980" s="332"/>
      <c r="BG980" s="332"/>
      <c r="BH980" s="332"/>
      <c r="BI980" s="332"/>
      <c r="BJ980" s="332"/>
      <c r="BK980" s="332"/>
      <c r="BL980" s="332"/>
      <c r="BM980" s="332"/>
      <c r="BN980" s="332"/>
      <c r="BO980" s="332"/>
      <c r="BP980" s="332"/>
      <c r="BQ980" s="332"/>
      <c r="BR980" s="332"/>
      <c r="BS980" s="332"/>
      <c r="BT980" s="332"/>
      <c r="BU980" s="332"/>
      <c r="BV980" s="332"/>
      <c r="BW980" s="332"/>
      <c r="BX980" s="332"/>
      <c r="BY980" s="332"/>
      <c r="BZ980" s="332"/>
      <c r="CA980" s="332"/>
      <c r="CB980" s="332"/>
      <c r="CC980" s="332"/>
      <c r="CD980" s="332"/>
      <c r="CE980" s="332"/>
      <c r="CF980" s="332"/>
      <c r="CG980" s="332"/>
      <c r="CH980" s="332"/>
      <c r="CI980" s="332"/>
      <c r="CJ980" s="332"/>
      <c r="CK980" s="332"/>
      <c r="CL980" s="332"/>
      <c r="CM980" s="332"/>
      <c r="CN980" s="332"/>
      <c r="CO980" s="332"/>
      <c r="CP980" s="332"/>
      <c r="CQ980" s="332"/>
      <c r="CR980" s="332"/>
      <c r="CS980" s="332"/>
      <c r="CT980" s="332"/>
      <c r="CU980" s="332"/>
      <c r="CV980" s="332"/>
      <c r="CW980" s="332"/>
      <c r="CX980" s="332"/>
      <c r="CY980" s="332"/>
      <c r="CZ980" s="332"/>
      <c r="DA980" s="332"/>
      <c r="DB980" s="332"/>
      <c r="DC980" s="332"/>
      <c r="DD980" s="332"/>
      <c r="DE980" s="332"/>
      <c r="DF980" s="332"/>
      <c r="DG980" s="332"/>
      <c r="DH980" s="332"/>
      <c r="DI980" s="332"/>
      <c r="DJ980" s="332"/>
      <c r="DK980" s="332"/>
      <c r="DL980" s="332"/>
      <c r="DM980" s="332"/>
      <c r="DN980" s="332"/>
      <c r="DO980" s="332"/>
      <c r="DP980" s="332"/>
      <c r="DQ980" s="332"/>
      <c r="DR980" s="332"/>
      <c r="DS980" s="332"/>
      <c r="DT980" s="332"/>
      <c r="DU980" s="453"/>
      <c r="DV980" s="453"/>
      <c r="DW980" s="453"/>
      <c r="DX980" s="453"/>
      <c r="DY980" s="453"/>
      <c r="DZ980" s="453"/>
      <c r="EA980" s="453"/>
      <c r="EB980" s="453"/>
      <c r="EC980" s="453"/>
      <c r="ED980" s="453"/>
      <c r="EE980" s="453"/>
      <c r="EF980" s="453"/>
      <c r="EG980" s="453"/>
      <c r="EH980" s="453"/>
      <c r="EI980" s="453"/>
      <c r="EJ980" s="453"/>
      <c r="EK980" s="453"/>
      <c r="EL980" s="453"/>
      <c r="EM980" s="483">
        <f t="shared" si="243"/>
        <v>671</v>
      </c>
      <c r="EN980" s="485"/>
      <c r="EO980" s="458"/>
      <c r="EP980" s="467"/>
      <c r="EQ980" s="457"/>
      <c r="ER980" s="808"/>
      <c r="ES980" s="881">
        <f t="shared" si="241"/>
        <v>0</v>
      </c>
      <c r="ET980" s="882"/>
      <c r="EU980" s="883"/>
      <c r="EV980" s="884">
        <f t="shared" si="242"/>
        <v>0</v>
      </c>
      <c r="EW980" s="885"/>
      <c r="EX980" s="885"/>
      <c r="EY980" s="885"/>
      <c r="EZ980" s="885"/>
      <c r="FA980" s="885"/>
      <c r="FB980" s="885"/>
      <c r="FC980" s="885"/>
      <c r="FD980" s="886"/>
      <c r="FE980" s="550"/>
      <c r="FF980" s="550"/>
      <c r="FG980" s="550"/>
      <c r="FH980" s="550"/>
      <c r="FI980" s="550"/>
      <c r="FJ980" s="550"/>
      <c r="FK980" s="550"/>
      <c r="FL980" s="555"/>
      <c r="FM980" s="554"/>
      <c r="FN980" s="554"/>
      <c r="FO980" s="554"/>
      <c r="FP980" s="554"/>
      <c r="FQ980" s="554"/>
      <c r="FR980" s="554"/>
      <c r="FS980" s="554"/>
      <c r="FT980" s="554"/>
      <c r="FU980" s="554"/>
      <c r="FV980" s="554"/>
      <c r="FW980" s="554"/>
      <c r="FX980" s="554"/>
      <c r="FY980" s="554"/>
      <c r="FZ980" s="554"/>
      <c r="GA980" s="554"/>
      <c r="GB980" s="556"/>
      <c r="GC980" s="370"/>
      <c r="GD980" s="453"/>
      <c r="GE980" s="453"/>
      <c r="GF980" s="453"/>
      <c r="GG980" s="453"/>
      <c r="GH980" s="454"/>
      <c r="GI980" s="453"/>
      <c r="GJ980" s="453"/>
      <c r="GK980" s="453"/>
      <c r="GL980" s="453"/>
      <c r="GM980" s="453"/>
      <c r="GN980" s="453"/>
      <c r="GO980" s="453"/>
      <c r="GP980" s="453"/>
      <c r="GQ980" s="453"/>
      <c r="GR980" s="453"/>
      <c r="GS980" s="561"/>
      <c r="GT980" s="475"/>
      <c r="GU980" s="472"/>
      <c r="GV980" s="453"/>
      <c r="GW980" s="453"/>
      <c r="GX980" s="869"/>
      <c r="GY980" s="870"/>
      <c r="GZ980" s="867"/>
      <c r="HA980" s="868"/>
      <c r="HB980" s="473"/>
      <c r="HC980" s="869"/>
      <c r="HD980" s="870"/>
      <c r="HE980" s="867"/>
      <c r="HF980" s="868"/>
      <c r="HG980" s="473"/>
      <c r="HH980" s="867"/>
      <c r="HI980" s="868"/>
      <c r="HJ980" s="867"/>
      <c r="HK980" s="868"/>
      <c r="HL980" s="370"/>
      <c r="HM980" s="865"/>
      <c r="HN980" s="866"/>
      <c r="HO980" s="865"/>
      <c r="HP980" s="866"/>
      <c r="HQ980" s="865"/>
      <c r="HR980" s="866"/>
      <c r="HS980" s="867"/>
      <c r="HT980" s="868"/>
      <c r="HU980" s="489"/>
      <c r="HV980" s="865"/>
      <c r="HW980" s="866"/>
    </row>
    <row r="981" spans="25:231" ht="15" customHeight="1">
      <c r="Y981" s="332"/>
      <c r="Z981" s="332"/>
      <c r="AA981" s="332"/>
      <c r="AB981" s="332"/>
      <c r="AC981" s="332"/>
      <c r="AD981" s="332"/>
      <c r="AE981" s="332"/>
      <c r="AF981" s="332"/>
      <c r="AG981" s="332"/>
      <c r="AH981" s="332"/>
      <c r="AI981" s="332"/>
      <c r="AJ981" s="332"/>
      <c r="AK981" s="332"/>
      <c r="AL981" s="332"/>
      <c r="AM981" s="332"/>
      <c r="AN981" s="332"/>
      <c r="AO981" s="332"/>
      <c r="AP981" s="332"/>
      <c r="AQ981" s="332"/>
      <c r="AR981" s="332"/>
      <c r="AS981" s="332"/>
      <c r="AT981" s="332"/>
      <c r="AU981" s="332"/>
      <c r="AV981" s="332"/>
      <c r="AW981" s="332"/>
      <c r="AX981" s="332"/>
      <c r="AY981" s="332"/>
      <c r="AZ981" s="332"/>
      <c r="BA981" s="332"/>
      <c r="BB981" s="332"/>
      <c r="BC981" s="332"/>
      <c r="BD981" s="332"/>
      <c r="BE981" s="332"/>
      <c r="BF981" s="332"/>
      <c r="BG981" s="332"/>
      <c r="BH981" s="332"/>
      <c r="BI981" s="332"/>
      <c r="BJ981" s="332"/>
      <c r="BK981" s="332"/>
      <c r="BL981" s="332"/>
      <c r="BM981" s="332"/>
      <c r="BN981" s="332"/>
      <c r="BO981" s="332"/>
      <c r="BP981" s="332"/>
      <c r="BQ981" s="332"/>
      <c r="BR981" s="332"/>
      <c r="BS981" s="332"/>
      <c r="BT981" s="332"/>
      <c r="BU981" s="332"/>
      <c r="BV981" s="332"/>
      <c r="BW981" s="332"/>
      <c r="BX981" s="332"/>
      <c r="BY981" s="332"/>
      <c r="BZ981" s="332"/>
      <c r="CA981" s="332"/>
      <c r="CB981" s="332"/>
      <c r="CC981" s="332"/>
      <c r="CD981" s="332"/>
      <c r="CE981" s="332"/>
      <c r="CF981" s="332"/>
      <c r="CG981" s="332"/>
      <c r="CH981" s="332"/>
      <c r="CI981" s="332"/>
      <c r="CJ981" s="332"/>
      <c r="CK981" s="332"/>
      <c r="CL981" s="332"/>
      <c r="CM981" s="332"/>
      <c r="CN981" s="332"/>
      <c r="CO981" s="332"/>
      <c r="CP981" s="332"/>
      <c r="CQ981" s="332"/>
      <c r="CR981" s="332"/>
      <c r="CS981" s="332"/>
      <c r="CT981" s="332"/>
      <c r="CU981" s="332"/>
      <c r="CV981" s="332"/>
      <c r="CW981" s="332"/>
      <c r="CX981" s="332"/>
      <c r="CY981" s="332"/>
      <c r="CZ981" s="332"/>
      <c r="DA981" s="332"/>
      <c r="DB981" s="332"/>
      <c r="DC981" s="332"/>
      <c r="DD981" s="332"/>
      <c r="DE981" s="332"/>
      <c r="DF981" s="332"/>
      <c r="DG981" s="332"/>
      <c r="DH981" s="332"/>
      <c r="DI981" s="332"/>
      <c r="DJ981" s="332"/>
      <c r="DK981" s="332"/>
      <c r="DL981" s="332"/>
      <c r="DM981" s="332"/>
      <c r="DN981" s="332"/>
      <c r="DO981" s="332"/>
      <c r="DP981" s="332"/>
      <c r="DQ981" s="332"/>
      <c r="DR981" s="332"/>
      <c r="DS981" s="332"/>
      <c r="DT981" s="332"/>
      <c r="DU981" s="453"/>
      <c r="DV981" s="453"/>
      <c r="DW981" s="453"/>
      <c r="DX981" s="453"/>
      <c r="DY981" s="453"/>
      <c r="DZ981" s="453"/>
      <c r="EA981" s="453"/>
      <c r="EB981" s="453"/>
      <c r="EC981" s="453"/>
      <c r="ED981" s="453"/>
      <c r="EE981" s="453"/>
      <c r="EF981" s="453"/>
      <c r="EG981" s="453"/>
      <c r="EH981" s="453"/>
      <c r="EI981" s="453"/>
      <c r="EJ981" s="453"/>
      <c r="EK981" s="453"/>
      <c r="EL981" s="453"/>
      <c r="EM981" s="483">
        <f t="shared" si="243"/>
        <v>672</v>
      </c>
      <c r="EN981" s="485"/>
      <c r="EO981" s="458"/>
      <c r="EP981" s="467"/>
      <c r="EQ981" s="457"/>
      <c r="ER981" s="808"/>
      <c r="ES981" s="881">
        <f t="shared" ref="ES981:ES1020" si="244">IF(OR(EO981 = "", EP981 = 0, EP981 = "", EQ981 = 0, EQ981 = "", ER981 = 0, ER981 = ""), 0,
IF(EO981 &lt;&gt; "ACCION", EP981 * ER981 * -100,  EP981 * ER981 * -1))</f>
        <v>0</v>
      </c>
      <c r="ET981" s="882"/>
      <c r="EU981" s="883"/>
      <c r="EV981" s="884">
        <f t="shared" ref="EV981:EV1020" si="245">+IF(OR(EO981 = "", EP981 = 0, EP981 = "", EQ981 = 0, EQ981 = "", ER981 = 0, ER981 = ""), 0,
IF(EO981 &lt;&gt; "ACCION",
IF(EP981 &gt; 0, EP981 * ER981 * -100 * ( 1 + COMIS_OPCION), EP981 * ER981 * -100 * ( 1 - COMIS_OPCION)),
IF(EP981 &gt; 0, EP981 * ER981 * -1 * ( 1 + COMIS_ACCION), EP981 * ER981 * -1 * ( 1 - COMIS_ACCION))  ))</f>
        <v>0</v>
      </c>
      <c r="EW981" s="885"/>
      <c r="EX981" s="885"/>
      <c r="EY981" s="885"/>
      <c r="EZ981" s="885"/>
      <c r="FA981" s="885"/>
      <c r="FB981" s="885"/>
      <c r="FC981" s="885"/>
      <c r="FD981" s="886"/>
      <c r="FE981" s="550"/>
      <c r="FF981" s="550"/>
      <c r="FG981" s="550"/>
      <c r="FH981" s="550"/>
      <c r="FI981" s="550"/>
      <c r="FJ981" s="550"/>
      <c r="FK981" s="550"/>
      <c r="FL981" s="555"/>
      <c r="FM981" s="554"/>
      <c r="FN981" s="554"/>
      <c r="FO981" s="554"/>
      <c r="FP981" s="554"/>
      <c r="FQ981" s="554"/>
      <c r="FR981" s="554"/>
      <c r="FS981" s="554"/>
      <c r="FT981" s="554"/>
      <c r="FU981" s="554"/>
      <c r="FV981" s="554"/>
      <c r="FW981" s="554"/>
      <c r="FX981" s="554"/>
      <c r="FY981" s="554"/>
      <c r="FZ981" s="554"/>
      <c r="GA981" s="554"/>
      <c r="GB981" s="556"/>
      <c r="GC981" s="370"/>
      <c r="GD981" s="453"/>
      <c r="GE981" s="453"/>
      <c r="GF981" s="453"/>
      <c r="GG981" s="453"/>
      <c r="GH981" s="454"/>
      <c r="GI981" s="453"/>
      <c r="GJ981" s="453"/>
      <c r="GK981" s="453"/>
      <c r="GL981" s="453"/>
      <c r="GM981" s="453"/>
      <c r="GN981" s="453"/>
      <c r="GO981" s="453"/>
      <c r="GP981" s="453"/>
      <c r="GQ981" s="453"/>
      <c r="GR981" s="453"/>
      <c r="GS981" s="561"/>
      <c r="GT981" s="475"/>
      <c r="GU981" s="472"/>
      <c r="GV981" s="453"/>
      <c r="GW981" s="453"/>
      <c r="GX981" s="869"/>
      <c r="GY981" s="870"/>
      <c r="GZ981" s="867"/>
      <c r="HA981" s="868"/>
      <c r="HB981" s="473"/>
      <c r="HC981" s="869"/>
      <c r="HD981" s="870"/>
      <c r="HE981" s="867"/>
      <c r="HF981" s="868"/>
      <c r="HG981" s="473"/>
      <c r="HH981" s="867"/>
      <c r="HI981" s="868"/>
      <c r="HJ981" s="867"/>
      <c r="HK981" s="868"/>
      <c r="HL981" s="370"/>
      <c r="HM981" s="865"/>
      <c r="HN981" s="866"/>
      <c r="HO981" s="865"/>
      <c r="HP981" s="866"/>
      <c r="HQ981" s="865"/>
      <c r="HR981" s="866"/>
      <c r="HS981" s="867"/>
      <c r="HT981" s="868"/>
      <c r="HU981" s="489"/>
      <c r="HV981" s="865"/>
      <c r="HW981" s="866"/>
    </row>
    <row r="982" spans="25:231" ht="15" customHeight="1">
      <c r="Y982" s="332"/>
      <c r="Z982" s="332"/>
      <c r="AA982" s="332"/>
      <c r="AB982" s="332"/>
      <c r="AC982" s="332"/>
      <c r="AD982" s="332"/>
      <c r="AE982" s="332"/>
      <c r="AF982" s="332"/>
      <c r="AG982" s="332"/>
      <c r="AH982" s="332"/>
      <c r="AI982" s="332"/>
      <c r="AJ982" s="332"/>
      <c r="AK982" s="332"/>
      <c r="AL982" s="332"/>
      <c r="AM982" s="332"/>
      <c r="AN982" s="332"/>
      <c r="AO982" s="332"/>
      <c r="AP982" s="332"/>
      <c r="AQ982" s="332"/>
      <c r="AR982" s="332"/>
      <c r="AS982" s="332"/>
      <c r="AT982" s="332"/>
      <c r="AU982" s="332"/>
      <c r="AV982" s="332"/>
      <c r="AW982" s="332"/>
      <c r="AX982" s="332"/>
      <c r="AY982" s="332"/>
      <c r="AZ982" s="332"/>
      <c r="BA982" s="332"/>
      <c r="BB982" s="332"/>
      <c r="BC982" s="332"/>
      <c r="BD982" s="332"/>
      <c r="BE982" s="332"/>
      <c r="BF982" s="332"/>
      <c r="BG982" s="332"/>
      <c r="BH982" s="332"/>
      <c r="BI982" s="332"/>
      <c r="BJ982" s="332"/>
      <c r="BK982" s="332"/>
      <c r="BL982" s="332"/>
      <c r="BM982" s="332"/>
      <c r="BN982" s="332"/>
      <c r="BO982" s="332"/>
      <c r="BP982" s="332"/>
      <c r="BQ982" s="332"/>
      <c r="BR982" s="332"/>
      <c r="BS982" s="332"/>
      <c r="BT982" s="332"/>
      <c r="BU982" s="332"/>
      <c r="BV982" s="332"/>
      <c r="BW982" s="332"/>
      <c r="BX982" s="332"/>
      <c r="BY982" s="332"/>
      <c r="BZ982" s="332"/>
      <c r="CA982" s="332"/>
      <c r="CB982" s="332"/>
      <c r="CC982" s="332"/>
      <c r="CD982" s="332"/>
      <c r="CE982" s="332"/>
      <c r="CF982" s="332"/>
      <c r="CG982" s="332"/>
      <c r="CH982" s="332"/>
      <c r="CI982" s="332"/>
      <c r="CJ982" s="332"/>
      <c r="CK982" s="332"/>
      <c r="CL982" s="332"/>
      <c r="CM982" s="332"/>
      <c r="CN982" s="332"/>
      <c r="CO982" s="332"/>
      <c r="CP982" s="332"/>
      <c r="CQ982" s="332"/>
      <c r="CR982" s="332"/>
      <c r="CS982" s="332"/>
      <c r="CT982" s="332"/>
      <c r="CU982" s="332"/>
      <c r="CV982" s="332"/>
      <c r="CW982" s="332"/>
      <c r="CX982" s="332"/>
      <c r="CY982" s="332"/>
      <c r="CZ982" s="332"/>
      <c r="DA982" s="332"/>
      <c r="DB982" s="332"/>
      <c r="DC982" s="332"/>
      <c r="DD982" s="332"/>
      <c r="DE982" s="332"/>
      <c r="DF982" s="332"/>
      <c r="DG982" s="332"/>
      <c r="DH982" s="332"/>
      <c r="DI982" s="332"/>
      <c r="DJ982" s="332"/>
      <c r="DK982" s="332"/>
      <c r="DL982" s="332"/>
      <c r="DM982" s="332"/>
      <c r="DN982" s="332"/>
      <c r="DO982" s="332"/>
      <c r="DP982" s="332"/>
      <c r="DQ982" s="332"/>
      <c r="DR982" s="332"/>
      <c r="DS982" s="332"/>
      <c r="DT982" s="332"/>
      <c r="DU982" s="453"/>
      <c r="DV982" s="453"/>
      <c r="DW982" s="453"/>
      <c r="DX982" s="453"/>
      <c r="DY982" s="453"/>
      <c r="DZ982" s="453"/>
      <c r="EA982" s="453"/>
      <c r="EB982" s="453"/>
      <c r="EC982" s="453"/>
      <c r="ED982" s="453"/>
      <c r="EE982" s="453"/>
      <c r="EF982" s="453"/>
      <c r="EG982" s="453"/>
      <c r="EH982" s="453"/>
      <c r="EI982" s="453"/>
      <c r="EJ982" s="453"/>
      <c r="EK982" s="453"/>
      <c r="EL982" s="453"/>
      <c r="EM982" s="483">
        <f t="shared" si="243"/>
        <v>673</v>
      </c>
      <c r="EN982" s="485"/>
      <c r="EO982" s="458"/>
      <c r="EP982" s="467"/>
      <c r="EQ982" s="457"/>
      <c r="ER982" s="808"/>
      <c r="ES982" s="881">
        <f t="shared" si="244"/>
        <v>0</v>
      </c>
      <c r="ET982" s="882"/>
      <c r="EU982" s="883"/>
      <c r="EV982" s="884">
        <f t="shared" si="245"/>
        <v>0</v>
      </c>
      <c r="EW982" s="885"/>
      <c r="EX982" s="885"/>
      <c r="EY982" s="885"/>
      <c r="EZ982" s="885"/>
      <c r="FA982" s="885"/>
      <c r="FB982" s="885"/>
      <c r="FC982" s="885"/>
      <c r="FD982" s="886"/>
      <c r="FE982" s="550"/>
      <c r="FF982" s="550"/>
      <c r="FG982" s="550"/>
      <c r="FH982" s="550"/>
      <c r="FI982" s="550"/>
      <c r="FJ982" s="550"/>
      <c r="FK982" s="550"/>
      <c r="FL982" s="555"/>
      <c r="FM982" s="554"/>
      <c r="FN982" s="554"/>
      <c r="FO982" s="554"/>
      <c r="FP982" s="554"/>
      <c r="FQ982" s="554"/>
      <c r="FR982" s="554"/>
      <c r="FS982" s="554"/>
      <c r="FT982" s="554"/>
      <c r="FU982" s="554"/>
      <c r="FV982" s="554"/>
      <c r="FW982" s="554"/>
      <c r="FX982" s="554"/>
      <c r="FY982" s="554"/>
      <c r="FZ982" s="554"/>
      <c r="GA982" s="554"/>
      <c r="GB982" s="556"/>
      <c r="GC982" s="370"/>
      <c r="GD982" s="453"/>
      <c r="GE982" s="453"/>
      <c r="GF982" s="453"/>
      <c r="GG982" s="453"/>
      <c r="GH982" s="454"/>
      <c r="GI982" s="453"/>
      <c r="GJ982" s="453"/>
      <c r="GK982" s="453"/>
      <c r="GL982" s="453"/>
      <c r="GM982" s="453"/>
      <c r="GN982" s="453"/>
      <c r="GO982" s="453"/>
      <c r="GP982" s="453"/>
      <c r="GQ982" s="453"/>
      <c r="GR982" s="453"/>
      <c r="GS982" s="561"/>
      <c r="GT982" s="475"/>
      <c r="GU982" s="472"/>
      <c r="GV982" s="453"/>
      <c r="GW982" s="453"/>
      <c r="GX982" s="869"/>
      <c r="GY982" s="870"/>
      <c r="GZ982" s="867"/>
      <c r="HA982" s="868"/>
      <c r="HB982" s="473"/>
      <c r="HC982" s="869"/>
      <c r="HD982" s="870"/>
      <c r="HE982" s="867"/>
      <c r="HF982" s="868"/>
      <c r="HG982" s="473"/>
      <c r="HH982" s="867"/>
      <c r="HI982" s="868"/>
      <c r="HJ982" s="867"/>
      <c r="HK982" s="868"/>
      <c r="HL982" s="370"/>
      <c r="HM982" s="865"/>
      <c r="HN982" s="866"/>
      <c r="HO982" s="865"/>
      <c r="HP982" s="866"/>
      <c r="HQ982" s="865"/>
      <c r="HR982" s="866"/>
      <c r="HS982" s="867"/>
      <c r="HT982" s="868"/>
      <c r="HU982" s="489"/>
      <c r="HV982" s="865"/>
      <c r="HW982" s="866"/>
    </row>
    <row r="983" spans="25:231" ht="15" customHeight="1">
      <c r="Y983" s="332"/>
      <c r="Z983" s="332"/>
      <c r="AA983" s="332"/>
      <c r="AB983" s="332"/>
      <c r="AC983" s="332"/>
      <c r="AD983" s="332"/>
      <c r="AE983" s="332"/>
      <c r="AF983" s="332"/>
      <c r="AG983" s="332"/>
      <c r="AH983" s="332"/>
      <c r="AI983" s="332"/>
      <c r="AJ983" s="332"/>
      <c r="AK983" s="332"/>
      <c r="AL983" s="332"/>
      <c r="AM983" s="332"/>
      <c r="AN983" s="332"/>
      <c r="AO983" s="332"/>
      <c r="AP983" s="332"/>
      <c r="AQ983" s="332"/>
      <c r="AR983" s="332"/>
      <c r="AS983" s="332"/>
      <c r="AT983" s="332"/>
      <c r="AU983" s="332"/>
      <c r="AV983" s="332"/>
      <c r="AW983" s="332"/>
      <c r="AX983" s="332"/>
      <c r="AY983" s="332"/>
      <c r="AZ983" s="332"/>
      <c r="BA983" s="332"/>
      <c r="BB983" s="332"/>
      <c r="BC983" s="332"/>
      <c r="BD983" s="332"/>
      <c r="BE983" s="332"/>
      <c r="BF983" s="332"/>
      <c r="BG983" s="332"/>
      <c r="BH983" s="332"/>
      <c r="BI983" s="332"/>
      <c r="BJ983" s="332"/>
      <c r="BK983" s="332"/>
      <c r="BL983" s="332"/>
      <c r="BM983" s="332"/>
      <c r="BN983" s="332"/>
      <c r="BO983" s="332"/>
      <c r="BP983" s="332"/>
      <c r="BQ983" s="332"/>
      <c r="BR983" s="332"/>
      <c r="BS983" s="332"/>
      <c r="BT983" s="332"/>
      <c r="BU983" s="332"/>
      <c r="BV983" s="332"/>
      <c r="BW983" s="332"/>
      <c r="BX983" s="332"/>
      <c r="BY983" s="332"/>
      <c r="BZ983" s="332"/>
      <c r="CA983" s="332"/>
      <c r="CB983" s="332"/>
      <c r="CC983" s="332"/>
      <c r="CD983" s="332"/>
      <c r="CE983" s="332"/>
      <c r="CF983" s="332"/>
      <c r="CG983" s="332"/>
      <c r="CH983" s="332"/>
      <c r="CI983" s="332"/>
      <c r="CJ983" s="332"/>
      <c r="CK983" s="332"/>
      <c r="CL983" s="332"/>
      <c r="CM983" s="332"/>
      <c r="CN983" s="332"/>
      <c r="CO983" s="332"/>
      <c r="CP983" s="332"/>
      <c r="CQ983" s="332"/>
      <c r="CR983" s="332"/>
      <c r="CS983" s="332"/>
      <c r="CT983" s="332"/>
      <c r="CU983" s="332"/>
      <c r="CV983" s="332"/>
      <c r="CW983" s="332"/>
      <c r="CX983" s="332"/>
      <c r="CY983" s="332"/>
      <c r="CZ983" s="332"/>
      <c r="DA983" s="332"/>
      <c r="DB983" s="332"/>
      <c r="DC983" s="332"/>
      <c r="DD983" s="332"/>
      <c r="DE983" s="332"/>
      <c r="DF983" s="332"/>
      <c r="DG983" s="332"/>
      <c r="DH983" s="332"/>
      <c r="DI983" s="332"/>
      <c r="DJ983" s="332"/>
      <c r="DK983" s="332"/>
      <c r="DL983" s="332"/>
      <c r="DM983" s="332"/>
      <c r="DN983" s="332"/>
      <c r="DO983" s="332"/>
      <c r="DP983" s="332"/>
      <c r="DQ983" s="332"/>
      <c r="DR983" s="332"/>
      <c r="DS983" s="332"/>
      <c r="DT983" s="332"/>
      <c r="DU983" s="453"/>
      <c r="DV983" s="453"/>
      <c r="DW983" s="453"/>
      <c r="DX983" s="453"/>
      <c r="DY983" s="453"/>
      <c r="DZ983" s="453"/>
      <c r="EA983" s="453"/>
      <c r="EB983" s="453"/>
      <c r="EC983" s="453"/>
      <c r="ED983" s="453"/>
      <c r="EE983" s="453"/>
      <c r="EF983" s="453"/>
      <c r="EG983" s="453"/>
      <c r="EH983" s="453"/>
      <c r="EI983" s="453"/>
      <c r="EJ983" s="453"/>
      <c r="EK983" s="453"/>
      <c r="EL983" s="453"/>
      <c r="EM983" s="483">
        <f t="shared" si="243"/>
        <v>674</v>
      </c>
      <c r="EN983" s="485"/>
      <c r="EO983" s="458"/>
      <c r="EP983" s="467"/>
      <c r="EQ983" s="457"/>
      <c r="ER983" s="808"/>
      <c r="ES983" s="881">
        <f t="shared" si="244"/>
        <v>0</v>
      </c>
      <c r="ET983" s="882"/>
      <c r="EU983" s="883"/>
      <c r="EV983" s="884">
        <f t="shared" si="245"/>
        <v>0</v>
      </c>
      <c r="EW983" s="885"/>
      <c r="EX983" s="885"/>
      <c r="EY983" s="885"/>
      <c r="EZ983" s="885"/>
      <c r="FA983" s="885"/>
      <c r="FB983" s="885"/>
      <c r="FC983" s="885"/>
      <c r="FD983" s="886"/>
      <c r="FE983" s="550"/>
      <c r="FF983" s="550"/>
      <c r="FG983" s="550"/>
      <c r="FH983" s="550"/>
      <c r="FI983" s="550"/>
      <c r="FJ983" s="550"/>
      <c r="FK983" s="550"/>
      <c r="FL983" s="555"/>
      <c r="FM983" s="554"/>
      <c r="FN983" s="554"/>
      <c r="FO983" s="554"/>
      <c r="FP983" s="554"/>
      <c r="FQ983" s="554"/>
      <c r="FR983" s="554"/>
      <c r="FS983" s="554"/>
      <c r="FT983" s="554"/>
      <c r="FU983" s="554"/>
      <c r="FV983" s="554"/>
      <c r="FW983" s="554"/>
      <c r="FX983" s="554"/>
      <c r="FY983" s="554"/>
      <c r="FZ983" s="554"/>
      <c r="GA983" s="554"/>
      <c r="GB983" s="556"/>
      <c r="GC983" s="370"/>
      <c r="GD983" s="453"/>
      <c r="GE983" s="453"/>
      <c r="GF983" s="453"/>
      <c r="GG983" s="453"/>
      <c r="GH983" s="454"/>
      <c r="GI983" s="453"/>
      <c r="GJ983" s="453"/>
      <c r="GK983" s="453"/>
      <c r="GL983" s="453"/>
      <c r="GM983" s="453"/>
      <c r="GN983" s="453"/>
      <c r="GO983" s="453"/>
      <c r="GP983" s="453"/>
      <c r="GQ983" s="453"/>
      <c r="GR983" s="453"/>
      <c r="GS983" s="561"/>
      <c r="GT983" s="475"/>
      <c r="GU983" s="472"/>
      <c r="GV983" s="453"/>
      <c r="GW983" s="453"/>
      <c r="GX983" s="869"/>
      <c r="GY983" s="870"/>
      <c r="GZ983" s="867"/>
      <c r="HA983" s="868"/>
      <c r="HB983" s="473"/>
      <c r="HC983" s="869"/>
      <c r="HD983" s="870"/>
      <c r="HE983" s="867"/>
      <c r="HF983" s="868"/>
      <c r="HG983" s="473"/>
      <c r="HH983" s="867"/>
      <c r="HI983" s="868"/>
      <c r="HJ983" s="867"/>
      <c r="HK983" s="868"/>
      <c r="HL983" s="370"/>
      <c r="HM983" s="865"/>
      <c r="HN983" s="866"/>
      <c r="HO983" s="865"/>
      <c r="HP983" s="866"/>
      <c r="HQ983" s="865"/>
      <c r="HR983" s="866"/>
      <c r="HS983" s="867"/>
      <c r="HT983" s="868"/>
      <c r="HU983" s="489"/>
      <c r="HV983" s="865"/>
      <c r="HW983" s="866"/>
    </row>
    <row r="984" spans="25:231" ht="15" customHeight="1">
      <c r="Y984" s="332"/>
      <c r="Z984" s="332"/>
      <c r="AA984" s="332"/>
      <c r="AB984" s="332"/>
      <c r="AC984" s="332"/>
      <c r="AD984" s="332"/>
      <c r="AE984" s="332"/>
      <c r="AF984" s="332"/>
      <c r="AG984" s="332"/>
      <c r="AH984" s="332"/>
      <c r="AI984" s="332"/>
      <c r="AJ984" s="332"/>
      <c r="AK984" s="332"/>
      <c r="AL984" s="332"/>
      <c r="AM984" s="332"/>
      <c r="AN984" s="332"/>
      <c r="AO984" s="332"/>
      <c r="AP984" s="332"/>
      <c r="AQ984" s="332"/>
      <c r="AR984" s="332"/>
      <c r="AS984" s="332"/>
      <c r="AT984" s="332"/>
      <c r="AU984" s="332"/>
      <c r="AV984" s="332"/>
      <c r="AW984" s="332"/>
      <c r="AX984" s="332"/>
      <c r="AY984" s="332"/>
      <c r="AZ984" s="332"/>
      <c r="BA984" s="332"/>
      <c r="BB984" s="332"/>
      <c r="BC984" s="332"/>
      <c r="BD984" s="332"/>
      <c r="BE984" s="332"/>
      <c r="BF984" s="332"/>
      <c r="BG984" s="332"/>
      <c r="BH984" s="332"/>
      <c r="BI984" s="332"/>
      <c r="BJ984" s="332"/>
      <c r="BK984" s="332"/>
      <c r="BL984" s="332"/>
      <c r="BM984" s="332"/>
      <c r="BN984" s="332"/>
      <c r="BO984" s="332"/>
      <c r="BP984" s="332"/>
      <c r="BQ984" s="332"/>
      <c r="BR984" s="332"/>
      <c r="BS984" s="332"/>
      <c r="BT984" s="332"/>
      <c r="BU984" s="332"/>
      <c r="BV984" s="332"/>
      <c r="BW984" s="332"/>
      <c r="BX984" s="332"/>
      <c r="BY984" s="332"/>
      <c r="BZ984" s="332"/>
      <c r="CA984" s="332"/>
      <c r="CB984" s="332"/>
      <c r="CC984" s="332"/>
      <c r="CD984" s="332"/>
      <c r="CE984" s="332"/>
      <c r="CF984" s="332"/>
      <c r="CG984" s="332"/>
      <c r="CH984" s="332"/>
      <c r="CI984" s="332"/>
      <c r="CJ984" s="332"/>
      <c r="CK984" s="332"/>
      <c r="CL984" s="332"/>
      <c r="CM984" s="332"/>
      <c r="CN984" s="332"/>
      <c r="CO984" s="332"/>
      <c r="CP984" s="332"/>
      <c r="CQ984" s="332"/>
      <c r="CR984" s="332"/>
      <c r="CS984" s="332"/>
      <c r="CT984" s="332"/>
      <c r="CU984" s="332"/>
      <c r="CV984" s="332"/>
      <c r="CW984" s="332"/>
      <c r="CX984" s="332"/>
      <c r="CY984" s="332"/>
      <c r="CZ984" s="332"/>
      <c r="DA984" s="332"/>
      <c r="DB984" s="332"/>
      <c r="DC984" s="332"/>
      <c r="DD984" s="332"/>
      <c r="DE984" s="332"/>
      <c r="DF984" s="332"/>
      <c r="DG984" s="332"/>
      <c r="DH984" s="332"/>
      <c r="DI984" s="332"/>
      <c r="DJ984" s="332"/>
      <c r="DK984" s="332"/>
      <c r="DL984" s="332"/>
      <c r="DM984" s="332"/>
      <c r="DN984" s="332"/>
      <c r="DO984" s="332"/>
      <c r="DP984" s="332"/>
      <c r="DQ984" s="332"/>
      <c r="DR984" s="332"/>
      <c r="DS984" s="332"/>
      <c r="DT984" s="332"/>
      <c r="DU984" s="453"/>
      <c r="DV984" s="453"/>
      <c r="DW984" s="453"/>
      <c r="DX984" s="453"/>
      <c r="DY984" s="453"/>
      <c r="DZ984" s="453"/>
      <c r="EA984" s="453"/>
      <c r="EB984" s="453"/>
      <c r="EC984" s="453"/>
      <c r="ED984" s="453"/>
      <c r="EE984" s="453"/>
      <c r="EF984" s="453"/>
      <c r="EG984" s="453"/>
      <c r="EH984" s="453"/>
      <c r="EI984" s="453"/>
      <c r="EJ984" s="453"/>
      <c r="EK984" s="453"/>
      <c r="EL984" s="453"/>
      <c r="EM984" s="483">
        <f t="shared" si="243"/>
        <v>675</v>
      </c>
      <c r="EN984" s="485"/>
      <c r="EO984" s="458"/>
      <c r="EP984" s="467"/>
      <c r="EQ984" s="457"/>
      <c r="ER984" s="808"/>
      <c r="ES984" s="881">
        <f t="shared" si="244"/>
        <v>0</v>
      </c>
      <c r="ET984" s="882"/>
      <c r="EU984" s="883"/>
      <c r="EV984" s="884">
        <f t="shared" si="245"/>
        <v>0</v>
      </c>
      <c r="EW984" s="885"/>
      <c r="EX984" s="885"/>
      <c r="EY984" s="885"/>
      <c r="EZ984" s="885"/>
      <c r="FA984" s="885"/>
      <c r="FB984" s="885"/>
      <c r="FC984" s="885"/>
      <c r="FD984" s="886"/>
      <c r="FE984" s="550"/>
      <c r="FF984" s="550"/>
      <c r="FG984" s="550"/>
      <c r="FH984" s="550"/>
      <c r="FI984" s="550"/>
      <c r="FJ984" s="550"/>
      <c r="FK984" s="550"/>
      <c r="FL984" s="555"/>
      <c r="FM984" s="554"/>
      <c r="FN984" s="554"/>
      <c r="FO984" s="554"/>
      <c r="FP984" s="554"/>
      <c r="FQ984" s="554"/>
      <c r="FR984" s="554"/>
      <c r="FS984" s="554"/>
      <c r="FT984" s="554"/>
      <c r="FU984" s="554"/>
      <c r="FV984" s="554"/>
      <c r="FW984" s="554"/>
      <c r="FX984" s="554"/>
      <c r="FY984" s="554"/>
      <c r="FZ984" s="554"/>
      <c r="GA984" s="554"/>
      <c r="GB984" s="556"/>
      <c r="GC984" s="370"/>
      <c r="GD984" s="453"/>
      <c r="GE984" s="453"/>
      <c r="GF984" s="453"/>
      <c r="GG984" s="453"/>
      <c r="GH984" s="454"/>
      <c r="GI984" s="453"/>
      <c r="GJ984" s="453"/>
      <c r="GK984" s="453"/>
      <c r="GL984" s="453"/>
      <c r="GM984" s="453"/>
      <c r="GN984" s="453"/>
      <c r="GO984" s="453"/>
      <c r="GP984" s="453"/>
      <c r="GQ984" s="453"/>
      <c r="GR984" s="453"/>
      <c r="GS984" s="561"/>
      <c r="GT984" s="475"/>
      <c r="GU984" s="472"/>
      <c r="GV984" s="453"/>
      <c r="GW984" s="453"/>
      <c r="GX984" s="869"/>
      <c r="GY984" s="870"/>
      <c r="GZ984" s="867"/>
      <c r="HA984" s="868"/>
      <c r="HB984" s="473"/>
      <c r="HC984" s="869"/>
      <c r="HD984" s="870"/>
      <c r="HE984" s="867"/>
      <c r="HF984" s="868"/>
      <c r="HG984" s="473"/>
      <c r="HH984" s="867"/>
      <c r="HI984" s="868"/>
      <c r="HJ984" s="867"/>
      <c r="HK984" s="868"/>
      <c r="HL984" s="370"/>
      <c r="HM984" s="865"/>
      <c r="HN984" s="866"/>
      <c r="HO984" s="865"/>
      <c r="HP984" s="866"/>
      <c r="HQ984" s="865"/>
      <c r="HR984" s="866"/>
      <c r="HS984" s="867"/>
      <c r="HT984" s="868"/>
      <c r="HU984" s="489"/>
      <c r="HV984" s="865"/>
      <c r="HW984" s="866"/>
    </row>
    <row r="985" spans="25:231" ht="15" customHeight="1">
      <c r="Y985" s="332"/>
      <c r="Z985" s="332"/>
      <c r="AA985" s="332"/>
      <c r="AB985" s="332"/>
      <c r="AC985" s="332"/>
      <c r="AD985" s="332"/>
      <c r="AE985" s="332"/>
      <c r="AF985" s="332"/>
      <c r="AG985" s="332"/>
      <c r="AH985" s="332"/>
      <c r="AI985" s="332"/>
      <c r="AJ985" s="332"/>
      <c r="AK985" s="332"/>
      <c r="AL985" s="332"/>
      <c r="AM985" s="332"/>
      <c r="AN985" s="332"/>
      <c r="AO985" s="332"/>
      <c r="AP985" s="332"/>
      <c r="AQ985" s="332"/>
      <c r="AR985" s="332"/>
      <c r="AS985" s="332"/>
      <c r="AT985" s="332"/>
      <c r="AU985" s="332"/>
      <c r="AV985" s="332"/>
      <c r="AW985" s="332"/>
      <c r="AX985" s="332"/>
      <c r="AY985" s="332"/>
      <c r="AZ985" s="332"/>
      <c r="BA985" s="332"/>
      <c r="BB985" s="332"/>
      <c r="BC985" s="332"/>
      <c r="BD985" s="332"/>
      <c r="BE985" s="332"/>
      <c r="BF985" s="332"/>
      <c r="BG985" s="332"/>
      <c r="BH985" s="332"/>
      <c r="BI985" s="332"/>
      <c r="BJ985" s="332"/>
      <c r="BK985" s="332"/>
      <c r="BL985" s="332"/>
      <c r="BM985" s="332"/>
      <c r="BN985" s="332"/>
      <c r="BO985" s="332"/>
      <c r="BP985" s="332"/>
      <c r="BQ985" s="332"/>
      <c r="BR985" s="332"/>
      <c r="BS985" s="332"/>
      <c r="BT985" s="332"/>
      <c r="BU985" s="332"/>
      <c r="BV985" s="332"/>
      <c r="BW985" s="332"/>
      <c r="BX985" s="332"/>
      <c r="BY985" s="332"/>
      <c r="BZ985" s="332"/>
      <c r="CA985" s="332"/>
      <c r="CB985" s="332"/>
      <c r="CC985" s="332"/>
      <c r="CD985" s="332"/>
      <c r="CE985" s="332"/>
      <c r="CF985" s="332"/>
      <c r="CG985" s="332"/>
      <c r="CH985" s="332"/>
      <c r="CI985" s="332"/>
      <c r="CJ985" s="332"/>
      <c r="CK985" s="332"/>
      <c r="CL985" s="332"/>
      <c r="CM985" s="332"/>
      <c r="CN985" s="332"/>
      <c r="CO985" s="332"/>
      <c r="CP985" s="332"/>
      <c r="CQ985" s="332"/>
      <c r="CR985" s="332"/>
      <c r="CS985" s="332"/>
      <c r="CT985" s="332"/>
      <c r="CU985" s="332"/>
      <c r="CV985" s="332"/>
      <c r="CW985" s="332"/>
      <c r="CX985" s="332"/>
      <c r="CY985" s="332"/>
      <c r="CZ985" s="332"/>
      <c r="DA985" s="332"/>
      <c r="DB985" s="332"/>
      <c r="DC985" s="332"/>
      <c r="DD985" s="332"/>
      <c r="DE985" s="332"/>
      <c r="DF985" s="332"/>
      <c r="DG985" s="332"/>
      <c r="DH985" s="332"/>
      <c r="DI985" s="332"/>
      <c r="DJ985" s="332"/>
      <c r="DK985" s="332"/>
      <c r="DL985" s="332"/>
      <c r="DM985" s="332"/>
      <c r="DN985" s="332"/>
      <c r="DO985" s="332"/>
      <c r="DP985" s="332"/>
      <c r="DQ985" s="332"/>
      <c r="DR985" s="332"/>
      <c r="DS985" s="332"/>
      <c r="DT985" s="332"/>
      <c r="DU985" s="453"/>
      <c r="DV985" s="453"/>
      <c r="DW985" s="453"/>
      <c r="DX985" s="453"/>
      <c r="DY985" s="453"/>
      <c r="DZ985" s="453"/>
      <c r="EA985" s="453"/>
      <c r="EB985" s="453"/>
      <c r="EC985" s="453"/>
      <c r="ED985" s="453"/>
      <c r="EE985" s="453"/>
      <c r="EF985" s="453"/>
      <c r="EG985" s="453"/>
      <c r="EH985" s="453"/>
      <c r="EI985" s="453"/>
      <c r="EJ985" s="453"/>
      <c r="EK985" s="453"/>
      <c r="EL985" s="453"/>
      <c r="EM985" s="483">
        <f t="shared" si="243"/>
        <v>676</v>
      </c>
      <c r="EN985" s="485"/>
      <c r="EO985" s="458"/>
      <c r="EP985" s="467"/>
      <c r="EQ985" s="457"/>
      <c r="ER985" s="808"/>
      <c r="ES985" s="881">
        <f t="shared" si="244"/>
        <v>0</v>
      </c>
      <c r="ET985" s="882"/>
      <c r="EU985" s="883"/>
      <c r="EV985" s="884">
        <f t="shared" si="245"/>
        <v>0</v>
      </c>
      <c r="EW985" s="885"/>
      <c r="EX985" s="885"/>
      <c r="EY985" s="885"/>
      <c r="EZ985" s="885"/>
      <c r="FA985" s="885"/>
      <c r="FB985" s="885"/>
      <c r="FC985" s="885"/>
      <c r="FD985" s="886"/>
      <c r="FE985" s="550"/>
      <c r="FF985" s="550"/>
      <c r="FG985" s="550"/>
      <c r="FH985" s="550"/>
      <c r="FI985" s="550"/>
      <c r="FJ985" s="550"/>
      <c r="FK985" s="550"/>
      <c r="FL985" s="555"/>
      <c r="FM985" s="554"/>
      <c r="FN985" s="554"/>
      <c r="FO985" s="554"/>
      <c r="FP985" s="554"/>
      <c r="FQ985" s="554"/>
      <c r="FR985" s="554"/>
      <c r="FS985" s="554"/>
      <c r="FT985" s="554"/>
      <c r="FU985" s="554"/>
      <c r="FV985" s="554"/>
      <c r="FW985" s="554"/>
      <c r="FX985" s="554"/>
      <c r="FY985" s="554"/>
      <c r="FZ985" s="554"/>
      <c r="GA985" s="554"/>
      <c r="GB985" s="556"/>
      <c r="GC985" s="370"/>
      <c r="GD985" s="453"/>
      <c r="GE985" s="453"/>
      <c r="GF985" s="453"/>
      <c r="GG985" s="453"/>
      <c r="GH985" s="454"/>
      <c r="GI985" s="453"/>
      <c r="GJ985" s="453"/>
      <c r="GK985" s="453"/>
      <c r="GL985" s="453"/>
      <c r="GM985" s="453"/>
      <c r="GN985" s="453"/>
      <c r="GO985" s="453"/>
      <c r="GP985" s="453"/>
      <c r="GQ985" s="453"/>
      <c r="GR985" s="453"/>
      <c r="GS985" s="561"/>
      <c r="GT985" s="475"/>
      <c r="GU985" s="472"/>
      <c r="GV985" s="453"/>
      <c r="GW985" s="453"/>
      <c r="GX985" s="869"/>
      <c r="GY985" s="870"/>
      <c r="GZ985" s="867"/>
      <c r="HA985" s="868"/>
      <c r="HB985" s="473"/>
      <c r="HC985" s="869"/>
      <c r="HD985" s="870"/>
      <c r="HE985" s="867"/>
      <c r="HF985" s="868"/>
      <c r="HG985" s="473"/>
      <c r="HH985" s="867"/>
      <c r="HI985" s="868"/>
      <c r="HJ985" s="867"/>
      <c r="HK985" s="868"/>
      <c r="HL985" s="370"/>
      <c r="HM985" s="865"/>
      <c r="HN985" s="866"/>
      <c r="HO985" s="865"/>
      <c r="HP985" s="866"/>
      <c r="HQ985" s="865"/>
      <c r="HR985" s="866"/>
      <c r="HS985" s="867"/>
      <c r="HT985" s="868"/>
      <c r="HU985" s="489"/>
      <c r="HV985" s="865"/>
      <c r="HW985" s="866"/>
    </row>
    <row r="986" spans="25:231" ht="15" customHeight="1">
      <c r="Y986" s="332"/>
      <c r="Z986" s="332"/>
      <c r="AA986" s="332"/>
      <c r="AB986" s="332"/>
      <c r="AC986" s="332"/>
      <c r="AD986" s="332"/>
      <c r="AE986" s="332"/>
      <c r="AF986" s="332"/>
      <c r="AG986" s="332"/>
      <c r="AH986" s="332"/>
      <c r="AI986" s="332"/>
      <c r="AJ986" s="332"/>
      <c r="AK986" s="332"/>
      <c r="AL986" s="332"/>
      <c r="AM986" s="332"/>
      <c r="AN986" s="332"/>
      <c r="AO986" s="332"/>
      <c r="AP986" s="332"/>
      <c r="AQ986" s="332"/>
      <c r="AR986" s="332"/>
      <c r="AS986" s="332"/>
      <c r="AT986" s="332"/>
      <c r="AU986" s="332"/>
      <c r="AV986" s="332"/>
      <c r="AW986" s="332"/>
      <c r="AX986" s="332"/>
      <c r="AY986" s="332"/>
      <c r="AZ986" s="332"/>
      <c r="BA986" s="332"/>
      <c r="BB986" s="332"/>
      <c r="BC986" s="332"/>
      <c r="BD986" s="332"/>
      <c r="BE986" s="332"/>
      <c r="BF986" s="332"/>
      <c r="BG986" s="332"/>
      <c r="BH986" s="332"/>
      <c r="BI986" s="332"/>
      <c r="BJ986" s="332"/>
      <c r="BK986" s="332"/>
      <c r="BL986" s="332"/>
      <c r="BM986" s="332"/>
      <c r="BN986" s="332"/>
      <c r="BO986" s="332"/>
      <c r="BP986" s="332"/>
      <c r="BQ986" s="332"/>
      <c r="BR986" s="332"/>
      <c r="BS986" s="332"/>
      <c r="BT986" s="332"/>
      <c r="BU986" s="332"/>
      <c r="BV986" s="332"/>
      <c r="BW986" s="332"/>
      <c r="BX986" s="332"/>
      <c r="BY986" s="332"/>
      <c r="BZ986" s="332"/>
      <c r="CA986" s="332"/>
      <c r="CB986" s="332"/>
      <c r="CC986" s="332"/>
      <c r="CD986" s="332"/>
      <c r="CE986" s="332"/>
      <c r="CF986" s="332"/>
      <c r="CG986" s="332"/>
      <c r="CH986" s="332"/>
      <c r="CI986" s="332"/>
      <c r="CJ986" s="332"/>
      <c r="CK986" s="332"/>
      <c r="CL986" s="332"/>
      <c r="CM986" s="332"/>
      <c r="CN986" s="332"/>
      <c r="CO986" s="332"/>
      <c r="CP986" s="332"/>
      <c r="CQ986" s="332"/>
      <c r="CR986" s="332"/>
      <c r="CS986" s="332"/>
      <c r="CT986" s="332"/>
      <c r="CU986" s="332"/>
      <c r="CV986" s="332"/>
      <c r="CW986" s="332"/>
      <c r="CX986" s="332"/>
      <c r="CY986" s="332"/>
      <c r="CZ986" s="332"/>
      <c r="DA986" s="332"/>
      <c r="DB986" s="332"/>
      <c r="DC986" s="332"/>
      <c r="DD986" s="332"/>
      <c r="DE986" s="332"/>
      <c r="DF986" s="332"/>
      <c r="DG986" s="332"/>
      <c r="DH986" s="332"/>
      <c r="DI986" s="332"/>
      <c r="DJ986" s="332"/>
      <c r="DK986" s="332"/>
      <c r="DL986" s="332"/>
      <c r="DM986" s="332"/>
      <c r="DN986" s="332"/>
      <c r="DO986" s="332"/>
      <c r="DP986" s="332"/>
      <c r="DQ986" s="332"/>
      <c r="DR986" s="332"/>
      <c r="DS986" s="332"/>
      <c r="DT986" s="332"/>
      <c r="DU986" s="453"/>
      <c r="DV986" s="453"/>
      <c r="DW986" s="453"/>
      <c r="DX986" s="453"/>
      <c r="DY986" s="453"/>
      <c r="DZ986" s="453"/>
      <c r="EA986" s="453"/>
      <c r="EB986" s="453"/>
      <c r="EC986" s="453"/>
      <c r="ED986" s="453"/>
      <c r="EE986" s="453"/>
      <c r="EF986" s="453"/>
      <c r="EG986" s="453"/>
      <c r="EH986" s="453"/>
      <c r="EI986" s="453"/>
      <c r="EJ986" s="453"/>
      <c r="EK986" s="453"/>
      <c r="EL986" s="453"/>
      <c r="EM986" s="483">
        <f t="shared" si="243"/>
        <v>677</v>
      </c>
      <c r="EN986" s="485"/>
      <c r="EO986" s="458"/>
      <c r="EP986" s="467"/>
      <c r="EQ986" s="457"/>
      <c r="ER986" s="808"/>
      <c r="ES986" s="881">
        <f t="shared" si="244"/>
        <v>0</v>
      </c>
      <c r="ET986" s="882"/>
      <c r="EU986" s="883"/>
      <c r="EV986" s="884">
        <f t="shared" si="245"/>
        <v>0</v>
      </c>
      <c r="EW986" s="885"/>
      <c r="EX986" s="885"/>
      <c r="EY986" s="885"/>
      <c r="EZ986" s="885"/>
      <c r="FA986" s="885"/>
      <c r="FB986" s="885"/>
      <c r="FC986" s="885"/>
      <c r="FD986" s="886"/>
      <c r="FE986" s="550"/>
      <c r="FF986" s="550"/>
      <c r="FG986" s="550"/>
      <c r="FH986" s="550"/>
      <c r="FI986" s="550"/>
      <c r="FJ986" s="550"/>
      <c r="FK986" s="550"/>
      <c r="FL986" s="555"/>
      <c r="FM986" s="554"/>
      <c r="FN986" s="554"/>
      <c r="FO986" s="554"/>
      <c r="FP986" s="554"/>
      <c r="FQ986" s="554"/>
      <c r="FR986" s="554"/>
      <c r="FS986" s="554"/>
      <c r="FT986" s="554"/>
      <c r="FU986" s="554"/>
      <c r="FV986" s="554"/>
      <c r="FW986" s="554"/>
      <c r="FX986" s="554"/>
      <c r="FY986" s="554"/>
      <c r="FZ986" s="554"/>
      <c r="GA986" s="554"/>
      <c r="GB986" s="556"/>
      <c r="GC986" s="370"/>
      <c r="GD986" s="453"/>
      <c r="GE986" s="453"/>
      <c r="GF986" s="453"/>
      <c r="GG986" s="453"/>
      <c r="GH986" s="454"/>
      <c r="GI986" s="453"/>
      <c r="GJ986" s="453"/>
      <c r="GK986" s="453"/>
      <c r="GL986" s="453"/>
      <c r="GM986" s="453"/>
      <c r="GN986" s="453"/>
      <c r="GO986" s="453"/>
      <c r="GP986" s="453"/>
      <c r="GQ986" s="453"/>
      <c r="GR986" s="453"/>
      <c r="GS986" s="561"/>
      <c r="GT986" s="475"/>
      <c r="GU986" s="472"/>
      <c r="GV986" s="453"/>
      <c r="GW986" s="453"/>
      <c r="GX986" s="869"/>
      <c r="GY986" s="870"/>
      <c r="GZ986" s="867"/>
      <c r="HA986" s="868"/>
      <c r="HB986" s="473"/>
      <c r="HC986" s="869"/>
      <c r="HD986" s="870"/>
      <c r="HE986" s="867"/>
      <c r="HF986" s="868"/>
      <c r="HG986" s="473"/>
      <c r="HH986" s="867"/>
      <c r="HI986" s="868"/>
      <c r="HJ986" s="867"/>
      <c r="HK986" s="868"/>
      <c r="HL986" s="370"/>
      <c r="HM986" s="865"/>
      <c r="HN986" s="866"/>
      <c r="HO986" s="865"/>
      <c r="HP986" s="866"/>
      <c r="HQ986" s="865"/>
      <c r="HR986" s="866"/>
      <c r="HS986" s="867"/>
      <c r="HT986" s="868"/>
      <c r="HU986" s="489"/>
      <c r="HV986" s="865"/>
      <c r="HW986" s="866"/>
    </row>
    <row r="987" spans="25:231" ht="15" customHeight="1">
      <c r="Y987" s="332"/>
      <c r="Z987" s="332"/>
      <c r="AA987" s="332"/>
      <c r="AB987" s="332"/>
      <c r="AC987" s="332"/>
      <c r="AD987" s="332"/>
      <c r="AE987" s="332"/>
      <c r="AF987" s="332"/>
      <c r="AG987" s="332"/>
      <c r="AH987" s="332"/>
      <c r="AI987" s="332"/>
      <c r="AJ987" s="332"/>
      <c r="AK987" s="332"/>
      <c r="AL987" s="332"/>
      <c r="AM987" s="332"/>
      <c r="AN987" s="332"/>
      <c r="AO987" s="332"/>
      <c r="AP987" s="332"/>
      <c r="AQ987" s="332"/>
      <c r="AR987" s="332"/>
      <c r="AS987" s="332"/>
      <c r="AT987" s="332"/>
      <c r="AU987" s="332"/>
      <c r="AV987" s="332"/>
      <c r="AW987" s="332"/>
      <c r="AX987" s="332"/>
      <c r="AY987" s="332"/>
      <c r="AZ987" s="332"/>
      <c r="BA987" s="332"/>
      <c r="BB987" s="332"/>
      <c r="BC987" s="332"/>
      <c r="BD987" s="332"/>
      <c r="BE987" s="332"/>
      <c r="BF987" s="332"/>
      <c r="BG987" s="332"/>
      <c r="BH987" s="332"/>
      <c r="BI987" s="332"/>
      <c r="BJ987" s="332"/>
      <c r="BK987" s="332"/>
      <c r="BL987" s="332"/>
      <c r="BM987" s="332"/>
      <c r="BN987" s="332"/>
      <c r="BO987" s="332"/>
      <c r="BP987" s="332"/>
      <c r="BQ987" s="332"/>
      <c r="BR987" s="332"/>
      <c r="BS987" s="332"/>
      <c r="BT987" s="332"/>
      <c r="BU987" s="332"/>
      <c r="BV987" s="332"/>
      <c r="BW987" s="332"/>
      <c r="BX987" s="332"/>
      <c r="BY987" s="332"/>
      <c r="BZ987" s="332"/>
      <c r="CA987" s="332"/>
      <c r="CB987" s="332"/>
      <c r="CC987" s="332"/>
      <c r="CD987" s="332"/>
      <c r="CE987" s="332"/>
      <c r="CF987" s="332"/>
      <c r="CG987" s="332"/>
      <c r="CH987" s="332"/>
      <c r="CI987" s="332"/>
      <c r="CJ987" s="332"/>
      <c r="CK987" s="332"/>
      <c r="CL987" s="332"/>
      <c r="CM987" s="332"/>
      <c r="CN987" s="332"/>
      <c r="CO987" s="332"/>
      <c r="CP987" s="332"/>
      <c r="CQ987" s="332"/>
      <c r="CR987" s="332"/>
      <c r="CS987" s="332"/>
      <c r="CT987" s="332"/>
      <c r="CU987" s="332"/>
      <c r="CV987" s="332"/>
      <c r="CW987" s="332"/>
      <c r="CX987" s="332"/>
      <c r="CY987" s="332"/>
      <c r="CZ987" s="332"/>
      <c r="DA987" s="332"/>
      <c r="DB987" s="332"/>
      <c r="DC987" s="332"/>
      <c r="DD987" s="332"/>
      <c r="DE987" s="332"/>
      <c r="DF987" s="332"/>
      <c r="DG987" s="332"/>
      <c r="DH987" s="332"/>
      <c r="DI987" s="332"/>
      <c r="DJ987" s="332"/>
      <c r="DK987" s="332"/>
      <c r="DL987" s="332"/>
      <c r="DM987" s="332"/>
      <c r="DN987" s="332"/>
      <c r="DO987" s="332"/>
      <c r="DP987" s="332"/>
      <c r="DQ987" s="332"/>
      <c r="DR987" s="332"/>
      <c r="DS987" s="332"/>
      <c r="DT987" s="332"/>
      <c r="DU987" s="453"/>
      <c r="DV987" s="453"/>
      <c r="DW987" s="453"/>
      <c r="DX987" s="453"/>
      <c r="DY987" s="453"/>
      <c r="DZ987" s="453"/>
      <c r="EA987" s="453"/>
      <c r="EB987" s="453"/>
      <c r="EC987" s="453"/>
      <c r="ED987" s="453"/>
      <c r="EE987" s="453"/>
      <c r="EF987" s="453"/>
      <c r="EG987" s="453"/>
      <c r="EH987" s="453"/>
      <c r="EI987" s="453"/>
      <c r="EJ987" s="453"/>
      <c r="EK987" s="453"/>
      <c r="EL987" s="453"/>
      <c r="EM987" s="483">
        <f t="shared" si="243"/>
        <v>678</v>
      </c>
      <c r="EN987" s="485"/>
      <c r="EO987" s="458"/>
      <c r="EP987" s="467"/>
      <c r="EQ987" s="457"/>
      <c r="ER987" s="808"/>
      <c r="ES987" s="881">
        <f t="shared" si="244"/>
        <v>0</v>
      </c>
      <c r="ET987" s="882"/>
      <c r="EU987" s="883"/>
      <c r="EV987" s="884">
        <f t="shared" si="245"/>
        <v>0</v>
      </c>
      <c r="EW987" s="885"/>
      <c r="EX987" s="885"/>
      <c r="EY987" s="885"/>
      <c r="EZ987" s="885"/>
      <c r="FA987" s="885"/>
      <c r="FB987" s="885"/>
      <c r="FC987" s="885"/>
      <c r="FD987" s="886"/>
      <c r="FE987" s="550"/>
      <c r="FF987" s="550"/>
      <c r="FG987" s="550"/>
      <c r="FH987" s="550"/>
      <c r="FI987" s="550"/>
      <c r="FJ987" s="550"/>
      <c r="FK987" s="550"/>
      <c r="FL987" s="555"/>
      <c r="FM987" s="554"/>
      <c r="FN987" s="554"/>
      <c r="FO987" s="554"/>
      <c r="FP987" s="554"/>
      <c r="FQ987" s="554"/>
      <c r="FR987" s="554"/>
      <c r="FS987" s="554"/>
      <c r="FT987" s="554"/>
      <c r="FU987" s="554"/>
      <c r="FV987" s="554"/>
      <c r="FW987" s="554"/>
      <c r="FX987" s="554"/>
      <c r="FY987" s="554"/>
      <c r="FZ987" s="554"/>
      <c r="GA987" s="554"/>
      <c r="GB987" s="556"/>
      <c r="GC987" s="370"/>
      <c r="GD987" s="453"/>
      <c r="GE987" s="453"/>
      <c r="GF987" s="453"/>
      <c r="GG987" s="453"/>
      <c r="GH987" s="454"/>
      <c r="GI987" s="453"/>
      <c r="GJ987" s="453"/>
      <c r="GK987" s="453"/>
      <c r="GL987" s="453"/>
      <c r="GM987" s="453"/>
      <c r="GN987" s="453"/>
      <c r="GO987" s="453"/>
      <c r="GP987" s="453"/>
      <c r="GQ987" s="453"/>
      <c r="GR987" s="453"/>
      <c r="GS987" s="561"/>
      <c r="GT987" s="475"/>
      <c r="GU987" s="472"/>
      <c r="GV987" s="453"/>
      <c r="GW987" s="453"/>
      <c r="GX987" s="869"/>
      <c r="GY987" s="870"/>
      <c r="GZ987" s="867"/>
      <c r="HA987" s="868"/>
      <c r="HB987" s="473"/>
      <c r="HC987" s="869"/>
      <c r="HD987" s="870"/>
      <c r="HE987" s="867"/>
      <c r="HF987" s="868"/>
      <c r="HG987" s="473"/>
      <c r="HH987" s="867"/>
      <c r="HI987" s="868"/>
      <c r="HJ987" s="867"/>
      <c r="HK987" s="868"/>
      <c r="HL987" s="370"/>
      <c r="HM987" s="865"/>
      <c r="HN987" s="866"/>
      <c r="HO987" s="865"/>
      <c r="HP987" s="866"/>
      <c r="HQ987" s="865"/>
      <c r="HR987" s="866"/>
      <c r="HS987" s="867"/>
      <c r="HT987" s="868"/>
      <c r="HU987" s="489"/>
      <c r="HV987" s="865"/>
      <c r="HW987" s="866"/>
    </row>
    <row r="988" spans="25:231" ht="15" customHeight="1">
      <c r="Y988" s="332"/>
      <c r="Z988" s="332"/>
      <c r="AA988" s="332"/>
      <c r="AB988" s="332"/>
      <c r="AC988" s="332"/>
      <c r="AD988" s="332"/>
      <c r="AE988" s="332"/>
      <c r="AF988" s="332"/>
      <c r="AG988" s="332"/>
      <c r="AH988" s="332"/>
      <c r="AI988" s="332"/>
      <c r="AJ988" s="332"/>
      <c r="AK988" s="332"/>
      <c r="AL988" s="332"/>
      <c r="AM988" s="332"/>
      <c r="AN988" s="332"/>
      <c r="AO988" s="332"/>
      <c r="AP988" s="332"/>
      <c r="AQ988" s="332"/>
      <c r="AR988" s="332"/>
      <c r="AS988" s="332"/>
      <c r="AT988" s="332"/>
      <c r="AU988" s="332"/>
      <c r="AV988" s="332"/>
      <c r="AW988" s="332"/>
      <c r="AX988" s="332"/>
      <c r="AY988" s="332"/>
      <c r="AZ988" s="332"/>
      <c r="BA988" s="332"/>
      <c r="BB988" s="332"/>
      <c r="BC988" s="332"/>
      <c r="BD988" s="332"/>
      <c r="BE988" s="332"/>
      <c r="BF988" s="332"/>
      <c r="BG988" s="332"/>
      <c r="BH988" s="332"/>
      <c r="BI988" s="332"/>
      <c r="BJ988" s="332"/>
      <c r="BK988" s="332"/>
      <c r="BL988" s="332"/>
      <c r="BM988" s="332"/>
      <c r="BN988" s="332"/>
      <c r="BO988" s="332"/>
      <c r="BP988" s="332"/>
      <c r="BQ988" s="332"/>
      <c r="BR988" s="332"/>
      <c r="BS988" s="332"/>
      <c r="BT988" s="332"/>
      <c r="BU988" s="332"/>
      <c r="BV988" s="332"/>
      <c r="BW988" s="332"/>
      <c r="BX988" s="332"/>
      <c r="BY988" s="332"/>
      <c r="BZ988" s="332"/>
      <c r="CA988" s="332"/>
      <c r="CB988" s="332"/>
      <c r="CC988" s="332"/>
      <c r="CD988" s="332"/>
      <c r="CE988" s="332"/>
      <c r="CF988" s="332"/>
      <c r="CG988" s="332"/>
      <c r="CH988" s="332"/>
      <c r="CI988" s="332"/>
      <c r="CJ988" s="332"/>
      <c r="CK988" s="332"/>
      <c r="CL988" s="332"/>
      <c r="CM988" s="332"/>
      <c r="CN988" s="332"/>
      <c r="CO988" s="332"/>
      <c r="CP988" s="332"/>
      <c r="CQ988" s="332"/>
      <c r="CR988" s="332"/>
      <c r="CS988" s="332"/>
      <c r="CT988" s="332"/>
      <c r="CU988" s="332"/>
      <c r="CV988" s="332"/>
      <c r="CW988" s="332"/>
      <c r="CX988" s="332"/>
      <c r="CY988" s="332"/>
      <c r="CZ988" s="332"/>
      <c r="DA988" s="332"/>
      <c r="DB988" s="332"/>
      <c r="DC988" s="332"/>
      <c r="DD988" s="332"/>
      <c r="DE988" s="332"/>
      <c r="DF988" s="332"/>
      <c r="DG988" s="332"/>
      <c r="DH988" s="332"/>
      <c r="DI988" s="332"/>
      <c r="DJ988" s="332"/>
      <c r="DK988" s="332"/>
      <c r="DL988" s="332"/>
      <c r="DM988" s="332"/>
      <c r="DN988" s="332"/>
      <c r="DO988" s="332"/>
      <c r="DP988" s="332"/>
      <c r="DQ988" s="332"/>
      <c r="DR988" s="332"/>
      <c r="DS988" s="332"/>
      <c r="DT988" s="332"/>
      <c r="DU988" s="453"/>
      <c r="DV988" s="453"/>
      <c r="DW988" s="453"/>
      <c r="DX988" s="453"/>
      <c r="DY988" s="453"/>
      <c r="DZ988" s="453"/>
      <c r="EA988" s="453"/>
      <c r="EB988" s="453"/>
      <c r="EC988" s="453"/>
      <c r="ED988" s="453"/>
      <c r="EE988" s="453"/>
      <c r="EF988" s="453"/>
      <c r="EG988" s="453"/>
      <c r="EH988" s="453"/>
      <c r="EI988" s="453"/>
      <c r="EJ988" s="453"/>
      <c r="EK988" s="453"/>
      <c r="EL988" s="453"/>
      <c r="EM988" s="483">
        <f t="shared" si="243"/>
        <v>679</v>
      </c>
      <c r="EN988" s="485"/>
      <c r="EO988" s="458"/>
      <c r="EP988" s="467"/>
      <c r="EQ988" s="457"/>
      <c r="ER988" s="808"/>
      <c r="ES988" s="881">
        <f t="shared" si="244"/>
        <v>0</v>
      </c>
      <c r="ET988" s="882"/>
      <c r="EU988" s="883"/>
      <c r="EV988" s="884">
        <f t="shared" si="245"/>
        <v>0</v>
      </c>
      <c r="EW988" s="885"/>
      <c r="EX988" s="885"/>
      <c r="EY988" s="885"/>
      <c r="EZ988" s="885"/>
      <c r="FA988" s="885"/>
      <c r="FB988" s="885"/>
      <c r="FC988" s="885"/>
      <c r="FD988" s="886"/>
      <c r="FE988" s="550"/>
      <c r="FF988" s="550"/>
      <c r="FG988" s="550"/>
      <c r="FH988" s="550"/>
      <c r="FI988" s="550"/>
      <c r="FJ988" s="550"/>
      <c r="FK988" s="550"/>
      <c r="FL988" s="555"/>
      <c r="FM988" s="554"/>
      <c r="FN988" s="554"/>
      <c r="FO988" s="554"/>
      <c r="FP988" s="554"/>
      <c r="FQ988" s="554"/>
      <c r="FR988" s="554"/>
      <c r="FS988" s="554"/>
      <c r="FT988" s="554"/>
      <c r="FU988" s="554"/>
      <c r="FV988" s="554"/>
      <c r="FW988" s="554"/>
      <c r="FX988" s="554"/>
      <c r="FY988" s="554"/>
      <c r="FZ988" s="554"/>
      <c r="GA988" s="554"/>
      <c r="GB988" s="556"/>
      <c r="GC988" s="370"/>
      <c r="GD988" s="453"/>
      <c r="GE988" s="453"/>
      <c r="GF988" s="453"/>
      <c r="GG988" s="453"/>
      <c r="GH988" s="454"/>
      <c r="GI988" s="453"/>
      <c r="GJ988" s="453"/>
      <c r="GK988" s="453"/>
      <c r="GL988" s="453"/>
      <c r="GM988" s="453"/>
      <c r="GN988" s="453"/>
      <c r="GO988" s="453"/>
      <c r="GP988" s="453"/>
      <c r="GQ988" s="453"/>
      <c r="GR988" s="453"/>
      <c r="GS988" s="561"/>
      <c r="GT988" s="475"/>
      <c r="GU988" s="472"/>
      <c r="GV988" s="453"/>
      <c r="GW988" s="453"/>
      <c r="GX988" s="869"/>
      <c r="GY988" s="870"/>
      <c r="GZ988" s="867"/>
      <c r="HA988" s="868"/>
      <c r="HB988" s="473"/>
      <c r="HC988" s="869"/>
      <c r="HD988" s="870"/>
      <c r="HE988" s="867"/>
      <c r="HF988" s="868"/>
      <c r="HG988" s="473"/>
      <c r="HH988" s="867"/>
      <c r="HI988" s="868"/>
      <c r="HJ988" s="867"/>
      <c r="HK988" s="868"/>
      <c r="HL988" s="370"/>
      <c r="HM988" s="865"/>
      <c r="HN988" s="866"/>
      <c r="HO988" s="865"/>
      <c r="HP988" s="866"/>
      <c r="HQ988" s="865"/>
      <c r="HR988" s="866"/>
      <c r="HS988" s="867"/>
      <c r="HT988" s="868"/>
      <c r="HU988" s="489"/>
      <c r="HV988" s="865"/>
      <c r="HW988" s="866"/>
    </row>
    <row r="989" spans="25:231" ht="15" customHeight="1">
      <c r="Y989" s="332"/>
      <c r="Z989" s="332"/>
      <c r="AA989" s="332"/>
      <c r="AB989" s="332"/>
      <c r="AC989" s="332"/>
      <c r="AD989" s="332"/>
      <c r="AE989" s="332"/>
      <c r="AF989" s="332"/>
      <c r="AG989" s="332"/>
      <c r="AH989" s="332"/>
      <c r="AI989" s="332"/>
      <c r="AJ989" s="332"/>
      <c r="AK989" s="332"/>
      <c r="AL989" s="332"/>
      <c r="AM989" s="332"/>
      <c r="AN989" s="332"/>
      <c r="AO989" s="332"/>
      <c r="AP989" s="332"/>
      <c r="AQ989" s="332"/>
      <c r="AR989" s="332"/>
      <c r="AS989" s="332"/>
      <c r="AT989" s="332"/>
      <c r="AU989" s="332"/>
      <c r="AV989" s="332"/>
      <c r="AW989" s="332"/>
      <c r="AX989" s="332"/>
      <c r="AY989" s="332"/>
      <c r="AZ989" s="332"/>
      <c r="BA989" s="332"/>
      <c r="BB989" s="332"/>
      <c r="BC989" s="332"/>
      <c r="BD989" s="332"/>
      <c r="BE989" s="332"/>
      <c r="BF989" s="332"/>
      <c r="BG989" s="332"/>
      <c r="BH989" s="332"/>
      <c r="BI989" s="332"/>
      <c r="BJ989" s="332"/>
      <c r="BK989" s="332"/>
      <c r="BL989" s="332"/>
      <c r="BM989" s="332"/>
      <c r="BN989" s="332"/>
      <c r="BO989" s="332"/>
      <c r="BP989" s="332"/>
      <c r="BQ989" s="332"/>
      <c r="BR989" s="332"/>
      <c r="BS989" s="332"/>
      <c r="BT989" s="332"/>
      <c r="BU989" s="332"/>
      <c r="BV989" s="332"/>
      <c r="BW989" s="332"/>
      <c r="BX989" s="332"/>
      <c r="BY989" s="332"/>
      <c r="BZ989" s="332"/>
      <c r="CA989" s="332"/>
      <c r="CB989" s="332"/>
      <c r="CC989" s="332"/>
      <c r="CD989" s="332"/>
      <c r="CE989" s="332"/>
      <c r="CF989" s="332"/>
      <c r="CG989" s="332"/>
      <c r="CH989" s="332"/>
      <c r="CI989" s="332"/>
      <c r="CJ989" s="332"/>
      <c r="CK989" s="332"/>
      <c r="CL989" s="332"/>
      <c r="CM989" s="332"/>
      <c r="CN989" s="332"/>
      <c r="CO989" s="332"/>
      <c r="CP989" s="332"/>
      <c r="CQ989" s="332"/>
      <c r="CR989" s="332"/>
      <c r="CS989" s="332"/>
      <c r="CT989" s="332"/>
      <c r="CU989" s="332"/>
      <c r="CV989" s="332"/>
      <c r="CW989" s="332"/>
      <c r="CX989" s="332"/>
      <c r="CY989" s="332"/>
      <c r="CZ989" s="332"/>
      <c r="DA989" s="332"/>
      <c r="DB989" s="332"/>
      <c r="DC989" s="332"/>
      <c r="DD989" s="332"/>
      <c r="DE989" s="332"/>
      <c r="DF989" s="332"/>
      <c r="DG989" s="332"/>
      <c r="DH989" s="332"/>
      <c r="DI989" s="332"/>
      <c r="DJ989" s="332"/>
      <c r="DK989" s="332"/>
      <c r="DL989" s="332"/>
      <c r="DM989" s="332"/>
      <c r="DN989" s="332"/>
      <c r="DO989" s="332"/>
      <c r="DP989" s="332"/>
      <c r="DQ989" s="332"/>
      <c r="DR989" s="332"/>
      <c r="DS989" s="332"/>
      <c r="DT989" s="332"/>
      <c r="DU989" s="453"/>
      <c r="DV989" s="453"/>
      <c r="DW989" s="453"/>
      <c r="DX989" s="453"/>
      <c r="DY989" s="453"/>
      <c r="DZ989" s="453"/>
      <c r="EA989" s="453"/>
      <c r="EB989" s="453"/>
      <c r="EC989" s="453"/>
      <c r="ED989" s="453"/>
      <c r="EE989" s="453"/>
      <c r="EF989" s="453"/>
      <c r="EG989" s="453"/>
      <c r="EH989" s="453"/>
      <c r="EI989" s="453"/>
      <c r="EJ989" s="453"/>
      <c r="EK989" s="453"/>
      <c r="EL989" s="453"/>
      <c r="EM989" s="483">
        <f t="shared" si="243"/>
        <v>680</v>
      </c>
      <c r="EN989" s="485"/>
      <c r="EO989" s="458"/>
      <c r="EP989" s="467"/>
      <c r="EQ989" s="457"/>
      <c r="ER989" s="808"/>
      <c r="ES989" s="881">
        <f t="shared" si="244"/>
        <v>0</v>
      </c>
      <c r="ET989" s="882"/>
      <c r="EU989" s="883"/>
      <c r="EV989" s="884">
        <f t="shared" si="245"/>
        <v>0</v>
      </c>
      <c r="EW989" s="885"/>
      <c r="EX989" s="885"/>
      <c r="EY989" s="885"/>
      <c r="EZ989" s="885"/>
      <c r="FA989" s="885"/>
      <c r="FB989" s="885"/>
      <c r="FC989" s="885"/>
      <c r="FD989" s="886"/>
      <c r="FE989" s="550"/>
      <c r="FF989" s="550"/>
      <c r="FG989" s="550"/>
      <c r="FH989" s="550"/>
      <c r="FI989" s="550"/>
      <c r="FJ989" s="550"/>
      <c r="FK989" s="550"/>
      <c r="FL989" s="555"/>
      <c r="FM989" s="554"/>
      <c r="FN989" s="554"/>
      <c r="FO989" s="554"/>
      <c r="FP989" s="554"/>
      <c r="FQ989" s="554"/>
      <c r="FR989" s="554"/>
      <c r="FS989" s="554"/>
      <c r="FT989" s="554"/>
      <c r="FU989" s="554"/>
      <c r="FV989" s="554"/>
      <c r="FW989" s="554"/>
      <c r="FX989" s="554"/>
      <c r="FY989" s="554"/>
      <c r="FZ989" s="554"/>
      <c r="GA989" s="554"/>
      <c r="GB989" s="556"/>
      <c r="GC989" s="370"/>
      <c r="GD989" s="453"/>
      <c r="GE989" s="453"/>
      <c r="GF989" s="453"/>
      <c r="GG989" s="453"/>
      <c r="GH989" s="454"/>
      <c r="GI989" s="453"/>
      <c r="GJ989" s="453"/>
      <c r="GK989" s="453"/>
      <c r="GL989" s="453"/>
      <c r="GM989" s="453"/>
      <c r="GN989" s="453"/>
      <c r="GO989" s="453"/>
      <c r="GP989" s="453"/>
      <c r="GQ989" s="453"/>
      <c r="GR989" s="453"/>
      <c r="GS989" s="561"/>
      <c r="GT989" s="475"/>
      <c r="GU989" s="472"/>
      <c r="GV989" s="453"/>
      <c r="GW989" s="453"/>
      <c r="GX989" s="869"/>
      <c r="GY989" s="870"/>
      <c r="GZ989" s="867"/>
      <c r="HA989" s="868"/>
      <c r="HB989" s="473"/>
      <c r="HC989" s="869"/>
      <c r="HD989" s="870"/>
      <c r="HE989" s="867"/>
      <c r="HF989" s="868"/>
      <c r="HG989" s="473"/>
      <c r="HH989" s="867"/>
      <c r="HI989" s="868"/>
      <c r="HJ989" s="867"/>
      <c r="HK989" s="868"/>
      <c r="HL989" s="370"/>
      <c r="HM989" s="865"/>
      <c r="HN989" s="866"/>
      <c r="HO989" s="865"/>
      <c r="HP989" s="866"/>
      <c r="HQ989" s="865"/>
      <c r="HR989" s="866"/>
      <c r="HS989" s="867"/>
      <c r="HT989" s="868"/>
      <c r="HU989" s="489"/>
      <c r="HV989" s="865"/>
      <c r="HW989" s="866"/>
    </row>
    <row r="990" spans="25:231" ht="15" customHeight="1">
      <c r="Y990" s="332"/>
      <c r="Z990" s="332"/>
      <c r="AA990" s="332"/>
      <c r="AB990" s="332"/>
      <c r="AC990" s="332"/>
      <c r="AD990" s="332"/>
      <c r="AE990" s="332"/>
      <c r="AF990" s="332"/>
      <c r="AG990" s="332"/>
      <c r="AH990" s="332"/>
      <c r="AI990" s="332"/>
      <c r="AJ990" s="332"/>
      <c r="AK990" s="332"/>
      <c r="AL990" s="332"/>
      <c r="AM990" s="332"/>
      <c r="AN990" s="332"/>
      <c r="AO990" s="332"/>
      <c r="AP990" s="332"/>
      <c r="AQ990" s="332"/>
      <c r="AR990" s="332"/>
      <c r="AS990" s="332"/>
      <c r="AT990" s="332"/>
      <c r="AU990" s="332"/>
      <c r="AV990" s="332"/>
      <c r="AW990" s="332"/>
      <c r="AX990" s="332"/>
      <c r="AY990" s="332"/>
      <c r="AZ990" s="332"/>
      <c r="BA990" s="332"/>
      <c r="BB990" s="332"/>
      <c r="BC990" s="332"/>
      <c r="BD990" s="332"/>
      <c r="BE990" s="332"/>
      <c r="BF990" s="332"/>
      <c r="BG990" s="332"/>
      <c r="BH990" s="332"/>
      <c r="BI990" s="332"/>
      <c r="BJ990" s="332"/>
      <c r="BK990" s="332"/>
      <c r="BL990" s="332"/>
      <c r="BM990" s="332"/>
      <c r="BN990" s="332"/>
      <c r="BO990" s="332"/>
      <c r="BP990" s="332"/>
      <c r="BQ990" s="332"/>
      <c r="BR990" s="332"/>
      <c r="BS990" s="332"/>
      <c r="BT990" s="332"/>
      <c r="BU990" s="332"/>
      <c r="BV990" s="332"/>
      <c r="BW990" s="332"/>
      <c r="BX990" s="332"/>
      <c r="BY990" s="332"/>
      <c r="BZ990" s="332"/>
      <c r="CA990" s="332"/>
      <c r="CB990" s="332"/>
      <c r="CC990" s="332"/>
      <c r="CD990" s="332"/>
      <c r="CE990" s="332"/>
      <c r="CF990" s="332"/>
      <c r="CG990" s="332"/>
      <c r="CH990" s="332"/>
      <c r="CI990" s="332"/>
      <c r="CJ990" s="332"/>
      <c r="CK990" s="332"/>
      <c r="CL990" s="332"/>
      <c r="CM990" s="332"/>
      <c r="CN990" s="332"/>
      <c r="CO990" s="332"/>
      <c r="CP990" s="332"/>
      <c r="CQ990" s="332"/>
      <c r="CR990" s="332"/>
      <c r="CS990" s="332"/>
      <c r="CT990" s="332"/>
      <c r="CU990" s="332"/>
      <c r="CV990" s="332"/>
      <c r="CW990" s="332"/>
      <c r="CX990" s="332"/>
      <c r="CY990" s="332"/>
      <c r="CZ990" s="332"/>
      <c r="DA990" s="332"/>
      <c r="DB990" s="332"/>
      <c r="DC990" s="332"/>
      <c r="DD990" s="332"/>
      <c r="DE990" s="332"/>
      <c r="DF990" s="332"/>
      <c r="DG990" s="332"/>
      <c r="DH990" s="332"/>
      <c r="DI990" s="332"/>
      <c r="DJ990" s="332"/>
      <c r="DK990" s="332"/>
      <c r="DL990" s="332"/>
      <c r="DM990" s="332"/>
      <c r="DN990" s="332"/>
      <c r="DO990" s="332"/>
      <c r="DP990" s="332"/>
      <c r="DQ990" s="332"/>
      <c r="DR990" s="332"/>
      <c r="DS990" s="332"/>
      <c r="DT990" s="332"/>
      <c r="DU990" s="453"/>
      <c r="DV990" s="453"/>
      <c r="DW990" s="453"/>
      <c r="DX990" s="453"/>
      <c r="DY990" s="453"/>
      <c r="DZ990" s="453"/>
      <c r="EA990" s="453"/>
      <c r="EB990" s="453"/>
      <c r="EC990" s="453"/>
      <c r="ED990" s="453"/>
      <c r="EE990" s="453"/>
      <c r="EF990" s="453"/>
      <c r="EG990" s="453"/>
      <c r="EH990" s="453"/>
      <c r="EI990" s="453"/>
      <c r="EJ990" s="453"/>
      <c r="EK990" s="453"/>
      <c r="EL990" s="453"/>
      <c r="EM990" s="483">
        <f t="shared" si="243"/>
        <v>681</v>
      </c>
      <c r="EN990" s="485"/>
      <c r="EO990" s="458"/>
      <c r="EP990" s="467"/>
      <c r="EQ990" s="457"/>
      <c r="ER990" s="808"/>
      <c r="ES990" s="881">
        <f t="shared" si="244"/>
        <v>0</v>
      </c>
      <c r="ET990" s="882"/>
      <c r="EU990" s="883"/>
      <c r="EV990" s="884">
        <f t="shared" si="245"/>
        <v>0</v>
      </c>
      <c r="EW990" s="885"/>
      <c r="EX990" s="885"/>
      <c r="EY990" s="885"/>
      <c r="EZ990" s="885"/>
      <c r="FA990" s="885"/>
      <c r="FB990" s="885"/>
      <c r="FC990" s="885"/>
      <c r="FD990" s="886"/>
      <c r="FE990" s="550"/>
      <c r="FF990" s="550"/>
      <c r="FG990" s="550"/>
      <c r="FH990" s="550"/>
      <c r="FI990" s="550"/>
      <c r="FJ990" s="550"/>
      <c r="FK990" s="550"/>
      <c r="FL990" s="555"/>
      <c r="FM990" s="554"/>
      <c r="FN990" s="554"/>
      <c r="FO990" s="554"/>
      <c r="FP990" s="554"/>
      <c r="FQ990" s="554"/>
      <c r="FR990" s="554"/>
      <c r="FS990" s="554"/>
      <c r="FT990" s="554"/>
      <c r="FU990" s="554"/>
      <c r="FV990" s="554"/>
      <c r="FW990" s="554"/>
      <c r="FX990" s="554"/>
      <c r="FY990" s="554"/>
      <c r="FZ990" s="554"/>
      <c r="GA990" s="554"/>
      <c r="GB990" s="556"/>
      <c r="GC990" s="370"/>
      <c r="GD990" s="453"/>
      <c r="GE990" s="453"/>
      <c r="GF990" s="453"/>
      <c r="GG990" s="453"/>
      <c r="GH990" s="454"/>
      <c r="GI990" s="453"/>
      <c r="GJ990" s="453"/>
      <c r="GK990" s="453"/>
      <c r="GL990" s="453"/>
      <c r="GM990" s="453"/>
      <c r="GN990" s="453"/>
      <c r="GO990" s="453"/>
      <c r="GP990" s="453"/>
      <c r="GQ990" s="453"/>
      <c r="GR990" s="453"/>
      <c r="GS990" s="561"/>
      <c r="GT990" s="475"/>
      <c r="GU990" s="472"/>
      <c r="GV990" s="453"/>
      <c r="GW990" s="453"/>
      <c r="GX990" s="869"/>
      <c r="GY990" s="870"/>
      <c r="GZ990" s="867"/>
      <c r="HA990" s="868"/>
      <c r="HB990" s="473"/>
      <c r="HC990" s="869"/>
      <c r="HD990" s="870"/>
      <c r="HE990" s="867"/>
      <c r="HF990" s="868"/>
      <c r="HG990" s="473"/>
      <c r="HH990" s="867"/>
      <c r="HI990" s="868"/>
      <c r="HJ990" s="867"/>
      <c r="HK990" s="868"/>
      <c r="HL990" s="370"/>
      <c r="HM990" s="865"/>
      <c r="HN990" s="866"/>
      <c r="HO990" s="865"/>
      <c r="HP990" s="866"/>
      <c r="HQ990" s="865"/>
      <c r="HR990" s="866"/>
      <c r="HS990" s="867"/>
      <c r="HT990" s="868"/>
      <c r="HU990" s="489"/>
      <c r="HV990" s="865"/>
      <c r="HW990" s="866"/>
    </row>
    <row r="991" spans="25:231" ht="15" customHeight="1">
      <c r="Y991" s="332"/>
      <c r="Z991" s="332"/>
      <c r="AA991" s="332"/>
      <c r="AB991" s="332"/>
      <c r="AC991" s="332"/>
      <c r="AD991" s="332"/>
      <c r="AE991" s="332"/>
      <c r="AF991" s="332"/>
      <c r="AG991" s="332"/>
      <c r="AH991" s="332"/>
      <c r="AI991" s="332"/>
      <c r="AJ991" s="332"/>
      <c r="AK991" s="332"/>
      <c r="AL991" s="332"/>
      <c r="AM991" s="332"/>
      <c r="AN991" s="332"/>
      <c r="AO991" s="332"/>
      <c r="AP991" s="332"/>
      <c r="AQ991" s="332"/>
      <c r="AR991" s="332"/>
      <c r="AS991" s="332"/>
      <c r="AT991" s="332"/>
      <c r="AU991" s="332"/>
      <c r="AV991" s="332"/>
      <c r="AW991" s="332"/>
      <c r="AX991" s="332"/>
      <c r="AY991" s="332"/>
      <c r="AZ991" s="332"/>
      <c r="BA991" s="332"/>
      <c r="BB991" s="332"/>
      <c r="BC991" s="332"/>
      <c r="BD991" s="332"/>
      <c r="BE991" s="332"/>
      <c r="BF991" s="332"/>
      <c r="BG991" s="332"/>
      <c r="BH991" s="332"/>
      <c r="BI991" s="332"/>
      <c r="BJ991" s="332"/>
      <c r="BK991" s="332"/>
      <c r="BL991" s="332"/>
      <c r="BM991" s="332"/>
      <c r="BN991" s="332"/>
      <c r="BO991" s="332"/>
      <c r="BP991" s="332"/>
      <c r="BQ991" s="332"/>
      <c r="BR991" s="332"/>
      <c r="BS991" s="332"/>
      <c r="BT991" s="332"/>
      <c r="BU991" s="332"/>
      <c r="BV991" s="332"/>
      <c r="BW991" s="332"/>
      <c r="BX991" s="332"/>
      <c r="BY991" s="332"/>
      <c r="BZ991" s="332"/>
      <c r="CA991" s="332"/>
      <c r="CB991" s="332"/>
      <c r="CC991" s="332"/>
      <c r="CD991" s="332"/>
      <c r="CE991" s="332"/>
      <c r="CF991" s="332"/>
      <c r="CG991" s="332"/>
      <c r="CH991" s="332"/>
      <c r="CI991" s="332"/>
      <c r="CJ991" s="332"/>
      <c r="CK991" s="332"/>
      <c r="CL991" s="332"/>
      <c r="CM991" s="332"/>
      <c r="CN991" s="332"/>
      <c r="CO991" s="332"/>
      <c r="CP991" s="332"/>
      <c r="CQ991" s="332"/>
      <c r="CR991" s="332"/>
      <c r="CS991" s="332"/>
      <c r="CT991" s="332"/>
      <c r="CU991" s="332"/>
      <c r="CV991" s="332"/>
      <c r="CW991" s="332"/>
      <c r="CX991" s="332"/>
      <c r="CY991" s="332"/>
      <c r="CZ991" s="332"/>
      <c r="DA991" s="332"/>
      <c r="DB991" s="332"/>
      <c r="DC991" s="332"/>
      <c r="DD991" s="332"/>
      <c r="DE991" s="332"/>
      <c r="DF991" s="332"/>
      <c r="DG991" s="332"/>
      <c r="DH991" s="332"/>
      <c r="DI991" s="332"/>
      <c r="DJ991" s="332"/>
      <c r="DK991" s="332"/>
      <c r="DL991" s="332"/>
      <c r="DM991" s="332"/>
      <c r="DN991" s="332"/>
      <c r="DO991" s="332"/>
      <c r="DP991" s="332"/>
      <c r="DQ991" s="332"/>
      <c r="DR991" s="332"/>
      <c r="DS991" s="332"/>
      <c r="DT991" s="332"/>
      <c r="DU991" s="453"/>
      <c r="DV991" s="453"/>
      <c r="DW991" s="453"/>
      <c r="DX991" s="453"/>
      <c r="DY991" s="453"/>
      <c r="DZ991" s="453"/>
      <c r="EA991" s="453"/>
      <c r="EB991" s="453"/>
      <c r="EC991" s="453"/>
      <c r="ED991" s="453"/>
      <c r="EE991" s="453"/>
      <c r="EF991" s="453"/>
      <c r="EG991" s="453"/>
      <c r="EH991" s="453"/>
      <c r="EI991" s="453"/>
      <c r="EJ991" s="453"/>
      <c r="EK991" s="453"/>
      <c r="EL991" s="453"/>
      <c r="EM991" s="483">
        <f t="shared" si="243"/>
        <v>682</v>
      </c>
      <c r="EN991" s="485"/>
      <c r="EO991" s="458"/>
      <c r="EP991" s="467"/>
      <c r="EQ991" s="457"/>
      <c r="ER991" s="808"/>
      <c r="ES991" s="881">
        <f t="shared" si="244"/>
        <v>0</v>
      </c>
      <c r="ET991" s="882"/>
      <c r="EU991" s="883"/>
      <c r="EV991" s="884">
        <f t="shared" si="245"/>
        <v>0</v>
      </c>
      <c r="EW991" s="885"/>
      <c r="EX991" s="885"/>
      <c r="EY991" s="885"/>
      <c r="EZ991" s="885"/>
      <c r="FA991" s="885"/>
      <c r="FB991" s="885"/>
      <c r="FC991" s="885"/>
      <c r="FD991" s="886"/>
      <c r="FE991" s="550"/>
      <c r="FF991" s="550"/>
      <c r="FG991" s="550"/>
      <c r="FH991" s="550"/>
      <c r="FI991" s="550"/>
      <c r="FJ991" s="550"/>
      <c r="FK991" s="550"/>
      <c r="FL991" s="555"/>
      <c r="FM991" s="554"/>
      <c r="FN991" s="554"/>
      <c r="FO991" s="554"/>
      <c r="FP991" s="554"/>
      <c r="FQ991" s="554"/>
      <c r="FR991" s="554"/>
      <c r="FS991" s="554"/>
      <c r="FT991" s="554"/>
      <c r="FU991" s="554"/>
      <c r="FV991" s="554"/>
      <c r="FW991" s="554"/>
      <c r="FX991" s="554"/>
      <c r="FY991" s="554"/>
      <c r="FZ991" s="554"/>
      <c r="GA991" s="554"/>
      <c r="GB991" s="556"/>
      <c r="GC991" s="370"/>
      <c r="GD991" s="453"/>
      <c r="GE991" s="453"/>
      <c r="GF991" s="453"/>
      <c r="GG991" s="453"/>
      <c r="GH991" s="454"/>
      <c r="GI991" s="453"/>
      <c r="GJ991" s="453"/>
      <c r="GK991" s="453"/>
      <c r="GL991" s="453"/>
      <c r="GM991" s="453"/>
      <c r="GN991" s="453"/>
      <c r="GO991" s="453"/>
      <c r="GP991" s="453"/>
      <c r="GQ991" s="453"/>
      <c r="GR991" s="453"/>
      <c r="GS991" s="561"/>
      <c r="GT991" s="475"/>
      <c r="GU991" s="472"/>
      <c r="GV991" s="453"/>
      <c r="GW991" s="453"/>
      <c r="GX991" s="869"/>
      <c r="GY991" s="870"/>
      <c r="GZ991" s="867"/>
      <c r="HA991" s="868"/>
      <c r="HB991" s="473"/>
      <c r="HC991" s="869"/>
      <c r="HD991" s="870"/>
      <c r="HE991" s="867"/>
      <c r="HF991" s="868"/>
      <c r="HG991" s="473"/>
      <c r="HH991" s="867"/>
      <c r="HI991" s="868"/>
      <c r="HJ991" s="867"/>
      <c r="HK991" s="868"/>
      <c r="HL991" s="370"/>
      <c r="HM991" s="865"/>
      <c r="HN991" s="866"/>
      <c r="HO991" s="865"/>
      <c r="HP991" s="866"/>
      <c r="HQ991" s="865"/>
      <c r="HR991" s="866"/>
      <c r="HS991" s="867"/>
      <c r="HT991" s="868"/>
      <c r="HU991" s="489"/>
      <c r="HV991" s="865"/>
      <c r="HW991" s="866"/>
    </row>
    <row r="992" spans="25:231" ht="15" customHeight="1">
      <c r="Y992" s="332"/>
      <c r="Z992" s="332"/>
      <c r="AA992" s="332"/>
      <c r="AB992" s="332"/>
      <c r="AC992" s="332"/>
      <c r="AD992" s="332"/>
      <c r="AE992" s="332"/>
      <c r="AF992" s="332"/>
      <c r="AG992" s="332"/>
      <c r="AH992" s="332"/>
      <c r="AI992" s="332"/>
      <c r="AJ992" s="332"/>
      <c r="AK992" s="332"/>
      <c r="AL992" s="332"/>
      <c r="AM992" s="332"/>
      <c r="AN992" s="332"/>
      <c r="AO992" s="332"/>
      <c r="AP992" s="332"/>
      <c r="AQ992" s="332"/>
      <c r="AR992" s="332"/>
      <c r="AS992" s="332"/>
      <c r="AT992" s="332"/>
      <c r="AU992" s="332"/>
      <c r="AV992" s="332"/>
      <c r="AW992" s="332"/>
      <c r="AX992" s="332"/>
      <c r="AY992" s="332"/>
      <c r="AZ992" s="332"/>
      <c r="BA992" s="332"/>
      <c r="BB992" s="332"/>
      <c r="BC992" s="332"/>
      <c r="BD992" s="332"/>
      <c r="BE992" s="332"/>
      <c r="BF992" s="332"/>
      <c r="BG992" s="332"/>
      <c r="BH992" s="332"/>
      <c r="BI992" s="332"/>
      <c r="BJ992" s="332"/>
      <c r="BK992" s="332"/>
      <c r="BL992" s="332"/>
      <c r="BM992" s="332"/>
      <c r="BN992" s="332"/>
      <c r="BO992" s="332"/>
      <c r="BP992" s="332"/>
      <c r="BQ992" s="332"/>
      <c r="BR992" s="332"/>
      <c r="BS992" s="332"/>
      <c r="BT992" s="332"/>
      <c r="BU992" s="332"/>
      <c r="BV992" s="332"/>
      <c r="BW992" s="332"/>
      <c r="BX992" s="332"/>
      <c r="BY992" s="332"/>
      <c r="BZ992" s="332"/>
      <c r="CA992" s="332"/>
      <c r="CB992" s="332"/>
      <c r="CC992" s="332"/>
      <c r="CD992" s="332"/>
      <c r="CE992" s="332"/>
      <c r="CF992" s="332"/>
      <c r="CG992" s="332"/>
      <c r="CH992" s="332"/>
      <c r="CI992" s="332"/>
      <c r="CJ992" s="332"/>
      <c r="CK992" s="332"/>
      <c r="CL992" s="332"/>
      <c r="CM992" s="332"/>
      <c r="CN992" s="332"/>
      <c r="CO992" s="332"/>
      <c r="CP992" s="332"/>
      <c r="CQ992" s="332"/>
      <c r="CR992" s="332"/>
      <c r="CS992" s="332"/>
      <c r="CT992" s="332"/>
      <c r="CU992" s="332"/>
      <c r="CV992" s="332"/>
      <c r="CW992" s="332"/>
      <c r="CX992" s="332"/>
      <c r="CY992" s="332"/>
      <c r="CZ992" s="332"/>
      <c r="DA992" s="332"/>
      <c r="DB992" s="332"/>
      <c r="DC992" s="332"/>
      <c r="DD992" s="332"/>
      <c r="DE992" s="332"/>
      <c r="DF992" s="332"/>
      <c r="DG992" s="332"/>
      <c r="DH992" s="332"/>
      <c r="DI992" s="332"/>
      <c r="DJ992" s="332"/>
      <c r="DK992" s="332"/>
      <c r="DL992" s="332"/>
      <c r="DM992" s="332"/>
      <c r="DN992" s="332"/>
      <c r="DO992" s="332"/>
      <c r="DP992" s="332"/>
      <c r="DQ992" s="332"/>
      <c r="DR992" s="332"/>
      <c r="DS992" s="332"/>
      <c r="DT992" s="332"/>
      <c r="DU992" s="453"/>
      <c r="DV992" s="453"/>
      <c r="DW992" s="453"/>
      <c r="DX992" s="453"/>
      <c r="DY992" s="453"/>
      <c r="DZ992" s="453"/>
      <c r="EA992" s="453"/>
      <c r="EB992" s="453"/>
      <c r="EC992" s="453"/>
      <c r="ED992" s="453"/>
      <c r="EE992" s="453"/>
      <c r="EF992" s="453"/>
      <c r="EG992" s="453"/>
      <c r="EH992" s="453"/>
      <c r="EI992" s="453"/>
      <c r="EJ992" s="453"/>
      <c r="EK992" s="453"/>
      <c r="EL992" s="453"/>
      <c r="EM992" s="483">
        <f t="shared" si="243"/>
        <v>683</v>
      </c>
      <c r="EN992" s="485"/>
      <c r="EO992" s="458"/>
      <c r="EP992" s="467"/>
      <c r="EQ992" s="457"/>
      <c r="ER992" s="808"/>
      <c r="ES992" s="881">
        <f t="shared" si="244"/>
        <v>0</v>
      </c>
      <c r="ET992" s="882"/>
      <c r="EU992" s="883"/>
      <c r="EV992" s="884">
        <f t="shared" si="245"/>
        <v>0</v>
      </c>
      <c r="EW992" s="885"/>
      <c r="EX992" s="885"/>
      <c r="EY992" s="885"/>
      <c r="EZ992" s="885"/>
      <c r="FA992" s="885"/>
      <c r="FB992" s="885"/>
      <c r="FC992" s="885"/>
      <c r="FD992" s="886"/>
      <c r="FE992" s="550"/>
      <c r="FF992" s="550"/>
      <c r="FG992" s="550"/>
      <c r="FH992" s="550"/>
      <c r="FI992" s="550"/>
      <c r="FJ992" s="550"/>
      <c r="FK992" s="550"/>
      <c r="FL992" s="555"/>
      <c r="FM992" s="554"/>
      <c r="FN992" s="554"/>
      <c r="FO992" s="554"/>
      <c r="FP992" s="554"/>
      <c r="FQ992" s="554"/>
      <c r="FR992" s="554"/>
      <c r="FS992" s="554"/>
      <c r="FT992" s="554"/>
      <c r="FU992" s="554"/>
      <c r="FV992" s="554"/>
      <c r="FW992" s="554"/>
      <c r="FX992" s="554"/>
      <c r="FY992" s="554"/>
      <c r="FZ992" s="554"/>
      <c r="GA992" s="554"/>
      <c r="GB992" s="556"/>
      <c r="GC992" s="370"/>
      <c r="GD992" s="453"/>
      <c r="GE992" s="453"/>
      <c r="GF992" s="453"/>
      <c r="GG992" s="453"/>
      <c r="GH992" s="454"/>
      <c r="GI992" s="453"/>
      <c r="GJ992" s="453"/>
      <c r="GK992" s="453"/>
      <c r="GL992" s="453"/>
      <c r="GM992" s="453"/>
      <c r="GN992" s="453"/>
      <c r="GO992" s="453"/>
      <c r="GP992" s="453"/>
      <c r="GQ992" s="453"/>
      <c r="GR992" s="453"/>
      <c r="GS992" s="561"/>
      <c r="GT992" s="475"/>
      <c r="GU992" s="472"/>
      <c r="GV992" s="453"/>
      <c r="GW992" s="453"/>
      <c r="GX992" s="869"/>
      <c r="GY992" s="870"/>
      <c r="GZ992" s="867"/>
      <c r="HA992" s="868"/>
      <c r="HB992" s="473"/>
      <c r="HC992" s="869"/>
      <c r="HD992" s="870"/>
      <c r="HE992" s="867"/>
      <c r="HF992" s="868"/>
      <c r="HG992" s="473"/>
      <c r="HH992" s="867"/>
      <c r="HI992" s="868"/>
      <c r="HJ992" s="867"/>
      <c r="HK992" s="868"/>
      <c r="HL992" s="370"/>
      <c r="HM992" s="865"/>
      <c r="HN992" s="866"/>
      <c r="HO992" s="865"/>
      <c r="HP992" s="866"/>
      <c r="HQ992" s="865"/>
      <c r="HR992" s="866"/>
      <c r="HS992" s="867"/>
      <c r="HT992" s="868"/>
      <c r="HU992" s="489"/>
      <c r="HV992" s="865"/>
      <c r="HW992" s="866"/>
    </row>
    <row r="993" spans="25:231" ht="15" customHeight="1">
      <c r="Y993" s="332"/>
      <c r="Z993" s="332"/>
      <c r="AA993" s="332"/>
      <c r="AB993" s="332"/>
      <c r="AC993" s="332"/>
      <c r="AD993" s="332"/>
      <c r="AE993" s="332"/>
      <c r="AF993" s="332"/>
      <c r="AG993" s="332"/>
      <c r="AH993" s="332"/>
      <c r="AI993" s="332"/>
      <c r="AJ993" s="332"/>
      <c r="AK993" s="332"/>
      <c r="AL993" s="332"/>
      <c r="AM993" s="332"/>
      <c r="AN993" s="332"/>
      <c r="AO993" s="332"/>
      <c r="AP993" s="332"/>
      <c r="AQ993" s="332"/>
      <c r="AR993" s="332"/>
      <c r="AS993" s="332"/>
      <c r="AT993" s="332"/>
      <c r="AU993" s="332"/>
      <c r="AV993" s="332"/>
      <c r="AW993" s="332"/>
      <c r="AX993" s="332"/>
      <c r="AY993" s="332"/>
      <c r="AZ993" s="332"/>
      <c r="BA993" s="332"/>
      <c r="BB993" s="332"/>
      <c r="BC993" s="332"/>
      <c r="BD993" s="332"/>
      <c r="BE993" s="332"/>
      <c r="BF993" s="332"/>
      <c r="BG993" s="332"/>
      <c r="BH993" s="332"/>
      <c r="BI993" s="332"/>
      <c r="BJ993" s="332"/>
      <c r="BK993" s="332"/>
      <c r="BL993" s="332"/>
      <c r="BM993" s="332"/>
      <c r="BN993" s="332"/>
      <c r="BO993" s="332"/>
      <c r="BP993" s="332"/>
      <c r="BQ993" s="332"/>
      <c r="BR993" s="332"/>
      <c r="BS993" s="332"/>
      <c r="BT993" s="332"/>
      <c r="BU993" s="332"/>
      <c r="BV993" s="332"/>
      <c r="BW993" s="332"/>
      <c r="BX993" s="332"/>
      <c r="BY993" s="332"/>
      <c r="BZ993" s="332"/>
      <c r="CA993" s="332"/>
      <c r="CB993" s="332"/>
      <c r="CC993" s="332"/>
      <c r="CD993" s="332"/>
      <c r="CE993" s="332"/>
      <c r="CF993" s="332"/>
      <c r="CG993" s="332"/>
      <c r="CH993" s="332"/>
      <c r="CI993" s="332"/>
      <c r="CJ993" s="332"/>
      <c r="CK993" s="332"/>
      <c r="CL993" s="332"/>
      <c r="CM993" s="332"/>
      <c r="CN993" s="332"/>
      <c r="CO993" s="332"/>
      <c r="CP993" s="332"/>
      <c r="CQ993" s="332"/>
      <c r="CR993" s="332"/>
      <c r="CS993" s="332"/>
      <c r="CT993" s="332"/>
      <c r="CU993" s="332"/>
      <c r="CV993" s="332"/>
      <c r="CW993" s="332"/>
      <c r="CX993" s="332"/>
      <c r="CY993" s="332"/>
      <c r="CZ993" s="332"/>
      <c r="DA993" s="332"/>
      <c r="DB993" s="332"/>
      <c r="DC993" s="332"/>
      <c r="DD993" s="332"/>
      <c r="DE993" s="332"/>
      <c r="DF993" s="332"/>
      <c r="DG993" s="332"/>
      <c r="DH993" s="332"/>
      <c r="DI993" s="332"/>
      <c r="DJ993" s="332"/>
      <c r="DK993" s="332"/>
      <c r="DL993" s="332"/>
      <c r="DM993" s="332"/>
      <c r="DN993" s="332"/>
      <c r="DO993" s="332"/>
      <c r="DP993" s="332"/>
      <c r="DQ993" s="332"/>
      <c r="DR993" s="332"/>
      <c r="DS993" s="332"/>
      <c r="DT993" s="332"/>
      <c r="DU993" s="453"/>
      <c r="DV993" s="453"/>
      <c r="DW993" s="453"/>
      <c r="DX993" s="453"/>
      <c r="DY993" s="453"/>
      <c r="DZ993" s="453"/>
      <c r="EA993" s="453"/>
      <c r="EB993" s="453"/>
      <c r="EC993" s="453"/>
      <c r="ED993" s="453"/>
      <c r="EE993" s="453"/>
      <c r="EF993" s="453"/>
      <c r="EG993" s="453"/>
      <c r="EH993" s="453"/>
      <c r="EI993" s="453"/>
      <c r="EJ993" s="453"/>
      <c r="EK993" s="453"/>
      <c r="EL993" s="453"/>
      <c r="EM993" s="483">
        <f t="shared" si="243"/>
        <v>684</v>
      </c>
      <c r="EN993" s="485"/>
      <c r="EO993" s="458"/>
      <c r="EP993" s="467"/>
      <c r="EQ993" s="457"/>
      <c r="ER993" s="808"/>
      <c r="ES993" s="881">
        <f t="shared" si="244"/>
        <v>0</v>
      </c>
      <c r="ET993" s="882"/>
      <c r="EU993" s="883"/>
      <c r="EV993" s="884">
        <f t="shared" si="245"/>
        <v>0</v>
      </c>
      <c r="EW993" s="885"/>
      <c r="EX993" s="885"/>
      <c r="EY993" s="885"/>
      <c r="EZ993" s="885"/>
      <c r="FA993" s="885"/>
      <c r="FB993" s="885"/>
      <c r="FC993" s="885"/>
      <c r="FD993" s="886"/>
      <c r="FE993" s="550"/>
      <c r="FF993" s="550"/>
      <c r="FG993" s="550"/>
      <c r="FH993" s="550"/>
      <c r="FI993" s="550"/>
      <c r="FJ993" s="550"/>
      <c r="FK993" s="550"/>
      <c r="FL993" s="555"/>
      <c r="FM993" s="554"/>
      <c r="FN993" s="554"/>
      <c r="FO993" s="554"/>
      <c r="FP993" s="554"/>
      <c r="FQ993" s="554"/>
      <c r="FR993" s="554"/>
      <c r="FS993" s="554"/>
      <c r="FT993" s="554"/>
      <c r="FU993" s="554"/>
      <c r="FV993" s="554"/>
      <c r="FW993" s="554"/>
      <c r="FX993" s="554"/>
      <c r="FY993" s="554"/>
      <c r="FZ993" s="554"/>
      <c r="GA993" s="554"/>
      <c r="GB993" s="556"/>
      <c r="GC993" s="370"/>
      <c r="GD993" s="453"/>
      <c r="GE993" s="453"/>
      <c r="GF993" s="453"/>
      <c r="GG993" s="453"/>
      <c r="GH993" s="454"/>
      <c r="GI993" s="453"/>
      <c r="GJ993" s="453"/>
      <c r="GK993" s="453"/>
      <c r="GL993" s="453"/>
      <c r="GM993" s="453"/>
      <c r="GN993" s="453"/>
      <c r="GO993" s="453"/>
      <c r="GP993" s="453"/>
      <c r="GQ993" s="453"/>
      <c r="GR993" s="453"/>
      <c r="GS993" s="561"/>
      <c r="GT993" s="475"/>
      <c r="GU993" s="472"/>
      <c r="GV993" s="453"/>
      <c r="GW993" s="453"/>
      <c r="GX993" s="869"/>
      <c r="GY993" s="870"/>
      <c r="GZ993" s="867"/>
      <c r="HA993" s="868"/>
      <c r="HB993" s="473"/>
      <c r="HC993" s="869"/>
      <c r="HD993" s="870"/>
      <c r="HE993" s="867"/>
      <c r="HF993" s="868"/>
      <c r="HG993" s="473"/>
      <c r="HH993" s="867"/>
      <c r="HI993" s="868"/>
      <c r="HJ993" s="867"/>
      <c r="HK993" s="868"/>
      <c r="HL993" s="370"/>
      <c r="HM993" s="865"/>
      <c r="HN993" s="866"/>
      <c r="HO993" s="865"/>
      <c r="HP993" s="866"/>
      <c r="HQ993" s="865"/>
      <c r="HR993" s="866"/>
      <c r="HS993" s="867"/>
      <c r="HT993" s="868"/>
      <c r="HU993" s="489"/>
      <c r="HV993" s="865"/>
      <c r="HW993" s="866"/>
    </row>
    <row r="994" spans="25:231" ht="15" customHeight="1">
      <c r="Y994" s="332"/>
      <c r="Z994" s="332"/>
      <c r="AA994" s="332"/>
      <c r="AB994" s="332"/>
      <c r="AC994" s="332"/>
      <c r="AD994" s="332"/>
      <c r="AE994" s="332"/>
      <c r="AF994" s="332"/>
      <c r="AG994" s="332"/>
      <c r="AH994" s="332"/>
      <c r="AI994" s="332"/>
      <c r="AJ994" s="332"/>
      <c r="AK994" s="332"/>
      <c r="AL994" s="332"/>
      <c r="AM994" s="332"/>
      <c r="AN994" s="332"/>
      <c r="AO994" s="332"/>
      <c r="AP994" s="332"/>
      <c r="AQ994" s="332"/>
      <c r="AR994" s="332"/>
      <c r="AS994" s="332"/>
      <c r="AT994" s="332"/>
      <c r="AU994" s="332"/>
      <c r="AV994" s="332"/>
      <c r="AW994" s="332"/>
      <c r="AX994" s="332"/>
      <c r="AY994" s="332"/>
      <c r="AZ994" s="332"/>
      <c r="BA994" s="332"/>
      <c r="BB994" s="332"/>
      <c r="BC994" s="332"/>
      <c r="BD994" s="332"/>
      <c r="BE994" s="332"/>
      <c r="BF994" s="332"/>
      <c r="BG994" s="332"/>
      <c r="BH994" s="332"/>
      <c r="BI994" s="332"/>
      <c r="BJ994" s="332"/>
      <c r="BK994" s="332"/>
      <c r="BL994" s="332"/>
      <c r="BM994" s="332"/>
      <c r="BN994" s="332"/>
      <c r="BO994" s="332"/>
      <c r="BP994" s="332"/>
      <c r="BQ994" s="332"/>
      <c r="BR994" s="332"/>
      <c r="BS994" s="332"/>
      <c r="BT994" s="332"/>
      <c r="BU994" s="332"/>
      <c r="BV994" s="332"/>
      <c r="BW994" s="332"/>
      <c r="BX994" s="332"/>
      <c r="BY994" s="332"/>
      <c r="BZ994" s="332"/>
      <c r="CA994" s="332"/>
      <c r="CB994" s="332"/>
      <c r="CC994" s="332"/>
      <c r="CD994" s="332"/>
      <c r="CE994" s="332"/>
      <c r="CF994" s="332"/>
      <c r="CG994" s="332"/>
      <c r="CH994" s="332"/>
      <c r="CI994" s="332"/>
      <c r="CJ994" s="332"/>
      <c r="CK994" s="332"/>
      <c r="CL994" s="332"/>
      <c r="CM994" s="332"/>
      <c r="CN994" s="332"/>
      <c r="CO994" s="332"/>
      <c r="CP994" s="332"/>
      <c r="CQ994" s="332"/>
      <c r="CR994" s="332"/>
      <c r="CS994" s="332"/>
      <c r="CT994" s="332"/>
      <c r="CU994" s="332"/>
      <c r="CV994" s="332"/>
      <c r="CW994" s="332"/>
      <c r="CX994" s="332"/>
      <c r="CY994" s="332"/>
      <c r="CZ994" s="332"/>
      <c r="DA994" s="332"/>
      <c r="DB994" s="332"/>
      <c r="DC994" s="332"/>
      <c r="DD994" s="332"/>
      <c r="DE994" s="332"/>
      <c r="DF994" s="332"/>
      <c r="DG994" s="332"/>
      <c r="DH994" s="332"/>
      <c r="DI994" s="332"/>
      <c r="DJ994" s="332"/>
      <c r="DK994" s="332"/>
      <c r="DL994" s="332"/>
      <c r="DM994" s="332"/>
      <c r="DN994" s="332"/>
      <c r="DO994" s="332"/>
      <c r="DP994" s="332"/>
      <c r="DQ994" s="332"/>
      <c r="DR994" s="332"/>
      <c r="DS994" s="332"/>
      <c r="DT994" s="332"/>
      <c r="DU994" s="453"/>
      <c r="DV994" s="453"/>
      <c r="DW994" s="453"/>
      <c r="DX994" s="453"/>
      <c r="DY994" s="453"/>
      <c r="DZ994" s="453"/>
      <c r="EA994" s="453"/>
      <c r="EB994" s="453"/>
      <c r="EC994" s="453"/>
      <c r="ED994" s="453"/>
      <c r="EE994" s="453"/>
      <c r="EF994" s="453"/>
      <c r="EG994" s="453"/>
      <c r="EH994" s="453"/>
      <c r="EI994" s="453"/>
      <c r="EJ994" s="453"/>
      <c r="EK994" s="453"/>
      <c r="EL994" s="453"/>
      <c r="EM994" s="483">
        <f t="shared" si="243"/>
        <v>685</v>
      </c>
      <c r="EN994" s="485"/>
      <c r="EO994" s="458"/>
      <c r="EP994" s="467"/>
      <c r="EQ994" s="457"/>
      <c r="ER994" s="808"/>
      <c r="ES994" s="881">
        <f t="shared" si="244"/>
        <v>0</v>
      </c>
      <c r="ET994" s="882"/>
      <c r="EU994" s="883"/>
      <c r="EV994" s="884">
        <f t="shared" si="245"/>
        <v>0</v>
      </c>
      <c r="EW994" s="885"/>
      <c r="EX994" s="885"/>
      <c r="EY994" s="885"/>
      <c r="EZ994" s="885"/>
      <c r="FA994" s="885"/>
      <c r="FB994" s="885"/>
      <c r="FC994" s="885"/>
      <c r="FD994" s="886"/>
      <c r="FE994" s="550"/>
      <c r="FF994" s="550"/>
      <c r="FG994" s="550"/>
      <c r="FH994" s="550"/>
      <c r="FI994" s="550"/>
      <c r="FJ994" s="550"/>
      <c r="FK994" s="550"/>
      <c r="FL994" s="555"/>
      <c r="FM994" s="554"/>
      <c r="FN994" s="554"/>
      <c r="FO994" s="554"/>
      <c r="FP994" s="554"/>
      <c r="FQ994" s="554"/>
      <c r="FR994" s="554"/>
      <c r="FS994" s="554"/>
      <c r="FT994" s="554"/>
      <c r="FU994" s="554"/>
      <c r="FV994" s="554"/>
      <c r="FW994" s="554"/>
      <c r="FX994" s="554"/>
      <c r="FY994" s="554"/>
      <c r="FZ994" s="554"/>
      <c r="GA994" s="554"/>
      <c r="GB994" s="556"/>
      <c r="GC994" s="370"/>
      <c r="GD994" s="453"/>
      <c r="GE994" s="453"/>
      <c r="GF994" s="453"/>
      <c r="GG994" s="453"/>
      <c r="GH994" s="454"/>
      <c r="GI994" s="453"/>
      <c r="GJ994" s="453"/>
      <c r="GK994" s="453"/>
      <c r="GL994" s="453"/>
      <c r="GM994" s="453"/>
      <c r="GN994" s="453"/>
      <c r="GO994" s="453"/>
      <c r="GP994" s="453"/>
      <c r="GQ994" s="453"/>
      <c r="GR994" s="453"/>
      <c r="GS994" s="561"/>
      <c r="GT994" s="475"/>
      <c r="GU994" s="472"/>
      <c r="GV994" s="453"/>
      <c r="GW994" s="453"/>
      <c r="GX994" s="869"/>
      <c r="GY994" s="870"/>
      <c r="GZ994" s="867"/>
      <c r="HA994" s="868"/>
      <c r="HB994" s="473"/>
      <c r="HC994" s="869"/>
      <c r="HD994" s="870"/>
      <c r="HE994" s="867"/>
      <c r="HF994" s="868"/>
      <c r="HG994" s="473"/>
      <c r="HH994" s="867"/>
      <c r="HI994" s="868"/>
      <c r="HJ994" s="867"/>
      <c r="HK994" s="868"/>
      <c r="HL994" s="370"/>
      <c r="HM994" s="865"/>
      <c r="HN994" s="866"/>
      <c r="HO994" s="865"/>
      <c r="HP994" s="866"/>
      <c r="HQ994" s="865"/>
      <c r="HR994" s="866"/>
      <c r="HS994" s="867"/>
      <c r="HT994" s="868"/>
      <c r="HU994" s="489"/>
      <c r="HV994" s="865"/>
      <c r="HW994" s="866"/>
    </row>
    <row r="995" spans="25:231" ht="15" customHeight="1">
      <c r="Y995" s="332"/>
      <c r="Z995" s="332"/>
      <c r="AA995" s="332"/>
      <c r="AB995" s="332"/>
      <c r="AC995" s="332"/>
      <c r="AD995" s="332"/>
      <c r="AE995" s="332"/>
      <c r="AF995" s="332"/>
      <c r="AG995" s="332"/>
      <c r="AH995" s="332"/>
      <c r="AI995" s="332"/>
      <c r="AJ995" s="332"/>
      <c r="AK995" s="332"/>
      <c r="AL995" s="332"/>
      <c r="AM995" s="332"/>
      <c r="AN995" s="332"/>
      <c r="AO995" s="332"/>
      <c r="AP995" s="332"/>
      <c r="AQ995" s="332"/>
      <c r="AR995" s="332"/>
      <c r="AS995" s="332"/>
      <c r="AT995" s="332"/>
      <c r="AU995" s="332"/>
      <c r="AV995" s="332"/>
      <c r="AW995" s="332"/>
      <c r="AX995" s="332"/>
      <c r="AY995" s="332"/>
      <c r="AZ995" s="332"/>
      <c r="BA995" s="332"/>
      <c r="BB995" s="332"/>
      <c r="BC995" s="332"/>
      <c r="BD995" s="332"/>
      <c r="BE995" s="332"/>
      <c r="BF995" s="332"/>
      <c r="BG995" s="332"/>
      <c r="BH995" s="332"/>
      <c r="BI995" s="332"/>
      <c r="BJ995" s="332"/>
      <c r="BK995" s="332"/>
      <c r="BL995" s="332"/>
      <c r="BM995" s="332"/>
      <c r="BN995" s="332"/>
      <c r="BO995" s="332"/>
      <c r="BP995" s="332"/>
      <c r="BQ995" s="332"/>
      <c r="BR995" s="332"/>
      <c r="BS995" s="332"/>
      <c r="BT995" s="332"/>
      <c r="BU995" s="332"/>
      <c r="BV995" s="332"/>
      <c r="BW995" s="332"/>
      <c r="BX995" s="332"/>
      <c r="BY995" s="332"/>
      <c r="BZ995" s="332"/>
      <c r="CA995" s="332"/>
      <c r="CB995" s="332"/>
      <c r="CC995" s="332"/>
      <c r="CD995" s="332"/>
      <c r="CE995" s="332"/>
      <c r="CF995" s="332"/>
      <c r="CG995" s="332"/>
      <c r="CH995" s="332"/>
      <c r="CI995" s="332"/>
      <c r="CJ995" s="332"/>
      <c r="CK995" s="332"/>
      <c r="CL995" s="332"/>
      <c r="CM995" s="332"/>
      <c r="CN995" s="332"/>
      <c r="CO995" s="332"/>
      <c r="CP995" s="332"/>
      <c r="CQ995" s="332"/>
      <c r="CR995" s="332"/>
      <c r="CS995" s="332"/>
      <c r="CT995" s="332"/>
      <c r="CU995" s="332"/>
      <c r="CV995" s="332"/>
      <c r="CW995" s="332"/>
      <c r="CX995" s="332"/>
      <c r="CY995" s="332"/>
      <c r="CZ995" s="332"/>
      <c r="DA995" s="332"/>
      <c r="DB995" s="332"/>
      <c r="DC995" s="332"/>
      <c r="DD995" s="332"/>
      <c r="DE995" s="332"/>
      <c r="DF995" s="332"/>
      <c r="DG995" s="332"/>
      <c r="DH995" s="332"/>
      <c r="DI995" s="332"/>
      <c r="DJ995" s="332"/>
      <c r="DK995" s="332"/>
      <c r="DL995" s="332"/>
      <c r="DM995" s="332"/>
      <c r="DN995" s="332"/>
      <c r="DO995" s="332"/>
      <c r="DP995" s="332"/>
      <c r="DQ995" s="332"/>
      <c r="DR995" s="332"/>
      <c r="DS995" s="332"/>
      <c r="DT995" s="332"/>
      <c r="DU995" s="453"/>
      <c r="DV995" s="453"/>
      <c r="DW995" s="453"/>
      <c r="DX995" s="453"/>
      <c r="DY995" s="453"/>
      <c r="DZ995" s="453"/>
      <c r="EA995" s="453"/>
      <c r="EB995" s="453"/>
      <c r="EC995" s="453"/>
      <c r="ED995" s="453"/>
      <c r="EE995" s="453"/>
      <c r="EF995" s="453"/>
      <c r="EG995" s="453"/>
      <c r="EH995" s="453"/>
      <c r="EI995" s="453"/>
      <c r="EJ995" s="453"/>
      <c r="EK995" s="453"/>
      <c r="EL995" s="453"/>
      <c r="EM995" s="483">
        <f t="shared" si="243"/>
        <v>686</v>
      </c>
      <c r="EN995" s="485"/>
      <c r="EO995" s="458"/>
      <c r="EP995" s="467"/>
      <c r="EQ995" s="457"/>
      <c r="ER995" s="808"/>
      <c r="ES995" s="881">
        <f t="shared" si="244"/>
        <v>0</v>
      </c>
      <c r="ET995" s="882"/>
      <c r="EU995" s="883"/>
      <c r="EV995" s="884">
        <f t="shared" si="245"/>
        <v>0</v>
      </c>
      <c r="EW995" s="885"/>
      <c r="EX995" s="885"/>
      <c r="EY995" s="885"/>
      <c r="EZ995" s="885"/>
      <c r="FA995" s="885"/>
      <c r="FB995" s="885"/>
      <c r="FC995" s="885"/>
      <c r="FD995" s="886"/>
      <c r="FE995" s="550"/>
      <c r="FF995" s="550"/>
      <c r="FG995" s="550"/>
      <c r="FH995" s="550"/>
      <c r="FI995" s="550"/>
      <c r="FJ995" s="550"/>
      <c r="FK995" s="550"/>
      <c r="FL995" s="555"/>
      <c r="FM995" s="554"/>
      <c r="FN995" s="554"/>
      <c r="FO995" s="554"/>
      <c r="FP995" s="554"/>
      <c r="FQ995" s="554"/>
      <c r="FR995" s="554"/>
      <c r="FS995" s="554"/>
      <c r="FT995" s="554"/>
      <c r="FU995" s="554"/>
      <c r="FV995" s="554"/>
      <c r="FW995" s="554"/>
      <c r="FX995" s="554"/>
      <c r="FY995" s="554"/>
      <c r="FZ995" s="554"/>
      <c r="GA995" s="554"/>
      <c r="GB995" s="556"/>
      <c r="GC995" s="370"/>
      <c r="GD995" s="453"/>
      <c r="GE995" s="453"/>
      <c r="GF995" s="453"/>
      <c r="GG995" s="453"/>
      <c r="GH995" s="454"/>
      <c r="GI995" s="453"/>
      <c r="GJ995" s="453"/>
      <c r="GK995" s="453"/>
      <c r="GL995" s="453"/>
      <c r="GM995" s="453"/>
      <c r="GN995" s="453"/>
      <c r="GO995" s="453"/>
      <c r="GP995" s="453"/>
      <c r="GQ995" s="453"/>
      <c r="GR995" s="453"/>
      <c r="GS995" s="561"/>
      <c r="GT995" s="475"/>
      <c r="GU995" s="472"/>
      <c r="GV995" s="453"/>
      <c r="GW995" s="453"/>
      <c r="GX995" s="869"/>
      <c r="GY995" s="870"/>
      <c r="GZ995" s="867"/>
      <c r="HA995" s="868"/>
      <c r="HB995" s="473"/>
      <c r="HC995" s="869"/>
      <c r="HD995" s="870"/>
      <c r="HE995" s="867"/>
      <c r="HF995" s="868"/>
      <c r="HG995" s="473"/>
      <c r="HH995" s="867"/>
      <c r="HI995" s="868"/>
      <c r="HJ995" s="867"/>
      <c r="HK995" s="868"/>
      <c r="HL995" s="370"/>
      <c r="HM995" s="865"/>
      <c r="HN995" s="866"/>
      <c r="HO995" s="865"/>
      <c r="HP995" s="866"/>
      <c r="HQ995" s="865"/>
      <c r="HR995" s="866"/>
      <c r="HS995" s="867"/>
      <c r="HT995" s="868"/>
      <c r="HU995" s="489"/>
      <c r="HV995" s="865"/>
      <c r="HW995" s="866"/>
    </row>
    <row r="996" spans="25:231" ht="15" customHeight="1">
      <c r="Y996" s="332"/>
      <c r="Z996" s="332"/>
      <c r="AA996" s="332"/>
      <c r="AB996" s="332"/>
      <c r="AC996" s="332"/>
      <c r="AD996" s="332"/>
      <c r="AE996" s="332"/>
      <c r="AF996" s="332"/>
      <c r="AG996" s="332"/>
      <c r="AH996" s="332"/>
      <c r="AI996" s="332"/>
      <c r="AJ996" s="332"/>
      <c r="AK996" s="332"/>
      <c r="AL996" s="332"/>
      <c r="AM996" s="332"/>
      <c r="AN996" s="332"/>
      <c r="AO996" s="332"/>
      <c r="AP996" s="332"/>
      <c r="AQ996" s="332"/>
      <c r="AR996" s="332"/>
      <c r="AS996" s="332"/>
      <c r="AT996" s="332"/>
      <c r="AU996" s="332"/>
      <c r="AV996" s="332"/>
      <c r="AW996" s="332"/>
      <c r="AX996" s="332"/>
      <c r="AY996" s="332"/>
      <c r="AZ996" s="332"/>
      <c r="BA996" s="332"/>
      <c r="BB996" s="332"/>
      <c r="BC996" s="332"/>
      <c r="BD996" s="332"/>
      <c r="BE996" s="332"/>
      <c r="BF996" s="332"/>
      <c r="BG996" s="332"/>
      <c r="BH996" s="332"/>
      <c r="BI996" s="332"/>
      <c r="BJ996" s="332"/>
      <c r="BK996" s="332"/>
      <c r="BL996" s="332"/>
      <c r="BM996" s="332"/>
      <c r="BN996" s="332"/>
      <c r="BO996" s="332"/>
      <c r="BP996" s="332"/>
      <c r="BQ996" s="332"/>
      <c r="BR996" s="332"/>
      <c r="BS996" s="332"/>
      <c r="BT996" s="332"/>
      <c r="BU996" s="332"/>
      <c r="BV996" s="332"/>
      <c r="BW996" s="332"/>
      <c r="BX996" s="332"/>
      <c r="BY996" s="332"/>
      <c r="BZ996" s="332"/>
      <c r="CA996" s="332"/>
      <c r="CB996" s="332"/>
      <c r="CC996" s="332"/>
      <c r="CD996" s="332"/>
      <c r="CE996" s="332"/>
      <c r="CF996" s="332"/>
      <c r="CG996" s="332"/>
      <c r="CH996" s="332"/>
      <c r="CI996" s="332"/>
      <c r="CJ996" s="332"/>
      <c r="CK996" s="332"/>
      <c r="CL996" s="332"/>
      <c r="CM996" s="332"/>
      <c r="CN996" s="332"/>
      <c r="CO996" s="332"/>
      <c r="CP996" s="332"/>
      <c r="CQ996" s="332"/>
      <c r="CR996" s="332"/>
      <c r="CS996" s="332"/>
      <c r="CT996" s="332"/>
      <c r="CU996" s="332"/>
      <c r="CV996" s="332"/>
      <c r="CW996" s="332"/>
      <c r="CX996" s="332"/>
      <c r="CY996" s="332"/>
      <c r="CZ996" s="332"/>
      <c r="DA996" s="332"/>
      <c r="DB996" s="332"/>
      <c r="DC996" s="332"/>
      <c r="DD996" s="332"/>
      <c r="DE996" s="332"/>
      <c r="DF996" s="332"/>
      <c r="DG996" s="332"/>
      <c r="DH996" s="332"/>
      <c r="DI996" s="332"/>
      <c r="DJ996" s="332"/>
      <c r="DK996" s="332"/>
      <c r="DL996" s="332"/>
      <c r="DM996" s="332"/>
      <c r="DN996" s="332"/>
      <c r="DO996" s="332"/>
      <c r="DP996" s="332"/>
      <c r="DQ996" s="332"/>
      <c r="DR996" s="332"/>
      <c r="DS996" s="332"/>
      <c r="DT996" s="332"/>
      <c r="DU996" s="453"/>
      <c r="DV996" s="453"/>
      <c r="DW996" s="453"/>
      <c r="DX996" s="453"/>
      <c r="DY996" s="453"/>
      <c r="DZ996" s="453"/>
      <c r="EA996" s="453"/>
      <c r="EB996" s="453"/>
      <c r="EC996" s="453"/>
      <c r="ED996" s="453"/>
      <c r="EE996" s="453"/>
      <c r="EF996" s="453"/>
      <c r="EG996" s="453"/>
      <c r="EH996" s="453"/>
      <c r="EI996" s="453"/>
      <c r="EJ996" s="453"/>
      <c r="EK996" s="453"/>
      <c r="EL996" s="453"/>
      <c r="EM996" s="483">
        <f t="shared" si="243"/>
        <v>687</v>
      </c>
      <c r="EN996" s="485"/>
      <c r="EO996" s="458"/>
      <c r="EP996" s="467"/>
      <c r="EQ996" s="457"/>
      <c r="ER996" s="808"/>
      <c r="ES996" s="881">
        <f t="shared" si="244"/>
        <v>0</v>
      </c>
      <c r="ET996" s="882"/>
      <c r="EU996" s="883"/>
      <c r="EV996" s="884">
        <f t="shared" si="245"/>
        <v>0</v>
      </c>
      <c r="EW996" s="885"/>
      <c r="EX996" s="885"/>
      <c r="EY996" s="885"/>
      <c r="EZ996" s="885"/>
      <c r="FA996" s="885"/>
      <c r="FB996" s="885"/>
      <c r="FC996" s="885"/>
      <c r="FD996" s="886"/>
      <c r="FE996" s="550"/>
      <c r="FF996" s="550"/>
      <c r="FG996" s="550"/>
      <c r="FH996" s="550"/>
      <c r="FI996" s="550"/>
      <c r="FJ996" s="550"/>
      <c r="FK996" s="550"/>
      <c r="FL996" s="555"/>
      <c r="FM996" s="554"/>
      <c r="FN996" s="554"/>
      <c r="FO996" s="554"/>
      <c r="FP996" s="554"/>
      <c r="FQ996" s="554"/>
      <c r="FR996" s="554"/>
      <c r="FS996" s="554"/>
      <c r="FT996" s="554"/>
      <c r="FU996" s="554"/>
      <c r="FV996" s="554"/>
      <c r="FW996" s="554"/>
      <c r="FX996" s="554"/>
      <c r="FY996" s="554"/>
      <c r="FZ996" s="554"/>
      <c r="GA996" s="554"/>
      <c r="GB996" s="556"/>
      <c r="GC996" s="370"/>
      <c r="GD996" s="453"/>
      <c r="GE996" s="453"/>
      <c r="GF996" s="453"/>
      <c r="GG996" s="453"/>
      <c r="GH996" s="454"/>
      <c r="GI996" s="453"/>
      <c r="GJ996" s="453"/>
      <c r="GK996" s="453"/>
      <c r="GL996" s="453"/>
      <c r="GM996" s="453"/>
      <c r="GN996" s="453"/>
      <c r="GO996" s="453"/>
      <c r="GP996" s="453"/>
      <c r="GQ996" s="453"/>
      <c r="GR996" s="453"/>
      <c r="GS996" s="561"/>
      <c r="GT996" s="475"/>
      <c r="GU996" s="472"/>
      <c r="GV996" s="453"/>
      <c r="GW996" s="453"/>
      <c r="GX996" s="869"/>
      <c r="GY996" s="870"/>
      <c r="GZ996" s="867"/>
      <c r="HA996" s="868"/>
      <c r="HB996" s="473"/>
      <c r="HC996" s="869"/>
      <c r="HD996" s="870"/>
      <c r="HE996" s="867"/>
      <c r="HF996" s="868"/>
      <c r="HG996" s="473"/>
      <c r="HH996" s="867"/>
      <c r="HI996" s="868"/>
      <c r="HJ996" s="867"/>
      <c r="HK996" s="868"/>
      <c r="HL996" s="370"/>
      <c r="HM996" s="865"/>
      <c r="HN996" s="866"/>
      <c r="HO996" s="865"/>
      <c r="HP996" s="866"/>
      <c r="HQ996" s="865"/>
      <c r="HR996" s="866"/>
      <c r="HS996" s="867"/>
      <c r="HT996" s="868"/>
      <c r="HU996" s="489"/>
      <c r="HV996" s="865"/>
      <c r="HW996" s="866"/>
    </row>
    <row r="997" spans="25:231" ht="15" customHeight="1">
      <c r="Y997" s="332"/>
      <c r="Z997" s="332"/>
      <c r="AA997" s="332"/>
      <c r="AB997" s="332"/>
      <c r="AC997" s="332"/>
      <c r="AD997" s="332"/>
      <c r="AE997" s="332"/>
      <c r="AF997" s="332"/>
      <c r="AG997" s="332"/>
      <c r="AH997" s="332"/>
      <c r="AI997" s="332"/>
      <c r="AJ997" s="332"/>
      <c r="AK997" s="332"/>
      <c r="AL997" s="332"/>
      <c r="AM997" s="332"/>
      <c r="AN997" s="332"/>
      <c r="AO997" s="332"/>
      <c r="AP997" s="332"/>
      <c r="AQ997" s="332"/>
      <c r="AR997" s="332"/>
      <c r="AS997" s="332"/>
      <c r="AT997" s="332"/>
      <c r="AU997" s="332"/>
      <c r="AV997" s="332"/>
      <c r="AW997" s="332"/>
      <c r="AX997" s="332"/>
      <c r="AY997" s="332"/>
      <c r="AZ997" s="332"/>
      <c r="BA997" s="332"/>
      <c r="BB997" s="332"/>
      <c r="BC997" s="332"/>
      <c r="BD997" s="332"/>
      <c r="BE997" s="332"/>
      <c r="BF997" s="332"/>
      <c r="BG997" s="332"/>
      <c r="BH997" s="332"/>
      <c r="BI997" s="332"/>
      <c r="BJ997" s="332"/>
      <c r="BK997" s="332"/>
      <c r="BL997" s="332"/>
      <c r="BM997" s="332"/>
      <c r="BN997" s="332"/>
      <c r="BO997" s="332"/>
      <c r="BP997" s="332"/>
      <c r="BQ997" s="332"/>
      <c r="BR997" s="332"/>
      <c r="BS997" s="332"/>
      <c r="BT997" s="332"/>
      <c r="BU997" s="332"/>
      <c r="BV997" s="332"/>
      <c r="BW997" s="332"/>
      <c r="BX997" s="332"/>
      <c r="BY997" s="332"/>
      <c r="BZ997" s="332"/>
      <c r="CA997" s="332"/>
      <c r="CB997" s="332"/>
      <c r="CC997" s="332"/>
      <c r="CD997" s="332"/>
      <c r="CE997" s="332"/>
      <c r="CF997" s="332"/>
      <c r="CG997" s="332"/>
      <c r="CH997" s="332"/>
      <c r="CI997" s="332"/>
      <c r="CJ997" s="332"/>
      <c r="CK997" s="332"/>
      <c r="CL997" s="332"/>
      <c r="CM997" s="332"/>
      <c r="CN997" s="332"/>
      <c r="CO997" s="332"/>
      <c r="CP997" s="332"/>
      <c r="CQ997" s="332"/>
      <c r="CR997" s="332"/>
      <c r="CS997" s="332"/>
      <c r="CT997" s="332"/>
      <c r="CU997" s="332"/>
      <c r="CV997" s="332"/>
      <c r="CW997" s="332"/>
      <c r="CX997" s="332"/>
      <c r="CY997" s="332"/>
      <c r="CZ997" s="332"/>
      <c r="DA997" s="332"/>
      <c r="DB997" s="332"/>
      <c r="DC997" s="332"/>
      <c r="DD997" s="332"/>
      <c r="DE997" s="332"/>
      <c r="DF997" s="332"/>
      <c r="DG997" s="332"/>
      <c r="DH997" s="332"/>
      <c r="DI997" s="332"/>
      <c r="DJ997" s="332"/>
      <c r="DK997" s="332"/>
      <c r="DL997" s="332"/>
      <c r="DM997" s="332"/>
      <c r="DN997" s="332"/>
      <c r="DO997" s="332"/>
      <c r="DP997" s="332"/>
      <c r="DQ997" s="332"/>
      <c r="DR997" s="332"/>
      <c r="DS997" s="332"/>
      <c r="DT997" s="332"/>
      <c r="DU997" s="453"/>
      <c r="DV997" s="453"/>
      <c r="DW997" s="453"/>
      <c r="DX997" s="453"/>
      <c r="DY997" s="453"/>
      <c r="DZ997" s="453"/>
      <c r="EA997" s="453"/>
      <c r="EB997" s="453"/>
      <c r="EC997" s="453"/>
      <c r="ED997" s="453"/>
      <c r="EE997" s="453"/>
      <c r="EF997" s="453"/>
      <c r="EG997" s="453"/>
      <c r="EH997" s="453"/>
      <c r="EI997" s="453"/>
      <c r="EJ997" s="453"/>
      <c r="EK997" s="453"/>
      <c r="EL997" s="453"/>
      <c r="EM997" s="483">
        <f t="shared" si="243"/>
        <v>688</v>
      </c>
      <c r="EN997" s="485"/>
      <c r="EO997" s="458"/>
      <c r="EP997" s="467"/>
      <c r="EQ997" s="457"/>
      <c r="ER997" s="808"/>
      <c r="ES997" s="881">
        <f t="shared" si="244"/>
        <v>0</v>
      </c>
      <c r="ET997" s="882"/>
      <c r="EU997" s="883"/>
      <c r="EV997" s="884">
        <f t="shared" si="245"/>
        <v>0</v>
      </c>
      <c r="EW997" s="885"/>
      <c r="EX997" s="885"/>
      <c r="EY997" s="885"/>
      <c r="EZ997" s="885"/>
      <c r="FA997" s="885"/>
      <c r="FB997" s="885"/>
      <c r="FC997" s="885"/>
      <c r="FD997" s="886"/>
      <c r="FE997" s="550"/>
      <c r="FF997" s="550"/>
      <c r="FG997" s="550"/>
      <c r="FH997" s="550"/>
      <c r="FI997" s="550"/>
      <c r="FJ997" s="550"/>
      <c r="FK997" s="550"/>
      <c r="FL997" s="555"/>
      <c r="FM997" s="554"/>
      <c r="FN997" s="554"/>
      <c r="FO997" s="554"/>
      <c r="FP997" s="554"/>
      <c r="FQ997" s="554"/>
      <c r="FR997" s="554"/>
      <c r="FS997" s="554"/>
      <c r="FT997" s="554"/>
      <c r="FU997" s="554"/>
      <c r="FV997" s="554"/>
      <c r="FW997" s="554"/>
      <c r="FX997" s="554"/>
      <c r="FY997" s="554"/>
      <c r="FZ997" s="554"/>
      <c r="GA997" s="554"/>
      <c r="GB997" s="556"/>
      <c r="GC997" s="370"/>
      <c r="GD997" s="453"/>
      <c r="GE997" s="453"/>
      <c r="GF997" s="453"/>
      <c r="GG997" s="453"/>
      <c r="GH997" s="454"/>
      <c r="GI997" s="453"/>
      <c r="GJ997" s="453"/>
      <c r="GK997" s="453"/>
      <c r="GL997" s="453"/>
      <c r="GM997" s="453"/>
      <c r="GN997" s="453"/>
      <c r="GO997" s="453"/>
      <c r="GP997" s="453"/>
      <c r="GQ997" s="453"/>
      <c r="GR997" s="453"/>
      <c r="GS997" s="561"/>
      <c r="GT997" s="475"/>
      <c r="GU997" s="472"/>
      <c r="GV997" s="453"/>
      <c r="GW997" s="453"/>
      <c r="GX997" s="869"/>
      <c r="GY997" s="870"/>
      <c r="GZ997" s="867"/>
      <c r="HA997" s="868"/>
      <c r="HB997" s="473"/>
      <c r="HC997" s="869"/>
      <c r="HD997" s="870"/>
      <c r="HE997" s="867"/>
      <c r="HF997" s="868"/>
      <c r="HG997" s="473"/>
      <c r="HH997" s="867"/>
      <c r="HI997" s="868"/>
      <c r="HJ997" s="867"/>
      <c r="HK997" s="868"/>
      <c r="HL997" s="370"/>
      <c r="HM997" s="865"/>
      <c r="HN997" s="866"/>
      <c r="HO997" s="865"/>
      <c r="HP997" s="866"/>
      <c r="HQ997" s="865"/>
      <c r="HR997" s="866"/>
      <c r="HS997" s="867"/>
      <c r="HT997" s="868"/>
      <c r="HU997" s="489"/>
      <c r="HV997" s="865"/>
      <c r="HW997" s="866"/>
    </row>
    <row r="998" spans="25:231" ht="15" customHeight="1">
      <c r="Y998" s="332"/>
      <c r="Z998" s="332"/>
      <c r="AA998" s="332"/>
      <c r="AB998" s="332"/>
      <c r="AC998" s="332"/>
      <c r="AD998" s="332"/>
      <c r="AE998" s="332"/>
      <c r="AF998" s="332"/>
      <c r="AG998" s="332"/>
      <c r="AH998" s="332"/>
      <c r="AI998" s="332"/>
      <c r="AJ998" s="332"/>
      <c r="AK998" s="332"/>
      <c r="AL998" s="332"/>
      <c r="AM998" s="332"/>
      <c r="AN998" s="332"/>
      <c r="AO998" s="332"/>
      <c r="AP998" s="332"/>
      <c r="AQ998" s="332"/>
      <c r="AR998" s="332"/>
      <c r="AS998" s="332"/>
      <c r="AT998" s="332"/>
      <c r="AU998" s="332"/>
      <c r="AV998" s="332"/>
      <c r="AW998" s="332"/>
      <c r="AX998" s="332"/>
      <c r="AY998" s="332"/>
      <c r="AZ998" s="332"/>
      <c r="BA998" s="332"/>
      <c r="BB998" s="332"/>
      <c r="BC998" s="332"/>
      <c r="BD998" s="332"/>
      <c r="BE998" s="332"/>
      <c r="BF998" s="332"/>
      <c r="BG998" s="332"/>
      <c r="BH998" s="332"/>
      <c r="BI998" s="332"/>
      <c r="BJ998" s="332"/>
      <c r="BK998" s="332"/>
      <c r="BL998" s="332"/>
      <c r="BM998" s="332"/>
      <c r="BN998" s="332"/>
      <c r="BO998" s="332"/>
      <c r="BP998" s="332"/>
      <c r="BQ998" s="332"/>
      <c r="BR998" s="332"/>
      <c r="BS998" s="332"/>
      <c r="BT998" s="332"/>
      <c r="BU998" s="332"/>
      <c r="BV998" s="332"/>
      <c r="BW998" s="332"/>
      <c r="BX998" s="332"/>
      <c r="BY998" s="332"/>
      <c r="BZ998" s="332"/>
      <c r="CA998" s="332"/>
      <c r="CB998" s="332"/>
      <c r="CC998" s="332"/>
      <c r="CD998" s="332"/>
      <c r="CE998" s="332"/>
      <c r="CF998" s="332"/>
      <c r="CG998" s="332"/>
      <c r="CH998" s="332"/>
      <c r="CI998" s="332"/>
      <c r="CJ998" s="332"/>
      <c r="CK998" s="332"/>
      <c r="CL998" s="332"/>
      <c r="CM998" s="332"/>
      <c r="CN998" s="332"/>
      <c r="CO998" s="332"/>
      <c r="CP998" s="332"/>
      <c r="CQ998" s="332"/>
      <c r="CR998" s="332"/>
      <c r="CS998" s="332"/>
      <c r="CT998" s="332"/>
      <c r="CU998" s="332"/>
      <c r="CV998" s="332"/>
      <c r="CW998" s="332"/>
      <c r="CX998" s="332"/>
      <c r="CY998" s="332"/>
      <c r="CZ998" s="332"/>
      <c r="DA998" s="332"/>
      <c r="DB998" s="332"/>
      <c r="DC998" s="332"/>
      <c r="DD998" s="332"/>
      <c r="DE998" s="332"/>
      <c r="DF998" s="332"/>
      <c r="DG998" s="332"/>
      <c r="DH998" s="332"/>
      <c r="DI998" s="332"/>
      <c r="DJ998" s="332"/>
      <c r="DK998" s="332"/>
      <c r="DL998" s="332"/>
      <c r="DM998" s="332"/>
      <c r="DN998" s="332"/>
      <c r="DO998" s="332"/>
      <c r="DP998" s="332"/>
      <c r="DQ998" s="332"/>
      <c r="DR998" s="332"/>
      <c r="DS998" s="332"/>
      <c r="DT998" s="332"/>
      <c r="DU998" s="453"/>
      <c r="DV998" s="453"/>
      <c r="DW998" s="453"/>
      <c r="DX998" s="453"/>
      <c r="DY998" s="453"/>
      <c r="DZ998" s="453"/>
      <c r="EA998" s="453"/>
      <c r="EB998" s="453"/>
      <c r="EC998" s="453"/>
      <c r="ED998" s="453"/>
      <c r="EE998" s="453"/>
      <c r="EF998" s="453"/>
      <c r="EG998" s="453"/>
      <c r="EH998" s="453"/>
      <c r="EI998" s="453"/>
      <c r="EJ998" s="453"/>
      <c r="EK998" s="453"/>
      <c r="EL998" s="453"/>
      <c r="EM998" s="483">
        <f t="shared" si="243"/>
        <v>689</v>
      </c>
      <c r="EN998" s="485"/>
      <c r="EO998" s="458"/>
      <c r="EP998" s="467"/>
      <c r="EQ998" s="457"/>
      <c r="ER998" s="808"/>
      <c r="ES998" s="881">
        <f t="shared" si="244"/>
        <v>0</v>
      </c>
      <c r="ET998" s="882"/>
      <c r="EU998" s="883"/>
      <c r="EV998" s="884">
        <f t="shared" si="245"/>
        <v>0</v>
      </c>
      <c r="EW998" s="885"/>
      <c r="EX998" s="885"/>
      <c r="EY998" s="885"/>
      <c r="EZ998" s="885"/>
      <c r="FA998" s="885"/>
      <c r="FB998" s="885"/>
      <c r="FC998" s="885"/>
      <c r="FD998" s="886"/>
      <c r="FE998" s="550"/>
      <c r="FF998" s="550"/>
      <c r="FG998" s="550"/>
      <c r="FH998" s="550"/>
      <c r="FI998" s="550"/>
      <c r="FJ998" s="550"/>
      <c r="FK998" s="550"/>
      <c r="FL998" s="555"/>
      <c r="FM998" s="554"/>
      <c r="FN998" s="554"/>
      <c r="FO998" s="554"/>
      <c r="FP998" s="554"/>
      <c r="FQ998" s="554"/>
      <c r="FR998" s="554"/>
      <c r="FS998" s="554"/>
      <c r="FT998" s="554"/>
      <c r="FU998" s="554"/>
      <c r="FV998" s="554"/>
      <c r="FW998" s="554"/>
      <c r="FX998" s="554"/>
      <c r="FY998" s="554"/>
      <c r="FZ998" s="554"/>
      <c r="GA998" s="554"/>
      <c r="GB998" s="556"/>
      <c r="GC998" s="370"/>
      <c r="GD998" s="453"/>
      <c r="GE998" s="453"/>
      <c r="GF998" s="453"/>
      <c r="GG998" s="453"/>
      <c r="GH998" s="454"/>
      <c r="GI998" s="453"/>
      <c r="GJ998" s="453"/>
      <c r="GK998" s="453"/>
      <c r="GL998" s="453"/>
      <c r="GM998" s="453"/>
      <c r="GN998" s="453"/>
      <c r="GO998" s="453"/>
      <c r="GP998" s="453"/>
      <c r="GQ998" s="453"/>
      <c r="GR998" s="453"/>
      <c r="GS998" s="561"/>
      <c r="GT998" s="475"/>
      <c r="GU998" s="472"/>
      <c r="GV998" s="453"/>
      <c r="GW998" s="453"/>
      <c r="GX998" s="869"/>
      <c r="GY998" s="870"/>
      <c r="GZ998" s="867"/>
      <c r="HA998" s="868"/>
      <c r="HB998" s="473"/>
      <c r="HC998" s="869"/>
      <c r="HD998" s="870"/>
      <c r="HE998" s="867"/>
      <c r="HF998" s="868"/>
      <c r="HG998" s="473"/>
      <c r="HH998" s="867"/>
      <c r="HI998" s="868"/>
      <c r="HJ998" s="867"/>
      <c r="HK998" s="868"/>
      <c r="HL998" s="370"/>
      <c r="HM998" s="865"/>
      <c r="HN998" s="866"/>
      <c r="HO998" s="865"/>
      <c r="HP998" s="866"/>
      <c r="HQ998" s="865"/>
      <c r="HR998" s="866"/>
      <c r="HS998" s="867"/>
      <c r="HT998" s="868"/>
      <c r="HU998" s="489"/>
      <c r="HV998" s="865"/>
      <c r="HW998" s="866"/>
    </row>
    <row r="999" spans="25:231" ht="15" customHeight="1">
      <c r="Y999" s="332"/>
      <c r="Z999" s="332"/>
      <c r="AA999" s="332"/>
      <c r="AB999" s="332"/>
      <c r="AC999" s="332"/>
      <c r="AD999" s="332"/>
      <c r="AE999" s="332"/>
      <c r="AF999" s="332"/>
      <c r="AG999" s="332"/>
      <c r="AH999" s="332"/>
      <c r="AI999" s="332"/>
      <c r="AJ999" s="332"/>
      <c r="AK999" s="332"/>
      <c r="AL999" s="332"/>
      <c r="AM999" s="332"/>
      <c r="AN999" s="332"/>
      <c r="AO999" s="332"/>
      <c r="AP999" s="332"/>
      <c r="AQ999" s="332"/>
      <c r="AR999" s="332"/>
      <c r="AS999" s="332"/>
      <c r="AT999" s="332"/>
      <c r="AU999" s="332"/>
      <c r="AV999" s="332"/>
      <c r="AW999" s="332"/>
      <c r="AX999" s="332"/>
      <c r="AY999" s="332"/>
      <c r="AZ999" s="332"/>
      <c r="BA999" s="332"/>
      <c r="BB999" s="332"/>
      <c r="BC999" s="332"/>
      <c r="BD999" s="332"/>
      <c r="BE999" s="332"/>
      <c r="BF999" s="332"/>
      <c r="BG999" s="332"/>
      <c r="BH999" s="332"/>
      <c r="BI999" s="332"/>
      <c r="BJ999" s="332"/>
      <c r="BK999" s="332"/>
      <c r="BL999" s="332"/>
      <c r="BM999" s="332"/>
      <c r="BN999" s="332"/>
      <c r="BO999" s="332"/>
      <c r="BP999" s="332"/>
      <c r="BQ999" s="332"/>
      <c r="BR999" s="332"/>
      <c r="BS999" s="332"/>
      <c r="BT999" s="332"/>
      <c r="BU999" s="332"/>
      <c r="BV999" s="332"/>
      <c r="BW999" s="332"/>
      <c r="BX999" s="332"/>
      <c r="BY999" s="332"/>
      <c r="BZ999" s="332"/>
      <c r="CA999" s="332"/>
      <c r="CB999" s="332"/>
      <c r="CC999" s="332"/>
      <c r="CD999" s="332"/>
      <c r="CE999" s="332"/>
      <c r="CF999" s="332"/>
      <c r="CG999" s="332"/>
      <c r="CH999" s="332"/>
      <c r="CI999" s="332"/>
      <c r="CJ999" s="332"/>
      <c r="CK999" s="332"/>
      <c r="CL999" s="332"/>
      <c r="CM999" s="332"/>
      <c r="CN999" s="332"/>
      <c r="CO999" s="332"/>
      <c r="CP999" s="332"/>
      <c r="CQ999" s="332"/>
      <c r="CR999" s="332"/>
      <c r="CS999" s="332"/>
      <c r="CT999" s="332"/>
      <c r="CU999" s="332"/>
      <c r="CV999" s="332"/>
      <c r="CW999" s="332"/>
      <c r="CX999" s="332"/>
      <c r="CY999" s="332"/>
      <c r="CZ999" s="332"/>
      <c r="DA999" s="332"/>
      <c r="DB999" s="332"/>
      <c r="DC999" s="332"/>
      <c r="DD999" s="332"/>
      <c r="DE999" s="332"/>
      <c r="DF999" s="332"/>
      <c r="DG999" s="332"/>
      <c r="DH999" s="332"/>
      <c r="DI999" s="332"/>
      <c r="DJ999" s="332"/>
      <c r="DK999" s="332"/>
      <c r="DL999" s="332"/>
      <c r="DM999" s="332"/>
      <c r="DN999" s="332"/>
      <c r="DO999" s="332"/>
      <c r="DP999" s="332"/>
      <c r="DQ999" s="332"/>
      <c r="DR999" s="332"/>
      <c r="DS999" s="332"/>
      <c r="DT999" s="332"/>
      <c r="DU999" s="453"/>
      <c r="DV999" s="453"/>
      <c r="DW999" s="453"/>
      <c r="DX999" s="453"/>
      <c r="DY999" s="453"/>
      <c r="DZ999" s="453"/>
      <c r="EA999" s="453"/>
      <c r="EB999" s="453"/>
      <c r="EC999" s="453"/>
      <c r="ED999" s="453"/>
      <c r="EE999" s="453"/>
      <c r="EF999" s="453"/>
      <c r="EG999" s="453"/>
      <c r="EH999" s="453"/>
      <c r="EI999" s="453"/>
      <c r="EJ999" s="453"/>
      <c r="EK999" s="453"/>
      <c r="EL999" s="453"/>
      <c r="EM999" s="483">
        <f t="shared" si="243"/>
        <v>690</v>
      </c>
      <c r="EN999" s="485"/>
      <c r="EO999" s="458"/>
      <c r="EP999" s="467"/>
      <c r="EQ999" s="457"/>
      <c r="ER999" s="808"/>
      <c r="ES999" s="881">
        <f t="shared" si="244"/>
        <v>0</v>
      </c>
      <c r="ET999" s="882"/>
      <c r="EU999" s="883"/>
      <c r="EV999" s="884">
        <f t="shared" si="245"/>
        <v>0</v>
      </c>
      <c r="EW999" s="885"/>
      <c r="EX999" s="885"/>
      <c r="EY999" s="885"/>
      <c r="EZ999" s="885"/>
      <c r="FA999" s="885"/>
      <c r="FB999" s="885"/>
      <c r="FC999" s="885"/>
      <c r="FD999" s="886"/>
      <c r="FE999" s="550"/>
      <c r="FF999" s="550"/>
      <c r="FG999" s="550"/>
      <c r="FH999" s="550"/>
      <c r="FI999" s="550"/>
      <c r="FJ999" s="550"/>
      <c r="FK999" s="550"/>
      <c r="FL999" s="555"/>
      <c r="FM999" s="554"/>
      <c r="FN999" s="554"/>
      <c r="FO999" s="554"/>
      <c r="FP999" s="554"/>
      <c r="FQ999" s="554"/>
      <c r="FR999" s="554"/>
      <c r="FS999" s="554"/>
      <c r="FT999" s="554"/>
      <c r="FU999" s="554"/>
      <c r="FV999" s="554"/>
      <c r="FW999" s="554"/>
      <c r="FX999" s="554"/>
      <c r="FY999" s="554"/>
      <c r="FZ999" s="554"/>
      <c r="GA999" s="554"/>
      <c r="GB999" s="556"/>
      <c r="GC999" s="370"/>
      <c r="GD999" s="453"/>
      <c r="GE999" s="453"/>
      <c r="GF999" s="453"/>
      <c r="GG999" s="453"/>
      <c r="GH999" s="454"/>
      <c r="GI999" s="453"/>
      <c r="GJ999" s="453"/>
      <c r="GK999" s="453"/>
      <c r="GL999" s="453"/>
      <c r="GM999" s="453"/>
      <c r="GN999" s="453"/>
      <c r="GO999" s="453"/>
      <c r="GP999" s="453"/>
      <c r="GQ999" s="453"/>
      <c r="GR999" s="453"/>
      <c r="GS999" s="561"/>
      <c r="GT999" s="475"/>
      <c r="GU999" s="472"/>
      <c r="GV999" s="453"/>
      <c r="GW999" s="453"/>
      <c r="GX999" s="869"/>
      <c r="GY999" s="870"/>
      <c r="GZ999" s="867"/>
      <c r="HA999" s="868"/>
      <c r="HB999" s="473"/>
      <c r="HC999" s="869"/>
      <c r="HD999" s="870"/>
      <c r="HE999" s="867"/>
      <c r="HF999" s="868"/>
      <c r="HG999" s="473"/>
      <c r="HH999" s="867"/>
      <c r="HI999" s="868"/>
      <c r="HJ999" s="867"/>
      <c r="HK999" s="868"/>
      <c r="HL999" s="370"/>
      <c r="HM999" s="865"/>
      <c r="HN999" s="866"/>
      <c r="HO999" s="865"/>
      <c r="HP999" s="866"/>
      <c r="HQ999" s="865"/>
      <c r="HR999" s="866"/>
      <c r="HS999" s="867"/>
      <c r="HT999" s="868"/>
      <c r="HU999" s="489"/>
      <c r="HV999" s="865"/>
      <c r="HW999" s="866"/>
    </row>
    <row r="1000" spans="25:231" ht="15" customHeight="1">
      <c r="Y1000" s="332"/>
      <c r="Z1000" s="332"/>
      <c r="AA1000" s="332"/>
      <c r="AB1000" s="332"/>
      <c r="AC1000" s="332"/>
      <c r="AD1000" s="332"/>
      <c r="AE1000" s="332"/>
      <c r="AF1000" s="332"/>
      <c r="AG1000" s="332"/>
      <c r="AH1000" s="332"/>
      <c r="AI1000" s="332"/>
      <c r="AJ1000" s="332"/>
      <c r="AK1000" s="332"/>
      <c r="AL1000" s="332"/>
      <c r="AM1000" s="332"/>
      <c r="AN1000" s="332"/>
      <c r="AO1000" s="332"/>
      <c r="AP1000" s="332"/>
      <c r="AQ1000" s="332"/>
      <c r="AR1000" s="332"/>
      <c r="AS1000" s="332"/>
      <c r="AT1000" s="332"/>
      <c r="AU1000" s="332"/>
      <c r="AV1000" s="332"/>
      <c r="AW1000" s="332"/>
      <c r="AX1000" s="332"/>
      <c r="AY1000" s="332"/>
      <c r="AZ1000" s="332"/>
      <c r="BA1000" s="332"/>
      <c r="BB1000" s="332"/>
      <c r="BC1000" s="332"/>
      <c r="BD1000" s="332"/>
      <c r="BE1000" s="332"/>
      <c r="BF1000" s="332"/>
      <c r="BG1000" s="332"/>
      <c r="BH1000" s="332"/>
      <c r="BI1000" s="332"/>
      <c r="BJ1000" s="332"/>
      <c r="BK1000" s="332"/>
      <c r="BL1000" s="332"/>
      <c r="BM1000" s="332"/>
      <c r="BN1000" s="332"/>
      <c r="BO1000" s="332"/>
      <c r="BP1000" s="332"/>
      <c r="BQ1000" s="332"/>
      <c r="BR1000" s="332"/>
      <c r="BS1000" s="332"/>
      <c r="BT1000" s="332"/>
      <c r="BU1000" s="332"/>
      <c r="BV1000" s="332"/>
      <c r="BW1000" s="332"/>
      <c r="BX1000" s="332"/>
      <c r="BY1000" s="332"/>
      <c r="BZ1000" s="332"/>
      <c r="CA1000" s="332"/>
      <c r="CB1000" s="332"/>
      <c r="CC1000" s="332"/>
      <c r="CD1000" s="332"/>
      <c r="CE1000" s="332"/>
      <c r="CF1000" s="332"/>
      <c r="CG1000" s="332"/>
      <c r="CH1000" s="332"/>
      <c r="CI1000" s="332"/>
      <c r="CJ1000" s="332"/>
      <c r="CK1000" s="332"/>
      <c r="CL1000" s="332"/>
      <c r="CM1000" s="332"/>
      <c r="CN1000" s="332"/>
      <c r="CO1000" s="332"/>
      <c r="CP1000" s="332"/>
      <c r="CQ1000" s="332"/>
      <c r="CR1000" s="332"/>
      <c r="CS1000" s="332"/>
      <c r="CT1000" s="332"/>
      <c r="CU1000" s="332"/>
      <c r="CV1000" s="332"/>
      <c r="CW1000" s="332"/>
      <c r="CX1000" s="332"/>
      <c r="CY1000" s="332"/>
      <c r="CZ1000" s="332"/>
      <c r="DA1000" s="332"/>
      <c r="DB1000" s="332"/>
      <c r="DC1000" s="332"/>
      <c r="DD1000" s="332"/>
      <c r="DE1000" s="332"/>
      <c r="DF1000" s="332"/>
      <c r="DG1000" s="332"/>
      <c r="DH1000" s="332"/>
      <c r="DI1000" s="332"/>
      <c r="DJ1000" s="332"/>
      <c r="DK1000" s="332"/>
      <c r="DL1000" s="332"/>
      <c r="DM1000" s="332"/>
      <c r="DN1000" s="332"/>
      <c r="DO1000" s="332"/>
      <c r="DP1000" s="332"/>
      <c r="DQ1000" s="332"/>
      <c r="DR1000" s="332"/>
      <c r="DS1000" s="332"/>
      <c r="DT1000" s="332"/>
      <c r="DU1000" s="453"/>
      <c r="DV1000" s="453"/>
      <c r="DW1000" s="453"/>
      <c r="DX1000" s="453"/>
      <c r="DY1000" s="453"/>
      <c r="DZ1000" s="453"/>
      <c r="EA1000" s="453"/>
      <c r="EB1000" s="453"/>
      <c r="EC1000" s="453"/>
      <c r="ED1000" s="453"/>
      <c r="EE1000" s="453"/>
      <c r="EF1000" s="453"/>
      <c r="EG1000" s="453"/>
      <c r="EH1000" s="453"/>
      <c r="EI1000" s="453"/>
      <c r="EJ1000" s="453"/>
      <c r="EK1000" s="453"/>
      <c r="EL1000" s="453"/>
      <c r="EM1000" s="483">
        <f t="shared" si="243"/>
        <v>691</v>
      </c>
      <c r="EN1000" s="485"/>
      <c r="EO1000" s="458"/>
      <c r="EP1000" s="467"/>
      <c r="EQ1000" s="457"/>
      <c r="ER1000" s="808"/>
      <c r="ES1000" s="881">
        <f t="shared" si="244"/>
        <v>0</v>
      </c>
      <c r="ET1000" s="882"/>
      <c r="EU1000" s="883"/>
      <c r="EV1000" s="884">
        <f t="shared" si="245"/>
        <v>0</v>
      </c>
      <c r="EW1000" s="885"/>
      <c r="EX1000" s="885"/>
      <c r="EY1000" s="885"/>
      <c r="EZ1000" s="885"/>
      <c r="FA1000" s="885"/>
      <c r="FB1000" s="885"/>
      <c r="FC1000" s="885"/>
      <c r="FD1000" s="886"/>
      <c r="FE1000" s="550"/>
      <c r="FF1000" s="550"/>
      <c r="FG1000" s="550"/>
      <c r="FH1000" s="550"/>
      <c r="FI1000" s="550"/>
      <c r="FJ1000" s="550"/>
      <c r="FK1000" s="550"/>
      <c r="FL1000" s="555"/>
      <c r="FM1000" s="554"/>
      <c r="FN1000" s="554"/>
      <c r="FO1000" s="554"/>
      <c r="FP1000" s="554"/>
      <c r="FQ1000" s="554"/>
      <c r="FR1000" s="554"/>
      <c r="FS1000" s="554"/>
      <c r="FT1000" s="554"/>
      <c r="FU1000" s="554"/>
      <c r="FV1000" s="554"/>
      <c r="FW1000" s="554"/>
      <c r="FX1000" s="554"/>
      <c r="FY1000" s="554"/>
      <c r="FZ1000" s="554"/>
      <c r="GA1000" s="554"/>
      <c r="GB1000" s="556"/>
      <c r="GC1000" s="370"/>
      <c r="GD1000" s="453"/>
      <c r="GE1000" s="453"/>
      <c r="GF1000" s="453"/>
      <c r="GG1000" s="453"/>
      <c r="GH1000" s="454"/>
      <c r="GI1000" s="453"/>
      <c r="GJ1000" s="453"/>
      <c r="GK1000" s="453"/>
      <c r="GL1000" s="453"/>
      <c r="GM1000" s="453"/>
      <c r="GN1000" s="453"/>
      <c r="GO1000" s="453"/>
      <c r="GP1000" s="453"/>
      <c r="GQ1000" s="453"/>
      <c r="GR1000" s="453"/>
      <c r="GS1000" s="561"/>
      <c r="GT1000" s="475"/>
      <c r="GU1000" s="472"/>
      <c r="GV1000" s="453"/>
      <c r="GW1000" s="453"/>
      <c r="GX1000" s="869"/>
      <c r="GY1000" s="870"/>
      <c r="GZ1000" s="867"/>
      <c r="HA1000" s="868"/>
      <c r="HB1000" s="473"/>
      <c r="HC1000" s="869"/>
      <c r="HD1000" s="870"/>
      <c r="HE1000" s="867"/>
      <c r="HF1000" s="868"/>
      <c r="HG1000" s="473"/>
      <c r="HH1000" s="867"/>
      <c r="HI1000" s="868"/>
      <c r="HJ1000" s="867"/>
      <c r="HK1000" s="868"/>
      <c r="HL1000" s="370"/>
      <c r="HM1000" s="865"/>
      <c r="HN1000" s="866"/>
      <c r="HO1000" s="865"/>
      <c r="HP1000" s="866"/>
      <c r="HQ1000" s="865"/>
      <c r="HR1000" s="866"/>
      <c r="HS1000" s="867"/>
      <c r="HT1000" s="868"/>
      <c r="HU1000" s="489"/>
      <c r="HV1000" s="865"/>
      <c r="HW1000" s="866"/>
    </row>
    <row r="1001" spans="25:231" ht="15" customHeight="1">
      <c r="Y1001" s="332"/>
      <c r="Z1001" s="332"/>
      <c r="AA1001" s="332"/>
      <c r="AB1001" s="332"/>
      <c r="AC1001" s="332"/>
      <c r="AD1001" s="332"/>
      <c r="AE1001" s="332"/>
      <c r="AF1001" s="332"/>
      <c r="AG1001" s="332"/>
      <c r="AH1001" s="332"/>
      <c r="AI1001" s="332"/>
      <c r="AJ1001" s="332"/>
      <c r="AK1001" s="332"/>
      <c r="AL1001" s="332"/>
      <c r="AM1001" s="332"/>
      <c r="AN1001" s="332"/>
      <c r="AO1001" s="332"/>
      <c r="AP1001" s="332"/>
      <c r="AQ1001" s="332"/>
      <c r="AR1001" s="332"/>
      <c r="AS1001" s="332"/>
      <c r="AT1001" s="332"/>
      <c r="AU1001" s="332"/>
      <c r="AV1001" s="332"/>
      <c r="AW1001" s="332"/>
      <c r="AX1001" s="332"/>
      <c r="AY1001" s="332"/>
      <c r="AZ1001" s="332"/>
      <c r="BA1001" s="332"/>
      <c r="BB1001" s="332"/>
      <c r="BC1001" s="332"/>
      <c r="BD1001" s="332"/>
      <c r="BE1001" s="332"/>
      <c r="BF1001" s="332"/>
      <c r="BG1001" s="332"/>
      <c r="BH1001" s="332"/>
      <c r="BI1001" s="332"/>
      <c r="BJ1001" s="332"/>
      <c r="BK1001" s="332"/>
      <c r="BL1001" s="332"/>
      <c r="BM1001" s="332"/>
      <c r="BN1001" s="332"/>
      <c r="BO1001" s="332"/>
      <c r="BP1001" s="332"/>
      <c r="BQ1001" s="332"/>
      <c r="BR1001" s="332"/>
      <c r="BS1001" s="332"/>
      <c r="BT1001" s="332"/>
      <c r="BU1001" s="332"/>
      <c r="BV1001" s="332"/>
      <c r="BW1001" s="332"/>
      <c r="BX1001" s="332"/>
      <c r="BY1001" s="332"/>
      <c r="BZ1001" s="332"/>
      <c r="CA1001" s="332"/>
      <c r="CB1001" s="332"/>
      <c r="CC1001" s="332"/>
      <c r="CD1001" s="332"/>
      <c r="CE1001" s="332"/>
      <c r="CF1001" s="332"/>
      <c r="CG1001" s="332"/>
      <c r="CH1001" s="332"/>
      <c r="CI1001" s="332"/>
      <c r="CJ1001" s="332"/>
      <c r="CK1001" s="332"/>
      <c r="CL1001" s="332"/>
      <c r="CM1001" s="332"/>
      <c r="CN1001" s="332"/>
      <c r="CO1001" s="332"/>
      <c r="CP1001" s="332"/>
      <c r="CQ1001" s="332"/>
      <c r="CR1001" s="332"/>
      <c r="CS1001" s="332"/>
      <c r="CT1001" s="332"/>
      <c r="CU1001" s="332"/>
      <c r="CV1001" s="332"/>
      <c r="CW1001" s="332"/>
      <c r="CX1001" s="332"/>
      <c r="CY1001" s="332"/>
      <c r="CZ1001" s="332"/>
      <c r="DA1001" s="332"/>
      <c r="DB1001" s="332"/>
      <c r="DC1001" s="332"/>
      <c r="DD1001" s="332"/>
      <c r="DE1001" s="332"/>
      <c r="DF1001" s="332"/>
      <c r="DG1001" s="332"/>
      <c r="DH1001" s="332"/>
      <c r="DI1001" s="332"/>
      <c r="DJ1001" s="332"/>
      <c r="DK1001" s="332"/>
      <c r="DL1001" s="332"/>
      <c r="DM1001" s="332"/>
      <c r="DN1001" s="332"/>
      <c r="DO1001" s="332"/>
      <c r="DP1001" s="332"/>
      <c r="DQ1001" s="332"/>
      <c r="DR1001" s="332"/>
      <c r="DS1001" s="332"/>
      <c r="DT1001" s="332"/>
      <c r="DU1001" s="453"/>
      <c r="DV1001" s="453"/>
      <c r="DW1001" s="453"/>
      <c r="DX1001" s="453"/>
      <c r="DY1001" s="453"/>
      <c r="DZ1001" s="453"/>
      <c r="EA1001" s="453"/>
      <c r="EB1001" s="453"/>
      <c r="EC1001" s="453"/>
      <c r="ED1001" s="453"/>
      <c r="EE1001" s="453"/>
      <c r="EF1001" s="453"/>
      <c r="EG1001" s="453"/>
      <c r="EH1001" s="453"/>
      <c r="EI1001" s="453"/>
      <c r="EJ1001" s="453"/>
      <c r="EK1001" s="453"/>
      <c r="EL1001" s="453"/>
      <c r="EM1001" s="483">
        <f t="shared" si="243"/>
        <v>692</v>
      </c>
      <c r="EN1001" s="485"/>
      <c r="EO1001" s="458"/>
      <c r="EP1001" s="467"/>
      <c r="EQ1001" s="457"/>
      <c r="ER1001" s="808"/>
      <c r="ES1001" s="881">
        <f t="shared" si="244"/>
        <v>0</v>
      </c>
      <c r="ET1001" s="882"/>
      <c r="EU1001" s="883"/>
      <c r="EV1001" s="884">
        <f t="shared" si="245"/>
        <v>0</v>
      </c>
      <c r="EW1001" s="885"/>
      <c r="EX1001" s="885"/>
      <c r="EY1001" s="885"/>
      <c r="EZ1001" s="885"/>
      <c r="FA1001" s="885"/>
      <c r="FB1001" s="885"/>
      <c r="FC1001" s="885"/>
      <c r="FD1001" s="886"/>
      <c r="FE1001" s="550"/>
      <c r="FF1001" s="550"/>
      <c r="FG1001" s="550"/>
      <c r="FH1001" s="550"/>
      <c r="FI1001" s="550"/>
      <c r="FJ1001" s="550"/>
      <c r="FK1001" s="550"/>
      <c r="FL1001" s="555"/>
      <c r="FM1001" s="554"/>
      <c r="FN1001" s="554"/>
      <c r="FO1001" s="554"/>
      <c r="FP1001" s="554"/>
      <c r="FQ1001" s="554"/>
      <c r="FR1001" s="554"/>
      <c r="FS1001" s="554"/>
      <c r="FT1001" s="554"/>
      <c r="FU1001" s="554"/>
      <c r="FV1001" s="554"/>
      <c r="FW1001" s="554"/>
      <c r="FX1001" s="554"/>
      <c r="FY1001" s="554"/>
      <c r="FZ1001" s="554"/>
      <c r="GA1001" s="554"/>
      <c r="GB1001" s="556"/>
      <c r="GC1001" s="370"/>
      <c r="GD1001" s="453"/>
      <c r="GE1001" s="453"/>
      <c r="GF1001" s="453"/>
      <c r="GG1001" s="453"/>
      <c r="GH1001" s="454"/>
      <c r="GI1001" s="453"/>
      <c r="GJ1001" s="453"/>
      <c r="GK1001" s="453"/>
      <c r="GL1001" s="453"/>
      <c r="GM1001" s="453"/>
      <c r="GN1001" s="453"/>
      <c r="GO1001" s="453"/>
      <c r="GP1001" s="453"/>
      <c r="GQ1001" s="453"/>
      <c r="GR1001" s="453"/>
      <c r="GS1001" s="561"/>
      <c r="GT1001" s="475"/>
      <c r="GU1001" s="472"/>
      <c r="GV1001" s="453"/>
      <c r="GW1001" s="453"/>
      <c r="GX1001" s="869"/>
      <c r="GY1001" s="870"/>
      <c r="GZ1001" s="867"/>
      <c r="HA1001" s="868"/>
      <c r="HB1001" s="473"/>
      <c r="HC1001" s="869"/>
      <c r="HD1001" s="870"/>
      <c r="HE1001" s="867"/>
      <c r="HF1001" s="868"/>
      <c r="HG1001" s="473"/>
      <c r="HH1001" s="867"/>
      <c r="HI1001" s="868"/>
      <c r="HJ1001" s="867"/>
      <c r="HK1001" s="868"/>
      <c r="HL1001" s="370"/>
      <c r="HM1001" s="865"/>
      <c r="HN1001" s="866"/>
      <c r="HO1001" s="865"/>
      <c r="HP1001" s="866"/>
      <c r="HQ1001" s="865"/>
      <c r="HR1001" s="866"/>
      <c r="HS1001" s="867"/>
      <c r="HT1001" s="868"/>
      <c r="HU1001" s="489"/>
      <c r="HV1001" s="865"/>
      <c r="HW1001" s="866"/>
    </row>
    <row r="1002" spans="25:231" ht="15" customHeight="1">
      <c r="Y1002" s="332"/>
      <c r="Z1002" s="332"/>
      <c r="AA1002" s="332"/>
      <c r="AB1002" s="332"/>
      <c r="AC1002" s="332"/>
      <c r="AD1002" s="332"/>
      <c r="AE1002" s="332"/>
      <c r="AF1002" s="332"/>
      <c r="AG1002" s="332"/>
      <c r="AH1002" s="332"/>
      <c r="AI1002" s="332"/>
      <c r="AJ1002" s="332"/>
      <c r="AK1002" s="332"/>
      <c r="AL1002" s="332"/>
      <c r="AM1002" s="332"/>
      <c r="AN1002" s="332"/>
      <c r="AO1002" s="332"/>
      <c r="AP1002" s="332"/>
      <c r="AQ1002" s="332"/>
      <c r="AR1002" s="332"/>
      <c r="AS1002" s="332"/>
      <c r="AT1002" s="332"/>
      <c r="AU1002" s="332"/>
      <c r="AV1002" s="332"/>
      <c r="AW1002" s="332"/>
      <c r="AX1002" s="332"/>
      <c r="AY1002" s="332"/>
      <c r="AZ1002" s="332"/>
      <c r="BA1002" s="332"/>
      <c r="BB1002" s="332"/>
      <c r="BC1002" s="332"/>
      <c r="BD1002" s="332"/>
      <c r="BE1002" s="332"/>
      <c r="BF1002" s="332"/>
      <c r="BG1002" s="332"/>
      <c r="BH1002" s="332"/>
      <c r="BI1002" s="332"/>
      <c r="BJ1002" s="332"/>
      <c r="BK1002" s="332"/>
      <c r="BL1002" s="332"/>
      <c r="BM1002" s="332"/>
      <c r="BN1002" s="332"/>
      <c r="BO1002" s="332"/>
      <c r="BP1002" s="332"/>
      <c r="BQ1002" s="332"/>
      <c r="BR1002" s="332"/>
      <c r="BS1002" s="332"/>
      <c r="BT1002" s="332"/>
      <c r="BU1002" s="332"/>
      <c r="BV1002" s="332"/>
      <c r="BW1002" s="332"/>
      <c r="BX1002" s="332"/>
      <c r="BY1002" s="332"/>
      <c r="BZ1002" s="332"/>
      <c r="CA1002" s="332"/>
      <c r="CB1002" s="332"/>
      <c r="CC1002" s="332"/>
      <c r="CD1002" s="332"/>
      <c r="CE1002" s="332"/>
      <c r="CF1002" s="332"/>
      <c r="CG1002" s="332"/>
      <c r="CH1002" s="332"/>
      <c r="CI1002" s="332"/>
      <c r="CJ1002" s="332"/>
      <c r="CK1002" s="332"/>
      <c r="CL1002" s="332"/>
      <c r="CM1002" s="332"/>
      <c r="CN1002" s="332"/>
      <c r="CO1002" s="332"/>
      <c r="CP1002" s="332"/>
      <c r="CQ1002" s="332"/>
      <c r="CR1002" s="332"/>
      <c r="CS1002" s="332"/>
      <c r="CT1002" s="332"/>
      <c r="CU1002" s="332"/>
      <c r="CV1002" s="332"/>
      <c r="CW1002" s="332"/>
      <c r="CX1002" s="332"/>
      <c r="CY1002" s="332"/>
      <c r="CZ1002" s="332"/>
      <c r="DA1002" s="332"/>
      <c r="DB1002" s="332"/>
      <c r="DC1002" s="332"/>
      <c r="DD1002" s="332"/>
      <c r="DE1002" s="332"/>
      <c r="DF1002" s="332"/>
      <c r="DG1002" s="332"/>
      <c r="DH1002" s="332"/>
      <c r="DI1002" s="332"/>
      <c r="DJ1002" s="332"/>
      <c r="DK1002" s="332"/>
      <c r="DL1002" s="332"/>
      <c r="DM1002" s="332"/>
      <c r="DN1002" s="332"/>
      <c r="DO1002" s="332"/>
      <c r="DP1002" s="332"/>
      <c r="DQ1002" s="332"/>
      <c r="DR1002" s="332"/>
      <c r="DS1002" s="332"/>
      <c r="DT1002" s="332"/>
      <c r="DU1002" s="453"/>
      <c r="DV1002" s="453"/>
      <c r="DW1002" s="453"/>
      <c r="DX1002" s="453"/>
      <c r="DY1002" s="453"/>
      <c r="DZ1002" s="453"/>
      <c r="EA1002" s="453"/>
      <c r="EB1002" s="453"/>
      <c r="EC1002" s="453"/>
      <c r="ED1002" s="453"/>
      <c r="EE1002" s="453"/>
      <c r="EF1002" s="453"/>
      <c r="EG1002" s="453"/>
      <c r="EH1002" s="453"/>
      <c r="EI1002" s="453"/>
      <c r="EJ1002" s="453"/>
      <c r="EK1002" s="453"/>
      <c r="EL1002" s="453"/>
      <c r="EM1002" s="483">
        <f t="shared" si="243"/>
        <v>693</v>
      </c>
      <c r="EN1002" s="485"/>
      <c r="EO1002" s="458"/>
      <c r="EP1002" s="467"/>
      <c r="EQ1002" s="457"/>
      <c r="ER1002" s="808"/>
      <c r="ES1002" s="881">
        <f t="shared" si="244"/>
        <v>0</v>
      </c>
      <c r="ET1002" s="882"/>
      <c r="EU1002" s="883"/>
      <c r="EV1002" s="884">
        <f t="shared" si="245"/>
        <v>0</v>
      </c>
      <c r="EW1002" s="885"/>
      <c r="EX1002" s="885"/>
      <c r="EY1002" s="885"/>
      <c r="EZ1002" s="885"/>
      <c r="FA1002" s="885"/>
      <c r="FB1002" s="885"/>
      <c r="FC1002" s="885"/>
      <c r="FD1002" s="886"/>
      <c r="FE1002" s="550"/>
      <c r="FF1002" s="550"/>
      <c r="FG1002" s="550"/>
      <c r="FH1002" s="550"/>
      <c r="FI1002" s="550"/>
      <c r="FJ1002" s="550"/>
      <c r="FK1002" s="550"/>
      <c r="FL1002" s="555"/>
      <c r="FM1002" s="554"/>
      <c r="FN1002" s="554"/>
      <c r="FO1002" s="554"/>
      <c r="FP1002" s="554"/>
      <c r="FQ1002" s="554"/>
      <c r="FR1002" s="554"/>
      <c r="FS1002" s="554"/>
      <c r="FT1002" s="554"/>
      <c r="FU1002" s="554"/>
      <c r="FV1002" s="554"/>
      <c r="FW1002" s="554"/>
      <c r="FX1002" s="554"/>
      <c r="FY1002" s="554"/>
      <c r="FZ1002" s="554"/>
      <c r="GA1002" s="554"/>
      <c r="GB1002" s="556"/>
      <c r="GC1002" s="370"/>
      <c r="GD1002" s="453"/>
      <c r="GE1002" s="453"/>
      <c r="GF1002" s="453"/>
      <c r="GG1002" s="453"/>
      <c r="GH1002" s="454"/>
      <c r="GI1002" s="453"/>
      <c r="GJ1002" s="453"/>
      <c r="GK1002" s="453"/>
      <c r="GL1002" s="453"/>
      <c r="GM1002" s="453"/>
      <c r="GN1002" s="453"/>
      <c r="GO1002" s="453"/>
      <c r="GP1002" s="453"/>
      <c r="GQ1002" s="453"/>
      <c r="GR1002" s="453"/>
      <c r="GS1002" s="561"/>
      <c r="GT1002" s="475"/>
      <c r="GU1002" s="472"/>
      <c r="GV1002" s="453"/>
      <c r="GW1002" s="453"/>
      <c r="GX1002" s="869"/>
      <c r="GY1002" s="870"/>
      <c r="GZ1002" s="867"/>
      <c r="HA1002" s="868"/>
      <c r="HB1002" s="473"/>
      <c r="HC1002" s="869"/>
      <c r="HD1002" s="870"/>
      <c r="HE1002" s="867"/>
      <c r="HF1002" s="868"/>
      <c r="HG1002" s="473"/>
      <c r="HH1002" s="867"/>
      <c r="HI1002" s="868"/>
      <c r="HJ1002" s="867"/>
      <c r="HK1002" s="868"/>
      <c r="HL1002" s="370"/>
      <c r="HM1002" s="865"/>
      <c r="HN1002" s="866"/>
      <c r="HO1002" s="865"/>
      <c r="HP1002" s="866"/>
      <c r="HQ1002" s="865"/>
      <c r="HR1002" s="866"/>
      <c r="HS1002" s="867"/>
      <c r="HT1002" s="868"/>
      <c r="HU1002" s="489"/>
      <c r="HV1002" s="865"/>
      <c r="HW1002" s="866"/>
    </row>
    <row r="1003" spans="25:231" ht="15" customHeight="1">
      <c r="Y1003" s="332"/>
      <c r="Z1003" s="332"/>
      <c r="AA1003" s="332"/>
      <c r="AB1003" s="332"/>
      <c r="AC1003" s="332"/>
      <c r="AD1003" s="332"/>
      <c r="AE1003" s="332"/>
      <c r="AF1003" s="332"/>
      <c r="AG1003" s="332"/>
      <c r="AH1003" s="332"/>
      <c r="AI1003" s="332"/>
      <c r="AJ1003" s="332"/>
      <c r="AK1003" s="332"/>
      <c r="AL1003" s="332"/>
      <c r="AM1003" s="332"/>
      <c r="AN1003" s="332"/>
      <c r="AO1003" s="332"/>
      <c r="AP1003" s="332"/>
      <c r="AQ1003" s="332"/>
      <c r="AR1003" s="332"/>
      <c r="AS1003" s="332"/>
      <c r="AT1003" s="332"/>
      <c r="AU1003" s="332"/>
      <c r="AV1003" s="332"/>
      <c r="AW1003" s="332"/>
      <c r="AX1003" s="332"/>
      <c r="AY1003" s="332"/>
      <c r="AZ1003" s="332"/>
      <c r="BA1003" s="332"/>
      <c r="BB1003" s="332"/>
      <c r="BC1003" s="332"/>
      <c r="BD1003" s="332"/>
      <c r="BE1003" s="332"/>
      <c r="BF1003" s="332"/>
      <c r="BG1003" s="332"/>
      <c r="BH1003" s="332"/>
      <c r="BI1003" s="332"/>
      <c r="BJ1003" s="332"/>
      <c r="BK1003" s="332"/>
      <c r="BL1003" s="332"/>
      <c r="BM1003" s="332"/>
      <c r="BN1003" s="332"/>
      <c r="BO1003" s="332"/>
      <c r="BP1003" s="332"/>
      <c r="BQ1003" s="332"/>
      <c r="BR1003" s="332"/>
      <c r="BS1003" s="332"/>
      <c r="BT1003" s="332"/>
      <c r="BU1003" s="332"/>
      <c r="BV1003" s="332"/>
      <c r="BW1003" s="332"/>
      <c r="BX1003" s="332"/>
      <c r="BY1003" s="332"/>
      <c r="BZ1003" s="332"/>
      <c r="CA1003" s="332"/>
      <c r="CB1003" s="332"/>
      <c r="CC1003" s="332"/>
      <c r="CD1003" s="332"/>
      <c r="CE1003" s="332"/>
      <c r="CF1003" s="332"/>
      <c r="CG1003" s="332"/>
      <c r="CH1003" s="332"/>
      <c r="CI1003" s="332"/>
      <c r="CJ1003" s="332"/>
      <c r="CK1003" s="332"/>
      <c r="CL1003" s="332"/>
      <c r="CM1003" s="332"/>
      <c r="CN1003" s="332"/>
      <c r="CO1003" s="332"/>
      <c r="CP1003" s="332"/>
      <c r="CQ1003" s="332"/>
      <c r="CR1003" s="332"/>
      <c r="CS1003" s="332"/>
      <c r="CT1003" s="332"/>
      <c r="CU1003" s="332"/>
      <c r="CV1003" s="332"/>
      <c r="CW1003" s="332"/>
      <c r="CX1003" s="332"/>
      <c r="CY1003" s="332"/>
      <c r="CZ1003" s="332"/>
      <c r="DA1003" s="332"/>
      <c r="DB1003" s="332"/>
      <c r="DC1003" s="332"/>
      <c r="DD1003" s="332"/>
      <c r="DE1003" s="332"/>
      <c r="DF1003" s="332"/>
      <c r="DG1003" s="332"/>
      <c r="DH1003" s="332"/>
      <c r="DI1003" s="332"/>
      <c r="DJ1003" s="332"/>
      <c r="DK1003" s="332"/>
      <c r="DL1003" s="332"/>
      <c r="DM1003" s="332"/>
      <c r="DN1003" s="332"/>
      <c r="DO1003" s="332"/>
      <c r="DP1003" s="332"/>
      <c r="DQ1003" s="332"/>
      <c r="DR1003" s="332"/>
      <c r="DS1003" s="332"/>
      <c r="DT1003" s="332"/>
      <c r="DU1003" s="453"/>
      <c r="DV1003" s="453"/>
      <c r="DW1003" s="453"/>
      <c r="DX1003" s="453"/>
      <c r="DY1003" s="453"/>
      <c r="DZ1003" s="453"/>
      <c r="EA1003" s="453"/>
      <c r="EB1003" s="453"/>
      <c r="EC1003" s="453"/>
      <c r="ED1003" s="453"/>
      <c r="EE1003" s="453"/>
      <c r="EF1003" s="453"/>
      <c r="EG1003" s="453"/>
      <c r="EH1003" s="453"/>
      <c r="EI1003" s="453"/>
      <c r="EJ1003" s="453"/>
      <c r="EK1003" s="453"/>
      <c r="EL1003" s="453"/>
      <c r="EM1003" s="483">
        <f t="shared" si="243"/>
        <v>694</v>
      </c>
      <c r="EN1003" s="485"/>
      <c r="EO1003" s="458"/>
      <c r="EP1003" s="467"/>
      <c r="EQ1003" s="457"/>
      <c r="ER1003" s="808"/>
      <c r="ES1003" s="881">
        <f t="shared" si="244"/>
        <v>0</v>
      </c>
      <c r="ET1003" s="882"/>
      <c r="EU1003" s="883"/>
      <c r="EV1003" s="884">
        <f t="shared" si="245"/>
        <v>0</v>
      </c>
      <c r="EW1003" s="885"/>
      <c r="EX1003" s="885"/>
      <c r="EY1003" s="885"/>
      <c r="EZ1003" s="885"/>
      <c r="FA1003" s="885"/>
      <c r="FB1003" s="885"/>
      <c r="FC1003" s="885"/>
      <c r="FD1003" s="886"/>
      <c r="FE1003" s="550"/>
      <c r="FF1003" s="550"/>
      <c r="FG1003" s="550"/>
      <c r="FH1003" s="550"/>
      <c r="FI1003" s="550"/>
      <c r="FJ1003" s="550"/>
      <c r="FK1003" s="550"/>
      <c r="FL1003" s="555"/>
      <c r="FM1003" s="554"/>
      <c r="FN1003" s="554"/>
      <c r="FO1003" s="554"/>
      <c r="FP1003" s="554"/>
      <c r="FQ1003" s="554"/>
      <c r="FR1003" s="554"/>
      <c r="FS1003" s="554"/>
      <c r="FT1003" s="554"/>
      <c r="FU1003" s="554"/>
      <c r="FV1003" s="554"/>
      <c r="FW1003" s="554"/>
      <c r="FX1003" s="554"/>
      <c r="FY1003" s="554"/>
      <c r="FZ1003" s="554"/>
      <c r="GA1003" s="554"/>
      <c r="GB1003" s="556"/>
      <c r="GC1003" s="370"/>
      <c r="GD1003" s="453"/>
      <c r="GE1003" s="453"/>
      <c r="GF1003" s="453"/>
      <c r="GG1003" s="453"/>
      <c r="GH1003" s="454"/>
      <c r="GI1003" s="453"/>
      <c r="GJ1003" s="453"/>
      <c r="GK1003" s="453"/>
      <c r="GL1003" s="453"/>
      <c r="GM1003" s="453"/>
      <c r="GN1003" s="453"/>
      <c r="GO1003" s="453"/>
      <c r="GP1003" s="453"/>
      <c r="GQ1003" s="453"/>
      <c r="GR1003" s="453"/>
      <c r="GS1003" s="561"/>
      <c r="GT1003" s="475"/>
      <c r="GU1003" s="472"/>
      <c r="GV1003" s="453"/>
      <c r="GW1003" s="453"/>
      <c r="GX1003" s="869"/>
      <c r="GY1003" s="870"/>
      <c r="GZ1003" s="867"/>
      <c r="HA1003" s="868"/>
      <c r="HB1003" s="473"/>
      <c r="HC1003" s="869"/>
      <c r="HD1003" s="870"/>
      <c r="HE1003" s="867"/>
      <c r="HF1003" s="868"/>
      <c r="HG1003" s="473"/>
      <c r="HH1003" s="867"/>
      <c r="HI1003" s="868"/>
      <c r="HJ1003" s="867"/>
      <c r="HK1003" s="868"/>
      <c r="HL1003" s="370"/>
      <c r="HM1003" s="865"/>
      <c r="HN1003" s="866"/>
      <c r="HO1003" s="865"/>
      <c r="HP1003" s="866"/>
      <c r="HQ1003" s="865"/>
      <c r="HR1003" s="866"/>
      <c r="HS1003" s="867"/>
      <c r="HT1003" s="868"/>
      <c r="HU1003" s="489"/>
      <c r="HV1003" s="865"/>
      <c r="HW1003" s="866"/>
    </row>
    <row r="1004" spans="25:231" ht="15" customHeight="1">
      <c r="Y1004" s="332"/>
      <c r="Z1004" s="332"/>
      <c r="AA1004" s="332"/>
      <c r="AB1004" s="332"/>
      <c r="AC1004" s="332"/>
      <c r="AD1004" s="332"/>
      <c r="AE1004" s="332"/>
      <c r="AF1004" s="332"/>
      <c r="AG1004" s="332"/>
      <c r="AH1004" s="332"/>
      <c r="AI1004" s="332"/>
      <c r="AJ1004" s="332"/>
      <c r="AK1004" s="332"/>
      <c r="AL1004" s="332"/>
      <c r="AM1004" s="332"/>
      <c r="AN1004" s="332"/>
      <c r="AO1004" s="332"/>
      <c r="AP1004" s="332"/>
      <c r="AQ1004" s="332"/>
      <c r="AR1004" s="332"/>
      <c r="AS1004" s="332"/>
      <c r="AT1004" s="332"/>
      <c r="AU1004" s="332"/>
      <c r="AV1004" s="332"/>
      <c r="AW1004" s="332"/>
      <c r="AX1004" s="332"/>
      <c r="AY1004" s="332"/>
      <c r="AZ1004" s="332"/>
      <c r="BA1004" s="332"/>
      <c r="BB1004" s="332"/>
      <c r="BC1004" s="332"/>
      <c r="BD1004" s="332"/>
      <c r="BE1004" s="332"/>
      <c r="BF1004" s="332"/>
      <c r="BG1004" s="332"/>
      <c r="BH1004" s="332"/>
      <c r="BI1004" s="332"/>
      <c r="BJ1004" s="332"/>
      <c r="BK1004" s="332"/>
      <c r="BL1004" s="332"/>
      <c r="BM1004" s="332"/>
      <c r="BN1004" s="332"/>
      <c r="BO1004" s="332"/>
      <c r="BP1004" s="332"/>
      <c r="BQ1004" s="332"/>
      <c r="BR1004" s="332"/>
      <c r="BS1004" s="332"/>
      <c r="BT1004" s="332"/>
      <c r="BU1004" s="332"/>
      <c r="BV1004" s="332"/>
      <c r="BW1004" s="332"/>
      <c r="BX1004" s="332"/>
      <c r="BY1004" s="332"/>
      <c r="BZ1004" s="332"/>
      <c r="CA1004" s="332"/>
      <c r="CB1004" s="332"/>
      <c r="CC1004" s="332"/>
      <c r="CD1004" s="332"/>
      <c r="CE1004" s="332"/>
      <c r="CF1004" s="332"/>
      <c r="CG1004" s="332"/>
      <c r="CH1004" s="332"/>
      <c r="CI1004" s="332"/>
      <c r="CJ1004" s="332"/>
      <c r="CK1004" s="332"/>
      <c r="CL1004" s="332"/>
      <c r="CM1004" s="332"/>
      <c r="CN1004" s="332"/>
      <c r="CO1004" s="332"/>
      <c r="CP1004" s="332"/>
      <c r="CQ1004" s="332"/>
      <c r="CR1004" s="332"/>
      <c r="CS1004" s="332"/>
      <c r="CT1004" s="332"/>
      <c r="CU1004" s="332"/>
      <c r="CV1004" s="332"/>
      <c r="CW1004" s="332"/>
      <c r="CX1004" s="332"/>
      <c r="CY1004" s="332"/>
      <c r="CZ1004" s="332"/>
      <c r="DA1004" s="332"/>
      <c r="DB1004" s="332"/>
      <c r="DC1004" s="332"/>
      <c r="DD1004" s="332"/>
      <c r="DE1004" s="332"/>
      <c r="DF1004" s="332"/>
      <c r="DG1004" s="332"/>
      <c r="DH1004" s="332"/>
      <c r="DI1004" s="332"/>
      <c r="DJ1004" s="332"/>
      <c r="DK1004" s="332"/>
      <c r="DL1004" s="332"/>
      <c r="DM1004" s="332"/>
      <c r="DN1004" s="332"/>
      <c r="DO1004" s="332"/>
      <c r="DP1004" s="332"/>
      <c r="DQ1004" s="332"/>
      <c r="DR1004" s="332"/>
      <c r="DS1004" s="332"/>
      <c r="DT1004" s="332"/>
      <c r="DU1004" s="453"/>
      <c r="DV1004" s="453"/>
      <c r="DW1004" s="453"/>
      <c r="DX1004" s="453"/>
      <c r="DY1004" s="453"/>
      <c r="DZ1004" s="453"/>
      <c r="EA1004" s="453"/>
      <c r="EB1004" s="453"/>
      <c r="EC1004" s="453"/>
      <c r="ED1004" s="453"/>
      <c r="EE1004" s="453"/>
      <c r="EF1004" s="453"/>
      <c r="EG1004" s="453"/>
      <c r="EH1004" s="453"/>
      <c r="EI1004" s="453"/>
      <c r="EJ1004" s="453"/>
      <c r="EK1004" s="453"/>
      <c r="EL1004" s="453"/>
      <c r="EM1004" s="483">
        <f t="shared" si="243"/>
        <v>695</v>
      </c>
      <c r="EN1004" s="485"/>
      <c r="EO1004" s="458"/>
      <c r="EP1004" s="467"/>
      <c r="EQ1004" s="457"/>
      <c r="ER1004" s="808"/>
      <c r="ES1004" s="881">
        <f t="shared" si="244"/>
        <v>0</v>
      </c>
      <c r="ET1004" s="882"/>
      <c r="EU1004" s="883"/>
      <c r="EV1004" s="884">
        <f t="shared" si="245"/>
        <v>0</v>
      </c>
      <c r="EW1004" s="885"/>
      <c r="EX1004" s="885"/>
      <c r="EY1004" s="885"/>
      <c r="EZ1004" s="885"/>
      <c r="FA1004" s="885"/>
      <c r="FB1004" s="885"/>
      <c r="FC1004" s="885"/>
      <c r="FD1004" s="886"/>
      <c r="FE1004" s="550"/>
      <c r="FF1004" s="550"/>
      <c r="FG1004" s="550"/>
      <c r="FH1004" s="550"/>
      <c r="FI1004" s="550"/>
      <c r="FJ1004" s="550"/>
      <c r="FK1004" s="550"/>
      <c r="FL1004" s="555"/>
      <c r="FM1004" s="554"/>
      <c r="FN1004" s="554"/>
      <c r="FO1004" s="554"/>
      <c r="FP1004" s="554"/>
      <c r="FQ1004" s="554"/>
      <c r="FR1004" s="554"/>
      <c r="FS1004" s="554"/>
      <c r="FT1004" s="554"/>
      <c r="FU1004" s="554"/>
      <c r="FV1004" s="554"/>
      <c r="FW1004" s="554"/>
      <c r="FX1004" s="554"/>
      <c r="FY1004" s="554"/>
      <c r="FZ1004" s="554"/>
      <c r="GA1004" s="554"/>
      <c r="GB1004" s="556"/>
      <c r="GC1004" s="370"/>
      <c r="GD1004" s="453"/>
      <c r="GE1004" s="453"/>
      <c r="GF1004" s="453"/>
      <c r="GG1004" s="453"/>
      <c r="GH1004" s="454"/>
      <c r="GI1004" s="453"/>
      <c r="GJ1004" s="453"/>
      <c r="GK1004" s="453"/>
      <c r="GL1004" s="453"/>
      <c r="GM1004" s="453"/>
      <c r="GN1004" s="453"/>
      <c r="GO1004" s="453"/>
      <c r="GP1004" s="453"/>
      <c r="GQ1004" s="453"/>
      <c r="GR1004" s="453"/>
      <c r="GS1004" s="561"/>
      <c r="GT1004" s="475"/>
      <c r="GU1004" s="472"/>
      <c r="GV1004" s="453"/>
      <c r="GW1004" s="453"/>
      <c r="GX1004" s="869"/>
      <c r="GY1004" s="870"/>
      <c r="GZ1004" s="867"/>
      <c r="HA1004" s="868"/>
      <c r="HB1004" s="473"/>
      <c r="HC1004" s="869"/>
      <c r="HD1004" s="870"/>
      <c r="HE1004" s="867"/>
      <c r="HF1004" s="868"/>
      <c r="HG1004" s="473"/>
      <c r="HH1004" s="867"/>
      <c r="HI1004" s="868"/>
      <c r="HJ1004" s="867"/>
      <c r="HK1004" s="868"/>
      <c r="HL1004" s="370"/>
      <c r="HM1004" s="865"/>
      <c r="HN1004" s="866"/>
      <c r="HO1004" s="865"/>
      <c r="HP1004" s="866"/>
      <c r="HQ1004" s="865"/>
      <c r="HR1004" s="866"/>
      <c r="HS1004" s="867"/>
      <c r="HT1004" s="868"/>
      <c r="HU1004" s="489"/>
      <c r="HV1004" s="865"/>
      <c r="HW1004" s="866"/>
    </row>
    <row r="1005" spans="25:231" ht="15" customHeight="1">
      <c r="Y1005" s="332"/>
      <c r="Z1005" s="332"/>
      <c r="AA1005" s="332"/>
      <c r="AB1005" s="332"/>
      <c r="AC1005" s="332"/>
      <c r="AD1005" s="332"/>
      <c r="AE1005" s="332"/>
      <c r="AF1005" s="332"/>
      <c r="AG1005" s="332"/>
      <c r="AH1005" s="332"/>
      <c r="AI1005" s="332"/>
      <c r="AJ1005" s="332"/>
      <c r="AK1005" s="332"/>
      <c r="AL1005" s="332"/>
      <c r="AM1005" s="332"/>
      <c r="AN1005" s="332"/>
      <c r="AO1005" s="332"/>
      <c r="AP1005" s="332"/>
      <c r="AQ1005" s="332"/>
      <c r="AR1005" s="332"/>
      <c r="AS1005" s="332"/>
      <c r="AT1005" s="332"/>
      <c r="AU1005" s="332"/>
      <c r="AV1005" s="332"/>
      <c r="AW1005" s="332"/>
      <c r="AX1005" s="332"/>
      <c r="AY1005" s="332"/>
      <c r="AZ1005" s="332"/>
      <c r="BA1005" s="332"/>
      <c r="BB1005" s="332"/>
      <c r="BC1005" s="332"/>
      <c r="BD1005" s="332"/>
      <c r="BE1005" s="332"/>
      <c r="BF1005" s="332"/>
      <c r="BG1005" s="332"/>
      <c r="BH1005" s="332"/>
      <c r="BI1005" s="332"/>
      <c r="BJ1005" s="332"/>
      <c r="BK1005" s="332"/>
      <c r="BL1005" s="332"/>
      <c r="BM1005" s="332"/>
      <c r="BN1005" s="332"/>
      <c r="BO1005" s="332"/>
      <c r="BP1005" s="332"/>
      <c r="BQ1005" s="332"/>
      <c r="BR1005" s="332"/>
      <c r="BS1005" s="332"/>
      <c r="BT1005" s="332"/>
      <c r="BU1005" s="332"/>
      <c r="BV1005" s="332"/>
      <c r="BW1005" s="332"/>
      <c r="BX1005" s="332"/>
      <c r="BY1005" s="332"/>
      <c r="BZ1005" s="332"/>
      <c r="CA1005" s="332"/>
      <c r="CB1005" s="332"/>
      <c r="CC1005" s="332"/>
      <c r="CD1005" s="332"/>
      <c r="CE1005" s="332"/>
      <c r="CF1005" s="332"/>
      <c r="CG1005" s="332"/>
      <c r="CH1005" s="332"/>
      <c r="CI1005" s="332"/>
      <c r="CJ1005" s="332"/>
      <c r="CK1005" s="332"/>
      <c r="CL1005" s="332"/>
      <c r="CM1005" s="332"/>
      <c r="CN1005" s="332"/>
      <c r="CO1005" s="332"/>
      <c r="CP1005" s="332"/>
      <c r="CQ1005" s="332"/>
      <c r="CR1005" s="332"/>
      <c r="CS1005" s="332"/>
      <c r="CT1005" s="332"/>
      <c r="CU1005" s="332"/>
      <c r="CV1005" s="332"/>
      <c r="CW1005" s="332"/>
      <c r="CX1005" s="332"/>
      <c r="CY1005" s="332"/>
      <c r="CZ1005" s="332"/>
      <c r="DA1005" s="332"/>
      <c r="DB1005" s="332"/>
      <c r="DC1005" s="332"/>
      <c r="DD1005" s="332"/>
      <c r="DE1005" s="332"/>
      <c r="DF1005" s="332"/>
      <c r="DG1005" s="332"/>
      <c r="DH1005" s="332"/>
      <c r="DI1005" s="332"/>
      <c r="DJ1005" s="332"/>
      <c r="DK1005" s="332"/>
      <c r="DL1005" s="332"/>
      <c r="DM1005" s="332"/>
      <c r="DN1005" s="332"/>
      <c r="DO1005" s="332"/>
      <c r="DP1005" s="332"/>
      <c r="DQ1005" s="332"/>
      <c r="DR1005" s="332"/>
      <c r="DS1005" s="332"/>
      <c r="DT1005" s="332"/>
      <c r="DU1005" s="453"/>
      <c r="DV1005" s="453"/>
      <c r="DW1005" s="453"/>
      <c r="DX1005" s="453"/>
      <c r="DY1005" s="453"/>
      <c r="DZ1005" s="453"/>
      <c r="EA1005" s="453"/>
      <c r="EB1005" s="453"/>
      <c r="EC1005" s="453"/>
      <c r="ED1005" s="453"/>
      <c r="EE1005" s="453"/>
      <c r="EF1005" s="453"/>
      <c r="EG1005" s="453"/>
      <c r="EH1005" s="453"/>
      <c r="EI1005" s="453"/>
      <c r="EJ1005" s="453"/>
      <c r="EK1005" s="453"/>
      <c r="EL1005" s="453"/>
      <c r="EM1005" s="483">
        <f t="shared" si="243"/>
        <v>696</v>
      </c>
      <c r="EN1005" s="485"/>
      <c r="EO1005" s="458"/>
      <c r="EP1005" s="467"/>
      <c r="EQ1005" s="457"/>
      <c r="ER1005" s="808"/>
      <c r="ES1005" s="881">
        <f t="shared" si="244"/>
        <v>0</v>
      </c>
      <c r="ET1005" s="882"/>
      <c r="EU1005" s="883"/>
      <c r="EV1005" s="884">
        <f t="shared" si="245"/>
        <v>0</v>
      </c>
      <c r="EW1005" s="885"/>
      <c r="EX1005" s="885"/>
      <c r="EY1005" s="885"/>
      <c r="EZ1005" s="885"/>
      <c r="FA1005" s="885"/>
      <c r="FB1005" s="885"/>
      <c r="FC1005" s="885"/>
      <c r="FD1005" s="886"/>
      <c r="FE1005" s="550"/>
      <c r="FF1005" s="550"/>
      <c r="FG1005" s="550"/>
      <c r="FH1005" s="550"/>
      <c r="FI1005" s="550"/>
      <c r="FJ1005" s="550"/>
      <c r="FK1005" s="550"/>
      <c r="FL1005" s="555"/>
      <c r="FM1005" s="554"/>
      <c r="FN1005" s="554"/>
      <c r="FO1005" s="554"/>
      <c r="FP1005" s="554"/>
      <c r="FQ1005" s="554"/>
      <c r="FR1005" s="554"/>
      <c r="FS1005" s="554"/>
      <c r="FT1005" s="554"/>
      <c r="FU1005" s="554"/>
      <c r="FV1005" s="554"/>
      <c r="FW1005" s="554"/>
      <c r="FX1005" s="554"/>
      <c r="FY1005" s="554"/>
      <c r="FZ1005" s="554"/>
      <c r="GA1005" s="554"/>
      <c r="GB1005" s="556"/>
      <c r="GC1005" s="370"/>
      <c r="GD1005" s="453"/>
      <c r="GE1005" s="453"/>
      <c r="GF1005" s="453"/>
      <c r="GG1005" s="453"/>
      <c r="GH1005" s="454"/>
      <c r="GI1005" s="453"/>
      <c r="GJ1005" s="453"/>
      <c r="GK1005" s="453"/>
      <c r="GL1005" s="453"/>
      <c r="GM1005" s="453"/>
      <c r="GN1005" s="453"/>
      <c r="GO1005" s="453"/>
      <c r="GP1005" s="453"/>
      <c r="GQ1005" s="453"/>
      <c r="GR1005" s="453"/>
      <c r="GS1005" s="561"/>
      <c r="GT1005" s="475"/>
      <c r="GU1005" s="472"/>
      <c r="GV1005" s="453"/>
      <c r="GW1005" s="453"/>
      <c r="GX1005" s="869"/>
      <c r="GY1005" s="870"/>
      <c r="GZ1005" s="867"/>
      <c r="HA1005" s="868"/>
      <c r="HB1005" s="473"/>
      <c r="HC1005" s="869"/>
      <c r="HD1005" s="870"/>
      <c r="HE1005" s="867"/>
      <c r="HF1005" s="868"/>
      <c r="HG1005" s="473"/>
      <c r="HH1005" s="867"/>
      <c r="HI1005" s="868"/>
      <c r="HJ1005" s="867"/>
      <c r="HK1005" s="868"/>
      <c r="HL1005" s="370"/>
      <c r="HM1005" s="865"/>
      <c r="HN1005" s="866"/>
      <c r="HO1005" s="865"/>
      <c r="HP1005" s="866"/>
      <c r="HQ1005" s="865"/>
      <c r="HR1005" s="866"/>
      <c r="HS1005" s="867"/>
      <c r="HT1005" s="868"/>
      <c r="HU1005" s="489"/>
      <c r="HV1005" s="865"/>
      <c r="HW1005" s="866"/>
    </row>
    <row r="1006" spans="25:231" ht="15" customHeight="1">
      <c r="Y1006" s="332"/>
      <c r="Z1006" s="332"/>
      <c r="AA1006" s="332"/>
      <c r="AB1006" s="332"/>
      <c r="AC1006" s="332"/>
      <c r="AD1006" s="332"/>
      <c r="AE1006" s="332"/>
      <c r="AF1006" s="332"/>
      <c r="AG1006" s="332"/>
      <c r="AH1006" s="332"/>
      <c r="AI1006" s="332"/>
      <c r="AJ1006" s="332"/>
      <c r="AK1006" s="332"/>
      <c r="AL1006" s="332"/>
      <c r="AM1006" s="332"/>
      <c r="AN1006" s="332"/>
      <c r="AO1006" s="332"/>
      <c r="AP1006" s="332"/>
      <c r="AQ1006" s="332"/>
      <c r="AR1006" s="332"/>
      <c r="AS1006" s="332"/>
      <c r="AT1006" s="332"/>
      <c r="AU1006" s="332"/>
      <c r="AV1006" s="332"/>
      <c r="AW1006" s="332"/>
      <c r="AX1006" s="332"/>
      <c r="AY1006" s="332"/>
      <c r="AZ1006" s="332"/>
      <c r="BA1006" s="332"/>
      <c r="BB1006" s="332"/>
      <c r="BC1006" s="332"/>
      <c r="BD1006" s="332"/>
      <c r="BE1006" s="332"/>
      <c r="BF1006" s="332"/>
      <c r="BG1006" s="332"/>
      <c r="BH1006" s="332"/>
      <c r="BI1006" s="332"/>
      <c r="BJ1006" s="332"/>
      <c r="BK1006" s="332"/>
      <c r="BL1006" s="332"/>
      <c r="BM1006" s="332"/>
      <c r="BN1006" s="332"/>
      <c r="BO1006" s="332"/>
      <c r="BP1006" s="332"/>
      <c r="BQ1006" s="332"/>
      <c r="BR1006" s="332"/>
      <c r="BS1006" s="332"/>
      <c r="BT1006" s="332"/>
      <c r="BU1006" s="332"/>
      <c r="BV1006" s="332"/>
      <c r="BW1006" s="332"/>
      <c r="BX1006" s="332"/>
      <c r="BY1006" s="332"/>
      <c r="BZ1006" s="332"/>
      <c r="CA1006" s="332"/>
      <c r="CB1006" s="332"/>
      <c r="CC1006" s="332"/>
      <c r="CD1006" s="332"/>
      <c r="CE1006" s="332"/>
      <c r="CF1006" s="332"/>
      <c r="CG1006" s="332"/>
      <c r="CH1006" s="332"/>
      <c r="CI1006" s="332"/>
      <c r="CJ1006" s="332"/>
      <c r="CK1006" s="332"/>
      <c r="CL1006" s="332"/>
      <c r="CM1006" s="332"/>
      <c r="CN1006" s="332"/>
      <c r="CO1006" s="332"/>
      <c r="CP1006" s="332"/>
      <c r="CQ1006" s="332"/>
      <c r="CR1006" s="332"/>
      <c r="CS1006" s="332"/>
      <c r="CT1006" s="332"/>
      <c r="CU1006" s="332"/>
      <c r="CV1006" s="332"/>
      <c r="CW1006" s="332"/>
      <c r="CX1006" s="332"/>
      <c r="CY1006" s="332"/>
      <c r="CZ1006" s="332"/>
      <c r="DA1006" s="332"/>
      <c r="DB1006" s="332"/>
      <c r="DC1006" s="332"/>
      <c r="DD1006" s="332"/>
      <c r="DE1006" s="332"/>
      <c r="DF1006" s="332"/>
      <c r="DG1006" s="332"/>
      <c r="DH1006" s="332"/>
      <c r="DI1006" s="332"/>
      <c r="DJ1006" s="332"/>
      <c r="DK1006" s="332"/>
      <c r="DL1006" s="332"/>
      <c r="DM1006" s="332"/>
      <c r="DN1006" s="332"/>
      <c r="DO1006" s="332"/>
      <c r="DP1006" s="332"/>
      <c r="DQ1006" s="332"/>
      <c r="DR1006" s="332"/>
      <c r="DS1006" s="332"/>
      <c r="DT1006" s="332"/>
      <c r="DU1006" s="453"/>
      <c r="DV1006" s="453"/>
      <c r="DW1006" s="453"/>
      <c r="DX1006" s="453"/>
      <c r="DY1006" s="453"/>
      <c r="DZ1006" s="453"/>
      <c r="EA1006" s="453"/>
      <c r="EB1006" s="453"/>
      <c r="EC1006" s="453"/>
      <c r="ED1006" s="453"/>
      <c r="EE1006" s="453"/>
      <c r="EF1006" s="453"/>
      <c r="EG1006" s="453"/>
      <c r="EH1006" s="453"/>
      <c r="EI1006" s="453"/>
      <c r="EJ1006" s="453"/>
      <c r="EK1006" s="453"/>
      <c r="EL1006" s="453"/>
      <c r="EM1006" s="483">
        <f t="shared" si="243"/>
        <v>697</v>
      </c>
      <c r="EN1006" s="485"/>
      <c r="EO1006" s="458"/>
      <c r="EP1006" s="467"/>
      <c r="EQ1006" s="457"/>
      <c r="ER1006" s="808"/>
      <c r="ES1006" s="881">
        <f t="shared" si="244"/>
        <v>0</v>
      </c>
      <c r="ET1006" s="882"/>
      <c r="EU1006" s="883"/>
      <c r="EV1006" s="884">
        <f t="shared" si="245"/>
        <v>0</v>
      </c>
      <c r="EW1006" s="885"/>
      <c r="EX1006" s="885"/>
      <c r="EY1006" s="885"/>
      <c r="EZ1006" s="885"/>
      <c r="FA1006" s="885"/>
      <c r="FB1006" s="885"/>
      <c r="FC1006" s="885"/>
      <c r="FD1006" s="886"/>
      <c r="FE1006" s="550"/>
      <c r="FF1006" s="550"/>
      <c r="FG1006" s="550"/>
      <c r="FH1006" s="550"/>
      <c r="FI1006" s="550"/>
      <c r="FJ1006" s="550"/>
      <c r="FK1006" s="550"/>
      <c r="FL1006" s="555"/>
      <c r="FM1006" s="554"/>
      <c r="FN1006" s="554"/>
      <c r="FO1006" s="554"/>
      <c r="FP1006" s="554"/>
      <c r="FQ1006" s="554"/>
      <c r="FR1006" s="554"/>
      <c r="FS1006" s="554"/>
      <c r="FT1006" s="554"/>
      <c r="FU1006" s="554"/>
      <c r="FV1006" s="554"/>
      <c r="FW1006" s="554"/>
      <c r="FX1006" s="554"/>
      <c r="FY1006" s="554"/>
      <c r="FZ1006" s="554"/>
      <c r="GA1006" s="554"/>
      <c r="GB1006" s="556"/>
      <c r="GC1006" s="370"/>
      <c r="GD1006" s="453"/>
      <c r="GE1006" s="453"/>
      <c r="GF1006" s="453"/>
      <c r="GG1006" s="453"/>
      <c r="GH1006" s="454"/>
      <c r="GI1006" s="453"/>
      <c r="GJ1006" s="453"/>
      <c r="GK1006" s="453"/>
      <c r="GL1006" s="453"/>
      <c r="GM1006" s="453"/>
      <c r="GN1006" s="453"/>
      <c r="GO1006" s="453"/>
      <c r="GP1006" s="453"/>
      <c r="GQ1006" s="453"/>
      <c r="GR1006" s="453"/>
      <c r="GS1006" s="561"/>
      <c r="GT1006" s="475"/>
      <c r="GU1006" s="472"/>
      <c r="GV1006" s="453"/>
      <c r="GW1006" s="453"/>
      <c r="GX1006" s="869"/>
      <c r="GY1006" s="870"/>
      <c r="GZ1006" s="867"/>
      <c r="HA1006" s="868"/>
      <c r="HB1006" s="473"/>
      <c r="HC1006" s="869"/>
      <c r="HD1006" s="870"/>
      <c r="HE1006" s="867"/>
      <c r="HF1006" s="868"/>
      <c r="HG1006" s="473"/>
      <c r="HH1006" s="867"/>
      <c r="HI1006" s="868"/>
      <c r="HJ1006" s="867"/>
      <c r="HK1006" s="868"/>
      <c r="HL1006" s="370"/>
      <c r="HM1006" s="865"/>
      <c r="HN1006" s="866"/>
      <c r="HO1006" s="865"/>
      <c r="HP1006" s="866"/>
      <c r="HQ1006" s="865"/>
      <c r="HR1006" s="866"/>
      <c r="HS1006" s="867"/>
      <c r="HT1006" s="868"/>
      <c r="HU1006" s="489"/>
      <c r="HV1006" s="865"/>
      <c r="HW1006" s="866"/>
    </row>
    <row r="1007" spans="25:231" ht="15" customHeight="1">
      <c r="Y1007" s="332"/>
      <c r="Z1007" s="332"/>
      <c r="AA1007" s="332"/>
      <c r="AB1007" s="332"/>
      <c r="AC1007" s="332"/>
      <c r="AD1007" s="332"/>
      <c r="AE1007" s="332"/>
      <c r="AF1007" s="332"/>
      <c r="AG1007" s="332"/>
      <c r="AH1007" s="332"/>
      <c r="AI1007" s="332"/>
      <c r="AJ1007" s="332"/>
      <c r="AK1007" s="332"/>
      <c r="AL1007" s="332"/>
      <c r="AM1007" s="332"/>
      <c r="AN1007" s="332"/>
      <c r="AO1007" s="332"/>
      <c r="AP1007" s="332"/>
      <c r="AQ1007" s="332"/>
      <c r="AR1007" s="332"/>
      <c r="AS1007" s="332"/>
      <c r="AT1007" s="332"/>
      <c r="AU1007" s="332"/>
      <c r="AV1007" s="332"/>
      <c r="AW1007" s="332"/>
      <c r="AX1007" s="332"/>
      <c r="AY1007" s="332"/>
      <c r="AZ1007" s="332"/>
      <c r="BA1007" s="332"/>
      <c r="BB1007" s="332"/>
      <c r="BC1007" s="332"/>
      <c r="BD1007" s="332"/>
      <c r="BE1007" s="332"/>
      <c r="BF1007" s="332"/>
      <c r="BG1007" s="332"/>
      <c r="BH1007" s="332"/>
      <c r="BI1007" s="332"/>
      <c r="BJ1007" s="332"/>
      <c r="BK1007" s="332"/>
      <c r="BL1007" s="332"/>
      <c r="BM1007" s="332"/>
      <c r="BN1007" s="332"/>
      <c r="BO1007" s="332"/>
      <c r="BP1007" s="332"/>
      <c r="BQ1007" s="332"/>
      <c r="BR1007" s="332"/>
      <c r="BS1007" s="332"/>
      <c r="BT1007" s="332"/>
      <c r="BU1007" s="332"/>
      <c r="BV1007" s="332"/>
      <c r="BW1007" s="332"/>
      <c r="BX1007" s="332"/>
      <c r="BY1007" s="332"/>
      <c r="BZ1007" s="332"/>
      <c r="CA1007" s="332"/>
      <c r="CB1007" s="332"/>
      <c r="CC1007" s="332"/>
      <c r="CD1007" s="332"/>
      <c r="CE1007" s="332"/>
      <c r="CF1007" s="332"/>
      <c r="CG1007" s="332"/>
      <c r="CH1007" s="332"/>
      <c r="CI1007" s="332"/>
      <c r="CJ1007" s="332"/>
      <c r="CK1007" s="332"/>
      <c r="CL1007" s="332"/>
      <c r="CM1007" s="332"/>
      <c r="CN1007" s="332"/>
      <c r="CO1007" s="332"/>
      <c r="CP1007" s="332"/>
      <c r="CQ1007" s="332"/>
      <c r="CR1007" s="332"/>
      <c r="CS1007" s="332"/>
      <c r="CT1007" s="332"/>
      <c r="CU1007" s="332"/>
      <c r="CV1007" s="332"/>
      <c r="CW1007" s="332"/>
      <c r="CX1007" s="332"/>
      <c r="CY1007" s="332"/>
      <c r="CZ1007" s="332"/>
      <c r="DA1007" s="332"/>
      <c r="DB1007" s="332"/>
      <c r="DC1007" s="332"/>
      <c r="DD1007" s="332"/>
      <c r="DE1007" s="332"/>
      <c r="DF1007" s="332"/>
      <c r="DG1007" s="332"/>
      <c r="DH1007" s="332"/>
      <c r="DI1007" s="332"/>
      <c r="DJ1007" s="332"/>
      <c r="DK1007" s="332"/>
      <c r="DL1007" s="332"/>
      <c r="DM1007" s="332"/>
      <c r="DN1007" s="332"/>
      <c r="DO1007" s="332"/>
      <c r="DP1007" s="332"/>
      <c r="DQ1007" s="332"/>
      <c r="DR1007" s="332"/>
      <c r="DS1007" s="332"/>
      <c r="DT1007" s="332"/>
      <c r="DU1007" s="453"/>
      <c r="DV1007" s="453"/>
      <c r="DW1007" s="453"/>
      <c r="DX1007" s="453"/>
      <c r="DY1007" s="453"/>
      <c r="DZ1007" s="453"/>
      <c r="EA1007" s="453"/>
      <c r="EB1007" s="453"/>
      <c r="EC1007" s="453"/>
      <c r="ED1007" s="453"/>
      <c r="EE1007" s="453"/>
      <c r="EF1007" s="453"/>
      <c r="EG1007" s="453"/>
      <c r="EH1007" s="453"/>
      <c r="EI1007" s="453"/>
      <c r="EJ1007" s="453"/>
      <c r="EK1007" s="453"/>
      <c r="EL1007" s="453"/>
      <c r="EM1007" s="483">
        <f t="shared" si="243"/>
        <v>698</v>
      </c>
      <c r="EN1007" s="485"/>
      <c r="EO1007" s="458"/>
      <c r="EP1007" s="467"/>
      <c r="EQ1007" s="457"/>
      <c r="ER1007" s="808"/>
      <c r="ES1007" s="881">
        <f t="shared" si="244"/>
        <v>0</v>
      </c>
      <c r="ET1007" s="882"/>
      <c r="EU1007" s="883"/>
      <c r="EV1007" s="884">
        <f t="shared" si="245"/>
        <v>0</v>
      </c>
      <c r="EW1007" s="885"/>
      <c r="EX1007" s="885"/>
      <c r="EY1007" s="885"/>
      <c r="EZ1007" s="885"/>
      <c r="FA1007" s="885"/>
      <c r="FB1007" s="885"/>
      <c r="FC1007" s="885"/>
      <c r="FD1007" s="886"/>
      <c r="FE1007" s="550"/>
      <c r="FF1007" s="550"/>
      <c r="FG1007" s="550"/>
      <c r="FH1007" s="550"/>
      <c r="FI1007" s="550"/>
      <c r="FJ1007" s="550"/>
      <c r="FK1007" s="550"/>
      <c r="FL1007" s="555"/>
      <c r="FM1007" s="554"/>
      <c r="FN1007" s="554"/>
      <c r="FO1007" s="554"/>
      <c r="FP1007" s="554"/>
      <c r="FQ1007" s="554"/>
      <c r="FR1007" s="554"/>
      <c r="FS1007" s="554"/>
      <c r="FT1007" s="554"/>
      <c r="FU1007" s="554"/>
      <c r="FV1007" s="554"/>
      <c r="FW1007" s="554"/>
      <c r="FX1007" s="554"/>
      <c r="FY1007" s="554"/>
      <c r="FZ1007" s="554"/>
      <c r="GA1007" s="554"/>
      <c r="GB1007" s="556"/>
      <c r="GC1007" s="370"/>
      <c r="GD1007" s="453"/>
      <c r="GE1007" s="453"/>
      <c r="GF1007" s="453"/>
      <c r="GG1007" s="453"/>
      <c r="GH1007" s="454"/>
      <c r="GI1007" s="453"/>
      <c r="GJ1007" s="453"/>
      <c r="GK1007" s="453"/>
      <c r="GL1007" s="453"/>
      <c r="GM1007" s="453"/>
      <c r="GN1007" s="453"/>
      <c r="GO1007" s="453"/>
      <c r="GP1007" s="453"/>
      <c r="GQ1007" s="453"/>
      <c r="GR1007" s="453"/>
      <c r="GS1007" s="561"/>
      <c r="GT1007" s="475"/>
      <c r="GU1007" s="472"/>
      <c r="GV1007" s="453"/>
      <c r="GW1007" s="453"/>
      <c r="GX1007" s="869"/>
      <c r="GY1007" s="870"/>
      <c r="GZ1007" s="867"/>
      <c r="HA1007" s="868"/>
      <c r="HB1007" s="473"/>
      <c r="HC1007" s="869"/>
      <c r="HD1007" s="870"/>
      <c r="HE1007" s="867"/>
      <c r="HF1007" s="868"/>
      <c r="HG1007" s="473"/>
      <c r="HH1007" s="867"/>
      <c r="HI1007" s="868"/>
      <c r="HJ1007" s="867"/>
      <c r="HK1007" s="868"/>
      <c r="HL1007" s="370"/>
      <c r="HM1007" s="865"/>
      <c r="HN1007" s="866"/>
      <c r="HO1007" s="865"/>
      <c r="HP1007" s="866"/>
      <c r="HQ1007" s="865"/>
      <c r="HR1007" s="866"/>
      <c r="HS1007" s="867"/>
      <c r="HT1007" s="868"/>
      <c r="HU1007" s="489"/>
      <c r="HV1007" s="865"/>
      <c r="HW1007" s="866"/>
    </row>
    <row r="1008" spans="25:231" ht="15" customHeight="1">
      <c r="Y1008" s="332"/>
      <c r="Z1008" s="332"/>
      <c r="AA1008" s="332"/>
      <c r="AB1008" s="332"/>
      <c r="AC1008" s="332"/>
      <c r="AD1008" s="332"/>
      <c r="AE1008" s="332"/>
      <c r="AF1008" s="332"/>
      <c r="AG1008" s="332"/>
      <c r="AH1008" s="332"/>
      <c r="AI1008" s="332"/>
      <c r="AJ1008" s="332"/>
      <c r="AK1008" s="332"/>
      <c r="AL1008" s="332"/>
      <c r="AM1008" s="332"/>
      <c r="AN1008" s="332"/>
      <c r="AO1008" s="332"/>
      <c r="AP1008" s="332"/>
      <c r="AQ1008" s="332"/>
      <c r="AR1008" s="332"/>
      <c r="AS1008" s="332"/>
      <c r="AT1008" s="332"/>
      <c r="AU1008" s="332"/>
      <c r="AV1008" s="332"/>
      <c r="AW1008" s="332"/>
      <c r="AX1008" s="332"/>
      <c r="AY1008" s="332"/>
      <c r="AZ1008" s="332"/>
      <c r="BA1008" s="332"/>
      <c r="BB1008" s="332"/>
      <c r="BC1008" s="332"/>
      <c r="BD1008" s="332"/>
      <c r="BE1008" s="332"/>
      <c r="BF1008" s="332"/>
      <c r="BG1008" s="332"/>
      <c r="BH1008" s="332"/>
      <c r="BI1008" s="332"/>
      <c r="BJ1008" s="332"/>
      <c r="BK1008" s="332"/>
      <c r="BL1008" s="332"/>
      <c r="BM1008" s="332"/>
      <c r="BN1008" s="332"/>
      <c r="BO1008" s="332"/>
      <c r="BP1008" s="332"/>
      <c r="BQ1008" s="332"/>
      <c r="BR1008" s="332"/>
      <c r="BS1008" s="332"/>
      <c r="BT1008" s="332"/>
      <c r="BU1008" s="332"/>
      <c r="BV1008" s="332"/>
      <c r="BW1008" s="332"/>
      <c r="BX1008" s="332"/>
      <c r="BY1008" s="332"/>
      <c r="BZ1008" s="332"/>
      <c r="CA1008" s="332"/>
      <c r="CB1008" s="332"/>
      <c r="CC1008" s="332"/>
      <c r="CD1008" s="332"/>
      <c r="CE1008" s="332"/>
      <c r="CF1008" s="332"/>
      <c r="CG1008" s="332"/>
      <c r="CH1008" s="332"/>
      <c r="CI1008" s="332"/>
      <c r="CJ1008" s="332"/>
      <c r="CK1008" s="332"/>
      <c r="CL1008" s="332"/>
      <c r="CM1008" s="332"/>
      <c r="CN1008" s="332"/>
      <c r="CO1008" s="332"/>
      <c r="CP1008" s="332"/>
      <c r="CQ1008" s="332"/>
      <c r="CR1008" s="332"/>
      <c r="CS1008" s="332"/>
      <c r="CT1008" s="332"/>
      <c r="CU1008" s="332"/>
      <c r="CV1008" s="332"/>
      <c r="CW1008" s="332"/>
      <c r="CX1008" s="332"/>
      <c r="CY1008" s="332"/>
      <c r="CZ1008" s="332"/>
      <c r="DA1008" s="332"/>
      <c r="DB1008" s="332"/>
      <c r="DC1008" s="332"/>
      <c r="DD1008" s="332"/>
      <c r="DE1008" s="332"/>
      <c r="DF1008" s="332"/>
      <c r="DG1008" s="332"/>
      <c r="DH1008" s="332"/>
      <c r="DI1008" s="332"/>
      <c r="DJ1008" s="332"/>
      <c r="DK1008" s="332"/>
      <c r="DL1008" s="332"/>
      <c r="DM1008" s="332"/>
      <c r="DN1008" s="332"/>
      <c r="DO1008" s="332"/>
      <c r="DP1008" s="332"/>
      <c r="DQ1008" s="332"/>
      <c r="DR1008" s="332"/>
      <c r="DS1008" s="332"/>
      <c r="DT1008" s="332"/>
      <c r="DU1008" s="453"/>
      <c r="DV1008" s="453"/>
      <c r="DW1008" s="453"/>
      <c r="DX1008" s="453"/>
      <c r="DY1008" s="453"/>
      <c r="DZ1008" s="453"/>
      <c r="EA1008" s="453"/>
      <c r="EB1008" s="453"/>
      <c r="EC1008" s="453"/>
      <c r="ED1008" s="453"/>
      <c r="EE1008" s="453"/>
      <c r="EF1008" s="453"/>
      <c r="EG1008" s="453"/>
      <c r="EH1008" s="453"/>
      <c r="EI1008" s="453"/>
      <c r="EJ1008" s="453"/>
      <c r="EK1008" s="453"/>
      <c r="EL1008" s="453"/>
      <c r="EM1008" s="483">
        <f t="shared" si="243"/>
        <v>699</v>
      </c>
      <c r="EN1008" s="485"/>
      <c r="EO1008" s="458"/>
      <c r="EP1008" s="467"/>
      <c r="EQ1008" s="457"/>
      <c r="ER1008" s="808"/>
      <c r="ES1008" s="881">
        <f t="shared" si="244"/>
        <v>0</v>
      </c>
      <c r="ET1008" s="882"/>
      <c r="EU1008" s="883"/>
      <c r="EV1008" s="884">
        <f t="shared" si="245"/>
        <v>0</v>
      </c>
      <c r="EW1008" s="885"/>
      <c r="EX1008" s="885"/>
      <c r="EY1008" s="885"/>
      <c r="EZ1008" s="885"/>
      <c r="FA1008" s="885"/>
      <c r="FB1008" s="885"/>
      <c r="FC1008" s="885"/>
      <c r="FD1008" s="886"/>
      <c r="FE1008" s="550"/>
      <c r="FF1008" s="550"/>
      <c r="FG1008" s="550"/>
      <c r="FH1008" s="550"/>
      <c r="FI1008" s="550"/>
      <c r="FJ1008" s="550"/>
      <c r="FK1008" s="550"/>
      <c r="FL1008" s="555"/>
      <c r="FM1008" s="554"/>
      <c r="FN1008" s="554"/>
      <c r="FO1008" s="554"/>
      <c r="FP1008" s="554"/>
      <c r="FQ1008" s="554"/>
      <c r="FR1008" s="554"/>
      <c r="FS1008" s="554"/>
      <c r="FT1008" s="554"/>
      <c r="FU1008" s="554"/>
      <c r="FV1008" s="554"/>
      <c r="FW1008" s="554"/>
      <c r="FX1008" s="554"/>
      <c r="FY1008" s="554"/>
      <c r="FZ1008" s="554"/>
      <c r="GA1008" s="554"/>
      <c r="GB1008" s="556"/>
      <c r="GC1008" s="370"/>
      <c r="GD1008" s="453"/>
      <c r="GE1008" s="453"/>
      <c r="GF1008" s="453"/>
      <c r="GG1008" s="453"/>
      <c r="GH1008" s="454"/>
      <c r="GI1008" s="453"/>
      <c r="GJ1008" s="453"/>
      <c r="GK1008" s="453"/>
      <c r="GL1008" s="453"/>
      <c r="GM1008" s="453"/>
      <c r="GN1008" s="453"/>
      <c r="GO1008" s="453"/>
      <c r="GP1008" s="453"/>
      <c r="GQ1008" s="453"/>
      <c r="GR1008" s="453"/>
      <c r="GS1008" s="561"/>
      <c r="GT1008" s="475"/>
      <c r="GU1008" s="472"/>
      <c r="GV1008" s="453"/>
      <c r="GW1008" s="453"/>
      <c r="GX1008" s="869"/>
      <c r="GY1008" s="870"/>
      <c r="GZ1008" s="867"/>
      <c r="HA1008" s="868"/>
      <c r="HB1008" s="473"/>
      <c r="HC1008" s="869"/>
      <c r="HD1008" s="870"/>
      <c r="HE1008" s="867"/>
      <c r="HF1008" s="868"/>
      <c r="HG1008" s="473"/>
      <c r="HH1008" s="867"/>
      <c r="HI1008" s="868"/>
      <c r="HJ1008" s="867"/>
      <c r="HK1008" s="868"/>
      <c r="HL1008" s="370"/>
      <c r="HM1008" s="865"/>
      <c r="HN1008" s="866"/>
      <c r="HO1008" s="865"/>
      <c r="HP1008" s="866"/>
      <c r="HQ1008" s="865"/>
      <c r="HR1008" s="866"/>
      <c r="HS1008" s="867"/>
      <c r="HT1008" s="868"/>
      <c r="HU1008" s="489"/>
      <c r="HV1008" s="865"/>
      <c r="HW1008" s="866"/>
    </row>
    <row r="1009" spans="25:231" ht="15" customHeight="1">
      <c r="Y1009" s="332"/>
      <c r="Z1009" s="332"/>
      <c r="AA1009" s="332"/>
      <c r="AB1009" s="332"/>
      <c r="AC1009" s="332"/>
      <c r="AD1009" s="332"/>
      <c r="AE1009" s="332"/>
      <c r="AF1009" s="332"/>
      <c r="AG1009" s="332"/>
      <c r="AH1009" s="332"/>
      <c r="AI1009" s="332"/>
      <c r="AJ1009" s="332"/>
      <c r="AK1009" s="332"/>
      <c r="AL1009" s="332"/>
      <c r="AM1009" s="332"/>
      <c r="AN1009" s="332"/>
      <c r="AO1009" s="332"/>
      <c r="AP1009" s="332"/>
      <c r="AQ1009" s="332"/>
      <c r="AR1009" s="332"/>
      <c r="AS1009" s="332"/>
      <c r="AT1009" s="332"/>
      <c r="AU1009" s="332"/>
      <c r="AV1009" s="332"/>
      <c r="AW1009" s="332"/>
      <c r="AX1009" s="332"/>
      <c r="AY1009" s="332"/>
      <c r="AZ1009" s="332"/>
      <c r="BA1009" s="332"/>
      <c r="BB1009" s="332"/>
      <c r="BC1009" s="332"/>
      <c r="BD1009" s="332"/>
      <c r="BE1009" s="332"/>
      <c r="BF1009" s="332"/>
      <c r="BG1009" s="332"/>
      <c r="BH1009" s="332"/>
      <c r="BI1009" s="332"/>
      <c r="BJ1009" s="332"/>
      <c r="BK1009" s="332"/>
      <c r="BL1009" s="332"/>
      <c r="BM1009" s="332"/>
      <c r="BN1009" s="332"/>
      <c r="BO1009" s="332"/>
      <c r="BP1009" s="332"/>
      <c r="BQ1009" s="332"/>
      <c r="BR1009" s="332"/>
      <c r="BS1009" s="332"/>
      <c r="BT1009" s="332"/>
      <c r="BU1009" s="332"/>
      <c r="BV1009" s="332"/>
      <c r="BW1009" s="332"/>
      <c r="BX1009" s="332"/>
      <c r="BY1009" s="332"/>
      <c r="BZ1009" s="332"/>
      <c r="CA1009" s="332"/>
      <c r="CB1009" s="332"/>
      <c r="CC1009" s="332"/>
      <c r="CD1009" s="332"/>
      <c r="CE1009" s="332"/>
      <c r="CF1009" s="332"/>
      <c r="CG1009" s="332"/>
      <c r="CH1009" s="332"/>
      <c r="CI1009" s="332"/>
      <c r="CJ1009" s="332"/>
      <c r="CK1009" s="332"/>
      <c r="CL1009" s="332"/>
      <c r="CM1009" s="332"/>
      <c r="CN1009" s="332"/>
      <c r="CO1009" s="332"/>
      <c r="CP1009" s="332"/>
      <c r="CQ1009" s="332"/>
      <c r="CR1009" s="332"/>
      <c r="CS1009" s="332"/>
      <c r="CT1009" s="332"/>
      <c r="CU1009" s="332"/>
      <c r="CV1009" s="332"/>
      <c r="CW1009" s="332"/>
      <c r="CX1009" s="332"/>
      <c r="CY1009" s="332"/>
      <c r="CZ1009" s="332"/>
      <c r="DA1009" s="332"/>
      <c r="DB1009" s="332"/>
      <c r="DC1009" s="332"/>
      <c r="DD1009" s="332"/>
      <c r="DE1009" s="332"/>
      <c r="DF1009" s="332"/>
      <c r="DG1009" s="332"/>
      <c r="DH1009" s="332"/>
      <c r="DI1009" s="332"/>
      <c r="DJ1009" s="332"/>
      <c r="DK1009" s="332"/>
      <c r="DL1009" s="332"/>
      <c r="DM1009" s="332"/>
      <c r="DN1009" s="332"/>
      <c r="DO1009" s="332"/>
      <c r="DP1009" s="332"/>
      <c r="DQ1009" s="332"/>
      <c r="DR1009" s="332"/>
      <c r="DS1009" s="332"/>
      <c r="DT1009" s="332"/>
      <c r="DU1009" s="453"/>
      <c r="DV1009" s="453"/>
      <c r="DW1009" s="453"/>
      <c r="DX1009" s="453"/>
      <c r="DY1009" s="453"/>
      <c r="DZ1009" s="453"/>
      <c r="EA1009" s="453"/>
      <c r="EB1009" s="453"/>
      <c r="EC1009" s="453"/>
      <c r="ED1009" s="453"/>
      <c r="EE1009" s="453"/>
      <c r="EF1009" s="453"/>
      <c r="EG1009" s="453"/>
      <c r="EH1009" s="453"/>
      <c r="EI1009" s="453"/>
      <c r="EJ1009" s="453"/>
      <c r="EK1009" s="453"/>
      <c r="EL1009" s="453"/>
      <c r="EM1009" s="483">
        <f t="shared" si="243"/>
        <v>700</v>
      </c>
      <c r="EN1009" s="485"/>
      <c r="EO1009" s="458"/>
      <c r="EP1009" s="467"/>
      <c r="EQ1009" s="457"/>
      <c r="ER1009" s="808"/>
      <c r="ES1009" s="881">
        <f t="shared" si="244"/>
        <v>0</v>
      </c>
      <c r="ET1009" s="882"/>
      <c r="EU1009" s="883"/>
      <c r="EV1009" s="884">
        <f t="shared" si="245"/>
        <v>0</v>
      </c>
      <c r="EW1009" s="885"/>
      <c r="EX1009" s="885"/>
      <c r="EY1009" s="885"/>
      <c r="EZ1009" s="885"/>
      <c r="FA1009" s="885"/>
      <c r="FB1009" s="885"/>
      <c r="FC1009" s="885"/>
      <c r="FD1009" s="886"/>
      <c r="FE1009" s="550"/>
      <c r="FF1009" s="550"/>
      <c r="FG1009" s="550"/>
      <c r="FH1009" s="550"/>
      <c r="FI1009" s="550"/>
      <c r="FJ1009" s="550"/>
      <c r="FK1009" s="550"/>
      <c r="FL1009" s="555"/>
      <c r="FM1009" s="554"/>
      <c r="FN1009" s="554"/>
      <c r="FO1009" s="554"/>
      <c r="FP1009" s="554"/>
      <c r="FQ1009" s="554"/>
      <c r="FR1009" s="554"/>
      <c r="FS1009" s="554"/>
      <c r="FT1009" s="554"/>
      <c r="FU1009" s="554"/>
      <c r="FV1009" s="554"/>
      <c r="FW1009" s="554"/>
      <c r="FX1009" s="554"/>
      <c r="FY1009" s="554"/>
      <c r="FZ1009" s="554"/>
      <c r="GA1009" s="554"/>
      <c r="GB1009" s="556"/>
      <c r="GC1009" s="370"/>
      <c r="GD1009" s="453"/>
      <c r="GE1009" s="453"/>
      <c r="GF1009" s="453"/>
      <c r="GG1009" s="453"/>
      <c r="GH1009" s="454"/>
      <c r="GI1009" s="453"/>
      <c r="GJ1009" s="453"/>
      <c r="GK1009" s="453"/>
      <c r="GL1009" s="453"/>
      <c r="GM1009" s="453"/>
      <c r="GN1009" s="453"/>
      <c r="GO1009" s="453"/>
      <c r="GP1009" s="453"/>
      <c r="GQ1009" s="453"/>
      <c r="GR1009" s="453"/>
      <c r="GS1009" s="561"/>
      <c r="GT1009" s="475"/>
      <c r="GU1009" s="472"/>
      <c r="GV1009" s="453"/>
      <c r="GW1009" s="453"/>
      <c r="GX1009" s="869"/>
      <c r="GY1009" s="870"/>
      <c r="GZ1009" s="867"/>
      <c r="HA1009" s="868"/>
      <c r="HB1009" s="473"/>
      <c r="HC1009" s="869"/>
      <c r="HD1009" s="870"/>
      <c r="HE1009" s="867"/>
      <c r="HF1009" s="868"/>
      <c r="HG1009" s="473"/>
      <c r="HH1009" s="867"/>
      <c r="HI1009" s="868"/>
      <c r="HJ1009" s="867"/>
      <c r="HK1009" s="868"/>
      <c r="HL1009" s="370"/>
      <c r="HM1009" s="865"/>
      <c r="HN1009" s="866"/>
      <c r="HO1009" s="865"/>
      <c r="HP1009" s="866"/>
      <c r="HQ1009" s="865"/>
      <c r="HR1009" s="866"/>
      <c r="HS1009" s="867"/>
      <c r="HT1009" s="868"/>
      <c r="HU1009" s="489"/>
      <c r="HV1009" s="865"/>
      <c r="HW1009" s="866"/>
    </row>
    <row r="1010" spans="25:231" ht="15" customHeight="1">
      <c r="Y1010" s="332"/>
      <c r="Z1010" s="332"/>
      <c r="AA1010" s="332"/>
      <c r="AB1010" s="332"/>
      <c r="AC1010" s="332"/>
      <c r="AD1010" s="332"/>
      <c r="AE1010" s="332"/>
      <c r="AF1010" s="332"/>
      <c r="AG1010" s="332"/>
      <c r="AH1010" s="332"/>
      <c r="AI1010" s="332"/>
      <c r="AJ1010" s="332"/>
      <c r="AK1010" s="332"/>
      <c r="AL1010" s="332"/>
      <c r="AM1010" s="332"/>
      <c r="AN1010" s="332"/>
      <c r="AO1010" s="332"/>
      <c r="AP1010" s="332"/>
      <c r="AQ1010" s="332"/>
      <c r="AR1010" s="332"/>
      <c r="AS1010" s="332"/>
      <c r="AT1010" s="332"/>
      <c r="AU1010" s="332"/>
      <c r="AV1010" s="332"/>
      <c r="AW1010" s="332"/>
      <c r="AX1010" s="332"/>
      <c r="AY1010" s="332"/>
      <c r="AZ1010" s="332"/>
      <c r="BA1010" s="332"/>
      <c r="BB1010" s="332"/>
      <c r="BC1010" s="332"/>
      <c r="BD1010" s="332"/>
      <c r="BE1010" s="332"/>
      <c r="BF1010" s="332"/>
      <c r="BG1010" s="332"/>
      <c r="BH1010" s="332"/>
      <c r="BI1010" s="332"/>
      <c r="BJ1010" s="332"/>
      <c r="BK1010" s="332"/>
      <c r="BL1010" s="332"/>
      <c r="BM1010" s="332"/>
      <c r="BN1010" s="332"/>
      <c r="BO1010" s="332"/>
      <c r="BP1010" s="332"/>
      <c r="BQ1010" s="332"/>
      <c r="BR1010" s="332"/>
      <c r="BS1010" s="332"/>
      <c r="BT1010" s="332"/>
      <c r="BU1010" s="332"/>
      <c r="BV1010" s="332"/>
      <c r="BW1010" s="332"/>
      <c r="BX1010" s="332"/>
      <c r="BY1010" s="332"/>
      <c r="BZ1010" s="332"/>
      <c r="CA1010" s="332"/>
      <c r="CB1010" s="332"/>
      <c r="CC1010" s="332"/>
      <c r="CD1010" s="332"/>
      <c r="CE1010" s="332"/>
      <c r="CF1010" s="332"/>
      <c r="CG1010" s="332"/>
      <c r="CH1010" s="332"/>
      <c r="CI1010" s="332"/>
      <c r="CJ1010" s="332"/>
      <c r="CK1010" s="332"/>
      <c r="CL1010" s="332"/>
      <c r="CM1010" s="332"/>
      <c r="CN1010" s="332"/>
      <c r="CO1010" s="332"/>
      <c r="CP1010" s="332"/>
      <c r="CQ1010" s="332"/>
      <c r="CR1010" s="332"/>
      <c r="CS1010" s="332"/>
      <c r="CT1010" s="332"/>
      <c r="CU1010" s="332"/>
      <c r="CV1010" s="332"/>
      <c r="CW1010" s="332"/>
      <c r="CX1010" s="332"/>
      <c r="CY1010" s="332"/>
      <c r="CZ1010" s="332"/>
      <c r="DA1010" s="332"/>
      <c r="DB1010" s="332"/>
      <c r="DC1010" s="332"/>
      <c r="DD1010" s="332"/>
      <c r="DE1010" s="332"/>
      <c r="DF1010" s="332"/>
      <c r="DG1010" s="332"/>
      <c r="DH1010" s="332"/>
      <c r="DI1010" s="332"/>
      <c r="DJ1010" s="332"/>
      <c r="DK1010" s="332"/>
      <c r="DL1010" s="332"/>
      <c r="DM1010" s="332"/>
      <c r="DN1010" s="332"/>
      <c r="DO1010" s="332"/>
      <c r="DP1010" s="332"/>
      <c r="DQ1010" s="332"/>
      <c r="DR1010" s="332"/>
      <c r="DS1010" s="332"/>
      <c r="DT1010" s="332"/>
      <c r="DU1010" s="453"/>
      <c r="DV1010" s="453"/>
      <c r="DW1010" s="453"/>
      <c r="DX1010" s="453"/>
      <c r="DY1010" s="453"/>
      <c r="DZ1010" s="453"/>
      <c r="EA1010" s="453"/>
      <c r="EB1010" s="453"/>
      <c r="EC1010" s="453"/>
      <c r="ED1010" s="453"/>
      <c r="EE1010" s="453"/>
      <c r="EF1010" s="453"/>
      <c r="EG1010" s="453"/>
      <c r="EH1010" s="453"/>
      <c r="EI1010" s="453"/>
      <c r="EJ1010" s="453"/>
      <c r="EK1010" s="453"/>
      <c r="EL1010" s="453"/>
      <c r="EM1010" s="483">
        <f t="shared" si="243"/>
        <v>701</v>
      </c>
      <c r="EN1010" s="485"/>
      <c r="EO1010" s="458"/>
      <c r="EP1010" s="467"/>
      <c r="EQ1010" s="457"/>
      <c r="ER1010" s="808"/>
      <c r="ES1010" s="881">
        <f t="shared" si="244"/>
        <v>0</v>
      </c>
      <c r="ET1010" s="882"/>
      <c r="EU1010" s="883"/>
      <c r="EV1010" s="884">
        <f t="shared" si="245"/>
        <v>0</v>
      </c>
      <c r="EW1010" s="885"/>
      <c r="EX1010" s="885"/>
      <c r="EY1010" s="885"/>
      <c r="EZ1010" s="885"/>
      <c r="FA1010" s="885"/>
      <c r="FB1010" s="885"/>
      <c r="FC1010" s="885"/>
      <c r="FD1010" s="886"/>
      <c r="FE1010" s="550"/>
      <c r="FF1010" s="550"/>
      <c r="FG1010" s="550"/>
      <c r="FH1010" s="550"/>
      <c r="FI1010" s="550"/>
      <c r="FJ1010" s="550"/>
      <c r="FK1010" s="550"/>
      <c r="FL1010" s="555"/>
      <c r="FM1010" s="554"/>
      <c r="FN1010" s="554"/>
      <c r="FO1010" s="554"/>
      <c r="FP1010" s="554"/>
      <c r="FQ1010" s="554"/>
      <c r="FR1010" s="554"/>
      <c r="FS1010" s="554"/>
      <c r="FT1010" s="554"/>
      <c r="FU1010" s="554"/>
      <c r="FV1010" s="554"/>
      <c r="FW1010" s="554"/>
      <c r="FX1010" s="554"/>
      <c r="FY1010" s="554"/>
      <c r="FZ1010" s="554"/>
      <c r="GA1010" s="554"/>
      <c r="GB1010" s="556"/>
      <c r="GC1010" s="370"/>
      <c r="GD1010" s="453"/>
      <c r="GE1010" s="453"/>
      <c r="GF1010" s="453"/>
      <c r="GG1010" s="453"/>
      <c r="GH1010" s="454"/>
      <c r="GI1010" s="453"/>
      <c r="GJ1010" s="453"/>
      <c r="GK1010" s="453"/>
      <c r="GL1010" s="453"/>
      <c r="GM1010" s="453"/>
      <c r="GN1010" s="453"/>
      <c r="GO1010" s="453"/>
      <c r="GP1010" s="453"/>
      <c r="GQ1010" s="453"/>
      <c r="GR1010" s="453"/>
      <c r="GS1010" s="561"/>
      <c r="GT1010" s="475"/>
      <c r="GU1010" s="472"/>
      <c r="GV1010" s="453"/>
      <c r="GW1010" s="453"/>
      <c r="GX1010" s="869"/>
      <c r="GY1010" s="870"/>
      <c r="GZ1010" s="867"/>
      <c r="HA1010" s="868"/>
      <c r="HB1010" s="473"/>
      <c r="HC1010" s="869"/>
      <c r="HD1010" s="870"/>
      <c r="HE1010" s="867"/>
      <c r="HF1010" s="868"/>
      <c r="HG1010" s="473"/>
      <c r="HH1010" s="867"/>
      <c r="HI1010" s="868"/>
      <c r="HJ1010" s="867"/>
      <c r="HK1010" s="868"/>
      <c r="HL1010" s="370"/>
      <c r="HM1010" s="865"/>
      <c r="HN1010" s="866"/>
      <c r="HO1010" s="865"/>
      <c r="HP1010" s="866"/>
      <c r="HQ1010" s="865"/>
      <c r="HR1010" s="866"/>
      <c r="HS1010" s="867"/>
      <c r="HT1010" s="868"/>
      <c r="HU1010" s="489"/>
      <c r="HV1010" s="865"/>
      <c r="HW1010" s="866"/>
    </row>
    <row r="1011" spans="25:231" ht="15" customHeight="1">
      <c r="Y1011" s="332"/>
      <c r="Z1011" s="332"/>
      <c r="AA1011" s="332"/>
      <c r="AB1011" s="332"/>
      <c r="AC1011" s="332"/>
      <c r="AD1011" s="332"/>
      <c r="AE1011" s="332"/>
      <c r="AF1011" s="332"/>
      <c r="AG1011" s="332"/>
      <c r="AH1011" s="332"/>
      <c r="AI1011" s="332"/>
      <c r="AJ1011" s="332"/>
      <c r="AK1011" s="332"/>
      <c r="AL1011" s="332"/>
      <c r="AM1011" s="332"/>
      <c r="AN1011" s="332"/>
      <c r="AO1011" s="332"/>
      <c r="AP1011" s="332"/>
      <c r="AQ1011" s="332"/>
      <c r="AR1011" s="332"/>
      <c r="AS1011" s="332"/>
      <c r="AT1011" s="332"/>
      <c r="AU1011" s="332"/>
      <c r="AV1011" s="332"/>
      <c r="AW1011" s="332"/>
      <c r="AX1011" s="332"/>
      <c r="AY1011" s="332"/>
      <c r="AZ1011" s="332"/>
      <c r="BA1011" s="332"/>
      <c r="BB1011" s="332"/>
      <c r="BC1011" s="332"/>
      <c r="BD1011" s="332"/>
      <c r="BE1011" s="332"/>
      <c r="BF1011" s="332"/>
      <c r="BG1011" s="332"/>
      <c r="BH1011" s="332"/>
      <c r="BI1011" s="332"/>
      <c r="BJ1011" s="332"/>
      <c r="BK1011" s="332"/>
      <c r="BL1011" s="332"/>
      <c r="BM1011" s="332"/>
      <c r="BN1011" s="332"/>
      <c r="BO1011" s="332"/>
      <c r="BP1011" s="332"/>
      <c r="BQ1011" s="332"/>
      <c r="BR1011" s="332"/>
      <c r="BS1011" s="332"/>
      <c r="BT1011" s="332"/>
      <c r="BU1011" s="332"/>
      <c r="BV1011" s="332"/>
      <c r="BW1011" s="332"/>
      <c r="BX1011" s="332"/>
      <c r="BY1011" s="332"/>
      <c r="BZ1011" s="332"/>
      <c r="CA1011" s="332"/>
      <c r="CB1011" s="332"/>
      <c r="CC1011" s="332"/>
      <c r="CD1011" s="332"/>
      <c r="CE1011" s="332"/>
      <c r="CF1011" s="332"/>
      <c r="CG1011" s="332"/>
      <c r="CH1011" s="332"/>
      <c r="CI1011" s="332"/>
      <c r="CJ1011" s="332"/>
      <c r="CK1011" s="332"/>
      <c r="CL1011" s="332"/>
      <c r="CM1011" s="332"/>
      <c r="CN1011" s="332"/>
      <c r="CO1011" s="332"/>
      <c r="CP1011" s="332"/>
      <c r="CQ1011" s="332"/>
      <c r="CR1011" s="332"/>
      <c r="CS1011" s="332"/>
      <c r="CT1011" s="332"/>
      <c r="CU1011" s="332"/>
      <c r="CV1011" s="332"/>
      <c r="CW1011" s="332"/>
      <c r="CX1011" s="332"/>
      <c r="CY1011" s="332"/>
      <c r="CZ1011" s="332"/>
      <c r="DA1011" s="332"/>
      <c r="DB1011" s="332"/>
      <c r="DC1011" s="332"/>
      <c r="DD1011" s="332"/>
      <c r="DE1011" s="332"/>
      <c r="DF1011" s="332"/>
      <c r="DG1011" s="332"/>
      <c r="DH1011" s="332"/>
      <c r="DI1011" s="332"/>
      <c r="DJ1011" s="332"/>
      <c r="DK1011" s="332"/>
      <c r="DL1011" s="332"/>
      <c r="DM1011" s="332"/>
      <c r="DN1011" s="332"/>
      <c r="DO1011" s="332"/>
      <c r="DP1011" s="332"/>
      <c r="DQ1011" s="332"/>
      <c r="DR1011" s="332"/>
      <c r="DS1011" s="332"/>
      <c r="DT1011" s="332"/>
      <c r="DU1011" s="453"/>
      <c r="DV1011" s="453"/>
      <c r="DW1011" s="453"/>
      <c r="DX1011" s="453"/>
      <c r="DY1011" s="453"/>
      <c r="DZ1011" s="453"/>
      <c r="EA1011" s="453"/>
      <c r="EB1011" s="453"/>
      <c r="EC1011" s="453"/>
      <c r="ED1011" s="453"/>
      <c r="EE1011" s="453"/>
      <c r="EF1011" s="453"/>
      <c r="EG1011" s="453"/>
      <c r="EH1011" s="453"/>
      <c r="EI1011" s="453"/>
      <c r="EJ1011" s="453"/>
      <c r="EK1011" s="453"/>
      <c r="EL1011" s="453"/>
      <c r="EM1011" s="483">
        <f t="shared" si="243"/>
        <v>702</v>
      </c>
      <c r="EN1011" s="485"/>
      <c r="EO1011" s="458"/>
      <c r="EP1011" s="467"/>
      <c r="EQ1011" s="457"/>
      <c r="ER1011" s="808"/>
      <c r="ES1011" s="881">
        <f t="shared" si="244"/>
        <v>0</v>
      </c>
      <c r="ET1011" s="882"/>
      <c r="EU1011" s="883"/>
      <c r="EV1011" s="884">
        <f t="shared" si="245"/>
        <v>0</v>
      </c>
      <c r="EW1011" s="885"/>
      <c r="EX1011" s="885"/>
      <c r="EY1011" s="885"/>
      <c r="EZ1011" s="885"/>
      <c r="FA1011" s="885"/>
      <c r="FB1011" s="885"/>
      <c r="FC1011" s="885"/>
      <c r="FD1011" s="886"/>
      <c r="FE1011" s="550"/>
      <c r="FF1011" s="550"/>
      <c r="FG1011" s="550"/>
      <c r="FH1011" s="550"/>
      <c r="FI1011" s="550"/>
      <c r="FJ1011" s="550"/>
      <c r="FK1011" s="550"/>
      <c r="FL1011" s="555"/>
      <c r="FM1011" s="554"/>
      <c r="FN1011" s="554"/>
      <c r="FO1011" s="554"/>
      <c r="FP1011" s="554"/>
      <c r="FQ1011" s="554"/>
      <c r="FR1011" s="554"/>
      <c r="FS1011" s="554"/>
      <c r="FT1011" s="554"/>
      <c r="FU1011" s="554"/>
      <c r="FV1011" s="554"/>
      <c r="FW1011" s="554"/>
      <c r="FX1011" s="554"/>
      <c r="FY1011" s="554"/>
      <c r="FZ1011" s="554"/>
      <c r="GA1011" s="554"/>
      <c r="GB1011" s="556"/>
      <c r="GC1011" s="370"/>
      <c r="GD1011" s="453"/>
      <c r="GE1011" s="453"/>
      <c r="GF1011" s="453"/>
      <c r="GG1011" s="453"/>
      <c r="GH1011" s="454"/>
      <c r="GI1011" s="453"/>
      <c r="GJ1011" s="453"/>
      <c r="GK1011" s="453"/>
      <c r="GL1011" s="453"/>
      <c r="GM1011" s="453"/>
      <c r="GN1011" s="453"/>
      <c r="GO1011" s="453"/>
      <c r="GP1011" s="453"/>
      <c r="GQ1011" s="453"/>
      <c r="GR1011" s="453"/>
      <c r="GS1011" s="561"/>
      <c r="GT1011" s="475"/>
      <c r="GU1011" s="472"/>
      <c r="GV1011" s="453"/>
      <c r="GW1011" s="453"/>
      <c r="GX1011" s="869"/>
      <c r="GY1011" s="870"/>
      <c r="GZ1011" s="867"/>
      <c r="HA1011" s="868"/>
      <c r="HB1011" s="473"/>
      <c r="HC1011" s="869"/>
      <c r="HD1011" s="870"/>
      <c r="HE1011" s="867"/>
      <c r="HF1011" s="868"/>
      <c r="HG1011" s="473"/>
      <c r="HH1011" s="867"/>
      <c r="HI1011" s="868"/>
      <c r="HJ1011" s="867"/>
      <c r="HK1011" s="868"/>
      <c r="HL1011" s="370"/>
      <c r="HM1011" s="865"/>
      <c r="HN1011" s="866"/>
      <c r="HO1011" s="865"/>
      <c r="HP1011" s="866"/>
      <c r="HQ1011" s="865"/>
      <c r="HR1011" s="866"/>
      <c r="HS1011" s="867"/>
      <c r="HT1011" s="868"/>
      <c r="HU1011" s="489"/>
      <c r="HV1011" s="865"/>
      <c r="HW1011" s="866"/>
    </row>
    <row r="1012" spans="25:231" ht="15" customHeight="1">
      <c r="Y1012" s="332"/>
      <c r="Z1012" s="332"/>
      <c r="AA1012" s="332"/>
      <c r="AB1012" s="332"/>
      <c r="AC1012" s="332"/>
      <c r="AD1012" s="332"/>
      <c r="AE1012" s="332"/>
      <c r="AF1012" s="332"/>
      <c r="AG1012" s="332"/>
      <c r="AH1012" s="332"/>
      <c r="AI1012" s="332"/>
      <c r="AJ1012" s="332"/>
      <c r="AK1012" s="332"/>
      <c r="AL1012" s="332"/>
      <c r="AM1012" s="332"/>
      <c r="AN1012" s="332"/>
      <c r="AO1012" s="332"/>
      <c r="AP1012" s="332"/>
      <c r="AQ1012" s="332"/>
      <c r="AR1012" s="332"/>
      <c r="AS1012" s="332"/>
      <c r="AT1012" s="332"/>
      <c r="AU1012" s="332"/>
      <c r="AV1012" s="332"/>
      <c r="AW1012" s="332"/>
      <c r="AX1012" s="332"/>
      <c r="AY1012" s="332"/>
      <c r="AZ1012" s="332"/>
      <c r="BA1012" s="332"/>
      <c r="BB1012" s="332"/>
      <c r="BC1012" s="332"/>
      <c r="BD1012" s="332"/>
      <c r="BE1012" s="332"/>
      <c r="BF1012" s="332"/>
      <c r="BG1012" s="332"/>
      <c r="BH1012" s="332"/>
      <c r="BI1012" s="332"/>
      <c r="BJ1012" s="332"/>
      <c r="BK1012" s="332"/>
      <c r="BL1012" s="332"/>
      <c r="BM1012" s="332"/>
      <c r="BN1012" s="332"/>
      <c r="BO1012" s="332"/>
      <c r="BP1012" s="332"/>
      <c r="BQ1012" s="332"/>
      <c r="BR1012" s="332"/>
      <c r="BS1012" s="332"/>
      <c r="BT1012" s="332"/>
      <c r="BU1012" s="332"/>
      <c r="BV1012" s="332"/>
      <c r="BW1012" s="332"/>
      <c r="BX1012" s="332"/>
      <c r="BY1012" s="332"/>
      <c r="BZ1012" s="332"/>
      <c r="CA1012" s="332"/>
      <c r="CB1012" s="332"/>
      <c r="CC1012" s="332"/>
      <c r="CD1012" s="332"/>
      <c r="CE1012" s="332"/>
      <c r="CF1012" s="332"/>
      <c r="CG1012" s="332"/>
      <c r="CH1012" s="332"/>
      <c r="CI1012" s="332"/>
      <c r="CJ1012" s="332"/>
      <c r="CK1012" s="332"/>
      <c r="CL1012" s="332"/>
      <c r="CM1012" s="332"/>
      <c r="CN1012" s="332"/>
      <c r="CO1012" s="332"/>
      <c r="CP1012" s="332"/>
      <c r="CQ1012" s="332"/>
      <c r="CR1012" s="332"/>
      <c r="CS1012" s="332"/>
      <c r="CT1012" s="332"/>
      <c r="CU1012" s="332"/>
      <c r="CV1012" s="332"/>
      <c r="CW1012" s="332"/>
      <c r="CX1012" s="332"/>
      <c r="CY1012" s="332"/>
      <c r="CZ1012" s="332"/>
      <c r="DA1012" s="332"/>
      <c r="DB1012" s="332"/>
      <c r="DC1012" s="332"/>
      <c r="DD1012" s="332"/>
      <c r="DE1012" s="332"/>
      <c r="DF1012" s="332"/>
      <c r="DG1012" s="332"/>
      <c r="DH1012" s="332"/>
      <c r="DI1012" s="332"/>
      <c r="DJ1012" s="332"/>
      <c r="DK1012" s="332"/>
      <c r="DL1012" s="332"/>
      <c r="DM1012" s="332"/>
      <c r="DN1012" s="332"/>
      <c r="DO1012" s="332"/>
      <c r="DP1012" s="332"/>
      <c r="DQ1012" s="332"/>
      <c r="DR1012" s="332"/>
      <c r="DS1012" s="332"/>
      <c r="DT1012" s="332"/>
      <c r="DU1012" s="453"/>
      <c r="DV1012" s="453"/>
      <c r="DW1012" s="453"/>
      <c r="DX1012" s="453"/>
      <c r="DY1012" s="453"/>
      <c r="DZ1012" s="453"/>
      <c r="EA1012" s="453"/>
      <c r="EB1012" s="453"/>
      <c r="EC1012" s="453"/>
      <c r="ED1012" s="453"/>
      <c r="EE1012" s="453"/>
      <c r="EF1012" s="453"/>
      <c r="EG1012" s="453"/>
      <c r="EH1012" s="453"/>
      <c r="EI1012" s="453"/>
      <c r="EJ1012" s="453"/>
      <c r="EK1012" s="453"/>
      <c r="EL1012" s="453"/>
      <c r="EM1012" s="483">
        <f t="shared" si="243"/>
        <v>703</v>
      </c>
      <c r="EN1012" s="485"/>
      <c r="EO1012" s="458"/>
      <c r="EP1012" s="467"/>
      <c r="EQ1012" s="457"/>
      <c r="ER1012" s="808"/>
      <c r="ES1012" s="881">
        <f t="shared" si="244"/>
        <v>0</v>
      </c>
      <c r="ET1012" s="882"/>
      <c r="EU1012" s="883"/>
      <c r="EV1012" s="884">
        <f t="shared" si="245"/>
        <v>0</v>
      </c>
      <c r="EW1012" s="885"/>
      <c r="EX1012" s="885"/>
      <c r="EY1012" s="885"/>
      <c r="EZ1012" s="885"/>
      <c r="FA1012" s="885"/>
      <c r="FB1012" s="885"/>
      <c r="FC1012" s="885"/>
      <c r="FD1012" s="886"/>
      <c r="FE1012" s="550"/>
      <c r="FF1012" s="550"/>
      <c r="FG1012" s="550"/>
      <c r="FH1012" s="550"/>
      <c r="FI1012" s="550"/>
      <c r="FJ1012" s="550"/>
      <c r="FK1012" s="550"/>
      <c r="FL1012" s="555"/>
      <c r="FM1012" s="554"/>
      <c r="FN1012" s="554"/>
      <c r="FO1012" s="554"/>
      <c r="FP1012" s="554"/>
      <c r="FQ1012" s="554"/>
      <c r="FR1012" s="554"/>
      <c r="FS1012" s="554"/>
      <c r="FT1012" s="554"/>
      <c r="FU1012" s="554"/>
      <c r="FV1012" s="554"/>
      <c r="FW1012" s="554"/>
      <c r="FX1012" s="554"/>
      <c r="FY1012" s="554"/>
      <c r="FZ1012" s="554"/>
      <c r="GA1012" s="554"/>
      <c r="GB1012" s="556"/>
      <c r="GC1012" s="370"/>
      <c r="GD1012" s="453"/>
      <c r="GE1012" s="453"/>
      <c r="GF1012" s="453"/>
      <c r="GG1012" s="453"/>
      <c r="GH1012" s="454"/>
      <c r="GI1012" s="453"/>
      <c r="GJ1012" s="453"/>
      <c r="GK1012" s="453"/>
      <c r="GL1012" s="453"/>
      <c r="GM1012" s="453"/>
      <c r="GN1012" s="453"/>
      <c r="GO1012" s="453"/>
      <c r="GP1012" s="453"/>
      <c r="GQ1012" s="453"/>
      <c r="GR1012" s="453"/>
      <c r="GS1012" s="561"/>
      <c r="GT1012" s="475"/>
      <c r="GU1012" s="472"/>
      <c r="GV1012" s="453"/>
      <c r="GW1012" s="453"/>
      <c r="GX1012" s="869"/>
      <c r="GY1012" s="870"/>
      <c r="GZ1012" s="867"/>
      <c r="HA1012" s="868"/>
      <c r="HB1012" s="473"/>
      <c r="HC1012" s="869"/>
      <c r="HD1012" s="870"/>
      <c r="HE1012" s="867"/>
      <c r="HF1012" s="868"/>
      <c r="HG1012" s="473"/>
      <c r="HH1012" s="867"/>
      <c r="HI1012" s="868"/>
      <c r="HJ1012" s="867"/>
      <c r="HK1012" s="868"/>
      <c r="HL1012" s="370"/>
      <c r="HM1012" s="865"/>
      <c r="HN1012" s="866"/>
      <c r="HO1012" s="865"/>
      <c r="HP1012" s="866"/>
      <c r="HQ1012" s="865"/>
      <c r="HR1012" s="866"/>
      <c r="HS1012" s="867"/>
      <c r="HT1012" s="868"/>
      <c r="HU1012" s="489"/>
      <c r="HV1012" s="865"/>
      <c r="HW1012" s="866"/>
    </row>
    <row r="1013" spans="25:231" ht="15" customHeight="1">
      <c r="Y1013" s="332"/>
      <c r="Z1013" s="332"/>
      <c r="AA1013" s="332"/>
      <c r="AB1013" s="332"/>
      <c r="AC1013" s="332"/>
      <c r="AD1013" s="332"/>
      <c r="AE1013" s="332"/>
      <c r="AF1013" s="332"/>
      <c r="AG1013" s="332"/>
      <c r="AH1013" s="332"/>
      <c r="AI1013" s="332"/>
      <c r="AJ1013" s="332"/>
      <c r="AK1013" s="332"/>
      <c r="AL1013" s="332"/>
      <c r="AM1013" s="332"/>
      <c r="AN1013" s="332"/>
      <c r="AO1013" s="332"/>
      <c r="AP1013" s="332"/>
      <c r="AQ1013" s="332"/>
      <c r="AR1013" s="332"/>
      <c r="AS1013" s="332"/>
      <c r="AT1013" s="332"/>
      <c r="AU1013" s="332"/>
      <c r="AV1013" s="332"/>
      <c r="AW1013" s="332"/>
      <c r="AX1013" s="332"/>
      <c r="AY1013" s="332"/>
      <c r="AZ1013" s="332"/>
      <c r="BA1013" s="332"/>
      <c r="BB1013" s="332"/>
      <c r="BC1013" s="332"/>
      <c r="BD1013" s="332"/>
      <c r="BE1013" s="332"/>
      <c r="BF1013" s="332"/>
      <c r="BG1013" s="332"/>
      <c r="BH1013" s="332"/>
      <c r="BI1013" s="332"/>
      <c r="BJ1013" s="332"/>
      <c r="BK1013" s="332"/>
      <c r="BL1013" s="332"/>
      <c r="BM1013" s="332"/>
      <c r="BN1013" s="332"/>
      <c r="BO1013" s="332"/>
      <c r="BP1013" s="332"/>
      <c r="BQ1013" s="332"/>
      <c r="BR1013" s="332"/>
      <c r="BS1013" s="332"/>
      <c r="BT1013" s="332"/>
      <c r="BU1013" s="332"/>
      <c r="BV1013" s="332"/>
      <c r="BW1013" s="332"/>
      <c r="BX1013" s="332"/>
      <c r="BY1013" s="332"/>
      <c r="BZ1013" s="332"/>
      <c r="CA1013" s="332"/>
      <c r="CB1013" s="332"/>
      <c r="CC1013" s="332"/>
      <c r="CD1013" s="332"/>
      <c r="CE1013" s="332"/>
      <c r="CF1013" s="332"/>
      <c r="CG1013" s="332"/>
      <c r="CH1013" s="332"/>
      <c r="CI1013" s="332"/>
      <c r="CJ1013" s="332"/>
      <c r="CK1013" s="332"/>
      <c r="CL1013" s="332"/>
      <c r="CM1013" s="332"/>
      <c r="CN1013" s="332"/>
      <c r="CO1013" s="332"/>
      <c r="CP1013" s="332"/>
      <c r="CQ1013" s="332"/>
      <c r="CR1013" s="332"/>
      <c r="CS1013" s="332"/>
      <c r="CT1013" s="332"/>
      <c r="CU1013" s="332"/>
      <c r="CV1013" s="332"/>
      <c r="CW1013" s="332"/>
      <c r="CX1013" s="332"/>
      <c r="CY1013" s="332"/>
      <c r="CZ1013" s="332"/>
      <c r="DA1013" s="332"/>
      <c r="DB1013" s="332"/>
      <c r="DC1013" s="332"/>
      <c r="DD1013" s="332"/>
      <c r="DE1013" s="332"/>
      <c r="DF1013" s="332"/>
      <c r="DG1013" s="332"/>
      <c r="DH1013" s="332"/>
      <c r="DI1013" s="332"/>
      <c r="DJ1013" s="332"/>
      <c r="DK1013" s="332"/>
      <c r="DL1013" s="332"/>
      <c r="DM1013" s="332"/>
      <c r="DN1013" s="332"/>
      <c r="DO1013" s="332"/>
      <c r="DP1013" s="332"/>
      <c r="DQ1013" s="332"/>
      <c r="DR1013" s="332"/>
      <c r="DS1013" s="332"/>
      <c r="DT1013" s="332"/>
      <c r="DU1013" s="453"/>
      <c r="DV1013" s="453"/>
      <c r="DW1013" s="453"/>
      <c r="DX1013" s="453"/>
      <c r="DY1013" s="453"/>
      <c r="DZ1013" s="453"/>
      <c r="EA1013" s="453"/>
      <c r="EB1013" s="453"/>
      <c r="EC1013" s="453"/>
      <c r="ED1013" s="453"/>
      <c r="EE1013" s="453"/>
      <c r="EF1013" s="453"/>
      <c r="EG1013" s="453"/>
      <c r="EH1013" s="453"/>
      <c r="EI1013" s="453"/>
      <c r="EJ1013" s="453"/>
      <c r="EK1013" s="453"/>
      <c r="EL1013" s="453"/>
      <c r="EM1013" s="483">
        <f t="shared" si="243"/>
        <v>704</v>
      </c>
      <c r="EN1013" s="485"/>
      <c r="EO1013" s="458"/>
      <c r="EP1013" s="467"/>
      <c r="EQ1013" s="457"/>
      <c r="ER1013" s="808"/>
      <c r="ES1013" s="881">
        <f t="shared" si="244"/>
        <v>0</v>
      </c>
      <c r="ET1013" s="882"/>
      <c r="EU1013" s="883"/>
      <c r="EV1013" s="884">
        <f t="shared" si="245"/>
        <v>0</v>
      </c>
      <c r="EW1013" s="885"/>
      <c r="EX1013" s="885"/>
      <c r="EY1013" s="885"/>
      <c r="EZ1013" s="885"/>
      <c r="FA1013" s="885"/>
      <c r="FB1013" s="885"/>
      <c r="FC1013" s="885"/>
      <c r="FD1013" s="886"/>
      <c r="FE1013" s="550"/>
      <c r="FF1013" s="550"/>
      <c r="FG1013" s="550"/>
      <c r="FH1013" s="550"/>
      <c r="FI1013" s="550"/>
      <c r="FJ1013" s="550"/>
      <c r="FK1013" s="550"/>
      <c r="FL1013" s="555"/>
      <c r="FM1013" s="554"/>
      <c r="FN1013" s="554"/>
      <c r="FO1013" s="554"/>
      <c r="FP1013" s="554"/>
      <c r="FQ1013" s="554"/>
      <c r="FR1013" s="554"/>
      <c r="FS1013" s="554"/>
      <c r="FT1013" s="554"/>
      <c r="FU1013" s="554"/>
      <c r="FV1013" s="554"/>
      <c r="FW1013" s="554"/>
      <c r="FX1013" s="554"/>
      <c r="FY1013" s="554"/>
      <c r="FZ1013" s="554"/>
      <c r="GA1013" s="554"/>
      <c r="GB1013" s="556"/>
      <c r="GC1013" s="370"/>
      <c r="GD1013" s="453"/>
      <c r="GE1013" s="453"/>
      <c r="GF1013" s="453"/>
      <c r="GG1013" s="453"/>
      <c r="GH1013" s="454"/>
      <c r="GI1013" s="453"/>
      <c r="GJ1013" s="453"/>
      <c r="GK1013" s="453"/>
      <c r="GL1013" s="453"/>
      <c r="GM1013" s="453"/>
      <c r="GN1013" s="453"/>
      <c r="GO1013" s="453"/>
      <c r="GP1013" s="453"/>
      <c r="GQ1013" s="453"/>
      <c r="GR1013" s="453"/>
      <c r="GS1013" s="561"/>
      <c r="GT1013" s="475"/>
      <c r="GU1013" s="472"/>
      <c r="GV1013" s="453"/>
      <c r="GW1013" s="453"/>
      <c r="GX1013" s="869"/>
      <c r="GY1013" s="870"/>
      <c r="GZ1013" s="867"/>
      <c r="HA1013" s="868"/>
      <c r="HB1013" s="473"/>
      <c r="HC1013" s="869"/>
      <c r="HD1013" s="870"/>
      <c r="HE1013" s="867"/>
      <c r="HF1013" s="868"/>
      <c r="HG1013" s="473"/>
      <c r="HH1013" s="867"/>
      <c r="HI1013" s="868"/>
      <c r="HJ1013" s="867"/>
      <c r="HK1013" s="868"/>
      <c r="HL1013" s="370"/>
      <c r="HM1013" s="865"/>
      <c r="HN1013" s="866"/>
      <c r="HO1013" s="865"/>
      <c r="HP1013" s="866"/>
      <c r="HQ1013" s="865"/>
      <c r="HR1013" s="866"/>
      <c r="HS1013" s="867"/>
      <c r="HT1013" s="868"/>
      <c r="HU1013" s="489"/>
      <c r="HV1013" s="865"/>
      <c r="HW1013" s="866"/>
    </row>
    <row r="1014" spans="25:231" ht="15" customHeight="1">
      <c r="Y1014" s="332"/>
      <c r="Z1014" s="332"/>
      <c r="AA1014" s="332"/>
      <c r="AB1014" s="332"/>
      <c r="AC1014" s="332"/>
      <c r="AD1014" s="332"/>
      <c r="AE1014" s="332"/>
      <c r="AF1014" s="332"/>
      <c r="AG1014" s="332"/>
      <c r="AH1014" s="332"/>
      <c r="AI1014" s="332"/>
      <c r="AJ1014" s="332"/>
      <c r="AK1014" s="332"/>
      <c r="AL1014" s="332"/>
      <c r="AM1014" s="332"/>
      <c r="AN1014" s="332"/>
      <c r="AO1014" s="332"/>
      <c r="AP1014" s="332"/>
      <c r="AQ1014" s="332"/>
      <c r="AR1014" s="332"/>
      <c r="AS1014" s="332"/>
      <c r="AT1014" s="332"/>
      <c r="AU1014" s="332"/>
      <c r="AV1014" s="332"/>
      <c r="AW1014" s="332"/>
      <c r="AX1014" s="332"/>
      <c r="AY1014" s="332"/>
      <c r="AZ1014" s="332"/>
      <c r="BA1014" s="332"/>
      <c r="BB1014" s="332"/>
      <c r="BC1014" s="332"/>
      <c r="BD1014" s="332"/>
      <c r="BE1014" s="332"/>
      <c r="BF1014" s="332"/>
      <c r="BG1014" s="332"/>
      <c r="BH1014" s="332"/>
      <c r="BI1014" s="332"/>
      <c r="BJ1014" s="332"/>
      <c r="BK1014" s="332"/>
      <c r="BL1014" s="332"/>
      <c r="BM1014" s="332"/>
      <c r="BN1014" s="332"/>
      <c r="BO1014" s="332"/>
      <c r="BP1014" s="332"/>
      <c r="BQ1014" s="332"/>
      <c r="BR1014" s="332"/>
      <c r="BS1014" s="332"/>
      <c r="BT1014" s="332"/>
      <c r="BU1014" s="332"/>
      <c r="BV1014" s="332"/>
      <c r="BW1014" s="332"/>
      <c r="BX1014" s="332"/>
      <c r="BY1014" s="332"/>
      <c r="BZ1014" s="332"/>
      <c r="CA1014" s="332"/>
      <c r="CB1014" s="332"/>
      <c r="CC1014" s="332"/>
      <c r="CD1014" s="332"/>
      <c r="CE1014" s="332"/>
      <c r="CF1014" s="332"/>
      <c r="CG1014" s="332"/>
      <c r="CH1014" s="332"/>
      <c r="CI1014" s="332"/>
      <c r="CJ1014" s="332"/>
      <c r="CK1014" s="332"/>
      <c r="CL1014" s="332"/>
      <c r="CM1014" s="332"/>
      <c r="CN1014" s="332"/>
      <c r="CO1014" s="332"/>
      <c r="CP1014" s="332"/>
      <c r="CQ1014" s="332"/>
      <c r="CR1014" s="332"/>
      <c r="CS1014" s="332"/>
      <c r="CT1014" s="332"/>
      <c r="CU1014" s="332"/>
      <c r="CV1014" s="332"/>
      <c r="CW1014" s="332"/>
      <c r="CX1014" s="332"/>
      <c r="CY1014" s="332"/>
      <c r="CZ1014" s="332"/>
      <c r="DA1014" s="332"/>
      <c r="DB1014" s="332"/>
      <c r="DC1014" s="332"/>
      <c r="DD1014" s="332"/>
      <c r="DE1014" s="332"/>
      <c r="DF1014" s="332"/>
      <c r="DG1014" s="332"/>
      <c r="DH1014" s="332"/>
      <c r="DI1014" s="332"/>
      <c r="DJ1014" s="332"/>
      <c r="DK1014" s="332"/>
      <c r="DL1014" s="332"/>
      <c r="DM1014" s="332"/>
      <c r="DN1014" s="332"/>
      <c r="DO1014" s="332"/>
      <c r="DP1014" s="332"/>
      <c r="DQ1014" s="332"/>
      <c r="DR1014" s="332"/>
      <c r="DS1014" s="332"/>
      <c r="DT1014" s="332"/>
      <c r="DU1014" s="453"/>
      <c r="DV1014" s="453"/>
      <c r="DW1014" s="453"/>
      <c r="DX1014" s="453"/>
      <c r="DY1014" s="453"/>
      <c r="DZ1014" s="453"/>
      <c r="EA1014" s="453"/>
      <c r="EB1014" s="453"/>
      <c r="EC1014" s="453"/>
      <c r="ED1014" s="453"/>
      <c r="EE1014" s="453"/>
      <c r="EF1014" s="453"/>
      <c r="EG1014" s="453"/>
      <c r="EH1014" s="453"/>
      <c r="EI1014" s="453"/>
      <c r="EJ1014" s="453"/>
      <c r="EK1014" s="453"/>
      <c r="EL1014" s="453"/>
      <c r="EM1014" s="483">
        <f t="shared" si="243"/>
        <v>705</v>
      </c>
      <c r="EN1014" s="485"/>
      <c r="EO1014" s="458"/>
      <c r="EP1014" s="467"/>
      <c r="EQ1014" s="457"/>
      <c r="ER1014" s="808"/>
      <c r="ES1014" s="881">
        <f t="shared" si="244"/>
        <v>0</v>
      </c>
      <c r="ET1014" s="882"/>
      <c r="EU1014" s="883"/>
      <c r="EV1014" s="884">
        <f t="shared" si="245"/>
        <v>0</v>
      </c>
      <c r="EW1014" s="885"/>
      <c r="EX1014" s="885"/>
      <c r="EY1014" s="885"/>
      <c r="EZ1014" s="885"/>
      <c r="FA1014" s="885"/>
      <c r="FB1014" s="885"/>
      <c r="FC1014" s="885"/>
      <c r="FD1014" s="886"/>
      <c r="FE1014" s="550"/>
      <c r="FF1014" s="550"/>
      <c r="FG1014" s="550"/>
      <c r="FH1014" s="550"/>
      <c r="FI1014" s="550"/>
      <c r="FJ1014" s="550"/>
      <c r="FK1014" s="550"/>
      <c r="FL1014" s="555"/>
      <c r="FM1014" s="554"/>
      <c r="FN1014" s="554"/>
      <c r="FO1014" s="554"/>
      <c r="FP1014" s="554"/>
      <c r="FQ1014" s="554"/>
      <c r="FR1014" s="554"/>
      <c r="FS1014" s="554"/>
      <c r="FT1014" s="554"/>
      <c r="FU1014" s="554"/>
      <c r="FV1014" s="554"/>
      <c r="FW1014" s="554"/>
      <c r="FX1014" s="554"/>
      <c r="FY1014" s="554"/>
      <c r="FZ1014" s="554"/>
      <c r="GA1014" s="554"/>
      <c r="GB1014" s="556"/>
      <c r="GC1014" s="370"/>
      <c r="GD1014" s="453"/>
      <c r="GE1014" s="453"/>
      <c r="GF1014" s="453"/>
      <c r="GG1014" s="453"/>
      <c r="GH1014" s="454"/>
      <c r="GI1014" s="453"/>
      <c r="GJ1014" s="453"/>
      <c r="GK1014" s="453"/>
      <c r="GL1014" s="453"/>
      <c r="GM1014" s="453"/>
      <c r="GN1014" s="453"/>
      <c r="GO1014" s="453"/>
      <c r="GP1014" s="453"/>
      <c r="GQ1014" s="453"/>
      <c r="GR1014" s="453"/>
      <c r="GS1014" s="561"/>
      <c r="GT1014" s="475"/>
      <c r="GU1014" s="472"/>
      <c r="GV1014" s="453"/>
      <c r="GW1014" s="453"/>
      <c r="GX1014" s="869"/>
      <c r="GY1014" s="870"/>
      <c r="GZ1014" s="867"/>
      <c r="HA1014" s="868"/>
      <c r="HB1014" s="473"/>
      <c r="HC1014" s="869"/>
      <c r="HD1014" s="870"/>
      <c r="HE1014" s="867"/>
      <c r="HF1014" s="868"/>
      <c r="HG1014" s="473"/>
      <c r="HH1014" s="867"/>
      <c r="HI1014" s="868"/>
      <c r="HJ1014" s="867"/>
      <c r="HK1014" s="868"/>
      <c r="HL1014" s="370"/>
      <c r="HM1014" s="865"/>
      <c r="HN1014" s="866"/>
      <c r="HO1014" s="865"/>
      <c r="HP1014" s="866"/>
      <c r="HQ1014" s="865"/>
      <c r="HR1014" s="866"/>
      <c r="HS1014" s="867"/>
      <c r="HT1014" s="868"/>
      <c r="HU1014" s="489"/>
      <c r="HV1014" s="865"/>
      <c r="HW1014" s="866"/>
    </row>
    <row r="1015" spans="25:231" ht="15" customHeight="1">
      <c r="Y1015" s="332"/>
      <c r="Z1015" s="332"/>
      <c r="AA1015" s="332"/>
      <c r="AB1015" s="332"/>
      <c r="AC1015" s="332"/>
      <c r="AD1015" s="332"/>
      <c r="AE1015" s="332"/>
      <c r="AF1015" s="332"/>
      <c r="AG1015" s="332"/>
      <c r="AH1015" s="332"/>
      <c r="AI1015" s="332"/>
      <c r="AJ1015" s="332"/>
      <c r="AK1015" s="332"/>
      <c r="AL1015" s="332"/>
      <c r="AM1015" s="332"/>
      <c r="AN1015" s="332"/>
      <c r="AO1015" s="332"/>
      <c r="AP1015" s="332"/>
      <c r="AQ1015" s="332"/>
      <c r="AR1015" s="332"/>
      <c r="AS1015" s="332"/>
      <c r="AT1015" s="332"/>
      <c r="AU1015" s="332"/>
      <c r="AV1015" s="332"/>
      <c r="AW1015" s="332"/>
      <c r="AX1015" s="332"/>
      <c r="AY1015" s="332"/>
      <c r="AZ1015" s="332"/>
      <c r="BA1015" s="332"/>
      <c r="BB1015" s="332"/>
      <c r="BC1015" s="332"/>
      <c r="BD1015" s="332"/>
      <c r="BE1015" s="332"/>
      <c r="BF1015" s="332"/>
      <c r="BG1015" s="332"/>
      <c r="BH1015" s="332"/>
      <c r="BI1015" s="332"/>
      <c r="BJ1015" s="332"/>
      <c r="BK1015" s="332"/>
      <c r="BL1015" s="332"/>
      <c r="BM1015" s="332"/>
      <c r="BN1015" s="332"/>
      <c r="BO1015" s="332"/>
      <c r="BP1015" s="332"/>
      <c r="BQ1015" s="332"/>
      <c r="BR1015" s="332"/>
      <c r="BS1015" s="332"/>
      <c r="BT1015" s="332"/>
      <c r="BU1015" s="332"/>
      <c r="BV1015" s="332"/>
      <c r="BW1015" s="332"/>
      <c r="BX1015" s="332"/>
      <c r="BY1015" s="332"/>
      <c r="BZ1015" s="332"/>
      <c r="CA1015" s="332"/>
      <c r="CB1015" s="332"/>
      <c r="CC1015" s="332"/>
      <c r="CD1015" s="332"/>
      <c r="CE1015" s="332"/>
      <c r="CF1015" s="332"/>
      <c r="CG1015" s="332"/>
      <c r="CH1015" s="332"/>
      <c r="CI1015" s="332"/>
      <c r="CJ1015" s="332"/>
      <c r="CK1015" s="332"/>
      <c r="CL1015" s="332"/>
      <c r="CM1015" s="332"/>
      <c r="CN1015" s="332"/>
      <c r="CO1015" s="332"/>
      <c r="CP1015" s="332"/>
      <c r="CQ1015" s="332"/>
      <c r="CR1015" s="332"/>
      <c r="CS1015" s="332"/>
      <c r="CT1015" s="332"/>
      <c r="CU1015" s="332"/>
      <c r="CV1015" s="332"/>
      <c r="CW1015" s="332"/>
      <c r="CX1015" s="332"/>
      <c r="CY1015" s="332"/>
      <c r="CZ1015" s="332"/>
      <c r="DA1015" s="332"/>
      <c r="DB1015" s="332"/>
      <c r="DC1015" s="332"/>
      <c r="DD1015" s="332"/>
      <c r="DE1015" s="332"/>
      <c r="DF1015" s="332"/>
      <c r="DG1015" s="332"/>
      <c r="DH1015" s="332"/>
      <c r="DI1015" s="332"/>
      <c r="DJ1015" s="332"/>
      <c r="DK1015" s="332"/>
      <c r="DL1015" s="332"/>
      <c r="DM1015" s="332"/>
      <c r="DN1015" s="332"/>
      <c r="DO1015" s="332"/>
      <c r="DP1015" s="332"/>
      <c r="DQ1015" s="332"/>
      <c r="DR1015" s="332"/>
      <c r="DS1015" s="332"/>
      <c r="DT1015" s="332"/>
      <c r="DU1015" s="453"/>
      <c r="DV1015" s="453"/>
      <c r="DW1015" s="453"/>
      <c r="DX1015" s="453"/>
      <c r="DY1015" s="453"/>
      <c r="DZ1015" s="453"/>
      <c r="EA1015" s="453"/>
      <c r="EB1015" s="453"/>
      <c r="EC1015" s="453"/>
      <c r="ED1015" s="453"/>
      <c r="EE1015" s="453"/>
      <c r="EF1015" s="453"/>
      <c r="EG1015" s="453"/>
      <c r="EH1015" s="453"/>
      <c r="EI1015" s="453"/>
      <c r="EJ1015" s="453"/>
      <c r="EK1015" s="453"/>
      <c r="EL1015" s="453"/>
      <c r="EM1015" s="483">
        <f t="shared" si="243"/>
        <v>706</v>
      </c>
      <c r="EN1015" s="485"/>
      <c r="EO1015" s="458"/>
      <c r="EP1015" s="467"/>
      <c r="EQ1015" s="457"/>
      <c r="ER1015" s="808"/>
      <c r="ES1015" s="881">
        <f t="shared" si="244"/>
        <v>0</v>
      </c>
      <c r="ET1015" s="882"/>
      <c r="EU1015" s="883"/>
      <c r="EV1015" s="884">
        <f t="shared" si="245"/>
        <v>0</v>
      </c>
      <c r="EW1015" s="885"/>
      <c r="EX1015" s="885"/>
      <c r="EY1015" s="885"/>
      <c r="EZ1015" s="885"/>
      <c r="FA1015" s="885"/>
      <c r="FB1015" s="885"/>
      <c r="FC1015" s="885"/>
      <c r="FD1015" s="886"/>
      <c r="FE1015" s="550"/>
      <c r="FF1015" s="550"/>
      <c r="FG1015" s="550"/>
      <c r="FH1015" s="550"/>
      <c r="FI1015" s="550"/>
      <c r="FJ1015" s="550"/>
      <c r="FK1015" s="550"/>
      <c r="FL1015" s="555"/>
      <c r="FM1015" s="554"/>
      <c r="FN1015" s="554"/>
      <c r="FO1015" s="554"/>
      <c r="FP1015" s="554"/>
      <c r="FQ1015" s="554"/>
      <c r="FR1015" s="554"/>
      <c r="FS1015" s="554"/>
      <c r="FT1015" s="554"/>
      <c r="FU1015" s="554"/>
      <c r="FV1015" s="554"/>
      <c r="FW1015" s="554"/>
      <c r="FX1015" s="554"/>
      <c r="FY1015" s="554"/>
      <c r="FZ1015" s="554"/>
      <c r="GA1015" s="554"/>
      <c r="GB1015" s="556"/>
      <c r="GC1015" s="370"/>
      <c r="GD1015" s="453"/>
      <c r="GE1015" s="453"/>
      <c r="GF1015" s="453"/>
      <c r="GG1015" s="453"/>
      <c r="GH1015" s="454"/>
      <c r="GI1015" s="453"/>
      <c r="GJ1015" s="453"/>
      <c r="GK1015" s="453"/>
      <c r="GL1015" s="453"/>
      <c r="GM1015" s="453"/>
      <c r="GN1015" s="453"/>
      <c r="GO1015" s="453"/>
      <c r="GP1015" s="453"/>
      <c r="GQ1015" s="453"/>
      <c r="GR1015" s="453"/>
      <c r="GS1015" s="561"/>
      <c r="GT1015" s="475"/>
      <c r="GU1015" s="472"/>
      <c r="GV1015" s="453"/>
      <c r="GW1015" s="453"/>
      <c r="GX1015" s="869"/>
      <c r="GY1015" s="870"/>
      <c r="GZ1015" s="867"/>
      <c r="HA1015" s="868"/>
      <c r="HB1015" s="473"/>
      <c r="HC1015" s="869"/>
      <c r="HD1015" s="870"/>
      <c r="HE1015" s="867"/>
      <c r="HF1015" s="868"/>
      <c r="HG1015" s="473"/>
      <c r="HH1015" s="867"/>
      <c r="HI1015" s="868"/>
      <c r="HJ1015" s="867"/>
      <c r="HK1015" s="868"/>
      <c r="HL1015" s="370"/>
      <c r="HM1015" s="865"/>
      <c r="HN1015" s="866"/>
      <c r="HO1015" s="865"/>
      <c r="HP1015" s="866"/>
      <c r="HQ1015" s="865"/>
      <c r="HR1015" s="866"/>
      <c r="HS1015" s="867"/>
      <c r="HT1015" s="868"/>
      <c r="HU1015" s="489"/>
      <c r="HV1015" s="865"/>
      <c r="HW1015" s="866"/>
    </row>
    <row r="1016" spans="25:231" ht="15" customHeight="1">
      <c r="Y1016" s="332"/>
      <c r="Z1016" s="332"/>
      <c r="AA1016" s="332"/>
      <c r="AB1016" s="332"/>
      <c r="AC1016" s="332"/>
      <c r="AD1016" s="332"/>
      <c r="AE1016" s="332"/>
      <c r="AF1016" s="332"/>
      <c r="AG1016" s="332"/>
      <c r="AH1016" s="332"/>
      <c r="AI1016" s="332"/>
      <c r="AJ1016" s="332"/>
      <c r="AK1016" s="332"/>
      <c r="AL1016" s="332"/>
      <c r="AM1016" s="332"/>
      <c r="AN1016" s="332"/>
      <c r="AO1016" s="332"/>
      <c r="AP1016" s="332"/>
      <c r="AQ1016" s="332"/>
      <c r="AR1016" s="332"/>
      <c r="AS1016" s="332"/>
      <c r="AT1016" s="332"/>
      <c r="AU1016" s="332"/>
      <c r="AV1016" s="332"/>
      <c r="AW1016" s="332"/>
      <c r="AX1016" s="332"/>
      <c r="AY1016" s="332"/>
      <c r="AZ1016" s="332"/>
      <c r="BA1016" s="332"/>
      <c r="BB1016" s="332"/>
      <c r="BC1016" s="332"/>
      <c r="BD1016" s="332"/>
      <c r="BE1016" s="332"/>
      <c r="BF1016" s="332"/>
      <c r="BG1016" s="332"/>
      <c r="BH1016" s="332"/>
      <c r="BI1016" s="332"/>
      <c r="BJ1016" s="332"/>
      <c r="BK1016" s="332"/>
      <c r="BL1016" s="332"/>
      <c r="BM1016" s="332"/>
      <c r="BN1016" s="332"/>
      <c r="BO1016" s="332"/>
      <c r="BP1016" s="332"/>
      <c r="BQ1016" s="332"/>
      <c r="BR1016" s="332"/>
      <c r="BS1016" s="332"/>
      <c r="BT1016" s="332"/>
      <c r="BU1016" s="332"/>
      <c r="BV1016" s="332"/>
      <c r="BW1016" s="332"/>
      <c r="BX1016" s="332"/>
      <c r="BY1016" s="332"/>
      <c r="BZ1016" s="332"/>
      <c r="CA1016" s="332"/>
      <c r="CB1016" s="332"/>
      <c r="CC1016" s="332"/>
      <c r="CD1016" s="332"/>
      <c r="CE1016" s="332"/>
      <c r="CF1016" s="332"/>
      <c r="CG1016" s="332"/>
      <c r="CH1016" s="332"/>
      <c r="CI1016" s="332"/>
      <c r="CJ1016" s="332"/>
      <c r="CK1016" s="332"/>
      <c r="CL1016" s="332"/>
      <c r="CM1016" s="332"/>
      <c r="CN1016" s="332"/>
      <c r="CO1016" s="332"/>
      <c r="CP1016" s="332"/>
      <c r="CQ1016" s="332"/>
      <c r="CR1016" s="332"/>
      <c r="CS1016" s="332"/>
      <c r="CT1016" s="332"/>
      <c r="CU1016" s="332"/>
      <c r="CV1016" s="332"/>
      <c r="CW1016" s="332"/>
      <c r="CX1016" s="332"/>
      <c r="CY1016" s="332"/>
      <c r="CZ1016" s="332"/>
      <c r="DA1016" s="332"/>
      <c r="DB1016" s="332"/>
      <c r="DC1016" s="332"/>
      <c r="DD1016" s="332"/>
      <c r="DE1016" s="332"/>
      <c r="DF1016" s="332"/>
      <c r="DG1016" s="332"/>
      <c r="DH1016" s="332"/>
      <c r="DI1016" s="332"/>
      <c r="DJ1016" s="332"/>
      <c r="DK1016" s="332"/>
      <c r="DL1016" s="332"/>
      <c r="DM1016" s="332"/>
      <c r="DN1016" s="332"/>
      <c r="DO1016" s="332"/>
      <c r="DP1016" s="332"/>
      <c r="DQ1016" s="332"/>
      <c r="DR1016" s="332"/>
      <c r="DS1016" s="332"/>
      <c r="DT1016" s="332"/>
      <c r="DU1016" s="453"/>
      <c r="DV1016" s="453"/>
      <c r="DW1016" s="453"/>
      <c r="DX1016" s="453"/>
      <c r="DY1016" s="453"/>
      <c r="DZ1016" s="453"/>
      <c r="EA1016" s="453"/>
      <c r="EB1016" s="453"/>
      <c r="EC1016" s="453"/>
      <c r="ED1016" s="453"/>
      <c r="EE1016" s="453"/>
      <c r="EF1016" s="453"/>
      <c r="EG1016" s="453"/>
      <c r="EH1016" s="453"/>
      <c r="EI1016" s="453"/>
      <c r="EJ1016" s="453"/>
      <c r="EK1016" s="453"/>
      <c r="EL1016" s="453"/>
      <c r="EM1016" s="483">
        <f t="shared" ref="EM1016:EM1079" si="246">+EM1015+1</f>
        <v>707</v>
      </c>
      <c r="EN1016" s="485"/>
      <c r="EO1016" s="458"/>
      <c r="EP1016" s="467"/>
      <c r="EQ1016" s="457"/>
      <c r="ER1016" s="808"/>
      <c r="ES1016" s="881">
        <f t="shared" si="244"/>
        <v>0</v>
      </c>
      <c r="ET1016" s="882"/>
      <c r="EU1016" s="883"/>
      <c r="EV1016" s="884">
        <f t="shared" si="245"/>
        <v>0</v>
      </c>
      <c r="EW1016" s="885"/>
      <c r="EX1016" s="885"/>
      <c r="EY1016" s="885"/>
      <c r="EZ1016" s="885"/>
      <c r="FA1016" s="885"/>
      <c r="FB1016" s="885"/>
      <c r="FC1016" s="885"/>
      <c r="FD1016" s="886"/>
      <c r="FE1016" s="550"/>
      <c r="FF1016" s="550"/>
      <c r="FG1016" s="550"/>
      <c r="FH1016" s="550"/>
      <c r="FI1016" s="550"/>
      <c r="FJ1016" s="550"/>
      <c r="FK1016" s="550"/>
      <c r="FL1016" s="555"/>
      <c r="FM1016" s="554"/>
      <c r="FN1016" s="554"/>
      <c r="FO1016" s="554"/>
      <c r="FP1016" s="554"/>
      <c r="FQ1016" s="554"/>
      <c r="FR1016" s="554"/>
      <c r="FS1016" s="554"/>
      <c r="FT1016" s="554"/>
      <c r="FU1016" s="554"/>
      <c r="FV1016" s="554"/>
      <c r="FW1016" s="554"/>
      <c r="FX1016" s="554"/>
      <c r="FY1016" s="554"/>
      <c r="FZ1016" s="554"/>
      <c r="GA1016" s="554"/>
      <c r="GB1016" s="556"/>
      <c r="GC1016" s="370"/>
      <c r="GD1016" s="453"/>
      <c r="GE1016" s="453"/>
      <c r="GF1016" s="453"/>
      <c r="GG1016" s="453"/>
      <c r="GH1016" s="454"/>
      <c r="GI1016" s="453"/>
      <c r="GJ1016" s="453"/>
      <c r="GK1016" s="453"/>
      <c r="GL1016" s="453"/>
      <c r="GM1016" s="453"/>
      <c r="GN1016" s="453"/>
      <c r="GO1016" s="453"/>
      <c r="GP1016" s="453"/>
      <c r="GQ1016" s="453"/>
      <c r="GR1016" s="453"/>
      <c r="GS1016" s="561"/>
      <c r="GT1016" s="475"/>
      <c r="GU1016" s="472"/>
      <c r="GV1016" s="453"/>
      <c r="GW1016" s="453"/>
      <c r="GX1016" s="869"/>
      <c r="GY1016" s="870"/>
      <c r="GZ1016" s="867"/>
      <c r="HA1016" s="868"/>
      <c r="HB1016" s="473"/>
      <c r="HC1016" s="869"/>
      <c r="HD1016" s="870"/>
      <c r="HE1016" s="867"/>
      <c r="HF1016" s="868"/>
      <c r="HG1016" s="473"/>
      <c r="HH1016" s="867"/>
      <c r="HI1016" s="868"/>
      <c r="HJ1016" s="867"/>
      <c r="HK1016" s="868"/>
      <c r="HL1016" s="370"/>
      <c r="HM1016" s="865"/>
      <c r="HN1016" s="866"/>
      <c r="HO1016" s="865"/>
      <c r="HP1016" s="866"/>
      <c r="HQ1016" s="865"/>
      <c r="HR1016" s="866"/>
      <c r="HS1016" s="867"/>
      <c r="HT1016" s="868"/>
      <c r="HU1016" s="489"/>
      <c r="HV1016" s="865"/>
      <c r="HW1016" s="866"/>
    </row>
    <row r="1017" spans="25:231" ht="15" customHeight="1">
      <c r="Y1017" s="332"/>
      <c r="Z1017" s="332"/>
      <c r="AA1017" s="332"/>
      <c r="AB1017" s="332"/>
      <c r="AC1017" s="332"/>
      <c r="AD1017" s="332"/>
      <c r="AE1017" s="332"/>
      <c r="AF1017" s="332"/>
      <c r="AG1017" s="332"/>
      <c r="AH1017" s="332"/>
      <c r="AI1017" s="332"/>
      <c r="AJ1017" s="332"/>
      <c r="AK1017" s="332"/>
      <c r="AL1017" s="332"/>
      <c r="AM1017" s="332"/>
      <c r="AN1017" s="332"/>
      <c r="AO1017" s="332"/>
      <c r="AP1017" s="332"/>
      <c r="AQ1017" s="332"/>
      <c r="AR1017" s="332"/>
      <c r="AS1017" s="332"/>
      <c r="AT1017" s="332"/>
      <c r="AU1017" s="332"/>
      <c r="AV1017" s="332"/>
      <c r="AW1017" s="332"/>
      <c r="AX1017" s="332"/>
      <c r="AY1017" s="332"/>
      <c r="AZ1017" s="332"/>
      <c r="BA1017" s="332"/>
      <c r="BB1017" s="332"/>
      <c r="BC1017" s="332"/>
      <c r="BD1017" s="332"/>
      <c r="BE1017" s="332"/>
      <c r="BF1017" s="332"/>
      <c r="BG1017" s="332"/>
      <c r="BH1017" s="332"/>
      <c r="BI1017" s="332"/>
      <c r="BJ1017" s="332"/>
      <c r="BK1017" s="332"/>
      <c r="BL1017" s="332"/>
      <c r="BM1017" s="332"/>
      <c r="BN1017" s="332"/>
      <c r="BO1017" s="332"/>
      <c r="BP1017" s="332"/>
      <c r="BQ1017" s="332"/>
      <c r="BR1017" s="332"/>
      <c r="BS1017" s="332"/>
      <c r="BT1017" s="332"/>
      <c r="BU1017" s="332"/>
      <c r="BV1017" s="332"/>
      <c r="BW1017" s="332"/>
      <c r="BX1017" s="332"/>
      <c r="BY1017" s="332"/>
      <c r="BZ1017" s="332"/>
      <c r="CA1017" s="332"/>
      <c r="CB1017" s="332"/>
      <c r="CC1017" s="332"/>
      <c r="CD1017" s="332"/>
      <c r="CE1017" s="332"/>
      <c r="CF1017" s="332"/>
      <c r="CG1017" s="332"/>
      <c r="CH1017" s="332"/>
      <c r="CI1017" s="332"/>
      <c r="CJ1017" s="332"/>
      <c r="CK1017" s="332"/>
      <c r="CL1017" s="332"/>
      <c r="CM1017" s="332"/>
      <c r="CN1017" s="332"/>
      <c r="CO1017" s="332"/>
      <c r="CP1017" s="332"/>
      <c r="CQ1017" s="332"/>
      <c r="CR1017" s="332"/>
      <c r="CS1017" s="332"/>
      <c r="CT1017" s="332"/>
      <c r="CU1017" s="332"/>
      <c r="CV1017" s="332"/>
      <c r="CW1017" s="332"/>
      <c r="CX1017" s="332"/>
      <c r="CY1017" s="332"/>
      <c r="CZ1017" s="332"/>
      <c r="DA1017" s="332"/>
      <c r="DB1017" s="332"/>
      <c r="DC1017" s="332"/>
      <c r="DD1017" s="332"/>
      <c r="DE1017" s="332"/>
      <c r="DF1017" s="332"/>
      <c r="DG1017" s="332"/>
      <c r="DH1017" s="332"/>
      <c r="DI1017" s="332"/>
      <c r="DJ1017" s="332"/>
      <c r="DK1017" s="332"/>
      <c r="DL1017" s="332"/>
      <c r="DM1017" s="332"/>
      <c r="DN1017" s="332"/>
      <c r="DO1017" s="332"/>
      <c r="DP1017" s="332"/>
      <c r="DQ1017" s="332"/>
      <c r="DR1017" s="332"/>
      <c r="DS1017" s="332"/>
      <c r="DT1017" s="332"/>
      <c r="DU1017" s="453"/>
      <c r="DV1017" s="453"/>
      <c r="DW1017" s="453"/>
      <c r="DX1017" s="453"/>
      <c r="DY1017" s="453"/>
      <c r="DZ1017" s="453"/>
      <c r="EA1017" s="453"/>
      <c r="EB1017" s="453"/>
      <c r="EC1017" s="453"/>
      <c r="ED1017" s="453"/>
      <c r="EE1017" s="453"/>
      <c r="EF1017" s="453"/>
      <c r="EG1017" s="453"/>
      <c r="EH1017" s="453"/>
      <c r="EI1017" s="453"/>
      <c r="EJ1017" s="453"/>
      <c r="EK1017" s="453"/>
      <c r="EL1017" s="453"/>
      <c r="EM1017" s="483">
        <f t="shared" si="246"/>
        <v>708</v>
      </c>
      <c r="EN1017" s="485"/>
      <c r="EO1017" s="458"/>
      <c r="EP1017" s="467"/>
      <c r="EQ1017" s="457"/>
      <c r="ER1017" s="808"/>
      <c r="ES1017" s="881">
        <f t="shared" si="244"/>
        <v>0</v>
      </c>
      <c r="ET1017" s="882"/>
      <c r="EU1017" s="883"/>
      <c r="EV1017" s="884">
        <f t="shared" si="245"/>
        <v>0</v>
      </c>
      <c r="EW1017" s="885"/>
      <c r="EX1017" s="885"/>
      <c r="EY1017" s="885"/>
      <c r="EZ1017" s="885"/>
      <c r="FA1017" s="885"/>
      <c r="FB1017" s="885"/>
      <c r="FC1017" s="885"/>
      <c r="FD1017" s="886"/>
      <c r="FE1017" s="550"/>
      <c r="FF1017" s="550"/>
      <c r="FG1017" s="550"/>
      <c r="FH1017" s="550"/>
      <c r="FI1017" s="550"/>
      <c r="FJ1017" s="550"/>
      <c r="FK1017" s="550"/>
      <c r="FL1017" s="555"/>
      <c r="FM1017" s="554"/>
      <c r="FN1017" s="554"/>
      <c r="FO1017" s="554"/>
      <c r="FP1017" s="554"/>
      <c r="FQ1017" s="554"/>
      <c r="FR1017" s="554"/>
      <c r="FS1017" s="554"/>
      <c r="FT1017" s="554"/>
      <c r="FU1017" s="554"/>
      <c r="FV1017" s="554"/>
      <c r="FW1017" s="554"/>
      <c r="FX1017" s="554"/>
      <c r="FY1017" s="554"/>
      <c r="FZ1017" s="554"/>
      <c r="GA1017" s="554"/>
      <c r="GB1017" s="556"/>
      <c r="GC1017" s="370"/>
      <c r="GD1017" s="453"/>
      <c r="GE1017" s="453"/>
      <c r="GF1017" s="453"/>
      <c r="GG1017" s="453"/>
      <c r="GH1017" s="454"/>
      <c r="GI1017" s="453"/>
      <c r="GJ1017" s="453"/>
      <c r="GK1017" s="453"/>
      <c r="GL1017" s="453"/>
      <c r="GM1017" s="453"/>
      <c r="GN1017" s="453"/>
      <c r="GO1017" s="453"/>
      <c r="GP1017" s="453"/>
      <c r="GQ1017" s="453"/>
      <c r="GR1017" s="453"/>
      <c r="GS1017" s="561"/>
      <c r="GT1017" s="475"/>
      <c r="GU1017" s="472"/>
      <c r="GV1017" s="453"/>
      <c r="GW1017" s="453"/>
      <c r="GX1017" s="869"/>
      <c r="GY1017" s="870"/>
      <c r="GZ1017" s="867"/>
      <c r="HA1017" s="868"/>
      <c r="HB1017" s="473"/>
      <c r="HC1017" s="869"/>
      <c r="HD1017" s="870"/>
      <c r="HE1017" s="867"/>
      <c r="HF1017" s="868"/>
      <c r="HG1017" s="473"/>
      <c r="HH1017" s="867"/>
      <c r="HI1017" s="868"/>
      <c r="HJ1017" s="867"/>
      <c r="HK1017" s="868"/>
      <c r="HL1017" s="370"/>
      <c r="HM1017" s="865"/>
      <c r="HN1017" s="866"/>
      <c r="HO1017" s="865"/>
      <c r="HP1017" s="866"/>
      <c r="HQ1017" s="865"/>
      <c r="HR1017" s="866"/>
      <c r="HS1017" s="867"/>
      <c r="HT1017" s="868"/>
      <c r="HU1017" s="489"/>
      <c r="HV1017" s="865"/>
      <c r="HW1017" s="866"/>
    </row>
    <row r="1018" spans="25:231" ht="15" customHeight="1">
      <c r="Y1018" s="332"/>
      <c r="Z1018" s="332"/>
      <c r="AA1018" s="332"/>
      <c r="AB1018" s="332"/>
      <c r="AC1018" s="332"/>
      <c r="AD1018" s="332"/>
      <c r="AE1018" s="332"/>
      <c r="AF1018" s="332"/>
      <c r="AG1018" s="332"/>
      <c r="AH1018" s="332"/>
      <c r="AI1018" s="332"/>
      <c r="AJ1018" s="332"/>
      <c r="AK1018" s="332"/>
      <c r="AL1018" s="332"/>
      <c r="AM1018" s="332"/>
      <c r="AN1018" s="332"/>
      <c r="AO1018" s="332"/>
      <c r="AP1018" s="332"/>
      <c r="AQ1018" s="332"/>
      <c r="AR1018" s="332"/>
      <c r="AS1018" s="332"/>
      <c r="AT1018" s="332"/>
      <c r="AU1018" s="332"/>
      <c r="AV1018" s="332"/>
      <c r="AW1018" s="332"/>
      <c r="AX1018" s="332"/>
      <c r="AY1018" s="332"/>
      <c r="AZ1018" s="332"/>
      <c r="BA1018" s="332"/>
      <c r="BB1018" s="332"/>
      <c r="BC1018" s="332"/>
      <c r="BD1018" s="332"/>
      <c r="BE1018" s="332"/>
      <c r="BF1018" s="332"/>
      <c r="BG1018" s="332"/>
      <c r="BH1018" s="332"/>
      <c r="BI1018" s="332"/>
      <c r="BJ1018" s="332"/>
      <c r="BK1018" s="332"/>
      <c r="BL1018" s="332"/>
      <c r="BM1018" s="332"/>
      <c r="BN1018" s="332"/>
      <c r="BO1018" s="332"/>
      <c r="BP1018" s="332"/>
      <c r="BQ1018" s="332"/>
      <c r="BR1018" s="332"/>
      <c r="BS1018" s="332"/>
      <c r="BT1018" s="332"/>
      <c r="BU1018" s="332"/>
      <c r="BV1018" s="332"/>
      <c r="BW1018" s="332"/>
      <c r="BX1018" s="332"/>
      <c r="BY1018" s="332"/>
      <c r="BZ1018" s="332"/>
      <c r="CA1018" s="332"/>
      <c r="CB1018" s="332"/>
      <c r="CC1018" s="332"/>
      <c r="CD1018" s="332"/>
      <c r="CE1018" s="332"/>
      <c r="CF1018" s="332"/>
      <c r="CG1018" s="332"/>
      <c r="CH1018" s="332"/>
      <c r="CI1018" s="332"/>
      <c r="CJ1018" s="332"/>
      <c r="CK1018" s="332"/>
      <c r="CL1018" s="332"/>
      <c r="CM1018" s="332"/>
      <c r="CN1018" s="332"/>
      <c r="CO1018" s="332"/>
      <c r="CP1018" s="332"/>
      <c r="CQ1018" s="332"/>
      <c r="CR1018" s="332"/>
      <c r="CS1018" s="332"/>
      <c r="CT1018" s="332"/>
      <c r="CU1018" s="332"/>
      <c r="CV1018" s="332"/>
      <c r="CW1018" s="332"/>
      <c r="CX1018" s="332"/>
      <c r="CY1018" s="332"/>
      <c r="CZ1018" s="332"/>
      <c r="DA1018" s="332"/>
      <c r="DB1018" s="332"/>
      <c r="DC1018" s="332"/>
      <c r="DD1018" s="332"/>
      <c r="DE1018" s="332"/>
      <c r="DF1018" s="332"/>
      <c r="DG1018" s="332"/>
      <c r="DH1018" s="332"/>
      <c r="DI1018" s="332"/>
      <c r="DJ1018" s="332"/>
      <c r="DK1018" s="332"/>
      <c r="DL1018" s="332"/>
      <c r="DM1018" s="332"/>
      <c r="DN1018" s="332"/>
      <c r="DO1018" s="332"/>
      <c r="DP1018" s="332"/>
      <c r="DQ1018" s="332"/>
      <c r="DR1018" s="332"/>
      <c r="DS1018" s="332"/>
      <c r="DT1018" s="332"/>
      <c r="DU1018" s="453"/>
      <c r="DV1018" s="453"/>
      <c r="DW1018" s="453"/>
      <c r="DX1018" s="453"/>
      <c r="DY1018" s="453"/>
      <c r="DZ1018" s="453"/>
      <c r="EA1018" s="453"/>
      <c r="EB1018" s="453"/>
      <c r="EC1018" s="453"/>
      <c r="ED1018" s="453"/>
      <c r="EE1018" s="453"/>
      <c r="EF1018" s="453"/>
      <c r="EG1018" s="453"/>
      <c r="EH1018" s="453"/>
      <c r="EI1018" s="453"/>
      <c r="EJ1018" s="453"/>
      <c r="EK1018" s="453"/>
      <c r="EL1018" s="453"/>
      <c r="EM1018" s="483">
        <f t="shared" si="246"/>
        <v>709</v>
      </c>
      <c r="EN1018" s="485"/>
      <c r="EO1018" s="458"/>
      <c r="EP1018" s="467"/>
      <c r="EQ1018" s="457"/>
      <c r="ER1018" s="808"/>
      <c r="ES1018" s="881">
        <f t="shared" si="244"/>
        <v>0</v>
      </c>
      <c r="ET1018" s="882"/>
      <c r="EU1018" s="883"/>
      <c r="EV1018" s="884">
        <f t="shared" si="245"/>
        <v>0</v>
      </c>
      <c r="EW1018" s="885"/>
      <c r="EX1018" s="885"/>
      <c r="EY1018" s="885"/>
      <c r="EZ1018" s="885"/>
      <c r="FA1018" s="885"/>
      <c r="FB1018" s="885"/>
      <c r="FC1018" s="885"/>
      <c r="FD1018" s="886"/>
      <c r="FE1018" s="550"/>
      <c r="FF1018" s="550"/>
      <c r="FG1018" s="550"/>
      <c r="FH1018" s="550"/>
      <c r="FI1018" s="550"/>
      <c r="FJ1018" s="550"/>
      <c r="FK1018" s="550"/>
      <c r="FL1018" s="555"/>
      <c r="FM1018" s="554"/>
      <c r="FN1018" s="554"/>
      <c r="FO1018" s="554"/>
      <c r="FP1018" s="554"/>
      <c r="FQ1018" s="554"/>
      <c r="FR1018" s="554"/>
      <c r="FS1018" s="554"/>
      <c r="FT1018" s="554"/>
      <c r="FU1018" s="554"/>
      <c r="FV1018" s="554"/>
      <c r="FW1018" s="554"/>
      <c r="FX1018" s="554"/>
      <c r="FY1018" s="554"/>
      <c r="FZ1018" s="554"/>
      <c r="GA1018" s="554"/>
      <c r="GB1018" s="556"/>
      <c r="GC1018" s="370"/>
      <c r="GD1018" s="453"/>
      <c r="GE1018" s="453"/>
      <c r="GF1018" s="453"/>
      <c r="GG1018" s="453"/>
      <c r="GH1018" s="454"/>
      <c r="GI1018" s="453"/>
      <c r="GJ1018" s="453"/>
      <c r="GK1018" s="453"/>
      <c r="GL1018" s="453"/>
      <c r="GM1018" s="453"/>
      <c r="GN1018" s="453"/>
      <c r="GO1018" s="453"/>
      <c r="GP1018" s="453"/>
      <c r="GQ1018" s="453"/>
      <c r="GR1018" s="453"/>
      <c r="GS1018" s="561"/>
      <c r="GT1018" s="475"/>
      <c r="GU1018" s="472"/>
      <c r="GV1018" s="453"/>
      <c r="GW1018" s="453"/>
      <c r="GX1018" s="869"/>
      <c r="GY1018" s="870"/>
      <c r="GZ1018" s="867"/>
      <c r="HA1018" s="868"/>
      <c r="HB1018" s="473"/>
      <c r="HC1018" s="869"/>
      <c r="HD1018" s="870"/>
      <c r="HE1018" s="867"/>
      <c r="HF1018" s="868"/>
      <c r="HG1018" s="473"/>
      <c r="HH1018" s="867"/>
      <c r="HI1018" s="868"/>
      <c r="HJ1018" s="867"/>
      <c r="HK1018" s="868"/>
      <c r="HL1018" s="370"/>
      <c r="HM1018" s="865"/>
      <c r="HN1018" s="866"/>
      <c r="HO1018" s="865"/>
      <c r="HP1018" s="866"/>
      <c r="HQ1018" s="865"/>
      <c r="HR1018" s="866"/>
      <c r="HS1018" s="867"/>
      <c r="HT1018" s="868"/>
      <c r="HU1018" s="489"/>
      <c r="HV1018" s="865"/>
      <c r="HW1018" s="866"/>
    </row>
    <row r="1019" spans="25:231" ht="15" customHeight="1">
      <c r="Y1019" s="332"/>
      <c r="Z1019" s="332"/>
      <c r="AA1019" s="332"/>
      <c r="AB1019" s="332"/>
      <c r="AC1019" s="332"/>
      <c r="AD1019" s="332"/>
      <c r="AE1019" s="332"/>
      <c r="AF1019" s="332"/>
      <c r="AG1019" s="332"/>
      <c r="AH1019" s="332"/>
      <c r="AI1019" s="332"/>
      <c r="AJ1019" s="332"/>
      <c r="AK1019" s="332"/>
      <c r="AL1019" s="332"/>
      <c r="AM1019" s="332"/>
      <c r="AN1019" s="332"/>
      <c r="AO1019" s="332"/>
      <c r="AP1019" s="332"/>
      <c r="AQ1019" s="332"/>
      <c r="AR1019" s="332"/>
      <c r="AS1019" s="332"/>
      <c r="AT1019" s="332"/>
      <c r="AU1019" s="332"/>
      <c r="AV1019" s="332"/>
      <c r="AW1019" s="332"/>
      <c r="AX1019" s="332"/>
      <c r="AY1019" s="332"/>
      <c r="AZ1019" s="332"/>
      <c r="BA1019" s="332"/>
      <c r="BB1019" s="332"/>
      <c r="BC1019" s="332"/>
      <c r="BD1019" s="332"/>
      <c r="BE1019" s="332"/>
      <c r="BF1019" s="332"/>
      <c r="BG1019" s="332"/>
      <c r="BH1019" s="332"/>
      <c r="BI1019" s="332"/>
      <c r="BJ1019" s="332"/>
      <c r="BK1019" s="332"/>
      <c r="BL1019" s="332"/>
      <c r="BM1019" s="332"/>
      <c r="BN1019" s="332"/>
      <c r="BO1019" s="332"/>
      <c r="BP1019" s="332"/>
      <c r="BQ1019" s="332"/>
      <c r="BR1019" s="332"/>
      <c r="BS1019" s="332"/>
      <c r="BT1019" s="332"/>
      <c r="BU1019" s="332"/>
      <c r="BV1019" s="332"/>
      <c r="BW1019" s="332"/>
      <c r="BX1019" s="332"/>
      <c r="BY1019" s="332"/>
      <c r="BZ1019" s="332"/>
      <c r="CA1019" s="332"/>
      <c r="CB1019" s="332"/>
      <c r="CC1019" s="332"/>
      <c r="CD1019" s="332"/>
      <c r="CE1019" s="332"/>
      <c r="CF1019" s="332"/>
      <c r="CG1019" s="332"/>
      <c r="CH1019" s="332"/>
      <c r="CI1019" s="332"/>
      <c r="CJ1019" s="332"/>
      <c r="CK1019" s="332"/>
      <c r="CL1019" s="332"/>
      <c r="CM1019" s="332"/>
      <c r="CN1019" s="332"/>
      <c r="CO1019" s="332"/>
      <c r="CP1019" s="332"/>
      <c r="CQ1019" s="332"/>
      <c r="CR1019" s="332"/>
      <c r="CS1019" s="332"/>
      <c r="CT1019" s="332"/>
      <c r="CU1019" s="332"/>
      <c r="CV1019" s="332"/>
      <c r="CW1019" s="332"/>
      <c r="CX1019" s="332"/>
      <c r="CY1019" s="332"/>
      <c r="CZ1019" s="332"/>
      <c r="DA1019" s="332"/>
      <c r="DB1019" s="332"/>
      <c r="DC1019" s="332"/>
      <c r="DD1019" s="332"/>
      <c r="DE1019" s="332"/>
      <c r="DF1019" s="332"/>
      <c r="DG1019" s="332"/>
      <c r="DH1019" s="332"/>
      <c r="DI1019" s="332"/>
      <c r="DJ1019" s="332"/>
      <c r="DK1019" s="332"/>
      <c r="DL1019" s="332"/>
      <c r="DM1019" s="332"/>
      <c r="DN1019" s="332"/>
      <c r="DO1019" s="332"/>
      <c r="DP1019" s="332"/>
      <c r="DQ1019" s="332"/>
      <c r="DR1019" s="332"/>
      <c r="DS1019" s="332"/>
      <c r="DT1019" s="332"/>
      <c r="DU1019" s="453"/>
      <c r="DV1019" s="453"/>
      <c r="DW1019" s="453"/>
      <c r="DX1019" s="453"/>
      <c r="DY1019" s="453"/>
      <c r="DZ1019" s="453"/>
      <c r="EA1019" s="453"/>
      <c r="EB1019" s="453"/>
      <c r="EC1019" s="453"/>
      <c r="ED1019" s="453"/>
      <c r="EE1019" s="453"/>
      <c r="EF1019" s="453"/>
      <c r="EG1019" s="453"/>
      <c r="EH1019" s="453"/>
      <c r="EI1019" s="453"/>
      <c r="EJ1019" s="453"/>
      <c r="EK1019" s="453"/>
      <c r="EL1019" s="453"/>
      <c r="EM1019" s="483">
        <f t="shared" si="246"/>
        <v>710</v>
      </c>
      <c r="EN1019" s="485"/>
      <c r="EO1019" s="458"/>
      <c r="EP1019" s="467"/>
      <c r="EQ1019" s="457"/>
      <c r="ER1019" s="808"/>
      <c r="ES1019" s="881">
        <f t="shared" si="244"/>
        <v>0</v>
      </c>
      <c r="ET1019" s="882"/>
      <c r="EU1019" s="883"/>
      <c r="EV1019" s="884">
        <f t="shared" si="245"/>
        <v>0</v>
      </c>
      <c r="EW1019" s="885"/>
      <c r="EX1019" s="885"/>
      <c r="EY1019" s="885"/>
      <c r="EZ1019" s="885"/>
      <c r="FA1019" s="885"/>
      <c r="FB1019" s="885"/>
      <c r="FC1019" s="885"/>
      <c r="FD1019" s="886"/>
      <c r="FE1019" s="550"/>
      <c r="FF1019" s="550"/>
      <c r="FG1019" s="550"/>
      <c r="FH1019" s="550"/>
      <c r="FI1019" s="550"/>
      <c r="FJ1019" s="550"/>
      <c r="FK1019" s="550"/>
      <c r="FL1019" s="555"/>
      <c r="FM1019" s="554"/>
      <c r="FN1019" s="554"/>
      <c r="FO1019" s="554"/>
      <c r="FP1019" s="554"/>
      <c r="FQ1019" s="554"/>
      <c r="FR1019" s="554"/>
      <c r="FS1019" s="554"/>
      <c r="FT1019" s="554"/>
      <c r="FU1019" s="554"/>
      <c r="FV1019" s="554"/>
      <c r="FW1019" s="554"/>
      <c r="FX1019" s="554"/>
      <c r="FY1019" s="554"/>
      <c r="FZ1019" s="554"/>
      <c r="GA1019" s="554"/>
      <c r="GB1019" s="556"/>
      <c r="GC1019" s="370"/>
      <c r="GD1019" s="453"/>
      <c r="GE1019" s="453"/>
      <c r="GF1019" s="453"/>
      <c r="GG1019" s="453"/>
      <c r="GH1019" s="454"/>
      <c r="GI1019" s="453"/>
      <c r="GJ1019" s="453"/>
      <c r="GK1019" s="453"/>
      <c r="GL1019" s="453"/>
      <c r="GM1019" s="453"/>
      <c r="GN1019" s="453"/>
      <c r="GO1019" s="453"/>
      <c r="GP1019" s="453"/>
      <c r="GQ1019" s="453"/>
      <c r="GR1019" s="453"/>
      <c r="GS1019" s="561"/>
      <c r="GT1019" s="475"/>
      <c r="GU1019" s="472"/>
      <c r="GV1019" s="453"/>
      <c r="GW1019" s="453"/>
      <c r="GX1019" s="869"/>
      <c r="GY1019" s="870"/>
      <c r="GZ1019" s="867"/>
      <c r="HA1019" s="868"/>
      <c r="HB1019" s="473"/>
      <c r="HC1019" s="869"/>
      <c r="HD1019" s="870"/>
      <c r="HE1019" s="867"/>
      <c r="HF1019" s="868"/>
      <c r="HG1019" s="473"/>
      <c r="HH1019" s="867"/>
      <c r="HI1019" s="868"/>
      <c r="HJ1019" s="867"/>
      <c r="HK1019" s="868"/>
      <c r="HL1019" s="370"/>
      <c r="HM1019" s="865"/>
      <c r="HN1019" s="866"/>
      <c r="HO1019" s="865"/>
      <c r="HP1019" s="866"/>
      <c r="HQ1019" s="865"/>
      <c r="HR1019" s="866"/>
      <c r="HS1019" s="867"/>
      <c r="HT1019" s="868"/>
      <c r="HU1019" s="489"/>
      <c r="HV1019" s="865"/>
      <c r="HW1019" s="866"/>
    </row>
    <row r="1020" spans="25:231" ht="15" customHeight="1">
      <c r="Y1020" s="332"/>
      <c r="Z1020" s="332"/>
      <c r="AA1020" s="332"/>
      <c r="AB1020" s="332"/>
      <c r="AC1020" s="332"/>
      <c r="AD1020" s="332"/>
      <c r="AE1020" s="332"/>
      <c r="AF1020" s="332"/>
      <c r="AG1020" s="332"/>
      <c r="AH1020" s="332"/>
      <c r="AI1020" s="332"/>
      <c r="AJ1020" s="332"/>
      <c r="AK1020" s="332"/>
      <c r="AL1020" s="332"/>
      <c r="AM1020" s="332"/>
      <c r="AN1020" s="332"/>
      <c r="AO1020" s="332"/>
      <c r="AP1020" s="332"/>
      <c r="AQ1020" s="332"/>
      <c r="AR1020" s="332"/>
      <c r="AS1020" s="332"/>
      <c r="AT1020" s="332"/>
      <c r="AU1020" s="332"/>
      <c r="AV1020" s="332"/>
      <c r="AW1020" s="332"/>
      <c r="AX1020" s="332"/>
      <c r="AY1020" s="332"/>
      <c r="AZ1020" s="332"/>
      <c r="BA1020" s="332"/>
      <c r="BB1020" s="332"/>
      <c r="BC1020" s="332"/>
      <c r="BD1020" s="332"/>
      <c r="BE1020" s="332"/>
      <c r="BF1020" s="332"/>
      <c r="BG1020" s="332"/>
      <c r="BH1020" s="332"/>
      <c r="BI1020" s="332"/>
      <c r="BJ1020" s="332"/>
      <c r="BK1020" s="332"/>
      <c r="BL1020" s="332"/>
      <c r="BM1020" s="332"/>
      <c r="BN1020" s="332"/>
      <c r="BO1020" s="332"/>
      <c r="BP1020" s="332"/>
      <c r="BQ1020" s="332"/>
      <c r="BR1020" s="332"/>
      <c r="BS1020" s="332"/>
      <c r="BT1020" s="332"/>
      <c r="BU1020" s="332"/>
      <c r="BV1020" s="332"/>
      <c r="BW1020" s="332"/>
      <c r="BX1020" s="332"/>
      <c r="BY1020" s="332"/>
      <c r="BZ1020" s="332"/>
      <c r="CA1020" s="332"/>
      <c r="CB1020" s="332"/>
      <c r="CC1020" s="332"/>
      <c r="CD1020" s="332"/>
      <c r="CE1020" s="332"/>
      <c r="CF1020" s="332"/>
      <c r="CG1020" s="332"/>
      <c r="CH1020" s="332"/>
      <c r="CI1020" s="332"/>
      <c r="CJ1020" s="332"/>
      <c r="CK1020" s="332"/>
      <c r="CL1020" s="332"/>
      <c r="CM1020" s="332"/>
      <c r="CN1020" s="332"/>
      <c r="CO1020" s="332"/>
      <c r="CP1020" s="332"/>
      <c r="CQ1020" s="332"/>
      <c r="CR1020" s="332"/>
      <c r="CS1020" s="332"/>
      <c r="CT1020" s="332"/>
      <c r="CU1020" s="332"/>
      <c r="CV1020" s="332"/>
      <c r="CW1020" s="332"/>
      <c r="CX1020" s="332"/>
      <c r="CY1020" s="332"/>
      <c r="CZ1020" s="332"/>
      <c r="DA1020" s="332"/>
      <c r="DB1020" s="332"/>
      <c r="DC1020" s="332"/>
      <c r="DD1020" s="332"/>
      <c r="DE1020" s="332"/>
      <c r="DF1020" s="332"/>
      <c r="DG1020" s="332"/>
      <c r="DH1020" s="332"/>
      <c r="DI1020" s="332"/>
      <c r="DJ1020" s="332"/>
      <c r="DK1020" s="332"/>
      <c r="DL1020" s="332"/>
      <c r="DM1020" s="332"/>
      <c r="DN1020" s="332"/>
      <c r="DO1020" s="332"/>
      <c r="DP1020" s="332"/>
      <c r="DQ1020" s="332"/>
      <c r="DR1020" s="332"/>
      <c r="DS1020" s="332"/>
      <c r="DT1020" s="332"/>
      <c r="DU1020" s="453"/>
      <c r="DV1020" s="453"/>
      <c r="DW1020" s="453"/>
      <c r="DX1020" s="453"/>
      <c r="DY1020" s="453"/>
      <c r="DZ1020" s="453"/>
      <c r="EA1020" s="453"/>
      <c r="EB1020" s="453"/>
      <c r="EC1020" s="453"/>
      <c r="ED1020" s="453"/>
      <c r="EE1020" s="453"/>
      <c r="EF1020" s="453"/>
      <c r="EG1020" s="453"/>
      <c r="EH1020" s="453"/>
      <c r="EI1020" s="453"/>
      <c r="EJ1020" s="453"/>
      <c r="EK1020" s="453"/>
      <c r="EL1020" s="453"/>
      <c r="EM1020" s="483">
        <f t="shared" si="246"/>
        <v>711</v>
      </c>
      <c r="EN1020" s="485"/>
      <c r="EO1020" s="458"/>
      <c r="EP1020" s="467"/>
      <c r="EQ1020" s="457"/>
      <c r="ER1020" s="808"/>
      <c r="ES1020" s="881">
        <f t="shared" si="244"/>
        <v>0</v>
      </c>
      <c r="ET1020" s="882"/>
      <c r="EU1020" s="883"/>
      <c r="EV1020" s="884">
        <f t="shared" si="245"/>
        <v>0</v>
      </c>
      <c r="EW1020" s="885"/>
      <c r="EX1020" s="885"/>
      <c r="EY1020" s="885"/>
      <c r="EZ1020" s="885"/>
      <c r="FA1020" s="885"/>
      <c r="FB1020" s="885"/>
      <c r="FC1020" s="885"/>
      <c r="FD1020" s="886"/>
      <c r="FE1020" s="550"/>
      <c r="FF1020" s="550"/>
      <c r="FG1020" s="550"/>
      <c r="FH1020" s="550"/>
      <c r="FI1020" s="550"/>
      <c r="FJ1020" s="550"/>
      <c r="FK1020" s="550"/>
      <c r="FL1020" s="555"/>
      <c r="FM1020" s="554"/>
      <c r="FN1020" s="554"/>
      <c r="FO1020" s="554"/>
      <c r="FP1020" s="554"/>
      <c r="FQ1020" s="554"/>
      <c r="FR1020" s="554"/>
      <c r="FS1020" s="554"/>
      <c r="FT1020" s="554"/>
      <c r="FU1020" s="554"/>
      <c r="FV1020" s="554"/>
      <c r="FW1020" s="554"/>
      <c r="FX1020" s="554"/>
      <c r="FY1020" s="554"/>
      <c r="FZ1020" s="554"/>
      <c r="GA1020" s="554"/>
      <c r="GB1020" s="556"/>
      <c r="GC1020" s="370"/>
      <c r="GD1020" s="453"/>
      <c r="GE1020" s="453"/>
      <c r="GF1020" s="453"/>
      <c r="GG1020" s="453"/>
      <c r="GH1020" s="454"/>
      <c r="GI1020" s="453"/>
      <c r="GJ1020" s="453"/>
      <c r="GK1020" s="453"/>
      <c r="GL1020" s="453"/>
      <c r="GM1020" s="453"/>
      <c r="GN1020" s="453"/>
      <c r="GO1020" s="453"/>
      <c r="GP1020" s="453"/>
      <c r="GQ1020" s="453"/>
      <c r="GR1020" s="453"/>
      <c r="GS1020" s="561"/>
      <c r="GT1020" s="475"/>
      <c r="GU1020" s="472"/>
      <c r="GV1020" s="453"/>
      <c r="GW1020" s="453"/>
      <c r="GX1020" s="869"/>
      <c r="GY1020" s="870"/>
      <c r="GZ1020" s="867"/>
      <c r="HA1020" s="868"/>
      <c r="HB1020" s="473"/>
      <c r="HC1020" s="869"/>
      <c r="HD1020" s="870"/>
      <c r="HE1020" s="867"/>
      <c r="HF1020" s="868"/>
      <c r="HG1020" s="473"/>
      <c r="HH1020" s="867"/>
      <c r="HI1020" s="868"/>
      <c r="HJ1020" s="867"/>
      <c r="HK1020" s="868"/>
      <c r="HL1020" s="370"/>
      <c r="HM1020" s="865"/>
      <c r="HN1020" s="866"/>
      <c r="HO1020" s="865"/>
      <c r="HP1020" s="866"/>
      <c r="HQ1020" s="865"/>
      <c r="HR1020" s="866"/>
      <c r="HS1020" s="867"/>
      <c r="HT1020" s="868"/>
      <c r="HU1020" s="489"/>
      <c r="HV1020" s="865"/>
      <c r="HW1020" s="866"/>
    </row>
    <row r="1021" spans="25:231" ht="15" customHeight="1">
      <c r="Y1021" s="332"/>
      <c r="Z1021" s="332"/>
      <c r="AA1021" s="332"/>
      <c r="AB1021" s="332"/>
      <c r="AC1021" s="332"/>
      <c r="AD1021" s="332"/>
      <c r="AE1021" s="332"/>
      <c r="AF1021" s="332"/>
      <c r="AG1021" s="332"/>
      <c r="AH1021" s="332"/>
      <c r="AI1021" s="332"/>
      <c r="AJ1021" s="332"/>
      <c r="AK1021" s="332"/>
      <c r="AL1021" s="332"/>
      <c r="AM1021" s="332"/>
      <c r="AN1021" s="332"/>
      <c r="AO1021" s="332"/>
      <c r="AP1021" s="332"/>
      <c r="AQ1021" s="332"/>
      <c r="AR1021" s="332"/>
      <c r="AS1021" s="332"/>
      <c r="AT1021" s="332"/>
      <c r="AU1021" s="332"/>
      <c r="AV1021" s="332"/>
      <c r="AW1021" s="332"/>
      <c r="AX1021" s="332"/>
      <c r="AY1021" s="332"/>
      <c r="AZ1021" s="332"/>
      <c r="BA1021" s="332"/>
      <c r="BB1021" s="332"/>
      <c r="BC1021" s="332"/>
      <c r="BD1021" s="332"/>
      <c r="BE1021" s="332"/>
      <c r="BF1021" s="332"/>
      <c r="BG1021" s="332"/>
      <c r="BH1021" s="332"/>
      <c r="BI1021" s="332"/>
      <c r="BJ1021" s="332"/>
      <c r="BK1021" s="332"/>
      <c r="BL1021" s="332"/>
      <c r="BM1021" s="332"/>
      <c r="BN1021" s="332"/>
      <c r="BO1021" s="332"/>
      <c r="BP1021" s="332"/>
      <c r="BQ1021" s="332"/>
      <c r="BR1021" s="332"/>
      <c r="BS1021" s="332"/>
      <c r="BT1021" s="332"/>
      <c r="BU1021" s="332"/>
      <c r="BV1021" s="332"/>
      <c r="BW1021" s="332"/>
      <c r="BX1021" s="332"/>
      <c r="BY1021" s="332"/>
      <c r="BZ1021" s="332"/>
      <c r="CA1021" s="332"/>
      <c r="CB1021" s="332"/>
      <c r="CC1021" s="332"/>
      <c r="CD1021" s="332"/>
      <c r="CE1021" s="332"/>
      <c r="CF1021" s="332"/>
      <c r="CG1021" s="332"/>
      <c r="CH1021" s="332"/>
      <c r="CI1021" s="332"/>
      <c r="CJ1021" s="332"/>
      <c r="CK1021" s="332"/>
      <c r="CL1021" s="332"/>
      <c r="CM1021" s="332"/>
      <c r="CN1021" s="332"/>
      <c r="CO1021" s="332"/>
      <c r="CP1021" s="332"/>
      <c r="CQ1021" s="332"/>
      <c r="CR1021" s="332"/>
      <c r="CS1021" s="332"/>
      <c r="CT1021" s="332"/>
      <c r="CU1021" s="332"/>
      <c r="CV1021" s="332"/>
      <c r="CW1021" s="332"/>
      <c r="CX1021" s="332"/>
      <c r="CY1021" s="332"/>
      <c r="CZ1021" s="332"/>
      <c r="DA1021" s="332"/>
      <c r="DB1021" s="332"/>
      <c r="DC1021" s="332"/>
      <c r="DD1021" s="332"/>
      <c r="DE1021" s="332"/>
      <c r="DF1021" s="332"/>
      <c r="DG1021" s="332"/>
      <c r="DH1021" s="332"/>
      <c r="DI1021" s="332"/>
      <c r="DJ1021" s="332"/>
      <c r="DK1021" s="332"/>
      <c r="DL1021" s="332"/>
      <c r="DM1021" s="332"/>
      <c r="DN1021" s="332"/>
      <c r="DO1021" s="332"/>
      <c r="DP1021" s="332"/>
      <c r="DQ1021" s="332"/>
      <c r="DR1021" s="332"/>
      <c r="DS1021" s="332"/>
      <c r="DT1021" s="332"/>
      <c r="DU1021" s="453"/>
      <c r="DV1021" s="453"/>
      <c r="DW1021" s="453"/>
      <c r="DX1021" s="453"/>
      <c r="DY1021" s="453"/>
      <c r="DZ1021" s="453"/>
      <c r="EA1021" s="453"/>
      <c r="EB1021" s="453"/>
      <c r="EC1021" s="453"/>
      <c r="ED1021" s="453"/>
      <c r="EE1021" s="453"/>
      <c r="EF1021" s="453"/>
      <c r="EG1021" s="453"/>
      <c r="EH1021" s="453"/>
      <c r="EI1021" s="453"/>
      <c r="EJ1021" s="453"/>
      <c r="EK1021" s="453"/>
      <c r="EL1021" s="453"/>
      <c r="EM1021" s="483">
        <f t="shared" si="246"/>
        <v>712</v>
      </c>
      <c r="EN1021" s="485"/>
      <c r="EO1021" s="458"/>
      <c r="EP1021" s="467"/>
      <c r="EQ1021" s="457"/>
      <c r="ER1021" s="808"/>
      <c r="ES1021" s="881">
        <f t="shared" ref="ES1021:ES1084" si="247">IF(OR(EO1021 = "", EP1021 = 0, EP1021 = "", EQ1021 = 0, EQ1021 = "", ER1021 = 0, ER1021 = ""), 0,
IF(EO1021 &lt;&gt; "ACCION", EP1021 * ER1021 * -100,  EP1021 * ER1021 * -1))</f>
        <v>0</v>
      </c>
      <c r="ET1021" s="882"/>
      <c r="EU1021" s="883"/>
      <c r="EV1021" s="884">
        <f t="shared" ref="EV1021:EV1084" si="248">+IF(OR(EO1021 = "", EP1021 = 0, EP1021 = "", EQ1021 = 0, EQ1021 = "", ER1021 = 0, ER1021 = ""), 0,
IF(EO1021 &lt;&gt; "ACCION",
IF(EP1021 &gt; 0, EP1021 * ER1021 * -100 * ( 1 + COMIS_OPCION), EP1021 * ER1021 * -100 * ( 1 - COMIS_OPCION)),
IF(EP1021 &gt; 0, EP1021 * ER1021 * -1 * ( 1 + COMIS_ACCION), EP1021 * ER1021 * -1 * ( 1 - COMIS_ACCION))  ))</f>
        <v>0</v>
      </c>
      <c r="EW1021" s="885"/>
      <c r="EX1021" s="885"/>
      <c r="EY1021" s="885"/>
      <c r="EZ1021" s="885"/>
      <c r="FA1021" s="885"/>
      <c r="FB1021" s="885"/>
      <c r="FC1021" s="885"/>
      <c r="FD1021" s="886"/>
      <c r="FE1021" s="551"/>
      <c r="FF1021" s="551"/>
      <c r="FG1021" s="551"/>
      <c r="FH1021" s="551"/>
      <c r="FI1021" s="551"/>
      <c r="FJ1021" s="551"/>
      <c r="FK1021" s="551"/>
      <c r="FL1021" s="555"/>
      <c r="FM1021" s="554"/>
      <c r="FN1021" s="554"/>
      <c r="FO1021" s="554"/>
      <c r="FP1021" s="554"/>
      <c r="FQ1021" s="554"/>
      <c r="FR1021" s="554"/>
      <c r="FS1021" s="554"/>
      <c r="FT1021" s="554"/>
      <c r="FU1021" s="554"/>
      <c r="FV1021" s="554"/>
      <c r="FW1021" s="554"/>
      <c r="FX1021" s="554"/>
      <c r="FY1021" s="554"/>
      <c r="FZ1021" s="554"/>
      <c r="GA1021" s="554"/>
      <c r="GB1021" s="556"/>
      <c r="GC1021" s="370"/>
      <c r="GD1021" s="453"/>
      <c r="GE1021" s="453"/>
      <c r="GF1021" s="453"/>
      <c r="GG1021" s="453"/>
      <c r="GH1021" s="454"/>
      <c r="GI1021" s="453"/>
      <c r="GJ1021" s="453"/>
      <c r="GK1021" s="453"/>
      <c r="GL1021" s="453"/>
      <c r="GM1021" s="453"/>
      <c r="GN1021" s="453"/>
      <c r="GO1021" s="453"/>
      <c r="GP1021" s="453"/>
      <c r="GQ1021" s="453"/>
      <c r="GR1021" s="453"/>
      <c r="GS1021" s="561"/>
      <c r="GT1021" s="475"/>
      <c r="GU1021" s="472"/>
      <c r="GV1021" s="453"/>
      <c r="GW1021" s="453"/>
      <c r="GX1021" s="869"/>
      <c r="GY1021" s="870"/>
      <c r="GZ1021" s="867"/>
      <c r="HA1021" s="868"/>
      <c r="HB1021" s="473"/>
      <c r="HC1021" s="869"/>
      <c r="HD1021" s="870"/>
      <c r="HE1021" s="867"/>
      <c r="HF1021" s="868"/>
      <c r="HG1021" s="473"/>
      <c r="HH1021" s="867"/>
      <c r="HI1021" s="868"/>
      <c r="HJ1021" s="867"/>
      <c r="HK1021" s="868"/>
      <c r="HL1021" s="370"/>
      <c r="HM1021" s="865"/>
      <c r="HN1021" s="866"/>
      <c r="HO1021" s="865"/>
      <c r="HP1021" s="866"/>
      <c r="HQ1021" s="865"/>
      <c r="HR1021" s="866"/>
      <c r="HS1021" s="867"/>
      <c r="HT1021" s="868"/>
      <c r="HU1021" s="489"/>
      <c r="HV1021" s="865"/>
      <c r="HW1021" s="866"/>
    </row>
    <row r="1022" spans="25:231" ht="15" customHeight="1">
      <c r="Y1022" s="332"/>
      <c r="Z1022" s="332"/>
      <c r="AA1022" s="332"/>
      <c r="AB1022" s="332"/>
      <c r="AC1022" s="332"/>
      <c r="AD1022" s="332"/>
      <c r="AE1022" s="332"/>
      <c r="AF1022" s="332"/>
      <c r="AG1022" s="332"/>
      <c r="AH1022" s="332"/>
      <c r="AI1022" s="332"/>
      <c r="AJ1022" s="332"/>
      <c r="AK1022" s="332"/>
      <c r="AL1022" s="332"/>
      <c r="AM1022" s="332"/>
      <c r="AN1022" s="332"/>
      <c r="AO1022" s="332"/>
      <c r="AP1022" s="332"/>
      <c r="AQ1022" s="332"/>
      <c r="AR1022" s="332"/>
      <c r="AS1022" s="332"/>
      <c r="AT1022" s="332"/>
      <c r="AU1022" s="332"/>
      <c r="AV1022" s="332"/>
      <c r="AW1022" s="332"/>
      <c r="AX1022" s="332"/>
      <c r="AY1022" s="332"/>
      <c r="AZ1022" s="332"/>
      <c r="BA1022" s="332"/>
      <c r="BB1022" s="332"/>
      <c r="BC1022" s="332"/>
      <c r="BD1022" s="332"/>
      <c r="BE1022" s="332"/>
      <c r="BF1022" s="332"/>
      <c r="BG1022" s="332"/>
      <c r="BH1022" s="332"/>
      <c r="BI1022" s="332"/>
      <c r="BJ1022" s="332"/>
      <c r="BK1022" s="332"/>
      <c r="BL1022" s="332"/>
      <c r="BM1022" s="332"/>
      <c r="BN1022" s="332"/>
      <c r="BO1022" s="332"/>
      <c r="BP1022" s="332"/>
      <c r="BQ1022" s="332"/>
      <c r="BR1022" s="332"/>
      <c r="BS1022" s="332"/>
      <c r="BT1022" s="332"/>
      <c r="BU1022" s="332"/>
      <c r="BV1022" s="332"/>
      <c r="BW1022" s="332"/>
      <c r="BX1022" s="332"/>
      <c r="BY1022" s="332"/>
      <c r="BZ1022" s="332"/>
      <c r="CA1022" s="332"/>
      <c r="CB1022" s="332"/>
      <c r="CC1022" s="332"/>
      <c r="CD1022" s="332"/>
      <c r="CE1022" s="332"/>
      <c r="CF1022" s="332"/>
      <c r="CG1022" s="332"/>
      <c r="CH1022" s="332"/>
      <c r="CI1022" s="332"/>
      <c r="CJ1022" s="332"/>
      <c r="CK1022" s="332"/>
      <c r="CL1022" s="332"/>
      <c r="CM1022" s="332"/>
      <c r="CN1022" s="332"/>
      <c r="CO1022" s="332"/>
      <c r="CP1022" s="332"/>
      <c r="CQ1022" s="332"/>
      <c r="CR1022" s="332"/>
      <c r="CS1022" s="332"/>
      <c r="CT1022" s="332"/>
      <c r="CU1022" s="332"/>
      <c r="CV1022" s="332"/>
      <c r="CW1022" s="332"/>
      <c r="CX1022" s="332"/>
      <c r="CY1022" s="332"/>
      <c r="CZ1022" s="332"/>
      <c r="DA1022" s="332"/>
      <c r="DB1022" s="332"/>
      <c r="DC1022" s="332"/>
      <c r="DD1022" s="332"/>
      <c r="DE1022" s="332"/>
      <c r="DF1022" s="332"/>
      <c r="DG1022" s="332"/>
      <c r="DH1022" s="332"/>
      <c r="DI1022" s="332"/>
      <c r="DJ1022" s="332"/>
      <c r="DK1022" s="332"/>
      <c r="DL1022" s="332"/>
      <c r="DM1022" s="332"/>
      <c r="DN1022" s="332"/>
      <c r="DO1022" s="332"/>
      <c r="DP1022" s="332"/>
      <c r="DQ1022" s="332"/>
      <c r="DR1022" s="332"/>
      <c r="DS1022" s="332"/>
      <c r="DT1022" s="332"/>
      <c r="DU1022" s="453"/>
      <c r="DV1022" s="453"/>
      <c r="DW1022" s="453"/>
      <c r="DX1022" s="453"/>
      <c r="DY1022" s="453"/>
      <c r="DZ1022" s="453"/>
      <c r="EA1022" s="453"/>
      <c r="EB1022" s="453"/>
      <c r="EC1022" s="453"/>
      <c r="ED1022" s="453"/>
      <c r="EE1022" s="453"/>
      <c r="EF1022" s="453"/>
      <c r="EG1022" s="453"/>
      <c r="EH1022" s="453"/>
      <c r="EI1022" s="453"/>
      <c r="EJ1022" s="453"/>
      <c r="EK1022" s="453"/>
      <c r="EL1022" s="453"/>
      <c r="EM1022" s="483">
        <f t="shared" si="246"/>
        <v>713</v>
      </c>
      <c r="EN1022" s="485"/>
      <c r="EO1022" s="458"/>
      <c r="EP1022" s="467"/>
      <c r="EQ1022" s="457"/>
      <c r="ER1022" s="808"/>
      <c r="ES1022" s="881">
        <f t="shared" si="247"/>
        <v>0</v>
      </c>
      <c r="ET1022" s="882"/>
      <c r="EU1022" s="883"/>
      <c r="EV1022" s="884">
        <f t="shared" si="248"/>
        <v>0</v>
      </c>
      <c r="EW1022" s="885"/>
      <c r="EX1022" s="885"/>
      <c r="EY1022" s="885"/>
      <c r="EZ1022" s="885"/>
      <c r="FA1022" s="885"/>
      <c r="FB1022" s="885"/>
      <c r="FC1022" s="885"/>
      <c r="FD1022" s="886"/>
      <c r="FE1022" s="551"/>
      <c r="FF1022" s="551"/>
      <c r="FG1022" s="551"/>
      <c r="FH1022" s="551"/>
      <c r="FI1022" s="551"/>
      <c r="FJ1022" s="551"/>
      <c r="FK1022" s="551"/>
      <c r="FL1022" s="555"/>
      <c r="FM1022" s="554"/>
      <c r="FN1022" s="554"/>
      <c r="FO1022" s="554"/>
      <c r="FP1022" s="554"/>
      <c r="FQ1022" s="554"/>
      <c r="FR1022" s="554"/>
      <c r="FS1022" s="554"/>
      <c r="FT1022" s="554"/>
      <c r="FU1022" s="554"/>
      <c r="FV1022" s="554"/>
      <c r="FW1022" s="554"/>
      <c r="FX1022" s="554"/>
      <c r="FY1022" s="554"/>
      <c r="FZ1022" s="554"/>
      <c r="GA1022" s="554"/>
      <c r="GB1022" s="556"/>
      <c r="GC1022" s="370"/>
      <c r="GD1022" s="453"/>
      <c r="GE1022" s="453"/>
      <c r="GF1022" s="453"/>
      <c r="GG1022" s="453"/>
      <c r="GH1022" s="454"/>
      <c r="GI1022" s="453"/>
      <c r="GJ1022" s="453"/>
      <c r="GK1022" s="453"/>
      <c r="GL1022" s="453"/>
      <c r="GM1022" s="453"/>
      <c r="GN1022" s="453"/>
      <c r="GO1022" s="453"/>
      <c r="GP1022" s="453"/>
      <c r="GQ1022" s="453"/>
      <c r="GR1022" s="453"/>
      <c r="GS1022" s="561"/>
      <c r="GT1022" s="475"/>
      <c r="GU1022" s="472"/>
      <c r="GV1022" s="453"/>
      <c r="GW1022" s="453"/>
      <c r="GX1022" s="869"/>
      <c r="GY1022" s="870"/>
      <c r="GZ1022" s="867"/>
      <c r="HA1022" s="868"/>
      <c r="HB1022" s="473"/>
      <c r="HC1022" s="869"/>
      <c r="HD1022" s="870"/>
      <c r="HE1022" s="867"/>
      <c r="HF1022" s="868"/>
      <c r="HG1022" s="473"/>
      <c r="HH1022" s="867"/>
      <c r="HI1022" s="868"/>
      <c r="HJ1022" s="867"/>
      <c r="HK1022" s="868"/>
      <c r="HL1022" s="370"/>
      <c r="HM1022" s="865"/>
      <c r="HN1022" s="866"/>
      <c r="HO1022" s="865"/>
      <c r="HP1022" s="866"/>
      <c r="HQ1022" s="865"/>
      <c r="HR1022" s="866"/>
      <c r="HS1022" s="867"/>
      <c r="HT1022" s="868"/>
      <c r="HU1022" s="489"/>
      <c r="HV1022" s="865"/>
      <c r="HW1022" s="866"/>
    </row>
    <row r="1023" spans="25:231" ht="15" customHeight="1">
      <c r="Y1023" s="332"/>
      <c r="Z1023" s="332"/>
      <c r="AA1023" s="332"/>
      <c r="AB1023" s="332"/>
      <c r="AC1023" s="332"/>
      <c r="AD1023" s="332"/>
      <c r="AE1023" s="332"/>
      <c r="AF1023" s="332"/>
      <c r="AG1023" s="332"/>
      <c r="AH1023" s="332"/>
      <c r="AI1023" s="332"/>
      <c r="AJ1023" s="332"/>
      <c r="AK1023" s="332"/>
      <c r="AL1023" s="332"/>
      <c r="AM1023" s="332"/>
      <c r="AN1023" s="332"/>
      <c r="AO1023" s="332"/>
      <c r="AP1023" s="332"/>
      <c r="AQ1023" s="332"/>
      <c r="AR1023" s="332"/>
      <c r="AS1023" s="332"/>
      <c r="AT1023" s="332"/>
      <c r="AU1023" s="332"/>
      <c r="AV1023" s="332"/>
      <c r="AW1023" s="332"/>
      <c r="AX1023" s="332"/>
      <c r="AY1023" s="332"/>
      <c r="AZ1023" s="332"/>
      <c r="BA1023" s="332"/>
      <c r="BB1023" s="332"/>
      <c r="BC1023" s="332"/>
      <c r="BD1023" s="332"/>
      <c r="BE1023" s="332"/>
      <c r="BF1023" s="332"/>
      <c r="BG1023" s="332"/>
      <c r="BH1023" s="332"/>
      <c r="BI1023" s="332"/>
      <c r="BJ1023" s="332"/>
      <c r="BK1023" s="332"/>
      <c r="BL1023" s="332"/>
      <c r="BM1023" s="332"/>
      <c r="BN1023" s="332"/>
      <c r="BO1023" s="332"/>
      <c r="BP1023" s="332"/>
      <c r="BQ1023" s="332"/>
      <c r="BR1023" s="332"/>
      <c r="BS1023" s="332"/>
      <c r="BT1023" s="332"/>
      <c r="BU1023" s="332"/>
      <c r="BV1023" s="332"/>
      <c r="BW1023" s="332"/>
      <c r="BX1023" s="332"/>
      <c r="BY1023" s="332"/>
      <c r="BZ1023" s="332"/>
      <c r="CA1023" s="332"/>
      <c r="CB1023" s="332"/>
      <c r="CC1023" s="332"/>
      <c r="CD1023" s="332"/>
      <c r="CE1023" s="332"/>
      <c r="CF1023" s="332"/>
      <c r="CG1023" s="332"/>
      <c r="CH1023" s="332"/>
      <c r="CI1023" s="332"/>
      <c r="CJ1023" s="332"/>
      <c r="CK1023" s="332"/>
      <c r="CL1023" s="332"/>
      <c r="CM1023" s="332"/>
      <c r="CN1023" s="332"/>
      <c r="CO1023" s="332"/>
      <c r="CP1023" s="332"/>
      <c r="CQ1023" s="332"/>
      <c r="CR1023" s="332"/>
      <c r="CS1023" s="332"/>
      <c r="CT1023" s="332"/>
      <c r="CU1023" s="332"/>
      <c r="CV1023" s="332"/>
      <c r="CW1023" s="332"/>
      <c r="CX1023" s="332"/>
      <c r="CY1023" s="332"/>
      <c r="CZ1023" s="332"/>
      <c r="DA1023" s="332"/>
      <c r="DB1023" s="332"/>
      <c r="DC1023" s="332"/>
      <c r="DD1023" s="332"/>
      <c r="DE1023" s="332"/>
      <c r="DF1023" s="332"/>
      <c r="DG1023" s="332"/>
      <c r="DH1023" s="332"/>
      <c r="DI1023" s="332"/>
      <c r="DJ1023" s="332"/>
      <c r="DK1023" s="332"/>
      <c r="DL1023" s="332"/>
      <c r="DM1023" s="332"/>
      <c r="DN1023" s="332"/>
      <c r="DO1023" s="332"/>
      <c r="DP1023" s="332"/>
      <c r="DQ1023" s="332"/>
      <c r="DR1023" s="332"/>
      <c r="DS1023" s="332"/>
      <c r="DT1023" s="332"/>
      <c r="DU1023" s="453"/>
      <c r="DV1023" s="453"/>
      <c r="DW1023" s="453"/>
      <c r="DX1023" s="453"/>
      <c r="DY1023" s="453"/>
      <c r="DZ1023" s="453"/>
      <c r="EA1023" s="453"/>
      <c r="EB1023" s="453"/>
      <c r="EC1023" s="453"/>
      <c r="ED1023" s="453"/>
      <c r="EE1023" s="453"/>
      <c r="EF1023" s="453"/>
      <c r="EG1023" s="453"/>
      <c r="EH1023" s="453"/>
      <c r="EI1023" s="453"/>
      <c r="EJ1023" s="453"/>
      <c r="EK1023" s="453"/>
      <c r="EL1023" s="453"/>
      <c r="EM1023" s="483">
        <f t="shared" si="246"/>
        <v>714</v>
      </c>
      <c r="EN1023" s="485"/>
      <c r="EO1023" s="458"/>
      <c r="EP1023" s="467"/>
      <c r="EQ1023" s="457"/>
      <c r="ER1023" s="808"/>
      <c r="ES1023" s="881">
        <f t="shared" si="247"/>
        <v>0</v>
      </c>
      <c r="ET1023" s="882"/>
      <c r="EU1023" s="883"/>
      <c r="EV1023" s="884">
        <f t="shared" si="248"/>
        <v>0</v>
      </c>
      <c r="EW1023" s="885"/>
      <c r="EX1023" s="885"/>
      <c r="EY1023" s="885"/>
      <c r="EZ1023" s="885"/>
      <c r="FA1023" s="885"/>
      <c r="FB1023" s="885"/>
      <c r="FC1023" s="885"/>
      <c r="FD1023" s="886"/>
      <c r="FE1023" s="551"/>
      <c r="FF1023" s="551"/>
      <c r="FG1023" s="551"/>
      <c r="FH1023" s="551"/>
      <c r="FI1023" s="551"/>
      <c r="FJ1023" s="551"/>
      <c r="FK1023" s="551"/>
      <c r="FL1023" s="555"/>
      <c r="FM1023" s="554"/>
      <c r="FN1023" s="554"/>
      <c r="FO1023" s="554"/>
      <c r="FP1023" s="554"/>
      <c r="FQ1023" s="554"/>
      <c r="FR1023" s="554"/>
      <c r="FS1023" s="554"/>
      <c r="FT1023" s="554"/>
      <c r="FU1023" s="554"/>
      <c r="FV1023" s="554"/>
      <c r="FW1023" s="554"/>
      <c r="FX1023" s="554"/>
      <c r="FY1023" s="554"/>
      <c r="FZ1023" s="554"/>
      <c r="GA1023" s="554"/>
      <c r="GB1023" s="556"/>
      <c r="GC1023" s="370"/>
      <c r="GD1023" s="453"/>
      <c r="GE1023" s="453"/>
      <c r="GF1023" s="453"/>
      <c r="GG1023" s="453"/>
      <c r="GH1023" s="454"/>
      <c r="GI1023" s="453"/>
      <c r="GJ1023" s="453"/>
      <c r="GK1023" s="453"/>
      <c r="GL1023" s="453"/>
      <c r="GM1023" s="453"/>
      <c r="GN1023" s="453"/>
      <c r="GO1023" s="453"/>
      <c r="GP1023" s="453"/>
      <c r="GQ1023" s="453"/>
      <c r="GR1023" s="453"/>
      <c r="GS1023" s="561"/>
      <c r="GT1023" s="475"/>
      <c r="GU1023" s="472"/>
      <c r="GV1023" s="453"/>
      <c r="GW1023" s="453"/>
      <c r="GX1023" s="869"/>
      <c r="GY1023" s="870"/>
      <c r="GZ1023" s="867"/>
      <c r="HA1023" s="868"/>
      <c r="HB1023" s="473"/>
      <c r="HC1023" s="869"/>
      <c r="HD1023" s="870"/>
      <c r="HE1023" s="867"/>
      <c r="HF1023" s="868"/>
      <c r="HG1023" s="473"/>
      <c r="HH1023" s="867"/>
      <c r="HI1023" s="868"/>
      <c r="HJ1023" s="867"/>
      <c r="HK1023" s="868"/>
      <c r="HL1023" s="370"/>
      <c r="HM1023" s="865"/>
      <c r="HN1023" s="866"/>
      <c r="HO1023" s="865"/>
      <c r="HP1023" s="866"/>
      <c r="HQ1023" s="865"/>
      <c r="HR1023" s="866"/>
      <c r="HS1023" s="867"/>
      <c r="HT1023" s="868"/>
      <c r="HU1023" s="489"/>
      <c r="HV1023" s="865"/>
      <c r="HW1023" s="866"/>
    </row>
    <row r="1024" spans="25:231" ht="15" customHeight="1">
      <c r="Y1024" s="332"/>
      <c r="Z1024" s="332"/>
      <c r="AA1024" s="332"/>
      <c r="AB1024" s="332"/>
      <c r="AC1024" s="332"/>
      <c r="AD1024" s="332"/>
      <c r="AE1024" s="332"/>
      <c r="AF1024" s="332"/>
      <c r="AG1024" s="332"/>
      <c r="AH1024" s="332"/>
      <c r="AI1024" s="332"/>
      <c r="AJ1024" s="332"/>
      <c r="AK1024" s="332"/>
      <c r="AL1024" s="332"/>
      <c r="AM1024" s="332"/>
      <c r="AN1024" s="332"/>
      <c r="AO1024" s="332"/>
      <c r="AP1024" s="332"/>
      <c r="AQ1024" s="332"/>
      <c r="AR1024" s="332"/>
      <c r="AS1024" s="332"/>
      <c r="AT1024" s="332"/>
      <c r="AU1024" s="332"/>
      <c r="AV1024" s="332"/>
      <c r="AW1024" s="332"/>
      <c r="AX1024" s="332"/>
      <c r="AY1024" s="332"/>
      <c r="AZ1024" s="332"/>
      <c r="BA1024" s="332"/>
      <c r="BB1024" s="332"/>
      <c r="BC1024" s="332"/>
      <c r="BD1024" s="332"/>
      <c r="BE1024" s="332"/>
      <c r="BF1024" s="332"/>
      <c r="BG1024" s="332"/>
      <c r="BH1024" s="332"/>
      <c r="BI1024" s="332"/>
      <c r="BJ1024" s="332"/>
      <c r="BK1024" s="332"/>
      <c r="BL1024" s="332"/>
      <c r="BM1024" s="332"/>
      <c r="BN1024" s="332"/>
      <c r="BO1024" s="332"/>
      <c r="BP1024" s="332"/>
      <c r="BQ1024" s="332"/>
      <c r="BR1024" s="332"/>
      <c r="BS1024" s="332"/>
      <c r="BT1024" s="332"/>
      <c r="BU1024" s="332"/>
      <c r="BV1024" s="332"/>
      <c r="BW1024" s="332"/>
      <c r="BX1024" s="332"/>
      <c r="BY1024" s="332"/>
      <c r="BZ1024" s="332"/>
      <c r="CA1024" s="332"/>
      <c r="CB1024" s="332"/>
      <c r="CC1024" s="332"/>
      <c r="CD1024" s="332"/>
      <c r="CE1024" s="332"/>
      <c r="CF1024" s="332"/>
      <c r="CG1024" s="332"/>
      <c r="CH1024" s="332"/>
      <c r="CI1024" s="332"/>
      <c r="CJ1024" s="332"/>
      <c r="CK1024" s="332"/>
      <c r="CL1024" s="332"/>
      <c r="CM1024" s="332"/>
      <c r="CN1024" s="332"/>
      <c r="CO1024" s="332"/>
      <c r="CP1024" s="332"/>
      <c r="CQ1024" s="332"/>
      <c r="CR1024" s="332"/>
      <c r="CS1024" s="332"/>
      <c r="CT1024" s="332"/>
      <c r="CU1024" s="332"/>
      <c r="CV1024" s="332"/>
      <c r="CW1024" s="332"/>
      <c r="CX1024" s="332"/>
      <c r="CY1024" s="332"/>
      <c r="CZ1024" s="332"/>
      <c r="DA1024" s="332"/>
      <c r="DB1024" s="332"/>
      <c r="DC1024" s="332"/>
      <c r="DD1024" s="332"/>
      <c r="DE1024" s="332"/>
      <c r="DF1024" s="332"/>
      <c r="DG1024" s="332"/>
      <c r="DH1024" s="332"/>
      <c r="DI1024" s="332"/>
      <c r="DJ1024" s="332"/>
      <c r="DK1024" s="332"/>
      <c r="DL1024" s="332"/>
      <c r="DM1024" s="332"/>
      <c r="DN1024" s="332"/>
      <c r="DO1024" s="332"/>
      <c r="DP1024" s="332"/>
      <c r="DQ1024" s="332"/>
      <c r="DR1024" s="332"/>
      <c r="DS1024" s="332"/>
      <c r="DT1024" s="332"/>
      <c r="DU1024" s="453"/>
      <c r="DV1024" s="453"/>
      <c r="DW1024" s="453"/>
      <c r="DX1024" s="453"/>
      <c r="DY1024" s="453"/>
      <c r="DZ1024" s="453"/>
      <c r="EA1024" s="453"/>
      <c r="EB1024" s="453"/>
      <c r="EC1024" s="453"/>
      <c r="ED1024" s="453"/>
      <c r="EE1024" s="453"/>
      <c r="EF1024" s="453"/>
      <c r="EG1024" s="453"/>
      <c r="EH1024" s="453"/>
      <c r="EI1024" s="453"/>
      <c r="EJ1024" s="453"/>
      <c r="EK1024" s="453"/>
      <c r="EL1024" s="453"/>
      <c r="EM1024" s="483">
        <f t="shared" si="246"/>
        <v>715</v>
      </c>
      <c r="EN1024" s="485"/>
      <c r="EO1024" s="458"/>
      <c r="EP1024" s="467"/>
      <c r="EQ1024" s="457"/>
      <c r="ER1024" s="808"/>
      <c r="ES1024" s="881">
        <f t="shared" si="247"/>
        <v>0</v>
      </c>
      <c r="ET1024" s="882"/>
      <c r="EU1024" s="883"/>
      <c r="EV1024" s="884">
        <f t="shared" si="248"/>
        <v>0</v>
      </c>
      <c r="EW1024" s="885"/>
      <c r="EX1024" s="885"/>
      <c r="EY1024" s="885"/>
      <c r="EZ1024" s="885"/>
      <c r="FA1024" s="885"/>
      <c r="FB1024" s="885"/>
      <c r="FC1024" s="885"/>
      <c r="FD1024" s="886"/>
      <c r="FE1024" s="551"/>
      <c r="FF1024" s="551"/>
      <c r="FG1024" s="551"/>
      <c r="FH1024" s="551"/>
      <c r="FI1024" s="551"/>
      <c r="FJ1024" s="551"/>
      <c r="FK1024" s="551"/>
      <c r="FL1024" s="555"/>
      <c r="FM1024" s="554"/>
      <c r="FN1024" s="554"/>
      <c r="FO1024" s="554"/>
      <c r="FP1024" s="554"/>
      <c r="FQ1024" s="554"/>
      <c r="FR1024" s="554"/>
      <c r="FS1024" s="554"/>
      <c r="FT1024" s="554"/>
      <c r="FU1024" s="554"/>
      <c r="FV1024" s="554"/>
      <c r="FW1024" s="554"/>
      <c r="FX1024" s="554"/>
      <c r="FY1024" s="554"/>
      <c r="FZ1024" s="554"/>
      <c r="GA1024" s="554"/>
      <c r="GB1024" s="556"/>
      <c r="GC1024" s="370"/>
      <c r="GD1024" s="453"/>
      <c r="GE1024" s="453"/>
      <c r="GF1024" s="453"/>
      <c r="GG1024" s="453"/>
      <c r="GH1024" s="454"/>
      <c r="GI1024" s="453"/>
      <c r="GJ1024" s="453"/>
      <c r="GK1024" s="453"/>
      <c r="GL1024" s="453"/>
      <c r="GM1024" s="453"/>
      <c r="GN1024" s="453"/>
      <c r="GO1024" s="453"/>
      <c r="GP1024" s="453"/>
      <c r="GQ1024" s="453"/>
      <c r="GR1024" s="453"/>
      <c r="GS1024" s="561"/>
      <c r="GT1024" s="475"/>
      <c r="GU1024" s="472"/>
      <c r="GV1024" s="453"/>
      <c r="GW1024" s="453"/>
      <c r="GX1024" s="869"/>
      <c r="GY1024" s="870"/>
      <c r="GZ1024" s="867"/>
      <c r="HA1024" s="868"/>
      <c r="HB1024" s="473"/>
      <c r="HC1024" s="869"/>
      <c r="HD1024" s="870"/>
      <c r="HE1024" s="867"/>
      <c r="HF1024" s="868"/>
      <c r="HG1024" s="473"/>
      <c r="HH1024" s="867"/>
      <c r="HI1024" s="868"/>
      <c r="HJ1024" s="867"/>
      <c r="HK1024" s="868"/>
      <c r="HL1024" s="370"/>
      <c r="HM1024" s="865"/>
      <c r="HN1024" s="866"/>
      <c r="HO1024" s="865"/>
      <c r="HP1024" s="866"/>
      <c r="HQ1024" s="865"/>
      <c r="HR1024" s="866"/>
      <c r="HS1024" s="867"/>
      <c r="HT1024" s="868"/>
      <c r="HU1024" s="489"/>
      <c r="HV1024" s="865"/>
      <c r="HW1024" s="866"/>
    </row>
    <row r="1025" spans="25:231" ht="15" customHeight="1">
      <c r="Y1025" s="332"/>
      <c r="Z1025" s="332"/>
      <c r="AA1025" s="332"/>
      <c r="AB1025" s="332"/>
      <c r="AC1025" s="332"/>
      <c r="AD1025" s="332"/>
      <c r="AE1025" s="332"/>
      <c r="AF1025" s="332"/>
      <c r="AG1025" s="332"/>
      <c r="AH1025" s="332"/>
      <c r="AI1025" s="332"/>
      <c r="AJ1025" s="332"/>
      <c r="AK1025" s="332"/>
      <c r="AL1025" s="332"/>
      <c r="AM1025" s="332"/>
      <c r="AN1025" s="332"/>
      <c r="AO1025" s="332"/>
      <c r="AP1025" s="332"/>
      <c r="AQ1025" s="332"/>
      <c r="AR1025" s="332"/>
      <c r="AS1025" s="332"/>
      <c r="AT1025" s="332"/>
      <c r="AU1025" s="332"/>
      <c r="AV1025" s="332"/>
      <c r="AW1025" s="332"/>
      <c r="AX1025" s="332"/>
      <c r="AY1025" s="332"/>
      <c r="AZ1025" s="332"/>
      <c r="BA1025" s="332"/>
      <c r="BB1025" s="332"/>
      <c r="BC1025" s="332"/>
      <c r="BD1025" s="332"/>
      <c r="BE1025" s="332"/>
      <c r="BF1025" s="332"/>
      <c r="BG1025" s="332"/>
      <c r="BH1025" s="332"/>
      <c r="BI1025" s="332"/>
      <c r="BJ1025" s="332"/>
      <c r="BK1025" s="332"/>
      <c r="BL1025" s="332"/>
      <c r="BM1025" s="332"/>
      <c r="BN1025" s="332"/>
      <c r="BO1025" s="332"/>
      <c r="BP1025" s="332"/>
      <c r="BQ1025" s="332"/>
      <c r="BR1025" s="332"/>
      <c r="BS1025" s="332"/>
      <c r="BT1025" s="332"/>
      <c r="BU1025" s="332"/>
      <c r="BV1025" s="332"/>
      <c r="BW1025" s="332"/>
      <c r="BX1025" s="332"/>
      <c r="BY1025" s="332"/>
      <c r="BZ1025" s="332"/>
      <c r="CA1025" s="332"/>
      <c r="CB1025" s="332"/>
      <c r="CC1025" s="332"/>
      <c r="CD1025" s="332"/>
      <c r="CE1025" s="332"/>
      <c r="CF1025" s="332"/>
      <c r="CG1025" s="332"/>
      <c r="CH1025" s="332"/>
      <c r="CI1025" s="332"/>
      <c r="CJ1025" s="332"/>
      <c r="CK1025" s="332"/>
      <c r="CL1025" s="332"/>
      <c r="CM1025" s="332"/>
      <c r="CN1025" s="332"/>
      <c r="CO1025" s="332"/>
      <c r="CP1025" s="332"/>
      <c r="CQ1025" s="332"/>
      <c r="CR1025" s="332"/>
      <c r="CS1025" s="332"/>
      <c r="CT1025" s="332"/>
      <c r="CU1025" s="332"/>
      <c r="CV1025" s="332"/>
      <c r="CW1025" s="332"/>
      <c r="CX1025" s="332"/>
      <c r="CY1025" s="332"/>
      <c r="CZ1025" s="332"/>
      <c r="DA1025" s="332"/>
      <c r="DB1025" s="332"/>
      <c r="DC1025" s="332"/>
      <c r="DD1025" s="332"/>
      <c r="DE1025" s="332"/>
      <c r="DF1025" s="332"/>
      <c r="DG1025" s="332"/>
      <c r="DH1025" s="332"/>
      <c r="DI1025" s="332"/>
      <c r="DJ1025" s="332"/>
      <c r="DK1025" s="332"/>
      <c r="DL1025" s="332"/>
      <c r="DM1025" s="332"/>
      <c r="DN1025" s="332"/>
      <c r="DO1025" s="332"/>
      <c r="DP1025" s="332"/>
      <c r="DQ1025" s="332"/>
      <c r="DR1025" s="332"/>
      <c r="DS1025" s="332"/>
      <c r="DT1025" s="332"/>
      <c r="DU1025" s="453"/>
      <c r="DV1025" s="453"/>
      <c r="DW1025" s="453"/>
      <c r="DX1025" s="453"/>
      <c r="DY1025" s="453"/>
      <c r="DZ1025" s="453"/>
      <c r="EA1025" s="453"/>
      <c r="EB1025" s="453"/>
      <c r="EC1025" s="453"/>
      <c r="ED1025" s="453"/>
      <c r="EE1025" s="453"/>
      <c r="EF1025" s="453"/>
      <c r="EG1025" s="453"/>
      <c r="EH1025" s="453"/>
      <c r="EI1025" s="453"/>
      <c r="EJ1025" s="453"/>
      <c r="EK1025" s="453"/>
      <c r="EL1025" s="453"/>
      <c r="EM1025" s="483">
        <f t="shared" si="246"/>
        <v>716</v>
      </c>
      <c r="EN1025" s="485"/>
      <c r="EO1025" s="458"/>
      <c r="EP1025" s="467"/>
      <c r="EQ1025" s="457"/>
      <c r="ER1025" s="808"/>
      <c r="ES1025" s="881">
        <f t="shared" si="247"/>
        <v>0</v>
      </c>
      <c r="ET1025" s="882"/>
      <c r="EU1025" s="883"/>
      <c r="EV1025" s="884">
        <f t="shared" si="248"/>
        <v>0</v>
      </c>
      <c r="EW1025" s="885"/>
      <c r="EX1025" s="885"/>
      <c r="EY1025" s="885"/>
      <c r="EZ1025" s="885"/>
      <c r="FA1025" s="885"/>
      <c r="FB1025" s="885"/>
      <c r="FC1025" s="885"/>
      <c r="FD1025" s="886"/>
      <c r="FE1025" s="551"/>
      <c r="FF1025" s="551"/>
      <c r="FG1025" s="551"/>
      <c r="FH1025" s="551"/>
      <c r="FI1025" s="551"/>
      <c r="FJ1025" s="551"/>
      <c r="FK1025" s="551"/>
      <c r="FL1025" s="555"/>
      <c r="FM1025" s="554"/>
      <c r="FN1025" s="554"/>
      <c r="FO1025" s="554"/>
      <c r="FP1025" s="554"/>
      <c r="FQ1025" s="554"/>
      <c r="FR1025" s="554"/>
      <c r="FS1025" s="554"/>
      <c r="FT1025" s="554"/>
      <c r="FU1025" s="554"/>
      <c r="FV1025" s="554"/>
      <c r="FW1025" s="554"/>
      <c r="FX1025" s="554"/>
      <c r="FY1025" s="554"/>
      <c r="FZ1025" s="554"/>
      <c r="GA1025" s="554"/>
      <c r="GB1025" s="556"/>
      <c r="GC1025" s="370"/>
      <c r="GD1025" s="453"/>
      <c r="GE1025" s="453"/>
      <c r="GF1025" s="453"/>
      <c r="GG1025" s="453"/>
      <c r="GH1025" s="454"/>
      <c r="GI1025" s="453"/>
      <c r="GJ1025" s="453"/>
      <c r="GK1025" s="453"/>
      <c r="GL1025" s="453"/>
      <c r="GM1025" s="453"/>
      <c r="GN1025" s="453"/>
      <c r="GO1025" s="453"/>
      <c r="GP1025" s="453"/>
      <c r="GQ1025" s="453"/>
      <c r="GR1025" s="453"/>
      <c r="GS1025" s="561"/>
      <c r="GT1025" s="475"/>
      <c r="GU1025" s="472"/>
      <c r="GV1025" s="453"/>
      <c r="GW1025" s="453"/>
      <c r="GX1025" s="869"/>
      <c r="GY1025" s="870"/>
      <c r="GZ1025" s="867"/>
      <c r="HA1025" s="868"/>
      <c r="HB1025" s="473"/>
      <c r="HC1025" s="869"/>
      <c r="HD1025" s="870"/>
      <c r="HE1025" s="867"/>
      <c r="HF1025" s="868"/>
      <c r="HG1025" s="473"/>
      <c r="HH1025" s="867"/>
      <c r="HI1025" s="868"/>
      <c r="HJ1025" s="867"/>
      <c r="HK1025" s="868"/>
      <c r="HL1025" s="370"/>
      <c r="HM1025" s="865"/>
      <c r="HN1025" s="866"/>
      <c r="HO1025" s="865"/>
      <c r="HP1025" s="866"/>
      <c r="HQ1025" s="865"/>
      <c r="HR1025" s="866"/>
      <c r="HS1025" s="867"/>
      <c r="HT1025" s="868"/>
      <c r="HU1025" s="489"/>
      <c r="HV1025" s="865"/>
      <c r="HW1025" s="866"/>
    </row>
    <row r="1026" spans="25:231" ht="15" customHeight="1">
      <c r="Y1026" s="332"/>
      <c r="Z1026" s="332"/>
      <c r="AA1026" s="332"/>
      <c r="AB1026" s="332"/>
      <c r="AC1026" s="332"/>
      <c r="AD1026" s="332"/>
      <c r="AE1026" s="332"/>
      <c r="AF1026" s="332"/>
      <c r="AG1026" s="332"/>
      <c r="AH1026" s="332"/>
      <c r="AI1026" s="332"/>
      <c r="AJ1026" s="332"/>
      <c r="AK1026" s="332"/>
      <c r="AL1026" s="332"/>
      <c r="AM1026" s="332"/>
      <c r="AN1026" s="332"/>
      <c r="AO1026" s="332"/>
      <c r="AP1026" s="332"/>
      <c r="AQ1026" s="332"/>
      <c r="AR1026" s="332"/>
      <c r="AS1026" s="332"/>
      <c r="AT1026" s="332"/>
      <c r="AU1026" s="332"/>
      <c r="AV1026" s="332"/>
      <c r="AW1026" s="332"/>
      <c r="AX1026" s="332"/>
      <c r="AY1026" s="332"/>
      <c r="AZ1026" s="332"/>
      <c r="BA1026" s="332"/>
      <c r="BB1026" s="332"/>
      <c r="BC1026" s="332"/>
      <c r="BD1026" s="332"/>
      <c r="BE1026" s="332"/>
      <c r="BF1026" s="332"/>
      <c r="BG1026" s="332"/>
      <c r="BH1026" s="332"/>
      <c r="BI1026" s="332"/>
      <c r="BJ1026" s="332"/>
      <c r="BK1026" s="332"/>
      <c r="BL1026" s="332"/>
      <c r="BM1026" s="332"/>
      <c r="BN1026" s="332"/>
      <c r="BO1026" s="332"/>
      <c r="BP1026" s="332"/>
      <c r="BQ1026" s="332"/>
      <c r="BR1026" s="332"/>
      <c r="BS1026" s="332"/>
      <c r="BT1026" s="332"/>
      <c r="BU1026" s="332"/>
      <c r="BV1026" s="332"/>
      <c r="BW1026" s="332"/>
      <c r="BX1026" s="332"/>
      <c r="BY1026" s="332"/>
      <c r="BZ1026" s="332"/>
      <c r="CA1026" s="332"/>
      <c r="CB1026" s="332"/>
      <c r="CC1026" s="332"/>
      <c r="CD1026" s="332"/>
      <c r="CE1026" s="332"/>
      <c r="CF1026" s="332"/>
      <c r="CG1026" s="332"/>
      <c r="CH1026" s="332"/>
      <c r="CI1026" s="332"/>
      <c r="CJ1026" s="332"/>
      <c r="CK1026" s="332"/>
      <c r="CL1026" s="332"/>
      <c r="CM1026" s="332"/>
      <c r="CN1026" s="332"/>
      <c r="CO1026" s="332"/>
      <c r="CP1026" s="332"/>
      <c r="CQ1026" s="332"/>
      <c r="CR1026" s="332"/>
      <c r="CS1026" s="332"/>
      <c r="CT1026" s="332"/>
      <c r="CU1026" s="332"/>
      <c r="CV1026" s="332"/>
      <c r="CW1026" s="332"/>
      <c r="CX1026" s="332"/>
      <c r="CY1026" s="332"/>
      <c r="CZ1026" s="332"/>
      <c r="DA1026" s="332"/>
      <c r="DB1026" s="332"/>
      <c r="DC1026" s="332"/>
      <c r="DD1026" s="332"/>
      <c r="DE1026" s="332"/>
      <c r="DF1026" s="332"/>
      <c r="DG1026" s="332"/>
      <c r="DH1026" s="332"/>
      <c r="DI1026" s="332"/>
      <c r="DJ1026" s="332"/>
      <c r="DK1026" s="332"/>
      <c r="DL1026" s="332"/>
      <c r="DM1026" s="332"/>
      <c r="DN1026" s="332"/>
      <c r="DO1026" s="332"/>
      <c r="DP1026" s="332"/>
      <c r="DQ1026" s="332"/>
      <c r="DR1026" s="332"/>
      <c r="DS1026" s="332"/>
      <c r="DT1026" s="332"/>
      <c r="DU1026" s="453"/>
      <c r="DV1026" s="453"/>
      <c r="DW1026" s="453"/>
      <c r="DX1026" s="453"/>
      <c r="DY1026" s="453"/>
      <c r="DZ1026" s="453"/>
      <c r="EA1026" s="453"/>
      <c r="EB1026" s="453"/>
      <c r="EC1026" s="453"/>
      <c r="ED1026" s="453"/>
      <c r="EE1026" s="453"/>
      <c r="EF1026" s="453"/>
      <c r="EG1026" s="453"/>
      <c r="EH1026" s="453"/>
      <c r="EI1026" s="453"/>
      <c r="EJ1026" s="453"/>
      <c r="EK1026" s="453"/>
      <c r="EL1026" s="453"/>
      <c r="EM1026" s="483">
        <f t="shared" si="246"/>
        <v>717</v>
      </c>
      <c r="EN1026" s="485"/>
      <c r="EO1026" s="458"/>
      <c r="EP1026" s="467"/>
      <c r="EQ1026" s="457"/>
      <c r="ER1026" s="808"/>
      <c r="ES1026" s="881">
        <f t="shared" si="247"/>
        <v>0</v>
      </c>
      <c r="ET1026" s="882"/>
      <c r="EU1026" s="883"/>
      <c r="EV1026" s="884">
        <f t="shared" si="248"/>
        <v>0</v>
      </c>
      <c r="EW1026" s="885"/>
      <c r="EX1026" s="885"/>
      <c r="EY1026" s="885"/>
      <c r="EZ1026" s="885"/>
      <c r="FA1026" s="885"/>
      <c r="FB1026" s="885"/>
      <c r="FC1026" s="885"/>
      <c r="FD1026" s="886"/>
      <c r="FE1026" s="551"/>
      <c r="FF1026" s="551"/>
      <c r="FG1026" s="551"/>
      <c r="FH1026" s="551"/>
      <c r="FI1026" s="551"/>
      <c r="FJ1026" s="551"/>
      <c r="FK1026" s="551"/>
      <c r="FL1026" s="555"/>
      <c r="FM1026" s="554"/>
      <c r="FN1026" s="554"/>
      <c r="FO1026" s="554"/>
      <c r="FP1026" s="554"/>
      <c r="FQ1026" s="554"/>
      <c r="FR1026" s="554"/>
      <c r="FS1026" s="554"/>
      <c r="FT1026" s="554"/>
      <c r="FU1026" s="554"/>
      <c r="FV1026" s="554"/>
      <c r="FW1026" s="554"/>
      <c r="FX1026" s="554"/>
      <c r="FY1026" s="554"/>
      <c r="FZ1026" s="554"/>
      <c r="GA1026" s="554"/>
      <c r="GB1026" s="556"/>
      <c r="GC1026" s="370"/>
      <c r="GD1026" s="453"/>
      <c r="GE1026" s="453"/>
      <c r="GF1026" s="453"/>
      <c r="GG1026" s="453"/>
      <c r="GH1026" s="454"/>
      <c r="GI1026" s="453"/>
      <c r="GJ1026" s="453"/>
      <c r="GK1026" s="453"/>
      <c r="GL1026" s="453"/>
      <c r="GM1026" s="453"/>
      <c r="GN1026" s="453"/>
      <c r="GO1026" s="453"/>
      <c r="GP1026" s="453"/>
      <c r="GQ1026" s="453"/>
      <c r="GR1026" s="453"/>
      <c r="GS1026" s="561"/>
      <c r="GT1026" s="475"/>
      <c r="GU1026" s="472"/>
      <c r="GV1026" s="453"/>
      <c r="GW1026" s="453"/>
      <c r="GX1026" s="869"/>
      <c r="GY1026" s="870"/>
      <c r="GZ1026" s="867"/>
      <c r="HA1026" s="868"/>
      <c r="HB1026" s="473"/>
      <c r="HC1026" s="869"/>
      <c r="HD1026" s="870"/>
      <c r="HE1026" s="867"/>
      <c r="HF1026" s="868"/>
      <c r="HG1026" s="473"/>
      <c r="HH1026" s="867"/>
      <c r="HI1026" s="868"/>
      <c r="HJ1026" s="867"/>
      <c r="HK1026" s="868"/>
      <c r="HL1026" s="370"/>
      <c r="HM1026" s="865"/>
      <c r="HN1026" s="866"/>
      <c r="HO1026" s="865"/>
      <c r="HP1026" s="866"/>
      <c r="HQ1026" s="865"/>
      <c r="HR1026" s="866"/>
      <c r="HS1026" s="867"/>
      <c r="HT1026" s="868"/>
      <c r="HU1026" s="489"/>
      <c r="HV1026" s="865"/>
      <c r="HW1026" s="866"/>
    </row>
    <row r="1027" spans="25:231" ht="15" customHeight="1">
      <c r="Y1027" s="332"/>
      <c r="Z1027" s="332"/>
      <c r="AA1027" s="332"/>
      <c r="AB1027" s="332"/>
      <c r="AC1027" s="332"/>
      <c r="AD1027" s="332"/>
      <c r="AE1027" s="332"/>
      <c r="AF1027" s="332"/>
      <c r="AG1027" s="332"/>
      <c r="AH1027" s="332"/>
      <c r="AI1027" s="332"/>
      <c r="AJ1027" s="332"/>
      <c r="AK1027" s="332"/>
      <c r="AL1027" s="332"/>
      <c r="AM1027" s="332"/>
      <c r="AN1027" s="332"/>
      <c r="AO1027" s="332"/>
      <c r="AP1027" s="332"/>
      <c r="AQ1027" s="332"/>
      <c r="AR1027" s="332"/>
      <c r="AS1027" s="332"/>
      <c r="AT1027" s="332"/>
      <c r="AU1027" s="332"/>
      <c r="AV1027" s="332"/>
      <c r="AW1027" s="332"/>
      <c r="AX1027" s="332"/>
      <c r="AY1027" s="332"/>
      <c r="AZ1027" s="332"/>
      <c r="BA1027" s="332"/>
      <c r="BB1027" s="332"/>
      <c r="BC1027" s="332"/>
      <c r="BD1027" s="332"/>
      <c r="BE1027" s="332"/>
      <c r="BF1027" s="332"/>
      <c r="BG1027" s="332"/>
      <c r="BH1027" s="332"/>
      <c r="BI1027" s="332"/>
      <c r="BJ1027" s="332"/>
      <c r="BK1027" s="332"/>
      <c r="BL1027" s="332"/>
      <c r="BM1027" s="332"/>
      <c r="BN1027" s="332"/>
      <c r="BO1027" s="332"/>
      <c r="BP1027" s="332"/>
      <c r="BQ1027" s="332"/>
      <c r="BR1027" s="332"/>
      <c r="BS1027" s="332"/>
      <c r="BT1027" s="332"/>
      <c r="BU1027" s="332"/>
      <c r="BV1027" s="332"/>
      <c r="BW1027" s="332"/>
      <c r="BX1027" s="332"/>
      <c r="BY1027" s="332"/>
      <c r="BZ1027" s="332"/>
      <c r="CA1027" s="332"/>
      <c r="CB1027" s="332"/>
      <c r="CC1027" s="332"/>
      <c r="CD1027" s="332"/>
      <c r="CE1027" s="332"/>
      <c r="CF1027" s="332"/>
      <c r="CG1027" s="332"/>
      <c r="CH1027" s="332"/>
      <c r="CI1027" s="332"/>
      <c r="CJ1027" s="332"/>
      <c r="CK1027" s="332"/>
      <c r="CL1027" s="332"/>
      <c r="CM1027" s="332"/>
      <c r="CN1027" s="332"/>
      <c r="CO1027" s="332"/>
      <c r="CP1027" s="332"/>
      <c r="CQ1027" s="332"/>
      <c r="CR1027" s="332"/>
      <c r="CS1027" s="332"/>
      <c r="CT1027" s="332"/>
      <c r="CU1027" s="332"/>
      <c r="CV1027" s="332"/>
      <c r="CW1027" s="332"/>
      <c r="CX1027" s="332"/>
      <c r="CY1027" s="332"/>
      <c r="CZ1027" s="332"/>
      <c r="DA1027" s="332"/>
      <c r="DB1027" s="332"/>
      <c r="DC1027" s="332"/>
      <c r="DD1027" s="332"/>
      <c r="DE1027" s="332"/>
      <c r="DF1027" s="332"/>
      <c r="DG1027" s="332"/>
      <c r="DH1027" s="332"/>
      <c r="DI1027" s="332"/>
      <c r="DJ1027" s="332"/>
      <c r="DK1027" s="332"/>
      <c r="DL1027" s="332"/>
      <c r="DM1027" s="332"/>
      <c r="DN1027" s="332"/>
      <c r="DO1027" s="332"/>
      <c r="DP1027" s="332"/>
      <c r="DQ1027" s="332"/>
      <c r="DR1027" s="332"/>
      <c r="DS1027" s="332"/>
      <c r="DT1027" s="332"/>
      <c r="DU1027" s="453"/>
      <c r="DV1027" s="453"/>
      <c r="DW1027" s="453"/>
      <c r="DX1027" s="453"/>
      <c r="DY1027" s="453"/>
      <c r="DZ1027" s="453"/>
      <c r="EA1027" s="453"/>
      <c r="EB1027" s="453"/>
      <c r="EC1027" s="453"/>
      <c r="ED1027" s="453"/>
      <c r="EE1027" s="453"/>
      <c r="EF1027" s="453"/>
      <c r="EG1027" s="453"/>
      <c r="EH1027" s="453"/>
      <c r="EI1027" s="453"/>
      <c r="EJ1027" s="453"/>
      <c r="EK1027" s="453"/>
      <c r="EL1027" s="453"/>
      <c r="EM1027" s="483">
        <f t="shared" si="246"/>
        <v>718</v>
      </c>
      <c r="EN1027" s="485"/>
      <c r="EO1027" s="458"/>
      <c r="EP1027" s="467"/>
      <c r="EQ1027" s="457"/>
      <c r="ER1027" s="808"/>
      <c r="ES1027" s="881">
        <f t="shared" si="247"/>
        <v>0</v>
      </c>
      <c r="ET1027" s="882"/>
      <c r="EU1027" s="883"/>
      <c r="EV1027" s="884">
        <f t="shared" si="248"/>
        <v>0</v>
      </c>
      <c r="EW1027" s="885"/>
      <c r="EX1027" s="885"/>
      <c r="EY1027" s="885"/>
      <c r="EZ1027" s="885"/>
      <c r="FA1027" s="885"/>
      <c r="FB1027" s="885"/>
      <c r="FC1027" s="885"/>
      <c r="FD1027" s="886"/>
      <c r="FE1027" s="551"/>
      <c r="FF1027" s="551"/>
      <c r="FG1027" s="551"/>
      <c r="FH1027" s="551"/>
      <c r="FI1027" s="551"/>
      <c r="FJ1027" s="551"/>
      <c r="FK1027" s="551"/>
      <c r="FL1027" s="555"/>
      <c r="FM1027" s="554"/>
      <c r="FN1027" s="554"/>
      <c r="FO1027" s="554"/>
      <c r="FP1027" s="554"/>
      <c r="FQ1027" s="554"/>
      <c r="FR1027" s="554"/>
      <c r="FS1027" s="554"/>
      <c r="FT1027" s="554"/>
      <c r="FU1027" s="554"/>
      <c r="FV1027" s="554"/>
      <c r="FW1027" s="554"/>
      <c r="FX1027" s="554"/>
      <c r="FY1027" s="554"/>
      <c r="FZ1027" s="554"/>
      <c r="GA1027" s="554"/>
      <c r="GB1027" s="556"/>
      <c r="GC1027" s="370"/>
      <c r="GD1027" s="453"/>
      <c r="GE1027" s="453"/>
      <c r="GF1027" s="453"/>
      <c r="GG1027" s="453"/>
      <c r="GH1027" s="454"/>
      <c r="GI1027" s="453"/>
      <c r="GJ1027" s="453"/>
      <c r="GK1027" s="453"/>
      <c r="GL1027" s="453"/>
      <c r="GM1027" s="453"/>
      <c r="GN1027" s="453"/>
      <c r="GO1027" s="453"/>
      <c r="GP1027" s="453"/>
      <c r="GQ1027" s="453"/>
      <c r="GR1027" s="453"/>
      <c r="GS1027" s="561"/>
      <c r="GT1027" s="475"/>
      <c r="GU1027" s="472"/>
      <c r="GV1027" s="453"/>
      <c r="GW1027" s="453"/>
      <c r="GX1027" s="869"/>
      <c r="GY1027" s="870"/>
      <c r="GZ1027" s="867"/>
      <c r="HA1027" s="868"/>
      <c r="HB1027" s="473"/>
      <c r="HC1027" s="869"/>
      <c r="HD1027" s="870"/>
      <c r="HE1027" s="867"/>
      <c r="HF1027" s="868"/>
      <c r="HG1027" s="473"/>
      <c r="HH1027" s="867"/>
      <c r="HI1027" s="868"/>
      <c r="HJ1027" s="867"/>
      <c r="HK1027" s="868"/>
      <c r="HL1027" s="370"/>
      <c r="HM1027" s="865"/>
      <c r="HN1027" s="866"/>
      <c r="HO1027" s="865"/>
      <c r="HP1027" s="866"/>
      <c r="HQ1027" s="865"/>
      <c r="HR1027" s="866"/>
      <c r="HS1027" s="867"/>
      <c r="HT1027" s="868"/>
      <c r="HU1027" s="489"/>
      <c r="HV1027" s="865"/>
      <c r="HW1027" s="866"/>
    </row>
    <row r="1028" spans="25:231" ht="15" customHeight="1">
      <c r="Y1028" s="332"/>
      <c r="Z1028" s="332"/>
      <c r="AA1028" s="332"/>
      <c r="AB1028" s="332"/>
      <c r="AC1028" s="332"/>
      <c r="AD1028" s="332"/>
      <c r="AE1028" s="332"/>
      <c r="AF1028" s="332"/>
      <c r="AG1028" s="332"/>
      <c r="AH1028" s="332"/>
      <c r="AI1028" s="332"/>
      <c r="AJ1028" s="332"/>
      <c r="AK1028" s="332"/>
      <c r="AL1028" s="332"/>
      <c r="AM1028" s="332"/>
      <c r="AN1028" s="332"/>
      <c r="AO1028" s="332"/>
      <c r="AP1028" s="332"/>
      <c r="AQ1028" s="332"/>
      <c r="AR1028" s="332"/>
      <c r="AS1028" s="332"/>
      <c r="AT1028" s="332"/>
      <c r="AU1028" s="332"/>
      <c r="AV1028" s="332"/>
      <c r="AW1028" s="332"/>
      <c r="AX1028" s="332"/>
      <c r="AY1028" s="332"/>
      <c r="AZ1028" s="332"/>
      <c r="BA1028" s="332"/>
      <c r="BB1028" s="332"/>
      <c r="BC1028" s="332"/>
      <c r="BD1028" s="332"/>
      <c r="BE1028" s="332"/>
      <c r="BF1028" s="332"/>
      <c r="BG1028" s="332"/>
      <c r="BH1028" s="332"/>
      <c r="BI1028" s="332"/>
      <c r="BJ1028" s="332"/>
      <c r="BK1028" s="332"/>
      <c r="BL1028" s="332"/>
      <c r="BM1028" s="332"/>
      <c r="BN1028" s="332"/>
      <c r="BO1028" s="332"/>
      <c r="BP1028" s="332"/>
      <c r="BQ1028" s="332"/>
      <c r="BR1028" s="332"/>
      <c r="BS1028" s="332"/>
      <c r="BT1028" s="332"/>
      <c r="BU1028" s="332"/>
      <c r="BV1028" s="332"/>
      <c r="BW1028" s="332"/>
      <c r="BX1028" s="332"/>
      <c r="BY1028" s="332"/>
      <c r="BZ1028" s="332"/>
      <c r="CA1028" s="332"/>
      <c r="CB1028" s="332"/>
      <c r="CC1028" s="332"/>
      <c r="CD1028" s="332"/>
      <c r="CE1028" s="332"/>
      <c r="CF1028" s="332"/>
      <c r="CG1028" s="332"/>
      <c r="CH1028" s="332"/>
      <c r="CI1028" s="332"/>
      <c r="CJ1028" s="332"/>
      <c r="CK1028" s="332"/>
      <c r="CL1028" s="332"/>
      <c r="CM1028" s="332"/>
      <c r="CN1028" s="332"/>
      <c r="CO1028" s="332"/>
      <c r="CP1028" s="332"/>
      <c r="CQ1028" s="332"/>
      <c r="CR1028" s="332"/>
      <c r="CS1028" s="332"/>
      <c r="CT1028" s="332"/>
      <c r="CU1028" s="332"/>
      <c r="CV1028" s="332"/>
      <c r="CW1028" s="332"/>
      <c r="CX1028" s="332"/>
      <c r="CY1028" s="332"/>
      <c r="CZ1028" s="332"/>
      <c r="DA1028" s="332"/>
      <c r="DB1028" s="332"/>
      <c r="DC1028" s="332"/>
      <c r="DD1028" s="332"/>
      <c r="DE1028" s="332"/>
      <c r="DF1028" s="332"/>
      <c r="DG1028" s="332"/>
      <c r="DH1028" s="332"/>
      <c r="DI1028" s="332"/>
      <c r="DJ1028" s="332"/>
      <c r="DK1028" s="332"/>
      <c r="DL1028" s="332"/>
      <c r="DM1028" s="332"/>
      <c r="DN1028" s="332"/>
      <c r="DO1028" s="332"/>
      <c r="DP1028" s="332"/>
      <c r="DQ1028" s="332"/>
      <c r="DR1028" s="332"/>
      <c r="DS1028" s="332"/>
      <c r="DT1028" s="332"/>
      <c r="DU1028" s="453"/>
      <c r="DV1028" s="453"/>
      <c r="DW1028" s="453"/>
      <c r="DX1028" s="453"/>
      <c r="DY1028" s="453"/>
      <c r="DZ1028" s="453"/>
      <c r="EA1028" s="453"/>
      <c r="EB1028" s="453"/>
      <c r="EC1028" s="453"/>
      <c r="ED1028" s="453"/>
      <c r="EE1028" s="453"/>
      <c r="EF1028" s="453"/>
      <c r="EG1028" s="453"/>
      <c r="EH1028" s="453"/>
      <c r="EI1028" s="453"/>
      <c r="EJ1028" s="453"/>
      <c r="EK1028" s="453"/>
      <c r="EL1028" s="453"/>
      <c r="EM1028" s="483">
        <f t="shared" si="246"/>
        <v>719</v>
      </c>
      <c r="EN1028" s="485"/>
      <c r="EO1028" s="458"/>
      <c r="EP1028" s="467"/>
      <c r="EQ1028" s="457"/>
      <c r="ER1028" s="808"/>
      <c r="ES1028" s="881">
        <f t="shared" si="247"/>
        <v>0</v>
      </c>
      <c r="ET1028" s="882"/>
      <c r="EU1028" s="883"/>
      <c r="EV1028" s="884">
        <f t="shared" si="248"/>
        <v>0</v>
      </c>
      <c r="EW1028" s="885"/>
      <c r="EX1028" s="885"/>
      <c r="EY1028" s="885"/>
      <c r="EZ1028" s="885"/>
      <c r="FA1028" s="885"/>
      <c r="FB1028" s="885"/>
      <c r="FC1028" s="885"/>
      <c r="FD1028" s="886"/>
      <c r="FE1028" s="551"/>
      <c r="FF1028" s="551"/>
      <c r="FG1028" s="551"/>
      <c r="FH1028" s="551"/>
      <c r="FI1028" s="551"/>
      <c r="FJ1028" s="551"/>
      <c r="FK1028" s="551"/>
      <c r="FL1028" s="555"/>
      <c r="FM1028" s="554"/>
      <c r="FN1028" s="554"/>
      <c r="FO1028" s="554"/>
      <c r="FP1028" s="554"/>
      <c r="FQ1028" s="554"/>
      <c r="FR1028" s="554"/>
      <c r="FS1028" s="554"/>
      <c r="FT1028" s="554"/>
      <c r="FU1028" s="554"/>
      <c r="FV1028" s="554"/>
      <c r="FW1028" s="554"/>
      <c r="FX1028" s="554"/>
      <c r="FY1028" s="554"/>
      <c r="FZ1028" s="554"/>
      <c r="GA1028" s="554"/>
      <c r="GB1028" s="556"/>
      <c r="GC1028" s="370"/>
      <c r="GD1028" s="453"/>
      <c r="GE1028" s="453"/>
      <c r="GF1028" s="453"/>
      <c r="GG1028" s="453"/>
      <c r="GH1028" s="454"/>
      <c r="GI1028" s="453"/>
      <c r="GJ1028" s="453"/>
      <c r="GK1028" s="453"/>
      <c r="GL1028" s="453"/>
      <c r="GM1028" s="453"/>
      <c r="GN1028" s="453"/>
      <c r="GO1028" s="453"/>
      <c r="GP1028" s="453"/>
      <c r="GQ1028" s="453"/>
      <c r="GR1028" s="453"/>
      <c r="GS1028" s="561"/>
      <c r="GT1028" s="475"/>
      <c r="GU1028" s="472"/>
      <c r="GV1028" s="453"/>
      <c r="GW1028" s="453"/>
      <c r="GX1028" s="869"/>
      <c r="GY1028" s="870"/>
      <c r="GZ1028" s="867"/>
      <c r="HA1028" s="868"/>
      <c r="HB1028" s="473"/>
      <c r="HC1028" s="869"/>
      <c r="HD1028" s="870"/>
      <c r="HE1028" s="867"/>
      <c r="HF1028" s="868"/>
      <c r="HG1028" s="473"/>
      <c r="HH1028" s="867"/>
      <c r="HI1028" s="868"/>
      <c r="HJ1028" s="867"/>
      <c r="HK1028" s="868"/>
      <c r="HL1028" s="370"/>
      <c r="HM1028" s="865"/>
      <c r="HN1028" s="866"/>
      <c r="HO1028" s="865"/>
      <c r="HP1028" s="866"/>
      <c r="HQ1028" s="865"/>
      <c r="HR1028" s="866"/>
      <c r="HS1028" s="867"/>
      <c r="HT1028" s="868"/>
      <c r="HU1028" s="489"/>
      <c r="HV1028" s="865"/>
      <c r="HW1028" s="866"/>
    </row>
    <row r="1029" spans="25:231" ht="15" customHeight="1">
      <c r="Y1029" s="332"/>
      <c r="Z1029" s="332"/>
      <c r="AA1029" s="332"/>
      <c r="AB1029" s="332"/>
      <c r="AC1029" s="332"/>
      <c r="AD1029" s="332"/>
      <c r="AE1029" s="332"/>
      <c r="AF1029" s="332"/>
      <c r="AG1029" s="332"/>
      <c r="AH1029" s="332"/>
      <c r="AI1029" s="332"/>
      <c r="AJ1029" s="332"/>
      <c r="AK1029" s="332"/>
      <c r="AL1029" s="332"/>
      <c r="AM1029" s="332"/>
      <c r="AN1029" s="332"/>
      <c r="AO1029" s="332"/>
      <c r="AP1029" s="332"/>
      <c r="AQ1029" s="332"/>
      <c r="AR1029" s="332"/>
      <c r="AS1029" s="332"/>
      <c r="AT1029" s="332"/>
      <c r="AU1029" s="332"/>
      <c r="AV1029" s="332"/>
      <c r="AW1029" s="332"/>
      <c r="AX1029" s="332"/>
      <c r="AY1029" s="332"/>
      <c r="AZ1029" s="332"/>
      <c r="BA1029" s="332"/>
      <c r="BB1029" s="332"/>
      <c r="BC1029" s="332"/>
      <c r="BD1029" s="332"/>
      <c r="BE1029" s="332"/>
      <c r="BF1029" s="332"/>
      <c r="BG1029" s="332"/>
      <c r="BH1029" s="332"/>
      <c r="BI1029" s="332"/>
      <c r="BJ1029" s="332"/>
      <c r="BK1029" s="332"/>
      <c r="BL1029" s="332"/>
      <c r="BM1029" s="332"/>
      <c r="BN1029" s="332"/>
      <c r="BO1029" s="332"/>
      <c r="BP1029" s="332"/>
      <c r="BQ1029" s="332"/>
      <c r="BR1029" s="332"/>
      <c r="BS1029" s="332"/>
      <c r="BT1029" s="332"/>
      <c r="BU1029" s="332"/>
      <c r="BV1029" s="332"/>
      <c r="BW1029" s="332"/>
      <c r="BX1029" s="332"/>
      <c r="BY1029" s="332"/>
      <c r="BZ1029" s="332"/>
      <c r="CA1029" s="332"/>
      <c r="CB1029" s="332"/>
      <c r="CC1029" s="332"/>
      <c r="CD1029" s="332"/>
      <c r="CE1029" s="332"/>
      <c r="CF1029" s="332"/>
      <c r="CG1029" s="332"/>
      <c r="CH1029" s="332"/>
      <c r="CI1029" s="332"/>
      <c r="CJ1029" s="332"/>
      <c r="CK1029" s="332"/>
      <c r="CL1029" s="332"/>
      <c r="CM1029" s="332"/>
      <c r="CN1029" s="332"/>
      <c r="CO1029" s="332"/>
      <c r="CP1029" s="332"/>
      <c r="CQ1029" s="332"/>
      <c r="CR1029" s="332"/>
      <c r="CS1029" s="332"/>
      <c r="CT1029" s="332"/>
      <c r="CU1029" s="332"/>
      <c r="CV1029" s="332"/>
      <c r="CW1029" s="332"/>
      <c r="CX1029" s="332"/>
      <c r="CY1029" s="332"/>
      <c r="CZ1029" s="332"/>
      <c r="DA1029" s="332"/>
      <c r="DB1029" s="332"/>
      <c r="DC1029" s="332"/>
      <c r="DD1029" s="332"/>
      <c r="DE1029" s="332"/>
      <c r="DF1029" s="332"/>
      <c r="DG1029" s="332"/>
      <c r="DH1029" s="332"/>
      <c r="DI1029" s="332"/>
      <c r="DJ1029" s="332"/>
      <c r="DK1029" s="332"/>
      <c r="DL1029" s="332"/>
      <c r="DM1029" s="332"/>
      <c r="DN1029" s="332"/>
      <c r="DO1029" s="332"/>
      <c r="DP1029" s="332"/>
      <c r="DQ1029" s="332"/>
      <c r="DR1029" s="332"/>
      <c r="DS1029" s="332"/>
      <c r="DT1029" s="332"/>
      <c r="DU1029" s="453"/>
      <c r="DV1029" s="453"/>
      <c r="DW1029" s="453"/>
      <c r="DX1029" s="453"/>
      <c r="DY1029" s="453"/>
      <c r="DZ1029" s="453"/>
      <c r="EA1029" s="453"/>
      <c r="EB1029" s="453"/>
      <c r="EC1029" s="453"/>
      <c r="ED1029" s="453"/>
      <c r="EE1029" s="453"/>
      <c r="EF1029" s="453"/>
      <c r="EG1029" s="453"/>
      <c r="EH1029" s="453"/>
      <c r="EI1029" s="453"/>
      <c r="EJ1029" s="453"/>
      <c r="EK1029" s="453"/>
      <c r="EL1029" s="453"/>
      <c r="EM1029" s="483">
        <f t="shared" si="246"/>
        <v>720</v>
      </c>
      <c r="EN1029" s="485"/>
      <c r="EO1029" s="458"/>
      <c r="EP1029" s="467"/>
      <c r="EQ1029" s="457"/>
      <c r="ER1029" s="808"/>
      <c r="ES1029" s="881">
        <f t="shared" si="247"/>
        <v>0</v>
      </c>
      <c r="ET1029" s="882"/>
      <c r="EU1029" s="883"/>
      <c r="EV1029" s="884">
        <f t="shared" si="248"/>
        <v>0</v>
      </c>
      <c r="EW1029" s="885"/>
      <c r="EX1029" s="885"/>
      <c r="EY1029" s="885"/>
      <c r="EZ1029" s="885"/>
      <c r="FA1029" s="885"/>
      <c r="FB1029" s="885"/>
      <c r="FC1029" s="885"/>
      <c r="FD1029" s="886"/>
      <c r="FE1029" s="551"/>
      <c r="FF1029" s="551"/>
      <c r="FG1029" s="551"/>
      <c r="FH1029" s="551"/>
      <c r="FI1029" s="551"/>
      <c r="FJ1029" s="551"/>
      <c r="FK1029" s="551"/>
      <c r="FL1029" s="555"/>
      <c r="FM1029" s="554"/>
      <c r="FN1029" s="554"/>
      <c r="FO1029" s="554"/>
      <c r="FP1029" s="554"/>
      <c r="FQ1029" s="554"/>
      <c r="FR1029" s="554"/>
      <c r="FS1029" s="554"/>
      <c r="FT1029" s="554"/>
      <c r="FU1029" s="554"/>
      <c r="FV1029" s="554"/>
      <c r="FW1029" s="554"/>
      <c r="FX1029" s="554"/>
      <c r="FY1029" s="554"/>
      <c r="FZ1029" s="554"/>
      <c r="GA1029" s="554"/>
      <c r="GB1029" s="556"/>
      <c r="GC1029" s="370"/>
      <c r="GD1029" s="453"/>
      <c r="GE1029" s="453"/>
      <c r="GF1029" s="453"/>
      <c r="GG1029" s="453"/>
      <c r="GH1029" s="454"/>
      <c r="GI1029" s="453"/>
      <c r="GJ1029" s="453"/>
      <c r="GK1029" s="453"/>
      <c r="GL1029" s="453"/>
      <c r="GM1029" s="453"/>
      <c r="GN1029" s="453"/>
      <c r="GO1029" s="453"/>
      <c r="GP1029" s="453"/>
      <c r="GQ1029" s="453"/>
      <c r="GR1029" s="453"/>
      <c r="GS1029" s="561"/>
      <c r="GT1029" s="475"/>
      <c r="GU1029" s="472"/>
      <c r="GV1029" s="453"/>
      <c r="GW1029" s="453"/>
      <c r="GX1029" s="869"/>
      <c r="GY1029" s="870"/>
      <c r="GZ1029" s="867"/>
      <c r="HA1029" s="868"/>
      <c r="HB1029" s="473"/>
      <c r="HC1029" s="869"/>
      <c r="HD1029" s="870"/>
      <c r="HE1029" s="867"/>
      <c r="HF1029" s="868"/>
      <c r="HG1029" s="473"/>
      <c r="HH1029" s="867"/>
      <c r="HI1029" s="868"/>
      <c r="HJ1029" s="867"/>
      <c r="HK1029" s="868"/>
      <c r="HL1029" s="370"/>
      <c r="HM1029" s="865"/>
      <c r="HN1029" s="866"/>
      <c r="HO1029" s="865"/>
      <c r="HP1029" s="866"/>
      <c r="HQ1029" s="865"/>
      <c r="HR1029" s="866"/>
      <c r="HS1029" s="867"/>
      <c r="HT1029" s="868"/>
      <c r="HU1029" s="489"/>
      <c r="HV1029" s="865"/>
      <c r="HW1029" s="866"/>
    </row>
    <row r="1030" spans="25:231" ht="15" customHeight="1">
      <c r="Y1030" s="332"/>
      <c r="Z1030" s="332"/>
      <c r="AA1030" s="332"/>
      <c r="AB1030" s="332"/>
      <c r="AC1030" s="332"/>
      <c r="AD1030" s="332"/>
      <c r="AE1030" s="332"/>
      <c r="AF1030" s="332"/>
      <c r="AG1030" s="332"/>
      <c r="AH1030" s="332"/>
      <c r="AI1030" s="332"/>
      <c r="AJ1030" s="332"/>
      <c r="AK1030" s="332"/>
      <c r="AL1030" s="332"/>
      <c r="AM1030" s="332"/>
      <c r="AN1030" s="332"/>
      <c r="AO1030" s="332"/>
      <c r="AP1030" s="332"/>
      <c r="AQ1030" s="332"/>
      <c r="AR1030" s="332"/>
      <c r="AS1030" s="332"/>
      <c r="AT1030" s="332"/>
      <c r="AU1030" s="332"/>
      <c r="AV1030" s="332"/>
      <c r="AW1030" s="332"/>
      <c r="AX1030" s="332"/>
      <c r="AY1030" s="332"/>
      <c r="AZ1030" s="332"/>
      <c r="BA1030" s="332"/>
      <c r="BB1030" s="332"/>
      <c r="BC1030" s="332"/>
      <c r="BD1030" s="332"/>
      <c r="BE1030" s="332"/>
      <c r="BF1030" s="332"/>
      <c r="BG1030" s="332"/>
      <c r="BH1030" s="332"/>
      <c r="BI1030" s="332"/>
      <c r="BJ1030" s="332"/>
      <c r="BK1030" s="332"/>
      <c r="BL1030" s="332"/>
      <c r="BM1030" s="332"/>
      <c r="BN1030" s="332"/>
      <c r="BO1030" s="332"/>
      <c r="BP1030" s="332"/>
      <c r="BQ1030" s="332"/>
      <c r="BR1030" s="332"/>
      <c r="BS1030" s="332"/>
      <c r="BT1030" s="332"/>
      <c r="BU1030" s="332"/>
      <c r="BV1030" s="332"/>
      <c r="BW1030" s="332"/>
      <c r="BX1030" s="332"/>
      <c r="BY1030" s="332"/>
      <c r="BZ1030" s="332"/>
      <c r="CA1030" s="332"/>
      <c r="CB1030" s="332"/>
      <c r="CC1030" s="332"/>
      <c r="CD1030" s="332"/>
      <c r="CE1030" s="332"/>
      <c r="CF1030" s="332"/>
      <c r="CG1030" s="332"/>
      <c r="CH1030" s="332"/>
      <c r="CI1030" s="332"/>
      <c r="CJ1030" s="332"/>
      <c r="CK1030" s="332"/>
      <c r="CL1030" s="332"/>
      <c r="CM1030" s="332"/>
      <c r="CN1030" s="332"/>
      <c r="CO1030" s="332"/>
      <c r="CP1030" s="332"/>
      <c r="CQ1030" s="332"/>
      <c r="CR1030" s="332"/>
      <c r="CS1030" s="332"/>
      <c r="CT1030" s="332"/>
      <c r="CU1030" s="332"/>
      <c r="CV1030" s="332"/>
      <c r="CW1030" s="332"/>
      <c r="CX1030" s="332"/>
      <c r="CY1030" s="332"/>
      <c r="CZ1030" s="332"/>
      <c r="DA1030" s="332"/>
      <c r="DB1030" s="332"/>
      <c r="DC1030" s="332"/>
      <c r="DD1030" s="332"/>
      <c r="DE1030" s="332"/>
      <c r="DF1030" s="332"/>
      <c r="DG1030" s="332"/>
      <c r="DH1030" s="332"/>
      <c r="DI1030" s="332"/>
      <c r="DJ1030" s="332"/>
      <c r="DK1030" s="332"/>
      <c r="DL1030" s="332"/>
      <c r="DM1030" s="332"/>
      <c r="DN1030" s="332"/>
      <c r="DO1030" s="332"/>
      <c r="DP1030" s="332"/>
      <c r="DQ1030" s="332"/>
      <c r="DR1030" s="332"/>
      <c r="DS1030" s="332"/>
      <c r="DT1030" s="332"/>
      <c r="DU1030" s="453"/>
      <c r="DV1030" s="453"/>
      <c r="DW1030" s="453"/>
      <c r="DX1030" s="453"/>
      <c r="DY1030" s="453"/>
      <c r="DZ1030" s="453"/>
      <c r="EA1030" s="453"/>
      <c r="EB1030" s="453"/>
      <c r="EC1030" s="453"/>
      <c r="ED1030" s="453"/>
      <c r="EE1030" s="453"/>
      <c r="EF1030" s="453"/>
      <c r="EG1030" s="453"/>
      <c r="EH1030" s="453"/>
      <c r="EI1030" s="453"/>
      <c r="EJ1030" s="453"/>
      <c r="EK1030" s="453"/>
      <c r="EL1030" s="453"/>
      <c r="EM1030" s="483">
        <f t="shared" si="246"/>
        <v>721</v>
      </c>
      <c r="EN1030" s="485"/>
      <c r="EO1030" s="458"/>
      <c r="EP1030" s="467"/>
      <c r="EQ1030" s="457"/>
      <c r="ER1030" s="808"/>
      <c r="ES1030" s="881">
        <f t="shared" si="247"/>
        <v>0</v>
      </c>
      <c r="ET1030" s="882"/>
      <c r="EU1030" s="883"/>
      <c r="EV1030" s="884">
        <f t="shared" si="248"/>
        <v>0</v>
      </c>
      <c r="EW1030" s="885"/>
      <c r="EX1030" s="885"/>
      <c r="EY1030" s="885"/>
      <c r="EZ1030" s="885"/>
      <c r="FA1030" s="885"/>
      <c r="FB1030" s="885"/>
      <c r="FC1030" s="885"/>
      <c r="FD1030" s="886"/>
      <c r="FE1030" s="551"/>
      <c r="FF1030" s="551"/>
      <c r="FG1030" s="551"/>
      <c r="FH1030" s="551"/>
      <c r="FI1030" s="551"/>
      <c r="FJ1030" s="551"/>
      <c r="FK1030" s="551"/>
      <c r="FL1030" s="555"/>
      <c r="FM1030" s="554"/>
      <c r="FN1030" s="554"/>
      <c r="FO1030" s="554"/>
      <c r="FP1030" s="554"/>
      <c r="FQ1030" s="554"/>
      <c r="FR1030" s="554"/>
      <c r="FS1030" s="554"/>
      <c r="FT1030" s="554"/>
      <c r="FU1030" s="554"/>
      <c r="FV1030" s="554"/>
      <c r="FW1030" s="554"/>
      <c r="FX1030" s="554"/>
      <c r="FY1030" s="554"/>
      <c r="FZ1030" s="554"/>
      <c r="GA1030" s="554"/>
      <c r="GB1030" s="556"/>
      <c r="GC1030" s="370"/>
      <c r="GD1030" s="453"/>
      <c r="GE1030" s="453"/>
      <c r="GF1030" s="453"/>
      <c r="GG1030" s="453"/>
      <c r="GH1030" s="454"/>
      <c r="GI1030" s="453"/>
      <c r="GJ1030" s="453"/>
      <c r="GK1030" s="453"/>
      <c r="GL1030" s="453"/>
      <c r="GM1030" s="453"/>
      <c r="GN1030" s="453"/>
      <c r="GO1030" s="453"/>
      <c r="GP1030" s="453"/>
      <c r="GQ1030" s="453"/>
      <c r="GR1030" s="453"/>
      <c r="GS1030" s="561"/>
      <c r="GT1030" s="475"/>
      <c r="GU1030" s="472"/>
      <c r="GV1030" s="453"/>
      <c r="GW1030" s="453"/>
      <c r="GX1030" s="869"/>
      <c r="GY1030" s="870"/>
      <c r="GZ1030" s="867"/>
      <c r="HA1030" s="868"/>
      <c r="HB1030" s="473"/>
      <c r="HC1030" s="869"/>
      <c r="HD1030" s="870"/>
      <c r="HE1030" s="867"/>
      <c r="HF1030" s="868"/>
      <c r="HG1030" s="473"/>
      <c r="HH1030" s="867"/>
      <c r="HI1030" s="868"/>
      <c r="HJ1030" s="867"/>
      <c r="HK1030" s="868"/>
      <c r="HL1030" s="370"/>
      <c r="HM1030" s="865"/>
      <c r="HN1030" s="866"/>
      <c r="HO1030" s="865"/>
      <c r="HP1030" s="866"/>
      <c r="HQ1030" s="865"/>
      <c r="HR1030" s="866"/>
      <c r="HS1030" s="867"/>
      <c r="HT1030" s="868"/>
      <c r="HU1030" s="489"/>
      <c r="HV1030" s="865"/>
      <c r="HW1030" s="866"/>
    </row>
    <row r="1031" spans="25:231" ht="15" customHeight="1">
      <c r="Y1031" s="332"/>
      <c r="Z1031" s="332"/>
      <c r="AA1031" s="332"/>
      <c r="AB1031" s="332"/>
      <c r="AC1031" s="332"/>
      <c r="AD1031" s="332"/>
      <c r="AE1031" s="332"/>
      <c r="AF1031" s="332"/>
      <c r="AG1031" s="332"/>
      <c r="AH1031" s="332"/>
      <c r="AI1031" s="332"/>
      <c r="AJ1031" s="332"/>
      <c r="AK1031" s="332"/>
      <c r="AL1031" s="332"/>
      <c r="AM1031" s="332"/>
      <c r="AN1031" s="332"/>
      <c r="AO1031" s="332"/>
      <c r="AP1031" s="332"/>
      <c r="AQ1031" s="332"/>
      <c r="AR1031" s="332"/>
      <c r="AS1031" s="332"/>
      <c r="AT1031" s="332"/>
      <c r="AU1031" s="332"/>
      <c r="AV1031" s="332"/>
      <c r="AW1031" s="332"/>
      <c r="AX1031" s="332"/>
      <c r="AY1031" s="332"/>
      <c r="AZ1031" s="332"/>
      <c r="BA1031" s="332"/>
      <c r="BB1031" s="332"/>
      <c r="BC1031" s="332"/>
      <c r="BD1031" s="332"/>
      <c r="BE1031" s="332"/>
      <c r="BF1031" s="332"/>
      <c r="BG1031" s="332"/>
      <c r="BH1031" s="332"/>
      <c r="BI1031" s="332"/>
      <c r="BJ1031" s="332"/>
      <c r="BK1031" s="332"/>
      <c r="BL1031" s="332"/>
      <c r="BM1031" s="332"/>
      <c r="BN1031" s="332"/>
      <c r="BO1031" s="332"/>
      <c r="BP1031" s="332"/>
      <c r="BQ1031" s="332"/>
      <c r="BR1031" s="332"/>
      <c r="BS1031" s="332"/>
      <c r="BT1031" s="332"/>
      <c r="BU1031" s="332"/>
      <c r="BV1031" s="332"/>
      <c r="BW1031" s="332"/>
      <c r="BX1031" s="332"/>
      <c r="BY1031" s="332"/>
      <c r="BZ1031" s="332"/>
      <c r="CA1031" s="332"/>
      <c r="CB1031" s="332"/>
      <c r="CC1031" s="332"/>
      <c r="CD1031" s="332"/>
      <c r="CE1031" s="332"/>
      <c r="CF1031" s="332"/>
      <c r="CG1031" s="332"/>
      <c r="CH1031" s="332"/>
      <c r="CI1031" s="332"/>
      <c r="CJ1031" s="332"/>
      <c r="CK1031" s="332"/>
      <c r="CL1031" s="332"/>
      <c r="CM1031" s="332"/>
      <c r="CN1031" s="332"/>
      <c r="CO1031" s="332"/>
      <c r="CP1031" s="332"/>
      <c r="CQ1031" s="332"/>
      <c r="CR1031" s="332"/>
      <c r="CS1031" s="332"/>
      <c r="CT1031" s="332"/>
      <c r="CU1031" s="332"/>
      <c r="CV1031" s="332"/>
      <c r="CW1031" s="332"/>
      <c r="CX1031" s="332"/>
      <c r="CY1031" s="332"/>
      <c r="CZ1031" s="332"/>
      <c r="DA1031" s="332"/>
      <c r="DB1031" s="332"/>
      <c r="DC1031" s="332"/>
      <c r="DD1031" s="332"/>
      <c r="DE1031" s="332"/>
      <c r="DF1031" s="332"/>
      <c r="DG1031" s="332"/>
      <c r="DH1031" s="332"/>
      <c r="DI1031" s="332"/>
      <c r="DJ1031" s="332"/>
      <c r="DK1031" s="332"/>
      <c r="DL1031" s="332"/>
      <c r="DM1031" s="332"/>
      <c r="DN1031" s="332"/>
      <c r="DO1031" s="332"/>
      <c r="DP1031" s="332"/>
      <c r="DQ1031" s="332"/>
      <c r="DR1031" s="332"/>
      <c r="DS1031" s="332"/>
      <c r="DT1031" s="332"/>
      <c r="DU1031" s="453"/>
      <c r="DV1031" s="453"/>
      <c r="DW1031" s="453"/>
      <c r="DX1031" s="453"/>
      <c r="DY1031" s="453"/>
      <c r="DZ1031" s="453"/>
      <c r="EA1031" s="453"/>
      <c r="EB1031" s="453"/>
      <c r="EC1031" s="453"/>
      <c r="ED1031" s="453"/>
      <c r="EE1031" s="453"/>
      <c r="EF1031" s="453"/>
      <c r="EG1031" s="453"/>
      <c r="EH1031" s="453"/>
      <c r="EI1031" s="453"/>
      <c r="EJ1031" s="453"/>
      <c r="EK1031" s="453"/>
      <c r="EL1031" s="453"/>
      <c r="EM1031" s="483">
        <f t="shared" si="246"/>
        <v>722</v>
      </c>
      <c r="EN1031" s="485"/>
      <c r="EO1031" s="458"/>
      <c r="EP1031" s="467"/>
      <c r="EQ1031" s="457"/>
      <c r="ER1031" s="808"/>
      <c r="ES1031" s="881">
        <f t="shared" si="247"/>
        <v>0</v>
      </c>
      <c r="ET1031" s="882"/>
      <c r="EU1031" s="883"/>
      <c r="EV1031" s="884">
        <f t="shared" si="248"/>
        <v>0</v>
      </c>
      <c r="EW1031" s="885"/>
      <c r="EX1031" s="885"/>
      <c r="EY1031" s="885"/>
      <c r="EZ1031" s="885"/>
      <c r="FA1031" s="885"/>
      <c r="FB1031" s="885"/>
      <c r="FC1031" s="885"/>
      <c r="FD1031" s="886"/>
      <c r="FE1031" s="551"/>
      <c r="FF1031" s="551"/>
      <c r="FG1031" s="551"/>
      <c r="FH1031" s="551"/>
      <c r="FI1031" s="551"/>
      <c r="FJ1031" s="551"/>
      <c r="FK1031" s="551"/>
      <c r="FL1031" s="555"/>
      <c r="FM1031" s="554"/>
      <c r="FN1031" s="554"/>
      <c r="FO1031" s="554"/>
      <c r="FP1031" s="554"/>
      <c r="FQ1031" s="554"/>
      <c r="FR1031" s="554"/>
      <c r="FS1031" s="554"/>
      <c r="FT1031" s="554"/>
      <c r="FU1031" s="554"/>
      <c r="FV1031" s="554"/>
      <c r="FW1031" s="554"/>
      <c r="FX1031" s="554"/>
      <c r="FY1031" s="554"/>
      <c r="FZ1031" s="554"/>
      <c r="GA1031" s="554"/>
      <c r="GB1031" s="556"/>
      <c r="GC1031" s="370"/>
      <c r="GD1031" s="453"/>
      <c r="GE1031" s="453"/>
      <c r="GF1031" s="453"/>
      <c r="GG1031" s="453"/>
      <c r="GH1031" s="454"/>
      <c r="GI1031" s="453"/>
      <c r="GJ1031" s="453"/>
      <c r="GK1031" s="453"/>
      <c r="GL1031" s="453"/>
      <c r="GM1031" s="453"/>
      <c r="GN1031" s="453"/>
      <c r="GO1031" s="453"/>
      <c r="GP1031" s="453"/>
      <c r="GQ1031" s="453"/>
      <c r="GR1031" s="453"/>
      <c r="GS1031" s="561"/>
      <c r="GT1031" s="475"/>
      <c r="GU1031" s="472"/>
      <c r="GV1031" s="453"/>
      <c r="GW1031" s="453"/>
      <c r="GX1031" s="869"/>
      <c r="GY1031" s="870"/>
      <c r="GZ1031" s="867"/>
      <c r="HA1031" s="868"/>
      <c r="HB1031" s="473"/>
      <c r="HC1031" s="869"/>
      <c r="HD1031" s="870"/>
      <c r="HE1031" s="867"/>
      <c r="HF1031" s="868"/>
      <c r="HG1031" s="473"/>
      <c r="HH1031" s="867"/>
      <c r="HI1031" s="868"/>
      <c r="HJ1031" s="867"/>
      <c r="HK1031" s="868"/>
      <c r="HL1031" s="370"/>
      <c r="HM1031" s="865"/>
      <c r="HN1031" s="866"/>
      <c r="HO1031" s="865"/>
      <c r="HP1031" s="866"/>
      <c r="HQ1031" s="865"/>
      <c r="HR1031" s="866"/>
      <c r="HS1031" s="867"/>
      <c r="HT1031" s="868"/>
      <c r="HU1031" s="489"/>
      <c r="HV1031" s="865"/>
      <c r="HW1031" s="866"/>
    </row>
    <row r="1032" spans="25:231" ht="15" customHeight="1">
      <c r="Y1032" s="332"/>
      <c r="Z1032" s="332"/>
      <c r="AA1032" s="332"/>
      <c r="AB1032" s="332"/>
      <c r="AC1032" s="332"/>
      <c r="AD1032" s="332"/>
      <c r="AE1032" s="332"/>
      <c r="AF1032" s="332"/>
      <c r="AG1032" s="332"/>
      <c r="AH1032" s="332"/>
      <c r="AI1032" s="332"/>
      <c r="AJ1032" s="332"/>
      <c r="AK1032" s="332"/>
      <c r="AL1032" s="332"/>
      <c r="AM1032" s="332"/>
      <c r="AN1032" s="332"/>
      <c r="AO1032" s="332"/>
      <c r="AP1032" s="332"/>
      <c r="AQ1032" s="332"/>
      <c r="AR1032" s="332"/>
      <c r="AS1032" s="332"/>
      <c r="AT1032" s="332"/>
      <c r="AU1032" s="332"/>
      <c r="AV1032" s="332"/>
      <c r="AW1032" s="332"/>
      <c r="AX1032" s="332"/>
      <c r="AY1032" s="332"/>
      <c r="AZ1032" s="332"/>
      <c r="BA1032" s="332"/>
      <c r="BB1032" s="332"/>
      <c r="BC1032" s="332"/>
      <c r="BD1032" s="332"/>
      <c r="BE1032" s="332"/>
      <c r="BF1032" s="332"/>
      <c r="BG1032" s="332"/>
      <c r="BH1032" s="332"/>
      <c r="BI1032" s="332"/>
      <c r="BJ1032" s="332"/>
      <c r="BK1032" s="332"/>
      <c r="BL1032" s="332"/>
      <c r="BM1032" s="332"/>
      <c r="BN1032" s="332"/>
      <c r="BO1032" s="332"/>
      <c r="BP1032" s="332"/>
      <c r="BQ1032" s="332"/>
      <c r="BR1032" s="332"/>
      <c r="BS1032" s="332"/>
      <c r="BT1032" s="332"/>
      <c r="BU1032" s="332"/>
      <c r="BV1032" s="332"/>
      <c r="BW1032" s="332"/>
      <c r="BX1032" s="332"/>
      <c r="BY1032" s="332"/>
      <c r="BZ1032" s="332"/>
      <c r="CA1032" s="332"/>
      <c r="CB1032" s="332"/>
      <c r="CC1032" s="332"/>
      <c r="CD1032" s="332"/>
      <c r="CE1032" s="332"/>
      <c r="CF1032" s="332"/>
      <c r="CG1032" s="332"/>
      <c r="CH1032" s="332"/>
      <c r="CI1032" s="332"/>
      <c r="CJ1032" s="332"/>
      <c r="CK1032" s="332"/>
      <c r="CL1032" s="332"/>
      <c r="CM1032" s="332"/>
      <c r="CN1032" s="332"/>
      <c r="CO1032" s="332"/>
      <c r="CP1032" s="332"/>
      <c r="CQ1032" s="332"/>
      <c r="CR1032" s="332"/>
      <c r="CS1032" s="332"/>
      <c r="CT1032" s="332"/>
      <c r="CU1032" s="332"/>
      <c r="CV1032" s="332"/>
      <c r="CW1032" s="332"/>
      <c r="CX1032" s="332"/>
      <c r="CY1032" s="332"/>
      <c r="CZ1032" s="332"/>
      <c r="DA1032" s="332"/>
      <c r="DB1032" s="332"/>
      <c r="DC1032" s="332"/>
      <c r="DD1032" s="332"/>
      <c r="DE1032" s="332"/>
      <c r="DF1032" s="332"/>
      <c r="DG1032" s="332"/>
      <c r="DH1032" s="332"/>
      <c r="DI1032" s="332"/>
      <c r="DJ1032" s="332"/>
      <c r="DK1032" s="332"/>
      <c r="DL1032" s="332"/>
      <c r="DM1032" s="332"/>
      <c r="DN1032" s="332"/>
      <c r="DO1032" s="332"/>
      <c r="DP1032" s="332"/>
      <c r="DQ1032" s="332"/>
      <c r="DR1032" s="332"/>
      <c r="DS1032" s="332"/>
      <c r="DT1032" s="332"/>
      <c r="DU1032" s="453"/>
      <c r="DV1032" s="453"/>
      <c r="DW1032" s="453"/>
      <c r="DX1032" s="453"/>
      <c r="DY1032" s="453"/>
      <c r="DZ1032" s="453"/>
      <c r="EA1032" s="453"/>
      <c r="EB1032" s="453"/>
      <c r="EC1032" s="453"/>
      <c r="ED1032" s="453"/>
      <c r="EE1032" s="453"/>
      <c r="EF1032" s="453"/>
      <c r="EG1032" s="453"/>
      <c r="EH1032" s="453"/>
      <c r="EI1032" s="453"/>
      <c r="EJ1032" s="453"/>
      <c r="EK1032" s="453"/>
      <c r="EL1032" s="453"/>
      <c r="EM1032" s="483">
        <f t="shared" si="246"/>
        <v>723</v>
      </c>
      <c r="EN1032" s="485"/>
      <c r="EO1032" s="458"/>
      <c r="EP1032" s="467"/>
      <c r="EQ1032" s="457"/>
      <c r="ER1032" s="808"/>
      <c r="ES1032" s="881">
        <f t="shared" si="247"/>
        <v>0</v>
      </c>
      <c r="ET1032" s="882"/>
      <c r="EU1032" s="883"/>
      <c r="EV1032" s="884">
        <f t="shared" si="248"/>
        <v>0</v>
      </c>
      <c r="EW1032" s="885"/>
      <c r="EX1032" s="885"/>
      <c r="EY1032" s="885"/>
      <c r="EZ1032" s="885"/>
      <c r="FA1032" s="885"/>
      <c r="FB1032" s="885"/>
      <c r="FC1032" s="885"/>
      <c r="FD1032" s="886"/>
      <c r="FE1032" s="551"/>
      <c r="FF1032" s="551"/>
      <c r="FG1032" s="551"/>
      <c r="FH1032" s="551"/>
      <c r="FI1032" s="551"/>
      <c r="FJ1032" s="551"/>
      <c r="FK1032" s="551"/>
      <c r="FL1032" s="555"/>
      <c r="FM1032" s="554"/>
      <c r="FN1032" s="554"/>
      <c r="FO1032" s="554"/>
      <c r="FP1032" s="554"/>
      <c r="FQ1032" s="554"/>
      <c r="FR1032" s="554"/>
      <c r="FS1032" s="554"/>
      <c r="FT1032" s="554"/>
      <c r="FU1032" s="554"/>
      <c r="FV1032" s="554"/>
      <c r="FW1032" s="554"/>
      <c r="FX1032" s="554"/>
      <c r="FY1032" s="554"/>
      <c r="FZ1032" s="554"/>
      <c r="GA1032" s="554"/>
      <c r="GB1032" s="556"/>
      <c r="GC1032" s="370"/>
      <c r="GD1032" s="453"/>
      <c r="GE1032" s="453"/>
      <c r="GF1032" s="453"/>
      <c r="GG1032" s="453"/>
      <c r="GH1032" s="454"/>
      <c r="GI1032" s="453"/>
      <c r="GJ1032" s="453"/>
      <c r="GK1032" s="453"/>
      <c r="GL1032" s="453"/>
      <c r="GM1032" s="453"/>
      <c r="GN1032" s="453"/>
      <c r="GO1032" s="453"/>
      <c r="GP1032" s="453"/>
      <c r="GQ1032" s="453"/>
      <c r="GR1032" s="453"/>
      <c r="GS1032" s="561"/>
      <c r="GT1032" s="475"/>
      <c r="GU1032" s="472"/>
      <c r="GV1032" s="453"/>
      <c r="GW1032" s="453"/>
      <c r="GX1032" s="869"/>
      <c r="GY1032" s="870"/>
      <c r="GZ1032" s="867"/>
      <c r="HA1032" s="868"/>
      <c r="HB1032" s="473"/>
      <c r="HC1032" s="869"/>
      <c r="HD1032" s="870"/>
      <c r="HE1032" s="867"/>
      <c r="HF1032" s="868"/>
      <c r="HG1032" s="473"/>
      <c r="HH1032" s="867"/>
      <c r="HI1032" s="868"/>
      <c r="HJ1032" s="867"/>
      <c r="HK1032" s="868"/>
      <c r="HL1032" s="370"/>
      <c r="HM1032" s="865"/>
      <c r="HN1032" s="866"/>
      <c r="HO1032" s="865"/>
      <c r="HP1032" s="866"/>
      <c r="HQ1032" s="865"/>
      <c r="HR1032" s="866"/>
      <c r="HS1032" s="867"/>
      <c r="HT1032" s="868"/>
      <c r="HU1032" s="489"/>
      <c r="HV1032" s="865"/>
      <c r="HW1032" s="866"/>
    </row>
    <row r="1033" spans="25:231" ht="15" customHeight="1">
      <c r="Y1033" s="332"/>
      <c r="Z1033" s="332"/>
      <c r="AA1033" s="332"/>
      <c r="AB1033" s="332"/>
      <c r="AC1033" s="332"/>
      <c r="AD1033" s="332"/>
      <c r="AE1033" s="332"/>
      <c r="AF1033" s="332"/>
      <c r="AG1033" s="332"/>
      <c r="AH1033" s="332"/>
      <c r="AI1033" s="332"/>
      <c r="AJ1033" s="332"/>
      <c r="AK1033" s="332"/>
      <c r="AL1033" s="332"/>
      <c r="AM1033" s="332"/>
      <c r="AN1033" s="332"/>
      <c r="AO1033" s="332"/>
      <c r="AP1033" s="332"/>
      <c r="AQ1033" s="332"/>
      <c r="AR1033" s="332"/>
      <c r="AS1033" s="332"/>
      <c r="AT1033" s="332"/>
      <c r="AU1033" s="332"/>
      <c r="AV1033" s="332"/>
      <c r="AW1033" s="332"/>
      <c r="AX1033" s="332"/>
      <c r="AY1033" s="332"/>
      <c r="AZ1033" s="332"/>
      <c r="BA1033" s="332"/>
      <c r="BB1033" s="332"/>
      <c r="BC1033" s="332"/>
      <c r="BD1033" s="332"/>
      <c r="BE1033" s="332"/>
      <c r="BF1033" s="332"/>
      <c r="BG1033" s="332"/>
      <c r="BH1033" s="332"/>
      <c r="BI1033" s="332"/>
      <c r="BJ1033" s="332"/>
      <c r="BK1033" s="332"/>
      <c r="BL1033" s="332"/>
      <c r="BM1033" s="332"/>
      <c r="BN1033" s="332"/>
      <c r="BO1033" s="332"/>
      <c r="BP1033" s="332"/>
      <c r="BQ1033" s="332"/>
      <c r="BR1033" s="332"/>
      <c r="BS1033" s="332"/>
      <c r="BT1033" s="332"/>
      <c r="BU1033" s="332"/>
      <c r="BV1033" s="332"/>
      <c r="BW1033" s="332"/>
      <c r="BX1033" s="332"/>
      <c r="BY1033" s="332"/>
      <c r="BZ1033" s="332"/>
      <c r="CA1033" s="332"/>
      <c r="CB1033" s="332"/>
      <c r="CC1033" s="332"/>
      <c r="CD1033" s="332"/>
      <c r="CE1033" s="332"/>
      <c r="CF1033" s="332"/>
      <c r="CG1033" s="332"/>
      <c r="CH1033" s="332"/>
      <c r="CI1033" s="332"/>
      <c r="CJ1033" s="332"/>
      <c r="CK1033" s="332"/>
      <c r="CL1033" s="332"/>
      <c r="CM1033" s="332"/>
      <c r="CN1033" s="332"/>
      <c r="CO1033" s="332"/>
      <c r="CP1033" s="332"/>
      <c r="CQ1033" s="332"/>
      <c r="CR1033" s="332"/>
      <c r="CS1033" s="332"/>
      <c r="CT1033" s="332"/>
      <c r="CU1033" s="332"/>
      <c r="CV1033" s="332"/>
      <c r="CW1033" s="332"/>
      <c r="CX1033" s="332"/>
      <c r="CY1033" s="332"/>
      <c r="CZ1033" s="332"/>
      <c r="DA1033" s="332"/>
      <c r="DB1033" s="332"/>
      <c r="DC1033" s="332"/>
      <c r="DD1033" s="332"/>
      <c r="DE1033" s="332"/>
      <c r="DF1033" s="332"/>
      <c r="DG1033" s="332"/>
      <c r="DH1033" s="332"/>
      <c r="DI1033" s="332"/>
      <c r="DJ1033" s="332"/>
      <c r="DK1033" s="332"/>
      <c r="DL1033" s="332"/>
      <c r="DM1033" s="332"/>
      <c r="DN1033" s="332"/>
      <c r="DO1033" s="332"/>
      <c r="DP1033" s="332"/>
      <c r="DQ1033" s="332"/>
      <c r="DR1033" s="332"/>
      <c r="DS1033" s="332"/>
      <c r="DT1033" s="332"/>
      <c r="DU1033" s="453"/>
      <c r="DV1033" s="453"/>
      <c r="DW1033" s="453"/>
      <c r="DX1033" s="453"/>
      <c r="DY1033" s="453"/>
      <c r="DZ1033" s="453"/>
      <c r="EA1033" s="453"/>
      <c r="EB1033" s="453"/>
      <c r="EC1033" s="453"/>
      <c r="ED1033" s="453"/>
      <c r="EE1033" s="453"/>
      <c r="EF1033" s="453"/>
      <c r="EG1033" s="453"/>
      <c r="EH1033" s="453"/>
      <c r="EI1033" s="453"/>
      <c r="EJ1033" s="453"/>
      <c r="EK1033" s="453"/>
      <c r="EL1033" s="453"/>
      <c r="EM1033" s="483">
        <f t="shared" si="246"/>
        <v>724</v>
      </c>
      <c r="EN1033" s="485"/>
      <c r="EO1033" s="458"/>
      <c r="EP1033" s="467"/>
      <c r="EQ1033" s="457"/>
      <c r="ER1033" s="808"/>
      <c r="ES1033" s="881">
        <f t="shared" si="247"/>
        <v>0</v>
      </c>
      <c r="ET1033" s="882"/>
      <c r="EU1033" s="883"/>
      <c r="EV1033" s="884">
        <f t="shared" si="248"/>
        <v>0</v>
      </c>
      <c r="EW1033" s="885"/>
      <c r="EX1033" s="885"/>
      <c r="EY1033" s="885"/>
      <c r="EZ1033" s="885"/>
      <c r="FA1033" s="885"/>
      <c r="FB1033" s="885"/>
      <c r="FC1033" s="885"/>
      <c r="FD1033" s="886"/>
      <c r="FE1033" s="551"/>
      <c r="FF1033" s="551"/>
      <c r="FG1033" s="551"/>
      <c r="FH1033" s="551"/>
      <c r="FI1033" s="551"/>
      <c r="FJ1033" s="551"/>
      <c r="FK1033" s="551"/>
      <c r="FL1033" s="555"/>
      <c r="FM1033" s="554"/>
      <c r="FN1033" s="554"/>
      <c r="FO1033" s="554"/>
      <c r="FP1033" s="554"/>
      <c r="FQ1033" s="554"/>
      <c r="FR1033" s="554"/>
      <c r="FS1033" s="554"/>
      <c r="FT1033" s="554"/>
      <c r="FU1033" s="554"/>
      <c r="FV1033" s="554"/>
      <c r="FW1033" s="554"/>
      <c r="FX1033" s="554"/>
      <c r="FY1033" s="554"/>
      <c r="FZ1033" s="554"/>
      <c r="GA1033" s="554"/>
      <c r="GB1033" s="556"/>
      <c r="GC1033" s="370"/>
      <c r="GD1033" s="453"/>
      <c r="GE1033" s="453"/>
      <c r="GF1033" s="453"/>
      <c r="GG1033" s="453"/>
      <c r="GH1033" s="454"/>
      <c r="GI1033" s="453"/>
      <c r="GJ1033" s="453"/>
      <c r="GK1033" s="453"/>
      <c r="GL1033" s="453"/>
      <c r="GM1033" s="453"/>
      <c r="GN1033" s="453"/>
      <c r="GO1033" s="453"/>
      <c r="GP1033" s="453"/>
      <c r="GQ1033" s="453"/>
      <c r="GR1033" s="453"/>
      <c r="GS1033" s="561"/>
      <c r="GT1033" s="475"/>
      <c r="GU1033" s="472"/>
      <c r="GV1033" s="453"/>
      <c r="GW1033" s="453"/>
      <c r="GX1033" s="869"/>
      <c r="GY1033" s="870"/>
      <c r="GZ1033" s="867"/>
      <c r="HA1033" s="868"/>
      <c r="HB1033" s="473"/>
      <c r="HC1033" s="869"/>
      <c r="HD1033" s="870"/>
      <c r="HE1033" s="867"/>
      <c r="HF1033" s="868"/>
      <c r="HG1033" s="473"/>
      <c r="HH1033" s="867"/>
      <c r="HI1033" s="868"/>
      <c r="HJ1033" s="867"/>
      <c r="HK1033" s="868"/>
      <c r="HL1033" s="370"/>
      <c r="HM1033" s="865"/>
      <c r="HN1033" s="866"/>
      <c r="HO1033" s="865"/>
      <c r="HP1033" s="866"/>
      <c r="HQ1033" s="865"/>
      <c r="HR1033" s="866"/>
      <c r="HS1033" s="867"/>
      <c r="HT1033" s="868"/>
      <c r="HU1033" s="489"/>
      <c r="HV1033" s="865"/>
      <c r="HW1033" s="866"/>
    </row>
    <row r="1034" spans="25:231" ht="15" customHeight="1">
      <c r="Y1034" s="332"/>
      <c r="Z1034" s="332"/>
      <c r="AA1034" s="332"/>
      <c r="AB1034" s="332"/>
      <c r="AC1034" s="332"/>
      <c r="AD1034" s="332"/>
      <c r="AE1034" s="332"/>
      <c r="AF1034" s="332"/>
      <c r="AG1034" s="332"/>
      <c r="AH1034" s="332"/>
      <c r="AI1034" s="332"/>
      <c r="AJ1034" s="332"/>
      <c r="AK1034" s="332"/>
      <c r="AL1034" s="332"/>
      <c r="AM1034" s="332"/>
      <c r="AN1034" s="332"/>
      <c r="AO1034" s="332"/>
      <c r="AP1034" s="332"/>
      <c r="AQ1034" s="332"/>
      <c r="AR1034" s="332"/>
      <c r="AS1034" s="332"/>
      <c r="AT1034" s="332"/>
      <c r="AU1034" s="332"/>
      <c r="AV1034" s="332"/>
      <c r="AW1034" s="332"/>
      <c r="AX1034" s="332"/>
      <c r="AY1034" s="332"/>
      <c r="AZ1034" s="332"/>
      <c r="BA1034" s="332"/>
      <c r="BB1034" s="332"/>
      <c r="BC1034" s="332"/>
      <c r="BD1034" s="332"/>
      <c r="BE1034" s="332"/>
      <c r="BF1034" s="332"/>
      <c r="BG1034" s="332"/>
      <c r="BH1034" s="332"/>
      <c r="BI1034" s="332"/>
      <c r="BJ1034" s="332"/>
      <c r="BK1034" s="332"/>
      <c r="BL1034" s="332"/>
      <c r="BM1034" s="332"/>
      <c r="BN1034" s="332"/>
      <c r="BO1034" s="332"/>
      <c r="BP1034" s="332"/>
      <c r="BQ1034" s="332"/>
      <c r="BR1034" s="332"/>
      <c r="BS1034" s="332"/>
      <c r="BT1034" s="332"/>
      <c r="BU1034" s="332"/>
      <c r="BV1034" s="332"/>
      <c r="BW1034" s="332"/>
      <c r="BX1034" s="332"/>
      <c r="BY1034" s="332"/>
      <c r="BZ1034" s="332"/>
      <c r="CA1034" s="332"/>
      <c r="CB1034" s="332"/>
      <c r="CC1034" s="332"/>
      <c r="CD1034" s="332"/>
      <c r="CE1034" s="332"/>
      <c r="CF1034" s="332"/>
      <c r="CG1034" s="332"/>
      <c r="CH1034" s="332"/>
      <c r="CI1034" s="332"/>
      <c r="CJ1034" s="332"/>
      <c r="CK1034" s="332"/>
      <c r="CL1034" s="332"/>
      <c r="CM1034" s="332"/>
      <c r="CN1034" s="332"/>
      <c r="CO1034" s="332"/>
      <c r="CP1034" s="332"/>
      <c r="CQ1034" s="332"/>
      <c r="CR1034" s="332"/>
      <c r="CS1034" s="332"/>
      <c r="CT1034" s="332"/>
      <c r="CU1034" s="332"/>
      <c r="CV1034" s="332"/>
      <c r="CW1034" s="332"/>
      <c r="CX1034" s="332"/>
      <c r="CY1034" s="332"/>
      <c r="CZ1034" s="332"/>
      <c r="DA1034" s="332"/>
      <c r="DB1034" s="332"/>
      <c r="DC1034" s="332"/>
      <c r="DD1034" s="332"/>
      <c r="DE1034" s="332"/>
      <c r="DF1034" s="332"/>
      <c r="DG1034" s="332"/>
      <c r="DH1034" s="332"/>
      <c r="DI1034" s="332"/>
      <c r="DJ1034" s="332"/>
      <c r="DK1034" s="332"/>
      <c r="DL1034" s="332"/>
      <c r="DM1034" s="332"/>
      <c r="DN1034" s="332"/>
      <c r="DO1034" s="332"/>
      <c r="DP1034" s="332"/>
      <c r="DQ1034" s="332"/>
      <c r="DR1034" s="332"/>
      <c r="DS1034" s="332"/>
      <c r="DT1034" s="332"/>
      <c r="DU1034" s="453"/>
      <c r="DV1034" s="453"/>
      <c r="DW1034" s="453"/>
      <c r="DX1034" s="453"/>
      <c r="DY1034" s="453"/>
      <c r="DZ1034" s="453"/>
      <c r="EA1034" s="453"/>
      <c r="EB1034" s="453"/>
      <c r="EC1034" s="453"/>
      <c r="ED1034" s="453"/>
      <c r="EE1034" s="453"/>
      <c r="EF1034" s="453"/>
      <c r="EG1034" s="453"/>
      <c r="EH1034" s="453"/>
      <c r="EI1034" s="453"/>
      <c r="EJ1034" s="453"/>
      <c r="EK1034" s="453"/>
      <c r="EL1034" s="453"/>
      <c r="EM1034" s="483">
        <f t="shared" si="246"/>
        <v>725</v>
      </c>
      <c r="EN1034" s="485"/>
      <c r="EO1034" s="458"/>
      <c r="EP1034" s="467"/>
      <c r="EQ1034" s="457"/>
      <c r="ER1034" s="808"/>
      <c r="ES1034" s="881">
        <f t="shared" si="247"/>
        <v>0</v>
      </c>
      <c r="ET1034" s="882"/>
      <c r="EU1034" s="883"/>
      <c r="EV1034" s="884">
        <f t="shared" si="248"/>
        <v>0</v>
      </c>
      <c r="EW1034" s="885"/>
      <c r="EX1034" s="885"/>
      <c r="EY1034" s="885"/>
      <c r="EZ1034" s="885"/>
      <c r="FA1034" s="885"/>
      <c r="FB1034" s="885"/>
      <c r="FC1034" s="885"/>
      <c r="FD1034" s="886"/>
      <c r="FE1034" s="551"/>
      <c r="FF1034" s="551"/>
      <c r="FG1034" s="551"/>
      <c r="FH1034" s="551"/>
      <c r="FI1034" s="551"/>
      <c r="FJ1034" s="551"/>
      <c r="FK1034" s="551"/>
      <c r="FL1034" s="555"/>
      <c r="FM1034" s="554"/>
      <c r="FN1034" s="554"/>
      <c r="FO1034" s="554"/>
      <c r="FP1034" s="554"/>
      <c r="FQ1034" s="554"/>
      <c r="FR1034" s="554"/>
      <c r="FS1034" s="554"/>
      <c r="FT1034" s="554"/>
      <c r="FU1034" s="554"/>
      <c r="FV1034" s="554"/>
      <c r="FW1034" s="554"/>
      <c r="FX1034" s="554"/>
      <c r="FY1034" s="554"/>
      <c r="FZ1034" s="554"/>
      <c r="GA1034" s="554"/>
      <c r="GB1034" s="556"/>
      <c r="GC1034" s="370"/>
      <c r="GD1034" s="453"/>
      <c r="GE1034" s="453"/>
      <c r="GF1034" s="453"/>
      <c r="GG1034" s="453"/>
      <c r="GH1034" s="454"/>
      <c r="GI1034" s="453"/>
      <c r="GJ1034" s="453"/>
      <c r="GK1034" s="453"/>
      <c r="GL1034" s="453"/>
      <c r="GM1034" s="453"/>
      <c r="GN1034" s="453"/>
      <c r="GO1034" s="453"/>
      <c r="GP1034" s="453"/>
      <c r="GQ1034" s="453"/>
      <c r="GR1034" s="453"/>
      <c r="GS1034" s="561"/>
      <c r="GT1034" s="475"/>
      <c r="GU1034" s="472"/>
      <c r="GV1034" s="453"/>
      <c r="GW1034" s="453"/>
      <c r="GX1034" s="869"/>
      <c r="GY1034" s="870"/>
      <c r="GZ1034" s="867"/>
      <c r="HA1034" s="868"/>
      <c r="HB1034" s="473"/>
      <c r="HC1034" s="869"/>
      <c r="HD1034" s="870"/>
      <c r="HE1034" s="867"/>
      <c r="HF1034" s="868"/>
      <c r="HG1034" s="473"/>
      <c r="HH1034" s="867"/>
      <c r="HI1034" s="868"/>
      <c r="HJ1034" s="867"/>
      <c r="HK1034" s="868"/>
      <c r="HL1034" s="370"/>
      <c r="HM1034" s="865"/>
      <c r="HN1034" s="866"/>
      <c r="HO1034" s="865"/>
      <c r="HP1034" s="866"/>
      <c r="HQ1034" s="865"/>
      <c r="HR1034" s="866"/>
      <c r="HS1034" s="867"/>
      <c r="HT1034" s="868"/>
      <c r="HU1034" s="489"/>
      <c r="HV1034" s="865"/>
      <c r="HW1034" s="866"/>
    </row>
    <row r="1035" spans="25:231" ht="15" customHeight="1">
      <c r="Y1035" s="332"/>
      <c r="Z1035" s="332"/>
      <c r="AA1035" s="332"/>
      <c r="AB1035" s="332"/>
      <c r="AC1035" s="332"/>
      <c r="AD1035" s="332"/>
      <c r="AE1035" s="332"/>
      <c r="AF1035" s="332"/>
      <c r="AG1035" s="332"/>
      <c r="AH1035" s="332"/>
      <c r="AI1035" s="332"/>
      <c r="AJ1035" s="332"/>
      <c r="AK1035" s="332"/>
      <c r="AL1035" s="332"/>
      <c r="AM1035" s="332"/>
      <c r="AN1035" s="332"/>
      <c r="AO1035" s="332"/>
      <c r="AP1035" s="332"/>
      <c r="AQ1035" s="332"/>
      <c r="AR1035" s="332"/>
      <c r="AS1035" s="332"/>
      <c r="AT1035" s="332"/>
      <c r="AU1035" s="332"/>
      <c r="AV1035" s="332"/>
      <c r="AW1035" s="332"/>
      <c r="AX1035" s="332"/>
      <c r="AY1035" s="332"/>
      <c r="AZ1035" s="332"/>
      <c r="BA1035" s="332"/>
      <c r="BB1035" s="332"/>
      <c r="BC1035" s="332"/>
      <c r="BD1035" s="332"/>
      <c r="BE1035" s="332"/>
      <c r="BF1035" s="332"/>
      <c r="BG1035" s="332"/>
      <c r="BH1035" s="332"/>
      <c r="BI1035" s="332"/>
      <c r="BJ1035" s="332"/>
      <c r="BK1035" s="332"/>
      <c r="BL1035" s="332"/>
      <c r="BM1035" s="332"/>
      <c r="BN1035" s="332"/>
      <c r="BO1035" s="332"/>
      <c r="BP1035" s="332"/>
      <c r="BQ1035" s="332"/>
      <c r="BR1035" s="332"/>
      <c r="BS1035" s="332"/>
      <c r="BT1035" s="332"/>
      <c r="BU1035" s="332"/>
      <c r="BV1035" s="332"/>
      <c r="BW1035" s="332"/>
      <c r="BX1035" s="332"/>
      <c r="BY1035" s="332"/>
      <c r="BZ1035" s="332"/>
      <c r="CA1035" s="332"/>
      <c r="CB1035" s="332"/>
      <c r="CC1035" s="332"/>
      <c r="CD1035" s="332"/>
      <c r="CE1035" s="332"/>
      <c r="CF1035" s="332"/>
      <c r="CG1035" s="332"/>
      <c r="CH1035" s="332"/>
      <c r="CI1035" s="332"/>
      <c r="CJ1035" s="332"/>
      <c r="CK1035" s="332"/>
      <c r="CL1035" s="332"/>
      <c r="CM1035" s="332"/>
      <c r="CN1035" s="332"/>
      <c r="CO1035" s="332"/>
      <c r="CP1035" s="332"/>
      <c r="CQ1035" s="332"/>
      <c r="CR1035" s="332"/>
      <c r="CS1035" s="332"/>
      <c r="CT1035" s="332"/>
      <c r="CU1035" s="332"/>
      <c r="CV1035" s="332"/>
      <c r="CW1035" s="332"/>
      <c r="CX1035" s="332"/>
      <c r="CY1035" s="332"/>
      <c r="CZ1035" s="332"/>
      <c r="DA1035" s="332"/>
      <c r="DB1035" s="332"/>
      <c r="DC1035" s="332"/>
      <c r="DD1035" s="332"/>
      <c r="DE1035" s="332"/>
      <c r="DF1035" s="332"/>
      <c r="DG1035" s="332"/>
      <c r="DH1035" s="332"/>
      <c r="DI1035" s="332"/>
      <c r="DJ1035" s="332"/>
      <c r="DK1035" s="332"/>
      <c r="DL1035" s="332"/>
      <c r="DM1035" s="332"/>
      <c r="DN1035" s="332"/>
      <c r="DO1035" s="332"/>
      <c r="DP1035" s="332"/>
      <c r="DQ1035" s="332"/>
      <c r="DR1035" s="332"/>
      <c r="DS1035" s="332"/>
      <c r="DT1035" s="332"/>
      <c r="DU1035" s="453"/>
      <c r="DV1035" s="453"/>
      <c r="DW1035" s="453"/>
      <c r="DX1035" s="453"/>
      <c r="DY1035" s="453"/>
      <c r="DZ1035" s="453"/>
      <c r="EA1035" s="453"/>
      <c r="EB1035" s="453"/>
      <c r="EC1035" s="453"/>
      <c r="ED1035" s="453"/>
      <c r="EE1035" s="453"/>
      <c r="EF1035" s="453"/>
      <c r="EG1035" s="453"/>
      <c r="EH1035" s="453"/>
      <c r="EI1035" s="453"/>
      <c r="EJ1035" s="453"/>
      <c r="EK1035" s="453"/>
      <c r="EL1035" s="453"/>
      <c r="EM1035" s="483">
        <f t="shared" si="246"/>
        <v>726</v>
      </c>
      <c r="EN1035" s="485"/>
      <c r="EO1035" s="458"/>
      <c r="EP1035" s="467"/>
      <c r="EQ1035" s="457"/>
      <c r="ER1035" s="808"/>
      <c r="ES1035" s="881">
        <f t="shared" si="247"/>
        <v>0</v>
      </c>
      <c r="ET1035" s="882"/>
      <c r="EU1035" s="883"/>
      <c r="EV1035" s="884">
        <f t="shared" si="248"/>
        <v>0</v>
      </c>
      <c r="EW1035" s="885"/>
      <c r="EX1035" s="885"/>
      <c r="EY1035" s="885"/>
      <c r="EZ1035" s="885"/>
      <c r="FA1035" s="885"/>
      <c r="FB1035" s="885"/>
      <c r="FC1035" s="885"/>
      <c r="FD1035" s="886"/>
      <c r="FE1035" s="551"/>
      <c r="FF1035" s="551"/>
      <c r="FG1035" s="551"/>
      <c r="FH1035" s="551"/>
      <c r="FI1035" s="551"/>
      <c r="FJ1035" s="551"/>
      <c r="FK1035" s="551"/>
      <c r="FL1035" s="555"/>
      <c r="FM1035" s="554"/>
      <c r="FN1035" s="554"/>
      <c r="FO1035" s="554"/>
      <c r="FP1035" s="554"/>
      <c r="FQ1035" s="554"/>
      <c r="FR1035" s="554"/>
      <c r="FS1035" s="554"/>
      <c r="FT1035" s="554"/>
      <c r="FU1035" s="554"/>
      <c r="FV1035" s="554"/>
      <c r="FW1035" s="554"/>
      <c r="FX1035" s="554"/>
      <c r="FY1035" s="554"/>
      <c r="FZ1035" s="554"/>
      <c r="GA1035" s="554"/>
      <c r="GB1035" s="556"/>
      <c r="GC1035" s="370"/>
      <c r="GD1035" s="453"/>
      <c r="GE1035" s="453"/>
      <c r="GF1035" s="453"/>
      <c r="GG1035" s="453"/>
      <c r="GH1035" s="454"/>
      <c r="GI1035" s="453"/>
      <c r="GJ1035" s="453"/>
      <c r="GK1035" s="453"/>
      <c r="GL1035" s="453"/>
      <c r="GM1035" s="453"/>
      <c r="GN1035" s="453"/>
      <c r="GO1035" s="453"/>
      <c r="GP1035" s="453"/>
      <c r="GQ1035" s="453"/>
      <c r="GR1035" s="453"/>
      <c r="GS1035" s="561"/>
      <c r="GT1035" s="475"/>
      <c r="GU1035" s="472"/>
      <c r="GV1035" s="453"/>
      <c r="GW1035" s="453"/>
      <c r="GX1035" s="869"/>
      <c r="GY1035" s="870"/>
      <c r="GZ1035" s="867"/>
      <c r="HA1035" s="868"/>
      <c r="HB1035" s="473"/>
      <c r="HC1035" s="869"/>
      <c r="HD1035" s="870"/>
      <c r="HE1035" s="867"/>
      <c r="HF1035" s="868"/>
      <c r="HG1035" s="473"/>
      <c r="HH1035" s="867"/>
      <c r="HI1035" s="868"/>
      <c r="HJ1035" s="867"/>
      <c r="HK1035" s="868"/>
      <c r="HL1035" s="370"/>
      <c r="HM1035" s="865"/>
      <c r="HN1035" s="866"/>
      <c r="HO1035" s="865"/>
      <c r="HP1035" s="866"/>
      <c r="HQ1035" s="865"/>
      <c r="HR1035" s="866"/>
      <c r="HS1035" s="867"/>
      <c r="HT1035" s="868"/>
      <c r="HU1035" s="489"/>
      <c r="HV1035" s="865"/>
      <c r="HW1035" s="866"/>
    </row>
    <row r="1036" spans="25:231" ht="15" customHeight="1">
      <c r="Y1036" s="332"/>
      <c r="Z1036" s="332"/>
      <c r="AA1036" s="332"/>
      <c r="AB1036" s="332"/>
      <c r="AC1036" s="332"/>
      <c r="AD1036" s="332"/>
      <c r="AE1036" s="332"/>
      <c r="AF1036" s="332"/>
      <c r="AG1036" s="332"/>
      <c r="AH1036" s="332"/>
      <c r="AI1036" s="332"/>
      <c r="AJ1036" s="332"/>
      <c r="AK1036" s="332"/>
      <c r="AL1036" s="332"/>
      <c r="AM1036" s="332"/>
      <c r="AN1036" s="332"/>
      <c r="AO1036" s="332"/>
      <c r="AP1036" s="332"/>
      <c r="AQ1036" s="332"/>
      <c r="AR1036" s="332"/>
      <c r="AS1036" s="332"/>
      <c r="AT1036" s="332"/>
      <c r="AU1036" s="332"/>
      <c r="AV1036" s="332"/>
      <c r="AW1036" s="332"/>
      <c r="AX1036" s="332"/>
      <c r="AY1036" s="332"/>
      <c r="AZ1036" s="332"/>
      <c r="BA1036" s="332"/>
      <c r="BB1036" s="332"/>
      <c r="BC1036" s="332"/>
      <c r="BD1036" s="332"/>
      <c r="BE1036" s="332"/>
      <c r="BF1036" s="332"/>
      <c r="BG1036" s="332"/>
      <c r="BH1036" s="332"/>
      <c r="BI1036" s="332"/>
      <c r="BJ1036" s="332"/>
      <c r="BK1036" s="332"/>
      <c r="BL1036" s="332"/>
      <c r="BM1036" s="332"/>
      <c r="BN1036" s="332"/>
      <c r="BO1036" s="332"/>
      <c r="BP1036" s="332"/>
      <c r="BQ1036" s="332"/>
      <c r="BR1036" s="332"/>
      <c r="BS1036" s="332"/>
      <c r="BT1036" s="332"/>
      <c r="BU1036" s="332"/>
      <c r="BV1036" s="332"/>
      <c r="BW1036" s="332"/>
      <c r="BX1036" s="332"/>
      <c r="BY1036" s="332"/>
      <c r="BZ1036" s="332"/>
      <c r="CA1036" s="332"/>
      <c r="CB1036" s="332"/>
      <c r="CC1036" s="332"/>
      <c r="CD1036" s="332"/>
      <c r="CE1036" s="332"/>
      <c r="CF1036" s="332"/>
      <c r="CG1036" s="332"/>
      <c r="CH1036" s="332"/>
      <c r="CI1036" s="332"/>
      <c r="CJ1036" s="332"/>
      <c r="CK1036" s="332"/>
      <c r="CL1036" s="332"/>
      <c r="CM1036" s="332"/>
      <c r="CN1036" s="332"/>
      <c r="CO1036" s="332"/>
      <c r="CP1036" s="332"/>
      <c r="CQ1036" s="332"/>
      <c r="CR1036" s="332"/>
      <c r="CS1036" s="332"/>
      <c r="CT1036" s="332"/>
      <c r="CU1036" s="332"/>
      <c r="CV1036" s="332"/>
      <c r="CW1036" s="332"/>
      <c r="CX1036" s="332"/>
      <c r="CY1036" s="332"/>
      <c r="CZ1036" s="332"/>
      <c r="DA1036" s="332"/>
      <c r="DB1036" s="332"/>
      <c r="DC1036" s="332"/>
      <c r="DD1036" s="332"/>
      <c r="DE1036" s="332"/>
      <c r="DF1036" s="332"/>
      <c r="DG1036" s="332"/>
      <c r="DH1036" s="332"/>
      <c r="DI1036" s="332"/>
      <c r="DJ1036" s="332"/>
      <c r="DK1036" s="332"/>
      <c r="DL1036" s="332"/>
      <c r="DM1036" s="332"/>
      <c r="DN1036" s="332"/>
      <c r="DO1036" s="332"/>
      <c r="DP1036" s="332"/>
      <c r="DQ1036" s="332"/>
      <c r="DR1036" s="332"/>
      <c r="DS1036" s="332"/>
      <c r="DT1036" s="332"/>
      <c r="DU1036" s="453"/>
      <c r="DV1036" s="453"/>
      <c r="DW1036" s="453"/>
      <c r="DX1036" s="453"/>
      <c r="DY1036" s="453"/>
      <c r="DZ1036" s="453"/>
      <c r="EA1036" s="453"/>
      <c r="EB1036" s="453"/>
      <c r="EC1036" s="453"/>
      <c r="ED1036" s="453"/>
      <c r="EE1036" s="453"/>
      <c r="EF1036" s="453"/>
      <c r="EG1036" s="453"/>
      <c r="EH1036" s="453"/>
      <c r="EI1036" s="453"/>
      <c r="EJ1036" s="453"/>
      <c r="EK1036" s="453"/>
      <c r="EL1036" s="453"/>
      <c r="EM1036" s="483">
        <f t="shared" si="246"/>
        <v>727</v>
      </c>
      <c r="EN1036" s="485"/>
      <c r="EO1036" s="458"/>
      <c r="EP1036" s="467"/>
      <c r="EQ1036" s="457"/>
      <c r="ER1036" s="808"/>
      <c r="ES1036" s="881">
        <f t="shared" si="247"/>
        <v>0</v>
      </c>
      <c r="ET1036" s="882"/>
      <c r="EU1036" s="883"/>
      <c r="EV1036" s="884">
        <f t="shared" si="248"/>
        <v>0</v>
      </c>
      <c r="EW1036" s="885"/>
      <c r="EX1036" s="885"/>
      <c r="EY1036" s="885"/>
      <c r="EZ1036" s="885"/>
      <c r="FA1036" s="885"/>
      <c r="FB1036" s="885"/>
      <c r="FC1036" s="885"/>
      <c r="FD1036" s="886"/>
      <c r="FE1036" s="551"/>
      <c r="FF1036" s="551"/>
      <c r="FG1036" s="551"/>
      <c r="FH1036" s="551"/>
      <c r="FI1036" s="551"/>
      <c r="FJ1036" s="551"/>
      <c r="FK1036" s="551"/>
      <c r="FL1036" s="555"/>
      <c r="FM1036" s="554"/>
      <c r="FN1036" s="554"/>
      <c r="FO1036" s="554"/>
      <c r="FP1036" s="554"/>
      <c r="FQ1036" s="554"/>
      <c r="FR1036" s="554"/>
      <c r="FS1036" s="554"/>
      <c r="FT1036" s="554"/>
      <c r="FU1036" s="554"/>
      <c r="FV1036" s="554"/>
      <c r="FW1036" s="554"/>
      <c r="FX1036" s="554"/>
      <c r="FY1036" s="554"/>
      <c r="FZ1036" s="554"/>
      <c r="GA1036" s="554"/>
      <c r="GB1036" s="556"/>
      <c r="GC1036" s="370"/>
      <c r="GD1036" s="453"/>
      <c r="GE1036" s="453"/>
      <c r="GF1036" s="453"/>
      <c r="GG1036" s="453"/>
      <c r="GH1036" s="454"/>
      <c r="GI1036" s="453"/>
      <c r="GJ1036" s="453"/>
      <c r="GK1036" s="453"/>
      <c r="GL1036" s="453"/>
      <c r="GM1036" s="453"/>
      <c r="GN1036" s="453"/>
      <c r="GO1036" s="453"/>
      <c r="GP1036" s="453"/>
      <c r="GQ1036" s="453"/>
      <c r="GR1036" s="453"/>
      <c r="GS1036" s="561"/>
      <c r="GT1036" s="475"/>
      <c r="GU1036" s="472"/>
      <c r="GV1036" s="453"/>
      <c r="GW1036" s="453"/>
      <c r="GX1036" s="869"/>
      <c r="GY1036" s="870"/>
      <c r="GZ1036" s="867"/>
      <c r="HA1036" s="868"/>
      <c r="HB1036" s="473"/>
      <c r="HC1036" s="869"/>
      <c r="HD1036" s="870"/>
      <c r="HE1036" s="867"/>
      <c r="HF1036" s="868"/>
      <c r="HG1036" s="473"/>
      <c r="HH1036" s="867"/>
      <c r="HI1036" s="868"/>
      <c r="HJ1036" s="867"/>
      <c r="HK1036" s="868"/>
      <c r="HL1036" s="370"/>
      <c r="HM1036" s="865"/>
      <c r="HN1036" s="866"/>
      <c r="HO1036" s="865"/>
      <c r="HP1036" s="866"/>
      <c r="HQ1036" s="865"/>
      <c r="HR1036" s="866"/>
      <c r="HS1036" s="867"/>
      <c r="HT1036" s="868"/>
      <c r="HU1036" s="489"/>
      <c r="HV1036" s="865"/>
      <c r="HW1036" s="866"/>
    </row>
    <row r="1037" spans="25:231" ht="15" customHeight="1">
      <c r="Y1037" s="332"/>
      <c r="Z1037" s="332"/>
      <c r="AA1037" s="332"/>
      <c r="AB1037" s="332"/>
      <c r="AC1037" s="332"/>
      <c r="AD1037" s="332"/>
      <c r="AE1037" s="332"/>
      <c r="AF1037" s="332"/>
      <c r="AG1037" s="332"/>
      <c r="AH1037" s="332"/>
      <c r="AI1037" s="332"/>
      <c r="AJ1037" s="332"/>
      <c r="AK1037" s="332"/>
      <c r="AL1037" s="332"/>
      <c r="AM1037" s="332"/>
      <c r="AN1037" s="332"/>
      <c r="AO1037" s="332"/>
      <c r="AP1037" s="332"/>
      <c r="AQ1037" s="332"/>
      <c r="AR1037" s="332"/>
      <c r="AS1037" s="332"/>
      <c r="AT1037" s="332"/>
      <c r="AU1037" s="332"/>
      <c r="AV1037" s="332"/>
      <c r="AW1037" s="332"/>
      <c r="AX1037" s="332"/>
      <c r="AY1037" s="332"/>
      <c r="AZ1037" s="332"/>
      <c r="BA1037" s="332"/>
      <c r="BB1037" s="332"/>
      <c r="BC1037" s="332"/>
      <c r="BD1037" s="332"/>
      <c r="BE1037" s="332"/>
      <c r="BF1037" s="332"/>
      <c r="BG1037" s="332"/>
      <c r="BH1037" s="332"/>
      <c r="BI1037" s="332"/>
      <c r="BJ1037" s="332"/>
      <c r="BK1037" s="332"/>
      <c r="BL1037" s="332"/>
      <c r="BM1037" s="332"/>
      <c r="BN1037" s="332"/>
      <c r="BO1037" s="332"/>
      <c r="BP1037" s="332"/>
      <c r="BQ1037" s="332"/>
      <c r="BR1037" s="332"/>
      <c r="BS1037" s="332"/>
      <c r="BT1037" s="332"/>
      <c r="BU1037" s="332"/>
      <c r="BV1037" s="332"/>
      <c r="BW1037" s="332"/>
      <c r="BX1037" s="332"/>
      <c r="BY1037" s="332"/>
      <c r="BZ1037" s="332"/>
      <c r="CA1037" s="332"/>
      <c r="CB1037" s="332"/>
      <c r="CC1037" s="332"/>
      <c r="CD1037" s="332"/>
      <c r="CE1037" s="332"/>
      <c r="CF1037" s="332"/>
      <c r="CG1037" s="332"/>
      <c r="CH1037" s="332"/>
      <c r="CI1037" s="332"/>
      <c r="CJ1037" s="332"/>
      <c r="CK1037" s="332"/>
      <c r="CL1037" s="332"/>
      <c r="CM1037" s="332"/>
      <c r="CN1037" s="332"/>
      <c r="CO1037" s="332"/>
      <c r="CP1037" s="332"/>
      <c r="CQ1037" s="332"/>
      <c r="CR1037" s="332"/>
      <c r="CS1037" s="332"/>
      <c r="CT1037" s="332"/>
      <c r="CU1037" s="332"/>
      <c r="CV1037" s="332"/>
      <c r="CW1037" s="332"/>
      <c r="CX1037" s="332"/>
      <c r="CY1037" s="332"/>
      <c r="CZ1037" s="332"/>
      <c r="DA1037" s="332"/>
      <c r="DB1037" s="332"/>
      <c r="DC1037" s="332"/>
      <c r="DD1037" s="332"/>
      <c r="DE1037" s="332"/>
      <c r="DF1037" s="332"/>
      <c r="DG1037" s="332"/>
      <c r="DH1037" s="332"/>
      <c r="DI1037" s="332"/>
      <c r="DJ1037" s="332"/>
      <c r="DK1037" s="332"/>
      <c r="DL1037" s="332"/>
      <c r="DM1037" s="332"/>
      <c r="DN1037" s="332"/>
      <c r="DO1037" s="332"/>
      <c r="DP1037" s="332"/>
      <c r="DQ1037" s="332"/>
      <c r="DR1037" s="332"/>
      <c r="DS1037" s="332"/>
      <c r="DT1037" s="332"/>
      <c r="DU1037" s="453"/>
      <c r="DV1037" s="453"/>
      <c r="DW1037" s="453"/>
      <c r="DX1037" s="453"/>
      <c r="DY1037" s="453"/>
      <c r="DZ1037" s="453"/>
      <c r="EA1037" s="453"/>
      <c r="EB1037" s="453"/>
      <c r="EC1037" s="453"/>
      <c r="ED1037" s="453"/>
      <c r="EE1037" s="453"/>
      <c r="EF1037" s="453"/>
      <c r="EG1037" s="453"/>
      <c r="EH1037" s="453"/>
      <c r="EI1037" s="453"/>
      <c r="EJ1037" s="453"/>
      <c r="EK1037" s="453"/>
      <c r="EL1037" s="453"/>
      <c r="EM1037" s="483">
        <f t="shared" si="246"/>
        <v>728</v>
      </c>
      <c r="EN1037" s="485"/>
      <c r="EO1037" s="458"/>
      <c r="EP1037" s="467"/>
      <c r="EQ1037" s="457"/>
      <c r="ER1037" s="808"/>
      <c r="ES1037" s="881">
        <f t="shared" si="247"/>
        <v>0</v>
      </c>
      <c r="ET1037" s="882"/>
      <c r="EU1037" s="883"/>
      <c r="EV1037" s="884">
        <f t="shared" si="248"/>
        <v>0</v>
      </c>
      <c r="EW1037" s="885"/>
      <c r="EX1037" s="885"/>
      <c r="EY1037" s="885"/>
      <c r="EZ1037" s="885"/>
      <c r="FA1037" s="885"/>
      <c r="FB1037" s="885"/>
      <c r="FC1037" s="885"/>
      <c r="FD1037" s="886"/>
      <c r="FE1037" s="551"/>
      <c r="FF1037" s="551"/>
      <c r="FG1037" s="551"/>
      <c r="FH1037" s="551"/>
      <c r="FI1037" s="551"/>
      <c r="FJ1037" s="551"/>
      <c r="FK1037" s="551"/>
      <c r="FL1037" s="555"/>
      <c r="FM1037" s="554"/>
      <c r="FN1037" s="554"/>
      <c r="FO1037" s="554"/>
      <c r="FP1037" s="554"/>
      <c r="FQ1037" s="554"/>
      <c r="FR1037" s="554"/>
      <c r="FS1037" s="554"/>
      <c r="FT1037" s="554"/>
      <c r="FU1037" s="554"/>
      <c r="FV1037" s="554"/>
      <c r="FW1037" s="554"/>
      <c r="FX1037" s="554"/>
      <c r="FY1037" s="554"/>
      <c r="FZ1037" s="554"/>
      <c r="GA1037" s="554"/>
      <c r="GB1037" s="556"/>
      <c r="GC1037" s="370"/>
      <c r="GD1037" s="453"/>
      <c r="GE1037" s="453"/>
      <c r="GF1037" s="453"/>
      <c r="GG1037" s="453"/>
      <c r="GH1037" s="454"/>
      <c r="GI1037" s="453"/>
      <c r="GJ1037" s="453"/>
      <c r="GK1037" s="453"/>
      <c r="GL1037" s="453"/>
      <c r="GM1037" s="453"/>
      <c r="GN1037" s="453"/>
      <c r="GO1037" s="453"/>
      <c r="GP1037" s="453"/>
      <c r="GQ1037" s="453"/>
      <c r="GR1037" s="453"/>
      <c r="GS1037" s="561"/>
      <c r="GT1037" s="475"/>
      <c r="GU1037" s="472"/>
      <c r="GV1037" s="453"/>
      <c r="GW1037" s="453"/>
      <c r="GX1037" s="869"/>
      <c r="GY1037" s="870"/>
      <c r="GZ1037" s="867"/>
      <c r="HA1037" s="868"/>
      <c r="HB1037" s="473"/>
      <c r="HC1037" s="869"/>
      <c r="HD1037" s="870"/>
      <c r="HE1037" s="867"/>
      <c r="HF1037" s="868"/>
      <c r="HG1037" s="473"/>
      <c r="HH1037" s="867"/>
      <c r="HI1037" s="868"/>
      <c r="HJ1037" s="867"/>
      <c r="HK1037" s="868"/>
      <c r="HL1037" s="370"/>
      <c r="HM1037" s="865"/>
      <c r="HN1037" s="866"/>
      <c r="HO1037" s="865"/>
      <c r="HP1037" s="866"/>
      <c r="HQ1037" s="865"/>
      <c r="HR1037" s="866"/>
      <c r="HS1037" s="867"/>
      <c r="HT1037" s="868"/>
      <c r="HU1037" s="489"/>
      <c r="HV1037" s="865"/>
      <c r="HW1037" s="866"/>
    </row>
    <row r="1038" spans="25:231" ht="15" customHeight="1">
      <c r="Y1038" s="332"/>
      <c r="Z1038" s="332"/>
      <c r="AA1038" s="332"/>
      <c r="AB1038" s="332"/>
      <c r="AC1038" s="332"/>
      <c r="AD1038" s="332"/>
      <c r="AE1038" s="332"/>
      <c r="AF1038" s="332"/>
      <c r="AG1038" s="332"/>
      <c r="AH1038" s="332"/>
      <c r="AI1038" s="332"/>
      <c r="AJ1038" s="332"/>
      <c r="AK1038" s="332"/>
      <c r="AL1038" s="332"/>
      <c r="AM1038" s="332"/>
      <c r="AN1038" s="332"/>
      <c r="AO1038" s="332"/>
      <c r="AP1038" s="332"/>
      <c r="AQ1038" s="332"/>
      <c r="AR1038" s="332"/>
      <c r="AS1038" s="332"/>
      <c r="AT1038" s="332"/>
      <c r="AU1038" s="332"/>
      <c r="AV1038" s="332"/>
      <c r="AW1038" s="332"/>
      <c r="AX1038" s="332"/>
      <c r="AY1038" s="332"/>
      <c r="AZ1038" s="332"/>
      <c r="BA1038" s="332"/>
      <c r="BB1038" s="332"/>
      <c r="BC1038" s="332"/>
      <c r="BD1038" s="332"/>
      <c r="BE1038" s="332"/>
      <c r="BF1038" s="332"/>
      <c r="BG1038" s="332"/>
      <c r="BH1038" s="332"/>
      <c r="BI1038" s="332"/>
      <c r="BJ1038" s="332"/>
      <c r="BK1038" s="332"/>
      <c r="BL1038" s="332"/>
      <c r="BM1038" s="332"/>
      <c r="BN1038" s="332"/>
      <c r="BO1038" s="332"/>
      <c r="BP1038" s="332"/>
      <c r="BQ1038" s="332"/>
      <c r="BR1038" s="332"/>
      <c r="BS1038" s="332"/>
      <c r="BT1038" s="332"/>
      <c r="BU1038" s="332"/>
      <c r="BV1038" s="332"/>
      <c r="BW1038" s="332"/>
      <c r="BX1038" s="332"/>
      <c r="BY1038" s="332"/>
      <c r="BZ1038" s="332"/>
      <c r="CA1038" s="332"/>
      <c r="CB1038" s="332"/>
      <c r="CC1038" s="332"/>
      <c r="CD1038" s="332"/>
      <c r="CE1038" s="332"/>
      <c r="CF1038" s="332"/>
      <c r="CG1038" s="332"/>
      <c r="CH1038" s="332"/>
      <c r="CI1038" s="332"/>
      <c r="CJ1038" s="332"/>
      <c r="CK1038" s="332"/>
      <c r="CL1038" s="332"/>
      <c r="CM1038" s="332"/>
      <c r="CN1038" s="332"/>
      <c r="CO1038" s="332"/>
      <c r="CP1038" s="332"/>
      <c r="CQ1038" s="332"/>
      <c r="CR1038" s="332"/>
      <c r="CS1038" s="332"/>
      <c r="CT1038" s="332"/>
      <c r="CU1038" s="332"/>
      <c r="CV1038" s="332"/>
      <c r="CW1038" s="332"/>
      <c r="CX1038" s="332"/>
      <c r="CY1038" s="332"/>
      <c r="CZ1038" s="332"/>
      <c r="DA1038" s="332"/>
      <c r="DB1038" s="332"/>
      <c r="DC1038" s="332"/>
      <c r="DD1038" s="332"/>
      <c r="DE1038" s="332"/>
      <c r="DF1038" s="332"/>
      <c r="DG1038" s="332"/>
      <c r="DH1038" s="332"/>
      <c r="DI1038" s="332"/>
      <c r="DJ1038" s="332"/>
      <c r="DK1038" s="332"/>
      <c r="DL1038" s="332"/>
      <c r="DM1038" s="332"/>
      <c r="DN1038" s="332"/>
      <c r="DO1038" s="332"/>
      <c r="DP1038" s="332"/>
      <c r="DQ1038" s="332"/>
      <c r="DR1038" s="332"/>
      <c r="DS1038" s="332"/>
      <c r="DT1038" s="332"/>
      <c r="DU1038" s="453"/>
      <c r="DV1038" s="453"/>
      <c r="DW1038" s="453"/>
      <c r="DX1038" s="453"/>
      <c r="DY1038" s="453"/>
      <c r="DZ1038" s="453"/>
      <c r="EA1038" s="453"/>
      <c r="EB1038" s="453"/>
      <c r="EC1038" s="453"/>
      <c r="ED1038" s="453"/>
      <c r="EE1038" s="453"/>
      <c r="EF1038" s="453"/>
      <c r="EG1038" s="453"/>
      <c r="EH1038" s="453"/>
      <c r="EI1038" s="453"/>
      <c r="EJ1038" s="453"/>
      <c r="EK1038" s="453"/>
      <c r="EL1038" s="453"/>
      <c r="EM1038" s="483">
        <f t="shared" si="246"/>
        <v>729</v>
      </c>
      <c r="EN1038" s="485"/>
      <c r="EO1038" s="458"/>
      <c r="EP1038" s="467"/>
      <c r="EQ1038" s="457"/>
      <c r="ER1038" s="808"/>
      <c r="ES1038" s="881">
        <f t="shared" si="247"/>
        <v>0</v>
      </c>
      <c r="ET1038" s="882"/>
      <c r="EU1038" s="883"/>
      <c r="EV1038" s="884">
        <f t="shared" si="248"/>
        <v>0</v>
      </c>
      <c r="EW1038" s="885"/>
      <c r="EX1038" s="885"/>
      <c r="EY1038" s="885"/>
      <c r="EZ1038" s="885"/>
      <c r="FA1038" s="885"/>
      <c r="FB1038" s="885"/>
      <c r="FC1038" s="885"/>
      <c r="FD1038" s="886"/>
      <c r="FE1038" s="551"/>
      <c r="FF1038" s="551"/>
      <c r="FG1038" s="551"/>
      <c r="FH1038" s="551"/>
      <c r="FI1038" s="551"/>
      <c r="FJ1038" s="551"/>
      <c r="FK1038" s="551"/>
      <c r="FL1038" s="555"/>
      <c r="FM1038" s="554"/>
      <c r="FN1038" s="554"/>
      <c r="FO1038" s="554"/>
      <c r="FP1038" s="554"/>
      <c r="FQ1038" s="554"/>
      <c r="FR1038" s="554"/>
      <c r="FS1038" s="554"/>
      <c r="FT1038" s="554"/>
      <c r="FU1038" s="554"/>
      <c r="FV1038" s="554"/>
      <c r="FW1038" s="554"/>
      <c r="FX1038" s="554"/>
      <c r="FY1038" s="554"/>
      <c r="FZ1038" s="554"/>
      <c r="GA1038" s="554"/>
      <c r="GB1038" s="556"/>
      <c r="GC1038" s="370"/>
      <c r="GD1038" s="453"/>
      <c r="GE1038" s="453"/>
      <c r="GF1038" s="453"/>
      <c r="GG1038" s="453"/>
      <c r="GH1038" s="454"/>
      <c r="GI1038" s="453"/>
      <c r="GJ1038" s="453"/>
      <c r="GK1038" s="453"/>
      <c r="GL1038" s="453"/>
      <c r="GM1038" s="453"/>
      <c r="GN1038" s="453"/>
      <c r="GO1038" s="453"/>
      <c r="GP1038" s="453"/>
      <c r="GQ1038" s="453"/>
      <c r="GR1038" s="453"/>
      <c r="GS1038" s="561"/>
      <c r="GT1038" s="475"/>
      <c r="GU1038" s="472"/>
      <c r="GV1038" s="453"/>
      <c r="GW1038" s="453"/>
      <c r="GX1038" s="869"/>
      <c r="GY1038" s="870"/>
      <c r="GZ1038" s="867"/>
      <c r="HA1038" s="868"/>
      <c r="HB1038" s="473"/>
      <c r="HC1038" s="869"/>
      <c r="HD1038" s="870"/>
      <c r="HE1038" s="867"/>
      <c r="HF1038" s="868"/>
      <c r="HG1038" s="473"/>
      <c r="HH1038" s="867"/>
      <c r="HI1038" s="868"/>
      <c r="HJ1038" s="867"/>
      <c r="HK1038" s="868"/>
      <c r="HL1038" s="370"/>
      <c r="HM1038" s="865"/>
      <c r="HN1038" s="866"/>
      <c r="HO1038" s="865"/>
      <c r="HP1038" s="866"/>
      <c r="HQ1038" s="865"/>
      <c r="HR1038" s="866"/>
      <c r="HS1038" s="867"/>
      <c r="HT1038" s="868"/>
      <c r="HU1038" s="489"/>
      <c r="HV1038" s="865"/>
      <c r="HW1038" s="866"/>
    </row>
    <row r="1039" spans="25:231" ht="15" customHeight="1">
      <c r="Y1039" s="332"/>
      <c r="Z1039" s="332"/>
      <c r="AA1039" s="332"/>
      <c r="AB1039" s="332"/>
      <c r="AC1039" s="332"/>
      <c r="AD1039" s="332"/>
      <c r="AE1039" s="332"/>
      <c r="AF1039" s="332"/>
      <c r="AG1039" s="332"/>
      <c r="AH1039" s="332"/>
      <c r="AI1039" s="332"/>
      <c r="AJ1039" s="332"/>
      <c r="AK1039" s="332"/>
      <c r="AL1039" s="332"/>
      <c r="AM1039" s="332"/>
      <c r="AN1039" s="332"/>
      <c r="AO1039" s="332"/>
      <c r="AP1039" s="332"/>
      <c r="AQ1039" s="332"/>
      <c r="AR1039" s="332"/>
      <c r="AS1039" s="332"/>
      <c r="AT1039" s="332"/>
      <c r="AU1039" s="332"/>
      <c r="AV1039" s="332"/>
      <c r="AW1039" s="332"/>
      <c r="AX1039" s="332"/>
      <c r="AY1039" s="332"/>
      <c r="AZ1039" s="332"/>
      <c r="BA1039" s="332"/>
      <c r="BB1039" s="332"/>
      <c r="BC1039" s="332"/>
      <c r="BD1039" s="332"/>
      <c r="BE1039" s="332"/>
      <c r="BF1039" s="332"/>
      <c r="BG1039" s="332"/>
      <c r="BH1039" s="332"/>
      <c r="BI1039" s="332"/>
      <c r="BJ1039" s="332"/>
      <c r="BK1039" s="332"/>
      <c r="BL1039" s="332"/>
      <c r="BM1039" s="332"/>
      <c r="BN1039" s="332"/>
      <c r="BO1039" s="332"/>
      <c r="BP1039" s="332"/>
      <c r="BQ1039" s="332"/>
      <c r="BR1039" s="332"/>
      <c r="BS1039" s="332"/>
      <c r="BT1039" s="332"/>
      <c r="BU1039" s="332"/>
      <c r="BV1039" s="332"/>
      <c r="BW1039" s="332"/>
      <c r="BX1039" s="332"/>
      <c r="BY1039" s="332"/>
      <c r="BZ1039" s="332"/>
      <c r="CA1039" s="332"/>
      <c r="CB1039" s="332"/>
      <c r="CC1039" s="332"/>
      <c r="CD1039" s="332"/>
      <c r="CE1039" s="332"/>
      <c r="CF1039" s="332"/>
      <c r="CG1039" s="332"/>
      <c r="CH1039" s="332"/>
      <c r="CI1039" s="332"/>
      <c r="CJ1039" s="332"/>
      <c r="CK1039" s="332"/>
      <c r="CL1039" s="332"/>
      <c r="CM1039" s="332"/>
      <c r="CN1039" s="332"/>
      <c r="CO1039" s="332"/>
      <c r="CP1039" s="332"/>
      <c r="CQ1039" s="332"/>
      <c r="CR1039" s="332"/>
      <c r="CS1039" s="332"/>
      <c r="CT1039" s="332"/>
      <c r="CU1039" s="332"/>
      <c r="CV1039" s="332"/>
      <c r="CW1039" s="332"/>
      <c r="CX1039" s="332"/>
      <c r="CY1039" s="332"/>
      <c r="CZ1039" s="332"/>
      <c r="DA1039" s="332"/>
      <c r="DB1039" s="332"/>
      <c r="DC1039" s="332"/>
      <c r="DD1039" s="332"/>
      <c r="DE1039" s="332"/>
      <c r="DF1039" s="332"/>
      <c r="DG1039" s="332"/>
      <c r="DH1039" s="332"/>
      <c r="DI1039" s="332"/>
      <c r="DJ1039" s="332"/>
      <c r="DK1039" s="332"/>
      <c r="DL1039" s="332"/>
      <c r="DM1039" s="332"/>
      <c r="DN1039" s="332"/>
      <c r="DO1039" s="332"/>
      <c r="DP1039" s="332"/>
      <c r="DQ1039" s="332"/>
      <c r="DR1039" s="332"/>
      <c r="DS1039" s="332"/>
      <c r="DT1039" s="332"/>
      <c r="DU1039" s="453"/>
      <c r="DV1039" s="453"/>
      <c r="DW1039" s="453"/>
      <c r="DX1039" s="453"/>
      <c r="DY1039" s="453"/>
      <c r="DZ1039" s="453"/>
      <c r="EA1039" s="453"/>
      <c r="EB1039" s="453"/>
      <c r="EC1039" s="453"/>
      <c r="ED1039" s="453"/>
      <c r="EE1039" s="453"/>
      <c r="EF1039" s="453"/>
      <c r="EG1039" s="453"/>
      <c r="EH1039" s="453"/>
      <c r="EI1039" s="453"/>
      <c r="EJ1039" s="453"/>
      <c r="EK1039" s="453"/>
      <c r="EL1039" s="453"/>
      <c r="EM1039" s="483">
        <f t="shared" si="246"/>
        <v>730</v>
      </c>
      <c r="EN1039" s="485"/>
      <c r="EO1039" s="458"/>
      <c r="EP1039" s="467"/>
      <c r="EQ1039" s="457"/>
      <c r="ER1039" s="808"/>
      <c r="ES1039" s="881">
        <f t="shared" si="247"/>
        <v>0</v>
      </c>
      <c r="ET1039" s="882"/>
      <c r="EU1039" s="883"/>
      <c r="EV1039" s="884">
        <f t="shared" si="248"/>
        <v>0</v>
      </c>
      <c r="EW1039" s="885"/>
      <c r="EX1039" s="885"/>
      <c r="EY1039" s="885"/>
      <c r="EZ1039" s="885"/>
      <c r="FA1039" s="885"/>
      <c r="FB1039" s="885"/>
      <c r="FC1039" s="885"/>
      <c r="FD1039" s="886"/>
      <c r="FE1039" s="551"/>
      <c r="FF1039" s="551"/>
      <c r="FG1039" s="551"/>
      <c r="FH1039" s="551"/>
      <c r="FI1039" s="551"/>
      <c r="FJ1039" s="551"/>
      <c r="FK1039" s="551"/>
      <c r="FL1039" s="555"/>
      <c r="FM1039" s="554"/>
      <c r="FN1039" s="554"/>
      <c r="FO1039" s="554"/>
      <c r="FP1039" s="554"/>
      <c r="FQ1039" s="554"/>
      <c r="FR1039" s="554"/>
      <c r="FS1039" s="554"/>
      <c r="FT1039" s="554"/>
      <c r="FU1039" s="554"/>
      <c r="FV1039" s="554"/>
      <c r="FW1039" s="554"/>
      <c r="FX1039" s="554"/>
      <c r="FY1039" s="554"/>
      <c r="FZ1039" s="554"/>
      <c r="GA1039" s="554"/>
      <c r="GB1039" s="556"/>
      <c r="GC1039" s="370"/>
      <c r="GD1039" s="453"/>
      <c r="GE1039" s="453"/>
      <c r="GF1039" s="453"/>
      <c r="GG1039" s="453"/>
      <c r="GH1039" s="454"/>
      <c r="GI1039" s="453"/>
      <c r="GJ1039" s="453"/>
      <c r="GK1039" s="453"/>
      <c r="GL1039" s="453"/>
      <c r="GM1039" s="453"/>
      <c r="GN1039" s="453"/>
      <c r="GO1039" s="453"/>
      <c r="GP1039" s="453"/>
      <c r="GQ1039" s="453"/>
      <c r="GR1039" s="453"/>
      <c r="GS1039" s="561"/>
      <c r="GT1039" s="475"/>
      <c r="GU1039" s="472"/>
      <c r="GV1039" s="453"/>
      <c r="GW1039" s="453"/>
      <c r="GX1039" s="869"/>
      <c r="GY1039" s="870"/>
      <c r="GZ1039" s="867"/>
      <c r="HA1039" s="868"/>
      <c r="HB1039" s="473"/>
      <c r="HC1039" s="869"/>
      <c r="HD1039" s="870"/>
      <c r="HE1039" s="867"/>
      <c r="HF1039" s="868"/>
      <c r="HG1039" s="473"/>
      <c r="HH1039" s="867"/>
      <c r="HI1039" s="868"/>
      <c r="HJ1039" s="867"/>
      <c r="HK1039" s="868"/>
      <c r="HL1039" s="370"/>
      <c r="HM1039" s="865"/>
      <c r="HN1039" s="866"/>
      <c r="HO1039" s="865"/>
      <c r="HP1039" s="866"/>
      <c r="HQ1039" s="865"/>
      <c r="HR1039" s="866"/>
      <c r="HS1039" s="867"/>
      <c r="HT1039" s="868"/>
      <c r="HU1039" s="489"/>
      <c r="HV1039" s="865"/>
      <c r="HW1039" s="866"/>
    </row>
    <row r="1040" spans="25:231" ht="15" customHeight="1">
      <c r="Y1040" s="332"/>
      <c r="Z1040" s="332"/>
      <c r="AA1040" s="332"/>
      <c r="AB1040" s="332"/>
      <c r="AC1040" s="332"/>
      <c r="AD1040" s="332"/>
      <c r="AE1040" s="332"/>
      <c r="AF1040" s="332"/>
      <c r="AG1040" s="332"/>
      <c r="AH1040" s="332"/>
      <c r="AI1040" s="332"/>
      <c r="AJ1040" s="332"/>
      <c r="AK1040" s="332"/>
      <c r="AL1040" s="332"/>
      <c r="AM1040" s="332"/>
      <c r="AN1040" s="332"/>
      <c r="AO1040" s="332"/>
      <c r="AP1040" s="332"/>
      <c r="AQ1040" s="332"/>
      <c r="AR1040" s="332"/>
      <c r="AS1040" s="332"/>
      <c r="AT1040" s="332"/>
      <c r="AU1040" s="332"/>
      <c r="AV1040" s="332"/>
      <c r="AW1040" s="332"/>
      <c r="AX1040" s="332"/>
      <c r="AY1040" s="332"/>
      <c r="AZ1040" s="332"/>
      <c r="BA1040" s="332"/>
      <c r="BB1040" s="332"/>
      <c r="BC1040" s="332"/>
      <c r="BD1040" s="332"/>
      <c r="BE1040" s="332"/>
      <c r="BF1040" s="332"/>
      <c r="BG1040" s="332"/>
      <c r="BH1040" s="332"/>
      <c r="BI1040" s="332"/>
      <c r="BJ1040" s="332"/>
      <c r="BK1040" s="332"/>
      <c r="BL1040" s="332"/>
      <c r="BM1040" s="332"/>
      <c r="BN1040" s="332"/>
      <c r="BO1040" s="332"/>
      <c r="BP1040" s="332"/>
      <c r="BQ1040" s="332"/>
      <c r="BR1040" s="332"/>
      <c r="BS1040" s="332"/>
      <c r="BT1040" s="332"/>
      <c r="BU1040" s="332"/>
      <c r="BV1040" s="332"/>
      <c r="BW1040" s="332"/>
      <c r="BX1040" s="332"/>
      <c r="BY1040" s="332"/>
      <c r="BZ1040" s="332"/>
      <c r="CA1040" s="332"/>
      <c r="CB1040" s="332"/>
      <c r="CC1040" s="332"/>
      <c r="CD1040" s="332"/>
      <c r="CE1040" s="332"/>
      <c r="CF1040" s="332"/>
      <c r="CG1040" s="332"/>
      <c r="CH1040" s="332"/>
      <c r="CI1040" s="332"/>
      <c r="CJ1040" s="332"/>
      <c r="CK1040" s="332"/>
      <c r="CL1040" s="332"/>
      <c r="CM1040" s="332"/>
      <c r="CN1040" s="332"/>
      <c r="CO1040" s="332"/>
      <c r="CP1040" s="332"/>
      <c r="CQ1040" s="332"/>
      <c r="CR1040" s="332"/>
      <c r="CS1040" s="332"/>
      <c r="CT1040" s="332"/>
      <c r="CU1040" s="332"/>
      <c r="CV1040" s="332"/>
      <c r="CW1040" s="332"/>
      <c r="CX1040" s="332"/>
      <c r="CY1040" s="332"/>
      <c r="CZ1040" s="332"/>
      <c r="DA1040" s="332"/>
      <c r="DB1040" s="332"/>
      <c r="DC1040" s="332"/>
      <c r="DD1040" s="332"/>
      <c r="DE1040" s="332"/>
      <c r="DF1040" s="332"/>
      <c r="DG1040" s="332"/>
      <c r="DH1040" s="332"/>
      <c r="DI1040" s="332"/>
      <c r="DJ1040" s="332"/>
      <c r="DK1040" s="332"/>
      <c r="DL1040" s="332"/>
      <c r="DM1040" s="332"/>
      <c r="DN1040" s="332"/>
      <c r="DO1040" s="332"/>
      <c r="DP1040" s="332"/>
      <c r="DQ1040" s="332"/>
      <c r="DR1040" s="332"/>
      <c r="DS1040" s="332"/>
      <c r="DT1040" s="332"/>
      <c r="DU1040" s="453"/>
      <c r="DV1040" s="453"/>
      <c r="DW1040" s="453"/>
      <c r="DX1040" s="453"/>
      <c r="DY1040" s="453"/>
      <c r="DZ1040" s="453"/>
      <c r="EA1040" s="453"/>
      <c r="EB1040" s="453"/>
      <c r="EC1040" s="453"/>
      <c r="ED1040" s="453"/>
      <c r="EE1040" s="453"/>
      <c r="EF1040" s="453"/>
      <c r="EG1040" s="453"/>
      <c r="EH1040" s="453"/>
      <c r="EI1040" s="453"/>
      <c r="EJ1040" s="453"/>
      <c r="EK1040" s="453"/>
      <c r="EL1040" s="453"/>
      <c r="EM1040" s="483">
        <f t="shared" si="246"/>
        <v>731</v>
      </c>
      <c r="EN1040" s="485"/>
      <c r="EO1040" s="458"/>
      <c r="EP1040" s="467"/>
      <c r="EQ1040" s="457"/>
      <c r="ER1040" s="808"/>
      <c r="ES1040" s="881">
        <f t="shared" si="247"/>
        <v>0</v>
      </c>
      <c r="ET1040" s="882"/>
      <c r="EU1040" s="883"/>
      <c r="EV1040" s="884">
        <f t="shared" si="248"/>
        <v>0</v>
      </c>
      <c r="EW1040" s="885"/>
      <c r="EX1040" s="885"/>
      <c r="EY1040" s="885"/>
      <c r="EZ1040" s="885"/>
      <c r="FA1040" s="885"/>
      <c r="FB1040" s="885"/>
      <c r="FC1040" s="885"/>
      <c r="FD1040" s="886"/>
      <c r="FE1040" s="551"/>
      <c r="FF1040" s="551"/>
      <c r="FG1040" s="551"/>
      <c r="FH1040" s="551"/>
      <c r="FI1040" s="551"/>
      <c r="FJ1040" s="551"/>
      <c r="FK1040" s="551"/>
      <c r="FL1040" s="555"/>
      <c r="FM1040" s="554"/>
      <c r="FN1040" s="554"/>
      <c r="FO1040" s="554"/>
      <c r="FP1040" s="554"/>
      <c r="FQ1040" s="554"/>
      <c r="FR1040" s="554"/>
      <c r="FS1040" s="554"/>
      <c r="FT1040" s="554"/>
      <c r="FU1040" s="554"/>
      <c r="FV1040" s="554"/>
      <c r="FW1040" s="554"/>
      <c r="FX1040" s="554"/>
      <c r="FY1040" s="554"/>
      <c r="FZ1040" s="554"/>
      <c r="GA1040" s="554"/>
      <c r="GB1040" s="556"/>
      <c r="GC1040" s="370"/>
      <c r="GD1040" s="453"/>
      <c r="GE1040" s="453"/>
      <c r="GF1040" s="453"/>
      <c r="GG1040" s="453"/>
      <c r="GH1040" s="454"/>
      <c r="GI1040" s="453"/>
      <c r="GJ1040" s="453"/>
      <c r="GK1040" s="453"/>
      <c r="GL1040" s="453"/>
      <c r="GM1040" s="453"/>
      <c r="GN1040" s="453"/>
      <c r="GO1040" s="453"/>
      <c r="GP1040" s="453"/>
      <c r="GQ1040" s="453"/>
      <c r="GR1040" s="453"/>
      <c r="GS1040" s="561"/>
      <c r="GT1040" s="475"/>
      <c r="GU1040" s="472"/>
      <c r="GV1040" s="453"/>
      <c r="GW1040" s="453"/>
      <c r="GX1040" s="869"/>
      <c r="GY1040" s="870"/>
      <c r="GZ1040" s="867"/>
      <c r="HA1040" s="868"/>
      <c r="HB1040" s="473"/>
      <c r="HC1040" s="869"/>
      <c r="HD1040" s="870"/>
      <c r="HE1040" s="867"/>
      <c r="HF1040" s="868"/>
      <c r="HG1040" s="473"/>
      <c r="HH1040" s="867"/>
      <c r="HI1040" s="868"/>
      <c r="HJ1040" s="867"/>
      <c r="HK1040" s="868"/>
      <c r="HL1040" s="370"/>
      <c r="HM1040" s="865"/>
      <c r="HN1040" s="866"/>
      <c r="HO1040" s="865"/>
      <c r="HP1040" s="866"/>
      <c r="HQ1040" s="865"/>
      <c r="HR1040" s="866"/>
      <c r="HS1040" s="867"/>
      <c r="HT1040" s="868"/>
      <c r="HU1040" s="489"/>
      <c r="HV1040" s="865"/>
      <c r="HW1040" s="866"/>
    </row>
    <row r="1041" spans="25:231" ht="15" customHeight="1">
      <c r="Y1041" s="332"/>
      <c r="Z1041" s="332"/>
      <c r="AA1041" s="332"/>
      <c r="AB1041" s="332"/>
      <c r="AC1041" s="332"/>
      <c r="AD1041" s="332"/>
      <c r="AE1041" s="332"/>
      <c r="AF1041" s="332"/>
      <c r="AG1041" s="332"/>
      <c r="AH1041" s="332"/>
      <c r="AI1041" s="332"/>
      <c r="AJ1041" s="332"/>
      <c r="AK1041" s="332"/>
      <c r="AL1041" s="332"/>
      <c r="AM1041" s="332"/>
      <c r="AN1041" s="332"/>
      <c r="AO1041" s="332"/>
      <c r="AP1041" s="332"/>
      <c r="AQ1041" s="332"/>
      <c r="AR1041" s="332"/>
      <c r="AS1041" s="332"/>
      <c r="AT1041" s="332"/>
      <c r="AU1041" s="332"/>
      <c r="AV1041" s="332"/>
      <c r="AW1041" s="332"/>
      <c r="AX1041" s="332"/>
      <c r="AY1041" s="332"/>
      <c r="AZ1041" s="332"/>
      <c r="BA1041" s="332"/>
      <c r="BB1041" s="332"/>
      <c r="BC1041" s="332"/>
      <c r="BD1041" s="332"/>
      <c r="BE1041" s="332"/>
      <c r="BF1041" s="332"/>
      <c r="BG1041" s="332"/>
      <c r="BH1041" s="332"/>
      <c r="BI1041" s="332"/>
      <c r="BJ1041" s="332"/>
      <c r="BK1041" s="332"/>
      <c r="BL1041" s="332"/>
      <c r="BM1041" s="332"/>
      <c r="BN1041" s="332"/>
      <c r="BO1041" s="332"/>
      <c r="BP1041" s="332"/>
      <c r="BQ1041" s="332"/>
      <c r="BR1041" s="332"/>
      <c r="BS1041" s="332"/>
      <c r="BT1041" s="332"/>
      <c r="BU1041" s="332"/>
      <c r="BV1041" s="332"/>
      <c r="BW1041" s="332"/>
      <c r="BX1041" s="332"/>
      <c r="BY1041" s="332"/>
      <c r="BZ1041" s="332"/>
      <c r="CA1041" s="332"/>
      <c r="CB1041" s="332"/>
      <c r="CC1041" s="332"/>
      <c r="CD1041" s="332"/>
      <c r="CE1041" s="332"/>
      <c r="CF1041" s="332"/>
      <c r="CG1041" s="332"/>
      <c r="CH1041" s="332"/>
      <c r="CI1041" s="332"/>
      <c r="CJ1041" s="332"/>
      <c r="CK1041" s="332"/>
      <c r="CL1041" s="332"/>
      <c r="CM1041" s="332"/>
      <c r="CN1041" s="332"/>
      <c r="CO1041" s="332"/>
      <c r="CP1041" s="332"/>
      <c r="CQ1041" s="332"/>
      <c r="CR1041" s="332"/>
      <c r="CS1041" s="332"/>
      <c r="CT1041" s="332"/>
      <c r="CU1041" s="332"/>
      <c r="CV1041" s="332"/>
      <c r="CW1041" s="332"/>
      <c r="CX1041" s="332"/>
      <c r="CY1041" s="332"/>
      <c r="CZ1041" s="332"/>
      <c r="DA1041" s="332"/>
      <c r="DB1041" s="332"/>
      <c r="DC1041" s="332"/>
      <c r="DD1041" s="332"/>
      <c r="DE1041" s="332"/>
      <c r="DF1041" s="332"/>
      <c r="DG1041" s="332"/>
      <c r="DH1041" s="332"/>
      <c r="DI1041" s="332"/>
      <c r="DJ1041" s="332"/>
      <c r="DK1041" s="332"/>
      <c r="DL1041" s="332"/>
      <c r="DM1041" s="332"/>
      <c r="DN1041" s="332"/>
      <c r="DO1041" s="332"/>
      <c r="DP1041" s="332"/>
      <c r="DQ1041" s="332"/>
      <c r="DR1041" s="332"/>
      <c r="DS1041" s="332"/>
      <c r="DT1041" s="332"/>
      <c r="DU1041" s="453"/>
      <c r="DV1041" s="453"/>
      <c r="DW1041" s="453"/>
      <c r="DX1041" s="453"/>
      <c r="DY1041" s="453"/>
      <c r="DZ1041" s="453"/>
      <c r="EA1041" s="453"/>
      <c r="EB1041" s="453"/>
      <c r="EC1041" s="453"/>
      <c r="ED1041" s="453"/>
      <c r="EE1041" s="453"/>
      <c r="EF1041" s="453"/>
      <c r="EG1041" s="453"/>
      <c r="EH1041" s="453"/>
      <c r="EI1041" s="453"/>
      <c r="EJ1041" s="453"/>
      <c r="EK1041" s="453"/>
      <c r="EL1041" s="453"/>
      <c r="EM1041" s="483">
        <f t="shared" si="246"/>
        <v>732</v>
      </c>
      <c r="EN1041" s="485"/>
      <c r="EO1041" s="458"/>
      <c r="EP1041" s="467"/>
      <c r="EQ1041" s="457"/>
      <c r="ER1041" s="808"/>
      <c r="ES1041" s="881">
        <f t="shared" si="247"/>
        <v>0</v>
      </c>
      <c r="ET1041" s="882"/>
      <c r="EU1041" s="883"/>
      <c r="EV1041" s="884">
        <f t="shared" si="248"/>
        <v>0</v>
      </c>
      <c r="EW1041" s="885"/>
      <c r="EX1041" s="885"/>
      <c r="EY1041" s="885"/>
      <c r="EZ1041" s="885"/>
      <c r="FA1041" s="885"/>
      <c r="FB1041" s="885"/>
      <c r="FC1041" s="885"/>
      <c r="FD1041" s="886"/>
      <c r="FE1041" s="551"/>
      <c r="FF1041" s="551"/>
      <c r="FG1041" s="551"/>
      <c r="FH1041" s="551"/>
      <c r="FI1041" s="551"/>
      <c r="FJ1041" s="551"/>
      <c r="FK1041" s="551"/>
      <c r="FL1041" s="555"/>
      <c r="FM1041" s="554"/>
      <c r="FN1041" s="554"/>
      <c r="FO1041" s="554"/>
      <c r="FP1041" s="554"/>
      <c r="FQ1041" s="554"/>
      <c r="FR1041" s="554"/>
      <c r="FS1041" s="554"/>
      <c r="FT1041" s="554"/>
      <c r="FU1041" s="554"/>
      <c r="FV1041" s="554"/>
      <c r="FW1041" s="554"/>
      <c r="FX1041" s="554"/>
      <c r="FY1041" s="554"/>
      <c r="FZ1041" s="554"/>
      <c r="GA1041" s="554"/>
      <c r="GB1041" s="556"/>
      <c r="GC1041" s="370"/>
      <c r="GD1041" s="453"/>
      <c r="GE1041" s="453"/>
      <c r="GF1041" s="453"/>
      <c r="GG1041" s="453"/>
      <c r="GH1041" s="454"/>
      <c r="GI1041" s="453"/>
      <c r="GJ1041" s="453"/>
      <c r="GK1041" s="453"/>
      <c r="GL1041" s="453"/>
      <c r="GM1041" s="453"/>
      <c r="GN1041" s="453"/>
      <c r="GO1041" s="453"/>
      <c r="GP1041" s="453"/>
      <c r="GQ1041" s="453"/>
      <c r="GR1041" s="453"/>
      <c r="GS1041" s="561"/>
      <c r="GT1041" s="475"/>
      <c r="GU1041" s="472"/>
      <c r="GV1041" s="453"/>
      <c r="GW1041" s="453"/>
      <c r="GX1041" s="869"/>
      <c r="GY1041" s="870"/>
      <c r="GZ1041" s="867"/>
      <c r="HA1041" s="868"/>
      <c r="HB1041" s="473"/>
      <c r="HC1041" s="869"/>
      <c r="HD1041" s="870"/>
      <c r="HE1041" s="867"/>
      <c r="HF1041" s="868"/>
      <c r="HG1041" s="473"/>
      <c r="HH1041" s="867"/>
      <c r="HI1041" s="868"/>
      <c r="HJ1041" s="867"/>
      <c r="HK1041" s="868"/>
      <c r="HL1041" s="370"/>
      <c r="HM1041" s="865"/>
      <c r="HN1041" s="866"/>
      <c r="HO1041" s="865"/>
      <c r="HP1041" s="866"/>
      <c r="HQ1041" s="865"/>
      <c r="HR1041" s="866"/>
      <c r="HS1041" s="867"/>
      <c r="HT1041" s="868"/>
      <c r="HU1041" s="489"/>
      <c r="HV1041" s="865"/>
      <c r="HW1041" s="866"/>
    </row>
    <row r="1042" spans="25:231" ht="15" customHeight="1">
      <c r="Y1042" s="332"/>
      <c r="Z1042" s="332"/>
      <c r="AA1042" s="332"/>
      <c r="AB1042" s="332"/>
      <c r="AC1042" s="332"/>
      <c r="AD1042" s="332"/>
      <c r="AE1042" s="332"/>
      <c r="AF1042" s="332"/>
      <c r="AG1042" s="332"/>
      <c r="AH1042" s="332"/>
      <c r="AI1042" s="332"/>
      <c r="AJ1042" s="332"/>
      <c r="AK1042" s="332"/>
      <c r="AL1042" s="332"/>
      <c r="AM1042" s="332"/>
      <c r="AN1042" s="332"/>
      <c r="AO1042" s="332"/>
      <c r="AP1042" s="332"/>
      <c r="AQ1042" s="332"/>
      <c r="AR1042" s="332"/>
      <c r="AS1042" s="332"/>
      <c r="AT1042" s="332"/>
      <c r="AU1042" s="332"/>
      <c r="AV1042" s="332"/>
      <c r="AW1042" s="332"/>
      <c r="AX1042" s="332"/>
      <c r="AY1042" s="332"/>
      <c r="AZ1042" s="332"/>
      <c r="BA1042" s="332"/>
      <c r="BB1042" s="332"/>
      <c r="BC1042" s="332"/>
      <c r="BD1042" s="332"/>
      <c r="BE1042" s="332"/>
      <c r="BF1042" s="332"/>
      <c r="BG1042" s="332"/>
      <c r="BH1042" s="332"/>
      <c r="BI1042" s="332"/>
      <c r="BJ1042" s="332"/>
      <c r="BK1042" s="332"/>
      <c r="BL1042" s="332"/>
      <c r="BM1042" s="332"/>
      <c r="BN1042" s="332"/>
      <c r="BO1042" s="332"/>
      <c r="BP1042" s="332"/>
      <c r="BQ1042" s="332"/>
      <c r="BR1042" s="332"/>
      <c r="BS1042" s="332"/>
      <c r="BT1042" s="332"/>
      <c r="BU1042" s="332"/>
      <c r="BV1042" s="332"/>
      <c r="BW1042" s="332"/>
      <c r="BX1042" s="332"/>
      <c r="BY1042" s="332"/>
      <c r="BZ1042" s="332"/>
      <c r="CA1042" s="332"/>
      <c r="CB1042" s="332"/>
      <c r="CC1042" s="332"/>
      <c r="CD1042" s="332"/>
      <c r="CE1042" s="332"/>
      <c r="CF1042" s="332"/>
      <c r="CG1042" s="332"/>
      <c r="CH1042" s="332"/>
      <c r="CI1042" s="332"/>
      <c r="CJ1042" s="332"/>
      <c r="CK1042" s="332"/>
      <c r="CL1042" s="332"/>
      <c r="CM1042" s="332"/>
      <c r="CN1042" s="332"/>
      <c r="CO1042" s="332"/>
      <c r="CP1042" s="332"/>
      <c r="CQ1042" s="332"/>
      <c r="CR1042" s="332"/>
      <c r="CS1042" s="332"/>
      <c r="CT1042" s="332"/>
      <c r="CU1042" s="332"/>
      <c r="CV1042" s="332"/>
      <c r="CW1042" s="332"/>
      <c r="CX1042" s="332"/>
      <c r="CY1042" s="332"/>
      <c r="CZ1042" s="332"/>
      <c r="DA1042" s="332"/>
      <c r="DB1042" s="332"/>
      <c r="DC1042" s="332"/>
      <c r="DD1042" s="332"/>
      <c r="DE1042" s="332"/>
      <c r="DF1042" s="332"/>
      <c r="DG1042" s="332"/>
      <c r="DH1042" s="332"/>
      <c r="DI1042" s="332"/>
      <c r="DJ1042" s="332"/>
      <c r="DK1042" s="332"/>
      <c r="DL1042" s="332"/>
      <c r="DM1042" s="332"/>
      <c r="DN1042" s="332"/>
      <c r="DO1042" s="332"/>
      <c r="DP1042" s="332"/>
      <c r="DQ1042" s="332"/>
      <c r="DR1042" s="332"/>
      <c r="DS1042" s="332"/>
      <c r="DT1042" s="332"/>
      <c r="DU1042" s="453"/>
      <c r="DV1042" s="453"/>
      <c r="DW1042" s="453"/>
      <c r="DX1042" s="453"/>
      <c r="DY1042" s="453"/>
      <c r="DZ1042" s="453"/>
      <c r="EA1042" s="453"/>
      <c r="EB1042" s="453"/>
      <c r="EC1042" s="453"/>
      <c r="ED1042" s="453"/>
      <c r="EE1042" s="453"/>
      <c r="EF1042" s="453"/>
      <c r="EG1042" s="453"/>
      <c r="EH1042" s="453"/>
      <c r="EI1042" s="453"/>
      <c r="EJ1042" s="453"/>
      <c r="EK1042" s="453"/>
      <c r="EL1042" s="453"/>
      <c r="EM1042" s="483">
        <f t="shared" si="246"/>
        <v>733</v>
      </c>
      <c r="EN1042" s="485"/>
      <c r="EO1042" s="458"/>
      <c r="EP1042" s="467"/>
      <c r="EQ1042" s="457"/>
      <c r="ER1042" s="808"/>
      <c r="ES1042" s="881">
        <f t="shared" si="247"/>
        <v>0</v>
      </c>
      <c r="ET1042" s="882"/>
      <c r="EU1042" s="883"/>
      <c r="EV1042" s="884">
        <f t="shared" si="248"/>
        <v>0</v>
      </c>
      <c r="EW1042" s="885"/>
      <c r="EX1042" s="885"/>
      <c r="EY1042" s="885"/>
      <c r="EZ1042" s="885"/>
      <c r="FA1042" s="885"/>
      <c r="FB1042" s="885"/>
      <c r="FC1042" s="885"/>
      <c r="FD1042" s="886"/>
      <c r="FE1042" s="551"/>
      <c r="FF1042" s="551"/>
      <c r="FG1042" s="551"/>
      <c r="FH1042" s="551"/>
      <c r="FI1042" s="551"/>
      <c r="FJ1042" s="551"/>
      <c r="FK1042" s="551"/>
      <c r="FL1042" s="555"/>
      <c r="FM1042" s="554"/>
      <c r="FN1042" s="554"/>
      <c r="FO1042" s="554"/>
      <c r="FP1042" s="554"/>
      <c r="FQ1042" s="554"/>
      <c r="FR1042" s="554"/>
      <c r="FS1042" s="554"/>
      <c r="FT1042" s="554"/>
      <c r="FU1042" s="554"/>
      <c r="FV1042" s="554"/>
      <c r="FW1042" s="554"/>
      <c r="FX1042" s="554"/>
      <c r="FY1042" s="554"/>
      <c r="FZ1042" s="554"/>
      <c r="GA1042" s="554"/>
      <c r="GB1042" s="556"/>
      <c r="GC1042" s="370"/>
      <c r="GD1042" s="453"/>
      <c r="GE1042" s="453"/>
      <c r="GF1042" s="453"/>
      <c r="GG1042" s="453"/>
      <c r="GH1042" s="454"/>
      <c r="GI1042" s="453"/>
      <c r="GJ1042" s="453"/>
      <c r="GK1042" s="453"/>
      <c r="GL1042" s="453"/>
      <c r="GM1042" s="453"/>
      <c r="GN1042" s="453"/>
      <c r="GO1042" s="453"/>
      <c r="GP1042" s="453"/>
      <c r="GQ1042" s="453"/>
      <c r="GR1042" s="453"/>
      <c r="GS1042" s="561"/>
      <c r="GT1042" s="475"/>
      <c r="GU1042" s="472"/>
      <c r="GV1042" s="453"/>
      <c r="GW1042" s="453"/>
      <c r="GX1042" s="869"/>
      <c r="GY1042" s="870"/>
      <c r="GZ1042" s="867"/>
      <c r="HA1042" s="868"/>
      <c r="HB1042" s="473"/>
      <c r="HC1042" s="869"/>
      <c r="HD1042" s="870"/>
      <c r="HE1042" s="867"/>
      <c r="HF1042" s="868"/>
      <c r="HG1042" s="473"/>
      <c r="HH1042" s="867"/>
      <c r="HI1042" s="868"/>
      <c r="HJ1042" s="867"/>
      <c r="HK1042" s="868"/>
      <c r="HL1042" s="370"/>
      <c r="HM1042" s="865"/>
      <c r="HN1042" s="866"/>
      <c r="HO1042" s="865"/>
      <c r="HP1042" s="866"/>
      <c r="HQ1042" s="865"/>
      <c r="HR1042" s="866"/>
      <c r="HS1042" s="867"/>
      <c r="HT1042" s="868"/>
      <c r="HU1042" s="489"/>
      <c r="HV1042" s="865"/>
      <c r="HW1042" s="866"/>
    </row>
    <row r="1043" spans="25:231" ht="15" customHeight="1">
      <c r="Y1043" s="332"/>
      <c r="Z1043" s="332"/>
      <c r="AA1043" s="332"/>
      <c r="AB1043" s="332"/>
      <c r="AC1043" s="332"/>
      <c r="AD1043" s="332"/>
      <c r="AE1043" s="332"/>
      <c r="AF1043" s="332"/>
      <c r="AG1043" s="332"/>
      <c r="AH1043" s="332"/>
      <c r="AI1043" s="332"/>
      <c r="AJ1043" s="332"/>
      <c r="AK1043" s="332"/>
      <c r="AL1043" s="332"/>
      <c r="AM1043" s="332"/>
      <c r="AN1043" s="332"/>
      <c r="AO1043" s="332"/>
      <c r="AP1043" s="332"/>
      <c r="AQ1043" s="332"/>
      <c r="AR1043" s="332"/>
      <c r="AS1043" s="332"/>
      <c r="AT1043" s="332"/>
      <c r="AU1043" s="332"/>
      <c r="AV1043" s="332"/>
      <c r="AW1043" s="332"/>
      <c r="AX1043" s="332"/>
      <c r="AY1043" s="332"/>
      <c r="AZ1043" s="332"/>
      <c r="BA1043" s="332"/>
      <c r="BB1043" s="332"/>
      <c r="BC1043" s="332"/>
      <c r="BD1043" s="332"/>
      <c r="BE1043" s="332"/>
      <c r="BF1043" s="332"/>
      <c r="BG1043" s="332"/>
      <c r="BH1043" s="332"/>
      <c r="BI1043" s="332"/>
      <c r="BJ1043" s="332"/>
      <c r="BK1043" s="332"/>
      <c r="BL1043" s="332"/>
      <c r="BM1043" s="332"/>
      <c r="BN1043" s="332"/>
      <c r="BO1043" s="332"/>
      <c r="BP1043" s="332"/>
      <c r="BQ1043" s="332"/>
      <c r="BR1043" s="332"/>
      <c r="BS1043" s="332"/>
      <c r="BT1043" s="332"/>
      <c r="BU1043" s="332"/>
      <c r="BV1043" s="332"/>
      <c r="BW1043" s="332"/>
      <c r="BX1043" s="332"/>
      <c r="BY1043" s="332"/>
      <c r="BZ1043" s="332"/>
      <c r="CA1043" s="332"/>
      <c r="CB1043" s="332"/>
      <c r="CC1043" s="332"/>
      <c r="CD1043" s="332"/>
      <c r="CE1043" s="332"/>
      <c r="CF1043" s="332"/>
      <c r="CG1043" s="332"/>
      <c r="CH1043" s="332"/>
      <c r="CI1043" s="332"/>
      <c r="CJ1043" s="332"/>
      <c r="CK1043" s="332"/>
      <c r="CL1043" s="332"/>
      <c r="CM1043" s="332"/>
      <c r="CN1043" s="332"/>
      <c r="CO1043" s="332"/>
      <c r="CP1043" s="332"/>
      <c r="CQ1043" s="332"/>
      <c r="CR1043" s="332"/>
      <c r="CS1043" s="332"/>
      <c r="CT1043" s="332"/>
      <c r="CU1043" s="332"/>
      <c r="CV1043" s="332"/>
      <c r="CW1043" s="332"/>
      <c r="CX1043" s="332"/>
      <c r="CY1043" s="332"/>
      <c r="CZ1043" s="332"/>
      <c r="DA1043" s="332"/>
      <c r="DB1043" s="332"/>
      <c r="DC1043" s="332"/>
      <c r="DD1043" s="332"/>
      <c r="DE1043" s="332"/>
      <c r="DF1043" s="332"/>
      <c r="DG1043" s="332"/>
      <c r="DH1043" s="332"/>
      <c r="DI1043" s="332"/>
      <c r="DJ1043" s="332"/>
      <c r="DK1043" s="332"/>
      <c r="DL1043" s="332"/>
      <c r="DM1043" s="332"/>
      <c r="DN1043" s="332"/>
      <c r="DO1043" s="332"/>
      <c r="DP1043" s="332"/>
      <c r="DQ1043" s="332"/>
      <c r="DR1043" s="332"/>
      <c r="DS1043" s="332"/>
      <c r="DT1043" s="332"/>
      <c r="DU1043" s="453"/>
      <c r="DV1043" s="453"/>
      <c r="DW1043" s="453"/>
      <c r="DX1043" s="453"/>
      <c r="DY1043" s="453"/>
      <c r="DZ1043" s="453"/>
      <c r="EA1043" s="453"/>
      <c r="EB1043" s="453"/>
      <c r="EC1043" s="453"/>
      <c r="ED1043" s="453"/>
      <c r="EE1043" s="453"/>
      <c r="EF1043" s="453"/>
      <c r="EG1043" s="453"/>
      <c r="EH1043" s="453"/>
      <c r="EI1043" s="453"/>
      <c r="EJ1043" s="453"/>
      <c r="EK1043" s="453"/>
      <c r="EL1043" s="453"/>
      <c r="EM1043" s="483">
        <f t="shared" si="246"/>
        <v>734</v>
      </c>
      <c r="EN1043" s="485"/>
      <c r="EO1043" s="458"/>
      <c r="EP1043" s="467"/>
      <c r="EQ1043" s="457"/>
      <c r="ER1043" s="808"/>
      <c r="ES1043" s="881">
        <f t="shared" si="247"/>
        <v>0</v>
      </c>
      <c r="ET1043" s="882"/>
      <c r="EU1043" s="883"/>
      <c r="EV1043" s="884">
        <f t="shared" si="248"/>
        <v>0</v>
      </c>
      <c r="EW1043" s="885"/>
      <c r="EX1043" s="885"/>
      <c r="EY1043" s="885"/>
      <c r="EZ1043" s="885"/>
      <c r="FA1043" s="885"/>
      <c r="FB1043" s="885"/>
      <c r="FC1043" s="885"/>
      <c r="FD1043" s="886"/>
      <c r="FE1043" s="551"/>
      <c r="FF1043" s="551"/>
      <c r="FG1043" s="551"/>
      <c r="FH1043" s="551"/>
      <c r="FI1043" s="551"/>
      <c r="FJ1043" s="551"/>
      <c r="FK1043" s="551"/>
      <c r="FL1043" s="555"/>
      <c r="FM1043" s="554"/>
      <c r="FN1043" s="554"/>
      <c r="FO1043" s="554"/>
      <c r="FP1043" s="554"/>
      <c r="FQ1043" s="554"/>
      <c r="FR1043" s="554"/>
      <c r="FS1043" s="554"/>
      <c r="FT1043" s="554"/>
      <c r="FU1043" s="554"/>
      <c r="FV1043" s="554"/>
      <c r="FW1043" s="554"/>
      <c r="FX1043" s="554"/>
      <c r="FY1043" s="554"/>
      <c r="FZ1043" s="554"/>
      <c r="GA1043" s="554"/>
      <c r="GB1043" s="556"/>
      <c r="GC1043" s="370"/>
      <c r="GD1043" s="453"/>
      <c r="GE1043" s="453"/>
      <c r="GF1043" s="453"/>
      <c r="GG1043" s="453"/>
      <c r="GH1043" s="454"/>
      <c r="GI1043" s="453"/>
      <c r="GJ1043" s="453"/>
      <c r="GK1043" s="453"/>
      <c r="GL1043" s="453"/>
      <c r="GM1043" s="453"/>
      <c r="GN1043" s="453"/>
      <c r="GO1043" s="453"/>
      <c r="GP1043" s="453"/>
      <c r="GQ1043" s="453"/>
      <c r="GR1043" s="453"/>
      <c r="GS1043" s="561"/>
      <c r="GT1043" s="475"/>
      <c r="GU1043" s="472"/>
      <c r="GV1043" s="453"/>
      <c r="GW1043" s="453"/>
      <c r="GX1043" s="869"/>
      <c r="GY1043" s="870"/>
      <c r="GZ1043" s="867"/>
      <c r="HA1043" s="868"/>
      <c r="HB1043" s="473"/>
      <c r="HC1043" s="869"/>
      <c r="HD1043" s="870"/>
      <c r="HE1043" s="867"/>
      <c r="HF1043" s="868"/>
      <c r="HG1043" s="473"/>
      <c r="HH1043" s="867"/>
      <c r="HI1043" s="868"/>
      <c r="HJ1043" s="867"/>
      <c r="HK1043" s="868"/>
      <c r="HL1043" s="370"/>
      <c r="HM1043" s="865"/>
      <c r="HN1043" s="866"/>
      <c r="HO1043" s="865"/>
      <c r="HP1043" s="866"/>
      <c r="HQ1043" s="865"/>
      <c r="HR1043" s="866"/>
      <c r="HS1043" s="867"/>
      <c r="HT1043" s="868"/>
      <c r="HU1043" s="489"/>
      <c r="HV1043" s="865"/>
      <c r="HW1043" s="866"/>
    </row>
    <row r="1044" spans="25:231" ht="15" customHeight="1">
      <c r="Y1044" s="332"/>
      <c r="Z1044" s="332"/>
      <c r="AA1044" s="332"/>
      <c r="AB1044" s="332"/>
      <c r="AC1044" s="332"/>
      <c r="AD1044" s="332"/>
      <c r="AE1044" s="332"/>
      <c r="AF1044" s="332"/>
      <c r="AG1044" s="332"/>
      <c r="AH1044" s="332"/>
      <c r="AI1044" s="332"/>
      <c r="AJ1044" s="332"/>
      <c r="AK1044" s="332"/>
      <c r="AL1044" s="332"/>
      <c r="AM1044" s="332"/>
      <c r="AN1044" s="332"/>
      <c r="AO1044" s="332"/>
      <c r="AP1044" s="332"/>
      <c r="AQ1044" s="332"/>
      <c r="AR1044" s="332"/>
      <c r="AS1044" s="332"/>
      <c r="AT1044" s="332"/>
      <c r="AU1044" s="332"/>
      <c r="AV1044" s="332"/>
      <c r="AW1044" s="332"/>
      <c r="AX1044" s="332"/>
      <c r="AY1044" s="332"/>
      <c r="AZ1044" s="332"/>
      <c r="BA1044" s="332"/>
      <c r="BB1044" s="332"/>
      <c r="BC1044" s="332"/>
      <c r="BD1044" s="332"/>
      <c r="BE1044" s="332"/>
      <c r="BF1044" s="332"/>
      <c r="BG1044" s="332"/>
      <c r="BH1044" s="332"/>
      <c r="BI1044" s="332"/>
      <c r="BJ1044" s="332"/>
      <c r="BK1044" s="332"/>
      <c r="BL1044" s="332"/>
      <c r="BM1044" s="332"/>
      <c r="BN1044" s="332"/>
      <c r="BO1044" s="332"/>
      <c r="BP1044" s="332"/>
      <c r="BQ1044" s="332"/>
      <c r="BR1044" s="332"/>
      <c r="BS1044" s="332"/>
      <c r="BT1044" s="332"/>
      <c r="BU1044" s="332"/>
      <c r="BV1044" s="332"/>
      <c r="BW1044" s="332"/>
      <c r="BX1044" s="332"/>
      <c r="BY1044" s="332"/>
      <c r="BZ1044" s="332"/>
      <c r="CA1044" s="332"/>
      <c r="CB1044" s="332"/>
      <c r="CC1044" s="332"/>
      <c r="CD1044" s="332"/>
      <c r="CE1044" s="332"/>
      <c r="CF1044" s="332"/>
      <c r="CG1044" s="332"/>
      <c r="CH1044" s="332"/>
      <c r="CI1044" s="332"/>
      <c r="CJ1044" s="332"/>
      <c r="CK1044" s="332"/>
      <c r="CL1044" s="332"/>
      <c r="CM1044" s="332"/>
      <c r="CN1044" s="332"/>
      <c r="CO1044" s="332"/>
      <c r="CP1044" s="332"/>
      <c r="CQ1044" s="332"/>
      <c r="CR1044" s="332"/>
      <c r="CS1044" s="332"/>
      <c r="CT1044" s="332"/>
      <c r="CU1044" s="332"/>
      <c r="CV1044" s="332"/>
      <c r="CW1044" s="332"/>
      <c r="CX1044" s="332"/>
      <c r="CY1044" s="332"/>
      <c r="CZ1044" s="332"/>
      <c r="DA1044" s="332"/>
      <c r="DB1044" s="332"/>
      <c r="DC1044" s="332"/>
      <c r="DD1044" s="332"/>
      <c r="DE1044" s="332"/>
      <c r="DF1044" s="332"/>
      <c r="DG1044" s="332"/>
      <c r="DH1044" s="332"/>
      <c r="DI1044" s="332"/>
      <c r="DJ1044" s="332"/>
      <c r="DK1044" s="332"/>
      <c r="DL1044" s="332"/>
      <c r="DM1044" s="332"/>
      <c r="DN1044" s="332"/>
      <c r="DO1044" s="332"/>
      <c r="DP1044" s="332"/>
      <c r="DQ1044" s="332"/>
      <c r="DR1044" s="332"/>
      <c r="DS1044" s="332"/>
      <c r="DT1044" s="332"/>
      <c r="DU1044" s="453"/>
      <c r="DV1044" s="453"/>
      <c r="DW1044" s="453"/>
      <c r="DX1044" s="453"/>
      <c r="DY1044" s="453"/>
      <c r="DZ1044" s="453"/>
      <c r="EA1044" s="453"/>
      <c r="EB1044" s="453"/>
      <c r="EC1044" s="453"/>
      <c r="ED1044" s="453"/>
      <c r="EE1044" s="453"/>
      <c r="EF1044" s="453"/>
      <c r="EG1044" s="453"/>
      <c r="EH1044" s="453"/>
      <c r="EI1044" s="453"/>
      <c r="EJ1044" s="453"/>
      <c r="EK1044" s="453"/>
      <c r="EL1044" s="453"/>
      <c r="EM1044" s="483">
        <f t="shared" si="246"/>
        <v>735</v>
      </c>
      <c r="EN1044" s="485"/>
      <c r="EO1044" s="458"/>
      <c r="EP1044" s="467"/>
      <c r="EQ1044" s="457"/>
      <c r="ER1044" s="808"/>
      <c r="ES1044" s="881">
        <f t="shared" si="247"/>
        <v>0</v>
      </c>
      <c r="ET1044" s="882"/>
      <c r="EU1044" s="883"/>
      <c r="EV1044" s="884">
        <f t="shared" si="248"/>
        <v>0</v>
      </c>
      <c r="EW1044" s="885"/>
      <c r="EX1044" s="885"/>
      <c r="EY1044" s="885"/>
      <c r="EZ1044" s="885"/>
      <c r="FA1044" s="885"/>
      <c r="FB1044" s="885"/>
      <c r="FC1044" s="885"/>
      <c r="FD1044" s="886"/>
      <c r="FE1044" s="551"/>
      <c r="FF1044" s="551"/>
      <c r="FG1044" s="551"/>
      <c r="FH1044" s="551"/>
      <c r="FI1044" s="551"/>
      <c r="FJ1044" s="551"/>
      <c r="FK1044" s="551"/>
      <c r="FL1044" s="555"/>
      <c r="FM1044" s="554"/>
      <c r="FN1044" s="554"/>
      <c r="FO1044" s="554"/>
      <c r="FP1044" s="554"/>
      <c r="FQ1044" s="554"/>
      <c r="FR1044" s="554"/>
      <c r="FS1044" s="554"/>
      <c r="FT1044" s="554"/>
      <c r="FU1044" s="554"/>
      <c r="FV1044" s="554"/>
      <c r="FW1044" s="554"/>
      <c r="FX1044" s="554"/>
      <c r="FY1044" s="554"/>
      <c r="FZ1044" s="554"/>
      <c r="GA1044" s="554"/>
      <c r="GB1044" s="556"/>
      <c r="GC1044" s="370"/>
      <c r="GD1044" s="453"/>
      <c r="GE1044" s="453"/>
      <c r="GF1044" s="453"/>
      <c r="GG1044" s="453"/>
      <c r="GH1044" s="454"/>
      <c r="GI1044" s="453"/>
      <c r="GJ1044" s="453"/>
      <c r="GK1044" s="453"/>
      <c r="GL1044" s="453"/>
      <c r="GM1044" s="453"/>
      <c r="GN1044" s="453"/>
      <c r="GO1044" s="453"/>
      <c r="GP1044" s="453"/>
      <c r="GQ1044" s="453"/>
      <c r="GR1044" s="453"/>
      <c r="GS1044" s="561"/>
      <c r="GT1044" s="475"/>
      <c r="GU1044" s="472"/>
      <c r="GV1044" s="453"/>
      <c r="GW1044" s="453"/>
      <c r="GX1044" s="869"/>
      <c r="GY1044" s="870"/>
      <c r="GZ1044" s="867"/>
      <c r="HA1044" s="868"/>
      <c r="HB1044" s="473"/>
      <c r="HC1044" s="869"/>
      <c r="HD1044" s="870"/>
      <c r="HE1044" s="867"/>
      <c r="HF1044" s="868"/>
      <c r="HG1044" s="473"/>
      <c r="HH1044" s="867"/>
      <c r="HI1044" s="868"/>
      <c r="HJ1044" s="867"/>
      <c r="HK1044" s="868"/>
      <c r="HL1044" s="370"/>
      <c r="HM1044" s="865"/>
      <c r="HN1044" s="866"/>
      <c r="HO1044" s="865"/>
      <c r="HP1044" s="866"/>
      <c r="HQ1044" s="865"/>
      <c r="HR1044" s="866"/>
      <c r="HS1044" s="867"/>
      <c r="HT1044" s="868"/>
      <c r="HU1044" s="489"/>
      <c r="HV1044" s="865"/>
      <c r="HW1044" s="866"/>
    </row>
    <row r="1045" spans="25:231" ht="15" customHeight="1">
      <c r="Y1045" s="332"/>
      <c r="Z1045" s="332"/>
      <c r="AA1045" s="332"/>
      <c r="AB1045" s="332"/>
      <c r="AC1045" s="332"/>
      <c r="AD1045" s="332"/>
      <c r="AE1045" s="332"/>
      <c r="AF1045" s="332"/>
      <c r="AG1045" s="332"/>
      <c r="AH1045" s="332"/>
      <c r="AI1045" s="332"/>
      <c r="AJ1045" s="332"/>
      <c r="AK1045" s="332"/>
      <c r="AL1045" s="332"/>
      <c r="AM1045" s="332"/>
      <c r="AN1045" s="332"/>
      <c r="AO1045" s="332"/>
      <c r="AP1045" s="332"/>
      <c r="AQ1045" s="332"/>
      <c r="AR1045" s="332"/>
      <c r="AS1045" s="332"/>
      <c r="AT1045" s="332"/>
      <c r="AU1045" s="332"/>
      <c r="AV1045" s="332"/>
      <c r="AW1045" s="332"/>
      <c r="AX1045" s="332"/>
      <c r="AY1045" s="332"/>
      <c r="AZ1045" s="332"/>
      <c r="BA1045" s="332"/>
      <c r="BB1045" s="332"/>
      <c r="BC1045" s="332"/>
      <c r="BD1045" s="332"/>
      <c r="BE1045" s="332"/>
      <c r="BF1045" s="332"/>
      <c r="BG1045" s="332"/>
      <c r="BH1045" s="332"/>
      <c r="BI1045" s="332"/>
      <c r="BJ1045" s="332"/>
      <c r="BK1045" s="332"/>
      <c r="BL1045" s="332"/>
      <c r="BM1045" s="332"/>
      <c r="BN1045" s="332"/>
      <c r="BO1045" s="332"/>
      <c r="BP1045" s="332"/>
      <c r="BQ1045" s="332"/>
      <c r="BR1045" s="332"/>
      <c r="BS1045" s="332"/>
      <c r="BT1045" s="332"/>
      <c r="BU1045" s="332"/>
      <c r="BV1045" s="332"/>
      <c r="BW1045" s="332"/>
      <c r="BX1045" s="332"/>
      <c r="BY1045" s="332"/>
      <c r="BZ1045" s="332"/>
      <c r="CA1045" s="332"/>
      <c r="CB1045" s="332"/>
      <c r="CC1045" s="332"/>
      <c r="CD1045" s="332"/>
      <c r="CE1045" s="332"/>
      <c r="CF1045" s="332"/>
      <c r="CG1045" s="332"/>
      <c r="CH1045" s="332"/>
      <c r="CI1045" s="332"/>
      <c r="CJ1045" s="332"/>
      <c r="CK1045" s="332"/>
      <c r="CL1045" s="332"/>
      <c r="CM1045" s="332"/>
      <c r="CN1045" s="332"/>
      <c r="CO1045" s="332"/>
      <c r="CP1045" s="332"/>
      <c r="CQ1045" s="332"/>
      <c r="CR1045" s="332"/>
      <c r="CS1045" s="332"/>
      <c r="CT1045" s="332"/>
      <c r="CU1045" s="332"/>
      <c r="CV1045" s="332"/>
      <c r="CW1045" s="332"/>
      <c r="CX1045" s="332"/>
      <c r="CY1045" s="332"/>
      <c r="CZ1045" s="332"/>
      <c r="DA1045" s="332"/>
      <c r="DB1045" s="332"/>
      <c r="DC1045" s="332"/>
      <c r="DD1045" s="332"/>
      <c r="DE1045" s="332"/>
      <c r="DF1045" s="332"/>
      <c r="DG1045" s="332"/>
      <c r="DH1045" s="332"/>
      <c r="DI1045" s="332"/>
      <c r="DJ1045" s="332"/>
      <c r="DK1045" s="332"/>
      <c r="DL1045" s="332"/>
      <c r="DM1045" s="332"/>
      <c r="DN1045" s="332"/>
      <c r="DO1045" s="332"/>
      <c r="DP1045" s="332"/>
      <c r="DQ1045" s="332"/>
      <c r="DR1045" s="332"/>
      <c r="DS1045" s="332"/>
      <c r="DT1045" s="332"/>
      <c r="DU1045" s="453"/>
      <c r="DV1045" s="453"/>
      <c r="DW1045" s="453"/>
      <c r="DX1045" s="453"/>
      <c r="DY1045" s="453"/>
      <c r="DZ1045" s="453"/>
      <c r="EA1045" s="453"/>
      <c r="EB1045" s="453"/>
      <c r="EC1045" s="453"/>
      <c r="ED1045" s="453"/>
      <c r="EE1045" s="453"/>
      <c r="EF1045" s="453"/>
      <c r="EG1045" s="453"/>
      <c r="EH1045" s="453"/>
      <c r="EI1045" s="453"/>
      <c r="EJ1045" s="453"/>
      <c r="EK1045" s="453"/>
      <c r="EL1045" s="453"/>
      <c r="EM1045" s="483">
        <f t="shared" si="246"/>
        <v>736</v>
      </c>
      <c r="EN1045" s="485"/>
      <c r="EO1045" s="458"/>
      <c r="EP1045" s="467"/>
      <c r="EQ1045" s="457"/>
      <c r="ER1045" s="808"/>
      <c r="ES1045" s="881">
        <f t="shared" si="247"/>
        <v>0</v>
      </c>
      <c r="ET1045" s="882"/>
      <c r="EU1045" s="883"/>
      <c r="EV1045" s="884">
        <f t="shared" si="248"/>
        <v>0</v>
      </c>
      <c r="EW1045" s="885"/>
      <c r="EX1045" s="885"/>
      <c r="EY1045" s="885"/>
      <c r="EZ1045" s="885"/>
      <c r="FA1045" s="885"/>
      <c r="FB1045" s="885"/>
      <c r="FC1045" s="885"/>
      <c r="FD1045" s="886"/>
      <c r="FE1045" s="551"/>
      <c r="FF1045" s="551"/>
      <c r="FG1045" s="551"/>
      <c r="FH1045" s="551"/>
      <c r="FI1045" s="551"/>
      <c r="FJ1045" s="551"/>
      <c r="FK1045" s="551"/>
      <c r="FL1045" s="555"/>
      <c r="FM1045" s="554"/>
      <c r="FN1045" s="554"/>
      <c r="FO1045" s="554"/>
      <c r="FP1045" s="554"/>
      <c r="FQ1045" s="554"/>
      <c r="FR1045" s="554"/>
      <c r="FS1045" s="554"/>
      <c r="FT1045" s="554"/>
      <c r="FU1045" s="554"/>
      <c r="FV1045" s="554"/>
      <c r="FW1045" s="554"/>
      <c r="FX1045" s="554"/>
      <c r="FY1045" s="554"/>
      <c r="FZ1045" s="554"/>
      <c r="GA1045" s="554"/>
      <c r="GB1045" s="556"/>
      <c r="GC1045" s="370"/>
      <c r="GD1045" s="453"/>
      <c r="GE1045" s="453"/>
      <c r="GF1045" s="453"/>
      <c r="GG1045" s="453"/>
      <c r="GH1045" s="454"/>
      <c r="GI1045" s="453"/>
      <c r="GJ1045" s="453"/>
      <c r="GK1045" s="453"/>
      <c r="GL1045" s="453"/>
      <c r="GM1045" s="453"/>
      <c r="GN1045" s="453"/>
      <c r="GO1045" s="453"/>
      <c r="GP1045" s="453"/>
      <c r="GQ1045" s="453"/>
      <c r="GR1045" s="453"/>
      <c r="GS1045" s="561"/>
      <c r="GT1045" s="475"/>
      <c r="GU1045" s="472"/>
      <c r="GV1045" s="453"/>
      <c r="GW1045" s="453"/>
      <c r="GX1045" s="869"/>
      <c r="GY1045" s="870"/>
      <c r="GZ1045" s="867"/>
      <c r="HA1045" s="868"/>
      <c r="HB1045" s="473"/>
      <c r="HC1045" s="869"/>
      <c r="HD1045" s="870"/>
      <c r="HE1045" s="867"/>
      <c r="HF1045" s="868"/>
      <c r="HG1045" s="473"/>
      <c r="HH1045" s="867"/>
      <c r="HI1045" s="868"/>
      <c r="HJ1045" s="867"/>
      <c r="HK1045" s="868"/>
      <c r="HL1045" s="370"/>
      <c r="HM1045" s="865"/>
      <c r="HN1045" s="866"/>
      <c r="HO1045" s="865"/>
      <c r="HP1045" s="866"/>
      <c r="HQ1045" s="865"/>
      <c r="HR1045" s="866"/>
      <c r="HS1045" s="867"/>
      <c r="HT1045" s="868"/>
      <c r="HU1045" s="489"/>
      <c r="HV1045" s="865"/>
      <c r="HW1045" s="866"/>
    </row>
    <row r="1046" spans="25:231" ht="15" customHeight="1">
      <c r="Y1046" s="332"/>
      <c r="Z1046" s="332"/>
      <c r="AA1046" s="332"/>
      <c r="AB1046" s="332"/>
      <c r="AC1046" s="332"/>
      <c r="AD1046" s="332"/>
      <c r="AE1046" s="332"/>
      <c r="AF1046" s="332"/>
      <c r="AG1046" s="332"/>
      <c r="AH1046" s="332"/>
      <c r="AI1046" s="332"/>
      <c r="AJ1046" s="332"/>
      <c r="AK1046" s="332"/>
      <c r="AL1046" s="332"/>
      <c r="AM1046" s="332"/>
      <c r="AN1046" s="332"/>
      <c r="AO1046" s="332"/>
      <c r="AP1046" s="332"/>
      <c r="AQ1046" s="332"/>
      <c r="AR1046" s="332"/>
      <c r="AS1046" s="332"/>
      <c r="AT1046" s="332"/>
      <c r="AU1046" s="332"/>
      <c r="AV1046" s="332"/>
      <c r="AW1046" s="332"/>
      <c r="AX1046" s="332"/>
      <c r="AY1046" s="332"/>
      <c r="AZ1046" s="332"/>
      <c r="BA1046" s="332"/>
      <c r="BB1046" s="332"/>
      <c r="BC1046" s="332"/>
      <c r="BD1046" s="332"/>
      <c r="BE1046" s="332"/>
      <c r="BF1046" s="332"/>
      <c r="BG1046" s="332"/>
      <c r="BH1046" s="332"/>
      <c r="BI1046" s="332"/>
      <c r="BJ1046" s="332"/>
      <c r="BK1046" s="332"/>
      <c r="BL1046" s="332"/>
      <c r="BM1046" s="332"/>
      <c r="BN1046" s="332"/>
      <c r="BO1046" s="332"/>
      <c r="BP1046" s="332"/>
      <c r="BQ1046" s="332"/>
      <c r="BR1046" s="332"/>
      <c r="BS1046" s="332"/>
      <c r="BT1046" s="332"/>
      <c r="BU1046" s="332"/>
      <c r="BV1046" s="332"/>
      <c r="BW1046" s="332"/>
      <c r="BX1046" s="332"/>
      <c r="BY1046" s="332"/>
      <c r="BZ1046" s="332"/>
      <c r="CA1046" s="332"/>
      <c r="CB1046" s="332"/>
      <c r="CC1046" s="332"/>
      <c r="CD1046" s="332"/>
      <c r="CE1046" s="332"/>
      <c r="CF1046" s="332"/>
      <c r="CG1046" s="332"/>
      <c r="CH1046" s="332"/>
      <c r="CI1046" s="332"/>
      <c r="CJ1046" s="332"/>
      <c r="CK1046" s="332"/>
      <c r="CL1046" s="332"/>
      <c r="CM1046" s="332"/>
      <c r="CN1046" s="332"/>
      <c r="CO1046" s="332"/>
      <c r="CP1046" s="332"/>
      <c r="CQ1046" s="332"/>
      <c r="CR1046" s="332"/>
      <c r="CS1046" s="332"/>
      <c r="CT1046" s="332"/>
      <c r="CU1046" s="332"/>
      <c r="CV1046" s="332"/>
      <c r="CW1046" s="332"/>
      <c r="CX1046" s="332"/>
      <c r="CY1046" s="332"/>
      <c r="CZ1046" s="332"/>
      <c r="DA1046" s="332"/>
      <c r="DB1046" s="332"/>
      <c r="DC1046" s="332"/>
      <c r="DD1046" s="332"/>
      <c r="DE1046" s="332"/>
      <c r="DF1046" s="332"/>
      <c r="DG1046" s="332"/>
      <c r="DH1046" s="332"/>
      <c r="DI1046" s="332"/>
      <c r="DJ1046" s="332"/>
      <c r="DK1046" s="332"/>
      <c r="DL1046" s="332"/>
      <c r="DM1046" s="332"/>
      <c r="DN1046" s="332"/>
      <c r="DO1046" s="332"/>
      <c r="DP1046" s="332"/>
      <c r="DQ1046" s="332"/>
      <c r="DR1046" s="332"/>
      <c r="DS1046" s="332"/>
      <c r="DT1046" s="332"/>
      <c r="DU1046" s="453"/>
      <c r="DV1046" s="453"/>
      <c r="DW1046" s="453"/>
      <c r="DX1046" s="453"/>
      <c r="DY1046" s="453"/>
      <c r="DZ1046" s="453"/>
      <c r="EA1046" s="453"/>
      <c r="EB1046" s="453"/>
      <c r="EC1046" s="453"/>
      <c r="ED1046" s="453"/>
      <c r="EE1046" s="453"/>
      <c r="EF1046" s="453"/>
      <c r="EG1046" s="453"/>
      <c r="EH1046" s="453"/>
      <c r="EI1046" s="453"/>
      <c r="EJ1046" s="453"/>
      <c r="EK1046" s="453"/>
      <c r="EL1046" s="453"/>
      <c r="EM1046" s="483">
        <f t="shared" si="246"/>
        <v>737</v>
      </c>
      <c r="EN1046" s="485"/>
      <c r="EO1046" s="458"/>
      <c r="EP1046" s="467"/>
      <c r="EQ1046" s="457"/>
      <c r="ER1046" s="808"/>
      <c r="ES1046" s="881">
        <f t="shared" si="247"/>
        <v>0</v>
      </c>
      <c r="ET1046" s="882"/>
      <c r="EU1046" s="883"/>
      <c r="EV1046" s="884">
        <f t="shared" si="248"/>
        <v>0</v>
      </c>
      <c r="EW1046" s="885"/>
      <c r="EX1046" s="885"/>
      <c r="EY1046" s="885"/>
      <c r="EZ1046" s="885"/>
      <c r="FA1046" s="885"/>
      <c r="FB1046" s="885"/>
      <c r="FC1046" s="885"/>
      <c r="FD1046" s="886"/>
      <c r="FE1046" s="551"/>
      <c r="FF1046" s="551"/>
      <c r="FG1046" s="551"/>
      <c r="FH1046" s="551"/>
      <c r="FI1046" s="551"/>
      <c r="FJ1046" s="551"/>
      <c r="FK1046" s="551"/>
      <c r="FL1046" s="555"/>
      <c r="FM1046" s="554"/>
      <c r="FN1046" s="554"/>
      <c r="FO1046" s="554"/>
      <c r="FP1046" s="554"/>
      <c r="FQ1046" s="554"/>
      <c r="FR1046" s="554"/>
      <c r="FS1046" s="554"/>
      <c r="FT1046" s="554"/>
      <c r="FU1046" s="554"/>
      <c r="FV1046" s="554"/>
      <c r="FW1046" s="554"/>
      <c r="FX1046" s="554"/>
      <c r="FY1046" s="554"/>
      <c r="FZ1046" s="554"/>
      <c r="GA1046" s="554"/>
      <c r="GB1046" s="556"/>
      <c r="GC1046" s="370"/>
      <c r="GD1046" s="453"/>
      <c r="GE1046" s="453"/>
      <c r="GF1046" s="453"/>
      <c r="GG1046" s="453"/>
      <c r="GH1046" s="454"/>
      <c r="GI1046" s="453"/>
      <c r="GJ1046" s="453"/>
      <c r="GK1046" s="453"/>
      <c r="GL1046" s="453"/>
      <c r="GM1046" s="453"/>
      <c r="GN1046" s="453"/>
      <c r="GO1046" s="453"/>
      <c r="GP1046" s="453"/>
      <c r="GQ1046" s="453"/>
      <c r="GR1046" s="453"/>
      <c r="GS1046" s="561"/>
      <c r="GT1046" s="475"/>
      <c r="GU1046" s="472"/>
      <c r="GV1046" s="453"/>
      <c r="GW1046" s="453"/>
      <c r="GX1046" s="869"/>
      <c r="GY1046" s="870"/>
      <c r="GZ1046" s="867"/>
      <c r="HA1046" s="868"/>
      <c r="HB1046" s="473"/>
      <c r="HC1046" s="869"/>
      <c r="HD1046" s="870"/>
      <c r="HE1046" s="867"/>
      <c r="HF1046" s="868"/>
      <c r="HG1046" s="473"/>
      <c r="HH1046" s="867"/>
      <c r="HI1046" s="868"/>
      <c r="HJ1046" s="867"/>
      <c r="HK1046" s="868"/>
      <c r="HL1046" s="370"/>
      <c r="HM1046" s="865"/>
      <c r="HN1046" s="866"/>
      <c r="HO1046" s="865"/>
      <c r="HP1046" s="866"/>
      <c r="HQ1046" s="865"/>
      <c r="HR1046" s="866"/>
      <c r="HS1046" s="867"/>
      <c r="HT1046" s="868"/>
      <c r="HU1046" s="489"/>
      <c r="HV1046" s="865"/>
      <c r="HW1046" s="866"/>
    </row>
    <row r="1047" spans="25:231" ht="15" customHeight="1">
      <c r="Y1047" s="332"/>
      <c r="Z1047" s="332"/>
      <c r="AA1047" s="332"/>
      <c r="AB1047" s="332"/>
      <c r="AC1047" s="332"/>
      <c r="AD1047" s="332"/>
      <c r="AE1047" s="332"/>
      <c r="AF1047" s="332"/>
      <c r="AG1047" s="332"/>
      <c r="AH1047" s="332"/>
      <c r="AI1047" s="332"/>
      <c r="AJ1047" s="332"/>
      <c r="AK1047" s="332"/>
      <c r="AL1047" s="332"/>
      <c r="AM1047" s="332"/>
      <c r="AN1047" s="332"/>
      <c r="AO1047" s="332"/>
      <c r="AP1047" s="332"/>
      <c r="AQ1047" s="332"/>
      <c r="AR1047" s="332"/>
      <c r="AS1047" s="332"/>
      <c r="AT1047" s="332"/>
      <c r="AU1047" s="332"/>
      <c r="AV1047" s="332"/>
      <c r="AW1047" s="332"/>
      <c r="AX1047" s="332"/>
      <c r="AY1047" s="332"/>
      <c r="AZ1047" s="332"/>
      <c r="BA1047" s="332"/>
      <c r="BB1047" s="332"/>
      <c r="BC1047" s="332"/>
      <c r="BD1047" s="332"/>
      <c r="BE1047" s="332"/>
      <c r="BF1047" s="332"/>
      <c r="BG1047" s="332"/>
      <c r="BH1047" s="332"/>
      <c r="BI1047" s="332"/>
      <c r="BJ1047" s="332"/>
      <c r="BK1047" s="332"/>
      <c r="BL1047" s="332"/>
      <c r="BM1047" s="332"/>
      <c r="BN1047" s="332"/>
      <c r="BO1047" s="332"/>
      <c r="BP1047" s="332"/>
      <c r="BQ1047" s="332"/>
      <c r="BR1047" s="332"/>
      <c r="BS1047" s="332"/>
      <c r="BT1047" s="332"/>
      <c r="BU1047" s="332"/>
      <c r="BV1047" s="332"/>
      <c r="BW1047" s="332"/>
      <c r="BX1047" s="332"/>
      <c r="BY1047" s="332"/>
      <c r="BZ1047" s="332"/>
      <c r="CA1047" s="332"/>
      <c r="CB1047" s="332"/>
      <c r="CC1047" s="332"/>
      <c r="CD1047" s="332"/>
      <c r="CE1047" s="332"/>
      <c r="CF1047" s="332"/>
      <c r="CG1047" s="332"/>
      <c r="CH1047" s="332"/>
      <c r="CI1047" s="332"/>
      <c r="CJ1047" s="332"/>
      <c r="CK1047" s="332"/>
      <c r="CL1047" s="332"/>
      <c r="CM1047" s="332"/>
      <c r="CN1047" s="332"/>
      <c r="CO1047" s="332"/>
      <c r="CP1047" s="332"/>
      <c r="CQ1047" s="332"/>
      <c r="CR1047" s="332"/>
      <c r="CS1047" s="332"/>
      <c r="CT1047" s="332"/>
      <c r="CU1047" s="332"/>
      <c r="CV1047" s="332"/>
      <c r="CW1047" s="332"/>
      <c r="CX1047" s="332"/>
      <c r="CY1047" s="332"/>
      <c r="CZ1047" s="332"/>
      <c r="DA1047" s="332"/>
      <c r="DB1047" s="332"/>
      <c r="DC1047" s="332"/>
      <c r="DD1047" s="332"/>
      <c r="DE1047" s="332"/>
      <c r="DF1047" s="332"/>
      <c r="DG1047" s="332"/>
      <c r="DH1047" s="332"/>
      <c r="DI1047" s="332"/>
      <c r="DJ1047" s="332"/>
      <c r="DK1047" s="332"/>
      <c r="DL1047" s="332"/>
      <c r="DM1047" s="332"/>
      <c r="DN1047" s="332"/>
      <c r="DO1047" s="332"/>
      <c r="DP1047" s="332"/>
      <c r="DQ1047" s="332"/>
      <c r="DR1047" s="332"/>
      <c r="DS1047" s="332"/>
      <c r="DT1047" s="332"/>
      <c r="DU1047" s="453"/>
      <c r="DV1047" s="453"/>
      <c r="DW1047" s="453"/>
      <c r="DX1047" s="453"/>
      <c r="DY1047" s="453"/>
      <c r="DZ1047" s="453"/>
      <c r="EA1047" s="453"/>
      <c r="EB1047" s="453"/>
      <c r="EC1047" s="453"/>
      <c r="ED1047" s="453"/>
      <c r="EE1047" s="453"/>
      <c r="EF1047" s="453"/>
      <c r="EG1047" s="453"/>
      <c r="EH1047" s="453"/>
      <c r="EI1047" s="453"/>
      <c r="EJ1047" s="453"/>
      <c r="EK1047" s="453"/>
      <c r="EL1047" s="453"/>
      <c r="EM1047" s="483">
        <f t="shared" si="246"/>
        <v>738</v>
      </c>
      <c r="EN1047" s="485"/>
      <c r="EO1047" s="458"/>
      <c r="EP1047" s="467"/>
      <c r="EQ1047" s="457"/>
      <c r="ER1047" s="808"/>
      <c r="ES1047" s="881">
        <f t="shared" si="247"/>
        <v>0</v>
      </c>
      <c r="ET1047" s="882"/>
      <c r="EU1047" s="883"/>
      <c r="EV1047" s="884">
        <f t="shared" si="248"/>
        <v>0</v>
      </c>
      <c r="EW1047" s="885"/>
      <c r="EX1047" s="885"/>
      <c r="EY1047" s="885"/>
      <c r="EZ1047" s="885"/>
      <c r="FA1047" s="885"/>
      <c r="FB1047" s="885"/>
      <c r="FC1047" s="885"/>
      <c r="FD1047" s="886"/>
      <c r="FE1047" s="551"/>
      <c r="FF1047" s="551"/>
      <c r="FG1047" s="551"/>
      <c r="FH1047" s="551"/>
      <c r="FI1047" s="551"/>
      <c r="FJ1047" s="551"/>
      <c r="FK1047" s="551"/>
      <c r="FL1047" s="555"/>
      <c r="FM1047" s="554"/>
      <c r="FN1047" s="554"/>
      <c r="FO1047" s="554"/>
      <c r="FP1047" s="554"/>
      <c r="FQ1047" s="554"/>
      <c r="FR1047" s="554"/>
      <c r="FS1047" s="554"/>
      <c r="FT1047" s="554"/>
      <c r="FU1047" s="554"/>
      <c r="FV1047" s="554"/>
      <c r="FW1047" s="554"/>
      <c r="FX1047" s="554"/>
      <c r="FY1047" s="554"/>
      <c r="FZ1047" s="554"/>
      <c r="GA1047" s="554"/>
      <c r="GB1047" s="556"/>
      <c r="GC1047" s="370"/>
      <c r="GD1047" s="453"/>
      <c r="GE1047" s="453"/>
      <c r="GF1047" s="453"/>
      <c r="GG1047" s="453"/>
      <c r="GH1047" s="454"/>
      <c r="GI1047" s="453"/>
      <c r="GJ1047" s="453"/>
      <c r="GK1047" s="453"/>
      <c r="GL1047" s="453"/>
      <c r="GM1047" s="453"/>
      <c r="GN1047" s="453"/>
      <c r="GO1047" s="453"/>
      <c r="GP1047" s="453"/>
      <c r="GQ1047" s="453"/>
      <c r="GR1047" s="453"/>
      <c r="GS1047" s="561"/>
      <c r="GT1047" s="475"/>
      <c r="GU1047" s="472"/>
      <c r="GV1047" s="453"/>
      <c r="GW1047" s="453"/>
      <c r="GX1047" s="869"/>
      <c r="GY1047" s="870"/>
      <c r="GZ1047" s="867"/>
      <c r="HA1047" s="868"/>
      <c r="HB1047" s="473"/>
      <c r="HC1047" s="869"/>
      <c r="HD1047" s="870"/>
      <c r="HE1047" s="867"/>
      <c r="HF1047" s="868"/>
      <c r="HG1047" s="473"/>
      <c r="HH1047" s="867"/>
      <c r="HI1047" s="868"/>
      <c r="HJ1047" s="867"/>
      <c r="HK1047" s="868"/>
      <c r="HL1047" s="370"/>
      <c r="HM1047" s="865"/>
      <c r="HN1047" s="866"/>
      <c r="HO1047" s="865"/>
      <c r="HP1047" s="866"/>
      <c r="HQ1047" s="865"/>
      <c r="HR1047" s="866"/>
      <c r="HS1047" s="867"/>
      <c r="HT1047" s="868"/>
      <c r="HU1047" s="489"/>
      <c r="HV1047" s="865"/>
      <c r="HW1047" s="866"/>
    </row>
    <row r="1048" spans="25:231" ht="15" customHeight="1">
      <c r="Y1048" s="332"/>
      <c r="Z1048" s="332"/>
      <c r="AA1048" s="332"/>
      <c r="AB1048" s="332"/>
      <c r="AC1048" s="332"/>
      <c r="AD1048" s="332"/>
      <c r="AE1048" s="332"/>
      <c r="AF1048" s="332"/>
      <c r="AG1048" s="332"/>
      <c r="AH1048" s="332"/>
      <c r="AI1048" s="332"/>
      <c r="AJ1048" s="332"/>
      <c r="AK1048" s="332"/>
      <c r="AL1048" s="332"/>
      <c r="AM1048" s="332"/>
      <c r="AN1048" s="332"/>
      <c r="AO1048" s="332"/>
      <c r="AP1048" s="332"/>
      <c r="AQ1048" s="332"/>
      <c r="AR1048" s="332"/>
      <c r="AS1048" s="332"/>
      <c r="AT1048" s="332"/>
      <c r="AU1048" s="332"/>
      <c r="AV1048" s="332"/>
      <c r="AW1048" s="332"/>
      <c r="AX1048" s="332"/>
      <c r="AY1048" s="332"/>
      <c r="AZ1048" s="332"/>
      <c r="BA1048" s="332"/>
      <c r="BB1048" s="332"/>
      <c r="BC1048" s="332"/>
      <c r="BD1048" s="332"/>
      <c r="BE1048" s="332"/>
      <c r="BF1048" s="332"/>
      <c r="BG1048" s="332"/>
      <c r="BH1048" s="332"/>
      <c r="BI1048" s="332"/>
      <c r="BJ1048" s="332"/>
      <c r="BK1048" s="332"/>
      <c r="BL1048" s="332"/>
      <c r="BM1048" s="332"/>
      <c r="BN1048" s="332"/>
      <c r="BO1048" s="332"/>
      <c r="BP1048" s="332"/>
      <c r="BQ1048" s="332"/>
      <c r="BR1048" s="332"/>
      <c r="BS1048" s="332"/>
      <c r="BT1048" s="332"/>
      <c r="BU1048" s="332"/>
      <c r="BV1048" s="332"/>
      <c r="BW1048" s="332"/>
      <c r="BX1048" s="332"/>
      <c r="BY1048" s="332"/>
      <c r="BZ1048" s="332"/>
      <c r="CA1048" s="332"/>
      <c r="CB1048" s="332"/>
      <c r="CC1048" s="332"/>
      <c r="CD1048" s="332"/>
      <c r="CE1048" s="332"/>
      <c r="CF1048" s="332"/>
      <c r="CG1048" s="332"/>
      <c r="CH1048" s="332"/>
      <c r="CI1048" s="332"/>
      <c r="CJ1048" s="332"/>
      <c r="CK1048" s="332"/>
      <c r="CL1048" s="332"/>
      <c r="CM1048" s="332"/>
      <c r="CN1048" s="332"/>
      <c r="CO1048" s="332"/>
      <c r="CP1048" s="332"/>
      <c r="CQ1048" s="332"/>
      <c r="CR1048" s="332"/>
      <c r="CS1048" s="332"/>
      <c r="CT1048" s="332"/>
      <c r="CU1048" s="332"/>
      <c r="CV1048" s="332"/>
      <c r="CW1048" s="332"/>
      <c r="CX1048" s="332"/>
      <c r="CY1048" s="332"/>
      <c r="CZ1048" s="332"/>
      <c r="DA1048" s="332"/>
      <c r="DB1048" s="332"/>
      <c r="DC1048" s="332"/>
      <c r="DD1048" s="332"/>
      <c r="DE1048" s="332"/>
      <c r="DF1048" s="332"/>
      <c r="DG1048" s="332"/>
      <c r="DH1048" s="332"/>
      <c r="DI1048" s="332"/>
      <c r="DJ1048" s="332"/>
      <c r="DK1048" s="332"/>
      <c r="DL1048" s="332"/>
      <c r="DM1048" s="332"/>
      <c r="DN1048" s="332"/>
      <c r="DO1048" s="332"/>
      <c r="DP1048" s="332"/>
      <c r="DQ1048" s="332"/>
      <c r="DR1048" s="332"/>
      <c r="DS1048" s="332"/>
      <c r="DT1048" s="332"/>
      <c r="DU1048" s="453"/>
      <c r="DV1048" s="453"/>
      <c r="DW1048" s="453"/>
      <c r="DX1048" s="453"/>
      <c r="DY1048" s="453"/>
      <c r="DZ1048" s="453"/>
      <c r="EA1048" s="453"/>
      <c r="EB1048" s="453"/>
      <c r="EC1048" s="453"/>
      <c r="ED1048" s="453"/>
      <c r="EE1048" s="453"/>
      <c r="EF1048" s="453"/>
      <c r="EG1048" s="453"/>
      <c r="EH1048" s="453"/>
      <c r="EI1048" s="453"/>
      <c r="EJ1048" s="453"/>
      <c r="EK1048" s="453"/>
      <c r="EL1048" s="453"/>
      <c r="EM1048" s="483">
        <f t="shared" si="246"/>
        <v>739</v>
      </c>
      <c r="EN1048" s="485"/>
      <c r="EO1048" s="458"/>
      <c r="EP1048" s="467"/>
      <c r="EQ1048" s="457"/>
      <c r="ER1048" s="808"/>
      <c r="ES1048" s="881">
        <f t="shared" si="247"/>
        <v>0</v>
      </c>
      <c r="ET1048" s="882"/>
      <c r="EU1048" s="883"/>
      <c r="EV1048" s="884">
        <f t="shared" si="248"/>
        <v>0</v>
      </c>
      <c r="EW1048" s="885"/>
      <c r="EX1048" s="885"/>
      <c r="EY1048" s="885"/>
      <c r="EZ1048" s="885"/>
      <c r="FA1048" s="885"/>
      <c r="FB1048" s="885"/>
      <c r="FC1048" s="885"/>
      <c r="FD1048" s="886"/>
      <c r="FE1048" s="551"/>
      <c r="FF1048" s="551"/>
      <c r="FG1048" s="551"/>
      <c r="FH1048" s="551"/>
      <c r="FI1048" s="551"/>
      <c r="FJ1048" s="551"/>
      <c r="FK1048" s="551"/>
      <c r="FL1048" s="555"/>
      <c r="FM1048" s="554"/>
      <c r="FN1048" s="554"/>
      <c r="FO1048" s="554"/>
      <c r="FP1048" s="554"/>
      <c r="FQ1048" s="554"/>
      <c r="FR1048" s="554"/>
      <c r="FS1048" s="554"/>
      <c r="FT1048" s="554"/>
      <c r="FU1048" s="554"/>
      <c r="FV1048" s="554"/>
      <c r="FW1048" s="554"/>
      <c r="FX1048" s="554"/>
      <c r="FY1048" s="554"/>
      <c r="FZ1048" s="554"/>
      <c r="GA1048" s="554"/>
      <c r="GB1048" s="556"/>
      <c r="GC1048" s="370"/>
      <c r="GD1048" s="453"/>
      <c r="GE1048" s="453"/>
      <c r="GF1048" s="453"/>
      <c r="GG1048" s="453"/>
      <c r="GH1048" s="454"/>
      <c r="GI1048" s="453"/>
      <c r="GJ1048" s="453"/>
      <c r="GK1048" s="453"/>
      <c r="GL1048" s="453"/>
      <c r="GM1048" s="453"/>
      <c r="GN1048" s="453"/>
      <c r="GO1048" s="453"/>
      <c r="GP1048" s="453"/>
      <c r="GQ1048" s="453"/>
      <c r="GR1048" s="453"/>
      <c r="GS1048" s="561"/>
      <c r="GT1048" s="475"/>
      <c r="GU1048" s="472"/>
      <c r="GV1048" s="453"/>
      <c r="GW1048" s="453"/>
      <c r="GX1048" s="869"/>
      <c r="GY1048" s="870"/>
      <c r="GZ1048" s="867"/>
      <c r="HA1048" s="868"/>
      <c r="HB1048" s="473"/>
      <c r="HC1048" s="869"/>
      <c r="HD1048" s="870"/>
      <c r="HE1048" s="867"/>
      <c r="HF1048" s="868"/>
      <c r="HG1048" s="473"/>
      <c r="HH1048" s="867"/>
      <c r="HI1048" s="868"/>
      <c r="HJ1048" s="867"/>
      <c r="HK1048" s="868"/>
      <c r="HL1048" s="370"/>
      <c r="HM1048" s="865"/>
      <c r="HN1048" s="866"/>
      <c r="HO1048" s="865"/>
      <c r="HP1048" s="866"/>
      <c r="HQ1048" s="865"/>
      <c r="HR1048" s="866"/>
      <c r="HS1048" s="867"/>
      <c r="HT1048" s="868"/>
      <c r="HU1048" s="489"/>
      <c r="HV1048" s="865"/>
      <c r="HW1048" s="866"/>
    </row>
    <row r="1049" spans="25:231" ht="15" customHeight="1">
      <c r="Y1049" s="332"/>
      <c r="Z1049" s="332"/>
      <c r="AA1049" s="332"/>
      <c r="AB1049" s="332"/>
      <c r="AC1049" s="332"/>
      <c r="AD1049" s="332"/>
      <c r="AE1049" s="332"/>
      <c r="AF1049" s="332"/>
      <c r="AG1049" s="332"/>
      <c r="AH1049" s="332"/>
      <c r="AI1049" s="332"/>
      <c r="AJ1049" s="332"/>
      <c r="AK1049" s="332"/>
      <c r="AL1049" s="332"/>
      <c r="AM1049" s="332"/>
      <c r="AN1049" s="332"/>
      <c r="AO1049" s="332"/>
      <c r="AP1049" s="332"/>
      <c r="AQ1049" s="332"/>
      <c r="AR1049" s="332"/>
      <c r="AS1049" s="332"/>
      <c r="AT1049" s="332"/>
      <c r="AU1049" s="332"/>
      <c r="AV1049" s="332"/>
      <c r="AW1049" s="332"/>
      <c r="AX1049" s="332"/>
      <c r="AY1049" s="332"/>
      <c r="AZ1049" s="332"/>
      <c r="BA1049" s="332"/>
      <c r="BB1049" s="332"/>
      <c r="BC1049" s="332"/>
      <c r="BD1049" s="332"/>
      <c r="BE1049" s="332"/>
      <c r="BF1049" s="332"/>
      <c r="BG1049" s="332"/>
      <c r="BH1049" s="332"/>
      <c r="BI1049" s="332"/>
      <c r="BJ1049" s="332"/>
      <c r="BK1049" s="332"/>
      <c r="BL1049" s="332"/>
      <c r="BM1049" s="332"/>
      <c r="BN1049" s="332"/>
      <c r="BO1049" s="332"/>
      <c r="BP1049" s="332"/>
      <c r="BQ1049" s="332"/>
      <c r="BR1049" s="332"/>
      <c r="BS1049" s="332"/>
      <c r="BT1049" s="332"/>
      <c r="BU1049" s="332"/>
      <c r="BV1049" s="332"/>
      <c r="BW1049" s="332"/>
      <c r="BX1049" s="332"/>
      <c r="BY1049" s="332"/>
      <c r="BZ1049" s="332"/>
      <c r="CA1049" s="332"/>
      <c r="CB1049" s="332"/>
      <c r="CC1049" s="332"/>
      <c r="CD1049" s="332"/>
      <c r="CE1049" s="332"/>
      <c r="CF1049" s="332"/>
      <c r="CG1049" s="332"/>
      <c r="CH1049" s="332"/>
      <c r="CI1049" s="332"/>
      <c r="CJ1049" s="332"/>
      <c r="CK1049" s="332"/>
      <c r="CL1049" s="332"/>
      <c r="CM1049" s="332"/>
      <c r="CN1049" s="332"/>
      <c r="CO1049" s="332"/>
      <c r="CP1049" s="332"/>
      <c r="CQ1049" s="332"/>
      <c r="CR1049" s="332"/>
      <c r="CS1049" s="332"/>
      <c r="CT1049" s="332"/>
      <c r="CU1049" s="332"/>
      <c r="CV1049" s="332"/>
      <c r="CW1049" s="332"/>
      <c r="CX1049" s="332"/>
      <c r="CY1049" s="332"/>
      <c r="CZ1049" s="332"/>
      <c r="DA1049" s="332"/>
      <c r="DB1049" s="332"/>
      <c r="DC1049" s="332"/>
      <c r="DD1049" s="332"/>
      <c r="DE1049" s="332"/>
      <c r="DF1049" s="332"/>
      <c r="DG1049" s="332"/>
      <c r="DH1049" s="332"/>
      <c r="DI1049" s="332"/>
      <c r="DJ1049" s="332"/>
      <c r="DK1049" s="332"/>
      <c r="DL1049" s="332"/>
      <c r="DM1049" s="332"/>
      <c r="DN1049" s="332"/>
      <c r="DO1049" s="332"/>
      <c r="DP1049" s="332"/>
      <c r="DQ1049" s="332"/>
      <c r="DR1049" s="332"/>
      <c r="DS1049" s="332"/>
      <c r="DT1049" s="332"/>
      <c r="DU1049" s="453"/>
      <c r="DV1049" s="453"/>
      <c r="DW1049" s="453"/>
      <c r="DX1049" s="453"/>
      <c r="DY1049" s="453"/>
      <c r="DZ1049" s="453"/>
      <c r="EA1049" s="453"/>
      <c r="EB1049" s="453"/>
      <c r="EC1049" s="453"/>
      <c r="ED1049" s="453"/>
      <c r="EE1049" s="453"/>
      <c r="EF1049" s="453"/>
      <c r="EG1049" s="453"/>
      <c r="EH1049" s="453"/>
      <c r="EI1049" s="453"/>
      <c r="EJ1049" s="453"/>
      <c r="EK1049" s="453"/>
      <c r="EL1049" s="453"/>
      <c r="EM1049" s="483">
        <f t="shared" si="246"/>
        <v>740</v>
      </c>
      <c r="EN1049" s="485"/>
      <c r="EO1049" s="458"/>
      <c r="EP1049" s="467"/>
      <c r="EQ1049" s="457"/>
      <c r="ER1049" s="808"/>
      <c r="ES1049" s="881">
        <f t="shared" si="247"/>
        <v>0</v>
      </c>
      <c r="ET1049" s="882"/>
      <c r="EU1049" s="883"/>
      <c r="EV1049" s="884">
        <f t="shared" si="248"/>
        <v>0</v>
      </c>
      <c r="EW1049" s="885"/>
      <c r="EX1049" s="885"/>
      <c r="EY1049" s="885"/>
      <c r="EZ1049" s="885"/>
      <c r="FA1049" s="885"/>
      <c r="FB1049" s="885"/>
      <c r="FC1049" s="885"/>
      <c r="FD1049" s="886"/>
      <c r="FE1049" s="551"/>
      <c r="FF1049" s="551"/>
      <c r="FG1049" s="551"/>
      <c r="FH1049" s="551"/>
      <c r="FI1049" s="551"/>
      <c r="FJ1049" s="551"/>
      <c r="FK1049" s="551"/>
      <c r="FL1049" s="555"/>
      <c r="FM1049" s="554"/>
      <c r="FN1049" s="554"/>
      <c r="FO1049" s="554"/>
      <c r="FP1049" s="554"/>
      <c r="FQ1049" s="554"/>
      <c r="FR1049" s="554"/>
      <c r="FS1049" s="554"/>
      <c r="FT1049" s="554"/>
      <c r="FU1049" s="554"/>
      <c r="FV1049" s="554"/>
      <c r="FW1049" s="554"/>
      <c r="FX1049" s="554"/>
      <c r="FY1049" s="554"/>
      <c r="FZ1049" s="554"/>
      <c r="GA1049" s="554"/>
      <c r="GB1049" s="556"/>
      <c r="GC1049" s="370"/>
      <c r="GD1049" s="453"/>
      <c r="GE1049" s="453"/>
      <c r="GF1049" s="453"/>
      <c r="GG1049" s="453"/>
      <c r="GH1049" s="454"/>
      <c r="GI1049" s="453"/>
      <c r="GJ1049" s="453"/>
      <c r="GK1049" s="453"/>
      <c r="GL1049" s="453"/>
      <c r="GM1049" s="453"/>
      <c r="GN1049" s="453"/>
      <c r="GO1049" s="453"/>
      <c r="GP1049" s="453"/>
      <c r="GQ1049" s="453"/>
      <c r="GR1049" s="453"/>
      <c r="GS1049" s="561"/>
      <c r="GT1049" s="475"/>
      <c r="GU1049" s="472"/>
      <c r="GV1049" s="453"/>
      <c r="GW1049" s="453"/>
      <c r="GX1049" s="869"/>
      <c r="GY1049" s="870"/>
      <c r="GZ1049" s="867"/>
      <c r="HA1049" s="868"/>
      <c r="HB1049" s="473"/>
      <c r="HC1049" s="869"/>
      <c r="HD1049" s="870"/>
      <c r="HE1049" s="867"/>
      <c r="HF1049" s="868"/>
      <c r="HG1049" s="473"/>
      <c r="HH1049" s="867"/>
      <c r="HI1049" s="868"/>
      <c r="HJ1049" s="867"/>
      <c r="HK1049" s="868"/>
      <c r="HL1049" s="370"/>
      <c r="HM1049" s="865"/>
      <c r="HN1049" s="866"/>
      <c r="HO1049" s="865"/>
      <c r="HP1049" s="866"/>
      <c r="HQ1049" s="865"/>
      <c r="HR1049" s="866"/>
      <c r="HS1049" s="867"/>
      <c r="HT1049" s="868"/>
      <c r="HU1049" s="489"/>
      <c r="HV1049" s="865"/>
      <c r="HW1049" s="866"/>
    </row>
    <row r="1050" spans="25:231" ht="15" customHeight="1">
      <c r="Y1050" s="332"/>
      <c r="Z1050" s="332"/>
      <c r="AA1050" s="332"/>
      <c r="AB1050" s="332"/>
      <c r="AC1050" s="332"/>
      <c r="AD1050" s="332"/>
      <c r="AE1050" s="332"/>
      <c r="AF1050" s="332"/>
      <c r="AG1050" s="332"/>
      <c r="AH1050" s="332"/>
      <c r="AI1050" s="332"/>
      <c r="AJ1050" s="332"/>
      <c r="AK1050" s="332"/>
      <c r="AL1050" s="332"/>
      <c r="AM1050" s="332"/>
      <c r="AN1050" s="332"/>
      <c r="AO1050" s="332"/>
      <c r="AP1050" s="332"/>
      <c r="AQ1050" s="332"/>
      <c r="AR1050" s="332"/>
      <c r="AS1050" s="332"/>
      <c r="AT1050" s="332"/>
      <c r="AU1050" s="332"/>
      <c r="AV1050" s="332"/>
      <c r="AW1050" s="332"/>
      <c r="AX1050" s="332"/>
      <c r="AY1050" s="332"/>
      <c r="AZ1050" s="332"/>
      <c r="BA1050" s="332"/>
      <c r="BB1050" s="332"/>
      <c r="BC1050" s="332"/>
      <c r="BD1050" s="332"/>
      <c r="BE1050" s="332"/>
      <c r="BF1050" s="332"/>
      <c r="BG1050" s="332"/>
      <c r="BH1050" s="332"/>
      <c r="BI1050" s="332"/>
      <c r="BJ1050" s="332"/>
      <c r="BK1050" s="332"/>
      <c r="BL1050" s="332"/>
      <c r="BM1050" s="332"/>
      <c r="BN1050" s="332"/>
      <c r="BO1050" s="332"/>
      <c r="BP1050" s="332"/>
      <c r="BQ1050" s="332"/>
      <c r="BR1050" s="332"/>
      <c r="BS1050" s="332"/>
      <c r="BT1050" s="332"/>
      <c r="BU1050" s="332"/>
      <c r="BV1050" s="332"/>
      <c r="BW1050" s="332"/>
      <c r="BX1050" s="332"/>
      <c r="BY1050" s="332"/>
      <c r="BZ1050" s="332"/>
      <c r="CA1050" s="332"/>
      <c r="CB1050" s="332"/>
      <c r="CC1050" s="332"/>
      <c r="CD1050" s="332"/>
      <c r="CE1050" s="332"/>
      <c r="CF1050" s="332"/>
      <c r="CG1050" s="332"/>
      <c r="CH1050" s="332"/>
      <c r="CI1050" s="332"/>
      <c r="CJ1050" s="332"/>
      <c r="CK1050" s="332"/>
      <c r="CL1050" s="332"/>
      <c r="CM1050" s="332"/>
      <c r="CN1050" s="332"/>
      <c r="CO1050" s="332"/>
      <c r="CP1050" s="332"/>
      <c r="CQ1050" s="332"/>
      <c r="CR1050" s="332"/>
      <c r="CS1050" s="332"/>
      <c r="CT1050" s="332"/>
      <c r="CU1050" s="332"/>
      <c r="CV1050" s="332"/>
      <c r="CW1050" s="332"/>
      <c r="CX1050" s="332"/>
      <c r="CY1050" s="332"/>
      <c r="CZ1050" s="332"/>
      <c r="DA1050" s="332"/>
      <c r="DB1050" s="332"/>
      <c r="DC1050" s="332"/>
      <c r="DD1050" s="332"/>
      <c r="DE1050" s="332"/>
      <c r="DF1050" s="332"/>
      <c r="DG1050" s="332"/>
      <c r="DH1050" s="332"/>
      <c r="DI1050" s="332"/>
      <c r="DJ1050" s="332"/>
      <c r="DK1050" s="332"/>
      <c r="DL1050" s="332"/>
      <c r="DM1050" s="332"/>
      <c r="DN1050" s="332"/>
      <c r="DO1050" s="332"/>
      <c r="DP1050" s="332"/>
      <c r="DQ1050" s="332"/>
      <c r="DR1050" s="332"/>
      <c r="DS1050" s="332"/>
      <c r="DT1050" s="332"/>
      <c r="DU1050" s="453"/>
      <c r="DV1050" s="453"/>
      <c r="DW1050" s="453"/>
      <c r="DX1050" s="453"/>
      <c r="DY1050" s="453"/>
      <c r="DZ1050" s="453"/>
      <c r="EA1050" s="453"/>
      <c r="EB1050" s="453"/>
      <c r="EC1050" s="453"/>
      <c r="ED1050" s="453"/>
      <c r="EE1050" s="453"/>
      <c r="EF1050" s="453"/>
      <c r="EG1050" s="453"/>
      <c r="EH1050" s="453"/>
      <c r="EI1050" s="453"/>
      <c r="EJ1050" s="453"/>
      <c r="EK1050" s="453"/>
      <c r="EL1050" s="453"/>
      <c r="EM1050" s="483">
        <f t="shared" si="246"/>
        <v>741</v>
      </c>
      <c r="EN1050" s="485"/>
      <c r="EO1050" s="458"/>
      <c r="EP1050" s="467"/>
      <c r="EQ1050" s="457"/>
      <c r="ER1050" s="808"/>
      <c r="ES1050" s="881">
        <f t="shared" si="247"/>
        <v>0</v>
      </c>
      <c r="ET1050" s="882"/>
      <c r="EU1050" s="883"/>
      <c r="EV1050" s="884">
        <f t="shared" si="248"/>
        <v>0</v>
      </c>
      <c r="EW1050" s="885"/>
      <c r="EX1050" s="885"/>
      <c r="EY1050" s="885"/>
      <c r="EZ1050" s="885"/>
      <c r="FA1050" s="885"/>
      <c r="FB1050" s="885"/>
      <c r="FC1050" s="885"/>
      <c r="FD1050" s="886"/>
      <c r="FE1050" s="551"/>
      <c r="FF1050" s="551"/>
      <c r="FG1050" s="551"/>
      <c r="FH1050" s="551"/>
      <c r="FI1050" s="551"/>
      <c r="FJ1050" s="551"/>
      <c r="FK1050" s="551"/>
      <c r="FL1050" s="555"/>
      <c r="FM1050" s="554"/>
      <c r="FN1050" s="554"/>
      <c r="FO1050" s="554"/>
      <c r="FP1050" s="554"/>
      <c r="FQ1050" s="554"/>
      <c r="FR1050" s="554"/>
      <c r="FS1050" s="554"/>
      <c r="FT1050" s="554"/>
      <c r="FU1050" s="554"/>
      <c r="FV1050" s="554"/>
      <c r="FW1050" s="554"/>
      <c r="FX1050" s="554"/>
      <c r="FY1050" s="554"/>
      <c r="FZ1050" s="554"/>
      <c r="GA1050" s="554"/>
      <c r="GB1050" s="556"/>
      <c r="GC1050" s="370"/>
      <c r="GD1050" s="453"/>
      <c r="GE1050" s="453"/>
      <c r="GF1050" s="453"/>
      <c r="GG1050" s="453"/>
      <c r="GH1050" s="454"/>
      <c r="GI1050" s="453"/>
      <c r="GJ1050" s="453"/>
      <c r="GK1050" s="453"/>
      <c r="GL1050" s="453"/>
      <c r="GM1050" s="453"/>
      <c r="GN1050" s="453"/>
      <c r="GO1050" s="453"/>
      <c r="GP1050" s="453"/>
      <c r="GQ1050" s="453"/>
      <c r="GR1050" s="453"/>
      <c r="GS1050" s="561"/>
      <c r="GT1050" s="475"/>
      <c r="GU1050" s="472"/>
      <c r="GV1050" s="453"/>
      <c r="GW1050" s="453"/>
      <c r="GX1050" s="869"/>
      <c r="GY1050" s="870"/>
      <c r="GZ1050" s="867"/>
      <c r="HA1050" s="868"/>
      <c r="HB1050" s="473"/>
      <c r="HC1050" s="869"/>
      <c r="HD1050" s="870"/>
      <c r="HE1050" s="867"/>
      <c r="HF1050" s="868"/>
      <c r="HG1050" s="473"/>
      <c r="HH1050" s="867"/>
      <c r="HI1050" s="868"/>
      <c r="HJ1050" s="867"/>
      <c r="HK1050" s="868"/>
      <c r="HL1050" s="370"/>
      <c r="HM1050" s="865"/>
      <c r="HN1050" s="866"/>
      <c r="HO1050" s="865"/>
      <c r="HP1050" s="866"/>
      <c r="HQ1050" s="865"/>
      <c r="HR1050" s="866"/>
      <c r="HS1050" s="867"/>
      <c r="HT1050" s="868"/>
      <c r="HU1050" s="489"/>
      <c r="HV1050" s="865"/>
      <c r="HW1050" s="866"/>
    </row>
    <row r="1051" spans="25:231" ht="15" customHeight="1">
      <c r="Y1051" s="332"/>
      <c r="Z1051" s="332"/>
      <c r="AA1051" s="332"/>
      <c r="AB1051" s="332"/>
      <c r="AC1051" s="332"/>
      <c r="AD1051" s="332"/>
      <c r="AE1051" s="332"/>
      <c r="AF1051" s="332"/>
      <c r="AG1051" s="332"/>
      <c r="AH1051" s="332"/>
      <c r="AI1051" s="332"/>
      <c r="AJ1051" s="332"/>
      <c r="AK1051" s="332"/>
      <c r="AL1051" s="332"/>
      <c r="AM1051" s="332"/>
      <c r="AN1051" s="332"/>
      <c r="AO1051" s="332"/>
      <c r="AP1051" s="332"/>
      <c r="AQ1051" s="332"/>
      <c r="AR1051" s="332"/>
      <c r="AS1051" s="332"/>
      <c r="AT1051" s="332"/>
      <c r="AU1051" s="332"/>
      <c r="AV1051" s="332"/>
      <c r="AW1051" s="332"/>
      <c r="AX1051" s="332"/>
      <c r="AY1051" s="332"/>
      <c r="AZ1051" s="332"/>
      <c r="BA1051" s="332"/>
      <c r="BB1051" s="332"/>
      <c r="BC1051" s="332"/>
      <c r="BD1051" s="332"/>
      <c r="BE1051" s="332"/>
      <c r="BF1051" s="332"/>
      <c r="BG1051" s="332"/>
      <c r="BH1051" s="332"/>
      <c r="BI1051" s="332"/>
      <c r="BJ1051" s="332"/>
      <c r="BK1051" s="332"/>
      <c r="BL1051" s="332"/>
      <c r="BM1051" s="332"/>
      <c r="BN1051" s="332"/>
      <c r="BO1051" s="332"/>
      <c r="BP1051" s="332"/>
      <c r="BQ1051" s="332"/>
      <c r="BR1051" s="332"/>
      <c r="BS1051" s="332"/>
      <c r="BT1051" s="332"/>
      <c r="BU1051" s="332"/>
      <c r="BV1051" s="332"/>
      <c r="BW1051" s="332"/>
      <c r="BX1051" s="332"/>
      <c r="BY1051" s="332"/>
      <c r="BZ1051" s="332"/>
      <c r="CA1051" s="332"/>
      <c r="CB1051" s="332"/>
      <c r="CC1051" s="332"/>
      <c r="CD1051" s="332"/>
      <c r="CE1051" s="332"/>
      <c r="CF1051" s="332"/>
      <c r="CG1051" s="332"/>
      <c r="CH1051" s="332"/>
      <c r="CI1051" s="332"/>
      <c r="CJ1051" s="332"/>
      <c r="CK1051" s="332"/>
      <c r="CL1051" s="332"/>
      <c r="CM1051" s="332"/>
      <c r="CN1051" s="332"/>
      <c r="CO1051" s="332"/>
      <c r="CP1051" s="332"/>
      <c r="CQ1051" s="332"/>
      <c r="CR1051" s="332"/>
      <c r="CS1051" s="332"/>
      <c r="CT1051" s="332"/>
      <c r="CU1051" s="332"/>
      <c r="CV1051" s="332"/>
      <c r="CW1051" s="332"/>
      <c r="CX1051" s="332"/>
      <c r="CY1051" s="332"/>
      <c r="CZ1051" s="332"/>
      <c r="DA1051" s="332"/>
      <c r="DB1051" s="332"/>
      <c r="DC1051" s="332"/>
      <c r="DD1051" s="332"/>
      <c r="DE1051" s="332"/>
      <c r="DF1051" s="332"/>
      <c r="DG1051" s="332"/>
      <c r="DH1051" s="332"/>
      <c r="DI1051" s="332"/>
      <c r="DJ1051" s="332"/>
      <c r="DK1051" s="332"/>
      <c r="DL1051" s="332"/>
      <c r="DM1051" s="332"/>
      <c r="DN1051" s="332"/>
      <c r="DO1051" s="332"/>
      <c r="DP1051" s="332"/>
      <c r="DQ1051" s="332"/>
      <c r="DR1051" s="332"/>
      <c r="DS1051" s="332"/>
      <c r="DT1051" s="332"/>
      <c r="DU1051" s="453"/>
      <c r="DV1051" s="453"/>
      <c r="DW1051" s="453"/>
      <c r="DX1051" s="453"/>
      <c r="DY1051" s="453"/>
      <c r="DZ1051" s="453"/>
      <c r="EA1051" s="453"/>
      <c r="EB1051" s="453"/>
      <c r="EC1051" s="453"/>
      <c r="ED1051" s="453"/>
      <c r="EE1051" s="453"/>
      <c r="EF1051" s="453"/>
      <c r="EG1051" s="453"/>
      <c r="EH1051" s="453"/>
      <c r="EI1051" s="453"/>
      <c r="EJ1051" s="453"/>
      <c r="EK1051" s="453"/>
      <c r="EL1051" s="453"/>
      <c r="EM1051" s="483">
        <f t="shared" si="246"/>
        <v>742</v>
      </c>
      <c r="EN1051" s="485"/>
      <c r="EO1051" s="458"/>
      <c r="EP1051" s="467"/>
      <c r="EQ1051" s="457"/>
      <c r="ER1051" s="808"/>
      <c r="ES1051" s="881">
        <f t="shared" si="247"/>
        <v>0</v>
      </c>
      <c r="ET1051" s="882"/>
      <c r="EU1051" s="883"/>
      <c r="EV1051" s="884">
        <f t="shared" si="248"/>
        <v>0</v>
      </c>
      <c r="EW1051" s="885"/>
      <c r="EX1051" s="885"/>
      <c r="EY1051" s="885"/>
      <c r="EZ1051" s="885"/>
      <c r="FA1051" s="885"/>
      <c r="FB1051" s="885"/>
      <c r="FC1051" s="885"/>
      <c r="FD1051" s="886"/>
      <c r="FE1051" s="551"/>
      <c r="FF1051" s="551"/>
      <c r="FG1051" s="551"/>
      <c r="FH1051" s="551"/>
      <c r="FI1051" s="551"/>
      <c r="FJ1051" s="551"/>
      <c r="FK1051" s="551"/>
      <c r="FL1051" s="555"/>
      <c r="FM1051" s="554"/>
      <c r="FN1051" s="554"/>
      <c r="FO1051" s="554"/>
      <c r="FP1051" s="554"/>
      <c r="FQ1051" s="554"/>
      <c r="FR1051" s="554"/>
      <c r="FS1051" s="554"/>
      <c r="FT1051" s="554"/>
      <c r="FU1051" s="554"/>
      <c r="FV1051" s="554"/>
      <c r="FW1051" s="554"/>
      <c r="FX1051" s="554"/>
      <c r="FY1051" s="554"/>
      <c r="FZ1051" s="554"/>
      <c r="GA1051" s="554"/>
      <c r="GB1051" s="556"/>
      <c r="GC1051" s="370"/>
      <c r="GD1051" s="453"/>
      <c r="GE1051" s="453"/>
      <c r="GF1051" s="453"/>
      <c r="GG1051" s="453"/>
      <c r="GH1051" s="454"/>
      <c r="GI1051" s="453"/>
      <c r="GJ1051" s="453"/>
      <c r="GK1051" s="453"/>
      <c r="GL1051" s="453"/>
      <c r="GM1051" s="453"/>
      <c r="GN1051" s="453"/>
      <c r="GO1051" s="453"/>
      <c r="GP1051" s="453"/>
      <c r="GQ1051" s="453"/>
      <c r="GR1051" s="453"/>
      <c r="GS1051" s="561"/>
      <c r="GT1051" s="475"/>
      <c r="GU1051" s="472"/>
      <c r="GV1051" s="453"/>
      <c r="GW1051" s="453"/>
      <c r="GX1051" s="869"/>
      <c r="GY1051" s="870"/>
      <c r="GZ1051" s="867"/>
      <c r="HA1051" s="868"/>
      <c r="HB1051" s="473"/>
      <c r="HC1051" s="869"/>
      <c r="HD1051" s="870"/>
      <c r="HE1051" s="867"/>
      <c r="HF1051" s="868"/>
      <c r="HG1051" s="473"/>
      <c r="HH1051" s="867"/>
      <c r="HI1051" s="868"/>
      <c r="HJ1051" s="867"/>
      <c r="HK1051" s="868"/>
      <c r="HL1051" s="370"/>
      <c r="HM1051" s="865"/>
      <c r="HN1051" s="866"/>
      <c r="HO1051" s="865"/>
      <c r="HP1051" s="866"/>
      <c r="HQ1051" s="865"/>
      <c r="HR1051" s="866"/>
      <c r="HS1051" s="867"/>
      <c r="HT1051" s="868"/>
      <c r="HU1051" s="489"/>
      <c r="HV1051" s="865"/>
      <c r="HW1051" s="866"/>
    </row>
    <row r="1052" spans="25:231" ht="15" customHeight="1">
      <c r="Y1052" s="332"/>
      <c r="Z1052" s="332"/>
      <c r="AA1052" s="332"/>
      <c r="AB1052" s="332"/>
      <c r="AC1052" s="332"/>
      <c r="AD1052" s="332"/>
      <c r="AE1052" s="332"/>
      <c r="AF1052" s="332"/>
      <c r="AG1052" s="332"/>
      <c r="AH1052" s="332"/>
      <c r="AI1052" s="332"/>
      <c r="AJ1052" s="332"/>
      <c r="AK1052" s="332"/>
      <c r="AL1052" s="332"/>
      <c r="AM1052" s="332"/>
      <c r="AN1052" s="332"/>
      <c r="AO1052" s="332"/>
      <c r="AP1052" s="332"/>
      <c r="AQ1052" s="332"/>
      <c r="AR1052" s="332"/>
      <c r="AS1052" s="332"/>
      <c r="AT1052" s="332"/>
      <c r="AU1052" s="332"/>
      <c r="AV1052" s="332"/>
      <c r="AW1052" s="332"/>
      <c r="AX1052" s="332"/>
      <c r="AY1052" s="332"/>
      <c r="AZ1052" s="332"/>
      <c r="BA1052" s="332"/>
      <c r="BB1052" s="332"/>
      <c r="BC1052" s="332"/>
      <c r="BD1052" s="332"/>
      <c r="BE1052" s="332"/>
      <c r="BF1052" s="332"/>
      <c r="BG1052" s="332"/>
      <c r="BH1052" s="332"/>
      <c r="BI1052" s="332"/>
      <c r="BJ1052" s="332"/>
      <c r="BK1052" s="332"/>
      <c r="BL1052" s="332"/>
      <c r="BM1052" s="332"/>
      <c r="BN1052" s="332"/>
      <c r="BO1052" s="332"/>
      <c r="BP1052" s="332"/>
      <c r="BQ1052" s="332"/>
      <c r="BR1052" s="332"/>
      <c r="BS1052" s="332"/>
      <c r="BT1052" s="332"/>
      <c r="BU1052" s="332"/>
      <c r="BV1052" s="332"/>
      <c r="BW1052" s="332"/>
      <c r="BX1052" s="332"/>
      <c r="BY1052" s="332"/>
      <c r="BZ1052" s="332"/>
      <c r="CA1052" s="332"/>
      <c r="CB1052" s="332"/>
      <c r="CC1052" s="332"/>
      <c r="CD1052" s="332"/>
      <c r="CE1052" s="332"/>
      <c r="CF1052" s="332"/>
      <c r="CG1052" s="332"/>
      <c r="CH1052" s="332"/>
      <c r="CI1052" s="332"/>
      <c r="CJ1052" s="332"/>
      <c r="CK1052" s="332"/>
      <c r="CL1052" s="332"/>
      <c r="CM1052" s="332"/>
      <c r="CN1052" s="332"/>
      <c r="CO1052" s="332"/>
      <c r="CP1052" s="332"/>
      <c r="CQ1052" s="332"/>
      <c r="CR1052" s="332"/>
      <c r="CS1052" s="332"/>
      <c r="CT1052" s="332"/>
      <c r="CU1052" s="332"/>
      <c r="CV1052" s="332"/>
      <c r="CW1052" s="332"/>
      <c r="CX1052" s="332"/>
      <c r="CY1052" s="332"/>
      <c r="CZ1052" s="332"/>
      <c r="DA1052" s="332"/>
      <c r="DB1052" s="332"/>
      <c r="DC1052" s="332"/>
      <c r="DD1052" s="332"/>
      <c r="DE1052" s="332"/>
      <c r="DF1052" s="332"/>
      <c r="DG1052" s="332"/>
      <c r="DH1052" s="332"/>
      <c r="DI1052" s="332"/>
      <c r="DJ1052" s="332"/>
      <c r="DK1052" s="332"/>
      <c r="DL1052" s="332"/>
      <c r="DM1052" s="332"/>
      <c r="DN1052" s="332"/>
      <c r="DO1052" s="332"/>
      <c r="DP1052" s="332"/>
      <c r="DQ1052" s="332"/>
      <c r="DR1052" s="332"/>
      <c r="DS1052" s="332"/>
      <c r="DT1052" s="332"/>
      <c r="DU1052" s="453"/>
      <c r="DV1052" s="453"/>
      <c r="DW1052" s="453"/>
      <c r="DX1052" s="453"/>
      <c r="DY1052" s="453"/>
      <c r="DZ1052" s="453"/>
      <c r="EA1052" s="453"/>
      <c r="EB1052" s="453"/>
      <c r="EC1052" s="453"/>
      <c r="ED1052" s="453"/>
      <c r="EE1052" s="453"/>
      <c r="EF1052" s="453"/>
      <c r="EG1052" s="453"/>
      <c r="EH1052" s="453"/>
      <c r="EI1052" s="453"/>
      <c r="EJ1052" s="453"/>
      <c r="EK1052" s="453"/>
      <c r="EL1052" s="453"/>
      <c r="EM1052" s="483">
        <f t="shared" si="246"/>
        <v>743</v>
      </c>
      <c r="EN1052" s="485"/>
      <c r="EO1052" s="458"/>
      <c r="EP1052" s="467"/>
      <c r="EQ1052" s="457"/>
      <c r="ER1052" s="808"/>
      <c r="ES1052" s="881">
        <f t="shared" si="247"/>
        <v>0</v>
      </c>
      <c r="ET1052" s="882"/>
      <c r="EU1052" s="883"/>
      <c r="EV1052" s="884">
        <f t="shared" si="248"/>
        <v>0</v>
      </c>
      <c r="EW1052" s="885"/>
      <c r="EX1052" s="885"/>
      <c r="EY1052" s="885"/>
      <c r="EZ1052" s="885"/>
      <c r="FA1052" s="885"/>
      <c r="FB1052" s="885"/>
      <c r="FC1052" s="885"/>
      <c r="FD1052" s="886"/>
      <c r="FE1052" s="551"/>
      <c r="FF1052" s="551"/>
      <c r="FG1052" s="551"/>
      <c r="FH1052" s="551"/>
      <c r="FI1052" s="551"/>
      <c r="FJ1052" s="551"/>
      <c r="FK1052" s="551"/>
      <c r="FL1052" s="555"/>
      <c r="FM1052" s="554"/>
      <c r="FN1052" s="554"/>
      <c r="FO1052" s="554"/>
      <c r="FP1052" s="554"/>
      <c r="FQ1052" s="554"/>
      <c r="FR1052" s="554"/>
      <c r="FS1052" s="554"/>
      <c r="FT1052" s="554"/>
      <c r="FU1052" s="554"/>
      <c r="FV1052" s="554"/>
      <c r="FW1052" s="554"/>
      <c r="FX1052" s="554"/>
      <c r="FY1052" s="554"/>
      <c r="FZ1052" s="554"/>
      <c r="GA1052" s="554"/>
      <c r="GB1052" s="556"/>
      <c r="GC1052" s="370"/>
      <c r="GD1052" s="453"/>
      <c r="GE1052" s="453"/>
      <c r="GF1052" s="453"/>
      <c r="GG1052" s="453"/>
      <c r="GH1052" s="454"/>
      <c r="GI1052" s="453"/>
      <c r="GJ1052" s="453"/>
      <c r="GK1052" s="453"/>
      <c r="GL1052" s="453"/>
      <c r="GM1052" s="453"/>
      <c r="GN1052" s="453"/>
      <c r="GO1052" s="453"/>
      <c r="GP1052" s="453"/>
      <c r="GQ1052" s="453"/>
      <c r="GR1052" s="453"/>
      <c r="GS1052" s="561"/>
      <c r="GT1052" s="475"/>
      <c r="GU1052" s="472"/>
      <c r="GV1052" s="453"/>
      <c r="GW1052" s="453"/>
      <c r="GX1052" s="869"/>
      <c r="GY1052" s="870"/>
      <c r="GZ1052" s="867"/>
      <c r="HA1052" s="868"/>
      <c r="HB1052" s="473"/>
      <c r="HC1052" s="869"/>
      <c r="HD1052" s="870"/>
      <c r="HE1052" s="867"/>
      <c r="HF1052" s="868"/>
      <c r="HG1052" s="473"/>
      <c r="HH1052" s="867"/>
      <c r="HI1052" s="868"/>
      <c r="HJ1052" s="867"/>
      <c r="HK1052" s="868"/>
      <c r="HL1052" s="370"/>
      <c r="HM1052" s="865"/>
      <c r="HN1052" s="866"/>
      <c r="HO1052" s="865"/>
      <c r="HP1052" s="866"/>
      <c r="HQ1052" s="865"/>
      <c r="HR1052" s="866"/>
      <c r="HS1052" s="867"/>
      <c r="HT1052" s="868"/>
      <c r="HU1052" s="489"/>
      <c r="HV1052" s="865"/>
      <c r="HW1052" s="866"/>
    </row>
    <row r="1053" spans="25:231" ht="15" customHeight="1">
      <c r="Y1053" s="332"/>
      <c r="Z1053" s="332"/>
      <c r="AA1053" s="332"/>
      <c r="AB1053" s="332"/>
      <c r="AC1053" s="332"/>
      <c r="AD1053" s="332"/>
      <c r="AE1053" s="332"/>
      <c r="AF1053" s="332"/>
      <c r="AG1053" s="332"/>
      <c r="AH1053" s="332"/>
      <c r="AI1053" s="332"/>
      <c r="AJ1053" s="332"/>
      <c r="AK1053" s="332"/>
      <c r="AL1053" s="332"/>
      <c r="AM1053" s="332"/>
      <c r="AN1053" s="332"/>
      <c r="AO1053" s="332"/>
      <c r="AP1053" s="332"/>
      <c r="AQ1053" s="332"/>
      <c r="AR1053" s="332"/>
      <c r="AS1053" s="332"/>
      <c r="AT1053" s="332"/>
      <c r="AU1053" s="332"/>
      <c r="AV1053" s="332"/>
      <c r="AW1053" s="332"/>
      <c r="AX1053" s="332"/>
      <c r="AY1053" s="332"/>
      <c r="AZ1053" s="332"/>
      <c r="BA1053" s="332"/>
      <c r="BB1053" s="332"/>
      <c r="BC1053" s="332"/>
      <c r="BD1053" s="332"/>
      <c r="BE1053" s="332"/>
      <c r="BF1053" s="332"/>
      <c r="BG1053" s="332"/>
      <c r="BH1053" s="332"/>
      <c r="BI1053" s="332"/>
      <c r="BJ1053" s="332"/>
      <c r="BK1053" s="332"/>
      <c r="BL1053" s="332"/>
      <c r="BM1053" s="332"/>
      <c r="BN1053" s="332"/>
      <c r="BO1053" s="332"/>
      <c r="BP1053" s="332"/>
      <c r="BQ1053" s="332"/>
      <c r="BR1053" s="332"/>
      <c r="BS1053" s="332"/>
      <c r="BT1053" s="332"/>
      <c r="BU1053" s="332"/>
      <c r="BV1053" s="332"/>
      <c r="BW1053" s="332"/>
      <c r="BX1053" s="332"/>
      <c r="BY1053" s="332"/>
      <c r="BZ1053" s="332"/>
      <c r="CA1053" s="332"/>
      <c r="CB1053" s="332"/>
      <c r="CC1053" s="332"/>
      <c r="CD1053" s="332"/>
      <c r="CE1053" s="332"/>
      <c r="CF1053" s="332"/>
      <c r="CG1053" s="332"/>
      <c r="CH1053" s="332"/>
      <c r="CI1053" s="332"/>
      <c r="CJ1053" s="332"/>
      <c r="CK1053" s="332"/>
      <c r="CL1053" s="332"/>
      <c r="CM1053" s="332"/>
      <c r="CN1053" s="332"/>
      <c r="CO1053" s="332"/>
      <c r="CP1053" s="332"/>
      <c r="CQ1053" s="332"/>
      <c r="CR1053" s="332"/>
      <c r="CS1053" s="332"/>
      <c r="CT1053" s="332"/>
      <c r="CU1053" s="332"/>
      <c r="CV1053" s="332"/>
      <c r="CW1053" s="332"/>
      <c r="CX1053" s="332"/>
      <c r="CY1053" s="332"/>
      <c r="CZ1053" s="332"/>
      <c r="DA1053" s="332"/>
      <c r="DB1053" s="332"/>
      <c r="DC1053" s="332"/>
      <c r="DD1053" s="332"/>
      <c r="DE1053" s="332"/>
      <c r="DF1053" s="332"/>
      <c r="DG1053" s="332"/>
      <c r="DH1053" s="332"/>
      <c r="DI1053" s="332"/>
      <c r="DJ1053" s="332"/>
      <c r="DK1053" s="332"/>
      <c r="DL1053" s="332"/>
      <c r="DM1053" s="332"/>
      <c r="DN1053" s="332"/>
      <c r="DO1053" s="332"/>
      <c r="DP1053" s="332"/>
      <c r="DQ1053" s="332"/>
      <c r="DR1053" s="332"/>
      <c r="DS1053" s="332"/>
      <c r="DT1053" s="332"/>
      <c r="DU1053" s="453"/>
      <c r="DV1053" s="453"/>
      <c r="DW1053" s="453"/>
      <c r="DX1053" s="453"/>
      <c r="DY1053" s="453"/>
      <c r="DZ1053" s="453"/>
      <c r="EA1053" s="453"/>
      <c r="EB1053" s="453"/>
      <c r="EC1053" s="453"/>
      <c r="ED1053" s="453"/>
      <c r="EE1053" s="453"/>
      <c r="EF1053" s="453"/>
      <c r="EG1053" s="453"/>
      <c r="EH1053" s="453"/>
      <c r="EI1053" s="453"/>
      <c r="EJ1053" s="453"/>
      <c r="EK1053" s="453"/>
      <c r="EL1053" s="453"/>
      <c r="EM1053" s="483">
        <f t="shared" si="246"/>
        <v>744</v>
      </c>
      <c r="EN1053" s="485"/>
      <c r="EO1053" s="458"/>
      <c r="EP1053" s="467"/>
      <c r="EQ1053" s="457"/>
      <c r="ER1053" s="808"/>
      <c r="ES1053" s="881">
        <f t="shared" si="247"/>
        <v>0</v>
      </c>
      <c r="ET1053" s="882"/>
      <c r="EU1053" s="883"/>
      <c r="EV1053" s="884">
        <f t="shared" si="248"/>
        <v>0</v>
      </c>
      <c r="EW1053" s="885"/>
      <c r="EX1053" s="885"/>
      <c r="EY1053" s="885"/>
      <c r="EZ1053" s="885"/>
      <c r="FA1053" s="885"/>
      <c r="FB1053" s="885"/>
      <c r="FC1053" s="885"/>
      <c r="FD1053" s="886"/>
      <c r="FE1053" s="551"/>
      <c r="FF1053" s="551"/>
      <c r="FG1053" s="551"/>
      <c r="FH1053" s="551"/>
      <c r="FI1053" s="551"/>
      <c r="FJ1053" s="551"/>
      <c r="FK1053" s="551"/>
      <c r="FL1053" s="555"/>
      <c r="FM1053" s="554"/>
      <c r="FN1053" s="554"/>
      <c r="FO1053" s="554"/>
      <c r="FP1053" s="554"/>
      <c r="FQ1053" s="554"/>
      <c r="FR1053" s="554"/>
      <c r="FS1053" s="554"/>
      <c r="FT1053" s="554"/>
      <c r="FU1053" s="554"/>
      <c r="FV1053" s="554"/>
      <c r="FW1053" s="554"/>
      <c r="FX1053" s="554"/>
      <c r="FY1053" s="554"/>
      <c r="FZ1053" s="554"/>
      <c r="GA1053" s="554"/>
      <c r="GB1053" s="556"/>
      <c r="GC1053" s="370"/>
      <c r="GD1053" s="453"/>
      <c r="GE1053" s="453"/>
      <c r="GF1053" s="453"/>
      <c r="GG1053" s="453"/>
      <c r="GH1053" s="454"/>
      <c r="GI1053" s="453"/>
      <c r="GJ1053" s="453"/>
      <c r="GK1053" s="453"/>
      <c r="GL1053" s="453"/>
      <c r="GM1053" s="453"/>
      <c r="GN1053" s="453"/>
      <c r="GO1053" s="453"/>
      <c r="GP1053" s="453"/>
      <c r="GQ1053" s="453"/>
      <c r="GR1053" s="453"/>
      <c r="GS1053" s="561"/>
      <c r="GT1053" s="475"/>
      <c r="GU1053" s="472"/>
      <c r="GV1053" s="453"/>
      <c r="GW1053" s="453"/>
      <c r="GX1053" s="869"/>
      <c r="GY1053" s="870"/>
      <c r="GZ1053" s="867"/>
      <c r="HA1053" s="868"/>
      <c r="HB1053" s="473"/>
      <c r="HC1053" s="869"/>
      <c r="HD1053" s="870"/>
      <c r="HE1053" s="867"/>
      <c r="HF1053" s="868"/>
      <c r="HG1053" s="473"/>
      <c r="HH1053" s="867"/>
      <c r="HI1053" s="868"/>
      <c r="HJ1053" s="867"/>
      <c r="HK1053" s="868"/>
      <c r="HL1053" s="370"/>
      <c r="HM1053" s="865"/>
      <c r="HN1053" s="866"/>
      <c r="HO1053" s="865"/>
      <c r="HP1053" s="866"/>
      <c r="HQ1053" s="865"/>
      <c r="HR1053" s="866"/>
      <c r="HS1053" s="867"/>
      <c r="HT1053" s="868"/>
      <c r="HU1053" s="489"/>
      <c r="HV1053" s="865"/>
      <c r="HW1053" s="866"/>
    </row>
    <row r="1054" spans="25:231" ht="15" customHeight="1">
      <c r="Y1054" s="332"/>
      <c r="Z1054" s="332"/>
      <c r="AA1054" s="332"/>
      <c r="AB1054" s="332"/>
      <c r="AC1054" s="332"/>
      <c r="AD1054" s="332"/>
      <c r="AE1054" s="332"/>
      <c r="AF1054" s="332"/>
      <c r="AG1054" s="332"/>
      <c r="AH1054" s="332"/>
      <c r="AI1054" s="332"/>
      <c r="AJ1054" s="332"/>
      <c r="AK1054" s="332"/>
      <c r="AL1054" s="332"/>
      <c r="AM1054" s="332"/>
      <c r="AN1054" s="332"/>
      <c r="AO1054" s="332"/>
      <c r="AP1054" s="332"/>
      <c r="AQ1054" s="332"/>
      <c r="AR1054" s="332"/>
      <c r="AS1054" s="332"/>
      <c r="AT1054" s="332"/>
      <c r="AU1054" s="332"/>
      <c r="AV1054" s="332"/>
      <c r="AW1054" s="332"/>
      <c r="AX1054" s="332"/>
      <c r="AY1054" s="332"/>
      <c r="AZ1054" s="332"/>
      <c r="BA1054" s="332"/>
      <c r="BB1054" s="332"/>
      <c r="BC1054" s="332"/>
      <c r="BD1054" s="332"/>
      <c r="BE1054" s="332"/>
      <c r="BF1054" s="332"/>
      <c r="BG1054" s="332"/>
      <c r="BH1054" s="332"/>
      <c r="BI1054" s="332"/>
      <c r="BJ1054" s="332"/>
      <c r="BK1054" s="332"/>
      <c r="BL1054" s="332"/>
      <c r="BM1054" s="332"/>
      <c r="BN1054" s="332"/>
      <c r="BO1054" s="332"/>
      <c r="BP1054" s="332"/>
      <c r="BQ1054" s="332"/>
      <c r="BR1054" s="332"/>
      <c r="BS1054" s="332"/>
      <c r="BT1054" s="332"/>
      <c r="BU1054" s="332"/>
      <c r="BV1054" s="332"/>
      <c r="BW1054" s="332"/>
      <c r="BX1054" s="332"/>
      <c r="BY1054" s="332"/>
      <c r="BZ1054" s="332"/>
      <c r="CA1054" s="332"/>
      <c r="CB1054" s="332"/>
      <c r="CC1054" s="332"/>
      <c r="CD1054" s="332"/>
      <c r="CE1054" s="332"/>
      <c r="CF1054" s="332"/>
      <c r="CG1054" s="332"/>
      <c r="CH1054" s="332"/>
      <c r="CI1054" s="332"/>
      <c r="CJ1054" s="332"/>
      <c r="CK1054" s="332"/>
      <c r="CL1054" s="332"/>
      <c r="CM1054" s="332"/>
      <c r="CN1054" s="332"/>
      <c r="CO1054" s="332"/>
      <c r="CP1054" s="332"/>
      <c r="CQ1054" s="332"/>
      <c r="CR1054" s="332"/>
      <c r="CS1054" s="332"/>
      <c r="CT1054" s="332"/>
      <c r="CU1054" s="332"/>
      <c r="CV1054" s="332"/>
      <c r="CW1054" s="332"/>
      <c r="CX1054" s="332"/>
      <c r="CY1054" s="332"/>
      <c r="CZ1054" s="332"/>
      <c r="DA1054" s="332"/>
      <c r="DB1054" s="332"/>
      <c r="DC1054" s="332"/>
      <c r="DD1054" s="332"/>
      <c r="DE1054" s="332"/>
      <c r="DF1054" s="332"/>
      <c r="DG1054" s="332"/>
      <c r="DH1054" s="332"/>
      <c r="DI1054" s="332"/>
      <c r="DJ1054" s="332"/>
      <c r="DK1054" s="332"/>
      <c r="DL1054" s="332"/>
      <c r="DM1054" s="332"/>
      <c r="DN1054" s="332"/>
      <c r="DO1054" s="332"/>
      <c r="DP1054" s="332"/>
      <c r="DQ1054" s="332"/>
      <c r="DR1054" s="332"/>
      <c r="DS1054" s="332"/>
      <c r="DT1054" s="332"/>
      <c r="DU1054" s="453"/>
      <c r="DV1054" s="453"/>
      <c r="DW1054" s="453"/>
      <c r="DX1054" s="453"/>
      <c r="DY1054" s="453"/>
      <c r="DZ1054" s="453"/>
      <c r="EA1054" s="453"/>
      <c r="EB1054" s="453"/>
      <c r="EC1054" s="453"/>
      <c r="ED1054" s="453"/>
      <c r="EE1054" s="453"/>
      <c r="EF1054" s="453"/>
      <c r="EG1054" s="453"/>
      <c r="EH1054" s="453"/>
      <c r="EI1054" s="453"/>
      <c r="EJ1054" s="453"/>
      <c r="EK1054" s="453"/>
      <c r="EL1054" s="453"/>
      <c r="EM1054" s="483">
        <f t="shared" si="246"/>
        <v>745</v>
      </c>
      <c r="EN1054" s="485"/>
      <c r="EO1054" s="458"/>
      <c r="EP1054" s="467"/>
      <c r="EQ1054" s="457"/>
      <c r="ER1054" s="808"/>
      <c r="ES1054" s="881">
        <f t="shared" si="247"/>
        <v>0</v>
      </c>
      <c r="ET1054" s="882"/>
      <c r="EU1054" s="883"/>
      <c r="EV1054" s="884">
        <f t="shared" si="248"/>
        <v>0</v>
      </c>
      <c r="EW1054" s="885"/>
      <c r="EX1054" s="885"/>
      <c r="EY1054" s="885"/>
      <c r="EZ1054" s="885"/>
      <c r="FA1054" s="885"/>
      <c r="FB1054" s="885"/>
      <c r="FC1054" s="885"/>
      <c r="FD1054" s="886"/>
      <c r="FE1054" s="551"/>
      <c r="FF1054" s="551"/>
      <c r="FG1054" s="551"/>
      <c r="FH1054" s="551"/>
      <c r="FI1054" s="551"/>
      <c r="FJ1054" s="551"/>
      <c r="FK1054" s="551"/>
      <c r="FL1054" s="555"/>
      <c r="FM1054" s="554"/>
      <c r="FN1054" s="554"/>
      <c r="FO1054" s="554"/>
      <c r="FP1054" s="554"/>
      <c r="FQ1054" s="554"/>
      <c r="FR1054" s="554"/>
      <c r="FS1054" s="554"/>
      <c r="FT1054" s="554"/>
      <c r="FU1054" s="554"/>
      <c r="FV1054" s="554"/>
      <c r="FW1054" s="554"/>
      <c r="FX1054" s="554"/>
      <c r="FY1054" s="554"/>
      <c r="FZ1054" s="554"/>
      <c r="GA1054" s="554"/>
      <c r="GB1054" s="556"/>
      <c r="GC1054" s="370"/>
      <c r="GD1054" s="453"/>
      <c r="GE1054" s="453"/>
      <c r="GF1054" s="453"/>
      <c r="GG1054" s="453"/>
      <c r="GH1054" s="454"/>
      <c r="GI1054" s="453"/>
      <c r="GJ1054" s="453"/>
      <c r="GK1054" s="453"/>
      <c r="GL1054" s="453"/>
      <c r="GM1054" s="453"/>
      <c r="GN1054" s="453"/>
      <c r="GO1054" s="453"/>
      <c r="GP1054" s="453"/>
      <c r="GQ1054" s="453"/>
      <c r="GR1054" s="453"/>
      <c r="GS1054" s="561"/>
      <c r="GT1054" s="475"/>
      <c r="GU1054" s="472"/>
      <c r="GV1054" s="453"/>
      <c r="GW1054" s="453"/>
      <c r="GX1054" s="869"/>
      <c r="GY1054" s="870"/>
      <c r="GZ1054" s="867"/>
      <c r="HA1054" s="868"/>
      <c r="HB1054" s="473"/>
      <c r="HC1054" s="869"/>
      <c r="HD1054" s="870"/>
      <c r="HE1054" s="867"/>
      <c r="HF1054" s="868"/>
      <c r="HG1054" s="473"/>
      <c r="HH1054" s="867"/>
      <c r="HI1054" s="868"/>
      <c r="HJ1054" s="867"/>
      <c r="HK1054" s="868"/>
      <c r="HL1054" s="370"/>
      <c r="HM1054" s="865"/>
      <c r="HN1054" s="866"/>
      <c r="HO1054" s="865"/>
      <c r="HP1054" s="866"/>
      <c r="HQ1054" s="865"/>
      <c r="HR1054" s="866"/>
      <c r="HS1054" s="867"/>
      <c r="HT1054" s="868"/>
      <c r="HU1054" s="489"/>
      <c r="HV1054" s="865"/>
      <c r="HW1054" s="866"/>
    </row>
    <row r="1055" spans="25:231" ht="15" customHeight="1">
      <c r="Y1055" s="332"/>
      <c r="Z1055" s="332"/>
      <c r="AA1055" s="332"/>
      <c r="AB1055" s="332"/>
      <c r="AC1055" s="332"/>
      <c r="AD1055" s="332"/>
      <c r="AE1055" s="332"/>
      <c r="AF1055" s="332"/>
      <c r="AG1055" s="332"/>
      <c r="AH1055" s="332"/>
      <c r="AI1055" s="332"/>
      <c r="AJ1055" s="332"/>
      <c r="AK1055" s="332"/>
      <c r="AL1055" s="332"/>
      <c r="AM1055" s="332"/>
      <c r="AN1055" s="332"/>
      <c r="AO1055" s="332"/>
      <c r="AP1055" s="332"/>
      <c r="AQ1055" s="332"/>
      <c r="AR1055" s="332"/>
      <c r="AS1055" s="332"/>
      <c r="AT1055" s="332"/>
      <c r="AU1055" s="332"/>
      <c r="AV1055" s="332"/>
      <c r="AW1055" s="332"/>
      <c r="AX1055" s="332"/>
      <c r="AY1055" s="332"/>
      <c r="AZ1055" s="332"/>
      <c r="BA1055" s="332"/>
      <c r="BB1055" s="332"/>
      <c r="BC1055" s="332"/>
      <c r="BD1055" s="332"/>
      <c r="BE1055" s="332"/>
      <c r="BF1055" s="332"/>
      <c r="BG1055" s="332"/>
      <c r="BH1055" s="332"/>
      <c r="BI1055" s="332"/>
      <c r="BJ1055" s="332"/>
      <c r="BK1055" s="332"/>
      <c r="BL1055" s="332"/>
      <c r="BM1055" s="332"/>
      <c r="BN1055" s="332"/>
      <c r="BO1055" s="332"/>
      <c r="BP1055" s="332"/>
      <c r="BQ1055" s="332"/>
      <c r="BR1055" s="332"/>
      <c r="BS1055" s="332"/>
      <c r="BT1055" s="332"/>
      <c r="BU1055" s="332"/>
      <c r="BV1055" s="332"/>
      <c r="BW1055" s="332"/>
      <c r="BX1055" s="332"/>
      <c r="BY1055" s="332"/>
      <c r="BZ1055" s="332"/>
      <c r="CA1055" s="332"/>
      <c r="CB1055" s="332"/>
      <c r="CC1055" s="332"/>
      <c r="CD1055" s="332"/>
      <c r="CE1055" s="332"/>
      <c r="CF1055" s="332"/>
      <c r="CG1055" s="332"/>
      <c r="CH1055" s="332"/>
      <c r="CI1055" s="332"/>
      <c r="CJ1055" s="332"/>
      <c r="CK1055" s="332"/>
      <c r="CL1055" s="332"/>
      <c r="CM1055" s="332"/>
      <c r="CN1055" s="332"/>
      <c r="CO1055" s="332"/>
      <c r="CP1055" s="332"/>
      <c r="CQ1055" s="332"/>
      <c r="CR1055" s="332"/>
      <c r="CS1055" s="332"/>
      <c r="CT1055" s="332"/>
      <c r="CU1055" s="332"/>
      <c r="CV1055" s="332"/>
      <c r="CW1055" s="332"/>
      <c r="CX1055" s="332"/>
      <c r="CY1055" s="332"/>
      <c r="CZ1055" s="332"/>
      <c r="DA1055" s="332"/>
      <c r="DB1055" s="332"/>
      <c r="DC1055" s="332"/>
      <c r="DD1055" s="332"/>
      <c r="DE1055" s="332"/>
      <c r="DF1055" s="332"/>
      <c r="DG1055" s="332"/>
      <c r="DH1055" s="332"/>
      <c r="DI1055" s="332"/>
      <c r="DJ1055" s="332"/>
      <c r="DK1055" s="332"/>
      <c r="DL1055" s="332"/>
      <c r="DM1055" s="332"/>
      <c r="DN1055" s="332"/>
      <c r="DO1055" s="332"/>
      <c r="DP1055" s="332"/>
      <c r="DQ1055" s="332"/>
      <c r="DR1055" s="332"/>
      <c r="DS1055" s="332"/>
      <c r="DT1055" s="332"/>
      <c r="DU1055" s="453"/>
      <c r="DV1055" s="453"/>
      <c r="DW1055" s="453"/>
      <c r="DX1055" s="453"/>
      <c r="DY1055" s="453"/>
      <c r="DZ1055" s="453"/>
      <c r="EA1055" s="453"/>
      <c r="EB1055" s="453"/>
      <c r="EC1055" s="453"/>
      <c r="ED1055" s="453"/>
      <c r="EE1055" s="453"/>
      <c r="EF1055" s="453"/>
      <c r="EG1055" s="453"/>
      <c r="EH1055" s="453"/>
      <c r="EI1055" s="453"/>
      <c r="EJ1055" s="453"/>
      <c r="EK1055" s="453"/>
      <c r="EL1055" s="453"/>
      <c r="EM1055" s="483">
        <f t="shared" si="246"/>
        <v>746</v>
      </c>
      <c r="EN1055" s="485"/>
      <c r="EO1055" s="458"/>
      <c r="EP1055" s="467"/>
      <c r="EQ1055" s="457"/>
      <c r="ER1055" s="808"/>
      <c r="ES1055" s="881">
        <f t="shared" si="247"/>
        <v>0</v>
      </c>
      <c r="ET1055" s="882"/>
      <c r="EU1055" s="883"/>
      <c r="EV1055" s="884">
        <f t="shared" si="248"/>
        <v>0</v>
      </c>
      <c r="EW1055" s="885"/>
      <c r="EX1055" s="885"/>
      <c r="EY1055" s="885"/>
      <c r="EZ1055" s="885"/>
      <c r="FA1055" s="885"/>
      <c r="FB1055" s="885"/>
      <c r="FC1055" s="885"/>
      <c r="FD1055" s="886"/>
      <c r="FE1055" s="551"/>
      <c r="FF1055" s="551"/>
      <c r="FG1055" s="551"/>
      <c r="FH1055" s="551"/>
      <c r="FI1055" s="551"/>
      <c r="FJ1055" s="551"/>
      <c r="FK1055" s="551"/>
      <c r="FL1055" s="555"/>
      <c r="FM1055" s="554"/>
      <c r="FN1055" s="554"/>
      <c r="FO1055" s="554"/>
      <c r="FP1055" s="554"/>
      <c r="FQ1055" s="554"/>
      <c r="FR1055" s="554"/>
      <c r="FS1055" s="554"/>
      <c r="FT1055" s="554"/>
      <c r="FU1055" s="554"/>
      <c r="FV1055" s="554"/>
      <c r="FW1055" s="554"/>
      <c r="FX1055" s="554"/>
      <c r="FY1055" s="554"/>
      <c r="FZ1055" s="554"/>
      <c r="GA1055" s="554"/>
      <c r="GB1055" s="556"/>
      <c r="GC1055" s="370"/>
      <c r="GD1055" s="453"/>
      <c r="GE1055" s="453"/>
      <c r="GF1055" s="453"/>
      <c r="GG1055" s="453"/>
      <c r="GH1055" s="454"/>
      <c r="GI1055" s="453"/>
      <c r="GJ1055" s="453"/>
      <c r="GK1055" s="453"/>
      <c r="GL1055" s="453"/>
      <c r="GM1055" s="453"/>
      <c r="GN1055" s="453"/>
      <c r="GO1055" s="453"/>
      <c r="GP1055" s="453"/>
      <c r="GQ1055" s="453"/>
      <c r="GR1055" s="453"/>
      <c r="GS1055" s="561"/>
      <c r="GT1055" s="475"/>
      <c r="GU1055" s="472"/>
      <c r="GV1055" s="453"/>
      <c r="GW1055" s="453"/>
      <c r="GX1055" s="869"/>
      <c r="GY1055" s="870"/>
      <c r="GZ1055" s="867"/>
      <c r="HA1055" s="868"/>
      <c r="HB1055" s="473"/>
      <c r="HC1055" s="869"/>
      <c r="HD1055" s="870"/>
      <c r="HE1055" s="867"/>
      <c r="HF1055" s="868"/>
      <c r="HG1055" s="473"/>
      <c r="HH1055" s="867"/>
      <c r="HI1055" s="868"/>
      <c r="HJ1055" s="867"/>
      <c r="HK1055" s="868"/>
      <c r="HL1055" s="370"/>
      <c r="HM1055" s="865"/>
      <c r="HN1055" s="866"/>
      <c r="HO1055" s="865"/>
      <c r="HP1055" s="866"/>
      <c r="HQ1055" s="865"/>
      <c r="HR1055" s="866"/>
      <c r="HS1055" s="867"/>
      <c r="HT1055" s="868"/>
      <c r="HU1055" s="489"/>
      <c r="HV1055" s="865"/>
      <c r="HW1055" s="866"/>
    </row>
    <row r="1056" spans="25:231" ht="15" customHeight="1">
      <c r="Y1056" s="332"/>
      <c r="Z1056" s="332"/>
      <c r="AA1056" s="332"/>
      <c r="AB1056" s="332"/>
      <c r="AC1056" s="332"/>
      <c r="AD1056" s="332"/>
      <c r="AE1056" s="332"/>
      <c r="AF1056" s="332"/>
      <c r="AG1056" s="332"/>
      <c r="AH1056" s="332"/>
      <c r="AI1056" s="332"/>
      <c r="AJ1056" s="332"/>
      <c r="AK1056" s="332"/>
      <c r="AL1056" s="332"/>
      <c r="AM1056" s="332"/>
      <c r="AN1056" s="332"/>
      <c r="AO1056" s="332"/>
      <c r="AP1056" s="332"/>
      <c r="AQ1056" s="332"/>
      <c r="AR1056" s="332"/>
      <c r="AS1056" s="332"/>
      <c r="AT1056" s="332"/>
      <c r="AU1056" s="332"/>
      <c r="AV1056" s="332"/>
      <c r="AW1056" s="332"/>
      <c r="AX1056" s="332"/>
      <c r="AY1056" s="332"/>
      <c r="AZ1056" s="332"/>
      <c r="BA1056" s="332"/>
      <c r="BB1056" s="332"/>
      <c r="BC1056" s="332"/>
      <c r="BD1056" s="332"/>
      <c r="BE1056" s="332"/>
      <c r="BF1056" s="332"/>
      <c r="BG1056" s="332"/>
      <c r="BH1056" s="332"/>
      <c r="BI1056" s="332"/>
      <c r="BJ1056" s="332"/>
      <c r="BK1056" s="332"/>
      <c r="BL1056" s="332"/>
      <c r="BM1056" s="332"/>
      <c r="BN1056" s="332"/>
      <c r="BO1056" s="332"/>
      <c r="BP1056" s="332"/>
      <c r="BQ1056" s="332"/>
      <c r="BR1056" s="332"/>
      <c r="BS1056" s="332"/>
      <c r="BT1056" s="332"/>
      <c r="BU1056" s="332"/>
      <c r="BV1056" s="332"/>
      <c r="BW1056" s="332"/>
      <c r="BX1056" s="332"/>
      <c r="BY1056" s="332"/>
      <c r="BZ1056" s="332"/>
      <c r="CA1056" s="332"/>
      <c r="CB1056" s="332"/>
      <c r="CC1056" s="332"/>
      <c r="CD1056" s="332"/>
      <c r="CE1056" s="332"/>
      <c r="CF1056" s="332"/>
      <c r="CG1056" s="332"/>
      <c r="CH1056" s="332"/>
      <c r="CI1056" s="332"/>
      <c r="CJ1056" s="332"/>
      <c r="CK1056" s="332"/>
      <c r="CL1056" s="332"/>
      <c r="CM1056" s="332"/>
      <c r="CN1056" s="332"/>
      <c r="CO1056" s="332"/>
      <c r="CP1056" s="332"/>
      <c r="CQ1056" s="332"/>
      <c r="CR1056" s="332"/>
      <c r="CS1056" s="332"/>
      <c r="CT1056" s="332"/>
      <c r="CU1056" s="332"/>
      <c r="CV1056" s="332"/>
      <c r="CW1056" s="332"/>
      <c r="CX1056" s="332"/>
      <c r="CY1056" s="332"/>
      <c r="CZ1056" s="332"/>
      <c r="DA1056" s="332"/>
      <c r="DB1056" s="332"/>
      <c r="DC1056" s="332"/>
      <c r="DD1056" s="332"/>
      <c r="DE1056" s="332"/>
      <c r="DF1056" s="332"/>
      <c r="DG1056" s="332"/>
      <c r="DH1056" s="332"/>
      <c r="DI1056" s="332"/>
      <c r="DJ1056" s="332"/>
      <c r="DK1056" s="332"/>
      <c r="DL1056" s="332"/>
      <c r="DM1056" s="332"/>
      <c r="DN1056" s="332"/>
      <c r="DO1056" s="332"/>
      <c r="DP1056" s="332"/>
      <c r="DQ1056" s="332"/>
      <c r="DR1056" s="332"/>
      <c r="DS1056" s="332"/>
      <c r="DT1056" s="332"/>
      <c r="DU1056" s="453"/>
      <c r="DV1056" s="453"/>
      <c r="DW1056" s="453"/>
      <c r="DX1056" s="453"/>
      <c r="DY1056" s="453"/>
      <c r="DZ1056" s="453"/>
      <c r="EA1056" s="453"/>
      <c r="EB1056" s="453"/>
      <c r="EC1056" s="453"/>
      <c r="ED1056" s="453"/>
      <c r="EE1056" s="453"/>
      <c r="EF1056" s="453"/>
      <c r="EG1056" s="453"/>
      <c r="EH1056" s="453"/>
      <c r="EI1056" s="453"/>
      <c r="EJ1056" s="453"/>
      <c r="EK1056" s="453"/>
      <c r="EL1056" s="453"/>
      <c r="EM1056" s="483">
        <f t="shared" si="246"/>
        <v>747</v>
      </c>
      <c r="EN1056" s="485"/>
      <c r="EO1056" s="458"/>
      <c r="EP1056" s="467"/>
      <c r="EQ1056" s="457"/>
      <c r="ER1056" s="808"/>
      <c r="ES1056" s="881">
        <f t="shared" si="247"/>
        <v>0</v>
      </c>
      <c r="ET1056" s="882"/>
      <c r="EU1056" s="883"/>
      <c r="EV1056" s="884">
        <f t="shared" si="248"/>
        <v>0</v>
      </c>
      <c r="EW1056" s="885"/>
      <c r="EX1056" s="885"/>
      <c r="EY1056" s="885"/>
      <c r="EZ1056" s="885"/>
      <c r="FA1056" s="885"/>
      <c r="FB1056" s="885"/>
      <c r="FC1056" s="885"/>
      <c r="FD1056" s="886"/>
      <c r="FE1056" s="551"/>
      <c r="FF1056" s="551"/>
      <c r="FG1056" s="551"/>
      <c r="FH1056" s="551"/>
      <c r="FI1056" s="551"/>
      <c r="FJ1056" s="551"/>
      <c r="FK1056" s="551"/>
      <c r="FL1056" s="555"/>
      <c r="FM1056" s="554"/>
      <c r="FN1056" s="554"/>
      <c r="FO1056" s="554"/>
      <c r="FP1056" s="554"/>
      <c r="FQ1056" s="554"/>
      <c r="FR1056" s="554"/>
      <c r="FS1056" s="554"/>
      <c r="FT1056" s="554"/>
      <c r="FU1056" s="554"/>
      <c r="FV1056" s="554"/>
      <c r="FW1056" s="554"/>
      <c r="FX1056" s="554"/>
      <c r="FY1056" s="554"/>
      <c r="FZ1056" s="554"/>
      <c r="GA1056" s="554"/>
      <c r="GB1056" s="556"/>
      <c r="GC1056" s="370"/>
      <c r="GD1056" s="453"/>
      <c r="GE1056" s="453"/>
      <c r="GF1056" s="453"/>
      <c r="GG1056" s="453"/>
      <c r="GH1056" s="454"/>
      <c r="GI1056" s="453"/>
      <c r="GJ1056" s="453"/>
      <c r="GK1056" s="453"/>
      <c r="GL1056" s="453"/>
      <c r="GM1056" s="453"/>
      <c r="GN1056" s="453"/>
      <c r="GO1056" s="453"/>
      <c r="GP1056" s="453"/>
      <c r="GQ1056" s="453"/>
      <c r="GR1056" s="453"/>
      <c r="GS1056" s="561"/>
      <c r="GT1056" s="475"/>
      <c r="GU1056" s="472"/>
      <c r="GV1056" s="453"/>
      <c r="GW1056" s="453"/>
      <c r="GX1056" s="869"/>
      <c r="GY1056" s="870"/>
      <c r="GZ1056" s="867"/>
      <c r="HA1056" s="868"/>
      <c r="HB1056" s="473"/>
      <c r="HC1056" s="869"/>
      <c r="HD1056" s="870"/>
      <c r="HE1056" s="867"/>
      <c r="HF1056" s="868"/>
      <c r="HG1056" s="473"/>
      <c r="HH1056" s="867"/>
      <c r="HI1056" s="868"/>
      <c r="HJ1056" s="867"/>
      <c r="HK1056" s="868"/>
      <c r="HL1056" s="370"/>
      <c r="HM1056" s="865"/>
      <c r="HN1056" s="866"/>
      <c r="HO1056" s="865"/>
      <c r="HP1056" s="866"/>
      <c r="HQ1056" s="865"/>
      <c r="HR1056" s="866"/>
      <c r="HS1056" s="867"/>
      <c r="HT1056" s="868"/>
      <c r="HU1056" s="489"/>
      <c r="HV1056" s="865"/>
      <c r="HW1056" s="866"/>
    </row>
    <row r="1057" spans="25:231" ht="15" customHeight="1">
      <c r="Y1057" s="332"/>
      <c r="Z1057" s="332"/>
      <c r="AA1057" s="332"/>
      <c r="AB1057" s="332"/>
      <c r="AC1057" s="332"/>
      <c r="AD1057" s="332"/>
      <c r="AE1057" s="332"/>
      <c r="AF1057" s="332"/>
      <c r="AG1057" s="332"/>
      <c r="AH1057" s="332"/>
      <c r="AI1057" s="332"/>
      <c r="AJ1057" s="332"/>
      <c r="AK1057" s="332"/>
      <c r="AL1057" s="332"/>
      <c r="AM1057" s="332"/>
      <c r="AN1057" s="332"/>
      <c r="AO1057" s="332"/>
      <c r="AP1057" s="332"/>
      <c r="AQ1057" s="332"/>
      <c r="AR1057" s="332"/>
      <c r="AS1057" s="332"/>
      <c r="AT1057" s="332"/>
      <c r="AU1057" s="332"/>
      <c r="AV1057" s="332"/>
      <c r="AW1057" s="332"/>
      <c r="AX1057" s="332"/>
      <c r="AY1057" s="332"/>
      <c r="AZ1057" s="332"/>
      <c r="BA1057" s="332"/>
      <c r="BB1057" s="332"/>
      <c r="BC1057" s="332"/>
      <c r="BD1057" s="332"/>
      <c r="BE1057" s="332"/>
      <c r="BF1057" s="332"/>
      <c r="BG1057" s="332"/>
      <c r="BH1057" s="332"/>
      <c r="BI1057" s="332"/>
      <c r="BJ1057" s="332"/>
      <c r="BK1057" s="332"/>
      <c r="BL1057" s="332"/>
      <c r="BM1057" s="332"/>
      <c r="BN1057" s="332"/>
      <c r="BO1057" s="332"/>
      <c r="BP1057" s="332"/>
      <c r="BQ1057" s="332"/>
      <c r="BR1057" s="332"/>
      <c r="BS1057" s="332"/>
      <c r="BT1057" s="332"/>
      <c r="BU1057" s="332"/>
      <c r="BV1057" s="332"/>
      <c r="BW1057" s="332"/>
      <c r="BX1057" s="332"/>
      <c r="BY1057" s="332"/>
      <c r="BZ1057" s="332"/>
      <c r="CA1057" s="332"/>
      <c r="CB1057" s="332"/>
      <c r="CC1057" s="332"/>
      <c r="CD1057" s="332"/>
      <c r="CE1057" s="332"/>
      <c r="CF1057" s="332"/>
      <c r="CG1057" s="332"/>
      <c r="CH1057" s="332"/>
      <c r="CI1057" s="332"/>
      <c r="CJ1057" s="332"/>
      <c r="CK1057" s="332"/>
      <c r="CL1057" s="332"/>
      <c r="CM1057" s="332"/>
      <c r="CN1057" s="332"/>
      <c r="CO1057" s="332"/>
      <c r="CP1057" s="332"/>
      <c r="CQ1057" s="332"/>
      <c r="CR1057" s="332"/>
      <c r="CS1057" s="332"/>
      <c r="CT1057" s="332"/>
      <c r="CU1057" s="332"/>
      <c r="CV1057" s="332"/>
      <c r="CW1057" s="332"/>
      <c r="CX1057" s="332"/>
      <c r="CY1057" s="332"/>
      <c r="CZ1057" s="332"/>
      <c r="DA1057" s="332"/>
      <c r="DB1057" s="332"/>
      <c r="DC1057" s="332"/>
      <c r="DD1057" s="332"/>
      <c r="DE1057" s="332"/>
      <c r="DF1057" s="332"/>
      <c r="DG1057" s="332"/>
      <c r="DH1057" s="332"/>
      <c r="DI1057" s="332"/>
      <c r="DJ1057" s="332"/>
      <c r="DK1057" s="332"/>
      <c r="DL1057" s="332"/>
      <c r="DM1057" s="332"/>
      <c r="DN1057" s="332"/>
      <c r="DO1057" s="332"/>
      <c r="DP1057" s="332"/>
      <c r="DQ1057" s="332"/>
      <c r="DR1057" s="332"/>
      <c r="DS1057" s="332"/>
      <c r="DT1057" s="332"/>
      <c r="DU1057" s="453"/>
      <c r="DV1057" s="453"/>
      <c r="DW1057" s="453"/>
      <c r="DX1057" s="453"/>
      <c r="DY1057" s="453"/>
      <c r="DZ1057" s="453"/>
      <c r="EA1057" s="453"/>
      <c r="EB1057" s="453"/>
      <c r="EC1057" s="453"/>
      <c r="ED1057" s="453"/>
      <c r="EE1057" s="453"/>
      <c r="EF1057" s="453"/>
      <c r="EG1057" s="453"/>
      <c r="EH1057" s="453"/>
      <c r="EI1057" s="453"/>
      <c r="EJ1057" s="453"/>
      <c r="EK1057" s="453"/>
      <c r="EL1057" s="453"/>
      <c r="EM1057" s="483">
        <f t="shared" si="246"/>
        <v>748</v>
      </c>
      <c r="EN1057" s="485"/>
      <c r="EO1057" s="458"/>
      <c r="EP1057" s="467"/>
      <c r="EQ1057" s="457"/>
      <c r="ER1057" s="808"/>
      <c r="ES1057" s="881">
        <f t="shared" si="247"/>
        <v>0</v>
      </c>
      <c r="ET1057" s="882"/>
      <c r="EU1057" s="883"/>
      <c r="EV1057" s="884">
        <f t="shared" si="248"/>
        <v>0</v>
      </c>
      <c r="EW1057" s="885"/>
      <c r="EX1057" s="885"/>
      <c r="EY1057" s="885"/>
      <c r="EZ1057" s="885"/>
      <c r="FA1057" s="885"/>
      <c r="FB1057" s="885"/>
      <c r="FC1057" s="885"/>
      <c r="FD1057" s="886"/>
      <c r="FE1057" s="551"/>
      <c r="FF1057" s="551"/>
      <c r="FG1057" s="551"/>
      <c r="FH1057" s="551"/>
      <c r="FI1057" s="551"/>
      <c r="FJ1057" s="551"/>
      <c r="FK1057" s="551"/>
      <c r="FL1057" s="555"/>
      <c r="FM1057" s="554"/>
      <c r="FN1057" s="554"/>
      <c r="FO1057" s="554"/>
      <c r="FP1057" s="554"/>
      <c r="FQ1057" s="554"/>
      <c r="FR1057" s="554"/>
      <c r="FS1057" s="554"/>
      <c r="FT1057" s="554"/>
      <c r="FU1057" s="554"/>
      <c r="FV1057" s="554"/>
      <c r="FW1057" s="554"/>
      <c r="FX1057" s="554"/>
      <c r="FY1057" s="554"/>
      <c r="FZ1057" s="554"/>
      <c r="GA1057" s="554"/>
      <c r="GB1057" s="556"/>
      <c r="GC1057" s="370"/>
      <c r="GD1057" s="453"/>
      <c r="GE1057" s="453"/>
      <c r="GF1057" s="453"/>
      <c r="GG1057" s="453"/>
      <c r="GH1057" s="454"/>
      <c r="GI1057" s="453"/>
      <c r="GJ1057" s="453"/>
      <c r="GK1057" s="453"/>
      <c r="GL1057" s="453"/>
      <c r="GM1057" s="453"/>
      <c r="GN1057" s="453"/>
      <c r="GO1057" s="453"/>
      <c r="GP1057" s="453"/>
      <c r="GQ1057" s="453"/>
      <c r="GR1057" s="453"/>
      <c r="GS1057" s="561"/>
      <c r="GT1057" s="475"/>
      <c r="GU1057" s="472"/>
      <c r="GV1057" s="453"/>
      <c r="GW1057" s="453"/>
      <c r="GX1057" s="869"/>
      <c r="GY1057" s="870"/>
      <c r="GZ1057" s="867"/>
      <c r="HA1057" s="868"/>
      <c r="HB1057" s="473"/>
      <c r="HC1057" s="869"/>
      <c r="HD1057" s="870"/>
      <c r="HE1057" s="867"/>
      <c r="HF1057" s="868"/>
      <c r="HG1057" s="473"/>
      <c r="HH1057" s="867"/>
      <c r="HI1057" s="868"/>
      <c r="HJ1057" s="867"/>
      <c r="HK1057" s="868"/>
      <c r="HL1057" s="370"/>
      <c r="HM1057" s="865"/>
      <c r="HN1057" s="866"/>
      <c r="HO1057" s="865"/>
      <c r="HP1057" s="866"/>
      <c r="HQ1057" s="865"/>
      <c r="HR1057" s="866"/>
      <c r="HS1057" s="867"/>
      <c r="HT1057" s="868"/>
      <c r="HU1057" s="489"/>
      <c r="HV1057" s="865"/>
      <c r="HW1057" s="866"/>
    </row>
    <row r="1058" spans="25:231" ht="15" customHeight="1">
      <c r="Y1058" s="332"/>
      <c r="Z1058" s="332"/>
      <c r="AA1058" s="332"/>
      <c r="AB1058" s="332"/>
      <c r="AC1058" s="332"/>
      <c r="AD1058" s="332"/>
      <c r="AE1058" s="332"/>
      <c r="AF1058" s="332"/>
      <c r="AG1058" s="332"/>
      <c r="AH1058" s="332"/>
      <c r="AI1058" s="332"/>
      <c r="AJ1058" s="332"/>
      <c r="AK1058" s="332"/>
      <c r="AL1058" s="332"/>
      <c r="AM1058" s="332"/>
      <c r="AN1058" s="332"/>
      <c r="AO1058" s="332"/>
      <c r="AP1058" s="332"/>
      <c r="AQ1058" s="332"/>
      <c r="AR1058" s="332"/>
      <c r="AS1058" s="332"/>
      <c r="AT1058" s="332"/>
      <c r="AU1058" s="332"/>
      <c r="AV1058" s="332"/>
      <c r="AW1058" s="332"/>
      <c r="AX1058" s="332"/>
      <c r="AY1058" s="332"/>
      <c r="AZ1058" s="332"/>
      <c r="BA1058" s="332"/>
      <c r="BB1058" s="332"/>
      <c r="BC1058" s="332"/>
      <c r="BD1058" s="332"/>
      <c r="BE1058" s="332"/>
      <c r="BF1058" s="332"/>
      <c r="BG1058" s="332"/>
      <c r="BH1058" s="332"/>
      <c r="BI1058" s="332"/>
      <c r="BJ1058" s="332"/>
      <c r="BK1058" s="332"/>
      <c r="BL1058" s="332"/>
      <c r="BM1058" s="332"/>
      <c r="BN1058" s="332"/>
      <c r="BO1058" s="332"/>
      <c r="BP1058" s="332"/>
      <c r="BQ1058" s="332"/>
      <c r="BR1058" s="332"/>
      <c r="BS1058" s="332"/>
      <c r="BT1058" s="332"/>
      <c r="BU1058" s="332"/>
      <c r="BV1058" s="332"/>
      <c r="BW1058" s="332"/>
      <c r="BX1058" s="332"/>
      <c r="BY1058" s="332"/>
      <c r="BZ1058" s="332"/>
      <c r="CA1058" s="332"/>
      <c r="CB1058" s="332"/>
      <c r="CC1058" s="332"/>
      <c r="CD1058" s="332"/>
      <c r="CE1058" s="332"/>
      <c r="CF1058" s="332"/>
      <c r="CG1058" s="332"/>
      <c r="CH1058" s="332"/>
      <c r="CI1058" s="332"/>
      <c r="CJ1058" s="332"/>
      <c r="CK1058" s="332"/>
      <c r="CL1058" s="332"/>
      <c r="CM1058" s="332"/>
      <c r="CN1058" s="332"/>
      <c r="CO1058" s="332"/>
      <c r="CP1058" s="332"/>
      <c r="CQ1058" s="332"/>
      <c r="CR1058" s="332"/>
      <c r="CS1058" s="332"/>
      <c r="CT1058" s="332"/>
      <c r="CU1058" s="332"/>
      <c r="CV1058" s="332"/>
      <c r="CW1058" s="332"/>
      <c r="CX1058" s="332"/>
      <c r="CY1058" s="332"/>
      <c r="CZ1058" s="332"/>
      <c r="DA1058" s="332"/>
      <c r="DB1058" s="332"/>
      <c r="DC1058" s="332"/>
      <c r="DD1058" s="332"/>
      <c r="DE1058" s="332"/>
      <c r="DF1058" s="332"/>
      <c r="DG1058" s="332"/>
      <c r="DH1058" s="332"/>
      <c r="DI1058" s="332"/>
      <c r="DJ1058" s="332"/>
      <c r="DK1058" s="332"/>
      <c r="DL1058" s="332"/>
      <c r="DM1058" s="332"/>
      <c r="DN1058" s="332"/>
      <c r="DO1058" s="332"/>
      <c r="DP1058" s="332"/>
      <c r="DQ1058" s="332"/>
      <c r="DR1058" s="332"/>
      <c r="DS1058" s="332"/>
      <c r="DT1058" s="332"/>
      <c r="DU1058" s="453"/>
      <c r="DV1058" s="453"/>
      <c r="DW1058" s="453"/>
      <c r="DX1058" s="453"/>
      <c r="DY1058" s="453"/>
      <c r="DZ1058" s="453"/>
      <c r="EA1058" s="453"/>
      <c r="EB1058" s="453"/>
      <c r="EC1058" s="453"/>
      <c r="ED1058" s="453"/>
      <c r="EE1058" s="453"/>
      <c r="EF1058" s="453"/>
      <c r="EG1058" s="453"/>
      <c r="EH1058" s="453"/>
      <c r="EI1058" s="453"/>
      <c r="EJ1058" s="453"/>
      <c r="EK1058" s="453"/>
      <c r="EL1058" s="453"/>
      <c r="EM1058" s="483">
        <f t="shared" si="246"/>
        <v>749</v>
      </c>
      <c r="EN1058" s="485"/>
      <c r="EO1058" s="458"/>
      <c r="EP1058" s="467"/>
      <c r="EQ1058" s="457"/>
      <c r="ER1058" s="808"/>
      <c r="ES1058" s="881">
        <f t="shared" si="247"/>
        <v>0</v>
      </c>
      <c r="ET1058" s="882"/>
      <c r="EU1058" s="883"/>
      <c r="EV1058" s="884">
        <f t="shared" si="248"/>
        <v>0</v>
      </c>
      <c r="EW1058" s="885"/>
      <c r="EX1058" s="885"/>
      <c r="EY1058" s="885"/>
      <c r="EZ1058" s="885"/>
      <c r="FA1058" s="885"/>
      <c r="FB1058" s="885"/>
      <c r="FC1058" s="885"/>
      <c r="FD1058" s="886"/>
      <c r="FE1058" s="551"/>
      <c r="FF1058" s="551"/>
      <c r="FG1058" s="551"/>
      <c r="FH1058" s="551"/>
      <c r="FI1058" s="551"/>
      <c r="FJ1058" s="551"/>
      <c r="FK1058" s="551"/>
      <c r="FL1058" s="555"/>
      <c r="FM1058" s="554"/>
      <c r="FN1058" s="554"/>
      <c r="FO1058" s="554"/>
      <c r="FP1058" s="554"/>
      <c r="FQ1058" s="554"/>
      <c r="FR1058" s="554"/>
      <c r="FS1058" s="554"/>
      <c r="FT1058" s="554"/>
      <c r="FU1058" s="554"/>
      <c r="FV1058" s="554"/>
      <c r="FW1058" s="554"/>
      <c r="FX1058" s="554"/>
      <c r="FY1058" s="554"/>
      <c r="FZ1058" s="554"/>
      <c r="GA1058" s="554"/>
      <c r="GB1058" s="556"/>
      <c r="GC1058" s="370"/>
      <c r="GD1058" s="453"/>
      <c r="GE1058" s="453"/>
      <c r="GF1058" s="453"/>
      <c r="GG1058" s="453"/>
      <c r="GH1058" s="454"/>
      <c r="GI1058" s="453"/>
      <c r="GJ1058" s="453"/>
      <c r="GK1058" s="453"/>
      <c r="GL1058" s="453"/>
      <c r="GM1058" s="453"/>
      <c r="GN1058" s="453"/>
      <c r="GO1058" s="453"/>
      <c r="GP1058" s="453"/>
      <c r="GQ1058" s="453"/>
      <c r="GR1058" s="453"/>
      <c r="GS1058" s="561"/>
      <c r="GT1058" s="475"/>
      <c r="GU1058" s="472"/>
      <c r="GV1058" s="453"/>
      <c r="GW1058" s="453"/>
      <c r="GX1058" s="869"/>
      <c r="GY1058" s="870"/>
      <c r="GZ1058" s="867"/>
      <c r="HA1058" s="868"/>
      <c r="HB1058" s="473"/>
      <c r="HC1058" s="869"/>
      <c r="HD1058" s="870"/>
      <c r="HE1058" s="867"/>
      <c r="HF1058" s="868"/>
      <c r="HG1058" s="473"/>
      <c r="HH1058" s="867"/>
      <c r="HI1058" s="868"/>
      <c r="HJ1058" s="867"/>
      <c r="HK1058" s="868"/>
      <c r="HL1058" s="370"/>
      <c r="HM1058" s="865"/>
      <c r="HN1058" s="866"/>
      <c r="HO1058" s="865"/>
      <c r="HP1058" s="866"/>
      <c r="HQ1058" s="865"/>
      <c r="HR1058" s="866"/>
      <c r="HS1058" s="867"/>
      <c r="HT1058" s="868"/>
      <c r="HU1058" s="489"/>
      <c r="HV1058" s="865"/>
      <c r="HW1058" s="866"/>
    </row>
    <row r="1059" spans="25:231" ht="15" customHeight="1">
      <c r="Y1059" s="332"/>
      <c r="Z1059" s="332"/>
      <c r="AA1059" s="332"/>
      <c r="AB1059" s="332"/>
      <c r="AC1059" s="332"/>
      <c r="AD1059" s="332"/>
      <c r="AE1059" s="332"/>
      <c r="AF1059" s="332"/>
      <c r="AG1059" s="332"/>
      <c r="AH1059" s="332"/>
      <c r="AI1059" s="332"/>
      <c r="AJ1059" s="332"/>
      <c r="AK1059" s="332"/>
      <c r="AL1059" s="332"/>
      <c r="AM1059" s="332"/>
      <c r="AN1059" s="332"/>
      <c r="AO1059" s="332"/>
      <c r="AP1059" s="332"/>
      <c r="AQ1059" s="332"/>
      <c r="AR1059" s="332"/>
      <c r="AS1059" s="332"/>
      <c r="AT1059" s="332"/>
      <c r="AU1059" s="332"/>
      <c r="AV1059" s="332"/>
      <c r="AW1059" s="332"/>
      <c r="AX1059" s="332"/>
      <c r="AY1059" s="332"/>
      <c r="AZ1059" s="332"/>
      <c r="BA1059" s="332"/>
      <c r="BB1059" s="332"/>
      <c r="BC1059" s="332"/>
      <c r="BD1059" s="332"/>
      <c r="BE1059" s="332"/>
      <c r="BF1059" s="332"/>
      <c r="BG1059" s="332"/>
      <c r="BH1059" s="332"/>
      <c r="BI1059" s="332"/>
      <c r="BJ1059" s="332"/>
      <c r="BK1059" s="332"/>
      <c r="BL1059" s="332"/>
      <c r="BM1059" s="332"/>
      <c r="BN1059" s="332"/>
      <c r="BO1059" s="332"/>
      <c r="BP1059" s="332"/>
      <c r="BQ1059" s="332"/>
      <c r="BR1059" s="332"/>
      <c r="BS1059" s="332"/>
      <c r="BT1059" s="332"/>
      <c r="BU1059" s="332"/>
      <c r="BV1059" s="332"/>
      <c r="BW1059" s="332"/>
      <c r="BX1059" s="332"/>
      <c r="BY1059" s="332"/>
      <c r="BZ1059" s="332"/>
      <c r="CA1059" s="332"/>
      <c r="CB1059" s="332"/>
      <c r="CC1059" s="332"/>
      <c r="CD1059" s="332"/>
      <c r="CE1059" s="332"/>
      <c r="CF1059" s="332"/>
      <c r="CG1059" s="332"/>
      <c r="CH1059" s="332"/>
      <c r="CI1059" s="332"/>
      <c r="CJ1059" s="332"/>
      <c r="CK1059" s="332"/>
      <c r="CL1059" s="332"/>
      <c r="CM1059" s="332"/>
      <c r="CN1059" s="332"/>
      <c r="CO1059" s="332"/>
      <c r="CP1059" s="332"/>
      <c r="CQ1059" s="332"/>
      <c r="CR1059" s="332"/>
      <c r="CS1059" s="332"/>
      <c r="CT1059" s="332"/>
      <c r="CU1059" s="332"/>
      <c r="CV1059" s="332"/>
      <c r="CW1059" s="332"/>
      <c r="CX1059" s="332"/>
      <c r="CY1059" s="332"/>
      <c r="CZ1059" s="332"/>
      <c r="DA1059" s="332"/>
      <c r="DB1059" s="332"/>
      <c r="DC1059" s="332"/>
      <c r="DD1059" s="332"/>
      <c r="DE1059" s="332"/>
      <c r="DF1059" s="332"/>
      <c r="DG1059" s="332"/>
      <c r="DH1059" s="332"/>
      <c r="DI1059" s="332"/>
      <c r="DJ1059" s="332"/>
      <c r="DK1059" s="332"/>
      <c r="DL1059" s="332"/>
      <c r="DM1059" s="332"/>
      <c r="DN1059" s="332"/>
      <c r="DO1059" s="332"/>
      <c r="DP1059" s="332"/>
      <c r="DQ1059" s="332"/>
      <c r="DR1059" s="332"/>
      <c r="DS1059" s="332"/>
      <c r="DT1059" s="332"/>
      <c r="DU1059" s="453"/>
      <c r="DV1059" s="453"/>
      <c r="DW1059" s="453"/>
      <c r="DX1059" s="453"/>
      <c r="DY1059" s="453"/>
      <c r="DZ1059" s="453"/>
      <c r="EA1059" s="453"/>
      <c r="EB1059" s="453"/>
      <c r="EC1059" s="453"/>
      <c r="ED1059" s="453"/>
      <c r="EE1059" s="453"/>
      <c r="EF1059" s="453"/>
      <c r="EG1059" s="453"/>
      <c r="EH1059" s="453"/>
      <c r="EI1059" s="453"/>
      <c r="EJ1059" s="453"/>
      <c r="EK1059" s="453"/>
      <c r="EL1059" s="453"/>
      <c r="EM1059" s="483">
        <f t="shared" si="246"/>
        <v>750</v>
      </c>
      <c r="EN1059" s="485"/>
      <c r="EO1059" s="458"/>
      <c r="EP1059" s="467"/>
      <c r="EQ1059" s="457"/>
      <c r="ER1059" s="808"/>
      <c r="ES1059" s="881">
        <f t="shared" si="247"/>
        <v>0</v>
      </c>
      <c r="ET1059" s="882"/>
      <c r="EU1059" s="883"/>
      <c r="EV1059" s="884">
        <f t="shared" si="248"/>
        <v>0</v>
      </c>
      <c r="EW1059" s="885"/>
      <c r="EX1059" s="885"/>
      <c r="EY1059" s="885"/>
      <c r="EZ1059" s="885"/>
      <c r="FA1059" s="885"/>
      <c r="FB1059" s="885"/>
      <c r="FC1059" s="885"/>
      <c r="FD1059" s="886"/>
      <c r="FE1059" s="551"/>
      <c r="FF1059" s="551"/>
      <c r="FG1059" s="551"/>
      <c r="FH1059" s="551"/>
      <c r="FI1059" s="551"/>
      <c r="FJ1059" s="551"/>
      <c r="FK1059" s="551"/>
      <c r="FL1059" s="555"/>
      <c r="FM1059" s="554"/>
      <c r="FN1059" s="554"/>
      <c r="FO1059" s="554"/>
      <c r="FP1059" s="554"/>
      <c r="FQ1059" s="554"/>
      <c r="FR1059" s="554"/>
      <c r="FS1059" s="554"/>
      <c r="FT1059" s="554"/>
      <c r="FU1059" s="554"/>
      <c r="FV1059" s="554"/>
      <c r="FW1059" s="554"/>
      <c r="FX1059" s="554"/>
      <c r="FY1059" s="554"/>
      <c r="FZ1059" s="554"/>
      <c r="GA1059" s="554"/>
      <c r="GB1059" s="556"/>
      <c r="GC1059" s="370"/>
      <c r="GD1059" s="453"/>
      <c r="GE1059" s="453"/>
      <c r="GF1059" s="453"/>
      <c r="GG1059" s="453"/>
      <c r="GH1059" s="454"/>
      <c r="GI1059" s="453"/>
      <c r="GJ1059" s="453"/>
      <c r="GK1059" s="453"/>
      <c r="GL1059" s="453"/>
      <c r="GM1059" s="453"/>
      <c r="GN1059" s="453"/>
      <c r="GO1059" s="453"/>
      <c r="GP1059" s="453"/>
      <c r="GQ1059" s="453"/>
      <c r="GR1059" s="453"/>
      <c r="GS1059" s="561"/>
      <c r="GT1059" s="475"/>
      <c r="GU1059" s="472"/>
      <c r="GV1059" s="453"/>
      <c r="GW1059" s="453"/>
      <c r="GX1059" s="869"/>
      <c r="GY1059" s="870"/>
      <c r="GZ1059" s="867"/>
      <c r="HA1059" s="868"/>
      <c r="HB1059" s="473"/>
      <c r="HC1059" s="869"/>
      <c r="HD1059" s="870"/>
      <c r="HE1059" s="867"/>
      <c r="HF1059" s="868"/>
      <c r="HG1059" s="473"/>
      <c r="HH1059" s="867"/>
      <c r="HI1059" s="868"/>
      <c r="HJ1059" s="867"/>
      <c r="HK1059" s="868"/>
      <c r="HL1059" s="370"/>
      <c r="HM1059" s="865"/>
      <c r="HN1059" s="866"/>
      <c r="HO1059" s="865"/>
      <c r="HP1059" s="866"/>
      <c r="HQ1059" s="865"/>
      <c r="HR1059" s="866"/>
      <c r="HS1059" s="867"/>
      <c r="HT1059" s="868"/>
      <c r="HU1059" s="489"/>
      <c r="HV1059" s="865"/>
      <c r="HW1059" s="866"/>
    </row>
    <row r="1060" spans="25:231" ht="15" customHeight="1">
      <c r="Y1060" s="332"/>
      <c r="Z1060" s="332"/>
      <c r="AA1060" s="332"/>
      <c r="AB1060" s="332"/>
      <c r="AC1060" s="332"/>
      <c r="AD1060" s="332"/>
      <c r="AE1060" s="332"/>
      <c r="AF1060" s="332"/>
      <c r="AG1060" s="332"/>
      <c r="AH1060" s="332"/>
      <c r="AI1060" s="332"/>
      <c r="AJ1060" s="332"/>
      <c r="AK1060" s="332"/>
      <c r="AL1060" s="332"/>
      <c r="AM1060" s="332"/>
      <c r="AN1060" s="332"/>
      <c r="AO1060" s="332"/>
      <c r="AP1060" s="332"/>
      <c r="AQ1060" s="332"/>
      <c r="AR1060" s="332"/>
      <c r="AS1060" s="332"/>
      <c r="AT1060" s="332"/>
      <c r="AU1060" s="332"/>
      <c r="AV1060" s="332"/>
      <c r="AW1060" s="332"/>
      <c r="AX1060" s="332"/>
      <c r="AY1060" s="332"/>
      <c r="AZ1060" s="332"/>
      <c r="BA1060" s="332"/>
      <c r="BB1060" s="332"/>
      <c r="BC1060" s="332"/>
      <c r="BD1060" s="332"/>
      <c r="BE1060" s="332"/>
      <c r="BF1060" s="332"/>
      <c r="BG1060" s="332"/>
      <c r="BH1060" s="332"/>
      <c r="BI1060" s="332"/>
      <c r="BJ1060" s="332"/>
      <c r="BK1060" s="332"/>
      <c r="BL1060" s="332"/>
      <c r="BM1060" s="332"/>
      <c r="BN1060" s="332"/>
      <c r="BO1060" s="332"/>
      <c r="BP1060" s="332"/>
      <c r="BQ1060" s="332"/>
      <c r="BR1060" s="332"/>
      <c r="BS1060" s="332"/>
      <c r="BT1060" s="332"/>
      <c r="BU1060" s="332"/>
      <c r="BV1060" s="332"/>
      <c r="BW1060" s="332"/>
      <c r="BX1060" s="332"/>
      <c r="BY1060" s="332"/>
      <c r="BZ1060" s="332"/>
      <c r="CA1060" s="332"/>
      <c r="CB1060" s="332"/>
      <c r="CC1060" s="332"/>
      <c r="CD1060" s="332"/>
      <c r="CE1060" s="332"/>
      <c r="CF1060" s="332"/>
      <c r="CG1060" s="332"/>
      <c r="CH1060" s="332"/>
      <c r="CI1060" s="332"/>
      <c r="CJ1060" s="332"/>
      <c r="CK1060" s="332"/>
      <c r="CL1060" s="332"/>
      <c r="CM1060" s="332"/>
      <c r="CN1060" s="332"/>
      <c r="CO1060" s="332"/>
      <c r="CP1060" s="332"/>
      <c r="CQ1060" s="332"/>
      <c r="CR1060" s="332"/>
      <c r="CS1060" s="332"/>
      <c r="CT1060" s="332"/>
      <c r="CU1060" s="332"/>
      <c r="CV1060" s="332"/>
      <c r="CW1060" s="332"/>
      <c r="CX1060" s="332"/>
      <c r="CY1060" s="332"/>
      <c r="CZ1060" s="332"/>
      <c r="DA1060" s="332"/>
      <c r="DB1060" s="332"/>
      <c r="DC1060" s="332"/>
      <c r="DD1060" s="332"/>
      <c r="DE1060" s="332"/>
      <c r="DF1060" s="332"/>
      <c r="DG1060" s="332"/>
      <c r="DH1060" s="332"/>
      <c r="DI1060" s="332"/>
      <c r="DJ1060" s="332"/>
      <c r="DK1060" s="332"/>
      <c r="DL1060" s="332"/>
      <c r="DM1060" s="332"/>
      <c r="DN1060" s="332"/>
      <c r="DO1060" s="332"/>
      <c r="DP1060" s="332"/>
      <c r="DQ1060" s="332"/>
      <c r="DR1060" s="332"/>
      <c r="DS1060" s="332"/>
      <c r="DT1060" s="332"/>
      <c r="DU1060" s="453"/>
      <c r="DV1060" s="453"/>
      <c r="DW1060" s="453"/>
      <c r="DX1060" s="453"/>
      <c r="DY1060" s="453"/>
      <c r="DZ1060" s="453"/>
      <c r="EA1060" s="453"/>
      <c r="EB1060" s="453"/>
      <c r="EC1060" s="453"/>
      <c r="ED1060" s="453"/>
      <c r="EE1060" s="453"/>
      <c r="EF1060" s="453"/>
      <c r="EG1060" s="453"/>
      <c r="EH1060" s="453"/>
      <c r="EI1060" s="453"/>
      <c r="EJ1060" s="453"/>
      <c r="EK1060" s="453"/>
      <c r="EL1060" s="453"/>
      <c r="EM1060" s="483">
        <f t="shared" si="246"/>
        <v>751</v>
      </c>
      <c r="EN1060" s="485"/>
      <c r="EO1060" s="458"/>
      <c r="EP1060" s="467"/>
      <c r="EQ1060" s="457"/>
      <c r="ER1060" s="808"/>
      <c r="ES1060" s="881">
        <f t="shared" si="247"/>
        <v>0</v>
      </c>
      <c r="ET1060" s="882"/>
      <c r="EU1060" s="883"/>
      <c r="EV1060" s="884">
        <f t="shared" si="248"/>
        <v>0</v>
      </c>
      <c r="EW1060" s="885"/>
      <c r="EX1060" s="885"/>
      <c r="EY1060" s="885"/>
      <c r="EZ1060" s="885"/>
      <c r="FA1060" s="885"/>
      <c r="FB1060" s="885"/>
      <c r="FC1060" s="885"/>
      <c r="FD1060" s="886"/>
      <c r="FE1060" s="551"/>
      <c r="FF1060" s="551"/>
      <c r="FG1060" s="551"/>
      <c r="FH1060" s="551"/>
      <c r="FI1060" s="551"/>
      <c r="FJ1060" s="551"/>
      <c r="FK1060" s="551"/>
      <c r="FL1060" s="555"/>
      <c r="FM1060" s="554"/>
      <c r="FN1060" s="554"/>
      <c r="FO1060" s="554"/>
      <c r="FP1060" s="554"/>
      <c r="FQ1060" s="554"/>
      <c r="FR1060" s="554"/>
      <c r="FS1060" s="554"/>
      <c r="FT1060" s="554"/>
      <c r="FU1060" s="554"/>
      <c r="FV1060" s="554"/>
      <c r="FW1060" s="554"/>
      <c r="FX1060" s="554"/>
      <c r="FY1060" s="554"/>
      <c r="FZ1060" s="554"/>
      <c r="GA1060" s="554"/>
      <c r="GB1060" s="556"/>
      <c r="GC1060" s="370"/>
      <c r="GD1060" s="453"/>
      <c r="GE1060" s="453"/>
      <c r="GF1060" s="453"/>
      <c r="GG1060" s="453"/>
      <c r="GH1060" s="454"/>
      <c r="GI1060" s="453"/>
      <c r="GJ1060" s="453"/>
      <c r="GK1060" s="453"/>
      <c r="GL1060" s="453"/>
      <c r="GM1060" s="453"/>
      <c r="GN1060" s="453"/>
      <c r="GO1060" s="453"/>
      <c r="GP1060" s="453"/>
      <c r="GQ1060" s="453"/>
      <c r="GR1060" s="453"/>
      <c r="GS1060" s="561"/>
      <c r="GT1060" s="475"/>
      <c r="GU1060" s="472"/>
      <c r="GV1060" s="453"/>
      <c r="GW1060" s="453"/>
      <c r="GX1060" s="869"/>
      <c r="GY1060" s="870"/>
      <c r="GZ1060" s="867"/>
      <c r="HA1060" s="868"/>
      <c r="HB1060" s="473"/>
      <c r="HC1060" s="869"/>
      <c r="HD1060" s="870"/>
      <c r="HE1060" s="867"/>
      <c r="HF1060" s="868"/>
      <c r="HG1060" s="473"/>
      <c r="HH1060" s="867"/>
      <c r="HI1060" s="868"/>
      <c r="HJ1060" s="867"/>
      <c r="HK1060" s="868"/>
      <c r="HL1060" s="370"/>
      <c r="HM1060" s="865"/>
      <c r="HN1060" s="866"/>
      <c r="HO1060" s="865"/>
      <c r="HP1060" s="866"/>
      <c r="HQ1060" s="865"/>
      <c r="HR1060" s="866"/>
      <c r="HS1060" s="867"/>
      <c r="HT1060" s="868"/>
      <c r="HU1060" s="489"/>
      <c r="HV1060" s="865"/>
      <c r="HW1060" s="866"/>
    </row>
    <row r="1061" spans="25:231" ht="15" customHeight="1">
      <c r="Y1061" s="332"/>
      <c r="Z1061" s="332"/>
      <c r="AA1061" s="332"/>
      <c r="AB1061" s="332"/>
      <c r="AC1061" s="332"/>
      <c r="AD1061" s="332"/>
      <c r="AE1061" s="332"/>
      <c r="AF1061" s="332"/>
      <c r="AG1061" s="332"/>
      <c r="AH1061" s="332"/>
      <c r="AI1061" s="332"/>
      <c r="AJ1061" s="332"/>
      <c r="AK1061" s="332"/>
      <c r="AL1061" s="332"/>
      <c r="AM1061" s="332"/>
      <c r="AN1061" s="332"/>
      <c r="AO1061" s="332"/>
      <c r="AP1061" s="332"/>
      <c r="AQ1061" s="332"/>
      <c r="AR1061" s="332"/>
      <c r="AS1061" s="332"/>
      <c r="AT1061" s="332"/>
      <c r="AU1061" s="332"/>
      <c r="AV1061" s="332"/>
      <c r="AW1061" s="332"/>
      <c r="AX1061" s="332"/>
      <c r="AY1061" s="332"/>
      <c r="AZ1061" s="332"/>
      <c r="BA1061" s="332"/>
      <c r="BB1061" s="332"/>
      <c r="BC1061" s="332"/>
      <c r="BD1061" s="332"/>
      <c r="BE1061" s="332"/>
      <c r="BF1061" s="332"/>
      <c r="BG1061" s="332"/>
      <c r="BH1061" s="332"/>
      <c r="BI1061" s="332"/>
      <c r="BJ1061" s="332"/>
      <c r="BK1061" s="332"/>
      <c r="BL1061" s="332"/>
      <c r="BM1061" s="332"/>
      <c r="BN1061" s="332"/>
      <c r="BO1061" s="332"/>
      <c r="BP1061" s="332"/>
      <c r="BQ1061" s="332"/>
      <c r="BR1061" s="332"/>
      <c r="BS1061" s="332"/>
      <c r="BT1061" s="332"/>
      <c r="BU1061" s="332"/>
      <c r="BV1061" s="332"/>
      <c r="BW1061" s="332"/>
      <c r="BX1061" s="332"/>
      <c r="BY1061" s="332"/>
      <c r="BZ1061" s="332"/>
      <c r="CA1061" s="332"/>
      <c r="CB1061" s="332"/>
      <c r="CC1061" s="332"/>
      <c r="CD1061" s="332"/>
      <c r="CE1061" s="332"/>
      <c r="CF1061" s="332"/>
      <c r="CG1061" s="332"/>
      <c r="CH1061" s="332"/>
      <c r="CI1061" s="332"/>
      <c r="CJ1061" s="332"/>
      <c r="CK1061" s="332"/>
      <c r="CL1061" s="332"/>
      <c r="CM1061" s="332"/>
      <c r="CN1061" s="332"/>
      <c r="CO1061" s="332"/>
      <c r="CP1061" s="332"/>
      <c r="CQ1061" s="332"/>
      <c r="CR1061" s="332"/>
      <c r="CS1061" s="332"/>
      <c r="CT1061" s="332"/>
      <c r="CU1061" s="332"/>
      <c r="CV1061" s="332"/>
      <c r="CW1061" s="332"/>
      <c r="CX1061" s="332"/>
      <c r="CY1061" s="332"/>
      <c r="CZ1061" s="332"/>
      <c r="DA1061" s="332"/>
      <c r="DB1061" s="332"/>
      <c r="DC1061" s="332"/>
      <c r="DD1061" s="332"/>
      <c r="DE1061" s="332"/>
      <c r="DF1061" s="332"/>
      <c r="DG1061" s="332"/>
      <c r="DH1061" s="332"/>
      <c r="DI1061" s="332"/>
      <c r="DJ1061" s="332"/>
      <c r="DK1061" s="332"/>
      <c r="DL1061" s="332"/>
      <c r="DM1061" s="332"/>
      <c r="DN1061" s="332"/>
      <c r="DO1061" s="332"/>
      <c r="DP1061" s="332"/>
      <c r="DQ1061" s="332"/>
      <c r="DR1061" s="332"/>
      <c r="DS1061" s="332"/>
      <c r="DT1061" s="332"/>
      <c r="DU1061" s="453"/>
      <c r="DV1061" s="453"/>
      <c r="DW1061" s="453"/>
      <c r="DX1061" s="453"/>
      <c r="DY1061" s="453"/>
      <c r="DZ1061" s="453"/>
      <c r="EA1061" s="453"/>
      <c r="EB1061" s="453"/>
      <c r="EC1061" s="453"/>
      <c r="ED1061" s="453"/>
      <c r="EE1061" s="453"/>
      <c r="EF1061" s="453"/>
      <c r="EG1061" s="453"/>
      <c r="EH1061" s="453"/>
      <c r="EI1061" s="453"/>
      <c r="EJ1061" s="453"/>
      <c r="EK1061" s="453"/>
      <c r="EL1061" s="453"/>
      <c r="EM1061" s="483">
        <f t="shared" si="246"/>
        <v>752</v>
      </c>
      <c r="EN1061" s="485"/>
      <c r="EO1061" s="458"/>
      <c r="EP1061" s="467"/>
      <c r="EQ1061" s="457"/>
      <c r="ER1061" s="808"/>
      <c r="ES1061" s="881">
        <f t="shared" si="247"/>
        <v>0</v>
      </c>
      <c r="ET1061" s="882"/>
      <c r="EU1061" s="883"/>
      <c r="EV1061" s="884">
        <f t="shared" si="248"/>
        <v>0</v>
      </c>
      <c r="EW1061" s="885"/>
      <c r="EX1061" s="885"/>
      <c r="EY1061" s="885"/>
      <c r="EZ1061" s="885"/>
      <c r="FA1061" s="885"/>
      <c r="FB1061" s="885"/>
      <c r="FC1061" s="885"/>
      <c r="FD1061" s="886"/>
      <c r="FE1061" s="551"/>
      <c r="FF1061" s="551"/>
      <c r="FG1061" s="551"/>
      <c r="FH1061" s="551"/>
      <c r="FI1061" s="551"/>
      <c r="FJ1061" s="551"/>
      <c r="FK1061" s="551"/>
      <c r="FL1061" s="555"/>
      <c r="FM1061" s="554"/>
      <c r="FN1061" s="554"/>
      <c r="FO1061" s="554"/>
      <c r="FP1061" s="554"/>
      <c r="FQ1061" s="554"/>
      <c r="FR1061" s="554"/>
      <c r="FS1061" s="554"/>
      <c r="FT1061" s="554"/>
      <c r="FU1061" s="554"/>
      <c r="FV1061" s="554"/>
      <c r="FW1061" s="554"/>
      <c r="FX1061" s="554"/>
      <c r="FY1061" s="554"/>
      <c r="FZ1061" s="554"/>
      <c r="GA1061" s="554"/>
      <c r="GB1061" s="556"/>
      <c r="GC1061" s="370"/>
      <c r="GD1061" s="453"/>
      <c r="GE1061" s="453"/>
      <c r="GF1061" s="453"/>
      <c r="GG1061" s="453"/>
      <c r="GH1061" s="454"/>
      <c r="GI1061" s="453"/>
      <c r="GJ1061" s="453"/>
      <c r="GK1061" s="453"/>
      <c r="GL1061" s="453"/>
      <c r="GM1061" s="453"/>
      <c r="GN1061" s="453"/>
      <c r="GO1061" s="453"/>
      <c r="GP1061" s="453"/>
      <c r="GQ1061" s="453"/>
      <c r="GR1061" s="453"/>
      <c r="GS1061" s="561"/>
      <c r="GT1061" s="475"/>
      <c r="GU1061" s="472"/>
      <c r="GV1061" s="453"/>
      <c r="GW1061" s="453"/>
      <c r="GX1061" s="869"/>
      <c r="GY1061" s="870"/>
      <c r="GZ1061" s="867"/>
      <c r="HA1061" s="868"/>
      <c r="HB1061" s="473"/>
      <c r="HC1061" s="869"/>
      <c r="HD1061" s="870"/>
      <c r="HE1061" s="867"/>
      <c r="HF1061" s="868"/>
      <c r="HG1061" s="473"/>
      <c r="HH1061" s="867"/>
      <c r="HI1061" s="868"/>
      <c r="HJ1061" s="867"/>
      <c r="HK1061" s="868"/>
      <c r="HL1061" s="370"/>
      <c r="HM1061" s="865"/>
      <c r="HN1061" s="866"/>
      <c r="HO1061" s="865"/>
      <c r="HP1061" s="866"/>
      <c r="HQ1061" s="865"/>
      <c r="HR1061" s="866"/>
      <c r="HS1061" s="867"/>
      <c r="HT1061" s="868"/>
      <c r="HU1061" s="489"/>
      <c r="HV1061" s="865"/>
      <c r="HW1061" s="866"/>
    </row>
    <row r="1062" spans="25:231" ht="15" customHeight="1">
      <c r="Y1062" s="332"/>
      <c r="Z1062" s="332"/>
      <c r="AA1062" s="332"/>
      <c r="AB1062" s="332"/>
      <c r="AC1062" s="332"/>
      <c r="AD1062" s="332"/>
      <c r="AE1062" s="332"/>
      <c r="AF1062" s="332"/>
      <c r="AG1062" s="332"/>
      <c r="AH1062" s="332"/>
      <c r="AI1062" s="332"/>
      <c r="AJ1062" s="332"/>
      <c r="AK1062" s="332"/>
      <c r="AL1062" s="332"/>
      <c r="AM1062" s="332"/>
      <c r="AN1062" s="332"/>
      <c r="AO1062" s="332"/>
      <c r="AP1062" s="332"/>
      <c r="AQ1062" s="332"/>
      <c r="AR1062" s="332"/>
      <c r="AS1062" s="332"/>
      <c r="AT1062" s="332"/>
      <c r="AU1062" s="332"/>
      <c r="AV1062" s="332"/>
      <c r="AW1062" s="332"/>
      <c r="AX1062" s="332"/>
      <c r="AY1062" s="332"/>
      <c r="AZ1062" s="332"/>
      <c r="BA1062" s="332"/>
      <c r="BB1062" s="332"/>
      <c r="BC1062" s="332"/>
      <c r="BD1062" s="332"/>
      <c r="BE1062" s="332"/>
      <c r="BF1062" s="332"/>
      <c r="BG1062" s="332"/>
      <c r="BH1062" s="332"/>
      <c r="BI1062" s="332"/>
      <c r="BJ1062" s="332"/>
      <c r="BK1062" s="332"/>
      <c r="BL1062" s="332"/>
      <c r="BM1062" s="332"/>
      <c r="BN1062" s="332"/>
      <c r="BO1062" s="332"/>
      <c r="BP1062" s="332"/>
      <c r="BQ1062" s="332"/>
      <c r="BR1062" s="332"/>
      <c r="BS1062" s="332"/>
      <c r="BT1062" s="332"/>
      <c r="BU1062" s="332"/>
      <c r="BV1062" s="332"/>
      <c r="BW1062" s="332"/>
      <c r="BX1062" s="332"/>
      <c r="BY1062" s="332"/>
      <c r="BZ1062" s="332"/>
      <c r="CA1062" s="332"/>
      <c r="CB1062" s="332"/>
      <c r="CC1062" s="332"/>
      <c r="CD1062" s="332"/>
      <c r="CE1062" s="332"/>
      <c r="CF1062" s="332"/>
      <c r="CG1062" s="332"/>
      <c r="CH1062" s="332"/>
      <c r="CI1062" s="332"/>
      <c r="CJ1062" s="332"/>
      <c r="CK1062" s="332"/>
      <c r="CL1062" s="332"/>
      <c r="CM1062" s="332"/>
      <c r="CN1062" s="332"/>
      <c r="CO1062" s="332"/>
      <c r="CP1062" s="332"/>
      <c r="CQ1062" s="332"/>
      <c r="CR1062" s="332"/>
      <c r="CS1062" s="332"/>
      <c r="CT1062" s="332"/>
      <c r="CU1062" s="332"/>
      <c r="CV1062" s="332"/>
      <c r="CW1062" s="332"/>
      <c r="CX1062" s="332"/>
      <c r="CY1062" s="332"/>
      <c r="CZ1062" s="332"/>
      <c r="DA1062" s="332"/>
      <c r="DB1062" s="332"/>
      <c r="DC1062" s="332"/>
      <c r="DD1062" s="332"/>
      <c r="DE1062" s="332"/>
      <c r="DF1062" s="332"/>
      <c r="DG1062" s="332"/>
      <c r="DH1062" s="332"/>
      <c r="DI1062" s="332"/>
      <c r="DJ1062" s="332"/>
      <c r="DK1062" s="332"/>
      <c r="DL1062" s="332"/>
      <c r="DM1062" s="332"/>
      <c r="DN1062" s="332"/>
      <c r="DO1062" s="332"/>
      <c r="DP1062" s="332"/>
      <c r="DQ1062" s="332"/>
      <c r="DR1062" s="332"/>
      <c r="DS1062" s="332"/>
      <c r="DT1062" s="332"/>
      <c r="DU1062" s="453"/>
      <c r="DV1062" s="453"/>
      <c r="DW1062" s="453"/>
      <c r="DX1062" s="453"/>
      <c r="DY1062" s="453"/>
      <c r="DZ1062" s="453"/>
      <c r="EA1062" s="453"/>
      <c r="EB1062" s="453"/>
      <c r="EC1062" s="453"/>
      <c r="ED1062" s="453"/>
      <c r="EE1062" s="453"/>
      <c r="EF1062" s="453"/>
      <c r="EG1062" s="453"/>
      <c r="EH1062" s="453"/>
      <c r="EI1062" s="453"/>
      <c r="EJ1062" s="453"/>
      <c r="EK1062" s="453"/>
      <c r="EL1062" s="453"/>
      <c r="EM1062" s="483">
        <f t="shared" si="246"/>
        <v>753</v>
      </c>
      <c r="EN1062" s="485"/>
      <c r="EO1062" s="458"/>
      <c r="EP1062" s="467"/>
      <c r="EQ1062" s="457"/>
      <c r="ER1062" s="808"/>
      <c r="ES1062" s="881">
        <f t="shared" si="247"/>
        <v>0</v>
      </c>
      <c r="ET1062" s="882"/>
      <c r="EU1062" s="883"/>
      <c r="EV1062" s="884">
        <f t="shared" si="248"/>
        <v>0</v>
      </c>
      <c r="EW1062" s="885"/>
      <c r="EX1062" s="885"/>
      <c r="EY1062" s="885"/>
      <c r="EZ1062" s="885"/>
      <c r="FA1062" s="885"/>
      <c r="FB1062" s="885"/>
      <c r="FC1062" s="885"/>
      <c r="FD1062" s="886"/>
      <c r="FE1062" s="551"/>
      <c r="FF1062" s="551"/>
      <c r="FG1062" s="551"/>
      <c r="FH1062" s="551"/>
      <c r="FI1062" s="551"/>
      <c r="FJ1062" s="551"/>
      <c r="FK1062" s="551"/>
      <c r="FL1062" s="555"/>
      <c r="FM1062" s="554"/>
      <c r="FN1062" s="554"/>
      <c r="FO1062" s="554"/>
      <c r="FP1062" s="554"/>
      <c r="FQ1062" s="554"/>
      <c r="FR1062" s="554"/>
      <c r="FS1062" s="554"/>
      <c r="FT1062" s="554"/>
      <c r="FU1062" s="554"/>
      <c r="FV1062" s="554"/>
      <c r="FW1062" s="554"/>
      <c r="FX1062" s="554"/>
      <c r="FY1062" s="554"/>
      <c r="FZ1062" s="554"/>
      <c r="GA1062" s="554"/>
      <c r="GB1062" s="556"/>
      <c r="GC1062" s="370"/>
      <c r="GD1062" s="453"/>
      <c r="GE1062" s="453"/>
      <c r="GF1062" s="453"/>
      <c r="GG1062" s="453"/>
      <c r="GH1062" s="454"/>
      <c r="GI1062" s="453"/>
      <c r="GJ1062" s="453"/>
      <c r="GK1062" s="453"/>
      <c r="GL1062" s="453"/>
      <c r="GM1062" s="453"/>
      <c r="GN1062" s="453"/>
      <c r="GO1062" s="453"/>
      <c r="GP1062" s="453"/>
      <c r="GQ1062" s="453"/>
      <c r="GR1062" s="453"/>
      <c r="GS1062" s="561"/>
      <c r="GT1062" s="475"/>
      <c r="GU1062" s="472"/>
      <c r="GV1062" s="453"/>
      <c r="GW1062" s="453"/>
      <c r="GX1062" s="869"/>
      <c r="GY1062" s="870"/>
      <c r="GZ1062" s="867"/>
      <c r="HA1062" s="868"/>
      <c r="HB1062" s="473"/>
      <c r="HC1062" s="869"/>
      <c r="HD1062" s="870"/>
      <c r="HE1062" s="867"/>
      <c r="HF1062" s="868"/>
      <c r="HG1062" s="473"/>
      <c r="HH1062" s="867"/>
      <c r="HI1062" s="868"/>
      <c r="HJ1062" s="867"/>
      <c r="HK1062" s="868"/>
      <c r="HL1062" s="370"/>
      <c r="HM1062" s="865"/>
      <c r="HN1062" s="866"/>
      <c r="HO1062" s="865"/>
      <c r="HP1062" s="866"/>
      <c r="HQ1062" s="865"/>
      <c r="HR1062" s="866"/>
      <c r="HS1062" s="867"/>
      <c r="HT1062" s="868"/>
      <c r="HU1062" s="489"/>
      <c r="HV1062" s="865"/>
      <c r="HW1062" s="866"/>
    </row>
    <row r="1063" spans="25:231" ht="15" customHeight="1">
      <c r="Y1063" s="332"/>
      <c r="Z1063" s="332"/>
      <c r="AA1063" s="332"/>
      <c r="AB1063" s="332"/>
      <c r="AC1063" s="332"/>
      <c r="AD1063" s="332"/>
      <c r="AE1063" s="332"/>
      <c r="AF1063" s="332"/>
      <c r="AG1063" s="332"/>
      <c r="AH1063" s="332"/>
      <c r="AI1063" s="332"/>
      <c r="AJ1063" s="332"/>
      <c r="AK1063" s="332"/>
      <c r="AL1063" s="332"/>
      <c r="AM1063" s="332"/>
      <c r="AN1063" s="332"/>
      <c r="AO1063" s="332"/>
      <c r="AP1063" s="332"/>
      <c r="AQ1063" s="332"/>
      <c r="AR1063" s="332"/>
      <c r="AS1063" s="332"/>
      <c r="AT1063" s="332"/>
      <c r="AU1063" s="332"/>
      <c r="AV1063" s="332"/>
      <c r="AW1063" s="332"/>
      <c r="AX1063" s="332"/>
      <c r="AY1063" s="332"/>
      <c r="AZ1063" s="332"/>
      <c r="BA1063" s="332"/>
      <c r="BB1063" s="332"/>
      <c r="BC1063" s="332"/>
      <c r="BD1063" s="332"/>
      <c r="BE1063" s="332"/>
      <c r="BF1063" s="332"/>
      <c r="BG1063" s="332"/>
      <c r="BH1063" s="332"/>
      <c r="BI1063" s="332"/>
      <c r="BJ1063" s="332"/>
      <c r="BK1063" s="332"/>
      <c r="BL1063" s="332"/>
      <c r="BM1063" s="332"/>
      <c r="BN1063" s="332"/>
      <c r="BO1063" s="332"/>
      <c r="BP1063" s="332"/>
      <c r="BQ1063" s="332"/>
      <c r="BR1063" s="332"/>
      <c r="BS1063" s="332"/>
      <c r="BT1063" s="332"/>
      <c r="BU1063" s="332"/>
      <c r="BV1063" s="332"/>
      <c r="BW1063" s="332"/>
      <c r="BX1063" s="332"/>
      <c r="BY1063" s="332"/>
      <c r="BZ1063" s="332"/>
      <c r="CA1063" s="332"/>
      <c r="CB1063" s="332"/>
      <c r="CC1063" s="332"/>
      <c r="CD1063" s="332"/>
      <c r="CE1063" s="332"/>
      <c r="CF1063" s="332"/>
      <c r="CG1063" s="332"/>
      <c r="CH1063" s="332"/>
      <c r="CI1063" s="332"/>
      <c r="CJ1063" s="332"/>
      <c r="CK1063" s="332"/>
      <c r="CL1063" s="332"/>
      <c r="CM1063" s="332"/>
      <c r="CN1063" s="332"/>
      <c r="CO1063" s="332"/>
      <c r="CP1063" s="332"/>
      <c r="CQ1063" s="332"/>
      <c r="CR1063" s="332"/>
      <c r="CS1063" s="332"/>
      <c r="CT1063" s="332"/>
      <c r="CU1063" s="332"/>
      <c r="CV1063" s="332"/>
      <c r="CW1063" s="332"/>
      <c r="CX1063" s="332"/>
      <c r="CY1063" s="332"/>
      <c r="CZ1063" s="332"/>
      <c r="DA1063" s="332"/>
      <c r="DB1063" s="332"/>
      <c r="DC1063" s="332"/>
      <c r="DD1063" s="332"/>
      <c r="DE1063" s="332"/>
      <c r="DF1063" s="332"/>
      <c r="DG1063" s="332"/>
      <c r="DH1063" s="332"/>
      <c r="DI1063" s="332"/>
      <c r="DJ1063" s="332"/>
      <c r="DK1063" s="332"/>
      <c r="DL1063" s="332"/>
      <c r="DM1063" s="332"/>
      <c r="DN1063" s="332"/>
      <c r="DO1063" s="332"/>
      <c r="DP1063" s="332"/>
      <c r="DQ1063" s="332"/>
      <c r="DR1063" s="332"/>
      <c r="DS1063" s="332"/>
      <c r="DT1063" s="332"/>
      <c r="DU1063" s="453"/>
      <c r="DV1063" s="453"/>
      <c r="DW1063" s="453"/>
      <c r="DX1063" s="453"/>
      <c r="DY1063" s="453"/>
      <c r="DZ1063" s="453"/>
      <c r="EA1063" s="453"/>
      <c r="EB1063" s="453"/>
      <c r="EC1063" s="453"/>
      <c r="ED1063" s="453"/>
      <c r="EE1063" s="453"/>
      <c r="EF1063" s="453"/>
      <c r="EG1063" s="453"/>
      <c r="EH1063" s="453"/>
      <c r="EI1063" s="453"/>
      <c r="EJ1063" s="453"/>
      <c r="EK1063" s="453"/>
      <c r="EL1063" s="453"/>
      <c r="EM1063" s="483">
        <f t="shared" si="246"/>
        <v>754</v>
      </c>
      <c r="EN1063" s="485"/>
      <c r="EO1063" s="458"/>
      <c r="EP1063" s="467"/>
      <c r="EQ1063" s="457"/>
      <c r="ER1063" s="808"/>
      <c r="ES1063" s="881">
        <f t="shared" si="247"/>
        <v>0</v>
      </c>
      <c r="ET1063" s="882"/>
      <c r="EU1063" s="883"/>
      <c r="EV1063" s="884">
        <f t="shared" si="248"/>
        <v>0</v>
      </c>
      <c r="EW1063" s="885"/>
      <c r="EX1063" s="885"/>
      <c r="EY1063" s="885"/>
      <c r="EZ1063" s="885"/>
      <c r="FA1063" s="885"/>
      <c r="FB1063" s="885"/>
      <c r="FC1063" s="885"/>
      <c r="FD1063" s="886"/>
      <c r="FE1063" s="551"/>
      <c r="FF1063" s="551"/>
      <c r="FG1063" s="551"/>
      <c r="FH1063" s="551"/>
      <c r="FI1063" s="551"/>
      <c r="FJ1063" s="551"/>
      <c r="FK1063" s="551"/>
      <c r="FL1063" s="555"/>
      <c r="FM1063" s="554"/>
      <c r="FN1063" s="554"/>
      <c r="FO1063" s="554"/>
      <c r="FP1063" s="554"/>
      <c r="FQ1063" s="554"/>
      <c r="FR1063" s="554"/>
      <c r="FS1063" s="554"/>
      <c r="FT1063" s="554"/>
      <c r="FU1063" s="554"/>
      <c r="FV1063" s="554"/>
      <c r="FW1063" s="554"/>
      <c r="FX1063" s="554"/>
      <c r="FY1063" s="554"/>
      <c r="FZ1063" s="554"/>
      <c r="GA1063" s="554"/>
      <c r="GB1063" s="556"/>
      <c r="GC1063" s="370"/>
      <c r="GD1063" s="453"/>
      <c r="GE1063" s="453"/>
      <c r="GF1063" s="453"/>
      <c r="GG1063" s="453"/>
      <c r="GH1063" s="454"/>
      <c r="GI1063" s="453"/>
      <c r="GJ1063" s="453"/>
      <c r="GK1063" s="453"/>
      <c r="GL1063" s="453"/>
      <c r="GM1063" s="453"/>
      <c r="GN1063" s="453"/>
      <c r="GO1063" s="453"/>
      <c r="GP1063" s="453"/>
      <c r="GQ1063" s="453"/>
      <c r="GR1063" s="453"/>
      <c r="GS1063" s="561"/>
      <c r="GT1063" s="475"/>
      <c r="GU1063" s="472"/>
      <c r="GV1063" s="453"/>
      <c r="GW1063" s="453"/>
      <c r="GX1063" s="869"/>
      <c r="GY1063" s="870"/>
      <c r="GZ1063" s="867"/>
      <c r="HA1063" s="868"/>
      <c r="HB1063" s="473"/>
      <c r="HC1063" s="869"/>
      <c r="HD1063" s="870"/>
      <c r="HE1063" s="867"/>
      <c r="HF1063" s="868"/>
      <c r="HG1063" s="473"/>
      <c r="HH1063" s="867"/>
      <c r="HI1063" s="868"/>
      <c r="HJ1063" s="867"/>
      <c r="HK1063" s="868"/>
      <c r="HL1063" s="370"/>
      <c r="HM1063" s="865"/>
      <c r="HN1063" s="866"/>
      <c r="HO1063" s="865"/>
      <c r="HP1063" s="866"/>
      <c r="HQ1063" s="865"/>
      <c r="HR1063" s="866"/>
      <c r="HS1063" s="867"/>
      <c r="HT1063" s="868"/>
      <c r="HU1063" s="489"/>
      <c r="HV1063" s="865"/>
      <c r="HW1063" s="866"/>
    </row>
    <row r="1064" spans="25:231" ht="15" customHeight="1">
      <c r="Y1064" s="332"/>
      <c r="Z1064" s="332"/>
      <c r="AA1064" s="332"/>
      <c r="AB1064" s="332"/>
      <c r="AC1064" s="332"/>
      <c r="AD1064" s="332"/>
      <c r="AE1064" s="332"/>
      <c r="AF1064" s="332"/>
      <c r="AG1064" s="332"/>
      <c r="AH1064" s="332"/>
      <c r="AI1064" s="332"/>
      <c r="AJ1064" s="332"/>
      <c r="AK1064" s="332"/>
      <c r="AL1064" s="332"/>
      <c r="AM1064" s="332"/>
      <c r="AN1064" s="332"/>
      <c r="AO1064" s="332"/>
      <c r="AP1064" s="332"/>
      <c r="AQ1064" s="332"/>
      <c r="AR1064" s="332"/>
      <c r="AS1064" s="332"/>
      <c r="AT1064" s="332"/>
      <c r="AU1064" s="332"/>
      <c r="AV1064" s="332"/>
      <c r="AW1064" s="332"/>
      <c r="AX1064" s="332"/>
      <c r="AY1064" s="332"/>
      <c r="AZ1064" s="332"/>
      <c r="BA1064" s="332"/>
      <c r="BB1064" s="332"/>
      <c r="BC1064" s="332"/>
      <c r="BD1064" s="332"/>
      <c r="BE1064" s="332"/>
      <c r="BF1064" s="332"/>
      <c r="BG1064" s="332"/>
      <c r="BH1064" s="332"/>
      <c r="BI1064" s="332"/>
      <c r="BJ1064" s="332"/>
      <c r="BK1064" s="332"/>
      <c r="BL1064" s="332"/>
      <c r="BM1064" s="332"/>
      <c r="BN1064" s="332"/>
      <c r="BO1064" s="332"/>
      <c r="BP1064" s="332"/>
      <c r="BQ1064" s="332"/>
      <c r="BR1064" s="332"/>
      <c r="BS1064" s="332"/>
      <c r="BT1064" s="332"/>
      <c r="BU1064" s="332"/>
      <c r="BV1064" s="332"/>
      <c r="BW1064" s="332"/>
      <c r="BX1064" s="332"/>
      <c r="BY1064" s="332"/>
      <c r="BZ1064" s="332"/>
      <c r="CA1064" s="332"/>
      <c r="CB1064" s="332"/>
      <c r="CC1064" s="332"/>
      <c r="CD1064" s="332"/>
      <c r="CE1064" s="332"/>
      <c r="CF1064" s="332"/>
      <c r="CG1064" s="332"/>
      <c r="CH1064" s="332"/>
      <c r="CI1064" s="332"/>
      <c r="CJ1064" s="332"/>
      <c r="CK1064" s="332"/>
      <c r="CL1064" s="332"/>
      <c r="CM1064" s="332"/>
      <c r="CN1064" s="332"/>
      <c r="CO1064" s="332"/>
      <c r="CP1064" s="332"/>
      <c r="CQ1064" s="332"/>
      <c r="CR1064" s="332"/>
      <c r="CS1064" s="332"/>
      <c r="CT1064" s="332"/>
      <c r="CU1064" s="332"/>
      <c r="CV1064" s="332"/>
      <c r="CW1064" s="332"/>
      <c r="CX1064" s="332"/>
      <c r="CY1064" s="332"/>
      <c r="CZ1064" s="332"/>
      <c r="DA1064" s="332"/>
      <c r="DB1064" s="332"/>
      <c r="DC1064" s="332"/>
      <c r="DD1064" s="332"/>
      <c r="DE1064" s="332"/>
      <c r="DF1064" s="332"/>
      <c r="DG1064" s="332"/>
      <c r="DH1064" s="332"/>
      <c r="DI1064" s="332"/>
      <c r="DJ1064" s="332"/>
      <c r="DK1064" s="332"/>
      <c r="DL1064" s="332"/>
      <c r="DM1064" s="332"/>
      <c r="DN1064" s="332"/>
      <c r="DO1064" s="332"/>
      <c r="DP1064" s="332"/>
      <c r="DQ1064" s="332"/>
      <c r="DR1064" s="332"/>
      <c r="DS1064" s="332"/>
      <c r="DT1064" s="332"/>
      <c r="DU1064" s="453"/>
      <c r="DV1064" s="453"/>
      <c r="DW1064" s="453"/>
      <c r="DX1064" s="453"/>
      <c r="DY1064" s="453"/>
      <c r="DZ1064" s="453"/>
      <c r="EA1064" s="453"/>
      <c r="EB1064" s="453"/>
      <c r="EC1064" s="453"/>
      <c r="ED1064" s="453"/>
      <c r="EE1064" s="453"/>
      <c r="EF1064" s="453"/>
      <c r="EG1064" s="453"/>
      <c r="EH1064" s="453"/>
      <c r="EI1064" s="453"/>
      <c r="EJ1064" s="453"/>
      <c r="EK1064" s="453"/>
      <c r="EL1064" s="453"/>
      <c r="EM1064" s="483">
        <f t="shared" si="246"/>
        <v>755</v>
      </c>
      <c r="EN1064" s="485"/>
      <c r="EO1064" s="458"/>
      <c r="EP1064" s="467"/>
      <c r="EQ1064" s="457"/>
      <c r="ER1064" s="808"/>
      <c r="ES1064" s="881">
        <f t="shared" si="247"/>
        <v>0</v>
      </c>
      <c r="ET1064" s="882"/>
      <c r="EU1064" s="883"/>
      <c r="EV1064" s="884">
        <f t="shared" si="248"/>
        <v>0</v>
      </c>
      <c r="EW1064" s="885"/>
      <c r="EX1064" s="885"/>
      <c r="EY1064" s="885"/>
      <c r="EZ1064" s="885"/>
      <c r="FA1064" s="885"/>
      <c r="FB1064" s="885"/>
      <c r="FC1064" s="885"/>
      <c r="FD1064" s="886"/>
      <c r="FE1064" s="551"/>
      <c r="FF1064" s="551"/>
      <c r="FG1064" s="551"/>
      <c r="FH1064" s="551"/>
      <c r="FI1064" s="551"/>
      <c r="FJ1064" s="551"/>
      <c r="FK1064" s="551"/>
      <c r="FL1064" s="555"/>
      <c r="FM1064" s="554"/>
      <c r="FN1064" s="554"/>
      <c r="FO1064" s="554"/>
      <c r="FP1064" s="554"/>
      <c r="FQ1064" s="554"/>
      <c r="FR1064" s="554"/>
      <c r="FS1064" s="554"/>
      <c r="FT1064" s="554"/>
      <c r="FU1064" s="554"/>
      <c r="FV1064" s="554"/>
      <c r="FW1064" s="554"/>
      <c r="FX1064" s="554"/>
      <c r="FY1064" s="554"/>
      <c r="FZ1064" s="554"/>
      <c r="GA1064" s="554"/>
      <c r="GB1064" s="556"/>
      <c r="GC1064" s="370"/>
      <c r="GD1064" s="453"/>
      <c r="GE1064" s="453"/>
      <c r="GF1064" s="453"/>
      <c r="GG1064" s="453"/>
      <c r="GH1064" s="454"/>
      <c r="GI1064" s="453"/>
      <c r="GJ1064" s="453"/>
      <c r="GK1064" s="453"/>
      <c r="GL1064" s="453"/>
      <c r="GM1064" s="453"/>
      <c r="GN1064" s="453"/>
      <c r="GO1064" s="453"/>
      <c r="GP1064" s="453"/>
      <c r="GQ1064" s="453"/>
      <c r="GR1064" s="453"/>
      <c r="GS1064" s="561"/>
      <c r="GT1064" s="475"/>
      <c r="GU1064" s="472"/>
      <c r="GV1064" s="453"/>
      <c r="GW1064" s="453"/>
      <c r="GX1064" s="869"/>
      <c r="GY1064" s="870"/>
      <c r="GZ1064" s="867"/>
      <c r="HA1064" s="868"/>
      <c r="HB1064" s="473"/>
      <c r="HC1064" s="869"/>
      <c r="HD1064" s="870"/>
      <c r="HE1064" s="867"/>
      <c r="HF1064" s="868"/>
      <c r="HG1064" s="473"/>
      <c r="HH1064" s="867"/>
      <c r="HI1064" s="868"/>
      <c r="HJ1064" s="867"/>
      <c r="HK1064" s="868"/>
      <c r="HL1064" s="370"/>
      <c r="HM1064" s="865"/>
      <c r="HN1064" s="866"/>
      <c r="HO1064" s="865"/>
      <c r="HP1064" s="866"/>
      <c r="HQ1064" s="865"/>
      <c r="HR1064" s="866"/>
      <c r="HS1064" s="867"/>
      <c r="HT1064" s="868"/>
      <c r="HU1064" s="489"/>
      <c r="HV1064" s="865"/>
      <c r="HW1064" s="866"/>
    </row>
    <row r="1065" spans="25:231" ht="15" customHeight="1">
      <c r="Y1065" s="332"/>
      <c r="Z1065" s="332"/>
      <c r="AA1065" s="332"/>
      <c r="AB1065" s="332"/>
      <c r="AC1065" s="332"/>
      <c r="AD1065" s="332"/>
      <c r="AE1065" s="332"/>
      <c r="AF1065" s="332"/>
      <c r="AG1065" s="332"/>
      <c r="AH1065" s="332"/>
      <c r="AI1065" s="332"/>
      <c r="AJ1065" s="332"/>
      <c r="AK1065" s="332"/>
      <c r="AL1065" s="332"/>
      <c r="AM1065" s="332"/>
      <c r="AN1065" s="332"/>
      <c r="AO1065" s="332"/>
      <c r="AP1065" s="332"/>
      <c r="AQ1065" s="332"/>
      <c r="AR1065" s="332"/>
      <c r="AS1065" s="332"/>
      <c r="AT1065" s="332"/>
      <c r="AU1065" s="332"/>
      <c r="AV1065" s="332"/>
      <c r="AW1065" s="332"/>
      <c r="AX1065" s="332"/>
      <c r="AY1065" s="332"/>
      <c r="AZ1065" s="332"/>
      <c r="BA1065" s="332"/>
      <c r="BB1065" s="332"/>
      <c r="BC1065" s="332"/>
      <c r="BD1065" s="332"/>
      <c r="BE1065" s="332"/>
      <c r="BF1065" s="332"/>
      <c r="BG1065" s="332"/>
      <c r="BH1065" s="332"/>
      <c r="BI1065" s="332"/>
      <c r="BJ1065" s="332"/>
      <c r="BK1065" s="332"/>
      <c r="BL1065" s="332"/>
      <c r="BM1065" s="332"/>
      <c r="BN1065" s="332"/>
      <c r="BO1065" s="332"/>
      <c r="BP1065" s="332"/>
      <c r="BQ1065" s="332"/>
      <c r="BR1065" s="332"/>
      <c r="BS1065" s="332"/>
      <c r="BT1065" s="332"/>
      <c r="BU1065" s="332"/>
      <c r="BV1065" s="332"/>
      <c r="BW1065" s="332"/>
      <c r="BX1065" s="332"/>
      <c r="BY1065" s="332"/>
      <c r="BZ1065" s="332"/>
      <c r="CA1065" s="332"/>
      <c r="CB1065" s="332"/>
      <c r="CC1065" s="332"/>
      <c r="CD1065" s="332"/>
      <c r="CE1065" s="332"/>
      <c r="CF1065" s="332"/>
      <c r="CG1065" s="332"/>
      <c r="CH1065" s="332"/>
      <c r="CI1065" s="332"/>
      <c r="CJ1065" s="332"/>
      <c r="CK1065" s="332"/>
      <c r="CL1065" s="332"/>
      <c r="CM1065" s="332"/>
      <c r="CN1065" s="332"/>
      <c r="CO1065" s="332"/>
      <c r="CP1065" s="332"/>
      <c r="CQ1065" s="332"/>
      <c r="CR1065" s="332"/>
      <c r="CS1065" s="332"/>
      <c r="CT1065" s="332"/>
      <c r="CU1065" s="332"/>
      <c r="CV1065" s="332"/>
      <c r="CW1065" s="332"/>
      <c r="CX1065" s="332"/>
      <c r="CY1065" s="332"/>
      <c r="CZ1065" s="332"/>
      <c r="DA1065" s="332"/>
      <c r="DB1065" s="332"/>
      <c r="DC1065" s="332"/>
      <c r="DD1065" s="332"/>
      <c r="DE1065" s="332"/>
      <c r="DF1065" s="332"/>
      <c r="DG1065" s="332"/>
      <c r="DH1065" s="332"/>
      <c r="DI1065" s="332"/>
      <c r="DJ1065" s="332"/>
      <c r="DK1065" s="332"/>
      <c r="DL1065" s="332"/>
      <c r="DM1065" s="332"/>
      <c r="DN1065" s="332"/>
      <c r="DO1065" s="332"/>
      <c r="DP1065" s="332"/>
      <c r="DQ1065" s="332"/>
      <c r="DR1065" s="332"/>
      <c r="DS1065" s="332"/>
      <c r="DT1065" s="332"/>
      <c r="DU1065" s="453"/>
      <c r="DV1065" s="453"/>
      <c r="DW1065" s="453"/>
      <c r="DX1065" s="453"/>
      <c r="DY1065" s="453"/>
      <c r="DZ1065" s="453"/>
      <c r="EA1065" s="453"/>
      <c r="EB1065" s="453"/>
      <c r="EC1065" s="453"/>
      <c r="ED1065" s="453"/>
      <c r="EE1065" s="453"/>
      <c r="EF1065" s="453"/>
      <c r="EG1065" s="453"/>
      <c r="EH1065" s="453"/>
      <c r="EI1065" s="453"/>
      <c r="EJ1065" s="453"/>
      <c r="EK1065" s="453"/>
      <c r="EL1065" s="453"/>
      <c r="EM1065" s="483">
        <f t="shared" si="246"/>
        <v>756</v>
      </c>
      <c r="EN1065" s="485"/>
      <c r="EO1065" s="458"/>
      <c r="EP1065" s="467"/>
      <c r="EQ1065" s="457"/>
      <c r="ER1065" s="808"/>
      <c r="ES1065" s="881">
        <f t="shared" si="247"/>
        <v>0</v>
      </c>
      <c r="ET1065" s="882"/>
      <c r="EU1065" s="883"/>
      <c r="EV1065" s="884">
        <f t="shared" si="248"/>
        <v>0</v>
      </c>
      <c r="EW1065" s="885"/>
      <c r="EX1065" s="885"/>
      <c r="EY1065" s="885"/>
      <c r="EZ1065" s="885"/>
      <c r="FA1065" s="885"/>
      <c r="FB1065" s="885"/>
      <c r="FC1065" s="885"/>
      <c r="FD1065" s="886"/>
      <c r="FE1065" s="551"/>
      <c r="FF1065" s="551"/>
      <c r="FG1065" s="551"/>
      <c r="FH1065" s="551"/>
      <c r="FI1065" s="551"/>
      <c r="FJ1065" s="551"/>
      <c r="FK1065" s="551"/>
      <c r="FL1065" s="555"/>
      <c r="FM1065" s="554"/>
      <c r="FN1065" s="554"/>
      <c r="FO1065" s="554"/>
      <c r="FP1065" s="554"/>
      <c r="FQ1065" s="554"/>
      <c r="FR1065" s="554"/>
      <c r="FS1065" s="554"/>
      <c r="FT1065" s="554"/>
      <c r="FU1065" s="554"/>
      <c r="FV1065" s="554"/>
      <c r="FW1065" s="554"/>
      <c r="FX1065" s="554"/>
      <c r="FY1065" s="554"/>
      <c r="FZ1065" s="554"/>
      <c r="GA1065" s="554"/>
      <c r="GB1065" s="556"/>
      <c r="GC1065" s="370"/>
      <c r="GD1065" s="453"/>
      <c r="GE1065" s="453"/>
      <c r="GF1065" s="453"/>
      <c r="GG1065" s="453"/>
      <c r="GH1065" s="454"/>
      <c r="GI1065" s="453"/>
      <c r="GJ1065" s="453"/>
      <c r="GK1065" s="453"/>
      <c r="GL1065" s="453"/>
      <c r="GM1065" s="453"/>
      <c r="GN1065" s="453"/>
      <c r="GO1065" s="453"/>
      <c r="GP1065" s="453"/>
      <c r="GQ1065" s="453"/>
      <c r="GR1065" s="453"/>
      <c r="GS1065" s="561"/>
      <c r="GT1065" s="475"/>
      <c r="GU1065" s="472"/>
      <c r="GV1065" s="453"/>
      <c r="GW1065" s="453"/>
      <c r="GX1065" s="869"/>
      <c r="GY1065" s="870"/>
      <c r="GZ1065" s="867"/>
      <c r="HA1065" s="868"/>
      <c r="HB1065" s="473"/>
      <c r="HC1065" s="869"/>
      <c r="HD1065" s="870"/>
      <c r="HE1065" s="867"/>
      <c r="HF1065" s="868"/>
      <c r="HG1065" s="473"/>
      <c r="HH1065" s="867"/>
      <c r="HI1065" s="868"/>
      <c r="HJ1065" s="867"/>
      <c r="HK1065" s="868"/>
      <c r="HL1065" s="370"/>
      <c r="HM1065" s="865"/>
      <c r="HN1065" s="866"/>
      <c r="HO1065" s="865"/>
      <c r="HP1065" s="866"/>
      <c r="HQ1065" s="865"/>
      <c r="HR1065" s="866"/>
      <c r="HS1065" s="867"/>
      <c r="HT1065" s="868"/>
      <c r="HU1065" s="489"/>
      <c r="HV1065" s="865"/>
      <c r="HW1065" s="866"/>
    </row>
    <row r="1066" spans="25:231" ht="15" customHeight="1">
      <c r="Y1066" s="332"/>
      <c r="Z1066" s="332"/>
      <c r="AA1066" s="332"/>
      <c r="AB1066" s="332"/>
      <c r="AC1066" s="332"/>
      <c r="AD1066" s="332"/>
      <c r="AE1066" s="332"/>
      <c r="AF1066" s="332"/>
      <c r="AG1066" s="332"/>
      <c r="AH1066" s="332"/>
      <c r="AI1066" s="332"/>
      <c r="AJ1066" s="332"/>
      <c r="AK1066" s="332"/>
      <c r="AL1066" s="332"/>
      <c r="AM1066" s="332"/>
      <c r="AN1066" s="332"/>
      <c r="AO1066" s="332"/>
      <c r="AP1066" s="332"/>
      <c r="AQ1066" s="332"/>
      <c r="AR1066" s="332"/>
      <c r="AS1066" s="332"/>
      <c r="AT1066" s="332"/>
      <c r="AU1066" s="332"/>
      <c r="AV1066" s="332"/>
      <c r="AW1066" s="332"/>
      <c r="AX1066" s="332"/>
      <c r="AY1066" s="332"/>
      <c r="AZ1066" s="332"/>
      <c r="BA1066" s="332"/>
      <c r="BB1066" s="332"/>
      <c r="BC1066" s="332"/>
      <c r="BD1066" s="332"/>
      <c r="BE1066" s="332"/>
      <c r="BF1066" s="332"/>
      <c r="BG1066" s="332"/>
      <c r="BH1066" s="332"/>
      <c r="BI1066" s="332"/>
      <c r="BJ1066" s="332"/>
      <c r="BK1066" s="332"/>
      <c r="BL1066" s="332"/>
      <c r="BM1066" s="332"/>
      <c r="BN1066" s="332"/>
      <c r="BO1066" s="332"/>
      <c r="BP1066" s="332"/>
      <c r="BQ1066" s="332"/>
      <c r="BR1066" s="332"/>
      <c r="BS1066" s="332"/>
      <c r="BT1066" s="332"/>
      <c r="BU1066" s="332"/>
      <c r="BV1066" s="332"/>
      <c r="BW1066" s="332"/>
      <c r="BX1066" s="332"/>
      <c r="BY1066" s="332"/>
      <c r="BZ1066" s="332"/>
      <c r="CA1066" s="332"/>
      <c r="CB1066" s="332"/>
      <c r="CC1066" s="332"/>
      <c r="CD1066" s="332"/>
      <c r="CE1066" s="332"/>
      <c r="CF1066" s="332"/>
      <c r="CG1066" s="332"/>
      <c r="CH1066" s="332"/>
      <c r="CI1066" s="332"/>
      <c r="CJ1066" s="332"/>
      <c r="CK1066" s="332"/>
      <c r="CL1066" s="332"/>
      <c r="CM1066" s="332"/>
      <c r="CN1066" s="332"/>
      <c r="CO1066" s="332"/>
      <c r="CP1066" s="332"/>
      <c r="CQ1066" s="332"/>
      <c r="CR1066" s="332"/>
      <c r="CS1066" s="332"/>
      <c r="CT1066" s="332"/>
      <c r="CU1066" s="332"/>
      <c r="CV1066" s="332"/>
      <c r="CW1066" s="332"/>
      <c r="CX1066" s="332"/>
      <c r="CY1066" s="332"/>
      <c r="CZ1066" s="332"/>
      <c r="DA1066" s="332"/>
      <c r="DB1066" s="332"/>
      <c r="DC1066" s="332"/>
      <c r="DD1066" s="332"/>
      <c r="DE1066" s="332"/>
      <c r="DF1066" s="332"/>
      <c r="DG1066" s="332"/>
      <c r="DH1066" s="332"/>
      <c r="DI1066" s="332"/>
      <c r="DJ1066" s="332"/>
      <c r="DK1066" s="332"/>
      <c r="DL1066" s="332"/>
      <c r="DM1066" s="332"/>
      <c r="DN1066" s="332"/>
      <c r="DO1066" s="332"/>
      <c r="DP1066" s="332"/>
      <c r="DQ1066" s="332"/>
      <c r="DR1066" s="332"/>
      <c r="DS1066" s="332"/>
      <c r="DT1066" s="332"/>
      <c r="DU1066" s="453"/>
      <c r="DV1066" s="453"/>
      <c r="DW1066" s="453"/>
      <c r="DX1066" s="453"/>
      <c r="DY1066" s="453"/>
      <c r="DZ1066" s="453"/>
      <c r="EA1066" s="453"/>
      <c r="EB1066" s="453"/>
      <c r="EC1066" s="453"/>
      <c r="ED1066" s="453"/>
      <c r="EE1066" s="453"/>
      <c r="EF1066" s="453"/>
      <c r="EG1066" s="453"/>
      <c r="EH1066" s="453"/>
      <c r="EI1066" s="453"/>
      <c r="EJ1066" s="453"/>
      <c r="EK1066" s="453"/>
      <c r="EL1066" s="453"/>
      <c r="EM1066" s="483">
        <f t="shared" si="246"/>
        <v>757</v>
      </c>
      <c r="EN1066" s="485"/>
      <c r="EO1066" s="458"/>
      <c r="EP1066" s="467"/>
      <c r="EQ1066" s="457"/>
      <c r="ER1066" s="808"/>
      <c r="ES1066" s="881">
        <f t="shared" si="247"/>
        <v>0</v>
      </c>
      <c r="ET1066" s="882"/>
      <c r="EU1066" s="883"/>
      <c r="EV1066" s="884">
        <f t="shared" si="248"/>
        <v>0</v>
      </c>
      <c r="EW1066" s="885"/>
      <c r="EX1066" s="885"/>
      <c r="EY1066" s="885"/>
      <c r="EZ1066" s="885"/>
      <c r="FA1066" s="885"/>
      <c r="FB1066" s="885"/>
      <c r="FC1066" s="885"/>
      <c r="FD1066" s="886"/>
      <c r="FE1066" s="551"/>
      <c r="FF1066" s="551"/>
      <c r="FG1066" s="551"/>
      <c r="FH1066" s="551"/>
      <c r="FI1066" s="551"/>
      <c r="FJ1066" s="551"/>
      <c r="FK1066" s="551"/>
      <c r="FL1066" s="555"/>
      <c r="FM1066" s="554"/>
      <c r="FN1066" s="554"/>
      <c r="FO1066" s="554"/>
      <c r="FP1066" s="554"/>
      <c r="FQ1066" s="554"/>
      <c r="FR1066" s="554"/>
      <c r="FS1066" s="554"/>
      <c r="FT1066" s="554"/>
      <c r="FU1066" s="554"/>
      <c r="FV1066" s="554"/>
      <c r="FW1066" s="554"/>
      <c r="FX1066" s="554"/>
      <c r="FY1066" s="554"/>
      <c r="FZ1066" s="554"/>
      <c r="GA1066" s="554"/>
      <c r="GB1066" s="556"/>
      <c r="GC1066" s="370"/>
      <c r="GD1066" s="453"/>
      <c r="GE1066" s="453"/>
      <c r="GF1066" s="453"/>
      <c r="GG1066" s="453"/>
      <c r="GH1066" s="454"/>
      <c r="GI1066" s="453"/>
      <c r="GJ1066" s="453"/>
      <c r="GK1066" s="453"/>
      <c r="GL1066" s="453"/>
      <c r="GM1066" s="453"/>
      <c r="GN1066" s="453"/>
      <c r="GO1066" s="453"/>
      <c r="GP1066" s="453"/>
      <c r="GQ1066" s="453"/>
      <c r="GR1066" s="453"/>
      <c r="GS1066" s="561"/>
      <c r="GT1066" s="475"/>
      <c r="GU1066" s="472"/>
      <c r="GV1066" s="453"/>
      <c r="GW1066" s="453"/>
      <c r="GX1066" s="869"/>
      <c r="GY1066" s="870"/>
      <c r="GZ1066" s="867"/>
      <c r="HA1066" s="868"/>
      <c r="HB1066" s="473"/>
      <c r="HC1066" s="869"/>
      <c r="HD1066" s="870"/>
      <c r="HE1066" s="867"/>
      <c r="HF1066" s="868"/>
      <c r="HG1066" s="473"/>
      <c r="HH1066" s="867"/>
      <c r="HI1066" s="868"/>
      <c r="HJ1066" s="867"/>
      <c r="HK1066" s="868"/>
      <c r="HL1066" s="370"/>
      <c r="HM1066" s="865"/>
      <c r="HN1066" s="866"/>
      <c r="HO1066" s="865"/>
      <c r="HP1066" s="866"/>
      <c r="HQ1066" s="865"/>
      <c r="HR1066" s="866"/>
      <c r="HS1066" s="867"/>
      <c r="HT1066" s="868"/>
      <c r="HU1066" s="489"/>
      <c r="HV1066" s="865"/>
      <c r="HW1066" s="866"/>
    </row>
    <row r="1067" spans="25:231" ht="15" customHeight="1">
      <c r="Y1067" s="332"/>
      <c r="Z1067" s="332"/>
      <c r="AA1067" s="332"/>
      <c r="AB1067" s="332"/>
      <c r="AC1067" s="332"/>
      <c r="AD1067" s="332"/>
      <c r="AE1067" s="332"/>
      <c r="AF1067" s="332"/>
      <c r="AG1067" s="332"/>
      <c r="AH1067" s="332"/>
      <c r="AI1067" s="332"/>
      <c r="AJ1067" s="332"/>
      <c r="AK1067" s="332"/>
      <c r="AL1067" s="332"/>
      <c r="AM1067" s="332"/>
      <c r="AN1067" s="332"/>
      <c r="AO1067" s="332"/>
      <c r="AP1067" s="332"/>
      <c r="AQ1067" s="332"/>
      <c r="AR1067" s="332"/>
      <c r="AS1067" s="332"/>
      <c r="AT1067" s="332"/>
      <c r="AU1067" s="332"/>
      <c r="AV1067" s="332"/>
      <c r="AW1067" s="332"/>
      <c r="AX1067" s="332"/>
      <c r="AY1067" s="332"/>
      <c r="AZ1067" s="332"/>
      <c r="BA1067" s="332"/>
      <c r="BB1067" s="332"/>
      <c r="BC1067" s="332"/>
      <c r="BD1067" s="332"/>
      <c r="BE1067" s="332"/>
      <c r="BF1067" s="332"/>
      <c r="BG1067" s="332"/>
      <c r="BH1067" s="332"/>
      <c r="BI1067" s="332"/>
      <c r="BJ1067" s="332"/>
      <c r="BK1067" s="332"/>
      <c r="BL1067" s="332"/>
      <c r="BM1067" s="332"/>
      <c r="BN1067" s="332"/>
      <c r="BO1067" s="332"/>
      <c r="BP1067" s="332"/>
      <c r="BQ1067" s="332"/>
      <c r="BR1067" s="332"/>
      <c r="BS1067" s="332"/>
      <c r="BT1067" s="332"/>
      <c r="BU1067" s="332"/>
      <c r="BV1067" s="332"/>
      <c r="BW1067" s="332"/>
      <c r="BX1067" s="332"/>
      <c r="BY1067" s="332"/>
      <c r="BZ1067" s="332"/>
      <c r="CA1067" s="332"/>
      <c r="CB1067" s="332"/>
      <c r="CC1067" s="332"/>
      <c r="CD1067" s="332"/>
      <c r="CE1067" s="332"/>
      <c r="CF1067" s="332"/>
      <c r="CG1067" s="332"/>
      <c r="CH1067" s="332"/>
      <c r="CI1067" s="332"/>
      <c r="CJ1067" s="332"/>
      <c r="CK1067" s="332"/>
      <c r="CL1067" s="332"/>
      <c r="CM1067" s="332"/>
      <c r="CN1067" s="332"/>
      <c r="CO1067" s="332"/>
      <c r="CP1067" s="332"/>
      <c r="CQ1067" s="332"/>
      <c r="CR1067" s="332"/>
      <c r="CS1067" s="332"/>
      <c r="CT1067" s="332"/>
      <c r="CU1067" s="332"/>
      <c r="CV1067" s="332"/>
      <c r="CW1067" s="332"/>
      <c r="CX1067" s="332"/>
      <c r="CY1067" s="332"/>
      <c r="CZ1067" s="332"/>
      <c r="DA1067" s="332"/>
      <c r="DB1067" s="332"/>
      <c r="DC1067" s="332"/>
      <c r="DD1067" s="332"/>
      <c r="DE1067" s="332"/>
      <c r="DF1067" s="332"/>
      <c r="DG1067" s="332"/>
      <c r="DH1067" s="332"/>
      <c r="DI1067" s="332"/>
      <c r="DJ1067" s="332"/>
      <c r="DK1067" s="332"/>
      <c r="DL1067" s="332"/>
      <c r="DM1067" s="332"/>
      <c r="DN1067" s="332"/>
      <c r="DO1067" s="332"/>
      <c r="DP1067" s="332"/>
      <c r="DQ1067" s="332"/>
      <c r="DR1067" s="332"/>
      <c r="DS1067" s="332"/>
      <c r="DT1067" s="332"/>
      <c r="DU1067" s="453"/>
      <c r="DV1067" s="453"/>
      <c r="DW1067" s="453"/>
      <c r="DX1067" s="453"/>
      <c r="DY1067" s="453"/>
      <c r="DZ1067" s="453"/>
      <c r="EA1067" s="453"/>
      <c r="EB1067" s="453"/>
      <c r="EC1067" s="453"/>
      <c r="ED1067" s="453"/>
      <c r="EE1067" s="453"/>
      <c r="EF1067" s="453"/>
      <c r="EG1067" s="453"/>
      <c r="EH1067" s="453"/>
      <c r="EI1067" s="453"/>
      <c r="EJ1067" s="453"/>
      <c r="EK1067" s="453"/>
      <c r="EL1067" s="453"/>
      <c r="EM1067" s="483">
        <f t="shared" si="246"/>
        <v>758</v>
      </c>
      <c r="EN1067" s="485"/>
      <c r="EO1067" s="458"/>
      <c r="EP1067" s="467"/>
      <c r="EQ1067" s="457"/>
      <c r="ER1067" s="808"/>
      <c r="ES1067" s="881">
        <f t="shared" si="247"/>
        <v>0</v>
      </c>
      <c r="ET1067" s="882"/>
      <c r="EU1067" s="883"/>
      <c r="EV1067" s="884">
        <f t="shared" si="248"/>
        <v>0</v>
      </c>
      <c r="EW1067" s="885"/>
      <c r="EX1067" s="885"/>
      <c r="EY1067" s="885"/>
      <c r="EZ1067" s="885"/>
      <c r="FA1067" s="885"/>
      <c r="FB1067" s="885"/>
      <c r="FC1067" s="885"/>
      <c r="FD1067" s="886"/>
      <c r="FE1067" s="551"/>
      <c r="FF1067" s="551"/>
      <c r="FG1067" s="551"/>
      <c r="FH1067" s="551"/>
      <c r="FI1067" s="551"/>
      <c r="FJ1067" s="551"/>
      <c r="FK1067" s="551"/>
      <c r="FL1067" s="555"/>
      <c r="FM1067" s="554"/>
      <c r="FN1067" s="554"/>
      <c r="FO1067" s="554"/>
      <c r="FP1067" s="554"/>
      <c r="FQ1067" s="554"/>
      <c r="FR1067" s="554"/>
      <c r="FS1067" s="554"/>
      <c r="FT1067" s="554"/>
      <c r="FU1067" s="554"/>
      <c r="FV1067" s="554"/>
      <c r="FW1067" s="554"/>
      <c r="FX1067" s="554"/>
      <c r="FY1067" s="554"/>
      <c r="FZ1067" s="554"/>
      <c r="GA1067" s="554"/>
      <c r="GB1067" s="556"/>
      <c r="GC1067" s="370"/>
      <c r="GD1067" s="453"/>
      <c r="GE1067" s="453"/>
      <c r="GF1067" s="453"/>
      <c r="GG1067" s="453"/>
      <c r="GH1067" s="454"/>
      <c r="GI1067" s="453"/>
      <c r="GJ1067" s="453"/>
      <c r="GK1067" s="453"/>
      <c r="GL1067" s="453"/>
      <c r="GM1067" s="453"/>
      <c r="GN1067" s="453"/>
      <c r="GO1067" s="453"/>
      <c r="GP1067" s="453"/>
      <c r="GQ1067" s="453"/>
      <c r="GR1067" s="453"/>
      <c r="GS1067" s="561"/>
      <c r="GT1067" s="475"/>
      <c r="GU1067" s="472"/>
      <c r="GV1067" s="453"/>
      <c r="GW1067" s="453"/>
      <c r="GX1067" s="869"/>
      <c r="GY1067" s="870"/>
      <c r="GZ1067" s="867"/>
      <c r="HA1067" s="868"/>
      <c r="HB1067" s="473"/>
      <c r="HC1067" s="869"/>
      <c r="HD1067" s="870"/>
      <c r="HE1067" s="867"/>
      <c r="HF1067" s="868"/>
      <c r="HG1067" s="473"/>
      <c r="HH1067" s="867"/>
      <c r="HI1067" s="868"/>
      <c r="HJ1067" s="867"/>
      <c r="HK1067" s="868"/>
      <c r="HL1067" s="370"/>
      <c r="HM1067" s="865"/>
      <c r="HN1067" s="866"/>
      <c r="HO1067" s="865"/>
      <c r="HP1067" s="866"/>
      <c r="HQ1067" s="865"/>
      <c r="HR1067" s="866"/>
      <c r="HS1067" s="867"/>
      <c r="HT1067" s="868"/>
      <c r="HU1067" s="489"/>
      <c r="HV1067" s="865"/>
      <c r="HW1067" s="866"/>
    </row>
    <row r="1068" spans="25:231" ht="15" customHeight="1">
      <c r="Y1068" s="332"/>
      <c r="Z1068" s="332"/>
      <c r="AA1068" s="332"/>
      <c r="AB1068" s="332"/>
      <c r="AC1068" s="332"/>
      <c r="AD1068" s="332"/>
      <c r="AE1068" s="332"/>
      <c r="AF1068" s="332"/>
      <c r="AG1068" s="332"/>
      <c r="AH1068" s="332"/>
      <c r="AI1068" s="332"/>
      <c r="AJ1068" s="332"/>
      <c r="AK1068" s="332"/>
      <c r="AL1068" s="332"/>
      <c r="AM1068" s="332"/>
      <c r="AN1068" s="332"/>
      <c r="AO1068" s="332"/>
      <c r="AP1068" s="332"/>
      <c r="AQ1068" s="332"/>
      <c r="AR1068" s="332"/>
      <c r="AS1068" s="332"/>
      <c r="AT1068" s="332"/>
      <c r="AU1068" s="332"/>
      <c r="AV1068" s="332"/>
      <c r="AW1068" s="332"/>
      <c r="AX1068" s="332"/>
      <c r="AY1068" s="332"/>
      <c r="AZ1068" s="332"/>
      <c r="BA1068" s="332"/>
      <c r="BB1068" s="332"/>
      <c r="BC1068" s="332"/>
      <c r="BD1068" s="332"/>
      <c r="BE1068" s="332"/>
      <c r="BF1068" s="332"/>
      <c r="BG1068" s="332"/>
      <c r="BH1068" s="332"/>
      <c r="BI1068" s="332"/>
      <c r="BJ1068" s="332"/>
      <c r="BK1068" s="332"/>
      <c r="BL1068" s="332"/>
      <c r="BM1068" s="332"/>
      <c r="BN1068" s="332"/>
      <c r="BO1068" s="332"/>
      <c r="BP1068" s="332"/>
      <c r="BQ1068" s="332"/>
      <c r="BR1068" s="332"/>
      <c r="BS1068" s="332"/>
      <c r="BT1068" s="332"/>
      <c r="BU1068" s="332"/>
      <c r="BV1068" s="332"/>
      <c r="BW1068" s="332"/>
      <c r="BX1068" s="332"/>
      <c r="BY1068" s="332"/>
      <c r="BZ1068" s="332"/>
      <c r="CA1068" s="332"/>
      <c r="CB1068" s="332"/>
      <c r="CC1068" s="332"/>
      <c r="CD1068" s="332"/>
      <c r="CE1068" s="332"/>
      <c r="CF1068" s="332"/>
      <c r="CG1068" s="332"/>
      <c r="CH1068" s="332"/>
      <c r="CI1068" s="332"/>
      <c r="CJ1068" s="332"/>
      <c r="CK1068" s="332"/>
      <c r="CL1068" s="332"/>
      <c r="CM1068" s="332"/>
      <c r="CN1068" s="332"/>
      <c r="CO1068" s="332"/>
      <c r="CP1068" s="332"/>
      <c r="CQ1068" s="332"/>
      <c r="CR1068" s="332"/>
      <c r="CS1068" s="332"/>
      <c r="CT1068" s="332"/>
      <c r="CU1068" s="332"/>
      <c r="CV1068" s="332"/>
      <c r="CW1068" s="332"/>
      <c r="CX1068" s="332"/>
      <c r="CY1068" s="332"/>
      <c r="CZ1068" s="332"/>
      <c r="DA1068" s="332"/>
      <c r="DB1068" s="332"/>
      <c r="DC1068" s="332"/>
      <c r="DD1068" s="332"/>
      <c r="DE1068" s="332"/>
      <c r="DF1068" s="332"/>
      <c r="DG1068" s="332"/>
      <c r="DH1068" s="332"/>
      <c r="DI1068" s="332"/>
      <c r="DJ1068" s="332"/>
      <c r="DK1068" s="332"/>
      <c r="DL1068" s="332"/>
      <c r="DM1068" s="332"/>
      <c r="DN1068" s="332"/>
      <c r="DO1068" s="332"/>
      <c r="DP1068" s="332"/>
      <c r="DQ1068" s="332"/>
      <c r="DR1068" s="332"/>
      <c r="DS1068" s="332"/>
      <c r="DT1068" s="332"/>
      <c r="DU1068" s="453"/>
      <c r="DV1068" s="453"/>
      <c r="DW1068" s="453"/>
      <c r="DX1068" s="453"/>
      <c r="DY1068" s="453"/>
      <c r="DZ1068" s="453"/>
      <c r="EA1068" s="453"/>
      <c r="EB1068" s="453"/>
      <c r="EC1068" s="453"/>
      <c r="ED1068" s="453"/>
      <c r="EE1068" s="453"/>
      <c r="EF1068" s="453"/>
      <c r="EG1068" s="453"/>
      <c r="EH1068" s="453"/>
      <c r="EI1068" s="453"/>
      <c r="EJ1068" s="453"/>
      <c r="EK1068" s="453"/>
      <c r="EL1068" s="453"/>
      <c r="EM1068" s="483">
        <f t="shared" si="246"/>
        <v>759</v>
      </c>
      <c r="EN1068" s="485"/>
      <c r="EO1068" s="458"/>
      <c r="EP1068" s="467"/>
      <c r="EQ1068" s="457"/>
      <c r="ER1068" s="808"/>
      <c r="ES1068" s="881">
        <f t="shared" si="247"/>
        <v>0</v>
      </c>
      <c r="ET1068" s="882"/>
      <c r="EU1068" s="883"/>
      <c r="EV1068" s="884">
        <f t="shared" si="248"/>
        <v>0</v>
      </c>
      <c r="EW1068" s="885"/>
      <c r="EX1068" s="885"/>
      <c r="EY1068" s="885"/>
      <c r="EZ1068" s="885"/>
      <c r="FA1068" s="885"/>
      <c r="FB1068" s="885"/>
      <c r="FC1068" s="885"/>
      <c r="FD1068" s="886"/>
      <c r="FE1068" s="551"/>
      <c r="FF1068" s="551"/>
      <c r="FG1068" s="551"/>
      <c r="FH1068" s="551"/>
      <c r="FI1068" s="551"/>
      <c r="FJ1068" s="551"/>
      <c r="FK1068" s="551"/>
      <c r="FL1068" s="555"/>
      <c r="FM1068" s="554"/>
      <c r="FN1068" s="554"/>
      <c r="FO1068" s="554"/>
      <c r="FP1068" s="554"/>
      <c r="FQ1068" s="554"/>
      <c r="FR1068" s="554"/>
      <c r="FS1068" s="554"/>
      <c r="FT1068" s="554"/>
      <c r="FU1068" s="554"/>
      <c r="FV1068" s="554"/>
      <c r="FW1068" s="554"/>
      <c r="FX1068" s="554"/>
      <c r="FY1068" s="554"/>
      <c r="FZ1068" s="554"/>
      <c r="GA1068" s="554"/>
      <c r="GB1068" s="556"/>
      <c r="GC1068" s="370"/>
      <c r="GD1068" s="453"/>
      <c r="GE1068" s="453"/>
      <c r="GF1068" s="453"/>
      <c r="GG1068" s="453"/>
      <c r="GH1068" s="454"/>
      <c r="GI1068" s="453"/>
      <c r="GJ1068" s="453"/>
      <c r="GK1068" s="453"/>
      <c r="GL1068" s="453"/>
      <c r="GM1068" s="453"/>
      <c r="GN1068" s="453"/>
      <c r="GO1068" s="453"/>
      <c r="GP1068" s="453"/>
      <c r="GQ1068" s="453"/>
      <c r="GR1068" s="453"/>
      <c r="GS1068" s="561"/>
      <c r="GT1068" s="475"/>
      <c r="GU1068" s="472"/>
      <c r="GV1068" s="453"/>
      <c r="GW1068" s="453"/>
      <c r="GX1068" s="869"/>
      <c r="GY1068" s="870"/>
      <c r="GZ1068" s="867"/>
      <c r="HA1068" s="868"/>
      <c r="HB1068" s="473"/>
      <c r="HC1068" s="869"/>
      <c r="HD1068" s="870"/>
      <c r="HE1068" s="867"/>
      <c r="HF1068" s="868"/>
      <c r="HG1068" s="473"/>
      <c r="HH1068" s="867"/>
      <c r="HI1068" s="868"/>
      <c r="HJ1068" s="867"/>
      <c r="HK1068" s="868"/>
      <c r="HL1068" s="370"/>
      <c r="HM1068" s="865"/>
      <c r="HN1068" s="866"/>
      <c r="HO1068" s="865"/>
      <c r="HP1068" s="866"/>
      <c r="HQ1068" s="865"/>
      <c r="HR1068" s="866"/>
      <c r="HS1068" s="867"/>
      <c r="HT1068" s="868"/>
      <c r="HU1068" s="489"/>
      <c r="HV1068" s="865"/>
      <c r="HW1068" s="866"/>
    </row>
    <row r="1069" spans="25:231" ht="15" customHeight="1">
      <c r="Y1069" s="332"/>
      <c r="Z1069" s="332"/>
      <c r="AA1069" s="332"/>
      <c r="AB1069" s="332"/>
      <c r="AC1069" s="332"/>
      <c r="AD1069" s="332"/>
      <c r="AE1069" s="332"/>
      <c r="AF1069" s="332"/>
      <c r="AG1069" s="332"/>
      <c r="AH1069" s="332"/>
      <c r="AI1069" s="332"/>
      <c r="AJ1069" s="332"/>
      <c r="AK1069" s="332"/>
      <c r="AL1069" s="332"/>
      <c r="AM1069" s="332"/>
      <c r="AN1069" s="332"/>
      <c r="AO1069" s="332"/>
      <c r="AP1069" s="332"/>
      <c r="AQ1069" s="332"/>
      <c r="AR1069" s="332"/>
      <c r="AS1069" s="332"/>
      <c r="AT1069" s="332"/>
      <c r="AU1069" s="332"/>
      <c r="AV1069" s="332"/>
      <c r="AW1069" s="332"/>
      <c r="AX1069" s="332"/>
      <c r="AY1069" s="332"/>
      <c r="AZ1069" s="332"/>
      <c r="BA1069" s="332"/>
      <c r="BB1069" s="332"/>
      <c r="BC1069" s="332"/>
      <c r="BD1069" s="332"/>
      <c r="BE1069" s="332"/>
      <c r="BF1069" s="332"/>
      <c r="BG1069" s="332"/>
      <c r="BH1069" s="332"/>
      <c r="BI1069" s="332"/>
      <c r="BJ1069" s="332"/>
      <c r="BK1069" s="332"/>
      <c r="BL1069" s="332"/>
      <c r="BM1069" s="332"/>
      <c r="BN1069" s="332"/>
      <c r="BO1069" s="332"/>
      <c r="BP1069" s="332"/>
      <c r="BQ1069" s="332"/>
      <c r="BR1069" s="332"/>
      <c r="BS1069" s="332"/>
      <c r="BT1069" s="332"/>
      <c r="BU1069" s="332"/>
      <c r="BV1069" s="332"/>
      <c r="BW1069" s="332"/>
      <c r="BX1069" s="332"/>
      <c r="BY1069" s="332"/>
      <c r="BZ1069" s="332"/>
      <c r="CA1069" s="332"/>
      <c r="CB1069" s="332"/>
      <c r="CC1069" s="332"/>
      <c r="CD1069" s="332"/>
      <c r="CE1069" s="332"/>
      <c r="CF1069" s="332"/>
      <c r="CG1069" s="332"/>
      <c r="CH1069" s="332"/>
      <c r="CI1069" s="332"/>
      <c r="CJ1069" s="332"/>
      <c r="CK1069" s="332"/>
      <c r="CL1069" s="332"/>
      <c r="CM1069" s="332"/>
      <c r="CN1069" s="332"/>
      <c r="CO1069" s="332"/>
      <c r="CP1069" s="332"/>
      <c r="CQ1069" s="332"/>
      <c r="CR1069" s="332"/>
      <c r="CS1069" s="332"/>
      <c r="CT1069" s="332"/>
      <c r="CU1069" s="332"/>
      <c r="CV1069" s="332"/>
      <c r="CW1069" s="332"/>
      <c r="CX1069" s="332"/>
      <c r="CY1069" s="332"/>
      <c r="CZ1069" s="332"/>
      <c r="DA1069" s="332"/>
      <c r="DB1069" s="332"/>
      <c r="DC1069" s="332"/>
      <c r="DD1069" s="332"/>
      <c r="DE1069" s="332"/>
      <c r="DF1069" s="332"/>
      <c r="DG1069" s="332"/>
      <c r="DH1069" s="332"/>
      <c r="DI1069" s="332"/>
      <c r="DJ1069" s="332"/>
      <c r="DK1069" s="332"/>
      <c r="DL1069" s="332"/>
      <c r="DM1069" s="332"/>
      <c r="DN1069" s="332"/>
      <c r="DO1069" s="332"/>
      <c r="DP1069" s="332"/>
      <c r="DQ1069" s="332"/>
      <c r="DR1069" s="332"/>
      <c r="DS1069" s="332"/>
      <c r="DT1069" s="332"/>
      <c r="DU1069" s="453"/>
      <c r="DV1069" s="453"/>
      <c r="DW1069" s="453"/>
      <c r="DX1069" s="453"/>
      <c r="DY1069" s="453"/>
      <c r="DZ1069" s="453"/>
      <c r="EA1069" s="453"/>
      <c r="EB1069" s="453"/>
      <c r="EC1069" s="453"/>
      <c r="ED1069" s="453"/>
      <c r="EE1069" s="453"/>
      <c r="EF1069" s="453"/>
      <c r="EG1069" s="453"/>
      <c r="EH1069" s="453"/>
      <c r="EI1069" s="453"/>
      <c r="EJ1069" s="453"/>
      <c r="EK1069" s="453"/>
      <c r="EL1069" s="453"/>
      <c r="EM1069" s="483">
        <f t="shared" si="246"/>
        <v>760</v>
      </c>
      <c r="EN1069" s="485"/>
      <c r="EO1069" s="458"/>
      <c r="EP1069" s="467"/>
      <c r="EQ1069" s="457"/>
      <c r="ER1069" s="808"/>
      <c r="ES1069" s="881">
        <f t="shared" si="247"/>
        <v>0</v>
      </c>
      <c r="ET1069" s="882"/>
      <c r="EU1069" s="883"/>
      <c r="EV1069" s="884">
        <f t="shared" si="248"/>
        <v>0</v>
      </c>
      <c r="EW1069" s="885"/>
      <c r="EX1069" s="885"/>
      <c r="EY1069" s="885"/>
      <c r="EZ1069" s="885"/>
      <c r="FA1069" s="885"/>
      <c r="FB1069" s="885"/>
      <c r="FC1069" s="885"/>
      <c r="FD1069" s="886"/>
      <c r="FE1069" s="551"/>
      <c r="FF1069" s="551"/>
      <c r="FG1069" s="551"/>
      <c r="FH1069" s="551"/>
      <c r="FI1069" s="551"/>
      <c r="FJ1069" s="551"/>
      <c r="FK1069" s="551"/>
      <c r="FL1069" s="555"/>
      <c r="FM1069" s="554"/>
      <c r="FN1069" s="554"/>
      <c r="FO1069" s="554"/>
      <c r="FP1069" s="554"/>
      <c r="FQ1069" s="554"/>
      <c r="FR1069" s="554"/>
      <c r="FS1069" s="554"/>
      <c r="FT1069" s="554"/>
      <c r="FU1069" s="554"/>
      <c r="FV1069" s="554"/>
      <c r="FW1069" s="554"/>
      <c r="FX1069" s="554"/>
      <c r="FY1069" s="554"/>
      <c r="FZ1069" s="554"/>
      <c r="GA1069" s="554"/>
      <c r="GB1069" s="556"/>
      <c r="GC1069" s="370"/>
      <c r="GD1069" s="453"/>
      <c r="GE1069" s="453"/>
      <c r="GF1069" s="453"/>
      <c r="GG1069" s="453"/>
      <c r="GH1069" s="454"/>
      <c r="GI1069" s="453"/>
      <c r="GJ1069" s="453"/>
      <c r="GK1069" s="453"/>
      <c r="GL1069" s="453"/>
      <c r="GM1069" s="453"/>
      <c r="GN1069" s="453"/>
      <c r="GO1069" s="453"/>
      <c r="GP1069" s="453"/>
      <c r="GQ1069" s="453"/>
      <c r="GR1069" s="453"/>
      <c r="GS1069" s="561"/>
      <c r="GT1069" s="475"/>
      <c r="GU1069" s="472"/>
      <c r="GV1069" s="453"/>
      <c r="GW1069" s="453"/>
      <c r="GX1069" s="869"/>
      <c r="GY1069" s="870"/>
      <c r="GZ1069" s="867"/>
      <c r="HA1069" s="868"/>
      <c r="HB1069" s="473"/>
      <c r="HC1069" s="869"/>
      <c r="HD1069" s="870"/>
      <c r="HE1069" s="867"/>
      <c r="HF1069" s="868"/>
      <c r="HG1069" s="473"/>
      <c r="HH1069" s="867"/>
      <c r="HI1069" s="868"/>
      <c r="HJ1069" s="867"/>
      <c r="HK1069" s="868"/>
      <c r="HL1069" s="370"/>
      <c r="HM1069" s="865"/>
      <c r="HN1069" s="866"/>
      <c r="HO1069" s="865"/>
      <c r="HP1069" s="866"/>
      <c r="HQ1069" s="865"/>
      <c r="HR1069" s="866"/>
      <c r="HS1069" s="867"/>
      <c r="HT1069" s="868"/>
      <c r="HU1069" s="489"/>
      <c r="HV1069" s="865"/>
      <c r="HW1069" s="866"/>
    </row>
    <row r="1070" spans="25:231" ht="15" customHeight="1">
      <c r="Y1070" s="332"/>
      <c r="Z1070" s="332"/>
      <c r="AA1070" s="332"/>
      <c r="AB1070" s="332"/>
      <c r="AC1070" s="332"/>
      <c r="AD1070" s="332"/>
      <c r="AE1070" s="332"/>
      <c r="AF1070" s="332"/>
      <c r="AG1070" s="332"/>
      <c r="AH1070" s="332"/>
      <c r="AI1070" s="332"/>
      <c r="AJ1070" s="332"/>
      <c r="AK1070" s="332"/>
      <c r="AL1070" s="332"/>
      <c r="AM1070" s="332"/>
      <c r="AN1070" s="332"/>
      <c r="AO1070" s="332"/>
      <c r="AP1070" s="332"/>
      <c r="AQ1070" s="332"/>
      <c r="AR1070" s="332"/>
      <c r="AS1070" s="332"/>
      <c r="AT1070" s="332"/>
      <c r="AU1070" s="332"/>
      <c r="AV1070" s="332"/>
      <c r="AW1070" s="332"/>
      <c r="AX1070" s="332"/>
      <c r="AY1070" s="332"/>
      <c r="AZ1070" s="332"/>
      <c r="BA1070" s="332"/>
      <c r="BB1070" s="332"/>
      <c r="BC1070" s="332"/>
      <c r="BD1070" s="332"/>
      <c r="BE1070" s="332"/>
      <c r="BF1070" s="332"/>
      <c r="BG1070" s="332"/>
      <c r="BH1070" s="332"/>
      <c r="BI1070" s="332"/>
      <c r="BJ1070" s="332"/>
      <c r="BK1070" s="332"/>
      <c r="BL1070" s="332"/>
      <c r="BM1070" s="332"/>
      <c r="BN1070" s="332"/>
      <c r="BO1070" s="332"/>
      <c r="BP1070" s="332"/>
      <c r="BQ1070" s="332"/>
      <c r="BR1070" s="332"/>
      <c r="BS1070" s="332"/>
      <c r="BT1070" s="332"/>
      <c r="BU1070" s="332"/>
      <c r="BV1070" s="332"/>
      <c r="BW1070" s="332"/>
      <c r="BX1070" s="332"/>
      <c r="BY1070" s="332"/>
      <c r="BZ1070" s="332"/>
      <c r="CA1070" s="332"/>
      <c r="CB1070" s="332"/>
      <c r="CC1070" s="332"/>
      <c r="CD1070" s="332"/>
      <c r="CE1070" s="332"/>
      <c r="CF1070" s="332"/>
      <c r="CG1070" s="332"/>
      <c r="CH1070" s="332"/>
      <c r="CI1070" s="332"/>
      <c r="CJ1070" s="332"/>
      <c r="CK1070" s="332"/>
      <c r="CL1070" s="332"/>
      <c r="CM1070" s="332"/>
      <c r="CN1070" s="332"/>
      <c r="CO1070" s="332"/>
      <c r="CP1070" s="332"/>
      <c r="CQ1070" s="332"/>
      <c r="CR1070" s="332"/>
      <c r="CS1070" s="332"/>
      <c r="CT1070" s="332"/>
      <c r="CU1070" s="332"/>
      <c r="CV1070" s="332"/>
      <c r="CW1070" s="332"/>
      <c r="CX1070" s="332"/>
      <c r="CY1070" s="332"/>
      <c r="CZ1070" s="332"/>
      <c r="DA1070" s="332"/>
      <c r="DB1070" s="332"/>
      <c r="DC1070" s="332"/>
      <c r="DD1070" s="332"/>
      <c r="DE1070" s="332"/>
      <c r="DF1070" s="332"/>
      <c r="DG1070" s="332"/>
      <c r="DH1070" s="332"/>
      <c r="DI1070" s="332"/>
      <c r="DJ1070" s="332"/>
      <c r="DK1070" s="332"/>
      <c r="DL1070" s="332"/>
      <c r="DM1070" s="332"/>
      <c r="DN1070" s="332"/>
      <c r="DO1070" s="332"/>
      <c r="DP1070" s="332"/>
      <c r="DQ1070" s="332"/>
      <c r="DR1070" s="332"/>
      <c r="DS1070" s="332"/>
      <c r="DT1070" s="332"/>
      <c r="DU1070" s="453"/>
      <c r="DV1070" s="453"/>
      <c r="DW1070" s="453"/>
      <c r="DX1070" s="453"/>
      <c r="DY1070" s="453"/>
      <c r="DZ1070" s="453"/>
      <c r="EA1070" s="453"/>
      <c r="EB1070" s="453"/>
      <c r="EC1070" s="453"/>
      <c r="ED1070" s="453"/>
      <c r="EE1070" s="453"/>
      <c r="EF1070" s="453"/>
      <c r="EG1070" s="453"/>
      <c r="EH1070" s="453"/>
      <c r="EI1070" s="453"/>
      <c r="EJ1070" s="453"/>
      <c r="EK1070" s="453"/>
      <c r="EL1070" s="453"/>
      <c r="EM1070" s="483">
        <f t="shared" si="246"/>
        <v>761</v>
      </c>
      <c r="EN1070" s="485"/>
      <c r="EO1070" s="458"/>
      <c r="EP1070" s="467"/>
      <c r="EQ1070" s="457"/>
      <c r="ER1070" s="808"/>
      <c r="ES1070" s="881">
        <f t="shared" si="247"/>
        <v>0</v>
      </c>
      <c r="ET1070" s="882"/>
      <c r="EU1070" s="883"/>
      <c r="EV1070" s="884">
        <f t="shared" si="248"/>
        <v>0</v>
      </c>
      <c r="EW1070" s="885"/>
      <c r="EX1070" s="885"/>
      <c r="EY1070" s="885"/>
      <c r="EZ1070" s="885"/>
      <c r="FA1070" s="885"/>
      <c r="FB1070" s="885"/>
      <c r="FC1070" s="885"/>
      <c r="FD1070" s="886"/>
      <c r="FE1070" s="551"/>
      <c r="FF1070" s="551"/>
      <c r="FG1070" s="551"/>
      <c r="FH1070" s="551"/>
      <c r="FI1070" s="551"/>
      <c r="FJ1070" s="551"/>
      <c r="FK1070" s="551"/>
      <c r="FL1070" s="555"/>
      <c r="FM1070" s="554"/>
      <c r="FN1070" s="554"/>
      <c r="FO1070" s="554"/>
      <c r="FP1070" s="554"/>
      <c r="FQ1070" s="554"/>
      <c r="FR1070" s="554"/>
      <c r="FS1070" s="554"/>
      <c r="FT1070" s="554"/>
      <c r="FU1070" s="554"/>
      <c r="FV1070" s="554"/>
      <c r="FW1070" s="554"/>
      <c r="FX1070" s="554"/>
      <c r="FY1070" s="554"/>
      <c r="FZ1070" s="554"/>
      <c r="GA1070" s="554"/>
      <c r="GB1070" s="556"/>
      <c r="GC1070" s="370"/>
      <c r="GD1070" s="453"/>
      <c r="GE1070" s="453"/>
      <c r="GF1070" s="453"/>
      <c r="GG1070" s="453"/>
      <c r="GH1070" s="454"/>
      <c r="GI1070" s="453"/>
      <c r="GJ1070" s="453"/>
      <c r="GK1070" s="453"/>
      <c r="GL1070" s="453"/>
      <c r="GM1070" s="453"/>
      <c r="GN1070" s="453"/>
      <c r="GO1070" s="453"/>
      <c r="GP1070" s="453"/>
      <c r="GQ1070" s="453"/>
      <c r="GR1070" s="453"/>
      <c r="GS1070" s="561"/>
      <c r="GT1070" s="475"/>
      <c r="GU1070" s="472"/>
      <c r="GV1070" s="453"/>
      <c r="GW1070" s="453"/>
      <c r="GX1070" s="869"/>
      <c r="GY1070" s="870"/>
      <c r="GZ1070" s="867"/>
      <c r="HA1070" s="868"/>
      <c r="HB1070" s="473"/>
      <c r="HC1070" s="869"/>
      <c r="HD1070" s="870"/>
      <c r="HE1070" s="867"/>
      <c r="HF1070" s="868"/>
      <c r="HG1070" s="473"/>
      <c r="HH1070" s="867"/>
      <c r="HI1070" s="868"/>
      <c r="HJ1070" s="867"/>
      <c r="HK1070" s="868"/>
      <c r="HL1070" s="370"/>
      <c r="HM1070" s="865"/>
      <c r="HN1070" s="866"/>
      <c r="HO1070" s="865"/>
      <c r="HP1070" s="866"/>
      <c r="HQ1070" s="865"/>
      <c r="HR1070" s="866"/>
      <c r="HS1070" s="867"/>
      <c r="HT1070" s="868"/>
      <c r="HU1070" s="489"/>
      <c r="HV1070" s="865"/>
      <c r="HW1070" s="866"/>
    </row>
    <row r="1071" spans="25:231" ht="15" customHeight="1">
      <c r="Y1071" s="332"/>
      <c r="Z1071" s="332"/>
      <c r="AA1071" s="332"/>
      <c r="AB1071" s="332"/>
      <c r="AC1071" s="332"/>
      <c r="AD1071" s="332"/>
      <c r="AE1071" s="332"/>
      <c r="AF1071" s="332"/>
      <c r="AG1071" s="332"/>
      <c r="AH1071" s="332"/>
      <c r="AI1071" s="332"/>
      <c r="AJ1071" s="332"/>
      <c r="AK1071" s="332"/>
      <c r="AL1071" s="332"/>
      <c r="AM1071" s="332"/>
      <c r="AN1071" s="332"/>
      <c r="AO1071" s="332"/>
      <c r="AP1071" s="332"/>
      <c r="AQ1071" s="332"/>
      <c r="AR1071" s="332"/>
      <c r="AS1071" s="332"/>
      <c r="AT1071" s="332"/>
      <c r="AU1071" s="332"/>
      <c r="AV1071" s="332"/>
      <c r="AW1071" s="332"/>
      <c r="AX1071" s="332"/>
      <c r="AY1071" s="332"/>
      <c r="AZ1071" s="332"/>
      <c r="BA1071" s="332"/>
      <c r="BB1071" s="332"/>
      <c r="BC1071" s="332"/>
      <c r="BD1071" s="332"/>
      <c r="BE1071" s="332"/>
      <c r="BF1071" s="332"/>
      <c r="BG1071" s="332"/>
      <c r="BH1071" s="332"/>
      <c r="BI1071" s="332"/>
      <c r="BJ1071" s="332"/>
      <c r="BK1071" s="332"/>
      <c r="BL1071" s="332"/>
      <c r="BM1071" s="332"/>
      <c r="BN1071" s="332"/>
      <c r="BO1071" s="332"/>
      <c r="BP1071" s="332"/>
      <c r="BQ1071" s="332"/>
      <c r="BR1071" s="332"/>
      <c r="BS1071" s="332"/>
      <c r="BT1071" s="332"/>
      <c r="BU1071" s="332"/>
      <c r="BV1071" s="332"/>
      <c r="BW1071" s="332"/>
      <c r="BX1071" s="332"/>
      <c r="BY1071" s="332"/>
      <c r="BZ1071" s="332"/>
      <c r="CA1071" s="332"/>
      <c r="CB1071" s="332"/>
      <c r="CC1071" s="332"/>
      <c r="CD1071" s="332"/>
      <c r="CE1071" s="332"/>
      <c r="CF1071" s="332"/>
      <c r="CG1071" s="332"/>
      <c r="CH1071" s="332"/>
      <c r="CI1071" s="332"/>
      <c r="CJ1071" s="332"/>
      <c r="CK1071" s="332"/>
      <c r="CL1071" s="332"/>
      <c r="CM1071" s="332"/>
      <c r="CN1071" s="332"/>
      <c r="CO1071" s="332"/>
      <c r="CP1071" s="332"/>
      <c r="CQ1071" s="332"/>
      <c r="CR1071" s="332"/>
      <c r="CS1071" s="332"/>
      <c r="CT1071" s="332"/>
      <c r="CU1071" s="332"/>
      <c r="CV1071" s="332"/>
      <c r="CW1071" s="332"/>
      <c r="CX1071" s="332"/>
      <c r="CY1071" s="332"/>
      <c r="CZ1071" s="332"/>
      <c r="DA1071" s="332"/>
      <c r="DB1071" s="332"/>
      <c r="DC1071" s="332"/>
      <c r="DD1071" s="332"/>
      <c r="DE1071" s="332"/>
      <c r="DF1071" s="332"/>
      <c r="DG1071" s="332"/>
      <c r="DH1071" s="332"/>
      <c r="DI1071" s="332"/>
      <c r="DJ1071" s="332"/>
      <c r="DK1071" s="332"/>
      <c r="DL1071" s="332"/>
      <c r="DM1071" s="332"/>
      <c r="DN1071" s="332"/>
      <c r="DO1071" s="332"/>
      <c r="DP1071" s="332"/>
      <c r="DQ1071" s="332"/>
      <c r="DR1071" s="332"/>
      <c r="DS1071" s="332"/>
      <c r="DT1071" s="332"/>
      <c r="DU1071" s="453"/>
      <c r="DV1071" s="453"/>
      <c r="DW1071" s="453"/>
      <c r="DX1071" s="453"/>
      <c r="DY1071" s="453"/>
      <c r="DZ1071" s="453"/>
      <c r="EA1071" s="453"/>
      <c r="EB1071" s="453"/>
      <c r="EC1071" s="453"/>
      <c r="ED1071" s="453"/>
      <c r="EE1071" s="453"/>
      <c r="EF1071" s="453"/>
      <c r="EG1071" s="453"/>
      <c r="EH1071" s="453"/>
      <c r="EI1071" s="453"/>
      <c r="EJ1071" s="453"/>
      <c r="EK1071" s="453"/>
      <c r="EL1071" s="453"/>
      <c r="EM1071" s="483">
        <f t="shared" si="246"/>
        <v>762</v>
      </c>
      <c r="EN1071" s="485"/>
      <c r="EO1071" s="458"/>
      <c r="EP1071" s="467"/>
      <c r="EQ1071" s="457"/>
      <c r="ER1071" s="808"/>
      <c r="ES1071" s="881">
        <f t="shared" si="247"/>
        <v>0</v>
      </c>
      <c r="ET1071" s="882"/>
      <c r="EU1071" s="883"/>
      <c r="EV1071" s="884">
        <f t="shared" si="248"/>
        <v>0</v>
      </c>
      <c r="EW1071" s="885"/>
      <c r="EX1071" s="885"/>
      <c r="EY1071" s="885"/>
      <c r="EZ1071" s="885"/>
      <c r="FA1071" s="885"/>
      <c r="FB1071" s="885"/>
      <c r="FC1071" s="885"/>
      <c r="FD1071" s="886"/>
      <c r="FE1071" s="551"/>
      <c r="FF1071" s="551"/>
      <c r="FG1071" s="551"/>
      <c r="FH1071" s="551"/>
      <c r="FI1071" s="551"/>
      <c r="FJ1071" s="551"/>
      <c r="FK1071" s="551"/>
      <c r="FL1071" s="555"/>
      <c r="FM1071" s="554"/>
      <c r="FN1071" s="554"/>
      <c r="FO1071" s="554"/>
      <c r="FP1071" s="554"/>
      <c r="FQ1071" s="554"/>
      <c r="FR1071" s="554"/>
      <c r="FS1071" s="554"/>
      <c r="FT1071" s="554"/>
      <c r="FU1071" s="554"/>
      <c r="FV1071" s="554"/>
      <c r="FW1071" s="554"/>
      <c r="FX1071" s="554"/>
      <c r="FY1071" s="554"/>
      <c r="FZ1071" s="554"/>
      <c r="GA1071" s="554"/>
      <c r="GB1071" s="556"/>
      <c r="GC1071" s="370"/>
      <c r="GD1071" s="453"/>
      <c r="GE1071" s="453"/>
      <c r="GF1071" s="453"/>
      <c r="GG1071" s="453"/>
      <c r="GH1071" s="454"/>
      <c r="GI1071" s="453"/>
      <c r="GJ1071" s="453"/>
      <c r="GK1071" s="453"/>
      <c r="GL1071" s="453"/>
      <c r="GM1071" s="453"/>
      <c r="GN1071" s="453"/>
      <c r="GO1071" s="453"/>
      <c r="GP1071" s="453"/>
      <c r="GQ1071" s="453"/>
      <c r="GR1071" s="453"/>
      <c r="GS1071" s="561"/>
      <c r="GT1071" s="475"/>
      <c r="GU1071" s="472"/>
      <c r="GV1071" s="453"/>
      <c r="GW1071" s="453"/>
      <c r="GX1071" s="869"/>
      <c r="GY1071" s="870"/>
      <c r="GZ1071" s="867"/>
      <c r="HA1071" s="868"/>
      <c r="HB1071" s="473"/>
      <c r="HC1071" s="869"/>
      <c r="HD1071" s="870"/>
      <c r="HE1071" s="867"/>
      <c r="HF1071" s="868"/>
      <c r="HG1071" s="473"/>
      <c r="HH1071" s="867"/>
      <c r="HI1071" s="868"/>
      <c r="HJ1071" s="867"/>
      <c r="HK1071" s="868"/>
      <c r="HL1071" s="370"/>
      <c r="HM1071" s="865"/>
      <c r="HN1071" s="866"/>
      <c r="HO1071" s="865"/>
      <c r="HP1071" s="866"/>
      <c r="HQ1071" s="865"/>
      <c r="HR1071" s="866"/>
      <c r="HS1071" s="867"/>
      <c r="HT1071" s="868"/>
      <c r="HU1071" s="489"/>
      <c r="HV1071" s="865"/>
      <c r="HW1071" s="866"/>
    </row>
    <row r="1072" spans="25:231" ht="15" customHeight="1">
      <c r="Y1072" s="332"/>
      <c r="Z1072" s="332"/>
      <c r="AA1072" s="332"/>
      <c r="AB1072" s="332"/>
      <c r="AC1072" s="332"/>
      <c r="AD1072" s="332"/>
      <c r="AE1072" s="332"/>
      <c r="AF1072" s="332"/>
      <c r="AG1072" s="332"/>
      <c r="AH1072" s="332"/>
      <c r="AI1072" s="332"/>
      <c r="AJ1072" s="332"/>
      <c r="AK1072" s="332"/>
      <c r="AL1072" s="332"/>
      <c r="AM1072" s="332"/>
      <c r="AN1072" s="332"/>
      <c r="AO1072" s="332"/>
      <c r="AP1072" s="332"/>
      <c r="AQ1072" s="332"/>
      <c r="AR1072" s="332"/>
      <c r="AS1072" s="332"/>
      <c r="AT1072" s="332"/>
      <c r="AU1072" s="332"/>
      <c r="AV1072" s="332"/>
      <c r="AW1072" s="332"/>
      <c r="AX1072" s="332"/>
      <c r="AY1072" s="332"/>
      <c r="AZ1072" s="332"/>
      <c r="BA1072" s="332"/>
      <c r="BB1072" s="332"/>
      <c r="BC1072" s="332"/>
      <c r="BD1072" s="332"/>
      <c r="BE1072" s="332"/>
      <c r="BF1072" s="332"/>
      <c r="BG1072" s="332"/>
      <c r="BH1072" s="332"/>
      <c r="BI1072" s="332"/>
      <c r="BJ1072" s="332"/>
      <c r="BK1072" s="332"/>
      <c r="BL1072" s="332"/>
      <c r="BM1072" s="332"/>
      <c r="BN1072" s="332"/>
      <c r="BO1072" s="332"/>
      <c r="BP1072" s="332"/>
      <c r="BQ1072" s="332"/>
      <c r="BR1072" s="332"/>
      <c r="BS1072" s="332"/>
      <c r="BT1072" s="332"/>
      <c r="BU1072" s="332"/>
      <c r="BV1072" s="332"/>
      <c r="BW1072" s="332"/>
      <c r="BX1072" s="332"/>
      <c r="BY1072" s="332"/>
      <c r="BZ1072" s="332"/>
      <c r="CA1072" s="332"/>
      <c r="CB1072" s="332"/>
      <c r="CC1072" s="332"/>
      <c r="CD1072" s="332"/>
      <c r="CE1072" s="332"/>
      <c r="CF1072" s="332"/>
      <c r="CG1072" s="332"/>
      <c r="CH1072" s="332"/>
      <c r="CI1072" s="332"/>
      <c r="CJ1072" s="332"/>
      <c r="CK1072" s="332"/>
      <c r="CL1072" s="332"/>
      <c r="CM1072" s="332"/>
      <c r="CN1072" s="332"/>
      <c r="CO1072" s="332"/>
      <c r="CP1072" s="332"/>
      <c r="CQ1072" s="332"/>
      <c r="CR1072" s="332"/>
      <c r="CS1072" s="332"/>
      <c r="CT1072" s="332"/>
      <c r="CU1072" s="332"/>
      <c r="CV1072" s="332"/>
      <c r="CW1072" s="332"/>
      <c r="CX1072" s="332"/>
      <c r="CY1072" s="332"/>
      <c r="CZ1072" s="332"/>
      <c r="DA1072" s="332"/>
      <c r="DB1072" s="332"/>
      <c r="DC1072" s="332"/>
      <c r="DD1072" s="332"/>
      <c r="DE1072" s="332"/>
      <c r="DF1072" s="332"/>
      <c r="DG1072" s="332"/>
      <c r="DH1072" s="332"/>
      <c r="DI1072" s="332"/>
      <c r="DJ1072" s="332"/>
      <c r="DK1072" s="332"/>
      <c r="DL1072" s="332"/>
      <c r="DM1072" s="332"/>
      <c r="DN1072" s="332"/>
      <c r="DO1072" s="332"/>
      <c r="DP1072" s="332"/>
      <c r="DQ1072" s="332"/>
      <c r="DR1072" s="332"/>
      <c r="DS1072" s="332"/>
      <c r="DT1072" s="332"/>
      <c r="DU1072" s="453"/>
      <c r="DV1072" s="453"/>
      <c r="DW1072" s="453"/>
      <c r="DX1072" s="453"/>
      <c r="DY1072" s="453"/>
      <c r="DZ1072" s="453"/>
      <c r="EA1072" s="453"/>
      <c r="EB1072" s="453"/>
      <c r="EC1072" s="453"/>
      <c r="ED1072" s="453"/>
      <c r="EE1072" s="453"/>
      <c r="EF1072" s="453"/>
      <c r="EG1072" s="453"/>
      <c r="EH1072" s="453"/>
      <c r="EI1072" s="453"/>
      <c r="EJ1072" s="453"/>
      <c r="EK1072" s="453"/>
      <c r="EL1072" s="453"/>
      <c r="EM1072" s="483">
        <f t="shared" si="246"/>
        <v>763</v>
      </c>
      <c r="EN1072" s="485"/>
      <c r="EO1072" s="458"/>
      <c r="EP1072" s="467"/>
      <c r="EQ1072" s="457"/>
      <c r="ER1072" s="808"/>
      <c r="ES1072" s="881">
        <f t="shared" si="247"/>
        <v>0</v>
      </c>
      <c r="ET1072" s="882"/>
      <c r="EU1072" s="883"/>
      <c r="EV1072" s="884">
        <f t="shared" si="248"/>
        <v>0</v>
      </c>
      <c r="EW1072" s="885"/>
      <c r="EX1072" s="885"/>
      <c r="EY1072" s="885"/>
      <c r="EZ1072" s="885"/>
      <c r="FA1072" s="885"/>
      <c r="FB1072" s="885"/>
      <c r="FC1072" s="885"/>
      <c r="FD1072" s="886"/>
      <c r="FE1072" s="551"/>
      <c r="FF1072" s="551"/>
      <c r="FG1072" s="551"/>
      <c r="FH1072" s="551"/>
      <c r="FI1072" s="551"/>
      <c r="FJ1072" s="551"/>
      <c r="FK1072" s="551"/>
      <c r="FL1072" s="555"/>
      <c r="FM1072" s="554"/>
      <c r="FN1072" s="554"/>
      <c r="FO1072" s="554"/>
      <c r="FP1072" s="554"/>
      <c r="FQ1072" s="554"/>
      <c r="FR1072" s="554"/>
      <c r="FS1072" s="554"/>
      <c r="FT1072" s="554"/>
      <c r="FU1072" s="554"/>
      <c r="FV1072" s="554"/>
      <c r="FW1072" s="554"/>
      <c r="FX1072" s="554"/>
      <c r="FY1072" s="554"/>
      <c r="FZ1072" s="554"/>
      <c r="GA1072" s="554"/>
      <c r="GB1072" s="556"/>
      <c r="GC1072" s="370"/>
      <c r="GD1072" s="453"/>
      <c r="GE1072" s="453"/>
      <c r="GF1072" s="453"/>
      <c r="GG1072" s="453"/>
      <c r="GH1072" s="454"/>
      <c r="GI1072" s="453"/>
      <c r="GJ1072" s="453"/>
      <c r="GK1072" s="453"/>
      <c r="GL1072" s="453"/>
      <c r="GM1072" s="453"/>
      <c r="GN1072" s="453"/>
      <c r="GO1072" s="453"/>
      <c r="GP1072" s="453"/>
      <c r="GQ1072" s="453"/>
      <c r="GR1072" s="453"/>
      <c r="GS1072" s="561"/>
      <c r="GT1072" s="475"/>
      <c r="GU1072" s="472"/>
      <c r="GV1072" s="453"/>
      <c r="GW1072" s="453"/>
      <c r="GX1072" s="869"/>
      <c r="GY1072" s="870"/>
      <c r="GZ1072" s="867"/>
      <c r="HA1072" s="868"/>
      <c r="HB1072" s="473"/>
      <c r="HC1072" s="869"/>
      <c r="HD1072" s="870"/>
      <c r="HE1072" s="867"/>
      <c r="HF1072" s="868"/>
      <c r="HG1072" s="473"/>
      <c r="HH1072" s="867"/>
      <c r="HI1072" s="868"/>
      <c r="HJ1072" s="867"/>
      <c r="HK1072" s="868"/>
      <c r="HL1072" s="370"/>
      <c r="HM1072" s="865"/>
      <c r="HN1072" s="866"/>
      <c r="HO1072" s="865"/>
      <c r="HP1072" s="866"/>
      <c r="HQ1072" s="865"/>
      <c r="HR1072" s="866"/>
      <c r="HS1072" s="867"/>
      <c r="HT1072" s="868"/>
      <c r="HU1072" s="489"/>
      <c r="HV1072" s="865"/>
      <c r="HW1072" s="866"/>
    </row>
    <row r="1073" spans="25:231" ht="15" customHeight="1">
      <c r="Y1073" s="332"/>
      <c r="Z1073" s="332"/>
      <c r="AA1073" s="332"/>
      <c r="AB1073" s="332"/>
      <c r="AC1073" s="332"/>
      <c r="AD1073" s="332"/>
      <c r="AE1073" s="332"/>
      <c r="AF1073" s="332"/>
      <c r="AG1073" s="332"/>
      <c r="AH1073" s="332"/>
      <c r="AI1073" s="332"/>
      <c r="AJ1073" s="332"/>
      <c r="AK1073" s="332"/>
      <c r="AL1073" s="332"/>
      <c r="AM1073" s="332"/>
      <c r="AN1073" s="332"/>
      <c r="AO1073" s="332"/>
      <c r="AP1073" s="332"/>
      <c r="AQ1073" s="332"/>
      <c r="AR1073" s="332"/>
      <c r="AS1073" s="332"/>
      <c r="AT1073" s="332"/>
      <c r="AU1073" s="332"/>
      <c r="AV1073" s="332"/>
      <c r="AW1073" s="332"/>
      <c r="AX1073" s="332"/>
      <c r="AY1073" s="332"/>
      <c r="AZ1073" s="332"/>
      <c r="BA1073" s="332"/>
      <c r="BB1073" s="332"/>
      <c r="BC1073" s="332"/>
      <c r="BD1073" s="332"/>
      <c r="BE1073" s="332"/>
      <c r="BF1073" s="332"/>
      <c r="BG1073" s="332"/>
      <c r="BH1073" s="332"/>
      <c r="BI1073" s="332"/>
      <c r="BJ1073" s="332"/>
      <c r="BK1073" s="332"/>
      <c r="BL1073" s="332"/>
      <c r="BM1073" s="332"/>
      <c r="BN1073" s="332"/>
      <c r="BO1073" s="332"/>
      <c r="BP1073" s="332"/>
      <c r="BQ1073" s="332"/>
      <c r="BR1073" s="332"/>
      <c r="BS1073" s="332"/>
      <c r="BT1073" s="332"/>
      <c r="BU1073" s="332"/>
      <c r="BV1073" s="332"/>
      <c r="BW1073" s="332"/>
      <c r="BX1073" s="332"/>
      <c r="BY1073" s="332"/>
      <c r="BZ1073" s="332"/>
      <c r="CA1073" s="332"/>
      <c r="CB1073" s="332"/>
      <c r="CC1073" s="332"/>
      <c r="CD1073" s="332"/>
      <c r="CE1073" s="332"/>
      <c r="CF1073" s="332"/>
      <c r="CG1073" s="332"/>
      <c r="CH1073" s="332"/>
      <c r="CI1073" s="332"/>
      <c r="CJ1073" s="332"/>
      <c r="CK1073" s="332"/>
      <c r="CL1073" s="332"/>
      <c r="CM1073" s="332"/>
      <c r="CN1073" s="332"/>
      <c r="CO1073" s="332"/>
      <c r="CP1073" s="332"/>
      <c r="CQ1073" s="332"/>
      <c r="CR1073" s="332"/>
      <c r="CS1073" s="332"/>
      <c r="CT1073" s="332"/>
      <c r="CU1073" s="332"/>
      <c r="CV1073" s="332"/>
      <c r="CW1073" s="332"/>
      <c r="CX1073" s="332"/>
      <c r="CY1073" s="332"/>
      <c r="CZ1073" s="332"/>
      <c r="DA1073" s="332"/>
      <c r="DB1073" s="332"/>
      <c r="DC1073" s="332"/>
      <c r="DD1073" s="332"/>
      <c r="DE1073" s="332"/>
      <c r="DF1073" s="332"/>
      <c r="DG1073" s="332"/>
      <c r="DH1073" s="332"/>
      <c r="DI1073" s="332"/>
      <c r="DJ1073" s="332"/>
      <c r="DK1073" s="332"/>
      <c r="DL1073" s="332"/>
      <c r="DM1073" s="332"/>
      <c r="DN1073" s="332"/>
      <c r="DO1073" s="332"/>
      <c r="DP1073" s="332"/>
      <c r="DQ1073" s="332"/>
      <c r="DR1073" s="332"/>
      <c r="DS1073" s="332"/>
      <c r="DT1073" s="332"/>
      <c r="DU1073" s="453"/>
      <c r="DV1073" s="453"/>
      <c r="DW1073" s="453"/>
      <c r="DX1073" s="453"/>
      <c r="DY1073" s="453"/>
      <c r="DZ1073" s="453"/>
      <c r="EA1073" s="453"/>
      <c r="EB1073" s="453"/>
      <c r="EC1073" s="453"/>
      <c r="ED1073" s="453"/>
      <c r="EE1073" s="453"/>
      <c r="EF1073" s="453"/>
      <c r="EG1073" s="453"/>
      <c r="EH1073" s="453"/>
      <c r="EI1073" s="453"/>
      <c r="EJ1073" s="453"/>
      <c r="EK1073" s="453"/>
      <c r="EL1073" s="453"/>
      <c r="EM1073" s="483">
        <f t="shared" si="246"/>
        <v>764</v>
      </c>
      <c r="EN1073" s="485"/>
      <c r="EO1073" s="458"/>
      <c r="EP1073" s="467"/>
      <c r="EQ1073" s="457"/>
      <c r="ER1073" s="808"/>
      <c r="ES1073" s="881">
        <f t="shared" si="247"/>
        <v>0</v>
      </c>
      <c r="ET1073" s="882"/>
      <c r="EU1073" s="883"/>
      <c r="EV1073" s="884">
        <f t="shared" si="248"/>
        <v>0</v>
      </c>
      <c r="EW1073" s="885"/>
      <c r="EX1073" s="885"/>
      <c r="EY1073" s="885"/>
      <c r="EZ1073" s="885"/>
      <c r="FA1073" s="885"/>
      <c r="FB1073" s="885"/>
      <c r="FC1073" s="885"/>
      <c r="FD1073" s="886"/>
      <c r="FE1073" s="551"/>
      <c r="FF1073" s="551"/>
      <c r="FG1073" s="551"/>
      <c r="FH1073" s="551"/>
      <c r="FI1073" s="551"/>
      <c r="FJ1073" s="551"/>
      <c r="FK1073" s="551"/>
      <c r="FL1073" s="555"/>
      <c r="FM1073" s="554"/>
      <c r="FN1073" s="554"/>
      <c r="FO1073" s="554"/>
      <c r="FP1073" s="554"/>
      <c r="FQ1073" s="554"/>
      <c r="FR1073" s="554"/>
      <c r="FS1073" s="554"/>
      <c r="FT1073" s="554"/>
      <c r="FU1073" s="554"/>
      <c r="FV1073" s="554"/>
      <c r="FW1073" s="554"/>
      <c r="FX1073" s="554"/>
      <c r="FY1073" s="554"/>
      <c r="FZ1073" s="554"/>
      <c r="GA1073" s="554"/>
      <c r="GB1073" s="556"/>
      <c r="GC1073" s="370"/>
      <c r="GD1073" s="453"/>
      <c r="GE1073" s="453"/>
      <c r="GF1073" s="453"/>
      <c r="GG1073" s="453"/>
      <c r="GH1073" s="454"/>
      <c r="GI1073" s="453"/>
      <c r="GJ1073" s="453"/>
      <c r="GK1073" s="453"/>
      <c r="GL1073" s="453"/>
      <c r="GM1073" s="453"/>
      <c r="GN1073" s="453"/>
      <c r="GO1073" s="453"/>
      <c r="GP1073" s="453"/>
      <c r="GQ1073" s="453"/>
      <c r="GR1073" s="453"/>
      <c r="GS1073" s="561"/>
      <c r="GT1073" s="475"/>
      <c r="GU1073" s="472"/>
      <c r="GV1073" s="453"/>
      <c r="GW1073" s="453"/>
      <c r="GX1073" s="869"/>
      <c r="GY1073" s="870"/>
      <c r="GZ1073" s="867"/>
      <c r="HA1073" s="868"/>
      <c r="HB1073" s="473"/>
      <c r="HC1073" s="869"/>
      <c r="HD1073" s="870"/>
      <c r="HE1073" s="867"/>
      <c r="HF1073" s="868"/>
      <c r="HG1073" s="473"/>
      <c r="HH1073" s="867"/>
      <c r="HI1073" s="868"/>
      <c r="HJ1073" s="867"/>
      <c r="HK1073" s="868"/>
      <c r="HL1073" s="370"/>
      <c r="HM1073" s="865"/>
      <c r="HN1073" s="866"/>
      <c r="HO1073" s="865"/>
      <c r="HP1073" s="866"/>
      <c r="HQ1073" s="865"/>
      <c r="HR1073" s="866"/>
      <c r="HS1073" s="867"/>
      <c r="HT1073" s="868"/>
      <c r="HU1073" s="489"/>
      <c r="HV1073" s="865"/>
      <c r="HW1073" s="866"/>
    </row>
    <row r="1074" spans="25:231" ht="15" customHeight="1">
      <c r="Y1074" s="332"/>
      <c r="Z1074" s="332"/>
      <c r="AA1074" s="332"/>
      <c r="AB1074" s="332"/>
      <c r="AC1074" s="332"/>
      <c r="AD1074" s="332"/>
      <c r="AE1074" s="332"/>
      <c r="AF1074" s="332"/>
      <c r="AG1074" s="332"/>
      <c r="AH1074" s="332"/>
      <c r="AI1074" s="332"/>
      <c r="AJ1074" s="332"/>
      <c r="AK1074" s="332"/>
      <c r="AL1074" s="332"/>
      <c r="AM1074" s="332"/>
      <c r="AN1074" s="332"/>
      <c r="AO1074" s="332"/>
      <c r="AP1074" s="332"/>
      <c r="AQ1074" s="332"/>
      <c r="AR1074" s="332"/>
      <c r="AS1074" s="332"/>
      <c r="AT1074" s="332"/>
      <c r="AU1074" s="332"/>
      <c r="AV1074" s="332"/>
      <c r="AW1074" s="332"/>
      <c r="AX1074" s="332"/>
      <c r="AY1074" s="332"/>
      <c r="AZ1074" s="332"/>
      <c r="BA1074" s="332"/>
      <c r="BB1074" s="332"/>
      <c r="BC1074" s="332"/>
      <c r="BD1074" s="332"/>
      <c r="BE1074" s="332"/>
      <c r="BF1074" s="332"/>
      <c r="BG1074" s="332"/>
      <c r="BH1074" s="332"/>
      <c r="BI1074" s="332"/>
      <c r="BJ1074" s="332"/>
      <c r="BK1074" s="332"/>
      <c r="BL1074" s="332"/>
      <c r="BM1074" s="332"/>
      <c r="BN1074" s="332"/>
      <c r="BO1074" s="332"/>
      <c r="BP1074" s="332"/>
      <c r="BQ1074" s="332"/>
      <c r="BR1074" s="332"/>
      <c r="BS1074" s="332"/>
      <c r="BT1074" s="332"/>
      <c r="BU1074" s="332"/>
      <c r="BV1074" s="332"/>
      <c r="BW1074" s="332"/>
      <c r="BX1074" s="332"/>
      <c r="BY1074" s="332"/>
      <c r="BZ1074" s="332"/>
      <c r="CA1074" s="332"/>
      <c r="CB1074" s="332"/>
      <c r="CC1074" s="332"/>
      <c r="CD1074" s="332"/>
      <c r="CE1074" s="332"/>
      <c r="CF1074" s="332"/>
      <c r="CG1074" s="332"/>
      <c r="CH1074" s="332"/>
      <c r="CI1074" s="332"/>
      <c r="CJ1074" s="332"/>
      <c r="CK1074" s="332"/>
      <c r="CL1074" s="332"/>
      <c r="CM1074" s="332"/>
      <c r="CN1074" s="332"/>
      <c r="CO1074" s="332"/>
      <c r="CP1074" s="332"/>
      <c r="CQ1074" s="332"/>
      <c r="CR1074" s="332"/>
      <c r="CS1074" s="332"/>
      <c r="CT1074" s="332"/>
      <c r="CU1074" s="332"/>
      <c r="CV1074" s="332"/>
      <c r="CW1074" s="332"/>
      <c r="CX1074" s="332"/>
      <c r="CY1074" s="332"/>
      <c r="CZ1074" s="332"/>
      <c r="DA1074" s="332"/>
      <c r="DB1074" s="332"/>
      <c r="DC1074" s="332"/>
      <c r="DD1074" s="332"/>
      <c r="DE1074" s="332"/>
      <c r="DF1074" s="332"/>
      <c r="DG1074" s="332"/>
      <c r="DH1074" s="332"/>
      <c r="DI1074" s="332"/>
      <c r="DJ1074" s="332"/>
      <c r="DK1074" s="332"/>
      <c r="DL1074" s="332"/>
      <c r="DM1074" s="332"/>
      <c r="DN1074" s="332"/>
      <c r="DO1074" s="332"/>
      <c r="DP1074" s="332"/>
      <c r="DQ1074" s="332"/>
      <c r="DR1074" s="332"/>
      <c r="DS1074" s="332"/>
      <c r="DT1074" s="332"/>
      <c r="DU1074" s="453"/>
      <c r="DV1074" s="453"/>
      <c r="DW1074" s="453"/>
      <c r="DX1074" s="453"/>
      <c r="DY1074" s="453"/>
      <c r="DZ1074" s="453"/>
      <c r="EA1074" s="453"/>
      <c r="EB1074" s="453"/>
      <c r="EC1074" s="453"/>
      <c r="ED1074" s="453"/>
      <c r="EE1074" s="453"/>
      <c r="EF1074" s="453"/>
      <c r="EG1074" s="453"/>
      <c r="EH1074" s="453"/>
      <c r="EI1074" s="453"/>
      <c r="EJ1074" s="453"/>
      <c r="EK1074" s="453"/>
      <c r="EL1074" s="453"/>
      <c r="EM1074" s="483">
        <f t="shared" si="246"/>
        <v>765</v>
      </c>
      <c r="EN1074" s="485"/>
      <c r="EO1074" s="458"/>
      <c r="EP1074" s="467"/>
      <c r="EQ1074" s="457"/>
      <c r="ER1074" s="808"/>
      <c r="ES1074" s="881">
        <f t="shared" si="247"/>
        <v>0</v>
      </c>
      <c r="ET1074" s="882"/>
      <c r="EU1074" s="883"/>
      <c r="EV1074" s="884">
        <f t="shared" si="248"/>
        <v>0</v>
      </c>
      <c r="EW1074" s="885"/>
      <c r="EX1074" s="885"/>
      <c r="EY1074" s="885"/>
      <c r="EZ1074" s="885"/>
      <c r="FA1074" s="885"/>
      <c r="FB1074" s="885"/>
      <c r="FC1074" s="885"/>
      <c r="FD1074" s="886"/>
      <c r="FE1074" s="551"/>
      <c r="FF1074" s="551"/>
      <c r="FG1074" s="551"/>
      <c r="FH1074" s="551"/>
      <c r="FI1074" s="551"/>
      <c r="FJ1074" s="551"/>
      <c r="FK1074" s="551"/>
      <c r="FL1074" s="555"/>
      <c r="FM1074" s="554"/>
      <c r="FN1074" s="554"/>
      <c r="FO1074" s="554"/>
      <c r="FP1074" s="554"/>
      <c r="FQ1074" s="554"/>
      <c r="FR1074" s="554"/>
      <c r="FS1074" s="554"/>
      <c r="FT1074" s="554"/>
      <c r="FU1074" s="554"/>
      <c r="FV1074" s="554"/>
      <c r="FW1074" s="554"/>
      <c r="FX1074" s="554"/>
      <c r="FY1074" s="554"/>
      <c r="FZ1074" s="554"/>
      <c r="GA1074" s="554"/>
      <c r="GB1074" s="556"/>
      <c r="GC1074" s="370"/>
      <c r="GD1074" s="453"/>
      <c r="GE1074" s="453"/>
      <c r="GF1074" s="453"/>
      <c r="GG1074" s="453"/>
      <c r="GH1074" s="454"/>
      <c r="GI1074" s="453"/>
      <c r="GJ1074" s="453"/>
      <c r="GK1074" s="453"/>
      <c r="GL1074" s="453"/>
      <c r="GM1074" s="453"/>
      <c r="GN1074" s="453"/>
      <c r="GO1074" s="453"/>
      <c r="GP1074" s="453"/>
      <c r="GQ1074" s="453"/>
      <c r="GR1074" s="453"/>
      <c r="GS1074" s="561"/>
      <c r="GT1074" s="475"/>
      <c r="GU1074" s="472"/>
      <c r="GV1074" s="453"/>
      <c r="GW1074" s="453"/>
      <c r="GX1074" s="869"/>
      <c r="GY1074" s="870"/>
      <c r="GZ1074" s="867"/>
      <c r="HA1074" s="868"/>
      <c r="HB1074" s="473"/>
      <c r="HC1074" s="869"/>
      <c r="HD1074" s="870"/>
      <c r="HE1074" s="867"/>
      <c r="HF1074" s="868"/>
      <c r="HG1074" s="473"/>
      <c r="HH1074" s="867"/>
      <c r="HI1074" s="868"/>
      <c r="HJ1074" s="867"/>
      <c r="HK1074" s="868"/>
      <c r="HL1074" s="370"/>
      <c r="HM1074" s="865"/>
      <c r="HN1074" s="866"/>
      <c r="HO1074" s="865"/>
      <c r="HP1074" s="866"/>
      <c r="HQ1074" s="865"/>
      <c r="HR1074" s="866"/>
      <c r="HS1074" s="867"/>
      <c r="HT1074" s="868"/>
      <c r="HU1074" s="489"/>
      <c r="HV1074" s="865"/>
      <c r="HW1074" s="866"/>
    </row>
    <row r="1075" spans="25:231" ht="15" customHeight="1">
      <c r="Y1075" s="332"/>
      <c r="Z1075" s="332"/>
      <c r="AA1075" s="332"/>
      <c r="AB1075" s="332"/>
      <c r="AC1075" s="332"/>
      <c r="AD1075" s="332"/>
      <c r="AE1075" s="332"/>
      <c r="AF1075" s="332"/>
      <c r="AG1075" s="332"/>
      <c r="AH1075" s="332"/>
      <c r="AI1075" s="332"/>
      <c r="AJ1075" s="332"/>
      <c r="AK1075" s="332"/>
      <c r="AL1075" s="332"/>
      <c r="AM1075" s="332"/>
      <c r="AN1075" s="332"/>
      <c r="AO1075" s="332"/>
      <c r="AP1075" s="332"/>
      <c r="AQ1075" s="332"/>
      <c r="AR1075" s="332"/>
      <c r="AS1075" s="332"/>
      <c r="AT1075" s="332"/>
      <c r="AU1075" s="332"/>
      <c r="AV1075" s="332"/>
      <c r="AW1075" s="332"/>
      <c r="AX1075" s="332"/>
      <c r="AY1075" s="332"/>
      <c r="AZ1075" s="332"/>
      <c r="BA1075" s="332"/>
      <c r="BB1075" s="332"/>
      <c r="BC1075" s="332"/>
      <c r="BD1075" s="332"/>
      <c r="BE1075" s="332"/>
      <c r="BF1075" s="332"/>
      <c r="BG1075" s="332"/>
      <c r="BH1075" s="332"/>
      <c r="BI1075" s="332"/>
      <c r="BJ1075" s="332"/>
      <c r="BK1075" s="332"/>
      <c r="BL1075" s="332"/>
      <c r="BM1075" s="332"/>
      <c r="BN1075" s="332"/>
      <c r="BO1075" s="332"/>
      <c r="BP1075" s="332"/>
      <c r="BQ1075" s="332"/>
      <c r="BR1075" s="332"/>
      <c r="BS1075" s="332"/>
      <c r="BT1075" s="332"/>
      <c r="BU1075" s="332"/>
      <c r="BV1075" s="332"/>
      <c r="BW1075" s="332"/>
      <c r="BX1075" s="332"/>
      <c r="BY1075" s="332"/>
      <c r="BZ1075" s="332"/>
      <c r="CA1075" s="332"/>
      <c r="CB1075" s="332"/>
      <c r="CC1075" s="332"/>
      <c r="CD1075" s="332"/>
      <c r="CE1075" s="332"/>
      <c r="CF1075" s="332"/>
      <c r="CG1075" s="332"/>
      <c r="CH1075" s="332"/>
      <c r="CI1075" s="332"/>
      <c r="CJ1075" s="332"/>
      <c r="CK1075" s="332"/>
      <c r="CL1075" s="332"/>
      <c r="CM1075" s="332"/>
      <c r="CN1075" s="332"/>
      <c r="CO1075" s="332"/>
      <c r="CP1075" s="332"/>
      <c r="CQ1075" s="332"/>
      <c r="CR1075" s="332"/>
      <c r="CS1075" s="332"/>
      <c r="CT1075" s="332"/>
      <c r="CU1075" s="332"/>
      <c r="CV1075" s="332"/>
      <c r="CW1075" s="332"/>
      <c r="CX1075" s="332"/>
      <c r="CY1075" s="332"/>
      <c r="CZ1075" s="332"/>
      <c r="DA1075" s="332"/>
      <c r="DB1075" s="332"/>
      <c r="DC1075" s="332"/>
      <c r="DD1075" s="332"/>
      <c r="DE1075" s="332"/>
      <c r="DF1075" s="332"/>
      <c r="DG1075" s="332"/>
      <c r="DH1075" s="332"/>
      <c r="DI1075" s="332"/>
      <c r="DJ1075" s="332"/>
      <c r="DK1075" s="332"/>
      <c r="DL1075" s="332"/>
      <c r="DM1075" s="332"/>
      <c r="DN1075" s="332"/>
      <c r="DO1075" s="332"/>
      <c r="DP1075" s="332"/>
      <c r="DQ1075" s="332"/>
      <c r="DR1075" s="332"/>
      <c r="DS1075" s="332"/>
      <c r="DT1075" s="332"/>
      <c r="DU1075" s="453"/>
      <c r="DV1075" s="453"/>
      <c r="DW1075" s="453"/>
      <c r="DX1075" s="453"/>
      <c r="DY1075" s="453"/>
      <c r="DZ1075" s="453"/>
      <c r="EA1075" s="453"/>
      <c r="EB1075" s="453"/>
      <c r="EC1075" s="453"/>
      <c r="ED1075" s="453"/>
      <c r="EE1075" s="453"/>
      <c r="EF1075" s="453"/>
      <c r="EG1075" s="453"/>
      <c r="EH1075" s="453"/>
      <c r="EI1075" s="453"/>
      <c r="EJ1075" s="453"/>
      <c r="EK1075" s="453"/>
      <c r="EL1075" s="453"/>
      <c r="EM1075" s="483">
        <f t="shared" si="246"/>
        <v>766</v>
      </c>
      <c r="EN1075" s="485"/>
      <c r="EO1075" s="458"/>
      <c r="EP1075" s="467"/>
      <c r="EQ1075" s="457"/>
      <c r="ER1075" s="808"/>
      <c r="ES1075" s="881">
        <f t="shared" si="247"/>
        <v>0</v>
      </c>
      <c r="ET1075" s="882"/>
      <c r="EU1075" s="883"/>
      <c r="EV1075" s="884">
        <f t="shared" si="248"/>
        <v>0</v>
      </c>
      <c r="EW1075" s="885"/>
      <c r="EX1075" s="885"/>
      <c r="EY1075" s="885"/>
      <c r="EZ1075" s="885"/>
      <c r="FA1075" s="885"/>
      <c r="FB1075" s="885"/>
      <c r="FC1075" s="885"/>
      <c r="FD1075" s="886"/>
      <c r="FE1075" s="551"/>
      <c r="FF1075" s="551"/>
      <c r="FG1075" s="551"/>
      <c r="FH1075" s="551"/>
      <c r="FI1075" s="551"/>
      <c r="FJ1075" s="551"/>
      <c r="FK1075" s="551"/>
      <c r="FL1075" s="555"/>
      <c r="FM1075" s="554"/>
      <c r="FN1075" s="554"/>
      <c r="FO1075" s="554"/>
      <c r="FP1075" s="554"/>
      <c r="FQ1075" s="554"/>
      <c r="FR1075" s="554"/>
      <c r="FS1075" s="554"/>
      <c r="FT1075" s="554"/>
      <c r="FU1075" s="554"/>
      <c r="FV1075" s="554"/>
      <c r="FW1075" s="554"/>
      <c r="FX1075" s="554"/>
      <c r="FY1075" s="554"/>
      <c r="FZ1075" s="554"/>
      <c r="GA1075" s="554"/>
      <c r="GB1075" s="556"/>
      <c r="GC1075" s="370"/>
      <c r="GD1075" s="453"/>
      <c r="GE1075" s="453"/>
      <c r="GF1075" s="453"/>
      <c r="GG1075" s="453"/>
      <c r="GH1075" s="454"/>
      <c r="GI1075" s="453"/>
      <c r="GJ1075" s="453"/>
      <c r="GK1075" s="453"/>
      <c r="GL1075" s="453"/>
      <c r="GM1075" s="453"/>
      <c r="GN1075" s="453"/>
      <c r="GO1075" s="453"/>
      <c r="GP1075" s="453"/>
      <c r="GQ1075" s="453"/>
      <c r="GR1075" s="453"/>
      <c r="GS1075" s="561"/>
      <c r="GT1075" s="475"/>
      <c r="GU1075" s="472"/>
      <c r="GV1075" s="453"/>
      <c r="GW1075" s="453"/>
      <c r="GX1075" s="869"/>
      <c r="GY1075" s="870"/>
      <c r="GZ1075" s="867"/>
      <c r="HA1075" s="868"/>
      <c r="HB1075" s="473"/>
      <c r="HC1075" s="869"/>
      <c r="HD1075" s="870"/>
      <c r="HE1075" s="867"/>
      <c r="HF1075" s="868"/>
      <c r="HG1075" s="473"/>
      <c r="HH1075" s="867"/>
      <c r="HI1075" s="868"/>
      <c r="HJ1075" s="867"/>
      <c r="HK1075" s="868"/>
      <c r="HL1075" s="370"/>
      <c r="HM1075" s="865"/>
      <c r="HN1075" s="866"/>
      <c r="HO1075" s="865"/>
      <c r="HP1075" s="866"/>
      <c r="HQ1075" s="865"/>
      <c r="HR1075" s="866"/>
      <c r="HS1075" s="867"/>
      <c r="HT1075" s="868"/>
      <c r="HU1075" s="489"/>
      <c r="HV1075" s="865"/>
      <c r="HW1075" s="866"/>
    </row>
    <row r="1076" spans="25:231" ht="15" customHeight="1">
      <c r="Y1076" s="332"/>
      <c r="Z1076" s="332"/>
      <c r="AA1076" s="332"/>
      <c r="AB1076" s="332"/>
      <c r="AC1076" s="332"/>
      <c r="AD1076" s="332"/>
      <c r="AE1076" s="332"/>
      <c r="AF1076" s="332"/>
      <c r="AG1076" s="332"/>
      <c r="AH1076" s="332"/>
      <c r="AI1076" s="332"/>
      <c r="AJ1076" s="332"/>
      <c r="AK1076" s="332"/>
      <c r="AL1076" s="332"/>
      <c r="AM1076" s="332"/>
      <c r="AN1076" s="332"/>
      <c r="AO1076" s="332"/>
      <c r="AP1076" s="332"/>
      <c r="AQ1076" s="332"/>
      <c r="AR1076" s="332"/>
      <c r="AS1076" s="332"/>
      <c r="AT1076" s="332"/>
      <c r="AU1076" s="332"/>
      <c r="AV1076" s="332"/>
      <c r="AW1076" s="332"/>
      <c r="AX1076" s="332"/>
      <c r="AY1076" s="332"/>
      <c r="AZ1076" s="332"/>
      <c r="BA1076" s="332"/>
      <c r="BB1076" s="332"/>
      <c r="BC1076" s="332"/>
      <c r="BD1076" s="332"/>
      <c r="BE1076" s="332"/>
      <c r="BF1076" s="332"/>
      <c r="BG1076" s="332"/>
      <c r="BH1076" s="332"/>
      <c r="BI1076" s="332"/>
      <c r="BJ1076" s="332"/>
      <c r="BK1076" s="332"/>
      <c r="BL1076" s="332"/>
      <c r="BM1076" s="332"/>
      <c r="BN1076" s="332"/>
      <c r="BO1076" s="332"/>
      <c r="BP1076" s="332"/>
      <c r="BQ1076" s="332"/>
      <c r="BR1076" s="332"/>
      <c r="BS1076" s="332"/>
      <c r="BT1076" s="332"/>
      <c r="BU1076" s="332"/>
      <c r="BV1076" s="332"/>
      <c r="BW1076" s="332"/>
      <c r="BX1076" s="332"/>
      <c r="BY1076" s="332"/>
      <c r="BZ1076" s="332"/>
      <c r="CA1076" s="332"/>
      <c r="CB1076" s="332"/>
      <c r="CC1076" s="332"/>
      <c r="CD1076" s="332"/>
      <c r="CE1076" s="332"/>
      <c r="CF1076" s="332"/>
      <c r="CG1076" s="332"/>
      <c r="CH1076" s="332"/>
      <c r="CI1076" s="332"/>
      <c r="CJ1076" s="332"/>
      <c r="CK1076" s="332"/>
      <c r="CL1076" s="332"/>
      <c r="CM1076" s="332"/>
      <c r="CN1076" s="332"/>
      <c r="CO1076" s="332"/>
      <c r="CP1076" s="332"/>
      <c r="CQ1076" s="332"/>
      <c r="CR1076" s="332"/>
      <c r="CS1076" s="332"/>
      <c r="CT1076" s="332"/>
      <c r="CU1076" s="332"/>
      <c r="CV1076" s="332"/>
      <c r="CW1076" s="332"/>
      <c r="CX1076" s="332"/>
      <c r="CY1076" s="332"/>
      <c r="CZ1076" s="332"/>
      <c r="DA1076" s="332"/>
      <c r="DB1076" s="332"/>
      <c r="DC1076" s="332"/>
      <c r="DD1076" s="332"/>
      <c r="DE1076" s="332"/>
      <c r="DF1076" s="332"/>
      <c r="DG1076" s="332"/>
      <c r="DH1076" s="332"/>
      <c r="DI1076" s="332"/>
      <c r="DJ1076" s="332"/>
      <c r="DK1076" s="332"/>
      <c r="DL1076" s="332"/>
      <c r="DM1076" s="332"/>
      <c r="DN1076" s="332"/>
      <c r="DO1076" s="332"/>
      <c r="DP1076" s="332"/>
      <c r="DQ1076" s="332"/>
      <c r="DR1076" s="332"/>
      <c r="DS1076" s="332"/>
      <c r="DT1076" s="332"/>
      <c r="DU1076" s="453"/>
      <c r="DV1076" s="453"/>
      <c r="DW1076" s="453"/>
      <c r="DX1076" s="453"/>
      <c r="DY1076" s="453"/>
      <c r="DZ1076" s="453"/>
      <c r="EA1076" s="453"/>
      <c r="EB1076" s="453"/>
      <c r="EC1076" s="453"/>
      <c r="ED1076" s="453"/>
      <c r="EE1076" s="453"/>
      <c r="EF1076" s="453"/>
      <c r="EG1076" s="453"/>
      <c r="EH1076" s="453"/>
      <c r="EI1076" s="453"/>
      <c r="EJ1076" s="453"/>
      <c r="EK1076" s="453"/>
      <c r="EL1076" s="453"/>
      <c r="EM1076" s="483">
        <f t="shared" si="246"/>
        <v>767</v>
      </c>
      <c r="EN1076" s="485"/>
      <c r="EO1076" s="458"/>
      <c r="EP1076" s="467"/>
      <c r="EQ1076" s="457"/>
      <c r="ER1076" s="808"/>
      <c r="ES1076" s="881">
        <f t="shared" si="247"/>
        <v>0</v>
      </c>
      <c r="ET1076" s="882"/>
      <c r="EU1076" s="883"/>
      <c r="EV1076" s="884">
        <f t="shared" si="248"/>
        <v>0</v>
      </c>
      <c r="EW1076" s="885"/>
      <c r="EX1076" s="885"/>
      <c r="EY1076" s="885"/>
      <c r="EZ1076" s="885"/>
      <c r="FA1076" s="885"/>
      <c r="FB1076" s="885"/>
      <c r="FC1076" s="885"/>
      <c r="FD1076" s="886"/>
      <c r="FE1076" s="551"/>
      <c r="FF1076" s="551"/>
      <c r="FG1076" s="551"/>
      <c r="FH1076" s="551"/>
      <c r="FI1076" s="551"/>
      <c r="FJ1076" s="551"/>
      <c r="FK1076" s="551"/>
      <c r="FL1076" s="555"/>
      <c r="FM1076" s="554"/>
      <c r="FN1076" s="554"/>
      <c r="FO1076" s="554"/>
      <c r="FP1076" s="554"/>
      <c r="FQ1076" s="554"/>
      <c r="FR1076" s="554"/>
      <c r="FS1076" s="554"/>
      <c r="FT1076" s="554"/>
      <c r="FU1076" s="554"/>
      <c r="FV1076" s="554"/>
      <c r="FW1076" s="554"/>
      <c r="FX1076" s="554"/>
      <c r="FY1076" s="554"/>
      <c r="FZ1076" s="554"/>
      <c r="GA1076" s="554"/>
      <c r="GB1076" s="556"/>
      <c r="GC1076" s="370"/>
      <c r="GD1076" s="453"/>
      <c r="GE1076" s="453"/>
      <c r="GF1076" s="453"/>
      <c r="GG1076" s="453"/>
      <c r="GH1076" s="454"/>
      <c r="GI1076" s="453"/>
      <c r="GJ1076" s="453"/>
      <c r="GK1076" s="453"/>
      <c r="GL1076" s="453"/>
      <c r="GM1076" s="453"/>
      <c r="GN1076" s="453"/>
      <c r="GO1076" s="453"/>
      <c r="GP1076" s="453"/>
      <c r="GQ1076" s="453"/>
      <c r="GR1076" s="453"/>
      <c r="GS1076" s="561"/>
      <c r="GT1076" s="475"/>
      <c r="GU1076" s="472"/>
      <c r="GV1076" s="453"/>
      <c r="GW1076" s="453"/>
      <c r="GX1076" s="869"/>
      <c r="GY1076" s="870"/>
      <c r="GZ1076" s="867"/>
      <c r="HA1076" s="868"/>
      <c r="HB1076" s="473"/>
      <c r="HC1076" s="869"/>
      <c r="HD1076" s="870"/>
      <c r="HE1076" s="867"/>
      <c r="HF1076" s="868"/>
      <c r="HG1076" s="473"/>
      <c r="HH1076" s="867"/>
      <c r="HI1076" s="868"/>
      <c r="HJ1076" s="867"/>
      <c r="HK1076" s="868"/>
      <c r="HL1076" s="370"/>
      <c r="HM1076" s="865"/>
      <c r="HN1076" s="866"/>
      <c r="HO1076" s="865"/>
      <c r="HP1076" s="866"/>
      <c r="HQ1076" s="865"/>
      <c r="HR1076" s="866"/>
      <c r="HS1076" s="867"/>
      <c r="HT1076" s="868"/>
      <c r="HU1076" s="489"/>
      <c r="HV1076" s="865"/>
      <c r="HW1076" s="866"/>
    </row>
    <row r="1077" spans="25:231" ht="15" customHeight="1">
      <c r="Y1077" s="332"/>
      <c r="Z1077" s="332"/>
      <c r="AA1077" s="332"/>
      <c r="AB1077" s="332"/>
      <c r="AC1077" s="332"/>
      <c r="AD1077" s="332"/>
      <c r="AE1077" s="332"/>
      <c r="AF1077" s="332"/>
      <c r="AG1077" s="332"/>
      <c r="AH1077" s="332"/>
      <c r="AI1077" s="332"/>
      <c r="AJ1077" s="332"/>
      <c r="AK1077" s="332"/>
      <c r="AL1077" s="332"/>
      <c r="AM1077" s="332"/>
      <c r="AN1077" s="332"/>
      <c r="AO1077" s="332"/>
      <c r="AP1077" s="332"/>
      <c r="AQ1077" s="332"/>
      <c r="AR1077" s="332"/>
      <c r="AS1077" s="332"/>
      <c r="AT1077" s="332"/>
      <c r="AU1077" s="332"/>
      <c r="AV1077" s="332"/>
      <c r="AW1077" s="332"/>
      <c r="AX1077" s="332"/>
      <c r="AY1077" s="332"/>
      <c r="AZ1077" s="332"/>
      <c r="BA1077" s="332"/>
      <c r="BB1077" s="332"/>
      <c r="BC1077" s="332"/>
      <c r="BD1077" s="332"/>
      <c r="BE1077" s="332"/>
      <c r="BF1077" s="332"/>
      <c r="BG1077" s="332"/>
      <c r="BH1077" s="332"/>
      <c r="BI1077" s="332"/>
      <c r="BJ1077" s="332"/>
      <c r="BK1077" s="332"/>
      <c r="BL1077" s="332"/>
      <c r="BM1077" s="332"/>
      <c r="BN1077" s="332"/>
      <c r="BO1077" s="332"/>
      <c r="BP1077" s="332"/>
      <c r="BQ1077" s="332"/>
      <c r="BR1077" s="332"/>
      <c r="BS1077" s="332"/>
      <c r="BT1077" s="332"/>
      <c r="BU1077" s="332"/>
      <c r="BV1077" s="332"/>
      <c r="BW1077" s="332"/>
      <c r="BX1077" s="332"/>
      <c r="BY1077" s="332"/>
      <c r="BZ1077" s="332"/>
      <c r="CA1077" s="332"/>
      <c r="CB1077" s="332"/>
      <c r="CC1077" s="332"/>
      <c r="CD1077" s="332"/>
      <c r="CE1077" s="332"/>
      <c r="CF1077" s="332"/>
      <c r="CG1077" s="332"/>
      <c r="CH1077" s="332"/>
      <c r="CI1077" s="332"/>
      <c r="CJ1077" s="332"/>
      <c r="CK1077" s="332"/>
      <c r="CL1077" s="332"/>
      <c r="CM1077" s="332"/>
      <c r="CN1077" s="332"/>
      <c r="CO1077" s="332"/>
      <c r="CP1077" s="332"/>
      <c r="CQ1077" s="332"/>
      <c r="CR1077" s="332"/>
      <c r="CS1077" s="332"/>
      <c r="CT1077" s="332"/>
      <c r="CU1077" s="332"/>
      <c r="CV1077" s="332"/>
      <c r="CW1077" s="332"/>
      <c r="CX1077" s="332"/>
      <c r="CY1077" s="332"/>
      <c r="CZ1077" s="332"/>
      <c r="DA1077" s="332"/>
      <c r="DB1077" s="332"/>
      <c r="DC1077" s="332"/>
      <c r="DD1077" s="332"/>
      <c r="DE1077" s="332"/>
      <c r="DF1077" s="332"/>
      <c r="DG1077" s="332"/>
      <c r="DH1077" s="332"/>
      <c r="DI1077" s="332"/>
      <c r="DJ1077" s="332"/>
      <c r="DK1077" s="332"/>
      <c r="DL1077" s="332"/>
      <c r="DM1077" s="332"/>
      <c r="DN1077" s="332"/>
      <c r="DO1077" s="332"/>
      <c r="DP1077" s="332"/>
      <c r="DQ1077" s="332"/>
      <c r="DR1077" s="332"/>
      <c r="DS1077" s="332"/>
      <c r="DT1077" s="332"/>
      <c r="DU1077" s="453"/>
      <c r="DV1077" s="453"/>
      <c r="DW1077" s="453"/>
      <c r="DX1077" s="453"/>
      <c r="DY1077" s="453"/>
      <c r="DZ1077" s="453"/>
      <c r="EA1077" s="453"/>
      <c r="EB1077" s="453"/>
      <c r="EC1077" s="453"/>
      <c r="ED1077" s="453"/>
      <c r="EE1077" s="453"/>
      <c r="EF1077" s="453"/>
      <c r="EG1077" s="453"/>
      <c r="EH1077" s="453"/>
      <c r="EI1077" s="453"/>
      <c r="EJ1077" s="453"/>
      <c r="EK1077" s="453"/>
      <c r="EL1077" s="453"/>
      <c r="EM1077" s="483">
        <f t="shared" si="246"/>
        <v>768</v>
      </c>
      <c r="EN1077" s="485"/>
      <c r="EO1077" s="458"/>
      <c r="EP1077" s="467"/>
      <c r="EQ1077" s="457"/>
      <c r="ER1077" s="808"/>
      <c r="ES1077" s="881">
        <f t="shared" si="247"/>
        <v>0</v>
      </c>
      <c r="ET1077" s="882"/>
      <c r="EU1077" s="883"/>
      <c r="EV1077" s="884">
        <f t="shared" si="248"/>
        <v>0</v>
      </c>
      <c r="EW1077" s="885"/>
      <c r="EX1077" s="885"/>
      <c r="EY1077" s="885"/>
      <c r="EZ1077" s="885"/>
      <c r="FA1077" s="885"/>
      <c r="FB1077" s="885"/>
      <c r="FC1077" s="885"/>
      <c r="FD1077" s="886"/>
      <c r="FE1077" s="551"/>
      <c r="FF1077" s="551"/>
      <c r="FG1077" s="551"/>
      <c r="FH1077" s="551"/>
      <c r="FI1077" s="551"/>
      <c r="FJ1077" s="551"/>
      <c r="FK1077" s="551"/>
      <c r="FL1077" s="555"/>
      <c r="FM1077" s="554"/>
      <c r="FN1077" s="554"/>
      <c r="FO1077" s="554"/>
      <c r="FP1077" s="554"/>
      <c r="FQ1077" s="554"/>
      <c r="FR1077" s="554"/>
      <c r="FS1077" s="554"/>
      <c r="FT1077" s="554"/>
      <c r="FU1077" s="554"/>
      <c r="FV1077" s="554"/>
      <c r="FW1077" s="554"/>
      <c r="FX1077" s="554"/>
      <c r="FY1077" s="554"/>
      <c r="FZ1077" s="554"/>
      <c r="GA1077" s="554"/>
      <c r="GB1077" s="556"/>
      <c r="GC1077" s="370"/>
      <c r="GD1077" s="453"/>
      <c r="GE1077" s="453"/>
      <c r="GF1077" s="453"/>
      <c r="GG1077" s="453"/>
      <c r="GH1077" s="454"/>
      <c r="GI1077" s="453"/>
      <c r="GJ1077" s="453"/>
      <c r="GK1077" s="453"/>
      <c r="GL1077" s="453"/>
      <c r="GM1077" s="453"/>
      <c r="GN1077" s="453"/>
      <c r="GO1077" s="453"/>
      <c r="GP1077" s="453"/>
      <c r="GQ1077" s="453"/>
      <c r="GR1077" s="453"/>
      <c r="GS1077" s="561"/>
      <c r="GT1077" s="475"/>
      <c r="GU1077" s="472"/>
      <c r="GV1077" s="453"/>
      <c r="GW1077" s="453"/>
      <c r="GX1077" s="869"/>
      <c r="GY1077" s="870"/>
      <c r="GZ1077" s="867"/>
      <c r="HA1077" s="868"/>
      <c r="HB1077" s="473"/>
      <c r="HC1077" s="869"/>
      <c r="HD1077" s="870"/>
      <c r="HE1077" s="867"/>
      <c r="HF1077" s="868"/>
      <c r="HG1077" s="473"/>
      <c r="HH1077" s="867"/>
      <c r="HI1077" s="868"/>
      <c r="HJ1077" s="867"/>
      <c r="HK1077" s="868"/>
      <c r="HL1077" s="370"/>
      <c r="HM1077" s="865"/>
      <c r="HN1077" s="866"/>
      <c r="HO1077" s="865"/>
      <c r="HP1077" s="866"/>
      <c r="HQ1077" s="865"/>
      <c r="HR1077" s="866"/>
      <c r="HS1077" s="867"/>
      <c r="HT1077" s="868"/>
      <c r="HU1077" s="489"/>
      <c r="HV1077" s="865"/>
      <c r="HW1077" s="866"/>
    </row>
    <row r="1078" spans="25:231" ht="15" customHeight="1">
      <c r="Y1078" s="332"/>
      <c r="Z1078" s="332"/>
      <c r="AA1078" s="332"/>
      <c r="AB1078" s="332"/>
      <c r="AC1078" s="332"/>
      <c r="AD1078" s="332"/>
      <c r="AE1078" s="332"/>
      <c r="AF1078" s="332"/>
      <c r="AG1078" s="332"/>
      <c r="AH1078" s="332"/>
      <c r="AI1078" s="332"/>
      <c r="AJ1078" s="332"/>
      <c r="AK1078" s="332"/>
      <c r="AL1078" s="332"/>
      <c r="AM1078" s="332"/>
      <c r="AN1078" s="332"/>
      <c r="AO1078" s="332"/>
      <c r="AP1078" s="332"/>
      <c r="AQ1078" s="332"/>
      <c r="AR1078" s="332"/>
      <c r="AS1078" s="332"/>
      <c r="AT1078" s="332"/>
      <c r="AU1078" s="332"/>
      <c r="AV1078" s="332"/>
      <c r="AW1078" s="332"/>
      <c r="AX1078" s="332"/>
      <c r="AY1078" s="332"/>
      <c r="AZ1078" s="332"/>
      <c r="BA1078" s="332"/>
      <c r="BB1078" s="332"/>
      <c r="BC1078" s="332"/>
      <c r="BD1078" s="332"/>
      <c r="BE1078" s="332"/>
      <c r="BF1078" s="332"/>
      <c r="BG1078" s="332"/>
      <c r="BH1078" s="332"/>
      <c r="BI1078" s="332"/>
      <c r="BJ1078" s="332"/>
      <c r="BK1078" s="332"/>
      <c r="BL1078" s="332"/>
      <c r="BM1078" s="332"/>
      <c r="BN1078" s="332"/>
      <c r="BO1078" s="332"/>
      <c r="BP1078" s="332"/>
      <c r="BQ1078" s="332"/>
      <c r="BR1078" s="332"/>
      <c r="BS1078" s="332"/>
      <c r="BT1078" s="332"/>
      <c r="BU1078" s="332"/>
      <c r="BV1078" s="332"/>
      <c r="BW1078" s="332"/>
      <c r="BX1078" s="332"/>
      <c r="BY1078" s="332"/>
      <c r="BZ1078" s="332"/>
      <c r="CA1078" s="332"/>
      <c r="CB1078" s="332"/>
      <c r="CC1078" s="332"/>
      <c r="CD1078" s="332"/>
      <c r="CE1078" s="332"/>
      <c r="CF1078" s="332"/>
      <c r="CG1078" s="332"/>
      <c r="CH1078" s="332"/>
      <c r="CI1078" s="332"/>
      <c r="CJ1078" s="332"/>
      <c r="CK1078" s="332"/>
      <c r="CL1078" s="332"/>
      <c r="CM1078" s="332"/>
      <c r="CN1078" s="332"/>
      <c r="CO1078" s="332"/>
      <c r="CP1078" s="332"/>
      <c r="CQ1078" s="332"/>
      <c r="CR1078" s="332"/>
      <c r="CS1078" s="332"/>
      <c r="CT1078" s="332"/>
      <c r="CU1078" s="332"/>
      <c r="CV1078" s="332"/>
      <c r="CW1078" s="332"/>
      <c r="CX1078" s="332"/>
      <c r="CY1078" s="332"/>
      <c r="CZ1078" s="332"/>
      <c r="DA1078" s="332"/>
      <c r="DB1078" s="332"/>
      <c r="DC1078" s="332"/>
      <c r="DD1078" s="332"/>
      <c r="DE1078" s="332"/>
      <c r="DF1078" s="332"/>
      <c r="DG1078" s="332"/>
      <c r="DH1078" s="332"/>
      <c r="DI1078" s="332"/>
      <c r="DJ1078" s="332"/>
      <c r="DK1078" s="332"/>
      <c r="DL1078" s="332"/>
      <c r="DM1078" s="332"/>
      <c r="DN1078" s="332"/>
      <c r="DO1078" s="332"/>
      <c r="DP1078" s="332"/>
      <c r="DQ1078" s="332"/>
      <c r="DR1078" s="332"/>
      <c r="DS1078" s="332"/>
      <c r="DT1078" s="332"/>
      <c r="DU1078" s="453"/>
      <c r="DV1078" s="453"/>
      <c r="DW1078" s="453"/>
      <c r="DX1078" s="453"/>
      <c r="DY1078" s="453"/>
      <c r="DZ1078" s="453"/>
      <c r="EA1078" s="453"/>
      <c r="EB1078" s="453"/>
      <c r="EC1078" s="453"/>
      <c r="ED1078" s="453"/>
      <c r="EE1078" s="453"/>
      <c r="EF1078" s="453"/>
      <c r="EG1078" s="453"/>
      <c r="EH1078" s="453"/>
      <c r="EI1078" s="453"/>
      <c r="EJ1078" s="453"/>
      <c r="EK1078" s="453"/>
      <c r="EL1078" s="453"/>
      <c r="EM1078" s="483">
        <f t="shared" si="246"/>
        <v>769</v>
      </c>
      <c r="EN1078" s="485"/>
      <c r="EO1078" s="458"/>
      <c r="EP1078" s="467"/>
      <c r="EQ1078" s="457"/>
      <c r="ER1078" s="808"/>
      <c r="ES1078" s="881">
        <f t="shared" si="247"/>
        <v>0</v>
      </c>
      <c r="ET1078" s="882"/>
      <c r="EU1078" s="883"/>
      <c r="EV1078" s="884">
        <f t="shared" si="248"/>
        <v>0</v>
      </c>
      <c r="EW1078" s="885"/>
      <c r="EX1078" s="885"/>
      <c r="EY1078" s="885"/>
      <c r="EZ1078" s="885"/>
      <c r="FA1078" s="885"/>
      <c r="FB1078" s="885"/>
      <c r="FC1078" s="885"/>
      <c r="FD1078" s="886"/>
      <c r="FE1078" s="551"/>
      <c r="FF1078" s="551"/>
      <c r="FG1078" s="551"/>
      <c r="FH1078" s="551"/>
      <c r="FI1078" s="551"/>
      <c r="FJ1078" s="551"/>
      <c r="FK1078" s="551"/>
      <c r="FL1078" s="555"/>
      <c r="FM1078" s="554"/>
      <c r="FN1078" s="554"/>
      <c r="FO1078" s="554"/>
      <c r="FP1078" s="554"/>
      <c r="FQ1078" s="554"/>
      <c r="FR1078" s="554"/>
      <c r="FS1078" s="554"/>
      <c r="FT1078" s="554"/>
      <c r="FU1078" s="554"/>
      <c r="FV1078" s="554"/>
      <c r="FW1078" s="554"/>
      <c r="FX1078" s="554"/>
      <c r="FY1078" s="554"/>
      <c r="FZ1078" s="554"/>
      <c r="GA1078" s="554"/>
      <c r="GB1078" s="556"/>
      <c r="GC1078" s="370"/>
      <c r="GD1078" s="453"/>
      <c r="GE1078" s="453"/>
      <c r="GF1078" s="453"/>
      <c r="GG1078" s="453"/>
      <c r="GH1078" s="454"/>
      <c r="GI1078" s="453"/>
      <c r="GJ1078" s="453"/>
      <c r="GK1078" s="453"/>
      <c r="GL1078" s="453"/>
      <c r="GM1078" s="453"/>
      <c r="GN1078" s="453"/>
      <c r="GO1078" s="453"/>
      <c r="GP1078" s="453"/>
      <c r="GQ1078" s="453"/>
      <c r="GR1078" s="453"/>
      <c r="GS1078" s="561"/>
      <c r="GT1078" s="475"/>
      <c r="GU1078" s="472"/>
      <c r="GV1078" s="453"/>
      <c r="GW1078" s="453"/>
      <c r="GX1078" s="869"/>
      <c r="GY1078" s="870"/>
      <c r="GZ1078" s="867"/>
      <c r="HA1078" s="868"/>
      <c r="HB1078" s="473"/>
      <c r="HC1078" s="869"/>
      <c r="HD1078" s="870"/>
      <c r="HE1078" s="867"/>
      <c r="HF1078" s="868"/>
      <c r="HG1078" s="473"/>
      <c r="HH1078" s="867"/>
      <c r="HI1078" s="868"/>
      <c r="HJ1078" s="867"/>
      <c r="HK1078" s="868"/>
      <c r="HL1078" s="370"/>
      <c r="HM1078" s="865"/>
      <c r="HN1078" s="866"/>
      <c r="HO1078" s="865"/>
      <c r="HP1078" s="866"/>
      <c r="HQ1078" s="865"/>
      <c r="HR1078" s="866"/>
      <c r="HS1078" s="867"/>
      <c r="HT1078" s="868"/>
      <c r="HU1078" s="489"/>
      <c r="HV1078" s="865"/>
      <c r="HW1078" s="866"/>
    </row>
    <row r="1079" spans="25:231" ht="15" customHeight="1">
      <c r="Y1079" s="332"/>
      <c r="Z1079" s="332"/>
      <c r="AA1079" s="332"/>
      <c r="AB1079" s="332"/>
      <c r="AC1079" s="332"/>
      <c r="AD1079" s="332"/>
      <c r="AE1079" s="332"/>
      <c r="AF1079" s="332"/>
      <c r="AG1079" s="332"/>
      <c r="AH1079" s="332"/>
      <c r="AI1079" s="332"/>
      <c r="AJ1079" s="332"/>
      <c r="AK1079" s="332"/>
      <c r="AL1079" s="332"/>
      <c r="AM1079" s="332"/>
      <c r="AN1079" s="332"/>
      <c r="AO1079" s="332"/>
      <c r="AP1079" s="332"/>
      <c r="AQ1079" s="332"/>
      <c r="AR1079" s="332"/>
      <c r="AS1079" s="332"/>
      <c r="AT1079" s="332"/>
      <c r="AU1079" s="332"/>
      <c r="AV1079" s="332"/>
      <c r="AW1079" s="332"/>
      <c r="AX1079" s="332"/>
      <c r="AY1079" s="332"/>
      <c r="AZ1079" s="332"/>
      <c r="BA1079" s="332"/>
      <c r="BB1079" s="332"/>
      <c r="BC1079" s="332"/>
      <c r="BD1079" s="332"/>
      <c r="BE1079" s="332"/>
      <c r="BF1079" s="332"/>
      <c r="BG1079" s="332"/>
      <c r="BH1079" s="332"/>
      <c r="BI1079" s="332"/>
      <c r="BJ1079" s="332"/>
      <c r="BK1079" s="332"/>
      <c r="BL1079" s="332"/>
      <c r="BM1079" s="332"/>
      <c r="BN1079" s="332"/>
      <c r="BO1079" s="332"/>
      <c r="BP1079" s="332"/>
      <c r="BQ1079" s="332"/>
      <c r="BR1079" s="332"/>
      <c r="BS1079" s="332"/>
      <c r="BT1079" s="332"/>
      <c r="BU1079" s="332"/>
      <c r="BV1079" s="332"/>
      <c r="BW1079" s="332"/>
      <c r="BX1079" s="332"/>
      <c r="BY1079" s="332"/>
      <c r="BZ1079" s="332"/>
      <c r="CA1079" s="332"/>
      <c r="CB1079" s="332"/>
      <c r="CC1079" s="332"/>
      <c r="CD1079" s="332"/>
      <c r="CE1079" s="332"/>
      <c r="CF1079" s="332"/>
      <c r="CG1079" s="332"/>
      <c r="CH1079" s="332"/>
      <c r="CI1079" s="332"/>
      <c r="CJ1079" s="332"/>
      <c r="CK1079" s="332"/>
      <c r="CL1079" s="332"/>
      <c r="CM1079" s="332"/>
      <c r="CN1079" s="332"/>
      <c r="CO1079" s="332"/>
      <c r="CP1079" s="332"/>
      <c r="CQ1079" s="332"/>
      <c r="CR1079" s="332"/>
      <c r="CS1079" s="332"/>
      <c r="CT1079" s="332"/>
      <c r="CU1079" s="332"/>
      <c r="CV1079" s="332"/>
      <c r="CW1079" s="332"/>
      <c r="CX1079" s="332"/>
      <c r="CY1079" s="332"/>
      <c r="CZ1079" s="332"/>
      <c r="DA1079" s="332"/>
      <c r="DB1079" s="332"/>
      <c r="DC1079" s="332"/>
      <c r="DD1079" s="332"/>
      <c r="DE1079" s="332"/>
      <c r="DF1079" s="332"/>
      <c r="DG1079" s="332"/>
      <c r="DH1079" s="332"/>
      <c r="DI1079" s="332"/>
      <c r="DJ1079" s="332"/>
      <c r="DK1079" s="332"/>
      <c r="DL1079" s="332"/>
      <c r="DM1079" s="332"/>
      <c r="DN1079" s="332"/>
      <c r="DO1079" s="332"/>
      <c r="DP1079" s="332"/>
      <c r="DQ1079" s="332"/>
      <c r="DR1079" s="332"/>
      <c r="DS1079" s="332"/>
      <c r="DT1079" s="332"/>
      <c r="DU1079" s="453"/>
      <c r="DV1079" s="453"/>
      <c r="DW1079" s="453"/>
      <c r="DX1079" s="453"/>
      <c r="DY1079" s="453"/>
      <c r="DZ1079" s="453"/>
      <c r="EA1079" s="453"/>
      <c r="EB1079" s="453"/>
      <c r="EC1079" s="453"/>
      <c r="ED1079" s="453"/>
      <c r="EE1079" s="453"/>
      <c r="EF1079" s="453"/>
      <c r="EG1079" s="453"/>
      <c r="EH1079" s="453"/>
      <c r="EI1079" s="453"/>
      <c r="EJ1079" s="453"/>
      <c r="EK1079" s="453"/>
      <c r="EL1079" s="453"/>
      <c r="EM1079" s="483">
        <f t="shared" si="246"/>
        <v>770</v>
      </c>
      <c r="EN1079" s="485"/>
      <c r="EO1079" s="458"/>
      <c r="EP1079" s="467"/>
      <c r="EQ1079" s="457"/>
      <c r="ER1079" s="808"/>
      <c r="ES1079" s="881">
        <f t="shared" si="247"/>
        <v>0</v>
      </c>
      <c r="ET1079" s="882"/>
      <c r="EU1079" s="883"/>
      <c r="EV1079" s="884">
        <f t="shared" si="248"/>
        <v>0</v>
      </c>
      <c r="EW1079" s="885"/>
      <c r="EX1079" s="885"/>
      <c r="EY1079" s="885"/>
      <c r="EZ1079" s="885"/>
      <c r="FA1079" s="885"/>
      <c r="FB1079" s="885"/>
      <c r="FC1079" s="885"/>
      <c r="FD1079" s="886"/>
      <c r="FE1079" s="551"/>
      <c r="FF1079" s="551"/>
      <c r="FG1079" s="551"/>
      <c r="FH1079" s="551"/>
      <c r="FI1079" s="551"/>
      <c r="FJ1079" s="551"/>
      <c r="FK1079" s="551"/>
      <c r="FL1079" s="555"/>
      <c r="FM1079" s="554"/>
      <c r="FN1079" s="554"/>
      <c r="FO1079" s="554"/>
      <c r="FP1079" s="554"/>
      <c r="FQ1079" s="554"/>
      <c r="FR1079" s="554"/>
      <c r="FS1079" s="554"/>
      <c r="FT1079" s="554"/>
      <c r="FU1079" s="554"/>
      <c r="FV1079" s="554"/>
      <c r="FW1079" s="554"/>
      <c r="FX1079" s="554"/>
      <c r="FY1079" s="554"/>
      <c r="FZ1079" s="554"/>
      <c r="GA1079" s="554"/>
      <c r="GB1079" s="556"/>
      <c r="GC1079" s="370"/>
      <c r="GD1079" s="453"/>
      <c r="GE1079" s="453"/>
      <c r="GF1079" s="453"/>
      <c r="GG1079" s="453"/>
      <c r="GH1079" s="454"/>
      <c r="GI1079" s="453"/>
      <c r="GJ1079" s="453"/>
      <c r="GK1079" s="453"/>
      <c r="GL1079" s="453"/>
      <c r="GM1079" s="453"/>
      <c r="GN1079" s="453"/>
      <c r="GO1079" s="453"/>
      <c r="GP1079" s="453"/>
      <c r="GQ1079" s="453"/>
      <c r="GR1079" s="453"/>
      <c r="GS1079" s="561"/>
      <c r="GT1079" s="475"/>
      <c r="GU1079" s="472"/>
      <c r="GV1079" s="453"/>
      <c r="GW1079" s="453"/>
      <c r="GX1079" s="869"/>
      <c r="GY1079" s="870"/>
      <c r="GZ1079" s="867"/>
      <c r="HA1079" s="868"/>
      <c r="HB1079" s="473"/>
      <c r="HC1079" s="869"/>
      <c r="HD1079" s="870"/>
      <c r="HE1079" s="867"/>
      <c r="HF1079" s="868"/>
      <c r="HG1079" s="473"/>
      <c r="HH1079" s="867"/>
      <c r="HI1079" s="868"/>
      <c r="HJ1079" s="867"/>
      <c r="HK1079" s="868"/>
      <c r="HL1079" s="370"/>
      <c r="HM1079" s="865"/>
      <c r="HN1079" s="866"/>
      <c r="HO1079" s="865"/>
      <c r="HP1079" s="866"/>
      <c r="HQ1079" s="865"/>
      <c r="HR1079" s="866"/>
      <c r="HS1079" s="867"/>
      <c r="HT1079" s="868"/>
      <c r="HU1079" s="489"/>
      <c r="HV1079" s="865"/>
      <c r="HW1079" s="866"/>
    </row>
    <row r="1080" spans="25:231" ht="15" customHeight="1">
      <c r="Y1080" s="332"/>
      <c r="Z1080" s="332"/>
      <c r="AA1080" s="332"/>
      <c r="AB1080" s="332"/>
      <c r="AC1080" s="332"/>
      <c r="AD1080" s="332"/>
      <c r="AE1080" s="332"/>
      <c r="AF1080" s="332"/>
      <c r="AG1080" s="332"/>
      <c r="AH1080" s="332"/>
      <c r="AI1080" s="332"/>
      <c r="AJ1080" s="332"/>
      <c r="AK1080" s="332"/>
      <c r="AL1080" s="332"/>
      <c r="AM1080" s="332"/>
      <c r="AN1080" s="332"/>
      <c r="AO1080" s="332"/>
      <c r="AP1080" s="332"/>
      <c r="AQ1080" s="332"/>
      <c r="AR1080" s="332"/>
      <c r="AS1080" s="332"/>
      <c r="AT1080" s="332"/>
      <c r="AU1080" s="332"/>
      <c r="AV1080" s="332"/>
      <c r="AW1080" s="332"/>
      <c r="AX1080" s="332"/>
      <c r="AY1080" s="332"/>
      <c r="AZ1080" s="332"/>
      <c r="BA1080" s="332"/>
      <c r="BB1080" s="332"/>
      <c r="BC1080" s="332"/>
      <c r="BD1080" s="332"/>
      <c r="BE1080" s="332"/>
      <c r="BF1080" s="332"/>
      <c r="BG1080" s="332"/>
      <c r="BH1080" s="332"/>
      <c r="BI1080" s="332"/>
      <c r="BJ1080" s="332"/>
      <c r="BK1080" s="332"/>
      <c r="BL1080" s="332"/>
      <c r="BM1080" s="332"/>
      <c r="BN1080" s="332"/>
      <c r="BO1080" s="332"/>
      <c r="BP1080" s="332"/>
      <c r="BQ1080" s="332"/>
      <c r="BR1080" s="332"/>
      <c r="BS1080" s="332"/>
      <c r="BT1080" s="332"/>
      <c r="BU1080" s="332"/>
      <c r="BV1080" s="332"/>
      <c r="BW1080" s="332"/>
      <c r="BX1080" s="332"/>
      <c r="BY1080" s="332"/>
      <c r="BZ1080" s="332"/>
      <c r="CA1080" s="332"/>
      <c r="CB1080" s="332"/>
      <c r="CC1080" s="332"/>
      <c r="CD1080" s="332"/>
      <c r="CE1080" s="332"/>
      <c r="CF1080" s="332"/>
      <c r="CG1080" s="332"/>
      <c r="CH1080" s="332"/>
      <c r="CI1080" s="332"/>
      <c r="CJ1080" s="332"/>
      <c r="CK1080" s="332"/>
      <c r="CL1080" s="332"/>
      <c r="CM1080" s="332"/>
      <c r="CN1080" s="332"/>
      <c r="CO1080" s="332"/>
      <c r="CP1080" s="332"/>
      <c r="CQ1080" s="332"/>
      <c r="CR1080" s="332"/>
      <c r="CS1080" s="332"/>
      <c r="CT1080" s="332"/>
      <c r="CU1080" s="332"/>
      <c r="CV1080" s="332"/>
      <c r="CW1080" s="332"/>
      <c r="CX1080" s="332"/>
      <c r="CY1080" s="332"/>
      <c r="CZ1080" s="332"/>
      <c r="DA1080" s="332"/>
      <c r="DB1080" s="332"/>
      <c r="DC1080" s="332"/>
      <c r="DD1080" s="332"/>
      <c r="DE1080" s="332"/>
      <c r="DF1080" s="332"/>
      <c r="DG1080" s="332"/>
      <c r="DH1080" s="332"/>
      <c r="DI1080" s="332"/>
      <c r="DJ1080" s="332"/>
      <c r="DK1080" s="332"/>
      <c r="DL1080" s="332"/>
      <c r="DM1080" s="332"/>
      <c r="DN1080" s="332"/>
      <c r="DO1080" s="332"/>
      <c r="DP1080" s="332"/>
      <c r="DQ1080" s="332"/>
      <c r="DR1080" s="332"/>
      <c r="DS1080" s="332"/>
      <c r="DT1080" s="332"/>
      <c r="DU1080" s="453"/>
      <c r="DV1080" s="453"/>
      <c r="DW1080" s="453"/>
      <c r="DX1080" s="453"/>
      <c r="DY1080" s="453"/>
      <c r="DZ1080" s="453"/>
      <c r="EA1080" s="453"/>
      <c r="EB1080" s="453"/>
      <c r="EC1080" s="453"/>
      <c r="ED1080" s="453"/>
      <c r="EE1080" s="453"/>
      <c r="EF1080" s="453"/>
      <c r="EG1080" s="453"/>
      <c r="EH1080" s="453"/>
      <c r="EI1080" s="453"/>
      <c r="EJ1080" s="453"/>
      <c r="EK1080" s="453"/>
      <c r="EL1080" s="453"/>
      <c r="EM1080" s="483">
        <f t="shared" ref="EM1080:EM1143" si="249">+EM1079+1</f>
        <v>771</v>
      </c>
      <c r="EN1080" s="485"/>
      <c r="EO1080" s="458"/>
      <c r="EP1080" s="467"/>
      <c r="EQ1080" s="457"/>
      <c r="ER1080" s="808"/>
      <c r="ES1080" s="881">
        <f t="shared" si="247"/>
        <v>0</v>
      </c>
      <c r="ET1080" s="882"/>
      <c r="EU1080" s="883"/>
      <c r="EV1080" s="884">
        <f t="shared" si="248"/>
        <v>0</v>
      </c>
      <c r="EW1080" s="885"/>
      <c r="EX1080" s="885"/>
      <c r="EY1080" s="885"/>
      <c r="EZ1080" s="885"/>
      <c r="FA1080" s="885"/>
      <c r="FB1080" s="885"/>
      <c r="FC1080" s="885"/>
      <c r="FD1080" s="886"/>
      <c r="FE1080" s="551"/>
      <c r="FF1080" s="551"/>
      <c r="FG1080" s="551"/>
      <c r="FH1080" s="551"/>
      <c r="FI1080" s="551"/>
      <c r="FJ1080" s="551"/>
      <c r="FK1080" s="551"/>
      <c r="FL1080" s="555"/>
      <c r="FM1080" s="554"/>
      <c r="FN1080" s="554"/>
      <c r="FO1080" s="554"/>
      <c r="FP1080" s="554"/>
      <c r="FQ1080" s="554"/>
      <c r="FR1080" s="554"/>
      <c r="FS1080" s="554"/>
      <c r="FT1080" s="554"/>
      <c r="FU1080" s="554"/>
      <c r="FV1080" s="554"/>
      <c r="FW1080" s="554"/>
      <c r="FX1080" s="554"/>
      <c r="FY1080" s="554"/>
      <c r="FZ1080" s="554"/>
      <c r="GA1080" s="554"/>
      <c r="GB1080" s="556"/>
      <c r="GC1080" s="370"/>
      <c r="GD1080" s="453"/>
      <c r="GE1080" s="453"/>
      <c r="GF1080" s="453"/>
      <c r="GG1080" s="453"/>
      <c r="GH1080" s="454"/>
      <c r="GI1080" s="453"/>
      <c r="GJ1080" s="453"/>
      <c r="GK1080" s="453"/>
      <c r="GL1080" s="453"/>
      <c r="GM1080" s="453"/>
      <c r="GN1080" s="453"/>
      <c r="GO1080" s="453"/>
      <c r="GP1080" s="453"/>
      <c r="GQ1080" s="453"/>
      <c r="GR1080" s="453"/>
      <c r="GS1080" s="561"/>
      <c r="GT1080" s="475"/>
      <c r="GU1080" s="472"/>
      <c r="GV1080" s="453"/>
      <c r="GW1080" s="453"/>
      <c r="GX1080" s="869"/>
      <c r="GY1080" s="870"/>
      <c r="GZ1080" s="867"/>
      <c r="HA1080" s="868"/>
      <c r="HB1080" s="473"/>
      <c r="HC1080" s="869"/>
      <c r="HD1080" s="870"/>
      <c r="HE1080" s="867"/>
      <c r="HF1080" s="868"/>
      <c r="HG1080" s="473"/>
      <c r="HH1080" s="867"/>
      <c r="HI1080" s="868"/>
      <c r="HJ1080" s="867"/>
      <c r="HK1080" s="868"/>
      <c r="HL1080" s="370"/>
      <c r="HM1080" s="865"/>
      <c r="HN1080" s="866"/>
      <c r="HO1080" s="865"/>
      <c r="HP1080" s="866"/>
      <c r="HQ1080" s="865"/>
      <c r="HR1080" s="866"/>
      <c r="HS1080" s="867"/>
      <c r="HT1080" s="868"/>
      <c r="HU1080" s="489"/>
      <c r="HV1080" s="865"/>
      <c r="HW1080" s="866"/>
    </row>
    <row r="1081" spans="25:231" ht="15" customHeight="1">
      <c r="Y1081" s="332"/>
      <c r="Z1081" s="332"/>
      <c r="AA1081" s="332"/>
      <c r="AB1081" s="332"/>
      <c r="AC1081" s="332"/>
      <c r="AD1081" s="332"/>
      <c r="AE1081" s="332"/>
      <c r="AF1081" s="332"/>
      <c r="AG1081" s="332"/>
      <c r="AH1081" s="332"/>
      <c r="AI1081" s="332"/>
      <c r="AJ1081" s="332"/>
      <c r="AK1081" s="332"/>
      <c r="AL1081" s="332"/>
      <c r="AM1081" s="332"/>
      <c r="AN1081" s="332"/>
      <c r="AO1081" s="332"/>
      <c r="AP1081" s="332"/>
      <c r="AQ1081" s="332"/>
      <c r="AR1081" s="332"/>
      <c r="AS1081" s="332"/>
      <c r="AT1081" s="332"/>
      <c r="AU1081" s="332"/>
      <c r="AV1081" s="332"/>
      <c r="AW1081" s="332"/>
      <c r="AX1081" s="332"/>
      <c r="AY1081" s="332"/>
      <c r="AZ1081" s="332"/>
      <c r="BA1081" s="332"/>
      <c r="BB1081" s="332"/>
      <c r="BC1081" s="332"/>
      <c r="BD1081" s="332"/>
      <c r="BE1081" s="332"/>
      <c r="BF1081" s="332"/>
      <c r="BG1081" s="332"/>
      <c r="BH1081" s="332"/>
      <c r="BI1081" s="332"/>
      <c r="BJ1081" s="332"/>
      <c r="BK1081" s="332"/>
      <c r="BL1081" s="332"/>
      <c r="BM1081" s="332"/>
      <c r="BN1081" s="332"/>
      <c r="BO1081" s="332"/>
      <c r="BP1081" s="332"/>
      <c r="BQ1081" s="332"/>
      <c r="BR1081" s="332"/>
      <c r="BS1081" s="332"/>
      <c r="BT1081" s="332"/>
      <c r="BU1081" s="332"/>
      <c r="BV1081" s="332"/>
      <c r="BW1081" s="332"/>
      <c r="BX1081" s="332"/>
      <c r="BY1081" s="332"/>
      <c r="BZ1081" s="332"/>
      <c r="CA1081" s="332"/>
      <c r="CB1081" s="332"/>
      <c r="CC1081" s="332"/>
      <c r="CD1081" s="332"/>
      <c r="CE1081" s="332"/>
      <c r="CF1081" s="332"/>
      <c r="CG1081" s="332"/>
      <c r="CH1081" s="332"/>
      <c r="CI1081" s="332"/>
      <c r="CJ1081" s="332"/>
      <c r="CK1081" s="332"/>
      <c r="CL1081" s="332"/>
      <c r="CM1081" s="332"/>
      <c r="CN1081" s="332"/>
      <c r="CO1081" s="332"/>
      <c r="CP1081" s="332"/>
      <c r="CQ1081" s="332"/>
      <c r="CR1081" s="332"/>
      <c r="CS1081" s="332"/>
      <c r="CT1081" s="332"/>
      <c r="CU1081" s="332"/>
      <c r="CV1081" s="332"/>
      <c r="CW1081" s="332"/>
      <c r="CX1081" s="332"/>
      <c r="CY1081" s="332"/>
      <c r="CZ1081" s="332"/>
      <c r="DA1081" s="332"/>
      <c r="DB1081" s="332"/>
      <c r="DC1081" s="332"/>
      <c r="DD1081" s="332"/>
      <c r="DE1081" s="332"/>
      <c r="DF1081" s="332"/>
      <c r="DG1081" s="332"/>
      <c r="DH1081" s="332"/>
      <c r="DI1081" s="332"/>
      <c r="DJ1081" s="332"/>
      <c r="DK1081" s="332"/>
      <c r="DL1081" s="332"/>
      <c r="DM1081" s="332"/>
      <c r="DN1081" s="332"/>
      <c r="DO1081" s="332"/>
      <c r="DP1081" s="332"/>
      <c r="DQ1081" s="332"/>
      <c r="DR1081" s="332"/>
      <c r="DS1081" s="332"/>
      <c r="DT1081" s="332"/>
      <c r="DU1081" s="453"/>
      <c r="DV1081" s="453"/>
      <c r="DW1081" s="453"/>
      <c r="DX1081" s="453"/>
      <c r="DY1081" s="453"/>
      <c r="DZ1081" s="453"/>
      <c r="EA1081" s="453"/>
      <c r="EB1081" s="453"/>
      <c r="EC1081" s="453"/>
      <c r="ED1081" s="453"/>
      <c r="EE1081" s="453"/>
      <c r="EF1081" s="453"/>
      <c r="EG1081" s="453"/>
      <c r="EH1081" s="453"/>
      <c r="EI1081" s="453"/>
      <c r="EJ1081" s="453"/>
      <c r="EK1081" s="453"/>
      <c r="EL1081" s="453"/>
      <c r="EM1081" s="483">
        <f t="shared" si="249"/>
        <v>772</v>
      </c>
      <c r="EN1081" s="485"/>
      <c r="EO1081" s="458"/>
      <c r="EP1081" s="467"/>
      <c r="EQ1081" s="457"/>
      <c r="ER1081" s="808"/>
      <c r="ES1081" s="881">
        <f t="shared" si="247"/>
        <v>0</v>
      </c>
      <c r="ET1081" s="882"/>
      <c r="EU1081" s="883"/>
      <c r="EV1081" s="884">
        <f t="shared" si="248"/>
        <v>0</v>
      </c>
      <c r="EW1081" s="885"/>
      <c r="EX1081" s="885"/>
      <c r="EY1081" s="885"/>
      <c r="EZ1081" s="885"/>
      <c r="FA1081" s="885"/>
      <c r="FB1081" s="885"/>
      <c r="FC1081" s="885"/>
      <c r="FD1081" s="886"/>
      <c r="FE1081" s="551"/>
      <c r="FF1081" s="551"/>
      <c r="FG1081" s="551"/>
      <c r="FH1081" s="551"/>
      <c r="FI1081" s="551"/>
      <c r="FJ1081" s="551"/>
      <c r="FK1081" s="551"/>
      <c r="FL1081" s="555"/>
      <c r="FM1081" s="554"/>
      <c r="FN1081" s="554"/>
      <c r="FO1081" s="554"/>
      <c r="FP1081" s="554"/>
      <c r="FQ1081" s="554"/>
      <c r="FR1081" s="554"/>
      <c r="FS1081" s="554"/>
      <c r="FT1081" s="554"/>
      <c r="FU1081" s="554"/>
      <c r="FV1081" s="554"/>
      <c r="FW1081" s="554"/>
      <c r="FX1081" s="554"/>
      <c r="FY1081" s="554"/>
      <c r="FZ1081" s="554"/>
      <c r="GA1081" s="554"/>
      <c r="GB1081" s="556"/>
      <c r="GC1081" s="370"/>
      <c r="GD1081" s="453"/>
      <c r="GE1081" s="453"/>
      <c r="GF1081" s="453"/>
      <c r="GG1081" s="453"/>
      <c r="GH1081" s="454"/>
      <c r="GI1081" s="453"/>
      <c r="GJ1081" s="453"/>
      <c r="GK1081" s="453"/>
      <c r="GL1081" s="453"/>
      <c r="GM1081" s="453"/>
      <c r="GN1081" s="453"/>
      <c r="GO1081" s="453"/>
      <c r="GP1081" s="453"/>
      <c r="GQ1081" s="453"/>
      <c r="GR1081" s="453"/>
      <c r="GS1081" s="561"/>
      <c r="GT1081" s="475"/>
      <c r="GU1081" s="472"/>
      <c r="GV1081" s="453"/>
      <c r="GW1081" s="453"/>
      <c r="GX1081" s="869"/>
      <c r="GY1081" s="870"/>
      <c r="GZ1081" s="867"/>
      <c r="HA1081" s="868"/>
      <c r="HB1081" s="473"/>
      <c r="HC1081" s="869"/>
      <c r="HD1081" s="870"/>
      <c r="HE1081" s="867"/>
      <c r="HF1081" s="868"/>
      <c r="HG1081" s="473"/>
      <c r="HH1081" s="867"/>
      <c r="HI1081" s="868"/>
      <c r="HJ1081" s="867"/>
      <c r="HK1081" s="868"/>
      <c r="HL1081" s="370"/>
      <c r="HM1081" s="865"/>
      <c r="HN1081" s="866"/>
      <c r="HO1081" s="865"/>
      <c r="HP1081" s="866"/>
      <c r="HQ1081" s="865"/>
      <c r="HR1081" s="866"/>
      <c r="HS1081" s="867"/>
      <c r="HT1081" s="868"/>
      <c r="HU1081" s="489"/>
      <c r="HV1081" s="865"/>
      <c r="HW1081" s="866"/>
    </row>
    <row r="1082" spans="25:231" ht="15" customHeight="1">
      <c r="Y1082" s="332"/>
      <c r="Z1082" s="332"/>
      <c r="AA1082" s="332"/>
      <c r="AB1082" s="332"/>
      <c r="AC1082" s="332"/>
      <c r="AD1082" s="332"/>
      <c r="AE1082" s="332"/>
      <c r="AF1082" s="332"/>
      <c r="AG1082" s="332"/>
      <c r="AH1082" s="332"/>
      <c r="AI1082" s="332"/>
      <c r="AJ1082" s="332"/>
      <c r="AK1082" s="332"/>
      <c r="AL1082" s="332"/>
      <c r="AM1082" s="332"/>
      <c r="AN1082" s="332"/>
      <c r="AO1082" s="332"/>
      <c r="AP1082" s="332"/>
      <c r="AQ1082" s="332"/>
      <c r="AR1082" s="332"/>
      <c r="AS1082" s="332"/>
      <c r="AT1082" s="332"/>
      <c r="AU1082" s="332"/>
      <c r="AV1082" s="332"/>
      <c r="AW1082" s="332"/>
      <c r="AX1082" s="332"/>
      <c r="AY1082" s="332"/>
      <c r="AZ1082" s="332"/>
      <c r="BA1082" s="332"/>
      <c r="BB1082" s="332"/>
      <c r="BC1082" s="332"/>
      <c r="BD1082" s="332"/>
      <c r="BE1082" s="332"/>
      <c r="BF1082" s="332"/>
      <c r="BG1082" s="332"/>
      <c r="BH1082" s="332"/>
      <c r="BI1082" s="332"/>
      <c r="BJ1082" s="332"/>
      <c r="BK1082" s="332"/>
      <c r="BL1082" s="332"/>
      <c r="BM1082" s="332"/>
      <c r="BN1082" s="332"/>
      <c r="BO1082" s="332"/>
      <c r="BP1082" s="332"/>
      <c r="BQ1082" s="332"/>
      <c r="BR1082" s="332"/>
      <c r="BS1082" s="332"/>
      <c r="BT1082" s="332"/>
      <c r="BU1082" s="332"/>
      <c r="BV1082" s="332"/>
      <c r="BW1082" s="332"/>
      <c r="BX1082" s="332"/>
      <c r="BY1082" s="332"/>
      <c r="BZ1082" s="332"/>
      <c r="CA1082" s="332"/>
      <c r="CB1082" s="332"/>
      <c r="CC1082" s="332"/>
      <c r="CD1082" s="332"/>
      <c r="CE1082" s="332"/>
      <c r="CF1082" s="332"/>
      <c r="CG1082" s="332"/>
      <c r="CH1082" s="332"/>
      <c r="CI1082" s="332"/>
      <c r="CJ1082" s="332"/>
      <c r="CK1082" s="332"/>
      <c r="CL1082" s="332"/>
      <c r="CM1082" s="332"/>
      <c r="CN1082" s="332"/>
      <c r="CO1082" s="332"/>
      <c r="CP1082" s="332"/>
      <c r="CQ1082" s="332"/>
      <c r="CR1082" s="332"/>
      <c r="CS1082" s="332"/>
      <c r="CT1082" s="332"/>
      <c r="CU1082" s="332"/>
      <c r="CV1082" s="332"/>
      <c r="CW1082" s="332"/>
      <c r="CX1082" s="332"/>
      <c r="CY1082" s="332"/>
      <c r="CZ1082" s="332"/>
      <c r="DA1082" s="332"/>
      <c r="DB1082" s="332"/>
      <c r="DC1082" s="332"/>
      <c r="DD1082" s="332"/>
      <c r="DE1082" s="332"/>
      <c r="DF1082" s="332"/>
      <c r="DG1082" s="332"/>
      <c r="DH1082" s="332"/>
      <c r="DI1082" s="332"/>
      <c r="DJ1082" s="332"/>
      <c r="DK1082" s="332"/>
      <c r="DL1082" s="332"/>
      <c r="DM1082" s="332"/>
      <c r="DN1082" s="332"/>
      <c r="DO1082" s="332"/>
      <c r="DP1082" s="332"/>
      <c r="DQ1082" s="332"/>
      <c r="DR1082" s="332"/>
      <c r="DS1082" s="332"/>
      <c r="DT1082" s="332"/>
      <c r="DU1082" s="453"/>
      <c r="DV1082" s="453"/>
      <c r="DW1082" s="453"/>
      <c r="DX1082" s="453"/>
      <c r="DY1082" s="453"/>
      <c r="DZ1082" s="453"/>
      <c r="EA1082" s="453"/>
      <c r="EB1082" s="453"/>
      <c r="EC1082" s="453"/>
      <c r="ED1082" s="453"/>
      <c r="EE1082" s="453"/>
      <c r="EF1082" s="453"/>
      <c r="EG1082" s="453"/>
      <c r="EH1082" s="453"/>
      <c r="EI1082" s="453"/>
      <c r="EJ1082" s="453"/>
      <c r="EK1082" s="453"/>
      <c r="EL1082" s="453"/>
      <c r="EM1082" s="483">
        <f t="shared" si="249"/>
        <v>773</v>
      </c>
      <c r="EN1082" s="485"/>
      <c r="EO1082" s="458"/>
      <c r="EP1082" s="467"/>
      <c r="EQ1082" s="457"/>
      <c r="ER1082" s="808"/>
      <c r="ES1082" s="881">
        <f t="shared" si="247"/>
        <v>0</v>
      </c>
      <c r="ET1082" s="882"/>
      <c r="EU1082" s="883"/>
      <c r="EV1082" s="884">
        <f t="shared" si="248"/>
        <v>0</v>
      </c>
      <c r="EW1082" s="885"/>
      <c r="EX1082" s="885"/>
      <c r="EY1082" s="885"/>
      <c r="EZ1082" s="885"/>
      <c r="FA1082" s="885"/>
      <c r="FB1082" s="885"/>
      <c r="FC1082" s="885"/>
      <c r="FD1082" s="886"/>
      <c r="FE1082" s="551"/>
      <c r="FF1082" s="551"/>
      <c r="FG1082" s="551"/>
      <c r="FH1082" s="551"/>
      <c r="FI1082" s="551"/>
      <c r="FJ1082" s="551"/>
      <c r="FK1082" s="551"/>
      <c r="FL1082" s="555"/>
      <c r="FM1082" s="554"/>
      <c r="FN1082" s="554"/>
      <c r="FO1082" s="554"/>
      <c r="FP1082" s="554"/>
      <c r="FQ1082" s="554"/>
      <c r="FR1082" s="554"/>
      <c r="FS1082" s="554"/>
      <c r="FT1082" s="554"/>
      <c r="FU1082" s="554"/>
      <c r="FV1082" s="554"/>
      <c r="FW1082" s="554"/>
      <c r="FX1082" s="554"/>
      <c r="FY1082" s="554"/>
      <c r="FZ1082" s="554"/>
      <c r="GA1082" s="554"/>
      <c r="GB1082" s="556"/>
      <c r="GC1082" s="370"/>
      <c r="GD1082" s="453"/>
      <c r="GE1082" s="453"/>
      <c r="GF1082" s="453"/>
      <c r="GG1082" s="453"/>
      <c r="GH1082" s="454"/>
      <c r="GI1082" s="453"/>
      <c r="GJ1082" s="453"/>
      <c r="GK1082" s="453"/>
      <c r="GL1082" s="453"/>
      <c r="GM1082" s="453"/>
      <c r="GN1082" s="453"/>
      <c r="GO1082" s="453"/>
      <c r="GP1082" s="453"/>
      <c r="GQ1082" s="453"/>
      <c r="GR1082" s="453"/>
      <c r="GS1082" s="561"/>
      <c r="GT1082" s="475"/>
      <c r="GU1082" s="472"/>
      <c r="GV1082" s="453"/>
      <c r="GW1082" s="453"/>
      <c r="GX1082" s="869"/>
      <c r="GY1082" s="870"/>
      <c r="GZ1082" s="867"/>
      <c r="HA1082" s="868"/>
      <c r="HB1082" s="473"/>
      <c r="HC1082" s="869"/>
      <c r="HD1082" s="870"/>
      <c r="HE1082" s="867"/>
      <c r="HF1082" s="868"/>
      <c r="HG1082" s="473"/>
      <c r="HH1082" s="867"/>
      <c r="HI1082" s="868"/>
      <c r="HJ1082" s="867"/>
      <c r="HK1082" s="868"/>
      <c r="HL1082" s="370"/>
      <c r="HM1082" s="865"/>
      <c r="HN1082" s="866"/>
      <c r="HO1082" s="865"/>
      <c r="HP1082" s="866"/>
      <c r="HQ1082" s="865"/>
      <c r="HR1082" s="866"/>
      <c r="HS1082" s="867"/>
      <c r="HT1082" s="868"/>
      <c r="HU1082" s="489"/>
      <c r="HV1082" s="865"/>
      <c r="HW1082" s="866"/>
    </row>
    <row r="1083" spans="25:231" ht="15" customHeight="1">
      <c r="Y1083" s="332"/>
      <c r="Z1083" s="332"/>
      <c r="AA1083" s="332"/>
      <c r="AB1083" s="332"/>
      <c r="AC1083" s="332"/>
      <c r="AD1083" s="332"/>
      <c r="AE1083" s="332"/>
      <c r="AF1083" s="332"/>
      <c r="AG1083" s="332"/>
      <c r="AH1083" s="332"/>
      <c r="AI1083" s="332"/>
      <c r="AJ1083" s="332"/>
      <c r="AK1083" s="332"/>
      <c r="AL1083" s="332"/>
      <c r="AM1083" s="332"/>
      <c r="AN1083" s="332"/>
      <c r="AO1083" s="332"/>
      <c r="AP1083" s="332"/>
      <c r="AQ1083" s="332"/>
      <c r="AR1083" s="332"/>
      <c r="AS1083" s="332"/>
      <c r="AT1083" s="332"/>
      <c r="AU1083" s="332"/>
      <c r="AV1083" s="332"/>
      <c r="AW1083" s="332"/>
      <c r="AX1083" s="332"/>
      <c r="AY1083" s="332"/>
      <c r="AZ1083" s="332"/>
      <c r="BA1083" s="332"/>
      <c r="BB1083" s="332"/>
      <c r="BC1083" s="332"/>
      <c r="BD1083" s="332"/>
      <c r="BE1083" s="332"/>
      <c r="BF1083" s="332"/>
      <c r="BG1083" s="332"/>
      <c r="BH1083" s="332"/>
      <c r="BI1083" s="332"/>
      <c r="BJ1083" s="332"/>
      <c r="BK1083" s="332"/>
      <c r="BL1083" s="332"/>
      <c r="BM1083" s="332"/>
      <c r="BN1083" s="332"/>
      <c r="BO1083" s="332"/>
      <c r="BP1083" s="332"/>
      <c r="BQ1083" s="332"/>
      <c r="BR1083" s="332"/>
      <c r="BS1083" s="332"/>
      <c r="BT1083" s="332"/>
      <c r="BU1083" s="332"/>
      <c r="BV1083" s="332"/>
      <c r="BW1083" s="332"/>
      <c r="BX1083" s="332"/>
      <c r="BY1083" s="332"/>
      <c r="BZ1083" s="332"/>
      <c r="CA1083" s="332"/>
      <c r="CB1083" s="332"/>
      <c r="CC1083" s="332"/>
      <c r="CD1083" s="332"/>
      <c r="CE1083" s="332"/>
      <c r="CF1083" s="332"/>
      <c r="CG1083" s="332"/>
      <c r="CH1083" s="332"/>
      <c r="CI1083" s="332"/>
      <c r="CJ1083" s="332"/>
      <c r="CK1083" s="332"/>
      <c r="CL1083" s="332"/>
      <c r="CM1083" s="332"/>
      <c r="CN1083" s="332"/>
      <c r="CO1083" s="332"/>
      <c r="CP1083" s="332"/>
      <c r="CQ1083" s="332"/>
      <c r="CR1083" s="332"/>
      <c r="CS1083" s="332"/>
      <c r="CT1083" s="332"/>
      <c r="CU1083" s="332"/>
      <c r="CV1083" s="332"/>
      <c r="CW1083" s="332"/>
      <c r="CX1083" s="332"/>
      <c r="CY1083" s="332"/>
      <c r="CZ1083" s="332"/>
      <c r="DA1083" s="332"/>
      <c r="DB1083" s="332"/>
      <c r="DC1083" s="332"/>
      <c r="DD1083" s="332"/>
      <c r="DE1083" s="332"/>
      <c r="DF1083" s="332"/>
      <c r="DG1083" s="332"/>
      <c r="DH1083" s="332"/>
      <c r="DI1083" s="332"/>
      <c r="DJ1083" s="332"/>
      <c r="DK1083" s="332"/>
      <c r="DL1083" s="332"/>
      <c r="DM1083" s="332"/>
      <c r="DN1083" s="332"/>
      <c r="DO1083" s="332"/>
      <c r="DP1083" s="332"/>
      <c r="DQ1083" s="332"/>
      <c r="DR1083" s="332"/>
      <c r="DS1083" s="332"/>
      <c r="DT1083" s="332"/>
      <c r="DU1083" s="453"/>
      <c r="DV1083" s="453"/>
      <c r="DW1083" s="453"/>
      <c r="DX1083" s="453"/>
      <c r="DY1083" s="453"/>
      <c r="DZ1083" s="453"/>
      <c r="EA1083" s="453"/>
      <c r="EB1083" s="453"/>
      <c r="EC1083" s="453"/>
      <c r="ED1083" s="453"/>
      <c r="EE1083" s="453"/>
      <c r="EF1083" s="453"/>
      <c r="EG1083" s="453"/>
      <c r="EH1083" s="453"/>
      <c r="EI1083" s="453"/>
      <c r="EJ1083" s="453"/>
      <c r="EK1083" s="453"/>
      <c r="EL1083" s="453"/>
      <c r="EM1083" s="483">
        <f t="shared" si="249"/>
        <v>774</v>
      </c>
      <c r="EN1083" s="485"/>
      <c r="EO1083" s="458"/>
      <c r="EP1083" s="467"/>
      <c r="EQ1083" s="457"/>
      <c r="ER1083" s="808"/>
      <c r="ES1083" s="881">
        <f t="shared" si="247"/>
        <v>0</v>
      </c>
      <c r="ET1083" s="882"/>
      <c r="EU1083" s="883"/>
      <c r="EV1083" s="884">
        <f t="shared" si="248"/>
        <v>0</v>
      </c>
      <c r="EW1083" s="885"/>
      <c r="EX1083" s="885"/>
      <c r="EY1083" s="885"/>
      <c r="EZ1083" s="885"/>
      <c r="FA1083" s="885"/>
      <c r="FB1083" s="885"/>
      <c r="FC1083" s="885"/>
      <c r="FD1083" s="886"/>
      <c r="FE1083" s="551"/>
      <c r="FF1083" s="551"/>
      <c r="FG1083" s="551"/>
      <c r="FH1083" s="551"/>
      <c r="FI1083" s="551"/>
      <c r="FJ1083" s="551"/>
      <c r="FK1083" s="551"/>
      <c r="FL1083" s="555"/>
      <c r="FM1083" s="554"/>
      <c r="FN1083" s="554"/>
      <c r="FO1083" s="554"/>
      <c r="FP1083" s="554"/>
      <c r="FQ1083" s="554"/>
      <c r="FR1083" s="554"/>
      <c r="FS1083" s="554"/>
      <c r="FT1083" s="554"/>
      <c r="FU1083" s="554"/>
      <c r="FV1083" s="554"/>
      <c r="FW1083" s="554"/>
      <c r="FX1083" s="554"/>
      <c r="FY1083" s="554"/>
      <c r="FZ1083" s="554"/>
      <c r="GA1083" s="554"/>
      <c r="GB1083" s="556"/>
      <c r="GC1083" s="370"/>
      <c r="GD1083" s="453"/>
      <c r="GE1083" s="453"/>
      <c r="GF1083" s="453"/>
      <c r="GG1083" s="453"/>
      <c r="GH1083" s="454"/>
      <c r="GI1083" s="453"/>
      <c r="GJ1083" s="453"/>
      <c r="GK1083" s="453"/>
      <c r="GL1083" s="453"/>
      <c r="GM1083" s="453"/>
      <c r="GN1083" s="453"/>
      <c r="GO1083" s="453"/>
      <c r="GP1083" s="453"/>
      <c r="GQ1083" s="453"/>
      <c r="GR1083" s="453"/>
      <c r="GS1083" s="561"/>
      <c r="GT1083" s="475"/>
      <c r="GU1083" s="472"/>
      <c r="GV1083" s="453"/>
      <c r="GW1083" s="453"/>
      <c r="GX1083" s="869"/>
      <c r="GY1083" s="870"/>
      <c r="GZ1083" s="867"/>
      <c r="HA1083" s="868"/>
      <c r="HB1083" s="473"/>
      <c r="HC1083" s="869"/>
      <c r="HD1083" s="870"/>
      <c r="HE1083" s="867"/>
      <c r="HF1083" s="868"/>
      <c r="HG1083" s="473"/>
      <c r="HH1083" s="867"/>
      <c r="HI1083" s="868"/>
      <c r="HJ1083" s="867"/>
      <c r="HK1083" s="868"/>
      <c r="HL1083" s="370"/>
      <c r="HM1083" s="865"/>
      <c r="HN1083" s="866"/>
      <c r="HO1083" s="865"/>
      <c r="HP1083" s="866"/>
      <c r="HQ1083" s="865"/>
      <c r="HR1083" s="866"/>
      <c r="HS1083" s="867"/>
      <c r="HT1083" s="868"/>
      <c r="HU1083" s="489"/>
      <c r="HV1083" s="865"/>
      <c r="HW1083" s="866"/>
    </row>
    <row r="1084" spans="25:231" ht="15" customHeight="1">
      <c r="Y1084" s="332"/>
      <c r="Z1084" s="332"/>
      <c r="AA1084" s="332"/>
      <c r="AB1084" s="332"/>
      <c r="AC1084" s="332"/>
      <c r="AD1084" s="332"/>
      <c r="AE1084" s="332"/>
      <c r="AF1084" s="332"/>
      <c r="AG1084" s="332"/>
      <c r="AH1084" s="332"/>
      <c r="AI1084" s="332"/>
      <c r="AJ1084" s="332"/>
      <c r="AK1084" s="332"/>
      <c r="AL1084" s="332"/>
      <c r="AM1084" s="332"/>
      <c r="AN1084" s="332"/>
      <c r="AO1084" s="332"/>
      <c r="AP1084" s="332"/>
      <c r="AQ1084" s="332"/>
      <c r="AR1084" s="332"/>
      <c r="AS1084" s="332"/>
      <c r="AT1084" s="332"/>
      <c r="AU1084" s="332"/>
      <c r="AV1084" s="332"/>
      <c r="AW1084" s="332"/>
      <c r="AX1084" s="332"/>
      <c r="AY1084" s="332"/>
      <c r="AZ1084" s="332"/>
      <c r="BA1084" s="332"/>
      <c r="BB1084" s="332"/>
      <c r="BC1084" s="332"/>
      <c r="BD1084" s="332"/>
      <c r="BE1084" s="332"/>
      <c r="BF1084" s="332"/>
      <c r="BG1084" s="332"/>
      <c r="BH1084" s="332"/>
      <c r="BI1084" s="332"/>
      <c r="BJ1084" s="332"/>
      <c r="BK1084" s="332"/>
      <c r="BL1084" s="332"/>
      <c r="BM1084" s="332"/>
      <c r="BN1084" s="332"/>
      <c r="BO1084" s="332"/>
      <c r="BP1084" s="332"/>
      <c r="BQ1084" s="332"/>
      <c r="BR1084" s="332"/>
      <c r="BS1084" s="332"/>
      <c r="BT1084" s="332"/>
      <c r="BU1084" s="332"/>
      <c r="BV1084" s="332"/>
      <c r="BW1084" s="332"/>
      <c r="BX1084" s="332"/>
      <c r="BY1084" s="332"/>
      <c r="BZ1084" s="332"/>
      <c r="CA1084" s="332"/>
      <c r="CB1084" s="332"/>
      <c r="CC1084" s="332"/>
      <c r="CD1084" s="332"/>
      <c r="CE1084" s="332"/>
      <c r="CF1084" s="332"/>
      <c r="CG1084" s="332"/>
      <c r="CH1084" s="332"/>
      <c r="CI1084" s="332"/>
      <c r="CJ1084" s="332"/>
      <c r="CK1084" s="332"/>
      <c r="CL1084" s="332"/>
      <c r="CM1084" s="332"/>
      <c r="CN1084" s="332"/>
      <c r="CO1084" s="332"/>
      <c r="CP1084" s="332"/>
      <c r="CQ1084" s="332"/>
      <c r="CR1084" s="332"/>
      <c r="CS1084" s="332"/>
      <c r="CT1084" s="332"/>
      <c r="CU1084" s="332"/>
      <c r="CV1084" s="332"/>
      <c r="CW1084" s="332"/>
      <c r="CX1084" s="332"/>
      <c r="CY1084" s="332"/>
      <c r="CZ1084" s="332"/>
      <c r="DA1084" s="332"/>
      <c r="DB1084" s="332"/>
      <c r="DC1084" s="332"/>
      <c r="DD1084" s="332"/>
      <c r="DE1084" s="332"/>
      <c r="DF1084" s="332"/>
      <c r="DG1084" s="332"/>
      <c r="DH1084" s="332"/>
      <c r="DI1084" s="332"/>
      <c r="DJ1084" s="332"/>
      <c r="DK1084" s="332"/>
      <c r="DL1084" s="332"/>
      <c r="DM1084" s="332"/>
      <c r="DN1084" s="332"/>
      <c r="DO1084" s="332"/>
      <c r="DP1084" s="332"/>
      <c r="DQ1084" s="332"/>
      <c r="DR1084" s="332"/>
      <c r="DS1084" s="332"/>
      <c r="DT1084" s="332"/>
      <c r="DU1084" s="453"/>
      <c r="DV1084" s="453"/>
      <c r="DW1084" s="453"/>
      <c r="DX1084" s="453"/>
      <c r="DY1084" s="453"/>
      <c r="DZ1084" s="453"/>
      <c r="EA1084" s="453"/>
      <c r="EB1084" s="453"/>
      <c r="EC1084" s="453"/>
      <c r="ED1084" s="453"/>
      <c r="EE1084" s="453"/>
      <c r="EF1084" s="453"/>
      <c r="EG1084" s="453"/>
      <c r="EH1084" s="453"/>
      <c r="EI1084" s="453"/>
      <c r="EJ1084" s="453"/>
      <c r="EK1084" s="453"/>
      <c r="EL1084" s="453"/>
      <c r="EM1084" s="483">
        <f t="shared" si="249"/>
        <v>775</v>
      </c>
      <c r="EN1084" s="485"/>
      <c r="EO1084" s="458"/>
      <c r="EP1084" s="467"/>
      <c r="EQ1084" s="457"/>
      <c r="ER1084" s="808"/>
      <c r="ES1084" s="881">
        <f t="shared" si="247"/>
        <v>0</v>
      </c>
      <c r="ET1084" s="882"/>
      <c r="EU1084" s="883"/>
      <c r="EV1084" s="884">
        <f t="shared" si="248"/>
        <v>0</v>
      </c>
      <c r="EW1084" s="885"/>
      <c r="EX1084" s="885"/>
      <c r="EY1084" s="885"/>
      <c r="EZ1084" s="885"/>
      <c r="FA1084" s="885"/>
      <c r="FB1084" s="885"/>
      <c r="FC1084" s="885"/>
      <c r="FD1084" s="886"/>
      <c r="FE1084" s="551"/>
      <c r="FF1084" s="551"/>
      <c r="FG1084" s="551"/>
      <c r="FH1084" s="551"/>
      <c r="FI1084" s="551"/>
      <c r="FJ1084" s="551"/>
      <c r="FK1084" s="551"/>
      <c r="FL1084" s="555"/>
      <c r="FM1084" s="554"/>
      <c r="FN1084" s="554"/>
      <c r="FO1084" s="554"/>
      <c r="FP1084" s="554"/>
      <c r="FQ1084" s="554"/>
      <c r="FR1084" s="554"/>
      <c r="FS1084" s="554"/>
      <c r="FT1084" s="554"/>
      <c r="FU1084" s="554"/>
      <c r="FV1084" s="554"/>
      <c r="FW1084" s="554"/>
      <c r="FX1084" s="554"/>
      <c r="FY1084" s="554"/>
      <c r="FZ1084" s="554"/>
      <c r="GA1084" s="554"/>
      <c r="GB1084" s="556"/>
      <c r="GC1084" s="370"/>
      <c r="GD1084" s="453"/>
      <c r="GE1084" s="453"/>
      <c r="GF1084" s="453"/>
      <c r="GG1084" s="453"/>
      <c r="GH1084" s="454"/>
      <c r="GI1084" s="453"/>
      <c r="GJ1084" s="453"/>
      <c r="GK1084" s="453"/>
      <c r="GL1084" s="453"/>
      <c r="GM1084" s="453"/>
      <c r="GN1084" s="453"/>
      <c r="GO1084" s="453"/>
      <c r="GP1084" s="453"/>
      <c r="GQ1084" s="453"/>
      <c r="GR1084" s="453"/>
      <c r="GS1084" s="561"/>
      <c r="GT1084" s="475"/>
      <c r="GU1084" s="472"/>
      <c r="GV1084" s="453"/>
      <c r="GW1084" s="453"/>
      <c r="GX1084" s="869"/>
      <c r="GY1084" s="870"/>
      <c r="GZ1084" s="867"/>
      <c r="HA1084" s="868"/>
      <c r="HB1084" s="473"/>
      <c r="HC1084" s="869"/>
      <c r="HD1084" s="870"/>
      <c r="HE1084" s="867"/>
      <c r="HF1084" s="868"/>
      <c r="HG1084" s="473"/>
      <c r="HH1084" s="867"/>
      <c r="HI1084" s="868"/>
      <c r="HJ1084" s="867"/>
      <c r="HK1084" s="868"/>
      <c r="HL1084" s="370"/>
      <c r="HM1084" s="865"/>
      <c r="HN1084" s="866"/>
      <c r="HO1084" s="865"/>
      <c r="HP1084" s="866"/>
      <c r="HQ1084" s="865"/>
      <c r="HR1084" s="866"/>
      <c r="HS1084" s="867"/>
      <c r="HT1084" s="868"/>
      <c r="HU1084" s="489"/>
      <c r="HV1084" s="865"/>
      <c r="HW1084" s="866"/>
    </row>
    <row r="1085" spans="25:231" ht="15" customHeight="1">
      <c r="Y1085" s="332"/>
      <c r="Z1085" s="332"/>
      <c r="AA1085" s="332"/>
      <c r="AB1085" s="332"/>
      <c r="AC1085" s="332"/>
      <c r="AD1085" s="332"/>
      <c r="AE1085" s="332"/>
      <c r="AF1085" s="332"/>
      <c r="AG1085" s="332"/>
      <c r="AH1085" s="332"/>
      <c r="AI1085" s="332"/>
      <c r="AJ1085" s="332"/>
      <c r="AK1085" s="332"/>
      <c r="AL1085" s="332"/>
      <c r="AM1085" s="332"/>
      <c r="AN1085" s="332"/>
      <c r="AO1085" s="332"/>
      <c r="AP1085" s="332"/>
      <c r="AQ1085" s="332"/>
      <c r="AR1085" s="332"/>
      <c r="AS1085" s="332"/>
      <c r="AT1085" s="332"/>
      <c r="AU1085" s="332"/>
      <c r="AV1085" s="332"/>
      <c r="AW1085" s="332"/>
      <c r="AX1085" s="332"/>
      <c r="AY1085" s="332"/>
      <c r="AZ1085" s="332"/>
      <c r="BA1085" s="332"/>
      <c r="BB1085" s="332"/>
      <c r="BC1085" s="332"/>
      <c r="BD1085" s="332"/>
      <c r="BE1085" s="332"/>
      <c r="BF1085" s="332"/>
      <c r="BG1085" s="332"/>
      <c r="BH1085" s="332"/>
      <c r="BI1085" s="332"/>
      <c r="BJ1085" s="332"/>
      <c r="BK1085" s="332"/>
      <c r="BL1085" s="332"/>
      <c r="BM1085" s="332"/>
      <c r="BN1085" s="332"/>
      <c r="BO1085" s="332"/>
      <c r="BP1085" s="332"/>
      <c r="BQ1085" s="332"/>
      <c r="BR1085" s="332"/>
      <c r="BS1085" s="332"/>
      <c r="BT1085" s="332"/>
      <c r="BU1085" s="332"/>
      <c r="BV1085" s="332"/>
      <c r="BW1085" s="332"/>
      <c r="BX1085" s="332"/>
      <c r="BY1085" s="332"/>
      <c r="BZ1085" s="332"/>
      <c r="CA1085" s="332"/>
      <c r="CB1085" s="332"/>
      <c r="CC1085" s="332"/>
      <c r="CD1085" s="332"/>
      <c r="CE1085" s="332"/>
      <c r="CF1085" s="332"/>
      <c r="CG1085" s="332"/>
      <c r="CH1085" s="332"/>
      <c r="CI1085" s="332"/>
      <c r="CJ1085" s="332"/>
      <c r="CK1085" s="332"/>
      <c r="CL1085" s="332"/>
      <c r="CM1085" s="332"/>
      <c r="CN1085" s="332"/>
      <c r="CO1085" s="332"/>
      <c r="CP1085" s="332"/>
      <c r="CQ1085" s="332"/>
      <c r="CR1085" s="332"/>
      <c r="CS1085" s="332"/>
      <c r="CT1085" s="332"/>
      <c r="CU1085" s="332"/>
      <c r="CV1085" s="332"/>
      <c r="CW1085" s="332"/>
      <c r="CX1085" s="332"/>
      <c r="CY1085" s="332"/>
      <c r="CZ1085" s="332"/>
      <c r="DA1085" s="332"/>
      <c r="DB1085" s="332"/>
      <c r="DC1085" s="332"/>
      <c r="DD1085" s="332"/>
      <c r="DE1085" s="332"/>
      <c r="DF1085" s="332"/>
      <c r="DG1085" s="332"/>
      <c r="DH1085" s="332"/>
      <c r="DI1085" s="332"/>
      <c r="DJ1085" s="332"/>
      <c r="DK1085" s="332"/>
      <c r="DL1085" s="332"/>
      <c r="DM1085" s="332"/>
      <c r="DN1085" s="332"/>
      <c r="DO1085" s="332"/>
      <c r="DP1085" s="332"/>
      <c r="DQ1085" s="332"/>
      <c r="DR1085" s="332"/>
      <c r="DS1085" s="332"/>
      <c r="DT1085" s="332"/>
      <c r="DU1085" s="453"/>
      <c r="DV1085" s="453"/>
      <c r="DW1085" s="453"/>
      <c r="DX1085" s="453"/>
      <c r="DY1085" s="453"/>
      <c r="DZ1085" s="453"/>
      <c r="EA1085" s="453"/>
      <c r="EB1085" s="453"/>
      <c r="EC1085" s="453"/>
      <c r="ED1085" s="453"/>
      <c r="EE1085" s="453"/>
      <c r="EF1085" s="453"/>
      <c r="EG1085" s="453"/>
      <c r="EH1085" s="453"/>
      <c r="EI1085" s="453"/>
      <c r="EJ1085" s="453"/>
      <c r="EK1085" s="453"/>
      <c r="EL1085" s="453"/>
      <c r="EM1085" s="483">
        <f t="shared" si="249"/>
        <v>776</v>
      </c>
      <c r="EN1085" s="485"/>
      <c r="EO1085" s="458"/>
      <c r="EP1085" s="467"/>
      <c r="EQ1085" s="457"/>
      <c r="ER1085" s="808"/>
      <c r="ES1085" s="881">
        <f t="shared" ref="ES1085:ES1500" si="250">IF(OR(EO1085 = "", EP1085 = 0, EP1085 = "", EQ1085 = 0, EQ1085 = "", ER1085 = 0, ER1085 = ""), 0,
IF(EO1085 &lt;&gt; "ACCION", EP1085 * ER1085 * -100,  EP1085 * ER1085 * -1))</f>
        <v>0</v>
      </c>
      <c r="ET1085" s="882"/>
      <c r="EU1085" s="883"/>
      <c r="EV1085" s="884">
        <f t="shared" ref="EV1085:EV1500" si="251">+IF(OR(EO1085 = "", EP1085 = 0, EP1085 = "", EQ1085 = 0, EQ1085 = "", ER1085 = 0, ER1085 = ""), 0,
IF(EO1085 &lt;&gt; "ACCION",
IF(EP1085 &gt; 0, EP1085 * ER1085 * -100 * ( 1 + COMIS_OPCION), EP1085 * ER1085 * -100 * ( 1 - COMIS_OPCION)),
IF(EP1085 &gt; 0, EP1085 * ER1085 * -1 * ( 1 + COMIS_ACCION), EP1085 * ER1085 * -1 * ( 1 - COMIS_ACCION))  ))</f>
        <v>0</v>
      </c>
      <c r="EW1085" s="885"/>
      <c r="EX1085" s="885"/>
      <c r="EY1085" s="885"/>
      <c r="EZ1085" s="885"/>
      <c r="FA1085" s="885"/>
      <c r="FB1085" s="885"/>
      <c r="FC1085" s="885"/>
      <c r="FD1085" s="886"/>
      <c r="FE1085" s="551"/>
      <c r="FF1085" s="551"/>
      <c r="FG1085" s="551"/>
      <c r="FH1085" s="551"/>
      <c r="FI1085" s="551"/>
      <c r="FJ1085" s="551"/>
      <c r="FK1085" s="551"/>
      <c r="FL1085" s="555"/>
      <c r="FM1085" s="554"/>
      <c r="FN1085" s="554"/>
      <c r="FO1085" s="554"/>
      <c r="FP1085" s="554"/>
      <c r="FQ1085" s="554"/>
      <c r="FR1085" s="554"/>
      <c r="FS1085" s="554"/>
      <c r="FT1085" s="554"/>
      <c r="FU1085" s="554"/>
      <c r="FV1085" s="554"/>
      <c r="FW1085" s="554"/>
      <c r="FX1085" s="554"/>
      <c r="FY1085" s="554"/>
      <c r="FZ1085" s="554"/>
      <c r="GA1085" s="554"/>
      <c r="GB1085" s="556"/>
      <c r="GC1085" s="370"/>
      <c r="GD1085" s="453"/>
      <c r="GE1085" s="453"/>
      <c r="GF1085" s="453"/>
      <c r="GG1085" s="453"/>
      <c r="GH1085" s="454"/>
      <c r="GI1085" s="453"/>
      <c r="GJ1085" s="453"/>
      <c r="GK1085" s="453"/>
      <c r="GL1085" s="453"/>
      <c r="GM1085" s="453"/>
      <c r="GN1085" s="453"/>
      <c r="GO1085" s="453"/>
      <c r="GP1085" s="453"/>
      <c r="GQ1085" s="453"/>
      <c r="GR1085" s="453"/>
      <c r="GS1085" s="561"/>
      <c r="GT1085" s="475"/>
      <c r="GU1085" s="472"/>
      <c r="GV1085" s="453"/>
      <c r="GW1085" s="453"/>
      <c r="GX1085" s="869"/>
      <c r="GY1085" s="870"/>
      <c r="GZ1085" s="867"/>
      <c r="HA1085" s="868"/>
      <c r="HB1085" s="473"/>
      <c r="HC1085" s="869"/>
      <c r="HD1085" s="870"/>
      <c r="HE1085" s="867"/>
      <c r="HF1085" s="868"/>
      <c r="HG1085" s="473"/>
      <c r="HH1085" s="867"/>
      <c r="HI1085" s="868"/>
      <c r="HJ1085" s="867"/>
      <c r="HK1085" s="868"/>
      <c r="HL1085" s="370"/>
      <c r="HM1085" s="865"/>
      <c r="HN1085" s="866"/>
      <c r="HO1085" s="865"/>
      <c r="HP1085" s="866"/>
      <c r="HQ1085" s="865"/>
      <c r="HR1085" s="866"/>
      <c r="HS1085" s="867"/>
      <c r="HT1085" s="868"/>
      <c r="HU1085" s="489"/>
      <c r="HV1085" s="865"/>
      <c r="HW1085" s="866"/>
    </row>
    <row r="1086" spans="25:231" ht="15" customHeight="1">
      <c r="Y1086" s="332"/>
      <c r="Z1086" s="332"/>
      <c r="AA1086" s="332"/>
      <c r="AB1086" s="332"/>
      <c r="AC1086" s="332"/>
      <c r="AD1086" s="332"/>
      <c r="AE1086" s="332"/>
      <c r="AF1086" s="332"/>
      <c r="AG1086" s="332"/>
      <c r="AH1086" s="332"/>
      <c r="AI1086" s="332"/>
      <c r="AJ1086" s="332"/>
      <c r="AK1086" s="332"/>
      <c r="AL1086" s="332"/>
      <c r="AM1086" s="332"/>
      <c r="AN1086" s="332"/>
      <c r="AO1086" s="332"/>
      <c r="AP1086" s="332"/>
      <c r="AQ1086" s="332"/>
      <c r="AR1086" s="332"/>
      <c r="AS1086" s="332"/>
      <c r="AT1086" s="332"/>
      <c r="AU1086" s="332"/>
      <c r="AV1086" s="332"/>
      <c r="AW1086" s="332"/>
      <c r="AX1086" s="332"/>
      <c r="AY1086" s="332"/>
      <c r="AZ1086" s="332"/>
      <c r="BA1086" s="332"/>
      <c r="BB1086" s="332"/>
      <c r="BC1086" s="332"/>
      <c r="BD1086" s="332"/>
      <c r="BE1086" s="332"/>
      <c r="BF1086" s="332"/>
      <c r="BG1086" s="332"/>
      <c r="BH1086" s="332"/>
      <c r="BI1086" s="332"/>
      <c r="BJ1086" s="332"/>
      <c r="BK1086" s="332"/>
      <c r="BL1086" s="332"/>
      <c r="BM1086" s="332"/>
      <c r="BN1086" s="332"/>
      <c r="BO1086" s="332"/>
      <c r="BP1086" s="332"/>
      <c r="BQ1086" s="332"/>
      <c r="BR1086" s="332"/>
      <c r="BS1086" s="332"/>
      <c r="BT1086" s="332"/>
      <c r="BU1086" s="332"/>
      <c r="BV1086" s="332"/>
      <c r="BW1086" s="332"/>
      <c r="BX1086" s="332"/>
      <c r="BY1086" s="332"/>
      <c r="BZ1086" s="332"/>
      <c r="CA1086" s="332"/>
      <c r="CB1086" s="332"/>
      <c r="CC1086" s="332"/>
      <c r="CD1086" s="332"/>
      <c r="CE1086" s="332"/>
      <c r="CF1086" s="332"/>
      <c r="CG1086" s="332"/>
      <c r="CH1086" s="332"/>
      <c r="CI1086" s="332"/>
      <c r="CJ1086" s="332"/>
      <c r="CK1086" s="332"/>
      <c r="CL1086" s="332"/>
      <c r="CM1086" s="332"/>
      <c r="CN1086" s="332"/>
      <c r="CO1086" s="332"/>
      <c r="CP1086" s="332"/>
      <c r="CQ1086" s="332"/>
      <c r="CR1086" s="332"/>
      <c r="CS1086" s="332"/>
      <c r="CT1086" s="332"/>
      <c r="CU1086" s="332"/>
      <c r="CV1086" s="332"/>
      <c r="CW1086" s="332"/>
      <c r="CX1086" s="332"/>
      <c r="CY1086" s="332"/>
      <c r="CZ1086" s="332"/>
      <c r="DA1086" s="332"/>
      <c r="DB1086" s="332"/>
      <c r="DC1086" s="332"/>
      <c r="DD1086" s="332"/>
      <c r="DE1086" s="332"/>
      <c r="DF1086" s="332"/>
      <c r="DG1086" s="332"/>
      <c r="DH1086" s="332"/>
      <c r="DI1086" s="332"/>
      <c r="DJ1086" s="332"/>
      <c r="DK1086" s="332"/>
      <c r="DL1086" s="332"/>
      <c r="DM1086" s="332"/>
      <c r="DN1086" s="332"/>
      <c r="DO1086" s="332"/>
      <c r="DP1086" s="332"/>
      <c r="DQ1086" s="332"/>
      <c r="DR1086" s="332"/>
      <c r="DS1086" s="332"/>
      <c r="DT1086" s="332"/>
      <c r="DU1086" s="453"/>
      <c r="DV1086" s="453"/>
      <c r="DW1086" s="453"/>
      <c r="DX1086" s="453"/>
      <c r="DY1086" s="453"/>
      <c r="DZ1086" s="453"/>
      <c r="EA1086" s="453"/>
      <c r="EB1086" s="453"/>
      <c r="EC1086" s="453"/>
      <c r="ED1086" s="453"/>
      <c r="EE1086" s="453"/>
      <c r="EF1086" s="453"/>
      <c r="EG1086" s="453"/>
      <c r="EH1086" s="453"/>
      <c r="EI1086" s="453"/>
      <c r="EJ1086" s="453"/>
      <c r="EK1086" s="453"/>
      <c r="EL1086" s="453"/>
      <c r="EM1086" s="483">
        <f t="shared" si="249"/>
        <v>777</v>
      </c>
      <c r="EN1086" s="485"/>
      <c r="EO1086" s="458"/>
      <c r="EP1086" s="467"/>
      <c r="EQ1086" s="457"/>
      <c r="ER1086" s="808"/>
      <c r="ES1086" s="881">
        <f t="shared" si="250"/>
        <v>0</v>
      </c>
      <c r="ET1086" s="882"/>
      <c r="EU1086" s="883"/>
      <c r="EV1086" s="884">
        <f t="shared" si="251"/>
        <v>0</v>
      </c>
      <c r="EW1086" s="885"/>
      <c r="EX1086" s="885"/>
      <c r="EY1086" s="885"/>
      <c r="EZ1086" s="885"/>
      <c r="FA1086" s="885"/>
      <c r="FB1086" s="885"/>
      <c r="FC1086" s="885"/>
      <c r="FD1086" s="886"/>
      <c r="FE1086" s="551"/>
      <c r="FF1086" s="551"/>
      <c r="FG1086" s="551"/>
      <c r="FH1086" s="551"/>
      <c r="FI1086" s="551"/>
      <c r="FJ1086" s="551"/>
      <c r="FK1086" s="551"/>
      <c r="FL1086" s="555"/>
      <c r="FM1086" s="554"/>
      <c r="FN1086" s="554"/>
      <c r="FO1086" s="554"/>
      <c r="FP1086" s="554"/>
      <c r="FQ1086" s="554"/>
      <c r="FR1086" s="554"/>
      <c r="FS1086" s="554"/>
      <c r="FT1086" s="554"/>
      <c r="FU1086" s="554"/>
      <c r="FV1086" s="554"/>
      <c r="FW1086" s="554"/>
      <c r="FX1086" s="554"/>
      <c r="FY1086" s="554"/>
      <c r="FZ1086" s="554"/>
      <c r="GA1086" s="554"/>
      <c r="GB1086" s="556"/>
      <c r="GC1086" s="370"/>
      <c r="GD1086" s="453"/>
      <c r="GE1086" s="453"/>
      <c r="GF1086" s="453"/>
      <c r="GG1086" s="453"/>
      <c r="GH1086" s="454"/>
      <c r="GI1086" s="453"/>
      <c r="GJ1086" s="453"/>
      <c r="GK1086" s="453"/>
      <c r="GL1086" s="453"/>
      <c r="GM1086" s="453"/>
      <c r="GN1086" s="453"/>
      <c r="GO1086" s="453"/>
      <c r="GP1086" s="453"/>
      <c r="GQ1086" s="453"/>
      <c r="GR1086" s="453"/>
      <c r="GS1086" s="561"/>
      <c r="GT1086" s="475"/>
      <c r="GU1086" s="472"/>
      <c r="GV1086" s="453"/>
      <c r="GW1086" s="453"/>
      <c r="GX1086" s="869"/>
      <c r="GY1086" s="870"/>
      <c r="GZ1086" s="867"/>
      <c r="HA1086" s="868"/>
      <c r="HB1086" s="473"/>
      <c r="HC1086" s="869"/>
      <c r="HD1086" s="870"/>
      <c r="HE1086" s="867"/>
      <c r="HF1086" s="868"/>
      <c r="HG1086" s="473"/>
      <c r="HH1086" s="867"/>
      <c r="HI1086" s="868"/>
      <c r="HJ1086" s="867"/>
      <c r="HK1086" s="868"/>
      <c r="HL1086" s="370"/>
      <c r="HM1086" s="865"/>
      <c r="HN1086" s="866"/>
      <c r="HO1086" s="865"/>
      <c r="HP1086" s="866"/>
      <c r="HQ1086" s="865"/>
      <c r="HR1086" s="866"/>
      <c r="HS1086" s="867"/>
      <c r="HT1086" s="868"/>
      <c r="HU1086" s="489"/>
      <c r="HV1086" s="865"/>
      <c r="HW1086" s="866"/>
    </row>
    <row r="1087" spans="25:231" ht="15" customHeight="1">
      <c r="Y1087" s="332"/>
      <c r="Z1087" s="332"/>
      <c r="AA1087" s="332"/>
      <c r="AB1087" s="332"/>
      <c r="AC1087" s="332"/>
      <c r="AD1087" s="332"/>
      <c r="AE1087" s="332"/>
      <c r="AF1087" s="332"/>
      <c r="AG1087" s="332"/>
      <c r="AH1087" s="332"/>
      <c r="AI1087" s="332"/>
      <c r="AJ1087" s="332"/>
      <c r="AK1087" s="332"/>
      <c r="AL1087" s="332"/>
      <c r="AM1087" s="332"/>
      <c r="AN1087" s="332"/>
      <c r="AO1087" s="332"/>
      <c r="AP1087" s="332"/>
      <c r="AQ1087" s="332"/>
      <c r="AR1087" s="332"/>
      <c r="AS1087" s="332"/>
      <c r="AT1087" s="332"/>
      <c r="AU1087" s="332"/>
      <c r="AV1087" s="332"/>
      <c r="AW1087" s="332"/>
      <c r="AX1087" s="332"/>
      <c r="AY1087" s="332"/>
      <c r="AZ1087" s="332"/>
      <c r="BA1087" s="332"/>
      <c r="BB1087" s="332"/>
      <c r="BC1087" s="332"/>
      <c r="BD1087" s="332"/>
      <c r="BE1087" s="332"/>
      <c r="BF1087" s="332"/>
      <c r="BG1087" s="332"/>
      <c r="BH1087" s="332"/>
      <c r="BI1087" s="332"/>
      <c r="BJ1087" s="332"/>
      <c r="BK1087" s="332"/>
      <c r="BL1087" s="332"/>
      <c r="BM1087" s="332"/>
      <c r="BN1087" s="332"/>
      <c r="BO1087" s="332"/>
      <c r="BP1087" s="332"/>
      <c r="BQ1087" s="332"/>
      <c r="BR1087" s="332"/>
      <c r="BS1087" s="332"/>
      <c r="BT1087" s="332"/>
      <c r="BU1087" s="332"/>
      <c r="BV1087" s="332"/>
      <c r="BW1087" s="332"/>
      <c r="BX1087" s="332"/>
      <c r="BY1087" s="332"/>
      <c r="BZ1087" s="332"/>
      <c r="CA1087" s="332"/>
      <c r="CB1087" s="332"/>
      <c r="CC1087" s="332"/>
      <c r="CD1087" s="332"/>
      <c r="CE1087" s="332"/>
      <c r="CF1087" s="332"/>
      <c r="CG1087" s="332"/>
      <c r="CH1087" s="332"/>
      <c r="CI1087" s="332"/>
      <c r="CJ1087" s="332"/>
      <c r="CK1087" s="332"/>
      <c r="CL1087" s="332"/>
      <c r="CM1087" s="332"/>
      <c r="CN1087" s="332"/>
      <c r="CO1087" s="332"/>
      <c r="CP1087" s="332"/>
      <c r="CQ1087" s="332"/>
      <c r="CR1087" s="332"/>
      <c r="CS1087" s="332"/>
      <c r="CT1087" s="332"/>
      <c r="CU1087" s="332"/>
      <c r="CV1087" s="332"/>
      <c r="CW1087" s="332"/>
      <c r="CX1087" s="332"/>
      <c r="CY1087" s="332"/>
      <c r="CZ1087" s="332"/>
      <c r="DA1087" s="332"/>
      <c r="DB1087" s="332"/>
      <c r="DC1087" s="332"/>
      <c r="DD1087" s="332"/>
      <c r="DE1087" s="332"/>
      <c r="DF1087" s="332"/>
      <c r="DG1087" s="332"/>
      <c r="DH1087" s="332"/>
      <c r="DI1087" s="332"/>
      <c r="DJ1087" s="332"/>
      <c r="DK1087" s="332"/>
      <c r="DL1087" s="332"/>
      <c r="DM1087" s="332"/>
      <c r="DN1087" s="332"/>
      <c r="DO1087" s="332"/>
      <c r="DP1087" s="332"/>
      <c r="DQ1087" s="332"/>
      <c r="DR1087" s="332"/>
      <c r="DS1087" s="332"/>
      <c r="DT1087" s="332"/>
      <c r="DU1087" s="453"/>
      <c r="DV1087" s="453"/>
      <c r="DW1087" s="453"/>
      <c r="DX1087" s="453"/>
      <c r="DY1087" s="453"/>
      <c r="DZ1087" s="453"/>
      <c r="EA1087" s="453"/>
      <c r="EB1087" s="453"/>
      <c r="EC1087" s="453"/>
      <c r="ED1087" s="453"/>
      <c r="EE1087" s="453"/>
      <c r="EF1087" s="453"/>
      <c r="EG1087" s="453"/>
      <c r="EH1087" s="453"/>
      <c r="EI1087" s="453"/>
      <c r="EJ1087" s="453"/>
      <c r="EK1087" s="453"/>
      <c r="EL1087" s="453"/>
      <c r="EM1087" s="483">
        <f t="shared" si="249"/>
        <v>778</v>
      </c>
      <c r="EN1087" s="485"/>
      <c r="EO1087" s="458"/>
      <c r="EP1087" s="467"/>
      <c r="EQ1087" s="457"/>
      <c r="ER1087" s="808"/>
      <c r="ES1087" s="881">
        <f t="shared" si="250"/>
        <v>0</v>
      </c>
      <c r="ET1087" s="882"/>
      <c r="EU1087" s="883"/>
      <c r="EV1087" s="884">
        <f t="shared" si="251"/>
        <v>0</v>
      </c>
      <c r="EW1087" s="885"/>
      <c r="EX1087" s="885"/>
      <c r="EY1087" s="885"/>
      <c r="EZ1087" s="885"/>
      <c r="FA1087" s="885"/>
      <c r="FB1087" s="885"/>
      <c r="FC1087" s="885"/>
      <c r="FD1087" s="886"/>
      <c r="FE1087" s="551"/>
      <c r="FF1087" s="551"/>
      <c r="FG1087" s="551"/>
      <c r="FH1087" s="551"/>
      <c r="FI1087" s="551"/>
      <c r="FJ1087" s="551"/>
      <c r="FK1087" s="551"/>
      <c r="FL1087" s="555"/>
      <c r="FM1087" s="554"/>
      <c r="FN1087" s="554"/>
      <c r="FO1087" s="554"/>
      <c r="FP1087" s="554"/>
      <c r="FQ1087" s="554"/>
      <c r="FR1087" s="554"/>
      <c r="FS1087" s="554"/>
      <c r="FT1087" s="554"/>
      <c r="FU1087" s="554"/>
      <c r="FV1087" s="554"/>
      <c r="FW1087" s="554"/>
      <c r="FX1087" s="554"/>
      <c r="FY1087" s="554"/>
      <c r="FZ1087" s="554"/>
      <c r="GA1087" s="554"/>
      <c r="GB1087" s="556"/>
      <c r="GC1087" s="370"/>
      <c r="GD1087" s="453"/>
      <c r="GE1087" s="453"/>
      <c r="GF1087" s="453"/>
      <c r="GG1087" s="453"/>
      <c r="GH1087" s="454"/>
      <c r="GI1087" s="453"/>
      <c r="GJ1087" s="453"/>
      <c r="GK1087" s="453"/>
      <c r="GL1087" s="453"/>
      <c r="GM1087" s="453"/>
      <c r="GN1087" s="453"/>
      <c r="GO1087" s="453"/>
      <c r="GP1087" s="453"/>
      <c r="GQ1087" s="453"/>
      <c r="GR1087" s="453"/>
      <c r="GS1087" s="561"/>
      <c r="GT1087" s="475"/>
      <c r="GU1087" s="472"/>
      <c r="GV1087" s="453"/>
      <c r="GW1087" s="453"/>
      <c r="GX1087" s="869"/>
      <c r="GY1087" s="870"/>
      <c r="GZ1087" s="867"/>
      <c r="HA1087" s="868"/>
      <c r="HB1087" s="473"/>
      <c r="HC1087" s="869"/>
      <c r="HD1087" s="870"/>
      <c r="HE1087" s="867"/>
      <c r="HF1087" s="868"/>
      <c r="HG1087" s="473"/>
      <c r="HH1087" s="867"/>
      <c r="HI1087" s="868"/>
      <c r="HJ1087" s="867"/>
      <c r="HK1087" s="868"/>
      <c r="HL1087" s="370"/>
      <c r="HM1087" s="865"/>
      <c r="HN1087" s="866"/>
      <c r="HO1087" s="865"/>
      <c r="HP1087" s="866"/>
      <c r="HQ1087" s="865"/>
      <c r="HR1087" s="866"/>
      <c r="HS1087" s="867"/>
      <c r="HT1087" s="868"/>
      <c r="HU1087" s="489"/>
      <c r="HV1087" s="865"/>
      <c r="HW1087" s="866"/>
    </row>
    <row r="1088" spans="25:231" ht="15" customHeight="1">
      <c r="Y1088" s="332"/>
      <c r="Z1088" s="332"/>
      <c r="AA1088" s="332"/>
      <c r="AB1088" s="332"/>
      <c r="AC1088" s="332"/>
      <c r="AD1088" s="332"/>
      <c r="AE1088" s="332"/>
      <c r="AF1088" s="332"/>
      <c r="AG1088" s="332"/>
      <c r="AH1088" s="332"/>
      <c r="AI1088" s="332"/>
      <c r="AJ1088" s="332"/>
      <c r="AK1088" s="332"/>
      <c r="AL1088" s="332"/>
      <c r="AM1088" s="332"/>
      <c r="AN1088" s="332"/>
      <c r="AO1088" s="332"/>
      <c r="AP1088" s="332"/>
      <c r="AQ1088" s="332"/>
      <c r="AR1088" s="332"/>
      <c r="AS1088" s="332"/>
      <c r="AT1088" s="332"/>
      <c r="AU1088" s="332"/>
      <c r="AV1088" s="332"/>
      <c r="AW1088" s="332"/>
      <c r="AX1088" s="332"/>
      <c r="AY1088" s="332"/>
      <c r="AZ1088" s="332"/>
      <c r="BA1088" s="332"/>
      <c r="BB1088" s="332"/>
      <c r="BC1088" s="332"/>
      <c r="BD1088" s="332"/>
      <c r="BE1088" s="332"/>
      <c r="BF1088" s="332"/>
      <c r="BG1088" s="332"/>
      <c r="BH1088" s="332"/>
      <c r="BI1088" s="332"/>
      <c r="BJ1088" s="332"/>
      <c r="BK1088" s="332"/>
      <c r="BL1088" s="332"/>
      <c r="BM1088" s="332"/>
      <c r="BN1088" s="332"/>
      <c r="BO1088" s="332"/>
      <c r="BP1088" s="332"/>
      <c r="BQ1088" s="332"/>
      <c r="BR1088" s="332"/>
      <c r="BS1088" s="332"/>
      <c r="BT1088" s="332"/>
      <c r="BU1088" s="332"/>
      <c r="BV1088" s="332"/>
      <c r="BW1088" s="332"/>
      <c r="BX1088" s="332"/>
      <c r="BY1088" s="332"/>
      <c r="BZ1088" s="332"/>
      <c r="CA1088" s="332"/>
      <c r="CB1088" s="332"/>
      <c r="CC1088" s="332"/>
      <c r="CD1088" s="332"/>
      <c r="CE1088" s="332"/>
      <c r="CF1088" s="332"/>
      <c r="CG1088" s="332"/>
      <c r="CH1088" s="332"/>
      <c r="CI1088" s="332"/>
      <c r="CJ1088" s="332"/>
      <c r="CK1088" s="332"/>
      <c r="CL1088" s="332"/>
      <c r="CM1088" s="332"/>
      <c r="CN1088" s="332"/>
      <c r="CO1088" s="332"/>
      <c r="CP1088" s="332"/>
      <c r="CQ1088" s="332"/>
      <c r="CR1088" s="332"/>
      <c r="CS1088" s="332"/>
      <c r="CT1088" s="332"/>
      <c r="CU1088" s="332"/>
      <c r="CV1088" s="332"/>
      <c r="CW1088" s="332"/>
      <c r="CX1088" s="332"/>
      <c r="CY1088" s="332"/>
      <c r="CZ1088" s="332"/>
      <c r="DA1088" s="332"/>
      <c r="DB1088" s="332"/>
      <c r="DC1088" s="332"/>
      <c r="DD1088" s="332"/>
      <c r="DE1088" s="332"/>
      <c r="DF1088" s="332"/>
      <c r="DG1088" s="332"/>
      <c r="DH1088" s="332"/>
      <c r="DI1088" s="332"/>
      <c r="DJ1088" s="332"/>
      <c r="DK1088" s="332"/>
      <c r="DL1088" s="332"/>
      <c r="DM1088" s="332"/>
      <c r="DN1088" s="332"/>
      <c r="DO1088" s="332"/>
      <c r="DP1088" s="332"/>
      <c r="DQ1088" s="332"/>
      <c r="DR1088" s="332"/>
      <c r="DS1088" s="332"/>
      <c r="DT1088" s="332"/>
      <c r="DU1088" s="453"/>
      <c r="DV1088" s="453"/>
      <c r="DW1088" s="453"/>
      <c r="DX1088" s="453"/>
      <c r="DY1088" s="453"/>
      <c r="DZ1088" s="453"/>
      <c r="EA1088" s="453"/>
      <c r="EB1088" s="453"/>
      <c r="EC1088" s="453"/>
      <c r="ED1088" s="453"/>
      <c r="EE1088" s="453"/>
      <c r="EF1088" s="453"/>
      <c r="EG1088" s="453"/>
      <c r="EH1088" s="453"/>
      <c r="EI1088" s="453"/>
      <c r="EJ1088" s="453"/>
      <c r="EK1088" s="453"/>
      <c r="EL1088" s="453"/>
      <c r="EM1088" s="483">
        <f t="shared" si="249"/>
        <v>779</v>
      </c>
      <c r="EN1088" s="485"/>
      <c r="EO1088" s="458"/>
      <c r="EP1088" s="467"/>
      <c r="EQ1088" s="457"/>
      <c r="ER1088" s="808"/>
      <c r="ES1088" s="881">
        <f t="shared" si="250"/>
        <v>0</v>
      </c>
      <c r="ET1088" s="882"/>
      <c r="EU1088" s="883"/>
      <c r="EV1088" s="884">
        <f t="shared" si="251"/>
        <v>0</v>
      </c>
      <c r="EW1088" s="885"/>
      <c r="EX1088" s="885"/>
      <c r="EY1088" s="885"/>
      <c r="EZ1088" s="885"/>
      <c r="FA1088" s="885"/>
      <c r="FB1088" s="885"/>
      <c r="FC1088" s="885"/>
      <c r="FD1088" s="886"/>
      <c r="FE1088" s="551"/>
      <c r="FF1088" s="551"/>
      <c r="FG1088" s="551"/>
      <c r="FH1088" s="551"/>
      <c r="FI1088" s="551"/>
      <c r="FJ1088" s="551"/>
      <c r="FK1088" s="551"/>
      <c r="FL1088" s="555"/>
      <c r="FM1088" s="554"/>
      <c r="FN1088" s="554"/>
      <c r="FO1088" s="554"/>
      <c r="FP1088" s="554"/>
      <c r="FQ1088" s="554"/>
      <c r="FR1088" s="554"/>
      <c r="FS1088" s="554"/>
      <c r="FT1088" s="554"/>
      <c r="FU1088" s="554"/>
      <c r="FV1088" s="554"/>
      <c r="FW1088" s="554"/>
      <c r="FX1088" s="554"/>
      <c r="FY1088" s="554"/>
      <c r="FZ1088" s="554"/>
      <c r="GA1088" s="554"/>
      <c r="GB1088" s="556"/>
      <c r="GC1088" s="370"/>
      <c r="GD1088" s="453"/>
      <c r="GE1088" s="453"/>
      <c r="GF1088" s="453"/>
      <c r="GG1088" s="453"/>
      <c r="GH1088" s="454"/>
      <c r="GI1088" s="453"/>
      <c r="GJ1088" s="453"/>
      <c r="GK1088" s="453"/>
      <c r="GL1088" s="453"/>
      <c r="GM1088" s="453"/>
      <c r="GN1088" s="453"/>
      <c r="GO1088" s="453"/>
      <c r="GP1088" s="453"/>
      <c r="GQ1088" s="453"/>
      <c r="GR1088" s="453"/>
      <c r="GS1088" s="561"/>
      <c r="GT1088" s="475"/>
      <c r="GU1088" s="472"/>
      <c r="GV1088" s="453"/>
      <c r="GW1088" s="453"/>
      <c r="GX1088" s="869"/>
      <c r="GY1088" s="870"/>
      <c r="GZ1088" s="867"/>
      <c r="HA1088" s="868"/>
      <c r="HB1088" s="473"/>
      <c r="HC1088" s="869"/>
      <c r="HD1088" s="870"/>
      <c r="HE1088" s="867"/>
      <c r="HF1088" s="868"/>
      <c r="HG1088" s="473"/>
      <c r="HH1088" s="867"/>
      <c r="HI1088" s="868"/>
      <c r="HJ1088" s="867"/>
      <c r="HK1088" s="868"/>
      <c r="HL1088" s="370"/>
      <c r="HM1088" s="865"/>
      <c r="HN1088" s="866"/>
      <c r="HO1088" s="865"/>
      <c r="HP1088" s="866"/>
      <c r="HQ1088" s="865"/>
      <c r="HR1088" s="866"/>
      <c r="HS1088" s="867"/>
      <c r="HT1088" s="868"/>
      <c r="HU1088" s="489"/>
      <c r="HV1088" s="865"/>
      <c r="HW1088" s="866"/>
    </row>
    <row r="1089" spans="25:231" ht="15" customHeight="1">
      <c r="Y1089" s="332"/>
      <c r="Z1089" s="332"/>
      <c r="AA1089" s="332"/>
      <c r="AB1089" s="332"/>
      <c r="AC1089" s="332"/>
      <c r="AD1089" s="332"/>
      <c r="AE1089" s="332"/>
      <c r="AF1089" s="332"/>
      <c r="AG1089" s="332"/>
      <c r="AH1089" s="332"/>
      <c r="AI1089" s="332"/>
      <c r="AJ1089" s="332"/>
      <c r="AK1089" s="332"/>
      <c r="AL1089" s="332"/>
      <c r="AM1089" s="332"/>
      <c r="AN1089" s="332"/>
      <c r="AO1089" s="332"/>
      <c r="AP1089" s="332"/>
      <c r="AQ1089" s="332"/>
      <c r="AR1089" s="332"/>
      <c r="AS1089" s="332"/>
      <c r="AT1089" s="332"/>
      <c r="AU1089" s="332"/>
      <c r="AV1089" s="332"/>
      <c r="AW1089" s="332"/>
      <c r="AX1089" s="332"/>
      <c r="AY1089" s="332"/>
      <c r="AZ1089" s="332"/>
      <c r="BA1089" s="332"/>
      <c r="BB1089" s="332"/>
      <c r="BC1089" s="332"/>
      <c r="BD1089" s="332"/>
      <c r="BE1089" s="332"/>
      <c r="BF1089" s="332"/>
      <c r="BG1089" s="332"/>
      <c r="BH1089" s="332"/>
      <c r="BI1089" s="332"/>
      <c r="BJ1089" s="332"/>
      <c r="BK1089" s="332"/>
      <c r="BL1089" s="332"/>
      <c r="BM1089" s="332"/>
      <c r="BN1089" s="332"/>
      <c r="BO1089" s="332"/>
      <c r="BP1089" s="332"/>
      <c r="BQ1089" s="332"/>
      <c r="BR1089" s="332"/>
      <c r="BS1089" s="332"/>
      <c r="BT1089" s="332"/>
      <c r="BU1089" s="332"/>
      <c r="BV1089" s="332"/>
      <c r="BW1089" s="332"/>
      <c r="BX1089" s="332"/>
      <c r="BY1089" s="332"/>
      <c r="BZ1089" s="332"/>
      <c r="CA1089" s="332"/>
      <c r="CB1089" s="332"/>
      <c r="CC1089" s="332"/>
      <c r="CD1089" s="332"/>
      <c r="CE1089" s="332"/>
      <c r="CF1089" s="332"/>
      <c r="CG1089" s="332"/>
      <c r="CH1089" s="332"/>
      <c r="CI1089" s="332"/>
      <c r="CJ1089" s="332"/>
      <c r="CK1089" s="332"/>
      <c r="CL1089" s="332"/>
      <c r="CM1089" s="332"/>
      <c r="CN1089" s="332"/>
      <c r="CO1089" s="332"/>
      <c r="CP1089" s="332"/>
      <c r="CQ1089" s="332"/>
      <c r="CR1089" s="332"/>
      <c r="CS1089" s="332"/>
      <c r="CT1089" s="332"/>
      <c r="CU1089" s="332"/>
      <c r="CV1089" s="332"/>
      <c r="CW1089" s="332"/>
      <c r="CX1089" s="332"/>
      <c r="CY1089" s="332"/>
      <c r="CZ1089" s="332"/>
      <c r="DA1089" s="332"/>
      <c r="DB1089" s="332"/>
      <c r="DC1089" s="332"/>
      <c r="DD1089" s="332"/>
      <c r="DE1089" s="332"/>
      <c r="DF1089" s="332"/>
      <c r="DG1089" s="332"/>
      <c r="DH1089" s="332"/>
      <c r="DI1089" s="332"/>
      <c r="DJ1089" s="332"/>
      <c r="DK1089" s="332"/>
      <c r="DL1089" s="332"/>
      <c r="DM1089" s="332"/>
      <c r="DN1089" s="332"/>
      <c r="DO1089" s="332"/>
      <c r="DP1089" s="332"/>
      <c r="DQ1089" s="332"/>
      <c r="DR1089" s="332"/>
      <c r="DS1089" s="332"/>
      <c r="DT1089" s="332"/>
      <c r="DU1089" s="453"/>
      <c r="DV1089" s="453"/>
      <c r="DW1089" s="453"/>
      <c r="DX1089" s="453"/>
      <c r="DY1089" s="453"/>
      <c r="DZ1089" s="453"/>
      <c r="EA1089" s="453"/>
      <c r="EB1089" s="453"/>
      <c r="EC1089" s="453"/>
      <c r="ED1089" s="453"/>
      <c r="EE1089" s="453"/>
      <c r="EF1089" s="453"/>
      <c r="EG1089" s="453"/>
      <c r="EH1089" s="453"/>
      <c r="EI1089" s="453"/>
      <c r="EJ1089" s="453"/>
      <c r="EK1089" s="453"/>
      <c r="EL1089" s="453"/>
      <c r="EM1089" s="483">
        <f t="shared" si="249"/>
        <v>780</v>
      </c>
      <c r="EN1089" s="485"/>
      <c r="EO1089" s="458"/>
      <c r="EP1089" s="467"/>
      <c r="EQ1089" s="457"/>
      <c r="ER1089" s="808"/>
      <c r="ES1089" s="881">
        <f t="shared" si="250"/>
        <v>0</v>
      </c>
      <c r="ET1089" s="882"/>
      <c r="EU1089" s="883"/>
      <c r="EV1089" s="884">
        <f t="shared" si="251"/>
        <v>0</v>
      </c>
      <c r="EW1089" s="885"/>
      <c r="EX1089" s="885"/>
      <c r="EY1089" s="885"/>
      <c r="EZ1089" s="885"/>
      <c r="FA1089" s="885"/>
      <c r="FB1089" s="885"/>
      <c r="FC1089" s="885"/>
      <c r="FD1089" s="886"/>
      <c r="FE1089" s="552"/>
      <c r="FF1089" s="552"/>
      <c r="FG1089" s="552"/>
      <c r="FH1089" s="552"/>
      <c r="FI1089" s="552"/>
      <c r="FJ1089" s="552"/>
      <c r="FK1089" s="552"/>
      <c r="FL1089" s="555"/>
      <c r="FM1089" s="554"/>
      <c r="FN1089" s="554"/>
      <c r="FO1089" s="554"/>
      <c r="FP1089" s="554"/>
      <c r="FQ1089" s="554"/>
      <c r="FR1089" s="554"/>
      <c r="FS1089" s="554"/>
      <c r="FT1089" s="554"/>
      <c r="FU1089" s="554"/>
      <c r="FV1089" s="554"/>
      <c r="FW1089" s="554"/>
      <c r="FX1089" s="554"/>
      <c r="FY1089" s="554"/>
      <c r="FZ1089" s="554"/>
      <c r="GA1089" s="554"/>
      <c r="GB1089" s="556"/>
      <c r="GC1089" s="370"/>
      <c r="GD1089" s="453"/>
      <c r="GE1089" s="453"/>
      <c r="GF1089" s="453"/>
      <c r="GG1089" s="453"/>
      <c r="GH1089" s="454"/>
      <c r="GI1089" s="453"/>
      <c r="GJ1089" s="453"/>
      <c r="GK1089" s="453"/>
      <c r="GL1089" s="453"/>
      <c r="GM1089" s="453"/>
      <c r="GN1089" s="453"/>
      <c r="GO1089" s="453"/>
      <c r="GP1089" s="453"/>
      <c r="GQ1089" s="453"/>
      <c r="GR1089" s="453"/>
      <c r="GS1089" s="561"/>
      <c r="GT1089" s="475"/>
      <c r="GU1089" s="472"/>
      <c r="GV1089" s="453"/>
      <c r="GW1089" s="453"/>
      <c r="GX1089" s="869"/>
      <c r="GY1089" s="870"/>
      <c r="GZ1089" s="867"/>
      <c r="HA1089" s="868"/>
      <c r="HB1089" s="473"/>
      <c r="HC1089" s="869"/>
      <c r="HD1089" s="870"/>
      <c r="HE1089" s="867"/>
      <c r="HF1089" s="868"/>
      <c r="HG1089" s="473"/>
      <c r="HH1089" s="867"/>
      <c r="HI1089" s="868"/>
      <c r="HJ1089" s="867"/>
      <c r="HK1089" s="868"/>
      <c r="HL1089" s="370"/>
      <c r="HM1089" s="865"/>
      <c r="HN1089" s="866"/>
      <c r="HO1089" s="865"/>
      <c r="HP1089" s="866"/>
      <c r="HQ1089" s="865"/>
      <c r="HR1089" s="866"/>
      <c r="HS1089" s="867"/>
      <c r="HT1089" s="868"/>
      <c r="HU1089" s="489"/>
      <c r="HV1089" s="865"/>
      <c r="HW1089" s="866"/>
    </row>
    <row r="1090" spans="25:231" ht="15" customHeight="1">
      <c r="Y1090" s="332"/>
      <c r="Z1090" s="332"/>
      <c r="AA1090" s="332"/>
      <c r="AB1090" s="332"/>
      <c r="AC1090" s="332"/>
      <c r="AD1090" s="332"/>
      <c r="AE1090" s="332"/>
      <c r="AF1090" s="332"/>
      <c r="AG1090" s="332"/>
      <c r="AH1090" s="332"/>
      <c r="AI1090" s="332"/>
      <c r="AJ1090" s="332"/>
      <c r="AK1090" s="332"/>
      <c r="AL1090" s="332"/>
      <c r="AM1090" s="332"/>
      <c r="AN1090" s="332"/>
      <c r="AO1090" s="332"/>
      <c r="AP1090" s="332"/>
      <c r="AQ1090" s="332"/>
      <c r="AR1090" s="332"/>
      <c r="AS1090" s="332"/>
      <c r="AT1090" s="332"/>
      <c r="AU1090" s="332"/>
      <c r="AV1090" s="332"/>
      <c r="AW1090" s="332"/>
      <c r="AX1090" s="332"/>
      <c r="AY1090" s="332"/>
      <c r="AZ1090" s="332"/>
      <c r="BA1090" s="332"/>
      <c r="BB1090" s="332"/>
      <c r="BC1090" s="332"/>
      <c r="BD1090" s="332"/>
      <c r="BE1090" s="332"/>
      <c r="BF1090" s="332"/>
      <c r="BG1090" s="332"/>
      <c r="BH1090" s="332"/>
      <c r="BI1090" s="332"/>
      <c r="BJ1090" s="332"/>
      <c r="BK1090" s="332"/>
      <c r="BL1090" s="332"/>
      <c r="BM1090" s="332"/>
      <c r="BN1090" s="332"/>
      <c r="BO1090" s="332"/>
      <c r="BP1090" s="332"/>
      <c r="BQ1090" s="332"/>
      <c r="BR1090" s="332"/>
      <c r="BS1090" s="332"/>
      <c r="BT1090" s="332"/>
      <c r="BU1090" s="332"/>
      <c r="BV1090" s="332"/>
      <c r="BW1090" s="332"/>
      <c r="BX1090" s="332"/>
      <c r="BY1090" s="332"/>
      <c r="BZ1090" s="332"/>
      <c r="CA1090" s="332"/>
      <c r="CB1090" s="332"/>
      <c r="CC1090" s="332"/>
      <c r="CD1090" s="332"/>
      <c r="CE1090" s="332"/>
      <c r="CF1090" s="332"/>
      <c r="CG1090" s="332"/>
      <c r="CH1090" s="332"/>
      <c r="CI1090" s="332"/>
      <c r="CJ1090" s="332"/>
      <c r="CK1090" s="332"/>
      <c r="CL1090" s="332"/>
      <c r="CM1090" s="332"/>
      <c r="CN1090" s="332"/>
      <c r="CO1090" s="332"/>
      <c r="CP1090" s="332"/>
      <c r="CQ1090" s="332"/>
      <c r="CR1090" s="332"/>
      <c r="CS1090" s="332"/>
      <c r="CT1090" s="332"/>
      <c r="CU1090" s="332"/>
      <c r="CV1090" s="332"/>
      <c r="CW1090" s="332"/>
      <c r="CX1090" s="332"/>
      <c r="CY1090" s="332"/>
      <c r="CZ1090" s="332"/>
      <c r="DA1090" s="332"/>
      <c r="DB1090" s="332"/>
      <c r="DC1090" s="332"/>
      <c r="DD1090" s="332"/>
      <c r="DE1090" s="332"/>
      <c r="DF1090" s="332"/>
      <c r="DG1090" s="332"/>
      <c r="DH1090" s="332"/>
      <c r="DI1090" s="332"/>
      <c r="DJ1090" s="332"/>
      <c r="DK1090" s="332"/>
      <c r="DL1090" s="332"/>
      <c r="DM1090" s="332"/>
      <c r="DN1090" s="332"/>
      <c r="DO1090" s="332"/>
      <c r="DP1090" s="332"/>
      <c r="DQ1090" s="332"/>
      <c r="DR1090" s="332"/>
      <c r="DS1090" s="332"/>
      <c r="DT1090" s="332"/>
      <c r="DU1090" s="453"/>
      <c r="DV1090" s="453"/>
      <c r="DW1090" s="453"/>
      <c r="DX1090" s="453"/>
      <c r="DY1090" s="453"/>
      <c r="DZ1090" s="453"/>
      <c r="EA1090" s="453"/>
      <c r="EB1090" s="453"/>
      <c r="EC1090" s="453"/>
      <c r="ED1090" s="453"/>
      <c r="EE1090" s="453"/>
      <c r="EF1090" s="453"/>
      <c r="EG1090" s="453"/>
      <c r="EH1090" s="453"/>
      <c r="EI1090" s="453"/>
      <c r="EJ1090" s="453"/>
      <c r="EK1090" s="453"/>
      <c r="EL1090" s="453"/>
      <c r="EM1090" s="483">
        <f t="shared" si="249"/>
        <v>781</v>
      </c>
      <c r="EN1090" s="485"/>
      <c r="EO1090" s="458"/>
      <c r="EP1090" s="467"/>
      <c r="EQ1090" s="457"/>
      <c r="ER1090" s="808"/>
      <c r="ES1090" s="881">
        <f t="shared" si="250"/>
        <v>0</v>
      </c>
      <c r="ET1090" s="882"/>
      <c r="EU1090" s="883"/>
      <c r="EV1090" s="884">
        <f t="shared" si="251"/>
        <v>0</v>
      </c>
      <c r="EW1090" s="885"/>
      <c r="EX1090" s="885"/>
      <c r="EY1090" s="885"/>
      <c r="EZ1090" s="885"/>
      <c r="FA1090" s="885"/>
      <c r="FB1090" s="885"/>
      <c r="FC1090" s="885"/>
      <c r="FD1090" s="886"/>
      <c r="FE1090" s="552"/>
      <c r="FF1090" s="552"/>
      <c r="FG1090" s="552"/>
      <c r="FH1090" s="552"/>
      <c r="FI1090" s="552"/>
      <c r="FJ1090" s="552"/>
      <c r="FK1090" s="552"/>
      <c r="FL1090" s="555"/>
      <c r="FM1090" s="554"/>
      <c r="FN1090" s="554"/>
      <c r="FO1090" s="554"/>
      <c r="FP1090" s="554"/>
      <c r="FQ1090" s="554"/>
      <c r="FR1090" s="554"/>
      <c r="FS1090" s="554"/>
      <c r="FT1090" s="554"/>
      <c r="FU1090" s="554"/>
      <c r="FV1090" s="554"/>
      <c r="FW1090" s="554"/>
      <c r="FX1090" s="554"/>
      <c r="FY1090" s="554"/>
      <c r="FZ1090" s="554"/>
      <c r="GA1090" s="554"/>
      <c r="GB1090" s="556"/>
      <c r="GC1090" s="370"/>
      <c r="GD1090" s="453"/>
      <c r="GE1090" s="453"/>
      <c r="GF1090" s="453"/>
      <c r="GG1090" s="453"/>
      <c r="GH1090" s="454"/>
      <c r="GI1090" s="453"/>
      <c r="GJ1090" s="453"/>
      <c r="GK1090" s="453"/>
      <c r="GL1090" s="453"/>
      <c r="GM1090" s="453"/>
      <c r="GN1090" s="453"/>
      <c r="GO1090" s="453"/>
      <c r="GP1090" s="453"/>
      <c r="GQ1090" s="453"/>
      <c r="GR1090" s="453"/>
      <c r="GS1090" s="561"/>
      <c r="GT1090" s="475"/>
      <c r="GU1090" s="472"/>
      <c r="GV1090" s="453"/>
      <c r="GW1090" s="453"/>
      <c r="GX1090" s="869"/>
      <c r="GY1090" s="870"/>
      <c r="GZ1090" s="867"/>
      <c r="HA1090" s="868"/>
      <c r="HB1090" s="473"/>
      <c r="HC1090" s="869"/>
      <c r="HD1090" s="870"/>
      <c r="HE1090" s="867"/>
      <c r="HF1090" s="868"/>
      <c r="HG1090" s="473"/>
      <c r="HH1090" s="867"/>
      <c r="HI1090" s="868"/>
      <c r="HJ1090" s="867"/>
      <c r="HK1090" s="868"/>
      <c r="HL1090" s="370"/>
      <c r="HM1090" s="865"/>
      <c r="HN1090" s="866"/>
      <c r="HO1090" s="865"/>
      <c r="HP1090" s="866"/>
      <c r="HQ1090" s="865"/>
      <c r="HR1090" s="866"/>
      <c r="HS1090" s="867"/>
      <c r="HT1090" s="868"/>
      <c r="HU1090" s="489"/>
      <c r="HV1090" s="865"/>
      <c r="HW1090" s="866"/>
    </row>
    <row r="1091" spans="25:231" ht="15" customHeight="1">
      <c r="Y1091" s="332"/>
      <c r="Z1091" s="332"/>
      <c r="AA1091" s="332"/>
      <c r="AB1091" s="332"/>
      <c r="AC1091" s="332"/>
      <c r="AD1091" s="332"/>
      <c r="AE1091" s="332"/>
      <c r="AF1091" s="332"/>
      <c r="AG1091" s="332"/>
      <c r="AH1091" s="332"/>
      <c r="AI1091" s="332"/>
      <c r="AJ1091" s="332"/>
      <c r="AK1091" s="332"/>
      <c r="AL1091" s="332"/>
      <c r="AM1091" s="332"/>
      <c r="AN1091" s="332"/>
      <c r="AO1091" s="332"/>
      <c r="AP1091" s="332"/>
      <c r="AQ1091" s="332"/>
      <c r="AR1091" s="332"/>
      <c r="AS1091" s="332"/>
      <c r="AT1091" s="332"/>
      <c r="AU1091" s="332"/>
      <c r="AV1091" s="332"/>
      <c r="AW1091" s="332"/>
      <c r="AX1091" s="332"/>
      <c r="AY1091" s="332"/>
      <c r="AZ1091" s="332"/>
      <c r="BA1091" s="332"/>
      <c r="BB1091" s="332"/>
      <c r="BC1091" s="332"/>
      <c r="BD1091" s="332"/>
      <c r="BE1091" s="332"/>
      <c r="BF1091" s="332"/>
      <c r="BG1091" s="332"/>
      <c r="BH1091" s="332"/>
      <c r="BI1091" s="332"/>
      <c r="BJ1091" s="332"/>
      <c r="BK1091" s="332"/>
      <c r="BL1091" s="332"/>
      <c r="BM1091" s="332"/>
      <c r="BN1091" s="332"/>
      <c r="BO1091" s="332"/>
      <c r="BP1091" s="332"/>
      <c r="BQ1091" s="332"/>
      <c r="BR1091" s="332"/>
      <c r="BS1091" s="332"/>
      <c r="BT1091" s="332"/>
      <c r="BU1091" s="332"/>
      <c r="BV1091" s="332"/>
      <c r="BW1091" s="332"/>
      <c r="BX1091" s="332"/>
      <c r="BY1091" s="332"/>
      <c r="BZ1091" s="332"/>
      <c r="CA1091" s="332"/>
      <c r="CB1091" s="332"/>
      <c r="CC1091" s="332"/>
      <c r="CD1091" s="332"/>
      <c r="CE1091" s="332"/>
      <c r="CF1091" s="332"/>
      <c r="CG1091" s="332"/>
      <c r="CH1091" s="332"/>
      <c r="CI1091" s="332"/>
      <c r="CJ1091" s="332"/>
      <c r="CK1091" s="332"/>
      <c r="CL1091" s="332"/>
      <c r="CM1091" s="332"/>
      <c r="CN1091" s="332"/>
      <c r="CO1091" s="332"/>
      <c r="CP1091" s="332"/>
      <c r="CQ1091" s="332"/>
      <c r="CR1091" s="332"/>
      <c r="CS1091" s="332"/>
      <c r="CT1091" s="332"/>
      <c r="CU1091" s="332"/>
      <c r="CV1091" s="332"/>
      <c r="CW1091" s="332"/>
      <c r="CX1091" s="332"/>
      <c r="CY1091" s="332"/>
      <c r="CZ1091" s="332"/>
      <c r="DA1091" s="332"/>
      <c r="DB1091" s="332"/>
      <c r="DC1091" s="332"/>
      <c r="DD1091" s="332"/>
      <c r="DE1091" s="332"/>
      <c r="DF1091" s="332"/>
      <c r="DG1091" s="332"/>
      <c r="DH1091" s="332"/>
      <c r="DI1091" s="332"/>
      <c r="DJ1091" s="332"/>
      <c r="DK1091" s="332"/>
      <c r="DL1091" s="332"/>
      <c r="DM1091" s="332"/>
      <c r="DN1091" s="332"/>
      <c r="DO1091" s="332"/>
      <c r="DP1091" s="332"/>
      <c r="DQ1091" s="332"/>
      <c r="DR1091" s="332"/>
      <c r="DS1091" s="332"/>
      <c r="DT1091" s="332"/>
      <c r="DU1091" s="453"/>
      <c r="DV1091" s="453"/>
      <c r="DW1091" s="453"/>
      <c r="DX1091" s="453"/>
      <c r="DY1091" s="453"/>
      <c r="DZ1091" s="453"/>
      <c r="EA1091" s="453"/>
      <c r="EB1091" s="453"/>
      <c r="EC1091" s="453"/>
      <c r="ED1091" s="453"/>
      <c r="EE1091" s="453"/>
      <c r="EF1091" s="453"/>
      <c r="EG1091" s="453"/>
      <c r="EH1091" s="453"/>
      <c r="EI1091" s="453"/>
      <c r="EJ1091" s="453"/>
      <c r="EK1091" s="453"/>
      <c r="EL1091" s="453"/>
      <c r="EM1091" s="483">
        <f t="shared" si="249"/>
        <v>782</v>
      </c>
      <c r="EN1091" s="485"/>
      <c r="EO1091" s="458"/>
      <c r="EP1091" s="467"/>
      <c r="EQ1091" s="457"/>
      <c r="ER1091" s="808"/>
      <c r="ES1091" s="881">
        <f t="shared" ref="ES1091:ES1154" si="252">IF(OR(EO1091 = "", EP1091 = 0, EP1091 = "", EQ1091 = 0, EQ1091 = "", ER1091 = 0, ER1091 = ""), 0,
IF(EO1091 &lt;&gt; "ACCION", EP1091 * ER1091 * -100,  EP1091 * ER1091 * -1))</f>
        <v>0</v>
      </c>
      <c r="ET1091" s="882"/>
      <c r="EU1091" s="883"/>
      <c r="EV1091" s="884">
        <f t="shared" ref="EV1091:EV1154" si="253">+IF(OR(EO1091 = "", EP1091 = 0, EP1091 = "", EQ1091 = 0, EQ1091 = "", ER1091 = 0, ER1091 = ""), 0,
IF(EO1091 &lt;&gt; "ACCION",
IF(EP1091 &gt; 0, EP1091 * ER1091 * -100 * ( 1 + COMIS_OPCION), EP1091 * ER1091 * -100 * ( 1 - COMIS_OPCION)),
IF(EP1091 &gt; 0, EP1091 * ER1091 * -1 * ( 1 + COMIS_ACCION), EP1091 * ER1091 * -1 * ( 1 - COMIS_ACCION))  ))</f>
        <v>0</v>
      </c>
      <c r="EW1091" s="885"/>
      <c r="EX1091" s="885"/>
      <c r="EY1091" s="885"/>
      <c r="EZ1091" s="885"/>
      <c r="FA1091" s="885"/>
      <c r="FB1091" s="885"/>
      <c r="FC1091" s="885"/>
      <c r="FD1091" s="886"/>
      <c r="FE1091" s="552"/>
      <c r="FF1091" s="552"/>
      <c r="FG1091" s="552"/>
      <c r="FH1091" s="552"/>
      <c r="FI1091" s="552"/>
      <c r="FJ1091" s="552"/>
      <c r="FK1091" s="552"/>
      <c r="FL1091" s="555"/>
      <c r="FM1091" s="554"/>
      <c r="FN1091" s="554"/>
      <c r="FO1091" s="554"/>
      <c r="FP1091" s="554"/>
      <c r="FQ1091" s="554"/>
      <c r="FR1091" s="554"/>
      <c r="FS1091" s="554"/>
      <c r="FT1091" s="554"/>
      <c r="FU1091" s="554"/>
      <c r="FV1091" s="554"/>
      <c r="FW1091" s="554"/>
      <c r="FX1091" s="554"/>
      <c r="FY1091" s="554"/>
      <c r="FZ1091" s="554"/>
      <c r="GA1091" s="554"/>
      <c r="GB1091" s="556"/>
      <c r="GC1091" s="370"/>
      <c r="GD1091" s="453"/>
      <c r="GE1091" s="453"/>
      <c r="GF1091" s="453"/>
      <c r="GG1091" s="453"/>
      <c r="GH1091" s="454"/>
      <c r="GI1091" s="453"/>
      <c r="GJ1091" s="453"/>
      <c r="GK1091" s="453"/>
      <c r="GL1091" s="453"/>
      <c r="GM1091" s="453"/>
      <c r="GN1091" s="453"/>
      <c r="GO1091" s="453"/>
      <c r="GP1091" s="453"/>
      <c r="GQ1091" s="453"/>
      <c r="GR1091" s="453"/>
      <c r="GS1091" s="561"/>
      <c r="GT1091" s="475"/>
      <c r="GU1091" s="472"/>
      <c r="GV1091" s="453"/>
      <c r="GW1091" s="453"/>
      <c r="GX1091" s="869"/>
      <c r="GY1091" s="870"/>
      <c r="GZ1091" s="867"/>
      <c r="HA1091" s="868"/>
      <c r="HB1091" s="473"/>
      <c r="HC1091" s="869"/>
      <c r="HD1091" s="870"/>
      <c r="HE1091" s="867"/>
      <c r="HF1091" s="868"/>
      <c r="HG1091" s="473"/>
      <c r="HH1091" s="867"/>
      <c r="HI1091" s="868"/>
      <c r="HJ1091" s="867"/>
      <c r="HK1091" s="868"/>
      <c r="HL1091" s="370"/>
      <c r="HM1091" s="865"/>
      <c r="HN1091" s="866"/>
      <c r="HO1091" s="865"/>
      <c r="HP1091" s="866"/>
      <c r="HQ1091" s="865"/>
      <c r="HR1091" s="866"/>
      <c r="HS1091" s="867"/>
      <c r="HT1091" s="868"/>
      <c r="HU1091" s="489"/>
      <c r="HV1091" s="865"/>
      <c r="HW1091" s="866"/>
    </row>
    <row r="1092" spans="25:231" ht="15" customHeight="1">
      <c r="Y1092" s="332"/>
      <c r="Z1092" s="332"/>
      <c r="AA1092" s="332"/>
      <c r="AB1092" s="332"/>
      <c r="AC1092" s="332"/>
      <c r="AD1092" s="332"/>
      <c r="AE1092" s="332"/>
      <c r="AF1092" s="332"/>
      <c r="AG1092" s="332"/>
      <c r="AH1092" s="332"/>
      <c r="AI1092" s="332"/>
      <c r="AJ1092" s="332"/>
      <c r="AK1092" s="332"/>
      <c r="AL1092" s="332"/>
      <c r="AM1092" s="332"/>
      <c r="AN1092" s="332"/>
      <c r="AO1092" s="332"/>
      <c r="AP1092" s="332"/>
      <c r="AQ1092" s="332"/>
      <c r="AR1092" s="332"/>
      <c r="AS1092" s="332"/>
      <c r="AT1092" s="332"/>
      <c r="AU1092" s="332"/>
      <c r="AV1092" s="332"/>
      <c r="AW1092" s="332"/>
      <c r="AX1092" s="332"/>
      <c r="AY1092" s="332"/>
      <c r="AZ1092" s="332"/>
      <c r="BA1092" s="332"/>
      <c r="BB1092" s="332"/>
      <c r="BC1092" s="332"/>
      <c r="BD1092" s="332"/>
      <c r="BE1092" s="332"/>
      <c r="BF1092" s="332"/>
      <c r="BG1092" s="332"/>
      <c r="BH1092" s="332"/>
      <c r="BI1092" s="332"/>
      <c r="BJ1092" s="332"/>
      <c r="BK1092" s="332"/>
      <c r="BL1092" s="332"/>
      <c r="BM1092" s="332"/>
      <c r="BN1092" s="332"/>
      <c r="BO1092" s="332"/>
      <c r="BP1092" s="332"/>
      <c r="BQ1092" s="332"/>
      <c r="BR1092" s="332"/>
      <c r="BS1092" s="332"/>
      <c r="BT1092" s="332"/>
      <c r="BU1092" s="332"/>
      <c r="BV1092" s="332"/>
      <c r="BW1092" s="332"/>
      <c r="BX1092" s="332"/>
      <c r="BY1092" s="332"/>
      <c r="BZ1092" s="332"/>
      <c r="CA1092" s="332"/>
      <c r="CB1092" s="332"/>
      <c r="CC1092" s="332"/>
      <c r="CD1092" s="332"/>
      <c r="CE1092" s="332"/>
      <c r="CF1092" s="332"/>
      <c r="CG1092" s="332"/>
      <c r="CH1092" s="332"/>
      <c r="CI1092" s="332"/>
      <c r="CJ1092" s="332"/>
      <c r="CK1092" s="332"/>
      <c r="CL1092" s="332"/>
      <c r="CM1092" s="332"/>
      <c r="CN1092" s="332"/>
      <c r="CO1092" s="332"/>
      <c r="CP1092" s="332"/>
      <c r="CQ1092" s="332"/>
      <c r="CR1092" s="332"/>
      <c r="CS1092" s="332"/>
      <c r="CT1092" s="332"/>
      <c r="CU1092" s="332"/>
      <c r="CV1092" s="332"/>
      <c r="CW1092" s="332"/>
      <c r="CX1092" s="332"/>
      <c r="CY1092" s="332"/>
      <c r="CZ1092" s="332"/>
      <c r="DA1092" s="332"/>
      <c r="DB1092" s="332"/>
      <c r="DC1092" s="332"/>
      <c r="DD1092" s="332"/>
      <c r="DE1092" s="332"/>
      <c r="DF1092" s="332"/>
      <c r="DG1092" s="332"/>
      <c r="DH1092" s="332"/>
      <c r="DI1092" s="332"/>
      <c r="DJ1092" s="332"/>
      <c r="DK1092" s="332"/>
      <c r="DL1092" s="332"/>
      <c r="DM1092" s="332"/>
      <c r="DN1092" s="332"/>
      <c r="DO1092" s="332"/>
      <c r="DP1092" s="332"/>
      <c r="DQ1092" s="332"/>
      <c r="DR1092" s="332"/>
      <c r="DS1092" s="332"/>
      <c r="DT1092" s="332"/>
      <c r="DU1092" s="453"/>
      <c r="DV1092" s="453"/>
      <c r="DW1092" s="453"/>
      <c r="DX1092" s="453"/>
      <c r="DY1092" s="453"/>
      <c r="DZ1092" s="453"/>
      <c r="EA1092" s="453"/>
      <c r="EB1092" s="453"/>
      <c r="EC1092" s="453"/>
      <c r="ED1092" s="453"/>
      <c r="EE1092" s="453"/>
      <c r="EF1092" s="453"/>
      <c r="EG1092" s="453"/>
      <c r="EH1092" s="453"/>
      <c r="EI1092" s="453"/>
      <c r="EJ1092" s="453"/>
      <c r="EK1092" s="453"/>
      <c r="EL1092" s="453"/>
      <c r="EM1092" s="483">
        <f t="shared" si="249"/>
        <v>783</v>
      </c>
      <c r="EN1092" s="485"/>
      <c r="EO1092" s="458"/>
      <c r="EP1092" s="467"/>
      <c r="EQ1092" s="457"/>
      <c r="ER1092" s="808"/>
      <c r="ES1092" s="881">
        <f t="shared" si="252"/>
        <v>0</v>
      </c>
      <c r="ET1092" s="882"/>
      <c r="EU1092" s="883"/>
      <c r="EV1092" s="884">
        <f t="shared" si="253"/>
        <v>0</v>
      </c>
      <c r="EW1092" s="885"/>
      <c r="EX1092" s="885"/>
      <c r="EY1092" s="885"/>
      <c r="EZ1092" s="885"/>
      <c r="FA1092" s="885"/>
      <c r="FB1092" s="885"/>
      <c r="FC1092" s="885"/>
      <c r="FD1092" s="886"/>
      <c r="FE1092" s="552"/>
      <c r="FF1092" s="552"/>
      <c r="FG1092" s="552"/>
      <c r="FH1092" s="552"/>
      <c r="FI1092" s="552"/>
      <c r="FJ1092" s="552"/>
      <c r="FK1092" s="552"/>
      <c r="FL1092" s="555"/>
      <c r="FM1092" s="554"/>
      <c r="FN1092" s="554"/>
      <c r="FO1092" s="554"/>
      <c r="FP1092" s="554"/>
      <c r="FQ1092" s="554"/>
      <c r="FR1092" s="554"/>
      <c r="FS1092" s="554"/>
      <c r="FT1092" s="554"/>
      <c r="FU1092" s="554"/>
      <c r="FV1092" s="554"/>
      <c r="FW1092" s="554"/>
      <c r="FX1092" s="554"/>
      <c r="FY1092" s="554"/>
      <c r="FZ1092" s="554"/>
      <c r="GA1092" s="554"/>
      <c r="GB1092" s="556"/>
      <c r="GC1092" s="370"/>
      <c r="GD1092" s="453"/>
      <c r="GE1092" s="453"/>
      <c r="GF1092" s="453"/>
      <c r="GG1092" s="453"/>
      <c r="GH1092" s="454"/>
      <c r="GI1092" s="453"/>
      <c r="GJ1092" s="453"/>
      <c r="GK1092" s="453"/>
      <c r="GL1092" s="453"/>
      <c r="GM1092" s="453"/>
      <c r="GN1092" s="453"/>
      <c r="GO1092" s="453"/>
      <c r="GP1092" s="453"/>
      <c r="GQ1092" s="453"/>
      <c r="GR1092" s="453"/>
      <c r="GS1092" s="561"/>
      <c r="GT1092" s="475"/>
      <c r="GU1092" s="472"/>
      <c r="GV1092" s="453"/>
      <c r="GW1092" s="453"/>
      <c r="GX1092" s="869"/>
      <c r="GY1092" s="870"/>
      <c r="GZ1092" s="867"/>
      <c r="HA1092" s="868"/>
      <c r="HB1092" s="473"/>
      <c r="HC1092" s="869"/>
      <c r="HD1092" s="870"/>
      <c r="HE1092" s="867"/>
      <c r="HF1092" s="868"/>
      <c r="HG1092" s="473"/>
      <c r="HH1092" s="867"/>
      <c r="HI1092" s="868"/>
      <c r="HJ1092" s="867"/>
      <c r="HK1092" s="868"/>
      <c r="HL1092" s="370"/>
      <c r="HM1092" s="865"/>
      <c r="HN1092" s="866"/>
      <c r="HO1092" s="865"/>
      <c r="HP1092" s="866"/>
      <c r="HQ1092" s="865"/>
      <c r="HR1092" s="866"/>
      <c r="HS1092" s="867"/>
      <c r="HT1092" s="868"/>
      <c r="HU1092" s="489"/>
      <c r="HV1092" s="865"/>
      <c r="HW1092" s="866"/>
    </row>
    <row r="1093" spans="25:231" ht="15" customHeight="1">
      <c r="Y1093" s="332"/>
      <c r="Z1093" s="332"/>
      <c r="AA1093" s="332"/>
      <c r="AB1093" s="332"/>
      <c r="AC1093" s="332"/>
      <c r="AD1093" s="332"/>
      <c r="AE1093" s="332"/>
      <c r="AF1093" s="332"/>
      <c r="AG1093" s="332"/>
      <c r="AH1093" s="332"/>
      <c r="AI1093" s="332"/>
      <c r="AJ1093" s="332"/>
      <c r="AK1093" s="332"/>
      <c r="AL1093" s="332"/>
      <c r="AM1093" s="332"/>
      <c r="AN1093" s="332"/>
      <c r="AO1093" s="332"/>
      <c r="AP1093" s="332"/>
      <c r="AQ1093" s="332"/>
      <c r="AR1093" s="332"/>
      <c r="AS1093" s="332"/>
      <c r="AT1093" s="332"/>
      <c r="AU1093" s="332"/>
      <c r="AV1093" s="332"/>
      <c r="AW1093" s="332"/>
      <c r="AX1093" s="332"/>
      <c r="AY1093" s="332"/>
      <c r="AZ1093" s="332"/>
      <c r="BA1093" s="332"/>
      <c r="BB1093" s="332"/>
      <c r="BC1093" s="332"/>
      <c r="BD1093" s="332"/>
      <c r="BE1093" s="332"/>
      <c r="BF1093" s="332"/>
      <c r="BG1093" s="332"/>
      <c r="BH1093" s="332"/>
      <c r="BI1093" s="332"/>
      <c r="BJ1093" s="332"/>
      <c r="BK1093" s="332"/>
      <c r="BL1093" s="332"/>
      <c r="BM1093" s="332"/>
      <c r="BN1093" s="332"/>
      <c r="BO1093" s="332"/>
      <c r="BP1093" s="332"/>
      <c r="BQ1093" s="332"/>
      <c r="BR1093" s="332"/>
      <c r="BS1093" s="332"/>
      <c r="BT1093" s="332"/>
      <c r="BU1093" s="332"/>
      <c r="BV1093" s="332"/>
      <c r="BW1093" s="332"/>
      <c r="BX1093" s="332"/>
      <c r="BY1093" s="332"/>
      <c r="BZ1093" s="332"/>
      <c r="CA1093" s="332"/>
      <c r="CB1093" s="332"/>
      <c r="CC1093" s="332"/>
      <c r="CD1093" s="332"/>
      <c r="CE1093" s="332"/>
      <c r="CF1093" s="332"/>
      <c r="CG1093" s="332"/>
      <c r="CH1093" s="332"/>
      <c r="CI1093" s="332"/>
      <c r="CJ1093" s="332"/>
      <c r="CK1093" s="332"/>
      <c r="CL1093" s="332"/>
      <c r="CM1093" s="332"/>
      <c r="CN1093" s="332"/>
      <c r="CO1093" s="332"/>
      <c r="CP1093" s="332"/>
      <c r="CQ1093" s="332"/>
      <c r="CR1093" s="332"/>
      <c r="CS1093" s="332"/>
      <c r="CT1093" s="332"/>
      <c r="CU1093" s="332"/>
      <c r="CV1093" s="332"/>
      <c r="CW1093" s="332"/>
      <c r="CX1093" s="332"/>
      <c r="CY1093" s="332"/>
      <c r="CZ1093" s="332"/>
      <c r="DA1093" s="332"/>
      <c r="DB1093" s="332"/>
      <c r="DC1093" s="332"/>
      <c r="DD1093" s="332"/>
      <c r="DE1093" s="332"/>
      <c r="DF1093" s="332"/>
      <c r="DG1093" s="332"/>
      <c r="DH1093" s="332"/>
      <c r="DI1093" s="332"/>
      <c r="DJ1093" s="332"/>
      <c r="DK1093" s="332"/>
      <c r="DL1093" s="332"/>
      <c r="DM1093" s="332"/>
      <c r="DN1093" s="332"/>
      <c r="DO1093" s="332"/>
      <c r="DP1093" s="332"/>
      <c r="DQ1093" s="332"/>
      <c r="DR1093" s="332"/>
      <c r="DS1093" s="332"/>
      <c r="DT1093" s="332"/>
      <c r="DU1093" s="453"/>
      <c r="DV1093" s="453"/>
      <c r="DW1093" s="453"/>
      <c r="DX1093" s="453"/>
      <c r="DY1093" s="453"/>
      <c r="DZ1093" s="453"/>
      <c r="EA1093" s="453"/>
      <c r="EB1093" s="453"/>
      <c r="EC1093" s="453"/>
      <c r="ED1093" s="453"/>
      <c r="EE1093" s="453"/>
      <c r="EF1093" s="453"/>
      <c r="EG1093" s="453"/>
      <c r="EH1093" s="453"/>
      <c r="EI1093" s="453"/>
      <c r="EJ1093" s="453"/>
      <c r="EK1093" s="453"/>
      <c r="EL1093" s="453"/>
      <c r="EM1093" s="483">
        <f t="shared" si="249"/>
        <v>784</v>
      </c>
      <c r="EN1093" s="485"/>
      <c r="EO1093" s="458"/>
      <c r="EP1093" s="467"/>
      <c r="EQ1093" s="457"/>
      <c r="ER1093" s="808"/>
      <c r="ES1093" s="881">
        <f t="shared" si="252"/>
        <v>0</v>
      </c>
      <c r="ET1093" s="882"/>
      <c r="EU1093" s="883"/>
      <c r="EV1093" s="884">
        <f t="shared" si="253"/>
        <v>0</v>
      </c>
      <c r="EW1093" s="885"/>
      <c r="EX1093" s="885"/>
      <c r="EY1093" s="885"/>
      <c r="EZ1093" s="885"/>
      <c r="FA1093" s="885"/>
      <c r="FB1093" s="885"/>
      <c r="FC1093" s="885"/>
      <c r="FD1093" s="886"/>
      <c r="FE1093" s="552"/>
      <c r="FF1093" s="552"/>
      <c r="FG1093" s="552"/>
      <c r="FH1093" s="552"/>
      <c r="FI1093" s="552"/>
      <c r="FJ1093" s="552"/>
      <c r="FK1093" s="552"/>
      <c r="FL1093" s="555"/>
      <c r="FM1093" s="554"/>
      <c r="FN1093" s="554"/>
      <c r="FO1093" s="554"/>
      <c r="FP1093" s="554"/>
      <c r="FQ1093" s="554"/>
      <c r="FR1093" s="554"/>
      <c r="FS1093" s="554"/>
      <c r="FT1093" s="554"/>
      <c r="FU1093" s="554"/>
      <c r="FV1093" s="554"/>
      <c r="FW1093" s="554"/>
      <c r="FX1093" s="554"/>
      <c r="FY1093" s="554"/>
      <c r="FZ1093" s="554"/>
      <c r="GA1093" s="554"/>
      <c r="GB1093" s="556"/>
      <c r="GC1093" s="370"/>
      <c r="GD1093" s="453"/>
      <c r="GE1093" s="453"/>
      <c r="GF1093" s="453"/>
      <c r="GG1093" s="453"/>
      <c r="GH1093" s="454"/>
      <c r="GI1093" s="453"/>
      <c r="GJ1093" s="453"/>
      <c r="GK1093" s="453"/>
      <c r="GL1093" s="453"/>
      <c r="GM1093" s="453"/>
      <c r="GN1093" s="453"/>
      <c r="GO1093" s="453"/>
      <c r="GP1093" s="453"/>
      <c r="GQ1093" s="453"/>
      <c r="GR1093" s="453"/>
      <c r="GS1093" s="561"/>
      <c r="GT1093" s="475"/>
      <c r="GU1093" s="472"/>
      <c r="GV1093" s="453"/>
      <c r="GW1093" s="453"/>
      <c r="GX1093" s="869"/>
      <c r="GY1093" s="870"/>
      <c r="GZ1093" s="867"/>
      <c r="HA1093" s="868"/>
      <c r="HB1093" s="473"/>
      <c r="HC1093" s="869"/>
      <c r="HD1093" s="870"/>
      <c r="HE1093" s="867"/>
      <c r="HF1093" s="868"/>
      <c r="HG1093" s="473"/>
      <c r="HH1093" s="867"/>
      <c r="HI1093" s="868"/>
      <c r="HJ1093" s="867"/>
      <c r="HK1093" s="868"/>
      <c r="HL1093" s="370"/>
      <c r="HM1093" s="865"/>
      <c r="HN1093" s="866"/>
      <c r="HO1093" s="865"/>
      <c r="HP1093" s="866"/>
      <c r="HQ1093" s="865"/>
      <c r="HR1093" s="866"/>
      <c r="HS1093" s="867"/>
      <c r="HT1093" s="868"/>
      <c r="HU1093" s="489"/>
      <c r="HV1093" s="865"/>
      <c r="HW1093" s="866"/>
    </row>
    <row r="1094" spans="25:231" ht="15" customHeight="1">
      <c r="Y1094" s="332"/>
      <c r="Z1094" s="332"/>
      <c r="AA1094" s="332"/>
      <c r="AB1094" s="332"/>
      <c r="AC1094" s="332"/>
      <c r="AD1094" s="332"/>
      <c r="AE1094" s="332"/>
      <c r="AF1094" s="332"/>
      <c r="AG1094" s="332"/>
      <c r="AH1094" s="332"/>
      <c r="AI1094" s="332"/>
      <c r="AJ1094" s="332"/>
      <c r="AK1094" s="332"/>
      <c r="AL1094" s="332"/>
      <c r="AM1094" s="332"/>
      <c r="AN1094" s="332"/>
      <c r="AO1094" s="332"/>
      <c r="AP1094" s="332"/>
      <c r="AQ1094" s="332"/>
      <c r="AR1094" s="332"/>
      <c r="AS1094" s="332"/>
      <c r="AT1094" s="332"/>
      <c r="AU1094" s="332"/>
      <c r="AV1094" s="332"/>
      <c r="AW1094" s="332"/>
      <c r="AX1094" s="332"/>
      <c r="AY1094" s="332"/>
      <c r="AZ1094" s="332"/>
      <c r="BA1094" s="332"/>
      <c r="BB1094" s="332"/>
      <c r="BC1094" s="332"/>
      <c r="BD1094" s="332"/>
      <c r="BE1094" s="332"/>
      <c r="BF1094" s="332"/>
      <c r="BG1094" s="332"/>
      <c r="BH1094" s="332"/>
      <c r="BI1094" s="332"/>
      <c r="BJ1094" s="332"/>
      <c r="BK1094" s="332"/>
      <c r="BL1094" s="332"/>
      <c r="BM1094" s="332"/>
      <c r="BN1094" s="332"/>
      <c r="BO1094" s="332"/>
      <c r="BP1094" s="332"/>
      <c r="BQ1094" s="332"/>
      <c r="BR1094" s="332"/>
      <c r="BS1094" s="332"/>
      <c r="BT1094" s="332"/>
      <c r="BU1094" s="332"/>
      <c r="BV1094" s="332"/>
      <c r="BW1094" s="332"/>
      <c r="BX1094" s="332"/>
      <c r="BY1094" s="332"/>
      <c r="BZ1094" s="332"/>
      <c r="CA1094" s="332"/>
      <c r="CB1094" s="332"/>
      <c r="CC1094" s="332"/>
      <c r="CD1094" s="332"/>
      <c r="CE1094" s="332"/>
      <c r="CF1094" s="332"/>
      <c r="CG1094" s="332"/>
      <c r="CH1094" s="332"/>
      <c r="CI1094" s="332"/>
      <c r="CJ1094" s="332"/>
      <c r="CK1094" s="332"/>
      <c r="CL1094" s="332"/>
      <c r="CM1094" s="332"/>
      <c r="CN1094" s="332"/>
      <c r="CO1094" s="332"/>
      <c r="CP1094" s="332"/>
      <c r="CQ1094" s="332"/>
      <c r="CR1094" s="332"/>
      <c r="CS1094" s="332"/>
      <c r="CT1094" s="332"/>
      <c r="CU1094" s="332"/>
      <c r="CV1094" s="332"/>
      <c r="CW1094" s="332"/>
      <c r="CX1094" s="332"/>
      <c r="CY1094" s="332"/>
      <c r="CZ1094" s="332"/>
      <c r="DA1094" s="332"/>
      <c r="DB1094" s="332"/>
      <c r="DC1094" s="332"/>
      <c r="DD1094" s="332"/>
      <c r="DE1094" s="332"/>
      <c r="DF1094" s="332"/>
      <c r="DG1094" s="332"/>
      <c r="DH1094" s="332"/>
      <c r="DI1094" s="332"/>
      <c r="DJ1094" s="332"/>
      <c r="DK1094" s="332"/>
      <c r="DL1094" s="332"/>
      <c r="DM1094" s="332"/>
      <c r="DN1094" s="332"/>
      <c r="DO1094" s="332"/>
      <c r="DP1094" s="332"/>
      <c r="DQ1094" s="332"/>
      <c r="DR1094" s="332"/>
      <c r="DS1094" s="332"/>
      <c r="DT1094" s="332"/>
      <c r="DU1094" s="453"/>
      <c r="DV1094" s="453"/>
      <c r="DW1094" s="453"/>
      <c r="DX1094" s="453"/>
      <c r="DY1094" s="453"/>
      <c r="DZ1094" s="453"/>
      <c r="EA1094" s="453"/>
      <c r="EB1094" s="453"/>
      <c r="EC1094" s="453"/>
      <c r="ED1094" s="453"/>
      <c r="EE1094" s="453"/>
      <c r="EF1094" s="453"/>
      <c r="EG1094" s="453"/>
      <c r="EH1094" s="453"/>
      <c r="EI1094" s="453"/>
      <c r="EJ1094" s="453"/>
      <c r="EK1094" s="453"/>
      <c r="EL1094" s="453"/>
      <c r="EM1094" s="483">
        <f t="shared" si="249"/>
        <v>785</v>
      </c>
      <c r="EN1094" s="485"/>
      <c r="EO1094" s="458"/>
      <c r="EP1094" s="467"/>
      <c r="EQ1094" s="457"/>
      <c r="ER1094" s="808"/>
      <c r="ES1094" s="881">
        <f t="shared" si="252"/>
        <v>0</v>
      </c>
      <c r="ET1094" s="882"/>
      <c r="EU1094" s="883"/>
      <c r="EV1094" s="884">
        <f t="shared" si="253"/>
        <v>0</v>
      </c>
      <c r="EW1094" s="885"/>
      <c r="EX1094" s="885"/>
      <c r="EY1094" s="885"/>
      <c r="EZ1094" s="885"/>
      <c r="FA1094" s="885"/>
      <c r="FB1094" s="885"/>
      <c r="FC1094" s="885"/>
      <c r="FD1094" s="886"/>
      <c r="FE1094" s="552"/>
      <c r="FF1094" s="552"/>
      <c r="FG1094" s="552"/>
      <c r="FH1094" s="552"/>
      <c r="FI1094" s="552"/>
      <c r="FJ1094" s="552"/>
      <c r="FK1094" s="552"/>
      <c r="FL1094" s="555"/>
      <c r="FM1094" s="554"/>
      <c r="FN1094" s="554"/>
      <c r="FO1094" s="554"/>
      <c r="FP1094" s="554"/>
      <c r="FQ1094" s="554"/>
      <c r="FR1094" s="554"/>
      <c r="FS1094" s="554"/>
      <c r="FT1094" s="554"/>
      <c r="FU1094" s="554"/>
      <c r="FV1094" s="554"/>
      <c r="FW1094" s="554"/>
      <c r="FX1094" s="554"/>
      <c r="FY1094" s="554"/>
      <c r="FZ1094" s="554"/>
      <c r="GA1094" s="554"/>
      <c r="GB1094" s="556"/>
      <c r="GC1094" s="370"/>
      <c r="GD1094" s="453"/>
      <c r="GE1094" s="453"/>
      <c r="GF1094" s="453"/>
      <c r="GG1094" s="453"/>
      <c r="GH1094" s="454"/>
      <c r="GI1094" s="453"/>
      <c r="GJ1094" s="453"/>
      <c r="GK1094" s="453"/>
      <c r="GL1094" s="453"/>
      <c r="GM1094" s="453"/>
      <c r="GN1094" s="453"/>
      <c r="GO1094" s="453"/>
      <c r="GP1094" s="453"/>
      <c r="GQ1094" s="453"/>
      <c r="GR1094" s="453"/>
      <c r="GS1094" s="561"/>
      <c r="GT1094" s="475"/>
      <c r="GU1094" s="472"/>
      <c r="GV1094" s="453"/>
      <c r="GW1094" s="453"/>
      <c r="GX1094" s="869"/>
      <c r="GY1094" s="870"/>
      <c r="GZ1094" s="867"/>
      <c r="HA1094" s="868"/>
      <c r="HB1094" s="473"/>
      <c r="HC1094" s="869"/>
      <c r="HD1094" s="870"/>
      <c r="HE1094" s="867"/>
      <c r="HF1094" s="868"/>
      <c r="HG1094" s="473"/>
      <c r="HH1094" s="867"/>
      <c r="HI1094" s="868"/>
      <c r="HJ1094" s="867"/>
      <c r="HK1094" s="868"/>
      <c r="HL1094" s="370"/>
      <c r="HM1094" s="865"/>
      <c r="HN1094" s="866"/>
      <c r="HO1094" s="865"/>
      <c r="HP1094" s="866"/>
      <c r="HQ1094" s="865"/>
      <c r="HR1094" s="866"/>
      <c r="HS1094" s="867"/>
      <c r="HT1094" s="868"/>
      <c r="HU1094" s="489"/>
      <c r="HV1094" s="865"/>
      <c r="HW1094" s="866"/>
    </row>
    <row r="1095" spans="25:231" ht="15" customHeight="1">
      <c r="Y1095" s="332"/>
      <c r="Z1095" s="332"/>
      <c r="AA1095" s="332"/>
      <c r="AB1095" s="332"/>
      <c r="AC1095" s="332"/>
      <c r="AD1095" s="332"/>
      <c r="AE1095" s="332"/>
      <c r="AF1095" s="332"/>
      <c r="AG1095" s="332"/>
      <c r="AH1095" s="332"/>
      <c r="AI1095" s="332"/>
      <c r="AJ1095" s="332"/>
      <c r="AK1095" s="332"/>
      <c r="AL1095" s="332"/>
      <c r="AM1095" s="332"/>
      <c r="AN1095" s="332"/>
      <c r="AO1095" s="332"/>
      <c r="AP1095" s="332"/>
      <c r="AQ1095" s="332"/>
      <c r="AR1095" s="332"/>
      <c r="AS1095" s="332"/>
      <c r="AT1095" s="332"/>
      <c r="AU1095" s="332"/>
      <c r="AV1095" s="332"/>
      <c r="AW1095" s="332"/>
      <c r="AX1095" s="332"/>
      <c r="AY1095" s="332"/>
      <c r="AZ1095" s="332"/>
      <c r="BA1095" s="332"/>
      <c r="BB1095" s="332"/>
      <c r="BC1095" s="332"/>
      <c r="BD1095" s="332"/>
      <c r="BE1095" s="332"/>
      <c r="BF1095" s="332"/>
      <c r="BG1095" s="332"/>
      <c r="BH1095" s="332"/>
      <c r="BI1095" s="332"/>
      <c r="BJ1095" s="332"/>
      <c r="BK1095" s="332"/>
      <c r="BL1095" s="332"/>
      <c r="BM1095" s="332"/>
      <c r="BN1095" s="332"/>
      <c r="BO1095" s="332"/>
      <c r="BP1095" s="332"/>
      <c r="BQ1095" s="332"/>
      <c r="BR1095" s="332"/>
      <c r="BS1095" s="332"/>
      <c r="BT1095" s="332"/>
      <c r="BU1095" s="332"/>
      <c r="BV1095" s="332"/>
      <c r="BW1095" s="332"/>
      <c r="BX1095" s="332"/>
      <c r="BY1095" s="332"/>
      <c r="BZ1095" s="332"/>
      <c r="CA1095" s="332"/>
      <c r="CB1095" s="332"/>
      <c r="CC1095" s="332"/>
      <c r="CD1095" s="332"/>
      <c r="CE1095" s="332"/>
      <c r="CF1095" s="332"/>
      <c r="CG1095" s="332"/>
      <c r="CH1095" s="332"/>
      <c r="CI1095" s="332"/>
      <c r="CJ1095" s="332"/>
      <c r="CK1095" s="332"/>
      <c r="CL1095" s="332"/>
      <c r="CM1095" s="332"/>
      <c r="CN1095" s="332"/>
      <c r="CO1095" s="332"/>
      <c r="CP1095" s="332"/>
      <c r="CQ1095" s="332"/>
      <c r="CR1095" s="332"/>
      <c r="CS1095" s="332"/>
      <c r="CT1095" s="332"/>
      <c r="CU1095" s="332"/>
      <c r="CV1095" s="332"/>
      <c r="CW1095" s="332"/>
      <c r="CX1095" s="332"/>
      <c r="CY1095" s="332"/>
      <c r="CZ1095" s="332"/>
      <c r="DA1095" s="332"/>
      <c r="DB1095" s="332"/>
      <c r="DC1095" s="332"/>
      <c r="DD1095" s="332"/>
      <c r="DE1095" s="332"/>
      <c r="DF1095" s="332"/>
      <c r="DG1095" s="332"/>
      <c r="DH1095" s="332"/>
      <c r="DI1095" s="332"/>
      <c r="DJ1095" s="332"/>
      <c r="DK1095" s="332"/>
      <c r="DL1095" s="332"/>
      <c r="DM1095" s="332"/>
      <c r="DN1095" s="332"/>
      <c r="DO1095" s="332"/>
      <c r="DP1095" s="332"/>
      <c r="DQ1095" s="332"/>
      <c r="DR1095" s="332"/>
      <c r="DS1095" s="332"/>
      <c r="DT1095" s="332"/>
      <c r="DU1095" s="453"/>
      <c r="DV1095" s="453"/>
      <c r="DW1095" s="453"/>
      <c r="DX1095" s="453"/>
      <c r="DY1095" s="453"/>
      <c r="DZ1095" s="453"/>
      <c r="EA1095" s="453"/>
      <c r="EB1095" s="453"/>
      <c r="EC1095" s="453"/>
      <c r="ED1095" s="453"/>
      <c r="EE1095" s="453"/>
      <c r="EF1095" s="453"/>
      <c r="EG1095" s="453"/>
      <c r="EH1095" s="453"/>
      <c r="EI1095" s="453"/>
      <c r="EJ1095" s="453"/>
      <c r="EK1095" s="453"/>
      <c r="EL1095" s="453"/>
      <c r="EM1095" s="483">
        <f t="shared" si="249"/>
        <v>786</v>
      </c>
      <c r="EN1095" s="485"/>
      <c r="EO1095" s="458"/>
      <c r="EP1095" s="467"/>
      <c r="EQ1095" s="457"/>
      <c r="ER1095" s="808"/>
      <c r="ES1095" s="881">
        <f t="shared" si="252"/>
        <v>0</v>
      </c>
      <c r="ET1095" s="882"/>
      <c r="EU1095" s="883"/>
      <c r="EV1095" s="884">
        <f t="shared" si="253"/>
        <v>0</v>
      </c>
      <c r="EW1095" s="885"/>
      <c r="EX1095" s="885"/>
      <c r="EY1095" s="885"/>
      <c r="EZ1095" s="885"/>
      <c r="FA1095" s="885"/>
      <c r="FB1095" s="885"/>
      <c r="FC1095" s="885"/>
      <c r="FD1095" s="886"/>
      <c r="FE1095" s="552"/>
      <c r="FF1095" s="552"/>
      <c r="FG1095" s="552"/>
      <c r="FH1095" s="552"/>
      <c r="FI1095" s="552"/>
      <c r="FJ1095" s="552"/>
      <c r="FK1095" s="552"/>
      <c r="FL1095" s="555"/>
      <c r="FM1095" s="554"/>
      <c r="FN1095" s="554"/>
      <c r="FO1095" s="554"/>
      <c r="FP1095" s="554"/>
      <c r="FQ1095" s="554"/>
      <c r="FR1095" s="554"/>
      <c r="FS1095" s="554"/>
      <c r="FT1095" s="554"/>
      <c r="FU1095" s="554"/>
      <c r="FV1095" s="554"/>
      <c r="FW1095" s="554"/>
      <c r="FX1095" s="554"/>
      <c r="FY1095" s="554"/>
      <c r="FZ1095" s="554"/>
      <c r="GA1095" s="554"/>
      <c r="GB1095" s="556"/>
      <c r="GC1095" s="370"/>
      <c r="GD1095" s="453"/>
      <c r="GE1095" s="453"/>
      <c r="GF1095" s="453"/>
      <c r="GG1095" s="453"/>
      <c r="GH1095" s="454"/>
      <c r="GI1095" s="453"/>
      <c r="GJ1095" s="453"/>
      <c r="GK1095" s="453"/>
      <c r="GL1095" s="453"/>
      <c r="GM1095" s="453"/>
      <c r="GN1095" s="453"/>
      <c r="GO1095" s="453"/>
      <c r="GP1095" s="453"/>
      <c r="GQ1095" s="453"/>
      <c r="GR1095" s="453"/>
      <c r="GS1095" s="561"/>
      <c r="GT1095" s="475"/>
      <c r="GU1095" s="472"/>
      <c r="GV1095" s="453"/>
      <c r="GW1095" s="453"/>
      <c r="GX1095" s="869"/>
      <c r="GY1095" s="870"/>
      <c r="GZ1095" s="867"/>
      <c r="HA1095" s="868"/>
      <c r="HB1095" s="473"/>
      <c r="HC1095" s="869"/>
      <c r="HD1095" s="870"/>
      <c r="HE1095" s="867"/>
      <c r="HF1095" s="868"/>
      <c r="HG1095" s="473"/>
      <c r="HH1095" s="867"/>
      <c r="HI1095" s="868"/>
      <c r="HJ1095" s="867"/>
      <c r="HK1095" s="868"/>
      <c r="HL1095" s="370"/>
      <c r="HM1095" s="865"/>
      <c r="HN1095" s="866"/>
      <c r="HO1095" s="865"/>
      <c r="HP1095" s="866"/>
      <c r="HQ1095" s="865"/>
      <c r="HR1095" s="866"/>
      <c r="HS1095" s="867"/>
      <c r="HT1095" s="868"/>
      <c r="HU1095" s="489"/>
      <c r="HV1095" s="865"/>
      <c r="HW1095" s="866"/>
    </row>
    <row r="1096" spans="25:231" ht="15" customHeight="1">
      <c r="Y1096" s="332"/>
      <c r="Z1096" s="332"/>
      <c r="AA1096" s="332"/>
      <c r="AB1096" s="332"/>
      <c r="AC1096" s="332"/>
      <c r="AD1096" s="332"/>
      <c r="AE1096" s="332"/>
      <c r="AF1096" s="332"/>
      <c r="AG1096" s="332"/>
      <c r="AH1096" s="332"/>
      <c r="AI1096" s="332"/>
      <c r="AJ1096" s="332"/>
      <c r="AK1096" s="332"/>
      <c r="AL1096" s="332"/>
      <c r="AM1096" s="332"/>
      <c r="AN1096" s="332"/>
      <c r="AO1096" s="332"/>
      <c r="AP1096" s="332"/>
      <c r="AQ1096" s="332"/>
      <c r="AR1096" s="332"/>
      <c r="AS1096" s="332"/>
      <c r="AT1096" s="332"/>
      <c r="AU1096" s="332"/>
      <c r="AV1096" s="332"/>
      <c r="AW1096" s="332"/>
      <c r="AX1096" s="332"/>
      <c r="AY1096" s="332"/>
      <c r="AZ1096" s="332"/>
      <c r="BA1096" s="332"/>
      <c r="BB1096" s="332"/>
      <c r="BC1096" s="332"/>
      <c r="BD1096" s="332"/>
      <c r="BE1096" s="332"/>
      <c r="BF1096" s="332"/>
      <c r="BG1096" s="332"/>
      <c r="BH1096" s="332"/>
      <c r="BI1096" s="332"/>
      <c r="BJ1096" s="332"/>
      <c r="BK1096" s="332"/>
      <c r="BL1096" s="332"/>
      <c r="BM1096" s="332"/>
      <c r="BN1096" s="332"/>
      <c r="BO1096" s="332"/>
      <c r="BP1096" s="332"/>
      <c r="BQ1096" s="332"/>
      <c r="BR1096" s="332"/>
      <c r="BS1096" s="332"/>
      <c r="BT1096" s="332"/>
      <c r="BU1096" s="332"/>
      <c r="BV1096" s="332"/>
      <c r="BW1096" s="332"/>
      <c r="BX1096" s="332"/>
      <c r="BY1096" s="332"/>
      <c r="BZ1096" s="332"/>
      <c r="CA1096" s="332"/>
      <c r="CB1096" s="332"/>
      <c r="CC1096" s="332"/>
      <c r="CD1096" s="332"/>
      <c r="CE1096" s="332"/>
      <c r="CF1096" s="332"/>
      <c r="CG1096" s="332"/>
      <c r="CH1096" s="332"/>
      <c r="CI1096" s="332"/>
      <c r="CJ1096" s="332"/>
      <c r="CK1096" s="332"/>
      <c r="CL1096" s="332"/>
      <c r="CM1096" s="332"/>
      <c r="CN1096" s="332"/>
      <c r="CO1096" s="332"/>
      <c r="CP1096" s="332"/>
      <c r="CQ1096" s="332"/>
      <c r="CR1096" s="332"/>
      <c r="CS1096" s="332"/>
      <c r="CT1096" s="332"/>
      <c r="CU1096" s="332"/>
      <c r="CV1096" s="332"/>
      <c r="CW1096" s="332"/>
      <c r="CX1096" s="332"/>
      <c r="CY1096" s="332"/>
      <c r="CZ1096" s="332"/>
      <c r="DA1096" s="332"/>
      <c r="DB1096" s="332"/>
      <c r="DC1096" s="332"/>
      <c r="DD1096" s="332"/>
      <c r="DE1096" s="332"/>
      <c r="DF1096" s="332"/>
      <c r="DG1096" s="332"/>
      <c r="DH1096" s="332"/>
      <c r="DI1096" s="332"/>
      <c r="DJ1096" s="332"/>
      <c r="DK1096" s="332"/>
      <c r="DL1096" s="332"/>
      <c r="DM1096" s="332"/>
      <c r="DN1096" s="332"/>
      <c r="DO1096" s="332"/>
      <c r="DP1096" s="332"/>
      <c r="DQ1096" s="332"/>
      <c r="DR1096" s="332"/>
      <c r="DS1096" s="332"/>
      <c r="DT1096" s="332"/>
      <c r="DU1096" s="453"/>
      <c r="DV1096" s="453"/>
      <c r="DW1096" s="453"/>
      <c r="DX1096" s="453"/>
      <c r="DY1096" s="453"/>
      <c r="DZ1096" s="453"/>
      <c r="EA1096" s="453"/>
      <c r="EB1096" s="453"/>
      <c r="EC1096" s="453"/>
      <c r="ED1096" s="453"/>
      <c r="EE1096" s="453"/>
      <c r="EF1096" s="453"/>
      <c r="EG1096" s="453"/>
      <c r="EH1096" s="453"/>
      <c r="EI1096" s="453"/>
      <c r="EJ1096" s="453"/>
      <c r="EK1096" s="453"/>
      <c r="EL1096" s="453"/>
      <c r="EM1096" s="483">
        <f t="shared" si="249"/>
        <v>787</v>
      </c>
      <c r="EN1096" s="485"/>
      <c r="EO1096" s="458"/>
      <c r="EP1096" s="467"/>
      <c r="EQ1096" s="457"/>
      <c r="ER1096" s="808"/>
      <c r="ES1096" s="881">
        <f t="shared" si="252"/>
        <v>0</v>
      </c>
      <c r="ET1096" s="882"/>
      <c r="EU1096" s="883"/>
      <c r="EV1096" s="884">
        <f t="shared" si="253"/>
        <v>0</v>
      </c>
      <c r="EW1096" s="885"/>
      <c r="EX1096" s="885"/>
      <c r="EY1096" s="885"/>
      <c r="EZ1096" s="885"/>
      <c r="FA1096" s="885"/>
      <c r="FB1096" s="885"/>
      <c r="FC1096" s="885"/>
      <c r="FD1096" s="886"/>
      <c r="FE1096" s="552"/>
      <c r="FF1096" s="552"/>
      <c r="FG1096" s="552"/>
      <c r="FH1096" s="552"/>
      <c r="FI1096" s="552"/>
      <c r="FJ1096" s="552"/>
      <c r="FK1096" s="552"/>
      <c r="FL1096" s="555"/>
      <c r="FM1096" s="554"/>
      <c r="FN1096" s="554"/>
      <c r="FO1096" s="554"/>
      <c r="FP1096" s="554"/>
      <c r="FQ1096" s="554"/>
      <c r="FR1096" s="554"/>
      <c r="FS1096" s="554"/>
      <c r="FT1096" s="554"/>
      <c r="FU1096" s="554"/>
      <c r="FV1096" s="554"/>
      <c r="FW1096" s="554"/>
      <c r="FX1096" s="554"/>
      <c r="FY1096" s="554"/>
      <c r="FZ1096" s="554"/>
      <c r="GA1096" s="554"/>
      <c r="GB1096" s="556"/>
      <c r="GC1096" s="370"/>
      <c r="GD1096" s="453"/>
      <c r="GE1096" s="453"/>
      <c r="GF1096" s="453"/>
      <c r="GG1096" s="453"/>
      <c r="GH1096" s="454"/>
      <c r="GI1096" s="453"/>
      <c r="GJ1096" s="453"/>
      <c r="GK1096" s="453"/>
      <c r="GL1096" s="453"/>
      <c r="GM1096" s="453"/>
      <c r="GN1096" s="453"/>
      <c r="GO1096" s="453"/>
      <c r="GP1096" s="453"/>
      <c r="GQ1096" s="453"/>
      <c r="GR1096" s="453"/>
      <c r="GS1096" s="561"/>
      <c r="GT1096" s="475"/>
      <c r="GU1096" s="472"/>
      <c r="GV1096" s="453"/>
      <c r="GW1096" s="453"/>
      <c r="GX1096" s="869"/>
      <c r="GY1096" s="870"/>
      <c r="GZ1096" s="867"/>
      <c r="HA1096" s="868"/>
      <c r="HB1096" s="473"/>
      <c r="HC1096" s="869"/>
      <c r="HD1096" s="870"/>
      <c r="HE1096" s="867"/>
      <c r="HF1096" s="868"/>
      <c r="HG1096" s="473"/>
      <c r="HH1096" s="867"/>
      <c r="HI1096" s="868"/>
      <c r="HJ1096" s="867"/>
      <c r="HK1096" s="868"/>
      <c r="HL1096" s="370"/>
      <c r="HM1096" s="865"/>
      <c r="HN1096" s="866"/>
      <c r="HO1096" s="865"/>
      <c r="HP1096" s="866"/>
      <c r="HQ1096" s="865"/>
      <c r="HR1096" s="866"/>
      <c r="HS1096" s="867"/>
      <c r="HT1096" s="868"/>
      <c r="HU1096" s="489"/>
      <c r="HV1096" s="865"/>
      <c r="HW1096" s="866"/>
    </row>
    <row r="1097" spans="25:231" ht="15" customHeight="1">
      <c r="Y1097" s="332"/>
      <c r="Z1097" s="332"/>
      <c r="AA1097" s="332"/>
      <c r="AB1097" s="332"/>
      <c r="AC1097" s="332"/>
      <c r="AD1097" s="332"/>
      <c r="AE1097" s="332"/>
      <c r="AF1097" s="332"/>
      <c r="AG1097" s="332"/>
      <c r="AH1097" s="332"/>
      <c r="AI1097" s="332"/>
      <c r="AJ1097" s="332"/>
      <c r="AK1097" s="332"/>
      <c r="AL1097" s="332"/>
      <c r="AM1097" s="332"/>
      <c r="AN1097" s="332"/>
      <c r="AO1097" s="332"/>
      <c r="AP1097" s="332"/>
      <c r="AQ1097" s="332"/>
      <c r="AR1097" s="332"/>
      <c r="AS1097" s="332"/>
      <c r="AT1097" s="332"/>
      <c r="AU1097" s="332"/>
      <c r="AV1097" s="332"/>
      <c r="AW1097" s="332"/>
      <c r="AX1097" s="332"/>
      <c r="AY1097" s="332"/>
      <c r="AZ1097" s="332"/>
      <c r="BA1097" s="332"/>
      <c r="BB1097" s="332"/>
      <c r="BC1097" s="332"/>
      <c r="BD1097" s="332"/>
      <c r="BE1097" s="332"/>
      <c r="BF1097" s="332"/>
      <c r="BG1097" s="332"/>
      <c r="BH1097" s="332"/>
      <c r="BI1097" s="332"/>
      <c r="BJ1097" s="332"/>
      <c r="BK1097" s="332"/>
      <c r="BL1097" s="332"/>
      <c r="BM1097" s="332"/>
      <c r="BN1097" s="332"/>
      <c r="BO1097" s="332"/>
      <c r="BP1097" s="332"/>
      <c r="BQ1097" s="332"/>
      <c r="BR1097" s="332"/>
      <c r="BS1097" s="332"/>
      <c r="BT1097" s="332"/>
      <c r="BU1097" s="332"/>
      <c r="BV1097" s="332"/>
      <c r="BW1097" s="332"/>
      <c r="BX1097" s="332"/>
      <c r="BY1097" s="332"/>
      <c r="BZ1097" s="332"/>
      <c r="CA1097" s="332"/>
      <c r="CB1097" s="332"/>
      <c r="CC1097" s="332"/>
      <c r="CD1097" s="332"/>
      <c r="CE1097" s="332"/>
      <c r="CF1097" s="332"/>
      <c r="CG1097" s="332"/>
      <c r="CH1097" s="332"/>
      <c r="CI1097" s="332"/>
      <c r="CJ1097" s="332"/>
      <c r="CK1097" s="332"/>
      <c r="CL1097" s="332"/>
      <c r="CM1097" s="332"/>
      <c r="CN1097" s="332"/>
      <c r="CO1097" s="332"/>
      <c r="CP1097" s="332"/>
      <c r="CQ1097" s="332"/>
      <c r="CR1097" s="332"/>
      <c r="CS1097" s="332"/>
      <c r="CT1097" s="332"/>
      <c r="CU1097" s="332"/>
      <c r="CV1097" s="332"/>
      <c r="CW1097" s="332"/>
      <c r="CX1097" s="332"/>
      <c r="CY1097" s="332"/>
      <c r="CZ1097" s="332"/>
      <c r="DA1097" s="332"/>
      <c r="DB1097" s="332"/>
      <c r="DC1097" s="332"/>
      <c r="DD1097" s="332"/>
      <c r="DE1097" s="332"/>
      <c r="DF1097" s="332"/>
      <c r="DG1097" s="332"/>
      <c r="DH1097" s="332"/>
      <c r="DI1097" s="332"/>
      <c r="DJ1097" s="332"/>
      <c r="DK1097" s="332"/>
      <c r="DL1097" s="332"/>
      <c r="DM1097" s="332"/>
      <c r="DN1097" s="332"/>
      <c r="DO1097" s="332"/>
      <c r="DP1097" s="332"/>
      <c r="DQ1097" s="332"/>
      <c r="DR1097" s="332"/>
      <c r="DS1097" s="332"/>
      <c r="DT1097" s="332"/>
      <c r="DU1097" s="453"/>
      <c r="DV1097" s="453"/>
      <c r="DW1097" s="453"/>
      <c r="DX1097" s="453"/>
      <c r="DY1097" s="453"/>
      <c r="DZ1097" s="453"/>
      <c r="EA1097" s="453"/>
      <c r="EB1097" s="453"/>
      <c r="EC1097" s="453"/>
      <c r="ED1097" s="453"/>
      <c r="EE1097" s="453"/>
      <c r="EF1097" s="453"/>
      <c r="EG1097" s="453"/>
      <c r="EH1097" s="453"/>
      <c r="EI1097" s="453"/>
      <c r="EJ1097" s="453"/>
      <c r="EK1097" s="453"/>
      <c r="EL1097" s="453"/>
      <c r="EM1097" s="483">
        <f t="shared" si="249"/>
        <v>788</v>
      </c>
      <c r="EN1097" s="485"/>
      <c r="EO1097" s="458"/>
      <c r="EP1097" s="467"/>
      <c r="EQ1097" s="457"/>
      <c r="ER1097" s="808"/>
      <c r="ES1097" s="881">
        <f t="shared" si="252"/>
        <v>0</v>
      </c>
      <c r="ET1097" s="882"/>
      <c r="EU1097" s="883"/>
      <c r="EV1097" s="884">
        <f t="shared" si="253"/>
        <v>0</v>
      </c>
      <c r="EW1097" s="885"/>
      <c r="EX1097" s="885"/>
      <c r="EY1097" s="885"/>
      <c r="EZ1097" s="885"/>
      <c r="FA1097" s="885"/>
      <c r="FB1097" s="885"/>
      <c r="FC1097" s="885"/>
      <c r="FD1097" s="886"/>
      <c r="FE1097" s="552"/>
      <c r="FF1097" s="552"/>
      <c r="FG1097" s="552"/>
      <c r="FH1097" s="552"/>
      <c r="FI1097" s="552"/>
      <c r="FJ1097" s="552"/>
      <c r="FK1097" s="552"/>
      <c r="FL1097" s="555"/>
      <c r="FM1097" s="554"/>
      <c r="FN1097" s="554"/>
      <c r="FO1097" s="554"/>
      <c r="FP1097" s="554"/>
      <c r="FQ1097" s="554"/>
      <c r="FR1097" s="554"/>
      <c r="FS1097" s="554"/>
      <c r="FT1097" s="554"/>
      <c r="FU1097" s="554"/>
      <c r="FV1097" s="554"/>
      <c r="FW1097" s="554"/>
      <c r="FX1097" s="554"/>
      <c r="FY1097" s="554"/>
      <c r="FZ1097" s="554"/>
      <c r="GA1097" s="554"/>
      <c r="GB1097" s="556"/>
      <c r="GC1097" s="370"/>
      <c r="GD1097" s="453"/>
      <c r="GE1097" s="453"/>
      <c r="GF1097" s="453"/>
      <c r="GG1097" s="453"/>
      <c r="GH1097" s="454"/>
      <c r="GI1097" s="453"/>
      <c r="GJ1097" s="453"/>
      <c r="GK1097" s="453"/>
      <c r="GL1097" s="453"/>
      <c r="GM1097" s="453"/>
      <c r="GN1097" s="453"/>
      <c r="GO1097" s="453"/>
      <c r="GP1097" s="453"/>
      <c r="GQ1097" s="453"/>
      <c r="GR1097" s="453"/>
      <c r="GS1097" s="561"/>
      <c r="GT1097" s="475"/>
      <c r="GU1097" s="472"/>
      <c r="GV1097" s="453"/>
      <c r="GW1097" s="453"/>
      <c r="GX1097" s="869"/>
      <c r="GY1097" s="870"/>
      <c r="GZ1097" s="867"/>
      <c r="HA1097" s="868"/>
      <c r="HB1097" s="473"/>
      <c r="HC1097" s="869"/>
      <c r="HD1097" s="870"/>
      <c r="HE1097" s="867"/>
      <c r="HF1097" s="868"/>
      <c r="HG1097" s="473"/>
      <c r="HH1097" s="867"/>
      <c r="HI1097" s="868"/>
      <c r="HJ1097" s="867"/>
      <c r="HK1097" s="868"/>
      <c r="HL1097" s="370"/>
      <c r="HM1097" s="865"/>
      <c r="HN1097" s="866"/>
      <c r="HO1097" s="865"/>
      <c r="HP1097" s="866"/>
      <c r="HQ1097" s="865"/>
      <c r="HR1097" s="866"/>
      <c r="HS1097" s="867"/>
      <c r="HT1097" s="868"/>
      <c r="HU1097" s="489"/>
      <c r="HV1097" s="865"/>
      <c r="HW1097" s="866"/>
    </row>
    <row r="1098" spans="25:231" ht="15" customHeight="1">
      <c r="Y1098" s="332"/>
      <c r="Z1098" s="332"/>
      <c r="AA1098" s="332"/>
      <c r="AB1098" s="332"/>
      <c r="AC1098" s="332"/>
      <c r="AD1098" s="332"/>
      <c r="AE1098" s="332"/>
      <c r="AF1098" s="332"/>
      <c r="AG1098" s="332"/>
      <c r="AH1098" s="332"/>
      <c r="AI1098" s="332"/>
      <c r="AJ1098" s="332"/>
      <c r="AK1098" s="332"/>
      <c r="AL1098" s="332"/>
      <c r="AM1098" s="332"/>
      <c r="AN1098" s="332"/>
      <c r="AO1098" s="332"/>
      <c r="AP1098" s="332"/>
      <c r="AQ1098" s="332"/>
      <c r="AR1098" s="332"/>
      <c r="AS1098" s="332"/>
      <c r="AT1098" s="332"/>
      <c r="AU1098" s="332"/>
      <c r="AV1098" s="332"/>
      <c r="AW1098" s="332"/>
      <c r="AX1098" s="332"/>
      <c r="AY1098" s="332"/>
      <c r="AZ1098" s="332"/>
      <c r="BA1098" s="332"/>
      <c r="BB1098" s="332"/>
      <c r="BC1098" s="332"/>
      <c r="BD1098" s="332"/>
      <c r="BE1098" s="332"/>
      <c r="BF1098" s="332"/>
      <c r="BG1098" s="332"/>
      <c r="BH1098" s="332"/>
      <c r="BI1098" s="332"/>
      <c r="BJ1098" s="332"/>
      <c r="BK1098" s="332"/>
      <c r="BL1098" s="332"/>
      <c r="BM1098" s="332"/>
      <c r="BN1098" s="332"/>
      <c r="BO1098" s="332"/>
      <c r="BP1098" s="332"/>
      <c r="BQ1098" s="332"/>
      <c r="BR1098" s="332"/>
      <c r="BS1098" s="332"/>
      <c r="BT1098" s="332"/>
      <c r="BU1098" s="332"/>
      <c r="BV1098" s="332"/>
      <c r="BW1098" s="332"/>
      <c r="BX1098" s="332"/>
      <c r="BY1098" s="332"/>
      <c r="BZ1098" s="332"/>
      <c r="CA1098" s="332"/>
      <c r="CB1098" s="332"/>
      <c r="CC1098" s="332"/>
      <c r="CD1098" s="332"/>
      <c r="CE1098" s="332"/>
      <c r="CF1098" s="332"/>
      <c r="CG1098" s="332"/>
      <c r="CH1098" s="332"/>
      <c r="CI1098" s="332"/>
      <c r="CJ1098" s="332"/>
      <c r="CK1098" s="332"/>
      <c r="CL1098" s="332"/>
      <c r="CM1098" s="332"/>
      <c r="CN1098" s="332"/>
      <c r="CO1098" s="332"/>
      <c r="CP1098" s="332"/>
      <c r="CQ1098" s="332"/>
      <c r="CR1098" s="332"/>
      <c r="CS1098" s="332"/>
      <c r="CT1098" s="332"/>
      <c r="CU1098" s="332"/>
      <c r="CV1098" s="332"/>
      <c r="CW1098" s="332"/>
      <c r="CX1098" s="332"/>
      <c r="CY1098" s="332"/>
      <c r="CZ1098" s="332"/>
      <c r="DA1098" s="332"/>
      <c r="DB1098" s="332"/>
      <c r="DC1098" s="332"/>
      <c r="DD1098" s="332"/>
      <c r="DE1098" s="332"/>
      <c r="DF1098" s="332"/>
      <c r="DG1098" s="332"/>
      <c r="DH1098" s="332"/>
      <c r="DI1098" s="332"/>
      <c r="DJ1098" s="332"/>
      <c r="DK1098" s="332"/>
      <c r="DL1098" s="332"/>
      <c r="DM1098" s="332"/>
      <c r="DN1098" s="332"/>
      <c r="DO1098" s="332"/>
      <c r="DP1098" s="332"/>
      <c r="DQ1098" s="332"/>
      <c r="DR1098" s="332"/>
      <c r="DS1098" s="332"/>
      <c r="DT1098" s="332"/>
      <c r="DU1098" s="453"/>
      <c r="DV1098" s="453"/>
      <c r="DW1098" s="453"/>
      <c r="DX1098" s="453"/>
      <c r="DY1098" s="453"/>
      <c r="DZ1098" s="453"/>
      <c r="EA1098" s="453"/>
      <c r="EB1098" s="453"/>
      <c r="EC1098" s="453"/>
      <c r="ED1098" s="453"/>
      <c r="EE1098" s="453"/>
      <c r="EF1098" s="453"/>
      <c r="EG1098" s="453"/>
      <c r="EH1098" s="453"/>
      <c r="EI1098" s="453"/>
      <c r="EJ1098" s="453"/>
      <c r="EK1098" s="453"/>
      <c r="EL1098" s="453"/>
      <c r="EM1098" s="483">
        <f t="shared" si="249"/>
        <v>789</v>
      </c>
      <c r="EN1098" s="485"/>
      <c r="EO1098" s="458"/>
      <c r="EP1098" s="467"/>
      <c r="EQ1098" s="457"/>
      <c r="ER1098" s="808"/>
      <c r="ES1098" s="881">
        <f t="shared" si="252"/>
        <v>0</v>
      </c>
      <c r="ET1098" s="882"/>
      <c r="EU1098" s="883"/>
      <c r="EV1098" s="884">
        <f t="shared" si="253"/>
        <v>0</v>
      </c>
      <c r="EW1098" s="885"/>
      <c r="EX1098" s="885"/>
      <c r="EY1098" s="885"/>
      <c r="EZ1098" s="885"/>
      <c r="FA1098" s="885"/>
      <c r="FB1098" s="885"/>
      <c r="FC1098" s="885"/>
      <c r="FD1098" s="886"/>
      <c r="FE1098" s="552"/>
      <c r="FF1098" s="552"/>
      <c r="FG1098" s="552"/>
      <c r="FH1098" s="552"/>
      <c r="FI1098" s="552"/>
      <c r="FJ1098" s="552"/>
      <c r="FK1098" s="552"/>
      <c r="FL1098" s="555"/>
      <c r="FM1098" s="554"/>
      <c r="FN1098" s="554"/>
      <c r="FO1098" s="554"/>
      <c r="FP1098" s="554"/>
      <c r="FQ1098" s="554"/>
      <c r="FR1098" s="554"/>
      <c r="FS1098" s="554"/>
      <c r="FT1098" s="554"/>
      <c r="FU1098" s="554"/>
      <c r="FV1098" s="554"/>
      <c r="FW1098" s="554"/>
      <c r="FX1098" s="554"/>
      <c r="FY1098" s="554"/>
      <c r="FZ1098" s="554"/>
      <c r="GA1098" s="554"/>
      <c r="GB1098" s="556"/>
      <c r="GC1098" s="370"/>
      <c r="GD1098" s="453"/>
      <c r="GE1098" s="453"/>
      <c r="GF1098" s="453"/>
      <c r="GG1098" s="453"/>
      <c r="GH1098" s="454"/>
      <c r="GI1098" s="453"/>
      <c r="GJ1098" s="453"/>
      <c r="GK1098" s="453"/>
      <c r="GL1098" s="453"/>
      <c r="GM1098" s="453"/>
      <c r="GN1098" s="453"/>
      <c r="GO1098" s="453"/>
      <c r="GP1098" s="453"/>
      <c r="GQ1098" s="453"/>
      <c r="GR1098" s="453"/>
      <c r="GS1098" s="561"/>
      <c r="GT1098" s="475"/>
      <c r="GU1098" s="472"/>
      <c r="GV1098" s="453"/>
      <c r="GW1098" s="453"/>
      <c r="GX1098" s="869"/>
      <c r="GY1098" s="870"/>
      <c r="GZ1098" s="867"/>
      <c r="HA1098" s="868"/>
      <c r="HB1098" s="473"/>
      <c r="HC1098" s="869"/>
      <c r="HD1098" s="870"/>
      <c r="HE1098" s="867"/>
      <c r="HF1098" s="868"/>
      <c r="HG1098" s="473"/>
      <c r="HH1098" s="867"/>
      <c r="HI1098" s="868"/>
      <c r="HJ1098" s="867"/>
      <c r="HK1098" s="868"/>
      <c r="HL1098" s="370"/>
      <c r="HM1098" s="865"/>
      <c r="HN1098" s="866"/>
      <c r="HO1098" s="865"/>
      <c r="HP1098" s="866"/>
      <c r="HQ1098" s="865"/>
      <c r="HR1098" s="866"/>
      <c r="HS1098" s="867"/>
      <c r="HT1098" s="868"/>
      <c r="HU1098" s="489"/>
      <c r="HV1098" s="865"/>
      <c r="HW1098" s="866"/>
    </row>
    <row r="1099" spans="25:231" ht="15" customHeight="1">
      <c r="Y1099" s="332"/>
      <c r="Z1099" s="332"/>
      <c r="AA1099" s="332"/>
      <c r="AB1099" s="332"/>
      <c r="AC1099" s="332"/>
      <c r="AD1099" s="332"/>
      <c r="AE1099" s="332"/>
      <c r="AF1099" s="332"/>
      <c r="AG1099" s="332"/>
      <c r="AH1099" s="332"/>
      <c r="AI1099" s="332"/>
      <c r="AJ1099" s="332"/>
      <c r="AK1099" s="332"/>
      <c r="AL1099" s="332"/>
      <c r="AM1099" s="332"/>
      <c r="AN1099" s="332"/>
      <c r="AO1099" s="332"/>
      <c r="AP1099" s="332"/>
      <c r="AQ1099" s="332"/>
      <c r="AR1099" s="332"/>
      <c r="AS1099" s="332"/>
      <c r="AT1099" s="332"/>
      <c r="AU1099" s="332"/>
      <c r="AV1099" s="332"/>
      <c r="AW1099" s="332"/>
      <c r="AX1099" s="332"/>
      <c r="AY1099" s="332"/>
      <c r="AZ1099" s="332"/>
      <c r="BA1099" s="332"/>
      <c r="BB1099" s="332"/>
      <c r="BC1099" s="332"/>
      <c r="BD1099" s="332"/>
      <c r="BE1099" s="332"/>
      <c r="BF1099" s="332"/>
      <c r="BG1099" s="332"/>
      <c r="BH1099" s="332"/>
      <c r="BI1099" s="332"/>
      <c r="BJ1099" s="332"/>
      <c r="BK1099" s="332"/>
      <c r="BL1099" s="332"/>
      <c r="BM1099" s="332"/>
      <c r="BN1099" s="332"/>
      <c r="BO1099" s="332"/>
      <c r="BP1099" s="332"/>
      <c r="BQ1099" s="332"/>
      <c r="BR1099" s="332"/>
      <c r="BS1099" s="332"/>
      <c r="BT1099" s="332"/>
      <c r="BU1099" s="332"/>
      <c r="BV1099" s="332"/>
      <c r="BW1099" s="332"/>
      <c r="BX1099" s="332"/>
      <c r="BY1099" s="332"/>
      <c r="BZ1099" s="332"/>
      <c r="CA1099" s="332"/>
      <c r="CB1099" s="332"/>
      <c r="CC1099" s="332"/>
      <c r="CD1099" s="332"/>
      <c r="CE1099" s="332"/>
      <c r="CF1099" s="332"/>
      <c r="CG1099" s="332"/>
      <c r="CH1099" s="332"/>
      <c r="CI1099" s="332"/>
      <c r="CJ1099" s="332"/>
      <c r="CK1099" s="332"/>
      <c r="CL1099" s="332"/>
      <c r="CM1099" s="332"/>
      <c r="CN1099" s="332"/>
      <c r="CO1099" s="332"/>
      <c r="CP1099" s="332"/>
      <c r="CQ1099" s="332"/>
      <c r="CR1099" s="332"/>
      <c r="CS1099" s="332"/>
      <c r="CT1099" s="332"/>
      <c r="CU1099" s="332"/>
      <c r="CV1099" s="332"/>
      <c r="CW1099" s="332"/>
      <c r="CX1099" s="332"/>
      <c r="CY1099" s="332"/>
      <c r="CZ1099" s="332"/>
      <c r="DA1099" s="332"/>
      <c r="DB1099" s="332"/>
      <c r="DC1099" s="332"/>
      <c r="DD1099" s="332"/>
      <c r="DE1099" s="332"/>
      <c r="DF1099" s="332"/>
      <c r="DG1099" s="332"/>
      <c r="DH1099" s="332"/>
      <c r="DI1099" s="332"/>
      <c r="DJ1099" s="332"/>
      <c r="DK1099" s="332"/>
      <c r="DL1099" s="332"/>
      <c r="DM1099" s="332"/>
      <c r="DN1099" s="332"/>
      <c r="DO1099" s="332"/>
      <c r="DP1099" s="332"/>
      <c r="DQ1099" s="332"/>
      <c r="DR1099" s="332"/>
      <c r="DS1099" s="332"/>
      <c r="DT1099" s="332"/>
      <c r="DU1099" s="453"/>
      <c r="DV1099" s="453"/>
      <c r="DW1099" s="453"/>
      <c r="DX1099" s="453"/>
      <c r="DY1099" s="453"/>
      <c r="DZ1099" s="453"/>
      <c r="EA1099" s="453"/>
      <c r="EB1099" s="453"/>
      <c r="EC1099" s="453"/>
      <c r="ED1099" s="453"/>
      <c r="EE1099" s="453"/>
      <c r="EF1099" s="453"/>
      <c r="EG1099" s="453"/>
      <c r="EH1099" s="453"/>
      <c r="EI1099" s="453"/>
      <c r="EJ1099" s="453"/>
      <c r="EK1099" s="453"/>
      <c r="EL1099" s="453"/>
      <c r="EM1099" s="483">
        <f t="shared" si="249"/>
        <v>790</v>
      </c>
      <c r="EN1099" s="485"/>
      <c r="EO1099" s="458"/>
      <c r="EP1099" s="467"/>
      <c r="EQ1099" s="457"/>
      <c r="ER1099" s="808"/>
      <c r="ES1099" s="881">
        <f t="shared" si="252"/>
        <v>0</v>
      </c>
      <c r="ET1099" s="882"/>
      <c r="EU1099" s="883"/>
      <c r="EV1099" s="884">
        <f t="shared" si="253"/>
        <v>0</v>
      </c>
      <c r="EW1099" s="885"/>
      <c r="EX1099" s="885"/>
      <c r="EY1099" s="885"/>
      <c r="EZ1099" s="885"/>
      <c r="FA1099" s="885"/>
      <c r="FB1099" s="885"/>
      <c r="FC1099" s="885"/>
      <c r="FD1099" s="886"/>
      <c r="FE1099" s="552"/>
      <c r="FF1099" s="552"/>
      <c r="FG1099" s="552"/>
      <c r="FH1099" s="552"/>
      <c r="FI1099" s="552"/>
      <c r="FJ1099" s="552"/>
      <c r="FK1099" s="552"/>
      <c r="FL1099" s="555"/>
      <c r="FM1099" s="554"/>
      <c r="FN1099" s="554"/>
      <c r="FO1099" s="554"/>
      <c r="FP1099" s="554"/>
      <c r="FQ1099" s="554"/>
      <c r="FR1099" s="554"/>
      <c r="FS1099" s="554"/>
      <c r="FT1099" s="554"/>
      <c r="FU1099" s="554"/>
      <c r="FV1099" s="554"/>
      <c r="FW1099" s="554"/>
      <c r="FX1099" s="554"/>
      <c r="FY1099" s="554"/>
      <c r="FZ1099" s="554"/>
      <c r="GA1099" s="554"/>
      <c r="GB1099" s="556"/>
      <c r="GC1099" s="370"/>
      <c r="GD1099" s="453"/>
      <c r="GE1099" s="453"/>
      <c r="GF1099" s="453"/>
      <c r="GG1099" s="453"/>
      <c r="GH1099" s="454"/>
      <c r="GI1099" s="453"/>
      <c r="GJ1099" s="453"/>
      <c r="GK1099" s="453"/>
      <c r="GL1099" s="453"/>
      <c r="GM1099" s="453"/>
      <c r="GN1099" s="453"/>
      <c r="GO1099" s="453"/>
      <c r="GP1099" s="453"/>
      <c r="GQ1099" s="453"/>
      <c r="GR1099" s="453"/>
      <c r="GS1099" s="561"/>
      <c r="GT1099" s="475"/>
      <c r="GU1099" s="472"/>
      <c r="GV1099" s="453"/>
      <c r="GW1099" s="453"/>
      <c r="GX1099" s="869"/>
      <c r="GY1099" s="870"/>
      <c r="GZ1099" s="867"/>
      <c r="HA1099" s="868"/>
      <c r="HB1099" s="473"/>
      <c r="HC1099" s="869"/>
      <c r="HD1099" s="870"/>
      <c r="HE1099" s="867"/>
      <c r="HF1099" s="868"/>
      <c r="HG1099" s="473"/>
      <c r="HH1099" s="867"/>
      <c r="HI1099" s="868"/>
      <c r="HJ1099" s="867"/>
      <c r="HK1099" s="868"/>
      <c r="HL1099" s="370"/>
      <c r="HM1099" s="865"/>
      <c r="HN1099" s="866"/>
      <c r="HO1099" s="865"/>
      <c r="HP1099" s="866"/>
      <c r="HQ1099" s="865"/>
      <c r="HR1099" s="866"/>
      <c r="HS1099" s="867"/>
      <c r="HT1099" s="868"/>
      <c r="HU1099" s="489"/>
      <c r="HV1099" s="865"/>
      <c r="HW1099" s="866"/>
    </row>
    <row r="1100" spans="25:231" ht="15" customHeight="1">
      <c r="Y1100" s="332"/>
      <c r="Z1100" s="332"/>
      <c r="AA1100" s="332"/>
      <c r="AB1100" s="332"/>
      <c r="AC1100" s="332"/>
      <c r="AD1100" s="332"/>
      <c r="AE1100" s="332"/>
      <c r="AF1100" s="332"/>
      <c r="AG1100" s="332"/>
      <c r="AH1100" s="332"/>
      <c r="AI1100" s="332"/>
      <c r="AJ1100" s="332"/>
      <c r="AK1100" s="332"/>
      <c r="AL1100" s="332"/>
      <c r="AM1100" s="332"/>
      <c r="AN1100" s="332"/>
      <c r="AO1100" s="332"/>
      <c r="AP1100" s="332"/>
      <c r="AQ1100" s="332"/>
      <c r="AR1100" s="332"/>
      <c r="AS1100" s="332"/>
      <c r="AT1100" s="332"/>
      <c r="AU1100" s="332"/>
      <c r="AV1100" s="332"/>
      <c r="AW1100" s="332"/>
      <c r="AX1100" s="332"/>
      <c r="AY1100" s="332"/>
      <c r="AZ1100" s="332"/>
      <c r="BA1100" s="332"/>
      <c r="BB1100" s="332"/>
      <c r="BC1100" s="332"/>
      <c r="BD1100" s="332"/>
      <c r="BE1100" s="332"/>
      <c r="BF1100" s="332"/>
      <c r="BG1100" s="332"/>
      <c r="BH1100" s="332"/>
      <c r="BI1100" s="332"/>
      <c r="BJ1100" s="332"/>
      <c r="BK1100" s="332"/>
      <c r="BL1100" s="332"/>
      <c r="BM1100" s="332"/>
      <c r="BN1100" s="332"/>
      <c r="BO1100" s="332"/>
      <c r="BP1100" s="332"/>
      <c r="BQ1100" s="332"/>
      <c r="BR1100" s="332"/>
      <c r="BS1100" s="332"/>
      <c r="BT1100" s="332"/>
      <c r="BU1100" s="332"/>
      <c r="BV1100" s="332"/>
      <c r="BW1100" s="332"/>
      <c r="BX1100" s="332"/>
      <c r="BY1100" s="332"/>
      <c r="BZ1100" s="332"/>
      <c r="CA1100" s="332"/>
      <c r="CB1100" s="332"/>
      <c r="CC1100" s="332"/>
      <c r="CD1100" s="332"/>
      <c r="CE1100" s="332"/>
      <c r="CF1100" s="332"/>
      <c r="CG1100" s="332"/>
      <c r="CH1100" s="332"/>
      <c r="CI1100" s="332"/>
      <c r="CJ1100" s="332"/>
      <c r="CK1100" s="332"/>
      <c r="CL1100" s="332"/>
      <c r="CM1100" s="332"/>
      <c r="CN1100" s="332"/>
      <c r="CO1100" s="332"/>
      <c r="CP1100" s="332"/>
      <c r="CQ1100" s="332"/>
      <c r="CR1100" s="332"/>
      <c r="CS1100" s="332"/>
      <c r="CT1100" s="332"/>
      <c r="CU1100" s="332"/>
      <c r="CV1100" s="332"/>
      <c r="CW1100" s="332"/>
      <c r="CX1100" s="332"/>
      <c r="CY1100" s="332"/>
      <c r="CZ1100" s="332"/>
      <c r="DA1100" s="332"/>
      <c r="DB1100" s="332"/>
      <c r="DC1100" s="332"/>
      <c r="DD1100" s="332"/>
      <c r="DE1100" s="332"/>
      <c r="DF1100" s="332"/>
      <c r="DG1100" s="332"/>
      <c r="DH1100" s="332"/>
      <c r="DI1100" s="332"/>
      <c r="DJ1100" s="332"/>
      <c r="DK1100" s="332"/>
      <c r="DL1100" s="332"/>
      <c r="DM1100" s="332"/>
      <c r="DN1100" s="332"/>
      <c r="DO1100" s="332"/>
      <c r="DP1100" s="332"/>
      <c r="DQ1100" s="332"/>
      <c r="DR1100" s="332"/>
      <c r="DS1100" s="332"/>
      <c r="DT1100" s="332"/>
      <c r="DU1100" s="453"/>
      <c r="DV1100" s="453"/>
      <c r="DW1100" s="453"/>
      <c r="DX1100" s="453"/>
      <c r="DY1100" s="453"/>
      <c r="DZ1100" s="453"/>
      <c r="EA1100" s="453"/>
      <c r="EB1100" s="453"/>
      <c r="EC1100" s="453"/>
      <c r="ED1100" s="453"/>
      <c r="EE1100" s="453"/>
      <c r="EF1100" s="453"/>
      <c r="EG1100" s="453"/>
      <c r="EH1100" s="453"/>
      <c r="EI1100" s="453"/>
      <c r="EJ1100" s="453"/>
      <c r="EK1100" s="453"/>
      <c r="EL1100" s="453"/>
      <c r="EM1100" s="483">
        <f t="shared" si="249"/>
        <v>791</v>
      </c>
      <c r="EN1100" s="485"/>
      <c r="EO1100" s="458"/>
      <c r="EP1100" s="467"/>
      <c r="EQ1100" s="457"/>
      <c r="ER1100" s="808"/>
      <c r="ES1100" s="881">
        <f t="shared" si="252"/>
        <v>0</v>
      </c>
      <c r="ET1100" s="882"/>
      <c r="EU1100" s="883"/>
      <c r="EV1100" s="884">
        <f t="shared" si="253"/>
        <v>0</v>
      </c>
      <c r="EW1100" s="885"/>
      <c r="EX1100" s="885"/>
      <c r="EY1100" s="885"/>
      <c r="EZ1100" s="885"/>
      <c r="FA1100" s="885"/>
      <c r="FB1100" s="885"/>
      <c r="FC1100" s="885"/>
      <c r="FD1100" s="886"/>
      <c r="FE1100" s="552"/>
      <c r="FF1100" s="552"/>
      <c r="FG1100" s="552"/>
      <c r="FH1100" s="552"/>
      <c r="FI1100" s="552"/>
      <c r="FJ1100" s="552"/>
      <c r="FK1100" s="552"/>
      <c r="FL1100" s="555"/>
      <c r="FM1100" s="554"/>
      <c r="FN1100" s="554"/>
      <c r="FO1100" s="554"/>
      <c r="FP1100" s="554"/>
      <c r="FQ1100" s="554"/>
      <c r="FR1100" s="554"/>
      <c r="FS1100" s="554"/>
      <c r="FT1100" s="554"/>
      <c r="FU1100" s="554"/>
      <c r="FV1100" s="554"/>
      <c r="FW1100" s="554"/>
      <c r="FX1100" s="554"/>
      <c r="FY1100" s="554"/>
      <c r="FZ1100" s="554"/>
      <c r="GA1100" s="554"/>
      <c r="GB1100" s="556"/>
      <c r="GC1100" s="370"/>
      <c r="GD1100" s="453"/>
      <c r="GE1100" s="453"/>
      <c r="GF1100" s="453"/>
      <c r="GG1100" s="453"/>
      <c r="GH1100" s="454"/>
      <c r="GI1100" s="453"/>
      <c r="GJ1100" s="453"/>
      <c r="GK1100" s="453"/>
      <c r="GL1100" s="453"/>
      <c r="GM1100" s="453"/>
      <c r="GN1100" s="453"/>
      <c r="GO1100" s="453"/>
      <c r="GP1100" s="453"/>
      <c r="GQ1100" s="453"/>
      <c r="GR1100" s="453"/>
      <c r="GS1100" s="561"/>
      <c r="GT1100" s="475"/>
      <c r="GU1100" s="472"/>
      <c r="GV1100" s="453"/>
      <c r="GW1100" s="453"/>
      <c r="GX1100" s="869"/>
      <c r="GY1100" s="870"/>
      <c r="GZ1100" s="867"/>
      <c r="HA1100" s="868"/>
      <c r="HB1100" s="473"/>
      <c r="HC1100" s="869"/>
      <c r="HD1100" s="870"/>
      <c r="HE1100" s="867"/>
      <c r="HF1100" s="868"/>
      <c r="HG1100" s="473"/>
      <c r="HH1100" s="867"/>
      <c r="HI1100" s="868"/>
      <c r="HJ1100" s="867"/>
      <c r="HK1100" s="868"/>
      <c r="HL1100" s="370"/>
      <c r="HM1100" s="865"/>
      <c r="HN1100" s="866"/>
      <c r="HO1100" s="865"/>
      <c r="HP1100" s="866"/>
      <c r="HQ1100" s="865"/>
      <c r="HR1100" s="866"/>
      <c r="HS1100" s="867"/>
      <c r="HT1100" s="868"/>
      <c r="HU1100" s="489"/>
      <c r="HV1100" s="865"/>
      <c r="HW1100" s="866"/>
    </row>
    <row r="1101" spans="25:231" ht="15" customHeight="1">
      <c r="Y1101" s="332"/>
      <c r="Z1101" s="332"/>
      <c r="AA1101" s="332"/>
      <c r="AB1101" s="332"/>
      <c r="AC1101" s="332"/>
      <c r="AD1101" s="332"/>
      <c r="AE1101" s="332"/>
      <c r="AF1101" s="332"/>
      <c r="AG1101" s="332"/>
      <c r="AH1101" s="332"/>
      <c r="AI1101" s="332"/>
      <c r="AJ1101" s="332"/>
      <c r="AK1101" s="332"/>
      <c r="AL1101" s="332"/>
      <c r="AM1101" s="332"/>
      <c r="AN1101" s="332"/>
      <c r="AO1101" s="332"/>
      <c r="AP1101" s="332"/>
      <c r="AQ1101" s="332"/>
      <c r="AR1101" s="332"/>
      <c r="AS1101" s="332"/>
      <c r="AT1101" s="332"/>
      <c r="AU1101" s="332"/>
      <c r="AV1101" s="332"/>
      <c r="AW1101" s="332"/>
      <c r="AX1101" s="332"/>
      <c r="AY1101" s="332"/>
      <c r="AZ1101" s="332"/>
      <c r="BA1101" s="332"/>
      <c r="BB1101" s="332"/>
      <c r="BC1101" s="332"/>
      <c r="BD1101" s="332"/>
      <c r="BE1101" s="332"/>
      <c r="BF1101" s="332"/>
      <c r="BG1101" s="332"/>
      <c r="BH1101" s="332"/>
      <c r="BI1101" s="332"/>
      <c r="BJ1101" s="332"/>
      <c r="BK1101" s="332"/>
      <c r="BL1101" s="332"/>
      <c r="BM1101" s="332"/>
      <c r="BN1101" s="332"/>
      <c r="BO1101" s="332"/>
      <c r="BP1101" s="332"/>
      <c r="BQ1101" s="332"/>
      <c r="BR1101" s="332"/>
      <c r="BS1101" s="332"/>
      <c r="BT1101" s="332"/>
      <c r="BU1101" s="332"/>
      <c r="BV1101" s="332"/>
      <c r="BW1101" s="332"/>
      <c r="BX1101" s="332"/>
      <c r="BY1101" s="332"/>
      <c r="BZ1101" s="332"/>
      <c r="CA1101" s="332"/>
      <c r="CB1101" s="332"/>
      <c r="CC1101" s="332"/>
      <c r="CD1101" s="332"/>
      <c r="CE1101" s="332"/>
      <c r="CF1101" s="332"/>
      <c r="CG1101" s="332"/>
      <c r="CH1101" s="332"/>
      <c r="CI1101" s="332"/>
      <c r="CJ1101" s="332"/>
      <c r="CK1101" s="332"/>
      <c r="CL1101" s="332"/>
      <c r="CM1101" s="332"/>
      <c r="CN1101" s="332"/>
      <c r="CO1101" s="332"/>
      <c r="CP1101" s="332"/>
      <c r="CQ1101" s="332"/>
      <c r="CR1101" s="332"/>
      <c r="CS1101" s="332"/>
      <c r="CT1101" s="332"/>
      <c r="CU1101" s="332"/>
      <c r="CV1101" s="332"/>
      <c r="CW1101" s="332"/>
      <c r="CX1101" s="332"/>
      <c r="CY1101" s="332"/>
      <c r="CZ1101" s="332"/>
      <c r="DA1101" s="332"/>
      <c r="DB1101" s="332"/>
      <c r="DC1101" s="332"/>
      <c r="DD1101" s="332"/>
      <c r="DE1101" s="332"/>
      <c r="DF1101" s="332"/>
      <c r="DG1101" s="332"/>
      <c r="DH1101" s="332"/>
      <c r="DI1101" s="332"/>
      <c r="DJ1101" s="332"/>
      <c r="DK1101" s="332"/>
      <c r="DL1101" s="332"/>
      <c r="DM1101" s="332"/>
      <c r="DN1101" s="332"/>
      <c r="DO1101" s="332"/>
      <c r="DP1101" s="332"/>
      <c r="DQ1101" s="332"/>
      <c r="DR1101" s="332"/>
      <c r="DS1101" s="332"/>
      <c r="DT1101" s="332"/>
      <c r="DU1101" s="453"/>
      <c r="DV1101" s="453"/>
      <c r="DW1101" s="453"/>
      <c r="DX1101" s="453"/>
      <c r="DY1101" s="453"/>
      <c r="DZ1101" s="453"/>
      <c r="EA1101" s="453"/>
      <c r="EB1101" s="453"/>
      <c r="EC1101" s="453"/>
      <c r="ED1101" s="453"/>
      <c r="EE1101" s="453"/>
      <c r="EF1101" s="453"/>
      <c r="EG1101" s="453"/>
      <c r="EH1101" s="453"/>
      <c r="EI1101" s="453"/>
      <c r="EJ1101" s="453"/>
      <c r="EK1101" s="453"/>
      <c r="EL1101" s="453"/>
      <c r="EM1101" s="483">
        <f t="shared" si="249"/>
        <v>792</v>
      </c>
      <c r="EN1101" s="485"/>
      <c r="EO1101" s="458"/>
      <c r="EP1101" s="467"/>
      <c r="EQ1101" s="457"/>
      <c r="ER1101" s="808"/>
      <c r="ES1101" s="881">
        <f t="shared" si="252"/>
        <v>0</v>
      </c>
      <c r="ET1101" s="882"/>
      <c r="EU1101" s="883"/>
      <c r="EV1101" s="884">
        <f t="shared" si="253"/>
        <v>0</v>
      </c>
      <c r="EW1101" s="885"/>
      <c r="EX1101" s="885"/>
      <c r="EY1101" s="885"/>
      <c r="EZ1101" s="885"/>
      <c r="FA1101" s="885"/>
      <c r="FB1101" s="885"/>
      <c r="FC1101" s="885"/>
      <c r="FD1101" s="886"/>
      <c r="FE1101" s="552"/>
      <c r="FF1101" s="552"/>
      <c r="FG1101" s="552"/>
      <c r="FH1101" s="552"/>
      <c r="FI1101" s="552"/>
      <c r="FJ1101" s="552"/>
      <c r="FK1101" s="552"/>
      <c r="FL1101" s="555"/>
      <c r="FM1101" s="554"/>
      <c r="FN1101" s="554"/>
      <c r="FO1101" s="554"/>
      <c r="FP1101" s="554"/>
      <c r="FQ1101" s="554"/>
      <c r="FR1101" s="554"/>
      <c r="FS1101" s="554"/>
      <c r="FT1101" s="554"/>
      <c r="FU1101" s="554"/>
      <c r="FV1101" s="554"/>
      <c r="FW1101" s="554"/>
      <c r="FX1101" s="554"/>
      <c r="FY1101" s="554"/>
      <c r="FZ1101" s="554"/>
      <c r="GA1101" s="554"/>
      <c r="GB1101" s="556"/>
      <c r="GC1101" s="370"/>
      <c r="GD1101" s="453"/>
      <c r="GE1101" s="453"/>
      <c r="GF1101" s="453"/>
      <c r="GG1101" s="453"/>
      <c r="GH1101" s="454"/>
      <c r="GI1101" s="453"/>
      <c r="GJ1101" s="453"/>
      <c r="GK1101" s="453"/>
      <c r="GL1101" s="453"/>
      <c r="GM1101" s="453"/>
      <c r="GN1101" s="453"/>
      <c r="GO1101" s="453"/>
      <c r="GP1101" s="453"/>
      <c r="GQ1101" s="453"/>
      <c r="GR1101" s="453"/>
      <c r="GS1101" s="561"/>
      <c r="GT1101" s="475"/>
      <c r="GU1101" s="472"/>
      <c r="GV1101" s="453"/>
      <c r="GW1101" s="453"/>
      <c r="GX1101" s="869"/>
      <c r="GY1101" s="870"/>
      <c r="GZ1101" s="867"/>
      <c r="HA1101" s="868"/>
      <c r="HB1101" s="473"/>
      <c r="HC1101" s="869"/>
      <c r="HD1101" s="870"/>
      <c r="HE1101" s="867"/>
      <c r="HF1101" s="868"/>
      <c r="HG1101" s="473"/>
      <c r="HH1101" s="867"/>
      <c r="HI1101" s="868"/>
      <c r="HJ1101" s="867"/>
      <c r="HK1101" s="868"/>
      <c r="HL1101" s="370"/>
      <c r="HM1101" s="865"/>
      <c r="HN1101" s="866"/>
      <c r="HO1101" s="865"/>
      <c r="HP1101" s="866"/>
      <c r="HQ1101" s="865"/>
      <c r="HR1101" s="866"/>
      <c r="HS1101" s="867"/>
      <c r="HT1101" s="868"/>
      <c r="HU1101" s="489"/>
      <c r="HV1101" s="865"/>
      <c r="HW1101" s="866"/>
    </row>
    <row r="1102" spans="25:231" ht="15" customHeight="1">
      <c r="Y1102" s="332"/>
      <c r="Z1102" s="332"/>
      <c r="AA1102" s="332"/>
      <c r="AB1102" s="332"/>
      <c r="AC1102" s="332"/>
      <c r="AD1102" s="332"/>
      <c r="AE1102" s="332"/>
      <c r="AF1102" s="332"/>
      <c r="AG1102" s="332"/>
      <c r="AH1102" s="332"/>
      <c r="AI1102" s="332"/>
      <c r="AJ1102" s="332"/>
      <c r="AK1102" s="332"/>
      <c r="AL1102" s="332"/>
      <c r="AM1102" s="332"/>
      <c r="AN1102" s="332"/>
      <c r="AO1102" s="332"/>
      <c r="AP1102" s="332"/>
      <c r="AQ1102" s="332"/>
      <c r="AR1102" s="332"/>
      <c r="AS1102" s="332"/>
      <c r="AT1102" s="332"/>
      <c r="AU1102" s="332"/>
      <c r="AV1102" s="332"/>
      <c r="AW1102" s="332"/>
      <c r="AX1102" s="332"/>
      <c r="AY1102" s="332"/>
      <c r="AZ1102" s="332"/>
      <c r="BA1102" s="332"/>
      <c r="BB1102" s="332"/>
      <c r="BC1102" s="332"/>
      <c r="BD1102" s="332"/>
      <c r="BE1102" s="332"/>
      <c r="BF1102" s="332"/>
      <c r="BG1102" s="332"/>
      <c r="BH1102" s="332"/>
      <c r="BI1102" s="332"/>
      <c r="BJ1102" s="332"/>
      <c r="BK1102" s="332"/>
      <c r="BL1102" s="332"/>
      <c r="BM1102" s="332"/>
      <c r="BN1102" s="332"/>
      <c r="BO1102" s="332"/>
      <c r="BP1102" s="332"/>
      <c r="BQ1102" s="332"/>
      <c r="BR1102" s="332"/>
      <c r="BS1102" s="332"/>
      <c r="BT1102" s="332"/>
      <c r="BU1102" s="332"/>
      <c r="BV1102" s="332"/>
      <c r="BW1102" s="332"/>
      <c r="BX1102" s="332"/>
      <c r="BY1102" s="332"/>
      <c r="BZ1102" s="332"/>
      <c r="CA1102" s="332"/>
      <c r="CB1102" s="332"/>
      <c r="CC1102" s="332"/>
      <c r="CD1102" s="332"/>
      <c r="CE1102" s="332"/>
      <c r="CF1102" s="332"/>
      <c r="CG1102" s="332"/>
      <c r="CH1102" s="332"/>
      <c r="CI1102" s="332"/>
      <c r="CJ1102" s="332"/>
      <c r="CK1102" s="332"/>
      <c r="CL1102" s="332"/>
      <c r="CM1102" s="332"/>
      <c r="CN1102" s="332"/>
      <c r="CO1102" s="332"/>
      <c r="CP1102" s="332"/>
      <c r="CQ1102" s="332"/>
      <c r="CR1102" s="332"/>
      <c r="CS1102" s="332"/>
      <c r="CT1102" s="332"/>
      <c r="CU1102" s="332"/>
      <c r="CV1102" s="332"/>
      <c r="CW1102" s="332"/>
      <c r="CX1102" s="332"/>
      <c r="CY1102" s="332"/>
      <c r="CZ1102" s="332"/>
      <c r="DA1102" s="332"/>
      <c r="DB1102" s="332"/>
      <c r="DC1102" s="332"/>
      <c r="DD1102" s="332"/>
      <c r="DE1102" s="332"/>
      <c r="DF1102" s="332"/>
      <c r="DG1102" s="332"/>
      <c r="DH1102" s="332"/>
      <c r="DI1102" s="332"/>
      <c r="DJ1102" s="332"/>
      <c r="DK1102" s="332"/>
      <c r="DL1102" s="332"/>
      <c r="DM1102" s="332"/>
      <c r="DN1102" s="332"/>
      <c r="DO1102" s="332"/>
      <c r="DP1102" s="332"/>
      <c r="DQ1102" s="332"/>
      <c r="DR1102" s="332"/>
      <c r="DS1102" s="332"/>
      <c r="DT1102" s="332"/>
      <c r="DU1102" s="453"/>
      <c r="DV1102" s="453"/>
      <c r="DW1102" s="453"/>
      <c r="DX1102" s="453"/>
      <c r="DY1102" s="453"/>
      <c r="DZ1102" s="453"/>
      <c r="EA1102" s="453"/>
      <c r="EB1102" s="453"/>
      <c r="EC1102" s="453"/>
      <c r="ED1102" s="453"/>
      <c r="EE1102" s="453"/>
      <c r="EF1102" s="453"/>
      <c r="EG1102" s="453"/>
      <c r="EH1102" s="453"/>
      <c r="EI1102" s="453"/>
      <c r="EJ1102" s="453"/>
      <c r="EK1102" s="453"/>
      <c r="EL1102" s="453"/>
      <c r="EM1102" s="483">
        <f t="shared" si="249"/>
        <v>793</v>
      </c>
      <c r="EN1102" s="485"/>
      <c r="EO1102" s="458"/>
      <c r="EP1102" s="467"/>
      <c r="EQ1102" s="457"/>
      <c r="ER1102" s="808"/>
      <c r="ES1102" s="881">
        <f t="shared" si="252"/>
        <v>0</v>
      </c>
      <c r="ET1102" s="882"/>
      <c r="EU1102" s="883"/>
      <c r="EV1102" s="884">
        <f t="shared" si="253"/>
        <v>0</v>
      </c>
      <c r="EW1102" s="885"/>
      <c r="EX1102" s="885"/>
      <c r="EY1102" s="885"/>
      <c r="EZ1102" s="885"/>
      <c r="FA1102" s="885"/>
      <c r="FB1102" s="885"/>
      <c r="FC1102" s="885"/>
      <c r="FD1102" s="886"/>
      <c r="FE1102" s="552"/>
      <c r="FF1102" s="552"/>
      <c r="FG1102" s="552"/>
      <c r="FH1102" s="552"/>
      <c r="FI1102" s="552"/>
      <c r="FJ1102" s="552"/>
      <c r="FK1102" s="552"/>
      <c r="FL1102" s="555"/>
      <c r="FM1102" s="554"/>
      <c r="FN1102" s="554"/>
      <c r="FO1102" s="554"/>
      <c r="FP1102" s="554"/>
      <c r="FQ1102" s="554"/>
      <c r="FR1102" s="554"/>
      <c r="FS1102" s="554"/>
      <c r="FT1102" s="554"/>
      <c r="FU1102" s="554"/>
      <c r="FV1102" s="554"/>
      <c r="FW1102" s="554"/>
      <c r="FX1102" s="554"/>
      <c r="FY1102" s="554"/>
      <c r="FZ1102" s="554"/>
      <c r="GA1102" s="554"/>
      <c r="GB1102" s="556"/>
      <c r="GC1102" s="370"/>
      <c r="GD1102" s="453"/>
      <c r="GE1102" s="453"/>
      <c r="GF1102" s="453"/>
      <c r="GG1102" s="453"/>
      <c r="GH1102" s="454"/>
      <c r="GI1102" s="453"/>
      <c r="GJ1102" s="453"/>
      <c r="GK1102" s="453"/>
      <c r="GL1102" s="453"/>
      <c r="GM1102" s="453"/>
      <c r="GN1102" s="453"/>
      <c r="GO1102" s="453"/>
      <c r="GP1102" s="453"/>
      <c r="GQ1102" s="453"/>
      <c r="GR1102" s="453"/>
      <c r="GS1102" s="561"/>
      <c r="GT1102" s="475"/>
      <c r="GU1102" s="472"/>
      <c r="GV1102" s="453"/>
      <c r="GW1102" s="453"/>
      <c r="GX1102" s="869"/>
      <c r="GY1102" s="870"/>
      <c r="GZ1102" s="867"/>
      <c r="HA1102" s="868"/>
      <c r="HB1102" s="473"/>
      <c r="HC1102" s="869"/>
      <c r="HD1102" s="870"/>
      <c r="HE1102" s="867"/>
      <c r="HF1102" s="868"/>
      <c r="HG1102" s="473"/>
      <c r="HH1102" s="867"/>
      <c r="HI1102" s="868"/>
      <c r="HJ1102" s="867"/>
      <c r="HK1102" s="868"/>
      <c r="HL1102" s="370"/>
      <c r="HM1102" s="865"/>
      <c r="HN1102" s="866"/>
      <c r="HO1102" s="865"/>
      <c r="HP1102" s="866"/>
      <c r="HQ1102" s="865"/>
      <c r="HR1102" s="866"/>
      <c r="HS1102" s="867"/>
      <c r="HT1102" s="868"/>
      <c r="HU1102" s="489"/>
      <c r="HV1102" s="865"/>
      <c r="HW1102" s="866"/>
    </row>
    <row r="1103" spans="25:231" ht="15" customHeight="1">
      <c r="Y1103" s="332"/>
      <c r="Z1103" s="332"/>
      <c r="AA1103" s="332"/>
      <c r="AB1103" s="332"/>
      <c r="AC1103" s="332"/>
      <c r="AD1103" s="332"/>
      <c r="AE1103" s="332"/>
      <c r="AF1103" s="332"/>
      <c r="AG1103" s="332"/>
      <c r="AH1103" s="332"/>
      <c r="AI1103" s="332"/>
      <c r="AJ1103" s="332"/>
      <c r="AK1103" s="332"/>
      <c r="AL1103" s="332"/>
      <c r="AM1103" s="332"/>
      <c r="AN1103" s="332"/>
      <c r="AO1103" s="332"/>
      <c r="AP1103" s="332"/>
      <c r="AQ1103" s="332"/>
      <c r="AR1103" s="332"/>
      <c r="AS1103" s="332"/>
      <c r="AT1103" s="332"/>
      <c r="AU1103" s="332"/>
      <c r="AV1103" s="332"/>
      <c r="AW1103" s="332"/>
      <c r="AX1103" s="332"/>
      <c r="AY1103" s="332"/>
      <c r="AZ1103" s="332"/>
      <c r="BA1103" s="332"/>
      <c r="BB1103" s="332"/>
      <c r="BC1103" s="332"/>
      <c r="BD1103" s="332"/>
      <c r="BE1103" s="332"/>
      <c r="BF1103" s="332"/>
      <c r="BG1103" s="332"/>
      <c r="BH1103" s="332"/>
      <c r="BI1103" s="332"/>
      <c r="BJ1103" s="332"/>
      <c r="BK1103" s="332"/>
      <c r="BL1103" s="332"/>
      <c r="BM1103" s="332"/>
      <c r="BN1103" s="332"/>
      <c r="BO1103" s="332"/>
      <c r="BP1103" s="332"/>
      <c r="BQ1103" s="332"/>
      <c r="BR1103" s="332"/>
      <c r="BS1103" s="332"/>
      <c r="BT1103" s="332"/>
      <c r="BU1103" s="332"/>
      <c r="BV1103" s="332"/>
      <c r="BW1103" s="332"/>
      <c r="BX1103" s="332"/>
      <c r="BY1103" s="332"/>
      <c r="BZ1103" s="332"/>
      <c r="CA1103" s="332"/>
      <c r="CB1103" s="332"/>
      <c r="CC1103" s="332"/>
      <c r="CD1103" s="332"/>
      <c r="CE1103" s="332"/>
      <c r="CF1103" s="332"/>
      <c r="CG1103" s="332"/>
      <c r="CH1103" s="332"/>
      <c r="CI1103" s="332"/>
      <c r="CJ1103" s="332"/>
      <c r="CK1103" s="332"/>
      <c r="CL1103" s="332"/>
      <c r="CM1103" s="332"/>
      <c r="CN1103" s="332"/>
      <c r="CO1103" s="332"/>
      <c r="CP1103" s="332"/>
      <c r="CQ1103" s="332"/>
      <c r="CR1103" s="332"/>
      <c r="CS1103" s="332"/>
      <c r="CT1103" s="332"/>
      <c r="CU1103" s="332"/>
      <c r="CV1103" s="332"/>
      <c r="CW1103" s="332"/>
      <c r="CX1103" s="332"/>
      <c r="CY1103" s="332"/>
      <c r="CZ1103" s="332"/>
      <c r="DA1103" s="332"/>
      <c r="DB1103" s="332"/>
      <c r="DC1103" s="332"/>
      <c r="DD1103" s="332"/>
      <c r="DE1103" s="332"/>
      <c r="DF1103" s="332"/>
      <c r="DG1103" s="332"/>
      <c r="DH1103" s="332"/>
      <c r="DI1103" s="332"/>
      <c r="DJ1103" s="332"/>
      <c r="DK1103" s="332"/>
      <c r="DL1103" s="332"/>
      <c r="DM1103" s="332"/>
      <c r="DN1103" s="332"/>
      <c r="DO1103" s="332"/>
      <c r="DP1103" s="332"/>
      <c r="DQ1103" s="332"/>
      <c r="DR1103" s="332"/>
      <c r="DS1103" s="332"/>
      <c r="DT1103" s="332"/>
      <c r="DU1103" s="453"/>
      <c r="DV1103" s="453"/>
      <c r="DW1103" s="453"/>
      <c r="DX1103" s="453"/>
      <c r="DY1103" s="453"/>
      <c r="DZ1103" s="453"/>
      <c r="EA1103" s="453"/>
      <c r="EB1103" s="453"/>
      <c r="EC1103" s="453"/>
      <c r="ED1103" s="453"/>
      <c r="EE1103" s="453"/>
      <c r="EF1103" s="453"/>
      <c r="EG1103" s="453"/>
      <c r="EH1103" s="453"/>
      <c r="EI1103" s="453"/>
      <c r="EJ1103" s="453"/>
      <c r="EK1103" s="453"/>
      <c r="EL1103" s="453"/>
      <c r="EM1103" s="483">
        <f t="shared" si="249"/>
        <v>794</v>
      </c>
      <c r="EN1103" s="485"/>
      <c r="EO1103" s="458"/>
      <c r="EP1103" s="467"/>
      <c r="EQ1103" s="457"/>
      <c r="ER1103" s="808"/>
      <c r="ES1103" s="881">
        <f t="shared" si="252"/>
        <v>0</v>
      </c>
      <c r="ET1103" s="882"/>
      <c r="EU1103" s="883"/>
      <c r="EV1103" s="884">
        <f t="shared" si="253"/>
        <v>0</v>
      </c>
      <c r="EW1103" s="885"/>
      <c r="EX1103" s="885"/>
      <c r="EY1103" s="885"/>
      <c r="EZ1103" s="885"/>
      <c r="FA1103" s="885"/>
      <c r="FB1103" s="885"/>
      <c r="FC1103" s="885"/>
      <c r="FD1103" s="886"/>
      <c r="FE1103" s="552"/>
      <c r="FF1103" s="552"/>
      <c r="FG1103" s="552"/>
      <c r="FH1103" s="552"/>
      <c r="FI1103" s="552"/>
      <c r="FJ1103" s="552"/>
      <c r="FK1103" s="552"/>
      <c r="FL1103" s="555"/>
      <c r="FM1103" s="554"/>
      <c r="FN1103" s="554"/>
      <c r="FO1103" s="554"/>
      <c r="FP1103" s="554"/>
      <c r="FQ1103" s="554"/>
      <c r="FR1103" s="554"/>
      <c r="FS1103" s="554"/>
      <c r="FT1103" s="554"/>
      <c r="FU1103" s="554"/>
      <c r="FV1103" s="554"/>
      <c r="FW1103" s="554"/>
      <c r="FX1103" s="554"/>
      <c r="FY1103" s="554"/>
      <c r="FZ1103" s="554"/>
      <c r="GA1103" s="554"/>
      <c r="GB1103" s="556"/>
      <c r="GC1103" s="370"/>
      <c r="GD1103" s="453"/>
      <c r="GE1103" s="453"/>
      <c r="GF1103" s="453"/>
      <c r="GG1103" s="453"/>
      <c r="GH1103" s="454"/>
      <c r="GI1103" s="453"/>
      <c r="GJ1103" s="453"/>
      <c r="GK1103" s="453"/>
      <c r="GL1103" s="453"/>
      <c r="GM1103" s="453"/>
      <c r="GN1103" s="453"/>
      <c r="GO1103" s="453"/>
      <c r="GP1103" s="453"/>
      <c r="GQ1103" s="453"/>
      <c r="GR1103" s="453"/>
      <c r="GS1103" s="561"/>
      <c r="GT1103" s="475"/>
      <c r="GU1103" s="472"/>
      <c r="GV1103" s="453"/>
      <c r="GW1103" s="453"/>
      <c r="GX1103" s="869"/>
      <c r="GY1103" s="870"/>
      <c r="GZ1103" s="867"/>
      <c r="HA1103" s="868"/>
      <c r="HB1103" s="473"/>
      <c r="HC1103" s="869"/>
      <c r="HD1103" s="870"/>
      <c r="HE1103" s="867"/>
      <c r="HF1103" s="868"/>
      <c r="HG1103" s="473"/>
      <c r="HH1103" s="867"/>
      <c r="HI1103" s="868"/>
      <c r="HJ1103" s="867"/>
      <c r="HK1103" s="868"/>
      <c r="HL1103" s="370"/>
      <c r="HM1103" s="865"/>
      <c r="HN1103" s="866"/>
      <c r="HO1103" s="865"/>
      <c r="HP1103" s="866"/>
      <c r="HQ1103" s="865"/>
      <c r="HR1103" s="866"/>
      <c r="HS1103" s="867"/>
      <c r="HT1103" s="868"/>
      <c r="HU1103" s="489"/>
      <c r="HV1103" s="865"/>
      <c r="HW1103" s="866"/>
    </row>
    <row r="1104" spans="25:231" ht="15" customHeight="1">
      <c r="Y1104" s="332"/>
      <c r="Z1104" s="332"/>
      <c r="AA1104" s="332"/>
      <c r="AB1104" s="332"/>
      <c r="AC1104" s="332"/>
      <c r="AD1104" s="332"/>
      <c r="AE1104" s="332"/>
      <c r="AF1104" s="332"/>
      <c r="AG1104" s="332"/>
      <c r="AH1104" s="332"/>
      <c r="AI1104" s="332"/>
      <c r="AJ1104" s="332"/>
      <c r="AK1104" s="332"/>
      <c r="AL1104" s="332"/>
      <c r="AM1104" s="332"/>
      <c r="AN1104" s="332"/>
      <c r="AO1104" s="332"/>
      <c r="AP1104" s="332"/>
      <c r="AQ1104" s="332"/>
      <c r="AR1104" s="332"/>
      <c r="AS1104" s="332"/>
      <c r="AT1104" s="332"/>
      <c r="AU1104" s="332"/>
      <c r="AV1104" s="332"/>
      <c r="AW1104" s="332"/>
      <c r="AX1104" s="332"/>
      <c r="AY1104" s="332"/>
      <c r="AZ1104" s="332"/>
      <c r="BA1104" s="332"/>
      <c r="BB1104" s="332"/>
      <c r="BC1104" s="332"/>
      <c r="BD1104" s="332"/>
      <c r="BE1104" s="332"/>
      <c r="BF1104" s="332"/>
      <c r="BG1104" s="332"/>
      <c r="BH1104" s="332"/>
      <c r="BI1104" s="332"/>
      <c r="BJ1104" s="332"/>
      <c r="BK1104" s="332"/>
      <c r="BL1104" s="332"/>
      <c r="BM1104" s="332"/>
      <c r="BN1104" s="332"/>
      <c r="BO1104" s="332"/>
      <c r="BP1104" s="332"/>
      <c r="BQ1104" s="332"/>
      <c r="BR1104" s="332"/>
      <c r="BS1104" s="332"/>
      <c r="BT1104" s="332"/>
      <c r="BU1104" s="332"/>
      <c r="BV1104" s="332"/>
      <c r="BW1104" s="332"/>
      <c r="BX1104" s="332"/>
      <c r="BY1104" s="332"/>
      <c r="BZ1104" s="332"/>
      <c r="CA1104" s="332"/>
      <c r="CB1104" s="332"/>
      <c r="CC1104" s="332"/>
      <c r="CD1104" s="332"/>
      <c r="CE1104" s="332"/>
      <c r="CF1104" s="332"/>
      <c r="CG1104" s="332"/>
      <c r="CH1104" s="332"/>
      <c r="CI1104" s="332"/>
      <c r="CJ1104" s="332"/>
      <c r="CK1104" s="332"/>
      <c r="CL1104" s="332"/>
      <c r="CM1104" s="332"/>
      <c r="CN1104" s="332"/>
      <c r="CO1104" s="332"/>
      <c r="CP1104" s="332"/>
      <c r="CQ1104" s="332"/>
      <c r="CR1104" s="332"/>
      <c r="CS1104" s="332"/>
      <c r="CT1104" s="332"/>
      <c r="CU1104" s="332"/>
      <c r="CV1104" s="332"/>
      <c r="CW1104" s="332"/>
      <c r="CX1104" s="332"/>
      <c r="CY1104" s="332"/>
      <c r="CZ1104" s="332"/>
      <c r="DA1104" s="332"/>
      <c r="DB1104" s="332"/>
      <c r="DC1104" s="332"/>
      <c r="DD1104" s="332"/>
      <c r="DE1104" s="332"/>
      <c r="DF1104" s="332"/>
      <c r="DG1104" s="332"/>
      <c r="DH1104" s="332"/>
      <c r="DI1104" s="332"/>
      <c r="DJ1104" s="332"/>
      <c r="DK1104" s="332"/>
      <c r="DL1104" s="332"/>
      <c r="DM1104" s="332"/>
      <c r="DN1104" s="332"/>
      <c r="DO1104" s="332"/>
      <c r="DP1104" s="332"/>
      <c r="DQ1104" s="332"/>
      <c r="DR1104" s="332"/>
      <c r="DS1104" s="332"/>
      <c r="DT1104" s="332"/>
      <c r="DU1104" s="453"/>
      <c r="DV1104" s="453"/>
      <c r="DW1104" s="453"/>
      <c r="DX1104" s="453"/>
      <c r="DY1104" s="453"/>
      <c r="DZ1104" s="453"/>
      <c r="EA1104" s="453"/>
      <c r="EB1104" s="453"/>
      <c r="EC1104" s="453"/>
      <c r="ED1104" s="453"/>
      <c r="EE1104" s="453"/>
      <c r="EF1104" s="453"/>
      <c r="EG1104" s="453"/>
      <c r="EH1104" s="453"/>
      <c r="EI1104" s="453"/>
      <c r="EJ1104" s="453"/>
      <c r="EK1104" s="453"/>
      <c r="EL1104" s="453"/>
      <c r="EM1104" s="483">
        <f t="shared" si="249"/>
        <v>795</v>
      </c>
      <c r="EN1104" s="485"/>
      <c r="EO1104" s="458"/>
      <c r="EP1104" s="467"/>
      <c r="EQ1104" s="457"/>
      <c r="ER1104" s="808"/>
      <c r="ES1104" s="881">
        <f t="shared" si="252"/>
        <v>0</v>
      </c>
      <c r="ET1104" s="882"/>
      <c r="EU1104" s="883"/>
      <c r="EV1104" s="884">
        <f t="shared" si="253"/>
        <v>0</v>
      </c>
      <c r="EW1104" s="885"/>
      <c r="EX1104" s="885"/>
      <c r="EY1104" s="885"/>
      <c r="EZ1104" s="885"/>
      <c r="FA1104" s="885"/>
      <c r="FB1104" s="885"/>
      <c r="FC1104" s="885"/>
      <c r="FD1104" s="886"/>
      <c r="FE1104" s="552"/>
      <c r="FF1104" s="552"/>
      <c r="FG1104" s="552"/>
      <c r="FH1104" s="552"/>
      <c r="FI1104" s="552"/>
      <c r="FJ1104" s="552"/>
      <c r="FK1104" s="552"/>
      <c r="FL1104" s="555"/>
      <c r="FM1104" s="554"/>
      <c r="FN1104" s="554"/>
      <c r="FO1104" s="554"/>
      <c r="FP1104" s="554"/>
      <c r="FQ1104" s="554"/>
      <c r="FR1104" s="554"/>
      <c r="FS1104" s="554"/>
      <c r="FT1104" s="554"/>
      <c r="FU1104" s="554"/>
      <c r="FV1104" s="554"/>
      <c r="FW1104" s="554"/>
      <c r="FX1104" s="554"/>
      <c r="FY1104" s="554"/>
      <c r="FZ1104" s="554"/>
      <c r="GA1104" s="554"/>
      <c r="GB1104" s="556"/>
      <c r="GC1104" s="370"/>
      <c r="GD1104" s="453"/>
      <c r="GE1104" s="453"/>
      <c r="GF1104" s="453"/>
      <c r="GG1104" s="453"/>
      <c r="GH1104" s="454"/>
      <c r="GI1104" s="453"/>
      <c r="GJ1104" s="453"/>
      <c r="GK1104" s="453"/>
      <c r="GL1104" s="453"/>
      <c r="GM1104" s="453"/>
      <c r="GN1104" s="453"/>
      <c r="GO1104" s="453"/>
      <c r="GP1104" s="453"/>
      <c r="GQ1104" s="453"/>
      <c r="GR1104" s="453"/>
      <c r="GS1104" s="561"/>
      <c r="GT1104" s="475"/>
      <c r="GU1104" s="472"/>
      <c r="GV1104" s="453"/>
      <c r="GW1104" s="453"/>
      <c r="GX1104" s="869"/>
      <c r="GY1104" s="870"/>
      <c r="GZ1104" s="867"/>
      <c r="HA1104" s="868"/>
      <c r="HB1104" s="473"/>
      <c r="HC1104" s="869"/>
      <c r="HD1104" s="870"/>
      <c r="HE1104" s="867"/>
      <c r="HF1104" s="868"/>
      <c r="HG1104" s="473"/>
      <c r="HH1104" s="867"/>
      <c r="HI1104" s="868"/>
      <c r="HJ1104" s="867"/>
      <c r="HK1104" s="868"/>
      <c r="HL1104" s="370"/>
      <c r="HM1104" s="865"/>
      <c r="HN1104" s="866"/>
      <c r="HO1104" s="865"/>
      <c r="HP1104" s="866"/>
      <c r="HQ1104" s="865"/>
      <c r="HR1104" s="866"/>
      <c r="HS1104" s="867"/>
      <c r="HT1104" s="868"/>
      <c r="HU1104" s="489"/>
      <c r="HV1104" s="865"/>
      <c r="HW1104" s="866"/>
    </row>
    <row r="1105" spans="25:231" ht="15" customHeight="1">
      <c r="Y1105" s="332"/>
      <c r="Z1105" s="332"/>
      <c r="AA1105" s="332"/>
      <c r="AB1105" s="332"/>
      <c r="AC1105" s="332"/>
      <c r="AD1105" s="332"/>
      <c r="AE1105" s="332"/>
      <c r="AF1105" s="332"/>
      <c r="AG1105" s="332"/>
      <c r="AH1105" s="332"/>
      <c r="AI1105" s="332"/>
      <c r="AJ1105" s="332"/>
      <c r="AK1105" s="332"/>
      <c r="AL1105" s="332"/>
      <c r="AM1105" s="332"/>
      <c r="AN1105" s="332"/>
      <c r="AO1105" s="332"/>
      <c r="AP1105" s="332"/>
      <c r="AQ1105" s="332"/>
      <c r="AR1105" s="332"/>
      <c r="AS1105" s="332"/>
      <c r="AT1105" s="332"/>
      <c r="AU1105" s="332"/>
      <c r="AV1105" s="332"/>
      <c r="AW1105" s="332"/>
      <c r="AX1105" s="332"/>
      <c r="AY1105" s="332"/>
      <c r="AZ1105" s="332"/>
      <c r="BA1105" s="332"/>
      <c r="BB1105" s="332"/>
      <c r="BC1105" s="332"/>
      <c r="BD1105" s="332"/>
      <c r="BE1105" s="332"/>
      <c r="BF1105" s="332"/>
      <c r="BG1105" s="332"/>
      <c r="BH1105" s="332"/>
      <c r="BI1105" s="332"/>
      <c r="BJ1105" s="332"/>
      <c r="BK1105" s="332"/>
      <c r="BL1105" s="332"/>
      <c r="BM1105" s="332"/>
      <c r="BN1105" s="332"/>
      <c r="BO1105" s="332"/>
      <c r="BP1105" s="332"/>
      <c r="BQ1105" s="332"/>
      <c r="BR1105" s="332"/>
      <c r="BS1105" s="332"/>
      <c r="BT1105" s="332"/>
      <c r="BU1105" s="332"/>
      <c r="BV1105" s="332"/>
      <c r="BW1105" s="332"/>
      <c r="BX1105" s="332"/>
      <c r="BY1105" s="332"/>
      <c r="BZ1105" s="332"/>
      <c r="CA1105" s="332"/>
      <c r="CB1105" s="332"/>
      <c r="CC1105" s="332"/>
      <c r="CD1105" s="332"/>
      <c r="CE1105" s="332"/>
      <c r="CF1105" s="332"/>
      <c r="CG1105" s="332"/>
      <c r="CH1105" s="332"/>
      <c r="CI1105" s="332"/>
      <c r="CJ1105" s="332"/>
      <c r="CK1105" s="332"/>
      <c r="CL1105" s="332"/>
      <c r="CM1105" s="332"/>
      <c r="CN1105" s="332"/>
      <c r="CO1105" s="332"/>
      <c r="CP1105" s="332"/>
      <c r="CQ1105" s="332"/>
      <c r="CR1105" s="332"/>
      <c r="CS1105" s="332"/>
      <c r="CT1105" s="332"/>
      <c r="CU1105" s="332"/>
      <c r="CV1105" s="332"/>
      <c r="CW1105" s="332"/>
      <c r="CX1105" s="332"/>
      <c r="CY1105" s="332"/>
      <c r="CZ1105" s="332"/>
      <c r="DA1105" s="332"/>
      <c r="DB1105" s="332"/>
      <c r="DC1105" s="332"/>
      <c r="DD1105" s="332"/>
      <c r="DE1105" s="332"/>
      <c r="DF1105" s="332"/>
      <c r="DG1105" s="332"/>
      <c r="DH1105" s="332"/>
      <c r="DI1105" s="332"/>
      <c r="DJ1105" s="332"/>
      <c r="DK1105" s="332"/>
      <c r="DL1105" s="332"/>
      <c r="DM1105" s="332"/>
      <c r="DN1105" s="332"/>
      <c r="DO1105" s="332"/>
      <c r="DP1105" s="332"/>
      <c r="DQ1105" s="332"/>
      <c r="DR1105" s="332"/>
      <c r="DS1105" s="332"/>
      <c r="DT1105" s="332"/>
      <c r="DU1105" s="453"/>
      <c r="DV1105" s="453"/>
      <c r="DW1105" s="453"/>
      <c r="DX1105" s="453"/>
      <c r="DY1105" s="453"/>
      <c r="DZ1105" s="453"/>
      <c r="EA1105" s="453"/>
      <c r="EB1105" s="453"/>
      <c r="EC1105" s="453"/>
      <c r="ED1105" s="453"/>
      <c r="EE1105" s="453"/>
      <c r="EF1105" s="453"/>
      <c r="EG1105" s="453"/>
      <c r="EH1105" s="453"/>
      <c r="EI1105" s="453"/>
      <c r="EJ1105" s="453"/>
      <c r="EK1105" s="453"/>
      <c r="EL1105" s="453"/>
      <c r="EM1105" s="483">
        <f t="shared" si="249"/>
        <v>796</v>
      </c>
      <c r="EN1105" s="485"/>
      <c r="EO1105" s="458"/>
      <c r="EP1105" s="467"/>
      <c r="EQ1105" s="457"/>
      <c r="ER1105" s="808"/>
      <c r="ES1105" s="881">
        <f t="shared" si="252"/>
        <v>0</v>
      </c>
      <c r="ET1105" s="882"/>
      <c r="EU1105" s="883"/>
      <c r="EV1105" s="884">
        <f t="shared" si="253"/>
        <v>0</v>
      </c>
      <c r="EW1105" s="885"/>
      <c r="EX1105" s="885"/>
      <c r="EY1105" s="885"/>
      <c r="EZ1105" s="885"/>
      <c r="FA1105" s="885"/>
      <c r="FB1105" s="885"/>
      <c r="FC1105" s="885"/>
      <c r="FD1105" s="886"/>
      <c r="FE1105" s="552"/>
      <c r="FF1105" s="552"/>
      <c r="FG1105" s="552"/>
      <c r="FH1105" s="552"/>
      <c r="FI1105" s="552"/>
      <c r="FJ1105" s="552"/>
      <c r="FK1105" s="552"/>
      <c r="FL1105" s="555"/>
      <c r="FM1105" s="554"/>
      <c r="FN1105" s="554"/>
      <c r="FO1105" s="554"/>
      <c r="FP1105" s="554"/>
      <c r="FQ1105" s="554"/>
      <c r="FR1105" s="554"/>
      <c r="FS1105" s="554"/>
      <c r="FT1105" s="554"/>
      <c r="FU1105" s="554"/>
      <c r="FV1105" s="554"/>
      <c r="FW1105" s="554"/>
      <c r="FX1105" s="554"/>
      <c r="FY1105" s="554"/>
      <c r="FZ1105" s="554"/>
      <c r="GA1105" s="554"/>
      <c r="GB1105" s="556"/>
      <c r="GC1105" s="370"/>
      <c r="GD1105" s="453"/>
      <c r="GE1105" s="453"/>
      <c r="GF1105" s="453"/>
      <c r="GG1105" s="453"/>
      <c r="GH1105" s="454"/>
      <c r="GI1105" s="453"/>
      <c r="GJ1105" s="453"/>
      <c r="GK1105" s="453"/>
      <c r="GL1105" s="453"/>
      <c r="GM1105" s="453"/>
      <c r="GN1105" s="453"/>
      <c r="GO1105" s="453"/>
      <c r="GP1105" s="453"/>
      <c r="GQ1105" s="453"/>
      <c r="GR1105" s="453"/>
      <c r="GS1105" s="561"/>
      <c r="GT1105" s="475"/>
      <c r="GU1105" s="472"/>
      <c r="GV1105" s="453"/>
      <c r="GW1105" s="453"/>
      <c r="GX1105" s="869"/>
      <c r="GY1105" s="870"/>
      <c r="GZ1105" s="867"/>
      <c r="HA1105" s="868"/>
      <c r="HB1105" s="473"/>
      <c r="HC1105" s="869"/>
      <c r="HD1105" s="870"/>
      <c r="HE1105" s="867"/>
      <c r="HF1105" s="868"/>
      <c r="HG1105" s="473"/>
      <c r="HH1105" s="867"/>
      <c r="HI1105" s="868"/>
      <c r="HJ1105" s="867"/>
      <c r="HK1105" s="868"/>
      <c r="HL1105" s="370"/>
      <c r="HM1105" s="865"/>
      <c r="HN1105" s="866"/>
      <c r="HO1105" s="865"/>
      <c r="HP1105" s="866"/>
      <c r="HQ1105" s="865"/>
      <c r="HR1105" s="866"/>
      <c r="HS1105" s="867"/>
      <c r="HT1105" s="868"/>
      <c r="HU1105" s="489"/>
      <c r="HV1105" s="865"/>
      <c r="HW1105" s="866"/>
    </row>
    <row r="1106" spans="25:231" ht="15" customHeight="1">
      <c r="Y1106" s="332"/>
      <c r="Z1106" s="332"/>
      <c r="AA1106" s="332"/>
      <c r="AB1106" s="332"/>
      <c r="AC1106" s="332"/>
      <c r="AD1106" s="332"/>
      <c r="AE1106" s="332"/>
      <c r="AF1106" s="332"/>
      <c r="AG1106" s="332"/>
      <c r="AH1106" s="332"/>
      <c r="AI1106" s="332"/>
      <c r="AJ1106" s="332"/>
      <c r="AK1106" s="332"/>
      <c r="AL1106" s="332"/>
      <c r="AM1106" s="332"/>
      <c r="AN1106" s="332"/>
      <c r="AO1106" s="332"/>
      <c r="AP1106" s="332"/>
      <c r="AQ1106" s="332"/>
      <c r="AR1106" s="332"/>
      <c r="AS1106" s="332"/>
      <c r="AT1106" s="332"/>
      <c r="AU1106" s="332"/>
      <c r="AV1106" s="332"/>
      <c r="AW1106" s="332"/>
      <c r="AX1106" s="332"/>
      <c r="AY1106" s="332"/>
      <c r="AZ1106" s="332"/>
      <c r="BA1106" s="332"/>
      <c r="BB1106" s="332"/>
      <c r="BC1106" s="332"/>
      <c r="BD1106" s="332"/>
      <c r="BE1106" s="332"/>
      <c r="BF1106" s="332"/>
      <c r="BG1106" s="332"/>
      <c r="BH1106" s="332"/>
      <c r="BI1106" s="332"/>
      <c r="BJ1106" s="332"/>
      <c r="BK1106" s="332"/>
      <c r="BL1106" s="332"/>
      <c r="BM1106" s="332"/>
      <c r="BN1106" s="332"/>
      <c r="BO1106" s="332"/>
      <c r="BP1106" s="332"/>
      <c r="BQ1106" s="332"/>
      <c r="BR1106" s="332"/>
      <c r="BS1106" s="332"/>
      <c r="BT1106" s="332"/>
      <c r="BU1106" s="332"/>
      <c r="BV1106" s="332"/>
      <c r="BW1106" s="332"/>
      <c r="BX1106" s="332"/>
      <c r="BY1106" s="332"/>
      <c r="BZ1106" s="332"/>
      <c r="CA1106" s="332"/>
      <c r="CB1106" s="332"/>
      <c r="CC1106" s="332"/>
      <c r="CD1106" s="332"/>
      <c r="CE1106" s="332"/>
      <c r="CF1106" s="332"/>
      <c r="CG1106" s="332"/>
      <c r="CH1106" s="332"/>
      <c r="CI1106" s="332"/>
      <c r="CJ1106" s="332"/>
      <c r="CK1106" s="332"/>
      <c r="CL1106" s="332"/>
      <c r="CM1106" s="332"/>
      <c r="CN1106" s="332"/>
      <c r="CO1106" s="332"/>
      <c r="CP1106" s="332"/>
      <c r="CQ1106" s="332"/>
      <c r="CR1106" s="332"/>
      <c r="CS1106" s="332"/>
      <c r="CT1106" s="332"/>
      <c r="CU1106" s="332"/>
      <c r="CV1106" s="332"/>
      <c r="CW1106" s="332"/>
      <c r="CX1106" s="332"/>
      <c r="CY1106" s="332"/>
      <c r="CZ1106" s="332"/>
      <c r="DA1106" s="332"/>
      <c r="DB1106" s="332"/>
      <c r="DC1106" s="332"/>
      <c r="DD1106" s="332"/>
      <c r="DE1106" s="332"/>
      <c r="DF1106" s="332"/>
      <c r="DG1106" s="332"/>
      <c r="DH1106" s="332"/>
      <c r="DI1106" s="332"/>
      <c r="DJ1106" s="332"/>
      <c r="DK1106" s="332"/>
      <c r="DL1106" s="332"/>
      <c r="DM1106" s="332"/>
      <c r="DN1106" s="332"/>
      <c r="DO1106" s="332"/>
      <c r="DP1106" s="332"/>
      <c r="DQ1106" s="332"/>
      <c r="DR1106" s="332"/>
      <c r="DS1106" s="332"/>
      <c r="DT1106" s="332"/>
      <c r="DU1106" s="453"/>
      <c r="DV1106" s="453"/>
      <c r="DW1106" s="453"/>
      <c r="DX1106" s="453"/>
      <c r="DY1106" s="453"/>
      <c r="DZ1106" s="453"/>
      <c r="EA1106" s="453"/>
      <c r="EB1106" s="453"/>
      <c r="EC1106" s="453"/>
      <c r="ED1106" s="453"/>
      <c r="EE1106" s="453"/>
      <c r="EF1106" s="453"/>
      <c r="EG1106" s="453"/>
      <c r="EH1106" s="453"/>
      <c r="EI1106" s="453"/>
      <c r="EJ1106" s="453"/>
      <c r="EK1106" s="453"/>
      <c r="EL1106" s="453"/>
      <c r="EM1106" s="483">
        <f t="shared" si="249"/>
        <v>797</v>
      </c>
      <c r="EN1106" s="485"/>
      <c r="EO1106" s="458"/>
      <c r="EP1106" s="467"/>
      <c r="EQ1106" s="457"/>
      <c r="ER1106" s="808"/>
      <c r="ES1106" s="881">
        <f t="shared" si="252"/>
        <v>0</v>
      </c>
      <c r="ET1106" s="882"/>
      <c r="EU1106" s="883"/>
      <c r="EV1106" s="884">
        <f t="shared" si="253"/>
        <v>0</v>
      </c>
      <c r="EW1106" s="885"/>
      <c r="EX1106" s="885"/>
      <c r="EY1106" s="885"/>
      <c r="EZ1106" s="885"/>
      <c r="FA1106" s="885"/>
      <c r="FB1106" s="885"/>
      <c r="FC1106" s="885"/>
      <c r="FD1106" s="886"/>
      <c r="FE1106" s="552"/>
      <c r="FF1106" s="552"/>
      <c r="FG1106" s="552"/>
      <c r="FH1106" s="552"/>
      <c r="FI1106" s="552"/>
      <c r="FJ1106" s="552"/>
      <c r="FK1106" s="552"/>
      <c r="FL1106" s="555"/>
      <c r="FM1106" s="554"/>
      <c r="FN1106" s="554"/>
      <c r="FO1106" s="554"/>
      <c r="FP1106" s="554"/>
      <c r="FQ1106" s="554"/>
      <c r="FR1106" s="554"/>
      <c r="FS1106" s="554"/>
      <c r="FT1106" s="554"/>
      <c r="FU1106" s="554"/>
      <c r="FV1106" s="554"/>
      <c r="FW1106" s="554"/>
      <c r="FX1106" s="554"/>
      <c r="FY1106" s="554"/>
      <c r="FZ1106" s="554"/>
      <c r="GA1106" s="554"/>
      <c r="GB1106" s="556"/>
      <c r="GC1106" s="370"/>
      <c r="GD1106" s="453"/>
      <c r="GE1106" s="453"/>
      <c r="GF1106" s="453"/>
      <c r="GG1106" s="453"/>
      <c r="GH1106" s="454"/>
      <c r="GI1106" s="453"/>
      <c r="GJ1106" s="453"/>
      <c r="GK1106" s="453"/>
      <c r="GL1106" s="453"/>
      <c r="GM1106" s="453"/>
      <c r="GN1106" s="453"/>
      <c r="GO1106" s="453"/>
      <c r="GP1106" s="453"/>
      <c r="GQ1106" s="453"/>
      <c r="GR1106" s="453"/>
      <c r="GS1106" s="561"/>
      <c r="GT1106" s="475"/>
      <c r="GU1106" s="472"/>
      <c r="GV1106" s="453"/>
      <c r="GW1106" s="453"/>
      <c r="GX1106" s="869"/>
      <c r="GY1106" s="870"/>
      <c r="GZ1106" s="867"/>
      <c r="HA1106" s="868"/>
      <c r="HB1106" s="473"/>
      <c r="HC1106" s="869"/>
      <c r="HD1106" s="870"/>
      <c r="HE1106" s="867"/>
      <c r="HF1106" s="868"/>
      <c r="HG1106" s="473"/>
      <c r="HH1106" s="867"/>
      <c r="HI1106" s="868"/>
      <c r="HJ1106" s="867"/>
      <c r="HK1106" s="868"/>
      <c r="HL1106" s="370"/>
      <c r="HM1106" s="865"/>
      <c r="HN1106" s="866"/>
      <c r="HO1106" s="865"/>
      <c r="HP1106" s="866"/>
      <c r="HQ1106" s="865"/>
      <c r="HR1106" s="866"/>
      <c r="HS1106" s="867"/>
      <c r="HT1106" s="868"/>
      <c r="HU1106" s="489"/>
      <c r="HV1106" s="865"/>
      <c r="HW1106" s="866"/>
    </row>
    <row r="1107" spans="25:231" ht="15" customHeight="1">
      <c r="Y1107" s="332"/>
      <c r="Z1107" s="332"/>
      <c r="AA1107" s="332"/>
      <c r="AB1107" s="332"/>
      <c r="AC1107" s="332"/>
      <c r="AD1107" s="332"/>
      <c r="AE1107" s="332"/>
      <c r="AF1107" s="332"/>
      <c r="AG1107" s="332"/>
      <c r="AH1107" s="332"/>
      <c r="AI1107" s="332"/>
      <c r="AJ1107" s="332"/>
      <c r="AK1107" s="332"/>
      <c r="AL1107" s="332"/>
      <c r="AM1107" s="332"/>
      <c r="AN1107" s="332"/>
      <c r="AO1107" s="332"/>
      <c r="AP1107" s="332"/>
      <c r="AQ1107" s="332"/>
      <c r="AR1107" s="332"/>
      <c r="AS1107" s="332"/>
      <c r="AT1107" s="332"/>
      <c r="AU1107" s="332"/>
      <c r="AV1107" s="332"/>
      <c r="AW1107" s="332"/>
      <c r="AX1107" s="332"/>
      <c r="AY1107" s="332"/>
      <c r="AZ1107" s="332"/>
      <c r="BA1107" s="332"/>
      <c r="BB1107" s="332"/>
      <c r="BC1107" s="332"/>
      <c r="BD1107" s="332"/>
      <c r="BE1107" s="332"/>
      <c r="BF1107" s="332"/>
      <c r="BG1107" s="332"/>
      <c r="BH1107" s="332"/>
      <c r="BI1107" s="332"/>
      <c r="BJ1107" s="332"/>
      <c r="BK1107" s="332"/>
      <c r="BL1107" s="332"/>
      <c r="BM1107" s="332"/>
      <c r="BN1107" s="332"/>
      <c r="BO1107" s="332"/>
      <c r="BP1107" s="332"/>
      <c r="BQ1107" s="332"/>
      <c r="BR1107" s="332"/>
      <c r="BS1107" s="332"/>
      <c r="BT1107" s="332"/>
      <c r="BU1107" s="332"/>
      <c r="BV1107" s="332"/>
      <c r="BW1107" s="332"/>
      <c r="BX1107" s="332"/>
      <c r="BY1107" s="332"/>
      <c r="BZ1107" s="332"/>
      <c r="CA1107" s="332"/>
      <c r="CB1107" s="332"/>
      <c r="CC1107" s="332"/>
      <c r="CD1107" s="332"/>
      <c r="CE1107" s="332"/>
      <c r="CF1107" s="332"/>
      <c r="CG1107" s="332"/>
      <c r="CH1107" s="332"/>
      <c r="CI1107" s="332"/>
      <c r="CJ1107" s="332"/>
      <c r="CK1107" s="332"/>
      <c r="CL1107" s="332"/>
      <c r="CM1107" s="332"/>
      <c r="CN1107" s="332"/>
      <c r="CO1107" s="332"/>
      <c r="CP1107" s="332"/>
      <c r="CQ1107" s="332"/>
      <c r="CR1107" s="332"/>
      <c r="CS1107" s="332"/>
      <c r="CT1107" s="332"/>
      <c r="CU1107" s="332"/>
      <c r="CV1107" s="332"/>
      <c r="CW1107" s="332"/>
      <c r="CX1107" s="332"/>
      <c r="CY1107" s="332"/>
      <c r="CZ1107" s="332"/>
      <c r="DA1107" s="332"/>
      <c r="DB1107" s="332"/>
      <c r="DC1107" s="332"/>
      <c r="DD1107" s="332"/>
      <c r="DE1107" s="332"/>
      <c r="DF1107" s="332"/>
      <c r="DG1107" s="332"/>
      <c r="DH1107" s="332"/>
      <c r="DI1107" s="332"/>
      <c r="DJ1107" s="332"/>
      <c r="DK1107" s="332"/>
      <c r="DL1107" s="332"/>
      <c r="DM1107" s="332"/>
      <c r="DN1107" s="332"/>
      <c r="DO1107" s="332"/>
      <c r="DP1107" s="332"/>
      <c r="DQ1107" s="332"/>
      <c r="DR1107" s="332"/>
      <c r="DS1107" s="332"/>
      <c r="DT1107" s="332"/>
      <c r="DU1107" s="453"/>
      <c r="DV1107" s="453"/>
      <c r="DW1107" s="453"/>
      <c r="DX1107" s="453"/>
      <c r="DY1107" s="453"/>
      <c r="DZ1107" s="453"/>
      <c r="EA1107" s="453"/>
      <c r="EB1107" s="453"/>
      <c r="EC1107" s="453"/>
      <c r="ED1107" s="453"/>
      <c r="EE1107" s="453"/>
      <c r="EF1107" s="453"/>
      <c r="EG1107" s="453"/>
      <c r="EH1107" s="453"/>
      <c r="EI1107" s="453"/>
      <c r="EJ1107" s="453"/>
      <c r="EK1107" s="453"/>
      <c r="EL1107" s="453"/>
      <c r="EM1107" s="483">
        <f t="shared" si="249"/>
        <v>798</v>
      </c>
      <c r="EN1107" s="485"/>
      <c r="EO1107" s="458"/>
      <c r="EP1107" s="467"/>
      <c r="EQ1107" s="457"/>
      <c r="ER1107" s="808"/>
      <c r="ES1107" s="881">
        <f t="shared" si="252"/>
        <v>0</v>
      </c>
      <c r="ET1107" s="882"/>
      <c r="EU1107" s="883"/>
      <c r="EV1107" s="884">
        <f t="shared" si="253"/>
        <v>0</v>
      </c>
      <c r="EW1107" s="885"/>
      <c r="EX1107" s="885"/>
      <c r="EY1107" s="885"/>
      <c r="EZ1107" s="885"/>
      <c r="FA1107" s="885"/>
      <c r="FB1107" s="885"/>
      <c r="FC1107" s="885"/>
      <c r="FD1107" s="886"/>
      <c r="FE1107" s="552"/>
      <c r="FF1107" s="552"/>
      <c r="FG1107" s="552"/>
      <c r="FH1107" s="552"/>
      <c r="FI1107" s="552"/>
      <c r="FJ1107" s="552"/>
      <c r="FK1107" s="552"/>
      <c r="FL1107" s="555"/>
      <c r="FM1107" s="554"/>
      <c r="FN1107" s="554"/>
      <c r="FO1107" s="554"/>
      <c r="FP1107" s="554"/>
      <c r="FQ1107" s="554"/>
      <c r="FR1107" s="554"/>
      <c r="FS1107" s="554"/>
      <c r="FT1107" s="554"/>
      <c r="FU1107" s="554"/>
      <c r="FV1107" s="554"/>
      <c r="FW1107" s="554"/>
      <c r="FX1107" s="554"/>
      <c r="FY1107" s="554"/>
      <c r="FZ1107" s="554"/>
      <c r="GA1107" s="554"/>
      <c r="GB1107" s="556"/>
      <c r="GC1107" s="370"/>
      <c r="GD1107" s="453"/>
      <c r="GE1107" s="453"/>
      <c r="GF1107" s="453"/>
      <c r="GG1107" s="453"/>
      <c r="GH1107" s="454"/>
      <c r="GI1107" s="453"/>
      <c r="GJ1107" s="453"/>
      <c r="GK1107" s="453"/>
      <c r="GL1107" s="453"/>
      <c r="GM1107" s="453"/>
      <c r="GN1107" s="453"/>
      <c r="GO1107" s="453"/>
      <c r="GP1107" s="453"/>
      <c r="GQ1107" s="453"/>
      <c r="GR1107" s="453"/>
      <c r="GS1107" s="561"/>
      <c r="GT1107" s="475"/>
      <c r="GU1107" s="472"/>
      <c r="GV1107" s="453"/>
      <c r="GW1107" s="453"/>
      <c r="GX1107" s="869"/>
      <c r="GY1107" s="870"/>
      <c r="GZ1107" s="867"/>
      <c r="HA1107" s="868"/>
      <c r="HB1107" s="473"/>
      <c r="HC1107" s="869"/>
      <c r="HD1107" s="870"/>
      <c r="HE1107" s="867"/>
      <c r="HF1107" s="868"/>
      <c r="HG1107" s="473"/>
      <c r="HH1107" s="867"/>
      <c r="HI1107" s="868"/>
      <c r="HJ1107" s="867"/>
      <c r="HK1107" s="868"/>
      <c r="HL1107" s="370"/>
      <c r="HM1107" s="865"/>
      <c r="HN1107" s="866"/>
      <c r="HO1107" s="865"/>
      <c r="HP1107" s="866"/>
      <c r="HQ1107" s="865"/>
      <c r="HR1107" s="866"/>
      <c r="HS1107" s="867"/>
      <c r="HT1107" s="868"/>
      <c r="HU1107" s="489"/>
      <c r="HV1107" s="865"/>
      <c r="HW1107" s="866"/>
    </row>
    <row r="1108" spans="25:231" ht="15" customHeight="1">
      <c r="Y1108" s="332"/>
      <c r="Z1108" s="332"/>
      <c r="AA1108" s="332"/>
      <c r="AB1108" s="332"/>
      <c r="AC1108" s="332"/>
      <c r="AD1108" s="332"/>
      <c r="AE1108" s="332"/>
      <c r="AF1108" s="332"/>
      <c r="AG1108" s="332"/>
      <c r="AH1108" s="332"/>
      <c r="AI1108" s="332"/>
      <c r="AJ1108" s="332"/>
      <c r="AK1108" s="332"/>
      <c r="AL1108" s="332"/>
      <c r="AM1108" s="332"/>
      <c r="AN1108" s="332"/>
      <c r="AO1108" s="332"/>
      <c r="AP1108" s="332"/>
      <c r="AQ1108" s="332"/>
      <c r="AR1108" s="332"/>
      <c r="AS1108" s="332"/>
      <c r="AT1108" s="332"/>
      <c r="AU1108" s="332"/>
      <c r="AV1108" s="332"/>
      <c r="AW1108" s="332"/>
      <c r="AX1108" s="332"/>
      <c r="AY1108" s="332"/>
      <c r="AZ1108" s="332"/>
      <c r="BA1108" s="332"/>
      <c r="BB1108" s="332"/>
      <c r="BC1108" s="332"/>
      <c r="BD1108" s="332"/>
      <c r="BE1108" s="332"/>
      <c r="BF1108" s="332"/>
      <c r="BG1108" s="332"/>
      <c r="BH1108" s="332"/>
      <c r="BI1108" s="332"/>
      <c r="BJ1108" s="332"/>
      <c r="BK1108" s="332"/>
      <c r="BL1108" s="332"/>
      <c r="BM1108" s="332"/>
      <c r="BN1108" s="332"/>
      <c r="BO1108" s="332"/>
      <c r="BP1108" s="332"/>
      <c r="BQ1108" s="332"/>
      <c r="BR1108" s="332"/>
      <c r="BS1108" s="332"/>
      <c r="BT1108" s="332"/>
      <c r="BU1108" s="332"/>
      <c r="BV1108" s="332"/>
      <c r="BW1108" s="332"/>
      <c r="BX1108" s="332"/>
      <c r="BY1108" s="332"/>
      <c r="BZ1108" s="332"/>
      <c r="CA1108" s="332"/>
      <c r="CB1108" s="332"/>
      <c r="CC1108" s="332"/>
      <c r="CD1108" s="332"/>
      <c r="CE1108" s="332"/>
      <c r="CF1108" s="332"/>
      <c r="CG1108" s="332"/>
      <c r="CH1108" s="332"/>
      <c r="CI1108" s="332"/>
      <c r="CJ1108" s="332"/>
      <c r="CK1108" s="332"/>
      <c r="CL1108" s="332"/>
      <c r="CM1108" s="332"/>
      <c r="CN1108" s="332"/>
      <c r="CO1108" s="332"/>
      <c r="CP1108" s="332"/>
      <c r="CQ1108" s="332"/>
      <c r="CR1108" s="332"/>
      <c r="CS1108" s="332"/>
      <c r="CT1108" s="332"/>
      <c r="CU1108" s="332"/>
      <c r="CV1108" s="332"/>
      <c r="CW1108" s="332"/>
      <c r="CX1108" s="332"/>
      <c r="CY1108" s="332"/>
      <c r="CZ1108" s="332"/>
      <c r="DA1108" s="332"/>
      <c r="DB1108" s="332"/>
      <c r="DC1108" s="332"/>
      <c r="DD1108" s="332"/>
      <c r="DE1108" s="332"/>
      <c r="DF1108" s="332"/>
      <c r="DG1108" s="332"/>
      <c r="DH1108" s="332"/>
      <c r="DI1108" s="332"/>
      <c r="DJ1108" s="332"/>
      <c r="DK1108" s="332"/>
      <c r="DL1108" s="332"/>
      <c r="DM1108" s="332"/>
      <c r="DN1108" s="332"/>
      <c r="DO1108" s="332"/>
      <c r="DP1108" s="332"/>
      <c r="DQ1108" s="332"/>
      <c r="DR1108" s="332"/>
      <c r="DS1108" s="332"/>
      <c r="DT1108" s="332"/>
      <c r="DU1108" s="453"/>
      <c r="DV1108" s="453"/>
      <c r="DW1108" s="453"/>
      <c r="DX1108" s="453"/>
      <c r="DY1108" s="453"/>
      <c r="DZ1108" s="453"/>
      <c r="EA1108" s="453"/>
      <c r="EB1108" s="453"/>
      <c r="EC1108" s="453"/>
      <c r="ED1108" s="453"/>
      <c r="EE1108" s="453"/>
      <c r="EF1108" s="453"/>
      <c r="EG1108" s="453"/>
      <c r="EH1108" s="453"/>
      <c r="EI1108" s="453"/>
      <c r="EJ1108" s="453"/>
      <c r="EK1108" s="453"/>
      <c r="EL1108" s="453"/>
      <c r="EM1108" s="483">
        <f t="shared" si="249"/>
        <v>799</v>
      </c>
      <c r="EN1108" s="485"/>
      <c r="EO1108" s="458"/>
      <c r="EP1108" s="467"/>
      <c r="EQ1108" s="457"/>
      <c r="ER1108" s="808"/>
      <c r="ES1108" s="881">
        <f t="shared" si="252"/>
        <v>0</v>
      </c>
      <c r="ET1108" s="882"/>
      <c r="EU1108" s="883"/>
      <c r="EV1108" s="884">
        <f t="shared" si="253"/>
        <v>0</v>
      </c>
      <c r="EW1108" s="885"/>
      <c r="EX1108" s="885"/>
      <c r="EY1108" s="885"/>
      <c r="EZ1108" s="885"/>
      <c r="FA1108" s="885"/>
      <c r="FB1108" s="885"/>
      <c r="FC1108" s="885"/>
      <c r="FD1108" s="886"/>
      <c r="FE1108" s="552"/>
      <c r="FF1108" s="552"/>
      <c r="FG1108" s="552"/>
      <c r="FH1108" s="552"/>
      <c r="FI1108" s="552"/>
      <c r="FJ1108" s="552"/>
      <c r="FK1108" s="552"/>
      <c r="FL1108" s="555"/>
      <c r="FM1108" s="554"/>
      <c r="FN1108" s="554"/>
      <c r="FO1108" s="554"/>
      <c r="FP1108" s="554"/>
      <c r="FQ1108" s="554"/>
      <c r="FR1108" s="554"/>
      <c r="FS1108" s="554"/>
      <c r="FT1108" s="554"/>
      <c r="FU1108" s="554"/>
      <c r="FV1108" s="554"/>
      <c r="FW1108" s="554"/>
      <c r="FX1108" s="554"/>
      <c r="FY1108" s="554"/>
      <c r="FZ1108" s="554"/>
      <c r="GA1108" s="554"/>
      <c r="GB1108" s="556"/>
      <c r="GC1108" s="370"/>
      <c r="GD1108" s="453"/>
      <c r="GE1108" s="453"/>
      <c r="GF1108" s="453"/>
      <c r="GG1108" s="453"/>
      <c r="GH1108" s="454"/>
      <c r="GI1108" s="453"/>
      <c r="GJ1108" s="453"/>
      <c r="GK1108" s="453"/>
      <c r="GL1108" s="453"/>
      <c r="GM1108" s="453"/>
      <c r="GN1108" s="453"/>
      <c r="GO1108" s="453"/>
      <c r="GP1108" s="453"/>
      <c r="GQ1108" s="453"/>
      <c r="GR1108" s="453"/>
      <c r="GS1108" s="561"/>
      <c r="GT1108" s="475"/>
      <c r="GU1108" s="472"/>
      <c r="GV1108" s="453"/>
      <c r="GW1108" s="453"/>
      <c r="GX1108" s="869"/>
      <c r="GY1108" s="870"/>
      <c r="GZ1108" s="867"/>
      <c r="HA1108" s="868"/>
      <c r="HB1108" s="473"/>
      <c r="HC1108" s="869"/>
      <c r="HD1108" s="870"/>
      <c r="HE1108" s="867"/>
      <c r="HF1108" s="868"/>
      <c r="HG1108" s="473"/>
      <c r="HH1108" s="867"/>
      <c r="HI1108" s="868"/>
      <c r="HJ1108" s="867"/>
      <c r="HK1108" s="868"/>
      <c r="HL1108" s="370"/>
      <c r="HM1108" s="865"/>
      <c r="HN1108" s="866"/>
      <c r="HO1108" s="865"/>
      <c r="HP1108" s="866"/>
      <c r="HQ1108" s="865"/>
      <c r="HR1108" s="866"/>
      <c r="HS1108" s="867"/>
      <c r="HT1108" s="868"/>
      <c r="HU1108" s="489"/>
      <c r="HV1108" s="865"/>
      <c r="HW1108" s="866"/>
    </row>
    <row r="1109" spans="25:231" ht="15" customHeight="1">
      <c r="Y1109" s="332"/>
      <c r="Z1109" s="332"/>
      <c r="AA1109" s="332"/>
      <c r="AB1109" s="332"/>
      <c r="AC1109" s="332"/>
      <c r="AD1109" s="332"/>
      <c r="AE1109" s="332"/>
      <c r="AF1109" s="332"/>
      <c r="AG1109" s="332"/>
      <c r="AH1109" s="332"/>
      <c r="AI1109" s="332"/>
      <c r="AJ1109" s="332"/>
      <c r="AK1109" s="332"/>
      <c r="AL1109" s="332"/>
      <c r="AM1109" s="332"/>
      <c r="AN1109" s="332"/>
      <c r="AO1109" s="332"/>
      <c r="AP1109" s="332"/>
      <c r="AQ1109" s="332"/>
      <c r="AR1109" s="332"/>
      <c r="AS1109" s="332"/>
      <c r="AT1109" s="332"/>
      <c r="AU1109" s="332"/>
      <c r="AV1109" s="332"/>
      <c r="AW1109" s="332"/>
      <c r="AX1109" s="332"/>
      <c r="AY1109" s="332"/>
      <c r="AZ1109" s="332"/>
      <c r="BA1109" s="332"/>
      <c r="BB1109" s="332"/>
      <c r="BC1109" s="332"/>
      <c r="BD1109" s="332"/>
      <c r="BE1109" s="332"/>
      <c r="BF1109" s="332"/>
      <c r="BG1109" s="332"/>
      <c r="BH1109" s="332"/>
      <c r="BI1109" s="332"/>
      <c r="BJ1109" s="332"/>
      <c r="BK1109" s="332"/>
      <c r="BL1109" s="332"/>
      <c r="BM1109" s="332"/>
      <c r="BN1109" s="332"/>
      <c r="BO1109" s="332"/>
      <c r="BP1109" s="332"/>
      <c r="BQ1109" s="332"/>
      <c r="BR1109" s="332"/>
      <c r="BS1109" s="332"/>
      <c r="BT1109" s="332"/>
      <c r="BU1109" s="332"/>
      <c r="BV1109" s="332"/>
      <c r="BW1109" s="332"/>
      <c r="BX1109" s="332"/>
      <c r="BY1109" s="332"/>
      <c r="BZ1109" s="332"/>
      <c r="CA1109" s="332"/>
      <c r="CB1109" s="332"/>
      <c r="CC1109" s="332"/>
      <c r="CD1109" s="332"/>
      <c r="CE1109" s="332"/>
      <c r="CF1109" s="332"/>
      <c r="CG1109" s="332"/>
      <c r="CH1109" s="332"/>
      <c r="CI1109" s="332"/>
      <c r="CJ1109" s="332"/>
      <c r="CK1109" s="332"/>
      <c r="CL1109" s="332"/>
      <c r="CM1109" s="332"/>
      <c r="CN1109" s="332"/>
      <c r="CO1109" s="332"/>
      <c r="CP1109" s="332"/>
      <c r="CQ1109" s="332"/>
      <c r="CR1109" s="332"/>
      <c r="CS1109" s="332"/>
      <c r="CT1109" s="332"/>
      <c r="CU1109" s="332"/>
      <c r="CV1109" s="332"/>
      <c r="CW1109" s="332"/>
      <c r="CX1109" s="332"/>
      <c r="CY1109" s="332"/>
      <c r="CZ1109" s="332"/>
      <c r="DA1109" s="332"/>
      <c r="DB1109" s="332"/>
      <c r="DC1109" s="332"/>
      <c r="DD1109" s="332"/>
      <c r="DE1109" s="332"/>
      <c r="DF1109" s="332"/>
      <c r="DG1109" s="332"/>
      <c r="DH1109" s="332"/>
      <c r="DI1109" s="332"/>
      <c r="DJ1109" s="332"/>
      <c r="DK1109" s="332"/>
      <c r="DL1109" s="332"/>
      <c r="DM1109" s="332"/>
      <c r="DN1109" s="332"/>
      <c r="DO1109" s="332"/>
      <c r="DP1109" s="332"/>
      <c r="DQ1109" s="332"/>
      <c r="DR1109" s="332"/>
      <c r="DS1109" s="332"/>
      <c r="DT1109" s="332"/>
      <c r="DU1109" s="453"/>
      <c r="DV1109" s="453"/>
      <c r="DW1109" s="453"/>
      <c r="DX1109" s="453"/>
      <c r="DY1109" s="453"/>
      <c r="DZ1109" s="453"/>
      <c r="EA1109" s="453"/>
      <c r="EB1109" s="453"/>
      <c r="EC1109" s="453"/>
      <c r="ED1109" s="453"/>
      <c r="EE1109" s="453"/>
      <c r="EF1109" s="453"/>
      <c r="EG1109" s="453"/>
      <c r="EH1109" s="453"/>
      <c r="EI1109" s="453"/>
      <c r="EJ1109" s="453"/>
      <c r="EK1109" s="453"/>
      <c r="EL1109" s="453"/>
      <c r="EM1109" s="483">
        <f t="shared" si="249"/>
        <v>800</v>
      </c>
      <c r="EN1109" s="485"/>
      <c r="EO1109" s="458"/>
      <c r="EP1109" s="467"/>
      <c r="EQ1109" s="457"/>
      <c r="ER1109" s="808"/>
      <c r="ES1109" s="881">
        <f t="shared" si="252"/>
        <v>0</v>
      </c>
      <c r="ET1109" s="882"/>
      <c r="EU1109" s="883"/>
      <c r="EV1109" s="884">
        <f t="shared" si="253"/>
        <v>0</v>
      </c>
      <c r="EW1109" s="885"/>
      <c r="EX1109" s="885"/>
      <c r="EY1109" s="885"/>
      <c r="EZ1109" s="885"/>
      <c r="FA1109" s="885"/>
      <c r="FB1109" s="885"/>
      <c r="FC1109" s="885"/>
      <c r="FD1109" s="886"/>
      <c r="FE1109" s="552"/>
      <c r="FF1109" s="552"/>
      <c r="FG1109" s="552"/>
      <c r="FH1109" s="552"/>
      <c r="FI1109" s="552"/>
      <c r="FJ1109" s="552"/>
      <c r="FK1109" s="552"/>
      <c r="FL1109" s="555"/>
      <c r="FM1109" s="554"/>
      <c r="FN1109" s="554"/>
      <c r="FO1109" s="554"/>
      <c r="FP1109" s="554"/>
      <c r="FQ1109" s="554"/>
      <c r="FR1109" s="554"/>
      <c r="FS1109" s="554"/>
      <c r="FT1109" s="554"/>
      <c r="FU1109" s="554"/>
      <c r="FV1109" s="554"/>
      <c r="FW1109" s="554"/>
      <c r="FX1109" s="554"/>
      <c r="FY1109" s="554"/>
      <c r="FZ1109" s="554"/>
      <c r="GA1109" s="554"/>
      <c r="GB1109" s="556"/>
      <c r="GC1109" s="370"/>
      <c r="GD1109" s="453"/>
      <c r="GE1109" s="453"/>
      <c r="GF1109" s="453"/>
      <c r="GG1109" s="453"/>
      <c r="GH1109" s="454"/>
      <c r="GI1109" s="453"/>
      <c r="GJ1109" s="453"/>
      <c r="GK1109" s="453"/>
      <c r="GL1109" s="453"/>
      <c r="GM1109" s="453"/>
      <c r="GN1109" s="453"/>
      <c r="GO1109" s="453"/>
      <c r="GP1109" s="453"/>
      <c r="GQ1109" s="453"/>
      <c r="GR1109" s="453"/>
      <c r="GS1109" s="561"/>
      <c r="GT1109" s="475"/>
      <c r="GU1109" s="472"/>
      <c r="GV1109" s="453"/>
      <c r="GW1109" s="453"/>
      <c r="GX1109" s="869"/>
      <c r="GY1109" s="870"/>
      <c r="GZ1109" s="867"/>
      <c r="HA1109" s="868"/>
      <c r="HB1109" s="473"/>
      <c r="HC1109" s="869"/>
      <c r="HD1109" s="870"/>
      <c r="HE1109" s="867"/>
      <c r="HF1109" s="868"/>
      <c r="HG1109" s="473"/>
      <c r="HH1109" s="867"/>
      <c r="HI1109" s="868"/>
      <c r="HJ1109" s="867"/>
      <c r="HK1109" s="868"/>
      <c r="HL1109" s="370"/>
      <c r="HM1109" s="865"/>
      <c r="HN1109" s="866"/>
      <c r="HO1109" s="865"/>
      <c r="HP1109" s="866"/>
      <c r="HQ1109" s="865"/>
      <c r="HR1109" s="866"/>
      <c r="HS1109" s="867"/>
      <c r="HT1109" s="868"/>
      <c r="HU1109" s="489"/>
      <c r="HV1109" s="865"/>
      <c r="HW1109" s="866"/>
    </row>
    <row r="1110" spans="25:231" ht="15" customHeight="1">
      <c r="Y1110" s="332"/>
      <c r="Z1110" s="332"/>
      <c r="AA1110" s="332"/>
      <c r="AB1110" s="332"/>
      <c r="AC1110" s="332"/>
      <c r="AD1110" s="332"/>
      <c r="AE1110" s="332"/>
      <c r="AF1110" s="332"/>
      <c r="AG1110" s="332"/>
      <c r="AH1110" s="332"/>
      <c r="AI1110" s="332"/>
      <c r="AJ1110" s="332"/>
      <c r="AK1110" s="332"/>
      <c r="AL1110" s="332"/>
      <c r="AM1110" s="332"/>
      <c r="AN1110" s="332"/>
      <c r="AO1110" s="332"/>
      <c r="AP1110" s="332"/>
      <c r="AQ1110" s="332"/>
      <c r="AR1110" s="332"/>
      <c r="AS1110" s="332"/>
      <c r="AT1110" s="332"/>
      <c r="AU1110" s="332"/>
      <c r="AV1110" s="332"/>
      <c r="AW1110" s="332"/>
      <c r="AX1110" s="332"/>
      <c r="AY1110" s="332"/>
      <c r="AZ1110" s="332"/>
      <c r="BA1110" s="332"/>
      <c r="BB1110" s="332"/>
      <c r="BC1110" s="332"/>
      <c r="BD1110" s="332"/>
      <c r="BE1110" s="332"/>
      <c r="BF1110" s="332"/>
      <c r="BG1110" s="332"/>
      <c r="BH1110" s="332"/>
      <c r="BI1110" s="332"/>
      <c r="BJ1110" s="332"/>
      <c r="BK1110" s="332"/>
      <c r="BL1110" s="332"/>
      <c r="BM1110" s="332"/>
      <c r="BN1110" s="332"/>
      <c r="BO1110" s="332"/>
      <c r="BP1110" s="332"/>
      <c r="BQ1110" s="332"/>
      <c r="BR1110" s="332"/>
      <c r="BS1110" s="332"/>
      <c r="BT1110" s="332"/>
      <c r="BU1110" s="332"/>
      <c r="BV1110" s="332"/>
      <c r="BW1110" s="332"/>
      <c r="BX1110" s="332"/>
      <c r="BY1110" s="332"/>
      <c r="BZ1110" s="332"/>
      <c r="CA1110" s="332"/>
      <c r="CB1110" s="332"/>
      <c r="CC1110" s="332"/>
      <c r="CD1110" s="332"/>
      <c r="CE1110" s="332"/>
      <c r="CF1110" s="332"/>
      <c r="CG1110" s="332"/>
      <c r="CH1110" s="332"/>
      <c r="CI1110" s="332"/>
      <c r="CJ1110" s="332"/>
      <c r="CK1110" s="332"/>
      <c r="CL1110" s="332"/>
      <c r="CM1110" s="332"/>
      <c r="CN1110" s="332"/>
      <c r="CO1110" s="332"/>
      <c r="CP1110" s="332"/>
      <c r="CQ1110" s="332"/>
      <c r="CR1110" s="332"/>
      <c r="CS1110" s="332"/>
      <c r="CT1110" s="332"/>
      <c r="CU1110" s="332"/>
      <c r="CV1110" s="332"/>
      <c r="CW1110" s="332"/>
      <c r="CX1110" s="332"/>
      <c r="CY1110" s="332"/>
      <c r="CZ1110" s="332"/>
      <c r="DA1110" s="332"/>
      <c r="DB1110" s="332"/>
      <c r="DC1110" s="332"/>
      <c r="DD1110" s="332"/>
      <c r="DE1110" s="332"/>
      <c r="DF1110" s="332"/>
      <c r="DG1110" s="332"/>
      <c r="DH1110" s="332"/>
      <c r="DI1110" s="332"/>
      <c r="DJ1110" s="332"/>
      <c r="DK1110" s="332"/>
      <c r="DL1110" s="332"/>
      <c r="DM1110" s="332"/>
      <c r="DN1110" s="332"/>
      <c r="DO1110" s="332"/>
      <c r="DP1110" s="332"/>
      <c r="DQ1110" s="332"/>
      <c r="DR1110" s="332"/>
      <c r="DS1110" s="332"/>
      <c r="DT1110" s="332"/>
      <c r="DU1110" s="453"/>
      <c r="DV1110" s="453"/>
      <c r="DW1110" s="453"/>
      <c r="DX1110" s="453"/>
      <c r="DY1110" s="453"/>
      <c r="DZ1110" s="453"/>
      <c r="EA1110" s="453"/>
      <c r="EB1110" s="453"/>
      <c r="EC1110" s="453"/>
      <c r="ED1110" s="453"/>
      <c r="EE1110" s="453"/>
      <c r="EF1110" s="453"/>
      <c r="EG1110" s="453"/>
      <c r="EH1110" s="453"/>
      <c r="EI1110" s="453"/>
      <c r="EJ1110" s="453"/>
      <c r="EK1110" s="453"/>
      <c r="EL1110" s="453"/>
      <c r="EM1110" s="483">
        <f t="shared" si="249"/>
        <v>801</v>
      </c>
      <c r="EN1110" s="485"/>
      <c r="EO1110" s="458"/>
      <c r="EP1110" s="467"/>
      <c r="EQ1110" s="457"/>
      <c r="ER1110" s="808"/>
      <c r="ES1110" s="881">
        <f t="shared" si="252"/>
        <v>0</v>
      </c>
      <c r="ET1110" s="882"/>
      <c r="EU1110" s="883"/>
      <c r="EV1110" s="884">
        <f t="shared" si="253"/>
        <v>0</v>
      </c>
      <c r="EW1110" s="885"/>
      <c r="EX1110" s="885"/>
      <c r="EY1110" s="885"/>
      <c r="EZ1110" s="885"/>
      <c r="FA1110" s="885"/>
      <c r="FB1110" s="885"/>
      <c r="FC1110" s="885"/>
      <c r="FD1110" s="886"/>
      <c r="FE1110" s="553"/>
      <c r="FF1110" s="552"/>
      <c r="FG1110" s="552"/>
      <c r="FH1110" s="552"/>
      <c r="FI1110" s="552"/>
      <c r="FJ1110" s="552"/>
      <c r="FK1110" s="552"/>
      <c r="FL1110" s="555"/>
      <c r="FM1110" s="554"/>
      <c r="FN1110" s="554"/>
      <c r="FO1110" s="554"/>
      <c r="FP1110" s="554"/>
      <c r="FQ1110" s="554"/>
      <c r="FR1110" s="554"/>
      <c r="FS1110" s="554"/>
      <c r="FT1110" s="554"/>
      <c r="FU1110" s="554"/>
      <c r="FV1110" s="554"/>
      <c r="FW1110" s="554"/>
      <c r="FX1110" s="554"/>
      <c r="FY1110" s="554"/>
      <c r="FZ1110" s="554"/>
      <c r="GA1110" s="554"/>
      <c r="GB1110" s="556"/>
      <c r="GC1110" s="370"/>
      <c r="GD1110" s="453"/>
      <c r="GE1110" s="453"/>
      <c r="GF1110" s="453"/>
      <c r="GG1110" s="453"/>
      <c r="GH1110" s="454"/>
      <c r="GI1110" s="453"/>
      <c r="GJ1110" s="453"/>
      <c r="GK1110" s="453"/>
      <c r="GL1110" s="453"/>
      <c r="GM1110" s="453"/>
      <c r="GN1110" s="453"/>
      <c r="GO1110" s="453"/>
      <c r="GP1110" s="453"/>
      <c r="GQ1110" s="453"/>
      <c r="GR1110" s="453"/>
      <c r="GS1110" s="561"/>
      <c r="GT1110" s="475"/>
      <c r="GU1110" s="472"/>
      <c r="GV1110" s="453"/>
      <c r="GW1110" s="453"/>
      <c r="GX1110" s="869"/>
      <c r="GY1110" s="870"/>
      <c r="GZ1110" s="867"/>
      <c r="HA1110" s="868"/>
      <c r="HB1110" s="473"/>
      <c r="HC1110" s="869"/>
      <c r="HD1110" s="870"/>
      <c r="HE1110" s="867"/>
      <c r="HF1110" s="868"/>
      <c r="HG1110" s="473"/>
      <c r="HH1110" s="867"/>
      <c r="HI1110" s="868"/>
      <c r="HJ1110" s="867"/>
      <c r="HK1110" s="868"/>
      <c r="HL1110" s="370"/>
      <c r="HM1110" s="865"/>
      <c r="HN1110" s="866"/>
      <c r="HO1110" s="865"/>
      <c r="HP1110" s="866"/>
      <c r="HQ1110" s="865"/>
      <c r="HR1110" s="866"/>
      <c r="HS1110" s="867"/>
      <c r="HT1110" s="868"/>
      <c r="HU1110" s="489"/>
      <c r="HV1110" s="865"/>
      <c r="HW1110" s="866"/>
    </row>
    <row r="1111" spans="25:231" ht="15" customHeight="1">
      <c r="Y1111" s="332"/>
      <c r="Z1111" s="332"/>
      <c r="AA1111" s="332"/>
      <c r="AB1111" s="332"/>
      <c r="AC1111" s="332"/>
      <c r="AD1111" s="332"/>
      <c r="AE1111" s="332"/>
      <c r="AF1111" s="332"/>
      <c r="AG1111" s="332"/>
      <c r="AH1111" s="332"/>
      <c r="AI1111" s="332"/>
      <c r="AJ1111" s="332"/>
      <c r="AK1111" s="332"/>
      <c r="AL1111" s="332"/>
      <c r="AM1111" s="332"/>
      <c r="AN1111" s="332"/>
      <c r="AO1111" s="332"/>
      <c r="AP1111" s="332"/>
      <c r="AQ1111" s="332"/>
      <c r="AR1111" s="332"/>
      <c r="AS1111" s="332"/>
      <c r="AT1111" s="332"/>
      <c r="AU1111" s="332"/>
      <c r="AV1111" s="332"/>
      <c r="AW1111" s="332"/>
      <c r="AX1111" s="332"/>
      <c r="AY1111" s="332"/>
      <c r="AZ1111" s="332"/>
      <c r="BA1111" s="332"/>
      <c r="BB1111" s="332"/>
      <c r="BC1111" s="332"/>
      <c r="BD1111" s="332"/>
      <c r="BE1111" s="332"/>
      <c r="BF1111" s="332"/>
      <c r="BG1111" s="332"/>
      <c r="BH1111" s="332"/>
      <c r="BI1111" s="332"/>
      <c r="BJ1111" s="332"/>
      <c r="BK1111" s="332"/>
      <c r="BL1111" s="332"/>
      <c r="BM1111" s="332"/>
      <c r="BN1111" s="332"/>
      <c r="BO1111" s="332"/>
      <c r="BP1111" s="332"/>
      <c r="BQ1111" s="332"/>
      <c r="BR1111" s="332"/>
      <c r="BS1111" s="332"/>
      <c r="BT1111" s="332"/>
      <c r="BU1111" s="332"/>
      <c r="BV1111" s="332"/>
      <c r="BW1111" s="332"/>
      <c r="BX1111" s="332"/>
      <c r="BY1111" s="332"/>
      <c r="BZ1111" s="332"/>
      <c r="CA1111" s="332"/>
      <c r="CB1111" s="332"/>
      <c r="CC1111" s="332"/>
      <c r="CD1111" s="332"/>
      <c r="CE1111" s="332"/>
      <c r="CF1111" s="332"/>
      <c r="CG1111" s="332"/>
      <c r="CH1111" s="332"/>
      <c r="CI1111" s="332"/>
      <c r="CJ1111" s="332"/>
      <c r="CK1111" s="332"/>
      <c r="CL1111" s="332"/>
      <c r="CM1111" s="332"/>
      <c r="CN1111" s="332"/>
      <c r="CO1111" s="332"/>
      <c r="CP1111" s="332"/>
      <c r="CQ1111" s="332"/>
      <c r="CR1111" s="332"/>
      <c r="CS1111" s="332"/>
      <c r="CT1111" s="332"/>
      <c r="CU1111" s="332"/>
      <c r="CV1111" s="332"/>
      <c r="CW1111" s="332"/>
      <c r="CX1111" s="332"/>
      <c r="CY1111" s="332"/>
      <c r="CZ1111" s="332"/>
      <c r="DA1111" s="332"/>
      <c r="DB1111" s="332"/>
      <c r="DC1111" s="332"/>
      <c r="DD1111" s="332"/>
      <c r="DE1111" s="332"/>
      <c r="DF1111" s="332"/>
      <c r="DG1111" s="332"/>
      <c r="DH1111" s="332"/>
      <c r="DI1111" s="332"/>
      <c r="DJ1111" s="332"/>
      <c r="DK1111" s="332"/>
      <c r="DL1111" s="332"/>
      <c r="DM1111" s="332"/>
      <c r="DN1111" s="332"/>
      <c r="DO1111" s="332"/>
      <c r="DP1111" s="332"/>
      <c r="DQ1111" s="332"/>
      <c r="DR1111" s="332"/>
      <c r="DS1111" s="332"/>
      <c r="DT1111" s="332"/>
      <c r="DU1111" s="453"/>
      <c r="DV1111" s="453"/>
      <c r="DW1111" s="453"/>
      <c r="DX1111" s="453"/>
      <c r="DY1111" s="453"/>
      <c r="DZ1111" s="453"/>
      <c r="EA1111" s="453"/>
      <c r="EB1111" s="453"/>
      <c r="EC1111" s="453"/>
      <c r="ED1111" s="453"/>
      <c r="EE1111" s="453"/>
      <c r="EF1111" s="453"/>
      <c r="EG1111" s="453"/>
      <c r="EH1111" s="453"/>
      <c r="EI1111" s="453"/>
      <c r="EJ1111" s="453"/>
      <c r="EK1111" s="453"/>
      <c r="EL1111" s="453"/>
      <c r="EM1111" s="483">
        <f t="shared" si="249"/>
        <v>802</v>
      </c>
      <c r="EN1111" s="485"/>
      <c r="EO1111" s="458"/>
      <c r="EP1111" s="467"/>
      <c r="EQ1111" s="457"/>
      <c r="ER1111" s="808"/>
      <c r="ES1111" s="881">
        <f t="shared" si="252"/>
        <v>0</v>
      </c>
      <c r="ET1111" s="882"/>
      <c r="EU1111" s="883"/>
      <c r="EV1111" s="884">
        <f t="shared" si="253"/>
        <v>0</v>
      </c>
      <c r="EW1111" s="885"/>
      <c r="EX1111" s="885"/>
      <c r="EY1111" s="885"/>
      <c r="EZ1111" s="885"/>
      <c r="FA1111" s="885"/>
      <c r="FB1111" s="885"/>
      <c r="FC1111" s="885"/>
      <c r="FD1111" s="886"/>
      <c r="FE1111" s="552"/>
      <c r="FF1111" s="552"/>
      <c r="FG1111" s="552"/>
      <c r="FH1111" s="552"/>
      <c r="FI1111" s="552"/>
      <c r="FJ1111" s="552"/>
      <c r="FK1111" s="552"/>
      <c r="FL1111" s="555"/>
      <c r="FM1111" s="554"/>
      <c r="FN1111" s="554"/>
      <c r="FO1111" s="554"/>
      <c r="FP1111" s="554"/>
      <c r="FQ1111" s="554"/>
      <c r="FR1111" s="554"/>
      <c r="FS1111" s="554"/>
      <c r="FT1111" s="554"/>
      <c r="FU1111" s="554"/>
      <c r="FV1111" s="554"/>
      <c r="FW1111" s="554"/>
      <c r="FX1111" s="554"/>
      <c r="FY1111" s="554"/>
      <c r="FZ1111" s="554"/>
      <c r="GA1111" s="554"/>
      <c r="GB1111" s="556"/>
      <c r="GC1111" s="370"/>
      <c r="GD1111" s="453"/>
      <c r="GE1111" s="453"/>
      <c r="GF1111" s="453"/>
      <c r="GG1111" s="453"/>
      <c r="GH1111" s="454"/>
      <c r="GI1111" s="453"/>
      <c r="GJ1111" s="453"/>
      <c r="GK1111" s="453"/>
      <c r="GL1111" s="453"/>
      <c r="GM1111" s="453"/>
      <c r="GN1111" s="453"/>
      <c r="GO1111" s="453"/>
      <c r="GP1111" s="453"/>
      <c r="GQ1111" s="453"/>
      <c r="GR1111" s="453"/>
      <c r="GS1111" s="561"/>
      <c r="GT1111" s="475"/>
      <c r="GU1111" s="472"/>
      <c r="GV1111" s="453"/>
      <c r="GW1111" s="453"/>
      <c r="GX1111" s="869"/>
      <c r="GY1111" s="870"/>
      <c r="GZ1111" s="867"/>
      <c r="HA1111" s="868"/>
      <c r="HB1111" s="473"/>
      <c r="HC1111" s="869"/>
      <c r="HD1111" s="870"/>
      <c r="HE1111" s="867"/>
      <c r="HF1111" s="868"/>
      <c r="HG1111" s="473"/>
      <c r="HH1111" s="867"/>
      <c r="HI1111" s="868"/>
      <c r="HJ1111" s="867"/>
      <c r="HK1111" s="868"/>
      <c r="HL1111" s="370"/>
      <c r="HM1111" s="865"/>
      <c r="HN1111" s="866"/>
      <c r="HO1111" s="865"/>
      <c r="HP1111" s="866"/>
      <c r="HQ1111" s="865"/>
      <c r="HR1111" s="866"/>
      <c r="HS1111" s="867"/>
      <c r="HT1111" s="868"/>
      <c r="HU1111" s="489"/>
      <c r="HV1111" s="865"/>
      <c r="HW1111" s="866"/>
    </row>
    <row r="1112" spans="25:231" ht="15" customHeight="1">
      <c r="Y1112" s="332"/>
      <c r="Z1112" s="332"/>
      <c r="AA1112" s="332"/>
      <c r="AB1112" s="332"/>
      <c r="AC1112" s="332"/>
      <c r="AD1112" s="332"/>
      <c r="AE1112" s="332"/>
      <c r="AF1112" s="332"/>
      <c r="AG1112" s="332"/>
      <c r="AH1112" s="332"/>
      <c r="AI1112" s="332"/>
      <c r="AJ1112" s="332"/>
      <c r="AK1112" s="332"/>
      <c r="AL1112" s="332"/>
      <c r="AM1112" s="332"/>
      <c r="AN1112" s="332"/>
      <c r="AO1112" s="332"/>
      <c r="AP1112" s="332"/>
      <c r="AQ1112" s="332"/>
      <c r="AR1112" s="332"/>
      <c r="AS1112" s="332"/>
      <c r="AT1112" s="332"/>
      <c r="AU1112" s="332"/>
      <c r="AV1112" s="332"/>
      <c r="AW1112" s="332"/>
      <c r="AX1112" s="332"/>
      <c r="AY1112" s="332"/>
      <c r="AZ1112" s="332"/>
      <c r="BA1112" s="332"/>
      <c r="BB1112" s="332"/>
      <c r="BC1112" s="332"/>
      <c r="BD1112" s="332"/>
      <c r="BE1112" s="332"/>
      <c r="BF1112" s="332"/>
      <c r="BG1112" s="332"/>
      <c r="BH1112" s="332"/>
      <c r="BI1112" s="332"/>
      <c r="BJ1112" s="332"/>
      <c r="BK1112" s="332"/>
      <c r="BL1112" s="332"/>
      <c r="BM1112" s="332"/>
      <c r="BN1112" s="332"/>
      <c r="BO1112" s="332"/>
      <c r="BP1112" s="332"/>
      <c r="BQ1112" s="332"/>
      <c r="BR1112" s="332"/>
      <c r="BS1112" s="332"/>
      <c r="BT1112" s="332"/>
      <c r="BU1112" s="332"/>
      <c r="BV1112" s="332"/>
      <c r="BW1112" s="332"/>
      <c r="BX1112" s="332"/>
      <c r="BY1112" s="332"/>
      <c r="BZ1112" s="332"/>
      <c r="CA1112" s="332"/>
      <c r="CB1112" s="332"/>
      <c r="CC1112" s="332"/>
      <c r="CD1112" s="332"/>
      <c r="CE1112" s="332"/>
      <c r="CF1112" s="332"/>
      <c r="CG1112" s="332"/>
      <c r="CH1112" s="332"/>
      <c r="CI1112" s="332"/>
      <c r="CJ1112" s="332"/>
      <c r="CK1112" s="332"/>
      <c r="CL1112" s="332"/>
      <c r="CM1112" s="332"/>
      <c r="CN1112" s="332"/>
      <c r="CO1112" s="332"/>
      <c r="CP1112" s="332"/>
      <c r="CQ1112" s="332"/>
      <c r="CR1112" s="332"/>
      <c r="CS1112" s="332"/>
      <c r="CT1112" s="332"/>
      <c r="CU1112" s="332"/>
      <c r="CV1112" s="332"/>
      <c r="CW1112" s="332"/>
      <c r="CX1112" s="332"/>
      <c r="CY1112" s="332"/>
      <c r="CZ1112" s="332"/>
      <c r="DA1112" s="332"/>
      <c r="DB1112" s="332"/>
      <c r="DC1112" s="332"/>
      <c r="DD1112" s="332"/>
      <c r="DE1112" s="332"/>
      <c r="DF1112" s="332"/>
      <c r="DG1112" s="332"/>
      <c r="DH1112" s="332"/>
      <c r="DI1112" s="332"/>
      <c r="DJ1112" s="332"/>
      <c r="DK1112" s="332"/>
      <c r="DL1112" s="332"/>
      <c r="DM1112" s="332"/>
      <c r="DN1112" s="332"/>
      <c r="DO1112" s="332"/>
      <c r="DP1112" s="332"/>
      <c r="DQ1112" s="332"/>
      <c r="DR1112" s="332"/>
      <c r="DS1112" s="332"/>
      <c r="DT1112" s="332"/>
      <c r="DU1112" s="453"/>
      <c r="DV1112" s="453"/>
      <c r="DW1112" s="453"/>
      <c r="DX1112" s="453"/>
      <c r="DY1112" s="453"/>
      <c r="DZ1112" s="453"/>
      <c r="EA1112" s="453"/>
      <c r="EB1112" s="453"/>
      <c r="EC1112" s="453"/>
      <c r="ED1112" s="453"/>
      <c r="EE1112" s="453"/>
      <c r="EF1112" s="453"/>
      <c r="EG1112" s="453"/>
      <c r="EH1112" s="453"/>
      <c r="EI1112" s="453"/>
      <c r="EJ1112" s="453"/>
      <c r="EK1112" s="453"/>
      <c r="EL1112" s="453"/>
      <c r="EM1112" s="483">
        <f t="shared" si="249"/>
        <v>803</v>
      </c>
      <c r="EN1112" s="485"/>
      <c r="EO1112" s="458"/>
      <c r="EP1112" s="467"/>
      <c r="EQ1112" s="457"/>
      <c r="ER1112" s="808"/>
      <c r="ES1112" s="881">
        <f t="shared" si="252"/>
        <v>0</v>
      </c>
      <c r="ET1112" s="882"/>
      <c r="EU1112" s="883"/>
      <c r="EV1112" s="884">
        <f t="shared" si="253"/>
        <v>0</v>
      </c>
      <c r="EW1112" s="885"/>
      <c r="EX1112" s="885"/>
      <c r="EY1112" s="885"/>
      <c r="EZ1112" s="885"/>
      <c r="FA1112" s="885"/>
      <c r="FB1112" s="885"/>
      <c r="FC1112" s="885"/>
      <c r="FD1112" s="886"/>
      <c r="FE1112" s="878"/>
      <c r="FF1112" s="878"/>
      <c r="FG1112" s="878"/>
      <c r="FH1112" s="878"/>
      <c r="FI1112" s="878"/>
      <c r="FJ1112" s="878"/>
      <c r="FK1112" s="878"/>
      <c r="FL1112" s="555"/>
      <c r="FM1112" s="554"/>
      <c r="FN1112" s="554"/>
      <c r="FO1112" s="554"/>
      <c r="FP1112" s="554"/>
      <c r="FQ1112" s="554"/>
      <c r="FR1112" s="554"/>
      <c r="FS1112" s="554"/>
      <c r="FT1112" s="554"/>
      <c r="FU1112" s="554"/>
      <c r="FV1112" s="554"/>
      <c r="FW1112" s="554"/>
      <c r="FX1112" s="554"/>
      <c r="FY1112" s="554"/>
      <c r="FZ1112" s="554"/>
      <c r="GA1112" s="554"/>
      <c r="GB1112" s="556"/>
      <c r="GC1112" s="370"/>
      <c r="GD1112" s="453"/>
      <c r="GE1112" s="453"/>
      <c r="GF1112" s="453"/>
      <c r="GG1112" s="453"/>
      <c r="GH1112" s="454"/>
      <c r="GI1112" s="453"/>
      <c r="GJ1112" s="453"/>
      <c r="GK1112" s="453"/>
      <c r="GL1112" s="453"/>
      <c r="GM1112" s="453"/>
      <c r="GN1112" s="453"/>
      <c r="GO1112" s="453"/>
      <c r="GP1112" s="453"/>
      <c r="GQ1112" s="453"/>
      <c r="GR1112" s="453"/>
      <c r="GS1112" s="561"/>
      <c r="GT1112" s="475"/>
      <c r="GU1112" s="472"/>
      <c r="GV1112" s="453"/>
      <c r="GW1112" s="453"/>
      <c r="GX1112" s="869"/>
      <c r="GY1112" s="870"/>
      <c r="GZ1112" s="867"/>
      <c r="HA1112" s="868"/>
      <c r="HB1112" s="473"/>
      <c r="HC1112" s="869"/>
      <c r="HD1112" s="870"/>
      <c r="HE1112" s="867"/>
      <c r="HF1112" s="868"/>
      <c r="HG1112" s="473"/>
      <c r="HH1112" s="867"/>
      <c r="HI1112" s="868"/>
      <c r="HJ1112" s="867"/>
      <c r="HK1112" s="868"/>
      <c r="HL1112" s="370"/>
      <c r="HM1112" s="865"/>
      <c r="HN1112" s="866"/>
      <c r="HO1112" s="865"/>
      <c r="HP1112" s="866"/>
      <c r="HQ1112" s="865"/>
      <c r="HR1112" s="866"/>
      <c r="HS1112" s="867"/>
      <c r="HT1112" s="868"/>
      <c r="HU1112" s="489"/>
      <c r="HV1112" s="865"/>
      <c r="HW1112" s="866"/>
    </row>
    <row r="1113" spans="25:231" ht="15" customHeight="1">
      <c r="Y1113" s="332"/>
      <c r="Z1113" s="332"/>
      <c r="AA1113" s="332"/>
      <c r="AB1113" s="332"/>
      <c r="AC1113" s="332"/>
      <c r="AD1113" s="332"/>
      <c r="AE1113" s="332"/>
      <c r="AF1113" s="332"/>
      <c r="AG1113" s="332"/>
      <c r="AH1113" s="332"/>
      <c r="AI1113" s="332"/>
      <c r="AJ1113" s="332"/>
      <c r="AK1113" s="332"/>
      <c r="AL1113" s="332"/>
      <c r="AM1113" s="332"/>
      <c r="AN1113" s="332"/>
      <c r="AO1113" s="332"/>
      <c r="AP1113" s="332"/>
      <c r="AQ1113" s="332"/>
      <c r="AR1113" s="332"/>
      <c r="AS1113" s="332"/>
      <c r="AT1113" s="332"/>
      <c r="AU1113" s="332"/>
      <c r="AV1113" s="332"/>
      <c r="AW1113" s="332"/>
      <c r="AX1113" s="332"/>
      <c r="AY1113" s="332"/>
      <c r="AZ1113" s="332"/>
      <c r="BA1113" s="332"/>
      <c r="BB1113" s="332"/>
      <c r="BC1113" s="332"/>
      <c r="BD1113" s="332"/>
      <c r="BE1113" s="332"/>
      <c r="BF1113" s="332"/>
      <c r="BG1113" s="332"/>
      <c r="BH1113" s="332"/>
      <c r="BI1113" s="332"/>
      <c r="BJ1113" s="332"/>
      <c r="BK1113" s="332"/>
      <c r="BL1113" s="332"/>
      <c r="BM1113" s="332"/>
      <c r="BN1113" s="332"/>
      <c r="BO1113" s="332"/>
      <c r="BP1113" s="332"/>
      <c r="BQ1113" s="332"/>
      <c r="BR1113" s="332"/>
      <c r="BS1113" s="332"/>
      <c r="BT1113" s="332"/>
      <c r="BU1113" s="332"/>
      <c r="BV1113" s="332"/>
      <c r="BW1113" s="332"/>
      <c r="BX1113" s="332"/>
      <c r="BY1113" s="332"/>
      <c r="BZ1113" s="332"/>
      <c r="CA1113" s="332"/>
      <c r="CB1113" s="332"/>
      <c r="CC1113" s="332"/>
      <c r="CD1113" s="332"/>
      <c r="CE1113" s="332"/>
      <c r="CF1113" s="332"/>
      <c r="CG1113" s="332"/>
      <c r="CH1113" s="332"/>
      <c r="CI1113" s="332"/>
      <c r="CJ1113" s="332"/>
      <c r="CK1113" s="332"/>
      <c r="CL1113" s="332"/>
      <c r="CM1113" s="332"/>
      <c r="CN1113" s="332"/>
      <c r="CO1113" s="332"/>
      <c r="CP1113" s="332"/>
      <c r="CQ1113" s="332"/>
      <c r="CR1113" s="332"/>
      <c r="CS1113" s="332"/>
      <c r="CT1113" s="332"/>
      <c r="CU1113" s="332"/>
      <c r="CV1113" s="332"/>
      <c r="CW1113" s="332"/>
      <c r="CX1113" s="332"/>
      <c r="CY1113" s="332"/>
      <c r="CZ1113" s="332"/>
      <c r="DA1113" s="332"/>
      <c r="DB1113" s="332"/>
      <c r="DC1113" s="332"/>
      <c r="DD1113" s="332"/>
      <c r="DE1113" s="332"/>
      <c r="DF1113" s="332"/>
      <c r="DG1113" s="332"/>
      <c r="DH1113" s="332"/>
      <c r="DI1113" s="332"/>
      <c r="DJ1113" s="332"/>
      <c r="DK1113" s="332"/>
      <c r="DL1113" s="332"/>
      <c r="DM1113" s="332"/>
      <c r="DN1113" s="332"/>
      <c r="DO1113" s="332"/>
      <c r="DP1113" s="332"/>
      <c r="DQ1113" s="332"/>
      <c r="DR1113" s="332"/>
      <c r="DS1113" s="332"/>
      <c r="DT1113" s="332"/>
      <c r="DU1113" s="453"/>
      <c r="DV1113" s="453"/>
      <c r="DW1113" s="453"/>
      <c r="DX1113" s="453"/>
      <c r="DY1113" s="453"/>
      <c r="DZ1113" s="453"/>
      <c r="EA1113" s="453"/>
      <c r="EB1113" s="453"/>
      <c r="EC1113" s="453"/>
      <c r="ED1113" s="453"/>
      <c r="EE1113" s="453"/>
      <c r="EF1113" s="453"/>
      <c r="EG1113" s="453"/>
      <c r="EH1113" s="453"/>
      <c r="EI1113" s="453"/>
      <c r="EJ1113" s="453"/>
      <c r="EK1113" s="453"/>
      <c r="EL1113" s="453"/>
      <c r="EM1113" s="483">
        <f t="shared" si="249"/>
        <v>804</v>
      </c>
      <c r="EN1113" s="485"/>
      <c r="EO1113" s="458"/>
      <c r="EP1113" s="467"/>
      <c r="EQ1113" s="457"/>
      <c r="ER1113" s="808"/>
      <c r="ES1113" s="881">
        <f t="shared" si="252"/>
        <v>0</v>
      </c>
      <c r="ET1113" s="882"/>
      <c r="EU1113" s="883"/>
      <c r="EV1113" s="884">
        <f t="shared" si="253"/>
        <v>0</v>
      </c>
      <c r="EW1113" s="885"/>
      <c r="EX1113" s="885"/>
      <c r="EY1113" s="885"/>
      <c r="EZ1113" s="885"/>
      <c r="FA1113" s="885"/>
      <c r="FB1113" s="885"/>
      <c r="FC1113" s="885"/>
      <c r="FD1113" s="886"/>
      <c r="FE1113" s="878"/>
      <c r="FF1113" s="878"/>
      <c r="FG1113" s="878"/>
      <c r="FH1113" s="878"/>
      <c r="FI1113" s="878"/>
      <c r="FJ1113" s="878"/>
      <c r="FK1113" s="878"/>
      <c r="FL1113" s="555"/>
      <c r="FM1113" s="554"/>
      <c r="FN1113" s="554"/>
      <c r="FO1113" s="554"/>
      <c r="FP1113" s="554"/>
      <c r="FQ1113" s="554"/>
      <c r="FR1113" s="554"/>
      <c r="FS1113" s="554"/>
      <c r="FT1113" s="554"/>
      <c r="FU1113" s="554"/>
      <c r="FV1113" s="554"/>
      <c r="FW1113" s="554"/>
      <c r="FX1113" s="554"/>
      <c r="FY1113" s="554"/>
      <c r="FZ1113" s="554"/>
      <c r="GA1113" s="554"/>
      <c r="GB1113" s="556"/>
      <c r="GC1113" s="370"/>
      <c r="GD1113" s="453"/>
      <c r="GE1113" s="453"/>
      <c r="GF1113" s="453"/>
      <c r="GG1113" s="453"/>
      <c r="GH1113" s="454"/>
      <c r="GI1113" s="453"/>
      <c r="GJ1113" s="453"/>
      <c r="GK1113" s="453"/>
      <c r="GL1113" s="453"/>
      <c r="GM1113" s="453"/>
      <c r="GN1113" s="453"/>
      <c r="GO1113" s="453"/>
      <c r="GP1113" s="453"/>
      <c r="GQ1113" s="453"/>
      <c r="GR1113" s="453"/>
      <c r="GS1113" s="561"/>
      <c r="GT1113" s="475"/>
      <c r="GU1113" s="472"/>
      <c r="GV1113" s="453"/>
      <c r="GW1113" s="453"/>
      <c r="GX1113" s="869"/>
      <c r="GY1113" s="870"/>
      <c r="GZ1113" s="867"/>
      <c r="HA1113" s="868"/>
      <c r="HB1113" s="473"/>
      <c r="HC1113" s="869"/>
      <c r="HD1113" s="870"/>
      <c r="HE1113" s="867"/>
      <c r="HF1113" s="868"/>
      <c r="HG1113" s="473"/>
      <c r="HH1113" s="867"/>
      <c r="HI1113" s="868"/>
      <c r="HJ1113" s="867"/>
      <c r="HK1113" s="868"/>
      <c r="HL1113" s="370"/>
      <c r="HM1113" s="865"/>
      <c r="HN1113" s="866"/>
      <c r="HO1113" s="865"/>
      <c r="HP1113" s="866"/>
      <c r="HQ1113" s="865"/>
      <c r="HR1113" s="866"/>
      <c r="HS1113" s="867"/>
      <c r="HT1113" s="868"/>
      <c r="HU1113" s="489"/>
      <c r="HV1113" s="865"/>
      <c r="HW1113" s="866"/>
    </row>
    <row r="1114" spans="25:231" ht="15" customHeight="1">
      <c r="Y1114" s="332"/>
      <c r="Z1114" s="332"/>
      <c r="AA1114" s="332"/>
      <c r="AB1114" s="332"/>
      <c r="AC1114" s="332"/>
      <c r="AD1114" s="332"/>
      <c r="AE1114" s="332"/>
      <c r="AF1114" s="332"/>
      <c r="AG1114" s="332"/>
      <c r="AH1114" s="332"/>
      <c r="AI1114" s="332"/>
      <c r="AJ1114" s="332"/>
      <c r="AK1114" s="332"/>
      <c r="AL1114" s="332"/>
      <c r="AM1114" s="332"/>
      <c r="AN1114" s="332"/>
      <c r="AO1114" s="332"/>
      <c r="AP1114" s="332"/>
      <c r="AQ1114" s="332"/>
      <c r="AR1114" s="332"/>
      <c r="AS1114" s="332"/>
      <c r="AT1114" s="332"/>
      <c r="AU1114" s="332"/>
      <c r="AV1114" s="332"/>
      <c r="AW1114" s="332"/>
      <c r="AX1114" s="332"/>
      <c r="AY1114" s="332"/>
      <c r="AZ1114" s="332"/>
      <c r="BA1114" s="332"/>
      <c r="BB1114" s="332"/>
      <c r="BC1114" s="332"/>
      <c r="BD1114" s="332"/>
      <c r="BE1114" s="332"/>
      <c r="BF1114" s="332"/>
      <c r="BG1114" s="332"/>
      <c r="BH1114" s="332"/>
      <c r="BI1114" s="332"/>
      <c r="BJ1114" s="332"/>
      <c r="BK1114" s="332"/>
      <c r="BL1114" s="332"/>
      <c r="BM1114" s="332"/>
      <c r="BN1114" s="332"/>
      <c r="BO1114" s="332"/>
      <c r="BP1114" s="332"/>
      <c r="BQ1114" s="332"/>
      <c r="BR1114" s="332"/>
      <c r="BS1114" s="332"/>
      <c r="BT1114" s="332"/>
      <c r="BU1114" s="332"/>
      <c r="BV1114" s="332"/>
      <c r="BW1114" s="332"/>
      <c r="BX1114" s="332"/>
      <c r="BY1114" s="332"/>
      <c r="BZ1114" s="332"/>
      <c r="CA1114" s="332"/>
      <c r="CB1114" s="332"/>
      <c r="CC1114" s="332"/>
      <c r="CD1114" s="332"/>
      <c r="CE1114" s="332"/>
      <c r="CF1114" s="332"/>
      <c r="CG1114" s="332"/>
      <c r="CH1114" s="332"/>
      <c r="CI1114" s="332"/>
      <c r="CJ1114" s="332"/>
      <c r="CK1114" s="332"/>
      <c r="CL1114" s="332"/>
      <c r="CM1114" s="332"/>
      <c r="CN1114" s="332"/>
      <c r="CO1114" s="332"/>
      <c r="CP1114" s="332"/>
      <c r="CQ1114" s="332"/>
      <c r="CR1114" s="332"/>
      <c r="CS1114" s="332"/>
      <c r="CT1114" s="332"/>
      <c r="CU1114" s="332"/>
      <c r="CV1114" s="332"/>
      <c r="CW1114" s="332"/>
      <c r="CX1114" s="332"/>
      <c r="CY1114" s="332"/>
      <c r="CZ1114" s="332"/>
      <c r="DA1114" s="332"/>
      <c r="DB1114" s="332"/>
      <c r="DC1114" s="332"/>
      <c r="DD1114" s="332"/>
      <c r="DE1114" s="332"/>
      <c r="DF1114" s="332"/>
      <c r="DG1114" s="332"/>
      <c r="DH1114" s="332"/>
      <c r="DI1114" s="332"/>
      <c r="DJ1114" s="332"/>
      <c r="DK1114" s="332"/>
      <c r="DL1114" s="332"/>
      <c r="DM1114" s="332"/>
      <c r="DN1114" s="332"/>
      <c r="DO1114" s="332"/>
      <c r="DP1114" s="332"/>
      <c r="DQ1114" s="332"/>
      <c r="DR1114" s="332"/>
      <c r="DS1114" s="332"/>
      <c r="DT1114" s="332"/>
      <c r="DU1114" s="453"/>
      <c r="DV1114" s="453"/>
      <c r="DW1114" s="453"/>
      <c r="DX1114" s="453"/>
      <c r="DY1114" s="453"/>
      <c r="DZ1114" s="453"/>
      <c r="EA1114" s="453"/>
      <c r="EB1114" s="453"/>
      <c r="EC1114" s="453"/>
      <c r="ED1114" s="453"/>
      <c r="EE1114" s="453"/>
      <c r="EF1114" s="453"/>
      <c r="EG1114" s="453"/>
      <c r="EH1114" s="453"/>
      <c r="EI1114" s="453"/>
      <c r="EJ1114" s="453"/>
      <c r="EK1114" s="453"/>
      <c r="EL1114" s="453"/>
      <c r="EM1114" s="483">
        <f t="shared" si="249"/>
        <v>805</v>
      </c>
      <c r="EN1114" s="485"/>
      <c r="EO1114" s="458"/>
      <c r="EP1114" s="467"/>
      <c r="EQ1114" s="457"/>
      <c r="ER1114" s="808"/>
      <c r="ES1114" s="881">
        <f t="shared" si="252"/>
        <v>0</v>
      </c>
      <c r="ET1114" s="882"/>
      <c r="EU1114" s="883"/>
      <c r="EV1114" s="884">
        <f t="shared" si="253"/>
        <v>0</v>
      </c>
      <c r="EW1114" s="885"/>
      <c r="EX1114" s="885"/>
      <c r="EY1114" s="885"/>
      <c r="EZ1114" s="885"/>
      <c r="FA1114" s="885"/>
      <c r="FB1114" s="885"/>
      <c r="FC1114" s="885"/>
      <c r="FD1114" s="886"/>
      <c r="FE1114" s="878"/>
      <c r="FF1114" s="878"/>
      <c r="FG1114" s="878"/>
      <c r="FH1114" s="878"/>
      <c r="FI1114" s="878"/>
      <c r="FJ1114" s="878"/>
      <c r="FK1114" s="878"/>
      <c r="FL1114" s="555"/>
      <c r="FM1114" s="554"/>
      <c r="FN1114" s="554"/>
      <c r="FO1114" s="554"/>
      <c r="FP1114" s="554"/>
      <c r="FQ1114" s="554"/>
      <c r="FR1114" s="554"/>
      <c r="FS1114" s="554"/>
      <c r="FT1114" s="554"/>
      <c r="FU1114" s="554"/>
      <c r="FV1114" s="554"/>
      <c r="FW1114" s="554"/>
      <c r="FX1114" s="554"/>
      <c r="FY1114" s="554"/>
      <c r="FZ1114" s="554"/>
      <c r="GA1114" s="554"/>
      <c r="GB1114" s="556"/>
      <c r="GC1114" s="370"/>
      <c r="GD1114" s="453"/>
      <c r="GE1114" s="453"/>
      <c r="GF1114" s="453"/>
      <c r="GG1114" s="453"/>
      <c r="GH1114" s="454"/>
      <c r="GI1114" s="453"/>
      <c r="GJ1114" s="453"/>
      <c r="GK1114" s="453"/>
      <c r="GL1114" s="453"/>
      <c r="GM1114" s="453"/>
      <c r="GN1114" s="453"/>
      <c r="GO1114" s="453"/>
      <c r="GP1114" s="453"/>
      <c r="GQ1114" s="453"/>
      <c r="GR1114" s="453"/>
      <c r="GS1114" s="561"/>
      <c r="GT1114" s="475"/>
      <c r="GU1114" s="472"/>
      <c r="GV1114" s="453"/>
      <c r="GW1114" s="453"/>
      <c r="GX1114" s="869"/>
      <c r="GY1114" s="870"/>
      <c r="GZ1114" s="867"/>
      <c r="HA1114" s="868"/>
      <c r="HB1114" s="473"/>
      <c r="HC1114" s="869"/>
      <c r="HD1114" s="870"/>
      <c r="HE1114" s="867"/>
      <c r="HF1114" s="868"/>
      <c r="HG1114" s="473"/>
      <c r="HH1114" s="867"/>
      <c r="HI1114" s="868"/>
      <c r="HJ1114" s="867"/>
      <c r="HK1114" s="868"/>
      <c r="HL1114" s="370"/>
      <c r="HM1114" s="865"/>
      <c r="HN1114" s="866"/>
      <c r="HO1114" s="865"/>
      <c r="HP1114" s="866"/>
      <c r="HQ1114" s="865"/>
      <c r="HR1114" s="866"/>
      <c r="HS1114" s="867"/>
      <c r="HT1114" s="868"/>
      <c r="HU1114" s="489"/>
      <c r="HV1114" s="865"/>
      <c r="HW1114" s="866"/>
    </row>
    <row r="1115" spans="25:231" ht="15" customHeight="1">
      <c r="Y1115" s="332"/>
      <c r="Z1115" s="332"/>
      <c r="AA1115" s="332"/>
      <c r="AB1115" s="332"/>
      <c r="AC1115" s="332"/>
      <c r="AD1115" s="332"/>
      <c r="AE1115" s="332"/>
      <c r="AF1115" s="332"/>
      <c r="AG1115" s="332"/>
      <c r="AH1115" s="332"/>
      <c r="AI1115" s="332"/>
      <c r="AJ1115" s="332"/>
      <c r="AK1115" s="332"/>
      <c r="AL1115" s="332"/>
      <c r="AM1115" s="332"/>
      <c r="AN1115" s="332"/>
      <c r="AO1115" s="332"/>
      <c r="AP1115" s="332"/>
      <c r="AQ1115" s="332"/>
      <c r="AR1115" s="332"/>
      <c r="AS1115" s="332"/>
      <c r="AT1115" s="332"/>
      <c r="AU1115" s="332"/>
      <c r="AV1115" s="332"/>
      <c r="AW1115" s="332"/>
      <c r="AX1115" s="332"/>
      <c r="AY1115" s="332"/>
      <c r="AZ1115" s="332"/>
      <c r="BA1115" s="332"/>
      <c r="BB1115" s="332"/>
      <c r="BC1115" s="332"/>
      <c r="BD1115" s="332"/>
      <c r="BE1115" s="332"/>
      <c r="BF1115" s="332"/>
      <c r="BG1115" s="332"/>
      <c r="BH1115" s="332"/>
      <c r="BI1115" s="332"/>
      <c r="BJ1115" s="332"/>
      <c r="BK1115" s="332"/>
      <c r="BL1115" s="332"/>
      <c r="BM1115" s="332"/>
      <c r="BN1115" s="332"/>
      <c r="BO1115" s="332"/>
      <c r="BP1115" s="332"/>
      <c r="BQ1115" s="332"/>
      <c r="BR1115" s="332"/>
      <c r="BS1115" s="332"/>
      <c r="BT1115" s="332"/>
      <c r="BU1115" s="332"/>
      <c r="BV1115" s="332"/>
      <c r="BW1115" s="332"/>
      <c r="BX1115" s="332"/>
      <c r="BY1115" s="332"/>
      <c r="BZ1115" s="332"/>
      <c r="CA1115" s="332"/>
      <c r="CB1115" s="332"/>
      <c r="CC1115" s="332"/>
      <c r="CD1115" s="332"/>
      <c r="CE1115" s="332"/>
      <c r="CF1115" s="332"/>
      <c r="CG1115" s="332"/>
      <c r="CH1115" s="332"/>
      <c r="CI1115" s="332"/>
      <c r="CJ1115" s="332"/>
      <c r="CK1115" s="332"/>
      <c r="CL1115" s="332"/>
      <c r="CM1115" s="332"/>
      <c r="CN1115" s="332"/>
      <c r="CO1115" s="332"/>
      <c r="CP1115" s="332"/>
      <c r="CQ1115" s="332"/>
      <c r="CR1115" s="332"/>
      <c r="CS1115" s="332"/>
      <c r="CT1115" s="332"/>
      <c r="CU1115" s="332"/>
      <c r="CV1115" s="332"/>
      <c r="CW1115" s="332"/>
      <c r="CX1115" s="332"/>
      <c r="CY1115" s="332"/>
      <c r="CZ1115" s="332"/>
      <c r="DA1115" s="332"/>
      <c r="DB1115" s="332"/>
      <c r="DC1115" s="332"/>
      <c r="DD1115" s="332"/>
      <c r="DE1115" s="332"/>
      <c r="DF1115" s="332"/>
      <c r="DG1115" s="332"/>
      <c r="DH1115" s="332"/>
      <c r="DI1115" s="332"/>
      <c r="DJ1115" s="332"/>
      <c r="DK1115" s="332"/>
      <c r="DL1115" s="332"/>
      <c r="DM1115" s="332"/>
      <c r="DN1115" s="332"/>
      <c r="DO1115" s="332"/>
      <c r="DP1115" s="332"/>
      <c r="DQ1115" s="332"/>
      <c r="DR1115" s="332"/>
      <c r="DS1115" s="332"/>
      <c r="DT1115" s="332"/>
      <c r="DU1115" s="453"/>
      <c r="DV1115" s="453"/>
      <c r="DW1115" s="453"/>
      <c r="DX1115" s="453"/>
      <c r="DY1115" s="453"/>
      <c r="DZ1115" s="453"/>
      <c r="EA1115" s="453"/>
      <c r="EB1115" s="453"/>
      <c r="EC1115" s="453"/>
      <c r="ED1115" s="453"/>
      <c r="EE1115" s="453"/>
      <c r="EF1115" s="453"/>
      <c r="EG1115" s="453"/>
      <c r="EH1115" s="453"/>
      <c r="EI1115" s="453"/>
      <c r="EJ1115" s="453"/>
      <c r="EK1115" s="453"/>
      <c r="EL1115" s="453"/>
      <c r="EM1115" s="483">
        <f t="shared" si="249"/>
        <v>806</v>
      </c>
      <c r="EN1115" s="485"/>
      <c r="EO1115" s="458"/>
      <c r="EP1115" s="467"/>
      <c r="EQ1115" s="457"/>
      <c r="ER1115" s="808"/>
      <c r="ES1115" s="881">
        <f t="shared" si="252"/>
        <v>0</v>
      </c>
      <c r="ET1115" s="882"/>
      <c r="EU1115" s="883"/>
      <c r="EV1115" s="884">
        <f t="shared" si="253"/>
        <v>0</v>
      </c>
      <c r="EW1115" s="885"/>
      <c r="EX1115" s="885"/>
      <c r="EY1115" s="885"/>
      <c r="EZ1115" s="885"/>
      <c r="FA1115" s="885"/>
      <c r="FB1115" s="885"/>
      <c r="FC1115" s="885"/>
      <c r="FD1115" s="886"/>
      <c r="FE1115" s="878"/>
      <c r="FF1115" s="878"/>
      <c r="FG1115" s="878"/>
      <c r="FH1115" s="878"/>
      <c r="FI1115" s="878"/>
      <c r="FJ1115" s="878"/>
      <c r="FK1115" s="878"/>
      <c r="FL1115" s="555"/>
      <c r="FM1115" s="554"/>
      <c r="FN1115" s="554"/>
      <c r="FO1115" s="554"/>
      <c r="FP1115" s="554"/>
      <c r="FQ1115" s="554"/>
      <c r="FR1115" s="554"/>
      <c r="FS1115" s="554"/>
      <c r="FT1115" s="554"/>
      <c r="FU1115" s="554"/>
      <c r="FV1115" s="554"/>
      <c r="FW1115" s="554"/>
      <c r="FX1115" s="554"/>
      <c r="FY1115" s="554"/>
      <c r="FZ1115" s="554"/>
      <c r="GA1115" s="554"/>
      <c r="GB1115" s="556"/>
      <c r="GC1115" s="370"/>
      <c r="GD1115" s="453"/>
      <c r="GE1115" s="453"/>
      <c r="GF1115" s="453"/>
      <c r="GG1115" s="453"/>
      <c r="GH1115" s="454"/>
      <c r="GI1115" s="453"/>
      <c r="GJ1115" s="453"/>
      <c r="GK1115" s="453"/>
      <c r="GL1115" s="453"/>
      <c r="GM1115" s="453"/>
      <c r="GN1115" s="453"/>
      <c r="GO1115" s="453"/>
      <c r="GP1115" s="453"/>
      <c r="GQ1115" s="453"/>
      <c r="GR1115" s="453"/>
      <c r="GS1115" s="561"/>
      <c r="GT1115" s="475"/>
      <c r="GU1115" s="472"/>
      <c r="GV1115" s="453"/>
      <c r="GW1115" s="453"/>
      <c r="GX1115" s="869"/>
      <c r="GY1115" s="870"/>
      <c r="GZ1115" s="867"/>
      <c r="HA1115" s="868"/>
      <c r="HB1115" s="473"/>
      <c r="HC1115" s="869"/>
      <c r="HD1115" s="870"/>
      <c r="HE1115" s="867"/>
      <c r="HF1115" s="868"/>
      <c r="HG1115" s="473"/>
      <c r="HH1115" s="867"/>
      <c r="HI1115" s="868"/>
      <c r="HJ1115" s="867"/>
      <c r="HK1115" s="868"/>
      <c r="HL1115" s="370"/>
      <c r="HM1115" s="865"/>
      <c r="HN1115" s="866"/>
      <c r="HO1115" s="865"/>
      <c r="HP1115" s="866"/>
      <c r="HQ1115" s="865"/>
      <c r="HR1115" s="866"/>
      <c r="HS1115" s="867"/>
      <c r="HT1115" s="868"/>
      <c r="HU1115" s="489"/>
      <c r="HV1115" s="865"/>
      <c r="HW1115" s="866"/>
    </row>
    <row r="1116" spans="25:231" ht="15" customHeight="1">
      <c r="Y1116" s="332"/>
      <c r="Z1116" s="332"/>
      <c r="AA1116" s="332"/>
      <c r="AB1116" s="332"/>
      <c r="AC1116" s="332"/>
      <c r="AD1116" s="332"/>
      <c r="AE1116" s="332"/>
      <c r="AF1116" s="332"/>
      <c r="AG1116" s="332"/>
      <c r="AH1116" s="332"/>
      <c r="AI1116" s="332"/>
      <c r="AJ1116" s="332"/>
      <c r="AK1116" s="332"/>
      <c r="AL1116" s="332"/>
      <c r="AM1116" s="332"/>
      <c r="AN1116" s="332"/>
      <c r="AO1116" s="332"/>
      <c r="AP1116" s="332"/>
      <c r="AQ1116" s="332"/>
      <c r="AR1116" s="332"/>
      <c r="AS1116" s="332"/>
      <c r="AT1116" s="332"/>
      <c r="AU1116" s="332"/>
      <c r="AV1116" s="332"/>
      <c r="AW1116" s="332"/>
      <c r="AX1116" s="332"/>
      <c r="AY1116" s="332"/>
      <c r="AZ1116" s="332"/>
      <c r="BA1116" s="332"/>
      <c r="BB1116" s="332"/>
      <c r="BC1116" s="332"/>
      <c r="BD1116" s="332"/>
      <c r="BE1116" s="332"/>
      <c r="BF1116" s="332"/>
      <c r="BG1116" s="332"/>
      <c r="BH1116" s="332"/>
      <c r="BI1116" s="332"/>
      <c r="BJ1116" s="332"/>
      <c r="BK1116" s="332"/>
      <c r="BL1116" s="332"/>
      <c r="BM1116" s="332"/>
      <c r="BN1116" s="332"/>
      <c r="BO1116" s="332"/>
      <c r="BP1116" s="332"/>
      <c r="BQ1116" s="332"/>
      <c r="BR1116" s="332"/>
      <c r="BS1116" s="332"/>
      <c r="BT1116" s="332"/>
      <c r="BU1116" s="332"/>
      <c r="BV1116" s="332"/>
      <c r="BW1116" s="332"/>
      <c r="BX1116" s="332"/>
      <c r="BY1116" s="332"/>
      <c r="BZ1116" s="332"/>
      <c r="CA1116" s="332"/>
      <c r="CB1116" s="332"/>
      <c r="CC1116" s="332"/>
      <c r="CD1116" s="332"/>
      <c r="CE1116" s="332"/>
      <c r="CF1116" s="332"/>
      <c r="CG1116" s="332"/>
      <c r="CH1116" s="332"/>
      <c r="CI1116" s="332"/>
      <c r="CJ1116" s="332"/>
      <c r="CK1116" s="332"/>
      <c r="CL1116" s="332"/>
      <c r="CM1116" s="332"/>
      <c r="CN1116" s="332"/>
      <c r="CO1116" s="332"/>
      <c r="CP1116" s="332"/>
      <c r="CQ1116" s="332"/>
      <c r="CR1116" s="332"/>
      <c r="CS1116" s="332"/>
      <c r="CT1116" s="332"/>
      <c r="CU1116" s="332"/>
      <c r="CV1116" s="332"/>
      <c r="CW1116" s="332"/>
      <c r="CX1116" s="332"/>
      <c r="CY1116" s="332"/>
      <c r="CZ1116" s="332"/>
      <c r="DA1116" s="332"/>
      <c r="DB1116" s="332"/>
      <c r="DC1116" s="332"/>
      <c r="DD1116" s="332"/>
      <c r="DE1116" s="332"/>
      <c r="DF1116" s="332"/>
      <c r="DG1116" s="332"/>
      <c r="DH1116" s="332"/>
      <c r="DI1116" s="332"/>
      <c r="DJ1116" s="332"/>
      <c r="DK1116" s="332"/>
      <c r="DL1116" s="332"/>
      <c r="DM1116" s="332"/>
      <c r="DN1116" s="332"/>
      <c r="DO1116" s="332"/>
      <c r="DP1116" s="332"/>
      <c r="DQ1116" s="332"/>
      <c r="DR1116" s="332"/>
      <c r="DS1116" s="332"/>
      <c r="DT1116" s="332"/>
      <c r="DU1116" s="453"/>
      <c r="DV1116" s="453"/>
      <c r="DW1116" s="453"/>
      <c r="DX1116" s="453"/>
      <c r="DY1116" s="453"/>
      <c r="DZ1116" s="453"/>
      <c r="EA1116" s="453"/>
      <c r="EB1116" s="453"/>
      <c r="EC1116" s="453"/>
      <c r="ED1116" s="453"/>
      <c r="EE1116" s="453"/>
      <c r="EF1116" s="453"/>
      <c r="EG1116" s="453"/>
      <c r="EH1116" s="453"/>
      <c r="EI1116" s="453"/>
      <c r="EJ1116" s="453"/>
      <c r="EK1116" s="453"/>
      <c r="EL1116" s="453"/>
      <c r="EM1116" s="483">
        <f t="shared" si="249"/>
        <v>807</v>
      </c>
      <c r="EN1116" s="485"/>
      <c r="EO1116" s="458"/>
      <c r="EP1116" s="467"/>
      <c r="EQ1116" s="457"/>
      <c r="ER1116" s="808"/>
      <c r="ES1116" s="881">
        <f t="shared" si="252"/>
        <v>0</v>
      </c>
      <c r="ET1116" s="882"/>
      <c r="EU1116" s="883"/>
      <c r="EV1116" s="884">
        <f t="shared" si="253"/>
        <v>0</v>
      </c>
      <c r="EW1116" s="885"/>
      <c r="EX1116" s="885"/>
      <c r="EY1116" s="885"/>
      <c r="EZ1116" s="885"/>
      <c r="FA1116" s="885"/>
      <c r="FB1116" s="885"/>
      <c r="FC1116" s="885"/>
      <c r="FD1116" s="886"/>
      <c r="FE1116" s="878"/>
      <c r="FF1116" s="878"/>
      <c r="FG1116" s="878"/>
      <c r="FH1116" s="878"/>
      <c r="FI1116" s="878"/>
      <c r="FJ1116" s="878"/>
      <c r="FK1116" s="878"/>
      <c r="FL1116" s="555"/>
      <c r="FM1116" s="554"/>
      <c r="FN1116" s="554"/>
      <c r="FO1116" s="554"/>
      <c r="FP1116" s="554"/>
      <c r="FQ1116" s="554"/>
      <c r="FR1116" s="554"/>
      <c r="FS1116" s="554"/>
      <c r="FT1116" s="554"/>
      <c r="FU1116" s="554"/>
      <c r="FV1116" s="554"/>
      <c r="FW1116" s="554"/>
      <c r="FX1116" s="554"/>
      <c r="FY1116" s="554"/>
      <c r="FZ1116" s="554"/>
      <c r="GA1116" s="554"/>
      <c r="GB1116" s="556"/>
      <c r="GC1116" s="370"/>
      <c r="GD1116" s="453"/>
      <c r="GE1116" s="453"/>
      <c r="GF1116" s="453"/>
      <c r="GG1116" s="453"/>
      <c r="GH1116" s="454"/>
      <c r="GI1116" s="453"/>
      <c r="GJ1116" s="453"/>
      <c r="GK1116" s="453"/>
      <c r="GL1116" s="453"/>
      <c r="GM1116" s="453"/>
      <c r="GN1116" s="453"/>
      <c r="GO1116" s="453"/>
      <c r="GP1116" s="453"/>
      <c r="GQ1116" s="453"/>
      <c r="GR1116" s="453"/>
      <c r="GS1116" s="561"/>
      <c r="GT1116" s="475"/>
      <c r="GU1116" s="472"/>
      <c r="GV1116" s="453"/>
      <c r="GW1116" s="453"/>
      <c r="GX1116" s="869"/>
      <c r="GY1116" s="870"/>
      <c r="GZ1116" s="867"/>
      <c r="HA1116" s="868"/>
      <c r="HB1116" s="473"/>
      <c r="HC1116" s="869"/>
      <c r="HD1116" s="870"/>
      <c r="HE1116" s="867"/>
      <c r="HF1116" s="868"/>
      <c r="HG1116" s="473"/>
      <c r="HH1116" s="867"/>
      <c r="HI1116" s="868"/>
      <c r="HJ1116" s="867"/>
      <c r="HK1116" s="868"/>
      <c r="HL1116" s="370"/>
      <c r="HM1116" s="865"/>
      <c r="HN1116" s="866"/>
      <c r="HO1116" s="865"/>
      <c r="HP1116" s="866"/>
      <c r="HQ1116" s="865"/>
      <c r="HR1116" s="866"/>
      <c r="HS1116" s="867"/>
      <c r="HT1116" s="868"/>
      <c r="HU1116" s="489"/>
      <c r="HV1116" s="865"/>
      <c r="HW1116" s="866"/>
    </row>
    <row r="1117" spans="25:231" ht="15" customHeight="1">
      <c r="Y1117" s="332"/>
      <c r="Z1117" s="332"/>
      <c r="AA1117" s="332"/>
      <c r="AB1117" s="332"/>
      <c r="AC1117" s="332"/>
      <c r="AD1117" s="332"/>
      <c r="AE1117" s="332"/>
      <c r="AF1117" s="332"/>
      <c r="AG1117" s="332"/>
      <c r="AH1117" s="332"/>
      <c r="AI1117" s="332"/>
      <c r="AJ1117" s="332"/>
      <c r="AK1117" s="332"/>
      <c r="AL1117" s="332"/>
      <c r="AM1117" s="332"/>
      <c r="AN1117" s="332"/>
      <c r="AO1117" s="332"/>
      <c r="AP1117" s="332"/>
      <c r="AQ1117" s="332"/>
      <c r="AR1117" s="332"/>
      <c r="AS1117" s="332"/>
      <c r="AT1117" s="332"/>
      <c r="AU1117" s="332"/>
      <c r="AV1117" s="332"/>
      <c r="AW1117" s="332"/>
      <c r="AX1117" s="332"/>
      <c r="AY1117" s="332"/>
      <c r="AZ1117" s="332"/>
      <c r="BA1117" s="332"/>
      <c r="BB1117" s="332"/>
      <c r="BC1117" s="332"/>
      <c r="BD1117" s="332"/>
      <c r="BE1117" s="332"/>
      <c r="BF1117" s="332"/>
      <c r="BG1117" s="332"/>
      <c r="BH1117" s="332"/>
      <c r="BI1117" s="332"/>
      <c r="BJ1117" s="332"/>
      <c r="BK1117" s="332"/>
      <c r="BL1117" s="332"/>
      <c r="BM1117" s="332"/>
      <c r="BN1117" s="332"/>
      <c r="BO1117" s="332"/>
      <c r="BP1117" s="332"/>
      <c r="BQ1117" s="332"/>
      <c r="BR1117" s="332"/>
      <c r="BS1117" s="332"/>
      <c r="BT1117" s="332"/>
      <c r="BU1117" s="332"/>
      <c r="BV1117" s="332"/>
      <c r="BW1117" s="332"/>
      <c r="BX1117" s="332"/>
      <c r="BY1117" s="332"/>
      <c r="BZ1117" s="332"/>
      <c r="CA1117" s="332"/>
      <c r="CB1117" s="332"/>
      <c r="CC1117" s="332"/>
      <c r="CD1117" s="332"/>
      <c r="CE1117" s="332"/>
      <c r="CF1117" s="332"/>
      <c r="CG1117" s="332"/>
      <c r="CH1117" s="332"/>
      <c r="CI1117" s="332"/>
      <c r="CJ1117" s="332"/>
      <c r="CK1117" s="332"/>
      <c r="CL1117" s="332"/>
      <c r="CM1117" s="332"/>
      <c r="CN1117" s="332"/>
      <c r="CO1117" s="332"/>
      <c r="CP1117" s="332"/>
      <c r="CQ1117" s="332"/>
      <c r="CR1117" s="332"/>
      <c r="CS1117" s="332"/>
      <c r="CT1117" s="332"/>
      <c r="CU1117" s="332"/>
      <c r="CV1117" s="332"/>
      <c r="CW1117" s="332"/>
      <c r="CX1117" s="332"/>
      <c r="CY1117" s="332"/>
      <c r="CZ1117" s="332"/>
      <c r="DA1117" s="332"/>
      <c r="DB1117" s="332"/>
      <c r="DC1117" s="332"/>
      <c r="DD1117" s="332"/>
      <c r="DE1117" s="332"/>
      <c r="DF1117" s="332"/>
      <c r="DG1117" s="332"/>
      <c r="DH1117" s="332"/>
      <c r="DI1117" s="332"/>
      <c r="DJ1117" s="332"/>
      <c r="DK1117" s="332"/>
      <c r="DL1117" s="332"/>
      <c r="DM1117" s="332"/>
      <c r="DN1117" s="332"/>
      <c r="DO1117" s="332"/>
      <c r="DP1117" s="332"/>
      <c r="DQ1117" s="332"/>
      <c r="DR1117" s="332"/>
      <c r="DS1117" s="332"/>
      <c r="DT1117" s="332"/>
      <c r="DU1117" s="453"/>
      <c r="DV1117" s="453"/>
      <c r="DW1117" s="453"/>
      <c r="DX1117" s="453"/>
      <c r="DY1117" s="453"/>
      <c r="DZ1117" s="453"/>
      <c r="EA1117" s="453"/>
      <c r="EB1117" s="453"/>
      <c r="EC1117" s="453"/>
      <c r="ED1117" s="453"/>
      <c r="EE1117" s="453"/>
      <c r="EF1117" s="453"/>
      <c r="EG1117" s="453"/>
      <c r="EH1117" s="453"/>
      <c r="EI1117" s="453"/>
      <c r="EJ1117" s="453"/>
      <c r="EK1117" s="453"/>
      <c r="EL1117" s="453"/>
      <c r="EM1117" s="483">
        <f t="shared" si="249"/>
        <v>808</v>
      </c>
      <c r="EN1117" s="485"/>
      <c r="EO1117" s="458"/>
      <c r="EP1117" s="467"/>
      <c r="EQ1117" s="457"/>
      <c r="ER1117" s="808"/>
      <c r="ES1117" s="881">
        <f t="shared" si="252"/>
        <v>0</v>
      </c>
      <c r="ET1117" s="882"/>
      <c r="EU1117" s="883"/>
      <c r="EV1117" s="884">
        <f t="shared" si="253"/>
        <v>0</v>
      </c>
      <c r="EW1117" s="885"/>
      <c r="EX1117" s="885"/>
      <c r="EY1117" s="885"/>
      <c r="EZ1117" s="885"/>
      <c r="FA1117" s="885"/>
      <c r="FB1117" s="885"/>
      <c r="FC1117" s="885"/>
      <c r="FD1117" s="886"/>
      <c r="FE1117" s="878"/>
      <c r="FF1117" s="878"/>
      <c r="FG1117" s="878"/>
      <c r="FH1117" s="878"/>
      <c r="FI1117" s="878"/>
      <c r="FJ1117" s="878"/>
      <c r="FK1117" s="878"/>
      <c r="FL1117" s="555"/>
      <c r="FM1117" s="554"/>
      <c r="FN1117" s="554"/>
      <c r="FO1117" s="554"/>
      <c r="FP1117" s="554"/>
      <c r="FQ1117" s="554"/>
      <c r="FR1117" s="554"/>
      <c r="FS1117" s="554"/>
      <c r="FT1117" s="554"/>
      <c r="FU1117" s="554"/>
      <c r="FV1117" s="554"/>
      <c r="FW1117" s="554"/>
      <c r="FX1117" s="554"/>
      <c r="FY1117" s="554"/>
      <c r="FZ1117" s="554"/>
      <c r="GA1117" s="554"/>
      <c r="GB1117" s="556"/>
      <c r="GC1117" s="370"/>
      <c r="GD1117" s="453"/>
      <c r="GE1117" s="453"/>
      <c r="GF1117" s="453"/>
      <c r="GG1117" s="453"/>
      <c r="GH1117" s="454"/>
      <c r="GI1117" s="453"/>
      <c r="GJ1117" s="453"/>
      <c r="GK1117" s="453"/>
      <c r="GL1117" s="453"/>
      <c r="GM1117" s="453"/>
      <c r="GN1117" s="453"/>
      <c r="GO1117" s="453"/>
      <c r="GP1117" s="453"/>
      <c r="GQ1117" s="453"/>
      <c r="GR1117" s="453"/>
      <c r="GS1117" s="561"/>
      <c r="GT1117" s="475"/>
      <c r="GU1117" s="472"/>
      <c r="GV1117" s="453"/>
      <c r="GW1117" s="453"/>
      <c r="GX1117" s="869"/>
      <c r="GY1117" s="870"/>
      <c r="GZ1117" s="867"/>
      <c r="HA1117" s="868"/>
      <c r="HB1117" s="473"/>
      <c r="HC1117" s="869"/>
      <c r="HD1117" s="870"/>
      <c r="HE1117" s="867"/>
      <c r="HF1117" s="868"/>
      <c r="HG1117" s="473"/>
      <c r="HH1117" s="867"/>
      <c r="HI1117" s="868"/>
      <c r="HJ1117" s="867"/>
      <c r="HK1117" s="868"/>
      <c r="HL1117" s="370"/>
      <c r="HM1117" s="865"/>
      <c r="HN1117" s="866"/>
      <c r="HO1117" s="865"/>
      <c r="HP1117" s="866"/>
      <c r="HQ1117" s="865"/>
      <c r="HR1117" s="866"/>
      <c r="HS1117" s="867"/>
      <c r="HT1117" s="868"/>
      <c r="HU1117" s="489"/>
      <c r="HV1117" s="865"/>
      <c r="HW1117" s="866"/>
    </row>
    <row r="1118" spans="25:231" ht="15" customHeight="1">
      <c r="Y1118" s="332"/>
      <c r="Z1118" s="332"/>
      <c r="AA1118" s="332"/>
      <c r="AB1118" s="332"/>
      <c r="AC1118" s="332"/>
      <c r="AD1118" s="332"/>
      <c r="AE1118" s="332"/>
      <c r="AF1118" s="332"/>
      <c r="AG1118" s="332"/>
      <c r="AH1118" s="332"/>
      <c r="AI1118" s="332"/>
      <c r="AJ1118" s="332"/>
      <c r="AK1118" s="332"/>
      <c r="AL1118" s="332"/>
      <c r="AM1118" s="332"/>
      <c r="AN1118" s="332"/>
      <c r="AO1118" s="332"/>
      <c r="AP1118" s="332"/>
      <c r="AQ1118" s="332"/>
      <c r="AR1118" s="332"/>
      <c r="AS1118" s="332"/>
      <c r="AT1118" s="332"/>
      <c r="AU1118" s="332"/>
      <c r="AV1118" s="332"/>
      <c r="AW1118" s="332"/>
      <c r="AX1118" s="332"/>
      <c r="AY1118" s="332"/>
      <c r="AZ1118" s="332"/>
      <c r="BA1118" s="332"/>
      <c r="BB1118" s="332"/>
      <c r="BC1118" s="332"/>
      <c r="BD1118" s="332"/>
      <c r="BE1118" s="332"/>
      <c r="BF1118" s="332"/>
      <c r="BG1118" s="332"/>
      <c r="BH1118" s="332"/>
      <c r="BI1118" s="332"/>
      <c r="BJ1118" s="332"/>
      <c r="BK1118" s="332"/>
      <c r="BL1118" s="332"/>
      <c r="BM1118" s="332"/>
      <c r="BN1118" s="332"/>
      <c r="BO1118" s="332"/>
      <c r="BP1118" s="332"/>
      <c r="BQ1118" s="332"/>
      <c r="BR1118" s="332"/>
      <c r="BS1118" s="332"/>
      <c r="BT1118" s="332"/>
      <c r="BU1118" s="332"/>
      <c r="BV1118" s="332"/>
      <c r="BW1118" s="332"/>
      <c r="BX1118" s="332"/>
      <c r="BY1118" s="332"/>
      <c r="BZ1118" s="332"/>
      <c r="CA1118" s="332"/>
      <c r="CB1118" s="332"/>
      <c r="CC1118" s="332"/>
      <c r="CD1118" s="332"/>
      <c r="CE1118" s="332"/>
      <c r="CF1118" s="332"/>
      <c r="CG1118" s="332"/>
      <c r="CH1118" s="332"/>
      <c r="CI1118" s="332"/>
      <c r="CJ1118" s="332"/>
      <c r="CK1118" s="332"/>
      <c r="CL1118" s="332"/>
      <c r="CM1118" s="332"/>
      <c r="CN1118" s="332"/>
      <c r="CO1118" s="332"/>
      <c r="CP1118" s="332"/>
      <c r="CQ1118" s="332"/>
      <c r="CR1118" s="332"/>
      <c r="CS1118" s="332"/>
      <c r="CT1118" s="332"/>
      <c r="CU1118" s="332"/>
      <c r="CV1118" s="332"/>
      <c r="CW1118" s="332"/>
      <c r="CX1118" s="332"/>
      <c r="CY1118" s="332"/>
      <c r="CZ1118" s="332"/>
      <c r="DA1118" s="332"/>
      <c r="DB1118" s="332"/>
      <c r="DC1118" s="332"/>
      <c r="DD1118" s="332"/>
      <c r="DE1118" s="332"/>
      <c r="DF1118" s="332"/>
      <c r="DG1118" s="332"/>
      <c r="DH1118" s="332"/>
      <c r="DI1118" s="332"/>
      <c r="DJ1118" s="332"/>
      <c r="DK1118" s="332"/>
      <c r="DL1118" s="332"/>
      <c r="DM1118" s="332"/>
      <c r="DN1118" s="332"/>
      <c r="DO1118" s="332"/>
      <c r="DP1118" s="332"/>
      <c r="DQ1118" s="332"/>
      <c r="DR1118" s="332"/>
      <c r="DS1118" s="332"/>
      <c r="DT1118" s="332"/>
      <c r="DU1118" s="453"/>
      <c r="DV1118" s="453"/>
      <c r="DW1118" s="453"/>
      <c r="DX1118" s="453"/>
      <c r="DY1118" s="453"/>
      <c r="DZ1118" s="453"/>
      <c r="EA1118" s="453"/>
      <c r="EB1118" s="453"/>
      <c r="EC1118" s="453"/>
      <c r="ED1118" s="453"/>
      <c r="EE1118" s="453"/>
      <c r="EF1118" s="453"/>
      <c r="EG1118" s="453"/>
      <c r="EH1118" s="453"/>
      <c r="EI1118" s="453"/>
      <c r="EJ1118" s="453"/>
      <c r="EK1118" s="453"/>
      <c r="EL1118" s="453"/>
      <c r="EM1118" s="483">
        <f t="shared" si="249"/>
        <v>809</v>
      </c>
      <c r="EN1118" s="485"/>
      <c r="EO1118" s="458"/>
      <c r="EP1118" s="467"/>
      <c r="EQ1118" s="457"/>
      <c r="ER1118" s="808"/>
      <c r="ES1118" s="881">
        <f t="shared" si="252"/>
        <v>0</v>
      </c>
      <c r="ET1118" s="882"/>
      <c r="EU1118" s="883"/>
      <c r="EV1118" s="884">
        <f t="shared" si="253"/>
        <v>0</v>
      </c>
      <c r="EW1118" s="885"/>
      <c r="EX1118" s="885"/>
      <c r="EY1118" s="885"/>
      <c r="EZ1118" s="885"/>
      <c r="FA1118" s="885"/>
      <c r="FB1118" s="885"/>
      <c r="FC1118" s="885"/>
      <c r="FD1118" s="886"/>
      <c r="FE1118" s="878"/>
      <c r="FF1118" s="878"/>
      <c r="FG1118" s="878"/>
      <c r="FH1118" s="878"/>
      <c r="FI1118" s="878"/>
      <c r="FJ1118" s="878"/>
      <c r="FK1118" s="878"/>
      <c r="FL1118" s="555"/>
      <c r="FM1118" s="554"/>
      <c r="FN1118" s="554"/>
      <c r="FO1118" s="554"/>
      <c r="FP1118" s="554"/>
      <c r="FQ1118" s="554"/>
      <c r="FR1118" s="554"/>
      <c r="FS1118" s="554"/>
      <c r="FT1118" s="554"/>
      <c r="FU1118" s="554"/>
      <c r="FV1118" s="554"/>
      <c r="FW1118" s="554"/>
      <c r="FX1118" s="554"/>
      <c r="FY1118" s="554"/>
      <c r="FZ1118" s="554"/>
      <c r="GA1118" s="554"/>
      <c r="GB1118" s="556"/>
      <c r="GC1118" s="370"/>
      <c r="GD1118" s="453"/>
      <c r="GE1118" s="453"/>
      <c r="GF1118" s="453"/>
      <c r="GG1118" s="453"/>
      <c r="GH1118" s="454"/>
      <c r="GI1118" s="453"/>
      <c r="GJ1118" s="453"/>
      <c r="GK1118" s="453"/>
      <c r="GL1118" s="453"/>
      <c r="GM1118" s="453"/>
      <c r="GN1118" s="453"/>
      <c r="GO1118" s="453"/>
      <c r="GP1118" s="453"/>
      <c r="GQ1118" s="453"/>
      <c r="GR1118" s="453"/>
      <c r="GS1118" s="561"/>
      <c r="GT1118" s="475"/>
      <c r="GU1118" s="472"/>
      <c r="GV1118" s="453"/>
      <c r="GW1118" s="453"/>
      <c r="GX1118" s="869"/>
      <c r="GY1118" s="870"/>
      <c r="GZ1118" s="867"/>
      <c r="HA1118" s="868"/>
      <c r="HB1118" s="473"/>
      <c r="HC1118" s="869"/>
      <c r="HD1118" s="870"/>
      <c r="HE1118" s="867"/>
      <c r="HF1118" s="868"/>
      <c r="HG1118" s="473"/>
      <c r="HH1118" s="867"/>
      <c r="HI1118" s="868"/>
      <c r="HJ1118" s="867"/>
      <c r="HK1118" s="868"/>
      <c r="HL1118" s="370"/>
      <c r="HM1118" s="865"/>
      <c r="HN1118" s="866"/>
      <c r="HO1118" s="865"/>
      <c r="HP1118" s="866"/>
      <c r="HQ1118" s="865"/>
      <c r="HR1118" s="866"/>
      <c r="HS1118" s="867"/>
      <c r="HT1118" s="868"/>
      <c r="HU1118" s="489"/>
      <c r="HV1118" s="865"/>
      <c r="HW1118" s="866"/>
    </row>
    <row r="1119" spans="25:231" ht="15" customHeight="1">
      <c r="Y1119" s="332"/>
      <c r="Z1119" s="332"/>
      <c r="AA1119" s="332"/>
      <c r="AB1119" s="332"/>
      <c r="AC1119" s="332"/>
      <c r="AD1119" s="332"/>
      <c r="AE1119" s="332"/>
      <c r="AF1119" s="332"/>
      <c r="AG1119" s="332"/>
      <c r="AH1119" s="332"/>
      <c r="AI1119" s="332"/>
      <c r="AJ1119" s="332"/>
      <c r="AK1119" s="332"/>
      <c r="AL1119" s="332"/>
      <c r="AM1119" s="332"/>
      <c r="AN1119" s="332"/>
      <c r="AO1119" s="332"/>
      <c r="AP1119" s="332"/>
      <c r="AQ1119" s="332"/>
      <c r="AR1119" s="332"/>
      <c r="AS1119" s="332"/>
      <c r="AT1119" s="332"/>
      <c r="AU1119" s="332"/>
      <c r="AV1119" s="332"/>
      <c r="AW1119" s="332"/>
      <c r="AX1119" s="332"/>
      <c r="AY1119" s="332"/>
      <c r="AZ1119" s="332"/>
      <c r="BA1119" s="332"/>
      <c r="BB1119" s="332"/>
      <c r="BC1119" s="332"/>
      <c r="BD1119" s="332"/>
      <c r="BE1119" s="332"/>
      <c r="BF1119" s="332"/>
      <c r="BG1119" s="332"/>
      <c r="BH1119" s="332"/>
      <c r="BI1119" s="332"/>
      <c r="BJ1119" s="332"/>
      <c r="BK1119" s="332"/>
      <c r="BL1119" s="332"/>
      <c r="BM1119" s="332"/>
      <c r="BN1119" s="332"/>
      <c r="BO1119" s="332"/>
      <c r="BP1119" s="332"/>
      <c r="BQ1119" s="332"/>
      <c r="BR1119" s="332"/>
      <c r="BS1119" s="332"/>
      <c r="BT1119" s="332"/>
      <c r="BU1119" s="332"/>
      <c r="BV1119" s="332"/>
      <c r="BW1119" s="332"/>
      <c r="BX1119" s="332"/>
      <c r="BY1119" s="332"/>
      <c r="BZ1119" s="332"/>
      <c r="CA1119" s="332"/>
      <c r="CB1119" s="332"/>
      <c r="CC1119" s="332"/>
      <c r="CD1119" s="332"/>
      <c r="CE1119" s="332"/>
      <c r="CF1119" s="332"/>
      <c r="CG1119" s="332"/>
      <c r="CH1119" s="332"/>
      <c r="CI1119" s="332"/>
      <c r="CJ1119" s="332"/>
      <c r="CK1119" s="332"/>
      <c r="CL1119" s="332"/>
      <c r="CM1119" s="332"/>
      <c r="CN1119" s="332"/>
      <c r="CO1119" s="332"/>
      <c r="CP1119" s="332"/>
      <c r="CQ1119" s="332"/>
      <c r="CR1119" s="332"/>
      <c r="CS1119" s="332"/>
      <c r="CT1119" s="332"/>
      <c r="CU1119" s="332"/>
      <c r="CV1119" s="332"/>
      <c r="CW1119" s="332"/>
      <c r="CX1119" s="332"/>
      <c r="CY1119" s="332"/>
      <c r="CZ1119" s="332"/>
      <c r="DA1119" s="332"/>
      <c r="DB1119" s="332"/>
      <c r="DC1119" s="332"/>
      <c r="DD1119" s="332"/>
      <c r="DE1119" s="332"/>
      <c r="DF1119" s="332"/>
      <c r="DG1119" s="332"/>
      <c r="DH1119" s="332"/>
      <c r="DI1119" s="332"/>
      <c r="DJ1119" s="332"/>
      <c r="DK1119" s="332"/>
      <c r="DL1119" s="332"/>
      <c r="DM1119" s="332"/>
      <c r="DN1119" s="332"/>
      <c r="DO1119" s="332"/>
      <c r="DP1119" s="332"/>
      <c r="DQ1119" s="332"/>
      <c r="DR1119" s="332"/>
      <c r="DS1119" s="332"/>
      <c r="DT1119" s="332"/>
      <c r="DU1119" s="453"/>
      <c r="DV1119" s="453"/>
      <c r="DW1119" s="453"/>
      <c r="DX1119" s="453"/>
      <c r="DY1119" s="453"/>
      <c r="DZ1119" s="453"/>
      <c r="EA1119" s="453"/>
      <c r="EB1119" s="453"/>
      <c r="EC1119" s="453"/>
      <c r="ED1119" s="453"/>
      <c r="EE1119" s="453"/>
      <c r="EF1119" s="453"/>
      <c r="EG1119" s="453"/>
      <c r="EH1119" s="453"/>
      <c r="EI1119" s="453"/>
      <c r="EJ1119" s="453"/>
      <c r="EK1119" s="453"/>
      <c r="EL1119" s="453"/>
      <c r="EM1119" s="483">
        <f t="shared" si="249"/>
        <v>810</v>
      </c>
      <c r="EN1119" s="485"/>
      <c r="EO1119" s="458"/>
      <c r="EP1119" s="467"/>
      <c r="EQ1119" s="457"/>
      <c r="ER1119" s="808"/>
      <c r="ES1119" s="881">
        <f t="shared" si="252"/>
        <v>0</v>
      </c>
      <c r="ET1119" s="882"/>
      <c r="EU1119" s="883"/>
      <c r="EV1119" s="884">
        <f t="shared" si="253"/>
        <v>0</v>
      </c>
      <c r="EW1119" s="885"/>
      <c r="EX1119" s="885"/>
      <c r="EY1119" s="885"/>
      <c r="EZ1119" s="885"/>
      <c r="FA1119" s="885"/>
      <c r="FB1119" s="885"/>
      <c r="FC1119" s="885"/>
      <c r="FD1119" s="886"/>
      <c r="FE1119" s="878"/>
      <c r="FF1119" s="878"/>
      <c r="FG1119" s="878"/>
      <c r="FH1119" s="878"/>
      <c r="FI1119" s="878"/>
      <c r="FJ1119" s="878"/>
      <c r="FK1119" s="878"/>
      <c r="FL1119" s="555"/>
      <c r="FM1119" s="554"/>
      <c r="FN1119" s="554"/>
      <c r="FO1119" s="554"/>
      <c r="FP1119" s="554"/>
      <c r="FQ1119" s="554"/>
      <c r="FR1119" s="554"/>
      <c r="FS1119" s="554"/>
      <c r="FT1119" s="554"/>
      <c r="FU1119" s="554"/>
      <c r="FV1119" s="554"/>
      <c r="FW1119" s="554"/>
      <c r="FX1119" s="554"/>
      <c r="FY1119" s="554"/>
      <c r="FZ1119" s="554"/>
      <c r="GA1119" s="554"/>
      <c r="GB1119" s="556"/>
      <c r="GC1119" s="370"/>
      <c r="GD1119" s="453"/>
      <c r="GE1119" s="453"/>
      <c r="GF1119" s="453"/>
      <c r="GG1119" s="453"/>
      <c r="GH1119" s="454"/>
      <c r="GI1119" s="453"/>
      <c r="GJ1119" s="453"/>
      <c r="GK1119" s="453"/>
      <c r="GL1119" s="453"/>
      <c r="GM1119" s="453"/>
      <c r="GN1119" s="453"/>
      <c r="GO1119" s="453"/>
      <c r="GP1119" s="453"/>
      <c r="GQ1119" s="453"/>
      <c r="GR1119" s="453"/>
      <c r="GS1119" s="561"/>
      <c r="GT1119" s="475"/>
      <c r="GU1119" s="472"/>
      <c r="GV1119" s="453"/>
      <c r="GW1119" s="453"/>
      <c r="GX1119" s="869"/>
      <c r="GY1119" s="870"/>
      <c r="GZ1119" s="867"/>
      <c r="HA1119" s="868"/>
      <c r="HB1119" s="473"/>
      <c r="HC1119" s="869"/>
      <c r="HD1119" s="870"/>
      <c r="HE1119" s="867"/>
      <c r="HF1119" s="868"/>
      <c r="HG1119" s="473"/>
      <c r="HH1119" s="867"/>
      <c r="HI1119" s="868"/>
      <c r="HJ1119" s="867"/>
      <c r="HK1119" s="868"/>
      <c r="HL1119" s="370"/>
      <c r="HM1119" s="865"/>
      <c r="HN1119" s="866"/>
      <c r="HO1119" s="865"/>
      <c r="HP1119" s="866"/>
      <c r="HQ1119" s="865"/>
      <c r="HR1119" s="866"/>
      <c r="HS1119" s="867"/>
      <c r="HT1119" s="868"/>
      <c r="HU1119" s="489"/>
      <c r="HV1119" s="865"/>
      <c r="HW1119" s="866"/>
    </row>
    <row r="1120" spans="25:231" ht="15" customHeight="1">
      <c r="Y1120" s="332"/>
      <c r="Z1120" s="332"/>
      <c r="AA1120" s="332"/>
      <c r="AB1120" s="332"/>
      <c r="AC1120" s="332"/>
      <c r="AD1120" s="332"/>
      <c r="AE1120" s="332"/>
      <c r="AF1120" s="332"/>
      <c r="AG1120" s="332"/>
      <c r="AH1120" s="332"/>
      <c r="AI1120" s="332"/>
      <c r="AJ1120" s="332"/>
      <c r="AK1120" s="332"/>
      <c r="AL1120" s="332"/>
      <c r="AM1120" s="332"/>
      <c r="AN1120" s="332"/>
      <c r="AO1120" s="332"/>
      <c r="AP1120" s="332"/>
      <c r="AQ1120" s="332"/>
      <c r="AR1120" s="332"/>
      <c r="AS1120" s="332"/>
      <c r="AT1120" s="332"/>
      <c r="AU1120" s="332"/>
      <c r="AV1120" s="332"/>
      <c r="AW1120" s="332"/>
      <c r="AX1120" s="332"/>
      <c r="AY1120" s="332"/>
      <c r="AZ1120" s="332"/>
      <c r="BA1120" s="332"/>
      <c r="BB1120" s="332"/>
      <c r="BC1120" s="332"/>
      <c r="BD1120" s="332"/>
      <c r="BE1120" s="332"/>
      <c r="BF1120" s="332"/>
      <c r="BG1120" s="332"/>
      <c r="BH1120" s="332"/>
      <c r="BI1120" s="332"/>
      <c r="BJ1120" s="332"/>
      <c r="BK1120" s="332"/>
      <c r="BL1120" s="332"/>
      <c r="BM1120" s="332"/>
      <c r="BN1120" s="332"/>
      <c r="BO1120" s="332"/>
      <c r="BP1120" s="332"/>
      <c r="BQ1120" s="332"/>
      <c r="BR1120" s="332"/>
      <c r="BS1120" s="332"/>
      <c r="BT1120" s="332"/>
      <c r="BU1120" s="332"/>
      <c r="BV1120" s="332"/>
      <c r="BW1120" s="332"/>
      <c r="BX1120" s="332"/>
      <c r="BY1120" s="332"/>
      <c r="BZ1120" s="332"/>
      <c r="CA1120" s="332"/>
      <c r="CB1120" s="332"/>
      <c r="CC1120" s="332"/>
      <c r="CD1120" s="332"/>
      <c r="CE1120" s="332"/>
      <c r="CF1120" s="332"/>
      <c r="CG1120" s="332"/>
      <c r="CH1120" s="332"/>
      <c r="CI1120" s="332"/>
      <c r="CJ1120" s="332"/>
      <c r="CK1120" s="332"/>
      <c r="CL1120" s="332"/>
      <c r="CM1120" s="332"/>
      <c r="CN1120" s="332"/>
      <c r="CO1120" s="332"/>
      <c r="CP1120" s="332"/>
      <c r="CQ1120" s="332"/>
      <c r="CR1120" s="332"/>
      <c r="CS1120" s="332"/>
      <c r="CT1120" s="332"/>
      <c r="CU1120" s="332"/>
      <c r="CV1120" s="332"/>
      <c r="CW1120" s="332"/>
      <c r="CX1120" s="332"/>
      <c r="CY1120" s="332"/>
      <c r="CZ1120" s="332"/>
      <c r="DA1120" s="332"/>
      <c r="DB1120" s="332"/>
      <c r="DC1120" s="332"/>
      <c r="DD1120" s="332"/>
      <c r="DE1120" s="332"/>
      <c r="DF1120" s="332"/>
      <c r="DG1120" s="332"/>
      <c r="DH1120" s="332"/>
      <c r="DI1120" s="332"/>
      <c r="DJ1120" s="332"/>
      <c r="DK1120" s="332"/>
      <c r="DL1120" s="332"/>
      <c r="DM1120" s="332"/>
      <c r="DN1120" s="332"/>
      <c r="DO1120" s="332"/>
      <c r="DP1120" s="332"/>
      <c r="DQ1120" s="332"/>
      <c r="DR1120" s="332"/>
      <c r="DS1120" s="332"/>
      <c r="DT1120" s="332"/>
      <c r="DU1120" s="453"/>
      <c r="DV1120" s="453"/>
      <c r="DW1120" s="453"/>
      <c r="DX1120" s="453"/>
      <c r="DY1120" s="453"/>
      <c r="DZ1120" s="453"/>
      <c r="EA1120" s="453"/>
      <c r="EB1120" s="453"/>
      <c r="EC1120" s="453"/>
      <c r="ED1120" s="453"/>
      <c r="EE1120" s="453"/>
      <c r="EF1120" s="453"/>
      <c r="EG1120" s="453"/>
      <c r="EH1120" s="453"/>
      <c r="EI1120" s="453"/>
      <c r="EJ1120" s="453"/>
      <c r="EK1120" s="453"/>
      <c r="EL1120" s="453"/>
      <c r="EM1120" s="483">
        <f t="shared" si="249"/>
        <v>811</v>
      </c>
      <c r="EN1120" s="485"/>
      <c r="EO1120" s="458"/>
      <c r="EP1120" s="467"/>
      <c r="EQ1120" s="457"/>
      <c r="ER1120" s="808"/>
      <c r="ES1120" s="881">
        <f t="shared" si="252"/>
        <v>0</v>
      </c>
      <c r="ET1120" s="882"/>
      <c r="EU1120" s="883"/>
      <c r="EV1120" s="884">
        <f t="shared" si="253"/>
        <v>0</v>
      </c>
      <c r="EW1120" s="885"/>
      <c r="EX1120" s="885"/>
      <c r="EY1120" s="885"/>
      <c r="EZ1120" s="885"/>
      <c r="FA1120" s="885"/>
      <c r="FB1120" s="885"/>
      <c r="FC1120" s="885"/>
      <c r="FD1120" s="886"/>
      <c r="FE1120" s="878"/>
      <c r="FF1120" s="878"/>
      <c r="FG1120" s="878"/>
      <c r="FH1120" s="878"/>
      <c r="FI1120" s="878"/>
      <c r="FJ1120" s="878"/>
      <c r="FK1120" s="878"/>
      <c r="FL1120" s="555"/>
      <c r="FM1120" s="554"/>
      <c r="FN1120" s="554"/>
      <c r="FO1120" s="554"/>
      <c r="FP1120" s="554"/>
      <c r="FQ1120" s="554"/>
      <c r="FR1120" s="554"/>
      <c r="FS1120" s="554"/>
      <c r="FT1120" s="554"/>
      <c r="FU1120" s="554"/>
      <c r="FV1120" s="554"/>
      <c r="FW1120" s="554"/>
      <c r="FX1120" s="554"/>
      <c r="FY1120" s="554"/>
      <c r="FZ1120" s="554"/>
      <c r="GA1120" s="554"/>
      <c r="GB1120" s="556"/>
      <c r="GC1120" s="370"/>
      <c r="GD1120" s="453"/>
      <c r="GE1120" s="453"/>
      <c r="GF1120" s="453"/>
      <c r="GG1120" s="453"/>
      <c r="GH1120" s="454"/>
      <c r="GI1120" s="453"/>
      <c r="GJ1120" s="453"/>
      <c r="GK1120" s="453"/>
      <c r="GL1120" s="453"/>
      <c r="GM1120" s="453"/>
      <c r="GN1120" s="453"/>
      <c r="GO1120" s="453"/>
      <c r="GP1120" s="453"/>
      <c r="GQ1120" s="453"/>
      <c r="GR1120" s="453"/>
      <c r="GS1120" s="561"/>
      <c r="GT1120" s="475"/>
      <c r="GU1120" s="472"/>
      <c r="GV1120" s="453"/>
      <c r="GW1120" s="453"/>
      <c r="GX1120" s="869"/>
      <c r="GY1120" s="870"/>
      <c r="GZ1120" s="867"/>
      <c r="HA1120" s="868"/>
      <c r="HB1120" s="473"/>
      <c r="HC1120" s="869"/>
      <c r="HD1120" s="870"/>
      <c r="HE1120" s="867"/>
      <c r="HF1120" s="868"/>
      <c r="HG1120" s="473"/>
      <c r="HH1120" s="867"/>
      <c r="HI1120" s="868"/>
      <c r="HJ1120" s="867"/>
      <c r="HK1120" s="868"/>
      <c r="HL1120" s="370"/>
      <c r="HM1120" s="865"/>
      <c r="HN1120" s="866"/>
      <c r="HO1120" s="865"/>
      <c r="HP1120" s="866"/>
      <c r="HQ1120" s="865"/>
      <c r="HR1120" s="866"/>
      <c r="HS1120" s="867"/>
      <c r="HT1120" s="868"/>
      <c r="HU1120" s="489"/>
      <c r="HV1120" s="865"/>
      <c r="HW1120" s="866"/>
    </row>
    <row r="1121" spans="25:231" ht="15" customHeight="1">
      <c r="Y1121" s="332"/>
      <c r="Z1121" s="332"/>
      <c r="AA1121" s="332"/>
      <c r="AB1121" s="332"/>
      <c r="AC1121" s="332"/>
      <c r="AD1121" s="332"/>
      <c r="AE1121" s="332"/>
      <c r="AF1121" s="332"/>
      <c r="AG1121" s="332"/>
      <c r="AH1121" s="332"/>
      <c r="AI1121" s="332"/>
      <c r="AJ1121" s="332"/>
      <c r="AK1121" s="332"/>
      <c r="AL1121" s="332"/>
      <c r="AM1121" s="332"/>
      <c r="AN1121" s="332"/>
      <c r="AO1121" s="332"/>
      <c r="AP1121" s="332"/>
      <c r="AQ1121" s="332"/>
      <c r="AR1121" s="332"/>
      <c r="AS1121" s="332"/>
      <c r="AT1121" s="332"/>
      <c r="AU1121" s="332"/>
      <c r="AV1121" s="332"/>
      <c r="AW1121" s="332"/>
      <c r="AX1121" s="332"/>
      <c r="AY1121" s="332"/>
      <c r="AZ1121" s="332"/>
      <c r="BA1121" s="332"/>
      <c r="BB1121" s="332"/>
      <c r="BC1121" s="332"/>
      <c r="BD1121" s="332"/>
      <c r="BE1121" s="332"/>
      <c r="BF1121" s="332"/>
      <c r="BG1121" s="332"/>
      <c r="BH1121" s="332"/>
      <c r="BI1121" s="332"/>
      <c r="BJ1121" s="332"/>
      <c r="BK1121" s="332"/>
      <c r="BL1121" s="332"/>
      <c r="BM1121" s="332"/>
      <c r="BN1121" s="332"/>
      <c r="BO1121" s="332"/>
      <c r="BP1121" s="332"/>
      <c r="BQ1121" s="332"/>
      <c r="BR1121" s="332"/>
      <c r="BS1121" s="332"/>
      <c r="BT1121" s="332"/>
      <c r="BU1121" s="332"/>
      <c r="BV1121" s="332"/>
      <c r="BW1121" s="332"/>
      <c r="BX1121" s="332"/>
      <c r="BY1121" s="332"/>
      <c r="BZ1121" s="332"/>
      <c r="CA1121" s="332"/>
      <c r="CB1121" s="332"/>
      <c r="CC1121" s="332"/>
      <c r="CD1121" s="332"/>
      <c r="CE1121" s="332"/>
      <c r="CF1121" s="332"/>
      <c r="CG1121" s="332"/>
      <c r="CH1121" s="332"/>
      <c r="CI1121" s="332"/>
      <c r="CJ1121" s="332"/>
      <c r="CK1121" s="332"/>
      <c r="CL1121" s="332"/>
      <c r="CM1121" s="332"/>
      <c r="CN1121" s="332"/>
      <c r="CO1121" s="332"/>
      <c r="CP1121" s="332"/>
      <c r="CQ1121" s="332"/>
      <c r="CR1121" s="332"/>
      <c r="CS1121" s="332"/>
      <c r="CT1121" s="332"/>
      <c r="CU1121" s="332"/>
      <c r="CV1121" s="332"/>
      <c r="CW1121" s="332"/>
      <c r="CX1121" s="332"/>
      <c r="CY1121" s="332"/>
      <c r="CZ1121" s="332"/>
      <c r="DA1121" s="332"/>
      <c r="DB1121" s="332"/>
      <c r="DC1121" s="332"/>
      <c r="DD1121" s="332"/>
      <c r="DE1121" s="332"/>
      <c r="DF1121" s="332"/>
      <c r="DG1121" s="332"/>
      <c r="DH1121" s="332"/>
      <c r="DI1121" s="332"/>
      <c r="DJ1121" s="332"/>
      <c r="DK1121" s="332"/>
      <c r="DL1121" s="332"/>
      <c r="DM1121" s="332"/>
      <c r="DN1121" s="332"/>
      <c r="DO1121" s="332"/>
      <c r="DP1121" s="332"/>
      <c r="DQ1121" s="332"/>
      <c r="DR1121" s="332"/>
      <c r="DS1121" s="332"/>
      <c r="DT1121" s="332"/>
      <c r="DU1121" s="453"/>
      <c r="DV1121" s="453"/>
      <c r="DW1121" s="453"/>
      <c r="DX1121" s="453"/>
      <c r="DY1121" s="453"/>
      <c r="DZ1121" s="453"/>
      <c r="EA1121" s="453"/>
      <c r="EB1121" s="453"/>
      <c r="EC1121" s="453"/>
      <c r="ED1121" s="453"/>
      <c r="EE1121" s="453"/>
      <c r="EF1121" s="453"/>
      <c r="EG1121" s="453"/>
      <c r="EH1121" s="453"/>
      <c r="EI1121" s="453"/>
      <c r="EJ1121" s="453"/>
      <c r="EK1121" s="453"/>
      <c r="EL1121" s="453"/>
      <c r="EM1121" s="483">
        <f t="shared" si="249"/>
        <v>812</v>
      </c>
      <c r="EN1121" s="485"/>
      <c r="EO1121" s="458"/>
      <c r="EP1121" s="467"/>
      <c r="EQ1121" s="457"/>
      <c r="ER1121" s="808"/>
      <c r="ES1121" s="881">
        <f t="shared" si="252"/>
        <v>0</v>
      </c>
      <c r="ET1121" s="882"/>
      <c r="EU1121" s="883"/>
      <c r="EV1121" s="884">
        <f t="shared" si="253"/>
        <v>0</v>
      </c>
      <c r="EW1121" s="885"/>
      <c r="EX1121" s="885"/>
      <c r="EY1121" s="885"/>
      <c r="EZ1121" s="885"/>
      <c r="FA1121" s="885"/>
      <c r="FB1121" s="885"/>
      <c r="FC1121" s="885"/>
      <c r="FD1121" s="886"/>
      <c r="FE1121" s="878"/>
      <c r="FF1121" s="878"/>
      <c r="FG1121" s="878"/>
      <c r="FH1121" s="878"/>
      <c r="FI1121" s="878"/>
      <c r="FJ1121" s="878"/>
      <c r="FK1121" s="878"/>
      <c r="FL1121" s="555"/>
      <c r="FM1121" s="554"/>
      <c r="FN1121" s="554"/>
      <c r="FO1121" s="554"/>
      <c r="FP1121" s="554"/>
      <c r="FQ1121" s="554"/>
      <c r="FR1121" s="554"/>
      <c r="FS1121" s="554"/>
      <c r="FT1121" s="554"/>
      <c r="FU1121" s="554"/>
      <c r="FV1121" s="554"/>
      <c r="FW1121" s="554"/>
      <c r="FX1121" s="554"/>
      <c r="FY1121" s="554"/>
      <c r="FZ1121" s="554"/>
      <c r="GA1121" s="554"/>
      <c r="GB1121" s="556"/>
      <c r="GC1121" s="370"/>
      <c r="GD1121" s="453"/>
      <c r="GE1121" s="453"/>
      <c r="GF1121" s="453"/>
      <c r="GG1121" s="453"/>
      <c r="GH1121" s="454"/>
      <c r="GI1121" s="453"/>
      <c r="GJ1121" s="453"/>
      <c r="GK1121" s="453"/>
      <c r="GL1121" s="453"/>
      <c r="GM1121" s="453"/>
      <c r="GN1121" s="453"/>
      <c r="GO1121" s="453"/>
      <c r="GP1121" s="453"/>
      <c r="GQ1121" s="453"/>
      <c r="GR1121" s="453"/>
      <c r="GS1121" s="561"/>
      <c r="GT1121" s="475"/>
      <c r="GU1121" s="472"/>
      <c r="GV1121" s="453"/>
      <c r="GW1121" s="453"/>
      <c r="GX1121" s="869"/>
      <c r="GY1121" s="870"/>
      <c r="GZ1121" s="867"/>
      <c r="HA1121" s="868"/>
      <c r="HB1121" s="473"/>
      <c r="HC1121" s="869"/>
      <c r="HD1121" s="870"/>
      <c r="HE1121" s="867"/>
      <c r="HF1121" s="868"/>
      <c r="HG1121" s="473"/>
      <c r="HH1121" s="867"/>
      <c r="HI1121" s="868"/>
      <c r="HJ1121" s="867"/>
      <c r="HK1121" s="868"/>
      <c r="HL1121" s="370"/>
      <c r="HM1121" s="865"/>
      <c r="HN1121" s="866"/>
      <c r="HO1121" s="865"/>
      <c r="HP1121" s="866"/>
      <c r="HQ1121" s="865"/>
      <c r="HR1121" s="866"/>
      <c r="HS1121" s="867"/>
      <c r="HT1121" s="868"/>
      <c r="HU1121" s="489"/>
      <c r="HV1121" s="865"/>
      <c r="HW1121" s="866"/>
    </row>
    <row r="1122" spans="25:231" ht="15" customHeight="1">
      <c r="Y1122" s="332"/>
      <c r="Z1122" s="332"/>
      <c r="AA1122" s="332"/>
      <c r="AB1122" s="332"/>
      <c r="AC1122" s="332"/>
      <c r="AD1122" s="332"/>
      <c r="AE1122" s="332"/>
      <c r="AF1122" s="332"/>
      <c r="AG1122" s="332"/>
      <c r="AH1122" s="332"/>
      <c r="AI1122" s="332"/>
      <c r="AJ1122" s="332"/>
      <c r="AK1122" s="332"/>
      <c r="AL1122" s="332"/>
      <c r="AM1122" s="332"/>
      <c r="AN1122" s="332"/>
      <c r="AO1122" s="332"/>
      <c r="AP1122" s="332"/>
      <c r="AQ1122" s="332"/>
      <c r="AR1122" s="332"/>
      <c r="AS1122" s="332"/>
      <c r="AT1122" s="332"/>
      <c r="AU1122" s="332"/>
      <c r="AV1122" s="332"/>
      <c r="AW1122" s="332"/>
      <c r="AX1122" s="332"/>
      <c r="AY1122" s="332"/>
      <c r="AZ1122" s="332"/>
      <c r="BA1122" s="332"/>
      <c r="BB1122" s="332"/>
      <c r="BC1122" s="332"/>
      <c r="BD1122" s="332"/>
      <c r="BE1122" s="332"/>
      <c r="BF1122" s="332"/>
      <c r="BG1122" s="332"/>
      <c r="BH1122" s="332"/>
      <c r="BI1122" s="332"/>
      <c r="BJ1122" s="332"/>
      <c r="BK1122" s="332"/>
      <c r="BL1122" s="332"/>
      <c r="BM1122" s="332"/>
      <c r="BN1122" s="332"/>
      <c r="BO1122" s="332"/>
      <c r="BP1122" s="332"/>
      <c r="BQ1122" s="332"/>
      <c r="BR1122" s="332"/>
      <c r="BS1122" s="332"/>
      <c r="BT1122" s="332"/>
      <c r="BU1122" s="332"/>
      <c r="BV1122" s="332"/>
      <c r="BW1122" s="332"/>
      <c r="BX1122" s="332"/>
      <c r="BY1122" s="332"/>
      <c r="BZ1122" s="332"/>
      <c r="CA1122" s="332"/>
      <c r="CB1122" s="332"/>
      <c r="CC1122" s="332"/>
      <c r="CD1122" s="332"/>
      <c r="CE1122" s="332"/>
      <c r="CF1122" s="332"/>
      <c r="CG1122" s="332"/>
      <c r="CH1122" s="332"/>
      <c r="CI1122" s="332"/>
      <c r="CJ1122" s="332"/>
      <c r="CK1122" s="332"/>
      <c r="CL1122" s="332"/>
      <c r="CM1122" s="332"/>
      <c r="CN1122" s="332"/>
      <c r="CO1122" s="332"/>
      <c r="CP1122" s="332"/>
      <c r="CQ1122" s="332"/>
      <c r="CR1122" s="332"/>
      <c r="CS1122" s="332"/>
      <c r="CT1122" s="332"/>
      <c r="CU1122" s="332"/>
      <c r="CV1122" s="332"/>
      <c r="CW1122" s="332"/>
      <c r="CX1122" s="332"/>
      <c r="CY1122" s="332"/>
      <c r="CZ1122" s="332"/>
      <c r="DA1122" s="332"/>
      <c r="DB1122" s="332"/>
      <c r="DC1122" s="332"/>
      <c r="DD1122" s="332"/>
      <c r="DE1122" s="332"/>
      <c r="DF1122" s="332"/>
      <c r="DG1122" s="332"/>
      <c r="DH1122" s="332"/>
      <c r="DI1122" s="332"/>
      <c r="DJ1122" s="332"/>
      <c r="DK1122" s="332"/>
      <c r="DL1122" s="332"/>
      <c r="DM1122" s="332"/>
      <c r="DN1122" s="332"/>
      <c r="DO1122" s="332"/>
      <c r="DP1122" s="332"/>
      <c r="DQ1122" s="332"/>
      <c r="DR1122" s="332"/>
      <c r="DS1122" s="332"/>
      <c r="DT1122" s="332"/>
      <c r="DU1122" s="453"/>
      <c r="DV1122" s="453"/>
      <c r="DW1122" s="453"/>
      <c r="DX1122" s="453"/>
      <c r="DY1122" s="453"/>
      <c r="DZ1122" s="453"/>
      <c r="EA1122" s="453"/>
      <c r="EB1122" s="453"/>
      <c r="EC1122" s="453"/>
      <c r="ED1122" s="453"/>
      <c r="EE1122" s="453"/>
      <c r="EF1122" s="453"/>
      <c r="EG1122" s="453"/>
      <c r="EH1122" s="453"/>
      <c r="EI1122" s="453"/>
      <c r="EJ1122" s="453"/>
      <c r="EK1122" s="453"/>
      <c r="EL1122" s="453"/>
      <c r="EM1122" s="483">
        <f t="shared" si="249"/>
        <v>813</v>
      </c>
      <c r="EN1122" s="485"/>
      <c r="EO1122" s="458"/>
      <c r="EP1122" s="467"/>
      <c r="EQ1122" s="457"/>
      <c r="ER1122" s="808"/>
      <c r="ES1122" s="881">
        <f t="shared" si="252"/>
        <v>0</v>
      </c>
      <c r="ET1122" s="882"/>
      <c r="EU1122" s="883"/>
      <c r="EV1122" s="884">
        <f t="shared" si="253"/>
        <v>0</v>
      </c>
      <c r="EW1122" s="885"/>
      <c r="EX1122" s="885"/>
      <c r="EY1122" s="885"/>
      <c r="EZ1122" s="885"/>
      <c r="FA1122" s="885"/>
      <c r="FB1122" s="885"/>
      <c r="FC1122" s="885"/>
      <c r="FD1122" s="886"/>
      <c r="FE1122" s="878"/>
      <c r="FF1122" s="878"/>
      <c r="FG1122" s="878"/>
      <c r="FH1122" s="878"/>
      <c r="FI1122" s="878"/>
      <c r="FJ1122" s="878"/>
      <c r="FK1122" s="878"/>
      <c r="FL1122" s="555"/>
      <c r="FM1122" s="554"/>
      <c r="FN1122" s="554"/>
      <c r="FO1122" s="554"/>
      <c r="FP1122" s="554"/>
      <c r="FQ1122" s="554"/>
      <c r="FR1122" s="554"/>
      <c r="FS1122" s="554"/>
      <c r="FT1122" s="554"/>
      <c r="FU1122" s="554"/>
      <c r="FV1122" s="554"/>
      <c r="FW1122" s="554"/>
      <c r="FX1122" s="554"/>
      <c r="FY1122" s="554"/>
      <c r="FZ1122" s="554"/>
      <c r="GA1122" s="554"/>
      <c r="GB1122" s="556"/>
      <c r="GC1122" s="370"/>
      <c r="GD1122" s="453"/>
      <c r="GE1122" s="453"/>
      <c r="GF1122" s="453"/>
      <c r="GG1122" s="453"/>
      <c r="GH1122" s="454"/>
      <c r="GI1122" s="453"/>
      <c r="GJ1122" s="453"/>
      <c r="GK1122" s="453"/>
      <c r="GL1122" s="453"/>
      <c r="GM1122" s="453"/>
      <c r="GN1122" s="453"/>
      <c r="GO1122" s="453"/>
      <c r="GP1122" s="453"/>
      <c r="GQ1122" s="453"/>
      <c r="GR1122" s="453"/>
      <c r="GS1122" s="561"/>
      <c r="GT1122" s="475"/>
      <c r="GU1122" s="472"/>
      <c r="GV1122" s="453"/>
      <c r="GW1122" s="453"/>
      <c r="GX1122" s="869"/>
      <c r="GY1122" s="870"/>
      <c r="GZ1122" s="867"/>
      <c r="HA1122" s="868"/>
      <c r="HB1122" s="473"/>
      <c r="HC1122" s="869"/>
      <c r="HD1122" s="870"/>
      <c r="HE1122" s="867"/>
      <c r="HF1122" s="868"/>
      <c r="HG1122" s="473"/>
      <c r="HH1122" s="867"/>
      <c r="HI1122" s="868"/>
      <c r="HJ1122" s="867"/>
      <c r="HK1122" s="868"/>
      <c r="HL1122" s="370"/>
      <c r="HM1122" s="865"/>
      <c r="HN1122" s="866"/>
      <c r="HO1122" s="865"/>
      <c r="HP1122" s="866"/>
      <c r="HQ1122" s="865"/>
      <c r="HR1122" s="866"/>
      <c r="HS1122" s="867"/>
      <c r="HT1122" s="868"/>
      <c r="HU1122" s="489"/>
      <c r="HV1122" s="865"/>
      <c r="HW1122" s="866"/>
    </row>
    <row r="1123" spans="25:231" ht="15" customHeight="1">
      <c r="Y1123" s="332"/>
      <c r="Z1123" s="332"/>
      <c r="AA1123" s="332"/>
      <c r="AB1123" s="332"/>
      <c r="AC1123" s="332"/>
      <c r="AD1123" s="332"/>
      <c r="AE1123" s="332"/>
      <c r="AF1123" s="332"/>
      <c r="AG1123" s="332"/>
      <c r="AH1123" s="332"/>
      <c r="AI1123" s="332"/>
      <c r="AJ1123" s="332"/>
      <c r="AK1123" s="332"/>
      <c r="AL1123" s="332"/>
      <c r="AM1123" s="332"/>
      <c r="AN1123" s="332"/>
      <c r="AO1123" s="332"/>
      <c r="AP1123" s="332"/>
      <c r="AQ1123" s="332"/>
      <c r="AR1123" s="332"/>
      <c r="AS1123" s="332"/>
      <c r="AT1123" s="332"/>
      <c r="AU1123" s="332"/>
      <c r="AV1123" s="332"/>
      <c r="AW1123" s="332"/>
      <c r="AX1123" s="332"/>
      <c r="AY1123" s="332"/>
      <c r="AZ1123" s="332"/>
      <c r="BA1123" s="332"/>
      <c r="BB1123" s="332"/>
      <c r="BC1123" s="332"/>
      <c r="BD1123" s="332"/>
      <c r="BE1123" s="332"/>
      <c r="BF1123" s="332"/>
      <c r="BG1123" s="332"/>
      <c r="BH1123" s="332"/>
      <c r="BI1123" s="332"/>
      <c r="BJ1123" s="332"/>
      <c r="BK1123" s="332"/>
      <c r="BL1123" s="332"/>
      <c r="BM1123" s="332"/>
      <c r="BN1123" s="332"/>
      <c r="BO1123" s="332"/>
      <c r="BP1123" s="332"/>
      <c r="BQ1123" s="332"/>
      <c r="BR1123" s="332"/>
      <c r="BS1123" s="332"/>
      <c r="BT1123" s="332"/>
      <c r="BU1123" s="332"/>
      <c r="BV1123" s="332"/>
      <c r="BW1123" s="332"/>
      <c r="BX1123" s="332"/>
      <c r="BY1123" s="332"/>
      <c r="BZ1123" s="332"/>
      <c r="CA1123" s="332"/>
      <c r="CB1123" s="332"/>
      <c r="CC1123" s="332"/>
      <c r="CD1123" s="332"/>
      <c r="CE1123" s="332"/>
      <c r="CF1123" s="332"/>
      <c r="CG1123" s="332"/>
      <c r="CH1123" s="332"/>
      <c r="CI1123" s="332"/>
      <c r="CJ1123" s="332"/>
      <c r="CK1123" s="332"/>
      <c r="CL1123" s="332"/>
      <c r="CM1123" s="332"/>
      <c r="CN1123" s="332"/>
      <c r="CO1123" s="332"/>
      <c r="CP1123" s="332"/>
      <c r="CQ1123" s="332"/>
      <c r="CR1123" s="332"/>
      <c r="CS1123" s="332"/>
      <c r="CT1123" s="332"/>
      <c r="CU1123" s="332"/>
      <c r="CV1123" s="332"/>
      <c r="CW1123" s="332"/>
      <c r="CX1123" s="332"/>
      <c r="CY1123" s="332"/>
      <c r="CZ1123" s="332"/>
      <c r="DA1123" s="332"/>
      <c r="DB1123" s="332"/>
      <c r="DC1123" s="332"/>
      <c r="DD1123" s="332"/>
      <c r="DE1123" s="332"/>
      <c r="DF1123" s="332"/>
      <c r="DG1123" s="332"/>
      <c r="DH1123" s="332"/>
      <c r="DI1123" s="332"/>
      <c r="DJ1123" s="332"/>
      <c r="DK1123" s="332"/>
      <c r="DL1123" s="332"/>
      <c r="DM1123" s="332"/>
      <c r="DN1123" s="332"/>
      <c r="DO1123" s="332"/>
      <c r="DP1123" s="332"/>
      <c r="DQ1123" s="332"/>
      <c r="DR1123" s="332"/>
      <c r="DS1123" s="332"/>
      <c r="DT1123" s="332"/>
      <c r="DU1123" s="453"/>
      <c r="DV1123" s="453"/>
      <c r="DW1123" s="453"/>
      <c r="DX1123" s="453"/>
      <c r="DY1123" s="453"/>
      <c r="DZ1123" s="453"/>
      <c r="EA1123" s="453"/>
      <c r="EB1123" s="453"/>
      <c r="EC1123" s="453"/>
      <c r="ED1123" s="453"/>
      <c r="EE1123" s="453"/>
      <c r="EF1123" s="453"/>
      <c r="EG1123" s="453"/>
      <c r="EH1123" s="453"/>
      <c r="EI1123" s="453"/>
      <c r="EJ1123" s="453"/>
      <c r="EK1123" s="453"/>
      <c r="EL1123" s="453"/>
      <c r="EM1123" s="483">
        <f t="shared" si="249"/>
        <v>814</v>
      </c>
      <c r="EN1123" s="485"/>
      <c r="EO1123" s="458"/>
      <c r="EP1123" s="467"/>
      <c r="EQ1123" s="457"/>
      <c r="ER1123" s="808"/>
      <c r="ES1123" s="881">
        <f t="shared" si="252"/>
        <v>0</v>
      </c>
      <c r="ET1123" s="882"/>
      <c r="EU1123" s="883"/>
      <c r="EV1123" s="884">
        <f t="shared" si="253"/>
        <v>0</v>
      </c>
      <c r="EW1123" s="885"/>
      <c r="EX1123" s="885"/>
      <c r="EY1123" s="885"/>
      <c r="EZ1123" s="885"/>
      <c r="FA1123" s="885"/>
      <c r="FB1123" s="885"/>
      <c r="FC1123" s="885"/>
      <c r="FD1123" s="886"/>
      <c r="FE1123" s="878"/>
      <c r="FF1123" s="878"/>
      <c r="FG1123" s="878"/>
      <c r="FH1123" s="878"/>
      <c r="FI1123" s="878"/>
      <c r="FJ1123" s="878"/>
      <c r="FK1123" s="878"/>
      <c r="FL1123" s="555"/>
      <c r="FM1123" s="554"/>
      <c r="FN1123" s="554"/>
      <c r="FO1123" s="554"/>
      <c r="FP1123" s="554"/>
      <c r="FQ1123" s="554"/>
      <c r="FR1123" s="554"/>
      <c r="FS1123" s="554"/>
      <c r="FT1123" s="554"/>
      <c r="FU1123" s="554"/>
      <c r="FV1123" s="554"/>
      <c r="FW1123" s="554"/>
      <c r="FX1123" s="554"/>
      <c r="FY1123" s="554"/>
      <c r="FZ1123" s="554"/>
      <c r="GA1123" s="554"/>
      <c r="GB1123" s="556"/>
      <c r="GC1123" s="370"/>
      <c r="GD1123" s="453"/>
      <c r="GE1123" s="453"/>
      <c r="GF1123" s="453"/>
      <c r="GG1123" s="453"/>
      <c r="GH1123" s="454"/>
      <c r="GI1123" s="453"/>
      <c r="GJ1123" s="453"/>
      <c r="GK1123" s="453"/>
      <c r="GL1123" s="453"/>
      <c r="GM1123" s="453"/>
      <c r="GN1123" s="453"/>
      <c r="GO1123" s="453"/>
      <c r="GP1123" s="453"/>
      <c r="GQ1123" s="453"/>
      <c r="GR1123" s="453"/>
      <c r="GS1123" s="561"/>
      <c r="GT1123" s="475"/>
      <c r="GU1123" s="472"/>
      <c r="GV1123" s="453"/>
      <c r="GW1123" s="453"/>
      <c r="GX1123" s="869"/>
      <c r="GY1123" s="870"/>
      <c r="GZ1123" s="867"/>
      <c r="HA1123" s="868"/>
      <c r="HB1123" s="473"/>
      <c r="HC1123" s="869"/>
      <c r="HD1123" s="870"/>
      <c r="HE1123" s="867"/>
      <c r="HF1123" s="868"/>
      <c r="HG1123" s="473"/>
      <c r="HH1123" s="867"/>
      <c r="HI1123" s="868"/>
      <c r="HJ1123" s="867"/>
      <c r="HK1123" s="868"/>
      <c r="HL1123" s="370"/>
      <c r="HM1123" s="865"/>
      <c r="HN1123" s="866"/>
      <c r="HO1123" s="865"/>
      <c r="HP1123" s="866"/>
      <c r="HQ1123" s="865"/>
      <c r="HR1123" s="866"/>
      <c r="HS1123" s="867"/>
      <c r="HT1123" s="868"/>
      <c r="HU1123" s="489"/>
      <c r="HV1123" s="865"/>
      <c r="HW1123" s="866"/>
    </row>
    <row r="1124" spans="25:231" ht="15" customHeight="1">
      <c r="Y1124" s="332"/>
      <c r="Z1124" s="332"/>
      <c r="AA1124" s="332"/>
      <c r="AB1124" s="332"/>
      <c r="AC1124" s="332"/>
      <c r="AD1124" s="332"/>
      <c r="AE1124" s="332"/>
      <c r="AF1124" s="332"/>
      <c r="AG1124" s="332"/>
      <c r="AH1124" s="332"/>
      <c r="AI1124" s="332"/>
      <c r="AJ1124" s="332"/>
      <c r="AK1124" s="332"/>
      <c r="AL1124" s="332"/>
      <c r="AM1124" s="332"/>
      <c r="AN1124" s="332"/>
      <c r="AO1124" s="332"/>
      <c r="AP1124" s="332"/>
      <c r="AQ1124" s="332"/>
      <c r="AR1124" s="332"/>
      <c r="AS1124" s="332"/>
      <c r="AT1124" s="332"/>
      <c r="AU1124" s="332"/>
      <c r="AV1124" s="332"/>
      <c r="AW1124" s="332"/>
      <c r="AX1124" s="332"/>
      <c r="AY1124" s="332"/>
      <c r="AZ1124" s="332"/>
      <c r="BA1124" s="332"/>
      <c r="BB1124" s="332"/>
      <c r="BC1124" s="332"/>
      <c r="BD1124" s="332"/>
      <c r="BE1124" s="332"/>
      <c r="BF1124" s="332"/>
      <c r="BG1124" s="332"/>
      <c r="BH1124" s="332"/>
      <c r="BI1124" s="332"/>
      <c r="BJ1124" s="332"/>
      <c r="BK1124" s="332"/>
      <c r="BL1124" s="332"/>
      <c r="BM1124" s="332"/>
      <c r="BN1124" s="332"/>
      <c r="BO1124" s="332"/>
      <c r="BP1124" s="332"/>
      <c r="BQ1124" s="332"/>
      <c r="BR1124" s="332"/>
      <c r="BS1124" s="332"/>
      <c r="BT1124" s="332"/>
      <c r="BU1124" s="332"/>
      <c r="BV1124" s="332"/>
      <c r="BW1124" s="332"/>
      <c r="BX1124" s="332"/>
      <c r="BY1124" s="332"/>
      <c r="BZ1124" s="332"/>
      <c r="CA1124" s="332"/>
      <c r="CB1124" s="332"/>
      <c r="CC1124" s="332"/>
      <c r="CD1124" s="332"/>
      <c r="CE1124" s="332"/>
      <c r="CF1124" s="332"/>
      <c r="CG1124" s="332"/>
      <c r="CH1124" s="332"/>
      <c r="CI1124" s="332"/>
      <c r="CJ1124" s="332"/>
      <c r="CK1124" s="332"/>
      <c r="CL1124" s="332"/>
      <c r="CM1124" s="332"/>
      <c r="CN1124" s="332"/>
      <c r="CO1124" s="332"/>
      <c r="CP1124" s="332"/>
      <c r="CQ1124" s="332"/>
      <c r="CR1124" s="332"/>
      <c r="CS1124" s="332"/>
      <c r="CT1124" s="332"/>
      <c r="CU1124" s="332"/>
      <c r="CV1124" s="332"/>
      <c r="CW1124" s="332"/>
      <c r="CX1124" s="332"/>
      <c r="CY1124" s="332"/>
      <c r="CZ1124" s="332"/>
      <c r="DA1124" s="332"/>
      <c r="DB1124" s="332"/>
      <c r="DC1124" s="332"/>
      <c r="DD1124" s="332"/>
      <c r="DE1124" s="332"/>
      <c r="DF1124" s="332"/>
      <c r="DG1124" s="332"/>
      <c r="DH1124" s="332"/>
      <c r="DI1124" s="332"/>
      <c r="DJ1124" s="332"/>
      <c r="DK1124" s="332"/>
      <c r="DL1124" s="332"/>
      <c r="DM1124" s="332"/>
      <c r="DN1124" s="332"/>
      <c r="DO1124" s="332"/>
      <c r="DP1124" s="332"/>
      <c r="DQ1124" s="332"/>
      <c r="DR1124" s="332"/>
      <c r="DS1124" s="332"/>
      <c r="DT1124" s="332"/>
      <c r="DU1124" s="453"/>
      <c r="DV1124" s="453"/>
      <c r="DW1124" s="453"/>
      <c r="DX1124" s="453"/>
      <c r="DY1124" s="453"/>
      <c r="DZ1124" s="453"/>
      <c r="EA1124" s="453"/>
      <c r="EB1124" s="453"/>
      <c r="EC1124" s="453"/>
      <c r="ED1124" s="453"/>
      <c r="EE1124" s="453"/>
      <c r="EF1124" s="453"/>
      <c r="EG1124" s="453"/>
      <c r="EH1124" s="453"/>
      <c r="EI1124" s="453"/>
      <c r="EJ1124" s="453"/>
      <c r="EK1124" s="453"/>
      <c r="EL1124" s="453"/>
      <c r="EM1124" s="483">
        <f t="shared" si="249"/>
        <v>815</v>
      </c>
      <c r="EN1124" s="485"/>
      <c r="EO1124" s="458"/>
      <c r="EP1124" s="467"/>
      <c r="EQ1124" s="457"/>
      <c r="ER1124" s="808"/>
      <c r="ES1124" s="881">
        <f t="shared" si="252"/>
        <v>0</v>
      </c>
      <c r="ET1124" s="882"/>
      <c r="EU1124" s="883"/>
      <c r="EV1124" s="884">
        <f t="shared" si="253"/>
        <v>0</v>
      </c>
      <c r="EW1124" s="885"/>
      <c r="EX1124" s="885"/>
      <c r="EY1124" s="885"/>
      <c r="EZ1124" s="885"/>
      <c r="FA1124" s="885"/>
      <c r="FB1124" s="885"/>
      <c r="FC1124" s="885"/>
      <c r="FD1124" s="886"/>
      <c r="FE1124" s="878"/>
      <c r="FF1124" s="878"/>
      <c r="FG1124" s="878"/>
      <c r="FH1124" s="878"/>
      <c r="FI1124" s="878"/>
      <c r="FJ1124" s="878"/>
      <c r="FK1124" s="878"/>
      <c r="FL1124" s="555"/>
      <c r="FM1124" s="554"/>
      <c r="FN1124" s="554"/>
      <c r="FO1124" s="554"/>
      <c r="FP1124" s="554"/>
      <c r="FQ1124" s="554"/>
      <c r="FR1124" s="554"/>
      <c r="FS1124" s="554"/>
      <c r="FT1124" s="554"/>
      <c r="FU1124" s="554"/>
      <c r="FV1124" s="554"/>
      <c r="FW1124" s="554"/>
      <c r="FX1124" s="554"/>
      <c r="FY1124" s="554"/>
      <c r="FZ1124" s="554"/>
      <c r="GA1124" s="554"/>
      <c r="GB1124" s="556"/>
      <c r="GC1124" s="370"/>
      <c r="GD1124" s="453"/>
      <c r="GE1124" s="453"/>
      <c r="GF1124" s="453"/>
      <c r="GG1124" s="453"/>
      <c r="GH1124" s="454"/>
      <c r="GI1124" s="453"/>
      <c r="GJ1124" s="453"/>
      <c r="GK1124" s="453"/>
      <c r="GL1124" s="453"/>
      <c r="GM1124" s="453"/>
      <c r="GN1124" s="453"/>
      <c r="GO1124" s="453"/>
      <c r="GP1124" s="453"/>
      <c r="GQ1124" s="453"/>
      <c r="GR1124" s="453"/>
      <c r="GS1124" s="561"/>
      <c r="GT1124" s="475"/>
      <c r="GU1124" s="472"/>
      <c r="GV1124" s="453"/>
      <c r="GW1124" s="453"/>
      <c r="GX1124" s="869"/>
      <c r="GY1124" s="870"/>
      <c r="GZ1124" s="867"/>
      <c r="HA1124" s="868"/>
      <c r="HB1124" s="473"/>
      <c r="HC1124" s="869"/>
      <c r="HD1124" s="870"/>
      <c r="HE1124" s="867"/>
      <c r="HF1124" s="868"/>
      <c r="HG1124" s="473"/>
      <c r="HH1124" s="867"/>
      <c r="HI1124" s="868"/>
      <c r="HJ1124" s="867"/>
      <c r="HK1124" s="868"/>
      <c r="HL1124" s="370"/>
      <c r="HM1124" s="865"/>
      <c r="HN1124" s="866"/>
      <c r="HO1124" s="865"/>
      <c r="HP1124" s="866"/>
      <c r="HQ1124" s="865"/>
      <c r="HR1124" s="866"/>
      <c r="HS1124" s="867"/>
      <c r="HT1124" s="868"/>
      <c r="HU1124" s="489"/>
      <c r="HV1124" s="865"/>
      <c r="HW1124" s="866"/>
    </row>
    <row r="1125" spans="25:231" ht="15" customHeight="1">
      <c r="Y1125" s="332"/>
      <c r="Z1125" s="332"/>
      <c r="AA1125" s="332"/>
      <c r="AB1125" s="332"/>
      <c r="AC1125" s="332"/>
      <c r="AD1125" s="332"/>
      <c r="AE1125" s="332"/>
      <c r="AF1125" s="332"/>
      <c r="AG1125" s="332"/>
      <c r="AH1125" s="332"/>
      <c r="AI1125" s="332"/>
      <c r="AJ1125" s="332"/>
      <c r="AK1125" s="332"/>
      <c r="AL1125" s="332"/>
      <c r="AM1125" s="332"/>
      <c r="AN1125" s="332"/>
      <c r="AO1125" s="332"/>
      <c r="AP1125" s="332"/>
      <c r="AQ1125" s="332"/>
      <c r="AR1125" s="332"/>
      <c r="AS1125" s="332"/>
      <c r="AT1125" s="332"/>
      <c r="AU1125" s="332"/>
      <c r="AV1125" s="332"/>
      <c r="AW1125" s="332"/>
      <c r="AX1125" s="332"/>
      <c r="AY1125" s="332"/>
      <c r="AZ1125" s="332"/>
      <c r="BA1125" s="332"/>
      <c r="BB1125" s="332"/>
      <c r="BC1125" s="332"/>
      <c r="BD1125" s="332"/>
      <c r="BE1125" s="332"/>
      <c r="BF1125" s="332"/>
      <c r="BG1125" s="332"/>
      <c r="BH1125" s="332"/>
      <c r="BI1125" s="332"/>
      <c r="BJ1125" s="332"/>
      <c r="BK1125" s="332"/>
      <c r="BL1125" s="332"/>
      <c r="BM1125" s="332"/>
      <c r="BN1125" s="332"/>
      <c r="BO1125" s="332"/>
      <c r="BP1125" s="332"/>
      <c r="BQ1125" s="332"/>
      <c r="BR1125" s="332"/>
      <c r="BS1125" s="332"/>
      <c r="BT1125" s="332"/>
      <c r="BU1125" s="332"/>
      <c r="BV1125" s="332"/>
      <c r="BW1125" s="332"/>
      <c r="BX1125" s="332"/>
      <c r="BY1125" s="332"/>
      <c r="BZ1125" s="332"/>
      <c r="CA1125" s="332"/>
      <c r="CB1125" s="332"/>
      <c r="CC1125" s="332"/>
      <c r="CD1125" s="332"/>
      <c r="CE1125" s="332"/>
      <c r="CF1125" s="332"/>
      <c r="CG1125" s="332"/>
      <c r="CH1125" s="332"/>
      <c r="CI1125" s="332"/>
      <c r="CJ1125" s="332"/>
      <c r="CK1125" s="332"/>
      <c r="CL1125" s="332"/>
      <c r="CM1125" s="332"/>
      <c r="CN1125" s="332"/>
      <c r="CO1125" s="332"/>
      <c r="CP1125" s="332"/>
      <c r="CQ1125" s="332"/>
      <c r="CR1125" s="332"/>
      <c r="CS1125" s="332"/>
      <c r="CT1125" s="332"/>
      <c r="CU1125" s="332"/>
      <c r="CV1125" s="332"/>
      <c r="CW1125" s="332"/>
      <c r="CX1125" s="332"/>
      <c r="CY1125" s="332"/>
      <c r="CZ1125" s="332"/>
      <c r="DA1125" s="332"/>
      <c r="DB1125" s="332"/>
      <c r="DC1125" s="332"/>
      <c r="DD1125" s="332"/>
      <c r="DE1125" s="332"/>
      <c r="DF1125" s="332"/>
      <c r="DG1125" s="332"/>
      <c r="DH1125" s="332"/>
      <c r="DI1125" s="332"/>
      <c r="DJ1125" s="332"/>
      <c r="DK1125" s="332"/>
      <c r="DL1125" s="332"/>
      <c r="DM1125" s="332"/>
      <c r="DN1125" s="332"/>
      <c r="DO1125" s="332"/>
      <c r="DP1125" s="332"/>
      <c r="DQ1125" s="332"/>
      <c r="DR1125" s="332"/>
      <c r="DS1125" s="332"/>
      <c r="DT1125" s="332"/>
      <c r="DU1125" s="453"/>
      <c r="DV1125" s="453"/>
      <c r="DW1125" s="453"/>
      <c r="DX1125" s="453"/>
      <c r="DY1125" s="453"/>
      <c r="DZ1125" s="453"/>
      <c r="EA1125" s="453"/>
      <c r="EB1125" s="453"/>
      <c r="EC1125" s="453"/>
      <c r="ED1125" s="453"/>
      <c r="EE1125" s="453"/>
      <c r="EF1125" s="453"/>
      <c r="EG1125" s="453"/>
      <c r="EH1125" s="453"/>
      <c r="EI1125" s="453"/>
      <c r="EJ1125" s="453"/>
      <c r="EK1125" s="453"/>
      <c r="EL1125" s="453"/>
      <c r="EM1125" s="483">
        <f t="shared" si="249"/>
        <v>816</v>
      </c>
      <c r="EN1125" s="485"/>
      <c r="EO1125" s="458"/>
      <c r="EP1125" s="467"/>
      <c r="EQ1125" s="457"/>
      <c r="ER1125" s="808"/>
      <c r="ES1125" s="881">
        <f t="shared" si="252"/>
        <v>0</v>
      </c>
      <c r="ET1125" s="882"/>
      <c r="EU1125" s="883"/>
      <c r="EV1125" s="884">
        <f t="shared" si="253"/>
        <v>0</v>
      </c>
      <c r="EW1125" s="885"/>
      <c r="EX1125" s="885"/>
      <c r="EY1125" s="885"/>
      <c r="EZ1125" s="885"/>
      <c r="FA1125" s="885"/>
      <c r="FB1125" s="885"/>
      <c r="FC1125" s="885"/>
      <c r="FD1125" s="886"/>
      <c r="FE1125" s="878"/>
      <c r="FF1125" s="878"/>
      <c r="FG1125" s="878"/>
      <c r="FH1125" s="878"/>
      <c r="FI1125" s="878"/>
      <c r="FJ1125" s="878"/>
      <c r="FK1125" s="878"/>
      <c r="FL1125" s="555"/>
      <c r="FM1125" s="554"/>
      <c r="FN1125" s="554"/>
      <c r="FO1125" s="554"/>
      <c r="FP1125" s="554"/>
      <c r="FQ1125" s="554"/>
      <c r="FR1125" s="554"/>
      <c r="FS1125" s="554"/>
      <c r="FT1125" s="554"/>
      <c r="FU1125" s="554"/>
      <c r="FV1125" s="554"/>
      <c r="FW1125" s="554"/>
      <c r="FX1125" s="554"/>
      <c r="FY1125" s="554"/>
      <c r="FZ1125" s="554"/>
      <c r="GA1125" s="554"/>
      <c r="GB1125" s="556"/>
      <c r="GC1125" s="370"/>
      <c r="GD1125" s="453"/>
      <c r="GE1125" s="453"/>
      <c r="GF1125" s="453"/>
      <c r="GG1125" s="453"/>
      <c r="GH1125" s="454"/>
      <c r="GI1125" s="453"/>
      <c r="GJ1125" s="453"/>
      <c r="GK1125" s="453"/>
      <c r="GL1125" s="453"/>
      <c r="GM1125" s="453"/>
      <c r="GN1125" s="453"/>
      <c r="GO1125" s="453"/>
      <c r="GP1125" s="453"/>
      <c r="GQ1125" s="453"/>
      <c r="GR1125" s="453"/>
      <c r="GS1125" s="561"/>
      <c r="GT1125" s="475"/>
      <c r="GU1125" s="472"/>
      <c r="GV1125" s="453"/>
      <c r="GW1125" s="453"/>
      <c r="GX1125" s="869"/>
      <c r="GY1125" s="870"/>
      <c r="GZ1125" s="867"/>
      <c r="HA1125" s="868"/>
      <c r="HB1125" s="473"/>
      <c r="HC1125" s="869"/>
      <c r="HD1125" s="870"/>
      <c r="HE1125" s="867"/>
      <c r="HF1125" s="868"/>
      <c r="HG1125" s="473"/>
      <c r="HH1125" s="867"/>
      <c r="HI1125" s="868"/>
      <c r="HJ1125" s="867"/>
      <c r="HK1125" s="868"/>
      <c r="HL1125" s="370"/>
      <c r="HM1125" s="865"/>
      <c r="HN1125" s="866"/>
      <c r="HO1125" s="865"/>
      <c r="HP1125" s="866"/>
      <c r="HQ1125" s="865"/>
      <c r="HR1125" s="866"/>
      <c r="HS1125" s="867"/>
      <c r="HT1125" s="868"/>
      <c r="HU1125" s="489"/>
      <c r="HV1125" s="865"/>
      <c r="HW1125" s="866"/>
    </row>
    <row r="1126" spans="25:231" ht="15" customHeight="1">
      <c r="Y1126" s="332"/>
      <c r="Z1126" s="332"/>
      <c r="AA1126" s="332"/>
      <c r="AB1126" s="332"/>
      <c r="AC1126" s="332"/>
      <c r="AD1126" s="332"/>
      <c r="AE1126" s="332"/>
      <c r="AF1126" s="332"/>
      <c r="AG1126" s="332"/>
      <c r="AH1126" s="332"/>
      <c r="AI1126" s="332"/>
      <c r="AJ1126" s="332"/>
      <c r="AK1126" s="332"/>
      <c r="AL1126" s="332"/>
      <c r="AM1126" s="332"/>
      <c r="AN1126" s="332"/>
      <c r="AO1126" s="332"/>
      <c r="AP1126" s="332"/>
      <c r="AQ1126" s="332"/>
      <c r="AR1126" s="332"/>
      <c r="AS1126" s="332"/>
      <c r="AT1126" s="332"/>
      <c r="AU1126" s="332"/>
      <c r="AV1126" s="332"/>
      <c r="AW1126" s="332"/>
      <c r="AX1126" s="332"/>
      <c r="AY1126" s="332"/>
      <c r="AZ1126" s="332"/>
      <c r="BA1126" s="332"/>
      <c r="BB1126" s="332"/>
      <c r="BC1126" s="332"/>
      <c r="BD1126" s="332"/>
      <c r="BE1126" s="332"/>
      <c r="BF1126" s="332"/>
      <c r="BG1126" s="332"/>
      <c r="BH1126" s="332"/>
      <c r="BI1126" s="332"/>
      <c r="BJ1126" s="332"/>
      <c r="BK1126" s="332"/>
      <c r="BL1126" s="332"/>
      <c r="BM1126" s="332"/>
      <c r="BN1126" s="332"/>
      <c r="BO1126" s="332"/>
      <c r="BP1126" s="332"/>
      <c r="BQ1126" s="332"/>
      <c r="BR1126" s="332"/>
      <c r="BS1126" s="332"/>
      <c r="BT1126" s="332"/>
      <c r="BU1126" s="332"/>
      <c r="BV1126" s="332"/>
      <c r="BW1126" s="332"/>
      <c r="BX1126" s="332"/>
      <c r="BY1126" s="332"/>
      <c r="BZ1126" s="332"/>
      <c r="CA1126" s="332"/>
      <c r="CB1126" s="332"/>
      <c r="CC1126" s="332"/>
      <c r="CD1126" s="332"/>
      <c r="CE1126" s="332"/>
      <c r="CF1126" s="332"/>
      <c r="CG1126" s="332"/>
      <c r="CH1126" s="332"/>
      <c r="CI1126" s="332"/>
      <c r="CJ1126" s="332"/>
      <c r="CK1126" s="332"/>
      <c r="CL1126" s="332"/>
      <c r="CM1126" s="332"/>
      <c r="CN1126" s="332"/>
      <c r="CO1126" s="332"/>
      <c r="CP1126" s="332"/>
      <c r="CQ1126" s="332"/>
      <c r="CR1126" s="332"/>
      <c r="CS1126" s="332"/>
      <c r="CT1126" s="332"/>
      <c r="CU1126" s="332"/>
      <c r="CV1126" s="332"/>
      <c r="CW1126" s="332"/>
      <c r="CX1126" s="332"/>
      <c r="CY1126" s="332"/>
      <c r="CZ1126" s="332"/>
      <c r="DA1126" s="332"/>
      <c r="DB1126" s="332"/>
      <c r="DC1126" s="332"/>
      <c r="DD1126" s="332"/>
      <c r="DE1126" s="332"/>
      <c r="DF1126" s="332"/>
      <c r="DG1126" s="332"/>
      <c r="DH1126" s="332"/>
      <c r="DI1126" s="332"/>
      <c r="DJ1126" s="332"/>
      <c r="DK1126" s="332"/>
      <c r="DL1126" s="332"/>
      <c r="DM1126" s="332"/>
      <c r="DN1126" s="332"/>
      <c r="DO1126" s="332"/>
      <c r="DP1126" s="332"/>
      <c r="DQ1126" s="332"/>
      <c r="DR1126" s="332"/>
      <c r="DS1126" s="332"/>
      <c r="DT1126" s="332"/>
      <c r="DU1126" s="453"/>
      <c r="DV1126" s="453"/>
      <c r="DW1126" s="453"/>
      <c r="DX1126" s="453"/>
      <c r="DY1126" s="453"/>
      <c r="DZ1126" s="453"/>
      <c r="EA1126" s="453"/>
      <c r="EB1126" s="453"/>
      <c r="EC1126" s="453"/>
      <c r="ED1126" s="453"/>
      <c r="EE1126" s="453"/>
      <c r="EF1126" s="453"/>
      <c r="EG1126" s="453"/>
      <c r="EH1126" s="453"/>
      <c r="EI1126" s="453"/>
      <c r="EJ1126" s="453"/>
      <c r="EK1126" s="453"/>
      <c r="EL1126" s="453"/>
      <c r="EM1126" s="483">
        <f t="shared" si="249"/>
        <v>817</v>
      </c>
      <c r="EN1126" s="485"/>
      <c r="EO1126" s="458"/>
      <c r="EP1126" s="467"/>
      <c r="EQ1126" s="457"/>
      <c r="ER1126" s="808"/>
      <c r="ES1126" s="881">
        <f t="shared" si="252"/>
        <v>0</v>
      </c>
      <c r="ET1126" s="882"/>
      <c r="EU1126" s="883"/>
      <c r="EV1126" s="884">
        <f t="shared" si="253"/>
        <v>0</v>
      </c>
      <c r="EW1126" s="885"/>
      <c r="EX1126" s="885"/>
      <c r="EY1126" s="885"/>
      <c r="EZ1126" s="885"/>
      <c r="FA1126" s="885"/>
      <c r="FB1126" s="885"/>
      <c r="FC1126" s="885"/>
      <c r="FD1126" s="886"/>
      <c r="FE1126" s="878"/>
      <c r="FF1126" s="878"/>
      <c r="FG1126" s="878"/>
      <c r="FH1126" s="878"/>
      <c r="FI1126" s="878"/>
      <c r="FJ1126" s="878"/>
      <c r="FK1126" s="878"/>
      <c r="FL1126" s="555"/>
      <c r="FM1126" s="554"/>
      <c r="FN1126" s="554"/>
      <c r="FO1126" s="554"/>
      <c r="FP1126" s="554"/>
      <c r="FQ1126" s="554"/>
      <c r="FR1126" s="554"/>
      <c r="FS1126" s="554"/>
      <c r="FT1126" s="554"/>
      <c r="FU1126" s="554"/>
      <c r="FV1126" s="554"/>
      <c r="FW1126" s="554"/>
      <c r="FX1126" s="554"/>
      <c r="FY1126" s="554"/>
      <c r="FZ1126" s="554"/>
      <c r="GA1126" s="554"/>
      <c r="GB1126" s="556"/>
      <c r="GC1126" s="370"/>
      <c r="GD1126" s="453"/>
      <c r="GE1126" s="453"/>
      <c r="GF1126" s="453"/>
      <c r="GG1126" s="453"/>
      <c r="GH1126" s="454"/>
      <c r="GI1126" s="453"/>
      <c r="GJ1126" s="453"/>
      <c r="GK1126" s="453"/>
      <c r="GL1126" s="453"/>
      <c r="GM1126" s="453"/>
      <c r="GN1126" s="453"/>
      <c r="GO1126" s="453"/>
      <c r="GP1126" s="453"/>
      <c r="GQ1126" s="453"/>
      <c r="GR1126" s="453"/>
      <c r="GS1126" s="561"/>
      <c r="GT1126" s="475"/>
      <c r="GU1126" s="472"/>
      <c r="GV1126" s="453"/>
      <c r="GW1126" s="453"/>
      <c r="GX1126" s="869"/>
      <c r="GY1126" s="870"/>
      <c r="GZ1126" s="867"/>
      <c r="HA1126" s="868"/>
      <c r="HB1126" s="473"/>
      <c r="HC1126" s="869"/>
      <c r="HD1126" s="870"/>
      <c r="HE1126" s="867"/>
      <c r="HF1126" s="868"/>
      <c r="HG1126" s="473"/>
      <c r="HH1126" s="867"/>
      <c r="HI1126" s="868"/>
      <c r="HJ1126" s="867"/>
      <c r="HK1126" s="868"/>
      <c r="HL1126" s="370"/>
      <c r="HM1126" s="865"/>
      <c r="HN1126" s="866"/>
      <c r="HO1126" s="865"/>
      <c r="HP1126" s="866"/>
      <c r="HQ1126" s="865"/>
      <c r="HR1126" s="866"/>
      <c r="HS1126" s="867"/>
      <c r="HT1126" s="868"/>
      <c r="HU1126" s="489"/>
      <c r="HV1126" s="865"/>
      <c r="HW1126" s="866"/>
    </row>
    <row r="1127" spans="25:231" ht="15" customHeight="1">
      <c r="Y1127" s="332"/>
      <c r="Z1127" s="332"/>
      <c r="AA1127" s="332"/>
      <c r="AB1127" s="332"/>
      <c r="AC1127" s="332"/>
      <c r="AD1127" s="332"/>
      <c r="AE1127" s="332"/>
      <c r="AF1127" s="332"/>
      <c r="AG1127" s="332"/>
      <c r="AH1127" s="332"/>
      <c r="AI1127" s="332"/>
      <c r="AJ1127" s="332"/>
      <c r="AK1127" s="332"/>
      <c r="AL1127" s="332"/>
      <c r="AM1127" s="332"/>
      <c r="AN1127" s="332"/>
      <c r="AO1127" s="332"/>
      <c r="AP1127" s="332"/>
      <c r="AQ1127" s="332"/>
      <c r="AR1127" s="332"/>
      <c r="AS1127" s="332"/>
      <c r="AT1127" s="332"/>
      <c r="AU1127" s="332"/>
      <c r="AV1127" s="332"/>
      <c r="AW1127" s="332"/>
      <c r="AX1127" s="332"/>
      <c r="AY1127" s="332"/>
      <c r="AZ1127" s="332"/>
      <c r="BA1127" s="332"/>
      <c r="BB1127" s="332"/>
      <c r="BC1127" s="332"/>
      <c r="BD1127" s="332"/>
      <c r="BE1127" s="332"/>
      <c r="BF1127" s="332"/>
      <c r="BG1127" s="332"/>
      <c r="BH1127" s="332"/>
      <c r="BI1127" s="332"/>
      <c r="BJ1127" s="332"/>
      <c r="BK1127" s="332"/>
      <c r="BL1127" s="332"/>
      <c r="BM1127" s="332"/>
      <c r="BN1127" s="332"/>
      <c r="BO1127" s="332"/>
      <c r="BP1127" s="332"/>
      <c r="BQ1127" s="332"/>
      <c r="BR1127" s="332"/>
      <c r="BS1127" s="332"/>
      <c r="BT1127" s="332"/>
      <c r="BU1127" s="332"/>
      <c r="BV1127" s="332"/>
      <c r="BW1127" s="332"/>
      <c r="BX1127" s="332"/>
      <c r="BY1127" s="332"/>
      <c r="BZ1127" s="332"/>
      <c r="CA1127" s="332"/>
      <c r="CB1127" s="332"/>
      <c r="CC1127" s="332"/>
      <c r="CD1127" s="332"/>
      <c r="CE1127" s="332"/>
      <c r="CF1127" s="332"/>
      <c r="CG1127" s="332"/>
      <c r="CH1127" s="332"/>
      <c r="CI1127" s="332"/>
      <c r="CJ1127" s="332"/>
      <c r="CK1127" s="332"/>
      <c r="CL1127" s="332"/>
      <c r="CM1127" s="332"/>
      <c r="CN1127" s="332"/>
      <c r="CO1127" s="332"/>
      <c r="CP1127" s="332"/>
      <c r="CQ1127" s="332"/>
      <c r="CR1127" s="332"/>
      <c r="CS1127" s="332"/>
      <c r="CT1127" s="332"/>
      <c r="CU1127" s="332"/>
      <c r="CV1127" s="332"/>
      <c r="CW1127" s="332"/>
      <c r="CX1127" s="332"/>
      <c r="CY1127" s="332"/>
      <c r="CZ1127" s="332"/>
      <c r="DA1127" s="332"/>
      <c r="DB1127" s="332"/>
      <c r="DC1127" s="332"/>
      <c r="DD1127" s="332"/>
      <c r="DE1127" s="332"/>
      <c r="DF1127" s="332"/>
      <c r="DG1127" s="332"/>
      <c r="DH1127" s="332"/>
      <c r="DI1127" s="332"/>
      <c r="DJ1127" s="332"/>
      <c r="DK1127" s="332"/>
      <c r="DL1127" s="332"/>
      <c r="DM1127" s="332"/>
      <c r="DN1127" s="332"/>
      <c r="DO1127" s="332"/>
      <c r="DP1127" s="332"/>
      <c r="DQ1127" s="332"/>
      <c r="DR1127" s="332"/>
      <c r="DS1127" s="332"/>
      <c r="DT1127" s="332"/>
      <c r="DU1127" s="453"/>
      <c r="DV1127" s="453"/>
      <c r="DW1127" s="453"/>
      <c r="DX1127" s="453"/>
      <c r="DY1127" s="453"/>
      <c r="DZ1127" s="453"/>
      <c r="EA1127" s="453"/>
      <c r="EB1127" s="453"/>
      <c r="EC1127" s="453"/>
      <c r="ED1127" s="453"/>
      <c r="EE1127" s="453"/>
      <c r="EF1127" s="453"/>
      <c r="EG1127" s="453"/>
      <c r="EH1127" s="453"/>
      <c r="EI1127" s="453"/>
      <c r="EJ1127" s="453"/>
      <c r="EK1127" s="453"/>
      <c r="EL1127" s="453"/>
      <c r="EM1127" s="483">
        <f t="shared" si="249"/>
        <v>818</v>
      </c>
      <c r="EN1127" s="485"/>
      <c r="EO1127" s="458"/>
      <c r="EP1127" s="467"/>
      <c r="EQ1127" s="457"/>
      <c r="ER1127" s="808"/>
      <c r="ES1127" s="881">
        <f t="shared" si="252"/>
        <v>0</v>
      </c>
      <c r="ET1127" s="882"/>
      <c r="EU1127" s="883"/>
      <c r="EV1127" s="884">
        <f t="shared" si="253"/>
        <v>0</v>
      </c>
      <c r="EW1127" s="885"/>
      <c r="EX1127" s="885"/>
      <c r="EY1127" s="885"/>
      <c r="EZ1127" s="885"/>
      <c r="FA1127" s="885"/>
      <c r="FB1127" s="885"/>
      <c r="FC1127" s="885"/>
      <c r="FD1127" s="886"/>
      <c r="FE1127" s="878"/>
      <c r="FF1127" s="878"/>
      <c r="FG1127" s="878"/>
      <c r="FH1127" s="878"/>
      <c r="FI1127" s="878"/>
      <c r="FJ1127" s="878"/>
      <c r="FK1127" s="878"/>
      <c r="FL1127" s="555"/>
      <c r="FM1127" s="554"/>
      <c r="FN1127" s="554"/>
      <c r="FO1127" s="554"/>
      <c r="FP1127" s="554"/>
      <c r="FQ1127" s="554"/>
      <c r="FR1127" s="554"/>
      <c r="FS1127" s="554"/>
      <c r="FT1127" s="554"/>
      <c r="FU1127" s="554"/>
      <c r="FV1127" s="554"/>
      <c r="FW1127" s="554"/>
      <c r="FX1127" s="554"/>
      <c r="FY1127" s="554"/>
      <c r="FZ1127" s="554"/>
      <c r="GA1127" s="554"/>
      <c r="GB1127" s="556"/>
      <c r="GC1127" s="370"/>
      <c r="GD1127" s="453"/>
      <c r="GE1127" s="453"/>
      <c r="GF1127" s="453"/>
      <c r="GG1127" s="453"/>
      <c r="GH1127" s="454"/>
      <c r="GI1127" s="453"/>
      <c r="GJ1127" s="453"/>
      <c r="GK1127" s="453"/>
      <c r="GL1127" s="453"/>
      <c r="GM1127" s="453"/>
      <c r="GN1127" s="453"/>
      <c r="GO1127" s="453"/>
      <c r="GP1127" s="453"/>
      <c r="GQ1127" s="453"/>
      <c r="GR1127" s="453"/>
      <c r="GS1127" s="561"/>
      <c r="GT1127" s="475"/>
      <c r="GU1127" s="472"/>
      <c r="GV1127" s="453"/>
      <c r="GW1127" s="453"/>
      <c r="GX1127" s="869"/>
      <c r="GY1127" s="870"/>
      <c r="GZ1127" s="867"/>
      <c r="HA1127" s="868"/>
      <c r="HB1127" s="473"/>
      <c r="HC1127" s="869"/>
      <c r="HD1127" s="870"/>
      <c r="HE1127" s="867"/>
      <c r="HF1127" s="868"/>
      <c r="HG1127" s="473"/>
      <c r="HH1127" s="867"/>
      <c r="HI1127" s="868"/>
      <c r="HJ1127" s="867"/>
      <c r="HK1127" s="868"/>
      <c r="HL1127" s="370"/>
      <c r="HM1127" s="865"/>
      <c r="HN1127" s="866"/>
      <c r="HO1127" s="865"/>
      <c r="HP1127" s="866"/>
      <c r="HQ1127" s="865"/>
      <c r="HR1127" s="866"/>
      <c r="HS1127" s="867"/>
      <c r="HT1127" s="868"/>
      <c r="HU1127" s="489"/>
      <c r="HV1127" s="865"/>
      <c r="HW1127" s="866"/>
    </row>
    <row r="1128" spans="25:231" ht="15" customHeight="1">
      <c r="Y1128" s="332"/>
      <c r="Z1128" s="332"/>
      <c r="AA1128" s="332"/>
      <c r="AB1128" s="332"/>
      <c r="AC1128" s="332"/>
      <c r="AD1128" s="332"/>
      <c r="AE1128" s="332"/>
      <c r="AF1128" s="332"/>
      <c r="AG1128" s="332"/>
      <c r="AH1128" s="332"/>
      <c r="AI1128" s="332"/>
      <c r="AJ1128" s="332"/>
      <c r="AK1128" s="332"/>
      <c r="AL1128" s="332"/>
      <c r="AM1128" s="332"/>
      <c r="AN1128" s="332"/>
      <c r="AO1128" s="332"/>
      <c r="AP1128" s="332"/>
      <c r="AQ1128" s="332"/>
      <c r="AR1128" s="332"/>
      <c r="AS1128" s="332"/>
      <c r="AT1128" s="332"/>
      <c r="AU1128" s="332"/>
      <c r="AV1128" s="332"/>
      <c r="AW1128" s="332"/>
      <c r="AX1128" s="332"/>
      <c r="AY1128" s="332"/>
      <c r="AZ1128" s="332"/>
      <c r="BA1128" s="332"/>
      <c r="BB1128" s="332"/>
      <c r="BC1128" s="332"/>
      <c r="BD1128" s="332"/>
      <c r="BE1128" s="332"/>
      <c r="BF1128" s="332"/>
      <c r="BG1128" s="332"/>
      <c r="BH1128" s="332"/>
      <c r="BI1128" s="332"/>
      <c r="BJ1128" s="332"/>
      <c r="BK1128" s="332"/>
      <c r="BL1128" s="332"/>
      <c r="BM1128" s="332"/>
      <c r="BN1128" s="332"/>
      <c r="BO1128" s="332"/>
      <c r="BP1128" s="332"/>
      <c r="BQ1128" s="332"/>
      <c r="BR1128" s="332"/>
      <c r="BS1128" s="332"/>
      <c r="BT1128" s="332"/>
      <c r="BU1128" s="332"/>
      <c r="BV1128" s="332"/>
      <c r="BW1128" s="332"/>
      <c r="BX1128" s="332"/>
      <c r="BY1128" s="332"/>
      <c r="BZ1128" s="332"/>
      <c r="CA1128" s="332"/>
      <c r="CB1128" s="332"/>
      <c r="CC1128" s="332"/>
      <c r="CD1128" s="332"/>
      <c r="CE1128" s="332"/>
      <c r="CF1128" s="332"/>
      <c r="CG1128" s="332"/>
      <c r="CH1128" s="332"/>
      <c r="CI1128" s="332"/>
      <c r="CJ1128" s="332"/>
      <c r="CK1128" s="332"/>
      <c r="CL1128" s="332"/>
      <c r="CM1128" s="332"/>
      <c r="CN1128" s="332"/>
      <c r="CO1128" s="332"/>
      <c r="CP1128" s="332"/>
      <c r="CQ1128" s="332"/>
      <c r="CR1128" s="332"/>
      <c r="CS1128" s="332"/>
      <c r="CT1128" s="332"/>
      <c r="CU1128" s="332"/>
      <c r="CV1128" s="332"/>
      <c r="CW1128" s="332"/>
      <c r="CX1128" s="332"/>
      <c r="CY1128" s="332"/>
      <c r="CZ1128" s="332"/>
      <c r="DA1128" s="332"/>
      <c r="DB1128" s="332"/>
      <c r="DC1128" s="332"/>
      <c r="DD1128" s="332"/>
      <c r="DE1128" s="332"/>
      <c r="DF1128" s="332"/>
      <c r="DG1128" s="332"/>
      <c r="DH1128" s="332"/>
      <c r="DI1128" s="332"/>
      <c r="DJ1128" s="332"/>
      <c r="DK1128" s="332"/>
      <c r="DL1128" s="332"/>
      <c r="DM1128" s="332"/>
      <c r="DN1128" s="332"/>
      <c r="DO1128" s="332"/>
      <c r="DP1128" s="332"/>
      <c r="DQ1128" s="332"/>
      <c r="DR1128" s="332"/>
      <c r="DS1128" s="332"/>
      <c r="DT1128" s="332"/>
      <c r="DU1128" s="453"/>
      <c r="DV1128" s="453"/>
      <c r="DW1128" s="453"/>
      <c r="DX1128" s="453"/>
      <c r="DY1128" s="453"/>
      <c r="DZ1128" s="453"/>
      <c r="EA1128" s="453"/>
      <c r="EB1128" s="453"/>
      <c r="EC1128" s="453"/>
      <c r="ED1128" s="453"/>
      <c r="EE1128" s="453"/>
      <c r="EF1128" s="453"/>
      <c r="EG1128" s="453"/>
      <c r="EH1128" s="453"/>
      <c r="EI1128" s="453"/>
      <c r="EJ1128" s="453"/>
      <c r="EK1128" s="453"/>
      <c r="EL1128" s="453"/>
      <c r="EM1128" s="483">
        <f t="shared" si="249"/>
        <v>819</v>
      </c>
      <c r="EN1128" s="485"/>
      <c r="EO1128" s="458"/>
      <c r="EP1128" s="467"/>
      <c r="EQ1128" s="457"/>
      <c r="ER1128" s="808"/>
      <c r="ES1128" s="881">
        <f t="shared" si="252"/>
        <v>0</v>
      </c>
      <c r="ET1128" s="882"/>
      <c r="EU1128" s="883"/>
      <c r="EV1128" s="884">
        <f t="shared" si="253"/>
        <v>0</v>
      </c>
      <c r="EW1128" s="885"/>
      <c r="EX1128" s="885"/>
      <c r="EY1128" s="885"/>
      <c r="EZ1128" s="885"/>
      <c r="FA1128" s="885"/>
      <c r="FB1128" s="885"/>
      <c r="FC1128" s="885"/>
      <c r="FD1128" s="886"/>
      <c r="FE1128" s="878"/>
      <c r="FF1128" s="878"/>
      <c r="FG1128" s="878"/>
      <c r="FH1128" s="878"/>
      <c r="FI1128" s="878"/>
      <c r="FJ1128" s="878"/>
      <c r="FK1128" s="878"/>
      <c r="FL1128" s="555"/>
      <c r="FM1128" s="554"/>
      <c r="FN1128" s="554"/>
      <c r="FO1128" s="554"/>
      <c r="FP1128" s="554"/>
      <c r="FQ1128" s="554"/>
      <c r="FR1128" s="554"/>
      <c r="FS1128" s="554"/>
      <c r="FT1128" s="554"/>
      <c r="FU1128" s="554"/>
      <c r="FV1128" s="554"/>
      <c r="FW1128" s="554"/>
      <c r="FX1128" s="554"/>
      <c r="FY1128" s="554"/>
      <c r="FZ1128" s="554"/>
      <c r="GA1128" s="554"/>
      <c r="GB1128" s="556"/>
      <c r="GC1128" s="370"/>
      <c r="GD1128" s="453"/>
      <c r="GE1128" s="453"/>
      <c r="GF1128" s="453"/>
      <c r="GG1128" s="453"/>
      <c r="GH1128" s="454"/>
      <c r="GI1128" s="453"/>
      <c r="GJ1128" s="453"/>
      <c r="GK1128" s="453"/>
      <c r="GL1128" s="453"/>
      <c r="GM1128" s="453"/>
      <c r="GN1128" s="453"/>
      <c r="GO1128" s="453"/>
      <c r="GP1128" s="453"/>
      <c r="GQ1128" s="453"/>
      <c r="GR1128" s="453"/>
      <c r="GS1128" s="561"/>
      <c r="GT1128" s="475"/>
      <c r="GU1128" s="472"/>
      <c r="GV1128" s="453"/>
      <c r="GW1128" s="453"/>
      <c r="GX1128" s="869"/>
      <c r="GY1128" s="870"/>
      <c r="GZ1128" s="867"/>
      <c r="HA1128" s="868"/>
      <c r="HB1128" s="473"/>
      <c r="HC1128" s="869"/>
      <c r="HD1128" s="870"/>
      <c r="HE1128" s="867"/>
      <c r="HF1128" s="868"/>
      <c r="HG1128" s="473"/>
      <c r="HH1128" s="867"/>
      <c r="HI1128" s="868"/>
      <c r="HJ1128" s="867"/>
      <c r="HK1128" s="868"/>
      <c r="HL1128" s="370"/>
      <c r="HM1128" s="865"/>
      <c r="HN1128" s="866"/>
      <c r="HO1128" s="865"/>
      <c r="HP1128" s="866"/>
      <c r="HQ1128" s="865"/>
      <c r="HR1128" s="866"/>
      <c r="HS1128" s="867"/>
      <c r="HT1128" s="868"/>
      <c r="HU1128" s="489"/>
      <c r="HV1128" s="865"/>
      <c r="HW1128" s="866"/>
    </row>
    <row r="1129" spans="25:231" ht="15" customHeight="1">
      <c r="Y1129" s="332"/>
      <c r="Z1129" s="332"/>
      <c r="AA1129" s="332"/>
      <c r="AB1129" s="332"/>
      <c r="AC1129" s="332"/>
      <c r="AD1129" s="332"/>
      <c r="AE1129" s="332"/>
      <c r="AF1129" s="332"/>
      <c r="AG1129" s="332"/>
      <c r="AH1129" s="332"/>
      <c r="AI1129" s="332"/>
      <c r="AJ1129" s="332"/>
      <c r="AK1129" s="332"/>
      <c r="AL1129" s="332"/>
      <c r="AM1129" s="332"/>
      <c r="AN1129" s="332"/>
      <c r="AO1129" s="332"/>
      <c r="AP1129" s="332"/>
      <c r="AQ1129" s="332"/>
      <c r="AR1129" s="332"/>
      <c r="AS1129" s="332"/>
      <c r="AT1129" s="332"/>
      <c r="AU1129" s="332"/>
      <c r="AV1129" s="332"/>
      <c r="AW1129" s="332"/>
      <c r="AX1129" s="332"/>
      <c r="AY1129" s="332"/>
      <c r="AZ1129" s="332"/>
      <c r="BA1129" s="332"/>
      <c r="BB1129" s="332"/>
      <c r="BC1129" s="332"/>
      <c r="BD1129" s="332"/>
      <c r="BE1129" s="332"/>
      <c r="BF1129" s="332"/>
      <c r="BG1129" s="332"/>
      <c r="BH1129" s="332"/>
      <c r="BI1129" s="332"/>
      <c r="BJ1129" s="332"/>
      <c r="BK1129" s="332"/>
      <c r="BL1129" s="332"/>
      <c r="BM1129" s="332"/>
      <c r="BN1129" s="332"/>
      <c r="BO1129" s="332"/>
      <c r="BP1129" s="332"/>
      <c r="BQ1129" s="332"/>
      <c r="BR1129" s="332"/>
      <c r="BS1129" s="332"/>
      <c r="BT1129" s="332"/>
      <c r="BU1129" s="332"/>
      <c r="BV1129" s="332"/>
      <c r="BW1129" s="332"/>
      <c r="BX1129" s="332"/>
      <c r="BY1129" s="332"/>
      <c r="BZ1129" s="332"/>
      <c r="CA1129" s="332"/>
      <c r="CB1129" s="332"/>
      <c r="CC1129" s="332"/>
      <c r="CD1129" s="332"/>
      <c r="CE1129" s="332"/>
      <c r="CF1129" s="332"/>
      <c r="CG1129" s="332"/>
      <c r="CH1129" s="332"/>
      <c r="CI1129" s="332"/>
      <c r="CJ1129" s="332"/>
      <c r="CK1129" s="332"/>
      <c r="CL1129" s="332"/>
      <c r="CM1129" s="332"/>
      <c r="CN1129" s="332"/>
      <c r="CO1129" s="332"/>
      <c r="CP1129" s="332"/>
      <c r="CQ1129" s="332"/>
      <c r="CR1129" s="332"/>
      <c r="CS1129" s="332"/>
      <c r="CT1129" s="332"/>
      <c r="CU1129" s="332"/>
      <c r="CV1129" s="332"/>
      <c r="CW1129" s="332"/>
      <c r="CX1129" s="332"/>
      <c r="CY1129" s="332"/>
      <c r="CZ1129" s="332"/>
      <c r="DA1129" s="332"/>
      <c r="DB1129" s="332"/>
      <c r="DC1129" s="332"/>
      <c r="DD1129" s="332"/>
      <c r="DE1129" s="332"/>
      <c r="DF1129" s="332"/>
      <c r="DG1129" s="332"/>
      <c r="DH1129" s="332"/>
      <c r="DI1129" s="332"/>
      <c r="DJ1129" s="332"/>
      <c r="DK1129" s="332"/>
      <c r="DL1129" s="332"/>
      <c r="DM1129" s="332"/>
      <c r="DN1129" s="332"/>
      <c r="DO1129" s="332"/>
      <c r="DP1129" s="332"/>
      <c r="DQ1129" s="332"/>
      <c r="DR1129" s="332"/>
      <c r="DS1129" s="332"/>
      <c r="DT1129" s="332"/>
      <c r="DU1129" s="453"/>
      <c r="DV1129" s="453"/>
      <c r="DW1129" s="453"/>
      <c r="DX1129" s="453"/>
      <c r="DY1129" s="453"/>
      <c r="DZ1129" s="453"/>
      <c r="EA1129" s="453"/>
      <c r="EB1129" s="453"/>
      <c r="EC1129" s="453"/>
      <c r="ED1129" s="453"/>
      <c r="EE1129" s="453"/>
      <c r="EF1129" s="453"/>
      <c r="EG1129" s="453"/>
      <c r="EH1129" s="453"/>
      <c r="EI1129" s="453"/>
      <c r="EJ1129" s="453"/>
      <c r="EK1129" s="453"/>
      <c r="EL1129" s="453"/>
      <c r="EM1129" s="483">
        <f t="shared" si="249"/>
        <v>820</v>
      </c>
      <c r="EN1129" s="485"/>
      <c r="EO1129" s="458"/>
      <c r="EP1129" s="467"/>
      <c r="EQ1129" s="457"/>
      <c r="ER1129" s="808"/>
      <c r="ES1129" s="881">
        <f t="shared" si="252"/>
        <v>0</v>
      </c>
      <c r="ET1129" s="882"/>
      <c r="EU1129" s="883"/>
      <c r="EV1129" s="884">
        <f t="shared" si="253"/>
        <v>0</v>
      </c>
      <c r="EW1129" s="885"/>
      <c r="EX1129" s="885"/>
      <c r="EY1129" s="885"/>
      <c r="EZ1129" s="885"/>
      <c r="FA1129" s="885"/>
      <c r="FB1129" s="885"/>
      <c r="FC1129" s="885"/>
      <c r="FD1129" s="886"/>
      <c r="FE1129" s="878"/>
      <c r="FF1129" s="878"/>
      <c r="FG1129" s="878"/>
      <c r="FH1129" s="878"/>
      <c r="FI1129" s="878"/>
      <c r="FJ1129" s="878"/>
      <c r="FK1129" s="878"/>
      <c r="FL1129" s="555"/>
      <c r="FM1129" s="554"/>
      <c r="FN1129" s="554"/>
      <c r="FO1129" s="554"/>
      <c r="FP1129" s="554"/>
      <c r="FQ1129" s="554"/>
      <c r="FR1129" s="554"/>
      <c r="FS1129" s="554"/>
      <c r="FT1129" s="554"/>
      <c r="FU1129" s="554"/>
      <c r="FV1129" s="554"/>
      <c r="FW1129" s="554"/>
      <c r="FX1129" s="554"/>
      <c r="FY1129" s="554"/>
      <c r="FZ1129" s="554"/>
      <c r="GA1129" s="554"/>
      <c r="GB1129" s="556"/>
      <c r="GC1129" s="370"/>
      <c r="GD1129" s="453"/>
      <c r="GE1129" s="453"/>
      <c r="GF1129" s="453"/>
      <c r="GG1129" s="453"/>
      <c r="GH1129" s="454"/>
      <c r="GI1129" s="453"/>
      <c r="GJ1129" s="453"/>
      <c r="GK1129" s="453"/>
      <c r="GL1129" s="453"/>
      <c r="GM1129" s="453"/>
      <c r="GN1129" s="453"/>
      <c r="GO1129" s="453"/>
      <c r="GP1129" s="453"/>
      <c r="GQ1129" s="453"/>
      <c r="GR1129" s="453"/>
      <c r="GS1129" s="561"/>
      <c r="GT1129" s="475"/>
      <c r="GU1129" s="472"/>
      <c r="GV1129" s="453"/>
      <c r="GW1129" s="453"/>
      <c r="GX1129" s="869"/>
      <c r="GY1129" s="870"/>
      <c r="GZ1129" s="867"/>
      <c r="HA1129" s="868"/>
      <c r="HB1129" s="473"/>
      <c r="HC1129" s="869"/>
      <c r="HD1129" s="870"/>
      <c r="HE1129" s="867"/>
      <c r="HF1129" s="868"/>
      <c r="HG1129" s="473"/>
      <c r="HH1129" s="867"/>
      <c r="HI1129" s="868"/>
      <c r="HJ1129" s="867"/>
      <c r="HK1129" s="868"/>
      <c r="HL1129" s="370"/>
      <c r="HM1129" s="865"/>
      <c r="HN1129" s="866"/>
      <c r="HO1129" s="865"/>
      <c r="HP1129" s="866"/>
      <c r="HQ1129" s="865"/>
      <c r="HR1129" s="866"/>
      <c r="HS1129" s="867"/>
      <c r="HT1129" s="868"/>
      <c r="HU1129" s="489"/>
      <c r="HV1129" s="865"/>
      <c r="HW1129" s="866"/>
    </row>
    <row r="1130" spans="25:231" ht="15" customHeight="1">
      <c r="Y1130" s="332"/>
      <c r="Z1130" s="332"/>
      <c r="AA1130" s="332"/>
      <c r="AB1130" s="332"/>
      <c r="AC1130" s="332"/>
      <c r="AD1130" s="332"/>
      <c r="AE1130" s="332"/>
      <c r="AF1130" s="332"/>
      <c r="AG1130" s="332"/>
      <c r="AH1130" s="332"/>
      <c r="AI1130" s="332"/>
      <c r="AJ1130" s="332"/>
      <c r="AK1130" s="332"/>
      <c r="AL1130" s="332"/>
      <c r="AM1130" s="332"/>
      <c r="AN1130" s="332"/>
      <c r="AO1130" s="332"/>
      <c r="AP1130" s="332"/>
      <c r="AQ1130" s="332"/>
      <c r="AR1130" s="332"/>
      <c r="AS1130" s="332"/>
      <c r="AT1130" s="332"/>
      <c r="AU1130" s="332"/>
      <c r="AV1130" s="332"/>
      <c r="AW1130" s="332"/>
      <c r="AX1130" s="332"/>
      <c r="AY1130" s="332"/>
      <c r="AZ1130" s="332"/>
      <c r="BA1130" s="332"/>
      <c r="BB1130" s="332"/>
      <c r="BC1130" s="332"/>
      <c r="BD1130" s="332"/>
      <c r="BE1130" s="332"/>
      <c r="BF1130" s="332"/>
      <c r="BG1130" s="332"/>
      <c r="BH1130" s="332"/>
      <c r="BI1130" s="332"/>
      <c r="BJ1130" s="332"/>
      <c r="BK1130" s="332"/>
      <c r="BL1130" s="332"/>
      <c r="BM1130" s="332"/>
      <c r="BN1130" s="332"/>
      <c r="BO1130" s="332"/>
      <c r="BP1130" s="332"/>
      <c r="BQ1130" s="332"/>
      <c r="BR1130" s="332"/>
      <c r="BS1130" s="332"/>
      <c r="BT1130" s="332"/>
      <c r="BU1130" s="332"/>
      <c r="BV1130" s="332"/>
      <c r="BW1130" s="332"/>
      <c r="BX1130" s="332"/>
      <c r="BY1130" s="332"/>
      <c r="BZ1130" s="332"/>
      <c r="CA1130" s="332"/>
      <c r="CB1130" s="332"/>
      <c r="CC1130" s="332"/>
      <c r="CD1130" s="332"/>
      <c r="CE1130" s="332"/>
      <c r="CF1130" s="332"/>
      <c r="CG1130" s="332"/>
      <c r="CH1130" s="332"/>
      <c r="CI1130" s="332"/>
      <c r="CJ1130" s="332"/>
      <c r="CK1130" s="332"/>
      <c r="CL1130" s="332"/>
      <c r="CM1130" s="332"/>
      <c r="CN1130" s="332"/>
      <c r="CO1130" s="332"/>
      <c r="CP1130" s="332"/>
      <c r="CQ1130" s="332"/>
      <c r="CR1130" s="332"/>
      <c r="CS1130" s="332"/>
      <c r="CT1130" s="332"/>
      <c r="CU1130" s="332"/>
      <c r="CV1130" s="332"/>
      <c r="CW1130" s="332"/>
      <c r="CX1130" s="332"/>
      <c r="CY1130" s="332"/>
      <c r="CZ1130" s="332"/>
      <c r="DA1130" s="332"/>
      <c r="DB1130" s="332"/>
      <c r="DC1130" s="332"/>
      <c r="DD1130" s="332"/>
      <c r="DE1130" s="332"/>
      <c r="DF1130" s="332"/>
      <c r="DG1130" s="332"/>
      <c r="DH1130" s="332"/>
      <c r="DI1130" s="332"/>
      <c r="DJ1130" s="332"/>
      <c r="DK1130" s="332"/>
      <c r="DL1130" s="332"/>
      <c r="DM1130" s="332"/>
      <c r="DN1130" s="332"/>
      <c r="DO1130" s="332"/>
      <c r="DP1130" s="332"/>
      <c r="DQ1130" s="332"/>
      <c r="DR1130" s="332"/>
      <c r="DS1130" s="332"/>
      <c r="DT1130" s="332"/>
      <c r="DU1130" s="453"/>
      <c r="DV1130" s="453"/>
      <c r="DW1130" s="453"/>
      <c r="DX1130" s="453"/>
      <c r="DY1130" s="453"/>
      <c r="DZ1130" s="453"/>
      <c r="EA1130" s="453"/>
      <c r="EB1130" s="453"/>
      <c r="EC1130" s="453"/>
      <c r="ED1130" s="453"/>
      <c r="EE1130" s="453"/>
      <c r="EF1130" s="453"/>
      <c r="EG1130" s="453"/>
      <c r="EH1130" s="453"/>
      <c r="EI1130" s="453"/>
      <c r="EJ1130" s="453"/>
      <c r="EK1130" s="453"/>
      <c r="EL1130" s="453"/>
      <c r="EM1130" s="483">
        <f t="shared" si="249"/>
        <v>821</v>
      </c>
      <c r="EN1130" s="485"/>
      <c r="EO1130" s="458"/>
      <c r="EP1130" s="467"/>
      <c r="EQ1130" s="457"/>
      <c r="ER1130" s="808"/>
      <c r="ES1130" s="881">
        <f t="shared" si="252"/>
        <v>0</v>
      </c>
      <c r="ET1130" s="882"/>
      <c r="EU1130" s="883"/>
      <c r="EV1130" s="884">
        <f t="shared" si="253"/>
        <v>0</v>
      </c>
      <c r="EW1130" s="885"/>
      <c r="EX1130" s="885"/>
      <c r="EY1130" s="885"/>
      <c r="EZ1130" s="885"/>
      <c r="FA1130" s="885"/>
      <c r="FB1130" s="885"/>
      <c r="FC1130" s="885"/>
      <c r="FD1130" s="886"/>
      <c r="FE1130" s="878"/>
      <c r="FF1130" s="878"/>
      <c r="FG1130" s="878"/>
      <c r="FH1130" s="878"/>
      <c r="FI1130" s="878"/>
      <c r="FJ1130" s="878"/>
      <c r="FK1130" s="878"/>
      <c r="FL1130" s="555"/>
      <c r="FM1130" s="554"/>
      <c r="FN1130" s="554"/>
      <c r="FO1130" s="554"/>
      <c r="FP1130" s="554"/>
      <c r="FQ1130" s="554"/>
      <c r="FR1130" s="554"/>
      <c r="FS1130" s="554"/>
      <c r="FT1130" s="554"/>
      <c r="FU1130" s="554"/>
      <c r="FV1130" s="554"/>
      <c r="FW1130" s="554"/>
      <c r="FX1130" s="554"/>
      <c r="FY1130" s="554"/>
      <c r="FZ1130" s="554"/>
      <c r="GA1130" s="554"/>
      <c r="GB1130" s="556"/>
      <c r="GC1130" s="370"/>
      <c r="GD1130" s="453"/>
      <c r="GE1130" s="453"/>
      <c r="GF1130" s="453"/>
      <c r="GG1130" s="453"/>
      <c r="GH1130" s="454"/>
      <c r="GI1130" s="453"/>
      <c r="GJ1130" s="453"/>
      <c r="GK1130" s="453"/>
      <c r="GL1130" s="453"/>
      <c r="GM1130" s="453"/>
      <c r="GN1130" s="453"/>
      <c r="GO1130" s="453"/>
      <c r="GP1130" s="453"/>
      <c r="GQ1130" s="453"/>
      <c r="GR1130" s="453"/>
      <c r="GS1130" s="561"/>
      <c r="GT1130" s="475"/>
      <c r="GU1130" s="472"/>
      <c r="GV1130" s="453"/>
      <c r="GW1130" s="453"/>
      <c r="GX1130" s="869"/>
      <c r="GY1130" s="870"/>
      <c r="GZ1130" s="867"/>
      <c r="HA1130" s="868"/>
      <c r="HB1130" s="473"/>
      <c r="HC1130" s="869"/>
      <c r="HD1130" s="870"/>
      <c r="HE1130" s="867"/>
      <c r="HF1130" s="868"/>
      <c r="HG1130" s="473"/>
      <c r="HH1130" s="867"/>
      <c r="HI1130" s="868"/>
      <c r="HJ1130" s="867"/>
      <c r="HK1130" s="868"/>
      <c r="HL1130" s="370"/>
      <c r="HM1130" s="865"/>
      <c r="HN1130" s="866"/>
      <c r="HO1130" s="865"/>
      <c r="HP1130" s="866"/>
      <c r="HQ1130" s="865"/>
      <c r="HR1130" s="866"/>
      <c r="HS1130" s="867"/>
      <c r="HT1130" s="868"/>
      <c r="HU1130" s="489"/>
      <c r="HV1130" s="865"/>
      <c r="HW1130" s="866"/>
    </row>
    <row r="1131" spans="25:231" ht="15" customHeight="1">
      <c r="Y1131" s="332"/>
      <c r="Z1131" s="332"/>
      <c r="AA1131" s="332"/>
      <c r="AB1131" s="332"/>
      <c r="AC1131" s="332"/>
      <c r="AD1131" s="332"/>
      <c r="AE1131" s="332"/>
      <c r="AF1131" s="332"/>
      <c r="AG1131" s="332"/>
      <c r="AH1131" s="332"/>
      <c r="AI1131" s="332"/>
      <c r="AJ1131" s="332"/>
      <c r="AK1131" s="332"/>
      <c r="AL1131" s="332"/>
      <c r="AM1131" s="332"/>
      <c r="AN1131" s="332"/>
      <c r="AO1131" s="332"/>
      <c r="AP1131" s="332"/>
      <c r="AQ1131" s="332"/>
      <c r="AR1131" s="332"/>
      <c r="AS1131" s="332"/>
      <c r="AT1131" s="332"/>
      <c r="AU1131" s="332"/>
      <c r="AV1131" s="332"/>
      <c r="AW1131" s="332"/>
      <c r="AX1131" s="332"/>
      <c r="AY1131" s="332"/>
      <c r="AZ1131" s="332"/>
      <c r="BA1131" s="332"/>
      <c r="BB1131" s="332"/>
      <c r="BC1131" s="332"/>
      <c r="BD1131" s="332"/>
      <c r="BE1131" s="332"/>
      <c r="BF1131" s="332"/>
      <c r="BG1131" s="332"/>
      <c r="BH1131" s="332"/>
      <c r="BI1131" s="332"/>
      <c r="BJ1131" s="332"/>
      <c r="BK1131" s="332"/>
      <c r="BL1131" s="332"/>
      <c r="BM1131" s="332"/>
      <c r="BN1131" s="332"/>
      <c r="BO1131" s="332"/>
      <c r="BP1131" s="332"/>
      <c r="BQ1131" s="332"/>
      <c r="BR1131" s="332"/>
      <c r="BS1131" s="332"/>
      <c r="BT1131" s="332"/>
      <c r="BU1131" s="332"/>
      <c r="BV1131" s="332"/>
      <c r="BW1131" s="332"/>
      <c r="BX1131" s="332"/>
      <c r="BY1131" s="332"/>
      <c r="BZ1131" s="332"/>
      <c r="CA1131" s="332"/>
      <c r="CB1131" s="332"/>
      <c r="CC1131" s="332"/>
      <c r="CD1131" s="332"/>
      <c r="CE1131" s="332"/>
      <c r="CF1131" s="332"/>
      <c r="CG1131" s="332"/>
      <c r="CH1131" s="332"/>
      <c r="CI1131" s="332"/>
      <c r="CJ1131" s="332"/>
      <c r="CK1131" s="332"/>
      <c r="CL1131" s="332"/>
      <c r="CM1131" s="332"/>
      <c r="CN1131" s="332"/>
      <c r="CO1131" s="332"/>
      <c r="CP1131" s="332"/>
      <c r="CQ1131" s="332"/>
      <c r="CR1131" s="332"/>
      <c r="CS1131" s="332"/>
      <c r="CT1131" s="332"/>
      <c r="CU1131" s="332"/>
      <c r="CV1131" s="332"/>
      <c r="CW1131" s="332"/>
      <c r="CX1131" s="332"/>
      <c r="CY1131" s="332"/>
      <c r="CZ1131" s="332"/>
      <c r="DA1131" s="332"/>
      <c r="DB1131" s="332"/>
      <c r="DC1131" s="332"/>
      <c r="DD1131" s="332"/>
      <c r="DE1131" s="332"/>
      <c r="DF1131" s="332"/>
      <c r="DG1131" s="332"/>
      <c r="DH1131" s="332"/>
      <c r="DI1131" s="332"/>
      <c r="DJ1131" s="332"/>
      <c r="DK1131" s="332"/>
      <c r="DL1131" s="332"/>
      <c r="DM1131" s="332"/>
      <c r="DN1131" s="332"/>
      <c r="DO1131" s="332"/>
      <c r="DP1131" s="332"/>
      <c r="DQ1131" s="332"/>
      <c r="DR1131" s="332"/>
      <c r="DS1131" s="332"/>
      <c r="DT1131" s="332"/>
      <c r="DU1131" s="453"/>
      <c r="DV1131" s="453"/>
      <c r="DW1131" s="453"/>
      <c r="DX1131" s="453"/>
      <c r="DY1131" s="453"/>
      <c r="DZ1131" s="453"/>
      <c r="EA1131" s="453"/>
      <c r="EB1131" s="453"/>
      <c r="EC1131" s="453"/>
      <c r="ED1131" s="453"/>
      <c r="EE1131" s="453"/>
      <c r="EF1131" s="453"/>
      <c r="EG1131" s="453"/>
      <c r="EH1131" s="453"/>
      <c r="EI1131" s="453"/>
      <c r="EJ1131" s="453"/>
      <c r="EK1131" s="453"/>
      <c r="EL1131" s="453"/>
      <c r="EM1131" s="483">
        <f t="shared" si="249"/>
        <v>822</v>
      </c>
      <c r="EN1131" s="485"/>
      <c r="EO1131" s="458"/>
      <c r="EP1131" s="467"/>
      <c r="EQ1131" s="457"/>
      <c r="ER1131" s="808"/>
      <c r="ES1131" s="881">
        <f t="shared" si="252"/>
        <v>0</v>
      </c>
      <c r="ET1131" s="882"/>
      <c r="EU1131" s="883"/>
      <c r="EV1131" s="884">
        <f t="shared" si="253"/>
        <v>0</v>
      </c>
      <c r="EW1131" s="885"/>
      <c r="EX1131" s="885"/>
      <c r="EY1131" s="885"/>
      <c r="EZ1131" s="885"/>
      <c r="FA1131" s="885"/>
      <c r="FB1131" s="885"/>
      <c r="FC1131" s="885"/>
      <c r="FD1131" s="886"/>
      <c r="FE1131" s="878"/>
      <c r="FF1131" s="878"/>
      <c r="FG1131" s="878"/>
      <c r="FH1131" s="878"/>
      <c r="FI1131" s="878"/>
      <c r="FJ1131" s="878"/>
      <c r="FK1131" s="878"/>
      <c r="FL1131" s="555"/>
      <c r="FM1131" s="554"/>
      <c r="FN1131" s="554"/>
      <c r="FO1131" s="554"/>
      <c r="FP1131" s="554"/>
      <c r="FQ1131" s="554"/>
      <c r="FR1131" s="554"/>
      <c r="FS1131" s="554"/>
      <c r="FT1131" s="554"/>
      <c r="FU1131" s="554"/>
      <c r="FV1131" s="554"/>
      <c r="FW1131" s="554"/>
      <c r="FX1131" s="554"/>
      <c r="FY1131" s="554"/>
      <c r="FZ1131" s="554"/>
      <c r="GA1131" s="554"/>
      <c r="GB1131" s="556"/>
      <c r="GC1131" s="370"/>
      <c r="GD1131" s="453"/>
      <c r="GE1131" s="453"/>
      <c r="GF1131" s="453"/>
      <c r="GG1131" s="453"/>
      <c r="GH1131" s="454"/>
      <c r="GI1131" s="453"/>
      <c r="GJ1131" s="453"/>
      <c r="GK1131" s="453"/>
      <c r="GL1131" s="453"/>
      <c r="GM1131" s="453"/>
      <c r="GN1131" s="453"/>
      <c r="GO1131" s="453"/>
      <c r="GP1131" s="453"/>
      <c r="GQ1131" s="453"/>
      <c r="GR1131" s="453"/>
      <c r="GS1131" s="561"/>
      <c r="GT1131" s="475"/>
      <c r="GU1131" s="472"/>
      <c r="GV1131" s="453"/>
      <c r="GW1131" s="453"/>
      <c r="GX1131" s="869"/>
      <c r="GY1131" s="870"/>
      <c r="GZ1131" s="867"/>
      <c r="HA1131" s="868"/>
      <c r="HB1131" s="473"/>
      <c r="HC1131" s="869"/>
      <c r="HD1131" s="870"/>
      <c r="HE1131" s="867"/>
      <c r="HF1131" s="868"/>
      <c r="HG1131" s="473"/>
      <c r="HH1131" s="867"/>
      <c r="HI1131" s="868"/>
      <c r="HJ1131" s="867"/>
      <c r="HK1131" s="868"/>
      <c r="HL1131" s="370"/>
      <c r="HM1131" s="865"/>
      <c r="HN1131" s="866"/>
      <c r="HO1131" s="865"/>
      <c r="HP1131" s="866"/>
      <c r="HQ1131" s="865"/>
      <c r="HR1131" s="866"/>
      <c r="HS1131" s="867"/>
      <c r="HT1131" s="868"/>
      <c r="HU1131" s="489"/>
      <c r="HV1131" s="865"/>
      <c r="HW1131" s="866"/>
    </row>
    <row r="1132" spans="25:231" ht="15" customHeight="1">
      <c r="Y1132" s="332"/>
      <c r="Z1132" s="332"/>
      <c r="AA1132" s="332"/>
      <c r="AB1132" s="332"/>
      <c r="AC1132" s="332"/>
      <c r="AD1132" s="332"/>
      <c r="AE1132" s="332"/>
      <c r="AF1132" s="332"/>
      <c r="AG1132" s="332"/>
      <c r="AH1132" s="332"/>
      <c r="AI1132" s="332"/>
      <c r="AJ1132" s="332"/>
      <c r="AK1132" s="332"/>
      <c r="AL1132" s="332"/>
      <c r="AM1132" s="332"/>
      <c r="AN1132" s="332"/>
      <c r="AO1132" s="332"/>
      <c r="AP1132" s="332"/>
      <c r="AQ1132" s="332"/>
      <c r="AR1132" s="332"/>
      <c r="AS1132" s="332"/>
      <c r="AT1132" s="332"/>
      <c r="AU1132" s="332"/>
      <c r="AV1132" s="332"/>
      <c r="AW1132" s="332"/>
      <c r="AX1132" s="332"/>
      <c r="AY1132" s="332"/>
      <c r="AZ1132" s="332"/>
      <c r="BA1132" s="332"/>
      <c r="BB1132" s="332"/>
      <c r="BC1132" s="332"/>
      <c r="BD1132" s="332"/>
      <c r="BE1132" s="332"/>
      <c r="BF1132" s="332"/>
      <c r="BG1132" s="332"/>
      <c r="BH1132" s="332"/>
      <c r="BI1132" s="332"/>
      <c r="BJ1132" s="332"/>
      <c r="BK1132" s="332"/>
      <c r="BL1132" s="332"/>
      <c r="BM1132" s="332"/>
      <c r="BN1132" s="332"/>
      <c r="BO1132" s="332"/>
      <c r="BP1132" s="332"/>
      <c r="BQ1132" s="332"/>
      <c r="BR1132" s="332"/>
      <c r="BS1132" s="332"/>
      <c r="BT1132" s="332"/>
      <c r="BU1132" s="332"/>
      <c r="BV1132" s="332"/>
      <c r="BW1132" s="332"/>
      <c r="BX1132" s="332"/>
      <c r="BY1132" s="332"/>
      <c r="BZ1132" s="332"/>
      <c r="CA1132" s="332"/>
      <c r="CB1132" s="332"/>
      <c r="CC1132" s="332"/>
      <c r="CD1132" s="332"/>
      <c r="CE1132" s="332"/>
      <c r="CF1132" s="332"/>
      <c r="CG1132" s="332"/>
      <c r="CH1132" s="332"/>
      <c r="CI1132" s="332"/>
      <c r="CJ1132" s="332"/>
      <c r="CK1132" s="332"/>
      <c r="CL1132" s="332"/>
      <c r="CM1132" s="332"/>
      <c r="CN1132" s="332"/>
      <c r="CO1132" s="332"/>
      <c r="CP1132" s="332"/>
      <c r="CQ1132" s="332"/>
      <c r="CR1132" s="332"/>
      <c r="CS1132" s="332"/>
      <c r="CT1132" s="332"/>
      <c r="CU1132" s="332"/>
      <c r="CV1132" s="332"/>
      <c r="CW1132" s="332"/>
      <c r="CX1132" s="332"/>
      <c r="CY1132" s="332"/>
      <c r="CZ1132" s="332"/>
      <c r="DA1132" s="332"/>
      <c r="DB1132" s="332"/>
      <c r="DC1132" s="332"/>
      <c r="DD1132" s="332"/>
      <c r="DE1132" s="332"/>
      <c r="DF1132" s="332"/>
      <c r="DG1132" s="332"/>
      <c r="DH1132" s="332"/>
      <c r="DI1132" s="332"/>
      <c r="DJ1132" s="332"/>
      <c r="DK1132" s="332"/>
      <c r="DL1132" s="332"/>
      <c r="DM1132" s="332"/>
      <c r="DN1132" s="332"/>
      <c r="DO1132" s="332"/>
      <c r="DP1132" s="332"/>
      <c r="DQ1132" s="332"/>
      <c r="DR1132" s="332"/>
      <c r="DS1132" s="332"/>
      <c r="DT1132" s="332"/>
      <c r="DU1132" s="453"/>
      <c r="DV1132" s="453"/>
      <c r="DW1132" s="453"/>
      <c r="DX1132" s="453"/>
      <c r="DY1132" s="453"/>
      <c r="DZ1132" s="453"/>
      <c r="EA1132" s="453"/>
      <c r="EB1132" s="453"/>
      <c r="EC1132" s="453"/>
      <c r="ED1132" s="453"/>
      <c r="EE1132" s="453"/>
      <c r="EF1132" s="453"/>
      <c r="EG1132" s="453"/>
      <c r="EH1132" s="453"/>
      <c r="EI1132" s="453"/>
      <c r="EJ1132" s="453"/>
      <c r="EK1132" s="453"/>
      <c r="EL1132" s="453"/>
      <c r="EM1132" s="483">
        <f t="shared" si="249"/>
        <v>823</v>
      </c>
      <c r="EN1132" s="485"/>
      <c r="EO1132" s="458"/>
      <c r="EP1132" s="467"/>
      <c r="EQ1132" s="457"/>
      <c r="ER1132" s="808"/>
      <c r="ES1132" s="881">
        <f t="shared" si="252"/>
        <v>0</v>
      </c>
      <c r="ET1132" s="882"/>
      <c r="EU1132" s="883"/>
      <c r="EV1132" s="884">
        <f t="shared" si="253"/>
        <v>0</v>
      </c>
      <c r="EW1132" s="885"/>
      <c r="EX1132" s="885"/>
      <c r="EY1132" s="885"/>
      <c r="EZ1132" s="885"/>
      <c r="FA1132" s="885"/>
      <c r="FB1132" s="885"/>
      <c r="FC1132" s="885"/>
      <c r="FD1132" s="886"/>
      <c r="FE1132" s="878"/>
      <c r="FF1132" s="878"/>
      <c r="FG1132" s="878"/>
      <c r="FH1132" s="878"/>
      <c r="FI1132" s="878"/>
      <c r="FJ1132" s="878"/>
      <c r="FK1132" s="878"/>
      <c r="FL1132" s="555"/>
      <c r="FM1132" s="554"/>
      <c r="FN1132" s="554"/>
      <c r="FO1132" s="554"/>
      <c r="FP1132" s="554"/>
      <c r="FQ1132" s="554"/>
      <c r="FR1132" s="554"/>
      <c r="FS1132" s="554"/>
      <c r="FT1132" s="554"/>
      <c r="FU1132" s="554"/>
      <c r="FV1132" s="554"/>
      <c r="FW1132" s="554"/>
      <c r="FX1132" s="554"/>
      <c r="FY1132" s="554"/>
      <c r="FZ1132" s="554"/>
      <c r="GA1132" s="554"/>
      <c r="GB1132" s="556"/>
      <c r="GC1132" s="370"/>
      <c r="GD1132" s="453"/>
      <c r="GE1132" s="453"/>
      <c r="GF1132" s="453"/>
      <c r="GG1132" s="453"/>
      <c r="GH1132" s="454"/>
      <c r="GI1132" s="453"/>
      <c r="GJ1132" s="453"/>
      <c r="GK1132" s="453"/>
      <c r="GL1132" s="453"/>
      <c r="GM1132" s="453"/>
      <c r="GN1132" s="453"/>
      <c r="GO1132" s="453"/>
      <c r="GP1132" s="453"/>
      <c r="GQ1132" s="453"/>
      <c r="GR1132" s="453"/>
      <c r="GS1132" s="561"/>
      <c r="GT1132" s="475"/>
      <c r="GU1132" s="472"/>
      <c r="GV1132" s="453"/>
      <c r="GW1132" s="453"/>
      <c r="GX1132" s="869"/>
      <c r="GY1132" s="870"/>
      <c r="GZ1132" s="867"/>
      <c r="HA1132" s="868"/>
      <c r="HB1132" s="473"/>
      <c r="HC1132" s="869"/>
      <c r="HD1132" s="870"/>
      <c r="HE1132" s="867"/>
      <c r="HF1132" s="868"/>
      <c r="HG1132" s="473"/>
      <c r="HH1132" s="867"/>
      <c r="HI1132" s="868"/>
      <c r="HJ1132" s="867"/>
      <c r="HK1132" s="868"/>
      <c r="HL1132" s="370"/>
      <c r="HM1132" s="865"/>
      <c r="HN1132" s="866"/>
      <c r="HO1132" s="865"/>
      <c r="HP1132" s="866"/>
      <c r="HQ1132" s="865"/>
      <c r="HR1132" s="866"/>
      <c r="HS1132" s="867"/>
      <c r="HT1132" s="868"/>
      <c r="HU1132" s="489"/>
      <c r="HV1132" s="865"/>
      <c r="HW1132" s="866"/>
    </row>
    <row r="1133" spans="25:231" ht="15" customHeight="1">
      <c r="Y1133" s="332"/>
      <c r="Z1133" s="332"/>
      <c r="AA1133" s="332"/>
      <c r="AB1133" s="332"/>
      <c r="AC1133" s="332"/>
      <c r="AD1133" s="332"/>
      <c r="AE1133" s="332"/>
      <c r="AF1133" s="332"/>
      <c r="AG1133" s="332"/>
      <c r="AH1133" s="332"/>
      <c r="AI1133" s="332"/>
      <c r="AJ1133" s="332"/>
      <c r="AK1133" s="332"/>
      <c r="AL1133" s="332"/>
      <c r="AM1133" s="332"/>
      <c r="AN1133" s="332"/>
      <c r="AO1133" s="332"/>
      <c r="AP1133" s="332"/>
      <c r="AQ1133" s="332"/>
      <c r="AR1133" s="332"/>
      <c r="AS1133" s="332"/>
      <c r="AT1133" s="332"/>
      <c r="AU1133" s="332"/>
      <c r="AV1133" s="332"/>
      <c r="AW1133" s="332"/>
      <c r="AX1133" s="332"/>
      <c r="AY1133" s="332"/>
      <c r="AZ1133" s="332"/>
      <c r="BA1133" s="332"/>
      <c r="BB1133" s="332"/>
      <c r="BC1133" s="332"/>
      <c r="BD1133" s="332"/>
      <c r="BE1133" s="332"/>
      <c r="BF1133" s="332"/>
      <c r="BG1133" s="332"/>
      <c r="BH1133" s="332"/>
      <c r="BI1133" s="332"/>
      <c r="BJ1133" s="332"/>
      <c r="BK1133" s="332"/>
      <c r="BL1133" s="332"/>
      <c r="BM1133" s="332"/>
      <c r="BN1133" s="332"/>
      <c r="BO1133" s="332"/>
      <c r="BP1133" s="332"/>
      <c r="BQ1133" s="332"/>
      <c r="BR1133" s="332"/>
      <c r="BS1133" s="332"/>
      <c r="BT1133" s="332"/>
      <c r="BU1133" s="332"/>
      <c r="BV1133" s="332"/>
      <c r="BW1133" s="332"/>
      <c r="BX1133" s="332"/>
      <c r="BY1133" s="332"/>
      <c r="BZ1133" s="332"/>
      <c r="CA1133" s="332"/>
      <c r="CB1133" s="332"/>
      <c r="CC1133" s="332"/>
      <c r="CD1133" s="332"/>
      <c r="CE1133" s="332"/>
      <c r="CF1133" s="332"/>
      <c r="CG1133" s="332"/>
      <c r="CH1133" s="332"/>
      <c r="CI1133" s="332"/>
      <c r="CJ1133" s="332"/>
      <c r="CK1133" s="332"/>
      <c r="CL1133" s="332"/>
      <c r="CM1133" s="332"/>
      <c r="CN1133" s="332"/>
      <c r="CO1133" s="332"/>
      <c r="CP1133" s="332"/>
      <c r="CQ1133" s="332"/>
      <c r="CR1133" s="332"/>
      <c r="CS1133" s="332"/>
      <c r="CT1133" s="332"/>
      <c r="CU1133" s="332"/>
      <c r="CV1133" s="332"/>
      <c r="CW1133" s="332"/>
      <c r="CX1133" s="332"/>
      <c r="CY1133" s="332"/>
      <c r="CZ1133" s="332"/>
      <c r="DA1133" s="332"/>
      <c r="DB1133" s="332"/>
      <c r="DC1133" s="332"/>
      <c r="DD1133" s="332"/>
      <c r="DE1133" s="332"/>
      <c r="DF1133" s="332"/>
      <c r="DG1133" s="332"/>
      <c r="DH1133" s="332"/>
      <c r="DI1133" s="332"/>
      <c r="DJ1133" s="332"/>
      <c r="DK1133" s="332"/>
      <c r="DL1133" s="332"/>
      <c r="DM1133" s="332"/>
      <c r="DN1133" s="332"/>
      <c r="DO1133" s="332"/>
      <c r="DP1133" s="332"/>
      <c r="DQ1133" s="332"/>
      <c r="DR1133" s="332"/>
      <c r="DS1133" s="332"/>
      <c r="DT1133" s="332"/>
      <c r="DU1133" s="453"/>
      <c r="DV1133" s="453"/>
      <c r="DW1133" s="453"/>
      <c r="DX1133" s="453"/>
      <c r="DY1133" s="453"/>
      <c r="DZ1133" s="453"/>
      <c r="EA1133" s="453"/>
      <c r="EB1133" s="453"/>
      <c r="EC1133" s="453"/>
      <c r="ED1133" s="453"/>
      <c r="EE1133" s="453"/>
      <c r="EF1133" s="453"/>
      <c r="EG1133" s="453"/>
      <c r="EH1133" s="453"/>
      <c r="EI1133" s="453"/>
      <c r="EJ1133" s="453"/>
      <c r="EK1133" s="453"/>
      <c r="EL1133" s="453"/>
      <c r="EM1133" s="483">
        <f t="shared" si="249"/>
        <v>824</v>
      </c>
      <c r="EN1133" s="485"/>
      <c r="EO1133" s="458"/>
      <c r="EP1133" s="467"/>
      <c r="EQ1133" s="457"/>
      <c r="ER1133" s="808"/>
      <c r="ES1133" s="881">
        <f t="shared" si="252"/>
        <v>0</v>
      </c>
      <c r="ET1133" s="882"/>
      <c r="EU1133" s="883"/>
      <c r="EV1133" s="884">
        <f t="shared" si="253"/>
        <v>0</v>
      </c>
      <c r="EW1133" s="885"/>
      <c r="EX1133" s="885"/>
      <c r="EY1133" s="885"/>
      <c r="EZ1133" s="885"/>
      <c r="FA1133" s="885"/>
      <c r="FB1133" s="885"/>
      <c r="FC1133" s="885"/>
      <c r="FD1133" s="886"/>
      <c r="FE1133" s="878"/>
      <c r="FF1133" s="878"/>
      <c r="FG1133" s="878"/>
      <c r="FH1133" s="878"/>
      <c r="FI1133" s="878"/>
      <c r="FJ1133" s="878"/>
      <c r="FK1133" s="878"/>
      <c r="FL1133" s="555"/>
      <c r="FM1133" s="554"/>
      <c r="FN1133" s="554"/>
      <c r="FO1133" s="554"/>
      <c r="FP1133" s="554"/>
      <c r="FQ1133" s="554"/>
      <c r="FR1133" s="554"/>
      <c r="FS1133" s="554"/>
      <c r="FT1133" s="554"/>
      <c r="FU1133" s="554"/>
      <c r="FV1133" s="554"/>
      <c r="FW1133" s="554"/>
      <c r="FX1133" s="554"/>
      <c r="FY1133" s="554"/>
      <c r="FZ1133" s="554"/>
      <c r="GA1133" s="554"/>
      <c r="GB1133" s="556"/>
      <c r="GC1133" s="370"/>
      <c r="GD1133" s="453"/>
      <c r="GE1133" s="453"/>
      <c r="GF1133" s="453"/>
      <c r="GG1133" s="453"/>
      <c r="GH1133" s="454"/>
      <c r="GI1133" s="453"/>
      <c r="GJ1133" s="453"/>
      <c r="GK1133" s="453"/>
      <c r="GL1133" s="453"/>
      <c r="GM1133" s="453"/>
      <c r="GN1133" s="453"/>
      <c r="GO1133" s="453"/>
      <c r="GP1133" s="453"/>
      <c r="GQ1133" s="453"/>
      <c r="GR1133" s="453"/>
      <c r="GS1133" s="561"/>
      <c r="GT1133" s="475"/>
      <c r="GU1133" s="472"/>
      <c r="GV1133" s="453"/>
      <c r="GW1133" s="453"/>
      <c r="GX1133" s="869"/>
      <c r="GY1133" s="870"/>
      <c r="GZ1133" s="867"/>
      <c r="HA1133" s="868"/>
      <c r="HB1133" s="473"/>
      <c r="HC1133" s="869"/>
      <c r="HD1133" s="870"/>
      <c r="HE1133" s="867"/>
      <c r="HF1133" s="868"/>
      <c r="HG1133" s="473"/>
      <c r="HH1133" s="867"/>
      <c r="HI1133" s="868"/>
      <c r="HJ1133" s="867"/>
      <c r="HK1133" s="868"/>
      <c r="HL1133" s="370"/>
      <c r="HM1133" s="865"/>
      <c r="HN1133" s="866"/>
      <c r="HO1133" s="865"/>
      <c r="HP1133" s="866"/>
      <c r="HQ1133" s="865"/>
      <c r="HR1133" s="866"/>
      <c r="HS1133" s="867"/>
      <c r="HT1133" s="868"/>
      <c r="HU1133" s="489"/>
      <c r="HV1133" s="865"/>
      <c r="HW1133" s="866"/>
    </row>
    <row r="1134" spans="25:231" ht="15" customHeight="1">
      <c r="Y1134" s="332"/>
      <c r="Z1134" s="332"/>
      <c r="AA1134" s="332"/>
      <c r="AB1134" s="332"/>
      <c r="AC1134" s="332"/>
      <c r="AD1134" s="332"/>
      <c r="AE1134" s="332"/>
      <c r="AF1134" s="332"/>
      <c r="AG1134" s="332"/>
      <c r="AH1134" s="332"/>
      <c r="AI1134" s="332"/>
      <c r="AJ1134" s="332"/>
      <c r="AK1134" s="332"/>
      <c r="AL1134" s="332"/>
      <c r="AM1134" s="332"/>
      <c r="AN1134" s="332"/>
      <c r="AO1134" s="332"/>
      <c r="AP1134" s="332"/>
      <c r="AQ1134" s="332"/>
      <c r="AR1134" s="332"/>
      <c r="AS1134" s="332"/>
      <c r="AT1134" s="332"/>
      <c r="AU1134" s="332"/>
      <c r="AV1134" s="332"/>
      <c r="AW1134" s="332"/>
      <c r="AX1134" s="332"/>
      <c r="AY1134" s="332"/>
      <c r="AZ1134" s="332"/>
      <c r="BA1134" s="332"/>
      <c r="BB1134" s="332"/>
      <c r="BC1134" s="332"/>
      <c r="BD1134" s="332"/>
      <c r="BE1134" s="332"/>
      <c r="BF1134" s="332"/>
      <c r="BG1134" s="332"/>
      <c r="BH1134" s="332"/>
      <c r="BI1134" s="332"/>
      <c r="BJ1134" s="332"/>
      <c r="BK1134" s="332"/>
      <c r="BL1134" s="332"/>
      <c r="BM1134" s="332"/>
      <c r="BN1134" s="332"/>
      <c r="BO1134" s="332"/>
      <c r="BP1134" s="332"/>
      <c r="BQ1134" s="332"/>
      <c r="BR1134" s="332"/>
      <c r="BS1134" s="332"/>
      <c r="BT1134" s="332"/>
      <c r="BU1134" s="332"/>
      <c r="BV1134" s="332"/>
      <c r="BW1134" s="332"/>
      <c r="BX1134" s="332"/>
      <c r="BY1134" s="332"/>
      <c r="BZ1134" s="332"/>
      <c r="CA1134" s="332"/>
      <c r="CB1134" s="332"/>
      <c r="CC1134" s="332"/>
      <c r="CD1134" s="332"/>
      <c r="CE1134" s="332"/>
      <c r="CF1134" s="332"/>
      <c r="CG1134" s="332"/>
      <c r="CH1134" s="332"/>
      <c r="CI1134" s="332"/>
      <c r="CJ1134" s="332"/>
      <c r="CK1134" s="332"/>
      <c r="CL1134" s="332"/>
      <c r="CM1134" s="332"/>
      <c r="CN1134" s="332"/>
      <c r="CO1134" s="332"/>
      <c r="CP1134" s="332"/>
      <c r="CQ1134" s="332"/>
      <c r="CR1134" s="332"/>
      <c r="CS1134" s="332"/>
      <c r="CT1134" s="332"/>
      <c r="CU1134" s="332"/>
      <c r="CV1134" s="332"/>
      <c r="CW1134" s="332"/>
      <c r="CX1134" s="332"/>
      <c r="CY1134" s="332"/>
      <c r="CZ1134" s="332"/>
      <c r="DA1134" s="332"/>
      <c r="DB1134" s="332"/>
      <c r="DC1134" s="332"/>
      <c r="DD1134" s="332"/>
      <c r="DE1134" s="332"/>
      <c r="DF1134" s="332"/>
      <c r="DG1134" s="332"/>
      <c r="DH1134" s="332"/>
      <c r="DI1134" s="332"/>
      <c r="DJ1134" s="332"/>
      <c r="DK1134" s="332"/>
      <c r="DL1134" s="332"/>
      <c r="DM1134" s="332"/>
      <c r="DN1134" s="332"/>
      <c r="DO1134" s="332"/>
      <c r="DP1134" s="332"/>
      <c r="DQ1134" s="332"/>
      <c r="DR1134" s="332"/>
      <c r="DS1134" s="332"/>
      <c r="DT1134" s="332"/>
      <c r="DU1134" s="453"/>
      <c r="DV1134" s="453"/>
      <c r="DW1134" s="453"/>
      <c r="DX1134" s="453"/>
      <c r="DY1134" s="453"/>
      <c r="DZ1134" s="453"/>
      <c r="EA1134" s="453"/>
      <c r="EB1134" s="453"/>
      <c r="EC1134" s="453"/>
      <c r="ED1134" s="453"/>
      <c r="EE1134" s="453"/>
      <c r="EF1134" s="453"/>
      <c r="EG1134" s="453"/>
      <c r="EH1134" s="453"/>
      <c r="EI1134" s="453"/>
      <c r="EJ1134" s="453"/>
      <c r="EK1134" s="453"/>
      <c r="EL1134" s="453"/>
      <c r="EM1134" s="483">
        <f t="shared" si="249"/>
        <v>825</v>
      </c>
      <c r="EN1134" s="485"/>
      <c r="EO1134" s="458"/>
      <c r="EP1134" s="467"/>
      <c r="EQ1134" s="457"/>
      <c r="ER1134" s="808"/>
      <c r="ES1134" s="881">
        <f t="shared" si="252"/>
        <v>0</v>
      </c>
      <c r="ET1134" s="882"/>
      <c r="EU1134" s="883"/>
      <c r="EV1134" s="884">
        <f t="shared" si="253"/>
        <v>0</v>
      </c>
      <c r="EW1134" s="885"/>
      <c r="EX1134" s="885"/>
      <c r="EY1134" s="885"/>
      <c r="EZ1134" s="885"/>
      <c r="FA1134" s="885"/>
      <c r="FB1134" s="885"/>
      <c r="FC1134" s="885"/>
      <c r="FD1134" s="886"/>
      <c r="FE1134" s="878"/>
      <c r="FF1134" s="878"/>
      <c r="FG1134" s="878"/>
      <c r="FH1134" s="878"/>
      <c r="FI1134" s="878"/>
      <c r="FJ1134" s="878"/>
      <c r="FK1134" s="878"/>
      <c r="FL1134" s="555"/>
      <c r="FM1134" s="554"/>
      <c r="FN1134" s="554"/>
      <c r="FO1134" s="554"/>
      <c r="FP1134" s="554"/>
      <c r="FQ1134" s="554"/>
      <c r="FR1134" s="554"/>
      <c r="FS1134" s="554"/>
      <c r="FT1134" s="554"/>
      <c r="FU1134" s="554"/>
      <c r="FV1134" s="554"/>
      <c r="FW1134" s="554"/>
      <c r="FX1134" s="554"/>
      <c r="FY1134" s="554"/>
      <c r="FZ1134" s="554"/>
      <c r="GA1134" s="554"/>
      <c r="GB1134" s="556"/>
      <c r="GC1134" s="370"/>
      <c r="GD1134" s="453"/>
      <c r="GE1134" s="453"/>
      <c r="GF1134" s="453"/>
      <c r="GG1134" s="453"/>
      <c r="GH1134" s="454"/>
      <c r="GI1134" s="453"/>
      <c r="GJ1134" s="453"/>
      <c r="GK1134" s="453"/>
      <c r="GL1134" s="453"/>
      <c r="GM1134" s="453"/>
      <c r="GN1134" s="453"/>
      <c r="GO1134" s="453"/>
      <c r="GP1134" s="453"/>
      <c r="GQ1134" s="453"/>
      <c r="GR1134" s="453"/>
      <c r="GS1134" s="561"/>
      <c r="GT1134" s="475"/>
      <c r="GU1134" s="472"/>
      <c r="GV1134" s="453"/>
      <c r="GW1134" s="453"/>
      <c r="GX1134" s="869"/>
      <c r="GY1134" s="870"/>
      <c r="GZ1134" s="867"/>
      <c r="HA1134" s="868"/>
      <c r="HB1134" s="473"/>
      <c r="HC1134" s="869"/>
      <c r="HD1134" s="870"/>
      <c r="HE1134" s="867"/>
      <c r="HF1134" s="868"/>
      <c r="HG1134" s="473"/>
      <c r="HH1134" s="867"/>
      <c r="HI1134" s="868"/>
      <c r="HJ1134" s="867"/>
      <c r="HK1134" s="868"/>
      <c r="HL1134" s="370"/>
      <c r="HM1134" s="865"/>
      <c r="HN1134" s="866"/>
      <c r="HO1134" s="865"/>
      <c r="HP1134" s="866"/>
      <c r="HQ1134" s="865"/>
      <c r="HR1134" s="866"/>
      <c r="HS1134" s="867"/>
      <c r="HT1134" s="868"/>
      <c r="HU1134" s="489"/>
      <c r="HV1134" s="865"/>
      <c r="HW1134" s="866"/>
    </row>
    <row r="1135" spans="25:231" ht="15" customHeight="1">
      <c r="Y1135" s="332"/>
      <c r="Z1135" s="332"/>
      <c r="AA1135" s="332"/>
      <c r="AB1135" s="332"/>
      <c r="AC1135" s="332"/>
      <c r="AD1135" s="332"/>
      <c r="AE1135" s="332"/>
      <c r="AF1135" s="332"/>
      <c r="AG1135" s="332"/>
      <c r="AH1135" s="332"/>
      <c r="AI1135" s="332"/>
      <c r="AJ1135" s="332"/>
      <c r="AK1135" s="332"/>
      <c r="AL1135" s="332"/>
      <c r="AM1135" s="332"/>
      <c r="AN1135" s="332"/>
      <c r="AO1135" s="332"/>
      <c r="AP1135" s="332"/>
      <c r="AQ1135" s="332"/>
      <c r="AR1135" s="332"/>
      <c r="AS1135" s="332"/>
      <c r="AT1135" s="332"/>
      <c r="AU1135" s="332"/>
      <c r="AV1135" s="332"/>
      <c r="AW1135" s="332"/>
      <c r="AX1135" s="332"/>
      <c r="AY1135" s="332"/>
      <c r="AZ1135" s="332"/>
      <c r="BA1135" s="332"/>
      <c r="BB1135" s="332"/>
      <c r="BC1135" s="332"/>
      <c r="BD1135" s="332"/>
      <c r="BE1135" s="332"/>
      <c r="BF1135" s="332"/>
      <c r="BG1135" s="332"/>
      <c r="BH1135" s="332"/>
      <c r="BI1135" s="332"/>
      <c r="BJ1135" s="332"/>
      <c r="BK1135" s="332"/>
      <c r="BL1135" s="332"/>
      <c r="BM1135" s="332"/>
      <c r="BN1135" s="332"/>
      <c r="BO1135" s="332"/>
      <c r="BP1135" s="332"/>
      <c r="BQ1135" s="332"/>
      <c r="BR1135" s="332"/>
      <c r="BS1135" s="332"/>
      <c r="BT1135" s="332"/>
      <c r="BU1135" s="332"/>
      <c r="BV1135" s="332"/>
      <c r="BW1135" s="332"/>
      <c r="BX1135" s="332"/>
      <c r="BY1135" s="332"/>
      <c r="BZ1135" s="332"/>
      <c r="CA1135" s="332"/>
      <c r="CB1135" s="332"/>
      <c r="CC1135" s="332"/>
      <c r="CD1135" s="332"/>
      <c r="CE1135" s="332"/>
      <c r="CF1135" s="332"/>
      <c r="CG1135" s="332"/>
      <c r="CH1135" s="332"/>
      <c r="CI1135" s="332"/>
      <c r="CJ1135" s="332"/>
      <c r="CK1135" s="332"/>
      <c r="CL1135" s="332"/>
      <c r="CM1135" s="332"/>
      <c r="CN1135" s="332"/>
      <c r="CO1135" s="332"/>
      <c r="CP1135" s="332"/>
      <c r="CQ1135" s="332"/>
      <c r="CR1135" s="332"/>
      <c r="CS1135" s="332"/>
      <c r="CT1135" s="332"/>
      <c r="CU1135" s="332"/>
      <c r="CV1135" s="332"/>
      <c r="CW1135" s="332"/>
      <c r="CX1135" s="332"/>
      <c r="CY1135" s="332"/>
      <c r="CZ1135" s="332"/>
      <c r="DA1135" s="332"/>
      <c r="DB1135" s="332"/>
      <c r="DC1135" s="332"/>
      <c r="DD1135" s="332"/>
      <c r="DE1135" s="332"/>
      <c r="DF1135" s="332"/>
      <c r="DG1135" s="332"/>
      <c r="DH1135" s="332"/>
      <c r="DI1135" s="332"/>
      <c r="DJ1135" s="332"/>
      <c r="DK1135" s="332"/>
      <c r="DL1135" s="332"/>
      <c r="DM1135" s="332"/>
      <c r="DN1135" s="332"/>
      <c r="DO1135" s="332"/>
      <c r="DP1135" s="332"/>
      <c r="DQ1135" s="332"/>
      <c r="DR1135" s="332"/>
      <c r="DS1135" s="332"/>
      <c r="DT1135" s="332"/>
      <c r="DU1135" s="453"/>
      <c r="DV1135" s="453"/>
      <c r="DW1135" s="453"/>
      <c r="DX1135" s="453"/>
      <c r="DY1135" s="453"/>
      <c r="DZ1135" s="453"/>
      <c r="EA1135" s="453"/>
      <c r="EB1135" s="453"/>
      <c r="EC1135" s="453"/>
      <c r="ED1135" s="453"/>
      <c r="EE1135" s="453"/>
      <c r="EF1135" s="453"/>
      <c r="EG1135" s="453"/>
      <c r="EH1135" s="453"/>
      <c r="EI1135" s="453"/>
      <c r="EJ1135" s="453"/>
      <c r="EK1135" s="453"/>
      <c r="EL1135" s="453"/>
      <c r="EM1135" s="483">
        <f t="shared" si="249"/>
        <v>826</v>
      </c>
      <c r="EN1135" s="485"/>
      <c r="EO1135" s="458"/>
      <c r="EP1135" s="467"/>
      <c r="EQ1135" s="457"/>
      <c r="ER1135" s="808"/>
      <c r="ES1135" s="881">
        <f t="shared" si="252"/>
        <v>0</v>
      </c>
      <c r="ET1135" s="882"/>
      <c r="EU1135" s="883"/>
      <c r="EV1135" s="884">
        <f t="shared" si="253"/>
        <v>0</v>
      </c>
      <c r="EW1135" s="885"/>
      <c r="EX1135" s="885"/>
      <c r="EY1135" s="885"/>
      <c r="EZ1135" s="885"/>
      <c r="FA1135" s="885"/>
      <c r="FB1135" s="885"/>
      <c r="FC1135" s="885"/>
      <c r="FD1135" s="886"/>
      <c r="FE1135" s="878"/>
      <c r="FF1135" s="878"/>
      <c r="FG1135" s="878"/>
      <c r="FH1135" s="878"/>
      <c r="FI1135" s="878"/>
      <c r="FJ1135" s="878"/>
      <c r="FK1135" s="878"/>
      <c r="FL1135" s="555"/>
      <c r="FM1135" s="554"/>
      <c r="FN1135" s="554"/>
      <c r="FO1135" s="554"/>
      <c r="FP1135" s="554"/>
      <c r="FQ1135" s="554"/>
      <c r="FR1135" s="554"/>
      <c r="FS1135" s="554"/>
      <c r="FT1135" s="554"/>
      <c r="FU1135" s="554"/>
      <c r="FV1135" s="554"/>
      <c r="FW1135" s="554"/>
      <c r="FX1135" s="554"/>
      <c r="FY1135" s="554"/>
      <c r="FZ1135" s="554"/>
      <c r="GA1135" s="554"/>
      <c r="GB1135" s="556"/>
      <c r="GC1135" s="370"/>
      <c r="GD1135" s="453"/>
      <c r="GE1135" s="453"/>
      <c r="GF1135" s="453"/>
      <c r="GG1135" s="453"/>
      <c r="GH1135" s="454"/>
      <c r="GI1135" s="453"/>
      <c r="GJ1135" s="453"/>
      <c r="GK1135" s="453"/>
      <c r="GL1135" s="453"/>
      <c r="GM1135" s="453"/>
      <c r="GN1135" s="453"/>
      <c r="GO1135" s="453"/>
      <c r="GP1135" s="453"/>
      <c r="GQ1135" s="453"/>
      <c r="GR1135" s="453"/>
      <c r="GS1135" s="561"/>
      <c r="GT1135" s="475"/>
      <c r="GU1135" s="472"/>
      <c r="GV1135" s="453"/>
      <c r="GW1135" s="453"/>
      <c r="GX1135" s="869"/>
      <c r="GY1135" s="870"/>
      <c r="GZ1135" s="867"/>
      <c r="HA1135" s="868"/>
      <c r="HB1135" s="473"/>
      <c r="HC1135" s="869"/>
      <c r="HD1135" s="870"/>
      <c r="HE1135" s="867"/>
      <c r="HF1135" s="868"/>
      <c r="HG1135" s="473"/>
      <c r="HH1135" s="867"/>
      <c r="HI1135" s="868"/>
      <c r="HJ1135" s="867"/>
      <c r="HK1135" s="868"/>
      <c r="HL1135" s="370"/>
      <c r="HM1135" s="865"/>
      <c r="HN1135" s="866"/>
      <c r="HO1135" s="865"/>
      <c r="HP1135" s="866"/>
      <c r="HQ1135" s="865"/>
      <c r="HR1135" s="866"/>
      <c r="HS1135" s="867"/>
      <c r="HT1135" s="868"/>
      <c r="HU1135" s="489"/>
      <c r="HV1135" s="865"/>
      <c r="HW1135" s="866"/>
    </row>
    <row r="1136" spans="25:231" ht="15" customHeight="1">
      <c r="Y1136" s="332"/>
      <c r="Z1136" s="332"/>
      <c r="AA1136" s="332"/>
      <c r="AB1136" s="332"/>
      <c r="AC1136" s="332"/>
      <c r="AD1136" s="332"/>
      <c r="AE1136" s="332"/>
      <c r="AF1136" s="332"/>
      <c r="AG1136" s="332"/>
      <c r="AH1136" s="332"/>
      <c r="AI1136" s="332"/>
      <c r="AJ1136" s="332"/>
      <c r="AK1136" s="332"/>
      <c r="AL1136" s="332"/>
      <c r="AM1136" s="332"/>
      <c r="AN1136" s="332"/>
      <c r="AO1136" s="332"/>
      <c r="AP1136" s="332"/>
      <c r="AQ1136" s="332"/>
      <c r="AR1136" s="332"/>
      <c r="AS1136" s="332"/>
      <c r="AT1136" s="332"/>
      <c r="AU1136" s="332"/>
      <c r="AV1136" s="332"/>
      <c r="AW1136" s="332"/>
      <c r="AX1136" s="332"/>
      <c r="AY1136" s="332"/>
      <c r="AZ1136" s="332"/>
      <c r="BA1136" s="332"/>
      <c r="BB1136" s="332"/>
      <c r="BC1136" s="332"/>
      <c r="BD1136" s="332"/>
      <c r="BE1136" s="332"/>
      <c r="BF1136" s="332"/>
      <c r="BG1136" s="332"/>
      <c r="BH1136" s="332"/>
      <c r="BI1136" s="332"/>
      <c r="BJ1136" s="332"/>
      <c r="BK1136" s="332"/>
      <c r="BL1136" s="332"/>
      <c r="BM1136" s="332"/>
      <c r="BN1136" s="332"/>
      <c r="BO1136" s="332"/>
      <c r="BP1136" s="332"/>
      <c r="BQ1136" s="332"/>
      <c r="BR1136" s="332"/>
      <c r="BS1136" s="332"/>
      <c r="BT1136" s="332"/>
      <c r="BU1136" s="332"/>
      <c r="BV1136" s="332"/>
      <c r="BW1136" s="332"/>
      <c r="BX1136" s="332"/>
      <c r="BY1136" s="332"/>
      <c r="BZ1136" s="332"/>
      <c r="CA1136" s="332"/>
      <c r="CB1136" s="332"/>
      <c r="CC1136" s="332"/>
      <c r="CD1136" s="332"/>
      <c r="CE1136" s="332"/>
      <c r="CF1136" s="332"/>
      <c r="CG1136" s="332"/>
      <c r="CH1136" s="332"/>
      <c r="CI1136" s="332"/>
      <c r="CJ1136" s="332"/>
      <c r="CK1136" s="332"/>
      <c r="CL1136" s="332"/>
      <c r="CM1136" s="332"/>
      <c r="CN1136" s="332"/>
      <c r="CO1136" s="332"/>
      <c r="CP1136" s="332"/>
      <c r="CQ1136" s="332"/>
      <c r="CR1136" s="332"/>
      <c r="CS1136" s="332"/>
      <c r="CT1136" s="332"/>
      <c r="CU1136" s="332"/>
      <c r="CV1136" s="332"/>
      <c r="CW1136" s="332"/>
      <c r="CX1136" s="332"/>
      <c r="CY1136" s="332"/>
      <c r="CZ1136" s="332"/>
      <c r="DA1136" s="332"/>
      <c r="DB1136" s="332"/>
      <c r="DC1136" s="332"/>
      <c r="DD1136" s="332"/>
      <c r="DE1136" s="332"/>
      <c r="DF1136" s="332"/>
      <c r="DG1136" s="332"/>
      <c r="DH1136" s="332"/>
      <c r="DI1136" s="332"/>
      <c r="DJ1136" s="332"/>
      <c r="DK1136" s="332"/>
      <c r="DL1136" s="332"/>
      <c r="DM1136" s="332"/>
      <c r="DN1136" s="332"/>
      <c r="DO1136" s="332"/>
      <c r="DP1136" s="332"/>
      <c r="DQ1136" s="332"/>
      <c r="DR1136" s="332"/>
      <c r="DS1136" s="332"/>
      <c r="DT1136" s="332"/>
      <c r="DU1136" s="453"/>
      <c r="DV1136" s="453"/>
      <c r="DW1136" s="453"/>
      <c r="DX1136" s="453"/>
      <c r="DY1136" s="453"/>
      <c r="DZ1136" s="453"/>
      <c r="EA1136" s="453"/>
      <c r="EB1136" s="453"/>
      <c r="EC1136" s="453"/>
      <c r="ED1136" s="453"/>
      <c r="EE1136" s="453"/>
      <c r="EF1136" s="453"/>
      <c r="EG1136" s="453"/>
      <c r="EH1136" s="453"/>
      <c r="EI1136" s="453"/>
      <c r="EJ1136" s="453"/>
      <c r="EK1136" s="453"/>
      <c r="EL1136" s="453"/>
      <c r="EM1136" s="483">
        <f t="shared" si="249"/>
        <v>827</v>
      </c>
      <c r="EN1136" s="485"/>
      <c r="EO1136" s="458"/>
      <c r="EP1136" s="467"/>
      <c r="EQ1136" s="457"/>
      <c r="ER1136" s="808"/>
      <c r="ES1136" s="881">
        <f t="shared" si="252"/>
        <v>0</v>
      </c>
      <c r="ET1136" s="882"/>
      <c r="EU1136" s="883"/>
      <c r="EV1136" s="884">
        <f t="shared" si="253"/>
        <v>0</v>
      </c>
      <c r="EW1136" s="885"/>
      <c r="EX1136" s="885"/>
      <c r="EY1136" s="885"/>
      <c r="EZ1136" s="885"/>
      <c r="FA1136" s="885"/>
      <c r="FB1136" s="885"/>
      <c r="FC1136" s="885"/>
      <c r="FD1136" s="886"/>
      <c r="FE1136" s="878"/>
      <c r="FF1136" s="878"/>
      <c r="FG1136" s="878"/>
      <c r="FH1136" s="878"/>
      <c r="FI1136" s="878"/>
      <c r="FJ1136" s="878"/>
      <c r="FK1136" s="878"/>
      <c r="FL1136" s="555"/>
      <c r="FM1136" s="554"/>
      <c r="FN1136" s="554"/>
      <c r="FO1136" s="554"/>
      <c r="FP1136" s="554"/>
      <c r="FQ1136" s="554"/>
      <c r="FR1136" s="554"/>
      <c r="FS1136" s="554"/>
      <c r="FT1136" s="554"/>
      <c r="FU1136" s="554"/>
      <c r="FV1136" s="554"/>
      <c r="FW1136" s="554"/>
      <c r="FX1136" s="554"/>
      <c r="FY1136" s="554"/>
      <c r="FZ1136" s="554"/>
      <c r="GA1136" s="554"/>
      <c r="GB1136" s="556"/>
      <c r="GC1136" s="370"/>
      <c r="GD1136" s="453"/>
      <c r="GE1136" s="453"/>
      <c r="GF1136" s="453"/>
      <c r="GG1136" s="453"/>
      <c r="GH1136" s="454"/>
      <c r="GI1136" s="453"/>
      <c r="GJ1136" s="453"/>
      <c r="GK1136" s="453"/>
      <c r="GL1136" s="453"/>
      <c r="GM1136" s="453"/>
      <c r="GN1136" s="453"/>
      <c r="GO1136" s="453"/>
      <c r="GP1136" s="453"/>
      <c r="GQ1136" s="453"/>
      <c r="GR1136" s="453"/>
      <c r="GS1136" s="561"/>
      <c r="GT1136" s="475"/>
      <c r="GU1136" s="472"/>
      <c r="GV1136" s="453"/>
      <c r="GW1136" s="453"/>
      <c r="GX1136" s="869"/>
      <c r="GY1136" s="870"/>
      <c r="GZ1136" s="867"/>
      <c r="HA1136" s="868"/>
      <c r="HB1136" s="473"/>
      <c r="HC1136" s="869"/>
      <c r="HD1136" s="870"/>
      <c r="HE1136" s="867"/>
      <c r="HF1136" s="868"/>
      <c r="HG1136" s="473"/>
      <c r="HH1136" s="867"/>
      <c r="HI1136" s="868"/>
      <c r="HJ1136" s="867"/>
      <c r="HK1136" s="868"/>
      <c r="HL1136" s="370"/>
      <c r="HM1136" s="865"/>
      <c r="HN1136" s="866"/>
      <c r="HO1136" s="865"/>
      <c r="HP1136" s="866"/>
      <c r="HQ1136" s="865"/>
      <c r="HR1136" s="866"/>
      <c r="HS1136" s="867"/>
      <c r="HT1136" s="868"/>
      <c r="HU1136" s="489"/>
      <c r="HV1136" s="865"/>
      <c r="HW1136" s="866"/>
    </row>
    <row r="1137" spans="25:231" ht="15" customHeight="1">
      <c r="Y1137" s="332"/>
      <c r="Z1137" s="332"/>
      <c r="AA1137" s="332"/>
      <c r="AB1137" s="332"/>
      <c r="AC1137" s="332"/>
      <c r="AD1137" s="332"/>
      <c r="AE1137" s="332"/>
      <c r="AF1137" s="332"/>
      <c r="AG1137" s="332"/>
      <c r="AH1137" s="332"/>
      <c r="AI1137" s="332"/>
      <c r="AJ1137" s="332"/>
      <c r="AK1137" s="332"/>
      <c r="AL1137" s="332"/>
      <c r="AM1137" s="332"/>
      <c r="AN1137" s="332"/>
      <c r="AO1137" s="332"/>
      <c r="AP1137" s="332"/>
      <c r="AQ1137" s="332"/>
      <c r="AR1137" s="332"/>
      <c r="AS1137" s="332"/>
      <c r="AT1137" s="332"/>
      <c r="AU1137" s="332"/>
      <c r="AV1137" s="332"/>
      <c r="AW1137" s="332"/>
      <c r="AX1137" s="332"/>
      <c r="AY1137" s="332"/>
      <c r="AZ1137" s="332"/>
      <c r="BA1137" s="332"/>
      <c r="BB1137" s="332"/>
      <c r="BC1137" s="332"/>
      <c r="BD1137" s="332"/>
      <c r="BE1137" s="332"/>
      <c r="BF1137" s="332"/>
      <c r="BG1137" s="332"/>
      <c r="BH1137" s="332"/>
      <c r="BI1137" s="332"/>
      <c r="BJ1137" s="332"/>
      <c r="BK1137" s="332"/>
      <c r="BL1137" s="332"/>
      <c r="BM1137" s="332"/>
      <c r="BN1137" s="332"/>
      <c r="BO1137" s="332"/>
      <c r="BP1137" s="332"/>
      <c r="BQ1137" s="332"/>
      <c r="BR1137" s="332"/>
      <c r="BS1137" s="332"/>
      <c r="BT1137" s="332"/>
      <c r="BU1137" s="332"/>
      <c r="BV1137" s="332"/>
      <c r="BW1137" s="332"/>
      <c r="BX1137" s="332"/>
      <c r="BY1137" s="332"/>
      <c r="BZ1137" s="332"/>
      <c r="CA1137" s="332"/>
      <c r="CB1137" s="332"/>
      <c r="CC1137" s="332"/>
      <c r="CD1137" s="332"/>
      <c r="CE1137" s="332"/>
      <c r="CF1137" s="332"/>
      <c r="CG1137" s="332"/>
      <c r="CH1137" s="332"/>
      <c r="CI1137" s="332"/>
      <c r="CJ1137" s="332"/>
      <c r="CK1137" s="332"/>
      <c r="CL1137" s="332"/>
      <c r="CM1137" s="332"/>
      <c r="CN1137" s="332"/>
      <c r="CO1137" s="332"/>
      <c r="CP1137" s="332"/>
      <c r="CQ1137" s="332"/>
      <c r="CR1137" s="332"/>
      <c r="CS1137" s="332"/>
      <c r="CT1137" s="332"/>
      <c r="CU1137" s="332"/>
      <c r="CV1137" s="332"/>
      <c r="CW1137" s="332"/>
      <c r="CX1137" s="332"/>
      <c r="CY1137" s="332"/>
      <c r="CZ1137" s="332"/>
      <c r="DA1137" s="332"/>
      <c r="DB1137" s="332"/>
      <c r="DC1137" s="332"/>
      <c r="DD1137" s="332"/>
      <c r="DE1137" s="332"/>
      <c r="DF1137" s="332"/>
      <c r="DG1137" s="332"/>
      <c r="DH1137" s="332"/>
      <c r="DI1137" s="332"/>
      <c r="DJ1137" s="332"/>
      <c r="DK1137" s="332"/>
      <c r="DL1137" s="332"/>
      <c r="DM1137" s="332"/>
      <c r="DN1137" s="332"/>
      <c r="DO1137" s="332"/>
      <c r="DP1137" s="332"/>
      <c r="DQ1137" s="332"/>
      <c r="DR1137" s="332"/>
      <c r="DS1137" s="332"/>
      <c r="DT1137" s="332"/>
      <c r="DU1137" s="453"/>
      <c r="DV1137" s="453"/>
      <c r="DW1137" s="453"/>
      <c r="DX1137" s="453"/>
      <c r="DY1137" s="453"/>
      <c r="DZ1137" s="453"/>
      <c r="EA1137" s="453"/>
      <c r="EB1137" s="453"/>
      <c r="EC1137" s="453"/>
      <c r="ED1137" s="453"/>
      <c r="EE1137" s="453"/>
      <c r="EF1137" s="453"/>
      <c r="EG1137" s="453"/>
      <c r="EH1137" s="453"/>
      <c r="EI1137" s="453"/>
      <c r="EJ1137" s="453"/>
      <c r="EK1137" s="453"/>
      <c r="EL1137" s="453"/>
      <c r="EM1137" s="483">
        <f t="shared" si="249"/>
        <v>828</v>
      </c>
      <c r="EN1137" s="485"/>
      <c r="EO1137" s="458"/>
      <c r="EP1137" s="467"/>
      <c r="EQ1137" s="457"/>
      <c r="ER1137" s="808"/>
      <c r="ES1137" s="881">
        <f t="shared" si="252"/>
        <v>0</v>
      </c>
      <c r="ET1137" s="882"/>
      <c r="EU1137" s="883"/>
      <c r="EV1137" s="884">
        <f t="shared" si="253"/>
        <v>0</v>
      </c>
      <c r="EW1137" s="885"/>
      <c r="EX1137" s="885"/>
      <c r="EY1137" s="885"/>
      <c r="EZ1137" s="885"/>
      <c r="FA1137" s="885"/>
      <c r="FB1137" s="885"/>
      <c r="FC1137" s="885"/>
      <c r="FD1137" s="886"/>
      <c r="FE1137" s="878"/>
      <c r="FF1137" s="878"/>
      <c r="FG1137" s="878"/>
      <c r="FH1137" s="878"/>
      <c r="FI1137" s="878"/>
      <c r="FJ1137" s="878"/>
      <c r="FK1137" s="878"/>
      <c r="FL1137" s="555"/>
      <c r="FM1137" s="554"/>
      <c r="FN1137" s="554"/>
      <c r="FO1137" s="554"/>
      <c r="FP1137" s="554"/>
      <c r="FQ1137" s="554"/>
      <c r="FR1137" s="554"/>
      <c r="FS1137" s="554"/>
      <c r="FT1137" s="554"/>
      <c r="FU1137" s="554"/>
      <c r="FV1137" s="554"/>
      <c r="FW1137" s="554"/>
      <c r="FX1137" s="554"/>
      <c r="FY1137" s="554"/>
      <c r="FZ1137" s="554"/>
      <c r="GA1137" s="554"/>
      <c r="GB1137" s="556"/>
      <c r="GC1137" s="370"/>
      <c r="GD1137" s="453"/>
      <c r="GE1137" s="453"/>
      <c r="GF1137" s="453"/>
      <c r="GG1137" s="453"/>
      <c r="GH1137" s="454"/>
      <c r="GI1137" s="453"/>
      <c r="GJ1137" s="453"/>
      <c r="GK1137" s="453"/>
      <c r="GL1137" s="453"/>
      <c r="GM1137" s="453"/>
      <c r="GN1137" s="453"/>
      <c r="GO1137" s="453"/>
      <c r="GP1137" s="453"/>
      <c r="GQ1137" s="453"/>
      <c r="GR1137" s="453"/>
      <c r="GS1137" s="561"/>
      <c r="GT1137" s="475"/>
      <c r="GU1137" s="472"/>
      <c r="GV1137" s="453"/>
      <c r="GW1137" s="453"/>
      <c r="GX1137" s="869"/>
      <c r="GY1137" s="870"/>
      <c r="GZ1137" s="867"/>
      <c r="HA1137" s="868"/>
      <c r="HB1137" s="473"/>
      <c r="HC1137" s="869"/>
      <c r="HD1137" s="870"/>
      <c r="HE1137" s="867"/>
      <c r="HF1137" s="868"/>
      <c r="HG1137" s="473"/>
      <c r="HH1137" s="867"/>
      <c r="HI1137" s="868"/>
      <c r="HJ1137" s="867"/>
      <c r="HK1137" s="868"/>
      <c r="HL1137" s="370"/>
      <c r="HM1137" s="865"/>
      <c r="HN1137" s="866"/>
      <c r="HO1137" s="865"/>
      <c r="HP1137" s="866"/>
      <c r="HQ1137" s="865"/>
      <c r="HR1137" s="866"/>
      <c r="HS1137" s="867"/>
      <c r="HT1137" s="868"/>
      <c r="HU1137" s="489"/>
      <c r="HV1137" s="865"/>
      <c r="HW1137" s="866"/>
    </row>
    <row r="1138" spans="25:231" ht="15" customHeight="1">
      <c r="Y1138" s="332"/>
      <c r="Z1138" s="332"/>
      <c r="AA1138" s="332"/>
      <c r="AB1138" s="332"/>
      <c r="AC1138" s="332"/>
      <c r="AD1138" s="332"/>
      <c r="AE1138" s="332"/>
      <c r="AF1138" s="332"/>
      <c r="AG1138" s="332"/>
      <c r="AH1138" s="332"/>
      <c r="AI1138" s="332"/>
      <c r="AJ1138" s="332"/>
      <c r="AK1138" s="332"/>
      <c r="AL1138" s="332"/>
      <c r="AM1138" s="332"/>
      <c r="AN1138" s="332"/>
      <c r="AO1138" s="332"/>
      <c r="AP1138" s="332"/>
      <c r="AQ1138" s="332"/>
      <c r="AR1138" s="332"/>
      <c r="AS1138" s="332"/>
      <c r="AT1138" s="332"/>
      <c r="AU1138" s="332"/>
      <c r="AV1138" s="332"/>
      <c r="AW1138" s="332"/>
      <c r="AX1138" s="332"/>
      <c r="AY1138" s="332"/>
      <c r="AZ1138" s="332"/>
      <c r="BA1138" s="332"/>
      <c r="BB1138" s="332"/>
      <c r="BC1138" s="332"/>
      <c r="BD1138" s="332"/>
      <c r="BE1138" s="332"/>
      <c r="BF1138" s="332"/>
      <c r="BG1138" s="332"/>
      <c r="BH1138" s="332"/>
      <c r="BI1138" s="332"/>
      <c r="BJ1138" s="332"/>
      <c r="BK1138" s="332"/>
      <c r="BL1138" s="332"/>
      <c r="BM1138" s="332"/>
      <c r="BN1138" s="332"/>
      <c r="BO1138" s="332"/>
      <c r="BP1138" s="332"/>
      <c r="BQ1138" s="332"/>
      <c r="BR1138" s="332"/>
      <c r="BS1138" s="332"/>
      <c r="BT1138" s="332"/>
      <c r="BU1138" s="332"/>
      <c r="BV1138" s="332"/>
      <c r="BW1138" s="332"/>
      <c r="BX1138" s="332"/>
      <c r="BY1138" s="332"/>
      <c r="BZ1138" s="332"/>
      <c r="CA1138" s="332"/>
      <c r="CB1138" s="332"/>
      <c r="CC1138" s="332"/>
      <c r="CD1138" s="332"/>
      <c r="CE1138" s="332"/>
      <c r="CF1138" s="332"/>
      <c r="CG1138" s="332"/>
      <c r="CH1138" s="332"/>
      <c r="CI1138" s="332"/>
      <c r="CJ1138" s="332"/>
      <c r="CK1138" s="332"/>
      <c r="CL1138" s="332"/>
      <c r="CM1138" s="332"/>
      <c r="CN1138" s="332"/>
      <c r="CO1138" s="332"/>
      <c r="CP1138" s="332"/>
      <c r="CQ1138" s="332"/>
      <c r="CR1138" s="332"/>
      <c r="CS1138" s="332"/>
      <c r="CT1138" s="332"/>
      <c r="CU1138" s="332"/>
      <c r="CV1138" s="332"/>
      <c r="CW1138" s="332"/>
      <c r="CX1138" s="332"/>
      <c r="CY1138" s="332"/>
      <c r="CZ1138" s="332"/>
      <c r="DA1138" s="332"/>
      <c r="DB1138" s="332"/>
      <c r="DC1138" s="332"/>
      <c r="DD1138" s="332"/>
      <c r="DE1138" s="332"/>
      <c r="DF1138" s="332"/>
      <c r="DG1138" s="332"/>
      <c r="DH1138" s="332"/>
      <c r="DI1138" s="332"/>
      <c r="DJ1138" s="332"/>
      <c r="DK1138" s="332"/>
      <c r="DL1138" s="332"/>
      <c r="DM1138" s="332"/>
      <c r="DN1138" s="332"/>
      <c r="DO1138" s="332"/>
      <c r="DP1138" s="332"/>
      <c r="DQ1138" s="332"/>
      <c r="DR1138" s="332"/>
      <c r="DS1138" s="332"/>
      <c r="DT1138" s="332"/>
      <c r="DU1138" s="453"/>
      <c r="DV1138" s="453"/>
      <c r="DW1138" s="453"/>
      <c r="DX1138" s="453"/>
      <c r="DY1138" s="453"/>
      <c r="DZ1138" s="453"/>
      <c r="EA1138" s="453"/>
      <c r="EB1138" s="453"/>
      <c r="EC1138" s="453"/>
      <c r="ED1138" s="453"/>
      <c r="EE1138" s="453"/>
      <c r="EF1138" s="453"/>
      <c r="EG1138" s="453"/>
      <c r="EH1138" s="453"/>
      <c r="EI1138" s="453"/>
      <c r="EJ1138" s="453"/>
      <c r="EK1138" s="453"/>
      <c r="EL1138" s="453"/>
      <c r="EM1138" s="483">
        <f t="shared" si="249"/>
        <v>829</v>
      </c>
      <c r="EN1138" s="485"/>
      <c r="EO1138" s="458"/>
      <c r="EP1138" s="467"/>
      <c r="EQ1138" s="457"/>
      <c r="ER1138" s="808"/>
      <c r="ES1138" s="881">
        <f t="shared" si="252"/>
        <v>0</v>
      </c>
      <c r="ET1138" s="882"/>
      <c r="EU1138" s="883"/>
      <c r="EV1138" s="884">
        <f t="shared" si="253"/>
        <v>0</v>
      </c>
      <c r="EW1138" s="885"/>
      <c r="EX1138" s="885"/>
      <c r="EY1138" s="885"/>
      <c r="EZ1138" s="885"/>
      <c r="FA1138" s="885"/>
      <c r="FB1138" s="885"/>
      <c r="FC1138" s="885"/>
      <c r="FD1138" s="886"/>
      <c r="FE1138" s="878"/>
      <c r="FF1138" s="878"/>
      <c r="FG1138" s="878"/>
      <c r="FH1138" s="878"/>
      <c r="FI1138" s="878"/>
      <c r="FJ1138" s="878"/>
      <c r="FK1138" s="878"/>
      <c r="FL1138" s="555"/>
      <c r="FM1138" s="554"/>
      <c r="FN1138" s="554"/>
      <c r="FO1138" s="554"/>
      <c r="FP1138" s="554"/>
      <c r="FQ1138" s="554"/>
      <c r="FR1138" s="554"/>
      <c r="FS1138" s="554"/>
      <c r="FT1138" s="554"/>
      <c r="FU1138" s="554"/>
      <c r="FV1138" s="554"/>
      <c r="FW1138" s="554"/>
      <c r="FX1138" s="554"/>
      <c r="FY1138" s="554"/>
      <c r="FZ1138" s="554"/>
      <c r="GA1138" s="554"/>
      <c r="GB1138" s="556"/>
      <c r="GC1138" s="370"/>
      <c r="GD1138" s="453"/>
      <c r="GE1138" s="453"/>
      <c r="GF1138" s="453"/>
      <c r="GG1138" s="453"/>
      <c r="GH1138" s="454"/>
      <c r="GI1138" s="453"/>
      <c r="GJ1138" s="453"/>
      <c r="GK1138" s="453"/>
      <c r="GL1138" s="453"/>
      <c r="GM1138" s="453"/>
      <c r="GN1138" s="453"/>
      <c r="GO1138" s="453"/>
      <c r="GP1138" s="453"/>
      <c r="GQ1138" s="453"/>
      <c r="GR1138" s="453"/>
      <c r="GS1138" s="561"/>
      <c r="GT1138" s="475"/>
      <c r="GU1138" s="472"/>
      <c r="GV1138" s="453"/>
      <c r="GW1138" s="453"/>
      <c r="GX1138" s="869"/>
      <c r="GY1138" s="870"/>
      <c r="GZ1138" s="867"/>
      <c r="HA1138" s="868"/>
      <c r="HB1138" s="473"/>
      <c r="HC1138" s="869"/>
      <c r="HD1138" s="870"/>
      <c r="HE1138" s="867"/>
      <c r="HF1138" s="868"/>
      <c r="HG1138" s="473"/>
      <c r="HH1138" s="867"/>
      <c r="HI1138" s="868"/>
      <c r="HJ1138" s="867"/>
      <c r="HK1138" s="868"/>
      <c r="HL1138" s="370"/>
      <c r="HM1138" s="865"/>
      <c r="HN1138" s="866"/>
      <c r="HO1138" s="865"/>
      <c r="HP1138" s="866"/>
      <c r="HQ1138" s="865"/>
      <c r="HR1138" s="866"/>
      <c r="HS1138" s="867"/>
      <c r="HT1138" s="868"/>
      <c r="HU1138" s="489"/>
      <c r="HV1138" s="865"/>
      <c r="HW1138" s="866"/>
    </row>
    <row r="1139" spans="25:231" ht="15" customHeight="1">
      <c r="Y1139" s="332"/>
      <c r="Z1139" s="332"/>
      <c r="AA1139" s="332"/>
      <c r="AB1139" s="332"/>
      <c r="AC1139" s="332"/>
      <c r="AD1139" s="332"/>
      <c r="AE1139" s="332"/>
      <c r="AF1139" s="332"/>
      <c r="AG1139" s="332"/>
      <c r="AH1139" s="332"/>
      <c r="AI1139" s="332"/>
      <c r="AJ1139" s="332"/>
      <c r="AK1139" s="332"/>
      <c r="AL1139" s="332"/>
      <c r="AM1139" s="332"/>
      <c r="AN1139" s="332"/>
      <c r="AO1139" s="332"/>
      <c r="AP1139" s="332"/>
      <c r="AQ1139" s="332"/>
      <c r="AR1139" s="332"/>
      <c r="AS1139" s="332"/>
      <c r="AT1139" s="332"/>
      <c r="AU1139" s="332"/>
      <c r="AV1139" s="332"/>
      <c r="AW1139" s="332"/>
      <c r="AX1139" s="332"/>
      <c r="AY1139" s="332"/>
      <c r="AZ1139" s="332"/>
      <c r="BA1139" s="332"/>
      <c r="BB1139" s="332"/>
      <c r="BC1139" s="332"/>
      <c r="BD1139" s="332"/>
      <c r="BE1139" s="332"/>
      <c r="BF1139" s="332"/>
      <c r="BG1139" s="332"/>
      <c r="BH1139" s="332"/>
      <c r="BI1139" s="332"/>
      <c r="BJ1139" s="332"/>
      <c r="BK1139" s="332"/>
      <c r="BL1139" s="332"/>
      <c r="BM1139" s="332"/>
      <c r="BN1139" s="332"/>
      <c r="BO1139" s="332"/>
      <c r="BP1139" s="332"/>
      <c r="BQ1139" s="332"/>
      <c r="BR1139" s="332"/>
      <c r="BS1139" s="332"/>
      <c r="BT1139" s="332"/>
      <c r="BU1139" s="332"/>
      <c r="BV1139" s="332"/>
      <c r="BW1139" s="332"/>
      <c r="BX1139" s="332"/>
      <c r="BY1139" s="332"/>
      <c r="BZ1139" s="332"/>
      <c r="CA1139" s="332"/>
      <c r="CB1139" s="332"/>
      <c r="CC1139" s="332"/>
      <c r="CD1139" s="332"/>
      <c r="CE1139" s="332"/>
      <c r="CF1139" s="332"/>
      <c r="CG1139" s="332"/>
      <c r="CH1139" s="332"/>
      <c r="CI1139" s="332"/>
      <c r="CJ1139" s="332"/>
      <c r="CK1139" s="332"/>
      <c r="CL1139" s="332"/>
      <c r="CM1139" s="332"/>
      <c r="CN1139" s="332"/>
      <c r="CO1139" s="332"/>
      <c r="CP1139" s="332"/>
      <c r="CQ1139" s="332"/>
      <c r="CR1139" s="332"/>
      <c r="CS1139" s="332"/>
      <c r="CT1139" s="332"/>
      <c r="CU1139" s="332"/>
      <c r="CV1139" s="332"/>
      <c r="CW1139" s="332"/>
      <c r="CX1139" s="332"/>
      <c r="CY1139" s="332"/>
      <c r="CZ1139" s="332"/>
      <c r="DA1139" s="332"/>
      <c r="DB1139" s="332"/>
      <c r="DC1139" s="332"/>
      <c r="DD1139" s="332"/>
      <c r="DE1139" s="332"/>
      <c r="DF1139" s="332"/>
      <c r="DG1139" s="332"/>
      <c r="DH1139" s="332"/>
      <c r="DI1139" s="332"/>
      <c r="DJ1139" s="332"/>
      <c r="DK1139" s="332"/>
      <c r="DL1139" s="332"/>
      <c r="DM1139" s="332"/>
      <c r="DN1139" s="332"/>
      <c r="DO1139" s="332"/>
      <c r="DP1139" s="332"/>
      <c r="DQ1139" s="332"/>
      <c r="DR1139" s="332"/>
      <c r="DS1139" s="332"/>
      <c r="DT1139" s="332"/>
      <c r="DU1139" s="453"/>
      <c r="DV1139" s="453"/>
      <c r="DW1139" s="453"/>
      <c r="DX1139" s="453"/>
      <c r="DY1139" s="453"/>
      <c r="DZ1139" s="453"/>
      <c r="EA1139" s="453"/>
      <c r="EB1139" s="453"/>
      <c r="EC1139" s="453"/>
      <c r="ED1139" s="453"/>
      <c r="EE1139" s="453"/>
      <c r="EF1139" s="453"/>
      <c r="EG1139" s="453"/>
      <c r="EH1139" s="453"/>
      <c r="EI1139" s="453"/>
      <c r="EJ1139" s="453"/>
      <c r="EK1139" s="453"/>
      <c r="EL1139" s="453"/>
      <c r="EM1139" s="483">
        <f t="shared" si="249"/>
        <v>830</v>
      </c>
      <c r="EN1139" s="485"/>
      <c r="EO1139" s="458"/>
      <c r="EP1139" s="467"/>
      <c r="EQ1139" s="457"/>
      <c r="ER1139" s="808"/>
      <c r="ES1139" s="881">
        <f t="shared" si="252"/>
        <v>0</v>
      </c>
      <c r="ET1139" s="882"/>
      <c r="EU1139" s="883"/>
      <c r="EV1139" s="884">
        <f t="shared" si="253"/>
        <v>0</v>
      </c>
      <c r="EW1139" s="885"/>
      <c r="EX1139" s="885"/>
      <c r="EY1139" s="885"/>
      <c r="EZ1139" s="885"/>
      <c r="FA1139" s="885"/>
      <c r="FB1139" s="885"/>
      <c r="FC1139" s="885"/>
      <c r="FD1139" s="886"/>
      <c r="FE1139" s="878"/>
      <c r="FF1139" s="878"/>
      <c r="FG1139" s="878"/>
      <c r="FH1139" s="878"/>
      <c r="FI1139" s="878"/>
      <c r="FJ1139" s="878"/>
      <c r="FK1139" s="878"/>
      <c r="FL1139" s="555"/>
      <c r="FM1139" s="554"/>
      <c r="FN1139" s="554"/>
      <c r="FO1139" s="554"/>
      <c r="FP1139" s="554"/>
      <c r="FQ1139" s="554"/>
      <c r="FR1139" s="554"/>
      <c r="FS1139" s="554"/>
      <c r="FT1139" s="554"/>
      <c r="FU1139" s="554"/>
      <c r="FV1139" s="554"/>
      <c r="FW1139" s="554"/>
      <c r="FX1139" s="554"/>
      <c r="FY1139" s="554"/>
      <c r="FZ1139" s="554"/>
      <c r="GA1139" s="554"/>
      <c r="GB1139" s="556"/>
      <c r="GC1139" s="370"/>
      <c r="GD1139" s="453"/>
      <c r="GE1139" s="453"/>
      <c r="GF1139" s="453"/>
      <c r="GG1139" s="453"/>
      <c r="GH1139" s="454"/>
      <c r="GI1139" s="453"/>
      <c r="GJ1139" s="453"/>
      <c r="GK1139" s="453"/>
      <c r="GL1139" s="453"/>
      <c r="GM1139" s="453"/>
      <c r="GN1139" s="453"/>
      <c r="GO1139" s="453"/>
      <c r="GP1139" s="453"/>
      <c r="GQ1139" s="453"/>
      <c r="GR1139" s="453"/>
      <c r="GS1139" s="561"/>
      <c r="GT1139" s="475"/>
      <c r="GU1139" s="472"/>
      <c r="GV1139" s="453"/>
      <c r="GW1139" s="453"/>
      <c r="GX1139" s="869"/>
      <c r="GY1139" s="870"/>
      <c r="GZ1139" s="867"/>
      <c r="HA1139" s="868"/>
      <c r="HB1139" s="473"/>
      <c r="HC1139" s="869"/>
      <c r="HD1139" s="870"/>
      <c r="HE1139" s="867"/>
      <c r="HF1139" s="868"/>
      <c r="HG1139" s="473"/>
      <c r="HH1139" s="867"/>
      <c r="HI1139" s="868"/>
      <c r="HJ1139" s="867"/>
      <c r="HK1139" s="868"/>
      <c r="HL1139" s="370"/>
      <c r="HM1139" s="865"/>
      <c r="HN1139" s="866"/>
      <c r="HO1139" s="865"/>
      <c r="HP1139" s="866"/>
      <c r="HQ1139" s="865"/>
      <c r="HR1139" s="866"/>
      <c r="HS1139" s="867"/>
      <c r="HT1139" s="868"/>
      <c r="HU1139" s="489"/>
      <c r="HV1139" s="865"/>
      <c r="HW1139" s="866"/>
    </row>
    <row r="1140" spans="25:231" ht="15" customHeight="1">
      <c r="Y1140" s="332"/>
      <c r="Z1140" s="332"/>
      <c r="AA1140" s="332"/>
      <c r="AB1140" s="332"/>
      <c r="AC1140" s="332"/>
      <c r="AD1140" s="332"/>
      <c r="AE1140" s="332"/>
      <c r="AF1140" s="332"/>
      <c r="AG1140" s="332"/>
      <c r="AH1140" s="332"/>
      <c r="AI1140" s="332"/>
      <c r="AJ1140" s="332"/>
      <c r="AK1140" s="332"/>
      <c r="AL1140" s="332"/>
      <c r="AM1140" s="332"/>
      <c r="AN1140" s="332"/>
      <c r="AO1140" s="332"/>
      <c r="AP1140" s="332"/>
      <c r="AQ1140" s="332"/>
      <c r="AR1140" s="332"/>
      <c r="AS1140" s="332"/>
      <c r="AT1140" s="332"/>
      <c r="AU1140" s="332"/>
      <c r="AV1140" s="332"/>
      <c r="AW1140" s="332"/>
      <c r="AX1140" s="332"/>
      <c r="AY1140" s="332"/>
      <c r="AZ1140" s="332"/>
      <c r="BA1140" s="332"/>
      <c r="BB1140" s="332"/>
      <c r="BC1140" s="332"/>
      <c r="BD1140" s="332"/>
      <c r="BE1140" s="332"/>
      <c r="BF1140" s="332"/>
      <c r="BG1140" s="332"/>
      <c r="BH1140" s="332"/>
      <c r="BI1140" s="332"/>
      <c r="BJ1140" s="332"/>
      <c r="BK1140" s="332"/>
      <c r="BL1140" s="332"/>
      <c r="BM1140" s="332"/>
      <c r="BN1140" s="332"/>
      <c r="BO1140" s="332"/>
      <c r="BP1140" s="332"/>
      <c r="BQ1140" s="332"/>
      <c r="BR1140" s="332"/>
      <c r="BS1140" s="332"/>
      <c r="BT1140" s="332"/>
      <c r="BU1140" s="332"/>
      <c r="BV1140" s="332"/>
      <c r="BW1140" s="332"/>
      <c r="BX1140" s="332"/>
      <c r="BY1140" s="332"/>
      <c r="BZ1140" s="332"/>
      <c r="CA1140" s="332"/>
      <c r="CB1140" s="332"/>
      <c r="CC1140" s="332"/>
      <c r="CD1140" s="332"/>
      <c r="CE1140" s="332"/>
      <c r="CF1140" s="332"/>
      <c r="CG1140" s="332"/>
      <c r="CH1140" s="332"/>
      <c r="CI1140" s="332"/>
      <c r="CJ1140" s="332"/>
      <c r="CK1140" s="332"/>
      <c r="CL1140" s="332"/>
      <c r="CM1140" s="332"/>
      <c r="CN1140" s="332"/>
      <c r="CO1140" s="332"/>
      <c r="CP1140" s="332"/>
      <c r="CQ1140" s="332"/>
      <c r="CR1140" s="332"/>
      <c r="CS1140" s="332"/>
      <c r="CT1140" s="332"/>
      <c r="CU1140" s="332"/>
      <c r="CV1140" s="332"/>
      <c r="CW1140" s="332"/>
      <c r="CX1140" s="332"/>
      <c r="CY1140" s="332"/>
      <c r="CZ1140" s="332"/>
      <c r="DA1140" s="332"/>
      <c r="DB1140" s="332"/>
      <c r="DC1140" s="332"/>
      <c r="DD1140" s="332"/>
      <c r="DE1140" s="332"/>
      <c r="DF1140" s="332"/>
      <c r="DG1140" s="332"/>
      <c r="DH1140" s="332"/>
      <c r="DI1140" s="332"/>
      <c r="DJ1140" s="332"/>
      <c r="DK1140" s="332"/>
      <c r="DL1140" s="332"/>
      <c r="DM1140" s="332"/>
      <c r="DN1140" s="332"/>
      <c r="DO1140" s="332"/>
      <c r="DP1140" s="332"/>
      <c r="DQ1140" s="332"/>
      <c r="DR1140" s="332"/>
      <c r="DS1140" s="332"/>
      <c r="DT1140" s="332"/>
      <c r="DU1140" s="453"/>
      <c r="DV1140" s="453"/>
      <c r="DW1140" s="453"/>
      <c r="DX1140" s="453"/>
      <c r="DY1140" s="453"/>
      <c r="DZ1140" s="453"/>
      <c r="EA1140" s="453"/>
      <c r="EB1140" s="453"/>
      <c r="EC1140" s="453"/>
      <c r="ED1140" s="453"/>
      <c r="EE1140" s="453"/>
      <c r="EF1140" s="453"/>
      <c r="EG1140" s="453"/>
      <c r="EH1140" s="453"/>
      <c r="EI1140" s="453"/>
      <c r="EJ1140" s="453"/>
      <c r="EK1140" s="453"/>
      <c r="EL1140" s="453"/>
      <c r="EM1140" s="483">
        <f t="shared" si="249"/>
        <v>831</v>
      </c>
      <c r="EN1140" s="485"/>
      <c r="EO1140" s="458"/>
      <c r="EP1140" s="467"/>
      <c r="EQ1140" s="457"/>
      <c r="ER1140" s="808"/>
      <c r="ES1140" s="881">
        <f t="shared" si="252"/>
        <v>0</v>
      </c>
      <c r="ET1140" s="882"/>
      <c r="EU1140" s="883"/>
      <c r="EV1140" s="884">
        <f t="shared" si="253"/>
        <v>0</v>
      </c>
      <c r="EW1140" s="885"/>
      <c r="EX1140" s="885"/>
      <c r="EY1140" s="885"/>
      <c r="EZ1140" s="885"/>
      <c r="FA1140" s="885"/>
      <c r="FB1140" s="885"/>
      <c r="FC1140" s="885"/>
      <c r="FD1140" s="886"/>
      <c r="FE1140" s="878"/>
      <c r="FF1140" s="878"/>
      <c r="FG1140" s="878"/>
      <c r="FH1140" s="878"/>
      <c r="FI1140" s="878"/>
      <c r="FJ1140" s="878"/>
      <c r="FK1140" s="878"/>
      <c r="FL1140" s="555"/>
      <c r="FM1140" s="554"/>
      <c r="FN1140" s="554"/>
      <c r="FO1140" s="554"/>
      <c r="FP1140" s="554"/>
      <c r="FQ1140" s="554"/>
      <c r="FR1140" s="554"/>
      <c r="FS1140" s="554"/>
      <c r="FT1140" s="554"/>
      <c r="FU1140" s="554"/>
      <c r="FV1140" s="554"/>
      <c r="FW1140" s="554"/>
      <c r="FX1140" s="554"/>
      <c r="FY1140" s="554"/>
      <c r="FZ1140" s="554"/>
      <c r="GA1140" s="554"/>
      <c r="GB1140" s="556"/>
      <c r="GC1140" s="370"/>
      <c r="GD1140" s="453"/>
      <c r="GE1140" s="453"/>
      <c r="GF1140" s="453"/>
      <c r="GG1140" s="453"/>
      <c r="GH1140" s="454"/>
      <c r="GI1140" s="453"/>
      <c r="GJ1140" s="453"/>
      <c r="GK1140" s="453"/>
      <c r="GL1140" s="453"/>
      <c r="GM1140" s="453"/>
      <c r="GN1140" s="453"/>
      <c r="GO1140" s="453"/>
      <c r="GP1140" s="453"/>
      <c r="GQ1140" s="453"/>
      <c r="GR1140" s="453"/>
      <c r="GS1140" s="561"/>
      <c r="GT1140" s="475"/>
      <c r="GU1140" s="472"/>
      <c r="GV1140" s="453"/>
      <c r="GW1140" s="453"/>
      <c r="GX1140" s="869"/>
      <c r="GY1140" s="870"/>
      <c r="GZ1140" s="867"/>
      <c r="HA1140" s="868"/>
      <c r="HB1140" s="473"/>
      <c r="HC1140" s="869"/>
      <c r="HD1140" s="870"/>
      <c r="HE1140" s="867"/>
      <c r="HF1140" s="868"/>
      <c r="HG1140" s="473"/>
      <c r="HH1140" s="867"/>
      <c r="HI1140" s="868"/>
      <c r="HJ1140" s="867"/>
      <c r="HK1140" s="868"/>
      <c r="HL1140" s="370"/>
      <c r="HM1140" s="865"/>
      <c r="HN1140" s="866"/>
      <c r="HO1140" s="865"/>
      <c r="HP1140" s="866"/>
      <c r="HQ1140" s="865"/>
      <c r="HR1140" s="866"/>
      <c r="HS1140" s="867"/>
      <c r="HT1140" s="868"/>
      <c r="HU1140" s="489"/>
      <c r="HV1140" s="865"/>
      <c r="HW1140" s="866"/>
    </row>
    <row r="1141" spans="25:231" ht="15" customHeight="1">
      <c r="Y1141" s="332"/>
      <c r="Z1141" s="332"/>
      <c r="AA1141" s="332"/>
      <c r="AB1141" s="332"/>
      <c r="AC1141" s="332"/>
      <c r="AD1141" s="332"/>
      <c r="AE1141" s="332"/>
      <c r="AF1141" s="332"/>
      <c r="AG1141" s="332"/>
      <c r="AH1141" s="332"/>
      <c r="AI1141" s="332"/>
      <c r="AJ1141" s="332"/>
      <c r="AK1141" s="332"/>
      <c r="AL1141" s="332"/>
      <c r="AM1141" s="332"/>
      <c r="AN1141" s="332"/>
      <c r="AO1141" s="332"/>
      <c r="AP1141" s="332"/>
      <c r="AQ1141" s="332"/>
      <c r="AR1141" s="332"/>
      <c r="AS1141" s="332"/>
      <c r="AT1141" s="332"/>
      <c r="AU1141" s="332"/>
      <c r="AV1141" s="332"/>
      <c r="AW1141" s="332"/>
      <c r="AX1141" s="332"/>
      <c r="AY1141" s="332"/>
      <c r="AZ1141" s="332"/>
      <c r="BA1141" s="332"/>
      <c r="BB1141" s="332"/>
      <c r="BC1141" s="332"/>
      <c r="BD1141" s="332"/>
      <c r="BE1141" s="332"/>
      <c r="BF1141" s="332"/>
      <c r="BG1141" s="332"/>
      <c r="BH1141" s="332"/>
      <c r="BI1141" s="332"/>
      <c r="BJ1141" s="332"/>
      <c r="BK1141" s="332"/>
      <c r="BL1141" s="332"/>
      <c r="BM1141" s="332"/>
      <c r="BN1141" s="332"/>
      <c r="BO1141" s="332"/>
      <c r="BP1141" s="332"/>
      <c r="BQ1141" s="332"/>
      <c r="BR1141" s="332"/>
      <c r="BS1141" s="332"/>
      <c r="BT1141" s="332"/>
      <c r="BU1141" s="332"/>
      <c r="BV1141" s="332"/>
      <c r="BW1141" s="332"/>
      <c r="BX1141" s="332"/>
      <c r="BY1141" s="332"/>
      <c r="BZ1141" s="332"/>
      <c r="CA1141" s="332"/>
      <c r="CB1141" s="332"/>
      <c r="CC1141" s="332"/>
      <c r="CD1141" s="332"/>
      <c r="CE1141" s="332"/>
      <c r="CF1141" s="332"/>
      <c r="CG1141" s="332"/>
      <c r="CH1141" s="332"/>
      <c r="CI1141" s="332"/>
      <c r="CJ1141" s="332"/>
      <c r="CK1141" s="332"/>
      <c r="CL1141" s="332"/>
      <c r="CM1141" s="332"/>
      <c r="CN1141" s="332"/>
      <c r="CO1141" s="332"/>
      <c r="CP1141" s="332"/>
      <c r="CQ1141" s="332"/>
      <c r="CR1141" s="332"/>
      <c r="CS1141" s="332"/>
      <c r="CT1141" s="332"/>
      <c r="CU1141" s="332"/>
      <c r="CV1141" s="332"/>
      <c r="CW1141" s="332"/>
      <c r="CX1141" s="332"/>
      <c r="CY1141" s="332"/>
      <c r="CZ1141" s="332"/>
      <c r="DA1141" s="332"/>
      <c r="DB1141" s="332"/>
      <c r="DC1141" s="332"/>
      <c r="DD1141" s="332"/>
      <c r="DE1141" s="332"/>
      <c r="DF1141" s="332"/>
      <c r="DG1141" s="332"/>
      <c r="DH1141" s="332"/>
      <c r="DI1141" s="332"/>
      <c r="DJ1141" s="332"/>
      <c r="DK1141" s="332"/>
      <c r="DL1141" s="332"/>
      <c r="DM1141" s="332"/>
      <c r="DN1141" s="332"/>
      <c r="DO1141" s="332"/>
      <c r="DP1141" s="332"/>
      <c r="DQ1141" s="332"/>
      <c r="DR1141" s="332"/>
      <c r="DS1141" s="332"/>
      <c r="DT1141" s="332"/>
      <c r="DU1141" s="453"/>
      <c r="DV1141" s="453"/>
      <c r="DW1141" s="453"/>
      <c r="DX1141" s="453"/>
      <c r="DY1141" s="453"/>
      <c r="DZ1141" s="453"/>
      <c r="EA1141" s="453"/>
      <c r="EB1141" s="453"/>
      <c r="EC1141" s="453"/>
      <c r="ED1141" s="453"/>
      <c r="EE1141" s="453"/>
      <c r="EF1141" s="453"/>
      <c r="EG1141" s="453"/>
      <c r="EH1141" s="453"/>
      <c r="EI1141" s="453"/>
      <c r="EJ1141" s="453"/>
      <c r="EK1141" s="453"/>
      <c r="EL1141" s="453"/>
      <c r="EM1141" s="483">
        <f t="shared" si="249"/>
        <v>832</v>
      </c>
      <c r="EN1141" s="485"/>
      <c r="EO1141" s="458"/>
      <c r="EP1141" s="467"/>
      <c r="EQ1141" s="457"/>
      <c r="ER1141" s="808"/>
      <c r="ES1141" s="881">
        <f t="shared" si="252"/>
        <v>0</v>
      </c>
      <c r="ET1141" s="882"/>
      <c r="EU1141" s="883"/>
      <c r="EV1141" s="884">
        <f t="shared" si="253"/>
        <v>0</v>
      </c>
      <c r="EW1141" s="885"/>
      <c r="EX1141" s="885"/>
      <c r="EY1141" s="885"/>
      <c r="EZ1141" s="885"/>
      <c r="FA1141" s="885"/>
      <c r="FB1141" s="885"/>
      <c r="FC1141" s="885"/>
      <c r="FD1141" s="886"/>
      <c r="FE1141" s="878"/>
      <c r="FF1141" s="878"/>
      <c r="FG1141" s="878"/>
      <c r="FH1141" s="878"/>
      <c r="FI1141" s="878"/>
      <c r="FJ1141" s="878"/>
      <c r="FK1141" s="878"/>
      <c r="FL1141" s="555"/>
      <c r="FM1141" s="554"/>
      <c r="FN1141" s="554"/>
      <c r="FO1141" s="554"/>
      <c r="FP1141" s="554"/>
      <c r="FQ1141" s="554"/>
      <c r="FR1141" s="554"/>
      <c r="FS1141" s="554"/>
      <c r="FT1141" s="554"/>
      <c r="FU1141" s="554"/>
      <c r="FV1141" s="554"/>
      <c r="FW1141" s="554"/>
      <c r="FX1141" s="554"/>
      <c r="FY1141" s="554"/>
      <c r="FZ1141" s="554"/>
      <c r="GA1141" s="554"/>
      <c r="GB1141" s="556"/>
      <c r="GC1141" s="370"/>
      <c r="GD1141" s="453"/>
      <c r="GE1141" s="453"/>
      <c r="GF1141" s="453"/>
      <c r="GG1141" s="453"/>
      <c r="GH1141" s="454"/>
      <c r="GI1141" s="453"/>
      <c r="GJ1141" s="453"/>
      <c r="GK1141" s="453"/>
      <c r="GL1141" s="453"/>
      <c r="GM1141" s="453"/>
      <c r="GN1141" s="453"/>
      <c r="GO1141" s="453"/>
      <c r="GP1141" s="453"/>
      <c r="GQ1141" s="453"/>
      <c r="GR1141" s="453"/>
      <c r="GS1141" s="561"/>
      <c r="GT1141" s="475"/>
      <c r="GU1141" s="472"/>
      <c r="GV1141" s="453"/>
      <c r="GW1141" s="453"/>
      <c r="GX1141" s="869"/>
      <c r="GY1141" s="870"/>
      <c r="GZ1141" s="867"/>
      <c r="HA1141" s="868"/>
      <c r="HB1141" s="473"/>
      <c r="HC1141" s="869"/>
      <c r="HD1141" s="870"/>
      <c r="HE1141" s="867"/>
      <c r="HF1141" s="868"/>
      <c r="HG1141" s="473"/>
      <c r="HH1141" s="867"/>
      <c r="HI1141" s="868"/>
      <c r="HJ1141" s="867"/>
      <c r="HK1141" s="868"/>
      <c r="HL1141" s="370"/>
      <c r="HM1141" s="865"/>
      <c r="HN1141" s="866"/>
      <c r="HO1141" s="865"/>
      <c r="HP1141" s="866"/>
      <c r="HQ1141" s="865"/>
      <c r="HR1141" s="866"/>
      <c r="HS1141" s="867"/>
      <c r="HT1141" s="868"/>
      <c r="HU1141" s="489"/>
      <c r="HV1141" s="865"/>
      <c r="HW1141" s="866"/>
    </row>
    <row r="1142" spans="25:231" ht="15" customHeight="1">
      <c r="Y1142" s="332"/>
      <c r="Z1142" s="332"/>
      <c r="AA1142" s="332"/>
      <c r="AB1142" s="332"/>
      <c r="AC1142" s="332"/>
      <c r="AD1142" s="332"/>
      <c r="AE1142" s="332"/>
      <c r="AF1142" s="332"/>
      <c r="AG1142" s="332"/>
      <c r="AH1142" s="332"/>
      <c r="AI1142" s="332"/>
      <c r="AJ1142" s="332"/>
      <c r="AK1142" s="332"/>
      <c r="AL1142" s="332"/>
      <c r="AM1142" s="332"/>
      <c r="AN1142" s="332"/>
      <c r="AO1142" s="332"/>
      <c r="AP1142" s="332"/>
      <c r="AQ1142" s="332"/>
      <c r="AR1142" s="332"/>
      <c r="AS1142" s="332"/>
      <c r="AT1142" s="332"/>
      <c r="AU1142" s="332"/>
      <c r="AV1142" s="332"/>
      <c r="AW1142" s="332"/>
      <c r="AX1142" s="332"/>
      <c r="AY1142" s="332"/>
      <c r="AZ1142" s="332"/>
      <c r="BA1142" s="332"/>
      <c r="BB1142" s="332"/>
      <c r="BC1142" s="332"/>
      <c r="BD1142" s="332"/>
      <c r="BE1142" s="332"/>
      <c r="BF1142" s="332"/>
      <c r="BG1142" s="332"/>
      <c r="BH1142" s="332"/>
      <c r="BI1142" s="332"/>
      <c r="BJ1142" s="332"/>
      <c r="BK1142" s="332"/>
      <c r="BL1142" s="332"/>
      <c r="BM1142" s="332"/>
      <c r="BN1142" s="332"/>
      <c r="BO1142" s="332"/>
      <c r="BP1142" s="332"/>
      <c r="BQ1142" s="332"/>
      <c r="BR1142" s="332"/>
      <c r="BS1142" s="332"/>
      <c r="BT1142" s="332"/>
      <c r="BU1142" s="332"/>
      <c r="BV1142" s="332"/>
      <c r="BW1142" s="332"/>
      <c r="BX1142" s="332"/>
      <c r="BY1142" s="332"/>
      <c r="BZ1142" s="332"/>
      <c r="CA1142" s="332"/>
      <c r="CB1142" s="332"/>
      <c r="CC1142" s="332"/>
      <c r="CD1142" s="332"/>
      <c r="CE1142" s="332"/>
      <c r="CF1142" s="332"/>
      <c r="CG1142" s="332"/>
      <c r="CH1142" s="332"/>
      <c r="CI1142" s="332"/>
      <c r="CJ1142" s="332"/>
      <c r="CK1142" s="332"/>
      <c r="CL1142" s="332"/>
      <c r="CM1142" s="332"/>
      <c r="CN1142" s="332"/>
      <c r="CO1142" s="332"/>
      <c r="CP1142" s="332"/>
      <c r="CQ1142" s="332"/>
      <c r="CR1142" s="332"/>
      <c r="CS1142" s="332"/>
      <c r="CT1142" s="332"/>
      <c r="CU1142" s="332"/>
      <c r="CV1142" s="332"/>
      <c r="CW1142" s="332"/>
      <c r="CX1142" s="332"/>
      <c r="CY1142" s="332"/>
      <c r="CZ1142" s="332"/>
      <c r="DA1142" s="332"/>
      <c r="DB1142" s="332"/>
      <c r="DC1142" s="332"/>
      <c r="DD1142" s="332"/>
      <c r="DE1142" s="332"/>
      <c r="DF1142" s="332"/>
      <c r="DG1142" s="332"/>
      <c r="DH1142" s="332"/>
      <c r="DI1142" s="332"/>
      <c r="DJ1142" s="332"/>
      <c r="DK1142" s="332"/>
      <c r="DL1142" s="332"/>
      <c r="DM1142" s="332"/>
      <c r="DN1142" s="332"/>
      <c r="DO1142" s="332"/>
      <c r="DP1142" s="332"/>
      <c r="DQ1142" s="332"/>
      <c r="DR1142" s="332"/>
      <c r="DS1142" s="332"/>
      <c r="DT1142" s="332"/>
      <c r="DU1142" s="453"/>
      <c r="DV1142" s="453"/>
      <c r="DW1142" s="453"/>
      <c r="DX1142" s="453"/>
      <c r="DY1142" s="453"/>
      <c r="DZ1142" s="453"/>
      <c r="EA1142" s="453"/>
      <c r="EB1142" s="453"/>
      <c r="EC1142" s="453"/>
      <c r="ED1142" s="453"/>
      <c r="EE1142" s="453"/>
      <c r="EF1142" s="453"/>
      <c r="EG1142" s="453"/>
      <c r="EH1142" s="453"/>
      <c r="EI1142" s="453"/>
      <c r="EJ1142" s="453"/>
      <c r="EK1142" s="453"/>
      <c r="EL1142" s="453"/>
      <c r="EM1142" s="483">
        <f t="shared" si="249"/>
        <v>833</v>
      </c>
      <c r="EN1142" s="485"/>
      <c r="EO1142" s="458"/>
      <c r="EP1142" s="467"/>
      <c r="EQ1142" s="457"/>
      <c r="ER1142" s="808"/>
      <c r="ES1142" s="881">
        <f t="shared" si="252"/>
        <v>0</v>
      </c>
      <c r="ET1142" s="882"/>
      <c r="EU1142" s="883"/>
      <c r="EV1142" s="884">
        <f t="shared" si="253"/>
        <v>0</v>
      </c>
      <c r="EW1142" s="885"/>
      <c r="EX1142" s="885"/>
      <c r="EY1142" s="885"/>
      <c r="EZ1142" s="885"/>
      <c r="FA1142" s="885"/>
      <c r="FB1142" s="885"/>
      <c r="FC1142" s="885"/>
      <c r="FD1142" s="886"/>
      <c r="FE1142" s="878"/>
      <c r="FF1142" s="878"/>
      <c r="FG1142" s="878"/>
      <c r="FH1142" s="878"/>
      <c r="FI1142" s="878"/>
      <c r="FJ1142" s="878"/>
      <c r="FK1142" s="878"/>
      <c r="FL1142" s="555"/>
      <c r="FM1142" s="554"/>
      <c r="FN1142" s="554"/>
      <c r="FO1142" s="554"/>
      <c r="FP1142" s="554"/>
      <c r="FQ1142" s="554"/>
      <c r="FR1142" s="554"/>
      <c r="FS1142" s="554"/>
      <c r="FT1142" s="554"/>
      <c r="FU1142" s="554"/>
      <c r="FV1142" s="554"/>
      <c r="FW1142" s="554"/>
      <c r="FX1142" s="554"/>
      <c r="FY1142" s="554"/>
      <c r="FZ1142" s="554"/>
      <c r="GA1142" s="554"/>
      <c r="GB1142" s="556"/>
      <c r="GC1142" s="370"/>
      <c r="GD1142" s="453"/>
      <c r="GE1142" s="453"/>
      <c r="GF1142" s="453"/>
      <c r="GG1142" s="453"/>
      <c r="GH1142" s="454"/>
      <c r="GI1142" s="453"/>
      <c r="GJ1142" s="453"/>
      <c r="GK1142" s="453"/>
      <c r="GL1142" s="453"/>
      <c r="GM1142" s="453"/>
      <c r="GN1142" s="453"/>
      <c r="GO1142" s="453"/>
      <c r="GP1142" s="453"/>
      <c r="GQ1142" s="453"/>
      <c r="GR1142" s="453"/>
      <c r="GS1142" s="561"/>
      <c r="GT1142" s="475"/>
      <c r="GU1142" s="472"/>
      <c r="GV1142" s="453"/>
      <c r="GW1142" s="453"/>
      <c r="GX1142" s="869"/>
      <c r="GY1142" s="870"/>
      <c r="GZ1142" s="867"/>
      <c r="HA1142" s="868"/>
      <c r="HB1142" s="473"/>
      <c r="HC1142" s="869"/>
      <c r="HD1142" s="870"/>
      <c r="HE1142" s="867"/>
      <c r="HF1142" s="868"/>
      <c r="HG1142" s="473"/>
      <c r="HH1142" s="867"/>
      <c r="HI1142" s="868"/>
      <c r="HJ1142" s="867"/>
      <c r="HK1142" s="868"/>
      <c r="HL1142" s="370"/>
      <c r="HM1142" s="865"/>
      <c r="HN1142" s="866"/>
      <c r="HO1142" s="865"/>
      <c r="HP1142" s="866"/>
      <c r="HQ1142" s="865"/>
      <c r="HR1142" s="866"/>
      <c r="HS1142" s="867"/>
      <c r="HT1142" s="868"/>
      <c r="HU1142" s="489"/>
      <c r="HV1142" s="865"/>
      <c r="HW1142" s="866"/>
    </row>
    <row r="1143" spans="25:231" ht="15" customHeight="1">
      <c r="Y1143" s="332"/>
      <c r="Z1143" s="332"/>
      <c r="AA1143" s="332"/>
      <c r="AB1143" s="332"/>
      <c r="AC1143" s="332"/>
      <c r="AD1143" s="332"/>
      <c r="AE1143" s="332"/>
      <c r="AF1143" s="332"/>
      <c r="AG1143" s="332"/>
      <c r="AH1143" s="332"/>
      <c r="AI1143" s="332"/>
      <c r="AJ1143" s="332"/>
      <c r="AK1143" s="332"/>
      <c r="AL1143" s="332"/>
      <c r="AM1143" s="332"/>
      <c r="AN1143" s="332"/>
      <c r="AO1143" s="332"/>
      <c r="AP1143" s="332"/>
      <c r="AQ1143" s="332"/>
      <c r="AR1143" s="332"/>
      <c r="AS1143" s="332"/>
      <c r="AT1143" s="332"/>
      <c r="AU1143" s="332"/>
      <c r="AV1143" s="332"/>
      <c r="AW1143" s="332"/>
      <c r="AX1143" s="332"/>
      <c r="AY1143" s="332"/>
      <c r="AZ1143" s="332"/>
      <c r="BA1143" s="332"/>
      <c r="BB1143" s="332"/>
      <c r="BC1143" s="332"/>
      <c r="BD1143" s="332"/>
      <c r="BE1143" s="332"/>
      <c r="BF1143" s="332"/>
      <c r="BG1143" s="332"/>
      <c r="BH1143" s="332"/>
      <c r="BI1143" s="332"/>
      <c r="BJ1143" s="332"/>
      <c r="BK1143" s="332"/>
      <c r="BL1143" s="332"/>
      <c r="BM1143" s="332"/>
      <c r="BN1143" s="332"/>
      <c r="BO1143" s="332"/>
      <c r="BP1143" s="332"/>
      <c r="BQ1143" s="332"/>
      <c r="BR1143" s="332"/>
      <c r="BS1143" s="332"/>
      <c r="BT1143" s="332"/>
      <c r="BU1143" s="332"/>
      <c r="BV1143" s="332"/>
      <c r="BW1143" s="332"/>
      <c r="BX1143" s="332"/>
      <c r="BY1143" s="332"/>
      <c r="BZ1143" s="332"/>
      <c r="CA1143" s="332"/>
      <c r="CB1143" s="332"/>
      <c r="CC1143" s="332"/>
      <c r="CD1143" s="332"/>
      <c r="CE1143" s="332"/>
      <c r="CF1143" s="332"/>
      <c r="CG1143" s="332"/>
      <c r="CH1143" s="332"/>
      <c r="CI1143" s="332"/>
      <c r="CJ1143" s="332"/>
      <c r="CK1143" s="332"/>
      <c r="CL1143" s="332"/>
      <c r="CM1143" s="332"/>
      <c r="CN1143" s="332"/>
      <c r="CO1143" s="332"/>
      <c r="CP1143" s="332"/>
      <c r="CQ1143" s="332"/>
      <c r="CR1143" s="332"/>
      <c r="CS1143" s="332"/>
      <c r="CT1143" s="332"/>
      <c r="CU1143" s="332"/>
      <c r="CV1143" s="332"/>
      <c r="CW1143" s="332"/>
      <c r="CX1143" s="332"/>
      <c r="CY1143" s="332"/>
      <c r="CZ1143" s="332"/>
      <c r="DA1143" s="332"/>
      <c r="DB1143" s="332"/>
      <c r="DC1143" s="332"/>
      <c r="DD1143" s="332"/>
      <c r="DE1143" s="332"/>
      <c r="DF1143" s="332"/>
      <c r="DG1143" s="332"/>
      <c r="DH1143" s="332"/>
      <c r="DI1143" s="332"/>
      <c r="DJ1143" s="332"/>
      <c r="DK1143" s="332"/>
      <c r="DL1143" s="332"/>
      <c r="DM1143" s="332"/>
      <c r="DN1143" s="332"/>
      <c r="DO1143" s="332"/>
      <c r="DP1143" s="332"/>
      <c r="DQ1143" s="332"/>
      <c r="DR1143" s="332"/>
      <c r="DS1143" s="332"/>
      <c r="DT1143" s="332"/>
      <c r="DU1143" s="453"/>
      <c r="DV1143" s="453"/>
      <c r="DW1143" s="453"/>
      <c r="DX1143" s="453"/>
      <c r="DY1143" s="453"/>
      <c r="DZ1143" s="453"/>
      <c r="EA1143" s="453"/>
      <c r="EB1143" s="453"/>
      <c r="EC1143" s="453"/>
      <c r="ED1143" s="453"/>
      <c r="EE1143" s="453"/>
      <c r="EF1143" s="453"/>
      <c r="EG1143" s="453"/>
      <c r="EH1143" s="453"/>
      <c r="EI1143" s="453"/>
      <c r="EJ1143" s="453"/>
      <c r="EK1143" s="453"/>
      <c r="EL1143" s="453"/>
      <c r="EM1143" s="483">
        <f t="shared" si="249"/>
        <v>834</v>
      </c>
      <c r="EN1143" s="485"/>
      <c r="EO1143" s="458"/>
      <c r="EP1143" s="467"/>
      <c r="EQ1143" s="457"/>
      <c r="ER1143" s="808"/>
      <c r="ES1143" s="881">
        <f t="shared" si="252"/>
        <v>0</v>
      </c>
      <c r="ET1143" s="882"/>
      <c r="EU1143" s="883"/>
      <c r="EV1143" s="884">
        <f t="shared" si="253"/>
        <v>0</v>
      </c>
      <c r="EW1143" s="885"/>
      <c r="EX1143" s="885"/>
      <c r="EY1143" s="885"/>
      <c r="EZ1143" s="885"/>
      <c r="FA1143" s="885"/>
      <c r="FB1143" s="885"/>
      <c r="FC1143" s="885"/>
      <c r="FD1143" s="886"/>
      <c r="FE1143" s="878"/>
      <c r="FF1143" s="878"/>
      <c r="FG1143" s="878"/>
      <c r="FH1143" s="878"/>
      <c r="FI1143" s="878"/>
      <c r="FJ1143" s="878"/>
      <c r="FK1143" s="878"/>
      <c r="FL1143" s="555"/>
      <c r="FM1143" s="554"/>
      <c r="FN1143" s="554"/>
      <c r="FO1143" s="554"/>
      <c r="FP1143" s="554"/>
      <c r="FQ1143" s="554"/>
      <c r="FR1143" s="554"/>
      <c r="FS1143" s="554"/>
      <c r="FT1143" s="554"/>
      <c r="FU1143" s="554"/>
      <c r="FV1143" s="554"/>
      <c r="FW1143" s="554"/>
      <c r="FX1143" s="554"/>
      <c r="FY1143" s="554"/>
      <c r="FZ1143" s="554"/>
      <c r="GA1143" s="554"/>
      <c r="GB1143" s="556"/>
      <c r="GC1143" s="370"/>
      <c r="GD1143" s="453"/>
      <c r="GE1143" s="453"/>
      <c r="GF1143" s="453"/>
      <c r="GG1143" s="453"/>
      <c r="GH1143" s="454"/>
      <c r="GI1143" s="453"/>
      <c r="GJ1143" s="453"/>
      <c r="GK1143" s="453"/>
      <c r="GL1143" s="453"/>
      <c r="GM1143" s="453"/>
      <c r="GN1143" s="453"/>
      <c r="GO1143" s="453"/>
      <c r="GP1143" s="453"/>
      <c r="GQ1143" s="453"/>
      <c r="GR1143" s="453"/>
      <c r="GS1143" s="561"/>
      <c r="GT1143" s="475"/>
      <c r="GU1143" s="472"/>
      <c r="GV1143" s="453"/>
      <c r="GW1143" s="453"/>
      <c r="GX1143" s="869"/>
      <c r="GY1143" s="870"/>
      <c r="GZ1143" s="867"/>
      <c r="HA1143" s="868"/>
      <c r="HB1143" s="473"/>
      <c r="HC1143" s="869"/>
      <c r="HD1143" s="870"/>
      <c r="HE1143" s="867"/>
      <c r="HF1143" s="868"/>
      <c r="HG1143" s="473"/>
      <c r="HH1143" s="867"/>
      <c r="HI1143" s="868"/>
      <c r="HJ1143" s="867"/>
      <c r="HK1143" s="868"/>
      <c r="HL1143" s="370"/>
      <c r="HM1143" s="865"/>
      <c r="HN1143" s="866"/>
      <c r="HO1143" s="865"/>
      <c r="HP1143" s="866"/>
      <c r="HQ1143" s="865"/>
      <c r="HR1143" s="866"/>
      <c r="HS1143" s="867"/>
      <c r="HT1143" s="868"/>
      <c r="HU1143" s="489"/>
      <c r="HV1143" s="865"/>
      <c r="HW1143" s="866"/>
    </row>
    <row r="1144" spans="25:231" ht="15" customHeight="1">
      <c r="Y1144" s="332"/>
      <c r="Z1144" s="332"/>
      <c r="AA1144" s="332"/>
      <c r="AB1144" s="332"/>
      <c r="AC1144" s="332"/>
      <c r="AD1144" s="332"/>
      <c r="AE1144" s="332"/>
      <c r="AF1144" s="332"/>
      <c r="AG1144" s="332"/>
      <c r="AH1144" s="332"/>
      <c r="AI1144" s="332"/>
      <c r="AJ1144" s="332"/>
      <c r="AK1144" s="332"/>
      <c r="AL1144" s="332"/>
      <c r="AM1144" s="332"/>
      <c r="AN1144" s="332"/>
      <c r="AO1144" s="332"/>
      <c r="AP1144" s="332"/>
      <c r="AQ1144" s="332"/>
      <c r="AR1144" s="332"/>
      <c r="AS1144" s="332"/>
      <c r="AT1144" s="332"/>
      <c r="AU1144" s="332"/>
      <c r="AV1144" s="332"/>
      <c r="AW1144" s="332"/>
      <c r="AX1144" s="332"/>
      <c r="AY1144" s="332"/>
      <c r="AZ1144" s="332"/>
      <c r="BA1144" s="332"/>
      <c r="BB1144" s="332"/>
      <c r="BC1144" s="332"/>
      <c r="BD1144" s="332"/>
      <c r="BE1144" s="332"/>
      <c r="BF1144" s="332"/>
      <c r="BG1144" s="332"/>
      <c r="BH1144" s="332"/>
      <c r="BI1144" s="332"/>
      <c r="BJ1144" s="332"/>
      <c r="BK1144" s="332"/>
      <c r="BL1144" s="332"/>
      <c r="BM1144" s="332"/>
      <c r="BN1144" s="332"/>
      <c r="BO1144" s="332"/>
      <c r="BP1144" s="332"/>
      <c r="BQ1144" s="332"/>
      <c r="BR1144" s="332"/>
      <c r="BS1144" s="332"/>
      <c r="BT1144" s="332"/>
      <c r="BU1144" s="332"/>
      <c r="BV1144" s="332"/>
      <c r="BW1144" s="332"/>
      <c r="BX1144" s="332"/>
      <c r="BY1144" s="332"/>
      <c r="BZ1144" s="332"/>
      <c r="CA1144" s="332"/>
      <c r="CB1144" s="332"/>
      <c r="CC1144" s="332"/>
      <c r="CD1144" s="332"/>
      <c r="CE1144" s="332"/>
      <c r="CF1144" s="332"/>
      <c r="CG1144" s="332"/>
      <c r="CH1144" s="332"/>
      <c r="CI1144" s="332"/>
      <c r="CJ1144" s="332"/>
      <c r="CK1144" s="332"/>
      <c r="CL1144" s="332"/>
      <c r="CM1144" s="332"/>
      <c r="CN1144" s="332"/>
      <c r="CO1144" s="332"/>
      <c r="CP1144" s="332"/>
      <c r="CQ1144" s="332"/>
      <c r="CR1144" s="332"/>
      <c r="CS1144" s="332"/>
      <c r="CT1144" s="332"/>
      <c r="CU1144" s="332"/>
      <c r="CV1144" s="332"/>
      <c r="CW1144" s="332"/>
      <c r="CX1144" s="332"/>
      <c r="CY1144" s="332"/>
      <c r="CZ1144" s="332"/>
      <c r="DA1144" s="332"/>
      <c r="DB1144" s="332"/>
      <c r="DC1144" s="332"/>
      <c r="DD1144" s="332"/>
      <c r="DE1144" s="332"/>
      <c r="DF1144" s="332"/>
      <c r="DG1144" s="332"/>
      <c r="DH1144" s="332"/>
      <c r="DI1144" s="332"/>
      <c r="DJ1144" s="332"/>
      <c r="DK1144" s="332"/>
      <c r="DL1144" s="332"/>
      <c r="DM1144" s="332"/>
      <c r="DN1144" s="332"/>
      <c r="DO1144" s="332"/>
      <c r="DP1144" s="332"/>
      <c r="DQ1144" s="332"/>
      <c r="DR1144" s="332"/>
      <c r="DS1144" s="332"/>
      <c r="DT1144" s="332"/>
      <c r="DU1144" s="453"/>
      <c r="DV1144" s="453"/>
      <c r="DW1144" s="453"/>
      <c r="DX1144" s="453"/>
      <c r="DY1144" s="453"/>
      <c r="DZ1144" s="453"/>
      <c r="EA1144" s="453"/>
      <c r="EB1144" s="453"/>
      <c r="EC1144" s="453"/>
      <c r="ED1144" s="453"/>
      <c r="EE1144" s="453"/>
      <c r="EF1144" s="453"/>
      <c r="EG1144" s="453"/>
      <c r="EH1144" s="453"/>
      <c r="EI1144" s="453"/>
      <c r="EJ1144" s="453"/>
      <c r="EK1144" s="453"/>
      <c r="EL1144" s="453"/>
      <c r="EM1144" s="483">
        <f t="shared" ref="EM1144:EM1207" si="254">+EM1143+1</f>
        <v>835</v>
      </c>
      <c r="EN1144" s="485"/>
      <c r="EO1144" s="458"/>
      <c r="EP1144" s="467"/>
      <c r="EQ1144" s="457"/>
      <c r="ER1144" s="808"/>
      <c r="ES1144" s="881">
        <f t="shared" si="252"/>
        <v>0</v>
      </c>
      <c r="ET1144" s="882"/>
      <c r="EU1144" s="883"/>
      <c r="EV1144" s="884">
        <f t="shared" si="253"/>
        <v>0</v>
      </c>
      <c r="EW1144" s="885"/>
      <c r="EX1144" s="885"/>
      <c r="EY1144" s="885"/>
      <c r="EZ1144" s="885"/>
      <c r="FA1144" s="885"/>
      <c r="FB1144" s="885"/>
      <c r="FC1144" s="885"/>
      <c r="FD1144" s="886"/>
      <c r="FE1144" s="878"/>
      <c r="FF1144" s="878"/>
      <c r="FG1144" s="878"/>
      <c r="FH1144" s="878"/>
      <c r="FI1144" s="878"/>
      <c r="FJ1144" s="878"/>
      <c r="FK1144" s="878"/>
      <c r="FL1144" s="555"/>
      <c r="FM1144" s="554"/>
      <c r="FN1144" s="554"/>
      <c r="FO1144" s="554"/>
      <c r="FP1144" s="554"/>
      <c r="FQ1144" s="554"/>
      <c r="FR1144" s="554"/>
      <c r="FS1144" s="554"/>
      <c r="FT1144" s="554"/>
      <c r="FU1144" s="554"/>
      <c r="FV1144" s="554"/>
      <c r="FW1144" s="554"/>
      <c r="FX1144" s="554"/>
      <c r="FY1144" s="554"/>
      <c r="FZ1144" s="554"/>
      <c r="GA1144" s="554"/>
      <c r="GB1144" s="556"/>
      <c r="GC1144" s="370"/>
      <c r="GD1144" s="453"/>
      <c r="GE1144" s="453"/>
      <c r="GF1144" s="453"/>
      <c r="GG1144" s="453"/>
      <c r="GH1144" s="454"/>
      <c r="GI1144" s="453"/>
      <c r="GJ1144" s="453"/>
      <c r="GK1144" s="453"/>
      <c r="GL1144" s="453"/>
      <c r="GM1144" s="453"/>
      <c r="GN1144" s="453"/>
      <c r="GO1144" s="453"/>
      <c r="GP1144" s="453"/>
      <c r="GQ1144" s="453"/>
      <c r="GR1144" s="453"/>
      <c r="GS1144" s="561"/>
      <c r="GT1144" s="475"/>
      <c r="GU1144" s="472"/>
      <c r="GV1144" s="453"/>
      <c r="GW1144" s="453"/>
      <c r="GX1144" s="869"/>
      <c r="GY1144" s="870"/>
      <c r="GZ1144" s="867"/>
      <c r="HA1144" s="868"/>
      <c r="HB1144" s="473"/>
      <c r="HC1144" s="869"/>
      <c r="HD1144" s="870"/>
      <c r="HE1144" s="867"/>
      <c r="HF1144" s="868"/>
      <c r="HG1144" s="473"/>
      <c r="HH1144" s="867"/>
      <c r="HI1144" s="868"/>
      <c r="HJ1144" s="867"/>
      <c r="HK1144" s="868"/>
      <c r="HL1144" s="370"/>
      <c r="HM1144" s="865"/>
      <c r="HN1144" s="866"/>
      <c r="HO1144" s="865"/>
      <c r="HP1144" s="866"/>
      <c r="HQ1144" s="865"/>
      <c r="HR1144" s="866"/>
      <c r="HS1144" s="867"/>
      <c r="HT1144" s="868"/>
      <c r="HU1144" s="489"/>
      <c r="HV1144" s="865"/>
      <c r="HW1144" s="866"/>
    </row>
    <row r="1145" spans="25:231" ht="15" customHeight="1">
      <c r="Y1145" s="332"/>
      <c r="Z1145" s="332"/>
      <c r="AA1145" s="332"/>
      <c r="AB1145" s="332"/>
      <c r="AC1145" s="332"/>
      <c r="AD1145" s="332"/>
      <c r="AE1145" s="332"/>
      <c r="AF1145" s="332"/>
      <c r="AG1145" s="332"/>
      <c r="AH1145" s="332"/>
      <c r="AI1145" s="332"/>
      <c r="AJ1145" s="332"/>
      <c r="AK1145" s="332"/>
      <c r="AL1145" s="332"/>
      <c r="AM1145" s="332"/>
      <c r="AN1145" s="332"/>
      <c r="AO1145" s="332"/>
      <c r="AP1145" s="332"/>
      <c r="AQ1145" s="332"/>
      <c r="AR1145" s="332"/>
      <c r="AS1145" s="332"/>
      <c r="AT1145" s="332"/>
      <c r="AU1145" s="332"/>
      <c r="AV1145" s="332"/>
      <c r="AW1145" s="332"/>
      <c r="AX1145" s="332"/>
      <c r="AY1145" s="332"/>
      <c r="AZ1145" s="332"/>
      <c r="BA1145" s="332"/>
      <c r="BB1145" s="332"/>
      <c r="BC1145" s="332"/>
      <c r="BD1145" s="332"/>
      <c r="BE1145" s="332"/>
      <c r="BF1145" s="332"/>
      <c r="BG1145" s="332"/>
      <c r="BH1145" s="332"/>
      <c r="BI1145" s="332"/>
      <c r="BJ1145" s="332"/>
      <c r="BK1145" s="332"/>
      <c r="BL1145" s="332"/>
      <c r="BM1145" s="332"/>
      <c r="BN1145" s="332"/>
      <c r="BO1145" s="332"/>
      <c r="BP1145" s="332"/>
      <c r="BQ1145" s="332"/>
      <c r="BR1145" s="332"/>
      <c r="BS1145" s="332"/>
      <c r="BT1145" s="332"/>
      <c r="BU1145" s="332"/>
      <c r="BV1145" s="332"/>
      <c r="BW1145" s="332"/>
      <c r="BX1145" s="332"/>
      <c r="BY1145" s="332"/>
      <c r="BZ1145" s="332"/>
      <c r="CA1145" s="332"/>
      <c r="CB1145" s="332"/>
      <c r="CC1145" s="332"/>
      <c r="CD1145" s="332"/>
      <c r="CE1145" s="332"/>
      <c r="CF1145" s="332"/>
      <c r="CG1145" s="332"/>
      <c r="CH1145" s="332"/>
      <c r="CI1145" s="332"/>
      <c r="CJ1145" s="332"/>
      <c r="CK1145" s="332"/>
      <c r="CL1145" s="332"/>
      <c r="CM1145" s="332"/>
      <c r="CN1145" s="332"/>
      <c r="CO1145" s="332"/>
      <c r="CP1145" s="332"/>
      <c r="CQ1145" s="332"/>
      <c r="CR1145" s="332"/>
      <c r="CS1145" s="332"/>
      <c r="CT1145" s="332"/>
      <c r="CU1145" s="332"/>
      <c r="CV1145" s="332"/>
      <c r="CW1145" s="332"/>
      <c r="CX1145" s="332"/>
      <c r="CY1145" s="332"/>
      <c r="CZ1145" s="332"/>
      <c r="DA1145" s="332"/>
      <c r="DB1145" s="332"/>
      <c r="DC1145" s="332"/>
      <c r="DD1145" s="332"/>
      <c r="DE1145" s="332"/>
      <c r="DF1145" s="332"/>
      <c r="DG1145" s="332"/>
      <c r="DH1145" s="332"/>
      <c r="DI1145" s="332"/>
      <c r="DJ1145" s="332"/>
      <c r="DK1145" s="332"/>
      <c r="DL1145" s="332"/>
      <c r="DM1145" s="332"/>
      <c r="DN1145" s="332"/>
      <c r="DO1145" s="332"/>
      <c r="DP1145" s="332"/>
      <c r="DQ1145" s="332"/>
      <c r="DR1145" s="332"/>
      <c r="DS1145" s="332"/>
      <c r="DT1145" s="332"/>
      <c r="DU1145" s="453"/>
      <c r="DV1145" s="453"/>
      <c r="DW1145" s="453"/>
      <c r="DX1145" s="453"/>
      <c r="DY1145" s="453"/>
      <c r="DZ1145" s="453"/>
      <c r="EA1145" s="453"/>
      <c r="EB1145" s="453"/>
      <c r="EC1145" s="453"/>
      <c r="ED1145" s="453"/>
      <c r="EE1145" s="453"/>
      <c r="EF1145" s="453"/>
      <c r="EG1145" s="453"/>
      <c r="EH1145" s="453"/>
      <c r="EI1145" s="453"/>
      <c r="EJ1145" s="453"/>
      <c r="EK1145" s="453"/>
      <c r="EL1145" s="453"/>
      <c r="EM1145" s="483">
        <f t="shared" si="254"/>
        <v>836</v>
      </c>
      <c r="EN1145" s="485"/>
      <c r="EO1145" s="458"/>
      <c r="EP1145" s="467"/>
      <c r="EQ1145" s="457"/>
      <c r="ER1145" s="808"/>
      <c r="ES1145" s="881">
        <f t="shared" si="252"/>
        <v>0</v>
      </c>
      <c r="ET1145" s="882"/>
      <c r="EU1145" s="883"/>
      <c r="EV1145" s="884">
        <f t="shared" si="253"/>
        <v>0</v>
      </c>
      <c r="EW1145" s="885"/>
      <c r="EX1145" s="885"/>
      <c r="EY1145" s="885"/>
      <c r="EZ1145" s="885"/>
      <c r="FA1145" s="885"/>
      <c r="FB1145" s="885"/>
      <c r="FC1145" s="885"/>
      <c r="FD1145" s="886"/>
      <c r="FE1145" s="878"/>
      <c r="FF1145" s="878"/>
      <c r="FG1145" s="878"/>
      <c r="FH1145" s="878"/>
      <c r="FI1145" s="878"/>
      <c r="FJ1145" s="878"/>
      <c r="FK1145" s="878"/>
      <c r="FL1145" s="555"/>
      <c r="FM1145" s="554"/>
      <c r="FN1145" s="554"/>
      <c r="FO1145" s="554"/>
      <c r="FP1145" s="554"/>
      <c r="FQ1145" s="554"/>
      <c r="FR1145" s="554"/>
      <c r="FS1145" s="554"/>
      <c r="FT1145" s="554"/>
      <c r="FU1145" s="554"/>
      <c r="FV1145" s="554"/>
      <c r="FW1145" s="554"/>
      <c r="FX1145" s="554"/>
      <c r="FY1145" s="554"/>
      <c r="FZ1145" s="554"/>
      <c r="GA1145" s="554"/>
      <c r="GB1145" s="556"/>
      <c r="GC1145" s="370"/>
      <c r="GD1145" s="453"/>
      <c r="GE1145" s="453"/>
      <c r="GF1145" s="453"/>
      <c r="GG1145" s="453"/>
      <c r="GH1145" s="454"/>
      <c r="GI1145" s="453"/>
      <c r="GJ1145" s="453"/>
      <c r="GK1145" s="453"/>
      <c r="GL1145" s="453"/>
      <c r="GM1145" s="453"/>
      <c r="GN1145" s="453"/>
      <c r="GO1145" s="453"/>
      <c r="GP1145" s="453"/>
      <c r="GQ1145" s="453"/>
      <c r="GR1145" s="453"/>
      <c r="GS1145" s="561"/>
      <c r="GT1145" s="475"/>
      <c r="GU1145" s="472"/>
      <c r="GV1145" s="453"/>
      <c r="GW1145" s="453"/>
      <c r="GX1145" s="869"/>
      <c r="GY1145" s="870"/>
      <c r="GZ1145" s="867"/>
      <c r="HA1145" s="868"/>
      <c r="HB1145" s="473"/>
      <c r="HC1145" s="869"/>
      <c r="HD1145" s="870"/>
      <c r="HE1145" s="867"/>
      <c r="HF1145" s="868"/>
      <c r="HG1145" s="473"/>
      <c r="HH1145" s="867"/>
      <c r="HI1145" s="868"/>
      <c r="HJ1145" s="867"/>
      <c r="HK1145" s="868"/>
      <c r="HL1145" s="370"/>
      <c r="HM1145" s="865"/>
      <c r="HN1145" s="866"/>
      <c r="HO1145" s="865"/>
      <c r="HP1145" s="866"/>
      <c r="HQ1145" s="865"/>
      <c r="HR1145" s="866"/>
      <c r="HS1145" s="867"/>
      <c r="HT1145" s="868"/>
      <c r="HU1145" s="489"/>
      <c r="HV1145" s="865"/>
      <c r="HW1145" s="866"/>
    </row>
    <row r="1146" spans="25:231" ht="15" customHeight="1">
      <c r="Y1146" s="332"/>
      <c r="Z1146" s="332"/>
      <c r="AA1146" s="332"/>
      <c r="AB1146" s="332"/>
      <c r="AC1146" s="332"/>
      <c r="AD1146" s="332"/>
      <c r="AE1146" s="332"/>
      <c r="AF1146" s="332"/>
      <c r="AG1146" s="332"/>
      <c r="AH1146" s="332"/>
      <c r="AI1146" s="332"/>
      <c r="AJ1146" s="332"/>
      <c r="AK1146" s="332"/>
      <c r="AL1146" s="332"/>
      <c r="AM1146" s="332"/>
      <c r="AN1146" s="332"/>
      <c r="AO1146" s="332"/>
      <c r="AP1146" s="332"/>
      <c r="AQ1146" s="332"/>
      <c r="AR1146" s="332"/>
      <c r="AS1146" s="332"/>
      <c r="AT1146" s="332"/>
      <c r="AU1146" s="332"/>
      <c r="AV1146" s="332"/>
      <c r="AW1146" s="332"/>
      <c r="AX1146" s="332"/>
      <c r="AY1146" s="332"/>
      <c r="AZ1146" s="332"/>
      <c r="BA1146" s="332"/>
      <c r="BB1146" s="332"/>
      <c r="BC1146" s="332"/>
      <c r="BD1146" s="332"/>
      <c r="BE1146" s="332"/>
      <c r="BF1146" s="332"/>
      <c r="BG1146" s="332"/>
      <c r="BH1146" s="332"/>
      <c r="BI1146" s="332"/>
      <c r="BJ1146" s="332"/>
      <c r="BK1146" s="332"/>
      <c r="BL1146" s="332"/>
      <c r="BM1146" s="332"/>
      <c r="BN1146" s="332"/>
      <c r="BO1146" s="332"/>
      <c r="BP1146" s="332"/>
      <c r="BQ1146" s="332"/>
      <c r="BR1146" s="332"/>
      <c r="BS1146" s="332"/>
      <c r="BT1146" s="332"/>
      <c r="BU1146" s="332"/>
      <c r="BV1146" s="332"/>
      <c r="BW1146" s="332"/>
      <c r="BX1146" s="332"/>
      <c r="BY1146" s="332"/>
      <c r="BZ1146" s="332"/>
      <c r="CA1146" s="332"/>
      <c r="CB1146" s="332"/>
      <c r="CC1146" s="332"/>
      <c r="CD1146" s="332"/>
      <c r="CE1146" s="332"/>
      <c r="CF1146" s="332"/>
      <c r="CG1146" s="332"/>
      <c r="CH1146" s="332"/>
      <c r="CI1146" s="332"/>
      <c r="CJ1146" s="332"/>
      <c r="CK1146" s="332"/>
      <c r="CL1146" s="332"/>
      <c r="CM1146" s="332"/>
      <c r="CN1146" s="332"/>
      <c r="CO1146" s="332"/>
      <c r="CP1146" s="332"/>
      <c r="CQ1146" s="332"/>
      <c r="CR1146" s="332"/>
      <c r="CS1146" s="332"/>
      <c r="CT1146" s="332"/>
      <c r="CU1146" s="332"/>
      <c r="CV1146" s="332"/>
      <c r="CW1146" s="332"/>
      <c r="CX1146" s="332"/>
      <c r="CY1146" s="332"/>
      <c r="CZ1146" s="332"/>
      <c r="DA1146" s="332"/>
      <c r="DB1146" s="332"/>
      <c r="DC1146" s="332"/>
      <c r="DD1146" s="332"/>
      <c r="DE1146" s="332"/>
      <c r="DF1146" s="332"/>
      <c r="DG1146" s="332"/>
      <c r="DH1146" s="332"/>
      <c r="DI1146" s="332"/>
      <c r="DJ1146" s="332"/>
      <c r="DK1146" s="332"/>
      <c r="DL1146" s="332"/>
      <c r="DM1146" s="332"/>
      <c r="DN1146" s="332"/>
      <c r="DO1146" s="332"/>
      <c r="DP1146" s="332"/>
      <c r="DQ1146" s="332"/>
      <c r="DR1146" s="332"/>
      <c r="DS1146" s="332"/>
      <c r="DT1146" s="332"/>
      <c r="DU1146" s="453"/>
      <c r="DV1146" s="453"/>
      <c r="DW1146" s="453"/>
      <c r="DX1146" s="453"/>
      <c r="DY1146" s="453"/>
      <c r="DZ1146" s="453"/>
      <c r="EA1146" s="453"/>
      <c r="EB1146" s="453"/>
      <c r="EC1146" s="453"/>
      <c r="ED1146" s="453"/>
      <c r="EE1146" s="453"/>
      <c r="EF1146" s="453"/>
      <c r="EG1146" s="453"/>
      <c r="EH1146" s="453"/>
      <c r="EI1146" s="453"/>
      <c r="EJ1146" s="453"/>
      <c r="EK1146" s="453"/>
      <c r="EL1146" s="453"/>
      <c r="EM1146" s="483">
        <f t="shared" si="254"/>
        <v>837</v>
      </c>
      <c r="EN1146" s="485"/>
      <c r="EO1146" s="458"/>
      <c r="EP1146" s="467"/>
      <c r="EQ1146" s="457"/>
      <c r="ER1146" s="808"/>
      <c r="ES1146" s="881">
        <f t="shared" si="252"/>
        <v>0</v>
      </c>
      <c r="ET1146" s="882"/>
      <c r="EU1146" s="883"/>
      <c r="EV1146" s="884">
        <f t="shared" si="253"/>
        <v>0</v>
      </c>
      <c r="EW1146" s="885"/>
      <c r="EX1146" s="885"/>
      <c r="EY1146" s="885"/>
      <c r="EZ1146" s="885"/>
      <c r="FA1146" s="885"/>
      <c r="FB1146" s="885"/>
      <c r="FC1146" s="885"/>
      <c r="FD1146" s="886"/>
      <c r="FE1146" s="878"/>
      <c r="FF1146" s="878"/>
      <c r="FG1146" s="878"/>
      <c r="FH1146" s="878"/>
      <c r="FI1146" s="878"/>
      <c r="FJ1146" s="878"/>
      <c r="FK1146" s="878"/>
      <c r="FL1146" s="555"/>
      <c r="FM1146" s="554"/>
      <c r="FN1146" s="554"/>
      <c r="FO1146" s="554"/>
      <c r="FP1146" s="554"/>
      <c r="FQ1146" s="554"/>
      <c r="FR1146" s="554"/>
      <c r="FS1146" s="554"/>
      <c r="FT1146" s="554"/>
      <c r="FU1146" s="554"/>
      <c r="FV1146" s="554"/>
      <c r="FW1146" s="554"/>
      <c r="FX1146" s="554"/>
      <c r="FY1146" s="554"/>
      <c r="FZ1146" s="554"/>
      <c r="GA1146" s="554"/>
      <c r="GB1146" s="556"/>
      <c r="GC1146" s="370"/>
      <c r="GD1146" s="453"/>
      <c r="GE1146" s="453"/>
      <c r="GF1146" s="453"/>
      <c r="GG1146" s="453"/>
      <c r="GH1146" s="454"/>
      <c r="GI1146" s="453"/>
      <c r="GJ1146" s="453"/>
      <c r="GK1146" s="453"/>
      <c r="GL1146" s="453"/>
      <c r="GM1146" s="453"/>
      <c r="GN1146" s="453"/>
      <c r="GO1146" s="453"/>
      <c r="GP1146" s="453"/>
      <c r="GQ1146" s="453"/>
      <c r="GR1146" s="453"/>
      <c r="GS1146" s="561"/>
      <c r="GT1146" s="475"/>
      <c r="GU1146" s="472"/>
      <c r="GV1146" s="453"/>
      <c r="GW1146" s="453"/>
      <c r="GX1146" s="869"/>
      <c r="GY1146" s="870"/>
      <c r="GZ1146" s="867"/>
      <c r="HA1146" s="868"/>
      <c r="HB1146" s="473"/>
      <c r="HC1146" s="869"/>
      <c r="HD1146" s="870"/>
      <c r="HE1146" s="867"/>
      <c r="HF1146" s="868"/>
      <c r="HG1146" s="473"/>
      <c r="HH1146" s="867"/>
      <c r="HI1146" s="868"/>
      <c r="HJ1146" s="867"/>
      <c r="HK1146" s="868"/>
      <c r="HL1146" s="370"/>
      <c r="HM1146" s="865"/>
      <c r="HN1146" s="866"/>
      <c r="HO1146" s="865"/>
      <c r="HP1146" s="866"/>
      <c r="HQ1146" s="865"/>
      <c r="HR1146" s="866"/>
      <c r="HS1146" s="867"/>
      <c r="HT1146" s="868"/>
      <c r="HU1146" s="489"/>
      <c r="HV1146" s="865"/>
      <c r="HW1146" s="866"/>
    </row>
    <row r="1147" spans="25:231" ht="15" customHeight="1">
      <c r="Y1147" s="332"/>
      <c r="Z1147" s="332"/>
      <c r="AA1147" s="332"/>
      <c r="AB1147" s="332"/>
      <c r="AC1147" s="332"/>
      <c r="AD1147" s="332"/>
      <c r="AE1147" s="332"/>
      <c r="AF1147" s="332"/>
      <c r="AG1147" s="332"/>
      <c r="AH1147" s="332"/>
      <c r="AI1147" s="332"/>
      <c r="AJ1147" s="332"/>
      <c r="AK1147" s="332"/>
      <c r="AL1147" s="332"/>
      <c r="AM1147" s="332"/>
      <c r="AN1147" s="332"/>
      <c r="AO1147" s="332"/>
      <c r="AP1147" s="332"/>
      <c r="AQ1147" s="332"/>
      <c r="AR1147" s="332"/>
      <c r="AS1147" s="332"/>
      <c r="AT1147" s="332"/>
      <c r="AU1147" s="332"/>
      <c r="AV1147" s="332"/>
      <c r="AW1147" s="332"/>
      <c r="AX1147" s="332"/>
      <c r="AY1147" s="332"/>
      <c r="AZ1147" s="332"/>
      <c r="BA1147" s="332"/>
      <c r="BB1147" s="332"/>
      <c r="BC1147" s="332"/>
      <c r="BD1147" s="332"/>
      <c r="BE1147" s="332"/>
      <c r="BF1147" s="332"/>
      <c r="BG1147" s="332"/>
      <c r="BH1147" s="332"/>
      <c r="BI1147" s="332"/>
      <c r="BJ1147" s="332"/>
      <c r="BK1147" s="332"/>
      <c r="BL1147" s="332"/>
      <c r="BM1147" s="332"/>
      <c r="BN1147" s="332"/>
      <c r="BO1147" s="332"/>
      <c r="BP1147" s="332"/>
      <c r="BQ1147" s="332"/>
      <c r="BR1147" s="332"/>
      <c r="BS1147" s="332"/>
      <c r="BT1147" s="332"/>
      <c r="BU1147" s="332"/>
      <c r="BV1147" s="332"/>
      <c r="BW1147" s="332"/>
      <c r="BX1147" s="332"/>
      <c r="BY1147" s="332"/>
      <c r="BZ1147" s="332"/>
      <c r="CA1147" s="332"/>
      <c r="CB1147" s="332"/>
      <c r="CC1147" s="332"/>
      <c r="CD1147" s="332"/>
      <c r="CE1147" s="332"/>
      <c r="CF1147" s="332"/>
      <c r="CG1147" s="332"/>
      <c r="CH1147" s="332"/>
      <c r="CI1147" s="332"/>
      <c r="CJ1147" s="332"/>
      <c r="CK1147" s="332"/>
      <c r="CL1147" s="332"/>
      <c r="CM1147" s="332"/>
      <c r="CN1147" s="332"/>
      <c r="CO1147" s="332"/>
      <c r="CP1147" s="332"/>
      <c r="CQ1147" s="332"/>
      <c r="CR1147" s="332"/>
      <c r="CS1147" s="332"/>
      <c r="CT1147" s="332"/>
      <c r="CU1147" s="332"/>
      <c r="CV1147" s="332"/>
      <c r="CW1147" s="332"/>
      <c r="CX1147" s="332"/>
      <c r="CY1147" s="332"/>
      <c r="CZ1147" s="332"/>
      <c r="DA1147" s="332"/>
      <c r="DB1147" s="332"/>
      <c r="DC1147" s="332"/>
      <c r="DD1147" s="332"/>
      <c r="DE1147" s="332"/>
      <c r="DF1147" s="332"/>
      <c r="DG1147" s="332"/>
      <c r="DH1147" s="332"/>
      <c r="DI1147" s="332"/>
      <c r="DJ1147" s="332"/>
      <c r="DK1147" s="332"/>
      <c r="DL1147" s="332"/>
      <c r="DM1147" s="332"/>
      <c r="DN1147" s="332"/>
      <c r="DO1147" s="332"/>
      <c r="DP1147" s="332"/>
      <c r="DQ1147" s="332"/>
      <c r="DR1147" s="332"/>
      <c r="DS1147" s="332"/>
      <c r="DT1147" s="332"/>
      <c r="DU1147" s="453"/>
      <c r="DV1147" s="453"/>
      <c r="DW1147" s="453"/>
      <c r="DX1147" s="453"/>
      <c r="DY1147" s="453"/>
      <c r="DZ1147" s="453"/>
      <c r="EA1147" s="453"/>
      <c r="EB1147" s="453"/>
      <c r="EC1147" s="453"/>
      <c r="ED1147" s="453"/>
      <c r="EE1147" s="453"/>
      <c r="EF1147" s="453"/>
      <c r="EG1147" s="453"/>
      <c r="EH1147" s="453"/>
      <c r="EI1147" s="453"/>
      <c r="EJ1147" s="453"/>
      <c r="EK1147" s="453"/>
      <c r="EL1147" s="453"/>
      <c r="EM1147" s="483">
        <f t="shared" si="254"/>
        <v>838</v>
      </c>
      <c r="EN1147" s="485"/>
      <c r="EO1147" s="458"/>
      <c r="EP1147" s="467"/>
      <c r="EQ1147" s="457"/>
      <c r="ER1147" s="808"/>
      <c r="ES1147" s="881">
        <f t="shared" si="252"/>
        <v>0</v>
      </c>
      <c r="ET1147" s="882"/>
      <c r="EU1147" s="883"/>
      <c r="EV1147" s="884">
        <f t="shared" si="253"/>
        <v>0</v>
      </c>
      <c r="EW1147" s="885"/>
      <c r="EX1147" s="885"/>
      <c r="EY1147" s="885"/>
      <c r="EZ1147" s="885"/>
      <c r="FA1147" s="885"/>
      <c r="FB1147" s="885"/>
      <c r="FC1147" s="885"/>
      <c r="FD1147" s="886"/>
      <c r="FE1147" s="878"/>
      <c r="FF1147" s="878"/>
      <c r="FG1147" s="878"/>
      <c r="FH1147" s="878"/>
      <c r="FI1147" s="878"/>
      <c r="FJ1147" s="878"/>
      <c r="FK1147" s="878"/>
      <c r="FL1147" s="555"/>
      <c r="FM1147" s="554"/>
      <c r="FN1147" s="554"/>
      <c r="FO1147" s="554"/>
      <c r="FP1147" s="554"/>
      <c r="FQ1147" s="554"/>
      <c r="FR1147" s="554"/>
      <c r="FS1147" s="554"/>
      <c r="FT1147" s="554"/>
      <c r="FU1147" s="554"/>
      <c r="FV1147" s="554"/>
      <c r="FW1147" s="554"/>
      <c r="FX1147" s="554"/>
      <c r="FY1147" s="554"/>
      <c r="FZ1147" s="554"/>
      <c r="GA1147" s="554"/>
      <c r="GB1147" s="556"/>
      <c r="GC1147" s="370"/>
      <c r="GD1147" s="453"/>
      <c r="GE1147" s="453"/>
      <c r="GF1147" s="453"/>
      <c r="GG1147" s="453"/>
      <c r="GH1147" s="454"/>
      <c r="GI1147" s="453"/>
      <c r="GJ1147" s="453"/>
      <c r="GK1147" s="453"/>
      <c r="GL1147" s="453"/>
      <c r="GM1147" s="453"/>
      <c r="GN1147" s="453"/>
      <c r="GO1147" s="453"/>
      <c r="GP1147" s="453"/>
      <c r="GQ1147" s="453"/>
      <c r="GR1147" s="453"/>
      <c r="GS1147" s="561"/>
      <c r="GT1147" s="475"/>
      <c r="GU1147" s="472"/>
      <c r="GV1147" s="453"/>
      <c r="GW1147" s="453"/>
      <c r="GX1147" s="869"/>
      <c r="GY1147" s="870"/>
      <c r="GZ1147" s="867"/>
      <c r="HA1147" s="868"/>
      <c r="HB1147" s="473"/>
      <c r="HC1147" s="869"/>
      <c r="HD1147" s="870"/>
      <c r="HE1147" s="867"/>
      <c r="HF1147" s="868"/>
      <c r="HG1147" s="473"/>
      <c r="HH1147" s="867"/>
      <c r="HI1147" s="868"/>
      <c r="HJ1147" s="867"/>
      <c r="HK1147" s="868"/>
      <c r="HL1147" s="370"/>
      <c r="HM1147" s="865"/>
      <c r="HN1147" s="866"/>
      <c r="HO1147" s="865"/>
      <c r="HP1147" s="866"/>
      <c r="HQ1147" s="865"/>
      <c r="HR1147" s="866"/>
      <c r="HS1147" s="867"/>
      <c r="HT1147" s="868"/>
      <c r="HU1147" s="489"/>
      <c r="HV1147" s="865"/>
      <c r="HW1147" s="866"/>
    </row>
    <row r="1148" spans="25:231" ht="15" customHeight="1">
      <c r="Y1148" s="332"/>
      <c r="Z1148" s="332"/>
      <c r="AA1148" s="332"/>
      <c r="AB1148" s="332"/>
      <c r="AC1148" s="332"/>
      <c r="AD1148" s="332"/>
      <c r="AE1148" s="332"/>
      <c r="AF1148" s="332"/>
      <c r="AG1148" s="332"/>
      <c r="AH1148" s="332"/>
      <c r="AI1148" s="332"/>
      <c r="AJ1148" s="332"/>
      <c r="AK1148" s="332"/>
      <c r="AL1148" s="332"/>
      <c r="AM1148" s="332"/>
      <c r="AN1148" s="332"/>
      <c r="AO1148" s="332"/>
      <c r="AP1148" s="332"/>
      <c r="AQ1148" s="332"/>
      <c r="AR1148" s="332"/>
      <c r="AS1148" s="332"/>
      <c r="AT1148" s="332"/>
      <c r="AU1148" s="332"/>
      <c r="AV1148" s="332"/>
      <c r="AW1148" s="332"/>
      <c r="AX1148" s="332"/>
      <c r="AY1148" s="332"/>
      <c r="AZ1148" s="332"/>
      <c r="BA1148" s="332"/>
      <c r="BB1148" s="332"/>
      <c r="BC1148" s="332"/>
      <c r="BD1148" s="332"/>
      <c r="BE1148" s="332"/>
      <c r="BF1148" s="332"/>
      <c r="BG1148" s="332"/>
      <c r="BH1148" s="332"/>
      <c r="BI1148" s="332"/>
      <c r="BJ1148" s="332"/>
      <c r="BK1148" s="332"/>
      <c r="BL1148" s="332"/>
      <c r="BM1148" s="332"/>
      <c r="BN1148" s="332"/>
      <c r="BO1148" s="332"/>
      <c r="BP1148" s="332"/>
      <c r="BQ1148" s="332"/>
      <c r="BR1148" s="332"/>
      <c r="BS1148" s="332"/>
      <c r="BT1148" s="332"/>
      <c r="BU1148" s="332"/>
      <c r="BV1148" s="332"/>
      <c r="BW1148" s="332"/>
      <c r="BX1148" s="332"/>
      <c r="BY1148" s="332"/>
      <c r="BZ1148" s="332"/>
      <c r="CA1148" s="332"/>
      <c r="CB1148" s="332"/>
      <c r="CC1148" s="332"/>
      <c r="CD1148" s="332"/>
      <c r="CE1148" s="332"/>
      <c r="CF1148" s="332"/>
      <c r="CG1148" s="332"/>
      <c r="CH1148" s="332"/>
      <c r="CI1148" s="332"/>
      <c r="CJ1148" s="332"/>
      <c r="CK1148" s="332"/>
      <c r="CL1148" s="332"/>
      <c r="CM1148" s="332"/>
      <c r="CN1148" s="332"/>
      <c r="CO1148" s="332"/>
      <c r="CP1148" s="332"/>
      <c r="CQ1148" s="332"/>
      <c r="CR1148" s="332"/>
      <c r="CS1148" s="332"/>
      <c r="CT1148" s="332"/>
      <c r="CU1148" s="332"/>
      <c r="CV1148" s="332"/>
      <c r="CW1148" s="332"/>
      <c r="CX1148" s="332"/>
      <c r="CY1148" s="332"/>
      <c r="CZ1148" s="332"/>
      <c r="DA1148" s="332"/>
      <c r="DB1148" s="332"/>
      <c r="DC1148" s="332"/>
      <c r="DD1148" s="332"/>
      <c r="DE1148" s="332"/>
      <c r="DF1148" s="332"/>
      <c r="DG1148" s="332"/>
      <c r="DH1148" s="332"/>
      <c r="DI1148" s="332"/>
      <c r="DJ1148" s="332"/>
      <c r="DK1148" s="332"/>
      <c r="DL1148" s="332"/>
      <c r="DM1148" s="332"/>
      <c r="DN1148" s="332"/>
      <c r="DO1148" s="332"/>
      <c r="DP1148" s="332"/>
      <c r="DQ1148" s="332"/>
      <c r="DR1148" s="332"/>
      <c r="DS1148" s="332"/>
      <c r="DT1148" s="332"/>
      <c r="DU1148" s="453"/>
      <c r="DV1148" s="453"/>
      <c r="DW1148" s="453"/>
      <c r="DX1148" s="453"/>
      <c r="DY1148" s="453"/>
      <c r="DZ1148" s="453"/>
      <c r="EA1148" s="453"/>
      <c r="EB1148" s="453"/>
      <c r="EC1148" s="453"/>
      <c r="ED1148" s="453"/>
      <c r="EE1148" s="453"/>
      <c r="EF1148" s="453"/>
      <c r="EG1148" s="453"/>
      <c r="EH1148" s="453"/>
      <c r="EI1148" s="453"/>
      <c r="EJ1148" s="453"/>
      <c r="EK1148" s="453"/>
      <c r="EL1148" s="453"/>
      <c r="EM1148" s="483">
        <f t="shared" si="254"/>
        <v>839</v>
      </c>
      <c r="EN1148" s="485"/>
      <c r="EO1148" s="458"/>
      <c r="EP1148" s="467"/>
      <c r="EQ1148" s="457"/>
      <c r="ER1148" s="808"/>
      <c r="ES1148" s="881">
        <f t="shared" si="252"/>
        <v>0</v>
      </c>
      <c r="ET1148" s="882"/>
      <c r="EU1148" s="883"/>
      <c r="EV1148" s="884">
        <f t="shared" si="253"/>
        <v>0</v>
      </c>
      <c r="EW1148" s="885"/>
      <c r="EX1148" s="885"/>
      <c r="EY1148" s="885"/>
      <c r="EZ1148" s="885"/>
      <c r="FA1148" s="885"/>
      <c r="FB1148" s="885"/>
      <c r="FC1148" s="885"/>
      <c r="FD1148" s="886"/>
      <c r="FE1148" s="878"/>
      <c r="FF1148" s="878"/>
      <c r="FG1148" s="878"/>
      <c r="FH1148" s="878"/>
      <c r="FI1148" s="878"/>
      <c r="FJ1148" s="878"/>
      <c r="FK1148" s="878"/>
      <c r="FL1148" s="555"/>
      <c r="FM1148" s="554"/>
      <c r="FN1148" s="554"/>
      <c r="FO1148" s="554"/>
      <c r="FP1148" s="554"/>
      <c r="FQ1148" s="554"/>
      <c r="FR1148" s="554"/>
      <c r="FS1148" s="554"/>
      <c r="FT1148" s="554"/>
      <c r="FU1148" s="554"/>
      <c r="FV1148" s="554"/>
      <c r="FW1148" s="554"/>
      <c r="FX1148" s="554"/>
      <c r="FY1148" s="554"/>
      <c r="FZ1148" s="554"/>
      <c r="GA1148" s="554"/>
      <c r="GB1148" s="556"/>
      <c r="GC1148" s="370"/>
      <c r="GD1148" s="453"/>
      <c r="GE1148" s="453"/>
      <c r="GF1148" s="453"/>
      <c r="GG1148" s="453"/>
      <c r="GH1148" s="454"/>
      <c r="GI1148" s="453"/>
      <c r="GJ1148" s="453"/>
      <c r="GK1148" s="453"/>
      <c r="GL1148" s="453"/>
      <c r="GM1148" s="453"/>
      <c r="GN1148" s="453"/>
      <c r="GO1148" s="453"/>
      <c r="GP1148" s="453"/>
      <c r="GQ1148" s="453"/>
      <c r="GR1148" s="453"/>
      <c r="GS1148" s="561"/>
      <c r="GT1148" s="475"/>
      <c r="GU1148" s="472"/>
      <c r="GV1148" s="453"/>
      <c r="GW1148" s="453"/>
      <c r="GX1148" s="869"/>
      <c r="GY1148" s="870"/>
      <c r="GZ1148" s="867"/>
      <c r="HA1148" s="868"/>
      <c r="HB1148" s="473"/>
      <c r="HC1148" s="869"/>
      <c r="HD1148" s="870"/>
      <c r="HE1148" s="867"/>
      <c r="HF1148" s="868"/>
      <c r="HG1148" s="473"/>
      <c r="HH1148" s="867"/>
      <c r="HI1148" s="868"/>
      <c r="HJ1148" s="867"/>
      <c r="HK1148" s="868"/>
      <c r="HL1148" s="370"/>
      <c r="HM1148" s="865"/>
      <c r="HN1148" s="866"/>
      <c r="HO1148" s="865"/>
      <c r="HP1148" s="866"/>
      <c r="HQ1148" s="865"/>
      <c r="HR1148" s="866"/>
      <c r="HS1148" s="867"/>
      <c r="HT1148" s="868"/>
      <c r="HU1148" s="489"/>
      <c r="HV1148" s="865"/>
      <c r="HW1148" s="866"/>
    </row>
    <row r="1149" spans="25:231" ht="15" customHeight="1">
      <c r="Y1149" s="332"/>
      <c r="Z1149" s="332"/>
      <c r="AA1149" s="332"/>
      <c r="AB1149" s="332"/>
      <c r="AC1149" s="332"/>
      <c r="AD1149" s="332"/>
      <c r="AE1149" s="332"/>
      <c r="AF1149" s="332"/>
      <c r="AG1149" s="332"/>
      <c r="AH1149" s="332"/>
      <c r="AI1149" s="332"/>
      <c r="AJ1149" s="332"/>
      <c r="AK1149" s="332"/>
      <c r="AL1149" s="332"/>
      <c r="AM1149" s="332"/>
      <c r="AN1149" s="332"/>
      <c r="AO1149" s="332"/>
      <c r="AP1149" s="332"/>
      <c r="AQ1149" s="332"/>
      <c r="AR1149" s="332"/>
      <c r="AS1149" s="332"/>
      <c r="AT1149" s="332"/>
      <c r="AU1149" s="332"/>
      <c r="AV1149" s="332"/>
      <c r="AW1149" s="332"/>
      <c r="AX1149" s="332"/>
      <c r="AY1149" s="332"/>
      <c r="AZ1149" s="332"/>
      <c r="BA1149" s="332"/>
      <c r="BB1149" s="332"/>
      <c r="BC1149" s="332"/>
      <c r="BD1149" s="332"/>
      <c r="BE1149" s="332"/>
      <c r="BF1149" s="332"/>
      <c r="BG1149" s="332"/>
      <c r="BH1149" s="332"/>
      <c r="BI1149" s="332"/>
      <c r="BJ1149" s="332"/>
      <c r="BK1149" s="332"/>
      <c r="BL1149" s="332"/>
      <c r="BM1149" s="332"/>
      <c r="BN1149" s="332"/>
      <c r="BO1149" s="332"/>
      <c r="BP1149" s="332"/>
      <c r="BQ1149" s="332"/>
      <c r="BR1149" s="332"/>
      <c r="BS1149" s="332"/>
      <c r="BT1149" s="332"/>
      <c r="BU1149" s="332"/>
      <c r="BV1149" s="332"/>
      <c r="BW1149" s="332"/>
      <c r="BX1149" s="332"/>
      <c r="BY1149" s="332"/>
      <c r="BZ1149" s="332"/>
      <c r="CA1149" s="332"/>
      <c r="CB1149" s="332"/>
      <c r="CC1149" s="332"/>
      <c r="CD1149" s="332"/>
      <c r="CE1149" s="332"/>
      <c r="CF1149" s="332"/>
      <c r="CG1149" s="332"/>
      <c r="CH1149" s="332"/>
      <c r="CI1149" s="332"/>
      <c r="CJ1149" s="332"/>
      <c r="CK1149" s="332"/>
      <c r="CL1149" s="332"/>
      <c r="CM1149" s="332"/>
      <c r="CN1149" s="332"/>
      <c r="CO1149" s="332"/>
      <c r="CP1149" s="332"/>
      <c r="CQ1149" s="332"/>
      <c r="CR1149" s="332"/>
      <c r="CS1149" s="332"/>
      <c r="CT1149" s="332"/>
      <c r="CU1149" s="332"/>
      <c r="CV1149" s="332"/>
      <c r="CW1149" s="332"/>
      <c r="CX1149" s="332"/>
      <c r="CY1149" s="332"/>
      <c r="CZ1149" s="332"/>
      <c r="DA1149" s="332"/>
      <c r="DB1149" s="332"/>
      <c r="DC1149" s="332"/>
      <c r="DD1149" s="332"/>
      <c r="DE1149" s="332"/>
      <c r="DF1149" s="332"/>
      <c r="DG1149" s="332"/>
      <c r="DH1149" s="332"/>
      <c r="DI1149" s="332"/>
      <c r="DJ1149" s="332"/>
      <c r="DK1149" s="332"/>
      <c r="DL1149" s="332"/>
      <c r="DM1149" s="332"/>
      <c r="DN1149" s="332"/>
      <c r="DO1149" s="332"/>
      <c r="DP1149" s="332"/>
      <c r="DQ1149" s="332"/>
      <c r="DR1149" s="332"/>
      <c r="DS1149" s="332"/>
      <c r="DT1149" s="332"/>
      <c r="DU1149" s="453"/>
      <c r="DV1149" s="453"/>
      <c r="DW1149" s="453"/>
      <c r="DX1149" s="453"/>
      <c r="DY1149" s="453"/>
      <c r="DZ1149" s="453"/>
      <c r="EA1149" s="453"/>
      <c r="EB1149" s="453"/>
      <c r="EC1149" s="453"/>
      <c r="ED1149" s="453"/>
      <c r="EE1149" s="453"/>
      <c r="EF1149" s="453"/>
      <c r="EG1149" s="453"/>
      <c r="EH1149" s="453"/>
      <c r="EI1149" s="453"/>
      <c r="EJ1149" s="453"/>
      <c r="EK1149" s="453"/>
      <c r="EL1149" s="453"/>
      <c r="EM1149" s="483">
        <f t="shared" si="254"/>
        <v>840</v>
      </c>
      <c r="EN1149" s="485"/>
      <c r="EO1149" s="458"/>
      <c r="EP1149" s="467"/>
      <c r="EQ1149" s="457"/>
      <c r="ER1149" s="808"/>
      <c r="ES1149" s="881">
        <f t="shared" si="252"/>
        <v>0</v>
      </c>
      <c r="ET1149" s="882"/>
      <c r="EU1149" s="883"/>
      <c r="EV1149" s="884">
        <f t="shared" si="253"/>
        <v>0</v>
      </c>
      <c r="EW1149" s="885"/>
      <c r="EX1149" s="885"/>
      <c r="EY1149" s="885"/>
      <c r="EZ1149" s="885"/>
      <c r="FA1149" s="885"/>
      <c r="FB1149" s="885"/>
      <c r="FC1149" s="885"/>
      <c r="FD1149" s="886"/>
      <c r="FE1149" s="878"/>
      <c r="FF1149" s="878"/>
      <c r="FG1149" s="878"/>
      <c r="FH1149" s="878"/>
      <c r="FI1149" s="878"/>
      <c r="FJ1149" s="878"/>
      <c r="FK1149" s="878"/>
      <c r="FL1149" s="555"/>
      <c r="FM1149" s="554"/>
      <c r="FN1149" s="554"/>
      <c r="FO1149" s="554"/>
      <c r="FP1149" s="554"/>
      <c r="FQ1149" s="554"/>
      <c r="FR1149" s="554"/>
      <c r="FS1149" s="554"/>
      <c r="FT1149" s="554"/>
      <c r="FU1149" s="554"/>
      <c r="FV1149" s="554"/>
      <c r="FW1149" s="554"/>
      <c r="FX1149" s="554"/>
      <c r="FY1149" s="554"/>
      <c r="FZ1149" s="554"/>
      <c r="GA1149" s="554"/>
      <c r="GB1149" s="556"/>
      <c r="GC1149" s="370"/>
      <c r="GD1149" s="453"/>
      <c r="GE1149" s="453"/>
      <c r="GF1149" s="453"/>
      <c r="GG1149" s="453"/>
      <c r="GH1149" s="454"/>
      <c r="GI1149" s="453"/>
      <c r="GJ1149" s="453"/>
      <c r="GK1149" s="453"/>
      <c r="GL1149" s="453"/>
      <c r="GM1149" s="453"/>
      <c r="GN1149" s="453"/>
      <c r="GO1149" s="453"/>
      <c r="GP1149" s="453"/>
      <c r="GQ1149" s="453"/>
      <c r="GR1149" s="453"/>
      <c r="GS1149" s="561"/>
      <c r="GT1149" s="475"/>
      <c r="GU1149" s="472"/>
      <c r="GV1149" s="453"/>
      <c r="GW1149" s="453"/>
      <c r="GX1149" s="869"/>
      <c r="GY1149" s="870"/>
      <c r="GZ1149" s="867"/>
      <c r="HA1149" s="868"/>
      <c r="HB1149" s="473"/>
      <c r="HC1149" s="869"/>
      <c r="HD1149" s="870"/>
      <c r="HE1149" s="867"/>
      <c r="HF1149" s="868"/>
      <c r="HG1149" s="473"/>
      <c r="HH1149" s="867"/>
      <c r="HI1149" s="868"/>
      <c r="HJ1149" s="867"/>
      <c r="HK1149" s="868"/>
      <c r="HL1149" s="370"/>
      <c r="HM1149" s="865"/>
      <c r="HN1149" s="866"/>
      <c r="HO1149" s="865"/>
      <c r="HP1149" s="866"/>
      <c r="HQ1149" s="865"/>
      <c r="HR1149" s="866"/>
      <c r="HS1149" s="867"/>
      <c r="HT1149" s="868"/>
      <c r="HU1149" s="489"/>
      <c r="HV1149" s="865"/>
      <c r="HW1149" s="866"/>
    </row>
    <row r="1150" spans="25:231" ht="15" customHeight="1">
      <c r="Y1150" s="332"/>
      <c r="Z1150" s="332"/>
      <c r="AA1150" s="332"/>
      <c r="AB1150" s="332"/>
      <c r="AC1150" s="332"/>
      <c r="AD1150" s="332"/>
      <c r="AE1150" s="332"/>
      <c r="AF1150" s="332"/>
      <c r="AG1150" s="332"/>
      <c r="AH1150" s="332"/>
      <c r="AI1150" s="332"/>
      <c r="AJ1150" s="332"/>
      <c r="AK1150" s="332"/>
      <c r="AL1150" s="332"/>
      <c r="AM1150" s="332"/>
      <c r="AN1150" s="332"/>
      <c r="AO1150" s="332"/>
      <c r="AP1150" s="332"/>
      <c r="AQ1150" s="332"/>
      <c r="AR1150" s="332"/>
      <c r="AS1150" s="332"/>
      <c r="AT1150" s="332"/>
      <c r="AU1150" s="332"/>
      <c r="AV1150" s="332"/>
      <c r="AW1150" s="332"/>
      <c r="AX1150" s="332"/>
      <c r="AY1150" s="332"/>
      <c r="AZ1150" s="332"/>
      <c r="BA1150" s="332"/>
      <c r="BB1150" s="332"/>
      <c r="BC1150" s="332"/>
      <c r="BD1150" s="332"/>
      <c r="BE1150" s="332"/>
      <c r="BF1150" s="332"/>
      <c r="BG1150" s="332"/>
      <c r="BH1150" s="332"/>
      <c r="BI1150" s="332"/>
      <c r="BJ1150" s="332"/>
      <c r="BK1150" s="332"/>
      <c r="BL1150" s="332"/>
      <c r="BM1150" s="332"/>
      <c r="BN1150" s="332"/>
      <c r="BO1150" s="332"/>
      <c r="BP1150" s="332"/>
      <c r="BQ1150" s="332"/>
      <c r="BR1150" s="332"/>
      <c r="BS1150" s="332"/>
      <c r="BT1150" s="332"/>
      <c r="BU1150" s="332"/>
      <c r="BV1150" s="332"/>
      <c r="BW1150" s="332"/>
      <c r="BX1150" s="332"/>
      <c r="BY1150" s="332"/>
      <c r="BZ1150" s="332"/>
      <c r="CA1150" s="332"/>
      <c r="CB1150" s="332"/>
      <c r="CC1150" s="332"/>
      <c r="CD1150" s="332"/>
      <c r="CE1150" s="332"/>
      <c r="CF1150" s="332"/>
      <c r="CG1150" s="332"/>
      <c r="CH1150" s="332"/>
      <c r="CI1150" s="332"/>
      <c r="CJ1150" s="332"/>
      <c r="CK1150" s="332"/>
      <c r="CL1150" s="332"/>
      <c r="CM1150" s="332"/>
      <c r="CN1150" s="332"/>
      <c r="CO1150" s="332"/>
      <c r="CP1150" s="332"/>
      <c r="CQ1150" s="332"/>
      <c r="CR1150" s="332"/>
      <c r="CS1150" s="332"/>
      <c r="CT1150" s="332"/>
      <c r="CU1150" s="332"/>
      <c r="CV1150" s="332"/>
      <c r="CW1150" s="332"/>
      <c r="CX1150" s="332"/>
      <c r="CY1150" s="332"/>
      <c r="CZ1150" s="332"/>
      <c r="DA1150" s="332"/>
      <c r="DB1150" s="332"/>
      <c r="DC1150" s="332"/>
      <c r="DD1150" s="332"/>
      <c r="DE1150" s="332"/>
      <c r="DF1150" s="332"/>
      <c r="DG1150" s="332"/>
      <c r="DH1150" s="332"/>
      <c r="DI1150" s="332"/>
      <c r="DJ1150" s="332"/>
      <c r="DK1150" s="332"/>
      <c r="DL1150" s="332"/>
      <c r="DM1150" s="332"/>
      <c r="DN1150" s="332"/>
      <c r="DO1150" s="332"/>
      <c r="DP1150" s="332"/>
      <c r="DQ1150" s="332"/>
      <c r="DR1150" s="332"/>
      <c r="DS1150" s="332"/>
      <c r="DT1150" s="332"/>
      <c r="DU1150" s="453"/>
      <c r="DV1150" s="453"/>
      <c r="DW1150" s="453"/>
      <c r="DX1150" s="453"/>
      <c r="DY1150" s="453"/>
      <c r="DZ1150" s="453"/>
      <c r="EA1150" s="453"/>
      <c r="EB1150" s="453"/>
      <c r="EC1150" s="453"/>
      <c r="ED1150" s="453"/>
      <c r="EE1150" s="453"/>
      <c r="EF1150" s="453"/>
      <c r="EG1150" s="453"/>
      <c r="EH1150" s="453"/>
      <c r="EI1150" s="453"/>
      <c r="EJ1150" s="453"/>
      <c r="EK1150" s="453"/>
      <c r="EL1150" s="453"/>
      <c r="EM1150" s="483">
        <f t="shared" si="254"/>
        <v>841</v>
      </c>
      <c r="EN1150" s="485"/>
      <c r="EO1150" s="458"/>
      <c r="EP1150" s="467"/>
      <c r="EQ1150" s="457"/>
      <c r="ER1150" s="808"/>
      <c r="ES1150" s="881">
        <f t="shared" si="252"/>
        <v>0</v>
      </c>
      <c r="ET1150" s="882"/>
      <c r="EU1150" s="883"/>
      <c r="EV1150" s="884">
        <f t="shared" si="253"/>
        <v>0</v>
      </c>
      <c r="EW1150" s="885"/>
      <c r="EX1150" s="885"/>
      <c r="EY1150" s="885"/>
      <c r="EZ1150" s="885"/>
      <c r="FA1150" s="885"/>
      <c r="FB1150" s="885"/>
      <c r="FC1150" s="885"/>
      <c r="FD1150" s="886"/>
      <c r="FE1150" s="878"/>
      <c r="FF1150" s="878"/>
      <c r="FG1150" s="878"/>
      <c r="FH1150" s="878"/>
      <c r="FI1150" s="878"/>
      <c r="FJ1150" s="878"/>
      <c r="FK1150" s="878"/>
      <c r="FL1150" s="555"/>
      <c r="FM1150" s="554"/>
      <c r="FN1150" s="554"/>
      <c r="FO1150" s="554"/>
      <c r="FP1150" s="554"/>
      <c r="FQ1150" s="554"/>
      <c r="FR1150" s="554"/>
      <c r="FS1150" s="554"/>
      <c r="FT1150" s="554"/>
      <c r="FU1150" s="554"/>
      <c r="FV1150" s="554"/>
      <c r="FW1150" s="554"/>
      <c r="FX1150" s="554"/>
      <c r="FY1150" s="554"/>
      <c r="FZ1150" s="554"/>
      <c r="GA1150" s="554"/>
      <c r="GB1150" s="556"/>
      <c r="GC1150" s="370"/>
      <c r="GD1150" s="453"/>
      <c r="GE1150" s="453"/>
      <c r="GF1150" s="453"/>
      <c r="GG1150" s="453"/>
      <c r="GH1150" s="454"/>
      <c r="GI1150" s="453"/>
      <c r="GJ1150" s="453"/>
      <c r="GK1150" s="453"/>
      <c r="GL1150" s="453"/>
      <c r="GM1150" s="453"/>
      <c r="GN1150" s="453"/>
      <c r="GO1150" s="453"/>
      <c r="GP1150" s="453"/>
      <c r="GQ1150" s="453"/>
      <c r="GR1150" s="453"/>
      <c r="GS1150" s="561"/>
      <c r="GT1150" s="475"/>
      <c r="GU1150" s="472"/>
      <c r="GV1150" s="453"/>
      <c r="GW1150" s="453"/>
      <c r="GX1150" s="869"/>
      <c r="GY1150" s="870"/>
      <c r="GZ1150" s="867"/>
      <c r="HA1150" s="868"/>
      <c r="HB1150" s="473"/>
      <c r="HC1150" s="869"/>
      <c r="HD1150" s="870"/>
      <c r="HE1150" s="867"/>
      <c r="HF1150" s="868"/>
      <c r="HG1150" s="473"/>
      <c r="HH1150" s="867"/>
      <c r="HI1150" s="868"/>
      <c r="HJ1150" s="867"/>
      <c r="HK1150" s="868"/>
      <c r="HL1150" s="370"/>
      <c r="HM1150" s="865"/>
      <c r="HN1150" s="866"/>
      <c r="HO1150" s="865"/>
      <c r="HP1150" s="866"/>
      <c r="HQ1150" s="865"/>
      <c r="HR1150" s="866"/>
      <c r="HS1150" s="867"/>
      <c r="HT1150" s="868"/>
      <c r="HU1150" s="489"/>
      <c r="HV1150" s="865"/>
      <c r="HW1150" s="866"/>
    </row>
    <row r="1151" spans="25:231" ht="15" customHeight="1">
      <c r="Y1151" s="332"/>
      <c r="Z1151" s="332"/>
      <c r="AA1151" s="332"/>
      <c r="AB1151" s="332"/>
      <c r="AC1151" s="332"/>
      <c r="AD1151" s="332"/>
      <c r="AE1151" s="332"/>
      <c r="AF1151" s="332"/>
      <c r="AG1151" s="332"/>
      <c r="AH1151" s="332"/>
      <c r="AI1151" s="332"/>
      <c r="AJ1151" s="332"/>
      <c r="AK1151" s="332"/>
      <c r="AL1151" s="332"/>
      <c r="AM1151" s="332"/>
      <c r="AN1151" s="332"/>
      <c r="AO1151" s="332"/>
      <c r="AP1151" s="332"/>
      <c r="AQ1151" s="332"/>
      <c r="AR1151" s="332"/>
      <c r="AS1151" s="332"/>
      <c r="AT1151" s="332"/>
      <c r="AU1151" s="332"/>
      <c r="AV1151" s="332"/>
      <c r="AW1151" s="332"/>
      <c r="AX1151" s="332"/>
      <c r="AY1151" s="332"/>
      <c r="AZ1151" s="332"/>
      <c r="BA1151" s="332"/>
      <c r="BB1151" s="332"/>
      <c r="BC1151" s="332"/>
      <c r="BD1151" s="332"/>
      <c r="BE1151" s="332"/>
      <c r="BF1151" s="332"/>
      <c r="BG1151" s="332"/>
      <c r="BH1151" s="332"/>
      <c r="BI1151" s="332"/>
      <c r="BJ1151" s="332"/>
      <c r="BK1151" s="332"/>
      <c r="BL1151" s="332"/>
      <c r="BM1151" s="332"/>
      <c r="BN1151" s="332"/>
      <c r="BO1151" s="332"/>
      <c r="BP1151" s="332"/>
      <c r="BQ1151" s="332"/>
      <c r="BR1151" s="332"/>
      <c r="BS1151" s="332"/>
      <c r="BT1151" s="332"/>
      <c r="BU1151" s="332"/>
      <c r="BV1151" s="332"/>
      <c r="BW1151" s="332"/>
      <c r="BX1151" s="332"/>
      <c r="BY1151" s="332"/>
      <c r="BZ1151" s="332"/>
      <c r="CA1151" s="332"/>
      <c r="CB1151" s="332"/>
      <c r="CC1151" s="332"/>
      <c r="CD1151" s="332"/>
      <c r="CE1151" s="332"/>
      <c r="CF1151" s="332"/>
      <c r="CG1151" s="332"/>
      <c r="CH1151" s="332"/>
      <c r="CI1151" s="332"/>
      <c r="CJ1151" s="332"/>
      <c r="CK1151" s="332"/>
      <c r="CL1151" s="332"/>
      <c r="CM1151" s="332"/>
      <c r="CN1151" s="332"/>
      <c r="CO1151" s="332"/>
      <c r="CP1151" s="332"/>
      <c r="CQ1151" s="332"/>
      <c r="CR1151" s="332"/>
      <c r="CS1151" s="332"/>
      <c r="CT1151" s="332"/>
      <c r="CU1151" s="332"/>
      <c r="CV1151" s="332"/>
      <c r="CW1151" s="332"/>
      <c r="CX1151" s="332"/>
      <c r="CY1151" s="332"/>
      <c r="CZ1151" s="332"/>
      <c r="DA1151" s="332"/>
      <c r="DB1151" s="332"/>
      <c r="DC1151" s="332"/>
      <c r="DD1151" s="332"/>
      <c r="DE1151" s="332"/>
      <c r="DF1151" s="332"/>
      <c r="DG1151" s="332"/>
      <c r="DH1151" s="332"/>
      <c r="DI1151" s="332"/>
      <c r="DJ1151" s="332"/>
      <c r="DK1151" s="332"/>
      <c r="DL1151" s="332"/>
      <c r="DM1151" s="332"/>
      <c r="DN1151" s="332"/>
      <c r="DO1151" s="332"/>
      <c r="DP1151" s="332"/>
      <c r="DQ1151" s="332"/>
      <c r="DR1151" s="332"/>
      <c r="DS1151" s="332"/>
      <c r="DT1151" s="332"/>
      <c r="DU1151" s="453"/>
      <c r="DV1151" s="453"/>
      <c r="DW1151" s="453"/>
      <c r="DX1151" s="453"/>
      <c r="DY1151" s="453"/>
      <c r="DZ1151" s="453"/>
      <c r="EA1151" s="453"/>
      <c r="EB1151" s="453"/>
      <c r="EC1151" s="453"/>
      <c r="ED1151" s="453"/>
      <c r="EE1151" s="453"/>
      <c r="EF1151" s="453"/>
      <c r="EG1151" s="453"/>
      <c r="EH1151" s="453"/>
      <c r="EI1151" s="453"/>
      <c r="EJ1151" s="453"/>
      <c r="EK1151" s="453"/>
      <c r="EL1151" s="453"/>
      <c r="EM1151" s="483">
        <f t="shared" si="254"/>
        <v>842</v>
      </c>
      <c r="EN1151" s="485"/>
      <c r="EO1151" s="458"/>
      <c r="EP1151" s="467"/>
      <c r="EQ1151" s="457"/>
      <c r="ER1151" s="808"/>
      <c r="ES1151" s="881">
        <f t="shared" si="252"/>
        <v>0</v>
      </c>
      <c r="ET1151" s="882"/>
      <c r="EU1151" s="883"/>
      <c r="EV1151" s="884">
        <f t="shared" si="253"/>
        <v>0</v>
      </c>
      <c r="EW1151" s="885"/>
      <c r="EX1151" s="885"/>
      <c r="EY1151" s="885"/>
      <c r="EZ1151" s="885"/>
      <c r="FA1151" s="885"/>
      <c r="FB1151" s="885"/>
      <c r="FC1151" s="885"/>
      <c r="FD1151" s="886"/>
      <c r="FE1151" s="878"/>
      <c r="FF1151" s="878"/>
      <c r="FG1151" s="878"/>
      <c r="FH1151" s="878"/>
      <c r="FI1151" s="878"/>
      <c r="FJ1151" s="878"/>
      <c r="FK1151" s="878"/>
      <c r="FL1151" s="555"/>
      <c r="FM1151" s="554"/>
      <c r="FN1151" s="554"/>
      <c r="FO1151" s="554"/>
      <c r="FP1151" s="554"/>
      <c r="FQ1151" s="554"/>
      <c r="FR1151" s="554"/>
      <c r="FS1151" s="554"/>
      <c r="FT1151" s="554"/>
      <c r="FU1151" s="554"/>
      <c r="FV1151" s="554"/>
      <c r="FW1151" s="554"/>
      <c r="FX1151" s="554"/>
      <c r="FY1151" s="554"/>
      <c r="FZ1151" s="554"/>
      <c r="GA1151" s="554"/>
      <c r="GB1151" s="556"/>
      <c r="GC1151" s="370"/>
      <c r="GD1151" s="453"/>
      <c r="GE1151" s="453"/>
      <c r="GF1151" s="453"/>
      <c r="GG1151" s="453"/>
      <c r="GH1151" s="454"/>
      <c r="GI1151" s="453"/>
      <c r="GJ1151" s="453"/>
      <c r="GK1151" s="453"/>
      <c r="GL1151" s="453"/>
      <c r="GM1151" s="453"/>
      <c r="GN1151" s="453"/>
      <c r="GO1151" s="453"/>
      <c r="GP1151" s="453"/>
      <c r="GQ1151" s="453"/>
      <c r="GR1151" s="453"/>
      <c r="GS1151" s="561"/>
      <c r="GT1151" s="475"/>
      <c r="GU1151" s="472"/>
      <c r="GV1151" s="453"/>
      <c r="GW1151" s="453"/>
      <c r="GX1151" s="869"/>
      <c r="GY1151" s="870"/>
      <c r="GZ1151" s="867"/>
      <c r="HA1151" s="868"/>
      <c r="HB1151" s="473"/>
      <c r="HC1151" s="869"/>
      <c r="HD1151" s="870"/>
      <c r="HE1151" s="867"/>
      <c r="HF1151" s="868"/>
      <c r="HG1151" s="473"/>
      <c r="HH1151" s="867"/>
      <c r="HI1151" s="868"/>
      <c r="HJ1151" s="867"/>
      <c r="HK1151" s="868"/>
      <c r="HL1151" s="370"/>
      <c r="HM1151" s="865"/>
      <c r="HN1151" s="866"/>
      <c r="HO1151" s="865"/>
      <c r="HP1151" s="866"/>
      <c r="HQ1151" s="865"/>
      <c r="HR1151" s="866"/>
      <c r="HS1151" s="867"/>
      <c r="HT1151" s="868"/>
      <c r="HU1151" s="489"/>
      <c r="HV1151" s="865"/>
      <c r="HW1151" s="866"/>
    </row>
    <row r="1152" spans="25:231" ht="15" customHeight="1">
      <c r="Y1152" s="332"/>
      <c r="Z1152" s="332"/>
      <c r="AA1152" s="332"/>
      <c r="AB1152" s="332"/>
      <c r="AC1152" s="332"/>
      <c r="AD1152" s="332"/>
      <c r="AE1152" s="332"/>
      <c r="AF1152" s="332"/>
      <c r="AG1152" s="332"/>
      <c r="AH1152" s="332"/>
      <c r="AI1152" s="332"/>
      <c r="AJ1152" s="332"/>
      <c r="AK1152" s="332"/>
      <c r="AL1152" s="332"/>
      <c r="AM1152" s="332"/>
      <c r="AN1152" s="332"/>
      <c r="AO1152" s="332"/>
      <c r="AP1152" s="332"/>
      <c r="AQ1152" s="332"/>
      <c r="AR1152" s="332"/>
      <c r="AS1152" s="332"/>
      <c r="AT1152" s="332"/>
      <c r="AU1152" s="332"/>
      <c r="AV1152" s="332"/>
      <c r="AW1152" s="332"/>
      <c r="AX1152" s="332"/>
      <c r="AY1152" s="332"/>
      <c r="AZ1152" s="332"/>
      <c r="BA1152" s="332"/>
      <c r="BB1152" s="332"/>
      <c r="BC1152" s="332"/>
      <c r="BD1152" s="332"/>
      <c r="BE1152" s="332"/>
      <c r="BF1152" s="332"/>
      <c r="BG1152" s="332"/>
      <c r="BH1152" s="332"/>
      <c r="BI1152" s="332"/>
      <c r="BJ1152" s="332"/>
      <c r="BK1152" s="332"/>
      <c r="BL1152" s="332"/>
      <c r="BM1152" s="332"/>
      <c r="BN1152" s="332"/>
      <c r="BO1152" s="332"/>
      <c r="BP1152" s="332"/>
      <c r="BQ1152" s="332"/>
      <c r="BR1152" s="332"/>
      <c r="BS1152" s="332"/>
      <c r="BT1152" s="332"/>
      <c r="BU1152" s="332"/>
      <c r="BV1152" s="332"/>
      <c r="BW1152" s="332"/>
      <c r="BX1152" s="332"/>
      <c r="BY1152" s="332"/>
      <c r="BZ1152" s="332"/>
      <c r="CA1152" s="332"/>
      <c r="CB1152" s="332"/>
      <c r="CC1152" s="332"/>
      <c r="CD1152" s="332"/>
      <c r="CE1152" s="332"/>
      <c r="CF1152" s="332"/>
      <c r="CG1152" s="332"/>
      <c r="CH1152" s="332"/>
      <c r="CI1152" s="332"/>
      <c r="CJ1152" s="332"/>
      <c r="CK1152" s="332"/>
      <c r="CL1152" s="332"/>
      <c r="CM1152" s="332"/>
      <c r="CN1152" s="332"/>
      <c r="CO1152" s="332"/>
      <c r="CP1152" s="332"/>
      <c r="CQ1152" s="332"/>
      <c r="CR1152" s="332"/>
      <c r="CS1152" s="332"/>
      <c r="CT1152" s="332"/>
      <c r="CU1152" s="332"/>
      <c r="CV1152" s="332"/>
      <c r="CW1152" s="332"/>
      <c r="CX1152" s="332"/>
      <c r="CY1152" s="332"/>
      <c r="CZ1152" s="332"/>
      <c r="DA1152" s="332"/>
      <c r="DB1152" s="332"/>
      <c r="DC1152" s="332"/>
      <c r="DD1152" s="332"/>
      <c r="DE1152" s="332"/>
      <c r="DF1152" s="332"/>
      <c r="DG1152" s="332"/>
      <c r="DH1152" s="332"/>
      <c r="DI1152" s="332"/>
      <c r="DJ1152" s="332"/>
      <c r="DK1152" s="332"/>
      <c r="DL1152" s="332"/>
      <c r="DM1152" s="332"/>
      <c r="DN1152" s="332"/>
      <c r="DO1152" s="332"/>
      <c r="DP1152" s="332"/>
      <c r="DQ1152" s="332"/>
      <c r="DR1152" s="332"/>
      <c r="DS1152" s="332"/>
      <c r="DT1152" s="332"/>
      <c r="DU1152" s="453"/>
      <c r="DV1152" s="453"/>
      <c r="DW1152" s="453"/>
      <c r="DX1152" s="453"/>
      <c r="DY1152" s="453"/>
      <c r="DZ1152" s="453"/>
      <c r="EA1152" s="453"/>
      <c r="EB1152" s="453"/>
      <c r="EC1152" s="453"/>
      <c r="ED1152" s="453"/>
      <c r="EE1152" s="453"/>
      <c r="EF1152" s="453"/>
      <c r="EG1152" s="453"/>
      <c r="EH1152" s="453"/>
      <c r="EI1152" s="453"/>
      <c r="EJ1152" s="453"/>
      <c r="EK1152" s="453"/>
      <c r="EL1152" s="453"/>
      <c r="EM1152" s="483">
        <f t="shared" si="254"/>
        <v>843</v>
      </c>
      <c r="EN1152" s="485"/>
      <c r="EO1152" s="458"/>
      <c r="EP1152" s="467"/>
      <c r="EQ1152" s="457"/>
      <c r="ER1152" s="808"/>
      <c r="ES1152" s="881">
        <f t="shared" si="252"/>
        <v>0</v>
      </c>
      <c r="ET1152" s="882"/>
      <c r="EU1152" s="883"/>
      <c r="EV1152" s="884">
        <f t="shared" si="253"/>
        <v>0</v>
      </c>
      <c r="EW1152" s="885"/>
      <c r="EX1152" s="885"/>
      <c r="EY1152" s="885"/>
      <c r="EZ1152" s="885"/>
      <c r="FA1152" s="885"/>
      <c r="FB1152" s="885"/>
      <c r="FC1152" s="885"/>
      <c r="FD1152" s="886"/>
      <c r="FE1152" s="878"/>
      <c r="FF1152" s="878"/>
      <c r="FG1152" s="878"/>
      <c r="FH1152" s="878"/>
      <c r="FI1152" s="878"/>
      <c r="FJ1152" s="878"/>
      <c r="FK1152" s="878"/>
      <c r="FL1152" s="555"/>
      <c r="FM1152" s="554"/>
      <c r="FN1152" s="554"/>
      <c r="FO1152" s="554"/>
      <c r="FP1152" s="554"/>
      <c r="FQ1152" s="554"/>
      <c r="FR1152" s="554"/>
      <c r="FS1152" s="554"/>
      <c r="FT1152" s="554"/>
      <c r="FU1152" s="554"/>
      <c r="FV1152" s="554"/>
      <c r="FW1152" s="554"/>
      <c r="FX1152" s="554"/>
      <c r="FY1152" s="554"/>
      <c r="FZ1152" s="554"/>
      <c r="GA1152" s="554"/>
      <c r="GB1152" s="556"/>
      <c r="GC1152" s="370"/>
      <c r="GD1152" s="453"/>
      <c r="GE1152" s="453"/>
      <c r="GF1152" s="453"/>
      <c r="GG1152" s="453"/>
      <c r="GH1152" s="454"/>
      <c r="GI1152" s="453"/>
      <c r="GJ1152" s="453"/>
      <c r="GK1152" s="453"/>
      <c r="GL1152" s="453"/>
      <c r="GM1152" s="453"/>
      <c r="GN1152" s="453"/>
      <c r="GO1152" s="453"/>
      <c r="GP1152" s="453"/>
      <c r="GQ1152" s="453"/>
      <c r="GR1152" s="453"/>
      <c r="GS1152" s="561"/>
      <c r="GT1152" s="475"/>
      <c r="GU1152" s="472"/>
      <c r="GV1152" s="453"/>
      <c r="GW1152" s="453"/>
      <c r="GX1152" s="869"/>
      <c r="GY1152" s="870"/>
      <c r="GZ1152" s="867"/>
      <c r="HA1152" s="868"/>
      <c r="HB1152" s="473"/>
      <c r="HC1152" s="869"/>
      <c r="HD1152" s="870"/>
      <c r="HE1152" s="867"/>
      <c r="HF1152" s="868"/>
      <c r="HG1152" s="473"/>
      <c r="HH1152" s="867"/>
      <c r="HI1152" s="868"/>
      <c r="HJ1152" s="867"/>
      <c r="HK1152" s="868"/>
      <c r="HL1152" s="370"/>
      <c r="HM1152" s="865"/>
      <c r="HN1152" s="866"/>
      <c r="HO1152" s="865"/>
      <c r="HP1152" s="866"/>
      <c r="HQ1152" s="865"/>
      <c r="HR1152" s="866"/>
      <c r="HS1152" s="867"/>
      <c r="HT1152" s="868"/>
      <c r="HU1152" s="489"/>
      <c r="HV1152" s="865"/>
      <c r="HW1152" s="866"/>
    </row>
    <row r="1153" spans="25:231" ht="15" customHeight="1">
      <c r="Y1153" s="332"/>
      <c r="Z1153" s="332"/>
      <c r="AA1153" s="332"/>
      <c r="AB1153" s="332"/>
      <c r="AC1153" s="332"/>
      <c r="AD1153" s="332"/>
      <c r="AE1153" s="332"/>
      <c r="AF1153" s="332"/>
      <c r="AG1153" s="332"/>
      <c r="AH1153" s="332"/>
      <c r="AI1153" s="332"/>
      <c r="AJ1153" s="332"/>
      <c r="AK1153" s="332"/>
      <c r="AL1153" s="332"/>
      <c r="AM1153" s="332"/>
      <c r="AN1153" s="332"/>
      <c r="AO1153" s="332"/>
      <c r="AP1153" s="332"/>
      <c r="AQ1153" s="332"/>
      <c r="AR1153" s="332"/>
      <c r="AS1153" s="332"/>
      <c r="AT1153" s="332"/>
      <c r="AU1153" s="332"/>
      <c r="AV1153" s="332"/>
      <c r="AW1153" s="332"/>
      <c r="AX1153" s="332"/>
      <c r="AY1153" s="332"/>
      <c r="AZ1153" s="332"/>
      <c r="BA1153" s="332"/>
      <c r="BB1153" s="332"/>
      <c r="BC1153" s="332"/>
      <c r="BD1153" s="332"/>
      <c r="BE1153" s="332"/>
      <c r="BF1153" s="332"/>
      <c r="BG1153" s="332"/>
      <c r="BH1153" s="332"/>
      <c r="BI1153" s="332"/>
      <c r="BJ1153" s="332"/>
      <c r="BK1153" s="332"/>
      <c r="BL1153" s="332"/>
      <c r="BM1153" s="332"/>
      <c r="BN1153" s="332"/>
      <c r="BO1153" s="332"/>
      <c r="BP1153" s="332"/>
      <c r="BQ1153" s="332"/>
      <c r="BR1153" s="332"/>
      <c r="BS1153" s="332"/>
      <c r="BT1153" s="332"/>
      <c r="BU1153" s="332"/>
      <c r="BV1153" s="332"/>
      <c r="BW1153" s="332"/>
      <c r="BX1153" s="332"/>
      <c r="BY1153" s="332"/>
      <c r="BZ1153" s="332"/>
      <c r="CA1153" s="332"/>
      <c r="CB1153" s="332"/>
      <c r="CC1153" s="332"/>
      <c r="CD1153" s="332"/>
      <c r="CE1153" s="332"/>
      <c r="CF1153" s="332"/>
      <c r="CG1153" s="332"/>
      <c r="CH1153" s="332"/>
      <c r="CI1153" s="332"/>
      <c r="CJ1153" s="332"/>
      <c r="CK1153" s="332"/>
      <c r="CL1153" s="332"/>
      <c r="CM1153" s="332"/>
      <c r="CN1153" s="332"/>
      <c r="CO1153" s="332"/>
      <c r="CP1153" s="332"/>
      <c r="CQ1153" s="332"/>
      <c r="CR1153" s="332"/>
      <c r="CS1153" s="332"/>
      <c r="CT1153" s="332"/>
      <c r="CU1153" s="332"/>
      <c r="CV1153" s="332"/>
      <c r="CW1153" s="332"/>
      <c r="CX1153" s="332"/>
      <c r="CY1153" s="332"/>
      <c r="CZ1153" s="332"/>
      <c r="DA1153" s="332"/>
      <c r="DB1153" s="332"/>
      <c r="DC1153" s="332"/>
      <c r="DD1153" s="332"/>
      <c r="DE1153" s="332"/>
      <c r="DF1153" s="332"/>
      <c r="DG1153" s="332"/>
      <c r="DH1153" s="332"/>
      <c r="DI1153" s="332"/>
      <c r="DJ1153" s="332"/>
      <c r="DK1153" s="332"/>
      <c r="DL1153" s="332"/>
      <c r="DM1153" s="332"/>
      <c r="DN1153" s="332"/>
      <c r="DO1153" s="332"/>
      <c r="DP1153" s="332"/>
      <c r="DQ1153" s="332"/>
      <c r="DR1153" s="332"/>
      <c r="DS1153" s="332"/>
      <c r="DT1153" s="332"/>
      <c r="DU1153" s="453"/>
      <c r="DV1153" s="453"/>
      <c r="DW1153" s="453"/>
      <c r="DX1153" s="453"/>
      <c r="DY1153" s="453"/>
      <c r="DZ1153" s="453"/>
      <c r="EA1153" s="453"/>
      <c r="EB1153" s="453"/>
      <c r="EC1153" s="453"/>
      <c r="ED1153" s="453"/>
      <c r="EE1153" s="453"/>
      <c r="EF1153" s="453"/>
      <c r="EG1153" s="453"/>
      <c r="EH1153" s="453"/>
      <c r="EI1153" s="453"/>
      <c r="EJ1153" s="453"/>
      <c r="EK1153" s="453"/>
      <c r="EL1153" s="453"/>
      <c r="EM1153" s="483">
        <f t="shared" si="254"/>
        <v>844</v>
      </c>
      <c r="EN1153" s="485"/>
      <c r="EO1153" s="458"/>
      <c r="EP1153" s="467"/>
      <c r="EQ1153" s="457"/>
      <c r="ER1153" s="808"/>
      <c r="ES1153" s="881">
        <f t="shared" si="252"/>
        <v>0</v>
      </c>
      <c r="ET1153" s="882"/>
      <c r="EU1153" s="883"/>
      <c r="EV1153" s="884">
        <f t="shared" si="253"/>
        <v>0</v>
      </c>
      <c r="EW1153" s="885"/>
      <c r="EX1153" s="885"/>
      <c r="EY1153" s="885"/>
      <c r="EZ1153" s="885"/>
      <c r="FA1153" s="885"/>
      <c r="FB1153" s="885"/>
      <c r="FC1153" s="885"/>
      <c r="FD1153" s="886"/>
      <c r="FE1153" s="878"/>
      <c r="FF1153" s="878"/>
      <c r="FG1153" s="878"/>
      <c r="FH1153" s="878"/>
      <c r="FI1153" s="878"/>
      <c r="FJ1153" s="878"/>
      <c r="FK1153" s="878"/>
      <c r="FL1153" s="555"/>
      <c r="FM1153" s="554"/>
      <c r="FN1153" s="554"/>
      <c r="FO1153" s="554"/>
      <c r="FP1153" s="554"/>
      <c r="FQ1153" s="554"/>
      <c r="FR1153" s="554"/>
      <c r="FS1153" s="554"/>
      <c r="FT1153" s="554"/>
      <c r="FU1153" s="554"/>
      <c r="FV1153" s="554"/>
      <c r="FW1153" s="554"/>
      <c r="FX1153" s="554"/>
      <c r="FY1153" s="554"/>
      <c r="FZ1153" s="554"/>
      <c r="GA1153" s="554"/>
      <c r="GB1153" s="556"/>
      <c r="GC1153" s="370"/>
      <c r="GD1153" s="453"/>
      <c r="GE1153" s="453"/>
      <c r="GF1153" s="453"/>
      <c r="GG1153" s="453"/>
      <c r="GH1153" s="454"/>
      <c r="GI1153" s="453"/>
      <c r="GJ1153" s="453"/>
      <c r="GK1153" s="453"/>
      <c r="GL1153" s="453"/>
      <c r="GM1153" s="453"/>
      <c r="GN1153" s="453"/>
      <c r="GO1153" s="453"/>
      <c r="GP1153" s="453"/>
      <c r="GQ1153" s="453"/>
      <c r="GR1153" s="453"/>
      <c r="GS1153" s="561"/>
      <c r="GT1153" s="475"/>
      <c r="GU1153" s="472"/>
      <c r="GV1153" s="453"/>
      <c r="GW1153" s="453"/>
      <c r="GX1153" s="869"/>
      <c r="GY1153" s="870"/>
      <c r="GZ1153" s="867"/>
      <c r="HA1153" s="868"/>
      <c r="HB1153" s="473"/>
      <c r="HC1153" s="869"/>
      <c r="HD1153" s="870"/>
      <c r="HE1153" s="867"/>
      <c r="HF1153" s="868"/>
      <c r="HG1153" s="473"/>
      <c r="HH1153" s="867"/>
      <c r="HI1153" s="868"/>
      <c r="HJ1153" s="867"/>
      <c r="HK1153" s="868"/>
      <c r="HL1153" s="370"/>
      <c r="HM1153" s="865"/>
      <c r="HN1153" s="866"/>
      <c r="HO1153" s="865"/>
      <c r="HP1153" s="866"/>
      <c r="HQ1153" s="865"/>
      <c r="HR1153" s="866"/>
      <c r="HS1153" s="867"/>
      <c r="HT1153" s="868"/>
      <c r="HU1153" s="489"/>
      <c r="HV1153" s="865"/>
      <c r="HW1153" s="866"/>
    </row>
    <row r="1154" spans="25:231" ht="15" customHeight="1">
      <c r="Y1154" s="332"/>
      <c r="Z1154" s="332"/>
      <c r="AA1154" s="332"/>
      <c r="AB1154" s="332"/>
      <c r="AC1154" s="332"/>
      <c r="AD1154" s="332"/>
      <c r="AE1154" s="332"/>
      <c r="AF1154" s="332"/>
      <c r="AG1154" s="332"/>
      <c r="AH1154" s="332"/>
      <c r="AI1154" s="332"/>
      <c r="AJ1154" s="332"/>
      <c r="AK1154" s="332"/>
      <c r="AL1154" s="332"/>
      <c r="AM1154" s="332"/>
      <c r="AN1154" s="332"/>
      <c r="AO1154" s="332"/>
      <c r="AP1154" s="332"/>
      <c r="AQ1154" s="332"/>
      <c r="AR1154" s="332"/>
      <c r="AS1154" s="332"/>
      <c r="AT1154" s="332"/>
      <c r="AU1154" s="332"/>
      <c r="AV1154" s="332"/>
      <c r="AW1154" s="332"/>
      <c r="AX1154" s="332"/>
      <c r="AY1154" s="332"/>
      <c r="AZ1154" s="332"/>
      <c r="BA1154" s="332"/>
      <c r="BB1154" s="332"/>
      <c r="BC1154" s="332"/>
      <c r="BD1154" s="332"/>
      <c r="BE1154" s="332"/>
      <c r="BF1154" s="332"/>
      <c r="BG1154" s="332"/>
      <c r="BH1154" s="332"/>
      <c r="BI1154" s="332"/>
      <c r="BJ1154" s="332"/>
      <c r="BK1154" s="332"/>
      <c r="BL1154" s="332"/>
      <c r="BM1154" s="332"/>
      <c r="BN1154" s="332"/>
      <c r="BO1154" s="332"/>
      <c r="BP1154" s="332"/>
      <c r="BQ1154" s="332"/>
      <c r="BR1154" s="332"/>
      <c r="BS1154" s="332"/>
      <c r="BT1154" s="332"/>
      <c r="BU1154" s="332"/>
      <c r="BV1154" s="332"/>
      <c r="BW1154" s="332"/>
      <c r="BX1154" s="332"/>
      <c r="BY1154" s="332"/>
      <c r="BZ1154" s="332"/>
      <c r="CA1154" s="332"/>
      <c r="CB1154" s="332"/>
      <c r="CC1154" s="332"/>
      <c r="CD1154" s="332"/>
      <c r="CE1154" s="332"/>
      <c r="CF1154" s="332"/>
      <c r="CG1154" s="332"/>
      <c r="CH1154" s="332"/>
      <c r="CI1154" s="332"/>
      <c r="CJ1154" s="332"/>
      <c r="CK1154" s="332"/>
      <c r="CL1154" s="332"/>
      <c r="CM1154" s="332"/>
      <c r="CN1154" s="332"/>
      <c r="CO1154" s="332"/>
      <c r="CP1154" s="332"/>
      <c r="CQ1154" s="332"/>
      <c r="CR1154" s="332"/>
      <c r="CS1154" s="332"/>
      <c r="CT1154" s="332"/>
      <c r="CU1154" s="332"/>
      <c r="CV1154" s="332"/>
      <c r="CW1154" s="332"/>
      <c r="CX1154" s="332"/>
      <c r="CY1154" s="332"/>
      <c r="CZ1154" s="332"/>
      <c r="DA1154" s="332"/>
      <c r="DB1154" s="332"/>
      <c r="DC1154" s="332"/>
      <c r="DD1154" s="332"/>
      <c r="DE1154" s="332"/>
      <c r="DF1154" s="332"/>
      <c r="DG1154" s="332"/>
      <c r="DH1154" s="332"/>
      <c r="DI1154" s="332"/>
      <c r="DJ1154" s="332"/>
      <c r="DK1154" s="332"/>
      <c r="DL1154" s="332"/>
      <c r="DM1154" s="332"/>
      <c r="DN1154" s="332"/>
      <c r="DO1154" s="332"/>
      <c r="DP1154" s="332"/>
      <c r="DQ1154" s="332"/>
      <c r="DR1154" s="332"/>
      <c r="DS1154" s="332"/>
      <c r="DT1154" s="332"/>
      <c r="DU1154" s="453"/>
      <c r="DV1154" s="453"/>
      <c r="DW1154" s="453"/>
      <c r="DX1154" s="453"/>
      <c r="DY1154" s="453"/>
      <c r="DZ1154" s="453"/>
      <c r="EA1154" s="453"/>
      <c r="EB1154" s="453"/>
      <c r="EC1154" s="453"/>
      <c r="ED1154" s="453"/>
      <c r="EE1154" s="453"/>
      <c r="EF1154" s="453"/>
      <c r="EG1154" s="453"/>
      <c r="EH1154" s="453"/>
      <c r="EI1154" s="453"/>
      <c r="EJ1154" s="453"/>
      <c r="EK1154" s="453"/>
      <c r="EL1154" s="453"/>
      <c r="EM1154" s="483">
        <f t="shared" si="254"/>
        <v>845</v>
      </c>
      <c r="EN1154" s="485"/>
      <c r="EO1154" s="458"/>
      <c r="EP1154" s="467"/>
      <c r="EQ1154" s="457"/>
      <c r="ER1154" s="808"/>
      <c r="ES1154" s="881">
        <f t="shared" si="252"/>
        <v>0</v>
      </c>
      <c r="ET1154" s="882"/>
      <c r="EU1154" s="883"/>
      <c r="EV1154" s="884">
        <f t="shared" si="253"/>
        <v>0</v>
      </c>
      <c r="EW1154" s="885"/>
      <c r="EX1154" s="885"/>
      <c r="EY1154" s="885"/>
      <c r="EZ1154" s="885"/>
      <c r="FA1154" s="885"/>
      <c r="FB1154" s="885"/>
      <c r="FC1154" s="885"/>
      <c r="FD1154" s="886"/>
      <c r="FE1154" s="878"/>
      <c r="FF1154" s="878"/>
      <c r="FG1154" s="878"/>
      <c r="FH1154" s="878"/>
      <c r="FI1154" s="878"/>
      <c r="FJ1154" s="878"/>
      <c r="FK1154" s="878"/>
      <c r="FL1154" s="555"/>
      <c r="FM1154" s="554"/>
      <c r="FN1154" s="554"/>
      <c r="FO1154" s="554"/>
      <c r="FP1154" s="554"/>
      <c r="FQ1154" s="554"/>
      <c r="FR1154" s="554"/>
      <c r="FS1154" s="554"/>
      <c r="FT1154" s="554"/>
      <c r="FU1154" s="554"/>
      <c r="FV1154" s="554"/>
      <c r="FW1154" s="554"/>
      <c r="FX1154" s="554"/>
      <c r="FY1154" s="554"/>
      <c r="FZ1154" s="554"/>
      <c r="GA1154" s="554"/>
      <c r="GB1154" s="556"/>
      <c r="GC1154" s="370"/>
      <c r="GD1154" s="453"/>
      <c r="GE1154" s="453"/>
      <c r="GF1154" s="453"/>
      <c r="GG1154" s="453"/>
      <c r="GH1154" s="454"/>
      <c r="GI1154" s="453"/>
      <c r="GJ1154" s="453"/>
      <c r="GK1154" s="453"/>
      <c r="GL1154" s="453"/>
      <c r="GM1154" s="453"/>
      <c r="GN1154" s="453"/>
      <c r="GO1154" s="453"/>
      <c r="GP1154" s="453"/>
      <c r="GQ1154" s="453"/>
      <c r="GR1154" s="453"/>
      <c r="GS1154" s="561"/>
      <c r="GT1154" s="475"/>
      <c r="GU1154" s="472"/>
      <c r="GV1154" s="453"/>
      <c r="GW1154" s="453"/>
      <c r="GX1154" s="869"/>
      <c r="GY1154" s="870"/>
      <c r="GZ1154" s="867"/>
      <c r="HA1154" s="868"/>
      <c r="HB1154" s="473"/>
      <c r="HC1154" s="869"/>
      <c r="HD1154" s="870"/>
      <c r="HE1154" s="867"/>
      <c r="HF1154" s="868"/>
      <c r="HG1154" s="473"/>
      <c r="HH1154" s="867"/>
      <c r="HI1154" s="868"/>
      <c r="HJ1154" s="867"/>
      <c r="HK1154" s="868"/>
      <c r="HL1154" s="370"/>
      <c r="HM1154" s="865"/>
      <c r="HN1154" s="866"/>
      <c r="HO1154" s="865"/>
      <c r="HP1154" s="866"/>
      <c r="HQ1154" s="865"/>
      <c r="HR1154" s="866"/>
      <c r="HS1154" s="867"/>
      <c r="HT1154" s="868"/>
      <c r="HU1154" s="489"/>
      <c r="HV1154" s="865"/>
      <c r="HW1154" s="866"/>
    </row>
    <row r="1155" spans="25:231" ht="15" customHeight="1">
      <c r="Y1155" s="332"/>
      <c r="Z1155" s="332"/>
      <c r="AA1155" s="332"/>
      <c r="AB1155" s="332"/>
      <c r="AC1155" s="332"/>
      <c r="AD1155" s="332"/>
      <c r="AE1155" s="332"/>
      <c r="AF1155" s="332"/>
      <c r="AG1155" s="332"/>
      <c r="AH1155" s="332"/>
      <c r="AI1155" s="332"/>
      <c r="AJ1155" s="332"/>
      <c r="AK1155" s="332"/>
      <c r="AL1155" s="332"/>
      <c r="AM1155" s="332"/>
      <c r="AN1155" s="332"/>
      <c r="AO1155" s="332"/>
      <c r="AP1155" s="332"/>
      <c r="AQ1155" s="332"/>
      <c r="AR1155" s="332"/>
      <c r="AS1155" s="332"/>
      <c r="AT1155" s="332"/>
      <c r="AU1155" s="332"/>
      <c r="AV1155" s="332"/>
      <c r="AW1155" s="332"/>
      <c r="AX1155" s="332"/>
      <c r="AY1155" s="332"/>
      <c r="AZ1155" s="332"/>
      <c r="BA1155" s="332"/>
      <c r="BB1155" s="332"/>
      <c r="BC1155" s="332"/>
      <c r="BD1155" s="332"/>
      <c r="BE1155" s="332"/>
      <c r="BF1155" s="332"/>
      <c r="BG1155" s="332"/>
      <c r="BH1155" s="332"/>
      <c r="BI1155" s="332"/>
      <c r="BJ1155" s="332"/>
      <c r="BK1155" s="332"/>
      <c r="BL1155" s="332"/>
      <c r="BM1155" s="332"/>
      <c r="BN1155" s="332"/>
      <c r="BO1155" s="332"/>
      <c r="BP1155" s="332"/>
      <c r="BQ1155" s="332"/>
      <c r="BR1155" s="332"/>
      <c r="BS1155" s="332"/>
      <c r="BT1155" s="332"/>
      <c r="BU1155" s="332"/>
      <c r="BV1155" s="332"/>
      <c r="BW1155" s="332"/>
      <c r="BX1155" s="332"/>
      <c r="BY1155" s="332"/>
      <c r="BZ1155" s="332"/>
      <c r="CA1155" s="332"/>
      <c r="CB1155" s="332"/>
      <c r="CC1155" s="332"/>
      <c r="CD1155" s="332"/>
      <c r="CE1155" s="332"/>
      <c r="CF1155" s="332"/>
      <c r="CG1155" s="332"/>
      <c r="CH1155" s="332"/>
      <c r="CI1155" s="332"/>
      <c r="CJ1155" s="332"/>
      <c r="CK1155" s="332"/>
      <c r="CL1155" s="332"/>
      <c r="CM1155" s="332"/>
      <c r="CN1155" s="332"/>
      <c r="CO1155" s="332"/>
      <c r="CP1155" s="332"/>
      <c r="CQ1155" s="332"/>
      <c r="CR1155" s="332"/>
      <c r="CS1155" s="332"/>
      <c r="CT1155" s="332"/>
      <c r="CU1155" s="332"/>
      <c r="CV1155" s="332"/>
      <c r="CW1155" s="332"/>
      <c r="CX1155" s="332"/>
      <c r="CY1155" s="332"/>
      <c r="CZ1155" s="332"/>
      <c r="DA1155" s="332"/>
      <c r="DB1155" s="332"/>
      <c r="DC1155" s="332"/>
      <c r="DD1155" s="332"/>
      <c r="DE1155" s="332"/>
      <c r="DF1155" s="332"/>
      <c r="DG1155" s="332"/>
      <c r="DH1155" s="332"/>
      <c r="DI1155" s="332"/>
      <c r="DJ1155" s="332"/>
      <c r="DK1155" s="332"/>
      <c r="DL1155" s="332"/>
      <c r="DM1155" s="332"/>
      <c r="DN1155" s="332"/>
      <c r="DO1155" s="332"/>
      <c r="DP1155" s="332"/>
      <c r="DQ1155" s="332"/>
      <c r="DR1155" s="332"/>
      <c r="DS1155" s="332"/>
      <c r="DT1155" s="332"/>
      <c r="DU1155" s="453"/>
      <c r="DV1155" s="453"/>
      <c r="DW1155" s="453"/>
      <c r="DX1155" s="453"/>
      <c r="DY1155" s="453"/>
      <c r="DZ1155" s="453"/>
      <c r="EA1155" s="453"/>
      <c r="EB1155" s="453"/>
      <c r="EC1155" s="453"/>
      <c r="ED1155" s="453"/>
      <c r="EE1155" s="453"/>
      <c r="EF1155" s="453"/>
      <c r="EG1155" s="453"/>
      <c r="EH1155" s="453"/>
      <c r="EI1155" s="453"/>
      <c r="EJ1155" s="453"/>
      <c r="EK1155" s="453"/>
      <c r="EL1155" s="453"/>
      <c r="EM1155" s="483">
        <f t="shared" si="254"/>
        <v>846</v>
      </c>
      <c r="EN1155" s="485"/>
      <c r="EO1155" s="458"/>
      <c r="EP1155" s="467"/>
      <c r="EQ1155" s="457"/>
      <c r="ER1155" s="808"/>
      <c r="ES1155" s="881">
        <f t="shared" ref="ES1155:ES1218" si="255">IF(OR(EO1155 = "", EP1155 = 0, EP1155 = "", EQ1155 = 0, EQ1155 = "", ER1155 = 0, ER1155 = ""), 0,
IF(EO1155 &lt;&gt; "ACCION", EP1155 * ER1155 * -100,  EP1155 * ER1155 * -1))</f>
        <v>0</v>
      </c>
      <c r="ET1155" s="882"/>
      <c r="EU1155" s="883"/>
      <c r="EV1155" s="884">
        <f t="shared" ref="EV1155:EV1218" si="256">+IF(OR(EO1155 = "", EP1155 = 0, EP1155 = "", EQ1155 = 0, EQ1155 = "", ER1155 = 0, ER1155 = ""), 0,
IF(EO1155 &lt;&gt; "ACCION",
IF(EP1155 &gt; 0, EP1155 * ER1155 * -100 * ( 1 + COMIS_OPCION), EP1155 * ER1155 * -100 * ( 1 - COMIS_OPCION)),
IF(EP1155 &gt; 0, EP1155 * ER1155 * -1 * ( 1 + COMIS_ACCION), EP1155 * ER1155 * -1 * ( 1 - COMIS_ACCION))  ))</f>
        <v>0</v>
      </c>
      <c r="EW1155" s="885"/>
      <c r="EX1155" s="885"/>
      <c r="EY1155" s="885"/>
      <c r="EZ1155" s="885"/>
      <c r="FA1155" s="885"/>
      <c r="FB1155" s="885"/>
      <c r="FC1155" s="885"/>
      <c r="FD1155" s="886"/>
      <c r="FE1155" s="878"/>
      <c r="FF1155" s="878"/>
      <c r="FG1155" s="878"/>
      <c r="FH1155" s="878"/>
      <c r="FI1155" s="878"/>
      <c r="FJ1155" s="878"/>
      <c r="FK1155" s="878"/>
      <c r="FL1155" s="555"/>
      <c r="FM1155" s="554"/>
      <c r="FN1155" s="554"/>
      <c r="FO1155" s="554"/>
      <c r="FP1155" s="554"/>
      <c r="FQ1155" s="554"/>
      <c r="FR1155" s="554"/>
      <c r="FS1155" s="554"/>
      <c r="FT1155" s="554"/>
      <c r="FU1155" s="554"/>
      <c r="FV1155" s="554"/>
      <c r="FW1155" s="554"/>
      <c r="FX1155" s="554"/>
      <c r="FY1155" s="554"/>
      <c r="FZ1155" s="554"/>
      <c r="GA1155" s="554"/>
      <c r="GB1155" s="556"/>
      <c r="GC1155" s="370"/>
      <c r="GD1155" s="453"/>
      <c r="GE1155" s="453"/>
      <c r="GF1155" s="453"/>
      <c r="GG1155" s="453"/>
      <c r="GH1155" s="454"/>
      <c r="GI1155" s="453"/>
      <c r="GJ1155" s="453"/>
      <c r="GK1155" s="453"/>
      <c r="GL1155" s="453"/>
      <c r="GM1155" s="453"/>
      <c r="GN1155" s="453"/>
      <c r="GO1155" s="453"/>
      <c r="GP1155" s="453"/>
      <c r="GQ1155" s="453"/>
      <c r="GR1155" s="453"/>
      <c r="GS1155" s="561"/>
      <c r="GT1155" s="475"/>
      <c r="GU1155" s="472"/>
      <c r="GV1155" s="453"/>
      <c r="GW1155" s="453"/>
      <c r="GX1155" s="869"/>
      <c r="GY1155" s="870"/>
      <c r="GZ1155" s="867"/>
      <c r="HA1155" s="868"/>
      <c r="HB1155" s="473"/>
      <c r="HC1155" s="869"/>
      <c r="HD1155" s="870"/>
      <c r="HE1155" s="867"/>
      <c r="HF1155" s="868"/>
      <c r="HG1155" s="473"/>
      <c r="HH1155" s="867"/>
      <c r="HI1155" s="868"/>
      <c r="HJ1155" s="867"/>
      <c r="HK1155" s="868"/>
      <c r="HL1155" s="370"/>
      <c r="HM1155" s="865"/>
      <c r="HN1155" s="866"/>
      <c r="HO1155" s="865"/>
      <c r="HP1155" s="866"/>
      <c r="HQ1155" s="865"/>
      <c r="HR1155" s="866"/>
      <c r="HS1155" s="867"/>
      <c r="HT1155" s="868"/>
      <c r="HU1155" s="489"/>
      <c r="HV1155" s="865"/>
      <c r="HW1155" s="866"/>
    </row>
    <row r="1156" spans="25:231" ht="15" customHeight="1">
      <c r="Y1156" s="332"/>
      <c r="Z1156" s="332"/>
      <c r="AA1156" s="332"/>
      <c r="AB1156" s="332"/>
      <c r="AC1156" s="332"/>
      <c r="AD1156" s="332"/>
      <c r="AE1156" s="332"/>
      <c r="AF1156" s="332"/>
      <c r="AG1156" s="332"/>
      <c r="AH1156" s="332"/>
      <c r="AI1156" s="332"/>
      <c r="AJ1156" s="332"/>
      <c r="AK1156" s="332"/>
      <c r="AL1156" s="332"/>
      <c r="AM1156" s="332"/>
      <c r="AN1156" s="332"/>
      <c r="AO1156" s="332"/>
      <c r="AP1156" s="332"/>
      <c r="AQ1156" s="332"/>
      <c r="AR1156" s="332"/>
      <c r="AS1156" s="332"/>
      <c r="AT1156" s="332"/>
      <c r="AU1156" s="332"/>
      <c r="AV1156" s="332"/>
      <c r="AW1156" s="332"/>
      <c r="AX1156" s="332"/>
      <c r="AY1156" s="332"/>
      <c r="AZ1156" s="332"/>
      <c r="BA1156" s="332"/>
      <c r="BB1156" s="332"/>
      <c r="BC1156" s="332"/>
      <c r="BD1156" s="332"/>
      <c r="BE1156" s="332"/>
      <c r="BF1156" s="332"/>
      <c r="BG1156" s="332"/>
      <c r="BH1156" s="332"/>
      <c r="BI1156" s="332"/>
      <c r="BJ1156" s="332"/>
      <c r="BK1156" s="332"/>
      <c r="BL1156" s="332"/>
      <c r="BM1156" s="332"/>
      <c r="BN1156" s="332"/>
      <c r="BO1156" s="332"/>
      <c r="BP1156" s="332"/>
      <c r="BQ1156" s="332"/>
      <c r="BR1156" s="332"/>
      <c r="BS1156" s="332"/>
      <c r="BT1156" s="332"/>
      <c r="BU1156" s="332"/>
      <c r="BV1156" s="332"/>
      <c r="BW1156" s="332"/>
      <c r="BX1156" s="332"/>
      <c r="BY1156" s="332"/>
      <c r="BZ1156" s="332"/>
      <c r="CA1156" s="332"/>
      <c r="CB1156" s="332"/>
      <c r="CC1156" s="332"/>
      <c r="CD1156" s="332"/>
      <c r="CE1156" s="332"/>
      <c r="CF1156" s="332"/>
      <c r="CG1156" s="332"/>
      <c r="CH1156" s="332"/>
      <c r="CI1156" s="332"/>
      <c r="CJ1156" s="332"/>
      <c r="CK1156" s="332"/>
      <c r="CL1156" s="332"/>
      <c r="CM1156" s="332"/>
      <c r="CN1156" s="332"/>
      <c r="CO1156" s="332"/>
      <c r="CP1156" s="332"/>
      <c r="CQ1156" s="332"/>
      <c r="CR1156" s="332"/>
      <c r="CS1156" s="332"/>
      <c r="CT1156" s="332"/>
      <c r="CU1156" s="332"/>
      <c r="CV1156" s="332"/>
      <c r="CW1156" s="332"/>
      <c r="CX1156" s="332"/>
      <c r="CY1156" s="332"/>
      <c r="CZ1156" s="332"/>
      <c r="DA1156" s="332"/>
      <c r="DB1156" s="332"/>
      <c r="DC1156" s="332"/>
      <c r="DD1156" s="332"/>
      <c r="DE1156" s="332"/>
      <c r="DF1156" s="332"/>
      <c r="DG1156" s="332"/>
      <c r="DH1156" s="332"/>
      <c r="DI1156" s="332"/>
      <c r="DJ1156" s="332"/>
      <c r="DK1156" s="332"/>
      <c r="DL1156" s="332"/>
      <c r="DM1156" s="332"/>
      <c r="DN1156" s="332"/>
      <c r="DO1156" s="332"/>
      <c r="DP1156" s="332"/>
      <c r="DQ1156" s="332"/>
      <c r="DR1156" s="332"/>
      <c r="DS1156" s="332"/>
      <c r="DT1156" s="332"/>
      <c r="DU1156" s="453"/>
      <c r="DV1156" s="453"/>
      <c r="DW1156" s="453"/>
      <c r="DX1156" s="453"/>
      <c r="DY1156" s="453"/>
      <c r="DZ1156" s="453"/>
      <c r="EA1156" s="453"/>
      <c r="EB1156" s="453"/>
      <c r="EC1156" s="453"/>
      <c r="ED1156" s="453"/>
      <c r="EE1156" s="453"/>
      <c r="EF1156" s="453"/>
      <c r="EG1156" s="453"/>
      <c r="EH1156" s="453"/>
      <c r="EI1156" s="453"/>
      <c r="EJ1156" s="453"/>
      <c r="EK1156" s="453"/>
      <c r="EL1156" s="453"/>
      <c r="EM1156" s="483">
        <f t="shared" si="254"/>
        <v>847</v>
      </c>
      <c r="EN1156" s="485"/>
      <c r="EO1156" s="458"/>
      <c r="EP1156" s="467"/>
      <c r="EQ1156" s="457"/>
      <c r="ER1156" s="808"/>
      <c r="ES1156" s="881">
        <f t="shared" si="255"/>
        <v>0</v>
      </c>
      <c r="ET1156" s="882"/>
      <c r="EU1156" s="883"/>
      <c r="EV1156" s="884">
        <f t="shared" si="256"/>
        <v>0</v>
      </c>
      <c r="EW1156" s="885"/>
      <c r="EX1156" s="885"/>
      <c r="EY1156" s="885"/>
      <c r="EZ1156" s="885"/>
      <c r="FA1156" s="885"/>
      <c r="FB1156" s="885"/>
      <c r="FC1156" s="885"/>
      <c r="FD1156" s="886"/>
      <c r="FE1156" s="878"/>
      <c r="FF1156" s="878"/>
      <c r="FG1156" s="878"/>
      <c r="FH1156" s="878"/>
      <c r="FI1156" s="878"/>
      <c r="FJ1156" s="878"/>
      <c r="FK1156" s="878"/>
      <c r="FL1156" s="555"/>
      <c r="FM1156" s="554"/>
      <c r="FN1156" s="554"/>
      <c r="FO1156" s="554"/>
      <c r="FP1156" s="554"/>
      <c r="FQ1156" s="554"/>
      <c r="FR1156" s="554"/>
      <c r="FS1156" s="554"/>
      <c r="FT1156" s="554"/>
      <c r="FU1156" s="554"/>
      <c r="FV1156" s="554"/>
      <c r="FW1156" s="554"/>
      <c r="FX1156" s="554"/>
      <c r="FY1156" s="554"/>
      <c r="FZ1156" s="554"/>
      <c r="GA1156" s="554"/>
      <c r="GB1156" s="556"/>
      <c r="GC1156" s="370"/>
      <c r="GD1156" s="453"/>
      <c r="GE1156" s="453"/>
      <c r="GF1156" s="453"/>
      <c r="GG1156" s="453"/>
      <c r="GH1156" s="454"/>
      <c r="GI1156" s="453"/>
      <c r="GJ1156" s="453"/>
      <c r="GK1156" s="453"/>
      <c r="GL1156" s="453"/>
      <c r="GM1156" s="453"/>
      <c r="GN1156" s="453"/>
      <c r="GO1156" s="453"/>
      <c r="GP1156" s="453"/>
      <c r="GQ1156" s="453"/>
      <c r="GR1156" s="453"/>
      <c r="GS1156" s="561"/>
      <c r="GT1156" s="475"/>
      <c r="GU1156" s="472"/>
      <c r="GV1156" s="453"/>
      <c r="GW1156" s="453"/>
      <c r="GX1156" s="869"/>
      <c r="GY1156" s="870"/>
      <c r="GZ1156" s="867"/>
      <c r="HA1156" s="868"/>
      <c r="HB1156" s="473"/>
      <c r="HC1156" s="869"/>
      <c r="HD1156" s="870"/>
      <c r="HE1156" s="867"/>
      <c r="HF1156" s="868"/>
      <c r="HG1156" s="473"/>
      <c r="HH1156" s="867"/>
      <c r="HI1156" s="868"/>
      <c r="HJ1156" s="867"/>
      <c r="HK1156" s="868"/>
      <c r="HL1156" s="370"/>
      <c r="HM1156" s="865"/>
      <c r="HN1156" s="866"/>
      <c r="HO1156" s="865"/>
      <c r="HP1156" s="866"/>
      <c r="HQ1156" s="865"/>
      <c r="HR1156" s="866"/>
      <c r="HS1156" s="867"/>
      <c r="HT1156" s="868"/>
      <c r="HU1156" s="489"/>
      <c r="HV1156" s="865"/>
      <c r="HW1156" s="866"/>
    </row>
    <row r="1157" spans="25:231" ht="15" customHeight="1">
      <c r="Y1157" s="332"/>
      <c r="Z1157" s="332"/>
      <c r="AA1157" s="332"/>
      <c r="AB1157" s="332"/>
      <c r="AC1157" s="332"/>
      <c r="AD1157" s="332"/>
      <c r="AE1157" s="332"/>
      <c r="AF1157" s="332"/>
      <c r="AG1157" s="332"/>
      <c r="AH1157" s="332"/>
      <c r="AI1157" s="332"/>
      <c r="AJ1157" s="332"/>
      <c r="AK1157" s="332"/>
      <c r="AL1157" s="332"/>
      <c r="AM1157" s="332"/>
      <c r="AN1157" s="332"/>
      <c r="AO1157" s="332"/>
      <c r="AP1157" s="332"/>
      <c r="AQ1157" s="332"/>
      <c r="AR1157" s="332"/>
      <c r="AS1157" s="332"/>
      <c r="AT1157" s="332"/>
      <c r="AU1157" s="332"/>
      <c r="AV1157" s="332"/>
      <c r="AW1157" s="332"/>
      <c r="AX1157" s="332"/>
      <c r="AY1157" s="332"/>
      <c r="AZ1157" s="332"/>
      <c r="BA1157" s="332"/>
      <c r="BB1157" s="332"/>
      <c r="BC1157" s="332"/>
      <c r="BD1157" s="332"/>
      <c r="BE1157" s="332"/>
      <c r="BF1157" s="332"/>
      <c r="BG1157" s="332"/>
      <c r="BH1157" s="332"/>
      <c r="BI1157" s="332"/>
      <c r="BJ1157" s="332"/>
      <c r="BK1157" s="332"/>
      <c r="BL1157" s="332"/>
      <c r="BM1157" s="332"/>
      <c r="BN1157" s="332"/>
      <c r="BO1157" s="332"/>
      <c r="BP1157" s="332"/>
      <c r="BQ1157" s="332"/>
      <c r="BR1157" s="332"/>
      <c r="BS1157" s="332"/>
      <c r="BT1157" s="332"/>
      <c r="BU1157" s="332"/>
      <c r="BV1157" s="332"/>
      <c r="BW1157" s="332"/>
      <c r="BX1157" s="332"/>
      <c r="BY1157" s="332"/>
      <c r="BZ1157" s="332"/>
      <c r="CA1157" s="332"/>
      <c r="CB1157" s="332"/>
      <c r="CC1157" s="332"/>
      <c r="CD1157" s="332"/>
      <c r="CE1157" s="332"/>
      <c r="CF1157" s="332"/>
      <c r="CG1157" s="332"/>
      <c r="CH1157" s="332"/>
      <c r="CI1157" s="332"/>
      <c r="CJ1157" s="332"/>
      <c r="CK1157" s="332"/>
      <c r="CL1157" s="332"/>
      <c r="CM1157" s="332"/>
      <c r="CN1157" s="332"/>
      <c r="CO1157" s="332"/>
      <c r="CP1157" s="332"/>
      <c r="CQ1157" s="332"/>
      <c r="CR1157" s="332"/>
      <c r="CS1157" s="332"/>
      <c r="CT1157" s="332"/>
      <c r="CU1157" s="332"/>
      <c r="CV1157" s="332"/>
      <c r="CW1157" s="332"/>
      <c r="CX1157" s="332"/>
      <c r="CY1157" s="332"/>
      <c r="CZ1157" s="332"/>
      <c r="DA1157" s="332"/>
      <c r="DB1157" s="332"/>
      <c r="DC1157" s="332"/>
      <c r="DD1157" s="332"/>
      <c r="DE1157" s="332"/>
      <c r="DF1157" s="332"/>
      <c r="DG1157" s="332"/>
      <c r="DH1157" s="332"/>
      <c r="DI1157" s="332"/>
      <c r="DJ1157" s="332"/>
      <c r="DK1157" s="332"/>
      <c r="DL1157" s="332"/>
      <c r="DM1157" s="332"/>
      <c r="DN1157" s="332"/>
      <c r="DO1157" s="332"/>
      <c r="DP1157" s="332"/>
      <c r="DQ1157" s="332"/>
      <c r="DR1157" s="332"/>
      <c r="DS1157" s="332"/>
      <c r="DT1157" s="332"/>
      <c r="DU1157" s="453"/>
      <c r="DV1157" s="453"/>
      <c r="DW1157" s="453"/>
      <c r="DX1157" s="453"/>
      <c r="DY1157" s="453"/>
      <c r="DZ1157" s="453"/>
      <c r="EA1157" s="453"/>
      <c r="EB1157" s="453"/>
      <c r="EC1157" s="453"/>
      <c r="ED1157" s="453"/>
      <c r="EE1157" s="453"/>
      <c r="EF1157" s="453"/>
      <c r="EG1157" s="453"/>
      <c r="EH1157" s="453"/>
      <c r="EI1157" s="453"/>
      <c r="EJ1157" s="453"/>
      <c r="EK1157" s="453"/>
      <c r="EL1157" s="453"/>
      <c r="EM1157" s="483">
        <f t="shared" si="254"/>
        <v>848</v>
      </c>
      <c r="EN1157" s="485"/>
      <c r="EO1157" s="458"/>
      <c r="EP1157" s="467"/>
      <c r="EQ1157" s="457"/>
      <c r="ER1157" s="808"/>
      <c r="ES1157" s="881">
        <f t="shared" si="255"/>
        <v>0</v>
      </c>
      <c r="ET1157" s="882"/>
      <c r="EU1157" s="883"/>
      <c r="EV1157" s="884">
        <f t="shared" si="256"/>
        <v>0</v>
      </c>
      <c r="EW1157" s="885"/>
      <c r="EX1157" s="885"/>
      <c r="EY1157" s="885"/>
      <c r="EZ1157" s="885"/>
      <c r="FA1157" s="885"/>
      <c r="FB1157" s="885"/>
      <c r="FC1157" s="885"/>
      <c r="FD1157" s="886"/>
      <c r="FE1157" s="878"/>
      <c r="FF1157" s="878"/>
      <c r="FG1157" s="878"/>
      <c r="FH1157" s="878"/>
      <c r="FI1157" s="878"/>
      <c r="FJ1157" s="878"/>
      <c r="FK1157" s="878"/>
      <c r="FL1157" s="555"/>
      <c r="FM1157" s="554"/>
      <c r="FN1157" s="554"/>
      <c r="FO1157" s="554"/>
      <c r="FP1157" s="554"/>
      <c r="FQ1157" s="554"/>
      <c r="FR1157" s="554"/>
      <c r="FS1157" s="554"/>
      <c r="FT1157" s="554"/>
      <c r="FU1157" s="554"/>
      <c r="FV1157" s="554"/>
      <c r="FW1157" s="554"/>
      <c r="FX1157" s="554"/>
      <c r="FY1157" s="554"/>
      <c r="FZ1157" s="554"/>
      <c r="GA1157" s="554"/>
      <c r="GB1157" s="556"/>
      <c r="GC1157" s="370"/>
      <c r="GD1157" s="453"/>
      <c r="GE1157" s="453"/>
      <c r="GF1157" s="453"/>
      <c r="GG1157" s="453"/>
      <c r="GH1157" s="454"/>
      <c r="GI1157" s="453"/>
      <c r="GJ1157" s="453"/>
      <c r="GK1157" s="453"/>
      <c r="GL1157" s="453"/>
      <c r="GM1157" s="453"/>
      <c r="GN1157" s="453"/>
      <c r="GO1157" s="453"/>
      <c r="GP1157" s="453"/>
      <c r="GQ1157" s="453"/>
      <c r="GR1157" s="453"/>
      <c r="GS1157" s="561"/>
      <c r="GT1157" s="475"/>
      <c r="GU1157" s="472"/>
      <c r="GV1157" s="453"/>
      <c r="GW1157" s="453"/>
      <c r="GX1157" s="869"/>
      <c r="GY1157" s="870"/>
      <c r="GZ1157" s="867"/>
      <c r="HA1157" s="868"/>
      <c r="HB1157" s="473"/>
      <c r="HC1157" s="869"/>
      <c r="HD1157" s="870"/>
      <c r="HE1157" s="867"/>
      <c r="HF1157" s="868"/>
      <c r="HG1157" s="473"/>
      <c r="HH1157" s="867"/>
      <c r="HI1157" s="868"/>
      <c r="HJ1157" s="867"/>
      <c r="HK1157" s="868"/>
      <c r="HL1157" s="370"/>
      <c r="HM1157" s="865"/>
      <c r="HN1157" s="866"/>
      <c r="HO1157" s="865"/>
      <c r="HP1157" s="866"/>
      <c r="HQ1157" s="865"/>
      <c r="HR1157" s="866"/>
      <c r="HS1157" s="867"/>
      <c r="HT1157" s="868"/>
      <c r="HU1157" s="489"/>
      <c r="HV1157" s="865"/>
      <c r="HW1157" s="866"/>
    </row>
    <row r="1158" spans="25:231" ht="15" customHeight="1">
      <c r="Y1158" s="332"/>
      <c r="Z1158" s="332"/>
      <c r="AA1158" s="332"/>
      <c r="AB1158" s="332"/>
      <c r="AC1158" s="332"/>
      <c r="AD1158" s="332"/>
      <c r="AE1158" s="332"/>
      <c r="AF1158" s="332"/>
      <c r="AG1158" s="332"/>
      <c r="AH1158" s="332"/>
      <c r="AI1158" s="332"/>
      <c r="AJ1158" s="332"/>
      <c r="AK1158" s="332"/>
      <c r="AL1158" s="332"/>
      <c r="AM1158" s="332"/>
      <c r="AN1158" s="332"/>
      <c r="AO1158" s="332"/>
      <c r="AP1158" s="332"/>
      <c r="AQ1158" s="332"/>
      <c r="AR1158" s="332"/>
      <c r="AS1158" s="332"/>
      <c r="AT1158" s="332"/>
      <c r="AU1158" s="332"/>
      <c r="AV1158" s="332"/>
      <c r="AW1158" s="332"/>
      <c r="AX1158" s="332"/>
      <c r="AY1158" s="332"/>
      <c r="AZ1158" s="332"/>
      <c r="BA1158" s="332"/>
      <c r="BB1158" s="332"/>
      <c r="BC1158" s="332"/>
      <c r="BD1158" s="332"/>
      <c r="BE1158" s="332"/>
      <c r="BF1158" s="332"/>
      <c r="BG1158" s="332"/>
      <c r="BH1158" s="332"/>
      <c r="BI1158" s="332"/>
      <c r="BJ1158" s="332"/>
      <c r="BK1158" s="332"/>
      <c r="BL1158" s="332"/>
      <c r="BM1158" s="332"/>
      <c r="BN1158" s="332"/>
      <c r="BO1158" s="332"/>
      <c r="BP1158" s="332"/>
      <c r="BQ1158" s="332"/>
      <c r="BR1158" s="332"/>
      <c r="BS1158" s="332"/>
      <c r="BT1158" s="332"/>
      <c r="BU1158" s="332"/>
      <c r="BV1158" s="332"/>
      <c r="BW1158" s="332"/>
      <c r="BX1158" s="332"/>
      <c r="BY1158" s="332"/>
      <c r="BZ1158" s="332"/>
      <c r="CA1158" s="332"/>
      <c r="CB1158" s="332"/>
      <c r="CC1158" s="332"/>
      <c r="CD1158" s="332"/>
      <c r="CE1158" s="332"/>
      <c r="CF1158" s="332"/>
      <c r="CG1158" s="332"/>
      <c r="CH1158" s="332"/>
      <c r="CI1158" s="332"/>
      <c r="CJ1158" s="332"/>
      <c r="CK1158" s="332"/>
      <c r="CL1158" s="332"/>
      <c r="CM1158" s="332"/>
      <c r="CN1158" s="332"/>
      <c r="CO1158" s="332"/>
      <c r="CP1158" s="332"/>
      <c r="CQ1158" s="332"/>
      <c r="CR1158" s="332"/>
      <c r="CS1158" s="332"/>
      <c r="CT1158" s="332"/>
      <c r="CU1158" s="332"/>
      <c r="CV1158" s="332"/>
      <c r="CW1158" s="332"/>
      <c r="CX1158" s="332"/>
      <c r="CY1158" s="332"/>
      <c r="CZ1158" s="332"/>
      <c r="DA1158" s="332"/>
      <c r="DB1158" s="332"/>
      <c r="DC1158" s="332"/>
      <c r="DD1158" s="332"/>
      <c r="DE1158" s="332"/>
      <c r="DF1158" s="332"/>
      <c r="DG1158" s="332"/>
      <c r="DH1158" s="332"/>
      <c r="DI1158" s="332"/>
      <c r="DJ1158" s="332"/>
      <c r="DK1158" s="332"/>
      <c r="DL1158" s="332"/>
      <c r="DM1158" s="332"/>
      <c r="DN1158" s="332"/>
      <c r="DO1158" s="332"/>
      <c r="DP1158" s="332"/>
      <c r="DQ1158" s="332"/>
      <c r="DR1158" s="332"/>
      <c r="DS1158" s="332"/>
      <c r="DT1158" s="332"/>
      <c r="DU1158" s="453"/>
      <c r="DV1158" s="453"/>
      <c r="DW1158" s="453"/>
      <c r="DX1158" s="453"/>
      <c r="DY1158" s="453"/>
      <c r="DZ1158" s="453"/>
      <c r="EA1158" s="453"/>
      <c r="EB1158" s="453"/>
      <c r="EC1158" s="453"/>
      <c r="ED1158" s="453"/>
      <c r="EE1158" s="453"/>
      <c r="EF1158" s="453"/>
      <c r="EG1158" s="453"/>
      <c r="EH1158" s="453"/>
      <c r="EI1158" s="453"/>
      <c r="EJ1158" s="453"/>
      <c r="EK1158" s="453"/>
      <c r="EL1158" s="453"/>
      <c r="EM1158" s="483">
        <f t="shared" si="254"/>
        <v>849</v>
      </c>
      <c r="EN1158" s="485"/>
      <c r="EO1158" s="458"/>
      <c r="EP1158" s="467"/>
      <c r="EQ1158" s="457"/>
      <c r="ER1158" s="808"/>
      <c r="ES1158" s="881">
        <f t="shared" si="255"/>
        <v>0</v>
      </c>
      <c r="ET1158" s="882"/>
      <c r="EU1158" s="883"/>
      <c r="EV1158" s="884">
        <f t="shared" si="256"/>
        <v>0</v>
      </c>
      <c r="EW1158" s="885"/>
      <c r="EX1158" s="885"/>
      <c r="EY1158" s="885"/>
      <c r="EZ1158" s="885"/>
      <c r="FA1158" s="885"/>
      <c r="FB1158" s="885"/>
      <c r="FC1158" s="885"/>
      <c r="FD1158" s="886"/>
      <c r="FE1158" s="878"/>
      <c r="FF1158" s="878"/>
      <c r="FG1158" s="878"/>
      <c r="FH1158" s="878"/>
      <c r="FI1158" s="878"/>
      <c r="FJ1158" s="878"/>
      <c r="FK1158" s="878"/>
      <c r="FL1158" s="555"/>
      <c r="FM1158" s="554"/>
      <c r="FN1158" s="554"/>
      <c r="FO1158" s="554"/>
      <c r="FP1158" s="554"/>
      <c r="FQ1158" s="554"/>
      <c r="FR1158" s="554"/>
      <c r="FS1158" s="554"/>
      <c r="FT1158" s="554"/>
      <c r="FU1158" s="554"/>
      <c r="FV1158" s="554"/>
      <c r="FW1158" s="554"/>
      <c r="FX1158" s="554"/>
      <c r="FY1158" s="554"/>
      <c r="FZ1158" s="554"/>
      <c r="GA1158" s="554"/>
      <c r="GB1158" s="556"/>
      <c r="GC1158" s="370"/>
      <c r="GD1158" s="453"/>
      <c r="GE1158" s="453"/>
      <c r="GF1158" s="453"/>
      <c r="GG1158" s="453"/>
      <c r="GH1158" s="454"/>
      <c r="GI1158" s="453"/>
      <c r="GJ1158" s="453"/>
      <c r="GK1158" s="453"/>
      <c r="GL1158" s="453"/>
      <c r="GM1158" s="453"/>
      <c r="GN1158" s="453"/>
      <c r="GO1158" s="453"/>
      <c r="GP1158" s="453"/>
      <c r="GQ1158" s="453"/>
      <c r="GR1158" s="453"/>
      <c r="GS1158" s="561"/>
      <c r="GT1158" s="475"/>
      <c r="GU1158" s="472"/>
      <c r="GV1158" s="453"/>
      <c r="GW1158" s="453"/>
      <c r="GX1158" s="869"/>
      <c r="GY1158" s="870"/>
      <c r="GZ1158" s="867"/>
      <c r="HA1158" s="868"/>
      <c r="HB1158" s="473"/>
      <c r="HC1158" s="869"/>
      <c r="HD1158" s="870"/>
      <c r="HE1158" s="867"/>
      <c r="HF1158" s="868"/>
      <c r="HG1158" s="473"/>
      <c r="HH1158" s="867"/>
      <c r="HI1158" s="868"/>
      <c r="HJ1158" s="867"/>
      <c r="HK1158" s="868"/>
      <c r="HL1158" s="370"/>
      <c r="HM1158" s="865"/>
      <c r="HN1158" s="866"/>
      <c r="HO1158" s="865"/>
      <c r="HP1158" s="866"/>
      <c r="HQ1158" s="865"/>
      <c r="HR1158" s="866"/>
      <c r="HS1158" s="867"/>
      <c r="HT1158" s="868"/>
      <c r="HU1158" s="489"/>
      <c r="HV1158" s="865"/>
      <c r="HW1158" s="866"/>
    </row>
    <row r="1159" spans="25:231" ht="15" customHeight="1">
      <c r="Y1159" s="332"/>
      <c r="Z1159" s="332"/>
      <c r="AA1159" s="332"/>
      <c r="AB1159" s="332"/>
      <c r="AC1159" s="332"/>
      <c r="AD1159" s="332"/>
      <c r="AE1159" s="332"/>
      <c r="AF1159" s="332"/>
      <c r="AG1159" s="332"/>
      <c r="AH1159" s="332"/>
      <c r="AI1159" s="332"/>
      <c r="AJ1159" s="332"/>
      <c r="AK1159" s="332"/>
      <c r="AL1159" s="332"/>
      <c r="AM1159" s="332"/>
      <c r="AN1159" s="332"/>
      <c r="AO1159" s="332"/>
      <c r="AP1159" s="332"/>
      <c r="AQ1159" s="332"/>
      <c r="AR1159" s="332"/>
      <c r="AS1159" s="332"/>
      <c r="AT1159" s="332"/>
      <c r="AU1159" s="332"/>
      <c r="AV1159" s="332"/>
      <c r="AW1159" s="332"/>
      <c r="AX1159" s="332"/>
      <c r="AY1159" s="332"/>
      <c r="AZ1159" s="332"/>
      <c r="BA1159" s="332"/>
      <c r="BB1159" s="332"/>
      <c r="BC1159" s="332"/>
      <c r="BD1159" s="332"/>
      <c r="BE1159" s="332"/>
      <c r="BF1159" s="332"/>
      <c r="BG1159" s="332"/>
      <c r="BH1159" s="332"/>
      <c r="BI1159" s="332"/>
      <c r="BJ1159" s="332"/>
      <c r="BK1159" s="332"/>
      <c r="BL1159" s="332"/>
      <c r="BM1159" s="332"/>
      <c r="BN1159" s="332"/>
      <c r="BO1159" s="332"/>
      <c r="BP1159" s="332"/>
      <c r="BQ1159" s="332"/>
      <c r="BR1159" s="332"/>
      <c r="BS1159" s="332"/>
      <c r="BT1159" s="332"/>
      <c r="BU1159" s="332"/>
      <c r="BV1159" s="332"/>
      <c r="BW1159" s="332"/>
      <c r="BX1159" s="332"/>
      <c r="BY1159" s="332"/>
      <c r="BZ1159" s="332"/>
      <c r="CA1159" s="332"/>
      <c r="CB1159" s="332"/>
      <c r="CC1159" s="332"/>
      <c r="CD1159" s="332"/>
      <c r="CE1159" s="332"/>
      <c r="CF1159" s="332"/>
      <c r="CG1159" s="332"/>
      <c r="CH1159" s="332"/>
      <c r="CI1159" s="332"/>
      <c r="CJ1159" s="332"/>
      <c r="CK1159" s="332"/>
      <c r="CL1159" s="332"/>
      <c r="CM1159" s="332"/>
      <c r="CN1159" s="332"/>
      <c r="CO1159" s="332"/>
      <c r="CP1159" s="332"/>
      <c r="CQ1159" s="332"/>
      <c r="CR1159" s="332"/>
      <c r="CS1159" s="332"/>
      <c r="CT1159" s="332"/>
      <c r="CU1159" s="332"/>
      <c r="CV1159" s="332"/>
      <c r="CW1159" s="332"/>
      <c r="CX1159" s="332"/>
      <c r="CY1159" s="332"/>
      <c r="CZ1159" s="332"/>
      <c r="DA1159" s="332"/>
      <c r="DB1159" s="332"/>
      <c r="DC1159" s="332"/>
      <c r="DD1159" s="332"/>
      <c r="DE1159" s="332"/>
      <c r="DF1159" s="332"/>
      <c r="DG1159" s="332"/>
      <c r="DH1159" s="332"/>
      <c r="DI1159" s="332"/>
      <c r="DJ1159" s="332"/>
      <c r="DK1159" s="332"/>
      <c r="DL1159" s="332"/>
      <c r="DM1159" s="332"/>
      <c r="DN1159" s="332"/>
      <c r="DO1159" s="332"/>
      <c r="DP1159" s="332"/>
      <c r="DQ1159" s="332"/>
      <c r="DR1159" s="332"/>
      <c r="DS1159" s="332"/>
      <c r="DT1159" s="332"/>
      <c r="DU1159" s="453"/>
      <c r="DV1159" s="453"/>
      <c r="DW1159" s="453"/>
      <c r="DX1159" s="453"/>
      <c r="DY1159" s="453"/>
      <c r="DZ1159" s="453"/>
      <c r="EA1159" s="453"/>
      <c r="EB1159" s="453"/>
      <c r="EC1159" s="453"/>
      <c r="ED1159" s="453"/>
      <c r="EE1159" s="453"/>
      <c r="EF1159" s="453"/>
      <c r="EG1159" s="453"/>
      <c r="EH1159" s="453"/>
      <c r="EI1159" s="453"/>
      <c r="EJ1159" s="453"/>
      <c r="EK1159" s="453"/>
      <c r="EL1159" s="453"/>
      <c r="EM1159" s="483">
        <f t="shared" si="254"/>
        <v>850</v>
      </c>
      <c r="EN1159" s="485"/>
      <c r="EO1159" s="458"/>
      <c r="EP1159" s="467"/>
      <c r="EQ1159" s="457"/>
      <c r="ER1159" s="808"/>
      <c r="ES1159" s="881">
        <f t="shared" si="255"/>
        <v>0</v>
      </c>
      <c r="ET1159" s="882"/>
      <c r="EU1159" s="883"/>
      <c r="EV1159" s="884">
        <f t="shared" si="256"/>
        <v>0</v>
      </c>
      <c r="EW1159" s="885"/>
      <c r="EX1159" s="885"/>
      <c r="EY1159" s="885"/>
      <c r="EZ1159" s="885"/>
      <c r="FA1159" s="885"/>
      <c r="FB1159" s="885"/>
      <c r="FC1159" s="885"/>
      <c r="FD1159" s="886"/>
      <c r="FE1159" s="878"/>
      <c r="FF1159" s="878"/>
      <c r="FG1159" s="878"/>
      <c r="FH1159" s="878"/>
      <c r="FI1159" s="878"/>
      <c r="FJ1159" s="878"/>
      <c r="FK1159" s="878"/>
      <c r="FL1159" s="555"/>
      <c r="FM1159" s="554"/>
      <c r="FN1159" s="554"/>
      <c r="FO1159" s="554"/>
      <c r="FP1159" s="554"/>
      <c r="FQ1159" s="554"/>
      <c r="FR1159" s="554"/>
      <c r="FS1159" s="554"/>
      <c r="FT1159" s="554"/>
      <c r="FU1159" s="554"/>
      <c r="FV1159" s="554"/>
      <c r="FW1159" s="554"/>
      <c r="FX1159" s="554"/>
      <c r="FY1159" s="554"/>
      <c r="FZ1159" s="554"/>
      <c r="GA1159" s="554"/>
      <c r="GB1159" s="556"/>
      <c r="GC1159" s="370"/>
      <c r="GD1159" s="453"/>
      <c r="GE1159" s="453"/>
      <c r="GF1159" s="453"/>
      <c r="GG1159" s="453"/>
      <c r="GH1159" s="454"/>
      <c r="GI1159" s="453"/>
      <c r="GJ1159" s="453"/>
      <c r="GK1159" s="453"/>
      <c r="GL1159" s="453"/>
      <c r="GM1159" s="453"/>
      <c r="GN1159" s="453"/>
      <c r="GO1159" s="453"/>
      <c r="GP1159" s="453"/>
      <c r="GQ1159" s="453"/>
      <c r="GR1159" s="453"/>
      <c r="GS1159" s="561"/>
      <c r="GT1159" s="475"/>
      <c r="GU1159" s="472"/>
      <c r="GV1159" s="453"/>
      <c r="GW1159" s="453"/>
      <c r="GX1159" s="869"/>
      <c r="GY1159" s="870"/>
      <c r="GZ1159" s="867"/>
      <c r="HA1159" s="868"/>
      <c r="HB1159" s="473"/>
      <c r="HC1159" s="869"/>
      <c r="HD1159" s="870"/>
      <c r="HE1159" s="867"/>
      <c r="HF1159" s="868"/>
      <c r="HG1159" s="473"/>
      <c r="HH1159" s="867"/>
      <c r="HI1159" s="868"/>
      <c r="HJ1159" s="867"/>
      <c r="HK1159" s="868"/>
      <c r="HL1159" s="370"/>
      <c r="HM1159" s="865"/>
      <c r="HN1159" s="866"/>
      <c r="HO1159" s="865"/>
      <c r="HP1159" s="866"/>
      <c r="HQ1159" s="865"/>
      <c r="HR1159" s="866"/>
      <c r="HS1159" s="867"/>
      <c r="HT1159" s="868"/>
      <c r="HU1159" s="489"/>
      <c r="HV1159" s="865"/>
      <c r="HW1159" s="866"/>
    </row>
    <row r="1160" spans="25:231" ht="15" customHeight="1">
      <c r="Y1160" s="332"/>
      <c r="Z1160" s="332"/>
      <c r="AA1160" s="332"/>
      <c r="AB1160" s="332"/>
      <c r="AC1160" s="332"/>
      <c r="AD1160" s="332"/>
      <c r="AE1160" s="332"/>
      <c r="AF1160" s="332"/>
      <c r="AG1160" s="332"/>
      <c r="AH1160" s="332"/>
      <c r="AI1160" s="332"/>
      <c r="AJ1160" s="332"/>
      <c r="AK1160" s="332"/>
      <c r="AL1160" s="332"/>
      <c r="AM1160" s="332"/>
      <c r="AN1160" s="332"/>
      <c r="AO1160" s="332"/>
      <c r="AP1160" s="332"/>
      <c r="AQ1160" s="332"/>
      <c r="AR1160" s="332"/>
      <c r="AS1160" s="332"/>
      <c r="AT1160" s="332"/>
      <c r="AU1160" s="332"/>
      <c r="AV1160" s="332"/>
      <c r="AW1160" s="332"/>
      <c r="AX1160" s="332"/>
      <c r="AY1160" s="332"/>
      <c r="AZ1160" s="332"/>
      <c r="BA1160" s="332"/>
      <c r="BB1160" s="332"/>
      <c r="BC1160" s="332"/>
      <c r="BD1160" s="332"/>
      <c r="BE1160" s="332"/>
      <c r="BF1160" s="332"/>
      <c r="BG1160" s="332"/>
      <c r="BH1160" s="332"/>
      <c r="BI1160" s="332"/>
      <c r="BJ1160" s="332"/>
      <c r="BK1160" s="332"/>
      <c r="BL1160" s="332"/>
      <c r="BM1160" s="332"/>
      <c r="BN1160" s="332"/>
      <c r="BO1160" s="332"/>
      <c r="BP1160" s="332"/>
      <c r="BQ1160" s="332"/>
      <c r="BR1160" s="332"/>
      <c r="BS1160" s="332"/>
      <c r="BT1160" s="332"/>
      <c r="BU1160" s="332"/>
      <c r="BV1160" s="332"/>
      <c r="BW1160" s="332"/>
      <c r="BX1160" s="332"/>
      <c r="BY1160" s="332"/>
      <c r="BZ1160" s="332"/>
      <c r="CA1160" s="332"/>
      <c r="CB1160" s="332"/>
      <c r="CC1160" s="332"/>
      <c r="CD1160" s="332"/>
      <c r="CE1160" s="332"/>
      <c r="CF1160" s="332"/>
      <c r="CG1160" s="332"/>
      <c r="CH1160" s="332"/>
      <c r="CI1160" s="332"/>
      <c r="CJ1160" s="332"/>
      <c r="CK1160" s="332"/>
      <c r="CL1160" s="332"/>
      <c r="CM1160" s="332"/>
      <c r="CN1160" s="332"/>
      <c r="CO1160" s="332"/>
      <c r="CP1160" s="332"/>
      <c r="CQ1160" s="332"/>
      <c r="CR1160" s="332"/>
      <c r="CS1160" s="332"/>
      <c r="CT1160" s="332"/>
      <c r="CU1160" s="332"/>
      <c r="CV1160" s="332"/>
      <c r="CW1160" s="332"/>
      <c r="CX1160" s="332"/>
      <c r="CY1160" s="332"/>
      <c r="CZ1160" s="332"/>
      <c r="DA1160" s="332"/>
      <c r="DB1160" s="332"/>
      <c r="DC1160" s="332"/>
      <c r="DD1160" s="332"/>
      <c r="DE1160" s="332"/>
      <c r="DF1160" s="332"/>
      <c r="DG1160" s="332"/>
      <c r="DH1160" s="332"/>
      <c r="DI1160" s="332"/>
      <c r="DJ1160" s="332"/>
      <c r="DK1160" s="332"/>
      <c r="DL1160" s="332"/>
      <c r="DM1160" s="332"/>
      <c r="DN1160" s="332"/>
      <c r="DO1160" s="332"/>
      <c r="DP1160" s="332"/>
      <c r="DQ1160" s="332"/>
      <c r="DR1160" s="332"/>
      <c r="DS1160" s="332"/>
      <c r="DT1160" s="332"/>
      <c r="DU1160" s="453"/>
      <c r="DV1160" s="453"/>
      <c r="DW1160" s="453"/>
      <c r="DX1160" s="453"/>
      <c r="DY1160" s="453"/>
      <c r="DZ1160" s="453"/>
      <c r="EA1160" s="453"/>
      <c r="EB1160" s="453"/>
      <c r="EC1160" s="453"/>
      <c r="ED1160" s="453"/>
      <c r="EE1160" s="453"/>
      <c r="EF1160" s="453"/>
      <c r="EG1160" s="453"/>
      <c r="EH1160" s="453"/>
      <c r="EI1160" s="453"/>
      <c r="EJ1160" s="453"/>
      <c r="EK1160" s="453"/>
      <c r="EL1160" s="453"/>
      <c r="EM1160" s="483">
        <f t="shared" si="254"/>
        <v>851</v>
      </c>
      <c r="EN1160" s="485"/>
      <c r="EO1160" s="458"/>
      <c r="EP1160" s="467"/>
      <c r="EQ1160" s="457"/>
      <c r="ER1160" s="808"/>
      <c r="ES1160" s="881">
        <f t="shared" si="255"/>
        <v>0</v>
      </c>
      <c r="ET1160" s="882"/>
      <c r="EU1160" s="883"/>
      <c r="EV1160" s="884">
        <f t="shared" si="256"/>
        <v>0</v>
      </c>
      <c r="EW1160" s="885"/>
      <c r="EX1160" s="885"/>
      <c r="EY1160" s="885"/>
      <c r="EZ1160" s="885"/>
      <c r="FA1160" s="885"/>
      <c r="FB1160" s="885"/>
      <c r="FC1160" s="885"/>
      <c r="FD1160" s="886"/>
      <c r="FE1160" s="878"/>
      <c r="FF1160" s="878"/>
      <c r="FG1160" s="878"/>
      <c r="FH1160" s="878"/>
      <c r="FI1160" s="878"/>
      <c r="FJ1160" s="878"/>
      <c r="FK1160" s="878"/>
      <c r="FL1160" s="555"/>
      <c r="FM1160" s="554"/>
      <c r="FN1160" s="554"/>
      <c r="FO1160" s="554"/>
      <c r="FP1160" s="554"/>
      <c r="FQ1160" s="554"/>
      <c r="FR1160" s="554"/>
      <c r="FS1160" s="554"/>
      <c r="FT1160" s="554"/>
      <c r="FU1160" s="554"/>
      <c r="FV1160" s="554"/>
      <c r="FW1160" s="554"/>
      <c r="FX1160" s="554"/>
      <c r="FY1160" s="554"/>
      <c r="FZ1160" s="554"/>
      <c r="GA1160" s="554"/>
      <c r="GB1160" s="556"/>
      <c r="GC1160" s="370"/>
      <c r="GD1160" s="453"/>
      <c r="GE1160" s="453"/>
      <c r="GF1160" s="453"/>
      <c r="GG1160" s="453"/>
      <c r="GH1160" s="454"/>
      <c r="GI1160" s="453"/>
      <c r="GJ1160" s="453"/>
      <c r="GK1160" s="453"/>
      <c r="GL1160" s="453"/>
      <c r="GM1160" s="453"/>
      <c r="GN1160" s="453"/>
      <c r="GO1160" s="453"/>
      <c r="GP1160" s="453"/>
      <c r="GQ1160" s="453"/>
      <c r="GR1160" s="453"/>
      <c r="GS1160" s="561"/>
      <c r="GT1160" s="475"/>
      <c r="GU1160" s="472"/>
      <c r="GV1160" s="453"/>
      <c r="GW1160" s="453"/>
      <c r="GX1160" s="869"/>
      <c r="GY1160" s="870"/>
      <c r="GZ1160" s="867"/>
      <c r="HA1160" s="868"/>
      <c r="HB1160" s="473"/>
      <c r="HC1160" s="869"/>
      <c r="HD1160" s="870"/>
      <c r="HE1160" s="867"/>
      <c r="HF1160" s="868"/>
      <c r="HG1160" s="473"/>
      <c r="HH1160" s="867"/>
      <c r="HI1160" s="868"/>
      <c r="HJ1160" s="867"/>
      <c r="HK1160" s="868"/>
      <c r="HL1160" s="370"/>
      <c r="HM1160" s="865"/>
      <c r="HN1160" s="866"/>
      <c r="HO1160" s="865"/>
      <c r="HP1160" s="866"/>
      <c r="HQ1160" s="865"/>
      <c r="HR1160" s="866"/>
      <c r="HS1160" s="867"/>
      <c r="HT1160" s="868"/>
      <c r="HU1160" s="489"/>
      <c r="HV1160" s="865"/>
      <c r="HW1160" s="866"/>
    </row>
    <row r="1161" spans="25:231" ht="15" customHeight="1">
      <c r="Y1161" s="332"/>
      <c r="Z1161" s="332"/>
      <c r="AA1161" s="332"/>
      <c r="AB1161" s="332"/>
      <c r="AC1161" s="332"/>
      <c r="AD1161" s="332"/>
      <c r="AE1161" s="332"/>
      <c r="AF1161" s="332"/>
      <c r="AG1161" s="332"/>
      <c r="AH1161" s="332"/>
      <c r="AI1161" s="332"/>
      <c r="AJ1161" s="332"/>
      <c r="AK1161" s="332"/>
      <c r="AL1161" s="332"/>
      <c r="AM1161" s="332"/>
      <c r="AN1161" s="332"/>
      <c r="AO1161" s="332"/>
      <c r="AP1161" s="332"/>
      <c r="AQ1161" s="332"/>
      <c r="AR1161" s="332"/>
      <c r="AS1161" s="332"/>
      <c r="AT1161" s="332"/>
      <c r="AU1161" s="332"/>
      <c r="AV1161" s="332"/>
      <c r="AW1161" s="332"/>
      <c r="AX1161" s="332"/>
      <c r="AY1161" s="332"/>
      <c r="AZ1161" s="332"/>
      <c r="BA1161" s="332"/>
      <c r="BB1161" s="332"/>
      <c r="BC1161" s="332"/>
      <c r="BD1161" s="332"/>
      <c r="BE1161" s="332"/>
      <c r="BF1161" s="332"/>
      <c r="BG1161" s="332"/>
      <c r="BH1161" s="332"/>
      <c r="BI1161" s="332"/>
      <c r="BJ1161" s="332"/>
      <c r="BK1161" s="332"/>
      <c r="BL1161" s="332"/>
      <c r="BM1161" s="332"/>
      <c r="BN1161" s="332"/>
      <c r="BO1161" s="332"/>
      <c r="BP1161" s="332"/>
      <c r="BQ1161" s="332"/>
      <c r="BR1161" s="332"/>
      <c r="BS1161" s="332"/>
      <c r="BT1161" s="332"/>
      <c r="BU1161" s="332"/>
      <c r="BV1161" s="332"/>
      <c r="BW1161" s="332"/>
      <c r="BX1161" s="332"/>
      <c r="BY1161" s="332"/>
      <c r="BZ1161" s="332"/>
      <c r="CA1161" s="332"/>
      <c r="CB1161" s="332"/>
      <c r="CC1161" s="332"/>
      <c r="CD1161" s="332"/>
      <c r="CE1161" s="332"/>
      <c r="CF1161" s="332"/>
      <c r="CG1161" s="332"/>
      <c r="CH1161" s="332"/>
      <c r="CI1161" s="332"/>
      <c r="CJ1161" s="332"/>
      <c r="CK1161" s="332"/>
      <c r="CL1161" s="332"/>
      <c r="CM1161" s="332"/>
      <c r="CN1161" s="332"/>
      <c r="CO1161" s="332"/>
      <c r="CP1161" s="332"/>
      <c r="CQ1161" s="332"/>
      <c r="CR1161" s="332"/>
      <c r="CS1161" s="332"/>
      <c r="CT1161" s="332"/>
      <c r="CU1161" s="332"/>
      <c r="CV1161" s="332"/>
      <c r="CW1161" s="332"/>
      <c r="CX1161" s="332"/>
      <c r="CY1161" s="332"/>
      <c r="CZ1161" s="332"/>
      <c r="DA1161" s="332"/>
      <c r="DB1161" s="332"/>
      <c r="DC1161" s="332"/>
      <c r="DD1161" s="332"/>
      <c r="DE1161" s="332"/>
      <c r="DF1161" s="332"/>
      <c r="DG1161" s="332"/>
      <c r="DH1161" s="332"/>
      <c r="DI1161" s="332"/>
      <c r="DJ1161" s="332"/>
      <c r="DK1161" s="332"/>
      <c r="DL1161" s="332"/>
      <c r="DM1161" s="332"/>
      <c r="DN1161" s="332"/>
      <c r="DO1161" s="332"/>
      <c r="DP1161" s="332"/>
      <c r="DQ1161" s="332"/>
      <c r="DR1161" s="332"/>
      <c r="DS1161" s="332"/>
      <c r="DT1161" s="332"/>
      <c r="DU1161" s="453"/>
      <c r="DV1161" s="453"/>
      <c r="DW1161" s="453"/>
      <c r="DX1161" s="453"/>
      <c r="DY1161" s="453"/>
      <c r="DZ1161" s="453"/>
      <c r="EA1161" s="453"/>
      <c r="EB1161" s="453"/>
      <c r="EC1161" s="453"/>
      <c r="ED1161" s="453"/>
      <c r="EE1161" s="453"/>
      <c r="EF1161" s="453"/>
      <c r="EG1161" s="453"/>
      <c r="EH1161" s="453"/>
      <c r="EI1161" s="453"/>
      <c r="EJ1161" s="453"/>
      <c r="EK1161" s="453"/>
      <c r="EL1161" s="453"/>
      <c r="EM1161" s="483">
        <f t="shared" si="254"/>
        <v>852</v>
      </c>
      <c r="EN1161" s="485"/>
      <c r="EO1161" s="458"/>
      <c r="EP1161" s="467"/>
      <c r="EQ1161" s="457"/>
      <c r="ER1161" s="808"/>
      <c r="ES1161" s="881">
        <f t="shared" si="255"/>
        <v>0</v>
      </c>
      <c r="ET1161" s="882"/>
      <c r="EU1161" s="883"/>
      <c r="EV1161" s="884">
        <f t="shared" si="256"/>
        <v>0</v>
      </c>
      <c r="EW1161" s="885"/>
      <c r="EX1161" s="885"/>
      <c r="EY1161" s="885"/>
      <c r="EZ1161" s="885"/>
      <c r="FA1161" s="885"/>
      <c r="FB1161" s="885"/>
      <c r="FC1161" s="885"/>
      <c r="FD1161" s="886"/>
      <c r="FE1161" s="878"/>
      <c r="FF1161" s="878"/>
      <c r="FG1161" s="878"/>
      <c r="FH1161" s="878"/>
      <c r="FI1161" s="878"/>
      <c r="FJ1161" s="878"/>
      <c r="FK1161" s="878"/>
      <c r="FL1161" s="555"/>
      <c r="FM1161" s="554"/>
      <c r="FN1161" s="554"/>
      <c r="FO1161" s="554"/>
      <c r="FP1161" s="554"/>
      <c r="FQ1161" s="554"/>
      <c r="FR1161" s="554"/>
      <c r="FS1161" s="554"/>
      <c r="FT1161" s="554"/>
      <c r="FU1161" s="554"/>
      <c r="FV1161" s="554"/>
      <c r="FW1161" s="554"/>
      <c r="FX1161" s="554"/>
      <c r="FY1161" s="554"/>
      <c r="FZ1161" s="554"/>
      <c r="GA1161" s="554"/>
      <c r="GB1161" s="556"/>
      <c r="GC1161" s="370"/>
      <c r="GD1161" s="453"/>
      <c r="GE1161" s="453"/>
      <c r="GF1161" s="453"/>
      <c r="GG1161" s="453"/>
      <c r="GH1161" s="454"/>
      <c r="GI1161" s="453"/>
      <c r="GJ1161" s="453"/>
      <c r="GK1161" s="453"/>
      <c r="GL1161" s="453"/>
      <c r="GM1161" s="453"/>
      <c r="GN1161" s="453"/>
      <c r="GO1161" s="453"/>
      <c r="GP1161" s="453"/>
      <c r="GQ1161" s="453"/>
      <c r="GR1161" s="453"/>
      <c r="GS1161" s="561"/>
      <c r="GT1161" s="475"/>
      <c r="GU1161" s="472"/>
      <c r="GV1161" s="453"/>
      <c r="GW1161" s="453"/>
      <c r="GX1161" s="869"/>
      <c r="GY1161" s="870"/>
      <c r="GZ1161" s="867"/>
      <c r="HA1161" s="868"/>
      <c r="HB1161" s="473"/>
      <c r="HC1161" s="869"/>
      <c r="HD1161" s="870"/>
      <c r="HE1161" s="867"/>
      <c r="HF1161" s="868"/>
      <c r="HG1161" s="473"/>
      <c r="HH1161" s="867"/>
      <c r="HI1161" s="868"/>
      <c r="HJ1161" s="867"/>
      <c r="HK1161" s="868"/>
      <c r="HL1161" s="370"/>
      <c r="HM1161" s="865"/>
      <c r="HN1161" s="866"/>
      <c r="HO1161" s="865"/>
      <c r="HP1161" s="866"/>
      <c r="HQ1161" s="865"/>
      <c r="HR1161" s="866"/>
      <c r="HS1161" s="867"/>
      <c r="HT1161" s="868"/>
      <c r="HU1161" s="489"/>
      <c r="HV1161" s="865"/>
      <c r="HW1161" s="866"/>
    </row>
    <row r="1162" spans="25:231" ht="15" customHeight="1">
      <c r="Y1162" s="332"/>
      <c r="Z1162" s="332"/>
      <c r="AA1162" s="332"/>
      <c r="AB1162" s="332"/>
      <c r="AC1162" s="332"/>
      <c r="AD1162" s="332"/>
      <c r="AE1162" s="332"/>
      <c r="AF1162" s="332"/>
      <c r="AG1162" s="332"/>
      <c r="AH1162" s="332"/>
      <c r="AI1162" s="332"/>
      <c r="AJ1162" s="332"/>
      <c r="AK1162" s="332"/>
      <c r="AL1162" s="332"/>
      <c r="AM1162" s="332"/>
      <c r="AN1162" s="332"/>
      <c r="AO1162" s="332"/>
      <c r="AP1162" s="332"/>
      <c r="AQ1162" s="332"/>
      <c r="AR1162" s="332"/>
      <c r="AS1162" s="332"/>
      <c r="AT1162" s="332"/>
      <c r="AU1162" s="332"/>
      <c r="AV1162" s="332"/>
      <c r="AW1162" s="332"/>
      <c r="AX1162" s="332"/>
      <c r="AY1162" s="332"/>
      <c r="AZ1162" s="332"/>
      <c r="BA1162" s="332"/>
      <c r="BB1162" s="332"/>
      <c r="BC1162" s="332"/>
      <c r="BD1162" s="332"/>
      <c r="BE1162" s="332"/>
      <c r="BF1162" s="332"/>
      <c r="BG1162" s="332"/>
      <c r="BH1162" s="332"/>
      <c r="BI1162" s="332"/>
      <c r="BJ1162" s="332"/>
      <c r="BK1162" s="332"/>
      <c r="BL1162" s="332"/>
      <c r="BM1162" s="332"/>
      <c r="BN1162" s="332"/>
      <c r="BO1162" s="332"/>
      <c r="BP1162" s="332"/>
      <c r="BQ1162" s="332"/>
      <c r="BR1162" s="332"/>
      <c r="BS1162" s="332"/>
      <c r="BT1162" s="332"/>
      <c r="BU1162" s="332"/>
      <c r="BV1162" s="332"/>
      <c r="BW1162" s="332"/>
      <c r="BX1162" s="332"/>
      <c r="BY1162" s="332"/>
      <c r="BZ1162" s="332"/>
      <c r="CA1162" s="332"/>
      <c r="CB1162" s="332"/>
      <c r="CC1162" s="332"/>
      <c r="CD1162" s="332"/>
      <c r="CE1162" s="332"/>
      <c r="CF1162" s="332"/>
      <c r="CG1162" s="332"/>
      <c r="CH1162" s="332"/>
      <c r="CI1162" s="332"/>
      <c r="CJ1162" s="332"/>
      <c r="CK1162" s="332"/>
      <c r="CL1162" s="332"/>
      <c r="CM1162" s="332"/>
      <c r="CN1162" s="332"/>
      <c r="CO1162" s="332"/>
      <c r="CP1162" s="332"/>
      <c r="CQ1162" s="332"/>
      <c r="CR1162" s="332"/>
      <c r="CS1162" s="332"/>
      <c r="CT1162" s="332"/>
      <c r="CU1162" s="332"/>
      <c r="CV1162" s="332"/>
      <c r="CW1162" s="332"/>
      <c r="CX1162" s="332"/>
      <c r="CY1162" s="332"/>
      <c r="CZ1162" s="332"/>
      <c r="DA1162" s="332"/>
      <c r="DB1162" s="332"/>
      <c r="DC1162" s="332"/>
      <c r="DD1162" s="332"/>
      <c r="DE1162" s="332"/>
      <c r="DF1162" s="332"/>
      <c r="DG1162" s="332"/>
      <c r="DH1162" s="332"/>
      <c r="DI1162" s="332"/>
      <c r="DJ1162" s="332"/>
      <c r="DK1162" s="332"/>
      <c r="DL1162" s="332"/>
      <c r="DM1162" s="332"/>
      <c r="DN1162" s="332"/>
      <c r="DO1162" s="332"/>
      <c r="DP1162" s="332"/>
      <c r="DQ1162" s="332"/>
      <c r="DR1162" s="332"/>
      <c r="DS1162" s="332"/>
      <c r="DT1162" s="332"/>
      <c r="DU1162" s="453"/>
      <c r="DV1162" s="453"/>
      <c r="DW1162" s="453"/>
      <c r="DX1162" s="453"/>
      <c r="DY1162" s="453"/>
      <c r="DZ1162" s="453"/>
      <c r="EA1162" s="453"/>
      <c r="EB1162" s="453"/>
      <c r="EC1162" s="453"/>
      <c r="ED1162" s="453"/>
      <c r="EE1162" s="453"/>
      <c r="EF1162" s="453"/>
      <c r="EG1162" s="453"/>
      <c r="EH1162" s="453"/>
      <c r="EI1162" s="453"/>
      <c r="EJ1162" s="453"/>
      <c r="EK1162" s="453"/>
      <c r="EL1162" s="453"/>
      <c r="EM1162" s="483">
        <f t="shared" si="254"/>
        <v>853</v>
      </c>
      <c r="EN1162" s="485"/>
      <c r="EO1162" s="458"/>
      <c r="EP1162" s="467"/>
      <c r="EQ1162" s="457"/>
      <c r="ER1162" s="808"/>
      <c r="ES1162" s="881">
        <f t="shared" si="255"/>
        <v>0</v>
      </c>
      <c r="ET1162" s="882"/>
      <c r="EU1162" s="883"/>
      <c r="EV1162" s="884">
        <f t="shared" si="256"/>
        <v>0</v>
      </c>
      <c r="EW1162" s="885"/>
      <c r="EX1162" s="885"/>
      <c r="EY1162" s="885"/>
      <c r="EZ1162" s="885"/>
      <c r="FA1162" s="885"/>
      <c r="FB1162" s="885"/>
      <c r="FC1162" s="885"/>
      <c r="FD1162" s="886"/>
      <c r="FE1162" s="878"/>
      <c r="FF1162" s="878"/>
      <c r="FG1162" s="878"/>
      <c r="FH1162" s="878"/>
      <c r="FI1162" s="878"/>
      <c r="FJ1162" s="878"/>
      <c r="FK1162" s="878"/>
      <c r="FL1162" s="555"/>
      <c r="FM1162" s="554"/>
      <c r="FN1162" s="554"/>
      <c r="FO1162" s="554"/>
      <c r="FP1162" s="554"/>
      <c r="FQ1162" s="554"/>
      <c r="FR1162" s="554"/>
      <c r="FS1162" s="554"/>
      <c r="FT1162" s="554"/>
      <c r="FU1162" s="554"/>
      <c r="FV1162" s="554"/>
      <c r="FW1162" s="554"/>
      <c r="FX1162" s="554"/>
      <c r="FY1162" s="554"/>
      <c r="FZ1162" s="554"/>
      <c r="GA1162" s="554"/>
      <c r="GB1162" s="556"/>
      <c r="GC1162" s="370"/>
      <c r="GD1162" s="453"/>
      <c r="GE1162" s="453"/>
      <c r="GF1162" s="453"/>
      <c r="GG1162" s="453"/>
      <c r="GH1162" s="454"/>
      <c r="GI1162" s="453"/>
      <c r="GJ1162" s="453"/>
      <c r="GK1162" s="453"/>
      <c r="GL1162" s="453"/>
      <c r="GM1162" s="453"/>
      <c r="GN1162" s="453"/>
      <c r="GO1162" s="453"/>
      <c r="GP1162" s="453"/>
      <c r="GQ1162" s="453"/>
      <c r="GR1162" s="453"/>
      <c r="GS1162" s="561"/>
      <c r="GT1162" s="475"/>
      <c r="GU1162" s="472"/>
      <c r="GV1162" s="453"/>
      <c r="GW1162" s="453"/>
      <c r="GX1162" s="869"/>
      <c r="GY1162" s="870"/>
      <c r="GZ1162" s="867"/>
      <c r="HA1162" s="868"/>
      <c r="HB1162" s="473"/>
      <c r="HC1162" s="869"/>
      <c r="HD1162" s="870"/>
      <c r="HE1162" s="867"/>
      <c r="HF1162" s="868"/>
      <c r="HG1162" s="473"/>
      <c r="HH1162" s="867"/>
      <c r="HI1162" s="868"/>
      <c r="HJ1162" s="867"/>
      <c r="HK1162" s="868"/>
      <c r="HL1162" s="370"/>
      <c r="HM1162" s="865"/>
      <c r="HN1162" s="866"/>
      <c r="HO1162" s="865"/>
      <c r="HP1162" s="866"/>
      <c r="HQ1162" s="865"/>
      <c r="HR1162" s="866"/>
      <c r="HS1162" s="867"/>
      <c r="HT1162" s="868"/>
      <c r="HU1162" s="489"/>
      <c r="HV1162" s="865"/>
      <c r="HW1162" s="866"/>
    </row>
    <row r="1163" spans="25:231" ht="15" customHeight="1">
      <c r="Y1163" s="332"/>
      <c r="Z1163" s="332"/>
      <c r="AA1163" s="332"/>
      <c r="AB1163" s="332"/>
      <c r="AC1163" s="332"/>
      <c r="AD1163" s="332"/>
      <c r="AE1163" s="332"/>
      <c r="AF1163" s="332"/>
      <c r="AG1163" s="332"/>
      <c r="AH1163" s="332"/>
      <c r="AI1163" s="332"/>
      <c r="AJ1163" s="332"/>
      <c r="AK1163" s="332"/>
      <c r="AL1163" s="332"/>
      <c r="AM1163" s="332"/>
      <c r="AN1163" s="332"/>
      <c r="AO1163" s="332"/>
      <c r="AP1163" s="332"/>
      <c r="AQ1163" s="332"/>
      <c r="AR1163" s="332"/>
      <c r="AS1163" s="332"/>
      <c r="AT1163" s="332"/>
      <c r="AU1163" s="332"/>
      <c r="AV1163" s="332"/>
      <c r="AW1163" s="332"/>
      <c r="AX1163" s="332"/>
      <c r="AY1163" s="332"/>
      <c r="AZ1163" s="332"/>
      <c r="BA1163" s="332"/>
      <c r="BB1163" s="332"/>
      <c r="BC1163" s="332"/>
      <c r="BD1163" s="332"/>
      <c r="BE1163" s="332"/>
      <c r="BF1163" s="332"/>
      <c r="BG1163" s="332"/>
      <c r="BH1163" s="332"/>
      <c r="BI1163" s="332"/>
      <c r="BJ1163" s="332"/>
      <c r="BK1163" s="332"/>
      <c r="BL1163" s="332"/>
      <c r="BM1163" s="332"/>
      <c r="BN1163" s="332"/>
      <c r="BO1163" s="332"/>
      <c r="BP1163" s="332"/>
      <c r="BQ1163" s="332"/>
      <c r="BR1163" s="332"/>
      <c r="BS1163" s="332"/>
      <c r="BT1163" s="332"/>
      <c r="BU1163" s="332"/>
      <c r="BV1163" s="332"/>
      <c r="BW1163" s="332"/>
      <c r="BX1163" s="332"/>
      <c r="BY1163" s="332"/>
      <c r="BZ1163" s="332"/>
      <c r="CA1163" s="332"/>
      <c r="CB1163" s="332"/>
      <c r="CC1163" s="332"/>
      <c r="CD1163" s="332"/>
      <c r="CE1163" s="332"/>
      <c r="CF1163" s="332"/>
      <c r="CG1163" s="332"/>
      <c r="CH1163" s="332"/>
      <c r="CI1163" s="332"/>
      <c r="CJ1163" s="332"/>
      <c r="CK1163" s="332"/>
      <c r="CL1163" s="332"/>
      <c r="CM1163" s="332"/>
      <c r="CN1163" s="332"/>
      <c r="CO1163" s="332"/>
      <c r="CP1163" s="332"/>
      <c r="CQ1163" s="332"/>
      <c r="CR1163" s="332"/>
      <c r="CS1163" s="332"/>
      <c r="CT1163" s="332"/>
      <c r="CU1163" s="332"/>
      <c r="CV1163" s="332"/>
      <c r="CW1163" s="332"/>
      <c r="CX1163" s="332"/>
      <c r="CY1163" s="332"/>
      <c r="CZ1163" s="332"/>
      <c r="DA1163" s="332"/>
      <c r="DB1163" s="332"/>
      <c r="DC1163" s="332"/>
      <c r="DD1163" s="332"/>
      <c r="DE1163" s="332"/>
      <c r="DF1163" s="332"/>
      <c r="DG1163" s="332"/>
      <c r="DH1163" s="332"/>
      <c r="DI1163" s="332"/>
      <c r="DJ1163" s="332"/>
      <c r="DK1163" s="332"/>
      <c r="DL1163" s="332"/>
      <c r="DM1163" s="332"/>
      <c r="DN1163" s="332"/>
      <c r="DO1163" s="332"/>
      <c r="DP1163" s="332"/>
      <c r="DQ1163" s="332"/>
      <c r="DR1163" s="332"/>
      <c r="DS1163" s="332"/>
      <c r="DT1163" s="332"/>
      <c r="DU1163" s="453"/>
      <c r="DV1163" s="453"/>
      <c r="DW1163" s="453"/>
      <c r="DX1163" s="453"/>
      <c r="DY1163" s="453"/>
      <c r="DZ1163" s="453"/>
      <c r="EA1163" s="453"/>
      <c r="EB1163" s="453"/>
      <c r="EC1163" s="453"/>
      <c r="ED1163" s="453"/>
      <c r="EE1163" s="453"/>
      <c r="EF1163" s="453"/>
      <c r="EG1163" s="453"/>
      <c r="EH1163" s="453"/>
      <c r="EI1163" s="453"/>
      <c r="EJ1163" s="453"/>
      <c r="EK1163" s="453"/>
      <c r="EL1163" s="453"/>
      <c r="EM1163" s="483">
        <f t="shared" si="254"/>
        <v>854</v>
      </c>
      <c r="EN1163" s="485"/>
      <c r="EO1163" s="458"/>
      <c r="EP1163" s="467"/>
      <c r="EQ1163" s="457"/>
      <c r="ER1163" s="808"/>
      <c r="ES1163" s="881">
        <f t="shared" si="255"/>
        <v>0</v>
      </c>
      <c r="ET1163" s="882"/>
      <c r="EU1163" s="883"/>
      <c r="EV1163" s="884">
        <f t="shared" si="256"/>
        <v>0</v>
      </c>
      <c r="EW1163" s="885"/>
      <c r="EX1163" s="885"/>
      <c r="EY1163" s="885"/>
      <c r="EZ1163" s="885"/>
      <c r="FA1163" s="885"/>
      <c r="FB1163" s="885"/>
      <c r="FC1163" s="885"/>
      <c r="FD1163" s="886"/>
      <c r="FE1163" s="878"/>
      <c r="FF1163" s="878"/>
      <c r="FG1163" s="878"/>
      <c r="FH1163" s="878"/>
      <c r="FI1163" s="878"/>
      <c r="FJ1163" s="878"/>
      <c r="FK1163" s="878"/>
      <c r="FL1163" s="555"/>
      <c r="FM1163" s="554"/>
      <c r="FN1163" s="554"/>
      <c r="FO1163" s="554"/>
      <c r="FP1163" s="554"/>
      <c r="FQ1163" s="554"/>
      <c r="FR1163" s="554"/>
      <c r="FS1163" s="554"/>
      <c r="FT1163" s="554"/>
      <c r="FU1163" s="554"/>
      <c r="FV1163" s="554"/>
      <c r="FW1163" s="554"/>
      <c r="FX1163" s="554"/>
      <c r="FY1163" s="554"/>
      <c r="FZ1163" s="554"/>
      <c r="GA1163" s="554"/>
      <c r="GB1163" s="556"/>
      <c r="GC1163" s="370"/>
      <c r="GD1163" s="453"/>
      <c r="GE1163" s="453"/>
      <c r="GF1163" s="453"/>
      <c r="GG1163" s="453"/>
      <c r="GH1163" s="454"/>
      <c r="GI1163" s="453"/>
      <c r="GJ1163" s="453"/>
      <c r="GK1163" s="453"/>
      <c r="GL1163" s="453"/>
      <c r="GM1163" s="453"/>
      <c r="GN1163" s="453"/>
      <c r="GO1163" s="453"/>
      <c r="GP1163" s="453"/>
      <c r="GQ1163" s="453"/>
      <c r="GR1163" s="453"/>
      <c r="GS1163" s="561"/>
      <c r="GT1163" s="475"/>
      <c r="GU1163" s="472"/>
      <c r="GV1163" s="453"/>
      <c r="GW1163" s="453"/>
      <c r="GX1163" s="869"/>
      <c r="GY1163" s="870"/>
      <c r="GZ1163" s="867"/>
      <c r="HA1163" s="868"/>
      <c r="HB1163" s="473"/>
      <c r="HC1163" s="869"/>
      <c r="HD1163" s="870"/>
      <c r="HE1163" s="867"/>
      <c r="HF1163" s="868"/>
      <c r="HG1163" s="473"/>
      <c r="HH1163" s="867"/>
      <c r="HI1163" s="868"/>
      <c r="HJ1163" s="867"/>
      <c r="HK1163" s="868"/>
      <c r="HL1163" s="370"/>
      <c r="HM1163" s="865"/>
      <c r="HN1163" s="866"/>
      <c r="HO1163" s="865"/>
      <c r="HP1163" s="866"/>
      <c r="HQ1163" s="865"/>
      <c r="HR1163" s="866"/>
      <c r="HS1163" s="867"/>
      <c r="HT1163" s="868"/>
      <c r="HU1163" s="489"/>
      <c r="HV1163" s="865"/>
      <c r="HW1163" s="866"/>
    </row>
    <row r="1164" spans="25:231" ht="15" customHeight="1">
      <c r="Y1164" s="332"/>
      <c r="Z1164" s="332"/>
      <c r="AA1164" s="332"/>
      <c r="AB1164" s="332"/>
      <c r="AC1164" s="332"/>
      <c r="AD1164" s="332"/>
      <c r="AE1164" s="332"/>
      <c r="AF1164" s="332"/>
      <c r="AG1164" s="332"/>
      <c r="AH1164" s="332"/>
      <c r="AI1164" s="332"/>
      <c r="AJ1164" s="332"/>
      <c r="AK1164" s="332"/>
      <c r="AL1164" s="332"/>
      <c r="AM1164" s="332"/>
      <c r="AN1164" s="332"/>
      <c r="AO1164" s="332"/>
      <c r="AP1164" s="332"/>
      <c r="AQ1164" s="332"/>
      <c r="AR1164" s="332"/>
      <c r="AS1164" s="332"/>
      <c r="AT1164" s="332"/>
      <c r="AU1164" s="332"/>
      <c r="AV1164" s="332"/>
      <c r="AW1164" s="332"/>
      <c r="AX1164" s="332"/>
      <c r="AY1164" s="332"/>
      <c r="AZ1164" s="332"/>
      <c r="BA1164" s="332"/>
      <c r="BB1164" s="332"/>
      <c r="BC1164" s="332"/>
      <c r="BD1164" s="332"/>
      <c r="BE1164" s="332"/>
      <c r="BF1164" s="332"/>
      <c r="BG1164" s="332"/>
      <c r="BH1164" s="332"/>
      <c r="BI1164" s="332"/>
      <c r="BJ1164" s="332"/>
      <c r="BK1164" s="332"/>
      <c r="BL1164" s="332"/>
      <c r="BM1164" s="332"/>
      <c r="BN1164" s="332"/>
      <c r="BO1164" s="332"/>
      <c r="BP1164" s="332"/>
      <c r="BQ1164" s="332"/>
      <c r="BR1164" s="332"/>
      <c r="BS1164" s="332"/>
      <c r="BT1164" s="332"/>
      <c r="BU1164" s="332"/>
      <c r="BV1164" s="332"/>
      <c r="BW1164" s="332"/>
      <c r="BX1164" s="332"/>
      <c r="BY1164" s="332"/>
      <c r="BZ1164" s="332"/>
      <c r="CA1164" s="332"/>
      <c r="CB1164" s="332"/>
      <c r="CC1164" s="332"/>
      <c r="CD1164" s="332"/>
      <c r="CE1164" s="332"/>
      <c r="CF1164" s="332"/>
      <c r="CG1164" s="332"/>
      <c r="CH1164" s="332"/>
      <c r="CI1164" s="332"/>
      <c r="CJ1164" s="332"/>
      <c r="CK1164" s="332"/>
      <c r="CL1164" s="332"/>
      <c r="CM1164" s="332"/>
      <c r="CN1164" s="332"/>
      <c r="CO1164" s="332"/>
      <c r="CP1164" s="332"/>
      <c r="CQ1164" s="332"/>
      <c r="CR1164" s="332"/>
      <c r="CS1164" s="332"/>
      <c r="CT1164" s="332"/>
      <c r="CU1164" s="332"/>
      <c r="CV1164" s="332"/>
      <c r="CW1164" s="332"/>
      <c r="CX1164" s="332"/>
      <c r="CY1164" s="332"/>
      <c r="CZ1164" s="332"/>
      <c r="DA1164" s="332"/>
      <c r="DB1164" s="332"/>
      <c r="DC1164" s="332"/>
      <c r="DD1164" s="332"/>
      <c r="DE1164" s="332"/>
      <c r="DF1164" s="332"/>
      <c r="DG1164" s="332"/>
      <c r="DH1164" s="332"/>
      <c r="DI1164" s="332"/>
      <c r="DJ1164" s="332"/>
      <c r="DK1164" s="332"/>
      <c r="DL1164" s="332"/>
      <c r="DM1164" s="332"/>
      <c r="DN1164" s="332"/>
      <c r="DO1164" s="332"/>
      <c r="DP1164" s="332"/>
      <c r="DQ1164" s="332"/>
      <c r="DR1164" s="332"/>
      <c r="DS1164" s="332"/>
      <c r="DT1164" s="332"/>
      <c r="DU1164" s="453"/>
      <c r="DV1164" s="453"/>
      <c r="DW1164" s="453"/>
      <c r="DX1164" s="453"/>
      <c r="DY1164" s="453"/>
      <c r="DZ1164" s="453"/>
      <c r="EA1164" s="453"/>
      <c r="EB1164" s="453"/>
      <c r="EC1164" s="453"/>
      <c r="ED1164" s="453"/>
      <c r="EE1164" s="453"/>
      <c r="EF1164" s="453"/>
      <c r="EG1164" s="453"/>
      <c r="EH1164" s="453"/>
      <c r="EI1164" s="453"/>
      <c r="EJ1164" s="453"/>
      <c r="EK1164" s="453"/>
      <c r="EL1164" s="453"/>
      <c r="EM1164" s="483">
        <f t="shared" si="254"/>
        <v>855</v>
      </c>
      <c r="EN1164" s="485"/>
      <c r="EO1164" s="458"/>
      <c r="EP1164" s="467"/>
      <c r="EQ1164" s="457"/>
      <c r="ER1164" s="808"/>
      <c r="ES1164" s="881">
        <f t="shared" si="255"/>
        <v>0</v>
      </c>
      <c r="ET1164" s="882"/>
      <c r="EU1164" s="883"/>
      <c r="EV1164" s="884">
        <f t="shared" si="256"/>
        <v>0</v>
      </c>
      <c r="EW1164" s="885"/>
      <c r="EX1164" s="885"/>
      <c r="EY1164" s="885"/>
      <c r="EZ1164" s="885"/>
      <c r="FA1164" s="885"/>
      <c r="FB1164" s="885"/>
      <c r="FC1164" s="885"/>
      <c r="FD1164" s="886"/>
      <c r="FE1164" s="878"/>
      <c r="FF1164" s="878"/>
      <c r="FG1164" s="878"/>
      <c r="FH1164" s="878"/>
      <c r="FI1164" s="878"/>
      <c r="FJ1164" s="878"/>
      <c r="FK1164" s="878"/>
      <c r="FL1164" s="555"/>
      <c r="FM1164" s="554"/>
      <c r="FN1164" s="554"/>
      <c r="FO1164" s="554"/>
      <c r="FP1164" s="554"/>
      <c r="FQ1164" s="554"/>
      <c r="FR1164" s="554"/>
      <c r="FS1164" s="554"/>
      <c r="FT1164" s="554"/>
      <c r="FU1164" s="554"/>
      <c r="FV1164" s="554"/>
      <c r="FW1164" s="554"/>
      <c r="FX1164" s="554"/>
      <c r="FY1164" s="554"/>
      <c r="FZ1164" s="554"/>
      <c r="GA1164" s="554"/>
      <c r="GB1164" s="556"/>
      <c r="GC1164" s="370"/>
      <c r="GD1164" s="453"/>
      <c r="GE1164" s="453"/>
      <c r="GF1164" s="453"/>
      <c r="GG1164" s="453"/>
      <c r="GH1164" s="454"/>
      <c r="GI1164" s="453"/>
      <c r="GJ1164" s="453"/>
      <c r="GK1164" s="453"/>
      <c r="GL1164" s="453"/>
      <c r="GM1164" s="453"/>
      <c r="GN1164" s="453"/>
      <c r="GO1164" s="453"/>
      <c r="GP1164" s="453"/>
      <c r="GQ1164" s="453"/>
      <c r="GR1164" s="453"/>
      <c r="GS1164" s="561"/>
      <c r="GT1164" s="475"/>
      <c r="GU1164" s="472"/>
      <c r="GV1164" s="453"/>
      <c r="GW1164" s="453"/>
      <c r="GX1164" s="869"/>
      <c r="GY1164" s="870"/>
      <c r="GZ1164" s="867"/>
      <c r="HA1164" s="868"/>
      <c r="HB1164" s="473"/>
      <c r="HC1164" s="869"/>
      <c r="HD1164" s="870"/>
      <c r="HE1164" s="867"/>
      <c r="HF1164" s="868"/>
      <c r="HG1164" s="473"/>
      <c r="HH1164" s="867"/>
      <c r="HI1164" s="868"/>
      <c r="HJ1164" s="867"/>
      <c r="HK1164" s="868"/>
      <c r="HL1164" s="370"/>
      <c r="HM1164" s="865"/>
      <c r="HN1164" s="866"/>
      <c r="HO1164" s="865"/>
      <c r="HP1164" s="866"/>
      <c r="HQ1164" s="865"/>
      <c r="HR1164" s="866"/>
      <c r="HS1164" s="867"/>
      <c r="HT1164" s="868"/>
      <c r="HU1164" s="489"/>
      <c r="HV1164" s="865"/>
      <c r="HW1164" s="866"/>
    </row>
    <row r="1165" spans="25:231" ht="15" customHeight="1">
      <c r="Y1165" s="332"/>
      <c r="Z1165" s="332"/>
      <c r="AA1165" s="332"/>
      <c r="AB1165" s="332"/>
      <c r="AC1165" s="332"/>
      <c r="AD1165" s="332"/>
      <c r="AE1165" s="332"/>
      <c r="AF1165" s="332"/>
      <c r="AG1165" s="332"/>
      <c r="AH1165" s="332"/>
      <c r="AI1165" s="332"/>
      <c r="AJ1165" s="332"/>
      <c r="AK1165" s="332"/>
      <c r="AL1165" s="332"/>
      <c r="AM1165" s="332"/>
      <c r="AN1165" s="332"/>
      <c r="AO1165" s="332"/>
      <c r="AP1165" s="332"/>
      <c r="AQ1165" s="332"/>
      <c r="AR1165" s="332"/>
      <c r="AS1165" s="332"/>
      <c r="AT1165" s="332"/>
      <c r="AU1165" s="332"/>
      <c r="AV1165" s="332"/>
      <c r="AW1165" s="332"/>
      <c r="AX1165" s="332"/>
      <c r="AY1165" s="332"/>
      <c r="AZ1165" s="332"/>
      <c r="BA1165" s="332"/>
      <c r="BB1165" s="332"/>
      <c r="BC1165" s="332"/>
      <c r="BD1165" s="332"/>
      <c r="BE1165" s="332"/>
      <c r="BF1165" s="332"/>
      <c r="BG1165" s="332"/>
      <c r="BH1165" s="332"/>
      <c r="BI1165" s="332"/>
      <c r="BJ1165" s="332"/>
      <c r="BK1165" s="332"/>
      <c r="BL1165" s="332"/>
      <c r="BM1165" s="332"/>
      <c r="BN1165" s="332"/>
      <c r="BO1165" s="332"/>
      <c r="BP1165" s="332"/>
      <c r="BQ1165" s="332"/>
      <c r="BR1165" s="332"/>
      <c r="BS1165" s="332"/>
      <c r="BT1165" s="332"/>
      <c r="BU1165" s="332"/>
      <c r="BV1165" s="332"/>
      <c r="BW1165" s="332"/>
      <c r="BX1165" s="332"/>
      <c r="BY1165" s="332"/>
      <c r="BZ1165" s="332"/>
      <c r="CA1165" s="332"/>
      <c r="CB1165" s="332"/>
      <c r="CC1165" s="332"/>
      <c r="CD1165" s="332"/>
      <c r="CE1165" s="332"/>
      <c r="CF1165" s="332"/>
      <c r="CG1165" s="332"/>
      <c r="CH1165" s="332"/>
      <c r="CI1165" s="332"/>
      <c r="CJ1165" s="332"/>
      <c r="CK1165" s="332"/>
      <c r="CL1165" s="332"/>
      <c r="CM1165" s="332"/>
      <c r="CN1165" s="332"/>
      <c r="CO1165" s="332"/>
      <c r="CP1165" s="332"/>
      <c r="CQ1165" s="332"/>
      <c r="CR1165" s="332"/>
      <c r="CS1165" s="332"/>
      <c r="CT1165" s="332"/>
      <c r="CU1165" s="332"/>
      <c r="CV1165" s="332"/>
      <c r="CW1165" s="332"/>
      <c r="CX1165" s="332"/>
      <c r="CY1165" s="332"/>
      <c r="CZ1165" s="332"/>
      <c r="DA1165" s="332"/>
      <c r="DB1165" s="332"/>
      <c r="DC1165" s="332"/>
      <c r="DD1165" s="332"/>
      <c r="DE1165" s="332"/>
      <c r="DF1165" s="332"/>
      <c r="DG1165" s="332"/>
      <c r="DH1165" s="332"/>
      <c r="DI1165" s="332"/>
      <c r="DJ1165" s="332"/>
      <c r="DK1165" s="332"/>
      <c r="DL1165" s="332"/>
      <c r="DM1165" s="332"/>
      <c r="DN1165" s="332"/>
      <c r="DO1165" s="332"/>
      <c r="DP1165" s="332"/>
      <c r="DQ1165" s="332"/>
      <c r="DR1165" s="332"/>
      <c r="DS1165" s="332"/>
      <c r="DT1165" s="332"/>
      <c r="DU1165" s="453"/>
      <c r="DV1165" s="453"/>
      <c r="DW1165" s="453"/>
      <c r="DX1165" s="453"/>
      <c r="DY1165" s="453"/>
      <c r="DZ1165" s="453"/>
      <c r="EA1165" s="453"/>
      <c r="EB1165" s="453"/>
      <c r="EC1165" s="453"/>
      <c r="ED1165" s="453"/>
      <c r="EE1165" s="453"/>
      <c r="EF1165" s="453"/>
      <c r="EG1165" s="453"/>
      <c r="EH1165" s="453"/>
      <c r="EI1165" s="453"/>
      <c r="EJ1165" s="453"/>
      <c r="EK1165" s="453"/>
      <c r="EL1165" s="453"/>
      <c r="EM1165" s="483">
        <f t="shared" si="254"/>
        <v>856</v>
      </c>
      <c r="EN1165" s="485"/>
      <c r="EO1165" s="458"/>
      <c r="EP1165" s="467"/>
      <c r="EQ1165" s="457"/>
      <c r="ER1165" s="808"/>
      <c r="ES1165" s="881">
        <f t="shared" si="255"/>
        <v>0</v>
      </c>
      <c r="ET1165" s="882"/>
      <c r="EU1165" s="883"/>
      <c r="EV1165" s="884">
        <f t="shared" si="256"/>
        <v>0</v>
      </c>
      <c r="EW1165" s="885"/>
      <c r="EX1165" s="885"/>
      <c r="EY1165" s="885"/>
      <c r="EZ1165" s="885"/>
      <c r="FA1165" s="885"/>
      <c r="FB1165" s="885"/>
      <c r="FC1165" s="885"/>
      <c r="FD1165" s="886"/>
      <c r="FE1165" s="878"/>
      <c r="FF1165" s="878"/>
      <c r="FG1165" s="878"/>
      <c r="FH1165" s="878"/>
      <c r="FI1165" s="878"/>
      <c r="FJ1165" s="878"/>
      <c r="FK1165" s="878"/>
      <c r="FL1165" s="555"/>
      <c r="FM1165" s="554"/>
      <c r="FN1165" s="554"/>
      <c r="FO1165" s="554"/>
      <c r="FP1165" s="554"/>
      <c r="FQ1165" s="554"/>
      <c r="FR1165" s="554"/>
      <c r="FS1165" s="554"/>
      <c r="FT1165" s="554"/>
      <c r="FU1165" s="554"/>
      <c r="FV1165" s="554"/>
      <c r="FW1165" s="554"/>
      <c r="FX1165" s="554"/>
      <c r="FY1165" s="554"/>
      <c r="FZ1165" s="554"/>
      <c r="GA1165" s="554"/>
      <c r="GB1165" s="556"/>
      <c r="GC1165" s="370"/>
      <c r="GD1165" s="453"/>
      <c r="GE1165" s="453"/>
      <c r="GF1165" s="453"/>
      <c r="GG1165" s="453"/>
      <c r="GH1165" s="454"/>
      <c r="GI1165" s="453"/>
      <c r="GJ1165" s="453"/>
      <c r="GK1165" s="453"/>
      <c r="GL1165" s="453"/>
      <c r="GM1165" s="453"/>
      <c r="GN1165" s="453"/>
      <c r="GO1165" s="453"/>
      <c r="GP1165" s="453"/>
      <c r="GQ1165" s="453"/>
      <c r="GR1165" s="453"/>
      <c r="GS1165" s="561"/>
      <c r="GT1165" s="475"/>
      <c r="GU1165" s="472"/>
      <c r="GV1165" s="453"/>
      <c r="GW1165" s="453"/>
      <c r="GX1165" s="869"/>
      <c r="GY1165" s="870"/>
      <c r="GZ1165" s="867"/>
      <c r="HA1165" s="868"/>
      <c r="HB1165" s="473"/>
      <c r="HC1165" s="869"/>
      <c r="HD1165" s="870"/>
      <c r="HE1165" s="867"/>
      <c r="HF1165" s="868"/>
      <c r="HG1165" s="473"/>
      <c r="HH1165" s="867"/>
      <c r="HI1165" s="868"/>
      <c r="HJ1165" s="867"/>
      <c r="HK1165" s="868"/>
      <c r="HL1165" s="370"/>
      <c r="HM1165" s="865"/>
      <c r="HN1165" s="866"/>
      <c r="HO1165" s="865"/>
      <c r="HP1165" s="866"/>
      <c r="HQ1165" s="865"/>
      <c r="HR1165" s="866"/>
      <c r="HS1165" s="867"/>
      <c r="HT1165" s="868"/>
      <c r="HU1165" s="489"/>
      <c r="HV1165" s="865"/>
      <c r="HW1165" s="866"/>
    </row>
    <row r="1166" spans="25:231" ht="15" customHeight="1">
      <c r="Y1166" s="332"/>
      <c r="Z1166" s="332"/>
      <c r="AA1166" s="332"/>
      <c r="AB1166" s="332"/>
      <c r="AC1166" s="332"/>
      <c r="AD1166" s="332"/>
      <c r="AE1166" s="332"/>
      <c r="AF1166" s="332"/>
      <c r="AG1166" s="332"/>
      <c r="AH1166" s="332"/>
      <c r="AI1166" s="332"/>
      <c r="AJ1166" s="332"/>
      <c r="AK1166" s="332"/>
      <c r="AL1166" s="332"/>
      <c r="AM1166" s="332"/>
      <c r="AN1166" s="332"/>
      <c r="AO1166" s="332"/>
      <c r="AP1166" s="332"/>
      <c r="AQ1166" s="332"/>
      <c r="AR1166" s="332"/>
      <c r="AS1166" s="332"/>
      <c r="AT1166" s="332"/>
      <c r="AU1166" s="332"/>
      <c r="AV1166" s="332"/>
      <c r="AW1166" s="332"/>
      <c r="AX1166" s="332"/>
      <c r="AY1166" s="332"/>
      <c r="AZ1166" s="332"/>
      <c r="BA1166" s="332"/>
      <c r="BB1166" s="332"/>
      <c r="BC1166" s="332"/>
      <c r="BD1166" s="332"/>
      <c r="BE1166" s="332"/>
      <c r="BF1166" s="332"/>
      <c r="BG1166" s="332"/>
      <c r="BH1166" s="332"/>
      <c r="BI1166" s="332"/>
      <c r="BJ1166" s="332"/>
      <c r="BK1166" s="332"/>
      <c r="BL1166" s="332"/>
      <c r="BM1166" s="332"/>
      <c r="BN1166" s="332"/>
      <c r="BO1166" s="332"/>
      <c r="BP1166" s="332"/>
      <c r="BQ1166" s="332"/>
      <c r="BR1166" s="332"/>
      <c r="BS1166" s="332"/>
      <c r="BT1166" s="332"/>
      <c r="BU1166" s="332"/>
      <c r="BV1166" s="332"/>
      <c r="BW1166" s="332"/>
      <c r="BX1166" s="332"/>
      <c r="BY1166" s="332"/>
      <c r="BZ1166" s="332"/>
      <c r="CA1166" s="332"/>
      <c r="CB1166" s="332"/>
      <c r="CC1166" s="332"/>
      <c r="CD1166" s="332"/>
      <c r="CE1166" s="332"/>
      <c r="CF1166" s="332"/>
      <c r="CG1166" s="332"/>
      <c r="CH1166" s="332"/>
      <c r="CI1166" s="332"/>
      <c r="CJ1166" s="332"/>
      <c r="CK1166" s="332"/>
      <c r="CL1166" s="332"/>
      <c r="CM1166" s="332"/>
      <c r="CN1166" s="332"/>
      <c r="CO1166" s="332"/>
      <c r="CP1166" s="332"/>
      <c r="CQ1166" s="332"/>
      <c r="CR1166" s="332"/>
      <c r="CS1166" s="332"/>
      <c r="CT1166" s="332"/>
      <c r="CU1166" s="332"/>
      <c r="CV1166" s="332"/>
      <c r="CW1166" s="332"/>
      <c r="CX1166" s="332"/>
      <c r="CY1166" s="332"/>
      <c r="CZ1166" s="332"/>
      <c r="DA1166" s="332"/>
      <c r="DB1166" s="332"/>
      <c r="DC1166" s="332"/>
      <c r="DD1166" s="332"/>
      <c r="DE1166" s="332"/>
      <c r="DF1166" s="332"/>
      <c r="DG1166" s="332"/>
      <c r="DH1166" s="332"/>
      <c r="DI1166" s="332"/>
      <c r="DJ1166" s="332"/>
      <c r="DK1166" s="332"/>
      <c r="DL1166" s="332"/>
      <c r="DM1166" s="332"/>
      <c r="DN1166" s="332"/>
      <c r="DO1166" s="332"/>
      <c r="DP1166" s="332"/>
      <c r="DQ1166" s="332"/>
      <c r="DR1166" s="332"/>
      <c r="DS1166" s="332"/>
      <c r="DT1166" s="332"/>
      <c r="DU1166" s="453"/>
      <c r="DV1166" s="453"/>
      <c r="DW1166" s="453"/>
      <c r="DX1166" s="453"/>
      <c r="DY1166" s="453"/>
      <c r="DZ1166" s="453"/>
      <c r="EA1166" s="453"/>
      <c r="EB1166" s="453"/>
      <c r="EC1166" s="453"/>
      <c r="ED1166" s="453"/>
      <c r="EE1166" s="453"/>
      <c r="EF1166" s="453"/>
      <c r="EG1166" s="453"/>
      <c r="EH1166" s="453"/>
      <c r="EI1166" s="453"/>
      <c r="EJ1166" s="453"/>
      <c r="EK1166" s="453"/>
      <c r="EL1166" s="453"/>
      <c r="EM1166" s="483">
        <f t="shared" si="254"/>
        <v>857</v>
      </c>
      <c r="EN1166" s="485"/>
      <c r="EO1166" s="458"/>
      <c r="EP1166" s="467"/>
      <c r="EQ1166" s="457"/>
      <c r="ER1166" s="808"/>
      <c r="ES1166" s="881">
        <f t="shared" si="255"/>
        <v>0</v>
      </c>
      <c r="ET1166" s="882"/>
      <c r="EU1166" s="883"/>
      <c r="EV1166" s="884">
        <f t="shared" si="256"/>
        <v>0</v>
      </c>
      <c r="EW1166" s="885"/>
      <c r="EX1166" s="885"/>
      <c r="EY1166" s="885"/>
      <c r="EZ1166" s="885"/>
      <c r="FA1166" s="885"/>
      <c r="FB1166" s="885"/>
      <c r="FC1166" s="885"/>
      <c r="FD1166" s="886"/>
      <c r="FE1166" s="878"/>
      <c r="FF1166" s="878"/>
      <c r="FG1166" s="878"/>
      <c r="FH1166" s="878"/>
      <c r="FI1166" s="878"/>
      <c r="FJ1166" s="878"/>
      <c r="FK1166" s="878"/>
      <c r="FL1166" s="555"/>
      <c r="FM1166" s="554"/>
      <c r="FN1166" s="554"/>
      <c r="FO1166" s="554"/>
      <c r="FP1166" s="554"/>
      <c r="FQ1166" s="554"/>
      <c r="FR1166" s="554"/>
      <c r="FS1166" s="554"/>
      <c r="FT1166" s="554"/>
      <c r="FU1166" s="554"/>
      <c r="FV1166" s="554"/>
      <c r="FW1166" s="554"/>
      <c r="FX1166" s="554"/>
      <c r="FY1166" s="554"/>
      <c r="FZ1166" s="554"/>
      <c r="GA1166" s="554"/>
      <c r="GB1166" s="556"/>
      <c r="GC1166" s="370"/>
      <c r="GD1166" s="453"/>
      <c r="GE1166" s="453"/>
      <c r="GF1166" s="453"/>
      <c r="GG1166" s="453"/>
      <c r="GH1166" s="454"/>
      <c r="GI1166" s="453"/>
      <c r="GJ1166" s="453"/>
      <c r="GK1166" s="453"/>
      <c r="GL1166" s="453"/>
      <c r="GM1166" s="453"/>
      <c r="GN1166" s="453"/>
      <c r="GO1166" s="453"/>
      <c r="GP1166" s="453"/>
      <c r="GQ1166" s="453"/>
      <c r="GR1166" s="453"/>
      <c r="GS1166" s="561"/>
      <c r="GT1166" s="475"/>
      <c r="GU1166" s="472"/>
      <c r="GV1166" s="453"/>
      <c r="GW1166" s="453"/>
      <c r="GX1166" s="869"/>
      <c r="GY1166" s="870"/>
      <c r="GZ1166" s="867"/>
      <c r="HA1166" s="868"/>
      <c r="HB1166" s="473"/>
      <c r="HC1166" s="869"/>
      <c r="HD1166" s="870"/>
      <c r="HE1166" s="867"/>
      <c r="HF1166" s="868"/>
      <c r="HG1166" s="473"/>
      <c r="HH1166" s="867"/>
      <c r="HI1166" s="868"/>
      <c r="HJ1166" s="867"/>
      <c r="HK1166" s="868"/>
      <c r="HL1166" s="370"/>
      <c r="HM1166" s="865"/>
      <c r="HN1166" s="866"/>
      <c r="HO1166" s="865"/>
      <c r="HP1166" s="866"/>
      <c r="HQ1166" s="865"/>
      <c r="HR1166" s="866"/>
      <c r="HS1166" s="867"/>
      <c r="HT1166" s="868"/>
      <c r="HU1166" s="489"/>
      <c r="HV1166" s="865"/>
      <c r="HW1166" s="866"/>
    </row>
    <row r="1167" spans="25:231" ht="15" customHeight="1">
      <c r="Y1167" s="332"/>
      <c r="Z1167" s="332"/>
      <c r="AA1167" s="332"/>
      <c r="AB1167" s="332"/>
      <c r="AC1167" s="332"/>
      <c r="AD1167" s="332"/>
      <c r="AE1167" s="332"/>
      <c r="AF1167" s="332"/>
      <c r="AG1167" s="332"/>
      <c r="AH1167" s="332"/>
      <c r="AI1167" s="332"/>
      <c r="AJ1167" s="332"/>
      <c r="AK1167" s="332"/>
      <c r="AL1167" s="332"/>
      <c r="AM1167" s="332"/>
      <c r="AN1167" s="332"/>
      <c r="AO1167" s="332"/>
      <c r="AP1167" s="332"/>
      <c r="AQ1167" s="332"/>
      <c r="AR1167" s="332"/>
      <c r="AS1167" s="332"/>
      <c r="AT1167" s="332"/>
      <c r="AU1167" s="332"/>
      <c r="AV1167" s="332"/>
      <c r="AW1167" s="332"/>
      <c r="AX1167" s="332"/>
      <c r="AY1167" s="332"/>
      <c r="AZ1167" s="332"/>
      <c r="BA1167" s="332"/>
      <c r="BB1167" s="332"/>
      <c r="BC1167" s="332"/>
      <c r="BD1167" s="332"/>
      <c r="BE1167" s="332"/>
      <c r="BF1167" s="332"/>
      <c r="BG1167" s="332"/>
      <c r="BH1167" s="332"/>
      <c r="BI1167" s="332"/>
      <c r="BJ1167" s="332"/>
      <c r="BK1167" s="332"/>
      <c r="BL1167" s="332"/>
      <c r="BM1167" s="332"/>
      <c r="BN1167" s="332"/>
      <c r="BO1167" s="332"/>
      <c r="BP1167" s="332"/>
      <c r="BQ1167" s="332"/>
      <c r="BR1167" s="332"/>
      <c r="BS1167" s="332"/>
      <c r="BT1167" s="332"/>
      <c r="BU1167" s="332"/>
      <c r="BV1167" s="332"/>
      <c r="BW1167" s="332"/>
      <c r="BX1167" s="332"/>
      <c r="BY1167" s="332"/>
      <c r="BZ1167" s="332"/>
      <c r="CA1167" s="332"/>
      <c r="CB1167" s="332"/>
      <c r="CC1167" s="332"/>
      <c r="CD1167" s="332"/>
      <c r="CE1167" s="332"/>
      <c r="CF1167" s="332"/>
      <c r="CG1167" s="332"/>
      <c r="CH1167" s="332"/>
      <c r="CI1167" s="332"/>
      <c r="CJ1167" s="332"/>
      <c r="CK1167" s="332"/>
      <c r="CL1167" s="332"/>
      <c r="CM1167" s="332"/>
      <c r="CN1167" s="332"/>
      <c r="CO1167" s="332"/>
      <c r="CP1167" s="332"/>
      <c r="CQ1167" s="332"/>
      <c r="CR1167" s="332"/>
      <c r="CS1167" s="332"/>
      <c r="CT1167" s="332"/>
      <c r="CU1167" s="332"/>
      <c r="CV1167" s="332"/>
      <c r="CW1167" s="332"/>
      <c r="CX1167" s="332"/>
      <c r="CY1167" s="332"/>
      <c r="CZ1167" s="332"/>
      <c r="DA1167" s="332"/>
      <c r="DB1167" s="332"/>
      <c r="DC1167" s="332"/>
      <c r="DD1167" s="332"/>
      <c r="DE1167" s="332"/>
      <c r="DF1167" s="332"/>
      <c r="DG1167" s="332"/>
      <c r="DH1167" s="332"/>
      <c r="DI1167" s="332"/>
      <c r="DJ1167" s="332"/>
      <c r="DK1167" s="332"/>
      <c r="DL1167" s="332"/>
      <c r="DM1167" s="332"/>
      <c r="DN1167" s="332"/>
      <c r="DO1167" s="332"/>
      <c r="DP1167" s="332"/>
      <c r="DQ1167" s="332"/>
      <c r="DR1167" s="332"/>
      <c r="DS1167" s="332"/>
      <c r="DT1167" s="332"/>
      <c r="DU1167" s="453"/>
      <c r="DV1167" s="453"/>
      <c r="DW1167" s="453"/>
      <c r="DX1167" s="453"/>
      <c r="DY1167" s="453"/>
      <c r="DZ1167" s="453"/>
      <c r="EA1167" s="453"/>
      <c r="EB1167" s="453"/>
      <c r="EC1167" s="453"/>
      <c r="ED1167" s="453"/>
      <c r="EE1167" s="453"/>
      <c r="EF1167" s="453"/>
      <c r="EG1167" s="453"/>
      <c r="EH1167" s="453"/>
      <c r="EI1167" s="453"/>
      <c r="EJ1167" s="453"/>
      <c r="EK1167" s="453"/>
      <c r="EL1167" s="453"/>
      <c r="EM1167" s="483">
        <f t="shared" si="254"/>
        <v>858</v>
      </c>
      <c r="EN1167" s="485"/>
      <c r="EO1167" s="458"/>
      <c r="EP1167" s="467"/>
      <c r="EQ1167" s="457"/>
      <c r="ER1167" s="808"/>
      <c r="ES1167" s="881">
        <f t="shared" si="255"/>
        <v>0</v>
      </c>
      <c r="ET1167" s="882"/>
      <c r="EU1167" s="883"/>
      <c r="EV1167" s="884">
        <f t="shared" si="256"/>
        <v>0</v>
      </c>
      <c r="EW1167" s="885"/>
      <c r="EX1167" s="885"/>
      <c r="EY1167" s="885"/>
      <c r="EZ1167" s="885"/>
      <c r="FA1167" s="885"/>
      <c r="FB1167" s="885"/>
      <c r="FC1167" s="885"/>
      <c r="FD1167" s="886"/>
      <c r="FE1167" s="878"/>
      <c r="FF1167" s="878"/>
      <c r="FG1167" s="878"/>
      <c r="FH1167" s="878"/>
      <c r="FI1167" s="878"/>
      <c r="FJ1167" s="878"/>
      <c r="FK1167" s="878"/>
      <c r="FL1167" s="555"/>
      <c r="FM1167" s="554"/>
      <c r="FN1167" s="554"/>
      <c r="FO1167" s="554"/>
      <c r="FP1167" s="554"/>
      <c r="FQ1167" s="554"/>
      <c r="FR1167" s="554"/>
      <c r="FS1167" s="554"/>
      <c r="FT1167" s="554"/>
      <c r="FU1167" s="554"/>
      <c r="FV1167" s="554"/>
      <c r="FW1167" s="554"/>
      <c r="FX1167" s="554"/>
      <c r="FY1167" s="554"/>
      <c r="FZ1167" s="554"/>
      <c r="GA1167" s="554"/>
      <c r="GB1167" s="556"/>
      <c r="GC1167" s="370"/>
      <c r="GD1167" s="453"/>
      <c r="GE1167" s="453"/>
      <c r="GF1167" s="453"/>
      <c r="GG1167" s="453"/>
      <c r="GH1167" s="454"/>
      <c r="GI1167" s="453"/>
      <c r="GJ1167" s="453"/>
      <c r="GK1167" s="453"/>
      <c r="GL1167" s="453"/>
      <c r="GM1167" s="453"/>
      <c r="GN1167" s="453"/>
      <c r="GO1167" s="453"/>
      <c r="GP1167" s="453"/>
      <c r="GQ1167" s="453"/>
      <c r="GR1167" s="453"/>
      <c r="GS1167" s="561"/>
      <c r="GT1167" s="475"/>
      <c r="GU1167" s="472"/>
      <c r="GV1167" s="453"/>
      <c r="GW1167" s="453"/>
      <c r="GX1167" s="869"/>
      <c r="GY1167" s="870"/>
      <c r="GZ1167" s="867"/>
      <c r="HA1167" s="868"/>
      <c r="HB1167" s="473"/>
      <c r="HC1167" s="869"/>
      <c r="HD1167" s="870"/>
      <c r="HE1167" s="867"/>
      <c r="HF1167" s="868"/>
      <c r="HG1167" s="473"/>
      <c r="HH1167" s="867"/>
      <c r="HI1167" s="868"/>
      <c r="HJ1167" s="867"/>
      <c r="HK1167" s="868"/>
      <c r="HL1167" s="370"/>
      <c r="HM1167" s="865"/>
      <c r="HN1167" s="866"/>
      <c r="HO1167" s="865"/>
      <c r="HP1167" s="866"/>
      <c r="HQ1167" s="865"/>
      <c r="HR1167" s="866"/>
      <c r="HS1167" s="867"/>
      <c r="HT1167" s="868"/>
      <c r="HU1167" s="489"/>
      <c r="HV1167" s="865"/>
      <c r="HW1167" s="866"/>
    </row>
    <row r="1168" spans="25:231" ht="15" customHeight="1">
      <c r="Y1168" s="332"/>
      <c r="Z1168" s="332"/>
      <c r="AA1168" s="332"/>
      <c r="AB1168" s="332"/>
      <c r="AC1168" s="332"/>
      <c r="AD1168" s="332"/>
      <c r="AE1168" s="332"/>
      <c r="AF1168" s="332"/>
      <c r="AG1168" s="332"/>
      <c r="AH1168" s="332"/>
      <c r="AI1168" s="332"/>
      <c r="AJ1168" s="332"/>
      <c r="AK1168" s="332"/>
      <c r="AL1168" s="332"/>
      <c r="AM1168" s="332"/>
      <c r="AN1168" s="332"/>
      <c r="AO1168" s="332"/>
      <c r="AP1168" s="332"/>
      <c r="AQ1168" s="332"/>
      <c r="AR1168" s="332"/>
      <c r="AS1168" s="332"/>
      <c r="AT1168" s="332"/>
      <c r="AU1168" s="332"/>
      <c r="AV1168" s="332"/>
      <c r="AW1168" s="332"/>
      <c r="AX1168" s="332"/>
      <c r="AY1168" s="332"/>
      <c r="AZ1168" s="332"/>
      <c r="BA1168" s="332"/>
      <c r="BB1168" s="332"/>
      <c r="BC1168" s="332"/>
      <c r="BD1168" s="332"/>
      <c r="BE1168" s="332"/>
      <c r="BF1168" s="332"/>
      <c r="BG1168" s="332"/>
      <c r="BH1168" s="332"/>
      <c r="BI1168" s="332"/>
      <c r="BJ1168" s="332"/>
      <c r="BK1168" s="332"/>
      <c r="BL1168" s="332"/>
      <c r="BM1168" s="332"/>
      <c r="BN1168" s="332"/>
      <c r="BO1168" s="332"/>
      <c r="BP1168" s="332"/>
      <c r="BQ1168" s="332"/>
      <c r="BR1168" s="332"/>
      <c r="BS1168" s="332"/>
      <c r="BT1168" s="332"/>
      <c r="BU1168" s="332"/>
      <c r="BV1168" s="332"/>
      <c r="BW1168" s="332"/>
      <c r="BX1168" s="332"/>
      <c r="BY1168" s="332"/>
      <c r="BZ1168" s="332"/>
      <c r="CA1168" s="332"/>
      <c r="CB1168" s="332"/>
      <c r="CC1168" s="332"/>
      <c r="CD1168" s="332"/>
      <c r="CE1168" s="332"/>
      <c r="CF1168" s="332"/>
      <c r="CG1168" s="332"/>
      <c r="CH1168" s="332"/>
      <c r="CI1168" s="332"/>
      <c r="CJ1168" s="332"/>
      <c r="CK1168" s="332"/>
      <c r="CL1168" s="332"/>
      <c r="CM1168" s="332"/>
      <c r="CN1168" s="332"/>
      <c r="CO1168" s="332"/>
      <c r="CP1168" s="332"/>
      <c r="CQ1168" s="332"/>
      <c r="CR1168" s="332"/>
      <c r="CS1168" s="332"/>
      <c r="CT1168" s="332"/>
      <c r="CU1168" s="332"/>
      <c r="CV1168" s="332"/>
      <c r="CW1168" s="332"/>
      <c r="CX1168" s="332"/>
      <c r="CY1168" s="332"/>
      <c r="CZ1168" s="332"/>
      <c r="DA1168" s="332"/>
      <c r="DB1168" s="332"/>
      <c r="DC1168" s="332"/>
      <c r="DD1168" s="332"/>
      <c r="DE1168" s="332"/>
      <c r="DF1168" s="332"/>
      <c r="DG1168" s="332"/>
      <c r="DH1168" s="332"/>
      <c r="DI1168" s="332"/>
      <c r="DJ1168" s="332"/>
      <c r="DK1168" s="332"/>
      <c r="DL1168" s="332"/>
      <c r="DM1168" s="332"/>
      <c r="DN1168" s="332"/>
      <c r="DO1168" s="332"/>
      <c r="DP1168" s="332"/>
      <c r="DQ1168" s="332"/>
      <c r="DR1168" s="332"/>
      <c r="DS1168" s="332"/>
      <c r="DT1168" s="332"/>
      <c r="DU1168" s="453"/>
      <c r="DV1168" s="453"/>
      <c r="DW1168" s="453"/>
      <c r="DX1168" s="453"/>
      <c r="DY1168" s="453"/>
      <c r="DZ1168" s="453"/>
      <c r="EA1168" s="453"/>
      <c r="EB1168" s="453"/>
      <c r="EC1168" s="453"/>
      <c r="ED1168" s="453"/>
      <c r="EE1168" s="453"/>
      <c r="EF1168" s="453"/>
      <c r="EG1168" s="453"/>
      <c r="EH1168" s="453"/>
      <c r="EI1168" s="453"/>
      <c r="EJ1168" s="453"/>
      <c r="EK1168" s="453"/>
      <c r="EL1168" s="453"/>
      <c r="EM1168" s="483">
        <f t="shared" si="254"/>
        <v>859</v>
      </c>
      <c r="EN1168" s="485"/>
      <c r="EO1168" s="458"/>
      <c r="EP1168" s="467"/>
      <c r="EQ1168" s="457"/>
      <c r="ER1168" s="808"/>
      <c r="ES1168" s="881">
        <f t="shared" si="255"/>
        <v>0</v>
      </c>
      <c r="ET1168" s="882"/>
      <c r="EU1168" s="883"/>
      <c r="EV1168" s="884">
        <f t="shared" si="256"/>
        <v>0</v>
      </c>
      <c r="EW1168" s="885"/>
      <c r="EX1168" s="885"/>
      <c r="EY1168" s="885"/>
      <c r="EZ1168" s="885"/>
      <c r="FA1168" s="885"/>
      <c r="FB1168" s="885"/>
      <c r="FC1168" s="885"/>
      <c r="FD1168" s="886"/>
      <c r="FE1168" s="878"/>
      <c r="FF1168" s="878"/>
      <c r="FG1168" s="878"/>
      <c r="FH1168" s="878"/>
      <c r="FI1168" s="878"/>
      <c r="FJ1168" s="878"/>
      <c r="FK1168" s="878"/>
      <c r="FL1168" s="555"/>
      <c r="FM1168" s="554"/>
      <c r="FN1168" s="554"/>
      <c r="FO1168" s="554"/>
      <c r="FP1168" s="554"/>
      <c r="FQ1168" s="554"/>
      <c r="FR1168" s="554"/>
      <c r="FS1168" s="554"/>
      <c r="FT1168" s="554"/>
      <c r="FU1168" s="554"/>
      <c r="FV1168" s="554"/>
      <c r="FW1168" s="554"/>
      <c r="FX1168" s="554"/>
      <c r="FY1168" s="554"/>
      <c r="FZ1168" s="554"/>
      <c r="GA1168" s="554"/>
      <c r="GB1168" s="556"/>
      <c r="GC1168" s="370"/>
      <c r="GD1168" s="453"/>
      <c r="GE1168" s="453"/>
      <c r="GF1168" s="453"/>
      <c r="GG1168" s="453"/>
      <c r="GH1168" s="454"/>
      <c r="GI1168" s="453"/>
      <c r="GJ1168" s="453"/>
      <c r="GK1168" s="453"/>
      <c r="GL1168" s="453"/>
      <c r="GM1168" s="453"/>
      <c r="GN1168" s="453"/>
      <c r="GO1168" s="453"/>
      <c r="GP1168" s="453"/>
      <c r="GQ1168" s="453"/>
      <c r="GR1168" s="453"/>
      <c r="GS1168" s="561"/>
      <c r="GT1168" s="475"/>
      <c r="GU1168" s="472"/>
      <c r="GV1168" s="453"/>
      <c r="GW1168" s="453"/>
      <c r="GX1168" s="869"/>
      <c r="GY1168" s="870"/>
      <c r="GZ1168" s="867"/>
      <c r="HA1168" s="868"/>
      <c r="HB1168" s="473"/>
      <c r="HC1168" s="869"/>
      <c r="HD1168" s="870"/>
      <c r="HE1168" s="867"/>
      <c r="HF1168" s="868"/>
      <c r="HG1168" s="473"/>
      <c r="HH1168" s="867"/>
      <c r="HI1168" s="868"/>
      <c r="HJ1168" s="867"/>
      <c r="HK1168" s="868"/>
      <c r="HL1168" s="370"/>
      <c r="HM1168" s="865"/>
      <c r="HN1168" s="866"/>
      <c r="HO1168" s="865"/>
      <c r="HP1168" s="866"/>
      <c r="HQ1168" s="865"/>
      <c r="HR1168" s="866"/>
      <c r="HS1168" s="867"/>
      <c r="HT1168" s="868"/>
      <c r="HU1168" s="489"/>
      <c r="HV1168" s="865"/>
      <c r="HW1168" s="866"/>
    </row>
    <row r="1169" spans="25:231" ht="15" customHeight="1">
      <c r="Y1169" s="332"/>
      <c r="Z1169" s="332"/>
      <c r="AA1169" s="332"/>
      <c r="AB1169" s="332"/>
      <c r="AC1169" s="332"/>
      <c r="AD1169" s="332"/>
      <c r="AE1169" s="332"/>
      <c r="AF1169" s="332"/>
      <c r="AG1169" s="332"/>
      <c r="AH1169" s="332"/>
      <c r="AI1169" s="332"/>
      <c r="AJ1169" s="332"/>
      <c r="AK1169" s="332"/>
      <c r="AL1169" s="332"/>
      <c r="AM1169" s="332"/>
      <c r="AN1169" s="332"/>
      <c r="AO1169" s="332"/>
      <c r="AP1169" s="332"/>
      <c r="AQ1169" s="332"/>
      <c r="AR1169" s="332"/>
      <c r="AS1169" s="332"/>
      <c r="AT1169" s="332"/>
      <c r="AU1169" s="332"/>
      <c r="AV1169" s="332"/>
      <c r="AW1169" s="332"/>
      <c r="AX1169" s="332"/>
      <c r="AY1169" s="332"/>
      <c r="AZ1169" s="332"/>
      <c r="BA1169" s="332"/>
      <c r="BB1169" s="332"/>
      <c r="BC1169" s="332"/>
      <c r="BD1169" s="332"/>
      <c r="BE1169" s="332"/>
      <c r="BF1169" s="332"/>
      <c r="BG1169" s="332"/>
      <c r="BH1169" s="332"/>
      <c r="BI1169" s="332"/>
      <c r="BJ1169" s="332"/>
      <c r="BK1169" s="332"/>
      <c r="BL1169" s="332"/>
      <c r="BM1169" s="332"/>
      <c r="BN1169" s="332"/>
      <c r="BO1169" s="332"/>
      <c r="BP1169" s="332"/>
      <c r="BQ1169" s="332"/>
      <c r="BR1169" s="332"/>
      <c r="BS1169" s="332"/>
      <c r="BT1169" s="332"/>
      <c r="BU1169" s="332"/>
      <c r="BV1169" s="332"/>
      <c r="BW1169" s="332"/>
      <c r="BX1169" s="332"/>
      <c r="BY1169" s="332"/>
      <c r="BZ1169" s="332"/>
      <c r="CA1169" s="332"/>
      <c r="CB1169" s="332"/>
      <c r="CC1169" s="332"/>
      <c r="CD1169" s="332"/>
      <c r="CE1169" s="332"/>
      <c r="CF1169" s="332"/>
      <c r="CG1169" s="332"/>
      <c r="CH1169" s="332"/>
      <c r="CI1169" s="332"/>
      <c r="CJ1169" s="332"/>
      <c r="CK1169" s="332"/>
      <c r="CL1169" s="332"/>
      <c r="CM1169" s="332"/>
      <c r="CN1169" s="332"/>
      <c r="CO1169" s="332"/>
      <c r="CP1169" s="332"/>
      <c r="CQ1169" s="332"/>
      <c r="CR1169" s="332"/>
      <c r="CS1169" s="332"/>
      <c r="CT1169" s="332"/>
      <c r="CU1169" s="332"/>
      <c r="CV1169" s="332"/>
      <c r="CW1169" s="332"/>
      <c r="CX1169" s="332"/>
      <c r="CY1169" s="332"/>
      <c r="CZ1169" s="332"/>
      <c r="DA1169" s="332"/>
      <c r="DB1169" s="332"/>
      <c r="DC1169" s="332"/>
      <c r="DD1169" s="332"/>
      <c r="DE1169" s="332"/>
      <c r="DF1169" s="332"/>
      <c r="DG1169" s="332"/>
      <c r="DH1169" s="332"/>
      <c r="DI1169" s="332"/>
      <c r="DJ1169" s="332"/>
      <c r="DK1169" s="332"/>
      <c r="DL1169" s="332"/>
      <c r="DM1169" s="332"/>
      <c r="DN1169" s="332"/>
      <c r="DO1169" s="332"/>
      <c r="DP1169" s="332"/>
      <c r="DQ1169" s="332"/>
      <c r="DR1169" s="332"/>
      <c r="DS1169" s="332"/>
      <c r="DT1169" s="332"/>
      <c r="DU1169" s="453"/>
      <c r="DV1169" s="453"/>
      <c r="DW1169" s="453"/>
      <c r="DX1169" s="453"/>
      <c r="DY1169" s="453"/>
      <c r="DZ1169" s="453"/>
      <c r="EA1169" s="453"/>
      <c r="EB1169" s="453"/>
      <c r="EC1169" s="453"/>
      <c r="ED1169" s="453"/>
      <c r="EE1169" s="453"/>
      <c r="EF1169" s="453"/>
      <c r="EG1169" s="453"/>
      <c r="EH1169" s="453"/>
      <c r="EI1169" s="453"/>
      <c r="EJ1169" s="453"/>
      <c r="EK1169" s="453"/>
      <c r="EL1169" s="453"/>
      <c r="EM1169" s="483">
        <f t="shared" si="254"/>
        <v>860</v>
      </c>
      <c r="EN1169" s="485"/>
      <c r="EO1169" s="458"/>
      <c r="EP1169" s="467"/>
      <c r="EQ1169" s="457"/>
      <c r="ER1169" s="808"/>
      <c r="ES1169" s="881">
        <f t="shared" si="255"/>
        <v>0</v>
      </c>
      <c r="ET1169" s="882"/>
      <c r="EU1169" s="883"/>
      <c r="EV1169" s="884">
        <f t="shared" si="256"/>
        <v>0</v>
      </c>
      <c r="EW1169" s="885"/>
      <c r="EX1169" s="885"/>
      <c r="EY1169" s="885"/>
      <c r="EZ1169" s="885"/>
      <c r="FA1169" s="885"/>
      <c r="FB1169" s="885"/>
      <c r="FC1169" s="885"/>
      <c r="FD1169" s="886"/>
      <c r="FE1169" s="878"/>
      <c r="FF1169" s="878"/>
      <c r="FG1169" s="878"/>
      <c r="FH1169" s="878"/>
      <c r="FI1169" s="878"/>
      <c r="FJ1169" s="878"/>
      <c r="FK1169" s="878"/>
      <c r="FL1169" s="555"/>
      <c r="FM1169" s="554"/>
      <c r="FN1169" s="554"/>
      <c r="FO1169" s="554"/>
      <c r="FP1169" s="554"/>
      <c r="FQ1169" s="554"/>
      <c r="FR1169" s="554"/>
      <c r="FS1169" s="554"/>
      <c r="FT1169" s="554"/>
      <c r="FU1169" s="554"/>
      <c r="FV1169" s="554"/>
      <c r="FW1169" s="554"/>
      <c r="FX1169" s="554"/>
      <c r="FY1169" s="554"/>
      <c r="FZ1169" s="554"/>
      <c r="GA1169" s="554"/>
      <c r="GB1169" s="556"/>
      <c r="GC1169" s="370"/>
      <c r="GD1169" s="453"/>
      <c r="GE1169" s="453"/>
      <c r="GF1169" s="453"/>
      <c r="GG1169" s="453"/>
      <c r="GH1169" s="454"/>
      <c r="GI1169" s="453"/>
      <c r="GJ1169" s="453"/>
      <c r="GK1169" s="453"/>
      <c r="GL1169" s="453"/>
      <c r="GM1169" s="453"/>
      <c r="GN1169" s="453"/>
      <c r="GO1169" s="453"/>
      <c r="GP1169" s="453"/>
      <c r="GQ1169" s="453"/>
      <c r="GR1169" s="453"/>
      <c r="GS1169" s="561"/>
      <c r="GT1169" s="475"/>
      <c r="GU1169" s="472"/>
      <c r="GV1169" s="453"/>
      <c r="GW1169" s="453"/>
      <c r="GX1169" s="869"/>
      <c r="GY1169" s="870"/>
      <c r="GZ1169" s="867"/>
      <c r="HA1169" s="868"/>
      <c r="HB1169" s="473"/>
      <c r="HC1169" s="869"/>
      <c r="HD1169" s="870"/>
      <c r="HE1169" s="867"/>
      <c r="HF1169" s="868"/>
      <c r="HG1169" s="473"/>
      <c r="HH1169" s="867"/>
      <c r="HI1169" s="868"/>
      <c r="HJ1169" s="867"/>
      <c r="HK1169" s="868"/>
      <c r="HL1169" s="370"/>
      <c r="HM1169" s="865"/>
      <c r="HN1169" s="866"/>
      <c r="HO1169" s="865"/>
      <c r="HP1169" s="866"/>
      <c r="HQ1169" s="865"/>
      <c r="HR1169" s="866"/>
      <c r="HS1169" s="867"/>
      <c r="HT1169" s="868"/>
      <c r="HU1169" s="489"/>
      <c r="HV1169" s="865"/>
      <c r="HW1169" s="866"/>
    </row>
    <row r="1170" spans="25:231" ht="15" customHeight="1">
      <c r="Y1170" s="332"/>
      <c r="Z1170" s="332"/>
      <c r="AA1170" s="332"/>
      <c r="AB1170" s="332"/>
      <c r="AC1170" s="332"/>
      <c r="AD1170" s="332"/>
      <c r="AE1170" s="332"/>
      <c r="AF1170" s="332"/>
      <c r="AG1170" s="332"/>
      <c r="AH1170" s="332"/>
      <c r="AI1170" s="332"/>
      <c r="AJ1170" s="332"/>
      <c r="AK1170" s="332"/>
      <c r="AL1170" s="332"/>
      <c r="AM1170" s="332"/>
      <c r="AN1170" s="332"/>
      <c r="AO1170" s="332"/>
      <c r="AP1170" s="332"/>
      <c r="AQ1170" s="332"/>
      <c r="AR1170" s="332"/>
      <c r="AS1170" s="332"/>
      <c r="AT1170" s="332"/>
      <c r="AU1170" s="332"/>
      <c r="AV1170" s="332"/>
      <c r="AW1170" s="332"/>
      <c r="AX1170" s="332"/>
      <c r="AY1170" s="332"/>
      <c r="AZ1170" s="332"/>
      <c r="BA1170" s="332"/>
      <c r="BB1170" s="332"/>
      <c r="BC1170" s="332"/>
      <c r="BD1170" s="332"/>
      <c r="BE1170" s="332"/>
      <c r="BF1170" s="332"/>
      <c r="BG1170" s="332"/>
      <c r="BH1170" s="332"/>
      <c r="BI1170" s="332"/>
      <c r="BJ1170" s="332"/>
      <c r="BK1170" s="332"/>
      <c r="BL1170" s="332"/>
      <c r="BM1170" s="332"/>
      <c r="BN1170" s="332"/>
      <c r="BO1170" s="332"/>
      <c r="BP1170" s="332"/>
      <c r="BQ1170" s="332"/>
      <c r="BR1170" s="332"/>
      <c r="BS1170" s="332"/>
      <c r="BT1170" s="332"/>
      <c r="BU1170" s="332"/>
      <c r="BV1170" s="332"/>
      <c r="BW1170" s="332"/>
      <c r="BX1170" s="332"/>
      <c r="BY1170" s="332"/>
      <c r="BZ1170" s="332"/>
      <c r="CA1170" s="332"/>
      <c r="CB1170" s="332"/>
      <c r="CC1170" s="332"/>
      <c r="CD1170" s="332"/>
      <c r="CE1170" s="332"/>
      <c r="CF1170" s="332"/>
      <c r="CG1170" s="332"/>
      <c r="CH1170" s="332"/>
      <c r="CI1170" s="332"/>
      <c r="CJ1170" s="332"/>
      <c r="CK1170" s="332"/>
      <c r="CL1170" s="332"/>
      <c r="CM1170" s="332"/>
      <c r="CN1170" s="332"/>
      <c r="CO1170" s="332"/>
      <c r="CP1170" s="332"/>
      <c r="CQ1170" s="332"/>
      <c r="CR1170" s="332"/>
      <c r="CS1170" s="332"/>
      <c r="CT1170" s="332"/>
      <c r="CU1170" s="332"/>
      <c r="CV1170" s="332"/>
      <c r="CW1170" s="332"/>
      <c r="CX1170" s="332"/>
      <c r="CY1170" s="332"/>
      <c r="CZ1170" s="332"/>
      <c r="DA1170" s="332"/>
      <c r="DB1170" s="332"/>
      <c r="DC1170" s="332"/>
      <c r="DD1170" s="332"/>
      <c r="DE1170" s="332"/>
      <c r="DF1170" s="332"/>
      <c r="DG1170" s="332"/>
      <c r="DH1170" s="332"/>
      <c r="DI1170" s="332"/>
      <c r="DJ1170" s="332"/>
      <c r="DK1170" s="332"/>
      <c r="DL1170" s="332"/>
      <c r="DM1170" s="332"/>
      <c r="DN1170" s="332"/>
      <c r="DO1170" s="332"/>
      <c r="DP1170" s="332"/>
      <c r="DQ1170" s="332"/>
      <c r="DR1170" s="332"/>
      <c r="DS1170" s="332"/>
      <c r="DT1170" s="332"/>
      <c r="DU1170" s="453"/>
      <c r="DV1170" s="453"/>
      <c r="DW1170" s="453"/>
      <c r="DX1170" s="453"/>
      <c r="DY1170" s="453"/>
      <c r="DZ1170" s="453"/>
      <c r="EA1170" s="453"/>
      <c r="EB1170" s="453"/>
      <c r="EC1170" s="453"/>
      <c r="ED1170" s="453"/>
      <c r="EE1170" s="453"/>
      <c r="EF1170" s="453"/>
      <c r="EG1170" s="453"/>
      <c r="EH1170" s="453"/>
      <c r="EI1170" s="453"/>
      <c r="EJ1170" s="453"/>
      <c r="EK1170" s="453"/>
      <c r="EL1170" s="453"/>
      <c r="EM1170" s="483">
        <f t="shared" si="254"/>
        <v>861</v>
      </c>
      <c r="EN1170" s="485"/>
      <c r="EO1170" s="458"/>
      <c r="EP1170" s="467"/>
      <c r="EQ1170" s="457"/>
      <c r="ER1170" s="808"/>
      <c r="ES1170" s="881">
        <f t="shared" si="255"/>
        <v>0</v>
      </c>
      <c r="ET1170" s="882"/>
      <c r="EU1170" s="883"/>
      <c r="EV1170" s="884">
        <f t="shared" si="256"/>
        <v>0</v>
      </c>
      <c r="EW1170" s="885"/>
      <c r="EX1170" s="885"/>
      <c r="EY1170" s="885"/>
      <c r="EZ1170" s="885"/>
      <c r="FA1170" s="885"/>
      <c r="FB1170" s="885"/>
      <c r="FC1170" s="885"/>
      <c r="FD1170" s="886"/>
      <c r="FE1170" s="878"/>
      <c r="FF1170" s="878"/>
      <c r="FG1170" s="878"/>
      <c r="FH1170" s="878"/>
      <c r="FI1170" s="878"/>
      <c r="FJ1170" s="878"/>
      <c r="FK1170" s="878"/>
      <c r="FL1170" s="555"/>
      <c r="FM1170" s="554"/>
      <c r="FN1170" s="554"/>
      <c r="FO1170" s="554"/>
      <c r="FP1170" s="554"/>
      <c r="FQ1170" s="554"/>
      <c r="FR1170" s="554"/>
      <c r="FS1170" s="554"/>
      <c r="FT1170" s="554"/>
      <c r="FU1170" s="554"/>
      <c r="FV1170" s="554"/>
      <c r="FW1170" s="554"/>
      <c r="FX1170" s="554"/>
      <c r="FY1170" s="554"/>
      <c r="FZ1170" s="554"/>
      <c r="GA1170" s="554"/>
      <c r="GB1170" s="556"/>
      <c r="GC1170" s="370"/>
      <c r="GD1170" s="453"/>
      <c r="GE1170" s="453"/>
      <c r="GF1170" s="453"/>
      <c r="GG1170" s="453"/>
      <c r="GH1170" s="454"/>
      <c r="GI1170" s="453"/>
      <c r="GJ1170" s="453"/>
      <c r="GK1170" s="453"/>
      <c r="GL1170" s="453"/>
      <c r="GM1170" s="453"/>
      <c r="GN1170" s="453"/>
      <c r="GO1170" s="453"/>
      <c r="GP1170" s="453"/>
      <c r="GQ1170" s="453"/>
      <c r="GR1170" s="453"/>
      <c r="GS1170" s="561"/>
      <c r="GT1170" s="475"/>
      <c r="GU1170" s="472"/>
      <c r="GV1170" s="453"/>
      <c r="GW1170" s="453"/>
      <c r="GX1170" s="869"/>
      <c r="GY1170" s="870"/>
      <c r="GZ1170" s="867"/>
      <c r="HA1170" s="868"/>
      <c r="HB1170" s="473"/>
      <c r="HC1170" s="869"/>
      <c r="HD1170" s="870"/>
      <c r="HE1170" s="867"/>
      <c r="HF1170" s="868"/>
      <c r="HG1170" s="473"/>
      <c r="HH1170" s="867"/>
      <c r="HI1170" s="868"/>
      <c r="HJ1170" s="867"/>
      <c r="HK1170" s="868"/>
      <c r="HL1170" s="370"/>
      <c r="HM1170" s="865"/>
      <c r="HN1170" s="866"/>
      <c r="HO1170" s="865"/>
      <c r="HP1170" s="866"/>
      <c r="HQ1170" s="865"/>
      <c r="HR1170" s="866"/>
      <c r="HS1170" s="867"/>
      <c r="HT1170" s="868"/>
      <c r="HU1170" s="489"/>
      <c r="HV1170" s="865"/>
      <c r="HW1170" s="866"/>
    </row>
    <row r="1171" spans="25:231" ht="15" customHeight="1">
      <c r="Y1171" s="332"/>
      <c r="Z1171" s="332"/>
      <c r="AA1171" s="332"/>
      <c r="AB1171" s="332"/>
      <c r="AC1171" s="332"/>
      <c r="AD1171" s="332"/>
      <c r="AE1171" s="332"/>
      <c r="AF1171" s="332"/>
      <c r="AG1171" s="332"/>
      <c r="AH1171" s="332"/>
      <c r="AI1171" s="332"/>
      <c r="AJ1171" s="332"/>
      <c r="AK1171" s="332"/>
      <c r="AL1171" s="332"/>
      <c r="AM1171" s="332"/>
      <c r="AN1171" s="332"/>
      <c r="AO1171" s="332"/>
      <c r="AP1171" s="332"/>
      <c r="AQ1171" s="332"/>
      <c r="AR1171" s="332"/>
      <c r="AS1171" s="332"/>
      <c r="AT1171" s="332"/>
      <c r="AU1171" s="332"/>
      <c r="AV1171" s="332"/>
      <c r="AW1171" s="332"/>
      <c r="AX1171" s="332"/>
      <c r="AY1171" s="332"/>
      <c r="AZ1171" s="332"/>
      <c r="BA1171" s="332"/>
      <c r="BB1171" s="332"/>
      <c r="BC1171" s="332"/>
      <c r="BD1171" s="332"/>
      <c r="BE1171" s="332"/>
      <c r="BF1171" s="332"/>
      <c r="BG1171" s="332"/>
      <c r="BH1171" s="332"/>
      <c r="BI1171" s="332"/>
      <c r="BJ1171" s="332"/>
      <c r="BK1171" s="332"/>
      <c r="BL1171" s="332"/>
      <c r="BM1171" s="332"/>
      <c r="BN1171" s="332"/>
      <c r="BO1171" s="332"/>
      <c r="BP1171" s="332"/>
      <c r="BQ1171" s="332"/>
      <c r="BR1171" s="332"/>
      <c r="BS1171" s="332"/>
      <c r="BT1171" s="332"/>
      <c r="BU1171" s="332"/>
      <c r="BV1171" s="332"/>
      <c r="BW1171" s="332"/>
      <c r="BX1171" s="332"/>
      <c r="BY1171" s="332"/>
      <c r="BZ1171" s="332"/>
      <c r="CA1171" s="332"/>
      <c r="CB1171" s="332"/>
      <c r="CC1171" s="332"/>
      <c r="CD1171" s="332"/>
      <c r="CE1171" s="332"/>
      <c r="CF1171" s="332"/>
      <c r="CG1171" s="332"/>
      <c r="CH1171" s="332"/>
      <c r="CI1171" s="332"/>
      <c r="CJ1171" s="332"/>
      <c r="CK1171" s="332"/>
      <c r="CL1171" s="332"/>
      <c r="CM1171" s="332"/>
      <c r="CN1171" s="332"/>
      <c r="CO1171" s="332"/>
      <c r="CP1171" s="332"/>
      <c r="CQ1171" s="332"/>
      <c r="CR1171" s="332"/>
      <c r="CS1171" s="332"/>
      <c r="CT1171" s="332"/>
      <c r="CU1171" s="332"/>
      <c r="CV1171" s="332"/>
      <c r="CW1171" s="332"/>
      <c r="CX1171" s="332"/>
      <c r="CY1171" s="332"/>
      <c r="CZ1171" s="332"/>
      <c r="DA1171" s="332"/>
      <c r="DB1171" s="332"/>
      <c r="DC1171" s="332"/>
      <c r="DD1171" s="332"/>
      <c r="DE1171" s="332"/>
      <c r="DF1171" s="332"/>
      <c r="DG1171" s="332"/>
      <c r="DH1171" s="332"/>
      <c r="DI1171" s="332"/>
      <c r="DJ1171" s="332"/>
      <c r="DK1171" s="332"/>
      <c r="DL1171" s="332"/>
      <c r="DM1171" s="332"/>
      <c r="DN1171" s="332"/>
      <c r="DO1171" s="332"/>
      <c r="DP1171" s="332"/>
      <c r="DQ1171" s="332"/>
      <c r="DR1171" s="332"/>
      <c r="DS1171" s="332"/>
      <c r="DT1171" s="332"/>
      <c r="DU1171" s="453"/>
      <c r="DV1171" s="453"/>
      <c r="DW1171" s="453"/>
      <c r="DX1171" s="453"/>
      <c r="DY1171" s="453"/>
      <c r="DZ1171" s="453"/>
      <c r="EA1171" s="453"/>
      <c r="EB1171" s="453"/>
      <c r="EC1171" s="453"/>
      <c r="ED1171" s="453"/>
      <c r="EE1171" s="453"/>
      <c r="EF1171" s="453"/>
      <c r="EG1171" s="453"/>
      <c r="EH1171" s="453"/>
      <c r="EI1171" s="453"/>
      <c r="EJ1171" s="453"/>
      <c r="EK1171" s="453"/>
      <c r="EL1171" s="453"/>
      <c r="EM1171" s="483">
        <f t="shared" si="254"/>
        <v>862</v>
      </c>
      <c r="EN1171" s="485"/>
      <c r="EO1171" s="458"/>
      <c r="EP1171" s="467"/>
      <c r="EQ1171" s="457"/>
      <c r="ER1171" s="808"/>
      <c r="ES1171" s="881">
        <f t="shared" si="255"/>
        <v>0</v>
      </c>
      <c r="ET1171" s="882"/>
      <c r="EU1171" s="883"/>
      <c r="EV1171" s="884">
        <f t="shared" si="256"/>
        <v>0</v>
      </c>
      <c r="EW1171" s="885"/>
      <c r="EX1171" s="885"/>
      <c r="EY1171" s="885"/>
      <c r="EZ1171" s="885"/>
      <c r="FA1171" s="885"/>
      <c r="FB1171" s="885"/>
      <c r="FC1171" s="885"/>
      <c r="FD1171" s="886"/>
      <c r="FE1171" s="878"/>
      <c r="FF1171" s="878"/>
      <c r="FG1171" s="878"/>
      <c r="FH1171" s="878"/>
      <c r="FI1171" s="878"/>
      <c r="FJ1171" s="878"/>
      <c r="FK1171" s="878"/>
      <c r="FL1171" s="555"/>
      <c r="FM1171" s="554"/>
      <c r="FN1171" s="554"/>
      <c r="FO1171" s="554"/>
      <c r="FP1171" s="554"/>
      <c r="FQ1171" s="554"/>
      <c r="FR1171" s="554"/>
      <c r="FS1171" s="554"/>
      <c r="FT1171" s="554"/>
      <c r="FU1171" s="554"/>
      <c r="FV1171" s="554"/>
      <c r="FW1171" s="554"/>
      <c r="FX1171" s="554"/>
      <c r="FY1171" s="554"/>
      <c r="FZ1171" s="554"/>
      <c r="GA1171" s="554"/>
      <c r="GB1171" s="556"/>
      <c r="GC1171" s="370"/>
      <c r="GD1171" s="453"/>
      <c r="GE1171" s="453"/>
      <c r="GF1171" s="453"/>
      <c r="GG1171" s="453"/>
      <c r="GH1171" s="454"/>
      <c r="GI1171" s="453"/>
      <c r="GJ1171" s="453"/>
      <c r="GK1171" s="453"/>
      <c r="GL1171" s="453"/>
      <c r="GM1171" s="453"/>
      <c r="GN1171" s="453"/>
      <c r="GO1171" s="453"/>
      <c r="GP1171" s="453"/>
      <c r="GQ1171" s="453"/>
      <c r="GR1171" s="453"/>
      <c r="GS1171" s="561"/>
      <c r="GT1171" s="475"/>
      <c r="GU1171" s="472"/>
      <c r="GV1171" s="453"/>
      <c r="GW1171" s="453"/>
      <c r="GX1171" s="869"/>
      <c r="GY1171" s="870"/>
      <c r="GZ1171" s="867"/>
      <c r="HA1171" s="868"/>
      <c r="HB1171" s="473"/>
      <c r="HC1171" s="869"/>
      <c r="HD1171" s="870"/>
      <c r="HE1171" s="867"/>
      <c r="HF1171" s="868"/>
      <c r="HG1171" s="473"/>
      <c r="HH1171" s="867"/>
      <c r="HI1171" s="868"/>
      <c r="HJ1171" s="867"/>
      <c r="HK1171" s="868"/>
      <c r="HL1171" s="370"/>
      <c r="HM1171" s="865"/>
      <c r="HN1171" s="866"/>
      <c r="HO1171" s="865"/>
      <c r="HP1171" s="866"/>
      <c r="HQ1171" s="865"/>
      <c r="HR1171" s="866"/>
      <c r="HS1171" s="867"/>
      <c r="HT1171" s="868"/>
      <c r="HU1171" s="489"/>
      <c r="HV1171" s="865"/>
      <c r="HW1171" s="866"/>
    </row>
    <row r="1172" spans="25:231" ht="15" customHeight="1">
      <c r="Y1172" s="332"/>
      <c r="Z1172" s="332"/>
      <c r="AA1172" s="332"/>
      <c r="AB1172" s="332"/>
      <c r="AC1172" s="332"/>
      <c r="AD1172" s="332"/>
      <c r="AE1172" s="332"/>
      <c r="AF1172" s="332"/>
      <c r="AG1172" s="332"/>
      <c r="AH1172" s="332"/>
      <c r="AI1172" s="332"/>
      <c r="AJ1172" s="332"/>
      <c r="AK1172" s="332"/>
      <c r="AL1172" s="332"/>
      <c r="AM1172" s="332"/>
      <c r="AN1172" s="332"/>
      <c r="AO1172" s="332"/>
      <c r="AP1172" s="332"/>
      <c r="AQ1172" s="332"/>
      <c r="AR1172" s="332"/>
      <c r="AS1172" s="332"/>
      <c r="AT1172" s="332"/>
      <c r="AU1172" s="332"/>
      <c r="AV1172" s="332"/>
      <c r="AW1172" s="332"/>
      <c r="AX1172" s="332"/>
      <c r="AY1172" s="332"/>
      <c r="AZ1172" s="332"/>
      <c r="BA1172" s="332"/>
      <c r="BB1172" s="332"/>
      <c r="BC1172" s="332"/>
      <c r="BD1172" s="332"/>
      <c r="BE1172" s="332"/>
      <c r="BF1172" s="332"/>
      <c r="BG1172" s="332"/>
      <c r="BH1172" s="332"/>
      <c r="BI1172" s="332"/>
      <c r="BJ1172" s="332"/>
      <c r="BK1172" s="332"/>
      <c r="BL1172" s="332"/>
      <c r="BM1172" s="332"/>
      <c r="BN1172" s="332"/>
      <c r="BO1172" s="332"/>
      <c r="BP1172" s="332"/>
      <c r="BQ1172" s="332"/>
      <c r="BR1172" s="332"/>
      <c r="BS1172" s="332"/>
      <c r="BT1172" s="332"/>
      <c r="BU1172" s="332"/>
      <c r="BV1172" s="332"/>
      <c r="BW1172" s="332"/>
      <c r="BX1172" s="332"/>
      <c r="BY1172" s="332"/>
      <c r="BZ1172" s="332"/>
      <c r="CA1172" s="332"/>
      <c r="CB1172" s="332"/>
      <c r="CC1172" s="332"/>
      <c r="CD1172" s="332"/>
      <c r="CE1172" s="332"/>
      <c r="CF1172" s="332"/>
      <c r="CG1172" s="332"/>
      <c r="CH1172" s="332"/>
      <c r="CI1172" s="332"/>
      <c r="CJ1172" s="332"/>
      <c r="CK1172" s="332"/>
      <c r="CL1172" s="332"/>
      <c r="CM1172" s="332"/>
      <c r="CN1172" s="332"/>
      <c r="CO1172" s="332"/>
      <c r="CP1172" s="332"/>
      <c r="CQ1172" s="332"/>
      <c r="CR1172" s="332"/>
      <c r="CS1172" s="332"/>
      <c r="CT1172" s="332"/>
      <c r="CU1172" s="332"/>
      <c r="CV1172" s="332"/>
      <c r="CW1172" s="332"/>
      <c r="CX1172" s="332"/>
      <c r="CY1172" s="332"/>
      <c r="CZ1172" s="332"/>
      <c r="DA1172" s="332"/>
      <c r="DB1172" s="332"/>
      <c r="DC1172" s="332"/>
      <c r="DD1172" s="332"/>
      <c r="DE1172" s="332"/>
      <c r="DF1172" s="332"/>
      <c r="DG1172" s="332"/>
      <c r="DH1172" s="332"/>
      <c r="DI1172" s="332"/>
      <c r="DJ1172" s="332"/>
      <c r="DK1172" s="332"/>
      <c r="DL1172" s="332"/>
      <c r="DM1172" s="332"/>
      <c r="DN1172" s="332"/>
      <c r="DO1172" s="332"/>
      <c r="DP1172" s="332"/>
      <c r="DQ1172" s="332"/>
      <c r="DR1172" s="332"/>
      <c r="DS1172" s="332"/>
      <c r="DT1172" s="332"/>
      <c r="DU1172" s="453"/>
      <c r="DV1172" s="453"/>
      <c r="DW1172" s="453"/>
      <c r="DX1172" s="453"/>
      <c r="DY1172" s="453"/>
      <c r="DZ1172" s="453"/>
      <c r="EA1172" s="453"/>
      <c r="EB1172" s="453"/>
      <c r="EC1172" s="453"/>
      <c r="ED1172" s="453"/>
      <c r="EE1172" s="453"/>
      <c r="EF1172" s="453"/>
      <c r="EG1172" s="453"/>
      <c r="EH1172" s="453"/>
      <c r="EI1172" s="453"/>
      <c r="EJ1172" s="453"/>
      <c r="EK1172" s="453"/>
      <c r="EL1172" s="453"/>
      <c r="EM1172" s="483">
        <f t="shared" si="254"/>
        <v>863</v>
      </c>
      <c r="EN1172" s="485"/>
      <c r="EO1172" s="458"/>
      <c r="EP1172" s="467"/>
      <c r="EQ1172" s="457"/>
      <c r="ER1172" s="808"/>
      <c r="ES1172" s="881">
        <f t="shared" si="255"/>
        <v>0</v>
      </c>
      <c r="ET1172" s="882"/>
      <c r="EU1172" s="883"/>
      <c r="EV1172" s="884">
        <f t="shared" si="256"/>
        <v>0</v>
      </c>
      <c r="EW1172" s="885"/>
      <c r="EX1172" s="885"/>
      <c r="EY1172" s="885"/>
      <c r="EZ1172" s="885"/>
      <c r="FA1172" s="885"/>
      <c r="FB1172" s="885"/>
      <c r="FC1172" s="885"/>
      <c r="FD1172" s="886"/>
      <c r="FE1172" s="878"/>
      <c r="FF1172" s="878"/>
      <c r="FG1172" s="878"/>
      <c r="FH1172" s="878"/>
      <c r="FI1172" s="878"/>
      <c r="FJ1172" s="878"/>
      <c r="FK1172" s="878"/>
      <c r="FL1172" s="555"/>
      <c r="FM1172" s="554"/>
      <c r="FN1172" s="554"/>
      <c r="FO1172" s="554"/>
      <c r="FP1172" s="554"/>
      <c r="FQ1172" s="554"/>
      <c r="FR1172" s="554"/>
      <c r="FS1172" s="554"/>
      <c r="FT1172" s="554"/>
      <c r="FU1172" s="554"/>
      <c r="FV1172" s="554"/>
      <c r="FW1172" s="554"/>
      <c r="FX1172" s="554"/>
      <c r="FY1172" s="554"/>
      <c r="FZ1172" s="554"/>
      <c r="GA1172" s="554"/>
      <c r="GB1172" s="556"/>
      <c r="GC1172" s="370"/>
      <c r="GD1172" s="453"/>
      <c r="GE1172" s="453"/>
      <c r="GF1172" s="453"/>
      <c r="GG1172" s="453"/>
      <c r="GH1172" s="454"/>
      <c r="GI1172" s="453"/>
      <c r="GJ1172" s="453"/>
      <c r="GK1172" s="453"/>
      <c r="GL1172" s="453"/>
      <c r="GM1172" s="453"/>
      <c r="GN1172" s="453"/>
      <c r="GO1172" s="453"/>
      <c r="GP1172" s="453"/>
      <c r="GQ1172" s="453"/>
      <c r="GR1172" s="453"/>
      <c r="GS1172" s="561"/>
      <c r="GT1172" s="475"/>
      <c r="GU1172" s="472"/>
      <c r="GV1172" s="453"/>
      <c r="GW1172" s="453"/>
      <c r="GX1172" s="869"/>
      <c r="GY1172" s="870"/>
      <c r="GZ1172" s="867"/>
      <c r="HA1172" s="868"/>
      <c r="HB1172" s="473"/>
      <c r="HC1172" s="869"/>
      <c r="HD1172" s="870"/>
      <c r="HE1172" s="867"/>
      <c r="HF1172" s="868"/>
      <c r="HG1172" s="473"/>
      <c r="HH1172" s="867"/>
      <c r="HI1172" s="868"/>
      <c r="HJ1172" s="867"/>
      <c r="HK1172" s="868"/>
      <c r="HL1172" s="370"/>
      <c r="HM1172" s="865"/>
      <c r="HN1172" s="866"/>
      <c r="HO1172" s="865"/>
      <c r="HP1172" s="866"/>
      <c r="HQ1172" s="865"/>
      <c r="HR1172" s="866"/>
      <c r="HS1172" s="867"/>
      <c r="HT1172" s="868"/>
      <c r="HU1172" s="489"/>
      <c r="HV1172" s="865"/>
      <c r="HW1172" s="866"/>
    </row>
    <row r="1173" spans="25:231" ht="15" customHeight="1">
      <c r="Y1173" s="332"/>
      <c r="Z1173" s="332"/>
      <c r="AA1173" s="332"/>
      <c r="AB1173" s="332"/>
      <c r="AC1173" s="332"/>
      <c r="AD1173" s="332"/>
      <c r="AE1173" s="332"/>
      <c r="AF1173" s="332"/>
      <c r="AG1173" s="332"/>
      <c r="AH1173" s="332"/>
      <c r="AI1173" s="332"/>
      <c r="AJ1173" s="332"/>
      <c r="AK1173" s="332"/>
      <c r="AL1173" s="332"/>
      <c r="AM1173" s="332"/>
      <c r="AN1173" s="332"/>
      <c r="AO1173" s="332"/>
      <c r="AP1173" s="332"/>
      <c r="AQ1173" s="332"/>
      <c r="AR1173" s="332"/>
      <c r="AS1173" s="332"/>
      <c r="AT1173" s="332"/>
      <c r="AU1173" s="332"/>
      <c r="AV1173" s="332"/>
      <c r="AW1173" s="332"/>
      <c r="AX1173" s="332"/>
      <c r="AY1173" s="332"/>
      <c r="AZ1173" s="332"/>
      <c r="BA1173" s="332"/>
      <c r="BB1173" s="332"/>
      <c r="BC1173" s="332"/>
      <c r="BD1173" s="332"/>
      <c r="BE1173" s="332"/>
      <c r="BF1173" s="332"/>
      <c r="BG1173" s="332"/>
      <c r="BH1173" s="332"/>
      <c r="BI1173" s="332"/>
      <c r="BJ1173" s="332"/>
      <c r="BK1173" s="332"/>
      <c r="BL1173" s="332"/>
      <c r="BM1173" s="332"/>
      <c r="BN1173" s="332"/>
      <c r="BO1173" s="332"/>
      <c r="BP1173" s="332"/>
      <c r="BQ1173" s="332"/>
      <c r="BR1173" s="332"/>
      <c r="BS1173" s="332"/>
      <c r="BT1173" s="332"/>
      <c r="BU1173" s="332"/>
      <c r="BV1173" s="332"/>
      <c r="BW1173" s="332"/>
      <c r="BX1173" s="332"/>
      <c r="BY1173" s="332"/>
      <c r="BZ1173" s="332"/>
      <c r="CA1173" s="332"/>
      <c r="CB1173" s="332"/>
      <c r="CC1173" s="332"/>
      <c r="CD1173" s="332"/>
      <c r="CE1173" s="332"/>
      <c r="CF1173" s="332"/>
      <c r="CG1173" s="332"/>
      <c r="CH1173" s="332"/>
      <c r="CI1173" s="332"/>
      <c r="CJ1173" s="332"/>
      <c r="CK1173" s="332"/>
      <c r="CL1173" s="332"/>
      <c r="CM1173" s="332"/>
      <c r="CN1173" s="332"/>
      <c r="CO1173" s="332"/>
      <c r="CP1173" s="332"/>
      <c r="CQ1173" s="332"/>
      <c r="CR1173" s="332"/>
      <c r="CS1173" s="332"/>
      <c r="CT1173" s="332"/>
      <c r="CU1173" s="332"/>
      <c r="CV1173" s="332"/>
      <c r="CW1173" s="332"/>
      <c r="CX1173" s="332"/>
      <c r="CY1173" s="332"/>
      <c r="CZ1173" s="332"/>
      <c r="DA1173" s="332"/>
      <c r="DB1173" s="332"/>
      <c r="DC1173" s="332"/>
      <c r="DD1173" s="332"/>
      <c r="DE1173" s="332"/>
      <c r="DF1173" s="332"/>
      <c r="DG1173" s="332"/>
      <c r="DH1173" s="332"/>
      <c r="DI1173" s="332"/>
      <c r="DJ1173" s="332"/>
      <c r="DK1173" s="332"/>
      <c r="DL1173" s="332"/>
      <c r="DM1173" s="332"/>
      <c r="DN1173" s="332"/>
      <c r="DO1173" s="332"/>
      <c r="DP1173" s="332"/>
      <c r="DQ1173" s="332"/>
      <c r="DR1173" s="332"/>
      <c r="DS1173" s="332"/>
      <c r="DT1173" s="332"/>
      <c r="DU1173" s="453"/>
      <c r="DV1173" s="453"/>
      <c r="DW1173" s="453"/>
      <c r="DX1173" s="453"/>
      <c r="DY1173" s="453"/>
      <c r="DZ1173" s="453"/>
      <c r="EA1173" s="453"/>
      <c r="EB1173" s="453"/>
      <c r="EC1173" s="453"/>
      <c r="ED1173" s="453"/>
      <c r="EE1173" s="453"/>
      <c r="EF1173" s="453"/>
      <c r="EG1173" s="453"/>
      <c r="EH1173" s="453"/>
      <c r="EI1173" s="453"/>
      <c r="EJ1173" s="453"/>
      <c r="EK1173" s="453"/>
      <c r="EL1173" s="453"/>
      <c r="EM1173" s="483">
        <f t="shared" si="254"/>
        <v>864</v>
      </c>
      <c r="EN1173" s="485"/>
      <c r="EO1173" s="458"/>
      <c r="EP1173" s="467"/>
      <c r="EQ1173" s="457"/>
      <c r="ER1173" s="808"/>
      <c r="ES1173" s="881">
        <f t="shared" si="255"/>
        <v>0</v>
      </c>
      <c r="ET1173" s="882"/>
      <c r="EU1173" s="883"/>
      <c r="EV1173" s="884">
        <f t="shared" si="256"/>
        <v>0</v>
      </c>
      <c r="EW1173" s="885"/>
      <c r="EX1173" s="885"/>
      <c r="EY1173" s="885"/>
      <c r="EZ1173" s="885"/>
      <c r="FA1173" s="885"/>
      <c r="FB1173" s="885"/>
      <c r="FC1173" s="885"/>
      <c r="FD1173" s="886"/>
      <c r="FE1173" s="878"/>
      <c r="FF1173" s="878"/>
      <c r="FG1173" s="878"/>
      <c r="FH1173" s="878"/>
      <c r="FI1173" s="878"/>
      <c r="FJ1173" s="878"/>
      <c r="FK1173" s="878"/>
      <c r="FL1173" s="555"/>
      <c r="FM1173" s="554"/>
      <c r="FN1173" s="554"/>
      <c r="FO1173" s="554"/>
      <c r="FP1173" s="554"/>
      <c r="FQ1173" s="554"/>
      <c r="FR1173" s="554"/>
      <c r="FS1173" s="554"/>
      <c r="FT1173" s="554"/>
      <c r="FU1173" s="554"/>
      <c r="FV1173" s="554"/>
      <c r="FW1173" s="554"/>
      <c r="FX1173" s="554"/>
      <c r="FY1173" s="554"/>
      <c r="FZ1173" s="554"/>
      <c r="GA1173" s="554"/>
      <c r="GB1173" s="556"/>
      <c r="GC1173" s="370"/>
      <c r="GD1173" s="453"/>
      <c r="GE1173" s="453"/>
      <c r="GF1173" s="453"/>
      <c r="GG1173" s="453"/>
      <c r="GH1173" s="454"/>
      <c r="GI1173" s="453"/>
      <c r="GJ1173" s="453"/>
      <c r="GK1173" s="453"/>
      <c r="GL1173" s="453"/>
      <c r="GM1173" s="453"/>
      <c r="GN1173" s="453"/>
      <c r="GO1173" s="453"/>
      <c r="GP1173" s="453"/>
      <c r="GQ1173" s="453"/>
      <c r="GR1173" s="453"/>
      <c r="GS1173" s="561"/>
      <c r="GT1173" s="475"/>
      <c r="GU1173" s="472"/>
      <c r="GV1173" s="453"/>
      <c r="GW1173" s="453"/>
      <c r="GX1173" s="869"/>
      <c r="GY1173" s="870"/>
      <c r="GZ1173" s="867"/>
      <c r="HA1173" s="868"/>
      <c r="HB1173" s="473"/>
      <c r="HC1173" s="869"/>
      <c r="HD1173" s="870"/>
      <c r="HE1173" s="867"/>
      <c r="HF1173" s="868"/>
      <c r="HG1173" s="473"/>
      <c r="HH1173" s="867"/>
      <c r="HI1173" s="868"/>
      <c r="HJ1173" s="867"/>
      <c r="HK1173" s="868"/>
      <c r="HL1173" s="370"/>
      <c r="HM1173" s="865"/>
      <c r="HN1173" s="866"/>
      <c r="HO1173" s="865"/>
      <c r="HP1173" s="866"/>
      <c r="HQ1173" s="865"/>
      <c r="HR1173" s="866"/>
      <c r="HS1173" s="867"/>
      <c r="HT1173" s="868"/>
      <c r="HU1173" s="489"/>
      <c r="HV1173" s="865"/>
      <c r="HW1173" s="866"/>
    </row>
    <row r="1174" spans="25:231" ht="15" customHeight="1">
      <c r="Y1174" s="332"/>
      <c r="Z1174" s="332"/>
      <c r="AA1174" s="332"/>
      <c r="AB1174" s="332"/>
      <c r="AC1174" s="332"/>
      <c r="AD1174" s="332"/>
      <c r="AE1174" s="332"/>
      <c r="AF1174" s="332"/>
      <c r="AG1174" s="332"/>
      <c r="AH1174" s="332"/>
      <c r="AI1174" s="332"/>
      <c r="AJ1174" s="332"/>
      <c r="AK1174" s="332"/>
      <c r="AL1174" s="332"/>
      <c r="AM1174" s="332"/>
      <c r="AN1174" s="332"/>
      <c r="AO1174" s="332"/>
      <c r="AP1174" s="332"/>
      <c r="AQ1174" s="332"/>
      <c r="AR1174" s="332"/>
      <c r="AS1174" s="332"/>
      <c r="AT1174" s="332"/>
      <c r="AU1174" s="332"/>
      <c r="AV1174" s="332"/>
      <c r="AW1174" s="332"/>
      <c r="AX1174" s="332"/>
      <c r="AY1174" s="332"/>
      <c r="AZ1174" s="332"/>
      <c r="BA1174" s="332"/>
      <c r="BB1174" s="332"/>
      <c r="BC1174" s="332"/>
      <c r="BD1174" s="332"/>
      <c r="BE1174" s="332"/>
      <c r="BF1174" s="332"/>
      <c r="BG1174" s="332"/>
      <c r="BH1174" s="332"/>
      <c r="BI1174" s="332"/>
      <c r="BJ1174" s="332"/>
      <c r="BK1174" s="332"/>
      <c r="BL1174" s="332"/>
      <c r="BM1174" s="332"/>
      <c r="BN1174" s="332"/>
      <c r="BO1174" s="332"/>
      <c r="BP1174" s="332"/>
      <c r="BQ1174" s="332"/>
      <c r="BR1174" s="332"/>
      <c r="BS1174" s="332"/>
      <c r="BT1174" s="332"/>
      <c r="BU1174" s="332"/>
      <c r="BV1174" s="332"/>
      <c r="BW1174" s="332"/>
      <c r="BX1174" s="332"/>
      <c r="BY1174" s="332"/>
      <c r="BZ1174" s="332"/>
      <c r="CA1174" s="332"/>
      <c r="CB1174" s="332"/>
      <c r="CC1174" s="332"/>
      <c r="CD1174" s="332"/>
      <c r="CE1174" s="332"/>
      <c r="CF1174" s="332"/>
      <c r="CG1174" s="332"/>
      <c r="CH1174" s="332"/>
      <c r="CI1174" s="332"/>
      <c r="CJ1174" s="332"/>
      <c r="CK1174" s="332"/>
      <c r="CL1174" s="332"/>
      <c r="CM1174" s="332"/>
      <c r="CN1174" s="332"/>
      <c r="CO1174" s="332"/>
      <c r="CP1174" s="332"/>
      <c r="CQ1174" s="332"/>
      <c r="CR1174" s="332"/>
      <c r="CS1174" s="332"/>
      <c r="CT1174" s="332"/>
      <c r="CU1174" s="332"/>
      <c r="CV1174" s="332"/>
      <c r="CW1174" s="332"/>
      <c r="CX1174" s="332"/>
      <c r="CY1174" s="332"/>
      <c r="CZ1174" s="332"/>
      <c r="DA1174" s="332"/>
      <c r="DB1174" s="332"/>
      <c r="DC1174" s="332"/>
      <c r="DD1174" s="332"/>
      <c r="DE1174" s="332"/>
      <c r="DF1174" s="332"/>
      <c r="DG1174" s="332"/>
      <c r="DH1174" s="332"/>
      <c r="DI1174" s="332"/>
      <c r="DJ1174" s="332"/>
      <c r="DK1174" s="332"/>
      <c r="DL1174" s="332"/>
      <c r="DM1174" s="332"/>
      <c r="DN1174" s="332"/>
      <c r="DO1174" s="332"/>
      <c r="DP1174" s="332"/>
      <c r="DQ1174" s="332"/>
      <c r="DR1174" s="332"/>
      <c r="DS1174" s="332"/>
      <c r="DT1174" s="332"/>
      <c r="DU1174" s="453"/>
      <c r="DV1174" s="453"/>
      <c r="DW1174" s="453"/>
      <c r="DX1174" s="453"/>
      <c r="DY1174" s="453"/>
      <c r="DZ1174" s="453"/>
      <c r="EA1174" s="453"/>
      <c r="EB1174" s="453"/>
      <c r="EC1174" s="453"/>
      <c r="ED1174" s="453"/>
      <c r="EE1174" s="453"/>
      <c r="EF1174" s="453"/>
      <c r="EG1174" s="453"/>
      <c r="EH1174" s="453"/>
      <c r="EI1174" s="453"/>
      <c r="EJ1174" s="453"/>
      <c r="EK1174" s="453"/>
      <c r="EL1174" s="453"/>
      <c r="EM1174" s="483">
        <f t="shared" si="254"/>
        <v>865</v>
      </c>
      <c r="EN1174" s="485"/>
      <c r="EO1174" s="458"/>
      <c r="EP1174" s="467"/>
      <c r="EQ1174" s="457"/>
      <c r="ER1174" s="808"/>
      <c r="ES1174" s="881">
        <f t="shared" si="255"/>
        <v>0</v>
      </c>
      <c r="ET1174" s="882"/>
      <c r="EU1174" s="883"/>
      <c r="EV1174" s="884">
        <f t="shared" si="256"/>
        <v>0</v>
      </c>
      <c r="EW1174" s="885"/>
      <c r="EX1174" s="885"/>
      <c r="EY1174" s="885"/>
      <c r="EZ1174" s="885"/>
      <c r="FA1174" s="885"/>
      <c r="FB1174" s="885"/>
      <c r="FC1174" s="885"/>
      <c r="FD1174" s="886"/>
      <c r="FE1174" s="878"/>
      <c r="FF1174" s="878"/>
      <c r="FG1174" s="878"/>
      <c r="FH1174" s="878"/>
      <c r="FI1174" s="878"/>
      <c r="FJ1174" s="878"/>
      <c r="FK1174" s="878"/>
      <c r="FL1174" s="555"/>
      <c r="FM1174" s="554"/>
      <c r="FN1174" s="554"/>
      <c r="FO1174" s="554"/>
      <c r="FP1174" s="554"/>
      <c r="FQ1174" s="554"/>
      <c r="FR1174" s="554"/>
      <c r="FS1174" s="554"/>
      <c r="FT1174" s="554"/>
      <c r="FU1174" s="554"/>
      <c r="FV1174" s="554"/>
      <c r="FW1174" s="554"/>
      <c r="FX1174" s="554"/>
      <c r="FY1174" s="554"/>
      <c r="FZ1174" s="554"/>
      <c r="GA1174" s="554"/>
      <c r="GB1174" s="556"/>
      <c r="GC1174" s="370"/>
      <c r="GD1174" s="453"/>
      <c r="GE1174" s="453"/>
      <c r="GF1174" s="453"/>
      <c r="GG1174" s="453"/>
      <c r="GH1174" s="454"/>
      <c r="GI1174" s="453"/>
      <c r="GJ1174" s="453"/>
      <c r="GK1174" s="453"/>
      <c r="GL1174" s="453"/>
      <c r="GM1174" s="453"/>
      <c r="GN1174" s="453"/>
      <c r="GO1174" s="453"/>
      <c r="GP1174" s="453"/>
      <c r="GQ1174" s="453"/>
      <c r="GR1174" s="453"/>
      <c r="GS1174" s="561"/>
      <c r="GT1174" s="475"/>
      <c r="GU1174" s="472"/>
      <c r="GV1174" s="453"/>
      <c r="GW1174" s="453"/>
      <c r="GX1174" s="869"/>
      <c r="GY1174" s="870"/>
      <c r="GZ1174" s="867"/>
      <c r="HA1174" s="868"/>
      <c r="HB1174" s="473"/>
      <c r="HC1174" s="869"/>
      <c r="HD1174" s="870"/>
      <c r="HE1174" s="867"/>
      <c r="HF1174" s="868"/>
      <c r="HG1174" s="473"/>
      <c r="HH1174" s="867"/>
      <c r="HI1174" s="868"/>
      <c r="HJ1174" s="867"/>
      <c r="HK1174" s="868"/>
      <c r="HL1174" s="370"/>
      <c r="HM1174" s="865"/>
      <c r="HN1174" s="866"/>
      <c r="HO1174" s="865"/>
      <c r="HP1174" s="866"/>
      <c r="HQ1174" s="865"/>
      <c r="HR1174" s="866"/>
      <c r="HS1174" s="867"/>
      <c r="HT1174" s="868"/>
      <c r="HU1174" s="489"/>
      <c r="HV1174" s="865"/>
      <c r="HW1174" s="866"/>
    </row>
    <row r="1175" spans="25:231" ht="15" customHeight="1">
      <c r="Y1175" s="332"/>
      <c r="Z1175" s="332"/>
      <c r="AA1175" s="332"/>
      <c r="AB1175" s="332"/>
      <c r="AC1175" s="332"/>
      <c r="AD1175" s="332"/>
      <c r="AE1175" s="332"/>
      <c r="AF1175" s="332"/>
      <c r="AG1175" s="332"/>
      <c r="AH1175" s="332"/>
      <c r="AI1175" s="332"/>
      <c r="AJ1175" s="332"/>
      <c r="AK1175" s="332"/>
      <c r="AL1175" s="332"/>
      <c r="AM1175" s="332"/>
      <c r="AN1175" s="332"/>
      <c r="AO1175" s="332"/>
      <c r="AP1175" s="332"/>
      <c r="AQ1175" s="332"/>
      <c r="AR1175" s="332"/>
      <c r="AS1175" s="332"/>
      <c r="AT1175" s="332"/>
      <c r="AU1175" s="332"/>
      <c r="AV1175" s="332"/>
      <c r="AW1175" s="332"/>
      <c r="AX1175" s="332"/>
      <c r="AY1175" s="332"/>
      <c r="AZ1175" s="332"/>
      <c r="BA1175" s="332"/>
      <c r="BB1175" s="332"/>
      <c r="BC1175" s="332"/>
      <c r="BD1175" s="332"/>
      <c r="BE1175" s="332"/>
      <c r="BF1175" s="332"/>
      <c r="BG1175" s="332"/>
      <c r="BH1175" s="332"/>
      <c r="BI1175" s="332"/>
      <c r="BJ1175" s="332"/>
      <c r="BK1175" s="332"/>
      <c r="BL1175" s="332"/>
      <c r="BM1175" s="332"/>
      <c r="BN1175" s="332"/>
      <c r="BO1175" s="332"/>
      <c r="BP1175" s="332"/>
      <c r="BQ1175" s="332"/>
      <c r="BR1175" s="332"/>
      <c r="BS1175" s="332"/>
      <c r="BT1175" s="332"/>
      <c r="BU1175" s="332"/>
      <c r="BV1175" s="332"/>
      <c r="BW1175" s="332"/>
      <c r="BX1175" s="332"/>
      <c r="BY1175" s="332"/>
      <c r="BZ1175" s="332"/>
      <c r="CA1175" s="332"/>
      <c r="CB1175" s="332"/>
      <c r="CC1175" s="332"/>
      <c r="CD1175" s="332"/>
      <c r="CE1175" s="332"/>
      <c r="CF1175" s="332"/>
      <c r="CG1175" s="332"/>
      <c r="CH1175" s="332"/>
      <c r="CI1175" s="332"/>
      <c r="CJ1175" s="332"/>
      <c r="CK1175" s="332"/>
      <c r="CL1175" s="332"/>
      <c r="CM1175" s="332"/>
      <c r="CN1175" s="332"/>
      <c r="CO1175" s="332"/>
      <c r="CP1175" s="332"/>
      <c r="CQ1175" s="332"/>
      <c r="CR1175" s="332"/>
      <c r="CS1175" s="332"/>
      <c r="CT1175" s="332"/>
      <c r="CU1175" s="332"/>
      <c r="CV1175" s="332"/>
      <c r="CW1175" s="332"/>
      <c r="CX1175" s="332"/>
      <c r="CY1175" s="332"/>
      <c r="CZ1175" s="332"/>
      <c r="DA1175" s="332"/>
      <c r="DB1175" s="332"/>
      <c r="DC1175" s="332"/>
      <c r="DD1175" s="332"/>
      <c r="DE1175" s="332"/>
      <c r="DF1175" s="332"/>
      <c r="DG1175" s="332"/>
      <c r="DH1175" s="332"/>
      <c r="DI1175" s="332"/>
      <c r="DJ1175" s="332"/>
      <c r="DK1175" s="332"/>
      <c r="DL1175" s="332"/>
      <c r="DM1175" s="332"/>
      <c r="DN1175" s="332"/>
      <c r="DO1175" s="332"/>
      <c r="DP1175" s="332"/>
      <c r="DQ1175" s="332"/>
      <c r="DR1175" s="332"/>
      <c r="DS1175" s="332"/>
      <c r="DT1175" s="332"/>
      <c r="DU1175" s="453"/>
      <c r="DV1175" s="453"/>
      <c r="DW1175" s="453"/>
      <c r="DX1175" s="453"/>
      <c r="DY1175" s="453"/>
      <c r="DZ1175" s="453"/>
      <c r="EA1175" s="453"/>
      <c r="EB1175" s="453"/>
      <c r="EC1175" s="453"/>
      <c r="ED1175" s="453"/>
      <c r="EE1175" s="453"/>
      <c r="EF1175" s="453"/>
      <c r="EG1175" s="453"/>
      <c r="EH1175" s="453"/>
      <c r="EI1175" s="453"/>
      <c r="EJ1175" s="453"/>
      <c r="EK1175" s="453"/>
      <c r="EL1175" s="453"/>
      <c r="EM1175" s="483">
        <f t="shared" si="254"/>
        <v>866</v>
      </c>
      <c r="EN1175" s="485"/>
      <c r="EO1175" s="458"/>
      <c r="EP1175" s="467"/>
      <c r="EQ1175" s="457"/>
      <c r="ER1175" s="808"/>
      <c r="ES1175" s="881">
        <f t="shared" si="255"/>
        <v>0</v>
      </c>
      <c r="ET1175" s="882"/>
      <c r="EU1175" s="883"/>
      <c r="EV1175" s="884">
        <f t="shared" si="256"/>
        <v>0</v>
      </c>
      <c r="EW1175" s="885"/>
      <c r="EX1175" s="885"/>
      <c r="EY1175" s="885"/>
      <c r="EZ1175" s="885"/>
      <c r="FA1175" s="885"/>
      <c r="FB1175" s="885"/>
      <c r="FC1175" s="885"/>
      <c r="FD1175" s="886"/>
      <c r="FE1175" s="878"/>
      <c r="FF1175" s="878"/>
      <c r="FG1175" s="878"/>
      <c r="FH1175" s="878"/>
      <c r="FI1175" s="878"/>
      <c r="FJ1175" s="878"/>
      <c r="FK1175" s="878"/>
      <c r="FL1175" s="555"/>
      <c r="FM1175" s="554"/>
      <c r="FN1175" s="554"/>
      <c r="FO1175" s="554"/>
      <c r="FP1175" s="554"/>
      <c r="FQ1175" s="554"/>
      <c r="FR1175" s="554"/>
      <c r="FS1175" s="554"/>
      <c r="FT1175" s="554"/>
      <c r="FU1175" s="554"/>
      <c r="FV1175" s="554"/>
      <c r="FW1175" s="554"/>
      <c r="FX1175" s="554"/>
      <c r="FY1175" s="554"/>
      <c r="FZ1175" s="554"/>
      <c r="GA1175" s="554"/>
      <c r="GB1175" s="556"/>
      <c r="GC1175" s="370"/>
      <c r="GD1175" s="453"/>
      <c r="GE1175" s="453"/>
      <c r="GF1175" s="453"/>
      <c r="GG1175" s="453"/>
      <c r="GH1175" s="454"/>
      <c r="GI1175" s="453"/>
      <c r="GJ1175" s="453"/>
      <c r="GK1175" s="453"/>
      <c r="GL1175" s="453"/>
      <c r="GM1175" s="453"/>
      <c r="GN1175" s="453"/>
      <c r="GO1175" s="453"/>
      <c r="GP1175" s="453"/>
      <c r="GQ1175" s="453"/>
      <c r="GR1175" s="453"/>
      <c r="GS1175" s="561"/>
      <c r="GT1175" s="475"/>
      <c r="GU1175" s="472"/>
      <c r="GV1175" s="453"/>
      <c r="GW1175" s="453"/>
      <c r="GX1175" s="869"/>
      <c r="GY1175" s="870"/>
      <c r="GZ1175" s="867"/>
      <c r="HA1175" s="868"/>
      <c r="HB1175" s="473"/>
      <c r="HC1175" s="869"/>
      <c r="HD1175" s="870"/>
      <c r="HE1175" s="867"/>
      <c r="HF1175" s="868"/>
      <c r="HG1175" s="473"/>
      <c r="HH1175" s="867"/>
      <c r="HI1175" s="868"/>
      <c r="HJ1175" s="867"/>
      <c r="HK1175" s="868"/>
      <c r="HL1175" s="370"/>
      <c r="HM1175" s="865"/>
      <c r="HN1175" s="866"/>
      <c r="HO1175" s="865"/>
      <c r="HP1175" s="866"/>
      <c r="HQ1175" s="865"/>
      <c r="HR1175" s="866"/>
      <c r="HS1175" s="867"/>
      <c r="HT1175" s="868"/>
      <c r="HU1175" s="489"/>
      <c r="HV1175" s="865"/>
      <c r="HW1175" s="866"/>
    </row>
    <row r="1176" spans="25:231" ht="15" customHeight="1">
      <c r="Y1176" s="332"/>
      <c r="Z1176" s="332"/>
      <c r="AA1176" s="332"/>
      <c r="AB1176" s="332"/>
      <c r="AC1176" s="332"/>
      <c r="AD1176" s="332"/>
      <c r="AE1176" s="332"/>
      <c r="AF1176" s="332"/>
      <c r="AG1176" s="332"/>
      <c r="AH1176" s="332"/>
      <c r="AI1176" s="332"/>
      <c r="AJ1176" s="332"/>
      <c r="AK1176" s="332"/>
      <c r="AL1176" s="332"/>
      <c r="AM1176" s="332"/>
      <c r="AN1176" s="332"/>
      <c r="AO1176" s="332"/>
      <c r="AP1176" s="332"/>
      <c r="AQ1176" s="332"/>
      <c r="AR1176" s="332"/>
      <c r="AS1176" s="332"/>
      <c r="AT1176" s="332"/>
      <c r="AU1176" s="332"/>
      <c r="AV1176" s="332"/>
      <c r="AW1176" s="332"/>
      <c r="AX1176" s="332"/>
      <c r="AY1176" s="332"/>
      <c r="AZ1176" s="332"/>
      <c r="BA1176" s="332"/>
      <c r="BB1176" s="332"/>
      <c r="BC1176" s="332"/>
      <c r="BD1176" s="332"/>
      <c r="BE1176" s="332"/>
      <c r="BF1176" s="332"/>
      <c r="BG1176" s="332"/>
      <c r="BH1176" s="332"/>
      <c r="BI1176" s="332"/>
      <c r="BJ1176" s="332"/>
      <c r="BK1176" s="332"/>
      <c r="BL1176" s="332"/>
      <c r="BM1176" s="332"/>
      <c r="BN1176" s="332"/>
      <c r="BO1176" s="332"/>
      <c r="BP1176" s="332"/>
      <c r="BQ1176" s="332"/>
      <c r="BR1176" s="332"/>
      <c r="BS1176" s="332"/>
      <c r="BT1176" s="332"/>
      <c r="BU1176" s="332"/>
      <c r="BV1176" s="332"/>
      <c r="BW1176" s="332"/>
      <c r="BX1176" s="332"/>
      <c r="BY1176" s="332"/>
      <c r="BZ1176" s="332"/>
      <c r="CA1176" s="332"/>
      <c r="CB1176" s="332"/>
      <c r="CC1176" s="332"/>
      <c r="CD1176" s="332"/>
      <c r="CE1176" s="332"/>
      <c r="CF1176" s="332"/>
      <c r="CG1176" s="332"/>
      <c r="CH1176" s="332"/>
      <c r="CI1176" s="332"/>
      <c r="CJ1176" s="332"/>
      <c r="CK1176" s="332"/>
      <c r="CL1176" s="332"/>
      <c r="CM1176" s="332"/>
      <c r="CN1176" s="332"/>
      <c r="CO1176" s="332"/>
      <c r="CP1176" s="332"/>
      <c r="CQ1176" s="332"/>
      <c r="CR1176" s="332"/>
      <c r="CS1176" s="332"/>
      <c r="CT1176" s="332"/>
      <c r="CU1176" s="332"/>
      <c r="CV1176" s="332"/>
      <c r="CW1176" s="332"/>
      <c r="CX1176" s="332"/>
      <c r="CY1176" s="332"/>
      <c r="CZ1176" s="332"/>
      <c r="DA1176" s="332"/>
      <c r="DB1176" s="332"/>
      <c r="DC1176" s="332"/>
      <c r="DD1176" s="332"/>
      <c r="DE1176" s="332"/>
      <c r="DF1176" s="332"/>
      <c r="DG1176" s="332"/>
      <c r="DH1176" s="332"/>
      <c r="DI1176" s="332"/>
      <c r="DJ1176" s="332"/>
      <c r="DK1176" s="332"/>
      <c r="DL1176" s="332"/>
      <c r="DM1176" s="332"/>
      <c r="DN1176" s="332"/>
      <c r="DO1176" s="332"/>
      <c r="DP1176" s="332"/>
      <c r="DQ1176" s="332"/>
      <c r="DR1176" s="332"/>
      <c r="DS1176" s="332"/>
      <c r="DT1176" s="332"/>
      <c r="DU1176" s="453"/>
      <c r="DV1176" s="453"/>
      <c r="DW1176" s="453"/>
      <c r="DX1176" s="453"/>
      <c r="DY1176" s="453"/>
      <c r="DZ1176" s="453"/>
      <c r="EA1176" s="453"/>
      <c r="EB1176" s="453"/>
      <c r="EC1176" s="453"/>
      <c r="ED1176" s="453"/>
      <c r="EE1176" s="453"/>
      <c r="EF1176" s="453"/>
      <c r="EG1176" s="453"/>
      <c r="EH1176" s="453"/>
      <c r="EI1176" s="453"/>
      <c r="EJ1176" s="453"/>
      <c r="EK1176" s="453"/>
      <c r="EL1176" s="453"/>
      <c r="EM1176" s="483">
        <f t="shared" si="254"/>
        <v>867</v>
      </c>
      <c r="EN1176" s="485"/>
      <c r="EO1176" s="458"/>
      <c r="EP1176" s="467"/>
      <c r="EQ1176" s="457"/>
      <c r="ER1176" s="808"/>
      <c r="ES1176" s="881">
        <f t="shared" si="255"/>
        <v>0</v>
      </c>
      <c r="ET1176" s="882"/>
      <c r="EU1176" s="883"/>
      <c r="EV1176" s="884">
        <f t="shared" si="256"/>
        <v>0</v>
      </c>
      <c r="EW1176" s="885"/>
      <c r="EX1176" s="885"/>
      <c r="EY1176" s="885"/>
      <c r="EZ1176" s="885"/>
      <c r="FA1176" s="885"/>
      <c r="FB1176" s="885"/>
      <c r="FC1176" s="885"/>
      <c r="FD1176" s="886"/>
      <c r="FE1176" s="878"/>
      <c r="FF1176" s="878"/>
      <c r="FG1176" s="878"/>
      <c r="FH1176" s="878"/>
      <c r="FI1176" s="878"/>
      <c r="FJ1176" s="878"/>
      <c r="FK1176" s="878"/>
      <c r="FL1176" s="555"/>
      <c r="FM1176" s="554"/>
      <c r="FN1176" s="554"/>
      <c r="FO1176" s="554"/>
      <c r="FP1176" s="554"/>
      <c r="FQ1176" s="554"/>
      <c r="FR1176" s="554"/>
      <c r="FS1176" s="554"/>
      <c r="FT1176" s="554"/>
      <c r="FU1176" s="554"/>
      <c r="FV1176" s="554"/>
      <c r="FW1176" s="554"/>
      <c r="FX1176" s="554"/>
      <c r="FY1176" s="554"/>
      <c r="FZ1176" s="554"/>
      <c r="GA1176" s="554"/>
      <c r="GB1176" s="556"/>
      <c r="GC1176" s="370"/>
      <c r="GD1176" s="453"/>
      <c r="GE1176" s="453"/>
      <c r="GF1176" s="453"/>
      <c r="GG1176" s="453"/>
      <c r="GH1176" s="454"/>
      <c r="GI1176" s="453"/>
      <c r="GJ1176" s="453"/>
      <c r="GK1176" s="453"/>
      <c r="GL1176" s="453"/>
      <c r="GM1176" s="453"/>
      <c r="GN1176" s="453"/>
      <c r="GO1176" s="453"/>
      <c r="GP1176" s="453"/>
      <c r="GQ1176" s="453"/>
      <c r="GR1176" s="453"/>
      <c r="GS1176" s="561"/>
      <c r="GT1176" s="475"/>
      <c r="GU1176" s="472"/>
      <c r="GV1176" s="453"/>
      <c r="GW1176" s="453"/>
      <c r="GX1176" s="869"/>
      <c r="GY1176" s="870"/>
      <c r="GZ1176" s="867"/>
      <c r="HA1176" s="868"/>
      <c r="HB1176" s="473"/>
      <c r="HC1176" s="869"/>
      <c r="HD1176" s="870"/>
      <c r="HE1176" s="867"/>
      <c r="HF1176" s="868"/>
      <c r="HG1176" s="473"/>
      <c r="HH1176" s="867"/>
      <c r="HI1176" s="868"/>
      <c r="HJ1176" s="867"/>
      <c r="HK1176" s="868"/>
      <c r="HL1176" s="370"/>
      <c r="HM1176" s="865"/>
      <c r="HN1176" s="866"/>
      <c r="HO1176" s="865"/>
      <c r="HP1176" s="866"/>
      <c r="HQ1176" s="865"/>
      <c r="HR1176" s="866"/>
      <c r="HS1176" s="867"/>
      <c r="HT1176" s="868"/>
      <c r="HU1176" s="489"/>
      <c r="HV1176" s="865"/>
      <c r="HW1176" s="866"/>
    </row>
    <row r="1177" spans="25:231" ht="15" customHeight="1">
      <c r="Y1177" s="332"/>
      <c r="Z1177" s="332"/>
      <c r="AA1177" s="332"/>
      <c r="AB1177" s="332"/>
      <c r="AC1177" s="332"/>
      <c r="AD1177" s="332"/>
      <c r="AE1177" s="332"/>
      <c r="AF1177" s="332"/>
      <c r="AG1177" s="332"/>
      <c r="AH1177" s="332"/>
      <c r="AI1177" s="332"/>
      <c r="AJ1177" s="332"/>
      <c r="AK1177" s="332"/>
      <c r="AL1177" s="332"/>
      <c r="AM1177" s="332"/>
      <c r="AN1177" s="332"/>
      <c r="AO1177" s="332"/>
      <c r="AP1177" s="332"/>
      <c r="AQ1177" s="332"/>
      <c r="AR1177" s="332"/>
      <c r="AS1177" s="332"/>
      <c r="AT1177" s="332"/>
      <c r="AU1177" s="332"/>
      <c r="AV1177" s="332"/>
      <c r="AW1177" s="332"/>
      <c r="AX1177" s="332"/>
      <c r="AY1177" s="332"/>
      <c r="AZ1177" s="332"/>
      <c r="BA1177" s="332"/>
      <c r="BB1177" s="332"/>
      <c r="BC1177" s="332"/>
      <c r="BD1177" s="332"/>
      <c r="BE1177" s="332"/>
      <c r="BF1177" s="332"/>
      <c r="BG1177" s="332"/>
      <c r="BH1177" s="332"/>
      <c r="BI1177" s="332"/>
      <c r="BJ1177" s="332"/>
      <c r="BK1177" s="332"/>
      <c r="BL1177" s="332"/>
      <c r="BM1177" s="332"/>
      <c r="BN1177" s="332"/>
      <c r="BO1177" s="332"/>
      <c r="BP1177" s="332"/>
      <c r="BQ1177" s="332"/>
      <c r="BR1177" s="332"/>
      <c r="BS1177" s="332"/>
      <c r="BT1177" s="332"/>
      <c r="BU1177" s="332"/>
      <c r="BV1177" s="332"/>
      <c r="BW1177" s="332"/>
      <c r="BX1177" s="332"/>
      <c r="BY1177" s="332"/>
      <c r="BZ1177" s="332"/>
      <c r="CA1177" s="332"/>
      <c r="CB1177" s="332"/>
      <c r="CC1177" s="332"/>
      <c r="CD1177" s="332"/>
      <c r="CE1177" s="332"/>
      <c r="CF1177" s="332"/>
      <c r="CG1177" s="332"/>
      <c r="CH1177" s="332"/>
      <c r="CI1177" s="332"/>
      <c r="CJ1177" s="332"/>
      <c r="CK1177" s="332"/>
      <c r="CL1177" s="332"/>
      <c r="CM1177" s="332"/>
      <c r="CN1177" s="332"/>
      <c r="CO1177" s="332"/>
      <c r="CP1177" s="332"/>
      <c r="CQ1177" s="332"/>
      <c r="CR1177" s="332"/>
      <c r="CS1177" s="332"/>
      <c r="CT1177" s="332"/>
      <c r="CU1177" s="332"/>
      <c r="CV1177" s="332"/>
      <c r="CW1177" s="332"/>
      <c r="CX1177" s="332"/>
      <c r="CY1177" s="332"/>
      <c r="CZ1177" s="332"/>
      <c r="DA1177" s="332"/>
      <c r="DB1177" s="332"/>
      <c r="DC1177" s="332"/>
      <c r="DD1177" s="332"/>
      <c r="DE1177" s="332"/>
      <c r="DF1177" s="332"/>
      <c r="DG1177" s="332"/>
      <c r="DH1177" s="332"/>
      <c r="DI1177" s="332"/>
      <c r="DJ1177" s="332"/>
      <c r="DK1177" s="332"/>
      <c r="DL1177" s="332"/>
      <c r="DM1177" s="332"/>
      <c r="DN1177" s="332"/>
      <c r="DO1177" s="332"/>
      <c r="DP1177" s="332"/>
      <c r="DQ1177" s="332"/>
      <c r="DR1177" s="332"/>
      <c r="DS1177" s="332"/>
      <c r="DT1177" s="332"/>
      <c r="DU1177" s="453"/>
      <c r="DV1177" s="453"/>
      <c r="DW1177" s="453"/>
      <c r="DX1177" s="453"/>
      <c r="DY1177" s="453"/>
      <c r="DZ1177" s="453"/>
      <c r="EA1177" s="453"/>
      <c r="EB1177" s="453"/>
      <c r="EC1177" s="453"/>
      <c r="ED1177" s="453"/>
      <c r="EE1177" s="453"/>
      <c r="EF1177" s="453"/>
      <c r="EG1177" s="453"/>
      <c r="EH1177" s="453"/>
      <c r="EI1177" s="453"/>
      <c r="EJ1177" s="453"/>
      <c r="EK1177" s="453"/>
      <c r="EL1177" s="453"/>
      <c r="EM1177" s="483">
        <f t="shared" si="254"/>
        <v>868</v>
      </c>
      <c r="EN1177" s="485"/>
      <c r="EO1177" s="458"/>
      <c r="EP1177" s="467"/>
      <c r="EQ1177" s="457"/>
      <c r="ER1177" s="808"/>
      <c r="ES1177" s="881">
        <f t="shared" si="255"/>
        <v>0</v>
      </c>
      <c r="ET1177" s="882"/>
      <c r="EU1177" s="883"/>
      <c r="EV1177" s="884">
        <f t="shared" si="256"/>
        <v>0</v>
      </c>
      <c r="EW1177" s="885"/>
      <c r="EX1177" s="885"/>
      <c r="EY1177" s="885"/>
      <c r="EZ1177" s="885"/>
      <c r="FA1177" s="885"/>
      <c r="FB1177" s="885"/>
      <c r="FC1177" s="885"/>
      <c r="FD1177" s="886"/>
      <c r="FE1177" s="878"/>
      <c r="FF1177" s="878"/>
      <c r="FG1177" s="878"/>
      <c r="FH1177" s="878"/>
      <c r="FI1177" s="878"/>
      <c r="FJ1177" s="878"/>
      <c r="FK1177" s="878"/>
      <c r="FL1177" s="555"/>
      <c r="FM1177" s="554"/>
      <c r="FN1177" s="554"/>
      <c r="FO1177" s="554"/>
      <c r="FP1177" s="554"/>
      <c r="FQ1177" s="554"/>
      <c r="FR1177" s="554"/>
      <c r="FS1177" s="554"/>
      <c r="FT1177" s="554"/>
      <c r="FU1177" s="554"/>
      <c r="FV1177" s="554"/>
      <c r="FW1177" s="554"/>
      <c r="FX1177" s="554"/>
      <c r="FY1177" s="554"/>
      <c r="FZ1177" s="554"/>
      <c r="GA1177" s="554"/>
      <c r="GB1177" s="556"/>
      <c r="GC1177" s="370"/>
      <c r="GD1177" s="453"/>
      <c r="GE1177" s="453"/>
      <c r="GF1177" s="453"/>
      <c r="GG1177" s="453"/>
      <c r="GH1177" s="454"/>
      <c r="GI1177" s="453"/>
      <c r="GJ1177" s="453"/>
      <c r="GK1177" s="453"/>
      <c r="GL1177" s="453"/>
      <c r="GM1177" s="453"/>
      <c r="GN1177" s="453"/>
      <c r="GO1177" s="453"/>
      <c r="GP1177" s="453"/>
      <c r="GQ1177" s="453"/>
      <c r="GR1177" s="453"/>
      <c r="GS1177" s="561"/>
      <c r="GT1177" s="475"/>
      <c r="GU1177" s="472"/>
      <c r="GV1177" s="453"/>
      <c r="GW1177" s="453"/>
      <c r="GX1177" s="869"/>
      <c r="GY1177" s="870"/>
      <c r="GZ1177" s="867"/>
      <c r="HA1177" s="868"/>
      <c r="HB1177" s="473"/>
      <c r="HC1177" s="869"/>
      <c r="HD1177" s="870"/>
      <c r="HE1177" s="867"/>
      <c r="HF1177" s="868"/>
      <c r="HG1177" s="473"/>
      <c r="HH1177" s="867"/>
      <c r="HI1177" s="868"/>
      <c r="HJ1177" s="867"/>
      <c r="HK1177" s="868"/>
      <c r="HL1177" s="370"/>
      <c r="HM1177" s="865"/>
      <c r="HN1177" s="866"/>
      <c r="HO1177" s="865"/>
      <c r="HP1177" s="866"/>
      <c r="HQ1177" s="865"/>
      <c r="HR1177" s="866"/>
      <c r="HS1177" s="867"/>
      <c r="HT1177" s="868"/>
      <c r="HU1177" s="489"/>
      <c r="HV1177" s="865"/>
      <c r="HW1177" s="866"/>
    </row>
    <row r="1178" spans="25:231" ht="15" customHeight="1">
      <c r="Y1178" s="332"/>
      <c r="Z1178" s="332"/>
      <c r="AA1178" s="332"/>
      <c r="AB1178" s="332"/>
      <c r="AC1178" s="332"/>
      <c r="AD1178" s="332"/>
      <c r="AE1178" s="332"/>
      <c r="AF1178" s="332"/>
      <c r="AG1178" s="332"/>
      <c r="AH1178" s="332"/>
      <c r="AI1178" s="332"/>
      <c r="AJ1178" s="332"/>
      <c r="AK1178" s="332"/>
      <c r="AL1178" s="332"/>
      <c r="AM1178" s="332"/>
      <c r="AN1178" s="332"/>
      <c r="AO1178" s="332"/>
      <c r="AP1178" s="332"/>
      <c r="AQ1178" s="332"/>
      <c r="AR1178" s="332"/>
      <c r="AS1178" s="332"/>
      <c r="AT1178" s="332"/>
      <c r="AU1178" s="332"/>
      <c r="AV1178" s="332"/>
      <c r="AW1178" s="332"/>
      <c r="AX1178" s="332"/>
      <c r="AY1178" s="332"/>
      <c r="AZ1178" s="332"/>
      <c r="BA1178" s="332"/>
      <c r="BB1178" s="332"/>
      <c r="BC1178" s="332"/>
      <c r="BD1178" s="332"/>
      <c r="BE1178" s="332"/>
      <c r="BF1178" s="332"/>
      <c r="BG1178" s="332"/>
      <c r="BH1178" s="332"/>
      <c r="BI1178" s="332"/>
      <c r="BJ1178" s="332"/>
      <c r="BK1178" s="332"/>
      <c r="BL1178" s="332"/>
      <c r="BM1178" s="332"/>
      <c r="BN1178" s="332"/>
      <c r="BO1178" s="332"/>
      <c r="BP1178" s="332"/>
      <c r="BQ1178" s="332"/>
      <c r="BR1178" s="332"/>
      <c r="BS1178" s="332"/>
      <c r="BT1178" s="332"/>
      <c r="BU1178" s="332"/>
      <c r="BV1178" s="332"/>
      <c r="BW1178" s="332"/>
      <c r="BX1178" s="332"/>
      <c r="BY1178" s="332"/>
      <c r="BZ1178" s="332"/>
      <c r="CA1178" s="332"/>
      <c r="CB1178" s="332"/>
      <c r="CC1178" s="332"/>
      <c r="CD1178" s="332"/>
      <c r="CE1178" s="332"/>
      <c r="CF1178" s="332"/>
      <c r="CG1178" s="332"/>
      <c r="CH1178" s="332"/>
      <c r="CI1178" s="332"/>
      <c r="CJ1178" s="332"/>
      <c r="CK1178" s="332"/>
      <c r="CL1178" s="332"/>
      <c r="CM1178" s="332"/>
      <c r="CN1178" s="332"/>
      <c r="CO1178" s="332"/>
      <c r="CP1178" s="332"/>
      <c r="CQ1178" s="332"/>
      <c r="CR1178" s="332"/>
      <c r="CS1178" s="332"/>
      <c r="CT1178" s="332"/>
      <c r="CU1178" s="332"/>
      <c r="CV1178" s="332"/>
      <c r="CW1178" s="332"/>
      <c r="CX1178" s="332"/>
      <c r="CY1178" s="332"/>
      <c r="CZ1178" s="332"/>
      <c r="DA1178" s="332"/>
      <c r="DB1178" s="332"/>
      <c r="DC1178" s="332"/>
      <c r="DD1178" s="332"/>
      <c r="DE1178" s="332"/>
      <c r="DF1178" s="332"/>
      <c r="DG1178" s="332"/>
      <c r="DH1178" s="332"/>
      <c r="DI1178" s="332"/>
      <c r="DJ1178" s="332"/>
      <c r="DK1178" s="332"/>
      <c r="DL1178" s="332"/>
      <c r="DM1178" s="332"/>
      <c r="DN1178" s="332"/>
      <c r="DO1178" s="332"/>
      <c r="DP1178" s="332"/>
      <c r="DQ1178" s="332"/>
      <c r="DR1178" s="332"/>
      <c r="DS1178" s="332"/>
      <c r="DT1178" s="332"/>
      <c r="DU1178" s="453"/>
      <c r="DV1178" s="453"/>
      <c r="DW1178" s="453"/>
      <c r="DX1178" s="453"/>
      <c r="DY1178" s="453"/>
      <c r="DZ1178" s="453"/>
      <c r="EA1178" s="453"/>
      <c r="EB1178" s="453"/>
      <c r="EC1178" s="453"/>
      <c r="ED1178" s="453"/>
      <c r="EE1178" s="453"/>
      <c r="EF1178" s="453"/>
      <c r="EG1178" s="453"/>
      <c r="EH1178" s="453"/>
      <c r="EI1178" s="453"/>
      <c r="EJ1178" s="453"/>
      <c r="EK1178" s="453"/>
      <c r="EL1178" s="453"/>
      <c r="EM1178" s="483">
        <f t="shared" si="254"/>
        <v>869</v>
      </c>
      <c r="EN1178" s="485"/>
      <c r="EO1178" s="458"/>
      <c r="EP1178" s="467"/>
      <c r="EQ1178" s="457"/>
      <c r="ER1178" s="808"/>
      <c r="ES1178" s="881">
        <f t="shared" si="255"/>
        <v>0</v>
      </c>
      <c r="ET1178" s="882"/>
      <c r="EU1178" s="883"/>
      <c r="EV1178" s="884">
        <f t="shared" si="256"/>
        <v>0</v>
      </c>
      <c r="EW1178" s="885"/>
      <c r="EX1178" s="885"/>
      <c r="EY1178" s="885"/>
      <c r="EZ1178" s="885"/>
      <c r="FA1178" s="885"/>
      <c r="FB1178" s="885"/>
      <c r="FC1178" s="885"/>
      <c r="FD1178" s="886"/>
      <c r="FE1178" s="878"/>
      <c r="FF1178" s="878"/>
      <c r="FG1178" s="878"/>
      <c r="FH1178" s="878"/>
      <c r="FI1178" s="878"/>
      <c r="FJ1178" s="878"/>
      <c r="FK1178" s="878"/>
      <c r="FL1178" s="555"/>
      <c r="FM1178" s="554"/>
      <c r="FN1178" s="554"/>
      <c r="FO1178" s="554"/>
      <c r="FP1178" s="554"/>
      <c r="FQ1178" s="554"/>
      <c r="FR1178" s="554"/>
      <c r="FS1178" s="554"/>
      <c r="FT1178" s="554"/>
      <c r="FU1178" s="554"/>
      <c r="FV1178" s="554"/>
      <c r="FW1178" s="554"/>
      <c r="FX1178" s="554"/>
      <c r="FY1178" s="554"/>
      <c r="FZ1178" s="554"/>
      <c r="GA1178" s="554"/>
      <c r="GB1178" s="556"/>
      <c r="GC1178" s="370"/>
      <c r="GD1178" s="453"/>
      <c r="GE1178" s="453"/>
      <c r="GF1178" s="453"/>
      <c r="GG1178" s="453"/>
      <c r="GH1178" s="454"/>
      <c r="GI1178" s="453"/>
      <c r="GJ1178" s="453"/>
      <c r="GK1178" s="453"/>
      <c r="GL1178" s="453"/>
      <c r="GM1178" s="453"/>
      <c r="GN1178" s="453"/>
      <c r="GO1178" s="453"/>
      <c r="GP1178" s="453"/>
      <c r="GQ1178" s="453"/>
      <c r="GR1178" s="453"/>
      <c r="GS1178" s="561"/>
      <c r="GT1178" s="475"/>
      <c r="GU1178" s="472"/>
      <c r="GV1178" s="453"/>
      <c r="GW1178" s="453"/>
      <c r="GX1178" s="869"/>
      <c r="GY1178" s="870"/>
      <c r="GZ1178" s="867"/>
      <c r="HA1178" s="868"/>
      <c r="HB1178" s="473"/>
      <c r="HC1178" s="869"/>
      <c r="HD1178" s="870"/>
      <c r="HE1178" s="867"/>
      <c r="HF1178" s="868"/>
      <c r="HG1178" s="473"/>
      <c r="HH1178" s="867"/>
      <c r="HI1178" s="868"/>
      <c r="HJ1178" s="867"/>
      <c r="HK1178" s="868"/>
      <c r="HL1178" s="370"/>
      <c r="HM1178" s="865"/>
      <c r="HN1178" s="866"/>
      <c r="HO1178" s="865"/>
      <c r="HP1178" s="866"/>
      <c r="HQ1178" s="865"/>
      <c r="HR1178" s="866"/>
      <c r="HS1178" s="867"/>
      <c r="HT1178" s="868"/>
      <c r="HU1178" s="489"/>
      <c r="HV1178" s="865"/>
      <c r="HW1178" s="866"/>
    </row>
    <row r="1179" spans="25:231" ht="15" customHeight="1">
      <c r="Y1179" s="332"/>
      <c r="Z1179" s="332"/>
      <c r="AA1179" s="332"/>
      <c r="AB1179" s="332"/>
      <c r="AC1179" s="332"/>
      <c r="AD1179" s="332"/>
      <c r="AE1179" s="332"/>
      <c r="AF1179" s="332"/>
      <c r="AG1179" s="332"/>
      <c r="AH1179" s="332"/>
      <c r="AI1179" s="332"/>
      <c r="AJ1179" s="332"/>
      <c r="AK1179" s="332"/>
      <c r="AL1179" s="332"/>
      <c r="AM1179" s="332"/>
      <c r="AN1179" s="332"/>
      <c r="AO1179" s="332"/>
      <c r="AP1179" s="332"/>
      <c r="AQ1179" s="332"/>
      <c r="AR1179" s="332"/>
      <c r="AS1179" s="332"/>
      <c r="AT1179" s="332"/>
      <c r="AU1179" s="332"/>
      <c r="AV1179" s="332"/>
      <c r="AW1179" s="332"/>
      <c r="AX1179" s="332"/>
      <c r="AY1179" s="332"/>
      <c r="AZ1179" s="332"/>
      <c r="BA1179" s="332"/>
      <c r="BB1179" s="332"/>
      <c r="BC1179" s="332"/>
      <c r="BD1179" s="332"/>
      <c r="BE1179" s="332"/>
      <c r="BF1179" s="332"/>
      <c r="BG1179" s="332"/>
      <c r="BH1179" s="332"/>
      <c r="BI1179" s="332"/>
      <c r="BJ1179" s="332"/>
      <c r="BK1179" s="332"/>
      <c r="BL1179" s="332"/>
      <c r="BM1179" s="332"/>
      <c r="BN1179" s="332"/>
      <c r="BO1179" s="332"/>
      <c r="BP1179" s="332"/>
      <c r="BQ1179" s="332"/>
      <c r="BR1179" s="332"/>
      <c r="BS1179" s="332"/>
      <c r="BT1179" s="332"/>
      <c r="BU1179" s="332"/>
      <c r="BV1179" s="332"/>
      <c r="BW1179" s="332"/>
      <c r="BX1179" s="332"/>
      <c r="BY1179" s="332"/>
      <c r="BZ1179" s="332"/>
      <c r="CA1179" s="332"/>
      <c r="CB1179" s="332"/>
      <c r="CC1179" s="332"/>
      <c r="CD1179" s="332"/>
      <c r="CE1179" s="332"/>
      <c r="CF1179" s="332"/>
      <c r="CG1179" s="332"/>
      <c r="CH1179" s="332"/>
      <c r="CI1179" s="332"/>
      <c r="CJ1179" s="332"/>
      <c r="CK1179" s="332"/>
      <c r="CL1179" s="332"/>
      <c r="CM1179" s="332"/>
      <c r="CN1179" s="332"/>
      <c r="CO1179" s="332"/>
      <c r="CP1179" s="332"/>
      <c r="CQ1179" s="332"/>
      <c r="CR1179" s="332"/>
      <c r="CS1179" s="332"/>
      <c r="CT1179" s="332"/>
      <c r="CU1179" s="332"/>
      <c r="CV1179" s="332"/>
      <c r="CW1179" s="332"/>
      <c r="CX1179" s="332"/>
      <c r="CY1179" s="332"/>
      <c r="CZ1179" s="332"/>
      <c r="DA1179" s="332"/>
      <c r="DB1179" s="332"/>
      <c r="DC1179" s="332"/>
      <c r="DD1179" s="332"/>
      <c r="DE1179" s="332"/>
      <c r="DF1179" s="332"/>
      <c r="DG1179" s="332"/>
      <c r="DH1179" s="332"/>
      <c r="DI1179" s="332"/>
      <c r="DJ1179" s="332"/>
      <c r="DK1179" s="332"/>
      <c r="DL1179" s="332"/>
      <c r="DM1179" s="332"/>
      <c r="DN1179" s="332"/>
      <c r="DO1179" s="332"/>
      <c r="DP1179" s="332"/>
      <c r="DQ1179" s="332"/>
      <c r="DR1179" s="332"/>
      <c r="DS1179" s="332"/>
      <c r="DT1179" s="332"/>
      <c r="DU1179" s="453"/>
      <c r="DV1179" s="453"/>
      <c r="DW1179" s="453"/>
      <c r="DX1179" s="453"/>
      <c r="DY1179" s="453"/>
      <c r="DZ1179" s="453"/>
      <c r="EA1179" s="453"/>
      <c r="EB1179" s="453"/>
      <c r="EC1179" s="453"/>
      <c r="ED1179" s="453"/>
      <c r="EE1179" s="453"/>
      <c r="EF1179" s="453"/>
      <c r="EG1179" s="453"/>
      <c r="EH1179" s="453"/>
      <c r="EI1179" s="453"/>
      <c r="EJ1179" s="453"/>
      <c r="EK1179" s="453"/>
      <c r="EL1179" s="453"/>
      <c r="EM1179" s="483">
        <f t="shared" si="254"/>
        <v>870</v>
      </c>
      <c r="EN1179" s="485"/>
      <c r="EO1179" s="458"/>
      <c r="EP1179" s="467"/>
      <c r="EQ1179" s="457"/>
      <c r="ER1179" s="808"/>
      <c r="ES1179" s="881">
        <f t="shared" si="255"/>
        <v>0</v>
      </c>
      <c r="ET1179" s="882"/>
      <c r="EU1179" s="883"/>
      <c r="EV1179" s="884">
        <f t="shared" si="256"/>
        <v>0</v>
      </c>
      <c r="EW1179" s="885"/>
      <c r="EX1179" s="885"/>
      <c r="EY1179" s="885"/>
      <c r="EZ1179" s="885"/>
      <c r="FA1179" s="885"/>
      <c r="FB1179" s="885"/>
      <c r="FC1179" s="885"/>
      <c r="FD1179" s="886"/>
      <c r="FE1179" s="878"/>
      <c r="FF1179" s="878"/>
      <c r="FG1179" s="878"/>
      <c r="FH1179" s="878"/>
      <c r="FI1179" s="878"/>
      <c r="FJ1179" s="878"/>
      <c r="FK1179" s="878"/>
      <c r="FL1179" s="555"/>
      <c r="FM1179" s="554"/>
      <c r="FN1179" s="554"/>
      <c r="FO1179" s="554"/>
      <c r="FP1179" s="554"/>
      <c r="FQ1179" s="554"/>
      <c r="FR1179" s="554"/>
      <c r="FS1179" s="554"/>
      <c r="FT1179" s="554"/>
      <c r="FU1179" s="554"/>
      <c r="FV1179" s="554"/>
      <c r="FW1179" s="554"/>
      <c r="FX1179" s="554"/>
      <c r="FY1179" s="554"/>
      <c r="FZ1179" s="554"/>
      <c r="GA1179" s="554"/>
      <c r="GB1179" s="556"/>
      <c r="GC1179" s="370"/>
      <c r="GD1179" s="453"/>
      <c r="GE1179" s="453"/>
      <c r="GF1179" s="453"/>
      <c r="GG1179" s="453"/>
      <c r="GH1179" s="454"/>
      <c r="GI1179" s="453"/>
      <c r="GJ1179" s="453"/>
      <c r="GK1179" s="453"/>
      <c r="GL1179" s="453"/>
      <c r="GM1179" s="453"/>
      <c r="GN1179" s="453"/>
      <c r="GO1179" s="453"/>
      <c r="GP1179" s="453"/>
      <c r="GQ1179" s="453"/>
      <c r="GR1179" s="453"/>
      <c r="GS1179" s="561"/>
      <c r="GT1179" s="475"/>
      <c r="GU1179" s="472"/>
      <c r="GV1179" s="453"/>
      <c r="GW1179" s="453"/>
      <c r="GX1179" s="869"/>
      <c r="GY1179" s="870"/>
      <c r="GZ1179" s="867"/>
      <c r="HA1179" s="868"/>
      <c r="HB1179" s="473"/>
      <c r="HC1179" s="869"/>
      <c r="HD1179" s="870"/>
      <c r="HE1179" s="867"/>
      <c r="HF1179" s="868"/>
      <c r="HG1179" s="473"/>
      <c r="HH1179" s="867"/>
      <c r="HI1179" s="868"/>
      <c r="HJ1179" s="867"/>
      <c r="HK1179" s="868"/>
      <c r="HL1179" s="370"/>
      <c r="HM1179" s="865"/>
      <c r="HN1179" s="866"/>
      <c r="HO1179" s="865"/>
      <c r="HP1179" s="866"/>
      <c r="HQ1179" s="865"/>
      <c r="HR1179" s="866"/>
      <c r="HS1179" s="867"/>
      <c r="HT1179" s="868"/>
      <c r="HU1179" s="489"/>
      <c r="HV1179" s="865"/>
      <c r="HW1179" s="866"/>
    </row>
    <row r="1180" spans="25:231" ht="15" customHeight="1">
      <c r="Y1180" s="332"/>
      <c r="Z1180" s="332"/>
      <c r="AA1180" s="332"/>
      <c r="AB1180" s="332"/>
      <c r="AC1180" s="332"/>
      <c r="AD1180" s="332"/>
      <c r="AE1180" s="332"/>
      <c r="AF1180" s="332"/>
      <c r="AG1180" s="332"/>
      <c r="AH1180" s="332"/>
      <c r="AI1180" s="332"/>
      <c r="AJ1180" s="332"/>
      <c r="AK1180" s="332"/>
      <c r="AL1180" s="332"/>
      <c r="AM1180" s="332"/>
      <c r="AN1180" s="332"/>
      <c r="AO1180" s="332"/>
      <c r="AP1180" s="332"/>
      <c r="AQ1180" s="332"/>
      <c r="AR1180" s="332"/>
      <c r="AS1180" s="332"/>
      <c r="AT1180" s="332"/>
      <c r="AU1180" s="332"/>
      <c r="AV1180" s="332"/>
      <c r="AW1180" s="332"/>
      <c r="AX1180" s="332"/>
      <c r="AY1180" s="332"/>
      <c r="AZ1180" s="332"/>
      <c r="BA1180" s="332"/>
      <c r="BB1180" s="332"/>
      <c r="BC1180" s="332"/>
      <c r="BD1180" s="332"/>
      <c r="BE1180" s="332"/>
      <c r="BF1180" s="332"/>
      <c r="BG1180" s="332"/>
      <c r="BH1180" s="332"/>
      <c r="BI1180" s="332"/>
      <c r="BJ1180" s="332"/>
      <c r="BK1180" s="332"/>
      <c r="BL1180" s="332"/>
      <c r="BM1180" s="332"/>
      <c r="BN1180" s="332"/>
      <c r="BO1180" s="332"/>
      <c r="BP1180" s="332"/>
      <c r="BQ1180" s="332"/>
      <c r="BR1180" s="332"/>
      <c r="BS1180" s="332"/>
      <c r="BT1180" s="332"/>
      <c r="BU1180" s="332"/>
      <c r="BV1180" s="332"/>
      <c r="BW1180" s="332"/>
      <c r="BX1180" s="332"/>
      <c r="BY1180" s="332"/>
      <c r="BZ1180" s="332"/>
      <c r="CA1180" s="332"/>
      <c r="CB1180" s="332"/>
      <c r="CC1180" s="332"/>
      <c r="CD1180" s="332"/>
      <c r="CE1180" s="332"/>
      <c r="CF1180" s="332"/>
      <c r="CG1180" s="332"/>
      <c r="CH1180" s="332"/>
      <c r="CI1180" s="332"/>
      <c r="CJ1180" s="332"/>
      <c r="CK1180" s="332"/>
      <c r="CL1180" s="332"/>
      <c r="CM1180" s="332"/>
      <c r="CN1180" s="332"/>
      <c r="CO1180" s="332"/>
      <c r="CP1180" s="332"/>
      <c r="CQ1180" s="332"/>
      <c r="CR1180" s="332"/>
      <c r="CS1180" s="332"/>
      <c r="CT1180" s="332"/>
      <c r="CU1180" s="332"/>
      <c r="CV1180" s="332"/>
      <c r="CW1180" s="332"/>
      <c r="CX1180" s="332"/>
      <c r="CY1180" s="332"/>
      <c r="CZ1180" s="332"/>
      <c r="DA1180" s="332"/>
      <c r="DB1180" s="332"/>
      <c r="DC1180" s="332"/>
      <c r="DD1180" s="332"/>
      <c r="DE1180" s="332"/>
      <c r="DF1180" s="332"/>
      <c r="DG1180" s="332"/>
      <c r="DH1180" s="332"/>
      <c r="DI1180" s="332"/>
      <c r="DJ1180" s="332"/>
      <c r="DK1180" s="332"/>
      <c r="DL1180" s="332"/>
      <c r="DM1180" s="332"/>
      <c r="DN1180" s="332"/>
      <c r="DO1180" s="332"/>
      <c r="DP1180" s="332"/>
      <c r="DQ1180" s="332"/>
      <c r="DR1180" s="332"/>
      <c r="DS1180" s="332"/>
      <c r="DT1180" s="332"/>
      <c r="DU1180" s="453"/>
      <c r="DV1180" s="453"/>
      <c r="DW1180" s="453"/>
      <c r="DX1180" s="453"/>
      <c r="DY1180" s="453"/>
      <c r="DZ1180" s="453"/>
      <c r="EA1180" s="453"/>
      <c r="EB1180" s="453"/>
      <c r="EC1180" s="453"/>
      <c r="ED1180" s="453"/>
      <c r="EE1180" s="453"/>
      <c r="EF1180" s="453"/>
      <c r="EG1180" s="453"/>
      <c r="EH1180" s="453"/>
      <c r="EI1180" s="453"/>
      <c r="EJ1180" s="453"/>
      <c r="EK1180" s="453"/>
      <c r="EL1180" s="453"/>
      <c r="EM1180" s="483">
        <f t="shared" si="254"/>
        <v>871</v>
      </c>
      <c r="EN1180" s="485"/>
      <c r="EO1180" s="458"/>
      <c r="EP1180" s="467"/>
      <c r="EQ1180" s="457"/>
      <c r="ER1180" s="808"/>
      <c r="ES1180" s="881">
        <f t="shared" si="255"/>
        <v>0</v>
      </c>
      <c r="ET1180" s="882"/>
      <c r="EU1180" s="883"/>
      <c r="EV1180" s="884">
        <f t="shared" si="256"/>
        <v>0</v>
      </c>
      <c r="EW1180" s="885"/>
      <c r="EX1180" s="885"/>
      <c r="EY1180" s="885"/>
      <c r="EZ1180" s="885"/>
      <c r="FA1180" s="885"/>
      <c r="FB1180" s="885"/>
      <c r="FC1180" s="885"/>
      <c r="FD1180" s="886"/>
      <c r="FE1180" s="878"/>
      <c r="FF1180" s="878"/>
      <c r="FG1180" s="878"/>
      <c r="FH1180" s="878"/>
      <c r="FI1180" s="878"/>
      <c r="FJ1180" s="878"/>
      <c r="FK1180" s="878"/>
      <c r="FL1180" s="555"/>
      <c r="FM1180" s="554"/>
      <c r="FN1180" s="554"/>
      <c r="FO1180" s="554"/>
      <c r="FP1180" s="554"/>
      <c r="FQ1180" s="554"/>
      <c r="FR1180" s="554"/>
      <c r="FS1180" s="554"/>
      <c r="FT1180" s="554"/>
      <c r="FU1180" s="554"/>
      <c r="FV1180" s="554"/>
      <c r="FW1180" s="554"/>
      <c r="FX1180" s="554"/>
      <c r="FY1180" s="554"/>
      <c r="FZ1180" s="554"/>
      <c r="GA1180" s="554"/>
      <c r="GB1180" s="556"/>
      <c r="GC1180" s="370"/>
      <c r="GD1180" s="453"/>
      <c r="GE1180" s="453"/>
      <c r="GF1180" s="453"/>
      <c r="GG1180" s="453"/>
      <c r="GH1180" s="454"/>
      <c r="GI1180" s="453"/>
      <c r="GJ1180" s="453"/>
      <c r="GK1180" s="453"/>
      <c r="GL1180" s="453"/>
      <c r="GM1180" s="453"/>
      <c r="GN1180" s="453"/>
      <c r="GO1180" s="453"/>
      <c r="GP1180" s="453"/>
      <c r="GQ1180" s="453"/>
      <c r="GR1180" s="453"/>
      <c r="GS1180" s="561"/>
      <c r="GT1180" s="475"/>
      <c r="GU1180" s="472"/>
      <c r="GV1180" s="453"/>
      <c r="GW1180" s="453"/>
      <c r="GX1180" s="869"/>
      <c r="GY1180" s="870"/>
      <c r="GZ1180" s="867"/>
      <c r="HA1180" s="868"/>
      <c r="HB1180" s="473"/>
      <c r="HC1180" s="869"/>
      <c r="HD1180" s="870"/>
      <c r="HE1180" s="867"/>
      <c r="HF1180" s="868"/>
      <c r="HG1180" s="473"/>
      <c r="HH1180" s="867"/>
      <c r="HI1180" s="868"/>
      <c r="HJ1180" s="867"/>
      <c r="HK1180" s="868"/>
      <c r="HL1180" s="370"/>
      <c r="HM1180" s="865"/>
      <c r="HN1180" s="866"/>
      <c r="HO1180" s="865"/>
      <c r="HP1180" s="866"/>
      <c r="HQ1180" s="865"/>
      <c r="HR1180" s="866"/>
      <c r="HS1180" s="867"/>
      <c r="HT1180" s="868"/>
      <c r="HU1180" s="489"/>
      <c r="HV1180" s="865"/>
      <c r="HW1180" s="866"/>
    </row>
    <row r="1181" spans="25:231" ht="15" customHeight="1">
      <c r="Y1181" s="332"/>
      <c r="Z1181" s="332"/>
      <c r="AA1181" s="332"/>
      <c r="AB1181" s="332"/>
      <c r="AC1181" s="332"/>
      <c r="AD1181" s="332"/>
      <c r="AE1181" s="332"/>
      <c r="AF1181" s="332"/>
      <c r="AG1181" s="332"/>
      <c r="AH1181" s="332"/>
      <c r="AI1181" s="332"/>
      <c r="AJ1181" s="332"/>
      <c r="AK1181" s="332"/>
      <c r="AL1181" s="332"/>
      <c r="AM1181" s="332"/>
      <c r="AN1181" s="332"/>
      <c r="AO1181" s="332"/>
      <c r="AP1181" s="332"/>
      <c r="AQ1181" s="332"/>
      <c r="AR1181" s="332"/>
      <c r="AS1181" s="332"/>
      <c r="AT1181" s="332"/>
      <c r="AU1181" s="332"/>
      <c r="AV1181" s="332"/>
      <c r="AW1181" s="332"/>
      <c r="AX1181" s="332"/>
      <c r="AY1181" s="332"/>
      <c r="AZ1181" s="332"/>
      <c r="BA1181" s="332"/>
      <c r="BB1181" s="332"/>
      <c r="BC1181" s="332"/>
      <c r="BD1181" s="332"/>
      <c r="BE1181" s="332"/>
      <c r="BF1181" s="332"/>
      <c r="BG1181" s="332"/>
      <c r="BH1181" s="332"/>
      <c r="BI1181" s="332"/>
      <c r="BJ1181" s="332"/>
      <c r="BK1181" s="332"/>
      <c r="BL1181" s="332"/>
      <c r="BM1181" s="332"/>
      <c r="BN1181" s="332"/>
      <c r="BO1181" s="332"/>
      <c r="BP1181" s="332"/>
      <c r="BQ1181" s="332"/>
      <c r="BR1181" s="332"/>
      <c r="BS1181" s="332"/>
      <c r="BT1181" s="332"/>
      <c r="BU1181" s="332"/>
      <c r="BV1181" s="332"/>
      <c r="BW1181" s="332"/>
      <c r="BX1181" s="332"/>
      <c r="BY1181" s="332"/>
      <c r="BZ1181" s="332"/>
      <c r="CA1181" s="332"/>
      <c r="CB1181" s="332"/>
      <c r="CC1181" s="332"/>
      <c r="CD1181" s="332"/>
      <c r="CE1181" s="332"/>
      <c r="CF1181" s="332"/>
      <c r="CG1181" s="332"/>
      <c r="CH1181" s="332"/>
      <c r="CI1181" s="332"/>
      <c r="CJ1181" s="332"/>
      <c r="CK1181" s="332"/>
      <c r="CL1181" s="332"/>
      <c r="CM1181" s="332"/>
      <c r="CN1181" s="332"/>
      <c r="CO1181" s="332"/>
      <c r="CP1181" s="332"/>
      <c r="CQ1181" s="332"/>
      <c r="CR1181" s="332"/>
      <c r="CS1181" s="332"/>
      <c r="CT1181" s="332"/>
      <c r="CU1181" s="332"/>
      <c r="CV1181" s="332"/>
      <c r="CW1181" s="332"/>
      <c r="CX1181" s="332"/>
      <c r="CY1181" s="332"/>
      <c r="CZ1181" s="332"/>
      <c r="DA1181" s="332"/>
      <c r="DB1181" s="332"/>
      <c r="DC1181" s="332"/>
      <c r="DD1181" s="332"/>
      <c r="DE1181" s="332"/>
      <c r="DF1181" s="332"/>
      <c r="DG1181" s="332"/>
      <c r="DH1181" s="332"/>
      <c r="DI1181" s="332"/>
      <c r="DJ1181" s="332"/>
      <c r="DK1181" s="332"/>
      <c r="DL1181" s="332"/>
      <c r="DM1181" s="332"/>
      <c r="DN1181" s="332"/>
      <c r="DO1181" s="332"/>
      <c r="DP1181" s="332"/>
      <c r="DQ1181" s="332"/>
      <c r="DR1181" s="332"/>
      <c r="DS1181" s="332"/>
      <c r="DT1181" s="332"/>
      <c r="DU1181" s="453"/>
      <c r="DV1181" s="453"/>
      <c r="DW1181" s="453"/>
      <c r="DX1181" s="453"/>
      <c r="DY1181" s="453"/>
      <c r="DZ1181" s="453"/>
      <c r="EA1181" s="453"/>
      <c r="EB1181" s="453"/>
      <c r="EC1181" s="453"/>
      <c r="ED1181" s="453"/>
      <c r="EE1181" s="453"/>
      <c r="EF1181" s="453"/>
      <c r="EG1181" s="453"/>
      <c r="EH1181" s="453"/>
      <c r="EI1181" s="453"/>
      <c r="EJ1181" s="453"/>
      <c r="EK1181" s="453"/>
      <c r="EL1181" s="453"/>
      <c r="EM1181" s="483">
        <f t="shared" si="254"/>
        <v>872</v>
      </c>
      <c r="EN1181" s="485"/>
      <c r="EO1181" s="458"/>
      <c r="EP1181" s="467"/>
      <c r="EQ1181" s="457"/>
      <c r="ER1181" s="808"/>
      <c r="ES1181" s="881">
        <f t="shared" si="255"/>
        <v>0</v>
      </c>
      <c r="ET1181" s="882"/>
      <c r="EU1181" s="883"/>
      <c r="EV1181" s="884">
        <f t="shared" si="256"/>
        <v>0</v>
      </c>
      <c r="EW1181" s="885"/>
      <c r="EX1181" s="885"/>
      <c r="EY1181" s="885"/>
      <c r="EZ1181" s="885"/>
      <c r="FA1181" s="885"/>
      <c r="FB1181" s="885"/>
      <c r="FC1181" s="885"/>
      <c r="FD1181" s="886"/>
      <c r="FE1181" s="878"/>
      <c r="FF1181" s="878"/>
      <c r="FG1181" s="878"/>
      <c r="FH1181" s="878"/>
      <c r="FI1181" s="878"/>
      <c r="FJ1181" s="878"/>
      <c r="FK1181" s="878"/>
      <c r="FL1181" s="555"/>
      <c r="FM1181" s="554"/>
      <c r="FN1181" s="554"/>
      <c r="FO1181" s="554"/>
      <c r="FP1181" s="554"/>
      <c r="FQ1181" s="554"/>
      <c r="FR1181" s="554"/>
      <c r="FS1181" s="554"/>
      <c r="FT1181" s="554"/>
      <c r="FU1181" s="554"/>
      <c r="FV1181" s="554"/>
      <c r="FW1181" s="554"/>
      <c r="FX1181" s="554"/>
      <c r="FY1181" s="554"/>
      <c r="FZ1181" s="554"/>
      <c r="GA1181" s="554"/>
      <c r="GB1181" s="556"/>
      <c r="GC1181" s="370"/>
      <c r="GD1181" s="453"/>
      <c r="GE1181" s="453"/>
      <c r="GF1181" s="453"/>
      <c r="GG1181" s="453"/>
      <c r="GH1181" s="454"/>
      <c r="GI1181" s="453"/>
      <c r="GJ1181" s="453"/>
      <c r="GK1181" s="453"/>
      <c r="GL1181" s="453"/>
      <c r="GM1181" s="453"/>
      <c r="GN1181" s="453"/>
      <c r="GO1181" s="453"/>
      <c r="GP1181" s="453"/>
      <c r="GQ1181" s="453"/>
      <c r="GR1181" s="453"/>
      <c r="GS1181" s="561"/>
      <c r="GT1181" s="475"/>
      <c r="GU1181" s="472"/>
      <c r="GV1181" s="453"/>
      <c r="GW1181" s="453"/>
      <c r="GX1181" s="869"/>
      <c r="GY1181" s="870"/>
      <c r="GZ1181" s="867"/>
      <c r="HA1181" s="868"/>
      <c r="HB1181" s="473"/>
      <c r="HC1181" s="869"/>
      <c r="HD1181" s="870"/>
      <c r="HE1181" s="867"/>
      <c r="HF1181" s="868"/>
      <c r="HG1181" s="473"/>
      <c r="HH1181" s="867"/>
      <c r="HI1181" s="868"/>
      <c r="HJ1181" s="867"/>
      <c r="HK1181" s="868"/>
      <c r="HL1181" s="370"/>
      <c r="HM1181" s="865"/>
      <c r="HN1181" s="866"/>
      <c r="HO1181" s="865"/>
      <c r="HP1181" s="866"/>
      <c r="HQ1181" s="865"/>
      <c r="HR1181" s="866"/>
      <c r="HS1181" s="867"/>
      <c r="HT1181" s="868"/>
      <c r="HU1181" s="489"/>
      <c r="HV1181" s="865"/>
      <c r="HW1181" s="866"/>
    </row>
    <row r="1182" spans="25:231" ht="15" customHeight="1">
      <c r="Y1182" s="332"/>
      <c r="Z1182" s="332"/>
      <c r="AA1182" s="332"/>
      <c r="AB1182" s="332"/>
      <c r="AC1182" s="332"/>
      <c r="AD1182" s="332"/>
      <c r="AE1182" s="332"/>
      <c r="AF1182" s="332"/>
      <c r="AG1182" s="332"/>
      <c r="AH1182" s="332"/>
      <c r="AI1182" s="332"/>
      <c r="AJ1182" s="332"/>
      <c r="AK1182" s="332"/>
      <c r="AL1182" s="332"/>
      <c r="AM1182" s="332"/>
      <c r="AN1182" s="332"/>
      <c r="AO1182" s="332"/>
      <c r="AP1182" s="332"/>
      <c r="AQ1182" s="332"/>
      <c r="AR1182" s="332"/>
      <c r="AS1182" s="332"/>
      <c r="AT1182" s="332"/>
      <c r="AU1182" s="332"/>
      <c r="AV1182" s="332"/>
      <c r="AW1182" s="332"/>
      <c r="AX1182" s="332"/>
      <c r="AY1182" s="332"/>
      <c r="AZ1182" s="332"/>
      <c r="BA1182" s="332"/>
      <c r="BB1182" s="332"/>
      <c r="BC1182" s="332"/>
      <c r="BD1182" s="332"/>
      <c r="BE1182" s="332"/>
      <c r="BF1182" s="332"/>
      <c r="BG1182" s="332"/>
      <c r="BH1182" s="332"/>
      <c r="BI1182" s="332"/>
      <c r="BJ1182" s="332"/>
      <c r="BK1182" s="332"/>
      <c r="BL1182" s="332"/>
      <c r="BM1182" s="332"/>
      <c r="BN1182" s="332"/>
      <c r="BO1182" s="332"/>
      <c r="BP1182" s="332"/>
      <c r="BQ1182" s="332"/>
      <c r="BR1182" s="332"/>
      <c r="BS1182" s="332"/>
      <c r="BT1182" s="332"/>
      <c r="BU1182" s="332"/>
      <c r="BV1182" s="332"/>
      <c r="BW1182" s="332"/>
      <c r="BX1182" s="332"/>
      <c r="BY1182" s="332"/>
      <c r="BZ1182" s="332"/>
      <c r="CA1182" s="332"/>
      <c r="CB1182" s="332"/>
      <c r="CC1182" s="332"/>
      <c r="CD1182" s="332"/>
      <c r="CE1182" s="332"/>
      <c r="CF1182" s="332"/>
      <c r="CG1182" s="332"/>
      <c r="CH1182" s="332"/>
      <c r="CI1182" s="332"/>
      <c r="CJ1182" s="332"/>
      <c r="CK1182" s="332"/>
      <c r="CL1182" s="332"/>
      <c r="CM1182" s="332"/>
      <c r="CN1182" s="332"/>
      <c r="CO1182" s="332"/>
      <c r="CP1182" s="332"/>
      <c r="CQ1182" s="332"/>
      <c r="CR1182" s="332"/>
      <c r="CS1182" s="332"/>
      <c r="CT1182" s="332"/>
      <c r="CU1182" s="332"/>
      <c r="CV1182" s="332"/>
      <c r="CW1182" s="332"/>
      <c r="CX1182" s="332"/>
      <c r="CY1182" s="332"/>
      <c r="CZ1182" s="332"/>
      <c r="DA1182" s="332"/>
      <c r="DB1182" s="332"/>
      <c r="DC1182" s="332"/>
      <c r="DD1182" s="332"/>
      <c r="DE1182" s="332"/>
      <c r="DF1182" s="332"/>
      <c r="DG1182" s="332"/>
      <c r="DH1182" s="332"/>
      <c r="DI1182" s="332"/>
      <c r="DJ1182" s="332"/>
      <c r="DK1182" s="332"/>
      <c r="DL1182" s="332"/>
      <c r="DM1182" s="332"/>
      <c r="DN1182" s="332"/>
      <c r="DO1182" s="332"/>
      <c r="DP1182" s="332"/>
      <c r="DQ1182" s="332"/>
      <c r="DR1182" s="332"/>
      <c r="DS1182" s="332"/>
      <c r="DT1182" s="332"/>
      <c r="DU1182" s="453"/>
      <c r="DV1182" s="453"/>
      <c r="DW1182" s="453"/>
      <c r="DX1182" s="453"/>
      <c r="DY1182" s="453"/>
      <c r="DZ1182" s="453"/>
      <c r="EA1182" s="453"/>
      <c r="EB1182" s="453"/>
      <c r="EC1182" s="453"/>
      <c r="ED1182" s="453"/>
      <c r="EE1182" s="453"/>
      <c r="EF1182" s="453"/>
      <c r="EG1182" s="453"/>
      <c r="EH1182" s="453"/>
      <c r="EI1182" s="453"/>
      <c r="EJ1182" s="453"/>
      <c r="EK1182" s="453"/>
      <c r="EL1182" s="453"/>
      <c r="EM1182" s="483">
        <f t="shared" si="254"/>
        <v>873</v>
      </c>
      <c r="EN1182" s="485"/>
      <c r="EO1182" s="458"/>
      <c r="EP1182" s="467"/>
      <c r="EQ1182" s="457"/>
      <c r="ER1182" s="808"/>
      <c r="ES1182" s="881">
        <f t="shared" si="255"/>
        <v>0</v>
      </c>
      <c r="ET1182" s="882"/>
      <c r="EU1182" s="883"/>
      <c r="EV1182" s="884">
        <f t="shared" si="256"/>
        <v>0</v>
      </c>
      <c r="EW1182" s="885"/>
      <c r="EX1182" s="885"/>
      <c r="EY1182" s="885"/>
      <c r="EZ1182" s="885"/>
      <c r="FA1182" s="885"/>
      <c r="FB1182" s="885"/>
      <c r="FC1182" s="885"/>
      <c r="FD1182" s="886"/>
      <c r="FE1182" s="878"/>
      <c r="FF1182" s="878"/>
      <c r="FG1182" s="878"/>
      <c r="FH1182" s="878"/>
      <c r="FI1182" s="878"/>
      <c r="FJ1182" s="878"/>
      <c r="FK1182" s="878"/>
      <c r="FL1182" s="555"/>
      <c r="FM1182" s="554"/>
      <c r="FN1182" s="554"/>
      <c r="FO1182" s="554"/>
      <c r="FP1182" s="554"/>
      <c r="FQ1182" s="554"/>
      <c r="FR1182" s="554"/>
      <c r="FS1182" s="554"/>
      <c r="FT1182" s="554"/>
      <c r="FU1182" s="554"/>
      <c r="FV1182" s="554"/>
      <c r="FW1182" s="554"/>
      <c r="FX1182" s="554"/>
      <c r="FY1182" s="554"/>
      <c r="FZ1182" s="554"/>
      <c r="GA1182" s="554"/>
      <c r="GB1182" s="556"/>
      <c r="GC1182" s="370"/>
      <c r="GD1182" s="453"/>
      <c r="GE1182" s="453"/>
      <c r="GF1182" s="453"/>
      <c r="GG1182" s="453"/>
      <c r="GH1182" s="454"/>
      <c r="GI1182" s="453"/>
      <c r="GJ1182" s="453"/>
      <c r="GK1182" s="453"/>
      <c r="GL1182" s="453"/>
      <c r="GM1182" s="453"/>
      <c r="GN1182" s="453"/>
      <c r="GO1182" s="453"/>
      <c r="GP1182" s="453"/>
      <c r="GQ1182" s="453"/>
      <c r="GR1182" s="453"/>
      <c r="GS1182" s="561"/>
      <c r="GT1182" s="475"/>
      <c r="GU1182" s="472"/>
      <c r="GV1182" s="453"/>
      <c r="GW1182" s="453"/>
      <c r="GX1182" s="869"/>
      <c r="GY1182" s="870"/>
      <c r="GZ1182" s="867"/>
      <c r="HA1182" s="868"/>
      <c r="HB1182" s="473"/>
      <c r="HC1182" s="869"/>
      <c r="HD1182" s="870"/>
      <c r="HE1182" s="867"/>
      <c r="HF1182" s="868"/>
      <c r="HG1182" s="473"/>
      <c r="HH1182" s="867"/>
      <c r="HI1182" s="868"/>
      <c r="HJ1182" s="867"/>
      <c r="HK1182" s="868"/>
      <c r="HL1182" s="370"/>
      <c r="HM1182" s="865"/>
      <c r="HN1182" s="866"/>
      <c r="HO1182" s="865"/>
      <c r="HP1182" s="866"/>
      <c r="HQ1182" s="865"/>
      <c r="HR1182" s="866"/>
      <c r="HS1182" s="867"/>
      <c r="HT1182" s="868"/>
      <c r="HU1182" s="489"/>
      <c r="HV1182" s="865"/>
      <c r="HW1182" s="866"/>
    </row>
    <row r="1183" spans="25:231" ht="15" customHeight="1">
      <c r="Y1183" s="332"/>
      <c r="Z1183" s="332"/>
      <c r="AA1183" s="332"/>
      <c r="AB1183" s="332"/>
      <c r="AC1183" s="332"/>
      <c r="AD1183" s="332"/>
      <c r="AE1183" s="332"/>
      <c r="AF1183" s="332"/>
      <c r="AG1183" s="332"/>
      <c r="AH1183" s="332"/>
      <c r="AI1183" s="332"/>
      <c r="AJ1183" s="332"/>
      <c r="AK1183" s="332"/>
      <c r="AL1183" s="332"/>
      <c r="AM1183" s="332"/>
      <c r="AN1183" s="332"/>
      <c r="AO1183" s="332"/>
      <c r="AP1183" s="332"/>
      <c r="AQ1183" s="332"/>
      <c r="AR1183" s="332"/>
      <c r="AS1183" s="332"/>
      <c r="AT1183" s="332"/>
      <c r="AU1183" s="332"/>
      <c r="AV1183" s="332"/>
      <c r="AW1183" s="332"/>
      <c r="AX1183" s="332"/>
      <c r="AY1183" s="332"/>
      <c r="AZ1183" s="332"/>
      <c r="BA1183" s="332"/>
      <c r="BB1183" s="332"/>
      <c r="BC1183" s="332"/>
      <c r="BD1183" s="332"/>
      <c r="BE1183" s="332"/>
      <c r="BF1183" s="332"/>
      <c r="BG1183" s="332"/>
      <c r="BH1183" s="332"/>
      <c r="BI1183" s="332"/>
      <c r="BJ1183" s="332"/>
      <c r="BK1183" s="332"/>
      <c r="BL1183" s="332"/>
      <c r="BM1183" s="332"/>
      <c r="BN1183" s="332"/>
      <c r="BO1183" s="332"/>
      <c r="BP1183" s="332"/>
      <c r="BQ1183" s="332"/>
      <c r="BR1183" s="332"/>
      <c r="BS1183" s="332"/>
      <c r="BT1183" s="332"/>
      <c r="BU1183" s="332"/>
      <c r="BV1183" s="332"/>
      <c r="BW1183" s="332"/>
      <c r="BX1183" s="332"/>
      <c r="BY1183" s="332"/>
      <c r="BZ1183" s="332"/>
      <c r="CA1183" s="332"/>
      <c r="CB1183" s="332"/>
      <c r="CC1183" s="332"/>
      <c r="CD1183" s="332"/>
      <c r="CE1183" s="332"/>
      <c r="CF1183" s="332"/>
      <c r="CG1183" s="332"/>
      <c r="CH1183" s="332"/>
      <c r="CI1183" s="332"/>
      <c r="CJ1183" s="332"/>
      <c r="CK1183" s="332"/>
      <c r="CL1183" s="332"/>
      <c r="CM1183" s="332"/>
      <c r="CN1183" s="332"/>
      <c r="CO1183" s="332"/>
      <c r="CP1183" s="332"/>
      <c r="CQ1183" s="332"/>
      <c r="CR1183" s="332"/>
      <c r="CS1183" s="332"/>
      <c r="CT1183" s="332"/>
      <c r="CU1183" s="332"/>
      <c r="CV1183" s="332"/>
      <c r="CW1183" s="332"/>
      <c r="CX1183" s="332"/>
      <c r="CY1183" s="332"/>
      <c r="CZ1183" s="332"/>
      <c r="DA1183" s="332"/>
      <c r="DB1183" s="332"/>
      <c r="DC1183" s="332"/>
      <c r="DD1183" s="332"/>
      <c r="DE1183" s="332"/>
      <c r="DF1183" s="332"/>
      <c r="DG1183" s="332"/>
      <c r="DH1183" s="332"/>
      <c r="DI1183" s="332"/>
      <c r="DJ1183" s="332"/>
      <c r="DK1183" s="332"/>
      <c r="DL1183" s="332"/>
      <c r="DM1183" s="332"/>
      <c r="DN1183" s="332"/>
      <c r="DO1183" s="332"/>
      <c r="DP1183" s="332"/>
      <c r="DQ1183" s="332"/>
      <c r="DR1183" s="332"/>
      <c r="DS1183" s="332"/>
      <c r="DT1183" s="332"/>
      <c r="DU1183" s="453"/>
      <c r="DV1183" s="453"/>
      <c r="DW1183" s="453"/>
      <c r="DX1183" s="453"/>
      <c r="DY1183" s="453"/>
      <c r="DZ1183" s="453"/>
      <c r="EA1183" s="453"/>
      <c r="EB1183" s="453"/>
      <c r="EC1183" s="453"/>
      <c r="ED1183" s="453"/>
      <c r="EE1183" s="453"/>
      <c r="EF1183" s="453"/>
      <c r="EG1183" s="453"/>
      <c r="EH1183" s="453"/>
      <c r="EI1183" s="453"/>
      <c r="EJ1183" s="453"/>
      <c r="EK1183" s="453"/>
      <c r="EL1183" s="453"/>
      <c r="EM1183" s="483">
        <f t="shared" si="254"/>
        <v>874</v>
      </c>
      <c r="EN1183" s="485"/>
      <c r="EO1183" s="458"/>
      <c r="EP1183" s="467"/>
      <c r="EQ1183" s="457"/>
      <c r="ER1183" s="808"/>
      <c r="ES1183" s="881">
        <f t="shared" si="255"/>
        <v>0</v>
      </c>
      <c r="ET1183" s="882"/>
      <c r="EU1183" s="883"/>
      <c r="EV1183" s="884">
        <f t="shared" si="256"/>
        <v>0</v>
      </c>
      <c r="EW1183" s="885"/>
      <c r="EX1183" s="885"/>
      <c r="EY1183" s="885"/>
      <c r="EZ1183" s="885"/>
      <c r="FA1183" s="885"/>
      <c r="FB1183" s="885"/>
      <c r="FC1183" s="885"/>
      <c r="FD1183" s="886"/>
      <c r="FE1183" s="878"/>
      <c r="FF1183" s="878"/>
      <c r="FG1183" s="878"/>
      <c r="FH1183" s="878"/>
      <c r="FI1183" s="878"/>
      <c r="FJ1183" s="878"/>
      <c r="FK1183" s="878"/>
      <c r="FL1183" s="555"/>
      <c r="FM1183" s="554"/>
      <c r="FN1183" s="554"/>
      <c r="FO1183" s="554"/>
      <c r="FP1183" s="554"/>
      <c r="FQ1183" s="554"/>
      <c r="FR1183" s="554"/>
      <c r="FS1183" s="554"/>
      <c r="FT1183" s="554"/>
      <c r="FU1183" s="554"/>
      <c r="FV1183" s="554"/>
      <c r="FW1183" s="554"/>
      <c r="FX1183" s="554"/>
      <c r="FY1183" s="554"/>
      <c r="FZ1183" s="554"/>
      <c r="GA1183" s="554"/>
      <c r="GB1183" s="556"/>
      <c r="GC1183" s="370"/>
      <c r="GD1183" s="453"/>
      <c r="GE1183" s="453"/>
      <c r="GF1183" s="453"/>
      <c r="GG1183" s="453"/>
      <c r="GH1183" s="454"/>
      <c r="GI1183" s="453"/>
      <c r="GJ1183" s="453"/>
      <c r="GK1183" s="453"/>
      <c r="GL1183" s="453"/>
      <c r="GM1183" s="453"/>
      <c r="GN1183" s="453"/>
      <c r="GO1183" s="453"/>
      <c r="GP1183" s="453"/>
      <c r="GQ1183" s="453"/>
      <c r="GR1183" s="453"/>
      <c r="GS1183" s="561"/>
      <c r="GT1183" s="475"/>
      <c r="GU1183" s="472"/>
      <c r="GV1183" s="453"/>
      <c r="GW1183" s="453"/>
      <c r="GX1183" s="869"/>
      <c r="GY1183" s="870"/>
      <c r="GZ1183" s="867"/>
      <c r="HA1183" s="868"/>
      <c r="HB1183" s="473"/>
      <c r="HC1183" s="869"/>
      <c r="HD1183" s="870"/>
      <c r="HE1183" s="867"/>
      <c r="HF1183" s="868"/>
      <c r="HG1183" s="473"/>
      <c r="HH1183" s="867"/>
      <c r="HI1183" s="868"/>
      <c r="HJ1183" s="867"/>
      <c r="HK1183" s="868"/>
      <c r="HL1183" s="370"/>
      <c r="HM1183" s="865"/>
      <c r="HN1183" s="866"/>
      <c r="HO1183" s="865"/>
      <c r="HP1183" s="866"/>
      <c r="HQ1183" s="865"/>
      <c r="HR1183" s="866"/>
      <c r="HS1183" s="867"/>
      <c r="HT1183" s="868"/>
      <c r="HU1183" s="489"/>
      <c r="HV1183" s="865"/>
      <c r="HW1183" s="866"/>
    </row>
    <row r="1184" spans="25:231" ht="15" customHeight="1">
      <c r="Y1184" s="332"/>
      <c r="Z1184" s="332"/>
      <c r="AA1184" s="332"/>
      <c r="AB1184" s="332"/>
      <c r="AC1184" s="332"/>
      <c r="AD1184" s="332"/>
      <c r="AE1184" s="332"/>
      <c r="AF1184" s="332"/>
      <c r="AG1184" s="332"/>
      <c r="AH1184" s="332"/>
      <c r="AI1184" s="332"/>
      <c r="AJ1184" s="332"/>
      <c r="AK1184" s="332"/>
      <c r="AL1184" s="332"/>
      <c r="AM1184" s="332"/>
      <c r="AN1184" s="332"/>
      <c r="AO1184" s="332"/>
      <c r="AP1184" s="332"/>
      <c r="AQ1184" s="332"/>
      <c r="AR1184" s="332"/>
      <c r="AS1184" s="332"/>
      <c r="AT1184" s="332"/>
      <c r="AU1184" s="332"/>
      <c r="AV1184" s="332"/>
      <c r="AW1184" s="332"/>
      <c r="AX1184" s="332"/>
      <c r="AY1184" s="332"/>
      <c r="AZ1184" s="332"/>
      <c r="BA1184" s="332"/>
      <c r="BB1184" s="332"/>
      <c r="BC1184" s="332"/>
      <c r="BD1184" s="332"/>
      <c r="BE1184" s="332"/>
      <c r="BF1184" s="332"/>
      <c r="BG1184" s="332"/>
      <c r="BH1184" s="332"/>
      <c r="BI1184" s="332"/>
      <c r="BJ1184" s="332"/>
      <c r="BK1184" s="332"/>
      <c r="BL1184" s="332"/>
      <c r="BM1184" s="332"/>
      <c r="BN1184" s="332"/>
      <c r="BO1184" s="332"/>
      <c r="BP1184" s="332"/>
      <c r="BQ1184" s="332"/>
      <c r="BR1184" s="332"/>
      <c r="BS1184" s="332"/>
      <c r="BT1184" s="332"/>
      <c r="BU1184" s="332"/>
      <c r="BV1184" s="332"/>
      <c r="BW1184" s="332"/>
      <c r="BX1184" s="332"/>
      <c r="BY1184" s="332"/>
      <c r="BZ1184" s="332"/>
      <c r="CA1184" s="332"/>
      <c r="CB1184" s="332"/>
      <c r="CC1184" s="332"/>
      <c r="CD1184" s="332"/>
      <c r="CE1184" s="332"/>
      <c r="CF1184" s="332"/>
      <c r="CG1184" s="332"/>
      <c r="CH1184" s="332"/>
      <c r="CI1184" s="332"/>
      <c r="CJ1184" s="332"/>
      <c r="CK1184" s="332"/>
      <c r="CL1184" s="332"/>
      <c r="CM1184" s="332"/>
      <c r="CN1184" s="332"/>
      <c r="CO1184" s="332"/>
      <c r="CP1184" s="332"/>
      <c r="CQ1184" s="332"/>
      <c r="CR1184" s="332"/>
      <c r="CS1184" s="332"/>
      <c r="CT1184" s="332"/>
      <c r="CU1184" s="332"/>
      <c r="CV1184" s="332"/>
      <c r="CW1184" s="332"/>
      <c r="CX1184" s="332"/>
      <c r="CY1184" s="332"/>
      <c r="CZ1184" s="332"/>
      <c r="DA1184" s="332"/>
      <c r="DB1184" s="332"/>
      <c r="DC1184" s="332"/>
      <c r="DD1184" s="332"/>
      <c r="DE1184" s="332"/>
      <c r="DF1184" s="332"/>
      <c r="DG1184" s="332"/>
      <c r="DH1184" s="332"/>
      <c r="DI1184" s="332"/>
      <c r="DJ1184" s="332"/>
      <c r="DK1184" s="332"/>
      <c r="DL1184" s="332"/>
      <c r="DM1184" s="332"/>
      <c r="DN1184" s="332"/>
      <c r="DO1184" s="332"/>
      <c r="DP1184" s="332"/>
      <c r="DQ1184" s="332"/>
      <c r="DR1184" s="332"/>
      <c r="DS1184" s="332"/>
      <c r="DT1184" s="332"/>
      <c r="DU1184" s="453"/>
      <c r="DV1184" s="453"/>
      <c r="DW1184" s="453"/>
      <c r="DX1184" s="453"/>
      <c r="DY1184" s="453"/>
      <c r="DZ1184" s="453"/>
      <c r="EA1184" s="453"/>
      <c r="EB1184" s="453"/>
      <c r="EC1184" s="453"/>
      <c r="ED1184" s="453"/>
      <c r="EE1184" s="453"/>
      <c r="EF1184" s="453"/>
      <c r="EG1184" s="453"/>
      <c r="EH1184" s="453"/>
      <c r="EI1184" s="453"/>
      <c r="EJ1184" s="453"/>
      <c r="EK1184" s="453"/>
      <c r="EL1184" s="453"/>
      <c r="EM1184" s="483">
        <f t="shared" si="254"/>
        <v>875</v>
      </c>
      <c r="EN1184" s="485"/>
      <c r="EO1184" s="458"/>
      <c r="EP1184" s="467"/>
      <c r="EQ1184" s="457"/>
      <c r="ER1184" s="808"/>
      <c r="ES1184" s="881">
        <f t="shared" si="255"/>
        <v>0</v>
      </c>
      <c r="ET1184" s="882"/>
      <c r="EU1184" s="883"/>
      <c r="EV1184" s="884">
        <f t="shared" si="256"/>
        <v>0</v>
      </c>
      <c r="EW1184" s="885"/>
      <c r="EX1184" s="885"/>
      <c r="EY1184" s="885"/>
      <c r="EZ1184" s="885"/>
      <c r="FA1184" s="885"/>
      <c r="FB1184" s="885"/>
      <c r="FC1184" s="885"/>
      <c r="FD1184" s="886"/>
      <c r="FE1184" s="878"/>
      <c r="FF1184" s="878"/>
      <c r="FG1184" s="878"/>
      <c r="FH1184" s="878"/>
      <c r="FI1184" s="878"/>
      <c r="FJ1184" s="878"/>
      <c r="FK1184" s="878"/>
      <c r="FL1184" s="555"/>
      <c r="FM1184" s="554"/>
      <c r="FN1184" s="554"/>
      <c r="FO1184" s="554"/>
      <c r="FP1184" s="554"/>
      <c r="FQ1184" s="554"/>
      <c r="FR1184" s="554"/>
      <c r="FS1184" s="554"/>
      <c r="FT1184" s="554"/>
      <c r="FU1184" s="554"/>
      <c r="FV1184" s="554"/>
      <c r="FW1184" s="554"/>
      <c r="FX1184" s="554"/>
      <c r="FY1184" s="554"/>
      <c r="FZ1184" s="554"/>
      <c r="GA1184" s="554"/>
      <c r="GB1184" s="556"/>
      <c r="GC1184" s="370"/>
      <c r="GD1184" s="453"/>
      <c r="GE1184" s="453"/>
      <c r="GF1184" s="453"/>
      <c r="GG1184" s="453"/>
      <c r="GH1184" s="454"/>
      <c r="GI1184" s="453"/>
      <c r="GJ1184" s="453"/>
      <c r="GK1184" s="453"/>
      <c r="GL1184" s="453"/>
      <c r="GM1184" s="453"/>
      <c r="GN1184" s="453"/>
      <c r="GO1184" s="453"/>
      <c r="GP1184" s="453"/>
      <c r="GQ1184" s="453"/>
      <c r="GR1184" s="453"/>
      <c r="GS1184" s="561"/>
      <c r="GT1184" s="475"/>
      <c r="GU1184" s="472"/>
      <c r="GV1184" s="453"/>
      <c r="GW1184" s="453"/>
      <c r="GX1184" s="869"/>
      <c r="GY1184" s="870"/>
      <c r="GZ1184" s="867"/>
      <c r="HA1184" s="868"/>
      <c r="HB1184" s="473"/>
      <c r="HC1184" s="869"/>
      <c r="HD1184" s="870"/>
      <c r="HE1184" s="867"/>
      <c r="HF1184" s="868"/>
      <c r="HG1184" s="473"/>
      <c r="HH1184" s="867"/>
      <c r="HI1184" s="868"/>
      <c r="HJ1184" s="867"/>
      <c r="HK1184" s="868"/>
      <c r="HL1184" s="370"/>
      <c r="HM1184" s="865"/>
      <c r="HN1184" s="866"/>
      <c r="HO1184" s="865"/>
      <c r="HP1184" s="866"/>
      <c r="HQ1184" s="865"/>
      <c r="HR1184" s="866"/>
      <c r="HS1184" s="867"/>
      <c r="HT1184" s="868"/>
      <c r="HU1184" s="489"/>
      <c r="HV1184" s="865"/>
      <c r="HW1184" s="866"/>
    </row>
    <row r="1185" spans="25:231" ht="15" customHeight="1">
      <c r="Y1185" s="332"/>
      <c r="Z1185" s="332"/>
      <c r="AA1185" s="332"/>
      <c r="AB1185" s="332"/>
      <c r="AC1185" s="332"/>
      <c r="AD1185" s="332"/>
      <c r="AE1185" s="332"/>
      <c r="AF1185" s="332"/>
      <c r="AG1185" s="332"/>
      <c r="AH1185" s="332"/>
      <c r="AI1185" s="332"/>
      <c r="AJ1185" s="332"/>
      <c r="AK1185" s="332"/>
      <c r="AL1185" s="332"/>
      <c r="AM1185" s="332"/>
      <c r="AN1185" s="332"/>
      <c r="AO1185" s="332"/>
      <c r="AP1185" s="332"/>
      <c r="AQ1185" s="332"/>
      <c r="AR1185" s="332"/>
      <c r="AS1185" s="332"/>
      <c r="AT1185" s="332"/>
      <c r="AU1185" s="332"/>
      <c r="AV1185" s="332"/>
      <c r="AW1185" s="332"/>
      <c r="AX1185" s="332"/>
      <c r="AY1185" s="332"/>
      <c r="AZ1185" s="332"/>
      <c r="BA1185" s="332"/>
      <c r="BB1185" s="332"/>
      <c r="BC1185" s="332"/>
      <c r="BD1185" s="332"/>
      <c r="BE1185" s="332"/>
      <c r="BF1185" s="332"/>
      <c r="BG1185" s="332"/>
      <c r="BH1185" s="332"/>
      <c r="BI1185" s="332"/>
      <c r="BJ1185" s="332"/>
      <c r="BK1185" s="332"/>
      <c r="BL1185" s="332"/>
      <c r="BM1185" s="332"/>
      <c r="BN1185" s="332"/>
      <c r="BO1185" s="332"/>
      <c r="BP1185" s="332"/>
      <c r="BQ1185" s="332"/>
      <c r="BR1185" s="332"/>
      <c r="BS1185" s="332"/>
      <c r="BT1185" s="332"/>
      <c r="BU1185" s="332"/>
      <c r="BV1185" s="332"/>
      <c r="BW1185" s="332"/>
      <c r="BX1185" s="332"/>
      <c r="BY1185" s="332"/>
      <c r="BZ1185" s="332"/>
      <c r="CA1185" s="332"/>
      <c r="CB1185" s="332"/>
      <c r="CC1185" s="332"/>
      <c r="CD1185" s="332"/>
      <c r="CE1185" s="332"/>
      <c r="CF1185" s="332"/>
      <c r="CG1185" s="332"/>
      <c r="CH1185" s="332"/>
      <c r="CI1185" s="332"/>
      <c r="CJ1185" s="332"/>
      <c r="CK1185" s="332"/>
      <c r="CL1185" s="332"/>
      <c r="CM1185" s="332"/>
      <c r="CN1185" s="332"/>
      <c r="CO1185" s="332"/>
      <c r="CP1185" s="332"/>
      <c r="CQ1185" s="332"/>
      <c r="CR1185" s="332"/>
      <c r="CS1185" s="332"/>
      <c r="CT1185" s="332"/>
      <c r="CU1185" s="332"/>
      <c r="CV1185" s="332"/>
      <c r="CW1185" s="332"/>
      <c r="CX1185" s="332"/>
      <c r="CY1185" s="332"/>
      <c r="CZ1185" s="332"/>
      <c r="DA1185" s="332"/>
      <c r="DB1185" s="332"/>
      <c r="DC1185" s="332"/>
      <c r="DD1185" s="332"/>
      <c r="DE1185" s="332"/>
      <c r="DF1185" s="332"/>
      <c r="DG1185" s="332"/>
      <c r="DH1185" s="332"/>
      <c r="DI1185" s="332"/>
      <c r="DJ1185" s="332"/>
      <c r="DK1185" s="332"/>
      <c r="DL1185" s="332"/>
      <c r="DM1185" s="332"/>
      <c r="DN1185" s="332"/>
      <c r="DO1185" s="332"/>
      <c r="DP1185" s="332"/>
      <c r="DQ1185" s="332"/>
      <c r="DR1185" s="332"/>
      <c r="DS1185" s="332"/>
      <c r="DT1185" s="332"/>
      <c r="DU1185" s="453"/>
      <c r="DV1185" s="453"/>
      <c r="DW1185" s="453"/>
      <c r="DX1185" s="453"/>
      <c r="DY1185" s="453"/>
      <c r="DZ1185" s="453"/>
      <c r="EA1185" s="453"/>
      <c r="EB1185" s="453"/>
      <c r="EC1185" s="453"/>
      <c r="ED1185" s="453"/>
      <c r="EE1185" s="453"/>
      <c r="EF1185" s="453"/>
      <c r="EG1185" s="453"/>
      <c r="EH1185" s="453"/>
      <c r="EI1185" s="453"/>
      <c r="EJ1185" s="453"/>
      <c r="EK1185" s="453"/>
      <c r="EL1185" s="453"/>
      <c r="EM1185" s="483">
        <f t="shared" si="254"/>
        <v>876</v>
      </c>
      <c r="EN1185" s="485"/>
      <c r="EO1185" s="458"/>
      <c r="EP1185" s="467"/>
      <c r="EQ1185" s="457"/>
      <c r="ER1185" s="808"/>
      <c r="ES1185" s="881">
        <f t="shared" si="255"/>
        <v>0</v>
      </c>
      <c r="ET1185" s="882"/>
      <c r="EU1185" s="883"/>
      <c r="EV1185" s="884">
        <f t="shared" si="256"/>
        <v>0</v>
      </c>
      <c r="EW1185" s="885"/>
      <c r="EX1185" s="885"/>
      <c r="EY1185" s="885"/>
      <c r="EZ1185" s="885"/>
      <c r="FA1185" s="885"/>
      <c r="FB1185" s="885"/>
      <c r="FC1185" s="885"/>
      <c r="FD1185" s="886"/>
      <c r="FE1185" s="878"/>
      <c r="FF1185" s="878"/>
      <c r="FG1185" s="878"/>
      <c r="FH1185" s="878"/>
      <c r="FI1185" s="878"/>
      <c r="FJ1185" s="878"/>
      <c r="FK1185" s="878"/>
      <c r="FL1185" s="555"/>
      <c r="FM1185" s="554"/>
      <c r="FN1185" s="554"/>
      <c r="FO1185" s="554"/>
      <c r="FP1185" s="554"/>
      <c r="FQ1185" s="554"/>
      <c r="FR1185" s="554"/>
      <c r="FS1185" s="554"/>
      <c r="FT1185" s="554"/>
      <c r="FU1185" s="554"/>
      <c r="FV1185" s="554"/>
      <c r="FW1185" s="554"/>
      <c r="FX1185" s="554"/>
      <c r="FY1185" s="554"/>
      <c r="FZ1185" s="554"/>
      <c r="GA1185" s="554"/>
      <c r="GB1185" s="556"/>
      <c r="GC1185" s="370"/>
      <c r="GD1185" s="453"/>
      <c r="GE1185" s="453"/>
      <c r="GF1185" s="453"/>
      <c r="GG1185" s="453"/>
      <c r="GH1185" s="454"/>
      <c r="GI1185" s="453"/>
      <c r="GJ1185" s="453"/>
      <c r="GK1185" s="453"/>
      <c r="GL1185" s="453"/>
      <c r="GM1185" s="453"/>
      <c r="GN1185" s="453"/>
      <c r="GO1185" s="453"/>
      <c r="GP1185" s="453"/>
      <c r="GQ1185" s="453"/>
      <c r="GR1185" s="453"/>
      <c r="GS1185" s="561"/>
      <c r="GT1185" s="475"/>
      <c r="GU1185" s="472"/>
      <c r="GV1185" s="453"/>
      <c r="GW1185" s="453"/>
      <c r="GX1185" s="869"/>
      <c r="GY1185" s="870"/>
      <c r="GZ1185" s="867"/>
      <c r="HA1185" s="868"/>
      <c r="HB1185" s="473"/>
      <c r="HC1185" s="869"/>
      <c r="HD1185" s="870"/>
      <c r="HE1185" s="867"/>
      <c r="HF1185" s="868"/>
      <c r="HG1185" s="473"/>
      <c r="HH1185" s="867"/>
      <c r="HI1185" s="868"/>
      <c r="HJ1185" s="867"/>
      <c r="HK1185" s="868"/>
      <c r="HL1185" s="370"/>
      <c r="HM1185" s="865"/>
      <c r="HN1185" s="866"/>
      <c r="HO1185" s="865"/>
      <c r="HP1185" s="866"/>
      <c r="HQ1185" s="865"/>
      <c r="HR1185" s="866"/>
      <c r="HS1185" s="867"/>
      <c r="HT1185" s="868"/>
      <c r="HU1185" s="489"/>
      <c r="HV1185" s="865"/>
      <c r="HW1185" s="866"/>
    </row>
    <row r="1186" spans="25:231" ht="15" customHeight="1">
      <c r="Y1186" s="332"/>
      <c r="Z1186" s="332"/>
      <c r="AA1186" s="332"/>
      <c r="AB1186" s="332"/>
      <c r="AC1186" s="332"/>
      <c r="AD1186" s="332"/>
      <c r="AE1186" s="332"/>
      <c r="AF1186" s="332"/>
      <c r="AG1186" s="332"/>
      <c r="AH1186" s="332"/>
      <c r="AI1186" s="332"/>
      <c r="AJ1186" s="332"/>
      <c r="AK1186" s="332"/>
      <c r="AL1186" s="332"/>
      <c r="AM1186" s="332"/>
      <c r="AN1186" s="332"/>
      <c r="AO1186" s="332"/>
      <c r="AP1186" s="332"/>
      <c r="AQ1186" s="332"/>
      <c r="AR1186" s="332"/>
      <c r="AS1186" s="332"/>
      <c r="AT1186" s="332"/>
      <c r="AU1186" s="332"/>
      <c r="AV1186" s="332"/>
      <c r="AW1186" s="332"/>
      <c r="AX1186" s="332"/>
      <c r="AY1186" s="332"/>
      <c r="AZ1186" s="332"/>
      <c r="BA1186" s="332"/>
      <c r="BB1186" s="332"/>
      <c r="BC1186" s="332"/>
      <c r="BD1186" s="332"/>
      <c r="BE1186" s="332"/>
      <c r="BF1186" s="332"/>
      <c r="BG1186" s="332"/>
      <c r="BH1186" s="332"/>
      <c r="BI1186" s="332"/>
      <c r="BJ1186" s="332"/>
      <c r="BK1186" s="332"/>
      <c r="BL1186" s="332"/>
      <c r="BM1186" s="332"/>
      <c r="BN1186" s="332"/>
      <c r="BO1186" s="332"/>
      <c r="BP1186" s="332"/>
      <c r="BQ1186" s="332"/>
      <c r="BR1186" s="332"/>
      <c r="BS1186" s="332"/>
      <c r="BT1186" s="332"/>
      <c r="BU1186" s="332"/>
      <c r="BV1186" s="332"/>
      <c r="BW1186" s="332"/>
      <c r="BX1186" s="332"/>
      <c r="BY1186" s="332"/>
      <c r="BZ1186" s="332"/>
      <c r="CA1186" s="332"/>
      <c r="CB1186" s="332"/>
      <c r="CC1186" s="332"/>
      <c r="CD1186" s="332"/>
      <c r="CE1186" s="332"/>
      <c r="CF1186" s="332"/>
      <c r="CG1186" s="332"/>
      <c r="CH1186" s="332"/>
      <c r="CI1186" s="332"/>
      <c r="CJ1186" s="332"/>
      <c r="CK1186" s="332"/>
      <c r="CL1186" s="332"/>
      <c r="CM1186" s="332"/>
      <c r="CN1186" s="332"/>
      <c r="CO1186" s="332"/>
      <c r="CP1186" s="332"/>
      <c r="CQ1186" s="332"/>
      <c r="CR1186" s="332"/>
      <c r="CS1186" s="332"/>
      <c r="CT1186" s="332"/>
      <c r="CU1186" s="332"/>
      <c r="CV1186" s="332"/>
      <c r="CW1186" s="332"/>
      <c r="CX1186" s="332"/>
      <c r="CY1186" s="332"/>
      <c r="CZ1186" s="332"/>
      <c r="DA1186" s="332"/>
      <c r="DB1186" s="332"/>
      <c r="DC1186" s="332"/>
      <c r="DD1186" s="332"/>
      <c r="DE1186" s="332"/>
      <c r="DF1186" s="332"/>
      <c r="DG1186" s="332"/>
      <c r="DH1186" s="332"/>
      <c r="DI1186" s="332"/>
      <c r="DJ1186" s="332"/>
      <c r="DK1186" s="332"/>
      <c r="DL1186" s="332"/>
      <c r="DM1186" s="332"/>
      <c r="DN1186" s="332"/>
      <c r="DO1186" s="332"/>
      <c r="DP1186" s="332"/>
      <c r="DQ1186" s="332"/>
      <c r="DR1186" s="332"/>
      <c r="DS1186" s="332"/>
      <c r="DT1186" s="332"/>
      <c r="DU1186" s="453"/>
      <c r="DV1186" s="453"/>
      <c r="DW1186" s="453"/>
      <c r="DX1186" s="453"/>
      <c r="DY1186" s="453"/>
      <c r="DZ1186" s="453"/>
      <c r="EA1186" s="453"/>
      <c r="EB1186" s="453"/>
      <c r="EC1186" s="453"/>
      <c r="ED1186" s="453"/>
      <c r="EE1186" s="453"/>
      <c r="EF1186" s="453"/>
      <c r="EG1186" s="453"/>
      <c r="EH1186" s="453"/>
      <c r="EI1186" s="453"/>
      <c r="EJ1186" s="453"/>
      <c r="EK1186" s="453"/>
      <c r="EL1186" s="453"/>
      <c r="EM1186" s="483">
        <f t="shared" si="254"/>
        <v>877</v>
      </c>
      <c r="EN1186" s="485"/>
      <c r="EO1186" s="458"/>
      <c r="EP1186" s="467"/>
      <c r="EQ1186" s="457"/>
      <c r="ER1186" s="808"/>
      <c r="ES1186" s="881">
        <f t="shared" si="255"/>
        <v>0</v>
      </c>
      <c r="ET1186" s="882"/>
      <c r="EU1186" s="883"/>
      <c r="EV1186" s="884">
        <f t="shared" si="256"/>
        <v>0</v>
      </c>
      <c r="EW1186" s="885"/>
      <c r="EX1186" s="885"/>
      <c r="EY1186" s="885"/>
      <c r="EZ1186" s="885"/>
      <c r="FA1186" s="885"/>
      <c r="FB1186" s="885"/>
      <c r="FC1186" s="885"/>
      <c r="FD1186" s="886"/>
      <c r="FE1186" s="878"/>
      <c r="FF1186" s="878"/>
      <c r="FG1186" s="878"/>
      <c r="FH1186" s="878"/>
      <c r="FI1186" s="878"/>
      <c r="FJ1186" s="878"/>
      <c r="FK1186" s="878"/>
      <c r="FL1186" s="555"/>
      <c r="FM1186" s="554"/>
      <c r="FN1186" s="554"/>
      <c r="FO1186" s="554"/>
      <c r="FP1186" s="554"/>
      <c r="FQ1186" s="554"/>
      <c r="FR1186" s="554"/>
      <c r="FS1186" s="554"/>
      <c r="FT1186" s="554"/>
      <c r="FU1186" s="554"/>
      <c r="FV1186" s="554"/>
      <c r="FW1186" s="554"/>
      <c r="FX1186" s="554"/>
      <c r="FY1186" s="554"/>
      <c r="FZ1186" s="554"/>
      <c r="GA1186" s="554"/>
      <c r="GB1186" s="556"/>
      <c r="GC1186" s="370"/>
      <c r="GD1186" s="453"/>
      <c r="GE1186" s="453"/>
      <c r="GF1186" s="453"/>
      <c r="GG1186" s="453"/>
      <c r="GH1186" s="454"/>
      <c r="GI1186" s="453"/>
      <c r="GJ1186" s="453"/>
      <c r="GK1186" s="453"/>
      <c r="GL1186" s="453"/>
      <c r="GM1186" s="453"/>
      <c r="GN1186" s="453"/>
      <c r="GO1186" s="453"/>
      <c r="GP1186" s="453"/>
      <c r="GQ1186" s="453"/>
      <c r="GR1186" s="453"/>
      <c r="GS1186" s="561"/>
      <c r="GT1186" s="475"/>
      <c r="GU1186" s="472"/>
      <c r="GV1186" s="453"/>
      <c r="GW1186" s="453"/>
      <c r="GX1186" s="869"/>
      <c r="GY1186" s="870"/>
      <c r="GZ1186" s="867"/>
      <c r="HA1186" s="868"/>
      <c r="HB1186" s="473"/>
      <c r="HC1186" s="869"/>
      <c r="HD1186" s="870"/>
      <c r="HE1186" s="867"/>
      <c r="HF1186" s="868"/>
      <c r="HG1186" s="473"/>
      <c r="HH1186" s="867"/>
      <c r="HI1186" s="868"/>
      <c r="HJ1186" s="867"/>
      <c r="HK1186" s="868"/>
      <c r="HL1186" s="370"/>
      <c r="HM1186" s="865"/>
      <c r="HN1186" s="866"/>
      <c r="HO1186" s="865"/>
      <c r="HP1186" s="866"/>
      <c r="HQ1186" s="865"/>
      <c r="HR1186" s="866"/>
      <c r="HS1186" s="867"/>
      <c r="HT1186" s="868"/>
      <c r="HU1186" s="489"/>
      <c r="HV1186" s="865"/>
      <c r="HW1186" s="866"/>
    </row>
    <row r="1187" spans="25:231" ht="15" customHeight="1">
      <c r="Y1187" s="332"/>
      <c r="Z1187" s="332"/>
      <c r="AA1187" s="332"/>
      <c r="AB1187" s="332"/>
      <c r="AC1187" s="332"/>
      <c r="AD1187" s="332"/>
      <c r="AE1187" s="332"/>
      <c r="AF1187" s="332"/>
      <c r="AG1187" s="332"/>
      <c r="AH1187" s="332"/>
      <c r="AI1187" s="332"/>
      <c r="AJ1187" s="332"/>
      <c r="AK1187" s="332"/>
      <c r="AL1187" s="332"/>
      <c r="AM1187" s="332"/>
      <c r="AN1187" s="332"/>
      <c r="AO1187" s="332"/>
      <c r="AP1187" s="332"/>
      <c r="AQ1187" s="332"/>
      <c r="AR1187" s="332"/>
      <c r="AS1187" s="332"/>
      <c r="AT1187" s="332"/>
      <c r="AU1187" s="332"/>
      <c r="AV1187" s="332"/>
      <c r="AW1187" s="332"/>
      <c r="AX1187" s="332"/>
      <c r="AY1187" s="332"/>
      <c r="AZ1187" s="332"/>
      <c r="BA1187" s="332"/>
      <c r="BB1187" s="332"/>
      <c r="BC1187" s="332"/>
      <c r="BD1187" s="332"/>
      <c r="BE1187" s="332"/>
      <c r="BF1187" s="332"/>
      <c r="BG1187" s="332"/>
      <c r="BH1187" s="332"/>
      <c r="BI1187" s="332"/>
      <c r="BJ1187" s="332"/>
      <c r="BK1187" s="332"/>
      <c r="BL1187" s="332"/>
      <c r="BM1187" s="332"/>
      <c r="BN1187" s="332"/>
      <c r="BO1187" s="332"/>
      <c r="BP1187" s="332"/>
      <c r="BQ1187" s="332"/>
      <c r="BR1187" s="332"/>
      <c r="BS1187" s="332"/>
      <c r="BT1187" s="332"/>
      <c r="BU1187" s="332"/>
      <c r="BV1187" s="332"/>
      <c r="BW1187" s="332"/>
      <c r="BX1187" s="332"/>
      <c r="BY1187" s="332"/>
      <c r="BZ1187" s="332"/>
      <c r="CA1187" s="332"/>
      <c r="CB1187" s="332"/>
      <c r="CC1187" s="332"/>
      <c r="CD1187" s="332"/>
      <c r="CE1187" s="332"/>
      <c r="CF1187" s="332"/>
      <c r="CG1187" s="332"/>
      <c r="CH1187" s="332"/>
      <c r="CI1187" s="332"/>
      <c r="CJ1187" s="332"/>
      <c r="CK1187" s="332"/>
      <c r="CL1187" s="332"/>
      <c r="CM1187" s="332"/>
      <c r="CN1187" s="332"/>
      <c r="CO1187" s="332"/>
      <c r="CP1187" s="332"/>
      <c r="CQ1187" s="332"/>
      <c r="CR1187" s="332"/>
      <c r="CS1187" s="332"/>
      <c r="CT1187" s="332"/>
      <c r="CU1187" s="332"/>
      <c r="CV1187" s="332"/>
      <c r="CW1187" s="332"/>
      <c r="CX1187" s="332"/>
      <c r="CY1187" s="332"/>
      <c r="CZ1187" s="332"/>
      <c r="DA1187" s="332"/>
      <c r="DB1187" s="332"/>
      <c r="DC1187" s="332"/>
      <c r="DD1187" s="332"/>
      <c r="DE1187" s="332"/>
      <c r="DF1187" s="332"/>
      <c r="DG1187" s="332"/>
      <c r="DH1187" s="332"/>
      <c r="DI1187" s="332"/>
      <c r="DJ1187" s="332"/>
      <c r="DK1187" s="332"/>
      <c r="DL1187" s="332"/>
      <c r="DM1187" s="332"/>
      <c r="DN1187" s="332"/>
      <c r="DO1187" s="332"/>
      <c r="DP1187" s="332"/>
      <c r="DQ1187" s="332"/>
      <c r="DR1187" s="332"/>
      <c r="DS1187" s="332"/>
      <c r="DT1187" s="332"/>
      <c r="DU1187" s="453"/>
      <c r="DV1187" s="453"/>
      <c r="DW1187" s="453"/>
      <c r="DX1187" s="453"/>
      <c r="DY1187" s="453"/>
      <c r="DZ1187" s="453"/>
      <c r="EA1187" s="453"/>
      <c r="EB1187" s="453"/>
      <c r="EC1187" s="453"/>
      <c r="ED1187" s="453"/>
      <c r="EE1187" s="453"/>
      <c r="EF1187" s="453"/>
      <c r="EG1187" s="453"/>
      <c r="EH1187" s="453"/>
      <c r="EI1187" s="453"/>
      <c r="EJ1187" s="453"/>
      <c r="EK1187" s="453"/>
      <c r="EL1187" s="453"/>
      <c r="EM1187" s="483">
        <f t="shared" si="254"/>
        <v>878</v>
      </c>
      <c r="EN1187" s="485"/>
      <c r="EO1187" s="458"/>
      <c r="EP1187" s="467"/>
      <c r="EQ1187" s="457"/>
      <c r="ER1187" s="808"/>
      <c r="ES1187" s="881">
        <f t="shared" si="255"/>
        <v>0</v>
      </c>
      <c r="ET1187" s="882"/>
      <c r="EU1187" s="883"/>
      <c r="EV1187" s="884">
        <f t="shared" si="256"/>
        <v>0</v>
      </c>
      <c r="EW1187" s="885"/>
      <c r="EX1187" s="885"/>
      <c r="EY1187" s="885"/>
      <c r="EZ1187" s="885"/>
      <c r="FA1187" s="885"/>
      <c r="FB1187" s="885"/>
      <c r="FC1187" s="885"/>
      <c r="FD1187" s="886"/>
      <c r="FE1187" s="878"/>
      <c r="FF1187" s="878"/>
      <c r="FG1187" s="878"/>
      <c r="FH1187" s="878"/>
      <c r="FI1187" s="878"/>
      <c r="FJ1187" s="878"/>
      <c r="FK1187" s="878"/>
      <c r="FL1187" s="555"/>
      <c r="FM1187" s="554"/>
      <c r="FN1187" s="554"/>
      <c r="FO1187" s="554"/>
      <c r="FP1187" s="554"/>
      <c r="FQ1187" s="554"/>
      <c r="FR1187" s="554"/>
      <c r="FS1187" s="554"/>
      <c r="FT1187" s="554"/>
      <c r="FU1187" s="554"/>
      <c r="FV1187" s="554"/>
      <c r="FW1187" s="554"/>
      <c r="FX1187" s="554"/>
      <c r="FY1187" s="554"/>
      <c r="FZ1187" s="554"/>
      <c r="GA1187" s="554"/>
      <c r="GB1187" s="556"/>
      <c r="GC1187" s="370"/>
      <c r="GD1187" s="453"/>
      <c r="GE1187" s="453"/>
      <c r="GF1187" s="453"/>
      <c r="GG1187" s="453"/>
      <c r="GH1187" s="454"/>
      <c r="GI1187" s="453"/>
      <c r="GJ1187" s="453"/>
      <c r="GK1187" s="453"/>
      <c r="GL1187" s="453"/>
      <c r="GM1187" s="453"/>
      <c r="GN1187" s="453"/>
      <c r="GO1187" s="453"/>
      <c r="GP1187" s="453"/>
      <c r="GQ1187" s="453"/>
      <c r="GR1187" s="453"/>
      <c r="GS1187" s="561"/>
      <c r="GT1187" s="475"/>
      <c r="GU1187" s="472"/>
      <c r="GV1187" s="453"/>
      <c r="GW1187" s="453"/>
      <c r="GX1187" s="869"/>
      <c r="GY1187" s="870"/>
      <c r="GZ1187" s="867"/>
      <c r="HA1187" s="868"/>
      <c r="HB1187" s="473"/>
      <c r="HC1187" s="869"/>
      <c r="HD1187" s="870"/>
      <c r="HE1187" s="867"/>
      <c r="HF1187" s="868"/>
      <c r="HG1187" s="473"/>
      <c r="HH1187" s="867"/>
      <c r="HI1187" s="868"/>
      <c r="HJ1187" s="867"/>
      <c r="HK1187" s="868"/>
      <c r="HL1187" s="370"/>
      <c r="HM1187" s="865"/>
      <c r="HN1187" s="866"/>
      <c r="HO1187" s="865"/>
      <c r="HP1187" s="866"/>
      <c r="HQ1187" s="865"/>
      <c r="HR1187" s="866"/>
      <c r="HS1187" s="867"/>
      <c r="HT1187" s="868"/>
      <c r="HU1187" s="489"/>
      <c r="HV1187" s="865"/>
      <c r="HW1187" s="866"/>
    </row>
    <row r="1188" spans="25:231" ht="15" customHeight="1">
      <c r="Y1188" s="332"/>
      <c r="Z1188" s="332"/>
      <c r="AA1188" s="332"/>
      <c r="AB1188" s="332"/>
      <c r="AC1188" s="332"/>
      <c r="AD1188" s="332"/>
      <c r="AE1188" s="332"/>
      <c r="AF1188" s="332"/>
      <c r="AG1188" s="332"/>
      <c r="AH1188" s="332"/>
      <c r="AI1188" s="332"/>
      <c r="AJ1188" s="332"/>
      <c r="AK1188" s="332"/>
      <c r="AL1188" s="332"/>
      <c r="AM1188" s="332"/>
      <c r="AN1188" s="332"/>
      <c r="AO1188" s="332"/>
      <c r="AP1188" s="332"/>
      <c r="AQ1188" s="332"/>
      <c r="AR1188" s="332"/>
      <c r="AS1188" s="332"/>
      <c r="AT1188" s="332"/>
      <c r="AU1188" s="332"/>
      <c r="AV1188" s="332"/>
      <c r="AW1188" s="332"/>
      <c r="AX1188" s="332"/>
      <c r="AY1188" s="332"/>
      <c r="AZ1188" s="332"/>
      <c r="BA1188" s="332"/>
      <c r="BB1188" s="332"/>
      <c r="BC1188" s="332"/>
      <c r="BD1188" s="332"/>
      <c r="BE1188" s="332"/>
      <c r="BF1188" s="332"/>
      <c r="BG1188" s="332"/>
      <c r="BH1188" s="332"/>
      <c r="BI1188" s="332"/>
      <c r="BJ1188" s="332"/>
      <c r="BK1188" s="332"/>
      <c r="BL1188" s="332"/>
      <c r="BM1188" s="332"/>
      <c r="BN1188" s="332"/>
      <c r="BO1188" s="332"/>
      <c r="BP1188" s="332"/>
      <c r="BQ1188" s="332"/>
      <c r="BR1188" s="332"/>
      <c r="BS1188" s="332"/>
      <c r="BT1188" s="332"/>
      <c r="BU1188" s="332"/>
      <c r="BV1188" s="332"/>
      <c r="BW1188" s="332"/>
      <c r="BX1188" s="332"/>
      <c r="BY1188" s="332"/>
      <c r="BZ1188" s="332"/>
      <c r="CA1188" s="332"/>
      <c r="CB1188" s="332"/>
      <c r="CC1188" s="332"/>
      <c r="CD1188" s="332"/>
      <c r="CE1188" s="332"/>
      <c r="CF1188" s="332"/>
      <c r="CG1188" s="332"/>
      <c r="CH1188" s="332"/>
      <c r="CI1188" s="332"/>
      <c r="CJ1188" s="332"/>
      <c r="CK1188" s="332"/>
      <c r="CL1188" s="332"/>
      <c r="CM1188" s="332"/>
      <c r="CN1188" s="332"/>
      <c r="CO1188" s="332"/>
      <c r="CP1188" s="332"/>
      <c r="CQ1188" s="332"/>
      <c r="CR1188" s="332"/>
      <c r="CS1188" s="332"/>
      <c r="CT1188" s="332"/>
      <c r="CU1188" s="332"/>
      <c r="CV1188" s="332"/>
      <c r="CW1188" s="332"/>
      <c r="CX1188" s="332"/>
      <c r="CY1188" s="332"/>
      <c r="CZ1188" s="332"/>
      <c r="DA1188" s="332"/>
      <c r="DB1188" s="332"/>
      <c r="DC1188" s="332"/>
      <c r="DD1188" s="332"/>
      <c r="DE1188" s="332"/>
      <c r="DF1188" s="332"/>
      <c r="DG1188" s="332"/>
      <c r="DH1188" s="332"/>
      <c r="DI1188" s="332"/>
      <c r="DJ1188" s="332"/>
      <c r="DK1188" s="332"/>
      <c r="DL1188" s="332"/>
      <c r="DM1188" s="332"/>
      <c r="DN1188" s="332"/>
      <c r="DO1188" s="332"/>
      <c r="DP1188" s="332"/>
      <c r="DQ1188" s="332"/>
      <c r="DR1188" s="332"/>
      <c r="DS1188" s="332"/>
      <c r="DT1188" s="332"/>
      <c r="DU1188" s="453"/>
      <c r="DV1188" s="453"/>
      <c r="DW1188" s="453"/>
      <c r="DX1188" s="453"/>
      <c r="DY1188" s="453"/>
      <c r="DZ1188" s="453"/>
      <c r="EA1188" s="453"/>
      <c r="EB1188" s="453"/>
      <c r="EC1188" s="453"/>
      <c r="ED1188" s="453"/>
      <c r="EE1188" s="453"/>
      <c r="EF1188" s="453"/>
      <c r="EG1188" s="453"/>
      <c r="EH1188" s="453"/>
      <c r="EI1188" s="453"/>
      <c r="EJ1188" s="453"/>
      <c r="EK1188" s="453"/>
      <c r="EL1188" s="453"/>
      <c r="EM1188" s="483">
        <f t="shared" si="254"/>
        <v>879</v>
      </c>
      <c r="EN1188" s="485"/>
      <c r="EO1188" s="458"/>
      <c r="EP1188" s="467"/>
      <c r="EQ1188" s="457"/>
      <c r="ER1188" s="808"/>
      <c r="ES1188" s="881">
        <f t="shared" si="255"/>
        <v>0</v>
      </c>
      <c r="ET1188" s="882"/>
      <c r="EU1188" s="883"/>
      <c r="EV1188" s="884">
        <f t="shared" si="256"/>
        <v>0</v>
      </c>
      <c r="EW1188" s="885"/>
      <c r="EX1188" s="885"/>
      <c r="EY1188" s="885"/>
      <c r="EZ1188" s="885"/>
      <c r="FA1188" s="885"/>
      <c r="FB1188" s="885"/>
      <c r="FC1188" s="885"/>
      <c r="FD1188" s="886"/>
      <c r="FE1188" s="878"/>
      <c r="FF1188" s="878"/>
      <c r="FG1188" s="878"/>
      <c r="FH1188" s="878"/>
      <c r="FI1188" s="878"/>
      <c r="FJ1188" s="878"/>
      <c r="FK1188" s="878"/>
      <c r="FL1188" s="555"/>
      <c r="FM1188" s="554"/>
      <c r="FN1188" s="554"/>
      <c r="FO1188" s="554"/>
      <c r="FP1188" s="554"/>
      <c r="FQ1188" s="554"/>
      <c r="FR1188" s="554"/>
      <c r="FS1188" s="554"/>
      <c r="FT1188" s="554"/>
      <c r="FU1188" s="554"/>
      <c r="FV1188" s="554"/>
      <c r="FW1188" s="554"/>
      <c r="FX1188" s="554"/>
      <c r="FY1188" s="554"/>
      <c r="FZ1188" s="554"/>
      <c r="GA1188" s="554"/>
      <c r="GB1188" s="556"/>
      <c r="GC1188" s="370"/>
      <c r="GD1188" s="453"/>
      <c r="GE1188" s="453"/>
      <c r="GF1188" s="453"/>
      <c r="GG1188" s="453"/>
      <c r="GH1188" s="454"/>
      <c r="GI1188" s="453"/>
      <c r="GJ1188" s="453"/>
      <c r="GK1188" s="453"/>
      <c r="GL1188" s="453"/>
      <c r="GM1188" s="453"/>
      <c r="GN1188" s="453"/>
      <c r="GO1188" s="453"/>
      <c r="GP1188" s="453"/>
      <c r="GQ1188" s="453"/>
      <c r="GR1188" s="453"/>
      <c r="GS1188" s="561"/>
      <c r="GT1188" s="475"/>
      <c r="GU1188" s="472"/>
      <c r="GV1188" s="453"/>
      <c r="GW1188" s="453"/>
      <c r="GX1188" s="869"/>
      <c r="GY1188" s="870"/>
      <c r="GZ1188" s="867"/>
      <c r="HA1188" s="868"/>
      <c r="HB1188" s="473"/>
      <c r="HC1188" s="869"/>
      <c r="HD1188" s="870"/>
      <c r="HE1188" s="867"/>
      <c r="HF1188" s="868"/>
      <c r="HG1188" s="473"/>
      <c r="HH1188" s="867"/>
      <c r="HI1188" s="868"/>
      <c r="HJ1188" s="867"/>
      <c r="HK1188" s="868"/>
      <c r="HL1188" s="370"/>
      <c r="HM1188" s="865"/>
      <c r="HN1188" s="866"/>
      <c r="HO1188" s="865"/>
      <c r="HP1188" s="866"/>
      <c r="HQ1188" s="865"/>
      <c r="HR1188" s="866"/>
      <c r="HS1188" s="867"/>
      <c r="HT1188" s="868"/>
      <c r="HU1188" s="489"/>
      <c r="HV1188" s="865"/>
      <c r="HW1188" s="866"/>
    </row>
    <row r="1189" spans="25:231" ht="15" customHeight="1">
      <c r="Y1189" s="332"/>
      <c r="Z1189" s="332"/>
      <c r="AA1189" s="332"/>
      <c r="AB1189" s="332"/>
      <c r="AC1189" s="332"/>
      <c r="AD1189" s="332"/>
      <c r="AE1189" s="332"/>
      <c r="AF1189" s="332"/>
      <c r="AG1189" s="332"/>
      <c r="AH1189" s="332"/>
      <c r="AI1189" s="332"/>
      <c r="AJ1189" s="332"/>
      <c r="AK1189" s="332"/>
      <c r="AL1189" s="332"/>
      <c r="AM1189" s="332"/>
      <c r="AN1189" s="332"/>
      <c r="AO1189" s="332"/>
      <c r="AP1189" s="332"/>
      <c r="AQ1189" s="332"/>
      <c r="AR1189" s="332"/>
      <c r="AS1189" s="332"/>
      <c r="AT1189" s="332"/>
      <c r="AU1189" s="332"/>
      <c r="AV1189" s="332"/>
      <c r="AW1189" s="332"/>
      <c r="AX1189" s="332"/>
      <c r="AY1189" s="332"/>
      <c r="AZ1189" s="332"/>
      <c r="BA1189" s="332"/>
      <c r="BB1189" s="332"/>
      <c r="BC1189" s="332"/>
      <c r="BD1189" s="332"/>
      <c r="BE1189" s="332"/>
      <c r="BF1189" s="332"/>
      <c r="BG1189" s="332"/>
      <c r="BH1189" s="332"/>
      <c r="BI1189" s="332"/>
      <c r="BJ1189" s="332"/>
      <c r="BK1189" s="332"/>
      <c r="BL1189" s="332"/>
      <c r="BM1189" s="332"/>
      <c r="BN1189" s="332"/>
      <c r="BO1189" s="332"/>
      <c r="BP1189" s="332"/>
      <c r="BQ1189" s="332"/>
      <c r="BR1189" s="332"/>
      <c r="BS1189" s="332"/>
      <c r="BT1189" s="332"/>
      <c r="BU1189" s="332"/>
      <c r="BV1189" s="332"/>
      <c r="BW1189" s="332"/>
      <c r="BX1189" s="332"/>
      <c r="BY1189" s="332"/>
      <c r="BZ1189" s="332"/>
      <c r="CA1189" s="332"/>
      <c r="CB1189" s="332"/>
      <c r="CC1189" s="332"/>
      <c r="CD1189" s="332"/>
      <c r="CE1189" s="332"/>
      <c r="CF1189" s="332"/>
      <c r="CG1189" s="332"/>
      <c r="CH1189" s="332"/>
      <c r="CI1189" s="332"/>
      <c r="CJ1189" s="332"/>
      <c r="CK1189" s="332"/>
      <c r="CL1189" s="332"/>
      <c r="CM1189" s="332"/>
      <c r="CN1189" s="332"/>
      <c r="CO1189" s="332"/>
      <c r="CP1189" s="332"/>
      <c r="CQ1189" s="332"/>
      <c r="CR1189" s="332"/>
      <c r="CS1189" s="332"/>
      <c r="CT1189" s="332"/>
      <c r="CU1189" s="332"/>
      <c r="CV1189" s="332"/>
      <c r="CW1189" s="332"/>
      <c r="CX1189" s="332"/>
      <c r="CY1189" s="332"/>
      <c r="CZ1189" s="332"/>
      <c r="DA1189" s="332"/>
      <c r="DB1189" s="332"/>
      <c r="DC1189" s="332"/>
      <c r="DD1189" s="332"/>
      <c r="DE1189" s="332"/>
      <c r="DF1189" s="332"/>
      <c r="DG1189" s="332"/>
      <c r="DH1189" s="332"/>
      <c r="DI1189" s="332"/>
      <c r="DJ1189" s="332"/>
      <c r="DK1189" s="332"/>
      <c r="DL1189" s="332"/>
      <c r="DM1189" s="332"/>
      <c r="DN1189" s="332"/>
      <c r="DO1189" s="332"/>
      <c r="DP1189" s="332"/>
      <c r="DQ1189" s="332"/>
      <c r="DR1189" s="332"/>
      <c r="DS1189" s="332"/>
      <c r="DT1189" s="332"/>
      <c r="DU1189" s="453"/>
      <c r="DV1189" s="453"/>
      <c r="DW1189" s="453"/>
      <c r="DX1189" s="453"/>
      <c r="DY1189" s="453"/>
      <c r="DZ1189" s="453"/>
      <c r="EA1189" s="453"/>
      <c r="EB1189" s="453"/>
      <c r="EC1189" s="453"/>
      <c r="ED1189" s="453"/>
      <c r="EE1189" s="453"/>
      <c r="EF1189" s="453"/>
      <c r="EG1189" s="453"/>
      <c r="EH1189" s="453"/>
      <c r="EI1189" s="453"/>
      <c r="EJ1189" s="453"/>
      <c r="EK1189" s="453"/>
      <c r="EL1189" s="453"/>
      <c r="EM1189" s="483">
        <f t="shared" si="254"/>
        <v>880</v>
      </c>
      <c r="EN1189" s="485"/>
      <c r="EO1189" s="458"/>
      <c r="EP1189" s="467"/>
      <c r="EQ1189" s="457"/>
      <c r="ER1189" s="808"/>
      <c r="ES1189" s="881">
        <f t="shared" si="255"/>
        <v>0</v>
      </c>
      <c r="ET1189" s="882"/>
      <c r="EU1189" s="883"/>
      <c r="EV1189" s="884">
        <f t="shared" si="256"/>
        <v>0</v>
      </c>
      <c r="EW1189" s="885"/>
      <c r="EX1189" s="885"/>
      <c r="EY1189" s="885"/>
      <c r="EZ1189" s="885"/>
      <c r="FA1189" s="885"/>
      <c r="FB1189" s="885"/>
      <c r="FC1189" s="885"/>
      <c r="FD1189" s="886"/>
      <c r="FE1189" s="878"/>
      <c r="FF1189" s="878"/>
      <c r="FG1189" s="878"/>
      <c r="FH1189" s="878"/>
      <c r="FI1189" s="878"/>
      <c r="FJ1189" s="878"/>
      <c r="FK1189" s="878"/>
      <c r="FL1189" s="555"/>
      <c r="FM1189" s="554"/>
      <c r="FN1189" s="554"/>
      <c r="FO1189" s="554"/>
      <c r="FP1189" s="554"/>
      <c r="FQ1189" s="554"/>
      <c r="FR1189" s="554"/>
      <c r="FS1189" s="554"/>
      <c r="FT1189" s="554"/>
      <c r="FU1189" s="554"/>
      <c r="FV1189" s="554"/>
      <c r="FW1189" s="554"/>
      <c r="FX1189" s="554"/>
      <c r="FY1189" s="554"/>
      <c r="FZ1189" s="554"/>
      <c r="GA1189" s="554"/>
      <c r="GB1189" s="556"/>
      <c r="GC1189" s="370"/>
      <c r="GD1189" s="453"/>
      <c r="GE1189" s="453"/>
      <c r="GF1189" s="453"/>
      <c r="GG1189" s="453"/>
      <c r="GH1189" s="454"/>
      <c r="GI1189" s="453"/>
      <c r="GJ1189" s="453"/>
      <c r="GK1189" s="453"/>
      <c r="GL1189" s="453"/>
      <c r="GM1189" s="453"/>
      <c r="GN1189" s="453"/>
      <c r="GO1189" s="453"/>
      <c r="GP1189" s="453"/>
      <c r="GQ1189" s="453"/>
      <c r="GR1189" s="453"/>
      <c r="GS1189" s="561"/>
      <c r="GT1189" s="475"/>
      <c r="GU1189" s="472"/>
      <c r="GV1189" s="453"/>
      <c r="GW1189" s="453"/>
      <c r="GX1189" s="869"/>
      <c r="GY1189" s="870"/>
      <c r="GZ1189" s="867"/>
      <c r="HA1189" s="868"/>
      <c r="HB1189" s="473"/>
      <c r="HC1189" s="869"/>
      <c r="HD1189" s="870"/>
      <c r="HE1189" s="867"/>
      <c r="HF1189" s="868"/>
      <c r="HG1189" s="473"/>
      <c r="HH1189" s="867"/>
      <c r="HI1189" s="868"/>
      <c r="HJ1189" s="867"/>
      <c r="HK1189" s="868"/>
      <c r="HL1189" s="370"/>
      <c r="HM1189" s="865"/>
      <c r="HN1189" s="866"/>
      <c r="HO1189" s="865"/>
      <c r="HP1189" s="866"/>
      <c r="HQ1189" s="865"/>
      <c r="HR1189" s="866"/>
      <c r="HS1189" s="867"/>
      <c r="HT1189" s="868"/>
      <c r="HU1189" s="489"/>
      <c r="HV1189" s="865"/>
      <c r="HW1189" s="866"/>
    </row>
    <row r="1190" spans="25:231" ht="15" customHeight="1">
      <c r="Y1190" s="332"/>
      <c r="Z1190" s="332"/>
      <c r="AA1190" s="332"/>
      <c r="AB1190" s="332"/>
      <c r="AC1190" s="332"/>
      <c r="AD1190" s="332"/>
      <c r="AE1190" s="332"/>
      <c r="AF1190" s="332"/>
      <c r="AG1190" s="332"/>
      <c r="AH1190" s="332"/>
      <c r="AI1190" s="332"/>
      <c r="AJ1190" s="332"/>
      <c r="AK1190" s="332"/>
      <c r="AL1190" s="332"/>
      <c r="AM1190" s="332"/>
      <c r="AN1190" s="332"/>
      <c r="AO1190" s="332"/>
      <c r="AP1190" s="332"/>
      <c r="AQ1190" s="332"/>
      <c r="AR1190" s="332"/>
      <c r="AS1190" s="332"/>
      <c r="AT1190" s="332"/>
      <c r="AU1190" s="332"/>
      <c r="AV1190" s="332"/>
      <c r="AW1190" s="332"/>
      <c r="AX1190" s="332"/>
      <c r="AY1190" s="332"/>
      <c r="AZ1190" s="332"/>
      <c r="BA1190" s="332"/>
      <c r="BB1190" s="332"/>
      <c r="BC1190" s="332"/>
      <c r="BD1190" s="332"/>
      <c r="BE1190" s="332"/>
      <c r="BF1190" s="332"/>
      <c r="BG1190" s="332"/>
      <c r="BH1190" s="332"/>
      <c r="BI1190" s="332"/>
      <c r="BJ1190" s="332"/>
      <c r="BK1190" s="332"/>
      <c r="BL1190" s="332"/>
      <c r="BM1190" s="332"/>
      <c r="BN1190" s="332"/>
      <c r="BO1190" s="332"/>
      <c r="BP1190" s="332"/>
      <c r="BQ1190" s="332"/>
      <c r="BR1190" s="332"/>
      <c r="BS1190" s="332"/>
      <c r="BT1190" s="332"/>
      <c r="BU1190" s="332"/>
      <c r="BV1190" s="332"/>
      <c r="BW1190" s="332"/>
      <c r="BX1190" s="332"/>
      <c r="BY1190" s="332"/>
      <c r="BZ1190" s="332"/>
      <c r="CA1190" s="332"/>
      <c r="CB1190" s="332"/>
      <c r="CC1190" s="332"/>
      <c r="CD1190" s="332"/>
      <c r="CE1190" s="332"/>
      <c r="CF1190" s="332"/>
      <c r="CG1190" s="332"/>
      <c r="CH1190" s="332"/>
      <c r="CI1190" s="332"/>
      <c r="CJ1190" s="332"/>
      <c r="CK1190" s="332"/>
      <c r="CL1190" s="332"/>
      <c r="CM1190" s="332"/>
      <c r="CN1190" s="332"/>
      <c r="CO1190" s="332"/>
      <c r="CP1190" s="332"/>
      <c r="CQ1190" s="332"/>
      <c r="CR1190" s="332"/>
      <c r="CS1190" s="332"/>
      <c r="CT1190" s="332"/>
      <c r="CU1190" s="332"/>
      <c r="CV1190" s="332"/>
      <c r="CW1190" s="332"/>
      <c r="CX1190" s="332"/>
      <c r="CY1190" s="332"/>
      <c r="CZ1190" s="332"/>
      <c r="DA1190" s="332"/>
      <c r="DB1190" s="332"/>
      <c r="DC1190" s="332"/>
      <c r="DD1190" s="332"/>
      <c r="DE1190" s="332"/>
      <c r="DF1190" s="332"/>
      <c r="DG1190" s="332"/>
      <c r="DH1190" s="332"/>
      <c r="DI1190" s="332"/>
      <c r="DJ1190" s="332"/>
      <c r="DK1190" s="332"/>
      <c r="DL1190" s="332"/>
      <c r="DM1190" s="332"/>
      <c r="DN1190" s="332"/>
      <c r="DO1190" s="332"/>
      <c r="DP1190" s="332"/>
      <c r="DQ1190" s="332"/>
      <c r="DR1190" s="332"/>
      <c r="DS1190" s="332"/>
      <c r="DT1190" s="332"/>
      <c r="DU1190" s="453"/>
      <c r="DV1190" s="453"/>
      <c r="DW1190" s="453"/>
      <c r="DX1190" s="453"/>
      <c r="DY1190" s="453"/>
      <c r="DZ1190" s="453"/>
      <c r="EA1190" s="453"/>
      <c r="EB1190" s="453"/>
      <c r="EC1190" s="453"/>
      <c r="ED1190" s="453"/>
      <c r="EE1190" s="453"/>
      <c r="EF1190" s="453"/>
      <c r="EG1190" s="453"/>
      <c r="EH1190" s="453"/>
      <c r="EI1190" s="453"/>
      <c r="EJ1190" s="453"/>
      <c r="EK1190" s="453"/>
      <c r="EL1190" s="453"/>
      <c r="EM1190" s="483">
        <f t="shared" si="254"/>
        <v>881</v>
      </c>
      <c r="EN1190" s="485"/>
      <c r="EO1190" s="458"/>
      <c r="EP1190" s="467"/>
      <c r="EQ1190" s="457"/>
      <c r="ER1190" s="808"/>
      <c r="ES1190" s="881">
        <f t="shared" si="255"/>
        <v>0</v>
      </c>
      <c r="ET1190" s="882"/>
      <c r="EU1190" s="883"/>
      <c r="EV1190" s="884">
        <f t="shared" si="256"/>
        <v>0</v>
      </c>
      <c r="EW1190" s="885"/>
      <c r="EX1190" s="885"/>
      <c r="EY1190" s="885"/>
      <c r="EZ1190" s="885"/>
      <c r="FA1190" s="885"/>
      <c r="FB1190" s="885"/>
      <c r="FC1190" s="885"/>
      <c r="FD1190" s="886"/>
      <c r="FE1190" s="878"/>
      <c r="FF1190" s="878"/>
      <c r="FG1190" s="878"/>
      <c r="FH1190" s="878"/>
      <c r="FI1190" s="878"/>
      <c r="FJ1190" s="878"/>
      <c r="FK1190" s="878"/>
      <c r="FL1190" s="555"/>
      <c r="FM1190" s="554"/>
      <c r="FN1190" s="554"/>
      <c r="FO1190" s="554"/>
      <c r="FP1190" s="554"/>
      <c r="FQ1190" s="554"/>
      <c r="FR1190" s="554"/>
      <c r="FS1190" s="554"/>
      <c r="FT1190" s="554"/>
      <c r="FU1190" s="554"/>
      <c r="FV1190" s="554"/>
      <c r="FW1190" s="554"/>
      <c r="FX1190" s="554"/>
      <c r="FY1190" s="554"/>
      <c r="FZ1190" s="554"/>
      <c r="GA1190" s="554"/>
      <c r="GB1190" s="556"/>
      <c r="GC1190" s="370"/>
      <c r="GD1190" s="453"/>
      <c r="GE1190" s="453"/>
      <c r="GF1190" s="453"/>
      <c r="GG1190" s="453"/>
      <c r="GH1190" s="454"/>
      <c r="GI1190" s="453"/>
      <c r="GJ1190" s="453"/>
      <c r="GK1190" s="453"/>
      <c r="GL1190" s="453"/>
      <c r="GM1190" s="453"/>
      <c r="GN1190" s="453"/>
      <c r="GO1190" s="453"/>
      <c r="GP1190" s="453"/>
      <c r="GQ1190" s="453"/>
      <c r="GR1190" s="453"/>
      <c r="GS1190" s="561"/>
      <c r="GT1190" s="475"/>
      <c r="GU1190" s="472"/>
      <c r="GV1190" s="453"/>
      <c r="GW1190" s="453"/>
      <c r="GX1190" s="869"/>
      <c r="GY1190" s="870"/>
      <c r="GZ1190" s="867"/>
      <c r="HA1190" s="868"/>
      <c r="HB1190" s="473"/>
      <c r="HC1190" s="869"/>
      <c r="HD1190" s="870"/>
      <c r="HE1190" s="867"/>
      <c r="HF1190" s="868"/>
      <c r="HG1190" s="473"/>
      <c r="HH1190" s="867"/>
      <c r="HI1190" s="868"/>
      <c r="HJ1190" s="867"/>
      <c r="HK1190" s="868"/>
      <c r="HL1190" s="370"/>
      <c r="HM1190" s="865"/>
      <c r="HN1190" s="866"/>
      <c r="HO1190" s="865"/>
      <c r="HP1190" s="866"/>
      <c r="HQ1190" s="865"/>
      <c r="HR1190" s="866"/>
      <c r="HS1190" s="867"/>
      <c r="HT1190" s="868"/>
      <c r="HU1190" s="489"/>
      <c r="HV1190" s="865"/>
      <c r="HW1190" s="866"/>
    </row>
    <row r="1191" spans="25:231" ht="15" customHeight="1">
      <c r="Y1191" s="332"/>
      <c r="Z1191" s="332"/>
      <c r="AA1191" s="332"/>
      <c r="AB1191" s="332"/>
      <c r="AC1191" s="332"/>
      <c r="AD1191" s="332"/>
      <c r="AE1191" s="332"/>
      <c r="AF1191" s="332"/>
      <c r="AG1191" s="332"/>
      <c r="AH1191" s="332"/>
      <c r="AI1191" s="332"/>
      <c r="AJ1191" s="332"/>
      <c r="AK1191" s="332"/>
      <c r="AL1191" s="332"/>
      <c r="AM1191" s="332"/>
      <c r="AN1191" s="332"/>
      <c r="AO1191" s="332"/>
      <c r="AP1191" s="332"/>
      <c r="AQ1191" s="332"/>
      <c r="AR1191" s="332"/>
      <c r="AS1191" s="332"/>
      <c r="AT1191" s="332"/>
      <c r="AU1191" s="332"/>
      <c r="AV1191" s="332"/>
      <c r="AW1191" s="332"/>
      <c r="AX1191" s="332"/>
      <c r="AY1191" s="332"/>
      <c r="AZ1191" s="332"/>
      <c r="BA1191" s="332"/>
      <c r="BB1191" s="332"/>
      <c r="BC1191" s="332"/>
      <c r="BD1191" s="332"/>
      <c r="BE1191" s="332"/>
      <c r="BF1191" s="332"/>
      <c r="BG1191" s="332"/>
      <c r="BH1191" s="332"/>
      <c r="BI1191" s="332"/>
      <c r="BJ1191" s="332"/>
      <c r="BK1191" s="332"/>
      <c r="BL1191" s="332"/>
      <c r="BM1191" s="332"/>
      <c r="BN1191" s="332"/>
      <c r="BO1191" s="332"/>
      <c r="BP1191" s="332"/>
      <c r="BQ1191" s="332"/>
      <c r="BR1191" s="332"/>
      <c r="BS1191" s="332"/>
      <c r="BT1191" s="332"/>
      <c r="BU1191" s="332"/>
      <c r="BV1191" s="332"/>
      <c r="BW1191" s="332"/>
      <c r="BX1191" s="332"/>
      <c r="BY1191" s="332"/>
      <c r="BZ1191" s="332"/>
      <c r="CA1191" s="332"/>
      <c r="CB1191" s="332"/>
      <c r="CC1191" s="332"/>
      <c r="CD1191" s="332"/>
      <c r="CE1191" s="332"/>
      <c r="CF1191" s="332"/>
      <c r="CG1191" s="332"/>
      <c r="CH1191" s="332"/>
      <c r="CI1191" s="332"/>
      <c r="CJ1191" s="332"/>
      <c r="CK1191" s="332"/>
      <c r="CL1191" s="332"/>
      <c r="CM1191" s="332"/>
      <c r="CN1191" s="332"/>
      <c r="CO1191" s="332"/>
      <c r="CP1191" s="332"/>
      <c r="CQ1191" s="332"/>
      <c r="CR1191" s="332"/>
      <c r="CS1191" s="332"/>
      <c r="CT1191" s="332"/>
      <c r="CU1191" s="332"/>
      <c r="CV1191" s="332"/>
      <c r="CW1191" s="332"/>
      <c r="CX1191" s="332"/>
      <c r="CY1191" s="332"/>
      <c r="CZ1191" s="332"/>
      <c r="DA1191" s="332"/>
      <c r="DB1191" s="332"/>
      <c r="DC1191" s="332"/>
      <c r="DD1191" s="332"/>
      <c r="DE1191" s="332"/>
      <c r="DF1191" s="332"/>
      <c r="DG1191" s="332"/>
      <c r="DH1191" s="332"/>
      <c r="DI1191" s="332"/>
      <c r="DJ1191" s="332"/>
      <c r="DK1191" s="332"/>
      <c r="DL1191" s="332"/>
      <c r="DM1191" s="332"/>
      <c r="DN1191" s="332"/>
      <c r="DO1191" s="332"/>
      <c r="DP1191" s="332"/>
      <c r="DQ1191" s="332"/>
      <c r="DR1191" s="332"/>
      <c r="DS1191" s="332"/>
      <c r="DT1191" s="332"/>
      <c r="DU1191" s="453"/>
      <c r="DV1191" s="453"/>
      <c r="DW1191" s="453"/>
      <c r="DX1191" s="453"/>
      <c r="DY1191" s="453"/>
      <c r="DZ1191" s="453"/>
      <c r="EA1191" s="453"/>
      <c r="EB1191" s="453"/>
      <c r="EC1191" s="453"/>
      <c r="ED1191" s="453"/>
      <c r="EE1191" s="453"/>
      <c r="EF1191" s="453"/>
      <c r="EG1191" s="453"/>
      <c r="EH1191" s="453"/>
      <c r="EI1191" s="453"/>
      <c r="EJ1191" s="453"/>
      <c r="EK1191" s="453"/>
      <c r="EL1191" s="453"/>
      <c r="EM1191" s="483">
        <f t="shared" si="254"/>
        <v>882</v>
      </c>
      <c r="EN1191" s="485"/>
      <c r="EO1191" s="458"/>
      <c r="EP1191" s="467"/>
      <c r="EQ1191" s="457"/>
      <c r="ER1191" s="808"/>
      <c r="ES1191" s="881">
        <f t="shared" si="255"/>
        <v>0</v>
      </c>
      <c r="ET1191" s="882"/>
      <c r="EU1191" s="883"/>
      <c r="EV1191" s="884">
        <f t="shared" si="256"/>
        <v>0</v>
      </c>
      <c r="EW1191" s="885"/>
      <c r="EX1191" s="885"/>
      <c r="EY1191" s="885"/>
      <c r="EZ1191" s="885"/>
      <c r="FA1191" s="885"/>
      <c r="FB1191" s="885"/>
      <c r="FC1191" s="885"/>
      <c r="FD1191" s="886"/>
      <c r="FE1191" s="878"/>
      <c r="FF1191" s="878"/>
      <c r="FG1191" s="878"/>
      <c r="FH1191" s="878"/>
      <c r="FI1191" s="878"/>
      <c r="FJ1191" s="878"/>
      <c r="FK1191" s="878"/>
      <c r="FL1191" s="555"/>
      <c r="FM1191" s="554"/>
      <c r="FN1191" s="554"/>
      <c r="FO1191" s="554"/>
      <c r="FP1191" s="554"/>
      <c r="FQ1191" s="554"/>
      <c r="FR1191" s="554"/>
      <c r="FS1191" s="554"/>
      <c r="FT1191" s="554"/>
      <c r="FU1191" s="554"/>
      <c r="FV1191" s="554"/>
      <c r="FW1191" s="554"/>
      <c r="FX1191" s="554"/>
      <c r="FY1191" s="554"/>
      <c r="FZ1191" s="554"/>
      <c r="GA1191" s="554"/>
      <c r="GB1191" s="556"/>
      <c r="GC1191" s="370"/>
      <c r="GD1191" s="453"/>
      <c r="GE1191" s="453"/>
      <c r="GF1191" s="453"/>
      <c r="GG1191" s="453"/>
      <c r="GH1191" s="454"/>
      <c r="GI1191" s="453"/>
      <c r="GJ1191" s="453"/>
      <c r="GK1191" s="453"/>
      <c r="GL1191" s="453"/>
      <c r="GM1191" s="453"/>
      <c r="GN1191" s="453"/>
      <c r="GO1191" s="453"/>
      <c r="GP1191" s="453"/>
      <c r="GQ1191" s="453"/>
      <c r="GR1191" s="453"/>
      <c r="GS1191" s="561"/>
      <c r="GT1191" s="475"/>
      <c r="GU1191" s="472"/>
      <c r="GV1191" s="453"/>
      <c r="GW1191" s="453"/>
      <c r="GX1191" s="869"/>
      <c r="GY1191" s="870"/>
      <c r="GZ1191" s="867"/>
      <c r="HA1191" s="868"/>
      <c r="HB1191" s="473"/>
      <c r="HC1191" s="869"/>
      <c r="HD1191" s="870"/>
      <c r="HE1191" s="867"/>
      <c r="HF1191" s="868"/>
      <c r="HG1191" s="473"/>
      <c r="HH1191" s="867"/>
      <c r="HI1191" s="868"/>
      <c r="HJ1191" s="867"/>
      <c r="HK1191" s="868"/>
      <c r="HL1191" s="370"/>
      <c r="HM1191" s="865"/>
      <c r="HN1191" s="866"/>
      <c r="HO1191" s="865"/>
      <c r="HP1191" s="866"/>
      <c r="HQ1191" s="865"/>
      <c r="HR1191" s="866"/>
      <c r="HS1191" s="867"/>
      <c r="HT1191" s="868"/>
      <c r="HU1191" s="489"/>
      <c r="HV1191" s="865"/>
      <c r="HW1191" s="866"/>
    </row>
    <row r="1192" spans="25:231" ht="15" customHeight="1">
      <c r="Y1192" s="332"/>
      <c r="Z1192" s="332"/>
      <c r="AA1192" s="332"/>
      <c r="AB1192" s="332"/>
      <c r="AC1192" s="332"/>
      <c r="AD1192" s="332"/>
      <c r="AE1192" s="332"/>
      <c r="AF1192" s="332"/>
      <c r="AG1192" s="332"/>
      <c r="AH1192" s="332"/>
      <c r="AI1192" s="332"/>
      <c r="AJ1192" s="332"/>
      <c r="AK1192" s="332"/>
      <c r="AL1192" s="332"/>
      <c r="AM1192" s="332"/>
      <c r="AN1192" s="332"/>
      <c r="AO1192" s="332"/>
      <c r="AP1192" s="332"/>
      <c r="AQ1192" s="332"/>
      <c r="AR1192" s="332"/>
      <c r="AS1192" s="332"/>
      <c r="AT1192" s="332"/>
      <c r="AU1192" s="332"/>
      <c r="AV1192" s="332"/>
      <c r="AW1192" s="332"/>
      <c r="AX1192" s="332"/>
      <c r="AY1192" s="332"/>
      <c r="AZ1192" s="332"/>
      <c r="BA1192" s="332"/>
      <c r="BB1192" s="332"/>
      <c r="BC1192" s="332"/>
      <c r="BD1192" s="332"/>
      <c r="BE1192" s="332"/>
      <c r="BF1192" s="332"/>
      <c r="BG1192" s="332"/>
      <c r="BH1192" s="332"/>
      <c r="BI1192" s="332"/>
      <c r="BJ1192" s="332"/>
      <c r="BK1192" s="332"/>
      <c r="BL1192" s="332"/>
      <c r="BM1192" s="332"/>
      <c r="BN1192" s="332"/>
      <c r="BO1192" s="332"/>
      <c r="BP1192" s="332"/>
      <c r="BQ1192" s="332"/>
      <c r="BR1192" s="332"/>
      <c r="BS1192" s="332"/>
      <c r="BT1192" s="332"/>
      <c r="BU1192" s="332"/>
      <c r="BV1192" s="332"/>
      <c r="BW1192" s="332"/>
      <c r="BX1192" s="332"/>
      <c r="BY1192" s="332"/>
      <c r="BZ1192" s="332"/>
      <c r="CA1192" s="332"/>
      <c r="CB1192" s="332"/>
      <c r="CC1192" s="332"/>
      <c r="CD1192" s="332"/>
      <c r="CE1192" s="332"/>
      <c r="CF1192" s="332"/>
      <c r="CG1192" s="332"/>
      <c r="CH1192" s="332"/>
      <c r="CI1192" s="332"/>
      <c r="CJ1192" s="332"/>
      <c r="CK1192" s="332"/>
      <c r="CL1192" s="332"/>
      <c r="CM1192" s="332"/>
      <c r="CN1192" s="332"/>
      <c r="CO1192" s="332"/>
      <c r="CP1192" s="332"/>
      <c r="CQ1192" s="332"/>
      <c r="CR1192" s="332"/>
      <c r="CS1192" s="332"/>
      <c r="CT1192" s="332"/>
      <c r="CU1192" s="332"/>
      <c r="CV1192" s="332"/>
      <c r="CW1192" s="332"/>
      <c r="CX1192" s="332"/>
      <c r="CY1192" s="332"/>
      <c r="CZ1192" s="332"/>
      <c r="DA1192" s="332"/>
      <c r="DB1192" s="332"/>
      <c r="DC1192" s="332"/>
      <c r="DD1192" s="332"/>
      <c r="DE1192" s="332"/>
      <c r="DF1192" s="332"/>
      <c r="DG1192" s="332"/>
      <c r="DH1192" s="332"/>
      <c r="DI1192" s="332"/>
      <c r="DJ1192" s="332"/>
      <c r="DK1192" s="332"/>
      <c r="DL1192" s="332"/>
      <c r="DM1192" s="332"/>
      <c r="DN1192" s="332"/>
      <c r="DO1192" s="332"/>
      <c r="DP1192" s="332"/>
      <c r="DQ1192" s="332"/>
      <c r="DR1192" s="332"/>
      <c r="DS1192" s="332"/>
      <c r="DT1192" s="332"/>
      <c r="DU1192" s="453"/>
      <c r="DV1192" s="453"/>
      <c r="DW1192" s="453"/>
      <c r="DX1192" s="453"/>
      <c r="DY1192" s="453"/>
      <c r="DZ1192" s="453"/>
      <c r="EA1192" s="453"/>
      <c r="EB1192" s="453"/>
      <c r="EC1192" s="453"/>
      <c r="ED1192" s="453"/>
      <c r="EE1192" s="453"/>
      <c r="EF1192" s="453"/>
      <c r="EG1192" s="453"/>
      <c r="EH1192" s="453"/>
      <c r="EI1192" s="453"/>
      <c r="EJ1192" s="453"/>
      <c r="EK1192" s="453"/>
      <c r="EL1192" s="453"/>
      <c r="EM1192" s="483">
        <f t="shared" si="254"/>
        <v>883</v>
      </c>
      <c r="EN1192" s="485"/>
      <c r="EO1192" s="458"/>
      <c r="EP1192" s="467"/>
      <c r="EQ1192" s="457"/>
      <c r="ER1192" s="808"/>
      <c r="ES1192" s="881">
        <f t="shared" si="255"/>
        <v>0</v>
      </c>
      <c r="ET1192" s="882"/>
      <c r="EU1192" s="883"/>
      <c r="EV1192" s="884">
        <f t="shared" si="256"/>
        <v>0</v>
      </c>
      <c r="EW1192" s="885"/>
      <c r="EX1192" s="885"/>
      <c r="EY1192" s="885"/>
      <c r="EZ1192" s="885"/>
      <c r="FA1192" s="885"/>
      <c r="FB1192" s="885"/>
      <c r="FC1192" s="885"/>
      <c r="FD1192" s="886"/>
      <c r="FE1192" s="878"/>
      <c r="FF1192" s="878"/>
      <c r="FG1192" s="878"/>
      <c r="FH1192" s="878"/>
      <c r="FI1192" s="878"/>
      <c r="FJ1192" s="878"/>
      <c r="FK1192" s="878"/>
      <c r="FL1192" s="555"/>
      <c r="FM1192" s="554"/>
      <c r="FN1192" s="554"/>
      <c r="FO1192" s="554"/>
      <c r="FP1192" s="554"/>
      <c r="FQ1192" s="554"/>
      <c r="FR1192" s="554"/>
      <c r="FS1192" s="554"/>
      <c r="FT1192" s="554"/>
      <c r="FU1192" s="554"/>
      <c r="FV1192" s="554"/>
      <c r="FW1192" s="554"/>
      <c r="FX1192" s="554"/>
      <c r="FY1192" s="554"/>
      <c r="FZ1192" s="554"/>
      <c r="GA1192" s="554"/>
      <c r="GB1192" s="556"/>
      <c r="GC1192" s="370"/>
      <c r="GD1192" s="453"/>
      <c r="GE1192" s="453"/>
      <c r="GF1192" s="453"/>
      <c r="GG1192" s="453"/>
      <c r="GH1192" s="454"/>
      <c r="GI1192" s="453"/>
      <c r="GJ1192" s="453"/>
      <c r="GK1192" s="453"/>
      <c r="GL1192" s="453"/>
      <c r="GM1192" s="453"/>
      <c r="GN1192" s="453"/>
      <c r="GO1192" s="453"/>
      <c r="GP1192" s="453"/>
      <c r="GQ1192" s="453"/>
      <c r="GR1192" s="453"/>
      <c r="GS1192" s="561"/>
      <c r="GT1192" s="475"/>
      <c r="GU1192" s="472"/>
      <c r="GV1192" s="453"/>
      <c r="GW1192" s="453"/>
      <c r="GX1192" s="869"/>
      <c r="GY1192" s="870"/>
      <c r="GZ1192" s="867"/>
      <c r="HA1192" s="868"/>
      <c r="HB1192" s="473"/>
      <c r="HC1192" s="869"/>
      <c r="HD1192" s="870"/>
      <c r="HE1192" s="867"/>
      <c r="HF1192" s="868"/>
      <c r="HG1192" s="473"/>
      <c r="HH1192" s="867"/>
      <c r="HI1192" s="868"/>
      <c r="HJ1192" s="867"/>
      <c r="HK1192" s="868"/>
      <c r="HL1192" s="370"/>
      <c r="HM1192" s="865"/>
      <c r="HN1192" s="866"/>
      <c r="HO1192" s="865"/>
      <c r="HP1192" s="866"/>
      <c r="HQ1192" s="865"/>
      <c r="HR1192" s="866"/>
      <c r="HS1192" s="867"/>
      <c r="HT1192" s="868"/>
      <c r="HU1192" s="489"/>
      <c r="HV1192" s="865"/>
      <c r="HW1192" s="866"/>
    </row>
    <row r="1193" spans="25:231" ht="15" customHeight="1">
      <c r="Y1193" s="332"/>
      <c r="Z1193" s="332"/>
      <c r="AA1193" s="332"/>
      <c r="AB1193" s="332"/>
      <c r="AC1193" s="332"/>
      <c r="AD1193" s="332"/>
      <c r="AE1193" s="332"/>
      <c r="AF1193" s="332"/>
      <c r="AG1193" s="332"/>
      <c r="AH1193" s="332"/>
      <c r="AI1193" s="332"/>
      <c r="AJ1193" s="332"/>
      <c r="AK1193" s="332"/>
      <c r="AL1193" s="332"/>
      <c r="AM1193" s="332"/>
      <c r="AN1193" s="332"/>
      <c r="AO1193" s="332"/>
      <c r="AP1193" s="332"/>
      <c r="AQ1193" s="332"/>
      <c r="AR1193" s="332"/>
      <c r="AS1193" s="332"/>
      <c r="AT1193" s="332"/>
      <c r="AU1193" s="332"/>
      <c r="AV1193" s="332"/>
      <c r="AW1193" s="332"/>
      <c r="AX1193" s="332"/>
      <c r="AY1193" s="332"/>
      <c r="AZ1193" s="332"/>
      <c r="BA1193" s="332"/>
      <c r="BB1193" s="332"/>
      <c r="BC1193" s="332"/>
      <c r="BD1193" s="332"/>
      <c r="BE1193" s="332"/>
      <c r="BF1193" s="332"/>
      <c r="BG1193" s="332"/>
      <c r="BH1193" s="332"/>
      <c r="BI1193" s="332"/>
      <c r="BJ1193" s="332"/>
      <c r="BK1193" s="332"/>
      <c r="BL1193" s="332"/>
      <c r="BM1193" s="332"/>
      <c r="BN1193" s="332"/>
      <c r="BO1193" s="332"/>
      <c r="BP1193" s="332"/>
      <c r="BQ1193" s="332"/>
      <c r="BR1193" s="332"/>
      <c r="BS1193" s="332"/>
      <c r="BT1193" s="332"/>
      <c r="BU1193" s="332"/>
      <c r="BV1193" s="332"/>
      <c r="BW1193" s="332"/>
      <c r="BX1193" s="332"/>
      <c r="BY1193" s="332"/>
      <c r="BZ1193" s="332"/>
      <c r="CA1193" s="332"/>
      <c r="CB1193" s="332"/>
      <c r="CC1193" s="332"/>
      <c r="CD1193" s="332"/>
      <c r="CE1193" s="332"/>
      <c r="CF1193" s="332"/>
      <c r="CG1193" s="332"/>
      <c r="CH1193" s="332"/>
      <c r="CI1193" s="332"/>
      <c r="CJ1193" s="332"/>
      <c r="CK1193" s="332"/>
      <c r="CL1193" s="332"/>
      <c r="CM1193" s="332"/>
      <c r="CN1193" s="332"/>
      <c r="CO1193" s="332"/>
      <c r="CP1193" s="332"/>
      <c r="CQ1193" s="332"/>
      <c r="CR1193" s="332"/>
      <c r="CS1193" s="332"/>
      <c r="CT1193" s="332"/>
      <c r="CU1193" s="332"/>
      <c r="CV1193" s="332"/>
      <c r="CW1193" s="332"/>
      <c r="CX1193" s="332"/>
      <c r="CY1193" s="332"/>
      <c r="CZ1193" s="332"/>
      <c r="DA1193" s="332"/>
      <c r="DB1193" s="332"/>
      <c r="DC1193" s="332"/>
      <c r="DD1193" s="332"/>
      <c r="DE1193" s="332"/>
      <c r="DF1193" s="332"/>
      <c r="DG1193" s="332"/>
      <c r="DH1193" s="332"/>
      <c r="DI1193" s="332"/>
      <c r="DJ1193" s="332"/>
      <c r="DK1193" s="332"/>
      <c r="DL1193" s="332"/>
      <c r="DM1193" s="332"/>
      <c r="DN1193" s="332"/>
      <c r="DO1193" s="332"/>
      <c r="DP1193" s="332"/>
      <c r="DQ1193" s="332"/>
      <c r="DR1193" s="332"/>
      <c r="DS1193" s="332"/>
      <c r="DT1193" s="332"/>
      <c r="DU1193" s="453"/>
      <c r="DV1193" s="453"/>
      <c r="DW1193" s="453"/>
      <c r="DX1193" s="453"/>
      <c r="DY1193" s="453"/>
      <c r="DZ1193" s="453"/>
      <c r="EA1193" s="453"/>
      <c r="EB1193" s="453"/>
      <c r="EC1193" s="453"/>
      <c r="ED1193" s="453"/>
      <c r="EE1193" s="453"/>
      <c r="EF1193" s="453"/>
      <c r="EG1193" s="453"/>
      <c r="EH1193" s="453"/>
      <c r="EI1193" s="453"/>
      <c r="EJ1193" s="453"/>
      <c r="EK1193" s="453"/>
      <c r="EL1193" s="453"/>
      <c r="EM1193" s="483">
        <f t="shared" si="254"/>
        <v>884</v>
      </c>
      <c r="EN1193" s="485"/>
      <c r="EO1193" s="458"/>
      <c r="EP1193" s="467"/>
      <c r="EQ1193" s="457"/>
      <c r="ER1193" s="808"/>
      <c r="ES1193" s="881">
        <f t="shared" si="255"/>
        <v>0</v>
      </c>
      <c r="ET1193" s="882"/>
      <c r="EU1193" s="883"/>
      <c r="EV1193" s="884">
        <f t="shared" si="256"/>
        <v>0</v>
      </c>
      <c r="EW1193" s="885"/>
      <c r="EX1193" s="885"/>
      <c r="EY1193" s="885"/>
      <c r="EZ1193" s="885"/>
      <c r="FA1193" s="885"/>
      <c r="FB1193" s="885"/>
      <c r="FC1193" s="885"/>
      <c r="FD1193" s="886"/>
      <c r="FE1193" s="878"/>
      <c r="FF1193" s="878"/>
      <c r="FG1193" s="878"/>
      <c r="FH1193" s="878"/>
      <c r="FI1193" s="878"/>
      <c r="FJ1193" s="878"/>
      <c r="FK1193" s="878"/>
      <c r="FL1193" s="555"/>
      <c r="FM1193" s="554"/>
      <c r="FN1193" s="554"/>
      <c r="FO1193" s="554"/>
      <c r="FP1193" s="554"/>
      <c r="FQ1193" s="554"/>
      <c r="FR1193" s="554"/>
      <c r="FS1193" s="554"/>
      <c r="FT1193" s="554"/>
      <c r="FU1193" s="554"/>
      <c r="FV1193" s="554"/>
      <c r="FW1193" s="554"/>
      <c r="FX1193" s="554"/>
      <c r="FY1193" s="554"/>
      <c r="FZ1193" s="554"/>
      <c r="GA1193" s="554"/>
      <c r="GB1193" s="556"/>
      <c r="GC1193" s="370"/>
      <c r="GD1193" s="453"/>
      <c r="GE1193" s="453"/>
      <c r="GF1193" s="453"/>
      <c r="GG1193" s="453"/>
      <c r="GH1193" s="454"/>
      <c r="GI1193" s="453"/>
      <c r="GJ1193" s="453"/>
      <c r="GK1193" s="453"/>
      <c r="GL1193" s="453"/>
      <c r="GM1193" s="453"/>
      <c r="GN1193" s="453"/>
      <c r="GO1193" s="453"/>
      <c r="GP1193" s="453"/>
      <c r="GQ1193" s="453"/>
      <c r="GR1193" s="453"/>
      <c r="GS1193" s="561"/>
      <c r="GT1193" s="475"/>
      <c r="GU1193" s="472"/>
      <c r="GV1193" s="453"/>
      <c r="GW1193" s="453"/>
      <c r="GX1193" s="869"/>
      <c r="GY1193" s="870"/>
      <c r="GZ1193" s="867"/>
      <c r="HA1193" s="868"/>
      <c r="HB1193" s="473"/>
      <c r="HC1193" s="869"/>
      <c r="HD1193" s="870"/>
      <c r="HE1193" s="867"/>
      <c r="HF1193" s="868"/>
      <c r="HG1193" s="473"/>
      <c r="HH1193" s="867"/>
      <c r="HI1193" s="868"/>
      <c r="HJ1193" s="867"/>
      <c r="HK1193" s="868"/>
      <c r="HL1193" s="370"/>
      <c r="HM1193" s="865"/>
      <c r="HN1193" s="866"/>
      <c r="HO1193" s="865"/>
      <c r="HP1193" s="866"/>
      <c r="HQ1193" s="865"/>
      <c r="HR1193" s="866"/>
      <c r="HS1193" s="867"/>
      <c r="HT1193" s="868"/>
      <c r="HU1193" s="489"/>
      <c r="HV1193" s="865"/>
      <c r="HW1193" s="866"/>
    </row>
    <row r="1194" spans="25:231" ht="15" customHeight="1">
      <c r="Y1194" s="332"/>
      <c r="Z1194" s="332"/>
      <c r="AA1194" s="332"/>
      <c r="AB1194" s="332"/>
      <c r="AC1194" s="332"/>
      <c r="AD1194" s="332"/>
      <c r="AE1194" s="332"/>
      <c r="AF1194" s="332"/>
      <c r="AG1194" s="332"/>
      <c r="AH1194" s="332"/>
      <c r="AI1194" s="332"/>
      <c r="AJ1194" s="332"/>
      <c r="AK1194" s="332"/>
      <c r="AL1194" s="332"/>
      <c r="AM1194" s="332"/>
      <c r="AN1194" s="332"/>
      <c r="AO1194" s="332"/>
      <c r="AP1194" s="332"/>
      <c r="AQ1194" s="332"/>
      <c r="AR1194" s="332"/>
      <c r="AS1194" s="332"/>
      <c r="AT1194" s="332"/>
      <c r="AU1194" s="332"/>
      <c r="AV1194" s="332"/>
      <c r="AW1194" s="332"/>
      <c r="AX1194" s="332"/>
      <c r="AY1194" s="332"/>
      <c r="AZ1194" s="332"/>
      <c r="BA1194" s="332"/>
      <c r="BB1194" s="332"/>
      <c r="BC1194" s="332"/>
      <c r="BD1194" s="332"/>
      <c r="BE1194" s="332"/>
      <c r="BF1194" s="332"/>
      <c r="BG1194" s="332"/>
      <c r="BH1194" s="332"/>
      <c r="BI1194" s="332"/>
      <c r="BJ1194" s="332"/>
      <c r="BK1194" s="332"/>
      <c r="BL1194" s="332"/>
      <c r="BM1194" s="332"/>
      <c r="BN1194" s="332"/>
      <c r="BO1194" s="332"/>
      <c r="BP1194" s="332"/>
      <c r="BQ1194" s="332"/>
      <c r="BR1194" s="332"/>
      <c r="BS1194" s="332"/>
      <c r="BT1194" s="332"/>
      <c r="BU1194" s="332"/>
      <c r="BV1194" s="332"/>
      <c r="BW1194" s="332"/>
      <c r="BX1194" s="332"/>
      <c r="BY1194" s="332"/>
      <c r="BZ1194" s="332"/>
      <c r="CA1194" s="332"/>
      <c r="CB1194" s="332"/>
      <c r="CC1194" s="332"/>
      <c r="CD1194" s="332"/>
      <c r="CE1194" s="332"/>
      <c r="CF1194" s="332"/>
      <c r="CG1194" s="332"/>
      <c r="CH1194" s="332"/>
      <c r="CI1194" s="332"/>
      <c r="CJ1194" s="332"/>
      <c r="CK1194" s="332"/>
      <c r="CL1194" s="332"/>
      <c r="CM1194" s="332"/>
      <c r="CN1194" s="332"/>
      <c r="CO1194" s="332"/>
      <c r="CP1194" s="332"/>
      <c r="CQ1194" s="332"/>
      <c r="CR1194" s="332"/>
      <c r="CS1194" s="332"/>
      <c r="CT1194" s="332"/>
      <c r="CU1194" s="332"/>
      <c r="CV1194" s="332"/>
      <c r="CW1194" s="332"/>
      <c r="CX1194" s="332"/>
      <c r="CY1194" s="332"/>
      <c r="CZ1194" s="332"/>
      <c r="DA1194" s="332"/>
      <c r="DB1194" s="332"/>
      <c r="DC1194" s="332"/>
      <c r="DD1194" s="332"/>
      <c r="DE1194" s="332"/>
      <c r="DF1194" s="332"/>
      <c r="DG1194" s="332"/>
      <c r="DH1194" s="332"/>
      <c r="DI1194" s="332"/>
      <c r="DJ1194" s="332"/>
      <c r="DK1194" s="332"/>
      <c r="DL1194" s="332"/>
      <c r="DM1194" s="332"/>
      <c r="DN1194" s="332"/>
      <c r="DO1194" s="332"/>
      <c r="DP1194" s="332"/>
      <c r="DQ1194" s="332"/>
      <c r="DR1194" s="332"/>
      <c r="DS1194" s="332"/>
      <c r="DT1194" s="332"/>
      <c r="DU1194" s="453"/>
      <c r="DV1194" s="453"/>
      <c r="DW1194" s="453"/>
      <c r="DX1194" s="453"/>
      <c r="DY1194" s="453"/>
      <c r="DZ1194" s="453"/>
      <c r="EA1194" s="453"/>
      <c r="EB1194" s="453"/>
      <c r="EC1194" s="453"/>
      <c r="ED1194" s="453"/>
      <c r="EE1194" s="453"/>
      <c r="EF1194" s="453"/>
      <c r="EG1194" s="453"/>
      <c r="EH1194" s="453"/>
      <c r="EI1194" s="453"/>
      <c r="EJ1194" s="453"/>
      <c r="EK1194" s="453"/>
      <c r="EL1194" s="453"/>
      <c r="EM1194" s="483">
        <f t="shared" si="254"/>
        <v>885</v>
      </c>
      <c r="EN1194" s="485"/>
      <c r="EO1194" s="458"/>
      <c r="EP1194" s="467"/>
      <c r="EQ1194" s="457"/>
      <c r="ER1194" s="808"/>
      <c r="ES1194" s="881">
        <f t="shared" si="255"/>
        <v>0</v>
      </c>
      <c r="ET1194" s="882"/>
      <c r="EU1194" s="883"/>
      <c r="EV1194" s="884">
        <f t="shared" si="256"/>
        <v>0</v>
      </c>
      <c r="EW1194" s="885"/>
      <c r="EX1194" s="885"/>
      <c r="EY1194" s="885"/>
      <c r="EZ1194" s="885"/>
      <c r="FA1194" s="885"/>
      <c r="FB1194" s="885"/>
      <c r="FC1194" s="885"/>
      <c r="FD1194" s="886"/>
      <c r="FE1194" s="878"/>
      <c r="FF1194" s="878"/>
      <c r="FG1194" s="878"/>
      <c r="FH1194" s="878"/>
      <c r="FI1194" s="878"/>
      <c r="FJ1194" s="878"/>
      <c r="FK1194" s="878"/>
      <c r="FL1194" s="555"/>
      <c r="FM1194" s="554"/>
      <c r="FN1194" s="554"/>
      <c r="FO1194" s="554"/>
      <c r="FP1194" s="554"/>
      <c r="FQ1194" s="554"/>
      <c r="FR1194" s="554"/>
      <c r="FS1194" s="554"/>
      <c r="FT1194" s="554"/>
      <c r="FU1194" s="554"/>
      <c r="FV1194" s="554"/>
      <c r="FW1194" s="554"/>
      <c r="FX1194" s="554"/>
      <c r="FY1194" s="554"/>
      <c r="FZ1194" s="554"/>
      <c r="GA1194" s="554"/>
      <c r="GB1194" s="556"/>
      <c r="GC1194" s="370"/>
      <c r="GD1194" s="453"/>
      <c r="GE1194" s="453"/>
      <c r="GF1194" s="453"/>
      <c r="GG1194" s="453"/>
      <c r="GH1194" s="454"/>
      <c r="GI1194" s="453"/>
      <c r="GJ1194" s="453"/>
      <c r="GK1194" s="453"/>
      <c r="GL1194" s="453"/>
      <c r="GM1194" s="453"/>
      <c r="GN1194" s="453"/>
      <c r="GO1194" s="453"/>
      <c r="GP1194" s="453"/>
      <c r="GQ1194" s="453"/>
      <c r="GR1194" s="453"/>
      <c r="GS1194" s="561"/>
      <c r="GT1194" s="475"/>
      <c r="GU1194" s="472"/>
      <c r="GV1194" s="453"/>
      <c r="GW1194" s="453"/>
      <c r="GX1194" s="869"/>
      <c r="GY1194" s="870"/>
      <c r="GZ1194" s="867"/>
      <c r="HA1194" s="868"/>
      <c r="HB1194" s="473"/>
      <c r="HC1194" s="869"/>
      <c r="HD1194" s="870"/>
      <c r="HE1194" s="867"/>
      <c r="HF1194" s="868"/>
      <c r="HG1194" s="473"/>
      <c r="HH1194" s="867"/>
      <c r="HI1194" s="868"/>
      <c r="HJ1194" s="867"/>
      <c r="HK1194" s="868"/>
      <c r="HL1194" s="370"/>
      <c r="HM1194" s="865"/>
      <c r="HN1194" s="866"/>
      <c r="HO1194" s="865"/>
      <c r="HP1194" s="866"/>
      <c r="HQ1194" s="865"/>
      <c r="HR1194" s="866"/>
      <c r="HS1194" s="867"/>
      <c r="HT1194" s="868"/>
      <c r="HU1194" s="489"/>
      <c r="HV1194" s="865"/>
      <c r="HW1194" s="866"/>
    </row>
    <row r="1195" spans="25:231" ht="15" customHeight="1">
      <c r="Y1195" s="332"/>
      <c r="Z1195" s="332"/>
      <c r="AA1195" s="332"/>
      <c r="AB1195" s="332"/>
      <c r="AC1195" s="332"/>
      <c r="AD1195" s="332"/>
      <c r="AE1195" s="332"/>
      <c r="AF1195" s="332"/>
      <c r="AG1195" s="332"/>
      <c r="AH1195" s="332"/>
      <c r="AI1195" s="332"/>
      <c r="AJ1195" s="332"/>
      <c r="AK1195" s="332"/>
      <c r="AL1195" s="332"/>
      <c r="AM1195" s="332"/>
      <c r="AN1195" s="332"/>
      <c r="AO1195" s="332"/>
      <c r="AP1195" s="332"/>
      <c r="AQ1195" s="332"/>
      <c r="AR1195" s="332"/>
      <c r="AS1195" s="332"/>
      <c r="AT1195" s="332"/>
      <c r="AU1195" s="332"/>
      <c r="AV1195" s="332"/>
      <c r="AW1195" s="332"/>
      <c r="AX1195" s="332"/>
      <c r="AY1195" s="332"/>
      <c r="AZ1195" s="332"/>
      <c r="BA1195" s="332"/>
      <c r="BB1195" s="332"/>
      <c r="BC1195" s="332"/>
      <c r="BD1195" s="332"/>
      <c r="BE1195" s="332"/>
      <c r="BF1195" s="332"/>
      <c r="BG1195" s="332"/>
      <c r="BH1195" s="332"/>
      <c r="BI1195" s="332"/>
      <c r="BJ1195" s="332"/>
      <c r="BK1195" s="332"/>
      <c r="BL1195" s="332"/>
      <c r="BM1195" s="332"/>
      <c r="BN1195" s="332"/>
      <c r="BO1195" s="332"/>
      <c r="BP1195" s="332"/>
      <c r="BQ1195" s="332"/>
      <c r="BR1195" s="332"/>
      <c r="BS1195" s="332"/>
      <c r="BT1195" s="332"/>
      <c r="BU1195" s="332"/>
      <c r="BV1195" s="332"/>
      <c r="BW1195" s="332"/>
      <c r="BX1195" s="332"/>
      <c r="BY1195" s="332"/>
      <c r="BZ1195" s="332"/>
      <c r="CA1195" s="332"/>
      <c r="CB1195" s="332"/>
      <c r="CC1195" s="332"/>
      <c r="CD1195" s="332"/>
      <c r="CE1195" s="332"/>
      <c r="CF1195" s="332"/>
      <c r="CG1195" s="332"/>
      <c r="CH1195" s="332"/>
      <c r="CI1195" s="332"/>
      <c r="CJ1195" s="332"/>
      <c r="CK1195" s="332"/>
      <c r="CL1195" s="332"/>
      <c r="CM1195" s="332"/>
      <c r="CN1195" s="332"/>
      <c r="CO1195" s="332"/>
      <c r="CP1195" s="332"/>
      <c r="CQ1195" s="332"/>
      <c r="CR1195" s="332"/>
      <c r="CS1195" s="332"/>
      <c r="CT1195" s="332"/>
      <c r="CU1195" s="332"/>
      <c r="CV1195" s="332"/>
      <c r="CW1195" s="332"/>
      <c r="CX1195" s="332"/>
      <c r="CY1195" s="332"/>
      <c r="CZ1195" s="332"/>
      <c r="DA1195" s="332"/>
      <c r="DB1195" s="332"/>
      <c r="DC1195" s="332"/>
      <c r="DD1195" s="332"/>
      <c r="DE1195" s="332"/>
      <c r="DF1195" s="332"/>
      <c r="DG1195" s="332"/>
      <c r="DH1195" s="332"/>
      <c r="DI1195" s="332"/>
      <c r="DJ1195" s="332"/>
      <c r="DK1195" s="332"/>
      <c r="DL1195" s="332"/>
      <c r="DM1195" s="332"/>
      <c r="DN1195" s="332"/>
      <c r="DO1195" s="332"/>
      <c r="DP1195" s="332"/>
      <c r="DQ1195" s="332"/>
      <c r="DR1195" s="332"/>
      <c r="DS1195" s="332"/>
      <c r="DT1195" s="332"/>
      <c r="DU1195" s="453"/>
      <c r="DV1195" s="453"/>
      <c r="DW1195" s="453"/>
      <c r="DX1195" s="453"/>
      <c r="DY1195" s="453"/>
      <c r="DZ1195" s="453"/>
      <c r="EA1195" s="453"/>
      <c r="EB1195" s="453"/>
      <c r="EC1195" s="453"/>
      <c r="ED1195" s="453"/>
      <c r="EE1195" s="453"/>
      <c r="EF1195" s="453"/>
      <c r="EG1195" s="453"/>
      <c r="EH1195" s="453"/>
      <c r="EI1195" s="453"/>
      <c r="EJ1195" s="453"/>
      <c r="EK1195" s="453"/>
      <c r="EL1195" s="453"/>
      <c r="EM1195" s="483">
        <f t="shared" si="254"/>
        <v>886</v>
      </c>
      <c r="EN1195" s="485"/>
      <c r="EO1195" s="458"/>
      <c r="EP1195" s="467"/>
      <c r="EQ1195" s="457"/>
      <c r="ER1195" s="808"/>
      <c r="ES1195" s="881">
        <f t="shared" si="255"/>
        <v>0</v>
      </c>
      <c r="ET1195" s="882"/>
      <c r="EU1195" s="883"/>
      <c r="EV1195" s="884">
        <f t="shared" si="256"/>
        <v>0</v>
      </c>
      <c r="EW1195" s="885"/>
      <c r="EX1195" s="885"/>
      <c r="EY1195" s="885"/>
      <c r="EZ1195" s="885"/>
      <c r="FA1195" s="885"/>
      <c r="FB1195" s="885"/>
      <c r="FC1195" s="885"/>
      <c r="FD1195" s="886"/>
      <c r="FE1195" s="878"/>
      <c r="FF1195" s="878"/>
      <c r="FG1195" s="878"/>
      <c r="FH1195" s="878"/>
      <c r="FI1195" s="878"/>
      <c r="FJ1195" s="878"/>
      <c r="FK1195" s="878"/>
      <c r="FL1195" s="555"/>
      <c r="FM1195" s="554"/>
      <c r="FN1195" s="554"/>
      <c r="FO1195" s="554"/>
      <c r="FP1195" s="554"/>
      <c r="FQ1195" s="554"/>
      <c r="FR1195" s="554"/>
      <c r="FS1195" s="554"/>
      <c r="FT1195" s="554"/>
      <c r="FU1195" s="554"/>
      <c r="FV1195" s="554"/>
      <c r="FW1195" s="554"/>
      <c r="FX1195" s="554"/>
      <c r="FY1195" s="554"/>
      <c r="FZ1195" s="554"/>
      <c r="GA1195" s="554"/>
      <c r="GB1195" s="556"/>
      <c r="GC1195" s="370"/>
      <c r="GD1195" s="453"/>
      <c r="GE1195" s="453"/>
      <c r="GF1195" s="453"/>
      <c r="GG1195" s="453"/>
      <c r="GH1195" s="454"/>
      <c r="GI1195" s="453"/>
      <c r="GJ1195" s="453"/>
      <c r="GK1195" s="453"/>
      <c r="GL1195" s="453"/>
      <c r="GM1195" s="453"/>
      <c r="GN1195" s="453"/>
      <c r="GO1195" s="453"/>
      <c r="GP1195" s="453"/>
      <c r="GQ1195" s="453"/>
      <c r="GR1195" s="453"/>
      <c r="GS1195" s="561"/>
      <c r="GT1195" s="475"/>
      <c r="GU1195" s="472"/>
      <c r="GV1195" s="453"/>
      <c r="GW1195" s="453"/>
      <c r="GX1195" s="869"/>
      <c r="GY1195" s="870"/>
      <c r="GZ1195" s="867"/>
      <c r="HA1195" s="868"/>
      <c r="HB1195" s="473"/>
      <c r="HC1195" s="869"/>
      <c r="HD1195" s="870"/>
      <c r="HE1195" s="867"/>
      <c r="HF1195" s="868"/>
      <c r="HG1195" s="473"/>
      <c r="HH1195" s="867"/>
      <c r="HI1195" s="868"/>
      <c r="HJ1195" s="867"/>
      <c r="HK1195" s="868"/>
      <c r="HL1195" s="370"/>
      <c r="HM1195" s="865"/>
      <c r="HN1195" s="866"/>
      <c r="HO1195" s="865"/>
      <c r="HP1195" s="866"/>
      <c r="HQ1195" s="865"/>
      <c r="HR1195" s="866"/>
      <c r="HS1195" s="867"/>
      <c r="HT1195" s="868"/>
      <c r="HU1195" s="489"/>
      <c r="HV1195" s="865"/>
      <c r="HW1195" s="866"/>
    </row>
    <row r="1196" spans="25:231" ht="15" customHeight="1">
      <c r="Y1196" s="332"/>
      <c r="Z1196" s="332"/>
      <c r="AA1196" s="332"/>
      <c r="AB1196" s="332"/>
      <c r="AC1196" s="332"/>
      <c r="AD1196" s="332"/>
      <c r="AE1196" s="332"/>
      <c r="AF1196" s="332"/>
      <c r="AG1196" s="332"/>
      <c r="AH1196" s="332"/>
      <c r="AI1196" s="332"/>
      <c r="AJ1196" s="332"/>
      <c r="AK1196" s="332"/>
      <c r="AL1196" s="332"/>
      <c r="AM1196" s="332"/>
      <c r="AN1196" s="332"/>
      <c r="AO1196" s="332"/>
      <c r="AP1196" s="332"/>
      <c r="AQ1196" s="332"/>
      <c r="AR1196" s="332"/>
      <c r="AS1196" s="332"/>
      <c r="AT1196" s="332"/>
      <c r="AU1196" s="332"/>
      <c r="AV1196" s="332"/>
      <c r="AW1196" s="332"/>
      <c r="AX1196" s="332"/>
      <c r="AY1196" s="332"/>
      <c r="AZ1196" s="332"/>
      <c r="BA1196" s="332"/>
      <c r="BB1196" s="332"/>
      <c r="BC1196" s="332"/>
      <c r="BD1196" s="332"/>
      <c r="BE1196" s="332"/>
      <c r="BF1196" s="332"/>
      <c r="BG1196" s="332"/>
      <c r="BH1196" s="332"/>
      <c r="BI1196" s="332"/>
      <c r="BJ1196" s="332"/>
      <c r="BK1196" s="332"/>
      <c r="BL1196" s="332"/>
      <c r="BM1196" s="332"/>
      <c r="BN1196" s="332"/>
      <c r="BO1196" s="332"/>
      <c r="BP1196" s="332"/>
      <c r="BQ1196" s="332"/>
      <c r="BR1196" s="332"/>
      <c r="BS1196" s="332"/>
      <c r="BT1196" s="332"/>
      <c r="BU1196" s="332"/>
      <c r="BV1196" s="332"/>
      <c r="BW1196" s="332"/>
      <c r="BX1196" s="332"/>
      <c r="BY1196" s="332"/>
      <c r="BZ1196" s="332"/>
      <c r="CA1196" s="332"/>
      <c r="CB1196" s="332"/>
      <c r="CC1196" s="332"/>
      <c r="CD1196" s="332"/>
      <c r="CE1196" s="332"/>
      <c r="CF1196" s="332"/>
      <c r="CG1196" s="332"/>
      <c r="CH1196" s="332"/>
      <c r="CI1196" s="332"/>
      <c r="CJ1196" s="332"/>
      <c r="CK1196" s="332"/>
      <c r="CL1196" s="332"/>
      <c r="CM1196" s="332"/>
      <c r="CN1196" s="332"/>
      <c r="CO1196" s="332"/>
      <c r="CP1196" s="332"/>
      <c r="CQ1196" s="332"/>
      <c r="CR1196" s="332"/>
      <c r="CS1196" s="332"/>
      <c r="CT1196" s="332"/>
      <c r="CU1196" s="332"/>
      <c r="CV1196" s="332"/>
      <c r="CW1196" s="332"/>
      <c r="CX1196" s="332"/>
      <c r="CY1196" s="332"/>
      <c r="CZ1196" s="332"/>
      <c r="DA1196" s="332"/>
      <c r="DB1196" s="332"/>
      <c r="DC1196" s="332"/>
      <c r="DD1196" s="332"/>
      <c r="DE1196" s="332"/>
      <c r="DF1196" s="332"/>
      <c r="DG1196" s="332"/>
      <c r="DH1196" s="332"/>
      <c r="DI1196" s="332"/>
      <c r="DJ1196" s="332"/>
      <c r="DK1196" s="332"/>
      <c r="DL1196" s="332"/>
      <c r="DM1196" s="332"/>
      <c r="DN1196" s="332"/>
      <c r="DO1196" s="332"/>
      <c r="DP1196" s="332"/>
      <c r="DQ1196" s="332"/>
      <c r="DR1196" s="332"/>
      <c r="DS1196" s="332"/>
      <c r="DT1196" s="332"/>
      <c r="DU1196" s="453"/>
      <c r="DV1196" s="453"/>
      <c r="DW1196" s="453"/>
      <c r="DX1196" s="453"/>
      <c r="DY1196" s="453"/>
      <c r="DZ1196" s="453"/>
      <c r="EA1196" s="453"/>
      <c r="EB1196" s="453"/>
      <c r="EC1196" s="453"/>
      <c r="ED1196" s="453"/>
      <c r="EE1196" s="453"/>
      <c r="EF1196" s="453"/>
      <c r="EG1196" s="453"/>
      <c r="EH1196" s="453"/>
      <c r="EI1196" s="453"/>
      <c r="EJ1196" s="453"/>
      <c r="EK1196" s="453"/>
      <c r="EL1196" s="453"/>
      <c r="EM1196" s="483">
        <f t="shared" si="254"/>
        <v>887</v>
      </c>
      <c r="EN1196" s="485"/>
      <c r="EO1196" s="458"/>
      <c r="EP1196" s="467"/>
      <c r="EQ1196" s="457"/>
      <c r="ER1196" s="808"/>
      <c r="ES1196" s="881">
        <f t="shared" si="255"/>
        <v>0</v>
      </c>
      <c r="ET1196" s="882"/>
      <c r="EU1196" s="883"/>
      <c r="EV1196" s="884">
        <f t="shared" si="256"/>
        <v>0</v>
      </c>
      <c r="EW1196" s="885"/>
      <c r="EX1196" s="885"/>
      <c r="EY1196" s="885"/>
      <c r="EZ1196" s="885"/>
      <c r="FA1196" s="885"/>
      <c r="FB1196" s="885"/>
      <c r="FC1196" s="885"/>
      <c r="FD1196" s="886"/>
      <c r="FE1196" s="878"/>
      <c r="FF1196" s="878"/>
      <c r="FG1196" s="878"/>
      <c r="FH1196" s="878"/>
      <c r="FI1196" s="878"/>
      <c r="FJ1196" s="878"/>
      <c r="FK1196" s="878"/>
      <c r="FL1196" s="555"/>
      <c r="FM1196" s="554"/>
      <c r="FN1196" s="554"/>
      <c r="FO1196" s="554"/>
      <c r="FP1196" s="554"/>
      <c r="FQ1196" s="554"/>
      <c r="FR1196" s="554"/>
      <c r="FS1196" s="554"/>
      <c r="FT1196" s="554"/>
      <c r="FU1196" s="554"/>
      <c r="FV1196" s="554"/>
      <c r="FW1196" s="554"/>
      <c r="FX1196" s="554"/>
      <c r="FY1196" s="554"/>
      <c r="FZ1196" s="554"/>
      <c r="GA1196" s="554"/>
      <c r="GB1196" s="556"/>
      <c r="GC1196" s="370"/>
      <c r="GD1196" s="453"/>
      <c r="GE1196" s="453"/>
      <c r="GF1196" s="453"/>
      <c r="GG1196" s="453"/>
      <c r="GH1196" s="454"/>
      <c r="GI1196" s="453"/>
      <c r="GJ1196" s="453"/>
      <c r="GK1196" s="453"/>
      <c r="GL1196" s="453"/>
      <c r="GM1196" s="453"/>
      <c r="GN1196" s="453"/>
      <c r="GO1196" s="453"/>
      <c r="GP1196" s="453"/>
      <c r="GQ1196" s="453"/>
      <c r="GR1196" s="453"/>
      <c r="GS1196" s="561"/>
      <c r="GT1196" s="475"/>
      <c r="GU1196" s="472"/>
      <c r="GV1196" s="453"/>
      <c r="GW1196" s="453"/>
      <c r="GX1196" s="869"/>
      <c r="GY1196" s="870"/>
      <c r="GZ1196" s="867"/>
      <c r="HA1196" s="868"/>
      <c r="HB1196" s="473"/>
      <c r="HC1196" s="869"/>
      <c r="HD1196" s="870"/>
      <c r="HE1196" s="867"/>
      <c r="HF1196" s="868"/>
      <c r="HG1196" s="473"/>
      <c r="HH1196" s="867"/>
      <c r="HI1196" s="868"/>
      <c r="HJ1196" s="867"/>
      <c r="HK1196" s="868"/>
      <c r="HL1196" s="370"/>
      <c r="HM1196" s="865"/>
      <c r="HN1196" s="866"/>
      <c r="HO1196" s="865"/>
      <c r="HP1196" s="866"/>
      <c r="HQ1196" s="865"/>
      <c r="HR1196" s="866"/>
      <c r="HS1196" s="867"/>
      <c r="HT1196" s="868"/>
      <c r="HU1196" s="489"/>
      <c r="HV1196" s="865"/>
      <c r="HW1196" s="866"/>
    </row>
    <row r="1197" spans="25:231" ht="15" customHeight="1">
      <c r="Y1197" s="332"/>
      <c r="Z1197" s="332"/>
      <c r="AA1197" s="332"/>
      <c r="AB1197" s="332"/>
      <c r="AC1197" s="332"/>
      <c r="AD1197" s="332"/>
      <c r="AE1197" s="332"/>
      <c r="AF1197" s="332"/>
      <c r="AG1197" s="332"/>
      <c r="AH1197" s="332"/>
      <c r="AI1197" s="332"/>
      <c r="AJ1197" s="332"/>
      <c r="AK1197" s="332"/>
      <c r="AL1197" s="332"/>
      <c r="AM1197" s="332"/>
      <c r="AN1197" s="332"/>
      <c r="AO1197" s="332"/>
      <c r="AP1197" s="332"/>
      <c r="AQ1197" s="332"/>
      <c r="AR1197" s="332"/>
      <c r="AS1197" s="332"/>
      <c r="AT1197" s="332"/>
      <c r="AU1197" s="332"/>
      <c r="AV1197" s="332"/>
      <c r="AW1197" s="332"/>
      <c r="AX1197" s="332"/>
      <c r="AY1197" s="332"/>
      <c r="AZ1197" s="332"/>
      <c r="BA1197" s="332"/>
      <c r="BB1197" s="332"/>
      <c r="BC1197" s="332"/>
      <c r="BD1197" s="332"/>
      <c r="BE1197" s="332"/>
      <c r="BF1197" s="332"/>
      <c r="BG1197" s="332"/>
      <c r="BH1197" s="332"/>
      <c r="BI1197" s="332"/>
      <c r="BJ1197" s="332"/>
      <c r="BK1197" s="332"/>
      <c r="BL1197" s="332"/>
      <c r="BM1197" s="332"/>
      <c r="BN1197" s="332"/>
      <c r="BO1197" s="332"/>
      <c r="BP1197" s="332"/>
      <c r="BQ1197" s="332"/>
      <c r="BR1197" s="332"/>
      <c r="BS1197" s="332"/>
      <c r="BT1197" s="332"/>
      <c r="BU1197" s="332"/>
      <c r="BV1197" s="332"/>
      <c r="BW1197" s="332"/>
      <c r="BX1197" s="332"/>
      <c r="BY1197" s="332"/>
      <c r="BZ1197" s="332"/>
      <c r="CA1197" s="332"/>
      <c r="CB1197" s="332"/>
      <c r="CC1197" s="332"/>
      <c r="CD1197" s="332"/>
      <c r="CE1197" s="332"/>
      <c r="CF1197" s="332"/>
      <c r="CG1197" s="332"/>
      <c r="CH1197" s="332"/>
      <c r="CI1197" s="332"/>
      <c r="CJ1197" s="332"/>
      <c r="CK1197" s="332"/>
      <c r="CL1197" s="332"/>
      <c r="CM1197" s="332"/>
      <c r="CN1197" s="332"/>
      <c r="CO1197" s="332"/>
      <c r="CP1197" s="332"/>
      <c r="CQ1197" s="332"/>
      <c r="CR1197" s="332"/>
      <c r="CS1197" s="332"/>
      <c r="CT1197" s="332"/>
      <c r="CU1197" s="332"/>
      <c r="CV1197" s="332"/>
      <c r="CW1197" s="332"/>
      <c r="CX1197" s="332"/>
      <c r="CY1197" s="332"/>
      <c r="CZ1197" s="332"/>
      <c r="DA1197" s="332"/>
      <c r="DB1197" s="332"/>
      <c r="DC1197" s="332"/>
      <c r="DD1197" s="332"/>
      <c r="DE1197" s="332"/>
      <c r="DF1197" s="332"/>
      <c r="DG1197" s="332"/>
      <c r="DH1197" s="332"/>
      <c r="DI1197" s="332"/>
      <c r="DJ1197" s="332"/>
      <c r="DK1197" s="332"/>
      <c r="DL1197" s="332"/>
      <c r="DM1197" s="332"/>
      <c r="DN1197" s="332"/>
      <c r="DO1197" s="332"/>
      <c r="DP1197" s="332"/>
      <c r="DQ1197" s="332"/>
      <c r="DR1197" s="332"/>
      <c r="DS1197" s="332"/>
      <c r="DT1197" s="332"/>
      <c r="DU1197" s="453"/>
      <c r="DV1197" s="453"/>
      <c r="DW1197" s="453"/>
      <c r="DX1197" s="453"/>
      <c r="DY1197" s="453"/>
      <c r="DZ1197" s="453"/>
      <c r="EA1197" s="453"/>
      <c r="EB1197" s="453"/>
      <c r="EC1197" s="453"/>
      <c r="ED1197" s="453"/>
      <c r="EE1197" s="453"/>
      <c r="EF1197" s="453"/>
      <c r="EG1197" s="453"/>
      <c r="EH1197" s="453"/>
      <c r="EI1197" s="453"/>
      <c r="EJ1197" s="453"/>
      <c r="EK1197" s="453"/>
      <c r="EL1197" s="453"/>
      <c r="EM1197" s="483">
        <f t="shared" si="254"/>
        <v>888</v>
      </c>
      <c r="EN1197" s="485"/>
      <c r="EO1197" s="458"/>
      <c r="EP1197" s="467"/>
      <c r="EQ1197" s="457"/>
      <c r="ER1197" s="808"/>
      <c r="ES1197" s="881">
        <f t="shared" si="255"/>
        <v>0</v>
      </c>
      <c r="ET1197" s="882"/>
      <c r="EU1197" s="883"/>
      <c r="EV1197" s="884">
        <f t="shared" si="256"/>
        <v>0</v>
      </c>
      <c r="EW1197" s="885"/>
      <c r="EX1197" s="885"/>
      <c r="EY1197" s="885"/>
      <c r="EZ1197" s="885"/>
      <c r="FA1197" s="885"/>
      <c r="FB1197" s="885"/>
      <c r="FC1197" s="885"/>
      <c r="FD1197" s="886"/>
      <c r="FE1197" s="878"/>
      <c r="FF1197" s="878"/>
      <c r="FG1197" s="878"/>
      <c r="FH1197" s="878"/>
      <c r="FI1197" s="878"/>
      <c r="FJ1197" s="878"/>
      <c r="FK1197" s="878"/>
      <c r="FL1197" s="555"/>
      <c r="FM1197" s="554"/>
      <c r="FN1197" s="554"/>
      <c r="FO1197" s="554"/>
      <c r="FP1197" s="554"/>
      <c r="FQ1197" s="554"/>
      <c r="FR1197" s="554"/>
      <c r="FS1197" s="554"/>
      <c r="FT1197" s="554"/>
      <c r="FU1197" s="554"/>
      <c r="FV1197" s="554"/>
      <c r="FW1197" s="554"/>
      <c r="FX1197" s="554"/>
      <c r="FY1197" s="554"/>
      <c r="FZ1197" s="554"/>
      <c r="GA1197" s="554"/>
      <c r="GB1197" s="556"/>
      <c r="GC1197" s="370"/>
      <c r="GD1197" s="453"/>
      <c r="GE1197" s="453"/>
      <c r="GF1197" s="453"/>
      <c r="GG1197" s="453"/>
      <c r="GH1197" s="454"/>
      <c r="GI1197" s="453"/>
      <c r="GJ1197" s="453"/>
      <c r="GK1197" s="453"/>
      <c r="GL1197" s="453"/>
      <c r="GM1197" s="453"/>
      <c r="GN1197" s="453"/>
      <c r="GO1197" s="453"/>
      <c r="GP1197" s="453"/>
      <c r="GQ1197" s="453"/>
      <c r="GR1197" s="453"/>
      <c r="GS1197" s="561"/>
      <c r="GT1197" s="475"/>
      <c r="GU1197" s="472"/>
      <c r="GV1197" s="453"/>
      <c r="GW1197" s="453"/>
      <c r="GX1197" s="869"/>
      <c r="GY1197" s="870"/>
      <c r="GZ1197" s="867"/>
      <c r="HA1197" s="868"/>
      <c r="HB1197" s="473"/>
      <c r="HC1197" s="869"/>
      <c r="HD1197" s="870"/>
      <c r="HE1197" s="867"/>
      <c r="HF1197" s="868"/>
      <c r="HG1197" s="473"/>
      <c r="HH1197" s="867"/>
      <c r="HI1197" s="868"/>
      <c r="HJ1197" s="867"/>
      <c r="HK1197" s="868"/>
      <c r="HL1197" s="370"/>
      <c r="HM1197" s="865"/>
      <c r="HN1197" s="866"/>
      <c r="HO1197" s="865"/>
      <c r="HP1197" s="866"/>
      <c r="HQ1197" s="865"/>
      <c r="HR1197" s="866"/>
      <c r="HS1197" s="867"/>
      <c r="HT1197" s="868"/>
      <c r="HU1197" s="489"/>
      <c r="HV1197" s="865"/>
      <c r="HW1197" s="866"/>
    </row>
    <row r="1198" spans="25:231" ht="15" customHeight="1">
      <c r="Y1198" s="332"/>
      <c r="Z1198" s="332"/>
      <c r="AA1198" s="332"/>
      <c r="AB1198" s="332"/>
      <c r="AC1198" s="332"/>
      <c r="AD1198" s="332"/>
      <c r="AE1198" s="332"/>
      <c r="AF1198" s="332"/>
      <c r="AG1198" s="332"/>
      <c r="AH1198" s="332"/>
      <c r="AI1198" s="332"/>
      <c r="AJ1198" s="332"/>
      <c r="AK1198" s="332"/>
      <c r="AL1198" s="332"/>
      <c r="AM1198" s="332"/>
      <c r="AN1198" s="332"/>
      <c r="AO1198" s="332"/>
      <c r="AP1198" s="332"/>
      <c r="AQ1198" s="332"/>
      <c r="AR1198" s="332"/>
      <c r="AS1198" s="332"/>
      <c r="AT1198" s="332"/>
      <c r="AU1198" s="332"/>
      <c r="AV1198" s="332"/>
      <c r="AW1198" s="332"/>
      <c r="AX1198" s="332"/>
      <c r="AY1198" s="332"/>
      <c r="AZ1198" s="332"/>
      <c r="BA1198" s="332"/>
      <c r="BB1198" s="332"/>
      <c r="BC1198" s="332"/>
      <c r="BD1198" s="332"/>
      <c r="BE1198" s="332"/>
      <c r="BF1198" s="332"/>
      <c r="BG1198" s="332"/>
      <c r="BH1198" s="332"/>
      <c r="BI1198" s="332"/>
      <c r="BJ1198" s="332"/>
      <c r="BK1198" s="332"/>
      <c r="BL1198" s="332"/>
      <c r="BM1198" s="332"/>
      <c r="BN1198" s="332"/>
      <c r="BO1198" s="332"/>
      <c r="BP1198" s="332"/>
      <c r="BQ1198" s="332"/>
      <c r="BR1198" s="332"/>
      <c r="BS1198" s="332"/>
      <c r="BT1198" s="332"/>
      <c r="BU1198" s="332"/>
      <c r="BV1198" s="332"/>
      <c r="BW1198" s="332"/>
      <c r="BX1198" s="332"/>
      <c r="BY1198" s="332"/>
      <c r="BZ1198" s="332"/>
      <c r="CA1198" s="332"/>
      <c r="CB1198" s="332"/>
      <c r="CC1198" s="332"/>
      <c r="CD1198" s="332"/>
      <c r="CE1198" s="332"/>
      <c r="CF1198" s="332"/>
      <c r="CG1198" s="332"/>
      <c r="CH1198" s="332"/>
      <c r="CI1198" s="332"/>
      <c r="CJ1198" s="332"/>
      <c r="CK1198" s="332"/>
      <c r="CL1198" s="332"/>
      <c r="CM1198" s="332"/>
      <c r="CN1198" s="332"/>
      <c r="CO1198" s="332"/>
      <c r="CP1198" s="332"/>
      <c r="CQ1198" s="332"/>
      <c r="CR1198" s="332"/>
      <c r="CS1198" s="332"/>
      <c r="CT1198" s="332"/>
      <c r="CU1198" s="332"/>
      <c r="CV1198" s="332"/>
      <c r="CW1198" s="332"/>
      <c r="CX1198" s="332"/>
      <c r="CY1198" s="332"/>
      <c r="CZ1198" s="332"/>
      <c r="DA1198" s="332"/>
      <c r="DB1198" s="332"/>
      <c r="DC1198" s="332"/>
      <c r="DD1198" s="332"/>
      <c r="DE1198" s="332"/>
      <c r="DF1198" s="332"/>
      <c r="DG1198" s="332"/>
      <c r="DH1198" s="332"/>
      <c r="DI1198" s="332"/>
      <c r="DJ1198" s="332"/>
      <c r="DK1198" s="332"/>
      <c r="DL1198" s="332"/>
      <c r="DM1198" s="332"/>
      <c r="DN1198" s="332"/>
      <c r="DO1198" s="332"/>
      <c r="DP1198" s="332"/>
      <c r="DQ1198" s="332"/>
      <c r="DR1198" s="332"/>
      <c r="DS1198" s="332"/>
      <c r="DT1198" s="332"/>
      <c r="DU1198" s="453"/>
      <c r="DV1198" s="453"/>
      <c r="DW1198" s="453"/>
      <c r="DX1198" s="453"/>
      <c r="DY1198" s="453"/>
      <c r="DZ1198" s="453"/>
      <c r="EA1198" s="453"/>
      <c r="EB1198" s="453"/>
      <c r="EC1198" s="453"/>
      <c r="ED1198" s="453"/>
      <c r="EE1198" s="453"/>
      <c r="EF1198" s="453"/>
      <c r="EG1198" s="453"/>
      <c r="EH1198" s="453"/>
      <c r="EI1198" s="453"/>
      <c r="EJ1198" s="453"/>
      <c r="EK1198" s="453"/>
      <c r="EL1198" s="453"/>
      <c r="EM1198" s="483">
        <f t="shared" si="254"/>
        <v>889</v>
      </c>
      <c r="EN1198" s="485"/>
      <c r="EO1198" s="458"/>
      <c r="EP1198" s="467"/>
      <c r="EQ1198" s="457"/>
      <c r="ER1198" s="808"/>
      <c r="ES1198" s="881">
        <f t="shared" si="255"/>
        <v>0</v>
      </c>
      <c r="ET1198" s="882"/>
      <c r="EU1198" s="883"/>
      <c r="EV1198" s="884">
        <f t="shared" si="256"/>
        <v>0</v>
      </c>
      <c r="EW1198" s="885"/>
      <c r="EX1198" s="885"/>
      <c r="EY1198" s="885"/>
      <c r="EZ1198" s="885"/>
      <c r="FA1198" s="885"/>
      <c r="FB1198" s="885"/>
      <c r="FC1198" s="885"/>
      <c r="FD1198" s="886"/>
      <c r="FE1198" s="878"/>
      <c r="FF1198" s="878"/>
      <c r="FG1198" s="878"/>
      <c r="FH1198" s="878"/>
      <c r="FI1198" s="878"/>
      <c r="FJ1198" s="878"/>
      <c r="FK1198" s="878"/>
      <c r="FL1198" s="555"/>
      <c r="FM1198" s="554"/>
      <c r="FN1198" s="554"/>
      <c r="FO1198" s="554"/>
      <c r="FP1198" s="554"/>
      <c r="FQ1198" s="554"/>
      <c r="FR1198" s="554"/>
      <c r="FS1198" s="554"/>
      <c r="FT1198" s="554"/>
      <c r="FU1198" s="554"/>
      <c r="FV1198" s="554"/>
      <c r="FW1198" s="554"/>
      <c r="FX1198" s="554"/>
      <c r="FY1198" s="554"/>
      <c r="FZ1198" s="554"/>
      <c r="GA1198" s="554"/>
      <c r="GB1198" s="556"/>
      <c r="GC1198" s="370"/>
      <c r="GD1198" s="453"/>
      <c r="GE1198" s="453"/>
      <c r="GF1198" s="453"/>
      <c r="GG1198" s="453"/>
      <c r="GH1198" s="454"/>
      <c r="GI1198" s="453"/>
      <c r="GJ1198" s="453"/>
      <c r="GK1198" s="453"/>
      <c r="GL1198" s="453"/>
      <c r="GM1198" s="453"/>
      <c r="GN1198" s="453"/>
      <c r="GO1198" s="453"/>
      <c r="GP1198" s="453"/>
      <c r="GQ1198" s="453"/>
      <c r="GR1198" s="453"/>
      <c r="GS1198" s="561"/>
      <c r="GT1198" s="475"/>
      <c r="GU1198" s="472"/>
      <c r="GV1198" s="453"/>
      <c r="GW1198" s="453"/>
      <c r="GX1198" s="869"/>
      <c r="GY1198" s="870"/>
      <c r="GZ1198" s="867"/>
      <c r="HA1198" s="868"/>
      <c r="HB1198" s="473"/>
      <c r="HC1198" s="869"/>
      <c r="HD1198" s="870"/>
      <c r="HE1198" s="867"/>
      <c r="HF1198" s="868"/>
      <c r="HG1198" s="473"/>
      <c r="HH1198" s="867"/>
      <c r="HI1198" s="868"/>
      <c r="HJ1198" s="867"/>
      <c r="HK1198" s="868"/>
      <c r="HL1198" s="370"/>
      <c r="HM1198" s="865"/>
      <c r="HN1198" s="866"/>
      <c r="HO1198" s="865"/>
      <c r="HP1198" s="866"/>
      <c r="HQ1198" s="865"/>
      <c r="HR1198" s="866"/>
      <c r="HS1198" s="867"/>
      <c r="HT1198" s="868"/>
      <c r="HU1198" s="489"/>
      <c r="HV1198" s="865"/>
      <c r="HW1198" s="866"/>
    </row>
    <row r="1199" spans="25:231" ht="15" customHeight="1">
      <c r="Y1199" s="332"/>
      <c r="Z1199" s="332"/>
      <c r="AA1199" s="332"/>
      <c r="AB1199" s="332"/>
      <c r="AC1199" s="332"/>
      <c r="AD1199" s="332"/>
      <c r="AE1199" s="332"/>
      <c r="AF1199" s="332"/>
      <c r="AG1199" s="332"/>
      <c r="AH1199" s="332"/>
      <c r="AI1199" s="332"/>
      <c r="AJ1199" s="332"/>
      <c r="AK1199" s="332"/>
      <c r="AL1199" s="332"/>
      <c r="AM1199" s="332"/>
      <c r="AN1199" s="332"/>
      <c r="AO1199" s="332"/>
      <c r="AP1199" s="332"/>
      <c r="AQ1199" s="332"/>
      <c r="AR1199" s="332"/>
      <c r="AS1199" s="332"/>
      <c r="AT1199" s="332"/>
      <c r="AU1199" s="332"/>
      <c r="AV1199" s="332"/>
      <c r="AW1199" s="332"/>
      <c r="AX1199" s="332"/>
      <c r="AY1199" s="332"/>
      <c r="AZ1199" s="332"/>
      <c r="BA1199" s="332"/>
      <c r="BB1199" s="332"/>
      <c r="BC1199" s="332"/>
      <c r="BD1199" s="332"/>
      <c r="BE1199" s="332"/>
      <c r="BF1199" s="332"/>
      <c r="BG1199" s="332"/>
      <c r="BH1199" s="332"/>
      <c r="BI1199" s="332"/>
      <c r="BJ1199" s="332"/>
      <c r="BK1199" s="332"/>
      <c r="BL1199" s="332"/>
      <c r="BM1199" s="332"/>
      <c r="BN1199" s="332"/>
      <c r="BO1199" s="332"/>
      <c r="BP1199" s="332"/>
      <c r="BQ1199" s="332"/>
      <c r="BR1199" s="332"/>
      <c r="BS1199" s="332"/>
      <c r="BT1199" s="332"/>
      <c r="BU1199" s="332"/>
      <c r="BV1199" s="332"/>
      <c r="BW1199" s="332"/>
      <c r="BX1199" s="332"/>
      <c r="BY1199" s="332"/>
      <c r="BZ1199" s="332"/>
      <c r="CA1199" s="332"/>
      <c r="CB1199" s="332"/>
      <c r="CC1199" s="332"/>
      <c r="CD1199" s="332"/>
      <c r="CE1199" s="332"/>
      <c r="CF1199" s="332"/>
      <c r="CG1199" s="332"/>
      <c r="CH1199" s="332"/>
      <c r="CI1199" s="332"/>
      <c r="CJ1199" s="332"/>
      <c r="CK1199" s="332"/>
      <c r="CL1199" s="332"/>
      <c r="CM1199" s="332"/>
      <c r="CN1199" s="332"/>
      <c r="CO1199" s="332"/>
      <c r="CP1199" s="332"/>
      <c r="CQ1199" s="332"/>
      <c r="CR1199" s="332"/>
      <c r="CS1199" s="332"/>
      <c r="CT1199" s="332"/>
      <c r="CU1199" s="332"/>
      <c r="CV1199" s="332"/>
      <c r="CW1199" s="332"/>
      <c r="CX1199" s="332"/>
      <c r="CY1199" s="332"/>
      <c r="CZ1199" s="332"/>
      <c r="DA1199" s="332"/>
      <c r="DB1199" s="332"/>
      <c r="DC1199" s="332"/>
      <c r="DD1199" s="332"/>
      <c r="DE1199" s="332"/>
      <c r="DF1199" s="332"/>
      <c r="DG1199" s="332"/>
      <c r="DH1199" s="332"/>
      <c r="DI1199" s="332"/>
      <c r="DJ1199" s="332"/>
      <c r="DK1199" s="332"/>
      <c r="DL1199" s="332"/>
      <c r="DM1199" s="332"/>
      <c r="DN1199" s="332"/>
      <c r="DO1199" s="332"/>
      <c r="DP1199" s="332"/>
      <c r="DQ1199" s="332"/>
      <c r="DR1199" s="332"/>
      <c r="DS1199" s="332"/>
      <c r="DT1199" s="332"/>
      <c r="DU1199" s="453"/>
      <c r="DV1199" s="453"/>
      <c r="DW1199" s="453"/>
      <c r="DX1199" s="453"/>
      <c r="DY1199" s="453"/>
      <c r="DZ1199" s="453"/>
      <c r="EA1199" s="453"/>
      <c r="EB1199" s="453"/>
      <c r="EC1199" s="453"/>
      <c r="ED1199" s="453"/>
      <c r="EE1199" s="453"/>
      <c r="EF1199" s="453"/>
      <c r="EG1199" s="453"/>
      <c r="EH1199" s="453"/>
      <c r="EI1199" s="453"/>
      <c r="EJ1199" s="453"/>
      <c r="EK1199" s="453"/>
      <c r="EL1199" s="453"/>
      <c r="EM1199" s="483">
        <f t="shared" si="254"/>
        <v>890</v>
      </c>
      <c r="EN1199" s="485"/>
      <c r="EO1199" s="458"/>
      <c r="EP1199" s="467"/>
      <c r="EQ1199" s="457"/>
      <c r="ER1199" s="808"/>
      <c r="ES1199" s="881">
        <f t="shared" si="255"/>
        <v>0</v>
      </c>
      <c r="ET1199" s="882"/>
      <c r="EU1199" s="883"/>
      <c r="EV1199" s="884">
        <f t="shared" si="256"/>
        <v>0</v>
      </c>
      <c r="EW1199" s="885"/>
      <c r="EX1199" s="885"/>
      <c r="EY1199" s="885"/>
      <c r="EZ1199" s="885"/>
      <c r="FA1199" s="885"/>
      <c r="FB1199" s="885"/>
      <c r="FC1199" s="885"/>
      <c r="FD1199" s="886"/>
      <c r="FE1199" s="878"/>
      <c r="FF1199" s="878"/>
      <c r="FG1199" s="878"/>
      <c r="FH1199" s="878"/>
      <c r="FI1199" s="878"/>
      <c r="FJ1199" s="878"/>
      <c r="FK1199" s="878"/>
      <c r="FL1199" s="555"/>
      <c r="FM1199" s="554"/>
      <c r="FN1199" s="554"/>
      <c r="FO1199" s="554"/>
      <c r="FP1199" s="554"/>
      <c r="FQ1199" s="554"/>
      <c r="FR1199" s="554"/>
      <c r="FS1199" s="554"/>
      <c r="FT1199" s="554"/>
      <c r="FU1199" s="554"/>
      <c r="FV1199" s="554"/>
      <c r="FW1199" s="554"/>
      <c r="FX1199" s="554"/>
      <c r="FY1199" s="554"/>
      <c r="FZ1199" s="554"/>
      <c r="GA1199" s="554"/>
      <c r="GB1199" s="556"/>
      <c r="GC1199" s="370"/>
      <c r="GD1199" s="453"/>
      <c r="GE1199" s="453"/>
      <c r="GF1199" s="453"/>
      <c r="GG1199" s="453"/>
      <c r="GH1199" s="454"/>
      <c r="GI1199" s="453"/>
      <c r="GJ1199" s="453"/>
      <c r="GK1199" s="453"/>
      <c r="GL1199" s="453"/>
      <c r="GM1199" s="453"/>
      <c r="GN1199" s="453"/>
      <c r="GO1199" s="453"/>
      <c r="GP1199" s="453"/>
      <c r="GQ1199" s="453"/>
      <c r="GR1199" s="453"/>
      <c r="GS1199" s="561"/>
      <c r="GT1199" s="475"/>
      <c r="GU1199" s="472"/>
      <c r="GV1199" s="453"/>
      <c r="GW1199" s="453"/>
      <c r="GX1199" s="869"/>
      <c r="GY1199" s="870"/>
      <c r="GZ1199" s="867"/>
      <c r="HA1199" s="868"/>
      <c r="HB1199" s="473"/>
      <c r="HC1199" s="869"/>
      <c r="HD1199" s="870"/>
      <c r="HE1199" s="867"/>
      <c r="HF1199" s="868"/>
      <c r="HG1199" s="473"/>
      <c r="HH1199" s="867"/>
      <c r="HI1199" s="868"/>
      <c r="HJ1199" s="867"/>
      <c r="HK1199" s="868"/>
      <c r="HL1199" s="370"/>
      <c r="HM1199" s="865"/>
      <c r="HN1199" s="866"/>
      <c r="HO1199" s="865"/>
      <c r="HP1199" s="866"/>
      <c r="HQ1199" s="865"/>
      <c r="HR1199" s="866"/>
      <c r="HS1199" s="867"/>
      <c r="HT1199" s="868"/>
      <c r="HU1199" s="489"/>
      <c r="HV1199" s="865"/>
      <c r="HW1199" s="866"/>
    </row>
    <row r="1200" spans="25:231" ht="15" customHeight="1">
      <c r="Y1200" s="332"/>
      <c r="Z1200" s="332"/>
      <c r="AA1200" s="332"/>
      <c r="AB1200" s="332"/>
      <c r="AC1200" s="332"/>
      <c r="AD1200" s="332"/>
      <c r="AE1200" s="332"/>
      <c r="AF1200" s="332"/>
      <c r="AG1200" s="332"/>
      <c r="AH1200" s="332"/>
      <c r="AI1200" s="332"/>
      <c r="AJ1200" s="332"/>
      <c r="AK1200" s="332"/>
      <c r="AL1200" s="332"/>
      <c r="AM1200" s="332"/>
      <c r="AN1200" s="332"/>
      <c r="AO1200" s="332"/>
      <c r="AP1200" s="332"/>
      <c r="AQ1200" s="332"/>
      <c r="AR1200" s="332"/>
      <c r="AS1200" s="332"/>
      <c r="AT1200" s="332"/>
      <c r="AU1200" s="332"/>
      <c r="AV1200" s="332"/>
      <c r="AW1200" s="332"/>
      <c r="AX1200" s="332"/>
      <c r="AY1200" s="332"/>
      <c r="AZ1200" s="332"/>
      <c r="BA1200" s="332"/>
      <c r="BB1200" s="332"/>
      <c r="BC1200" s="332"/>
      <c r="BD1200" s="332"/>
      <c r="BE1200" s="332"/>
      <c r="BF1200" s="332"/>
      <c r="BG1200" s="332"/>
      <c r="BH1200" s="332"/>
      <c r="BI1200" s="332"/>
      <c r="BJ1200" s="332"/>
      <c r="BK1200" s="332"/>
      <c r="BL1200" s="332"/>
      <c r="BM1200" s="332"/>
      <c r="BN1200" s="332"/>
      <c r="BO1200" s="332"/>
      <c r="BP1200" s="332"/>
      <c r="BQ1200" s="332"/>
      <c r="BR1200" s="332"/>
      <c r="BS1200" s="332"/>
      <c r="BT1200" s="332"/>
      <c r="BU1200" s="332"/>
      <c r="BV1200" s="332"/>
      <c r="BW1200" s="332"/>
      <c r="BX1200" s="332"/>
      <c r="BY1200" s="332"/>
      <c r="BZ1200" s="332"/>
      <c r="CA1200" s="332"/>
      <c r="CB1200" s="332"/>
      <c r="CC1200" s="332"/>
      <c r="CD1200" s="332"/>
      <c r="CE1200" s="332"/>
      <c r="CF1200" s="332"/>
      <c r="CG1200" s="332"/>
      <c r="CH1200" s="332"/>
      <c r="CI1200" s="332"/>
      <c r="CJ1200" s="332"/>
      <c r="CK1200" s="332"/>
      <c r="CL1200" s="332"/>
      <c r="CM1200" s="332"/>
      <c r="CN1200" s="332"/>
      <c r="CO1200" s="332"/>
      <c r="CP1200" s="332"/>
      <c r="CQ1200" s="332"/>
      <c r="CR1200" s="332"/>
      <c r="CS1200" s="332"/>
      <c r="CT1200" s="332"/>
      <c r="CU1200" s="332"/>
      <c r="CV1200" s="332"/>
      <c r="CW1200" s="332"/>
      <c r="CX1200" s="332"/>
      <c r="CY1200" s="332"/>
      <c r="CZ1200" s="332"/>
      <c r="DA1200" s="332"/>
      <c r="DB1200" s="332"/>
      <c r="DC1200" s="332"/>
      <c r="DD1200" s="332"/>
      <c r="DE1200" s="332"/>
      <c r="DF1200" s="332"/>
      <c r="DG1200" s="332"/>
      <c r="DH1200" s="332"/>
      <c r="DI1200" s="332"/>
      <c r="DJ1200" s="332"/>
      <c r="DK1200" s="332"/>
      <c r="DL1200" s="332"/>
      <c r="DM1200" s="332"/>
      <c r="DN1200" s="332"/>
      <c r="DO1200" s="332"/>
      <c r="DP1200" s="332"/>
      <c r="DQ1200" s="332"/>
      <c r="DR1200" s="332"/>
      <c r="DS1200" s="332"/>
      <c r="DT1200" s="332"/>
      <c r="DU1200" s="453"/>
      <c r="DV1200" s="453"/>
      <c r="DW1200" s="453"/>
      <c r="DX1200" s="453"/>
      <c r="DY1200" s="453"/>
      <c r="DZ1200" s="453"/>
      <c r="EA1200" s="453"/>
      <c r="EB1200" s="453"/>
      <c r="EC1200" s="453"/>
      <c r="ED1200" s="453"/>
      <c r="EE1200" s="453"/>
      <c r="EF1200" s="453"/>
      <c r="EG1200" s="453"/>
      <c r="EH1200" s="453"/>
      <c r="EI1200" s="453"/>
      <c r="EJ1200" s="453"/>
      <c r="EK1200" s="453"/>
      <c r="EL1200" s="453"/>
      <c r="EM1200" s="483">
        <f t="shared" si="254"/>
        <v>891</v>
      </c>
      <c r="EN1200" s="485"/>
      <c r="EO1200" s="458"/>
      <c r="EP1200" s="467"/>
      <c r="EQ1200" s="457"/>
      <c r="ER1200" s="808"/>
      <c r="ES1200" s="881">
        <f t="shared" si="255"/>
        <v>0</v>
      </c>
      <c r="ET1200" s="882"/>
      <c r="EU1200" s="883"/>
      <c r="EV1200" s="884">
        <f t="shared" si="256"/>
        <v>0</v>
      </c>
      <c r="EW1200" s="885"/>
      <c r="EX1200" s="885"/>
      <c r="EY1200" s="885"/>
      <c r="EZ1200" s="885"/>
      <c r="FA1200" s="885"/>
      <c r="FB1200" s="885"/>
      <c r="FC1200" s="885"/>
      <c r="FD1200" s="886"/>
      <c r="FE1200" s="878"/>
      <c r="FF1200" s="878"/>
      <c r="FG1200" s="878"/>
      <c r="FH1200" s="878"/>
      <c r="FI1200" s="878"/>
      <c r="FJ1200" s="878"/>
      <c r="FK1200" s="878"/>
      <c r="FL1200" s="555"/>
      <c r="FM1200" s="554"/>
      <c r="FN1200" s="554"/>
      <c r="FO1200" s="554"/>
      <c r="FP1200" s="554"/>
      <c r="FQ1200" s="554"/>
      <c r="FR1200" s="554"/>
      <c r="FS1200" s="554"/>
      <c r="FT1200" s="554"/>
      <c r="FU1200" s="554"/>
      <c r="FV1200" s="554"/>
      <c r="FW1200" s="554"/>
      <c r="FX1200" s="554"/>
      <c r="FY1200" s="554"/>
      <c r="FZ1200" s="554"/>
      <c r="GA1200" s="554"/>
      <c r="GB1200" s="556"/>
      <c r="GC1200" s="370"/>
      <c r="GD1200" s="453"/>
      <c r="GE1200" s="453"/>
      <c r="GF1200" s="453"/>
      <c r="GG1200" s="453"/>
      <c r="GH1200" s="454"/>
      <c r="GI1200" s="453"/>
      <c r="GJ1200" s="453"/>
      <c r="GK1200" s="453"/>
      <c r="GL1200" s="453"/>
      <c r="GM1200" s="453"/>
      <c r="GN1200" s="453"/>
      <c r="GO1200" s="453"/>
      <c r="GP1200" s="453"/>
      <c r="GQ1200" s="453"/>
      <c r="GR1200" s="453"/>
      <c r="GS1200" s="561"/>
      <c r="GT1200" s="475"/>
      <c r="GU1200" s="472"/>
      <c r="GV1200" s="453"/>
      <c r="GW1200" s="453"/>
      <c r="GX1200" s="869"/>
      <c r="GY1200" s="870"/>
      <c r="GZ1200" s="867"/>
      <c r="HA1200" s="868"/>
      <c r="HB1200" s="473"/>
      <c r="HC1200" s="869"/>
      <c r="HD1200" s="870"/>
      <c r="HE1200" s="867"/>
      <c r="HF1200" s="868"/>
      <c r="HG1200" s="473"/>
      <c r="HH1200" s="867"/>
      <c r="HI1200" s="868"/>
      <c r="HJ1200" s="867"/>
      <c r="HK1200" s="868"/>
      <c r="HL1200" s="370"/>
      <c r="HM1200" s="865"/>
      <c r="HN1200" s="866"/>
      <c r="HO1200" s="865"/>
      <c r="HP1200" s="866"/>
      <c r="HQ1200" s="865"/>
      <c r="HR1200" s="866"/>
      <c r="HS1200" s="867"/>
      <c r="HT1200" s="868"/>
      <c r="HU1200" s="489"/>
      <c r="HV1200" s="865"/>
      <c r="HW1200" s="866"/>
    </row>
    <row r="1201" spans="25:231" ht="15" customHeight="1">
      <c r="Y1201" s="332"/>
      <c r="Z1201" s="332"/>
      <c r="AA1201" s="332"/>
      <c r="AB1201" s="332"/>
      <c r="AC1201" s="332"/>
      <c r="AD1201" s="332"/>
      <c r="AE1201" s="332"/>
      <c r="AF1201" s="332"/>
      <c r="AG1201" s="332"/>
      <c r="AH1201" s="332"/>
      <c r="AI1201" s="332"/>
      <c r="AJ1201" s="332"/>
      <c r="AK1201" s="332"/>
      <c r="AL1201" s="332"/>
      <c r="AM1201" s="332"/>
      <c r="AN1201" s="332"/>
      <c r="AO1201" s="332"/>
      <c r="AP1201" s="332"/>
      <c r="AQ1201" s="332"/>
      <c r="AR1201" s="332"/>
      <c r="AS1201" s="332"/>
      <c r="AT1201" s="332"/>
      <c r="AU1201" s="332"/>
      <c r="AV1201" s="332"/>
      <c r="AW1201" s="332"/>
      <c r="AX1201" s="332"/>
      <c r="AY1201" s="332"/>
      <c r="AZ1201" s="332"/>
      <c r="BA1201" s="332"/>
      <c r="BB1201" s="332"/>
      <c r="BC1201" s="332"/>
      <c r="BD1201" s="332"/>
      <c r="BE1201" s="332"/>
      <c r="BF1201" s="332"/>
      <c r="BG1201" s="332"/>
      <c r="BH1201" s="332"/>
      <c r="BI1201" s="332"/>
      <c r="BJ1201" s="332"/>
      <c r="BK1201" s="332"/>
      <c r="BL1201" s="332"/>
      <c r="BM1201" s="332"/>
      <c r="BN1201" s="332"/>
      <c r="BO1201" s="332"/>
      <c r="BP1201" s="332"/>
      <c r="BQ1201" s="332"/>
      <c r="BR1201" s="332"/>
      <c r="BS1201" s="332"/>
      <c r="BT1201" s="332"/>
      <c r="BU1201" s="332"/>
      <c r="BV1201" s="332"/>
      <c r="BW1201" s="332"/>
      <c r="BX1201" s="332"/>
      <c r="BY1201" s="332"/>
      <c r="BZ1201" s="332"/>
      <c r="CA1201" s="332"/>
      <c r="CB1201" s="332"/>
      <c r="CC1201" s="332"/>
      <c r="CD1201" s="332"/>
      <c r="CE1201" s="332"/>
      <c r="CF1201" s="332"/>
      <c r="CG1201" s="332"/>
      <c r="CH1201" s="332"/>
      <c r="CI1201" s="332"/>
      <c r="CJ1201" s="332"/>
      <c r="CK1201" s="332"/>
      <c r="CL1201" s="332"/>
      <c r="CM1201" s="332"/>
      <c r="CN1201" s="332"/>
      <c r="CO1201" s="332"/>
      <c r="CP1201" s="332"/>
      <c r="CQ1201" s="332"/>
      <c r="CR1201" s="332"/>
      <c r="CS1201" s="332"/>
      <c r="CT1201" s="332"/>
      <c r="CU1201" s="332"/>
      <c r="CV1201" s="332"/>
      <c r="CW1201" s="332"/>
      <c r="CX1201" s="332"/>
      <c r="CY1201" s="332"/>
      <c r="CZ1201" s="332"/>
      <c r="DA1201" s="332"/>
      <c r="DB1201" s="332"/>
      <c r="DC1201" s="332"/>
      <c r="DD1201" s="332"/>
      <c r="DE1201" s="332"/>
      <c r="DF1201" s="332"/>
      <c r="DG1201" s="332"/>
      <c r="DH1201" s="332"/>
      <c r="DI1201" s="332"/>
      <c r="DJ1201" s="332"/>
      <c r="DK1201" s="332"/>
      <c r="DL1201" s="332"/>
      <c r="DM1201" s="332"/>
      <c r="DN1201" s="332"/>
      <c r="DO1201" s="332"/>
      <c r="DP1201" s="332"/>
      <c r="DQ1201" s="332"/>
      <c r="DR1201" s="332"/>
      <c r="DS1201" s="332"/>
      <c r="DT1201" s="332"/>
      <c r="DU1201" s="453"/>
      <c r="DV1201" s="453"/>
      <c r="DW1201" s="453"/>
      <c r="DX1201" s="453"/>
      <c r="DY1201" s="453"/>
      <c r="DZ1201" s="453"/>
      <c r="EA1201" s="453"/>
      <c r="EB1201" s="453"/>
      <c r="EC1201" s="453"/>
      <c r="ED1201" s="453"/>
      <c r="EE1201" s="453"/>
      <c r="EF1201" s="453"/>
      <c r="EG1201" s="453"/>
      <c r="EH1201" s="453"/>
      <c r="EI1201" s="453"/>
      <c r="EJ1201" s="453"/>
      <c r="EK1201" s="453"/>
      <c r="EL1201" s="453"/>
      <c r="EM1201" s="483">
        <f t="shared" si="254"/>
        <v>892</v>
      </c>
      <c r="EN1201" s="485"/>
      <c r="EO1201" s="458"/>
      <c r="EP1201" s="467"/>
      <c r="EQ1201" s="457"/>
      <c r="ER1201" s="808"/>
      <c r="ES1201" s="881">
        <f t="shared" si="255"/>
        <v>0</v>
      </c>
      <c r="ET1201" s="882"/>
      <c r="EU1201" s="883"/>
      <c r="EV1201" s="884">
        <f t="shared" si="256"/>
        <v>0</v>
      </c>
      <c r="EW1201" s="885"/>
      <c r="EX1201" s="885"/>
      <c r="EY1201" s="885"/>
      <c r="EZ1201" s="885"/>
      <c r="FA1201" s="885"/>
      <c r="FB1201" s="885"/>
      <c r="FC1201" s="885"/>
      <c r="FD1201" s="886"/>
      <c r="FE1201" s="878"/>
      <c r="FF1201" s="878"/>
      <c r="FG1201" s="878"/>
      <c r="FH1201" s="878"/>
      <c r="FI1201" s="878"/>
      <c r="FJ1201" s="878"/>
      <c r="FK1201" s="878"/>
      <c r="FL1201" s="555"/>
      <c r="FM1201" s="554"/>
      <c r="FN1201" s="554"/>
      <c r="FO1201" s="554"/>
      <c r="FP1201" s="554"/>
      <c r="FQ1201" s="554"/>
      <c r="FR1201" s="554"/>
      <c r="FS1201" s="554"/>
      <c r="FT1201" s="554"/>
      <c r="FU1201" s="554"/>
      <c r="FV1201" s="554"/>
      <c r="FW1201" s="554"/>
      <c r="FX1201" s="554"/>
      <c r="FY1201" s="554"/>
      <c r="FZ1201" s="554"/>
      <c r="GA1201" s="554"/>
      <c r="GB1201" s="556"/>
      <c r="GC1201" s="370"/>
      <c r="GD1201" s="453"/>
      <c r="GE1201" s="453"/>
      <c r="GF1201" s="453"/>
      <c r="GG1201" s="453"/>
      <c r="GH1201" s="454"/>
      <c r="GI1201" s="453"/>
      <c r="GJ1201" s="453"/>
      <c r="GK1201" s="453"/>
      <c r="GL1201" s="453"/>
      <c r="GM1201" s="453"/>
      <c r="GN1201" s="453"/>
      <c r="GO1201" s="453"/>
      <c r="GP1201" s="453"/>
      <c r="GQ1201" s="453"/>
      <c r="GR1201" s="453"/>
      <c r="GS1201" s="561"/>
      <c r="GT1201" s="475"/>
      <c r="GU1201" s="472"/>
      <c r="GV1201" s="453"/>
      <c r="GW1201" s="453"/>
      <c r="GX1201" s="869"/>
      <c r="GY1201" s="870"/>
      <c r="GZ1201" s="867"/>
      <c r="HA1201" s="868"/>
      <c r="HB1201" s="473"/>
      <c r="HC1201" s="869"/>
      <c r="HD1201" s="870"/>
      <c r="HE1201" s="867"/>
      <c r="HF1201" s="868"/>
      <c r="HG1201" s="473"/>
      <c r="HH1201" s="867"/>
      <c r="HI1201" s="868"/>
      <c r="HJ1201" s="867"/>
      <c r="HK1201" s="868"/>
      <c r="HL1201" s="370"/>
      <c r="HM1201" s="865"/>
      <c r="HN1201" s="866"/>
      <c r="HO1201" s="865"/>
      <c r="HP1201" s="866"/>
      <c r="HQ1201" s="865"/>
      <c r="HR1201" s="866"/>
      <c r="HS1201" s="867"/>
      <c r="HT1201" s="868"/>
      <c r="HU1201" s="489"/>
      <c r="HV1201" s="865"/>
      <c r="HW1201" s="866"/>
    </row>
    <row r="1202" spans="25:231" ht="15" customHeight="1">
      <c r="Y1202" s="332"/>
      <c r="Z1202" s="332"/>
      <c r="AA1202" s="332"/>
      <c r="AB1202" s="332"/>
      <c r="AC1202" s="332"/>
      <c r="AD1202" s="332"/>
      <c r="AE1202" s="332"/>
      <c r="AF1202" s="332"/>
      <c r="AG1202" s="332"/>
      <c r="AH1202" s="332"/>
      <c r="AI1202" s="332"/>
      <c r="AJ1202" s="332"/>
      <c r="AK1202" s="332"/>
      <c r="AL1202" s="332"/>
      <c r="AM1202" s="332"/>
      <c r="AN1202" s="332"/>
      <c r="AO1202" s="332"/>
      <c r="AP1202" s="332"/>
      <c r="AQ1202" s="332"/>
      <c r="AR1202" s="332"/>
      <c r="AS1202" s="332"/>
      <c r="AT1202" s="332"/>
      <c r="AU1202" s="332"/>
      <c r="AV1202" s="332"/>
      <c r="AW1202" s="332"/>
      <c r="AX1202" s="332"/>
      <c r="AY1202" s="332"/>
      <c r="AZ1202" s="332"/>
      <c r="BA1202" s="332"/>
      <c r="BB1202" s="332"/>
      <c r="BC1202" s="332"/>
      <c r="BD1202" s="332"/>
      <c r="BE1202" s="332"/>
      <c r="BF1202" s="332"/>
      <c r="BG1202" s="332"/>
      <c r="BH1202" s="332"/>
      <c r="BI1202" s="332"/>
      <c r="BJ1202" s="332"/>
      <c r="BK1202" s="332"/>
      <c r="BL1202" s="332"/>
      <c r="BM1202" s="332"/>
      <c r="BN1202" s="332"/>
      <c r="BO1202" s="332"/>
      <c r="BP1202" s="332"/>
      <c r="BQ1202" s="332"/>
      <c r="BR1202" s="332"/>
      <c r="BS1202" s="332"/>
      <c r="BT1202" s="332"/>
      <c r="BU1202" s="332"/>
      <c r="BV1202" s="332"/>
      <c r="BW1202" s="332"/>
      <c r="BX1202" s="332"/>
      <c r="BY1202" s="332"/>
      <c r="BZ1202" s="332"/>
      <c r="CA1202" s="332"/>
      <c r="CB1202" s="332"/>
      <c r="CC1202" s="332"/>
      <c r="CD1202" s="332"/>
      <c r="CE1202" s="332"/>
      <c r="CF1202" s="332"/>
      <c r="CG1202" s="332"/>
      <c r="CH1202" s="332"/>
      <c r="CI1202" s="332"/>
      <c r="CJ1202" s="332"/>
      <c r="CK1202" s="332"/>
      <c r="CL1202" s="332"/>
      <c r="CM1202" s="332"/>
      <c r="CN1202" s="332"/>
      <c r="CO1202" s="332"/>
      <c r="CP1202" s="332"/>
      <c r="CQ1202" s="332"/>
      <c r="CR1202" s="332"/>
      <c r="CS1202" s="332"/>
      <c r="CT1202" s="332"/>
      <c r="CU1202" s="332"/>
      <c r="CV1202" s="332"/>
      <c r="CW1202" s="332"/>
      <c r="CX1202" s="332"/>
      <c r="CY1202" s="332"/>
      <c r="CZ1202" s="332"/>
      <c r="DA1202" s="332"/>
      <c r="DB1202" s="332"/>
      <c r="DC1202" s="332"/>
      <c r="DD1202" s="332"/>
      <c r="DE1202" s="332"/>
      <c r="DF1202" s="332"/>
      <c r="DG1202" s="332"/>
      <c r="DH1202" s="332"/>
      <c r="DI1202" s="332"/>
      <c r="DJ1202" s="332"/>
      <c r="DK1202" s="332"/>
      <c r="DL1202" s="332"/>
      <c r="DM1202" s="332"/>
      <c r="DN1202" s="332"/>
      <c r="DO1202" s="332"/>
      <c r="DP1202" s="332"/>
      <c r="DQ1202" s="332"/>
      <c r="DR1202" s="332"/>
      <c r="DS1202" s="332"/>
      <c r="DT1202" s="332"/>
      <c r="DU1202" s="453"/>
      <c r="DV1202" s="453"/>
      <c r="DW1202" s="453"/>
      <c r="DX1202" s="453"/>
      <c r="DY1202" s="453"/>
      <c r="DZ1202" s="453"/>
      <c r="EA1202" s="453"/>
      <c r="EB1202" s="453"/>
      <c r="EC1202" s="453"/>
      <c r="ED1202" s="453"/>
      <c r="EE1202" s="453"/>
      <c r="EF1202" s="453"/>
      <c r="EG1202" s="453"/>
      <c r="EH1202" s="453"/>
      <c r="EI1202" s="453"/>
      <c r="EJ1202" s="453"/>
      <c r="EK1202" s="453"/>
      <c r="EL1202" s="453"/>
      <c r="EM1202" s="483">
        <f t="shared" si="254"/>
        <v>893</v>
      </c>
      <c r="EN1202" s="485"/>
      <c r="EO1202" s="458"/>
      <c r="EP1202" s="467"/>
      <c r="EQ1202" s="457"/>
      <c r="ER1202" s="808"/>
      <c r="ES1202" s="881">
        <f t="shared" si="255"/>
        <v>0</v>
      </c>
      <c r="ET1202" s="882"/>
      <c r="EU1202" s="883"/>
      <c r="EV1202" s="884">
        <f t="shared" si="256"/>
        <v>0</v>
      </c>
      <c r="EW1202" s="885"/>
      <c r="EX1202" s="885"/>
      <c r="EY1202" s="885"/>
      <c r="EZ1202" s="885"/>
      <c r="FA1202" s="885"/>
      <c r="FB1202" s="885"/>
      <c r="FC1202" s="885"/>
      <c r="FD1202" s="886"/>
      <c r="FE1202" s="878"/>
      <c r="FF1202" s="878"/>
      <c r="FG1202" s="878"/>
      <c r="FH1202" s="878"/>
      <c r="FI1202" s="878"/>
      <c r="FJ1202" s="878"/>
      <c r="FK1202" s="878"/>
      <c r="FL1202" s="555"/>
      <c r="FM1202" s="554"/>
      <c r="FN1202" s="554"/>
      <c r="FO1202" s="554"/>
      <c r="FP1202" s="554"/>
      <c r="FQ1202" s="554"/>
      <c r="FR1202" s="554"/>
      <c r="FS1202" s="554"/>
      <c r="FT1202" s="554"/>
      <c r="FU1202" s="554"/>
      <c r="FV1202" s="554"/>
      <c r="FW1202" s="554"/>
      <c r="FX1202" s="554"/>
      <c r="FY1202" s="554"/>
      <c r="FZ1202" s="554"/>
      <c r="GA1202" s="554"/>
      <c r="GB1202" s="556"/>
      <c r="GC1202" s="370"/>
      <c r="GD1202" s="453"/>
      <c r="GE1202" s="453"/>
      <c r="GF1202" s="453"/>
      <c r="GG1202" s="453"/>
      <c r="GH1202" s="454"/>
      <c r="GI1202" s="453"/>
      <c r="GJ1202" s="453"/>
      <c r="GK1202" s="453"/>
      <c r="GL1202" s="453"/>
      <c r="GM1202" s="453"/>
      <c r="GN1202" s="453"/>
      <c r="GO1202" s="453"/>
      <c r="GP1202" s="453"/>
      <c r="GQ1202" s="453"/>
      <c r="GR1202" s="453"/>
      <c r="GS1202" s="561"/>
      <c r="GT1202" s="475"/>
      <c r="GU1202" s="472"/>
      <c r="GV1202" s="453"/>
      <c r="GW1202" s="453"/>
      <c r="GX1202" s="869"/>
      <c r="GY1202" s="870"/>
      <c r="GZ1202" s="867"/>
      <c r="HA1202" s="868"/>
      <c r="HB1202" s="473"/>
      <c r="HC1202" s="869"/>
      <c r="HD1202" s="870"/>
      <c r="HE1202" s="867"/>
      <c r="HF1202" s="868"/>
      <c r="HG1202" s="473"/>
      <c r="HH1202" s="867"/>
      <c r="HI1202" s="868"/>
      <c r="HJ1202" s="867"/>
      <c r="HK1202" s="868"/>
      <c r="HL1202" s="370"/>
      <c r="HM1202" s="865"/>
      <c r="HN1202" s="866"/>
      <c r="HO1202" s="865"/>
      <c r="HP1202" s="866"/>
      <c r="HQ1202" s="865"/>
      <c r="HR1202" s="866"/>
      <c r="HS1202" s="867"/>
      <c r="HT1202" s="868"/>
      <c r="HU1202" s="489"/>
      <c r="HV1202" s="865"/>
      <c r="HW1202" s="866"/>
    </row>
    <row r="1203" spans="25:231" ht="15" customHeight="1">
      <c r="Y1203" s="332"/>
      <c r="Z1203" s="332"/>
      <c r="AA1203" s="332"/>
      <c r="AB1203" s="332"/>
      <c r="AC1203" s="332"/>
      <c r="AD1203" s="332"/>
      <c r="AE1203" s="332"/>
      <c r="AF1203" s="332"/>
      <c r="AG1203" s="332"/>
      <c r="AH1203" s="332"/>
      <c r="AI1203" s="332"/>
      <c r="AJ1203" s="332"/>
      <c r="AK1203" s="332"/>
      <c r="AL1203" s="332"/>
      <c r="AM1203" s="332"/>
      <c r="AN1203" s="332"/>
      <c r="AO1203" s="332"/>
      <c r="AP1203" s="332"/>
      <c r="AQ1203" s="332"/>
      <c r="AR1203" s="332"/>
      <c r="AS1203" s="332"/>
      <c r="AT1203" s="332"/>
      <c r="AU1203" s="332"/>
      <c r="AV1203" s="332"/>
      <c r="AW1203" s="332"/>
      <c r="AX1203" s="332"/>
      <c r="AY1203" s="332"/>
      <c r="AZ1203" s="332"/>
      <c r="BA1203" s="332"/>
      <c r="BB1203" s="332"/>
      <c r="BC1203" s="332"/>
      <c r="BD1203" s="332"/>
      <c r="BE1203" s="332"/>
      <c r="BF1203" s="332"/>
      <c r="BG1203" s="332"/>
      <c r="BH1203" s="332"/>
      <c r="BI1203" s="332"/>
      <c r="BJ1203" s="332"/>
      <c r="BK1203" s="332"/>
      <c r="BL1203" s="332"/>
      <c r="BM1203" s="332"/>
      <c r="BN1203" s="332"/>
      <c r="BO1203" s="332"/>
      <c r="BP1203" s="332"/>
      <c r="BQ1203" s="332"/>
      <c r="BR1203" s="332"/>
      <c r="BS1203" s="332"/>
      <c r="BT1203" s="332"/>
      <c r="BU1203" s="332"/>
      <c r="BV1203" s="332"/>
      <c r="BW1203" s="332"/>
      <c r="BX1203" s="332"/>
      <c r="BY1203" s="332"/>
      <c r="BZ1203" s="332"/>
      <c r="CA1203" s="332"/>
      <c r="CB1203" s="332"/>
      <c r="CC1203" s="332"/>
      <c r="CD1203" s="332"/>
      <c r="CE1203" s="332"/>
      <c r="CF1203" s="332"/>
      <c r="CG1203" s="332"/>
      <c r="CH1203" s="332"/>
      <c r="CI1203" s="332"/>
      <c r="CJ1203" s="332"/>
      <c r="CK1203" s="332"/>
      <c r="CL1203" s="332"/>
      <c r="CM1203" s="332"/>
      <c r="CN1203" s="332"/>
      <c r="CO1203" s="332"/>
      <c r="CP1203" s="332"/>
      <c r="CQ1203" s="332"/>
      <c r="CR1203" s="332"/>
      <c r="CS1203" s="332"/>
      <c r="CT1203" s="332"/>
      <c r="CU1203" s="332"/>
      <c r="CV1203" s="332"/>
      <c r="CW1203" s="332"/>
      <c r="CX1203" s="332"/>
      <c r="CY1203" s="332"/>
      <c r="CZ1203" s="332"/>
      <c r="DA1203" s="332"/>
      <c r="DB1203" s="332"/>
      <c r="DC1203" s="332"/>
      <c r="DD1203" s="332"/>
      <c r="DE1203" s="332"/>
      <c r="DF1203" s="332"/>
      <c r="DG1203" s="332"/>
      <c r="DH1203" s="332"/>
      <c r="DI1203" s="332"/>
      <c r="DJ1203" s="332"/>
      <c r="DK1203" s="332"/>
      <c r="DL1203" s="332"/>
      <c r="DM1203" s="332"/>
      <c r="DN1203" s="332"/>
      <c r="DO1203" s="332"/>
      <c r="DP1203" s="332"/>
      <c r="DQ1203" s="332"/>
      <c r="DR1203" s="332"/>
      <c r="DS1203" s="332"/>
      <c r="DT1203" s="332"/>
      <c r="DU1203" s="453"/>
      <c r="DV1203" s="453"/>
      <c r="DW1203" s="453"/>
      <c r="DX1203" s="453"/>
      <c r="DY1203" s="453"/>
      <c r="DZ1203" s="453"/>
      <c r="EA1203" s="453"/>
      <c r="EB1203" s="453"/>
      <c r="EC1203" s="453"/>
      <c r="ED1203" s="453"/>
      <c r="EE1203" s="453"/>
      <c r="EF1203" s="453"/>
      <c r="EG1203" s="453"/>
      <c r="EH1203" s="453"/>
      <c r="EI1203" s="453"/>
      <c r="EJ1203" s="453"/>
      <c r="EK1203" s="453"/>
      <c r="EL1203" s="453"/>
      <c r="EM1203" s="483">
        <f t="shared" si="254"/>
        <v>894</v>
      </c>
      <c r="EN1203" s="485"/>
      <c r="EO1203" s="458"/>
      <c r="EP1203" s="467"/>
      <c r="EQ1203" s="457"/>
      <c r="ER1203" s="808"/>
      <c r="ES1203" s="881">
        <f t="shared" si="255"/>
        <v>0</v>
      </c>
      <c r="ET1203" s="882"/>
      <c r="EU1203" s="883"/>
      <c r="EV1203" s="884">
        <f t="shared" si="256"/>
        <v>0</v>
      </c>
      <c r="EW1203" s="885"/>
      <c r="EX1203" s="885"/>
      <c r="EY1203" s="885"/>
      <c r="EZ1203" s="885"/>
      <c r="FA1203" s="885"/>
      <c r="FB1203" s="885"/>
      <c r="FC1203" s="885"/>
      <c r="FD1203" s="886"/>
      <c r="FE1203" s="878"/>
      <c r="FF1203" s="878"/>
      <c r="FG1203" s="878"/>
      <c r="FH1203" s="878"/>
      <c r="FI1203" s="878"/>
      <c r="FJ1203" s="878"/>
      <c r="FK1203" s="878"/>
      <c r="FL1203" s="555"/>
      <c r="FM1203" s="554"/>
      <c r="FN1203" s="554"/>
      <c r="FO1203" s="554"/>
      <c r="FP1203" s="554"/>
      <c r="FQ1203" s="554"/>
      <c r="FR1203" s="554"/>
      <c r="FS1203" s="554"/>
      <c r="FT1203" s="554"/>
      <c r="FU1203" s="554"/>
      <c r="FV1203" s="554"/>
      <c r="FW1203" s="554"/>
      <c r="FX1203" s="554"/>
      <c r="FY1203" s="554"/>
      <c r="FZ1203" s="554"/>
      <c r="GA1203" s="554"/>
      <c r="GB1203" s="556"/>
      <c r="GC1203" s="370"/>
      <c r="GD1203" s="453"/>
      <c r="GE1203" s="453"/>
      <c r="GF1203" s="453"/>
      <c r="GG1203" s="453"/>
      <c r="GH1203" s="454"/>
      <c r="GI1203" s="453"/>
      <c r="GJ1203" s="453"/>
      <c r="GK1203" s="453"/>
      <c r="GL1203" s="453"/>
      <c r="GM1203" s="453"/>
      <c r="GN1203" s="453"/>
      <c r="GO1203" s="453"/>
      <c r="GP1203" s="453"/>
      <c r="GQ1203" s="453"/>
      <c r="GR1203" s="453"/>
      <c r="GS1203" s="561"/>
      <c r="GT1203" s="475"/>
      <c r="GU1203" s="472"/>
      <c r="GV1203" s="453"/>
      <c r="GW1203" s="453"/>
      <c r="GX1203" s="869"/>
      <c r="GY1203" s="870"/>
      <c r="GZ1203" s="867"/>
      <c r="HA1203" s="868"/>
      <c r="HB1203" s="473"/>
      <c r="HC1203" s="869"/>
      <c r="HD1203" s="870"/>
      <c r="HE1203" s="867"/>
      <c r="HF1203" s="868"/>
      <c r="HG1203" s="473"/>
      <c r="HH1203" s="867"/>
      <c r="HI1203" s="868"/>
      <c r="HJ1203" s="867"/>
      <c r="HK1203" s="868"/>
      <c r="HL1203" s="370"/>
      <c r="HM1203" s="865"/>
      <c r="HN1203" s="866"/>
      <c r="HO1203" s="865"/>
      <c r="HP1203" s="866"/>
      <c r="HQ1203" s="865"/>
      <c r="HR1203" s="866"/>
      <c r="HS1203" s="867"/>
      <c r="HT1203" s="868"/>
      <c r="HU1203" s="489"/>
      <c r="HV1203" s="865"/>
      <c r="HW1203" s="866"/>
    </row>
    <row r="1204" spans="25:231" ht="15" customHeight="1">
      <c r="Y1204" s="332"/>
      <c r="Z1204" s="332"/>
      <c r="AA1204" s="332"/>
      <c r="AB1204" s="332"/>
      <c r="AC1204" s="332"/>
      <c r="AD1204" s="332"/>
      <c r="AE1204" s="332"/>
      <c r="AF1204" s="332"/>
      <c r="AG1204" s="332"/>
      <c r="AH1204" s="332"/>
      <c r="AI1204" s="332"/>
      <c r="AJ1204" s="332"/>
      <c r="AK1204" s="332"/>
      <c r="AL1204" s="332"/>
      <c r="AM1204" s="332"/>
      <c r="AN1204" s="332"/>
      <c r="AO1204" s="332"/>
      <c r="AP1204" s="332"/>
      <c r="AQ1204" s="332"/>
      <c r="AR1204" s="332"/>
      <c r="AS1204" s="332"/>
      <c r="AT1204" s="332"/>
      <c r="AU1204" s="332"/>
      <c r="AV1204" s="332"/>
      <c r="AW1204" s="332"/>
      <c r="AX1204" s="332"/>
      <c r="AY1204" s="332"/>
      <c r="AZ1204" s="332"/>
      <c r="BA1204" s="332"/>
      <c r="BB1204" s="332"/>
      <c r="BC1204" s="332"/>
      <c r="BD1204" s="332"/>
      <c r="BE1204" s="332"/>
      <c r="BF1204" s="332"/>
      <c r="BG1204" s="332"/>
      <c r="BH1204" s="332"/>
      <c r="BI1204" s="332"/>
      <c r="BJ1204" s="332"/>
      <c r="BK1204" s="332"/>
      <c r="BL1204" s="332"/>
      <c r="BM1204" s="332"/>
      <c r="BN1204" s="332"/>
      <c r="BO1204" s="332"/>
      <c r="BP1204" s="332"/>
      <c r="BQ1204" s="332"/>
      <c r="BR1204" s="332"/>
      <c r="BS1204" s="332"/>
      <c r="BT1204" s="332"/>
      <c r="BU1204" s="332"/>
      <c r="BV1204" s="332"/>
      <c r="BW1204" s="332"/>
      <c r="BX1204" s="332"/>
      <c r="BY1204" s="332"/>
      <c r="BZ1204" s="332"/>
      <c r="CA1204" s="332"/>
      <c r="CB1204" s="332"/>
      <c r="CC1204" s="332"/>
      <c r="CD1204" s="332"/>
      <c r="CE1204" s="332"/>
      <c r="CF1204" s="332"/>
      <c r="CG1204" s="332"/>
      <c r="CH1204" s="332"/>
      <c r="CI1204" s="332"/>
      <c r="CJ1204" s="332"/>
      <c r="CK1204" s="332"/>
      <c r="CL1204" s="332"/>
      <c r="CM1204" s="332"/>
      <c r="CN1204" s="332"/>
      <c r="CO1204" s="332"/>
      <c r="CP1204" s="332"/>
      <c r="CQ1204" s="332"/>
      <c r="CR1204" s="332"/>
      <c r="CS1204" s="332"/>
      <c r="CT1204" s="332"/>
      <c r="CU1204" s="332"/>
      <c r="CV1204" s="332"/>
      <c r="CW1204" s="332"/>
      <c r="CX1204" s="332"/>
      <c r="CY1204" s="332"/>
      <c r="CZ1204" s="332"/>
      <c r="DA1204" s="332"/>
      <c r="DB1204" s="332"/>
      <c r="DC1204" s="332"/>
      <c r="DD1204" s="332"/>
      <c r="DE1204" s="332"/>
      <c r="DF1204" s="332"/>
      <c r="DG1204" s="332"/>
      <c r="DH1204" s="332"/>
      <c r="DI1204" s="332"/>
      <c r="DJ1204" s="332"/>
      <c r="DK1204" s="332"/>
      <c r="DL1204" s="332"/>
      <c r="DM1204" s="332"/>
      <c r="DN1204" s="332"/>
      <c r="DO1204" s="332"/>
      <c r="DP1204" s="332"/>
      <c r="DQ1204" s="332"/>
      <c r="DR1204" s="332"/>
      <c r="DS1204" s="332"/>
      <c r="DT1204" s="332"/>
      <c r="DU1204" s="453"/>
      <c r="DV1204" s="453"/>
      <c r="DW1204" s="453"/>
      <c r="DX1204" s="453"/>
      <c r="DY1204" s="453"/>
      <c r="DZ1204" s="453"/>
      <c r="EA1204" s="453"/>
      <c r="EB1204" s="453"/>
      <c r="EC1204" s="453"/>
      <c r="ED1204" s="453"/>
      <c r="EE1204" s="453"/>
      <c r="EF1204" s="453"/>
      <c r="EG1204" s="453"/>
      <c r="EH1204" s="453"/>
      <c r="EI1204" s="453"/>
      <c r="EJ1204" s="453"/>
      <c r="EK1204" s="453"/>
      <c r="EL1204" s="453"/>
      <c r="EM1204" s="483">
        <f t="shared" si="254"/>
        <v>895</v>
      </c>
      <c r="EN1204" s="485"/>
      <c r="EO1204" s="458"/>
      <c r="EP1204" s="467"/>
      <c r="EQ1204" s="457"/>
      <c r="ER1204" s="808"/>
      <c r="ES1204" s="881">
        <f t="shared" si="255"/>
        <v>0</v>
      </c>
      <c r="ET1204" s="882"/>
      <c r="EU1204" s="883"/>
      <c r="EV1204" s="884">
        <f t="shared" si="256"/>
        <v>0</v>
      </c>
      <c r="EW1204" s="885"/>
      <c r="EX1204" s="885"/>
      <c r="EY1204" s="885"/>
      <c r="EZ1204" s="885"/>
      <c r="FA1204" s="885"/>
      <c r="FB1204" s="885"/>
      <c r="FC1204" s="885"/>
      <c r="FD1204" s="886"/>
      <c r="FE1204" s="878"/>
      <c r="FF1204" s="878"/>
      <c r="FG1204" s="878"/>
      <c r="FH1204" s="878"/>
      <c r="FI1204" s="878"/>
      <c r="FJ1204" s="878"/>
      <c r="FK1204" s="878"/>
      <c r="FL1204" s="555"/>
      <c r="FM1204" s="554"/>
      <c r="FN1204" s="554"/>
      <c r="FO1204" s="554"/>
      <c r="FP1204" s="554"/>
      <c r="FQ1204" s="554"/>
      <c r="FR1204" s="554"/>
      <c r="FS1204" s="554"/>
      <c r="FT1204" s="554"/>
      <c r="FU1204" s="554"/>
      <c r="FV1204" s="554"/>
      <c r="FW1204" s="554"/>
      <c r="FX1204" s="554"/>
      <c r="FY1204" s="554"/>
      <c r="FZ1204" s="554"/>
      <c r="GA1204" s="554"/>
      <c r="GB1204" s="556"/>
      <c r="GC1204" s="370"/>
      <c r="GD1204" s="453"/>
      <c r="GE1204" s="453"/>
      <c r="GF1204" s="453"/>
      <c r="GG1204" s="453"/>
      <c r="GH1204" s="454"/>
      <c r="GI1204" s="453"/>
      <c r="GJ1204" s="453"/>
      <c r="GK1204" s="453"/>
      <c r="GL1204" s="453"/>
      <c r="GM1204" s="453"/>
      <c r="GN1204" s="453"/>
      <c r="GO1204" s="453"/>
      <c r="GP1204" s="453"/>
      <c r="GQ1204" s="453"/>
      <c r="GR1204" s="453"/>
      <c r="GS1204" s="561"/>
      <c r="GT1204" s="475"/>
      <c r="GU1204" s="472"/>
      <c r="GV1204" s="453"/>
      <c r="GW1204" s="453"/>
      <c r="GX1204" s="869"/>
      <c r="GY1204" s="870"/>
      <c r="GZ1204" s="867"/>
      <c r="HA1204" s="868"/>
      <c r="HB1204" s="473"/>
      <c r="HC1204" s="869"/>
      <c r="HD1204" s="870"/>
      <c r="HE1204" s="867"/>
      <c r="HF1204" s="868"/>
      <c r="HG1204" s="473"/>
      <c r="HH1204" s="867"/>
      <c r="HI1204" s="868"/>
      <c r="HJ1204" s="867"/>
      <c r="HK1204" s="868"/>
      <c r="HL1204" s="370"/>
      <c r="HM1204" s="865"/>
      <c r="HN1204" s="866"/>
      <c r="HO1204" s="865"/>
      <c r="HP1204" s="866"/>
      <c r="HQ1204" s="865"/>
      <c r="HR1204" s="866"/>
      <c r="HS1204" s="867"/>
      <c r="HT1204" s="868"/>
      <c r="HU1204" s="489"/>
      <c r="HV1204" s="865"/>
      <c r="HW1204" s="866"/>
    </row>
    <row r="1205" spans="25:231" ht="15" customHeight="1">
      <c r="Y1205" s="332"/>
      <c r="Z1205" s="332"/>
      <c r="AA1205" s="332"/>
      <c r="AB1205" s="332"/>
      <c r="AC1205" s="332"/>
      <c r="AD1205" s="332"/>
      <c r="AE1205" s="332"/>
      <c r="AF1205" s="332"/>
      <c r="AG1205" s="332"/>
      <c r="AH1205" s="332"/>
      <c r="AI1205" s="332"/>
      <c r="AJ1205" s="332"/>
      <c r="AK1205" s="332"/>
      <c r="AL1205" s="332"/>
      <c r="AM1205" s="332"/>
      <c r="AN1205" s="332"/>
      <c r="AO1205" s="332"/>
      <c r="AP1205" s="332"/>
      <c r="AQ1205" s="332"/>
      <c r="AR1205" s="332"/>
      <c r="AS1205" s="332"/>
      <c r="AT1205" s="332"/>
      <c r="AU1205" s="332"/>
      <c r="AV1205" s="332"/>
      <c r="AW1205" s="332"/>
      <c r="AX1205" s="332"/>
      <c r="AY1205" s="332"/>
      <c r="AZ1205" s="332"/>
      <c r="BA1205" s="332"/>
      <c r="BB1205" s="332"/>
      <c r="BC1205" s="332"/>
      <c r="BD1205" s="332"/>
      <c r="BE1205" s="332"/>
      <c r="BF1205" s="332"/>
      <c r="BG1205" s="332"/>
      <c r="BH1205" s="332"/>
      <c r="BI1205" s="332"/>
      <c r="BJ1205" s="332"/>
      <c r="BK1205" s="332"/>
      <c r="BL1205" s="332"/>
      <c r="BM1205" s="332"/>
      <c r="BN1205" s="332"/>
      <c r="BO1205" s="332"/>
      <c r="BP1205" s="332"/>
      <c r="BQ1205" s="332"/>
      <c r="BR1205" s="332"/>
      <c r="BS1205" s="332"/>
      <c r="BT1205" s="332"/>
      <c r="BU1205" s="332"/>
      <c r="BV1205" s="332"/>
      <c r="BW1205" s="332"/>
      <c r="BX1205" s="332"/>
      <c r="BY1205" s="332"/>
      <c r="BZ1205" s="332"/>
      <c r="CA1205" s="332"/>
      <c r="CB1205" s="332"/>
      <c r="CC1205" s="332"/>
      <c r="CD1205" s="332"/>
      <c r="CE1205" s="332"/>
      <c r="CF1205" s="332"/>
      <c r="CG1205" s="332"/>
      <c r="CH1205" s="332"/>
      <c r="CI1205" s="332"/>
      <c r="CJ1205" s="332"/>
      <c r="CK1205" s="332"/>
      <c r="CL1205" s="332"/>
      <c r="CM1205" s="332"/>
      <c r="CN1205" s="332"/>
      <c r="CO1205" s="332"/>
      <c r="CP1205" s="332"/>
      <c r="CQ1205" s="332"/>
      <c r="CR1205" s="332"/>
      <c r="CS1205" s="332"/>
      <c r="CT1205" s="332"/>
      <c r="CU1205" s="332"/>
      <c r="CV1205" s="332"/>
      <c r="CW1205" s="332"/>
      <c r="CX1205" s="332"/>
      <c r="CY1205" s="332"/>
      <c r="CZ1205" s="332"/>
      <c r="DA1205" s="332"/>
      <c r="DB1205" s="332"/>
      <c r="DC1205" s="332"/>
      <c r="DD1205" s="332"/>
      <c r="DE1205" s="332"/>
      <c r="DF1205" s="332"/>
      <c r="DG1205" s="332"/>
      <c r="DH1205" s="332"/>
      <c r="DI1205" s="332"/>
      <c r="DJ1205" s="332"/>
      <c r="DK1205" s="332"/>
      <c r="DL1205" s="332"/>
      <c r="DM1205" s="332"/>
      <c r="DN1205" s="332"/>
      <c r="DO1205" s="332"/>
      <c r="DP1205" s="332"/>
      <c r="DQ1205" s="332"/>
      <c r="DR1205" s="332"/>
      <c r="DS1205" s="332"/>
      <c r="DT1205" s="332"/>
      <c r="DU1205" s="453"/>
      <c r="DV1205" s="453"/>
      <c r="DW1205" s="453"/>
      <c r="DX1205" s="453"/>
      <c r="DY1205" s="453"/>
      <c r="DZ1205" s="453"/>
      <c r="EA1205" s="453"/>
      <c r="EB1205" s="453"/>
      <c r="EC1205" s="453"/>
      <c r="ED1205" s="453"/>
      <c r="EE1205" s="453"/>
      <c r="EF1205" s="453"/>
      <c r="EG1205" s="453"/>
      <c r="EH1205" s="453"/>
      <c r="EI1205" s="453"/>
      <c r="EJ1205" s="453"/>
      <c r="EK1205" s="453"/>
      <c r="EL1205" s="453"/>
      <c r="EM1205" s="483">
        <f t="shared" si="254"/>
        <v>896</v>
      </c>
      <c r="EN1205" s="485"/>
      <c r="EO1205" s="458"/>
      <c r="EP1205" s="467"/>
      <c r="EQ1205" s="457"/>
      <c r="ER1205" s="808"/>
      <c r="ES1205" s="881">
        <f t="shared" si="255"/>
        <v>0</v>
      </c>
      <c r="ET1205" s="882"/>
      <c r="EU1205" s="883"/>
      <c r="EV1205" s="884">
        <f t="shared" si="256"/>
        <v>0</v>
      </c>
      <c r="EW1205" s="885"/>
      <c r="EX1205" s="885"/>
      <c r="EY1205" s="885"/>
      <c r="EZ1205" s="885"/>
      <c r="FA1205" s="885"/>
      <c r="FB1205" s="885"/>
      <c r="FC1205" s="885"/>
      <c r="FD1205" s="886"/>
      <c r="FE1205" s="878"/>
      <c r="FF1205" s="878"/>
      <c r="FG1205" s="878"/>
      <c r="FH1205" s="878"/>
      <c r="FI1205" s="878"/>
      <c r="FJ1205" s="878"/>
      <c r="FK1205" s="878"/>
      <c r="FL1205" s="555"/>
      <c r="FM1205" s="554"/>
      <c r="FN1205" s="554"/>
      <c r="FO1205" s="554"/>
      <c r="FP1205" s="554"/>
      <c r="FQ1205" s="554"/>
      <c r="FR1205" s="554"/>
      <c r="FS1205" s="554"/>
      <c r="FT1205" s="554"/>
      <c r="FU1205" s="554"/>
      <c r="FV1205" s="554"/>
      <c r="FW1205" s="554"/>
      <c r="FX1205" s="554"/>
      <c r="FY1205" s="554"/>
      <c r="FZ1205" s="554"/>
      <c r="GA1205" s="554"/>
      <c r="GB1205" s="556"/>
      <c r="GC1205" s="370"/>
      <c r="GD1205" s="453"/>
      <c r="GE1205" s="453"/>
      <c r="GF1205" s="453"/>
      <c r="GG1205" s="453"/>
      <c r="GH1205" s="454"/>
      <c r="GI1205" s="453"/>
      <c r="GJ1205" s="453"/>
      <c r="GK1205" s="453"/>
      <c r="GL1205" s="453"/>
      <c r="GM1205" s="453"/>
      <c r="GN1205" s="453"/>
      <c r="GO1205" s="453"/>
      <c r="GP1205" s="453"/>
      <c r="GQ1205" s="453"/>
      <c r="GR1205" s="453"/>
      <c r="GS1205" s="561"/>
      <c r="GT1205" s="475"/>
      <c r="GU1205" s="472"/>
      <c r="GV1205" s="453"/>
      <c r="GW1205" s="453"/>
      <c r="GX1205" s="869"/>
      <c r="GY1205" s="870"/>
      <c r="GZ1205" s="867"/>
      <c r="HA1205" s="868"/>
      <c r="HB1205" s="473"/>
      <c r="HC1205" s="869"/>
      <c r="HD1205" s="870"/>
      <c r="HE1205" s="867"/>
      <c r="HF1205" s="868"/>
      <c r="HG1205" s="473"/>
      <c r="HH1205" s="867"/>
      <c r="HI1205" s="868"/>
      <c r="HJ1205" s="867"/>
      <c r="HK1205" s="868"/>
      <c r="HL1205" s="370"/>
      <c r="HM1205" s="865"/>
      <c r="HN1205" s="866"/>
      <c r="HO1205" s="865"/>
      <c r="HP1205" s="866"/>
      <c r="HQ1205" s="865"/>
      <c r="HR1205" s="866"/>
      <c r="HS1205" s="867"/>
      <c r="HT1205" s="868"/>
      <c r="HU1205" s="489"/>
      <c r="HV1205" s="865"/>
      <c r="HW1205" s="866"/>
    </row>
    <row r="1206" spans="25:231" ht="15" customHeight="1">
      <c r="Y1206" s="332"/>
      <c r="Z1206" s="332"/>
      <c r="AA1206" s="332"/>
      <c r="AB1206" s="332"/>
      <c r="AC1206" s="332"/>
      <c r="AD1206" s="332"/>
      <c r="AE1206" s="332"/>
      <c r="AF1206" s="332"/>
      <c r="AG1206" s="332"/>
      <c r="AH1206" s="332"/>
      <c r="AI1206" s="332"/>
      <c r="AJ1206" s="332"/>
      <c r="AK1206" s="332"/>
      <c r="AL1206" s="332"/>
      <c r="AM1206" s="332"/>
      <c r="AN1206" s="332"/>
      <c r="AO1206" s="332"/>
      <c r="AP1206" s="332"/>
      <c r="AQ1206" s="332"/>
      <c r="AR1206" s="332"/>
      <c r="AS1206" s="332"/>
      <c r="AT1206" s="332"/>
      <c r="AU1206" s="332"/>
      <c r="AV1206" s="332"/>
      <c r="AW1206" s="332"/>
      <c r="AX1206" s="332"/>
      <c r="AY1206" s="332"/>
      <c r="AZ1206" s="332"/>
      <c r="BA1206" s="332"/>
      <c r="BB1206" s="332"/>
      <c r="BC1206" s="332"/>
      <c r="BD1206" s="332"/>
      <c r="BE1206" s="332"/>
      <c r="BF1206" s="332"/>
      <c r="BG1206" s="332"/>
      <c r="BH1206" s="332"/>
      <c r="BI1206" s="332"/>
      <c r="BJ1206" s="332"/>
      <c r="BK1206" s="332"/>
      <c r="BL1206" s="332"/>
      <c r="BM1206" s="332"/>
      <c r="BN1206" s="332"/>
      <c r="BO1206" s="332"/>
      <c r="BP1206" s="332"/>
      <c r="BQ1206" s="332"/>
      <c r="BR1206" s="332"/>
      <c r="BS1206" s="332"/>
      <c r="BT1206" s="332"/>
      <c r="BU1206" s="332"/>
      <c r="BV1206" s="332"/>
      <c r="BW1206" s="332"/>
      <c r="BX1206" s="332"/>
      <c r="BY1206" s="332"/>
      <c r="BZ1206" s="332"/>
      <c r="CA1206" s="332"/>
      <c r="CB1206" s="332"/>
      <c r="CC1206" s="332"/>
      <c r="CD1206" s="332"/>
      <c r="CE1206" s="332"/>
      <c r="CF1206" s="332"/>
      <c r="CG1206" s="332"/>
      <c r="CH1206" s="332"/>
      <c r="CI1206" s="332"/>
      <c r="CJ1206" s="332"/>
      <c r="CK1206" s="332"/>
      <c r="CL1206" s="332"/>
      <c r="CM1206" s="332"/>
      <c r="CN1206" s="332"/>
      <c r="CO1206" s="332"/>
      <c r="CP1206" s="332"/>
      <c r="CQ1206" s="332"/>
      <c r="CR1206" s="332"/>
      <c r="CS1206" s="332"/>
      <c r="CT1206" s="332"/>
      <c r="CU1206" s="332"/>
      <c r="CV1206" s="332"/>
      <c r="CW1206" s="332"/>
      <c r="CX1206" s="332"/>
      <c r="CY1206" s="332"/>
      <c r="CZ1206" s="332"/>
      <c r="DA1206" s="332"/>
      <c r="DB1206" s="332"/>
      <c r="DC1206" s="332"/>
      <c r="DD1206" s="332"/>
      <c r="DE1206" s="332"/>
      <c r="DF1206" s="332"/>
      <c r="DG1206" s="332"/>
      <c r="DH1206" s="332"/>
      <c r="DI1206" s="332"/>
      <c r="DJ1206" s="332"/>
      <c r="DK1206" s="332"/>
      <c r="DL1206" s="332"/>
      <c r="DM1206" s="332"/>
      <c r="DN1206" s="332"/>
      <c r="DO1206" s="332"/>
      <c r="DP1206" s="332"/>
      <c r="DQ1206" s="332"/>
      <c r="DR1206" s="332"/>
      <c r="DS1206" s="332"/>
      <c r="DT1206" s="332"/>
      <c r="DU1206" s="453"/>
      <c r="DV1206" s="453"/>
      <c r="DW1206" s="453"/>
      <c r="DX1206" s="453"/>
      <c r="DY1206" s="453"/>
      <c r="DZ1206" s="453"/>
      <c r="EA1206" s="453"/>
      <c r="EB1206" s="453"/>
      <c r="EC1206" s="453"/>
      <c r="ED1206" s="453"/>
      <c r="EE1206" s="453"/>
      <c r="EF1206" s="453"/>
      <c r="EG1206" s="453"/>
      <c r="EH1206" s="453"/>
      <c r="EI1206" s="453"/>
      <c r="EJ1206" s="453"/>
      <c r="EK1206" s="453"/>
      <c r="EL1206" s="453"/>
      <c r="EM1206" s="483">
        <f t="shared" si="254"/>
        <v>897</v>
      </c>
      <c r="EN1206" s="485"/>
      <c r="EO1206" s="458"/>
      <c r="EP1206" s="467"/>
      <c r="EQ1206" s="457"/>
      <c r="ER1206" s="808"/>
      <c r="ES1206" s="881">
        <f t="shared" si="255"/>
        <v>0</v>
      </c>
      <c r="ET1206" s="882"/>
      <c r="EU1206" s="883"/>
      <c r="EV1206" s="884">
        <f t="shared" si="256"/>
        <v>0</v>
      </c>
      <c r="EW1206" s="885"/>
      <c r="EX1206" s="885"/>
      <c r="EY1206" s="885"/>
      <c r="EZ1206" s="885"/>
      <c r="FA1206" s="885"/>
      <c r="FB1206" s="885"/>
      <c r="FC1206" s="885"/>
      <c r="FD1206" s="886"/>
      <c r="FE1206" s="878"/>
      <c r="FF1206" s="878"/>
      <c r="FG1206" s="878"/>
      <c r="FH1206" s="878"/>
      <c r="FI1206" s="878"/>
      <c r="FJ1206" s="878"/>
      <c r="FK1206" s="878"/>
      <c r="FL1206" s="555"/>
      <c r="FM1206" s="554"/>
      <c r="FN1206" s="554"/>
      <c r="FO1206" s="554"/>
      <c r="FP1206" s="554"/>
      <c r="FQ1206" s="554"/>
      <c r="FR1206" s="554"/>
      <c r="FS1206" s="554"/>
      <c r="FT1206" s="554"/>
      <c r="FU1206" s="554"/>
      <c r="FV1206" s="554"/>
      <c r="FW1206" s="554"/>
      <c r="FX1206" s="554"/>
      <c r="FY1206" s="554"/>
      <c r="FZ1206" s="554"/>
      <c r="GA1206" s="554"/>
      <c r="GB1206" s="556"/>
      <c r="GC1206" s="370"/>
      <c r="GD1206" s="453"/>
      <c r="GE1206" s="453"/>
      <c r="GF1206" s="453"/>
      <c r="GG1206" s="453"/>
      <c r="GH1206" s="454"/>
      <c r="GI1206" s="453"/>
      <c r="GJ1206" s="453"/>
      <c r="GK1206" s="453"/>
      <c r="GL1206" s="453"/>
      <c r="GM1206" s="453"/>
      <c r="GN1206" s="453"/>
      <c r="GO1206" s="453"/>
      <c r="GP1206" s="453"/>
      <c r="GQ1206" s="453"/>
      <c r="GR1206" s="453"/>
      <c r="GS1206" s="561"/>
      <c r="GT1206" s="475"/>
      <c r="GU1206" s="472"/>
      <c r="GV1206" s="453"/>
      <c r="GW1206" s="453"/>
      <c r="GX1206" s="869"/>
      <c r="GY1206" s="870"/>
      <c r="GZ1206" s="867"/>
      <c r="HA1206" s="868"/>
      <c r="HB1206" s="473"/>
      <c r="HC1206" s="869"/>
      <c r="HD1206" s="870"/>
      <c r="HE1206" s="867"/>
      <c r="HF1206" s="868"/>
      <c r="HG1206" s="473"/>
      <c r="HH1206" s="867"/>
      <c r="HI1206" s="868"/>
      <c r="HJ1206" s="867"/>
      <c r="HK1206" s="868"/>
      <c r="HL1206" s="370"/>
      <c r="HM1206" s="865"/>
      <c r="HN1206" s="866"/>
      <c r="HO1206" s="865"/>
      <c r="HP1206" s="866"/>
      <c r="HQ1206" s="865"/>
      <c r="HR1206" s="866"/>
      <c r="HS1206" s="867"/>
      <c r="HT1206" s="868"/>
      <c r="HU1206" s="489"/>
      <c r="HV1206" s="865"/>
      <c r="HW1206" s="866"/>
    </row>
    <row r="1207" spans="25:231" ht="15" customHeight="1">
      <c r="Y1207" s="332"/>
      <c r="Z1207" s="332"/>
      <c r="AA1207" s="332"/>
      <c r="AB1207" s="332"/>
      <c r="AC1207" s="332"/>
      <c r="AD1207" s="332"/>
      <c r="AE1207" s="332"/>
      <c r="AF1207" s="332"/>
      <c r="AG1207" s="332"/>
      <c r="AH1207" s="332"/>
      <c r="AI1207" s="332"/>
      <c r="AJ1207" s="332"/>
      <c r="AK1207" s="332"/>
      <c r="AL1207" s="332"/>
      <c r="AM1207" s="332"/>
      <c r="AN1207" s="332"/>
      <c r="AO1207" s="332"/>
      <c r="AP1207" s="332"/>
      <c r="AQ1207" s="332"/>
      <c r="AR1207" s="332"/>
      <c r="AS1207" s="332"/>
      <c r="AT1207" s="332"/>
      <c r="AU1207" s="332"/>
      <c r="AV1207" s="332"/>
      <c r="AW1207" s="332"/>
      <c r="AX1207" s="332"/>
      <c r="AY1207" s="332"/>
      <c r="AZ1207" s="332"/>
      <c r="BA1207" s="332"/>
      <c r="BB1207" s="332"/>
      <c r="BC1207" s="332"/>
      <c r="BD1207" s="332"/>
      <c r="BE1207" s="332"/>
      <c r="BF1207" s="332"/>
      <c r="BG1207" s="332"/>
      <c r="BH1207" s="332"/>
      <c r="BI1207" s="332"/>
      <c r="BJ1207" s="332"/>
      <c r="BK1207" s="332"/>
      <c r="BL1207" s="332"/>
      <c r="BM1207" s="332"/>
      <c r="BN1207" s="332"/>
      <c r="BO1207" s="332"/>
      <c r="BP1207" s="332"/>
      <c r="BQ1207" s="332"/>
      <c r="BR1207" s="332"/>
      <c r="BS1207" s="332"/>
      <c r="BT1207" s="332"/>
      <c r="BU1207" s="332"/>
      <c r="BV1207" s="332"/>
      <c r="BW1207" s="332"/>
      <c r="BX1207" s="332"/>
      <c r="BY1207" s="332"/>
      <c r="BZ1207" s="332"/>
      <c r="CA1207" s="332"/>
      <c r="CB1207" s="332"/>
      <c r="CC1207" s="332"/>
      <c r="CD1207" s="332"/>
      <c r="CE1207" s="332"/>
      <c r="CF1207" s="332"/>
      <c r="CG1207" s="332"/>
      <c r="CH1207" s="332"/>
      <c r="CI1207" s="332"/>
      <c r="CJ1207" s="332"/>
      <c r="CK1207" s="332"/>
      <c r="CL1207" s="332"/>
      <c r="CM1207" s="332"/>
      <c r="CN1207" s="332"/>
      <c r="CO1207" s="332"/>
      <c r="CP1207" s="332"/>
      <c r="CQ1207" s="332"/>
      <c r="CR1207" s="332"/>
      <c r="CS1207" s="332"/>
      <c r="CT1207" s="332"/>
      <c r="CU1207" s="332"/>
      <c r="CV1207" s="332"/>
      <c r="CW1207" s="332"/>
      <c r="CX1207" s="332"/>
      <c r="CY1207" s="332"/>
      <c r="CZ1207" s="332"/>
      <c r="DA1207" s="332"/>
      <c r="DB1207" s="332"/>
      <c r="DC1207" s="332"/>
      <c r="DD1207" s="332"/>
      <c r="DE1207" s="332"/>
      <c r="DF1207" s="332"/>
      <c r="DG1207" s="332"/>
      <c r="DH1207" s="332"/>
      <c r="DI1207" s="332"/>
      <c r="DJ1207" s="332"/>
      <c r="DK1207" s="332"/>
      <c r="DL1207" s="332"/>
      <c r="DM1207" s="332"/>
      <c r="DN1207" s="332"/>
      <c r="DO1207" s="332"/>
      <c r="DP1207" s="332"/>
      <c r="DQ1207" s="332"/>
      <c r="DR1207" s="332"/>
      <c r="DS1207" s="332"/>
      <c r="DT1207" s="332"/>
      <c r="DU1207" s="453"/>
      <c r="DV1207" s="453"/>
      <c r="DW1207" s="453"/>
      <c r="DX1207" s="453"/>
      <c r="DY1207" s="453"/>
      <c r="DZ1207" s="453"/>
      <c r="EA1207" s="453"/>
      <c r="EB1207" s="453"/>
      <c r="EC1207" s="453"/>
      <c r="ED1207" s="453"/>
      <c r="EE1207" s="453"/>
      <c r="EF1207" s="453"/>
      <c r="EG1207" s="453"/>
      <c r="EH1207" s="453"/>
      <c r="EI1207" s="453"/>
      <c r="EJ1207" s="453"/>
      <c r="EK1207" s="453"/>
      <c r="EL1207" s="453"/>
      <c r="EM1207" s="483">
        <f t="shared" si="254"/>
        <v>898</v>
      </c>
      <c r="EN1207" s="485"/>
      <c r="EO1207" s="458"/>
      <c r="EP1207" s="467"/>
      <c r="EQ1207" s="457"/>
      <c r="ER1207" s="808"/>
      <c r="ES1207" s="881">
        <f t="shared" si="255"/>
        <v>0</v>
      </c>
      <c r="ET1207" s="882"/>
      <c r="EU1207" s="883"/>
      <c r="EV1207" s="884">
        <f t="shared" si="256"/>
        <v>0</v>
      </c>
      <c r="EW1207" s="885"/>
      <c r="EX1207" s="885"/>
      <c r="EY1207" s="885"/>
      <c r="EZ1207" s="885"/>
      <c r="FA1207" s="885"/>
      <c r="FB1207" s="885"/>
      <c r="FC1207" s="885"/>
      <c r="FD1207" s="886"/>
      <c r="FE1207" s="878"/>
      <c r="FF1207" s="878"/>
      <c r="FG1207" s="878"/>
      <c r="FH1207" s="878"/>
      <c r="FI1207" s="878"/>
      <c r="FJ1207" s="878"/>
      <c r="FK1207" s="878"/>
      <c r="FL1207" s="555"/>
      <c r="FM1207" s="554"/>
      <c r="FN1207" s="554"/>
      <c r="FO1207" s="554"/>
      <c r="FP1207" s="554"/>
      <c r="FQ1207" s="554"/>
      <c r="FR1207" s="554"/>
      <c r="FS1207" s="554"/>
      <c r="FT1207" s="554"/>
      <c r="FU1207" s="554"/>
      <c r="FV1207" s="554"/>
      <c r="FW1207" s="554"/>
      <c r="FX1207" s="554"/>
      <c r="FY1207" s="554"/>
      <c r="FZ1207" s="554"/>
      <c r="GA1207" s="554"/>
      <c r="GB1207" s="556"/>
      <c r="GC1207" s="370"/>
      <c r="GD1207" s="453"/>
      <c r="GE1207" s="453"/>
      <c r="GF1207" s="453"/>
      <c r="GG1207" s="453"/>
      <c r="GH1207" s="454"/>
      <c r="GI1207" s="453"/>
      <c r="GJ1207" s="453"/>
      <c r="GK1207" s="453"/>
      <c r="GL1207" s="453"/>
      <c r="GM1207" s="453"/>
      <c r="GN1207" s="453"/>
      <c r="GO1207" s="453"/>
      <c r="GP1207" s="453"/>
      <c r="GQ1207" s="453"/>
      <c r="GR1207" s="453"/>
      <c r="GS1207" s="561"/>
      <c r="GT1207" s="475"/>
      <c r="GU1207" s="472"/>
      <c r="GV1207" s="453"/>
      <c r="GW1207" s="453"/>
      <c r="GX1207" s="869"/>
      <c r="GY1207" s="870"/>
      <c r="GZ1207" s="867"/>
      <c r="HA1207" s="868"/>
      <c r="HB1207" s="473"/>
      <c r="HC1207" s="869"/>
      <c r="HD1207" s="870"/>
      <c r="HE1207" s="867"/>
      <c r="HF1207" s="868"/>
      <c r="HG1207" s="473"/>
      <c r="HH1207" s="867"/>
      <c r="HI1207" s="868"/>
      <c r="HJ1207" s="867"/>
      <c r="HK1207" s="868"/>
      <c r="HL1207" s="370"/>
      <c r="HM1207" s="865"/>
      <c r="HN1207" s="866"/>
      <c r="HO1207" s="865"/>
      <c r="HP1207" s="866"/>
      <c r="HQ1207" s="865"/>
      <c r="HR1207" s="866"/>
      <c r="HS1207" s="867"/>
      <c r="HT1207" s="868"/>
      <c r="HU1207" s="489"/>
      <c r="HV1207" s="865"/>
      <c r="HW1207" s="866"/>
    </row>
    <row r="1208" spans="25:231" ht="15" customHeight="1">
      <c r="Y1208" s="332"/>
      <c r="Z1208" s="332"/>
      <c r="AA1208" s="332"/>
      <c r="AB1208" s="332"/>
      <c r="AC1208" s="332"/>
      <c r="AD1208" s="332"/>
      <c r="AE1208" s="332"/>
      <c r="AF1208" s="332"/>
      <c r="AG1208" s="332"/>
      <c r="AH1208" s="332"/>
      <c r="AI1208" s="332"/>
      <c r="AJ1208" s="332"/>
      <c r="AK1208" s="332"/>
      <c r="AL1208" s="332"/>
      <c r="AM1208" s="332"/>
      <c r="AN1208" s="332"/>
      <c r="AO1208" s="332"/>
      <c r="AP1208" s="332"/>
      <c r="AQ1208" s="332"/>
      <c r="AR1208" s="332"/>
      <c r="AS1208" s="332"/>
      <c r="AT1208" s="332"/>
      <c r="AU1208" s="332"/>
      <c r="AV1208" s="332"/>
      <c r="AW1208" s="332"/>
      <c r="AX1208" s="332"/>
      <c r="AY1208" s="332"/>
      <c r="AZ1208" s="332"/>
      <c r="BA1208" s="332"/>
      <c r="BB1208" s="332"/>
      <c r="BC1208" s="332"/>
      <c r="BD1208" s="332"/>
      <c r="BE1208" s="332"/>
      <c r="BF1208" s="332"/>
      <c r="BG1208" s="332"/>
      <c r="BH1208" s="332"/>
      <c r="BI1208" s="332"/>
      <c r="BJ1208" s="332"/>
      <c r="BK1208" s="332"/>
      <c r="BL1208" s="332"/>
      <c r="BM1208" s="332"/>
      <c r="BN1208" s="332"/>
      <c r="BO1208" s="332"/>
      <c r="BP1208" s="332"/>
      <c r="BQ1208" s="332"/>
      <c r="BR1208" s="332"/>
      <c r="BS1208" s="332"/>
      <c r="BT1208" s="332"/>
      <c r="BU1208" s="332"/>
      <c r="BV1208" s="332"/>
      <c r="BW1208" s="332"/>
      <c r="BX1208" s="332"/>
      <c r="BY1208" s="332"/>
      <c r="BZ1208" s="332"/>
      <c r="CA1208" s="332"/>
      <c r="CB1208" s="332"/>
      <c r="CC1208" s="332"/>
      <c r="CD1208" s="332"/>
      <c r="CE1208" s="332"/>
      <c r="CF1208" s="332"/>
      <c r="CG1208" s="332"/>
      <c r="CH1208" s="332"/>
      <c r="CI1208" s="332"/>
      <c r="CJ1208" s="332"/>
      <c r="CK1208" s="332"/>
      <c r="CL1208" s="332"/>
      <c r="CM1208" s="332"/>
      <c r="CN1208" s="332"/>
      <c r="CO1208" s="332"/>
      <c r="CP1208" s="332"/>
      <c r="CQ1208" s="332"/>
      <c r="CR1208" s="332"/>
      <c r="CS1208" s="332"/>
      <c r="CT1208" s="332"/>
      <c r="CU1208" s="332"/>
      <c r="CV1208" s="332"/>
      <c r="CW1208" s="332"/>
      <c r="CX1208" s="332"/>
      <c r="CY1208" s="332"/>
      <c r="CZ1208" s="332"/>
      <c r="DA1208" s="332"/>
      <c r="DB1208" s="332"/>
      <c r="DC1208" s="332"/>
      <c r="DD1208" s="332"/>
      <c r="DE1208" s="332"/>
      <c r="DF1208" s="332"/>
      <c r="DG1208" s="332"/>
      <c r="DH1208" s="332"/>
      <c r="DI1208" s="332"/>
      <c r="DJ1208" s="332"/>
      <c r="DK1208" s="332"/>
      <c r="DL1208" s="332"/>
      <c r="DM1208" s="332"/>
      <c r="DN1208" s="332"/>
      <c r="DO1208" s="332"/>
      <c r="DP1208" s="332"/>
      <c r="DQ1208" s="332"/>
      <c r="DR1208" s="332"/>
      <c r="DS1208" s="332"/>
      <c r="DT1208" s="332"/>
      <c r="DU1208" s="453"/>
      <c r="DV1208" s="453"/>
      <c r="DW1208" s="453"/>
      <c r="DX1208" s="453"/>
      <c r="DY1208" s="453"/>
      <c r="DZ1208" s="453"/>
      <c r="EA1208" s="453"/>
      <c r="EB1208" s="453"/>
      <c r="EC1208" s="453"/>
      <c r="ED1208" s="453"/>
      <c r="EE1208" s="453"/>
      <c r="EF1208" s="453"/>
      <c r="EG1208" s="453"/>
      <c r="EH1208" s="453"/>
      <c r="EI1208" s="453"/>
      <c r="EJ1208" s="453"/>
      <c r="EK1208" s="453"/>
      <c r="EL1208" s="453"/>
      <c r="EM1208" s="483">
        <f t="shared" ref="EM1208:EM1381" si="257">+EM1207+1</f>
        <v>899</v>
      </c>
      <c r="EN1208" s="485"/>
      <c r="EO1208" s="458"/>
      <c r="EP1208" s="467"/>
      <c r="EQ1208" s="457"/>
      <c r="ER1208" s="808"/>
      <c r="ES1208" s="881">
        <f t="shared" si="255"/>
        <v>0</v>
      </c>
      <c r="ET1208" s="882"/>
      <c r="EU1208" s="883"/>
      <c r="EV1208" s="884">
        <f t="shared" si="256"/>
        <v>0</v>
      </c>
      <c r="EW1208" s="885"/>
      <c r="EX1208" s="885"/>
      <c r="EY1208" s="885"/>
      <c r="EZ1208" s="885"/>
      <c r="FA1208" s="885"/>
      <c r="FB1208" s="885"/>
      <c r="FC1208" s="885"/>
      <c r="FD1208" s="886"/>
      <c r="FE1208" s="878"/>
      <c r="FF1208" s="878"/>
      <c r="FG1208" s="878"/>
      <c r="FH1208" s="878"/>
      <c r="FI1208" s="878"/>
      <c r="FJ1208" s="878"/>
      <c r="FK1208" s="878"/>
      <c r="FL1208" s="555"/>
      <c r="FM1208" s="554"/>
      <c r="FN1208" s="554"/>
      <c r="FO1208" s="554"/>
      <c r="FP1208" s="554"/>
      <c r="FQ1208" s="554"/>
      <c r="FR1208" s="554"/>
      <c r="FS1208" s="554"/>
      <c r="FT1208" s="554"/>
      <c r="FU1208" s="554"/>
      <c r="FV1208" s="554"/>
      <c r="FW1208" s="554"/>
      <c r="FX1208" s="554"/>
      <c r="FY1208" s="554"/>
      <c r="FZ1208" s="554"/>
      <c r="GA1208" s="554"/>
      <c r="GB1208" s="556"/>
      <c r="GC1208" s="370"/>
      <c r="GD1208" s="453"/>
      <c r="GE1208" s="453"/>
      <c r="GF1208" s="453"/>
      <c r="GG1208" s="453"/>
      <c r="GH1208" s="454"/>
      <c r="GI1208" s="453"/>
      <c r="GJ1208" s="453"/>
      <c r="GK1208" s="453"/>
      <c r="GL1208" s="453"/>
      <c r="GM1208" s="453"/>
      <c r="GN1208" s="453"/>
      <c r="GO1208" s="453"/>
      <c r="GP1208" s="453"/>
      <c r="GQ1208" s="453"/>
      <c r="GR1208" s="453"/>
      <c r="GS1208" s="561"/>
      <c r="GT1208" s="475"/>
      <c r="GU1208" s="472"/>
      <c r="GV1208" s="453"/>
      <c r="GW1208" s="453"/>
      <c r="GX1208" s="869"/>
      <c r="GY1208" s="870"/>
      <c r="GZ1208" s="867"/>
      <c r="HA1208" s="868"/>
      <c r="HB1208" s="473"/>
      <c r="HC1208" s="869"/>
      <c r="HD1208" s="870"/>
      <c r="HE1208" s="867"/>
      <c r="HF1208" s="868"/>
      <c r="HG1208" s="473"/>
      <c r="HH1208" s="867"/>
      <c r="HI1208" s="868"/>
      <c r="HJ1208" s="867"/>
      <c r="HK1208" s="868"/>
      <c r="HL1208" s="370"/>
      <c r="HM1208" s="865"/>
      <c r="HN1208" s="866"/>
      <c r="HO1208" s="865"/>
      <c r="HP1208" s="866"/>
      <c r="HQ1208" s="865"/>
      <c r="HR1208" s="866"/>
      <c r="HS1208" s="867"/>
      <c r="HT1208" s="868"/>
      <c r="HU1208" s="489"/>
      <c r="HV1208" s="865"/>
      <c r="HW1208" s="866"/>
    </row>
    <row r="1209" spans="25:231" ht="15" customHeight="1">
      <c r="Y1209" s="332"/>
      <c r="Z1209" s="332"/>
      <c r="AA1209" s="332"/>
      <c r="AB1209" s="332"/>
      <c r="AC1209" s="332"/>
      <c r="AD1209" s="332"/>
      <c r="AE1209" s="332"/>
      <c r="AF1209" s="332"/>
      <c r="AG1209" s="332"/>
      <c r="AH1209" s="332"/>
      <c r="AI1209" s="332"/>
      <c r="AJ1209" s="332"/>
      <c r="AK1209" s="332"/>
      <c r="AL1209" s="332"/>
      <c r="AM1209" s="332"/>
      <c r="AN1209" s="332"/>
      <c r="AO1209" s="332"/>
      <c r="AP1209" s="332"/>
      <c r="AQ1209" s="332"/>
      <c r="AR1209" s="332"/>
      <c r="AS1209" s="332"/>
      <c r="AT1209" s="332"/>
      <c r="AU1209" s="332"/>
      <c r="AV1209" s="332"/>
      <c r="AW1209" s="332"/>
      <c r="AX1209" s="332"/>
      <c r="AY1209" s="332"/>
      <c r="AZ1209" s="332"/>
      <c r="BA1209" s="332"/>
      <c r="BB1209" s="332"/>
      <c r="BC1209" s="332"/>
      <c r="BD1209" s="332"/>
      <c r="BE1209" s="332"/>
      <c r="BF1209" s="332"/>
      <c r="BG1209" s="332"/>
      <c r="BH1209" s="332"/>
      <c r="BI1209" s="332"/>
      <c r="BJ1209" s="332"/>
      <c r="BK1209" s="332"/>
      <c r="BL1209" s="332"/>
      <c r="BM1209" s="332"/>
      <c r="BN1209" s="332"/>
      <c r="BO1209" s="332"/>
      <c r="BP1209" s="332"/>
      <c r="BQ1209" s="332"/>
      <c r="BR1209" s="332"/>
      <c r="BS1209" s="332"/>
      <c r="BT1209" s="332"/>
      <c r="BU1209" s="332"/>
      <c r="BV1209" s="332"/>
      <c r="BW1209" s="332"/>
      <c r="BX1209" s="332"/>
      <c r="BY1209" s="332"/>
      <c r="BZ1209" s="332"/>
      <c r="CA1209" s="332"/>
      <c r="CB1209" s="332"/>
      <c r="CC1209" s="332"/>
      <c r="CD1209" s="332"/>
      <c r="CE1209" s="332"/>
      <c r="CF1209" s="332"/>
      <c r="CG1209" s="332"/>
      <c r="CH1209" s="332"/>
      <c r="CI1209" s="332"/>
      <c r="CJ1209" s="332"/>
      <c r="CK1209" s="332"/>
      <c r="CL1209" s="332"/>
      <c r="CM1209" s="332"/>
      <c r="CN1209" s="332"/>
      <c r="CO1209" s="332"/>
      <c r="CP1209" s="332"/>
      <c r="CQ1209" s="332"/>
      <c r="CR1209" s="332"/>
      <c r="CS1209" s="332"/>
      <c r="CT1209" s="332"/>
      <c r="CU1209" s="332"/>
      <c r="CV1209" s="332"/>
      <c r="CW1209" s="332"/>
      <c r="CX1209" s="332"/>
      <c r="CY1209" s="332"/>
      <c r="CZ1209" s="332"/>
      <c r="DA1209" s="332"/>
      <c r="DB1209" s="332"/>
      <c r="DC1209" s="332"/>
      <c r="DD1209" s="332"/>
      <c r="DE1209" s="332"/>
      <c r="DF1209" s="332"/>
      <c r="DG1209" s="332"/>
      <c r="DH1209" s="332"/>
      <c r="DI1209" s="332"/>
      <c r="DJ1209" s="332"/>
      <c r="DK1209" s="332"/>
      <c r="DL1209" s="332"/>
      <c r="DM1209" s="332"/>
      <c r="DN1209" s="332"/>
      <c r="DO1209" s="332"/>
      <c r="DP1209" s="332"/>
      <c r="DQ1209" s="332"/>
      <c r="DR1209" s="332"/>
      <c r="DS1209" s="332"/>
      <c r="DT1209" s="332"/>
      <c r="DU1209" s="453"/>
      <c r="DV1209" s="453"/>
      <c r="DW1209" s="453"/>
      <c r="DX1209" s="453"/>
      <c r="DY1209" s="453"/>
      <c r="DZ1209" s="453"/>
      <c r="EA1209" s="453"/>
      <c r="EB1209" s="453"/>
      <c r="EC1209" s="453"/>
      <c r="ED1209" s="453"/>
      <c r="EE1209" s="453"/>
      <c r="EF1209" s="453"/>
      <c r="EG1209" s="453"/>
      <c r="EH1209" s="453"/>
      <c r="EI1209" s="453"/>
      <c r="EJ1209" s="453"/>
      <c r="EK1209" s="453"/>
      <c r="EL1209" s="453"/>
      <c r="EM1209" s="483">
        <f t="shared" si="257"/>
        <v>900</v>
      </c>
      <c r="EN1209" s="485"/>
      <c r="EO1209" s="458"/>
      <c r="EP1209" s="467"/>
      <c r="EQ1209" s="457"/>
      <c r="ER1209" s="808"/>
      <c r="ES1209" s="881">
        <f t="shared" si="255"/>
        <v>0</v>
      </c>
      <c r="ET1209" s="882"/>
      <c r="EU1209" s="883"/>
      <c r="EV1209" s="884">
        <f t="shared" si="256"/>
        <v>0</v>
      </c>
      <c r="EW1209" s="885"/>
      <c r="EX1209" s="885"/>
      <c r="EY1209" s="885"/>
      <c r="EZ1209" s="885"/>
      <c r="FA1209" s="885"/>
      <c r="FB1209" s="885"/>
      <c r="FC1209" s="885"/>
      <c r="FD1209" s="886"/>
      <c r="FE1209" s="878"/>
      <c r="FF1209" s="878"/>
      <c r="FG1209" s="878"/>
      <c r="FH1209" s="878"/>
      <c r="FI1209" s="878"/>
      <c r="FJ1209" s="878"/>
      <c r="FK1209" s="878"/>
      <c r="FL1209" s="555"/>
      <c r="FM1209" s="554"/>
      <c r="FN1209" s="554"/>
      <c r="FO1209" s="554"/>
      <c r="FP1209" s="554"/>
      <c r="FQ1209" s="554"/>
      <c r="FR1209" s="554"/>
      <c r="FS1209" s="554"/>
      <c r="FT1209" s="554"/>
      <c r="FU1209" s="554"/>
      <c r="FV1209" s="554"/>
      <c r="FW1209" s="554"/>
      <c r="FX1209" s="554"/>
      <c r="FY1209" s="554"/>
      <c r="FZ1209" s="554"/>
      <c r="GA1209" s="554"/>
      <c r="GB1209" s="556"/>
      <c r="GC1209" s="370"/>
      <c r="GD1209" s="453"/>
      <c r="GE1209" s="453"/>
      <c r="GF1209" s="453"/>
      <c r="GG1209" s="453"/>
      <c r="GH1209" s="454"/>
      <c r="GI1209" s="453"/>
      <c r="GJ1209" s="453"/>
      <c r="GK1209" s="453"/>
      <c r="GL1209" s="453"/>
      <c r="GM1209" s="453"/>
      <c r="GN1209" s="453"/>
      <c r="GO1209" s="453"/>
      <c r="GP1209" s="453"/>
      <c r="GQ1209" s="453"/>
      <c r="GR1209" s="453"/>
      <c r="GS1209" s="561"/>
      <c r="GT1209" s="475"/>
      <c r="GU1209" s="472"/>
      <c r="GV1209" s="453"/>
      <c r="GW1209" s="453"/>
      <c r="GX1209" s="869"/>
      <c r="GY1209" s="870"/>
      <c r="GZ1209" s="867"/>
      <c r="HA1209" s="868"/>
      <c r="HB1209" s="473"/>
      <c r="HC1209" s="869"/>
      <c r="HD1209" s="870"/>
      <c r="HE1209" s="867"/>
      <c r="HF1209" s="868"/>
      <c r="HG1209" s="473"/>
      <c r="HH1209" s="867"/>
      <c r="HI1209" s="868"/>
      <c r="HJ1209" s="867"/>
      <c r="HK1209" s="868"/>
      <c r="HL1209" s="370"/>
      <c r="HM1209" s="865"/>
      <c r="HN1209" s="866"/>
      <c r="HO1209" s="865"/>
      <c r="HP1209" s="866"/>
      <c r="HQ1209" s="865"/>
      <c r="HR1209" s="866"/>
      <c r="HS1209" s="867"/>
      <c r="HT1209" s="868"/>
      <c r="HU1209" s="489"/>
      <c r="HV1209" s="865"/>
      <c r="HW1209" s="866"/>
    </row>
    <row r="1210" spans="25:231" ht="15" customHeight="1">
      <c r="Y1210" s="332"/>
      <c r="Z1210" s="332"/>
      <c r="AA1210" s="332"/>
      <c r="AB1210" s="332"/>
      <c r="AC1210" s="332"/>
      <c r="AD1210" s="332"/>
      <c r="AE1210" s="332"/>
      <c r="AF1210" s="332"/>
      <c r="AG1210" s="332"/>
      <c r="AH1210" s="332"/>
      <c r="AI1210" s="332"/>
      <c r="AJ1210" s="332"/>
      <c r="AK1210" s="332"/>
      <c r="AL1210" s="332"/>
      <c r="AM1210" s="332"/>
      <c r="AN1210" s="332"/>
      <c r="AO1210" s="332"/>
      <c r="AP1210" s="332"/>
      <c r="AQ1210" s="332"/>
      <c r="AR1210" s="332"/>
      <c r="AS1210" s="332"/>
      <c r="AT1210" s="332"/>
      <c r="AU1210" s="332"/>
      <c r="AV1210" s="332"/>
      <c r="AW1210" s="332"/>
      <c r="AX1210" s="332"/>
      <c r="AY1210" s="332"/>
      <c r="AZ1210" s="332"/>
      <c r="BA1210" s="332"/>
      <c r="BB1210" s="332"/>
      <c r="BC1210" s="332"/>
      <c r="BD1210" s="332"/>
      <c r="BE1210" s="332"/>
      <c r="BF1210" s="332"/>
      <c r="BG1210" s="332"/>
      <c r="BH1210" s="332"/>
      <c r="BI1210" s="332"/>
      <c r="BJ1210" s="332"/>
      <c r="BK1210" s="332"/>
      <c r="BL1210" s="332"/>
      <c r="BM1210" s="332"/>
      <c r="BN1210" s="332"/>
      <c r="BO1210" s="332"/>
      <c r="BP1210" s="332"/>
      <c r="BQ1210" s="332"/>
      <c r="BR1210" s="332"/>
      <c r="BS1210" s="332"/>
      <c r="BT1210" s="332"/>
      <c r="BU1210" s="332"/>
      <c r="BV1210" s="332"/>
      <c r="BW1210" s="332"/>
      <c r="BX1210" s="332"/>
      <c r="BY1210" s="332"/>
      <c r="BZ1210" s="332"/>
      <c r="CA1210" s="332"/>
      <c r="CB1210" s="332"/>
      <c r="CC1210" s="332"/>
      <c r="CD1210" s="332"/>
      <c r="CE1210" s="332"/>
      <c r="CF1210" s="332"/>
      <c r="CG1210" s="332"/>
      <c r="CH1210" s="332"/>
      <c r="CI1210" s="332"/>
      <c r="CJ1210" s="332"/>
      <c r="CK1210" s="332"/>
      <c r="CL1210" s="332"/>
      <c r="CM1210" s="332"/>
      <c r="CN1210" s="332"/>
      <c r="CO1210" s="332"/>
      <c r="CP1210" s="332"/>
      <c r="CQ1210" s="332"/>
      <c r="CR1210" s="332"/>
      <c r="CS1210" s="332"/>
      <c r="CT1210" s="332"/>
      <c r="CU1210" s="332"/>
      <c r="CV1210" s="332"/>
      <c r="CW1210" s="332"/>
      <c r="CX1210" s="332"/>
      <c r="CY1210" s="332"/>
      <c r="CZ1210" s="332"/>
      <c r="DA1210" s="332"/>
      <c r="DB1210" s="332"/>
      <c r="DC1210" s="332"/>
      <c r="DD1210" s="332"/>
      <c r="DE1210" s="332"/>
      <c r="DF1210" s="332"/>
      <c r="DG1210" s="332"/>
      <c r="DH1210" s="332"/>
      <c r="DI1210" s="332"/>
      <c r="DJ1210" s="332"/>
      <c r="DK1210" s="332"/>
      <c r="DL1210" s="332"/>
      <c r="DM1210" s="332"/>
      <c r="DN1210" s="332"/>
      <c r="DO1210" s="332"/>
      <c r="DP1210" s="332"/>
      <c r="DQ1210" s="332"/>
      <c r="DR1210" s="332"/>
      <c r="DS1210" s="332"/>
      <c r="DT1210" s="332"/>
      <c r="DU1210" s="453"/>
      <c r="DV1210" s="453"/>
      <c r="DW1210" s="453"/>
      <c r="DX1210" s="453"/>
      <c r="DY1210" s="453"/>
      <c r="DZ1210" s="453"/>
      <c r="EA1210" s="453"/>
      <c r="EB1210" s="453"/>
      <c r="EC1210" s="453"/>
      <c r="ED1210" s="453"/>
      <c r="EE1210" s="453"/>
      <c r="EF1210" s="453"/>
      <c r="EG1210" s="453"/>
      <c r="EH1210" s="453"/>
      <c r="EI1210" s="453"/>
      <c r="EJ1210" s="453"/>
      <c r="EK1210" s="453"/>
      <c r="EL1210" s="453"/>
      <c r="EM1210" s="483">
        <f t="shared" si="257"/>
        <v>901</v>
      </c>
      <c r="EN1210" s="485"/>
      <c r="EO1210" s="458"/>
      <c r="EP1210" s="467"/>
      <c r="EQ1210" s="457"/>
      <c r="ER1210" s="808"/>
      <c r="ES1210" s="881">
        <f t="shared" si="255"/>
        <v>0</v>
      </c>
      <c r="ET1210" s="882"/>
      <c r="EU1210" s="883"/>
      <c r="EV1210" s="884">
        <f t="shared" si="256"/>
        <v>0</v>
      </c>
      <c r="EW1210" s="885"/>
      <c r="EX1210" s="885"/>
      <c r="EY1210" s="885"/>
      <c r="EZ1210" s="885"/>
      <c r="FA1210" s="885"/>
      <c r="FB1210" s="885"/>
      <c r="FC1210" s="885"/>
      <c r="FD1210" s="886"/>
      <c r="FE1210" s="878"/>
      <c r="FF1210" s="878"/>
      <c r="FG1210" s="878"/>
      <c r="FH1210" s="878"/>
      <c r="FI1210" s="878"/>
      <c r="FJ1210" s="878"/>
      <c r="FK1210" s="878"/>
      <c r="FL1210" s="555"/>
      <c r="FM1210" s="554"/>
      <c r="FN1210" s="554"/>
      <c r="FO1210" s="554"/>
      <c r="FP1210" s="554"/>
      <c r="FQ1210" s="554"/>
      <c r="FR1210" s="554"/>
      <c r="FS1210" s="554"/>
      <c r="FT1210" s="554"/>
      <c r="FU1210" s="554"/>
      <c r="FV1210" s="554"/>
      <c r="FW1210" s="554"/>
      <c r="FX1210" s="554"/>
      <c r="FY1210" s="554"/>
      <c r="FZ1210" s="554"/>
      <c r="GA1210" s="554"/>
      <c r="GB1210" s="556"/>
      <c r="GC1210" s="370"/>
      <c r="GD1210" s="453"/>
      <c r="GE1210" s="453"/>
      <c r="GF1210" s="453"/>
      <c r="GG1210" s="453"/>
      <c r="GH1210" s="454"/>
      <c r="GI1210" s="453"/>
      <c r="GJ1210" s="453"/>
      <c r="GK1210" s="453"/>
      <c r="GL1210" s="453"/>
      <c r="GM1210" s="453"/>
      <c r="GN1210" s="453"/>
      <c r="GO1210" s="453"/>
      <c r="GP1210" s="453"/>
      <c r="GQ1210" s="453"/>
      <c r="GR1210" s="453"/>
      <c r="GS1210" s="561"/>
      <c r="GT1210" s="475"/>
      <c r="GU1210" s="472"/>
      <c r="GV1210" s="453"/>
      <c r="GW1210" s="453"/>
      <c r="GX1210" s="869"/>
      <c r="GY1210" s="870"/>
      <c r="GZ1210" s="867"/>
      <c r="HA1210" s="868"/>
      <c r="HB1210" s="473"/>
      <c r="HC1210" s="869"/>
      <c r="HD1210" s="870"/>
      <c r="HE1210" s="867"/>
      <c r="HF1210" s="868"/>
      <c r="HG1210" s="473"/>
      <c r="HH1210" s="867"/>
      <c r="HI1210" s="868"/>
      <c r="HJ1210" s="867"/>
      <c r="HK1210" s="868"/>
      <c r="HL1210" s="370"/>
      <c r="HM1210" s="865"/>
      <c r="HN1210" s="866"/>
      <c r="HO1210" s="865"/>
      <c r="HP1210" s="866"/>
      <c r="HQ1210" s="865"/>
      <c r="HR1210" s="866"/>
      <c r="HS1210" s="867"/>
      <c r="HT1210" s="868"/>
      <c r="HU1210" s="489"/>
      <c r="HV1210" s="865"/>
      <c r="HW1210" s="866"/>
    </row>
    <row r="1211" spans="25:231" ht="15" customHeight="1">
      <c r="Y1211" s="332"/>
      <c r="Z1211" s="332"/>
      <c r="AA1211" s="332"/>
      <c r="AB1211" s="332"/>
      <c r="AC1211" s="332"/>
      <c r="AD1211" s="332"/>
      <c r="AE1211" s="332"/>
      <c r="AF1211" s="332"/>
      <c r="AG1211" s="332"/>
      <c r="AH1211" s="332"/>
      <c r="AI1211" s="332"/>
      <c r="AJ1211" s="332"/>
      <c r="AK1211" s="332"/>
      <c r="AL1211" s="332"/>
      <c r="AM1211" s="332"/>
      <c r="AN1211" s="332"/>
      <c r="AO1211" s="332"/>
      <c r="AP1211" s="332"/>
      <c r="AQ1211" s="332"/>
      <c r="AR1211" s="332"/>
      <c r="AS1211" s="332"/>
      <c r="AT1211" s="332"/>
      <c r="AU1211" s="332"/>
      <c r="AV1211" s="332"/>
      <c r="AW1211" s="332"/>
      <c r="AX1211" s="332"/>
      <c r="AY1211" s="332"/>
      <c r="AZ1211" s="332"/>
      <c r="BA1211" s="332"/>
      <c r="BB1211" s="332"/>
      <c r="BC1211" s="332"/>
      <c r="BD1211" s="332"/>
      <c r="BE1211" s="332"/>
      <c r="BF1211" s="332"/>
      <c r="BG1211" s="332"/>
      <c r="BH1211" s="332"/>
      <c r="BI1211" s="332"/>
      <c r="BJ1211" s="332"/>
      <c r="BK1211" s="332"/>
      <c r="BL1211" s="332"/>
      <c r="BM1211" s="332"/>
      <c r="BN1211" s="332"/>
      <c r="BO1211" s="332"/>
      <c r="BP1211" s="332"/>
      <c r="BQ1211" s="332"/>
      <c r="BR1211" s="332"/>
      <c r="BS1211" s="332"/>
      <c r="BT1211" s="332"/>
      <c r="BU1211" s="332"/>
      <c r="BV1211" s="332"/>
      <c r="BW1211" s="332"/>
      <c r="BX1211" s="332"/>
      <c r="BY1211" s="332"/>
      <c r="BZ1211" s="332"/>
      <c r="CA1211" s="332"/>
      <c r="CB1211" s="332"/>
      <c r="CC1211" s="332"/>
      <c r="CD1211" s="332"/>
      <c r="CE1211" s="332"/>
      <c r="CF1211" s="332"/>
      <c r="CG1211" s="332"/>
      <c r="CH1211" s="332"/>
      <c r="CI1211" s="332"/>
      <c r="CJ1211" s="332"/>
      <c r="CK1211" s="332"/>
      <c r="CL1211" s="332"/>
      <c r="CM1211" s="332"/>
      <c r="CN1211" s="332"/>
      <c r="CO1211" s="332"/>
      <c r="CP1211" s="332"/>
      <c r="CQ1211" s="332"/>
      <c r="CR1211" s="332"/>
      <c r="CS1211" s="332"/>
      <c r="CT1211" s="332"/>
      <c r="CU1211" s="332"/>
      <c r="CV1211" s="332"/>
      <c r="CW1211" s="332"/>
      <c r="CX1211" s="332"/>
      <c r="CY1211" s="332"/>
      <c r="CZ1211" s="332"/>
      <c r="DA1211" s="332"/>
      <c r="DB1211" s="332"/>
      <c r="DC1211" s="332"/>
      <c r="DD1211" s="332"/>
      <c r="DE1211" s="332"/>
      <c r="DF1211" s="332"/>
      <c r="DG1211" s="332"/>
      <c r="DH1211" s="332"/>
      <c r="DI1211" s="332"/>
      <c r="DJ1211" s="332"/>
      <c r="DK1211" s="332"/>
      <c r="DL1211" s="332"/>
      <c r="DM1211" s="332"/>
      <c r="DN1211" s="332"/>
      <c r="DO1211" s="332"/>
      <c r="DP1211" s="332"/>
      <c r="DQ1211" s="332"/>
      <c r="DR1211" s="332"/>
      <c r="DS1211" s="332"/>
      <c r="DT1211" s="332"/>
      <c r="DU1211" s="453"/>
      <c r="DV1211" s="453"/>
      <c r="DW1211" s="453"/>
      <c r="DX1211" s="453"/>
      <c r="DY1211" s="453"/>
      <c r="DZ1211" s="453"/>
      <c r="EA1211" s="453"/>
      <c r="EB1211" s="453"/>
      <c r="EC1211" s="453"/>
      <c r="ED1211" s="453"/>
      <c r="EE1211" s="453"/>
      <c r="EF1211" s="453"/>
      <c r="EG1211" s="453"/>
      <c r="EH1211" s="453"/>
      <c r="EI1211" s="453"/>
      <c r="EJ1211" s="453"/>
      <c r="EK1211" s="453"/>
      <c r="EL1211" s="453"/>
      <c r="EM1211" s="483">
        <f t="shared" si="257"/>
        <v>902</v>
      </c>
      <c r="EN1211" s="485"/>
      <c r="EO1211" s="458"/>
      <c r="EP1211" s="467"/>
      <c r="EQ1211" s="457"/>
      <c r="ER1211" s="808"/>
      <c r="ES1211" s="881">
        <f t="shared" si="255"/>
        <v>0</v>
      </c>
      <c r="ET1211" s="882"/>
      <c r="EU1211" s="883"/>
      <c r="EV1211" s="884">
        <f t="shared" si="256"/>
        <v>0</v>
      </c>
      <c r="EW1211" s="885"/>
      <c r="EX1211" s="885"/>
      <c r="EY1211" s="885"/>
      <c r="EZ1211" s="885"/>
      <c r="FA1211" s="885"/>
      <c r="FB1211" s="885"/>
      <c r="FC1211" s="885"/>
      <c r="FD1211" s="886"/>
      <c r="FE1211" s="878"/>
      <c r="FF1211" s="878"/>
      <c r="FG1211" s="878"/>
      <c r="FH1211" s="878"/>
      <c r="FI1211" s="878"/>
      <c r="FJ1211" s="878"/>
      <c r="FK1211" s="878"/>
      <c r="FL1211" s="555"/>
      <c r="FM1211" s="554"/>
      <c r="FN1211" s="554"/>
      <c r="FO1211" s="554"/>
      <c r="FP1211" s="554"/>
      <c r="FQ1211" s="554"/>
      <c r="FR1211" s="554"/>
      <c r="FS1211" s="554"/>
      <c r="FT1211" s="554"/>
      <c r="FU1211" s="554"/>
      <c r="FV1211" s="554"/>
      <c r="FW1211" s="554"/>
      <c r="FX1211" s="554"/>
      <c r="FY1211" s="554"/>
      <c r="FZ1211" s="554"/>
      <c r="GA1211" s="554"/>
      <c r="GB1211" s="556"/>
      <c r="GC1211" s="370"/>
      <c r="GD1211" s="453"/>
      <c r="GE1211" s="453"/>
      <c r="GF1211" s="453"/>
      <c r="GG1211" s="453"/>
      <c r="GH1211" s="454"/>
      <c r="GI1211" s="453"/>
      <c r="GJ1211" s="453"/>
      <c r="GK1211" s="453"/>
      <c r="GL1211" s="453"/>
      <c r="GM1211" s="453"/>
      <c r="GN1211" s="453"/>
      <c r="GO1211" s="453"/>
      <c r="GP1211" s="453"/>
      <c r="GQ1211" s="453"/>
      <c r="GR1211" s="453"/>
      <c r="GS1211" s="561"/>
      <c r="GT1211" s="475"/>
      <c r="GU1211" s="472"/>
      <c r="GV1211" s="453"/>
      <c r="GW1211" s="453"/>
      <c r="GX1211" s="869"/>
      <c r="GY1211" s="870"/>
      <c r="GZ1211" s="867"/>
      <c r="HA1211" s="868"/>
      <c r="HB1211" s="473"/>
      <c r="HC1211" s="869"/>
      <c r="HD1211" s="870"/>
      <c r="HE1211" s="867"/>
      <c r="HF1211" s="868"/>
      <c r="HG1211" s="473"/>
      <c r="HH1211" s="867"/>
      <c r="HI1211" s="868"/>
      <c r="HJ1211" s="867"/>
      <c r="HK1211" s="868"/>
      <c r="HL1211" s="370"/>
      <c r="HM1211" s="865"/>
      <c r="HN1211" s="866"/>
      <c r="HO1211" s="865"/>
      <c r="HP1211" s="866"/>
      <c r="HQ1211" s="865"/>
      <c r="HR1211" s="866"/>
      <c r="HS1211" s="867"/>
      <c r="HT1211" s="868"/>
      <c r="HU1211" s="489"/>
      <c r="HV1211" s="865"/>
      <c r="HW1211" s="866"/>
    </row>
    <row r="1212" spans="25:231" ht="15" customHeight="1">
      <c r="Y1212" s="332"/>
      <c r="Z1212" s="332"/>
      <c r="AA1212" s="332"/>
      <c r="AB1212" s="332"/>
      <c r="AC1212" s="332"/>
      <c r="AD1212" s="332"/>
      <c r="AE1212" s="332"/>
      <c r="AF1212" s="332"/>
      <c r="AG1212" s="332"/>
      <c r="AH1212" s="332"/>
      <c r="AI1212" s="332"/>
      <c r="AJ1212" s="332"/>
      <c r="AK1212" s="332"/>
      <c r="AL1212" s="332"/>
      <c r="AM1212" s="332"/>
      <c r="AN1212" s="332"/>
      <c r="AO1212" s="332"/>
      <c r="AP1212" s="332"/>
      <c r="AQ1212" s="332"/>
      <c r="AR1212" s="332"/>
      <c r="AS1212" s="332"/>
      <c r="AT1212" s="332"/>
      <c r="AU1212" s="332"/>
      <c r="AV1212" s="332"/>
      <c r="AW1212" s="332"/>
      <c r="AX1212" s="332"/>
      <c r="AY1212" s="332"/>
      <c r="AZ1212" s="332"/>
      <c r="BA1212" s="332"/>
      <c r="BB1212" s="332"/>
      <c r="BC1212" s="332"/>
      <c r="BD1212" s="332"/>
      <c r="BE1212" s="332"/>
      <c r="BF1212" s="332"/>
      <c r="BG1212" s="332"/>
      <c r="BH1212" s="332"/>
      <c r="BI1212" s="332"/>
      <c r="BJ1212" s="332"/>
      <c r="BK1212" s="332"/>
      <c r="BL1212" s="332"/>
      <c r="BM1212" s="332"/>
      <c r="BN1212" s="332"/>
      <c r="BO1212" s="332"/>
      <c r="BP1212" s="332"/>
      <c r="BQ1212" s="332"/>
      <c r="BR1212" s="332"/>
      <c r="BS1212" s="332"/>
      <c r="BT1212" s="332"/>
      <c r="BU1212" s="332"/>
      <c r="BV1212" s="332"/>
      <c r="BW1212" s="332"/>
      <c r="BX1212" s="332"/>
      <c r="BY1212" s="332"/>
      <c r="BZ1212" s="332"/>
      <c r="CA1212" s="332"/>
      <c r="CB1212" s="332"/>
      <c r="CC1212" s="332"/>
      <c r="CD1212" s="332"/>
      <c r="CE1212" s="332"/>
      <c r="CF1212" s="332"/>
      <c r="CG1212" s="332"/>
      <c r="CH1212" s="332"/>
      <c r="CI1212" s="332"/>
      <c r="CJ1212" s="332"/>
      <c r="CK1212" s="332"/>
      <c r="CL1212" s="332"/>
      <c r="CM1212" s="332"/>
      <c r="CN1212" s="332"/>
      <c r="CO1212" s="332"/>
      <c r="CP1212" s="332"/>
      <c r="CQ1212" s="332"/>
      <c r="CR1212" s="332"/>
      <c r="CS1212" s="332"/>
      <c r="CT1212" s="332"/>
      <c r="CU1212" s="332"/>
      <c r="CV1212" s="332"/>
      <c r="CW1212" s="332"/>
      <c r="CX1212" s="332"/>
      <c r="CY1212" s="332"/>
      <c r="CZ1212" s="332"/>
      <c r="DA1212" s="332"/>
      <c r="DB1212" s="332"/>
      <c r="DC1212" s="332"/>
      <c r="DD1212" s="332"/>
      <c r="DE1212" s="332"/>
      <c r="DF1212" s="332"/>
      <c r="DG1212" s="332"/>
      <c r="DH1212" s="332"/>
      <c r="DI1212" s="332"/>
      <c r="DJ1212" s="332"/>
      <c r="DK1212" s="332"/>
      <c r="DL1212" s="332"/>
      <c r="DM1212" s="332"/>
      <c r="DN1212" s="332"/>
      <c r="DO1212" s="332"/>
      <c r="DP1212" s="332"/>
      <c r="DQ1212" s="332"/>
      <c r="DR1212" s="332"/>
      <c r="DS1212" s="332"/>
      <c r="DT1212" s="332"/>
      <c r="DU1212" s="453"/>
      <c r="DV1212" s="453"/>
      <c r="DW1212" s="453"/>
      <c r="DX1212" s="453"/>
      <c r="DY1212" s="453"/>
      <c r="DZ1212" s="453"/>
      <c r="EA1212" s="453"/>
      <c r="EB1212" s="453"/>
      <c r="EC1212" s="453"/>
      <c r="ED1212" s="453"/>
      <c r="EE1212" s="453"/>
      <c r="EF1212" s="453"/>
      <c r="EG1212" s="453"/>
      <c r="EH1212" s="453"/>
      <c r="EI1212" s="453"/>
      <c r="EJ1212" s="453"/>
      <c r="EK1212" s="453"/>
      <c r="EL1212" s="453"/>
      <c r="EM1212" s="483">
        <f t="shared" si="257"/>
        <v>903</v>
      </c>
      <c r="EN1212" s="485"/>
      <c r="EO1212" s="458"/>
      <c r="EP1212" s="467"/>
      <c r="EQ1212" s="457"/>
      <c r="ER1212" s="808"/>
      <c r="ES1212" s="881">
        <f t="shared" si="255"/>
        <v>0</v>
      </c>
      <c r="ET1212" s="882"/>
      <c r="EU1212" s="883"/>
      <c r="EV1212" s="884">
        <f t="shared" si="256"/>
        <v>0</v>
      </c>
      <c r="EW1212" s="885"/>
      <c r="EX1212" s="885"/>
      <c r="EY1212" s="885"/>
      <c r="EZ1212" s="885"/>
      <c r="FA1212" s="885"/>
      <c r="FB1212" s="885"/>
      <c r="FC1212" s="885"/>
      <c r="FD1212" s="886"/>
      <c r="FE1212" s="878"/>
      <c r="FF1212" s="878"/>
      <c r="FG1212" s="878"/>
      <c r="FH1212" s="878"/>
      <c r="FI1212" s="878"/>
      <c r="FJ1212" s="878"/>
      <c r="FK1212" s="878"/>
      <c r="FL1212" s="555"/>
      <c r="FM1212" s="554"/>
      <c r="FN1212" s="554"/>
      <c r="FO1212" s="554"/>
      <c r="FP1212" s="554"/>
      <c r="FQ1212" s="554"/>
      <c r="FR1212" s="554"/>
      <c r="FS1212" s="554"/>
      <c r="FT1212" s="554"/>
      <c r="FU1212" s="554"/>
      <c r="FV1212" s="554"/>
      <c r="FW1212" s="554"/>
      <c r="FX1212" s="554"/>
      <c r="FY1212" s="554"/>
      <c r="FZ1212" s="554"/>
      <c r="GA1212" s="554"/>
      <c r="GB1212" s="556"/>
      <c r="GC1212" s="370"/>
      <c r="GD1212" s="453"/>
      <c r="GE1212" s="453"/>
      <c r="GF1212" s="453"/>
      <c r="GG1212" s="453"/>
      <c r="GH1212" s="454"/>
      <c r="GI1212" s="453"/>
      <c r="GJ1212" s="453"/>
      <c r="GK1212" s="453"/>
      <c r="GL1212" s="453"/>
      <c r="GM1212" s="453"/>
      <c r="GN1212" s="453"/>
      <c r="GO1212" s="453"/>
      <c r="GP1212" s="453"/>
      <c r="GQ1212" s="453"/>
      <c r="GR1212" s="453"/>
      <c r="GS1212" s="561"/>
      <c r="GT1212" s="475"/>
      <c r="GU1212" s="472"/>
      <c r="GV1212" s="453"/>
      <c r="GW1212" s="453"/>
      <c r="GX1212" s="869"/>
      <c r="GY1212" s="870"/>
      <c r="GZ1212" s="867"/>
      <c r="HA1212" s="868"/>
      <c r="HB1212" s="473"/>
      <c r="HC1212" s="869"/>
      <c r="HD1212" s="870"/>
      <c r="HE1212" s="867"/>
      <c r="HF1212" s="868"/>
      <c r="HG1212" s="473"/>
      <c r="HH1212" s="867"/>
      <c r="HI1212" s="868"/>
      <c r="HJ1212" s="867"/>
      <c r="HK1212" s="868"/>
      <c r="HL1212" s="370"/>
      <c r="HM1212" s="865"/>
      <c r="HN1212" s="866"/>
      <c r="HO1212" s="865"/>
      <c r="HP1212" s="866"/>
      <c r="HQ1212" s="865"/>
      <c r="HR1212" s="866"/>
      <c r="HS1212" s="867"/>
      <c r="HT1212" s="868"/>
      <c r="HU1212" s="489"/>
      <c r="HV1212" s="865"/>
      <c r="HW1212" s="866"/>
    </row>
    <row r="1213" spans="25:231" ht="15" customHeight="1">
      <c r="Y1213" s="332"/>
      <c r="Z1213" s="332"/>
      <c r="AA1213" s="332"/>
      <c r="AB1213" s="332"/>
      <c r="AC1213" s="332"/>
      <c r="AD1213" s="332"/>
      <c r="AE1213" s="332"/>
      <c r="AF1213" s="332"/>
      <c r="AG1213" s="332"/>
      <c r="AH1213" s="332"/>
      <c r="AI1213" s="332"/>
      <c r="AJ1213" s="332"/>
      <c r="AK1213" s="332"/>
      <c r="AL1213" s="332"/>
      <c r="AM1213" s="332"/>
      <c r="AN1213" s="332"/>
      <c r="AO1213" s="332"/>
      <c r="AP1213" s="332"/>
      <c r="AQ1213" s="332"/>
      <c r="AR1213" s="332"/>
      <c r="AS1213" s="332"/>
      <c r="AT1213" s="332"/>
      <c r="AU1213" s="332"/>
      <c r="AV1213" s="332"/>
      <c r="AW1213" s="332"/>
      <c r="AX1213" s="332"/>
      <c r="AY1213" s="332"/>
      <c r="AZ1213" s="332"/>
      <c r="BA1213" s="332"/>
      <c r="BB1213" s="332"/>
      <c r="BC1213" s="332"/>
      <c r="BD1213" s="332"/>
      <c r="BE1213" s="332"/>
      <c r="BF1213" s="332"/>
      <c r="BG1213" s="332"/>
      <c r="BH1213" s="332"/>
      <c r="BI1213" s="332"/>
      <c r="BJ1213" s="332"/>
      <c r="BK1213" s="332"/>
      <c r="BL1213" s="332"/>
      <c r="BM1213" s="332"/>
      <c r="BN1213" s="332"/>
      <c r="BO1213" s="332"/>
      <c r="BP1213" s="332"/>
      <c r="BQ1213" s="332"/>
      <c r="BR1213" s="332"/>
      <c r="BS1213" s="332"/>
      <c r="BT1213" s="332"/>
      <c r="BU1213" s="332"/>
      <c r="BV1213" s="332"/>
      <c r="BW1213" s="332"/>
      <c r="BX1213" s="332"/>
      <c r="BY1213" s="332"/>
      <c r="BZ1213" s="332"/>
      <c r="CA1213" s="332"/>
      <c r="CB1213" s="332"/>
      <c r="CC1213" s="332"/>
      <c r="CD1213" s="332"/>
      <c r="CE1213" s="332"/>
      <c r="CF1213" s="332"/>
      <c r="CG1213" s="332"/>
      <c r="CH1213" s="332"/>
      <c r="CI1213" s="332"/>
      <c r="CJ1213" s="332"/>
      <c r="CK1213" s="332"/>
      <c r="CL1213" s="332"/>
      <c r="CM1213" s="332"/>
      <c r="CN1213" s="332"/>
      <c r="CO1213" s="332"/>
      <c r="CP1213" s="332"/>
      <c r="CQ1213" s="332"/>
      <c r="CR1213" s="332"/>
      <c r="CS1213" s="332"/>
      <c r="CT1213" s="332"/>
      <c r="CU1213" s="332"/>
      <c r="CV1213" s="332"/>
      <c r="CW1213" s="332"/>
      <c r="CX1213" s="332"/>
      <c r="CY1213" s="332"/>
      <c r="CZ1213" s="332"/>
      <c r="DA1213" s="332"/>
      <c r="DB1213" s="332"/>
      <c r="DC1213" s="332"/>
      <c r="DD1213" s="332"/>
      <c r="DE1213" s="332"/>
      <c r="DF1213" s="332"/>
      <c r="DG1213" s="332"/>
      <c r="DH1213" s="332"/>
      <c r="DI1213" s="332"/>
      <c r="DJ1213" s="332"/>
      <c r="DK1213" s="332"/>
      <c r="DL1213" s="332"/>
      <c r="DM1213" s="332"/>
      <c r="DN1213" s="332"/>
      <c r="DO1213" s="332"/>
      <c r="DP1213" s="332"/>
      <c r="DQ1213" s="332"/>
      <c r="DR1213" s="332"/>
      <c r="DS1213" s="332"/>
      <c r="DT1213" s="332"/>
      <c r="DU1213" s="453"/>
      <c r="DV1213" s="453"/>
      <c r="DW1213" s="453"/>
      <c r="DX1213" s="453"/>
      <c r="DY1213" s="453"/>
      <c r="DZ1213" s="453"/>
      <c r="EA1213" s="453"/>
      <c r="EB1213" s="453"/>
      <c r="EC1213" s="453"/>
      <c r="ED1213" s="453"/>
      <c r="EE1213" s="453"/>
      <c r="EF1213" s="453"/>
      <c r="EG1213" s="453"/>
      <c r="EH1213" s="453"/>
      <c r="EI1213" s="453"/>
      <c r="EJ1213" s="453"/>
      <c r="EK1213" s="453"/>
      <c r="EL1213" s="453"/>
      <c r="EM1213" s="483">
        <f t="shared" si="257"/>
        <v>904</v>
      </c>
      <c r="EN1213" s="485"/>
      <c r="EO1213" s="458"/>
      <c r="EP1213" s="467"/>
      <c r="EQ1213" s="457"/>
      <c r="ER1213" s="808"/>
      <c r="ES1213" s="881">
        <f t="shared" si="255"/>
        <v>0</v>
      </c>
      <c r="ET1213" s="882"/>
      <c r="EU1213" s="883"/>
      <c r="EV1213" s="884">
        <f t="shared" si="256"/>
        <v>0</v>
      </c>
      <c r="EW1213" s="885"/>
      <c r="EX1213" s="885"/>
      <c r="EY1213" s="885"/>
      <c r="EZ1213" s="885"/>
      <c r="FA1213" s="885"/>
      <c r="FB1213" s="885"/>
      <c r="FC1213" s="885"/>
      <c r="FD1213" s="886"/>
      <c r="FE1213" s="878"/>
      <c r="FF1213" s="878"/>
      <c r="FG1213" s="878"/>
      <c r="FH1213" s="878"/>
      <c r="FI1213" s="878"/>
      <c r="FJ1213" s="878"/>
      <c r="FK1213" s="878"/>
      <c r="FL1213" s="555"/>
      <c r="FM1213" s="554"/>
      <c r="FN1213" s="554"/>
      <c r="FO1213" s="554"/>
      <c r="FP1213" s="554"/>
      <c r="FQ1213" s="554"/>
      <c r="FR1213" s="554"/>
      <c r="FS1213" s="554"/>
      <c r="FT1213" s="554"/>
      <c r="FU1213" s="554"/>
      <c r="FV1213" s="554"/>
      <c r="FW1213" s="554"/>
      <c r="FX1213" s="554"/>
      <c r="FY1213" s="554"/>
      <c r="FZ1213" s="554"/>
      <c r="GA1213" s="554"/>
      <c r="GB1213" s="556"/>
      <c r="GC1213" s="370"/>
      <c r="GD1213" s="453"/>
      <c r="GE1213" s="453"/>
      <c r="GF1213" s="453"/>
      <c r="GG1213" s="453"/>
      <c r="GH1213" s="454"/>
      <c r="GI1213" s="453"/>
      <c r="GJ1213" s="453"/>
      <c r="GK1213" s="453"/>
      <c r="GL1213" s="453"/>
      <c r="GM1213" s="453"/>
      <c r="GN1213" s="453"/>
      <c r="GO1213" s="453"/>
      <c r="GP1213" s="453"/>
      <c r="GQ1213" s="453"/>
      <c r="GR1213" s="453"/>
      <c r="GS1213" s="561"/>
      <c r="GT1213" s="475"/>
      <c r="GU1213" s="472"/>
      <c r="GV1213" s="453"/>
      <c r="GW1213" s="453"/>
      <c r="GX1213" s="869"/>
      <c r="GY1213" s="870"/>
      <c r="GZ1213" s="867"/>
      <c r="HA1213" s="868"/>
      <c r="HB1213" s="473"/>
      <c r="HC1213" s="869"/>
      <c r="HD1213" s="870"/>
      <c r="HE1213" s="867"/>
      <c r="HF1213" s="868"/>
      <c r="HG1213" s="473"/>
      <c r="HH1213" s="867"/>
      <c r="HI1213" s="868"/>
      <c r="HJ1213" s="867"/>
      <c r="HK1213" s="868"/>
      <c r="HL1213" s="370"/>
      <c r="HM1213" s="865"/>
      <c r="HN1213" s="866"/>
      <c r="HO1213" s="865"/>
      <c r="HP1213" s="866"/>
      <c r="HQ1213" s="865"/>
      <c r="HR1213" s="866"/>
      <c r="HS1213" s="867"/>
      <c r="HT1213" s="868"/>
      <c r="HU1213" s="489"/>
      <c r="HV1213" s="865"/>
      <c r="HW1213" s="866"/>
    </row>
    <row r="1214" spans="25:231" ht="15" customHeight="1">
      <c r="Y1214" s="332"/>
      <c r="Z1214" s="332"/>
      <c r="AA1214" s="332"/>
      <c r="AB1214" s="332"/>
      <c r="AC1214" s="332"/>
      <c r="AD1214" s="332"/>
      <c r="AE1214" s="332"/>
      <c r="AF1214" s="332"/>
      <c r="AG1214" s="332"/>
      <c r="AH1214" s="332"/>
      <c r="AI1214" s="332"/>
      <c r="AJ1214" s="332"/>
      <c r="AK1214" s="332"/>
      <c r="AL1214" s="332"/>
      <c r="AM1214" s="332"/>
      <c r="AN1214" s="332"/>
      <c r="AO1214" s="332"/>
      <c r="AP1214" s="332"/>
      <c r="AQ1214" s="332"/>
      <c r="AR1214" s="332"/>
      <c r="AS1214" s="332"/>
      <c r="AT1214" s="332"/>
      <c r="AU1214" s="332"/>
      <c r="AV1214" s="332"/>
      <c r="AW1214" s="332"/>
      <c r="AX1214" s="332"/>
      <c r="AY1214" s="332"/>
      <c r="AZ1214" s="332"/>
      <c r="BA1214" s="332"/>
      <c r="BB1214" s="332"/>
      <c r="BC1214" s="332"/>
      <c r="BD1214" s="332"/>
      <c r="BE1214" s="332"/>
      <c r="BF1214" s="332"/>
      <c r="BG1214" s="332"/>
      <c r="BH1214" s="332"/>
      <c r="BI1214" s="332"/>
      <c r="BJ1214" s="332"/>
      <c r="BK1214" s="332"/>
      <c r="BL1214" s="332"/>
      <c r="BM1214" s="332"/>
      <c r="BN1214" s="332"/>
      <c r="BO1214" s="332"/>
      <c r="BP1214" s="332"/>
      <c r="BQ1214" s="332"/>
      <c r="BR1214" s="332"/>
      <c r="BS1214" s="332"/>
      <c r="BT1214" s="332"/>
      <c r="BU1214" s="332"/>
      <c r="BV1214" s="332"/>
      <c r="BW1214" s="332"/>
      <c r="BX1214" s="332"/>
      <c r="BY1214" s="332"/>
      <c r="BZ1214" s="332"/>
      <c r="CA1214" s="332"/>
      <c r="CB1214" s="332"/>
      <c r="CC1214" s="332"/>
      <c r="CD1214" s="332"/>
      <c r="CE1214" s="332"/>
      <c r="CF1214" s="332"/>
      <c r="CG1214" s="332"/>
      <c r="CH1214" s="332"/>
      <c r="CI1214" s="332"/>
      <c r="CJ1214" s="332"/>
      <c r="CK1214" s="332"/>
      <c r="CL1214" s="332"/>
      <c r="CM1214" s="332"/>
      <c r="CN1214" s="332"/>
      <c r="CO1214" s="332"/>
      <c r="CP1214" s="332"/>
      <c r="CQ1214" s="332"/>
      <c r="CR1214" s="332"/>
      <c r="CS1214" s="332"/>
      <c r="CT1214" s="332"/>
      <c r="CU1214" s="332"/>
      <c r="CV1214" s="332"/>
      <c r="CW1214" s="332"/>
      <c r="CX1214" s="332"/>
      <c r="CY1214" s="332"/>
      <c r="CZ1214" s="332"/>
      <c r="DA1214" s="332"/>
      <c r="DB1214" s="332"/>
      <c r="DC1214" s="332"/>
      <c r="DD1214" s="332"/>
      <c r="DE1214" s="332"/>
      <c r="DF1214" s="332"/>
      <c r="DG1214" s="332"/>
      <c r="DH1214" s="332"/>
      <c r="DI1214" s="332"/>
      <c r="DJ1214" s="332"/>
      <c r="DK1214" s="332"/>
      <c r="DL1214" s="332"/>
      <c r="DM1214" s="332"/>
      <c r="DN1214" s="332"/>
      <c r="DO1214" s="332"/>
      <c r="DP1214" s="332"/>
      <c r="DQ1214" s="332"/>
      <c r="DR1214" s="332"/>
      <c r="DS1214" s="332"/>
      <c r="DT1214" s="332"/>
      <c r="DU1214" s="453"/>
      <c r="DV1214" s="453"/>
      <c r="DW1214" s="453"/>
      <c r="DX1214" s="453"/>
      <c r="DY1214" s="453"/>
      <c r="DZ1214" s="453"/>
      <c r="EA1214" s="453"/>
      <c r="EB1214" s="453"/>
      <c r="EC1214" s="453"/>
      <c r="ED1214" s="453"/>
      <c r="EE1214" s="453"/>
      <c r="EF1214" s="453"/>
      <c r="EG1214" s="453"/>
      <c r="EH1214" s="453"/>
      <c r="EI1214" s="453"/>
      <c r="EJ1214" s="453"/>
      <c r="EK1214" s="453"/>
      <c r="EL1214" s="453"/>
      <c r="EM1214" s="483">
        <f t="shared" si="257"/>
        <v>905</v>
      </c>
      <c r="EN1214" s="485"/>
      <c r="EO1214" s="458"/>
      <c r="EP1214" s="467"/>
      <c r="EQ1214" s="457"/>
      <c r="ER1214" s="808"/>
      <c r="ES1214" s="881">
        <f t="shared" si="255"/>
        <v>0</v>
      </c>
      <c r="ET1214" s="882"/>
      <c r="EU1214" s="883"/>
      <c r="EV1214" s="884">
        <f t="shared" si="256"/>
        <v>0</v>
      </c>
      <c r="EW1214" s="885"/>
      <c r="EX1214" s="885"/>
      <c r="EY1214" s="885"/>
      <c r="EZ1214" s="885"/>
      <c r="FA1214" s="885"/>
      <c r="FB1214" s="885"/>
      <c r="FC1214" s="885"/>
      <c r="FD1214" s="886"/>
      <c r="FE1214" s="878"/>
      <c r="FF1214" s="878"/>
      <c r="FG1214" s="878"/>
      <c r="FH1214" s="878"/>
      <c r="FI1214" s="878"/>
      <c r="FJ1214" s="878"/>
      <c r="FK1214" s="878"/>
      <c r="FL1214" s="555"/>
      <c r="FM1214" s="554"/>
      <c r="FN1214" s="554"/>
      <c r="FO1214" s="554"/>
      <c r="FP1214" s="554"/>
      <c r="FQ1214" s="554"/>
      <c r="FR1214" s="554"/>
      <c r="FS1214" s="554"/>
      <c r="FT1214" s="554"/>
      <c r="FU1214" s="554"/>
      <c r="FV1214" s="554"/>
      <c r="FW1214" s="554"/>
      <c r="FX1214" s="554"/>
      <c r="FY1214" s="554"/>
      <c r="FZ1214" s="554"/>
      <c r="GA1214" s="554"/>
      <c r="GB1214" s="556"/>
      <c r="GC1214" s="370"/>
      <c r="GD1214" s="453"/>
      <c r="GE1214" s="453"/>
      <c r="GF1214" s="453"/>
      <c r="GG1214" s="453"/>
      <c r="GH1214" s="454"/>
      <c r="GI1214" s="453"/>
      <c r="GJ1214" s="453"/>
      <c r="GK1214" s="453"/>
      <c r="GL1214" s="453"/>
      <c r="GM1214" s="453"/>
      <c r="GN1214" s="453"/>
      <c r="GO1214" s="453"/>
      <c r="GP1214" s="453"/>
      <c r="GQ1214" s="453"/>
      <c r="GR1214" s="453"/>
      <c r="GS1214" s="561"/>
      <c r="GT1214" s="475"/>
      <c r="GU1214" s="472"/>
      <c r="GV1214" s="453"/>
      <c r="GW1214" s="453"/>
      <c r="GX1214" s="869"/>
      <c r="GY1214" s="870"/>
      <c r="GZ1214" s="867"/>
      <c r="HA1214" s="868"/>
      <c r="HB1214" s="473"/>
      <c r="HC1214" s="869"/>
      <c r="HD1214" s="870"/>
      <c r="HE1214" s="867"/>
      <c r="HF1214" s="868"/>
      <c r="HG1214" s="473"/>
      <c r="HH1214" s="867"/>
      <c r="HI1214" s="868"/>
      <c r="HJ1214" s="867"/>
      <c r="HK1214" s="868"/>
      <c r="HL1214" s="370"/>
      <c r="HM1214" s="865"/>
      <c r="HN1214" s="866"/>
      <c r="HO1214" s="865"/>
      <c r="HP1214" s="866"/>
      <c r="HQ1214" s="865"/>
      <c r="HR1214" s="866"/>
      <c r="HS1214" s="867"/>
      <c r="HT1214" s="868"/>
      <c r="HU1214" s="489"/>
      <c r="HV1214" s="865"/>
      <c r="HW1214" s="866"/>
    </row>
    <row r="1215" spans="25:231" ht="15" customHeight="1">
      <c r="Y1215" s="332"/>
      <c r="Z1215" s="332"/>
      <c r="AA1215" s="332"/>
      <c r="AB1215" s="332"/>
      <c r="AC1215" s="332"/>
      <c r="AD1215" s="332"/>
      <c r="AE1215" s="332"/>
      <c r="AF1215" s="332"/>
      <c r="AG1215" s="332"/>
      <c r="AH1215" s="332"/>
      <c r="AI1215" s="332"/>
      <c r="AJ1215" s="332"/>
      <c r="AK1215" s="332"/>
      <c r="AL1215" s="332"/>
      <c r="AM1215" s="332"/>
      <c r="AN1215" s="332"/>
      <c r="AO1215" s="332"/>
      <c r="AP1215" s="332"/>
      <c r="AQ1215" s="332"/>
      <c r="AR1215" s="332"/>
      <c r="AS1215" s="332"/>
      <c r="AT1215" s="332"/>
      <c r="AU1215" s="332"/>
      <c r="AV1215" s="332"/>
      <c r="AW1215" s="332"/>
      <c r="AX1215" s="332"/>
      <c r="AY1215" s="332"/>
      <c r="AZ1215" s="332"/>
      <c r="BA1215" s="332"/>
      <c r="BB1215" s="332"/>
      <c r="BC1215" s="332"/>
      <c r="BD1215" s="332"/>
      <c r="BE1215" s="332"/>
      <c r="BF1215" s="332"/>
      <c r="BG1215" s="332"/>
      <c r="BH1215" s="332"/>
      <c r="BI1215" s="332"/>
      <c r="BJ1215" s="332"/>
      <c r="BK1215" s="332"/>
      <c r="BL1215" s="332"/>
      <c r="BM1215" s="332"/>
      <c r="BN1215" s="332"/>
      <c r="BO1215" s="332"/>
      <c r="BP1215" s="332"/>
      <c r="BQ1215" s="332"/>
      <c r="BR1215" s="332"/>
      <c r="BS1215" s="332"/>
      <c r="BT1215" s="332"/>
      <c r="BU1215" s="332"/>
      <c r="BV1215" s="332"/>
      <c r="BW1215" s="332"/>
      <c r="BX1215" s="332"/>
      <c r="BY1215" s="332"/>
      <c r="BZ1215" s="332"/>
      <c r="CA1215" s="332"/>
      <c r="CB1215" s="332"/>
      <c r="CC1215" s="332"/>
      <c r="CD1215" s="332"/>
      <c r="CE1215" s="332"/>
      <c r="CF1215" s="332"/>
      <c r="CG1215" s="332"/>
      <c r="CH1215" s="332"/>
      <c r="CI1215" s="332"/>
      <c r="CJ1215" s="332"/>
      <c r="CK1215" s="332"/>
      <c r="CL1215" s="332"/>
      <c r="CM1215" s="332"/>
      <c r="CN1215" s="332"/>
      <c r="CO1215" s="332"/>
      <c r="CP1215" s="332"/>
      <c r="CQ1215" s="332"/>
      <c r="CR1215" s="332"/>
      <c r="CS1215" s="332"/>
      <c r="CT1215" s="332"/>
      <c r="CU1215" s="332"/>
      <c r="CV1215" s="332"/>
      <c r="CW1215" s="332"/>
      <c r="CX1215" s="332"/>
      <c r="CY1215" s="332"/>
      <c r="CZ1215" s="332"/>
      <c r="DA1215" s="332"/>
      <c r="DB1215" s="332"/>
      <c r="DC1215" s="332"/>
      <c r="DD1215" s="332"/>
      <c r="DE1215" s="332"/>
      <c r="DF1215" s="332"/>
      <c r="DG1215" s="332"/>
      <c r="DH1215" s="332"/>
      <c r="DI1215" s="332"/>
      <c r="DJ1215" s="332"/>
      <c r="DK1215" s="332"/>
      <c r="DL1215" s="332"/>
      <c r="DM1215" s="332"/>
      <c r="DN1215" s="332"/>
      <c r="DO1215" s="332"/>
      <c r="DP1215" s="332"/>
      <c r="DQ1215" s="332"/>
      <c r="DR1215" s="332"/>
      <c r="DS1215" s="332"/>
      <c r="DT1215" s="332"/>
      <c r="DU1215" s="453"/>
      <c r="DV1215" s="453"/>
      <c r="DW1215" s="453"/>
      <c r="DX1215" s="453"/>
      <c r="DY1215" s="453"/>
      <c r="DZ1215" s="453"/>
      <c r="EA1215" s="453"/>
      <c r="EB1215" s="453"/>
      <c r="EC1215" s="453"/>
      <c r="ED1215" s="453"/>
      <c r="EE1215" s="453"/>
      <c r="EF1215" s="453"/>
      <c r="EG1215" s="453"/>
      <c r="EH1215" s="453"/>
      <c r="EI1215" s="453"/>
      <c r="EJ1215" s="453"/>
      <c r="EK1215" s="453"/>
      <c r="EL1215" s="453"/>
      <c r="EM1215" s="483">
        <f t="shared" si="257"/>
        <v>906</v>
      </c>
      <c r="EN1215" s="485"/>
      <c r="EO1215" s="458"/>
      <c r="EP1215" s="467"/>
      <c r="EQ1215" s="457"/>
      <c r="ER1215" s="808"/>
      <c r="ES1215" s="881">
        <f t="shared" si="255"/>
        <v>0</v>
      </c>
      <c r="ET1215" s="882"/>
      <c r="EU1215" s="883"/>
      <c r="EV1215" s="884">
        <f t="shared" si="256"/>
        <v>0</v>
      </c>
      <c r="EW1215" s="885"/>
      <c r="EX1215" s="885"/>
      <c r="EY1215" s="885"/>
      <c r="EZ1215" s="885"/>
      <c r="FA1215" s="885"/>
      <c r="FB1215" s="885"/>
      <c r="FC1215" s="885"/>
      <c r="FD1215" s="886"/>
      <c r="FE1215" s="878"/>
      <c r="FF1215" s="878"/>
      <c r="FG1215" s="878"/>
      <c r="FH1215" s="878"/>
      <c r="FI1215" s="878"/>
      <c r="FJ1215" s="878"/>
      <c r="FK1215" s="878"/>
      <c r="FL1215" s="555"/>
      <c r="FM1215" s="554"/>
      <c r="FN1215" s="554"/>
      <c r="FO1215" s="554"/>
      <c r="FP1215" s="554"/>
      <c r="FQ1215" s="554"/>
      <c r="FR1215" s="554"/>
      <c r="FS1215" s="554"/>
      <c r="FT1215" s="554"/>
      <c r="FU1215" s="554"/>
      <c r="FV1215" s="554"/>
      <c r="FW1215" s="554"/>
      <c r="FX1215" s="554"/>
      <c r="FY1215" s="554"/>
      <c r="FZ1215" s="554"/>
      <c r="GA1215" s="554"/>
      <c r="GB1215" s="556"/>
      <c r="GC1215" s="370"/>
      <c r="GD1215" s="453"/>
      <c r="GE1215" s="453"/>
      <c r="GF1215" s="453"/>
      <c r="GG1215" s="453"/>
      <c r="GH1215" s="454"/>
      <c r="GI1215" s="453"/>
      <c r="GJ1215" s="453"/>
      <c r="GK1215" s="453"/>
      <c r="GL1215" s="453"/>
      <c r="GM1215" s="453"/>
      <c r="GN1215" s="453"/>
      <c r="GO1215" s="453"/>
      <c r="GP1215" s="453"/>
      <c r="GQ1215" s="453"/>
      <c r="GR1215" s="453"/>
      <c r="GS1215" s="561"/>
      <c r="GT1215" s="475"/>
      <c r="GU1215" s="472"/>
      <c r="GV1215" s="453"/>
      <c r="GW1215" s="453"/>
      <c r="GX1215" s="869"/>
      <c r="GY1215" s="870"/>
      <c r="GZ1215" s="867"/>
      <c r="HA1215" s="868"/>
      <c r="HB1215" s="473"/>
      <c r="HC1215" s="869"/>
      <c r="HD1215" s="870"/>
      <c r="HE1215" s="867"/>
      <c r="HF1215" s="868"/>
      <c r="HG1215" s="473"/>
      <c r="HH1215" s="867"/>
      <c r="HI1215" s="868"/>
      <c r="HJ1215" s="867"/>
      <c r="HK1215" s="868"/>
      <c r="HL1215" s="370"/>
      <c r="HM1215" s="865"/>
      <c r="HN1215" s="866"/>
      <c r="HO1215" s="865"/>
      <c r="HP1215" s="866"/>
      <c r="HQ1215" s="865"/>
      <c r="HR1215" s="866"/>
      <c r="HS1215" s="867"/>
      <c r="HT1215" s="868"/>
      <c r="HU1215" s="489"/>
      <c r="HV1215" s="865"/>
      <c r="HW1215" s="866"/>
    </row>
    <row r="1216" spans="25:231" ht="15" customHeight="1">
      <c r="Y1216" s="332"/>
      <c r="Z1216" s="332"/>
      <c r="AA1216" s="332"/>
      <c r="AB1216" s="332"/>
      <c r="AC1216" s="332"/>
      <c r="AD1216" s="332"/>
      <c r="AE1216" s="332"/>
      <c r="AF1216" s="332"/>
      <c r="AG1216" s="332"/>
      <c r="AH1216" s="332"/>
      <c r="AI1216" s="332"/>
      <c r="AJ1216" s="332"/>
      <c r="AK1216" s="332"/>
      <c r="AL1216" s="332"/>
      <c r="AM1216" s="332"/>
      <c r="AN1216" s="332"/>
      <c r="AO1216" s="332"/>
      <c r="AP1216" s="332"/>
      <c r="AQ1216" s="332"/>
      <c r="AR1216" s="332"/>
      <c r="AS1216" s="332"/>
      <c r="AT1216" s="332"/>
      <c r="AU1216" s="332"/>
      <c r="AV1216" s="332"/>
      <c r="AW1216" s="332"/>
      <c r="AX1216" s="332"/>
      <c r="AY1216" s="332"/>
      <c r="AZ1216" s="332"/>
      <c r="BA1216" s="332"/>
      <c r="BB1216" s="332"/>
      <c r="BC1216" s="332"/>
      <c r="BD1216" s="332"/>
      <c r="BE1216" s="332"/>
      <c r="BF1216" s="332"/>
      <c r="BG1216" s="332"/>
      <c r="BH1216" s="332"/>
      <c r="BI1216" s="332"/>
      <c r="BJ1216" s="332"/>
      <c r="BK1216" s="332"/>
      <c r="BL1216" s="332"/>
      <c r="BM1216" s="332"/>
      <c r="BN1216" s="332"/>
      <c r="BO1216" s="332"/>
      <c r="BP1216" s="332"/>
      <c r="BQ1216" s="332"/>
      <c r="BR1216" s="332"/>
      <c r="BS1216" s="332"/>
      <c r="BT1216" s="332"/>
      <c r="BU1216" s="332"/>
      <c r="BV1216" s="332"/>
      <c r="BW1216" s="332"/>
      <c r="BX1216" s="332"/>
      <c r="BY1216" s="332"/>
      <c r="BZ1216" s="332"/>
      <c r="CA1216" s="332"/>
      <c r="CB1216" s="332"/>
      <c r="CC1216" s="332"/>
      <c r="CD1216" s="332"/>
      <c r="CE1216" s="332"/>
      <c r="CF1216" s="332"/>
      <c r="CG1216" s="332"/>
      <c r="CH1216" s="332"/>
      <c r="CI1216" s="332"/>
      <c r="CJ1216" s="332"/>
      <c r="CK1216" s="332"/>
      <c r="CL1216" s="332"/>
      <c r="CM1216" s="332"/>
      <c r="CN1216" s="332"/>
      <c r="CO1216" s="332"/>
      <c r="CP1216" s="332"/>
      <c r="CQ1216" s="332"/>
      <c r="CR1216" s="332"/>
      <c r="CS1216" s="332"/>
      <c r="CT1216" s="332"/>
      <c r="CU1216" s="332"/>
      <c r="CV1216" s="332"/>
      <c r="CW1216" s="332"/>
      <c r="CX1216" s="332"/>
      <c r="CY1216" s="332"/>
      <c r="CZ1216" s="332"/>
      <c r="DA1216" s="332"/>
      <c r="DB1216" s="332"/>
      <c r="DC1216" s="332"/>
      <c r="DD1216" s="332"/>
      <c r="DE1216" s="332"/>
      <c r="DF1216" s="332"/>
      <c r="DG1216" s="332"/>
      <c r="DH1216" s="332"/>
      <c r="DI1216" s="332"/>
      <c r="DJ1216" s="332"/>
      <c r="DK1216" s="332"/>
      <c r="DL1216" s="332"/>
      <c r="DM1216" s="332"/>
      <c r="DN1216" s="332"/>
      <c r="DO1216" s="332"/>
      <c r="DP1216" s="332"/>
      <c r="DQ1216" s="332"/>
      <c r="DR1216" s="332"/>
      <c r="DS1216" s="332"/>
      <c r="DT1216" s="332"/>
      <c r="DU1216" s="453"/>
      <c r="DV1216" s="453"/>
      <c r="DW1216" s="453"/>
      <c r="DX1216" s="453"/>
      <c r="DY1216" s="453"/>
      <c r="DZ1216" s="453"/>
      <c r="EA1216" s="453"/>
      <c r="EB1216" s="453"/>
      <c r="EC1216" s="453"/>
      <c r="ED1216" s="453"/>
      <c r="EE1216" s="453"/>
      <c r="EF1216" s="453"/>
      <c r="EG1216" s="453"/>
      <c r="EH1216" s="453"/>
      <c r="EI1216" s="453"/>
      <c r="EJ1216" s="453"/>
      <c r="EK1216" s="453"/>
      <c r="EL1216" s="453"/>
      <c r="EM1216" s="483">
        <f t="shared" si="257"/>
        <v>907</v>
      </c>
      <c r="EN1216" s="485"/>
      <c r="EO1216" s="458"/>
      <c r="EP1216" s="467"/>
      <c r="EQ1216" s="457"/>
      <c r="ER1216" s="808"/>
      <c r="ES1216" s="881">
        <f t="shared" si="255"/>
        <v>0</v>
      </c>
      <c r="ET1216" s="882"/>
      <c r="EU1216" s="883"/>
      <c r="EV1216" s="884">
        <f t="shared" si="256"/>
        <v>0</v>
      </c>
      <c r="EW1216" s="885"/>
      <c r="EX1216" s="885"/>
      <c r="EY1216" s="885"/>
      <c r="EZ1216" s="885"/>
      <c r="FA1216" s="885"/>
      <c r="FB1216" s="885"/>
      <c r="FC1216" s="885"/>
      <c r="FD1216" s="886"/>
      <c r="FE1216" s="878"/>
      <c r="FF1216" s="878"/>
      <c r="FG1216" s="878"/>
      <c r="FH1216" s="878"/>
      <c r="FI1216" s="878"/>
      <c r="FJ1216" s="878"/>
      <c r="FK1216" s="878"/>
      <c r="FL1216" s="555"/>
      <c r="FM1216" s="554"/>
      <c r="FN1216" s="554"/>
      <c r="FO1216" s="554"/>
      <c r="FP1216" s="554"/>
      <c r="FQ1216" s="554"/>
      <c r="FR1216" s="554"/>
      <c r="FS1216" s="554"/>
      <c r="FT1216" s="554"/>
      <c r="FU1216" s="554"/>
      <c r="FV1216" s="554"/>
      <c r="FW1216" s="554"/>
      <c r="FX1216" s="554"/>
      <c r="FY1216" s="554"/>
      <c r="FZ1216" s="554"/>
      <c r="GA1216" s="554"/>
      <c r="GB1216" s="556"/>
      <c r="GC1216" s="370"/>
      <c r="GD1216" s="453"/>
      <c r="GE1216" s="453"/>
      <c r="GF1216" s="453"/>
      <c r="GG1216" s="453"/>
      <c r="GH1216" s="454"/>
      <c r="GI1216" s="453"/>
      <c r="GJ1216" s="453"/>
      <c r="GK1216" s="453"/>
      <c r="GL1216" s="453"/>
      <c r="GM1216" s="453"/>
      <c r="GN1216" s="453"/>
      <c r="GO1216" s="453"/>
      <c r="GP1216" s="453"/>
      <c r="GQ1216" s="453"/>
      <c r="GR1216" s="453"/>
      <c r="GS1216" s="561"/>
      <c r="GT1216" s="475"/>
      <c r="GU1216" s="472"/>
      <c r="GV1216" s="453"/>
      <c r="GW1216" s="453"/>
      <c r="GX1216" s="869"/>
      <c r="GY1216" s="870"/>
      <c r="GZ1216" s="867"/>
      <c r="HA1216" s="868"/>
      <c r="HB1216" s="473"/>
      <c r="HC1216" s="869"/>
      <c r="HD1216" s="870"/>
      <c r="HE1216" s="867"/>
      <c r="HF1216" s="868"/>
      <c r="HG1216" s="473"/>
      <c r="HH1216" s="867"/>
      <c r="HI1216" s="868"/>
      <c r="HJ1216" s="867"/>
      <c r="HK1216" s="868"/>
      <c r="HL1216" s="370"/>
      <c r="HM1216" s="865"/>
      <c r="HN1216" s="866"/>
      <c r="HO1216" s="865"/>
      <c r="HP1216" s="866"/>
      <c r="HQ1216" s="865"/>
      <c r="HR1216" s="866"/>
      <c r="HS1216" s="867"/>
      <c r="HT1216" s="868"/>
      <c r="HU1216" s="489"/>
      <c r="HV1216" s="865"/>
      <c r="HW1216" s="866"/>
    </row>
    <row r="1217" spans="25:231" ht="15" customHeight="1">
      <c r="Y1217" s="332"/>
      <c r="Z1217" s="332"/>
      <c r="AA1217" s="332"/>
      <c r="AB1217" s="332"/>
      <c r="AC1217" s="332"/>
      <c r="AD1217" s="332"/>
      <c r="AE1217" s="332"/>
      <c r="AF1217" s="332"/>
      <c r="AG1217" s="332"/>
      <c r="AH1217" s="332"/>
      <c r="AI1217" s="332"/>
      <c r="AJ1217" s="332"/>
      <c r="AK1217" s="332"/>
      <c r="AL1217" s="332"/>
      <c r="AM1217" s="332"/>
      <c r="AN1217" s="332"/>
      <c r="AO1217" s="332"/>
      <c r="AP1217" s="332"/>
      <c r="AQ1217" s="332"/>
      <c r="AR1217" s="332"/>
      <c r="AS1217" s="332"/>
      <c r="AT1217" s="332"/>
      <c r="AU1217" s="332"/>
      <c r="AV1217" s="332"/>
      <c r="AW1217" s="332"/>
      <c r="AX1217" s="332"/>
      <c r="AY1217" s="332"/>
      <c r="AZ1217" s="332"/>
      <c r="BA1217" s="332"/>
      <c r="BB1217" s="332"/>
      <c r="BC1217" s="332"/>
      <c r="BD1217" s="332"/>
      <c r="BE1217" s="332"/>
      <c r="BF1217" s="332"/>
      <c r="BG1217" s="332"/>
      <c r="BH1217" s="332"/>
      <c r="BI1217" s="332"/>
      <c r="BJ1217" s="332"/>
      <c r="BK1217" s="332"/>
      <c r="BL1217" s="332"/>
      <c r="BM1217" s="332"/>
      <c r="BN1217" s="332"/>
      <c r="BO1217" s="332"/>
      <c r="BP1217" s="332"/>
      <c r="BQ1217" s="332"/>
      <c r="BR1217" s="332"/>
      <c r="BS1217" s="332"/>
      <c r="BT1217" s="332"/>
      <c r="BU1217" s="332"/>
      <c r="BV1217" s="332"/>
      <c r="BW1217" s="332"/>
      <c r="BX1217" s="332"/>
      <c r="BY1217" s="332"/>
      <c r="BZ1217" s="332"/>
      <c r="CA1217" s="332"/>
      <c r="CB1217" s="332"/>
      <c r="CC1217" s="332"/>
      <c r="CD1217" s="332"/>
      <c r="CE1217" s="332"/>
      <c r="CF1217" s="332"/>
      <c r="CG1217" s="332"/>
      <c r="CH1217" s="332"/>
      <c r="CI1217" s="332"/>
      <c r="CJ1217" s="332"/>
      <c r="CK1217" s="332"/>
      <c r="CL1217" s="332"/>
      <c r="CM1217" s="332"/>
      <c r="CN1217" s="332"/>
      <c r="CO1217" s="332"/>
      <c r="CP1217" s="332"/>
      <c r="CQ1217" s="332"/>
      <c r="CR1217" s="332"/>
      <c r="CS1217" s="332"/>
      <c r="CT1217" s="332"/>
      <c r="CU1217" s="332"/>
      <c r="CV1217" s="332"/>
      <c r="CW1217" s="332"/>
      <c r="CX1217" s="332"/>
      <c r="CY1217" s="332"/>
      <c r="CZ1217" s="332"/>
      <c r="DA1217" s="332"/>
      <c r="DB1217" s="332"/>
      <c r="DC1217" s="332"/>
      <c r="DD1217" s="332"/>
      <c r="DE1217" s="332"/>
      <c r="DF1217" s="332"/>
      <c r="DG1217" s="332"/>
      <c r="DH1217" s="332"/>
      <c r="DI1217" s="332"/>
      <c r="DJ1217" s="332"/>
      <c r="DK1217" s="332"/>
      <c r="DL1217" s="332"/>
      <c r="DM1217" s="332"/>
      <c r="DN1217" s="332"/>
      <c r="DO1217" s="332"/>
      <c r="DP1217" s="332"/>
      <c r="DQ1217" s="332"/>
      <c r="DR1217" s="332"/>
      <c r="DS1217" s="332"/>
      <c r="DT1217" s="332"/>
      <c r="DU1217" s="453"/>
      <c r="DV1217" s="453"/>
      <c r="DW1217" s="453"/>
      <c r="DX1217" s="453"/>
      <c r="DY1217" s="453"/>
      <c r="DZ1217" s="453"/>
      <c r="EA1217" s="453"/>
      <c r="EB1217" s="453"/>
      <c r="EC1217" s="453"/>
      <c r="ED1217" s="453"/>
      <c r="EE1217" s="453"/>
      <c r="EF1217" s="453"/>
      <c r="EG1217" s="453"/>
      <c r="EH1217" s="453"/>
      <c r="EI1217" s="453"/>
      <c r="EJ1217" s="453"/>
      <c r="EK1217" s="453"/>
      <c r="EL1217" s="453"/>
      <c r="EM1217" s="483">
        <f t="shared" si="257"/>
        <v>908</v>
      </c>
      <c r="EN1217" s="485"/>
      <c r="EO1217" s="458"/>
      <c r="EP1217" s="467"/>
      <c r="EQ1217" s="457"/>
      <c r="ER1217" s="808"/>
      <c r="ES1217" s="881">
        <f t="shared" si="255"/>
        <v>0</v>
      </c>
      <c r="ET1217" s="882"/>
      <c r="EU1217" s="883"/>
      <c r="EV1217" s="884">
        <f t="shared" si="256"/>
        <v>0</v>
      </c>
      <c r="EW1217" s="885"/>
      <c r="EX1217" s="885"/>
      <c r="EY1217" s="885"/>
      <c r="EZ1217" s="885"/>
      <c r="FA1217" s="885"/>
      <c r="FB1217" s="885"/>
      <c r="FC1217" s="885"/>
      <c r="FD1217" s="886"/>
      <c r="FE1217" s="878"/>
      <c r="FF1217" s="878"/>
      <c r="FG1217" s="878"/>
      <c r="FH1217" s="878"/>
      <c r="FI1217" s="878"/>
      <c r="FJ1217" s="878"/>
      <c r="FK1217" s="878"/>
      <c r="FL1217" s="555"/>
      <c r="FM1217" s="554"/>
      <c r="FN1217" s="554"/>
      <c r="FO1217" s="554"/>
      <c r="FP1217" s="554"/>
      <c r="FQ1217" s="554"/>
      <c r="FR1217" s="554"/>
      <c r="FS1217" s="554"/>
      <c r="FT1217" s="554"/>
      <c r="FU1217" s="554"/>
      <c r="FV1217" s="554"/>
      <c r="FW1217" s="554"/>
      <c r="FX1217" s="554"/>
      <c r="FY1217" s="554"/>
      <c r="FZ1217" s="554"/>
      <c r="GA1217" s="554"/>
      <c r="GB1217" s="556"/>
      <c r="GC1217" s="370"/>
      <c r="GD1217" s="453"/>
      <c r="GE1217" s="453"/>
      <c r="GF1217" s="453"/>
      <c r="GG1217" s="453"/>
      <c r="GH1217" s="454"/>
      <c r="GI1217" s="453"/>
      <c r="GJ1217" s="453"/>
      <c r="GK1217" s="453"/>
      <c r="GL1217" s="453"/>
      <c r="GM1217" s="453"/>
      <c r="GN1217" s="453"/>
      <c r="GO1217" s="453"/>
      <c r="GP1217" s="453"/>
      <c r="GQ1217" s="453"/>
      <c r="GR1217" s="453"/>
      <c r="GS1217" s="561"/>
      <c r="GT1217" s="475"/>
      <c r="GU1217" s="472"/>
      <c r="GV1217" s="453"/>
      <c r="GW1217" s="453"/>
      <c r="GX1217" s="869"/>
      <c r="GY1217" s="870"/>
      <c r="GZ1217" s="867"/>
      <c r="HA1217" s="868"/>
      <c r="HB1217" s="473"/>
      <c r="HC1217" s="869"/>
      <c r="HD1217" s="870"/>
      <c r="HE1217" s="867"/>
      <c r="HF1217" s="868"/>
      <c r="HG1217" s="473"/>
      <c r="HH1217" s="867"/>
      <c r="HI1217" s="868"/>
      <c r="HJ1217" s="867"/>
      <c r="HK1217" s="868"/>
      <c r="HL1217" s="370"/>
      <c r="HM1217" s="865"/>
      <c r="HN1217" s="866"/>
      <c r="HO1217" s="865"/>
      <c r="HP1217" s="866"/>
      <c r="HQ1217" s="865"/>
      <c r="HR1217" s="866"/>
      <c r="HS1217" s="867"/>
      <c r="HT1217" s="868"/>
      <c r="HU1217" s="489"/>
      <c r="HV1217" s="865"/>
      <c r="HW1217" s="866"/>
    </row>
    <row r="1218" spans="25:231" ht="15" customHeight="1">
      <c r="Y1218" s="332"/>
      <c r="Z1218" s="332"/>
      <c r="AA1218" s="332"/>
      <c r="AB1218" s="332"/>
      <c r="AC1218" s="332"/>
      <c r="AD1218" s="332"/>
      <c r="AE1218" s="332"/>
      <c r="AF1218" s="332"/>
      <c r="AG1218" s="332"/>
      <c r="AH1218" s="332"/>
      <c r="AI1218" s="332"/>
      <c r="AJ1218" s="332"/>
      <c r="AK1218" s="332"/>
      <c r="AL1218" s="332"/>
      <c r="AM1218" s="332"/>
      <c r="AN1218" s="332"/>
      <c r="AO1218" s="332"/>
      <c r="AP1218" s="332"/>
      <c r="AQ1218" s="332"/>
      <c r="AR1218" s="332"/>
      <c r="AS1218" s="332"/>
      <c r="AT1218" s="332"/>
      <c r="AU1218" s="332"/>
      <c r="AV1218" s="332"/>
      <c r="AW1218" s="332"/>
      <c r="AX1218" s="332"/>
      <c r="AY1218" s="332"/>
      <c r="AZ1218" s="332"/>
      <c r="BA1218" s="332"/>
      <c r="BB1218" s="332"/>
      <c r="BC1218" s="332"/>
      <c r="BD1218" s="332"/>
      <c r="BE1218" s="332"/>
      <c r="BF1218" s="332"/>
      <c r="BG1218" s="332"/>
      <c r="BH1218" s="332"/>
      <c r="BI1218" s="332"/>
      <c r="BJ1218" s="332"/>
      <c r="BK1218" s="332"/>
      <c r="BL1218" s="332"/>
      <c r="BM1218" s="332"/>
      <c r="BN1218" s="332"/>
      <c r="BO1218" s="332"/>
      <c r="BP1218" s="332"/>
      <c r="BQ1218" s="332"/>
      <c r="BR1218" s="332"/>
      <c r="BS1218" s="332"/>
      <c r="BT1218" s="332"/>
      <c r="BU1218" s="332"/>
      <c r="BV1218" s="332"/>
      <c r="BW1218" s="332"/>
      <c r="BX1218" s="332"/>
      <c r="BY1218" s="332"/>
      <c r="BZ1218" s="332"/>
      <c r="CA1218" s="332"/>
      <c r="CB1218" s="332"/>
      <c r="CC1218" s="332"/>
      <c r="CD1218" s="332"/>
      <c r="CE1218" s="332"/>
      <c r="CF1218" s="332"/>
      <c r="CG1218" s="332"/>
      <c r="CH1218" s="332"/>
      <c r="CI1218" s="332"/>
      <c r="CJ1218" s="332"/>
      <c r="CK1218" s="332"/>
      <c r="CL1218" s="332"/>
      <c r="CM1218" s="332"/>
      <c r="CN1218" s="332"/>
      <c r="CO1218" s="332"/>
      <c r="CP1218" s="332"/>
      <c r="CQ1218" s="332"/>
      <c r="CR1218" s="332"/>
      <c r="CS1218" s="332"/>
      <c r="CT1218" s="332"/>
      <c r="CU1218" s="332"/>
      <c r="CV1218" s="332"/>
      <c r="CW1218" s="332"/>
      <c r="CX1218" s="332"/>
      <c r="CY1218" s="332"/>
      <c r="CZ1218" s="332"/>
      <c r="DA1218" s="332"/>
      <c r="DB1218" s="332"/>
      <c r="DC1218" s="332"/>
      <c r="DD1218" s="332"/>
      <c r="DE1218" s="332"/>
      <c r="DF1218" s="332"/>
      <c r="DG1218" s="332"/>
      <c r="DH1218" s="332"/>
      <c r="DI1218" s="332"/>
      <c r="DJ1218" s="332"/>
      <c r="DK1218" s="332"/>
      <c r="DL1218" s="332"/>
      <c r="DM1218" s="332"/>
      <c r="DN1218" s="332"/>
      <c r="DO1218" s="332"/>
      <c r="DP1218" s="332"/>
      <c r="DQ1218" s="332"/>
      <c r="DR1218" s="332"/>
      <c r="DS1218" s="332"/>
      <c r="DT1218" s="332"/>
      <c r="DU1218" s="453"/>
      <c r="DV1218" s="453"/>
      <c r="DW1218" s="453"/>
      <c r="DX1218" s="453"/>
      <c r="DY1218" s="453"/>
      <c r="DZ1218" s="453"/>
      <c r="EA1218" s="453"/>
      <c r="EB1218" s="453"/>
      <c r="EC1218" s="453"/>
      <c r="ED1218" s="453"/>
      <c r="EE1218" s="453"/>
      <c r="EF1218" s="453"/>
      <c r="EG1218" s="453"/>
      <c r="EH1218" s="453"/>
      <c r="EI1218" s="453"/>
      <c r="EJ1218" s="453"/>
      <c r="EK1218" s="453"/>
      <c r="EL1218" s="453"/>
      <c r="EM1218" s="483">
        <f t="shared" si="257"/>
        <v>909</v>
      </c>
      <c r="EN1218" s="485"/>
      <c r="EO1218" s="458"/>
      <c r="EP1218" s="467"/>
      <c r="EQ1218" s="457"/>
      <c r="ER1218" s="808"/>
      <c r="ES1218" s="881">
        <f t="shared" si="255"/>
        <v>0</v>
      </c>
      <c r="ET1218" s="882"/>
      <c r="EU1218" s="883"/>
      <c r="EV1218" s="884">
        <f t="shared" si="256"/>
        <v>0</v>
      </c>
      <c r="EW1218" s="885"/>
      <c r="EX1218" s="885"/>
      <c r="EY1218" s="885"/>
      <c r="EZ1218" s="885"/>
      <c r="FA1218" s="885"/>
      <c r="FB1218" s="885"/>
      <c r="FC1218" s="885"/>
      <c r="FD1218" s="886"/>
      <c r="FE1218" s="878"/>
      <c r="FF1218" s="878"/>
      <c r="FG1218" s="878"/>
      <c r="FH1218" s="878"/>
      <c r="FI1218" s="878"/>
      <c r="FJ1218" s="878"/>
      <c r="FK1218" s="878"/>
      <c r="FL1218" s="555"/>
      <c r="FM1218" s="554"/>
      <c r="FN1218" s="554"/>
      <c r="FO1218" s="554"/>
      <c r="FP1218" s="554"/>
      <c r="FQ1218" s="554"/>
      <c r="FR1218" s="554"/>
      <c r="FS1218" s="554"/>
      <c r="FT1218" s="554"/>
      <c r="FU1218" s="554"/>
      <c r="FV1218" s="554"/>
      <c r="FW1218" s="554"/>
      <c r="FX1218" s="554"/>
      <c r="FY1218" s="554"/>
      <c r="FZ1218" s="554"/>
      <c r="GA1218" s="554"/>
      <c r="GB1218" s="556"/>
      <c r="GC1218" s="370"/>
      <c r="GD1218" s="453"/>
      <c r="GE1218" s="453"/>
      <c r="GF1218" s="453"/>
      <c r="GG1218" s="453"/>
      <c r="GH1218" s="454"/>
      <c r="GI1218" s="453"/>
      <c r="GJ1218" s="453"/>
      <c r="GK1218" s="453"/>
      <c r="GL1218" s="453"/>
      <c r="GM1218" s="453"/>
      <c r="GN1218" s="453"/>
      <c r="GO1218" s="453"/>
      <c r="GP1218" s="453"/>
      <c r="GQ1218" s="453"/>
      <c r="GR1218" s="453"/>
      <c r="GS1218" s="561"/>
      <c r="GT1218" s="475"/>
      <c r="GU1218" s="472"/>
      <c r="GV1218" s="453"/>
      <c r="GW1218" s="453"/>
      <c r="GX1218" s="869"/>
      <c r="GY1218" s="870"/>
      <c r="GZ1218" s="867"/>
      <c r="HA1218" s="868"/>
      <c r="HB1218" s="473"/>
      <c r="HC1218" s="869"/>
      <c r="HD1218" s="870"/>
      <c r="HE1218" s="867"/>
      <c r="HF1218" s="868"/>
      <c r="HG1218" s="473"/>
      <c r="HH1218" s="867"/>
      <c r="HI1218" s="868"/>
      <c r="HJ1218" s="867"/>
      <c r="HK1218" s="868"/>
      <c r="HL1218" s="370"/>
      <c r="HM1218" s="865"/>
      <c r="HN1218" s="866"/>
      <c r="HO1218" s="865"/>
      <c r="HP1218" s="866"/>
      <c r="HQ1218" s="865"/>
      <c r="HR1218" s="866"/>
      <c r="HS1218" s="867"/>
      <c r="HT1218" s="868"/>
      <c r="HU1218" s="489"/>
      <c r="HV1218" s="865"/>
      <c r="HW1218" s="866"/>
    </row>
    <row r="1219" spans="25:231" ht="15" customHeight="1">
      <c r="Y1219" s="332"/>
      <c r="Z1219" s="332"/>
      <c r="AA1219" s="332"/>
      <c r="AB1219" s="332"/>
      <c r="AC1219" s="332"/>
      <c r="AD1219" s="332"/>
      <c r="AE1219" s="332"/>
      <c r="AF1219" s="332"/>
      <c r="AG1219" s="332"/>
      <c r="AH1219" s="332"/>
      <c r="AI1219" s="332"/>
      <c r="AJ1219" s="332"/>
      <c r="AK1219" s="332"/>
      <c r="AL1219" s="332"/>
      <c r="AM1219" s="332"/>
      <c r="AN1219" s="332"/>
      <c r="AO1219" s="332"/>
      <c r="AP1219" s="332"/>
      <c r="AQ1219" s="332"/>
      <c r="AR1219" s="332"/>
      <c r="AS1219" s="332"/>
      <c r="AT1219" s="332"/>
      <c r="AU1219" s="332"/>
      <c r="AV1219" s="332"/>
      <c r="AW1219" s="332"/>
      <c r="AX1219" s="332"/>
      <c r="AY1219" s="332"/>
      <c r="AZ1219" s="332"/>
      <c r="BA1219" s="332"/>
      <c r="BB1219" s="332"/>
      <c r="BC1219" s="332"/>
      <c r="BD1219" s="332"/>
      <c r="BE1219" s="332"/>
      <c r="BF1219" s="332"/>
      <c r="BG1219" s="332"/>
      <c r="BH1219" s="332"/>
      <c r="BI1219" s="332"/>
      <c r="BJ1219" s="332"/>
      <c r="BK1219" s="332"/>
      <c r="BL1219" s="332"/>
      <c r="BM1219" s="332"/>
      <c r="BN1219" s="332"/>
      <c r="BO1219" s="332"/>
      <c r="BP1219" s="332"/>
      <c r="BQ1219" s="332"/>
      <c r="BR1219" s="332"/>
      <c r="BS1219" s="332"/>
      <c r="BT1219" s="332"/>
      <c r="BU1219" s="332"/>
      <c r="BV1219" s="332"/>
      <c r="BW1219" s="332"/>
      <c r="BX1219" s="332"/>
      <c r="BY1219" s="332"/>
      <c r="BZ1219" s="332"/>
      <c r="CA1219" s="332"/>
      <c r="CB1219" s="332"/>
      <c r="CC1219" s="332"/>
      <c r="CD1219" s="332"/>
      <c r="CE1219" s="332"/>
      <c r="CF1219" s="332"/>
      <c r="CG1219" s="332"/>
      <c r="CH1219" s="332"/>
      <c r="CI1219" s="332"/>
      <c r="CJ1219" s="332"/>
      <c r="CK1219" s="332"/>
      <c r="CL1219" s="332"/>
      <c r="CM1219" s="332"/>
      <c r="CN1219" s="332"/>
      <c r="CO1219" s="332"/>
      <c r="CP1219" s="332"/>
      <c r="CQ1219" s="332"/>
      <c r="CR1219" s="332"/>
      <c r="CS1219" s="332"/>
      <c r="CT1219" s="332"/>
      <c r="CU1219" s="332"/>
      <c r="CV1219" s="332"/>
      <c r="CW1219" s="332"/>
      <c r="CX1219" s="332"/>
      <c r="CY1219" s="332"/>
      <c r="CZ1219" s="332"/>
      <c r="DA1219" s="332"/>
      <c r="DB1219" s="332"/>
      <c r="DC1219" s="332"/>
      <c r="DD1219" s="332"/>
      <c r="DE1219" s="332"/>
      <c r="DF1219" s="332"/>
      <c r="DG1219" s="332"/>
      <c r="DH1219" s="332"/>
      <c r="DI1219" s="332"/>
      <c r="DJ1219" s="332"/>
      <c r="DK1219" s="332"/>
      <c r="DL1219" s="332"/>
      <c r="DM1219" s="332"/>
      <c r="DN1219" s="332"/>
      <c r="DO1219" s="332"/>
      <c r="DP1219" s="332"/>
      <c r="DQ1219" s="332"/>
      <c r="DR1219" s="332"/>
      <c r="DS1219" s="332"/>
      <c r="DT1219" s="332"/>
      <c r="DU1219" s="453"/>
      <c r="DV1219" s="453"/>
      <c r="DW1219" s="453"/>
      <c r="DX1219" s="453"/>
      <c r="DY1219" s="453"/>
      <c r="DZ1219" s="453"/>
      <c r="EA1219" s="453"/>
      <c r="EB1219" s="453"/>
      <c r="EC1219" s="453"/>
      <c r="ED1219" s="453"/>
      <c r="EE1219" s="453"/>
      <c r="EF1219" s="453"/>
      <c r="EG1219" s="453"/>
      <c r="EH1219" s="453"/>
      <c r="EI1219" s="453"/>
      <c r="EJ1219" s="453"/>
      <c r="EK1219" s="453"/>
      <c r="EL1219" s="453"/>
      <c r="EM1219" s="483">
        <f t="shared" si="257"/>
        <v>910</v>
      </c>
      <c r="EN1219" s="485"/>
      <c r="EO1219" s="458"/>
      <c r="EP1219" s="467"/>
      <c r="EQ1219" s="457"/>
      <c r="ER1219" s="808"/>
      <c r="ES1219" s="881">
        <f t="shared" ref="ES1219:ES1251" si="258">IF(OR(EO1219 = "", EP1219 = 0, EP1219 = "", EQ1219 = 0, EQ1219 = "", ER1219 = 0, ER1219 = ""), 0,
IF(EO1219 &lt;&gt; "ACCION", EP1219 * ER1219 * -100,  EP1219 * ER1219 * -1))</f>
        <v>0</v>
      </c>
      <c r="ET1219" s="882"/>
      <c r="EU1219" s="883"/>
      <c r="EV1219" s="884">
        <f t="shared" ref="EV1219:EV1251" si="259">+IF(OR(EO1219 = "", EP1219 = 0, EP1219 = "", EQ1219 = 0, EQ1219 = "", ER1219 = 0, ER1219 = ""), 0,
IF(EO1219 &lt;&gt; "ACCION",
IF(EP1219 &gt; 0, EP1219 * ER1219 * -100 * ( 1 + COMIS_OPCION), EP1219 * ER1219 * -100 * ( 1 - COMIS_OPCION)),
IF(EP1219 &gt; 0, EP1219 * ER1219 * -1 * ( 1 + COMIS_ACCION), EP1219 * ER1219 * -1 * ( 1 - COMIS_ACCION))  ))</f>
        <v>0</v>
      </c>
      <c r="EW1219" s="885"/>
      <c r="EX1219" s="885"/>
      <c r="EY1219" s="885"/>
      <c r="EZ1219" s="885"/>
      <c r="FA1219" s="885"/>
      <c r="FB1219" s="885"/>
      <c r="FC1219" s="885"/>
      <c r="FD1219" s="886"/>
      <c r="FE1219" s="878"/>
      <c r="FF1219" s="878"/>
      <c r="FG1219" s="878"/>
      <c r="FH1219" s="878"/>
      <c r="FI1219" s="878"/>
      <c r="FJ1219" s="878"/>
      <c r="FK1219" s="878"/>
      <c r="FL1219" s="555"/>
      <c r="FM1219" s="554"/>
      <c r="FN1219" s="554"/>
      <c r="FO1219" s="554"/>
      <c r="FP1219" s="554"/>
      <c r="FQ1219" s="554"/>
      <c r="FR1219" s="554"/>
      <c r="FS1219" s="554"/>
      <c r="FT1219" s="554"/>
      <c r="FU1219" s="554"/>
      <c r="FV1219" s="554"/>
      <c r="FW1219" s="554"/>
      <c r="FX1219" s="554"/>
      <c r="FY1219" s="554"/>
      <c r="FZ1219" s="554"/>
      <c r="GA1219" s="554"/>
      <c r="GB1219" s="556"/>
      <c r="GC1219" s="370"/>
      <c r="GD1219" s="453"/>
      <c r="GE1219" s="453"/>
      <c r="GF1219" s="453"/>
      <c r="GG1219" s="453"/>
      <c r="GH1219" s="454"/>
      <c r="GI1219" s="453"/>
      <c r="GJ1219" s="453"/>
      <c r="GK1219" s="453"/>
      <c r="GL1219" s="453"/>
      <c r="GM1219" s="453"/>
      <c r="GN1219" s="453"/>
      <c r="GO1219" s="453"/>
      <c r="GP1219" s="453"/>
      <c r="GQ1219" s="453"/>
      <c r="GR1219" s="453"/>
      <c r="GS1219" s="561"/>
      <c r="GT1219" s="475"/>
      <c r="GU1219" s="472"/>
      <c r="GV1219" s="453"/>
      <c r="GW1219" s="453"/>
      <c r="GX1219" s="869"/>
      <c r="GY1219" s="870"/>
      <c r="GZ1219" s="867"/>
      <c r="HA1219" s="868"/>
      <c r="HB1219" s="473"/>
      <c r="HC1219" s="869"/>
      <c r="HD1219" s="870"/>
      <c r="HE1219" s="867"/>
      <c r="HF1219" s="868"/>
      <c r="HG1219" s="473"/>
      <c r="HH1219" s="867"/>
      <c r="HI1219" s="868"/>
      <c r="HJ1219" s="867"/>
      <c r="HK1219" s="868"/>
      <c r="HL1219" s="370"/>
      <c r="HM1219" s="865"/>
      <c r="HN1219" s="866"/>
      <c r="HO1219" s="865"/>
      <c r="HP1219" s="866"/>
      <c r="HQ1219" s="865"/>
      <c r="HR1219" s="866"/>
      <c r="HS1219" s="867"/>
      <c r="HT1219" s="868"/>
      <c r="HU1219" s="489"/>
      <c r="HV1219" s="865"/>
      <c r="HW1219" s="866"/>
    </row>
    <row r="1220" spans="25:231" ht="15" customHeight="1">
      <c r="Y1220" s="332"/>
      <c r="Z1220" s="332"/>
      <c r="AA1220" s="332"/>
      <c r="AB1220" s="332"/>
      <c r="AC1220" s="332"/>
      <c r="AD1220" s="332"/>
      <c r="AE1220" s="332"/>
      <c r="AF1220" s="332"/>
      <c r="AG1220" s="332"/>
      <c r="AH1220" s="332"/>
      <c r="AI1220" s="332"/>
      <c r="AJ1220" s="332"/>
      <c r="AK1220" s="332"/>
      <c r="AL1220" s="332"/>
      <c r="AM1220" s="332"/>
      <c r="AN1220" s="332"/>
      <c r="AO1220" s="332"/>
      <c r="AP1220" s="332"/>
      <c r="AQ1220" s="332"/>
      <c r="AR1220" s="332"/>
      <c r="AS1220" s="332"/>
      <c r="AT1220" s="332"/>
      <c r="AU1220" s="332"/>
      <c r="AV1220" s="332"/>
      <c r="AW1220" s="332"/>
      <c r="AX1220" s="332"/>
      <c r="AY1220" s="332"/>
      <c r="AZ1220" s="332"/>
      <c r="BA1220" s="332"/>
      <c r="BB1220" s="332"/>
      <c r="BC1220" s="332"/>
      <c r="BD1220" s="332"/>
      <c r="BE1220" s="332"/>
      <c r="BF1220" s="332"/>
      <c r="BG1220" s="332"/>
      <c r="BH1220" s="332"/>
      <c r="BI1220" s="332"/>
      <c r="BJ1220" s="332"/>
      <c r="BK1220" s="332"/>
      <c r="BL1220" s="332"/>
      <c r="BM1220" s="332"/>
      <c r="BN1220" s="332"/>
      <c r="BO1220" s="332"/>
      <c r="BP1220" s="332"/>
      <c r="BQ1220" s="332"/>
      <c r="BR1220" s="332"/>
      <c r="BS1220" s="332"/>
      <c r="BT1220" s="332"/>
      <c r="BU1220" s="332"/>
      <c r="BV1220" s="332"/>
      <c r="BW1220" s="332"/>
      <c r="BX1220" s="332"/>
      <c r="BY1220" s="332"/>
      <c r="BZ1220" s="332"/>
      <c r="CA1220" s="332"/>
      <c r="CB1220" s="332"/>
      <c r="CC1220" s="332"/>
      <c r="CD1220" s="332"/>
      <c r="CE1220" s="332"/>
      <c r="CF1220" s="332"/>
      <c r="CG1220" s="332"/>
      <c r="CH1220" s="332"/>
      <c r="CI1220" s="332"/>
      <c r="CJ1220" s="332"/>
      <c r="CK1220" s="332"/>
      <c r="CL1220" s="332"/>
      <c r="CM1220" s="332"/>
      <c r="CN1220" s="332"/>
      <c r="CO1220" s="332"/>
      <c r="CP1220" s="332"/>
      <c r="CQ1220" s="332"/>
      <c r="CR1220" s="332"/>
      <c r="CS1220" s="332"/>
      <c r="CT1220" s="332"/>
      <c r="CU1220" s="332"/>
      <c r="CV1220" s="332"/>
      <c r="CW1220" s="332"/>
      <c r="CX1220" s="332"/>
      <c r="CY1220" s="332"/>
      <c r="CZ1220" s="332"/>
      <c r="DA1220" s="332"/>
      <c r="DB1220" s="332"/>
      <c r="DC1220" s="332"/>
      <c r="DD1220" s="332"/>
      <c r="DE1220" s="332"/>
      <c r="DF1220" s="332"/>
      <c r="DG1220" s="332"/>
      <c r="DH1220" s="332"/>
      <c r="DI1220" s="332"/>
      <c r="DJ1220" s="332"/>
      <c r="DK1220" s="332"/>
      <c r="DL1220" s="332"/>
      <c r="DM1220" s="332"/>
      <c r="DN1220" s="332"/>
      <c r="DO1220" s="332"/>
      <c r="DP1220" s="332"/>
      <c r="DQ1220" s="332"/>
      <c r="DR1220" s="332"/>
      <c r="DS1220" s="332"/>
      <c r="DT1220" s="332"/>
      <c r="DU1220" s="453"/>
      <c r="DV1220" s="453"/>
      <c r="DW1220" s="453"/>
      <c r="DX1220" s="453"/>
      <c r="DY1220" s="453"/>
      <c r="DZ1220" s="453"/>
      <c r="EA1220" s="453"/>
      <c r="EB1220" s="453"/>
      <c r="EC1220" s="453"/>
      <c r="ED1220" s="453"/>
      <c r="EE1220" s="453"/>
      <c r="EF1220" s="453"/>
      <c r="EG1220" s="453"/>
      <c r="EH1220" s="453"/>
      <c r="EI1220" s="453"/>
      <c r="EJ1220" s="453"/>
      <c r="EK1220" s="453"/>
      <c r="EL1220" s="453"/>
      <c r="EM1220" s="483">
        <f t="shared" si="257"/>
        <v>911</v>
      </c>
      <c r="EN1220" s="485"/>
      <c r="EO1220" s="458"/>
      <c r="EP1220" s="467"/>
      <c r="EQ1220" s="457"/>
      <c r="ER1220" s="808"/>
      <c r="ES1220" s="881">
        <f t="shared" si="258"/>
        <v>0</v>
      </c>
      <c r="ET1220" s="882"/>
      <c r="EU1220" s="883"/>
      <c r="EV1220" s="884">
        <f t="shared" si="259"/>
        <v>0</v>
      </c>
      <c r="EW1220" s="885"/>
      <c r="EX1220" s="885"/>
      <c r="EY1220" s="885"/>
      <c r="EZ1220" s="885"/>
      <c r="FA1220" s="885"/>
      <c r="FB1220" s="885"/>
      <c r="FC1220" s="885"/>
      <c r="FD1220" s="886"/>
      <c r="FE1220" s="878"/>
      <c r="FF1220" s="878"/>
      <c r="FG1220" s="878"/>
      <c r="FH1220" s="878"/>
      <c r="FI1220" s="878"/>
      <c r="FJ1220" s="878"/>
      <c r="FK1220" s="878"/>
      <c r="FL1220" s="555"/>
      <c r="FM1220" s="554"/>
      <c r="FN1220" s="554"/>
      <c r="FO1220" s="554"/>
      <c r="FP1220" s="554"/>
      <c r="FQ1220" s="554"/>
      <c r="FR1220" s="554"/>
      <c r="FS1220" s="554"/>
      <c r="FT1220" s="554"/>
      <c r="FU1220" s="554"/>
      <c r="FV1220" s="554"/>
      <c r="FW1220" s="554"/>
      <c r="FX1220" s="554"/>
      <c r="FY1220" s="554"/>
      <c r="FZ1220" s="554"/>
      <c r="GA1220" s="554"/>
      <c r="GB1220" s="556"/>
      <c r="GC1220" s="370"/>
      <c r="GD1220" s="453"/>
      <c r="GE1220" s="453"/>
      <c r="GF1220" s="453"/>
      <c r="GG1220" s="453"/>
      <c r="GH1220" s="454"/>
      <c r="GI1220" s="453"/>
      <c r="GJ1220" s="453"/>
      <c r="GK1220" s="453"/>
      <c r="GL1220" s="453"/>
      <c r="GM1220" s="453"/>
      <c r="GN1220" s="453"/>
      <c r="GO1220" s="453"/>
      <c r="GP1220" s="453"/>
      <c r="GQ1220" s="453"/>
      <c r="GR1220" s="453"/>
      <c r="GS1220" s="561"/>
      <c r="GT1220" s="475"/>
      <c r="GU1220" s="472"/>
      <c r="GV1220" s="453"/>
      <c r="GW1220" s="453"/>
      <c r="GX1220" s="869"/>
      <c r="GY1220" s="870"/>
      <c r="GZ1220" s="867"/>
      <c r="HA1220" s="868"/>
      <c r="HB1220" s="473"/>
      <c r="HC1220" s="869"/>
      <c r="HD1220" s="870"/>
      <c r="HE1220" s="867"/>
      <c r="HF1220" s="868"/>
      <c r="HG1220" s="473"/>
      <c r="HH1220" s="867"/>
      <c r="HI1220" s="868"/>
      <c r="HJ1220" s="867"/>
      <c r="HK1220" s="868"/>
      <c r="HL1220" s="370"/>
      <c r="HM1220" s="865"/>
      <c r="HN1220" s="866"/>
      <c r="HO1220" s="865"/>
      <c r="HP1220" s="866"/>
      <c r="HQ1220" s="865"/>
      <c r="HR1220" s="866"/>
      <c r="HS1220" s="867"/>
      <c r="HT1220" s="868"/>
      <c r="HU1220" s="489"/>
      <c r="HV1220" s="865"/>
      <c r="HW1220" s="866"/>
    </row>
    <row r="1221" spans="25:231" ht="15" customHeight="1">
      <c r="Y1221" s="332"/>
      <c r="Z1221" s="332"/>
      <c r="AA1221" s="332"/>
      <c r="AB1221" s="332"/>
      <c r="AC1221" s="332"/>
      <c r="AD1221" s="332"/>
      <c r="AE1221" s="332"/>
      <c r="AF1221" s="332"/>
      <c r="AG1221" s="332"/>
      <c r="AH1221" s="332"/>
      <c r="AI1221" s="332"/>
      <c r="AJ1221" s="332"/>
      <c r="AK1221" s="332"/>
      <c r="AL1221" s="332"/>
      <c r="AM1221" s="332"/>
      <c r="AN1221" s="332"/>
      <c r="AO1221" s="332"/>
      <c r="AP1221" s="332"/>
      <c r="AQ1221" s="332"/>
      <c r="AR1221" s="332"/>
      <c r="AS1221" s="332"/>
      <c r="AT1221" s="332"/>
      <c r="AU1221" s="332"/>
      <c r="AV1221" s="332"/>
      <c r="AW1221" s="332"/>
      <c r="AX1221" s="332"/>
      <c r="AY1221" s="332"/>
      <c r="AZ1221" s="332"/>
      <c r="BA1221" s="332"/>
      <c r="BB1221" s="332"/>
      <c r="BC1221" s="332"/>
      <c r="BD1221" s="332"/>
      <c r="BE1221" s="332"/>
      <c r="BF1221" s="332"/>
      <c r="BG1221" s="332"/>
      <c r="BH1221" s="332"/>
      <c r="BI1221" s="332"/>
      <c r="BJ1221" s="332"/>
      <c r="BK1221" s="332"/>
      <c r="BL1221" s="332"/>
      <c r="BM1221" s="332"/>
      <c r="BN1221" s="332"/>
      <c r="BO1221" s="332"/>
      <c r="BP1221" s="332"/>
      <c r="BQ1221" s="332"/>
      <c r="BR1221" s="332"/>
      <c r="BS1221" s="332"/>
      <c r="BT1221" s="332"/>
      <c r="BU1221" s="332"/>
      <c r="BV1221" s="332"/>
      <c r="BW1221" s="332"/>
      <c r="BX1221" s="332"/>
      <c r="BY1221" s="332"/>
      <c r="BZ1221" s="332"/>
      <c r="CA1221" s="332"/>
      <c r="CB1221" s="332"/>
      <c r="CC1221" s="332"/>
      <c r="CD1221" s="332"/>
      <c r="CE1221" s="332"/>
      <c r="CF1221" s="332"/>
      <c r="CG1221" s="332"/>
      <c r="CH1221" s="332"/>
      <c r="CI1221" s="332"/>
      <c r="CJ1221" s="332"/>
      <c r="CK1221" s="332"/>
      <c r="CL1221" s="332"/>
      <c r="CM1221" s="332"/>
      <c r="CN1221" s="332"/>
      <c r="CO1221" s="332"/>
      <c r="CP1221" s="332"/>
      <c r="CQ1221" s="332"/>
      <c r="CR1221" s="332"/>
      <c r="CS1221" s="332"/>
      <c r="CT1221" s="332"/>
      <c r="CU1221" s="332"/>
      <c r="CV1221" s="332"/>
      <c r="CW1221" s="332"/>
      <c r="CX1221" s="332"/>
      <c r="CY1221" s="332"/>
      <c r="CZ1221" s="332"/>
      <c r="DA1221" s="332"/>
      <c r="DB1221" s="332"/>
      <c r="DC1221" s="332"/>
      <c r="DD1221" s="332"/>
      <c r="DE1221" s="332"/>
      <c r="DF1221" s="332"/>
      <c r="DG1221" s="332"/>
      <c r="DH1221" s="332"/>
      <c r="DI1221" s="332"/>
      <c r="DJ1221" s="332"/>
      <c r="DK1221" s="332"/>
      <c r="DL1221" s="332"/>
      <c r="DM1221" s="332"/>
      <c r="DN1221" s="332"/>
      <c r="DO1221" s="332"/>
      <c r="DP1221" s="332"/>
      <c r="DQ1221" s="332"/>
      <c r="DR1221" s="332"/>
      <c r="DS1221" s="332"/>
      <c r="DT1221" s="332"/>
      <c r="DU1221" s="453"/>
      <c r="DV1221" s="453"/>
      <c r="DW1221" s="453"/>
      <c r="DX1221" s="453"/>
      <c r="DY1221" s="453"/>
      <c r="DZ1221" s="453"/>
      <c r="EA1221" s="453"/>
      <c r="EB1221" s="453"/>
      <c r="EC1221" s="453"/>
      <c r="ED1221" s="453"/>
      <c r="EE1221" s="453"/>
      <c r="EF1221" s="453"/>
      <c r="EG1221" s="453"/>
      <c r="EH1221" s="453"/>
      <c r="EI1221" s="453"/>
      <c r="EJ1221" s="453"/>
      <c r="EK1221" s="453"/>
      <c r="EL1221" s="453"/>
      <c r="EM1221" s="483">
        <f t="shared" si="257"/>
        <v>912</v>
      </c>
      <c r="EN1221" s="485"/>
      <c r="EO1221" s="458"/>
      <c r="EP1221" s="467"/>
      <c r="EQ1221" s="457"/>
      <c r="ER1221" s="808"/>
      <c r="ES1221" s="881">
        <f t="shared" si="258"/>
        <v>0</v>
      </c>
      <c r="ET1221" s="882"/>
      <c r="EU1221" s="883"/>
      <c r="EV1221" s="884">
        <f t="shared" si="259"/>
        <v>0</v>
      </c>
      <c r="EW1221" s="885"/>
      <c r="EX1221" s="885"/>
      <c r="EY1221" s="885"/>
      <c r="EZ1221" s="885"/>
      <c r="FA1221" s="885"/>
      <c r="FB1221" s="885"/>
      <c r="FC1221" s="885"/>
      <c r="FD1221" s="886"/>
      <c r="FE1221" s="878"/>
      <c r="FF1221" s="878"/>
      <c r="FG1221" s="878"/>
      <c r="FH1221" s="878"/>
      <c r="FI1221" s="878"/>
      <c r="FJ1221" s="878"/>
      <c r="FK1221" s="878"/>
      <c r="FL1221" s="555"/>
      <c r="FM1221" s="554"/>
      <c r="FN1221" s="554"/>
      <c r="FO1221" s="554"/>
      <c r="FP1221" s="554"/>
      <c r="FQ1221" s="554"/>
      <c r="FR1221" s="554"/>
      <c r="FS1221" s="554"/>
      <c r="FT1221" s="554"/>
      <c r="FU1221" s="554"/>
      <c r="FV1221" s="554"/>
      <c r="FW1221" s="554"/>
      <c r="FX1221" s="554"/>
      <c r="FY1221" s="554"/>
      <c r="FZ1221" s="554"/>
      <c r="GA1221" s="554"/>
      <c r="GB1221" s="556"/>
      <c r="GC1221" s="370"/>
      <c r="GD1221" s="453"/>
      <c r="GE1221" s="453"/>
      <c r="GF1221" s="453"/>
      <c r="GG1221" s="453"/>
      <c r="GH1221" s="454"/>
      <c r="GI1221" s="453"/>
      <c r="GJ1221" s="453"/>
      <c r="GK1221" s="453"/>
      <c r="GL1221" s="453"/>
      <c r="GM1221" s="453"/>
      <c r="GN1221" s="453"/>
      <c r="GO1221" s="453"/>
      <c r="GP1221" s="453"/>
      <c r="GQ1221" s="453"/>
      <c r="GR1221" s="453"/>
      <c r="GS1221" s="561"/>
      <c r="GT1221" s="475"/>
      <c r="GU1221" s="472"/>
      <c r="GV1221" s="453"/>
      <c r="GW1221" s="453"/>
      <c r="GX1221" s="869"/>
      <c r="GY1221" s="870"/>
      <c r="GZ1221" s="867"/>
      <c r="HA1221" s="868"/>
      <c r="HB1221" s="473"/>
      <c r="HC1221" s="869"/>
      <c r="HD1221" s="870"/>
      <c r="HE1221" s="867"/>
      <c r="HF1221" s="868"/>
      <c r="HG1221" s="473"/>
      <c r="HH1221" s="867"/>
      <c r="HI1221" s="868"/>
      <c r="HJ1221" s="867"/>
      <c r="HK1221" s="868"/>
      <c r="HL1221" s="370"/>
      <c r="HM1221" s="865"/>
      <c r="HN1221" s="866"/>
      <c r="HO1221" s="865"/>
      <c r="HP1221" s="866"/>
      <c r="HQ1221" s="865"/>
      <c r="HR1221" s="866"/>
      <c r="HS1221" s="867"/>
      <c r="HT1221" s="868"/>
      <c r="HU1221" s="489"/>
      <c r="HV1221" s="865"/>
      <c r="HW1221" s="866"/>
    </row>
    <row r="1222" spans="25:231" ht="15" customHeight="1">
      <c r="Y1222" s="332"/>
      <c r="Z1222" s="332"/>
      <c r="AA1222" s="332"/>
      <c r="AB1222" s="332"/>
      <c r="AC1222" s="332"/>
      <c r="AD1222" s="332"/>
      <c r="AE1222" s="332"/>
      <c r="AF1222" s="332"/>
      <c r="AG1222" s="332"/>
      <c r="AH1222" s="332"/>
      <c r="AI1222" s="332"/>
      <c r="AJ1222" s="332"/>
      <c r="AK1222" s="332"/>
      <c r="AL1222" s="332"/>
      <c r="AM1222" s="332"/>
      <c r="AN1222" s="332"/>
      <c r="AO1222" s="332"/>
      <c r="AP1222" s="332"/>
      <c r="AQ1222" s="332"/>
      <c r="AR1222" s="332"/>
      <c r="AS1222" s="332"/>
      <c r="AT1222" s="332"/>
      <c r="AU1222" s="332"/>
      <c r="AV1222" s="332"/>
      <c r="AW1222" s="332"/>
      <c r="AX1222" s="332"/>
      <c r="AY1222" s="332"/>
      <c r="AZ1222" s="332"/>
      <c r="BA1222" s="332"/>
      <c r="BB1222" s="332"/>
      <c r="BC1222" s="332"/>
      <c r="BD1222" s="332"/>
      <c r="BE1222" s="332"/>
      <c r="BF1222" s="332"/>
      <c r="BG1222" s="332"/>
      <c r="BH1222" s="332"/>
      <c r="BI1222" s="332"/>
      <c r="BJ1222" s="332"/>
      <c r="BK1222" s="332"/>
      <c r="BL1222" s="332"/>
      <c r="BM1222" s="332"/>
      <c r="BN1222" s="332"/>
      <c r="BO1222" s="332"/>
      <c r="BP1222" s="332"/>
      <c r="BQ1222" s="332"/>
      <c r="BR1222" s="332"/>
      <c r="BS1222" s="332"/>
      <c r="BT1222" s="332"/>
      <c r="BU1222" s="332"/>
      <c r="BV1222" s="332"/>
      <c r="BW1222" s="332"/>
      <c r="BX1222" s="332"/>
      <c r="BY1222" s="332"/>
      <c r="BZ1222" s="332"/>
      <c r="CA1222" s="332"/>
      <c r="CB1222" s="332"/>
      <c r="CC1222" s="332"/>
      <c r="CD1222" s="332"/>
      <c r="CE1222" s="332"/>
      <c r="CF1222" s="332"/>
      <c r="CG1222" s="332"/>
      <c r="CH1222" s="332"/>
      <c r="CI1222" s="332"/>
      <c r="CJ1222" s="332"/>
      <c r="CK1222" s="332"/>
      <c r="CL1222" s="332"/>
      <c r="CM1222" s="332"/>
      <c r="CN1222" s="332"/>
      <c r="CO1222" s="332"/>
      <c r="CP1222" s="332"/>
      <c r="CQ1222" s="332"/>
      <c r="CR1222" s="332"/>
      <c r="CS1222" s="332"/>
      <c r="CT1222" s="332"/>
      <c r="CU1222" s="332"/>
      <c r="CV1222" s="332"/>
      <c r="CW1222" s="332"/>
      <c r="CX1222" s="332"/>
      <c r="CY1222" s="332"/>
      <c r="CZ1222" s="332"/>
      <c r="DA1222" s="332"/>
      <c r="DB1222" s="332"/>
      <c r="DC1222" s="332"/>
      <c r="DD1222" s="332"/>
      <c r="DE1222" s="332"/>
      <c r="DF1222" s="332"/>
      <c r="DG1222" s="332"/>
      <c r="DH1222" s="332"/>
      <c r="DI1222" s="332"/>
      <c r="DJ1222" s="332"/>
      <c r="DK1222" s="332"/>
      <c r="DL1222" s="332"/>
      <c r="DM1222" s="332"/>
      <c r="DN1222" s="332"/>
      <c r="DO1222" s="332"/>
      <c r="DP1222" s="332"/>
      <c r="DQ1222" s="332"/>
      <c r="DR1222" s="332"/>
      <c r="DS1222" s="332"/>
      <c r="DT1222" s="332"/>
      <c r="DU1222" s="453"/>
      <c r="DV1222" s="453"/>
      <c r="DW1222" s="453"/>
      <c r="DX1222" s="453"/>
      <c r="DY1222" s="453"/>
      <c r="DZ1222" s="453"/>
      <c r="EA1222" s="453"/>
      <c r="EB1222" s="453"/>
      <c r="EC1222" s="453"/>
      <c r="ED1222" s="453"/>
      <c r="EE1222" s="453"/>
      <c r="EF1222" s="453"/>
      <c r="EG1222" s="453"/>
      <c r="EH1222" s="453"/>
      <c r="EI1222" s="453"/>
      <c r="EJ1222" s="453"/>
      <c r="EK1222" s="453"/>
      <c r="EL1222" s="453"/>
      <c r="EM1222" s="483">
        <f t="shared" si="257"/>
        <v>913</v>
      </c>
      <c r="EN1222" s="485"/>
      <c r="EO1222" s="458"/>
      <c r="EP1222" s="467"/>
      <c r="EQ1222" s="457"/>
      <c r="ER1222" s="808"/>
      <c r="ES1222" s="881">
        <f t="shared" si="258"/>
        <v>0</v>
      </c>
      <c r="ET1222" s="882"/>
      <c r="EU1222" s="883"/>
      <c r="EV1222" s="884">
        <f t="shared" si="259"/>
        <v>0</v>
      </c>
      <c r="EW1222" s="885"/>
      <c r="EX1222" s="885"/>
      <c r="EY1222" s="885"/>
      <c r="EZ1222" s="885"/>
      <c r="FA1222" s="885"/>
      <c r="FB1222" s="885"/>
      <c r="FC1222" s="885"/>
      <c r="FD1222" s="886"/>
      <c r="FE1222" s="878"/>
      <c r="FF1222" s="878"/>
      <c r="FG1222" s="878"/>
      <c r="FH1222" s="878"/>
      <c r="FI1222" s="878"/>
      <c r="FJ1222" s="878"/>
      <c r="FK1222" s="878"/>
      <c r="FL1222" s="555"/>
      <c r="FM1222" s="554"/>
      <c r="FN1222" s="554"/>
      <c r="FO1222" s="554"/>
      <c r="FP1222" s="554"/>
      <c r="FQ1222" s="554"/>
      <c r="FR1222" s="554"/>
      <c r="FS1222" s="554"/>
      <c r="FT1222" s="554"/>
      <c r="FU1222" s="554"/>
      <c r="FV1222" s="554"/>
      <c r="FW1222" s="554"/>
      <c r="FX1222" s="554"/>
      <c r="FY1222" s="554"/>
      <c r="FZ1222" s="554"/>
      <c r="GA1222" s="554"/>
      <c r="GB1222" s="556"/>
      <c r="GC1222" s="370"/>
      <c r="GD1222" s="453"/>
      <c r="GE1222" s="453"/>
      <c r="GF1222" s="453"/>
      <c r="GG1222" s="453"/>
      <c r="GH1222" s="454"/>
      <c r="GI1222" s="453"/>
      <c r="GJ1222" s="453"/>
      <c r="GK1222" s="453"/>
      <c r="GL1222" s="453"/>
      <c r="GM1222" s="453"/>
      <c r="GN1222" s="453"/>
      <c r="GO1222" s="453"/>
      <c r="GP1222" s="453"/>
      <c r="GQ1222" s="453"/>
      <c r="GR1222" s="453"/>
      <c r="GS1222" s="561"/>
      <c r="GT1222" s="475"/>
      <c r="GU1222" s="472"/>
      <c r="GV1222" s="453"/>
      <c r="GW1222" s="453"/>
      <c r="GX1222" s="869"/>
      <c r="GY1222" s="870"/>
      <c r="GZ1222" s="867"/>
      <c r="HA1222" s="868"/>
      <c r="HB1222" s="473"/>
      <c r="HC1222" s="869"/>
      <c r="HD1222" s="870"/>
      <c r="HE1222" s="867"/>
      <c r="HF1222" s="868"/>
      <c r="HG1222" s="473"/>
      <c r="HH1222" s="867"/>
      <c r="HI1222" s="868"/>
      <c r="HJ1222" s="867"/>
      <c r="HK1222" s="868"/>
      <c r="HL1222" s="370"/>
      <c r="HM1222" s="865"/>
      <c r="HN1222" s="866"/>
      <c r="HO1222" s="865"/>
      <c r="HP1222" s="866"/>
      <c r="HQ1222" s="865"/>
      <c r="HR1222" s="866"/>
      <c r="HS1222" s="867"/>
      <c r="HT1222" s="868"/>
      <c r="HU1222" s="489"/>
      <c r="HV1222" s="865"/>
      <c r="HW1222" s="866"/>
    </row>
    <row r="1223" spans="25:231" ht="15" customHeight="1">
      <c r="Y1223" s="332"/>
      <c r="Z1223" s="332"/>
      <c r="AA1223" s="332"/>
      <c r="AB1223" s="332"/>
      <c r="AC1223" s="332"/>
      <c r="AD1223" s="332"/>
      <c r="AE1223" s="332"/>
      <c r="AF1223" s="332"/>
      <c r="AG1223" s="332"/>
      <c r="AH1223" s="332"/>
      <c r="AI1223" s="332"/>
      <c r="AJ1223" s="332"/>
      <c r="AK1223" s="332"/>
      <c r="AL1223" s="332"/>
      <c r="AM1223" s="332"/>
      <c r="AN1223" s="332"/>
      <c r="AO1223" s="332"/>
      <c r="AP1223" s="332"/>
      <c r="AQ1223" s="332"/>
      <c r="AR1223" s="332"/>
      <c r="AS1223" s="332"/>
      <c r="AT1223" s="332"/>
      <c r="AU1223" s="332"/>
      <c r="AV1223" s="332"/>
      <c r="AW1223" s="332"/>
      <c r="AX1223" s="332"/>
      <c r="AY1223" s="332"/>
      <c r="AZ1223" s="332"/>
      <c r="BA1223" s="332"/>
      <c r="BB1223" s="332"/>
      <c r="BC1223" s="332"/>
      <c r="BD1223" s="332"/>
      <c r="BE1223" s="332"/>
      <c r="BF1223" s="332"/>
      <c r="BG1223" s="332"/>
      <c r="BH1223" s="332"/>
      <c r="BI1223" s="332"/>
      <c r="BJ1223" s="332"/>
      <c r="BK1223" s="332"/>
      <c r="BL1223" s="332"/>
      <c r="BM1223" s="332"/>
      <c r="BN1223" s="332"/>
      <c r="BO1223" s="332"/>
      <c r="BP1223" s="332"/>
      <c r="BQ1223" s="332"/>
      <c r="BR1223" s="332"/>
      <c r="BS1223" s="332"/>
      <c r="BT1223" s="332"/>
      <c r="BU1223" s="332"/>
      <c r="BV1223" s="332"/>
      <c r="BW1223" s="332"/>
      <c r="BX1223" s="332"/>
      <c r="BY1223" s="332"/>
      <c r="BZ1223" s="332"/>
      <c r="CA1223" s="332"/>
      <c r="CB1223" s="332"/>
      <c r="CC1223" s="332"/>
      <c r="CD1223" s="332"/>
      <c r="CE1223" s="332"/>
      <c r="CF1223" s="332"/>
      <c r="CG1223" s="332"/>
      <c r="CH1223" s="332"/>
      <c r="CI1223" s="332"/>
      <c r="CJ1223" s="332"/>
      <c r="CK1223" s="332"/>
      <c r="CL1223" s="332"/>
      <c r="CM1223" s="332"/>
      <c r="CN1223" s="332"/>
      <c r="CO1223" s="332"/>
      <c r="CP1223" s="332"/>
      <c r="CQ1223" s="332"/>
      <c r="CR1223" s="332"/>
      <c r="CS1223" s="332"/>
      <c r="CT1223" s="332"/>
      <c r="CU1223" s="332"/>
      <c r="CV1223" s="332"/>
      <c r="CW1223" s="332"/>
      <c r="CX1223" s="332"/>
      <c r="CY1223" s="332"/>
      <c r="CZ1223" s="332"/>
      <c r="DA1223" s="332"/>
      <c r="DB1223" s="332"/>
      <c r="DC1223" s="332"/>
      <c r="DD1223" s="332"/>
      <c r="DE1223" s="332"/>
      <c r="DF1223" s="332"/>
      <c r="DG1223" s="332"/>
      <c r="DH1223" s="332"/>
      <c r="DI1223" s="332"/>
      <c r="DJ1223" s="332"/>
      <c r="DK1223" s="332"/>
      <c r="DL1223" s="332"/>
      <c r="DM1223" s="332"/>
      <c r="DN1223" s="332"/>
      <c r="DO1223" s="332"/>
      <c r="DP1223" s="332"/>
      <c r="DQ1223" s="332"/>
      <c r="DR1223" s="332"/>
      <c r="DS1223" s="332"/>
      <c r="DT1223" s="332"/>
      <c r="DU1223" s="453"/>
      <c r="DV1223" s="453"/>
      <c r="DW1223" s="453"/>
      <c r="DX1223" s="453"/>
      <c r="DY1223" s="453"/>
      <c r="DZ1223" s="453"/>
      <c r="EA1223" s="453"/>
      <c r="EB1223" s="453"/>
      <c r="EC1223" s="453"/>
      <c r="ED1223" s="453"/>
      <c r="EE1223" s="453"/>
      <c r="EF1223" s="453"/>
      <c r="EG1223" s="453"/>
      <c r="EH1223" s="453"/>
      <c r="EI1223" s="453"/>
      <c r="EJ1223" s="453"/>
      <c r="EK1223" s="453"/>
      <c r="EL1223" s="453"/>
      <c r="EM1223" s="483">
        <f t="shared" si="257"/>
        <v>914</v>
      </c>
      <c r="EN1223" s="485"/>
      <c r="EO1223" s="458"/>
      <c r="EP1223" s="467"/>
      <c r="EQ1223" s="457"/>
      <c r="ER1223" s="808"/>
      <c r="ES1223" s="881">
        <f t="shared" si="258"/>
        <v>0</v>
      </c>
      <c r="ET1223" s="882"/>
      <c r="EU1223" s="883"/>
      <c r="EV1223" s="884">
        <f t="shared" si="259"/>
        <v>0</v>
      </c>
      <c r="EW1223" s="885"/>
      <c r="EX1223" s="885"/>
      <c r="EY1223" s="885"/>
      <c r="EZ1223" s="885"/>
      <c r="FA1223" s="885"/>
      <c r="FB1223" s="885"/>
      <c r="FC1223" s="885"/>
      <c r="FD1223" s="886"/>
      <c r="FE1223" s="878"/>
      <c r="FF1223" s="878"/>
      <c r="FG1223" s="878"/>
      <c r="FH1223" s="878"/>
      <c r="FI1223" s="878"/>
      <c r="FJ1223" s="878"/>
      <c r="FK1223" s="878"/>
      <c r="FL1223" s="555"/>
      <c r="FM1223" s="554"/>
      <c r="FN1223" s="554"/>
      <c r="FO1223" s="554"/>
      <c r="FP1223" s="554"/>
      <c r="FQ1223" s="554"/>
      <c r="FR1223" s="554"/>
      <c r="FS1223" s="554"/>
      <c r="FT1223" s="554"/>
      <c r="FU1223" s="554"/>
      <c r="FV1223" s="554"/>
      <c r="FW1223" s="554"/>
      <c r="FX1223" s="554"/>
      <c r="FY1223" s="554"/>
      <c r="FZ1223" s="554"/>
      <c r="GA1223" s="554"/>
      <c r="GB1223" s="556"/>
      <c r="GC1223" s="370"/>
      <c r="GD1223" s="453"/>
      <c r="GE1223" s="453"/>
      <c r="GF1223" s="453"/>
      <c r="GG1223" s="453"/>
      <c r="GH1223" s="454"/>
      <c r="GI1223" s="453"/>
      <c r="GJ1223" s="453"/>
      <c r="GK1223" s="453"/>
      <c r="GL1223" s="453"/>
      <c r="GM1223" s="453"/>
      <c r="GN1223" s="453"/>
      <c r="GO1223" s="453"/>
      <c r="GP1223" s="453"/>
      <c r="GQ1223" s="453"/>
      <c r="GR1223" s="453"/>
      <c r="GS1223" s="561"/>
      <c r="GT1223" s="475"/>
      <c r="GU1223" s="472"/>
      <c r="GV1223" s="453"/>
      <c r="GW1223" s="453"/>
      <c r="GX1223" s="869"/>
      <c r="GY1223" s="870"/>
      <c r="GZ1223" s="867"/>
      <c r="HA1223" s="868"/>
      <c r="HB1223" s="473"/>
      <c r="HC1223" s="869"/>
      <c r="HD1223" s="870"/>
      <c r="HE1223" s="867"/>
      <c r="HF1223" s="868"/>
      <c r="HG1223" s="473"/>
      <c r="HH1223" s="867"/>
      <c r="HI1223" s="868"/>
      <c r="HJ1223" s="867"/>
      <c r="HK1223" s="868"/>
      <c r="HL1223" s="370"/>
      <c r="HM1223" s="865"/>
      <c r="HN1223" s="866"/>
      <c r="HO1223" s="865"/>
      <c r="HP1223" s="866"/>
      <c r="HQ1223" s="865"/>
      <c r="HR1223" s="866"/>
      <c r="HS1223" s="867"/>
      <c r="HT1223" s="868"/>
      <c r="HU1223" s="489"/>
      <c r="HV1223" s="865"/>
      <c r="HW1223" s="866"/>
    </row>
    <row r="1224" spans="25:231" ht="15" customHeight="1">
      <c r="Y1224" s="332"/>
      <c r="Z1224" s="332"/>
      <c r="AA1224" s="332"/>
      <c r="AB1224" s="332"/>
      <c r="AC1224" s="332"/>
      <c r="AD1224" s="332"/>
      <c r="AE1224" s="332"/>
      <c r="AF1224" s="332"/>
      <c r="AG1224" s="332"/>
      <c r="AH1224" s="332"/>
      <c r="AI1224" s="332"/>
      <c r="AJ1224" s="332"/>
      <c r="AK1224" s="332"/>
      <c r="AL1224" s="332"/>
      <c r="AM1224" s="332"/>
      <c r="AN1224" s="332"/>
      <c r="AO1224" s="332"/>
      <c r="AP1224" s="332"/>
      <c r="AQ1224" s="332"/>
      <c r="AR1224" s="332"/>
      <c r="AS1224" s="332"/>
      <c r="AT1224" s="332"/>
      <c r="AU1224" s="332"/>
      <c r="AV1224" s="332"/>
      <c r="AW1224" s="332"/>
      <c r="AX1224" s="332"/>
      <c r="AY1224" s="332"/>
      <c r="AZ1224" s="332"/>
      <c r="BA1224" s="332"/>
      <c r="BB1224" s="332"/>
      <c r="BC1224" s="332"/>
      <c r="BD1224" s="332"/>
      <c r="BE1224" s="332"/>
      <c r="BF1224" s="332"/>
      <c r="BG1224" s="332"/>
      <c r="BH1224" s="332"/>
      <c r="BI1224" s="332"/>
      <c r="BJ1224" s="332"/>
      <c r="BK1224" s="332"/>
      <c r="BL1224" s="332"/>
      <c r="BM1224" s="332"/>
      <c r="BN1224" s="332"/>
      <c r="BO1224" s="332"/>
      <c r="BP1224" s="332"/>
      <c r="BQ1224" s="332"/>
      <c r="BR1224" s="332"/>
      <c r="BS1224" s="332"/>
      <c r="BT1224" s="332"/>
      <c r="BU1224" s="332"/>
      <c r="BV1224" s="332"/>
      <c r="BW1224" s="332"/>
      <c r="BX1224" s="332"/>
      <c r="BY1224" s="332"/>
      <c r="BZ1224" s="332"/>
      <c r="CA1224" s="332"/>
      <c r="CB1224" s="332"/>
      <c r="CC1224" s="332"/>
      <c r="CD1224" s="332"/>
      <c r="CE1224" s="332"/>
      <c r="CF1224" s="332"/>
      <c r="CG1224" s="332"/>
      <c r="CH1224" s="332"/>
      <c r="CI1224" s="332"/>
      <c r="CJ1224" s="332"/>
      <c r="CK1224" s="332"/>
      <c r="CL1224" s="332"/>
      <c r="CM1224" s="332"/>
      <c r="CN1224" s="332"/>
      <c r="CO1224" s="332"/>
      <c r="CP1224" s="332"/>
      <c r="CQ1224" s="332"/>
      <c r="CR1224" s="332"/>
      <c r="CS1224" s="332"/>
      <c r="CT1224" s="332"/>
      <c r="CU1224" s="332"/>
      <c r="CV1224" s="332"/>
      <c r="CW1224" s="332"/>
      <c r="CX1224" s="332"/>
      <c r="CY1224" s="332"/>
      <c r="CZ1224" s="332"/>
      <c r="DA1224" s="332"/>
      <c r="DB1224" s="332"/>
      <c r="DC1224" s="332"/>
      <c r="DD1224" s="332"/>
      <c r="DE1224" s="332"/>
      <c r="DF1224" s="332"/>
      <c r="DG1224" s="332"/>
      <c r="DH1224" s="332"/>
      <c r="DI1224" s="332"/>
      <c r="DJ1224" s="332"/>
      <c r="DK1224" s="332"/>
      <c r="DL1224" s="332"/>
      <c r="DM1224" s="332"/>
      <c r="DN1224" s="332"/>
      <c r="DO1224" s="332"/>
      <c r="DP1224" s="332"/>
      <c r="DQ1224" s="332"/>
      <c r="DR1224" s="332"/>
      <c r="DS1224" s="332"/>
      <c r="DT1224" s="332"/>
      <c r="DU1224" s="453"/>
      <c r="DV1224" s="453"/>
      <c r="DW1224" s="453"/>
      <c r="DX1224" s="453"/>
      <c r="DY1224" s="453"/>
      <c r="DZ1224" s="453"/>
      <c r="EA1224" s="453"/>
      <c r="EB1224" s="453"/>
      <c r="EC1224" s="453"/>
      <c r="ED1224" s="453"/>
      <c r="EE1224" s="453"/>
      <c r="EF1224" s="453"/>
      <c r="EG1224" s="453"/>
      <c r="EH1224" s="453"/>
      <c r="EI1224" s="453"/>
      <c r="EJ1224" s="453"/>
      <c r="EK1224" s="453"/>
      <c r="EL1224" s="453"/>
      <c r="EM1224" s="483">
        <f t="shared" si="257"/>
        <v>915</v>
      </c>
      <c r="EN1224" s="485"/>
      <c r="EO1224" s="458"/>
      <c r="EP1224" s="467"/>
      <c r="EQ1224" s="457"/>
      <c r="ER1224" s="808"/>
      <c r="ES1224" s="881">
        <f t="shared" si="258"/>
        <v>0</v>
      </c>
      <c r="ET1224" s="882"/>
      <c r="EU1224" s="883"/>
      <c r="EV1224" s="884">
        <f t="shared" si="259"/>
        <v>0</v>
      </c>
      <c r="EW1224" s="885"/>
      <c r="EX1224" s="885"/>
      <c r="EY1224" s="885"/>
      <c r="EZ1224" s="885"/>
      <c r="FA1224" s="885"/>
      <c r="FB1224" s="885"/>
      <c r="FC1224" s="885"/>
      <c r="FD1224" s="886"/>
      <c r="FE1224" s="878"/>
      <c r="FF1224" s="878"/>
      <c r="FG1224" s="878"/>
      <c r="FH1224" s="878"/>
      <c r="FI1224" s="878"/>
      <c r="FJ1224" s="878"/>
      <c r="FK1224" s="878"/>
      <c r="FL1224" s="555"/>
      <c r="FM1224" s="554"/>
      <c r="FN1224" s="554"/>
      <c r="FO1224" s="554"/>
      <c r="FP1224" s="554"/>
      <c r="FQ1224" s="554"/>
      <c r="FR1224" s="554"/>
      <c r="FS1224" s="554"/>
      <c r="FT1224" s="554"/>
      <c r="FU1224" s="554"/>
      <c r="FV1224" s="554"/>
      <c r="FW1224" s="554"/>
      <c r="FX1224" s="554"/>
      <c r="FY1224" s="554"/>
      <c r="FZ1224" s="554"/>
      <c r="GA1224" s="554"/>
      <c r="GB1224" s="556"/>
      <c r="GC1224" s="370"/>
      <c r="GD1224" s="453"/>
      <c r="GE1224" s="453"/>
      <c r="GF1224" s="453"/>
      <c r="GG1224" s="453"/>
      <c r="GH1224" s="454"/>
      <c r="GI1224" s="453"/>
      <c r="GJ1224" s="453"/>
      <c r="GK1224" s="453"/>
      <c r="GL1224" s="453"/>
      <c r="GM1224" s="453"/>
      <c r="GN1224" s="453"/>
      <c r="GO1224" s="453"/>
      <c r="GP1224" s="453"/>
      <c r="GQ1224" s="453"/>
      <c r="GR1224" s="453"/>
      <c r="GS1224" s="561"/>
      <c r="GT1224" s="475"/>
      <c r="GU1224" s="472"/>
      <c r="GV1224" s="453"/>
      <c r="GW1224" s="453"/>
      <c r="GX1224" s="869"/>
      <c r="GY1224" s="870"/>
      <c r="GZ1224" s="867"/>
      <c r="HA1224" s="868"/>
      <c r="HB1224" s="473"/>
      <c r="HC1224" s="869"/>
      <c r="HD1224" s="870"/>
      <c r="HE1224" s="867"/>
      <c r="HF1224" s="868"/>
      <c r="HG1224" s="473"/>
      <c r="HH1224" s="867"/>
      <c r="HI1224" s="868"/>
      <c r="HJ1224" s="867"/>
      <c r="HK1224" s="868"/>
      <c r="HL1224" s="370"/>
      <c r="HM1224" s="865"/>
      <c r="HN1224" s="866"/>
      <c r="HO1224" s="865"/>
      <c r="HP1224" s="866"/>
      <c r="HQ1224" s="865"/>
      <c r="HR1224" s="866"/>
      <c r="HS1224" s="867"/>
      <c r="HT1224" s="868"/>
      <c r="HU1224" s="489"/>
      <c r="HV1224" s="865"/>
      <c r="HW1224" s="866"/>
    </row>
    <row r="1225" spans="25:231" ht="15" customHeight="1">
      <c r="Y1225" s="332"/>
      <c r="Z1225" s="332"/>
      <c r="AA1225" s="332"/>
      <c r="AB1225" s="332"/>
      <c r="AC1225" s="332"/>
      <c r="AD1225" s="332"/>
      <c r="AE1225" s="332"/>
      <c r="AF1225" s="332"/>
      <c r="AG1225" s="332"/>
      <c r="AH1225" s="332"/>
      <c r="AI1225" s="332"/>
      <c r="AJ1225" s="332"/>
      <c r="AK1225" s="332"/>
      <c r="AL1225" s="332"/>
      <c r="AM1225" s="332"/>
      <c r="AN1225" s="332"/>
      <c r="AO1225" s="332"/>
      <c r="AP1225" s="332"/>
      <c r="AQ1225" s="332"/>
      <c r="AR1225" s="332"/>
      <c r="AS1225" s="332"/>
      <c r="AT1225" s="332"/>
      <c r="AU1225" s="332"/>
      <c r="AV1225" s="332"/>
      <c r="AW1225" s="332"/>
      <c r="AX1225" s="332"/>
      <c r="AY1225" s="332"/>
      <c r="AZ1225" s="332"/>
      <c r="BA1225" s="332"/>
      <c r="BB1225" s="332"/>
      <c r="BC1225" s="332"/>
      <c r="BD1225" s="332"/>
      <c r="BE1225" s="332"/>
      <c r="BF1225" s="332"/>
      <c r="BG1225" s="332"/>
      <c r="BH1225" s="332"/>
      <c r="BI1225" s="332"/>
      <c r="BJ1225" s="332"/>
      <c r="BK1225" s="332"/>
      <c r="BL1225" s="332"/>
      <c r="BM1225" s="332"/>
      <c r="BN1225" s="332"/>
      <c r="BO1225" s="332"/>
      <c r="BP1225" s="332"/>
      <c r="BQ1225" s="332"/>
      <c r="BR1225" s="332"/>
      <c r="BS1225" s="332"/>
      <c r="BT1225" s="332"/>
      <c r="BU1225" s="332"/>
      <c r="BV1225" s="332"/>
      <c r="BW1225" s="332"/>
      <c r="BX1225" s="332"/>
      <c r="BY1225" s="332"/>
      <c r="BZ1225" s="332"/>
      <c r="CA1225" s="332"/>
      <c r="CB1225" s="332"/>
      <c r="CC1225" s="332"/>
      <c r="CD1225" s="332"/>
      <c r="CE1225" s="332"/>
      <c r="CF1225" s="332"/>
      <c r="CG1225" s="332"/>
      <c r="CH1225" s="332"/>
      <c r="CI1225" s="332"/>
      <c r="CJ1225" s="332"/>
      <c r="CK1225" s="332"/>
      <c r="CL1225" s="332"/>
      <c r="CM1225" s="332"/>
      <c r="CN1225" s="332"/>
      <c r="CO1225" s="332"/>
      <c r="CP1225" s="332"/>
      <c r="CQ1225" s="332"/>
      <c r="CR1225" s="332"/>
      <c r="CS1225" s="332"/>
      <c r="CT1225" s="332"/>
      <c r="CU1225" s="332"/>
      <c r="CV1225" s="332"/>
      <c r="CW1225" s="332"/>
      <c r="CX1225" s="332"/>
      <c r="CY1225" s="332"/>
      <c r="CZ1225" s="332"/>
      <c r="DA1225" s="332"/>
      <c r="DB1225" s="332"/>
      <c r="DC1225" s="332"/>
      <c r="DD1225" s="332"/>
      <c r="DE1225" s="332"/>
      <c r="DF1225" s="332"/>
      <c r="DG1225" s="332"/>
      <c r="DH1225" s="332"/>
      <c r="DI1225" s="332"/>
      <c r="DJ1225" s="332"/>
      <c r="DK1225" s="332"/>
      <c r="DL1225" s="332"/>
      <c r="DM1225" s="332"/>
      <c r="DN1225" s="332"/>
      <c r="DO1225" s="332"/>
      <c r="DP1225" s="332"/>
      <c r="DQ1225" s="332"/>
      <c r="DR1225" s="332"/>
      <c r="DS1225" s="332"/>
      <c r="DT1225" s="332"/>
      <c r="DU1225" s="453"/>
      <c r="DV1225" s="453"/>
      <c r="DW1225" s="453"/>
      <c r="DX1225" s="453"/>
      <c r="DY1225" s="453"/>
      <c r="DZ1225" s="453"/>
      <c r="EA1225" s="453"/>
      <c r="EB1225" s="453"/>
      <c r="EC1225" s="453"/>
      <c r="ED1225" s="453"/>
      <c r="EE1225" s="453"/>
      <c r="EF1225" s="453"/>
      <c r="EG1225" s="453"/>
      <c r="EH1225" s="453"/>
      <c r="EI1225" s="453"/>
      <c r="EJ1225" s="453"/>
      <c r="EK1225" s="453"/>
      <c r="EL1225" s="453"/>
      <c r="EM1225" s="483">
        <f t="shared" si="257"/>
        <v>916</v>
      </c>
      <c r="EN1225" s="485"/>
      <c r="EO1225" s="458"/>
      <c r="EP1225" s="467"/>
      <c r="EQ1225" s="457"/>
      <c r="ER1225" s="808"/>
      <c r="ES1225" s="881">
        <f t="shared" si="258"/>
        <v>0</v>
      </c>
      <c r="ET1225" s="882"/>
      <c r="EU1225" s="883"/>
      <c r="EV1225" s="884">
        <f t="shared" si="259"/>
        <v>0</v>
      </c>
      <c r="EW1225" s="885"/>
      <c r="EX1225" s="885"/>
      <c r="EY1225" s="885"/>
      <c r="EZ1225" s="885"/>
      <c r="FA1225" s="885"/>
      <c r="FB1225" s="885"/>
      <c r="FC1225" s="885"/>
      <c r="FD1225" s="886"/>
      <c r="FE1225" s="878"/>
      <c r="FF1225" s="878"/>
      <c r="FG1225" s="878"/>
      <c r="FH1225" s="878"/>
      <c r="FI1225" s="878"/>
      <c r="FJ1225" s="878"/>
      <c r="FK1225" s="878"/>
      <c r="FL1225" s="555"/>
      <c r="FM1225" s="554"/>
      <c r="FN1225" s="554"/>
      <c r="FO1225" s="554"/>
      <c r="FP1225" s="554"/>
      <c r="FQ1225" s="554"/>
      <c r="FR1225" s="554"/>
      <c r="FS1225" s="554"/>
      <c r="FT1225" s="554"/>
      <c r="FU1225" s="554"/>
      <c r="FV1225" s="554"/>
      <c r="FW1225" s="554"/>
      <c r="FX1225" s="554"/>
      <c r="FY1225" s="554"/>
      <c r="FZ1225" s="554"/>
      <c r="GA1225" s="554"/>
      <c r="GB1225" s="556"/>
      <c r="GC1225" s="370"/>
      <c r="GD1225" s="453"/>
      <c r="GE1225" s="453"/>
      <c r="GF1225" s="453"/>
      <c r="GG1225" s="453"/>
      <c r="GH1225" s="454"/>
      <c r="GI1225" s="453"/>
      <c r="GJ1225" s="453"/>
      <c r="GK1225" s="453"/>
      <c r="GL1225" s="453"/>
      <c r="GM1225" s="453"/>
      <c r="GN1225" s="453"/>
      <c r="GO1225" s="453"/>
      <c r="GP1225" s="453"/>
      <c r="GQ1225" s="453"/>
      <c r="GR1225" s="453"/>
      <c r="GS1225" s="561"/>
      <c r="GT1225" s="475"/>
      <c r="GU1225" s="472"/>
      <c r="GV1225" s="453"/>
      <c r="GW1225" s="453"/>
      <c r="GX1225" s="869"/>
      <c r="GY1225" s="870"/>
      <c r="GZ1225" s="867"/>
      <c r="HA1225" s="868"/>
      <c r="HB1225" s="473"/>
      <c r="HC1225" s="869"/>
      <c r="HD1225" s="870"/>
      <c r="HE1225" s="867"/>
      <c r="HF1225" s="868"/>
      <c r="HG1225" s="473"/>
      <c r="HH1225" s="867"/>
      <c r="HI1225" s="868"/>
      <c r="HJ1225" s="867"/>
      <c r="HK1225" s="868"/>
      <c r="HL1225" s="370"/>
      <c r="HM1225" s="865"/>
      <c r="HN1225" s="866"/>
      <c r="HO1225" s="865"/>
      <c r="HP1225" s="866"/>
      <c r="HQ1225" s="865"/>
      <c r="HR1225" s="866"/>
      <c r="HS1225" s="867"/>
      <c r="HT1225" s="868"/>
      <c r="HU1225" s="489"/>
      <c r="HV1225" s="865"/>
      <c r="HW1225" s="866"/>
    </row>
    <row r="1226" spans="25:231" ht="15" customHeight="1">
      <c r="Y1226" s="332"/>
      <c r="Z1226" s="332"/>
      <c r="AA1226" s="332"/>
      <c r="AB1226" s="332"/>
      <c r="AC1226" s="332"/>
      <c r="AD1226" s="332"/>
      <c r="AE1226" s="332"/>
      <c r="AF1226" s="332"/>
      <c r="AG1226" s="332"/>
      <c r="AH1226" s="332"/>
      <c r="AI1226" s="332"/>
      <c r="AJ1226" s="332"/>
      <c r="AK1226" s="332"/>
      <c r="AL1226" s="332"/>
      <c r="AM1226" s="332"/>
      <c r="AN1226" s="332"/>
      <c r="AO1226" s="332"/>
      <c r="AP1226" s="332"/>
      <c r="AQ1226" s="332"/>
      <c r="AR1226" s="332"/>
      <c r="AS1226" s="332"/>
      <c r="AT1226" s="332"/>
      <c r="AU1226" s="332"/>
      <c r="AV1226" s="332"/>
      <c r="AW1226" s="332"/>
      <c r="AX1226" s="332"/>
      <c r="AY1226" s="332"/>
      <c r="AZ1226" s="332"/>
      <c r="BA1226" s="332"/>
      <c r="BB1226" s="332"/>
      <c r="BC1226" s="332"/>
      <c r="BD1226" s="332"/>
      <c r="BE1226" s="332"/>
      <c r="BF1226" s="332"/>
      <c r="BG1226" s="332"/>
      <c r="BH1226" s="332"/>
      <c r="BI1226" s="332"/>
      <c r="BJ1226" s="332"/>
      <c r="BK1226" s="332"/>
      <c r="BL1226" s="332"/>
      <c r="BM1226" s="332"/>
      <c r="BN1226" s="332"/>
      <c r="BO1226" s="332"/>
      <c r="BP1226" s="332"/>
      <c r="BQ1226" s="332"/>
      <c r="BR1226" s="332"/>
      <c r="BS1226" s="332"/>
      <c r="BT1226" s="332"/>
      <c r="BU1226" s="332"/>
      <c r="BV1226" s="332"/>
      <c r="BW1226" s="332"/>
      <c r="BX1226" s="332"/>
      <c r="BY1226" s="332"/>
      <c r="BZ1226" s="332"/>
      <c r="CA1226" s="332"/>
      <c r="CB1226" s="332"/>
      <c r="CC1226" s="332"/>
      <c r="CD1226" s="332"/>
      <c r="CE1226" s="332"/>
      <c r="CF1226" s="332"/>
      <c r="CG1226" s="332"/>
      <c r="CH1226" s="332"/>
      <c r="CI1226" s="332"/>
      <c r="CJ1226" s="332"/>
      <c r="CK1226" s="332"/>
      <c r="CL1226" s="332"/>
      <c r="CM1226" s="332"/>
      <c r="CN1226" s="332"/>
      <c r="CO1226" s="332"/>
      <c r="CP1226" s="332"/>
      <c r="CQ1226" s="332"/>
      <c r="CR1226" s="332"/>
      <c r="CS1226" s="332"/>
      <c r="CT1226" s="332"/>
      <c r="CU1226" s="332"/>
      <c r="CV1226" s="332"/>
      <c r="CW1226" s="332"/>
      <c r="CX1226" s="332"/>
      <c r="CY1226" s="332"/>
      <c r="CZ1226" s="332"/>
      <c r="DA1226" s="332"/>
      <c r="DB1226" s="332"/>
      <c r="DC1226" s="332"/>
      <c r="DD1226" s="332"/>
      <c r="DE1226" s="332"/>
      <c r="DF1226" s="332"/>
      <c r="DG1226" s="332"/>
      <c r="DH1226" s="332"/>
      <c r="DI1226" s="332"/>
      <c r="DJ1226" s="332"/>
      <c r="DK1226" s="332"/>
      <c r="DL1226" s="332"/>
      <c r="DM1226" s="332"/>
      <c r="DN1226" s="332"/>
      <c r="DO1226" s="332"/>
      <c r="DP1226" s="332"/>
      <c r="DQ1226" s="332"/>
      <c r="DR1226" s="332"/>
      <c r="DS1226" s="332"/>
      <c r="DT1226" s="332"/>
      <c r="DU1226" s="453"/>
      <c r="DV1226" s="453"/>
      <c r="DW1226" s="453"/>
      <c r="DX1226" s="453"/>
      <c r="DY1226" s="453"/>
      <c r="DZ1226" s="453"/>
      <c r="EA1226" s="453"/>
      <c r="EB1226" s="453"/>
      <c r="EC1226" s="453"/>
      <c r="ED1226" s="453"/>
      <c r="EE1226" s="453"/>
      <c r="EF1226" s="453"/>
      <c r="EG1226" s="453"/>
      <c r="EH1226" s="453"/>
      <c r="EI1226" s="453"/>
      <c r="EJ1226" s="453"/>
      <c r="EK1226" s="453"/>
      <c r="EL1226" s="453"/>
      <c r="EM1226" s="483">
        <f t="shared" si="257"/>
        <v>917</v>
      </c>
      <c r="EN1226" s="485"/>
      <c r="EO1226" s="458"/>
      <c r="EP1226" s="467"/>
      <c r="EQ1226" s="457"/>
      <c r="ER1226" s="808"/>
      <c r="ES1226" s="881">
        <f t="shared" si="258"/>
        <v>0</v>
      </c>
      <c r="ET1226" s="882"/>
      <c r="EU1226" s="883"/>
      <c r="EV1226" s="884">
        <f t="shared" si="259"/>
        <v>0</v>
      </c>
      <c r="EW1226" s="885"/>
      <c r="EX1226" s="885"/>
      <c r="EY1226" s="885"/>
      <c r="EZ1226" s="885"/>
      <c r="FA1226" s="885"/>
      <c r="FB1226" s="885"/>
      <c r="FC1226" s="885"/>
      <c r="FD1226" s="886"/>
      <c r="FE1226" s="878"/>
      <c r="FF1226" s="878"/>
      <c r="FG1226" s="878"/>
      <c r="FH1226" s="878"/>
      <c r="FI1226" s="878"/>
      <c r="FJ1226" s="878"/>
      <c r="FK1226" s="878"/>
      <c r="FL1226" s="555"/>
      <c r="FM1226" s="554"/>
      <c r="FN1226" s="554"/>
      <c r="FO1226" s="554"/>
      <c r="FP1226" s="554"/>
      <c r="FQ1226" s="554"/>
      <c r="FR1226" s="554"/>
      <c r="FS1226" s="554"/>
      <c r="FT1226" s="554"/>
      <c r="FU1226" s="554"/>
      <c r="FV1226" s="554"/>
      <c r="FW1226" s="554"/>
      <c r="FX1226" s="554"/>
      <c r="FY1226" s="554"/>
      <c r="FZ1226" s="554"/>
      <c r="GA1226" s="554"/>
      <c r="GB1226" s="556"/>
      <c r="GC1226" s="370"/>
      <c r="GD1226" s="453"/>
      <c r="GE1226" s="453"/>
      <c r="GF1226" s="453"/>
      <c r="GG1226" s="453"/>
      <c r="GH1226" s="454"/>
      <c r="GI1226" s="453"/>
      <c r="GJ1226" s="453"/>
      <c r="GK1226" s="453"/>
      <c r="GL1226" s="453"/>
      <c r="GM1226" s="453"/>
      <c r="GN1226" s="453"/>
      <c r="GO1226" s="453"/>
      <c r="GP1226" s="453"/>
      <c r="GQ1226" s="453"/>
      <c r="GR1226" s="453"/>
      <c r="GS1226" s="561"/>
      <c r="GT1226" s="475"/>
      <c r="GU1226" s="472"/>
      <c r="GV1226" s="453"/>
      <c r="GW1226" s="453"/>
      <c r="GX1226" s="869"/>
      <c r="GY1226" s="870"/>
      <c r="GZ1226" s="867"/>
      <c r="HA1226" s="868"/>
      <c r="HB1226" s="473"/>
      <c r="HC1226" s="869"/>
      <c r="HD1226" s="870"/>
      <c r="HE1226" s="867"/>
      <c r="HF1226" s="868"/>
      <c r="HG1226" s="473"/>
      <c r="HH1226" s="867"/>
      <c r="HI1226" s="868"/>
      <c r="HJ1226" s="867"/>
      <c r="HK1226" s="868"/>
      <c r="HL1226" s="370"/>
      <c r="HM1226" s="865"/>
      <c r="HN1226" s="866"/>
      <c r="HO1226" s="865"/>
      <c r="HP1226" s="866"/>
      <c r="HQ1226" s="865"/>
      <c r="HR1226" s="866"/>
      <c r="HS1226" s="867"/>
      <c r="HT1226" s="868"/>
      <c r="HU1226" s="489"/>
      <c r="HV1226" s="865"/>
      <c r="HW1226" s="866"/>
    </row>
    <row r="1227" spans="25:231" ht="15" customHeight="1">
      <c r="Y1227" s="332"/>
      <c r="Z1227" s="332"/>
      <c r="AA1227" s="332"/>
      <c r="AB1227" s="332"/>
      <c r="AC1227" s="332"/>
      <c r="AD1227" s="332"/>
      <c r="AE1227" s="332"/>
      <c r="AF1227" s="332"/>
      <c r="AG1227" s="332"/>
      <c r="AH1227" s="332"/>
      <c r="AI1227" s="332"/>
      <c r="AJ1227" s="332"/>
      <c r="AK1227" s="332"/>
      <c r="AL1227" s="332"/>
      <c r="AM1227" s="332"/>
      <c r="AN1227" s="332"/>
      <c r="AO1227" s="332"/>
      <c r="AP1227" s="332"/>
      <c r="AQ1227" s="332"/>
      <c r="AR1227" s="332"/>
      <c r="AS1227" s="332"/>
      <c r="AT1227" s="332"/>
      <c r="AU1227" s="332"/>
      <c r="AV1227" s="332"/>
      <c r="AW1227" s="332"/>
      <c r="AX1227" s="332"/>
      <c r="AY1227" s="332"/>
      <c r="AZ1227" s="332"/>
      <c r="BA1227" s="332"/>
      <c r="BB1227" s="332"/>
      <c r="BC1227" s="332"/>
      <c r="BD1227" s="332"/>
      <c r="BE1227" s="332"/>
      <c r="BF1227" s="332"/>
      <c r="BG1227" s="332"/>
      <c r="BH1227" s="332"/>
      <c r="BI1227" s="332"/>
      <c r="BJ1227" s="332"/>
      <c r="BK1227" s="332"/>
      <c r="BL1227" s="332"/>
      <c r="BM1227" s="332"/>
      <c r="BN1227" s="332"/>
      <c r="BO1227" s="332"/>
      <c r="BP1227" s="332"/>
      <c r="BQ1227" s="332"/>
      <c r="BR1227" s="332"/>
      <c r="BS1227" s="332"/>
      <c r="BT1227" s="332"/>
      <c r="BU1227" s="332"/>
      <c r="BV1227" s="332"/>
      <c r="BW1227" s="332"/>
      <c r="BX1227" s="332"/>
      <c r="BY1227" s="332"/>
      <c r="BZ1227" s="332"/>
      <c r="CA1227" s="332"/>
      <c r="CB1227" s="332"/>
      <c r="CC1227" s="332"/>
      <c r="CD1227" s="332"/>
      <c r="CE1227" s="332"/>
      <c r="CF1227" s="332"/>
      <c r="CG1227" s="332"/>
      <c r="CH1227" s="332"/>
      <c r="CI1227" s="332"/>
      <c r="CJ1227" s="332"/>
      <c r="CK1227" s="332"/>
      <c r="CL1227" s="332"/>
      <c r="CM1227" s="332"/>
      <c r="CN1227" s="332"/>
      <c r="CO1227" s="332"/>
      <c r="CP1227" s="332"/>
      <c r="CQ1227" s="332"/>
      <c r="CR1227" s="332"/>
      <c r="CS1227" s="332"/>
      <c r="CT1227" s="332"/>
      <c r="CU1227" s="332"/>
      <c r="CV1227" s="332"/>
      <c r="CW1227" s="332"/>
      <c r="CX1227" s="332"/>
      <c r="CY1227" s="332"/>
      <c r="CZ1227" s="332"/>
      <c r="DA1227" s="332"/>
      <c r="DB1227" s="332"/>
      <c r="DC1227" s="332"/>
      <c r="DD1227" s="332"/>
      <c r="DE1227" s="332"/>
      <c r="DF1227" s="332"/>
      <c r="DG1227" s="332"/>
      <c r="DH1227" s="332"/>
      <c r="DI1227" s="332"/>
      <c r="DJ1227" s="332"/>
      <c r="DK1227" s="332"/>
      <c r="DL1227" s="332"/>
      <c r="DM1227" s="332"/>
      <c r="DN1227" s="332"/>
      <c r="DO1227" s="332"/>
      <c r="DP1227" s="332"/>
      <c r="DQ1227" s="332"/>
      <c r="DR1227" s="332"/>
      <c r="DS1227" s="332"/>
      <c r="DT1227" s="332"/>
      <c r="DU1227" s="453"/>
      <c r="DV1227" s="453"/>
      <c r="DW1227" s="453"/>
      <c r="DX1227" s="453"/>
      <c r="DY1227" s="453"/>
      <c r="DZ1227" s="453"/>
      <c r="EA1227" s="453"/>
      <c r="EB1227" s="453"/>
      <c r="EC1227" s="453"/>
      <c r="ED1227" s="453"/>
      <c r="EE1227" s="453"/>
      <c r="EF1227" s="453"/>
      <c r="EG1227" s="453"/>
      <c r="EH1227" s="453"/>
      <c r="EI1227" s="453"/>
      <c r="EJ1227" s="453"/>
      <c r="EK1227" s="453"/>
      <c r="EL1227" s="453"/>
      <c r="EM1227" s="483">
        <f t="shared" si="257"/>
        <v>918</v>
      </c>
      <c r="EN1227" s="485"/>
      <c r="EO1227" s="458"/>
      <c r="EP1227" s="467"/>
      <c r="EQ1227" s="457"/>
      <c r="ER1227" s="808"/>
      <c r="ES1227" s="881">
        <f t="shared" si="258"/>
        <v>0</v>
      </c>
      <c r="ET1227" s="882"/>
      <c r="EU1227" s="883"/>
      <c r="EV1227" s="884">
        <f t="shared" si="259"/>
        <v>0</v>
      </c>
      <c r="EW1227" s="885"/>
      <c r="EX1227" s="885"/>
      <c r="EY1227" s="885"/>
      <c r="EZ1227" s="885"/>
      <c r="FA1227" s="885"/>
      <c r="FB1227" s="885"/>
      <c r="FC1227" s="885"/>
      <c r="FD1227" s="886"/>
      <c r="FE1227" s="878"/>
      <c r="FF1227" s="878"/>
      <c r="FG1227" s="878"/>
      <c r="FH1227" s="878"/>
      <c r="FI1227" s="878"/>
      <c r="FJ1227" s="878"/>
      <c r="FK1227" s="878"/>
      <c r="FL1227" s="555"/>
      <c r="FM1227" s="554"/>
      <c r="FN1227" s="554"/>
      <c r="FO1227" s="554"/>
      <c r="FP1227" s="554"/>
      <c r="FQ1227" s="554"/>
      <c r="FR1227" s="554"/>
      <c r="FS1227" s="554"/>
      <c r="FT1227" s="554"/>
      <c r="FU1227" s="554"/>
      <c r="FV1227" s="554"/>
      <c r="FW1227" s="554"/>
      <c r="FX1227" s="554"/>
      <c r="FY1227" s="554"/>
      <c r="FZ1227" s="554"/>
      <c r="GA1227" s="554"/>
      <c r="GB1227" s="556"/>
      <c r="GC1227" s="370"/>
      <c r="GD1227" s="453"/>
      <c r="GE1227" s="453"/>
      <c r="GF1227" s="453"/>
      <c r="GG1227" s="453"/>
      <c r="GH1227" s="454"/>
      <c r="GI1227" s="453"/>
      <c r="GJ1227" s="453"/>
      <c r="GK1227" s="453"/>
      <c r="GL1227" s="453"/>
      <c r="GM1227" s="453"/>
      <c r="GN1227" s="453"/>
      <c r="GO1227" s="453"/>
      <c r="GP1227" s="453"/>
      <c r="GQ1227" s="453"/>
      <c r="GR1227" s="453"/>
      <c r="GS1227" s="561"/>
      <c r="GT1227" s="475"/>
      <c r="GU1227" s="472"/>
      <c r="GV1227" s="453"/>
      <c r="GW1227" s="453"/>
      <c r="GX1227" s="869"/>
      <c r="GY1227" s="870"/>
      <c r="GZ1227" s="867"/>
      <c r="HA1227" s="868"/>
      <c r="HB1227" s="473"/>
      <c r="HC1227" s="869"/>
      <c r="HD1227" s="870"/>
      <c r="HE1227" s="867"/>
      <c r="HF1227" s="868"/>
      <c r="HG1227" s="473"/>
      <c r="HH1227" s="867"/>
      <c r="HI1227" s="868"/>
      <c r="HJ1227" s="867"/>
      <c r="HK1227" s="868"/>
      <c r="HL1227" s="370"/>
      <c r="HM1227" s="865"/>
      <c r="HN1227" s="866"/>
      <c r="HO1227" s="865"/>
      <c r="HP1227" s="866"/>
      <c r="HQ1227" s="865"/>
      <c r="HR1227" s="866"/>
      <c r="HS1227" s="867"/>
      <c r="HT1227" s="868"/>
      <c r="HU1227" s="489"/>
      <c r="HV1227" s="865"/>
      <c r="HW1227" s="866"/>
    </row>
    <row r="1228" spans="25:231" ht="15" customHeight="1">
      <c r="Y1228" s="332"/>
      <c r="Z1228" s="332"/>
      <c r="AA1228" s="332"/>
      <c r="AB1228" s="332"/>
      <c r="AC1228" s="332"/>
      <c r="AD1228" s="332"/>
      <c r="AE1228" s="332"/>
      <c r="AF1228" s="332"/>
      <c r="AG1228" s="332"/>
      <c r="AH1228" s="332"/>
      <c r="AI1228" s="332"/>
      <c r="AJ1228" s="332"/>
      <c r="AK1228" s="332"/>
      <c r="AL1228" s="332"/>
      <c r="AM1228" s="332"/>
      <c r="AN1228" s="332"/>
      <c r="AO1228" s="332"/>
      <c r="AP1228" s="332"/>
      <c r="AQ1228" s="332"/>
      <c r="AR1228" s="332"/>
      <c r="AS1228" s="332"/>
      <c r="AT1228" s="332"/>
      <c r="AU1228" s="332"/>
      <c r="AV1228" s="332"/>
      <c r="AW1228" s="332"/>
      <c r="AX1228" s="332"/>
      <c r="AY1228" s="332"/>
      <c r="AZ1228" s="332"/>
      <c r="BA1228" s="332"/>
      <c r="BB1228" s="332"/>
      <c r="BC1228" s="332"/>
      <c r="BD1228" s="332"/>
      <c r="BE1228" s="332"/>
      <c r="BF1228" s="332"/>
      <c r="BG1228" s="332"/>
      <c r="BH1228" s="332"/>
      <c r="BI1228" s="332"/>
      <c r="BJ1228" s="332"/>
      <c r="BK1228" s="332"/>
      <c r="BL1228" s="332"/>
      <c r="BM1228" s="332"/>
      <c r="BN1228" s="332"/>
      <c r="BO1228" s="332"/>
      <c r="BP1228" s="332"/>
      <c r="BQ1228" s="332"/>
      <c r="BR1228" s="332"/>
      <c r="BS1228" s="332"/>
      <c r="BT1228" s="332"/>
      <c r="BU1228" s="332"/>
      <c r="BV1228" s="332"/>
      <c r="BW1228" s="332"/>
      <c r="BX1228" s="332"/>
      <c r="BY1228" s="332"/>
      <c r="BZ1228" s="332"/>
      <c r="CA1228" s="332"/>
      <c r="CB1228" s="332"/>
      <c r="CC1228" s="332"/>
      <c r="CD1228" s="332"/>
      <c r="CE1228" s="332"/>
      <c r="CF1228" s="332"/>
      <c r="CG1228" s="332"/>
      <c r="CH1228" s="332"/>
      <c r="CI1228" s="332"/>
      <c r="CJ1228" s="332"/>
      <c r="CK1228" s="332"/>
      <c r="CL1228" s="332"/>
      <c r="CM1228" s="332"/>
      <c r="CN1228" s="332"/>
      <c r="CO1228" s="332"/>
      <c r="CP1228" s="332"/>
      <c r="CQ1228" s="332"/>
      <c r="CR1228" s="332"/>
      <c r="CS1228" s="332"/>
      <c r="CT1228" s="332"/>
      <c r="CU1228" s="332"/>
      <c r="CV1228" s="332"/>
      <c r="CW1228" s="332"/>
      <c r="CX1228" s="332"/>
      <c r="CY1228" s="332"/>
      <c r="CZ1228" s="332"/>
      <c r="DA1228" s="332"/>
      <c r="DB1228" s="332"/>
      <c r="DC1228" s="332"/>
      <c r="DD1228" s="332"/>
      <c r="DE1228" s="332"/>
      <c r="DF1228" s="332"/>
      <c r="DG1228" s="332"/>
      <c r="DH1228" s="332"/>
      <c r="DI1228" s="332"/>
      <c r="DJ1228" s="332"/>
      <c r="DK1228" s="332"/>
      <c r="DL1228" s="332"/>
      <c r="DM1228" s="332"/>
      <c r="DN1228" s="332"/>
      <c r="DO1228" s="332"/>
      <c r="DP1228" s="332"/>
      <c r="DQ1228" s="332"/>
      <c r="DR1228" s="332"/>
      <c r="DS1228" s="332"/>
      <c r="DT1228" s="332"/>
      <c r="DU1228" s="453"/>
      <c r="DV1228" s="453"/>
      <c r="DW1228" s="453"/>
      <c r="DX1228" s="453"/>
      <c r="DY1228" s="453"/>
      <c r="DZ1228" s="453"/>
      <c r="EA1228" s="453"/>
      <c r="EB1228" s="453"/>
      <c r="EC1228" s="453"/>
      <c r="ED1228" s="453"/>
      <c r="EE1228" s="453"/>
      <c r="EF1228" s="453"/>
      <c r="EG1228" s="453"/>
      <c r="EH1228" s="453"/>
      <c r="EI1228" s="453"/>
      <c r="EJ1228" s="453"/>
      <c r="EK1228" s="453"/>
      <c r="EL1228" s="453"/>
      <c r="EM1228" s="483">
        <f t="shared" si="257"/>
        <v>919</v>
      </c>
      <c r="EN1228" s="485"/>
      <c r="EO1228" s="458"/>
      <c r="EP1228" s="467"/>
      <c r="EQ1228" s="457"/>
      <c r="ER1228" s="808"/>
      <c r="ES1228" s="881">
        <f t="shared" si="258"/>
        <v>0</v>
      </c>
      <c r="ET1228" s="882"/>
      <c r="EU1228" s="883"/>
      <c r="EV1228" s="884">
        <f t="shared" si="259"/>
        <v>0</v>
      </c>
      <c r="EW1228" s="885"/>
      <c r="EX1228" s="885"/>
      <c r="EY1228" s="885"/>
      <c r="EZ1228" s="885"/>
      <c r="FA1228" s="885"/>
      <c r="FB1228" s="885"/>
      <c r="FC1228" s="885"/>
      <c r="FD1228" s="886"/>
      <c r="FE1228" s="878"/>
      <c r="FF1228" s="878"/>
      <c r="FG1228" s="878"/>
      <c r="FH1228" s="878"/>
      <c r="FI1228" s="878"/>
      <c r="FJ1228" s="878"/>
      <c r="FK1228" s="878"/>
      <c r="FL1228" s="555"/>
      <c r="FM1228" s="554"/>
      <c r="FN1228" s="554"/>
      <c r="FO1228" s="554"/>
      <c r="FP1228" s="554"/>
      <c r="FQ1228" s="554"/>
      <c r="FR1228" s="554"/>
      <c r="FS1228" s="554"/>
      <c r="FT1228" s="554"/>
      <c r="FU1228" s="554"/>
      <c r="FV1228" s="554"/>
      <c r="FW1228" s="554"/>
      <c r="FX1228" s="554"/>
      <c r="FY1228" s="554"/>
      <c r="FZ1228" s="554"/>
      <c r="GA1228" s="554"/>
      <c r="GB1228" s="556"/>
      <c r="GC1228" s="370"/>
      <c r="GD1228" s="453"/>
      <c r="GE1228" s="453"/>
      <c r="GF1228" s="453"/>
      <c r="GG1228" s="453"/>
      <c r="GH1228" s="454"/>
      <c r="GI1228" s="453"/>
      <c r="GJ1228" s="453"/>
      <c r="GK1228" s="453"/>
      <c r="GL1228" s="453"/>
      <c r="GM1228" s="453"/>
      <c r="GN1228" s="453"/>
      <c r="GO1228" s="453"/>
      <c r="GP1228" s="453"/>
      <c r="GQ1228" s="453"/>
      <c r="GR1228" s="453"/>
      <c r="GS1228" s="561"/>
      <c r="GT1228" s="475"/>
      <c r="GU1228" s="472"/>
      <c r="GV1228" s="453"/>
      <c r="GW1228" s="453"/>
      <c r="GX1228" s="869"/>
      <c r="GY1228" s="870"/>
      <c r="GZ1228" s="867"/>
      <c r="HA1228" s="868"/>
      <c r="HB1228" s="473"/>
      <c r="HC1228" s="869"/>
      <c r="HD1228" s="870"/>
      <c r="HE1228" s="867"/>
      <c r="HF1228" s="868"/>
      <c r="HG1228" s="473"/>
      <c r="HH1228" s="867"/>
      <c r="HI1228" s="868"/>
      <c r="HJ1228" s="867"/>
      <c r="HK1228" s="868"/>
      <c r="HL1228" s="370"/>
      <c r="HM1228" s="865"/>
      <c r="HN1228" s="866"/>
      <c r="HO1228" s="865"/>
      <c r="HP1228" s="866"/>
      <c r="HQ1228" s="865"/>
      <c r="HR1228" s="866"/>
      <c r="HS1228" s="867"/>
      <c r="HT1228" s="868"/>
      <c r="HU1228" s="489"/>
      <c r="HV1228" s="865"/>
      <c r="HW1228" s="866"/>
    </row>
    <row r="1229" spans="25:231" ht="15" customHeight="1">
      <c r="Y1229" s="332"/>
      <c r="Z1229" s="332"/>
      <c r="AA1229" s="332"/>
      <c r="AB1229" s="332"/>
      <c r="AC1229" s="332"/>
      <c r="AD1229" s="332"/>
      <c r="AE1229" s="332"/>
      <c r="AF1229" s="332"/>
      <c r="AG1229" s="332"/>
      <c r="AH1229" s="332"/>
      <c r="AI1229" s="332"/>
      <c r="AJ1229" s="332"/>
      <c r="AK1229" s="332"/>
      <c r="AL1229" s="332"/>
      <c r="AM1229" s="332"/>
      <c r="AN1229" s="332"/>
      <c r="AO1229" s="332"/>
      <c r="AP1229" s="332"/>
      <c r="AQ1229" s="332"/>
      <c r="AR1229" s="332"/>
      <c r="AS1229" s="332"/>
      <c r="AT1229" s="332"/>
      <c r="AU1229" s="332"/>
      <c r="AV1229" s="332"/>
      <c r="AW1229" s="332"/>
      <c r="AX1229" s="332"/>
      <c r="AY1229" s="332"/>
      <c r="AZ1229" s="332"/>
      <c r="BA1229" s="332"/>
      <c r="BB1229" s="332"/>
      <c r="BC1229" s="332"/>
      <c r="BD1229" s="332"/>
      <c r="BE1229" s="332"/>
      <c r="BF1229" s="332"/>
      <c r="BG1229" s="332"/>
      <c r="BH1229" s="332"/>
      <c r="BI1229" s="332"/>
      <c r="BJ1229" s="332"/>
      <c r="BK1229" s="332"/>
      <c r="BL1229" s="332"/>
      <c r="BM1229" s="332"/>
      <c r="BN1229" s="332"/>
      <c r="BO1229" s="332"/>
      <c r="BP1229" s="332"/>
      <c r="BQ1229" s="332"/>
      <c r="BR1229" s="332"/>
      <c r="BS1229" s="332"/>
      <c r="BT1229" s="332"/>
      <c r="BU1229" s="332"/>
      <c r="BV1229" s="332"/>
      <c r="BW1229" s="332"/>
      <c r="BX1229" s="332"/>
      <c r="BY1229" s="332"/>
      <c r="BZ1229" s="332"/>
      <c r="CA1229" s="332"/>
      <c r="CB1229" s="332"/>
      <c r="CC1229" s="332"/>
      <c r="CD1229" s="332"/>
      <c r="CE1229" s="332"/>
      <c r="CF1229" s="332"/>
      <c r="CG1229" s="332"/>
      <c r="CH1229" s="332"/>
      <c r="CI1229" s="332"/>
      <c r="CJ1229" s="332"/>
      <c r="CK1229" s="332"/>
      <c r="CL1229" s="332"/>
      <c r="CM1229" s="332"/>
      <c r="CN1229" s="332"/>
      <c r="CO1229" s="332"/>
      <c r="CP1229" s="332"/>
      <c r="CQ1229" s="332"/>
      <c r="CR1229" s="332"/>
      <c r="CS1229" s="332"/>
      <c r="CT1229" s="332"/>
      <c r="CU1229" s="332"/>
      <c r="CV1229" s="332"/>
      <c r="CW1229" s="332"/>
      <c r="CX1229" s="332"/>
      <c r="CY1229" s="332"/>
      <c r="CZ1229" s="332"/>
      <c r="DA1229" s="332"/>
      <c r="DB1229" s="332"/>
      <c r="DC1229" s="332"/>
      <c r="DD1229" s="332"/>
      <c r="DE1229" s="332"/>
      <c r="DF1229" s="332"/>
      <c r="DG1229" s="332"/>
      <c r="DH1229" s="332"/>
      <c r="DI1229" s="332"/>
      <c r="DJ1229" s="332"/>
      <c r="DK1229" s="332"/>
      <c r="DL1229" s="332"/>
      <c r="DM1229" s="332"/>
      <c r="DN1229" s="332"/>
      <c r="DO1229" s="332"/>
      <c r="DP1229" s="332"/>
      <c r="DQ1229" s="332"/>
      <c r="DR1229" s="332"/>
      <c r="DS1229" s="332"/>
      <c r="DT1229" s="332"/>
      <c r="DU1229" s="453"/>
      <c r="DV1229" s="453"/>
      <c r="DW1229" s="453"/>
      <c r="DX1229" s="453"/>
      <c r="DY1229" s="453"/>
      <c r="DZ1229" s="453"/>
      <c r="EA1229" s="453"/>
      <c r="EB1229" s="453"/>
      <c r="EC1229" s="453"/>
      <c r="ED1229" s="453"/>
      <c r="EE1229" s="453"/>
      <c r="EF1229" s="453"/>
      <c r="EG1229" s="453"/>
      <c r="EH1229" s="453"/>
      <c r="EI1229" s="453"/>
      <c r="EJ1229" s="453"/>
      <c r="EK1229" s="453"/>
      <c r="EL1229" s="453"/>
      <c r="EM1229" s="483">
        <f t="shared" si="257"/>
        <v>920</v>
      </c>
      <c r="EN1229" s="485"/>
      <c r="EO1229" s="458"/>
      <c r="EP1229" s="467"/>
      <c r="EQ1229" s="457"/>
      <c r="ER1229" s="808"/>
      <c r="ES1229" s="881">
        <f t="shared" si="258"/>
        <v>0</v>
      </c>
      <c r="ET1229" s="882"/>
      <c r="EU1229" s="883"/>
      <c r="EV1229" s="884">
        <f t="shared" si="259"/>
        <v>0</v>
      </c>
      <c r="EW1229" s="885"/>
      <c r="EX1229" s="885"/>
      <c r="EY1229" s="885"/>
      <c r="EZ1229" s="885"/>
      <c r="FA1229" s="885"/>
      <c r="FB1229" s="885"/>
      <c r="FC1229" s="885"/>
      <c r="FD1229" s="886"/>
      <c r="FE1229" s="878"/>
      <c r="FF1229" s="878"/>
      <c r="FG1229" s="878"/>
      <c r="FH1229" s="878"/>
      <c r="FI1229" s="878"/>
      <c r="FJ1229" s="878"/>
      <c r="FK1229" s="878"/>
      <c r="FL1229" s="555"/>
      <c r="FM1229" s="554"/>
      <c r="FN1229" s="554"/>
      <c r="FO1229" s="554"/>
      <c r="FP1229" s="554"/>
      <c r="FQ1229" s="554"/>
      <c r="FR1229" s="554"/>
      <c r="FS1229" s="554"/>
      <c r="FT1229" s="554"/>
      <c r="FU1229" s="554"/>
      <c r="FV1229" s="554"/>
      <c r="FW1229" s="554"/>
      <c r="FX1229" s="554"/>
      <c r="FY1229" s="554"/>
      <c r="FZ1229" s="554"/>
      <c r="GA1229" s="554"/>
      <c r="GB1229" s="556"/>
      <c r="GC1229" s="370"/>
      <c r="GD1229" s="453"/>
      <c r="GE1229" s="453"/>
      <c r="GF1229" s="453"/>
      <c r="GG1229" s="453"/>
      <c r="GH1229" s="454"/>
      <c r="GI1229" s="453"/>
      <c r="GJ1229" s="453"/>
      <c r="GK1229" s="453"/>
      <c r="GL1229" s="453"/>
      <c r="GM1229" s="453"/>
      <c r="GN1229" s="453"/>
      <c r="GO1229" s="453"/>
      <c r="GP1229" s="453"/>
      <c r="GQ1229" s="453"/>
      <c r="GR1229" s="453"/>
      <c r="GS1229" s="561"/>
      <c r="GT1229" s="475"/>
      <c r="GU1229" s="472"/>
      <c r="GV1229" s="453"/>
      <c r="GW1229" s="453"/>
      <c r="GX1229" s="869"/>
      <c r="GY1229" s="870"/>
      <c r="GZ1229" s="867"/>
      <c r="HA1229" s="868"/>
      <c r="HB1229" s="473"/>
      <c r="HC1229" s="869"/>
      <c r="HD1229" s="870"/>
      <c r="HE1229" s="867"/>
      <c r="HF1229" s="868"/>
      <c r="HG1229" s="473"/>
      <c r="HH1229" s="867"/>
      <c r="HI1229" s="868"/>
      <c r="HJ1229" s="867"/>
      <c r="HK1229" s="868"/>
      <c r="HL1229" s="370"/>
      <c r="HM1229" s="865"/>
      <c r="HN1229" s="866"/>
      <c r="HO1229" s="865"/>
      <c r="HP1229" s="866"/>
      <c r="HQ1229" s="865"/>
      <c r="HR1229" s="866"/>
      <c r="HS1229" s="867"/>
      <c r="HT1229" s="868"/>
      <c r="HU1229" s="489"/>
      <c r="HV1229" s="865"/>
      <c r="HW1229" s="866"/>
    </row>
    <row r="1230" spans="25:231" ht="15" customHeight="1">
      <c r="Y1230" s="332"/>
      <c r="Z1230" s="332"/>
      <c r="AA1230" s="332"/>
      <c r="AB1230" s="332"/>
      <c r="AC1230" s="332"/>
      <c r="AD1230" s="332"/>
      <c r="AE1230" s="332"/>
      <c r="AF1230" s="332"/>
      <c r="AG1230" s="332"/>
      <c r="AH1230" s="332"/>
      <c r="AI1230" s="332"/>
      <c r="AJ1230" s="332"/>
      <c r="AK1230" s="332"/>
      <c r="AL1230" s="332"/>
      <c r="AM1230" s="332"/>
      <c r="AN1230" s="332"/>
      <c r="AO1230" s="332"/>
      <c r="AP1230" s="332"/>
      <c r="AQ1230" s="332"/>
      <c r="AR1230" s="332"/>
      <c r="AS1230" s="332"/>
      <c r="AT1230" s="332"/>
      <c r="AU1230" s="332"/>
      <c r="AV1230" s="332"/>
      <c r="AW1230" s="332"/>
      <c r="AX1230" s="332"/>
      <c r="AY1230" s="332"/>
      <c r="AZ1230" s="332"/>
      <c r="BA1230" s="332"/>
      <c r="BB1230" s="332"/>
      <c r="BC1230" s="332"/>
      <c r="BD1230" s="332"/>
      <c r="BE1230" s="332"/>
      <c r="BF1230" s="332"/>
      <c r="BG1230" s="332"/>
      <c r="BH1230" s="332"/>
      <c r="BI1230" s="332"/>
      <c r="BJ1230" s="332"/>
      <c r="BK1230" s="332"/>
      <c r="BL1230" s="332"/>
      <c r="BM1230" s="332"/>
      <c r="BN1230" s="332"/>
      <c r="BO1230" s="332"/>
      <c r="BP1230" s="332"/>
      <c r="BQ1230" s="332"/>
      <c r="BR1230" s="332"/>
      <c r="BS1230" s="332"/>
      <c r="BT1230" s="332"/>
      <c r="BU1230" s="332"/>
      <c r="BV1230" s="332"/>
      <c r="BW1230" s="332"/>
      <c r="BX1230" s="332"/>
      <c r="BY1230" s="332"/>
      <c r="BZ1230" s="332"/>
      <c r="CA1230" s="332"/>
      <c r="CB1230" s="332"/>
      <c r="CC1230" s="332"/>
      <c r="CD1230" s="332"/>
      <c r="CE1230" s="332"/>
      <c r="CF1230" s="332"/>
      <c r="CG1230" s="332"/>
      <c r="CH1230" s="332"/>
      <c r="CI1230" s="332"/>
      <c r="CJ1230" s="332"/>
      <c r="CK1230" s="332"/>
      <c r="CL1230" s="332"/>
      <c r="CM1230" s="332"/>
      <c r="CN1230" s="332"/>
      <c r="CO1230" s="332"/>
      <c r="CP1230" s="332"/>
      <c r="CQ1230" s="332"/>
      <c r="CR1230" s="332"/>
      <c r="CS1230" s="332"/>
      <c r="CT1230" s="332"/>
      <c r="CU1230" s="332"/>
      <c r="CV1230" s="332"/>
      <c r="CW1230" s="332"/>
      <c r="CX1230" s="332"/>
      <c r="CY1230" s="332"/>
      <c r="CZ1230" s="332"/>
      <c r="DA1230" s="332"/>
      <c r="DB1230" s="332"/>
      <c r="DC1230" s="332"/>
      <c r="DD1230" s="332"/>
      <c r="DE1230" s="332"/>
      <c r="DF1230" s="332"/>
      <c r="DG1230" s="332"/>
      <c r="DH1230" s="332"/>
      <c r="DI1230" s="332"/>
      <c r="DJ1230" s="332"/>
      <c r="DK1230" s="332"/>
      <c r="DL1230" s="332"/>
      <c r="DM1230" s="332"/>
      <c r="DN1230" s="332"/>
      <c r="DO1230" s="332"/>
      <c r="DP1230" s="332"/>
      <c r="DQ1230" s="332"/>
      <c r="DR1230" s="332"/>
      <c r="DS1230" s="332"/>
      <c r="DT1230" s="332"/>
      <c r="DU1230" s="453"/>
      <c r="DV1230" s="453"/>
      <c r="DW1230" s="453"/>
      <c r="DX1230" s="453"/>
      <c r="DY1230" s="453"/>
      <c r="DZ1230" s="453"/>
      <c r="EA1230" s="453"/>
      <c r="EB1230" s="453"/>
      <c r="EC1230" s="453"/>
      <c r="ED1230" s="453"/>
      <c r="EE1230" s="453"/>
      <c r="EF1230" s="453"/>
      <c r="EG1230" s="453"/>
      <c r="EH1230" s="453"/>
      <c r="EI1230" s="453"/>
      <c r="EJ1230" s="453"/>
      <c r="EK1230" s="453"/>
      <c r="EL1230" s="453"/>
      <c r="EM1230" s="483">
        <f t="shared" si="257"/>
        <v>921</v>
      </c>
      <c r="EN1230" s="485"/>
      <c r="EO1230" s="458"/>
      <c r="EP1230" s="467"/>
      <c r="EQ1230" s="457"/>
      <c r="ER1230" s="808"/>
      <c r="ES1230" s="881">
        <f t="shared" si="258"/>
        <v>0</v>
      </c>
      <c r="ET1230" s="882"/>
      <c r="EU1230" s="883"/>
      <c r="EV1230" s="884">
        <f t="shared" si="259"/>
        <v>0</v>
      </c>
      <c r="EW1230" s="885"/>
      <c r="EX1230" s="885"/>
      <c r="EY1230" s="885"/>
      <c r="EZ1230" s="885"/>
      <c r="FA1230" s="885"/>
      <c r="FB1230" s="885"/>
      <c r="FC1230" s="885"/>
      <c r="FD1230" s="886"/>
      <c r="FE1230" s="878"/>
      <c r="FF1230" s="878"/>
      <c r="FG1230" s="878"/>
      <c r="FH1230" s="878"/>
      <c r="FI1230" s="878"/>
      <c r="FJ1230" s="878"/>
      <c r="FK1230" s="878"/>
      <c r="FL1230" s="555"/>
      <c r="FM1230" s="554"/>
      <c r="FN1230" s="554"/>
      <c r="FO1230" s="554"/>
      <c r="FP1230" s="554"/>
      <c r="FQ1230" s="554"/>
      <c r="FR1230" s="554"/>
      <c r="FS1230" s="554"/>
      <c r="FT1230" s="554"/>
      <c r="FU1230" s="554"/>
      <c r="FV1230" s="554"/>
      <c r="FW1230" s="554"/>
      <c r="FX1230" s="554"/>
      <c r="FY1230" s="554"/>
      <c r="FZ1230" s="554"/>
      <c r="GA1230" s="554"/>
      <c r="GB1230" s="556"/>
      <c r="GC1230" s="370"/>
      <c r="GD1230" s="453"/>
      <c r="GE1230" s="453"/>
      <c r="GF1230" s="453"/>
      <c r="GG1230" s="453"/>
      <c r="GH1230" s="454"/>
      <c r="GI1230" s="453"/>
      <c r="GJ1230" s="453"/>
      <c r="GK1230" s="453"/>
      <c r="GL1230" s="453"/>
      <c r="GM1230" s="453"/>
      <c r="GN1230" s="453"/>
      <c r="GO1230" s="453"/>
      <c r="GP1230" s="453"/>
      <c r="GQ1230" s="453"/>
      <c r="GR1230" s="453"/>
      <c r="GS1230" s="561"/>
      <c r="GT1230" s="475"/>
      <c r="GU1230" s="472"/>
      <c r="GV1230" s="453"/>
      <c r="GW1230" s="453"/>
      <c r="GX1230" s="869"/>
      <c r="GY1230" s="870"/>
      <c r="GZ1230" s="867"/>
      <c r="HA1230" s="868"/>
      <c r="HB1230" s="473"/>
      <c r="HC1230" s="869"/>
      <c r="HD1230" s="870"/>
      <c r="HE1230" s="867"/>
      <c r="HF1230" s="868"/>
      <c r="HG1230" s="473"/>
      <c r="HH1230" s="867"/>
      <c r="HI1230" s="868"/>
      <c r="HJ1230" s="867"/>
      <c r="HK1230" s="868"/>
      <c r="HL1230" s="370"/>
      <c r="HM1230" s="865"/>
      <c r="HN1230" s="866"/>
      <c r="HO1230" s="865"/>
      <c r="HP1230" s="866"/>
      <c r="HQ1230" s="865"/>
      <c r="HR1230" s="866"/>
      <c r="HS1230" s="867"/>
      <c r="HT1230" s="868"/>
      <c r="HU1230" s="489"/>
      <c r="HV1230" s="865"/>
      <c r="HW1230" s="866"/>
    </row>
    <row r="1231" spans="25:231" ht="15" customHeight="1">
      <c r="Y1231" s="332"/>
      <c r="Z1231" s="332"/>
      <c r="AA1231" s="332"/>
      <c r="AB1231" s="332"/>
      <c r="AC1231" s="332"/>
      <c r="AD1231" s="332"/>
      <c r="AE1231" s="332"/>
      <c r="AF1231" s="332"/>
      <c r="AG1231" s="332"/>
      <c r="AH1231" s="332"/>
      <c r="AI1231" s="332"/>
      <c r="AJ1231" s="332"/>
      <c r="AK1231" s="332"/>
      <c r="AL1231" s="332"/>
      <c r="AM1231" s="332"/>
      <c r="AN1231" s="332"/>
      <c r="AO1231" s="332"/>
      <c r="AP1231" s="332"/>
      <c r="AQ1231" s="332"/>
      <c r="AR1231" s="332"/>
      <c r="AS1231" s="332"/>
      <c r="AT1231" s="332"/>
      <c r="AU1231" s="332"/>
      <c r="AV1231" s="332"/>
      <c r="AW1231" s="332"/>
      <c r="AX1231" s="332"/>
      <c r="AY1231" s="332"/>
      <c r="AZ1231" s="332"/>
      <c r="BA1231" s="332"/>
      <c r="BB1231" s="332"/>
      <c r="BC1231" s="332"/>
      <c r="BD1231" s="332"/>
      <c r="BE1231" s="332"/>
      <c r="BF1231" s="332"/>
      <c r="BG1231" s="332"/>
      <c r="BH1231" s="332"/>
      <c r="BI1231" s="332"/>
      <c r="BJ1231" s="332"/>
      <c r="BK1231" s="332"/>
      <c r="BL1231" s="332"/>
      <c r="BM1231" s="332"/>
      <c r="BN1231" s="332"/>
      <c r="BO1231" s="332"/>
      <c r="BP1231" s="332"/>
      <c r="BQ1231" s="332"/>
      <c r="BR1231" s="332"/>
      <c r="BS1231" s="332"/>
      <c r="BT1231" s="332"/>
      <c r="BU1231" s="332"/>
      <c r="BV1231" s="332"/>
      <c r="BW1231" s="332"/>
      <c r="BX1231" s="332"/>
      <c r="BY1231" s="332"/>
      <c r="BZ1231" s="332"/>
      <c r="CA1231" s="332"/>
      <c r="CB1231" s="332"/>
      <c r="CC1231" s="332"/>
      <c r="CD1231" s="332"/>
      <c r="CE1231" s="332"/>
      <c r="CF1231" s="332"/>
      <c r="CG1231" s="332"/>
      <c r="CH1231" s="332"/>
      <c r="CI1231" s="332"/>
      <c r="CJ1231" s="332"/>
      <c r="CK1231" s="332"/>
      <c r="CL1231" s="332"/>
      <c r="CM1231" s="332"/>
      <c r="CN1231" s="332"/>
      <c r="CO1231" s="332"/>
      <c r="CP1231" s="332"/>
      <c r="CQ1231" s="332"/>
      <c r="CR1231" s="332"/>
      <c r="CS1231" s="332"/>
      <c r="CT1231" s="332"/>
      <c r="CU1231" s="332"/>
      <c r="CV1231" s="332"/>
      <c r="CW1231" s="332"/>
      <c r="CX1231" s="332"/>
      <c r="CY1231" s="332"/>
      <c r="CZ1231" s="332"/>
      <c r="DA1231" s="332"/>
      <c r="DB1231" s="332"/>
      <c r="DC1231" s="332"/>
      <c r="DD1231" s="332"/>
      <c r="DE1231" s="332"/>
      <c r="DF1231" s="332"/>
      <c r="DG1231" s="332"/>
      <c r="DH1231" s="332"/>
      <c r="DI1231" s="332"/>
      <c r="DJ1231" s="332"/>
      <c r="DK1231" s="332"/>
      <c r="DL1231" s="332"/>
      <c r="DM1231" s="332"/>
      <c r="DN1231" s="332"/>
      <c r="DO1231" s="332"/>
      <c r="DP1231" s="332"/>
      <c r="DQ1231" s="332"/>
      <c r="DR1231" s="332"/>
      <c r="DS1231" s="332"/>
      <c r="DT1231" s="332"/>
      <c r="DU1231" s="453"/>
      <c r="DV1231" s="453"/>
      <c r="DW1231" s="453"/>
      <c r="DX1231" s="453"/>
      <c r="DY1231" s="453"/>
      <c r="DZ1231" s="453"/>
      <c r="EA1231" s="453"/>
      <c r="EB1231" s="453"/>
      <c r="EC1231" s="453"/>
      <c r="ED1231" s="453"/>
      <c r="EE1231" s="453"/>
      <c r="EF1231" s="453"/>
      <c r="EG1231" s="453"/>
      <c r="EH1231" s="453"/>
      <c r="EI1231" s="453"/>
      <c r="EJ1231" s="453"/>
      <c r="EK1231" s="453"/>
      <c r="EL1231" s="453"/>
      <c r="EM1231" s="483">
        <f t="shared" si="257"/>
        <v>922</v>
      </c>
      <c r="EN1231" s="485"/>
      <c r="EO1231" s="458"/>
      <c r="EP1231" s="467"/>
      <c r="EQ1231" s="457"/>
      <c r="ER1231" s="808"/>
      <c r="ES1231" s="881">
        <f t="shared" si="258"/>
        <v>0</v>
      </c>
      <c r="ET1231" s="882"/>
      <c r="EU1231" s="883"/>
      <c r="EV1231" s="884">
        <f t="shared" si="259"/>
        <v>0</v>
      </c>
      <c r="EW1231" s="885"/>
      <c r="EX1231" s="885"/>
      <c r="EY1231" s="885"/>
      <c r="EZ1231" s="885"/>
      <c r="FA1231" s="885"/>
      <c r="FB1231" s="885"/>
      <c r="FC1231" s="885"/>
      <c r="FD1231" s="886"/>
      <c r="FE1231" s="878"/>
      <c r="FF1231" s="878"/>
      <c r="FG1231" s="878"/>
      <c r="FH1231" s="878"/>
      <c r="FI1231" s="878"/>
      <c r="FJ1231" s="878"/>
      <c r="FK1231" s="878"/>
      <c r="FL1231" s="555"/>
      <c r="FM1231" s="554"/>
      <c r="FN1231" s="554"/>
      <c r="FO1231" s="554"/>
      <c r="FP1231" s="554"/>
      <c r="FQ1231" s="554"/>
      <c r="FR1231" s="554"/>
      <c r="FS1231" s="554"/>
      <c r="FT1231" s="554"/>
      <c r="FU1231" s="554"/>
      <c r="FV1231" s="554"/>
      <c r="FW1231" s="554"/>
      <c r="FX1231" s="554"/>
      <c r="FY1231" s="554"/>
      <c r="FZ1231" s="554"/>
      <c r="GA1231" s="554"/>
      <c r="GB1231" s="556"/>
      <c r="GC1231" s="370"/>
      <c r="GD1231" s="453"/>
      <c r="GE1231" s="453"/>
      <c r="GF1231" s="453"/>
      <c r="GG1231" s="453"/>
      <c r="GH1231" s="454"/>
      <c r="GI1231" s="453"/>
      <c r="GJ1231" s="453"/>
      <c r="GK1231" s="453"/>
      <c r="GL1231" s="453"/>
      <c r="GM1231" s="453"/>
      <c r="GN1231" s="453"/>
      <c r="GO1231" s="453"/>
      <c r="GP1231" s="453"/>
      <c r="GQ1231" s="453"/>
      <c r="GR1231" s="453"/>
      <c r="GS1231" s="561"/>
      <c r="GT1231" s="475"/>
      <c r="GU1231" s="472"/>
      <c r="GV1231" s="453"/>
      <c r="GW1231" s="453"/>
      <c r="GX1231" s="869"/>
      <c r="GY1231" s="870"/>
      <c r="GZ1231" s="867"/>
      <c r="HA1231" s="868"/>
      <c r="HB1231" s="473"/>
      <c r="HC1231" s="869"/>
      <c r="HD1231" s="870"/>
      <c r="HE1231" s="867"/>
      <c r="HF1231" s="868"/>
      <c r="HG1231" s="473"/>
      <c r="HH1231" s="867"/>
      <c r="HI1231" s="868"/>
      <c r="HJ1231" s="867"/>
      <c r="HK1231" s="868"/>
      <c r="HL1231" s="370"/>
      <c r="HM1231" s="865"/>
      <c r="HN1231" s="866"/>
      <c r="HO1231" s="865"/>
      <c r="HP1231" s="866"/>
      <c r="HQ1231" s="865"/>
      <c r="HR1231" s="866"/>
      <c r="HS1231" s="867"/>
      <c r="HT1231" s="868"/>
      <c r="HU1231" s="489"/>
      <c r="HV1231" s="865"/>
      <c r="HW1231" s="866"/>
    </row>
    <row r="1232" spans="25:231" ht="15" customHeight="1">
      <c r="Y1232" s="332"/>
      <c r="Z1232" s="332"/>
      <c r="AA1232" s="332"/>
      <c r="AB1232" s="332"/>
      <c r="AC1232" s="332"/>
      <c r="AD1232" s="332"/>
      <c r="AE1232" s="332"/>
      <c r="AF1232" s="332"/>
      <c r="AG1232" s="332"/>
      <c r="AH1232" s="332"/>
      <c r="AI1232" s="332"/>
      <c r="AJ1232" s="332"/>
      <c r="AK1232" s="332"/>
      <c r="AL1232" s="332"/>
      <c r="AM1232" s="332"/>
      <c r="AN1232" s="332"/>
      <c r="AO1232" s="332"/>
      <c r="AP1232" s="332"/>
      <c r="AQ1232" s="332"/>
      <c r="AR1232" s="332"/>
      <c r="AS1232" s="332"/>
      <c r="AT1232" s="332"/>
      <c r="AU1232" s="332"/>
      <c r="AV1232" s="332"/>
      <c r="AW1232" s="332"/>
      <c r="AX1232" s="332"/>
      <c r="AY1232" s="332"/>
      <c r="AZ1232" s="332"/>
      <c r="BA1232" s="332"/>
      <c r="BB1232" s="332"/>
      <c r="BC1232" s="332"/>
      <c r="BD1232" s="332"/>
      <c r="BE1232" s="332"/>
      <c r="BF1232" s="332"/>
      <c r="BG1232" s="332"/>
      <c r="BH1232" s="332"/>
      <c r="BI1232" s="332"/>
      <c r="BJ1232" s="332"/>
      <c r="BK1232" s="332"/>
      <c r="BL1232" s="332"/>
      <c r="BM1232" s="332"/>
      <c r="BN1232" s="332"/>
      <c r="BO1232" s="332"/>
      <c r="BP1232" s="332"/>
      <c r="BQ1232" s="332"/>
      <c r="BR1232" s="332"/>
      <c r="BS1232" s="332"/>
      <c r="BT1232" s="332"/>
      <c r="BU1232" s="332"/>
      <c r="BV1232" s="332"/>
      <c r="BW1232" s="332"/>
      <c r="BX1232" s="332"/>
      <c r="BY1232" s="332"/>
      <c r="BZ1232" s="332"/>
      <c r="CA1232" s="332"/>
      <c r="CB1232" s="332"/>
      <c r="CC1232" s="332"/>
      <c r="CD1232" s="332"/>
      <c r="CE1232" s="332"/>
      <c r="CF1232" s="332"/>
      <c r="CG1232" s="332"/>
      <c r="CH1232" s="332"/>
      <c r="CI1232" s="332"/>
      <c r="CJ1232" s="332"/>
      <c r="CK1232" s="332"/>
      <c r="CL1232" s="332"/>
      <c r="CM1232" s="332"/>
      <c r="CN1232" s="332"/>
      <c r="CO1232" s="332"/>
      <c r="CP1232" s="332"/>
      <c r="CQ1232" s="332"/>
      <c r="CR1232" s="332"/>
      <c r="CS1232" s="332"/>
      <c r="CT1232" s="332"/>
      <c r="CU1232" s="332"/>
      <c r="CV1232" s="332"/>
      <c r="CW1232" s="332"/>
      <c r="CX1232" s="332"/>
      <c r="CY1232" s="332"/>
      <c r="CZ1232" s="332"/>
      <c r="DA1232" s="332"/>
      <c r="DB1232" s="332"/>
      <c r="DC1232" s="332"/>
      <c r="DD1232" s="332"/>
      <c r="DE1232" s="332"/>
      <c r="DF1232" s="332"/>
      <c r="DG1232" s="332"/>
      <c r="DH1232" s="332"/>
      <c r="DI1232" s="332"/>
      <c r="DJ1232" s="332"/>
      <c r="DK1232" s="332"/>
      <c r="DL1232" s="332"/>
      <c r="DM1232" s="332"/>
      <c r="DN1232" s="332"/>
      <c r="DO1232" s="332"/>
      <c r="DP1232" s="332"/>
      <c r="DQ1232" s="332"/>
      <c r="DR1232" s="332"/>
      <c r="DS1232" s="332"/>
      <c r="DT1232" s="332"/>
      <c r="DU1232" s="453"/>
      <c r="DV1232" s="453"/>
      <c r="DW1232" s="453"/>
      <c r="DX1232" s="453"/>
      <c r="DY1232" s="453"/>
      <c r="DZ1232" s="453"/>
      <c r="EA1232" s="453"/>
      <c r="EB1232" s="453"/>
      <c r="EC1232" s="453"/>
      <c r="ED1232" s="453"/>
      <c r="EE1232" s="453"/>
      <c r="EF1232" s="453"/>
      <c r="EG1232" s="453"/>
      <c r="EH1232" s="453"/>
      <c r="EI1232" s="453"/>
      <c r="EJ1232" s="453"/>
      <c r="EK1232" s="453"/>
      <c r="EL1232" s="453"/>
      <c r="EM1232" s="483">
        <f t="shared" si="257"/>
        <v>923</v>
      </c>
      <c r="EN1232" s="485"/>
      <c r="EO1232" s="458"/>
      <c r="EP1232" s="467"/>
      <c r="EQ1232" s="457"/>
      <c r="ER1232" s="808"/>
      <c r="ES1232" s="881">
        <f t="shared" si="258"/>
        <v>0</v>
      </c>
      <c r="ET1232" s="882"/>
      <c r="EU1232" s="883"/>
      <c r="EV1232" s="884">
        <f t="shared" si="259"/>
        <v>0</v>
      </c>
      <c r="EW1232" s="885"/>
      <c r="EX1232" s="885"/>
      <c r="EY1232" s="885"/>
      <c r="EZ1232" s="885"/>
      <c r="FA1232" s="885"/>
      <c r="FB1232" s="885"/>
      <c r="FC1232" s="885"/>
      <c r="FD1232" s="886"/>
      <c r="FE1232" s="878"/>
      <c r="FF1232" s="878"/>
      <c r="FG1232" s="878"/>
      <c r="FH1232" s="878"/>
      <c r="FI1232" s="878"/>
      <c r="FJ1232" s="878"/>
      <c r="FK1232" s="878"/>
      <c r="FL1232" s="555"/>
      <c r="FM1232" s="554"/>
      <c r="FN1232" s="554"/>
      <c r="FO1232" s="554"/>
      <c r="FP1232" s="554"/>
      <c r="FQ1232" s="554"/>
      <c r="FR1232" s="554"/>
      <c r="FS1232" s="554"/>
      <c r="FT1232" s="554"/>
      <c r="FU1232" s="554"/>
      <c r="FV1232" s="554"/>
      <c r="FW1232" s="554"/>
      <c r="FX1232" s="554"/>
      <c r="FY1232" s="554"/>
      <c r="FZ1232" s="554"/>
      <c r="GA1232" s="554"/>
      <c r="GB1232" s="556"/>
      <c r="GC1232" s="370"/>
      <c r="GD1232" s="453"/>
      <c r="GE1232" s="453"/>
      <c r="GF1232" s="453"/>
      <c r="GG1232" s="453"/>
      <c r="GH1232" s="454"/>
      <c r="GI1232" s="453"/>
      <c r="GJ1232" s="453"/>
      <c r="GK1232" s="453"/>
      <c r="GL1232" s="453"/>
      <c r="GM1232" s="453"/>
      <c r="GN1232" s="453"/>
      <c r="GO1232" s="453"/>
      <c r="GP1232" s="453"/>
      <c r="GQ1232" s="453"/>
      <c r="GR1232" s="453"/>
      <c r="GS1232" s="561"/>
      <c r="GT1232" s="475"/>
      <c r="GU1232" s="472"/>
      <c r="GV1232" s="453"/>
      <c r="GW1232" s="453"/>
      <c r="GX1232" s="869"/>
      <c r="GY1232" s="870"/>
      <c r="GZ1232" s="867"/>
      <c r="HA1232" s="868"/>
      <c r="HB1232" s="473"/>
      <c r="HC1232" s="869"/>
      <c r="HD1232" s="870"/>
      <c r="HE1232" s="867"/>
      <c r="HF1232" s="868"/>
      <c r="HG1232" s="473"/>
      <c r="HH1232" s="867"/>
      <c r="HI1232" s="868"/>
      <c r="HJ1232" s="867"/>
      <c r="HK1232" s="868"/>
      <c r="HL1232" s="370"/>
      <c r="HM1232" s="865"/>
      <c r="HN1232" s="866"/>
      <c r="HO1232" s="865"/>
      <c r="HP1232" s="866"/>
      <c r="HQ1232" s="865"/>
      <c r="HR1232" s="866"/>
      <c r="HS1232" s="867"/>
      <c r="HT1232" s="868"/>
      <c r="HU1232" s="489"/>
      <c r="HV1232" s="865"/>
      <c r="HW1232" s="866"/>
    </row>
    <row r="1233" spans="25:231" ht="15" customHeight="1">
      <c r="Y1233" s="332"/>
      <c r="Z1233" s="332"/>
      <c r="AA1233" s="332"/>
      <c r="AB1233" s="332"/>
      <c r="AC1233" s="332"/>
      <c r="AD1233" s="332"/>
      <c r="AE1233" s="332"/>
      <c r="AF1233" s="332"/>
      <c r="AG1233" s="332"/>
      <c r="AH1233" s="332"/>
      <c r="AI1233" s="332"/>
      <c r="AJ1233" s="332"/>
      <c r="AK1233" s="332"/>
      <c r="AL1233" s="332"/>
      <c r="AM1233" s="332"/>
      <c r="AN1233" s="332"/>
      <c r="AO1233" s="332"/>
      <c r="AP1233" s="332"/>
      <c r="AQ1233" s="332"/>
      <c r="AR1233" s="332"/>
      <c r="AS1233" s="332"/>
      <c r="AT1233" s="332"/>
      <c r="AU1233" s="332"/>
      <c r="AV1233" s="332"/>
      <c r="AW1233" s="332"/>
      <c r="AX1233" s="332"/>
      <c r="AY1233" s="332"/>
      <c r="AZ1233" s="332"/>
      <c r="BA1233" s="332"/>
      <c r="BB1233" s="332"/>
      <c r="BC1233" s="332"/>
      <c r="BD1233" s="332"/>
      <c r="BE1233" s="332"/>
      <c r="BF1233" s="332"/>
      <c r="BG1233" s="332"/>
      <c r="BH1233" s="332"/>
      <c r="BI1233" s="332"/>
      <c r="BJ1233" s="332"/>
      <c r="BK1233" s="332"/>
      <c r="BL1233" s="332"/>
      <c r="BM1233" s="332"/>
      <c r="BN1233" s="332"/>
      <c r="BO1233" s="332"/>
      <c r="BP1233" s="332"/>
      <c r="BQ1233" s="332"/>
      <c r="BR1233" s="332"/>
      <c r="BS1233" s="332"/>
      <c r="BT1233" s="332"/>
      <c r="BU1233" s="332"/>
      <c r="BV1233" s="332"/>
      <c r="BW1233" s="332"/>
      <c r="BX1233" s="332"/>
      <c r="BY1233" s="332"/>
      <c r="BZ1233" s="332"/>
      <c r="CA1233" s="332"/>
      <c r="CB1233" s="332"/>
      <c r="CC1233" s="332"/>
      <c r="CD1233" s="332"/>
      <c r="CE1233" s="332"/>
      <c r="CF1233" s="332"/>
      <c r="CG1233" s="332"/>
      <c r="CH1233" s="332"/>
      <c r="CI1233" s="332"/>
      <c r="CJ1233" s="332"/>
      <c r="CK1233" s="332"/>
      <c r="CL1233" s="332"/>
      <c r="CM1233" s="332"/>
      <c r="CN1233" s="332"/>
      <c r="CO1233" s="332"/>
      <c r="CP1233" s="332"/>
      <c r="CQ1233" s="332"/>
      <c r="CR1233" s="332"/>
      <c r="CS1233" s="332"/>
      <c r="CT1233" s="332"/>
      <c r="CU1233" s="332"/>
      <c r="CV1233" s="332"/>
      <c r="CW1233" s="332"/>
      <c r="CX1233" s="332"/>
      <c r="CY1233" s="332"/>
      <c r="CZ1233" s="332"/>
      <c r="DA1233" s="332"/>
      <c r="DB1233" s="332"/>
      <c r="DC1233" s="332"/>
      <c r="DD1233" s="332"/>
      <c r="DE1233" s="332"/>
      <c r="DF1233" s="332"/>
      <c r="DG1233" s="332"/>
      <c r="DH1233" s="332"/>
      <c r="DI1233" s="332"/>
      <c r="DJ1233" s="332"/>
      <c r="DK1233" s="332"/>
      <c r="DL1233" s="332"/>
      <c r="DM1233" s="332"/>
      <c r="DN1233" s="332"/>
      <c r="DO1233" s="332"/>
      <c r="DP1233" s="332"/>
      <c r="DQ1233" s="332"/>
      <c r="DR1233" s="332"/>
      <c r="DS1233" s="332"/>
      <c r="DT1233" s="332"/>
      <c r="DU1233" s="453"/>
      <c r="DV1233" s="453"/>
      <c r="DW1233" s="453"/>
      <c r="DX1233" s="453"/>
      <c r="DY1233" s="453"/>
      <c r="DZ1233" s="453"/>
      <c r="EA1233" s="453"/>
      <c r="EB1233" s="453"/>
      <c r="EC1233" s="453"/>
      <c r="ED1233" s="453"/>
      <c r="EE1233" s="453"/>
      <c r="EF1233" s="453"/>
      <c r="EG1233" s="453"/>
      <c r="EH1233" s="453"/>
      <c r="EI1233" s="453"/>
      <c r="EJ1233" s="453"/>
      <c r="EK1233" s="453"/>
      <c r="EL1233" s="453"/>
      <c r="EM1233" s="483">
        <f t="shared" si="257"/>
        <v>924</v>
      </c>
      <c r="EN1233" s="485"/>
      <c r="EO1233" s="458"/>
      <c r="EP1233" s="467"/>
      <c r="EQ1233" s="457"/>
      <c r="ER1233" s="808"/>
      <c r="ES1233" s="881">
        <f t="shared" si="258"/>
        <v>0</v>
      </c>
      <c r="ET1233" s="882"/>
      <c r="EU1233" s="883"/>
      <c r="EV1233" s="884">
        <f t="shared" si="259"/>
        <v>0</v>
      </c>
      <c r="EW1233" s="885"/>
      <c r="EX1233" s="885"/>
      <c r="EY1233" s="885"/>
      <c r="EZ1233" s="885"/>
      <c r="FA1233" s="885"/>
      <c r="FB1233" s="885"/>
      <c r="FC1233" s="885"/>
      <c r="FD1233" s="886"/>
      <c r="FE1233" s="878"/>
      <c r="FF1233" s="878"/>
      <c r="FG1233" s="878"/>
      <c r="FH1233" s="878"/>
      <c r="FI1233" s="878"/>
      <c r="FJ1233" s="878"/>
      <c r="FK1233" s="878"/>
      <c r="FL1233" s="555"/>
      <c r="FM1233" s="554"/>
      <c r="FN1233" s="554"/>
      <c r="FO1233" s="554"/>
      <c r="FP1233" s="554"/>
      <c r="FQ1233" s="554"/>
      <c r="FR1233" s="554"/>
      <c r="FS1233" s="554"/>
      <c r="FT1233" s="554"/>
      <c r="FU1233" s="554"/>
      <c r="FV1233" s="554"/>
      <c r="FW1233" s="554"/>
      <c r="FX1233" s="554"/>
      <c r="FY1233" s="554"/>
      <c r="FZ1233" s="554"/>
      <c r="GA1233" s="554"/>
      <c r="GB1233" s="556"/>
      <c r="GC1233" s="370"/>
      <c r="GD1233" s="453"/>
      <c r="GE1233" s="453"/>
      <c r="GF1233" s="453"/>
      <c r="GG1233" s="453"/>
      <c r="GH1233" s="454"/>
      <c r="GI1233" s="453"/>
      <c r="GJ1233" s="453"/>
      <c r="GK1233" s="453"/>
      <c r="GL1233" s="453"/>
      <c r="GM1233" s="453"/>
      <c r="GN1233" s="453"/>
      <c r="GO1233" s="453"/>
      <c r="GP1233" s="453"/>
      <c r="GQ1233" s="453"/>
      <c r="GR1233" s="453"/>
      <c r="GS1233" s="561"/>
      <c r="GT1233" s="475"/>
      <c r="GU1233" s="472"/>
      <c r="GV1233" s="453"/>
      <c r="GW1233" s="453"/>
      <c r="GX1233" s="869"/>
      <c r="GY1233" s="870"/>
      <c r="GZ1233" s="867"/>
      <c r="HA1233" s="868"/>
      <c r="HB1233" s="473"/>
      <c r="HC1233" s="869"/>
      <c r="HD1233" s="870"/>
      <c r="HE1233" s="867"/>
      <c r="HF1233" s="868"/>
      <c r="HG1233" s="473"/>
      <c r="HH1233" s="867"/>
      <c r="HI1233" s="868"/>
      <c r="HJ1233" s="867"/>
      <c r="HK1233" s="868"/>
      <c r="HL1233" s="370"/>
      <c r="HM1233" s="865"/>
      <c r="HN1233" s="866"/>
      <c r="HO1233" s="865"/>
      <c r="HP1233" s="866"/>
      <c r="HQ1233" s="865"/>
      <c r="HR1233" s="866"/>
      <c r="HS1233" s="867"/>
      <c r="HT1233" s="868"/>
      <c r="HU1233" s="489"/>
      <c r="HV1233" s="865"/>
      <c r="HW1233" s="866"/>
    </row>
    <row r="1234" spans="25:231" ht="15" customHeight="1">
      <c r="Y1234" s="332"/>
      <c r="Z1234" s="332"/>
      <c r="AA1234" s="332"/>
      <c r="AB1234" s="332"/>
      <c r="AC1234" s="332"/>
      <c r="AD1234" s="332"/>
      <c r="AE1234" s="332"/>
      <c r="AF1234" s="332"/>
      <c r="AG1234" s="332"/>
      <c r="AH1234" s="332"/>
      <c r="AI1234" s="332"/>
      <c r="AJ1234" s="332"/>
      <c r="AK1234" s="332"/>
      <c r="AL1234" s="332"/>
      <c r="AM1234" s="332"/>
      <c r="AN1234" s="332"/>
      <c r="AO1234" s="332"/>
      <c r="AP1234" s="332"/>
      <c r="AQ1234" s="332"/>
      <c r="AR1234" s="332"/>
      <c r="AS1234" s="332"/>
      <c r="AT1234" s="332"/>
      <c r="AU1234" s="332"/>
      <c r="AV1234" s="332"/>
      <c r="AW1234" s="332"/>
      <c r="AX1234" s="332"/>
      <c r="AY1234" s="332"/>
      <c r="AZ1234" s="332"/>
      <c r="BA1234" s="332"/>
      <c r="BB1234" s="332"/>
      <c r="BC1234" s="332"/>
      <c r="BD1234" s="332"/>
      <c r="BE1234" s="332"/>
      <c r="BF1234" s="332"/>
      <c r="BG1234" s="332"/>
      <c r="BH1234" s="332"/>
      <c r="BI1234" s="332"/>
      <c r="BJ1234" s="332"/>
      <c r="BK1234" s="332"/>
      <c r="BL1234" s="332"/>
      <c r="BM1234" s="332"/>
      <c r="BN1234" s="332"/>
      <c r="BO1234" s="332"/>
      <c r="BP1234" s="332"/>
      <c r="BQ1234" s="332"/>
      <c r="BR1234" s="332"/>
      <c r="BS1234" s="332"/>
      <c r="BT1234" s="332"/>
      <c r="BU1234" s="332"/>
      <c r="BV1234" s="332"/>
      <c r="BW1234" s="332"/>
      <c r="BX1234" s="332"/>
      <c r="BY1234" s="332"/>
      <c r="BZ1234" s="332"/>
      <c r="CA1234" s="332"/>
      <c r="CB1234" s="332"/>
      <c r="CC1234" s="332"/>
      <c r="CD1234" s="332"/>
      <c r="CE1234" s="332"/>
      <c r="CF1234" s="332"/>
      <c r="CG1234" s="332"/>
      <c r="CH1234" s="332"/>
      <c r="CI1234" s="332"/>
      <c r="CJ1234" s="332"/>
      <c r="CK1234" s="332"/>
      <c r="CL1234" s="332"/>
      <c r="CM1234" s="332"/>
      <c r="CN1234" s="332"/>
      <c r="CO1234" s="332"/>
      <c r="CP1234" s="332"/>
      <c r="CQ1234" s="332"/>
      <c r="CR1234" s="332"/>
      <c r="CS1234" s="332"/>
      <c r="CT1234" s="332"/>
      <c r="CU1234" s="332"/>
      <c r="CV1234" s="332"/>
      <c r="CW1234" s="332"/>
      <c r="CX1234" s="332"/>
      <c r="CY1234" s="332"/>
      <c r="CZ1234" s="332"/>
      <c r="DA1234" s="332"/>
      <c r="DB1234" s="332"/>
      <c r="DC1234" s="332"/>
      <c r="DD1234" s="332"/>
      <c r="DE1234" s="332"/>
      <c r="DF1234" s="332"/>
      <c r="DG1234" s="332"/>
      <c r="DH1234" s="332"/>
      <c r="DI1234" s="332"/>
      <c r="DJ1234" s="332"/>
      <c r="DK1234" s="332"/>
      <c r="DL1234" s="332"/>
      <c r="DM1234" s="332"/>
      <c r="DN1234" s="332"/>
      <c r="DO1234" s="332"/>
      <c r="DP1234" s="332"/>
      <c r="DQ1234" s="332"/>
      <c r="DR1234" s="332"/>
      <c r="DS1234" s="332"/>
      <c r="DT1234" s="332"/>
      <c r="DU1234" s="453"/>
      <c r="DV1234" s="453"/>
      <c r="DW1234" s="453"/>
      <c r="DX1234" s="453"/>
      <c r="DY1234" s="453"/>
      <c r="DZ1234" s="453"/>
      <c r="EA1234" s="453"/>
      <c r="EB1234" s="453"/>
      <c r="EC1234" s="453"/>
      <c r="ED1234" s="453"/>
      <c r="EE1234" s="453"/>
      <c r="EF1234" s="453"/>
      <c r="EG1234" s="453"/>
      <c r="EH1234" s="453"/>
      <c r="EI1234" s="453"/>
      <c r="EJ1234" s="453"/>
      <c r="EK1234" s="453"/>
      <c r="EL1234" s="453"/>
      <c r="EM1234" s="483">
        <f t="shared" si="257"/>
        <v>925</v>
      </c>
      <c r="EN1234" s="485"/>
      <c r="EO1234" s="458"/>
      <c r="EP1234" s="467"/>
      <c r="EQ1234" s="457"/>
      <c r="ER1234" s="808"/>
      <c r="ES1234" s="881">
        <f t="shared" si="258"/>
        <v>0</v>
      </c>
      <c r="ET1234" s="882"/>
      <c r="EU1234" s="883"/>
      <c r="EV1234" s="884">
        <f t="shared" si="259"/>
        <v>0</v>
      </c>
      <c r="EW1234" s="885"/>
      <c r="EX1234" s="885"/>
      <c r="EY1234" s="885"/>
      <c r="EZ1234" s="885"/>
      <c r="FA1234" s="885"/>
      <c r="FB1234" s="885"/>
      <c r="FC1234" s="885"/>
      <c r="FD1234" s="886"/>
      <c r="FE1234" s="878"/>
      <c r="FF1234" s="878"/>
      <c r="FG1234" s="878"/>
      <c r="FH1234" s="878"/>
      <c r="FI1234" s="878"/>
      <c r="FJ1234" s="878"/>
      <c r="FK1234" s="878"/>
      <c r="FL1234" s="555"/>
      <c r="FM1234" s="554"/>
      <c r="FN1234" s="554"/>
      <c r="FO1234" s="554"/>
      <c r="FP1234" s="554"/>
      <c r="FQ1234" s="554"/>
      <c r="FR1234" s="554"/>
      <c r="FS1234" s="554"/>
      <c r="FT1234" s="554"/>
      <c r="FU1234" s="554"/>
      <c r="FV1234" s="554"/>
      <c r="FW1234" s="554"/>
      <c r="FX1234" s="554"/>
      <c r="FY1234" s="554"/>
      <c r="FZ1234" s="554"/>
      <c r="GA1234" s="554"/>
      <c r="GB1234" s="556"/>
      <c r="GC1234" s="370"/>
      <c r="GD1234" s="453"/>
      <c r="GE1234" s="453"/>
      <c r="GF1234" s="453"/>
      <c r="GG1234" s="453"/>
      <c r="GH1234" s="454"/>
      <c r="GI1234" s="453"/>
      <c r="GJ1234" s="453"/>
      <c r="GK1234" s="453"/>
      <c r="GL1234" s="453"/>
      <c r="GM1234" s="453"/>
      <c r="GN1234" s="453"/>
      <c r="GO1234" s="453"/>
      <c r="GP1234" s="453"/>
      <c r="GQ1234" s="453"/>
      <c r="GR1234" s="453"/>
      <c r="GS1234" s="561"/>
      <c r="GT1234" s="475"/>
      <c r="GU1234" s="472"/>
      <c r="GV1234" s="453"/>
      <c r="GW1234" s="453"/>
      <c r="GX1234" s="869"/>
      <c r="GY1234" s="870"/>
      <c r="GZ1234" s="867"/>
      <c r="HA1234" s="868"/>
      <c r="HB1234" s="473"/>
      <c r="HC1234" s="869"/>
      <c r="HD1234" s="870"/>
      <c r="HE1234" s="867"/>
      <c r="HF1234" s="868"/>
      <c r="HG1234" s="473"/>
      <c r="HH1234" s="867"/>
      <c r="HI1234" s="868"/>
      <c r="HJ1234" s="867"/>
      <c r="HK1234" s="868"/>
      <c r="HL1234" s="370"/>
      <c r="HM1234" s="865"/>
      <c r="HN1234" s="866"/>
      <c r="HO1234" s="865"/>
      <c r="HP1234" s="866"/>
      <c r="HQ1234" s="865"/>
      <c r="HR1234" s="866"/>
      <c r="HS1234" s="867"/>
      <c r="HT1234" s="868"/>
      <c r="HU1234" s="489"/>
      <c r="HV1234" s="865"/>
      <c r="HW1234" s="866"/>
    </row>
    <row r="1235" spans="25:231" ht="15" customHeight="1">
      <c r="Y1235" s="332"/>
      <c r="Z1235" s="332"/>
      <c r="AA1235" s="332"/>
      <c r="AB1235" s="332"/>
      <c r="AC1235" s="332"/>
      <c r="AD1235" s="332"/>
      <c r="AE1235" s="332"/>
      <c r="AF1235" s="332"/>
      <c r="AG1235" s="332"/>
      <c r="AH1235" s="332"/>
      <c r="AI1235" s="332"/>
      <c r="AJ1235" s="332"/>
      <c r="AK1235" s="332"/>
      <c r="AL1235" s="332"/>
      <c r="AM1235" s="332"/>
      <c r="AN1235" s="332"/>
      <c r="AO1235" s="332"/>
      <c r="AP1235" s="332"/>
      <c r="AQ1235" s="332"/>
      <c r="AR1235" s="332"/>
      <c r="AS1235" s="332"/>
      <c r="AT1235" s="332"/>
      <c r="AU1235" s="332"/>
      <c r="AV1235" s="332"/>
      <c r="AW1235" s="332"/>
      <c r="AX1235" s="332"/>
      <c r="AY1235" s="332"/>
      <c r="AZ1235" s="332"/>
      <c r="BA1235" s="332"/>
      <c r="BB1235" s="332"/>
      <c r="BC1235" s="332"/>
      <c r="BD1235" s="332"/>
      <c r="BE1235" s="332"/>
      <c r="BF1235" s="332"/>
      <c r="BG1235" s="332"/>
      <c r="BH1235" s="332"/>
      <c r="BI1235" s="332"/>
      <c r="BJ1235" s="332"/>
      <c r="BK1235" s="332"/>
      <c r="BL1235" s="332"/>
      <c r="BM1235" s="332"/>
      <c r="BN1235" s="332"/>
      <c r="BO1235" s="332"/>
      <c r="BP1235" s="332"/>
      <c r="BQ1235" s="332"/>
      <c r="BR1235" s="332"/>
      <c r="BS1235" s="332"/>
      <c r="BT1235" s="332"/>
      <c r="BU1235" s="332"/>
      <c r="BV1235" s="332"/>
      <c r="BW1235" s="332"/>
      <c r="BX1235" s="332"/>
      <c r="BY1235" s="332"/>
      <c r="BZ1235" s="332"/>
      <c r="CA1235" s="332"/>
      <c r="CB1235" s="332"/>
      <c r="CC1235" s="332"/>
      <c r="CD1235" s="332"/>
      <c r="CE1235" s="332"/>
      <c r="CF1235" s="332"/>
      <c r="CG1235" s="332"/>
      <c r="CH1235" s="332"/>
      <c r="CI1235" s="332"/>
      <c r="CJ1235" s="332"/>
      <c r="CK1235" s="332"/>
      <c r="CL1235" s="332"/>
      <c r="CM1235" s="332"/>
      <c r="CN1235" s="332"/>
      <c r="CO1235" s="332"/>
      <c r="CP1235" s="332"/>
      <c r="CQ1235" s="332"/>
      <c r="CR1235" s="332"/>
      <c r="CS1235" s="332"/>
      <c r="CT1235" s="332"/>
      <c r="CU1235" s="332"/>
      <c r="CV1235" s="332"/>
      <c r="CW1235" s="332"/>
      <c r="CX1235" s="332"/>
      <c r="CY1235" s="332"/>
      <c r="CZ1235" s="332"/>
      <c r="DA1235" s="332"/>
      <c r="DB1235" s="332"/>
      <c r="DC1235" s="332"/>
      <c r="DD1235" s="332"/>
      <c r="DE1235" s="332"/>
      <c r="DF1235" s="332"/>
      <c r="DG1235" s="332"/>
      <c r="DH1235" s="332"/>
      <c r="DI1235" s="332"/>
      <c r="DJ1235" s="332"/>
      <c r="DK1235" s="332"/>
      <c r="DL1235" s="332"/>
      <c r="DM1235" s="332"/>
      <c r="DN1235" s="332"/>
      <c r="DO1235" s="332"/>
      <c r="DP1235" s="332"/>
      <c r="DQ1235" s="332"/>
      <c r="DR1235" s="332"/>
      <c r="DS1235" s="332"/>
      <c r="DT1235" s="332"/>
      <c r="DU1235" s="453"/>
      <c r="DV1235" s="453"/>
      <c r="DW1235" s="453"/>
      <c r="DX1235" s="453"/>
      <c r="DY1235" s="453"/>
      <c r="DZ1235" s="453"/>
      <c r="EA1235" s="453"/>
      <c r="EB1235" s="453"/>
      <c r="EC1235" s="453"/>
      <c r="ED1235" s="453"/>
      <c r="EE1235" s="453"/>
      <c r="EF1235" s="453"/>
      <c r="EG1235" s="453"/>
      <c r="EH1235" s="453"/>
      <c r="EI1235" s="453"/>
      <c r="EJ1235" s="453"/>
      <c r="EK1235" s="453"/>
      <c r="EL1235" s="453"/>
      <c r="EM1235" s="483">
        <f t="shared" si="257"/>
        <v>926</v>
      </c>
      <c r="EN1235" s="485"/>
      <c r="EO1235" s="458"/>
      <c r="EP1235" s="467"/>
      <c r="EQ1235" s="457"/>
      <c r="ER1235" s="808"/>
      <c r="ES1235" s="881">
        <f t="shared" si="258"/>
        <v>0</v>
      </c>
      <c r="ET1235" s="882"/>
      <c r="EU1235" s="883"/>
      <c r="EV1235" s="884">
        <f t="shared" si="259"/>
        <v>0</v>
      </c>
      <c r="EW1235" s="885"/>
      <c r="EX1235" s="885"/>
      <c r="EY1235" s="885"/>
      <c r="EZ1235" s="885"/>
      <c r="FA1235" s="885"/>
      <c r="FB1235" s="885"/>
      <c r="FC1235" s="885"/>
      <c r="FD1235" s="886"/>
      <c r="FE1235" s="878"/>
      <c r="FF1235" s="878"/>
      <c r="FG1235" s="878"/>
      <c r="FH1235" s="878"/>
      <c r="FI1235" s="878"/>
      <c r="FJ1235" s="878"/>
      <c r="FK1235" s="878"/>
      <c r="FL1235" s="555"/>
      <c r="FM1235" s="554"/>
      <c r="FN1235" s="554"/>
      <c r="FO1235" s="554"/>
      <c r="FP1235" s="554"/>
      <c r="FQ1235" s="554"/>
      <c r="FR1235" s="554"/>
      <c r="FS1235" s="554"/>
      <c r="FT1235" s="554"/>
      <c r="FU1235" s="554"/>
      <c r="FV1235" s="554"/>
      <c r="FW1235" s="554"/>
      <c r="FX1235" s="554"/>
      <c r="FY1235" s="554"/>
      <c r="FZ1235" s="554"/>
      <c r="GA1235" s="554"/>
      <c r="GB1235" s="556"/>
      <c r="GC1235" s="370"/>
      <c r="GD1235" s="453"/>
      <c r="GE1235" s="453"/>
      <c r="GF1235" s="453"/>
      <c r="GG1235" s="453"/>
      <c r="GH1235" s="454"/>
      <c r="GI1235" s="453"/>
      <c r="GJ1235" s="453"/>
      <c r="GK1235" s="453"/>
      <c r="GL1235" s="453"/>
      <c r="GM1235" s="453"/>
      <c r="GN1235" s="453"/>
      <c r="GO1235" s="453"/>
      <c r="GP1235" s="453"/>
      <c r="GQ1235" s="453"/>
      <c r="GR1235" s="453"/>
      <c r="GS1235" s="561"/>
      <c r="GT1235" s="475"/>
      <c r="GU1235" s="472"/>
      <c r="GV1235" s="453"/>
      <c r="GW1235" s="453"/>
      <c r="GX1235" s="869"/>
      <c r="GY1235" s="870"/>
      <c r="GZ1235" s="867"/>
      <c r="HA1235" s="868"/>
      <c r="HB1235" s="473"/>
      <c r="HC1235" s="869"/>
      <c r="HD1235" s="870"/>
      <c r="HE1235" s="867"/>
      <c r="HF1235" s="868"/>
      <c r="HG1235" s="473"/>
      <c r="HH1235" s="867"/>
      <c r="HI1235" s="868"/>
      <c r="HJ1235" s="867"/>
      <c r="HK1235" s="868"/>
      <c r="HL1235" s="370"/>
      <c r="HM1235" s="865"/>
      <c r="HN1235" s="866"/>
      <c r="HO1235" s="865"/>
      <c r="HP1235" s="866"/>
      <c r="HQ1235" s="865"/>
      <c r="HR1235" s="866"/>
      <c r="HS1235" s="867"/>
      <c r="HT1235" s="868"/>
      <c r="HU1235" s="489"/>
      <c r="HV1235" s="865"/>
      <c r="HW1235" s="866"/>
    </row>
    <row r="1236" spans="25:231" ht="15" customHeight="1">
      <c r="Y1236" s="332"/>
      <c r="Z1236" s="332"/>
      <c r="AA1236" s="332"/>
      <c r="AB1236" s="332"/>
      <c r="AC1236" s="332"/>
      <c r="AD1236" s="332"/>
      <c r="AE1236" s="332"/>
      <c r="AF1236" s="332"/>
      <c r="AG1236" s="332"/>
      <c r="AH1236" s="332"/>
      <c r="AI1236" s="332"/>
      <c r="AJ1236" s="332"/>
      <c r="AK1236" s="332"/>
      <c r="AL1236" s="332"/>
      <c r="AM1236" s="332"/>
      <c r="AN1236" s="332"/>
      <c r="AO1236" s="332"/>
      <c r="AP1236" s="332"/>
      <c r="AQ1236" s="332"/>
      <c r="AR1236" s="332"/>
      <c r="AS1236" s="332"/>
      <c r="AT1236" s="332"/>
      <c r="AU1236" s="332"/>
      <c r="AV1236" s="332"/>
      <c r="AW1236" s="332"/>
      <c r="AX1236" s="332"/>
      <c r="AY1236" s="332"/>
      <c r="AZ1236" s="332"/>
      <c r="BA1236" s="332"/>
      <c r="BB1236" s="332"/>
      <c r="BC1236" s="332"/>
      <c r="BD1236" s="332"/>
      <c r="BE1236" s="332"/>
      <c r="BF1236" s="332"/>
      <c r="BG1236" s="332"/>
      <c r="BH1236" s="332"/>
      <c r="BI1236" s="332"/>
      <c r="BJ1236" s="332"/>
      <c r="BK1236" s="332"/>
      <c r="BL1236" s="332"/>
      <c r="BM1236" s="332"/>
      <c r="BN1236" s="332"/>
      <c r="BO1236" s="332"/>
      <c r="BP1236" s="332"/>
      <c r="BQ1236" s="332"/>
      <c r="BR1236" s="332"/>
      <c r="BS1236" s="332"/>
      <c r="BT1236" s="332"/>
      <c r="BU1236" s="332"/>
      <c r="BV1236" s="332"/>
      <c r="BW1236" s="332"/>
      <c r="BX1236" s="332"/>
      <c r="BY1236" s="332"/>
      <c r="BZ1236" s="332"/>
      <c r="CA1236" s="332"/>
      <c r="CB1236" s="332"/>
      <c r="CC1236" s="332"/>
      <c r="CD1236" s="332"/>
      <c r="CE1236" s="332"/>
      <c r="CF1236" s="332"/>
      <c r="CG1236" s="332"/>
      <c r="CH1236" s="332"/>
      <c r="CI1236" s="332"/>
      <c r="CJ1236" s="332"/>
      <c r="CK1236" s="332"/>
      <c r="CL1236" s="332"/>
      <c r="CM1236" s="332"/>
      <c r="CN1236" s="332"/>
      <c r="CO1236" s="332"/>
      <c r="CP1236" s="332"/>
      <c r="CQ1236" s="332"/>
      <c r="CR1236" s="332"/>
      <c r="CS1236" s="332"/>
      <c r="CT1236" s="332"/>
      <c r="CU1236" s="332"/>
      <c r="CV1236" s="332"/>
      <c r="CW1236" s="332"/>
      <c r="CX1236" s="332"/>
      <c r="CY1236" s="332"/>
      <c r="CZ1236" s="332"/>
      <c r="DA1236" s="332"/>
      <c r="DB1236" s="332"/>
      <c r="DC1236" s="332"/>
      <c r="DD1236" s="332"/>
      <c r="DE1236" s="332"/>
      <c r="DF1236" s="332"/>
      <c r="DG1236" s="332"/>
      <c r="DH1236" s="332"/>
      <c r="DI1236" s="332"/>
      <c r="DJ1236" s="332"/>
      <c r="DK1236" s="332"/>
      <c r="DL1236" s="332"/>
      <c r="DM1236" s="332"/>
      <c r="DN1236" s="332"/>
      <c r="DO1236" s="332"/>
      <c r="DP1236" s="332"/>
      <c r="DQ1236" s="332"/>
      <c r="DR1236" s="332"/>
      <c r="DS1236" s="332"/>
      <c r="DT1236" s="332"/>
      <c r="DU1236" s="453"/>
      <c r="DV1236" s="453"/>
      <c r="DW1236" s="453"/>
      <c r="DX1236" s="453"/>
      <c r="DY1236" s="453"/>
      <c r="DZ1236" s="453"/>
      <c r="EA1236" s="453"/>
      <c r="EB1236" s="453"/>
      <c r="EC1236" s="453"/>
      <c r="ED1236" s="453"/>
      <c r="EE1236" s="453"/>
      <c r="EF1236" s="453"/>
      <c r="EG1236" s="453"/>
      <c r="EH1236" s="453"/>
      <c r="EI1236" s="453"/>
      <c r="EJ1236" s="453"/>
      <c r="EK1236" s="453"/>
      <c r="EL1236" s="453"/>
      <c r="EM1236" s="483">
        <f t="shared" si="257"/>
        <v>927</v>
      </c>
      <c r="EN1236" s="485"/>
      <c r="EO1236" s="458"/>
      <c r="EP1236" s="467"/>
      <c r="EQ1236" s="457"/>
      <c r="ER1236" s="808"/>
      <c r="ES1236" s="881">
        <f t="shared" si="258"/>
        <v>0</v>
      </c>
      <c r="ET1236" s="882"/>
      <c r="EU1236" s="883"/>
      <c r="EV1236" s="884">
        <f t="shared" si="259"/>
        <v>0</v>
      </c>
      <c r="EW1236" s="885"/>
      <c r="EX1236" s="885"/>
      <c r="EY1236" s="885"/>
      <c r="EZ1236" s="885"/>
      <c r="FA1236" s="885"/>
      <c r="FB1236" s="885"/>
      <c r="FC1236" s="885"/>
      <c r="FD1236" s="886"/>
      <c r="FE1236" s="878"/>
      <c r="FF1236" s="878"/>
      <c r="FG1236" s="878"/>
      <c r="FH1236" s="878"/>
      <c r="FI1236" s="878"/>
      <c r="FJ1236" s="878"/>
      <c r="FK1236" s="878"/>
      <c r="FL1236" s="555"/>
      <c r="FM1236" s="554"/>
      <c r="FN1236" s="554"/>
      <c r="FO1236" s="554"/>
      <c r="FP1236" s="554"/>
      <c r="FQ1236" s="554"/>
      <c r="FR1236" s="554"/>
      <c r="FS1236" s="554"/>
      <c r="FT1236" s="554"/>
      <c r="FU1236" s="554"/>
      <c r="FV1236" s="554"/>
      <c r="FW1236" s="554"/>
      <c r="FX1236" s="554"/>
      <c r="FY1236" s="554"/>
      <c r="FZ1236" s="554"/>
      <c r="GA1236" s="554"/>
      <c r="GB1236" s="556"/>
      <c r="GC1236" s="370"/>
      <c r="GD1236" s="453"/>
      <c r="GE1236" s="453"/>
      <c r="GF1236" s="453"/>
      <c r="GG1236" s="453"/>
      <c r="GH1236" s="454"/>
      <c r="GI1236" s="453"/>
      <c r="GJ1236" s="453"/>
      <c r="GK1236" s="453"/>
      <c r="GL1236" s="453"/>
      <c r="GM1236" s="453"/>
      <c r="GN1236" s="453"/>
      <c r="GO1236" s="453"/>
      <c r="GP1236" s="453"/>
      <c r="GQ1236" s="453"/>
      <c r="GR1236" s="453"/>
      <c r="GS1236" s="561"/>
      <c r="GT1236" s="475"/>
      <c r="GU1236" s="472"/>
      <c r="GV1236" s="453"/>
      <c r="GW1236" s="453"/>
      <c r="GX1236" s="869"/>
      <c r="GY1236" s="870"/>
      <c r="GZ1236" s="867"/>
      <c r="HA1236" s="868"/>
      <c r="HB1236" s="473"/>
      <c r="HC1236" s="869"/>
      <c r="HD1236" s="870"/>
      <c r="HE1236" s="867"/>
      <c r="HF1236" s="868"/>
      <c r="HG1236" s="473"/>
      <c r="HH1236" s="867"/>
      <c r="HI1236" s="868"/>
      <c r="HJ1236" s="867"/>
      <c r="HK1236" s="868"/>
      <c r="HL1236" s="370"/>
      <c r="HM1236" s="865"/>
      <c r="HN1236" s="866"/>
      <c r="HO1236" s="865"/>
      <c r="HP1236" s="866"/>
      <c r="HQ1236" s="865"/>
      <c r="HR1236" s="866"/>
      <c r="HS1236" s="867"/>
      <c r="HT1236" s="868"/>
      <c r="HU1236" s="489"/>
      <c r="HV1236" s="865"/>
      <c r="HW1236" s="866"/>
    </row>
    <row r="1237" spans="25:231" ht="15" customHeight="1">
      <c r="Y1237" s="332"/>
      <c r="Z1237" s="332"/>
      <c r="AA1237" s="332"/>
      <c r="AB1237" s="332"/>
      <c r="AC1237" s="332"/>
      <c r="AD1237" s="332"/>
      <c r="AE1237" s="332"/>
      <c r="AF1237" s="332"/>
      <c r="AG1237" s="332"/>
      <c r="AH1237" s="332"/>
      <c r="AI1237" s="332"/>
      <c r="AJ1237" s="332"/>
      <c r="AK1237" s="332"/>
      <c r="AL1237" s="332"/>
      <c r="AM1237" s="332"/>
      <c r="AN1237" s="332"/>
      <c r="AO1237" s="332"/>
      <c r="AP1237" s="332"/>
      <c r="AQ1237" s="332"/>
      <c r="AR1237" s="332"/>
      <c r="AS1237" s="332"/>
      <c r="AT1237" s="332"/>
      <c r="AU1237" s="332"/>
      <c r="AV1237" s="332"/>
      <c r="AW1237" s="332"/>
      <c r="AX1237" s="332"/>
      <c r="AY1237" s="332"/>
      <c r="AZ1237" s="332"/>
      <c r="BA1237" s="332"/>
      <c r="BB1237" s="332"/>
      <c r="BC1237" s="332"/>
      <c r="BD1237" s="332"/>
      <c r="BE1237" s="332"/>
      <c r="BF1237" s="332"/>
      <c r="BG1237" s="332"/>
      <c r="BH1237" s="332"/>
      <c r="BI1237" s="332"/>
      <c r="BJ1237" s="332"/>
      <c r="BK1237" s="332"/>
      <c r="BL1237" s="332"/>
      <c r="BM1237" s="332"/>
      <c r="BN1237" s="332"/>
      <c r="BO1237" s="332"/>
      <c r="BP1237" s="332"/>
      <c r="BQ1237" s="332"/>
      <c r="BR1237" s="332"/>
      <c r="BS1237" s="332"/>
      <c r="BT1237" s="332"/>
      <c r="BU1237" s="332"/>
      <c r="BV1237" s="332"/>
      <c r="BW1237" s="332"/>
      <c r="BX1237" s="332"/>
      <c r="BY1237" s="332"/>
      <c r="BZ1237" s="332"/>
      <c r="CA1237" s="332"/>
      <c r="CB1237" s="332"/>
      <c r="CC1237" s="332"/>
      <c r="CD1237" s="332"/>
      <c r="CE1237" s="332"/>
      <c r="CF1237" s="332"/>
      <c r="CG1237" s="332"/>
      <c r="CH1237" s="332"/>
      <c r="CI1237" s="332"/>
      <c r="CJ1237" s="332"/>
      <c r="CK1237" s="332"/>
      <c r="CL1237" s="332"/>
      <c r="CM1237" s="332"/>
      <c r="CN1237" s="332"/>
      <c r="CO1237" s="332"/>
      <c r="CP1237" s="332"/>
      <c r="CQ1237" s="332"/>
      <c r="CR1237" s="332"/>
      <c r="CS1237" s="332"/>
      <c r="CT1237" s="332"/>
      <c r="CU1237" s="332"/>
      <c r="CV1237" s="332"/>
      <c r="CW1237" s="332"/>
      <c r="CX1237" s="332"/>
      <c r="CY1237" s="332"/>
      <c r="CZ1237" s="332"/>
      <c r="DA1237" s="332"/>
      <c r="DB1237" s="332"/>
      <c r="DC1237" s="332"/>
      <c r="DD1237" s="332"/>
      <c r="DE1237" s="332"/>
      <c r="DF1237" s="332"/>
      <c r="DG1237" s="332"/>
      <c r="DH1237" s="332"/>
      <c r="DI1237" s="332"/>
      <c r="DJ1237" s="332"/>
      <c r="DK1237" s="332"/>
      <c r="DL1237" s="332"/>
      <c r="DM1237" s="332"/>
      <c r="DN1237" s="332"/>
      <c r="DO1237" s="332"/>
      <c r="DP1237" s="332"/>
      <c r="DQ1237" s="332"/>
      <c r="DR1237" s="332"/>
      <c r="DS1237" s="332"/>
      <c r="DT1237" s="332"/>
      <c r="DU1237" s="453"/>
      <c r="DV1237" s="453"/>
      <c r="DW1237" s="453"/>
      <c r="DX1237" s="453"/>
      <c r="DY1237" s="453"/>
      <c r="DZ1237" s="453"/>
      <c r="EA1237" s="453"/>
      <c r="EB1237" s="453"/>
      <c r="EC1237" s="453"/>
      <c r="ED1237" s="453"/>
      <c r="EE1237" s="453"/>
      <c r="EF1237" s="453"/>
      <c r="EG1237" s="453"/>
      <c r="EH1237" s="453"/>
      <c r="EI1237" s="453"/>
      <c r="EJ1237" s="453"/>
      <c r="EK1237" s="453"/>
      <c r="EL1237" s="453"/>
      <c r="EM1237" s="483">
        <f t="shared" si="257"/>
        <v>928</v>
      </c>
      <c r="EN1237" s="485"/>
      <c r="EO1237" s="458"/>
      <c r="EP1237" s="467"/>
      <c r="EQ1237" s="457"/>
      <c r="ER1237" s="808"/>
      <c r="ES1237" s="881">
        <f t="shared" si="258"/>
        <v>0</v>
      </c>
      <c r="ET1237" s="882"/>
      <c r="EU1237" s="883"/>
      <c r="EV1237" s="884">
        <f t="shared" si="259"/>
        <v>0</v>
      </c>
      <c r="EW1237" s="885"/>
      <c r="EX1237" s="885"/>
      <c r="EY1237" s="885"/>
      <c r="EZ1237" s="885"/>
      <c r="FA1237" s="885"/>
      <c r="FB1237" s="885"/>
      <c r="FC1237" s="885"/>
      <c r="FD1237" s="886"/>
      <c r="FE1237" s="878"/>
      <c r="FF1237" s="878"/>
      <c r="FG1237" s="878"/>
      <c r="FH1237" s="878"/>
      <c r="FI1237" s="878"/>
      <c r="FJ1237" s="878"/>
      <c r="FK1237" s="878"/>
      <c r="FL1237" s="555"/>
      <c r="FM1237" s="554"/>
      <c r="FN1237" s="554"/>
      <c r="FO1237" s="554"/>
      <c r="FP1237" s="554"/>
      <c r="FQ1237" s="554"/>
      <c r="FR1237" s="554"/>
      <c r="FS1237" s="554"/>
      <c r="FT1237" s="554"/>
      <c r="FU1237" s="554"/>
      <c r="FV1237" s="554"/>
      <c r="FW1237" s="554"/>
      <c r="FX1237" s="554"/>
      <c r="FY1237" s="554"/>
      <c r="FZ1237" s="554"/>
      <c r="GA1237" s="554"/>
      <c r="GB1237" s="556"/>
      <c r="GC1237" s="370"/>
      <c r="GD1237" s="453"/>
      <c r="GE1237" s="453"/>
      <c r="GF1237" s="453"/>
      <c r="GG1237" s="453"/>
      <c r="GH1237" s="454"/>
      <c r="GI1237" s="453"/>
      <c r="GJ1237" s="453"/>
      <c r="GK1237" s="453"/>
      <c r="GL1237" s="453"/>
      <c r="GM1237" s="453"/>
      <c r="GN1237" s="453"/>
      <c r="GO1237" s="453"/>
      <c r="GP1237" s="453"/>
      <c r="GQ1237" s="453"/>
      <c r="GR1237" s="453"/>
      <c r="GS1237" s="561"/>
      <c r="GT1237" s="475"/>
      <c r="GU1237" s="472"/>
      <c r="GV1237" s="453"/>
      <c r="GW1237" s="453"/>
      <c r="GX1237" s="869"/>
      <c r="GY1237" s="870"/>
      <c r="GZ1237" s="867"/>
      <c r="HA1237" s="868"/>
      <c r="HB1237" s="473"/>
      <c r="HC1237" s="869"/>
      <c r="HD1237" s="870"/>
      <c r="HE1237" s="867"/>
      <c r="HF1237" s="868"/>
      <c r="HG1237" s="473"/>
      <c r="HH1237" s="867"/>
      <c r="HI1237" s="868"/>
      <c r="HJ1237" s="867"/>
      <c r="HK1237" s="868"/>
      <c r="HL1237" s="370"/>
      <c r="HM1237" s="865"/>
      <c r="HN1237" s="866"/>
      <c r="HO1237" s="865"/>
      <c r="HP1237" s="866"/>
      <c r="HQ1237" s="865"/>
      <c r="HR1237" s="866"/>
      <c r="HS1237" s="867"/>
      <c r="HT1237" s="868"/>
      <c r="HU1237" s="489"/>
      <c r="HV1237" s="865"/>
      <c r="HW1237" s="866"/>
    </row>
    <row r="1238" spans="25:231" ht="15" customHeight="1">
      <c r="Y1238" s="332"/>
      <c r="Z1238" s="332"/>
      <c r="AA1238" s="332"/>
      <c r="AB1238" s="332"/>
      <c r="AC1238" s="332"/>
      <c r="AD1238" s="332"/>
      <c r="AE1238" s="332"/>
      <c r="AF1238" s="332"/>
      <c r="AG1238" s="332"/>
      <c r="AH1238" s="332"/>
      <c r="AI1238" s="332"/>
      <c r="AJ1238" s="332"/>
      <c r="AK1238" s="332"/>
      <c r="AL1238" s="332"/>
      <c r="AM1238" s="332"/>
      <c r="AN1238" s="332"/>
      <c r="AO1238" s="332"/>
      <c r="AP1238" s="332"/>
      <c r="AQ1238" s="332"/>
      <c r="AR1238" s="332"/>
      <c r="AS1238" s="332"/>
      <c r="AT1238" s="332"/>
      <c r="AU1238" s="332"/>
      <c r="AV1238" s="332"/>
      <c r="AW1238" s="332"/>
      <c r="AX1238" s="332"/>
      <c r="AY1238" s="332"/>
      <c r="AZ1238" s="332"/>
      <c r="BA1238" s="332"/>
      <c r="BB1238" s="332"/>
      <c r="BC1238" s="332"/>
      <c r="BD1238" s="332"/>
      <c r="BE1238" s="332"/>
      <c r="BF1238" s="332"/>
      <c r="BG1238" s="332"/>
      <c r="BH1238" s="332"/>
      <c r="BI1238" s="332"/>
      <c r="BJ1238" s="332"/>
      <c r="BK1238" s="332"/>
      <c r="BL1238" s="332"/>
      <c r="BM1238" s="332"/>
      <c r="BN1238" s="332"/>
      <c r="BO1238" s="332"/>
      <c r="BP1238" s="332"/>
      <c r="BQ1238" s="332"/>
      <c r="BR1238" s="332"/>
      <c r="BS1238" s="332"/>
      <c r="BT1238" s="332"/>
      <c r="BU1238" s="332"/>
      <c r="BV1238" s="332"/>
      <c r="BW1238" s="332"/>
      <c r="BX1238" s="332"/>
      <c r="BY1238" s="332"/>
      <c r="BZ1238" s="332"/>
      <c r="CA1238" s="332"/>
      <c r="CB1238" s="332"/>
      <c r="CC1238" s="332"/>
      <c r="CD1238" s="332"/>
      <c r="CE1238" s="332"/>
      <c r="CF1238" s="332"/>
      <c r="CG1238" s="332"/>
      <c r="CH1238" s="332"/>
      <c r="CI1238" s="332"/>
      <c r="CJ1238" s="332"/>
      <c r="CK1238" s="332"/>
      <c r="CL1238" s="332"/>
      <c r="CM1238" s="332"/>
      <c r="CN1238" s="332"/>
      <c r="CO1238" s="332"/>
      <c r="CP1238" s="332"/>
      <c r="CQ1238" s="332"/>
      <c r="CR1238" s="332"/>
      <c r="CS1238" s="332"/>
      <c r="CT1238" s="332"/>
      <c r="CU1238" s="332"/>
      <c r="CV1238" s="332"/>
      <c r="CW1238" s="332"/>
      <c r="CX1238" s="332"/>
      <c r="CY1238" s="332"/>
      <c r="CZ1238" s="332"/>
      <c r="DA1238" s="332"/>
      <c r="DB1238" s="332"/>
      <c r="DC1238" s="332"/>
      <c r="DD1238" s="332"/>
      <c r="DE1238" s="332"/>
      <c r="DF1238" s="332"/>
      <c r="DG1238" s="332"/>
      <c r="DH1238" s="332"/>
      <c r="DI1238" s="332"/>
      <c r="DJ1238" s="332"/>
      <c r="DK1238" s="332"/>
      <c r="DL1238" s="332"/>
      <c r="DM1238" s="332"/>
      <c r="DN1238" s="332"/>
      <c r="DO1238" s="332"/>
      <c r="DP1238" s="332"/>
      <c r="DQ1238" s="332"/>
      <c r="DR1238" s="332"/>
      <c r="DS1238" s="332"/>
      <c r="DT1238" s="332"/>
      <c r="DU1238" s="453"/>
      <c r="DV1238" s="453"/>
      <c r="DW1238" s="453"/>
      <c r="DX1238" s="453"/>
      <c r="DY1238" s="453"/>
      <c r="DZ1238" s="453"/>
      <c r="EA1238" s="453"/>
      <c r="EB1238" s="453"/>
      <c r="EC1238" s="453"/>
      <c r="ED1238" s="453"/>
      <c r="EE1238" s="453"/>
      <c r="EF1238" s="453"/>
      <c r="EG1238" s="453"/>
      <c r="EH1238" s="453"/>
      <c r="EI1238" s="453"/>
      <c r="EJ1238" s="453"/>
      <c r="EK1238" s="453"/>
      <c r="EL1238" s="453"/>
      <c r="EM1238" s="483">
        <f t="shared" si="257"/>
        <v>929</v>
      </c>
      <c r="EN1238" s="485"/>
      <c r="EO1238" s="458"/>
      <c r="EP1238" s="467"/>
      <c r="EQ1238" s="457"/>
      <c r="ER1238" s="808"/>
      <c r="ES1238" s="881">
        <f t="shared" si="258"/>
        <v>0</v>
      </c>
      <c r="ET1238" s="882"/>
      <c r="EU1238" s="883"/>
      <c r="EV1238" s="884">
        <f t="shared" si="259"/>
        <v>0</v>
      </c>
      <c r="EW1238" s="885"/>
      <c r="EX1238" s="885"/>
      <c r="EY1238" s="885"/>
      <c r="EZ1238" s="885"/>
      <c r="FA1238" s="885"/>
      <c r="FB1238" s="885"/>
      <c r="FC1238" s="885"/>
      <c r="FD1238" s="886"/>
      <c r="FE1238" s="878"/>
      <c r="FF1238" s="878"/>
      <c r="FG1238" s="878"/>
      <c r="FH1238" s="878"/>
      <c r="FI1238" s="878"/>
      <c r="FJ1238" s="878"/>
      <c r="FK1238" s="878"/>
      <c r="FL1238" s="555"/>
      <c r="FM1238" s="554"/>
      <c r="FN1238" s="554"/>
      <c r="FO1238" s="554"/>
      <c r="FP1238" s="554"/>
      <c r="FQ1238" s="554"/>
      <c r="FR1238" s="554"/>
      <c r="FS1238" s="554"/>
      <c r="FT1238" s="554"/>
      <c r="FU1238" s="554"/>
      <c r="FV1238" s="554"/>
      <c r="FW1238" s="554"/>
      <c r="FX1238" s="554"/>
      <c r="FY1238" s="554"/>
      <c r="FZ1238" s="554"/>
      <c r="GA1238" s="554"/>
      <c r="GB1238" s="556"/>
      <c r="GC1238" s="370"/>
      <c r="GD1238" s="453"/>
      <c r="GE1238" s="453"/>
      <c r="GF1238" s="453"/>
      <c r="GG1238" s="453"/>
      <c r="GH1238" s="454"/>
      <c r="GI1238" s="453"/>
      <c r="GJ1238" s="453"/>
      <c r="GK1238" s="453"/>
      <c r="GL1238" s="453"/>
      <c r="GM1238" s="453"/>
      <c r="GN1238" s="453"/>
      <c r="GO1238" s="453"/>
      <c r="GP1238" s="453"/>
      <c r="GQ1238" s="453"/>
      <c r="GR1238" s="453"/>
      <c r="GS1238" s="561"/>
      <c r="GT1238" s="475"/>
      <c r="GU1238" s="472"/>
      <c r="GV1238" s="453"/>
      <c r="GW1238" s="453"/>
      <c r="GX1238" s="869"/>
      <c r="GY1238" s="870"/>
      <c r="GZ1238" s="867"/>
      <c r="HA1238" s="868"/>
      <c r="HB1238" s="473"/>
      <c r="HC1238" s="869"/>
      <c r="HD1238" s="870"/>
      <c r="HE1238" s="867"/>
      <c r="HF1238" s="868"/>
      <c r="HG1238" s="473"/>
      <c r="HH1238" s="867"/>
      <c r="HI1238" s="868"/>
      <c r="HJ1238" s="867"/>
      <c r="HK1238" s="868"/>
      <c r="HL1238" s="370"/>
      <c r="HM1238" s="865"/>
      <c r="HN1238" s="866"/>
      <c r="HO1238" s="865"/>
      <c r="HP1238" s="866"/>
      <c r="HQ1238" s="865"/>
      <c r="HR1238" s="866"/>
      <c r="HS1238" s="867"/>
      <c r="HT1238" s="868"/>
      <c r="HU1238" s="489"/>
      <c r="HV1238" s="865"/>
      <c r="HW1238" s="866"/>
    </row>
    <row r="1239" spans="25:231" ht="15" customHeight="1">
      <c r="Y1239" s="332"/>
      <c r="Z1239" s="332"/>
      <c r="AA1239" s="332"/>
      <c r="AB1239" s="332"/>
      <c r="AC1239" s="332"/>
      <c r="AD1239" s="332"/>
      <c r="AE1239" s="332"/>
      <c r="AF1239" s="332"/>
      <c r="AG1239" s="332"/>
      <c r="AH1239" s="332"/>
      <c r="AI1239" s="332"/>
      <c r="AJ1239" s="332"/>
      <c r="AK1239" s="332"/>
      <c r="AL1239" s="332"/>
      <c r="AM1239" s="332"/>
      <c r="AN1239" s="332"/>
      <c r="AO1239" s="332"/>
      <c r="AP1239" s="332"/>
      <c r="AQ1239" s="332"/>
      <c r="AR1239" s="332"/>
      <c r="AS1239" s="332"/>
      <c r="AT1239" s="332"/>
      <c r="AU1239" s="332"/>
      <c r="AV1239" s="332"/>
      <c r="AW1239" s="332"/>
      <c r="AX1239" s="332"/>
      <c r="AY1239" s="332"/>
      <c r="AZ1239" s="332"/>
      <c r="BA1239" s="332"/>
      <c r="BB1239" s="332"/>
      <c r="BC1239" s="332"/>
      <c r="BD1239" s="332"/>
      <c r="BE1239" s="332"/>
      <c r="BF1239" s="332"/>
      <c r="BG1239" s="332"/>
      <c r="BH1239" s="332"/>
      <c r="BI1239" s="332"/>
      <c r="BJ1239" s="332"/>
      <c r="BK1239" s="332"/>
      <c r="BL1239" s="332"/>
      <c r="BM1239" s="332"/>
      <c r="BN1239" s="332"/>
      <c r="BO1239" s="332"/>
      <c r="BP1239" s="332"/>
      <c r="BQ1239" s="332"/>
      <c r="BR1239" s="332"/>
      <c r="BS1239" s="332"/>
      <c r="BT1239" s="332"/>
      <c r="BU1239" s="332"/>
      <c r="BV1239" s="332"/>
      <c r="BW1239" s="332"/>
      <c r="BX1239" s="332"/>
      <c r="BY1239" s="332"/>
      <c r="BZ1239" s="332"/>
      <c r="CA1239" s="332"/>
      <c r="CB1239" s="332"/>
      <c r="CC1239" s="332"/>
      <c r="CD1239" s="332"/>
      <c r="CE1239" s="332"/>
      <c r="CF1239" s="332"/>
      <c r="CG1239" s="332"/>
      <c r="CH1239" s="332"/>
      <c r="CI1239" s="332"/>
      <c r="CJ1239" s="332"/>
      <c r="CK1239" s="332"/>
      <c r="CL1239" s="332"/>
      <c r="CM1239" s="332"/>
      <c r="CN1239" s="332"/>
      <c r="CO1239" s="332"/>
      <c r="CP1239" s="332"/>
      <c r="CQ1239" s="332"/>
      <c r="CR1239" s="332"/>
      <c r="CS1239" s="332"/>
      <c r="CT1239" s="332"/>
      <c r="CU1239" s="332"/>
      <c r="CV1239" s="332"/>
      <c r="CW1239" s="332"/>
      <c r="CX1239" s="332"/>
      <c r="CY1239" s="332"/>
      <c r="CZ1239" s="332"/>
      <c r="DA1239" s="332"/>
      <c r="DB1239" s="332"/>
      <c r="DC1239" s="332"/>
      <c r="DD1239" s="332"/>
      <c r="DE1239" s="332"/>
      <c r="DF1239" s="332"/>
      <c r="DG1239" s="332"/>
      <c r="DH1239" s="332"/>
      <c r="DI1239" s="332"/>
      <c r="DJ1239" s="332"/>
      <c r="DK1239" s="332"/>
      <c r="DL1239" s="332"/>
      <c r="DM1239" s="332"/>
      <c r="DN1239" s="332"/>
      <c r="DO1239" s="332"/>
      <c r="DP1239" s="332"/>
      <c r="DQ1239" s="332"/>
      <c r="DR1239" s="332"/>
      <c r="DS1239" s="332"/>
      <c r="DT1239" s="332"/>
      <c r="DU1239" s="453"/>
      <c r="DV1239" s="453"/>
      <c r="DW1239" s="453"/>
      <c r="DX1239" s="453"/>
      <c r="DY1239" s="453"/>
      <c r="DZ1239" s="453"/>
      <c r="EA1239" s="453"/>
      <c r="EB1239" s="453"/>
      <c r="EC1239" s="453"/>
      <c r="ED1239" s="453"/>
      <c r="EE1239" s="453"/>
      <c r="EF1239" s="453"/>
      <c r="EG1239" s="453"/>
      <c r="EH1239" s="453"/>
      <c r="EI1239" s="453"/>
      <c r="EJ1239" s="453"/>
      <c r="EK1239" s="453"/>
      <c r="EL1239" s="453"/>
      <c r="EM1239" s="483">
        <f t="shared" si="257"/>
        <v>930</v>
      </c>
      <c r="EN1239" s="485"/>
      <c r="EO1239" s="458"/>
      <c r="EP1239" s="467"/>
      <c r="EQ1239" s="457"/>
      <c r="ER1239" s="808"/>
      <c r="ES1239" s="881">
        <f t="shared" si="258"/>
        <v>0</v>
      </c>
      <c r="ET1239" s="882"/>
      <c r="EU1239" s="883"/>
      <c r="EV1239" s="884">
        <f t="shared" si="259"/>
        <v>0</v>
      </c>
      <c r="EW1239" s="885"/>
      <c r="EX1239" s="885"/>
      <c r="EY1239" s="885"/>
      <c r="EZ1239" s="885"/>
      <c r="FA1239" s="885"/>
      <c r="FB1239" s="885"/>
      <c r="FC1239" s="885"/>
      <c r="FD1239" s="886"/>
      <c r="FE1239" s="878"/>
      <c r="FF1239" s="878"/>
      <c r="FG1239" s="878"/>
      <c r="FH1239" s="878"/>
      <c r="FI1239" s="878"/>
      <c r="FJ1239" s="878"/>
      <c r="FK1239" s="878"/>
      <c r="FL1239" s="555"/>
      <c r="FM1239" s="554"/>
      <c r="FN1239" s="554"/>
      <c r="FO1239" s="554"/>
      <c r="FP1239" s="554"/>
      <c r="FQ1239" s="554"/>
      <c r="FR1239" s="554"/>
      <c r="FS1239" s="554"/>
      <c r="FT1239" s="554"/>
      <c r="FU1239" s="554"/>
      <c r="FV1239" s="554"/>
      <c r="FW1239" s="554"/>
      <c r="FX1239" s="554"/>
      <c r="FY1239" s="554"/>
      <c r="FZ1239" s="554"/>
      <c r="GA1239" s="554"/>
      <c r="GB1239" s="556"/>
      <c r="GC1239" s="370"/>
      <c r="GD1239" s="453"/>
      <c r="GE1239" s="453"/>
      <c r="GF1239" s="453"/>
      <c r="GG1239" s="453"/>
      <c r="GH1239" s="454"/>
      <c r="GI1239" s="453"/>
      <c r="GJ1239" s="453"/>
      <c r="GK1239" s="453"/>
      <c r="GL1239" s="453"/>
      <c r="GM1239" s="453"/>
      <c r="GN1239" s="453"/>
      <c r="GO1239" s="453"/>
      <c r="GP1239" s="453"/>
      <c r="GQ1239" s="453"/>
      <c r="GR1239" s="453"/>
      <c r="GS1239" s="561"/>
      <c r="GT1239" s="475"/>
      <c r="GU1239" s="472"/>
      <c r="GV1239" s="453"/>
      <c r="GW1239" s="453"/>
      <c r="GX1239" s="869"/>
      <c r="GY1239" s="870"/>
      <c r="GZ1239" s="867"/>
      <c r="HA1239" s="868"/>
      <c r="HB1239" s="473"/>
      <c r="HC1239" s="869"/>
      <c r="HD1239" s="870"/>
      <c r="HE1239" s="867"/>
      <c r="HF1239" s="868"/>
      <c r="HG1239" s="473"/>
      <c r="HH1239" s="867"/>
      <c r="HI1239" s="868"/>
      <c r="HJ1239" s="867"/>
      <c r="HK1239" s="868"/>
      <c r="HL1239" s="370"/>
      <c r="HM1239" s="865"/>
      <c r="HN1239" s="866"/>
      <c r="HO1239" s="865"/>
      <c r="HP1239" s="866"/>
      <c r="HQ1239" s="865"/>
      <c r="HR1239" s="866"/>
      <c r="HS1239" s="867"/>
      <c r="HT1239" s="868"/>
      <c r="HU1239" s="489"/>
      <c r="HV1239" s="865"/>
      <c r="HW1239" s="866"/>
    </row>
    <row r="1240" spans="25:231" ht="15" customHeight="1">
      <c r="Y1240" s="332"/>
      <c r="Z1240" s="332"/>
      <c r="AA1240" s="332"/>
      <c r="AB1240" s="332"/>
      <c r="AC1240" s="332"/>
      <c r="AD1240" s="332"/>
      <c r="AE1240" s="332"/>
      <c r="AF1240" s="332"/>
      <c r="AG1240" s="332"/>
      <c r="AH1240" s="332"/>
      <c r="AI1240" s="332"/>
      <c r="AJ1240" s="332"/>
      <c r="AK1240" s="332"/>
      <c r="AL1240" s="332"/>
      <c r="AM1240" s="332"/>
      <c r="AN1240" s="332"/>
      <c r="AO1240" s="332"/>
      <c r="AP1240" s="332"/>
      <c r="AQ1240" s="332"/>
      <c r="AR1240" s="332"/>
      <c r="AS1240" s="332"/>
      <c r="AT1240" s="332"/>
      <c r="AU1240" s="332"/>
      <c r="AV1240" s="332"/>
      <c r="AW1240" s="332"/>
      <c r="AX1240" s="332"/>
      <c r="AY1240" s="332"/>
      <c r="AZ1240" s="332"/>
      <c r="BA1240" s="332"/>
      <c r="BB1240" s="332"/>
      <c r="BC1240" s="332"/>
      <c r="BD1240" s="332"/>
      <c r="BE1240" s="332"/>
      <c r="BF1240" s="332"/>
      <c r="BG1240" s="332"/>
      <c r="BH1240" s="332"/>
      <c r="BI1240" s="332"/>
      <c r="BJ1240" s="332"/>
      <c r="BK1240" s="332"/>
      <c r="BL1240" s="332"/>
      <c r="BM1240" s="332"/>
      <c r="BN1240" s="332"/>
      <c r="BO1240" s="332"/>
      <c r="BP1240" s="332"/>
      <c r="BQ1240" s="332"/>
      <c r="BR1240" s="332"/>
      <c r="BS1240" s="332"/>
      <c r="BT1240" s="332"/>
      <c r="BU1240" s="332"/>
      <c r="BV1240" s="332"/>
      <c r="BW1240" s="332"/>
      <c r="BX1240" s="332"/>
      <c r="BY1240" s="332"/>
      <c r="BZ1240" s="332"/>
      <c r="CA1240" s="332"/>
      <c r="CB1240" s="332"/>
      <c r="CC1240" s="332"/>
      <c r="CD1240" s="332"/>
      <c r="CE1240" s="332"/>
      <c r="CF1240" s="332"/>
      <c r="CG1240" s="332"/>
      <c r="CH1240" s="332"/>
      <c r="CI1240" s="332"/>
      <c r="CJ1240" s="332"/>
      <c r="CK1240" s="332"/>
      <c r="CL1240" s="332"/>
      <c r="CM1240" s="332"/>
      <c r="CN1240" s="332"/>
      <c r="CO1240" s="332"/>
      <c r="CP1240" s="332"/>
      <c r="CQ1240" s="332"/>
      <c r="CR1240" s="332"/>
      <c r="CS1240" s="332"/>
      <c r="CT1240" s="332"/>
      <c r="CU1240" s="332"/>
      <c r="CV1240" s="332"/>
      <c r="CW1240" s="332"/>
      <c r="CX1240" s="332"/>
      <c r="CY1240" s="332"/>
      <c r="CZ1240" s="332"/>
      <c r="DA1240" s="332"/>
      <c r="DB1240" s="332"/>
      <c r="DC1240" s="332"/>
      <c r="DD1240" s="332"/>
      <c r="DE1240" s="332"/>
      <c r="DF1240" s="332"/>
      <c r="DG1240" s="332"/>
      <c r="DH1240" s="332"/>
      <c r="DI1240" s="332"/>
      <c r="DJ1240" s="332"/>
      <c r="DK1240" s="332"/>
      <c r="DL1240" s="332"/>
      <c r="DM1240" s="332"/>
      <c r="DN1240" s="332"/>
      <c r="DO1240" s="332"/>
      <c r="DP1240" s="332"/>
      <c r="DQ1240" s="332"/>
      <c r="DR1240" s="332"/>
      <c r="DS1240" s="332"/>
      <c r="DT1240" s="332"/>
      <c r="DU1240" s="453"/>
      <c r="DV1240" s="453"/>
      <c r="DW1240" s="453"/>
      <c r="DX1240" s="453"/>
      <c r="DY1240" s="453"/>
      <c r="DZ1240" s="453"/>
      <c r="EA1240" s="453"/>
      <c r="EB1240" s="453"/>
      <c r="EC1240" s="453"/>
      <c r="ED1240" s="453"/>
      <c r="EE1240" s="453"/>
      <c r="EF1240" s="453"/>
      <c r="EG1240" s="453"/>
      <c r="EH1240" s="453"/>
      <c r="EI1240" s="453"/>
      <c r="EJ1240" s="453"/>
      <c r="EK1240" s="453"/>
      <c r="EL1240" s="453"/>
      <c r="EM1240" s="483">
        <f t="shared" si="257"/>
        <v>931</v>
      </c>
      <c r="EN1240" s="485"/>
      <c r="EO1240" s="458"/>
      <c r="EP1240" s="467"/>
      <c r="EQ1240" s="457"/>
      <c r="ER1240" s="808"/>
      <c r="ES1240" s="881">
        <f t="shared" si="258"/>
        <v>0</v>
      </c>
      <c r="ET1240" s="882"/>
      <c r="EU1240" s="883"/>
      <c r="EV1240" s="884">
        <f t="shared" si="259"/>
        <v>0</v>
      </c>
      <c r="EW1240" s="885"/>
      <c r="EX1240" s="885"/>
      <c r="EY1240" s="885"/>
      <c r="EZ1240" s="885"/>
      <c r="FA1240" s="885"/>
      <c r="FB1240" s="885"/>
      <c r="FC1240" s="885"/>
      <c r="FD1240" s="886"/>
      <c r="FE1240" s="878"/>
      <c r="FF1240" s="878"/>
      <c r="FG1240" s="878"/>
      <c r="FH1240" s="878"/>
      <c r="FI1240" s="878"/>
      <c r="FJ1240" s="878"/>
      <c r="FK1240" s="878"/>
      <c r="FL1240" s="555"/>
      <c r="FM1240" s="554"/>
      <c r="FN1240" s="554"/>
      <c r="FO1240" s="554"/>
      <c r="FP1240" s="554"/>
      <c r="FQ1240" s="554"/>
      <c r="FR1240" s="554"/>
      <c r="FS1240" s="554"/>
      <c r="FT1240" s="554"/>
      <c r="FU1240" s="554"/>
      <c r="FV1240" s="554"/>
      <c r="FW1240" s="554"/>
      <c r="FX1240" s="554"/>
      <c r="FY1240" s="554"/>
      <c r="FZ1240" s="554"/>
      <c r="GA1240" s="554"/>
      <c r="GB1240" s="556"/>
      <c r="GC1240" s="370"/>
      <c r="GD1240" s="453"/>
      <c r="GE1240" s="453"/>
      <c r="GF1240" s="453"/>
      <c r="GG1240" s="453"/>
      <c r="GH1240" s="454"/>
      <c r="GI1240" s="453"/>
      <c r="GJ1240" s="453"/>
      <c r="GK1240" s="453"/>
      <c r="GL1240" s="453"/>
      <c r="GM1240" s="453"/>
      <c r="GN1240" s="453"/>
      <c r="GO1240" s="453"/>
      <c r="GP1240" s="453"/>
      <c r="GQ1240" s="453"/>
      <c r="GR1240" s="453"/>
      <c r="GS1240" s="561"/>
      <c r="GT1240" s="475"/>
      <c r="GU1240" s="472"/>
      <c r="GV1240" s="453"/>
      <c r="GW1240" s="453"/>
      <c r="GX1240" s="869"/>
      <c r="GY1240" s="870"/>
      <c r="GZ1240" s="867"/>
      <c r="HA1240" s="868"/>
      <c r="HB1240" s="473"/>
      <c r="HC1240" s="869"/>
      <c r="HD1240" s="870"/>
      <c r="HE1240" s="867"/>
      <c r="HF1240" s="868"/>
      <c r="HG1240" s="473"/>
      <c r="HH1240" s="867"/>
      <c r="HI1240" s="868"/>
      <c r="HJ1240" s="867"/>
      <c r="HK1240" s="868"/>
      <c r="HL1240" s="370"/>
      <c r="HM1240" s="865"/>
      <c r="HN1240" s="866"/>
      <c r="HO1240" s="865"/>
      <c r="HP1240" s="866"/>
      <c r="HQ1240" s="865"/>
      <c r="HR1240" s="866"/>
      <c r="HS1240" s="867"/>
      <c r="HT1240" s="868"/>
      <c r="HU1240" s="489"/>
      <c r="HV1240" s="865"/>
      <c r="HW1240" s="866"/>
    </row>
    <row r="1241" spans="25:231" ht="15" customHeight="1">
      <c r="Y1241" s="332"/>
      <c r="Z1241" s="332"/>
      <c r="AA1241" s="332"/>
      <c r="AB1241" s="332"/>
      <c r="AC1241" s="332"/>
      <c r="AD1241" s="332"/>
      <c r="AE1241" s="332"/>
      <c r="AF1241" s="332"/>
      <c r="AG1241" s="332"/>
      <c r="AH1241" s="332"/>
      <c r="AI1241" s="332"/>
      <c r="AJ1241" s="332"/>
      <c r="AK1241" s="332"/>
      <c r="AL1241" s="332"/>
      <c r="AM1241" s="332"/>
      <c r="AN1241" s="332"/>
      <c r="AO1241" s="332"/>
      <c r="AP1241" s="332"/>
      <c r="AQ1241" s="332"/>
      <c r="AR1241" s="332"/>
      <c r="AS1241" s="332"/>
      <c r="AT1241" s="332"/>
      <c r="AU1241" s="332"/>
      <c r="AV1241" s="332"/>
      <c r="AW1241" s="332"/>
      <c r="AX1241" s="332"/>
      <c r="AY1241" s="332"/>
      <c r="AZ1241" s="332"/>
      <c r="BA1241" s="332"/>
      <c r="BB1241" s="332"/>
      <c r="BC1241" s="332"/>
      <c r="BD1241" s="332"/>
      <c r="BE1241" s="332"/>
      <c r="BF1241" s="332"/>
      <c r="BG1241" s="332"/>
      <c r="BH1241" s="332"/>
      <c r="BI1241" s="332"/>
      <c r="BJ1241" s="332"/>
      <c r="BK1241" s="332"/>
      <c r="BL1241" s="332"/>
      <c r="BM1241" s="332"/>
      <c r="BN1241" s="332"/>
      <c r="BO1241" s="332"/>
      <c r="BP1241" s="332"/>
      <c r="BQ1241" s="332"/>
      <c r="BR1241" s="332"/>
      <c r="BS1241" s="332"/>
      <c r="BT1241" s="332"/>
      <c r="BU1241" s="332"/>
      <c r="BV1241" s="332"/>
      <c r="BW1241" s="332"/>
      <c r="BX1241" s="332"/>
      <c r="BY1241" s="332"/>
      <c r="BZ1241" s="332"/>
      <c r="CA1241" s="332"/>
      <c r="CB1241" s="332"/>
      <c r="CC1241" s="332"/>
      <c r="CD1241" s="332"/>
      <c r="CE1241" s="332"/>
      <c r="CF1241" s="332"/>
      <c r="CG1241" s="332"/>
      <c r="CH1241" s="332"/>
      <c r="CI1241" s="332"/>
      <c r="CJ1241" s="332"/>
      <c r="CK1241" s="332"/>
      <c r="CL1241" s="332"/>
      <c r="CM1241" s="332"/>
      <c r="CN1241" s="332"/>
      <c r="CO1241" s="332"/>
      <c r="CP1241" s="332"/>
      <c r="CQ1241" s="332"/>
      <c r="CR1241" s="332"/>
      <c r="CS1241" s="332"/>
      <c r="CT1241" s="332"/>
      <c r="CU1241" s="332"/>
      <c r="CV1241" s="332"/>
      <c r="CW1241" s="332"/>
      <c r="CX1241" s="332"/>
      <c r="CY1241" s="332"/>
      <c r="CZ1241" s="332"/>
      <c r="DA1241" s="332"/>
      <c r="DB1241" s="332"/>
      <c r="DC1241" s="332"/>
      <c r="DD1241" s="332"/>
      <c r="DE1241" s="332"/>
      <c r="DF1241" s="332"/>
      <c r="DG1241" s="332"/>
      <c r="DH1241" s="332"/>
      <c r="DI1241" s="332"/>
      <c r="DJ1241" s="332"/>
      <c r="DK1241" s="332"/>
      <c r="DL1241" s="332"/>
      <c r="DM1241" s="332"/>
      <c r="DN1241" s="332"/>
      <c r="DO1241" s="332"/>
      <c r="DP1241" s="332"/>
      <c r="DQ1241" s="332"/>
      <c r="DR1241" s="332"/>
      <c r="DS1241" s="332"/>
      <c r="DT1241" s="332"/>
      <c r="DU1241" s="453"/>
      <c r="DV1241" s="453"/>
      <c r="DW1241" s="453"/>
      <c r="DX1241" s="453"/>
      <c r="DY1241" s="453"/>
      <c r="DZ1241" s="453"/>
      <c r="EA1241" s="453"/>
      <c r="EB1241" s="453"/>
      <c r="EC1241" s="453"/>
      <c r="ED1241" s="453"/>
      <c r="EE1241" s="453"/>
      <c r="EF1241" s="453"/>
      <c r="EG1241" s="453"/>
      <c r="EH1241" s="453"/>
      <c r="EI1241" s="453"/>
      <c r="EJ1241" s="453"/>
      <c r="EK1241" s="453"/>
      <c r="EL1241" s="453"/>
      <c r="EM1241" s="483">
        <f t="shared" si="257"/>
        <v>932</v>
      </c>
      <c r="EN1241" s="485"/>
      <c r="EO1241" s="458"/>
      <c r="EP1241" s="467"/>
      <c r="EQ1241" s="457"/>
      <c r="ER1241" s="808"/>
      <c r="ES1241" s="881">
        <f t="shared" si="258"/>
        <v>0</v>
      </c>
      <c r="ET1241" s="882"/>
      <c r="EU1241" s="883"/>
      <c r="EV1241" s="884">
        <f t="shared" si="259"/>
        <v>0</v>
      </c>
      <c r="EW1241" s="885"/>
      <c r="EX1241" s="885"/>
      <c r="EY1241" s="885"/>
      <c r="EZ1241" s="885"/>
      <c r="FA1241" s="885"/>
      <c r="FB1241" s="885"/>
      <c r="FC1241" s="885"/>
      <c r="FD1241" s="886"/>
      <c r="FE1241" s="878"/>
      <c r="FF1241" s="878"/>
      <c r="FG1241" s="878"/>
      <c r="FH1241" s="878"/>
      <c r="FI1241" s="878"/>
      <c r="FJ1241" s="878"/>
      <c r="FK1241" s="878"/>
      <c r="FL1241" s="555"/>
      <c r="FM1241" s="554"/>
      <c r="FN1241" s="554"/>
      <c r="FO1241" s="554"/>
      <c r="FP1241" s="554"/>
      <c r="FQ1241" s="554"/>
      <c r="FR1241" s="554"/>
      <c r="FS1241" s="554"/>
      <c r="FT1241" s="554"/>
      <c r="FU1241" s="554"/>
      <c r="FV1241" s="554"/>
      <c r="FW1241" s="554"/>
      <c r="FX1241" s="554"/>
      <c r="FY1241" s="554"/>
      <c r="FZ1241" s="554"/>
      <c r="GA1241" s="554"/>
      <c r="GB1241" s="556"/>
      <c r="GC1241" s="370"/>
      <c r="GD1241" s="453"/>
      <c r="GE1241" s="453"/>
      <c r="GF1241" s="453"/>
      <c r="GG1241" s="453"/>
      <c r="GH1241" s="454"/>
      <c r="GI1241" s="453"/>
      <c r="GJ1241" s="453"/>
      <c r="GK1241" s="453"/>
      <c r="GL1241" s="453"/>
      <c r="GM1241" s="453"/>
      <c r="GN1241" s="453"/>
      <c r="GO1241" s="453"/>
      <c r="GP1241" s="453"/>
      <c r="GQ1241" s="453"/>
      <c r="GR1241" s="453"/>
      <c r="GS1241" s="561"/>
      <c r="GT1241" s="475"/>
      <c r="GU1241" s="472"/>
      <c r="GV1241" s="453"/>
      <c r="GW1241" s="453"/>
      <c r="GX1241" s="869"/>
      <c r="GY1241" s="870"/>
      <c r="GZ1241" s="867"/>
      <c r="HA1241" s="868"/>
      <c r="HB1241" s="473"/>
      <c r="HC1241" s="869"/>
      <c r="HD1241" s="870"/>
      <c r="HE1241" s="867"/>
      <c r="HF1241" s="868"/>
      <c r="HG1241" s="473"/>
      <c r="HH1241" s="867"/>
      <c r="HI1241" s="868"/>
      <c r="HJ1241" s="867"/>
      <c r="HK1241" s="868"/>
      <c r="HL1241" s="370"/>
      <c r="HM1241" s="865"/>
      <c r="HN1241" s="866"/>
      <c r="HO1241" s="865"/>
      <c r="HP1241" s="866"/>
      <c r="HQ1241" s="865"/>
      <c r="HR1241" s="866"/>
      <c r="HS1241" s="867"/>
      <c r="HT1241" s="868"/>
      <c r="HU1241" s="489"/>
      <c r="HV1241" s="865"/>
      <c r="HW1241" s="866"/>
    </row>
    <row r="1242" spans="25:231" ht="15" customHeight="1">
      <c r="Y1242" s="332"/>
      <c r="Z1242" s="332"/>
      <c r="AA1242" s="332"/>
      <c r="AB1242" s="332"/>
      <c r="AC1242" s="332"/>
      <c r="AD1242" s="332"/>
      <c r="AE1242" s="332"/>
      <c r="AF1242" s="332"/>
      <c r="AG1242" s="332"/>
      <c r="AH1242" s="332"/>
      <c r="AI1242" s="332"/>
      <c r="AJ1242" s="332"/>
      <c r="AK1242" s="332"/>
      <c r="AL1242" s="332"/>
      <c r="AM1242" s="332"/>
      <c r="AN1242" s="332"/>
      <c r="AO1242" s="332"/>
      <c r="AP1242" s="332"/>
      <c r="AQ1242" s="332"/>
      <c r="AR1242" s="332"/>
      <c r="AS1242" s="332"/>
      <c r="AT1242" s="332"/>
      <c r="AU1242" s="332"/>
      <c r="AV1242" s="332"/>
      <c r="AW1242" s="332"/>
      <c r="AX1242" s="332"/>
      <c r="AY1242" s="332"/>
      <c r="AZ1242" s="332"/>
      <c r="BA1242" s="332"/>
      <c r="BB1242" s="332"/>
      <c r="BC1242" s="332"/>
      <c r="BD1242" s="332"/>
      <c r="BE1242" s="332"/>
      <c r="BF1242" s="332"/>
      <c r="BG1242" s="332"/>
      <c r="BH1242" s="332"/>
      <c r="BI1242" s="332"/>
      <c r="BJ1242" s="332"/>
      <c r="BK1242" s="332"/>
      <c r="BL1242" s="332"/>
      <c r="BM1242" s="332"/>
      <c r="BN1242" s="332"/>
      <c r="BO1242" s="332"/>
      <c r="BP1242" s="332"/>
      <c r="BQ1242" s="332"/>
      <c r="BR1242" s="332"/>
      <c r="BS1242" s="332"/>
      <c r="BT1242" s="332"/>
      <c r="BU1242" s="332"/>
      <c r="BV1242" s="332"/>
      <c r="BW1242" s="332"/>
      <c r="BX1242" s="332"/>
      <c r="BY1242" s="332"/>
      <c r="BZ1242" s="332"/>
      <c r="CA1242" s="332"/>
      <c r="CB1242" s="332"/>
      <c r="CC1242" s="332"/>
      <c r="CD1242" s="332"/>
      <c r="CE1242" s="332"/>
      <c r="CF1242" s="332"/>
      <c r="CG1242" s="332"/>
      <c r="CH1242" s="332"/>
      <c r="CI1242" s="332"/>
      <c r="CJ1242" s="332"/>
      <c r="CK1242" s="332"/>
      <c r="CL1242" s="332"/>
      <c r="CM1242" s="332"/>
      <c r="CN1242" s="332"/>
      <c r="CO1242" s="332"/>
      <c r="CP1242" s="332"/>
      <c r="CQ1242" s="332"/>
      <c r="CR1242" s="332"/>
      <c r="CS1242" s="332"/>
      <c r="CT1242" s="332"/>
      <c r="CU1242" s="332"/>
      <c r="CV1242" s="332"/>
      <c r="CW1242" s="332"/>
      <c r="CX1242" s="332"/>
      <c r="CY1242" s="332"/>
      <c r="CZ1242" s="332"/>
      <c r="DA1242" s="332"/>
      <c r="DB1242" s="332"/>
      <c r="DC1242" s="332"/>
      <c r="DD1242" s="332"/>
      <c r="DE1242" s="332"/>
      <c r="DF1242" s="332"/>
      <c r="DG1242" s="332"/>
      <c r="DH1242" s="332"/>
      <c r="DI1242" s="332"/>
      <c r="DJ1242" s="332"/>
      <c r="DK1242" s="332"/>
      <c r="DL1242" s="332"/>
      <c r="DM1242" s="332"/>
      <c r="DN1242" s="332"/>
      <c r="DO1242" s="332"/>
      <c r="DP1242" s="332"/>
      <c r="DQ1242" s="332"/>
      <c r="DR1242" s="332"/>
      <c r="DS1242" s="332"/>
      <c r="DT1242" s="332"/>
      <c r="DU1242" s="453"/>
      <c r="DV1242" s="453"/>
      <c r="DW1242" s="453"/>
      <c r="DX1242" s="453"/>
      <c r="DY1242" s="453"/>
      <c r="DZ1242" s="453"/>
      <c r="EA1242" s="453"/>
      <c r="EB1242" s="453"/>
      <c r="EC1242" s="453"/>
      <c r="ED1242" s="453"/>
      <c r="EE1242" s="453"/>
      <c r="EF1242" s="453"/>
      <c r="EG1242" s="453"/>
      <c r="EH1242" s="453"/>
      <c r="EI1242" s="453"/>
      <c r="EJ1242" s="453"/>
      <c r="EK1242" s="453"/>
      <c r="EL1242" s="453"/>
      <c r="EM1242" s="483">
        <f t="shared" si="257"/>
        <v>933</v>
      </c>
      <c r="EN1242" s="485"/>
      <c r="EO1242" s="458"/>
      <c r="EP1242" s="467"/>
      <c r="EQ1242" s="457"/>
      <c r="ER1242" s="808"/>
      <c r="ES1242" s="881">
        <f t="shared" si="258"/>
        <v>0</v>
      </c>
      <c r="ET1242" s="882"/>
      <c r="EU1242" s="883"/>
      <c r="EV1242" s="884">
        <f t="shared" si="259"/>
        <v>0</v>
      </c>
      <c r="EW1242" s="885"/>
      <c r="EX1242" s="885"/>
      <c r="EY1242" s="885"/>
      <c r="EZ1242" s="885"/>
      <c r="FA1242" s="885"/>
      <c r="FB1242" s="885"/>
      <c r="FC1242" s="885"/>
      <c r="FD1242" s="886"/>
      <c r="FE1242" s="878"/>
      <c r="FF1242" s="878"/>
      <c r="FG1242" s="878"/>
      <c r="FH1242" s="878"/>
      <c r="FI1242" s="878"/>
      <c r="FJ1242" s="878"/>
      <c r="FK1242" s="878"/>
      <c r="FL1242" s="555"/>
      <c r="FM1242" s="554"/>
      <c r="FN1242" s="554"/>
      <c r="FO1242" s="554"/>
      <c r="FP1242" s="554"/>
      <c r="FQ1242" s="554"/>
      <c r="FR1242" s="554"/>
      <c r="FS1242" s="554"/>
      <c r="FT1242" s="554"/>
      <c r="FU1242" s="554"/>
      <c r="FV1242" s="554"/>
      <c r="FW1242" s="554"/>
      <c r="FX1242" s="554"/>
      <c r="FY1242" s="554"/>
      <c r="FZ1242" s="554"/>
      <c r="GA1242" s="554"/>
      <c r="GB1242" s="556"/>
      <c r="GC1242" s="370"/>
      <c r="GD1242" s="453"/>
      <c r="GE1242" s="453"/>
      <c r="GF1242" s="453"/>
      <c r="GG1242" s="453"/>
      <c r="GH1242" s="454"/>
      <c r="GI1242" s="453"/>
      <c r="GJ1242" s="453"/>
      <c r="GK1242" s="453"/>
      <c r="GL1242" s="453"/>
      <c r="GM1242" s="453"/>
      <c r="GN1242" s="453"/>
      <c r="GO1242" s="453"/>
      <c r="GP1242" s="453"/>
      <c r="GQ1242" s="453"/>
      <c r="GR1242" s="453"/>
      <c r="GS1242" s="561"/>
      <c r="GT1242" s="475"/>
      <c r="GU1242" s="472"/>
      <c r="GV1242" s="453"/>
      <c r="GW1242" s="453"/>
      <c r="GX1242" s="869"/>
      <c r="GY1242" s="870"/>
      <c r="GZ1242" s="867"/>
      <c r="HA1242" s="868"/>
      <c r="HB1242" s="473"/>
      <c r="HC1242" s="869"/>
      <c r="HD1242" s="870"/>
      <c r="HE1242" s="867"/>
      <c r="HF1242" s="868"/>
      <c r="HG1242" s="473"/>
      <c r="HH1242" s="867"/>
      <c r="HI1242" s="868"/>
      <c r="HJ1242" s="867"/>
      <c r="HK1242" s="868"/>
      <c r="HL1242" s="370"/>
      <c r="HM1242" s="865"/>
      <c r="HN1242" s="866"/>
      <c r="HO1242" s="865"/>
      <c r="HP1242" s="866"/>
      <c r="HQ1242" s="865"/>
      <c r="HR1242" s="866"/>
      <c r="HS1242" s="867"/>
      <c r="HT1242" s="868"/>
      <c r="HU1242" s="489"/>
      <c r="HV1242" s="865"/>
      <c r="HW1242" s="866"/>
    </row>
    <row r="1243" spans="25:231" ht="26.25" customHeight="1">
      <c r="Y1243" s="332"/>
      <c r="Z1243" s="332"/>
      <c r="AA1243" s="332"/>
      <c r="AB1243" s="332"/>
      <c r="AC1243" s="332"/>
      <c r="AD1243" s="332"/>
      <c r="AE1243" s="332"/>
      <c r="AF1243" s="332"/>
      <c r="AG1243" s="332"/>
      <c r="AH1243" s="332"/>
      <c r="AI1243" s="332"/>
      <c r="AJ1243" s="332"/>
      <c r="AK1243" s="332"/>
      <c r="AL1243" s="332"/>
      <c r="AM1243" s="332"/>
      <c r="AN1243" s="332"/>
      <c r="AO1243" s="332"/>
      <c r="AP1243" s="332"/>
      <c r="AQ1243" s="332"/>
      <c r="AR1243" s="332"/>
      <c r="AS1243" s="332"/>
      <c r="AT1243" s="332"/>
      <c r="AU1243" s="332"/>
      <c r="AV1243" s="332"/>
      <c r="AW1243" s="332"/>
      <c r="AX1243" s="332"/>
      <c r="AY1243" s="332"/>
      <c r="AZ1243" s="332"/>
      <c r="BA1243" s="332"/>
      <c r="BB1243" s="332"/>
      <c r="BC1243" s="332"/>
      <c r="BD1243" s="332"/>
      <c r="BE1243" s="332"/>
      <c r="BF1243" s="332"/>
      <c r="BG1243" s="332"/>
      <c r="BH1243" s="332"/>
      <c r="BI1243" s="332"/>
      <c r="BJ1243" s="332"/>
      <c r="BK1243" s="332"/>
      <c r="BL1243" s="332"/>
      <c r="BM1243" s="332"/>
      <c r="BN1243" s="332"/>
      <c r="BO1243" s="332"/>
      <c r="BP1243" s="332"/>
      <c r="BQ1243" s="332"/>
      <c r="BR1243" s="332"/>
      <c r="BS1243" s="332"/>
      <c r="BT1243" s="332"/>
      <c r="BU1243" s="332"/>
      <c r="BV1243" s="332"/>
      <c r="BW1243" s="332"/>
      <c r="BX1243" s="332"/>
      <c r="BY1243" s="332"/>
      <c r="BZ1243" s="332"/>
      <c r="CA1243" s="332"/>
      <c r="CB1243" s="332"/>
      <c r="CC1243" s="332"/>
      <c r="CD1243" s="332"/>
      <c r="CE1243" s="332"/>
      <c r="CF1243" s="332"/>
      <c r="CG1243" s="332"/>
      <c r="CH1243" s="332"/>
      <c r="CI1243" s="332"/>
      <c r="CJ1243" s="332"/>
      <c r="CK1243" s="332"/>
      <c r="CL1243" s="332"/>
      <c r="CM1243" s="332"/>
      <c r="CN1243" s="332"/>
      <c r="CO1243" s="332"/>
      <c r="CP1243" s="332"/>
      <c r="CQ1243" s="332"/>
      <c r="CR1243" s="332"/>
      <c r="CS1243" s="332"/>
      <c r="CT1243" s="332"/>
      <c r="CU1243" s="332"/>
      <c r="CV1243" s="332"/>
      <c r="CW1243" s="332"/>
      <c r="CX1243" s="332"/>
      <c r="CY1243" s="332"/>
      <c r="CZ1243" s="332"/>
      <c r="DA1243" s="332"/>
      <c r="DB1243" s="332"/>
      <c r="DC1243" s="332"/>
      <c r="DD1243" s="332"/>
      <c r="DE1243" s="332"/>
      <c r="DF1243" s="332"/>
      <c r="DG1243" s="332"/>
      <c r="DH1243" s="332"/>
      <c r="DI1243" s="332"/>
      <c r="DJ1243" s="332"/>
      <c r="DK1243" s="332"/>
      <c r="DL1243" s="332"/>
      <c r="DM1243" s="332"/>
      <c r="DN1243" s="332"/>
      <c r="DO1243" s="332"/>
      <c r="DP1243" s="332"/>
      <c r="DQ1243" s="332"/>
      <c r="DR1243" s="332"/>
      <c r="DS1243" s="332"/>
      <c r="DT1243" s="332"/>
      <c r="DU1243" s="453"/>
      <c r="DV1243" s="453"/>
      <c r="DW1243" s="453"/>
      <c r="DX1243" s="453"/>
      <c r="DY1243" s="453"/>
      <c r="DZ1243" s="453"/>
      <c r="EA1243" s="453"/>
      <c r="EB1243" s="453"/>
      <c r="EC1243" s="453"/>
      <c r="ED1243" s="453"/>
      <c r="EE1243" s="453"/>
      <c r="EF1243" s="453"/>
      <c r="EG1243" s="453"/>
      <c r="EH1243" s="453"/>
      <c r="EI1243" s="453"/>
      <c r="EJ1243" s="453"/>
      <c r="EK1243" s="453"/>
      <c r="EL1243" s="453"/>
      <c r="EM1243" s="483">
        <f t="shared" si="257"/>
        <v>934</v>
      </c>
      <c r="EN1243" s="485"/>
      <c r="EO1243" s="458"/>
      <c r="EP1243" s="467"/>
      <c r="EQ1243" s="457"/>
      <c r="ER1243" s="808"/>
      <c r="ES1243" s="881">
        <f t="shared" si="258"/>
        <v>0</v>
      </c>
      <c r="ET1243" s="882"/>
      <c r="EU1243" s="883"/>
      <c r="EV1243" s="884">
        <f t="shared" si="259"/>
        <v>0</v>
      </c>
      <c r="EW1243" s="885"/>
      <c r="EX1243" s="885"/>
      <c r="EY1243" s="885"/>
      <c r="EZ1243" s="885"/>
      <c r="FA1243" s="885"/>
      <c r="FB1243" s="885"/>
      <c r="FC1243" s="885"/>
      <c r="FD1243" s="886"/>
      <c r="FE1243" s="879"/>
      <c r="FF1243" s="877"/>
      <c r="FG1243" s="877"/>
      <c r="FH1243" s="877"/>
      <c r="FI1243" s="877"/>
      <c r="FJ1243" s="877"/>
      <c r="FK1243" s="880"/>
      <c r="FL1243" s="874"/>
      <c r="FM1243" s="875"/>
      <c r="FN1243" s="875"/>
      <c r="FO1243" s="875"/>
      <c r="FP1243" s="875"/>
      <c r="FQ1243" s="875"/>
      <c r="FR1243" s="875"/>
      <c r="FS1243" s="875"/>
      <c r="FT1243" s="875"/>
      <c r="FU1243" s="875"/>
      <c r="FV1243" s="875"/>
      <c r="FW1243" s="875"/>
      <c r="FX1243" s="875"/>
      <c r="FY1243" s="875"/>
      <c r="FZ1243" s="875"/>
      <c r="GA1243" s="875"/>
      <c r="GB1243" s="876"/>
      <c r="GC1243" s="370"/>
      <c r="GD1243" s="453"/>
      <c r="GE1243" s="453"/>
      <c r="GF1243" s="453"/>
      <c r="GG1243" s="453"/>
      <c r="GH1243" s="454"/>
      <c r="GI1243" s="453"/>
      <c r="GJ1243" s="453"/>
      <c r="GK1243" s="453"/>
      <c r="GL1243" s="453"/>
      <c r="GM1243" s="453"/>
      <c r="GN1243" s="453"/>
      <c r="GO1243" s="453"/>
      <c r="GP1243" s="453"/>
      <c r="GQ1243" s="453"/>
      <c r="GR1243" s="453"/>
      <c r="GS1243" s="561"/>
      <c r="GT1243" s="475"/>
      <c r="GU1243" s="472"/>
      <c r="GV1243" s="453"/>
      <c r="GW1243" s="453"/>
      <c r="GX1243" s="869"/>
      <c r="GY1243" s="870"/>
      <c r="GZ1243" s="867"/>
      <c r="HA1243" s="868"/>
      <c r="HB1243" s="473"/>
      <c r="HC1243" s="869"/>
      <c r="HD1243" s="870"/>
      <c r="HE1243" s="867"/>
      <c r="HF1243" s="868"/>
      <c r="HG1243" s="473"/>
      <c r="HH1243" s="867"/>
      <c r="HI1243" s="868"/>
      <c r="HJ1243" s="867"/>
      <c r="HK1243" s="868"/>
      <c r="HL1243" s="370"/>
      <c r="HM1243" s="865"/>
      <c r="HN1243" s="866"/>
      <c r="HO1243" s="865"/>
      <c r="HP1243" s="866"/>
      <c r="HQ1243" s="865"/>
      <c r="HR1243" s="866"/>
      <c r="HS1243" s="867"/>
      <c r="HT1243" s="868"/>
      <c r="HU1243" s="489"/>
      <c r="HV1243" s="865"/>
      <c r="HW1243" s="866"/>
    </row>
    <row r="1244" spans="25:231" ht="15" customHeight="1">
      <c r="Y1244" s="332"/>
      <c r="Z1244" s="332"/>
      <c r="AA1244" s="332"/>
      <c r="AB1244" s="332"/>
      <c r="AC1244" s="332"/>
      <c r="AD1244" s="332"/>
      <c r="AE1244" s="332"/>
      <c r="AF1244" s="332"/>
      <c r="AG1244" s="332"/>
      <c r="AH1244" s="332"/>
      <c r="AI1244" s="332"/>
      <c r="AJ1244" s="332"/>
      <c r="AK1244" s="332"/>
      <c r="AL1244" s="332"/>
      <c r="AM1244" s="332"/>
      <c r="AN1244" s="332"/>
      <c r="AO1244" s="332"/>
      <c r="AP1244" s="332"/>
      <c r="AQ1244" s="332"/>
      <c r="AR1244" s="332"/>
      <c r="AS1244" s="332"/>
      <c r="AT1244" s="332"/>
      <c r="AU1244" s="332"/>
      <c r="AV1244" s="332"/>
      <c r="AW1244" s="332"/>
      <c r="AX1244" s="332"/>
      <c r="AY1244" s="332"/>
      <c r="AZ1244" s="332"/>
      <c r="BA1244" s="332"/>
      <c r="BB1244" s="332"/>
      <c r="BC1244" s="332"/>
      <c r="BD1244" s="332"/>
      <c r="BE1244" s="332"/>
      <c r="BF1244" s="332"/>
      <c r="BG1244" s="332"/>
      <c r="BH1244" s="332"/>
      <c r="BI1244" s="332"/>
      <c r="BJ1244" s="332"/>
      <c r="BK1244" s="332"/>
      <c r="BL1244" s="332"/>
      <c r="BM1244" s="332"/>
      <c r="BN1244" s="332"/>
      <c r="BO1244" s="332"/>
      <c r="BP1244" s="332"/>
      <c r="BQ1244" s="332"/>
      <c r="BR1244" s="332"/>
      <c r="BS1244" s="332"/>
      <c r="BT1244" s="332"/>
      <c r="BU1244" s="332"/>
      <c r="BV1244" s="332"/>
      <c r="BW1244" s="332"/>
      <c r="BX1244" s="332"/>
      <c r="BY1244" s="332"/>
      <c r="BZ1244" s="332"/>
      <c r="CA1244" s="332"/>
      <c r="CB1244" s="332"/>
      <c r="CC1244" s="332"/>
      <c r="CD1244" s="332"/>
      <c r="CE1244" s="332"/>
      <c r="CF1244" s="332"/>
      <c r="CG1244" s="332"/>
      <c r="CH1244" s="332"/>
      <c r="CI1244" s="332"/>
      <c r="CJ1244" s="332"/>
      <c r="CK1244" s="332"/>
      <c r="CL1244" s="332"/>
      <c r="CM1244" s="332"/>
      <c r="CN1244" s="332"/>
      <c r="CO1244" s="332"/>
      <c r="CP1244" s="332"/>
      <c r="CQ1244" s="332"/>
      <c r="CR1244" s="332"/>
      <c r="CS1244" s="332"/>
      <c r="CT1244" s="332"/>
      <c r="CU1244" s="332"/>
      <c r="CV1244" s="332"/>
      <c r="CW1244" s="332"/>
      <c r="CX1244" s="332"/>
      <c r="CY1244" s="332"/>
      <c r="CZ1244" s="332"/>
      <c r="DA1244" s="332"/>
      <c r="DB1244" s="332"/>
      <c r="DC1244" s="332"/>
      <c r="DD1244" s="332"/>
      <c r="DE1244" s="332"/>
      <c r="DF1244" s="332"/>
      <c r="DG1244" s="332"/>
      <c r="DH1244" s="332"/>
      <c r="DI1244" s="332"/>
      <c r="DJ1244" s="332"/>
      <c r="DK1244" s="332"/>
      <c r="DL1244" s="332"/>
      <c r="DM1244" s="332"/>
      <c r="DN1244" s="332"/>
      <c r="DO1244" s="332"/>
      <c r="DP1244" s="332"/>
      <c r="DQ1244" s="332"/>
      <c r="DR1244" s="332"/>
      <c r="DS1244" s="332"/>
      <c r="DT1244" s="332"/>
      <c r="DU1244" s="453"/>
      <c r="DV1244" s="453"/>
      <c r="DW1244" s="453"/>
      <c r="DX1244" s="453"/>
      <c r="DY1244" s="453"/>
      <c r="DZ1244" s="453"/>
      <c r="EA1244" s="453"/>
      <c r="EB1244" s="453"/>
      <c r="EC1244" s="453"/>
      <c r="ED1244" s="453"/>
      <c r="EE1244" s="453"/>
      <c r="EF1244" s="453"/>
      <c r="EG1244" s="453"/>
      <c r="EH1244" s="453"/>
      <c r="EI1244" s="453"/>
      <c r="EJ1244" s="453"/>
      <c r="EK1244" s="453"/>
      <c r="EL1244" s="453"/>
      <c r="EM1244" s="483">
        <f t="shared" si="257"/>
        <v>935</v>
      </c>
      <c r="EN1244" s="485"/>
      <c r="EO1244" s="458"/>
      <c r="EP1244" s="467"/>
      <c r="EQ1244" s="457"/>
      <c r="ER1244" s="808"/>
      <c r="ES1244" s="881">
        <f t="shared" si="258"/>
        <v>0</v>
      </c>
      <c r="ET1244" s="882"/>
      <c r="EU1244" s="883"/>
      <c r="EV1244" s="884">
        <f t="shared" si="259"/>
        <v>0</v>
      </c>
      <c r="EW1244" s="885"/>
      <c r="EX1244" s="885"/>
      <c r="EY1244" s="885"/>
      <c r="EZ1244" s="885"/>
      <c r="FA1244" s="885"/>
      <c r="FB1244" s="885"/>
      <c r="FC1244" s="885"/>
      <c r="FD1244" s="886"/>
      <c r="FE1244" s="877"/>
      <c r="FF1244" s="877"/>
      <c r="FG1244" s="877"/>
      <c r="FH1244" s="877"/>
      <c r="FI1244" s="877"/>
      <c r="FJ1244" s="877"/>
      <c r="FK1244" s="877"/>
      <c r="FL1244" s="874"/>
      <c r="FM1244" s="875"/>
      <c r="FN1244" s="875"/>
      <c r="FO1244" s="875"/>
      <c r="FP1244" s="875"/>
      <c r="FQ1244" s="875"/>
      <c r="FR1244" s="875"/>
      <c r="FS1244" s="875"/>
      <c r="FT1244" s="875"/>
      <c r="FU1244" s="875"/>
      <c r="FV1244" s="875"/>
      <c r="FW1244" s="875"/>
      <c r="FX1244" s="875"/>
      <c r="FY1244" s="875"/>
      <c r="FZ1244" s="875"/>
      <c r="GA1244" s="875"/>
      <c r="GB1244" s="876"/>
      <c r="GC1244" s="370"/>
      <c r="GD1244" s="453"/>
      <c r="GE1244" s="453"/>
      <c r="GF1244" s="453"/>
      <c r="GG1244" s="453"/>
      <c r="GH1244" s="454"/>
      <c r="GI1244" s="453"/>
      <c r="GJ1244" s="453"/>
      <c r="GK1244" s="453"/>
      <c r="GL1244" s="453"/>
      <c r="GM1244" s="453"/>
      <c r="GN1244" s="453"/>
      <c r="GO1244" s="453"/>
      <c r="GP1244" s="453"/>
      <c r="GQ1244" s="453"/>
      <c r="GR1244" s="453"/>
      <c r="GS1244" s="561"/>
      <c r="GT1244" s="475"/>
      <c r="GU1244" s="472"/>
      <c r="GV1244" s="453"/>
      <c r="GW1244" s="453"/>
      <c r="GX1244" s="869"/>
      <c r="GY1244" s="870"/>
      <c r="GZ1244" s="867"/>
      <c r="HA1244" s="868"/>
      <c r="HB1244" s="473"/>
      <c r="HC1244" s="869"/>
      <c r="HD1244" s="870"/>
      <c r="HE1244" s="867"/>
      <c r="HF1244" s="868"/>
      <c r="HG1244" s="473"/>
      <c r="HH1244" s="867"/>
      <c r="HI1244" s="868"/>
      <c r="HJ1244" s="867"/>
      <c r="HK1244" s="868"/>
      <c r="HL1244" s="370"/>
      <c r="HM1244" s="865"/>
      <c r="HN1244" s="866"/>
      <c r="HO1244" s="865"/>
      <c r="HP1244" s="866"/>
      <c r="HQ1244" s="865"/>
      <c r="HR1244" s="866"/>
      <c r="HS1244" s="867"/>
      <c r="HT1244" s="868"/>
      <c r="HU1244" s="489"/>
      <c r="HV1244" s="865"/>
      <c r="HW1244" s="866"/>
    </row>
    <row r="1245" spans="25:231" ht="15" customHeight="1">
      <c r="Y1245" s="332"/>
      <c r="Z1245" s="332"/>
      <c r="AA1245" s="332"/>
      <c r="AB1245" s="332"/>
      <c r="AC1245" s="332"/>
      <c r="AD1245" s="332"/>
      <c r="AE1245" s="332"/>
      <c r="AF1245" s="332"/>
      <c r="AG1245" s="332"/>
      <c r="AH1245" s="332"/>
      <c r="AI1245" s="332"/>
      <c r="AJ1245" s="332"/>
      <c r="AK1245" s="332"/>
      <c r="AL1245" s="332"/>
      <c r="AM1245" s="332"/>
      <c r="AN1245" s="332"/>
      <c r="AO1245" s="332"/>
      <c r="AP1245" s="332"/>
      <c r="AQ1245" s="332"/>
      <c r="AR1245" s="332"/>
      <c r="AS1245" s="332"/>
      <c r="AT1245" s="332"/>
      <c r="AU1245" s="332"/>
      <c r="AV1245" s="332"/>
      <c r="AW1245" s="332"/>
      <c r="AX1245" s="332"/>
      <c r="AY1245" s="332"/>
      <c r="AZ1245" s="332"/>
      <c r="BA1245" s="332"/>
      <c r="BB1245" s="332"/>
      <c r="BC1245" s="332"/>
      <c r="BD1245" s="332"/>
      <c r="BE1245" s="332"/>
      <c r="BF1245" s="332"/>
      <c r="BG1245" s="332"/>
      <c r="BH1245" s="332"/>
      <c r="BI1245" s="332"/>
      <c r="BJ1245" s="332"/>
      <c r="BK1245" s="332"/>
      <c r="BL1245" s="332"/>
      <c r="BM1245" s="332"/>
      <c r="BN1245" s="332"/>
      <c r="BO1245" s="332"/>
      <c r="BP1245" s="332"/>
      <c r="BQ1245" s="332"/>
      <c r="BR1245" s="332"/>
      <c r="BS1245" s="332"/>
      <c r="BT1245" s="332"/>
      <c r="BU1245" s="332"/>
      <c r="BV1245" s="332"/>
      <c r="BW1245" s="332"/>
      <c r="BX1245" s="332"/>
      <c r="BY1245" s="332"/>
      <c r="BZ1245" s="332"/>
      <c r="CA1245" s="332"/>
      <c r="CB1245" s="332"/>
      <c r="CC1245" s="332"/>
      <c r="CD1245" s="332"/>
      <c r="CE1245" s="332"/>
      <c r="CF1245" s="332"/>
      <c r="CG1245" s="332"/>
      <c r="CH1245" s="332"/>
      <c r="CI1245" s="332"/>
      <c r="CJ1245" s="332"/>
      <c r="CK1245" s="332"/>
      <c r="CL1245" s="332"/>
      <c r="CM1245" s="332"/>
      <c r="CN1245" s="332"/>
      <c r="CO1245" s="332"/>
      <c r="CP1245" s="332"/>
      <c r="CQ1245" s="332"/>
      <c r="CR1245" s="332"/>
      <c r="CS1245" s="332"/>
      <c r="CT1245" s="332"/>
      <c r="CU1245" s="332"/>
      <c r="CV1245" s="332"/>
      <c r="CW1245" s="332"/>
      <c r="CX1245" s="332"/>
      <c r="CY1245" s="332"/>
      <c r="CZ1245" s="332"/>
      <c r="DA1245" s="332"/>
      <c r="DB1245" s="332"/>
      <c r="DC1245" s="332"/>
      <c r="DD1245" s="332"/>
      <c r="DE1245" s="332"/>
      <c r="DF1245" s="332"/>
      <c r="DG1245" s="332"/>
      <c r="DH1245" s="332"/>
      <c r="DI1245" s="332"/>
      <c r="DJ1245" s="332"/>
      <c r="DK1245" s="332"/>
      <c r="DL1245" s="332"/>
      <c r="DM1245" s="332"/>
      <c r="DN1245" s="332"/>
      <c r="DO1245" s="332"/>
      <c r="DP1245" s="332"/>
      <c r="DQ1245" s="332"/>
      <c r="DR1245" s="332"/>
      <c r="DS1245" s="332"/>
      <c r="DT1245" s="332"/>
      <c r="DU1245" s="453"/>
      <c r="DV1245" s="453"/>
      <c r="DW1245" s="453"/>
      <c r="DX1245" s="453"/>
      <c r="DY1245" s="453"/>
      <c r="DZ1245" s="453"/>
      <c r="EA1245" s="453"/>
      <c r="EB1245" s="453"/>
      <c r="EC1245" s="453"/>
      <c r="ED1245" s="453"/>
      <c r="EE1245" s="453"/>
      <c r="EF1245" s="453"/>
      <c r="EG1245" s="453"/>
      <c r="EH1245" s="453"/>
      <c r="EI1245" s="453"/>
      <c r="EJ1245" s="453"/>
      <c r="EK1245" s="453"/>
      <c r="EL1245" s="453"/>
      <c r="EM1245" s="483">
        <f t="shared" si="257"/>
        <v>936</v>
      </c>
      <c r="EN1245" s="485"/>
      <c r="EO1245" s="458"/>
      <c r="EP1245" s="467"/>
      <c r="EQ1245" s="457"/>
      <c r="ER1245" s="808"/>
      <c r="ES1245" s="881">
        <f t="shared" si="258"/>
        <v>0</v>
      </c>
      <c r="ET1245" s="882"/>
      <c r="EU1245" s="883"/>
      <c r="EV1245" s="884">
        <f t="shared" si="259"/>
        <v>0</v>
      </c>
      <c r="EW1245" s="885"/>
      <c r="EX1245" s="885"/>
      <c r="EY1245" s="885"/>
      <c r="EZ1245" s="885"/>
      <c r="FA1245" s="885"/>
      <c r="FB1245" s="885"/>
      <c r="FC1245" s="885"/>
      <c r="FD1245" s="886"/>
      <c r="FE1245" s="877"/>
      <c r="FF1245" s="877"/>
      <c r="FG1245" s="877"/>
      <c r="FH1245" s="877"/>
      <c r="FI1245" s="877"/>
      <c r="FJ1245" s="877"/>
      <c r="FK1245" s="877"/>
      <c r="FL1245" s="874"/>
      <c r="FM1245" s="875"/>
      <c r="FN1245" s="875"/>
      <c r="FO1245" s="875"/>
      <c r="FP1245" s="875"/>
      <c r="FQ1245" s="875"/>
      <c r="FR1245" s="875"/>
      <c r="FS1245" s="875"/>
      <c r="FT1245" s="875"/>
      <c r="FU1245" s="875"/>
      <c r="FV1245" s="875"/>
      <c r="FW1245" s="875"/>
      <c r="FX1245" s="875"/>
      <c r="FY1245" s="875"/>
      <c r="FZ1245" s="875"/>
      <c r="GA1245" s="875"/>
      <c r="GB1245" s="876"/>
      <c r="GC1245" s="370"/>
      <c r="GD1245" s="453"/>
      <c r="GE1245" s="453"/>
      <c r="GF1245" s="453"/>
      <c r="GG1245" s="453"/>
      <c r="GH1245" s="454"/>
      <c r="GI1245" s="453"/>
      <c r="GJ1245" s="453"/>
      <c r="GK1245" s="453"/>
      <c r="GL1245" s="453"/>
      <c r="GM1245" s="453"/>
      <c r="GN1245" s="453"/>
      <c r="GO1245" s="453"/>
      <c r="GP1245" s="453"/>
      <c r="GQ1245" s="453"/>
      <c r="GR1245" s="453"/>
      <c r="GS1245" s="561"/>
      <c r="GT1245" s="475"/>
      <c r="GU1245" s="472"/>
      <c r="GV1245" s="453"/>
      <c r="GW1245" s="453"/>
      <c r="GX1245" s="869"/>
      <c r="GY1245" s="870"/>
      <c r="GZ1245" s="867"/>
      <c r="HA1245" s="868"/>
      <c r="HB1245" s="473"/>
      <c r="HC1245" s="869"/>
      <c r="HD1245" s="870"/>
      <c r="HE1245" s="867"/>
      <c r="HF1245" s="868"/>
      <c r="HG1245" s="473"/>
      <c r="HH1245" s="867"/>
      <c r="HI1245" s="868"/>
      <c r="HJ1245" s="867"/>
      <c r="HK1245" s="868"/>
      <c r="HL1245" s="370"/>
      <c r="HM1245" s="865"/>
      <c r="HN1245" s="866"/>
      <c r="HO1245" s="865"/>
      <c r="HP1245" s="866"/>
      <c r="HQ1245" s="865"/>
      <c r="HR1245" s="866"/>
      <c r="HS1245" s="867"/>
      <c r="HT1245" s="868"/>
      <c r="HU1245" s="489"/>
      <c r="HV1245" s="865"/>
      <c r="HW1245" s="866"/>
    </row>
    <row r="1246" spans="25:231" ht="15" customHeight="1">
      <c r="Y1246" s="332"/>
      <c r="Z1246" s="332"/>
      <c r="AA1246" s="332"/>
      <c r="AB1246" s="332"/>
      <c r="AC1246" s="332"/>
      <c r="AD1246" s="332"/>
      <c r="AE1246" s="332"/>
      <c r="AF1246" s="332"/>
      <c r="AG1246" s="332"/>
      <c r="AH1246" s="332"/>
      <c r="AI1246" s="332"/>
      <c r="AJ1246" s="332"/>
      <c r="AK1246" s="332"/>
      <c r="AL1246" s="332"/>
      <c r="AM1246" s="332"/>
      <c r="AN1246" s="332"/>
      <c r="AO1246" s="332"/>
      <c r="AP1246" s="332"/>
      <c r="AQ1246" s="332"/>
      <c r="AR1246" s="332"/>
      <c r="AS1246" s="332"/>
      <c r="AT1246" s="332"/>
      <c r="AU1246" s="332"/>
      <c r="AV1246" s="332"/>
      <c r="AW1246" s="332"/>
      <c r="AX1246" s="332"/>
      <c r="AY1246" s="332"/>
      <c r="AZ1246" s="332"/>
      <c r="BA1246" s="332"/>
      <c r="BB1246" s="332"/>
      <c r="BC1246" s="332"/>
      <c r="BD1246" s="332"/>
      <c r="BE1246" s="332"/>
      <c r="BF1246" s="332"/>
      <c r="BG1246" s="332"/>
      <c r="BH1246" s="332"/>
      <c r="BI1246" s="332"/>
      <c r="BJ1246" s="332"/>
      <c r="BK1246" s="332"/>
      <c r="BL1246" s="332"/>
      <c r="BM1246" s="332"/>
      <c r="BN1246" s="332"/>
      <c r="BO1246" s="332"/>
      <c r="BP1246" s="332"/>
      <c r="BQ1246" s="332"/>
      <c r="BR1246" s="332"/>
      <c r="BS1246" s="332"/>
      <c r="BT1246" s="332"/>
      <c r="BU1246" s="332"/>
      <c r="BV1246" s="332"/>
      <c r="BW1246" s="332"/>
      <c r="BX1246" s="332"/>
      <c r="BY1246" s="332"/>
      <c r="BZ1246" s="332"/>
      <c r="CA1246" s="332"/>
      <c r="CB1246" s="332"/>
      <c r="CC1246" s="332"/>
      <c r="CD1246" s="332"/>
      <c r="CE1246" s="332"/>
      <c r="CF1246" s="332"/>
      <c r="CG1246" s="332"/>
      <c r="CH1246" s="332"/>
      <c r="CI1246" s="332"/>
      <c r="CJ1246" s="332"/>
      <c r="CK1246" s="332"/>
      <c r="CL1246" s="332"/>
      <c r="CM1246" s="332"/>
      <c r="CN1246" s="332"/>
      <c r="CO1246" s="332"/>
      <c r="CP1246" s="332"/>
      <c r="CQ1246" s="332"/>
      <c r="CR1246" s="332"/>
      <c r="CS1246" s="332"/>
      <c r="CT1246" s="332"/>
      <c r="CU1246" s="332"/>
      <c r="CV1246" s="332"/>
      <c r="CW1246" s="332"/>
      <c r="CX1246" s="332"/>
      <c r="CY1246" s="332"/>
      <c r="CZ1246" s="332"/>
      <c r="DA1246" s="332"/>
      <c r="DB1246" s="332"/>
      <c r="DC1246" s="332"/>
      <c r="DD1246" s="332"/>
      <c r="DE1246" s="332"/>
      <c r="DF1246" s="332"/>
      <c r="DG1246" s="332"/>
      <c r="DH1246" s="332"/>
      <c r="DI1246" s="332"/>
      <c r="DJ1246" s="332"/>
      <c r="DK1246" s="332"/>
      <c r="DL1246" s="332"/>
      <c r="DM1246" s="332"/>
      <c r="DN1246" s="332"/>
      <c r="DO1246" s="332"/>
      <c r="DP1246" s="332"/>
      <c r="DQ1246" s="332"/>
      <c r="DR1246" s="332"/>
      <c r="DS1246" s="332"/>
      <c r="DT1246" s="332"/>
      <c r="DU1246" s="453"/>
      <c r="DV1246" s="453"/>
      <c r="DW1246" s="453"/>
      <c r="DX1246" s="453"/>
      <c r="DY1246" s="453"/>
      <c r="DZ1246" s="453"/>
      <c r="EA1246" s="453"/>
      <c r="EB1246" s="453"/>
      <c r="EC1246" s="453"/>
      <c r="ED1246" s="453"/>
      <c r="EE1246" s="453"/>
      <c r="EF1246" s="453"/>
      <c r="EG1246" s="453"/>
      <c r="EH1246" s="453"/>
      <c r="EI1246" s="453"/>
      <c r="EJ1246" s="453"/>
      <c r="EK1246" s="453"/>
      <c r="EL1246" s="453"/>
      <c r="EM1246" s="483">
        <f t="shared" si="257"/>
        <v>937</v>
      </c>
      <c r="EN1246" s="485"/>
      <c r="EO1246" s="458"/>
      <c r="EP1246" s="467"/>
      <c r="EQ1246" s="457"/>
      <c r="ER1246" s="808"/>
      <c r="ES1246" s="881">
        <f t="shared" si="258"/>
        <v>0</v>
      </c>
      <c r="ET1246" s="882"/>
      <c r="EU1246" s="883"/>
      <c r="EV1246" s="884">
        <f t="shared" si="259"/>
        <v>0</v>
      </c>
      <c r="EW1246" s="885"/>
      <c r="EX1246" s="885"/>
      <c r="EY1246" s="885"/>
      <c r="EZ1246" s="885"/>
      <c r="FA1246" s="885"/>
      <c r="FB1246" s="885"/>
      <c r="FC1246" s="885"/>
      <c r="FD1246" s="886"/>
      <c r="FE1246" s="877"/>
      <c r="FF1246" s="877"/>
      <c r="FG1246" s="877"/>
      <c r="FH1246" s="877"/>
      <c r="FI1246" s="877"/>
      <c r="FJ1246" s="877"/>
      <c r="FK1246" s="877"/>
      <c r="FL1246" s="874"/>
      <c r="FM1246" s="875"/>
      <c r="FN1246" s="875"/>
      <c r="FO1246" s="875"/>
      <c r="FP1246" s="875"/>
      <c r="FQ1246" s="875"/>
      <c r="FR1246" s="875"/>
      <c r="FS1246" s="875"/>
      <c r="FT1246" s="875"/>
      <c r="FU1246" s="875"/>
      <c r="FV1246" s="875"/>
      <c r="FW1246" s="875"/>
      <c r="FX1246" s="875"/>
      <c r="FY1246" s="875"/>
      <c r="FZ1246" s="875"/>
      <c r="GA1246" s="875"/>
      <c r="GB1246" s="876"/>
      <c r="GC1246" s="370"/>
      <c r="GD1246" s="453"/>
      <c r="GE1246" s="453"/>
      <c r="GF1246" s="453"/>
      <c r="GG1246" s="453"/>
      <c r="GH1246" s="454"/>
      <c r="GI1246" s="453"/>
      <c r="GJ1246" s="453"/>
      <c r="GK1246" s="453"/>
      <c r="GL1246" s="453"/>
      <c r="GM1246" s="453"/>
      <c r="GN1246" s="453"/>
      <c r="GO1246" s="453"/>
      <c r="GP1246" s="453"/>
      <c r="GQ1246" s="453"/>
      <c r="GR1246" s="453"/>
      <c r="GS1246" s="561"/>
      <c r="GT1246" s="475"/>
      <c r="GU1246" s="472"/>
      <c r="GV1246" s="453"/>
      <c r="GW1246" s="453"/>
      <c r="GX1246" s="869"/>
      <c r="GY1246" s="870"/>
      <c r="GZ1246" s="867"/>
      <c r="HA1246" s="868"/>
      <c r="HB1246" s="473"/>
      <c r="HC1246" s="869"/>
      <c r="HD1246" s="870"/>
      <c r="HE1246" s="867"/>
      <c r="HF1246" s="868"/>
      <c r="HG1246" s="473"/>
      <c r="HH1246" s="867"/>
      <c r="HI1246" s="868"/>
      <c r="HJ1246" s="867"/>
      <c r="HK1246" s="868"/>
      <c r="HL1246" s="370"/>
      <c r="HM1246" s="865"/>
      <c r="HN1246" s="866"/>
      <c r="HO1246" s="865"/>
      <c r="HP1246" s="866"/>
      <c r="HQ1246" s="865"/>
      <c r="HR1246" s="866"/>
      <c r="HS1246" s="867"/>
      <c r="HT1246" s="868"/>
      <c r="HU1246" s="489"/>
      <c r="HV1246" s="865"/>
      <c r="HW1246" s="866"/>
    </row>
    <row r="1247" spans="25:231" ht="15" customHeight="1">
      <c r="Y1247" s="332"/>
      <c r="Z1247" s="332"/>
      <c r="AA1247" s="332"/>
      <c r="AB1247" s="332"/>
      <c r="AC1247" s="332"/>
      <c r="AD1247" s="332"/>
      <c r="AE1247" s="332"/>
      <c r="AF1247" s="332"/>
      <c r="AG1247" s="332"/>
      <c r="AH1247" s="332"/>
      <c r="AI1247" s="332"/>
      <c r="AJ1247" s="332"/>
      <c r="AK1247" s="332"/>
      <c r="AL1247" s="332"/>
      <c r="AM1247" s="332"/>
      <c r="AN1247" s="332"/>
      <c r="AO1247" s="332"/>
      <c r="AP1247" s="332"/>
      <c r="AQ1247" s="332"/>
      <c r="AR1247" s="332"/>
      <c r="AS1247" s="332"/>
      <c r="AT1247" s="332"/>
      <c r="AU1247" s="332"/>
      <c r="AV1247" s="332"/>
      <c r="AW1247" s="332"/>
      <c r="AX1247" s="332"/>
      <c r="AY1247" s="332"/>
      <c r="AZ1247" s="332"/>
      <c r="BA1247" s="332"/>
      <c r="BB1247" s="332"/>
      <c r="BC1247" s="332"/>
      <c r="BD1247" s="332"/>
      <c r="BE1247" s="332"/>
      <c r="BF1247" s="332"/>
      <c r="BG1247" s="332"/>
      <c r="BH1247" s="332"/>
      <c r="BI1247" s="332"/>
      <c r="BJ1247" s="332"/>
      <c r="BK1247" s="332"/>
      <c r="BL1247" s="332"/>
      <c r="BM1247" s="332"/>
      <c r="BN1247" s="332"/>
      <c r="BO1247" s="332"/>
      <c r="BP1247" s="332"/>
      <c r="BQ1247" s="332"/>
      <c r="BR1247" s="332"/>
      <c r="BS1247" s="332"/>
      <c r="BT1247" s="332"/>
      <c r="BU1247" s="332"/>
      <c r="BV1247" s="332"/>
      <c r="BW1247" s="332"/>
      <c r="BX1247" s="332"/>
      <c r="BY1247" s="332"/>
      <c r="BZ1247" s="332"/>
      <c r="CA1247" s="332"/>
      <c r="CB1247" s="332"/>
      <c r="CC1247" s="332"/>
      <c r="CD1247" s="332"/>
      <c r="CE1247" s="332"/>
      <c r="CF1247" s="332"/>
      <c r="CG1247" s="332"/>
      <c r="CH1247" s="332"/>
      <c r="CI1247" s="332"/>
      <c r="CJ1247" s="332"/>
      <c r="CK1247" s="332"/>
      <c r="CL1247" s="332"/>
      <c r="CM1247" s="332"/>
      <c r="CN1247" s="332"/>
      <c r="CO1247" s="332"/>
      <c r="CP1247" s="332"/>
      <c r="CQ1247" s="332"/>
      <c r="CR1247" s="332"/>
      <c r="CS1247" s="332"/>
      <c r="CT1247" s="332"/>
      <c r="CU1247" s="332"/>
      <c r="CV1247" s="332"/>
      <c r="CW1247" s="332"/>
      <c r="CX1247" s="332"/>
      <c r="CY1247" s="332"/>
      <c r="CZ1247" s="332"/>
      <c r="DA1247" s="332"/>
      <c r="DB1247" s="332"/>
      <c r="DC1247" s="332"/>
      <c r="DD1247" s="332"/>
      <c r="DE1247" s="332"/>
      <c r="DF1247" s="332"/>
      <c r="DG1247" s="332"/>
      <c r="DH1247" s="332"/>
      <c r="DI1247" s="332"/>
      <c r="DJ1247" s="332"/>
      <c r="DK1247" s="332"/>
      <c r="DL1247" s="332"/>
      <c r="DM1247" s="332"/>
      <c r="DN1247" s="332"/>
      <c r="DO1247" s="332"/>
      <c r="DP1247" s="332"/>
      <c r="DQ1247" s="332"/>
      <c r="DR1247" s="332"/>
      <c r="DS1247" s="332"/>
      <c r="DT1247" s="332"/>
      <c r="DU1247" s="453"/>
      <c r="DV1247" s="453"/>
      <c r="DW1247" s="453"/>
      <c r="DX1247" s="453"/>
      <c r="DY1247" s="453"/>
      <c r="DZ1247" s="453"/>
      <c r="EA1247" s="453"/>
      <c r="EB1247" s="453"/>
      <c r="EC1247" s="453"/>
      <c r="ED1247" s="453"/>
      <c r="EE1247" s="453"/>
      <c r="EF1247" s="453"/>
      <c r="EG1247" s="453"/>
      <c r="EH1247" s="453"/>
      <c r="EI1247" s="453"/>
      <c r="EJ1247" s="453"/>
      <c r="EK1247" s="453"/>
      <c r="EL1247" s="453"/>
      <c r="EM1247" s="483">
        <f t="shared" si="257"/>
        <v>938</v>
      </c>
      <c r="EN1247" s="485"/>
      <c r="EO1247" s="458"/>
      <c r="EP1247" s="467"/>
      <c r="EQ1247" s="457"/>
      <c r="ER1247" s="808"/>
      <c r="ES1247" s="881">
        <f t="shared" si="258"/>
        <v>0</v>
      </c>
      <c r="ET1247" s="882"/>
      <c r="EU1247" s="883"/>
      <c r="EV1247" s="884">
        <f t="shared" si="259"/>
        <v>0</v>
      </c>
      <c r="EW1247" s="885"/>
      <c r="EX1247" s="885"/>
      <c r="EY1247" s="885"/>
      <c r="EZ1247" s="885"/>
      <c r="FA1247" s="885"/>
      <c r="FB1247" s="885"/>
      <c r="FC1247" s="885"/>
      <c r="FD1247" s="886"/>
      <c r="FE1247" s="877"/>
      <c r="FF1247" s="877"/>
      <c r="FG1247" s="877"/>
      <c r="FH1247" s="877"/>
      <c r="FI1247" s="877"/>
      <c r="FJ1247" s="877"/>
      <c r="FK1247" s="877"/>
      <c r="FL1247" s="874"/>
      <c r="FM1247" s="875"/>
      <c r="FN1247" s="875"/>
      <c r="FO1247" s="875"/>
      <c r="FP1247" s="875"/>
      <c r="FQ1247" s="875"/>
      <c r="FR1247" s="875"/>
      <c r="FS1247" s="875"/>
      <c r="FT1247" s="875"/>
      <c r="FU1247" s="875"/>
      <c r="FV1247" s="875"/>
      <c r="FW1247" s="875"/>
      <c r="FX1247" s="875"/>
      <c r="FY1247" s="875"/>
      <c r="FZ1247" s="875"/>
      <c r="GA1247" s="875"/>
      <c r="GB1247" s="876"/>
      <c r="GC1247" s="370"/>
      <c r="GD1247" s="453"/>
      <c r="GE1247" s="453"/>
      <c r="GF1247" s="453"/>
      <c r="GG1247" s="453"/>
      <c r="GH1247" s="454"/>
      <c r="GI1247" s="453"/>
      <c r="GJ1247" s="453"/>
      <c r="GK1247" s="453"/>
      <c r="GL1247" s="453"/>
      <c r="GM1247" s="453"/>
      <c r="GN1247" s="453"/>
      <c r="GO1247" s="453"/>
      <c r="GP1247" s="453"/>
      <c r="GQ1247" s="453"/>
      <c r="GR1247" s="453"/>
      <c r="GS1247" s="561"/>
      <c r="GT1247" s="475"/>
      <c r="GU1247" s="472"/>
      <c r="GV1247" s="453"/>
      <c r="GW1247" s="453"/>
      <c r="GX1247" s="869"/>
      <c r="GY1247" s="870"/>
      <c r="GZ1247" s="867"/>
      <c r="HA1247" s="868"/>
      <c r="HB1247" s="473"/>
      <c r="HC1247" s="869"/>
      <c r="HD1247" s="870"/>
      <c r="HE1247" s="867"/>
      <c r="HF1247" s="868"/>
      <c r="HG1247" s="473"/>
      <c r="HH1247" s="867"/>
      <c r="HI1247" s="868"/>
      <c r="HJ1247" s="867"/>
      <c r="HK1247" s="868"/>
      <c r="HL1247" s="370"/>
      <c r="HM1247" s="865"/>
      <c r="HN1247" s="866"/>
      <c r="HO1247" s="865"/>
      <c r="HP1247" s="866"/>
      <c r="HQ1247" s="865"/>
      <c r="HR1247" s="866"/>
      <c r="HS1247" s="867"/>
      <c r="HT1247" s="868"/>
      <c r="HU1247" s="489"/>
      <c r="HV1247" s="865"/>
      <c r="HW1247" s="866"/>
    </row>
    <row r="1248" spans="25:231" ht="15" customHeight="1">
      <c r="Y1248" s="332"/>
      <c r="Z1248" s="332"/>
      <c r="AA1248" s="332"/>
      <c r="AB1248" s="332"/>
      <c r="AC1248" s="332"/>
      <c r="AD1248" s="332"/>
      <c r="AE1248" s="332"/>
      <c r="AF1248" s="332"/>
      <c r="AG1248" s="332"/>
      <c r="AH1248" s="332"/>
      <c r="AI1248" s="332"/>
      <c r="AJ1248" s="332"/>
      <c r="AK1248" s="332"/>
      <c r="AL1248" s="332"/>
      <c r="AM1248" s="332"/>
      <c r="AN1248" s="332"/>
      <c r="AO1248" s="332"/>
      <c r="AP1248" s="332"/>
      <c r="AQ1248" s="332"/>
      <c r="AR1248" s="332"/>
      <c r="AS1248" s="332"/>
      <c r="AT1248" s="332"/>
      <c r="AU1248" s="332"/>
      <c r="AV1248" s="332"/>
      <c r="AW1248" s="332"/>
      <c r="AX1248" s="332"/>
      <c r="AY1248" s="332"/>
      <c r="AZ1248" s="332"/>
      <c r="BA1248" s="332"/>
      <c r="BB1248" s="332"/>
      <c r="BC1248" s="332"/>
      <c r="BD1248" s="332"/>
      <c r="BE1248" s="332"/>
      <c r="BF1248" s="332"/>
      <c r="BG1248" s="332"/>
      <c r="BH1248" s="332"/>
      <c r="BI1248" s="332"/>
      <c r="BJ1248" s="332"/>
      <c r="BK1248" s="332"/>
      <c r="BL1248" s="332"/>
      <c r="BM1248" s="332"/>
      <c r="BN1248" s="332"/>
      <c r="BO1248" s="332"/>
      <c r="BP1248" s="332"/>
      <c r="BQ1248" s="332"/>
      <c r="BR1248" s="332"/>
      <c r="BS1248" s="332"/>
      <c r="BT1248" s="332"/>
      <c r="BU1248" s="332"/>
      <c r="BV1248" s="332"/>
      <c r="BW1248" s="332"/>
      <c r="BX1248" s="332"/>
      <c r="BY1248" s="332"/>
      <c r="BZ1248" s="332"/>
      <c r="CA1248" s="332"/>
      <c r="CB1248" s="332"/>
      <c r="CC1248" s="332"/>
      <c r="CD1248" s="332"/>
      <c r="CE1248" s="332"/>
      <c r="CF1248" s="332"/>
      <c r="CG1248" s="332"/>
      <c r="CH1248" s="332"/>
      <c r="CI1248" s="332"/>
      <c r="CJ1248" s="332"/>
      <c r="CK1248" s="332"/>
      <c r="CL1248" s="332"/>
      <c r="CM1248" s="332"/>
      <c r="CN1248" s="332"/>
      <c r="CO1248" s="332"/>
      <c r="CP1248" s="332"/>
      <c r="CQ1248" s="332"/>
      <c r="CR1248" s="332"/>
      <c r="CS1248" s="332"/>
      <c r="CT1248" s="332"/>
      <c r="CU1248" s="332"/>
      <c r="CV1248" s="332"/>
      <c r="CW1248" s="332"/>
      <c r="CX1248" s="332"/>
      <c r="CY1248" s="332"/>
      <c r="CZ1248" s="332"/>
      <c r="DA1248" s="332"/>
      <c r="DB1248" s="332"/>
      <c r="DC1248" s="332"/>
      <c r="DD1248" s="332"/>
      <c r="DE1248" s="332"/>
      <c r="DF1248" s="332"/>
      <c r="DG1248" s="332"/>
      <c r="DH1248" s="332"/>
      <c r="DI1248" s="332"/>
      <c r="DJ1248" s="332"/>
      <c r="DK1248" s="332"/>
      <c r="DL1248" s="332"/>
      <c r="DM1248" s="332"/>
      <c r="DN1248" s="332"/>
      <c r="DO1248" s="332"/>
      <c r="DP1248" s="332"/>
      <c r="DQ1248" s="332"/>
      <c r="DR1248" s="332"/>
      <c r="DS1248" s="332"/>
      <c r="DT1248" s="332"/>
      <c r="DU1248" s="453"/>
      <c r="DV1248" s="453"/>
      <c r="DW1248" s="453"/>
      <c r="DX1248" s="453"/>
      <c r="DY1248" s="453"/>
      <c r="DZ1248" s="453"/>
      <c r="EA1248" s="453"/>
      <c r="EB1248" s="453"/>
      <c r="EC1248" s="453"/>
      <c r="ED1248" s="453"/>
      <c r="EE1248" s="453"/>
      <c r="EF1248" s="453"/>
      <c r="EG1248" s="453"/>
      <c r="EH1248" s="453"/>
      <c r="EI1248" s="453"/>
      <c r="EJ1248" s="453"/>
      <c r="EK1248" s="453"/>
      <c r="EL1248" s="453"/>
      <c r="EM1248" s="483">
        <f t="shared" si="257"/>
        <v>939</v>
      </c>
      <c r="EN1248" s="485"/>
      <c r="EO1248" s="458"/>
      <c r="EP1248" s="467"/>
      <c r="EQ1248" s="457"/>
      <c r="ER1248" s="808"/>
      <c r="ES1248" s="881">
        <f t="shared" si="258"/>
        <v>0</v>
      </c>
      <c r="ET1248" s="882"/>
      <c r="EU1248" s="883"/>
      <c r="EV1248" s="884">
        <f t="shared" si="259"/>
        <v>0</v>
      </c>
      <c r="EW1248" s="885"/>
      <c r="EX1248" s="885"/>
      <c r="EY1248" s="885"/>
      <c r="EZ1248" s="885"/>
      <c r="FA1248" s="885"/>
      <c r="FB1248" s="885"/>
      <c r="FC1248" s="885"/>
      <c r="FD1248" s="886"/>
      <c r="FE1248" s="877"/>
      <c r="FF1248" s="877"/>
      <c r="FG1248" s="877"/>
      <c r="FH1248" s="877"/>
      <c r="FI1248" s="877"/>
      <c r="FJ1248" s="877"/>
      <c r="FK1248" s="877"/>
      <c r="FL1248" s="874"/>
      <c r="FM1248" s="875"/>
      <c r="FN1248" s="875"/>
      <c r="FO1248" s="875"/>
      <c r="FP1248" s="875"/>
      <c r="FQ1248" s="875"/>
      <c r="FR1248" s="875"/>
      <c r="FS1248" s="875"/>
      <c r="FT1248" s="875"/>
      <c r="FU1248" s="875"/>
      <c r="FV1248" s="875"/>
      <c r="FW1248" s="875"/>
      <c r="FX1248" s="875"/>
      <c r="FY1248" s="875"/>
      <c r="FZ1248" s="875"/>
      <c r="GA1248" s="875"/>
      <c r="GB1248" s="876"/>
      <c r="GC1248" s="370"/>
      <c r="GD1248" s="453"/>
      <c r="GE1248" s="453"/>
      <c r="GF1248" s="453"/>
      <c r="GG1248" s="453"/>
      <c r="GH1248" s="454"/>
      <c r="GI1248" s="453"/>
      <c r="GJ1248" s="453"/>
      <c r="GK1248" s="453"/>
      <c r="GL1248" s="453"/>
      <c r="GM1248" s="453"/>
      <c r="GN1248" s="453"/>
      <c r="GO1248" s="453"/>
      <c r="GP1248" s="453"/>
      <c r="GQ1248" s="453"/>
      <c r="GR1248" s="453"/>
      <c r="GS1248" s="561"/>
      <c r="GT1248" s="475"/>
      <c r="GU1248" s="472"/>
      <c r="GV1248" s="453"/>
      <c r="GW1248" s="453"/>
      <c r="GX1248" s="869"/>
      <c r="GY1248" s="870"/>
      <c r="GZ1248" s="867"/>
      <c r="HA1248" s="868"/>
      <c r="HB1248" s="473"/>
      <c r="HC1248" s="869"/>
      <c r="HD1248" s="870"/>
      <c r="HE1248" s="867"/>
      <c r="HF1248" s="868"/>
      <c r="HG1248" s="473"/>
      <c r="HH1248" s="867"/>
      <c r="HI1248" s="868"/>
      <c r="HJ1248" s="867"/>
      <c r="HK1248" s="868"/>
      <c r="HL1248" s="370"/>
      <c r="HM1248" s="865"/>
      <c r="HN1248" s="866"/>
      <c r="HO1248" s="865"/>
      <c r="HP1248" s="866"/>
      <c r="HQ1248" s="865"/>
      <c r="HR1248" s="866"/>
      <c r="HS1248" s="867"/>
      <c r="HT1248" s="868"/>
      <c r="HU1248" s="489"/>
      <c r="HV1248" s="865"/>
      <c r="HW1248" s="866"/>
    </row>
    <row r="1249" spans="25:231" ht="15" customHeight="1">
      <c r="Y1249" s="332"/>
      <c r="Z1249" s="332"/>
      <c r="AA1249" s="332"/>
      <c r="AB1249" s="332"/>
      <c r="AC1249" s="332"/>
      <c r="AD1249" s="332"/>
      <c r="AE1249" s="332"/>
      <c r="AF1249" s="332"/>
      <c r="AG1249" s="332"/>
      <c r="AH1249" s="332"/>
      <c r="AI1249" s="332"/>
      <c r="AJ1249" s="332"/>
      <c r="AK1249" s="332"/>
      <c r="AL1249" s="332"/>
      <c r="AM1249" s="332"/>
      <c r="AN1249" s="332"/>
      <c r="AO1249" s="332"/>
      <c r="AP1249" s="332"/>
      <c r="AQ1249" s="332"/>
      <c r="AR1249" s="332"/>
      <c r="AS1249" s="332"/>
      <c r="AT1249" s="332"/>
      <c r="AU1249" s="332"/>
      <c r="AV1249" s="332"/>
      <c r="AW1249" s="332"/>
      <c r="AX1249" s="332"/>
      <c r="AY1249" s="332"/>
      <c r="AZ1249" s="332"/>
      <c r="BA1249" s="332"/>
      <c r="BB1249" s="332"/>
      <c r="BC1249" s="332"/>
      <c r="BD1249" s="332"/>
      <c r="BE1249" s="332"/>
      <c r="BF1249" s="332"/>
      <c r="BG1249" s="332"/>
      <c r="BH1249" s="332"/>
      <c r="BI1249" s="332"/>
      <c r="BJ1249" s="332"/>
      <c r="BK1249" s="332"/>
      <c r="BL1249" s="332"/>
      <c r="BM1249" s="332"/>
      <c r="BN1249" s="332"/>
      <c r="BO1249" s="332"/>
      <c r="BP1249" s="332"/>
      <c r="BQ1249" s="332"/>
      <c r="BR1249" s="332"/>
      <c r="BS1249" s="332"/>
      <c r="BT1249" s="332"/>
      <c r="BU1249" s="332"/>
      <c r="BV1249" s="332"/>
      <c r="BW1249" s="332"/>
      <c r="BX1249" s="332"/>
      <c r="BY1249" s="332"/>
      <c r="BZ1249" s="332"/>
      <c r="CA1249" s="332"/>
      <c r="CB1249" s="332"/>
      <c r="CC1249" s="332"/>
      <c r="CD1249" s="332"/>
      <c r="CE1249" s="332"/>
      <c r="CF1249" s="332"/>
      <c r="CG1249" s="332"/>
      <c r="CH1249" s="332"/>
      <c r="CI1249" s="332"/>
      <c r="CJ1249" s="332"/>
      <c r="CK1249" s="332"/>
      <c r="CL1249" s="332"/>
      <c r="CM1249" s="332"/>
      <c r="CN1249" s="332"/>
      <c r="CO1249" s="332"/>
      <c r="CP1249" s="332"/>
      <c r="CQ1249" s="332"/>
      <c r="CR1249" s="332"/>
      <c r="CS1249" s="332"/>
      <c r="CT1249" s="332"/>
      <c r="CU1249" s="332"/>
      <c r="CV1249" s="332"/>
      <c r="CW1249" s="332"/>
      <c r="CX1249" s="332"/>
      <c r="CY1249" s="332"/>
      <c r="CZ1249" s="332"/>
      <c r="DA1249" s="332"/>
      <c r="DB1249" s="332"/>
      <c r="DC1249" s="332"/>
      <c r="DD1249" s="332"/>
      <c r="DE1249" s="332"/>
      <c r="DF1249" s="332"/>
      <c r="DG1249" s="332"/>
      <c r="DH1249" s="332"/>
      <c r="DI1249" s="332"/>
      <c r="DJ1249" s="332"/>
      <c r="DK1249" s="332"/>
      <c r="DL1249" s="332"/>
      <c r="DM1249" s="332"/>
      <c r="DN1249" s="332"/>
      <c r="DO1249" s="332"/>
      <c r="DP1249" s="332"/>
      <c r="DQ1249" s="332"/>
      <c r="DR1249" s="332"/>
      <c r="DS1249" s="332"/>
      <c r="DT1249" s="332"/>
      <c r="DU1249" s="453"/>
      <c r="DV1249" s="453"/>
      <c r="DW1249" s="453"/>
      <c r="DX1249" s="453"/>
      <c r="DY1249" s="453"/>
      <c r="DZ1249" s="453"/>
      <c r="EA1249" s="453"/>
      <c r="EB1249" s="453"/>
      <c r="EC1249" s="453"/>
      <c r="ED1249" s="453"/>
      <c r="EE1249" s="453"/>
      <c r="EF1249" s="453"/>
      <c r="EG1249" s="453"/>
      <c r="EH1249" s="453"/>
      <c r="EI1249" s="453"/>
      <c r="EJ1249" s="453"/>
      <c r="EK1249" s="453"/>
      <c r="EL1249" s="453"/>
      <c r="EM1249" s="483">
        <f t="shared" si="257"/>
        <v>940</v>
      </c>
      <c r="EN1249" s="485"/>
      <c r="EO1249" s="458"/>
      <c r="EP1249" s="467"/>
      <c r="EQ1249" s="457"/>
      <c r="ER1249" s="808"/>
      <c r="ES1249" s="881">
        <f t="shared" si="258"/>
        <v>0</v>
      </c>
      <c r="ET1249" s="882"/>
      <c r="EU1249" s="883"/>
      <c r="EV1249" s="884">
        <f t="shared" si="259"/>
        <v>0</v>
      </c>
      <c r="EW1249" s="885"/>
      <c r="EX1249" s="885"/>
      <c r="EY1249" s="885"/>
      <c r="EZ1249" s="885"/>
      <c r="FA1249" s="885"/>
      <c r="FB1249" s="885"/>
      <c r="FC1249" s="885"/>
      <c r="FD1249" s="886"/>
      <c r="FE1249" s="877"/>
      <c r="FF1249" s="877"/>
      <c r="FG1249" s="877"/>
      <c r="FH1249" s="877"/>
      <c r="FI1249" s="877"/>
      <c r="FJ1249" s="877"/>
      <c r="FK1249" s="877"/>
      <c r="FL1249" s="874"/>
      <c r="FM1249" s="875"/>
      <c r="FN1249" s="875"/>
      <c r="FO1249" s="875"/>
      <c r="FP1249" s="875"/>
      <c r="FQ1249" s="875"/>
      <c r="FR1249" s="875"/>
      <c r="FS1249" s="875"/>
      <c r="FT1249" s="875"/>
      <c r="FU1249" s="875"/>
      <c r="FV1249" s="875"/>
      <c r="FW1249" s="875"/>
      <c r="FX1249" s="875"/>
      <c r="FY1249" s="875"/>
      <c r="FZ1249" s="875"/>
      <c r="GA1249" s="875"/>
      <c r="GB1249" s="876"/>
      <c r="GC1249" s="370"/>
      <c r="GD1249" s="453"/>
      <c r="GE1249" s="453"/>
      <c r="GF1249" s="453"/>
      <c r="GG1249" s="453"/>
      <c r="GH1249" s="454"/>
      <c r="GI1249" s="453"/>
      <c r="GJ1249" s="453"/>
      <c r="GK1249" s="453"/>
      <c r="GL1249" s="453"/>
      <c r="GM1249" s="453"/>
      <c r="GN1249" s="453"/>
      <c r="GO1249" s="453"/>
      <c r="GP1249" s="453"/>
      <c r="GQ1249" s="453"/>
      <c r="GR1249" s="453"/>
      <c r="GS1249" s="561"/>
      <c r="GT1249" s="475"/>
      <c r="GU1249" s="472"/>
      <c r="GV1249" s="453"/>
      <c r="GW1249" s="453"/>
      <c r="GX1249" s="869"/>
      <c r="GY1249" s="870"/>
      <c r="GZ1249" s="867"/>
      <c r="HA1249" s="868"/>
      <c r="HB1249" s="473"/>
      <c r="HC1249" s="869"/>
      <c r="HD1249" s="870"/>
      <c r="HE1249" s="867"/>
      <c r="HF1249" s="868"/>
      <c r="HG1249" s="473"/>
      <c r="HH1249" s="867"/>
      <c r="HI1249" s="868"/>
      <c r="HJ1249" s="867"/>
      <c r="HK1249" s="868"/>
      <c r="HL1249" s="370"/>
      <c r="HM1249" s="865"/>
      <c r="HN1249" s="866"/>
      <c r="HO1249" s="865"/>
      <c r="HP1249" s="866"/>
      <c r="HQ1249" s="865"/>
      <c r="HR1249" s="866"/>
      <c r="HS1249" s="867"/>
      <c r="HT1249" s="868"/>
      <c r="HU1249" s="489"/>
      <c r="HV1249" s="865"/>
      <c r="HW1249" s="866"/>
    </row>
    <row r="1250" spans="25:231" ht="15" customHeight="1">
      <c r="Y1250" s="332"/>
      <c r="Z1250" s="332"/>
      <c r="AA1250" s="332"/>
      <c r="AB1250" s="332"/>
      <c r="AC1250" s="332"/>
      <c r="AD1250" s="332"/>
      <c r="AE1250" s="332"/>
      <c r="AF1250" s="332"/>
      <c r="AG1250" s="332"/>
      <c r="AH1250" s="332"/>
      <c r="AI1250" s="332"/>
      <c r="AJ1250" s="332"/>
      <c r="AK1250" s="332"/>
      <c r="AL1250" s="332"/>
      <c r="AM1250" s="332"/>
      <c r="AN1250" s="332"/>
      <c r="AO1250" s="332"/>
      <c r="AP1250" s="332"/>
      <c r="AQ1250" s="332"/>
      <c r="AR1250" s="332"/>
      <c r="AS1250" s="332"/>
      <c r="AT1250" s="332"/>
      <c r="AU1250" s="332"/>
      <c r="AV1250" s="332"/>
      <c r="AW1250" s="332"/>
      <c r="AX1250" s="332"/>
      <c r="AY1250" s="332"/>
      <c r="AZ1250" s="332"/>
      <c r="BA1250" s="332"/>
      <c r="BB1250" s="332"/>
      <c r="BC1250" s="332"/>
      <c r="BD1250" s="332"/>
      <c r="BE1250" s="332"/>
      <c r="BF1250" s="332"/>
      <c r="BG1250" s="332"/>
      <c r="BH1250" s="332"/>
      <c r="BI1250" s="332"/>
      <c r="BJ1250" s="332"/>
      <c r="BK1250" s="332"/>
      <c r="BL1250" s="332"/>
      <c r="BM1250" s="332"/>
      <c r="BN1250" s="332"/>
      <c r="BO1250" s="332"/>
      <c r="BP1250" s="332"/>
      <c r="BQ1250" s="332"/>
      <c r="BR1250" s="332"/>
      <c r="BS1250" s="332"/>
      <c r="BT1250" s="332"/>
      <c r="BU1250" s="332"/>
      <c r="BV1250" s="332"/>
      <c r="BW1250" s="332"/>
      <c r="BX1250" s="332"/>
      <c r="BY1250" s="332"/>
      <c r="BZ1250" s="332"/>
      <c r="CA1250" s="332"/>
      <c r="CB1250" s="332"/>
      <c r="CC1250" s="332"/>
      <c r="CD1250" s="332"/>
      <c r="CE1250" s="332"/>
      <c r="CF1250" s="332"/>
      <c r="CG1250" s="332"/>
      <c r="CH1250" s="332"/>
      <c r="CI1250" s="332"/>
      <c r="CJ1250" s="332"/>
      <c r="CK1250" s="332"/>
      <c r="CL1250" s="332"/>
      <c r="CM1250" s="332"/>
      <c r="CN1250" s="332"/>
      <c r="CO1250" s="332"/>
      <c r="CP1250" s="332"/>
      <c r="CQ1250" s="332"/>
      <c r="CR1250" s="332"/>
      <c r="CS1250" s="332"/>
      <c r="CT1250" s="332"/>
      <c r="CU1250" s="332"/>
      <c r="CV1250" s="332"/>
      <c r="CW1250" s="332"/>
      <c r="CX1250" s="332"/>
      <c r="CY1250" s="332"/>
      <c r="CZ1250" s="332"/>
      <c r="DA1250" s="332"/>
      <c r="DB1250" s="332"/>
      <c r="DC1250" s="332"/>
      <c r="DD1250" s="332"/>
      <c r="DE1250" s="332"/>
      <c r="DF1250" s="332"/>
      <c r="DG1250" s="332"/>
      <c r="DH1250" s="332"/>
      <c r="DI1250" s="332"/>
      <c r="DJ1250" s="332"/>
      <c r="DK1250" s="332"/>
      <c r="DL1250" s="332"/>
      <c r="DM1250" s="332"/>
      <c r="DN1250" s="332"/>
      <c r="DO1250" s="332"/>
      <c r="DP1250" s="332"/>
      <c r="DQ1250" s="332"/>
      <c r="DR1250" s="332"/>
      <c r="DS1250" s="332"/>
      <c r="DT1250" s="332"/>
      <c r="DU1250" s="453"/>
      <c r="DV1250" s="453"/>
      <c r="DW1250" s="453"/>
      <c r="DX1250" s="453"/>
      <c r="DY1250" s="453"/>
      <c r="DZ1250" s="453"/>
      <c r="EA1250" s="453"/>
      <c r="EB1250" s="453"/>
      <c r="EC1250" s="453"/>
      <c r="ED1250" s="453"/>
      <c r="EE1250" s="453"/>
      <c r="EF1250" s="453"/>
      <c r="EG1250" s="453"/>
      <c r="EH1250" s="453"/>
      <c r="EI1250" s="453"/>
      <c r="EJ1250" s="453"/>
      <c r="EK1250" s="453"/>
      <c r="EL1250" s="453"/>
      <c r="EM1250" s="483">
        <f t="shared" si="257"/>
        <v>941</v>
      </c>
      <c r="EN1250" s="485"/>
      <c r="EO1250" s="458"/>
      <c r="EP1250" s="467"/>
      <c r="EQ1250" s="457"/>
      <c r="ER1250" s="808"/>
      <c r="ES1250" s="881">
        <f t="shared" si="258"/>
        <v>0</v>
      </c>
      <c r="ET1250" s="882"/>
      <c r="EU1250" s="883"/>
      <c r="EV1250" s="884">
        <f t="shared" si="259"/>
        <v>0</v>
      </c>
      <c r="EW1250" s="885"/>
      <c r="EX1250" s="885"/>
      <c r="EY1250" s="885"/>
      <c r="EZ1250" s="885"/>
      <c r="FA1250" s="885"/>
      <c r="FB1250" s="885"/>
      <c r="FC1250" s="885"/>
      <c r="FD1250" s="886"/>
      <c r="FE1250" s="877"/>
      <c r="FF1250" s="877"/>
      <c r="FG1250" s="877"/>
      <c r="FH1250" s="877"/>
      <c r="FI1250" s="877"/>
      <c r="FJ1250" s="877"/>
      <c r="FK1250" s="877"/>
      <c r="FL1250" s="874"/>
      <c r="FM1250" s="875"/>
      <c r="FN1250" s="875"/>
      <c r="FO1250" s="875"/>
      <c r="FP1250" s="875"/>
      <c r="FQ1250" s="875"/>
      <c r="FR1250" s="875"/>
      <c r="FS1250" s="875"/>
      <c r="FT1250" s="875"/>
      <c r="FU1250" s="875"/>
      <c r="FV1250" s="875"/>
      <c r="FW1250" s="875"/>
      <c r="FX1250" s="875"/>
      <c r="FY1250" s="875"/>
      <c r="FZ1250" s="875"/>
      <c r="GA1250" s="875"/>
      <c r="GB1250" s="876"/>
      <c r="GC1250" s="370"/>
      <c r="GD1250" s="453"/>
      <c r="GE1250" s="453"/>
      <c r="GF1250" s="453"/>
      <c r="GG1250" s="453"/>
      <c r="GH1250" s="454"/>
      <c r="GI1250" s="453"/>
      <c r="GJ1250" s="453"/>
      <c r="GK1250" s="453"/>
      <c r="GL1250" s="453"/>
      <c r="GM1250" s="453"/>
      <c r="GN1250" s="453"/>
      <c r="GO1250" s="453"/>
      <c r="GP1250" s="453"/>
      <c r="GQ1250" s="453"/>
      <c r="GR1250" s="453"/>
      <c r="GS1250" s="561"/>
      <c r="GT1250" s="475"/>
      <c r="GU1250" s="472"/>
      <c r="GV1250" s="453"/>
      <c r="GW1250" s="453"/>
      <c r="GX1250" s="869"/>
      <c r="GY1250" s="870"/>
      <c r="GZ1250" s="867"/>
      <c r="HA1250" s="868"/>
      <c r="HB1250" s="473"/>
      <c r="HC1250" s="869"/>
      <c r="HD1250" s="870"/>
      <c r="HE1250" s="867"/>
      <c r="HF1250" s="868"/>
      <c r="HG1250" s="473"/>
      <c r="HH1250" s="867"/>
      <c r="HI1250" s="868"/>
      <c r="HJ1250" s="867"/>
      <c r="HK1250" s="868"/>
      <c r="HL1250" s="370"/>
      <c r="HM1250" s="865"/>
      <c r="HN1250" s="866"/>
      <c r="HO1250" s="865"/>
      <c r="HP1250" s="866"/>
      <c r="HQ1250" s="865"/>
      <c r="HR1250" s="866"/>
      <c r="HS1250" s="867"/>
      <c r="HT1250" s="868"/>
      <c r="HU1250" s="489"/>
      <c r="HV1250" s="865"/>
      <c r="HW1250" s="866"/>
    </row>
    <row r="1251" spans="25:231" ht="15" customHeight="1">
      <c r="Y1251" s="332"/>
      <c r="Z1251" s="332"/>
      <c r="AA1251" s="332"/>
      <c r="AB1251" s="332"/>
      <c r="AC1251" s="332"/>
      <c r="AD1251" s="332"/>
      <c r="AE1251" s="332"/>
      <c r="AF1251" s="332"/>
      <c r="AG1251" s="332"/>
      <c r="AH1251" s="332"/>
      <c r="AI1251" s="332"/>
      <c r="AJ1251" s="332"/>
      <c r="AK1251" s="332"/>
      <c r="AL1251" s="332"/>
      <c r="AM1251" s="332"/>
      <c r="AN1251" s="332"/>
      <c r="AO1251" s="332"/>
      <c r="AP1251" s="332"/>
      <c r="AQ1251" s="332"/>
      <c r="AR1251" s="332"/>
      <c r="AS1251" s="332"/>
      <c r="AT1251" s="332"/>
      <c r="AU1251" s="332"/>
      <c r="AV1251" s="332"/>
      <c r="AW1251" s="332"/>
      <c r="AX1251" s="332"/>
      <c r="AY1251" s="332"/>
      <c r="AZ1251" s="332"/>
      <c r="BA1251" s="332"/>
      <c r="BB1251" s="332"/>
      <c r="BC1251" s="332"/>
      <c r="BD1251" s="332"/>
      <c r="BE1251" s="332"/>
      <c r="BF1251" s="332"/>
      <c r="BG1251" s="332"/>
      <c r="BH1251" s="332"/>
      <c r="BI1251" s="332"/>
      <c r="BJ1251" s="332"/>
      <c r="BK1251" s="332"/>
      <c r="BL1251" s="332"/>
      <c r="BM1251" s="332"/>
      <c r="BN1251" s="332"/>
      <c r="BO1251" s="332"/>
      <c r="BP1251" s="332"/>
      <c r="BQ1251" s="332"/>
      <c r="BR1251" s="332"/>
      <c r="BS1251" s="332"/>
      <c r="BT1251" s="332"/>
      <c r="BU1251" s="332"/>
      <c r="BV1251" s="332"/>
      <c r="BW1251" s="332"/>
      <c r="BX1251" s="332"/>
      <c r="BY1251" s="332"/>
      <c r="BZ1251" s="332"/>
      <c r="CA1251" s="332"/>
      <c r="CB1251" s="332"/>
      <c r="CC1251" s="332"/>
      <c r="CD1251" s="332"/>
      <c r="CE1251" s="332"/>
      <c r="CF1251" s="332"/>
      <c r="CG1251" s="332"/>
      <c r="CH1251" s="332"/>
      <c r="CI1251" s="332"/>
      <c r="CJ1251" s="332"/>
      <c r="CK1251" s="332"/>
      <c r="CL1251" s="332"/>
      <c r="CM1251" s="332"/>
      <c r="CN1251" s="332"/>
      <c r="CO1251" s="332"/>
      <c r="CP1251" s="332"/>
      <c r="CQ1251" s="332"/>
      <c r="CR1251" s="332"/>
      <c r="CS1251" s="332"/>
      <c r="CT1251" s="332"/>
      <c r="CU1251" s="332"/>
      <c r="CV1251" s="332"/>
      <c r="CW1251" s="332"/>
      <c r="CX1251" s="332"/>
      <c r="CY1251" s="332"/>
      <c r="CZ1251" s="332"/>
      <c r="DA1251" s="332"/>
      <c r="DB1251" s="332"/>
      <c r="DC1251" s="332"/>
      <c r="DD1251" s="332"/>
      <c r="DE1251" s="332"/>
      <c r="DF1251" s="332"/>
      <c r="DG1251" s="332"/>
      <c r="DH1251" s="332"/>
      <c r="DI1251" s="332"/>
      <c r="DJ1251" s="332"/>
      <c r="DK1251" s="332"/>
      <c r="DL1251" s="332"/>
      <c r="DM1251" s="332"/>
      <c r="DN1251" s="332"/>
      <c r="DO1251" s="332"/>
      <c r="DP1251" s="332"/>
      <c r="DQ1251" s="332"/>
      <c r="DR1251" s="332"/>
      <c r="DS1251" s="332"/>
      <c r="DT1251" s="332"/>
      <c r="DU1251" s="453"/>
      <c r="DV1251" s="453"/>
      <c r="DW1251" s="453"/>
      <c r="DX1251" s="453"/>
      <c r="DY1251" s="453"/>
      <c r="DZ1251" s="453"/>
      <c r="EA1251" s="453"/>
      <c r="EB1251" s="453"/>
      <c r="EC1251" s="453"/>
      <c r="ED1251" s="453"/>
      <c r="EE1251" s="453"/>
      <c r="EF1251" s="453"/>
      <c r="EG1251" s="453"/>
      <c r="EH1251" s="453"/>
      <c r="EI1251" s="453"/>
      <c r="EJ1251" s="453"/>
      <c r="EK1251" s="453"/>
      <c r="EL1251" s="453"/>
      <c r="EM1251" s="483">
        <f t="shared" si="257"/>
        <v>942</v>
      </c>
      <c r="EN1251" s="485"/>
      <c r="EO1251" s="458"/>
      <c r="EP1251" s="467"/>
      <c r="EQ1251" s="457"/>
      <c r="ER1251" s="808"/>
      <c r="ES1251" s="881">
        <f t="shared" si="258"/>
        <v>0</v>
      </c>
      <c r="ET1251" s="882"/>
      <c r="EU1251" s="883"/>
      <c r="EV1251" s="884">
        <f t="shared" si="259"/>
        <v>0</v>
      </c>
      <c r="EW1251" s="885"/>
      <c r="EX1251" s="885"/>
      <c r="EY1251" s="885"/>
      <c r="EZ1251" s="885"/>
      <c r="FA1251" s="885"/>
      <c r="FB1251" s="885"/>
      <c r="FC1251" s="885"/>
      <c r="FD1251" s="886"/>
      <c r="FE1251" s="877"/>
      <c r="FF1251" s="877"/>
      <c r="FG1251" s="877"/>
      <c r="FH1251" s="877"/>
      <c r="FI1251" s="877"/>
      <c r="FJ1251" s="877"/>
      <c r="FK1251" s="877"/>
      <c r="FL1251" s="874"/>
      <c r="FM1251" s="875"/>
      <c r="FN1251" s="875"/>
      <c r="FO1251" s="875"/>
      <c r="FP1251" s="875"/>
      <c r="FQ1251" s="875"/>
      <c r="FR1251" s="875"/>
      <c r="FS1251" s="875"/>
      <c r="FT1251" s="875"/>
      <c r="FU1251" s="875"/>
      <c r="FV1251" s="875"/>
      <c r="FW1251" s="875"/>
      <c r="FX1251" s="875"/>
      <c r="FY1251" s="875"/>
      <c r="FZ1251" s="875"/>
      <c r="GA1251" s="875"/>
      <c r="GB1251" s="876"/>
      <c r="GC1251" s="370"/>
      <c r="GD1251" s="453"/>
      <c r="GE1251" s="453"/>
      <c r="GF1251" s="453"/>
      <c r="GG1251" s="453"/>
      <c r="GH1251" s="454"/>
      <c r="GI1251" s="453"/>
      <c r="GJ1251" s="453"/>
      <c r="GK1251" s="453"/>
      <c r="GL1251" s="453"/>
      <c r="GM1251" s="453"/>
      <c r="GN1251" s="453"/>
      <c r="GO1251" s="453"/>
      <c r="GP1251" s="453"/>
      <c r="GQ1251" s="453"/>
      <c r="GR1251" s="453"/>
      <c r="GS1251" s="561"/>
      <c r="GT1251" s="475"/>
      <c r="GU1251" s="472"/>
      <c r="GV1251" s="453"/>
      <c r="GW1251" s="453"/>
      <c r="GX1251" s="869"/>
      <c r="GY1251" s="870"/>
      <c r="GZ1251" s="867"/>
      <c r="HA1251" s="868"/>
      <c r="HB1251" s="473"/>
      <c r="HC1251" s="869"/>
      <c r="HD1251" s="870"/>
      <c r="HE1251" s="867"/>
      <c r="HF1251" s="868"/>
      <c r="HG1251" s="473"/>
      <c r="HH1251" s="867"/>
      <c r="HI1251" s="868"/>
      <c r="HJ1251" s="867"/>
      <c r="HK1251" s="868"/>
      <c r="HL1251" s="370"/>
      <c r="HM1251" s="865"/>
      <c r="HN1251" s="866"/>
      <c r="HO1251" s="865"/>
      <c r="HP1251" s="866"/>
      <c r="HQ1251" s="865"/>
      <c r="HR1251" s="866"/>
      <c r="HS1251" s="867"/>
      <c r="HT1251" s="868"/>
      <c r="HU1251" s="489"/>
      <c r="HV1251" s="865"/>
      <c r="HW1251" s="866"/>
    </row>
    <row r="1252" spans="25:231" ht="15" customHeight="1">
      <c r="Y1252" s="332"/>
      <c r="Z1252" s="332"/>
      <c r="AA1252" s="332"/>
      <c r="AB1252" s="332"/>
      <c r="AC1252" s="332"/>
      <c r="AD1252" s="332"/>
      <c r="AE1252" s="332"/>
      <c r="AF1252" s="332"/>
      <c r="AG1252" s="332"/>
      <c r="AH1252" s="332"/>
      <c r="AI1252" s="332"/>
      <c r="AJ1252" s="332"/>
      <c r="AK1252" s="332"/>
      <c r="AL1252" s="332"/>
      <c r="AM1252" s="332"/>
      <c r="AN1252" s="332"/>
      <c r="AO1252" s="332"/>
      <c r="AP1252" s="332"/>
      <c r="AQ1252" s="332"/>
      <c r="AR1252" s="332"/>
      <c r="AS1252" s="332"/>
      <c r="AT1252" s="332"/>
      <c r="AU1252" s="332"/>
      <c r="AV1252" s="332"/>
      <c r="AW1252" s="332"/>
      <c r="AX1252" s="332"/>
      <c r="AY1252" s="332"/>
      <c r="AZ1252" s="332"/>
      <c r="BA1252" s="332"/>
      <c r="BB1252" s="332"/>
      <c r="BC1252" s="332"/>
      <c r="BD1252" s="332"/>
      <c r="BE1252" s="332"/>
      <c r="BF1252" s="332"/>
      <c r="BG1252" s="332"/>
      <c r="BH1252" s="332"/>
      <c r="BI1252" s="332"/>
      <c r="BJ1252" s="332"/>
      <c r="BK1252" s="332"/>
      <c r="BL1252" s="332"/>
      <c r="BM1252" s="332"/>
      <c r="BN1252" s="332"/>
      <c r="BO1252" s="332"/>
      <c r="BP1252" s="332"/>
      <c r="BQ1252" s="332"/>
      <c r="BR1252" s="332"/>
      <c r="BS1252" s="332"/>
      <c r="BT1252" s="332"/>
      <c r="BU1252" s="332"/>
      <c r="BV1252" s="332"/>
      <c r="BW1252" s="332"/>
      <c r="BX1252" s="332"/>
      <c r="BY1252" s="332"/>
      <c r="BZ1252" s="332"/>
      <c r="CA1252" s="332"/>
      <c r="CB1252" s="332"/>
      <c r="CC1252" s="332"/>
      <c r="CD1252" s="332"/>
      <c r="CE1252" s="332"/>
      <c r="CF1252" s="332"/>
      <c r="CG1252" s="332"/>
      <c r="CH1252" s="332"/>
      <c r="CI1252" s="332"/>
      <c r="CJ1252" s="332"/>
      <c r="CK1252" s="332"/>
      <c r="CL1252" s="332"/>
      <c r="CM1252" s="332"/>
      <c r="CN1252" s="332"/>
      <c r="CO1252" s="332"/>
      <c r="CP1252" s="332"/>
      <c r="CQ1252" s="332"/>
      <c r="CR1252" s="332"/>
      <c r="CS1252" s="332"/>
      <c r="CT1252" s="332"/>
      <c r="CU1252" s="332"/>
      <c r="CV1252" s="332"/>
      <c r="CW1252" s="332"/>
      <c r="CX1252" s="332"/>
      <c r="CY1252" s="332"/>
      <c r="CZ1252" s="332"/>
      <c r="DA1252" s="332"/>
      <c r="DB1252" s="332"/>
      <c r="DC1252" s="332"/>
      <c r="DD1252" s="332"/>
      <c r="DE1252" s="332"/>
      <c r="DF1252" s="332"/>
      <c r="DG1252" s="332"/>
      <c r="DH1252" s="332"/>
      <c r="DI1252" s="332"/>
      <c r="DJ1252" s="332"/>
      <c r="DK1252" s="332"/>
      <c r="DL1252" s="332"/>
      <c r="DM1252" s="332"/>
      <c r="DN1252" s="332"/>
      <c r="DO1252" s="332"/>
      <c r="DP1252" s="332"/>
      <c r="DQ1252" s="332"/>
      <c r="DR1252" s="332"/>
      <c r="DS1252" s="332"/>
      <c r="DT1252" s="332"/>
      <c r="DU1252" s="453"/>
      <c r="DV1252" s="453"/>
      <c r="DW1252" s="453"/>
      <c r="DX1252" s="453"/>
      <c r="DY1252" s="453"/>
      <c r="DZ1252" s="453"/>
      <c r="EA1252" s="453"/>
      <c r="EB1252" s="453"/>
      <c r="EC1252" s="453"/>
      <c r="ED1252" s="453"/>
      <c r="EE1252" s="453"/>
      <c r="EF1252" s="453"/>
      <c r="EG1252" s="453"/>
      <c r="EH1252" s="453"/>
      <c r="EI1252" s="453"/>
      <c r="EJ1252" s="453"/>
      <c r="EK1252" s="453"/>
      <c r="EL1252" s="453"/>
      <c r="EM1252" s="483">
        <f t="shared" si="257"/>
        <v>943</v>
      </c>
      <c r="EN1252" s="485"/>
      <c r="EO1252" s="458"/>
      <c r="EP1252" s="467"/>
      <c r="EQ1252" s="457"/>
      <c r="ER1252" s="808"/>
      <c r="ES1252" s="881">
        <f t="shared" si="250"/>
        <v>0</v>
      </c>
      <c r="ET1252" s="882"/>
      <c r="EU1252" s="883"/>
      <c r="EV1252" s="884">
        <f t="shared" si="251"/>
        <v>0</v>
      </c>
      <c r="EW1252" s="885"/>
      <c r="EX1252" s="885"/>
      <c r="EY1252" s="885"/>
      <c r="EZ1252" s="885"/>
      <c r="FA1252" s="885"/>
      <c r="FB1252" s="885"/>
      <c r="FC1252" s="885"/>
      <c r="FD1252" s="886"/>
      <c r="FE1252" s="877"/>
      <c r="FF1252" s="877"/>
      <c r="FG1252" s="877"/>
      <c r="FH1252" s="877"/>
      <c r="FI1252" s="877"/>
      <c r="FJ1252" s="877"/>
      <c r="FK1252" s="877"/>
      <c r="FL1252" s="874"/>
      <c r="FM1252" s="875"/>
      <c r="FN1252" s="875"/>
      <c r="FO1252" s="875"/>
      <c r="FP1252" s="875"/>
      <c r="FQ1252" s="875"/>
      <c r="FR1252" s="875"/>
      <c r="FS1252" s="875"/>
      <c r="FT1252" s="875"/>
      <c r="FU1252" s="875"/>
      <c r="FV1252" s="875"/>
      <c r="FW1252" s="875"/>
      <c r="FX1252" s="875"/>
      <c r="FY1252" s="875"/>
      <c r="FZ1252" s="875"/>
      <c r="GA1252" s="875"/>
      <c r="GB1252" s="876"/>
      <c r="GC1252" s="370"/>
      <c r="GD1252" s="453"/>
      <c r="GE1252" s="453"/>
      <c r="GF1252" s="453"/>
      <c r="GG1252" s="453"/>
      <c r="GH1252" s="454"/>
      <c r="GI1252" s="453"/>
      <c r="GJ1252" s="453"/>
      <c r="GK1252" s="453"/>
      <c r="GL1252" s="453"/>
      <c r="GM1252" s="453"/>
      <c r="GN1252" s="453"/>
      <c r="GO1252" s="453"/>
      <c r="GP1252" s="453"/>
      <c r="GQ1252" s="453"/>
      <c r="GR1252" s="453"/>
      <c r="GS1252" s="561"/>
      <c r="GT1252" s="475"/>
      <c r="GU1252" s="472"/>
      <c r="GV1252" s="453"/>
      <c r="GW1252" s="453"/>
      <c r="GX1252" s="869"/>
      <c r="GY1252" s="870"/>
      <c r="GZ1252" s="867"/>
      <c r="HA1252" s="868"/>
      <c r="HB1252" s="473"/>
      <c r="HC1252" s="869"/>
      <c r="HD1252" s="870"/>
      <c r="HE1252" s="867"/>
      <c r="HF1252" s="868"/>
      <c r="HG1252" s="473"/>
      <c r="HH1252" s="867"/>
      <c r="HI1252" s="868"/>
      <c r="HJ1252" s="867"/>
      <c r="HK1252" s="868"/>
      <c r="HL1252" s="370"/>
      <c r="HM1252" s="865"/>
      <c r="HN1252" s="866"/>
      <c r="HO1252" s="865"/>
      <c r="HP1252" s="866"/>
      <c r="HQ1252" s="865"/>
      <c r="HR1252" s="866"/>
      <c r="HS1252" s="867"/>
      <c r="HT1252" s="868"/>
      <c r="HU1252" s="489"/>
      <c r="HV1252" s="865"/>
      <c r="HW1252" s="866"/>
    </row>
    <row r="1253" spans="25:231" ht="15" customHeight="1">
      <c r="Y1253" s="332"/>
      <c r="Z1253" s="332"/>
      <c r="AA1253" s="332"/>
      <c r="AB1253" s="332"/>
      <c r="AC1253" s="332"/>
      <c r="AD1253" s="332"/>
      <c r="AE1253" s="332"/>
      <c r="AF1253" s="332"/>
      <c r="AG1253" s="332"/>
      <c r="AH1253" s="332"/>
      <c r="AI1253" s="332"/>
      <c r="AJ1253" s="332"/>
      <c r="AK1253" s="332"/>
      <c r="AL1253" s="332"/>
      <c r="AM1253" s="332"/>
      <c r="AN1253" s="332"/>
      <c r="AO1253" s="332"/>
      <c r="AP1253" s="332"/>
      <c r="AQ1253" s="332"/>
      <c r="AR1253" s="332"/>
      <c r="AS1253" s="332"/>
      <c r="AT1253" s="332"/>
      <c r="AU1253" s="332"/>
      <c r="AV1253" s="332"/>
      <c r="AW1253" s="332"/>
      <c r="AX1253" s="332"/>
      <c r="AY1253" s="332"/>
      <c r="AZ1253" s="332"/>
      <c r="BA1253" s="332"/>
      <c r="BB1253" s="332"/>
      <c r="BC1253" s="332"/>
      <c r="BD1253" s="332"/>
      <c r="BE1253" s="332"/>
      <c r="BF1253" s="332"/>
      <c r="BG1253" s="332"/>
      <c r="BH1253" s="332"/>
      <c r="BI1253" s="332"/>
      <c r="BJ1253" s="332"/>
      <c r="BK1253" s="332"/>
      <c r="BL1253" s="332"/>
      <c r="BM1253" s="332"/>
      <c r="BN1253" s="332"/>
      <c r="BO1253" s="332"/>
      <c r="BP1253" s="332"/>
      <c r="BQ1253" s="332"/>
      <c r="BR1253" s="332"/>
      <c r="BS1253" s="332"/>
      <c r="BT1253" s="332"/>
      <c r="BU1253" s="332"/>
      <c r="BV1253" s="332"/>
      <c r="BW1253" s="332"/>
      <c r="BX1253" s="332"/>
      <c r="BY1253" s="332"/>
      <c r="BZ1253" s="332"/>
      <c r="CA1253" s="332"/>
      <c r="CB1253" s="332"/>
      <c r="CC1253" s="332"/>
      <c r="CD1253" s="332"/>
      <c r="CE1253" s="332"/>
      <c r="CF1253" s="332"/>
      <c r="CG1253" s="332"/>
      <c r="CH1253" s="332"/>
      <c r="CI1253" s="332"/>
      <c r="CJ1253" s="332"/>
      <c r="CK1253" s="332"/>
      <c r="CL1253" s="332"/>
      <c r="CM1253" s="332"/>
      <c r="CN1253" s="332"/>
      <c r="CO1253" s="332"/>
      <c r="CP1253" s="332"/>
      <c r="CQ1253" s="332"/>
      <c r="CR1253" s="332"/>
      <c r="CS1253" s="332"/>
      <c r="CT1253" s="332"/>
      <c r="CU1253" s="332"/>
      <c r="CV1253" s="332"/>
      <c r="CW1253" s="332"/>
      <c r="CX1253" s="332"/>
      <c r="CY1253" s="332"/>
      <c r="CZ1253" s="332"/>
      <c r="DA1253" s="332"/>
      <c r="DB1253" s="332"/>
      <c r="DC1253" s="332"/>
      <c r="DD1253" s="332"/>
      <c r="DE1253" s="332"/>
      <c r="DF1253" s="332"/>
      <c r="DG1253" s="332"/>
      <c r="DH1253" s="332"/>
      <c r="DI1253" s="332"/>
      <c r="DJ1253" s="332"/>
      <c r="DK1253" s="332"/>
      <c r="DL1253" s="332"/>
      <c r="DM1253" s="332"/>
      <c r="DN1253" s="332"/>
      <c r="DO1253" s="332"/>
      <c r="DP1253" s="332"/>
      <c r="DQ1253" s="332"/>
      <c r="DR1253" s="332"/>
      <c r="DS1253" s="332"/>
      <c r="DT1253" s="332"/>
      <c r="DU1253" s="453"/>
      <c r="DV1253" s="453"/>
      <c r="DW1253" s="453"/>
      <c r="DX1253" s="453"/>
      <c r="DY1253" s="453"/>
      <c r="DZ1253" s="453"/>
      <c r="EA1253" s="453"/>
      <c r="EB1253" s="453"/>
      <c r="EC1253" s="453"/>
      <c r="ED1253" s="453"/>
      <c r="EE1253" s="453"/>
      <c r="EF1253" s="453"/>
      <c r="EG1253" s="453"/>
      <c r="EH1253" s="453"/>
      <c r="EI1253" s="453"/>
      <c r="EJ1253" s="453"/>
      <c r="EK1253" s="453"/>
      <c r="EL1253" s="453"/>
      <c r="EM1253" s="483">
        <f t="shared" si="257"/>
        <v>944</v>
      </c>
      <c r="EN1253" s="485"/>
      <c r="EO1253" s="458"/>
      <c r="EP1253" s="467"/>
      <c r="EQ1253" s="457"/>
      <c r="ER1253" s="808"/>
      <c r="ES1253" s="881">
        <f t="shared" si="250"/>
        <v>0</v>
      </c>
      <c r="ET1253" s="882"/>
      <c r="EU1253" s="883"/>
      <c r="EV1253" s="884">
        <f t="shared" si="251"/>
        <v>0</v>
      </c>
      <c r="EW1253" s="885"/>
      <c r="EX1253" s="885"/>
      <c r="EY1253" s="885"/>
      <c r="EZ1253" s="885"/>
      <c r="FA1253" s="885"/>
      <c r="FB1253" s="885"/>
      <c r="FC1253" s="885"/>
      <c r="FD1253" s="886"/>
      <c r="FE1253" s="877"/>
      <c r="FF1253" s="877"/>
      <c r="FG1253" s="877"/>
      <c r="FH1253" s="877"/>
      <c r="FI1253" s="877"/>
      <c r="FJ1253" s="877"/>
      <c r="FK1253" s="877"/>
      <c r="FL1253" s="874"/>
      <c r="FM1253" s="875"/>
      <c r="FN1253" s="875"/>
      <c r="FO1253" s="875"/>
      <c r="FP1253" s="875"/>
      <c r="FQ1253" s="875"/>
      <c r="FR1253" s="875"/>
      <c r="FS1253" s="875"/>
      <c r="FT1253" s="875"/>
      <c r="FU1253" s="875"/>
      <c r="FV1253" s="875"/>
      <c r="FW1253" s="875"/>
      <c r="FX1253" s="875"/>
      <c r="FY1253" s="875"/>
      <c r="FZ1253" s="875"/>
      <c r="GA1253" s="875"/>
      <c r="GB1253" s="876"/>
      <c r="GC1253" s="370"/>
      <c r="GD1253" s="453"/>
      <c r="GE1253" s="453"/>
      <c r="GF1253" s="453"/>
      <c r="GG1253" s="453"/>
      <c r="GH1253" s="454"/>
      <c r="GI1253" s="453"/>
      <c r="GJ1253" s="453"/>
      <c r="GK1253" s="453"/>
      <c r="GL1253" s="453"/>
      <c r="GM1253" s="453"/>
      <c r="GN1253" s="453"/>
      <c r="GO1253" s="453"/>
      <c r="GP1253" s="453"/>
      <c r="GQ1253" s="453"/>
      <c r="GR1253" s="453"/>
      <c r="GS1253" s="561"/>
      <c r="GT1253" s="475"/>
      <c r="GU1253" s="472"/>
      <c r="GV1253" s="453"/>
      <c r="GW1253" s="453"/>
      <c r="GX1253" s="869"/>
      <c r="GY1253" s="870"/>
      <c r="GZ1253" s="867"/>
      <c r="HA1253" s="868"/>
      <c r="HB1253" s="473"/>
      <c r="HC1253" s="869"/>
      <c r="HD1253" s="870"/>
      <c r="HE1253" s="867"/>
      <c r="HF1253" s="868"/>
      <c r="HG1253" s="473"/>
      <c r="HH1253" s="867"/>
      <c r="HI1253" s="868"/>
      <c r="HJ1253" s="867"/>
      <c r="HK1253" s="868"/>
      <c r="HL1253" s="370"/>
      <c r="HM1253" s="865"/>
      <c r="HN1253" s="866"/>
      <c r="HO1253" s="865"/>
      <c r="HP1253" s="866"/>
      <c r="HQ1253" s="865"/>
      <c r="HR1253" s="866"/>
      <c r="HS1253" s="867"/>
      <c r="HT1253" s="868"/>
      <c r="HU1253" s="489"/>
      <c r="HV1253" s="865"/>
      <c r="HW1253" s="866"/>
    </row>
    <row r="1254" spans="25:231" ht="15" customHeight="1">
      <c r="Y1254" s="332"/>
      <c r="Z1254" s="332"/>
      <c r="AA1254" s="332"/>
      <c r="AB1254" s="332"/>
      <c r="AC1254" s="332"/>
      <c r="AD1254" s="332"/>
      <c r="AE1254" s="332"/>
      <c r="AF1254" s="332"/>
      <c r="AG1254" s="332"/>
      <c r="AH1254" s="332"/>
      <c r="AI1254" s="332"/>
      <c r="AJ1254" s="332"/>
      <c r="AK1254" s="332"/>
      <c r="AL1254" s="332"/>
      <c r="AM1254" s="332"/>
      <c r="AN1254" s="332"/>
      <c r="AO1254" s="332"/>
      <c r="AP1254" s="332"/>
      <c r="AQ1254" s="332"/>
      <c r="AR1254" s="332"/>
      <c r="AS1254" s="332"/>
      <c r="AT1254" s="332"/>
      <c r="AU1254" s="332"/>
      <c r="AV1254" s="332"/>
      <c r="AW1254" s="332"/>
      <c r="AX1254" s="332"/>
      <c r="AY1254" s="332"/>
      <c r="AZ1254" s="332"/>
      <c r="BA1254" s="332"/>
      <c r="BB1254" s="332"/>
      <c r="BC1254" s="332"/>
      <c r="BD1254" s="332"/>
      <c r="BE1254" s="332"/>
      <c r="BF1254" s="332"/>
      <c r="BG1254" s="332"/>
      <c r="BH1254" s="332"/>
      <c r="BI1254" s="332"/>
      <c r="BJ1254" s="332"/>
      <c r="BK1254" s="332"/>
      <c r="BL1254" s="332"/>
      <c r="BM1254" s="332"/>
      <c r="BN1254" s="332"/>
      <c r="BO1254" s="332"/>
      <c r="BP1254" s="332"/>
      <c r="BQ1254" s="332"/>
      <c r="BR1254" s="332"/>
      <c r="BS1254" s="332"/>
      <c r="BT1254" s="332"/>
      <c r="BU1254" s="332"/>
      <c r="BV1254" s="332"/>
      <c r="BW1254" s="332"/>
      <c r="BX1254" s="332"/>
      <c r="BY1254" s="332"/>
      <c r="BZ1254" s="332"/>
      <c r="CA1254" s="332"/>
      <c r="CB1254" s="332"/>
      <c r="CC1254" s="332"/>
      <c r="CD1254" s="332"/>
      <c r="CE1254" s="332"/>
      <c r="CF1254" s="332"/>
      <c r="CG1254" s="332"/>
      <c r="CH1254" s="332"/>
      <c r="CI1254" s="332"/>
      <c r="CJ1254" s="332"/>
      <c r="CK1254" s="332"/>
      <c r="CL1254" s="332"/>
      <c r="CM1254" s="332"/>
      <c r="CN1254" s="332"/>
      <c r="CO1254" s="332"/>
      <c r="CP1254" s="332"/>
      <c r="CQ1254" s="332"/>
      <c r="CR1254" s="332"/>
      <c r="CS1254" s="332"/>
      <c r="CT1254" s="332"/>
      <c r="CU1254" s="332"/>
      <c r="CV1254" s="332"/>
      <c r="CW1254" s="332"/>
      <c r="CX1254" s="332"/>
      <c r="CY1254" s="332"/>
      <c r="CZ1254" s="332"/>
      <c r="DA1254" s="332"/>
      <c r="DB1254" s="332"/>
      <c r="DC1254" s="332"/>
      <c r="DD1254" s="332"/>
      <c r="DE1254" s="332"/>
      <c r="DF1254" s="332"/>
      <c r="DG1254" s="332"/>
      <c r="DH1254" s="332"/>
      <c r="DI1254" s="332"/>
      <c r="DJ1254" s="332"/>
      <c r="DK1254" s="332"/>
      <c r="DL1254" s="332"/>
      <c r="DM1254" s="332"/>
      <c r="DN1254" s="332"/>
      <c r="DO1254" s="332"/>
      <c r="DP1254" s="332"/>
      <c r="DQ1254" s="332"/>
      <c r="DR1254" s="332"/>
      <c r="DS1254" s="332"/>
      <c r="DT1254" s="332"/>
      <c r="DU1254" s="453"/>
      <c r="DV1254" s="453"/>
      <c r="DW1254" s="453"/>
      <c r="DX1254" s="453"/>
      <c r="DY1254" s="453"/>
      <c r="DZ1254" s="453"/>
      <c r="EA1254" s="453"/>
      <c r="EB1254" s="453"/>
      <c r="EC1254" s="453"/>
      <c r="ED1254" s="453"/>
      <c r="EE1254" s="453"/>
      <c r="EF1254" s="453"/>
      <c r="EG1254" s="453"/>
      <c r="EH1254" s="453"/>
      <c r="EI1254" s="453"/>
      <c r="EJ1254" s="453"/>
      <c r="EK1254" s="453"/>
      <c r="EL1254" s="453"/>
      <c r="EM1254" s="483">
        <f t="shared" si="257"/>
        <v>945</v>
      </c>
      <c r="EN1254" s="485"/>
      <c r="EO1254" s="458"/>
      <c r="EP1254" s="467"/>
      <c r="EQ1254" s="457"/>
      <c r="ER1254" s="808"/>
      <c r="ES1254" s="881">
        <f t="shared" si="250"/>
        <v>0</v>
      </c>
      <c r="ET1254" s="882"/>
      <c r="EU1254" s="883"/>
      <c r="EV1254" s="884">
        <f t="shared" si="251"/>
        <v>0</v>
      </c>
      <c r="EW1254" s="885"/>
      <c r="EX1254" s="885"/>
      <c r="EY1254" s="885"/>
      <c r="EZ1254" s="885"/>
      <c r="FA1254" s="885"/>
      <c r="FB1254" s="885"/>
      <c r="FC1254" s="885"/>
      <c r="FD1254" s="886"/>
      <c r="FE1254" s="877"/>
      <c r="FF1254" s="877"/>
      <c r="FG1254" s="877"/>
      <c r="FH1254" s="877"/>
      <c r="FI1254" s="877"/>
      <c r="FJ1254" s="877"/>
      <c r="FK1254" s="877"/>
      <c r="FL1254" s="874"/>
      <c r="FM1254" s="875"/>
      <c r="FN1254" s="875"/>
      <c r="FO1254" s="875"/>
      <c r="FP1254" s="875"/>
      <c r="FQ1254" s="875"/>
      <c r="FR1254" s="875"/>
      <c r="FS1254" s="875"/>
      <c r="FT1254" s="875"/>
      <c r="FU1254" s="875"/>
      <c r="FV1254" s="875"/>
      <c r="FW1254" s="875"/>
      <c r="FX1254" s="875"/>
      <c r="FY1254" s="875"/>
      <c r="FZ1254" s="875"/>
      <c r="GA1254" s="875"/>
      <c r="GB1254" s="876"/>
      <c r="GC1254" s="370"/>
      <c r="GD1254" s="453"/>
      <c r="GE1254" s="453"/>
      <c r="GF1254" s="453"/>
      <c r="GG1254" s="453"/>
      <c r="GH1254" s="454"/>
      <c r="GI1254" s="453"/>
      <c r="GJ1254" s="453"/>
      <c r="GK1254" s="453"/>
      <c r="GL1254" s="453"/>
      <c r="GM1254" s="453"/>
      <c r="GN1254" s="453"/>
      <c r="GO1254" s="453"/>
      <c r="GP1254" s="453"/>
      <c r="GQ1254" s="453"/>
      <c r="GR1254" s="453"/>
      <c r="GS1254" s="561"/>
      <c r="GT1254" s="475"/>
      <c r="GU1254" s="472"/>
      <c r="GV1254" s="453"/>
      <c r="GW1254" s="453"/>
      <c r="GX1254" s="869"/>
      <c r="GY1254" s="870"/>
      <c r="GZ1254" s="867"/>
      <c r="HA1254" s="868"/>
      <c r="HB1254" s="473"/>
      <c r="HC1254" s="869"/>
      <c r="HD1254" s="870"/>
      <c r="HE1254" s="867"/>
      <c r="HF1254" s="868"/>
      <c r="HG1254" s="473"/>
      <c r="HH1254" s="867"/>
      <c r="HI1254" s="868"/>
      <c r="HJ1254" s="867"/>
      <c r="HK1254" s="868"/>
      <c r="HL1254" s="370"/>
      <c r="HM1254" s="865"/>
      <c r="HN1254" s="866"/>
      <c r="HO1254" s="865"/>
      <c r="HP1254" s="866"/>
      <c r="HQ1254" s="865"/>
      <c r="HR1254" s="866"/>
      <c r="HS1254" s="867"/>
      <c r="HT1254" s="868"/>
      <c r="HU1254" s="489"/>
      <c r="HV1254" s="865"/>
      <c r="HW1254" s="866"/>
    </row>
    <row r="1255" spans="25:231" ht="15" customHeight="1">
      <c r="Y1255" s="332"/>
      <c r="Z1255" s="332"/>
      <c r="AA1255" s="332"/>
      <c r="AB1255" s="332"/>
      <c r="AC1255" s="332"/>
      <c r="AD1255" s="332"/>
      <c r="AE1255" s="332"/>
      <c r="AF1255" s="332"/>
      <c r="AG1255" s="332"/>
      <c r="AH1255" s="332"/>
      <c r="AI1255" s="332"/>
      <c r="AJ1255" s="332"/>
      <c r="AK1255" s="332"/>
      <c r="AL1255" s="332"/>
      <c r="AM1255" s="332"/>
      <c r="AN1255" s="332"/>
      <c r="AO1255" s="332"/>
      <c r="AP1255" s="332"/>
      <c r="AQ1255" s="332"/>
      <c r="AR1255" s="332"/>
      <c r="AS1255" s="332"/>
      <c r="AT1255" s="332"/>
      <c r="AU1255" s="332"/>
      <c r="AV1255" s="332"/>
      <c r="AW1255" s="332"/>
      <c r="AX1255" s="332"/>
      <c r="AY1255" s="332"/>
      <c r="AZ1255" s="332"/>
      <c r="BA1255" s="332"/>
      <c r="BB1255" s="332"/>
      <c r="BC1255" s="332"/>
      <c r="BD1255" s="332"/>
      <c r="BE1255" s="332"/>
      <c r="BF1255" s="332"/>
      <c r="BG1255" s="332"/>
      <c r="BH1255" s="332"/>
      <c r="BI1255" s="332"/>
      <c r="BJ1255" s="332"/>
      <c r="BK1255" s="332"/>
      <c r="BL1255" s="332"/>
      <c r="BM1255" s="332"/>
      <c r="BN1255" s="332"/>
      <c r="BO1255" s="332"/>
      <c r="BP1255" s="332"/>
      <c r="BQ1255" s="332"/>
      <c r="BR1255" s="332"/>
      <c r="BS1255" s="332"/>
      <c r="BT1255" s="332"/>
      <c r="BU1255" s="332"/>
      <c r="BV1255" s="332"/>
      <c r="BW1255" s="332"/>
      <c r="BX1255" s="332"/>
      <c r="BY1255" s="332"/>
      <c r="BZ1255" s="332"/>
      <c r="CA1255" s="332"/>
      <c r="CB1255" s="332"/>
      <c r="CC1255" s="332"/>
      <c r="CD1255" s="332"/>
      <c r="CE1255" s="332"/>
      <c r="CF1255" s="332"/>
      <c r="CG1255" s="332"/>
      <c r="CH1255" s="332"/>
      <c r="CI1255" s="332"/>
      <c r="CJ1255" s="332"/>
      <c r="CK1255" s="332"/>
      <c r="CL1255" s="332"/>
      <c r="CM1255" s="332"/>
      <c r="CN1255" s="332"/>
      <c r="CO1255" s="332"/>
      <c r="CP1255" s="332"/>
      <c r="CQ1255" s="332"/>
      <c r="CR1255" s="332"/>
      <c r="CS1255" s="332"/>
      <c r="CT1255" s="332"/>
      <c r="CU1255" s="332"/>
      <c r="CV1255" s="332"/>
      <c r="CW1255" s="332"/>
      <c r="CX1255" s="332"/>
      <c r="CY1255" s="332"/>
      <c r="CZ1255" s="332"/>
      <c r="DA1255" s="332"/>
      <c r="DB1255" s="332"/>
      <c r="DC1255" s="332"/>
      <c r="DD1255" s="332"/>
      <c r="DE1255" s="332"/>
      <c r="DF1255" s="332"/>
      <c r="DG1255" s="332"/>
      <c r="DH1255" s="332"/>
      <c r="DI1255" s="332"/>
      <c r="DJ1255" s="332"/>
      <c r="DK1255" s="332"/>
      <c r="DL1255" s="332"/>
      <c r="DM1255" s="332"/>
      <c r="DN1255" s="332"/>
      <c r="DO1255" s="332"/>
      <c r="DP1255" s="332"/>
      <c r="DQ1255" s="332"/>
      <c r="DR1255" s="332"/>
      <c r="DS1255" s="332"/>
      <c r="DT1255" s="332"/>
      <c r="DU1255" s="453"/>
      <c r="DV1255" s="453"/>
      <c r="DW1255" s="453"/>
      <c r="DX1255" s="453"/>
      <c r="DY1255" s="453"/>
      <c r="DZ1255" s="453"/>
      <c r="EA1255" s="453"/>
      <c r="EB1255" s="453"/>
      <c r="EC1255" s="453"/>
      <c r="ED1255" s="453"/>
      <c r="EE1255" s="453"/>
      <c r="EF1255" s="453"/>
      <c r="EG1255" s="453"/>
      <c r="EH1255" s="453"/>
      <c r="EI1255" s="453"/>
      <c r="EJ1255" s="453"/>
      <c r="EK1255" s="453"/>
      <c r="EL1255" s="453"/>
      <c r="EM1255" s="483">
        <f t="shared" si="257"/>
        <v>946</v>
      </c>
      <c r="EN1255" s="485"/>
      <c r="EO1255" s="458"/>
      <c r="EP1255" s="467"/>
      <c r="EQ1255" s="457"/>
      <c r="ER1255" s="808"/>
      <c r="ES1255" s="881">
        <f t="shared" si="250"/>
        <v>0</v>
      </c>
      <c r="ET1255" s="882"/>
      <c r="EU1255" s="883"/>
      <c r="EV1255" s="884">
        <f t="shared" si="251"/>
        <v>0</v>
      </c>
      <c r="EW1255" s="885"/>
      <c r="EX1255" s="885"/>
      <c r="EY1255" s="885"/>
      <c r="EZ1255" s="885"/>
      <c r="FA1255" s="885"/>
      <c r="FB1255" s="885"/>
      <c r="FC1255" s="885"/>
      <c r="FD1255" s="886"/>
      <c r="FE1255" s="877"/>
      <c r="FF1255" s="877"/>
      <c r="FG1255" s="877"/>
      <c r="FH1255" s="877"/>
      <c r="FI1255" s="877"/>
      <c r="FJ1255" s="877"/>
      <c r="FK1255" s="877"/>
      <c r="FL1255" s="874"/>
      <c r="FM1255" s="875"/>
      <c r="FN1255" s="875"/>
      <c r="FO1255" s="875"/>
      <c r="FP1255" s="875"/>
      <c r="FQ1255" s="875"/>
      <c r="FR1255" s="875"/>
      <c r="FS1255" s="875"/>
      <c r="FT1255" s="875"/>
      <c r="FU1255" s="875"/>
      <c r="FV1255" s="875"/>
      <c r="FW1255" s="875"/>
      <c r="FX1255" s="875"/>
      <c r="FY1255" s="875"/>
      <c r="FZ1255" s="875"/>
      <c r="GA1255" s="875"/>
      <c r="GB1255" s="876"/>
      <c r="GC1255" s="370"/>
      <c r="GD1255" s="453"/>
      <c r="GE1255" s="453"/>
      <c r="GF1255" s="453"/>
      <c r="GG1255" s="453"/>
      <c r="GH1255" s="454"/>
      <c r="GI1255" s="453"/>
      <c r="GJ1255" s="453"/>
      <c r="GK1255" s="453"/>
      <c r="GL1255" s="453"/>
      <c r="GM1255" s="453"/>
      <c r="GN1255" s="453"/>
      <c r="GO1255" s="453"/>
      <c r="GP1255" s="453"/>
      <c r="GQ1255" s="453"/>
      <c r="GR1255" s="453"/>
      <c r="GS1255" s="561"/>
      <c r="GT1255" s="475"/>
      <c r="GU1255" s="472"/>
      <c r="GV1255" s="453"/>
      <c r="GW1255" s="453"/>
      <c r="GX1255" s="869"/>
      <c r="GY1255" s="870"/>
      <c r="GZ1255" s="867"/>
      <c r="HA1255" s="868"/>
      <c r="HB1255" s="473"/>
      <c r="HC1255" s="869"/>
      <c r="HD1255" s="870"/>
      <c r="HE1255" s="867"/>
      <c r="HF1255" s="868"/>
      <c r="HG1255" s="473"/>
      <c r="HH1255" s="867"/>
      <c r="HI1255" s="868"/>
      <c r="HJ1255" s="867"/>
      <c r="HK1255" s="868"/>
      <c r="HL1255" s="370"/>
      <c r="HM1255" s="865"/>
      <c r="HN1255" s="866"/>
      <c r="HO1255" s="865"/>
      <c r="HP1255" s="866"/>
      <c r="HQ1255" s="865"/>
      <c r="HR1255" s="866"/>
      <c r="HS1255" s="867"/>
      <c r="HT1255" s="868"/>
      <c r="HU1255" s="489"/>
      <c r="HV1255" s="865"/>
      <c r="HW1255" s="866"/>
    </row>
    <row r="1256" spans="25:231" ht="15" customHeight="1">
      <c r="Y1256" s="332"/>
      <c r="Z1256" s="332"/>
      <c r="AA1256" s="332"/>
      <c r="AB1256" s="332"/>
      <c r="AC1256" s="332"/>
      <c r="AD1256" s="332"/>
      <c r="AE1256" s="332"/>
      <c r="AF1256" s="332"/>
      <c r="AG1256" s="332"/>
      <c r="AH1256" s="332"/>
      <c r="AI1256" s="332"/>
      <c r="AJ1256" s="332"/>
      <c r="AK1256" s="332"/>
      <c r="AL1256" s="332"/>
      <c r="AM1256" s="332"/>
      <c r="AN1256" s="332"/>
      <c r="AO1256" s="332"/>
      <c r="AP1256" s="332"/>
      <c r="AQ1256" s="332"/>
      <c r="AR1256" s="332"/>
      <c r="AS1256" s="332"/>
      <c r="AT1256" s="332"/>
      <c r="AU1256" s="332"/>
      <c r="AV1256" s="332"/>
      <c r="AW1256" s="332"/>
      <c r="AX1256" s="332"/>
      <c r="AY1256" s="332"/>
      <c r="AZ1256" s="332"/>
      <c r="BA1256" s="332"/>
      <c r="BB1256" s="332"/>
      <c r="BC1256" s="332"/>
      <c r="BD1256" s="332"/>
      <c r="BE1256" s="332"/>
      <c r="BF1256" s="332"/>
      <c r="BG1256" s="332"/>
      <c r="BH1256" s="332"/>
      <c r="BI1256" s="332"/>
      <c r="BJ1256" s="332"/>
      <c r="BK1256" s="332"/>
      <c r="BL1256" s="332"/>
      <c r="BM1256" s="332"/>
      <c r="BN1256" s="332"/>
      <c r="BO1256" s="332"/>
      <c r="BP1256" s="332"/>
      <c r="BQ1256" s="332"/>
      <c r="BR1256" s="332"/>
      <c r="BS1256" s="332"/>
      <c r="BT1256" s="332"/>
      <c r="BU1256" s="332"/>
      <c r="BV1256" s="332"/>
      <c r="BW1256" s="332"/>
      <c r="BX1256" s="332"/>
      <c r="BY1256" s="332"/>
      <c r="BZ1256" s="332"/>
      <c r="CA1256" s="332"/>
      <c r="CB1256" s="332"/>
      <c r="CC1256" s="332"/>
      <c r="CD1256" s="332"/>
      <c r="CE1256" s="332"/>
      <c r="CF1256" s="332"/>
      <c r="CG1256" s="332"/>
      <c r="CH1256" s="332"/>
      <c r="CI1256" s="332"/>
      <c r="CJ1256" s="332"/>
      <c r="CK1256" s="332"/>
      <c r="CL1256" s="332"/>
      <c r="CM1256" s="332"/>
      <c r="CN1256" s="332"/>
      <c r="CO1256" s="332"/>
      <c r="CP1256" s="332"/>
      <c r="CQ1256" s="332"/>
      <c r="CR1256" s="332"/>
      <c r="CS1256" s="332"/>
      <c r="CT1256" s="332"/>
      <c r="CU1256" s="332"/>
      <c r="CV1256" s="332"/>
      <c r="CW1256" s="332"/>
      <c r="CX1256" s="332"/>
      <c r="CY1256" s="332"/>
      <c r="CZ1256" s="332"/>
      <c r="DA1256" s="332"/>
      <c r="DB1256" s="332"/>
      <c r="DC1256" s="332"/>
      <c r="DD1256" s="332"/>
      <c r="DE1256" s="332"/>
      <c r="DF1256" s="332"/>
      <c r="DG1256" s="332"/>
      <c r="DH1256" s="332"/>
      <c r="DI1256" s="332"/>
      <c r="DJ1256" s="332"/>
      <c r="DK1256" s="332"/>
      <c r="DL1256" s="332"/>
      <c r="DM1256" s="332"/>
      <c r="DN1256" s="332"/>
      <c r="DO1256" s="332"/>
      <c r="DP1256" s="332"/>
      <c r="DQ1256" s="332"/>
      <c r="DR1256" s="332"/>
      <c r="DS1256" s="332"/>
      <c r="DT1256" s="332"/>
      <c r="DU1256" s="453"/>
      <c r="DV1256" s="453"/>
      <c r="DW1256" s="453"/>
      <c r="DX1256" s="453"/>
      <c r="DY1256" s="453"/>
      <c r="DZ1256" s="453"/>
      <c r="EA1256" s="453"/>
      <c r="EB1256" s="453"/>
      <c r="EC1256" s="453"/>
      <c r="ED1256" s="453"/>
      <c r="EE1256" s="453"/>
      <c r="EF1256" s="453"/>
      <c r="EG1256" s="453"/>
      <c r="EH1256" s="453"/>
      <c r="EI1256" s="453"/>
      <c r="EJ1256" s="453"/>
      <c r="EK1256" s="453"/>
      <c r="EL1256" s="453"/>
      <c r="EM1256" s="483">
        <f t="shared" si="257"/>
        <v>947</v>
      </c>
      <c r="EN1256" s="485"/>
      <c r="EO1256" s="458"/>
      <c r="EP1256" s="467"/>
      <c r="EQ1256" s="457"/>
      <c r="ER1256" s="808"/>
      <c r="ES1256" s="881">
        <f t="shared" si="250"/>
        <v>0</v>
      </c>
      <c r="ET1256" s="882"/>
      <c r="EU1256" s="883"/>
      <c r="EV1256" s="884">
        <f t="shared" si="251"/>
        <v>0</v>
      </c>
      <c r="EW1256" s="885"/>
      <c r="EX1256" s="885"/>
      <c r="EY1256" s="885"/>
      <c r="EZ1256" s="885"/>
      <c r="FA1256" s="885"/>
      <c r="FB1256" s="885"/>
      <c r="FC1256" s="885"/>
      <c r="FD1256" s="886"/>
      <c r="FE1256" s="877"/>
      <c r="FF1256" s="877"/>
      <c r="FG1256" s="877"/>
      <c r="FH1256" s="877"/>
      <c r="FI1256" s="877"/>
      <c r="FJ1256" s="877"/>
      <c r="FK1256" s="877"/>
      <c r="FL1256" s="874"/>
      <c r="FM1256" s="875"/>
      <c r="FN1256" s="875"/>
      <c r="FO1256" s="875"/>
      <c r="FP1256" s="875"/>
      <c r="FQ1256" s="875"/>
      <c r="FR1256" s="875"/>
      <c r="FS1256" s="875"/>
      <c r="FT1256" s="875"/>
      <c r="FU1256" s="875"/>
      <c r="FV1256" s="875"/>
      <c r="FW1256" s="875"/>
      <c r="FX1256" s="875"/>
      <c r="FY1256" s="875"/>
      <c r="FZ1256" s="875"/>
      <c r="GA1256" s="875"/>
      <c r="GB1256" s="876"/>
      <c r="GC1256" s="370"/>
      <c r="GD1256" s="453"/>
      <c r="GE1256" s="453"/>
      <c r="GF1256" s="453"/>
      <c r="GG1256" s="453"/>
      <c r="GH1256" s="454"/>
      <c r="GI1256" s="453"/>
      <c r="GJ1256" s="453"/>
      <c r="GK1256" s="453"/>
      <c r="GL1256" s="453"/>
      <c r="GM1256" s="453"/>
      <c r="GN1256" s="453"/>
      <c r="GO1256" s="453"/>
      <c r="GP1256" s="453"/>
      <c r="GQ1256" s="453"/>
      <c r="GR1256" s="453"/>
      <c r="GS1256" s="561"/>
      <c r="GT1256" s="475"/>
      <c r="GU1256" s="472"/>
      <c r="GV1256" s="453"/>
      <c r="GW1256" s="453"/>
      <c r="GX1256" s="869"/>
      <c r="GY1256" s="870"/>
      <c r="GZ1256" s="867"/>
      <c r="HA1256" s="868"/>
      <c r="HB1256" s="473"/>
      <c r="HC1256" s="869"/>
      <c r="HD1256" s="870"/>
      <c r="HE1256" s="867"/>
      <c r="HF1256" s="868"/>
      <c r="HG1256" s="473"/>
      <c r="HH1256" s="867"/>
      <c r="HI1256" s="868"/>
      <c r="HJ1256" s="867"/>
      <c r="HK1256" s="868"/>
      <c r="HL1256" s="370"/>
      <c r="HM1256" s="865"/>
      <c r="HN1256" s="866"/>
      <c r="HO1256" s="865"/>
      <c r="HP1256" s="866"/>
      <c r="HQ1256" s="865"/>
      <c r="HR1256" s="866"/>
      <c r="HS1256" s="867"/>
      <c r="HT1256" s="868"/>
      <c r="HU1256" s="489"/>
      <c r="HV1256" s="865"/>
      <c r="HW1256" s="866"/>
    </row>
    <row r="1257" spans="25:231" ht="15" customHeight="1">
      <c r="Y1257" s="332"/>
      <c r="Z1257" s="332"/>
      <c r="AA1257" s="332"/>
      <c r="AB1257" s="332"/>
      <c r="AC1257" s="332"/>
      <c r="AD1257" s="332"/>
      <c r="AE1257" s="332"/>
      <c r="AF1257" s="332"/>
      <c r="AG1257" s="332"/>
      <c r="AH1257" s="332"/>
      <c r="AI1257" s="332"/>
      <c r="AJ1257" s="332"/>
      <c r="AK1257" s="332"/>
      <c r="AL1257" s="332"/>
      <c r="AM1257" s="332"/>
      <c r="AN1257" s="332"/>
      <c r="AO1257" s="332"/>
      <c r="AP1257" s="332"/>
      <c r="AQ1257" s="332"/>
      <c r="AR1257" s="332"/>
      <c r="AS1257" s="332"/>
      <c r="AT1257" s="332"/>
      <c r="AU1257" s="332"/>
      <c r="AV1257" s="332"/>
      <c r="AW1257" s="332"/>
      <c r="AX1257" s="332"/>
      <c r="AY1257" s="332"/>
      <c r="AZ1257" s="332"/>
      <c r="BA1257" s="332"/>
      <c r="BB1257" s="332"/>
      <c r="BC1257" s="332"/>
      <c r="BD1257" s="332"/>
      <c r="BE1257" s="332"/>
      <c r="BF1257" s="332"/>
      <c r="BG1257" s="332"/>
      <c r="BH1257" s="332"/>
      <c r="BI1257" s="332"/>
      <c r="BJ1257" s="332"/>
      <c r="BK1257" s="332"/>
      <c r="BL1257" s="332"/>
      <c r="BM1257" s="332"/>
      <c r="BN1257" s="332"/>
      <c r="BO1257" s="332"/>
      <c r="BP1257" s="332"/>
      <c r="BQ1257" s="332"/>
      <c r="BR1257" s="332"/>
      <c r="BS1257" s="332"/>
      <c r="BT1257" s="332"/>
      <c r="BU1257" s="332"/>
      <c r="BV1257" s="332"/>
      <c r="BW1257" s="332"/>
      <c r="BX1257" s="332"/>
      <c r="BY1257" s="332"/>
      <c r="BZ1257" s="332"/>
      <c r="CA1257" s="332"/>
      <c r="CB1257" s="332"/>
      <c r="CC1257" s="332"/>
      <c r="CD1257" s="332"/>
      <c r="CE1257" s="332"/>
      <c r="CF1257" s="332"/>
      <c r="CG1257" s="332"/>
      <c r="CH1257" s="332"/>
      <c r="CI1257" s="332"/>
      <c r="CJ1257" s="332"/>
      <c r="CK1257" s="332"/>
      <c r="CL1257" s="332"/>
      <c r="CM1257" s="332"/>
      <c r="CN1257" s="332"/>
      <c r="CO1257" s="332"/>
      <c r="CP1257" s="332"/>
      <c r="CQ1257" s="332"/>
      <c r="CR1257" s="332"/>
      <c r="CS1257" s="332"/>
      <c r="CT1257" s="332"/>
      <c r="CU1257" s="332"/>
      <c r="CV1257" s="332"/>
      <c r="CW1257" s="332"/>
      <c r="CX1257" s="332"/>
      <c r="CY1257" s="332"/>
      <c r="CZ1257" s="332"/>
      <c r="DA1257" s="332"/>
      <c r="DB1257" s="332"/>
      <c r="DC1257" s="332"/>
      <c r="DD1257" s="332"/>
      <c r="DE1257" s="332"/>
      <c r="DF1257" s="332"/>
      <c r="DG1257" s="332"/>
      <c r="DH1257" s="332"/>
      <c r="DI1257" s="332"/>
      <c r="DJ1257" s="332"/>
      <c r="DK1257" s="332"/>
      <c r="DL1257" s="332"/>
      <c r="DM1257" s="332"/>
      <c r="DN1257" s="332"/>
      <c r="DO1257" s="332"/>
      <c r="DP1257" s="332"/>
      <c r="DQ1257" s="332"/>
      <c r="DR1257" s="332"/>
      <c r="DS1257" s="332"/>
      <c r="DT1257" s="332"/>
      <c r="DU1257" s="453"/>
      <c r="DV1257" s="453"/>
      <c r="DW1257" s="453"/>
      <c r="DX1257" s="453"/>
      <c r="DY1257" s="453"/>
      <c r="DZ1257" s="453"/>
      <c r="EA1257" s="453"/>
      <c r="EB1257" s="453"/>
      <c r="EC1257" s="453"/>
      <c r="ED1257" s="453"/>
      <c r="EE1257" s="453"/>
      <c r="EF1257" s="453"/>
      <c r="EG1257" s="453"/>
      <c r="EH1257" s="453"/>
      <c r="EI1257" s="453"/>
      <c r="EJ1257" s="453"/>
      <c r="EK1257" s="453"/>
      <c r="EL1257" s="453"/>
      <c r="EM1257" s="483">
        <f t="shared" si="257"/>
        <v>948</v>
      </c>
      <c r="EN1257" s="485"/>
      <c r="EO1257" s="458"/>
      <c r="EP1257" s="467"/>
      <c r="EQ1257" s="457"/>
      <c r="ER1257" s="808"/>
      <c r="ES1257" s="881">
        <f t="shared" si="250"/>
        <v>0</v>
      </c>
      <c r="ET1257" s="882"/>
      <c r="EU1257" s="883"/>
      <c r="EV1257" s="884">
        <f t="shared" si="251"/>
        <v>0</v>
      </c>
      <c r="EW1257" s="885"/>
      <c r="EX1257" s="885"/>
      <c r="EY1257" s="885"/>
      <c r="EZ1257" s="885"/>
      <c r="FA1257" s="885"/>
      <c r="FB1257" s="885"/>
      <c r="FC1257" s="885"/>
      <c r="FD1257" s="886"/>
      <c r="FE1257" s="877"/>
      <c r="FF1257" s="877"/>
      <c r="FG1257" s="877"/>
      <c r="FH1257" s="877"/>
      <c r="FI1257" s="877"/>
      <c r="FJ1257" s="877"/>
      <c r="FK1257" s="877"/>
      <c r="FL1257" s="874"/>
      <c r="FM1257" s="875"/>
      <c r="FN1257" s="875"/>
      <c r="FO1257" s="875"/>
      <c r="FP1257" s="875"/>
      <c r="FQ1257" s="875"/>
      <c r="FR1257" s="875"/>
      <c r="FS1257" s="875"/>
      <c r="FT1257" s="875"/>
      <c r="FU1257" s="875"/>
      <c r="FV1257" s="875"/>
      <c r="FW1257" s="875"/>
      <c r="FX1257" s="875"/>
      <c r="FY1257" s="875"/>
      <c r="FZ1257" s="875"/>
      <c r="GA1257" s="875"/>
      <c r="GB1257" s="876"/>
      <c r="GC1257" s="370"/>
      <c r="GD1257" s="453"/>
      <c r="GE1257" s="453"/>
      <c r="GF1257" s="453"/>
      <c r="GG1257" s="453"/>
      <c r="GH1257" s="454"/>
      <c r="GI1257" s="453"/>
      <c r="GJ1257" s="453"/>
      <c r="GK1257" s="453"/>
      <c r="GL1257" s="453"/>
      <c r="GM1257" s="453"/>
      <c r="GN1257" s="453"/>
      <c r="GO1257" s="453"/>
      <c r="GP1257" s="453"/>
      <c r="GQ1257" s="453"/>
      <c r="GR1257" s="453"/>
      <c r="GS1257" s="561"/>
      <c r="GT1257" s="475"/>
      <c r="GU1257" s="472"/>
      <c r="GV1257" s="453"/>
      <c r="GW1257" s="453"/>
      <c r="GX1257" s="869"/>
      <c r="GY1257" s="870"/>
      <c r="GZ1257" s="867"/>
      <c r="HA1257" s="868"/>
      <c r="HB1257" s="473"/>
      <c r="HC1257" s="869"/>
      <c r="HD1257" s="870"/>
      <c r="HE1257" s="867"/>
      <c r="HF1257" s="868"/>
      <c r="HG1257" s="473"/>
      <c r="HH1257" s="867"/>
      <c r="HI1257" s="868"/>
      <c r="HJ1257" s="867"/>
      <c r="HK1257" s="868"/>
      <c r="HL1257" s="370"/>
      <c r="HM1257" s="865"/>
      <c r="HN1257" s="866"/>
      <c r="HO1257" s="865"/>
      <c r="HP1257" s="866"/>
      <c r="HQ1257" s="865"/>
      <c r="HR1257" s="866"/>
      <c r="HS1257" s="867"/>
      <c r="HT1257" s="868"/>
      <c r="HU1257" s="489"/>
      <c r="HV1257" s="865"/>
      <c r="HW1257" s="866"/>
    </row>
    <row r="1258" spans="25:231" ht="15" customHeight="1">
      <c r="Y1258" s="332"/>
      <c r="Z1258" s="332"/>
      <c r="AA1258" s="332"/>
      <c r="AB1258" s="332"/>
      <c r="AC1258" s="332"/>
      <c r="AD1258" s="332"/>
      <c r="AE1258" s="332"/>
      <c r="AF1258" s="332"/>
      <c r="AG1258" s="332"/>
      <c r="AH1258" s="332"/>
      <c r="AI1258" s="332"/>
      <c r="AJ1258" s="332"/>
      <c r="AK1258" s="332"/>
      <c r="AL1258" s="332"/>
      <c r="AM1258" s="332"/>
      <c r="AN1258" s="332"/>
      <c r="AO1258" s="332"/>
      <c r="AP1258" s="332"/>
      <c r="AQ1258" s="332"/>
      <c r="AR1258" s="332"/>
      <c r="AS1258" s="332"/>
      <c r="AT1258" s="332"/>
      <c r="AU1258" s="332"/>
      <c r="AV1258" s="332"/>
      <c r="AW1258" s="332"/>
      <c r="AX1258" s="332"/>
      <c r="AY1258" s="332"/>
      <c r="AZ1258" s="332"/>
      <c r="BA1258" s="332"/>
      <c r="BB1258" s="332"/>
      <c r="BC1258" s="332"/>
      <c r="BD1258" s="332"/>
      <c r="BE1258" s="332"/>
      <c r="BF1258" s="332"/>
      <c r="BG1258" s="332"/>
      <c r="BH1258" s="332"/>
      <c r="BI1258" s="332"/>
      <c r="BJ1258" s="332"/>
      <c r="BK1258" s="332"/>
      <c r="BL1258" s="332"/>
      <c r="BM1258" s="332"/>
      <c r="BN1258" s="332"/>
      <c r="BO1258" s="332"/>
      <c r="BP1258" s="332"/>
      <c r="BQ1258" s="332"/>
      <c r="BR1258" s="332"/>
      <c r="BS1258" s="332"/>
      <c r="BT1258" s="332"/>
      <c r="BU1258" s="332"/>
      <c r="BV1258" s="332"/>
      <c r="BW1258" s="332"/>
      <c r="BX1258" s="332"/>
      <c r="BY1258" s="332"/>
      <c r="BZ1258" s="332"/>
      <c r="CA1258" s="332"/>
      <c r="CB1258" s="332"/>
      <c r="CC1258" s="332"/>
      <c r="CD1258" s="332"/>
      <c r="CE1258" s="332"/>
      <c r="CF1258" s="332"/>
      <c r="CG1258" s="332"/>
      <c r="CH1258" s="332"/>
      <c r="CI1258" s="332"/>
      <c r="CJ1258" s="332"/>
      <c r="CK1258" s="332"/>
      <c r="CL1258" s="332"/>
      <c r="CM1258" s="332"/>
      <c r="CN1258" s="332"/>
      <c r="CO1258" s="332"/>
      <c r="CP1258" s="332"/>
      <c r="CQ1258" s="332"/>
      <c r="CR1258" s="332"/>
      <c r="CS1258" s="332"/>
      <c r="CT1258" s="332"/>
      <c r="CU1258" s="332"/>
      <c r="CV1258" s="332"/>
      <c r="CW1258" s="332"/>
      <c r="CX1258" s="332"/>
      <c r="CY1258" s="332"/>
      <c r="CZ1258" s="332"/>
      <c r="DA1258" s="332"/>
      <c r="DB1258" s="332"/>
      <c r="DC1258" s="332"/>
      <c r="DD1258" s="332"/>
      <c r="DE1258" s="332"/>
      <c r="DF1258" s="332"/>
      <c r="DG1258" s="332"/>
      <c r="DH1258" s="332"/>
      <c r="DI1258" s="332"/>
      <c r="DJ1258" s="332"/>
      <c r="DK1258" s="332"/>
      <c r="DL1258" s="332"/>
      <c r="DM1258" s="332"/>
      <c r="DN1258" s="332"/>
      <c r="DO1258" s="332"/>
      <c r="DP1258" s="332"/>
      <c r="DQ1258" s="332"/>
      <c r="DR1258" s="332"/>
      <c r="DS1258" s="332"/>
      <c r="DT1258" s="332"/>
      <c r="DU1258" s="453"/>
      <c r="DV1258" s="453"/>
      <c r="DW1258" s="453"/>
      <c r="DX1258" s="453"/>
      <c r="DY1258" s="453"/>
      <c r="DZ1258" s="453"/>
      <c r="EA1258" s="453"/>
      <c r="EB1258" s="453"/>
      <c r="EC1258" s="453"/>
      <c r="ED1258" s="453"/>
      <c r="EE1258" s="453"/>
      <c r="EF1258" s="453"/>
      <c r="EG1258" s="453"/>
      <c r="EH1258" s="453"/>
      <c r="EI1258" s="453"/>
      <c r="EJ1258" s="453"/>
      <c r="EK1258" s="453"/>
      <c r="EL1258" s="453"/>
      <c r="EM1258" s="483">
        <f t="shared" si="257"/>
        <v>949</v>
      </c>
      <c r="EN1258" s="485"/>
      <c r="EO1258" s="458"/>
      <c r="EP1258" s="467"/>
      <c r="EQ1258" s="457"/>
      <c r="ER1258" s="808"/>
      <c r="ES1258" s="881">
        <f t="shared" si="250"/>
        <v>0</v>
      </c>
      <c r="ET1258" s="882"/>
      <c r="EU1258" s="883"/>
      <c r="EV1258" s="884">
        <f t="shared" si="251"/>
        <v>0</v>
      </c>
      <c r="EW1258" s="885"/>
      <c r="EX1258" s="885"/>
      <c r="EY1258" s="885"/>
      <c r="EZ1258" s="885"/>
      <c r="FA1258" s="885"/>
      <c r="FB1258" s="885"/>
      <c r="FC1258" s="885"/>
      <c r="FD1258" s="886"/>
      <c r="FE1258" s="877"/>
      <c r="FF1258" s="877"/>
      <c r="FG1258" s="877"/>
      <c r="FH1258" s="877"/>
      <c r="FI1258" s="877"/>
      <c r="FJ1258" s="877"/>
      <c r="FK1258" s="877"/>
      <c r="FL1258" s="874"/>
      <c r="FM1258" s="875"/>
      <c r="FN1258" s="875"/>
      <c r="FO1258" s="875"/>
      <c r="FP1258" s="875"/>
      <c r="FQ1258" s="875"/>
      <c r="FR1258" s="875"/>
      <c r="FS1258" s="875"/>
      <c r="FT1258" s="875"/>
      <c r="FU1258" s="875"/>
      <c r="FV1258" s="875"/>
      <c r="FW1258" s="875"/>
      <c r="FX1258" s="875"/>
      <c r="FY1258" s="875"/>
      <c r="FZ1258" s="875"/>
      <c r="GA1258" s="875"/>
      <c r="GB1258" s="876"/>
      <c r="GC1258" s="370"/>
      <c r="GD1258" s="453"/>
      <c r="GE1258" s="453"/>
      <c r="GF1258" s="453"/>
      <c r="GG1258" s="453"/>
      <c r="GH1258" s="454"/>
      <c r="GI1258" s="453"/>
      <c r="GJ1258" s="453"/>
      <c r="GK1258" s="453"/>
      <c r="GL1258" s="453"/>
      <c r="GM1258" s="453"/>
      <c r="GN1258" s="453"/>
      <c r="GO1258" s="453"/>
      <c r="GP1258" s="453"/>
      <c r="GQ1258" s="453"/>
      <c r="GR1258" s="453"/>
      <c r="GS1258" s="561"/>
      <c r="GT1258" s="475"/>
      <c r="GU1258" s="472"/>
      <c r="GV1258" s="453"/>
      <c r="GW1258" s="453"/>
      <c r="GX1258" s="869"/>
      <c r="GY1258" s="870"/>
      <c r="GZ1258" s="867"/>
      <c r="HA1258" s="868"/>
      <c r="HB1258" s="473"/>
      <c r="HC1258" s="869"/>
      <c r="HD1258" s="870"/>
      <c r="HE1258" s="867"/>
      <c r="HF1258" s="868"/>
      <c r="HG1258" s="473"/>
      <c r="HH1258" s="867"/>
      <c r="HI1258" s="868"/>
      <c r="HJ1258" s="867"/>
      <c r="HK1258" s="868"/>
      <c r="HL1258" s="370"/>
      <c r="HM1258" s="865"/>
      <c r="HN1258" s="866"/>
      <c r="HO1258" s="865"/>
      <c r="HP1258" s="866"/>
      <c r="HQ1258" s="865"/>
      <c r="HR1258" s="866"/>
      <c r="HS1258" s="867"/>
      <c r="HT1258" s="868"/>
      <c r="HU1258" s="489"/>
      <c r="HV1258" s="865"/>
      <c r="HW1258" s="866"/>
    </row>
    <row r="1259" spans="25:231" ht="15" customHeight="1">
      <c r="Y1259" s="332"/>
      <c r="Z1259" s="332"/>
      <c r="AA1259" s="332"/>
      <c r="AB1259" s="332"/>
      <c r="AC1259" s="332"/>
      <c r="AD1259" s="332"/>
      <c r="AE1259" s="332"/>
      <c r="AF1259" s="332"/>
      <c r="AG1259" s="332"/>
      <c r="AH1259" s="332"/>
      <c r="AI1259" s="332"/>
      <c r="AJ1259" s="332"/>
      <c r="AK1259" s="332"/>
      <c r="AL1259" s="332"/>
      <c r="AM1259" s="332"/>
      <c r="AN1259" s="332"/>
      <c r="AO1259" s="332"/>
      <c r="AP1259" s="332"/>
      <c r="AQ1259" s="332"/>
      <c r="AR1259" s="332"/>
      <c r="AS1259" s="332"/>
      <c r="AT1259" s="332"/>
      <c r="AU1259" s="332"/>
      <c r="AV1259" s="332"/>
      <c r="AW1259" s="332"/>
      <c r="AX1259" s="332"/>
      <c r="AY1259" s="332"/>
      <c r="AZ1259" s="332"/>
      <c r="BA1259" s="332"/>
      <c r="BB1259" s="332"/>
      <c r="BC1259" s="332"/>
      <c r="BD1259" s="332"/>
      <c r="BE1259" s="332"/>
      <c r="BF1259" s="332"/>
      <c r="BG1259" s="332"/>
      <c r="BH1259" s="332"/>
      <c r="BI1259" s="332"/>
      <c r="BJ1259" s="332"/>
      <c r="BK1259" s="332"/>
      <c r="BL1259" s="332"/>
      <c r="BM1259" s="332"/>
      <c r="BN1259" s="332"/>
      <c r="BO1259" s="332"/>
      <c r="BP1259" s="332"/>
      <c r="BQ1259" s="332"/>
      <c r="BR1259" s="332"/>
      <c r="BS1259" s="332"/>
      <c r="BT1259" s="332"/>
      <c r="BU1259" s="332"/>
      <c r="BV1259" s="332"/>
      <c r="BW1259" s="332"/>
      <c r="BX1259" s="332"/>
      <c r="BY1259" s="332"/>
      <c r="BZ1259" s="332"/>
      <c r="CA1259" s="332"/>
      <c r="CB1259" s="332"/>
      <c r="CC1259" s="332"/>
      <c r="CD1259" s="332"/>
      <c r="CE1259" s="332"/>
      <c r="CF1259" s="332"/>
      <c r="CG1259" s="332"/>
      <c r="CH1259" s="332"/>
      <c r="CI1259" s="332"/>
      <c r="CJ1259" s="332"/>
      <c r="CK1259" s="332"/>
      <c r="CL1259" s="332"/>
      <c r="CM1259" s="332"/>
      <c r="CN1259" s="332"/>
      <c r="CO1259" s="332"/>
      <c r="CP1259" s="332"/>
      <c r="CQ1259" s="332"/>
      <c r="CR1259" s="332"/>
      <c r="CS1259" s="332"/>
      <c r="CT1259" s="332"/>
      <c r="CU1259" s="332"/>
      <c r="CV1259" s="332"/>
      <c r="CW1259" s="332"/>
      <c r="CX1259" s="332"/>
      <c r="CY1259" s="332"/>
      <c r="CZ1259" s="332"/>
      <c r="DA1259" s="332"/>
      <c r="DB1259" s="332"/>
      <c r="DC1259" s="332"/>
      <c r="DD1259" s="332"/>
      <c r="DE1259" s="332"/>
      <c r="DF1259" s="332"/>
      <c r="DG1259" s="332"/>
      <c r="DH1259" s="332"/>
      <c r="DI1259" s="332"/>
      <c r="DJ1259" s="332"/>
      <c r="DK1259" s="332"/>
      <c r="DL1259" s="332"/>
      <c r="DM1259" s="332"/>
      <c r="DN1259" s="332"/>
      <c r="DO1259" s="332"/>
      <c r="DP1259" s="332"/>
      <c r="DQ1259" s="332"/>
      <c r="DR1259" s="332"/>
      <c r="DS1259" s="332"/>
      <c r="DT1259" s="332"/>
      <c r="DU1259" s="453"/>
      <c r="DV1259" s="453"/>
      <c r="DW1259" s="453"/>
      <c r="DX1259" s="453"/>
      <c r="DY1259" s="453"/>
      <c r="DZ1259" s="453"/>
      <c r="EA1259" s="453"/>
      <c r="EB1259" s="453"/>
      <c r="EC1259" s="453"/>
      <c r="ED1259" s="453"/>
      <c r="EE1259" s="453"/>
      <c r="EF1259" s="453"/>
      <c r="EG1259" s="453"/>
      <c r="EH1259" s="453"/>
      <c r="EI1259" s="453"/>
      <c r="EJ1259" s="453"/>
      <c r="EK1259" s="453"/>
      <c r="EL1259" s="453"/>
      <c r="EM1259" s="483">
        <f t="shared" si="257"/>
        <v>950</v>
      </c>
      <c r="EN1259" s="485"/>
      <c r="EO1259" s="458"/>
      <c r="EP1259" s="467"/>
      <c r="EQ1259" s="457"/>
      <c r="ER1259" s="808"/>
      <c r="ES1259" s="881">
        <f t="shared" si="250"/>
        <v>0</v>
      </c>
      <c r="ET1259" s="882"/>
      <c r="EU1259" s="883"/>
      <c r="EV1259" s="884">
        <f t="shared" si="251"/>
        <v>0</v>
      </c>
      <c r="EW1259" s="885"/>
      <c r="EX1259" s="885"/>
      <c r="EY1259" s="885"/>
      <c r="EZ1259" s="885"/>
      <c r="FA1259" s="885"/>
      <c r="FB1259" s="885"/>
      <c r="FC1259" s="885"/>
      <c r="FD1259" s="886"/>
      <c r="FE1259" s="877"/>
      <c r="FF1259" s="877"/>
      <c r="FG1259" s="877"/>
      <c r="FH1259" s="877"/>
      <c r="FI1259" s="877"/>
      <c r="FJ1259" s="877"/>
      <c r="FK1259" s="877"/>
      <c r="FL1259" s="874"/>
      <c r="FM1259" s="875"/>
      <c r="FN1259" s="875"/>
      <c r="FO1259" s="875"/>
      <c r="FP1259" s="875"/>
      <c r="FQ1259" s="875"/>
      <c r="FR1259" s="875"/>
      <c r="FS1259" s="875"/>
      <c r="FT1259" s="875"/>
      <c r="FU1259" s="875"/>
      <c r="FV1259" s="875"/>
      <c r="FW1259" s="875"/>
      <c r="FX1259" s="875"/>
      <c r="FY1259" s="875"/>
      <c r="FZ1259" s="875"/>
      <c r="GA1259" s="875"/>
      <c r="GB1259" s="876"/>
      <c r="GC1259" s="370"/>
      <c r="GD1259" s="453"/>
      <c r="GE1259" s="453"/>
      <c r="GF1259" s="453"/>
      <c r="GG1259" s="453"/>
      <c r="GH1259" s="454"/>
      <c r="GI1259" s="453"/>
      <c r="GJ1259" s="453"/>
      <c r="GK1259" s="453"/>
      <c r="GL1259" s="453"/>
      <c r="GM1259" s="453"/>
      <c r="GN1259" s="453"/>
      <c r="GO1259" s="453"/>
      <c r="GP1259" s="453"/>
      <c r="GQ1259" s="453"/>
      <c r="GR1259" s="453"/>
      <c r="GS1259" s="561"/>
      <c r="GT1259" s="475"/>
      <c r="GU1259" s="472"/>
      <c r="GV1259" s="453"/>
      <c r="GW1259" s="453"/>
      <c r="GX1259" s="869"/>
      <c r="GY1259" s="870"/>
      <c r="GZ1259" s="867"/>
      <c r="HA1259" s="868"/>
      <c r="HB1259" s="473"/>
      <c r="HC1259" s="869"/>
      <c r="HD1259" s="870"/>
      <c r="HE1259" s="867"/>
      <c r="HF1259" s="868"/>
      <c r="HG1259" s="473"/>
      <c r="HH1259" s="867"/>
      <c r="HI1259" s="868"/>
      <c r="HJ1259" s="867"/>
      <c r="HK1259" s="868"/>
      <c r="HL1259" s="370"/>
      <c r="HM1259" s="865"/>
      <c r="HN1259" s="866"/>
      <c r="HO1259" s="865"/>
      <c r="HP1259" s="866"/>
      <c r="HQ1259" s="865"/>
      <c r="HR1259" s="866"/>
      <c r="HS1259" s="867"/>
      <c r="HT1259" s="868"/>
      <c r="HU1259" s="489"/>
      <c r="HV1259" s="865"/>
      <c r="HW1259" s="866"/>
    </row>
    <row r="1260" spans="25:231" ht="15" customHeight="1">
      <c r="Y1260" s="332"/>
      <c r="Z1260" s="332"/>
      <c r="AA1260" s="332"/>
      <c r="AB1260" s="332"/>
      <c r="AC1260" s="332"/>
      <c r="AD1260" s="332"/>
      <c r="AE1260" s="332"/>
      <c r="AF1260" s="332"/>
      <c r="AG1260" s="332"/>
      <c r="AH1260" s="332"/>
      <c r="AI1260" s="332"/>
      <c r="AJ1260" s="332"/>
      <c r="AK1260" s="332"/>
      <c r="AL1260" s="332"/>
      <c r="AM1260" s="332"/>
      <c r="AN1260" s="332"/>
      <c r="AO1260" s="332"/>
      <c r="AP1260" s="332"/>
      <c r="AQ1260" s="332"/>
      <c r="AR1260" s="332"/>
      <c r="AS1260" s="332"/>
      <c r="AT1260" s="332"/>
      <c r="AU1260" s="332"/>
      <c r="AV1260" s="332"/>
      <c r="AW1260" s="332"/>
      <c r="AX1260" s="332"/>
      <c r="AY1260" s="332"/>
      <c r="AZ1260" s="332"/>
      <c r="BA1260" s="332"/>
      <c r="BB1260" s="332"/>
      <c r="BC1260" s="332"/>
      <c r="BD1260" s="332"/>
      <c r="BE1260" s="332"/>
      <c r="BF1260" s="332"/>
      <c r="BG1260" s="332"/>
      <c r="BH1260" s="332"/>
      <c r="BI1260" s="332"/>
      <c r="BJ1260" s="332"/>
      <c r="BK1260" s="332"/>
      <c r="BL1260" s="332"/>
      <c r="BM1260" s="332"/>
      <c r="BN1260" s="332"/>
      <c r="BO1260" s="332"/>
      <c r="BP1260" s="332"/>
      <c r="BQ1260" s="332"/>
      <c r="BR1260" s="332"/>
      <c r="BS1260" s="332"/>
      <c r="BT1260" s="332"/>
      <c r="BU1260" s="332"/>
      <c r="BV1260" s="332"/>
      <c r="BW1260" s="332"/>
      <c r="BX1260" s="332"/>
      <c r="BY1260" s="332"/>
      <c r="BZ1260" s="332"/>
      <c r="CA1260" s="332"/>
      <c r="CB1260" s="332"/>
      <c r="CC1260" s="332"/>
      <c r="CD1260" s="332"/>
      <c r="CE1260" s="332"/>
      <c r="CF1260" s="332"/>
      <c r="CG1260" s="332"/>
      <c r="CH1260" s="332"/>
      <c r="CI1260" s="332"/>
      <c r="CJ1260" s="332"/>
      <c r="CK1260" s="332"/>
      <c r="CL1260" s="332"/>
      <c r="CM1260" s="332"/>
      <c r="CN1260" s="332"/>
      <c r="CO1260" s="332"/>
      <c r="CP1260" s="332"/>
      <c r="CQ1260" s="332"/>
      <c r="CR1260" s="332"/>
      <c r="CS1260" s="332"/>
      <c r="CT1260" s="332"/>
      <c r="CU1260" s="332"/>
      <c r="CV1260" s="332"/>
      <c r="CW1260" s="332"/>
      <c r="CX1260" s="332"/>
      <c r="CY1260" s="332"/>
      <c r="CZ1260" s="332"/>
      <c r="DA1260" s="332"/>
      <c r="DB1260" s="332"/>
      <c r="DC1260" s="332"/>
      <c r="DD1260" s="332"/>
      <c r="DE1260" s="332"/>
      <c r="DF1260" s="332"/>
      <c r="DG1260" s="332"/>
      <c r="DH1260" s="332"/>
      <c r="DI1260" s="332"/>
      <c r="DJ1260" s="332"/>
      <c r="DK1260" s="332"/>
      <c r="DL1260" s="332"/>
      <c r="DM1260" s="332"/>
      <c r="DN1260" s="332"/>
      <c r="DO1260" s="332"/>
      <c r="DP1260" s="332"/>
      <c r="DQ1260" s="332"/>
      <c r="DR1260" s="332"/>
      <c r="DS1260" s="332"/>
      <c r="DT1260" s="332"/>
      <c r="DU1260" s="453"/>
      <c r="DV1260" s="453"/>
      <c r="DW1260" s="453"/>
      <c r="DX1260" s="453"/>
      <c r="DY1260" s="453"/>
      <c r="DZ1260" s="453"/>
      <c r="EA1260" s="453"/>
      <c r="EB1260" s="453"/>
      <c r="EC1260" s="453"/>
      <c r="ED1260" s="453"/>
      <c r="EE1260" s="453"/>
      <c r="EF1260" s="453"/>
      <c r="EG1260" s="453"/>
      <c r="EH1260" s="453"/>
      <c r="EI1260" s="453"/>
      <c r="EJ1260" s="453"/>
      <c r="EK1260" s="453"/>
      <c r="EL1260" s="453"/>
      <c r="EM1260" s="483">
        <f t="shared" si="257"/>
        <v>951</v>
      </c>
      <c r="EN1260" s="485"/>
      <c r="EO1260" s="458"/>
      <c r="EP1260" s="467"/>
      <c r="EQ1260" s="457"/>
      <c r="ER1260" s="808"/>
      <c r="ES1260" s="881">
        <f t="shared" si="250"/>
        <v>0</v>
      </c>
      <c r="ET1260" s="882"/>
      <c r="EU1260" s="883"/>
      <c r="EV1260" s="884">
        <f t="shared" si="251"/>
        <v>0</v>
      </c>
      <c r="EW1260" s="885"/>
      <c r="EX1260" s="885"/>
      <c r="EY1260" s="885"/>
      <c r="EZ1260" s="885"/>
      <c r="FA1260" s="885"/>
      <c r="FB1260" s="885"/>
      <c r="FC1260" s="885"/>
      <c r="FD1260" s="886"/>
      <c r="FE1260" s="877"/>
      <c r="FF1260" s="877"/>
      <c r="FG1260" s="877"/>
      <c r="FH1260" s="877"/>
      <c r="FI1260" s="877"/>
      <c r="FJ1260" s="877"/>
      <c r="FK1260" s="877"/>
      <c r="FL1260" s="874"/>
      <c r="FM1260" s="875"/>
      <c r="FN1260" s="875"/>
      <c r="FO1260" s="875"/>
      <c r="FP1260" s="875"/>
      <c r="FQ1260" s="875"/>
      <c r="FR1260" s="875"/>
      <c r="FS1260" s="875"/>
      <c r="FT1260" s="875"/>
      <c r="FU1260" s="875"/>
      <c r="FV1260" s="875"/>
      <c r="FW1260" s="875"/>
      <c r="FX1260" s="875"/>
      <c r="FY1260" s="875"/>
      <c r="FZ1260" s="875"/>
      <c r="GA1260" s="875"/>
      <c r="GB1260" s="876"/>
      <c r="GC1260" s="370"/>
      <c r="GD1260" s="453"/>
      <c r="GE1260" s="453"/>
      <c r="GF1260" s="453"/>
      <c r="GG1260" s="453"/>
      <c r="GH1260" s="454"/>
      <c r="GI1260" s="453"/>
      <c r="GJ1260" s="453"/>
      <c r="GK1260" s="453"/>
      <c r="GL1260" s="453"/>
      <c r="GM1260" s="453"/>
      <c r="GN1260" s="453"/>
      <c r="GO1260" s="453"/>
      <c r="GP1260" s="453"/>
      <c r="GQ1260" s="453"/>
      <c r="GR1260" s="453"/>
      <c r="GS1260" s="561"/>
      <c r="GT1260" s="475"/>
      <c r="GU1260" s="472"/>
      <c r="GV1260" s="453"/>
      <c r="GW1260" s="453"/>
      <c r="GX1260" s="869"/>
      <c r="GY1260" s="870"/>
      <c r="GZ1260" s="867"/>
      <c r="HA1260" s="868"/>
      <c r="HB1260" s="473"/>
      <c r="HC1260" s="869"/>
      <c r="HD1260" s="870"/>
      <c r="HE1260" s="867"/>
      <c r="HF1260" s="868"/>
      <c r="HG1260" s="473"/>
      <c r="HH1260" s="867"/>
      <c r="HI1260" s="868"/>
      <c r="HJ1260" s="867"/>
      <c r="HK1260" s="868"/>
      <c r="HL1260" s="370"/>
      <c r="HM1260" s="865"/>
      <c r="HN1260" s="866"/>
      <c r="HO1260" s="865"/>
      <c r="HP1260" s="866"/>
      <c r="HQ1260" s="865"/>
      <c r="HR1260" s="866"/>
      <c r="HS1260" s="867"/>
      <c r="HT1260" s="868"/>
      <c r="HU1260" s="489"/>
      <c r="HV1260" s="865"/>
      <c r="HW1260" s="866"/>
    </row>
    <row r="1261" spans="25:231" ht="15" customHeight="1">
      <c r="Y1261" s="332"/>
      <c r="Z1261" s="332"/>
      <c r="AA1261" s="332"/>
      <c r="AB1261" s="332"/>
      <c r="AC1261" s="332"/>
      <c r="AD1261" s="332"/>
      <c r="AE1261" s="332"/>
      <c r="AF1261" s="332"/>
      <c r="AG1261" s="332"/>
      <c r="AH1261" s="332"/>
      <c r="AI1261" s="332"/>
      <c r="AJ1261" s="332"/>
      <c r="AK1261" s="332"/>
      <c r="AL1261" s="332"/>
      <c r="AM1261" s="332"/>
      <c r="AN1261" s="332"/>
      <c r="AO1261" s="332"/>
      <c r="AP1261" s="332"/>
      <c r="AQ1261" s="332"/>
      <c r="AR1261" s="332"/>
      <c r="AS1261" s="332"/>
      <c r="AT1261" s="332"/>
      <c r="AU1261" s="332"/>
      <c r="AV1261" s="332"/>
      <c r="AW1261" s="332"/>
      <c r="AX1261" s="332"/>
      <c r="AY1261" s="332"/>
      <c r="AZ1261" s="332"/>
      <c r="BA1261" s="332"/>
      <c r="BB1261" s="332"/>
      <c r="BC1261" s="332"/>
      <c r="BD1261" s="332"/>
      <c r="BE1261" s="332"/>
      <c r="BF1261" s="332"/>
      <c r="BG1261" s="332"/>
      <c r="BH1261" s="332"/>
      <c r="BI1261" s="332"/>
      <c r="BJ1261" s="332"/>
      <c r="BK1261" s="332"/>
      <c r="BL1261" s="332"/>
      <c r="BM1261" s="332"/>
      <c r="BN1261" s="332"/>
      <c r="BO1261" s="332"/>
      <c r="BP1261" s="332"/>
      <c r="BQ1261" s="332"/>
      <c r="BR1261" s="332"/>
      <c r="BS1261" s="332"/>
      <c r="BT1261" s="332"/>
      <c r="BU1261" s="332"/>
      <c r="BV1261" s="332"/>
      <c r="BW1261" s="332"/>
      <c r="BX1261" s="332"/>
      <c r="BY1261" s="332"/>
      <c r="BZ1261" s="332"/>
      <c r="CA1261" s="332"/>
      <c r="CB1261" s="332"/>
      <c r="CC1261" s="332"/>
      <c r="CD1261" s="332"/>
      <c r="CE1261" s="332"/>
      <c r="CF1261" s="332"/>
      <c r="CG1261" s="332"/>
      <c r="CH1261" s="332"/>
      <c r="CI1261" s="332"/>
      <c r="CJ1261" s="332"/>
      <c r="CK1261" s="332"/>
      <c r="CL1261" s="332"/>
      <c r="CM1261" s="332"/>
      <c r="CN1261" s="332"/>
      <c r="CO1261" s="332"/>
      <c r="CP1261" s="332"/>
      <c r="CQ1261" s="332"/>
      <c r="CR1261" s="332"/>
      <c r="CS1261" s="332"/>
      <c r="CT1261" s="332"/>
      <c r="CU1261" s="332"/>
      <c r="CV1261" s="332"/>
      <c r="CW1261" s="332"/>
      <c r="CX1261" s="332"/>
      <c r="CY1261" s="332"/>
      <c r="CZ1261" s="332"/>
      <c r="DA1261" s="332"/>
      <c r="DB1261" s="332"/>
      <c r="DC1261" s="332"/>
      <c r="DD1261" s="332"/>
      <c r="DE1261" s="332"/>
      <c r="DF1261" s="332"/>
      <c r="DG1261" s="332"/>
      <c r="DH1261" s="332"/>
      <c r="DI1261" s="332"/>
      <c r="DJ1261" s="332"/>
      <c r="DK1261" s="332"/>
      <c r="DL1261" s="332"/>
      <c r="DM1261" s="332"/>
      <c r="DN1261" s="332"/>
      <c r="DO1261" s="332"/>
      <c r="DP1261" s="332"/>
      <c r="DQ1261" s="332"/>
      <c r="DR1261" s="332"/>
      <c r="DS1261" s="332"/>
      <c r="DT1261" s="332"/>
      <c r="DU1261" s="453"/>
      <c r="DV1261" s="453"/>
      <c r="DW1261" s="453"/>
      <c r="DX1261" s="453"/>
      <c r="DY1261" s="453"/>
      <c r="DZ1261" s="453"/>
      <c r="EA1261" s="453"/>
      <c r="EB1261" s="453"/>
      <c r="EC1261" s="453"/>
      <c r="ED1261" s="453"/>
      <c r="EE1261" s="453"/>
      <c r="EF1261" s="453"/>
      <c r="EG1261" s="453"/>
      <c r="EH1261" s="453"/>
      <c r="EI1261" s="453"/>
      <c r="EJ1261" s="453"/>
      <c r="EK1261" s="453"/>
      <c r="EL1261" s="453"/>
      <c r="EM1261" s="483">
        <f t="shared" si="257"/>
        <v>952</v>
      </c>
      <c r="EN1261" s="485"/>
      <c r="EO1261" s="458"/>
      <c r="EP1261" s="467"/>
      <c r="EQ1261" s="457"/>
      <c r="ER1261" s="808"/>
      <c r="ES1261" s="881">
        <f t="shared" si="250"/>
        <v>0</v>
      </c>
      <c r="ET1261" s="882"/>
      <c r="EU1261" s="883"/>
      <c r="EV1261" s="884">
        <f t="shared" si="251"/>
        <v>0</v>
      </c>
      <c r="EW1261" s="885"/>
      <c r="EX1261" s="885"/>
      <c r="EY1261" s="885"/>
      <c r="EZ1261" s="885"/>
      <c r="FA1261" s="885"/>
      <c r="FB1261" s="885"/>
      <c r="FC1261" s="885"/>
      <c r="FD1261" s="886"/>
      <c r="FE1261" s="877"/>
      <c r="FF1261" s="877"/>
      <c r="FG1261" s="877"/>
      <c r="FH1261" s="877"/>
      <c r="FI1261" s="877"/>
      <c r="FJ1261" s="877"/>
      <c r="FK1261" s="877"/>
      <c r="FL1261" s="874"/>
      <c r="FM1261" s="875"/>
      <c r="FN1261" s="875"/>
      <c r="FO1261" s="875"/>
      <c r="FP1261" s="875"/>
      <c r="FQ1261" s="875"/>
      <c r="FR1261" s="875"/>
      <c r="FS1261" s="875"/>
      <c r="FT1261" s="875"/>
      <c r="FU1261" s="875"/>
      <c r="FV1261" s="875"/>
      <c r="FW1261" s="875"/>
      <c r="FX1261" s="875"/>
      <c r="FY1261" s="875"/>
      <c r="FZ1261" s="875"/>
      <c r="GA1261" s="875"/>
      <c r="GB1261" s="876"/>
      <c r="GC1261" s="370"/>
      <c r="GD1261" s="453"/>
      <c r="GE1261" s="453"/>
      <c r="GF1261" s="453"/>
      <c r="GG1261" s="453"/>
      <c r="GH1261" s="454"/>
      <c r="GI1261" s="453"/>
      <c r="GJ1261" s="453"/>
      <c r="GK1261" s="453"/>
      <c r="GL1261" s="453"/>
      <c r="GM1261" s="453"/>
      <c r="GN1261" s="453"/>
      <c r="GO1261" s="453"/>
      <c r="GP1261" s="453"/>
      <c r="GQ1261" s="453"/>
      <c r="GR1261" s="453"/>
      <c r="GS1261" s="561"/>
      <c r="GT1261" s="475"/>
      <c r="GU1261" s="472"/>
      <c r="GV1261" s="453"/>
      <c r="GW1261" s="453"/>
      <c r="GX1261" s="869"/>
      <c r="GY1261" s="870"/>
      <c r="GZ1261" s="867"/>
      <c r="HA1261" s="868"/>
      <c r="HB1261" s="473"/>
      <c r="HC1261" s="869"/>
      <c r="HD1261" s="870"/>
      <c r="HE1261" s="867"/>
      <c r="HF1261" s="868"/>
      <c r="HG1261" s="473"/>
      <c r="HH1261" s="867"/>
      <c r="HI1261" s="868"/>
      <c r="HJ1261" s="867"/>
      <c r="HK1261" s="868"/>
      <c r="HL1261" s="370"/>
      <c r="HM1261" s="865"/>
      <c r="HN1261" s="866"/>
      <c r="HO1261" s="865"/>
      <c r="HP1261" s="866"/>
      <c r="HQ1261" s="865"/>
      <c r="HR1261" s="866"/>
      <c r="HS1261" s="867"/>
      <c r="HT1261" s="868"/>
      <c r="HU1261" s="489"/>
      <c r="HV1261" s="865"/>
      <c r="HW1261" s="866"/>
    </row>
    <row r="1262" spans="25:231" ht="15" customHeight="1">
      <c r="Y1262" s="332"/>
      <c r="Z1262" s="332"/>
      <c r="AA1262" s="332"/>
      <c r="AB1262" s="332"/>
      <c r="AC1262" s="332"/>
      <c r="AD1262" s="332"/>
      <c r="AE1262" s="332"/>
      <c r="AF1262" s="332"/>
      <c r="AG1262" s="332"/>
      <c r="AH1262" s="332"/>
      <c r="AI1262" s="332"/>
      <c r="AJ1262" s="332"/>
      <c r="AK1262" s="332"/>
      <c r="AL1262" s="332"/>
      <c r="AM1262" s="332"/>
      <c r="AN1262" s="332"/>
      <c r="AO1262" s="332"/>
      <c r="AP1262" s="332"/>
      <c r="AQ1262" s="332"/>
      <c r="AR1262" s="332"/>
      <c r="AS1262" s="332"/>
      <c r="AT1262" s="332"/>
      <c r="AU1262" s="332"/>
      <c r="AV1262" s="332"/>
      <c r="AW1262" s="332"/>
      <c r="AX1262" s="332"/>
      <c r="AY1262" s="332"/>
      <c r="AZ1262" s="332"/>
      <c r="BA1262" s="332"/>
      <c r="BB1262" s="332"/>
      <c r="BC1262" s="332"/>
      <c r="BD1262" s="332"/>
      <c r="BE1262" s="332"/>
      <c r="BF1262" s="332"/>
      <c r="BG1262" s="332"/>
      <c r="BH1262" s="332"/>
      <c r="BI1262" s="332"/>
      <c r="BJ1262" s="332"/>
      <c r="BK1262" s="332"/>
      <c r="BL1262" s="332"/>
      <c r="BM1262" s="332"/>
      <c r="BN1262" s="332"/>
      <c r="BO1262" s="332"/>
      <c r="BP1262" s="332"/>
      <c r="BQ1262" s="332"/>
      <c r="BR1262" s="332"/>
      <c r="BS1262" s="332"/>
      <c r="BT1262" s="332"/>
      <c r="BU1262" s="332"/>
      <c r="BV1262" s="332"/>
      <c r="BW1262" s="332"/>
      <c r="BX1262" s="332"/>
      <c r="BY1262" s="332"/>
      <c r="BZ1262" s="332"/>
      <c r="CA1262" s="332"/>
      <c r="CB1262" s="332"/>
      <c r="CC1262" s="332"/>
      <c r="CD1262" s="332"/>
      <c r="CE1262" s="332"/>
      <c r="CF1262" s="332"/>
      <c r="CG1262" s="332"/>
      <c r="CH1262" s="332"/>
      <c r="CI1262" s="332"/>
      <c r="CJ1262" s="332"/>
      <c r="CK1262" s="332"/>
      <c r="CL1262" s="332"/>
      <c r="CM1262" s="332"/>
      <c r="CN1262" s="332"/>
      <c r="CO1262" s="332"/>
      <c r="CP1262" s="332"/>
      <c r="CQ1262" s="332"/>
      <c r="CR1262" s="332"/>
      <c r="CS1262" s="332"/>
      <c r="CT1262" s="332"/>
      <c r="CU1262" s="332"/>
      <c r="CV1262" s="332"/>
      <c r="CW1262" s="332"/>
      <c r="CX1262" s="332"/>
      <c r="CY1262" s="332"/>
      <c r="CZ1262" s="332"/>
      <c r="DA1262" s="332"/>
      <c r="DB1262" s="332"/>
      <c r="DC1262" s="332"/>
      <c r="DD1262" s="332"/>
      <c r="DE1262" s="332"/>
      <c r="DF1262" s="332"/>
      <c r="DG1262" s="332"/>
      <c r="DH1262" s="332"/>
      <c r="DI1262" s="332"/>
      <c r="DJ1262" s="332"/>
      <c r="DK1262" s="332"/>
      <c r="DL1262" s="332"/>
      <c r="DM1262" s="332"/>
      <c r="DN1262" s="332"/>
      <c r="DO1262" s="332"/>
      <c r="DP1262" s="332"/>
      <c r="DQ1262" s="332"/>
      <c r="DR1262" s="332"/>
      <c r="DS1262" s="332"/>
      <c r="DT1262" s="332"/>
      <c r="DU1262" s="453"/>
      <c r="DV1262" s="453"/>
      <c r="DW1262" s="453"/>
      <c r="DX1262" s="453"/>
      <c r="DY1262" s="453"/>
      <c r="DZ1262" s="453"/>
      <c r="EA1262" s="453"/>
      <c r="EB1262" s="453"/>
      <c r="EC1262" s="453"/>
      <c r="ED1262" s="453"/>
      <c r="EE1262" s="453"/>
      <c r="EF1262" s="453"/>
      <c r="EG1262" s="453"/>
      <c r="EH1262" s="453"/>
      <c r="EI1262" s="453"/>
      <c r="EJ1262" s="453"/>
      <c r="EK1262" s="453"/>
      <c r="EL1262" s="453"/>
      <c r="EM1262" s="483">
        <f t="shared" si="257"/>
        <v>953</v>
      </c>
      <c r="EN1262" s="485"/>
      <c r="EO1262" s="458"/>
      <c r="EP1262" s="467"/>
      <c r="EQ1262" s="457"/>
      <c r="ER1262" s="808"/>
      <c r="ES1262" s="881">
        <f t="shared" si="250"/>
        <v>0</v>
      </c>
      <c r="ET1262" s="882"/>
      <c r="EU1262" s="883"/>
      <c r="EV1262" s="884">
        <f t="shared" si="251"/>
        <v>0</v>
      </c>
      <c r="EW1262" s="885"/>
      <c r="EX1262" s="885"/>
      <c r="EY1262" s="885"/>
      <c r="EZ1262" s="885"/>
      <c r="FA1262" s="885"/>
      <c r="FB1262" s="885"/>
      <c r="FC1262" s="885"/>
      <c r="FD1262" s="886"/>
      <c r="FE1262" s="877"/>
      <c r="FF1262" s="877"/>
      <c r="FG1262" s="877"/>
      <c r="FH1262" s="877"/>
      <c r="FI1262" s="877"/>
      <c r="FJ1262" s="877"/>
      <c r="FK1262" s="877"/>
      <c r="FL1262" s="874"/>
      <c r="FM1262" s="875"/>
      <c r="FN1262" s="875"/>
      <c r="FO1262" s="875"/>
      <c r="FP1262" s="875"/>
      <c r="FQ1262" s="875"/>
      <c r="FR1262" s="875"/>
      <c r="FS1262" s="875"/>
      <c r="FT1262" s="875"/>
      <c r="FU1262" s="875"/>
      <c r="FV1262" s="875"/>
      <c r="FW1262" s="875"/>
      <c r="FX1262" s="875"/>
      <c r="FY1262" s="875"/>
      <c r="FZ1262" s="875"/>
      <c r="GA1262" s="875"/>
      <c r="GB1262" s="876"/>
      <c r="GC1262" s="370"/>
      <c r="GD1262" s="453"/>
      <c r="GE1262" s="453"/>
      <c r="GF1262" s="453"/>
      <c r="GG1262" s="453"/>
      <c r="GH1262" s="454"/>
      <c r="GI1262" s="453"/>
      <c r="GJ1262" s="453"/>
      <c r="GK1262" s="453"/>
      <c r="GL1262" s="453"/>
      <c r="GM1262" s="453"/>
      <c r="GN1262" s="453"/>
      <c r="GO1262" s="453"/>
      <c r="GP1262" s="453"/>
      <c r="GQ1262" s="453"/>
      <c r="GR1262" s="453"/>
      <c r="GS1262" s="561"/>
      <c r="GT1262" s="475"/>
      <c r="GU1262" s="472"/>
      <c r="GV1262" s="453"/>
      <c r="GW1262" s="453"/>
      <c r="GX1262" s="869"/>
      <c r="GY1262" s="870"/>
      <c r="GZ1262" s="867"/>
      <c r="HA1262" s="868"/>
      <c r="HB1262" s="473"/>
      <c r="HC1262" s="869"/>
      <c r="HD1262" s="870"/>
      <c r="HE1262" s="867"/>
      <c r="HF1262" s="868"/>
      <c r="HG1262" s="473"/>
      <c r="HH1262" s="867"/>
      <c r="HI1262" s="868"/>
      <c r="HJ1262" s="867"/>
      <c r="HK1262" s="868"/>
      <c r="HL1262" s="370"/>
      <c r="HM1262" s="865"/>
      <c r="HN1262" s="866"/>
      <c r="HO1262" s="865"/>
      <c r="HP1262" s="866"/>
      <c r="HQ1262" s="865"/>
      <c r="HR1262" s="866"/>
      <c r="HS1262" s="867"/>
      <c r="HT1262" s="868"/>
      <c r="HU1262" s="489"/>
      <c r="HV1262" s="865"/>
      <c r="HW1262" s="866"/>
    </row>
    <row r="1263" spans="25:231" ht="15" customHeight="1">
      <c r="Y1263" s="332"/>
      <c r="Z1263" s="332"/>
      <c r="AA1263" s="332"/>
      <c r="AB1263" s="332"/>
      <c r="AC1263" s="332"/>
      <c r="AD1263" s="332"/>
      <c r="AE1263" s="332"/>
      <c r="AF1263" s="332"/>
      <c r="AG1263" s="332"/>
      <c r="AH1263" s="332"/>
      <c r="AI1263" s="332"/>
      <c r="AJ1263" s="332"/>
      <c r="AK1263" s="332"/>
      <c r="AL1263" s="332"/>
      <c r="AM1263" s="332"/>
      <c r="AN1263" s="332"/>
      <c r="AO1263" s="332"/>
      <c r="AP1263" s="332"/>
      <c r="AQ1263" s="332"/>
      <c r="AR1263" s="332"/>
      <c r="AS1263" s="332"/>
      <c r="AT1263" s="332"/>
      <c r="AU1263" s="332"/>
      <c r="AV1263" s="332"/>
      <c r="AW1263" s="332"/>
      <c r="AX1263" s="332"/>
      <c r="AY1263" s="332"/>
      <c r="AZ1263" s="332"/>
      <c r="BA1263" s="332"/>
      <c r="BB1263" s="332"/>
      <c r="BC1263" s="332"/>
      <c r="BD1263" s="332"/>
      <c r="BE1263" s="332"/>
      <c r="BF1263" s="332"/>
      <c r="BG1263" s="332"/>
      <c r="BH1263" s="332"/>
      <c r="BI1263" s="332"/>
      <c r="BJ1263" s="332"/>
      <c r="BK1263" s="332"/>
      <c r="BL1263" s="332"/>
      <c r="BM1263" s="332"/>
      <c r="BN1263" s="332"/>
      <c r="BO1263" s="332"/>
      <c r="BP1263" s="332"/>
      <c r="BQ1263" s="332"/>
      <c r="BR1263" s="332"/>
      <c r="BS1263" s="332"/>
      <c r="BT1263" s="332"/>
      <c r="BU1263" s="332"/>
      <c r="BV1263" s="332"/>
      <c r="BW1263" s="332"/>
      <c r="BX1263" s="332"/>
      <c r="BY1263" s="332"/>
      <c r="BZ1263" s="332"/>
      <c r="CA1263" s="332"/>
      <c r="CB1263" s="332"/>
      <c r="CC1263" s="332"/>
      <c r="CD1263" s="332"/>
      <c r="CE1263" s="332"/>
      <c r="CF1263" s="332"/>
      <c r="CG1263" s="332"/>
      <c r="CH1263" s="332"/>
      <c r="CI1263" s="332"/>
      <c r="CJ1263" s="332"/>
      <c r="CK1263" s="332"/>
      <c r="CL1263" s="332"/>
      <c r="CM1263" s="332"/>
      <c r="CN1263" s="332"/>
      <c r="CO1263" s="332"/>
      <c r="CP1263" s="332"/>
      <c r="CQ1263" s="332"/>
      <c r="CR1263" s="332"/>
      <c r="CS1263" s="332"/>
      <c r="CT1263" s="332"/>
      <c r="CU1263" s="332"/>
      <c r="CV1263" s="332"/>
      <c r="CW1263" s="332"/>
      <c r="CX1263" s="332"/>
      <c r="CY1263" s="332"/>
      <c r="CZ1263" s="332"/>
      <c r="DA1263" s="332"/>
      <c r="DB1263" s="332"/>
      <c r="DC1263" s="332"/>
      <c r="DD1263" s="332"/>
      <c r="DE1263" s="332"/>
      <c r="DF1263" s="332"/>
      <c r="DG1263" s="332"/>
      <c r="DH1263" s="332"/>
      <c r="DI1263" s="332"/>
      <c r="DJ1263" s="332"/>
      <c r="DK1263" s="332"/>
      <c r="DL1263" s="332"/>
      <c r="DM1263" s="332"/>
      <c r="DN1263" s="332"/>
      <c r="DO1263" s="332"/>
      <c r="DP1263" s="332"/>
      <c r="DQ1263" s="332"/>
      <c r="DR1263" s="332"/>
      <c r="DS1263" s="332"/>
      <c r="DT1263" s="332"/>
      <c r="DU1263" s="453"/>
      <c r="DV1263" s="453"/>
      <c r="DW1263" s="453"/>
      <c r="DX1263" s="453"/>
      <c r="DY1263" s="453"/>
      <c r="DZ1263" s="453"/>
      <c r="EA1263" s="453"/>
      <c r="EB1263" s="453"/>
      <c r="EC1263" s="453"/>
      <c r="ED1263" s="453"/>
      <c r="EE1263" s="453"/>
      <c r="EF1263" s="453"/>
      <c r="EG1263" s="453"/>
      <c r="EH1263" s="453"/>
      <c r="EI1263" s="453"/>
      <c r="EJ1263" s="453"/>
      <c r="EK1263" s="453"/>
      <c r="EL1263" s="453"/>
      <c r="EM1263" s="483">
        <f t="shared" si="257"/>
        <v>954</v>
      </c>
      <c r="EN1263" s="485"/>
      <c r="EO1263" s="458"/>
      <c r="EP1263" s="467"/>
      <c r="EQ1263" s="457"/>
      <c r="ER1263" s="808"/>
      <c r="ES1263" s="881">
        <f t="shared" si="250"/>
        <v>0</v>
      </c>
      <c r="ET1263" s="882"/>
      <c r="EU1263" s="883"/>
      <c r="EV1263" s="884">
        <f t="shared" si="251"/>
        <v>0</v>
      </c>
      <c r="EW1263" s="885"/>
      <c r="EX1263" s="885"/>
      <c r="EY1263" s="885"/>
      <c r="EZ1263" s="885"/>
      <c r="FA1263" s="885"/>
      <c r="FB1263" s="885"/>
      <c r="FC1263" s="885"/>
      <c r="FD1263" s="886"/>
      <c r="FE1263" s="877"/>
      <c r="FF1263" s="877"/>
      <c r="FG1263" s="877"/>
      <c r="FH1263" s="877"/>
      <c r="FI1263" s="877"/>
      <c r="FJ1263" s="877"/>
      <c r="FK1263" s="877"/>
      <c r="FL1263" s="874"/>
      <c r="FM1263" s="875"/>
      <c r="FN1263" s="875"/>
      <c r="FO1263" s="875"/>
      <c r="FP1263" s="875"/>
      <c r="FQ1263" s="875"/>
      <c r="FR1263" s="875"/>
      <c r="FS1263" s="875"/>
      <c r="FT1263" s="875"/>
      <c r="FU1263" s="875"/>
      <c r="FV1263" s="875"/>
      <c r="FW1263" s="875"/>
      <c r="FX1263" s="875"/>
      <c r="FY1263" s="875"/>
      <c r="FZ1263" s="875"/>
      <c r="GA1263" s="875"/>
      <c r="GB1263" s="876"/>
      <c r="GC1263" s="370"/>
      <c r="GD1263" s="453"/>
      <c r="GE1263" s="453"/>
      <c r="GF1263" s="453"/>
      <c r="GG1263" s="453"/>
      <c r="GH1263" s="454"/>
      <c r="GI1263" s="453"/>
      <c r="GJ1263" s="453"/>
      <c r="GK1263" s="453"/>
      <c r="GL1263" s="453"/>
      <c r="GM1263" s="453"/>
      <c r="GN1263" s="453"/>
      <c r="GO1263" s="453"/>
      <c r="GP1263" s="453"/>
      <c r="GQ1263" s="453"/>
      <c r="GR1263" s="453"/>
      <c r="GS1263" s="561"/>
      <c r="GT1263" s="475"/>
      <c r="GU1263" s="472"/>
      <c r="GV1263" s="453"/>
      <c r="GW1263" s="453"/>
      <c r="GX1263" s="869"/>
      <c r="GY1263" s="870"/>
      <c r="GZ1263" s="867"/>
      <c r="HA1263" s="868"/>
      <c r="HB1263" s="473"/>
      <c r="HC1263" s="869"/>
      <c r="HD1263" s="870"/>
      <c r="HE1263" s="867"/>
      <c r="HF1263" s="868"/>
      <c r="HG1263" s="473"/>
      <c r="HH1263" s="867"/>
      <c r="HI1263" s="868"/>
      <c r="HJ1263" s="867"/>
      <c r="HK1263" s="868"/>
      <c r="HL1263" s="370"/>
      <c r="HM1263" s="865"/>
      <c r="HN1263" s="866"/>
      <c r="HO1263" s="865"/>
      <c r="HP1263" s="866"/>
      <c r="HQ1263" s="865"/>
      <c r="HR1263" s="866"/>
      <c r="HS1263" s="867"/>
      <c r="HT1263" s="868"/>
      <c r="HU1263" s="489"/>
      <c r="HV1263" s="865"/>
      <c r="HW1263" s="866"/>
    </row>
    <row r="1264" spans="25:231" ht="15" customHeight="1">
      <c r="Y1264" s="332"/>
      <c r="Z1264" s="332"/>
      <c r="AA1264" s="332"/>
      <c r="AB1264" s="332"/>
      <c r="AC1264" s="332"/>
      <c r="AD1264" s="332"/>
      <c r="AE1264" s="332"/>
      <c r="AF1264" s="332"/>
      <c r="AG1264" s="332"/>
      <c r="AH1264" s="332"/>
      <c r="AI1264" s="332"/>
      <c r="AJ1264" s="332"/>
      <c r="AK1264" s="332"/>
      <c r="AL1264" s="332"/>
      <c r="AM1264" s="332"/>
      <c r="AN1264" s="332"/>
      <c r="AO1264" s="332"/>
      <c r="AP1264" s="332"/>
      <c r="AQ1264" s="332"/>
      <c r="AR1264" s="332"/>
      <c r="AS1264" s="332"/>
      <c r="AT1264" s="332"/>
      <c r="AU1264" s="332"/>
      <c r="AV1264" s="332"/>
      <c r="AW1264" s="332"/>
      <c r="AX1264" s="332"/>
      <c r="AY1264" s="332"/>
      <c r="AZ1264" s="332"/>
      <c r="BA1264" s="332"/>
      <c r="BB1264" s="332"/>
      <c r="BC1264" s="332"/>
      <c r="BD1264" s="332"/>
      <c r="BE1264" s="332"/>
      <c r="BF1264" s="332"/>
      <c r="BG1264" s="332"/>
      <c r="BH1264" s="332"/>
      <c r="BI1264" s="332"/>
      <c r="BJ1264" s="332"/>
      <c r="BK1264" s="332"/>
      <c r="BL1264" s="332"/>
      <c r="BM1264" s="332"/>
      <c r="BN1264" s="332"/>
      <c r="BO1264" s="332"/>
      <c r="BP1264" s="332"/>
      <c r="BQ1264" s="332"/>
      <c r="BR1264" s="332"/>
      <c r="BS1264" s="332"/>
      <c r="BT1264" s="332"/>
      <c r="BU1264" s="332"/>
      <c r="BV1264" s="332"/>
      <c r="BW1264" s="332"/>
      <c r="BX1264" s="332"/>
      <c r="BY1264" s="332"/>
      <c r="BZ1264" s="332"/>
      <c r="CA1264" s="332"/>
      <c r="CB1264" s="332"/>
      <c r="CC1264" s="332"/>
      <c r="CD1264" s="332"/>
      <c r="CE1264" s="332"/>
      <c r="CF1264" s="332"/>
      <c r="CG1264" s="332"/>
      <c r="CH1264" s="332"/>
      <c r="CI1264" s="332"/>
      <c r="CJ1264" s="332"/>
      <c r="CK1264" s="332"/>
      <c r="CL1264" s="332"/>
      <c r="CM1264" s="332"/>
      <c r="CN1264" s="332"/>
      <c r="CO1264" s="332"/>
      <c r="CP1264" s="332"/>
      <c r="CQ1264" s="332"/>
      <c r="CR1264" s="332"/>
      <c r="CS1264" s="332"/>
      <c r="CT1264" s="332"/>
      <c r="CU1264" s="332"/>
      <c r="CV1264" s="332"/>
      <c r="CW1264" s="332"/>
      <c r="CX1264" s="332"/>
      <c r="CY1264" s="332"/>
      <c r="CZ1264" s="332"/>
      <c r="DA1264" s="332"/>
      <c r="DB1264" s="332"/>
      <c r="DC1264" s="332"/>
      <c r="DD1264" s="332"/>
      <c r="DE1264" s="332"/>
      <c r="DF1264" s="332"/>
      <c r="DG1264" s="332"/>
      <c r="DH1264" s="332"/>
      <c r="DI1264" s="332"/>
      <c r="DJ1264" s="332"/>
      <c r="DK1264" s="332"/>
      <c r="DL1264" s="332"/>
      <c r="DM1264" s="332"/>
      <c r="DN1264" s="332"/>
      <c r="DO1264" s="332"/>
      <c r="DP1264" s="332"/>
      <c r="DQ1264" s="332"/>
      <c r="DR1264" s="332"/>
      <c r="DS1264" s="332"/>
      <c r="DT1264" s="332"/>
      <c r="DU1264" s="453"/>
      <c r="DV1264" s="453"/>
      <c r="DW1264" s="453"/>
      <c r="DX1264" s="453"/>
      <c r="DY1264" s="453"/>
      <c r="DZ1264" s="453"/>
      <c r="EA1264" s="453"/>
      <c r="EB1264" s="453"/>
      <c r="EC1264" s="453"/>
      <c r="ED1264" s="453"/>
      <c r="EE1264" s="453"/>
      <c r="EF1264" s="453"/>
      <c r="EG1264" s="453"/>
      <c r="EH1264" s="453"/>
      <c r="EI1264" s="453"/>
      <c r="EJ1264" s="453"/>
      <c r="EK1264" s="453"/>
      <c r="EL1264" s="453"/>
      <c r="EM1264" s="483">
        <f t="shared" si="257"/>
        <v>955</v>
      </c>
      <c r="EN1264" s="485"/>
      <c r="EO1264" s="458"/>
      <c r="EP1264" s="467"/>
      <c r="EQ1264" s="457"/>
      <c r="ER1264" s="808"/>
      <c r="ES1264" s="881">
        <f t="shared" ref="ES1264:ES1327" si="260">IF(OR(EO1264 = "", EP1264 = 0, EP1264 = "", EQ1264 = 0, EQ1264 = "", ER1264 = 0, ER1264 = ""), 0,
IF(EO1264 &lt;&gt; "ACCION", EP1264 * ER1264 * -100,  EP1264 * ER1264 * -1))</f>
        <v>0</v>
      </c>
      <c r="ET1264" s="882"/>
      <c r="EU1264" s="883"/>
      <c r="EV1264" s="884">
        <f t="shared" ref="EV1264:EV1327" si="261">+IF(OR(EO1264 = "", EP1264 = 0, EP1264 = "", EQ1264 = 0, EQ1264 = "", ER1264 = 0, ER1264 = ""), 0,
IF(EO1264 &lt;&gt; "ACCION",
IF(EP1264 &gt; 0, EP1264 * ER1264 * -100 * ( 1 + COMIS_OPCION), EP1264 * ER1264 * -100 * ( 1 - COMIS_OPCION)),
IF(EP1264 &gt; 0, EP1264 * ER1264 * -1 * ( 1 + COMIS_ACCION), EP1264 * ER1264 * -1 * ( 1 - COMIS_ACCION))  ))</f>
        <v>0</v>
      </c>
      <c r="EW1264" s="885"/>
      <c r="EX1264" s="885"/>
      <c r="EY1264" s="885"/>
      <c r="EZ1264" s="885"/>
      <c r="FA1264" s="885"/>
      <c r="FB1264" s="885"/>
      <c r="FC1264" s="885"/>
      <c r="FD1264" s="886"/>
      <c r="FE1264" s="877"/>
      <c r="FF1264" s="877"/>
      <c r="FG1264" s="877"/>
      <c r="FH1264" s="877"/>
      <c r="FI1264" s="877"/>
      <c r="FJ1264" s="877"/>
      <c r="FK1264" s="877"/>
      <c r="FL1264" s="874"/>
      <c r="FM1264" s="875"/>
      <c r="FN1264" s="875"/>
      <c r="FO1264" s="875"/>
      <c r="FP1264" s="875"/>
      <c r="FQ1264" s="875"/>
      <c r="FR1264" s="875"/>
      <c r="FS1264" s="875"/>
      <c r="FT1264" s="875"/>
      <c r="FU1264" s="875"/>
      <c r="FV1264" s="875"/>
      <c r="FW1264" s="875"/>
      <c r="FX1264" s="875"/>
      <c r="FY1264" s="875"/>
      <c r="FZ1264" s="875"/>
      <c r="GA1264" s="875"/>
      <c r="GB1264" s="876"/>
      <c r="GC1264" s="370"/>
      <c r="GD1264" s="453"/>
      <c r="GE1264" s="453"/>
      <c r="GF1264" s="453"/>
      <c r="GG1264" s="453"/>
      <c r="GH1264" s="454"/>
      <c r="GI1264" s="453"/>
      <c r="GJ1264" s="453"/>
      <c r="GK1264" s="453"/>
      <c r="GL1264" s="453"/>
      <c r="GM1264" s="453"/>
      <c r="GN1264" s="453"/>
      <c r="GO1264" s="453"/>
      <c r="GP1264" s="453"/>
      <c r="GQ1264" s="453"/>
      <c r="GR1264" s="453"/>
      <c r="GS1264" s="561"/>
      <c r="GT1264" s="475"/>
      <c r="GU1264" s="472"/>
      <c r="GV1264" s="453"/>
      <c r="GW1264" s="453"/>
      <c r="GX1264" s="869"/>
      <c r="GY1264" s="870"/>
      <c r="GZ1264" s="867"/>
      <c r="HA1264" s="868"/>
      <c r="HB1264" s="473"/>
      <c r="HC1264" s="869"/>
      <c r="HD1264" s="870"/>
      <c r="HE1264" s="867"/>
      <c r="HF1264" s="868"/>
      <c r="HG1264" s="473"/>
      <c r="HH1264" s="867"/>
      <c r="HI1264" s="868"/>
      <c r="HJ1264" s="867"/>
      <c r="HK1264" s="868"/>
      <c r="HL1264" s="370"/>
      <c r="HM1264" s="865"/>
      <c r="HN1264" s="866"/>
      <c r="HO1264" s="865"/>
      <c r="HP1264" s="866"/>
      <c r="HQ1264" s="865"/>
      <c r="HR1264" s="866"/>
      <c r="HS1264" s="867"/>
      <c r="HT1264" s="868"/>
      <c r="HU1264" s="489"/>
      <c r="HV1264" s="865"/>
      <c r="HW1264" s="866"/>
    </row>
    <row r="1265" spans="25:231" ht="15" customHeight="1">
      <c r="Y1265" s="332"/>
      <c r="Z1265" s="332"/>
      <c r="AA1265" s="332"/>
      <c r="AB1265" s="332"/>
      <c r="AC1265" s="332"/>
      <c r="AD1265" s="332"/>
      <c r="AE1265" s="332"/>
      <c r="AF1265" s="332"/>
      <c r="AG1265" s="332"/>
      <c r="AH1265" s="332"/>
      <c r="AI1265" s="332"/>
      <c r="AJ1265" s="332"/>
      <c r="AK1265" s="332"/>
      <c r="AL1265" s="332"/>
      <c r="AM1265" s="332"/>
      <c r="AN1265" s="332"/>
      <c r="AO1265" s="332"/>
      <c r="AP1265" s="332"/>
      <c r="AQ1265" s="332"/>
      <c r="AR1265" s="332"/>
      <c r="AS1265" s="332"/>
      <c r="AT1265" s="332"/>
      <c r="AU1265" s="332"/>
      <c r="AV1265" s="332"/>
      <c r="AW1265" s="332"/>
      <c r="AX1265" s="332"/>
      <c r="AY1265" s="332"/>
      <c r="AZ1265" s="332"/>
      <c r="BA1265" s="332"/>
      <c r="BB1265" s="332"/>
      <c r="BC1265" s="332"/>
      <c r="BD1265" s="332"/>
      <c r="BE1265" s="332"/>
      <c r="BF1265" s="332"/>
      <c r="BG1265" s="332"/>
      <c r="BH1265" s="332"/>
      <c r="BI1265" s="332"/>
      <c r="BJ1265" s="332"/>
      <c r="BK1265" s="332"/>
      <c r="BL1265" s="332"/>
      <c r="BM1265" s="332"/>
      <c r="BN1265" s="332"/>
      <c r="BO1265" s="332"/>
      <c r="BP1265" s="332"/>
      <c r="BQ1265" s="332"/>
      <c r="BR1265" s="332"/>
      <c r="BS1265" s="332"/>
      <c r="BT1265" s="332"/>
      <c r="BU1265" s="332"/>
      <c r="BV1265" s="332"/>
      <c r="BW1265" s="332"/>
      <c r="BX1265" s="332"/>
      <c r="BY1265" s="332"/>
      <c r="BZ1265" s="332"/>
      <c r="CA1265" s="332"/>
      <c r="CB1265" s="332"/>
      <c r="CC1265" s="332"/>
      <c r="CD1265" s="332"/>
      <c r="CE1265" s="332"/>
      <c r="CF1265" s="332"/>
      <c r="CG1265" s="332"/>
      <c r="CH1265" s="332"/>
      <c r="CI1265" s="332"/>
      <c r="CJ1265" s="332"/>
      <c r="CK1265" s="332"/>
      <c r="CL1265" s="332"/>
      <c r="CM1265" s="332"/>
      <c r="CN1265" s="332"/>
      <c r="CO1265" s="332"/>
      <c r="CP1265" s="332"/>
      <c r="CQ1265" s="332"/>
      <c r="CR1265" s="332"/>
      <c r="CS1265" s="332"/>
      <c r="CT1265" s="332"/>
      <c r="CU1265" s="332"/>
      <c r="CV1265" s="332"/>
      <c r="CW1265" s="332"/>
      <c r="CX1265" s="332"/>
      <c r="CY1265" s="332"/>
      <c r="CZ1265" s="332"/>
      <c r="DA1265" s="332"/>
      <c r="DB1265" s="332"/>
      <c r="DC1265" s="332"/>
      <c r="DD1265" s="332"/>
      <c r="DE1265" s="332"/>
      <c r="DF1265" s="332"/>
      <c r="DG1265" s="332"/>
      <c r="DH1265" s="332"/>
      <c r="DI1265" s="332"/>
      <c r="DJ1265" s="332"/>
      <c r="DK1265" s="332"/>
      <c r="DL1265" s="332"/>
      <c r="DM1265" s="332"/>
      <c r="DN1265" s="332"/>
      <c r="DO1265" s="332"/>
      <c r="DP1265" s="332"/>
      <c r="DQ1265" s="332"/>
      <c r="DR1265" s="332"/>
      <c r="DS1265" s="332"/>
      <c r="DT1265" s="332"/>
      <c r="DU1265" s="453"/>
      <c r="DV1265" s="453"/>
      <c r="DW1265" s="453"/>
      <c r="DX1265" s="453"/>
      <c r="DY1265" s="453"/>
      <c r="DZ1265" s="453"/>
      <c r="EA1265" s="453"/>
      <c r="EB1265" s="453"/>
      <c r="EC1265" s="453"/>
      <c r="ED1265" s="453"/>
      <c r="EE1265" s="453"/>
      <c r="EF1265" s="453"/>
      <c r="EG1265" s="453"/>
      <c r="EH1265" s="453"/>
      <c r="EI1265" s="453"/>
      <c r="EJ1265" s="453"/>
      <c r="EK1265" s="453"/>
      <c r="EL1265" s="453"/>
      <c r="EM1265" s="483">
        <f t="shared" si="257"/>
        <v>956</v>
      </c>
      <c r="EN1265" s="485"/>
      <c r="EO1265" s="458"/>
      <c r="EP1265" s="467"/>
      <c r="EQ1265" s="457"/>
      <c r="ER1265" s="808"/>
      <c r="ES1265" s="881">
        <f t="shared" si="260"/>
        <v>0</v>
      </c>
      <c r="ET1265" s="882"/>
      <c r="EU1265" s="883"/>
      <c r="EV1265" s="884">
        <f t="shared" si="261"/>
        <v>0</v>
      </c>
      <c r="EW1265" s="885"/>
      <c r="EX1265" s="885"/>
      <c r="EY1265" s="885"/>
      <c r="EZ1265" s="885"/>
      <c r="FA1265" s="885"/>
      <c r="FB1265" s="885"/>
      <c r="FC1265" s="885"/>
      <c r="FD1265" s="886"/>
      <c r="FE1265" s="877"/>
      <c r="FF1265" s="877"/>
      <c r="FG1265" s="877"/>
      <c r="FH1265" s="877"/>
      <c r="FI1265" s="877"/>
      <c r="FJ1265" s="877"/>
      <c r="FK1265" s="877"/>
      <c r="FL1265" s="874"/>
      <c r="FM1265" s="875"/>
      <c r="FN1265" s="875"/>
      <c r="FO1265" s="875"/>
      <c r="FP1265" s="875"/>
      <c r="FQ1265" s="875"/>
      <c r="FR1265" s="875"/>
      <c r="FS1265" s="875"/>
      <c r="FT1265" s="875"/>
      <c r="FU1265" s="875"/>
      <c r="FV1265" s="875"/>
      <c r="FW1265" s="875"/>
      <c r="FX1265" s="875"/>
      <c r="FY1265" s="875"/>
      <c r="FZ1265" s="875"/>
      <c r="GA1265" s="875"/>
      <c r="GB1265" s="876"/>
      <c r="GC1265" s="370"/>
      <c r="GD1265" s="453"/>
      <c r="GE1265" s="453"/>
      <c r="GF1265" s="453"/>
      <c r="GG1265" s="453"/>
      <c r="GH1265" s="454"/>
      <c r="GI1265" s="453"/>
      <c r="GJ1265" s="453"/>
      <c r="GK1265" s="453"/>
      <c r="GL1265" s="453"/>
      <c r="GM1265" s="453"/>
      <c r="GN1265" s="453"/>
      <c r="GO1265" s="453"/>
      <c r="GP1265" s="453"/>
      <c r="GQ1265" s="453"/>
      <c r="GR1265" s="453"/>
      <c r="GS1265" s="561"/>
      <c r="GT1265" s="475"/>
      <c r="GU1265" s="472"/>
      <c r="GV1265" s="453"/>
      <c r="GW1265" s="453"/>
      <c r="GX1265" s="869"/>
      <c r="GY1265" s="870"/>
      <c r="GZ1265" s="867"/>
      <c r="HA1265" s="868"/>
      <c r="HB1265" s="473"/>
      <c r="HC1265" s="869"/>
      <c r="HD1265" s="870"/>
      <c r="HE1265" s="867"/>
      <c r="HF1265" s="868"/>
      <c r="HG1265" s="473"/>
      <c r="HH1265" s="867"/>
      <c r="HI1265" s="868"/>
      <c r="HJ1265" s="867"/>
      <c r="HK1265" s="868"/>
      <c r="HL1265" s="370"/>
      <c r="HM1265" s="865"/>
      <c r="HN1265" s="866"/>
      <c r="HO1265" s="865"/>
      <c r="HP1265" s="866"/>
      <c r="HQ1265" s="865"/>
      <c r="HR1265" s="866"/>
      <c r="HS1265" s="867"/>
      <c r="HT1265" s="868"/>
      <c r="HU1265" s="489"/>
      <c r="HV1265" s="865"/>
      <c r="HW1265" s="866"/>
    </row>
    <row r="1266" spans="25:231" ht="15" customHeight="1">
      <c r="Y1266" s="332"/>
      <c r="Z1266" s="332"/>
      <c r="AA1266" s="332"/>
      <c r="AB1266" s="332"/>
      <c r="AC1266" s="332"/>
      <c r="AD1266" s="332"/>
      <c r="AE1266" s="332"/>
      <c r="AF1266" s="332"/>
      <c r="AG1266" s="332"/>
      <c r="AH1266" s="332"/>
      <c r="AI1266" s="332"/>
      <c r="AJ1266" s="332"/>
      <c r="AK1266" s="332"/>
      <c r="AL1266" s="332"/>
      <c r="AM1266" s="332"/>
      <c r="AN1266" s="332"/>
      <c r="AO1266" s="332"/>
      <c r="AP1266" s="332"/>
      <c r="AQ1266" s="332"/>
      <c r="AR1266" s="332"/>
      <c r="AS1266" s="332"/>
      <c r="AT1266" s="332"/>
      <c r="AU1266" s="332"/>
      <c r="AV1266" s="332"/>
      <c r="AW1266" s="332"/>
      <c r="AX1266" s="332"/>
      <c r="AY1266" s="332"/>
      <c r="AZ1266" s="332"/>
      <c r="BA1266" s="332"/>
      <c r="BB1266" s="332"/>
      <c r="BC1266" s="332"/>
      <c r="BD1266" s="332"/>
      <c r="BE1266" s="332"/>
      <c r="BF1266" s="332"/>
      <c r="BG1266" s="332"/>
      <c r="BH1266" s="332"/>
      <c r="BI1266" s="332"/>
      <c r="BJ1266" s="332"/>
      <c r="BK1266" s="332"/>
      <c r="BL1266" s="332"/>
      <c r="BM1266" s="332"/>
      <c r="BN1266" s="332"/>
      <c r="BO1266" s="332"/>
      <c r="BP1266" s="332"/>
      <c r="BQ1266" s="332"/>
      <c r="BR1266" s="332"/>
      <c r="BS1266" s="332"/>
      <c r="BT1266" s="332"/>
      <c r="BU1266" s="332"/>
      <c r="BV1266" s="332"/>
      <c r="BW1266" s="332"/>
      <c r="BX1266" s="332"/>
      <c r="BY1266" s="332"/>
      <c r="BZ1266" s="332"/>
      <c r="CA1266" s="332"/>
      <c r="CB1266" s="332"/>
      <c r="CC1266" s="332"/>
      <c r="CD1266" s="332"/>
      <c r="CE1266" s="332"/>
      <c r="CF1266" s="332"/>
      <c r="CG1266" s="332"/>
      <c r="CH1266" s="332"/>
      <c r="CI1266" s="332"/>
      <c r="CJ1266" s="332"/>
      <c r="CK1266" s="332"/>
      <c r="CL1266" s="332"/>
      <c r="CM1266" s="332"/>
      <c r="CN1266" s="332"/>
      <c r="CO1266" s="332"/>
      <c r="CP1266" s="332"/>
      <c r="CQ1266" s="332"/>
      <c r="CR1266" s="332"/>
      <c r="CS1266" s="332"/>
      <c r="CT1266" s="332"/>
      <c r="CU1266" s="332"/>
      <c r="CV1266" s="332"/>
      <c r="CW1266" s="332"/>
      <c r="CX1266" s="332"/>
      <c r="CY1266" s="332"/>
      <c r="CZ1266" s="332"/>
      <c r="DA1266" s="332"/>
      <c r="DB1266" s="332"/>
      <c r="DC1266" s="332"/>
      <c r="DD1266" s="332"/>
      <c r="DE1266" s="332"/>
      <c r="DF1266" s="332"/>
      <c r="DG1266" s="332"/>
      <c r="DH1266" s="332"/>
      <c r="DI1266" s="332"/>
      <c r="DJ1266" s="332"/>
      <c r="DK1266" s="332"/>
      <c r="DL1266" s="332"/>
      <c r="DM1266" s="332"/>
      <c r="DN1266" s="332"/>
      <c r="DO1266" s="332"/>
      <c r="DP1266" s="332"/>
      <c r="DQ1266" s="332"/>
      <c r="DR1266" s="332"/>
      <c r="DS1266" s="332"/>
      <c r="DT1266" s="332"/>
      <c r="DU1266" s="453"/>
      <c r="DV1266" s="453"/>
      <c r="DW1266" s="453"/>
      <c r="DX1266" s="453"/>
      <c r="DY1266" s="453"/>
      <c r="DZ1266" s="453"/>
      <c r="EA1266" s="453"/>
      <c r="EB1266" s="453"/>
      <c r="EC1266" s="453"/>
      <c r="ED1266" s="453"/>
      <c r="EE1266" s="453"/>
      <c r="EF1266" s="453"/>
      <c r="EG1266" s="453"/>
      <c r="EH1266" s="453"/>
      <c r="EI1266" s="453"/>
      <c r="EJ1266" s="453"/>
      <c r="EK1266" s="453"/>
      <c r="EL1266" s="453"/>
      <c r="EM1266" s="483">
        <f t="shared" si="257"/>
        <v>957</v>
      </c>
      <c r="EN1266" s="485"/>
      <c r="EO1266" s="458"/>
      <c r="EP1266" s="467"/>
      <c r="EQ1266" s="457"/>
      <c r="ER1266" s="808"/>
      <c r="ES1266" s="881">
        <f t="shared" si="260"/>
        <v>0</v>
      </c>
      <c r="ET1266" s="882"/>
      <c r="EU1266" s="883"/>
      <c r="EV1266" s="884">
        <f t="shared" si="261"/>
        <v>0</v>
      </c>
      <c r="EW1266" s="885"/>
      <c r="EX1266" s="885"/>
      <c r="EY1266" s="885"/>
      <c r="EZ1266" s="885"/>
      <c r="FA1266" s="885"/>
      <c r="FB1266" s="885"/>
      <c r="FC1266" s="885"/>
      <c r="FD1266" s="886"/>
      <c r="FE1266" s="877"/>
      <c r="FF1266" s="877"/>
      <c r="FG1266" s="877"/>
      <c r="FH1266" s="877"/>
      <c r="FI1266" s="877"/>
      <c r="FJ1266" s="877"/>
      <c r="FK1266" s="877"/>
      <c r="FL1266" s="874"/>
      <c r="FM1266" s="875"/>
      <c r="FN1266" s="875"/>
      <c r="FO1266" s="875"/>
      <c r="FP1266" s="875"/>
      <c r="FQ1266" s="875"/>
      <c r="FR1266" s="875"/>
      <c r="FS1266" s="875"/>
      <c r="FT1266" s="875"/>
      <c r="FU1266" s="875"/>
      <c r="FV1266" s="875"/>
      <c r="FW1266" s="875"/>
      <c r="FX1266" s="875"/>
      <c r="FY1266" s="875"/>
      <c r="FZ1266" s="875"/>
      <c r="GA1266" s="875"/>
      <c r="GB1266" s="876"/>
      <c r="GC1266" s="370"/>
      <c r="GD1266" s="453"/>
      <c r="GE1266" s="453"/>
      <c r="GF1266" s="453"/>
      <c r="GG1266" s="453"/>
      <c r="GH1266" s="454"/>
      <c r="GI1266" s="453"/>
      <c r="GJ1266" s="453"/>
      <c r="GK1266" s="453"/>
      <c r="GL1266" s="453"/>
      <c r="GM1266" s="453"/>
      <c r="GN1266" s="453"/>
      <c r="GO1266" s="453"/>
      <c r="GP1266" s="453"/>
      <c r="GQ1266" s="453"/>
      <c r="GR1266" s="453"/>
      <c r="GS1266" s="561"/>
      <c r="GT1266" s="475"/>
      <c r="GU1266" s="472"/>
      <c r="GV1266" s="453"/>
      <c r="GW1266" s="453"/>
      <c r="GX1266" s="869"/>
      <c r="GY1266" s="870"/>
      <c r="GZ1266" s="867"/>
      <c r="HA1266" s="868"/>
      <c r="HB1266" s="473"/>
      <c r="HC1266" s="869"/>
      <c r="HD1266" s="870"/>
      <c r="HE1266" s="867"/>
      <c r="HF1266" s="868"/>
      <c r="HG1266" s="473"/>
      <c r="HH1266" s="867"/>
      <c r="HI1266" s="868"/>
      <c r="HJ1266" s="867"/>
      <c r="HK1266" s="868"/>
      <c r="HL1266" s="370"/>
      <c r="HM1266" s="865"/>
      <c r="HN1266" s="866"/>
      <c r="HO1266" s="865"/>
      <c r="HP1266" s="866"/>
      <c r="HQ1266" s="865"/>
      <c r="HR1266" s="866"/>
      <c r="HS1266" s="867"/>
      <c r="HT1266" s="868"/>
      <c r="HU1266" s="489"/>
      <c r="HV1266" s="865"/>
      <c r="HW1266" s="866"/>
    </row>
    <row r="1267" spans="25:231" ht="15" customHeight="1">
      <c r="Y1267" s="332"/>
      <c r="Z1267" s="332"/>
      <c r="AA1267" s="332"/>
      <c r="AB1267" s="332"/>
      <c r="AC1267" s="332"/>
      <c r="AD1267" s="332"/>
      <c r="AE1267" s="332"/>
      <c r="AF1267" s="332"/>
      <c r="AG1267" s="332"/>
      <c r="AH1267" s="332"/>
      <c r="AI1267" s="332"/>
      <c r="AJ1267" s="332"/>
      <c r="AK1267" s="332"/>
      <c r="AL1267" s="332"/>
      <c r="AM1267" s="332"/>
      <c r="AN1267" s="332"/>
      <c r="AO1267" s="332"/>
      <c r="AP1267" s="332"/>
      <c r="AQ1267" s="332"/>
      <c r="AR1267" s="332"/>
      <c r="AS1267" s="332"/>
      <c r="AT1267" s="332"/>
      <c r="AU1267" s="332"/>
      <c r="AV1267" s="332"/>
      <c r="AW1267" s="332"/>
      <c r="AX1267" s="332"/>
      <c r="AY1267" s="332"/>
      <c r="AZ1267" s="332"/>
      <c r="BA1267" s="332"/>
      <c r="BB1267" s="332"/>
      <c r="BC1267" s="332"/>
      <c r="BD1267" s="332"/>
      <c r="BE1267" s="332"/>
      <c r="BF1267" s="332"/>
      <c r="BG1267" s="332"/>
      <c r="BH1267" s="332"/>
      <c r="BI1267" s="332"/>
      <c r="BJ1267" s="332"/>
      <c r="BK1267" s="332"/>
      <c r="BL1267" s="332"/>
      <c r="BM1267" s="332"/>
      <c r="BN1267" s="332"/>
      <c r="BO1267" s="332"/>
      <c r="BP1267" s="332"/>
      <c r="BQ1267" s="332"/>
      <c r="BR1267" s="332"/>
      <c r="BS1267" s="332"/>
      <c r="BT1267" s="332"/>
      <c r="BU1267" s="332"/>
      <c r="BV1267" s="332"/>
      <c r="BW1267" s="332"/>
      <c r="BX1267" s="332"/>
      <c r="BY1267" s="332"/>
      <c r="BZ1267" s="332"/>
      <c r="CA1267" s="332"/>
      <c r="CB1267" s="332"/>
      <c r="CC1267" s="332"/>
      <c r="CD1267" s="332"/>
      <c r="CE1267" s="332"/>
      <c r="CF1267" s="332"/>
      <c r="CG1267" s="332"/>
      <c r="CH1267" s="332"/>
      <c r="CI1267" s="332"/>
      <c r="CJ1267" s="332"/>
      <c r="CK1267" s="332"/>
      <c r="CL1267" s="332"/>
      <c r="CM1267" s="332"/>
      <c r="CN1267" s="332"/>
      <c r="CO1267" s="332"/>
      <c r="CP1267" s="332"/>
      <c r="CQ1267" s="332"/>
      <c r="CR1267" s="332"/>
      <c r="CS1267" s="332"/>
      <c r="CT1267" s="332"/>
      <c r="CU1267" s="332"/>
      <c r="CV1267" s="332"/>
      <c r="CW1267" s="332"/>
      <c r="CX1267" s="332"/>
      <c r="CY1267" s="332"/>
      <c r="CZ1267" s="332"/>
      <c r="DA1267" s="332"/>
      <c r="DB1267" s="332"/>
      <c r="DC1267" s="332"/>
      <c r="DD1267" s="332"/>
      <c r="DE1267" s="332"/>
      <c r="DF1267" s="332"/>
      <c r="DG1267" s="332"/>
      <c r="DH1267" s="332"/>
      <c r="DI1267" s="332"/>
      <c r="DJ1267" s="332"/>
      <c r="DK1267" s="332"/>
      <c r="DL1267" s="332"/>
      <c r="DM1267" s="332"/>
      <c r="DN1267" s="332"/>
      <c r="DO1267" s="332"/>
      <c r="DP1267" s="332"/>
      <c r="DQ1267" s="332"/>
      <c r="DR1267" s="332"/>
      <c r="DS1267" s="332"/>
      <c r="DT1267" s="332"/>
      <c r="DU1267" s="453"/>
      <c r="DV1267" s="453"/>
      <c r="DW1267" s="453"/>
      <c r="DX1267" s="453"/>
      <c r="DY1267" s="453"/>
      <c r="DZ1267" s="453"/>
      <c r="EA1267" s="453"/>
      <c r="EB1267" s="453"/>
      <c r="EC1267" s="453"/>
      <c r="ED1267" s="453"/>
      <c r="EE1267" s="453"/>
      <c r="EF1267" s="453"/>
      <c r="EG1267" s="453"/>
      <c r="EH1267" s="453"/>
      <c r="EI1267" s="453"/>
      <c r="EJ1267" s="453"/>
      <c r="EK1267" s="453"/>
      <c r="EL1267" s="453"/>
      <c r="EM1267" s="483">
        <f t="shared" si="257"/>
        <v>958</v>
      </c>
      <c r="EN1267" s="485"/>
      <c r="EO1267" s="458"/>
      <c r="EP1267" s="467"/>
      <c r="EQ1267" s="457"/>
      <c r="ER1267" s="808"/>
      <c r="ES1267" s="881">
        <f t="shared" si="260"/>
        <v>0</v>
      </c>
      <c r="ET1267" s="882"/>
      <c r="EU1267" s="883"/>
      <c r="EV1267" s="884">
        <f t="shared" si="261"/>
        <v>0</v>
      </c>
      <c r="EW1267" s="885"/>
      <c r="EX1267" s="885"/>
      <c r="EY1267" s="885"/>
      <c r="EZ1267" s="885"/>
      <c r="FA1267" s="885"/>
      <c r="FB1267" s="885"/>
      <c r="FC1267" s="885"/>
      <c r="FD1267" s="886"/>
      <c r="FE1267" s="877"/>
      <c r="FF1267" s="877"/>
      <c r="FG1267" s="877"/>
      <c r="FH1267" s="877"/>
      <c r="FI1267" s="877"/>
      <c r="FJ1267" s="877"/>
      <c r="FK1267" s="877"/>
      <c r="FL1267" s="874"/>
      <c r="FM1267" s="875"/>
      <c r="FN1267" s="875"/>
      <c r="FO1267" s="875"/>
      <c r="FP1267" s="875"/>
      <c r="FQ1267" s="875"/>
      <c r="FR1267" s="875"/>
      <c r="FS1267" s="875"/>
      <c r="FT1267" s="875"/>
      <c r="FU1267" s="875"/>
      <c r="FV1267" s="875"/>
      <c r="FW1267" s="875"/>
      <c r="FX1267" s="875"/>
      <c r="FY1267" s="875"/>
      <c r="FZ1267" s="875"/>
      <c r="GA1267" s="875"/>
      <c r="GB1267" s="876"/>
      <c r="GC1267" s="370"/>
      <c r="GD1267" s="453"/>
      <c r="GE1267" s="453"/>
      <c r="GF1267" s="453"/>
      <c r="GG1267" s="453"/>
      <c r="GH1267" s="454"/>
      <c r="GI1267" s="453"/>
      <c r="GJ1267" s="453"/>
      <c r="GK1267" s="453"/>
      <c r="GL1267" s="453"/>
      <c r="GM1267" s="453"/>
      <c r="GN1267" s="453"/>
      <c r="GO1267" s="453"/>
      <c r="GP1267" s="453"/>
      <c r="GQ1267" s="453"/>
      <c r="GR1267" s="453"/>
      <c r="GS1267" s="561"/>
      <c r="GT1267" s="475"/>
      <c r="GU1267" s="472"/>
      <c r="GV1267" s="453"/>
      <c r="GW1267" s="453"/>
      <c r="GX1267" s="869"/>
      <c r="GY1267" s="870"/>
      <c r="GZ1267" s="867"/>
      <c r="HA1267" s="868"/>
      <c r="HB1267" s="473"/>
      <c r="HC1267" s="869"/>
      <c r="HD1267" s="870"/>
      <c r="HE1267" s="867"/>
      <c r="HF1267" s="868"/>
      <c r="HG1267" s="473"/>
      <c r="HH1267" s="867"/>
      <c r="HI1267" s="868"/>
      <c r="HJ1267" s="867"/>
      <c r="HK1267" s="868"/>
      <c r="HL1267" s="370"/>
      <c r="HM1267" s="865"/>
      <c r="HN1267" s="866"/>
      <c r="HO1267" s="865"/>
      <c r="HP1267" s="866"/>
      <c r="HQ1267" s="865"/>
      <c r="HR1267" s="866"/>
      <c r="HS1267" s="867"/>
      <c r="HT1267" s="868"/>
      <c r="HU1267" s="489"/>
      <c r="HV1267" s="865"/>
      <c r="HW1267" s="866"/>
    </row>
    <row r="1268" spans="25:231" ht="15" customHeight="1">
      <c r="Y1268" s="332"/>
      <c r="Z1268" s="332"/>
      <c r="AA1268" s="332"/>
      <c r="AB1268" s="332"/>
      <c r="AC1268" s="332"/>
      <c r="AD1268" s="332"/>
      <c r="AE1268" s="332"/>
      <c r="AF1268" s="332"/>
      <c r="AG1268" s="332"/>
      <c r="AH1268" s="332"/>
      <c r="AI1268" s="332"/>
      <c r="AJ1268" s="332"/>
      <c r="AK1268" s="332"/>
      <c r="AL1268" s="332"/>
      <c r="AM1268" s="332"/>
      <c r="AN1268" s="332"/>
      <c r="AO1268" s="332"/>
      <c r="AP1268" s="332"/>
      <c r="AQ1268" s="332"/>
      <c r="AR1268" s="332"/>
      <c r="AS1268" s="332"/>
      <c r="AT1268" s="332"/>
      <c r="AU1268" s="332"/>
      <c r="AV1268" s="332"/>
      <c r="AW1268" s="332"/>
      <c r="AX1268" s="332"/>
      <c r="AY1268" s="332"/>
      <c r="AZ1268" s="332"/>
      <c r="BA1268" s="332"/>
      <c r="BB1268" s="332"/>
      <c r="BC1268" s="332"/>
      <c r="BD1268" s="332"/>
      <c r="BE1268" s="332"/>
      <c r="BF1268" s="332"/>
      <c r="BG1268" s="332"/>
      <c r="BH1268" s="332"/>
      <c r="BI1268" s="332"/>
      <c r="BJ1268" s="332"/>
      <c r="BK1268" s="332"/>
      <c r="BL1268" s="332"/>
      <c r="BM1268" s="332"/>
      <c r="BN1268" s="332"/>
      <c r="BO1268" s="332"/>
      <c r="BP1268" s="332"/>
      <c r="BQ1268" s="332"/>
      <c r="BR1268" s="332"/>
      <c r="BS1268" s="332"/>
      <c r="BT1268" s="332"/>
      <c r="BU1268" s="332"/>
      <c r="BV1268" s="332"/>
      <c r="BW1268" s="332"/>
      <c r="BX1268" s="332"/>
      <c r="BY1268" s="332"/>
      <c r="BZ1268" s="332"/>
      <c r="CA1268" s="332"/>
      <c r="CB1268" s="332"/>
      <c r="CC1268" s="332"/>
      <c r="CD1268" s="332"/>
      <c r="CE1268" s="332"/>
      <c r="CF1268" s="332"/>
      <c r="CG1268" s="332"/>
      <c r="CH1268" s="332"/>
      <c r="CI1268" s="332"/>
      <c r="CJ1268" s="332"/>
      <c r="CK1268" s="332"/>
      <c r="CL1268" s="332"/>
      <c r="CM1268" s="332"/>
      <c r="CN1268" s="332"/>
      <c r="CO1268" s="332"/>
      <c r="CP1268" s="332"/>
      <c r="CQ1268" s="332"/>
      <c r="CR1268" s="332"/>
      <c r="CS1268" s="332"/>
      <c r="CT1268" s="332"/>
      <c r="CU1268" s="332"/>
      <c r="CV1268" s="332"/>
      <c r="CW1268" s="332"/>
      <c r="CX1268" s="332"/>
      <c r="CY1268" s="332"/>
      <c r="CZ1268" s="332"/>
      <c r="DA1268" s="332"/>
      <c r="DB1268" s="332"/>
      <c r="DC1268" s="332"/>
      <c r="DD1268" s="332"/>
      <c r="DE1268" s="332"/>
      <c r="DF1268" s="332"/>
      <c r="DG1268" s="332"/>
      <c r="DH1268" s="332"/>
      <c r="DI1268" s="332"/>
      <c r="DJ1268" s="332"/>
      <c r="DK1268" s="332"/>
      <c r="DL1268" s="332"/>
      <c r="DM1268" s="332"/>
      <c r="DN1268" s="332"/>
      <c r="DO1268" s="332"/>
      <c r="DP1268" s="332"/>
      <c r="DQ1268" s="332"/>
      <c r="DR1268" s="332"/>
      <c r="DS1268" s="332"/>
      <c r="DT1268" s="332"/>
      <c r="DU1268" s="453"/>
      <c r="DV1268" s="453"/>
      <c r="DW1268" s="453"/>
      <c r="DX1268" s="453"/>
      <c r="DY1268" s="453"/>
      <c r="DZ1268" s="453"/>
      <c r="EA1268" s="453"/>
      <c r="EB1268" s="453"/>
      <c r="EC1268" s="453"/>
      <c r="ED1268" s="453"/>
      <c r="EE1268" s="453"/>
      <c r="EF1268" s="453"/>
      <c r="EG1268" s="453"/>
      <c r="EH1268" s="453"/>
      <c r="EI1268" s="453"/>
      <c r="EJ1268" s="453"/>
      <c r="EK1268" s="453"/>
      <c r="EL1268" s="453"/>
      <c r="EM1268" s="483">
        <f t="shared" si="257"/>
        <v>959</v>
      </c>
      <c r="EN1268" s="485"/>
      <c r="EO1268" s="458"/>
      <c r="EP1268" s="467"/>
      <c r="EQ1268" s="457"/>
      <c r="ER1268" s="808"/>
      <c r="ES1268" s="881">
        <f t="shared" si="260"/>
        <v>0</v>
      </c>
      <c r="ET1268" s="882"/>
      <c r="EU1268" s="883"/>
      <c r="EV1268" s="884">
        <f t="shared" si="261"/>
        <v>0</v>
      </c>
      <c r="EW1268" s="885"/>
      <c r="EX1268" s="885"/>
      <c r="EY1268" s="885"/>
      <c r="EZ1268" s="885"/>
      <c r="FA1268" s="885"/>
      <c r="FB1268" s="885"/>
      <c r="FC1268" s="885"/>
      <c r="FD1268" s="886"/>
      <c r="FE1268" s="877"/>
      <c r="FF1268" s="877"/>
      <c r="FG1268" s="877"/>
      <c r="FH1268" s="877"/>
      <c r="FI1268" s="877"/>
      <c r="FJ1268" s="877"/>
      <c r="FK1268" s="877"/>
      <c r="FL1268" s="874"/>
      <c r="FM1268" s="875"/>
      <c r="FN1268" s="875"/>
      <c r="FO1268" s="875"/>
      <c r="FP1268" s="875"/>
      <c r="FQ1268" s="875"/>
      <c r="FR1268" s="875"/>
      <c r="FS1268" s="875"/>
      <c r="FT1268" s="875"/>
      <c r="FU1268" s="875"/>
      <c r="FV1268" s="875"/>
      <c r="FW1268" s="875"/>
      <c r="FX1268" s="875"/>
      <c r="FY1268" s="875"/>
      <c r="FZ1268" s="875"/>
      <c r="GA1268" s="875"/>
      <c r="GB1268" s="876"/>
      <c r="GC1268" s="370"/>
      <c r="GD1268" s="453"/>
      <c r="GE1268" s="453"/>
      <c r="GF1268" s="453"/>
      <c r="GG1268" s="453"/>
      <c r="GH1268" s="454"/>
      <c r="GI1268" s="453"/>
      <c r="GJ1268" s="453"/>
      <c r="GK1268" s="453"/>
      <c r="GL1268" s="453"/>
      <c r="GM1268" s="453"/>
      <c r="GN1268" s="453"/>
      <c r="GO1268" s="453"/>
      <c r="GP1268" s="453"/>
      <c r="GQ1268" s="453"/>
      <c r="GR1268" s="453"/>
      <c r="GS1268" s="561"/>
      <c r="GT1268" s="475"/>
      <c r="GU1268" s="472"/>
      <c r="GV1268" s="453"/>
      <c r="GW1268" s="453"/>
      <c r="GX1268" s="869"/>
      <c r="GY1268" s="870"/>
      <c r="GZ1268" s="867"/>
      <c r="HA1268" s="868"/>
      <c r="HB1268" s="473"/>
      <c r="HC1268" s="869"/>
      <c r="HD1268" s="870"/>
      <c r="HE1268" s="867"/>
      <c r="HF1268" s="868"/>
      <c r="HG1268" s="473"/>
      <c r="HH1268" s="867"/>
      <c r="HI1268" s="868"/>
      <c r="HJ1268" s="867"/>
      <c r="HK1268" s="868"/>
      <c r="HL1268" s="370"/>
      <c r="HM1268" s="865"/>
      <c r="HN1268" s="866"/>
      <c r="HO1268" s="865"/>
      <c r="HP1268" s="866"/>
      <c r="HQ1268" s="865"/>
      <c r="HR1268" s="866"/>
      <c r="HS1268" s="867"/>
      <c r="HT1268" s="868"/>
      <c r="HU1268" s="489"/>
      <c r="HV1268" s="865"/>
      <c r="HW1268" s="866"/>
    </row>
    <row r="1269" spans="25:231" ht="15" customHeight="1">
      <c r="Y1269" s="332"/>
      <c r="Z1269" s="332"/>
      <c r="AA1269" s="332"/>
      <c r="AB1269" s="332"/>
      <c r="AC1269" s="332"/>
      <c r="AD1269" s="332"/>
      <c r="AE1269" s="332"/>
      <c r="AF1269" s="332"/>
      <c r="AG1269" s="332"/>
      <c r="AH1269" s="332"/>
      <c r="AI1269" s="332"/>
      <c r="AJ1269" s="332"/>
      <c r="AK1269" s="332"/>
      <c r="AL1269" s="332"/>
      <c r="AM1269" s="332"/>
      <c r="AN1269" s="332"/>
      <c r="AO1269" s="332"/>
      <c r="AP1269" s="332"/>
      <c r="AQ1269" s="332"/>
      <c r="AR1269" s="332"/>
      <c r="AS1269" s="332"/>
      <c r="AT1269" s="332"/>
      <c r="AU1269" s="332"/>
      <c r="AV1269" s="332"/>
      <c r="AW1269" s="332"/>
      <c r="AX1269" s="332"/>
      <c r="AY1269" s="332"/>
      <c r="AZ1269" s="332"/>
      <c r="BA1269" s="332"/>
      <c r="BB1269" s="332"/>
      <c r="BC1269" s="332"/>
      <c r="BD1269" s="332"/>
      <c r="BE1269" s="332"/>
      <c r="BF1269" s="332"/>
      <c r="BG1269" s="332"/>
      <c r="BH1269" s="332"/>
      <c r="BI1269" s="332"/>
      <c r="BJ1269" s="332"/>
      <c r="BK1269" s="332"/>
      <c r="BL1269" s="332"/>
      <c r="BM1269" s="332"/>
      <c r="BN1269" s="332"/>
      <c r="BO1269" s="332"/>
      <c r="BP1269" s="332"/>
      <c r="BQ1269" s="332"/>
      <c r="BR1269" s="332"/>
      <c r="BS1269" s="332"/>
      <c r="BT1269" s="332"/>
      <c r="BU1269" s="332"/>
      <c r="BV1269" s="332"/>
      <c r="BW1269" s="332"/>
      <c r="BX1269" s="332"/>
      <c r="BY1269" s="332"/>
      <c r="BZ1269" s="332"/>
      <c r="CA1269" s="332"/>
      <c r="CB1269" s="332"/>
      <c r="CC1269" s="332"/>
      <c r="CD1269" s="332"/>
      <c r="CE1269" s="332"/>
      <c r="CF1269" s="332"/>
      <c r="CG1269" s="332"/>
      <c r="CH1269" s="332"/>
      <c r="CI1269" s="332"/>
      <c r="CJ1269" s="332"/>
      <c r="CK1269" s="332"/>
      <c r="CL1269" s="332"/>
      <c r="CM1269" s="332"/>
      <c r="CN1269" s="332"/>
      <c r="CO1269" s="332"/>
      <c r="CP1269" s="332"/>
      <c r="CQ1269" s="332"/>
      <c r="CR1269" s="332"/>
      <c r="CS1269" s="332"/>
      <c r="CT1269" s="332"/>
      <c r="CU1269" s="332"/>
      <c r="CV1269" s="332"/>
      <c r="CW1269" s="332"/>
      <c r="CX1269" s="332"/>
      <c r="CY1269" s="332"/>
      <c r="CZ1269" s="332"/>
      <c r="DA1269" s="332"/>
      <c r="DB1269" s="332"/>
      <c r="DC1269" s="332"/>
      <c r="DD1269" s="332"/>
      <c r="DE1269" s="332"/>
      <c r="DF1269" s="332"/>
      <c r="DG1269" s="332"/>
      <c r="DH1269" s="332"/>
      <c r="DI1269" s="332"/>
      <c r="DJ1269" s="332"/>
      <c r="DK1269" s="332"/>
      <c r="DL1269" s="332"/>
      <c r="DM1269" s="332"/>
      <c r="DN1269" s="332"/>
      <c r="DO1269" s="332"/>
      <c r="DP1269" s="332"/>
      <c r="DQ1269" s="332"/>
      <c r="DR1269" s="332"/>
      <c r="DS1269" s="332"/>
      <c r="DT1269" s="332"/>
      <c r="DU1269" s="453"/>
      <c r="DV1269" s="453"/>
      <c r="DW1269" s="453"/>
      <c r="DX1269" s="453"/>
      <c r="DY1269" s="453"/>
      <c r="DZ1269" s="453"/>
      <c r="EA1269" s="453"/>
      <c r="EB1269" s="453"/>
      <c r="EC1269" s="453"/>
      <c r="ED1269" s="453"/>
      <c r="EE1269" s="453"/>
      <c r="EF1269" s="453"/>
      <c r="EG1269" s="453"/>
      <c r="EH1269" s="453"/>
      <c r="EI1269" s="453"/>
      <c r="EJ1269" s="453"/>
      <c r="EK1269" s="453"/>
      <c r="EL1269" s="453"/>
      <c r="EM1269" s="483">
        <f t="shared" si="257"/>
        <v>960</v>
      </c>
      <c r="EN1269" s="485"/>
      <c r="EO1269" s="458"/>
      <c r="EP1269" s="467"/>
      <c r="EQ1269" s="457"/>
      <c r="ER1269" s="808"/>
      <c r="ES1269" s="881">
        <f t="shared" si="260"/>
        <v>0</v>
      </c>
      <c r="ET1269" s="882"/>
      <c r="EU1269" s="883"/>
      <c r="EV1269" s="884">
        <f t="shared" si="261"/>
        <v>0</v>
      </c>
      <c r="EW1269" s="885"/>
      <c r="EX1269" s="885"/>
      <c r="EY1269" s="885"/>
      <c r="EZ1269" s="885"/>
      <c r="FA1269" s="885"/>
      <c r="FB1269" s="885"/>
      <c r="FC1269" s="885"/>
      <c r="FD1269" s="886"/>
      <c r="FE1269" s="877"/>
      <c r="FF1269" s="877"/>
      <c r="FG1269" s="877"/>
      <c r="FH1269" s="877"/>
      <c r="FI1269" s="877"/>
      <c r="FJ1269" s="877"/>
      <c r="FK1269" s="877"/>
      <c r="FL1269" s="874"/>
      <c r="FM1269" s="875"/>
      <c r="FN1269" s="875"/>
      <c r="FO1269" s="875"/>
      <c r="FP1269" s="875"/>
      <c r="FQ1269" s="875"/>
      <c r="FR1269" s="875"/>
      <c r="FS1269" s="875"/>
      <c r="FT1269" s="875"/>
      <c r="FU1269" s="875"/>
      <c r="FV1269" s="875"/>
      <c r="FW1269" s="875"/>
      <c r="FX1269" s="875"/>
      <c r="FY1269" s="875"/>
      <c r="FZ1269" s="875"/>
      <c r="GA1269" s="875"/>
      <c r="GB1269" s="876"/>
      <c r="GC1269" s="370"/>
      <c r="GD1269" s="453"/>
      <c r="GE1269" s="453"/>
      <c r="GF1269" s="453"/>
      <c r="GG1269" s="453"/>
      <c r="GH1269" s="454"/>
      <c r="GI1269" s="453"/>
      <c r="GJ1269" s="453"/>
      <c r="GK1269" s="453"/>
      <c r="GL1269" s="453"/>
      <c r="GM1269" s="453"/>
      <c r="GN1269" s="453"/>
      <c r="GO1269" s="453"/>
      <c r="GP1269" s="453"/>
      <c r="GQ1269" s="453"/>
      <c r="GR1269" s="453"/>
      <c r="GS1269" s="561"/>
      <c r="GT1269" s="475"/>
      <c r="GU1269" s="472"/>
      <c r="GV1269" s="453"/>
      <c r="GW1269" s="453"/>
      <c r="GX1269" s="869"/>
      <c r="GY1269" s="870"/>
      <c r="GZ1269" s="867"/>
      <c r="HA1269" s="868"/>
      <c r="HB1269" s="473"/>
      <c r="HC1269" s="869"/>
      <c r="HD1269" s="870"/>
      <c r="HE1269" s="867"/>
      <c r="HF1269" s="868"/>
      <c r="HG1269" s="473"/>
      <c r="HH1269" s="867"/>
      <c r="HI1269" s="868"/>
      <c r="HJ1269" s="867"/>
      <c r="HK1269" s="868"/>
      <c r="HL1269" s="370"/>
      <c r="HM1269" s="865"/>
      <c r="HN1269" s="866"/>
      <c r="HO1269" s="865"/>
      <c r="HP1269" s="866"/>
      <c r="HQ1269" s="865"/>
      <c r="HR1269" s="866"/>
      <c r="HS1269" s="867"/>
      <c r="HT1269" s="868"/>
      <c r="HU1269" s="489"/>
      <c r="HV1269" s="865"/>
      <c r="HW1269" s="866"/>
    </row>
    <row r="1270" spans="25:231" ht="15" customHeight="1">
      <c r="Y1270" s="332"/>
      <c r="Z1270" s="332"/>
      <c r="AA1270" s="332"/>
      <c r="AB1270" s="332"/>
      <c r="AC1270" s="332"/>
      <c r="AD1270" s="332"/>
      <c r="AE1270" s="332"/>
      <c r="AF1270" s="332"/>
      <c r="AG1270" s="332"/>
      <c r="AH1270" s="332"/>
      <c r="AI1270" s="332"/>
      <c r="AJ1270" s="332"/>
      <c r="AK1270" s="332"/>
      <c r="AL1270" s="332"/>
      <c r="AM1270" s="332"/>
      <c r="AN1270" s="332"/>
      <c r="AO1270" s="332"/>
      <c r="AP1270" s="332"/>
      <c r="AQ1270" s="332"/>
      <c r="AR1270" s="332"/>
      <c r="AS1270" s="332"/>
      <c r="AT1270" s="332"/>
      <c r="AU1270" s="332"/>
      <c r="AV1270" s="332"/>
      <c r="AW1270" s="332"/>
      <c r="AX1270" s="332"/>
      <c r="AY1270" s="332"/>
      <c r="AZ1270" s="332"/>
      <c r="BA1270" s="332"/>
      <c r="BB1270" s="332"/>
      <c r="BC1270" s="332"/>
      <c r="BD1270" s="332"/>
      <c r="BE1270" s="332"/>
      <c r="BF1270" s="332"/>
      <c r="BG1270" s="332"/>
      <c r="BH1270" s="332"/>
      <c r="BI1270" s="332"/>
      <c r="BJ1270" s="332"/>
      <c r="BK1270" s="332"/>
      <c r="BL1270" s="332"/>
      <c r="BM1270" s="332"/>
      <c r="BN1270" s="332"/>
      <c r="BO1270" s="332"/>
      <c r="BP1270" s="332"/>
      <c r="BQ1270" s="332"/>
      <c r="BR1270" s="332"/>
      <c r="BS1270" s="332"/>
      <c r="BT1270" s="332"/>
      <c r="BU1270" s="332"/>
      <c r="BV1270" s="332"/>
      <c r="BW1270" s="332"/>
      <c r="BX1270" s="332"/>
      <c r="BY1270" s="332"/>
      <c r="BZ1270" s="332"/>
      <c r="CA1270" s="332"/>
      <c r="CB1270" s="332"/>
      <c r="CC1270" s="332"/>
      <c r="CD1270" s="332"/>
      <c r="CE1270" s="332"/>
      <c r="CF1270" s="332"/>
      <c r="CG1270" s="332"/>
      <c r="CH1270" s="332"/>
      <c r="CI1270" s="332"/>
      <c r="CJ1270" s="332"/>
      <c r="CK1270" s="332"/>
      <c r="CL1270" s="332"/>
      <c r="CM1270" s="332"/>
      <c r="CN1270" s="332"/>
      <c r="CO1270" s="332"/>
      <c r="CP1270" s="332"/>
      <c r="CQ1270" s="332"/>
      <c r="CR1270" s="332"/>
      <c r="CS1270" s="332"/>
      <c r="CT1270" s="332"/>
      <c r="CU1270" s="332"/>
      <c r="CV1270" s="332"/>
      <c r="CW1270" s="332"/>
      <c r="CX1270" s="332"/>
      <c r="CY1270" s="332"/>
      <c r="CZ1270" s="332"/>
      <c r="DA1270" s="332"/>
      <c r="DB1270" s="332"/>
      <c r="DC1270" s="332"/>
      <c r="DD1270" s="332"/>
      <c r="DE1270" s="332"/>
      <c r="DF1270" s="332"/>
      <c r="DG1270" s="332"/>
      <c r="DH1270" s="332"/>
      <c r="DI1270" s="332"/>
      <c r="DJ1270" s="332"/>
      <c r="DK1270" s="332"/>
      <c r="DL1270" s="332"/>
      <c r="DM1270" s="332"/>
      <c r="DN1270" s="332"/>
      <c r="DO1270" s="332"/>
      <c r="DP1270" s="332"/>
      <c r="DQ1270" s="332"/>
      <c r="DR1270" s="332"/>
      <c r="DS1270" s="332"/>
      <c r="DT1270" s="332"/>
      <c r="DU1270" s="453"/>
      <c r="DV1270" s="453"/>
      <c r="DW1270" s="453"/>
      <c r="DX1270" s="453"/>
      <c r="DY1270" s="453"/>
      <c r="DZ1270" s="453"/>
      <c r="EA1270" s="453"/>
      <c r="EB1270" s="453"/>
      <c r="EC1270" s="453"/>
      <c r="ED1270" s="453"/>
      <c r="EE1270" s="453"/>
      <c r="EF1270" s="453"/>
      <c r="EG1270" s="453"/>
      <c r="EH1270" s="453"/>
      <c r="EI1270" s="453"/>
      <c r="EJ1270" s="453"/>
      <c r="EK1270" s="453"/>
      <c r="EL1270" s="453"/>
      <c r="EM1270" s="483">
        <f t="shared" si="257"/>
        <v>961</v>
      </c>
      <c r="EN1270" s="485"/>
      <c r="EO1270" s="458"/>
      <c r="EP1270" s="467"/>
      <c r="EQ1270" s="457"/>
      <c r="ER1270" s="808"/>
      <c r="ES1270" s="881">
        <f t="shared" si="260"/>
        <v>0</v>
      </c>
      <c r="ET1270" s="882"/>
      <c r="EU1270" s="883"/>
      <c r="EV1270" s="884">
        <f t="shared" si="261"/>
        <v>0</v>
      </c>
      <c r="EW1270" s="885"/>
      <c r="EX1270" s="885"/>
      <c r="EY1270" s="885"/>
      <c r="EZ1270" s="885"/>
      <c r="FA1270" s="885"/>
      <c r="FB1270" s="885"/>
      <c r="FC1270" s="885"/>
      <c r="FD1270" s="886"/>
      <c r="FE1270" s="877"/>
      <c r="FF1270" s="877"/>
      <c r="FG1270" s="877"/>
      <c r="FH1270" s="877"/>
      <c r="FI1270" s="877"/>
      <c r="FJ1270" s="877"/>
      <c r="FK1270" s="877"/>
      <c r="FL1270" s="874"/>
      <c r="FM1270" s="875"/>
      <c r="FN1270" s="875"/>
      <c r="FO1270" s="875"/>
      <c r="FP1270" s="875"/>
      <c r="FQ1270" s="875"/>
      <c r="FR1270" s="875"/>
      <c r="FS1270" s="875"/>
      <c r="FT1270" s="875"/>
      <c r="FU1270" s="875"/>
      <c r="FV1270" s="875"/>
      <c r="FW1270" s="875"/>
      <c r="FX1270" s="875"/>
      <c r="FY1270" s="875"/>
      <c r="FZ1270" s="875"/>
      <c r="GA1270" s="875"/>
      <c r="GB1270" s="876"/>
      <c r="GC1270" s="370"/>
      <c r="GD1270" s="453"/>
      <c r="GE1270" s="453"/>
      <c r="GF1270" s="453"/>
      <c r="GG1270" s="453"/>
      <c r="GH1270" s="454"/>
      <c r="GI1270" s="453"/>
      <c r="GJ1270" s="453"/>
      <c r="GK1270" s="453"/>
      <c r="GL1270" s="453"/>
      <c r="GM1270" s="453"/>
      <c r="GN1270" s="453"/>
      <c r="GO1270" s="453"/>
      <c r="GP1270" s="453"/>
      <c r="GQ1270" s="453"/>
      <c r="GR1270" s="453"/>
      <c r="GS1270" s="561"/>
      <c r="GT1270" s="475"/>
      <c r="GU1270" s="472"/>
      <c r="GV1270" s="453"/>
      <c r="GW1270" s="453"/>
      <c r="GX1270" s="869"/>
      <c r="GY1270" s="870"/>
      <c r="GZ1270" s="867"/>
      <c r="HA1270" s="868"/>
      <c r="HB1270" s="473"/>
      <c r="HC1270" s="869"/>
      <c r="HD1270" s="870"/>
      <c r="HE1270" s="867"/>
      <c r="HF1270" s="868"/>
      <c r="HG1270" s="473"/>
      <c r="HH1270" s="867"/>
      <c r="HI1270" s="868"/>
      <c r="HJ1270" s="867"/>
      <c r="HK1270" s="868"/>
      <c r="HL1270" s="370"/>
      <c r="HM1270" s="865"/>
      <c r="HN1270" s="866"/>
      <c r="HO1270" s="865"/>
      <c r="HP1270" s="866"/>
      <c r="HQ1270" s="865"/>
      <c r="HR1270" s="866"/>
      <c r="HS1270" s="867"/>
      <c r="HT1270" s="868"/>
      <c r="HU1270" s="489"/>
      <c r="HV1270" s="865"/>
      <c r="HW1270" s="866"/>
    </row>
    <row r="1271" spans="25:231" ht="15" customHeight="1">
      <c r="Y1271" s="332"/>
      <c r="Z1271" s="332"/>
      <c r="AA1271" s="332"/>
      <c r="AB1271" s="332"/>
      <c r="AC1271" s="332"/>
      <c r="AD1271" s="332"/>
      <c r="AE1271" s="332"/>
      <c r="AF1271" s="332"/>
      <c r="AG1271" s="332"/>
      <c r="AH1271" s="332"/>
      <c r="AI1271" s="332"/>
      <c r="AJ1271" s="332"/>
      <c r="AK1271" s="332"/>
      <c r="AL1271" s="332"/>
      <c r="AM1271" s="332"/>
      <c r="AN1271" s="332"/>
      <c r="AO1271" s="332"/>
      <c r="AP1271" s="332"/>
      <c r="AQ1271" s="332"/>
      <c r="AR1271" s="332"/>
      <c r="AS1271" s="332"/>
      <c r="AT1271" s="332"/>
      <c r="AU1271" s="332"/>
      <c r="AV1271" s="332"/>
      <c r="AW1271" s="332"/>
      <c r="AX1271" s="332"/>
      <c r="AY1271" s="332"/>
      <c r="AZ1271" s="332"/>
      <c r="BA1271" s="332"/>
      <c r="BB1271" s="332"/>
      <c r="BC1271" s="332"/>
      <c r="BD1271" s="332"/>
      <c r="BE1271" s="332"/>
      <c r="BF1271" s="332"/>
      <c r="BG1271" s="332"/>
      <c r="BH1271" s="332"/>
      <c r="BI1271" s="332"/>
      <c r="BJ1271" s="332"/>
      <c r="BK1271" s="332"/>
      <c r="BL1271" s="332"/>
      <c r="BM1271" s="332"/>
      <c r="BN1271" s="332"/>
      <c r="BO1271" s="332"/>
      <c r="BP1271" s="332"/>
      <c r="BQ1271" s="332"/>
      <c r="BR1271" s="332"/>
      <c r="BS1271" s="332"/>
      <c r="BT1271" s="332"/>
      <c r="BU1271" s="332"/>
      <c r="BV1271" s="332"/>
      <c r="BW1271" s="332"/>
      <c r="BX1271" s="332"/>
      <c r="BY1271" s="332"/>
      <c r="BZ1271" s="332"/>
      <c r="CA1271" s="332"/>
      <c r="CB1271" s="332"/>
      <c r="CC1271" s="332"/>
      <c r="CD1271" s="332"/>
      <c r="CE1271" s="332"/>
      <c r="CF1271" s="332"/>
      <c r="CG1271" s="332"/>
      <c r="CH1271" s="332"/>
      <c r="CI1271" s="332"/>
      <c r="CJ1271" s="332"/>
      <c r="CK1271" s="332"/>
      <c r="CL1271" s="332"/>
      <c r="CM1271" s="332"/>
      <c r="CN1271" s="332"/>
      <c r="CO1271" s="332"/>
      <c r="CP1271" s="332"/>
      <c r="CQ1271" s="332"/>
      <c r="CR1271" s="332"/>
      <c r="CS1271" s="332"/>
      <c r="CT1271" s="332"/>
      <c r="CU1271" s="332"/>
      <c r="CV1271" s="332"/>
      <c r="CW1271" s="332"/>
      <c r="CX1271" s="332"/>
      <c r="CY1271" s="332"/>
      <c r="CZ1271" s="332"/>
      <c r="DA1271" s="332"/>
      <c r="DB1271" s="332"/>
      <c r="DC1271" s="332"/>
      <c r="DD1271" s="332"/>
      <c r="DE1271" s="332"/>
      <c r="DF1271" s="332"/>
      <c r="DG1271" s="332"/>
      <c r="DH1271" s="332"/>
      <c r="DI1271" s="332"/>
      <c r="DJ1271" s="332"/>
      <c r="DK1271" s="332"/>
      <c r="DL1271" s="332"/>
      <c r="DM1271" s="332"/>
      <c r="DN1271" s="332"/>
      <c r="DO1271" s="332"/>
      <c r="DP1271" s="332"/>
      <c r="DQ1271" s="332"/>
      <c r="DR1271" s="332"/>
      <c r="DS1271" s="332"/>
      <c r="DT1271" s="332"/>
      <c r="DU1271" s="453"/>
      <c r="DV1271" s="453"/>
      <c r="DW1271" s="453"/>
      <c r="DX1271" s="453"/>
      <c r="DY1271" s="453"/>
      <c r="DZ1271" s="453"/>
      <c r="EA1271" s="453"/>
      <c r="EB1271" s="453"/>
      <c r="EC1271" s="453"/>
      <c r="ED1271" s="453"/>
      <c r="EE1271" s="453"/>
      <c r="EF1271" s="453"/>
      <c r="EG1271" s="453"/>
      <c r="EH1271" s="453"/>
      <c r="EI1271" s="453"/>
      <c r="EJ1271" s="453"/>
      <c r="EK1271" s="453"/>
      <c r="EL1271" s="453"/>
      <c r="EM1271" s="483">
        <f t="shared" si="257"/>
        <v>962</v>
      </c>
      <c r="EN1271" s="485"/>
      <c r="EO1271" s="458"/>
      <c r="EP1271" s="467"/>
      <c r="EQ1271" s="457"/>
      <c r="ER1271" s="808"/>
      <c r="ES1271" s="881">
        <f t="shared" si="260"/>
        <v>0</v>
      </c>
      <c r="ET1271" s="882"/>
      <c r="EU1271" s="883"/>
      <c r="EV1271" s="884">
        <f t="shared" si="261"/>
        <v>0</v>
      </c>
      <c r="EW1271" s="885"/>
      <c r="EX1271" s="885"/>
      <c r="EY1271" s="885"/>
      <c r="EZ1271" s="885"/>
      <c r="FA1271" s="885"/>
      <c r="FB1271" s="885"/>
      <c r="FC1271" s="885"/>
      <c r="FD1271" s="886"/>
      <c r="FE1271" s="877"/>
      <c r="FF1271" s="877"/>
      <c r="FG1271" s="877"/>
      <c r="FH1271" s="877"/>
      <c r="FI1271" s="877"/>
      <c r="FJ1271" s="877"/>
      <c r="FK1271" s="877"/>
      <c r="FL1271" s="874"/>
      <c r="FM1271" s="875"/>
      <c r="FN1271" s="875"/>
      <c r="FO1271" s="875"/>
      <c r="FP1271" s="875"/>
      <c r="FQ1271" s="875"/>
      <c r="FR1271" s="875"/>
      <c r="FS1271" s="875"/>
      <c r="FT1271" s="875"/>
      <c r="FU1271" s="875"/>
      <c r="FV1271" s="875"/>
      <c r="FW1271" s="875"/>
      <c r="FX1271" s="875"/>
      <c r="FY1271" s="875"/>
      <c r="FZ1271" s="875"/>
      <c r="GA1271" s="875"/>
      <c r="GB1271" s="876"/>
      <c r="GC1271" s="370"/>
      <c r="GD1271" s="453"/>
      <c r="GE1271" s="453"/>
      <c r="GF1271" s="453"/>
      <c r="GG1271" s="453"/>
      <c r="GH1271" s="454"/>
      <c r="GI1271" s="453"/>
      <c r="GJ1271" s="453"/>
      <c r="GK1271" s="453"/>
      <c r="GL1271" s="453"/>
      <c r="GM1271" s="453"/>
      <c r="GN1271" s="453"/>
      <c r="GO1271" s="453"/>
      <c r="GP1271" s="453"/>
      <c r="GQ1271" s="453"/>
      <c r="GR1271" s="453"/>
      <c r="GS1271" s="561"/>
      <c r="GT1271" s="475"/>
      <c r="GU1271" s="472"/>
      <c r="GV1271" s="453"/>
      <c r="GW1271" s="453"/>
      <c r="GX1271" s="869"/>
      <c r="GY1271" s="870"/>
      <c r="GZ1271" s="867"/>
      <c r="HA1271" s="868"/>
      <c r="HB1271" s="473"/>
      <c r="HC1271" s="869"/>
      <c r="HD1271" s="870"/>
      <c r="HE1271" s="867"/>
      <c r="HF1271" s="868"/>
      <c r="HG1271" s="473"/>
      <c r="HH1271" s="867"/>
      <c r="HI1271" s="868"/>
      <c r="HJ1271" s="867"/>
      <c r="HK1271" s="868"/>
      <c r="HL1271" s="370"/>
      <c r="HM1271" s="865"/>
      <c r="HN1271" s="866"/>
      <c r="HO1271" s="865"/>
      <c r="HP1271" s="866"/>
      <c r="HQ1271" s="865"/>
      <c r="HR1271" s="866"/>
      <c r="HS1271" s="867"/>
      <c r="HT1271" s="868"/>
      <c r="HU1271" s="489"/>
      <c r="HV1271" s="865"/>
      <c r="HW1271" s="866"/>
    </row>
    <row r="1272" spans="25:231" ht="15" customHeight="1">
      <c r="Y1272" s="332"/>
      <c r="Z1272" s="332"/>
      <c r="AA1272" s="332"/>
      <c r="AB1272" s="332"/>
      <c r="AC1272" s="332"/>
      <c r="AD1272" s="332"/>
      <c r="AE1272" s="332"/>
      <c r="AF1272" s="332"/>
      <c r="AG1272" s="332"/>
      <c r="AH1272" s="332"/>
      <c r="AI1272" s="332"/>
      <c r="AJ1272" s="332"/>
      <c r="AK1272" s="332"/>
      <c r="AL1272" s="332"/>
      <c r="AM1272" s="332"/>
      <c r="AN1272" s="332"/>
      <c r="AO1272" s="332"/>
      <c r="AP1272" s="332"/>
      <c r="AQ1272" s="332"/>
      <c r="AR1272" s="332"/>
      <c r="AS1272" s="332"/>
      <c r="AT1272" s="332"/>
      <c r="AU1272" s="332"/>
      <c r="AV1272" s="332"/>
      <c r="AW1272" s="332"/>
      <c r="AX1272" s="332"/>
      <c r="AY1272" s="332"/>
      <c r="AZ1272" s="332"/>
      <c r="BA1272" s="332"/>
      <c r="BB1272" s="332"/>
      <c r="BC1272" s="332"/>
      <c r="BD1272" s="332"/>
      <c r="BE1272" s="332"/>
      <c r="BF1272" s="332"/>
      <c r="BG1272" s="332"/>
      <c r="BH1272" s="332"/>
      <c r="BI1272" s="332"/>
      <c r="BJ1272" s="332"/>
      <c r="BK1272" s="332"/>
      <c r="BL1272" s="332"/>
      <c r="BM1272" s="332"/>
      <c r="BN1272" s="332"/>
      <c r="BO1272" s="332"/>
      <c r="BP1272" s="332"/>
      <c r="BQ1272" s="332"/>
      <c r="BR1272" s="332"/>
      <c r="BS1272" s="332"/>
      <c r="BT1272" s="332"/>
      <c r="BU1272" s="332"/>
      <c r="BV1272" s="332"/>
      <c r="BW1272" s="332"/>
      <c r="BX1272" s="332"/>
      <c r="BY1272" s="332"/>
      <c r="BZ1272" s="332"/>
      <c r="CA1272" s="332"/>
      <c r="CB1272" s="332"/>
      <c r="CC1272" s="332"/>
      <c r="CD1272" s="332"/>
      <c r="CE1272" s="332"/>
      <c r="CF1272" s="332"/>
      <c r="CG1272" s="332"/>
      <c r="CH1272" s="332"/>
      <c r="CI1272" s="332"/>
      <c r="CJ1272" s="332"/>
      <c r="CK1272" s="332"/>
      <c r="CL1272" s="332"/>
      <c r="CM1272" s="332"/>
      <c r="CN1272" s="332"/>
      <c r="CO1272" s="332"/>
      <c r="CP1272" s="332"/>
      <c r="CQ1272" s="332"/>
      <c r="CR1272" s="332"/>
      <c r="CS1272" s="332"/>
      <c r="CT1272" s="332"/>
      <c r="CU1272" s="332"/>
      <c r="CV1272" s="332"/>
      <c r="CW1272" s="332"/>
      <c r="CX1272" s="332"/>
      <c r="CY1272" s="332"/>
      <c r="CZ1272" s="332"/>
      <c r="DA1272" s="332"/>
      <c r="DB1272" s="332"/>
      <c r="DC1272" s="332"/>
      <c r="DD1272" s="332"/>
      <c r="DE1272" s="332"/>
      <c r="DF1272" s="332"/>
      <c r="DG1272" s="332"/>
      <c r="DH1272" s="332"/>
      <c r="DI1272" s="332"/>
      <c r="DJ1272" s="332"/>
      <c r="DK1272" s="332"/>
      <c r="DL1272" s="332"/>
      <c r="DM1272" s="332"/>
      <c r="DN1272" s="332"/>
      <c r="DO1272" s="332"/>
      <c r="DP1272" s="332"/>
      <c r="DQ1272" s="332"/>
      <c r="DR1272" s="332"/>
      <c r="DS1272" s="332"/>
      <c r="DT1272" s="332"/>
      <c r="DU1272" s="453"/>
      <c r="DV1272" s="453"/>
      <c r="DW1272" s="453"/>
      <c r="DX1272" s="453"/>
      <c r="DY1272" s="453"/>
      <c r="DZ1272" s="453"/>
      <c r="EA1272" s="453"/>
      <c r="EB1272" s="453"/>
      <c r="EC1272" s="453"/>
      <c r="ED1272" s="453"/>
      <c r="EE1272" s="453"/>
      <c r="EF1272" s="453"/>
      <c r="EG1272" s="453"/>
      <c r="EH1272" s="453"/>
      <c r="EI1272" s="453"/>
      <c r="EJ1272" s="453"/>
      <c r="EK1272" s="453"/>
      <c r="EL1272" s="453"/>
      <c r="EM1272" s="483">
        <f t="shared" si="257"/>
        <v>963</v>
      </c>
      <c r="EN1272" s="485"/>
      <c r="EO1272" s="458"/>
      <c r="EP1272" s="467"/>
      <c r="EQ1272" s="457"/>
      <c r="ER1272" s="808"/>
      <c r="ES1272" s="881">
        <f t="shared" si="260"/>
        <v>0</v>
      </c>
      <c r="ET1272" s="882"/>
      <c r="EU1272" s="883"/>
      <c r="EV1272" s="884">
        <f t="shared" si="261"/>
        <v>0</v>
      </c>
      <c r="EW1272" s="885"/>
      <c r="EX1272" s="885"/>
      <c r="EY1272" s="885"/>
      <c r="EZ1272" s="885"/>
      <c r="FA1272" s="885"/>
      <c r="FB1272" s="885"/>
      <c r="FC1272" s="885"/>
      <c r="FD1272" s="886"/>
      <c r="FE1272" s="877"/>
      <c r="FF1272" s="877"/>
      <c r="FG1272" s="877"/>
      <c r="FH1272" s="877"/>
      <c r="FI1272" s="877"/>
      <c r="FJ1272" s="877"/>
      <c r="FK1272" s="877"/>
      <c r="FL1272" s="874"/>
      <c r="FM1272" s="875"/>
      <c r="FN1272" s="875"/>
      <c r="FO1272" s="875"/>
      <c r="FP1272" s="875"/>
      <c r="FQ1272" s="875"/>
      <c r="FR1272" s="875"/>
      <c r="FS1272" s="875"/>
      <c r="FT1272" s="875"/>
      <c r="FU1272" s="875"/>
      <c r="FV1272" s="875"/>
      <c r="FW1272" s="875"/>
      <c r="FX1272" s="875"/>
      <c r="FY1272" s="875"/>
      <c r="FZ1272" s="875"/>
      <c r="GA1272" s="875"/>
      <c r="GB1272" s="876"/>
      <c r="GC1272" s="370"/>
      <c r="GD1272" s="453"/>
      <c r="GE1272" s="453"/>
      <c r="GF1272" s="453"/>
      <c r="GG1272" s="453"/>
      <c r="GH1272" s="454"/>
      <c r="GI1272" s="453"/>
      <c r="GJ1272" s="453"/>
      <c r="GK1272" s="453"/>
      <c r="GL1272" s="453"/>
      <c r="GM1272" s="453"/>
      <c r="GN1272" s="453"/>
      <c r="GO1272" s="453"/>
      <c r="GP1272" s="453"/>
      <c r="GQ1272" s="453"/>
      <c r="GR1272" s="453"/>
      <c r="GS1272" s="561"/>
      <c r="GT1272" s="475"/>
      <c r="GU1272" s="472"/>
      <c r="GV1272" s="453"/>
      <c r="GW1272" s="453"/>
      <c r="GX1272" s="869"/>
      <c r="GY1272" s="870"/>
      <c r="GZ1272" s="867"/>
      <c r="HA1272" s="868"/>
      <c r="HB1272" s="473"/>
      <c r="HC1272" s="869"/>
      <c r="HD1272" s="870"/>
      <c r="HE1272" s="867"/>
      <c r="HF1272" s="868"/>
      <c r="HG1272" s="473"/>
      <c r="HH1272" s="867"/>
      <c r="HI1272" s="868"/>
      <c r="HJ1272" s="867"/>
      <c r="HK1272" s="868"/>
      <c r="HL1272" s="370"/>
      <c r="HM1272" s="865"/>
      <c r="HN1272" s="866"/>
      <c r="HO1272" s="865"/>
      <c r="HP1272" s="866"/>
      <c r="HQ1272" s="865"/>
      <c r="HR1272" s="866"/>
      <c r="HS1272" s="867"/>
      <c r="HT1272" s="868"/>
      <c r="HU1272" s="489"/>
      <c r="HV1272" s="865"/>
      <c r="HW1272" s="866"/>
    </row>
    <row r="1273" spans="25:231" ht="15" customHeight="1">
      <c r="Y1273" s="332"/>
      <c r="Z1273" s="332"/>
      <c r="AA1273" s="332"/>
      <c r="AB1273" s="332"/>
      <c r="AC1273" s="332"/>
      <c r="AD1273" s="332"/>
      <c r="AE1273" s="332"/>
      <c r="AF1273" s="332"/>
      <c r="AG1273" s="332"/>
      <c r="AH1273" s="332"/>
      <c r="AI1273" s="332"/>
      <c r="AJ1273" s="332"/>
      <c r="AK1273" s="332"/>
      <c r="AL1273" s="332"/>
      <c r="AM1273" s="332"/>
      <c r="AN1273" s="332"/>
      <c r="AO1273" s="332"/>
      <c r="AP1273" s="332"/>
      <c r="AQ1273" s="332"/>
      <c r="AR1273" s="332"/>
      <c r="AS1273" s="332"/>
      <c r="AT1273" s="332"/>
      <c r="AU1273" s="332"/>
      <c r="AV1273" s="332"/>
      <c r="AW1273" s="332"/>
      <c r="AX1273" s="332"/>
      <c r="AY1273" s="332"/>
      <c r="AZ1273" s="332"/>
      <c r="BA1273" s="332"/>
      <c r="BB1273" s="332"/>
      <c r="BC1273" s="332"/>
      <c r="BD1273" s="332"/>
      <c r="BE1273" s="332"/>
      <c r="BF1273" s="332"/>
      <c r="BG1273" s="332"/>
      <c r="BH1273" s="332"/>
      <c r="BI1273" s="332"/>
      <c r="BJ1273" s="332"/>
      <c r="BK1273" s="332"/>
      <c r="BL1273" s="332"/>
      <c r="BM1273" s="332"/>
      <c r="BN1273" s="332"/>
      <c r="BO1273" s="332"/>
      <c r="BP1273" s="332"/>
      <c r="BQ1273" s="332"/>
      <c r="BR1273" s="332"/>
      <c r="BS1273" s="332"/>
      <c r="BT1273" s="332"/>
      <c r="BU1273" s="332"/>
      <c r="BV1273" s="332"/>
      <c r="BW1273" s="332"/>
      <c r="BX1273" s="332"/>
      <c r="BY1273" s="332"/>
      <c r="BZ1273" s="332"/>
      <c r="CA1273" s="332"/>
      <c r="CB1273" s="332"/>
      <c r="CC1273" s="332"/>
      <c r="CD1273" s="332"/>
      <c r="CE1273" s="332"/>
      <c r="CF1273" s="332"/>
      <c r="CG1273" s="332"/>
      <c r="CH1273" s="332"/>
      <c r="CI1273" s="332"/>
      <c r="CJ1273" s="332"/>
      <c r="CK1273" s="332"/>
      <c r="CL1273" s="332"/>
      <c r="CM1273" s="332"/>
      <c r="CN1273" s="332"/>
      <c r="CO1273" s="332"/>
      <c r="CP1273" s="332"/>
      <c r="CQ1273" s="332"/>
      <c r="CR1273" s="332"/>
      <c r="CS1273" s="332"/>
      <c r="CT1273" s="332"/>
      <c r="CU1273" s="332"/>
      <c r="CV1273" s="332"/>
      <c r="CW1273" s="332"/>
      <c r="CX1273" s="332"/>
      <c r="CY1273" s="332"/>
      <c r="CZ1273" s="332"/>
      <c r="DA1273" s="332"/>
      <c r="DB1273" s="332"/>
      <c r="DC1273" s="332"/>
      <c r="DD1273" s="332"/>
      <c r="DE1273" s="332"/>
      <c r="DF1273" s="332"/>
      <c r="DG1273" s="332"/>
      <c r="DH1273" s="332"/>
      <c r="DI1273" s="332"/>
      <c r="DJ1273" s="332"/>
      <c r="DK1273" s="332"/>
      <c r="DL1273" s="332"/>
      <c r="DM1273" s="332"/>
      <c r="DN1273" s="332"/>
      <c r="DO1273" s="332"/>
      <c r="DP1273" s="332"/>
      <c r="DQ1273" s="332"/>
      <c r="DR1273" s="332"/>
      <c r="DS1273" s="332"/>
      <c r="DT1273" s="332"/>
      <c r="DU1273" s="453"/>
      <c r="DV1273" s="453"/>
      <c r="DW1273" s="453"/>
      <c r="DX1273" s="453"/>
      <c r="DY1273" s="453"/>
      <c r="DZ1273" s="453"/>
      <c r="EA1273" s="453"/>
      <c r="EB1273" s="453"/>
      <c r="EC1273" s="453"/>
      <c r="ED1273" s="453"/>
      <c r="EE1273" s="453"/>
      <c r="EF1273" s="453"/>
      <c r="EG1273" s="453"/>
      <c r="EH1273" s="453"/>
      <c r="EI1273" s="453"/>
      <c r="EJ1273" s="453"/>
      <c r="EK1273" s="453"/>
      <c r="EL1273" s="453"/>
      <c r="EM1273" s="483">
        <f t="shared" si="257"/>
        <v>964</v>
      </c>
      <c r="EN1273" s="485"/>
      <c r="EO1273" s="458"/>
      <c r="EP1273" s="467"/>
      <c r="EQ1273" s="457"/>
      <c r="ER1273" s="808"/>
      <c r="ES1273" s="881">
        <f t="shared" si="260"/>
        <v>0</v>
      </c>
      <c r="ET1273" s="882"/>
      <c r="EU1273" s="883"/>
      <c r="EV1273" s="884">
        <f t="shared" si="261"/>
        <v>0</v>
      </c>
      <c r="EW1273" s="885"/>
      <c r="EX1273" s="885"/>
      <c r="EY1273" s="885"/>
      <c r="EZ1273" s="885"/>
      <c r="FA1273" s="885"/>
      <c r="FB1273" s="885"/>
      <c r="FC1273" s="885"/>
      <c r="FD1273" s="886"/>
      <c r="FE1273" s="877"/>
      <c r="FF1273" s="877"/>
      <c r="FG1273" s="877"/>
      <c r="FH1273" s="877"/>
      <c r="FI1273" s="877"/>
      <c r="FJ1273" s="877"/>
      <c r="FK1273" s="877"/>
      <c r="FL1273" s="874"/>
      <c r="FM1273" s="875"/>
      <c r="FN1273" s="875"/>
      <c r="FO1273" s="875"/>
      <c r="FP1273" s="875"/>
      <c r="FQ1273" s="875"/>
      <c r="FR1273" s="875"/>
      <c r="FS1273" s="875"/>
      <c r="FT1273" s="875"/>
      <c r="FU1273" s="875"/>
      <c r="FV1273" s="875"/>
      <c r="FW1273" s="875"/>
      <c r="FX1273" s="875"/>
      <c r="FY1273" s="875"/>
      <c r="FZ1273" s="875"/>
      <c r="GA1273" s="875"/>
      <c r="GB1273" s="876"/>
      <c r="GC1273" s="370"/>
      <c r="GD1273" s="453"/>
      <c r="GE1273" s="453"/>
      <c r="GF1273" s="453"/>
      <c r="GG1273" s="453"/>
      <c r="GH1273" s="454"/>
      <c r="GI1273" s="453"/>
      <c r="GJ1273" s="453"/>
      <c r="GK1273" s="453"/>
      <c r="GL1273" s="453"/>
      <c r="GM1273" s="453"/>
      <c r="GN1273" s="453"/>
      <c r="GO1273" s="453"/>
      <c r="GP1273" s="453"/>
      <c r="GQ1273" s="453"/>
      <c r="GR1273" s="453"/>
      <c r="GS1273" s="561"/>
      <c r="GT1273" s="475"/>
      <c r="GU1273" s="472"/>
      <c r="GV1273" s="453"/>
      <c r="GW1273" s="453"/>
      <c r="GX1273" s="869"/>
      <c r="GY1273" s="870"/>
      <c r="GZ1273" s="867"/>
      <c r="HA1273" s="868"/>
      <c r="HB1273" s="473"/>
      <c r="HC1273" s="869"/>
      <c r="HD1273" s="870"/>
      <c r="HE1273" s="867"/>
      <c r="HF1273" s="868"/>
      <c r="HG1273" s="473"/>
      <c r="HH1273" s="867"/>
      <c r="HI1273" s="868"/>
      <c r="HJ1273" s="867"/>
      <c r="HK1273" s="868"/>
      <c r="HL1273" s="370"/>
      <c r="HM1273" s="865"/>
      <c r="HN1273" s="866"/>
      <c r="HO1273" s="865"/>
      <c r="HP1273" s="866"/>
      <c r="HQ1273" s="865"/>
      <c r="HR1273" s="866"/>
      <c r="HS1273" s="867"/>
      <c r="HT1273" s="868"/>
      <c r="HU1273" s="489"/>
      <c r="HV1273" s="865"/>
      <c r="HW1273" s="866"/>
    </row>
    <row r="1274" spans="25:231" ht="15" customHeight="1">
      <c r="Y1274" s="332"/>
      <c r="Z1274" s="332"/>
      <c r="AA1274" s="332"/>
      <c r="AB1274" s="332"/>
      <c r="AC1274" s="332"/>
      <c r="AD1274" s="332"/>
      <c r="AE1274" s="332"/>
      <c r="AF1274" s="332"/>
      <c r="AG1274" s="332"/>
      <c r="AH1274" s="332"/>
      <c r="AI1274" s="332"/>
      <c r="AJ1274" s="332"/>
      <c r="AK1274" s="332"/>
      <c r="AL1274" s="332"/>
      <c r="AM1274" s="332"/>
      <c r="AN1274" s="332"/>
      <c r="AO1274" s="332"/>
      <c r="AP1274" s="332"/>
      <c r="AQ1274" s="332"/>
      <c r="AR1274" s="332"/>
      <c r="AS1274" s="332"/>
      <c r="AT1274" s="332"/>
      <c r="AU1274" s="332"/>
      <c r="AV1274" s="332"/>
      <c r="AW1274" s="332"/>
      <c r="AX1274" s="332"/>
      <c r="AY1274" s="332"/>
      <c r="AZ1274" s="332"/>
      <c r="BA1274" s="332"/>
      <c r="BB1274" s="332"/>
      <c r="BC1274" s="332"/>
      <c r="BD1274" s="332"/>
      <c r="BE1274" s="332"/>
      <c r="BF1274" s="332"/>
      <c r="BG1274" s="332"/>
      <c r="BH1274" s="332"/>
      <c r="BI1274" s="332"/>
      <c r="BJ1274" s="332"/>
      <c r="BK1274" s="332"/>
      <c r="BL1274" s="332"/>
      <c r="BM1274" s="332"/>
      <c r="BN1274" s="332"/>
      <c r="BO1274" s="332"/>
      <c r="BP1274" s="332"/>
      <c r="BQ1274" s="332"/>
      <c r="BR1274" s="332"/>
      <c r="BS1274" s="332"/>
      <c r="BT1274" s="332"/>
      <c r="BU1274" s="332"/>
      <c r="BV1274" s="332"/>
      <c r="BW1274" s="332"/>
      <c r="BX1274" s="332"/>
      <c r="BY1274" s="332"/>
      <c r="BZ1274" s="332"/>
      <c r="CA1274" s="332"/>
      <c r="CB1274" s="332"/>
      <c r="CC1274" s="332"/>
      <c r="CD1274" s="332"/>
      <c r="CE1274" s="332"/>
      <c r="CF1274" s="332"/>
      <c r="CG1274" s="332"/>
      <c r="CH1274" s="332"/>
      <c r="CI1274" s="332"/>
      <c r="CJ1274" s="332"/>
      <c r="CK1274" s="332"/>
      <c r="CL1274" s="332"/>
      <c r="CM1274" s="332"/>
      <c r="CN1274" s="332"/>
      <c r="CO1274" s="332"/>
      <c r="CP1274" s="332"/>
      <c r="CQ1274" s="332"/>
      <c r="CR1274" s="332"/>
      <c r="CS1274" s="332"/>
      <c r="CT1274" s="332"/>
      <c r="CU1274" s="332"/>
      <c r="CV1274" s="332"/>
      <c r="CW1274" s="332"/>
      <c r="CX1274" s="332"/>
      <c r="CY1274" s="332"/>
      <c r="CZ1274" s="332"/>
      <c r="DA1274" s="332"/>
      <c r="DB1274" s="332"/>
      <c r="DC1274" s="332"/>
      <c r="DD1274" s="332"/>
      <c r="DE1274" s="332"/>
      <c r="DF1274" s="332"/>
      <c r="DG1274" s="332"/>
      <c r="DH1274" s="332"/>
      <c r="DI1274" s="332"/>
      <c r="DJ1274" s="332"/>
      <c r="DK1274" s="332"/>
      <c r="DL1274" s="332"/>
      <c r="DM1274" s="332"/>
      <c r="DN1274" s="332"/>
      <c r="DO1274" s="332"/>
      <c r="DP1274" s="332"/>
      <c r="DQ1274" s="332"/>
      <c r="DR1274" s="332"/>
      <c r="DS1274" s="332"/>
      <c r="DT1274" s="332"/>
      <c r="DU1274" s="453"/>
      <c r="DV1274" s="453"/>
      <c r="DW1274" s="453"/>
      <c r="DX1274" s="453"/>
      <c r="DY1274" s="453"/>
      <c r="DZ1274" s="453"/>
      <c r="EA1274" s="453"/>
      <c r="EB1274" s="453"/>
      <c r="EC1274" s="453"/>
      <c r="ED1274" s="453"/>
      <c r="EE1274" s="453"/>
      <c r="EF1274" s="453"/>
      <c r="EG1274" s="453"/>
      <c r="EH1274" s="453"/>
      <c r="EI1274" s="453"/>
      <c r="EJ1274" s="453"/>
      <c r="EK1274" s="453"/>
      <c r="EL1274" s="453"/>
      <c r="EM1274" s="483">
        <f t="shared" si="257"/>
        <v>965</v>
      </c>
      <c r="EN1274" s="485"/>
      <c r="EO1274" s="458"/>
      <c r="EP1274" s="467"/>
      <c r="EQ1274" s="457"/>
      <c r="ER1274" s="808"/>
      <c r="ES1274" s="881">
        <f t="shared" si="260"/>
        <v>0</v>
      </c>
      <c r="ET1274" s="882"/>
      <c r="EU1274" s="883"/>
      <c r="EV1274" s="884">
        <f t="shared" si="261"/>
        <v>0</v>
      </c>
      <c r="EW1274" s="885"/>
      <c r="EX1274" s="885"/>
      <c r="EY1274" s="885"/>
      <c r="EZ1274" s="885"/>
      <c r="FA1274" s="885"/>
      <c r="FB1274" s="885"/>
      <c r="FC1274" s="885"/>
      <c r="FD1274" s="886"/>
      <c r="FE1274" s="877"/>
      <c r="FF1274" s="877"/>
      <c r="FG1274" s="877"/>
      <c r="FH1274" s="877"/>
      <c r="FI1274" s="877"/>
      <c r="FJ1274" s="877"/>
      <c r="FK1274" s="877"/>
      <c r="FL1274" s="874"/>
      <c r="FM1274" s="875"/>
      <c r="FN1274" s="875"/>
      <c r="FO1274" s="875"/>
      <c r="FP1274" s="875"/>
      <c r="FQ1274" s="875"/>
      <c r="FR1274" s="875"/>
      <c r="FS1274" s="875"/>
      <c r="FT1274" s="875"/>
      <c r="FU1274" s="875"/>
      <c r="FV1274" s="875"/>
      <c r="FW1274" s="875"/>
      <c r="FX1274" s="875"/>
      <c r="FY1274" s="875"/>
      <c r="FZ1274" s="875"/>
      <c r="GA1274" s="875"/>
      <c r="GB1274" s="876"/>
      <c r="GC1274" s="370"/>
      <c r="GD1274" s="453"/>
      <c r="GE1274" s="453"/>
      <c r="GF1274" s="453"/>
      <c r="GG1274" s="453"/>
      <c r="GH1274" s="454"/>
      <c r="GI1274" s="453"/>
      <c r="GJ1274" s="453"/>
      <c r="GK1274" s="453"/>
      <c r="GL1274" s="453"/>
      <c r="GM1274" s="453"/>
      <c r="GN1274" s="453"/>
      <c r="GO1274" s="453"/>
      <c r="GP1274" s="453"/>
      <c r="GQ1274" s="453"/>
      <c r="GR1274" s="453"/>
      <c r="GS1274" s="561"/>
      <c r="GT1274" s="475"/>
      <c r="GU1274" s="472"/>
      <c r="GV1274" s="453"/>
      <c r="GW1274" s="453"/>
      <c r="GX1274" s="869"/>
      <c r="GY1274" s="870"/>
      <c r="GZ1274" s="867"/>
      <c r="HA1274" s="868"/>
      <c r="HB1274" s="473"/>
      <c r="HC1274" s="869"/>
      <c r="HD1274" s="870"/>
      <c r="HE1274" s="867"/>
      <c r="HF1274" s="868"/>
      <c r="HG1274" s="473"/>
      <c r="HH1274" s="867"/>
      <c r="HI1274" s="868"/>
      <c r="HJ1274" s="867"/>
      <c r="HK1274" s="868"/>
      <c r="HL1274" s="370"/>
      <c r="HM1274" s="865"/>
      <c r="HN1274" s="866"/>
      <c r="HO1274" s="865"/>
      <c r="HP1274" s="866"/>
      <c r="HQ1274" s="865"/>
      <c r="HR1274" s="866"/>
      <c r="HS1274" s="867"/>
      <c r="HT1274" s="868"/>
      <c r="HU1274" s="489"/>
      <c r="HV1274" s="865"/>
      <c r="HW1274" s="866"/>
    </row>
    <row r="1275" spans="25:231" ht="15" customHeight="1">
      <c r="Y1275" s="332"/>
      <c r="Z1275" s="332"/>
      <c r="AA1275" s="332"/>
      <c r="AB1275" s="332"/>
      <c r="AC1275" s="332"/>
      <c r="AD1275" s="332"/>
      <c r="AE1275" s="332"/>
      <c r="AF1275" s="332"/>
      <c r="AG1275" s="332"/>
      <c r="AH1275" s="332"/>
      <c r="AI1275" s="332"/>
      <c r="AJ1275" s="332"/>
      <c r="AK1275" s="332"/>
      <c r="AL1275" s="332"/>
      <c r="AM1275" s="332"/>
      <c r="AN1275" s="332"/>
      <c r="AO1275" s="332"/>
      <c r="AP1275" s="332"/>
      <c r="AQ1275" s="332"/>
      <c r="AR1275" s="332"/>
      <c r="AS1275" s="332"/>
      <c r="AT1275" s="332"/>
      <c r="AU1275" s="332"/>
      <c r="AV1275" s="332"/>
      <c r="AW1275" s="332"/>
      <c r="AX1275" s="332"/>
      <c r="AY1275" s="332"/>
      <c r="AZ1275" s="332"/>
      <c r="BA1275" s="332"/>
      <c r="BB1275" s="332"/>
      <c r="BC1275" s="332"/>
      <c r="BD1275" s="332"/>
      <c r="BE1275" s="332"/>
      <c r="BF1275" s="332"/>
      <c r="BG1275" s="332"/>
      <c r="BH1275" s="332"/>
      <c r="BI1275" s="332"/>
      <c r="BJ1275" s="332"/>
      <c r="BK1275" s="332"/>
      <c r="BL1275" s="332"/>
      <c r="BM1275" s="332"/>
      <c r="BN1275" s="332"/>
      <c r="BO1275" s="332"/>
      <c r="BP1275" s="332"/>
      <c r="BQ1275" s="332"/>
      <c r="BR1275" s="332"/>
      <c r="BS1275" s="332"/>
      <c r="BT1275" s="332"/>
      <c r="BU1275" s="332"/>
      <c r="BV1275" s="332"/>
      <c r="BW1275" s="332"/>
      <c r="BX1275" s="332"/>
      <c r="BY1275" s="332"/>
      <c r="BZ1275" s="332"/>
      <c r="CA1275" s="332"/>
      <c r="CB1275" s="332"/>
      <c r="CC1275" s="332"/>
      <c r="CD1275" s="332"/>
      <c r="CE1275" s="332"/>
      <c r="CF1275" s="332"/>
      <c r="CG1275" s="332"/>
      <c r="CH1275" s="332"/>
      <c r="CI1275" s="332"/>
      <c r="CJ1275" s="332"/>
      <c r="CK1275" s="332"/>
      <c r="CL1275" s="332"/>
      <c r="CM1275" s="332"/>
      <c r="CN1275" s="332"/>
      <c r="CO1275" s="332"/>
      <c r="CP1275" s="332"/>
      <c r="CQ1275" s="332"/>
      <c r="CR1275" s="332"/>
      <c r="CS1275" s="332"/>
      <c r="CT1275" s="332"/>
      <c r="CU1275" s="332"/>
      <c r="CV1275" s="332"/>
      <c r="CW1275" s="332"/>
      <c r="CX1275" s="332"/>
      <c r="CY1275" s="332"/>
      <c r="CZ1275" s="332"/>
      <c r="DA1275" s="332"/>
      <c r="DB1275" s="332"/>
      <c r="DC1275" s="332"/>
      <c r="DD1275" s="332"/>
      <c r="DE1275" s="332"/>
      <c r="DF1275" s="332"/>
      <c r="DG1275" s="332"/>
      <c r="DH1275" s="332"/>
      <c r="DI1275" s="332"/>
      <c r="DJ1275" s="332"/>
      <c r="DK1275" s="332"/>
      <c r="DL1275" s="332"/>
      <c r="DM1275" s="332"/>
      <c r="DN1275" s="332"/>
      <c r="DO1275" s="332"/>
      <c r="DP1275" s="332"/>
      <c r="DQ1275" s="332"/>
      <c r="DR1275" s="332"/>
      <c r="DS1275" s="332"/>
      <c r="DT1275" s="332"/>
      <c r="DU1275" s="453"/>
      <c r="DV1275" s="453"/>
      <c r="DW1275" s="453"/>
      <c r="DX1275" s="453"/>
      <c r="DY1275" s="453"/>
      <c r="DZ1275" s="453"/>
      <c r="EA1275" s="453"/>
      <c r="EB1275" s="453"/>
      <c r="EC1275" s="453"/>
      <c r="ED1275" s="453"/>
      <c r="EE1275" s="453"/>
      <c r="EF1275" s="453"/>
      <c r="EG1275" s="453"/>
      <c r="EH1275" s="453"/>
      <c r="EI1275" s="453"/>
      <c r="EJ1275" s="453"/>
      <c r="EK1275" s="453"/>
      <c r="EL1275" s="453"/>
      <c r="EM1275" s="483">
        <f t="shared" si="257"/>
        <v>966</v>
      </c>
      <c r="EN1275" s="485"/>
      <c r="EO1275" s="458"/>
      <c r="EP1275" s="467"/>
      <c r="EQ1275" s="457"/>
      <c r="ER1275" s="808"/>
      <c r="ES1275" s="881">
        <f t="shared" si="260"/>
        <v>0</v>
      </c>
      <c r="ET1275" s="882"/>
      <c r="EU1275" s="883"/>
      <c r="EV1275" s="884">
        <f t="shared" si="261"/>
        <v>0</v>
      </c>
      <c r="EW1275" s="885"/>
      <c r="EX1275" s="885"/>
      <c r="EY1275" s="885"/>
      <c r="EZ1275" s="885"/>
      <c r="FA1275" s="885"/>
      <c r="FB1275" s="885"/>
      <c r="FC1275" s="885"/>
      <c r="FD1275" s="886"/>
      <c r="FE1275" s="877"/>
      <c r="FF1275" s="877"/>
      <c r="FG1275" s="877"/>
      <c r="FH1275" s="877"/>
      <c r="FI1275" s="877"/>
      <c r="FJ1275" s="877"/>
      <c r="FK1275" s="877"/>
      <c r="FL1275" s="874"/>
      <c r="FM1275" s="875"/>
      <c r="FN1275" s="875"/>
      <c r="FO1275" s="875"/>
      <c r="FP1275" s="875"/>
      <c r="FQ1275" s="875"/>
      <c r="FR1275" s="875"/>
      <c r="FS1275" s="875"/>
      <c r="FT1275" s="875"/>
      <c r="FU1275" s="875"/>
      <c r="FV1275" s="875"/>
      <c r="FW1275" s="875"/>
      <c r="FX1275" s="875"/>
      <c r="FY1275" s="875"/>
      <c r="FZ1275" s="875"/>
      <c r="GA1275" s="875"/>
      <c r="GB1275" s="876"/>
      <c r="GC1275" s="370"/>
      <c r="GD1275" s="453"/>
      <c r="GE1275" s="453"/>
      <c r="GF1275" s="453"/>
      <c r="GG1275" s="453"/>
      <c r="GH1275" s="454"/>
      <c r="GI1275" s="453"/>
      <c r="GJ1275" s="453"/>
      <c r="GK1275" s="453"/>
      <c r="GL1275" s="453"/>
      <c r="GM1275" s="453"/>
      <c r="GN1275" s="453"/>
      <c r="GO1275" s="453"/>
      <c r="GP1275" s="453"/>
      <c r="GQ1275" s="453"/>
      <c r="GR1275" s="453"/>
      <c r="GS1275" s="561"/>
      <c r="GT1275" s="475"/>
      <c r="GU1275" s="472"/>
      <c r="GV1275" s="453"/>
      <c r="GW1275" s="453"/>
      <c r="GX1275" s="869"/>
      <c r="GY1275" s="870"/>
      <c r="GZ1275" s="867"/>
      <c r="HA1275" s="868"/>
      <c r="HB1275" s="473"/>
      <c r="HC1275" s="869"/>
      <c r="HD1275" s="870"/>
      <c r="HE1275" s="867"/>
      <c r="HF1275" s="868"/>
      <c r="HG1275" s="473"/>
      <c r="HH1275" s="867"/>
      <c r="HI1275" s="868"/>
      <c r="HJ1275" s="867"/>
      <c r="HK1275" s="868"/>
      <c r="HL1275" s="370"/>
      <c r="HM1275" s="865"/>
      <c r="HN1275" s="866"/>
      <c r="HO1275" s="865"/>
      <c r="HP1275" s="866"/>
      <c r="HQ1275" s="865"/>
      <c r="HR1275" s="866"/>
      <c r="HS1275" s="867"/>
      <c r="HT1275" s="868"/>
      <c r="HU1275" s="489"/>
      <c r="HV1275" s="865"/>
      <c r="HW1275" s="866"/>
    </row>
    <row r="1276" spans="25:231" ht="15" customHeight="1">
      <c r="Y1276" s="332"/>
      <c r="Z1276" s="332"/>
      <c r="AA1276" s="332"/>
      <c r="AB1276" s="332"/>
      <c r="AC1276" s="332"/>
      <c r="AD1276" s="332"/>
      <c r="AE1276" s="332"/>
      <c r="AF1276" s="332"/>
      <c r="AG1276" s="332"/>
      <c r="AH1276" s="332"/>
      <c r="AI1276" s="332"/>
      <c r="AJ1276" s="332"/>
      <c r="AK1276" s="332"/>
      <c r="AL1276" s="332"/>
      <c r="AM1276" s="332"/>
      <c r="AN1276" s="332"/>
      <c r="AO1276" s="332"/>
      <c r="AP1276" s="332"/>
      <c r="AQ1276" s="332"/>
      <c r="AR1276" s="332"/>
      <c r="AS1276" s="332"/>
      <c r="AT1276" s="332"/>
      <c r="AU1276" s="332"/>
      <c r="AV1276" s="332"/>
      <c r="AW1276" s="332"/>
      <c r="AX1276" s="332"/>
      <c r="AY1276" s="332"/>
      <c r="AZ1276" s="332"/>
      <c r="BA1276" s="332"/>
      <c r="BB1276" s="332"/>
      <c r="BC1276" s="332"/>
      <c r="BD1276" s="332"/>
      <c r="BE1276" s="332"/>
      <c r="BF1276" s="332"/>
      <c r="BG1276" s="332"/>
      <c r="BH1276" s="332"/>
      <c r="BI1276" s="332"/>
      <c r="BJ1276" s="332"/>
      <c r="BK1276" s="332"/>
      <c r="BL1276" s="332"/>
      <c r="BM1276" s="332"/>
      <c r="BN1276" s="332"/>
      <c r="BO1276" s="332"/>
      <c r="BP1276" s="332"/>
      <c r="BQ1276" s="332"/>
      <c r="BR1276" s="332"/>
      <c r="BS1276" s="332"/>
      <c r="BT1276" s="332"/>
      <c r="BU1276" s="332"/>
      <c r="BV1276" s="332"/>
      <c r="BW1276" s="332"/>
      <c r="BX1276" s="332"/>
      <c r="BY1276" s="332"/>
      <c r="BZ1276" s="332"/>
      <c r="CA1276" s="332"/>
      <c r="CB1276" s="332"/>
      <c r="CC1276" s="332"/>
      <c r="CD1276" s="332"/>
      <c r="CE1276" s="332"/>
      <c r="CF1276" s="332"/>
      <c r="CG1276" s="332"/>
      <c r="CH1276" s="332"/>
      <c r="CI1276" s="332"/>
      <c r="CJ1276" s="332"/>
      <c r="CK1276" s="332"/>
      <c r="CL1276" s="332"/>
      <c r="CM1276" s="332"/>
      <c r="CN1276" s="332"/>
      <c r="CO1276" s="332"/>
      <c r="CP1276" s="332"/>
      <c r="CQ1276" s="332"/>
      <c r="CR1276" s="332"/>
      <c r="CS1276" s="332"/>
      <c r="CT1276" s="332"/>
      <c r="CU1276" s="332"/>
      <c r="CV1276" s="332"/>
      <c r="CW1276" s="332"/>
      <c r="CX1276" s="332"/>
      <c r="CY1276" s="332"/>
      <c r="CZ1276" s="332"/>
      <c r="DA1276" s="332"/>
      <c r="DB1276" s="332"/>
      <c r="DC1276" s="332"/>
      <c r="DD1276" s="332"/>
      <c r="DE1276" s="332"/>
      <c r="DF1276" s="332"/>
      <c r="DG1276" s="332"/>
      <c r="DH1276" s="332"/>
      <c r="DI1276" s="332"/>
      <c r="DJ1276" s="332"/>
      <c r="DK1276" s="332"/>
      <c r="DL1276" s="332"/>
      <c r="DM1276" s="332"/>
      <c r="DN1276" s="332"/>
      <c r="DO1276" s="332"/>
      <c r="DP1276" s="332"/>
      <c r="DQ1276" s="332"/>
      <c r="DR1276" s="332"/>
      <c r="DS1276" s="332"/>
      <c r="DT1276" s="332"/>
      <c r="DU1276" s="453"/>
      <c r="DV1276" s="453"/>
      <c r="DW1276" s="453"/>
      <c r="DX1276" s="453"/>
      <c r="DY1276" s="453"/>
      <c r="DZ1276" s="453"/>
      <c r="EA1276" s="453"/>
      <c r="EB1276" s="453"/>
      <c r="EC1276" s="453"/>
      <c r="ED1276" s="453"/>
      <c r="EE1276" s="453"/>
      <c r="EF1276" s="453"/>
      <c r="EG1276" s="453"/>
      <c r="EH1276" s="453"/>
      <c r="EI1276" s="453"/>
      <c r="EJ1276" s="453"/>
      <c r="EK1276" s="453"/>
      <c r="EL1276" s="453"/>
      <c r="EM1276" s="483">
        <f t="shared" si="257"/>
        <v>967</v>
      </c>
      <c r="EN1276" s="485"/>
      <c r="EO1276" s="458"/>
      <c r="EP1276" s="467"/>
      <c r="EQ1276" s="457"/>
      <c r="ER1276" s="808"/>
      <c r="ES1276" s="881">
        <f t="shared" si="260"/>
        <v>0</v>
      </c>
      <c r="ET1276" s="882"/>
      <c r="EU1276" s="883"/>
      <c r="EV1276" s="884">
        <f t="shared" si="261"/>
        <v>0</v>
      </c>
      <c r="EW1276" s="885"/>
      <c r="EX1276" s="885"/>
      <c r="EY1276" s="885"/>
      <c r="EZ1276" s="885"/>
      <c r="FA1276" s="885"/>
      <c r="FB1276" s="885"/>
      <c r="FC1276" s="885"/>
      <c r="FD1276" s="886"/>
      <c r="FE1276" s="877"/>
      <c r="FF1276" s="877"/>
      <c r="FG1276" s="877"/>
      <c r="FH1276" s="877"/>
      <c r="FI1276" s="877"/>
      <c r="FJ1276" s="877"/>
      <c r="FK1276" s="877"/>
      <c r="FL1276" s="874"/>
      <c r="FM1276" s="875"/>
      <c r="FN1276" s="875"/>
      <c r="FO1276" s="875"/>
      <c r="FP1276" s="875"/>
      <c r="FQ1276" s="875"/>
      <c r="FR1276" s="875"/>
      <c r="FS1276" s="875"/>
      <c r="FT1276" s="875"/>
      <c r="FU1276" s="875"/>
      <c r="FV1276" s="875"/>
      <c r="FW1276" s="875"/>
      <c r="FX1276" s="875"/>
      <c r="FY1276" s="875"/>
      <c r="FZ1276" s="875"/>
      <c r="GA1276" s="875"/>
      <c r="GB1276" s="876"/>
      <c r="GC1276" s="370"/>
      <c r="GD1276" s="453"/>
      <c r="GE1276" s="453"/>
      <c r="GF1276" s="453"/>
      <c r="GG1276" s="453"/>
      <c r="GH1276" s="454"/>
      <c r="GI1276" s="453"/>
      <c r="GJ1276" s="453"/>
      <c r="GK1276" s="453"/>
      <c r="GL1276" s="453"/>
      <c r="GM1276" s="453"/>
      <c r="GN1276" s="453"/>
      <c r="GO1276" s="453"/>
      <c r="GP1276" s="453"/>
      <c r="GQ1276" s="453"/>
      <c r="GR1276" s="453"/>
      <c r="GS1276" s="561"/>
      <c r="GT1276" s="475"/>
      <c r="GU1276" s="472"/>
      <c r="GV1276" s="453"/>
      <c r="GW1276" s="453"/>
      <c r="GX1276" s="869"/>
      <c r="GY1276" s="870"/>
      <c r="GZ1276" s="867"/>
      <c r="HA1276" s="868"/>
      <c r="HB1276" s="473"/>
      <c r="HC1276" s="869"/>
      <c r="HD1276" s="870"/>
      <c r="HE1276" s="867"/>
      <c r="HF1276" s="868"/>
      <c r="HG1276" s="473"/>
      <c r="HH1276" s="867"/>
      <c r="HI1276" s="868"/>
      <c r="HJ1276" s="867"/>
      <c r="HK1276" s="868"/>
      <c r="HL1276" s="370"/>
      <c r="HM1276" s="865"/>
      <c r="HN1276" s="866"/>
      <c r="HO1276" s="865"/>
      <c r="HP1276" s="866"/>
      <c r="HQ1276" s="865"/>
      <c r="HR1276" s="866"/>
      <c r="HS1276" s="867"/>
      <c r="HT1276" s="868"/>
      <c r="HU1276" s="489"/>
      <c r="HV1276" s="865"/>
      <c r="HW1276" s="866"/>
    </row>
    <row r="1277" spans="25:231" ht="15" customHeight="1">
      <c r="Y1277" s="332"/>
      <c r="Z1277" s="332"/>
      <c r="AA1277" s="332"/>
      <c r="AB1277" s="332"/>
      <c r="AC1277" s="332"/>
      <c r="AD1277" s="332"/>
      <c r="AE1277" s="332"/>
      <c r="AF1277" s="332"/>
      <c r="AG1277" s="332"/>
      <c r="AH1277" s="332"/>
      <c r="AI1277" s="332"/>
      <c r="AJ1277" s="332"/>
      <c r="AK1277" s="332"/>
      <c r="AL1277" s="332"/>
      <c r="AM1277" s="332"/>
      <c r="AN1277" s="332"/>
      <c r="AO1277" s="332"/>
      <c r="AP1277" s="332"/>
      <c r="AQ1277" s="332"/>
      <c r="AR1277" s="332"/>
      <c r="AS1277" s="332"/>
      <c r="AT1277" s="332"/>
      <c r="AU1277" s="332"/>
      <c r="AV1277" s="332"/>
      <c r="AW1277" s="332"/>
      <c r="AX1277" s="332"/>
      <c r="AY1277" s="332"/>
      <c r="AZ1277" s="332"/>
      <c r="BA1277" s="332"/>
      <c r="BB1277" s="332"/>
      <c r="BC1277" s="332"/>
      <c r="BD1277" s="332"/>
      <c r="BE1277" s="332"/>
      <c r="BF1277" s="332"/>
      <c r="BG1277" s="332"/>
      <c r="BH1277" s="332"/>
      <c r="BI1277" s="332"/>
      <c r="BJ1277" s="332"/>
      <c r="BK1277" s="332"/>
      <c r="BL1277" s="332"/>
      <c r="BM1277" s="332"/>
      <c r="BN1277" s="332"/>
      <c r="BO1277" s="332"/>
      <c r="BP1277" s="332"/>
      <c r="BQ1277" s="332"/>
      <c r="BR1277" s="332"/>
      <c r="BS1277" s="332"/>
      <c r="BT1277" s="332"/>
      <c r="BU1277" s="332"/>
      <c r="BV1277" s="332"/>
      <c r="BW1277" s="332"/>
      <c r="BX1277" s="332"/>
      <c r="BY1277" s="332"/>
      <c r="BZ1277" s="332"/>
      <c r="CA1277" s="332"/>
      <c r="CB1277" s="332"/>
      <c r="CC1277" s="332"/>
      <c r="CD1277" s="332"/>
      <c r="CE1277" s="332"/>
      <c r="CF1277" s="332"/>
      <c r="CG1277" s="332"/>
      <c r="CH1277" s="332"/>
      <c r="CI1277" s="332"/>
      <c r="CJ1277" s="332"/>
      <c r="CK1277" s="332"/>
      <c r="CL1277" s="332"/>
      <c r="CM1277" s="332"/>
      <c r="CN1277" s="332"/>
      <c r="CO1277" s="332"/>
      <c r="CP1277" s="332"/>
      <c r="CQ1277" s="332"/>
      <c r="CR1277" s="332"/>
      <c r="CS1277" s="332"/>
      <c r="CT1277" s="332"/>
      <c r="CU1277" s="332"/>
      <c r="CV1277" s="332"/>
      <c r="CW1277" s="332"/>
      <c r="CX1277" s="332"/>
      <c r="CY1277" s="332"/>
      <c r="CZ1277" s="332"/>
      <c r="DA1277" s="332"/>
      <c r="DB1277" s="332"/>
      <c r="DC1277" s="332"/>
      <c r="DD1277" s="332"/>
      <c r="DE1277" s="332"/>
      <c r="DF1277" s="332"/>
      <c r="DG1277" s="332"/>
      <c r="DH1277" s="332"/>
      <c r="DI1277" s="332"/>
      <c r="DJ1277" s="332"/>
      <c r="DK1277" s="332"/>
      <c r="DL1277" s="332"/>
      <c r="DM1277" s="332"/>
      <c r="DN1277" s="332"/>
      <c r="DO1277" s="332"/>
      <c r="DP1277" s="332"/>
      <c r="DQ1277" s="332"/>
      <c r="DR1277" s="332"/>
      <c r="DS1277" s="332"/>
      <c r="DT1277" s="332"/>
      <c r="DU1277" s="453"/>
      <c r="DV1277" s="453"/>
      <c r="DW1277" s="453"/>
      <c r="DX1277" s="453"/>
      <c r="DY1277" s="453"/>
      <c r="DZ1277" s="453"/>
      <c r="EA1277" s="453"/>
      <c r="EB1277" s="453"/>
      <c r="EC1277" s="453"/>
      <c r="ED1277" s="453"/>
      <c r="EE1277" s="453"/>
      <c r="EF1277" s="453"/>
      <c r="EG1277" s="453"/>
      <c r="EH1277" s="453"/>
      <c r="EI1277" s="453"/>
      <c r="EJ1277" s="453"/>
      <c r="EK1277" s="453"/>
      <c r="EL1277" s="453"/>
      <c r="EM1277" s="483">
        <f t="shared" si="257"/>
        <v>968</v>
      </c>
      <c r="EN1277" s="485"/>
      <c r="EO1277" s="458"/>
      <c r="EP1277" s="467"/>
      <c r="EQ1277" s="457"/>
      <c r="ER1277" s="808"/>
      <c r="ES1277" s="881">
        <f t="shared" si="260"/>
        <v>0</v>
      </c>
      <c r="ET1277" s="882"/>
      <c r="EU1277" s="883"/>
      <c r="EV1277" s="884">
        <f t="shared" si="261"/>
        <v>0</v>
      </c>
      <c r="EW1277" s="885"/>
      <c r="EX1277" s="885"/>
      <c r="EY1277" s="885"/>
      <c r="EZ1277" s="885"/>
      <c r="FA1277" s="885"/>
      <c r="FB1277" s="885"/>
      <c r="FC1277" s="885"/>
      <c r="FD1277" s="886"/>
      <c r="FE1277" s="877"/>
      <c r="FF1277" s="877"/>
      <c r="FG1277" s="877"/>
      <c r="FH1277" s="877"/>
      <c r="FI1277" s="877"/>
      <c r="FJ1277" s="877"/>
      <c r="FK1277" s="877"/>
      <c r="FL1277" s="874"/>
      <c r="FM1277" s="875"/>
      <c r="FN1277" s="875"/>
      <c r="FO1277" s="875"/>
      <c r="FP1277" s="875"/>
      <c r="FQ1277" s="875"/>
      <c r="FR1277" s="875"/>
      <c r="FS1277" s="875"/>
      <c r="FT1277" s="875"/>
      <c r="FU1277" s="875"/>
      <c r="FV1277" s="875"/>
      <c r="FW1277" s="875"/>
      <c r="FX1277" s="875"/>
      <c r="FY1277" s="875"/>
      <c r="FZ1277" s="875"/>
      <c r="GA1277" s="875"/>
      <c r="GB1277" s="876"/>
      <c r="GC1277" s="370"/>
      <c r="GD1277" s="453"/>
      <c r="GE1277" s="453"/>
      <c r="GF1277" s="453"/>
      <c r="GG1277" s="453"/>
      <c r="GH1277" s="454"/>
      <c r="GI1277" s="453"/>
      <c r="GJ1277" s="453"/>
      <c r="GK1277" s="453"/>
      <c r="GL1277" s="453"/>
      <c r="GM1277" s="453"/>
      <c r="GN1277" s="453"/>
      <c r="GO1277" s="453"/>
      <c r="GP1277" s="453"/>
      <c r="GQ1277" s="453"/>
      <c r="GR1277" s="453"/>
      <c r="GS1277" s="561"/>
      <c r="GT1277" s="475"/>
      <c r="GU1277" s="472"/>
      <c r="GV1277" s="453"/>
      <c r="GW1277" s="453"/>
      <c r="GX1277" s="869"/>
      <c r="GY1277" s="870"/>
      <c r="GZ1277" s="867"/>
      <c r="HA1277" s="868"/>
      <c r="HB1277" s="473"/>
      <c r="HC1277" s="869"/>
      <c r="HD1277" s="870"/>
      <c r="HE1277" s="867"/>
      <c r="HF1277" s="868"/>
      <c r="HG1277" s="473"/>
      <c r="HH1277" s="867"/>
      <c r="HI1277" s="868"/>
      <c r="HJ1277" s="867"/>
      <c r="HK1277" s="868"/>
      <c r="HL1277" s="370"/>
      <c r="HM1277" s="865"/>
      <c r="HN1277" s="866"/>
      <c r="HO1277" s="865"/>
      <c r="HP1277" s="866"/>
      <c r="HQ1277" s="865"/>
      <c r="HR1277" s="866"/>
      <c r="HS1277" s="867"/>
      <c r="HT1277" s="868"/>
      <c r="HU1277" s="489"/>
      <c r="HV1277" s="865"/>
      <c r="HW1277" s="866"/>
    </row>
    <row r="1278" spans="25:231" ht="15" customHeight="1">
      <c r="Y1278" s="332"/>
      <c r="Z1278" s="332"/>
      <c r="AA1278" s="332"/>
      <c r="AB1278" s="332"/>
      <c r="AC1278" s="332"/>
      <c r="AD1278" s="332"/>
      <c r="AE1278" s="332"/>
      <c r="AF1278" s="332"/>
      <c r="AG1278" s="332"/>
      <c r="AH1278" s="332"/>
      <c r="AI1278" s="332"/>
      <c r="AJ1278" s="332"/>
      <c r="AK1278" s="332"/>
      <c r="AL1278" s="332"/>
      <c r="AM1278" s="332"/>
      <c r="AN1278" s="332"/>
      <c r="AO1278" s="332"/>
      <c r="AP1278" s="332"/>
      <c r="AQ1278" s="332"/>
      <c r="AR1278" s="332"/>
      <c r="AS1278" s="332"/>
      <c r="AT1278" s="332"/>
      <c r="AU1278" s="332"/>
      <c r="AV1278" s="332"/>
      <c r="AW1278" s="332"/>
      <c r="AX1278" s="332"/>
      <c r="AY1278" s="332"/>
      <c r="AZ1278" s="332"/>
      <c r="BA1278" s="332"/>
      <c r="BB1278" s="332"/>
      <c r="BC1278" s="332"/>
      <c r="BD1278" s="332"/>
      <c r="BE1278" s="332"/>
      <c r="BF1278" s="332"/>
      <c r="BG1278" s="332"/>
      <c r="BH1278" s="332"/>
      <c r="BI1278" s="332"/>
      <c r="BJ1278" s="332"/>
      <c r="BK1278" s="332"/>
      <c r="BL1278" s="332"/>
      <c r="BM1278" s="332"/>
      <c r="BN1278" s="332"/>
      <c r="BO1278" s="332"/>
      <c r="BP1278" s="332"/>
      <c r="BQ1278" s="332"/>
      <c r="BR1278" s="332"/>
      <c r="BS1278" s="332"/>
      <c r="BT1278" s="332"/>
      <c r="BU1278" s="332"/>
      <c r="BV1278" s="332"/>
      <c r="BW1278" s="332"/>
      <c r="BX1278" s="332"/>
      <c r="BY1278" s="332"/>
      <c r="BZ1278" s="332"/>
      <c r="CA1278" s="332"/>
      <c r="CB1278" s="332"/>
      <c r="CC1278" s="332"/>
      <c r="CD1278" s="332"/>
      <c r="CE1278" s="332"/>
      <c r="CF1278" s="332"/>
      <c r="CG1278" s="332"/>
      <c r="CH1278" s="332"/>
      <c r="CI1278" s="332"/>
      <c r="CJ1278" s="332"/>
      <c r="CK1278" s="332"/>
      <c r="CL1278" s="332"/>
      <c r="CM1278" s="332"/>
      <c r="CN1278" s="332"/>
      <c r="CO1278" s="332"/>
      <c r="CP1278" s="332"/>
      <c r="CQ1278" s="332"/>
      <c r="CR1278" s="332"/>
      <c r="CS1278" s="332"/>
      <c r="CT1278" s="332"/>
      <c r="CU1278" s="332"/>
      <c r="CV1278" s="332"/>
      <c r="CW1278" s="332"/>
      <c r="CX1278" s="332"/>
      <c r="CY1278" s="332"/>
      <c r="CZ1278" s="332"/>
      <c r="DA1278" s="332"/>
      <c r="DB1278" s="332"/>
      <c r="DC1278" s="332"/>
      <c r="DD1278" s="332"/>
      <c r="DE1278" s="332"/>
      <c r="DF1278" s="332"/>
      <c r="DG1278" s="332"/>
      <c r="DH1278" s="332"/>
      <c r="DI1278" s="332"/>
      <c r="DJ1278" s="332"/>
      <c r="DK1278" s="332"/>
      <c r="DL1278" s="332"/>
      <c r="DM1278" s="332"/>
      <c r="DN1278" s="332"/>
      <c r="DO1278" s="332"/>
      <c r="DP1278" s="332"/>
      <c r="DQ1278" s="332"/>
      <c r="DR1278" s="332"/>
      <c r="DS1278" s="332"/>
      <c r="DT1278" s="332"/>
      <c r="DU1278" s="453"/>
      <c r="DV1278" s="453"/>
      <c r="DW1278" s="453"/>
      <c r="DX1278" s="453"/>
      <c r="DY1278" s="453"/>
      <c r="DZ1278" s="453"/>
      <c r="EA1278" s="453"/>
      <c r="EB1278" s="453"/>
      <c r="EC1278" s="453"/>
      <c r="ED1278" s="453"/>
      <c r="EE1278" s="453"/>
      <c r="EF1278" s="453"/>
      <c r="EG1278" s="453"/>
      <c r="EH1278" s="453"/>
      <c r="EI1278" s="453"/>
      <c r="EJ1278" s="453"/>
      <c r="EK1278" s="453"/>
      <c r="EL1278" s="453"/>
      <c r="EM1278" s="483">
        <f t="shared" si="257"/>
        <v>969</v>
      </c>
      <c r="EN1278" s="485"/>
      <c r="EO1278" s="458"/>
      <c r="EP1278" s="467"/>
      <c r="EQ1278" s="457"/>
      <c r="ER1278" s="808"/>
      <c r="ES1278" s="881">
        <f t="shared" si="260"/>
        <v>0</v>
      </c>
      <c r="ET1278" s="882"/>
      <c r="EU1278" s="883"/>
      <c r="EV1278" s="884">
        <f t="shared" si="261"/>
        <v>0</v>
      </c>
      <c r="EW1278" s="885"/>
      <c r="EX1278" s="885"/>
      <c r="EY1278" s="885"/>
      <c r="EZ1278" s="885"/>
      <c r="FA1278" s="885"/>
      <c r="FB1278" s="885"/>
      <c r="FC1278" s="885"/>
      <c r="FD1278" s="886"/>
      <c r="FE1278" s="877"/>
      <c r="FF1278" s="877"/>
      <c r="FG1278" s="877"/>
      <c r="FH1278" s="877"/>
      <c r="FI1278" s="877"/>
      <c r="FJ1278" s="877"/>
      <c r="FK1278" s="877"/>
      <c r="FL1278" s="874"/>
      <c r="FM1278" s="875"/>
      <c r="FN1278" s="875"/>
      <c r="FO1278" s="875"/>
      <c r="FP1278" s="875"/>
      <c r="FQ1278" s="875"/>
      <c r="FR1278" s="875"/>
      <c r="FS1278" s="875"/>
      <c r="FT1278" s="875"/>
      <c r="FU1278" s="875"/>
      <c r="FV1278" s="875"/>
      <c r="FW1278" s="875"/>
      <c r="FX1278" s="875"/>
      <c r="FY1278" s="875"/>
      <c r="FZ1278" s="875"/>
      <c r="GA1278" s="875"/>
      <c r="GB1278" s="876"/>
      <c r="GC1278" s="370"/>
      <c r="GD1278" s="453"/>
      <c r="GE1278" s="453"/>
      <c r="GF1278" s="453"/>
      <c r="GG1278" s="453"/>
      <c r="GH1278" s="454"/>
      <c r="GI1278" s="453"/>
      <c r="GJ1278" s="453"/>
      <c r="GK1278" s="453"/>
      <c r="GL1278" s="453"/>
      <c r="GM1278" s="453"/>
      <c r="GN1278" s="453"/>
      <c r="GO1278" s="453"/>
      <c r="GP1278" s="453"/>
      <c r="GQ1278" s="453"/>
      <c r="GR1278" s="453"/>
      <c r="GS1278" s="561"/>
      <c r="GT1278" s="475"/>
      <c r="GU1278" s="472"/>
      <c r="GV1278" s="453"/>
      <c r="GW1278" s="453"/>
      <c r="GX1278" s="869"/>
      <c r="GY1278" s="870"/>
      <c r="GZ1278" s="867"/>
      <c r="HA1278" s="868"/>
      <c r="HB1278" s="473"/>
      <c r="HC1278" s="869"/>
      <c r="HD1278" s="870"/>
      <c r="HE1278" s="867"/>
      <c r="HF1278" s="868"/>
      <c r="HG1278" s="473"/>
      <c r="HH1278" s="867"/>
      <c r="HI1278" s="868"/>
      <c r="HJ1278" s="867"/>
      <c r="HK1278" s="868"/>
      <c r="HL1278" s="370"/>
      <c r="HM1278" s="865"/>
      <c r="HN1278" s="866"/>
      <c r="HO1278" s="865"/>
      <c r="HP1278" s="866"/>
      <c r="HQ1278" s="865"/>
      <c r="HR1278" s="866"/>
      <c r="HS1278" s="867"/>
      <c r="HT1278" s="868"/>
      <c r="HU1278" s="489"/>
      <c r="HV1278" s="865"/>
      <c r="HW1278" s="866"/>
    </row>
    <row r="1279" spans="25:231" ht="15" customHeight="1">
      <c r="Y1279" s="332"/>
      <c r="Z1279" s="332"/>
      <c r="AA1279" s="332"/>
      <c r="AB1279" s="332"/>
      <c r="AC1279" s="332"/>
      <c r="AD1279" s="332"/>
      <c r="AE1279" s="332"/>
      <c r="AF1279" s="332"/>
      <c r="AG1279" s="332"/>
      <c r="AH1279" s="332"/>
      <c r="AI1279" s="332"/>
      <c r="AJ1279" s="332"/>
      <c r="AK1279" s="332"/>
      <c r="AL1279" s="332"/>
      <c r="AM1279" s="332"/>
      <c r="AN1279" s="332"/>
      <c r="AO1279" s="332"/>
      <c r="AP1279" s="332"/>
      <c r="AQ1279" s="332"/>
      <c r="AR1279" s="332"/>
      <c r="AS1279" s="332"/>
      <c r="AT1279" s="332"/>
      <c r="AU1279" s="332"/>
      <c r="AV1279" s="332"/>
      <c r="AW1279" s="332"/>
      <c r="AX1279" s="332"/>
      <c r="AY1279" s="332"/>
      <c r="AZ1279" s="332"/>
      <c r="BA1279" s="332"/>
      <c r="BB1279" s="332"/>
      <c r="BC1279" s="332"/>
      <c r="BD1279" s="332"/>
      <c r="BE1279" s="332"/>
      <c r="BF1279" s="332"/>
      <c r="BG1279" s="332"/>
      <c r="BH1279" s="332"/>
      <c r="BI1279" s="332"/>
      <c r="BJ1279" s="332"/>
      <c r="BK1279" s="332"/>
      <c r="BL1279" s="332"/>
      <c r="BM1279" s="332"/>
      <c r="BN1279" s="332"/>
      <c r="BO1279" s="332"/>
      <c r="BP1279" s="332"/>
      <c r="BQ1279" s="332"/>
      <c r="BR1279" s="332"/>
      <c r="BS1279" s="332"/>
      <c r="BT1279" s="332"/>
      <c r="BU1279" s="332"/>
      <c r="BV1279" s="332"/>
      <c r="BW1279" s="332"/>
      <c r="BX1279" s="332"/>
      <c r="BY1279" s="332"/>
      <c r="BZ1279" s="332"/>
      <c r="CA1279" s="332"/>
      <c r="CB1279" s="332"/>
      <c r="CC1279" s="332"/>
      <c r="CD1279" s="332"/>
      <c r="CE1279" s="332"/>
      <c r="CF1279" s="332"/>
      <c r="CG1279" s="332"/>
      <c r="CH1279" s="332"/>
      <c r="CI1279" s="332"/>
      <c r="CJ1279" s="332"/>
      <c r="CK1279" s="332"/>
      <c r="CL1279" s="332"/>
      <c r="CM1279" s="332"/>
      <c r="CN1279" s="332"/>
      <c r="CO1279" s="332"/>
      <c r="CP1279" s="332"/>
      <c r="CQ1279" s="332"/>
      <c r="CR1279" s="332"/>
      <c r="CS1279" s="332"/>
      <c r="CT1279" s="332"/>
      <c r="CU1279" s="332"/>
      <c r="CV1279" s="332"/>
      <c r="CW1279" s="332"/>
      <c r="CX1279" s="332"/>
      <c r="CY1279" s="332"/>
      <c r="CZ1279" s="332"/>
      <c r="DA1279" s="332"/>
      <c r="DB1279" s="332"/>
      <c r="DC1279" s="332"/>
      <c r="DD1279" s="332"/>
      <c r="DE1279" s="332"/>
      <c r="DF1279" s="332"/>
      <c r="DG1279" s="332"/>
      <c r="DH1279" s="332"/>
      <c r="DI1279" s="332"/>
      <c r="DJ1279" s="332"/>
      <c r="DK1279" s="332"/>
      <c r="DL1279" s="332"/>
      <c r="DM1279" s="332"/>
      <c r="DN1279" s="332"/>
      <c r="DO1279" s="332"/>
      <c r="DP1279" s="332"/>
      <c r="DQ1279" s="332"/>
      <c r="DR1279" s="332"/>
      <c r="DS1279" s="332"/>
      <c r="DT1279" s="332"/>
      <c r="DU1279" s="453"/>
      <c r="DV1279" s="453"/>
      <c r="DW1279" s="453"/>
      <c r="DX1279" s="453"/>
      <c r="DY1279" s="453"/>
      <c r="DZ1279" s="453"/>
      <c r="EA1279" s="453"/>
      <c r="EB1279" s="453"/>
      <c r="EC1279" s="453"/>
      <c r="ED1279" s="453"/>
      <c r="EE1279" s="453"/>
      <c r="EF1279" s="453"/>
      <c r="EG1279" s="453"/>
      <c r="EH1279" s="453"/>
      <c r="EI1279" s="453"/>
      <c r="EJ1279" s="453"/>
      <c r="EK1279" s="453"/>
      <c r="EL1279" s="453"/>
      <c r="EM1279" s="483">
        <f t="shared" si="257"/>
        <v>970</v>
      </c>
      <c r="EN1279" s="485"/>
      <c r="EO1279" s="458"/>
      <c r="EP1279" s="467"/>
      <c r="EQ1279" s="457"/>
      <c r="ER1279" s="808"/>
      <c r="ES1279" s="881">
        <f t="shared" si="260"/>
        <v>0</v>
      </c>
      <c r="ET1279" s="882"/>
      <c r="EU1279" s="883"/>
      <c r="EV1279" s="884">
        <f t="shared" si="261"/>
        <v>0</v>
      </c>
      <c r="EW1279" s="885"/>
      <c r="EX1279" s="885"/>
      <c r="EY1279" s="885"/>
      <c r="EZ1279" s="885"/>
      <c r="FA1279" s="885"/>
      <c r="FB1279" s="885"/>
      <c r="FC1279" s="885"/>
      <c r="FD1279" s="886"/>
      <c r="FE1279" s="877"/>
      <c r="FF1279" s="877"/>
      <c r="FG1279" s="877"/>
      <c r="FH1279" s="877"/>
      <c r="FI1279" s="877"/>
      <c r="FJ1279" s="877"/>
      <c r="FK1279" s="877"/>
      <c r="FL1279" s="874"/>
      <c r="FM1279" s="875"/>
      <c r="FN1279" s="875"/>
      <c r="FO1279" s="875"/>
      <c r="FP1279" s="875"/>
      <c r="FQ1279" s="875"/>
      <c r="FR1279" s="875"/>
      <c r="FS1279" s="875"/>
      <c r="FT1279" s="875"/>
      <c r="FU1279" s="875"/>
      <c r="FV1279" s="875"/>
      <c r="FW1279" s="875"/>
      <c r="FX1279" s="875"/>
      <c r="FY1279" s="875"/>
      <c r="FZ1279" s="875"/>
      <c r="GA1279" s="875"/>
      <c r="GB1279" s="876"/>
      <c r="GC1279" s="370"/>
      <c r="GD1279" s="453"/>
      <c r="GE1279" s="453"/>
      <c r="GF1279" s="453"/>
      <c r="GG1279" s="453"/>
      <c r="GH1279" s="454"/>
      <c r="GI1279" s="453"/>
      <c r="GJ1279" s="453"/>
      <c r="GK1279" s="453"/>
      <c r="GL1279" s="453"/>
      <c r="GM1279" s="453"/>
      <c r="GN1279" s="453"/>
      <c r="GO1279" s="453"/>
      <c r="GP1279" s="453"/>
      <c r="GQ1279" s="453"/>
      <c r="GR1279" s="453"/>
      <c r="GS1279" s="561"/>
      <c r="GT1279" s="475"/>
      <c r="GU1279" s="472"/>
      <c r="GV1279" s="453"/>
      <c r="GW1279" s="453"/>
      <c r="GX1279" s="869"/>
      <c r="GY1279" s="870"/>
      <c r="GZ1279" s="867"/>
      <c r="HA1279" s="868"/>
      <c r="HB1279" s="473"/>
      <c r="HC1279" s="869"/>
      <c r="HD1279" s="870"/>
      <c r="HE1279" s="867"/>
      <c r="HF1279" s="868"/>
      <c r="HG1279" s="473"/>
      <c r="HH1279" s="867"/>
      <c r="HI1279" s="868"/>
      <c r="HJ1279" s="867"/>
      <c r="HK1279" s="868"/>
      <c r="HL1279" s="370"/>
      <c r="HM1279" s="865"/>
      <c r="HN1279" s="866"/>
      <c r="HO1279" s="865"/>
      <c r="HP1279" s="866"/>
      <c r="HQ1279" s="865"/>
      <c r="HR1279" s="866"/>
      <c r="HS1279" s="867"/>
      <c r="HT1279" s="868"/>
      <c r="HU1279" s="489"/>
      <c r="HV1279" s="865"/>
      <c r="HW1279" s="866"/>
    </row>
    <row r="1280" spans="25:231" ht="15" customHeight="1">
      <c r="Y1280" s="332"/>
      <c r="Z1280" s="332"/>
      <c r="AA1280" s="332"/>
      <c r="AB1280" s="332"/>
      <c r="AC1280" s="332"/>
      <c r="AD1280" s="332"/>
      <c r="AE1280" s="332"/>
      <c r="AF1280" s="332"/>
      <c r="AG1280" s="332"/>
      <c r="AH1280" s="332"/>
      <c r="AI1280" s="332"/>
      <c r="AJ1280" s="332"/>
      <c r="AK1280" s="332"/>
      <c r="AL1280" s="332"/>
      <c r="AM1280" s="332"/>
      <c r="AN1280" s="332"/>
      <c r="AO1280" s="332"/>
      <c r="AP1280" s="332"/>
      <c r="AQ1280" s="332"/>
      <c r="AR1280" s="332"/>
      <c r="AS1280" s="332"/>
      <c r="AT1280" s="332"/>
      <c r="AU1280" s="332"/>
      <c r="AV1280" s="332"/>
      <c r="AW1280" s="332"/>
      <c r="AX1280" s="332"/>
      <c r="AY1280" s="332"/>
      <c r="AZ1280" s="332"/>
      <c r="BA1280" s="332"/>
      <c r="BB1280" s="332"/>
      <c r="BC1280" s="332"/>
      <c r="BD1280" s="332"/>
      <c r="BE1280" s="332"/>
      <c r="BF1280" s="332"/>
      <c r="BG1280" s="332"/>
      <c r="BH1280" s="332"/>
      <c r="BI1280" s="332"/>
      <c r="BJ1280" s="332"/>
      <c r="BK1280" s="332"/>
      <c r="BL1280" s="332"/>
      <c r="BM1280" s="332"/>
      <c r="BN1280" s="332"/>
      <c r="BO1280" s="332"/>
      <c r="BP1280" s="332"/>
      <c r="BQ1280" s="332"/>
      <c r="BR1280" s="332"/>
      <c r="BS1280" s="332"/>
      <c r="BT1280" s="332"/>
      <c r="BU1280" s="332"/>
      <c r="BV1280" s="332"/>
      <c r="BW1280" s="332"/>
      <c r="BX1280" s="332"/>
      <c r="BY1280" s="332"/>
      <c r="BZ1280" s="332"/>
      <c r="CA1280" s="332"/>
      <c r="CB1280" s="332"/>
      <c r="CC1280" s="332"/>
      <c r="CD1280" s="332"/>
      <c r="CE1280" s="332"/>
      <c r="CF1280" s="332"/>
      <c r="CG1280" s="332"/>
      <c r="CH1280" s="332"/>
      <c r="CI1280" s="332"/>
      <c r="CJ1280" s="332"/>
      <c r="CK1280" s="332"/>
      <c r="CL1280" s="332"/>
      <c r="CM1280" s="332"/>
      <c r="CN1280" s="332"/>
      <c r="CO1280" s="332"/>
      <c r="CP1280" s="332"/>
      <c r="CQ1280" s="332"/>
      <c r="CR1280" s="332"/>
      <c r="CS1280" s="332"/>
      <c r="CT1280" s="332"/>
      <c r="CU1280" s="332"/>
      <c r="CV1280" s="332"/>
      <c r="CW1280" s="332"/>
      <c r="CX1280" s="332"/>
      <c r="CY1280" s="332"/>
      <c r="CZ1280" s="332"/>
      <c r="DA1280" s="332"/>
      <c r="DB1280" s="332"/>
      <c r="DC1280" s="332"/>
      <c r="DD1280" s="332"/>
      <c r="DE1280" s="332"/>
      <c r="DF1280" s="332"/>
      <c r="DG1280" s="332"/>
      <c r="DH1280" s="332"/>
      <c r="DI1280" s="332"/>
      <c r="DJ1280" s="332"/>
      <c r="DK1280" s="332"/>
      <c r="DL1280" s="332"/>
      <c r="DM1280" s="332"/>
      <c r="DN1280" s="332"/>
      <c r="DO1280" s="332"/>
      <c r="DP1280" s="332"/>
      <c r="DQ1280" s="332"/>
      <c r="DR1280" s="332"/>
      <c r="DS1280" s="332"/>
      <c r="DT1280" s="332"/>
      <c r="DU1280" s="453"/>
      <c r="DV1280" s="453"/>
      <c r="DW1280" s="453"/>
      <c r="DX1280" s="453"/>
      <c r="DY1280" s="453"/>
      <c r="DZ1280" s="453"/>
      <c r="EA1280" s="453"/>
      <c r="EB1280" s="453"/>
      <c r="EC1280" s="453"/>
      <c r="ED1280" s="453"/>
      <c r="EE1280" s="453"/>
      <c r="EF1280" s="453"/>
      <c r="EG1280" s="453"/>
      <c r="EH1280" s="453"/>
      <c r="EI1280" s="453"/>
      <c r="EJ1280" s="453"/>
      <c r="EK1280" s="453"/>
      <c r="EL1280" s="453"/>
      <c r="EM1280" s="483">
        <f t="shared" si="257"/>
        <v>971</v>
      </c>
      <c r="EN1280" s="485"/>
      <c r="EO1280" s="458"/>
      <c r="EP1280" s="467"/>
      <c r="EQ1280" s="457"/>
      <c r="ER1280" s="808"/>
      <c r="ES1280" s="881">
        <f t="shared" si="260"/>
        <v>0</v>
      </c>
      <c r="ET1280" s="882"/>
      <c r="EU1280" s="883"/>
      <c r="EV1280" s="884">
        <f t="shared" si="261"/>
        <v>0</v>
      </c>
      <c r="EW1280" s="885"/>
      <c r="EX1280" s="885"/>
      <c r="EY1280" s="885"/>
      <c r="EZ1280" s="885"/>
      <c r="FA1280" s="885"/>
      <c r="FB1280" s="885"/>
      <c r="FC1280" s="885"/>
      <c r="FD1280" s="886"/>
      <c r="FE1280" s="877"/>
      <c r="FF1280" s="877"/>
      <c r="FG1280" s="877"/>
      <c r="FH1280" s="877"/>
      <c r="FI1280" s="877"/>
      <c r="FJ1280" s="877"/>
      <c r="FK1280" s="877"/>
      <c r="FL1280" s="874"/>
      <c r="FM1280" s="875"/>
      <c r="FN1280" s="875"/>
      <c r="FO1280" s="875"/>
      <c r="FP1280" s="875"/>
      <c r="FQ1280" s="875"/>
      <c r="FR1280" s="875"/>
      <c r="FS1280" s="875"/>
      <c r="FT1280" s="875"/>
      <c r="FU1280" s="875"/>
      <c r="FV1280" s="875"/>
      <c r="FW1280" s="875"/>
      <c r="FX1280" s="875"/>
      <c r="FY1280" s="875"/>
      <c r="FZ1280" s="875"/>
      <c r="GA1280" s="875"/>
      <c r="GB1280" s="876"/>
      <c r="GC1280" s="370"/>
      <c r="GD1280" s="453"/>
      <c r="GE1280" s="453"/>
      <c r="GF1280" s="453"/>
      <c r="GG1280" s="453"/>
      <c r="GH1280" s="454"/>
      <c r="GI1280" s="453"/>
      <c r="GJ1280" s="453"/>
      <c r="GK1280" s="453"/>
      <c r="GL1280" s="453"/>
      <c r="GM1280" s="453"/>
      <c r="GN1280" s="453"/>
      <c r="GO1280" s="453"/>
      <c r="GP1280" s="453"/>
      <c r="GQ1280" s="453"/>
      <c r="GR1280" s="453"/>
      <c r="GS1280" s="561"/>
      <c r="GT1280" s="475"/>
      <c r="GU1280" s="472"/>
      <c r="GV1280" s="453"/>
      <c r="GW1280" s="453"/>
      <c r="GX1280" s="869"/>
      <c r="GY1280" s="870"/>
      <c r="GZ1280" s="867"/>
      <c r="HA1280" s="868"/>
      <c r="HB1280" s="473"/>
      <c r="HC1280" s="869"/>
      <c r="HD1280" s="870"/>
      <c r="HE1280" s="867"/>
      <c r="HF1280" s="868"/>
      <c r="HG1280" s="473"/>
      <c r="HH1280" s="867"/>
      <c r="HI1280" s="868"/>
      <c r="HJ1280" s="867"/>
      <c r="HK1280" s="868"/>
      <c r="HL1280" s="370"/>
      <c r="HM1280" s="865"/>
      <c r="HN1280" s="866"/>
      <c r="HO1280" s="865"/>
      <c r="HP1280" s="866"/>
      <c r="HQ1280" s="865"/>
      <c r="HR1280" s="866"/>
      <c r="HS1280" s="867"/>
      <c r="HT1280" s="868"/>
      <c r="HU1280" s="489"/>
      <c r="HV1280" s="865"/>
      <c r="HW1280" s="866"/>
    </row>
    <row r="1281" spans="25:231" ht="15" customHeight="1">
      <c r="Y1281" s="332"/>
      <c r="Z1281" s="332"/>
      <c r="AA1281" s="332"/>
      <c r="AB1281" s="332"/>
      <c r="AC1281" s="332"/>
      <c r="AD1281" s="332"/>
      <c r="AE1281" s="332"/>
      <c r="AF1281" s="332"/>
      <c r="AG1281" s="332"/>
      <c r="AH1281" s="332"/>
      <c r="AI1281" s="332"/>
      <c r="AJ1281" s="332"/>
      <c r="AK1281" s="332"/>
      <c r="AL1281" s="332"/>
      <c r="AM1281" s="332"/>
      <c r="AN1281" s="332"/>
      <c r="AO1281" s="332"/>
      <c r="AP1281" s="332"/>
      <c r="AQ1281" s="332"/>
      <c r="AR1281" s="332"/>
      <c r="AS1281" s="332"/>
      <c r="AT1281" s="332"/>
      <c r="AU1281" s="332"/>
      <c r="AV1281" s="332"/>
      <c r="AW1281" s="332"/>
      <c r="AX1281" s="332"/>
      <c r="AY1281" s="332"/>
      <c r="AZ1281" s="332"/>
      <c r="BA1281" s="332"/>
      <c r="BB1281" s="332"/>
      <c r="BC1281" s="332"/>
      <c r="BD1281" s="332"/>
      <c r="BE1281" s="332"/>
      <c r="BF1281" s="332"/>
      <c r="BG1281" s="332"/>
      <c r="BH1281" s="332"/>
      <c r="BI1281" s="332"/>
      <c r="BJ1281" s="332"/>
      <c r="BK1281" s="332"/>
      <c r="BL1281" s="332"/>
      <c r="BM1281" s="332"/>
      <c r="BN1281" s="332"/>
      <c r="BO1281" s="332"/>
      <c r="BP1281" s="332"/>
      <c r="BQ1281" s="332"/>
      <c r="BR1281" s="332"/>
      <c r="BS1281" s="332"/>
      <c r="BT1281" s="332"/>
      <c r="BU1281" s="332"/>
      <c r="BV1281" s="332"/>
      <c r="BW1281" s="332"/>
      <c r="BX1281" s="332"/>
      <c r="BY1281" s="332"/>
      <c r="BZ1281" s="332"/>
      <c r="CA1281" s="332"/>
      <c r="CB1281" s="332"/>
      <c r="CC1281" s="332"/>
      <c r="CD1281" s="332"/>
      <c r="CE1281" s="332"/>
      <c r="CF1281" s="332"/>
      <c r="CG1281" s="332"/>
      <c r="CH1281" s="332"/>
      <c r="CI1281" s="332"/>
      <c r="CJ1281" s="332"/>
      <c r="CK1281" s="332"/>
      <c r="CL1281" s="332"/>
      <c r="CM1281" s="332"/>
      <c r="CN1281" s="332"/>
      <c r="CO1281" s="332"/>
      <c r="CP1281" s="332"/>
      <c r="CQ1281" s="332"/>
      <c r="CR1281" s="332"/>
      <c r="CS1281" s="332"/>
      <c r="CT1281" s="332"/>
      <c r="CU1281" s="332"/>
      <c r="CV1281" s="332"/>
      <c r="CW1281" s="332"/>
      <c r="CX1281" s="332"/>
      <c r="CY1281" s="332"/>
      <c r="CZ1281" s="332"/>
      <c r="DA1281" s="332"/>
      <c r="DB1281" s="332"/>
      <c r="DC1281" s="332"/>
      <c r="DD1281" s="332"/>
      <c r="DE1281" s="332"/>
      <c r="DF1281" s="332"/>
      <c r="DG1281" s="332"/>
      <c r="DH1281" s="332"/>
      <c r="DI1281" s="332"/>
      <c r="DJ1281" s="332"/>
      <c r="DK1281" s="332"/>
      <c r="DL1281" s="332"/>
      <c r="DM1281" s="332"/>
      <c r="DN1281" s="332"/>
      <c r="DO1281" s="332"/>
      <c r="DP1281" s="332"/>
      <c r="DQ1281" s="332"/>
      <c r="DR1281" s="332"/>
      <c r="DS1281" s="332"/>
      <c r="DT1281" s="332"/>
      <c r="DU1281" s="453"/>
      <c r="DV1281" s="453"/>
      <c r="DW1281" s="453"/>
      <c r="DX1281" s="453"/>
      <c r="DY1281" s="453"/>
      <c r="DZ1281" s="453"/>
      <c r="EA1281" s="453"/>
      <c r="EB1281" s="453"/>
      <c r="EC1281" s="453"/>
      <c r="ED1281" s="453"/>
      <c r="EE1281" s="453"/>
      <c r="EF1281" s="453"/>
      <c r="EG1281" s="453"/>
      <c r="EH1281" s="453"/>
      <c r="EI1281" s="453"/>
      <c r="EJ1281" s="453"/>
      <c r="EK1281" s="453"/>
      <c r="EL1281" s="453"/>
      <c r="EM1281" s="483">
        <f t="shared" si="257"/>
        <v>972</v>
      </c>
      <c r="EN1281" s="485"/>
      <c r="EO1281" s="458"/>
      <c r="EP1281" s="467"/>
      <c r="EQ1281" s="457"/>
      <c r="ER1281" s="808"/>
      <c r="ES1281" s="881">
        <f t="shared" si="260"/>
        <v>0</v>
      </c>
      <c r="ET1281" s="882"/>
      <c r="EU1281" s="883"/>
      <c r="EV1281" s="884">
        <f t="shared" si="261"/>
        <v>0</v>
      </c>
      <c r="EW1281" s="885"/>
      <c r="EX1281" s="885"/>
      <c r="EY1281" s="885"/>
      <c r="EZ1281" s="885"/>
      <c r="FA1281" s="885"/>
      <c r="FB1281" s="885"/>
      <c r="FC1281" s="885"/>
      <c r="FD1281" s="886"/>
      <c r="FE1281" s="877"/>
      <c r="FF1281" s="877"/>
      <c r="FG1281" s="877"/>
      <c r="FH1281" s="877"/>
      <c r="FI1281" s="877"/>
      <c r="FJ1281" s="877"/>
      <c r="FK1281" s="877"/>
      <c r="FL1281" s="874"/>
      <c r="FM1281" s="875"/>
      <c r="FN1281" s="875"/>
      <c r="FO1281" s="875"/>
      <c r="FP1281" s="875"/>
      <c r="FQ1281" s="875"/>
      <c r="FR1281" s="875"/>
      <c r="FS1281" s="875"/>
      <c r="FT1281" s="875"/>
      <c r="FU1281" s="875"/>
      <c r="FV1281" s="875"/>
      <c r="FW1281" s="875"/>
      <c r="FX1281" s="875"/>
      <c r="FY1281" s="875"/>
      <c r="FZ1281" s="875"/>
      <c r="GA1281" s="875"/>
      <c r="GB1281" s="876"/>
      <c r="GC1281" s="370"/>
      <c r="GD1281" s="453"/>
      <c r="GE1281" s="453"/>
      <c r="GF1281" s="453"/>
      <c r="GG1281" s="453"/>
      <c r="GH1281" s="454"/>
      <c r="GI1281" s="453"/>
      <c r="GJ1281" s="453"/>
      <c r="GK1281" s="453"/>
      <c r="GL1281" s="453"/>
      <c r="GM1281" s="453"/>
      <c r="GN1281" s="453"/>
      <c r="GO1281" s="453"/>
      <c r="GP1281" s="453"/>
      <c r="GQ1281" s="453"/>
      <c r="GR1281" s="453"/>
      <c r="GS1281" s="561"/>
      <c r="GT1281" s="475"/>
      <c r="GU1281" s="472"/>
      <c r="GV1281" s="453"/>
      <c r="GW1281" s="453"/>
      <c r="GX1281" s="869"/>
      <c r="GY1281" s="870"/>
      <c r="GZ1281" s="867"/>
      <c r="HA1281" s="868"/>
      <c r="HB1281" s="473"/>
      <c r="HC1281" s="869"/>
      <c r="HD1281" s="870"/>
      <c r="HE1281" s="867"/>
      <c r="HF1281" s="868"/>
      <c r="HG1281" s="473"/>
      <c r="HH1281" s="867"/>
      <c r="HI1281" s="868"/>
      <c r="HJ1281" s="867"/>
      <c r="HK1281" s="868"/>
      <c r="HL1281" s="370"/>
      <c r="HM1281" s="865"/>
      <c r="HN1281" s="866"/>
      <c r="HO1281" s="865"/>
      <c r="HP1281" s="866"/>
      <c r="HQ1281" s="865"/>
      <c r="HR1281" s="866"/>
      <c r="HS1281" s="867"/>
      <c r="HT1281" s="868"/>
      <c r="HU1281" s="489"/>
      <c r="HV1281" s="865"/>
      <c r="HW1281" s="866"/>
    </row>
    <row r="1282" spans="25:231" ht="15" customHeight="1">
      <c r="Y1282" s="332"/>
      <c r="Z1282" s="332"/>
      <c r="AA1282" s="332"/>
      <c r="AB1282" s="332"/>
      <c r="AC1282" s="332"/>
      <c r="AD1282" s="332"/>
      <c r="AE1282" s="332"/>
      <c r="AF1282" s="332"/>
      <c r="AG1282" s="332"/>
      <c r="AH1282" s="332"/>
      <c r="AI1282" s="332"/>
      <c r="AJ1282" s="332"/>
      <c r="AK1282" s="332"/>
      <c r="AL1282" s="332"/>
      <c r="AM1282" s="332"/>
      <c r="AN1282" s="332"/>
      <c r="AO1282" s="332"/>
      <c r="AP1282" s="332"/>
      <c r="AQ1282" s="332"/>
      <c r="AR1282" s="332"/>
      <c r="AS1282" s="332"/>
      <c r="AT1282" s="332"/>
      <c r="AU1282" s="332"/>
      <c r="AV1282" s="332"/>
      <c r="AW1282" s="332"/>
      <c r="AX1282" s="332"/>
      <c r="AY1282" s="332"/>
      <c r="AZ1282" s="332"/>
      <c r="BA1282" s="332"/>
      <c r="BB1282" s="332"/>
      <c r="BC1282" s="332"/>
      <c r="BD1282" s="332"/>
      <c r="BE1282" s="332"/>
      <c r="BF1282" s="332"/>
      <c r="BG1282" s="332"/>
      <c r="BH1282" s="332"/>
      <c r="BI1282" s="332"/>
      <c r="BJ1282" s="332"/>
      <c r="BK1282" s="332"/>
      <c r="BL1282" s="332"/>
      <c r="BM1282" s="332"/>
      <c r="BN1282" s="332"/>
      <c r="BO1282" s="332"/>
      <c r="BP1282" s="332"/>
      <c r="BQ1282" s="332"/>
      <c r="BR1282" s="332"/>
      <c r="BS1282" s="332"/>
      <c r="BT1282" s="332"/>
      <c r="BU1282" s="332"/>
      <c r="BV1282" s="332"/>
      <c r="BW1282" s="332"/>
      <c r="BX1282" s="332"/>
      <c r="BY1282" s="332"/>
      <c r="BZ1282" s="332"/>
      <c r="CA1282" s="332"/>
      <c r="CB1282" s="332"/>
      <c r="CC1282" s="332"/>
      <c r="CD1282" s="332"/>
      <c r="CE1282" s="332"/>
      <c r="CF1282" s="332"/>
      <c r="CG1282" s="332"/>
      <c r="CH1282" s="332"/>
      <c r="CI1282" s="332"/>
      <c r="CJ1282" s="332"/>
      <c r="CK1282" s="332"/>
      <c r="CL1282" s="332"/>
      <c r="CM1282" s="332"/>
      <c r="CN1282" s="332"/>
      <c r="CO1282" s="332"/>
      <c r="CP1282" s="332"/>
      <c r="CQ1282" s="332"/>
      <c r="CR1282" s="332"/>
      <c r="CS1282" s="332"/>
      <c r="CT1282" s="332"/>
      <c r="CU1282" s="332"/>
      <c r="CV1282" s="332"/>
      <c r="CW1282" s="332"/>
      <c r="CX1282" s="332"/>
      <c r="CY1282" s="332"/>
      <c r="CZ1282" s="332"/>
      <c r="DA1282" s="332"/>
      <c r="DB1282" s="332"/>
      <c r="DC1282" s="332"/>
      <c r="DD1282" s="332"/>
      <c r="DE1282" s="332"/>
      <c r="DF1282" s="332"/>
      <c r="DG1282" s="332"/>
      <c r="DH1282" s="332"/>
      <c r="DI1282" s="332"/>
      <c r="DJ1282" s="332"/>
      <c r="DK1282" s="332"/>
      <c r="DL1282" s="332"/>
      <c r="DM1282" s="332"/>
      <c r="DN1282" s="332"/>
      <c r="DO1282" s="332"/>
      <c r="DP1282" s="332"/>
      <c r="DQ1282" s="332"/>
      <c r="DR1282" s="332"/>
      <c r="DS1282" s="332"/>
      <c r="DT1282" s="332"/>
      <c r="DU1282" s="453"/>
      <c r="DV1282" s="453"/>
      <c r="DW1282" s="453"/>
      <c r="DX1282" s="453"/>
      <c r="DY1282" s="453"/>
      <c r="DZ1282" s="453"/>
      <c r="EA1282" s="453"/>
      <c r="EB1282" s="453"/>
      <c r="EC1282" s="453"/>
      <c r="ED1282" s="453"/>
      <c r="EE1282" s="453"/>
      <c r="EF1282" s="453"/>
      <c r="EG1282" s="453"/>
      <c r="EH1282" s="453"/>
      <c r="EI1282" s="453"/>
      <c r="EJ1282" s="453"/>
      <c r="EK1282" s="453"/>
      <c r="EL1282" s="453"/>
      <c r="EM1282" s="483">
        <f t="shared" si="257"/>
        <v>973</v>
      </c>
      <c r="EN1282" s="485"/>
      <c r="EO1282" s="458"/>
      <c r="EP1282" s="467"/>
      <c r="EQ1282" s="457"/>
      <c r="ER1282" s="808"/>
      <c r="ES1282" s="881">
        <f t="shared" si="260"/>
        <v>0</v>
      </c>
      <c r="ET1282" s="882"/>
      <c r="EU1282" s="883"/>
      <c r="EV1282" s="884">
        <f t="shared" si="261"/>
        <v>0</v>
      </c>
      <c r="EW1282" s="885"/>
      <c r="EX1282" s="885"/>
      <c r="EY1282" s="885"/>
      <c r="EZ1282" s="885"/>
      <c r="FA1282" s="885"/>
      <c r="FB1282" s="885"/>
      <c r="FC1282" s="885"/>
      <c r="FD1282" s="886"/>
      <c r="FE1282" s="877"/>
      <c r="FF1282" s="877"/>
      <c r="FG1282" s="877"/>
      <c r="FH1282" s="877"/>
      <c r="FI1282" s="877"/>
      <c r="FJ1282" s="877"/>
      <c r="FK1282" s="877"/>
      <c r="FL1282" s="874"/>
      <c r="FM1282" s="875"/>
      <c r="FN1282" s="875"/>
      <c r="FO1282" s="875"/>
      <c r="FP1282" s="875"/>
      <c r="FQ1282" s="875"/>
      <c r="FR1282" s="875"/>
      <c r="FS1282" s="875"/>
      <c r="FT1282" s="875"/>
      <c r="FU1282" s="875"/>
      <c r="FV1282" s="875"/>
      <c r="FW1282" s="875"/>
      <c r="FX1282" s="875"/>
      <c r="FY1282" s="875"/>
      <c r="FZ1282" s="875"/>
      <c r="GA1282" s="875"/>
      <c r="GB1282" s="876"/>
      <c r="GC1282" s="370"/>
      <c r="GD1282" s="453"/>
      <c r="GE1282" s="453"/>
      <c r="GF1282" s="453"/>
      <c r="GG1282" s="453"/>
      <c r="GH1282" s="454"/>
      <c r="GI1282" s="453"/>
      <c r="GJ1282" s="453"/>
      <c r="GK1282" s="453"/>
      <c r="GL1282" s="453"/>
      <c r="GM1282" s="453"/>
      <c r="GN1282" s="453"/>
      <c r="GO1282" s="453"/>
      <c r="GP1282" s="453"/>
      <c r="GQ1282" s="453"/>
      <c r="GR1282" s="453"/>
      <c r="GS1282" s="561"/>
      <c r="GT1282" s="475"/>
      <c r="GU1282" s="472"/>
      <c r="GV1282" s="453"/>
      <c r="GW1282" s="453"/>
      <c r="GX1282" s="869"/>
      <c r="GY1282" s="870"/>
      <c r="GZ1282" s="867"/>
      <c r="HA1282" s="868"/>
      <c r="HB1282" s="473"/>
      <c r="HC1282" s="869"/>
      <c r="HD1282" s="870"/>
      <c r="HE1282" s="867"/>
      <c r="HF1282" s="868"/>
      <c r="HG1282" s="473"/>
      <c r="HH1282" s="867"/>
      <c r="HI1282" s="868"/>
      <c r="HJ1282" s="867"/>
      <c r="HK1282" s="868"/>
      <c r="HL1282" s="370"/>
      <c r="HM1282" s="865"/>
      <c r="HN1282" s="866"/>
      <c r="HO1282" s="865"/>
      <c r="HP1282" s="866"/>
      <c r="HQ1282" s="865"/>
      <c r="HR1282" s="866"/>
      <c r="HS1282" s="867"/>
      <c r="HT1282" s="868"/>
      <c r="HU1282" s="489"/>
      <c r="HV1282" s="865"/>
      <c r="HW1282" s="866"/>
    </row>
    <row r="1283" spans="25:231" ht="15" customHeight="1">
      <c r="Y1283" s="332"/>
      <c r="Z1283" s="332"/>
      <c r="AA1283" s="332"/>
      <c r="AB1283" s="332"/>
      <c r="AC1283" s="332"/>
      <c r="AD1283" s="332"/>
      <c r="AE1283" s="332"/>
      <c r="AF1283" s="332"/>
      <c r="AG1283" s="332"/>
      <c r="AH1283" s="332"/>
      <c r="AI1283" s="332"/>
      <c r="AJ1283" s="332"/>
      <c r="AK1283" s="332"/>
      <c r="AL1283" s="332"/>
      <c r="AM1283" s="332"/>
      <c r="AN1283" s="332"/>
      <c r="AO1283" s="332"/>
      <c r="AP1283" s="332"/>
      <c r="AQ1283" s="332"/>
      <c r="AR1283" s="332"/>
      <c r="AS1283" s="332"/>
      <c r="AT1283" s="332"/>
      <c r="AU1283" s="332"/>
      <c r="AV1283" s="332"/>
      <c r="AW1283" s="332"/>
      <c r="AX1283" s="332"/>
      <c r="AY1283" s="332"/>
      <c r="AZ1283" s="332"/>
      <c r="BA1283" s="332"/>
      <c r="BB1283" s="332"/>
      <c r="BC1283" s="332"/>
      <c r="BD1283" s="332"/>
      <c r="BE1283" s="332"/>
      <c r="BF1283" s="332"/>
      <c r="BG1283" s="332"/>
      <c r="BH1283" s="332"/>
      <c r="BI1283" s="332"/>
      <c r="BJ1283" s="332"/>
      <c r="BK1283" s="332"/>
      <c r="BL1283" s="332"/>
      <c r="BM1283" s="332"/>
      <c r="BN1283" s="332"/>
      <c r="BO1283" s="332"/>
      <c r="BP1283" s="332"/>
      <c r="BQ1283" s="332"/>
      <c r="BR1283" s="332"/>
      <c r="BS1283" s="332"/>
      <c r="BT1283" s="332"/>
      <c r="BU1283" s="332"/>
      <c r="BV1283" s="332"/>
      <c r="BW1283" s="332"/>
      <c r="BX1283" s="332"/>
      <c r="BY1283" s="332"/>
      <c r="BZ1283" s="332"/>
      <c r="CA1283" s="332"/>
      <c r="CB1283" s="332"/>
      <c r="CC1283" s="332"/>
      <c r="CD1283" s="332"/>
      <c r="CE1283" s="332"/>
      <c r="CF1283" s="332"/>
      <c r="CG1283" s="332"/>
      <c r="CH1283" s="332"/>
      <c r="CI1283" s="332"/>
      <c r="CJ1283" s="332"/>
      <c r="CK1283" s="332"/>
      <c r="CL1283" s="332"/>
      <c r="CM1283" s="332"/>
      <c r="CN1283" s="332"/>
      <c r="CO1283" s="332"/>
      <c r="CP1283" s="332"/>
      <c r="CQ1283" s="332"/>
      <c r="CR1283" s="332"/>
      <c r="CS1283" s="332"/>
      <c r="CT1283" s="332"/>
      <c r="CU1283" s="332"/>
      <c r="CV1283" s="332"/>
      <c r="CW1283" s="332"/>
      <c r="CX1283" s="332"/>
      <c r="CY1283" s="332"/>
      <c r="CZ1283" s="332"/>
      <c r="DA1283" s="332"/>
      <c r="DB1283" s="332"/>
      <c r="DC1283" s="332"/>
      <c r="DD1283" s="332"/>
      <c r="DE1283" s="332"/>
      <c r="DF1283" s="332"/>
      <c r="DG1283" s="332"/>
      <c r="DH1283" s="332"/>
      <c r="DI1283" s="332"/>
      <c r="DJ1283" s="332"/>
      <c r="DK1283" s="332"/>
      <c r="DL1283" s="332"/>
      <c r="DM1283" s="332"/>
      <c r="DN1283" s="332"/>
      <c r="DO1283" s="332"/>
      <c r="DP1283" s="332"/>
      <c r="DQ1283" s="332"/>
      <c r="DR1283" s="332"/>
      <c r="DS1283" s="332"/>
      <c r="DT1283" s="332"/>
      <c r="DU1283" s="453"/>
      <c r="DV1283" s="453"/>
      <c r="DW1283" s="453"/>
      <c r="DX1283" s="453"/>
      <c r="DY1283" s="453"/>
      <c r="DZ1283" s="453"/>
      <c r="EA1283" s="453"/>
      <c r="EB1283" s="453"/>
      <c r="EC1283" s="453"/>
      <c r="ED1283" s="453"/>
      <c r="EE1283" s="453"/>
      <c r="EF1283" s="453"/>
      <c r="EG1283" s="453"/>
      <c r="EH1283" s="453"/>
      <c r="EI1283" s="453"/>
      <c r="EJ1283" s="453"/>
      <c r="EK1283" s="453"/>
      <c r="EL1283" s="453"/>
      <c r="EM1283" s="483">
        <f t="shared" si="257"/>
        <v>974</v>
      </c>
      <c r="EN1283" s="485"/>
      <c r="EO1283" s="458"/>
      <c r="EP1283" s="467"/>
      <c r="EQ1283" s="457"/>
      <c r="ER1283" s="808"/>
      <c r="ES1283" s="881">
        <f t="shared" si="260"/>
        <v>0</v>
      </c>
      <c r="ET1283" s="882"/>
      <c r="EU1283" s="883"/>
      <c r="EV1283" s="884">
        <f t="shared" si="261"/>
        <v>0</v>
      </c>
      <c r="EW1283" s="885"/>
      <c r="EX1283" s="885"/>
      <c r="EY1283" s="885"/>
      <c r="EZ1283" s="885"/>
      <c r="FA1283" s="885"/>
      <c r="FB1283" s="885"/>
      <c r="FC1283" s="885"/>
      <c r="FD1283" s="886"/>
      <c r="FE1283" s="877"/>
      <c r="FF1283" s="877"/>
      <c r="FG1283" s="877"/>
      <c r="FH1283" s="877"/>
      <c r="FI1283" s="877"/>
      <c r="FJ1283" s="877"/>
      <c r="FK1283" s="877"/>
      <c r="FL1283" s="874"/>
      <c r="FM1283" s="875"/>
      <c r="FN1283" s="875"/>
      <c r="FO1283" s="875"/>
      <c r="FP1283" s="875"/>
      <c r="FQ1283" s="875"/>
      <c r="FR1283" s="875"/>
      <c r="FS1283" s="875"/>
      <c r="FT1283" s="875"/>
      <c r="FU1283" s="875"/>
      <c r="FV1283" s="875"/>
      <c r="FW1283" s="875"/>
      <c r="FX1283" s="875"/>
      <c r="FY1283" s="875"/>
      <c r="FZ1283" s="875"/>
      <c r="GA1283" s="875"/>
      <c r="GB1283" s="876"/>
      <c r="GC1283" s="370"/>
      <c r="GD1283" s="453"/>
      <c r="GE1283" s="453"/>
      <c r="GF1283" s="453"/>
      <c r="GG1283" s="453"/>
      <c r="GH1283" s="454"/>
      <c r="GI1283" s="453"/>
      <c r="GJ1283" s="453"/>
      <c r="GK1283" s="453"/>
      <c r="GL1283" s="453"/>
      <c r="GM1283" s="453"/>
      <c r="GN1283" s="453"/>
      <c r="GO1283" s="453"/>
      <c r="GP1283" s="453"/>
      <c r="GQ1283" s="453"/>
      <c r="GR1283" s="453"/>
      <c r="GS1283" s="561"/>
      <c r="GT1283" s="475"/>
      <c r="GU1283" s="472"/>
      <c r="GV1283" s="453"/>
      <c r="GW1283" s="453"/>
      <c r="GX1283" s="869"/>
      <c r="GY1283" s="870"/>
      <c r="GZ1283" s="867"/>
      <c r="HA1283" s="868"/>
      <c r="HB1283" s="473"/>
      <c r="HC1283" s="869"/>
      <c r="HD1283" s="870"/>
      <c r="HE1283" s="867"/>
      <c r="HF1283" s="868"/>
      <c r="HG1283" s="473"/>
      <c r="HH1283" s="867"/>
      <c r="HI1283" s="868"/>
      <c r="HJ1283" s="867"/>
      <c r="HK1283" s="868"/>
      <c r="HL1283" s="370"/>
      <c r="HM1283" s="865"/>
      <c r="HN1283" s="866"/>
      <c r="HO1283" s="865"/>
      <c r="HP1283" s="866"/>
      <c r="HQ1283" s="865"/>
      <c r="HR1283" s="866"/>
      <c r="HS1283" s="867"/>
      <c r="HT1283" s="868"/>
      <c r="HU1283" s="489"/>
      <c r="HV1283" s="865"/>
      <c r="HW1283" s="866"/>
    </row>
    <row r="1284" spans="25:231" ht="15" customHeight="1">
      <c r="Y1284" s="332"/>
      <c r="Z1284" s="332"/>
      <c r="AA1284" s="332"/>
      <c r="AB1284" s="332"/>
      <c r="AC1284" s="332"/>
      <c r="AD1284" s="332"/>
      <c r="AE1284" s="332"/>
      <c r="AF1284" s="332"/>
      <c r="AG1284" s="332"/>
      <c r="AH1284" s="332"/>
      <c r="AI1284" s="332"/>
      <c r="AJ1284" s="332"/>
      <c r="AK1284" s="332"/>
      <c r="AL1284" s="332"/>
      <c r="AM1284" s="332"/>
      <c r="AN1284" s="332"/>
      <c r="AO1284" s="332"/>
      <c r="AP1284" s="332"/>
      <c r="AQ1284" s="332"/>
      <c r="AR1284" s="332"/>
      <c r="AS1284" s="332"/>
      <c r="AT1284" s="332"/>
      <c r="AU1284" s="332"/>
      <c r="AV1284" s="332"/>
      <c r="AW1284" s="332"/>
      <c r="AX1284" s="332"/>
      <c r="AY1284" s="332"/>
      <c r="AZ1284" s="332"/>
      <c r="BA1284" s="332"/>
      <c r="BB1284" s="332"/>
      <c r="BC1284" s="332"/>
      <c r="BD1284" s="332"/>
      <c r="BE1284" s="332"/>
      <c r="BF1284" s="332"/>
      <c r="BG1284" s="332"/>
      <c r="BH1284" s="332"/>
      <c r="BI1284" s="332"/>
      <c r="BJ1284" s="332"/>
      <c r="BK1284" s="332"/>
      <c r="BL1284" s="332"/>
      <c r="BM1284" s="332"/>
      <c r="BN1284" s="332"/>
      <c r="BO1284" s="332"/>
      <c r="BP1284" s="332"/>
      <c r="BQ1284" s="332"/>
      <c r="BR1284" s="332"/>
      <c r="BS1284" s="332"/>
      <c r="BT1284" s="332"/>
      <c r="BU1284" s="332"/>
      <c r="BV1284" s="332"/>
      <c r="BW1284" s="332"/>
      <c r="BX1284" s="332"/>
      <c r="BY1284" s="332"/>
      <c r="BZ1284" s="332"/>
      <c r="CA1284" s="332"/>
      <c r="CB1284" s="332"/>
      <c r="CC1284" s="332"/>
      <c r="CD1284" s="332"/>
      <c r="CE1284" s="332"/>
      <c r="CF1284" s="332"/>
      <c r="CG1284" s="332"/>
      <c r="CH1284" s="332"/>
      <c r="CI1284" s="332"/>
      <c r="CJ1284" s="332"/>
      <c r="CK1284" s="332"/>
      <c r="CL1284" s="332"/>
      <c r="CM1284" s="332"/>
      <c r="CN1284" s="332"/>
      <c r="CO1284" s="332"/>
      <c r="CP1284" s="332"/>
      <c r="CQ1284" s="332"/>
      <c r="CR1284" s="332"/>
      <c r="CS1284" s="332"/>
      <c r="CT1284" s="332"/>
      <c r="CU1284" s="332"/>
      <c r="CV1284" s="332"/>
      <c r="CW1284" s="332"/>
      <c r="CX1284" s="332"/>
      <c r="CY1284" s="332"/>
      <c r="CZ1284" s="332"/>
      <c r="DA1284" s="332"/>
      <c r="DB1284" s="332"/>
      <c r="DC1284" s="332"/>
      <c r="DD1284" s="332"/>
      <c r="DE1284" s="332"/>
      <c r="DF1284" s="332"/>
      <c r="DG1284" s="332"/>
      <c r="DH1284" s="332"/>
      <c r="DI1284" s="332"/>
      <c r="DJ1284" s="332"/>
      <c r="DK1284" s="332"/>
      <c r="DL1284" s="332"/>
      <c r="DM1284" s="332"/>
      <c r="DN1284" s="332"/>
      <c r="DO1284" s="332"/>
      <c r="DP1284" s="332"/>
      <c r="DQ1284" s="332"/>
      <c r="DR1284" s="332"/>
      <c r="DS1284" s="332"/>
      <c r="DT1284" s="332"/>
      <c r="DU1284" s="453"/>
      <c r="DV1284" s="453"/>
      <c r="DW1284" s="453"/>
      <c r="DX1284" s="453"/>
      <c r="DY1284" s="453"/>
      <c r="DZ1284" s="453"/>
      <c r="EA1284" s="453"/>
      <c r="EB1284" s="453"/>
      <c r="EC1284" s="453"/>
      <c r="ED1284" s="453"/>
      <c r="EE1284" s="453"/>
      <c r="EF1284" s="453"/>
      <c r="EG1284" s="453"/>
      <c r="EH1284" s="453"/>
      <c r="EI1284" s="453"/>
      <c r="EJ1284" s="453"/>
      <c r="EK1284" s="453"/>
      <c r="EL1284" s="453"/>
      <c r="EM1284" s="483">
        <f t="shared" si="257"/>
        <v>975</v>
      </c>
      <c r="EN1284" s="485"/>
      <c r="EO1284" s="458"/>
      <c r="EP1284" s="467"/>
      <c r="EQ1284" s="457"/>
      <c r="ER1284" s="808"/>
      <c r="ES1284" s="881">
        <f t="shared" si="260"/>
        <v>0</v>
      </c>
      <c r="ET1284" s="882"/>
      <c r="EU1284" s="883"/>
      <c r="EV1284" s="884">
        <f t="shared" si="261"/>
        <v>0</v>
      </c>
      <c r="EW1284" s="885"/>
      <c r="EX1284" s="885"/>
      <c r="EY1284" s="885"/>
      <c r="EZ1284" s="885"/>
      <c r="FA1284" s="885"/>
      <c r="FB1284" s="885"/>
      <c r="FC1284" s="885"/>
      <c r="FD1284" s="886"/>
      <c r="FE1284" s="877"/>
      <c r="FF1284" s="877"/>
      <c r="FG1284" s="877"/>
      <c r="FH1284" s="877"/>
      <c r="FI1284" s="877"/>
      <c r="FJ1284" s="877"/>
      <c r="FK1284" s="877"/>
      <c r="FL1284" s="874"/>
      <c r="FM1284" s="875"/>
      <c r="FN1284" s="875"/>
      <c r="FO1284" s="875"/>
      <c r="FP1284" s="875"/>
      <c r="FQ1284" s="875"/>
      <c r="FR1284" s="875"/>
      <c r="FS1284" s="875"/>
      <c r="FT1284" s="875"/>
      <c r="FU1284" s="875"/>
      <c r="FV1284" s="875"/>
      <c r="FW1284" s="875"/>
      <c r="FX1284" s="875"/>
      <c r="FY1284" s="875"/>
      <c r="FZ1284" s="875"/>
      <c r="GA1284" s="875"/>
      <c r="GB1284" s="876"/>
      <c r="GC1284" s="370"/>
      <c r="GD1284" s="453"/>
      <c r="GE1284" s="453"/>
      <c r="GF1284" s="453"/>
      <c r="GG1284" s="453"/>
      <c r="GH1284" s="454"/>
      <c r="GI1284" s="453"/>
      <c r="GJ1284" s="453"/>
      <c r="GK1284" s="453"/>
      <c r="GL1284" s="453"/>
      <c r="GM1284" s="453"/>
      <c r="GN1284" s="453"/>
      <c r="GO1284" s="453"/>
      <c r="GP1284" s="453"/>
      <c r="GQ1284" s="453"/>
      <c r="GR1284" s="453"/>
      <c r="GS1284" s="561"/>
      <c r="GT1284" s="475"/>
      <c r="GU1284" s="472"/>
      <c r="GV1284" s="453"/>
      <c r="GW1284" s="453"/>
      <c r="GX1284" s="869"/>
      <c r="GY1284" s="870"/>
      <c r="GZ1284" s="867"/>
      <c r="HA1284" s="868"/>
      <c r="HB1284" s="473"/>
      <c r="HC1284" s="869"/>
      <c r="HD1284" s="870"/>
      <c r="HE1284" s="867"/>
      <c r="HF1284" s="868"/>
      <c r="HG1284" s="473"/>
      <c r="HH1284" s="867"/>
      <c r="HI1284" s="868"/>
      <c r="HJ1284" s="867"/>
      <c r="HK1284" s="868"/>
      <c r="HL1284" s="370"/>
      <c r="HM1284" s="865"/>
      <c r="HN1284" s="866"/>
      <c r="HO1284" s="865"/>
      <c r="HP1284" s="866"/>
      <c r="HQ1284" s="865"/>
      <c r="HR1284" s="866"/>
      <c r="HS1284" s="867"/>
      <c r="HT1284" s="868"/>
      <c r="HU1284" s="489"/>
      <c r="HV1284" s="865"/>
      <c r="HW1284" s="866"/>
    </row>
    <row r="1285" spans="25:231" ht="15" customHeight="1">
      <c r="Y1285" s="332"/>
      <c r="Z1285" s="332"/>
      <c r="AA1285" s="332"/>
      <c r="AB1285" s="332"/>
      <c r="AC1285" s="332"/>
      <c r="AD1285" s="332"/>
      <c r="AE1285" s="332"/>
      <c r="AF1285" s="332"/>
      <c r="AG1285" s="332"/>
      <c r="AH1285" s="332"/>
      <c r="AI1285" s="332"/>
      <c r="AJ1285" s="332"/>
      <c r="AK1285" s="332"/>
      <c r="AL1285" s="332"/>
      <c r="AM1285" s="332"/>
      <c r="AN1285" s="332"/>
      <c r="AO1285" s="332"/>
      <c r="AP1285" s="332"/>
      <c r="AQ1285" s="332"/>
      <c r="AR1285" s="332"/>
      <c r="AS1285" s="332"/>
      <c r="AT1285" s="332"/>
      <c r="AU1285" s="332"/>
      <c r="AV1285" s="332"/>
      <c r="AW1285" s="332"/>
      <c r="AX1285" s="332"/>
      <c r="AY1285" s="332"/>
      <c r="AZ1285" s="332"/>
      <c r="BA1285" s="332"/>
      <c r="BB1285" s="332"/>
      <c r="BC1285" s="332"/>
      <c r="BD1285" s="332"/>
      <c r="BE1285" s="332"/>
      <c r="BF1285" s="332"/>
      <c r="BG1285" s="332"/>
      <c r="BH1285" s="332"/>
      <c r="BI1285" s="332"/>
      <c r="BJ1285" s="332"/>
      <c r="BK1285" s="332"/>
      <c r="BL1285" s="332"/>
      <c r="BM1285" s="332"/>
      <c r="BN1285" s="332"/>
      <c r="BO1285" s="332"/>
      <c r="BP1285" s="332"/>
      <c r="BQ1285" s="332"/>
      <c r="BR1285" s="332"/>
      <c r="BS1285" s="332"/>
      <c r="BT1285" s="332"/>
      <c r="BU1285" s="332"/>
      <c r="BV1285" s="332"/>
      <c r="BW1285" s="332"/>
      <c r="BX1285" s="332"/>
      <c r="BY1285" s="332"/>
      <c r="BZ1285" s="332"/>
      <c r="CA1285" s="332"/>
      <c r="CB1285" s="332"/>
      <c r="CC1285" s="332"/>
      <c r="CD1285" s="332"/>
      <c r="CE1285" s="332"/>
      <c r="CF1285" s="332"/>
      <c r="CG1285" s="332"/>
      <c r="CH1285" s="332"/>
      <c r="CI1285" s="332"/>
      <c r="CJ1285" s="332"/>
      <c r="CK1285" s="332"/>
      <c r="CL1285" s="332"/>
      <c r="CM1285" s="332"/>
      <c r="CN1285" s="332"/>
      <c r="CO1285" s="332"/>
      <c r="CP1285" s="332"/>
      <c r="CQ1285" s="332"/>
      <c r="CR1285" s="332"/>
      <c r="CS1285" s="332"/>
      <c r="CT1285" s="332"/>
      <c r="CU1285" s="332"/>
      <c r="CV1285" s="332"/>
      <c r="CW1285" s="332"/>
      <c r="CX1285" s="332"/>
      <c r="CY1285" s="332"/>
      <c r="CZ1285" s="332"/>
      <c r="DA1285" s="332"/>
      <c r="DB1285" s="332"/>
      <c r="DC1285" s="332"/>
      <c r="DD1285" s="332"/>
      <c r="DE1285" s="332"/>
      <c r="DF1285" s="332"/>
      <c r="DG1285" s="332"/>
      <c r="DH1285" s="332"/>
      <c r="DI1285" s="332"/>
      <c r="DJ1285" s="332"/>
      <c r="DK1285" s="332"/>
      <c r="DL1285" s="332"/>
      <c r="DM1285" s="332"/>
      <c r="DN1285" s="332"/>
      <c r="DO1285" s="332"/>
      <c r="DP1285" s="332"/>
      <c r="DQ1285" s="332"/>
      <c r="DR1285" s="332"/>
      <c r="DS1285" s="332"/>
      <c r="DT1285" s="332"/>
      <c r="DU1285" s="453"/>
      <c r="DV1285" s="453"/>
      <c r="DW1285" s="453"/>
      <c r="DX1285" s="453"/>
      <c r="DY1285" s="453"/>
      <c r="DZ1285" s="453"/>
      <c r="EA1285" s="453"/>
      <c r="EB1285" s="453"/>
      <c r="EC1285" s="453"/>
      <c r="ED1285" s="453"/>
      <c r="EE1285" s="453"/>
      <c r="EF1285" s="453"/>
      <c r="EG1285" s="453"/>
      <c r="EH1285" s="453"/>
      <c r="EI1285" s="453"/>
      <c r="EJ1285" s="453"/>
      <c r="EK1285" s="453"/>
      <c r="EL1285" s="453"/>
      <c r="EM1285" s="483">
        <f t="shared" si="257"/>
        <v>976</v>
      </c>
      <c r="EN1285" s="485"/>
      <c r="EO1285" s="458"/>
      <c r="EP1285" s="467"/>
      <c r="EQ1285" s="457"/>
      <c r="ER1285" s="808"/>
      <c r="ES1285" s="881">
        <f t="shared" si="260"/>
        <v>0</v>
      </c>
      <c r="ET1285" s="882"/>
      <c r="EU1285" s="883"/>
      <c r="EV1285" s="884">
        <f t="shared" si="261"/>
        <v>0</v>
      </c>
      <c r="EW1285" s="885"/>
      <c r="EX1285" s="885"/>
      <c r="EY1285" s="885"/>
      <c r="EZ1285" s="885"/>
      <c r="FA1285" s="885"/>
      <c r="FB1285" s="885"/>
      <c r="FC1285" s="885"/>
      <c r="FD1285" s="886"/>
      <c r="FE1285" s="877"/>
      <c r="FF1285" s="877"/>
      <c r="FG1285" s="877"/>
      <c r="FH1285" s="877"/>
      <c r="FI1285" s="877"/>
      <c r="FJ1285" s="877"/>
      <c r="FK1285" s="877"/>
      <c r="FL1285" s="874"/>
      <c r="FM1285" s="875"/>
      <c r="FN1285" s="875"/>
      <c r="FO1285" s="875"/>
      <c r="FP1285" s="875"/>
      <c r="FQ1285" s="875"/>
      <c r="FR1285" s="875"/>
      <c r="FS1285" s="875"/>
      <c r="FT1285" s="875"/>
      <c r="FU1285" s="875"/>
      <c r="FV1285" s="875"/>
      <c r="FW1285" s="875"/>
      <c r="FX1285" s="875"/>
      <c r="FY1285" s="875"/>
      <c r="FZ1285" s="875"/>
      <c r="GA1285" s="875"/>
      <c r="GB1285" s="876"/>
      <c r="GC1285" s="370"/>
      <c r="GD1285" s="453"/>
      <c r="GE1285" s="453"/>
      <c r="GF1285" s="453"/>
      <c r="GG1285" s="453"/>
      <c r="GH1285" s="454"/>
      <c r="GI1285" s="453"/>
      <c r="GJ1285" s="453"/>
      <c r="GK1285" s="453"/>
      <c r="GL1285" s="453"/>
      <c r="GM1285" s="453"/>
      <c r="GN1285" s="453"/>
      <c r="GO1285" s="453"/>
      <c r="GP1285" s="453"/>
      <c r="GQ1285" s="453"/>
      <c r="GR1285" s="453"/>
      <c r="GS1285" s="561"/>
      <c r="GT1285" s="475"/>
      <c r="GU1285" s="472"/>
      <c r="GV1285" s="453"/>
      <c r="GW1285" s="453"/>
      <c r="GX1285" s="869"/>
      <c r="GY1285" s="870"/>
      <c r="GZ1285" s="867"/>
      <c r="HA1285" s="868"/>
      <c r="HB1285" s="473"/>
      <c r="HC1285" s="869"/>
      <c r="HD1285" s="870"/>
      <c r="HE1285" s="867"/>
      <c r="HF1285" s="868"/>
      <c r="HG1285" s="473"/>
      <c r="HH1285" s="867"/>
      <c r="HI1285" s="868"/>
      <c r="HJ1285" s="867"/>
      <c r="HK1285" s="868"/>
      <c r="HL1285" s="370"/>
      <c r="HM1285" s="865"/>
      <c r="HN1285" s="866"/>
      <c r="HO1285" s="865"/>
      <c r="HP1285" s="866"/>
      <c r="HQ1285" s="865"/>
      <c r="HR1285" s="866"/>
      <c r="HS1285" s="867"/>
      <c r="HT1285" s="868"/>
      <c r="HU1285" s="489"/>
      <c r="HV1285" s="865"/>
      <c r="HW1285" s="866"/>
    </row>
    <row r="1286" spans="25:231" ht="15" customHeight="1">
      <c r="Y1286" s="332"/>
      <c r="Z1286" s="332"/>
      <c r="AA1286" s="332"/>
      <c r="AB1286" s="332"/>
      <c r="AC1286" s="332"/>
      <c r="AD1286" s="332"/>
      <c r="AE1286" s="332"/>
      <c r="AF1286" s="332"/>
      <c r="AG1286" s="332"/>
      <c r="AH1286" s="332"/>
      <c r="AI1286" s="332"/>
      <c r="AJ1286" s="332"/>
      <c r="AK1286" s="332"/>
      <c r="AL1286" s="332"/>
      <c r="AM1286" s="332"/>
      <c r="AN1286" s="332"/>
      <c r="AO1286" s="332"/>
      <c r="AP1286" s="332"/>
      <c r="AQ1286" s="332"/>
      <c r="AR1286" s="332"/>
      <c r="AS1286" s="332"/>
      <c r="AT1286" s="332"/>
      <c r="AU1286" s="332"/>
      <c r="AV1286" s="332"/>
      <c r="AW1286" s="332"/>
      <c r="AX1286" s="332"/>
      <c r="AY1286" s="332"/>
      <c r="AZ1286" s="332"/>
      <c r="BA1286" s="332"/>
      <c r="BB1286" s="332"/>
      <c r="BC1286" s="332"/>
      <c r="BD1286" s="332"/>
      <c r="BE1286" s="332"/>
      <c r="BF1286" s="332"/>
      <c r="BG1286" s="332"/>
      <c r="BH1286" s="332"/>
      <c r="BI1286" s="332"/>
      <c r="BJ1286" s="332"/>
      <c r="BK1286" s="332"/>
      <c r="BL1286" s="332"/>
      <c r="BM1286" s="332"/>
      <c r="BN1286" s="332"/>
      <c r="BO1286" s="332"/>
      <c r="BP1286" s="332"/>
      <c r="BQ1286" s="332"/>
      <c r="BR1286" s="332"/>
      <c r="BS1286" s="332"/>
      <c r="BT1286" s="332"/>
      <c r="BU1286" s="332"/>
      <c r="BV1286" s="332"/>
      <c r="BW1286" s="332"/>
      <c r="BX1286" s="332"/>
      <c r="BY1286" s="332"/>
      <c r="BZ1286" s="332"/>
      <c r="CA1286" s="332"/>
      <c r="CB1286" s="332"/>
      <c r="CC1286" s="332"/>
      <c r="CD1286" s="332"/>
      <c r="CE1286" s="332"/>
      <c r="CF1286" s="332"/>
      <c r="CG1286" s="332"/>
      <c r="CH1286" s="332"/>
      <c r="CI1286" s="332"/>
      <c r="CJ1286" s="332"/>
      <c r="CK1286" s="332"/>
      <c r="CL1286" s="332"/>
      <c r="CM1286" s="332"/>
      <c r="CN1286" s="332"/>
      <c r="CO1286" s="332"/>
      <c r="CP1286" s="332"/>
      <c r="CQ1286" s="332"/>
      <c r="CR1286" s="332"/>
      <c r="CS1286" s="332"/>
      <c r="CT1286" s="332"/>
      <c r="CU1286" s="332"/>
      <c r="CV1286" s="332"/>
      <c r="CW1286" s="332"/>
      <c r="CX1286" s="332"/>
      <c r="CY1286" s="332"/>
      <c r="CZ1286" s="332"/>
      <c r="DA1286" s="332"/>
      <c r="DB1286" s="332"/>
      <c r="DC1286" s="332"/>
      <c r="DD1286" s="332"/>
      <c r="DE1286" s="332"/>
      <c r="DF1286" s="332"/>
      <c r="DG1286" s="332"/>
      <c r="DH1286" s="332"/>
      <c r="DI1286" s="332"/>
      <c r="DJ1286" s="332"/>
      <c r="DK1286" s="332"/>
      <c r="DL1286" s="332"/>
      <c r="DM1286" s="332"/>
      <c r="DN1286" s="332"/>
      <c r="DO1286" s="332"/>
      <c r="DP1286" s="332"/>
      <c r="DQ1286" s="332"/>
      <c r="DR1286" s="332"/>
      <c r="DS1286" s="332"/>
      <c r="DT1286" s="332"/>
      <c r="DU1286" s="453"/>
      <c r="DV1286" s="453"/>
      <c r="DW1286" s="453"/>
      <c r="DX1286" s="453"/>
      <c r="DY1286" s="453"/>
      <c r="DZ1286" s="453"/>
      <c r="EA1286" s="453"/>
      <c r="EB1286" s="453"/>
      <c r="EC1286" s="453"/>
      <c r="ED1286" s="453"/>
      <c r="EE1286" s="453"/>
      <c r="EF1286" s="453"/>
      <c r="EG1286" s="453"/>
      <c r="EH1286" s="453"/>
      <c r="EI1286" s="453"/>
      <c r="EJ1286" s="453"/>
      <c r="EK1286" s="453"/>
      <c r="EL1286" s="453"/>
      <c r="EM1286" s="483">
        <f t="shared" si="257"/>
        <v>977</v>
      </c>
      <c r="EN1286" s="485"/>
      <c r="EO1286" s="458"/>
      <c r="EP1286" s="467"/>
      <c r="EQ1286" s="457"/>
      <c r="ER1286" s="808"/>
      <c r="ES1286" s="881">
        <f t="shared" si="260"/>
        <v>0</v>
      </c>
      <c r="ET1286" s="882"/>
      <c r="EU1286" s="883"/>
      <c r="EV1286" s="884">
        <f t="shared" si="261"/>
        <v>0</v>
      </c>
      <c r="EW1286" s="885"/>
      <c r="EX1286" s="885"/>
      <c r="EY1286" s="885"/>
      <c r="EZ1286" s="885"/>
      <c r="FA1286" s="885"/>
      <c r="FB1286" s="885"/>
      <c r="FC1286" s="885"/>
      <c r="FD1286" s="886"/>
      <c r="FE1286" s="877"/>
      <c r="FF1286" s="877"/>
      <c r="FG1286" s="877"/>
      <c r="FH1286" s="877"/>
      <c r="FI1286" s="877"/>
      <c r="FJ1286" s="877"/>
      <c r="FK1286" s="877"/>
      <c r="FL1286" s="874"/>
      <c r="FM1286" s="875"/>
      <c r="FN1286" s="875"/>
      <c r="FO1286" s="875"/>
      <c r="FP1286" s="875"/>
      <c r="FQ1286" s="875"/>
      <c r="FR1286" s="875"/>
      <c r="FS1286" s="875"/>
      <c r="FT1286" s="875"/>
      <c r="FU1286" s="875"/>
      <c r="FV1286" s="875"/>
      <c r="FW1286" s="875"/>
      <c r="FX1286" s="875"/>
      <c r="FY1286" s="875"/>
      <c r="FZ1286" s="875"/>
      <c r="GA1286" s="875"/>
      <c r="GB1286" s="876"/>
      <c r="GC1286" s="370"/>
      <c r="GD1286" s="453"/>
      <c r="GE1286" s="453"/>
      <c r="GF1286" s="453"/>
      <c r="GG1286" s="453"/>
      <c r="GH1286" s="454"/>
      <c r="GI1286" s="453"/>
      <c r="GJ1286" s="453"/>
      <c r="GK1286" s="453"/>
      <c r="GL1286" s="453"/>
      <c r="GM1286" s="453"/>
      <c r="GN1286" s="453"/>
      <c r="GO1286" s="453"/>
      <c r="GP1286" s="453"/>
      <c r="GQ1286" s="453"/>
      <c r="GR1286" s="453"/>
      <c r="GS1286" s="561"/>
      <c r="GT1286" s="475"/>
      <c r="GU1286" s="472"/>
      <c r="GV1286" s="453"/>
      <c r="GW1286" s="453"/>
      <c r="GX1286" s="869"/>
      <c r="GY1286" s="870"/>
      <c r="GZ1286" s="867"/>
      <c r="HA1286" s="868"/>
      <c r="HB1286" s="473"/>
      <c r="HC1286" s="869"/>
      <c r="HD1286" s="870"/>
      <c r="HE1286" s="867"/>
      <c r="HF1286" s="868"/>
      <c r="HG1286" s="473"/>
      <c r="HH1286" s="867"/>
      <c r="HI1286" s="868"/>
      <c r="HJ1286" s="867"/>
      <c r="HK1286" s="868"/>
      <c r="HL1286" s="370"/>
      <c r="HM1286" s="865"/>
      <c r="HN1286" s="866"/>
      <c r="HO1286" s="865"/>
      <c r="HP1286" s="866"/>
      <c r="HQ1286" s="865"/>
      <c r="HR1286" s="866"/>
      <c r="HS1286" s="867"/>
      <c r="HT1286" s="868"/>
      <c r="HU1286" s="489"/>
      <c r="HV1286" s="865"/>
      <c r="HW1286" s="866"/>
    </row>
    <row r="1287" spans="25:231" ht="15" customHeight="1">
      <c r="Y1287" s="332"/>
      <c r="Z1287" s="332"/>
      <c r="AA1287" s="332"/>
      <c r="AB1287" s="332"/>
      <c r="AC1287" s="332"/>
      <c r="AD1287" s="332"/>
      <c r="AE1287" s="332"/>
      <c r="AF1287" s="332"/>
      <c r="AG1287" s="332"/>
      <c r="AH1287" s="332"/>
      <c r="AI1287" s="332"/>
      <c r="AJ1287" s="332"/>
      <c r="AK1287" s="332"/>
      <c r="AL1287" s="332"/>
      <c r="AM1287" s="332"/>
      <c r="AN1287" s="332"/>
      <c r="AO1287" s="332"/>
      <c r="AP1287" s="332"/>
      <c r="AQ1287" s="332"/>
      <c r="AR1287" s="332"/>
      <c r="AS1287" s="332"/>
      <c r="AT1287" s="332"/>
      <c r="AU1287" s="332"/>
      <c r="AV1287" s="332"/>
      <c r="AW1287" s="332"/>
      <c r="AX1287" s="332"/>
      <c r="AY1287" s="332"/>
      <c r="AZ1287" s="332"/>
      <c r="BA1287" s="332"/>
      <c r="BB1287" s="332"/>
      <c r="BC1287" s="332"/>
      <c r="BD1287" s="332"/>
      <c r="BE1287" s="332"/>
      <c r="BF1287" s="332"/>
      <c r="BG1287" s="332"/>
      <c r="BH1287" s="332"/>
      <c r="BI1287" s="332"/>
      <c r="BJ1287" s="332"/>
      <c r="BK1287" s="332"/>
      <c r="BL1287" s="332"/>
      <c r="BM1287" s="332"/>
      <c r="BN1287" s="332"/>
      <c r="BO1287" s="332"/>
      <c r="BP1287" s="332"/>
      <c r="BQ1287" s="332"/>
      <c r="BR1287" s="332"/>
      <c r="BS1287" s="332"/>
      <c r="BT1287" s="332"/>
      <c r="BU1287" s="332"/>
      <c r="BV1287" s="332"/>
      <c r="BW1287" s="332"/>
      <c r="BX1287" s="332"/>
      <c r="BY1287" s="332"/>
      <c r="BZ1287" s="332"/>
      <c r="CA1287" s="332"/>
      <c r="CB1287" s="332"/>
      <c r="CC1287" s="332"/>
      <c r="CD1287" s="332"/>
      <c r="CE1287" s="332"/>
      <c r="CF1287" s="332"/>
      <c r="CG1287" s="332"/>
      <c r="CH1287" s="332"/>
      <c r="CI1287" s="332"/>
      <c r="CJ1287" s="332"/>
      <c r="CK1287" s="332"/>
      <c r="CL1287" s="332"/>
      <c r="CM1287" s="332"/>
      <c r="CN1287" s="332"/>
      <c r="CO1287" s="332"/>
      <c r="CP1287" s="332"/>
      <c r="CQ1287" s="332"/>
      <c r="CR1287" s="332"/>
      <c r="CS1287" s="332"/>
      <c r="CT1287" s="332"/>
      <c r="CU1287" s="332"/>
      <c r="CV1287" s="332"/>
      <c r="CW1287" s="332"/>
      <c r="CX1287" s="332"/>
      <c r="CY1287" s="332"/>
      <c r="CZ1287" s="332"/>
      <c r="DA1287" s="332"/>
      <c r="DB1287" s="332"/>
      <c r="DC1287" s="332"/>
      <c r="DD1287" s="332"/>
      <c r="DE1287" s="332"/>
      <c r="DF1287" s="332"/>
      <c r="DG1287" s="332"/>
      <c r="DH1287" s="332"/>
      <c r="DI1287" s="332"/>
      <c r="DJ1287" s="332"/>
      <c r="DK1287" s="332"/>
      <c r="DL1287" s="332"/>
      <c r="DM1287" s="332"/>
      <c r="DN1287" s="332"/>
      <c r="DO1287" s="332"/>
      <c r="DP1287" s="332"/>
      <c r="DQ1287" s="332"/>
      <c r="DR1287" s="332"/>
      <c r="DS1287" s="332"/>
      <c r="DT1287" s="332"/>
      <c r="DU1287" s="453"/>
      <c r="DV1287" s="453"/>
      <c r="DW1287" s="453"/>
      <c r="DX1287" s="453"/>
      <c r="DY1287" s="453"/>
      <c r="DZ1287" s="453"/>
      <c r="EA1287" s="453"/>
      <c r="EB1287" s="453"/>
      <c r="EC1287" s="453"/>
      <c r="ED1287" s="453"/>
      <c r="EE1287" s="453"/>
      <c r="EF1287" s="453"/>
      <c r="EG1287" s="453"/>
      <c r="EH1287" s="453"/>
      <c r="EI1287" s="453"/>
      <c r="EJ1287" s="453"/>
      <c r="EK1287" s="453"/>
      <c r="EL1287" s="453"/>
      <c r="EM1287" s="483">
        <f t="shared" si="257"/>
        <v>978</v>
      </c>
      <c r="EN1287" s="485"/>
      <c r="EO1287" s="458"/>
      <c r="EP1287" s="467"/>
      <c r="EQ1287" s="457"/>
      <c r="ER1287" s="808"/>
      <c r="ES1287" s="881">
        <f t="shared" si="260"/>
        <v>0</v>
      </c>
      <c r="ET1287" s="882"/>
      <c r="EU1287" s="883"/>
      <c r="EV1287" s="884">
        <f t="shared" si="261"/>
        <v>0</v>
      </c>
      <c r="EW1287" s="885"/>
      <c r="EX1287" s="885"/>
      <c r="EY1287" s="885"/>
      <c r="EZ1287" s="885"/>
      <c r="FA1287" s="885"/>
      <c r="FB1287" s="885"/>
      <c r="FC1287" s="885"/>
      <c r="FD1287" s="886"/>
      <c r="FE1287" s="877"/>
      <c r="FF1287" s="877"/>
      <c r="FG1287" s="877"/>
      <c r="FH1287" s="877"/>
      <c r="FI1287" s="877"/>
      <c r="FJ1287" s="877"/>
      <c r="FK1287" s="877"/>
      <c r="FL1287" s="874"/>
      <c r="FM1287" s="875"/>
      <c r="FN1287" s="875"/>
      <c r="FO1287" s="875"/>
      <c r="FP1287" s="875"/>
      <c r="FQ1287" s="875"/>
      <c r="FR1287" s="875"/>
      <c r="FS1287" s="875"/>
      <c r="FT1287" s="875"/>
      <c r="FU1287" s="875"/>
      <c r="FV1287" s="875"/>
      <c r="FW1287" s="875"/>
      <c r="FX1287" s="875"/>
      <c r="FY1287" s="875"/>
      <c r="FZ1287" s="875"/>
      <c r="GA1287" s="875"/>
      <c r="GB1287" s="876"/>
      <c r="GC1287" s="370"/>
      <c r="GD1287" s="453"/>
      <c r="GE1287" s="453"/>
      <c r="GF1287" s="453"/>
      <c r="GG1287" s="453"/>
      <c r="GH1287" s="454"/>
      <c r="GI1287" s="453"/>
      <c r="GJ1287" s="453"/>
      <c r="GK1287" s="453"/>
      <c r="GL1287" s="453"/>
      <c r="GM1287" s="453"/>
      <c r="GN1287" s="453"/>
      <c r="GO1287" s="453"/>
      <c r="GP1287" s="453"/>
      <c r="GQ1287" s="453"/>
      <c r="GR1287" s="453"/>
      <c r="GS1287" s="561"/>
      <c r="GT1287" s="475"/>
      <c r="GU1287" s="472"/>
      <c r="GV1287" s="453"/>
      <c r="GW1287" s="453"/>
      <c r="GX1287" s="869"/>
      <c r="GY1287" s="870"/>
      <c r="GZ1287" s="867"/>
      <c r="HA1287" s="868"/>
      <c r="HB1287" s="473"/>
      <c r="HC1287" s="869"/>
      <c r="HD1287" s="870"/>
      <c r="HE1287" s="867"/>
      <c r="HF1287" s="868"/>
      <c r="HG1287" s="473"/>
      <c r="HH1287" s="867"/>
      <c r="HI1287" s="868"/>
      <c r="HJ1287" s="867"/>
      <c r="HK1287" s="868"/>
      <c r="HL1287" s="370"/>
      <c r="HM1287" s="865"/>
      <c r="HN1287" s="866"/>
      <c r="HO1287" s="865"/>
      <c r="HP1287" s="866"/>
      <c r="HQ1287" s="865"/>
      <c r="HR1287" s="866"/>
      <c r="HS1287" s="867"/>
      <c r="HT1287" s="868"/>
      <c r="HU1287" s="489"/>
      <c r="HV1287" s="865"/>
      <c r="HW1287" s="866"/>
    </row>
    <row r="1288" spans="25:231" ht="15" customHeight="1">
      <c r="Y1288" s="332"/>
      <c r="Z1288" s="332"/>
      <c r="AA1288" s="332"/>
      <c r="AB1288" s="332"/>
      <c r="AC1288" s="332"/>
      <c r="AD1288" s="332"/>
      <c r="AE1288" s="332"/>
      <c r="AF1288" s="332"/>
      <c r="AG1288" s="332"/>
      <c r="AH1288" s="332"/>
      <c r="AI1288" s="332"/>
      <c r="AJ1288" s="332"/>
      <c r="AK1288" s="332"/>
      <c r="AL1288" s="332"/>
      <c r="AM1288" s="332"/>
      <c r="AN1288" s="332"/>
      <c r="AO1288" s="332"/>
      <c r="AP1288" s="332"/>
      <c r="AQ1288" s="332"/>
      <c r="AR1288" s="332"/>
      <c r="AS1288" s="332"/>
      <c r="AT1288" s="332"/>
      <c r="AU1288" s="332"/>
      <c r="AV1288" s="332"/>
      <c r="AW1288" s="332"/>
      <c r="AX1288" s="332"/>
      <c r="AY1288" s="332"/>
      <c r="AZ1288" s="332"/>
      <c r="BA1288" s="332"/>
      <c r="BB1288" s="332"/>
      <c r="BC1288" s="332"/>
      <c r="BD1288" s="332"/>
      <c r="BE1288" s="332"/>
      <c r="BF1288" s="332"/>
      <c r="BG1288" s="332"/>
      <c r="BH1288" s="332"/>
      <c r="BI1288" s="332"/>
      <c r="BJ1288" s="332"/>
      <c r="BK1288" s="332"/>
      <c r="BL1288" s="332"/>
      <c r="BM1288" s="332"/>
      <c r="BN1288" s="332"/>
      <c r="BO1288" s="332"/>
      <c r="BP1288" s="332"/>
      <c r="BQ1288" s="332"/>
      <c r="BR1288" s="332"/>
      <c r="BS1288" s="332"/>
      <c r="BT1288" s="332"/>
      <c r="BU1288" s="332"/>
      <c r="BV1288" s="332"/>
      <c r="BW1288" s="332"/>
      <c r="BX1288" s="332"/>
      <c r="BY1288" s="332"/>
      <c r="BZ1288" s="332"/>
      <c r="CA1288" s="332"/>
      <c r="CB1288" s="332"/>
      <c r="CC1288" s="332"/>
      <c r="CD1288" s="332"/>
      <c r="CE1288" s="332"/>
      <c r="CF1288" s="332"/>
      <c r="CG1288" s="332"/>
      <c r="CH1288" s="332"/>
      <c r="CI1288" s="332"/>
      <c r="CJ1288" s="332"/>
      <c r="CK1288" s="332"/>
      <c r="CL1288" s="332"/>
      <c r="CM1288" s="332"/>
      <c r="CN1288" s="332"/>
      <c r="CO1288" s="332"/>
      <c r="CP1288" s="332"/>
      <c r="CQ1288" s="332"/>
      <c r="CR1288" s="332"/>
      <c r="CS1288" s="332"/>
      <c r="CT1288" s="332"/>
      <c r="CU1288" s="332"/>
      <c r="CV1288" s="332"/>
      <c r="CW1288" s="332"/>
      <c r="CX1288" s="332"/>
      <c r="CY1288" s="332"/>
      <c r="CZ1288" s="332"/>
      <c r="DA1288" s="332"/>
      <c r="DB1288" s="332"/>
      <c r="DC1288" s="332"/>
      <c r="DD1288" s="332"/>
      <c r="DE1288" s="332"/>
      <c r="DF1288" s="332"/>
      <c r="DG1288" s="332"/>
      <c r="DH1288" s="332"/>
      <c r="DI1288" s="332"/>
      <c r="DJ1288" s="332"/>
      <c r="DK1288" s="332"/>
      <c r="DL1288" s="332"/>
      <c r="DM1288" s="332"/>
      <c r="DN1288" s="332"/>
      <c r="DO1288" s="332"/>
      <c r="DP1288" s="332"/>
      <c r="DQ1288" s="332"/>
      <c r="DR1288" s="332"/>
      <c r="DS1288" s="332"/>
      <c r="DT1288" s="332"/>
      <c r="DU1288" s="453"/>
      <c r="DV1288" s="453"/>
      <c r="DW1288" s="453"/>
      <c r="DX1288" s="453"/>
      <c r="DY1288" s="453"/>
      <c r="DZ1288" s="453"/>
      <c r="EA1288" s="453"/>
      <c r="EB1288" s="453"/>
      <c r="EC1288" s="453"/>
      <c r="ED1288" s="453"/>
      <c r="EE1288" s="453"/>
      <c r="EF1288" s="453"/>
      <c r="EG1288" s="453"/>
      <c r="EH1288" s="453"/>
      <c r="EI1288" s="453"/>
      <c r="EJ1288" s="453"/>
      <c r="EK1288" s="453"/>
      <c r="EL1288" s="453"/>
      <c r="EM1288" s="483">
        <f t="shared" si="257"/>
        <v>979</v>
      </c>
      <c r="EN1288" s="485"/>
      <c r="EO1288" s="458"/>
      <c r="EP1288" s="467"/>
      <c r="EQ1288" s="457"/>
      <c r="ER1288" s="808"/>
      <c r="ES1288" s="881">
        <f t="shared" si="260"/>
        <v>0</v>
      </c>
      <c r="ET1288" s="882"/>
      <c r="EU1288" s="883"/>
      <c r="EV1288" s="884">
        <f t="shared" si="261"/>
        <v>0</v>
      </c>
      <c r="EW1288" s="885"/>
      <c r="EX1288" s="885"/>
      <c r="EY1288" s="885"/>
      <c r="EZ1288" s="885"/>
      <c r="FA1288" s="885"/>
      <c r="FB1288" s="885"/>
      <c r="FC1288" s="885"/>
      <c r="FD1288" s="886"/>
      <c r="FE1288" s="877"/>
      <c r="FF1288" s="877"/>
      <c r="FG1288" s="877"/>
      <c r="FH1288" s="877"/>
      <c r="FI1288" s="877"/>
      <c r="FJ1288" s="877"/>
      <c r="FK1288" s="877"/>
      <c r="FL1288" s="874"/>
      <c r="FM1288" s="875"/>
      <c r="FN1288" s="875"/>
      <c r="FO1288" s="875"/>
      <c r="FP1288" s="875"/>
      <c r="FQ1288" s="875"/>
      <c r="FR1288" s="875"/>
      <c r="FS1288" s="875"/>
      <c r="FT1288" s="875"/>
      <c r="FU1288" s="875"/>
      <c r="FV1288" s="875"/>
      <c r="FW1288" s="875"/>
      <c r="FX1288" s="875"/>
      <c r="FY1288" s="875"/>
      <c r="FZ1288" s="875"/>
      <c r="GA1288" s="875"/>
      <c r="GB1288" s="876"/>
      <c r="GC1288" s="370"/>
      <c r="GD1288" s="453"/>
      <c r="GE1288" s="453"/>
      <c r="GF1288" s="453"/>
      <c r="GG1288" s="453"/>
      <c r="GH1288" s="454"/>
      <c r="GI1288" s="453"/>
      <c r="GJ1288" s="453"/>
      <c r="GK1288" s="453"/>
      <c r="GL1288" s="453"/>
      <c r="GM1288" s="453"/>
      <c r="GN1288" s="453"/>
      <c r="GO1288" s="453"/>
      <c r="GP1288" s="453"/>
      <c r="GQ1288" s="453"/>
      <c r="GR1288" s="453"/>
      <c r="GS1288" s="561"/>
      <c r="GT1288" s="475"/>
      <c r="GU1288" s="472"/>
      <c r="GV1288" s="453"/>
      <c r="GW1288" s="453"/>
      <c r="GX1288" s="869"/>
      <c r="GY1288" s="870"/>
      <c r="GZ1288" s="867"/>
      <c r="HA1288" s="868"/>
      <c r="HB1288" s="473"/>
      <c r="HC1288" s="869"/>
      <c r="HD1288" s="870"/>
      <c r="HE1288" s="867"/>
      <c r="HF1288" s="868"/>
      <c r="HG1288" s="473"/>
      <c r="HH1288" s="867"/>
      <c r="HI1288" s="868"/>
      <c r="HJ1288" s="867"/>
      <c r="HK1288" s="868"/>
      <c r="HL1288" s="370"/>
      <c r="HM1288" s="865"/>
      <c r="HN1288" s="866"/>
      <c r="HO1288" s="865"/>
      <c r="HP1288" s="866"/>
      <c r="HQ1288" s="865"/>
      <c r="HR1288" s="866"/>
      <c r="HS1288" s="867"/>
      <c r="HT1288" s="868"/>
      <c r="HU1288" s="489"/>
      <c r="HV1288" s="865"/>
      <c r="HW1288" s="866"/>
    </row>
    <row r="1289" spans="25:231" ht="15" customHeight="1">
      <c r="Y1289" s="332"/>
      <c r="Z1289" s="332"/>
      <c r="AA1289" s="332"/>
      <c r="AB1289" s="332"/>
      <c r="AC1289" s="332"/>
      <c r="AD1289" s="332"/>
      <c r="AE1289" s="332"/>
      <c r="AF1289" s="332"/>
      <c r="AG1289" s="332"/>
      <c r="AH1289" s="332"/>
      <c r="AI1289" s="332"/>
      <c r="AJ1289" s="332"/>
      <c r="AK1289" s="332"/>
      <c r="AL1289" s="332"/>
      <c r="AM1289" s="332"/>
      <c r="AN1289" s="332"/>
      <c r="AO1289" s="332"/>
      <c r="AP1289" s="332"/>
      <c r="AQ1289" s="332"/>
      <c r="AR1289" s="332"/>
      <c r="AS1289" s="332"/>
      <c r="AT1289" s="332"/>
      <c r="AU1289" s="332"/>
      <c r="AV1289" s="332"/>
      <c r="AW1289" s="332"/>
      <c r="AX1289" s="332"/>
      <c r="AY1289" s="332"/>
      <c r="AZ1289" s="332"/>
      <c r="BA1289" s="332"/>
      <c r="BB1289" s="332"/>
      <c r="BC1289" s="332"/>
      <c r="BD1289" s="332"/>
      <c r="BE1289" s="332"/>
      <c r="BF1289" s="332"/>
      <c r="BG1289" s="332"/>
      <c r="BH1289" s="332"/>
      <c r="BI1289" s="332"/>
      <c r="BJ1289" s="332"/>
      <c r="BK1289" s="332"/>
      <c r="BL1289" s="332"/>
      <c r="BM1289" s="332"/>
      <c r="BN1289" s="332"/>
      <c r="BO1289" s="332"/>
      <c r="BP1289" s="332"/>
      <c r="BQ1289" s="332"/>
      <c r="BR1289" s="332"/>
      <c r="BS1289" s="332"/>
      <c r="BT1289" s="332"/>
      <c r="BU1289" s="332"/>
      <c r="BV1289" s="332"/>
      <c r="BW1289" s="332"/>
      <c r="BX1289" s="332"/>
      <c r="BY1289" s="332"/>
      <c r="BZ1289" s="332"/>
      <c r="CA1289" s="332"/>
      <c r="CB1289" s="332"/>
      <c r="CC1289" s="332"/>
      <c r="CD1289" s="332"/>
      <c r="CE1289" s="332"/>
      <c r="CF1289" s="332"/>
      <c r="CG1289" s="332"/>
      <c r="CH1289" s="332"/>
      <c r="CI1289" s="332"/>
      <c r="CJ1289" s="332"/>
      <c r="CK1289" s="332"/>
      <c r="CL1289" s="332"/>
      <c r="CM1289" s="332"/>
      <c r="CN1289" s="332"/>
      <c r="CO1289" s="332"/>
      <c r="CP1289" s="332"/>
      <c r="CQ1289" s="332"/>
      <c r="CR1289" s="332"/>
      <c r="CS1289" s="332"/>
      <c r="CT1289" s="332"/>
      <c r="CU1289" s="332"/>
      <c r="CV1289" s="332"/>
      <c r="CW1289" s="332"/>
      <c r="CX1289" s="332"/>
      <c r="CY1289" s="332"/>
      <c r="CZ1289" s="332"/>
      <c r="DA1289" s="332"/>
      <c r="DB1289" s="332"/>
      <c r="DC1289" s="332"/>
      <c r="DD1289" s="332"/>
      <c r="DE1289" s="332"/>
      <c r="DF1289" s="332"/>
      <c r="DG1289" s="332"/>
      <c r="DH1289" s="332"/>
      <c r="DI1289" s="332"/>
      <c r="DJ1289" s="332"/>
      <c r="DK1289" s="332"/>
      <c r="DL1289" s="332"/>
      <c r="DM1289" s="332"/>
      <c r="DN1289" s="332"/>
      <c r="DO1289" s="332"/>
      <c r="DP1289" s="332"/>
      <c r="DQ1289" s="332"/>
      <c r="DR1289" s="332"/>
      <c r="DS1289" s="332"/>
      <c r="DT1289" s="332"/>
      <c r="DU1289" s="453"/>
      <c r="DV1289" s="453"/>
      <c r="DW1289" s="453"/>
      <c r="DX1289" s="453"/>
      <c r="DY1289" s="453"/>
      <c r="DZ1289" s="453"/>
      <c r="EA1289" s="453"/>
      <c r="EB1289" s="453"/>
      <c r="EC1289" s="453"/>
      <c r="ED1289" s="453"/>
      <c r="EE1289" s="453"/>
      <c r="EF1289" s="453"/>
      <c r="EG1289" s="453"/>
      <c r="EH1289" s="453"/>
      <c r="EI1289" s="453"/>
      <c r="EJ1289" s="453"/>
      <c r="EK1289" s="453"/>
      <c r="EL1289" s="453"/>
      <c r="EM1289" s="483">
        <f t="shared" si="257"/>
        <v>980</v>
      </c>
      <c r="EN1289" s="485"/>
      <c r="EO1289" s="458"/>
      <c r="EP1289" s="467"/>
      <c r="EQ1289" s="457"/>
      <c r="ER1289" s="808"/>
      <c r="ES1289" s="881">
        <f t="shared" si="260"/>
        <v>0</v>
      </c>
      <c r="ET1289" s="882"/>
      <c r="EU1289" s="883"/>
      <c r="EV1289" s="884">
        <f t="shared" si="261"/>
        <v>0</v>
      </c>
      <c r="EW1289" s="885"/>
      <c r="EX1289" s="885"/>
      <c r="EY1289" s="885"/>
      <c r="EZ1289" s="885"/>
      <c r="FA1289" s="885"/>
      <c r="FB1289" s="885"/>
      <c r="FC1289" s="885"/>
      <c r="FD1289" s="886"/>
      <c r="FE1289" s="877"/>
      <c r="FF1289" s="877"/>
      <c r="FG1289" s="877"/>
      <c r="FH1289" s="877"/>
      <c r="FI1289" s="877"/>
      <c r="FJ1289" s="877"/>
      <c r="FK1289" s="877"/>
      <c r="FL1289" s="874"/>
      <c r="FM1289" s="875"/>
      <c r="FN1289" s="875"/>
      <c r="FO1289" s="875"/>
      <c r="FP1289" s="875"/>
      <c r="FQ1289" s="875"/>
      <c r="FR1289" s="875"/>
      <c r="FS1289" s="875"/>
      <c r="FT1289" s="875"/>
      <c r="FU1289" s="875"/>
      <c r="FV1289" s="875"/>
      <c r="FW1289" s="875"/>
      <c r="FX1289" s="875"/>
      <c r="FY1289" s="875"/>
      <c r="FZ1289" s="875"/>
      <c r="GA1289" s="875"/>
      <c r="GB1289" s="876"/>
      <c r="GC1289" s="370"/>
      <c r="GD1289" s="453"/>
      <c r="GE1289" s="453"/>
      <c r="GF1289" s="453"/>
      <c r="GG1289" s="453"/>
      <c r="GH1289" s="454"/>
      <c r="GI1289" s="453"/>
      <c r="GJ1289" s="453"/>
      <c r="GK1289" s="453"/>
      <c r="GL1289" s="453"/>
      <c r="GM1289" s="453"/>
      <c r="GN1289" s="453"/>
      <c r="GO1289" s="453"/>
      <c r="GP1289" s="453"/>
      <c r="GQ1289" s="453"/>
      <c r="GR1289" s="453"/>
      <c r="GS1289" s="561"/>
      <c r="GT1289" s="475"/>
      <c r="GU1289" s="472"/>
      <c r="GV1289" s="453"/>
      <c r="GW1289" s="453"/>
      <c r="GX1289" s="869"/>
      <c r="GY1289" s="870"/>
      <c r="GZ1289" s="867"/>
      <c r="HA1289" s="868"/>
      <c r="HB1289" s="473"/>
      <c r="HC1289" s="869"/>
      <c r="HD1289" s="870"/>
      <c r="HE1289" s="867"/>
      <c r="HF1289" s="868"/>
      <c r="HG1289" s="473"/>
      <c r="HH1289" s="867"/>
      <c r="HI1289" s="868"/>
      <c r="HJ1289" s="867"/>
      <c r="HK1289" s="868"/>
      <c r="HL1289" s="370"/>
      <c r="HM1289" s="865"/>
      <c r="HN1289" s="866"/>
      <c r="HO1289" s="865"/>
      <c r="HP1289" s="866"/>
      <c r="HQ1289" s="865"/>
      <c r="HR1289" s="866"/>
      <c r="HS1289" s="867"/>
      <c r="HT1289" s="868"/>
      <c r="HU1289" s="489"/>
      <c r="HV1289" s="865"/>
      <c r="HW1289" s="866"/>
    </row>
    <row r="1290" spans="25:231" ht="15" customHeight="1">
      <c r="Y1290" s="332"/>
      <c r="Z1290" s="332"/>
      <c r="AA1290" s="332"/>
      <c r="AB1290" s="332"/>
      <c r="AC1290" s="332"/>
      <c r="AD1290" s="332"/>
      <c r="AE1290" s="332"/>
      <c r="AF1290" s="332"/>
      <c r="AG1290" s="332"/>
      <c r="AH1290" s="332"/>
      <c r="AI1290" s="332"/>
      <c r="AJ1290" s="332"/>
      <c r="AK1290" s="332"/>
      <c r="AL1290" s="332"/>
      <c r="AM1290" s="332"/>
      <c r="AN1290" s="332"/>
      <c r="AO1290" s="332"/>
      <c r="AP1290" s="332"/>
      <c r="AQ1290" s="332"/>
      <c r="AR1290" s="332"/>
      <c r="AS1290" s="332"/>
      <c r="AT1290" s="332"/>
      <c r="AU1290" s="332"/>
      <c r="AV1290" s="332"/>
      <c r="AW1290" s="332"/>
      <c r="AX1290" s="332"/>
      <c r="AY1290" s="332"/>
      <c r="AZ1290" s="332"/>
      <c r="BA1290" s="332"/>
      <c r="BB1290" s="332"/>
      <c r="BC1290" s="332"/>
      <c r="BD1290" s="332"/>
      <c r="BE1290" s="332"/>
      <c r="BF1290" s="332"/>
      <c r="BG1290" s="332"/>
      <c r="BH1290" s="332"/>
      <c r="BI1290" s="332"/>
      <c r="BJ1290" s="332"/>
      <c r="BK1290" s="332"/>
      <c r="BL1290" s="332"/>
      <c r="BM1290" s="332"/>
      <c r="BN1290" s="332"/>
      <c r="BO1290" s="332"/>
      <c r="BP1290" s="332"/>
      <c r="BQ1290" s="332"/>
      <c r="BR1290" s="332"/>
      <c r="BS1290" s="332"/>
      <c r="BT1290" s="332"/>
      <c r="BU1290" s="332"/>
      <c r="BV1290" s="332"/>
      <c r="BW1290" s="332"/>
      <c r="BX1290" s="332"/>
      <c r="BY1290" s="332"/>
      <c r="BZ1290" s="332"/>
      <c r="CA1290" s="332"/>
      <c r="CB1290" s="332"/>
      <c r="CC1290" s="332"/>
      <c r="CD1290" s="332"/>
      <c r="CE1290" s="332"/>
      <c r="CF1290" s="332"/>
      <c r="CG1290" s="332"/>
      <c r="CH1290" s="332"/>
      <c r="CI1290" s="332"/>
      <c r="CJ1290" s="332"/>
      <c r="CK1290" s="332"/>
      <c r="CL1290" s="332"/>
      <c r="CM1290" s="332"/>
      <c r="CN1290" s="332"/>
      <c r="CO1290" s="332"/>
      <c r="CP1290" s="332"/>
      <c r="CQ1290" s="332"/>
      <c r="CR1290" s="332"/>
      <c r="CS1290" s="332"/>
      <c r="CT1290" s="332"/>
      <c r="CU1290" s="332"/>
      <c r="CV1290" s="332"/>
      <c r="CW1290" s="332"/>
      <c r="CX1290" s="332"/>
      <c r="CY1290" s="332"/>
      <c r="CZ1290" s="332"/>
      <c r="DA1290" s="332"/>
      <c r="DB1290" s="332"/>
      <c r="DC1290" s="332"/>
      <c r="DD1290" s="332"/>
      <c r="DE1290" s="332"/>
      <c r="DF1290" s="332"/>
      <c r="DG1290" s="332"/>
      <c r="DH1290" s="332"/>
      <c r="DI1290" s="332"/>
      <c r="DJ1290" s="332"/>
      <c r="DK1290" s="332"/>
      <c r="DL1290" s="332"/>
      <c r="DM1290" s="332"/>
      <c r="DN1290" s="332"/>
      <c r="DO1290" s="332"/>
      <c r="DP1290" s="332"/>
      <c r="DQ1290" s="332"/>
      <c r="DR1290" s="332"/>
      <c r="DS1290" s="332"/>
      <c r="DT1290" s="332"/>
      <c r="DU1290" s="453"/>
      <c r="DV1290" s="453"/>
      <c r="DW1290" s="453"/>
      <c r="DX1290" s="453"/>
      <c r="DY1290" s="453"/>
      <c r="DZ1290" s="453"/>
      <c r="EA1290" s="453"/>
      <c r="EB1290" s="453"/>
      <c r="EC1290" s="453"/>
      <c r="ED1290" s="453"/>
      <c r="EE1290" s="453"/>
      <c r="EF1290" s="453"/>
      <c r="EG1290" s="453"/>
      <c r="EH1290" s="453"/>
      <c r="EI1290" s="453"/>
      <c r="EJ1290" s="453"/>
      <c r="EK1290" s="453"/>
      <c r="EL1290" s="453"/>
      <c r="EM1290" s="483">
        <f t="shared" si="257"/>
        <v>981</v>
      </c>
      <c r="EN1290" s="485"/>
      <c r="EO1290" s="458"/>
      <c r="EP1290" s="467"/>
      <c r="EQ1290" s="457"/>
      <c r="ER1290" s="808"/>
      <c r="ES1290" s="881">
        <f t="shared" si="260"/>
        <v>0</v>
      </c>
      <c r="ET1290" s="882"/>
      <c r="EU1290" s="883"/>
      <c r="EV1290" s="884">
        <f t="shared" si="261"/>
        <v>0</v>
      </c>
      <c r="EW1290" s="885"/>
      <c r="EX1290" s="885"/>
      <c r="EY1290" s="885"/>
      <c r="EZ1290" s="885"/>
      <c r="FA1290" s="885"/>
      <c r="FB1290" s="885"/>
      <c r="FC1290" s="885"/>
      <c r="FD1290" s="886"/>
      <c r="FE1290" s="877"/>
      <c r="FF1290" s="877"/>
      <c r="FG1290" s="877"/>
      <c r="FH1290" s="877"/>
      <c r="FI1290" s="877"/>
      <c r="FJ1290" s="877"/>
      <c r="FK1290" s="877"/>
      <c r="FL1290" s="874"/>
      <c r="FM1290" s="875"/>
      <c r="FN1290" s="875"/>
      <c r="FO1290" s="875"/>
      <c r="FP1290" s="875"/>
      <c r="FQ1290" s="875"/>
      <c r="FR1290" s="875"/>
      <c r="FS1290" s="875"/>
      <c r="FT1290" s="875"/>
      <c r="FU1290" s="875"/>
      <c r="FV1290" s="875"/>
      <c r="FW1290" s="875"/>
      <c r="FX1290" s="875"/>
      <c r="FY1290" s="875"/>
      <c r="FZ1290" s="875"/>
      <c r="GA1290" s="875"/>
      <c r="GB1290" s="876"/>
      <c r="GC1290" s="370"/>
      <c r="GD1290" s="453"/>
      <c r="GE1290" s="453"/>
      <c r="GF1290" s="453"/>
      <c r="GG1290" s="453"/>
      <c r="GH1290" s="454"/>
      <c r="GI1290" s="453"/>
      <c r="GJ1290" s="453"/>
      <c r="GK1290" s="453"/>
      <c r="GL1290" s="453"/>
      <c r="GM1290" s="453"/>
      <c r="GN1290" s="453"/>
      <c r="GO1290" s="453"/>
      <c r="GP1290" s="453"/>
      <c r="GQ1290" s="453"/>
      <c r="GR1290" s="453"/>
      <c r="GS1290" s="561"/>
      <c r="GT1290" s="475"/>
      <c r="GU1290" s="472"/>
      <c r="GV1290" s="453"/>
      <c r="GW1290" s="453"/>
      <c r="GX1290" s="869"/>
      <c r="GY1290" s="870"/>
      <c r="GZ1290" s="867"/>
      <c r="HA1290" s="868"/>
      <c r="HB1290" s="473"/>
      <c r="HC1290" s="869"/>
      <c r="HD1290" s="870"/>
      <c r="HE1290" s="867"/>
      <c r="HF1290" s="868"/>
      <c r="HG1290" s="473"/>
      <c r="HH1290" s="867"/>
      <c r="HI1290" s="868"/>
      <c r="HJ1290" s="867"/>
      <c r="HK1290" s="868"/>
      <c r="HL1290" s="370"/>
      <c r="HM1290" s="865"/>
      <c r="HN1290" s="866"/>
      <c r="HO1290" s="865"/>
      <c r="HP1290" s="866"/>
      <c r="HQ1290" s="865"/>
      <c r="HR1290" s="866"/>
      <c r="HS1290" s="867"/>
      <c r="HT1290" s="868"/>
      <c r="HU1290" s="489"/>
      <c r="HV1290" s="865"/>
      <c r="HW1290" s="866"/>
    </row>
    <row r="1291" spans="25:231" ht="15" customHeight="1">
      <c r="Y1291" s="332"/>
      <c r="Z1291" s="332"/>
      <c r="AA1291" s="332"/>
      <c r="AB1291" s="332"/>
      <c r="AC1291" s="332"/>
      <c r="AD1291" s="332"/>
      <c r="AE1291" s="332"/>
      <c r="AF1291" s="332"/>
      <c r="AG1291" s="332"/>
      <c r="AH1291" s="332"/>
      <c r="AI1291" s="332"/>
      <c r="AJ1291" s="332"/>
      <c r="AK1291" s="332"/>
      <c r="AL1291" s="332"/>
      <c r="AM1291" s="332"/>
      <c r="AN1291" s="332"/>
      <c r="AO1291" s="332"/>
      <c r="AP1291" s="332"/>
      <c r="AQ1291" s="332"/>
      <c r="AR1291" s="332"/>
      <c r="AS1291" s="332"/>
      <c r="AT1291" s="332"/>
      <c r="AU1291" s="332"/>
      <c r="AV1291" s="332"/>
      <c r="AW1291" s="332"/>
      <c r="AX1291" s="332"/>
      <c r="AY1291" s="332"/>
      <c r="AZ1291" s="332"/>
      <c r="BA1291" s="332"/>
      <c r="BB1291" s="332"/>
      <c r="BC1291" s="332"/>
      <c r="BD1291" s="332"/>
      <c r="BE1291" s="332"/>
      <c r="BF1291" s="332"/>
      <c r="BG1291" s="332"/>
      <c r="BH1291" s="332"/>
      <c r="BI1291" s="332"/>
      <c r="BJ1291" s="332"/>
      <c r="BK1291" s="332"/>
      <c r="BL1291" s="332"/>
      <c r="BM1291" s="332"/>
      <c r="BN1291" s="332"/>
      <c r="BO1291" s="332"/>
      <c r="BP1291" s="332"/>
      <c r="BQ1291" s="332"/>
      <c r="BR1291" s="332"/>
      <c r="BS1291" s="332"/>
      <c r="BT1291" s="332"/>
      <c r="BU1291" s="332"/>
      <c r="BV1291" s="332"/>
      <c r="BW1291" s="332"/>
      <c r="BX1291" s="332"/>
      <c r="BY1291" s="332"/>
      <c r="BZ1291" s="332"/>
      <c r="CA1291" s="332"/>
      <c r="CB1291" s="332"/>
      <c r="CC1291" s="332"/>
      <c r="CD1291" s="332"/>
      <c r="CE1291" s="332"/>
      <c r="CF1291" s="332"/>
      <c r="CG1291" s="332"/>
      <c r="CH1291" s="332"/>
      <c r="CI1291" s="332"/>
      <c r="CJ1291" s="332"/>
      <c r="CK1291" s="332"/>
      <c r="CL1291" s="332"/>
      <c r="CM1291" s="332"/>
      <c r="CN1291" s="332"/>
      <c r="CO1291" s="332"/>
      <c r="CP1291" s="332"/>
      <c r="CQ1291" s="332"/>
      <c r="CR1291" s="332"/>
      <c r="CS1291" s="332"/>
      <c r="CT1291" s="332"/>
      <c r="CU1291" s="332"/>
      <c r="CV1291" s="332"/>
      <c r="CW1291" s="332"/>
      <c r="CX1291" s="332"/>
      <c r="CY1291" s="332"/>
      <c r="CZ1291" s="332"/>
      <c r="DA1291" s="332"/>
      <c r="DB1291" s="332"/>
      <c r="DC1291" s="332"/>
      <c r="DD1291" s="332"/>
      <c r="DE1291" s="332"/>
      <c r="DF1291" s="332"/>
      <c r="DG1291" s="332"/>
      <c r="DH1291" s="332"/>
      <c r="DI1291" s="332"/>
      <c r="DJ1291" s="332"/>
      <c r="DK1291" s="332"/>
      <c r="DL1291" s="332"/>
      <c r="DM1291" s="332"/>
      <c r="DN1291" s="332"/>
      <c r="DO1291" s="332"/>
      <c r="DP1291" s="332"/>
      <c r="DQ1291" s="332"/>
      <c r="DR1291" s="332"/>
      <c r="DS1291" s="332"/>
      <c r="DT1291" s="332"/>
      <c r="DU1291" s="453"/>
      <c r="DV1291" s="453"/>
      <c r="DW1291" s="453"/>
      <c r="DX1291" s="453"/>
      <c r="DY1291" s="453"/>
      <c r="DZ1291" s="453"/>
      <c r="EA1291" s="453"/>
      <c r="EB1291" s="453"/>
      <c r="EC1291" s="453"/>
      <c r="ED1291" s="453"/>
      <c r="EE1291" s="453"/>
      <c r="EF1291" s="453"/>
      <c r="EG1291" s="453"/>
      <c r="EH1291" s="453"/>
      <c r="EI1291" s="453"/>
      <c r="EJ1291" s="453"/>
      <c r="EK1291" s="453"/>
      <c r="EL1291" s="453"/>
      <c r="EM1291" s="483">
        <f t="shared" si="257"/>
        <v>982</v>
      </c>
      <c r="EN1291" s="485"/>
      <c r="EO1291" s="458"/>
      <c r="EP1291" s="467"/>
      <c r="EQ1291" s="457"/>
      <c r="ER1291" s="808"/>
      <c r="ES1291" s="881">
        <f t="shared" si="260"/>
        <v>0</v>
      </c>
      <c r="ET1291" s="882"/>
      <c r="EU1291" s="883"/>
      <c r="EV1291" s="884">
        <f t="shared" si="261"/>
        <v>0</v>
      </c>
      <c r="EW1291" s="885"/>
      <c r="EX1291" s="885"/>
      <c r="EY1291" s="885"/>
      <c r="EZ1291" s="885"/>
      <c r="FA1291" s="885"/>
      <c r="FB1291" s="885"/>
      <c r="FC1291" s="885"/>
      <c r="FD1291" s="886"/>
      <c r="FE1291" s="877"/>
      <c r="FF1291" s="877"/>
      <c r="FG1291" s="877"/>
      <c r="FH1291" s="877"/>
      <c r="FI1291" s="877"/>
      <c r="FJ1291" s="877"/>
      <c r="FK1291" s="877"/>
      <c r="FL1291" s="874"/>
      <c r="FM1291" s="875"/>
      <c r="FN1291" s="875"/>
      <c r="FO1291" s="875"/>
      <c r="FP1291" s="875"/>
      <c r="FQ1291" s="875"/>
      <c r="FR1291" s="875"/>
      <c r="FS1291" s="875"/>
      <c r="FT1291" s="875"/>
      <c r="FU1291" s="875"/>
      <c r="FV1291" s="875"/>
      <c r="FW1291" s="875"/>
      <c r="FX1291" s="875"/>
      <c r="FY1291" s="875"/>
      <c r="FZ1291" s="875"/>
      <c r="GA1291" s="875"/>
      <c r="GB1291" s="876"/>
      <c r="GC1291" s="370"/>
      <c r="GD1291" s="453"/>
      <c r="GE1291" s="453"/>
      <c r="GF1291" s="453"/>
      <c r="GG1291" s="453"/>
      <c r="GH1291" s="454"/>
      <c r="GI1291" s="453"/>
      <c r="GJ1291" s="453"/>
      <c r="GK1291" s="453"/>
      <c r="GL1291" s="453"/>
      <c r="GM1291" s="453"/>
      <c r="GN1291" s="453"/>
      <c r="GO1291" s="453"/>
      <c r="GP1291" s="453"/>
      <c r="GQ1291" s="453"/>
      <c r="GR1291" s="453"/>
      <c r="GS1291" s="561"/>
      <c r="GT1291" s="475"/>
      <c r="GU1291" s="472"/>
      <c r="GV1291" s="453"/>
      <c r="GW1291" s="453"/>
      <c r="GX1291" s="869"/>
      <c r="GY1291" s="870"/>
      <c r="GZ1291" s="867"/>
      <c r="HA1291" s="868"/>
      <c r="HB1291" s="473"/>
      <c r="HC1291" s="869"/>
      <c r="HD1291" s="870"/>
      <c r="HE1291" s="867"/>
      <c r="HF1291" s="868"/>
      <c r="HG1291" s="473"/>
      <c r="HH1291" s="867"/>
      <c r="HI1291" s="868"/>
      <c r="HJ1291" s="867"/>
      <c r="HK1291" s="868"/>
      <c r="HL1291" s="370"/>
      <c r="HM1291" s="865"/>
      <c r="HN1291" s="866"/>
      <c r="HO1291" s="865"/>
      <c r="HP1291" s="866"/>
      <c r="HQ1291" s="865"/>
      <c r="HR1291" s="866"/>
      <c r="HS1291" s="867"/>
      <c r="HT1291" s="868"/>
      <c r="HU1291" s="489"/>
      <c r="HV1291" s="865"/>
      <c r="HW1291" s="866"/>
    </row>
    <row r="1292" spans="25:231" ht="15" customHeight="1">
      <c r="Y1292" s="332"/>
      <c r="Z1292" s="332"/>
      <c r="AA1292" s="332"/>
      <c r="AB1292" s="332"/>
      <c r="AC1292" s="332"/>
      <c r="AD1292" s="332"/>
      <c r="AE1292" s="332"/>
      <c r="AF1292" s="332"/>
      <c r="AG1292" s="332"/>
      <c r="AH1292" s="332"/>
      <c r="AI1292" s="332"/>
      <c r="AJ1292" s="332"/>
      <c r="AK1292" s="332"/>
      <c r="AL1292" s="332"/>
      <c r="AM1292" s="332"/>
      <c r="AN1292" s="332"/>
      <c r="AO1292" s="332"/>
      <c r="AP1292" s="332"/>
      <c r="AQ1292" s="332"/>
      <c r="AR1292" s="332"/>
      <c r="AS1292" s="332"/>
      <c r="AT1292" s="332"/>
      <c r="AU1292" s="332"/>
      <c r="AV1292" s="332"/>
      <c r="AW1292" s="332"/>
      <c r="AX1292" s="332"/>
      <c r="AY1292" s="332"/>
      <c r="AZ1292" s="332"/>
      <c r="BA1292" s="332"/>
      <c r="BB1292" s="332"/>
      <c r="BC1292" s="332"/>
      <c r="BD1292" s="332"/>
      <c r="BE1292" s="332"/>
      <c r="BF1292" s="332"/>
      <c r="BG1292" s="332"/>
      <c r="BH1292" s="332"/>
      <c r="BI1292" s="332"/>
      <c r="BJ1292" s="332"/>
      <c r="BK1292" s="332"/>
      <c r="BL1292" s="332"/>
      <c r="BM1292" s="332"/>
      <c r="BN1292" s="332"/>
      <c r="BO1292" s="332"/>
      <c r="BP1292" s="332"/>
      <c r="BQ1292" s="332"/>
      <c r="BR1292" s="332"/>
      <c r="BS1292" s="332"/>
      <c r="BT1292" s="332"/>
      <c r="BU1292" s="332"/>
      <c r="BV1292" s="332"/>
      <c r="BW1292" s="332"/>
      <c r="BX1292" s="332"/>
      <c r="BY1292" s="332"/>
      <c r="BZ1292" s="332"/>
      <c r="CA1292" s="332"/>
      <c r="CB1292" s="332"/>
      <c r="CC1292" s="332"/>
      <c r="CD1292" s="332"/>
      <c r="CE1292" s="332"/>
      <c r="CF1292" s="332"/>
      <c r="CG1292" s="332"/>
      <c r="CH1292" s="332"/>
      <c r="CI1292" s="332"/>
      <c r="CJ1292" s="332"/>
      <c r="CK1292" s="332"/>
      <c r="CL1292" s="332"/>
      <c r="CM1292" s="332"/>
      <c r="CN1292" s="332"/>
      <c r="CO1292" s="332"/>
      <c r="CP1292" s="332"/>
      <c r="CQ1292" s="332"/>
      <c r="CR1292" s="332"/>
      <c r="CS1292" s="332"/>
      <c r="CT1292" s="332"/>
      <c r="CU1292" s="332"/>
      <c r="CV1292" s="332"/>
      <c r="CW1292" s="332"/>
      <c r="CX1292" s="332"/>
      <c r="CY1292" s="332"/>
      <c r="CZ1292" s="332"/>
      <c r="DA1292" s="332"/>
      <c r="DB1292" s="332"/>
      <c r="DC1292" s="332"/>
      <c r="DD1292" s="332"/>
      <c r="DE1292" s="332"/>
      <c r="DF1292" s="332"/>
      <c r="DG1292" s="332"/>
      <c r="DH1292" s="332"/>
      <c r="DI1292" s="332"/>
      <c r="DJ1292" s="332"/>
      <c r="DK1292" s="332"/>
      <c r="DL1292" s="332"/>
      <c r="DM1292" s="332"/>
      <c r="DN1292" s="332"/>
      <c r="DO1292" s="332"/>
      <c r="DP1292" s="332"/>
      <c r="DQ1292" s="332"/>
      <c r="DR1292" s="332"/>
      <c r="DS1292" s="332"/>
      <c r="DT1292" s="332"/>
      <c r="DU1292" s="453"/>
      <c r="DV1292" s="453"/>
      <c r="DW1292" s="453"/>
      <c r="DX1292" s="453"/>
      <c r="DY1292" s="453"/>
      <c r="DZ1292" s="453"/>
      <c r="EA1292" s="453"/>
      <c r="EB1292" s="453"/>
      <c r="EC1292" s="453"/>
      <c r="ED1292" s="453"/>
      <c r="EE1292" s="453"/>
      <c r="EF1292" s="453"/>
      <c r="EG1292" s="453"/>
      <c r="EH1292" s="453"/>
      <c r="EI1292" s="453"/>
      <c r="EJ1292" s="453"/>
      <c r="EK1292" s="453"/>
      <c r="EL1292" s="453"/>
      <c r="EM1292" s="483">
        <f t="shared" si="257"/>
        <v>983</v>
      </c>
      <c r="EN1292" s="485"/>
      <c r="EO1292" s="458"/>
      <c r="EP1292" s="467"/>
      <c r="EQ1292" s="457"/>
      <c r="ER1292" s="808"/>
      <c r="ES1292" s="881">
        <f t="shared" si="260"/>
        <v>0</v>
      </c>
      <c r="ET1292" s="882"/>
      <c r="EU1292" s="883"/>
      <c r="EV1292" s="884">
        <f t="shared" si="261"/>
        <v>0</v>
      </c>
      <c r="EW1292" s="885"/>
      <c r="EX1292" s="885"/>
      <c r="EY1292" s="885"/>
      <c r="EZ1292" s="885"/>
      <c r="FA1292" s="885"/>
      <c r="FB1292" s="885"/>
      <c r="FC1292" s="885"/>
      <c r="FD1292" s="886"/>
      <c r="FE1292" s="877"/>
      <c r="FF1292" s="877"/>
      <c r="FG1292" s="877"/>
      <c r="FH1292" s="877"/>
      <c r="FI1292" s="877"/>
      <c r="FJ1292" s="877"/>
      <c r="FK1292" s="877"/>
      <c r="FL1292" s="874"/>
      <c r="FM1292" s="875"/>
      <c r="FN1292" s="875"/>
      <c r="FO1292" s="875"/>
      <c r="FP1292" s="875"/>
      <c r="FQ1292" s="875"/>
      <c r="FR1292" s="875"/>
      <c r="FS1292" s="875"/>
      <c r="FT1292" s="875"/>
      <c r="FU1292" s="875"/>
      <c r="FV1292" s="875"/>
      <c r="FW1292" s="875"/>
      <c r="FX1292" s="875"/>
      <c r="FY1292" s="875"/>
      <c r="FZ1292" s="875"/>
      <c r="GA1292" s="875"/>
      <c r="GB1292" s="876"/>
      <c r="GC1292" s="370"/>
      <c r="GD1292" s="453"/>
      <c r="GE1292" s="453"/>
      <c r="GF1292" s="453"/>
      <c r="GG1292" s="453"/>
      <c r="GH1292" s="454"/>
      <c r="GI1292" s="453"/>
      <c r="GJ1292" s="453"/>
      <c r="GK1292" s="453"/>
      <c r="GL1292" s="453"/>
      <c r="GM1292" s="453"/>
      <c r="GN1292" s="453"/>
      <c r="GO1292" s="453"/>
      <c r="GP1292" s="453"/>
      <c r="GQ1292" s="453"/>
      <c r="GR1292" s="453"/>
      <c r="GS1292" s="561"/>
      <c r="GT1292" s="475"/>
      <c r="GU1292" s="472"/>
      <c r="GV1292" s="453"/>
      <c r="GW1292" s="453"/>
      <c r="GX1292" s="869"/>
      <c r="GY1292" s="870"/>
      <c r="GZ1292" s="867"/>
      <c r="HA1292" s="868"/>
      <c r="HB1292" s="473"/>
      <c r="HC1292" s="869"/>
      <c r="HD1292" s="870"/>
      <c r="HE1292" s="867"/>
      <c r="HF1292" s="868"/>
      <c r="HG1292" s="473"/>
      <c r="HH1292" s="867"/>
      <c r="HI1292" s="868"/>
      <c r="HJ1292" s="867"/>
      <c r="HK1292" s="868"/>
      <c r="HL1292" s="370"/>
      <c r="HM1292" s="865"/>
      <c r="HN1292" s="866"/>
      <c r="HO1292" s="865"/>
      <c r="HP1292" s="866"/>
      <c r="HQ1292" s="865"/>
      <c r="HR1292" s="866"/>
      <c r="HS1292" s="867"/>
      <c r="HT1292" s="868"/>
      <c r="HU1292" s="489"/>
      <c r="HV1292" s="865"/>
      <c r="HW1292" s="866"/>
    </row>
    <row r="1293" spans="25:231" ht="15" customHeight="1">
      <c r="Y1293" s="332"/>
      <c r="Z1293" s="332"/>
      <c r="AA1293" s="332"/>
      <c r="AB1293" s="332"/>
      <c r="AC1293" s="332"/>
      <c r="AD1293" s="332"/>
      <c r="AE1293" s="332"/>
      <c r="AF1293" s="332"/>
      <c r="AG1293" s="332"/>
      <c r="AH1293" s="332"/>
      <c r="AI1293" s="332"/>
      <c r="AJ1293" s="332"/>
      <c r="AK1293" s="332"/>
      <c r="AL1293" s="332"/>
      <c r="AM1293" s="332"/>
      <c r="AN1293" s="332"/>
      <c r="AO1293" s="332"/>
      <c r="AP1293" s="332"/>
      <c r="AQ1293" s="332"/>
      <c r="AR1293" s="332"/>
      <c r="AS1293" s="332"/>
      <c r="AT1293" s="332"/>
      <c r="AU1293" s="332"/>
      <c r="AV1293" s="332"/>
      <c r="AW1293" s="332"/>
      <c r="AX1293" s="332"/>
      <c r="AY1293" s="332"/>
      <c r="AZ1293" s="332"/>
      <c r="BA1293" s="332"/>
      <c r="BB1293" s="332"/>
      <c r="BC1293" s="332"/>
      <c r="BD1293" s="332"/>
      <c r="BE1293" s="332"/>
      <c r="BF1293" s="332"/>
      <c r="BG1293" s="332"/>
      <c r="BH1293" s="332"/>
      <c r="BI1293" s="332"/>
      <c r="BJ1293" s="332"/>
      <c r="BK1293" s="332"/>
      <c r="BL1293" s="332"/>
      <c r="BM1293" s="332"/>
      <c r="BN1293" s="332"/>
      <c r="BO1293" s="332"/>
      <c r="BP1293" s="332"/>
      <c r="BQ1293" s="332"/>
      <c r="BR1293" s="332"/>
      <c r="BS1293" s="332"/>
      <c r="BT1293" s="332"/>
      <c r="BU1293" s="332"/>
      <c r="BV1293" s="332"/>
      <c r="BW1293" s="332"/>
      <c r="BX1293" s="332"/>
      <c r="BY1293" s="332"/>
      <c r="BZ1293" s="332"/>
      <c r="CA1293" s="332"/>
      <c r="CB1293" s="332"/>
      <c r="CC1293" s="332"/>
      <c r="CD1293" s="332"/>
      <c r="CE1293" s="332"/>
      <c r="CF1293" s="332"/>
      <c r="CG1293" s="332"/>
      <c r="CH1293" s="332"/>
      <c r="CI1293" s="332"/>
      <c r="CJ1293" s="332"/>
      <c r="CK1293" s="332"/>
      <c r="CL1293" s="332"/>
      <c r="CM1293" s="332"/>
      <c r="CN1293" s="332"/>
      <c r="CO1293" s="332"/>
      <c r="CP1293" s="332"/>
      <c r="CQ1293" s="332"/>
      <c r="CR1293" s="332"/>
      <c r="CS1293" s="332"/>
      <c r="CT1293" s="332"/>
      <c r="CU1293" s="332"/>
      <c r="CV1293" s="332"/>
      <c r="CW1293" s="332"/>
      <c r="CX1293" s="332"/>
      <c r="CY1293" s="332"/>
      <c r="CZ1293" s="332"/>
      <c r="DA1293" s="332"/>
      <c r="DB1293" s="332"/>
      <c r="DC1293" s="332"/>
      <c r="DD1293" s="332"/>
      <c r="DE1293" s="332"/>
      <c r="DF1293" s="332"/>
      <c r="DG1293" s="332"/>
      <c r="DH1293" s="332"/>
      <c r="DI1293" s="332"/>
      <c r="DJ1293" s="332"/>
      <c r="DK1293" s="332"/>
      <c r="DL1293" s="332"/>
      <c r="DM1293" s="332"/>
      <c r="DN1293" s="332"/>
      <c r="DO1293" s="332"/>
      <c r="DP1293" s="332"/>
      <c r="DQ1293" s="332"/>
      <c r="DR1293" s="332"/>
      <c r="DS1293" s="332"/>
      <c r="DT1293" s="332"/>
      <c r="DU1293" s="453"/>
      <c r="DV1293" s="453"/>
      <c r="DW1293" s="453"/>
      <c r="DX1293" s="453"/>
      <c r="DY1293" s="453"/>
      <c r="DZ1293" s="453"/>
      <c r="EA1293" s="453"/>
      <c r="EB1293" s="453"/>
      <c r="EC1293" s="453"/>
      <c r="ED1293" s="453"/>
      <c r="EE1293" s="453"/>
      <c r="EF1293" s="453"/>
      <c r="EG1293" s="453"/>
      <c r="EH1293" s="453"/>
      <c r="EI1293" s="453"/>
      <c r="EJ1293" s="453"/>
      <c r="EK1293" s="453"/>
      <c r="EL1293" s="453"/>
      <c r="EM1293" s="483">
        <f t="shared" si="257"/>
        <v>984</v>
      </c>
      <c r="EN1293" s="485"/>
      <c r="EO1293" s="458"/>
      <c r="EP1293" s="467"/>
      <c r="EQ1293" s="457"/>
      <c r="ER1293" s="808"/>
      <c r="ES1293" s="881">
        <f t="shared" si="260"/>
        <v>0</v>
      </c>
      <c r="ET1293" s="882"/>
      <c r="EU1293" s="883"/>
      <c r="EV1293" s="884">
        <f t="shared" si="261"/>
        <v>0</v>
      </c>
      <c r="EW1293" s="885"/>
      <c r="EX1293" s="885"/>
      <c r="EY1293" s="885"/>
      <c r="EZ1293" s="885"/>
      <c r="FA1293" s="885"/>
      <c r="FB1293" s="885"/>
      <c r="FC1293" s="885"/>
      <c r="FD1293" s="886"/>
      <c r="FE1293" s="877"/>
      <c r="FF1293" s="877"/>
      <c r="FG1293" s="877"/>
      <c r="FH1293" s="877"/>
      <c r="FI1293" s="877"/>
      <c r="FJ1293" s="877"/>
      <c r="FK1293" s="877"/>
      <c r="FL1293" s="874"/>
      <c r="FM1293" s="875"/>
      <c r="FN1293" s="875"/>
      <c r="FO1293" s="875"/>
      <c r="FP1293" s="875"/>
      <c r="FQ1293" s="875"/>
      <c r="FR1293" s="875"/>
      <c r="FS1293" s="875"/>
      <c r="FT1293" s="875"/>
      <c r="FU1293" s="875"/>
      <c r="FV1293" s="875"/>
      <c r="FW1293" s="875"/>
      <c r="FX1293" s="875"/>
      <c r="FY1293" s="875"/>
      <c r="FZ1293" s="875"/>
      <c r="GA1293" s="875"/>
      <c r="GB1293" s="876"/>
      <c r="GC1293" s="370"/>
      <c r="GD1293" s="453"/>
      <c r="GE1293" s="453"/>
      <c r="GF1293" s="453"/>
      <c r="GG1293" s="453"/>
      <c r="GH1293" s="454"/>
      <c r="GI1293" s="453"/>
      <c r="GJ1293" s="453"/>
      <c r="GK1293" s="453"/>
      <c r="GL1293" s="453"/>
      <c r="GM1293" s="453"/>
      <c r="GN1293" s="453"/>
      <c r="GO1293" s="453"/>
      <c r="GP1293" s="453"/>
      <c r="GQ1293" s="453"/>
      <c r="GR1293" s="453"/>
      <c r="GS1293" s="561"/>
      <c r="GT1293" s="475"/>
      <c r="GU1293" s="472"/>
      <c r="GV1293" s="453"/>
      <c r="GW1293" s="453"/>
      <c r="GX1293" s="869"/>
      <c r="GY1293" s="870"/>
      <c r="GZ1293" s="867"/>
      <c r="HA1293" s="868"/>
      <c r="HB1293" s="473"/>
      <c r="HC1293" s="869"/>
      <c r="HD1293" s="870"/>
      <c r="HE1293" s="867"/>
      <c r="HF1293" s="868"/>
      <c r="HG1293" s="473"/>
      <c r="HH1293" s="867"/>
      <c r="HI1293" s="868"/>
      <c r="HJ1293" s="867"/>
      <c r="HK1293" s="868"/>
      <c r="HL1293" s="370"/>
      <c r="HM1293" s="865"/>
      <c r="HN1293" s="866"/>
      <c r="HO1293" s="865"/>
      <c r="HP1293" s="866"/>
      <c r="HQ1293" s="865"/>
      <c r="HR1293" s="866"/>
      <c r="HS1293" s="867"/>
      <c r="HT1293" s="868"/>
      <c r="HU1293" s="489"/>
      <c r="HV1293" s="865"/>
      <c r="HW1293" s="866"/>
    </row>
    <row r="1294" spans="25:231" ht="15" customHeight="1">
      <c r="Y1294" s="332"/>
      <c r="Z1294" s="332"/>
      <c r="AA1294" s="332"/>
      <c r="AB1294" s="332"/>
      <c r="AC1294" s="332"/>
      <c r="AD1294" s="332"/>
      <c r="AE1294" s="332"/>
      <c r="AF1294" s="332"/>
      <c r="AG1294" s="332"/>
      <c r="AH1294" s="332"/>
      <c r="AI1294" s="332"/>
      <c r="AJ1294" s="332"/>
      <c r="AK1294" s="332"/>
      <c r="AL1294" s="332"/>
      <c r="AM1294" s="332"/>
      <c r="AN1294" s="332"/>
      <c r="AO1294" s="332"/>
      <c r="AP1294" s="332"/>
      <c r="AQ1294" s="332"/>
      <c r="AR1294" s="332"/>
      <c r="AS1294" s="332"/>
      <c r="AT1294" s="332"/>
      <c r="AU1294" s="332"/>
      <c r="AV1294" s="332"/>
      <c r="AW1294" s="332"/>
      <c r="AX1294" s="332"/>
      <c r="AY1294" s="332"/>
      <c r="AZ1294" s="332"/>
      <c r="BA1294" s="332"/>
      <c r="BB1294" s="332"/>
      <c r="BC1294" s="332"/>
      <c r="BD1294" s="332"/>
      <c r="BE1294" s="332"/>
      <c r="BF1294" s="332"/>
      <c r="BG1294" s="332"/>
      <c r="BH1294" s="332"/>
      <c r="BI1294" s="332"/>
      <c r="BJ1294" s="332"/>
      <c r="BK1294" s="332"/>
      <c r="BL1294" s="332"/>
      <c r="BM1294" s="332"/>
      <c r="BN1294" s="332"/>
      <c r="BO1294" s="332"/>
      <c r="BP1294" s="332"/>
      <c r="BQ1294" s="332"/>
      <c r="BR1294" s="332"/>
      <c r="BS1294" s="332"/>
      <c r="BT1294" s="332"/>
      <c r="BU1294" s="332"/>
      <c r="BV1294" s="332"/>
      <c r="BW1294" s="332"/>
      <c r="BX1294" s="332"/>
      <c r="BY1294" s="332"/>
      <c r="BZ1294" s="332"/>
      <c r="CA1294" s="332"/>
      <c r="CB1294" s="332"/>
      <c r="CC1294" s="332"/>
      <c r="CD1294" s="332"/>
      <c r="CE1294" s="332"/>
      <c r="CF1294" s="332"/>
      <c r="CG1294" s="332"/>
      <c r="CH1294" s="332"/>
      <c r="CI1294" s="332"/>
      <c r="CJ1294" s="332"/>
      <c r="CK1294" s="332"/>
      <c r="CL1294" s="332"/>
      <c r="CM1294" s="332"/>
      <c r="CN1294" s="332"/>
      <c r="CO1294" s="332"/>
      <c r="CP1294" s="332"/>
      <c r="CQ1294" s="332"/>
      <c r="CR1294" s="332"/>
      <c r="CS1294" s="332"/>
      <c r="CT1294" s="332"/>
      <c r="CU1294" s="332"/>
      <c r="CV1294" s="332"/>
      <c r="CW1294" s="332"/>
      <c r="CX1294" s="332"/>
      <c r="CY1294" s="332"/>
      <c r="CZ1294" s="332"/>
      <c r="DA1294" s="332"/>
      <c r="DB1294" s="332"/>
      <c r="DC1294" s="332"/>
      <c r="DD1294" s="332"/>
      <c r="DE1294" s="332"/>
      <c r="DF1294" s="332"/>
      <c r="DG1294" s="332"/>
      <c r="DH1294" s="332"/>
      <c r="DI1294" s="332"/>
      <c r="DJ1294" s="332"/>
      <c r="DK1294" s="332"/>
      <c r="DL1294" s="332"/>
      <c r="DM1294" s="332"/>
      <c r="DN1294" s="332"/>
      <c r="DO1294" s="332"/>
      <c r="DP1294" s="332"/>
      <c r="DQ1294" s="332"/>
      <c r="DR1294" s="332"/>
      <c r="DS1294" s="332"/>
      <c r="DT1294" s="332"/>
      <c r="DU1294" s="453"/>
      <c r="DV1294" s="453"/>
      <c r="DW1294" s="453"/>
      <c r="DX1294" s="453"/>
      <c r="DY1294" s="453"/>
      <c r="DZ1294" s="453"/>
      <c r="EA1294" s="453"/>
      <c r="EB1294" s="453"/>
      <c r="EC1294" s="453"/>
      <c r="ED1294" s="453"/>
      <c r="EE1294" s="453"/>
      <c r="EF1294" s="453"/>
      <c r="EG1294" s="453"/>
      <c r="EH1294" s="453"/>
      <c r="EI1294" s="453"/>
      <c r="EJ1294" s="453"/>
      <c r="EK1294" s="453"/>
      <c r="EL1294" s="453"/>
      <c r="EM1294" s="483">
        <f t="shared" si="257"/>
        <v>985</v>
      </c>
      <c r="EN1294" s="485"/>
      <c r="EO1294" s="458"/>
      <c r="EP1294" s="467"/>
      <c r="EQ1294" s="457"/>
      <c r="ER1294" s="808"/>
      <c r="ES1294" s="881">
        <f t="shared" si="260"/>
        <v>0</v>
      </c>
      <c r="ET1294" s="882"/>
      <c r="EU1294" s="883"/>
      <c r="EV1294" s="884">
        <f t="shared" si="261"/>
        <v>0</v>
      </c>
      <c r="EW1294" s="885"/>
      <c r="EX1294" s="885"/>
      <c r="EY1294" s="885"/>
      <c r="EZ1294" s="885"/>
      <c r="FA1294" s="885"/>
      <c r="FB1294" s="885"/>
      <c r="FC1294" s="885"/>
      <c r="FD1294" s="886"/>
      <c r="FE1294" s="877"/>
      <c r="FF1294" s="877"/>
      <c r="FG1294" s="877"/>
      <c r="FH1294" s="877"/>
      <c r="FI1294" s="877"/>
      <c r="FJ1294" s="877"/>
      <c r="FK1294" s="877"/>
      <c r="FL1294" s="874"/>
      <c r="FM1294" s="875"/>
      <c r="FN1294" s="875"/>
      <c r="FO1294" s="875"/>
      <c r="FP1294" s="875"/>
      <c r="FQ1294" s="875"/>
      <c r="FR1294" s="875"/>
      <c r="FS1294" s="875"/>
      <c r="FT1294" s="875"/>
      <c r="FU1294" s="875"/>
      <c r="FV1294" s="875"/>
      <c r="FW1294" s="875"/>
      <c r="FX1294" s="875"/>
      <c r="FY1294" s="875"/>
      <c r="FZ1294" s="875"/>
      <c r="GA1294" s="875"/>
      <c r="GB1294" s="876"/>
      <c r="GC1294" s="370"/>
      <c r="GD1294" s="453"/>
      <c r="GE1294" s="453"/>
      <c r="GF1294" s="453"/>
      <c r="GG1294" s="453"/>
      <c r="GH1294" s="454"/>
      <c r="GI1294" s="453"/>
      <c r="GJ1294" s="453"/>
      <c r="GK1294" s="453"/>
      <c r="GL1294" s="453"/>
      <c r="GM1294" s="453"/>
      <c r="GN1294" s="453"/>
      <c r="GO1294" s="453"/>
      <c r="GP1294" s="453"/>
      <c r="GQ1294" s="453"/>
      <c r="GR1294" s="453"/>
      <c r="GS1294" s="561"/>
      <c r="GT1294" s="475"/>
      <c r="GU1294" s="472"/>
      <c r="GV1294" s="453"/>
      <c r="GW1294" s="453"/>
      <c r="GX1294" s="869"/>
      <c r="GY1294" s="870"/>
      <c r="GZ1294" s="867"/>
      <c r="HA1294" s="868"/>
      <c r="HB1294" s="473"/>
      <c r="HC1294" s="869"/>
      <c r="HD1294" s="870"/>
      <c r="HE1294" s="867"/>
      <c r="HF1294" s="868"/>
      <c r="HG1294" s="473"/>
      <c r="HH1294" s="867"/>
      <c r="HI1294" s="868"/>
      <c r="HJ1294" s="867"/>
      <c r="HK1294" s="868"/>
      <c r="HL1294" s="370"/>
      <c r="HM1294" s="865"/>
      <c r="HN1294" s="866"/>
      <c r="HO1294" s="865"/>
      <c r="HP1294" s="866"/>
      <c r="HQ1294" s="865"/>
      <c r="HR1294" s="866"/>
      <c r="HS1294" s="867"/>
      <c r="HT1294" s="868"/>
      <c r="HU1294" s="489"/>
      <c r="HV1294" s="865"/>
      <c r="HW1294" s="866"/>
    </row>
    <row r="1295" spans="25:231" ht="15" customHeight="1">
      <c r="Y1295" s="332"/>
      <c r="Z1295" s="332"/>
      <c r="AA1295" s="332"/>
      <c r="AB1295" s="332"/>
      <c r="AC1295" s="332"/>
      <c r="AD1295" s="332"/>
      <c r="AE1295" s="332"/>
      <c r="AF1295" s="332"/>
      <c r="AG1295" s="332"/>
      <c r="AH1295" s="332"/>
      <c r="AI1295" s="332"/>
      <c r="AJ1295" s="332"/>
      <c r="AK1295" s="332"/>
      <c r="AL1295" s="332"/>
      <c r="AM1295" s="332"/>
      <c r="AN1295" s="332"/>
      <c r="AO1295" s="332"/>
      <c r="AP1295" s="332"/>
      <c r="AQ1295" s="332"/>
      <c r="AR1295" s="332"/>
      <c r="AS1295" s="332"/>
      <c r="AT1295" s="332"/>
      <c r="AU1295" s="332"/>
      <c r="AV1295" s="332"/>
      <c r="AW1295" s="332"/>
      <c r="AX1295" s="332"/>
      <c r="AY1295" s="332"/>
      <c r="AZ1295" s="332"/>
      <c r="BA1295" s="332"/>
      <c r="BB1295" s="332"/>
      <c r="BC1295" s="332"/>
      <c r="BD1295" s="332"/>
      <c r="BE1295" s="332"/>
      <c r="BF1295" s="332"/>
      <c r="BG1295" s="332"/>
      <c r="BH1295" s="332"/>
      <c r="BI1295" s="332"/>
      <c r="BJ1295" s="332"/>
      <c r="BK1295" s="332"/>
      <c r="BL1295" s="332"/>
      <c r="BM1295" s="332"/>
      <c r="BN1295" s="332"/>
      <c r="BO1295" s="332"/>
      <c r="BP1295" s="332"/>
      <c r="BQ1295" s="332"/>
      <c r="BR1295" s="332"/>
      <c r="BS1295" s="332"/>
      <c r="BT1295" s="332"/>
      <c r="BU1295" s="332"/>
      <c r="BV1295" s="332"/>
      <c r="BW1295" s="332"/>
      <c r="BX1295" s="332"/>
      <c r="BY1295" s="332"/>
      <c r="BZ1295" s="332"/>
      <c r="CA1295" s="332"/>
      <c r="CB1295" s="332"/>
      <c r="CC1295" s="332"/>
      <c r="CD1295" s="332"/>
      <c r="CE1295" s="332"/>
      <c r="CF1295" s="332"/>
      <c r="CG1295" s="332"/>
      <c r="CH1295" s="332"/>
      <c r="CI1295" s="332"/>
      <c r="CJ1295" s="332"/>
      <c r="CK1295" s="332"/>
      <c r="CL1295" s="332"/>
      <c r="CM1295" s="332"/>
      <c r="CN1295" s="332"/>
      <c r="CO1295" s="332"/>
      <c r="CP1295" s="332"/>
      <c r="CQ1295" s="332"/>
      <c r="CR1295" s="332"/>
      <c r="CS1295" s="332"/>
      <c r="CT1295" s="332"/>
      <c r="CU1295" s="332"/>
      <c r="CV1295" s="332"/>
      <c r="CW1295" s="332"/>
      <c r="CX1295" s="332"/>
      <c r="CY1295" s="332"/>
      <c r="CZ1295" s="332"/>
      <c r="DA1295" s="332"/>
      <c r="DB1295" s="332"/>
      <c r="DC1295" s="332"/>
      <c r="DD1295" s="332"/>
      <c r="DE1295" s="332"/>
      <c r="DF1295" s="332"/>
      <c r="DG1295" s="332"/>
      <c r="DH1295" s="332"/>
      <c r="DI1295" s="332"/>
      <c r="DJ1295" s="332"/>
      <c r="DK1295" s="332"/>
      <c r="DL1295" s="332"/>
      <c r="DM1295" s="332"/>
      <c r="DN1295" s="332"/>
      <c r="DO1295" s="332"/>
      <c r="DP1295" s="332"/>
      <c r="DQ1295" s="332"/>
      <c r="DR1295" s="332"/>
      <c r="DS1295" s="332"/>
      <c r="DT1295" s="332"/>
      <c r="DU1295" s="453"/>
      <c r="DV1295" s="453"/>
      <c r="DW1295" s="453"/>
      <c r="DX1295" s="453"/>
      <c r="DY1295" s="453"/>
      <c r="DZ1295" s="453"/>
      <c r="EA1295" s="453"/>
      <c r="EB1295" s="453"/>
      <c r="EC1295" s="453"/>
      <c r="ED1295" s="453"/>
      <c r="EE1295" s="453"/>
      <c r="EF1295" s="453"/>
      <c r="EG1295" s="453"/>
      <c r="EH1295" s="453"/>
      <c r="EI1295" s="453"/>
      <c r="EJ1295" s="453"/>
      <c r="EK1295" s="453"/>
      <c r="EL1295" s="453"/>
      <c r="EM1295" s="483">
        <f t="shared" si="257"/>
        <v>986</v>
      </c>
      <c r="EN1295" s="485"/>
      <c r="EO1295" s="458"/>
      <c r="EP1295" s="467"/>
      <c r="EQ1295" s="457"/>
      <c r="ER1295" s="808"/>
      <c r="ES1295" s="881">
        <f t="shared" si="260"/>
        <v>0</v>
      </c>
      <c r="ET1295" s="882"/>
      <c r="EU1295" s="883"/>
      <c r="EV1295" s="884">
        <f t="shared" si="261"/>
        <v>0</v>
      </c>
      <c r="EW1295" s="885"/>
      <c r="EX1295" s="885"/>
      <c r="EY1295" s="885"/>
      <c r="EZ1295" s="885"/>
      <c r="FA1295" s="885"/>
      <c r="FB1295" s="885"/>
      <c r="FC1295" s="885"/>
      <c r="FD1295" s="886"/>
      <c r="FE1295" s="877"/>
      <c r="FF1295" s="877"/>
      <c r="FG1295" s="877"/>
      <c r="FH1295" s="877"/>
      <c r="FI1295" s="877"/>
      <c r="FJ1295" s="877"/>
      <c r="FK1295" s="877"/>
      <c r="FL1295" s="874"/>
      <c r="FM1295" s="875"/>
      <c r="FN1295" s="875"/>
      <c r="FO1295" s="875"/>
      <c r="FP1295" s="875"/>
      <c r="FQ1295" s="875"/>
      <c r="FR1295" s="875"/>
      <c r="FS1295" s="875"/>
      <c r="FT1295" s="875"/>
      <c r="FU1295" s="875"/>
      <c r="FV1295" s="875"/>
      <c r="FW1295" s="875"/>
      <c r="FX1295" s="875"/>
      <c r="FY1295" s="875"/>
      <c r="FZ1295" s="875"/>
      <c r="GA1295" s="875"/>
      <c r="GB1295" s="876"/>
      <c r="GC1295" s="370"/>
      <c r="GD1295" s="453"/>
      <c r="GE1295" s="453"/>
      <c r="GF1295" s="453"/>
      <c r="GG1295" s="453"/>
      <c r="GH1295" s="454"/>
      <c r="GI1295" s="453"/>
      <c r="GJ1295" s="453"/>
      <c r="GK1295" s="453"/>
      <c r="GL1295" s="453"/>
      <c r="GM1295" s="453"/>
      <c r="GN1295" s="453"/>
      <c r="GO1295" s="453"/>
      <c r="GP1295" s="453"/>
      <c r="GQ1295" s="453"/>
      <c r="GR1295" s="453"/>
      <c r="GS1295" s="561"/>
      <c r="GT1295" s="475"/>
      <c r="GU1295" s="472"/>
      <c r="GV1295" s="453"/>
      <c r="GW1295" s="453"/>
      <c r="GX1295" s="869"/>
      <c r="GY1295" s="870"/>
      <c r="GZ1295" s="867"/>
      <c r="HA1295" s="868"/>
      <c r="HB1295" s="473"/>
      <c r="HC1295" s="869"/>
      <c r="HD1295" s="870"/>
      <c r="HE1295" s="867"/>
      <c r="HF1295" s="868"/>
      <c r="HG1295" s="473"/>
      <c r="HH1295" s="867"/>
      <c r="HI1295" s="868"/>
      <c r="HJ1295" s="867"/>
      <c r="HK1295" s="868"/>
      <c r="HL1295" s="370"/>
      <c r="HM1295" s="865"/>
      <c r="HN1295" s="866"/>
      <c r="HO1295" s="865"/>
      <c r="HP1295" s="866"/>
      <c r="HQ1295" s="865"/>
      <c r="HR1295" s="866"/>
      <c r="HS1295" s="867"/>
      <c r="HT1295" s="868"/>
      <c r="HU1295" s="489"/>
      <c r="HV1295" s="865"/>
      <c r="HW1295" s="866"/>
    </row>
    <row r="1296" spans="25:231" ht="15" customHeight="1">
      <c r="Y1296" s="332"/>
      <c r="Z1296" s="332"/>
      <c r="AA1296" s="332"/>
      <c r="AB1296" s="332"/>
      <c r="AC1296" s="332"/>
      <c r="AD1296" s="332"/>
      <c r="AE1296" s="332"/>
      <c r="AF1296" s="332"/>
      <c r="AG1296" s="332"/>
      <c r="AH1296" s="332"/>
      <c r="AI1296" s="332"/>
      <c r="AJ1296" s="332"/>
      <c r="AK1296" s="332"/>
      <c r="AL1296" s="332"/>
      <c r="AM1296" s="332"/>
      <c r="AN1296" s="332"/>
      <c r="AO1296" s="332"/>
      <c r="AP1296" s="332"/>
      <c r="AQ1296" s="332"/>
      <c r="AR1296" s="332"/>
      <c r="AS1296" s="332"/>
      <c r="AT1296" s="332"/>
      <c r="AU1296" s="332"/>
      <c r="AV1296" s="332"/>
      <c r="AW1296" s="332"/>
      <c r="AX1296" s="332"/>
      <c r="AY1296" s="332"/>
      <c r="AZ1296" s="332"/>
      <c r="BA1296" s="332"/>
      <c r="BB1296" s="332"/>
      <c r="BC1296" s="332"/>
      <c r="BD1296" s="332"/>
      <c r="BE1296" s="332"/>
      <c r="BF1296" s="332"/>
      <c r="BG1296" s="332"/>
      <c r="BH1296" s="332"/>
      <c r="BI1296" s="332"/>
      <c r="BJ1296" s="332"/>
      <c r="BK1296" s="332"/>
      <c r="BL1296" s="332"/>
      <c r="BM1296" s="332"/>
      <c r="BN1296" s="332"/>
      <c r="BO1296" s="332"/>
      <c r="BP1296" s="332"/>
      <c r="BQ1296" s="332"/>
      <c r="BR1296" s="332"/>
      <c r="BS1296" s="332"/>
      <c r="BT1296" s="332"/>
      <c r="BU1296" s="332"/>
      <c r="BV1296" s="332"/>
      <c r="BW1296" s="332"/>
      <c r="BX1296" s="332"/>
      <c r="BY1296" s="332"/>
      <c r="BZ1296" s="332"/>
      <c r="CA1296" s="332"/>
      <c r="CB1296" s="332"/>
      <c r="CC1296" s="332"/>
      <c r="CD1296" s="332"/>
      <c r="CE1296" s="332"/>
      <c r="CF1296" s="332"/>
      <c r="CG1296" s="332"/>
      <c r="CH1296" s="332"/>
      <c r="CI1296" s="332"/>
      <c r="CJ1296" s="332"/>
      <c r="CK1296" s="332"/>
      <c r="CL1296" s="332"/>
      <c r="CM1296" s="332"/>
      <c r="CN1296" s="332"/>
      <c r="CO1296" s="332"/>
      <c r="CP1296" s="332"/>
      <c r="CQ1296" s="332"/>
      <c r="CR1296" s="332"/>
      <c r="CS1296" s="332"/>
      <c r="CT1296" s="332"/>
      <c r="CU1296" s="332"/>
      <c r="CV1296" s="332"/>
      <c r="CW1296" s="332"/>
      <c r="CX1296" s="332"/>
      <c r="CY1296" s="332"/>
      <c r="CZ1296" s="332"/>
      <c r="DA1296" s="332"/>
      <c r="DB1296" s="332"/>
      <c r="DC1296" s="332"/>
      <c r="DD1296" s="332"/>
      <c r="DE1296" s="332"/>
      <c r="DF1296" s="332"/>
      <c r="DG1296" s="332"/>
      <c r="DH1296" s="332"/>
      <c r="DI1296" s="332"/>
      <c r="DJ1296" s="332"/>
      <c r="DK1296" s="332"/>
      <c r="DL1296" s="332"/>
      <c r="DM1296" s="332"/>
      <c r="DN1296" s="332"/>
      <c r="DO1296" s="332"/>
      <c r="DP1296" s="332"/>
      <c r="DQ1296" s="332"/>
      <c r="DR1296" s="332"/>
      <c r="DS1296" s="332"/>
      <c r="DT1296" s="332"/>
      <c r="DU1296" s="453"/>
      <c r="DV1296" s="453"/>
      <c r="DW1296" s="453"/>
      <c r="DX1296" s="453"/>
      <c r="DY1296" s="453"/>
      <c r="DZ1296" s="453"/>
      <c r="EA1296" s="453"/>
      <c r="EB1296" s="453"/>
      <c r="EC1296" s="453"/>
      <c r="ED1296" s="453"/>
      <c r="EE1296" s="453"/>
      <c r="EF1296" s="453"/>
      <c r="EG1296" s="453"/>
      <c r="EH1296" s="453"/>
      <c r="EI1296" s="453"/>
      <c r="EJ1296" s="453"/>
      <c r="EK1296" s="453"/>
      <c r="EL1296" s="453"/>
      <c r="EM1296" s="483">
        <f t="shared" si="257"/>
        <v>987</v>
      </c>
      <c r="EN1296" s="485"/>
      <c r="EO1296" s="458"/>
      <c r="EP1296" s="467"/>
      <c r="EQ1296" s="457"/>
      <c r="ER1296" s="808"/>
      <c r="ES1296" s="881">
        <f t="shared" si="260"/>
        <v>0</v>
      </c>
      <c r="ET1296" s="882"/>
      <c r="EU1296" s="883"/>
      <c r="EV1296" s="884">
        <f t="shared" si="261"/>
        <v>0</v>
      </c>
      <c r="EW1296" s="885"/>
      <c r="EX1296" s="885"/>
      <c r="EY1296" s="885"/>
      <c r="EZ1296" s="885"/>
      <c r="FA1296" s="885"/>
      <c r="FB1296" s="885"/>
      <c r="FC1296" s="885"/>
      <c r="FD1296" s="886"/>
      <c r="FE1296" s="877"/>
      <c r="FF1296" s="877"/>
      <c r="FG1296" s="877"/>
      <c r="FH1296" s="877"/>
      <c r="FI1296" s="877"/>
      <c r="FJ1296" s="877"/>
      <c r="FK1296" s="877"/>
      <c r="FL1296" s="874"/>
      <c r="FM1296" s="875"/>
      <c r="FN1296" s="875"/>
      <c r="FO1296" s="875"/>
      <c r="FP1296" s="875"/>
      <c r="FQ1296" s="875"/>
      <c r="FR1296" s="875"/>
      <c r="FS1296" s="875"/>
      <c r="FT1296" s="875"/>
      <c r="FU1296" s="875"/>
      <c r="FV1296" s="875"/>
      <c r="FW1296" s="875"/>
      <c r="FX1296" s="875"/>
      <c r="FY1296" s="875"/>
      <c r="FZ1296" s="875"/>
      <c r="GA1296" s="875"/>
      <c r="GB1296" s="876"/>
      <c r="GC1296" s="370"/>
      <c r="GD1296" s="453"/>
      <c r="GE1296" s="453"/>
      <c r="GF1296" s="453"/>
      <c r="GG1296" s="453"/>
      <c r="GH1296" s="454"/>
      <c r="GI1296" s="453"/>
      <c r="GJ1296" s="453"/>
      <c r="GK1296" s="453"/>
      <c r="GL1296" s="453"/>
      <c r="GM1296" s="453"/>
      <c r="GN1296" s="453"/>
      <c r="GO1296" s="453"/>
      <c r="GP1296" s="453"/>
      <c r="GQ1296" s="453"/>
      <c r="GR1296" s="453"/>
      <c r="GS1296" s="561"/>
      <c r="GT1296" s="475"/>
      <c r="GU1296" s="472"/>
      <c r="GV1296" s="453"/>
      <c r="GW1296" s="453"/>
      <c r="GX1296" s="869"/>
      <c r="GY1296" s="870"/>
      <c r="GZ1296" s="867"/>
      <c r="HA1296" s="868"/>
      <c r="HB1296" s="473"/>
      <c r="HC1296" s="869"/>
      <c r="HD1296" s="870"/>
      <c r="HE1296" s="867"/>
      <c r="HF1296" s="868"/>
      <c r="HG1296" s="473"/>
      <c r="HH1296" s="867"/>
      <c r="HI1296" s="868"/>
      <c r="HJ1296" s="867"/>
      <c r="HK1296" s="868"/>
      <c r="HL1296" s="370"/>
      <c r="HM1296" s="865"/>
      <c r="HN1296" s="866"/>
      <c r="HO1296" s="865"/>
      <c r="HP1296" s="866"/>
      <c r="HQ1296" s="865"/>
      <c r="HR1296" s="866"/>
      <c r="HS1296" s="867"/>
      <c r="HT1296" s="868"/>
      <c r="HU1296" s="489"/>
      <c r="HV1296" s="865"/>
      <c r="HW1296" s="866"/>
    </row>
    <row r="1297" spans="25:231" ht="15" customHeight="1">
      <c r="Y1297" s="332"/>
      <c r="Z1297" s="332"/>
      <c r="AA1297" s="332"/>
      <c r="AB1297" s="332"/>
      <c r="AC1297" s="332"/>
      <c r="AD1297" s="332"/>
      <c r="AE1297" s="332"/>
      <c r="AF1297" s="332"/>
      <c r="AG1297" s="332"/>
      <c r="AH1297" s="332"/>
      <c r="AI1297" s="332"/>
      <c r="AJ1297" s="332"/>
      <c r="AK1297" s="332"/>
      <c r="AL1297" s="332"/>
      <c r="AM1297" s="332"/>
      <c r="AN1297" s="332"/>
      <c r="AO1297" s="332"/>
      <c r="AP1297" s="332"/>
      <c r="AQ1297" s="332"/>
      <c r="AR1297" s="332"/>
      <c r="AS1297" s="332"/>
      <c r="AT1297" s="332"/>
      <c r="AU1297" s="332"/>
      <c r="AV1297" s="332"/>
      <c r="AW1297" s="332"/>
      <c r="AX1297" s="332"/>
      <c r="AY1297" s="332"/>
      <c r="AZ1297" s="332"/>
      <c r="BA1297" s="332"/>
      <c r="BB1297" s="332"/>
      <c r="BC1297" s="332"/>
      <c r="BD1297" s="332"/>
      <c r="BE1297" s="332"/>
      <c r="BF1297" s="332"/>
      <c r="BG1297" s="332"/>
      <c r="BH1297" s="332"/>
      <c r="BI1297" s="332"/>
      <c r="BJ1297" s="332"/>
      <c r="BK1297" s="332"/>
      <c r="BL1297" s="332"/>
      <c r="BM1297" s="332"/>
      <c r="BN1297" s="332"/>
      <c r="BO1297" s="332"/>
      <c r="BP1297" s="332"/>
      <c r="BQ1297" s="332"/>
      <c r="BR1297" s="332"/>
      <c r="BS1297" s="332"/>
      <c r="BT1297" s="332"/>
      <c r="BU1297" s="332"/>
      <c r="BV1297" s="332"/>
      <c r="BW1297" s="332"/>
      <c r="BX1297" s="332"/>
      <c r="BY1297" s="332"/>
      <c r="BZ1297" s="332"/>
      <c r="CA1297" s="332"/>
      <c r="CB1297" s="332"/>
      <c r="CC1297" s="332"/>
      <c r="CD1297" s="332"/>
      <c r="CE1297" s="332"/>
      <c r="CF1297" s="332"/>
      <c r="CG1297" s="332"/>
      <c r="CH1297" s="332"/>
      <c r="CI1297" s="332"/>
      <c r="CJ1297" s="332"/>
      <c r="CK1297" s="332"/>
      <c r="CL1297" s="332"/>
      <c r="CM1297" s="332"/>
      <c r="CN1297" s="332"/>
      <c r="CO1297" s="332"/>
      <c r="CP1297" s="332"/>
      <c r="CQ1297" s="332"/>
      <c r="CR1297" s="332"/>
      <c r="CS1297" s="332"/>
      <c r="CT1297" s="332"/>
      <c r="CU1297" s="332"/>
      <c r="CV1297" s="332"/>
      <c r="CW1297" s="332"/>
      <c r="CX1297" s="332"/>
      <c r="CY1297" s="332"/>
      <c r="CZ1297" s="332"/>
      <c r="DA1297" s="332"/>
      <c r="DB1297" s="332"/>
      <c r="DC1297" s="332"/>
      <c r="DD1297" s="332"/>
      <c r="DE1297" s="332"/>
      <c r="DF1297" s="332"/>
      <c r="DG1297" s="332"/>
      <c r="DH1297" s="332"/>
      <c r="DI1297" s="332"/>
      <c r="DJ1297" s="332"/>
      <c r="DK1297" s="332"/>
      <c r="DL1297" s="332"/>
      <c r="DM1297" s="332"/>
      <c r="DN1297" s="332"/>
      <c r="DO1297" s="332"/>
      <c r="DP1297" s="332"/>
      <c r="DQ1297" s="332"/>
      <c r="DR1297" s="332"/>
      <c r="DS1297" s="332"/>
      <c r="DT1297" s="332"/>
      <c r="DU1297" s="453"/>
      <c r="DV1297" s="453"/>
      <c r="DW1297" s="453"/>
      <c r="DX1297" s="453"/>
      <c r="DY1297" s="453"/>
      <c r="DZ1297" s="453"/>
      <c r="EA1297" s="453"/>
      <c r="EB1297" s="453"/>
      <c r="EC1297" s="453"/>
      <c r="ED1297" s="453"/>
      <c r="EE1297" s="453"/>
      <c r="EF1297" s="453"/>
      <c r="EG1297" s="453"/>
      <c r="EH1297" s="453"/>
      <c r="EI1297" s="453"/>
      <c r="EJ1297" s="453"/>
      <c r="EK1297" s="453"/>
      <c r="EL1297" s="453"/>
      <c r="EM1297" s="483">
        <f t="shared" si="257"/>
        <v>988</v>
      </c>
      <c r="EN1297" s="485"/>
      <c r="EO1297" s="458"/>
      <c r="EP1297" s="467"/>
      <c r="EQ1297" s="457"/>
      <c r="ER1297" s="808"/>
      <c r="ES1297" s="881">
        <f t="shared" si="260"/>
        <v>0</v>
      </c>
      <c r="ET1297" s="882"/>
      <c r="EU1297" s="883"/>
      <c r="EV1297" s="884">
        <f t="shared" si="261"/>
        <v>0</v>
      </c>
      <c r="EW1297" s="885"/>
      <c r="EX1297" s="885"/>
      <c r="EY1297" s="885"/>
      <c r="EZ1297" s="885"/>
      <c r="FA1297" s="885"/>
      <c r="FB1297" s="885"/>
      <c r="FC1297" s="885"/>
      <c r="FD1297" s="886"/>
      <c r="FE1297" s="877"/>
      <c r="FF1297" s="877"/>
      <c r="FG1297" s="877"/>
      <c r="FH1297" s="877"/>
      <c r="FI1297" s="877"/>
      <c r="FJ1297" s="877"/>
      <c r="FK1297" s="877"/>
      <c r="FL1297" s="874"/>
      <c r="FM1297" s="875"/>
      <c r="FN1297" s="875"/>
      <c r="FO1297" s="875"/>
      <c r="FP1297" s="875"/>
      <c r="FQ1297" s="875"/>
      <c r="FR1297" s="875"/>
      <c r="FS1297" s="875"/>
      <c r="FT1297" s="875"/>
      <c r="FU1297" s="875"/>
      <c r="FV1297" s="875"/>
      <c r="FW1297" s="875"/>
      <c r="FX1297" s="875"/>
      <c r="FY1297" s="875"/>
      <c r="FZ1297" s="875"/>
      <c r="GA1297" s="875"/>
      <c r="GB1297" s="876"/>
      <c r="GC1297" s="370"/>
      <c r="GD1297" s="453"/>
      <c r="GE1297" s="453"/>
      <c r="GF1297" s="453"/>
      <c r="GG1297" s="453"/>
      <c r="GH1297" s="454"/>
      <c r="GI1297" s="453"/>
      <c r="GJ1297" s="453"/>
      <c r="GK1297" s="453"/>
      <c r="GL1297" s="453"/>
      <c r="GM1297" s="453"/>
      <c r="GN1297" s="453"/>
      <c r="GO1297" s="453"/>
      <c r="GP1297" s="453"/>
      <c r="GQ1297" s="453"/>
      <c r="GR1297" s="453"/>
      <c r="GS1297" s="561"/>
      <c r="GT1297" s="475"/>
      <c r="GU1297" s="472"/>
      <c r="GV1297" s="453"/>
      <c r="GW1297" s="453"/>
      <c r="GX1297" s="869"/>
      <c r="GY1297" s="870"/>
      <c r="GZ1297" s="867"/>
      <c r="HA1297" s="868"/>
      <c r="HB1297" s="473"/>
      <c r="HC1297" s="869"/>
      <c r="HD1297" s="870"/>
      <c r="HE1297" s="867"/>
      <c r="HF1297" s="868"/>
      <c r="HG1297" s="473"/>
      <c r="HH1297" s="867"/>
      <c r="HI1297" s="868"/>
      <c r="HJ1297" s="867"/>
      <c r="HK1297" s="868"/>
      <c r="HL1297" s="370"/>
      <c r="HM1297" s="865"/>
      <c r="HN1297" s="866"/>
      <c r="HO1297" s="865"/>
      <c r="HP1297" s="866"/>
      <c r="HQ1297" s="865"/>
      <c r="HR1297" s="866"/>
      <c r="HS1297" s="867"/>
      <c r="HT1297" s="868"/>
      <c r="HU1297" s="489"/>
      <c r="HV1297" s="865"/>
      <c r="HW1297" s="866"/>
    </row>
    <row r="1298" spans="25:231" ht="15" customHeight="1">
      <c r="Y1298" s="332"/>
      <c r="Z1298" s="332"/>
      <c r="AA1298" s="332"/>
      <c r="AB1298" s="332"/>
      <c r="AC1298" s="332"/>
      <c r="AD1298" s="332"/>
      <c r="AE1298" s="332"/>
      <c r="AF1298" s="332"/>
      <c r="AG1298" s="332"/>
      <c r="AH1298" s="332"/>
      <c r="AI1298" s="332"/>
      <c r="AJ1298" s="332"/>
      <c r="AK1298" s="332"/>
      <c r="AL1298" s="332"/>
      <c r="AM1298" s="332"/>
      <c r="AN1298" s="332"/>
      <c r="AO1298" s="332"/>
      <c r="AP1298" s="332"/>
      <c r="AQ1298" s="332"/>
      <c r="AR1298" s="332"/>
      <c r="AS1298" s="332"/>
      <c r="AT1298" s="332"/>
      <c r="AU1298" s="332"/>
      <c r="AV1298" s="332"/>
      <c r="AW1298" s="332"/>
      <c r="AX1298" s="332"/>
      <c r="AY1298" s="332"/>
      <c r="AZ1298" s="332"/>
      <c r="BA1298" s="332"/>
      <c r="BB1298" s="332"/>
      <c r="BC1298" s="332"/>
      <c r="BD1298" s="332"/>
      <c r="BE1298" s="332"/>
      <c r="BF1298" s="332"/>
      <c r="BG1298" s="332"/>
      <c r="BH1298" s="332"/>
      <c r="BI1298" s="332"/>
      <c r="BJ1298" s="332"/>
      <c r="BK1298" s="332"/>
      <c r="BL1298" s="332"/>
      <c r="BM1298" s="332"/>
      <c r="BN1298" s="332"/>
      <c r="BO1298" s="332"/>
      <c r="BP1298" s="332"/>
      <c r="BQ1298" s="332"/>
      <c r="BR1298" s="332"/>
      <c r="BS1298" s="332"/>
      <c r="BT1298" s="332"/>
      <c r="BU1298" s="332"/>
      <c r="BV1298" s="332"/>
      <c r="BW1298" s="332"/>
      <c r="BX1298" s="332"/>
      <c r="BY1298" s="332"/>
      <c r="BZ1298" s="332"/>
      <c r="CA1298" s="332"/>
      <c r="CB1298" s="332"/>
      <c r="CC1298" s="332"/>
      <c r="CD1298" s="332"/>
      <c r="CE1298" s="332"/>
      <c r="CF1298" s="332"/>
      <c r="CG1298" s="332"/>
      <c r="CH1298" s="332"/>
      <c r="CI1298" s="332"/>
      <c r="CJ1298" s="332"/>
      <c r="CK1298" s="332"/>
      <c r="CL1298" s="332"/>
      <c r="CM1298" s="332"/>
      <c r="CN1298" s="332"/>
      <c r="CO1298" s="332"/>
      <c r="CP1298" s="332"/>
      <c r="CQ1298" s="332"/>
      <c r="CR1298" s="332"/>
      <c r="CS1298" s="332"/>
      <c r="CT1298" s="332"/>
      <c r="CU1298" s="332"/>
      <c r="CV1298" s="332"/>
      <c r="CW1298" s="332"/>
      <c r="CX1298" s="332"/>
      <c r="CY1298" s="332"/>
      <c r="CZ1298" s="332"/>
      <c r="DA1298" s="332"/>
      <c r="DB1298" s="332"/>
      <c r="DC1298" s="332"/>
      <c r="DD1298" s="332"/>
      <c r="DE1298" s="332"/>
      <c r="DF1298" s="332"/>
      <c r="DG1298" s="332"/>
      <c r="DH1298" s="332"/>
      <c r="DI1298" s="332"/>
      <c r="DJ1298" s="332"/>
      <c r="DK1298" s="332"/>
      <c r="DL1298" s="332"/>
      <c r="DM1298" s="332"/>
      <c r="DN1298" s="332"/>
      <c r="DO1298" s="332"/>
      <c r="DP1298" s="332"/>
      <c r="DQ1298" s="332"/>
      <c r="DR1298" s="332"/>
      <c r="DS1298" s="332"/>
      <c r="DT1298" s="332"/>
      <c r="DU1298" s="453"/>
      <c r="DV1298" s="453"/>
      <c r="DW1298" s="453"/>
      <c r="DX1298" s="453"/>
      <c r="DY1298" s="453"/>
      <c r="DZ1298" s="453"/>
      <c r="EA1298" s="453"/>
      <c r="EB1298" s="453"/>
      <c r="EC1298" s="453"/>
      <c r="ED1298" s="453"/>
      <c r="EE1298" s="453"/>
      <c r="EF1298" s="453"/>
      <c r="EG1298" s="453"/>
      <c r="EH1298" s="453"/>
      <c r="EI1298" s="453"/>
      <c r="EJ1298" s="453"/>
      <c r="EK1298" s="453"/>
      <c r="EL1298" s="453"/>
      <c r="EM1298" s="483">
        <f t="shared" si="257"/>
        <v>989</v>
      </c>
      <c r="EN1298" s="485"/>
      <c r="EO1298" s="458"/>
      <c r="EP1298" s="467"/>
      <c r="EQ1298" s="457"/>
      <c r="ER1298" s="808"/>
      <c r="ES1298" s="881">
        <f t="shared" si="260"/>
        <v>0</v>
      </c>
      <c r="ET1298" s="882"/>
      <c r="EU1298" s="883"/>
      <c r="EV1298" s="884">
        <f t="shared" si="261"/>
        <v>0</v>
      </c>
      <c r="EW1298" s="885"/>
      <c r="EX1298" s="885"/>
      <c r="EY1298" s="885"/>
      <c r="EZ1298" s="885"/>
      <c r="FA1298" s="885"/>
      <c r="FB1298" s="885"/>
      <c r="FC1298" s="885"/>
      <c r="FD1298" s="886"/>
      <c r="FE1298" s="877"/>
      <c r="FF1298" s="877"/>
      <c r="FG1298" s="877"/>
      <c r="FH1298" s="877"/>
      <c r="FI1298" s="877"/>
      <c r="FJ1298" s="877"/>
      <c r="FK1298" s="877"/>
      <c r="FL1298" s="874"/>
      <c r="FM1298" s="875"/>
      <c r="FN1298" s="875"/>
      <c r="FO1298" s="875"/>
      <c r="FP1298" s="875"/>
      <c r="FQ1298" s="875"/>
      <c r="FR1298" s="875"/>
      <c r="FS1298" s="875"/>
      <c r="FT1298" s="875"/>
      <c r="FU1298" s="875"/>
      <c r="FV1298" s="875"/>
      <c r="FW1298" s="875"/>
      <c r="FX1298" s="875"/>
      <c r="FY1298" s="875"/>
      <c r="FZ1298" s="875"/>
      <c r="GA1298" s="875"/>
      <c r="GB1298" s="876"/>
      <c r="GC1298" s="370"/>
      <c r="GD1298" s="453"/>
      <c r="GE1298" s="453"/>
      <c r="GF1298" s="453"/>
      <c r="GG1298" s="453"/>
      <c r="GH1298" s="454"/>
      <c r="GI1298" s="453"/>
      <c r="GJ1298" s="453"/>
      <c r="GK1298" s="453"/>
      <c r="GL1298" s="453"/>
      <c r="GM1298" s="453"/>
      <c r="GN1298" s="453"/>
      <c r="GO1298" s="453"/>
      <c r="GP1298" s="453"/>
      <c r="GQ1298" s="453"/>
      <c r="GR1298" s="453"/>
      <c r="GS1298" s="561"/>
      <c r="GT1298" s="475"/>
      <c r="GU1298" s="472"/>
      <c r="GV1298" s="453"/>
      <c r="GW1298" s="453"/>
      <c r="GX1298" s="869"/>
      <c r="GY1298" s="870"/>
      <c r="GZ1298" s="867"/>
      <c r="HA1298" s="868"/>
      <c r="HB1298" s="473"/>
      <c r="HC1298" s="869"/>
      <c r="HD1298" s="870"/>
      <c r="HE1298" s="867"/>
      <c r="HF1298" s="868"/>
      <c r="HG1298" s="473"/>
      <c r="HH1298" s="867"/>
      <c r="HI1298" s="868"/>
      <c r="HJ1298" s="867"/>
      <c r="HK1298" s="868"/>
      <c r="HL1298" s="370"/>
      <c r="HM1298" s="865"/>
      <c r="HN1298" s="866"/>
      <c r="HO1298" s="865"/>
      <c r="HP1298" s="866"/>
      <c r="HQ1298" s="865"/>
      <c r="HR1298" s="866"/>
      <c r="HS1298" s="867"/>
      <c r="HT1298" s="868"/>
      <c r="HU1298" s="489"/>
      <c r="HV1298" s="865"/>
      <c r="HW1298" s="866"/>
    </row>
    <row r="1299" spans="25:231" ht="15" customHeight="1">
      <c r="Y1299" s="332"/>
      <c r="Z1299" s="332"/>
      <c r="AA1299" s="332"/>
      <c r="AB1299" s="332"/>
      <c r="AC1299" s="332"/>
      <c r="AD1299" s="332"/>
      <c r="AE1299" s="332"/>
      <c r="AF1299" s="332"/>
      <c r="AG1299" s="332"/>
      <c r="AH1299" s="332"/>
      <c r="AI1299" s="332"/>
      <c r="AJ1299" s="332"/>
      <c r="AK1299" s="332"/>
      <c r="AL1299" s="332"/>
      <c r="AM1299" s="332"/>
      <c r="AN1299" s="332"/>
      <c r="AO1299" s="332"/>
      <c r="AP1299" s="332"/>
      <c r="AQ1299" s="332"/>
      <c r="AR1299" s="332"/>
      <c r="AS1299" s="332"/>
      <c r="AT1299" s="332"/>
      <c r="AU1299" s="332"/>
      <c r="AV1299" s="332"/>
      <c r="AW1299" s="332"/>
      <c r="AX1299" s="332"/>
      <c r="AY1299" s="332"/>
      <c r="AZ1299" s="332"/>
      <c r="BA1299" s="332"/>
      <c r="BB1299" s="332"/>
      <c r="BC1299" s="332"/>
      <c r="BD1299" s="332"/>
      <c r="BE1299" s="332"/>
      <c r="BF1299" s="332"/>
      <c r="BG1299" s="332"/>
      <c r="BH1299" s="332"/>
      <c r="BI1299" s="332"/>
      <c r="BJ1299" s="332"/>
      <c r="BK1299" s="332"/>
      <c r="BL1299" s="332"/>
      <c r="BM1299" s="332"/>
      <c r="BN1299" s="332"/>
      <c r="BO1299" s="332"/>
      <c r="BP1299" s="332"/>
      <c r="BQ1299" s="332"/>
      <c r="BR1299" s="332"/>
      <c r="BS1299" s="332"/>
      <c r="BT1299" s="332"/>
      <c r="BU1299" s="332"/>
      <c r="BV1299" s="332"/>
      <c r="BW1299" s="332"/>
      <c r="BX1299" s="332"/>
      <c r="BY1299" s="332"/>
      <c r="BZ1299" s="332"/>
      <c r="CA1299" s="332"/>
      <c r="CB1299" s="332"/>
      <c r="CC1299" s="332"/>
      <c r="CD1299" s="332"/>
      <c r="CE1299" s="332"/>
      <c r="CF1299" s="332"/>
      <c r="CG1299" s="332"/>
      <c r="CH1299" s="332"/>
      <c r="CI1299" s="332"/>
      <c r="CJ1299" s="332"/>
      <c r="CK1299" s="332"/>
      <c r="CL1299" s="332"/>
      <c r="CM1299" s="332"/>
      <c r="CN1299" s="332"/>
      <c r="CO1299" s="332"/>
      <c r="CP1299" s="332"/>
      <c r="CQ1299" s="332"/>
      <c r="CR1299" s="332"/>
      <c r="CS1299" s="332"/>
      <c r="CT1299" s="332"/>
      <c r="CU1299" s="332"/>
      <c r="CV1299" s="332"/>
      <c r="CW1299" s="332"/>
      <c r="CX1299" s="332"/>
      <c r="CY1299" s="332"/>
      <c r="CZ1299" s="332"/>
      <c r="DA1299" s="332"/>
      <c r="DB1299" s="332"/>
      <c r="DC1299" s="332"/>
      <c r="DD1299" s="332"/>
      <c r="DE1299" s="332"/>
      <c r="DF1299" s="332"/>
      <c r="DG1299" s="332"/>
      <c r="DH1299" s="332"/>
      <c r="DI1299" s="332"/>
      <c r="DJ1299" s="332"/>
      <c r="DK1299" s="332"/>
      <c r="DL1299" s="332"/>
      <c r="DM1299" s="332"/>
      <c r="DN1299" s="332"/>
      <c r="DO1299" s="332"/>
      <c r="DP1299" s="332"/>
      <c r="DQ1299" s="332"/>
      <c r="DR1299" s="332"/>
      <c r="DS1299" s="332"/>
      <c r="DT1299" s="332"/>
      <c r="DU1299" s="453"/>
      <c r="DV1299" s="453"/>
      <c r="DW1299" s="453"/>
      <c r="DX1299" s="453"/>
      <c r="DY1299" s="453"/>
      <c r="DZ1299" s="453"/>
      <c r="EA1299" s="453"/>
      <c r="EB1299" s="453"/>
      <c r="EC1299" s="453"/>
      <c r="ED1299" s="453"/>
      <c r="EE1299" s="453"/>
      <c r="EF1299" s="453"/>
      <c r="EG1299" s="453"/>
      <c r="EH1299" s="453"/>
      <c r="EI1299" s="453"/>
      <c r="EJ1299" s="453"/>
      <c r="EK1299" s="453"/>
      <c r="EL1299" s="453"/>
      <c r="EM1299" s="483">
        <f t="shared" si="257"/>
        <v>990</v>
      </c>
      <c r="EN1299" s="485"/>
      <c r="EO1299" s="458"/>
      <c r="EP1299" s="467"/>
      <c r="EQ1299" s="457"/>
      <c r="ER1299" s="808"/>
      <c r="ES1299" s="881">
        <f t="shared" si="260"/>
        <v>0</v>
      </c>
      <c r="ET1299" s="882"/>
      <c r="EU1299" s="883"/>
      <c r="EV1299" s="884">
        <f t="shared" si="261"/>
        <v>0</v>
      </c>
      <c r="EW1299" s="885"/>
      <c r="EX1299" s="885"/>
      <c r="EY1299" s="885"/>
      <c r="EZ1299" s="885"/>
      <c r="FA1299" s="885"/>
      <c r="FB1299" s="885"/>
      <c r="FC1299" s="885"/>
      <c r="FD1299" s="886"/>
      <c r="FE1299" s="877"/>
      <c r="FF1299" s="877"/>
      <c r="FG1299" s="877"/>
      <c r="FH1299" s="877"/>
      <c r="FI1299" s="877"/>
      <c r="FJ1299" s="877"/>
      <c r="FK1299" s="877"/>
      <c r="FL1299" s="874"/>
      <c r="FM1299" s="875"/>
      <c r="FN1299" s="875"/>
      <c r="FO1299" s="875"/>
      <c r="FP1299" s="875"/>
      <c r="FQ1299" s="875"/>
      <c r="FR1299" s="875"/>
      <c r="FS1299" s="875"/>
      <c r="FT1299" s="875"/>
      <c r="FU1299" s="875"/>
      <c r="FV1299" s="875"/>
      <c r="FW1299" s="875"/>
      <c r="FX1299" s="875"/>
      <c r="FY1299" s="875"/>
      <c r="FZ1299" s="875"/>
      <c r="GA1299" s="875"/>
      <c r="GB1299" s="876"/>
      <c r="GC1299" s="370"/>
      <c r="GD1299" s="453"/>
      <c r="GE1299" s="453"/>
      <c r="GF1299" s="453"/>
      <c r="GG1299" s="453"/>
      <c r="GH1299" s="454"/>
      <c r="GI1299" s="453"/>
      <c r="GJ1299" s="453"/>
      <c r="GK1299" s="453"/>
      <c r="GL1299" s="453"/>
      <c r="GM1299" s="453"/>
      <c r="GN1299" s="453"/>
      <c r="GO1299" s="453"/>
      <c r="GP1299" s="453"/>
      <c r="GQ1299" s="453"/>
      <c r="GR1299" s="453"/>
      <c r="GS1299" s="561"/>
      <c r="GT1299" s="475"/>
      <c r="GU1299" s="472"/>
      <c r="GV1299" s="453"/>
      <c r="GW1299" s="453"/>
      <c r="GX1299" s="869"/>
      <c r="GY1299" s="870"/>
      <c r="GZ1299" s="867"/>
      <c r="HA1299" s="868"/>
      <c r="HB1299" s="473"/>
      <c r="HC1299" s="869"/>
      <c r="HD1299" s="870"/>
      <c r="HE1299" s="867"/>
      <c r="HF1299" s="868"/>
      <c r="HG1299" s="473"/>
      <c r="HH1299" s="867"/>
      <c r="HI1299" s="868"/>
      <c r="HJ1299" s="867"/>
      <c r="HK1299" s="868"/>
      <c r="HL1299" s="370"/>
      <c r="HM1299" s="865"/>
      <c r="HN1299" s="866"/>
      <c r="HO1299" s="865"/>
      <c r="HP1299" s="866"/>
      <c r="HQ1299" s="865"/>
      <c r="HR1299" s="866"/>
      <c r="HS1299" s="867"/>
      <c r="HT1299" s="868"/>
      <c r="HU1299" s="489"/>
      <c r="HV1299" s="865"/>
      <c r="HW1299" s="866"/>
    </row>
    <row r="1300" spans="25:231" ht="15" customHeight="1">
      <c r="Y1300" s="332"/>
      <c r="Z1300" s="332"/>
      <c r="AA1300" s="332"/>
      <c r="AB1300" s="332"/>
      <c r="AC1300" s="332"/>
      <c r="AD1300" s="332"/>
      <c r="AE1300" s="332"/>
      <c r="AF1300" s="332"/>
      <c r="AG1300" s="332"/>
      <c r="AH1300" s="332"/>
      <c r="AI1300" s="332"/>
      <c r="AJ1300" s="332"/>
      <c r="AK1300" s="332"/>
      <c r="AL1300" s="332"/>
      <c r="AM1300" s="332"/>
      <c r="AN1300" s="332"/>
      <c r="AO1300" s="332"/>
      <c r="AP1300" s="332"/>
      <c r="AQ1300" s="332"/>
      <c r="AR1300" s="332"/>
      <c r="AS1300" s="332"/>
      <c r="AT1300" s="332"/>
      <c r="AU1300" s="332"/>
      <c r="AV1300" s="332"/>
      <c r="AW1300" s="332"/>
      <c r="AX1300" s="332"/>
      <c r="AY1300" s="332"/>
      <c r="AZ1300" s="332"/>
      <c r="BA1300" s="332"/>
      <c r="BB1300" s="332"/>
      <c r="BC1300" s="332"/>
      <c r="BD1300" s="332"/>
      <c r="BE1300" s="332"/>
      <c r="BF1300" s="332"/>
      <c r="BG1300" s="332"/>
      <c r="BH1300" s="332"/>
      <c r="BI1300" s="332"/>
      <c r="BJ1300" s="332"/>
      <c r="BK1300" s="332"/>
      <c r="BL1300" s="332"/>
      <c r="BM1300" s="332"/>
      <c r="BN1300" s="332"/>
      <c r="BO1300" s="332"/>
      <c r="BP1300" s="332"/>
      <c r="BQ1300" s="332"/>
      <c r="BR1300" s="332"/>
      <c r="BS1300" s="332"/>
      <c r="BT1300" s="332"/>
      <c r="BU1300" s="332"/>
      <c r="BV1300" s="332"/>
      <c r="BW1300" s="332"/>
      <c r="BX1300" s="332"/>
      <c r="BY1300" s="332"/>
      <c r="BZ1300" s="332"/>
      <c r="CA1300" s="332"/>
      <c r="CB1300" s="332"/>
      <c r="CC1300" s="332"/>
      <c r="CD1300" s="332"/>
      <c r="CE1300" s="332"/>
      <c r="CF1300" s="332"/>
      <c r="CG1300" s="332"/>
      <c r="CH1300" s="332"/>
      <c r="CI1300" s="332"/>
      <c r="CJ1300" s="332"/>
      <c r="CK1300" s="332"/>
      <c r="CL1300" s="332"/>
      <c r="CM1300" s="332"/>
      <c r="CN1300" s="332"/>
      <c r="CO1300" s="332"/>
      <c r="CP1300" s="332"/>
      <c r="CQ1300" s="332"/>
      <c r="CR1300" s="332"/>
      <c r="CS1300" s="332"/>
      <c r="CT1300" s="332"/>
      <c r="CU1300" s="332"/>
      <c r="CV1300" s="332"/>
      <c r="CW1300" s="332"/>
      <c r="CX1300" s="332"/>
      <c r="CY1300" s="332"/>
      <c r="CZ1300" s="332"/>
      <c r="DA1300" s="332"/>
      <c r="DB1300" s="332"/>
      <c r="DC1300" s="332"/>
      <c r="DD1300" s="332"/>
      <c r="DE1300" s="332"/>
      <c r="DF1300" s="332"/>
      <c r="DG1300" s="332"/>
      <c r="DH1300" s="332"/>
      <c r="DI1300" s="332"/>
      <c r="DJ1300" s="332"/>
      <c r="DK1300" s="332"/>
      <c r="DL1300" s="332"/>
      <c r="DM1300" s="332"/>
      <c r="DN1300" s="332"/>
      <c r="DO1300" s="332"/>
      <c r="DP1300" s="332"/>
      <c r="DQ1300" s="332"/>
      <c r="DR1300" s="332"/>
      <c r="DS1300" s="332"/>
      <c r="DT1300" s="332"/>
      <c r="DU1300" s="453"/>
      <c r="DV1300" s="453"/>
      <c r="DW1300" s="453"/>
      <c r="DX1300" s="453"/>
      <c r="DY1300" s="453"/>
      <c r="DZ1300" s="453"/>
      <c r="EA1300" s="453"/>
      <c r="EB1300" s="453"/>
      <c r="EC1300" s="453"/>
      <c r="ED1300" s="453"/>
      <c r="EE1300" s="453"/>
      <c r="EF1300" s="453"/>
      <c r="EG1300" s="453"/>
      <c r="EH1300" s="453"/>
      <c r="EI1300" s="453"/>
      <c r="EJ1300" s="453"/>
      <c r="EK1300" s="453"/>
      <c r="EL1300" s="453"/>
      <c r="EM1300" s="483">
        <f t="shared" si="257"/>
        <v>991</v>
      </c>
      <c r="EN1300" s="485"/>
      <c r="EO1300" s="458"/>
      <c r="EP1300" s="467"/>
      <c r="EQ1300" s="457"/>
      <c r="ER1300" s="808"/>
      <c r="ES1300" s="881">
        <f t="shared" si="260"/>
        <v>0</v>
      </c>
      <c r="ET1300" s="882"/>
      <c r="EU1300" s="883"/>
      <c r="EV1300" s="884">
        <f t="shared" si="261"/>
        <v>0</v>
      </c>
      <c r="EW1300" s="885"/>
      <c r="EX1300" s="885"/>
      <c r="EY1300" s="885"/>
      <c r="EZ1300" s="885"/>
      <c r="FA1300" s="885"/>
      <c r="FB1300" s="885"/>
      <c r="FC1300" s="885"/>
      <c r="FD1300" s="886"/>
      <c r="FE1300" s="877"/>
      <c r="FF1300" s="877"/>
      <c r="FG1300" s="877"/>
      <c r="FH1300" s="877"/>
      <c r="FI1300" s="877"/>
      <c r="FJ1300" s="877"/>
      <c r="FK1300" s="877"/>
      <c r="FL1300" s="874"/>
      <c r="FM1300" s="875"/>
      <c r="FN1300" s="875"/>
      <c r="FO1300" s="875"/>
      <c r="FP1300" s="875"/>
      <c r="FQ1300" s="875"/>
      <c r="FR1300" s="875"/>
      <c r="FS1300" s="875"/>
      <c r="FT1300" s="875"/>
      <c r="FU1300" s="875"/>
      <c r="FV1300" s="875"/>
      <c r="FW1300" s="875"/>
      <c r="FX1300" s="875"/>
      <c r="FY1300" s="875"/>
      <c r="FZ1300" s="875"/>
      <c r="GA1300" s="875"/>
      <c r="GB1300" s="876"/>
      <c r="GC1300" s="370"/>
      <c r="GD1300" s="453"/>
      <c r="GE1300" s="453"/>
      <c r="GF1300" s="453"/>
      <c r="GG1300" s="453"/>
      <c r="GH1300" s="454"/>
      <c r="GI1300" s="453"/>
      <c r="GJ1300" s="453"/>
      <c r="GK1300" s="453"/>
      <c r="GL1300" s="453"/>
      <c r="GM1300" s="453"/>
      <c r="GN1300" s="453"/>
      <c r="GO1300" s="453"/>
      <c r="GP1300" s="453"/>
      <c r="GQ1300" s="453"/>
      <c r="GR1300" s="453"/>
      <c r="GS1300" s="561"/>
      <c r="GT1300" s="475"/>
      <c r="GU1300" s="472"/>
      <c r="GV1300" s="453"/>
      <c r="GW1300" s="453"/>
      <c r="GX1300" s="869"/>
      <c r="GY1300" s="870"/>
      <c r="GZ1300" s="867"/>
      <c r="HA1300" s="868"/>
      <c r="HB1300" s="473"/>
      <c r="HC1300" s="869"/>
      <c r="HD1300" s="870"/>
      <c r="HE1300" s="867"/>
      <c r="HF1300" s="868"/>
      <c r="HG1300" s="473"/>
      <c r="HH1300" s="867"/>
      <c r="HI1300" s="868"/>
      <c r="HJ1300" s="867"/>
      <c r="HK1300" s="868"/>
      <c r="HL1300" s="370"/>
      <c r="HM1300" s="865"/>
      <c r="HN1300" s="866"/>
      <c r="HO1300" s="865"/>
      <c r="HP1300" s="866"/>
      <c r="HQ1300" s="865"/>
      <c r="HR1300" s="866"/>
      <c r="HS1300" s="867"/>
      <c r="HT1300" s="868"/>
      <c r="HU1300" s="489"/>
      <c r="HV1300" s="865"/>
      <c r="HW1300" s="866"/>
    </row>
    <row r="1301" spans="25:231" ht="15" customHeight="1">
      <c r="Y1301" s="332"/>
      <c r="Z1301" s="332"/>
      <c r="AA1301" s="332"/>
      <c r="AB1301" s="332"/>
      <c r="AC1301" s="332"/>
      <c r="AD1301" s="332"/>
      <c r="AE1301" s="332"/>
      <c r="AF1301" s="332"/>
      <c r="AG1301" s="332"/>
      <c r="AH1301" s="332"/>
      <c r="AI1301" s="332"/>
      <c r="AJ1301" s="332"/>
      <c r="AK1301" s="332"/>
      <c r="AL1301" s="332"/>
      <c r="AM1301" s="332"/>
      <c r="AN1301" s="332"/>
      <c r="AO1301" s="332"/>
      <c r="AP1301" s="332"/>
      <c r="AQ1301" s="332"/>
      <c r="AR1301" s="332"/>
      <c r="AS1301" s="332"/>
      <c r="AT1301" s="332"/>
      <c r="AU1301" s="332"/>
      <c r="AV1301" s="332"/>
      <c r="AW1301" s="332"/>
      <c r="AX1301" s="332"/>
      <c r="AY1301" s="332"/>
      <c r="AZ1301" s="332"/>
      <c r="BA1301" s="332"/>
      <c r="BB1301" s="332"/>
      <c r="BC1301" s="332"/>
      <c r="BD1301" s="332"/>
      <c r="BE1301" s="332"/>
      <c r="BF1301" s="332"/>
      <c r="BG1301" s="332"/>
      <c r="BH1301" s="332"/>
      <c r="BI1301" s="332"/>
      <c r="BJ1301" s="332"/>
      <c r="BK1301" s="332"/>
      <c r="BL1301" s="332"/>
      <c r="BM1301" s="332"/>
      <c r="BN1301" s="332"/>
      <c r="BO1301" s="332"/>
      <c r="BP1301" s="332"/>
      <c r="BQ1301" s="332"/>
      <c r="BR1301" s="332"/>
      <c r="BS1301" s="332"/>
      <c r="BT1301" s="332"/>
      <c r="BU1301" s="332"/>
      <c r="BV1301" s="332"/>
      <c r="BW1301" s="332"/>
      <c r="BX1301" s="332"/>
      <c r="BY1301" s="332"/>
      <c r="BZ1301" s="332"/>
      <c r="CA1301" s="332"/>
      <c r="CB1301" s="332"/>
      <c r="CC1301" s="332"/>
      <c r="CD1301" s="332"/>
      <c r="CE1301" s="332"/>
      <c r="CF1301" s="332"/>
      <c r="CG1301" s="332"/>
      <c r="CH1301" s="332"/>
      <c r="CI1301" s="332"/>
      <c r="CJ1301" s="332"/>
      <c r="CK1301" s="332"/>
      <c r="CL1301" s="332"/>
      <c r="CM1301" s="332"/>
      <c r="CN1301" s="332"/>
      <c r="CO1301" s="332"/>
      <c r="CP1301" s="332"/>
      <c r="CQ1301" s="332"/>
      <c r="CR1301" s="332"/>
      <c r="CS1301" s="332"/>
      <c r="CT1301" s="332"/>
      <c r="CU1301" s="332"/>
      <c r="CV1301" s="332"/>
      <c r="CW1301" s="332"/>
      <c r="CX1301" s="332"/>
      <c r="CY1301" s="332"/>
      <c r="CZ1301" s="332"/>
      <c r="DA1301" s="332"/>
      <c r="DB1301" s="332"/>
      <c r="DC1301" s="332"/>
      <c r="DD1301" s="332"/>
      <c r="DE1301" s="332"/>
      <c r="DF1301" s="332"/>
      <c r="DG1301" s="332"/>
      <c r="DH1301" s="332"/>
      <c r="DI1301" s="332"/>
      <c r="DJ1301" s="332"/>
      <c r="DK1301" s="332"/>
      <c r="DL1301" s="332"/>
      <c r="DM1301" s="332"/>
      <c r="DN1301" s="332"/>
      <c r="DO1301" s="332"/>
      <c r="DP1301" s="332"/>
      <c r="DQ1301" s="332"/>
      <c r="DR1301" s="332"/>
      <c r="DS1301" s="332"/>
      <c r="DT1301" s="332"/>
      <c r="DU1301" s="453"/>
      <c r="DV1301" s="453"/>
      <c r="DW1301" s="453"/>
      <c r="DX1301" s="453"/>
      <c r="DY1301" s="453"/>
      <c r="DZ1301" s="453"/>
      <c r="EA1301" s="453"/>
      <c r="EB1301" s="453"/>
      <c r="EC1301" s="453"/>
      <c r="ED1301" s="453"/>
      <c r="EE1301" s="453"/>
      <c r="EF1301" s="453"/>
      <c r="EG1301" s="453"/>
      <c r="EH1301" s="453"/>
      <c r="EI1301" s="453"/>
      <c r="EJ1301" s="453"/>
      <c r="EK1301" s="453"/>
      <c r="EL1301" s="453"/>
      <c r="EM1301" s="483">
        <f t="shared" si="257"/>
        <v>992</v>
      </c>
      <c r="EN1301" s="485"/>
      <c r="EO1301" s="458"/>
      <c r="EP1301" s="467"/>
      <c r="EQ1301" s="457"/>
      <c r="ER1301" s="808"/>
      <c r="ES1301" s="881">
        <f t="shared" si="260"/>
        <v>0</v>
      </c>
      <c r="ET1301" s="882"/>
      <c r="EU1301" s="883"/>
      <c r="EV1301" s="884">
        <f t="shared" si="261"/>
        <v>0</v>
      </c>
      <c r="EW1301" s="885"/>
      <c r="EX1301" s="885"/>
      <c r="EY1301" s="885"/>
      <c r="EZ1301" s="885"/>
      <c r="FA1301" s="885"/>
      <c r="FB1301" s="885"/>
      <c r="FC1301" s="885"/>
      <c r="FD1301" s="886"/>
      <c r="FE1301" s="877"/>
      <c r="FF1301" s="877"/>
      <c r="FG1301" s="877"/>
      <c r="FH1301" s="877"/>
      <c r="FI1301" s="877"/>
      <c r="FJ1301" s="877"/>
      <c r="FK1301" s="877"/>
      <c r="FL1301" s="874"/>
      <c r="FM1301" s="875"/>
      <c r="FN1301" s="875"/>
      <c r="FO1301" s="875"/>
      <c r="FP1301" s="875"/>
      <c r="FQ1301" s="875"/>
      <c r="FR1301" s="875"/>
      <c r="FS1301" s="875"/>
      <c r="FT1301" s="875"/>
      <c r="FU1301" s="875"/>
      <c r="FV1301" s="875"/>
      <c r="FW1301" s="875"/>
      <c r="FX1301" s="875"/>
      <c r="FY1301" s="875"/>
      <c r="FZ1301" s="875"/>
      <c r="GA1301" s="875"/>
      <c r="GB1301" s="876"/>
      <c r="GC1301" s="370"/>
      <c r="GD1301" s="453"/>
      <c r="GE1301" s="453"/>
      <c r="GF1301" s="453"/>
      <c r="GG1301" s="453"/>
      <c r="GH1301" s="454"/>
      <c r="GI1301" s="453"/>
      <c r="GJ1301" s="453"/>
      <c r="GK1301" s="453"/>
      <c r="GL1301" s="453"/>
      <c r="GM1301" s="453"/>
      <c r="GN1301" s="453"/>
      <c r="GO1301" s="453"/>
      <c r="GP1301" s="453"/>
      <c r="GQ1301" s="453"/>
      <c r="GR1301" s="453"/>
      <c r="GS1301" s="561"/>
      <c r="GT1301" s="475"/>
      <c r="GU1301" s="472"/>
      <c r="GV1301" s="453"/>
      <c r="GW1301" s="453"/>
      <c r="GX1301" s="869"/>
      <c r="GY1301" s="870"/>
      <c r="GZ1301" s="867"/>
      <c r="HA1301" s="868"/>
      <c r="HB1301" s="473"/>
      <c r="HC1301" s="869"/>
      <c r="HD1301" s="870"/>
      <c r="HE1301" s="867"/>
      <c r="HF1301" s="868"/>
      <c r="HG1301" s="473"/>
      <c r="HH1301" s="867"/>
      <c r="HI1301" s="868"/>
      <c r="HJ1301" s="867"/>
      <c r="HK1301" s="868"/>
      <c r="HL1301" s="370"/>
      <c r="HM1301" s="865"/>
      <c r="HN1301" s="866"/>
      <c r="HO1301" s="865"/>
      <c r="HP1301" s="866"/>
      <c r="HQ1301" s="865"/>
      <c r="HR1301" s="866"/>
      <c r="HS1301" s="867"/>
      <c r="HT1301" s="868"/>
      <c r="HU1301" s="489"/>
      <c r="HV1301" s="865"/>
      <c r="HW1301" s="866"/>
    </row>
    <row r="1302" spans="25:231" ht="15" customHeight="1">
      <c r="Y1302" s="332"/>
      <c r="Z1302" s="332"/>
      <c r="AA1302" s="332"/>
      <c r="AB1302" s="332"/>
      <c r="AC1302" s="332"/>
      <c r="AD1302" s="332"/>
      <c r="AE1302" s="332"/>
      <c r="AF1302" s="332"/>
      <c r="AG1302" s="332"/>
      <c r="AH1302" s="332"/>
      <c r="AI1302" s="332"/>
      <c r="AJ1302" s="332"/>
      <c r="AK1302" s="332"/>
      <c r="AL1302" s="332"/>
      <c r="AM1302" s="332"/>
      <c r="AN1302" s="332"/>
      <c r="AO1302" s="332"/>
      <c r="AP1302" s="332"/>
      <c r="AQ1302" s="332"/>
      <c r="AR1302" s="332"/>
      <c r="AS1302" s="332"/>
      <c r="AT1302" s="332"/>
      <c r="AU1302" s="332"/>
      <c r="AV1302" s="332"/>
      <c r="AW1302" s="332"/>
      <c r="AX1302" s="332"/>
      <c r="AY1302" s="332"/>
      <c r="AZ1302" s="332"/>
      <c r="BA1302" s="332"/>
      <c r="BB1302" s="332"/>
      <c r="BC1302" s="332"/>
      <c r="BD1302" s="332"/>
      <c r="BE1302" s="332"/>
      <c r="BF1302" s="332"/>
      <c r="BG1302" s="332"/>
      <c r="BH1302" s="332"/>
      <c r="BI1302" s="332"/>
      <c r="BJ1302" s="332"/>
      <c r="BK1302" s="332"/>
      <c r="BL1302" s="332"/>
      <c r="BM1302" s="332"/>
      <c r="BN1302" s="332"/>
      <c r="BO1302" s="332"/>
      <c r="BP1302" s="332"/>
      <c r="BQ1302" s="332"/>
      <c r="BR1302" s="332"/>
      <c r="BS1302" s="332"/>
      <c r="BT1302" s="332"/>
      <c r="BU1302" s="332"/>
      <c r="BV1302" s="332"/>
      <c r="BW1302" s="332"/>
      <c r="BX1302" s="332"/>
      <c r="BY1302" s="332"/>
      <c r="BZ1302" s="332"/>
      <c r="CA1302" s="332"/>
      <c r="CB1302" s="332"/>
      <c r="CC1302" s="332"/>
      <c r="CD1302" s="332"/>
      <c r="CE1302" s="332"/>
      <c r="CF1302" s="332"/>
      <c r="CG1302" s="332"/>
      <c r="CH1302" s="332"/>
      <c r="CI1302" s="332"/>
      <c r="CJ1302" s="332"/>
      <c r="CK1302" s="332"/>
      <c r="CL1302" s="332"/>
      <c r="CM1302" s="332"/>
      <c r="CN1302" s="332"/>
      <c r="CO1302" s="332"/>
      <c r="CP1302" s="332"/>
      <c r="CQ1302" s="332"/>
      <c r="CR1302" s="332"/>
      <c r="CS1302" s="332"/>
      <c r="CT1302" s="332"/>
      <c r="CU1302" s="332"/>
      <c r="CV1302" s="332"/>
      <c r="CW1302" s="332"/>
      <c r="CX1302" s="332"/>
      <c r="CY1302" s="332"/>
      <c r="CZ1302" s="332"/>
      <c r="DA1302" s="332"/>
      <c r="DB1302" s="332"/>
      <c r="DC1302" s="332"/>
      <c r="DD1302" s="332"/>
      <c r="DE1302" s="332"/>
      <c r="DF1302" s="332"/>
      <c r="DG1302" s="332"/>
      <c r="DH1302" s="332"/>
      <c r="DI1302" s="332"/>
      <c r="DJ1302" s="332"/>
      <c r="DK1302" s="332"/>
      <c r="DL1302" s="332"/>
      <c r="DM1302" s="332"/>
      <c r="DN1302" s="332"/>
      <c r="DO1302" s="332"/>
      <c r="DP1302" s="332"/>
      <c r="DQ1302" s="332"/>
      <c r="DR1302" s="332"/>
      <c r="DS1302" s="332"/>
      <c r="DT1302" s="332"/>
      <c r="DU1302" s="453"/>
      <c r="DV1302" s="453"/>
      <c r="DW1302" s="453"/>
      <c r="DX1302" s="453"/>
      <c r="DY1302" s="453"/>
      <c r="DZ1302" s="453"/>
      <c r="EA1302" s="453"/>
      <c r="EB1302" s="453"/>
      <c r="EC1302" s="453"/>
      <c r="ED1302" s="453"/>
      <c r="EE1302" s="453"/>
      <c r="EF1302" s="453"/>
      <c r="EG1302" s="453"/>
      <c r="EH1302" s="453"/>
      <c r="EI1302" s="453"/>
      <c r="EJ1302" s="453"/>
      <c r="EK1302" s="453"/>
      <c r="EL1302" s="453"/>
      <c r="EM1302" s="483">
        <f t="shared" si="257"/>
        <v>993</v>
      </c>
      <c r="EN1302" s="485"/>
      <c r="EO1302" s="458"/>
      <c r="EP1302" s="467"/>
      <c r="EQ1302" s="457"/>
      <c r="ER1302" s="808"/>
      <c r="ES1302" s="881">
        <f t="shared" si="260"/>
        <v>0</v>
      </c>
      <c r="ET1302" s="882"/>
      <c r="EU1302" s="883"/>
      <c r="EV1302" s="884">
        <f t="shared" si="261"/>
        <v>0</v>
      </c>
      <c r="EW1302" s="885"/>
      <c r="EX1302" s="885"/>
      <c r="EY1302" s="885"/>
      <c r="EZ1302" s="885"/>
      <c r="FA1302" s="885"/>
      <c r="FB1302" s="885"/>
      <c r="FC1302" s="885"/>
      <c r="FD1302" s="886"/>
      <c r="FE1302" s="877"/>
      <c r="FF1302" s="877"/>
      <c r="FG1302" s="877"/>
      <c r="FH1302" s="877"/>
      <c r="FI1302" s="877"/>
      <c r="FJ1302" s="877"/>
      <c r="FK1302" s="877"/>
      <c r="FL1302" s="874"/>
      <c r="FM1302" s="875"/>
      <c r="FN1302" s="875"/>
      <c r="FO1302" s="875"/>
      <c r="FP1302" s="875"/>
      <c r="FQ1302" s="875"/>
      <c r="FR1302" s="875"/>
      <c r="FS1302" s="875"/>
      <c r="FT1302" s="875"/>
      <c r="FU1302" s="875"/>
      <c r="FV1302" s="875"/>
      <c r="FW1302" s="875"/>
      <c r="FX1302" s="875"/>
      <c r="FY1302" s="875"/>
      <c r="FZ1302" s="875"/>
      <c r="GA1302" s="875"/>
      <c r="GB1302" s="876"/>
      <c r="GC1302" s="370"/>
      <c r="GD1302" s="453"/>
      <c r="GE1302" s="453"/>
      <c r="GF1302" s="453"/>
      <c r="GG1302" s="453"/>
      <c r="GH1302" s="454"/>
      <c r="GI1302" s="453"/>
      <c r="GJ1302" s="453"/>
      <c r="GK1302" s="453"/>
      <c r="GL1302" s="453"/>
      <c r="GM1302" s="453"/>
      <c r="GN1302" s="453"/>
      <c r="GO1302" s="453"/>
      <c r="GP1302" s="453"/>
      <c r="GQ1302" s="453"/>
      <c r="GR1302" s="453"/>
      <c r="GS1302" s="561"/>
      <c r="GT1302" s="475"/>
      <c r="GU1302" s="472"/>
      <c r="GV1302" s="453"/>
      <c r="GW1302" s="453"/>
      <c r="GX1302" s="869"/>
      <c r="GY1302" s="870"/>
      <c r="GZ1302" s="867"/>
      <c r="HA1302" s="868"/>
      <c r="HB1302" s="473"/>
      <c r="HC1302" s="869"/>
      <c r="HD1302" s="870"/>
      <c r="HE1302" s="867"/>
      <c r="HF1302" s="868"/>
      <c r="HG1302" s="473"/>
      <c r="HH1302" s="867"/>
      <c r="HI1302" s="868"/>
      <c r="HJ1302" s="867"/>
      <c r="HK1302" s="868"/>
      <c r="HL1302" s="370"/>
      <c r="HM1302" s="865"/>
      <c r="HN1302" s="866"/>
      <c r="HO1302" s="865"/>
      <c r="HP1302" s="866"/>
      <c r="HQ1302" s="865"/>
      <c r="HR1302" s="866"/>
      <c r="HS1302" s="867"/>
      <c r="HT1302" s="868"/>
      <c r="HU1302" s="489"/>
      <c r="HV1302" s="865"/>
      <c r="HW1302" s="866"/>
    </row>
    <row r="1303" spans="25:231" ht="15" customHeight="1">
      <c r="Y1303" s="332"/>
      <c r="Z1303" s="332"/>
      <c r="AA1303" s="332"/>
      <c r="AB1303" s="332"/>
      <c r="AC1303" s="332"/>
      <c r="AD1303" s="332"/>
      <c r="AE1303" s="332"/>
      <c r="AF1303" s="332"/>
      <c r="AG1303" s="332"/>
      <c r="AH1303" s="332"/>
      <c r="AI1303" s="332"/>
      <c r="AJ1303" s="332"/>
      <c r="AK1303" s="332"/>
      <c r="AL1303" s="332"/>
      <c r="AM1303" s="332"/>
      <c r="AN1303" s="332"/>
      <c r="AO1303" s="332"/>
      <c r="AP1303" s="332"/>
      <c r="AQ1303" s="332"/>
      <c r="AR1303" s="332"/>
      <c r="AS1303" s="332"/>
      <c r="AT1303" s="332"/>
      <c r="AU1303" s="332"/>
      <c r="AV1303" s="332"/>
      <c r="AW1303" s="332"/>
      <c r="AX1303" s="332"/>
      <c r="AY1303" s="332"/>
      <c r="AZ1303" s="332"/>
      <c r="BA1303" s="332"/>
      <c r="BB1303" s="332"/>
      <c r="BC1303" s="332"/>
      <c r="BD1303" s="332"/>
      <c r="BE1303" s="332"/>
      <c r="BF1303" s="332"/>
      <c r="BG1303" s="332"/>
      <c r="BH1303" s="332"/>
      <c r="BI1303" s="332"/>
      <c r="BJ1303" s="332"/>
      <c r="BK1303" s="332"/>
      <c r="BL1303" s="332"/>
      <c r="BM1303" s="332"/>
      <c r="BN1303" s="332"/>
      <c r="BO1303" s="332"/>
      <c r="BP1303" s="332"/>
      <c r="BQ1303" s="332"/>
      <c r="BR1303" s="332"/>
      <c r="BS1303" s="332"/>
      <c r="BT1303" s="332"/>
      <c r="BU1303" s="332"/>
      <c r="BV1303" s="332"/>
      <c r="BW1303" s="332"/>
      <c r="BX1303" s="332"/>
      <c r="BY1303" s="332"/>
      <c r="BZ1303" s="332"/>
      <c r="CA1303" s="332"/>
      <c r="CB1303" s="332"/>
      <c r="CC1303" s="332"/>
      <c r="CD1303" s="332"/>
      <c r="CE1303" s="332"/>
      <c r="CF1303" s="332"/>
      <c r="CG1303" s="332"/>
      <c r="CH1303" s="332"/>
      <c r="CI1303" s="332"/>
      <c r="CJ1303" s="332"/>
      <c r="CK1303" s="332"/>
      <c r="CL1303" s="332"/>
      <c r="CM1303" s="332"/>
      <c r="CN1303" s="332"/>
      <c r="CO1303" s="332"/>
      <c r="CP1303" s="332"/>
      <c r="CQ1303" s="332"/>
      <c r="CR1303" s="332"/>
      <c r="CS1303" s="332"/>
      <c r="CT1303" s="332"/>
      <c r="CU1303" s="332"/>
      <c r="CV1303" s="332"/>
      <c r="CW1303" s="332"/>
      <c r="CX1303" s="332"/>
      <c r="CY1303" s="332"/>
      <c r="CZ1303" s="332"/>
      <c r="DA1303" s="332"/>
      <c r="DB1303" s="332"/>
      <c r="DC1303" s="332"/>
      <c r="DD1303" s="332"/>
      <c r="DE1303" s="332"/>
      <c r="DF1303" s="332"/>
      <c r="DG1303" s="332"/>
      <c r="DH1303" s="332"/>
      <c r="DI1303" s="332"/>
      <c r="DJ1303" s="332"/>
      <c r="DK1303" s="332"/>
      <c r="DL1303" s="332"/>
      <c r="DM1303" s="332"/>
      <c r="DN1303" s="332"/>
      <c r="DO1303" s="332"/>
      <c r="DP1303" s="332"/>
      <c r="DQ1303" s="332"/>
      <c r="DR1303" s="332"/>
      <c r="DS1303" s="332"/>
      <c r="DT1303" s="332"/>
      <c r="DU1303" s="453"/>
      <c r="DV1303" s="453"/>
      <c r="DW1303" s="453"/>
      <c r="DX1303" s="453"/>
      <c r="DY1303" s="453"/>
      <c r="DZ1303" s="453"/>
      <c r="EA1303" s="453"/>
      <c r="EB1303" s="453"/>
      <c r="EC1303" s="453"/>
      <c r="ED1303" s="453"/>
      <c r="EE1303" s="453"/>
      <c r="EF1303" s="453"/>
      <c r="EG1303" s="453"/>
      <c r="EH1303" s="453"/>
      <c r="EI1303" s="453"/>
      <c r="EJ1303" s="453"/>
      <c r="EK1303" s="453"/>
      <c r="EL1303" s="453"/>
      <c r="EM1303" s="483">
        <f t="shared" si="257"/>
        <v>994</v>
      </c>
      <c r="EN1303" s="485"/>
      <c r="EO1303" s="458"/>
      <c r="EP1303" s="467"/>
      <c r="EQ1303" s="457"/>
      <c r="ER1303" s="808"/>
      <c r="ES1303" s="881">
        <f t="shared" si="260"/>
        <v>0</v>
      </c>
      <c r="ET1303" s="882"/>
      <c r="EU1303" s="883"/>
      <c r="EV1303" s="884">
        <f t="shared" si="261"/>
        <v>0</v>
      </c>
      <c r="EW1303" s="885"/>
      <c r="EX1303" s="885"/>
      <c r="EY1303" s="885"/>
      <c r="EZ1303" s="885"/>
      <c r="FA1303" s="885"/>
      <c r="FB1303" s="885"/>
      <c r="FC1303" s="885"/>
      <c r="FD1303" s="886"/>
      <c r="FE1303" s="877"/>
      <c r="FF1303" s="877"/>
      <c r="FG1303" s="877"/>
      <c r="FH1303" s="877"/>
      <c r="FI1303" s="877"/>
      <c r="FJ1303" s="877"/>
      <c r="FK1303" s="877"/>
      <c r="FL1303" s="874"/>
      <c r="FM1303" s="875"/>
      <c r="FN1303" s="875"/>
      <c r="FO1303" s="875"/>
      <c r="FP1303" s="875"/>
      <c r="FQ1303" s="875"/>
      <c r="FR1303" s="875"/>
      <c r="FS1303" s="875"/>
      <c r="FT1303" s="875"/>
      <c r="FU1303" s="875"/>
      <c r="FV1303" s="875"/>
      <c r="FW1303" s="875"/>
      <c r="FX1303" s="875"/>
      <c r="FY1303" s="875"/>
      <c r="FZ1303" s="875"/>
      <c r="GA1303" s="875"/>
      <c r="GB1303" s="876"/>
      <c r="GC1303" s="370"/>
      <c r="GD1303" s="453"/>
      <c r="GE1303" s="453"/>
      <c r="GF1303" s="453"/>
      <c r="GG1303" s="453"/>
      <c r="GH1303" s="454"/>
      <c r="GI1303" s="453"/>
      <c r="GJ1303" s="453"/>
      <c r="GK1303" s="453"/>
      <c r="GL1303" s="453"/>
      <c r="GM1303" s="453"/>
      <c r="GN1303" s="453"/>
      <c r="GO1303" s="453"/>
      <c r="GP1303" s="453"/>
      <c r="GQ1303" s="453"/>
      <c r="GR1303" s="453"/>
      <c r="GS1303" s="561"/>
      <c r="GT1303" s="475"/>
      <c r="GU1303" s="472"/>
      <c r="GV1303" s="453"/>
      <c r="GW1303" s="453"/>
      <c r="GX1303" s="869"/>
      <c r="GY1303" s="870"/>
      <c r="GZ1303" s="867"/>
      <c r="HA1303" s="868"/>
      <c r="HB1303" s="473"/>
      <c r="HC1303" s="869"/>
      <c r="HD1303" s="870"/>
      <c r="HE1303" s="867"/>
      <c r="HF1303" s="868"/>
      <c r="HG1303" s="473"/>
      <c r="HH1303" s="867"/>
      <c r="HI1303" s="868"/>
      <c r="HJ1303" s="867"/>
      <c r="HK1303" s="868"/>
      <c r="HL1303" s="370"/>
      <c r="HM1303" s="865"/>
      <c r="HN1303" s="866"/>
      <c r="HO1303" s="865"/>
      <c r="HP1303" s="866"/>
      <c r="HQ1303" s="865"/>
      <c r="HR1303" s="866"/>
      <c r="HS1303" s="867"/>
      <c r="HT1303" s="868"/>
      <c r="HU1303" s="489"/>
      <c r="HV1303" s="865"/>
      <c r="HW1303" s="866"/>
    </row>
    <row r="1304" spans="25:231" ht="15" customHeight="1">
      <c r="Y1304" s="332"/>
      <c r="Z1304" s="332"/>
      <c r="AA1304" s="332"/>
      <c r="AB1304" s="332"/>
      <c r="AC1304" s="332"/>
      <c r="AD1304" s="332"/>
      <c r="AE1304" s="332"/>
      <c r="AF1304" s="332"/>
      <c r="AG1304" s="332"/>
      <c r="AH1304" s="332"/>
      <c r="AI1304" s="332"/>
      <c r="AJ1304" s="332"/>
      <c r="AK1304" s="332"/>
      <c r="AL1304" s="332"/>
      <c r="AM1304" s="332"/>
      <c r="AN1304" s="332"/>
      <c r="AO1304" s="332"/>
      <c r="AP1304" s="332"/>
      <c r="AQ1304" s="332"/>
      <c r="AR1304" s="332"/>
      <c r="AS1304" s="332"/>
      <c r="AT1304" s="332"/>
      <c r="AU1304" s="332"/>
      <c r="AV1304" s="332"/>
      <c r="AW1304" s="332"/>
      <c r="AX1304" s="332"/>
      <c r="AY1304" s="332"/>
      <c r="AZ1304" s="332"/>
      <c r="BA1304" s="332"/>
      <c r="BB1304" s="332"/>
      <c r="BC1304" s="332"/>
      <c r="BD1304" s="332"/>
      <c r="BE1304" s="332"/>
      <c r="BF1304" s="332"/>
      <c r="BG1304" s="332"/>
      <c r="BH1304" s="332"/>
      <c r="BI1304" s="332"/>
      <c r="BJ1304" s="332"/>
      <c r="BK1304" s="332"/>
      <c r="BL1304" s="332"/>
      <c r="BM1304" s="332"/>
      <c r="BN1304" s="332"/>
      <c r="BO1304" s="332"/>
      <c r="BP1304" s="332"/>
      <c r="BQ1304" s="332"/>
      <c r="BR1304" s="332"/>
      <c r="BS1304" s="332"/>
      <c r="BT1304" s="332"/>
      <c r="BU1304" s="332"/>
      <c r="BV1304" s="332"/>
      <c r="BW1304" s="332"/>
      <c r="BX1304" s="332"/>
      <c r="BY1304" s="332"/>
      <c r="BZ1304" s="332"/>
      <c r="CA1304" s="332"/>
      <c r="CB1304" s="332"/>
      <c r="CC1304" s="332"/>
      <c r="CD1304" s="332"/>
      <c r="CE1304" s="332"/>
      <c r="CF1304" s="332"/>
      <c r="CG1304" s="332"/>
      <c r="CH1304" s="332"/>
      <c r="CI1304" s="332"/>
      <c r="CJ1304" s="332"/>
      <c r="CK1304" s="332"/>
      <c r="CL1304" s="332"/>
      <c r="CM1304" s="332"/>
      <c r="CN1304" s="332"/>
      <c r="CO1304" s="332"/>
      <c r="CP1304" s="332"/>
      <c r="CQ1304" s="332"/>
      <c r="CR1304" s="332"/>
      <c r="CS1304" s="332"/>
      <c r="CT1304" s="332"/>
      <c r="CU1304" s="332"/>
      <c r="CV1304" s="332"/>
      <c r="CW1304" s="332"/>
      <c r="CX1304" s="332"/>
      <c r="CY1304" s="332"/>
      <c r="CZ1304" s="332"/>
      <c r="DA1304" s="332"/>
      <c r="DB1304" s="332"/>
      <c r="DC1304" s="332"/>
      <c r="DD1304" s="332"/>
      <c r="DE1304" s="332"/>
      <c r="DF1304" s="332"/>
      <c r="DG1304" s="332"/>
      <c r="DH1304" s="332"/>
      <c r="DI1304" s="332"/>
      <c r="DJ1304" s="332"/>
      <c r="DK1304" s="332"/>
      <c r="DL1304" s="332"/>
      <c r="DM1304" s="332"/>
      <c r="DN1304" s="332"/>
      <c r="DO1304" s="332"/>
      <c r="DP1304" s="332"/>
      <c r="DQ1304" s="332"/>
      <c r="DR1304" s="332"/>
      <c r="DS1304" s="332"/>
      <c r="DT1304" s="332"/>
      <c r="DU1304" s="453"/>
      <c r="DV1304" s="453"/>
      <c r="DW1304" s="453"/>
      <c r="DX1304" s="453"/>
      <c r="DY1304" s="453"/>
      <c r="DZ1304" s="453"/>
      <c r="EA1304" s="453"/>
      <c r="EB1304" s="453"/>
      <c r="EC1304" s="453"/>
      <c r="ED1304" s="453"/>
      <c r="EE1304" s="453"/>
      <c r="EF1304" s="453"/>
      <c r="EG1304" s="453"/>
      <c r="EH1304" s="453"/>
      <c r="EI1304" s="453"/>
      <c r="EJ1304" s="453"/>
      <c r="EK1304" s="453"/>
      <c r="EL1304" s="453"/>
      <c r="EM1304" s="483">
        <f t="shared" si="257"/>
        <v>995</v>
      </c>
      <c r="EN1304" s="485"/>
      <c r="EO1304" s="458"/>
      <c r="EP1304" s="467"/>
      <c r="EQ1304" s="457"/>
      <c r="ER1304" s="808"/>
      <c r="ES1304" s="881">
        <f t="shared" si="260"/>
        <v>0</v>
      </c>
      <c r="ET1304" s="882"/>
      <c r="EU1304" s="883"/>
      <c r="EV1304" s="884">
        <f t="shared" si="261"/>
        <v>0</v>
      </c>
      <c r="EW1304" s="885"/>
      <c r="EX1304" s="885"/>
      <c r="EY1304" s="885"/>
      <c r="EZ1304" s="885"/>
      <c r="FA1304" s="885"/>
      <c r="FB1304" s="885"/>
      <c r="FC1304" s="885"/>
      <c r="FD1304" s="886"/>
      <c r="FE1304" s="877"/>
      <c r="FF1304" s="877"/>
      <c r="FG1304" s="877"/>
      <c r="FH1304" s="877"/>
      <c r="FI1304" s="877"/>
      <c r="FJ1304" s="877"/>
      <c r="FK1304" s="877"/>
      <c r="FL1304" s="874"/>
      <c r="FM1304" s="875"/>
      <c r="FN1304" s="875"/>
      <c r="FO1304" s="875"/>
      <c r="FP1304" s="875"/>
      <c r="FQ1304" s="875"/>
      <c r="FR1304" s="875"/>
      <c r="FS1304" s="875"/>
      <c r="FT1304" s="875"/>
      <c r="FU1304" s="875"/>
      <c r="FV1304" s="875"/>
      <c r="FW1304" s="875"/>
      <c r="FX1304" s="875"/>
      <c r="FY1304" s="875"/>
      <c r="FZ1304" s="875"/>
      <c r="GA1304" s="875"/>
      <c r="GB1304" s="876"/>
      <c r="GC1304" s="370"/>
      <c r="GD1304" s="453"/>
      <c r="GE1304" s="453"/>
      <c r="GF1304" s="453"/>
      <c r="GG1304" s="453"/>
      <c r="GH1304" s="454"/>
      <c r="GI1304" s="453"/>
      <c r="GJ1304" s="453"/>
      <c r="GK1304" s="453"/>
      <c r="GL1304" s="453"/>
      <c r="GM1304" s="453"/>
      <c r="GN1304" s="453"/>
      <c r="GO1304" s="453"/>
      <c r="GP1304" s="453"/>
      <c r="GQ1304" s="453"/>
      <c r="GR1304" s="453"/>
      <c r="GS1304" s="561"/>
      <c r="GT1304" s="475"/>
      <c r="GU1304" s="472"/>
      <c r="GV1304" s="453"/>
      <c r="GW1304" s="453"/>
      <c r="GX1304" s="869"/>
      <c r="GY1304" s="870"/>
      <c r="GZ1304" s="867"/>
      <c r="HA1304" s="868"/>
      <c r="HB1304" s="473"/>
      <c r="HC1304" s="869"/>
      <c r="HD1304" s="870"/>
      <c r="HE1304" s="867"/>
      <c r="HF1304" s="868"/>
      <c r="HG1304" s="473"/>
      <c r="HH1304" s="867"/>
      <c r="HI1304" s="868"/>
      <c r="HJ1304" s="867"/>
      <c r="HK1304" s="868"/>
      <c r="HL1304" s="370"/>
      <c r="HM1304" s="865"/>
      <c r="HN1304" s="866"/>
      <c r="HO1304" s="865"/>
      <c r="HP1304" s="866"/>
      <c r="HQ1304" s="865"/>
      <c r="HR1304" s="866"/>
      <c r="HS1304" s="867"/>
      <c r="HT1304" s="868"/>
      <c r="HU1304" s="489"/>
      <c r="HV1304" s="865"/>
      <c r="HW1304" s="866"/>
    </row>
    <row r="1305" spans="25:231" ht="15" customHeight="1">
      <c r="Y1305" s="332"/>
      <c r="Z1305" s="332"/>
      <c r="AA1305" s="332"/>
      <c r="AB1305" s="332"/>
      <c r="AC1305" s="332"/>
      <c r="AD1305" s="332"/>
      <c r="AE1305" s="332"/>
      <c r="AF1305" s="332"/>
      <c r="AG1305" s="332"/>
      <c r="AH1305" s="332"/>
      <c r="AI1305" s="332"/>
      <c r="AJ1305" s="332"/>
      <c r="AK1305" s="332"/>
      <c r="AL1305" s="332"/>
      <c r="AM1305" s="332"/>
      <c r="AN1305" s="332"/>
      <c r="AO1305" s="332"/>
      <c r="AP1305" s="332"/>
      <c r="AQ1305" s="332"/>
      <c r="AR1305" s="332"/>
      <c r="AS1305" s="332"/>
      <c r="AT1305" s="332"/>
      <c r="AU1305" s="332"/>
      <c r="AV1305" s="332"/>
      <c r="AW1305" s="332"/>
      <c r="AX1305" s="332"/>
      <c r="AY1305" s="332"/>
      <c r="AZ1305" s="332"/>
      <c r="BA1305" s="332"/>
      <c r="BB1305" s="332"/>
      <c r="BC1305" s="332"/>
      <c r="BD1305" s="332"/>
      <c r="BE1305" s="332"/>
      <c r="BF1305" s="332"/>
      <c r="BG1305" s="332"/>
      <c r="BH1305" s="332"/>
      <c r="BI1305" s="332"/>
      <c r="BJ1305" s="332"/>
      <c r="BK1305" s="332"/>
      <c r="BL1305" s="332"/>
      <c r="BM1305" s="332"/>
      <c r="BN1305" s="332"/>
      <c r="BO1305" s="332"/>
      <c r="BP1305" s="332"/>
      <c r="BQ1305" s="332"/>
      <c r="BR1305" s="332"/>
      <c r="BS1305" s="332"/>
      <c r="BT1305" s="332"/>
      <c r="BU1305" s="332"/>
      <c r="BV1305" s="332"/>
      <c r="BW1305" s="332"/>
      <c r="BX1305" s="332"/>
      <c r="BY1305" s="332"/>
      <c r="BZ1305" s="332"/>
      <c r="CA1305" s="332"/>
      <c r="CB1305" s="332"/>
      <c r="CC1305" s="332"/>
      <c r="CD1305" s="332"/>
      <c r="CE1305" s="332"/>
      <c r="CF1305" s="332"/>
      <c r="CG1305" s="332"/>
      <c r="CH1305" s="332"/>
      <c r="CI1305" s="332"/>
      <c r="CJ1305" s="332"/>
      <c r="CK1305" s="332"/>
      <c r="CL1305" s="332"/>
      <c r="CM1305" s="332"/>
      <c r="CN1305" s="332"/>
      <c r="CO1305" s="332"/>
      <c r="CP1305" s="332"/>
      <c r="CQ1305" s="332"/>
      <c r="CR1305" s="332"/>
      <c r="CS1305" s="332"/>
      <c r="CT1305" s="332"/>
      <c r="CU1305" s="332"/>
      <c r="CV1305" s="332"/>
      <c r="CW1305" s="332"/>
      <c r="CX1305" s="332"/>
      <c r="CY1305" s="332"/>
      <c r="CZ1305" s="332"/>
      <c r="DA1305" s="332"/>
      <c r="DB1305" s="332"/>
      <c r="DC1305" s="332"/>
      <c r="DD1305" s="332"/>
      <c r="DE1305" s="332"/>
      <c r="DF1305" s="332"/>
      <c r="DG1305" s="332"/>
      <c r="DH1305" s="332"/>
      <c r="DI1305" s="332"/>
      <c r="DJ1305" s="332"/>
      <c r="DK1305" s="332"/>
      <c r="DL1305" s="332"/>
      <c r="DM1305" s="332"/>
      <c r="DN1305" s="332"/>
      <c r="DO1305" s="332"/>
      <c r="DP1305" s="332"/>
      <c r="DQ1305" s="332"/>
      <c r="DR1305" s="332"/>
      <c r="DS1305" s="332"/>
      <c r="DT1305" s="332"/>
      <c r="DU1305" s="453"/>
      <c r="DV1305" s="453"/>
      <c r="DW1305" s="453"/>
      <c r="DX1305" s="453"/>
      <c r="DY1305" s="453"/>
      <c r="DZ1305" s="453"/>
      <c r="EA1305" s="453"/>
      <c r="EB1305" s="453"/>
      <c r="EC1305" s="453"/>
      <c r="ED1305" s="453"/>
      <c r="EE1305" s="453"/>
      <c r="EF1305" s="453"/>
      <c r="EG1305" s="453"/>
      <c r="EH1305" s="453"/>
      <c r="EI1305" s="453"/>
      <c r="EJ1305" s="453"/>
      <c r="EK1305" s="453"/>
      <c r="EL1305" s="453"/>
      <c r="EM1305" s="483">
        <f t="shared" si="257"/>
        <v>996</v>
      </c>
      <c r="EN1305" s="485"/>
      <c r="EO1305" s="458"/>
      <c r="EP1305" s="467"/>
      <c r="EQ1305" s="457"/>
      <c r="ER1305" s="808"/>
      <c r="ES1305" s="881">
        <f t="shared" si="260"/>
        <v>0</v>
      </c>
      <c r="ET1305" s="882"/>
      <c r="EU1305" s="883"/>
      <c r="EV1305" s="884">
        <f t="shared" si="261"/>
        <v>0</v>
      </c>
      <c r="EW1305" s="885"/>
      <c r="EX1305" s="885"/>
      <c r="EY1305" s="885"/>
      <c r="EZ1305" s="885"/>
      <c r="FA1305" s="885"/>
      <c r="FB1305" s="885"/>
      <c r="FC1305" s="885"/>
      <c r="FD1305" s="886"/>
      <c r="FE1305" s="877"/>
      <c r="FF1305" s="877"/>
      <c r="FG1305" s="877"/>
      <c r="FH1305" s="877"/>
      <c r="FI1305" s="877"/>
      <c r="FJ1305" s="877"/>
      <c r="FK1305" s="877"/>
      <c r="FL1305" s="874"/>
      <c r="FM1305" s="875"/>
      <c r="FN1305" s="875"/>
      <c r="FO1305" s="875"/>
      <c r="FP1305" s="875"/>
      <c r="FQ1305" s="875"/>
      <c r="FR1305" s="875"/>
      <c r="FS1305" s="875"/>
      <c r="FT1305" s="875"/>
      <c r="FU1305" s="875"/>
      <c r="FV1305" s="875"/>
      <c r="FW1305" s="875"/>
      <c r="FX1305" s="875"/>
      <c r="FY1305" s="875"/>
      <c r="FZ1305" s="875"/>
      <c r="GA1305" s="875"/>
      <c r="GB1305" s="876"/>
      <c r="GC1305" s="370"/>
      <c r="GD1305" s="453"/>
      <c r="GE1305" s="453"/>
      <c r="GF1305" s="453"/>
      <c r="GG1305" s="453"/>
      <c r="GH1305" s="454"/>
      <c r="GI1305" s="453"/>
      <c r="GJ1305" s="453"/>
      <c r="GK1305" s="453"/>
      <c r="GL1305" s="453"/>
      <c r="GM1305" s="453"/>
      <c r="GN1305" s="453"/>
      <c r="GO1305" s="453"/>
      <c r="GP1305" s="453"/>
      <c r="GQ1305" s="453"/>
      <c r="GR1305" s="453"/>
      <c r="GS1305" s="561"/>
      <c r="GT1305" s="475"/>
      <c r="GU1305" s="472"/>
      <c r="GV1305" s="453"/>
      <c r="GW1305" s="453"/>
      <c r="GX1305" s="869"/>
      <c r="GY1305" s="870"/>
      <c r="GZ1305" s="867"/>
      <c r="HA1305" s="868"/>
      <c r="HB1305" s="473"/>
      <c r="HC1305" s="869"/>
      <c r="HD1305" s="870"/>
      <c r="HE1305" s="867"/>
      <c r="HF1305" s="868"/>
      <c r="HG1305" s="473"/>
      <c r="HH1305" s="867"/>
      <c r="HI1305" s="868"/>
      <c r="HJ1305" s="867"/>
      <c r="HK1305" s="868"/>
      <c r="HL1305" s="370"/>
      <c r="HM1305" s="865"/>
      <c r="HN1305" s="866"/>
      <c r="HO1305" s="865"/>
      <c r="HP1305" s="866"/>
      <c r="HQ1305" s="865"/>
      <c r="HR1305" s="866"/>
      <c r="HS1305" s="867"/>
      <c r="HT1305" s="868"/>
      <c r="HU1305" s="489"/>
      <c r="HV1305" s="865"/>
      <c r="HW1305" s="866"/>
    </row>
    <row r="1306" spans="25:231" ht="15" customHeight="1">
      <c r="Y1306" s="332"/>
      <c r="Z1306" s="332"/>
      <c r="AA1306" s="332"/>
      <c r="AB1306" s="332"/>
      <c r="AC1306" s="332"/>
      <c r="AD1306" s="332"/>
      <c r="AE1306" s="332"/>
      <c r="AF1306" s="332"/>
      <c r="AG1306" s="332"/>
      <c r="AH1306" s="332"/>
      <c r="AI1306" s="332"/>
      <c r="AJ1306" s="332"/>
      <c r="AK1306" s="332"/>
      <c r="AL1306" s="332"/>
      <c r="AM1306" s="332"/>
      <c r="AN1306" s="332"/>
      <c r="AO1306" s="332"/>
      <c r="AP1306" s="332"/>
      <c r="AQ1306" s="332"/>
      <c r="AR1306" s="332"/>
      <c r="AS1306" s="332"/>
      <c r="AT1306" s="332"/>
      <c r="AU1306" s="332"/>
      <c r="AV1306" s="332"/>
      <c r="AW1306" s="332"/>
      <c r="AX1306" s="332"/>
      <c r="AY1306" s="332"/>
      <c r="AZ1306" s="332"/>
      <c r="BA1306" s="332"/>
      <c r="BB1306" s="332"/>
      <c r="BC1306" s="332"/>
      <c r="BD1306" s="332"/>
      <c r="BE1306" s="332"/>
      <c r="BF1306" s="332"/>
      <c r="BG1306" s="332"/>
      <c r="BH1306" s="332"/>
      <c r="BI1306" s="332"/>
      <c r="BJ1306" s="332"/>
      <c r="BK1306" s="332"/>
      <c r="BL1306" s="332"/>
      <c r="BM1306" s="332"/>
      <c r="BN1306" s="332"/>
      <c r="BO1306" s="332"/>
      <c r="BP1306" s="332"/>
      <c r="BQ1306" s="332"/>
      <c r="BR1306" s="332"/>
      <c r="BS1306" s="332"/>
      <c r="BT1306" s="332"/>
      <c r="BU1306" s="332"/>
      <c r="BV1306" s="332"/>
      <c r="BW1306" s="332"/>
      <c r="BX1306" s="332"/>
      <c r="BY1306" s="332"/>
      <c r="BZ1306" s="332"/>
      <c r="CA1306" s="332"/>
      <c r="CB1306" s="332"/>
      <c r="CC1306" s="332"/>
      <c r="CD1306" s="332"/>
      <c r="CE1306" s="332"/>
      <c r="CF1306" s="332"/>
      <c r="CG1306" s="332"/>
      <c r="CH1306" s="332"/>
      <c r="CI1306" s="332"/>
      <c r="CJ1306" s="332"/>
      <c r="CK1306" s="332"/>
      <c r="CL1306" s="332"/>
      <c r="CM1306" s="332"/>
      <c r="CN1306" s="332"/>
      <c r="CO1306" s="332"/>
      <c r="CP1306" s="332"/>
      <c r="CQ1306" s="332"/>
      <c r="CR1306" s="332"/>
      <c r="CS1306" s="332"/>
      <c r="CT1306" s="332"/>
      <c r="CU1306" s="332"/>
      <c r="CV1306" s="332"/>
      <c r="CW1306" s="332"/>
      <c r="CX1306" s="332"/>
      <c r="CY1306" s="332"/>
      <c r="CZ1306" s="332"/>
      <c r="DA1306" s="332"/>
      <c r="DB1306" s="332"/>
      <c r="DC1306" s="332"/>
      <c r="DD1306" s="332"/>
      <c r="DE1306" s="332"/>
      <c r="DF1306" s="332"/>
      <c r="DG1306" s="332"/>
      <c r="DH1306" s="332"/>
      <c r="DI1306" s="332"/>
      <c r="DJ1306" s="332"/>
      <c r="DK1306" s="332"/>
      <c r="DL1306" s="332"/>
      <c r="DM1306" s="332"/>
      <c r="DN1306" s="332"/>
      <c r="DO1306" s="332"/>
      <c r="DP1306" s="332"/>
      <c r="DQ1306" s="332"/>
      <c r="DR1306" s="332"/>
      <c r="DS1306" s="332"/>
      <c r="DT1306" s="332"/>
      <c r="DU1306" s="453"/>
      <c r="DV1306" s="453"/>
      <c r="DW1306" s="453"/>
      <c r="DX1306" s="453"/>
      <c r="DY1306" s="453"/>
      <c r="DZ1306" s="453"/>
      <c r="EA1306" s="453"/>
      <c r="EB1306" s="453"/>
      <c r="EC1306" s="453"/>
      <c r="ED1306" s="453"/>
      <c r="EE1306" s="453"/>
      <c r="EF1306" s="453"/>
      <c r="EG1306" s="453"/>
      <c r="EH1306" s="453"/>
      <c r="EI1306" s="453"/>
      <c r="EJ1306" s="453"/>
      <c r="EK1306" s="453"/>
      <c r="EL1306" s="453"/>
      <c r="EM1306" s="483">
        <f t="shared" si="257"/>
        <v>997</v>
      </c>
      <c r="EN1306" s="485"/>
      <c r="EO1306" s="458"/>
      <c r="EP1306" s="467"/>
      <c r="EQ1306" s="457"/>
      <c r="ER1306" s="808"/>
      <c r="ES1306" s="881">
        <f t="shared" si="260"/>
        <v>0</v>
      </c>
      <c r="ET1306" s="882"/>
      <c r="EU1306" s="883"/>
      <c r="EV1306" s="884">
        <f t="shared" si="261"/>
        <v>0</v>
      </c>
      <c r="EW1306" s="885"/>
      <c r="EX1306" s="885"/>
      <c r="EY1306" s="885"/>
      <c r="EZ1306" s="885"/>
      <c r="FA1306" s="885"/>
      <c r="FB1306" s="885"/>
      <c r="FC1306" s="885"/>
      <c r="FD1306" s="886"/>
      <c r="FE1306" s="877"/>
      <c r="FF1306" s="877"/>
      <c r="FG1306" s="877"/>
      <c r="FH1306" s="877"/>
      <c r="FI1306" s="877"/>
      <c r="FJ1306" s="877"/>
      <c r="FK1306" s="877"/>
      <c r="FL1306" s="874"/>
      <c r="FM1306" s="875"/>
      <c r="FN1306" s="875"/>
      <c r="FO1306" s="875"/>
      <c r="FP1306" s="875"/>
      <c r="FQ1306" s="875"/>
      <c r="FR1306" s="875"/>
      <c r="FS1306" s="875"/>
      <c r="FT1306" s="875"/>
      <c r="FU1306" s="875"/>
      <c r="FV1306" s="875"/>
      <c r="FW1306" s="875"/>
      <c r="FX1306" s="875"/>
      <c r="FY1306" s="875"/>
      <c r="FZ1306" s="875"/>
      <c r="GA1306" s="875"/>
      <c r="GB1306" s="876"/>
      <c r="GC1306" s="370"/>
      <c r="GD1306" s="453"/>
      <c r="GE1306" s="453"/>
      <c r="GF1306" s="453"/>
      <c r="GG1306" s="453"/>
      <c r="GH1306" s="454"/>
      <c r="GI1306" s="453"/>
      <c r="GJ1306" s="453"/>
      <c r="GK1306" s="453"/>
      <c r="GL1306" s="453"/>
      <c r="GM1306" s="453"/>
      <c r="GN1306" s="453"/>
      <c r="GO1306" s="453"/>
      <c r="GP1306" s="453"/>
      <c r="GQ1306" s="453"/>
      <c r="GR1306" s="453"/>
      <c r="GS1306" s="561"/>
      <c r="GT1306" s="475"/>
      <c r="GU1306" s="472"/>
      <c r="GV1306" s="453"/>
      <c r="GW1306" s="453"/>
      <c r="GX1306" s="869"/>
      <c r="GY1306" s="870"/>
      <c r="GZ1306" s="867"/>
      <c r="HA1306" s="868"/>
      <c r="HB1306" s="473"/>
      <c r="HC1306" s="869"/>
      <c r="HD1306" s="870"/>
      <c r="HE1306" s="867"/>
      <c r="HF1306" s="868"/>
      <c r="HG1306" s="473"/>
      <c r="HH1306" s="867"/>
      <c r="HI1306" s="868"/>
      <c r="HJ1306" s="867"/>
      <c r="HK1306" s="868"/>
      <c r="HL1306" s="370"/>
      <c r="HM1306" s="865"/>
      <c r="HN1306" s="866"/>
      <c r="HO1306" s="865"/>
      <c r="HP1306" s="866"/>
      <c r="HQ1306" s="865"/>
      <c r="HR1306" s="866"/>
      <c r="HS1306" s="867"/>
      <c r="HT1306" s="868"/>
      <c r="HU1306" s="489"/>
      <c r="HV1306" s="865"/>
      <c r="HW1306" s="866"/>
    </row>
    <row r="1307" spans="25:231" ht="15" customHeight="1">
      <c r="Y1307" s="332"/>
      <c r="Z1307" s="332"/>
      <c r="AA1307" s="332"/>
      <c r="AB1307" s="332"/>
      <c r="AC1307" s="332"/>
      <c r="AD1307" s="332"/>
      <c r="AE1307" s="332"/>
      <c r="AF1307" s="332"/>
      <c r="AG1307" s="332"/>
      <c r="AH1307" s="332"/>
      <c r="AI1307" s="332"/>
      <c r="AJ1307" s="332"/>
      <c r="AK1307" s="332"/>
      <c r="AL1307" s="332"/>
      <c r="AM1307" s="332"/>
      <c r="AN1307" s="332"/>
      <c r="AO1307" s="332"/>
      <c r="AP1307" s="332"/>
      <c r="AQ1307" s="332"/>
      <c r="AR1307" s="332"/>
      <c r="AS1307" s="332"/>
      <c r="AT1307" s="332"/>
      <c r="AU1307" s="332"/>
      <c r="AV1307" s="332"/>
      <c r="AW1307" s="332"/>
      <c r="AX1307" s="332"/>
      <c r="AY1307" s="332"/>
      <c r="AZ1307" s="332"/>
      <c r="BA1307" s="332"/>
      <c r="BB1307" s="332"/>
      <c r="BC1307" s="332"/>
      <c r="BD1307" s="332"/>
      <c r="BE1307" s="332"/>
      <c r="BF1307" s="332"/>
      <c r="BG1307" s="332"/>
      <c r="BH1307" s="332"/>
      <c r="BI1307" s="332"/>
      <c r="BJ1307" s="332"/>
      <c r="BK1307" s="332"/>
      <c r="BL1307" s="332"/>
      <c r="BM1307" s="332"/>
      <c r="BN1307" s="332"/>
      <c r="BO1307" s="332"/>
      <c r="BP1307" s="332"/>
      <c r="BQ1307" s="332"/>
      <c r="BR1307" s="332"/>
      <c r="BS1307" s="332"/>
      <c r="BT1307" s="332"/>
      <c r="BU1307" s="332"/>
      <c r="BV1307" s="332"/>
      <c r="BW1307" s="332"/>
      <c r="BX1307" s="332"/>
      <c r="BY1307" s="332"/>
      <c r="BZ1307" s="332"/>
      <c r="CA1307" s="332"/>
      <c r="CB1307" s="332"/>
      <c r="CC1307" s="332"/>
      <c r="CD1307" s="332"/>
      <c r="CE1307" s="332"/>
      <c r="CF1307" s="332"/>
      <c r="CG1307" s="332"/>
      <c r="CH1307" s="332"/>
      <c r="CI1307" s="332"/>
      <c r="CJ1307" s="332"/>
      <c r="CK1307" s="332"/>
      <c r="CL1307" s="332"/>
      <c r="CM1307" s="332"/>
      <c r="CN1307" s="332"/>
      <c r="CO1307" s="332"/>
      <c r="CP1307" s="332"/>
      <c r="CQ1307" s="332"/>
      <c r="CR1307" s="332"/>
      <c r="CS1307" s="332"/>
      <c r="CT1307" s="332"/>
      <c r="CU1307" s="332"/>
      <c r="CV1307" s="332"/>
      <c r="CW1307" s="332"/>
      <c r="CX1307" s="332"/>
      <c r="CY1307" s="332"/>
      <c r="CZ1307" s="332"/>
      <c r="DA1307" s="332"/>
      <c r="DB1307" s="332"/>
      <c r="DC1307" s="332"/>
      <c r="DD1307" s="332"/>
      <c r="DE1307" s="332"/>
      <c r="DF1307" s="332"/>
      <c r="DG1307" s="332"/>
      <c r="DH1307" s="332"/>
      <c r="DI1307" s="332"/>
      <c r="DJ1307" s="332"/>
      <c r="DK1307" s="332"/>
      <c r="DL1307" s="332"/>
      <c r="DM1307" s="332"/>
      <c r="DN1307" s="332"/>
      <c r="DO1307" s="332"/>
      <c r="DP1307" s="332"/>
      <c r="DQ1307" s="332"/>
      <c r="DR1307" s="332"/>
      <c r="DS1307" s="332"/>
      <c r="DT1307" s="332"/>
      <c r="DU1307" s="453"/>
      <c r="DV1307" s="453"/>
      <c r="DW1307" s="453"/>
      <c r="DX1307" s="453"/>
      <c r="DY1307" s="453"/>
      <c r="DZ1307" s="453"/>
      <c r="EA1307" s="453"/>
      <c r="EB1307" s="453"/>
      <c r="EC1307" s="453"/>
      <c r="ED1307" s="453"/>
      <c r="EE1307" s="453"/>
      <c r="EF1307" s="453"/>
      <c r="EG1307" s="453"/>
      <c r="EH1307" s="453"/>
      <c r="EI1307" s="453"/>
      <c r="EJ1307" s="453"/>
      <c r="EK1307" s="453"/>
      <c r="EL1307" s="453"/>
      <c r="EM1307" s="483">
        <f t="shared" si="257"/>
        <v>998</v>
      </c>
      <c r="EN1307" s="485"/>
      <c r="EO1307" s="458"/>
      <c r="EP1307" s="467"/>
      <c r="EQ1307" s="457"/>
      <c r="ER1307" s="808"/>
      <c r="ES1307" s="881">
        <f t="shared" si="260"/>
        <v>0</v>
      </c>
      <c r="ET1307" s="882"/>
      <c r="EU1307" s="883"/>
      <c r="EV1307" s="884">
        <f t="shared" si="261"/>
        <v>0</v>
      </c>
      <c r="EW1307" s="885"/>
      <c r="EX1307" s="885"/>
      <c r="EY1307" s="885"/>
      <c r="EZ1307" s="885"/>
      <c r="FA1307" s="885"/>
      <c r="FB1307" s="885"/>
      <c r="FC1307" s="885"/>
      <c r="FD1307" s="886"/>
      <c r="FE1307" s="877"/>
      <c r="FF1307" s="877"/>
      <c r="FG1307" s="877"/>
      <c r="FH1307" s="877"/>
      <c r="FI1307" s="877"/>
      <c r="FJ1307" s="877"/>
      <c r="FK1307" s="877"/>
      <c r="FL1307" s="874"/>
      <c r="FM1307" s="875"/>
      <c r="FN1307" s="875"/>
      <c r="FO1307" s="875"/>
      <c r="FP1307" s="875"/>
      <c r="FQ1307" s="875"/>
      <c r="FR1307" s="875"/>
      <c r="FS1307" s="875"/>
      <c r="FT1307" s="875"/>
      <c r="FU1307" s="875"/>
      <c r="FV1307" s="875"/>
      <c r="FW1307" s="875"/>
      <c r="FX1307" s="875"/>
      <c r="FY1307" s="875"/>
      <c r="FZ1307" s="875"/>
      <c r="GA1307" s="875"/>
      <c r="GB1307" s="876"/>
      <c r="GC1307" s="370"/>
      <c r="GD1307" s="453"/>
      <c r="GE1307" s="453"/>
      <c r="GF1307" s="453"/>
      <c r="GG1307" s="453"/>
      <c r="GH1307" s="454"/>
      <c r="GI1307" s="453"/>
      <c r="GJ1307" s="453"/>
      <c r="GK1307" s="453"/>
      <c r="GL1307" s="453"/>
      <c r="GM1307" s="453"/>
      <c r="GN1307" s="453"/>
      <c r="GO1307" s="453"/>
      <c r="GP1307" s="453"/>
      <c r="GQ1307" s="453"/>
      <c r="GR1307" s="453"/>
      <c r="GS1307" s="561"/>
      <c r="GT1307" s="475"/>
      <c r="GU1307" s="472"/>
      <c r="GV1307" s="453"/>
      <c r="GW1307" s="453"/>
      <c r="GX1307" s="869"/>
      <c r="GY1307" s="870"/>
      <c r="GZ1307" s="867"/>
      <c r="HA1307" s="868"/>
      <c r="HB1307" s="473"/>
      <c r="HC1307" s="869"/>
      <c r="HD1307" s="870"/>
      <c r="HE1307" s="867"/>
      <c r="HF1307" s="868"/>
      <c r="HG1307" s="473"/>
      <c r="HH1307" s="867"/>
      <c r="HI1307" s="868"/>
      <c r="HJ1307" s="867"/>
      <c r="HK1307" s="868"/>
      <c r="HL1307" s="370"/>
      <c r="HM1307" s="865"/>
      <c r="HN1307" s="866"/>
      <c r="HO1307" s="865"/>
      <c r="HP1307" s="866"/>
      <c r="HQ1307" s="865"/>
      <c r="HR1307" s="866"/>
      <c r="HS1307" s="867"/>
      <c r="HT1307" s="868"/>
      <c r="HU1307" s="489"/>
      <c r="HV1307" s="865"/>
      <c r="HW1307" s="866"/>
    </row>
    <row r="1308" spans="25:231" ht="15" customHeight="1">
      <c r="Y1308" s="332"/>
      <c r="Z1308" s="332"/>
      <c r="AA1308" s="332"/>
      <c r="AB1308" s="332"/>
      <c r="AC1308" s="332"/>
      <c r="AD1308" s="332"/>
      <c r="AE1308" s="332"/>
      <c r="AF1308" s="332"/>
      <c r="AG1308" s="332"/>
      <c r="AH1308" s="332"/>
      <c r="AI1308" s="332"/>
      <c r="AJ1308" s="332"/>
      <c r="AK1308" s="332"/>
      <c r="AL1308" s="332"/>
      <c r="AM1308" s="332"/>
      <c r="AN1308" s="332"/>
      <c r="AO1308" s="332"/>
      <c r="AP1308" s="332"/>
      <c r="AQ1308" s="332"/>
      <c r="AR1308" s="332"/>
      <c r="AS1308" s="332"/>
      <c r="AT1308" s="332"/>
      <c r="AU1308" s="332"/>
      <c r="AV1308" s="332"/>
      <c r="AW1308" s="332"/>
      <c r="AX1308" s="332"/>
      <c r="AY1308" s="332"/>
      <c r="AZ1308" s="332"/>
      <c r="BA1308" s="332"/>
      <c r="BB1308" s="332"/>
      <c r="BC1308" s="332"/>
      <c r="BD1308" s="332"/>
      <c r="BE1308" s="332"/>
      <c r="BF1308" s="332"/>
      <c r="BG1308" s="332"/>
      <c r="BH1308" s="332"/>
      <c r="BI1308" s="332"/>
      <c r="BJ1308" s="332"/>
      <c r="BK1308" s="332"/>
      <c r="BL1308" s="332"/>
      <c r="BM1308" s="332"/>
      <c r="BN1308" s="332"/>
      <c r="BO1308" s="332"/>
      <c r="BP1308" s="332"/>
      <c r="BQ1308" s="332"/>
      <c r="BR1308" s="332"/>
      <c r="BS1308" s="332"/>
      <c r="BT1308" s="332"/>
      <c r="BU1308" s="332"/>
      <c r="BV1308" s="332"/>
      <c r="BW1308" s="332"/>
      <c r="BX1308" s="332"/>
      <c r="BY1308" s="332"/>
      <c r="BZ1308" s="332"/>
      <c r="CA1308" s="332"/>
      <c r="CB1308" s="332"/>
      <c r="CC1308" s="332"/>
      <c r="CD1308" s="332"/>
      <c r="CE1308" s="332"/>
      <c r="CF1308" s="332"/>
      <c r="CG1308" s="332"/>
      <c r="CH1308" s="332"/>
      <c r="CI1308" s="332"/>
      <c r="CJ1308" s="332"/>
      <c r="CK1308" s="332"/>
      <c r="CL1308" s="332"/>
      <c r="CM1308" s="332"/>
      <c r="CN1308" s="332"/>
      <c r="CO1308" s="332"/>
      <c r="CP1308" s="332"/>
      <c r="CQ1308" s="332"/>
      <c r="CR1308" s="332"/>
      <c r="CS1308" s="332"/>
      <c r="CT1308" s="332"/>
      <c r="CU1308" s="332"/>
      <c r="CV1308" s="332"/>
      <c r="CW1308" s="332"/>
      <c r="CX1308" s="332"/>
      <c r="CY1308" s="332"/>
      <c r="CZ1308" s="332"/>
      <c r="DA1308" s="332"/>
      <c r="DB1308" s="332"/>
      <c r="DC1308" s="332"/>
      <c r="DD1308" s="332"/>
      <c r="DE1308" s="332"/>
      <c r="DF1308" s="332"/>
      <c r="DG1308" s="332"/>
      <c r="DH1308" s="332"/>
      <c r="DI1308" s="332"/>
      <c r="DJ1308" s="332"/>
      <c r="DK1308" s="332"/>
      <c r="DL1308" s="332"/>
      <c r="DM1308" s="332"/>
      <c r="DN1308" s="332"/>
      <c r="DO1308" s="332"/>
      <c r="DP1308" s="332"/>
      <c r="DQ1308" s="332"/>
      <c r="DR1308" s="332"/>
      <c r="DS1308" s="332"/>
      <c r="DT1308" s="332"/>
      <c r="DU1308" s="453"/>
      <c r="DV1308" s="453"/>
      <c r="DW1308" s="453"/>
      <c r="DX1308" s="453"/>
      <c r="DY1308" s="453"/>
      <c r="DZ1308" s="453"/>
      <c r="EA1308" s="453"/>
      <c r="EB1308" s="453"/>
      <c r="EC1308" s="453"/>
      <c r="ED1308" s="453"/>
      <c r="EE1308" s="453"/>
      <c r="EF1308" s="453"/>
      <c r="EG1308" s="453"/>
      <c r="EH1308" s="453"/>
      <c r="EI1308" s="453"/>
      <c r="EJ1308" s="453"/>
      <c r="EK1308" s="453"/>
      <c r="EL1308" s="453"/>
      <c r="EM1308" s="483">
        <f t="shared" si="257"/>
        <v>999</v>
      </c>
      <c r="EN1308" s="485"/>
      <c r="EO1308" s="458"/>
      <c r="EP1308" s="467"/>
      <c r="EQ1308" s="457"/>
      <c r="ER1308" s="808"/>
      <c r="ES1308" s="881">
        <f t="shared" si="260"/>
        <v>0</v>
      </c>
      <c r="ET1308" s="882"/>
      <c r="EU1308" s="883"/>
      <c r="EV1308" s="884">
        <f t="shared" si="261"/>
        <v>0</v>
      </c>
      <c r="EW1308" s="885"/>
      <c r="EX1308" s="885"/>
      <c r="EY1308" s="885"/>
      <c r="EZ1308" s="885"/>
      <c r="FA1308" s="885"/>
      <c r="FB1308" s="885"/>
      <c r="FC1308" s="885"/>
      <c r="FD1308" s="886"/>
      <c r="FE1308" s="877"/>
      <c r="FF1308" s="877"/>
      <c r="FG1308" s="877"/>
      <c r="FH1308" s="877"/>
      <c r="FI1308" s="877"/>
      <c r="FJ1308" s="877"/>
      <c r="FK1308" s="877"/>
      <c r="FL1308" s="874"/>
      <c r="FM1308" s="875"/>
      <c r="FN1308" s="875"/>
      <c r="FO1308" s="875"/>
      <c r="FP1308" s="875"/>
      <c r="FQ1308" s="875"/>
      <c r="FR1308" s="875"/>
      <c r="FS1308" s="875"/>
      <c r="FT1308" s="875"/>
      <c r="FU1308" s="875"/>
      <c r="FV1308" s="875"/>
      <c r="FW1308" s="875"/>
      <c r="FX1308" s="875"/>
      <c r="FY1308" s="875"/>
      <c r="FZ1308" s="875"/>
      <c r="GA1308" s="875"/>
      <c r="GB1308" s="876"/>
      <c r="GC1308" s="370"/>
      <c r="GD1308" s="453"/>
      <c r="GE1308" s="453"/>
      <c r="GF1308" s="453"/>
      <c r="GG1308" s="453"/>
      <c r="GH1308" s="454"/>
      <c r="GI1308" s="453"/>
      <c r="GJ1308" s="453"/>
      <c r="GK1308" s="453"/>
      <c r="GL1308" s="453"/>
      <c r="GM1308" s="453"/>
      <c r="GN1308" s="453"/>
      <c r="GO1308" s="453"/>
      <c r="GP1308" s="453"/>
      <c r="GQ1308" s="453"/>
      <c r="GR1308" s="453"/>
      <c r="GS1308" s="561"/>
      <c r="GT1308" s="475"/>
      <c r="GU1308" s="472"/>
      <c r="GV1308" s="453"/>
      <c r="GW1308" s="453"/>
      <c r="GX1308" s="869"/>
      <c r="GY1308" s="870"/>
      <c r="GZ1308" s="867"/>
      <c r="HA1308" s="868"/>
      <c r="HB1308" s="473"/>
      <c r="HC1308" s="869"/>
      <c r="HD1308" s="870"/>
      <c r="HE1308" s="867"/>
      <c r="HF1308" s="868"/>
      <c r="HG1308" s="473"/>
      <c r="HH1308" s="867"/>
      <c r="HI1308" s="868"/>
      <c r="HJ1308" s="867"/>
      <c r="HK1308" s="868"/>
      <c r="HL1308" s="370"/>
      <c r="HM1308" s="865"/>
      <c r="HN1308" s="866"/>
      <c r="HO1308" s="865"/>
      <c r="HP1308" s="866"/>
      <c r="HQ1308" s="865"/>
      <c r="HR1308" s="866"/>
      <c r="HS1308" s="867"/>
      <c r="HT1308" s="868"/>
      <c r="HU1308" s="489"/>
      <c r="HV1308" s="865"/>
      <c r="HW1308" s="866"/>
    </row>
    <row r="1309" spans="25:231" ht="15" customHeight="1">
      <c r="Y1309" s="332"/>
      <c r="Z1309" s="332"/>
      <c r="AA1309" s="332"/>
      <c r="AB1309" s="332"/>
      <c r="AC1309" s="332"/>
      <c r="AD1309" s="332"/>
      <c r="AE1309" s="332"/>
      <c r="AF1309" s="332"/>
      <c r="AG1309" s="332"/>
      <c r="AH1309" s="332"/>
      <c r="AI1309" s="332"/>
      <c r="AJ1309" s="332"/>
      <c r="AK1309" s="332"/>
      <c r="AL1309" s="332"/>
      <c r="AM1309" s="332"/>
      <c r="AN1309" s="332"/>
      <c r="AO1309" s="332"/>
      <c r="AP1309" s="332"/>
      <c r="AQ1309" s="332"/>
      <c r="AR1309" s="332"/>
      <c r="AS1309" s="332"/>
      <c r="AT1309" s="332"/>
      <c r="AU1309" s="332"/>
      <c r="AV1309" s="332"/>
      <c r="AW1309" s="332"/>
      <c r="AX1309" s="332"/>
      <c r="AY1309" s="332"/>
      <c r="AZ1309" s="332"/>
      <c r="BA1309" s="332"/>
      <c r="BB1309" s="332"/>
      <c r="BC1309" s="332"/>
      <c r="BD1309" s="332"/>
      <c r="BE1309" s="332"/>
      <c r="BF1309" s="332"/>
      <c r="BG1309" s="332"/>
      <c r="BH1309" s="332"/>
      <c r="BI1309" s="332"/>
      <c r="BJ1309" s="332"/>
      <c r="BK1309" s="332"/>
      <c r="BL1309" s="332"/>
      <c r="BM1309" s="332"/>
      <c r="BN1309" s="332"/>
      <c r="BO1309" s="332"/>
      <c r="BP1309" s="332"/>
      <c r="BQ1309" s="332"/>
      <c r="BR1309" s="332"/>
      <c r="BS1309" s="332"/>
      <c r="BT1309" s="332"/>
      <c r="BU1309" s="332"/>
      <c r="BV1309" s="332"/>
      <c r="BW1309" s="332"/>
      <c r="BX1309" s="332"/>
      <c r="BY1309" s="332"/>
      <c r="BZ1309" s="332"/>
      <c r="CA1309" s="332"/>
      <c r="CB1309" s="332"/>
      <c r="CC1309" s="332"/>
      <c r="CD1309" s="332"/>
      <c r="CE1309" s="332"/>
      <c r="CF1309" s="332"/>
      <c r="CG1309" s="332"/>
      <c r="CH1309" s="332"/>
      <c r="CI1309" s="332"/>
      <c r="CJ1309" s="332"/>
      <c r="CK1309" s="332"/>
      <c r="CL1309" s="332"/>
      <c r="CM1309" s="332"/>
      <c r="CN1309" s="332"/>
      <c r="CO1309" s="332"/>
      <c r="CP1309" s="332"/>
      <c r="CQ1309" s="332"/>
      <c r="CR1309" s="332"/>
      <c r="CS1309" s="332"/>
      <c r="CT1309" s="332"/>
      <c r="CU1309" s="332"/>
      <c r="CV1309" s="332"/>
      <c r="CW1309" s="332"/>
      <c r="CX1309" s="332"/>
      <c r="CY1309" s="332"/>
      <c r="CZ1309" s="332"/>
      <c r="DA1309" s="332"/>
      <c r="DB1309" s="332"/>
      <c r="DC1309" s="332"/>
      <c r="DD1309" s="332"/>
      <c r="DE1309" s="332"/>
      <c r="DF1309" s="332"/>
      <c r="DG1309" s="332"/>
      <c r="DH1309" s="332"/>
      <c r="DI1309" s="332"/>
      <c r="DJ1309" s="332"/>
      <c r="DK1309" s="332"/>
      <c r="DL1309" s="332"/>
      <c r="DM1309" s="332"/>
      <c r="DN1309" s="332"/>
      <c r="DO1309" s="332"/>
      <c r="DP1309" s="332"/>
      <c r="DQ1309" s="332"/>
      <c r="DR1309" s="332"/>
      <c r="DS1309" s="332"/>
      <c r="DT1309" s="332"/>
      <c r="DU1309" s="453"/>
      <c r="DV1309" s="453"/>
      <c r="DW1309" s="453"/>
      <c r="DX1309" s="453"/>
      <c r="DY1309" s="453"/>
      <c r="DZ1309" s="453"/>
      <c r="EA1309" s="453"/>
      <c r="EB1309" s="453"/>
      <c r="EC1309" s="453"/>
      <c r="ED1309" s="453"/>
      <c r="EE1309" s="453"/>
      <c r="EF1309" s="453"/>
      <c r="EG1309" s="453"/>
      <c r="EH1309" s="453"/>
      <c r="EI1309" s="453"/>
      <c r="EJ1309" s="453"/>
      <c r="EK1309" s="453"/>
      <c r="EL1309" s="453"/>
      <c r="EM1309" s="483">
        <f t="shared" si="257"/>
        <v>1000</v>
      </c>
      <c r="EN1309" s="485"/>
      <c r="EO1309" s="458"/>
      <c r="EP1309" s="467"/>
      <c r="EQ1309" s="457"/>
      <c r="ER1309" s="808"/>
      <c r="ES1309" s="881">
        <f t="shared" si="260"/>
        <v>0</v>
      </c>
      <c r="ET1309" s="882"/>
      <c r="EU1309" s="883"/>
      <c r="EV1309" s="884">
        <f t="shared" si="261"/>
        <v>0</v>
      </c>
      <c r="EW1309" s="885"/>
      <c r="EX1309" s="885"/>
      <c r="EY1309" s="885"/>
      <c r="EZ1309" s="885"/>
      <c r="FA1309" s="885"/>
      <c r="FB1309" s="885"/>
      <c r="FC1309" s="885"/>
      <c r="FD1309" s="886"/>
      <c r="FE1309" s="877"/>
      <c r="FF1309" s="877"/>
      <c r="FG1309" s="877"/>
      <c r="FH1309" s="877"/>
      <c r="FI1309" s="877"/>
      <c r="FJ1309" s="877"/>
      <c r="FK1309" s="877"/>
      <c r="FL1309" s="874"/>
      <c r="FM1309" s="875"/>
      <c r="FN1309" s="875"/>
      <c r="FO1309" s="875"/>
      <c r="FP1309" s="875"/>
      <c r="FQ1309" s="875"/>
      <c r="FR1309" s="875"/>
      <c r="FS1309" s="875"/>
      <c r="FT1309" s="875"/>
      <c r="FU1309" s="875"/>
      <c r="FV1309" s="875"/>
      <c r="FW1309" s="875"/>
      <c r="FX1309" s="875"/>
      <c r="FY1309" s="875"/>
      <c r="FZ1309" s="875"/>
      <c r="GA1309" s="875"/>
      <c r="GB1309" s="876"/>
      <c r="GC1309" s="370"/>
      <c r="GD1309" s="453"/>
      <c r="GE1309" s="453"/>
      <c r="GF1309" s="453"/>
      <c r="GG1309" s="453"/>
      <c r="GH1309" s="454"/>
      <c r="GI1309" s="453"/>
      <c r="GJ1309" s="453"/>
      <c r="GK1309" s="453"/>
      <c r="GL1309" s="453"/>
      <c r="GM1309" s="453"/>
      <c r="GN1309" s="453"/>
      <c r="GO1309" s="453"/>
      <c r="GP1309" s="453"/>
      <c r="GQ1309" s="453"/>
      <c r="GR1309" s="453"/>
      <c r="GS1309" s="561"/>
      <c r="GT1309" s="475"/>
      <c r="GU1309" s="472"/>
      <c r="GV1309" s="453"/>
      <c r="GW1309" s="453"/>
      <c r="GX1309" s="869"/>
      <c r="GY1309" s="870"/>
      <c r="GZ1309" s="867"/>
      <c r="HA1309" s="868"/>
      <c r="HB1309" s="473"/>
      <c r="HC1309" s="869"/>
      <c r="HD1309" s="870"/>
      <c r="HE1309" s="867"/>
      <c r="HF1309" s="868"/>
      <c r="HG1309" s="473"/>
      <c r="HH1309" s="867"/>
      <c r="HI1309" s="868"/>
      <c r="HJ1309" s="867"/>
      <c r="HK1309" s="868"/>
      <c r="HL1309" s="370"/>
      <c r="HM1309" s="865"/>
      <c r="HN1309" s="866"/>
      <c r="HO1309" s="865"/>
      <c r="HP1309" s="866"/>
      <c r="HQ1309" s="865"/>
      <c r="HR1309" s="866"/>
      <c r="HS1309" s="867"/>
      <c r="HT1309" s="868"/>
      <c r="HU1309" s="489"/>
      <c r="HV1309" s="865"/>
      <c r="HW1309" s="866"/>
    </row>
    <row r="1310" spans="25:231" ht="15" customHeight="1">
      <c r="Y1310" s="332"/>
      <c r="Z1310" s="332"/>
      <c r="AA1310" s="332"/>
      <c r="AB1310" s="332"/>
      <c r="AC1310" s="332"/>
      <c r="AD1310" s="332"/>
      <c r="AE1310" s="332"/>
      <c r="AF1310" s="332"/>
      <c r="AG1310" s="332"/>
      <c r="AH1310" s="332"/>
      <c r="AI1310" s="332"/>
      <c r="AJ1310" s="332"/>
      <c r="AK1310" s="332"/>
      <c r="AL1310" s="332"/>
      <c r="AM1310" s="332"/>
      <c r="AN1310" s="332"/>
      <c r="AO1310" s="332"/>
      <c r="AP1310" s="332"/>
      <c r="AQ1310" s="332"/>
      <c r="AR1310" s="332"/>
      <c r="AS1310" s="332"/>
      <c r="AT1310" s="332"/>
      <c r="AU1310" s="332"/>
      <c r="AV1310" s="332"/>
      <c r="AW1310" s="332"/>
      <c r="AX1310" s="332"/>
      <c r="AY1310" s="332"/>
      <c r="AZ1310" s="332"/>
      <c r="BA1310" s="332"/>
      <c r="BB1310" s="332"/>
      <c r="BC1310" s="332"/>
      <c r="BD1310" s="332"/>
      <c r="BE1310" s="332"/>
      <c r="BF1310" s="332"/>
      <c r="BG1310" s="332"/>
      <c r="BH1310" s="332"/>
      <c r="BI1310" s="332"/>
      <c r="BJ1310" s="332"/>
      <c r="BK1310" s="332"/>
      <c r="BL1310" s="332"/>
      <c r="BM1310" s="332"/>
      <c r="BN1310" s="332"/>
      <c r="BO1310" s="332"/>
      <c r="BP1310" s="332"/>
      <c r="BQ1310" s="332"/>
      <c r="BR1310" s="332"/>
      <c r="BS1310" s="332"/>
      <c r="BT1310" s="332"/>
      <c r="BU1310" s="332"/>
      <c r="BV1310" s="332"/>
      <c r="BW1310" s="332"/>
      <c r="BX1310" s="332"/>
      <c r="BY1310" s="332"/>
      <c r="BZ1310" s="332"/>
      <c r="CA1310" s="332"/>
      <c r="CB1310" s="332"/>
      <c r="CC1310" s="332"/>
      <c r="CD1310" s="332"/>
      <c r="CE1310" s="332"/>
      <c r="CF1310" s="332"/>
      <c r="CG1310" s="332"/>
      <c r="CH1310" s="332"/>
      <c r="CI1310" s="332"/>
      <c r="CJ1310" s="332"/>
      <c r="CK1310" s="332"/>
      <c r="CL1310" s="332"/>
      <c r="CM1310" s="332"/>
      <c r="CN1310" s="332"/>
      <c r="CO1310" s="332"/>
      <c r="CP1310" s="332"/>
      <c r="CQ1310" s="332"/>
      <c r="CR1310" s="332"/>
      <c r="CS1310" s="332"/>
      <c r="CT1310" s="332"/>
      <c r="CU1310" s="332"/>
      <c r="CV1310" s="332"/>
      <c r="CW1310" s="332"/>
      <c r="CX1310" s="332"/>
      <c r="CY1310" s="332"/>
      <c r="CZ1310" s="332"/>
      <c r="DA1310" s="332"/>
      <c r="DB1310" s="332"/>
      <c r="DC1310" s="332"/>
      <c r="DD1310" s="332"/>
      <c r="DE1310" s="332"/>
      <c r="DF1310" s="332"/>
      <c r="DG1310" s="332"/>
      <c r="DH1310" s="332"/>
      <c r="DI1310" s="332"/>
      <c r="DJ1310" s="332"/>
      <c r="DK1310" s="332"/>
      <c r="DL1310" s="332"/>
      <c r="DM1310" s="332"/>
      <c r="DN1310" s="332"/>
      <c r="DO1310" s="332"/>
      <c r="DP1310" s="332"/>
      <c r="DQ1310" s="332"/>
      <c r="DR1310" s="332"/>
      <c r="DS1310" s="332"/>
      <c r="DT1310" s="332"/>
      <c r="DU1310" s="453"/>
      <c r="DV1310" s="453"/>
      <c r="DW1310" s="453"/>
      <c r="DX1310" s="453"/>
      <c r="DY1310" s="453"/>
      <c r="DZ1310" s="453"/>
      <c r="EA1310" s="453"/>
      <c r="EB1310" s="453"/>
      <c r="EC1310" s="453"/>
      <c r="ED1310" s="453"/>
      <c r="EE1310" s="453"/>
      <c r="EF1310" s="453"/>
      <c r="EG1310" s="453"/>
      <c r="EH1310" s="453"/>
      <c r="EI1310" s="453"/>
      <c r="EJ1310" s="453"/>
      <c r="EK1310" s="453"/>
      <c r="EL1310" s="453"/>
      <c r="EM1310" s="483">
        <f t="shared" si="257"/>
        <v>1001</v>
      </c>
      <c r="EN1310" s="485"/>
      <c r="EO1310" s="458"/>
      <c r="EP1310" s="467"/>
      <c r="EQ1310" s="457"/>
      <c r="ER1310" s="808"/>
      <c r="ES1310" s="881">
        <f t="shared" si="260"/>
        <v>0</v>
      </c>
      <c r="ET1310" s="882"/>
      <c r="EU1310" s="883"/>
      <c r="EV1310" s="884">
        <f t="shared" si="261"/>
        <v>0</v>
      </c>
      <c r="EW1310" s="885"/>
      <c r="EX1310" s="885"/>
      <c r="EY1310" s="885"/>
      <c r="EZ1310" s="885"/>
      <c r="FA1310" s="885"/>
      <c r="FB1310" s="885"/>
      <c r="FC1310" s="885"/>
      <c r="FD1310" s="886"/>
      <c r="FE1310" s="877"/>
      <c r="FF1310" s="877"/>
      <c r="FG1310" s="877"/>
      <c r="FH1310" s="877"/>
      <c r="FI1310" s="877"/>
      <c r="FJ1310" s="877"/>
      <c r="FK1310" s="877"/>
      <c r="FL1310" s="874"/>
      <c r="FM1310" s="875"/>
      <c r="FN1310" s="875"/>
      <c r="FO1310" s="875"/>
      <c r="FP1310" s="875"/>
      <c r="FQ1310" s="875"/>
      <c r="FR1310" s="875"/>
      <c r="FS1310" s="875"/>
      <c r="FT1310" s="875"/>
      <c r="FU1310" s="875"/>
      <c r="FV1310" s="875"/>
      <c r="FW1310" s="875"/>
      <c r="FX1310" s="875"/>
      <c r="FY1310" s="875"/>
      <c r="FZ1310" s="875"/>
      <c r="GA1310" s="875"/>
      <c r="GB1310" s="876"/>
      <c r="GC1310" s="370"/>
      <c r="GD1310" s="453"/>
      <c r="GE1310" s="453"/>
      <c r="GF1310" s="453"/>
      <c r="GG1310" s="453"/>
      <c r="GH1310" s="454"/>
      <c r="GI1310" s="453"/>
      <c r="GJ1310" s="453"/>
      <c r="GK1310" s="453"/>
      <c r="GL1310" s="453"/>
      <c r="GM1310" s="453"/>
      <c r="GN1310" s="453"/>
      <c r="GO1310" s="453"/>
      <c r="GP1310" s="453"/>
      <c r="GQ1310" s="453"/>
      <c r="GR1310" s="453"/>
      <c r="GS1310" s="561"/>
      <c r="GT1310" s="475"/>
      <c r="GU1310" s="472"/>
      <c r="GV1310" s="453"/>
      <c r="GW1310" s="453"/>
      <c r="GX1310" s="869"/>
      <c r="GY1310" s="870"/>
      <c r="GZ1310" s="867"/>
      <c r="HA1310" s="868"/>
      <c r="HB1310" s="473"/>
      <c r="HC1310" s="869"/>
      <c r="HD1310" s="870"/>
      <c r="HE1310" s="867"/>
      <c r="HF1310" s="868"/>
      <c r="HG1310" s="473"/>
      <c r="HH1310" s="867"/>
      <c r="HI1310" s="868"/>
      <c r="HJ1310" s="867"/>
      <c r="HK1310" s="868"/>
      <c r="HL1310" s="370"/>
      <c r="HM1310" s="865"/>
      <c r="HN1310" s="866"/>
      <c r="HO1310" s="865"/>
      <c r="HP1310" s="866"/>
      <c r="HQ1310" s="865"/>
      <c r="HR1310" s="866"/>
      <c r="HS1310" s="867"/>
      <c r="HT1310" s="868"/>
      <c r="HU1310" s="489"/>
      <c r="HV1310" s="865"/>
      <c r="HW1310" s="866"/>
    </row>
    <row r="1311" spans="25:231" ht="15" customHeight="1">
      <c r="Y1311" s="332"/>
      <c r="Z1311" s="332"/>
      <c r="AA1311" s="332"/>
      <c r="AB1311" s="332"/>
      <c r="AC1311" s="332"/>
      <c r="AD1311" s="332"/>
      <c r="AE1311" s="332"/>
      <c r="AF1311" s="332"/>
      <c r="AG1311" s="332"/>
      <c r="AH1311" s="332"/>
      <c r="AI1311" s="332"/>
      <c r="AJ1311" s="332"/>
      <c r="AK1311" s="332"/>
      <c r="AL1311" s="332"/>
      <c r="AM1311" s="332"/>
      <c r="AN1311" s="332"/>
      <c r="AO1311" s="332"/>
      <c r="AP1311" s="332"/>
      <c r="AQ1311" s="332"/>
      <c r="AR1311" s="332"/>
      <c r="AS1311" s="332"/>
      <c r="AT1311" s="332"/>
      <c r="AU1311" s="332"/>
      <c r="AV1311" s="332"/>
      <c r="AW1311" s="332"/>
      <c r="AX1311" s="332"/>
      <c r="AY1311" s="332"/>
      <c r="AZ1311" s="332"/>
      <c r="BA1311" s="332"/>
      <c r="BB1311" s="332"/>
      <c r="BC1311" s="332"/>
      <c r="BD1311" s="332"/>
      <c r="BE1311" s="332"/>
      <c r="BF1311" s="332"/>
      <c r="BG1311" s="332"/>
      <c r="BH1311" s="332"/>
      <c r="BI1311" s="332"/>
      <c r="BJ1311" s="332"/>
      <c r="BK1311" s="332"/>
      <c r="BL1311" s="332"/>
      <c r="BM1311" s="332"/>
      <c r="BN1311" s="332"/>
      <c r="BO1311" s="332"/>
      <c r="BP1311" s="332"/>
      <c r="BQ1311" s="332"/>
      <c r="BR1311" s="332"/>
      <c r="BS1311" s="332"/>
      <c r="BT1311" s="332"/>
      <c r="BU1311" s="332"/>
      <c r="BV1311" s="332"/>
      <c r="BW1311" s="332"/>
      <c r="BX1311" s="332"/>
      <c r="BY1311" s="332"/>
      <c r="BZ1311" s="332"/>
      <c r="CA1311" s="332"/>
      <c r="CB1311" s="332"/>
      <c r="CC1311" s="332"/>
      <c r="CD1311" s="332"/>
      <c r="CE1311" s="332"/>
      <c r="CF1311" s="332"/>
      <c r="CG1311" s="332"/>
      <c r="CH1311" s="332"/>
      <c r="CI1311" s="332"/>
      <c r="CJ1311" s="332"/>
      <c r="CK1311" s="332"/>
      <c r="CL1311" s="332"/>
      <c r="CM1311" s="332"/>
      <c r="CN1311" s="332"/>
      <c r="CO1311" s="332"/>
      <c r="CP1311" s="332"/>
      <c r="CQ1311" s="332"/>
      <c r="CR1311" s="332"/>
      <c r="CS1311" s="332"/>
      <c r="CT1311" s="332"/>
      <c r="CU1311" s="332"/>
      <c r="CV1311" s="332"/>
      <c r="CW1311" s="332"/>
      <c r="CX1311" s="332"/>
      <c r="CY1311" s="332"/>
      <c r="CZ1311" s="332"/>
      <c r="DA1311" s="332"/>
      <c r="DB1311" s="332"/>
      <c r="DC1311" s="332"/>
      <c r="DD1311" s="332"/>
      <c r="DE1311" s="332"/>
      <c r="DF1311" s="332"/>
      <c r="DG1311" s="332"/>
      <c r="DH1311" s="332"/>
      <c r="DI1311" s="332"/>
      <c r="DJ1311" s="332"/>
      <c r="DK1311" s="332"/>
      <c r="DL1311" s="332"/>
      <c r="DM1311" s="332"/>
      <c r="DN1311" s="332"/>
      <c r="DO1311" s="332"/>
      <c r="DP1311" s="332"/>
      <c r="DQ1311" s="332"/>
      <c r="DR1311" s="332"/>
      <c r="DS1311" s="332"/>
      <c r="DT1311" s="332"/>
      <c r="DU1311" s="453"/>
      <c r="DV1311" s="453"/>
      <c r="DW1311" s="453"/>
      <c r="DX1311" s="453"/>
      <c r="DY1311" s="453"/>
      <c r="DZ1311" s="453"/>
      <c r="EA1311" s="453"/>
      <c r="EB1311" s="453"/>
      <c r="EC1311" s="453"/>
      <c r="ED1311" s="453"/>
      <c r="EE1311" s="453"/>
      <c r="EF1311" s="453"/>
      <c r="EG1311" s="453"/>
      <c r="EH1311" s="453"/>
      <c r="EI1311" s="453"/>
      <c r="EJ1311" s="453"/>
      <c r="EK1311" s="453"/>
      <c r="EL1311" s="453"/>
      <c r="EM1311" s="483">
        <f t="shared" si="257"/>
        <v>1002</v>
      </c>
      <c r="EN1311" s="485"/>
      <c r="EO1311" s="458"/>
      <c r="EP1311" s="467"/>
      <c r="EQ1311" s="457"/>
      <c r="ER1311" s="808"/>
      <c r="ES1311" s="881">
        <f t="shared" si="260"/>
        <v>0</v>
      </c>
      <c r="ET1311" s="882"/>
      <c r="EU1311" s="883"/>
      <c r="EV1311" s="884">
        <f t="shared" si="261"/>
        <v>0</v>
      </c>
      <c r="EW1311" s="885"/>
      <c r="EX1311" s="885"/>
      <c r="EY1311" s="885"/>
      <c r="EZ1311" s="885"/>
      <c r="FA1311" s="885"/>
      <c r="FB1311" s="885"/>
      <c r="FC1311" s="885"/>
      <c r="FD1311" s="886"/>
      <c r="FE1311" s="877"/>
      <c r="FF1311" s="877"/>
      <c r="FG1311" s="877"/>
      <c r="FH1311" s="877"/>
      <c r="FI1311" s="877"/>
      <c r="FJ1311" s="877"/>
      <c r="FK1311" s="877"/>
      <c r="FL1311" s="874"/>
      <c r="FM1311" s="875"/>
      <c r="FN1311" s="875"/>
      <c r="FO1311" s="875"/>
      <c r="FP1311" s="875"/>
      <c r="FQ1311" s="875"/>
      <c r="FR1311" s="875"/>
      <c r="FS1311" s="875"/>
      <c r="FT1311" s="875"/>
      <c r="FU1311" s="875"/>
      <c r="FV1311" s="875"/>
      <c r="FW1311" s="875"/>
      <c r="FX1311" s="875"/>
      <c r="FY1311" s="875"/>
      <c r="FZ1311" s="875"/>
      <c r="GA1311" s="875"/>
      <c r="GB1311" s="876"/>
      <c r="GC1311" s="370"/>
      <c r="GD1311" s="453"/>
      <c r="GE1311" s="453"/>
      <c r="GF1311" s="453"/>
      <c r="GG1311" s="453"/>
      <c r="GH1311" s="454"/>
      <c r="GI1311" s="453"/>
      <c r="GJ1311" s="453"/>
      <c r="GK1311" s="453"/>
      <c r="GL1311" s="453"/>
      <c r="GM1311" s="453"/>
      <c r="GN1311" s="453"/>
      <c r="GO1311" s="453"/>
      <c r="GP1311" s="453"/>
      <c r="GQ1311" s="453"/>
      <c r="GR1311" s="453"/>
      <c r="GS1311" s="561"/>
      <c r="GT1311" s="475"/>
      <c r="GU1311" s="472"/>
      <c r="GV1311" s="453"/>
      <c r="GW1311" s="453"/>
      <c r="GX1311" s="869"/>
      <c r="GY1311" s="870"/>
      <c r="GZ1311" s="867"/>
      <c r="HA1311" s="868"/>
      <c r="HB1311" s="473"/>
      <c r="HC1311" s="869"/>
      <c r="HD1311" s="870"/>
      <c r="HE1311" s="867"/>
      <c r="HF1311" s="868"/>
      <c r="HG1311" s="473"/>
      <c r="HH1311" s="867"/>
      <c r="HI1311" s="868"/>
      <c r="HJ1311" s="867"/>
      <c r="HK1311" s="868"/>
      <c r="HL1311" s="370"/>
      <c r="HM1311" s="865"/>
      <c r="HN1311" s="866"/>
      <c r="HO1311" s="865"/>
      <c r="HP1311" s="866"/>
      <c r="HQ1311" s="865"/>
      <c r="HR1311" s="866"/>
      <c r="HS1311" s="867"/>
      <c r="HT1311" s="868"/>
      <c r="HU1311" s="489"/>
      <c r="HV1311" s="865"/>
      <c r="HW1311" s="866"/>
    </row>
    <row r="1312" spans="25:231" ht="15" customHeight="1">
      <c r="Y1312" s="332"/>
      <c r="Z1312" s="332"/>
      <c r="AA1312" s="332"/>
      <c r="AB1312" s="332"/>
      <c r="AC1312" s="332"/>
      <c r="AD1312" s="332"/>
      <c r="AE1312" s="332"/>
      <c r="AF1312" s="332"/>
      <c r="AG1312" s="332"/>
      <c r="AH1312" s="332"/>
      <c r="AI1312" s="332"/>
      <c r="AJ1312" s="332"/>
      <c r="AK1312" s="332"/>
      <c r="AL1312" s="332"/>
      <c r="AM1312" s="332"/>
      <c r="AN1312" s="332"/>
      <c r="AO1312" s="332"/>
      <c r="AP1312" s="332"/>
      <c r="AQ1312" s="332"/>
      <c r="AR1312" s="332"/>
      <c r="AS1312" s="332"/>
      <c r="AT1312" s="332"/>
      <c r="AU1312" s="332"/>
      <c r="AV1312" s="332"/>
      <c r="AW1312" s="332"/>
      <c r="AX1312" s="332"/>
      <c r="AY1312" s="332"/>
      <c r="AZ1312" s="332"/>
      <c r="BA1312" s="332"/>
      <c r="BB1312" s="332"/>
      <c r="BC1312" s="332"/>
      <c r="BD1312" s="332"/>
      <c r="BE1312" s="332"/>
      <c r="BF1312" s="332"/>
      <c r="BG1312" s="332"/>
      <c r="BH1312" s="332"/>
      <c r="BI1312" s="332"/>
      <c r="BJ1312" s="332"/>
      <c r="BK1312" s="332"/>
      <c r="BL1312" s="332"/>
      <c r="BM1312" s="332"/>
      <c r="BN1312" s="332"/>
      <c r="BO1312" s="332"/>
      <c r="BP1312" s="332"/>
      <c r="BQ1312" s="332"/>
      <c r="BR1312" s="332"/>
      <c r="BS1312" s="332"/>
      <c r="BT1312" s="332"/>
      <c r="BU1312" s="332"/>
      <c r="BV1312" s="332"/>
      <c r="BW1312" s="332"/>
      <c r="BX1312" s="332"/>
      <c r="BY1312" s="332"/>
      <c r="BZ1312" s="332"/>
      <c r="CA1312" s="332"/>
      <c r="CB1312" s="332"/>
      <c r="CC1312" s="332"/>
      <c r="CD1312" s="332"/>
      <c r="CE1312" s="332"/>
      <c r="CF1312" s="332"/>
      <c r="CG1312" s="332"/>
      <c r="CH1312" s="332"/>
      <c r="CI1312" s="332"/>
      <c r="CJ1312" s="332"/>
      <c r="CK1312" s="332"/>
      <c r="CL1312" s="332"/>
      <c r="CM1312" s="332"/>
      <c r="CN1312" s="332"/>
      <c r="CO1312" s="332"/>
      <c r="CP1312" s="332"/>
      <c r="CQ1312" s="332"/>
      <c r="CR1312" s="332"/>
      <c r="CS1312" s="332"/>
      <c r="CT1312" s="332"/>
      <c r="CU1312" s="332"/>
      <c r="CV1312" s="332"/>
      <c r="CW1312" s="332"/>
      <c r="CX1312" s="332"/>
      <c r="CY1312" s="332"/>
      <c r="CZ1312" s="332"/>
      <c r="DA1312" s="332"/>
      <c r="DB1312" s="332"/>
      <c r="DC1312" s="332"/>
      <c r="DD1312" s="332"/>
      <c r="DE1312" s="332"/>
      <c r="DF1312" s="332"/>
      <c r="DG1312" s="332"/>
      <c r="DH1312" s="332"/>
      <c r="DI1312" s="332"/>
      <c r="DJ1312" s="332"/>
      <c r="DK1312" s="332"/>
      <c r="DL1312" s="332"/>
      <c r="DM1312" s="332"/>
      <c r="DN1312" s="332"/>
      <c r="DO1312" s="332"/>
      <c r="DP1312" s="332"/>
      <c r="DQ1312" s="332"/>
      <c r="DR1312" s="332"/>
      <c r="DS1312" s="332"/>
      <c r="DT1312" s="332"/>
      <c r="DU1312" s="453"/>
      <c r="DV1312" s="453"/>
      <c r="DW1312" s="453"/>
      <c r="DX1312" s="453"/>
      <c r="DY1312" s="453"/>
      <c r="DZ1312" s="453"/>
      <c r="EA1312" s="453"/>
      <c r="EB1312" s="453"/>
      <c r="EC1312" s="453"/>
      <c r="ED1312" s="453"/>
      <c r="EE1312" s="453"/>
      <c r="EF1312" s="453"/>
      <c r="EG1312" s="453"/>
      <c r="EH1312" s="453"/>
      <c r="EI1312" s="453"/>
      <c r="EJ1312" s="453"/>
      <c r="EK1312" s="453"/>
      <c r="EL1312" s="453"/>
      <c r="EM1312" s="483">
        <f t="shared" si="257"/>
        <v>1003</v>
      </c>
      <c r="EN1312" s="485"/>
      <c r="EO1312" s="458"/>
      <c r="EP1312" s="467"/>
      <c r="EQ1312" s="457"/>
      <c r="ER1312" s="808"/>
      <c r="ES1312" s="881">
        <f t="shared" si="260"/>
        <v>0</v>
      </c>
      <c r="ET1312" s="882"/>
      <c r="EU1312" s="883"/>
      <c r="EV1312" s="884">
        <f t="shared" si="261"/>
        <v>0</v>
      </c>
      <c r="EW1312" s="885"/>
      <c r="EX1312" s="885"/>
      <c r="EY1312" s="885"/>
      <c r="EZ1312" s="885"/>
      <c r="FA1312" s="885"/>
      <c r="FB1312" s="885"/>
      <c r="FC1312" s="885"/>
      <c r="FD1312" s="886"/>
      <c r="FE1312" s="877"/>
      <c r="FF1312" s="877"/>
      <c r="FG1312" s="877"/>
      <c r="FH1312" s="877"/>
      <c r="FI1312" s="877"/>
      <c r="FJ1312" s="877"/>
      <c r="FK1312" s="877"/>
      <c r="FL1312" s="874"/>
      <c r="FM1312" s="875"/>
      <c r="FN1312" s="875"/>
      <c r="FO1312" s="875"/>
      <c r="FP1312" s="875"/>
      <c r="FQ1312" s="875"/>
      <c r="FR1312" s="875"/>
      <c r="FS1312" s="875"/>
      <c r="FT1312" s="875"/>
      <c r="FU1312" s="875"/>
      <c r="FV1312" s="875"/>
      <c r="FW1312" s="875"/>
      <c r="FX1312" s="875"/>
      <c r="FY1312" s="875"/>
      <c r="FZ1312" s="875"/>
      <c r="GA1312" s="875"/>
      <c r="GB1312" s="876"/>
      <c r="GC1312" s="370"/>
      <c r="GD1312" s="453"/>
      <c r="GE1312" s="453"/>
      <c r="GF1312" s="453"/>
      <c r="GG1312" s="453"/>
      <c r="GH1312" s="454"/>
      <c r="GI1312" s="453"/>
      <c r="GJ1312" s="453"/>
      <c r="GK1312" s="453"/>
      <c r="GL1312" s="453"/>
      <c r="GM1312" s="453"/>
      <c r="GN1312" s="453"/>
      <c r="GO1312" s="453"/>
      <c r="GP1312" s="453"/>
      <c r="GQ1312" s="453"/>
      <c r="GR1312" s="453"/>
      <c r="GS1312" s="561"/>
      <c r="GT1312" s="475"/>
      <c r="GU1312" s="472"/>
      <c r="GV1312" s="453"/>
      <c r="GW1312" s="453"/>
      <c r="GX1312" s="869"/>
      <c r="GY1312" s="870"/>
      <c r="GZ1312" s="867"/>
      <c r="HA1312" s="868"/>
      <c r="HB1312" s="473"/>
      <c r="HC1312" s="869"/>
      <c r="HD1312" s="870"/>
      <c r="HE1312" s="867"/>
      <c r="HF1312" s="868"/>
      <c r="HG1312" s="473"/>
      <c r="HH1312" s="867"/>
      <c r="HI1312" s="868"/>
      <c r="HJ1312" s="867"/>
      <c r="HK1312" s="868"/>
      <c r="HL1312" s="370"/>
      <c r="HM1312" s="865"/>
      <c r="HN1312" s="866"/>
      <c r="HO1312" s="865"/>
      <c r="HP1312" s="866"/>
      <c r="HQ1312" s="865"/>
      <c r="HR1312" s="866"/>
      <c r="HS1312" s="867"/>
      <c r="HT1312" s="868"/>
      <c r="HU1312" s="489"/>
      <c r="HV1312" s="865"/>
      <c r="HW1312" s="866"/>
    </row>
    <row r="1313" spans="25:231" ht="15" customHeight="1">
      <c r="Y1313" s="332"/>
      <c r="Z1313" s="332"/>
      <c r="AA1313" s="332"/>
      <c r="AB1313" s="332"/>
      <c r="AC1313" s="332"/>
      <c r="AD1313" s="332"/>
      <c r="AE1313" s="332"/>
      <c r="AF1313" s="332"/>
      <c r="AG1313" s="332"/>
      <c r="AH1313" s="332"/>
      <c r="AI1313" s="332"/>
      <c r="AJ1313" s="332"/>
      <c r="AK1313" s="332"/>
      <c r="AL1313" s="332"/>
      <c r="AM1313" s="332"/>
      <c r="AN1313" s="332"/>
      <c r="AO1313" s="332"/>
      <c r="AP1313" s="332"/>
      <c r="AQ1313" s="332"/>
      <c r="AR1313" s="332"/>
      <c r="AS1313" s="332"/>
      <c r="AT1313" s="332"/>
      <c r="AU1313" s="332"/>
      <c r="AV1313" s="332"/>
      <c r="AW1313" s="332"/>
      <c r="AX1313" s="332"/>
      <c r="AY1313" s="332"/>
      <c r="AZ1313" s="332"/>
      <c r="BA1313" s="332"/>
      <c r="BB1313" s="332"/>
      <c r="BC1313" s="332"/>
      <c r="BD1313" s="332"/>
      <c r="BE1313" s="332"/>
      <c r="BF1313" s="332"/>
      <c r="BG1313" s="332"/>
      <c r="BH1313" s="332"/>
      <c r="BI1313" s="332"/>
      <c r="BJ1313" s="332"/>
      <c r="BK1313" s="332"/>
      <c r="BL1313" s="332"/>
      <c r="BM1313" s="332"/>
      <c r="BN1313" s="332"/>
      <c r="BO1313" s="332"/>
      <c r="BP1313" s="332"/>
      <c r="BQ1313" s="332"/>
      <c r="BR1313" s="332"/>
      <c r="BS1313" s="332"/>
      <c r="BT1313" s="332"/>
      <c r="BU1313" s="332"/>
      <c r="BV1313" s="332"/>
      <c r="BW1313" s="332"/>
      <c r="BX1313" s="332"/>
      <c r="BY1313" s="332"/>
      <c r="BZ1313" s="332"/>
      <c r="CA1313" s="332"/>
      <c r="CB1313" s="332"/>
      <c r="CC1313" s="332"/>
      <c r="CD1313" s="332"/>
      <c r="CE1313" s="332"/>
      <c r="CF1313" s="332"/>
      <c r="CG1313" s="332"/>
      <c r="CH1313" s="332"/>
      <c r="CI1313" s="332"/>
      <c r="CJ1313" s="332"/>
      <c r="CK1313" s="332"/>
      <c r="CL1313" s="332"/>
      <c r="CM1313" s="332"/>
      <c r="CN1313" s="332"/>
      <c r="CO1313" s="332"/>
      <c r="CP1313" s="332"/>
      <c r="CQ1313" s="332"/>
      <c r="CR1313" s="332"/>
      <c r="CS1313" s="332"/>
      <c r="CT1313" s="332"/>
      <c r="CU1313" s="332"/>
      <c r="CV1313" s="332"/>
      <c r="CW1313" s="332"/>
      <c r="CX1313" s="332"/>
      <c r="CY1313" s="332"/>
      <c r="CZ1313" s="332"/>
      <c r="DA1313" s="332"/>
      <c r="DB1313" s="332"/>
      <c r="DC1313" s="332"/>
      <c r="DD1313" s="332"/>
      <c r="DE1313" s="332"/>
      <c r="DF1313" s="332"/>
      <c r="DG1313" s="332"/>
      <c r="DH1313" s="332"/>
      <c r="DI1313" s="332"/>
      <c r="DJ1313" s="332"/>
      <c r="DK1313" s="332"/>
      <c r="DL1313" s="332"/>
      <c r="DM1313" s="332"/>
      <c r="DN1313" s="332"/>
      <c r="DO1313" s="332"/>
      <c r="DP1313" s="332"/>
      <c r="DQ1313" s="332"/>
      <c r="DR1313" s="332"/>
      <c r="DS1313" s="332"/>
      <c r="DT1313" s="332"/>
      <c r="DU1313" s="453"/>
      <c r="DV1313" s="453"/>
      <c r="DW1313" s="453"/>
      <c r="DX1313" s="453"/>
      <c r="DY1313" s="453"/>
      <c r="DZ1313" s="453"/>
      <c r="EA1313" s="453"/>
      <c r="EB1313" s="453"/>
      <c r="EC1313" s="453"/>
      <c r="ED1313" s="453"/>
      <c r="EE1313" s="453"/>
      <c r="EF1313" s="453"/>
      <c r="EG1313" s="453"/>
      <c r="EH1313" s="453"/>
      <c r="EI1313" s="453"/>
      <c r="EJ1313" s="453"/>
      <c r="EK1313" s="453"/>
      <c r="EL1313" s="453"/>
      <c r="EM1313" s="483">
        <f t="shared" si="257"/>
        <v>1004</v>
      </c>
      <c r="EN1313" s="485"/>
      <c r="EO1313" s="458"/>
      <c r="EP1313" s="467"/>
      <c r="EQ1313" s="457"/>
      <c r="ER1313" s="808"/>
      <c r="ES1313" s="881">
        <f t="shared" si="260"/>
        <v>0</v>
      </c>
      <c r="ET1313" s="882"/>
      <c r="EU1313" s="883"/>
      <c r="EV1313" s="884">
        <f t="shared" si="261"/>
        <v>0</v>
      </c>
      <c r="EW1313" s="885"/>
      <c r="EX1313" s="885"/>
      <c r="EY1313" s="885"/>
      <c r="EZ1313" s="885"/>
      <c r="FA1313" s="885"/>
      <c r="FB1313" s="885"/>
      <c r="FC1313" s="885"/>
      <c r="FD1313" s="886"/>
      <c r="FE1313" s="877"/>
      <c r="FF1313" s="877"/>
      <c r="FG1313" s="877"/>
      <c r="FH1313" s="877"/>
      <c r="FI1313" s="877"/>
      <c r="FJ1313" s="877"/>
      <c r="FK1313" s="877"/>
      <c r="FL1313" s="874"/>
      <c r="FM1313" s="875"/>
      <c r="FN1313" s="875"/>
      <c r="FO1313" s="875"/>
      <c r="FP1313" s="875"/>
      <c r="FQ1313" s="875"/>
      <c r="FR1313" s="875"/>
      <c r="FS1313" s="875"/>
      <c r="FT1313" s="875"/>
      <c r="FU1313" s="875"/>
      <c r="FV1313" s="875"/>
      <c r="FW1313" s="875"/>
      <c r="FX1313" s="875"/>
      <c r="FY1313" s="875"/>
      <c r="FZ1313" s="875"/>
      <c r="GA1313" s="875"/>
      <c r="GB1313" s="876"/>
      <c r="GC1313" s="370"/>
      <c r="GD1313" s="453"/>
      <c r="GE1313" s="453"/>
      <c r="GF1313" s="453"/>
      <c r="GG1313" s="453"/>
      <c r="GH1313" s="454"/>
      <c r="GI1313" s="453"/>
      <c r="GJ1313" s="453"/>
      <c r="GK1313" s="453"/>
      <c r="GL1313" s="453"/>
      <c r="GM1313" s="453"/>
      <c r="GN1313" s="453"/>
      <c r="GO1313" s="453"/>
      <c r="GP1313" s="453"/>
      <c r="GQ1313" s="453"/>
      <c r="GR1313" s="453"/>
      <c r="GS1313" s="561"/>
      <c r="GT1313" s="475"/>
      <c r="GU1313" s="472"/>
      <c r="GV1313" s="453"/>
      <c r="GW1313" s="453"/>
      <c r="GX1313" s="869"/>
      <c r="GY1313" s="870"/>
      <c r="GZ1313" s="867"/>
      <c r="HA1313" s="868"/>
      <c r="HB1313" s="473"/>
      <c r="HC1313" s="869"/>
      <c r="HD1313" s="870"/>
      <c r="HE1313" s="867"/>
      <c r="HF1313" s="868"/>
      <c r="HG1313" s="473"/>
      <c r="HH1313" s="867"/>
      <c r="HI1313" s="868"/>
      <c r="HJ1313" s="867"/>
      <c r="HK1313" s="868"/>
      <c r="HL1313" s="370"/>
      <c r="HM1313" s="865"/>
      <c r="HN1313" s="866"/>
      <c r="HO1313" s="865"/>
      <c r="HP1313" s="866"/>
      <c r="HQ1313" s="865"/>
      <c r="HR1313" s="866"/>
      <c r="HS1313" s="867"/>
      <c r="HT1313" s="868"/>
      <c r="HU1313" s="489"/>
      <c r="HV1313" s="865"/>
      <c r="HW1313" s="866"/>
    </row>
    <row r="1314" spans="25:231" ht="15" customHeight="1">
      <c r="Y1314" s="332"/>
      <c r="Z1314" s="332"/>
      <c r="AA1314" s="332"/>
      <c r="AB1314" s="332"/>
      <c r="AC1314" s="332"/>
      <c r="AD1314" s="332"/>
      <c r="AE1314" s="332"/>
      <c r="AF1314" s="332"/>
      <c r="AG1314" s="332"/>
      <c r="AH1314" s="332"/>
      <c r="AI1314" s="332"/>
      <c r="AJ1314" s="332"/>
      <c r="AK1314" s="332"/>
      <c r="AL1314" s="332"/>
      <c r="AM1314" s="332"/>
      <c r="AN1314" s="332"/>
      <c r="AO1314" s="332"/>
      <c r="AP1314" s="332"/>
      <c r="AQ1314" s="332"/>
      <c r="AR1314" s="332"/>
      <c r="AS1314" s="332"/>
      <c r="AT1314" s="332"/>
      <c r="AU1314" s="332"/>
      <c r="AV1314" s="332"/>
      <c r="AW1314" s="332"/>
      <c r="AX1314" s="332"/>
      <c r="AY1314" s="332"/>
      <c r="AZ1314" s="332"/>
      <c r="BA1314" s="332"/>
      <c r="BB1314" s="332"/>
      <c r="BC1314" s="332"/>
      <c r="BD1314" s="332"/>
      <c r="BE1314" s="332"/>
      <c r="BF1314" s="332"/>
      <c r="BG1314" s="332"/>
      <c r="BH1314" s="332"/>
      <c r="BI1314" s="332"/>
      <c r="BJ1314" s="332"/>
      <c r="BK1314" s="332"/>
      <c r="BL1314" s="332"/>
      <c r="BM1314" s="332"/>
      <c r="BN1314" s="332"/>
      <c r="BO1314" s="332"/>
      <c r="BP1314" s="332"/>
      <c r="BQ1314" s="332"/>
      <c r="BR1314" s="332"/>
      <c r="BS1314" s="332"/>
      <c r="BT1314" s="332"/>
      <c r="BU1314" s="332"/>
      <c r="BV1314" s="332"/>
      <c r="BW1314" s="332"/>
      <c r="BX1314" s="332"/>
      <c r="BY1314" s="332"/>
      <c r="BZ1314" s="332"/>
      <c r="CA1314" s="332"/>
      <c r="CB1314" s="332"/>
      <c r="CC1314" s="332"/>
      <c r="CD1314" s="332"/>
      <c r="CE1314" s="332"/>
      <c r="CF1314" s="332"/>
      <c r="CG1314" s="332"/>
      <c r="CH1314" s="332"/>
      <c r="CI1314" s="332"/>
      <c r="CJ1314" s="332"/>
      <c r="CK1314" s="332"/>
      <c r="CL1314" s="332"/>
      <c r="CM1314" s="332"/>
      <c r="CN1314" s="332"/>
      <c r="CO1314" s="332"/>
      <c r="CP1314" s="332"/>
      <c r="CQ1314" s="332"/>
      <c r="CR1314" s="332"/>
      <c r="CS1314" s="332"/>
      <c r="CT1314" s="332"/>
      <c r="CU1314" s="332"/>
      <c r="CV1314" s="332"/>
      <c r="CW1314" s="332"/>
      <c r="CX1314" s="332"/>
      <c r="CY1314" s="332"/>
      <c r="CZ1314" s="332"/>
      <c r="DA1314" s="332"/>
      <c r="DB1314" s="332"/>
      <c r="DC1314" s="332"/>
      <c r="DD1314" s="332"/>
      <c r="DE1314" s="332"/>
      <c r="DF1314" s="332"/>
      <c r="DG1314" s="332"/>
      <c r="DH1314" s="332"/>
      <c r="DI1314" s="332"/>
      <c r="DJ1314" s="332"/>
      <c r="DK1314" s="332"/>
      <c r="DL1314" s="332"/>
      <c r="DM1314" s="332"/>
      <c r="DN1314" s="332"/>
      <c r="DO1314" s="332"/>
      <c r="DP1314" s="332"/>
      <c r="DQ1314" s="332"/>
      <c r="DR1314" s="332"/>
      <c r="DS1314" s="332"/>
      <c r="DT1314" s="332"/>
      <c r="DU1314" s="453"/>
      <c r="DV1314" s="453"/>
      <c r="DW1314" s="453"/>
      <c r="DX1314" s="453"/>
      <c r="DY1314" s="453"/>
      <c r="DZ1314" s="453"/>
      <c r="EA1314" s="453"/>
      <c r="EB1314" s="453"/>
      <c r="EC1314" s="453"/>
      <c r="ED1314" s="453"/>
      <c r="EE1314" s="453"/>
      <c r="EF1314" s="453"/>
      <c r="EG1314" s="453"/>
      <c r="EH1314" s="453"/>
      <c r="EI1314" s="453"/>
      <c r="EJ1314" s="453"/>
      <c r="EK1314" s="453"/>
      <c r="EL1314" s="453"/>
      <c r="EM1314" s="483">
        <f t="shared" si="257"/>
        <v>1005</v>
      </c>
      <c r="EN1314" s="485"/>
      <c r="EO1314" s="458"/>
      <c r="EP1314" s="467"/>
      <c r="EQ1314" s="457"/>
      <c r="ER1314" s="808"/>
      <c r="ES1314" s="881">
        <f t="shared" si="260"/>
        <v>0</v>
      </c>
      <c r="ET1314" s="882"/>
      <c r="EU1314" s="883"/>
      <c r="EV1314" s="884">
        <f t="shared" si="261"/>
        <v>0</v>
      </c>
      <c r="EW1314" s="885"/>
      <c r="EX1314" s="885"/>
      <c r="EY1314" s="885"/>
      <c r="EZ1314" s="885"/>
      <c r="FA1314" s="885"/>
      <c r="FB1314" s="885"/>
      <c r="FC1314" s="885"/>
      <c r="FD1314" s="886"/>
      <c r="FE1314" s="877"/>
      <c r="FF1314" s="877"/>
      <c r="FG1314" s="877"/>
      <c r="FH1314" s="877"/>
      <c r="FI1314" s="877"/>
      <c r="FJ1314" s="877"/>
      <c r="FK1314" s="877"/>
      <c r="FL1314" s="874"/>
      <c r="FM1314" s="875"/>
      <c r="FN1314" s="875"/>
      <c r="FO1314" s="875"/>
      <c r="FP1314" s="875"/>
      <c r="FQ1314" s="875"/>
      <c r="FR1314" s="875"/>
      <c r="FS1314" s="875"/>
      <c r="FT1314" s="875"/>
      <c r="FU1314" s="875"/>
      <c r="FV1314" s="875"/>
      <c r="FW1314" s="875"/>
      <c r="FX1314" s="875"/>
      <c r="FY1314" s="875"/>
      <c r="FZ1314" s="875"/>
      <c r="GA1314" s="875"/>
      <c r="GB1314" s="876"/>
      <c r="GC1314" s="370"/>
      <c r="GD1314" s="453"/>
      <c r="GE1314" s="453"/>
      <c r="GF1314" s="453"/>
      <c r="GG1314" s="453"/>
      <c r="GH1314" s="454"/>
      <c r="GI1314" s="453"/>
      <c r="GJ1314" s="453"/>
      <c r="GK1314" s="453"/>
      <c r="GL1314" s="453"/>
      <c r="GM1314" s="453"/>
      <c r="GN1314" s="453"/>
      <c r="GO1314" s="453"/>
      <c r="GP1314" s="453"/>
      <c r="GQ1314" s="453"/>
      <c r="GR1314" s="453"/>
      <c r="GS1314" s="561"/>
      <c r="GT1314" s="475"/>
      <c r="GU1314" s="472"/>
      <c r="GV1314" s="453"/>
      <c r="GW1314" s="453"/>
      <c r="GX1314" s="869"/>
      <c r="GY1314" s="870"/>
      <c r="GZ1314" s="867"/>
      <c r="HA1314" s="868"/>
      <c r="HB1314" s="473"/>
      <c r="HC1314" s="869"/>
      <c r="HD1314" s="870"/>
      <c r="HE1314" s="867"/>
      <c r="HF1314" s="868"/>
      <c r="HG1314" s="473"/>
      <c r="HH1314" s="867"/>
      <c r="HI1314" s="868"/>
      <c r="HJ1314" s="867"/>
      <c r="HK1314" s="868"/>
      <c r="HL1314" s="370"/>
      <c r="HM1314" s="865"/>
      <c r="HN1314" s="866"/>
      <c r="HO1314" s="865"/>
      <c r="HP1314" s="866"/>
      <c r="HQ1314" s="865"/>
      <c r="HR1314" s="866"/>
      <c r="HS1314" s="867"/>
      <c r="HT1314" s="868"/>
      <c r="HU1314" s="489"/>
      <c r="HV1314" s="865"/>
      <c r="HW1314" s="866"/>
    </row>
    <row r="1315" spans="25:231" ht="15" customHeight="1">
      <c r="Y1315" s="332"/>
      <c r="Z1315" s="332"/>
      <c r="AA1315" s="332"/>
      <c r="AB1315" s="332"/>
      <c r="AC1315" s="332"/>
      <c r="AD1315" s="332"/>
      <c r="AE1315" s="332"/>
      <c r="AF1315" s="332"/>
      <c r="AG1315" s="332"/>
      <c r="AH1315" s="332"/>
      <c r="AI1315" s="332"/>
      <c r="AJ1315" s="332"/>
      <c r="AK1315" s="332"/>
      <c r="AL1315" s="332"/>
      <c r="AM1315" s="332"/>
      <c r="AN1315" s="332"/>
      <c r="AO1315" s="332"/>
      <c r="AP1315" s="332"/>
      <c r="AQ1315" s="332"/>
      <c r="AR1315" s="332"/>
      <c r="AS1315" s="332"/>
      <c r="AT1315" s="332"/>
      <c r="AU1315" s="332"/>
      <c r="AV1315" s="332"/>
      <c r="AW1315" s="332"/>
      <c r="AX1315" s="332"/>
      <c r="AY1315" s="332"/>
      <c r="AZ1315" s="332"/>
      <c r="BA1315" s="332"/>
      <c r="BB1315" s="332"/>
      <c r="BC1315" s="332"/>
      <c r="BD1315" s="332"/>
      <c r="BE1315" s="332"/>
      <c r="BF1315" s="332"/>
      <c r="BG1315" s="332"/>
      <c r="BH1315" s="332"/>
      <c r="BI1315" s="332"/>
      <c r="BJ1315" s="332"/>
      <c r="BK1315" s="332"/>
      <c r="BL1315" s="332"/>
      <c r="BM1315" s="332"/>
      <c r="BN1315" s="332"/>
      <c r="BO1315" s="332"/>
      <c r="BP1315" s="332"/>
      <c r="BQ1315" s="332"/>
      <c r="BR1315" s="332"/>
      <c r="BS1315" s="332"/>
      <c r="BT1315" s="332"/>
      <c r="BU1315" s="332"/>
      <c r="BV1315" s="332"/>
      <c r="BW1315" s="332"/>
      <c r="BX1315" s="332"/>
      <c r="BY1315" s="332"/>
      <c r="BZ1315" s="332"/>
      <c r="CA1315" s="332"/>
      <c r="CB1315" s="332"/>
      <c r="CC1315" s="332"/>
      <c r="CD1315" s="332"/>
      <c r="CE1315" s="332"/>
      <c r="CF1315" s="332"/>
      <c r="CG1315" s="332"/>
      <c r="CH1315" s="332"/>
      <c r="CI1315" s="332"/>
      <c r="CJ1315" s="332"/>
      <c r="CK1315" s="332"/>
      <c r="CL1315" s="332"/>
      <c r="CM1315" s="332"/>
      <c r="CN1315" s="332"/>
      <c r="CO1315" s="332"/>
      <c r="CP1315" s="332"/>
      <c r="CQ1315" s="332"/>
      <c r="CR1315" s="332"/>
      <c r="CS1315" s="332"/>
      <c r="CT1315" s="332"/>
      <c r="CU1315" s="332"/>
      <c r="CV1315" s="332"/>
      <c r="CW1315" s="332"/>
      <c r="CX1315" s="332"/>
      <c r="CY1315" s="332"/>
      <c r="CZ1315" s="332"/>
      <c r="DA1315" s="332"/>
      <c r="DB1315" s="332"/>
      <c r="DC1315" s="332"/>
      <c r="DD1315" s="332"/>
      <c r="DE1315" s="332"/>
      <c r="DF1315" s="332"/>
      <c r="DG1315" s="332"/>
      <c r="DH1315" s="332"/>
      <c r="DI1315" s="332"/>
      <c r="DJ1315" s="332"/>
      <c r="DK1315" s="332"/>
      <c r="DL1315" s="332"/>
      <c r="DM1315" s="332"/>
      <c r="DN1315" s="332"/>
      <c r="DO1315" s="332"/>
      <c r="DP1315" s="332"/>
      <c r="DQ1315" s="332"/>
      <c r="DR1315" s="332"/>
      <c r="DS1315" s="332"/>
      <c r="DT1315" s="332"/>
      <c r="DU1315" s="453"/>
      <c r="DV1315" s="453"/>
      <c r="DW1315" s="453"/>
      <c r="DX1315" s="453"/>
      <c r="DY1315" s="453"/>
      <c r="DZ1315" s="453"/>
      <c r="EA1315" s="453"/>
      <c r="EB1315" s="453"/>
      <c r="EC1315" s="453"/>
      <c r="ED1315" s="453"/>
      <c r="EE1315" s="453"/>
      <c r="EF1315" s="453"/>
      <c r="EG1315" s="453"/>
      <c r="EH1315" s="453"/>
      <c r="EI1315" s="453"/>
      <c r="EJ1315" s="453"/>
      <c r="EK1315" s="453"/>
      <c r="EL1315" s="453"/>
      <c r="EM1315" s="483">
        <f t="shared" si="257"/>
        <v>1006</v>
      </c>
      <c r="EN1315" s="485"/>
      <c r="EO1315" s="458"/>
      <c r="EP1315" s="467"/>
      <c r="EQ1315" s="457"/>
      <c r="ER1315" s="808"/>
      <c r="ES1315" s="881">
        <f t="shared" si="260"/>
        <v>0</v>
      </c>
      <c r="ET1315" s="882"/>
      <c r="EU1315" s="883"/>
      <c r="EV1315" s="884">
        <f t="shared" si="261"/>
        <v>0</v>
      </c>
      <c r="EW1315" s="885"/>
      <c r="EX1315" s="885"/>
      <c r="EY1315" s="885"/>
      <c r="EZ1315" s="885"/>
      <c r="FA1315" s="885"/>
      <c r="FB1315" s="885"/>
      <c r="FC1315" s="885"/>
      <c r="FD1315" s="886"/>
      <c r="FE1315" s="877"/>
      <c r="FF1315" s="877"/>
      <c r="FG1315" s="877"/>
      <c r="FH1315" s="877"/>
      <c r="FI1315" s="877"/>
      <c r="FJ1315" s="877"/>
      <c r="FK1315" s="877"/>
      <c r="FL1315" s="874"/>
      <c r="FM1315" s="875"/>
      <c r="FN1315" s="875"/>
      <c r="FO1315" s="875"/>
      <c r="FP1315" s="875"/>
      <c r="FQ1315" s="875"/>
      <c r="FR1315" s="875"/>
      <c r="FS1315" s="875"/>
      <c r="FT1315" s="875"/>
      <c r="FU1315" s="875"/>
      <c r="FV1315" s="875"/>
      <c r="FW1315" s="875"/>
      <c r="FX1315" s="875"/>
      <c r="FY1315" s="875"/>
      <c r="FZ1315" s="875"/>
      <c r="GA1315" s="875"/>
      <c r="GB1315" s="876"/>
      <c r="GC1315" s="370"/>
      <c r="GD1315" s="453"/>
      <c r="GE1315" s="453"/>
      <c r="GF1315" s="453"/>
      <c r="GG1315" s="453"/>
      <c r="GH1315" s="454"/>
      <c r="GI1315" s="453"/>
      <c r="GJ1315" s="453"/>
      <c r="GK1315" s="453"/>
      <c r="GL1315" s="453"/>
      <c r="GM1315" s="453"/>
      <c r="GN1315" s="453"/>
      <c r="GO1315" s="453"/>
      <c r="GP1315" s="453"/>
      <c r="GQ1315" s="453"/>
      <c r="GR1315" s="453"/>
      <c r="GS1315" s="561"/>
      <c r="GT1315" s="475"/>
      <c r="GU1315" s="472"/>
      <c r="GV1315" s="453"/>
      <c r="GW1315" s="453"/>
      <c r="GX1315" s="869"/>
      <c r="GY1315" s="870"/>
      <c r="GZ1315" s="867"/>
      <c r="HA1315" s="868"/>
      <c r="HB1315" s="473"/>
      <c r="HC1315" s="869"/>
      <c r="HD1315" s="870"/>
      <c r="HE1315" s="867"/>
      <c r="HF1315" s="868"/>
      <c r="HG1315" s="473"/>
      <c r="HH1315" s="867"/>
      <c r="HI1315" s="868"/>
      <c r="HJ1315" s="867"/>
      <c r="HK1315" s="868"/>
      <c r="HL1315" s="370"/>
      <c r="HM1315" s="865"/>
      <c r="HN1315" s="866"/>
      <c r="HO1315" s="865"/>
      <c r="HP1315" s="866"/>
      <c r="HQ1315" s="865"/>
      <c r="HR1315" s="866"/>
      <c r="HS1315" s="867"/>
      <c r="HT1315" s="868"/>
      <c r="HU1315" s="489"/>
      <c r="HV1315" s="865"/>
      <c r="HW1315" s="866"/>
    </row>
    <row r="1316" spans="25:231" ht="15" customHeight="1">
      <c r="Y1316" s="332"/>
      <c r="Z1316" s="332"/>
      <c r="AA1316" s="332"/>
      <c r="AB1316" s="332"/>
      <c r="AC1316" s="332"/>
      <c r="AD1316" s="332"/>
      <c r="AE1316" s="332"/>
      <c r="AF1316" s="332"/>
      <c r="AG1316" s="332"/>
      <c r="AH1316" s="332"/>
      <c r="AI1316" s="332"/>
      <c r="AJ1316" s="332"/>
      <c r="AK1316" s="332"/>
      <c r="AL1316" s="332"/>
      <c r="AM1316" s="332"/>
      <c r="AN1316" s="332"/>
      <c r="AO1316" s="332"/>
      <c r="AP1316" s="332"/>
      <c r="AQ1316" s="332"/>
      <c r="AR1316" s="332"/>
      <c r="AS1316" s="332"/>
      <c r="AT1316" s="332"/>
      <c r="AU1316" s="332"/>
      <c r="AV1316" s="332"/>
      <c r="AW1316" s="332"/>
      <c r="AX1316" s="332"/>
      <c r="AY1316" s="332"/>
      <c r="AZ1316" s="332"/>
      <c r="BA1316" s="332"/>
      <c r="BB1316" s="332"/>
      <c r="BC1316" s="332"/>
      <c r="BD1316" s="332"/>
      <c r="BE1316" s="332"/>
      <c r="BF1316" s="332"/>
      <c r="BG1316" s="332"/>
      <c r="BH1316" s="332"/>
      <c r="BI1316" s="332"/>
      <c r="BJ1316" s="332"/>
      <c r="BK1316" s="332"/>
      <c r="BL1316" s="332"/>
      <c r="BM1316" s="332"/>
      <c r="BN1316" s="332"/>
      <c r="BO1316" s="332"/>
      <c r="BP1316" s="332"/>
      <c r="BQ1316" s="332"/>
      <c r="BR1316" s="332"/>
      <c r="BS1316" s="332"/>
      <c r="BT1316" s="332"/>
      <c r="BU1316" s="332"/>
      <c r="BV1316" s="332"/>
      <c r="BW1316" s="332"/>
      <c r="BX1316" s="332"/>
      <c r="BY1316" s="332"/>
      <c r="BZ1316" s="332"/>
      <c r="CA1316" s="332"/>
      <c r="CB1316" s="332"/>
      <c r="CC1316" s="332"/>
      <c r="CD1316" s="332"/>
      <c r="CE1316" s="332"/>
      <c r="CF1316" s="332"/>
      <c r="CG1316" s="332"/>
      <c r="CH1316" s="332"/>
      <c r="CI1316" s="332"/>
      <c r="CJ1316" s="332"/>
      <c r="CK1316" s="332"/>
      <c r="CL1316" s="332"/>
      <c r="CM1316" s="332"/>
      <c r="CN1316" s="332"/>
      <c r="CO1316" s="332"/>
      <c r="CP1316" s="332"/>
      <c r="CQ1316" s="332"/>
      <c r="CR1316" s="332"/>
      <c r="CS1316" s="332"/>
      <c r="CT1316" s="332"/>
      <c r="CU1316" s="332"/>
      <c r="CV1316" s="332"/>
      <c r="CW1316" s="332"/>
      <c r="CX1316" s="332"/>
      <c r="CY1316" s="332"/>
      <c r="CZ1316" s="332"/>
      <c r="DA1316" s="332"/>
      <c r="DB1316" s="332"/>
      <c r="DC1316" s="332"/>
      <c r="DD1316" s="332"/>
      <c r="DE1316" s="332"/>
      <c r="DF1316" s="332"/>
      <c r="DG1316" s="332"/>
      <c r="DH1316" s="332"/>
      <c r="DI1316" s="332"/>
      <c r="DJ1316" s="332"/>
      <c r="DK1316" s="332"/>
      <c r="DL1316" s="332"/>
      <c r="DM1316" s="332"/>
      <c r="DN1316" s="332"/>
      <c r="DO1316" s="332"/>
      <c r="DP1316" s="332"/>
      <c r="DQ1316" s="332"/>
      <c r="DR1316" s="332"/>
      <c r="DS1316" s="332"/>
      <c r="DT1316" s="332"/>
      <c r="DU1316" s="453"/>
      <c r="DV1316" s="453"/>
      <c r="DW1316" s="453"/>
      <c r="DX1316" s="453"/>
      <c r="DY1316" s="453"/>
      <c r="DZ1316" s="453"/>
      <c r="EA1316" s="453"/>
      <c r="EB1316" s="453"/>
      <c r="EC1316" s="453"/>
      <c r="ED1316" s="453"/>
      <c r="EE1316" s="453"/>
      <c r="EF1316" s="453"/>
      <c r="EG1316" s="453"/>
      <c r="EH1316" s="453"/>
      <c r="EI1316" s="453"/>
      <c r="EJ1316" s="453"/>
      <c r="EK1316" s="453"/>
      <c r="EL1316" s="453"/>
      <c r="EM1316" s="483">
        <f t="shared" si="257"/>
        <v>1007</v>
      </c>
      <c r="EN1316" s="485"/>
      <c r="EO1316" s="458"/>
      <c r="EP1316" s="467"/>
      <c r="EQ1316" s="457"/>
      <c r="ER1316" s="808"/>
      <c r="ES1316" s="881">
        <f t="shared" si="260"/>
        <v>0</v>
      </c>
      <c r="ET1316" s="882"/>
      <c r="EU1316" s="883"/>
      <c r="EV1316" s="884">
        <f t="shared" si="261"/>
        <v>0</v>
      </c>
      <c r="EW1316" s="885"/>
      <c r="EX1316" s="885"/>
      <c r="EY1316" s="885"/>
      <c r="EZ1316" s="885"/>
      <c r="FA1316" s="885"/>
      <c r="FB1316" s="885"/>
      <c r="FC1316" s="885"/>
      <c r="FD1316" s="886"/>
      <c r="FE1316" s="877"/>
      <c r="FF1316" s="877"/>
      <c r="FG1316" s="877"/>
      <c r="FH1316" s="877"/>
      <c r="FI1316" s="877"/>
      <c r="FJ1316" s="877"/>
      <c r="FK1316" s="877"/>
      <c r="FL1316" s="874"/>
      <c r="FM1316" s="875"/>
      <c r="FN1316" s="875"/>
      <c r="FO1316" s="875"/>
      <c r="FP1316" s="875"/>
      <c r="FQ1316" s="875"/>
      <c r="FR1316" s="875"/>
      <c r="FS1316" s="875"/>
      <c r="FT1316" s="875"/>
      <c r="FU1316" s="875"/>
      <c r="FV1316" s="875"/>
      <c r="FW1316" s="875"/>
      <c r="FX1316" s="875"/>
      <c r="FY1316" s="875"/>
      <c r="FZ1316" s="875"/>
      <c r="GA1316" s="875"/>
      <c r="GB1316" s="876"/>
      <c r="GC1316" s="370"/>
      <c r="GD1316" s="453"/>
      <c r="GE1316" s="453"/>
      <c r="GF1316" s="453"/>
      <c r="GG1316" s="453"/>
      <c r="GH1316" s="454"/>
      <c r="GI1316" s="453"/>
      <c r="GJ1316" s="453"/>
      <c r="GK1316" s="453"/>
      <c r="GL1316" s="453"/>
      <c r="GM1316" s="453"/>
      <c r="GN1316" s="453"/>
      <c r="GO1316" s="453"/>
      <c r="GP1316" s="453"/>
      <c r="GQ1316" s="453"/>
      <c r="GR1316" s="453"/>
      <c r="GS1316" s="561"/>
      <c r="GT1316" s="475"/>
      <c r="GU1316" s="472"/>
      <c r="GV1316" s="453"/>
      <c r="GW1316" s="453"/>
      <c r="GX1316" s="869"/>
      <c r="GY1316" s="870"/>
      <c r="GZ1316" s="867"/>
      <c r="HA1316" s="868"/>
      <c r="HB1316" s="473"/>
      <c r="HC1316" s="869"/>
      <c r="HD1316" s="870"/>
      <c r="HE1316" s="867"/>
      <c r="HF1316" s="868"/>
      <c r="HG1316" s="473"/>
      <c r="HH1316" s="867"/>
      <c r="HI1316" s="868"/>
      <c r="HJ1316" s="867"/>
      <c r="HK1316" s="868"/>
      <c r="HL1316" s="370"/>
      <c r="HM1316" s="865"/>
      <c r="HN1316" s="866"/>
      <c r="HO1316" s="865"/>
      <c r="HP1316" s="866"/>
      <c r="HQ1316" s="865"/>
      <c r="HR1316" s="866"/>
      <c r="HS1316" s="867"/>
      <c r="HT1316" s="868"/>
      <c r="HU1316" s="489"/>
      <c r="HV1316" s="865"/>
      <c r="HW1316" s="866"/>
    </row>
    <row r="1317" spans="25:231" ht="15" customHeight="1">
      <c r="Y1317" s="332"/>
      <c r="Z1317" s="332"/>
      <c r="AA1317" s="332"/>
      <c r="AB1317" s="332"/>
      <c r="AC1317" s="332"/>
      <c r="AD1317" s="332"/>
      <c r="AE1317" s="332"/>
      <c r="AF1317" s="332"/>
      <c r="AG1317" s="332"/>
      <c r="AH1317" s="332"/>
      <c r="AI1317" s="332"/>
      <c r="AJ1317" s="332"/>
      <c r="AK1317" s="332"/>
      <c r="AL1317" s="332"/>
      <c r="AM1317" s="332"/>
      <c r="AN1317" s="332"/>
      <c r="AO1317" s="332"/>
      <c r="AP1317" s="332"/>
      <c r="AQ1317" s="332"/>
      <c r="AR1317" s="332"/>
      <c r="AS1317" s="332"/>
      <c r="AT1317" s="332"/>
      <c r="AU1317" s="332"/>
      <c r="AV1317" s="332"/>
      <c r="AW1317" s="332"/>
      <c r="AX1317" s="332"/>
      <c r="AY1317" s="332"/>
      <c r="AZ1317" s="332"/>
      <c r="BA1317" s="332"/>
      <c r="BB1317" s="332"/>
      <c r="BC1317" s="332"/>
      <c r="BD1317" s="332"/>
      <c r="BE1317" s="332"/>
      <c r="BF1317" s="332"/>
      <c r="BG1317" s="332"/>
      <c r="BH1317" s="332"/>
      <c r="BI1317" s="332"/>
      <c r="BJ1317" s="332"/>
      <c r="BK1317" s="332"/>
      <c r="BL1317" s="332"/>
      <c r="BM1317" s="332"/>
      <c r="BN1317" s="332"/>
      <c r="BO1317" s="332"/>
      <c r="BP1317" s="332"/>
      <c r="BQ1317" s="332"/>
      <c r="BR1317" s="332"/>
      <c r="BS1317" s="332"/>
      <c r="BT1317" s="332"/>
      <c r="BU1317" s="332"/>
      <c r="BV1317" s="332"/>
      <c r="BW1317" s="332"/>
      <c r="BX1317" s="332"/>
      <c r="BY1317" s="332"/>
      <c r="BZ1317" s="332"/>
      <c r="CA1317" s="332"/>
      <c r="CB1317" s="332"/>
      <c r="CC1317" s="332"/>
      <c r="CD1317" s="332"/>
      <c r="CE1317" s="332"/>
      <c r="CF1317" s="332"/>
      <c r="CG1317" s="332"/>
      <c r="CH1317" s="332"/>
      <c r="CI1317" s="332"/>
      <c r="CJ1317" s="332"/>
      <c r="CK1317" s="332"/>
      <c r="CL1317" s="332"/>
      <c r="CM1317" s="332"/>
      <c r="CN1317" s="332"/>
      <c r="CO1317" s="332"/>
      <c r="CP1317" s="332"/>
      <c r="CQ1317" s="332"/>
      <c r="CR1317" s="332"/>
      <c r="CS1317" s="332"/>
      <c r="CT1317" s="332"/>
      <c r="CU1317" s="332"/>
      <c r="CV1317" s="332"/>
      <c r="CW1317" s="332"/>
      <c r="CX1317" s="332"/>
      <c r="CY1317" s="332"/>
      <c r="CZ1317" s="332"/>
      <c r="DA1317" s="332"/>
      <c r="DB1317" s="332"/>
      <c r="DC1317" s="332"/>
      <c r="DD1317" s="332"/>
      <c r="DE1317" s="332"/>
      <c r="DF1317" s="332"/>
      <c r="DG1317" s="332"/>
      <c r="DH1317" s="332"/>
      <c r="DI1317" s="332"/>
      <c r="DJ1317" s="332"/>
      <c r="DK1317" s="332"/>
      <c r="DL1317" s="332"/>
      <c r="DM1317" s="332"/>
      <c r="DN1317" s="332"/>
      <c r="DO1317" s="332"/>
      <c r="DP1317" s="332"/>
      <c r="DQ1317" s="332"/>
      <c r="DR1317" s="332"/>
      <c r="DS1317" s="332"/>
      <c r="DT1317" s="332"/>
      <c r="DU1317" s="453"/>
      <c r="DV1317" s="453"/>
      <c r="DW1317" s="453"/>
      <c r="DX1317" s="453"/>
      <c r="DY1317" s="453"/>
      <c r="DZ1317" s="453"/>
      <c r="EA1317" s="453"/>
      <c r="EB1317" s="453"/>
      <c r="EC1317" s="453"/>
      <c r="ED1317" s="453"/>
      <c r="EE1317" s="453"/>
      <c r="EF1317" s="453"/>
      <c r="EG1317" s="453"/>
      <c r="EH1317" s="453"/>
      <c r="EI1317" s="453"/>
      <c r="EJ1317" s="453"/>
      <c r="EK1317" s="453"/>
      <c r="EL1317" s="453"/>
      <c r="EM1317" s="483">
        <f t="shared" si="257"/>
        <v>1008</v>
      </c>
      <c r="EN1317" s="485"/>
      <c r="EO1317" s="458"/>
      <c r="EP1317" s="467"/>
      <c r="EQ1317" s="457"/>
      <c r="ER1317" s="808"/>
      <c r="ES1317" s="881">
        <f t="shared" si="260"/>
        <v>0</v>
      </c>
      <c r="ET1317" s="882"/>
      <c r="EU1317" s="883"/>
      <c r="EV1317" s="884">
        <f t="shared" si="261"/>
        <v>0</v>
      </c>
      <c r="EW1317" s="885"/>
      <c r="EX1317" s="885"/>
      <c r="EY1317" s="885"/>
      <c r="EZ1317" s="885"/>
      <c r="FA1317" s="885"/>
      <c r="FB1317" s="885"/>
      <c r="FC1317" s="885"/>
      <c r="FD1317" s="886"/>
      <c r="FE1317" s="877"/>
      <c r="FF1317" s="877"/>
      <c r="FG1317" s="877"/>
      <c r="FH1317" s="877"/>
      <c r="FI1317" s="877"/>
      <c r="FJ1317" s="877"/>
      <c r="FK1317" s="877"/>
      <c r="FL1317" s="874"/>
      <c r="FM1317" s="875"/>
      <c r="FN1317" s="875"/>
      <c r="FO1317" s="875"/>
      <c r="FP1317" s="875"/>
      <c r="FQ1317" s="875"/>
      <c r="FR1317" s="875"/>
      <c r="FS1317" s="875"/>
      <c r="FT1317" s="875"/>
      <c r="FU1317" s="875"/>
      <c r="FV1317" s="875"/>
      <c r="FW1317" s="875"/>
      <c r="FX1317" s="875"/>
      <c r="FY1317" s="875"/>
      <c r="FZ1317" s="875"/>
      <c r="GA1317" s="875"/>
      <c r="GB1317" s="876"/>
      <c r="GC1317" s="370"/>
      <c r="GD1317" s="453"/>
      <c r="GE1317" s="453"/>
      <c r="GF1317" s="453"/>
      <c r="GG1317" s="453"/>
      <c r="GH1317" s="454"/>
      <c r="GI1317" s="453"/>
      <c r="GJ1317" s="453"/>
      <c r="GK1317" s="453"/>
      <c r="GL1317" s="453"/>
      <c r="GM1317" s="453"/>
      <c r="GN1317" s="453"/>
      <c r="GO1317" s="453"/>
      <c r="GP1317" s="453"/>
      <c r="GQ1317" s="453"/>
      <c r="GR1317" s="453"/>
      <c r="GS1317" s="561"/>
      <c r="GT1317" s="475"/>
      <c r="GU1317" s="472"/>
      <c r="GV1317" s="453"/>
      <c r="GW1317" s="453"/>
      <c r="GX1317" s="869"/>
      <c r="GY1317" s="870"/>
      <c r="GZ1317" s="867"/>
      <c r="HA1317" s="868"/>
      <c r="HB1317" s="473"/>
      <c r="HC1317" s="869"/>
      <c r="HD1317" s="870"/>
      <c r="HE1317" s="867"/>
      <c r="HF1317" s="868"/>
      <c r="HG1317" s="473"/>
      <c r="HH1317" s="867"/>
      <c r="HI1317" s="868"/>
      <c r="HJ1317" s="867"/>
      <c r="HK1317" s="868"/>
      <c r="HL1317" s="370"/>
      <c r="HM1317" s="865"/>
      <c r="HN1317" s="866"/>
      <c r="HO1317" s="865"/>
      <c r="HP1317" s="866"/>
      <c r="HQ1317" s="865"/>
      <c r="HR1317" s="866"/>
      <c r="HS1317" s="867"/>
      <c r="HT1317" s="868"/>
      <c r="HU1317" s="489"/>
      <c r="HV1317" s="865"/>
      <c r="HW1317" s="866"/>
    </row>
    <row r="1318" spans="25:231" ht="15" customHeight="1">
      <c r="Y1318" s="332"/>
      <c r="Z1318" s="332"/>
      <c r="AA1318" s="332"/>
      <c r="AB1318" s="332"/>
      <c r="AC1318" s="332"/>
      <c r="AD1318" s="332"/>
      <c r="AE1318" s="332"/>
      <c r="AF1318" s="332"/>
      <c r="AG1318" s="332"/>
      <c r="AH1318" s="332"/>
      <c r="AI1318" s="332"/>
      <c r="AJ1318" s="332"/>
      <c r="AK1318" s="332"/>
      <c r="AL1318" s="332"/>
      <c r="AM1318" s="332"/>
      <c r="AN1318" s="332"/>
      <c r="AO1318" s="332"/>
      <c r="AP1318" s="332"/>
      <c r="AQ1318" s="332"/>
      <c r="AR1318" s="332"/>
      <c r="AS1318" s="332"/>
      <c r="AT1318" s="332"/>
      <c r="AU1318" s="332"/>
      <c r="AV1318" s="332"/>
      <c r="AW1318" s="332"/>
      <c r="AX1318" s="332"/>
      <c r="AY1318" s="332"/>
      <c r="AZ1318" s="332"/>
      <c r="BA1318" s="332"/>
      <c r="BB1318" s="332"/>
      <c r="BC1318" s="332"/>
      <c r="BD1318" s="332"/>
      <c r="BE1318" s="332"/>
      <c r="BF1318" s="332"/>
      <c r="BG1318" s="332"/>
      <c r="BH1318" s="332"/>
      <c r="BI1318" s="332"/>
      <c r="BJ1318" s="332"/>
      <c r="BK1318" s="332"/>
      <c r="BL1318" s="332"/>
      <c r="BM1318" s="332"/>
      <c r="BN1318" s="332"/>
      <c r="BO1318" s="332"/>
      <c r="BP1318" s="332"/>
      <c r="BQ1318" s="332"/>
      <c r="BR1318" s="332"/>
      <c r="BS1318" s="332"/>
      <c r="BT1318" s="332"/>
      <c r="BU1318" s="332"/>
      <c r="BV1318" s="332"/>
      <c r="BW1318" s="332"/>
      <c r="BX1318" s="332"/>
      <c r="BY1318" s="332"/>
      <c r="BZ1318" s="332"/>
      <c r="CA1318" s="332"/>
      <c r="CB1318" s="332"/>
      <c r="CC1318" s="332"/>
      <c r="CD1318" s="332"/>
      <c r="CE1318" s="332"/>
      <c r="CF1318" s="332"/>
      <c r="CG1318" s="332"/>
      <c r="CH1318" s="332"/>
      <c r="CI1318" s="332"/>
      <c r="CJ1318" s="332"/>
      <c r="CK1318" s="332"/>
      <c r="CL1318" s="332"/>
      <c r="CM1318" s="332"/>
      <c r="CN1318" s="332"/>
      <c r="CO1318" s="332"/>
      <c r="CP1318" s="332"/>
      <c r="CQ1318" s="332"/>
      <c r="CR1318" s="332"/>
      <c r="CS1318" s="332"/>
      <c r="CT1318" s="332"/>
      <c r="CU1318" s="332"/>
      <c r="CV1318" s="332"/>
      <c r="CW1318" s="332"/>
      <c r="CX1318" s="332"/>
      <c r="CY1318" s="332"/>
      <c r="CZ1318" s="332"/>
      <c r="DA1318" s="332"/>
      <c r="DB1318" s="332"/>
      <c r="DC1318" s="332"/>
      <c r="DD1318" s="332"/>
      <c r="DE1318" s="332"/>
      <c r="DF1318" s="332"/>
      <c r="DG1318" s="332"/>
      <c r="DH1318" s="332"/>
      <c r="DI1318" s="332"/>
      <c r="DJ1318" s="332"/>
      <c r="DK1318" s="332"/>
      <c r="DL1318" s="332"/>
      <c r="DM1318" s="332"/>
      <c r="DN1318" s="332"/>
      <c r="DO1318" s="332"/>
      <c r="DP1318" s="332"/>
      <c r="DQ1318" s="332"/>
      <c r="DR1318" s="332"/>
      <c r="DS1318" s="332"/>
      <c r="DT1318" s="332"/>
      <c r="DU1318" s="453"/>
      <c r="DV1318" s="453"/>
      <c r="DW1318" s="453"/>
      <c r="DX1318" s="453"/>
      <c r="DY1318" s="453"/>
      <c r="DZ1318" s="453"/>
      <c r="EA1318" s="453"/>
      <c r="EB1318" s="453"/>
      <c r="EC1318" s="453"/>
      <c r="ED1318" s="453"/>
      <c r="EE1318" s="453"/>
      <c r="EF1318" s="453"/>
      <c r="EG1318" s="453"/>
      <c r="EH1318" s="453"/>
      <c r="EI1318" s="453"/>
      <c r="EJ1318" s="453"/>
      <c r="EK1318" s="453"/>
      <c r="EL1318" s="453"/>
      <c r="EM1318" s="483">
        <f t="shared" si="257"/>
        <v>1009</v>
      </c>
      <c r="EN1318" s="485"/>
      <c r="EO1318" s="458"/>
      <c r="EP1318" s="467"/>
      <c r="EQ1318" s="457"/>
      <c r="ER1318" s="808"/>
      <c r="ES1318" s="881">
        <f t="shared" si="260"/>
        <v>0</v>
      </c>
      <c r="ET1318" s="882"/>
      <c r="EU1318" s="883"/>
      <c r="EV1318" s="884">
        <f t="shared" si="261"/>
        <v>0</v>
      </c>
      <c r="EW1318" s="885"/>
      <c r="EX1318" s="885"/>
      <c r="EY1318" s="885"/>
      <c r="EZ1318" s="885"/>
      <c r="FA1318" s="885"/>
      <c r="FB1318" s="885"/>
      <c r="FC1318" s="885"/>
      <c r="FD1318" s="886"/>
      <c r="FE1318" s="877"/>
      <c r="FF1318" s="877"/>
      <c r="FG1318" s="877"/>
      <c r="FH1318" s="877"/>
      <c r="FI1318" s="877"/>
      <c r="FJ1318" s="877"/>
      <c r="FK1318" s="877"/>
      <c r="FL1318" s="874"/>
      <c r="FM1318" s="875"/>
      <c r="FN1318" s="875"/>
      <c r="FO1318" s="875"/>
      <c r="FP1318" s="875"/>
      <c r="FQ1318" s="875"/>
      <c r="FR1318" s="875"/>
      <c r="FS1318" s="875"/>
      <c r="FT1318" s="875"/>
      <c r="FU1318" s="875"/>
      <c r="FV1318" s="875"/>
      <c r="FW1318" s="875"/>
      <c r="FX1318" s="875"/>
      <c r="FY1318" s="875"/>
      <c r="FZ1318" s="875"/>
      <c r="GA1318" s="875"/>
      <c r="GB1318" s="876"/>
      <c r="GC1318" s="370"/>
      <c r="GD1318" s="453"/>
      <c r="GE1318" s="453"/>
      <c r="GF1318" s="453"/>
      <c r="GG1318" s="453"/>
      <c r="GH1318" s="454"/>
      <c r="GI1318" s="453"/>
      <c r="GJ1318" s="453"/>
      <c r="GK1318" s="453"/>
      <c r="GL1318" s="453"/>
      <c r="GM1318" s="453"/>
      <c r="GN1318" s="453"/>
      <c r="GO1318" s="453"/>
      <c r="GP1318" s="453"/>
      <c r="GQ1318" s="453"/>
      <c r="GR1318" s="453"/>
      <c r="GS1318" s="561"/>
      <c r="GT1318" s="475"/>
      <c r="GU1318" s="472"/>
      <c r="GV1318" s="453"/>
      <c r="GW1318" s="453"/>
      <c r="GX1318" s="869"/>
      <c r="GY1318" s="870"/>
      <c r="GZ1318" s="867"/>
      <c r="HA1318" s="868"/>
      <c r="HB1318" s="473"/>
      <c r="HC1318" s="869"/>
      <c r="HD1318" s="870"/>
      <c r="HE1318" s="867"/>
      <c r="HF1318" s="868"/>
      <c r="HG1318" s="473"/>
      <c r="HH1318" s="867"/>
      <c r="HI1318" s="868"/>
      <c r="HJ1318" s="867"/>
      <c r="HK1318" s="868"/>
      <c r="HL1318" s="370"/>
      <c r="HM1318" s="865"/>
      <c r="HN1318" s="866"/>
      <c r="HO1318" s="865"/>
      <c r="HP1318" s="866"/>
      <c r="HQ1318" s="865"/>
      <c r="HR1318" s="866"/>
      <c r="HS1318" s="867"/>
      <c r="HT1318" s="868"/>
      <c r="HU1318" s="489"/>
      <c r="HV1318" s="865"/>
      <c r="HW1318" s="866"/>
    </row>
    <row r="1319" spans="25:231" ht="15" customHeight="1">
      <c r="Y1319" s="332"/>
      <c r="Z1319" s="332"/>
      <c r="AA1319" s="332"/>
      <c r="AB1319" s="332"/>
      <c r="AC1319" s="332"/>
      <c r="AD1319" s="332"/>
      <c r="AE1319" s="332"/>
      <c r="AF1319" s="332"/>
      <c r="AG1319" s="332"/>
      <c r="AH1319" s="332"/>
      <c r="AI1319" s="332"/>
      <c r="AJ1319" s="332"/>
      <c r="AK1319" s="332"/>
      <c r="AL1319" s="332"/>
      <c r="AM1319" s="332"/>
      <c r="AN1319" s="332"/>
      <c r="AO1319" s="332"/>
      <c r="AP1319" s="332"/>
      <c r="AQ1319" s="332"/>
      <c r="AR1319" s="332"/>
      <c r="AS1319" s="332"/>
      <c r="AT1319" s="332"/>
      <c r="AU1319" s="332"/>
      <c r="AV1319" s="332"/>
      <c r="AW1319" s="332"/>
      <c r="AX1319" s="332"/>
      <c r="AY1319" s="332"/>
      <c r="AZ1319" s="332"/>
      <c r="BA1319" s="332"/>
      <c r="BB1319" s="332"/>
      <c r="BC1319" s="332"/>
      <c r="BD1319" s="332"/>
      <c r="BE1319" s="332"/>
      <c r="BF1319" s="332"/>
      <c r="BG1319" s="332"/>
      <c r="BH1319" s="332"/>
      <c r="BI1319" s="332"/>
      <c r="BJ1319" s="332"/>
      <c r="BK1319" s="332"/>
      <c r="BL1319" s="332"/>
      <c r="BM1319" s="332"/>
      <c r="BN1319" s="332"/>
      <c r="BO1319" s="332"/>
      <c r="BP1319" s="332"/>
      <c r="BQ1319" s="332"/>
      <c r="BR1319" s="332"/>
      <c r="BS1319" s="332"/>
      <c r="BT1319" s="332"/>
      <c r="BU1319" s="332"/>
      <c r="BV1319" s="332"/>
      <c r="BW1319" s="332"/>
      <c r="BX1319" s="332"/>
      <c r="BY1319" s="332"/>
      <c r="BZ1319" s="332"/>
      <c r="CA1319" s="332"/>
      <c r="CB1319" s="332"/>
      <c r="CC1319" s="332"/>
      <c r="CD1319" s="332"/>
      <c r="CE1319" s="332"/>
      <c r="CF1319" s="332"/>
      <c r="CG1319" s="332"/>
      <c r="CH1319" s="332"/>
      <c r="CI1319" s="332"/>
      <c r="CJ1319" s="332"/>
      <c r="CK1319" s="332"/>
      <c r="CL1319" s="332"/>
      <c r="CM1319" s="332"/>
      <c r="CN1319" s="332"/>
      <c r="CO1319" s="332"/>
      <c r="CP1319" s="332"/>
      <c r="CQ1319" s="332"/>
      <c r="CR1319" s="332"/>
      <c r="CS1319" s="332"/>
      <c r="CT1319" s="332"/>
      <c r="CU1319" s="332"/>
      <c r="CV1319" s="332"/>
      <c r="CW1319" s="332"/>
      <c r="CX1319" s="332"/>
      <c r="CY1319" s="332"/>
      <c r="CZ1319" s="332"/>
      <c r="DA1319" s="332"/>
      <c r="DB1319" s="332"/>
      <c r="DC1319" s="332"/>
      <c r="DD1319" s="332"/>
      <c r="DE1319" s="332"/>
      <c r="DF1319" s="332"/>
      <c r="DG1319" s="332"/>
      <c r="DH1319" s="332"/>
      <c r="DI1319" s="332"/>
      <c r="DJ1319" s="332"/>
      <c r="DK1319" s="332"/>
      <c r="DL1319" s="332"/>
      <c r="DM1319" s="332"/>
      <c r="DN1319" s="332"/>
      <c r="DO1319" s="332"/>
      <c r="DP1319" s="332"/>
      <c r="DQ1319" s="332"/>
      <c r="DR1319" s="332"/>
      <c r="DS1319" s="332"/>
      <c r="DT1319" s="332"/>
      <c r="DU1319" s="453"/>
      <c r="DV1319" s="453"/>
      <c r="DW1319" s="453"/>
      <c r="DX1319" s="453"/>
      <c r="DY1319" s="453"/>
      <c r="DZ1319" s="453"/>
      <c r="EA1319" s="453"/>
      <c r="EB1319" s="453"/>
      <c r="EC1319" s="453"/>
      <c r="ED1319" s="453"/>
      <c r="EE1319" s="453"/>
      <c r="EF1319" s="453"/>
      <c r="EG1319" s="453"/>
      <c r="EH1319" s="453"/>
      <c r="EI1319" s="453"/>
      <c r="EJ1319" s="453"/>
      <c r="EK1319" s="453"/>
      <c r="EL1319" s="453"/>
      <c r="EM1319" s="483">
        <f t="shared" si="257"/>
        <v>1010</v>
      </c>
      <c r="EN1319" s="485"/>
      <c r="EO1319" s="458"/>
      <c r="EP1319" s="467"/>
      <c r="EQ1319" s="457"/>
      <c r="ER1319" s="808"/>
      <c r="ES1319" s="881">
        <f t="shared" si="260"/>
        <v>0</v>
      </c>
      <c r="ET1319" s="882"/>
      <c r="EU1319" s="883"/>
      <c r="EV1319" s="884">
        <f t="shared" si="261"/>
        <v>0</v>
      </c>
      <c r="EW1319" s="885"/>
      <c r="EX1319" s="885"/>
      <c r="EY1319" s="885"/>
      <c r="EZ1319" s="885"/>
      <c r="FA1319" s="885"/>
      <c r="FB1319" s="885"/>
      <c r="FC1319" s="885"/>
      <c r="FD1319" s="886"/>
      <c r="FE1319" s="877"/>
      <c r="FF1319" s="877"/>
      <c r="FG1319" s="877"/>
      <c r="FH1319" s="877"/>
      <c r="FI1319" s="877"/>
      <c r="FJ1319" s="877"/>
      <c r="FK1319" s="877"/>
      <c r="FL1319" s="874"/>
      <c r="FM1319" s="875"/>
      <c r="FN1319" s="875"/>
      <c r="FO1319" s="875"/>
      <c r="FP1319" s="875"/>
      <c r="FQ1319" s="875"/>
      <c r="FR1319" s="875"/>
      <c r="FS1319" s="875"/>
      <c r="FT1319" s="875"/>
      <c r="FU1319" s="875"/>
      <c r="FV1319" s="875"/>
      <c r="FW1319" s="875"/>
      <c r="FX1319" s="875"/>
      <c r="FY1319" s="875"/>
      <c r="FZ1319" s="875"/>
      <c r="GA1319" s="875"/>
      <c r="GB1319" s="876"/>
      <c r="GC1319" s="370"/>
      <c r="GD1319" s="453"/>
      <c r="GE1319" s="453"/>
      <c r="GF1319" s="453"/>
      <c r="GG1319" s="453"/>
      <c r="GH1319" s="454"/>
      <c r="GI1319" s="453"/>
      <c r="GJ1319" s="453"/>
      <c r="GK1319" s="453"/>
      <c r="GL1319" s="453"/>
      <c r="GM1319" s="453"/>
      <c r="GN1319" s="453"/>
      <c r="GO1319" s="453"/>
      <c r="GP1319" s="453"/>
      <c r="GQ1319" s="453"/>
      <c r="GR1319" s="453"/>
      <c r="GS1319" s="561"/>
      <c r="GT1319" s="475"/>
      <c r="GU1319" s="472"/>
      <c r="GV1319" s="453"/>
      <c r="GW1319" s="453"/>
      <c r="GX1319" s="869"/>
      <c r="GY1319" s="870"/>
      <c r="GZ1319" s="867"/>
      <c r="HA1319" s="868"/>
      <c r="HB1319" s="473"/>
      <c r="HC1319" s="869"/>
      <c r="HD1319" s="870"/>
      <c r="HE1319" s="867"/>
      <c r="HF1319" s="868"/>
      <c r="HG1319" s="473"/>
      <c r="HH1319" s="867"/>
      <c r="HI1319" s="868"/>
      <c r="HJ1319" s="867"/>
      <c r="HK1319" s="868"/>
      <c r="HL1319" s="370"/>
      <c r="HM1319" s="865"/>
      <c r="HN1319" s="866"/>
      <c r="HO1319" s="865"/>
      <c r="HP1319" s="866"/>
      <c r="HQ1319" s="865"/>
      <c r="HR1319" s="866"/>
      <c r="HS1319" s="867"/>
      <c r="HT1319" s="868"/>
      <c r="HU1319" s="489"/>
      <c r="HV1319" s="865"/>
      <c r="HW1319" s="866"/>
    </row>
    <row r="1320" spans="25:231" ht="15" customHeight="1">
      <c r="Y1320" s="332"/>
      <c r="Z1320" s="332"/>
      <c r="AA1320" s="332"/>
      <c r="AB1320" s="332"/>
      <c r="AC1320" s="332"/>
      <c r="AD1320" s="332"/>
      <c r="AE1320" s="332"/>
      <c r="AF1320" s="332"/>
      <c r="AG1320" s="332"/>
      <c r="AH1320" s="332"/>
      <c r="AI1320" s="332"/>
      <c r="AJ1320" s="332"/>
      <c r="AK1320" s="332"/>
      <c r="AL1320" s="332"/>
      <c r="AM1320" s="332"/>
      <c r="AN1320" s="332"/>
      <c r="AO1320" s="332"/>
      <c r="AP1320" s="332"/>
      <c r="AQ1320" s="332"/>
      <c r="AR1320" s="332"/>
      <c r="AS1320" s="332"/>
      <c r="AT1320" s="332"/>
      <c r="AU1320" s="332"/>
      <c r="AV1320" s="332"/>
      <c r="AW1320" s="332"/>
      <c r="AX1320" s="332"/>
      <c r="AY1320" s="332"/>
      <c r="AZ1320" s="332"/>
      <c r="BA1320" s="332"/>
      <c r="BB1320" s="332"/>
      <c r="BC1320" s="332"/>
      <c r="BD1320" s="332"/>
      <c r="BE1320" s="332"/>
      <c r="BF1320" s="332"/>
      <c r="BG1320" s="332"/>
      <c r="BH1320" s="332"/>
      <c r="BI1320" s="332"/>
      <c r="BJ1320" s="332"/>
      <c r="BK1320" s="332"/>
      <c r="BL1320" s="332"/>
      <c r="BM1320" s="332"/>
      <c r="BN1320" s="332"/>
      <c r="BO1320" s="332"/>
      <c r="BP1320" s="332"/>
      <c r="BQ1320" s="332"/>
      <c r="BR1320" s="332"/>
      <c r="BS1320" s="332"/>
      <c r="BT1320" s="332"/>
      <c r="BU1320" s="332"/>
      <c r="BV1320" s="332"/>
      <c r="BW1320" s="332"/>
      <c r="BX1320" s="332"/>
      <c r="BY1320" s="332"/>
      <c r="BZ1320" s="332"/>
      <c r="CA1320" s="332"/>
      <c r="CB1320" s="332"/>
      <c r="CC1320" s="332"/>
      <c r="CD1320" s="332"/>
      <c r="CE1320" s="332"/>
      <c r="CF1320" s="332"/>
      <c r="CG1320" s="332"/>
      <c r="CH1320" s="332"/>
      <c r="CI1320" s="332"/>
      <c r="CJ1320" s="332"/>
      <c r="CK1320" s="332"/>
      <c r="CL1320" s="332"/>
      <c r="CM1320" s="332"/>
      <c r="CN1320" s="332"/>
      <c r="CO1320" s="332"/>
      <c r="CP1320" s="332"/>
      <c r="CQ1320" s="332"/>
      <c r="CR1320" s="332"/>
      <c r="CS1320" s="332"/>
      <c r="CT1320" s="332"/>
      <c r="CU1320" s="332"/>
      <c r="CV1320" s="332"/>
      <c r="CW1320" s="332"/>
      <c r="CX1320" s="332"/>
      <c r="CY1320" s="332"/>
      <c r="CZ1320" s="332"/>
      <c r="DA1320" s="332"/>
      <c r="DB1320" s="332"/>
      <c r="DC1320" s="332"/>
      <c r="DD1320" s="332"/>
      <c r="DE1320" s="332"/>
      <c r="DF1320" s="332"/>
      <c r="DG1320" s="332"/>
      <c r="DH1320" s="332"/>
      <c r="DI1320" s="332"/>
      <c r="DJ1320" s="332"/>
      <c r="DK1320" s="332"/>
      <c r="DL1320" s="332"/>
      <c r="DM1320" s="332"/>
      <c r="DN1320" s="332"/>
      <c r="DO1320" s="332"/>
      <c r="DP1320" s="332"/>
      <c r="DQ1320" s="332"/>
      <c r="DR1320" s="332"/>
      <c r="DS1320" s="332"/>
      <c r="DT1320" s="332"/>
      <c r="DU1320" s="453"/>
      <c r="DV1320" s="453"/>
      <c r="DW1320" s="453"/>
      <c r="DX1320" s="453"/>
      <c r="DY1320" s="453"/>
      <c r="DZ1320" s="453"/>
      <c r="EA1320" s="453"/>
      <c r="EB1320" s="453"/>
      <c r="EC1320" s="453"/>
      <c r="ED1320" s="453"/>
      <c r="EE1320" s="453"/>
      <c r="EF1320" s="453"/>
      <c r="EG1320" s="453"/>
      <c r="EH1320" s="453"/>
      <c r="EI1320" s="453"/>
      <c r="EJ1320" s="453"/>
      <c r="EK1320" s="453"/>
      <c r="EL1320" s="453"/>
      <c r="EM1320" s="483">
        <f t="shared" si="257"/>
        <v>1011</v>
      </c>
      <c r="EN1320" s="485"/>
      <c r="EO1320" s="458"/>
      <c r="EP1320" s="467"/>
      <c r="EQ1320" s="457"/>
      <c r="ER1320" s="808"/>
      <c r="ES1320" s="881">
        <f t="shared" si="260"/>
        <v>0</v>
      </c>
      <c r="ET1320" s="882"/>
      <c r="EU1320" s="883"/>
      <c r="EV1320" s="884">
        <f t="shared" si="261"/>
        <v>0</v>
      </c>
      <c r="EW1320" s="885"/>
      <c r="EX1320" s="885"/>
      <c r="EY1320" s="885"/>
      <c r="EZ1320" s="885"/>
      <c r="FA1320" s="885"/>
      <c r="FB1320" s="885"/>
      <c r="FC1320" s="885"/>
      <c r="FD1320" s="886"/>
      <c r="FE1320" s="877"/>
      <c r="FF1320" s="877"/>
      <c r="FG1320" s="877"/>
      <c r="FH1320" s="877"/>
      <c r="FI1320" s="877"/>
      <c r="FJ1320" s="877"/>
      <c r="FK1320" s="877"/>
      <c r="FL1320" s="874"/>
      <c r="FM1320" s="875"/>
      <c r="FN1320" s="875"/>
      <c r="FO1320" s="875"/>
      <c r="FP1320" s="875"/>
      <c r="FQ1320" s="875"/>
      <c r="FR1320" s="875"/>
      <c r="FS1320" s="875"/>
      <c r="FT1320" s="875"/>
      <c r="FU1320" s="875"/>
      <c r="FV1320" s="875"/>
      <c r="FW1320" s="875"/>
      <c r="FX1320" s="875"/>
      <c r="FY1320" s="875"/>
      <c r="FZ1320" s="875"/>
      <c r="GA1320" s="875"/>
      <c r="GB1320" s="876"/>
      <c r="GC1320" s="370"/>
      <c r="GD1320" s="453"/>
      <c r="GE1320" s="453"/>
      <c r="GF1320" s="453"/>
      <c r="GG1320" s="453"/>
      <c r="GH1320" s="454"/>
      <c r="GI1320" s="453"/>
      <c r="GJ1320" s="453"/>
      <c r="GK1320" s="453"/>
      <c r="GL1320" s="453"/>
      <c r="GM1320" s="453"/>
      <c r="GN1320" s="453"/>
      <c r="GO1320" s="453"/>
      <c r="GP1320" s="453"/>
      <c r="GQ1320" s="453"/>
      <c r="GR1320" s="453"/>
      <c r="GS1320" s="561"/>
      <c r="GT1320" s="475"/>
      <c r="GU1320" s="472"/>
      <c r="GV1320" s="453"/>
      <c r="GW1320" s="453"/>
      <c r="GX1320" s="869"/>
      <c r="GY1320" s="870"/>
      <c r="GZ1320" s="867"/>
      <c r="HA1320" s="868"/>
      <c r="HB1320" s="473"/>
      <c r="HC1320" s="869"/>
      <c r="HD1320" s="870"/>
      <c r="HE1320" s="867"/>
      <c r="HF1320" s="868"/>
      <c r="HG1320" s="473"/>
      <c r="HH1320" s="867"/>
      <c r="HI1320" s="868"/>
      <c r="HJ1320" s="867"/>
      <c r="HK1320" s="868"/>
      <c r="HL1320" s="370"/>
      <c r="HM1320" s="865"/>
      <c r="HN1320" s="866"/>
      <c r="HO1320" s="865"/>
      <c r="HP1320" s="866"/>
      <c r="HQ1320" s="865"/>
      <c r="HR1320" s="866"/>
      <c r="HS1320" s="867"/>
      <c r="HT1320" s="868"/>
      <c r="HU1320" s="489"/>
      <c r="HV1320" s="865"/>
      <c r="HW1320" s="866"/>
    </row>
    <row r="1321" spans="25:231" ht="15" customHeight="1">
      <c r="Y1321" s="332"/>
      <c r="Z1321" s="332"/>
      <c r="AA1321" s="332"/>
      <c r="AB1321" s="332"/>
      <c r="AC1321" s="332"/>
      <c r="AD1321" s="332"/>
      <c r="AE1321" s="332"/>
      <c r="AF1321" s="332"/>
      <c r="AG1321" s="332"/>
      <c r="AH1321" s="332"/>
      <c r="AI1321" s="332"/>
      <c r="AJ1321" s="332"/>
      <c r="AK1321" s="332"/>
      <c r="AL1321" s="332"/>
      <c r="AM1321" s="332"/>
      <c r="AN1321" s="332"/>
      <c r="AO1321" s="332"/>
      <c r="AP1321" s="332"/>
      <c r="AQ1321" s="332"/>
      <c r="AR1321" s="332"/>
      <c r="AS1321" s="332"/>
      <c r="AT1321" s="332"/>
      <c r="AU1321" s="332"/>
      <c r="AV1321" s="332"/>
      <c r="AW1321" s="332"/>
      <c r="AX1321" s="332"/>
      <c r="AY1321" s="332"/>
      <c r="AZ1321" s="332"/>
      <c r="BA1321" s="332"/>
      <c r="BB1321" s="332"/>
      <c r="BC1321" s="332"/>
      <c r="BD1321" s="332"/>
      <c r="BE1321" s="332"/>
      <c r="BF1321" s="332"/>
      <c r="BG1321" s="332"/>
      <c r="BH1321" s="332"/>
      <c r="BI1321" s="332"/>
      <c r="BJ1321" s="332"/>
      <c r="BK1321" s="332"/>
      <c r="BL1321" s="332"/>
      <c r="BM1321" s="332"/>
      <c r="BN1321" s="332"/>
      <c r="BO1321" s="332"/>
      <c r="BP1321" s="332"/>
      <c r="BQ1321" s="332"/>
      <c r="BR1321" s="332"/>
      <c r="BS1321" s="332"/>
      <c r="BT1321" s="332"/>
      <c r="BU1321" s="332"/>
      <c r="BV1321" s="332"/>
      <c r="BW1321" s="332"/>
      <c r="BX1321" s="332"/>
      <c r="BY1321" s="332"/>
      <c r="BZ1321" s="332"/>
      <c r="CA1321" s="332"/>
      <c r="CB1321" s="332"/>
      <c r="CC1321" s="332"/>
      <c r="CD1321" s="332"/>
      <c r="CE1321" s="332"/>
      <c r="CF1321" s="332"/>
      <c r="CG1321" s="332"/>
      <c r="CH1321" s="332"/>
      <c r="CI1321" s="332"/>
      <c r="CJ1321" s="332"/>
      <c r="CK1321" s="332"/>
      <c r="CL1321" s="332"/>
      <c r="CM1321" s="332"/>
      <c r="CN1321" s="332"/>
      <c r="CO1321" s="332"/>
      <c r="CP1321" s="332"/>
      <c r="CQ1321" s="332"/>
      <c r="CR1321" s="332"/>
      <c r="CS1321" s="332"/>
      <c r="CT1321" s="332"/>
      <c r="CU1321" s="332"/>
      <c r="CV1321" s="332"/>
      <c r="CW1321" s="332"/>
      <c r="CX1321" s="332"/>
      <c r="CY1321" s="332"/>
      <c r="CZ1321" s="332"/>
      <c r="DA1321" s="332"/>
      <c r="DB1321" s="332"/>
      <c r="DC1321" s="332"/>
      <c r="DD1321" s="332"/>
      <c r="DE1321" s="332"/>
      <c r="DF1321" s="332"/>
      <c r="DG1321" s="332"/>
      <c r="DH1321" s="332"/>
      <c r="DI1321" s="332"/>
      <c r="DJ1321" s="332"/>
      <c r="DK1321" s="332"/>
      <c r="DL1321" s="332"/>
      <c r="DM1321" s="332"/>
      <c r="DN1321" s="332"/>
      <c r="DO1321" s="332"/>
      <c r="DP1321" s="332"/>
      <c r="DQ1321" s="332"/>
      <c r="DR1321" s="332"/>
      <c r="DS1321" s="332"/>
      <c r="DT1321" s="332"/>
      <c r="DU1321" s="453"/>
      <c r="DV1321" s="453"/>
      <c r="DW1321" s="453"/>
      <c r="DX1321" s="453"/>
      <c r="DY1321" s="453"/>
      <c r="DZ1321" s="453"/>
      <c r="EA1321" s="453"/>
      <c r="EB1321" s="453"/>
      <c r="EC1321" s="453"/>
      <c r="ED1321" s="453"/>
      <c r="EE1321" s="453"/>
      <c r="EF1321" s="453"/>
      <c r="EG1321" s="453"/>
      <c r="EH1321" s="453"/>
      <c r="EI1321" s="453"/>
      <c r="EJ1321" s="453"/>
      <c r="EK1321" s="453"/>
      <c r="EL1321" s="453"/>
      <c r="EM1321" s="483">
        <f t="shared" si="257"/>
        <v>1012</v>
      </c>
      <c r="EN1321" s="485"/>
      <c r="EO1321" s="458"/>
      <c r="EP1321" s="467"/>
      <c r="EQ1321" s="457"/>
      <c r="ER1321" s="808"/>
      <c r="ES1321" s="881">
        <f t="shared" si="260"/>
        <v>0</v>
      </c>
      <c r="ET1321" s="882"/>
      <c r="EU1321" s="883"/>
      <c r="EV1321" s="884">
        <f t="shared" si="261"/>
        <v>0</v>
      </c>
      <c r="EW1321" s="885"/>
      <c r="EX1321" s="885"/>
      <c r="EY1321" s="885"/>
      <c r="EZ1321" s="885"/>
      <c r="FA1321" s="885"/>
      <c r="FB1321" s="885"/>
      <c r="FC1321" s="885"/>
      <c r="FD1321" s="886"/>
      <c r="FE1321" s="877"/>
      <c r="FF1321" s="877"/>
      <c r="FG1321" s="877"/>
      <c r="FH1321" s="877"/>
      <c r="FI1321" s="877"/>
      <c r="FJ1321" s="877"/>
      <c r="FK1321" s="877"/>
      <c r="FL1321" s="874"/>
      <c r="FM1321" s="875"/>
      <c r="FN1321" s="875"/>
      <c r="FO1321" s="875"/>
      <c r="FP1321" s="875"/>
      <c r="FQ1321" s="875"/>
      <c r="FR1321" s="875"/>
      <c r="FS1321" s="875"/>
      <c r="FT1321" s="875"/>
      <c r="FU1321" s="875"/>
      <c r="FV1321" s="875"/>
      <c r="FW1321" s="875"/>
      <c r="FX1321" s="875"/>
      <c r="FY1321" s="875"/>
      <c r="FZ1321" s="875"/>
      <c r="GA1321" s="875"/>
      <c r="GB1321" s="876"/>
      <c r="GC1321" s="370"/>
      <c r="GD1321" s="453"/>
      <c r="GE1321" s="453"/>
      <c r="GF1321" s="453"/>
      <c r="GG1321" s="453"/>
      <c r="GH1321" s="454"/>
      <c r="GI1321" s="453"/>
      <c r="GJ1321" s="453"/>
      <c r="GK1321" s="453"/>
      <c r="GL1321" s="453"/>
      <c r="GM1321" s="453"/>
      <c r="GN1321" s="453"/>
      <c r="GO1321" s="453"/>
      <c r="GP1321" s="453"/>
      <c r="GQ1321" s="453"/>
      <c r="GR1321" s="453"/>
      <c r="GS1321" s="561"/>
      <c r="GT1321" s="475"/>
      <c r="GU1321" s="472"/>
      <c r="GV1321" s="453"/>
      <c r="GW1321" s="453"/>
      <c r="GX1321" s="869"/>
      <c r="GY1321" s="870"/>
      <c r="GZ1321" s="867"/>
      <c r="HA1321" s="868"/>
      <c r="HB1321" s="473"/>
      <c r="HC1321" s="869"/>
      <c r="HD1321" s="870"/>
      <c r="HE1321" s="867"/>
      <c r="HF1321" s="868"/>
      <c r="HG1321" s="473"/>
      <c r="HH1321" s="867"/>
      <c r="HI1321" s="868"/>
      <c r="HJ1321" s="867"/>
      <c r="HK1321" s="868"/>
      <c r="HL1321" s="370"/>
      <c r="HM1321" s="865"/>
      <c r="HN1321" s="866"/>
      <c r="HO1321" s="865"/>
      <c r="HP1321" s="866"/>
      <c r="HQ1321" s="865"/>
      <c r="HR1321" s="866"/>
      <c r="HS1321" s="867"/>
      <c r="HT1321" s="868"/>
      <c r="HU1321" s="489"/>
      <c r="HV1321" s="865"/>
      <c r="HW1321" s="866"/>
    </row>
    <row r="1322" spans="25:231" ht="15" customHeight="1">
      <c r="Y1322" s="332"/>
      <c r="Z1322" s="332"/>
      <c r="AA1322" s="332"/>
      <c r="AB1322" s="332"/>
      <c r="AC1322" s="332"/>
      <c r="AD1322" s="332"/>
      <c r="AE1322" s="332"/>
      <c r="AF1322" s="332"/>
      <c r="AG1322" s="332"/>
      <c r="AH1322" s="332"/>
      <c r="AI1322" s="332"/>
      <c r="AJ1322" s="332"/>
      <c r="AK1322" s="332"/>
      <c r="AL1322" s="332"/>
      <c r="AM1322" s="332"/>
      <c r="AN1322" s="332"/>
      <c r="AO1322" s="332"/>
      <c r="AP1322" s="332"/>
      <c r="AQ1322" s="332"/>
      <c r="AR1322" s="332"/>
      <c r="AS1322" s="332"/>
      <c r="AT1322" s="332"/>
      <c r="AU1322" s="332"/>
      <c r="AV1322" s="332"/>
      <c r="AW1322" s="332"/>
      <c r="AX1322" s="332"/>
      <c r="AY1322" s="332"/>
      <c r="AZ1322" s="332"/>
      <c r="BA1322" s="332"/>
      <c r="BB1322" s="332"/>
      <c r="BC1322" s="332"/>
      <c r="BD1322" s="332"/>
      <c r="BE1322" s="332"/>
      <c r="BF1322" s="332"/>
      <c r="BG1322" s="332"/>
      <c r="BH1322" s="332"/>
      <c r="BI1322" s="332"/>
      <c r="BJ1322" s="332"/>
      <c r="BK1322" s="332"/>
      <c r="BL1322" s="332"/>
      <c r="BM1322" s="332"/>
      <c r="BN1322" s="332"/>
      <c r="BO1322" s="332"/>
      <c r="BP1322" s="332"/>
      <c r="BQ1322" s="332"/>
      <c r="BR1322" s="332"/>
      <c r="BS1322" s="332"/>
      <c r="BT1322" s="332"/>
      <c r="BU1322" s="332"/>
      <c r="BV1322" s="332"/>
      <c r="BW1322" s="332"/>
      <c r="BX1322" s="332"/>
      <c r="BY1322" s="332"/>
      <c r="BZ1322" s="332"/>
      <c r="CA1322" s="332"/>
      <c r="CB1322" s="332"/>
      <c r="CC1322" s="332"/>
      <c r="CD1322" s="332"/>
      <c r="CE1322" s="332"/>
      <c r="CF1322" s="332"/>
      <c r="CG1322" s="332"/>
      <c r="CH1322" s="332"/>
      <c r="CI1322" s="332"/>
      <c r="CJ1322" s="332"/>
      <c r="CK1322" s="332"/>
      <c r="CL1322" s="332"/>
      <c r="CM1322" s="332"/>
      <c r="CN1322" s="332"/>
      <c r="CO1322" s="332"/>
      <c r="CP1322" s="332"/>
      <c r="CQ1322" s="332"/>
      <c r="CR1322" s="332"/>
      <c r="CS1322" s="332"/>
      <c r="CT1322" s="332"/>
      <c r="CU1322" s="332"/>
      <c r="CV1322" s="332"/>
      <c r="CW1322" s="332"/>
      <c r="CX1322" s="332"/>
      <c r="CY1322" s="332"/>
      <c r="CZ1322" s="332"/>
      <c r="DA1322" s="332"/>
      <c r="DB1322" s="332"/>
      <c r="DC1322" s="332"/>
      <c r="DD1322" s="332"/>
      <c r="DE1322" s="332"/>
      <c r="DF1322" s="332"/>
      <c r="DG1322" s="332"/>
      <c r="DH1322" s="332"/>
      <c r="DI1322" s="332"/>
      <c r="DJ1322" s="332"/>
      <c r="DK1322" s="332"/>
      <c r="DL1322" s="332"/>
      <c r="DM1322" s="332"/>
      <c r="DN1322" s="332"/>
      <c r="DO1322" s="332"/>
      <c r="DP1322" s="332"/>
      <c r="DQ1322" s="332"/>
      <c r="DR1322" s="332"/>
      <c r="DS1322" s="332"/>
      <c r="DT1322" s="332"/>
      <c r="DU1322" s="453"/>
      <c r="DV1322" s="453"/>
      <c r="DW1322" s="453"/>
      <c r="DX1322" s="453"/>
      <c r="DY1322" s="453"/>
      <c r="DZ1322" s="453"/>
      <c r="EA1322" s="453"/>
      <c r="EB1322" s="453"/>
      <c r="EC1322" s="453"/>
      <c r="ED1322" s="453"/>
      <c r="EE1322" s="453"/>
      <c r="EF1322" s="453"/>
      <c r="EG1322" s="453"/>
      <c r="EH1322" s="453"/>
      <c r="EI1322" s="453"/>
      <c r="EJ1322" s="453"/>
      <c r="EK1322" s="453"/>
      <c r="EL1322" s="453"/>
      <c r="EM1322" s="483">
        <f t="shared" si="257"/>
        <v>1013</v>
      </c>
      <c r="EN1322" s="485"/>
      <c r="EO1322" s="458"/>
      <c r="EP1322" s="467"/>
      <c r="EQ1322" s="457"/>
      <c r="ER1322" s="808"/>
      <c r="ES1322" s="881">
        <f t="shared" si="260"/>
        <v>0</v>
      </c>
      <c r="ET1322" s="882"/>
      <c r="EU1322" s="883"/>
      <c r="EV1322" s="884">
        <f t="shared" si="261"/>
        <v>0</v>
      </c>
      <c r="EW1322" s="885"/>
      <c r="EX1322" s="885"/>
      <c r="EY1322" s="885"/>
      <c r="EZ1322" s="885"/>
      <c r="FA1322" s="885"/>
      <c r="FB1322" s="885"/>
      <c r="FC1322" s="885"/>
      <c r="FD1322" s="886"/>
      <c r="FE1322" s="877"/>
      <c r="FF1322" s="877"/>
      <c r="FG1322" s="877"/>
      <c r="FH1322" s="877"/>
      <c r="FI1322" s="877"/>
      <c r="FJ1322" s="877"/>
      <c r="FK1322" s="877"/>
      <c r="FL1322" s="874"/>
      <c r="FM1322" s="875"/>
      <c r="FN1322" s="875"/>
      <c r="FO1322" s="875"/>
      <c r="FP1322" s="875"/>
      <c r="FQ1322" s="875"/>
      <c r="FR1322" s="875"/>
      <c r="FS1322" s="875"/>
      <c r="FT1322" s="875"/>
      <c r="FU1322" s="875"/>
      <c r="FV1322" s="875"/>
      <c r="FW1322" s="875"/>
      <c r="FX1322" s="875"/>
      <c r="FY1322" s="875"/>
      <c r="FZ1322" s="875"/>
      <c r="GA1322" s="875"/>
      <c r="GB1322" s="876"/>
      <c r="GC1322" s="370"/>
      <c r="GD1322" s="453"/>
      <c r="GE1322" s="453"/>
      <c r="GF1322" s="453"/>
      <c r="GG1322" s="453"/>
      <c r="GH1322" s="454"/>
      <c r="GI1322" s="453"/>
      <c r="GJ1322" s="453"/>
      <c r="GK1322" s="453"/>
      <c r="GL1322" s="453"/>
      <c r="GM1322" s="453"/>
      <c r="GN1322" s="453"/>
      <c r="GO1322" s="453"/>
      <c r="GP1322" s="453"/>
      <c r="GQ1322" s="453"/>
      <c r="GR1322" s="453"/>
      <c r="GS1322" s="561"/>
      <c r="GT1322" s="475"/>
      <c r="GU1322" s="472"/>
      <c r="GV1322" s="453"/>
      <c r="GW1322" s="453"/>
      <c r="GX1322" s="869"/>
      <c r="GY1322" s="870"/>
      <c r="GZ1322" s="867"/>
      <c r="HA1322" s="868"/>
      <c r="HB1322" s="473"/>
      <c r="HC1322" s="869"/>
      <c r="HD1322" s="870"/>
      <c r="HE1322" s="867"/>
      <c r="HF1322" s="868"/>
      <c r="HG1322" s="473"/>
      <c r="HH1322" s="867"/>
      <c r="HI1322" s="868"/>
      <c r="HJ1322" s="867"/>
      <c r="HK1322" s="868"/>
      <c r="HL1322" s="370"/>
      <c r="HM1322" s="865"/>
      <c r="HN1322" s="866"/>
      <c r="HO1322" s="865"/>
      <c r="HP1322" s="866"/>
      <c r="HQ1322" s="865"/>
      <c r="HR1322" s="866"/>
      <c r="HS1322" s="867"/>
      <c r="HT1322" s="868"/>
      <c r="HU1322" s="489"/>
      <c r="HV1322" s="865"/>
      <c r="HW1322" s="866"/>
    </row>
    <row r="1323" spans="25:231" ht="15" customHeight="1">
      <c r="Y1323" s="332"/>
      <c r="Z1323" s="332"/>
      <c r="AA1323" s="332"/>
      <c r="AB1323" s="332"/>
      <c r="AC1323" s="332"/>
      <c r="AD1323" s="332"/>
      <c r="AE1323" s="332"/>
      <c r="AF1323" s="332"/>
      <c r="AG1323" s="332"/>
      <c r="AH1323" s="332"/>
      <c r="AI1323" s="332"/>
      <c r="AJ1323" s="332"/>
      <c r="AK1323" s="332"/>
      <c r="AL1323" s="332"/>
      <c r="AM1323" s="332"/>
      <c r="AN1323" s="332"/>
      <c r="AO1323" s="332"/>
      <c r="AP1323" s="332"/>
      <c r="AQ1323" s="332"/>
      <c r="AR1323" s="332"/>
      <c r="AS1323" s="332"/>
      <c r="AT1323" s="332"/>
      <c r="AU1323" s="332"/>
      <c r="AV1323" s="332"/>
      <c r="AW1323" s="332"/>
      <c r="AX1323" s="332"/>
      <c r="AY1323" s="332"/>
      <c r="AZ1323" s="332"/>
      <c r="BA1323" s="332"/>
      <c r="BB1323" s="332"/>
      <c r="BC1323" s="332"/>
      <c r="BD1323" s="332"/>
      <c r="BE1323" s="332"/>
      <c r="BF1323" s="332"/>
      <c r="BG1323" s="332"/>
      <c r="BH1323" s="332"/>
      <c r="BI1323" s="332"/>
      <c r="BJ1323" s="332"/>
      <c r="BK1323" s="332"/>
      <c r="BL1323" s="332"/>
      <c r="BM1323" s="332"/>
      <c r="BN1323" s="332"/>
      <c r="BO1323" s="332"/>
      <c r="BP1323" s="332"/>
      <c r="BQ1323" s="332"/>
      <c r="BR1323" s="332"/>
      <c r="BS1323" s="332"/>
      <c r="BT1323" s="332"/>
      <c r="BU1323" s="332"/>
      <c r="BV1323" s="332"/>
      <c r="BW1323" s="332"/>
      <c r="BX1323" s="332"/>
      <c r="BY1323" s="332"/>
      <c r="BZ1323" s="332"/>
      <c r="CA1323" s="332"/>
      <c r="CB1323" s="332"/>
      <c r="CC1323" s="332"/>
      <c r="CD1323" s="332"/>
      <c r="CE1323" s="332"/>
      <c r="CF1323" s="332"/>
      <c r="CG1323" s="332"/>
      <c r="CH1323" s="332"/>
      <c r="CI1323" s="332"/>
      <c r="CJ1323" s="332"/>
      <c r="CK1323" s="332"/>
      <c r="CL1323" s="332"/>
      <c r="CM1323" s="332"/>
      <c r="CN1323" s="332"/>
      <c r="CO1323" s="332"/>
      <c r="CP1323" s="332"/>
      <c r="CQ1323" s="332"/>
      <c r="CR1323" s="332"/>
      <c r="CS1323" s="332"/>
      <c r="CT1323" s="332"/>
      <c r="CU1323" s="332"/>
      <c r="CV1323" s="332"/>
      <c r="CW1323" s="332"/>
      <c r="CX1323" s="332"/>
      <c r="CY1323" s="332"/>
      <c r="CZ1323" s="332"/>
      <c r="DA1323" s="332"/>
      <c r="DB1323" s="332"/>
      <c r="DC1323" s="332"/>
      <c r="DD1323" s="332"/>
      <c r="DE1323" s="332"/>
      <c r="DF1323" s="332"/>
      <c r="DG1323" s="332"/>
      <c r="DH1323" s="332"/>
      <c r="DI1323" s="332"/>
      <c r="DJ1323" s="332"/>
      <c r="DK1323" s="332"/>
      <c r="DL1323" s="332"/>
      <c r="DM1323" s="332"/>
      <c r="DN1323" s="332"/>
      <c r="DO1323" s="332"/>
      <c r="DP1323" s="332"/>
      <c r="DQ1323" s="332"/>
      <c r="DR1323" s="332"/>
      <c r="DS1323" s="332"/>
      <c r="DT1323" s="332"/>
      <c r="DU1323" s="453"/>
      <c r="DV1323" s="453"/>
      <c r="DW1323" s="453"/>
      <c r="DX1323" s="453"/>
      <c r="DY1323" s="453"/>
      <c r="DZ1323" s="453"/>
      <c r="EA1323" s="453"/>
      <c r="EB1323" s="453"/>
      <c r="EC1323" s="453"/>
      <c r="ED1323" s="453"/>
      <c r="EE1323" s="453"/>
      <c r="EF1323" s="453"/>
      <c r="EG1323" s="453"/>
      <c r="EH1323" s="453"/>
      <c r="EI1323" s="453"/>
      <c r="EJ1323" s="453"/>
      <c r="EK1323" s="453"/>
      <c r="EL1323" s="453"/>
      <c r="EM1323" s="483">
        <f t="shared" si="257"/>
        <v>1014</v>
      </c>
      <c r="EN1323" s="485"/>
      <c r="EO1323" s="458"/>
      <c r="EP1323" s="467"/>
      <c r="EQ1323" s="457"/>
      <c r="ER1323" s="808"/>
      <c r="ES1323" s="881">
        <f t="shared" si="260"/>
        <v>0</v>
      </c>
      <c r="ET1323" s="882"/>
      <c r="EU1323" s="883"/>
      <c r="EV1323" s="884">
        <f t="shared" si="261"/>
        <v>0</v>
      </c>
      <c r="EW1323" s="885"/>
      <c r="EX1323" s="885"/>
      <c r="EY1323" s="885"/>
      <c r="EZ1323" s="885"/>
      <c r="FA1323" s="885"/>
      <c r="FB1323" s="885"/>
      <c r="FC1323" s="885"/>
      <c r="FD1323" s="886"/>
      <c r="FE1323" s="877"/>
      <c r="FF1323" s="877"/>
      <c r="FG1323" s="877"/>
      <c r="FH1323" s="877"/>
      <c r="FI1323" s="877"/>
      <c r="FJ1323" s="877"/>
      <c r="FK1323" s="877"/>
      <c r="FL1323" s="874"/>
      <c r="FM1323" s="875"/>
      <c r="FN1323" s="875"/>
      <c r="FO1323" s="875"/>
      <c r="FP1323" s="875"/>
      <c r="FQ1323" s="875"/>
      <c r="FR1323" s="875"/>
      <c r="FS1323" s="875"/>
      <c r="FT1323" s="875"/>
      <c r="FU1323" s="875"/>
      <c r="FV1323" s="875"/>
      <c r="FW1323" s="875"/>
      <c r="FX1323" s="875"/>
      <c r="FY1323" s="875"/>
      <c r="FZ1323" s="875"/>
      <c r="GA1323" s="875"/>
      <c r="GB1323" s="876"/>
      <c r="GC1323" s="370"/>
      <c r="GD1323" s="453"/>
      <c r="GE1323" s="453"/>
      <c r="GF1323" s="453"/>
      <c r="GG1323" s="453"/>
      <c r="GH1323" s="454"/>
      <c r="GI1323" s="453"/>
      <c r="GJ1323" s="453"/>
      <c r="GK1323" s="453"/>
      <c r="GL1323" s="453"/>
      <c r="GM1323" s="453"/>
      <c r="GN1323" s="453"/>
      <c r="GO1323" s="453"/>
      <c r="GP1323" s="453"/>
      <c r="GQ1323" s="453"/>
      <c r="GR1323" s="453"/>
      <c r="GS1323" s="561"/>
      <c r="GT1323" s="475"/>
      <c r="GU1323" s="472"/>
      <c r="GV1323" s="453"/>
      <c r="GW1323" s="453"/>
      <c r="GX1323" s="869"/>
      <c r="GY1323" s="870"/>
      <c r="GZ1323" s="867"/>
      <c r="HA1323" s="868"/>
      <c r="HB1323" s="473"/>
      <c r="HC1323" s="869"/>
      <c r="HD1323" s="870"/>
      <c r="HE1323" s="867"/>
      <c r="HF1323" s="868"/>
      <c r="HG1323" s="473"/>
      <c r="HH1323" s="867"/>
      <c r="HI1323" s="868"/>
      <c r="HJ1323" s="867"/>
      <c r="HK1323" s="868"/>
      <c r="HL1323" s="370"/>
      <c r="HM1323" s="865"/>
      <c r="HN1323" s="866"/>
      <c r="HO1323" s="865"/>
      <c r="HP1323" s="866"/>
      <c r="HQ1323" s="865"/>
      <c r="HR1323" s="866"/>
      <c r="HS1323" s="867"/>
      <c r="HT1323" s="868"/>
      <c r="HU1323" s="489"/>
      <c r="HV1323" s="865"/>
      <c r="HW1323" s="866"/>
    </row>
    <row r="1324" spans="25:231" ht="15" customHeight="1">
      <c r="Y1324" s="332"/>
      <c r="Z1324" s="332"/>
      <c r="AA1324" s="332"/>
      <c r="AB1324" s="332"/>
      <c r="AC1324" s="332"/>
      <c r="AD1324" s="332"/>
      <c r="AE1324" s="332"/>
      <c r="AF1324" s="332"/>
      <c r="AG1324" s="332"/>
      <c r="AH1324" s="332"/>
      <c r="AI1324" s="332"/>
      <c r="AJ1324" s="332"/>
      <c r="AK1324" s="332"/>
      <c r="AL1324" s="332"/>
      <c r="AM1324" s="332"/>
      <c r="AN1324" s="332"/>
      <c r="AO1324" s="332"/>
      <c r="AP1324" s="332"/>
      <c r="AQ1324" s="332"/>
      <c r="AR1324" s="332"/>
      <c r="AS1324" s="332"/>
      <c r="AT1324" s="332"/>
      <c r="AU1324" s="332"/>
      <c r="AV1324" s="332"/>
      <c r="AW1324" s="332"/>
      <c r="AX1324" s="332"/>
      <c r="AY1324" s="332"/>
      <c r="AZ1324" s="332"/>
      <c r="BA1324" s="332"/>
      <c r="BB1324" s="332"/>
      <c r="BC1324" s="332"/>
      <c r="BD1324" s="332"/>
      <c r="BE1324" s="332"/>
      <c r="BF1324" s="332"/>
      <c r="BG1324" s="332"/>
      <c r="BH1324" s="332"/>
      <c r="BI1324" s="332"/>
      <c r="BJ1324" s="332"/>
      <c r="BK1324" s="332"/>
      <c r="BL1324" s="332"/>
      <c r="BM1324" s="332"/>
      <c r="BN1324" s="332"/>
      <c r="BO1324" s="332"/>
      <c r="BP1324" s="332"/>
      <c r="BQ1324" s="332"/>
      <c r="BR1324" s="332"/>
      <c r="BS1324" s="332"/>
      <c r="BT1324" s="332"/>
      <c r="BU1324" s="332"/>
      <c r="BV1324" s="332"/>
      <c r="BW1324" s="332"/>
      <c r="BX1324" s="332"/>
      <c r="BY1324" s="332"/>
      <c r="BZ1324" s="332"/>
      <c r="CA1324" s="332"/>
      <c r="CB1324" s="332"/>
      <c r="CC1324" s="332"/>
      <c r="CD1324" s="332"/>
      <c r="CE1324" s="332"/>
      <c r="CF1324" s="332"/>
      <c r="CG1324" s="332"/>
      <c r="CH1324" s="332"/>
      <c r="CI1324" s="332"/>
      <c r="CJ1324" s="332"/>
      <c r="CK1324" s="332"/>
      <c r="CL1324" s="332"/>
      <c r="CM1324" s="332"/>
      <c r="CN1324" s="332"/>
      <c r="CO1324" s="332"/>
      <c r="CP1324" s="332"/>
      <c r="CQ1324" s="332"/>
      <c r="CR1324" s="332"/>
      <c r="CS1324" s="332"/>
      <c r="CT1324" s="332"/>
      <c r="CU1324" s="332"/>
      <c r="CV1324" s="332"/>
      <c r="CW1324" s="332"/>
      <c r="CX1324" s="332"/>
      <c r="CY1324" s="332"/>
      <c r="CZ1324" s="332"/>
      <c r="DA1324" s="332"/>
      <c r="DB1324" s="332"/>
      <c r="DC1324" s="332"/>
      <c r="DD1324" s="332"/>
      <c r="DE1324" s="332"/>
      <c r="DF1324" s="332"/>
      <c r="DG1324" s="332"/>
      <c r="DH1324" s="332"/>
      <c r="DI1324" s="332"/>
      <c r="DJ1324" s="332"/>
      <c r="DK1324" s="332"/>
      <c r="DL1324" s="332"/>
      <c r="DM1324" s="332"/>
      <c r="DN1324" s="332"/>
      <c r="DO1324" s="332"/>
      <c r="DP1324" s="332"/>
      <c r="DQ1324" s="332"/>
      <c r="DR1324" s="332"/>
      <c r="DS1324" s="332"/>
      <c r="DT1324" s="332"/>
      <c r="DU1324" s="453"/>
      <c r="DV1324" s="453"/>
      <c r="DW1324" s="453"/>
      <c r="DX1324" s="453"/>
      <c r="DY1324" s="453"/>
      <c r="DZ1324" s="453"/>
      <c r="EA1324" s="453"/>
      <c r="EB1324" s="453"/>
      <c r="EC1324" s="453"/>
      <c r="ED1324" s="453"/>
      <c r="EE1324" s="453"/>
      <c r="EF1324" s="453"/>
      <c r="EG1324" s="453"/>
      <c r="EH1324" s="453"/>
      <c r="EI1324" s="453"/>
      <c r="EJ1324" s="453"/>
      <c r="EK1324" s="453"/>
      <c r="EL1324" s="453"/>
      <c r="EM1324" s="483">
        <f t="shared" si="257"/>
        <v>1015</v>
      </c>
      <c r="EN1324" s="485"/>
      <c r="EO1324" s="458"/>
      <c r="EP1324" s="467"/>
      <c r="EQ1324" s="457"/>
      <c r="ER1324" s="808"/>
      <c r="ES1324" s="881">
        <f t="shared" si="260"/>
        <v>0</v>
      </c>
      <c r="ET1324" s="882"/>
      <c r="EU1324" s="883"/>
      <c r="EV1324" s="884">
        <f t="shared" si="261"/>
        <v>0</v>
      </c>
      <c r="EW1324" s="885"/>
      <c r="EX1324" s="885"/>
      <c r="EY1324" s="885"/>
      <c r="EZ1324" s="885"/>
      <c r="FA1324" s="885"/>
      <c r="FB1324" s="885"/>
      <c r="FC1324" s="885"/>
      <c r="FD1324" s="886"/>
      <c r="FE1324" s="877"/>
      <c r="FF1324" s="877"/>
      <c r="FG1324" s="877"/>
      <c r="FH1324" s="877"/>
      <c r="FI1324" s="877"/>
      <c r="FJ1324" s="877"/>
      <c r="FK1324" s="877"/>
      <c r="FL1324" s="874"/>
      <c r="FM1324" s="875"/>
      <c r="FN1324" s="875"/>
      <c r="FO1324" s="875"/>
      <c r="FP1324" s="875"/>
      <c r="FQ1324" s="875"/>
      <c r="FR1324" s="875"/>
      <c r="FS1324" s="875"/>
      <c r="FT1324" s="875"/>
      <c r="FU1324" s="875"/>
      <c r="FV1324" s="875"/>
      <c r="FW1324" s="875"/>
      <c r="FX1324" s="875"/>
      <c r="FY1324" s="875"/>
      <c r="FZ1324" s="875"/>
      <c r="GA1324" s="875"/>
      <c r="GB1324" s="876"/>
      <c r="GC1324" s="370"/>
      <c r="GD1324" s="453"/>
      <c r="GE1324" s="453"/>
      <c r="GF1324" s="453"/>
      <c r="GG1324" s="453"/>
      <c r="GH1324" s="454"/>
      <c r="GI1324" s="453"/>
      <c r="GJ1324" s="453"/>
      <c r="GK1324" s="453"/>
      <c r="GL1324" s="453"/>
      <c r="GM1324" s="453"/>
      <c r="GN1324" s="453"/>
      <c r="GO1324" s="453"/>
      <c r="GP1324" s="453"/>
      <c r="GQ1324" s="453"/>
      <c r="GR1324" s="453"/>
      <c r="GS1324" s="561"/>
      <c r="GT1324" s="475"/>
      <c r="GU1324" s="472"/>
      <c r="GV1324" s="453"/>
      <c r="GW1324" s="453"/>
      <c r="GX1324" s="869"/>
      <c r="GY1324" s="870"/>
      <c r="GZ1324" s="867"/>
      <c r="HA1324" s="868"/>
      <c r="HB1324" s="473"/>
      <c r="HC1324" s="869"/>
      <c r="HD1324" s="870"/>
      <c r="HE1324" s="867"/>
      <c r="HF1324" s="868"/>
      <c r="HG1324" s="473"/>
      <c r="HH1324" s="867"/>
      <c r="HI1324" s="868"/>
      <c r="HJ1324" s="867"/>
      <c r="HK1324" s="868"/>
      <c r="HL1324" s="370"/>
      <c r="HM1324" s="865"/>
      <c r="HN1324" s="866"/>
      <c r="HO1324" s="865"/>
      <c r="HP1324" s="866"/>
      <c r="HQ1324" s="865"/>
      <c r="HR1324" s="866"/>
      <c r="HS1324" s="867"/>
      <c r="HT1324" s="868"/>
      <c r="HU1324" s="489"/>
      <c r="HV1324" s="865"/>
      <c r="HW1324" s="866"/>
    </row>
    <row r="1325" spans="25:231" ht="15" customHeight="1">
      <c r="Y1325" s="332"/>
      <c r="Z1325" s="332"/>
      <c r="AA1325" s="332"/>
      <c r="AB1325" s="332"/>
      <c r="AC1325" s="332"/>
      <c r="AD1325" s="332"/>
      <c r="AE1325" s="332"/>
      <c r="AF1325" s="332"/>
      <c r="AG1325" s="332"/>
      <c r="AH1325" s="332"/>
      <c r="AI1325" s="332"/>
      <c r="AJ1325" s="332"/>
      <c r="AK1325" s="332"/>
      <c r="AL1325" s="332"/>
      <c r="AM1325" s="332"/>
      <c r="AN1325" s="332"/>
      <c r="AO1325" s="332"/>
      <c r="AP1325" s="332"/>
      <c r="AQ1325" s="332"/>
      <c r="AR1325" s="332"/>
      <c r="AS1325" s="332"/>
      <c r="AT1325" s="332"/>
      <c r="AU1325" s="332"/>
      <c r="AV1325" s="332"/>
      <c r="AW1325" s="332"/>
      <c r="AX1325" s="332"/>
      <c r="AY1325" s="332"/>
      <c r="AZ1325" s="332"/>
      <c r="BA1325" s="332"/>
      <c r="BB1325" s="332"/>
      <c r="BC1325" s="332"/>
      <c r="BD1325" s="332"/>
      <c r="BE1325" s="332"/>
      <c r="BF1325" s="332"/>
      <c r="BG1325" s="332"/>
      <c r="BH1325" s="332"/>
      <c r="BI1325" s="332"/>
      <c r="BJ1325" s="332"/>
      <c r="BK1325" s="332"/>
      <c r="BL1325" s="332"/>
      <c r="BM1325" s="332"/>
      <c r="BN1325" s="332"/>
      <c r="BO1325" s="332"/>
      <c r="BP1325" s="332"/>
      <c r="BQ1325" s="332"/>
      <c r="BR1325" s="332"/>
      <c r="BS1325" s="332"/>
      <c r="BT1325" s="332"/>
      <c r="BU1325" s="332"/>
      <c r="BV1325" s="332"/>
      <c r="BW1325" s="332"/>
      <c r="BX1325" s="332"/>
      <c r="BY1325" s="332"/>
      <c r="BZ1325" s="332"/>
      <c r="CA1325" s="332"/>
      <c r="CB1325" s="332"/>
      <c r="CC1325" s="332"/>
      <c r="CD1325" s="332"/>
      <c r="CE1325" s="332"/>
      <c r="CF1325" s="332"/>
      <c r="CG1325" s="332"/>
      <c r="CH1325" s="332"/>
      <c r="CI1325" s="332"/>
      <c r="CJ1325" s="332"/>
      <c r="CK1325" s="332"/>
      <c r="CL1325" s="332"/>
      <c r="CM1325" s="332"/>
      <c r="CN1325" s="332"/>
      <c r="CO1325" s="332"/>
      <c r="CP1325" s="332"/>
      <c r="CQ1325" s="332"/>
      <c r="CR1325" s="332"/>
      <c r="CS1325" s="332"/>
      <c r="CT1325" s="332"/>
      <c r="CU1325" s="332"/>
      <c r="CV1325" s="332"/>
      <c r="CW1325" s="332"/>
      <c r="CX1325" s="332"/>
      <c r="CY1325" s="332"/>
      <c r="CZ1325" s="332"/>
      <c r="DA1325" s="332"/>
      <c r="DB1325" s="332"/>
      <c r="DC1325" s="332"/>
      <c r="DD1325" s="332"/>
      <c r="DE1325" s="332"/>
      <c r="DF1325" s="332"/>
      <c r="DG1325" s="332"/>
      <c r="DH1325" s="332"/>
      <c r="DI1325" s="332"/>
      <c r="DJ1325" s="332"/>
      <c r="DK1325" s="332"/>
      <c r="DL1325" s="332"/>
      <c r="DM1325" s="332"/>
      <c r="DN1325" s="332"/>
      <c r="DO1325" s="332"/>
      <c r="DP1325" s="332"/>
      <c r="DQ1325" s="332"/>
      <c r="DR1325" s="332"/>
      <c r="DS1325" s="332"/>
      <c r="DT1325" s="332"/>
      <c r="DU1325" s="453"/>
      <c r="DV1325" s="453"/>
      <c r="DW1325" s="453"/>
      <c r="DX1325" s="453"/>
      <c r="DY1325" s="453"/>
      <c r="DZ1325" s="453"/>
      <c r="EA1325" s="453"/>
      <c r="EB1325" s="453"/>
      <c r="EC1325" s="453"/>
      <c r="ED1325" s="453"/>
      <c r="EE1325" s="453"/>
      <c r="EF1325" s="453"/>
      <c r="EG1325" s="453"/>
      <c r="EH1325" s="453"/>
      <c r="EI1325" s="453"/>
      <c r="EJ1325" s="453"/>
      <c r="EK1325" s="453"/>
      <c r="EL1325" s="453"/>
      <c r="EM1325" s="483">
        <f t="shared" si="257"/>
        <v>1016</v>
      </c>
      <c r="EN1325" s="485"/>
      <c r="EO1325" s="458"/>
      <c r="EP1325" s="467"/>
      <c r="EQ1325" s="457"/>
      <c r="ER1325" s="808"/>
      <c r="ES1325" s="881">
        <f t="shared" si="260"/>
        <v>0</v>
      </c>
      <c r="ET1325" s="882"/>
      <c r="EU1325" s="883"/>
      <c r="EV1325" s="884">
        <f t="shared" si="261"/>
        <v>0</v>
      </c>
      <c r="EW1325" s="885"/>
      <c r="EX1325" s="885"/>
      <c r="EY1325" s="885"/>
      <c r="EZ1325" s="885"/>
      <c r="FA1325" s="885"/>
      <c r="FB1325" s="885"/>
      <c r="FC1325" s="885"/>
      <c r="FD1325" s="886"/>
      <c r="FE1325" s="877"/>
      <c r="FF1325" s="877"/>
      <c r="FG1325" s="877"/>
      <c r="FH1325" s="877"/>
      <c r="FI1325" s="877"/>
      <c r="FJ1325" s="877"/>
      <c r="FK1325" s="877"/>
      <c r="FL1325" s="874"/>
      <c r="FM1325" s="875"/>
      <c r="FN1325" s="875"/>
      <c r="FO1325" s="875"/>
      <c r="FP1325" s="875"/>
      <c r="FQ1325" s="875"/>
      <c r="FR1325" s="875"/>
      <c r="FS1325" s="875"/>
      <c r="FT1325" s="875"/>
      <c r="FU1325" s="875"/>
      <c r="FV1325" s="875"/>
      <c r="FW1325" s="875"/>
      <c r="FX1325" s="875"/>
      <c r="FY1325" s="875"/>
      <c r="FZ1325" s="875"/>
      <c r="GA1325" s="875"/>
      <c r="GB1325" s="876"/>
      <c r="GC1325" s="370"/>
      <c r="GD1325" s="453"/>
      <c r="GE1325" s="453"/>
      <c r="GF1325" s="453"/>
      <c r="GG1325" s="453"/>
      <c r="GH1325" s="454"/>
      <c r="GI1325" s="453"/>
      <c r="GJ1325" s="453"/>
      <c r="GK1325" s="453"/>
      <c r="GL1325" s="453"/>
      <c r="GM1325" s="453"/>
      <c r="GN1325" s="453"/>
      <c r="GO1325" s="453"/>
      <c r="GP1325" s="453"/>
      <c r="GQ1325" s="453"/>
      <c r="GR1325" s="453"/>
      <c r="GS1325" s="561"/>
      <c r="GT1325" s="475"/>
      <c r="GU1325" s="472"/>
      <c r="GV1325" s="453"/>
      <c r="GW1325" s="453"/>
      <c r="GX1325" s="869"/>
      <c r="GY1325" s="870"/>
      <c r="GZ1325" s="867"/>
      <c r="HA1325" s="868"/>
      <c r="HB1325" s="473"/>
      <c r="HC1325" s="869"/>
      <c r="HD1325" s="870"/>
      <c r="HE1325" s="867"/>
      <c r="HF1325" s="868"/>
      <c r="HG1325" s="473"/>
      <c r="HH1325" s="867"/>
      <c r="HI1325" s="868"/>
      <c r="HJ1325" s="867"/>
      <c r="HK1325" s="868"/>
      <c r="HL1325" s="370"/>
      <c r="HM1325" s="865"/>
      <c r="HN1325" s="866"/>
      <c r="HO1325" s="865"/>
      <c r="HP1325" s="866"/>
      <c r="HQ1325" s="865"/>
      <c r="HR1325" s="866"/>
      <c r="HS1325" s="867"/>
      <c r="HT1325" s="868"/>
      <c r="HU1325" s="489"/>
      <c r="HV1325" s="865"/>
      <c r="HW1325" s="866"/>
    </row>
    <row r="1326" spans="25:231" ht="15" customHeight="1">
      <c r="Y1326" s="332"/>
      <c r="Z1326" s="332"/>
      <c r="AA1326" s="332"/>
      <c r="AB1326" s="332"/>
      <c r="AC1326" s="332"/>
      <c r="AD1326" s="332"/>
      <c r="AE1326" s="332"/>
      <c r="AF1326" s="332"/>
      <c r="AG1326" s="332"/>
      <c r="AH1326" s="332"/>
      <c r="AI1326" s="332"/>
      <c r="AJ1326" s="332"/>
      <c r="AK1326" s="332"/>
      <c r="AL1326" s="332"/>
      <c r="AM1326" s="332"/>
      <c r="AN1326" s="332"/>
      <c r="AO1326" s="332"/>
      <c r="AP1326" s="332"/>
      <c r="AQ1326" s="332"/>
      <c r="AR1326" s="332"/>
      <c r="AS1326" s="332"/>
      <c r="AT1326" s="332"/>
      <c r="AU1326" s="332"/>
      <c r="AV1326" s="332"/>
      <c r="AW1326" s="332"/>
      <c r="AX1326" s="332"/>
      <c r="AY1326" s="332"/>
      <c r="AZ1326" s="332"/>
      <c r="BA1326" s="332"/>
      <c r="BB1326" s="332"/>
      <c r="BC1326" s="332"/>
      <c r="BD1326" s="332"/>
      <c r="BE1326" s="332"/>
      <c r="BF1326" s="332"/>
      <c r="BG1326" s="332"/>
      <c r="BH1326" s="332"/>
      <c r="BI1326" s="332"/>
      <c r="BJ1326" s="332"/>
      <c r="BK1326" s="332"/>
      <c r="BL1326" s="332"/>
      <c r="BM1326" s="332"/>
      <c r="BN1326" s="332"/>
      <c r="BO1326" s="332"/>
      <c r="BP1326" s="332"/>
      <c r="BQ1326" s="332"/>
      <c r="BR1326" s="332"/>
      <c r="BS1326" s="332"/>
      <c r="BT1326" s="332"/>
      <c r="BU1326" s="332"/>
      <c r="BV1326" s="332"/>
      <c r="BW1326" s="332"/>
      <c r="BX1326" s="332"/>
      <c r="BY1326" s="332"/>
      <c r="BZ1326" s="332"/>
      <c r="CA1326" s="332"/>
      <c r="CB1326" s="332"/>
      <c r="CC1326" s="332"/>
      <c r="CD1326" s="332"/>
      <c r="CE1326" s="332"/>
      <c r="CF1326" s="332"/>
      <c r="CG1326" s="332"/>
      <c r="CH1326" s="332"/>
      <c r="CI1326" s="332"/>
      <c r="CJ1326" s="332"/>
      <c r="CK1326" s="332"/>
      <c r="CL1326" s="332"/>
      <c r="CM1326" s="332"/>
      <c r="CN1326" s="332"/>
      <c r="CO1326" s="332"/>
      <c r="CP1326" s="332"/>
      <c r="CQ1326" s="332"/>
      <c r="CR1326" s="332"/>
      <c r="CS1326" s="332"/>
      <c r="CT1326" s="332"/>
      <c r="CU1326" s="332"/>
      <c r="CV1326" s="332"/>
      <c r="CW1326" s="332"/>
      <c r="CX1326" s="332"/>
      <c r="CY1326" s="332"/>
      <c r="CZ1326" s="332"/>
      <c r="DA1326" s="332"/>
      <c r="DB1326" s="332"/>
      <c r="DC1326" s="332"/>
      <c r="DD1326" s="332"/>
      <c r="DE1326" s="332"/>
      <c r="DF1326" s="332"/>
      <c r="DG1326" s="332"/>
      <c r="DH1326" s="332"/>
      <c r="DI1326" s="332"/>
      <c r="DJ1326" s="332"/>
      <c r="DK1326" s="332"/>
      <c r="DL1326" s="332"/>
      <c r="DM1326" s="332"/>
      <c r="DN1326" s="332"/>
      <c r="DO1326" s="332"/>
      <c r="DP1326" s="332"/>
      <c r="DQ1326" s="332"/>
      <c r="DR1326" s="332"/>
      <c r="DS1326" s="332"/>
      <c r="DT1326" s="332"/>
      <c r="DU1326" s="453"/>
      <c r="DV1326" s="453"/>
      <c r="DW1326" s="453"/>
      <c r="DX1326" s="453"/>
      <c r="DY1326" s="453"/>
      <c r="DZ1326" s="453"/>
      <c r="EA1326" s="453"/>
      <c r="EB1326" s="453"/>
      <c r="EC1326" s="453"/>
      <c r="ED1326" s="453"/>
      <c r="EE1326" s="453"/>
      <c r="EF1326" s="453"/>
      <c r="EG1326" s="453"/>
      <c r="EH1326" s="453"/>
      <c r="EI1326" s="453"/>
      <c r="EJ1326" s="453"/>
      <c r="EK1326" s="453"/>
      <c r="EL1326" s="453"/>
      <c r="EM1326" s="483">
        <f t="shared" si="257"/>
        <v>1017</v>
      </c>
      <c r="EN1326" s="485"/>
      <c r="EO1326" s="458"/>
      <c r="EP1326" s="467"/>
      <c r="EQ1326" s="457"/>
      <c r="ER1326" s="808"/>
      <c r="ES1326" s="881">
        <f t="shared" si="260"/>
        <v>0</v>
      </c>
      <c r="ET1326" s="882"/>
      <c r="EU1326" s="883"/>
      <c r="EV1326" s="884">
        <f t="shared" si="261"/>
        <v>0</v>
      </c>
      <c r="EW1326" s="885"/>
      <c r="EX1326" s="885"/>
      <c r="EY1326" s="885"/>
      <c r="EZ1326" s="885"/>
      <c r="FA1326" s="885"/>
      <c r="FB1326" s="885"/>
      <c r="FC1326" s="885"/>
      <c r="FD1326" s="886"/>
      <c r="FE1326" s="877"/>
      <c r="FF1326" s="877"/>
      <c r="FG1326" s="877"/>
      <c r="FH1326" s="877"/>
      <c r="FI1326" s="877"/>
      <c r="FJ1326" s="877"/>
      <c r="FK1326" s="877"/>
      <c r="FL1326" s="874"/>
      <c r="FM1326" s="875"/>
      <c r="FN1326" s="875"/>
      <c r="FO1326" s="875"/>
      <c r="FP1326" s="875"/>
      <c r="FQ1326" s="875"/>
      <c r="FR1326" s="875"/>
      <c r="FS1326" s="875"/>
      <c r="FT1326" s="875"/>
      <c r="FU1326" s="875"/>
      <c r="FV1326" s="875"/>
      <c r="FW1326" s="875"/>
      <c r="FX1326" s="875"/>
      <c r="FY1326" s="875"/>
      <c r="FZ1326" s="875"/>
      <c r="GA1326" s="875"/>
      <c r="GB1326" s="876"/>
      <c r="GC1326" s="370"/>
      <c r="GD1326" s="453"/>
      <c r="GE1326" s="453"/>
      <c r="GF1326" s="453"/>
      <c r="GG1326" s="453"/>
      <c r="GH1326" s="454"/>
      <c r="GI1326" s="453"/>
      <c r="GJ1326" s="453"/>
      <c r="GK1326" s="453"/>
      <c r="GL1326" s="453"/>
      <c r="GM1326" s="453"/>
      <c r="GN1326" s="453"/>
      <c r="GO1326" s="453"/>
      <c r="GP1326" s="453"/>
      <c r="GQ1326" s="453"/>
      <c r="GR1326" s="453"/>
      <c r="GS1326" s="561"/>
      <c r="GT1326" s="475"/>
      <c r="GU1326" s="472"/>
      <c r="GV1326" s="453"/>
      <c r="GW1326" s="453"/>
      <c r="GX1326" s="869"/>
      <c r="GY1326" s="870"/>
      <c r="GZ1326" s="867"/>
      <c r="HA1326" s="868"/>
      <c r="HB1326" s="473"/>
      <c r="HC1326" s="869"/>
      <c r="HD1326" s="870"/>
      <c r="HE1326" s="867"/>
      <c r="HF1326" s="868"/>
      <c r="HG1326" s="473"/>
      <c r="HH1326" s="867"/>
      <c r="HI1326" s="868"/>
      <c r="HJ1326" s="867"/>
      <c r="HK1326" s="868"/>
      <c r="HL1326" s="370"/>
      <c r="HM1326" s="865"/>
      <c r="HN1326" s="866"/>
      <c r="HO1326" s="865"/>
      <c r="HP1326" s="866"/>
      <c r="HQ1326" s="865"/>
      <c r="HR1326" s="866"/>
      <c r="HS1326" s="867"/>
      <c r="HT1326" s="868"/>
      <c r="HU1326" s="489"/>
      <c r="HV1326" s="865"/>
      <c r="HW1326" s="866"/>
    </row>
    <row r="1327" spans="25:231" ht="15" customHeight="1">
      <c r="Y1327" s="332"/>
      <c r="Z1327" s="332"/>
      <c r="AA1327" s="332"/>
      <c r="AB1327" s="332"/>
      <c r="AC1327" s="332"/>
      <c r="AD1327" s="332"/>
      <c r="AE1327" s="332"/>
      <c r="AF1327" s="332"/>
      <c r="AG1327" s="332"/>
      <c r="AH1327" s="332"/>
      <c r="AI1327" s="332"/>
      <c r="AJ1327" s="332"/>
      <c r="AK1327" s="332"/>
      <c r="AL1327" s="332"/>
      <c r="AM1327" s="332"/>
      <c r="AN1327" s="332"/>
      <c r="AO1327" s="332"/>
      <c r="AP1327" s="332"/>
      <c r="AQ1327" s="332"/>
      <c r="AR1327" s="332"/>
      <c r="AS1327" s="332"/>
      <c r="AT1327" s="332"/>
      <c r="AU1327" s="332"/>
      <c r="AV1327" s="332"/>
      <c r="AW1327" s="332"/>
      <c r="AX1327" s="332"/>
      <c r="AY1327" s="332"/>
      <c r="AZ1327" s="332"/>
      <c r="BA1327" s="332"/>
      <c r="BB1327" s="332"/>
      <c r="BC1327" s="332"/>
      <c r="BD1327" s="332"/>
      <c r="BE1327" s="332"/>
      <c r="BF1327" s="332"/>
      <c r="BG1327" s="332"/>
      <c r="BH1327" s="332"/>
      <c r="BI1327" s="332"/>
      <c r="BJ1327" s="332"/>
      <c r="BK1327" s="332"/>
      <c r="BL1327" s="332"/>
      <c r="BM1327" s="332"/>
      <c r="BN1327" s="332"/>
      <c r="BO1327" s="332"/>
      <c r="BP1327" s="332"/>
      <c r="BQ1327" s="332"/>
      <c r="BR1327" s="332"/>
      <c r="BS1327" s="332"/>
      <c r="BT1327" s="332"/>
      <c r="BU1327" s="332"/>
      <c r="BV1327" s="332"/>
      <c r="BW1327" s="332"/>
      <c r="BX1327" s="332"/>
      <c r="BY1327" s="332"/>
      <c r="BZ1327" s="332"/>
      <c r="CA1327" s="332"/>
      <c r="CB1327" s="332"/>
      <c r="CC1327" s="332"/>
      <c r="CD1327" s="332"/>
      <c r="CE1327" s="332"/>
      <c r="CF1327" s="332"/>
      <c r="CG1327" s="332"/>
      <c r="CH1327" s="332"/>
      <c r="CI1327" s="332"/>
      <c r="CJ1327" s="332"/>
      <c r="CK1327" s="332"/>
      <c r="CL1327" s="332"/>
      <c r="CM1327" s="332"/>
      <c r="CN1327" s="332"/>
      <c r="CO1327" s="332"/>
      <c r="CP1327" s="332"/>
      <c r="CQ1327" s="332"/>
      <c r="CR1327" s="332"/>
      <c r="CS1327" s="332"/>
      <c r="CT1327" s="332"/>
      <c r="CU1327" s="332"/>
      <c r="CV1327" s="332"/>
      <c r="CW1327" s="332"/>
      <c r="CX1327" s="332"/>
      <c r="CY1327" s="332"/>
      <c r="CZ1327" s="332"/>
      <c r="DA1327" s="332"/>
      <c r="DB1327" s="332"/>
      <c r="DC1327" s="332"/>
      <c r="DD1327" s="332"/>
      <c r="DE1327" s="332"/>
      <c r="DF1327" s="332"/>
      <c r="DG1327" s="332"/>
      <c r="DH1327" s="332"/>
      <c r="DI1327" s="332"/>
      <c r="DJ1327" s="332"/>
      <c r="DK1327" s="332"/>
      <c r="DL1327" s="332"/>
      <c r="DM1327" s="332"/>
      <c r="DN1327" s="332"/>
      <c r="DO1327" s="332"/>
      <c r="DP1327" s="332"/>
      <c r="DQ1327" s="332"/>
      <c r="DR1327" s="332"/>
      <c r="DS1327" s="332"/>
      <c r="DT1327" s="332"/>
      <c r="DU1327" s="453"/>
      <c r="DV1327" s="453"/>
      <c r="DW1327" s="453"/>
      <c r="DX1327" s="453"/>
      <c r="DY1327" s="453"/>
      <c r="DZ1327" s="453"/>
      <c r="EA1327" s="453"/>
      <c r="EB1327" s="453"/>
      <c r="EC1327" s="453"/>
      <c r="ED1327" s="453"/>
      <c r="EE1327" s="453"/>
      <c r="EF1327" s="453"/>
      <c r="EG1327" s="453"/>
      <c r="EH1327" s="453"/>
      <c r="EI1327" s="453"/>
      <c r="EJ1327" s="453"/>
      <c r="EK1327" s="453"/>
      <c r="EL1327" s="453"/>
      <c r="EM1327" s="483">
        <f t="shared" si="257"/>
        <v>1018</v>
      </c>
      <c r="EN1327" s="485"/>
      <c r="EO1327" s="458"/>
      <c r="EP1327" s="467"/>
      <c r="EQ1327" s="457"/>
      <c r="ER1327" s="808"/>
      <c r="ES1327" s="881">
        <f t="shared" si="260"/>
        <v>0</v>
      </c>
      <c r="ET1327" s="882"/>
      <c r="EU1327" s="883"/>
      <c r="EV1327" s="884">
        <f t="shared" si="261"/>
        <v>0</v>
      </c>
      <c r="EW1327" s="885"/>
      <c r="EX1327" s="885"/>
      <c r="EY1327" s="885"/>
      <c r="EZ1327" s="885"/>
      <c r="FA1327" s="885"/>
      <c r="FB1327" s="885"/>
      <c r="FC1327" s="885"/>
      <c r="FD1327" s="886"/>
      <c r="FE1327" s="877"/>
      <c r="FF1327" s="877"/>
      <c r="FG1327" s="877"/>
      <c r="FH1327" s="877"/>
      <c r="FI1327" s="877"/>
      <c r="FJ1327" s="877"/>
      <c r="FK1327" s="877"/>
      <c r="FL1327" s="874"/>
      <c r="FM1327" s="875"/>
      <c r="FN1327" s="875"/>
      <c r="FO1327" s="875"/>
      <c r="FP1327" s="875"/>
      <c r="FQ1327" s="875"/>
      <c r="FR1327" s="875"/>
      <c r="FS1327" s="875"/>
      <c r="FT1327" s="875"/>
      <c r="FU1327" s="875"/>
      <c r="FV1327" s="875"/>
      <c r="FW1327" s="875"/>
      <c r="FX1327" s="875"/>
      <c r="FY1327" s="875"/>
      <c r="FZ1327" s="875"/>
      <c r="GA1327" s="875"/>
      <c r="GB1327" s="876"/>
      <c r="GC1327" s="370"/>
      <c r="GD1327" s="453"/>
      <c r="GE1327" s="453"/>
      <c r="GF1327" s="453"/>
      <c r="GG1327" s="453"/>
      <c r="GH1327" s="454"/>
      <c r="GI1327" s="453"/>
      <c r="GJ1327" s="453"/>
      <c r="GK1327" s="453"/>
      <c r="GL1327" s="453"/>
      <c r="GM1327" s="453"/>
      <c r="GN1327" s="453"/>
      <c r="GO1327" s="453"/>
      <c r="GP1327" s="453"/>
      <c r="GQ1327" s="453"/>
      <c r="GR1327" s="453"/>
      <c r="GS1327" s="561"/>
      <c r="GT1327" s="475"/>
      <c r="GU1327" s="472"/>
      <c r="GV1327" s="453"/>
      <c r="GW1327" s="453"/>
      <c r="GX1327" s="869"/>
      <c r="GY1327" s="870"/>
      <c r="GZ1327" s="867"/>
      <c r="HA1327" s="868"/>
      <c r="HB1327" s="473"/>
      <c r="HC1327" s="869"/>
      <c r="HD1327" s="870"/>
      <c r="HE1327" s="867"/>
      <c r="HF1327" s="868"/>
      <c r="HG1327" s="473"/>
      <c r="HH1327" s="867"/>
      <c r="HI1327" s="868"/>
      <c r="HJ1327" s="867"/>
      <c r="HK1327" s="868"/>
      <c r="HL1327" s="370"/>
      <c r="HM1327" s="865"/>
      <c r="HN1327" s="866"/>
      <c r="HO1327" s="865"/>
      <c r="HP1327" s="866"/>
      <c r="HQ1327" s="865"/>
      <c r="HR1327" s="866"/>
      <c r="HS1327" s="867"/>
      <c r="HT1327" s="868"/>
      <c r="HU1327" s="489"/>
      <c r="HV1327" s="865"/>
      <c r="HW1327" s="866"/>
    </row>
    <row r="1328" spans="25:231" ht="15" customHeight="1">
      <c r="Y1328" s="332"/>
      <c r="Z1328" s="332"/>
      <c r="AA1328" s="332"/>
      <c r="AB1328" s="332"/>
      <c r="AC1328" s="332"/>
      <c r="AD1328" s="332"/>
      <c r="AE1328" s="332"/>
      <c r="AF1328" s="332"/>
      <c r="AG1328" s="332"/>
      <c r="AH1328" s="332"/>
      <c r="AI1328" s="332"/>
      <c r="AJ1328" s="332"/>
      <c r="AK1328" s="332"/>
      <c r="AL1328" s="332"/>
      <c r="AM1328" s="332"/>
      <c r="AN1328" s="332"/>
      <c r="AO1328" s="332"/>
      <c r="AP1328" s="332"/>
      <c r="AQ1328" s="332"/>
      <c r="AR1328" s="332"/>
      <c r="AS1328" s="332"/>
      <c r="AT1328" s="332"/>
      <c r="AU1328" s="332"/>
      <c r="AV1328" s="332"/>
      <c r="AW1328" s="332"/>
      <c r="AX1328" s="332"/>
      <c r="AY1328" s="332"/>
      <c r="AZ1328" s="332"/>
      <c r="BA1328" s="332"/>
      <c r="BB1328" s="332"/>
      <c r="BC1328" s="332"/>
      <c r="BD1328" s="332"/>
      <c r="BE1328" s="332"/>
      <c r="BF1328" s="332"/>
      <c r="BG1328" s="332"/>
      <c r="BH1328" s="332"/>
      <c r="BI1328" s="332"/>
      <c r="BJ1328" s="332"/>
      <c r="BK1328" s="332"/>
      <c r="BL1328" s="332"/>
      <c r="BM1328" s="332"/>
      <c r="BN1328" s="332"/>
      <c r="BO1328" s="332"/>
      <c r="BP1328" s="332"/>
      <c r="BQ1328" s="332"/>
      <c r="BR1328" s="332"/>
      <c r="BS1328" s="332"/>
      <c r="BT1328" s="332"/>
      <c r="BU1328" s="332"/>
      <c r="BV1328" s="332"/>
      <c r="BW1328" s="332"/>
      <c r="BX1328" s="332"/>
      <c r="BY1328" s="332"/>
      <c r="BZ1328" s="332"/>
      <c r="CA1328" s="332"/>
      <c r="CB1328" s="332"/>
      <c r="CC1328" s="332"/>
      <c r="CD1328" s="332"/>
      <c r="CE1328" s="332"/>
      <c r="CF1328" s="332"/>
      <c r="CG1328" s="332"/>
      <c r="CH1328" s="332"/>
      <c r="CI1328" s="332"/>
      <c r="CJ1328" s="332"/>
      <c r="CK1328" s="332"/>
      <c r="CL1328" s="332"/>
      <c r="CM1328" s="332"/>
      <c r="CN1328" s="332"/>
      <c r="CO1328" s="332"/>
      <c r="CP1328" s="332"/>
      <c r="CQ1328" s="332"/>
      <c r="CR1328" s="332"/>
      <c r="CS1328" s="332"/>
      <c r="CT1328" s="332"/>
      <c r="CU1328" s="332"/>
      <c r="CV1328" s="332"/>
      <c r="CW1328" s="332"/>
      <c r="CX1328" s="332"/>
      <c r="CY1328" s="332"/>
      <c r="CZ1328" s="332"/>
      <c r="DA1328" s="332"/>
      <c r="DB1328" s="332"/>
      <c r="DC1328" s="332"/>
      <c r="DD1328" s="332"/>
      <c r="DE1328" s="332"/>
      <c r="DF1328" s="332"/>
      <c r="DG1328" s="332"/>
      <c r="DH1328" s="332"/>
      <c r="DI1328" s="332"/>
      <c r="DJ1328" s="332"/>
      <c r="DK1328" s="332"/>
      <c r="DL1328" s="332"/>
      <c r="DM1328" s="332"/>
      <c r="DN1328" s="332"/>
      <c r="DO1328" s="332"/>
      <c r="DP1328" s="332"/>
      <c r="DQ1328" s="332"/>
      <c r="DR1328" s="332"/>
      <c r="DS1328" s="332"/>
      <c r="DT1328" s="332"/>
      <c r="DU1328" s="453"/>
      <c r="DV1328" s="453"/>
      <c r="DW1328" s="453"/>
      <c r="DX1328" s="453"/>
      <c r="DY1328" s="453"/>
      <c r="DZ1328" s="453"/>
      <c r="EA1328" s="453"/>
      <c r="EB1328" s="453"/>
      <c r="EC1328" s="453"/>
      <c r="ED1328" s="453"/>
      <c r="EE1328" s="453"/>
      <c r="EF1328" s="453"/>
      <c r="EG1328" s="453"/>
      <c r="EH1328" s="453"/>
      <c r="EI1328" s="453"/>
      <c r="EJ1328" s="453"/>
      <c r="EK1328" s="453"/>
      <c r="EL1328" s="453"/>
      <c r="EM1328" s="483">
        <f t="shared" si="257"/>
        <v>1019</v>
      </c>
      <c r="EN1328" s="485"/>
      <c r="EO1328" s="458"/>
      <c r="EP1328" s="467"/>
      <c r="EQ1328" s="457"/>
      <c r="ER1328" s="808"/>
      <c r="ES1328" s="881">
        <f t="shared" ref="ES1328:ES1391" si="262">IF(OR(EO1328 = "", EP1328 = 0, EP1328 = "", EQ1328 = 0, EQ1328 = "", ER1328 = 0, ER1328 = ""), 0,
IF(EO1328 &lt;&gt; "ACCION", EP1328 * ER1328 * -100,  EP1328 * ER1328 * -1))</f>
        <v>0</v>
      </c>
      <c r="ET1328" s="882"/>
      <c r="EU1328" s="883"/>
      <c r="EV1328" s="884">
        <f t="shared" ref="EV1328:EV1391" si="263">+IF(OR(EO1328 = "", EP1328 = 0, EP1328 = "", EQ1328 = 0, EQ1328 = "", ER1328 = 0, ER1328 = ""), 0,
IF(EO1328 &lt;&gt; "ACCION",
IF(EP1328 &gt; 0, EP1328 * ER1328 * -100 * ( 1 + COMIS_OPCION), EP1328 * ER1328 * -100 * ( 1 - COMIS_OPCION)),
IF(EP1328 &gt; 0, EP1328 * ER1328 * -1 * ( 1 + COMIS_ACCION), EP1328 * ER1328 * -1 * ( 1 - COMIS_ACCION))  ))</f>
        <v>0</v>
      </c>
      <c r="EW1328" s="885"/>
      <c r="EX1328" s="885"/>
      <c r="EY1328" s="885"/>
      <c r="EZ1328" s="885"/>
      <c r="FA1328" s="885"/>
      <c r="FB1328" s="885"/>
      <c r="FC1328" s="885"/>
      <c r="FD1328" s="886"/>
      <c r="FE1328" s="877"/>
      <c r="FF1328" s="877"/>
      <c r="FG1328" s="877"/>
      <c r="FH1328" s="877"/>
      <c r="FI1328" s="877"/>
      <c r="FJ1328" s="877"/>
      <c r="FK1328" s="877"/>
      <c r="FL1328" s="874"/>
      <c r="FM1328" s="875"/>
      <c r="FN1328" s="875"/>
      <c r="FO1328" s="875"/>
      <c r="FP1328" s="875"/>
      <c r="FQ1328" s="875"/>
      <c r="FR1328" s="875"/>
      <c r="FS1328" s="875"/>
      <c r="FT1328" s="875"/>
      <c r="FU1328" s="875"/>
      <c r="FV1328" s="875"/>
      <c r="FW1328" s="875"/>
      <c r="FX1328" s="875"/>
      <c r="FY1328" s="875"/>
      <c r="FZ1328" s="875"/>
      <c r="GA1328" s="875"/>
      <c r="GB1328" s="876"/>
      <c r="GC1328" s="370"/>
      <c r="GD1328" s="453"/>
      <c r="GE1328" s="453"/>
      <c r="GF1328" s="453"/>
      <c r="GG1328" s="453"/>
      <c r="GH1328" s="454"/>
      <c r="GI1328" s="453"/>
      <c r="GJ1328" s="453"/>
      <c r="GK1328" s="453"/>
      <c r="GL1328" s="453"/>
      <c r="GM1328" s="453"/>
      <c r="GN1328" s="453"/>
      <c r="GO1328" s="453"/>
      <c r="GP1328" s="453"/>
      <c r="GQ1328" s="453"/>
      <c r="GR1328" s="453"/>
      <c r="GS1328" s="561"/>
      <c r="GT1328" s="475"/>
      <c r="GU1328" s="472"/>
      <c r="GV1328" s="453"/>
      <c r="GW1328" s="453"/>
      <c r="GX1328" s="869"/>
      <c r="GY1328" s="870"/>
      <c r="GZ1328" s="867"/>
      <c r="HA1328" s="868"/>
      <c r="HB1328" s="473"/>
      <c r="HC1328" s="869"/>
      <c r="HD1328" s="870"/>
      <c r="HE1328" s="867"/>
      <c r="HF1328" s="868"/>
      <c r="HG1328" s="473"/>
      <c r="HH1328" s="867"/>
      <c r="HI1328" s="868"/>
      <c r="HJ1328" s="867"/>
      <c r="HK1328" s="868"/>
      <c r="HL1328" s="370"/>
      <c r="HM1328" s="865"/>
      <c r="HN1328" s="866"/>
      <c r="HO1328" s="865"/>
      <c r="HP1328" s="866"/>
      <c r="HQ1328" s="865"/>
      <c r="HR1328" s="866"/>
      <c r="HS1328" s="867"/>
      <c r="HT1328" s="868"/>
      <c r="HU1328" s="489"/>
      <c r="HV1328" s="865"/>
      <c r="HW1328" s="866"/>
    </row>
    <row r="1329" spans="25:231" ht="15" customHeight="1">
      <c r="Y1329" s="332"/>
      <c r="Z1329" s="332"/>
      <c r="AA1329" s="332"/>
      <c r="AB1329" s="332"/>
      <c r="AC1329" s="332"/>
      <c r="AD1329" s="332"/>
      <c r="AE1329" s="332"/>
      <c r="AF1329" s="332"/>
      <c r="AG1329" s="332"/>
      <c r="AH1329" s="332"/>
      <c r="AI1329" s="332"/>
      <c r="AJ1329" s="332"/>
      <c r="AK1329" s="332"/>
      <c r="AL1329" s="332"/>
      <c r="AM1329" s="332"/>
      <c r="AN1329" s="332"/>
      <c r="AO1329" s="332"/>
      <c r="AP1329" s="332"/>
      <c r="AQ1329" s="332"/>
      <c r="AR1329" s="332"/>
      <c r="AS1329" s="332"/>
      <c r="AT1329" s="332"/>
      <c r="AU1329" s="332"/>
      <c r="AV1329" s="332"/>
      <c r="AW1329" s="332"/>
      <c r="AX1329" s="332"/>
      <c r="AY1329" s="332"/>
      <c r="AZ1329" s="332"/>
      <c r="BA1329" s="332"/>
      <c r="BB1329" s="332"/>
      <c r="BC1329" s="332"/>
      <c r="BD1329" s="332"/>
      <c r="BE1329" s="332"/>
      <c r="BF1329" s="332"/>
      <c r="BG1329" s="332"/>
      <c r="BH1329" s="332"/>
      <c r="BI1329" s="332"/>
      <c r="BJ1329" s="332"/>
      <c r="BK1329" s="332"/>
      <c r="BL1329" s="332"/>
      <c r="BM1329" s="332"/>
      <c r="BN1329" s="332"/>
      <c r="BO1329" s="332"/>
      <c r="BP1329" s="332"/>
      <c r="BQ1329" s="332"/>
      <c r="BR1329" s="332"/>
      <c r="BS1329" s="332"/>
      <c r="BT1329" s="332"/>
      <c r="BU1329" s="332"/>
      <c r="BV1329" s="332"/>
      <c r="BW1329" s="332"/>
      <c r="BX1329" s="332"/>
      <c r="BY1329" s="332"/>
      <c r="BZ1329" s="332"/>
      <c r="CA1329" s="332"/>
      <c r="CB1329" s="332"/>
      <c r="CC1329" s="332"/>
      <c r="CD1329" s="332"/>
      <c r="CE1329" s="332"/>
      <c r="CF1329" s="332"/>
      <c r="CG1329" s="332"/>
      <c r="CH1329" s="332"/>
      <c r="CI1329" s="332"/>
      <c r="CJ1329" s="332"/>
      <c r="CK1329" s="332"/>
      <c r="CL1329" s="332"/>
      <c r="CM1329" s="332"/>
      <c r="CN1329" s="332"/>
      <c r="CO1329" s="332"/>
      <c r="CP1329" s="332"/>
      <c r="CQ1329" s="332"/>
      <c r="CR1329" s="332"/>
      <c r="CS1329" s="332"/>
      <c r="CT1329" s="332"/>
      <c r="CU1329" s="332"/>
      <c r="CV1329" s="332"/>
      <c r="CW1329" s="332"/>
      <c r="CX1329" s="332"/>
      <c r="CY1329" s="332"/>
      <c r="CZ1329" s="332"/>
      <c r="DA1329" s="332"/>
      <c r="DB1329" s="332"/>
      <c r="DC1329" s="332"/>
      <c r="DD1329" s="332"/>
      <c r="DE1329" s="332"/>
      <c r="DF1329" s="332"/>
      <c r="DG1329" s="332"/>
      <c r="DH1329" s="332"/>
      <c r="DI1329" s="332"/>
      <c r="DJ1329" s="332"/>
      <c r="DK1329" s="332"/>
      <c r="DL1329" s="332"/>
      <c r="DM1329" s="332"/>
      <c r="DN1329" s="332"/>
      <c r="DO1329" s="332"/>
      <c r="DP1329" s="332"/>
      <c r="DQ1329" s="332"/>
      <c r="DR1329" s="332"/>
      <c r="DS1329" s="332"/>
      <c r="DT1329" s="332"/>
      <c r="DU1329" s="453"/>
      <c r="DV1329" s="453"/>
      <c r="DW1329" s="453"/>
      <c r="DX1329" s="453"/>
      <c r="DY1329" s="453"/>
      <c r="DZ1329" s="453"/>
      <c r="EA1329" s="453"/>
      <c r="EB1329" s="453"/>
      <c r="EC1329" s="453"/>
      <c r="ED1329" s="453"/>
      <c r="EE1329" s="453"/>
      <c r="EF1329" s="453"/>
      <c r="EG1329" s="453"/>
      <c r="EH1329" s="453"/>
      <c r="EI1329" s="453"/>
      <c r="EJ1329" s="453"/>
      <c r="EK1329" s="453"/>
      <c r="EL1329" s="453"/>
      <c r="EM1329" s="483">
        <f t="shared" si="257"/>
        <v>1020</v>
      </c>
      <c r="EN1329" s="485"/>
      <c r="EO1329" s="458"/>
      <c r="EP1329" s="467"/>
      <c r="EQ1329" s="457"/>
      <c r="ER1329" s="808"/>
      <c r="ES1329" s="881">
        <f t="shared" si="262"/>
        <v>0</v>
      </c>
      <c r="ET1329" s="882"/>
      <c r="EU1329" s="883"/>
      <c r="EV1329" s="884">
        <f t="shared" si="263"/>
        <v>0</v>
      </c>
      <c r="EW1329" s="885"/>
      <c r="EX1329" s="885"/>
      <c r="EY1329" s="885"/>
      <c r="EZ1329" s="885"/>
      <c r="FA1329" s="885"/>
      <c r="FB1329" s="885"/>
      <c r="FC1329" s="885"/>
      <c r="FD1329" s="886"/>
      <c r="FE1329" s="877"/>
      <c r="FF1329" s="877"/>
      <c r="FG1329" s="877"/>
      <c r="FH1329" s="877"/>
      <c r="FI1329" s="877"/>
      <c r="FJ1329" s="877"/>
      <c r="FK1329" s="877"/>
      <c r="FL1329" s="874"/>
      <c r="FM1329" s="875"/>
      <c r="FN1329" s="875"/>
      <c r="FO1329" s="875"/>
      <c r="FP1329" s="875"/>
      <c r="FQ1329" s="875"/>
      <c r="FR1329" s="875"/>
      <c r="FS1329" s="875"/>
      <c r="FT1329" s="875"/>
      <c r="FU1329" s="875"/>
      <c r="FV1329" s="875"/>
      <c r="FW1329" s="875"/>
      <c r="FX1329" s="875"/>
      <c r="FY1329" s="875"/>
      <c r="FZ1329" s="875"/>
      <c r="GA1329" s="875"/>
      <c r="GB1329" s="876"/>
      <c r="GC1329" s="370"/>
      <c r="GD1329" s="453"/>
      <c r="GE1329" s="453"/>
      <c r="GF1329" s="453"/>
      <c r="GG1329" s="453"/>
      <c r="GH1329" s="454"/>
      <c r="GI1329" s="453"/>
      <c r="GJ1329" s="453"/>
      <c r="GK1329" s="453"/>
      <c r="GL1329" s="453"/>
      <c r="GM1329" s="453"/>
      <c r="GN1329" s="453"/>
      <c r="GO1329" s="453"/>
      <c r="GP1329" s="453"/>
      <c r="GQ1329" s="453"/>
      <c r="GR1329" s="453"/>
      <c r="GS1329" s="561"/>
      <c r="GT1329" s="475"/>
      <c r="GU1329" s="472"/>
      <c r="GV1329" s="453"/>
      <c r="GW1329" s="453"/>
      <c r="GX1329" s="869"/>
      <c r="GY1329" s="870"/>
      <c r="GZ1329" s="867"/>
      <c r="HA1329" s="868"/>
      <c r="HB1329" s="473"/>
      <c r="HC1329" s="869"/>
      <c r="HD1329" s="870"/>
      <c r="HE1329" s="867"/>
      <c r="HF1329" s="868"/>
      <c r="HG1329" s="473"/>
      <c r="HH1329" s="867"/>
      <c r="HI1329" s="868"/>
      <c r="HJ1329" s="867"/>
      <c r="HK1329" s="868"/>
      <c r="HL1329" s="370"/>
      <c r="HM1329" s="865"/>
      <c r="HN1329" s="866"/>
      <c r="HO1329" s="865"/>
      <c r="HP1329" s="866"/>
      <c r="HQ1329" s="865"/>
      <c r="HR1329" s="866"/>
      <c r="HS1329" s="867"/>
      <c r="HT1329" s="868"/>
      <c r="HU1329" s="489"/>
      <c r="HV1329" s="865"/>
      <c r="HW1329" s="866"/>
    </row>
    <row r="1330" spans="25:231" ht="15" customHeight="1">
      <c r="Y1330" s="332"/>
      <c r="Z1330" s="332"/>
      <c r="AA1330" s="332"/>
      <c r="AB1330" s="332"/>
      <c r="AC1330" s="332"/>
      <c r="AD1330" s="332"/>
      <c r="AE1330" s="332"/>
      <c r="AF1330" s="332"/>
      <c r="AG1330" s="332"/>
      <c r="AH1330" s="332"/>
      <c r="AI1330" s="332"/>
      <c r="AJ1330" s="332"/>
      <c r="AK1330" s="332"/>
      <c r="AL1330" s="332"/>
      <c r="AM1330" s="332"/>
      <c r="AN1330" s="332"/>
      <c r="AO1330" s="332"/>
      <c r="AP1330" s="332"/>
      <c r="AQ1330" s="332"/>
      <c r="AR1330" s="332"/>
      <c r="AS1330" s="332"/>
      <c r="AT1330" s="332"/>
      <c r="AU1330" s="332"/>
      <c r="AV1330" s="332"/>
      <c r="AW1330" s="332"/>
      <c r="AX1330" s="332"/>
      <c r="AY1330" s="332"/>
      <c r="AZ1330" s="332"/>
      <c r="BA1330" s="332"/>
      <c r="BB1330" s="332"/>
      <c r="BC1330" s="332"/>
      <c r="BD1330" s="332"/>
      <c r="BE1330" s="332"/>
      <c r="BF1330" s="332"/>
      <c r="BG1330" s="332"/>
      <c r="BH1330" s="332"/>
      <c r="BI1330" s="332"/>
      <c r="BJ1330" s="332"/>
      <c r="BK1330" s="332"/>
      <c r="BL1330" s="332"/>
      <c r="BM1330" s="332"/>
      <c r="BN1330" s="332"/>
      <c r="BO1330" s="332"/>
      <c r="BP1330" s="332"/>
      <c r="BQ1330" s="332"/>
      <c r="BR1330" s="332"/>
      <c r="BS1330" s="332"/>
      <c r="BT1330" s="332"/>
      <c r="BU1330" s="332"/>
      <c r="BV1330" s="332"/>
      <c r="BW1330" s="332"/>
      <c r="BX1330" s="332"/>
      <c r="BY1330" s="332"/>
      <c r="BZ1330" s="332"/>
      <c r="CA1330" s="332"/>
      <c r="CB1330" s="332"/>
      <c r="CC1330" s="332"/>
      <c r="CD1330" s="332"/>
      <c r="CE1330" s="332"/>
      <c r="CF1330" s="332"/>
      <c r="CG1330" s="332"/>
      <c r="CH1330" s="332"/>
      <c r="CI1330" s="332"/>
      <c r="CJ1330" s="332"/>
      <c r="CK1330" s="332"/>
      <c r="CL1330" s="332"/>
      <c r="CM1330" s="332"/>
      <c r="CN1330" s="332"/>
      <c r="CO1330" s="332"/>
      <c r="CP1330" s="332"/>
      <c r="CQ1330" s="332"/>
      <c r="CR1330" s="332"/>
      <c r="CS1330" s="332"/>
      <c r="CT1330" s="332"/>
      <c r="CU1330" s="332"/>
      <c r="CV1330" s="332"/>
      <c r="CW1330" s="332"/>
      <c r="CX1330" s="332"/>
      <c r="CY1330" s="332"/>
      <c r="CZ1330" s="332"/>
      <c r="DA1330" s="332"/>
      <c r="DB1330" s="332"/>
      <c r="DC1330" s="332"/>
      <c r="DD1330" s="332"/>
      <c r="DE1330" s="332"/>
      <c r="DF1330" s="332"/>
      <c r="DG1330" s="332"/>
      <c r="DH1330" s="332"/>
      <c r="DI1330" s="332"/>
      <c r="DJ1330" s="332"/>
      <c r="DK1330" s="332"/>
      <c r="DL1330" s="332"/>
      <c r="DM1330" s="332"/>
      <c r="DN1330" s="332"/>
      <c r="DO1330" s="332"/>
      <c r="DP1330" s="332"/>
      <c r="DQ1330" s="332"/>
      <c r="DR1330" s="332"/>
      <c r="DS1330" s="332"/>
      <c r="DT1330" s="332"/>
      <c r="DU1330" s="453"/>
      <c r="DV1330" s="453"/>
      <c r="DW1330" s="453"/>
      <c r="DX1330" s="453"/>
      <c r="DY1330" s="453"/>
      <c r="DZ1330" s="453"/>
      <c r="EA1330" s="453"/>
      <c r="EB1330" s="453"/>
      <c r="EC1330" s="453"/>
      <c r="ED1330" s="453"/>
      <c r="EE1330" s="453"/>
      <c r="EF1330" s="453"/>
      <c r="EG1330" s="453"/>
      <c r="EH1330" s="453"/>
      <c r="EI1330" s="453"/>
      <c r="EJ1330" s="453"/>
      <c r="EK1330" s="453"/>
      <c r="EL1330" s="453"/>
      <c r="EM1330" s="483">
        <f t="shared" si="257"/>
        <v>1021</v>
      </c>
      <c r="EN1330" s="485"/>
      <c r="EO1330" s="458"/>
      <c r="EP1330" s="467"/>
      <c r="EQ1330" s="457"/>
      <c r="ER1330" s="808"/>
      <c r="ES1330" s="881">
        <f t="shared" si="262"/>
        <v>0</v>
      </c>
      <c r="ET1330" s="882"/>
      <c r="EU1330" s="883"/>
      <c r="EV1330" s="884">
        <f t="shared" si="263"/>
        <v>0</v>
      </c>
      <c r="EW1330" s="885"/>
      <c r="EX1330" s="885"/>
      <c r="EY1330" s="885"/>
      <c r="EZ1330" s="885"/>
      <c r="FA1330" s="885"/>
      <c r="FB1330" s="885"/>
      <c r="FC1330" s="885"/>
      <c r="FD1330" s="886"/>
      <c r="FE1330" s="877"/>
      <c r="FF1330" s="877"/>
      <c r="FG1330" s="877"/>
      <c r="FH1330" s="877"/>
      <c r="FI1330" s="877"/>
      <c r="FJ1330" s="877"/>
      <c r="FK1330" s="877"/>
      <c r="FL1330" s="874"/>
      <c r="FM1330" s="875"/>
      <c r="FN1330" s="875"/>
      <c r="FO1330" s="875"/>
      <c r="FP1330" s="875"/>
      <c r="FQ1330" s="875"/>
      <c r="FR1330" s="875"/>
      <c r="FS1330" s="875"/>
      <c r="FT1330" s="875"/>
      <c r="FU1330" s="875"/>
      <c r="FV1330" s="875"/>
      <c r="FW1330" s="875"/>
      <c r="FX1330" s="875"/>
      <c r="FY1330" s="875"/>
      <c r="FZ1330" s="875"/>
      <c r="GA1330" s="875"/>
      <c r="GB1330" s="876"/>
      <c r="GC1330" s="370"/>
      <c r="GD1330" s="453"/>
      <c r="GE1330" s="453"/>
      <c r="GF1330" s="453"/>
      <c r="GG1330" s="453"/>
      <c r="GH1330" s="454"/>
      <c r="GI1330" s="453"/>
      <c r="GJ1330" s="453"/>
      <c r="GK1330" s="453"/>
      <c r="GL1330" s="453"/>
      <c r="GM1330" s="453"/>
      <c r="GN1330" s="453"/>
      <c r="GO1330" s="453"/>
      <c r="GP1330" s="453"/>
      <c r="GQ1330" s="453"/>
      <c r="GR1330" s="453"/>
      <c r="GS1330" s="561"/>
      <c r="GT1330" s="475"/>
      <c r="GU1330" s="472"/>
      <c r="GV1330" s="453"/>
      <c r="GW1330" s="453"/>
      <c r="GX1330" s="869"/>
      <c r="GY1330" s="870"/>
      <c r="GZ1330" s="867"/>
      <c r="HA1330" s="868"/>
      <c r="HB1330" s="473"/>
      <c r="HC1330" s="869"/>
      <c r="HD1330" s="870"/>
      <c r="HE1330" s="867"/>
      <c r="HF1330" s="868"/>
      <c r="HG1330" s="473"/>
      <c r="HH1330" s="867"/>
      <c r="HI1330" s="868"/>
      <c r="HJ1330" s="867"/>
      <c r="HK1330" s="868"/>
      <c r="HL1330" s="370"/>
      <c r="HM1330" s="865"/>
      <c r="HN1330" s="866"/>
      <c r="HO1330" s="865"/>
      <c r="HP1330" s="866"/>
      <c r="HQ1330" s="865"/>
      <c r="HR1330" s="866"/>
      <c r="HS1330" s="867"/>
      <c r="HT1330" s="868"/>
      <c r="HU1330" s="489"/>
      <c r="HV1330" s="865"/>
      <c r="HW1330" s="866"/>
    </row>
    <row r="1331" spans="25:231" ht="15" customHeight="1">
      <c r="Y1331" s="332"/>
      <c r="Z1331" s="332"/>
      <c r="AA1331" s="332"/>
      <c r="AB1331" s="332"/>
      <c r="AC1331" s="332"/>
      <c r="AD1331" s="332"/>
      <c r="AE1331" s="332"/>
      <c r="AF1331" s="332"/>
      <c r="AG1331" s="332"/>
      <c r="AH1331" s="332"/>
      <c r="AI1331" s="332"/>
      <c r="AJ1331" s="332"/>
      <c r="AK1331" s="332"/>
      <c r="AL1331" s="332"/>
      <c r="AM1331" s="332"/>
      <c r="AN1331" s="332"/>
      <c r="AO1331" s="332"/>
      <c r="AP1331" s="332"/>
      <c r="AQ1331" s="332"/>
      <c r="AR1331" s="332"/>
      <c r="AS1331" s="332"/>
      <c r="AT1331" s="332"/>
      <c r="AU1331" s="332"/>
      <c r="AV1331" s="332"/>
      <c r="AW1331" s="332"/>
      <c r="AX1331" s="332"/>
      <c r="AY1331" s="332"/>
      <c r="AZ1331" s="332"/>
      <c r="BA1331" s="332"/>
      <c r="BB1331" s="332"/>
      <c r="BC1331" s="332"/>
      <c r="BD1331" s="332"/>
      <c r="BE1331" s="332"/>
      <c r="BF1331" s="332"/>
      <c r="BG1331" s="332"/>
      <c r="BH1331" s="332"/>
      <c r="BI1331" s="332"/>
      <c r="BJ1331" s="332"/>
      <c r="BK1331" s="332"/>
      <c r="BL1331" s="332"/>
      <c r="BM1331" s="332"/>
      <c r="BN1331" s="332"/>
      <c r="BO1331" s="332"/>
      <c r="BP1331" s="332"/>
      <c r="BQ1331" s="332"/>
      <c r="BR1331" s="332"/>
      <c r="BS1331" s="332"/>
      <c r="BT1331" s="332"/>
      <c r="BU1331" s="332"/>
      <c r="BV1331" s="332"/>
      <c r="BW1331" s="332"/>
      <c r="BX1331" s="332"/>
      <c r="BY1331" s="332"/>
      <c r="BZ1331" s="332"/>
      <c r="CA1331" s="332"/>
      <c r="CB1331" s="332"/>
      <c r="CC1331" s="332"/>
      <c r="CD1331" s="332"/>
      <c r="CE1331" s="332"/>
      <c r="CF1331" s="332"/>
      <c r="CG1331" s="332"/>
      <c r="CH1331" s="332"/>
      <c r="CI1331" s="332"/>
      <c r="CJ1331" s="332"/>
      <c r="CK1331" s="332"/>
      <c r="CL1331" s="332"/>
      <c r="CM1331" s="332"/>
      <c r="CN1331" s="332"/>
      <c r="CO1331" s="332"/>
      <c r="CP1331" s="332"/>
      <c r="CQ1331" s="332"/>
      <c r="CR1331" s="332"/>
      <c r="CS1331" s="332"/>
      <c r="CT1331" s="332"/>
      <c r="CU1331" s="332"/>
      <c r="CV1331" s="332"/>
      <c r="CW1331" s="332"/>
      <c r="CX1331" s="332"/>
      <c r="CY1331" s="332"/>
      <c r="CZ1331" s="332"/>
      <c r="DA1331" s="332"/>
      <c r="DB1331" s="332"/>
      <c r="DC1331" s="332"/>
      <c r="DD1331" s="332"/>
      <c r="DE1331" s="332"/>
      <c r="DF1331" s="332"/>
      <c r="DG1331" s="332"/>
      <c r="DH1331" s="332"/>
      <c r="DI1331" s="332"/>
      <c r="DJ1331" s="332"/>
      <c r="DK1331" s="332"/>
      <c r="DL1331" s="332"/>
      <c r="DM1331" s="332"/>
      <c r="DN1331" s="332"/>
      <c r="DO1331" s="332"/>
      <c r="DP1331" s="332"/>
      <c r="DQ1331" s="332"/>
      <c r="DR1331" s="332"/>
      <c r="DS1331" s="332"/>
      <c r="DT1331" s="332"/>
      <c r="DU1331" s="453"/>
      <c r="DV1331" s="453"/>
      <c r="DW1331" s="453"/>
      <c r="DX1331" s="453"/>
      <c r="DY1331" s="453"/>
      <c r="DZ1331" s="453"/>
      <c r="EA1331" s="453"/>
      <c r="EB1331" s="453"/>
      <c r="EC1331" s="453"/>
      <c r="ED1331" s="453"/>
      <c r="EE1331" s="453"/>
      <c r="EF1331" s="453"/>
      <c r="EG1331" s="453"/>
      <c r="EH1331" s="453"/>
      <c r="EI1331" s="453"/>
      <c r="EJ1331" s="453"/>
      <c r="EK1331" s="453"/>
      <c r="EL1331" s="453"/>
      <c r="EM1331" s="483">
        <f t="shared" si="257"/>
        <v>1022</v>
      </c>
      <c r="EN1331" s="485"/>
      <c r="EO1331" s="458"/>
      <c r="EP1331" s="467"/>
      <c r="EQ1331" s="457"/>
      <c r="ER1331" s="808"/>
      <c r="ES1331" s="881">
        <f t="shared" si="262"/>
        <v>0</v>
      </c>
      <c r="ET1331" s="882"/>
      <c r="EU1331" s="883"/>
      <c r="EV1331" s="884">
        <f t="shared" si="263"/>
        <v>0</v>
      </c>
      <c r="EW1331" s="885"/>
      <c r="EX1331" s="885"/>
      <c r="EY1331" s="885"/>
      <c r="EZ1331" s="885"/>
      <c r="FA1331" s="885"/>
      <c r="FB1331" s="885"/>
      <c r="FC1331" s="885"/>
      <c r="FD1331" s="886"/>
      <c r="FE1331" s="877"/>
      <c r="FF1331" s="877"/>
      <c r="FG1331" s="877"/>
      <c r="FH1331" s="877"/>
      <c r="FI1331" s="877"/>
      <c r="FJ1331" s="877"/>
      <c r="FK1331" s="877"/>
      <c r="FL1331" s="874"/>
      <c r="FM1331" s="875"/>
      <c r="FN1331" s="875"/>
      <c r="FO1331" s="875"/>
      <c r="FP1331" s="875"/>
      <c r="FQ1331" s="875"/>
      <c r="FR1331" s="875"/>
      <c r="FS1331" s="875"/>
      <c r="FT1331" s="875"/>
      <c r="FU1331" s="875"/>
      <c r="FV1331" s="875"/>
      <c r="FW1331" s="875"/>
      <c r="FX1331" s="875"/>
      <c r="FY1331" s="875"/>
      <c r="FZ1331" s="875"/>
      <c r="GA1331" s="875"/>
      <c r="GB1331" s="876"/>
      <c r="GC1331" s="370"/>
      <c r="GD1331" s="453"/>
      <c r="GE1331" s="453"/>
      <c r="GF1331" s="453"/>
      <c r="GG1331" s="453"/>
      <c r="GH1331" s="454"/>
      <c r="GI1331" s="453"/>
      <c r="GJ1331" s="453"/>
      <c r="GK1331" s="453"/>
      <c r="GL1331" s="453"/>
      <c r="GM1331" s="453"/>
      <c r="GN1331" s="453"/>
      <c r="GO1331" s="453"/>
      <c r="GP1331" s="453"/>
      <c r="GQ1331" s="453"/>
      <c r="GR1331" s="453"/>
      <c r="GS1331" s="561"/>
      <c r="GT1331" s="475"/>
      <c r="GU1331" s="472"/>
      <c r="GV1331" s="453"/>
      <c r="GW1331" s="453"/>
      <c r="GX1331" s="869"/>
      <c r="GY1331" s="870"/>
      <c r="GZ1331" s="867"/>
      <c r="HA1331" s="868"/>
      <c r="HB1331" s="473"/>
      <c r="HC1331" s="869"/>
      <c r="HD1331" s="870"/>
      <c r="HE1331" s="867"/>
      <c r="HF1331" s="868"/>
      <c r="HG1331" s="473"/>
      <c r="HH1331" s="867"/>
      <c r="HI1331" s="868"/>
      <c r="HJ1331" s="867"/>
      <c r="HK1331" s="868"/>
      <c r="HL1331" s="370"/>
      <c r="HM1331" s="865"/>
      <c r="HN1331" s="866"/>
      <c r="HO1331" s="865"/>
      <c r="HP1331" s="866"/>
      <c r="HQ1331" s="865"/>
      <c r="HR1331" s="866"/>
      <c r="HS1331" s="867"/>
      <c r="HT1331" s="868"/>
      <c r="HU1331" s="489"/>
      <c r="HV1331" s="865"/>
      <c r="HW1331" s="866"/>
    </row>
    <row r="1332" spans="25:231" ht="15" customHeight="1">
      <c r="Y1332" s="332"/>
      <c r="Z1332" s="332"/>
      <c r="AA1332" s="332"/>
      <c r="AB1332" s="332"/>
      <c r="AC1332" s="332"/>
      <c r="AD1332" s="332"/>
      <c r="AE1332" s="332"/>
      <c r="AF1332" s="332"/>
      <c r="AG1332" s="332"/>
      <c r="AH1332" s="332"/>
      <c r="AI1332" s="332"/>
      <c r="AJ1332" s="332"/>
      <c r="AK1332" s="332"/>
      <c r="AL1332" s="332"/>
      <c r="AM1332" s="332"/>
      <c r="AN1332" s="332"/>
      <c r="AO1332" s="332"/>
      <c r="AP1332" s="332"/>
      <c r="AQ1332" s="332"/>
      <c r="AR1332" s="332"/>
      <c r="AS1332" s="332"/>
      <c r="AT1332" s="332"/>
      <c r="AU1332" s="332"/>
      <c r="AV1332" s="332"/>
      <c r="AW1332" s="332"/>
      <c r="AX1332" s="332"/>
      <c r="AY1332" s="332"/>
      <c r="AZ1332" s="332"/>
      <c r="BA1332" s="332"/>
      <c r="BB1332" s="332"/>
      <c r="BC1332" s="332"/>
      <c r="BD1332" s="332"/>
      <c r="BE1332" s="332"/>
      <c r="BF1332" s="332"/>
      <c r="BG1332" s="332"/>
      <c r="BH1332" s="332"/>
      <c r="BI1332" s="332"/>
      <c r="BJ1332" s="332"/>
      <c r="BK1332" s="332"/>
      <c r="BL1332" s="332"/>
      <c r="BM1332" s="332"/>
      <c r="BN1332" s="332"/>
      <c r="BO1332" s="332"/>
      <c r="BP1332" s="332"/>
      <c r="BQ1332" s="332"/>
      <c r="BR1332" s="332"/>
      <c r="BS1332" s="332"/>
      <c r="BT1332" s="332"/>
      <c r="BU1332" s="332"/>
      <c r="BV1332" s="332"/>
      <c r="BW1332" s="332"/>
      <c r="BX1332" s="332"/>
      <c r="BY1332" s="332"/>
      <c r="BZ1332" s="332"/>
      <c r="CA1332" s="332"/>
      <c r="CB1332" s="332"/>
      <c r="CC1332" s="332"/>
      <c r="CD1332" s="332"/>
      <c r="CE1332" s="332"/>
      <c r="CF1332" s="332"/>
      <c r="CG1332" s="332"/>
      <c r="CH1332" s="332"/>
      <c r="CI1332" s="332"/>
      <c r="CJ1332" s="332"/>
      <c r="CK1332" s="332"/>
      <c r="CL1332" s="332"/>
      <c r="CM1332" s="332"/>
      <c r="CN1332" s="332"/>
      <c r="CO1332" s="332"/>
      <c r="CP1332" s="332"/>
      <c r="CQ1332" s="332"/>
      <c r="CR1332" s="332"/>
      <c r="CS1332" s="332"/>
      <c r="CT1332" s="332"/>
      <c r="CU1332" s="332"/>
      <c r="CV1332" s="332"/>
      <c r="CW1332" s="332"/>
      <c r="CX1332" s="332"/>
      <c r="CY1332" s="332"/>
      <c r="CZ1332" s="332"/>
      <c r="DA1332" s="332"/>
      <c r="DB1332" s="332"/>
      <c r="DC1332" s="332"/>
      <c r="DD1332" s="332"/>
      <c r="DE1332" s="332"/>
      <c r="DF1332" s="332"/>
      <c r="DG1332" s="332"/>
      <c r="DH1332" s="332"/>
      <c r="DI1332" s="332"/>
      <c r="DJ1332" s="332"/>
      <c r="DK1332" s="332"/>
      <c r="DL1332" s="332"/>
      <c r="DM1332" s="332"/>
      <c r="DN1332" s="332"/>
      <c r="DO1332" s="332"/>
      <c r="DP1332" s="332"/>
      <c r="DQ1332" s="332"/>
      <c r="DR1332" s="332"/>
      <c r="DS1332" s="332"/>
      <c r="DT1332" s="332"/>
      <c r="DU1332" s="453"/>
      <c r="DV1332" s="453"/>
      <c r="DW1332" s="453"/>
      <c r="DX1332" s="453"/>
      <c r="DY1332" s="453"/>
      <c r="DZ1332" s="453"/>
      <c r="EA1332" s="453"/>
      <c r="EB1332" s="453"/>
      <c r="EC1332" s="453"/>
      <c r="ED1332" s="453"/>
      <c r="EE1332" s="453"/>
      <c r="EF1332" s="453"/>
      <c r="EG1332" s="453"/>
      <c r="EH1332" s="453"/>
      <c r="EI1332" s="453"/>
      <c r="EJ1332" s="453"/>
      <c r="EK1332" s="453"/>
      <c r="EL1332" s="453"/>
      <c r="EM1332" s="483">
        <f t="shared" si="257"/>
        <v>1023</v>
      </c>
      <c r="EN1332" s="485"/>
      <c r="EO1332" s="458"/>
      <c r="EP1332" s="467"/>
      <c r="EQ1332" s="457"/>
      <c r="ER1332" s="808"/>
      <c r="ES1332" s="881">
        <f t="shared" si="262"/>
        <v>0</v>
      </c>
      <c r="ET1332" s="882"/>
      <c r="EU1332" s="883"/>
      <c r="EV1332" s="884">
        <f t="shared" si="263"/>
        <v>0</v>
      </c>
      <c r="EW1332" s="885"/>
      <c r="EX1332" s="885"/>
      <c r="EY1332" s="885"/>
      <c r="EZ1332" s="885"/>
      <c r="FA1332" s="885"/>
      <c r="FB1332" s="885"/>
      <c r="FC1332" s="885"/>
      <c r="FD1332" s="886"/>
      <c r="FE1332" s="877"/>
      <c r="FF1332" s="877"/>
      <c r="FG1332" s="877"/>
      <c r="FH1332" s="877"/>
      <c r="FI1332" s="877"/>
      <c r="FJ1332" s="877"/>
      <c r="FK1332" s="877"/>
      <c r="FL1332" s="874"/>
      <c r="FM1332" s="875"/>
      <c r="FN1332" s="875"/>
      <c r="FO1332" s="875"/>
      <c r="FP1332" s="875"/>
      <c r="FQ1332" s="875"/>
      <c r="FR1332" s="875"/>
      <c r="FS1332" s="875"/>
      <c r="FT1332" s="875"/>
      <c r="FU1332" s="875"/>
      <c r="FV1332" s="875"/>
      <c r="FW1332" s="875"/>
      <c r="FX1332" s="875"/>
      <c r="FY1332" s="875"/>
      <c r="FZ1332" s="875"/>
      <c r="GA1332" s="875"/>
      <c r="GB1332" s="876"/>
      <c r="GC1332" s="370"/>
      <c r="GD1332" s="453"/>
      <c r="GE1332" s="453"/>
      <c r="GF1332" s="453"/>
      <c r="GG1332" s="453"/>
      <c r="GH1332" s="454"/>
      <c r="GI1332" s="453"/>
      <c r="GJ1332" s="453"/>
      <c r="GK1332" s="453"/>
      <c r="GL1332" s="453"/>
      <c r="GM1332" s="453"/>
      <c r="GN1332" s="453"/>
      <c r="GO1332" s="453"/>
      <c r="GP1332" s="453"/>
      <c r="GQ1332" s="453"/>
      <c r="GR1332" s="453"/>
      <c r="GS1332" s="561"/>
      <c r="GT1332" s="475"/>
      <c r="GU1332" s="472"/>
      <c r="GV1332" s="453"/>
      <c r="GW1332" s="453"/>
      <c r="GX1332" s="869"/>
      <c r="GY1332" s="870"/>
      <c r="GZ1332" s="867"/>
      <c r="HA1332" s="868"/>
      <c r="HB1332" s="473"/>
      <c r="HC1332" s="869"/>
      <c r="HD1332" s="870"/>
      <c r="HE1332" s="867"/>
      <c r="HF1332" s="868"/>
      <c r="HG1332" s="473"/>
      <c r="HH1332" s="867"/>
      <c r="HI1332" s="868"/>
      <c r="HJ1332" s="867"/>
      <c r="HK1332" s="868"/>
      <c r="HL1332" s="370"/>
      <c r="HM1332" s="865"/>
      <c r="HN1332" s="866"/>
      <c r="HO1332" s="865"/>
      <c r="HP1332" s="866"/>
      <c r="HQ1332" s="865"/>
      <c r="HR1332" s="866"/>
      <c r="HS1332" s="867"/>
      <c r="HT1332" s="868"/>
      <c r="HU1332" s="489"/>
      <c r="HV1332" s="865"/>
      <c r="HW1332" s="866"/>
    </row>
    <row r="1333" spans="25:231" ht="15" customHeight="1">
      <c r="Y1333" s="332"/>
      <c r="Z1333" s="332"/>
      <c r="AA1333" s="332"/>
      <c r="AB1333" s="332"/>
      <c r="AC1333" s="332"/>
      <c r="AD1333" s="332"/>
      <c r="AE1333" s="332"/>
      <c r="AF1333" s="332"/>
      <c r="AG1333" s="332"/>
      <c r="AH1333" s="332"/>
      <c r="AI1333" s="332"/>
      <c r="AJ1333" s="332"/>
      <c r="AK1333" s="332"/>
      <c r="AL1333" s="332"/>
      <c r="AM1333" s="332"/>
      <c r="AN1333" s="332"/>
      <c r="AO1333" s="332"/>
      <c r="AP1333" s="332"/>
      <c r="AQ1333" s="332"/>
      <c r="AR1333" s="332"/>
      <c r="AS1333" s="332"/>
      <c r="AT1333" s="332"/>
      <c r="AU1333" s="332"/>
      <c r="AV1333" s="332"/>
      <c r="AW1333" s="332"/>
      <c r="AX1333" s="332"/>
      <c r="AY1333" s="332"/>
      <c r="AZ1333" s="332"/>
      <c r="BA1333" s="332"/>
      <c r="BB1333" s="332"/>
      <c r="BC1333" s="332"/>
      <c r="BD1333" s="332"/>
      <c r="BE1333" s="332"/>
      <c r="BF1333" s="332"/>
      <c r="BG1333" s="332"/>
      <c r="BH1333" s="332"/>
      <c r="BI1333" s="332"/>
      <c r="BJ1333" s="332"/>
      <c r="BK1333" s="332"/>
      <c r="BL1333" s="332"/>
      <c r="BM1333" s="332"/>
      <c r="BN1333" s="332"/>
      <c r="BO1333" s="332"/>
      <c r="BP1333" s="332"/>
      <c r="BQ1333" s="332"/>
      <c r="BR1333" s="332"/>
      <c r="BS1333" s="332"/>
      <c r="BT1333" s="332"/>
      <c r="BU1333" s="332"/>
      <c r="BV1333" s="332"/>
      <c r="BW1333" s="332"/>
      <c r="BX1333" s="332"/>
      <c r="BY1333" s="332"/>
      <c r="BZ1333" s="332"/>
      <c r="CA1333" s="332"/>
      <c r="CB1333" s="332"/>
      <c r="CC1333" s="332"/>
      <c r="CD1333" s="332"/>
      <c r="CE1333" s="332"/>
      <c r="CF1333" s="332"/>
      <c r="CG1333" s="332"/>
      <c r="CH1333" s="332"/>
      <c r="CI1333" s="332"/>
      <c r="CJ1333" s="332"/>
      <c r="CK1333" s="332"/>
      <c r="CL1333" s="332"/>
      <c r="CM1333" s="332"/>
      <c r="CN1333" s="332"/>
      <c r="CO1333" s="332"/>
      <c r="CP1333" s="332"/>
      <c r="CQ1333" s="332"/>
      <c r="CR1333" s="332"/>
      <c r="CS1333" s="332"/>
      <c r="CT1333" s="332"/>
      <c r="CU1333" s="332"/>
      <c r="CV1333" s="332"/>
      <c r="CW1333" s="332"/>
      <c r="CX1333" s="332"/>
      <c r="CY1333" s="332"/>
      <c r="CZ1333" s="332"/>
      <c r="DA1333" s="332"/>
      <c r="DB1333" s="332"/>
      <c r="DC1333" s="332"/>
      <c r="DD1333" s="332"/>
      <c r="DE1333" s="332"/>
      <c r="DF1333" s="332"/>
      <c r="DG1333" s="332"/>
      <c r="DH1333" s="332"/>
      <c r="DI1333" s="332"/>
      <c r="DJ1333" s="332"/>
      <c r="DK1333" s="332"/>
      <c r="DL1333" s="332"/>
      <c r="DM1333" s="332"/>
      <c r="DN1333" s="332"/>
      <c r="DO1333" s="332"/>
      <c r="DP1333" s="332"/>
      <c r="DQ1333" s="332"/>
      <c r="DR1333" s="332"/>
      <c r="DS1333" s="332"/>
      <c r="DT1333" s="332"/>
      <c r="DU1333" s="453"/>
      <c r="DV1333" s="453"/>
      <c r="DW1333" s="453"/>
      <c r="DX1333" s="453"/>
      <c r="DY1333" s="453"/>
      <c r="DZ1333" s="453"/>
      <c r="EA1333" s="453"/>
      <c r="EB1333" s="453"/>
      <c r="EC1333" s="453"/>
      <c r="ED1333" s="453"/>
      <c r="EE1333" s="453"/>
      <c r="EF1333" s="453"/>
      <c r="EG1333" s="453"/>
      <c r="EH1333" s="453"/>
      <c r="EI1333" s="453"/>
      <c r="EJ1333" s="453"/>
      <c r="EK1333" s="453"/>
      <c r="EL1333" s="453"/>
      <c r="EM1333" s="483">
        <f t="shared" si="257"/>
        <v>1024</v>
      </c>
      <c r="EN1333" s="485"/>
      <c r="EO1333" s="458"/>
      <c r="EP1333" s="467"/>
      <c r="EQ1333" s="457"/>
      <c r="ER1333" s="808"/>
      <c r="ES1333" s="881">
        <f t="shared" si="262"/>
        <v>0</v>
      </c>
      <c r="ET1333" s="882"/>
      <c r="EU1333" s="883"/>
      <c r="EV1333" s="884">
        <f t="shared" si="263"/>
        <v>0</v>
      </c>
      <c r="EW1333" s="885"/>
      <c r="EX1333" s="885"/>
      <c r="EY1333" s="885"/>
      <c r="EZ1333" s="885"/>
      <c r="FA1333" s="885"/>
      <c r="FB1333" s="885"/>
      <c r="FC1333" s="885"/>
      <c r="FD1333" s="886"/>
      <c r="FE1333" s="877"/>
      <c r="FF1333" s="877"/>
      <c r="FG1333" s="877"/>
      <c r="FH1333" s="877"/>
      <c r="FI1333" s="877"/>
      <c r="FJ1333" s="877"/>
      <c r="FK1333" s="877"/>
      <c r="FL1333" s="874"/>
      <c r="FM1333" s="875"/>
      <c r="FN1333" s="875"/>
      <c r="FO1333" s="875"/>
      <c r="FP1333" s="875"/>
      <c r="FQ1333" s="875"/>
      <c r="FR1333" s="875"/>
      <c r="FS1333" s="875"/>
      <c r="FT1333" s="875"/>
      <c r="FU1333" s="875"/>
      <c r="FV1333" s="875"/>
      <c r="FW1333" s="875"/>
      <c r="FX1333" s="875"/>
      <c r="FY1333" s="875"/>
      <c r="FZ1333" s="875"/>
      <c r="GA1333" s="875"/>
      <c r="GB1333" s="876"/>
      <c r="GC1333" s="370"/>
      <c r="GD1333" s="453"/>
      <c r="GE1333" s="453"/>
      <c r="GF1333" s="453"/>
      <c r="GG1333" s="453"/>
      <c r="GH1333" s="454"/>
      <c r="GI1333" s="453"/>
      <c r="GJ1333" s="453"/>
      <c r="GK1333" s="453"/>
      <c r="GL1333" s="453"/>
      <c r="GM1333" s="453"/>
      <c r="GN1333" s="453"/>
      <c r="GO1333" s="453"/>
      <c r="GP1333" s="453"/>
      <c r="GQ1333" s="453"/>
      <c r="GR1333" s="453"/>
      <c r="GS1333" s="561"/>
      <c r="GT1333" s="475"/>
      <c r="GU1333" s="472"/>
      <c r="GV1333" s="453"/>
      <c r="GW1333" s="453"/>
      <c r="GX1333" s="869"/>
      <c r="GY1333" s="870"/>
      <c r="GZ1333" s="867"/>
      <c r="HA1333" s="868"/>
      <c r="HB1333" s="473"/>
      <c r="HC1333" s="869"/>
      <c r="HD1333" s="870"/>
      <c r="HE1333" s="867"/>
      <c r="HF1333" s="868"/>
      <c r="HG1333" s="473"/>
      <c r="HH1333" s="867"/>
      <c r="HI1333" s="868"/>
      <c r="HJ1333" s="867"/>
      <c r="HK1333" s="868"/>
      <c r="HL1333" s="370"/>
      <c r="HM1333" s="865"/>
      <c r="HN1333" s="866"/>
      <c r="HO1333" s="865"/>
      <c r="HP1333" s="866"/>
      <c r="HQ1333" s="865"/>
      <c r="HR1333" s="866"/>
      <c r="HS1333" s="867"/>
      <c r="HT1333" s="868"/>
      <c r="HU1333" s="489"/>
      <c r="HV1333" s="865"/>
      <c r="HW1333" s="866"/>
    </row>
    <row r="1334" spans="25:231" ht="15" customHeight="1">
      <c r="Y1334" s="332"/>
      <c r="Z1334" s="332"/>
      <c r="AA1334" s="332"/>
      <c r="AB1334" s="332"/>
      <c r="AC1334" s="332"/>
      <c r="AD1334" s="332"/>
      <c r="AE1334" s="332"/>
      <c r="AF1334" s="332"/>
      <c r="AG1334" s="332"/>
      <c r="AH1334" s="332"/>
      <c r="AI1334" s="332"/>
      <c r="AJ1334" s="332"/>
      <c r="AK1334" s="332"/>
      <c r="AL1334" s="332"/>
      <c r="AM1334" s="332"/>
      <c r="AN1334" s="332"/>
      <c r="AO1334" s="332"/>
      <c r="AP1334" s="332"/>
      <c r="AQ1334" s="332"/>
      <c r="AR1334" s="332"/>
      <c r="AS1334" s="332"/>
      <c r="AT1334" s="332"/>
      <c r="AU1334" s="332"/>
      <c r="AV1334" s="332"/>
      <c r="AW1334" s="332"/>
      <c r="AX1334" s="332"/>
      <c r="AY1334" s="332"/>
      <c r="AZ1334" s="332"/>
      <c r="BA1334" s="332"/>
      <c r="BB1334" s="332"/>
      <c r="BC1334" s="332"/>
      <c r="BD1334" s="332"/>
      <c r="BE1334" s="332"/>
      <c r="BF1334" s="332"/>
      <c r="BG1334" s="332"/>
      <c r="BH1334" s="332"/>
      <c r="BI1334" s="332"/>
      <c r="BJ1334" s="332"/>
      <c r="BK1334" s="332"/>
      <c r="BL1334" s="332"/>
      <c r="BM1334" s="332"/>
      <c r="BN1334" s="332"/>
      <c r="BO1334" s="332"/>
      <c r="BP1334" s="332"/>
      <c r="BQ1334" s="332"/>
      <c r="BR1334" s="332"/>
      <c r="BS1334" s="332"/>
      <c r="BT1334" s="332"/>
      <c r="BU1334" s="332"/>
      <c r="BV1334" s="332"/>
      <c r="BW1334" s="332"/>
      <c r="BX1334" s="332"/>
      <c r="BY1334" s="332"/>
      <c r="BZ1334" s="332"/>
      <c r="CA1334" s="332"/>
      <c r="CB1334" s="332"/>
      <c r="CC1334" s="332"/>
      <c r="CD1334" s="332"/>
      <c r="CE1334" s="332"/>
      <c r="CF1334" s="332"/>
      <c r="CG1334" s="332"/>
      <c r="CH1334" s="332"/>
      <c r="CI1334" s="332"/>
      <c r="CJ1334" s="332"/>
      <c r="CK1334" s="332"/>
      <c r="CL1334" s="332"/>
      <c r="CM1334" s="332"/>
      <c r="CN1334" s="332"/>
      <c r="CO1334" s="332"/>
      <c r="CP1334" s="332"/>
      <c r="CQ1334" s="332"/>
      <c r="CR1334" s="332"/>
      <c r="CS1334" s="332"/>
      <c r="CT1334" s="332"/>
      <c r="CU1334" s="332"/>
      <c r="CV1334" s="332"/>
      <c r="CW1334" s="332"/>
      <c r="CX1334" s="332"/>
      <c r="CY1334" s="332"/>
      <c r="CZ1334" s="332"/>
      <c r="DA1334" s="332"/>
      <c r="DB1334" s="332"/>
      <c r="DC1334" s="332"/>
      <c r="DD1334" s="332"/>
      <c r="DE1334" s="332"/>
      <c r="DF1334" s="332"/>
      <c r="DG1334" s="332"/>
      <c r="DH1334" s="332"/>
      <c r="DI1334" s="332"/>
      <c r="DJ1334" s="332"/>
      <c r="DK1334" s="332"/>
      <c r="DL1334" s="332"/>
      <c r="DM1334" s="332"/>
      <c r="DN1334" s="332"/>
      <c r="DO1334" s="332"/>
      <c r="DP1334" s="332"/>
      <c r="DQ1334" s="332"/>
      <c r="DR1334" s="332"/>
      <c r="DS1334" s="332"/>
      <c r="DT1334" s="332"/>
      <c r="DU1334" s="453"/>
      <c r="DV1334" s="453"/>
      <c r="DW1334" s="453"/>
      <c r="DX1334" s="453"/>
      <c r="DY1334" s="453"/>
      <c r="DZ1334" s="453"/>
      <c r="EA1334" s="453"/>
      <c r="EB1334" s="453"/>
      <c r="EC1334" s="453"/>
      <c r="ED1334" s="453"/>
      <c r="EE1334" s="453"/>
      <c r="EF1334" s="453"/>
      <c r="EG1334" s="453"/>
      <c r="EH1334" s="453"/>
      <c r="EI1334" s="453"/>
      <c r="EJ1334" s="453"/>
      <c r="EK1334" s="453"/>
      <c r="EL1334" s="453"/>
      <c r="EM1334" s="483">
        <f t="shared" si="257"/>
        <v>1025</v>
      </c>
      <c r="EN1334" s="485"/>
      <c r="EO1334" s="458"/>
      <c r="EP1334" s="467"/>
      <c r="EQ1334" s="457"/>
      <c r="ER1334" s="808"/>
      <c r="ES1334" s="881">
        <f t="shared" si="262"/>
        <v>0</v>
      </c>
      <c r="ET1334" s="882"/>
      <c r="EU1334" s="883"/>
      <c r="EV1334" s="884">
        <f t="shared" si="263"/>
        <v>0</v>
      </c>
      <c r="EW1334" s="885"/>
      <c r="EX1334" s="885"/>
      <c r="EY1334" s="885"/>
      <c r="EZ1334" s="885"/>
      <c r="FA1334" s="885"/>
      <c r="FB1334" s="885"/>
      <c r="FC1334" s="885"/>
      <c r="FD1334" s="886"/>
      <c r="FE1334" s="877"/>
      <c r="FF1334" s="877"/>
      <c r="FG1334" s="877"/>
      <c r="FH1334" s="877"/>
      <c r="FI1334" s="877"/>
      <c r="FJ1334" s="877"/>
      <c r="FK1334" s="877"/>
      <c r="FL1334" s="874"/>
      <c r="FM1334" s="875"/>
      <c r="FN1334" s="875"/>
      <c r="FO1334" s="875"/>
      <c r="FP1334" s="875"/>
      <c r="FQ1334" s="875"/>
      <c r="FR1334" s="875"/>
      <c r="FS1334" s="875"/>
      <c r="FT1334" s="875"/>
      <c r="FU1334" s="875"/>
      <c r="FV1334" s="875"/>
      <c r="FW1334" s="875"/>
      <c r="FX1334" s="875"/>
      <c r="FY1334" s="875"/>
      <c r="FZ1334" s="875"/>
      <c r="GA1334" s="875"/>
      <c r="GB1334" s="876"/>
      <c r="GC1334" s="370"/>
      <c r="GD1334" s="453"/>
      <c r="GE1334" s="453"/>
      <c r="GF1334" s="453"/>
      <c r="GG1334" s="453"/>
      <c r="GH1334" s="454"/>
      <c r="GI1334" s="453"/>
      <c r="GJ1334" s="453"/>
      <c r="GK1334" s="453"/>
      <c r="GL1334" s="453"/>
      <c r="GM1334" s="453"/>
      <c r="GN1334" s="453"/>
      <c r="GO1334" s="453"/>
      <c r="GP1334" s="453"/>
      <c r="GQ1334" s="453"/>
      <c r="GR1334" s="453"/>
      <c r="GS1334" s="561"/>
      <c r="GT1334" s="475"/>
      <c r="GU1334" s="472"/>
      <c r="GV1334" s="453"/>
      <c r="GW1334" s="453"/>
      <c r="GX1334" s="869"/>
      <c r="GY1334" s="870"/>
      <c r="GZ1334" s="867"/>
      <c r="HA1334" s="868"/>
      <c r="HB1334" s="473"/>
      <c r="HC1334" s="869"/>
      <c r="HD1334" s="870"/>
      <c r="HE1334" s="867"/>
      <c r="HF1334" s="868"/>
      <c r="HG1334" s="473"/>
      <c r="HH1334" s="867"/>
      <c r="HI1334" s="868"/>
      <c r="HJ1334" s="867"/>
      <c r="HK1334" s="868"/>
      <c r="HL1334" s="370"/>
      <c r="HM1334" s="865"/>
      <c r="HN1334" s="866"/>
      <c r="HO1334" s="865"/>
      <c r="HP1334" s="866"/>
      <c r="HQ1334" s="865"/>
      <c r="HR1334" s="866"/>
      <c r="HS1334" s="867"/>
      <c r="HT1334" s="868"/>
      <c r="HU1334" s="489"/>
      <c r="HV1334" s="865"/>
      <c r="HW1334" s="866"/>
    </row>
    <row r="1335" spans="25:231" ht="15" customHeight="1">
      <c r="Y1335" s="332"/>
      <c r="Z1335" s="332"/>
      <c r="AA1335" s="332"/>
      <c r="AB1335" s="332"/>
      <c r="AC1335" s="332"/>
      <c r="AD1335" s="332"/>
      <c r="AE1335" s="332"/>
      <c r="AF1335" s="332"/>
      <c r="AG1335" s="332"/>
      <c r="AH1335" s="332"/>
      <c r="AI1335" s="332"/>
      <c r="AJ1335" s="332"/>
      <c r="AK1335" s="332"/>
      <c r="AL1335" s="332"/>
      <c r="AM1335" s="332"/>
      <c r="AN1335" s="332"/>
      <c r="AO1335" s="332"/>
      <c r="AP1335" s="332"/>
      <c r="AQ1335" s="332"/>
      <c r="AR1335" s="332"/>
      <c r="AS1335" s="332"/>
      <c r="AT1335" s="332"/>
      <c r="AU1335" s="332"/>
      <c r="AV1335" s="332"/>
      <c r="AW1335" s="332"/>
      <c r="AX1335" s="332"/>
      <c r="AY1335" s="332"/>
      <c r="AZ1335" s="332"/>
      <c r="BA1335" s="332"/>
      <c r="BB1335" s="332"/>
      <c r="BC1335" s="332"/>
      <c r="BD1335" s="332"/>
      <c r="BE1335" s="332"/>
      <c r="BF1335" s="332"/>
      <c r="BG1335" s="332"/>
      <c r="BH1335" s="332"/>
      <c r="BI1335" s="332"/>
      <c r="BJ1335" s="332"/>
      <c r="BK1335" s="332"/>
      <c r="BL1335" s="332"/>
      <c r="BM1335" s="332"/>
      <c r="BN1335" s="332"/>
      <c r="BO1335" s="332"/>
      <c r="BP1335" s="332"/>
      <c r="BQ1335" s="332"/>
      <c r="BR1335" s="332"/>
      <c r="BS1335" s="332"/>
      <c r="BT1335" s="332"/>
      <c r="BU1335" s="332"/>
      <c r="BV1335" s="332"/>
      <c r="BW1335" s="332"/>
      <c r="BX1335" s="332"/>
      <c r="BY1335" s="332"/>
      <c r="BZ1335" s="332"/>
      <c r="CA1335" s="332"/>
      <c r="CB1335" s="332"/>
      <c r="CC1335" s="332"/>
      <c r="CD1335" s="332"/>
      <c r="CE1335" s="332"/>
      <c r="CF1335" s="332"/>
      <c r="CG1335" s="332"/>
      <c r="CH1335" s="332"/>
      <c r="CI1335" s="332"/>
      <c r="CJ1335" s="332"/>
      <c r="CK1335" s="332"/>
      <c r="CL1335" s="332"/>
      <c r="CM1335" s="332"/>
      <c r="CN1335" s="332"/>
      <c r="CO1335" s="332"/>
      <c r="CP1335" s="332"/>
      <c r="CQ1335" s="332"/>
      <c r="CR1335" s="332"/>
      <c r="CS1335" s="332"/>
      <c r="CT1335" s="332"/>
      <c r="CU1335" s="332"/>
      <c r="CV1335" s="332"/>
      <c r="CW1335" s="332"/>
      <c r="CX1335" s="332"/>
      <c r="CY1335" s="332"/>
      <c r="CZ1335" s="332"/>
      <c r="DA1335" s="332"/>
      <c r="DB1335" s="332"/>
      <c r="DC1335" s="332"/>
      <c r="DD1335" s="332"/>
      <c r="DE1335" s="332"/>
      <c r="DF1335" s="332"/>
      <c r="DG1335" s="332"/>
      <c r="DH1335" s="332"/>
      <c r="DI1335" s="332"/>
      <c r="DJ1335" s="332"/>
      <c r="DK1335" s="332"/>
      <c r="DL1335" s="332"/>
      <c r="DM1335" s="332"/>
      <c r="DN1335" s="332"/>
      <c r="DO1335" s="332"/>
      <c r="DP1335" s="332"/>
      <c r="DQ1335" s="332"/>
      <c r="DR1335" s="332"/>
      <c r="DS1335" s="332"/>
      <c r="DT1335" s="332"/>
      <c r="DU1335" s="453"/>
      <c r="DV1335" s="453"/>
      <c r="DW1335" s="453"/>
      <c r="DX1335" s="453"/>
      <c r="DY1335" s="453"/>
      <c r="DZ1335" s="453"/>
      <c r="EA1335" s="453"/>
      <c r="EB1335" s="453"/>
      <c r="EC1335" s="453"/>
      <c r="ED1335" s="453"/>
      <c r="EE1335" s="453"/>
      <c r="EF1335" s="453"/>
      <c r="EG1335" s="453"/>
      <c r="EH1335" s="453"/>
      <c r="EI1335" s="453"/>
      <c r="EJ1335" s="453"/>
      <c r="EK1335" s="453"/>
      <c r="EL1335" s="453"/>
      <c r="EM1335" s="483">
        <f t="shared" si="257"/>
        <v>1026</v>
      </c>
      <c r="EN1335" s="485"/>
      <c r="EO1335" s="458"/>
      <c r="EP1335" s="467"/>
      <c r="EQ1335" s="457"/>
      <c r="ER1335" s="808"/>
      <c r="ES1335" s="881">
        <f t="shared" si="262"/>
        <v>0</v>
      </c>
      <c r="ET1335" s="882"/>
      <c r="EU1335" s="883"/>
      <c r="EV1335" s="884">
        <f t="shared" si="263"/>
        <v>0</v>
      </c>
      <c r="EW1335" s="885"/>
      <c r="EX1335" s="885"/>
      <c r="EY1335" s="885"/>
      <c r="EZ1335" s="885"/>
      <c r="FA1335" s="885"/>
      <c r="FB1335" s="885"/>
      <c r="FC1335" s="885"/>
      <c r="FD1335" s="886"/>
      <c r="FE1335" s="877"/>
      <c r="FF1335" s="877"/>
      <c r="FG1335" s="877"/>
      <c r="FH1335" s="877"/>
      <c r="FI1335" s="877"/>
      <c r="FJ1335" s="877"/>
      <c r="FK1335" s="877"/>
      <c r="FL1335" s="874"/>
      <c r="FM1335" s="875"/>
      <c r="FN1335" s="875"/>
      <c r="FO1335" s="875"/>
      <c r="FP1335" s="875"/>
      <c r="FQ1335" s="875"/>
      <c r="FR1335" s="875"/>
      <c r="FS1335" s="875"/>
      <c r="FT1335" s="875"/>
      <c r="FU1335" s="875"/>
      <c r="FV1335" s="875"/>
      <c r="FW1335" s="875"/>
      <c r="FX1335" s="875"/>
      <c r="FY1335" s="875"/>
      <c r="FZ1335" s="875"/>
      <c r="GA1335" s="875"/>
      <c r="GB1335" s="876"/>
      <c r="GC1335" s="370"/>
      <c r="GD1335" s="453"/>
      <c r="GE1335" s="453"/>
      <c r="GF1335" s="453"/>
      <c r="GG1335" s="453"/>
      <c r="GH1335" s="454"/>
      <c r="GI1335" s="453"/>
      <c r="GJ1335" s="453"/>
      <c r="GK1335" s="453"/>
      <c r="GL1335" s="453"/>
      <c r="GM1335" s="453"/>
      <c r="GN1335" s="453"/>
      <c r="GO1335" s="453"/>
      <c r="GP1335" s="453"/>
      <c r="GQ1335" s="453"/>
      <c r="GR1335" s="453"/>
      <c r="GS1335" s="561"/>
      <c r="GT1335" s="475"/>
      <c r="GU1335" s="472"/>
      <c r="GV1335" s="453"/>
      <c r="GW1335" s="453"/>
      <c r="GX1335" s="869"/>
      <c r="GY1335" s="870"/>
      <c r="GZ1335" s="867"/>
      <c r="HA1335" s="868"/>
      <c r="HB1335" s="473"/>
      <c r="HC1335" s="869"/>
      <c r="HD1335" s="870"/>
      <c r="HE1335" s="867"/>
      <c r="HF1335" s="868"/>
      <c r="HG1335" s="473"/>
      <c r="HH1335" s="867"/>
      <c r="HI1335" s="868"/>
      <c r="HJ1335" s="867"/>
      <c r="HK1335" s="868"/>
      <c r="HL1335" s="370"/>
      <c r="HM1335" s="865"/>
      <c r="HN1335" s="866"/>
      <c r="HO1335" s="865"/>
      <c r="HP1335" s="866"/>
      <c r="HQ1335" s="865"/>
      <c r="HR1335" s="866"/>
      <c r="HS1335" s="867"/>
      <c r="HT1335" s="868"/>
      <c r="HU1335" s="489"/>
      <c r="HV1335" s="865"/>
      <c r="HW1335" s="866"/>
    </row>
    <row r="1336" spans="25:231" ht="15" customHeight="1">
      <c r="Y1336" s="332"/>
      <c r="Z1336" s="332"/>
      <c r="AA1336" s="332"/>
      <c r="AB1336" s="332"/>
      <c r="AC1336" s="332"/>
      <c r="AD1336" s="332"/>
      <c r="AE1336" s="332"/>
      <c r="AF1336" s="332"/>
      <c r="AG1336" s="332"/>
      <c r="AH1336" s="332"/>
      <c r="AI1336" s="332"/>
      <c r="AJ1336" s="332"/>
      <c r="AK1336" s="332"/>
      <c r="AL1336" s="332"/>
      <c r="AM1336" s="332"/>
      <c r="AN1336" s="332"/>
      <c r="AO1336" s="332"/>
      <c r="AP1336" s="332"/>
      <c r="AQ1336" s="332"/>
      <c r="AR1336" s="332"/>
      <c r="AS1336" s="332"/>
      <c r="AT1336" s="332"/>
      <c r="AU1336" s="332"/>
      <c r="AV1336" s="332"/>
      <c r="AW1336" s="332"/>
      <c r="AX1336" s="332"/>
      <c r="AY1336" s="332"/>
      <c r="AZ1336" s="332"/>
      <c r="BA1336" s="332"/>
      <c r="BB1336" s="332"/>
      <c r="BC1336" s="332"/>
      <c r="BD1336" s="332"/>
      <c r="BE1336" s="332"/>
      <c r="BF1336" s="332"/>
      <c r="BG1336" s="332"/>
      <c r="BH1336" s="332"/>
      <c r="BI1336" s="332"/>
      <c r="BJ1336" s="332"/>
      <c r="BK1336" s="332"/>
      <c r="BL1336" s="332"/>
      <c r="BM1336" s="332"/>
      <c r="BN1336" s="332"/>
      <c r="BO1336" s="332"/>
      <c r="BP1336" s="332"/>
      <c r="BQ1336" s="332"/>
      <c r="BR1336" s="332"/>
      <c r="BS1336" s="332"/>
      <c r="BT1336" s="332"/>
      <c r="BU1336" s="332"/>
      <c r="BV1336" s="332"/>
      <c r="BW1336" s="332"/>
      <c r="BX1336" s="332"/>
      <c r="BY1336" s="332"/>
      <c r="BZ1336" s="332"/>
      <c r="CA1336" s="332"/>
      <c r="CB1336" s="332"/>
      <c r="CC1336" s="332"/>
      <c r="CD1336" s="332"/>
      <c r="CE1336" s="332"/>
      <c r="CF1336" s="332"/>
      <c r="CG1336" s="332"/>
      <c r="CH1336" s="332"/>
      <c r="CI1336" s="332"/>
      <c r="CJ1336" s="332"/>
      <c r="CK1336" s="332"/>
      <c r="CL1336" s="332"/>
      <c r="CM1336" s="332"/>
      <c r="CN1336" s="332"/>
      <c r="CO1336" s="332"/>
      <c r="CP1336" s="332"/>
      <c r="CQ1336" s="332"/>
      <c r="CR1336" s="332"/>
      <c r="CS1336" s="332"/>
      <c r="CT1336" s="332"/>
      <c r="CU1336" s="332"/>
      <c r="CV1336" s="332"/>
      <c r="CW1336" s="332"/>
      <c r="CX1336" s="332"/>
      <c r="CY1336" s="332"/>
      <c r="CZ1336" s="332"/>
      <c r="DA1336" s="332"/>
      <c r="DB1336" s="332"/>
      <c r="DC1336" s="332"/>
      <c r="DD1336" s="332"/>
      <c r="DE1336" s="332"/>
      <c r="DF1336" s="332"/>
      <c r="DG1336" s="332"/>
      <c r="DH1336" s="332"/>
      <c r="DI1336" s="332"/>
      <c r="DJ1336" s="332"/>
      <c r="DK1336" s="332"/>
      <c r="DL1336" s="332"/>
      <c r="DM1336" s="332"/>
      <c r="DN1336" s="332"/>
      <c r="DO1336" s="332"/>
      <c r="DP1336" s="332"/>
      <c r="DQ1336" s="332"/>
      <c r="DR1336" s="332"/>
      <c r="DS1336" s="332"/>
      <c r="DT1336" s="332"/>
      <c r="DU1336" s="453"/>
      <c r="DV1336" s="453"/>
      <c r="DW1336" s="453"/>
      <c r="DX1336" s="453"/>
      <c r="DY1336" s="453"/>
      <c r="DZ1336" s="453"/>
      <c r="EA1336" s="453"/>
      <c r="EB1336" s="453"/>
      <c r="EC1336" s="453"/>
      <c r="ED1336" s="453"/>
      <c r="EE1336" s="453"/>
      <c r="EF1336" s="453"/>
      <c r="EG1336" s="453"/>
      <c r="EH1336" s="453"/>
      <c r="EI1336" s="453"/>
      <c r="EJ1336" s="453"/>
      <c r="EK1336" s="453"/>
      <c r="EL1336" s="453"/>
      <c r="EM1336" s="483">
        <f t="shared" si="257"/>
        <v>1027</v>
      </c>
      <c r="EN1336" s="485"/>
      <c r="EO1336" s="458"/>
      <c r="EP1336" s="467"/>
      <c r="EQ1336" s="457"/>
      <c r="ER1336" s="808"/>
      <c r="ES1336" s="881">
        <f t="shared" si="262"/>
        <v>0</v>
      </c>
      <c r="ET1336" s="882"/>
      <c r="EU1336" s="883"/>
      <c r="EV1336" s="884">
        <f t="shared" si="263"/>
        <v>0</v>
      </c>
      <c r="EW1336" s="885"/>
      <c r="EX1336" s="885"/>
      <c r="EY1336" s="885"/>
      <c r="EZ1336" s="885"/>
      <c r="FA1336" s="885"/>
      <c r="FB1336" s="885"/>
      <c r="FC1336" s="885"/>
      <c r="FD1336" s="886"/>
      <c r="FE1336" s="877"/>
      <c r="FF1336" s="877"/>
      <c r="FG1336" s="877"/>
      <c r="FH1336" s="877"/>
      <c r="FI1336" s="877"/>
      <c r="FJ1336" s="877"/>
      <c r="FK1336" s="877"/>
      <c r="FL1336" s="874"/>
      <c r="FM1336" s="875"/>
      <c r="FN1336" s="875"/>
      <c r="FO1336" s="875"/>
      <c r="FP1336" s="875"/>
      <c r="FQ1336" s="875"/>
      <c r="FR1336" s="875"/>
      <c r="FS1336" s="875"/>
      <c r="FT1336" s="875"/>
      <c r="FU1336" s="875"/>
      <c r="FV1336" s="875"/>
      <c r="FW1336" s="875"/>
      <c r="FX1336" s="875"/>
      <c r="FY1336" s="875"/>
      <c r="FZ1336" s="875"/>
      <c r="GA1336" s="875"/>
      <c r="GB1336" s="876"/>
      <c r="GC1336" s="370"/>
      <c r="GD1336" s="453"/>
      <c r="GE1336" s="453"/>
      <c r="GF1336" s="453"/>
      <c r="GG1336" s="453"/>
      <c r="GH1336" s="454"/>
      <c r="GI1336" s="453"/>
      <c r="GJ1336" s="453"/>
      <c r="GK1336" s="453"/>
      <c r="GL1336" s="453"/>
      <c r="GM1336" s="453"/>
      <c r="GN1336" s="453"/>
      <c r="GO1336" s="453"/>
      <c r="GP1336" s="453"/>
      <c r="GQ1336" s="453"/>
      <c r="GR1336" s="453"/>
      <c r="GS1336" s="561"/>
      <c r="GT1336" s="475"/>
      <c r="GU1336" s="472"/>
      <c r="GV1336" s="453"/>
      <c r="GW1336" s="453"/>
      <c r="GX1336" s="869"/>
      <c r="GY1336" s="870"/>
      <c r="GZ1336" s="867"/>
      <c r="HA1336" s="868"/>
      <c r="HB1336" s="473"/>
      <c r="HC1336" s="869"/>
      <c r="HD1336" s="870"/>
      <c r="HE1336" s="867"/>
      <c r="HF1336" s="868"/>
      <c r="HG1336" s="473"/>
      <c r="HH1336" s="867"/>
      <c r="HI1336" s="868"/>
      <c r="HJ1336" s="867"/>
      <c r="HK1336" s="868"/>
      <c r="HL1336" s="370"/>
      <c r="HM1336" s="865"/>
      <c r="HN1336" s="866"/>
      <c r="HO1336" s="865"/>
      <c r="HP1336" s="866"/>
      <c r="HQ1336" s="865"/>
      <c r="HR1336" s="866"/>
      <c r="HS1336" s="867"/>
      <c r="HT1336" s="868"/>
      <c r="HU1336" s="489"/>
      <c r="HV1336" s="865"/>
      <c r="HW1336" s="866"/>
    </row>
    <row r="1337" spans="25:231" ht="15" customHeight="1">
      <c r="Y1337" s="332"/>
      <c r="Z1337" s="332"/>
      <c r="AA1337" s="332"/>
      <c r="AB1337" s="332"/>
      <c r="AC1337" s="332"/>
      <c r="AD1337" s="332"/>
      <c r="AE1337" s="332"/>
      <c r="AF1337" s="332"/>
      <c r="AG1337" s="332"/>
      <c r="AH1337" s="332"/>
      <c r="AI1337" s="332"/>
      <c r="AJ1337" s="332"/>
      <c r="AK1337" s="332"/>
      <c r="AL1337" s="332"/>
      <c r="AM1337" s="332"/>
      <c r="AN1337" s="332"/>
      <c r="AO1337" s="332"/>
      <c r="AP1337" s="332"/>
      <c r="AQ1337" s="332"/>
      <c r="AR1337" s="332"/>
      <c r="AS1337" s="332"/>
      <c r="AT1337" s="332"/>
      <c r="AU1337" s="332"/>
      <c r="AV1337" s="332"/>
      <c r="AW1337" s="332"/>
      <c r="AX1337" s="332"/>
      <c r="AY1337" s="332"/>
      <c r="AZ1337" s="332"/>
      <c r="BA1337" s="332"/>
      <c r="BB1337" s="332"/>
      <c r="BC1337" s="332"/>
      <c r="BD1337" s="332"/>
      <c r="BE1337" s="332"/>
      <c r="BF1337" s="332"/>
      <c r="BG1337" s="332"/>
      <c r="BH1337" s="332"/>
      <c r="BI1337" s="332"/>
      <c r="BJ1337" s="332"/>
      <c r="BK1337" s="332"/>
      <c r="BL1337" s="332"/>
      <c r="BM1337" s="332"/>
      <c r="BN1337" s="332"/>
      <c r="BO1337" s="332"/>
      <c r="BP1337" s="332"/>
      <c r="BQ1337" s="332"/>
      <c r="BR1337" s="332"/>
      <c r="BS1337" s="332"/>
      <c r="BT1337" s="332"/>
      <c r="BU1337" s="332"/>
      <c r="BV1337" s="332"/>
      <c r="BW1337" s="332"/>
      <c r="BX1337" s="332"/>
      <c r="BY1337" s="332"/>
      <c r="BZ1337" s="332"/>
      <c r="CA1337" s="332"/>
      <c r="CB1337" s="332"/>
      <c r="CC1337" s="332"/>
      <c r="CD1337" s="332"/>
      <c r="CE1337" s="332"/>
      <c r="CF1337" s="332"/>
      <c r="CG1337" s="332"/>
      <c r="CH1337" s="332"/>
      <c r="CI1337" s="332"/>
      <c r="CJ1337" s="332"/>
      <c r="CK1337" s="332"/>
      <c r="CL1337" s="332"/>
      <c r="CM1337" s="332"/>
      <c r="CN1337" s="332"/>
      <c r="CO1337" s="332"/>
      <c r="CP1337" s="332"/>
      <c r="CQ1337" s="332"/>
      <c r="CR1337" s="332"/>
      <c r="CS1337" s="332"/>
      <c r="CT1337" s="332"/>
      <c r="CU1337" s="332"/>
      <c r="CV1337" s="332"/>
      <c r="CW1337" s="332"/>
      <c r="CX1337" s="332"/>
      <c r="CY1337" s="332"/>
      <c r="CZ1337" s="332"/>
      <c r="DA1337" s="332"/>
      <c r="DB1337" s="332"/>
      <c r="DC1337" s="332"/>
      <c r="DD1337" s="332"/>
      <c r="DE1337" s="332"/>
      <c r="DF1337" s="332"/>
      <c r="DG1337" s="332"/>
      <c r="DH1337" s="332"/>
      <c r="DI1337" s="332"/>
      <c r="DJ1337" s="332"/>
      <c r="DK1337" s="332"/>
      <c r="DL1337" s="332"/>
      <c r="DM1337" s="332"/>
      <c r="DN1337" s="332"/>
      <c r="DO1337" s="332"/>
      <c r="DP1337" s="332"/>
      <c r="DQ1337" s="332"/>
      <c r="DR1337" s="332"/>
      <c r="DS1337" s="332"/>
      <c r="DT1337" s="332"/>
      <c r="DU1337" s="453"/>
      <c r="DV1337" s="453"/>
      <c r="DW1337" s="453"/>
      <c r="DX1337" s="453"/>
      <c r="DY1337" s="453"/>
      <c r="DZ1337" s="453"/>
      <c r="EA1337" s="453"/>
      <c r="EB1337" s="453"/>
      <c r="EC1337" s="453"/>
      <c r="ED1337" s="453"/>
      <c r="EE1337" s="453"/>
      <c r="EF1337" s="453"/>
      <c r="EG1337" s="453"/>
      <c r="EH1337" s="453"/>
      <c r="EI1337" s="453"/>
      <c r="EJ1337" s="453"/>
      <c r="EK1337" s="453"/>
      <c r="EL1337" s="453"/>
      <c r="EM1337" s="483">
        <f t="shared" si="257"/>
        <v>1028</v>
      </c>
      <c r="EN1337" s="485"/>
      <c r="EO1337" s="458"/>
      <c r="EP1337" s="467"/>
      <c r="EQ1337" s="457"/>
      <c r="ER1337" s="808"/>
      <c r="ES1337" s="881">
        <f t="shared" si="262"/>
        <v>0</v>
      </c>
      <c r="ET1337" s="882"/>
      <c r="EU1337" s="883"/>
      <c r="EV1337" s="884">
        <f t="shared" si="263"/>
        <v>0</v>
      </c>
      <c r="EW1337" s="885"/>
      <c r="EX1337" s="885"/>
      <c r="EY1337" s="885"/>
      <c r="EZ1337" s="885"/>
      <c r="FA1337" s="885"/>
      <c r="FB1337" s="885"/>
      <c r="FC1337" s="885"/>
      <c r="FD1337" s="886"/>
      <c r="FE1337" s="877"/>
      <c r="FF1337" s="877"/>
      <c r="FG1337" s="877"/>
      <c r="FH1337" s="877"/>
      <c r="FI1337" s="877"/>
      <c r="FJ1337" s="877"/>
      <c r="FK1337" s="877"/>
      <c r="FL1337" s="874"/>
      <c r="FM1337" s="875"/>
      <c r="FN1337" s="875"/>
      <c r="FO1337" s="875"/>
      <c r="FP1337" s="875"/>
      <c r="FQ1337" s="875"/>
      <c r="FR1337" s="875"/>
      <c r="FS1337" s="875"/>
      <c r="FT1337" s="875"/>
      <c r="FU1337" s="875"/>
      <c r="FV1337" s="875"/>
      <c r="FW1337" s="875"/>
      <c r="FX1337" s="875"/>
      <c r="FY1337" s="875"/>
      <c r="FZ1337" s="875"/>
      <c r="GA1337" s="875"/>
      <c r="GB1337" s="876"/>
      <c r="GC1337" s="370"/>
      <c r="GD1337" s="453"/>
      <c r="GE1337" s="453"/>
      <c r="GF1337" s="453"/>
      <c r="GG1337" s="453"/>
      <c r="GH1337" s="454"/>
      <c r="GI1337" s="453"/>
      <c r="GJ1337" s="453"/>
      <c r="GK1337" s="453"/>
      <c r="GL1337" s="453"/>
      <c r="GM1337" s="453"/>
      <c r="GN1337" s="453"/>
      <c r="GO1337" s="453"/>
      <c r="GP1337" s="453"/>
      <c r="GQ1337" s="453"/>
      <c r="GR1337" s="453"/>
      <c r="GS1337" s="561"/>
      <c r="GT1337" s="475"/>
      <c r="GU1337" s="472"/>
      <c r="GV1337" s="453"/>
      <c r="GW1337" s="453"/>
      <c r="GX1337" s="869"/>
      <c r="GY1337" s="870"/>
      <c r="GZ1337" s="867"/>
      <c r="HA1337" s="868"/>
      <c r="HB1337" s="473"/>
      <c r="HC1337" s="869"/>
      <c r="HD1337" s="870"/>
      <c r="HE1337" s="867"/>
      <c r="HF1337" s="868"/>
      <c r="HG1337" s="473"/>
      <c r="HH1337" s="867"/>
      <c r="HI1337" s="868"/>
      <c r="HJ1337" s="867"/>
      <c r="HK1337" s="868"/>
      <c r="HL1337" s="370"/>
      <c r="HM1337" s="865"/>
      <c r="HN1337" s="866"/>
      <c r="HO1337" s="865"/>
      <c r="HP1337" s="866"/>
      <c r="HQ1337" s="865"/>
      <c r="HR1337" s="866"/>
      <c r="HS1337" s="867"/>
      <c r="HT1337" s="868"/>
      <c r="HU1337" s="489"/>
      <c r="HV1337" s="865"/>
      <c r="HW1337" s="866"/>
    </row>
    <row r="1338" spans="25:231" ht="15" customHeight="1">
      <c r="Y1338" s="332"/>
      <c r="Z1338" s="332"/>
      <c r="AA1338" s="332"/>
      <c r="AB1338" s="332"/>
      <c r="AC1338" s="332"/>
      <c r="AD1338" s="332"/>
      <c r="AE1338" s="332"/>
      <c r="AF1338" s="332"/>
      <c r="AG1338" s="332"/>
      <c r="AH1338" s="332"/>
      <c r="AI1338" s="332"/>
      <c r="AJ1338" s="332"/>
      <c r="AK1338" s="332"/>
      <c r="AL1338" s="332"/>
      <c r="AM1338" s="332"/>
      <c r="AN1338" s="332"/>
      <c r="AO1338" s="332"/>
      <c r="AP1338" s="332"/>
      <c r="AQ1338" s="332"/>
      <c r="AR1338" s="332"/>
      <c r="AS1338" s="332"/>
      <c r="AT1338" s="332"/>
      <c r="AU1338" s="332"/>
      <c r="AV1338" s="332"/>
      <c r="AW1338" s="332"/>
      <c r="AX1338" s="332"/>
      <c r="AY1338" s="332"/>
      <c r="AZ1338" s="332"/>
      <c r="BA1338" s="332"/>
      <c r="BB1338" s="332"/>
      <c r="BC1338" s="332"/>
      <c r="BD1338" s="332"/>
      <c r="BE1338" s="332"/>
      <c r="BF1338" s="332"/>
      <c r="BG1338" s="332"/>
      <c r="BH1338" s="332"/>
      <c r="BI1338" s="332"/>
      <c r="BJ1338" s="332"/>
      <c r="BK1338" s="332"/>
      <c r="BL1338" s="332"/>
      <c r="BM1338" s="332"/>
      <c r="BN1338" s="332"/>
      <c r="BO1338" s="332"/>
      <c r="BP1338" s="332"/>
      <c r="BQ1338" s="332"/>
      <c r="BR1338" s="332"/>
      <c r="BS1338" s="332"/>
      <c r="BT1338" s="332"/>
      <c r="BU1338" s="332"/>
      <c r="BV1338" s="332"/>
      <c r="BW1338" s="332"/>
      <c r="BX1338" s="332"/>
      <c r="BY1338" s="332"/>
      <c r="BZ1338" s="332"/>
      <c r="CA1338" s="332"/>
      <c r="CB1338" s="332"/>
      <c r="CC1338" s="332"/>
      <c r="CD1338" s="332"/>
      <c r="CE1338" s="332"/>
      <c r="CF1338" s="332"/>
      <c r="CG1338" s="332"/>
      <c r="CH1338" s="332"/>
      <c r="CI1338" s="332"/>
      <c r="CJ1338" s="332"/>
      <c r="CK1338" s="332"/>
      <c r="CL1338" s="332"/>
      <c r="CM1338" s="332"/>
      <c r="CN1338" s="332"/>
      <c r="CO1338" s="332"/>
      <c r="CP1338" s="332"/>
      <c r="CQ1338" s="332"/>
      <c r="CR1338" s="332"/>
      <c r="CS1338" s="332"/>
      <c r="CT1338" s="332"/>
      <c r="CU1338" s="332"/>
      <c r="CV1338" s="332"/>
      <c r="CW1338" s="332"/>
      <c r="CX1338" s="332"/>
      <c r="CY1338" s="332"/>
      <c r="CZ1338" s="332"/>
      <c r="DA1338" s="332"/>
      <c r="DB1338" s="332"/>
      <c r="DC1338" s="332"/>
      <c r="DD1338" s="332"/>
      <c r="DE1338" s="332"/>
      <c r="DF1338" s="332"/>
      <c r="DG1338" s="332"/>
      <c r="DH1338" s="332"/>
      <c r="DI1338" s="332"/>
      <c r="DJ1338" s="332"/>
      <c r="DK1338" s="332"/>
      <c r="DL1338" s="332"/>
      <c r="DM1338" s="332"/>
      <c r="DN1338" s="332"/>
      <c r="DO1338" s="332"/>
      <c r="DP1338" s="332"/>
      <c r="DQ1338" s="332"/>
      <c r="DR1338" s="332"/>
      <c r="DS1338" s="332"/>
      <c r="DT1338" s="332"/>
      <c r="DU1338" s="453"/>
      <c r="DV1338" s="453"/>
      <c r="DW1338" s="453"/>
      <c r="DX1338" s="453"/>
      <c r="DY1338" s="453"/>
      <c r="DZ1338" s="453"/>
      <c r="EA1338" s="453"/>
      <c r="EB1338" s="453"/>
      <c r="EC1338" s="453"/>
      <c r="ED1338" s="453"/>
      <c r="EE1338" s="453"/>
      <c r="EF1338" s="453"/>
      <c r="EG1338" s="453"/>
      <c r="EH1338" s="453"/>
      <c r="EI1338" s="453"/>
      <c r="EJ1338" s="453"/>
      <c r="EK1338" s="453"/>
      <c r="EL1338" s="453"/>
      <c r="EM1338" s="483">
        <f t="shared" si="257"/>
        <v>1029</v>
      </c>
      <c r="EN1338" s="485"/>
      <c r="EO1338" s="458"/>
      <c r="EP1338" s="467"/>
      <c r="EQ1338" s="457"/>
      <c r="ER1338" s="808"/>
      <c r="ES1338" s="881">
        <f t="shared" si="262"/>
        <v>0</v>
      </c>
      <c r="ET1338" s="882"/>
      <c r="EU1338" s="883"/>
      <c r="EV1338" s="884">
        <f t="shared" si="263"/>
        <v>0</v>
      </c>
      <c r="EW1338" s="885"/>
      <c r="EX1338" s="885"/>
      <c r="EY1338" s="885"/>
      <c r="EZ1338" s="885"/>
      <c r="FA1338" s="885"/>
      <c r="FB1338" s="885"/>
      <c r="FC1338" s="885"/>
      <c r="FD1338" s="886"/>
      <c r="FE1338" s="877"/>
      <c r="FF1338" s="877"/>
      <c r="FG1338" s="877"/>
      <c r="FH1338" s="877"/>
      <c r="FI1338" s="877"/>
      <c r="FJ1338" s="877"/>
      <c r="FK1338" s="877"/>
      <c r="FL1338" s="874"/>
      <c r="FM1338" s="875"/>
      <c r="FN1338" s="875"/>
      <c r="FO1338" s="875"/>
      <c r="FP1338" s="875"/>
      <c r="FQ1338" s="875"/>
      <c r="FR1338" s="875"/>
      <c r="FS1338" s="875"/>
      <c r="FT1338" s="875"/>
      <c r="FU1338" s="875"/>
      <c r="FV1338" s="875"/>
      <c r="FW1338" s="875"/>
      <c r="FX1338" s="875"/>
      <c r="FY1338" s="875"/>
      <c r="FZ1338" s="875"/>
      <c r="GA1338" s="875"/>
      <c r="GB1338" s="876"/>
      <c r="GC1338" s="370"/>
      <c r="GD1338" s="453"/>
      <c r="GE1338" s="453"/>
      <c r="GF1338" s="453"/>
      <c r="GG1338" s="453"/>
      <c r="GH1338" s="454"/>
      <c r="GI1338" s="453"/>
      <c r="GJ1338" s="453"/>
      <c r="GK1338" s="453"/>
      <c r="GL1338" s="453"/>
      <c r="GM1338" s="453"/>
      <c r="GN1338" s="453"/>
      <c r="GO1338" s="453"/>
      <c r="GP1338" s="453"/>
      <c r="GQ1338" s="453"/>
      <c r="GR1338" s="453"/>
      <c r="GS1338" s="561"/>
      <c r="GT1338" s="475"/>
      <c r="GU1338" s="472"/>
      <c r="GV1338" s="453"/>
      <c r="GW1338" s="453"/>
      <c r="GX1338" s="869"/>
      <c r="GY1338" s="870"/>
      <c r="GZ1338" s="867"/>
      <c r="HA1338" s="868"/>
      <c r="HB1338" s="473"/>
      <c r="HC1338" s="869"/>
      <c r="HD1338" s="870"/>
      <c r="HE1338" s="867"/>
      <c r="HF1338" s="868"/>
      <c r="HG1338" s="473"/>
      <c r="HH1338" s="867"/>
      <c r="HI1338" s="868"/>
      <c r="HJ1338" s="867"/>
      <c r="HK1338" s="868"/>
      <c r="HL1338" s="370"/>
      <c r="HM1338" s="865"/>
      <c r="HN1338" s="866"/>
      <c r="HO1338" s="865"/>
      <c r="HP1338" s="866"/>
      <c r="HQ1338" s="865"/>
      <c r="HR1338" s="866"/>
      <c r="HS1338" s="867"/>
      <c r="HT1338" s="868"/>
      <c r="HU1338" s="489"/>
      <c r="HV1338" s="865"/>
      <c r="HW1338" s="866"/>
    </row>
    <row r="1339" spans="25:231" ht="15" customHeight="1">
      <c r="Y1339" s="332"/>
      <c r="Z1339" s="332"/>
      <c r="AA1339" s="332"/>
      <c r="AB1339" s="332"/>
      <c r="AC1339" s="332"/>
      <c r="AD1339" s="332"/>
      <c r="AE1339" s="332"/>
      <c r="AF1339" s="332"/>
      <c r="AG1339" s="332"/>
      <c r="AH1339" s="332"/>
      <c r="AI1339" s="332"/>
      <c r="AJ1339" s="332"/>
      <c r="AK1339" s="332"/>
      <c r="AL1339" s="332"/>
      <c r="AM1339" s="332"/>
      <c r="AN1339" s="332"/>
      <c r="AO1339" s="332"/>
      <c r="AP1339" s="332"/>
      <c r="AQ1339" s="332"/>
      <c r="AR1339" s="332"/>
      <c r="AS1339" s="332"/>
      <c r="AT1339" s="332"/>
      <c r="AU1339" s="332"/>
      <c r="AV1339" s="332"/>
      <c r="AW1339" s="332"/>
      <c r="AX1339" s="332"/>
      <c r="AY1339" s="332"/>
      <c r="AZ1339" s="332"/>
      <c r="BA1339" s="332"/>
      <c r="BB1339" s="332"/>
      <c r="BC1339" s="332"/>
      <c r="BD1339" s="332"/>
      <c r="BE1339" s="332"/>
      <c r="BF1339" s="332"/>
      <c r="BG1339" s="332"/>
      <c r="BH1339" s="332"/>
      <c r="BI1339" s="332"/>
      <c r="BJ1339" s="332"/>
      <c r="BK1339" s="332"/>
      <c r="BL1339" s="332"/>
      <c r="BM1339" s="332"/>
      <c r="BN1339" s="332"/>
      <c r="BO1339" s="332"/>
      <c r="BP1339" s="332"/>
      <c r="BQ1339" s="332"/>
      <c r="BR1339" s="332"/>
      <c r="BS1339" s="332"/>
      <c r="BT1339" s="332"/>
      <c r="BU1339" s="332"/>
      <c r="BV1339" s="332"/>
      <c r="BW1339" s="332"/>
      <c r="BX1339" s="332"/>
      <c r="BY1339" s="332"/>
      <c r="BZ1339" s="332"/>
      <c r="CA1339" s="332"/>
      <c r="CB1339" s="332"/>
      <c r="CC1339" s="332"/>
      <c r="CD1339" s="332"/>
      <c r="CE1339" s="332"/>
      <c r="CF1339" s="332"/>
      <c r="CG1339" s="332"/>
      <c r="CH1339" s="332"/>
      <c r="CI1339" s="332"/>
      <c r="CJ1339" s="332"/>
      <c r="CK1339" s="332"/>
      <c r="CL1339" s="332"/>
      <c r="CM1339" s="332"/>
      <c r="CN1339" s="332"/>
      <c r="CO1339" s="332"/>
      <c r="CP1339" s="332"/>
      <c r="CQ1339" s="332"/>
      <c r="CR1339" s="332"/>
      <c r="CS1339" s="332"/>
      <c r="CT1339" s="332"/>
      <c r="CU1339" s="332"/>
      <c r="CV1339" s="332"/>
      <c r="CW1339" s="332"/>
      <c r="CX1339" s="332"/>
      <c r="CY1339" s="332"/>
      <c r="CZ1339" s="332"/>
      <c r="DA1339" s="332"/>
      <c r="DB1339" s="332"/>
      <c r="DC1339" s="332"/>
      <c r="DD1339" s="332"/>
      <c r="DE1339" s="332"/>
      <c r="DF1339" s="332"/>
      <c r="DG1339" s="332"/>
      <c r="DH1339" s="332"/>
      <c r="DI1339" s="332"/>
      <c r="DJ1339" s="332"/>
      <c r="DK1339" s="332"/>
      <c r="DL1339" s="332"/>
      <c r="DM1339" s="332"/>
      <c r="DN1339" s="332"/>
      <c r="DO1339" s="332"/>
      <c r="DP1339" s="332"/>
      <c r="DQ1339" s="332"/>
      <c r="DR1339" s="332"/>
      <c r="DS1339" s="332"/>
      <c r="DT1339" s="332"/>
      <c r="DU1339" s="453"/>
      <c r="DV1339" s="453"/>
      <c r="DW1339" s="453"/>
      <c r="DX1339" s="453"/>
      <c r="DY1339" s="453"/>
      <c r="DZ1339" s="453"/>
      <c r="EA1339" s="453"/>
      <c r="EB1339" s="453"/>
      <c r="EC1339" s="453"/>
      <c r="ED1339" s="453"/>
      <c r="EE1339" s="453"/>
      <c r="EF1339" s="453"/>
      <c r="EG1339" s="453"/>
      <c r="EH1339" s="453"/>
      <c r="EI1339" s="453"/>
      <c r="EJ1339" s="453"/>
      <c r="EK1339" s="453"/>
      <c r="EL1339" s="453"/>
      <c r="EM1339" s="483">
        <f t="shared" si="257"/>
        <v>1030</v>
      </c>
      <c r="EN1339" s="485"/>
      <c r="EO1339" s="458"/>
      <c r="EP1339" s="467"/>
      <c r="EQ1339" s="457"/>
      <c r="ER1339" s="808"/>
      <c r="ES1339" s="881">
        <f t="shared" si="262"/>
        <v>0</v>
      </c>
      <c r="ET1339" s="882"/>
      <c r="EU1339" s="883"/>
      <c r="EV1339" s="884">
        <f t="shared" si="263"/>
        <v>0</v>
      </c>
      <c r="EW1339" s="885"/>
      <c r="EX1339" s="885"/>
      <c r="EY1339" s="885"/>
      <c r="EZ1339" s="885"/>
      <c r="FA1339" s="885"/>
      <c r="FB1339" s="885"/>
      <c r="FC1339" s="885"/>
      <c r="FD1339" s="886"/>
      <c r="FE1339" s="877"/>
      <c r="FF1339" s="877"/>
      <c r="FG1339" s="877"/>
      <c r="FH1339" s="877"/>
      <c r="FI1339" s="877"/>
      <c r="FJ1339" s="877"/>
      <c r="FK1339" s="877"/>
      <c r="FL1339" s="874"/>
      <c r="FM1339" s="875"/>
      <c r="FN1339" s="875"/>
      <c r="FO1339" s="875"/>
      <c r="FP1339" s="875"/>
      <c r="FQ1339" s="875"/>
      <c r="FR1339" s="875"/>
      <c r="FS1339" s="875"/>
      <c r="FT1339" s="875"/>
      <c r="FU1339" s="875"/>
      <c r="FV1339" s="875"/>
      <c r="FW1339" s="875"/>
      <c r="FX1339" s="875"/>
      <c r="FY1339" s="875"/>
      <c r="FZ1339" s="875"/>
      <c r="GA1339" s="875"/>
      <c r="GB1339" s="876"/>
      <c r="GC1339" s="370"/>
      <c r="GD1339" s="453"/>
      <c r="GE1339" s="453"/>
      <c r="GF1339" s="453"/>
      <c r="GG1339" s="453"/>
      <c r="GH1339" s="454"/>
      <c r="GI1339" s="453"/>
      <c r="GJ1339" s="453"/>
      <c r="GK1339" s="453"/>
      <c r="GL1339" s="453"/>
      <c r="GM1339" s="453"/>
      <c r="GN1339" s="453"/>
      <c r="GO1339" s="453"/>
      <c r="GP1339" s="453"/>
      <c r="GQ1339" s="453"/>
      <c r="GR1339" s="453"/>
      <c r="GS1339" s="561"/>
      <c r="GT1339" s="475"/>
      <c r="GU1339" s="472"/>
      <c r="GV1339" s="453"/>
      <c r="GW1339" s="453"/>
      <c r="GX1339" s="869"/>
      <c r="GY1339" s="870"/>
      <c r="GZ1339" s="867"/>
      <c r="HA1339" s="868"/>
      <c r="HB1339" s="473"/>
      <c r="HC1339" s="869"/>
      <c r="HD1339" s="870"/>
      <c r="HE1339" s="867"/>
      <c r="HF1339" s="868"/>
      <c r="HG1339" s="473"/>
      <c r="HH1339" s="867"/>
      <c r="HI1339" s="868"/>
      <c r="HJ1339" s="867"/>
      <c r="HK1339" s="868"/>
      <c r="HL1339" s="370"/>
      <c r="HM1339" s="865"/>
      <c r="HN1339" s="866"/>
      <c r="HO1339" s="865"/>
      <c r="HP1339" s="866"/>
      <c r="HQ1339" s="865"/>
      <c r="HR1339" s="866"/>
      <c r="HS1339" s="867"/>
      <c r="HT1339" s="868"/>
      <c r="HU1339" s="489"/>
      <c r="HV1339" s="865"/>
      <c r="HW1339" s="866"/>
    </row>
    <row r="1340" spans="25:231" ht="15" customHeight="1">
      <c r="Y1340" s="332"/>
      <c r="Z1340" s="332"/>
      <c r="AA1340" s="332"/>
      <c r="AB1340" s="332"/>
      <c r="AC1340" s="332"/>
      <c r="AD1340" s="332"/>
      <c r="AE1340" s="332"/>
      <c r="AF1340" s="332"/>
      <c r="AG1340" s="332"/>
      <c r="AH1340" s="332"/>
      <c r="AI1340" s="332"/>
      <c r="AJ1340" s="332"/>
      <c r="AK1340" s="332"/>
      <c r="AL1340" s="332"/>
      <c r="AM1340" s="332"/>
      <c r="AN1340" s="332"/>
      <c r="AO1340" s="332"/>
      <c r="AP1340" s="332"/>
      <c r="AQ1340" s="332"/>
      <c r="AR1340" s="332"/>
      <c r="AS1340" s="332"/>
      <c r="AT1340" s="332"/>
      <c r="AU1340" s="332"/>
      <c r="AV1340" s="332"/>
      <c r="AW1340" s="332"/>
      <c r="AX1340" s="332"/>
      <c r="AY1340" s="332"/>
      <c r="AZ1340" s="332"/>
      <c r="BA1340" s="332"/>
      <c r="BB1340" s="332"/>
      <c r="BC1340" s="332"/>
      <c r="BD1340" s="332"/>
      <c r="BE1340" s="332"/>
      <c r="BF1340" s="332"/>
      <c r="BG1340" s="332"/>
      <c r="BH1340" s="332"/>
      <c r="BI1340" s="332"/>
      <c r="BJ1340" s="332"/>
      <c r="BK1340" s="332"/>
      <c r="BL1340" s="332"/>
      <c r="BM1340" s="332"/>
      <c r="BN1340" s="332"/>
      <c r="BO1340" s="332"/>
      <c r="BP1340" s="332"/>
      <c r="BQ1340" s="332"/>
      <c r="BR1340" s="332"/>
      <c r="BS1340" s="332"/>
      <c r="BT1340" s="332"/>
      <c r="BU1340" s="332"/>
      <c r="BV1340" s="332"/>
      <c r="BW1340" s="332"/>
      <c r="BX1340" s="332"/>
      <c r="BY1340" s="332"/>
      <c r="BZ1340" s="332"/>
      <c r="CA1340" s="332"/>
      <c r="CB1340" s="332"/>
      <c r="CC1340" s="332"/>
      <c r="CD1340" s="332"/>
      <c r="CE1340" s="332"/>
      <c r="CF1340" s="332"/>
      <c r="CG1340" s="332"/>
      <c r="CH1340" s="332"/>
      <c r="CI1340" s="332"/>
      <c r="CJ1340" s="332"/>
      <c r="CK1340" s="332"/>
      <c r="CL1340" s="332"/>
      <c r="CM1340" s="332"/>
      <c r="CN1340" s="332"/>
      <c r="CO1340" s="332"/>
      <c r="CP1340" s="332"/>
      <c r="CQ1340" s="332"/>
      <c r="CR1340" s="332"/>
      <c r="CS1340" s="332"/>
      <c r="CT1340" s="332"/>
      <c r="CU1340" s="332"/>
      <c r="CV1340" s="332"/>
      <c r="CW1340" s="332"/>
      <c r="CX1340" s="332"/>
      <c r="CY1340" s="332"/>
      <c r="CZ1340" s="332"/>
      <c r="DA1340" s="332"/>
      <c r="DB1340" s="332"/>
      <c r="DC1340" s="332"/>
      <c r="DD1340" s="332"/>
      <c r="DE1340" s="332"/>
      <c r="DF1340" s="332"/>
      <c r="DG1340" s="332"/>
      <c r="DH1340" s="332"/>
      <c r="DI1340" s="332"/>
      <c r="DJ1340" s="332"/>
      <c r="DK1340" s="332"/>
      <c r="DL1340" s="332"/>
      <c r="DM1340" s="332"/>
      <c r="DN1340" s="332"/>
      <c r="DO1340" s="332"/>
      <c r="DP1340" s="332"/>
      <c r="DQ1340" s="332"/>
      <c r="DR1340" s="332"/>
      <c r="DS1340" s="332"/>
      <c r="DT1340" s="332"/>
      <c r="DU1340" s="453"/>
      <c r="DV1340" s="453"/>
      <c r="DW1340" s="453"/>
      <c r="DX1340" s="453"/>
      <c r="DY1340" s="453"/>
      <c r="DZ1340" s="453"/>
      <c r="EA1340" s="453"/>
      <c r="EB1340" s="453"/>
      <c r="EC1340" s="453"/>
      <c r="ED1340" s="453"/>
      <c r="EE1340" s="453"/>
      <c r="EF1340" s="453"/>
      <c r="EG1340" s="453"/>
      <c r="EH1340" s="453"/>
      <c r="EI1340" s="453"/>
      <c r="EJ1340" s="453"/>
      <c r="EK1340" s="453"/>
      <c r="EL1340" s="453"/>
      <c r="EM1340" s="483">
        <f t="shared" si="257"/>
        <v>1031</v>
      </c>
      <c r="EN1340" s="485"/>
      <c r="EO1340" s="458"/>
      <c r="EP1340" s="467"/>
      <c r="EQ1340" s="457"/>
      <c r="ER1340" s="808"/>
      <c r="ES1340" s="881">
        <f t="shared" si="262"/>
        <v>0</v>
      </c>
      <c r="ET1340" s="882"/>
      <c r="EU1340" s="883"/>
      <c r="EV1340" s="884">
        <f t="shared" si="263"/>
        <v>0</v>
      </c>
      <c r="EW1340" s="885"/>
      <c r="EX1340" s="885"/>
      <c r="EY1340" s="885"/>
      <c r="EZ1340" s="885"/>
      <c r="FA1340" s="885"/>
      <c r="FB1340" s="885"/>
      <c r="FC1340" s="885"/>
      <c r="FD1340" s="886"/>
      <c r="FE1340" s="877"/>
      <c r="FF1340" s="877"/>
      <c r="FG1340" s="877"/>
      <c r="FH1340" s="877"/>
      <c r="FI1340" s="877"/>
      <c r="FJ1340" s="877"/>
      <c r="FK1340" s="877"/>
      <c r="FL1340" s="874"/>
      <c r="FM1340" s="875"/>
      <c r="FN1340" s="875"/>
      <c r="FO1340" s="875"/>
      <c r="FP1340" s="875"/>
      <c r="FQ1340" s="875"/>
      <c r="FR1340" s="875"/>
      <c r="FS1340" s="875"/>
      <c r="FT1340" s="875"/>
      <c r="FU1340" s="875"/>
      <c r="FV1340" s="875"/>
      <c r="FW1340" s="875"/>
      <c r="FX1340" s="875"/>
      <c r="FY1340" s="875"/>
      <c r="FZ1340" s="875"/>
      <c r="GA1340" s="875"/>
      <c r="GB1340" s="876"/>
      <c r="GC1340" s="370"/>
      <c r="GD1340" s="453"/>
      <c r="GE1340" s="453"/>
      <c r="GF1340" s="453"/>
      <c r="GG1340" s="453"/>
      <c r="GH1340" s="454"/>
      <c r="GI1340" s="453"/>
      <c r="GJ1340" s="453"/>
      <c r="GK1340" s="453"/>
      <c r="GL1340" s="453"/>
      <c r="GM1340" s="453"/>
      <c r="GN1340" s="453"/>
      <c r="GO1340" s="453"/>
      <c r="GP1340" s="453"/>
      <c r="GQ1340" s="453"/>
      <c r="GR1340" s="453"/>
      <c r="GS1340" s="561"/>
      <c r="GT1340" s="475"/>
      <c r="GU1340" s="472"/>
      <c r="GV1340" s="453"/>
      <c r="GW1340" s="453"/>
      <c r="GX1340" s="869"/>
      <c r="GY1340" s="870"/>
      <c r="GZ1340" s="867"/>
      <c r="HA1340" s="868"/>
      <c r="HB1340" s="473"/>
      <c r="HC1340" s="869"/>
      <c r="HD1340" s="870"/>
      <c r="HE1340" s="867"/>
      <c r="HF1340" s="868"/>
      <c r="HG1340" s="473"/>
      <c r="HH1340" s="867"/>
      <c r="HI1340" s="868"/>
      <c r="HJ1340" s="867"/>
      <c r="HK1340" s="868"/>
      <c r="HL1340" s="370"/>
      <c r="HM1340" s="865"/>
      <c r="HN1340" s="866"/>
      <c r="HO1340" s="865"/>
      <c r="HP1340" s="866"/>
      <c r="HQ1340" s="865"/>
      <c r="HR1340" s="866"/>
      <c r="HS1340" s="867"/>
      <c r="HT1340" s="868"/>
      <c r="HU1340" s="489"/>
      <c r="HV1340" s="865"/>
      <c r="HW1340" s="866"/>
    </row>
    <row r="1341" spans="25:231" ht="15" customHeight="1">
      <c r="Y1341" s="332"/>
      <c r="Z1341" s="332"/>
      <c r="AA1341" s="332"/>
      <c r="AB1341" s="332"/>
      <c r="AC1341" s="332"/>
      <c r="AD1341" s="332"/>
      <c r="AE1341" s="332"/>
      <c r="AF1341" s="332"/>
      <c r="AG1341" s="332"/>
      <c r="AH1341" s="332"/>
      <c r="AI1341" s="332"/>
      <c r="AJ1341" s="332"/>
      <c r="AK1341" s="332"/>
      <c r="AL1341" s="332"/>
      <c r="AM1341" s="332"/>
      <c r="AN1341" s="332"/>
      <c r="AO1341" s="332"/>
      <c r="AP1341" s="332"/>
      <c r="AQ1341" s="332"/>
      <c r="AR1341" s="332"/>
      <c r="AS1341" s="332"/>
      <c r="AT1341" s="332"/>
      <c r="AU1341" s="332"/>
      <c r="AV1341" s="332"/>
      <c r="AW1341" s="332"/>
      <c r="AX1341" s="332"/>
      <c r="AY1341" s="332"/>
      <c r="AZ1341" s="332"/>
      <c r="BA1341" s="332"/>
      <c r="BB1341" s="332"/>
      <c r="BC1341" s="332"/>
      <c r="BD1341" s="332"/>
      <c r="BE1341" s="332"/>
      <c r="BF1341" s="332"/>
      <c r="BG1341" s="332"/>
      <c r="BH1341" s="332"/>
      <c r="BI1341" s="332"/>
      <c r="BJ1341" s="332"/>
      <c r="BK1341" s="332"/>
      <c r="BL1341" s="332"/>
      <c r="BM1341" s="332"/>
      <c r="BN1341" s="332"/>
      <c r="BO1341" s="332"/>
      <c r="BP1341" s="332"/>
      <c r="BQ1341" s="332"/>
      <c r="BR1341" s="332"/>
      <c r="BS1341" s="332"/>
      <c r="BT1341" s="332"/>
      <c r="BU1341" s="332"/>
      <c r="BV1341" s="332"/>
      <c r="BW1341" s="332"/>
      <c r="BX1341" s="332"/>
      <c r="BY1341" s="332"/>
      <c r="BZ1341" s="332"/>
      <c r="CA1341" s="332"/>
      <c r="CB1341" s="332"/>
      <c r="CC1341" s="332"/>
      <c r="CD1341" s="332"/>
      <c r="CE1341" s="332"/>
      <c r="CF1341" s="332"/>
      <c r="CG1341" s="332"/>
      <c r="CH1341" s="332"/>
      <c r="CI1341" s="332"/>
      <c r="CJ1341" s="332"/>
      <c r="CK1341" s="332"/>
      <c r="CL1341" s="332"/>
      <c r="CM1341" s="332"/>
      <c r="CN1341" s="332"/>
      <c r="CO1341" s="332"/>
      <c r="CP1341" s="332"/>
      <c r="CQ1341" s="332"/>
      <c r="CR1341" s="332"/>
      <c r="CS1341" s="332"/>
      <c r="CT1341" s="332"/>
      <c r="CU1341" s="332"/>
      <c r="CV1341" s="332"/>
      <c r="CW1341" s="332"/>
      <c r="CX1341" s="332"/>
      <c r="CY1341" s="332"/>
      <c r="CZ1341" s="332"/>
      <c r="DA1341" s="332"/>
      <c r="DB1341" s="332"/>
      <c r="DC1341" s="332"/>
      <c r="DD1341" s="332"/>
      <c r="DE1341" s="332"/>
      <c r="DF1341" s="332"/>
      <c r="DG1341" s="332"/>
      <c r="DH1341" s="332"/>
      <c r="DI1341" s="332"/>
      <c r="DJ1341" s="332"/>
      <c r="DK1341" s="332"/>
      <c r="DL1341" s="332"/>
      <c r="DM1341" s="332"/>
      <c r="DN1341" s="332"/>
      <c r="DO1341" s="332"/>
      <c r="DP1341" s="332"/>
      <c r="DQ1341" s="332"/>
      <c r="DR1341" s="332"/>
      <c r="DS1341" s="332"/>
      <c r="DT1341" s="332"/>
      <c r="DU1341" s="453"/>
      <c r="DV1341" s="453"/>
      <c r="DW1341" s="453"/>
      <c r="DX1341" s="453"/>
      <c r="DY1341" s="453"/>
      <c r="DZ1341" s="453"/>
      <c r="EA1341" s="453"/>
      <c r="EB1341" s="453"/>
      <c r="EC1341" s="453"/>
      <c r="ED1341" s="453"/>
      <c r="EE1341" s="453"/>
      <c r="EF1341" s="453"/>
      <c r="EG1341" s="453"/>
      <c r="EH1341" s="453"/>
      <c r="EI1341" s="453"/>
      <c r="EJ1341" s="453"/>
      <c r="EK1341" s="453"/>
      <c r="EL1341" s="453"/>
      <c r="EM1341" s="483">
        <f t="shared" si="257"/>
        <v>1032</v>
      </c>
      <c r="EN1341" s="485"/>
      <c r="EO1341" s="458"/>
      <c r="EP1341" s="467"/>
      <c r="EQ1341" s="457"/>
      <c r="ER1341" s="808"/>
      <c r="ES1341" s="881">
        <f t="shared" si="262"/>
        <v>0</v>
      </c>
      <c r="ET1341" s="882"/>
      <c r="EU1341" s="883"/>
      <c r="EV1341" s="884">
        <f t="shared" si="263"/>
        <v>0</v>
      </c>
      <c r="EW1341" s="885"/>
      <c r="EX1341" s="885"/>
      <c r="EY1341" s="885"/>
      <c r="EZ1341" s="885"/>
      <c r="FA1341" s="885"/>
      <c r="FB1341" s="885"/>
      <c r="FC1341" s="885"/>
      <c r="FD1341" s="886"/>
      <c r="FE1341" s="877"/>
      <c r="FF1341" s="877"/>
      <c r="FG1341" s="877"/>
      <c r="FH1341" s="877"/>
      <c r="FI1341" s="877"/>
      <c r="FJ1341" s="877"/>
      <c r="FK1341" s="877"/>
      <c r="FL1341" s="874"/>
      <c r="FM1341" s="875"/>
      <c r="FN1341" s="875"/>
      <c r="FO1341" s="875"/>
      <c r="FP1341" s="875"/>
      <c r="FQ1341" s="875"/>
      <c r="FR1341" s="875"/>
      <c r="FS1341" s="875"/>
      <c r="FT1341" s="875"/>
      <c r="FU1341" s="875"/>
      <c r="FV1341" s="875"/>
      <c r="FW1341" s="875"/>
      <c r="FX1341" s="875"/>
      <c r="FY1341" s="875"/>
      <c r="FZ1341" s="875"/>
      <c r="GA1341" s="875"/>
      <c r="GB1341" s="876"/>
      <c r="GC1341" s="370"/>
      <c r="GD1341" s="453"/>
      <c r="GE1341" s="453"/>
      <c r="GF1341" s="453"/>
      <c r="GG1341" s="453"/>
      <c r="GH1341" s="454"/>
      <c r="GI1341" s="453"/>
      <c r="GJ1341" s="453"/>
      <c r="GK1341" s="453"/>
      <c r="GL1341" s="453"/>
      <c r="GM1341" s="453"/>
      <c r="GN1341" s="453"/>
      <c r="GO1341" s="453"/>
      <c r="GP1341" s="453"/>
      <c r="GQ1341" s="453"/>
      <c r="GR1341" s="453"/>
      <c r="GS1341" s="561"/>
      <c r="GT1341" s="475"/>
      <c r="GU1341" s="472"/>
      <c r="GV1341" s="453"/>
      <c r="GW1341" s="453"/>
      <c r="GX1341" s="869"/>
      <c r="GY1341" s="870"/>
      <c r="GZ1341" s="867"/>
      <c r="HA1341" s="868"/>
      <c r="HB1341" s="473"/>
      <c r="HC1341" s="869"/>
      <c r="HD1341" s="870"/>
      <c r="HE1341" s="867"/>
      <c r="HF1341" s="868"/>
      <c r="HG1341" s="473"/>
      <c r="HH1341" s="867"/>
      <c r="HI1341" s="868"/>
      <c r="HJ1341" s="867"/>
      <c r="HK1341" s="868"/>
      <c r="HL1341" s="370"/>
      <c r="HM1341" s="865"/>
      <c r="HN1341" s="866"/>
      <c r="HO1341" s="865"/>
      <c r="HP1341" s="866"/>
      <c r="HQ1341" s="865"/>
      <c r="HR1341" s="866"/>
      <c r="HS1341" s="867"/>
      <c r="HT1341" s="868"/>
      <c r="HU1341" s="489"/>
      <c r="HV1341" s="865"/>
      <c r="HW1341" s="866"/>
    </row>
    <row r="1342" spans="25:231" ht="15" customHeight="1">
      <c r="Y1342" s="332"/>
      <c r="Z1342" s="332"/>
      <c r="AA1342" s="332"/>
      <c r="AB1342" s="332"/>
      <c r="AC1342" s="332"/>
      <c r="AD1342" s="332"/>
      <c r="AE1342" s="332"/>
      <c r="AF1342" s="332"/>
      <c r="AG1342" s="332"/>
      <c r="AH1342" s="332"/>
      <c r="AI1342" s="332"/>
      <c r="AJ1342" s="332"/>
      <c r="AK1342" s="332"/>
      <c r="AL1342" s="332"/>
      <c r="AM1342" s="332"/>
      <c r="AN1342" s="332"/>
      <c r="AO1342" s="332"/>
      <c r="AP1342" s="332"/>
      <c r="AQ1342" s="332"/>
      <c r="AR1342" s="332"/>
      <c r="AS1342" s="332"/>
      <c r="AT1342" s="332"/>
      <c r="AU1342" s="332"/>
      <c r="AV1342" s="332"/>
      <c r="AW1342" s="332"/>
      <c r="AX1342" s="332"/>
      <c r="AY1342" s="332"/>
      <c r="AZ1342" s="332"/>
      <c r="BA1342" s="332"/>
      <c r="BB1342" s="332"/>
      <c r="BC1342" s="332"/>
      <c r="BD1342" s="332"/>
      <c r="BE1342" s="332"/>
      <c r="BF1342" s="332"/>
      <c r="BG1342" s="332"/>
      <c r="BH1342" s="332"/>
      <c r="BI1342" s="332"/>
      <c r="BJ1342" s="332"/>
      <c r="BK1342" s="332"/>
      <c r="BL1342" s="332"/>
      <c r="BM1342" s="332"/>
      <c r="BN1342" s="332"/>
      <c r="BO1342" s="332"/>
      <c r="BP1342" s="332"/>
      <c r="BQ1342" s="332"/>
      <c r="BR1342" s="332"/>
      <c r="BS1342" s="332"/>
      <c r="BT1342" s="332"/>
      <c r="BU1342" s="332"/>
      <c r="BV1342" s="332"/>
      <c r="BW1342" s="332"/>
      <c r="BX1342" s="332"/>
      <c r="BY1342" s="332"/>
      <c r="BZ1342" s="332"/>
      <c r="CA1342" s="332"/>
      <c r="CB1342" s="332"/>
      <c r="CC1342" s="332"/>
      <c r="CD1342" s="332"/>
      <c r="CE1342" s="332"/>
      <c r="CF1342" s="332"/>
      <c r="CG1342" s="332"/>
      <c r="CH1342" s="332"/>
      <c r="CI1342" s="332"/>
      <c r="CJ1342" s="332"/>
      <c r="CK1342" s="332"/>
      <c r="CL1342" s="332"/>
      <c r="CM1342" s="332"/>
      <c r="CN1342" s="332"/>
      <c r="CO1342" s="332"/>
      <c r="CP1342" s="332"/>
      <c r="CQ1342" s="332"/>
      <c r="CR1342" s="332"/>
      <c r="CS1342" s="332"/>
      <c r="CT1342" s="332"/>
      <c r="CU1342" s="332"/>
      <c r="CV1342" s="332"/>
      <c r="CW1342" s="332"/>
      <c r="CX1342" s="332"/>
      <c r="CY1342" s="332"/>
      <c r="CZ1342" s="332"/>
      <c r="DA1342" s="332"/>
      <c r="DB1342" s="332"/>
      <c r="DC1342" s="332"/>
      <c r="DD1342" s="332"/>
      <c r="DE1342" s="332"/>
      <c r="DF1342" s="332"/>
      <c r="DG1342" s="332"/>
      <c r="DH1342" s="332"/>
      <c r="DI1342" s="332"/>
      <c r="DJ1342" s="332"/>
      <c r="DK1342" s="332"/>
      <c r="DL1342" s="332"/>
      <c r="DM1342" s="332"/>
      <c r="DN1342" s="332"/>
      <c r="DO1342" s="332"/>
      <c r="DP1342" s="332"/>
      <c r="DQ1342" s="332"/>
      <c r="DR1342" s="332"/>
      <c r="DS1342" s="332"/>
      <c r="DT1342" s="332"/>
      <c r="DU1342" s="453"/>
      <c r="DV1342" s="453"/>
      <c r="DW1342" s="453"/>
      <c r="DX1342" s="453"/>
      <c r="DY1342" s="453"/>
      <c r="DZ1342" s="453"/>
      <c r="EA1342" s="453"/>
      <c r="EB1342" s="453"/>
      <c r="EC1342" s="453"/>
      <c r="ED1342" s="453"/>
      <c r="EE1342" s="453"/>
      <c r="EF1342" s="453"/>
      <c r="EG1342" s="453"/>
      <c r="EH1342" s="453"/>
      <c r="EI1342" s="453"/>
      <c r="EJ1342" s="453"/>
      <c r="EK1342" s="453"/>
      <c r="EL1342" s="453"/>
      <c r="EM1342" s="483">
        <f t="shared" si="257"/>
        <v>1033</v>
      </c>
      <c r="EN1342" s="485"/>
      <c r="EO1342" s="458"/>
      <c r="EP1342" s="467"/>
      <c r="EQ1342" s="457"/>
      <c r="ER1342" s="808"/>
      <c r="ES1342" s="881">
        <f t="shared" si="262"/>
        <v>0</v>
      </c>
      <c r="ET1342" s="882"/>
      <c r="EU1342" s="883"/>
      <c r="EV1342" s="884">
        <f t="shared" si="263"/>
        <v>0</v>
      </c>
      <c r="EW1342" s="885"/>
      <c r="EX1342" s="885"/>
      <c r="EY1342" s="885"/>
      <c r="EZ1342" s="885"/>
      <c r="FA1342" s="885"/>
      <c r="FB1342" s="885"/>
      <c r="FC1342" s="885"/>
      <c r="FD1342" s="886"/>
      <c r="FE1342" s="877"/>
      <c r="FF1342" s="877"/>
      <c r="FG1342" s="877"/>
      <c r="FH1342" s="877"/>
      <c r="FI1342" s="877"/>
      <c r="FJ1342" s="877"/>
      <c r="FK1342" s="877"/>
      <c r="FL1342" s="874"/>
      <c r="FM1342" s="875"/>
      <c r="FN1342" s="875"/>
      <c r="FO1342" s="875"/>
      <c r="FP1342" s="875"/>
      <c r="FQ1342" s="875"/>
      <c r="FR1342" s="875"/>
      <c r="FS1342" s="875"/>
      <c r="FT1342" s="875"/>
      <c r="FU1342" s="875"/>
      <c r="FV1342" s="875"/>
      <c r="FW1342" s="875"/>
      <c r="FX1342" s="875"/>
      <c r="FY1342" s="875"/>
      <c r="FZ1342" s="875"/>
      <c r="GA1342" s="875"/>
      <c r="GB1342" s="876"/>
      <c r="GC1342" s="370"/>
      <c r="GD1342" s="453"/>
      <c r="GE1342" s="453"/>
      <c r="GF1342" s="453"/>
      <c r="GG1342" s="453"/>
      <c r="GH1342" s="454"/>
      <c r="GI1342" s="453"/>
      <c r="GJ1342" s="453"/>
      <c r="GK1342" s="453"/>
      <c r="GL1342" s="453"/>
      <c r="GM1342" s="453"/>
      <c r="GN1342" s="453"/>
      <c r="GO1342" s="453"/>
      <c r="GP1342" s="453"/>
      <c r="GQ1342" s="453"/>
      <c r="GR1342" s="453"/>
      <c r="GS1342" s="561"/>
      <c r="GT1342" s="475"/>
      <c r="GU1342" s="472"/>
      <c r="GV1342" s="453"/>
      <c r="GW1342" s="453"/>
      <c r="GX1342" s="869"/>
      <c r="GY1342" s="870"/>
      <c r="GZ1342" s="867"/>
      <c r="HA1342" s="868"/>
      <c r="HB1342" s="473"/>
      <c r="HC1342" s="869"/>
      <c r="HD1342" s="870"/>
      <c r="HE1342" s="867"/>
      <c r="HF1342" s="868"/>
      <c r="HG1342" s="473"/>
      <c r="HH1342" s="867"/>
      <c r="HI1342" s="868"/>
      <c r="HJ1342" s="867"/>
      <c r="HK1342" s="868"/>
      <c r="HL1342" s="370"/>
      <c r="HM1342" s="865"/>
      <c r="HN1342" s="866"/>
      <c r="HO1342" s="865"/>
      <c r="HP1342" s="866"/>
      <c r="HQ1342" s="865"/>
      <c r="HR1342" s="866"/>
      <c r="HS1342" s="867"/>
      <c r="HT1342" s="868"/>
      <c r="HU1342" s="489"/>
      <c r="HV1342" s="865"/>
      <c r="HW1342" s="866"/>
    </row>
    <row r="1343" spans="25:231" ht="15" customHeight="1">
      <c r="Y1343" s="332"/>
      <c r="Z1343" s="332"/>
      <c r="AA1343" s="332"/>
      <c r="AB1343" s="332"/>
      <c r="AC1343" s="332"/>
      <c r="AD1343" s="332"/>
      <c r="AE1343" s="332"/>
      <c r="AF1343" s="332"/>
      <c r="AG1343" s="332"/>
      <c r="AH1343" s="332"/>
      <c r="AI1343" s="332"/>
      <c r="AJ1343" s="332"/>
      <c r="AK1343" s="332"/>
      <c r="AL1343" s="332"/>
      <c r="AM1343" s="332"/>
      <c r="AN1343" s="332"/>
      <c r="AO1343" s="332"/>
      <c r="AP1343" s="332"/>
      <c r="AQ1343" s="332"/>
      <c r="AR1343" s="332"/>
      <c r="AS1343" s="332"/>
      <c r="AT1343" s="332"/>
      <c r="AU1343" s="332"/>
      <c r="AV1343" s="332"/>
      <c r="AW1343" s="332"/>
      <c r="AX1343" s="332"/>
      <c r="AY1343" s="332"/>
      <c r="AZ1343" s="332"/>
      <c r="BA1343" s="332"/>
      <c r="BB1343" s="332"/>
      <c r="BC1343" s="332"/>
      <c r="BD1343" s="332"/>
      <c r="BE1343" s="332"/>
      <c r="BF1343" s="332"/>
      <c r="BG1343" s="332"/>
      <c r="BH1343" s="332"/>
      <c r="BI1343" s="332"/>
      <c r="BJ1343" s="332"/>
      <c r="BK1343" s="332"/>
      <c r="BL1343" s="332"/>
      <c r="BM1343" s="332"/>
      <c r="BN1343" s="332"/>
      <c r="BO1343" s="332"/>
      <c r="BP1343" s="332"/>
      <c r="BQ1343" s="332"/>
      <c r="BR1343" s="332"/>
      <c r="BS1343" s="332"/>
      <c r="BT1343" s="332"/>
      <c r="BU1343" s="332"/>
      <c r="BV1343" s="332"/>
      <c r="BW1343" s="332"/>
      <c r="BX1343" s="332"/>
      <c r="BY1343" s="332"/>
      <c r="BZ1343" s="332"/>
      <c r="CA1343" s="332"/>
      <c r="CB1343" s="332"/>
      <c r="CC1343" s="332"/>
      <c r="CD1343" s="332"/>
      <c r="CE1343" s="332"/>
      <c r="CF1343" s="332"/>
      <c r="CG1343" s="332"/>
      <c r="CH1343" s="332"/>
      <c r="CI1343" s="332"/>
      <c r="CJ1343" s="332"/>
      <c r="CK1343" s="332"/>
      <c r="CL1343" s="332"/>
      <c r="CM1343" s="332"/>
      <c r="CN1343" s="332"/>
      <c r="CO1343" s="332"/>
      <c r="CP1343" s="332"/>
      <c r="CQ1343" s="332"/>
      <c r="CR1343" s="332"/>
      <c r="CS1343" s="332"/>
      <c r="CT1343" s="332"/>
      <c r="CU1343" s="332"/>
      <c r="CV1343" s="332"/>
      <c r="CW1343" s="332"/>
      <c r="CX1343" s="332"/>
      <c r="CY1343" s="332"/>
      <c r="CZ1343" s="332"/>
      <c r="DA1343" s="332"/>
      <c r="DB1343" s="332"/>
      <c r="DC1343" s="332"/>
      <c r="DD1343" s="332"/>
      <c r="DE1343" s="332"/>
      <c r="DF1343" s="332"/>
      <c r="DG1343" s="332"/>
      <c r="DH1343" s="332"/>
      <c r="DI1343" s="332"/>
      <c r="DJ1343" s="332"/>
      <c r="DK1343" s="332"/>
      <c r="DL1343" s="332"/>
      <c r="DM1343" s="332"/>
      <c r="DN1343" s="332"/>
      <c r="DO1343" s="332"/>
      <c r="DP1343" s="332"/>
      <c r="DQ1343" s="332"/>
      <c r="DR1343" s="332"/>
      <c r="DS1343" s="332"/>
      <c r="DT1343" s="332"/>
      <c r="DU1343" s="453"/>
      <c r="DV1343" s="453"/>
      <c r="DW1343" s="453"/>
      <c r="DX1343" s="453"/>
      <c r="DY1343" s="453"/>
      <c r="DZ1343" s="453"/>
      <c r="EA1343" s="453"/>
      <c r="EB1343" s="453"/>
      <c r="EC1343" s="453"/>
      <c r="ED1343" s="453"/>
      <c r="EE1343" s="453"/>
      <c r="EF1343" s="453"/>
      <c r="EG1343" s="453"/>
      <c r="EH1343" s="453"/>
      <c r="EI1343" s="453"/>
      <c r="EJ1343" s="453"/>
      <c r="EK1343" s="453"/>
      <c r="EL1343" s="453"/>
      <c r="EM1343" s="483">
        <f t="shared" si="257"/>
        <v>1034</v>
      </c>
      <c r="EN1343" s="485"/>
      <c r="EO1343" s="458"/>
      <c r="EP1343" s="467"/>
      <c r="EQ1343" s="457"/>
      <c r="ER1343" s="808"/>
      <c r="ES1343" s="881">
        <f t="shared" si="262"/>
        <v>0</v>
      </c>
      <c r="ET1343" s="882"/>
      <c r="EU1343" s="883"/>
      <c r="EV1343" s="884">
        <f t="shared" si="263"/>
        <v>0</v>
      </c>
      <c r="EW1343" s="885"/>
      <c r="EX1343" s="885"/>
      <c r="EY1343" s="885"/>
      <c r="EZ1343" s="885"/>
      <c r="FA1343" s="885"/>
      <c r="FB1343" s="885"/>
      <c r="FC1343" s="885"/>
      <c r="FD1343" s="886"/>
      <c r="FE1343" s="877"/>
      <c r="FF1343" s="877"/>
      <c r="FG1343" s="877"/>
      <c r="FH1343" s="877"/>
      <c r="FI1343" s="877"/>
      <c r="FJ1343" s="877"/>
      <c r="FK1343" s="877"/>
      <c r="FL1343" s="874"/>
      <c r="FM1343" s="875"/>
      <c r="FN1343" s="875"/>
      <c r="FO1343" s="875"/>
      <c r="FP1343" s="875"/>
      <c r="FQ1343" s="875"/>
      <c r="FR1343" s="875"/>
      <c r="FS1343" s="875"/>
      <c r="FT1343" s="875"/>
      <c r="FU1343" s="875"/>
      <c r="FV1343" s="875"/>
      <c r="FW1343" s="875"/>
      <c r="FX1343" s="875"/>
      <c r="FY1343" s="875"/>
      <c r="FZ1343" s="875"/>
      <c r="GA1343" s="875"/>
      <c r="GB1343" s="876"/>
      <c r="GC1343" s="370"/>
      <c r="GD1343" s="453"/>
      <c r="GE1343" s="453"/>
      <c r="GF1343" s="453"/>
      <c r="GG1343" s="453"/>
      <c r="GH1343" s="454"/>
      <c r="GI1343" s="453"/>
      <c r="GJ1343" s="453"/>
      <c r="GK1343" s="453"/>
      <c r="GL1343" s="453"/>
      <c r="GM1343" s="453"/>
      <c r="GN1343" s="453"/>
      <c r="GO1343" s="453"/>
      <c r="GP1343" s="453"/>
      <c r="GQ1343" s="453"/>
      <c r="GR1343" s="453"/>
      <c r="GS1343" s="561"/>
      <c r="GT1343" s="475"/>
      <c r="GU1343" s="472"/>
      <c r="GV1343" s="453"/>
      <c r="GW1343" s="453"/>
      <c r="GX1343" s="869"/>
      <c r="GY1343" s="870"/>
      <c r="GZ1343" s="867"/>
      <c r="HA1343" s="868"/>
      <c r="HB1343" s="473"/>
      <c r="HC1343" s="869"/>
      <c r="HD1343" s="870"/>
      <c r="HE1343" s="867"/>
      <c r="HF1343" s="868"/>
      <c r="HG1343" s="473"/>
      <c r="HH1343" s="867"/>
      <c r="HI1343" s="868"/>
      <c r="HJ1343" s="867"/>
      <c r="HK1343" s="868"/>
      <c r="HL1343" s="370"/>
      <c r="HM1343" s="865"/>
      <c r="HN1343" s="866"/>
      <c r="HO1343" s="865"/>
      <c r="HP1343" s="866"/>
      <c r="HQ1343" s="865"/>
      <c r="HR1343" s="866"/>
      <c r="HS1343" s="867"/>
      <c r="HT1343" s="868"/>
      <c r="HU1343" s="489"/>
      <c r="HV1343" s="865"/>
      <c r="HW1343" s="866"/>
    </row>
    <row r="1344" spans="25:231" ht="15" customHeight="1">
      <c r="Y1344" s="332"/>
      <c r="Z1344" s="332"/>
      <c r="AA1344" s="332"/>
      <c r="AB1344" s="332"/>
      <c r="AC1344" s="332"/>
      <c r="AD1344" s="332"/>
      <c r="AE1344" s="332"/>
      <c r="AF1344" s="332"/>
      <c r="AG1344" s="332"/>
      <c r="AH1344" s="332"/>
      <c r="AI1344" s="332"/>
      <c r="AJ1344" s="332"/>
      <c r="AK1344" s="332"/>
      <c r="AL1344" s="332"/>
      <c r="AM1344" s="332"/>
      <c r="AN1344" s="332"/>
      <c r="AO1344" s="332"/>
      <c r="AP1344" s="332"/>
      <c r="AQ1344" s="332"/>
      <c r="AR1344" s="332"/>
      <c r="AS1344" s="332"/>
      <c r="AT1344" s="332"/>
      <c r="AU1344" s="332"/>
      <c r="AV1344" s="332"/>
      <c r="AW1344" s="332"/>
      <c r="AX1344" s="332"/>
      <c r="AY1344" s="332"/>
      <c r="AZ1344" s="332"/>
      <c r="BA1344" s="332"/>
      <c r="BB1344" s="332"/>
      <c r="BC1344" s="332"/>
      <c r="BD1344" s="332"/>
      <c r="BE1344" s="332"/>
      <c r="BF1344" s="332"/>
      <c r="BG1344" s="332"/>
      <c r="BH1344" s="332"/>
      <c r="BI1344" s="332"/>
      <c r="BJ1344" s="332"/>
      <c r="BK1344" s="332"/>
      <c r="BL1344" s="332"/>
      <c r="BM1344" s="332"/>
      <c r="BN1344" s="332"/>
      <c r="BO1344" s="332"/>
      <c r="BP1344" s="332"/>
      <c r="BQ1344" s="332"/>
      <c r="BR1344" s="332"/>
      <c r="BS1344" s="332"/>
      <c r="BT1344" s="332"/>
      <c r="BU1344" s="332"/>
      <c r="BV1344" s="332"/>
      <c r="BW1344" s="332"/>
      <c r="BX1344" s="332"/>
      <c r="BY1344" s="332"/>
      <c r="BZ1344" s="332"/>
      <c r="CA1344" s="332"/>
      <c r="CB1344" s="332"/>
      <c r="CC1344" s="332"/>
      <c r="CD1344" s="332"/>
      <c r="CE1344" s="332"/>
      <c r="CF1344" s="332"/>
      <c r="CG1344" s="332"/>
      <c r="CH1344" s="332"/>
      <c r="CI1344" s="332"/>
      <c r="CJ1344" s="332"/>
      <c r="CK1344" s="332"/>
      <c r="CL1344" s="332"/>
      <c r="CM1344" s="332"/>
      <c r="CN1344" s="332"/>
      <c r="CO1344" s="332"/>
      <c r="CP1344" s="332"/>
      <c r="CQ1344" s="332"/>
      <c r="CR1344" s="332"/>
      <c r="CS1344" s="332"/>
      <c r="CT1344" s="332"/>
      <c r="CU1344" s="332"/>
      <c r="CV1344" s="332"/>
      <c r="CW1344" s="332"/>
      <c r="CX1344" s="332"/>
      <c r="CY1344" s="332"/>
      <c r="CZ1344" s="332"/>
      <c r="DA1344" s="332"/>
      <c r="DB1344" s="332"/>
      <c r="DC1344" s="332"/>
      <c r="DD1344" s="332"/>
      <c r="DE1344" s="332"/>
      <c r="DF1344" s="332"/>
      <c r="DG1344" s="332"/>
      <c r="DH1344" s="332"/>
      <c r="DI1344" s="332"/>
      <c r="DJ1344" s="332"/>
      <c r="DK1344" s="332"/>
      <c r="DL1344" s="332"/>
      <c r="DM1344" s="332"/>
      <c r="DN1344" s="332"/>
      <c r="DO1344" s="332"/>
      <c r="DP1344" s="332"/>
      <c r="DQ1344" s="332"/>
      <c r="DR1344" s="332"/>
      <c r="DS1344" s="332"/>
      <c r="DT1344" s="332"/>
      <c r="DU1344" s="453"/>
      <c r="DV1344" s="453"/>
      <c r="DW1344" s="453"/>
      <c r="DX1344" s="453"/>
      <c r="DY1344" s="453"/>
      <c r="DZ1344" s="453"/>
      <c r="EA1344" s="453"/>
      <c r="EB1344" s="453"/>
      <c r="EC1344" s="453"/>
      <c r="ED1344" s="453"/>
      <c r="EE1344" s="453"/>
      <c r="EF1344" s="453"/>
      <c r="EG1344" s="453"/>
      <c r="EH1344" s="453"/>
      <c r="EI1344" s="453"/>
      <c r="EJ1344" s="453"/>
      <c r="EK1344" s="453"/>
      <c r="EL1344" s="453"/>
      <c r="EM1344" s="483">
        <f t="shared" si="257"/>
        <v>1035</v>
      </c>
      <c r="EN1344" s="485"/>
      <c r="EO1344" s="458"/>
      <c r="EP1344" s="467"/>
      <c r="EQ1344" s="457"/>
      <c r="ER1344" s="808"/>
      <c r="ES1344" s="881">
        <f t="shared" si="262"/>
        <v>0</v>
      </c>
      <c r="ET1344" s="882"/>
      <c r="EU1344" s="883"/>
      <c r="EV1344" s="884">
        <f t="shared" si="263"/>
        <v>0</v>
      </c>
      <c r="EW1344" s="885"/>
      <c r="EX1344" s="885"/>
      <c r="EY1344" s="885"/>
      <c r="EZ1344" s="885"/>
      <c r="FA1344" s="885"/>
      <c r="FB1344" s="885"/>
      <c r="FC1344" s="885"/>
      <c r="FD1344" s="886"/>
      <c r="FE1344" s="877"/>
      <c r="FF1344" s="877"/>
      <c r="FG1344" s="877"/>
      <c r="FH1344" s="877"/>
      <c r="FI1344" s="877"/>
      <c r="FJ1344" s="877"/>
      <c r="FK1344" s="877"/>
      <c r="FL1344" s="874"/>
      <c r="FM1344" s="875"/>
      <c r="FN1344" s="875"/>
      <c r="FO1344" s="875"/>
      <c r="FP1344" s="875"/>
      <c r="FQ1344" s="875"/>
      <c r="FR1344" s="875"/>
      <c r="FS1344" s="875"/>
      <c r="FT1344" s="875"/>
      <c r="FU1344" s="875"/>
      <c r="FV1344" s="875"/>
      <c r="FW1344" s="875"/>
      <c r="FX1344" s="875"/>
      <c r="FY1344" s="875"/>
      <c r="FZ1344" s="875"/>
      <c r="GA1344" s="875"/>
      <c r="GB1344" s="876"/>
      <c r="GC1344" s="370"/>
      <c r="GD1344" s="453"/>
      <c r="GE1344" s="453"/>
      <c r="GF1344" s="453"/>
      <c r="GG1344" s="453"/>
      <c r="GH1344" s="454"/>
      <c r="GI1344" s="453"/>
      <c r="GJ1344" s="453"/>
      <c r="GK1344" s="453"/>
      <c r="GL1344" s="453"/>
      <c r="GM1344" s="453"/>
      <c r="GN1344" s="453"/>
      <c r="GO1344" s="453"/>
      <c r="GP1344" s="453"/>
      <c r="GQ1344" s="453"/>
      <c r="GR1344" s="453"/>
      <c r="GS1344" s="561"/>
      <c r="GT1344" s="475"/>
      <c r="GU1344" s="472"/>
      <c r="GV1344" s="453"/>
      <c r="GW1344" s="453"/>
      <c r="GX1344" s="869"/>
      <c r="GY1344" s="870"/>
      <c r="GZ1344" s="867"/>
      <c r="HA1344" s="868"/>
      <c r="HB1344" s="473"/>
      <c r="HC1344" s="869"/>
      <c r="HD1344" s="870"/>
      <c r="HE1344" s="867"/>
      <c r="HF1344" s="868"/>
      <c r="HG1344" s="473"/>
      <c r="HH1344" s="867"/>
      <c r="HI1344" s="868"/>
      <c r="HJ1344" s="867"/>
      <c r="HK1344" s="868"/>
      <c r="HL1344" s="370"/>
      <c r="HM1344" s="865"/>
      <c r="HN1344" s="866"/>
      <c r="HO1344" s="865"/>
      <c r="HP1344" s="866"/>
      <c r="HQ1344" s="865"/>
      <c r="HR1344" s="866"/>
      <c r="HS1344" s="867"/>
      <c r="HT1344" s="868"/>
      <c r="HU1344" s="489"/>
      <c r="HV1344" s="865"/>
      <c r="HW1344" s="866"/>
    </row>
    <row r="1345" spans="25:231" ht="15" customHeight="1">
      <c r="Y1345" s="332"/>
      <c r="Z1345" s="332"/>
      <c r="AA1345" s="332"/>
      <c r="AB1345" s="332"/>
      <c r="AC1345" s="332"/>
      <c r="AD1345" s="332"/>
      <c r="AE1345" s="332"/>
      <c r="AF1345" s="332"/>
      <c r="AG1345" s="332"/>
      <c r="AH1345" s="332"/>
      <c r="AI1345" s="332"/>
      <c r="AJ1345" s="332"/>
      <c r="AK1345" s="332"/>
      <c r="AL1345" s="332"/>
      <c r="AM1345" s="332"/>
      <c r="AN1345" s="332"/>
      <c r="AO1345" s="332"/>
      <c r="AP1345" s="332"/>
      <c r="AQ1345" s="332"/>
      <c r="AR1345" s="332"/>
      <c r="AS1345" s="332"/>
      <c r="AT1345" s="332"/>
      <c r="AU1345" s="332"/>
      <c r="AV1345" s="332"/>
      <c r="AW1345" s="332"/>
      <c r="AX1345" s="332"/>
      <c r="AY1345" s="332"/>
      <c r="AZ1345" s="332"/>
      <c r="BA1345" s="332"/>
      <c r="BB1345" s="332"/>
      <c r="BC1345" s="332"/>
      <c r="BD1345" s="332"/>
      <c r="BE1345" s="332"/>
      <c r="BF1345" s="332"/>
      <c r="BG1345" s="332"/>
      <c r="BH1345" s="332"/>
      <c r="BI1345" s="332"/>
      <c r="BJ1345" s="332"/>
      <c r="BK1345" s="332"/>
      <c r="BL1345" s="332"/>
      <c r="BM1345" s="332"/>
      <c r="BN1345" s="332"/>
      <c r="BO1345" s="332"/>
      <c r="BP1345" s="332"/>
      <c r="BQ1345" s="332"/>
      <c r="BR1345" s="332"/>
      <c r="BS1345" s="332"/>
      <c r="BT1345" s="332"/>
      <c r="BU1345" s="332"/>
      <c r="BV1345" s="332"/>
      <c r="BW1345" s="332"/>
      <c r="BX1345" s="332"/>
      <c r="BY1345" s="332"/>
      <c r="BZ1345" s="332"/>
      <c r="CA1345" s="332"/>
      <c r="CB1345" s="332"/>
      <c r="CC1345" s="332"/>
      <c r="CD1345" s="332"/>
      <c r="CE1345" s="332"/>
      <c r="CF1345" s="332"/>
      <c r="CG1345" s="332"/>
      <c r="CH1345" s="332"/>
      <c r="CI1345" s="332"/>
      <c r="CJ1345" s="332"/>
      <c r="CK1345" s="332"/>
      <c r="CL1345" s="332"/>
      <c r="CM1345" s="332"/>
      <c r="CN1345" s="332"/>
      <c r="CO1345" s="332"/>
      <c r="CP1345" s="332"/>
      <c r="CQ1345" s="332"/>
      <c r="CR1345" s="332"/>
      <c r="CS1345" s="332"/>
      <c r="CT1345" s="332"/>
      <c r="CU1345" s="332"/>
      <c r="CV1345" s="332"/>
      <c r="CW1345" s="332"/>
      <c r="CX1345" s="332"/>
      <c r="CY1345" s="332"/>
      <c r="CZ1345" s="332"/>
      <c r="DA1345" s="332"/>
      <c r="DB1345" s="332"/>
      <c r="DC1345" s="332"/>
      <c r="DD1345" s="332"/>
      <c r="DE1345" s="332"/>
      <c r="DF1345" s="332"/>
      <c r="DG1345" s="332"/>
      <c r="DH1345" s="332"/>
      <c r="DI1345" s="332"/>
      <c r="DJ1345" s="332"/>
      <c r="DK1345" s="332"/>
      <c r="DL1345" s="332"/>
      <c r="DM1345" s="332"/>
      <c r="DN1345" s="332"/>
      <c r="DO1345" s="332"/>
      <c r="DP1345" s="332"/>
      <c r="DQ1345" s="332"/>
      <c r="DR1345" s="332"/>
      <c r="DS1345" s="332"/>
      <c r="DT1345" s="332"/>
      <c r="DU1345" s="453"/>
      <c r="DV1345" s="453"/>
      <c r="DW1345" s="453"/>
      <c r="DX1345" s="453"/>
      <c r="DY1345" s="453"/>
      <c r="DZ1345" s="453"/>
      <c r="EA1345" s="453"/>
      <c r="EB1345" s="453"/>
      <c r="EC1345" s="453"/>
      <c r="ED1345" s="453"/>
      <c r="EE1345" s="453"/>
      <c r="EF1345" s="453"/>
      <c r="EG1345" s="453"/>
      <c r="EH1345" s="453"/>
      <c r="EI1345" s="453"/>
      <c r="EJ1345" s="453"/>
      <c r="EK1345" s="453"/>
      <c r="EL1345" s="453"/>
      <c r="EM1345" s="483">
        <f t="shared" si="257"/>
        <v>1036</v>
      </c>
      <c r="EN1345" s="485"/>
      <c r="EO1345" s="458"/>
      <c r="EP1345" s="467"/>
      <c r="EQ1345" s="457"/>
      <c r="ER1345" s="808"/>
      <c r="ES1345" s="881">
        <f t="shared" si="262"/>
        <v>0</v>
      </c>
      <c r="ET1345" s="882"/>
      <c r="EU1345" s="883"/>
      <c r="EV1345" s="884">
        <f t="shared" si="263"/>
        <v>0</v>
      </c>
      <c r="EW1345" s="885"/>
      <c r="EX1345" s="885"/>
      <c r="EY1345" s="885"/>
      <c r="EZ1345" s="885"/>
      <c r="FA1345" s="885"/>
      <c r="FB1345" s="885"/>
      <c r="FC1345" s="885"/>
      <c r="FD1345" s="886"/>
      <c r="FE1345" s="877"/>
      <c r="FF1345" s="877"/>
      <c r="FG1345" s="877"/>
      <c r="FH1345" s="877"/>
      <c r="FI1345" s="877"/>
      <c r="FJ1345" s="877"/>
      <c r="FK1345" s="877"/>
      <c r="FL1345" s="874"/>
      <c r="FM1345" s="875"/>
      <c r="FN1345" s="875"/>
      <c r="FO1345" s="875"/>
      <c r="FP1345" s="875"/>
      <c r="FQ1345" s="875"/>
      <c r="FR1345" s="875"/>
      <c r="FS1345" s="875"/>
      <c r="FT1345" s="875"/>
      <c r="FU1345" s="875"/>
      <c r="FV1345" s="875"/>
      <c r="FW1345" s="875"/>
      <c r="FX1345" s="875"/>
      <c r="FY1345" s="875"/>
      <c r="FZ1345" s="875"/>
      <c r="GA1345" s="875"/>
      <c r="GB1345" s="876"/>
      <c r="GC1345" s="370"/>
      <c r="GD1345" s="453"/>
      <c r="GE1345" s="453"/>
      <c r="GF1345" s="453"/>
      <c r="GG1345" s="453"/>
      <c r="GH1345" s="454"/>
      <c r="GI1345" s="453"/>
      <c r="GJ1345" s="453"/>
      <c r="GK1345" s="453"/>
      <c r="GL1345" s="453"/>
      <c r="GM1345" s="453"/>
      <c r="GN1345" s="453"/>
      <c r="GO1345" s="453"/>
      <c r="GP1345" s="453"/>
      <c r="GQ1345" s="453"/>
      <c r="GR1345" s="453"/>
      <c r="GS1345" s="561"/>
      <c r="GT1345" s="475"/>
      <c r="GU1345" s="472"/>
      <c r="GV1345" s="453"/>
      <c r="GW1345" s="453"/>
      <c r="GX1345" s="869"/>
      <c r="GY1345" s="870"/>
      <c r="GZ1345" s="867"/>
      <c r="HA1345" s="868"/>
      <c r="HB1345" s="473"/>
      <c r="HC1345" s="869"/>
      <c r="HD1345" s="870"/>
      <c r="HE1345" s="867"/>
      <c r="HF1345" s="868"/>
      <c r="HG1345" s="473"/>
      <c r="HH1345" s="867"/>
      <c r="HI1345" s="868"/>
      <c r="HJ1345" s="867"/>
      <c r="HK1345" s="868"/>
      <c r="HL1345" s="370"/>
      <c r="HM1345" s="865"/>
      <c r="HN1345" s="866"/>
      <c r="HO1345" s="865"/>
      <c r="HP1345" s="866"/>
      <c r="HQ1345" s="865"/>
      <c r="HR1345" s="866"/>
      <c r="HS1345" s="867"/>
      <c r="HT1345" s="868"/>
      <c r="HU1345" s="489"/>
      <c r="HV1345" s="865"/>
      <c r="HW1345" s="866"/>
    </row>
    <row r="1346" spans="25:231" ht="15" customHeight="1">
      <c r="Y1346" s="332"/>
      <c r="Z1346" s="332"/>
      <c r="AA1346" s="332"/>
      <c r="AB1346" s="332"/>
      <c r="AC1346" s="332"/>
      <c r="AD1346" s="332"/>
      <c r="AE1346" s="332"/>
      <c r="AF1346" s="332"/>
      <c r="AG1346" s="332"/>
      <c r="AH1346" s="332"/>
      <c r="AI1346" s="332"/>
      <c r="AJ1346" s="332"/>
      <c r="AK1346" s="332"/>
      <c r="AL1346" s="332"/>
      <c r="AM1346" s="332"/>
      <c r="AN1346" s="332"/>
      <c r="AO1346" s="332"/>
      <c r="AP1346" s="332"/>
      <c r="AQ1346" s="332"/>
      <c r="AR1346" s="332"/>
      <c r="AS1346" s="332"/>
      <c r="AT1346" s="332"/>
      <c r="AU1346" s="332"/>
      <c r="AV1346" s="332"/>
      <c r="AW1346" s="332"/>
      <c r="AX1346" s="332"/>
      <c r="AY1346" s="332"/>
      <c r="AZ1346" s="332"/>
      <c r="BA1346" s="332"/>
      <c r="BB1346" s="332"/>
      <c r="BC1346" s="332"/>
      <c r="BD1346" s="332"/>
      <c r="BE1346" s="332"/>
      <c r="BF1346" s="332"/>
      <c r="BG1346" s="332"/>
      <c r="BH1346" s="332"/>
      <c r="BI1346" s="332"/>
      <c r="BJ1346" s="332"/>
      <c r="BK1346" s="332"/>
      <c r="BL1346" s="332"/>
      <c r="BM1346" s="332"/>
      <c r="BN1346" s="332"/>
      <c r="BO1346" s="332"/>
      <c r="BP1346" s="332"/>
      <c r="BQ1346" s="332"/>
      <c r="BR1346" s="332"/>
      <c r="BS1346" s="332"/>
      <c r="BT1346" s="332"/>
      <c r="BU1346" s="332"/>
      <c r="BV1346" s="332"/>
      <c r="BW1346" s="332"/>
      <c r="BX1346" s="332"/>
      <c r="BY1346" s="332"/>
      <c r="BZ1346" s="332"/>
      <c r="CA1346" s="332"/>
      <c r="CB1346" s="332"/>
      <c r="CC1346" s="332"/>
      <c r="CD1346" s="332"/>
      <c r="CE1346" s="332"/>
      <c r="CF1346" s="332"/>
      <c r="CG1346" s="332"/>
      <c r="CH1346" s="332"/>
      <c r="CI1346" s="332"/>
      <c r="CJ1346" s="332"/>
      <c r="CK1346" s="332"/>
      <c r="CL1346" s="332"/>
      <c r="CM1346" s="332"/>
      <c r="CN1346" s="332"/>
      <c r="CO1346" s="332"/>
      <c r="CP1346" s="332"/>
      <c r="CQ1346" s="332"/>
      <c r="CR1346" s="332"/>
      <c r="CS1346" s="332"/>
      <c r="CT1346" s="332"/>
      <c r="CU1346" s="332"/>
      <c r="CV1346" s="332"/>
      <c r="CW1346" s="332"/>
      <c r="CX1346" s="332"/>
      <c r="CY1346" s="332"/>
      <c r="CZ1346" s="332"/>
      <c r="DA1346" s="332"/>
      <c r="DB1346" s="332"/>
      <c r="DC1346" s="332"/>
      <c r="DD1346" s="332"/>
      <c r="DE1346" s="332"/>
      <c r="DF1346" s="332"/>
      <c r="DG1346" s="332"/>
      <c r="DH1346" s="332"/>
      <c r="DI1346" s="332"/>
      <c r="DJ1346" s="332"/>
      <c r="DK1346" s="332"/>
      <c r="DL1346" s="332"/>
      <c r="DM1346" s="332"/>
      <c r="DN1346" s="332"/>
      <c r="DO1346" s="332"/>
      <c r="DP1346" s="332"/>
      <c r="DQ1346" s="332"/>
      <c r="DR1346" s="332"/>
      <c r="DS1346" s="332"/>
      <c r="DT1346" s="332"/>
      <c r="DU1346" s="453"/>
      <c r="DV1346" s="453"/>
      <c r="DW1346" s="453"/>
      <c r="DX1346" s="453"/>
      <c r="DY1346" s="453"/>
      <c r="DZ1346" s="453"/>
      <c r="EA1346" s="453"/>
      <c r="EB1346" s="453"/>
      <c r="EC1346" s="453"/>
      <c r="ED1346" s="453"/>
      <c r="EE1346" s="453"/>
      <c r="EF1346" s="453"/>
      <c r="EG1346" s="453"/>
      <c r="EH1346" s="453"/>
      <c r="EI1346" s="453"/>
      <c r="EJ1346" s="453"/>
      <c r="EK1346" s="453"/>
      <c r="EL1346" s="453"/>
      <c r="EM1346" s="483">
        <f t="shared" si="257"/>
        <v>1037</v>
      </c>
      <c r="EN1346" s="485"/>
      <c r="EO1346" s="458"/>
      <c r="EP1346" s="467"/>
      <c r="EQ1346" s="457"/>
      <c r="ER1346" s="808"/>
      <c r="ES1346" s="881">
        <f t="shared" si="262"/>
        <v>0</v>
      </c>
      <c r="ET1346" s="882"/>
      <c r="EU1346" s="883"/>
      <c r="EV1346" s="884">
        <f t="shared" si="263"/>
        <v>0</v>
      </c>
      <c r="EW1346" s="885"/>
      <c r="EX1346" s="885"/>
      <c r="EY1346" s="885"/>
      <c r="EZ1346" s="885"/>
      <c r="FA1346" s="885"/>
      <c r="FB1346" s="885"/>
      <c r="FC1346" s="885"/>
      <c r="FD1346" s="886"/>
      <c r="FE1346" s="877"/>
      <c r="FF1346" s="877"/>
      <c r="FG1346" s="877"/>
      <c r="FH1346" s="877"/>
      <c r="FI1346" s="877"/>
      <c r="FJ1346" s="877"/>
      <c r="FK1346" s="877"/>
      <c r="FL1346" s="874"/>
      <c r="FM1346" s="875"/>
      <c r="FN1346" s="875"/>
      <c r="FO1346" s="875"/>
      <c r="FP1346" s="875"/>
      <c r="FQ1346" s="875"/>
      <c r="FR1346" s="875"/>
      <c r="FS1346" s="875"/>
      <c r="FT1346" s="875"/>
      <c r="FU1346" s="875"/>
      <c r="FV1346" s="875"/>
      <c r="FW1346" s="875"/>
      <c r="FX1346" s="875"/>
      <c r="FY1346" s="875"/>
      <c r="FZ1346" s="875"/>
      <c r="GA1346" s="875"/>
      <c r="GB1346" s="876"/>
      <c r="GC1346" s="370"/>
      <c r="GD1346" s="453"/>
      <c r="GE1346" s="453"/>
      <c r="GF1346" s="453"/>
      <c r="GG1346" s="453"/>
      <c r="GH1346" s="454"/>
      <c r="GI1346" s="453"/>
      <c r="GJ1346" s="453"/>
      <c r="GK1346" s="453"/>
      <c r="GL1346" s="453"/>
      <c r="GM1346" s="453"/>
      <c r="GN1346" s="453"/>
      <c r="GO1346" s="453"/>
      <c r="GP1346" s="453"/>
      <c r="GQ1346" s="453"/>
      <c r="GR1346" s="453"/>
      <c r="GS1346" s="561"/>
      <c r="GT1346" s="475"/>
      <c r="GU1346" s="472"/>
      <c r="GV1346" s="453"/>
      <c r="GW1346" s="453"/>
      <c r="GX1346" s="869"/>
      <c r="GY1346" s="870"/>
      <c r="GZ1346" s="867"/>
      <c r="HA1346" s="868"/>
      <c r="HB1346" s="473"/>
      <c r="HC1346" s="869"/>
      <c r="HD1346" s="870"/>
      <c r="HE1346" s="867"/>
      <c r="HF1346" s="868"/>
      <c r="HG1346" s="473"/>
      <c r="HH1346" s="867"/>
      <c r="HI1346" s="868"/>
      <c r="HJ1346" s="867"/>
      <c r="HK1346" s="868"/>
      <c r="HL1346" s="370"/>
      <c r="HM1346" s="865"/>
      <c r="HN1346" s="866"/>
      <c r="HO1346" s="865"/>
      <c r="HP1346" s="866"/>
      <c r="HQ1346" s="865"/>
      <c r="HR1346" s="866"/>
      <c r="HS1346" s="867"/>
      <c r="HT1346" s="868"/>
      <c r="HU1346" s="489"/>
      <c r="HV1346" s="865"/>
      <c r="HW1346" s="866"/>
    </row>
    <row r="1347" spans="25:231" ht="15" customHeight="1">
      <c r="Y1347" s="332"/>
      <c r="Z1347" s="332"/>
      <c r="AA1347" s="332"/>
      <c r="AB1347" s="332"/>
      <c r="AC1347" s="332"/>
      <c r="AD1347" s="332"/>
      <c r="AE1347" s="332"/>
      <c r="AF1347" s="332"/>
      <c r="AG1347" s="332"/>
      <c r="AH1347" s="332"/>
      <c r="AI1347" s="332"/>
      <c r="AJ1347" s="332"/>
      <c r="AK1347" s="332"/>
      <c r="AL1347" s="332"/>
      <c r="AM1347" s="332"/>
      <c r="AN1347" s="332"/>
      <c r="AO1347" s="332"/>
      <c r="AP1347" s="332"/>
      <c r="AQ1347" s="332"/>
      <c r="AR1347" s="332"/>
      <c r="AS1347" s="332"/>
      <c r="AT1347" s="332"/>
      <c r="AU1347" s="332"/>
      <c r="AV1347" s="332"/>
      <c r="AW1347" s="332"/>
      <c r="AX1347" s="332"/>
      <c r="AY1347" s="332"/>
      <c r="AZ1347" s="332"/>
      <c r="BA1347" s="332"/>
      <c r="BB1347" s="332"/>
      <c r="BC1347" s="332"/>
      <c r="BD1347" s="332"/>
      <c r="BE1347" s="332"/>
      <c r="BF1347" s="332"/>
      <c r="BG1347" s="332"/>
      <c r="BH1347" s="332"/>
      <c r="BI1347" s="332"/>
      <c r="BJ1347" s="332"/>
      <c r="BK1347" s="332"/>
      <c r="BL1347" s="332"/>
      <c r="BM1347" s="332"/>
      <c r="BN1347" s="332"/>
      <c r="BO1347" s="332"/>
      <c r="BP1347" s="332"/>
      <c r="BQ1347" s="332"/>
      <c r="BR1347" s="332"/>
      <c r="BS1347" s="332"/>
      <c r="BT1347" s="332"/>
      <c r="BU1347" s="332"/>
      <c r="BV1347" s="332"/>
      <c r="BW1347" s="332"/>
      <c r="BX1347" s="332"/>
      <c r="BY1347" s="332"/>
      <c r="BZ1347" s="332"/>
      <c r="CA1347" s="332"/>
      <c r="CB1347" s="332"/>
      <c r="CC1347" s="332"/>
      <c r="CD1347" s="332"/>
      <c r="CE1347" s="332"/>
      <c r="CF1347" s="332"/>
      <c r="CG1347" s="332"/>
      <c r="CH1347" s="332"/>
      <c r="CI1347" s="332"/>
      <c r="CJ1347" s="332"/>
      <c r="CK1347" s="332"/>
      <c r="CL1347" s="332"/>
      <c r="CM1347" s="332"/>
      <c r="CN1347" s="332"/>
      <c r="CO1347" s="332"/>
      <c r="CP1347" s="332"/>
      <c r="CQ1347" s="332"/>
      <c r="CR1347" s="332"/>
      <c r="CS1347" s="332"/>
      <c r="CT1347" s="332"/>
      <c r="CU1347" s="332"/>
      <c r="CV1347" s="332"/>
      <c r="CW1347" s="332"/>
      <c r="CX1347" s="332"/>
      <c r="CY1347" s="332"/>
      <c r="CZ1347" s="332"/>
      <c r="DA1347" s="332"/>
      <c r="DB1347" s="332"/>
      <c r="DC1347" s="332"/>
      <c r="DD1347" s="332"/>
      <c r="DE1347" s="332"/>
      <c r="DF1347" s="332"/>
      <c r="DG1347" s="332"/>
      <c r="DH1347" s="332"/>
      <c r="DI1347" s="332"/>
      <c r="DJ1347" s="332"/>
      <c r="DK1347" s="332"/>
      <c r="DL1347" s="332"/>
      <c r="DM1347" s="332"/>
      <c r="DN1347" s="332"/>
      <c r="DO1347" s="332"/>
      <c r="DP1347" s="332"/>
      <c r="DQ1347" s="332"/>
      <c r="DR1347" s="332"/>
      <c r="DS1347" s="332"/>
      <c r="DT1347" s="332"/>
      <c r="DU1347" s="453"/>
      <c r="DV1347" s="453"/>
      <c r="DW1347" s="453"/>
      <c r="DX1347" s="453"/>
      <c r="DY1347" s="453"/>
      <c r="DZ1347" s="453"/>
      <c r="EA1347" s="453"/>
      <c r="EB1347" s="453"/>
      <c r="EC1347" s="453"/>
      <c r="ED1347" s="453"/>
      <c r="EE1347" s="453"/>
      <c r="EF1347" s="453"/>
      <c r="EG1347" s="453"/>
      <c r="EH1347" s="453"/>
      <c r="EI1347" s="453"/>
      <c r="EJ1347" s="453"/>
      <c r="EK1347" s="453"/>
      <c r="EL1347" s="453"/>
      <c r="EM1347" s="483">
        <f t="shared" si="257"/>
        <v>1038</v>
      </c>
      <c r="EN1347" s="485"/>
      <c r="EO1347" s="458"/>
      <c r="EP1347" s="467"/>
      <c r="EQ1347" s="457"/>
      <c r="ER1347" s="808"/>
      <c r="ES1347" s="881">
        <f t="shared" si="262"/>
        <v>0</v>
      </c>
      <c r="ET1347" s="882"/>
      <c r="EU1347" s="883"/>
      <c r="EV1347" s="884">
        <f t="shared" si="263"/>
        <v>0</v>
      </c>
      <c r="EW1347" s="885"/>
      <c r="EX1347" s="885"/>
      <c r="EY1347" s="885"/>
      <c r="EZ1347" s="885"/>
      <c r="FA1347" s="885"/>
      <c r="FB1347" s="885"/>
      <c r="FC1347" s="885"/>
      <c r="FD1347" s="886"/>
      <c r="FE1347" s="877"/>
      <c r="FF1347" s="877"/>
      <c r="FG1347" s="877"/>
      <c r="FH1347" s="877"/>
      <c r="FI1347" s="877"/>
      <c r="FJ1347" s="877"/>
      <c r="FK1347" s="877"/>
      <c r="FL1347" s="874"/>
      <c r="FM1347" s="875"/>
      <c r="FN1347" s="875"/>
      <c r="FO1347" s="875"/>
      <c r="FP1347" s="875"/>
      <c r="FQ1347" s="875"/>
      <c r="FR1347" s="875"/>
      <c r="FS1347" s="875"/>
      <c r="FT1347" s="875"/>
      <c r="FU1347" s="875"/>
      <c r="FV1347" s="875"/>
      <c r="FW1347" s="875"/>
      <c r="FX1347" s="875"/>
      <c r="FY1347" s="875"/>
      <c r="FZ1347" s="875"/>
      <c r="GA1347" s="875"/>
      <c r="GB1347" s="876"/>
      <c r="GC1347" s="370"/>
      <c r="GD1347" s="453"/>
      <c r="GE1347" s="453"/>
      <c r="GF1347" s="453"/>
      <c r="GG1347" s="453"/>
      <c r="GH1347" s="454"/>
      <c r="GI1347" s="453"/>
      <c r="GJ1347" s="453"/>
      <c r="GK1347" s="453"/>
      <c r="GL1347" s="453"/>
      <c r="GM1347" s="453"/>
      <c r="GN1347" s="453"/>
      <c r="GO1347" s="453"/>
      <c r="GP1347" s="453"/>
      <c r="GQ1347" s="453"/>
      <c r="GR1347" s="453"/>
      <c r="GS1347" s="561"/>
      <c r="GT1347" s="475"/>
      <c r="GU1347" s="472"/>
      <c r="GV1347" s="453"/>
      <c r="GW1347" s="453"/>
      <c r="GX1347" s="869"/>
      <c r="GY1347" s="870"/>
      <c r="GZ1347" s="867"/>
      <c r="HA1347" s="868"/>
      <c r="HB1347" s="473"/>
      <c r="HC1347" s="869"/>
      <c r="HD1347" s="870"/>
      <c r="HE1347" s="867"/>
      <c r="HF1347" s="868"/>
      <c r="HG1347" s="473"/>
      <c r="HH1347" s="867"/>
      <c r="HI1347" s="868"/>
      <c r="HJ1347" s="867"/>
      <c r="HK1347" s="868"/>
      <c r="HL1347" s="370"/>
      <c r="HM1347" s="865"/>
      <c r="HN1347" s="866"/>
      <c r="HO1347" s="865"/>
      <c r="HP1347" s="866"/>
      <c r="HQ1347" s="865"/>
      <c r="HR1347" s="866"/>
      <c r="HS1347" s="867"/>
      <c r="HT1347" s="868"/>
      <c r="HU1347" s="489"/>
      <c r="HV1347" s="865"/>
      <c r="HW1347" s="866"/>
    </row>
    <row r="1348" spans="25:231" ht="15" customHeight="1">
      <c r="Y1348" s="332"/>
      <c r="Z1348" s="332"/>
      <c r="AA1348" s="332"/>
      <c r="AB1348" s="332"/>
      <c r="AC1348" s="332"/>
      <c r="AD1348" s="332"/>
      <c r="AE1348" s="332"/>
      <c r="AF1348" s="332"/>
      <c r="AG1348" s="332"/>
      <c r="AH1348" s="332"/>
      <c r="AI1348" s="332"/>
      <c r="AJ1348" s="332"/>
      <c r="AK1348" s="332"/>
      <c r="AL1348" s="332"/>
      <c r="AM1348" s="332"/>
      <c r="AN1348" s="332"/>
      <c r="AO1348" s="332"/>
      <c r="AP1348" s="332"/>
      <c r="AQ1348" s="332"/>
      <c r="AR1348" s="332"/>
      <c r="AS1348" s="332"/>
      <c r="AT1348" s="332"/>
      <c r="AU1348" s="332"/>
      <c r="AV1348" s="332"/>
      <c r="AW1348" s="332"/>
      <c r="AX1348" s="332"/>
      <c r="AY1348" s="332"/>
      <c r="AZ1348" s="332"/>
      <c r="BA1348" s="332"/>
      <c r="BB1348" s="332"/>
      <c r="BC1348" s="332"/>
      <c r="BD1348" s="332"/>
      <c r="BE1348" s="332"/>
      <c r="BF1348" s="332"/>
      <c r="BG1348" s="332"/>
      <c r="BH1348" s="332"/>
      <c r="BI1348" s="332"/>
      <c r="BJ1348" s="332"/>
      <c r="BK1348" s="332"/>
      <c r="BL1348" s="332"/>
      <c r="BM1348" s="332"/>
      <c r="BN1348" s="332"/>
      <c r="BO1348" s="332"/>
      <c r="BP1348" s="332"/>
      <c r="BQ1348" s="332"/>
      <c r="BR1348" s="332"/>
      <c r="BS1348" s="332"/>
      <c r="BT1348" s="332"/>
      <c r="BU1348" s="332"/>
      <c r="BV1348" s="332"/>
      <c r="BW1348" s="332"/>
      <c r="BX1348" s="332"/>
      <c r="BY1348" s="332"/>
      <c r="BZ1348" s="332"/>
      <c r="CA1348" s="332"/>
      <c r="CB1348" s="332"/>
      <c r="CC1348" s="332"/>
      <c r="CD1348" s="332"/>
      <c r="CE1348" s="332"/>
      <c r="CF1348" s="332"/>
      <c r="CG1348" s="332"/>
      <c r="CH1348" s="332"/>
      <c r="CI1348" s="332"/>
      <c r="CJ1348" s="332"/>
      <c r="CK1348" s="332"/>
      <c r="CL1348" s="332"/>
      <c r="CM1348" s="332"/>
      <c r="CN1348" s="332"/>
      <c r="CO1348" s="332"/>
      <c r="CP1348" s="332"/>
      <c r="CQ1348" s="332"/>
      <c r="CR1348" s="332"/>
      <c r="CS1348" s="332"/>
      <c r="CT1348" s="332"/>
      <c r="CU1348" s="332"/>
      <c r="CV1348" s="332"/>
      <c r="CW1348" s="332"/>
      <c r="CX1348" s="332"/>
      <c r="CY1348" s="332"/>
      <c r="CZ1348" s="332"/>
      <c r="DA1348" s="332"/>
      <c r="DB1348" s="332"/>
      <c r="DC1348" s="332"/>
      <c r="DD1348" s="332"/>
      <c r="DE1348" s="332"/>
      <c r="DF1348" s="332"/>
      <c r="DG1348" s="332"/>
      <c r="DH1348" s="332"/>
      <c r="DI1348" s="332"/>
      <c r="DJ1348" s="332"/>
      <c r="DK1348" s="332"/>
      <c r="DL1348" s="332"/>
      <c r="DM1348" s="332"/>
      <c r="DN1348" s="332"/>
      <c r="DO1348" s="332"/>
      <c r="DP1348" s="332"/>
      <c r="DQ1348" s="332"/>
      <c r="DR1348" s="332"/>
      <c r="DS1348" s="332"/>
      <c r="DT1348" s="332"/>
      <c r="DU1348" s="453"/>
      <c r="DV1348" s="453"/>
      <c r="DW1348" s="453"/>
      <c r="DX1348" s="453"/>
      <c r="DY1348" s="453"/>
      <c r="DZ1348" s="453"/>
      <c r="EA1348" s="453"/>
      <c r="EB1348" s="453"/>
      <c r="EC1348" s="453"/>
      <c r="ED1348" s="453"/>
      <c r="EE1348" s="453"/>
      <c r="EF1348" s="453"/>
      <c r="EG1348" s="453"/>
      <c r="EH1348" s="453"/>
      <c r="EI1348" s="453"/>
      <c r="EJ1348" s="453"/>
      <c r="EK1348" s="453"/>
      <c r="EL1348" s="453"/>
      <c r="EM1348" s="483">
        <f t="shared" si="257"/>
        <v>1039</v>
      </c>
      <c r="EN1348" s="485"/>
      <c r="EO1348" s="458"/>
      <c r="EP1348" s="467"/>
      <c r="EQ1348" s="457"/>
      <c r="ER1348" s="808"/>
      <c r="ES1348" s="881">
        <f t="shared" si="262"/>
        <v>0</v>
      </c>
      <c r="ET1348" s="882"/>
      <c r="EU1348" s="883"/>
      <c r="EV1348" s="884">
        <f t="shared" si="263"/>
        <v>0</v>
      </c>
      <c r="EW1348" s="885"/>
      <c r="EX1348" s="885"/>
      <c r="EY1348" s="885"/>
      <c r="EZ1348" s="885"/>
      <c r="FA1348" s="885"/>
      <c r="FB1348" s="885"/>
      <c r="FC1348" s="885"/>
      <c r="FD1348" s="886"/>
      <c r="FE1348" s="877"/>
      <c r="FF1348" s="877"/>
      <c r="FG1348" s="877"/>
      <c r="FH1348" s="877"/>
      <c r="FI1348" s="877"/>
      <c r="FJ1348" s="877"/>
      <c r="FK1348" s="877"/>
      <c r="FL1348" s="874"/>
      <c r="FM1348" s="875"/>
      <c r="FN1348" s="875"/>
      <c r="FO1348" s="875"/>
      <c r="FP1348" s="875"/>
      <c r="FQ1348" s="875"/>
      <c r="FR1348" s="875"/>
      <c r="FS1348" s="875"/>
      <c r="FT1348" s="875"/>
      <c r="FU1348" s="875"/>
      <c r="FV1348" s="875"/>
      <c r="FW1348" s="875"/>
      <c r="FX1348" s="875"/>
      <c r="FY1348" s="875"/>
      <c r="FZ1348" s="875"/>
      <c r="GA1348" s="875"/>
      <c r="GB1348" s="876"/>
      <c r="GC1348" s="370"/>
      <c r="GD1348" s="453"/>
      <c r="GE1348" s="453"/>
      <c r="GF1348" s="453"/>
      <c r="GG1348" s="453"/>
      <c r="GH1348" s="454"/>
      <c r="GI1348" s="453"/>
      <c r="GJ1348" s="453"/>
      <c r="GK1348" s="453"/>
      <c r="GL1348" s="453"/>
      <c r="GM1348" s="453"/>
      <c r="GN1348" s="453"/>
      <c r="GO1348" s="453"/>
      <c r="GP1348" s="453"/>
      <c r="GQ1348" s="453"/>
      <c r="GR1348" s="453"/>
      <c r="GS1348" s="561"/>
      <c r="GT1348" s="475"/>
      <c r="GU1348" s="472"/>
      <c r="GV1348" s="453"/>
      <c r="GW1348" s="453"/>
      <c r="GX1348" s="869"/>
      <c r="GY1348" s="870"/>
      <c r="GZ1348" s="867"/>
      <c r="HA1348" s="868"/>
      <c r="HB1348" s="473"/>
      <c r="HC1348" s="869"/>
      <c r="HD1348" s="870"/>
      <c r="HE1348" s="867"/>
      <c r="HF1348" s="868"/>
      <c r="HG1348" s="473"/>
      <c r="HH1348" s="867"/>
      <c r="HI1348" s="868"/>
      <c r="HJ1348" s="867"/>
      <c r="HK1348" s="868"/>
      <c r="HL1348" s="370"/>
      <c r="HM1348" s="865"/>
      <c r="HN1348" s="866"/>
      <c r="HO1348" s="865"/>
      <c r="HP1348" s="866"/>
      <c r="HQ1348" s="865"/>
      <c r="HR1348" s="866"/>
      <c r="HS1348" s="867"/>
      <c r="HT1348" s="868"/>
      <c r="HU1348" s="489"/>
      <c r="HV1348" s="865"/>
      <c r="HW1348" s="866"/>
    </row>
    <row r="1349" spans="25:231" ht="15" customHeight="1">
      <c r="Y1349" s="332"/>
      <c r="Z1349" s="332"/>
      <c r="AA1349" s="332"/>
      <c r="AB1349" s="332"/>
      <c r="AC1349" s="332"/>
      <c r="AD1349" s="332"/>
      <c r="AE1349" s="332"/>
      <c r="AF1349" s="332"/>
      <c r="AG1349" s="332"/>
      <c r="AH1349" s="332"/>
      <c r="AI1349" s="332"/>
      <c r="AJ1349" s="332"/>
      <c r="AK1349" s="332"/>
      <c r="AL1349" s="332"/>
      <c r="AM1349" s="332"/>
      <c r="AN1349" s="332"/>
      <c r="AO1349" s="332"/>
      <c r="AP1349" s="332"/>
      <c r="AQ1349" s="332"/>
      <c r="AR1349" s="332"/>
      <c r="AS1349" s="332"/>
      <c r="AT1349" s="332"/>
      <c r="AU1349" s="332"/>
      <c r="AV1349" s="332"/>
      <c r="AW1349" s="332"/>
      <c r="AX1349" s="332"/>
      <c r="AY1349" s="332"/>
      <c r="AZ1349" s="332"/>
      <c r="BA1349" s="332"/>
      <c r="BB1349" s="332"/>
      <c r="BC1349" s="332"/>
      <c r="BD1349" s="332"/>
      <c r="BE1349" s="332"/>
      <c r="BF1349" s="332"/>
      <c r="BG1349" s="332"/>
      <c r="BH1349" s="332"/>
      <c r="BI1349" s="332"/>
      <c r="BJ1349" s="332"/>
      <c r="BK1349" s="332"/>
      <c r="BL1349" s="332"/>
      <c r="BM1349" s="332"/>
      <c r="BN1349" s="332"/>
      <c r="BO1349" s="332"/>
      <c r="BP1349" s="332"/>
      <c r="BQ1349" s="332"/>
      <c r="BR1349" s="332"/>
      <c r="BS1349" s="332"/>
      <c r="BT1349" s="332"/>
      <c r="BU1349" s="332"/>
      <c r="BV1349" s="332"/>
      <c r="BW1349" s="332"/>
      <c r="BX1349" s="332"/>
      <c r="BY1349" s="332"/>
      <c r="BZ1349" s="332"/>
      <c r="CA1349" s="332"/>
      <c r="CB1349" s="332"/>
      <c r="CC1349" s="332"/>
      <c r="CD1349" s="332"/>
      <c r="CE1349" s="332"/>
      <c r="CF1349" s="332"/>
      <c r="CG1349" s="332"/>
      <c r="CH1349" s="332"/>
      <c r="CI1349" s="332"/>
      <c r="CJ1349" s="332"/>
      <c r="CK1349" s="332"/>
      <c r="CL1349" s="332"/>
      <c r="CM1349" s="332"/>
      <c r="CN1349" s="332"/>
      <c r="CO1349" s="332"/>
      <c r="CP1349" s="332"/>
      <c r="CQ1349" s="332"/>
      <c r="CR1349" s="332"/>
      <c r="CS1349" s="332"/>
      <c r="CT1349" s="332"/>
      <c r="CU1349" s="332"/>
      <c r="CV1349" s="332"/>
      <c r="CW1349" s="332"/>
      <c r="CX1349" s="332"/>
      <c r="CY1349" s="332"/>
      <c r="CZ1349" s="332"/>
      <c r="DA1349" s="332"/>
      <c r="DB1349" s="332"/>
      <c r="DC1349" s="332"/>
      <c r="DD1349" s="332"/>
      <c r="DE1349" s="332"/>
      <c r="DF1349" s="332"/>
      <c r="DG1349" s="332"/>
      <c r="DH1349" s="332"/>
      <c r="DI1349" s="332"/>
      <c r="DJ1349" s="332"/>
      <c r="DK1349" s="332"/>
      <c r="DL1349" s="332"/>
      <c r="DM1349" s="332"/>
      <c r="DN1349" s="332"/>
      <c r="DO1349" s="332"/>
      <c r="DP1349" s="332"/>
      <c r="DQ1349" s="332"/>
      <c r="DR1349" s="332"/>
      <c r="DS1349" s="332"/>
      <c r="DT1349" s="332"/>
      <c r="DU1349" s="453"/>
      <c r="DV1349" s="453"/>
      <c r="DW1349" s="453"/>
      <c r="DX1349" s="453"/>
      <c r="DY1349" s="453"/>
      <c r="DZ1349" s="453"/>
      <c r="EA1349" s="453"/>
      <c r="EB1349" s="453"/>
      <c r="EC1349" s="453"/>
      <c r="ED1349" s="453"/>
      <c r="EE1349" s="453"/>
      <c r="EF1349" s="453"/>
      <c r="EG1349" s="453"/>
      <c r="EH1349" s="453"/>
      <c r="EI1349" s="453"/>
      <c r="EJ1349" s="453"/>
      <c r="EK1349" s="453"/>
      <c r="EL1349" s="453"/>
      <c r="EM1349" s="483">
        <f t="shared" si="257"/>
        <v>1040</v>
      </c>
      <c r="EN1349" s="485"/>
      <c r="EO1349" s="458"/>
      <c r="EP1349" s="467"/>
      <c r="EQ1349" s="457"/>
      <c r="ER1349" s="808"/>
      <c r="ES1349" s="881">
        <f t="shared" si="262"/>
        <v>0</v>
      </c>
      <c r="ET1349" s="882"/>
      <c r="EU1349" s="883"/>
      <c r="EV1349" s="884">
        <f t="shared" si="263"/>
        <v>0</v>
      </c>
      <c r="EW1349" s="885"/>
      <c r="EX1349" s="885"/>
      <c r="EY1349" s="885"/>
      <c r="EZ1349" s="885"/>
      <c r="FA1349" s="885"/>
      <c r="FB1349" s="885"/>
      <c r="FC1349" s="885"/>
      <c r="FD1349" s="886"/>
      <c r="FE1349" s="877"/>
      <c r="FF1349" s="877"/>
      <c r="FG1349" s="877"/>
      <c r="FH1349" s="877"/>
      <c r="FI1349" s="877"/>
      <c r="FJ1349" s="877"/>
      <c r="FK1349" s="877"/>
      <c r="FL1349" s="874"/>
      <c r="FM1349" s="875"/>
      <c r="FN1349" s="875"/>
      <c r="FO1349" s="875"/>
      <c r="FP1349" s="875"/>
      <c r="FQ1349" s="875"/>
      <c r="FR1349" s="875"/>
      <c r="FS1349" s="875"/>
      <c r="FT1349" s="875"/>
      <c r="FU1349" s="875"/>
      <c r="FV1349" s="875"/>
      <c r="FW1349" s="875"/>
      <c r="FX1349" s="875"/>
      <c r="FY1349" s="875"/>
      <c r="FZ1349" s="875"/>
      <c r="GA1349" s="875"/>
      <c r="GB1349" s="876"/>
      <c r="GC1349" s="370"/>
      <c r="GD1349" s="453"/>
      <c r="GE1349" s="453"/>
      <c r="GF1349" s="453"/>
      <c r="GG1349" s="453"/>
      <c r="GH1349" s="454"/>
      <c r="GI1349" s="453"/>
      <c r="GJ1349" s="453"/>
      <c r="GK1349" s="453"/>
      <c r="GL1349" s="453"/>
      <c r="GM1349" s="453"/>
      <c r="GN1349" s="453"/>
      <c r="GO1349" s="453"/>
      <c r="GP1349" s="453"/>
      <c r="GQ1349" s="453"/>
      <c r="GR1349" s="453"/>
      <c r="GS1349" s="561"/>
      <c r="GT1349" s="475"/>
      <c r="GU1349" s="472"/>
      <c r="GV1349" s="453"/>
      <c r="GW1349" s="453"/>
      <c r="GX1349" s="869"/>
      <c r="GY1349" s="870"/>
      <c r="GZ1349" s="867"/>
      <c r="HA1349" s="868"/>
      <c r="HB1349" s="473"/>
      <c r="HC1349" s="869"/>
      <c r="HD1349" s="870"/>
      <c r="HE1349" s="867"/>
      <c r="HF1349" s="868"/>
      <c r="HG1349" s="473"/>
      <c r="HH1349" s="867"/>
      <c r="HI1349" s="868"/>
      <c r="HJ1349" s="867"/>
      <c r="HK1349" s="868"/>
      <c r="HL1349" s="370"/>
      <c r="HM1349" s="865"/>
      <c r="HN1349" s="866"/>
      <c r="HO1349" s="865"/>
      <c r="HP1349" s="866"/>
      <c r="HQ1349" s="865"/>
      <c r="HR1349" s="866"/>
      <c r="HS1349" s="867"/>
      <c r="HT1349" s="868"/>
      <c r="HU1349" s="489"/>
      <c r="HV1349" s="865"/>
      <c r="HW1349" s="866"/>
    </row>
    <row r="1350" spans="25:231" ht="15" customHeight="1">
      <c r="Y1350" s="332"/>
      <c r="Z1350" s="332"/>
      <c r="AA1350" s="332"/>
      <c r="AB1350" s="332"/>
      <c r="AC1350" s="332"/>
      <c r="AD1350" s="332"/>
      <c r="AE1350" s="332"/>
      <c r="AF1350" s="332"/>
      <c r="AG1350" s="332"/>
      <c r="AH1350" s="332"/>
      <c r="AI1350" s="332"/>
      <c r="AJ1350" s="332"/>
      <c r="AK1350" s="332"/>
      <c r="AL1350" s="332"/>
      <c r="AM1350" s="332"/>
      <c r="AN1350" s="332"/>
      <c r="AO1350" s="332"/>
      <c r="AP1350" s="332"/>
      <c r="AQ1350" s="332"/>
      <c r="AR1350" s="332"/>
      <c r="AS1350" s="332"/>
      <c r="AT1350" s="332"/>
      <c r="AU1350" s="332"/>
      <c r="AV1350" s="332"/>
      <c r="AW1350" s="332"/>
      <c r="AX1350" s="332"/>
      <c r="AY1350" s="332"/>
      <c r="AZ1350" s="332"/>
      <c r="BA1350" s="332"/>
      <c r="BB1350" s="332"/>
      <c r="BC1350" s="332"/>
      <c r="BD1350" s="332"/>
      <c r="BE1350" s="332"/>
      <c r="BF1350" s="332"/>
      <c r="BG1350" s="332"/>
      <c r="BH1350" s="332"/>
      <c r="BI1350" s="332"/>
      <c r="BJ1350" s="332"/>
      <c r="BK1350" s="332"/>
      <c r="BL1350" s="332"/>
      <c r="BM1350" s="332"/>
      <c r="BN1350" s="332"/>
      <c r="BO1350" s="332"/>
      <c r="BP1350" s="332"/>
      <c r="BQ1350" s="332"/>
      <c r="BR1350" s="332"/>
      <c r="BS1350" s="332"/>
      <c r="BT1350" s="332"/>
      <c r="BU1350" s="332"/>
      <c r="BV1350" s="332"/>
      <c r="BW1350" s="332"/>
      <c r="BX1350" s="332"/>
      <c r="BY1350" s="332"/>
      <c r="BZ1350" s="332"/>
      <c r="CA1350" s="332"/>
      <c r="CB1350" s="332"/>
      <c r="CC1350" s="332"/>
      <c r="CD1350" s="332"/>
      <c r="CE1350" s="332"/>
      <c r="CF1350" s="332"/>
      <c r="CG1350" s="332"/>
      <c r="CH1350" s="332"/>
      <c r="CI1350" s="332"/>
      <c r="CJ1350" s="332"/>
      <c r="CK1350" s="332"/>
      <c r="CL1350" s="332"/>
      <c r="CM1350" s="332"/>
      <c r="CN1350" s="332"/>
      <c r="CO1350" s="332"/>
      <c r="CP1350" s="332"/>
      <c r="CQ1350" s="332"/>
      <c r="CR1350" s="332"/>
      <c r="CS1350" s="332"/>
      <c r="CT1350" s="332"/>
      <c r="CU1350" s="332"/>
      <c r="CV1350" s="332"/>
      <c r="CW1350" s="332"/>
      <c r="CX1350" s="332"/>
      <c r="CY1350" s="332"/>
      <c r="CZ1350" s="332"/>
      <c r="DA1350" s="332"/>
      <c r="DB1350" s="332"/>
      <c r="DC1350" s="332"/>
      <c r="DD1350" s="332"/>
      <c r="DE1350" s="332"/>
      <c r="DF1350" s="332"/>
      <c r="DG1350" s="332"/>
      <c r="DH1350" s="332"/>
      <c r="DI1350" s="332"/>
      <c r="DJ1350" s="332"/>
      <c r="DK1350" s="332"/>
      <c r="DL1350" s="332"/>
      <c r="DM1350" s="332"/>
      <c r="DN1350" s="332"/>
      <c r="DO1350" s="332"/>
      <c r="DP1350" s="332"/>
      <c r="DQ1350" s="332"/>
      <c r="DR1350" s="332"/>
      <c r="DS1350" s="332"/>
      <c r="DT1350" s="332"/>
      <c r="DU1350" s="453"/>
      <c r="DV1350" s="453"/>
      <c r="DW1350" s="453"/>
      <c r="DX1350" s="453"/>
      <c r="DY1350" s="453"/>
      <c r="DZ1350" s="453"/>
      <c r="EA1350" s="453"/>
      <c r="EB1350" s="453"/>
      <c r="EC1350" s="453"/>
      <c r="ED1350" s="453"/>
      <c r="EE1350" s="453"/>
      <c r="EF1350" s="453"/>
      <c r="EG1350" s="453"/>
      <c r="EH1350" s="453"/>
      <c r="EI1350" s="453"/>
      <c r="EJ1350" s="453"/>
      <c r="EK1350" s="453"/>
      <c r="EL1350" s="453"/>
      <c r="EM1350" s="483">
        <f t="shared" si="257"/>
        <v>1041</v>
      </c>
      <c r="EN1350" s="485"/>
      <c r="EO1350" s="458"/>
      <c r="EP1350" s="467"/>
      <c r="EQ1350" s="457"/>
      <c r="ER1350" s="808"/>
      <c r="ES1350" s="881">
        <f t="shared" si="262"/>
        <v>0</v>
      </c>
      <c r="ET1350" s="882"/>
      <c r="EU1350" s="883"/>
      <c r="EV1350" s="884">
        <f t="shared" si="263"/>
        <v>0</v>
      </c>
      <c r="EW1350" s="885"/>
      <c r="EX1350" s="885"/>
      <c r="EY1350" s="885"/>
      <c r="EZ1350" s="885"/>
      <c r="FA1350" s="885"/>
      <c r="FB1350" s="885"/>
      <c r="FC1350" s="885"/>
      <c r="FD1350" s="886"/>
      <c r="FE1350" s="877"/>
      <c r="FF1350" s="877"/>
      <c r="FG1350" s="877"/>
      <c r="FH1350" s="877"/>
      <c r="FI1350" s="877"/>
      <c r="FJ1350" s="877"/>
      <c r="FK1350" s="877"/>
      <c r="FL1350" s="874"/>
      <c r="FM1350" s="875"/>
      <c r="FN1350" s="875"/>
      <c r="FO1350" s="875"/>
      <c r="FP1350" s="875"/>
      <c r="FQ1350" s="875"/>
      <c r="FR1350" s="875"/>
      <c r="FS1350" s="875"/>
      <c r="FT1350" s="875"/>
      <c r="FU1350" s="875"/>
      <c r="FV1350" s="875"/>
      <c r="FW1350" s="875"/>
      <c r="FX1350" s="875"/>
      <c r="FY1350" s="875"/>
      <c r="FZ1350" s="875"/>
      <c r="GA1350" s="875"/>
      <c r="GB1350" s="876"/>
      <c r="GC1350" s="370"/>
      <c r="GD1350" s="453"/>
      <c r="GE1350" s="453"/>
      <c r="GF1350" s="453"/>
      <c r="GG1350" s="453"/>
      <c r="GH1350" s="454"/>
      <c r="GI1350" s="453"/>
      <c r="GJ1350" s="453"/>
      <c r="GK1350" s="453"/>
      <c r="GL1350" s="453"/>
      <c r="GM1350" s="453"/>
      <c r="GN1350" s="453"/>
      <c r="GO1350" s="453"/>
      <c r="GP1350" s="453"/>
      <c r="GQ1350" s="453"/>
      <c r="GR1350" s="453"/>
      <c r="GS1350" s="561"/>
      <c r="GT1350" s="475"/>
      <c r="GU1350" s="472"/>
      <c r="GV1350" s="453"/>
      <c r="GW1350" s="453"/>
      <c r="GX1350" s="869"/>
      <c r="GY1350" s="870"/>
      <c r="GZ1350" s="867"/>
      <c r="HA1350" s="868"/>
      <c r="HB1350" s="473"/>
      <c r="HC1350" s="869"/>
      <c r="HD1350" s="870"/>
      <c r="HE1350" s="867"/>
      <c r="HF1350" s="868"/>
      <c r="HG1350" s="473"/>
      <c r="HH1350" s="867"/>
      <c r="HI1350" s="868"/>
      <c r="HJ1350" s="867"/>
      <c r="HK1350" s="868"/>
      <c r="HL1350" s="370"/>
      <c r="HM1350" s="865"/>
      <c r="HN1350" s="866"/>
      <c r="HO1350" s="865"/>
      <c r="HP1350" s="866"/>
      <c r="HQ1350" s="865"/>
      <c r="HR1350" s="866"/>
      <c r="HS1350" s="867"/>
      <c r="HT1350" s="868"/>
      <c r="HU1350" s="489"/>
      <c r="HV1350" s="865"/>
      <c r="HW1350" s="866"/>
    </row>
    <row r="1351" spans="25:231" ht="15" customHeight="1">
      <c r="Y1351" s="332"/>
      <c r="Z1351" s="332"/>
      <c r="AA1351" s="332"/>
      <c r="AB1351" s="332"/>
      <c r="AC1351" s="332"/>
      <c r="AD1351" s="332"/>
      <c r="AE1351" s="332"/>
      <c r="AF1351" s="332"/>
      <c r="AG1351" s="332"/>
      <c r="AH1351" s="332"/>
      <c r="AI1351" s="332"/>
      <c r="AJ1351" s="332"/>
      <c r="AK1351" s="332"/>
      <c r="AL1351" s="332"/>
      <c r="AM1351" s="332"/>
      <c r="AN1351" s="332"/>
      <c r="AO1351" s="332"/>
      <c r="AP1351" s="332"/>
      <c r="AQ1351" s="332"/>
      <c r="AR1351" s="332"/>
      <c r="AS1351" s="332"/>
      <c r="AT1351" s="332"/>
      <c r="AU1351" s="332"/>
      <c r="AV1351" s="332"/>
      <c r="AW1351" s="332"/>
      <c r="AX1351" s="332"/>
      <c r="AY1351" s="332"/>
      <c r="AZ1351" s="332"/>
      <c r="BA1351" s="332"/>
      <c r="BB1351" s="332"/>
      <c r="BC1351" s="332"/>
      <c r="BD1351" s="332"/>
      <c r="BE1351" s="332"/>
      <c r="BF1351" s="332"/>
      <c r="BG1351" s="332"/>
      <c r="BH1351" s="332"/>
      <c r="BI1351" s="332"/>
      <c r="BJ1351" s="332"/>
      <c r="BK1351" s="332"/>
      <c r="BL1351" s="332"/>
      <c r="BM1351" s="332"/>
      <c r="BN1351" s="332"/>
      <c r="BO1351" s="332"/>
      <c r="BP1351" s="332"/>
      <c r="BQ1351" s="332"/>
      <c r="BR1351" s="332"/>
      <c r="BS1351" s="332"/>
      <c r="BT1351" s="332"/>
      <c r="BU1351" s="332"/>
      <c r="BV1351" s="332"/>
      <c r="BW1351" s="332"/>
      <c r="BX1351" s="332"/>
      <c r="BY1351" s="332"/>
      <c r="BZ1351" s="332"/>
      <c r="CA1351" s="332"/>
      <c r="CB1351" s="332"/>
      <c r="CC1351" s="332"/>
      <c r="CD1351" s="332"/>
      <c r="CE1351" s="332"/>
      <c r="CF1351" s="332"/>
      <c r="CG1351" s="332"/>
      <c r="CH1351" s="332"/>
      <c r="CI1351" s="332"/>
      <c r="CJ1351" s="332"/>
      <c r="CK1351" s="332"/>
      <c r="CL1351" s="332"/>
      <c r="CM1351" s="332"/>
      <c r="CN1351" s="332"/>
      <c r="CO1351" s="332"/>
      <c r="CP1351" s="332"/>
      <c r="CQ1351" s="332"/>
      <c r="CR1351" s="332"/>
      <c r="CS1351" s="332"/>
      <c r="CT1351" s="332"/>
      <c r="CU1351" s="332"/>
      <c r="CV1351" s="332"/>
      <c r="CW1351" s="332"/>
      <c r="CX1351" s="332"/>
      <c r="CY1351" s="332"/>
      <c r="CZ1351" s="332"/>
      <c r="DA1351" s="332"/>
      <c r="DB1351" s="332"/>
      <c r="DC1351" s="332"/>
      <c r="DD1351" s="332"/>
      <c r="DE1351" s="332"/>
      <c r="DF1351" s="332"/>
      <c r="DG1351" s="332"/>
      <c r="DH1351" s="332"/>
      <c r="DI1351" s="332"/>
      <c r="DJ1351" s="332"/>
      <c r="DK1351" s="332"/>
      <c r="DL1351" s="332"/>
      <c r="DM1351" s="332"/>
      <c r="DN1351" s="332"/>
      <c r="DO1351" s="332"/>
      <c r="DP1351" s="332"/>
      <c r="DQ1351" s="332"/>
      <c r="DR1351" s="332"/>
      <c r="DS1351" s="332"/>
      <c r="DT1351" s="332"/>
      <c r="DU1351" s="453"/>
      <c r="DV1351" s="453"/>
      <c r="DW1351" s="453"/>
      <c r="DX1351" s="453"/>
      <c r="DY1351" s="453"/>
      <c r="DZ1351" s="453"/>
      <c r="EA1351" s="453"/>
      <c r="EB1351" s="453"/>
      <c r="EC1351" s="453"/>
      <c r="ED1351" s="453"/>
      <c r="EE1351" s="453"/>
      <c r="EF1351" s="453"/>
      <c r="EG1351" s="453"/>
      <c r="EH1351" s="453"/>
      <c r="EI1351" s="453"/>
      <c r="EJ1351" s="453"/>
      <c r="EK1351" s="453"/>
      <c r="EL1351" s="453"/>
      <c r="EM1351" s="483">
        <f t="shared" si="257"/>
        <v>1042</v>
      </c>
      <c r="EN1351" s="485"/>
      <c r="EO1351" s="458"/>
      <c r="EP1351" s="467"/>
      <c r="EQ1351" s="457"/>
      <c r="ER1351" s="808"/>
      <c r="ES1351" s="881">
        <f t="shared" si="262"/>
        <v>0</v>
      </c>
      <c r="ET1351" s="882"/>
      <c r="EU1351" s="883"/>
      <c r="EV1351" s="884">
        <f t="shared" si="263"/>
        <v>0</v>
      </c>
      <c r="EW1351" s="885"/>
      <c r="EX1351" s="885"/>
      <c r="EY1351" s="885"/>
      <c r="EZ1351" s="885"/>
      <c r="FA1351" s="885"/>
      <c r="FB1351" s="885"/>
      <c r="FC1351" s="885"/>
      <c r="FD1351" s="886"/>
      <c r="FE1351" s="877"/>
      <c r="FF1351" s="877"/>
      <c r="FG1351" s="877"/>
      <c r="FH1351" s="877"/>
      <c r="FI1351" s="877"/>
      <c r="FJ1351" s="877"/>
      <c r="FK1351" s="877"/>
      <c r="FL1351" s="874"/>
      <c r="FM1351" s="875"/>
      <c r="FN1351" s="875"/>
      <c r="FO1351" s="875"/>
      <c r="FP1351" s="875"/>
      <c r="FQ1351" s="875"/>
      <c r="FR1351" s="875"/>
      <c r="FS1351" s="875"/>
      <c r="FT1351" s="875"/>
      <c r="FU1351" s="875"/>
      <c r="FV1351" s="875"/>
      <c r="FW1351" s="875"/>
      <c r="FX1351" s="875"/>
      <c r="FY1351" s="875"/>
      <c r="FZ1351" s="875"/>
      <c r="GA1351" s="875"/>
      <c r="GB1351" s="876"/>
      <c r="GC1351" s="370"/>
      <c r="GD1351" s="453"/>
      <c r="GE1351" s="453"/>
      <c r="GF1351" s="453"/>
      <c r="GG1351" s="453"/>
      <c r="GH1351" s="454"/>
      <c r="GI1351" s="453"/>
      <c r="GJ1351" s="453"/>
      <c r="GK1351" s="453"/>
      <c r="GL1351" s="453"/>
      <c r="GM1351" s="453"/>
      <c r="GN1351" s="453"/>
      <c r="GO1351" s="453"/>
      <c r="GP1351" s="453"/>
      <c r="GQ1351" s="453"/>
      <c r="GR1351" s="453"/>
      <c r="GS1351" s="561"/>
      <c r="GT1351" s="475"/>
      <c r="GU1351" s="472"/>
      <c r="GV1351" s="453"/>
      <c r="GW1351" s="453"/>
      <c r="GX1351" s="869"/>
      <c r="GY1351" s="870"/>
      <c r="GZ1351" s="867"/>
      <c r="HA1351" s="868"/>
      <c r="HB1351" s="473"/>
      <c r="HC1351" s="869"/>
      <c r="HD1351" s="870"/>
      <c r="HE1351" s="867"/>
      <c r="HF1351" s="868"/>
      <c r="HG1351" s="473"/>
      <c r="HH1351" s="867"/>
      <c r="HI1351" s="868"/>
      <c r="HJ1351" s="867"/>
      <c r="HK1351" s="868"/>
      <c r="HL1351" s="370"/>
      <c r="HM1351" s="865"/>
      <c r="HN1351" s="866"/>
      <c r="HO1351" s="865"/>
      <c r="HP1351" s="866"/>
      <c r="HQ1351" s="865"/>
      <c r="HR1351" s="866"/>
      <c r="HS1351" s="867"/>
      <c r="HT1351" s="868"/>
      <c r="HU1351" s="489"/>
      <c r="HV1351" s="865"/>
      <c r="HW1351" s="866"/>
    </row>
    <row r="1352" spans="25:231" ht="15" customHeight="1">
      <c r="Y1352" s="332"/>
      <c r="Z1352" s="332"/>
      <c r="AA1352" s="332"/>
      <c r="AB1352" s="332"/>
      <c r="AC1352" s="332"/>
      <c r="AD1352" s="332"/>
      <c r="AE1352" s="332"/>
      <c r="AF1352" s="332"/>
      <c r="AG1352" s="332"/>
      <c r="AH1352" s="332"/>
      <c r="AI1352" s="332"/>
      <c r="AJ1352" s="332"/>
      <c r="AK1352" s="332"/>
      <c r="AL1352" s="332"/>
      <c r="AM1352" s="332"/>
      <c r="AN1352" s="332"/>
      <c r="AO1352" s="332"/>
      <c r="AP1352" s="332"/>
      <c r="AQ1352" s="332"/>
      <c r="AR1352" s="332"/>
      <c r="AS1352" s="332"/>
      <c r="AT1352" s="332"/>
      <c r="AU1352" s="332"/>
      <c r="AV1352" s="332"/>
      <c r="AW1352" s="332"/>
      <c r="AX1352" s="332"/>
      <c r="AY1352" s="332"/>
      <c r="AZ1352" s="332"/>
      <c r="BA1352" s="332"/>
      <c r="BB1352" s="332"/>
      <c r="BC1352" s="332"/>
      <c r="BD1352" s="332"/>
      <c r="BE1352" s="332"/>
      <c r="BF1352" s="332"/>
      <c r="BG1352" s="332"/>
      <c r="BH1352" s="332"/>
      <c r="BI1352" s="332"/>
      <c r="BJ1352" s="332"/>
      <c r="BK1352" s="332"/>
      <c r="BL1352" s="332"/>
      <c r="BM1352" s="332"/>
      <c r="BN1352" s="332"/>
      <c r="BO1352" s="332"/>
      <c r="BP1352" s="332"/>
      <c r="BQ1352" s="332"/>
      <c r="BR1352" s="332"/>
      <c r="BS1352" s="332"/>
      <c r="BT1352" s="332"/>
      <c r="BU1352" s="332"/>
      <c r="BV1352" s="332"/>
      <c r="BW1352" s="332"/>
      <c r="BX1352" s="332"/>
      <c r="BY1352" s="332"/>
      <c r="BZ1352" s="332"/>
      <c r="CA1352" s="332"/>
      <c r="CB1352" s="332"/>
      <c r="CC1352" s="332"/>
      <c r="CD1352" s="332"/>
      <c r="CE1352" s="332"/>
      <c r="CF1352" s="332"/>
      <c r="CG1352" s="332"/>
      <c r="CH1352" s="332"/>
      <c r="CI1352" s="332"/>
      <c r="CJ1352" s="332"/>
      <c r="CK1352" s="332"/>
      <c r="CL1352" s="332"/>
      <c r="CM1352" s="332"/>
      <c r="CN1352" s="332"/>
      <c r="CO1352" s="332"/>
      <c r="CP1352" s="332"/>
      <c r="CQ1352" s="332"/>
      <c r="CR1352" s="332"/>
      <c r="CS1352" s="332"/>
      <c r="CT1352" s="332"/>
      <c r="CU1352" s="332"/>
      <c r="CV1352" s="332"/>
      <c r="CW1352" s="332"/>
      <c r="CX1352" s="332"/>
      <c r="CY1352" s="332"/>
      <c r="CZ1352" s="332"/>
      <c r="DA1352" s="332"/>
      <c r="DB1352" s="332"/>
      <c r="DC1352" s="332"/>
      <c r="DD1352" s="332"/>
      <c r="DE1352" s="332"/>
      <c r="DF1352" s="332"/>
      <c r="DG1352" s="332"/>
      <c r="DH1352" s="332"/>
      <c r="DI1352" s="332"/>
      <c r="DJ1352" s="332"/>
      <c r="DK1352" s="332"/>
      <c r="DL1352" s="332"/>
      <c r="DM1352" s="332"/>
      <c r="DN1352" s="332"/>
      <c r="DO1352" s="332"/>
      <c r="DP1352" s="332"/>
      <c r="DQ1352" s="332"/>
      <c r="DR1352" s="332"/>
      <c r="DS1352" s="332"/>
      <c r="DT1352" s="332"/>
      <c r="DU1352" s="453"/>
      <c r="DV1352" s="453"/>
      <c r="DW1352" s="453"/>
      <c r="DX1352" s="453"/>
      <c r="DY1352" s="453"/>
      <c r="DZ1352" s="453"/>
      <c r="EA1352" s="453"/>
      <c r="EB1352" s="453"/>
      <c r="EC1352" s="453"/>
      <c r="ED1352" s="453"/>
      <c r="EE1352" s="453"/>
      <c r="EF1352" s="453"/>
      <c r="EG1352" s="453"/>
      <c r="EH1352" s="453"/>
      <c r="EI1352" s="453"/>
      <c r="EJ1352" s="453"/>
      <c r="EK1352" s="453"/>
      <c r="EL1352" s="453"/>
      <c r="EM1352" s="483">
        <f t="shared" si="257"/>
        <v>1043</v>
      </c>
      <c r="EN1352" s="485"/>
      <c r="EO1352" s="458"/>
      <c r="EP1352" s="467"/>
      <c r="EQ1352" s="457"/>
      <c r="ER1352" s="808"/>
      <c r="ES1352" s="881">
        <f t="shared" si="262"/>
        <v>0</v>
      </c>
      <c r="ET1352" s="882"/>
      <c r="EU1352" s="883"/>
      <c r="EV1352" s="884">
        <f t="shared" si="263"/>
        <v>0</v>
      </c>
      <c r="EW1352" s="885"/>
      <c r="EX1352" s="885"/>
      <c r="EY1352" s="885"/>
      <c r="EZ1352" s="885"/>
      <c r="FA1352" s="885"/>
      <c r="FB1352" s="885"/>
      <c r="FC1352" s="885"/>
      <c r="FD1352" s="886"/>
      <c r="FE1352" s="877"/>
      <c r="FF1352" s="877"/>
      <c r="FG1352" s="877"/>
      <c r="FH1352" s="877"/>
      <c r="FI1352" s="877"/>
      <c r="FJ1352" s="877"/>
      <c r="FK1352" s="877"/>
      <c r="FL1352" s="874"/>
      <c r="FM1352" s="875"/>
      <c r="FN1352" s="875"/>
      <c r="FO1352" s="875"/>
      <c r="FP1352" s="875"/>
      <c r="FQ1352" s="875"/>
      <c r="FR1352" s="875"/>
      <c r="FS1352" s="875"/>
      <c r="FT1352" s="875"/>
      <c r="FU1352" s="875"/>
      <c r="FV1352" s="875"/>
      <c r="FW1352" s="875"/>
      <c r="FX1352" s="875"/>
      <c r="FY1352" s="875"/>
      <c r="FZ1352" s="875"/>
      <c r="GA1352" s="875"/>
      <c r="GB1352" s="876"/>
      <c r="GC1352" s="370"/>
      <c r="GD1352" s="453"/>
      <c r="GE1352" s="453"/>
      <c r="GF1352" s="453"/>
      <c r="GG1352" s="453"/>
      <c r="GH1352" s="454"/>
      <c r="GI1352" s="453"/>
      <c r="GJ1352" s="453"/>
      <c r="GK1352" s="453"/>
      <c r="GL1352" s="453"/>
      <c r="GM1352" s="453"/>
      <c r="GN1352" s="453"/>
      <c r="GO1352" s="453"/>
      <c r="GP1352" s="453"/>
      <c r="GQ1352" s="453"/>
      <c r="GR1352" s="453"/>
      <c r="GS1352" s="561"/>
      <c r="GT1352" s="475"/>
      <c r="GU1352" s="472"/>
      <c r="GV1352" s="453"/>
      <c r="GW1352" s="453"/>
      <c r="GX1352" s="869"/>
      <c r="GY1352" s="870"/>
      <c r="GZ1352" s="867"/>
      <c r="HA1352" s="868"/>
      <c r="HB1352" s="473"/>
      <c r="HC1352" s="869"/>
      <c r="HD1352" s="870"/>
      <c r="HE1352" s="867"/>
      <c r="HF1352" s="868"/>
      <c r="HG1352" s="473"/>
      <c r="HH1352" s="867"/>
      <c r="HI1352" s="868"/>
      <c r="HJ1352" s="867"/>
      <c r="HK1352" s="868"/>
      <c r="HL1352" s="370"/>
      <c r="HM1352" s="865"/>
      <c r="HN1352" s="866"/>
      <c r="HO1352" s="865"/>
      <c r="HP1352" s="866"/>
      <c r="HQ1352" s="865"/>
      <c r="HR1352" s="866"/>
      <c r="HS1352" s="867"/>
      <c r="HT1352" s="868"/>
      <c r="HU1352" s="489"/>
      <c r="HV1352" s="865"/>
      <c r="HW1352" s="866"/>
    </row>
    <row r="1353" spans="25:231" ht="15" customHeight="1">
      <c r="Y1353" s="332"/>
      <c r="Z1353" s="332"/>
      <c r="AA1353" s="332"/>
      <c r="AB1353" s="332"/>
      <c r="AC1353" s="332"/>
      <c r="AD1353" s="332"/>
      <c r="AE1353" s="332"/>
      <c r="AF1353" s="332"/>
      <c r="AG1353" s="332"/>
      <c r="AH1353" s="332"/>
      <c r="AI1353" s="332"/>
      <c r="AJ1353" s="332"/>
      <c r="AK1353" s="332"/>
      <c r="AL1353" s="332"/>
      <c r="AM1353" s="332"/>
      <c r="AN1353" s="332"/>
      <c r="AO1353" s="332"/>
      <c r="AP1353" s="332"/>
      <c r="AQ1353" s="332"/>
      <c r="AR1353" s="332"/>
      <c r="AS1353" s="332"/>
      <c r="AT1353" s="332"/>
      <c r="AU1353" s="332"/>
      <c r="AV1353" s="332"/>
      <c r="AW1353" s="332"/>
      <c r="AX1353" s="332"/>
      <c r="AY1353" s="332"/>
      <c r="AZ1353" s="332"/>
      <c r="BA1353" s="332"/>
      <c r="BB1353" s="332"/>
      <c r="BC1353" s="332"/>
      <c r="BD1353" s="332"/>
      <c r="BE1353" s="332"/>
      <c r="BF1353" s="332"/>
      <c r="BG1353" s="332"/>
      <c r="BH1353" s="332"/>
      <c r="BI1353" s="332"/>
      <c r="BJ1353" s="332"/>
      <c r="BK1353" s="332"/>
      <c r="BL1353" s="332"/>
      <c r="BM1353" s="332"/>
      <c r="BN1353" s="332"/>
      <c r="BO1353" s="332"/>
      <c r="BP1353" s="332"/>
      <c r="BQ1353" s="332"/>
      <c r="BR1353" s="332"/>
      <c r="BS1353" s="332"/>
      <c r="BT1353" s="332"/>
      <c r="BU1353" s="332"/>
      <c r="BV1353" s="332"/>
      <c r="BW1353" s="332"/>
      <c r="BX1353" s="332"/>
      <c r="BY1353" s="332"/>
      <c r="BZ1353" s="332"/>
      <c r="CA1353" s="332"/>
      <c r="CB1353" s="332"/>
      <c r="CC1353" s="332"/>
      <c r="CD1353" s="332"/>
      <c r="CE1353" s="332"/>
      <c r="CF1353" s="332"/>
      <c r="CG1353" s="332"/>
      <c r="CH1353" s="332"/>
      <c r="CI1353" s="332"/>
      <c r="CJ1353" s="332"/>
      <c r="CK1353" s="332"/>
      <c r="CL1353" s="332"/>
      <c r="CM1353" s="332"/>
      <c r="CN1353" s="332"/>
      <c r="CO1353" s="332"/>
      <c r="CP1353" s="332"/>
      <c r="CQ1353" s="332"/>
      <c r="CR1353" s="332"/>
      <c r="CS1353" s="332"/>
      <c r="CT1353" s="332"/>
      <c r="CU1353" s="332"/>
      <c r="CV1353" s="332"/>
      <c r="CW1353" s="332"/>
      <c r="CX1353" s="332"/>
      <c r="CY1353" s="332"/>
      <c r="CZ1353" s="332"/>
      <c r="DA1353" s="332"/>
      <c r="DB1353" s="332"/>
      <c r="DC1353" s="332"/>
      <c r="DD1353" s="332"/>
      <c r="DE1353" s="332"/>
      <c r="DF1353" s="332"/>
      <c r="DG1353" s="332"/>
      <c r="DH1353" s="332"/>
      <c r="DI1353" s="332"/>
      <c r="DJ1353" s="332"/>
      <c r="DK1353" s="332"/>
      <c r="DL1353" s="332"/>
      <c r="DM1353" s="332"/>
      <c r="DN1353" s="332"/>
      <c r="DO1353" s="332"/>
      <c r="DP1353" s="332"/>
      <c r="DQ1353" s="332"/>
      <c r="DR1353" s="332"/>
      <c r="DS1353" s="332"/>
      <c r="DT1353" s="332"/>
      <c r="DU1353" s="453"/>
      <c r="DV1353" s="453"/>
      <c r="DW1353" s="453"/>
      <c r="DX1353" s="453"/>
      <c r="DY1353" s="453"/>
      <c r="DZ1353" s="453"/>
      <c r="EA1353" s="453"/>
      <c r="EB1353" s="453"/>
      <c r="EC1353" s="453"/>
      <c r="ED1353" s="453"/>
      <c r="EE1353" s="453"/>
      <c r="EF1353" s="453"/>
      <c r="EG1353" s="453"/>
      <c r="EH1353" s="453"/>
      <c r="EI1353" s="453"/>
      <c r="EJ1353" s="453"/>
      <c r="EK1353" s="453"/>
      <c r="EL1353" s="453"/>
      <c r="EM1353" s="483">
        <f t="shared" si="257"/>
        <v>1044</v>
      </c>
      <c r="EN1353" s="485"/>
      <c r="EO1353" s="458"/>
      <c r="EP1353" s="467"/>
      <c r="EQ1353" s="457"/>
      <c r="ER1353" s="808"/>
      <c r="ES1353" s="881">
        <f t="shared" si="262"/>
        <v>0</v>
      </c>
      <c r="ET1353" s="882"/>
      <c r="EU1353" s="883"/>
      <c r="EV1353" s="884">
        <f t="shared" si="263"/>
        <v>0</v>
      </c>
      <c r="EW1353" s="885"/>
      <c r="EX1353" s="885"/>
      <c r="EY1353" s="885"/>
      <c r="EZ1353" s="885"/>
      <c r="FA1353" s="885"/>
      <c r="FB1353" s="885"/>
      <c r="FC1353" s="885"/>
      <c r="FD1353" s="886"/>
      <c r="FE1353" s="877"/>
      <c r="FF1353" s="877"/>
      <c r="FG1353" s="877"/>
      <c r="FH1353" s="877"/>
      <c r="FI1353" s="877"/>
      <c r="FJ1353" s="877"/>
      <c r="FK1353" s="877"/>
      <c r="FL1353" s="874"/>
      <c r="FM1353" s="875"/>
      <c r="FN1353" s="875"/>
      <c r="FO1353" s="875"/>
      <c r="FP1353" s="875"/>
      <c r="FQ1353" s="875"/>
      <c r="FR1353" s="875"/>
      <c r="FS1353" s="875"/>
      <c r="FT1353" s="875"/>
      <c r="FU1353" s="875"/>
      <c r="FV1353" s="875"/>
      <c r="FW1353" s="875"/>
      <c r="FX1353" s="875"/>
      <c r="FY1353" s="875"/>
      <c r="FZ1353" s="875"/>
      <c r="GA1353" s="875"/>
      <c r="GB1353" s="876"/>
      <c r="GC1353" s="370"/>
      <c r="GD1353" s="453"/>
      <c r="GE1353" s="453"/>
      <c r="GF1353" s="453"/>
      <c r="GG1353" s="453"/>
      <c r="GH1353" s="454"/>
      <c r="GI1353" s="453"/>
      <c r="GJ1353" s="453"/>
      <c r="GK1353" s="453"/>
      <c r="GL1353" s="453"/>
      <c r="GM1353" s="453"/>
      <c r="GN1353" s="453"/>
      <c r="GO1353" s="453"/>
      <c r="GP1353" s="453"/>
      <c r="GQ1353" s="453"/>
      <c r="GR1353" s="453"/>
      <c r="GS1353" s="561"/>
      <c r="GT1353" s="475"/>
      <c r="GU1353" s="472"/>
      <c r="GV1353" s="453"/>
      <c r="GW1353" s="453"/>
      <c r="GX1353" s="869"/>
      <c r="GY1353" s="870"/>
      <c r="GZ1353" s="867"/>
      <c r="HA1353" s="868"/>
      <c r="HB1353" s="473"/>
      <c r="HC1353" s="869"/>
      <c r="HD1353" s="870"/>
      <c r="HE1353" s="867"/>
      <c r="HF1353" s="868"/>
      <c r="HG1353" s="473"/>
      <c r="HH1353" s="867"/>
      <c r="HI1353" s="868"/>
      <c r="HJ1353" s="867"/>
      <c r="HK1353" s="868"/>
      <c r="HL1353" s="370"/>
      <c r="HM1353" s="865"/>
      <c r="HN1353" s="866"/>
      <c r="HO1353" s="865"/>
      <c r="HP1353" s="866"/>
      <c r="HQ1353" s="865"/>
      <c r="HR1353" s="866"/>
      <c r="HS1353" s="867"/>
      <c r="HT1353" s="868"/>
      <c r="HU1353" s="489"/>
      <c r="HV1353" s="865"/>
      <c r="HW1353" s="866"/>
    </row>
    <row r="1354" spans="25:231" ht="15" customHeight="1">
      <c r="Y1354" s="332"/>
      <c r="Z1354" s="332"/>
      <c r="AA1354" s="332"/>
      <c r="AB1354" s="332"/>
      <c r="AC1354" s="332"/>
      <c r="AD1354" s="332"/>
      <c r="AE1354" s="332"/>
      <c r="AF1354" s="332"/>
      <c r="AG1354" s="332"/>
      <c r="AH1354" s="332"/>
      <c r="AI1354" s="332"/>
      <c r="AJ1354" s="332"/>
      <c r="AK1354" s="332"/>
      <c r="AL1354" s="332"/>
      <c r="AM1354" s="332"/>
      <c r="AN1354" s="332"/>
      <c r="AO1354" s="332"/>
      <c r="AP1354" s="332"/>
      <c r="AQ1354" s="332"/>
      <c r="AR1354" s="332"/>
      <c r="AS1354" s="332"/>
      <c r="AT1354" s="332"/>
      <c r="AU1354" s="332"/>
      <c r="AV1354" s="332"/>
      <c r="AW1354" s="332"/>
      <c r="AX1354" s="332"/>
      <c r="AY1354" s="332"/>
      <c r="AZ1354" s="332"/>
      <c r="BA1354" s="332"/>
      <c r="BB1354" s="332"/>
      <c r="BC1354" s="332"/>
      <c r="BD1354" s="332"/>
      <c r="BE1354" s="332"/>
      <c r="BF1354" s="332"/>
      <c r="BG1354" s="332"/>
      <c r="BH1354" s="332"/>
      <c r="BI1354" s="332"/>
      <c r="BJ1354" s="332"/>
      <c r="BK1354" s="332"/>
      <c r="BL1354" s="332"/>
      <c r="BM1354" s="332"/>
      <c r="BN1354" s="332"/>
      <c r="BO1354" s="332"/>
      <c r="BP1354" s="332"/>
      <c r="BQ1354" s="332"/>
      <c r="BR1354" s="332"/>
      <c r="BS1354" s="332"/>
      <c r="BT1354" s="332"/>
      <c r="BU1354" s="332"/>
      <c r="BV1354" s="332"/>
      <c r="BW1354" s="332"/>
      <c r="BX1354" s="332"/>
      <c r="BY1354" s="332"/>
      <c r="BZ1354" s="332"/>
      <c r="CA1354" s="332"/>
      <c r="CB1354" s="332"/>
      <c r="CC1354" s="332"/>
      <c r="CD1354" s="332"/>
      <c r="CE1354" s="332"/>
      <c r="CF1354" s="332"/>
      <c r="CG1354" s="332"/>
      <c r="CH1354" s="332"/>
      <c r="CI1354" s="332"/>
      <c r="CJ1354" s="332"/>
      <c r="CK1354" s="332"/>
      <c r="CL1354" s="332"/>
      <c r="CM1354" s="332"/>
      <c r="CN1354" s="332"/>
      <c r="CO1354" s="332"/>
      <c r="CP1354" s="332"/>
      <c r="CQ1354" s="332"/>
      <c r="CR1354" s="332"/>
      <c r="CS1354" s="332"/>
      <c r="CT1354" s="332"/>
      <c r="CU1354" s="332"/>
      <c r="CV1354" s="332"/>
      <c r="CW1354" s="332"/>
      <c r="CX1354" s="332"/>
      <c r="CY1354" s="332"/>
      <c r="CZ1354" s="332"/>
      <c r="DA1354" s="332"/>
      <c r="DB1354" s="332"/>
      <c r="DC1354" s="332"/>
      <c r="DD1354" s="332"/>
      <c r="DE1354" s="332"/>
      <c r="DF1354" s="332"/>
      <c r="DG1354" s="332"/>
      <c r="DH1354" s="332"/>
      <c r="DI1354" s="332"/>
      <c r="DJ1354" s="332"/>
      <c r="DK1354" s="332"/>
      <c r="DL1354" s="332"/>
      <c r="DM1354" s="332"/>
      <c r="DN1354" s="332"/>
      <c r="DO1354" s="332"/>
      <c r="DP1354" s="332"/>
      <c r="DQ1354" s="332"/>
      <c r="DR1354" s="332"/>
      <c r="DS1354" s="332"/>
      <c r="DT1354" s="332"/>
      <c r="DU1354" s="453"/>
      <c r="DV1354" s="453"/>
      <c r="DW1354" s="453"/>
      <c r="DX1354" s="453"/>
      <c r="DY1354" s="453"/>
      <c r="DZ1354" s="453"/>
      <c r="EA1354" s="453"/>
      <c r="EB1354" s="453"/>
      <c r="EC1354" s="453"/>
      <c r="ED1354" s="453"/>
      <c r="EE1354" s="453"/>
      <c r="EF1354" s="453"/>
      <c r="EG1354" s="453"/>
      <c r="EH1354" s="453"/>
      <c r="EI1354" s="453"/>
      <c r="EJ1354" s="453"/>
      <c r="EK1354" s="453"/>
      <c r="EL1354" s="453"/>
      <c r="EM1354" s="483">
        <f t="shared" si="257"/>
        <v>1045</v>
      </c>
      <c r="EN1354" s="485"/>
      <c r="EO1354" s="458"/>
      <c r="EP1354" s="467"/>
      <c r="EQ1354" s="457"/>
      <c r="ER1354" s="808"/>
      <c r="ES1354" s="881">
        <f t="shared" si="262"/>
        <v>0</v>
      </c>
      <c r="ET1354" s="882"/>
      <c r="EU1354" s="883"/>
      <c r="EV1354" s="884">
        <f t="shared" si="263"/>
        <v>0</v>
      </c>
      <c r="EW1354" s="885"/>
      <c r="EX1354" s="885"/>
      <c r="EY1354" s="885"/>
      <c r="EZ1354" s="885"/>
      <c r="FA1354" s="885"/>
      <c r="FB1354" s="885"/>
      <c r="FC1354" s="885"/>
      <c r="FD1354" s="886"/>
      <c r="FE1354" s="877"/>
      <c r="FF1354" s="877"/>
      <c r="FG1354" s="877"/>
      <c r="FH1354" s="877"/>
      <c r="FI1354" s="877"/>
      <c r="FJ1354" s="877"/>
      <c r="FK1354" s="877"/>
      <c r="FL1354" s="874"/>
      <c r="FM1354" s="875"/>
      <c r="FN1354" s="875"/>
      <c r="FO1354" s="875"/>
      <c r="FP1354" s="875"/>
      <c r="FQ1354" s="875"/>
      <c r="FR1354" s="875"/>
      <c r="FS1354" s="875"/>
      <c r="FT1354" s="875"/>
      <c r="FU1354" s="875"/>
      <c r="FV1354" s="875"/>
      <c r="FW1354" s="875"/>
      <c r="FX1354" s="875"/>
      <c r="FY1354" s="875"/>
      <c r="FZ1354" s="875"/>
      <c r="GA1354" s="875"/>
      <c r="GB1354" s="876"/>
      <c r="GC1354" s="370"/>
      <c r="GD1354" s="453"/>
      <c r="GE1354" s="453"/>
      <c r="GF1354" s="453"/>
      <c r="GG1354" s="453"/>
      <c r="GH1354" s="454"/>
      <c r="GI1354" s="453"/>
      <c r="GJ1354" s="453"/>
      <c r="GK1354" s="453"/>
      <c r="GL1354" s="453"/>
      <c r="GM1354" s="453"/>
      <c r="GN1354" s="453"/>
      <c r="GO1354" s="453"/>
      <c r="GP1354" s="453"/>
      <c r="GQ1354" s="453"/>
      <c r="GR1354" s="453"/>
      <c r="GS1354" s="561"/>
      <c r="GT1354" s="475"/>
      <c r="GU1354" s="472"/>
      <c r="GV1354" s="453"/>
      <c r="GW1354" s="453"/>
      <c r="GX1354" s="869"/>
      <c r="GY1354" s="870"/>
      <c r="GZ1354" s="867"/>
      <c r="HA1354" s="868"/>
      <c r="HB1354" s="473"/>
      <c r="HC1354" s="869"/>
      <c r="HD1354" s="870"/>
      <c r="HE1354" s="867"/>
      <c r="HF1354" s="868"/>
      <c r="HG1354" s="473"/>
      <c r="HH1354" s="867"/>
      <c r="HI1354" s="868"/>
      <c r="HJ1354" s="867"/>
      <c r="HK1354" s="868"/>
      <c r="HL1354" s="370"/>
      <c r="HM1354" s="865"/>
      <c r="HN1354" s="866"/>
      <c r="HO1354" s="865"/>
      <c r="HP1354" s="866"/>
      <c r="HQ1354" s="865"/>
      <c r="HR1354" s="866"/>
      <c r="HS1354" s="867"/>
      <c r="HT1354" s="868"/>
      <c r="HU1354" s="489"/>
      <c r="HV1354" s="865"/>
      <c r="HW1354" s="866"/>
    </row>
    <row r="1355" spans="25:231" ht="15" customHeight="1">
      <c r="Y1355" s="332"/>
      <c r="Z1355" s="332"/>
      <c r="AA1355" s="332"/>
      <c r="AB1355" s="332"/>
      <c r="AC1355" s="332"/>
      <c r="AD1355" s="332"/>
      <c r="AE1355" s="332"/>
      <c r="AF1355" s="332"/>
      <c r="AG1355" s="332"/>
      <c r="AH1355" s="332"/>
      <c r="AI1355" s="332"/>
      <c r="AJ1355" s="332"/>
      <c r="AK1355" s="332"/>
      <c r="AL1355" s="332"/>
      <c r="AM1355" s="332"/>
      <c r="AN1355" s="332"/>
      <c r="AO1355" s="332"/>
      <c r="AP1355" s="332"/>
      <c r="AQ1355" s="332"/>
      <c r="AR1355" s="332"/>
      <c r="AS1355" s="332"/>
      <c r="AT1355" s="332"/>
      <c r="AU1355" s="332"/>
      <c r="AV1355" s="332"/>
      <c r="AW1355" s="332"/>
      <c r="AX1355" s="332"/>
      <c r="AY1355" s="332"/>
      <c r="AZ1355" s="332"/>
      <c r="BA1355" s="332"/>
      <c r="BB1355" s="332"/>
      <c r="BC1355" s="332"/>
      <c r="BD1355" s="332"/>
      <c r="BE1355" s="332"/>
      <c r="BF1355" s="332"/>
      <c r="BG1355" s="332"/>
      <c r="BH1355" s="332"/>
      <c r="BI1355" s="332"/>
      <c r="BJ1355" s="332"/>
      <c r="BK1355" s="332"/>
      <c r="BL1355" s="332"/>
      <c r="BM1355" s="332"/>
      <c r="BN1355" s="332"/>
      <c r="BO1355" s="332"/>
      <c r="BP1355" s="332"/>
      <c r="BQ1355" s="332"/>
      <c r="BR1355" s="332"/>
      <c r="BS1355" s="332"/>
      <c r="BT1355" s="332"/>
      <c r="BU1355" s="332"/>
      <c r="BV1355" s="332"/>
      <c r="BW1355" s="332"/>
      <c r="BX1355" s="332"/>
      <c r="BY1355" s="332"/>
      <c r="BZ1355" s="332"/>
      <c r="CA1355" s="332"/>
      <c r="CB1355" s="332"/>
      <c r="CC1355" s="332"/>
      <c r="CD1355" s="332"/>
      <c r="CE1355" s="332"/>
      <c r="CF1355" s="332"/>
      <c r="CG1355" s="332"/>
      <c r="CH1355" s="332"/>
      <c r="CI1355" s="332"/>
      <c r="CJ1355" s="332"/>
      <c r="CK1355" s="332"/>
      <c r="CL1355" s="332"/>
      <c r="CM1355" s="332"/>
      <c r="CN1355" s="332"/>
      <c r="CO1355" s="332"/>
      <c r="CP1355" s="332"/>
      <c r="CQ1355" s="332"/>
      <c r="CR1355" s="332"/>
      <c r="CS1355" s="332"/>
      <c r="CT1355" s="332"/>
      <c r="CU1355" s="332"/>
      <c r="CV1355" s="332"/>
      <c r="CW1355" s="332"/>
      <c r="CX1355" s="332"/>
      <c r="CY1355" s="332"/>
      <c r="CZ1355" s="332"/>
      <c r="DA1355" s="332"/>
      <c r="DB1355" s="332"/>
      <c r="DC1355" s="332"/>
      <c r="DD1355" s="332"/>
      <c r="DE1355" s="332"/>
      <c r="DF1355" s="332"/>
      <c r="DG1355" s="332"/>
      <c r="DH1355" s="332"/>
      <c r="DI1355" s="332"/>
      <c r="DJ1355" s="332"/>
      <c r="DK1355" s="332"/>
      <c r="DL1355" s="332"/>
      <c r="DM1355" s="332"/>
      <c r="DN1355" s="332"/>
      <c r="DO1355" s="332"/>
      <c r="DP1355" s="332"/>
      <c r="DQ1355" s="332"/>
      <c r="DR1355" s="332"/>
      <c r="DS1355" s="332"/>
      <c r="DT1355" s="332"/>
      <c r="DU1355" s="453"/>
      <c r="DV1355" s="453"/>
      <c r="DW1355" s="453"/>
      <c r="DX1355" s="453"/>
      <c r="DY1355" s="453"/>
      <c r="DZ1355" s="453"/>
      <c r="EA1355" s="453"/>
      <c r="EB1355" s="453"/>
      <c r="EC1355" s="453"/>
      <c r="ED1355" s="453"/>
      <c r="EE1355" s="453"/>
      <c r="EF1355" s="453"/>
      <c r="EG1355" s="453"/>
      <c r="EH1355" s="453"/>
      <c r="EI1355" s="453"/>
      <c r="EJ1355" s="453"/>
      <c r="EK1355" s="453"/>
      <c r="EL1355" s="453"/>
      <c r="EM1355" s="483">
        <f t="shared" si="257"/>
        <v>1046</v>
      </c>
      <c r="EN1355" s="485"/>
      <c r="EO1355" s="458"/>
      <c r="EP1355" s="467"/>
      <c r="EQ1355" s="457"/>
      <c r="ER1355" s="808"/>
      <c r="ES1355" s="881">
        <f t="shared" si="262"/>
        <v>0</v>
      </c>
      <c r="ET1355" s="882"/>
      <c r="EU1355" s="883"/>
      <c r="EV1355" s="884">
        <f t="shared" si="263"/>
        <v>0</v>
      </c>
      <c r="EW1355" s="885"/>
      <c r="EX1355" s="885"/>
      <c r="EY1355" s="885"/>
      <c r="EZ1355" s="885"/>
      <c r="FA1355" s="885"/>
      <c r="FB1355" s="885"/>
      <c r="FC1355" s="885"/>
      <c r="FD1355" s="886"/>
      <c r="FE1355" s="877"/>
      <c r="FF1355" s="877"/>
      <c r="FG1355" s="877"/>
      <c r="FH1355" s="877"/>
      <c r="FI1355" s="877"/>
      <c r="FJ1355" s="877"/>
      <c r="FK1355" s="877"/>
      <c r="FL1355" s="874"/>
      <c r="FM1355" s="875"/>
      <c r="FN1355" s="875"/>
      <c r="FO1355" s="875"/>
      <c r="FP1355" s="875"/>
      <c r="FQ1355" s="875"/>
      <c r="FR1355" s="875"/>
      <c r="FS1355" s="875"/>
      <c r="FT1355" s="875"/>
      <c r="FU1355" s="875"/>
      <c r="FV1355" s="875"/>
      <c r="FW1355" s="875"/>
      <c r="FX1355" s="875"/>
      <c r="FY1355" s="875"/>
      <c r="FZ1355" s="875"/>
      <c r="GA1355" s="875"/>
      <c r="GB1355" s="876"/>
      <c r="GC1355" s="370"/>
      <c r="GD1355" s="453"/>
      <c r="GE1355" s="453"/>
      <c r="GF1355" s="453"/>
      <c r="GG1355" s="453"/>
      <c r="GH1355" s="454"/>
      <c r="GI1355" s="453"/>
      <c r="GJ1355" s="453"/>
      <c r="GK1355" s="453"/>
      <c r="GL1355" s="453"/>
      <c r="GM1355" s="453"/>
      <c r="GN1355" s="453"/>
      <c r="GO1355" s="453"/>
      <c r="GP1355" s="453"/>
      <c r="GQ1355" s="453"/>
      <c r="GR1355" s="453"/>
      <c r="GS1355" s="561"/>
      <c r="GT1355" s="475"/>
      <c r="GU1355" s="472"/>
      <c r="GV1355" s="453"/>
      <c r="GW1355" s="453"/>
      <c r="GX1355" s="869"/>
      <c r="GY1355" s="870"/>
      <c r="GZ1355" s="867"/>
      <c r="HA1355" s="868"/>
      <c r="HB1355" s="473"/>
      <c r="HC1355" s="869"/>
      <c r="HD1355" s="870"/>
      <c r="HE1355" s="867"/>
      <c r="HF1355" s="868"/>
      <c r="HG1355" s="473"/>
      <c r="HH1355" s="867"/>
      <c r="HI1355" s="868"/>
      <c r="HJ1355" s="867"/>
      <c r="HK1355" s="868"/>
      <c r="HL1355" s="370"/>
      <c r="HM1355" s="865"/>
      <c r="HN1355" s="866"/>
      <c r="HO1355" s="865"/>
      <c r="HP1355" s="866"/>
      <c r="HQ1355" s="865"/>
      <c r="HR1355" s="866"/>
      <c r="HS1355" s="867"/>
      <c r="HT1355" s="868"/>
      <c r="HU1355" s="489"/>
      <c r="HV1355" s="865"/>
      <c r="HW1355" s="866"/>
    </row>
    <row r="1356" spans="25:231" ht="15" customHeight="1">
      <c r="Y1356" s="332"/>
      <c r="Z1356" s="332"/>
      <c r="AA1356" s="332"/>
      <c r="AB1356" s="332"/>
      <c r="AC1356" s="332"/>
      <c r="AD1356" s="332"/>
      <c r="AE1356" s="332"/>
      <c r="AF1356" s="332"/>
      <c r="AG1356" s="332"/>
      <c r="AH1356" s="332"/>
      <c r="AI1356" s="332"/>
      <c r="AJ1356" s="332"/>
      <c r="AK1356" s="332"/>
      <c r="AL1356" s="332"/>
      <c r="AM1356" s="332"/>
      <c r="AN1356" s="332"/>
      <c r="AO1356" s="332"/>
      <c r="AP1356" s="332"/>
      <c r="AQ1356" s="332"/>
      <c r="AR1356" s="332"/>
      <c r="AS1356" s="332"/>
      <c r="AT1356" s="332"/>
      <c r="AU1356" s="332"/>
      <c r="AV1356" s="332"/>
      <c r="AW1356" s="332"/>
      <c r="AX1356" s="332"/>
      <c r="AY1356" s="332"/>
      <c r="AZ1356" s="332"/>
      <c r="BA1356" s="332"/>
      <c r="BB1356" s="332"/>
      <c r="BC1356" s="332"/>
      <c r="BD1356" s="332"/>
      <c r="BE1356" s="332"/>
      <c r="BF1356" s="332"/>
      <c r="BG1356" s="332"/>
      <c r="BH1356" s="332"/>
      <c r="BI1356" s="332"/>
      <c r="BJ1356" s="332"/>
      <c r="BK1356" s="332"/>
      <c r="BL1356" s="332"/>
      <c r="BM1356" s="332"/>
      <c r="BN1356" s="332"/>
      <c r="BO1356" s="332"/>
      <c r="BP1356" s="332"/>
      <c r="BQ1356" s="332"/>
      <c r="BR1356" s="332"/>
      <c r="BS1356" s="332"/>
      <c r="BT1356" s="332"/>
      <c r="BU1356" s="332"/>
      <c r="BV1356" s="332"/>
      <c r="BW1356" s="332"/>
      <c r="BX1356" s="332"/>
      <c r="BY1356" s="332"/>
      <c r="BZ1356" s="332"/>
      <c r="CA1356" s="332"/>
      <c r="CB1356" s="332"/>
      <c r="CC1356" s="332"/>
      <c r="CD1356" s="332"/>
      <c r="CE1356" s="332"/>
      <c r="CF1356" s="332"/>
      <c r="CG1356" s="332"/>
      <c r="CH1356" s="332"/>
      <c r="CI1356" s="332"/>
      <c r="CJ1356" s="332"/>
      <c r="CK1356" s="332"/>
      <c r="CL1356" s="332"/>
      <c r="CM1356" s="332"/>
      <c r="CN1356" s="332"/>
      <c r="CO1356" s="332"/>
      <c r="CP1356" s="332"/>
      <c r="CQ1356" s="332"/>
      <c r="CR1356" s="332"/>
      <c r="CS1356" s="332"/>
      <c r="CT1356" s="332"/>
      <c r="CU1356" s="332"/>
      <c r="CV1356" s="332"/>
      <c r="CW1356" s="332"/>
      <c r="CX1356" s="332"/>
      <c r="CY1356" s="332"/>
      <c r="CZ1356" s="332"/>
      <c r="DA1356" s="332"/>
      <c r="DB1356" s="332"/>
      <c r="DC1356" s="332"/>
      <c r="DD1356" s="332"/>
      <c r="DE1356" s="332"/>
      <c r="DF1356" s="332"/>
      <c r="DG1356" s="332"/>
      <c r="DH1356" s="332"/>
      <c r="DI1356" s="332"/>
      <c r="DJ1356" s="332"/>
      <c r="DK1356" s="332"/>
      <c r="DL1356" s="332"/>
      <c r="DM1356" s="332"/>
      <c r="DN1356" s="332"/>
      <c r="DO1356" s="332"/>
      <c r="DP1356" s="332"/>
      <c r="DQ1356" s="332"/>
      <c r="DR1356" s="332"/>
      <c r="DS1356" s="332"/>
      <c r="DT1356" s="332"/>
      <c r="DU1356" s="453"/>
      <c r="DV1356" s="453"/>
      <c r="DW1356" s="453"/>
      <c r="DX1356" s="453"/>
      <c r="DY1356" s="453"/>
      <c r="DZ1356" s="453"/>
      <c r="EA1356" s="453"/>
      <c r="EB1356" s="453"/>
      <c r="EC1356" s="453"/>
      <c r="ED1356" s="453"/>
      <c r="EE1356" s="453"/>
      <c r="EF1356" s="453"/>
      <c r="EG1356" s="453"/>
      <c r="EH1356" s="453"/>
      <c r="EI1356" s="453"/>
      <c r="EJ1356" s="453"/>
      <c r="EK1356" s="453"/>
      <c r="EL1356" s="453"/>
      <c r="EM1356" s="483">
        <f t="shared" si="257"/>
        <v>1047</v>
      </c>
      <c r="EN1356" s="485"/>
      <c r="EO1356" s="458"/>
      <c r="EP1356" s="467"/>
      <c r="EQ1356" s="457"/>
      <c r="ER1356" s="808"/>
      <c r="ES1356" s="881">
        <f t="shared" si="262"/>
        <v>0</v>
      </c>
      <c r="ET1356" s="882"/>
      <c r="EU1356" s="883"/>
      <c r="EV1356" s="884">
        <f t="shared" si="263"/>
        <v>0</v>
      </c>
      <c r="EW1356" s="885"/>
      <c r="EX1356" s="885"/>
      <c r="EY1356" s="885"/>
      <c r="EZ1356" s="885"/>
      <c r="FA1356" s="885"/>
      <c r="FB1356" s="885"/>
      <c r="FC1356" s="885"/>
      <c r="FD1356" s="886"/>
      <c r="FE1356" s="877"/>
      <c r="FF1356" s="877"/>
      <c r="FG1356" s="877"/>
      <c r="FH1356" s="877"/>
      <c r="FI1356" s="877"/>
      <c r="FJ1356" s="877"/>
      <c r="FK1356" s="877"/>
      <c r="FL1356" s="874"/>
      <c r="FM1356" s="875"/>
      <c r="FN1356" s="875"/>
      <c r="FO1356" s="875"/>
      <c r="FP1356" s="875"/>
      <c r="FQ1356" s="875"/>
      <c r="FR1356" s="875"/>
      <c r="FS1356" s="875"/>
      <c r="FT1356" s="875"/>
      <c r="FU1356" s="875"/>
      <c r="FV1356" s="875"/>
      <c r="FW1356" s="875"/>
      <c r="FX1356" s="875"/>
      <c r="FY1356" s="875"/>
      <c r="FZ1356" s="875"/>
      <c r="GA1356" s="875"/>
      <c r="GB1356" s="876"/>
      <c r="GC1356" s="370"/>
      <c r="GD1356" s="453"/>
      <c r="GE1356" s="453"/>
      <c r="GF1356" s="453"/>
      <c r="GG1356" s="453"/>
      <c r="GH1356" s="454"/>
      <c r="GI1356" s="453"/>
      <c r="GJ1356" s="453"/>
      <c r="GK1356" s="453"/>
      <c r="GL1356" s="453"/>
      <c r="GM1356" s="453"/>
      <c r="GN1356" s="453"/>
      <c r="GO1356" s="453"/>
      <c r="GP1356" s="453"/>
      <c r="GQ1356" s="453"/>
      <c r="GR1356" s="453"/>
      <c r="GS1356" s="561"/>
      <c r="GT1356" s="475"/>
      <c r="GU1356" s="472"/>
      <c r="GV1356" s="453"/>
      <c r="GW1356" s="453"/>
      <c r="GX1356" s="869"/>
      <c r="GY1356" s="870"/>
      <c r="GZ1356" s="867"/>
      <c r="HA1356" s="868"/>
      <c r="HB1356" s="473"/>
      <c r="HC1356" s="869"/>
      <c r="HD1356" s="870"/>
      <c r="HE1356" s="867"/>
      <c r="HF1356" s="868"/>
      <c r="HG1356" s="473"/>
      <c r="HH1356" s="867"/>
      <c r="HI1356" s="868"/>
      <c r="HJ1356" s="867"/>
      <c r="HK1356" s="868"/>
      <c r="HL1356" s="370"/>
      <c r="HM1356" s="865"/>
      <c r="HN1356" s="866"/>
      <c r="HO1356" s="865"/>
      <c r="HP1356" s="866"/>
      <c r="HQ1356" s="865"/>
      <c r="HR1356" s="866"/>
      <c r="HS1356" s="867"/>
      <c r="HT1356" s="868"/>
      <c r="HU1356" s="489"/>
      <c r="HV1356" s="865"/>
      <c r="HW1356" s="866"/>
    </row>
    <row r="1357" spans="25:231" ht="15" customHeight="1">
      <c r="Y1357" s="332"/>
      <c r="Z1357" s="332"/>
      <c r="AA1357" s="332"/>
      <c r="AB1357" s="332"/>
      <c r="AC1357" s="332"/>
      <c r="AD1357" s="332"/>
      <c r="AE1357" s="332"/>
      <c r="AF1357" s="332"/>
      <c r="AG1357" s="332"/>
      <c r="AH1357" s="332"/>
      <c r="AI1357" s="332"/>
      <c r="AJ1357" s="332"/>
      <c r="AK1357" s="332"/>
      <c r="AL1357" s="332"/>
      <c r="AM1357" s="332"/>
      <c r="AN1357" s="332"/>
      <c r="AO1357" s="332"/>
      <c r="AP1357" s="332"/>
      <c r="AQ1357" s="332"/>
      <c r="AR1357" s="332"/>
      <c r="AS1357" s="332"/>
      <c r="AT1357" s="332"/>
      <c r="AU1357" s="332"/>
      <c r="AV1357" s="332"/>
      <c r="AW1357" s="332"/>
      <c r="AX1357" s="332"/>
      <c r="AY1357" s="332"/>
      <c r="AZ1357" s="332"/>
      <c r="BA1357" s="332"/>
      <c r="BB1357" s="332"/>
      <c r="BC1357" s="332"/>
      <c r="BD1357" s="332"/>
      <c r="BE1357" s="332"/>
      <c r="BF1357" s="332"/>
      <c r="BG1357" s="332"/>
      <c r="BH1357" s="332"/>
      <c r="BI1357" s="332"/>
      <c r="BJ1357" s="332"/>
      <c r="BK1357" s="332"/>
      <c r="BL1357" s="332"/>
      <c r="BM1357" s="332"/>
      <c r="BN1357" s="332"/>
      <c r="BO1357" s="332"/>
      <c r="BP1357" s="332"/>
      <c r="BQ1357" s="332"/>
      <c r="BR1357" s="332"/>
      <c r="BS1357" s="332"/>
      <c r="BT1357" s="332"/>
      <c r="BU1357" s="332"/>
      <c r="BV1357" s="332"/>
      <c r="BW1357" s="332"/>
      <c r="BX1357" s="332"/>
      <c r="BY1357" s="332"/>
      <c r="BZ1357" s="332"/>
      <c r="CA1357" s="332"/>
      <c r="CB1357" s="332"/>
      <c r="CC1357" s="332"/>
      <c r="CD1357" s="332"/>
      <c r="CE1357" s="332"/>
      <c r="CF1357" s="332"/>
      <c r="CG1357" s="332"/>
      <c r="CH1357" s="332"/>
      <c r="CI1357" s="332"/>
      <c r="CJ1357" s="332"/>
      <c r="CK1357" s="332"/>
      <c r="CL1357" s="332"/>
      <c r="CM1357" s="332"/>
      <c r="CN1357" s="332"/>
      <c r="CO1357" s="332"/>
      <c r="CP1357" s="332"/>
      <c r="CQ1357" s="332"/>
      <c r="CR1357" s="332"/>
      <c r="CS1357" s="332"/>
      <c r="CT1357" s="332"/>
      <c r="CU1357" s="332"/>
      <c r="CV1357" s="332"/>
      <c r="CW1357" s="332"/>
      <c r="CX1357" s="332"/>
      <c r="CY1357" s="332"/>
      <c r="CZ1357" s="332"/>
      <c r="DA1357" s="332"/>
      <c r="DB1357" s="332"/>
      <c r="DC1357" s="332"/>
      <c r="DD1357" s="332"/>
      <c r="DE1357" s="332"/>
      <c r="DF1357" s="332"/>
      <c r="DG1357" s="332"/>
      <c r="DH1357" s="332"/>
      <c r="DI1357" s="332"/>
      <c r="DJ1357" s="332"/>
      <c r="DK1357" s="332"/>
      <c r="DL1357" s="332"/>
      <c r="DM1357" s="332"/>
      <c r="DN1357" s="332"/>
      <c r="DO1357" s="332"/>
      <c r="DP1357" s="332"/>
      <c r="DQ1357" s="332"/>
      <c r="DR1357" s="332"/>
      <c r="DS1357" s="332"/>
      <c r="DT1357" s="332"/>
      <c r="DU1357" s="453"/>
      <c r="DV1357" s="453"/>
      <c r="DW1357" s="453"/>
      <c r="DX1357" s="453"/>
      <c r="DY1357" s="453"/>
      <c r="DZ1357" s="453"/>
      <c r="EA1357" s="453"/>
      <c r="EB1357" s="453"/>
      <c r="EC1357" s="453"/>
      <c r="ED1357" s="453"/>
      <c r="EE1357" s="453"/>
      <c r="EF1357" s="453"/>
      <c r="EG1357" s="453"/>
      <c r="EH1357" s="453"/>
      <c r="EI1357" s="453"/>
      <c r="EJ1357" s="453"/>
      <c r="EK1357" s="453"/>
      <c r="EL1357" s="453"/>
      <c r="EM1357" s="483">
        <f t="shared" si="257"/>
        <v>1048</v>
      </c>
      <c r="EN1357" s="485"/>
      <c r="EO1357" s="458"/>
      <c r="EP1357" s="467"/>
      <c r="EQ1357" s="457"/>
      <c r="ER1357" s="808"/>
      <c r="ES1357" s="881">
        <f t="shared" si="262"/>
        <v>0</v>
      </c>
      <c r="ET1357" s="882"/>
      <c r="EU1357" s="883"/>
      <c r="EV1357" s="884">
        <f t="shared" si="263"/>
        <v>0</v>
      </c>
      <c r="EW1357" s="885"/>
      <c r="EX1357" s="885"/>
      <c r="EY1357" s="885"/>
      <c r="EZ1357" s="885"/>
      <c r="FA1357" s="885"/>
      <c r="FB1357" s="885"/>
      <c r="FC1357" s="885"/>
      <c r="FD1357" s="886"/>
      <c r="FE1357" s="877"/>
      <c r="FF1357" s="877"/>
      <c r="FG1357" s="877"/>
      <c r="FH1357" s="877"/>
      <c r="FI1357" s="877"/>
      <c r="FJ1357" s="877"/>
      <c r="FK1357" s="877"/>
      <c r="FL1357" s="874"/>
      <c r="FM1357" s="875"/>
      <c r="FN1357" s="875"/>
      <c r="FO1357" s="875"/>
      <c r="FP1357" s="875"/>
      <c r="FQ1357" s="875"/>
      <c r="FR1357" s="875"/>
      <c r="FS1357" s="875"/>
      <c r="FT1357" s="875"/>
      <c r="FU1357" s="875"/>
      <c r="FV1357" s="875"/>
      <c r="FW1357" s="875"/>
      <c r="FX1357" s="875"/>
      <c r="FY1357" s="875"/>
      <c r="FZ1357" s="875"/>
      <c r="GA1357" s="875"/>
      <c r="GB1357" s="876"/>
      <c r="GC1357" s="370"/>
      <c r="GD1357" s="453"/>
      <c r="GE1357" s="453"/>
      <c r="GF1357" s="453"/>
      <c r="GG1357" s="453"/>
      <c r="GH1357" s="454"/>
      <c r="GI1357" s="453"/>
      <c r="GJ1357" s="453"/>
      <c r="GK1357" s="453"/>
      <c r="GL1357" s="453"/>
      <c r="GM1357" s="453"/>
      <c r="GN1357" s="453"/>
      <c r="GO1357" s="453"/>
      <c r="GP1357" s="453"/>
      <c r="GQ1357" s="453"/>
      <c r="GR1357" s="453"/>
      <c r="GS1357" s="561"/>
      <c r="GT1357" s="475"/>
      <c r="GU1357" s="472"/>
      <c r="GV1357" s="453"/>
      <c r="GW1357" s="453"/>
      <c r="GX1357" s="869"/>
      <c r="GY1357" s="870"/>
      <c r="GZ1357" s="867"/>
      <c r="HA1357" s="868"/>
      <c r="HB1357" s="473"/>
      <c r="HC1357" s="869"/>
      <c r="HD1357" s="870"/>
      <c r="HE1357" s="867"/>
      <c r="HF1357" s="868"/>
      <c r="HG1357" s="473"/>
      <c r="HH1357" s="867"/>
      <c r="HI1357" s="868"/>
      <c r="HJ1357" s="867"/>
      <c r="HK1357" s="868"/>
      <c r="HL1357" s="370"/>
      <c r="HM1357" s="865"/>
      <c r="HN1357" s="866"/>
      <c r="HO1357" s="865"/>
      <c r="HP1357" s="866"/>
      <c r="HQ1357" s="865"/>
      <c r="HR1357" s="866"/>
      <c r="HS1357" s="867"/>
      <c r="HT1357" s="868"/>
      <c r="HU1357" s="489"/>
      <c r="HV1357" s="865"/>
      <c r="HW1357" s="866"/>
    </row>
    <row r="1358" spans="25:231" ht="15" customHeight="1">
      <c r="Y1358" s="332"/>
      <c r="Z1358" s="332"/>
      <c r="AA1358" s="332"/>
      <c r="AB1358" s="332"/>
      <c r="AC1358" s="332"/>
      <c r="AD1358" s="332"/>
      <c r="AE1358" s="332"/>
      <c r="AF1358" s="332"/>
      <c r="AG1358" s="332"/>
      <c r="AH1358" s="332"/>
      <c r="AI1358" s="332"/>
      <c r="AJ1358" s="332"/>
      <c r="AK1358" s="332"/>
      <c r="AL1358" s="332"/>
      <c r="AM1358" s="332"/>
      <c r="AN1358" s="332"/>
      <c r="AO1358" s="332"/>
      <c r="AP1358" s="332"/>
      <c r="AQ1358" s="332"/>
      <c r="AR1358" s="332"/>
      <c r="AS1358" s="332"/>
      <c r="AT1358" s="332"/>
      <c r="AU1358" s="332"/>
      <c r="AV1358" s="332"/>
      <c r="AW1358" s="332"/>
      <c r="AX1358" s="332"/>
      <c r="AY1358" s="332"/>
      <c r="AZ1358" s="332"/>
      <c r="BA1358" s="332"/>
      <c r="BB1358" s="332"/>
      <c r="BC1358" s="332"/>
      <c r="BD1358" s="332"/>
      <c r="BE1358" s="332"/>
      <c r="BF1358" s="332"/>
      <c r="BG1358" s="332"/>
      <c r="BH1358" s="332"/>
      <c r="BI1358" s="332"/>
      <c r="BJ1358" s="332"/>
      <c r="BK1358" s="332"/>
      <c r="BL1358" s="332"/>
      <c r="BM1358" s="332"/>
      <c r="BN1358" s="332"/>
      <c r="BO1358" s="332"/>
      <c r="BP1358" s="332"/>
      <c r="BQ1358" s="332"/>
      <c r="BR1358" s="332"/>
      <c r="BS1358" s="332"/>
      <c r="BT1358" s="332"/>
      <c r="BU1358" s="332"/>
      <c r="BV1358" s="332"/>
      <c r="BW1358" s="332"/>
      <c r="BX1358" s="332"/>
      <c r="BY1358" s="332"/>
      <c r="BZ1358" s="332"/>
      <c r="CA1358" s="332"/>
      <c r="CB1358" s="332"/>
      <c r="CC1358" s="332"/>
      <c r="CD1358" s="332"/>
      <c r="CE1358" s="332"/>
      <c r="CF1358" s="332"/>
      <c r="CG1358" s="332"/>
      <c r="CH1358" s="332"/>
      <c r="CI1358" s="332"/>
      <c r="CJ1358" s="332"/>
      <c r="CK1358" s="332"/>
      <c r="CL1358" s="332"/>
      <c r="CM1358" s="332"/>
      <c r="CN1358" s="332"/>
      <c r="CO1358" s="332"/>
      <c r="CP1358" s="332"/>
      <c r="CQ1358" s="332"/>
      <c r="CR1358" s="332"/>
      <c r="CS1358" s="332"/>
      <c r="CT1358" s="332"/>
      <c r="CU1358" s="332"/>
      <c r="CV1358" s="332"/>
      <c r="CW1358" s="332"/>
      <c r="CX1358" s="332"/>
      <c r="CY1358" s="332"/>
      <c r="CZ1358" s="332"/>
      <c r="DA1358" s="332"/>
      <c r="DB1358" s="332"/>
      <c r="DC1358" s="332"/>
      <c r="DD1358" s="332"/>
      <c r="DE1358" s="332"/>
      <c r="DF1358" s="332"/>
      <c r="DG1358" s="332"/>
      <c r="DH1358" s="332"/>
      <c r="DI1358" s="332"/>
      <c r="DJ1358" s="332"/>
      <c r="DK1358" s="332"/>
      <c r="DL1358" s="332"/>
      <c r="DM1358" s="332"/>
      <c r="DN1358" s="332"/>
      <c r="DO1358" s="332"/>
      <c r="DP1358" s="332"/>
      <c r="DQ1358" s="332"/>
      <c r="DR1358" s="332"/>
      <c r="DS1358" s="332"/>
      <c r="DT1358" s="332"/>
      <c r="DU1358" s="453"/>
      <c r="DV1358" s="453"/>
      <c r="DW1358" s="453"/>
      <c r="DX1358" s="453"/>
      <c r="DY1358" s="453"/>
      <c r="DZ1358" s="453"/>
      <c r="EA1358" s="453"/>
      <c r="EB1358" s="453"/>
      <c r="EC1358" s="453"/>
      <c r="ED1358" s="453"/>
      <c r="EE1358" s="453"/>
      <c r="EF1358" s="453"/>
      <c r="EG1358" s="453"/>
      <c r="EH1358" s="453"/>
      <c r="EI1358" s="453"/>
      <c r="EJ1358" s="453"/>
      <c r="EK1358" s="453"/>
      <c r="EL1358" s="453"/>
      <c r="EM1358" s="483">
        <f t="shared" si="257"/>
        <v>1049</v>
      </c>
      <c r="EN1358" s="485"/>
      <c r="EO1358" s="458"/>
      <c r="EP1358" s="467"/>
      <c r="EQ1358" s="457"/>
      <c r="ER1358" s="808"/>
      <c r="ES1358" s="881">
        <f t="shared" si="262"/>
        <v>0</v>
      </c>
      <c r="ET1358" s="882"/>
      <c r="EU1358" s="883"/>
      <c r="EV1358" s="884">
        <f t="shared" si="263"/>
        <v>0</v>
      </c>
      <c r="EW1358" s="885"/>
      <c r="EX1358" s="885"/>
      <c r="EY1358" s="885"/>
      <c r="EZ1358" s="885"/>
      <c r="FA1358" s="885"/>
      <c r="FB1358" s="885"/>
      <c r="FC1358" s="885"/>
      <c r="FD1358" s="886"/>
      <c r="FE1358" s="877"/>
      <c r="FF1358" s="877"/>
      <c r="FG1358" s="877"/>
      <c r="FH1358" s="877"/>
      <c r="FI1358" s="877"/>
      <c r="FJ1358" s="877"/>
      <c r="FK1358" s="877"/>
      <c r="FL1358" s="874"/>
      <c r="FM1358" s="875"/>
      <c r="FN1358" s="875"/>
      <c r="FO1358" s="875"/>
      <c r="FP1358" s="875"/>
      <c r="FQ1358" s="875"/>
      <c r="FR1358" s="875"/>
      <c r="FS1358" s="875"/>
      <c r="FT1358" s="875"/>
      <c r="FU1358" s="875"/>
      <c r="FV1358" s="875"/>
      <c r="FW1358" s="875"/>
      <c r="FX1358" s="875"/>
      <c r="FY1358" s="875"/>
      <c r="FZ1358" s="875"/>
      <c r="GA1358" s="875"/>
      <c r="GB1358" s="876"/>
      <c r="GC1358" s="370"/>
      <c r="GD1358" s="453"/>
      <c r="GE1358" s="453"/>
      <c r="GF1358" s="453"/>
      <c r="GG1358" s="453"/>
      <c r="GH1358" s="454"/>
      <c r="GI1358" s="453"/>
      <c r="GJ1358" s="453"/>
      <c r="GK1358" s="453"/>
      <c r="GL1358" s="453"/>
      <c r="GM1358" s="453"/>
      <c r="GN1358" s="453"/>
      <c r="GO1358" s="453"/>
      <c r="GP1358" s="453"/>
      <c r="GQ1358" s="453"/>
      <c r="GR1358" s="453"/>
      <c r="GS1358" s="561"/>
      <c r="GT1358" s="475"/>
      <c r="GU1358" s="472"/>
      <c r="GV1358" s="453"/>
      <c r="GW1358" s="453"/>
      <c r="GX1358" s="869"/>
      <c r="GY1358" s="870"/>
      <c r="GZ1358" s="867"/>
      <c r="HA1358" s="868"/>
      <c r="HB1358" s="473"/>
      <c r="HC1358" s="869"/>
      <c r="HD1358" s="870"/>
      <c r="HE1358" s="867"/>
      <c r="HF1358" s="868"/>
      <c r="HG1358" s="473"/>
      <c r="HH1358" s="867"/>
      <c r="HI1358" s="868"/>
      <c r="HJ1358" s="867"/>
      <c r="HK1358" s="868"/>
      <c r="HL1358" s="370"/>
      <c r="HM1358" s="865"/>
      <c r="HN1358" s="866"/>
      <c r="HO1358" s="865"/>
      <c r="HP1358" s="866"/>
      <c r="HQ1358" s="865"/>
      <c r="HR1358" s="866"/>
      <c r="HS1358" s="867"/>
      <c r="HT1358" s="868"/>
      <c r="HU1358" s="489"/>
      <c r="HV1358" s="865"/>
      <c r="HW1358" s="866"/>
    </row>
    <row r="1359" spans="25:231" ht="15" customHeight="1">
      <c r="Y1359" s="332"/>
      <c r="Z1359" s="332"/>
      <c r="AA1359" s="332"/>
      <c r="AB1359" s="332"/>
      <c r="AC1359" s="332"/>
      <c r="AD1359" s="332"/>
      <c r="AE1359" s="332"/>
      <c r="AF1359" s="332"/>
      <c r="AG1359" s="332"/>
      <c r="AH1359" s="332"/>
      <c r="AI1359" s="332"/>
      <c r="AJ1359" s="332"/>
      <c r="AK1359" s="332"/>
      <c r="AL1359" s="332"/>
      <c r="AM1359" s="332"/>
      <c r="AN1359" s="332"/>
      <c r="AO1359" s="332"/>
      <c r="AP1359" s="332"/>
      <c r="AQ1359" s="332"/>
      <c r="AR1359" s="332"/>
      <c r="AS1359" s="332"/>
      <c r="AT1359" s="332"/>
      <c r="AU1359" s="332"/>
      <c r="AV1359" s="332"/>
      <c r="AW1359" s="332"/>
      <c r="AX1359" s="332"/>
      <c r="AY1359" s="332"/>
      <c r="AZ1359" s="332"/>
      <c r="BA1359" s="332"/>
      <c r="BB1359" s="332"/>
      <c r="BC1359" s="332"/>
      <c r="BD1359" s="332"/>
      <c r="BE1359" s="332"/>
      <c r="BF1359" s="332"/>
      <c r="BG1359" s="332"/>
      <c r="BH1359" s="332"/>
      <c r="BI1359" s="332"/>
      <c r="BJ1359" s="332"/>
      <c r="BK1359" s="332"/>
      <c r="BL1359" s="332"/>
      <c r="BM1359" s="332"/>
      <c r="BN1359" s="332"/>
      <c r="BO1359" s="332"/>
      <c r="BP1359" s="332"/>
      <c r="BQ1359" s="332"/>
      <c r="BR1359" s="332"/>
      <c r="BS1359" s="332"/>
      <c r="BT1359" s="332"/>
      <c r="BU1359" s="332"/>
      <c r="BV1359" s="332"/>
      <c r="BW1359" s="332"/>
      <c r="BX1359" s="332"/>
      <c r="BY1359" s="332"/>
      <c r="BZ1359" s="332"/>
      <c r="CA1359" s="332"/>
      <c r="CB1359" s="332"/>
      <c r="CC1359" s="332"/>
      <c r="CD1359" s="332"/>
      <c r="CE1359" s="332"/>
      <c r="CF1359" s="332"/>
      <c r="CG1359" s="332"/>
      <c r="CH1359" s="332"/>
      <c r="CI1359" s="332"/>
      <c r="CJ1359" s="332"/>
      <c r="CK1359" s="332"/>
      <c r="CL1359" s="332"/>
      <c r="CM1359" s="332"/>
      <c r="CN1359" s="332"/>
      <c r="CO1359" s="332"/>
      <c r="CP1359" s="332"/>
      <c r="CQ1359" s="332"/>
      <c r="CR1359" s="332"/>
      <c r="CS1359" s="332"/>
      <c r="CT1359" s="332"/>
      <c r="CU1359" s="332"/>
      <c r="CV1359" s="332"/>
      <c r="CW1359" s="332"/>
      <c r="CX1359" s="332"/>
      <c r="CY1359" s="332"/>
      <c r="CZ1359" s="332"/>
      <c r="DA1359" s="332"/>
      <c r="DB1359" s="332"/>
      <c r="DC1359" s="332"/>
      <c r="DD1359" s="332"/>
      <c r="DE1359" s="332"/>
      <c r="DF1359" s="332"/>
      <c r="DG1359" s="332"/>
      <c r="DH1359" s="332"/>
      <c r="DI1359" s="332"/>
      <c r="DJ1359" s="332"/>
      <c r="DK1359" s="332"/>
      <c r="DL1359" s="332"/>
      <c r="DM1359" s="332"/>
      <c r="DN1359" s="332"/>
      <c r="DO1359" s="332"/>
      <c r="DP1359" s="332"/>
      <c r="DQ1359" s="332"/>
      <c r="DR1359" s="332"/>
      <c r="DS1359" s="332"/>
      <c r="DT1359" s="332"/>
      <c r="DU1359" s="453"/>
      <c r="DV1359" s="453"/>
      <c r="DW1359" s="453"/>
      <c r="DX1359" s="453"/>
      <c r="DY1359" s="453"/>
      <c r="DZ1359" s="453"/>
      <c r="EA1359" s="453"/>
      <c r="EB1359" s="453"/>
      <c r="EC1359" s="453"/>
      <c r="ED1359" s="453"/>
      <c r="EE1359" s="453"/>
      <c r="EF1359" s="453"/>
      <c r="EG1359" s="453"/>
      <c r="EH1359" s="453"/>
      <c r="EI1359" s="453"/>
      <c r="EJ1359" s="453"/>
      <c r="EK1359" s="453"/>
      <c r="EL1359" s="453"/>
      <c r="EM1359" s="483">
        <f t="shared" si="257"/>
        <v>1050</v>
      </c>
      <c r="EN1359" s="485"/>
      <c r="EO1359" s="458"/>
      <c r="EP1359" s="467"/>
      <c r="EQ1359" s="457"/>
      <c r="ER1359" s="808"/>
      <c r="ES1359" s="881">
        <f t="shared" si="262"/>
        <v>0</v>
      </c>
      <c r="ET1359" s="882"/>
      <c r="EU1359" s="883"/>
      <c r="EV1359" s="884">
        <f t="shared" si="263"/>
        <v>0</v>
      </c>
      <c r="EW1359" s="885"/>
      <c r="EX1359" s="885"/>
      <c r="EY1359" s="885"/>
      <c r="EZ1359" s="885"/>
      <c r="FA1359" s="885"/>
      <c r="FB1359" s="885"/>
      <c r="FC1359" s="885"/>
      <c r="FD1359" s="886"/>
      <c r="FE1359" s="877"/>
      <c r="FF1359" s="877"/>
      <c r="FG1359" s="877"/>
      <c r="FH1359" s="877"/>
      <c r="FI1359" s="877"/>
      <c r="FJ1359" s="877"/>
      <c r="FK1359" s="877"/>
      <c r="FL1359" s="874"/>
      <c r="FM1359" s="875"/>
      <c r="FN1359" s="875"/>
      <c r="FO1359" s="875"/>
      <c r="FP1359" s="875"/>
      <c r="FQ1359" s="875"/>
      <c r="FR1359" s="875"/>
      <c r="FS1359" s="875"/>
      <c r="FT1359" s="875"/>
      <c r="FU1359" s="875"/>
      <c r="FV1359" s="875"/>
      <c r="FW1359" s="875"/>
      <c r="FX1359" s="875"/>
      <c r="FY1359" s="875"/>
      <c r="FZ1359" s="875"/>
      <c r="GA1359" s="875"/>
      <c r="GB1359" s="876"/>
      <c r="GC1359" s="370"/>
      <c r="GD1359" s="453"/>
      <c r="GE1359" s="453"/>
      <c r="GF1359" s="453"/>
      <c r="GG1359" s="453"/>
      <c r="GH1359" s="454"/>
      <c r="GI1359" s="453"/>
      <c r="GJ1359" s="453"/>
      <c r="GK1359" s="453"/>
      <c r="GL1359" s="453"/>
      <c r="GM1359" s="453"/>
      <c r="GN1359" s="453"/>
      <c r="GO1359" s="453"/>
      <c r="GP1359" s="453"/>
      <c r="GQ1359" s="453"/>
      <c r="GR1359" s="453"/>
      <c r="GS1359" s="561"/>
      <c r="GT1359" s="475"/>
      <c r="GU1359" s="472"/>
      <c r="GV1359" s="453"/>
      <c r="GW1359" s="453"/>
      <c r="GX1359" s="869"/>
      <c r="GY1359" s="870"/>
      <c r="GZ1359" s="867"/>
      <c r="HA1359" s="868"/>
      <c r="HB1359" s="473"/>
      <c r="HC1359" s="869"/>
      <c r="HD1359" s="870"/>
      <c r="HE1359" s="867"/>
      <c r="HF1359" s="868"/>
      <c r="HG1359" s="473"/>
      <c r="HH1359" s="867"/>
      <c r="HI1359" s="868"/>
      <c r="HJ1359" s="867"/>
      <c r="HK1359" s="868"/>
      <c r="HL1359" s="370"/>
      <c r="HM1359" s="865"/>
      <c r="HN1359" s="866"/>
      <c r="HO1359" s="865"/>
      <c r="HP1359" s="866"/>
      <c r="HQ1359" s="865"/>
      <c r="HR1359" s="866"/>
      <c r="HS1359" s="867"/>
      <c r="HT1359" s="868"/>
      <c r="HU1359" s="489"/>
      <c r="HV1359" s="865"/>
      <c r="HW1359" s="866"/>
    </row>
    <row r="1360" spans="25:231" ht="15" customHeight="1">
      <c r="Y1360" s="332"/>
      <c r="Z1360" s="332"/>
      <c r="AA1360" s="332"/>
      <c r="AB1360" s="332"/>
      <c r="AC1360" s="332"/>
      <c r="AD1360" s="332"/>
      <c r="AE1360" s="332"/>
      <c r="AF1360" s="332"/>
      <c r="AG1360" s="332"/>
      <c r="AH1360" s="332"/>
      <c r="AI1360" s="332"/>
      <c r="AJ1360" s="332"/>
      <c r="AK1360" s="332"/>
      <c r="AL1360" s="332"/>
      <c r="AM1360" s="332"/>
      <c r="AN1360" s="332"/>
      <c r="AO1360" s="332"/>
      <c r="AP1360" s="332"/>
      <c r="AQ1360" s="332"/>
      <c r="AR1360" s="332"/>
      <c r="AS1360" s="332"/>
      <c r="AT1360" s="332"/>
      <c r="AU1360" s="332"/>
      <c r="AV1360" s="332"/>
      <c r="AW1360" s="332"/>
      <c r="AX1360" s="332"/>
      <c r="AY1360" s="332"/>
      <c r="AZ1360" s="332"/>
      <c r="BA1360" s="332"/>
      <c r="BB1360" s="332"/>
      <c r="BC1360" s="332"/>
      <c r="BD1360" s="332"/>
      <c r="BE1360" s="332"/>
      <c r="BF1360" s="332"/>
      <c r="BG1360" s="332"/>
      <c r="BH1360" s="332"/>
      <c r="BI1360" s="332"/>
      <c r="BJ1360" s="332"/>
      <c r="BK1360" s="332"/>
      <c r="BL1360" s="332"/>
      <c r="BM1360" s="332"/>
      <c r="BN1360" s="332"/>
      <c r="BO1360" s="332"/>
      <c r="BP1360" s="332"/>
      <c r="BQ1360" s="332"/>
      <c r="BR1360" s="332"/>
      <c r="BS1360" s="332"/>
      <c r="BT1360" s="332"/>
      <c r="BU1360" s="332"/>
      <c r="BV1360" s="332"/>
      <c r="BW1360" s="332"/>
      <c r="BX1360" s="332"/>
      <c r="BY1360" s="332"/>
      <c r="BZ1360" s="332"/>
      <c r="CA1360" s="332"/>
      <c r="CB1360" s="332"/>
      <c r="CC1360" s="332"/>
      <c r="CD1360" s="332"/>
      <c r="CE1360" s="332"/>
      <c r="CF1360" s="332"/>
      <c r="CG1360" s="332"/>
      <c r="CH1360" s="332"/>
      <c r="CI1360" s="332"/>
      <c r="CJ1360" s="332"/>
      <c r="CK1360" s="332"/>
      <c r="CL1360" s="332"/>
      <c r="CM1360" s="332"/>
      <c r="CN1360" s="332"/>
      <c r="CO1360" s="332"/>
      <c r="CP1360" s="332"/>
      <c r="CQ1360" s="332"/>
      <c r="CR1360" s="332"/>
      <c r="CS1360" s="332"/>
      <c r="CT1360" s="332"/>
      <c r="CU1360" s="332"/>
      <c r="CV1360" s="332"/>
      <c r="CW1360" s="332"/>
      <c r="CX1360" s="332"/>
      <c r="CY1360" s="332"/>
      <c r="CZ1360" s="332"/>
      <c r="DA1360" s="332"/>
      <c r="DB1360" s="332"/>
      <c r="DC1360" s="332"/>
      <c r="DD1360" s="332"/>
      <c r="DE1360" s="332"/>
      <c r="DF1360" s="332"/>
      <c r="DG1360" s="332"/>
      <c r="DH1360" s="332"/>
      <c r="DI1360" s="332"/>
      <c r="DJ1360" s="332"/>
      <c r="DK1360" s="332"/>
      <c r="DL1360" s="332"/>
      <c r="DM1360" s="332"/>
      <c r="DN1360" s="332"/>
      <c r="DO1360" s="332"/>
      <c r="DP1360" s="332"/>
      <c r="DQ1360" s="332"/>
      <c r="DR1360" s="332"/>
      <c r="DS1360" s="332"/>
      <c r="DT1360" s="332"/>
      <c r="DU1360" s="453"/>
      <c r="DV1360" s="453"/>
      <c r="DW1360" s="453"/>
      <c r="DX1360" s="453"/>
      <c r="DY1360" s="453"/>
      <c r="DZ1360" s="453"/>
      <c r="EA1360" s="453"/>
      <c r="EB1360" s="453"/>
      <c r="EC1360" s="453"/>
      <c r="ED1360" s="453"/>
      <c r="EE1360" s="453"/>
      <c r="EF1360" s="453"/>
      <c r="EG1360" s="453"/>
      <c r="EH1360" s="453"/>
      <c r="EI1360" s="453"/>
      <c r="EJ1360" s="453"/>
      <c r="EK1360" s="453"/>
      <c r="EL1360" s="453"/>
      <c r="EM1360" s="483">
        <f t="shared" si="257"/>
        <v>1051</v>
      </c>
      <c r="EN1360" s="485"/>
      <c r="EO1360" s="458"/>
      <c r="EP1360" s="467"/>
      <c r="EQ1360" s="457"/>
      <c r="ER1360" s="808"/>
      <c r="ES1360" s="881">
        <f t="shared" si="262"/>
        <v>0</v>
      </c>
      <c r="ET1360" s="882"/>
      <c r="EU1360" s="883"/>
      <c r="EV1360" s="884">
        <f t="shared" si="263"/>
        <v>0</v>
      </c>
      <c r="EW1360" s="885"/>
      <c r="EX1360" s="885"/>
      <c r="EY1360" s="885"/>
      <c r="EZ1360" s="885"/>
      <c r="FA1360" s="885"/>
      <c r="FB1360" s="885"/>
      <c r="FC1360" s="885"/>
      <c r="FD1360" s="886"/>
      <c r="FE1360" s="877"/>
      <c r="FF1360" s="877"/>
      <c r="FG1360" s="877"/>
      <c r="FH1360" s="877"/>
      <c r="FI1360" s="877"/>
      <c r="FJ1360" s="877"/>
      <c r="FK1360" s="877"/>
      <c r="FL1360" s="874"/>
      <c r="FM1360" s="875"/>
      <c r="FN1360" s="875"/>
      <c r="FO1360" s="875"/>
      <c r="FP1360" s="875"/>
      <c r="FQ1360" s="875"/>
      <c r="FR1360" s="875"/>
      <c r="FS1360" s="875"/>
      <c r="FT1360" s="875"/>
      <c r="FU1360" s="875"/>
      <c r="FV1360" s="875"/>
      <c r="FW1360" s="875"/>
      <c r="FX1360" s="875"/>
      <c r="FY1360" s="875"/>
      <c r="FZ1360" s="875"/>
      <c r="GA1360" s="875"/>
      <c r="GB1360" s="876"/>
      <c r="GC1360" s="370"/>
      <c r="GD1360" s="453"/>
      <c r="GE1360" s="453"/>
      <c r="GF1360" s="453"/>
      <c r="GG1360" s="453"/>
      <c r="GH1360" s="454"/>
      <c r="GI1360" s="453"/>
      <c r="GJ1360" s="453"/>
      <c r="GK1360" s="453"/>
      <c r="GL1360" s="453"/>
      <c r="GM1360" s="453"/>
      <c r="GN1360" s="453"/>
      <c r="GO1360" s="453"/>
      <c r="GP1360" s="453"/>
      <c r="GQ1360" s="453"/>
      <c r="GR1360" s="453"/>
      <c r="GS1360" s="561"/>
      <c r="GT1360" s="475"/>
      <c r="GU1360" s="472"/>
      <c r="GV1360" s="453"/>
      <c r="GW1360" s="453"/>
      <c r="GX1360" s="869"/>
      <c r="GY1360" s="870"/>
      <c r="GZ1360" s="867"/>
      <c r="HA1360" s="868"/>
      <c r="HB1360" s="473"/>
      <c r="HC1360" s="869"/>
      <c r="HD1360" s="870"/>
      <c r="HE1360" s="867"/>
      <c r="HF1360" s="868"/>
      <c r="HG1360" s="473"/>
      <c r="HH1360" s="867"/>
      <c r="HI1360" s="868"/>
      <c r="HJ1360" s="867"/>
      <c r="HK1360" s="868"/>
      <c r="HL1360" s="370"/>
      <c r="HM1360" s="865"/>
      <c r="HN1360" s="866"/>
      <c r="HO1360" s="865"/>
      <c r="HP1360" s="866"/>
      <c r="HQ1360" s="865"/>
      <c r="HR1360" s="866"/>
      <c r="HS1360" s="867"/>
      <c r="HT1360" s="868"/>
      <c r="HU1360" s="489"/>
      <c r="HV1360" s="865"/>
      <c r="HW1360" s="866"/>
    </row>
    <row r="1361" spans="25:231" ht="15" customHeight="1">
      <c r="Y1361" s="332"/>
      <c r="Z1361" s="332"/>
      <c r="AA1361" s="332"/>
      <c r="AB1361" s="332"/>
      <c r="AC1361" s="332"/>
      <c r="AD1361" s="332"/>
      <c r="AE1361" s="332"/>
      <c r="AF1361" s="332"/>
      <c r="AG1361" s="332"/>
      <c r="AH1361" s="332"/>
      <c r="AI1361" s="332"/>
      <c r="AJ1361" s="332"/>
      <c r="AK1361" s="332"/>
      <c r="AL1361" s="332"/>
      <c r="AM1361" s="332"/>
      <c r="AN1361" s="332"/>
      <c r="AO1361" s="332"/>
      <c r="AP1361" s="332"/>
      <c r="AQ1361" s="332"/>
      <c r="AR1361" s="332"/>
      <c r="AS1361" s="332"/>
      <c r="AT1361" s="332"/>
      <c r="AU1361" s="332"/>
      <c r="AV1361" s="332"/>
      <c r="AW1361" s="332"/>
      <c r="AX1361" s="332"/>
      <c r="AY1361" s="332"/>
      <c r="AZ1361" s="332"/>
      <c r="BA1361" s="332"/>
      <c r="BB1361" s="332"/>
      <c r="BC1361" s="332"/>
      <c r="BD1361" s="332"/>
      <c r="BE1361" s="332"/>
      <c r="BF1361" s="332"/>
      <c r="BG1361" s="332"/>
      <c r="BH1361" s="332"/>
      <c r="BI1361" s="332"/>
      <c r="BJ1361" s="332"/>
      <c r="BK1361" s="332"/>
      <c r="BL1361" s="332"/>
      <c r="BM1361" s="332"/>
      <c r="BN1361" s="332"/>
      <c r="BO1361" s="332"/>
      <c r="BP1361" s="332"/>
      <c r="BQ1361" s="332"/>
      <c r="BR1361" s="332"/>
      <c r="BS1361" s="332"/>
      <c r="BT1361" s="332"/>
      <c r="BU1361" s="332"/>
      <c r="BV1361" s="332"/>
      <c r="BW1361" s="332"/>
      <c r="BX1361" s="332"/>
      <c r="BY1361" s="332"/>
      <c r="BZ1361" s="332"/>
      <c r="CA1361" s="332"/>
      <c r="CB1361" s="332"/>
      <c r="CC1361" s="332"/>
      <c r="CD1361" s="332"/>
      <c r="CE1361" s="332"/>
      <c r="CF1361" s="332"/>
      <c r="CG1361" s="332"/>
      <c r="CH1361" s="332"/>
      <c r="CI1361" s="332"/>
      <c r="CJ1361" s="332"/>
      <c r="CK1361" s="332"/>
      <c r="CL1361" s="332"/>
      <c r="CM1361" s="332"/>
      <c r="CN1361" s="332"/>
      <c r="CO1361" s="332"/>
      <c r="CP1361" s="332"/>
      <c r="CQ1361" s="332"/>
      <c r="CR1361" s="332"/>
      <c r="CS1361" s="332"/>
      <c r="CT1361" s="332"/>
      <c r="CU1361" s="332"/>
      <c r="CV1361" s="332"/>
      <c r="CW1361" s="332"/>
      <c r="CX1361" s="332"/>
      <c r="CY1361" s="332"/>
      <c r="CZ1361" s="332"/>
      <c r="DA1361" s="332"/>
      <c r="DB1361" s="332"/>
      <c r="DC1361" s="332"/>
      <c r="DD1361" s="332"/>
      <c r="DE1361" s="332"/>
      <c r="DF1361" s="332"/>
      <c r="DG1361" s="332"/>
      <c r="DH1361" s="332"/>
      <c r="DI1361" s="332"/>
      <c r="DJ1361" s="332"/>
      <c r="DK1361" s="332"/>
      <c r="DL1361" s="332"/>
      <c r="DM1361" s="332"/>
      <c r="DN1361" s="332"/>
      <c r="DO1361" s="332"/>
      <c r="DP1361" s="332"/>
      <c r="DQ1361" s="332"/>
      <c r="DR1361" s="332"/>
      <c r="DS1361" s="332"/>
      <c r="DT1361" s="332"/>
      <c r="DU1361" s="453"/>
      <c r="DV1361" s="453"/>
      <c r="DW1361" s="453"/>
      <c r="DX1361" s="453"/>
      <c r="DY1361" s="453"/>
      <c r="DZ1361" s="453"/>
      <c r="EA1361" s="453"/>
      <c r="EB1361" s="453"/>
      <c r="EC1361" s="453"/>
      <c r="ED1361" s="453"/>
      <c r="EE1361" s="453"/>
      <c r="EF1361" s="453"/>
      <c r="EG1361" s="453"/>
      <c r="EH1361" s="453"/>
      <c r="EI1361" s="453"/>
      <c r="EJ1361" s="453"/>
      <c r="EK1361" s="453"/>
      <c r="EL1361" s="453"/>
      <c r="EM1361" s="483">
        <f t="shared" si="257"/>
        <v>1052</v>
      </c>
      <c r="EN1361" s="485"/>
      <c r="EO1361" s="458"/>
      <c r="EP1361" s="467"/>
      <c r="EQ1361" s="457"/>
      <c r="ER1361" s="808"/>
      <c r="ES1361" s="881">
        <f t="shared" si="262"/>
        <v>0</v>
      </c>
      <c r="ET1361" s="882"/>
      <c r="EU1361" s="883"/>
      <c r="EV1361" s="884">
        <f t="shared" si="263"/>
        <v>0</v>
      </c>
      <c r="EW1361" s="885"/>
      <c r="EX1361" s="885"/>
      <c r="EY1361" s="885"/>
      <c r="EZ1361" s="885"/>
      <c r="FA1361" s="885"/>
      <c r="FB1361" s="885"/>
      <c r="FC1361" s="885"/>
      <c r="FD1361" s="886"/>
      <c r="FE1361" s="877"/>
      <c r="FF1361" s="877"/>
      <c r="FG1361" s="877"/>
      <c r="FH1361" s="877"/>
      <c r="FI1361" s="877"/>
      <c r="FJ1361" s="877"/>
      <c r="FK1361" s="877"/>
      <c r="FL1361" s="874"/>
      <c r="FM1361" s="875"/>
      <c r="FN1361" s="875"/>
      <c r="FO1361" s="875"/>
      <c r="FP1361" s="875"/>
      <c r="FQ1361" s="875"/>
      <c r="FR1361" s="875"/>
      <c r="FS1361" s="875"/>
      <c r="FT1361" s="875"/>
      <c r="FU1361" s="875"/>
      <c r="FV1361" s="875"/>
      <c r="FW1361" s="875"/>
      <c r="FX1361" s="875"/>
      <c r="FY1361" s="875"/>
      <c r="FZ1361" s="875"/>
      <c r="GA1361" s="875"/>
      <c r="GB1361" s="876"/>
      <c r="GC1361" s="370"/>
      <c r="GD1361" s="453"/>
      <c r="GE1361" s="453"/>
      <c r="GF1361" s="453"/>
      <c r="GG1361" s="453"/>
      <c r="GH1361" s="454"/>
      <c r="GI1361" s="453"/>
      <c r="GJ1361" s="453"/>
      <c r="GK1361" s="453"/>
      <c r="GL1361" s="453"/>
      <c r="GM1361" s="453"/>
      <c r="GN1361" s="453"/>
      <c r="GO1361" s="453"/>
      <c r="GP1361" s="453"/>
      <c r="GQ1361" s="453"/>
      <c r="GR1361" s="453"/>
      <c r="GS1361" s="561"/>
      <c r="GT1361" s="475"/>
      <c r="GU1361" s="472"/>
      <c r="GV1361" s="453"/>
      <c r="GW1361" s="453"/>
      <c r="GX1361" s="869"/>
      <c r="GY1361" s="870"/>
      <c r="GZ1361" s="867"/>
      <c r="HA1361" s="868"/>
      <c r="HB1361" s="473"/>
      <c r="HC1361" s="869"/>
      <c r="HD1361" s="870"/>
      <c r="HE1361" s="867"/>
      <c r="HF1361" s="868"/>
      <c r="HG1361" s="473"/>
      <c r="HH1361" s="867"/>
      <c r="HI1361" s="868"/>
      <c r="HJ1361" s="867"/>
      <c r="HK1361" s="868"/>
      <c r="HL1361" s="370"/>
      <c r="HM1361" s="865"/>
      <c r="HN1361" s="866"/>
      <c r="HO1361" s="865"/>
      <c r="HP1361" s="866"/>
      <c r="HQ1361" s="865"/>
      <c r="HR1361" s="866"/>
      <c r="HS1361" s="867"/>
      <c r="HT1361" s="868"/>
      <c r="HU1361" s="489"/>
      <c r="HV1361" s="865"/>
      <c r="HW1361" s="866"/>
    </row>
    <row r="1362" spans="25:231" ht="15" customHeight="1">
      <c r="Y1362" s="332"/>
      <c r="Z1362" s="332"/>
      <c r="AA1362" s="332"/>
      <c r="AB1362" s="332"/>
      <c r="AC1362" s="332"/>
      <c r="AD1362" s="332"/>
      <c r="AE1362" s="332"/>
      <c r="AF1362" s="332"/>
      <c r="AG1362" s="332"/>
      <c r="AH1362" s="332"/>
      <c r="AI1362" s="332"/>
      <c r="AJ1362" s="332"/>
      <c r="AK1362" s="332"/>
      <c r="AL1362" s="332"/>
      <c r="AM1362" s="332"/>
      <c r="AN1362" s="332"/>
      <c r="AO1362" s="332"/>
      <c r="AP1362" s="332"/>
      <c r="AQ1362" s="332"/>
      <c r="AR1362" s="332"/>
      <c r="AS1362" s="332"/>
      <c r="AT1362" s="332"/>
      <c r="AU1362" s="332"/>
      <c r="AV1362" s="332"/>
      <c r="AW1362" s="332"/>
      <c r="AX1362" s="332"/>
      <c r="AY1362" s="332"/>
      <c r="AZ1362" s="332"/>
      <c r="BA1362" s="332"/>
      <c r="BB1362" s="332"/>
      <c r="BC1362" s="332"/>
      <c r="BD1362" s="332"/>
      <c r="BE1362" s="332"/>
      <c r="BF1362" s="332"/>
      <c r="BG1362" s="332"/>
      <c r="BH1362" s="332"/>
      <c r="BI1362" s="332"/>
      <c r="BJ1362" s="332"/>
      <c r="BK1362" s="332"/>
      <c r="BL1362" s="332"/>
      <c r="BM1362" s="332"/>
      <c r="BN1362" s="332"/>
      <c r="BO1362" s="332"/>
      <c r="BP1362" s="332"/>
      <c r="BQ1362" s="332"/>
      <c r="BR1362" s="332"/>
      <c r="BS1362" s="332"/>
      <c r="BT1362" s="332"/>
      <c r="BU1362" s="332"/>
      <c r="BV1362" s="332"/>
      <c r="BW1362" s="332"/>
      <c r="BX1362" s="332"/>
      <c r="BY1362" s="332"/>
      <c r="BZ1362" s="332"/>
      <c r="CA1362" s="332"/>
      <c r="CB1362" s="332"/>
      <c r="CC1362" s="332"/>
      <c r="CD1362" s="332"/>
      <c r="CE1362" s="332"/>
      <c r="CF1362" s="332"/>
      <c r="CG1362" s="332"/>
      <c r="CH1362" s="332"/>
      <c r="CI1362" s="332"/>
      <c r="CJ1362" s="332"/>
      <c r="CK1362" s="332"/>
      <c r="CL1362" s="332"/>
      <c r="CM1362" s="332"/>
      <c r="CN1362" s="332"/>
      <c r="CO1362" s="332"/>
      <c r="CP1362" s="332"/>
      <c r="CQ1362" s="332"/>
      <c r="CR1362" s="332"/>
      <c r="CS1362" s="332"/>
      <c r="CT1362" s="332"/>
      <c r="CU1362" s="332"/>
      <c r="CV1362" s="332"/>
      <c r="CW1362" s="332"/>
      <c r="CX1362" s="332"/>
      <c r="CY1362" s="332"/>
      <c r="CZ1362" s="332"/>
      <c r="DA1362" s="332"/>
      <c r="DB1362" s="332"/>
      <c r="DC1362" s="332"/>
      <c r="DD1362" s="332"/>
      <c r="DE1362" s="332"/>
      <c r="DF1362" s="332"/>
      <c r="DG1362" s="332"/>
      <c r="DH1362" s="332"/>
      <c r="DI1362" s="332"/>
      <c r="DJ1362" s="332"/>
      <c r="DK1362" s="332"/>
      <c r="DL1362" s="332"/>
      <c r="DM1362" s="332"/>
      <c r="DN1362" s="332"/>
      <c r="DO1362" s="332"/>
      <c r="DP1362" s="332"/>
      <c r="DQ1362" s="332"/>
      <c r="DR1362" s="332"/>
      <c r="DS1362" s="332"/>
      <c r="DT1362" s="332"/>
      <c r="DU1362" s="453"/>
      <c r="DV1362" s="453"/>
      <c r="DW1362" s="453"/>
      <c r="DX1362" s="453"/>
      <c r="DY1362" s="453"/>
      <c r="DZ1362" s="453"/>
      <c r="EA1362" s="453"/>
      <c r="EB1362" s="453"/>
      <c r="EC1362" s="453"/>
      <c r="ED1362" s="453"/>
      <c r="EE1362" s="453"/>
      <c r="EF1362" s="453"/>
      <c r="EG1362" s="453"/>
      <c r="EH1362" s="453"/>
      <c r="EI1362" s="453"/>
      <c r="EJ1362" s="453"/>
      <c r="EK1362" s="453"/>
      <c r="EL1362" s="453"/>
      <c r="EM1362" s="483">
        <f t="shared" si="257"/>
        <v>1053</v>
      </c>
      <c r="EN1362" s="485"/>
      <c r="EO1362" s="458"/>
      <c r="EP1362" s="467"/>
      <c r="EQ1362" s="457"/>
      <c r="ER1362" s="808"/>
      <c r="ES1362" s="881">
        <f t="shared" si="262"/>
        <v>0</v>
      </c>
      <c r="ET1362" s="882"/>
      <c r="EU1362" s="883"/>
      <c r="EV1362" s="884">
        <f t="shared" si="263"/>
        <v>0</v>
      </c>
      <c r="EW1362" s="885"/>
      <c r="EX1362" s="885"/>
      <c r="EY1362" s="885"/>
      <c r="EZ1362" s="885"/>
      <c r="FA1362" s="885"/>
      <c r="FB1362" s="885"/>
      <c r="FC1362" s="885"/>
      <c r="FD1362" s="886"/>
      <c r="FE1362" s="877"/>
      <c r="FF1362" s="877"/>
      <c r="FG1362" s="877"/>
      <c r="FH1362" s="877"/>
      <c r="FI1362" s="877"/>
      <c r="FJ1362" s="877"/>
      <c r="FK1362" s="877"/>
      <c r="FL1362" s="874"/>
      <c r="FM1362" s="875"/>
      <c r="FN1362" s="875"/>
      <c r="FO1362" s="875"/>
      <c r="FP1362" s="875"/>
      <c r="FQ1362" s="875"/>
      <c r="FR1362" s="875"/>
      <c r="FS1362" s="875"/>
      <c r="FT1362" s="875"/>
      <c r="FU1362" s="875"/>
      <c r="FV1362" s="875"/>
      <c r="FW1362" s="875"/>
      <c r="FX1362" s="875"/>
      <c r="FY1362" s="875"/>
      <c r="FZ1362" s="875"/>
      <c r="GA1362" s="875"/>
      <c r="GB1362" s="876"/>
      <c r="GC1362" s="370"/>
      <c r="GD1362" s="453"/>
      <c r="GE1362" s="453"/>
      <c r="GF1362" s="453"/>
      <c r="GG1362" s="453"/>
      <c r="GH1362" s="454"/>
      <c r="GI1362" s="453"/>
      <c r="GJ1362" s="453"/>
      <c r="GK1362" s="453"/>
      <c r="GL1362" s="453"/>
      <c r="GM1362" s="453"/>
      <c r="GN1362" s="453"/>
      <c r="GO1362" s="453"/>
      <c r="GP1362" s="453"/>
      <c r="GQ1362" s="453"/>
      <c r="GR1362" s="453"/>
      <c r="GS1362" s="561"/>
      <c r="GT1362" s="475"/>
      <c r="GU1362" s="472"/>
      <c r="GV1362" s="453"/>
      <c r="GW1362" s="453"/>
      <c r="GX1362" s="869"/>
      <c r="GY1362" s="870"/>
      <c r="GZ1362" s="867"/>
      <c r="HA1362" s="868"/>
      <c r="HB1362" s="473"/>
      <c r="HC1362" s="869"/>
      <c r="HD1362" s="870"/>
      <c r="HE1362" s="867"/>
      <c r="HF1362" s="868"/>
      <c r="HG1362" s="473"/>
      <c r="HH1362" s="867"/>
      <c r="HI1362" s="868"/>
      <c r="HJ1362" s="867"/>
      <c r="HK1362" s="868"/>
      <c r="HL1362" s="370"/>
      <c r="HM1362" s="865"/>
      <c r="HN1362" s="866"/>
      <c r="HO1362" s="865"/>
      <c r="HP1362" s="866"/>
      <c r="HQ1362" s="865"/>
      <c r="HR1362" s="866"/>
      <c r="HS1362" s="867"/>
      <c r="HT1362" s="868"/>
      <c r="HU1362" s="489"/>
      <c r="HV1362" s="865"/>
      <c r="HW1362" s="866"/>
    </row>
    <row r="1363" spans="25:231" ht="15" customHeight="1">
      <c r="Y1363" s="332"/>
      <c r="Z1363" s="332"/>
      <c r="AA1363" s="332"/>
      <c r="AB1363" s="332"/>
      <c r="AC1363" s="332"/>
      <c r="AD1363" s="332"/>
      <c r="AE1363" s="332"/>
      <c r="AF1363" s="332"/>
      <c r="AG1363" s="332"/>
      <c r="AH1363" s="332"/>
      <c r="AI1363" s="332"/>
      <c r="AJ1363" s="332"/>
      <c r="AK1363" s="332"/>
      <c r="AL1363" s="332"/>
      <c r="AM1363" s="332"/>
      <c r="AN1363" s="332"/>
      <c r="AO1363" s="332"/>
      <c r="AP1363" s="332"/>
      <c r="AQ1363" s="332"/>
      <c r="AR1363" s="332"/>
      <c r="AS1363" s="332"/>
      <c r="AT1363" s="332"/>
      <c r="AU1363" s="332"/>
      <c r="AV1363" s="332"/>
      <c r="AW1363" s="332"/>
      <c r="AX1363" s="332"/>
      <c r="AY1363" s="332"/>
      <c r="AZ1363" s="332"/>
      <c r="BA1363" s="332"/>
      <c r="BB1363" s="332"/>
      <c r="BC1363" s="332"/>
      <c r="BD1363" s="332"/>
      <c r="BE1363" s="332"/>
      <c r="BF1363" s="332"/>
      <c r="BG1363" s="332"/>
      <c r="BH1363" s="332"/>
      <c r="BI1363" s="332"/>
      <c r="BJ1363" s="332"/>
      <c r="BK1363" s="332"/>
      <c r="BL1363" s="332"/>
      <c r="BM1363" s="332"/>
      <c r="BN1363" s="332"/>
      <c r="BO1363" s="332"/>
      <c r="BP1363" s="332"/>
      <c r="BQ1363" s="332"/>
      <c r="BR1363" s="332"/>
      <c r="BS1363" s="332"/>
      <c r="BT1363" s="332"/>
      <c r="BU1363" s="332"/>
      <c r="BV1363" s="332"/>
      <c r="BW1363" s="332"/>
      <c r="BX1363" s="332"/>
      <c r="BY1363" s="332"/>
      <c r="BZ1363" s="332"/>
      <c r="CA1363" s="332"/>
      <c r="CB1363" s="332"/>
      <c r="CC1363" s="332"/>
      <c r="CD1363" s="332"/>
      <c r="CE1363" s="332"/>
      <c r="CF1363" s="332"/>
      <c r="CG1363" s="332"/>
      <c r="CH1363" s="332"/>
      <c r="CI1363" s="332"/>
      <c r="CJ1363" s="332"/>
      <c r="CK1363" s="332"/>
      <c r="CL1363" s="332"/>
      <c r="CM1363" s="332"/>
      <c r="CN1363" s="332"/>
      <c r="CO1363" s="332"/>
      <c r="CP1363" s="332"/>
      <c r="CQ1363" s="332"/>
      <c r="CR1363" s="332"/>
      <c r="CS1363" s="332"/>
      <c r="CT1363" s="332"/>
      <c r="CU1363" s="332"/>
      <c r="CV1363" s="332"/>
      <c r="CW1363" s="332"/>
      <c r="CX1363" s="332"/>
      <c r="CY1363" s="332"/>
      <c r="CZ1363" s="332"/>
      <c r="DA1363" s="332"/>
      <c r="DB1363" s="332"/>
      <c r="DC1363" s="332"/>
      <c r="DD1363" s="332"/>
      <c r="DE1363" s="332"/>
      <c r="DF1363" s="332"/>
      <c r="DG1363" s="332"/>
      <c r="DH1363" s="332"/>
      <c r="DI1363" s="332"/>
      <c r="DJ1363" s="332"/>
      <c r="DK1363" s="332"/>
      <c r="DL1363" s="332"/>
      <c r="DM1363" s="332"/>
      <c r="DN1363" s="332"/>
      <c r="DO1363" s="332"/>
      <c r="DP1363" s="332"/>
      <c r="DQ1363" s="332"/>
      <c r="DR1363" s="332"/>
      <c r="DS1363" s="332"/>
      <c r="DT1363" s="332"/>
      <c r="DU1363" s="453"/>
      <c r="DV1363" s="453"/>
      <c r="DW1363" s="453"/>
      <c r="DX1363" s="453"/>
      <c r="DY1363" s="453"/>
      <c r="DZ1363" s="453"/>
      <c r="EA1363" s="453"/>
      <c r="EB1363" s="453"/>
      <c r="EC1363" s="453"/>
      <c r="ED1363" s="453"/>
      <c r="EE1363" s="453"/>
      <c r="EF1363" s="453"/>
      <c r="EG1363" s="453"/>
      <c r="EH1363" s="453"/>
      <c r="EI1363" s="453"/>
      <c r="EJ1363" s="453"/>
      <c r="EK1363" s="453"/>
      <c r="EL1363" s="453"/>
      <c r="EM1363" s="483">
        <f t="shared" si="257"/>
        <v>1054</v>
      </c>
      <c r="EN1363" s="485"/>
      <c r="EO1363" s="458"/>
      <c r="EP1363" s="467"/>
      <c r="EQ1363" s="457"/>
      <c r="ER1363" s="808"/>
      <c r="ES1363" s="881">
        <f t="shared" si="262"/>
        <v>0</v>
      </c>
      <c r="ET1363" s="882"/>
      <c r="EU1363" s="883"/>
      <c r="EV1363" s="884">
        <f t="shared" si="263"/>
        <v>0</v>
      </c>
      <c r="EW1363" s="885"/>
      <c r="EX1363" s="885"/>
      <c r="EY1363" s="885"/>
      <c r="EZ1363" s="885"/>
      <c r="FA1363" s="885"/>
      <c r="FB1363" s="885"/>
      <c r="FC1363" s="885"/>
      <c r="FD1363" s="886"/>
      <c r="FE1363" s="877"/>
      <c r="FF1363" s="877"/>
      <c r="FG1363" s="877"/>
      <c r="FH1363" s="877"/>
      <c r="FI1363" s="877"/>
      <c r="FJ1363" s="877"/>
      <c r="FK1363" s="877"/>
      <c r="FL1363" s="874"/>
      <c r="FM1363" s="875"/>
      <c r="FN1363" s="875"/>
      <c r="FO1363" s="875"/>
      <c r="FP1363" s="875"/>
      <c r="FQ1363" s="875"/>
      <c r="FR1363" s="875"/>
      <c r="FS1363" s="875"/>
      <c r="FT1363" s="875"/>
      <c r="FU1363" s="875"/>
      <c r="FV1363" s="875"/>
      <c r="FW1363" s="875"/>
      <c r="FX1363" s="875"/>
      <c r="FY1363" s="875"/>
      <c r="FZ1363" s="875"/>
      <c r="GA1363" s="875"/>
      <c r="GB1363" s="876"/>
      <c r="GC1363" s="370"/>
      <c r="GD1363" s="453"/>
      <c r="GE1363" s="453"/>
      <c r="GF1363" s="453"/>
      <c r="GG1363" s="453"/>
      <c r="GH1363" s="454"/>
      <c r="GI1363" s="453"/>
      <c r="GJ1363" s="453"/>
      <c r="GK1363" s="453"/>
      <c r="GL1363" s="453"/>
      <c r="GM1363" s="453"/>
      <c r="GN1363" s="453"/>
      <c r="GO1363" s="453"/>
      <c r="GP1363" s="453"/>
      <c r="GQ1363" s="453"/>
      <c r="GR1363" s="453"/>
      <c r="GS1363" s="561"/>
      <c r="GT1363" s="475"/>
      <c r="GU1363" s="472"/>
      <c r="GV1363" s="453"/>
      <c r="GW1363" s="453"/>
      <c r="GX1363" s="869"/>
      <c r="GY1363" s="870"/>
      <c r="GZ1363" s="867"/>
      <c r="HA1363" s="868"/>
      <c r="HB1363" s="473"/>
      <c r="HC1363" s="869"/>
      <c r="HD1363" s="870"/>
      <c r="HE1363" s="867"/>
      <c r="HF1363" s="868"/>
      <c r="HG1363" s="473"/>
      <c r="HH1363" s="867"/>
      <c r="HI1363" s="868"/>
      <c r="HJ1363" s="867"/>
      <c r="HK1363" s="868"/>
      <c r="HL1363" s="370"/>
      <c r="HM1363" s="865"/>
      <c r="HN1363" s="866"/>
      <c r="HO1363" s="865"/>
      <c r="HP1363" s="866"/>
      <c r="HQ1363" s="865"/>
      <c r="HR1363" s="866"/>
      <c r="HS1363" s="867"/>
      <c r="HT1363" s="868"/>
      <c r="HU1363" s="489"/>
      <c r="HV1363" s="865"/>
      <c r="HW1363" s="866"/>
    </row>
    <row r="1364" spans="25:231" ht="15" customHeight="1">
      <c r="Y1364" s="332"/>
      <c r="Z1364" s="332"/>
      <c r="AA1364" s="332"/>
      <c r="AB1364" s="332"/>
      <c r="AC1364" s="332"/>
      <c r="AD1364" s="332"/>
      <c r="AE1364" s="332"/>
      <c r="AF1364" s="332"/>
      <c r="AG1364" s="332"/>
      <c r="AH1364" s="332"/>
      <c r="AI1364" s="332"/>
      <c r="AJ1364" s="332"/>
      <c r="AK1364" s="332"/>
      <c r="AL1364" s="332"/>
      <c r="AM1364" s="332"/>
      <c r="AN1364" s="332"/>
      <c r="AO1364" s="332"/>
      <c r="AP1364" s="332"/>
      <c r="AQ1364" s="332"/>
      <c r="AR1364" s="332"/>
      <c r="AS1364" s="332"/>
      <c r="AT1364" s="332"/>
      <c r="AU1364" s="332"/>
      <c r="AV1364" s="332"/>
      <c r="AW1364" s="332"/>
      <c r="AX1364" s="332"/>
      <c r="AY1364" s="332"/>
      <c r="AZ1364" s="332"/>
      <c r="BA1364" s="332"/>
      <c r="BB1364" s="332"/>
      <c r="BC1364" s="332"/>
      <c r="BD1364" s="332"/>
      <c r="BE1364" s="332"/>
      <c r="BF1364" s="332"/>
      <c r="BG1364" s="332"/>
      <c r="BH1364" s="332"/>
      <c r="BI1364" s="332"/>
      <c r="BJ1364" s="332"/>
      <c r="BK1364" s="332"/>
      <c r="BL1364" s="332"/>
      <c r="BM1364" s="332"/>
      <c r="BN1364" s="332"/>
      <c r="BO1364" s="332"/>
      <c r="BP1364" s="332"/>
      <c r="BQ1364" s="332"/>
      <c r="BR1364" s="332"/>
      <c r="BS1364" s="332"/>
      <c r="BT1364" s="332"/>
      <c r="BU1364" s="332"/>
      <c r="BV1364" s="332"/>
      <c r="BW1364" s="332"/>
      <c r="BX1364" s="332"/>
      <c r="BY1364" s="332"/>
      <c r="BZ1364" s="332"/>
      <c r="CA1364" s="332"/>
      <c r="CB1364" s="332"/>
      <c r="CC1364" s="332"/>
      <c r="CD1364" s="332"/>
      <c r="CE1364" s="332"/>
      <c r="CF1364" s="332"/>
      <c r="CG1364" s="332"/>
      <c r="CH1364" s="332"/>
      <c r="CI1364" s="332"/>
      <c r="CJ1364" s="332"/>
      <c r="CK1364" s="332"/>
      <c r="CL1364" s="332"/>
      <c r="CM1364" s="332"/>
      <c r="CN1364" s="332"/>
      <c r="CO1364" s="332"/>
      <c r="CP1364" s="332"/>
      <c r="CQ1364" s="332"/>
      <c r="CR1364" s="332"/>
      <c r="CS1364" s="332"/>
      <c r="CT1364" s="332"/>
      <c r="CU1364" s="332"/>
      <c r="CV1364" s="332"/>
      <c r="CW1364" s="332"/>
      <c r="CX1364" s="332"/>
      <c r="CY1364" s="332"/>
      <c r="CZ1364" s="332"/>
      <c r="DA1364" s="332"/>
      <c r="DB1364" s="332"/>
      <c r="DC1364" s="332"/>
      <c r="DD1364" s="332"/>
      <c r="DE1364" s="332"/>
      <c r="DF1364" s="332"/>
      <c r="DG1364" s="332"/>
      <c r="DH1364" s="332"/>
      <c r="DI1364" s="332"/>
      <c r="DJ1364" s="332"/>
      <c r="DK1364" s="332"/>
      <c r="DL1364" s="332"/>
      <c r="DM1364" s="332"/>
      <c r="DN1364" s="332"/>
      <c r="DO1364" s="332"/>
      <c r="DP1364" s="332"/>
      <c r="DQ1364" s="332"/>
      <c r="DR1364" s="332"/>
      <c r="DS1364" s="332"/>
      <c r="DT1364" s="332"/>
      <c r="DU1364" s="453"/>
      <c r="DV1364" s="453"/>
      <c r="DW1364" s="453"/>
      <c r="DX1364" s="453"/>
      <c r="DY1364" s="453"/>
      <c r="DZ1364" s="453"/>
      <c r="EA1364" s="453"/>
      <c r="EB1364" s="453"/>
      <c r="EC1364" s="453"/>
      <c r="ED1364" s="453"/>
      <c r="EE1364" s="453"/>
      <c r="EF1364" s="453"/>
      <c r="EG1364" s="453"/>
      <c r="EH1364" s="453"/>
      <c r="EI1364" s="453"/>
      <c r="EJ1364" s="453"/>
      <c r="EK1364" s="453"/>
      <c r="EL1364" s="453"/>
      <c r="EM1364" s="483">
        <f t="shared" si="257"/>
        <v>1055</v>
      </c>
      <c r="EN1364" s="485"/>
      <c r="EO1364" s="458"/>
      <c r="EP1364" s="467"/>
      <c r="EQ1364" s="457"/>
      <c r="ER1364" s="808"/>
      <c r="ES1364" s="881">
        <f t="shared" si="262"/>
        <v>0</v>
      </c>
      <c r="ET1364" s="882"/>
      <c r="EU1364" s="883"/>
      <c r="EV1364" s="884">
        <f t="shared" si="263"/>
        <v>0</v>
      </c>
      <c r="EW1364" s="885"/>
      <c r="EX1364" s="885"/>
      <c r="EY1364" s="885"/>
      <c r="EZ1364" s="885"/>
      <c r="FA1364" s="885"/>
      <c r="FB1364" s="885"/>
      <c r="FC1364" s="885"/>
      <c r="FD1364" s="886"/>
      <c r="FE1364" s="877"/>
      <c r="FF1364" s="877"/>
      <c r="FG1364" s="877"/>
      <c r="FH1364" s="877"/>
      <c r="FI1364" s="877"/>
      <c r="FJ1364" s="877"/>
      <c r="FK1364" s="877"/>
      <c r="FL1364" s="874"/>
      <c r="FM1364" s="875"/>
      <c r="FN1364" s="875"/>
      <c r="FO1364" s="875"/>
      <c r="FP1364" s="875"/>
      <c r="FQ1364" s="875"/>
      <c r="FR1364" s="875"/>
      <c r="FS1364" s="875"/>
      <c r="FT1364" s="875"/>
      <c r="FU1364" s="875"/>
      <c r="FV1364" s="875"/>
      <c r="FW1364" s="875"/>
      <c r="FX1364" s="875"/>
      <c r="FY1364" s="875"/>
      <c r="FZ1364" s="875"/>
      <c r="GA1364" s="875"/>
      <c r="GB1364" s="876"/>
      <c r="GC1364" s="370"/>
      <c r="GD1364" s="453"/>
      <c r="GE1364" s="453"/>
      <c r="GF1364" s="453"/>
      <c r="GG1364" s="453"/>
      <c r="GH1364" s="454"/>
      <c r="GI1364" s="453"/>
      <c r="GJ1364" s="453"/>
      <c r="GK1364" s="453"/>
      <c r="GL1364" s="453"/>
      <c r="GM1364" s="453"/>
      <c r="GN1364" s="453"/>
      <c r="GO1364" s="453"/>
      <c r="GP1364" s="453"/>
      <c r="GQ1364" s="453"/>
      <c r="GR1364" s="453"/>
      <c r="GS1364" s="561"/>
      <c r="GT1364" s="475"/>
      <c r="GU1364" s="472"/>
      <c r="GV1364" s="453"/>
      <c r="GW1364" s="453"/>
      <c r="GX1364" s="869"/>
      <c r="GY1364" s="870"/>
      <c r="GZ1364" s="867"/>
      <c r="HA1364" s="868"/>
      <c r="HB1364" s="473"/>
      <c r="HC1364" s="869"/>
      <c r="HD1364" s="870"/>
      <c r="HE1364" s="867"/>
      <c r="HF1364" s="868"/>
      <c r="HG1364" s="473"/>
      <c r="HH1364" s="867"/>
      <c r="HI1364" s="868"/>
      <c r="HJ1364" s="867"/>
      <c r="HK1364" s="868"/>
      <c r="HL1364" s="370"/>
      <c r="HM1364" s="865"/>
      <c r="HN1364" s="866"/>
      <c r="HO1364" s="865"/>
      <c r="HP1364" s="866"/>
      <c r="HQ1364" s="865"/>
      <c r="HR1364" s="866"/>
      <c r="HS1364" s="867"/>
      <c r="HT1364" s="868"/>
      <c r="HU1364" s="489"/>
      <c r="HV1364" s="865"/>
      <c r="HW1364" s="866"/>
    </row>
    <row r="1365" spans="25:231" ht="15" customHeight="1">
      <c r="Y1365" s="332"/>
      <c r="Z1365" s="332"/>
      <c r="AA1365" s="332"/>
      <c r="AB1365" s="332"/>
      <c r="AC1365" s="332"/>
      <c r="AD1365" s="332"/>
      <c r="AE1365" s="332"/>
      <c r="AF1365" s="332"/>
      <c r="AG1365" s="332"/>
      <c r="AH1365" s="332"/>
      <c r="AI1365" s="332"/>
      <c r="AJ1365" s="332"/>
      <c r="AK1365" s="332"/>
      <c r="AL1365" s="332"/>
      <c r="AM1365" s="332"/>
      <c r="AN1365" s="332"/>
      <c r="AO1365" s="332"/>
      <c r="AP1365" s="332"/>
      <c r="AQ1365" s="332"/>
      <c r="AR1365" s="332"/>
      <c r="AS1365" s="332"/>
      <c r="AT1365" s="332"/>
      <c r="AU1365" s="332"/>
      <c r="AV1365" s="332"/>
      <c r="AW1365" s="332"/>
      <c r="AX1365" s="332"/>
      <c r="AY1365" s="332"/>
      <c r="AZ1365" s="332"/>
      <c r="BA1365" s="332"/>
      <c r="BB1365" s="332"/>
      <c r="BC1365" s="332"/>
      <c r="BD1365" s="332"/>
      <c r="BE1365" s="332"/>
      <c r="BF1365" s="332"/>
      <c r="BG1365" s="332"/>
      <c r="BH1365" s="332"/>
      <c r="BI1365" s="332"/>
      <c r="BJ1365" s="332"/>
      <c r="BK1365" s="332"/>
      <c r="BL1365" s="332"/>
      <c r="BM1365" s="332"/>
      <c r="BN1365" s="332"/>
      <c r="BO1365" s="332"/>
      <c r="BP1365" s="332"/>
      <c r="BQ1365" s="332"/>
      <c r="BR1365" s="332"/>
      <c r="BS1365" s="332"/>
      <c r="BT1365" s="332"/>
      <c r="BU1365" s="332"/>
      <c r="BV1365" s="332"/>
      <c r="BW1365" s="332"/>
      <c r="BX1365" s="332"/>
      <c r="BY1365" s="332"/>
      <c r="BZ1365" s="332"/>
      <c r="CA1365" s="332"/>
      <c r="CB1365" s="332"/>
      <c r="CC1365" s="332"/>
      <c r="CD1365" s="332"/>
      <c r="CE1365" s="332"/>
      <c r="CF1365" s="332"/>
      <c r="CG1365" s="332"/>
      <c r="CH1365" s="332"/>
      <c r="CI1365" s="332"/>
      <c r="CJ1365" s="332"/>
      <c r="CK1365" s="332"/>
      <c r="CL1365" s="332"/>
      <c r="CM1365" s="332"/>
      <c r="CN1365" s="332"/>
      <c r="CO1365" s="332"/>
      <c r="CP1365" s="332"/>
      <c r="CQ1365" s="332"/>
      <c r="CR1365" s="332"/>
      <c r="CS1365" s="332"/>
      <c r="CT1365" s="332"/>
      <c r="CU1365" s="332"/>
      <c r="CV1365" s="332"/>
      <c r="CW1365" s="332"/>
      <c r="CX1365" s="332"/>
      <c r="CY1365" s="332"/>
      <c r="CZ1365" s="332"/>
      <c r="DA1365" s="332"/>
      <c r="DB1365" s="332"/>
      <c r="DC1365" s="332"/>
      <c r="DD1365" s="332"/>
      <c r="DE1365" s="332"/>
      <c r="DF1365" s="332"/>
      <c r="DG1365" s="332"/>
      <c r="DH1365" s="332"/>
      <c r="DI1365" s="332"/>
      <c r="DJ1365" s="332"/>
      <c r="DK1365" s="332"/>
      <c r="DL1365" s="332"/>
      <c r="DM1365" s="332"/>
      <c r="DN1365" s="332"/>
      <c r="DO1365" s="332"/>
      <c r="DP1365" s="332"/>
      <c r="DQ1365" s="332"/>
      <c r="DR1365" s="332"/>
      <c r="DS1365" s="332"/>
      <c r="DT1365" s="332"/>
      <c r="DU1365" s="453"/>
      <c r="DV1365" s="453"/>
      <c r="DW1365" s="453"/>
      <c r="DX1365" s="453"/>
      <c r="DY1365" s="453"/>
      <c r="DZ1365" s="453"/>
      <c r="EA1365" s="453"/>
      <c r="EB1365" s="453"/>
      <c r="EC1365" s="453"/>
      <c r="ED1365" s="453"/>
      <c r="EE1365" s="453"/>
      <c r="EF1365" s="453"/>
      <c r="EG1365" s="453"/>
      <c r="EH1365" s="453"/>
      <c r="EI1365" s="453"/>
      <c r="EJ1365" s="453"/>
      <c r="EK1365" s="453"/>
      <c r="EL1365" s="453"/>
      <c r="EM1365" s="483">
        <f t="shared" si="257"/>
        <v>1056</v>
      </c>
      <c r="EN1365" s="485"/>
      <c r="EO1365" s="458"/>
      <c r="EP1365" s="467"/>
      <c r="EQ1365" s="457"/>
      <c r="ER1365" s="808"/>
      <c r="ES1365" s="881">
        <f t="shared" si="262"/>
        <v>0</v>
      </c>
      <c r="ET1365" s="882"/>
      <c r="EU1365" s="883"/>
      <c r="EV1365" s="884">
        <f t="shared" si="263"/>
        <v>0</v>
      </c>
      <c r="EW1365" s="885"/>
      <c r="EX1365" s="885"/>
      <c r="EY1365" s="885"/>
      <c r="EZ1365" s="885"/>
      <c r="FA1365" s="885"/>
      <c r="FB1365" s="885"/>
      <c r="FC1365" s="885"/>
      <c r="FD1365" s="886"/>
      <c r="FE1365" s="877"/>
      <c r="FF1365" s="877"/>
      <c r="FG1365" s="877"/>
      <c r="FH1365" s="877"/>
      <c r="FI1365" s="877"/>
      <c r="FJ1365" s="877"/>
      <c r="FK1365" s="877"/>
      <c r="FL1365" s="874"/>
      <c r="FM1365" s="875"/>
      <c r="FN1365" s="875"/>
      <c r="FO1365" s="875"/>
      <c r="FP1365" s="875"/>
      <c r="FQ1365" s="875"/>
      <c r="FR1365" s="875"/>
      <c r="FS1365" s="875"/>
      <c r="FT1365" s="875"/>
      <c r="FU1365" s="875"/>
      <c r="FV1365" s="875"/>
      <c r="FW1365" s="875"/>
      <c r="FX1365" s="875"/>
      <c r="FY1365" s="875"/>
      <c r="FZ1365" s="875"/>
      <c r="GA1365" s="875"/>
      <c r="GB1365" s="876"/>
      <c r="GC1365" s="370"/>
      <c r="GD1365" s="453"/>
      <c r="GE1365" s="453"/>
      <c r="GF1365" s="453"/>
      <c r="GG1365" s="453"/>
      <c r="GH1365" s="454"/>
      <c r="GI1365" s="453"/>
      <c r="GJ1365" s="453"/>
      <c r="GK1365" s="453"/>
      <c r="GL1365" s="453"/>
      <c r="GM1365" s="453"/>
      <c r="GN1365" s="453"/>
      <c r="GO1365" s="453"/>
      <c r="GP1365" s="453"/>
      <c r="GQ1365" s="453"/>
      <c r="GR1365" s="453"/>
      <c r="GS1365" s="561"/>
      <c r="GT1365" s="475"/>
      <c r="GU1365" s="472"/>
      <c r="GV1365" s="453"/>
      <c r="GW1365" s="453"/>
      <c r="GX1365" s="869"/>
      <c r="GY1365" s="870"/>
      <c r="GZ1365" s="867"/>
      <c r="HA1365" s="868"/>
      <c r="HB1365" s="473"/>
      <c r="HC1365" s="869"/>
      <c r="HD1365" s="870"/>
      <c r="HE1365" s="867"/>
      <c r="HF1365" s="868"/>
      <c r="HG1365" s="473"/>
      <c r="HH1365" s="867"/>
      <c r="HI1365" s="868"/>
      <c r="HJ1365" s="867"/>
      <c r="HK1365" s="868"/>
      <c r="HL1365" s="370"/>
      <c r="HM1365" s="865"/>
      <c r="HN1365" s="866"/>
      <c r="HO1365" s="865"/>
      <c r="HP1365" s="866"/>
      <c r="HQ1365" s="865"/>
      <c r="HR1365" s="866"/>
      <c r="HS1365" s="867"/>
      <c r="HT1365" s="868"/>
      <c r="HU1365" s="489"/>
      <c r="HV1365" s="865"/>
      <c r="HW1365" s="866"/>
    </row>
    <row r="1366" spans="25:231" ht="15" customHeight="1">
      <c r="Y1366" s="332"/>
      <c r="Z1366" s="332"/>
      <c r="AA1366" s="332"/>
      <c r="AB1366" s="332"/>
      <c r="AC1366" s="332"/>
      <c r="AD1366" s="332"/>
      <c r="AE1366" s="332"/>
      <c r="AF1366" s="332"/>
      <c r="AG1366" s="332"/>
      <c r="AH1366" s="332"/>
      <c r="AI1366" s="332"/>
      <c r="AJ1366" s="332"/>
      <c r="AK1366" s="332"/>
      <c r="AL1366" s="332"/>
      <c r="AM1366" s="332"/>
      <c r="AN1366" s="332"/>
      <c r="AO1366" s="332"/>
      <c r="AP1366" s="332"/>
      <c r="AQ1366" s="332"/>
      <c r="AR1366" s="332"/>
      <c r="AS1366" s="332"/>
      <c r="AT1366" s="332"/>
      <c r="AU1366" s="332"/>
      <c r="AV1366" s="332"/>
      <c r="AW1366" s="332"/>
      <c r="AX1366" s="332"/>
      <c r="AY1366" s="332"/>
      <c r="AZ1366" s="332"/>
      <c r="BA1366" s="332"/>
      <c r="BB1366" s="332"/>
      <c r="BC1366" s="332"/>
      <c r="BD1366" s="332"/>
      <c r="BE1366" s="332"/>
      <c r="BF1366" s="332"/>
      <c r="BG1366" s="332"/>
      <c r="BH1366" s="332"/>
      <c r="BI1366" s="332"/>
      <c r="BJ1366" s="332"/>
      <c r="BK1366" s="332"/>
      <c r="BL1366" s="332"/>
      <c r="BM1366" s="332"/>
      <c r="BN1366" s="332"/>
      <c r="BO1366" s="332"/>
      <c r="BP1366" s="332"/>
      <c r="BQ1366" s="332"/>
      <c r="BR1366" s="332"/>
      <c r="BS1366" s="332"/>
      <c r="BT1366" s="332"/>
      <c r="BU1366" s="332"/>
      <c r="BV1366" s="332"/>
      <c r="BW1366" s="332"/>
      <c r="BX1366" s="332"/>
      <c r="BY1366" s="332"/>
      <c r="BZ1366" s="332"/>
      <c r="CA1366" s="332"/>
      <c r="CB1366" s="332"/>
      <c r="CC1366" s="332"/>
      <c r="CD1366" s="332"/>
      <c r="CE1366" s="332"/>
      <c r="CF1366" s="332"/>
      <c r="CG1366" s="332"/>
      <c r="CH1366" s="332"/>
      <c r="CI1366" s="332"/>
      <c r="CJ1366" s="332"/>
      <c r="CK1366" s="332"/>
      <c r="CL1366" s="332"/>
      <c r="CM1366" s="332"/>
      <c r="CN1366" s="332"/>
      <c r="CO1366" s="332"/>
      <c r="CP1366" s="332"/>
      <c r="CQ1366" s="332"/>
      <c r="CR1366" s="332"/>
      <c r="CS1366" s="332"/>
      <c r="CT1366" s="332"/>
      <c r="CU1366" s="332"/>
      <c r="CV1366" s="332"/>
      <c r="CW1366" s="332"/>
      <c r="CX1366" s="332"/>
      <c r="CY1366" s="332"/>
      <c r="CZ1366" s="332"/>
      <c r="DA1366" s="332"/>
      <c r="DB1366" s="332"/>
      <c r="DC1366" s="332"/>
      <c r="DD1366" s="332"/>
      <c r="DE1366" s="332"/>
      <c r="DF1366" s="332"/>
      <c r="DG1366" s="332"/>
      <c r="DH1366" s="332"/>
      <c r="DI1366" s="332"/>
      <c r="DJ1366" s="332"/>
      <c r="DK1366" s="332"/>
      <c r="DL1366" s="332"/>
      <c r="DM1366" s="332"/>
      <c r="DN1366" s="332"/>
      <c r="DO1366" s="332"/>
      <c r="DP1366" s="332"/>
      <c r="DQ1366" s="332"/>
      <c r="DR1366" s="332"/>
      <c r="DS1366" s="332"/>
      <c r="DT1366" s="332"/>
      <c r="DU1366" s="453"/>
      <c r="DV1366" s="453"/>
      <c r="DW1366" s="453"/>
      <c r="DX1366" s="453"/>
      <c r="DY1366" s="453"/>
      <c r="DZ1366" s="453"/>
      <c r="EA1366" s="453"/>
      <c r="EB1366" s="453"/>
      <c r="EC1366" s="453"/>
      <c r="ED1366" s="453"/>
      <c r="EE1366" s="453"/>
      <c r="EF1366" s="453"/>
      <c r="EG1366" s="453"/>
      <c r="EH1366" s="453"/>
      <c r="EI1366" s="453"/>
      <c r="EJ1366" s="453"/>
      <c r="EK1366" s="453"/>
      <c r="EL1366" s="453"/>
      <c r="EM1366" s="483">
        <f t="shared" si="257"/>
        <v>1057</v>
      </c>
      <c r="EN1366" s="485"/>
      <c r="EO1366" s="458"/>
      <c r="EP1366" s="467"/>
      <c r="EQ1366" s="457"/>
      <c r="ER1366" s="808"/>
      <c r="ES1366" s="881">
        <f t="shared" si="262"/>
        <v>0</v>
      </c>
      <c r="ET1366" s="882"/>
      <c r="EU1366" s="883"/>
      <c r="EV1366" s="884">
        <f t="shared" si="263"/>
        <v>0</v>
      </c>
      <c r="EW1366" s="885"/>
      <c r="EX1366" s="885"/>
      <c r="EY1366" s="885"/>
      <c r="EZ1366" s="885"/>
      <c r="FA1366" s="885"/>
      <c r="FB1366" s="885"/>
      <c r="FC1366" s="885"/>
      <c r="FD1366" s="886"/>
      <c r="FE1366" s="877"/>
      <c r="FF1366" s="877"/>
      <c r="FG1366" s="877"/>
      <c r="FH1366" s="877"/>
      <c r="FI1366" s="877"/>
      <c r="FJ1366" s="877"/>
      <c r="FK1366" s="877"/>
      <c r="FL1366" s="874"/>
      <c r="FM1366" s="875"/>
      <c r="FN1366" s="875"/>
      <c r="FO1366" s="875"/>
      <c r="FP1366" s="875"/>
      <c r="FQ1366" s="875"/>
      <c r="FR1366" s="875"/>
      <c r="FS1366" s="875"/>
      <c r="FT1366" s="875"/>
      <c r="FU1366" s="875"/>
      <c r="FV1366" s="875"/>
      <c r="FW1366" s="875"/>
      <c r="FX1366" s="875"/>
      <c r="FY1366" s="875"/>
      <c r="FZ1366" s="875"/>
      <c r="GA1366" s="875"/>
      <c r="GB1366" s="876"/>
      <c r="GC1366" s="370"/>
      <c r="GD1366" s="453"/>
      <c r="GE1366" s="453"/>
      <c r="GF1366" s="453"/>
      <c r="GG1366" s="453"/>
      <c r="GH1366" s="454"/>
      <c r="GI1366" s="453"/>
      <c r="GJ1366" s="453"/>
      <c r="GK1366" s="453"/>
      <c r="GL1366" s="453"/>
      <c r="GM1366" s="453"/>
      <c r="GN1366" s="453"/>
      <c r="GO1366" s="453"/>
      <c r="GP1366" s="453"/>
      <c r="GQ1366" s="453"/>
      <c r="GR1366" s="453"/>
      <c r="GS1366" s="561"/>
      <c r="GT1366" s="475"/>
      <c r="GU1366" s="472"/>
      <c r="GV1366" s="453"/>
      <c r="GW1366" s="453"/>
      <c r="GX1366" s="869"/>
      <c r="GY1366" s="870"/>
      <c r="GZ1366" s="867"/>
      <c r="HA1366" s="868"/>
      <c r="HB1366" s="473"/>
      <c r="HC1366" s="869"/>
      <c r="HD1366" s="870"/>
      <c r="HE1366" s="867"/>
      <c r="HF1366" s="868"/>
      <c r="HG1366" s="473"/>
      <c r="HH1366" s="867"/>
      <c r="HI1366" s="868"/>
      <c r="HJ1366" s="867"/>
      <c r="HK1366" s="868"/>
      <c r="HL1366" s="370"/>
      <c r="HM1366" s="865"/>
      <c r="HN1366" s="866"/>
      <c r="HO1366" s="865"/>
      <c r="HP1366" s="866"/>
      <c r="HQ1366" s="865"/>
      <c r="HR1366" s="866"/>
      <c r="HS1366" s="867"/>
      <c r="HT1366" s="868"/>
      <c r="HU1366" s="489"/>
      <c r="HV1366" s="865"/>
      <c r="HW1366" s="866"/>
    </row>
    <row r="1367" spans="25:231" ht="15" customHeight="1">
      <c r="Y1367" s="332"/>
      <c r="Z1367" s="332"/>
      <c r="AA1367" s="332"/>
      <c r="AB1367" s="332"/>
      <c r="AC1367" s="332"/>
      <c r="AD1367" s="332"/>
      <c r="AE1367" s="332"/>
      <c r="AF1367" s="332"/>
      <c r="AG1367" s="332"/>
      <c r="AH1367" s="332"/>
      <c r="AI1367" s="332"/>
      <c r="AJ1367" s="332"/>
      <c r="AK1367" s="332"/>
      <c r="AL1367" s="332"/>
      <c r="AM1367" s="332"/>
      <c r="AN1367" s="332"/>
      <c r="AO1367" s="332"/>
      <c r="AP1367" s="332"/>
      <c r="AQ1367" s="332"/>
      <c r="AR1367" s="332"/>
      <c r="AS1367" s="332"/>
      <c r="AT1367" s="332"/>
      <c r="AU1367" s="332"/>
      <c r="AV1367" s="332"/>
      <c r="AW1367" s="332"/>
      <c r="AX1367" s="332"/>
      <c r="AY1367" s="332"/>
      <c r="AZ1367" s="332"/>
      <c r="BA1367" s="332"/>
      <c r="BB1367" s="332"/>
      <c r="BC1367" s="332"/>
      <c r="BD1367" s="332"/>
      <c r="BE1367" s="332"/>
      <c r="BF1367" s="332"/>
      <c r="BG1367" s="332"/>
      <c r="BH1367" s="332"/>
      <c r="BI1367" s="332"/>
      <c r="BJ1367" s="332"/>
      <c r="BK1367" s="332"/>
      <c r="BL1367" s="332"/>
      <c r="BM1367" s="332"/>
      <c r="BN1367" s="332"/>
      <c r="BO1367" s="332"/>
      <c r="BP1367" s="332"/>
      <c r="BQ1367" s="332"/>
      <c r="BR1367" s="332"/>
      <c r="BS1367" s="332"/>
      <c r="BT1367" s="332"/>
      <c r="BU1367" s="332"/>
      <c r="BV1367" s="332"/>
      <c r="BW1367" s="332"/>
      <c r="BX1367" s="332"/>
      <c r="BY1367" s="332"/>
      <c r="BZ1367" s="332"/>
      <c r="CA1367" s="332"/>
      <c r="CB1367" s="332"/>
      <c r="CC1367" s="332"/>
      <c r="CD1367" s="332"/>
      <c r="CE1367" s="332"/>
      <c r="CF1367" s="332"/>
      <c r="CG1367" s="332"/>
      <c r="CH1367" s="332"/>
      <c r="CI1367" s="332"/>
      <c r="CJ1367" s="332"/>
      <c r="CK1367" s="332"/>
      <c r="CL1367" s="332"/>
      <c r="CM1367" s="332"/>
      <c r="CN1367" s="332"/>
      <c r="CO1367" s="332"/>
      <c r="CP1367" s="332"/>
      <c r="CQ1367" s="332"/>
      <c r="CR1367" s="332"/>
      <c r="CS1367" s="332"/>
      <c r="CT1367" s="332"/>
      <c r="CU1367" s="332"/>
      <c r="CV1367" s="332"/>
      <c r="CW1367" s="332"/>
      <c r="CX1367" s="332"/>
      <c r="CY1367" s="332"/>
      <c r="CZ1367" s="332"/>
      <c r="DA1367" s="332"/>
      <c r="DB1367" s="332"/>
      <c r="DC1367" s="332"/>
      <c r="DD1367" s="332"/>
      <c r="DE1367" s="332"/>
      <c r="DF1367" s="332"/>
      <c r="DG1367" s="332"/>
      <c r="DH1367" s="332"/>
      <c r="DI1367" s="332"/>
      <c r="DJ1367" s="332"/>
      <c r="DK1367" s="332"/>
      <c r="DL1367" s="332"/>
      <c r="DM1367" s="332"/>
      <c r="DN1367" s="332"/>
      <c r="DO1367" s="332"/>
      <c r="DP1367" s="332"/>
      <c r="DQ1367" s="332"/>
      <c r="DR1367" s="332"/>
      <c r="DS1367" s="332"/>
      <c r="DT1367" s="332"/>
      <c r="DU1367" s="453"/>
      <c r="DV1367" s="453"/>
      <c r="DW1367" s="453"/>
      <c r="DX1367" s="453"/>
      <c r="DY1367" s="453"/>
      <c r="DZ1367" s="453"/>
      <c r="EA1367" s="453"/>
      <c r="EB1367" s="453"/>
      <c r="EC1367" s="453"/>
      <c r="ED1367" s="453"/>
      <c r="EE1367" s="453"/>
      <c r="EF1367" s="453"/>
      <c r="EG1367" s="453"/>
      <c r="EH1367" s="453"/>
      <c r="EI1367" s="453"/>
      <c r="EJ1367" s="453"/>
      <c r="EK1367" s="453"/>
      <c r="EL1367" s="453"/>
      <c r="EM1367" s="483">
        <f t="shared" si="257"/>
        <v>1058</v>
      </c>
      <c r="EN1367" s="485"/>
      <c r="EO1367" s="458"/>
      <c r="EP1367" s="467"/>
      <c r="EQ1367" s="457"/>
      <c r="ER1367" s="808"/>
      <c r="ES1367" s="881">
        <f t="shared" si="262"/>
        <v>0</v>
      </c>
      <c r="ET1367" s="882"/>
      <c r="EU1367" s="883"/>
      <c r="EV1367" s="884">
        <f t="shared" si="263"/>
        <v>0</v>
      </c>
      <c r="EW1367" s="885"/>
      <c r="EX1367" s="885"/>
      <c r="EY1367" s="885"/>
      <c r="EZ1367" s="885"/>
      <c r="FA1367" s="885"/>
      <c r="FB1367" s="885"/>
      <c r="FC1367" s="885"/>
      <c r="FD1367" s="886"/>
      <c r="FE1367" s="877"/>
      <c r="FF1367" s="877"/>
      <c r="FG1367" s="877"/>
      <c r="FH1367" s="877"/>
      <c r="FI1367" s="877"/>
      <c r="FJ1367" s="877"/>
      <c r="FK1367" s="877"/>
      <c r="FL1367" s="874"/>
      <c r="FM1367" s="875"/>
      <c r="FN1367" s="875"/>
      <c r="FO1367" s="875"/>
      <c r="FP1367" s="875"/>
      <c r="FQ1367" s="875"/>
      <c r="FR1367" s="875"/>
      <c r="FS1367" s="875"/>
      <c r="FT1367" s="875"/>
      <c r="FU1367" s="875"/>
      <c r="FV1367" s="875"/>
      <c r="FW1367" s="875"/>
      <c r="FX1367" s="875"/>
      <c r="FY1367" s="875"/>
      <c r="FZ1367" s="875"/>
      <c r="GA1367" s="875"/>
      <c r="GB1367" s="876"/>
      <c r="GC1367" s="370"/>
      <c r="GD1367" s="453"/>
      <c r="GE1367" s="453"/>
      <c r="GF1367" s="453"/>
      <c r="GG1367" s="453"/>
      <c r="GH1367" s="454"/>
      <c r="GI1367" s="453"/>
      <c r="GJ1367" s="453"/>
      <c r="GK1367" s="453"/>
      <c r="GL1367" s="453"/>
      <c r="GM1367" s="453"/>
      <c r="GN1367" s="453"/>
      <c r="GO1367" s="453"/>
      <c r="GP1367" s="453"/>
      <c r="GQ1367" s="453"/>
      <c r="GR1367" s="453"/>
      <c r="GS1367" s="561"/>
      <c r="GT1367" s="475"/>
      <c r="GU1367" s="472"/>
      <c r="GV1367" s="453"/>
      <c r="GW1367" s="453"/>
      <c r="GX1367" s="869"/>
      <c r="GY1367" s="870"/>
      <c r="GZ1367" s="867"/>
      <c r="HA1367" s="868"/>
      <c r="HB1367" s="473"/>
      <c r="HC1367" s="869"/>
      <c r="HD1367" s="870"/>
      <c r="HE1367" s="867"/>
      <c r="HF1367" s="868"/>
      <c r="HG1367" s="473"/>
      <c r="HH1367" s="867"/>
      <c r="HI1367" s="868"/>
      <c r="HJ1367" s="867"/>
      <c r="HK1367" s="868"/>
      <c r="HL1367" s="370"/>
      <c r="HM1367" s="865"/>
      <c r="HN1367" s="866"/>
      <c r="HO1367" s="865"/>
      <c r="HP1367" s="866"/>
      <c r="HQ1367" s="865"/>
      <c r="HR1367" s="866"/>
      <c r="HS1367" s="867"/>
      <c r="HT1367" s="868"/>
      <c r="HU1367" s="489"/>
      <c r="HV1367" s="865"/>
      <c r="HW1367" s="866"/>
    </row>
    <row r="1368" spans="25:231" ht="15" customHeight="1">
      <c r="Y1368" s="332"/>
      <c r="Z1368" s="332"/>
      <c r="AA1368" s="332"/>
      <c r="AB1368" s="332"/>
      <c r="AC1368" s="332"/>
      <c r="AD1368" s="332"/>
      <c r="AE1368" s="332"/>
      <c r="AF1368" s="332"/>
      <c r="AG1368" s="332"/>
      <c r="AH1368" s="332"/>
      <c r="AI1368" s="332"/>
      <c r="AJ1368" s="332"/>
      <c r="AK1368" s="332"/>
      <c r="AL1368" s="332"/>
      <c r="AM1368" s="332"/>
      <c r="AN1368" s="332"/>
      <c r="AO1368" s="332"/>
      <c r="AP1368" s="332"/>
      <c r="AQ1368" s="332"/>
      <c r="AR1368" s="332"/>
      <c r="AS1368" s="332"/>
      <c r="AT1368" s="332"/>
      <c r="AU1368" s="332"/>
      <c r="AV1368" s="332"/>
      <c r="AW1368" s="332"/>
      <c r="AX1368" s="332"/>
      <c r="AY1368" s="332"/>
      <c r="AZ1368" s="332"/>
      <c r="BA1368" s="332"/>
      <c r="BB1368" s="332"/>
      <c r="BC1368" s="332"/>
      <c r="BD1368" s="332"/>
      <c r="BE1368" s="332"/>
      <c r="BF1368" s="332"/>
      <c r="BG1368" s="332"/>
      <c r="BH1368" s="332"/>
      <c r="BI1368" s="332"/>
      <c r="BJ1368" s="332"/>
      <c r="BK1368" s="332"/>
      <c r="BL1368" s="332"/>
      <c r="BM1368" s="332"/>
      <c r="BN1368" s="332"/>
      <c r="BO1368" s="332"/>
      <c r="BP1368" s="332"/>
      <c r="BQ1368" s="332"/>
      <c r="BR1368" s="332"/>
      <c r="BS1368" s="332"/>
      <c r="BT1368" s="332"/>
      <c r="BU1368" s="332"/>
      <c r="BV1368" s="332"/>
      <c r="BW1368" s="332"/>
      <c r="BX1368" s="332"/>
      <c r="BY1368" s="332"/>
      <c r="BZ1368" s="332"/>
      <c r="CA1368" s="332"/>
      <c r="CB1368" s="332"/>
      <c r="CC1368" s="332"/>
      <c r="CD1368" s="332"/>
      <c r="CE1368" s="332"/>
      <c r="CF1368" s="332"/>
      <c r="CG1368" s="332"/>
      <c r="CH1368" s="332"/>
      <c r="CI1368" s="332"/>
      <c r="CJ1368" s="332"/>
      <c r="CK1368" s="332"/>
      <c r="CL1368" s="332"/>
      <c r="CM1368" s="332"/>
      <c r="CN1368" s="332"/>
      <c r="CO1368" s="332"/>
      <c r="CP1368" s="332"/>
      <c r="CQ1368" s="332"/>
      <c r="CR1368" s="332"/>
      <c r="CS1368" s="332"/>
      <c r="CT1368" s="332"/>
      <c r="CU1368" s="332"/>
      <c r="CV1368" s="332"/>
      <c r="CW1368" s="332"/>
      <c r="CX1368" s="332"/>
      <c r="CY1368" s="332"/>
      <c r="CZ1368" s="332"/>
      <c r="DA1368" s="332"/>
      <c r="DB1368" s="332"/>
      <c r="DC1368" s="332"/>
      <c r="DD1368" s="332"/>
      <c r="DE1368" s="332"/>
      <c r="DF1368" s="332"/>
      <c r="DG1368" s="332"/>
      <c r="DH1368" s="332"/>
      <c r="DI1368" s="332"/>
      <c r="DJ1368" s="332"/>
      <c r="DK1368" s="332"/>
      <c r="DL1368" s="332"/>
      <c r="DM1368" s="332"/>
      <c r="DN1368" s="332"/>
      <c r="DO1368" s="332"/>
      <c r="DP1368" s="332"/>
      <c r="DQ1368" s="332"/>
      <c r="DR1368" s="332"/>
      <c r="DS1368" s="332"/>
      <c r="DT1368" s="332"/>
      <c r="DU1368" s="453"/>
      <c r="DV1368" s="453"/>
      <c r="DW1368" s="453"/>
      <c r="DX1368" s="453"/>
      <c r="DY1368" s="453"/>
      <c r="DZ1368" s="453"/>
      <c r="EA1368" s="453"/>
      <c r="EB1368" s="453"/>
      <c r="EC1368" s="453"/>
      <c r="ED1368" s="453"/>
      <c r="EE1368" s="453"/>
      <c r="EF1368" s="453"/>
      <c r="EG1368" s="453"/>
      <c r="EH1368" s="453"/>
      <c r="EI1368" s="453"/>
      <c r="EJ1368" s="453"/>
      <c r="EK1368" s="453"/>
      <c r="EL1368" s="453"/>
      <c r="EM1368" s="483">
        <f t="shared" si="257"/>
        <v>1059</v>
      </c>
      <c r="EN1368" s="485"/>
      <c r="EO1368" s="458"/>
      <c r="EP1368" s="467"/>
      <c r="EQ1368" s="457"/>
      <c r="ER1368" s="808"/>
      <c r="ES1368" s="881">
        <f t="shared" si="262"/>
        <v>0</v>
      </c>
      <c r="ET1368" s="882"/>
      <c r="EU1368" s="883"/>
      <c r="EV1368" s="884">
        <f t="shared" si="263"/>
        <v>0</v>
      </c>
      <c r="EW1368" s="885"/>
      <c r="EX1368" s="885"/>
      <c r="EY1368" s="885"/>
      <c r="EZ1368" s="885"/>
      <c r="FA1368" s="885"/>
      <c r="FB1368" s="885"/>
      <c r="FC1368" s="885"/>
      <c r="FD1368" s="886"/>
      <c r="FE1368" s="877"/>
      <c r="FF1368" s="877"/>
      <c r="FG1368" s="877"/>
      <c r="FH1368" s="877"/>
      <c r="FI1368" s="877"/>
      <c r="FJ1368" s="877"/>
      <c r="FK1368" s="877"/>
      <c r="FL1368" s="874"/>
      <c r="FM1368" s="875"/>
      <c r="FN1368" s="875"/>
      <c r="FO1368" s="875"/>
      <c r="FP1368" s="875"/>
      <c r="FQ1368" s="875"/>
      <c r="FR1368" s="875"/>
      <c r="FS1368" s="875"/>
      <c r="FT1368" s="875"/>
      <c r="FU1368" s="875"/>
      <c r="FV1368" s="875"/>
      <c r="FW1368" s="875"/>
      <c r="FX1368" s="875"/>
      <c r="FY1368" s="875"/>
      <c r="FZ1368" s="875"/>
      <c r="GA1368" s="875"/>
      <c r="GB1368" s="876"/>
      <c r="GC1368" s="370"/>
      <c r="GD1368" s="453"/>
      <c r="GE1368" s="453"/>
      <c r="GF1368" s="453"/>
      <c r="GG1368" s="453"/>
      <c r="GH1368" s="454"/>
      <c r="GI1368" s="453"/>
      <c r="GJ1368" s="453"/>
      <c r="GK1368" s="453"/>
      <c r="GL1368" s="453"/>
      <c r="GM1368" s="453"/>
      <c r="GN1368" s="453"/>
      <c r="GO1368" s="453"/>
      <c r="GP1368" s="453"/>
      <c r="GQ1368" s="453"/>
      <c r="GR1368" s="453"/>
      <c r="GS1368" s="561"/>
      <c r="GT1368" s="475"/>
      <c r="GU1368" s="472"/>
      <c r="GV1368" s="453"/>
      <c r="GW1368" s="453"/>
      <c r="GX1368" s="869"/>
      <c r="GY1368" s="870"/>
      <c r="GZ1368" s="867"/>
      <c r="HA1368" s="868"/>
      <c r="HB1368" s="473"/>
      <c r="HC1368" s="869"/>
      <c r="HD1368" s="870"/>
      <c r="HE1368" s="867"/>
      <c r="HF1368" s="868"/>
      <c r="HG1368" s="473"/>
      <c r="HH1368" s="867"/>
      <c r="HI1368" s="868"/>
      <c r="HJ1368" s="867"/>
      <c r="HK1368" s="868"/>
      <c r="HL1368" s="370"/>
      <c r="HM1368" s="865"/>
      <c r="HN1368" s="866"/>
      <c r="HO1368" s="865"/>
      <c r="HP1368" s="866"/>
      <c r="HQ1368" s="865"/>
      <c r="HR1368" s="866"/>
      <c r="HS1368" s="867"/>
      <c r="HT1368" s="868"/>
      <c r="HU1368" s="489"/>
      <c r="HV1368" s="865"/>
      <c r="HW1368" s="866"/>
    </row>
    <row r="1369" spans="25:231" ht="15" customHeight="1">
      <c r="Y1369" s="332"/>
      <c r="Z1369" s="332"/>
      <c r="AA1369" s="332"/>
      <c r="AB1369" s="332"/>
      <c r="AC1369" s="332"/>
      <c r="AD1369" s="332"/>
      <c r="AE1369" s="332"/>
      <c r="AF1369" s="332"/>
      <c r="AG1369" s="332"/>
      <c r="AH1369" s="332"/>
      <c r="AI1369" s="332"/>
      <c r="AJ1369" s="332"/>
      <c r="AK1369" s="332"/>
      <c r="AL1369" s="332"/>
      <c r="AM1369" s="332"/>
      <c r="AN1369" s="332"/>
      <c r="AO1369" s="332"/>
      <c r="AP1369" s="332"/>
      <c r="AQ1369" s="332"/>
      <c r="AR1369" s="332"/>
      <c r="AS1369" s="332"/>
      <c r="AT1369" s="332"/>
      <c r="AU1369" s="332"/>
      <c r="AV1369" s="332"/>
      <c r="AW1369" s="332"/>
      <c r="AX1369" s="332"/>
      <c r="AY1369" s="332"/>
      <c r="AZ1369" s="332"/>
      <c r="BA1369" s="332"/>
      <c r="BB1369" s="332"/>
      <c r="BC1369" s="332"/>
      <c r="BD1369" s="332"/>
      <c r="BE1369" s="332"/>
      <c r="BF1369" s="332"/>
      <c r="BG1369" s="332"/>
      <c r="BH1369" s="332"/>
      <c r="BI1369" s="332"/>
      <c r="BJ1369" s="332"/>
      <c r="BK1369" s="332"/>
      <c r="BL1369" s="332"/>
      <c r="BM1369" s="332"/>
      <c r="BN1369" s="332"/>
      <c r="BO1369" s="332"/>
      <c r="BP1369" s="332"/>
      <c r="BQ1369" s="332"/>
      <c r="BR1369" s="332"/>
      <c r="BS1369" s="332"/>
      <c r="BT1369" s="332"/>
      <c r="BU1369" s="332"/>
      <c r="BV1369" s="332"/>
      <c r="BW1369" s="332"/>
      <c r="BX1369" s="332"/>
      <c r="BY1369" s="332"/>
      <c r="BZ1369" s="332"/>
      <c r="CA1369" s="332"/>
      <c r="CB1369" s="332"/>
      <c r="CC1369" s="332"/>
      <c r="CD1369" s="332"/>
      <c r="CE1369" s="332"/>
      <c r="CF1369" s="332"/>
      <c r="CG1369" s="332"/>
      <c r="CH1369" s="332"/>
      <c r="CI1369" s="332"/>
      <c r="CJ1369" s="332"/>
      <c r="CK1369" s="332"/>
      <c r="CL1369" s="332"/>
      <c r="CM1369" s="332"/>
      <c r="CN1369" s="332"/>
      <c r="CO1369" s="332"/>
      <c r="CP1369" s="332"/>
      <c r="CQ1369" s="332"/>
      <c r="CR1369" s="332"/>
      <c r="CS1369" s="332"/>
      <c r="CT1369" s="332"/>
      <c r="CU1369" s="332"/>
      <c r="CV1369" s="332"/>
      <c r="CW1369" s="332"/>
      <c r="CX1369" s="332"/>
      <c r="CY1369" s="332"/>
      <c r="CZ1369" s="332"/>
      <c r="DA1369" s="332"/>
      <c r="DB1369" s="332"/>
      <c r="DC1369" s="332"/>
      <c r="DD1369" s="332"/>
      <c r="DE1369" s="332"/>
      <c r="DF1369" s="332"/>
      <c r="DG1369" s="332"/>
      <c r="DH1369" s="332"/>
      <c r="DI1369" s="332"/>
      <c r="DJ1369" s="332"/>
      <c r="DK1369" s="332"/>
      <c r="DL1369" s="332"/>
      <c r="DM1369" s="332"/>
      <c r="DN1369" s="332"/>
      <c r="DO1369" s="332"/>
      <c r="DP1369" s="332"/>
      <c r="DQ1369" s="332"/>
      <c r="DR1369" s="332"/>
      <c r="DS1369" s="332"/>
      <c r="DT1369" s="332"/>
      <c r="DU1369" s="453"/>
      <c r="DV1369" s="453"/>
      <c r="DW1369" s="453"/>
      <c r="DX1369" s="453"/>
      <c r="DY1369" s="453"/>
      <c r="DZ1369" s="453"/>
      <c r="EA1369" s="453"/>
      <c r="EB1369" s="453"/>
      <c r="EC1369" s="453"/>
      <c r="ED1369" s="453"/>
      <c r="EE1369" s="453"/>
      <c r="EF1369" s="453"/>
      <c r="EG1369" s="453"/>
      <c r="EH1369" s="453"/>
      <c r="EI1369" s="453"/>
      <c r="EJ1369" s="453"/>
      <c r="EK1369" s="453"/>
      <c r="EL1369" s="453"/>
      <c r="EM1369" s="483">
        <f t="shared" si="257"/>
        <v>1060</v>
      </c>
      <c r="EN1369" s="485"/>
      <c r="EO1369" s="458"/>
      <c r="EP1369" s="467"/>
      <c r="EQ1369" s="457"/>
      <c r="ER1369" s="808"/>
      <c r="ES1369" s="881">
        <f t="shared" si="262"/>
        <v>0</v>
      </c>
      <c r="ET1369" s="882"/>
      <c r="EU1369" s="883"/>
      <c r="EV1369" s="884">
        <f t="shared" si="263"/>
        <v>0</v>
      </c>
      <c r="EW1369" s="885"/>
      <c r="EX1369" s="885"/>
      <c r="EY1369" s="885"/>
      <c r="EZ1369" s="885"/>
      <c r="FA1369" s="885"/>
      <c r="FB1369" s="885"/>
      <c r="FC1369" s="885"/>
      <c r="FD1369" s="886"/>
      <c r="FE1369" s="877"/>
      <c r="FF1369" s="877"/>
      <c r="FG1369" s="877"/>
      <c r="FH1369" s="877"/>
      <c r="FI1369" s="877"/>
      <c r="FJ1369" s="877"/>
      <c r="FK1369" s="877"/>
      <c r="FL1369" s="874"/>
      <c r="FM1369" s="875"/>
      <c r="FN1369" s="875"/>
      <c r="FO1369" s="875"/>
      <c r="FP1369" s="875"/>
      <c r="FQ1369" s="875"/>
      <c r="FR1369" s="875"/>
      <c r="FS1369" s="875"/>
      <c r="FT1369" s="875"/>
      <c r="FU1369" s="875"/>
      <c r="FV1369" s="875"/>
      <c r="FW1369" s="875"/>
      <c r="FX1369" s="875"/>
      <c r="FY1369" s="875"/>
      <c r="FZ1369" s="875"/>
      <c r="GA1369" s="875"/>
      <c r="GB1369" s="876"/>
      <c r="GC1369" s="370"/>
      <c r="GD1369" s="453"/>
      <c r="GE1369" s="453"/>
      <c r="GF1369" s="453"/>
      <c r="GG1369" s="453"/>
      <c r="GH1369" s="454"/>
      <c r="GI1369" s="453"/>
      <c r="GJ1369" s="453"/>
      <c r="GK1369" s="453"/>
      <c r="GL1369" s="453"/>
      <c r="GM1369" s="453"/>
      <c r="GN1369" s="453"/>
      <c r="GO1369" s="453"/>
      <c r="GP1369" s="453"/>
      <c r="GQ1369" s="453"/>
      <c r="GR1369" s="453"/>
      <c r="GS1369" s="561"/>
      <c r="GT1369" s="475"/>
      <c r="GU1369" s="472"/>
      <c r="GV1369" s="453"/>
      <c r="GW1369" s="453"/>
      <c r="GX1369" s="869"/>
      <c r="GY1369" s="870"/>
      <c r="GZ1369" s="867"/>
      <c r="HA1369" s="868"/>
      <c r="HB1369" s="473"/>
      <c r="HC1369" s="869"/>
      <c r="HD1369" s="870"/>
      <c r="HE1369" s="867"/>
      <c r="HF1369" s="868"/>
      <c r="HG1369" s="473"/>
      <c r="HH1369" s="867"/>
      <c r="HI1369" s="868"/>
      <c r="HJ1369" s="867"/>
      <c r="HK1369" s="868"/>
      <c r="HL1369" s="370"/>
      <c r="HM1369" s="865"/>
      <c r="HN1369" s="866"/>
      <c r="HO1369" s="865"/>
      <c r="HP1369" s="866"/>
      <c r="HQ1369" s="865"/>
      <c r="HR1369" s="866"/>
      <c r="HS1369" s="867"/>
      <c r="HT1369" s="868"/>
      <c r="HU1369" s="489"/>
      <c r="HV1369" s="865"/>
      <c r="HW1369" s="866"/>
    </row>
    <row r="1370" spans="25:231" ht="15" customHeight="1">
      <c r="Y1370" s="332"/>
      <c r="Z1370" s="332"/>
      <c r="AA1370" s="332"/>
      <c r="AB1370" s="332"/>
      <c r="AC1370" s="332"/>
      <c r="AD1370" s="332"/>
      <c r="AE1370" s="332"/>
      <c r="AF1370" s="332"/>
      <c r="AG1370" s="332"/>
      <c r="AH1370" s="332"/>
      <c r="AI1370" s="332"/>
      <c r="AJ1370" s="332"/>
      <c r="AK1370" s="332"/>
      <c r="AL1370" s="332"/>
      <c r="AM1370" s="332"/>
      <c r="AN1370" s="332"/>
      <c r="AO1370" s="332"/>
      <c r="AP1370" s="332"/>
      <c r="AQ1370" s="332"/>
      <c r="AR1370" s="332"/>
      <c r="AS1370" s="332"/>
      <c r="AT1370" s="332"/>
      <c r="AU1370" s="332"/>
      <c r="AV1370" s="332"/>
      <c r="AW1370" s="332"/>
      <c r="AX1370" s="332"/>
      <c r="AY1370" s="332"/>
      <c r="AZ1370" s="332"/>
      <c r="BA1370" s="332"/>
      <c r="BB1370" s="332"/>
      <c r="BC1370" s="332"/>
      <c r="BD1370" s="332"/>
      <c r="BE1370" s="332"/>
      <c r="BF1370" s="332"/>
      <c r="BG1370" s="332"/>
      <c r="BH1370" s="332"/>
      <c r="BI1370" s="332"/>
      <c r="BJ1370" s="332"/>
      <c r="BK1370" s="332"/>
      <c r="BL1370" s="332"/>
      <c r="BM1370" s="332"/>
      <c r="BN1370" s="332"/>
      <c r="BO1370" s="332"/>
      <c r="BP1370" s="332"/>
      <c r="BQ1370" s="332"/>
      <c r="BR1370" s="332"/>
      <c r="BS1370" s="332"/>
      <c r="BT1370" s="332"/>
      <c r="BU1370" s="332"/>
      <c r="BV1370" s="332"/>
      <c r="BW1370" s="332"/>
      <c r="BX1370" s="332"/>
      <c r="BY1370" s="332"/>
      <c r="BZ1370" s="332"/>
      <c r="CA1370" s="332"/>
      <c r="CB1370" s="332"/>
      <c r="CC1370" s="332"/>
      <c r="CD1370" s="332"/>
      <c r="CE1370" s="332"/>
      <c r="CF1370" s="332"/>
      <c r="CG1370" s="332"/>
      <c r="CH1370" s="332"/>
      <c r="CI1370" s="332"/>
      <c r="CJ1370" s="332"/>
      <c r="CK1370" s="332"/>
      <c r="CL1370" s="332"/>
      <c r="CM1370" s="332"/>
      <c r="CN1370" s="332"/>
      <c r="CO1370" s="332"/>
      <c r="CP1370" s="332"/>
      <c r="CQ1370" s="332"/>
      <c r="CR1370" s="332"/>
      <c r="CS1370" s="332"/>
      <c r="CT1370" s="332"/>
      <c r="CU1370" s="332"/>
      <c r="CV1370" s="332"/>
      <c r="CW1370" s="332"/>
      <c r="CX1370" s="332"/>
      <c r="CY1370" s="332"/>
      <c r="CZ1370" s="332"/>
      <c r="DA1370" s="332"/>
      <c r="DB1370" s="332"/>
      <c r="DC1370" s="332"/>
      <c r="DD1370" s="332"/>
      <c r="DE1370" s="332"/>
      <c r="DF1370" s="332"/>
      <c r="DG1370" s="332"/>
      <c r="DH1370" s="332"/>
      <c r="DI1370" s="332"/>
      <c r="DJ1370" s="332"/>
      <c r="DK1370" s="332"/>
      <c r="DL1370" s="332"/>
      <c r="DM1370" s="332"/>
      <c r="DN1370" s="332"/>
      <c r="DO1370" s="332"/>
      <c r="DP1370" s="332"/>
      <c r="DQ1370" s="332"/>
      <c r="DR1370" s="332"/>
      <c r="DS1370" s="332"/>
      <c r="DT1370" s="332"/>
      <c r="DU1370" s="453"/>
      <c r="DV1370" s="453"/>
      <c r="DW1370" s="453"/>
      <c r="DX1370" s="453"/>
      <c r="DY1370" s="453"/>
      <c r="DZ1370" s="453"/>
      <c r="EA1370" s="453"/>
      <c r="EB1370" s="453"/>
      <c r="EC1370" s="453"/>
      <c r="ED1370" s="453"/>
      <c r="EE1370" s="453"/>
      <c r="EF1370" s="453"/>
      <c r="EG1370" s="453"/>
      <c r="EH1370" s="453"/>
      <c r="EI1370" s="453"/>
      <c r="EJ1370" s="453"/>
      <c r="EK1370" s="453"/>
      <c r="EL1370" s="453"/>
      <c r="EM1370" s="483">
        <f t="shared" si="257"/>
        <v>1061</v>
      </c>
      <c r="EN1370" s="485"/>
      <c r="EO1370" s="458"/>
      <c r="EP1370" s="467"/>
      <c r="EQ1370" s="457"/>
      <c r="ER1370" s="808"/>
      <c r="ES1370" s="881">
        <f t="shared" si="262"/>
        <v>0</v>
      </c>
      <c r="ET1370" s="882"/>
      <c r="EU1370" s="883"/>
      <c r="EV1370" s="884">
        <f t="shared" si="263"/>
        <v>0</v>
      </c>
      <c r="EW1370" s="885"/>
      <c r="EX1370" s="885"/>
      <c r="EY1370" s="885"/>
      <c r="EZ1370" s="885"/>
      <c r="FA1370" s="885"/>
      <c r="FB1370" s="885"/>
      <c r="FC1370" s="885"/>
      <c r="FD1370" s="886"/>
      <c r="FE1370" s="877"/>
      <c r="FF1370" s="877"/>
      <c r="FG1370" s="877"/>
      <c r="FH1370" s="877"/>
      <c r="FI1370" s="877"/>
      <c r="FJ1370" s="877"/>
      <c r="FK1370" s="877"/>
      <c r="FL1370" s="874"/>
      <c r="FM1370" s="875"/>
      <c r="FN1370" s="875"/>
      <c r="FO1370" s="875"/>
      <c r="FP1370" s="875"/>
      <c r="FQ1370" s="875"/>
      <c r="FR1370" s="875"/>
      <c r="FS1370" s="875"/>
      <c r="FT1370" s="875"/>
      <c r="FU1370" s="875"/>
      <c r="FV1370" s="875"/>
      <c r="FW1370" s="875"/>
      <c r="FX1370" s="875"/>
      <c r="FY1370" s="875"/>
      <c r="FZ1370" s="875"/>
      <c r="GA1370" s="875"/>
      <c r="GB1370" s="876"/>
      <c r="GC1370" s="370"/>
      <c r="GD1370" s="453"/>
      <c r="GE1370" s="453"/>
      <c r="GF1370" s="453"/>
      <c r="GG1370" s="453"/>
      <c r="GH1370" s="454"/>
      <c r="GI1370" s="453"/>
      <c r="GJ1370" s="453"/>
      <c r="GK1370" s="453"/>
      <c r="GL1370" s="453"/>
      <c r="GM1370" s="453"/>
      <c r="GN1370" s="453"/>
      <c r="GO1370" s="453"/>
      <c r="GP1370" s="453"/>
      <c r="GQ1370" s="453"/>
      <c r="GR1370" s="453"/>
      <c r="GS1370" s="561"/>
      <c r="GT1370" s="475"/>
      <c r="GU1370" s="472"/>
      <c r="GV1370" s="453"/>
      <c r="GW1370" s="453"/>
      <c r="GX1370" s="869"/>
      <c r="GY1370" s="870"/>
      <c r="GZ1370" s="867"/>
      <c r="HA1370" s="868"/>
      <c r="HB1370" s="473"/>
      <c r="HC1370" s="869"/>
      <c r="HD1370" s="870"/>
      <c r="HE1370" s="867"/>
      <c r="HF1370" s="868"/>
      <c r="HG1370" s="473"/>
      <c r="HH1370" s="867"/>
      <c r="HI1370" s="868"/>
      <c r="HJ1370" s="867"/>
      <c r="HK1370" s="868"/>
      <c r="HL1370" s="370"/>
      <c r="HM1370" s="865"/>
      <c r="HN1370" s="866"/>
      <c r="HO1370" s="865"/>
      <c r="HP1370" s="866"/>
      <c r="HQ1370" s="865"/>
      <c r="HR1370" s="866"/>
      <c r="HS1370" s="867"/>
      <c r="HT1370" s="868"/>
      <c r="HU1370" s="489"/>
      <c r="HV1370" s="865"/>
      <c r="HW1370" s="866"/>
    </row>
    <row r="1371" spans="25:231" ht="15" customHeight="1">
      <c r="Y1371" s="332"/>
      <c r="Z1371" s="332"/>
      <c r="AA1371" s="332"/>
      <c r="AB1371" s="332"/>
      <c r="AC1371" s="332"/>
      <c r="AD1371" s="332"/>
      <c r="AE1371" s="332"/>
      <c r="AF1371" s="332"/>
      <c r="AG1371" s="332"/>
      <c r="AH1371" s="332"/>
      <c r="AI1371" s="332"/>
      <c r="AJ1371" s="332"/>
      <c r="AK1371" s="332"/>
      <c r="AL1371" s="332"/>
      <c r="AM1371" s="332"/>
      <c r="AN1371" s="332"/>
      <c r="AO1371" s="332"/>
      <c r="AP1371" s="332"/>
      <c r="AQ1371" s="332"/>
      <c r="AR1371" s="332"/>
      <c r="AS1371" s="332"/>
      <c r="AT1371" s="332"/>
      <c r="AU1371" s="332"/>
      <c r="AV1371" s="332"/>
      <c r="AW1371" s="332"/>
      <c r="AX1371" s="332"/>
      <c r="AY1371" s="332"/>
      <c r="AZ1371" s="332"/>
      <c r="BA1371" s="332"/>
      <c r="BB1371" s="332"/>
      <c r="BC1371" s="332"/>
      <c r="BD1371" s="332"/>
      <c r="BE1371" s="332"/>
      <c r="BF1371" s="332"/>
      <c r="BG1371" s="332"/>
      <c r="BH1371" s="332"/>
      <c r="BI1371" s="332"/>
      <c r="BJ1371" s="332"/>
      <c r="BK1371" s="332"/>
      <c r="BL1371" s="332"/>
      <c r="BM1371" s="332"/>
      <c r="BN1371" s="332"/>
      <c r="BO1371" s="332"/>
      <c r="BP1371" s="332"/>
      <c r="BQ1371" s="332"/>
      <c r="BR1371" s="332"/>
      <c r="BS1371" s="332"/>
      <c r="BT1371" s="332"/>
      <c r="BU1371" s="332"/>
      <c r="BV1371" s="332"/>
      <c r="BW1371" s="332"/>
      <c r="BX1371" s="332"/>
      <c r="BY1371" s="332"/>
      <c r="BZ1371" s="332"/>
      <c r="CA1371" s="332"/>
      <c r="CB1371" s="332"/>
      <c r="CC1371" s="332"/>
      <c r="CD1371" s="332"/>
      <c r="CE1371" s="332"/>
      <c r="CF1371" s="332"/>
      <c r="CG1371" s="332"/>
      <c r="CH1371" s="332"/>
      <c r="CI1371" s="332"/>
      <c r="CJ1371" s="332"/>
      <c r="CK1371" s="332"/>
      <c r="CL1371" s="332"/>
      <c r="CM1371" s="332"/>
      <c r="CN1371" s="332"/>
      <c r="CO1371" s="332"/>
      <c r="CP1371" s="332"/>
      <c r="CQ1371" s="332"/>
      <c r="CR1371" s="332"/>
      <c r="CS1371" s="332"/>
      <c r="CT1371" s="332"/>
      <c r="CU1371" s="332"/>
      <c r="CV1371" s="332"/>
      <c r="CW1371" s="332"/>
      <c r="CX1371" s="332"/>
      <c r="CY1371" s="332"/>
      <c r="CZ1371" s="332"/>
      <c r="DA1371" s="332"/>
      <c r="DB1371" s="332"/>
      <c r="DC1371" s="332"/>
      <c r="DD1371" s="332"/>
      <c r="DE1371" s="332"/>
      <c r="DF1371" s="332"/>
      <c r="DG1371" s="332"/>
      <c r="DH1371" s="332"/>
      <c r="DI1371" s="332"/>
      <c r="DJ1371" s="332"/>
      <c r="DK1371" s="332"/>
      <c r="DL1371" s="332"/>
      <c r="DM1371" s="332"/>
      <c r="DN1371" s="332"/>
      <c r="DO1371" s="332"/>
      <c r="DP1371" s="332"/>
      <c r="DQ1371" s="332"/>
      <c r="DR1371" s="332"/>
      <c r="DS1371" s="332"/>
      <c r="DT1371" s="332"/>
      <c r="DU1371" s="453"/>
      <c r="DV1371" s="453"/>
      <c r="DW1371" s="453"/>
      <c r="DX1371" s="453"/>
      <c r="DY1371" s="453"/>
      <c r="DZ1371" s="453"/>
      <c r="EA1371" s="453"/>
      <c r="EB1371" s="453"/>
      <c r="EC1371" s="453"/>
      <c r="ED1371" s="453"/>
      <c r="EE1371" s="453"/>
      <c r="EF1371" s="453"/>
      <c r="EG1371" s="453"/>
      <c r="EH1371" s="453"/>
      <c r="EI1371" s="453"/>
      <c r="EJ1371" s="453"/>
      <c r="EK1371" s="453"/>
      <c r="EL1371" s="453"/>
      <c r="EM1371" s="483">
        <f t="shared" si="257"/>
        <v>1062</v>
      </c>
      <c r="EN1371" s="485"/>
      <c r="EO1371" s="458"/>
      <c r="EP1371" s="467"/>
      <c r="EQ1371" s="457"/>
      <c r="ER1371" s="808"/>
      <c r="ES1371" s="881">
        <f t="shared" si="262"/>
        <v>0</v>
      </c>
      <c r="ET1371" s="882"/>
      <c r="EU1371" s="883"/>
      <c r="EV1371" s="884">
        <f t="shared" si="263"/>
        <v>0</v>
      </c>
      <c r="EW1371" s="885"/>
      <c r="EX1371" s="885"/>
      <c r="EY1371" s="885"/>
      <c r="EZ1371" s="885"/>
      <c r="FA1371" s="885"/>
      <c r="FB1371" s="885"/>
      <c r="FC1371" s="885"/>
      <c r="FD1371" s="886"/>
      <c r="FE1371" s="877"/>
      <c r="FF1371" s="877"/>
      <c r="FG1371" s="877"/>
      <c r="FH1371" s="877"/>
      <c r="FI1371" s="877"/>
      <c r="FJ1371" s="877"/>
      <c r="FK1371" s="877"/>
      <c r="FL1371" s="874"/>
      <c r="FM1371" s="875"/>
      <c r="FN1371" s="875"/>
      <c r="FO1371" s="875"/>
      <c r="FP1371" s="875"/>
      <c r="FQ1371" s="875"/>
      <c r="FR1371" s="875"/>
      <c r="FS1371" s="875"/>
      <c r="FT1371" s="875"/>
      <c r="FU1371" s="875"/>
      <c r="FV1371" s="875"/>
      <c r="FW1371" s="875"/>
      <c r="FX1371" s="875"/>
      <c r="FY1371" s="875"/>
      <c r="FZ1371" s="875"/>
      <c r="GA1371" s="875"/>
      <c r="GB1371" s="876"/>
      <c r="GC1371" s="370"/>
      <c r="GD1371" s="453"/>
      <c r="GE1371" s="453"/>
      <c r="GF1371" s="453"/>
      <c r="GG1371" s="453"/>
      <c r="GH1371" s="454"/>
      <c r="GI1371" s="453"/>
      <c r="GJ1371" s="453"/>
      <c r="GK1371" s="453"/>
      <c r="GL1371" s="453"/>
      <c r="GM1371" s="453"/>
      <c r="GN1371" s="453"/>
      <c r="GO1371" s="453"/>
      <c r="GP1371" s="453"/>
      <c r="GQ1371" s="453"/>
      <c r="GR1371" s="453"/>
      <c r="GS1371" s="561"/>
      <c r="GT1371" s="475"/>
      <c r="GU1371" s="472"/>
      <c r="GV1371" s="453"/>
      <c r="GW1371" s="453"/>
      <c r="GX1371" s="869"/>
      <c r="GY1371" s="870"/>
      <c r="GZ1371" s="867"/>
      <c r="HA1371" s="868"/>
      <c r="HB1371" s="473"/>
      <c r="HC1371" s="869"/>
      <c r="HD1371" s="870"/>
      <c r="HE1371" s="867"/>
      <c r="HF1371" s="868"/>
      <c r="HG1371" s="473"/>
      <c r="HH1371" s="867"/>
      <c r="HI1371" s="868"/>
      <c r="HJ1371" s="867"/>
      <c r="HK1371" s="868"/>
      <c r="HL1371" s="370"/>
      <c r="HM1371" s="865"/>
      <c r="HN1371" s="866"/>
      <c r="HO1371" s="865"/>
      <c r="HP1371" s="866"/>
      <c r="HQ1371" s="865"/>
      <c r="HR1371" s="866"/>
      <c r="HS1371" s="867"/>
      <c r="HT1371" s="868"/>
      <c r="HU1371" s="489"/>
      <c r="HV1371" s="865"/>
      <c r="HW1371" s="866"/>
    </row>
    <row r="1372" spans="25:231" ht="15" customHeight="1">
      <c r="Y1372" s="332"/>
      <c r="Z1372" s="332"/>
      <c r="AA1372" s="332"/>
      <c r="AB1372" s="332"/>
      <c r="AC1372" s="332"/>
      <c r="AD1372" s="332"/>
      <c r="AE1372" s="332"/>
      <c r="AF1372" s="332"/>
      <c r="AG1372" s="332"/>
      <c r="AH1372" s="332"/>
      <c r="AI1372" s="332"/>
      <c r="AJ1372" s="332"/>
      <c r="AK1372" s="332"/>
      <c r="AL1372" s="332"/>
      <c r="AM1372" s="332"/>
      <c r="AN1372" s="332"/>
      <c r="AO1372" s="332"/>
      <c r="AP1372" s="332"/>
      <c r="AQ1372" s="332"/>
      <c r="AR1372" s="332"/>
      <c r="AS1372" s="332"/>
      <c r="AT1372" s="332"/>
      <c r="AU1372" s="332"/>
      <c r="AV1372" s="332"/>
      <c r="AW1372" s="332"/>
      <c r="AX1372" s="332"/>
      <c r="AY1372" s="332"/>
      <c r="AZ1372" s="332"/>
      <c r="BA1372" s="332"/>
      <c r="BB1372" s="332"/>
      <c r="BC1372" s="332"/>
      <c r="BD1372" s="332"/>
      <c r="BE1372" s="332"/>
      <c r="BF1372" s="332"/>
      <c r="BG1372" s="332"/>
      <c r="BH1372" s="332"/>
      <c r="BI1372" s="332"/>
      <c r="BJ1372" s="332"/>
      <c r="BK1372" s="332"/>
      <c r="BL1372" s="332"/>
      <c r="BM1372" s="332"/>
      <c r="BN1372" s="332"/>
      <c r="BO1372" s="332"/>
      <c r="BP1372" s="332"/>
      <c r="BQ1372" s="332"/>
      <c r="BR1372" s="332"/>
      <c r="BS1372" s="332"/>
      <c r="BT1372" s="332"/>
      <c r="BU1372" s="332"/>
      <c r="BV1372" s="332"/>
      <c r="BW1372" s="332"/>
      <c r="BX1372" s="332"/>
      <c r="BY1372" s="332"/>
      <c r="BZ1372" s="332"/>
      <c r="CA1372" s="332"/>
      <c r="CB1372" s="332"/>
      <c r="CC1372" s="332"/>
      <c r="CD1372" s="332"/>
      <c r="CE1372" s="332"/>
      <c r="CF1372" s="332"/>
      <c r="CG1372" s="332"/>
      <c r="CH1372" s="332"/>
      <c r="CI1372" s="332"/>
      <c r="CJ1372" s="332"/>
      <c r="CK1372" s="332"/>
      <c r="CL1372" s="332"/>
      <c r="CM1372" s="332"/>
      <c r="CN1372" s="332"/>
      <c r="CO1372" s="332"/>
      <c r="CP1372" s="332"/>
      <c r="CQ1372" s="332"/>
      <c r="CR1372" s="332"/>
      <c r="CS1372" s="332"/>
      <c r="CT1372" s="332"/>
      <c r="CU1372" s="332"/>
      <c r="CV1372" s="332"/>
      <c r="CW1372" s="332"/>
      <c r="CX1372" s="332"/>
      <c r="CY1372" s="332"/>
      <c r="CZ1372" s="332"/>
      <c r="DA1372" s="332"/>
      <c r="DB1372" s="332"/>
      <c r="DC1372" s="332"/>
      <c r="DD1372" s="332"/>
      <c r="DE1372" s="332"/>
      <c r="DF1372" s="332"/>
      <c r="DG1372" s="332"/>
      <c r="DH1372" s="332"/>
      <c r="DI1372" s="332"/>
      <c r="DJ1372" s="332"/>
      <c r="DK1372" s="332"/>
      <c r="DL1372" s="332"/>
      <c r="DM1372" s="332"/>
      <c r="DN1372" s="332"/>
      <c r="DO1372" s="332"/>
      <c r="DP1372" s="332"/>
      <c r="DQ1372" s="332"/>
      <c r="DR1372" s="332"/>
      <c r="DS1372" s="332"/>
      <c r="DT1372" s="332"/>
      <c r="DU1372" s="453"/>
      <c r="DV1372" s="453"/>
      <c r="DW1372" s="453"/>
      <c r="DX1372" s="453"/>
      <c r="DY1372" s="453"/>
      <c r="DZ1372" s="453"/>
      <c r="EA1372" s="453"/>
      <c r="EB1372" s="453"/>
      <c r="EC1372" s="453"/>
      <c r="ED1372" s="453"/>
      <c r="EE1372" s="453"/>
      <c r="EF1372" s="453"/>
      <c r="EG1372" s="453"/>
      <c r="EH1372" s="453"/>
      <c r="EI1372" s="453"/>
      <c r="EJ1372" s="453"/>
      <c r="EK1372" s="453"/>
      <c r="EL1372" s="453"/>
      <c r="EM1372" s="483">
        <f t="shared" si="257"/>
        <v>1063</v>
      </c>
      <c r="EN1372" s="485"/>
      <c r="EO1372" s="458"/>
      <c r="EP1372" s="467"/>
      <c r="EQ1372" s="457"/>
      <c r="ER1372" s="808"/>
      <c r="ES1372" s="881">
        <f t="shared" si="262"/>
        <v>0</v>
      </c>
      <c r="ET1372" s="882"/>
      <c r="EU1372" s="883"/>
      <c r="EV1372" s="884">
        <f t="shared" si="263"/>
        <v>0</v>
      </c>
      <c r="EW1372" s="885"/>
      <c r="EX1372" s="885"/>
      <c r="EY1372" s="885"/>
      <c r="EZ1372" s="885"/>
      <c r="FA1372" s="885"/>
      <c r="FB1372" s="885"/>
      <c r="FC1372" s="885"/>
      <c r="FD1372" s="886"/>
      <c r="FE1372" s="877"/>
      <c r="FF1372" s="877"/>
      <c r="FG1372" s="877"/>
      <c r="FH1372" s="877"/>
      <c r="FI1372" s="877"/>
      <c r="FJ1372" s="877"/>
      <c r="FK1372" s="877"/>
      <c r="FL1372" s="874"/>
      <c r="FM1372" s="875"/>
      <c r="FN1372" s="875"/>
      <c r="FO1372" s="875"/>
      <c r="FP1372" s="875"/>
      <c r="FQ1372" s="875"/>
      <c r="FR1372" s="875"/>
      <c r="FS1372" s="875"/>
      <c r="FT1372" s="875"/>
      <c r="FU1372" s="875"/>
      <c r="FV1372" s="875"/>
      <c r="FW1372" s="875"/>
      <c r="FX1372" s="875"/>
      <c r="FY1372" s="875"/>
      <c r="FZ1372" s="875"/>
      <c r="GA1372" s="875"/>
      <c r="GB1372" s="876"/>
      <c r="GC1372" s="370"/>
      <c r="GD1372" s="453"/>
      <c r="GE1372" s="453"/>
      <c r="GF1372" s="453"/>
      <c r="GG1372" s="453"/>
      <c r="GH1372" s="454"/>
      <c r="GI1372" s="453"/>
      <c r="GJ1372" s="453"/>
      <c r="GK1372" s="453"/>
      <c r="GL1372" s="453"/>
      <c r="GM1372" s="453"/>
      <c r="GN1372" s="453"/>
      <c r="GO1372" s="453"/>
      <c r="GP1372" s="453"/>
      <c r="GQ1372" s="453"/>
      <c r="GR1372" s="453"/>
      <c r="GS1372" s="561"/>
      <c r="GT1372" s="475"/>
      <c r="GU1372" s="472"/>
      <c r="GV1372" s="453"/>
      <c r="GW1372" s="453"/>
      <c r="GX1372" s="869"/>
      <c r="GY1372" s="870"/>
      <c r="GZ1372" s="867"/>
      <c r="HA1372" s="868"/>
      <c r="HB1372" s="473"/>
      <c r="HC1372" s="869"/>
      <c r="HD1372" s="870"/>
      <c r="HE1372" s="867"/>
      <c r="HF1372" s="868"/>
      <c r="HG1372" s="473"/>
      <c r="HH1372" s="867"/>
      <c r="HI1372" s="868"/>
      <c r="HJ1372" s="867"/>
      <c r="HK1372" s="868"/>
      <c r="HL1372" s="370"/>
      <c r="HM1372" s="865"/>
      <c r="HN1372" s="866"/>
      <c r="HO1372" s="865"/>
      <c r="HP1372" s="866"/>
      <c r="HQ1372" s="865"/>
      <c r="HR1372" s="866"/>
      <c r="HS1372" s="867"/>
      <c r="HT1372" s="868"/>
      <c r="HU1372" s="489"/>
      <c r="HV1372" s="865"/>
      <c r="HW1372" s="866"/>
    </row>
    <row r="1373" spans="25:231" ht="15" customHeight="1">
      <c r="Y1373" s="332"/>
      <c r="Z1373" s="332"/>
      <c r="AA1373" s="332"/>
      <c r="AB1373" s="332"/>
      <c r="AC1373" s="332"/>
      <c r="AD1373" s="332"/>
      <c r="AE1373" s="332"/>
      <c r="AF1373" s="332"/>
      <c r="AG1373" s="332"/>
      <c r="AH1373" s="332"/>
      <c r="AI1373" s="332"/>
      <c r="AJ1373" s="332"/>
      <c r="AK1373" s="332"/>
      <c r="AL1373" s="332"/>
      <c r="AM1373" s="332"/>
      <c r="AN1373" s="332"/>
      <c r="AO1373" s="332"/>
      <c r="AP1373" s="332"/>
      <c r="AQ1373" s="332"/>
      <c r="AR1373" s="332"/>
      <c r="AS1373" s="332"/>
      <c r="AT1373" s="332"/>
      <c r="AU1373" s="332"/>
      <c r="AV1373" s="332"/>
      <c r="AW1373" s="332"/>
      <c r="AX1373" s="332"/>
      <c r="AY1373" s="332"/>
      <c r="AZ1373" s="332"/>
      <c r="BA1373" s="332"/>
      <c r="BB1373" s="332"/>
      <c r="BC1373" s="332"/>
      <c r="BD1373" s="332"/>
      <c r="BE1373" s="332"/>
      <c r="BF1373" s="332"/>
      <c r="BG1373" s="332"/>
      <c r="BH1373" s="332"/>
      <c r="BI1373" s="332"/>
      <c r="BJ1373" s="332"/>
      <c r="BK1373" s="332"/>
      <c r="BL1373" s="332"/>
      <c r="BM1373" s="332"/>
      <c r="BN1373" s="332"/>
      <c r="BO1373" s="332"/>
      <c r="BP1373" s="332"/>
      <c r="BQ1373" s="332"/>
      <c r="BR1373" s="332"/>
      <c r="BS1373" s="332"/>
      <c r="BT1373" s="332"/>
      <c r="BU1373" s="332"/>
      <c r="BV1373" s="332"/>
      <c r="BW1373" s="332"/>
      <c r="BX1373" s="332"/>
      <c r="BY1373" s="332"/>
      <c r="BZ1373" s="332"/>
      <c r="CA1373" s="332"/>
      <c r="CB1373" s="332"/>
      <c r="CC1373" s="332"/>
      <c r="CD1373" s="332"/>
      <c r="CE1373" s="332"/>
      <c r="CF1373" s="332"/>
      <c r="CG1373" s="332"/>
      <c r="CH1373" s="332"/>
      <c r="CI1373" s="332"/>
      <c r="CJ1373" s="332"/>
      <c r="CK1373" s="332"/>
      <c r="CL1373" s="332"/>
      <c r="CM1373" s="332"/>
      <c r="CN1373" s="332"/>
      <c r="CO1373" s="332"/>
      <c r="CP1373" s="332"/>
      <c r="CQ1373" s="332"/>
      <c r="CR1373" s="332"/>
      <c r="CS1373" s="332"/>
      <c r="CT1373" s="332"/>
      <c r="CU1373" s="332"/>
      <c r="CV1373" s="332"/>
      <c r="CW1373" s="332"/>
      <c r="CX1373" s="332"/>
      <c r="CY1373" s="332"/>
      <c r="CZ1373" s="332"/>
      <c r="DA1373" s="332"/>
      <c r="DB1373" s="332"/>
      <c r="DC1373" s="332"/>
      <c r="DD1373" s="332"/>
      <c r="DE1373" s="332"/>
      <c r="DF1373" s="332"/>
      <c r="DG1373" s="332"/>
      <c r="DH1373" s="332"/>
      <c r="DI1373" s="332"/>
      <c r="DJ1373" s="332"/>
      <c r="DK1373" s="332"/>
      <c r="DL1373" s="332"/>
      <c r="DM1373" s="332"/>
      <c r="DN1373" s="332"/>
      <c r="DO1373" s="332"/>
      <c r="DP1373" s="332"/>
      <c r="DQ1373" s="332"/>
      <c r="DR1373" s="332"/>
      <c r="DS1373" s="332"/>
      <c r="DT1373" s="332"/>
      <c r="DU1373" s="453"/>
      <c r="DV1373" s="453"/>
      <c r="DW1373" s="453"/>
      <c r="DX1373" s="453"/>
      <c r="DY1373" s="453"/>
      <c r="DZ1373" s="453"/>
      <c r="EA1373" s="453"/>
      <c r="EB1373" s="453"/>
      <c r="EC1373" s="453"/>
      <c r="ED1373" s="453"/>
      <c r="EE1373" s="453"/>
      <c r="EF1373" s="453"/>
      <c r="EG1373" s="453"/>
      <c r="EH1373" s="453"/>
      <c r="EI1373" s="453"/>
      <c r="EJ1373" s="453"/>
      <c r="EK1373" s="453"/>
      <c r="EL1373" s="453"/>
      <c r="EM1373" s="483">
        <f t="shared" si="257"/>
        <v>1064</v>
      </c>
      <c r="EN1373" s="485"/>
      <c r="EO1373" s="458"/>
      <c r="EP1373" s="467"/>
      <c r="EQ1373" s="457"/>
      <c r="ER1373" s="808"/>
      <c r="ES1373" s="881">
        <f t="shared" si="262"/>
        <v>0</v>
      </c>
      <c r="ET1373" s="882"/>
      <c r="EU1373" s="883"/>
      <c r="EV1373" s="884">
        <f t="shared" si="263"/>
        <v>0</v>
      </c>
      <c r="EW1373" s="885"/>
      <c r="EX1373" s="885"/>
      <c r="EY1373" s="885"/>
      <c r="EZ1373" s="885"/>
      <c r="FA1373" s="885"/>
      <c r="FB1373" s="885"/>
      <c r="FC1373" s="885"/>
      <c r="FD1373" s="886"/>
      <c r="FE1373" s="877"/>
      <c r="FF1373" s="877"/>
      <c r="FG1373" s="877"/>
      <c r="FH1373" s="877"/>
      <c r="FI1373" s="877"/>
      <c r="FJ1373" s="877"/>
      <c r="FK1373" s="877"/>
      <c r="FL1373" s="874"/>
      <c r="FM1373" s="875"/>
      <c r="FN1373" s="875"/>
      <c r="FO1373" s="875"/>
      <c r="FP1373" s="875"/>
      <c r="FQ1373" s="875"/>
      <c r="FR1373" s="875"/>
      <c r="FS1373" s="875"/>
      <c r="FT1373" s="875"/>
      <c r="FU1373" s="875"/>
      <c r="FV1373" s="875"/>
      <c r="FW1373" s="875"/>
      <c r="FX1373" s="875"/>
      <c r="FY1373" s="875"/>
      <c r="FZ1373" s="875"/>
      <c r="GA1373" s="875"/>
      <c r="GB1373" s="876"/>
      <c r="GC1373" s="370"/>
      <c r="GD1373" s="453"/>
      <c r="GE1373" s="453"/>
      <c r="GF1373" s="453"/>
      <c r="GG1373" s="453"/>
      <c r="GH1373" s="454"/>
      <c r="GI1373" s="453"/>
      <c r="GJ1373" s="453"/>
      <c r="GK1373" s="453"/>
      <c r="GL1373" s="453"/>
      <c r="GM1373" s="453"/>
      <c r="GN1373" s="453"/>
      <c r="GO1373" s="453"/>
      <c r="GP1373" s="453"/>
      <c r="GQ1373" s="453"/>
      <c r="GR1373" s="453"/>
      <c r="GS1373" s="561"/>
      <c r="GT1373" s="475"/>
      <c r="GU1373" s="472"/>
      <c r="GV1373" s="453"/>
      <c r="GW1373" s="453"/>
      <c r="GX1373" s="869"/>
      <c r="GY1373" s="870"/>
      <c r="GZ1373" s="867"/>
      <c r="HA1373" s="868"/>
      <c r="HB1373" s="473"/>
      <c r="HC1373" s="869"/>
      <c r="HD1373" s="870"/>
      <c r="HE1373" s="867"/>
      <c r="HF1373" s="868"/>
      <c r="HG1373" s="473"/>
      <c r="HH1373" s="867"/>
      <c r="HI1373" s="868"/>
      <c r="HJ1373" s="867"/>
      <c r="HK1373" s="868"/>
      <c r="HL1373" s="370"/>
      <c r="HM1373" s="865"/>
      <c r="HN1373" s="866"/>
      <c r="HO1373" s="865"/>
      <c r="HP1373" s="866"/>
      <c r="HQ1373" s="865"/>
      <c r="HR1373" s="866"/>
      <c r="HS1373" s="867"/>
      <c r="HT1373" s="868"/>
      <c r="HU1373" s="489"/>
      <c r="HV1373" s="865"/>
      <c r="HW1373" s="866"/>
    </row>
    <row r="1374" spans="25:231" ht="15" customHeight="1">
      <c r="Y1374" s="332"/>
      <c r="Z1374" s="332"/>
      <c r="AA1374" s="332"/>
      <c r="AB1374" s="332"/>
      <c r="AC1374" s="332"/>
      <c r="AD1374" s="332"/>
      <c r="AE1374" s="332"/>
      <c r="AF1374" s="332"/>
      <c r="AG1374" s="332"/>
      <c r="AH1374" s="332"/>
      <c r="AI1374" s="332"/>
      <c r="AJ1374" s="332"/>
      <c r="AK1374" s="332"/>
      <c r="AL1374" s="332"/>
      <c r="AM1374" s="332"/>
      <c r="AN1374" s="332"/>
      <c r="AO1374" s="332"/>
      <c r="AP1374" s="332"/>
      <c r="AQ1374" s="332"/>
      <c r="AR1374" s="332"/>
      <c r="AS1374" s="332"/>
      <c r="AT1374" s="332"/>
      <c r="AU1374" s="332"/>
      <c r="AV1374" s="332"/>
      <c r="AW1374" s="332"/>
      <c r="AX1374" s="332"/>
      <c r="AY1374" s="332"/>
      <c r="AZ1374" s="332"/>
      <c r="BA1374" s="332"/>
      <c r="BB1374" s="332"/>
      <c r="BC1374" s="332"/>
      <c r="BD1374" s="332"/>
      <c r="BE1374" s="332"/>
      <c r="BF1374" s="332"/>
      <c r="BG1374" s="332"/>
      <c r="BH1374" s="332"/>
      <c r="BI1374" s="332"/>
      <c r="BJ1374" s="332"/>
      <c r="BK1374" s="332"/>
      <c r="BL1374" s="332"/>
      <c r="BM1374" s="332"/>
      <c r="BN1374" s="332"/>
      <c r="BO1374" s="332"/>
      <c r="BP1374" s="332"/>
      <c r="BQ1374" s="332"/>
      <c r="BR1374" s="332"/>
      <c r="BS1374" s="332"/>
      <c r="BT1374" s="332"/>
      <c r="BU1374" s="332"/>
      <c r="BV1374" s="332"/>
      <c r="BW1374" s="332"/>
      <c r="BX1374" s="332"/>
      <c r="BY1374" s="332"/>
      <c r="BZ1374" s="332"/>
      <c r="CA1374" s="332"/>
      <c r="CB1374" s="332"/>
      <c r="CC1374" s="332"/>
      <c r="CD1374" s="332"/>
      <c r="CE1374" s="332"/>
      <c r="CF1374" s="332"/>
      <c r="CG1374" s="332"/>
      <c r="CH1374" s="332"/>
      <c r="CI1374" s="332"/>
      <c r="CJ1374" s="332"/>
      <c r="CK1374" s="332"/>
      <c r="CL1374" s="332"/>
      <c r="CM1374" s="332"/>
      <c r="CN1374" s="332"/>
      <c r="CO1374" s="332"/>
      <c r="CP1374" s="332"/>
      <c r="CQ1374" s="332"/>
      <c r="CR1374" s="332"/>
      <c r="CS1374" s="332"/>
      <c r="CT1374" s="332"/>
      <c r="CU1374" s="332"/>
      <c r="CV1374" s="332"/>
      <c r="CW1374" s="332"/>
      <c r="CX1374" s="332"/>
      <c r="CY1374" s="332"/>
      <c r="CZ1374" s="332"/>
      <c r="DA1374" s="332"/>
      <c r="DB1374" s="332"/>
      <c r="DC1374" s="332"/>
      <c r="DD1374" s="332"/>
      <c r="DE1374" s="332"/>
      <c r="DF1374" s="332"/>
      <c r="DG1374" s="332"/>
      <c r="DH1374" s="332"/>
      <c r="DI1374" s="332"/>
      <c r="DJ1374" s="332"/>
      <c r="DK1374" s="332"/>
      <c r="DL1374" s="332"/>
      <c r="DM1374" s="332"/>
      <c r="DN1374" s="332"/>
      <c r="DO1374" s="332"/>
      <c r="DP1374" s="332"/>
      <c r="DQ1374" s="332"/>
      <c r="DR1374" s="332"/>
      <c r="DS1374" s="332"/>
      <c r="DT1374" s="332"/>
      <c r="DU1374" s="453"/>
      <c r="DV1374" s="453"/>
      <c r="DW1374" s="453"/>
      <c r="DX1374" s="453"/>
      <c r="DY1374" s="453"/>
      <c r="DZ1374" s="453"/>
      <c r="EA1374" s="453"/>
      <c r="EB1374" s="453"/>
      <c r="EC1374" s="453"/>
      <c r="ED1374" s="453"/>
      <c r="EE1374" s="453"/>
      <c r="EF1374" s="453"/>
      <c r="EG1374" s="453"/>
      <c r="EH1374" s="453"/>
      <c r="EI1374" s="453"/>
      <c r="EJ1374" s="453"/>
      <c r="EK1374" s="453"/>
      <c r="EL1374" s="453"/>
      <c r="EM1374" s="483">
        <f t="shared" si="257"/>
        <v>1065</v>
      </c>
      <c r="EN1374" s="485"/>
      <c r="EO1374" s="458"/>
      <c r="EP1374" s="467"/>
      <c r="EQ1374" s="457"/>
      <c r="ER1374" s="808"/>
      <c r="ES1374" s="881">
        <f t="shared" si="262"/>
        <v>0</v>
      </c>
      <c r="ET1374" s="882"/>
      <c r="EU1374" s="883"/>
      <c r="EV1374" s="884">
        <f t="shared" si="263"/>
        <v>0</v>
      </c>
      <c r="EW1374" s="885"/>
      <c r="EX1374" s="885"/>
      <c r="EY1374" s="885"/>
      <c r="EZ1374" s="885"/>
      <c r="FA1374" s="885"/>
      <c r="FB1374" s="885"/>
      <c r="FC1374" s="885"/>
      <c r="FD1374" s="886"/>
      <c r="FE1374" s="877"/>
      <c r="FF1374" s="877"/>
      <c r="FG1374" s="877"/>
      <c r="FH1374" s="877"/>
      <c r="FI1374" s="877"/>
      <c r="FJ1374" s="877"/>
      <c r="FK1374" s="877"/>
      <c r="FL1374" s="874"/>
      <c r="FM1374" s="875"/>
      <c r="FN1374" s="875"/>
      <c r="FO1374" s="875"/>
      <c r="FP1374" s="875"/>
      <c r="FQ1374" s="875"/>
      <c r="FR1374" s="875"/>
      <c r="FS1374" s="875"/>
      <c r="FT1374" s="875"/>
      <c r="FU1374" s="875"/>
      <c r="FV1374" s="875"/>
      <c r="FW1374" s="875"/>
      <c r="FX1374" s="875"/>
      <c r="FY1374" s="875"/>
      <c r="FZ1374" s="875"/>
      <c r="GA1374" s="875"/>
      <c r="GB1374" s="876"/>
      <c r="GC1374" s="370"/>
      <c r="GD1374" s="453"/>
      <c r="GE1374" s="453"/>
      <c r="GF1374" s="453"/>
      <c r="GG1374" s="453"/>
      <c r="GH1374" s="454"/>
      <c r="GI1374" s="453"/>
      <c r="GJ1374" s="453"/>
      <c r="GK1374" s="453"/>
      <c r="GL1374" s="453"/>
      <c r="GM1374" s="453"/>
      <c r="GN1374" s="453"/>
      <c r="GO1374" s="453"/>
      <c r="GP1374" s="453"/>
      <c r="GQ1374" s="453"/>
      <c r="GR1374" s="453"/>
      <c r="GS1374" s="561"/>
      <c r="GT1374" s="475"/>
      <c r="GU1374" s="472"/>
      <c r="GV1374" s="453"/>
      <c r="GW1374" s="453"/>
      <c r="GX1374" s="869"/>
      <c r="GY1374" s="870"/>
      <c r="GZ1374" s="867"/>
      <c r="HA1374" s="868"/>
      <c r="HB1374" s="473"/>
      <c r="HC1374" s="869"/>
      <c r="HD1374" s="870"/>
      <c r="HE1374" s="867"/>
      <c r="HF1374" s="868"/>
      <c r="HG1374" s="473"/>
      <c r="HH1374" s="867"/>
      <c r="HI1374" s="868"/>
      <c r="HJ1374" s="867"/>
      <c r="HK1374" s="868"/>
      <c r="HL1374" s="370"/>
      <c r="HM1374" s="865"/>
      <c r="HN1374" s="866"/>
      <c r="HO1374" s="865"/>
      <c r="HP1374" s="866"/>
      <c r="HQ1374" s="865"/>
      <c r="HR1374" s="866"/>
      <c r="HS1374" s="867"/>
      <c r="HT1374" s="868"/>
      <c r="HU1374" s="489"/>
      <c r="HV1374" s="865"/>
      <c r="HW1374" s="866"/>
    </row>
    <row r="1375" spans="25:231" ht="15" customHeight="1">
      <c r="Y1375" s="332"/>
      <c r="Z1375" s="332"/>
      <c r="AA1375" s="332"/>
      <c r="AB1375" s="332"/>
      <c r="AC1375" s="332"/>
      <c r="AD1375" s="332"/>
      <c r="AE1375" s="332"/>
      <c r="AF1375" s="332"/>
      <c r="AG1375" s="332"/>
      <c r="AH1375" s="332"/>
      <c r="AI1375" s="332"/>
      <c r="AJ1375" s="332"/>
      <c r="AK1375" s="332"/>
      <c r="AL1375" s="332"/>
      <c r="AM1375" s="332"/>
      <c r="AN1375" s="332"/>
      <c r="AO1375" s="332"/>
      <c r="AP1375" s="332"/>
      <c r="AQ1375" s="332"/>
      <c r="AR1375" s="332"/>
      <c r="AS1375" s="332"/>
      <c r="AT1375" s="332"/>
      <c r="AU1375" s="332"/>
      <c r="AV1375" s="332"/>
      <c r="AW1375" s="332"/>
      <c r="AX1375" s="332"/>
      <c r="AY1375" s="332"/>
      <c r="AZ1375" s="332"/>
      <c r="BA1375" s="332"/>
      <c r="BB1375" s="332"/>
      <c r="BC1375" s="332"/>
      <c r="BD1375" s="332"/>
      <c r="BE1375" s="332"/>
      <c r="BF1375" s="332"/>
      <c r="BG1375" s="332"/>
      <c r="BH1375" s="332"/>
      <c r="BI1375" s="332"/>
      <c r="BJ1375" s="332"/>
      <c r="BK1375" s="332"/>
      <c r="BL1375" s="332"/>
      <c r="BM1375" s="332"/>
      <c r="BN1375" s="332"/>
      <c r="BO1375" s="332"/>
      <c r="BP1375" s="332"/>
      <c r="BQ1375" s="332"/>
      <c r="BR1375" s="332"/>
      <c r="BS1375" s="332"/>
      <c r="BT1375" s="332"/>
      <c r="BU1375" s="332"/>
      <c r="BV1375" s="332"/>
      <c r="BW1375" s="332"/>
      <c r="BX1375" s="332"/>
      <c r="BY1375" s="332"/>
      <c r="BZ1375" s="332"/>
      <c r="CA1375" s="332"/>
      <c r="CB1375" s="332"/>
      <c r="CC1375" s="332"/>
      <c r="CD1375" s="332"/>
      <c r="CE1375" s="332"/>
      <c r="CF1375" s="332"/>
      <c r="CG1375" s="332"/>
      <c r="CH1375" s="332"/>
      <c r="CI1375" s="332"/>
      <c r="CJ1375" s="332"/>
      <c r="CK1375" s="332"/>
      <c r="CL1375" s="332"/>
      <c r="CM1375" s="332"/>
      <c r="CN1375" s="332"/>
      <c r="CO1375" s="332"/>
      <c r="CP1375" s="332"/>
      <c r="CQ1375" s="332"/>
      <c r="CR1375" s="332"/>
      <c r="CS1375" s="332"/>
      <c r="CT1375" s="332"/>
      <c r="CU1375" s="332"/>
      <c r="CV1375" s="332"/>
      <c r="CW1375" s="332"/>
      <c r="CX1375" s="332"/>
      <c r="CY1375" s="332"/>
      <c r="CZ1375" s="332"/>
      <c r="DA1375" s="332"/>
      <c r="DB1375" s="332"/>
      <c r="DC1375" s="332"/>
      <c r="DD1375" s="332"/>
      <c r="DE1375" s="332"/>
      <c r="DF1375" s="332"/>
      <c r="DG1375" s="332"/>
      <c r="DH1375" s="332"/>
      <c r="DI1375" s="332"/>
      <c r="DJ1375" s="332"/>
      <c r="DK1375" s="332"/>
      <c r="DL1375" s="332"/>
      <c r="DM1375" s="332"/>
      <c r="DN1375" s="332"/>
      <c r="DO1375" s="332"/>
      <c r="DP1375" s="332"/>
      <c r="DQ1375" s="332"/>
      <c r="DR1375" s="332"/>
      <c r="DS1375" s="332"/>
      <c r="DT1375" s="332"/>
      <c r="DU1375" s="453"/>
      <c r="DV1375" s="453"/>
      <c r="DW1375" s="453"/>
      <c r="DX1375" s="453"/>
      <c r="DY1375" s="453"/>
      <c r="DZ1375" s="453"/>
      <c r="EA1375" s="453"/>
      <c r="EB1375" s="453"/>
      <c r="EC1375" s="453"/>
      <c r="ED1375" s="453"/>
      <c r="EE1375" s="453"/>
      <c r="EF1375" s="453"/>
      <c r="EG1375" s="453"/>
      <c r="EH1375" s="453"/>
      <c r="EI1375" s="453"/>
      <c r="EJ1375" s="453"/>
      <c r="EK1375" s="453"/>
      <c r="EL1375" s="453"/>
      <c r="EM1375" s="483">
        <f t="shared" si="257"/>
        <v>1066</v>
      </c>
      <c r="EN1375" s="485"/>
      <c r="EO1375" s="458"/>
      <c r="EP1375" s="467"/>
      <c r="EQ1375" s="457"/>
      <c r="ER1375" s="808"/>
      <c r="ES1375" s="881">
        <f t="shared" si="262"/>
        <v>0</v>
      </c>
      <c r="ET1375" s="882"/>
      <c r="EU1375" s="883"/>
      <c r="EV1375" s="884">
        <f t="shared" si="263"/>
        <v>0</v>
      </c>
      <c r="EW1375" s="885"/>
      <c r="EX1375" s="885"/>
      <c r="EY1375" s="885"/>
      <c r="EZ1375" s="885"/>
      <c r="FA1375" s="885"/>
      <c r="FB1375" s="885"/>
      <c r="FC1375" s="885"/>
      <c r="FD1375" s="886"/>
      <c r="FE1375" s="877"/>
      <c r="FF1375" s="877"/>
      <c r="FG1375" s="877"/>
      <c r="FH1375" s="877"/>
      <c r="FI1375" s="877"/>
      <c r="FJ1375" s="877"/>
      <c r="FK1375" s="877"/>
      <c r="FL1375" s="874"/>
      <c r="FM1375" s="875"/>
      <c r="FN1375" s="875"/>
      <c r="FO1375" s="875"/>
      <c r="FP1375" s="875"/>
      <c r="FQ1375" s="875"/>
      <c r="FR1375" s="875"/>
      <c r="FS1375" s="875"/>
      <c r="FT1375" s="875"/>
      <c r="FU1375" s="875"/>
      <c r="FV1375" s="875"/>
      <c r="FW1375" s="875"/>
      <c r="FX1375" s="875"/>
      <c r="FY1375" s="875"/>
      <c r="FZ1375" s="875"/>
      <c r="GA1375" s="875"/>
      <c r="GB1375" s="876"/>
      <c r="GC1375" s="370"/>
      <c r="GD1375" s="453"/>
      <c r="GE1375" s="453"/>
      <c r="GF1375" s="453"/>
      <c r="GG1375" s="453"/>
      <c r="GH1375" s="454"/>
      <c r="GI1375" s="453"/>
      <c r="GJ1375" s="453"/>
      <c r="GK1375" s="453"/>
      <c r="GL1375" s="453"/>
      <c r="GM1375" s="453"/>
      <c r="GN1375" s="453"/>
      <c r="GO1375" s="453"/>
      <c r="GP1375" s="453"/>
      <c r="GQ1375" s="453"/>
      <c r="GR1375" s="453"/>
      <c r="GS1375" s="561"/>
      <c r="GT1375" s="475"/>
      <c r="GU1375" s="472"/>
      <c r="GV1375" s="453"/>
      <c r="GW1375" s="453"/>
      <c r="GX1375" s="869"/>
      <c r="GY1375" s="870"/>
      <c r="GZ1375" s="867"/>
      <c r="HA1375" s="868"/>
      <c r="HB1375" s="473"/>
      <c r="HC1375" s="869"/>
      <c r="HD1375" s="870"/>
      <c r="HE1375" s="867"/>
      <c r="HF1375" s="868"/>
      <c r="HG1375" s="473"/>
      <c r="HH1375" s="867"/>
      <c r="HI1375" s="868"/>
      <c r="HJ1375" s="867"/>
      <c r="HK1375" s="868"/>
      <c r="HL1375" s="370"/>
      <c r="HM1375" s="865"/>
      <c r="HN1375" s="866"/>
      <c r="HO1375" s="865"/>
      <c r="HP1375" s="866"/>
      <c r="HQ1375" s="865"/>
      <c r="HR1375" s="866"/>
      <c r="HS1375" s="867"/>
      <c r="HT1375" s="868"/>
      <c r="HU1375" s="489"/>
      <c r="HV1375" s="865"/>
      <c r="HW1375" s="866"/>
    </row>
    <row r="1376" spans="25:231" ht="15" customHeight="1">
      <c r="Y1376" s="332"/>
      <c r="Z1376" s="332"/>
      <c r="AA1376" s="332"/>
      <c r="AB1376" s="332"/>
      <c r="AC1376" s="332"/>
      <c r="AD1376" s="332"/>
      <c r="AE1376" s="332"/>
      <c r="AF1376" s="332"/>
      <c r="AG1376" s="332"/>
      <c r="AH1376" s="332"/>
      <c r="AI1376" s="332"/>
      <c r="AJ1376" s="332"/>
      <c r="AK1376" s="332"/>
      <c r="AL1376" s="332"/>
      <c r="AM1376" s="332"/>
      <c r="AN1376" s="332"/>
      <c r="AO1376" s="332"/>
      <c r="AP1376" s="332"/>
      <c r="AQ1376" s="332"/>
      <c r="AR1376" s="332"/>
      <c r="AS1376" s="332"/>
      <c r="AT1376" s="332"/>
      <c r="AU1376" s="332"/>
      <c r="AV1376" s="332"/>
      <c r="AW1376" s="332"/>
      <c r="AX1376" s="332"/>
      <c r="AY1376" s="332"/>
      <c r="AZ1376" s="332"/>
      <c r="BA1376" s="332"/>
      <c r="BB1376" s="332"/>
      <c r="BC1376" s="332"/>
      <c r="BD1376" s="332"/>
      <c r="BE1376" s="332"/>
      <c r="BF1376" s="332"/>
      <c r="BG1376" s="332"/>
      <c r="BH1376" s="332"/>
      <c r="BI1376" s="332"/>
      <c r="BJ1376" s="332"/>
      <c r="BK1376" s="332"/>
      <c r="BL1376" s="332"/>
      <c r="BM1376" s="332"/>
      <c r="BN1376" s="332"/>
      <c r="BO1376" s="332"/>
      <c r="BP1376" s="332"/>
      <c r="BQ1376" s="332"/>
      <c r="BR1376" s="332"/>
      <c r="BS1376" s="332"/>
      <c r="BT1376" s="332"/>
      <c r="BU1376" s="332"/>
      <c r="BV1376" s="332"/>
      <c r="BW1376" s="332"/>
      <c r="BX1376" s="332"/>
      <c r="BY1376" s="332"/>
      <c r="BZ1376" s="332"/>
      <c r="CA1376" s="332"/>
      <c r="CB1376" s="332"/>
      <c r="CC1376" s="332"/>
      <c r="CD1376" s="332"/>
      <c r="CE1376" s="332"/>
      <c r="CF1376" s="332"/>
      <c r="CG1376" s="332"/>
      <c r="CH1376" s="332"/>
      <c r="CI1376" s="332"/>
      <c r="CJ1376" s="332"/>
      <c r="CK1376" s="332"/>
      <c r="CL1376" s="332"/>
      <c r="CM1376" s="332"/>
      <c r="CN1376" s="332"/>
      <c r="CO1376" s="332"/>
      <c r="CP1376" s="332"/>
      <c r="CQ1376" s="332"/>
      <c r="CR1376" s="332"/>
      <c r="CS1376" s="332"/>
      <c r="CT1376" s="332"/>
      <c r="CU1376" s="332"/>
      <c r="CV1376" s="332"/>
      <c r="CW1376" s="332"/>
      <c r="CX1376" s="332"/>
      <c r="CY1376" s="332"/>
      <c r="CZ1376" s="332"/>
      <c r="DA1376" s="332"/>
      <c r="DB1376" s="332"/>
      <c r="DC1376" s="332"/>
      <c r="DD1376" s="332"/>
      <c r="DE1376" s="332"/>
      <c r="DF1376" s="332"/>
      <c r="DG1376" s="332"/>
      <c r="DH1376" s="332"/>
      <c r="DI1376" s="332"/>
      <c r="DJ1376" s="332"/>
      <c r="DK1376" s="332"/>
      <c r="DL1376" s="332"/>
      <c r="DM1376" s="332"/>
      <c r="DN1376" s="332"/>
      <c r="DO1376" s="332"/>
      <c r="DP1376" s="332"/>
      <c r="DQ1376" s="332"/>
      <c r="DR1376" s="332"/>
      <c r="DS1376" s="332"/>
      <c r="DT1376" s="332"/>
      <c r="DU1376" s="453"/>
      <c r="DV1376" s="453"/>
      <c r="DW1376" s="453"/>
      <c r="DX1376" s="453"/>
      <c r="DY1376" s="453"/>
      <c r="DZ1376" s="453"/>
      <c r="EA1376" s="453"/>
      <c r="EB1376" s="453"/>
      <c r="EC1376" s="453"/>
      <c r="ED1376" s="453"/>
      <c r="EE1376" s="453"/>
      <c r="EF1376" s="453"/>
      <c r="EG1376" s="453"/>
      <c r="EH1376" s="453"/>
      <c r="EI1376" s="453"/>
      <c r="EJ1376" s="453"/>
      <c r="EK1376" s="453"/>
      <c r="EL1376" s="453"/>
      <c r="EM1376" s="483">
        <f t="shared" si="257"/>
        <v>1067</v>
      </c>
      <c r="EN1376" s="485"/>
      <c r="EO1376" s="458"/>
      <c r="EP1376" s="467"/>
      <c r="EQ1376" s="457"/>
      <c r="ER1376" s="808"/>
      <c r="ES1376" s="881">
        <f t="shared" si="262"/>
        <v>0</v>
      </c>
      <c r="ET1376" s="882"/>
      <c r="EU1376" s="883"/>
      <c r="EV1376" s="884">
        <f t="shared" si="263"/>
        <v>0</v>
      </c>
      <c r="EW1376" s="885"/>
      <c r="EX1376" s="885"/>
      <c r="EY1376" s="885"/>
      <c r="EZ1376" s="885"/>
      <c r="FA1376" s="885"/>
      <c r="FB1376" s="885"/>
      <c r="FC1376" s="885"/>
      <c r="FD1376" s="886"/>
      <c r="FE1376" s="877"/>
      <c r="FF1376" s="877"/>
      <c r="FG1376" s="877"/>
      <c r="FH1376" s="877"/>
      <c r="FI1376" s="877"/>
      <c r="FJ1376" s="877"/>
      <c r="FK1376" s="877"/>
      <c r="FL1376" s="874"/>
      <c r="FM1376" s="875"/>
      <c r="FN1376" s="875"/>
      <c r="FO1376" s="875"/>
      <c r="FP1376" s="875"/>
      <c r="FQ1376" s="875"/>
      <c r="FR1376" s="875"/>
      <c r="FS1376" s="875"/>
      <c r="FT1376" s="875"/>
      <c r="FU1376" s="875"/>
      <c r="FV1376" s="875"/>
      <c r="FW1376" s="875"/>
      <c r="FX1376" s="875"/>
      <c r="FY1376" s="875"/>
      <c r="FZ1376" s="875"/>
      <c r="GA1376" s="875"/>
      <c r="GB1376" s="876"/>
      <c r="GC1376" s="370"/>
      <c r="GD1376" s="453"/>
      <c r="GE1376" s="453"/>
      <c r="GF1376" s="453"/>
      <c r="GG1376" s="453"/>
      <c r="GH1376" s="454"/>
      <c r="GI1376" s="453"/>
      <c r="GJ1376" s="453"/>
      <c r="GK1376" s="453"/>
      <c r="GL1376" s="453"/>
      <c r="GM1376" s="453"/>
      <c r="GN1376" s="453"/>
      <c r="GO1376" s="453"/>
      <c r="GP1376" s="453"/>
      <c r="GQ1376" s="453"/>
      <c r="GR1376" s="453"/>
      <c r="GS1376" s="561"/>
      <c r="GT1376" s="475"/>
      <c r="GU1376" s="472"/>
      <c r="GV1376" s="453"/>
      <c r="GW1376" s="453"/>
      <c r="GX1376" s="869"/>
      <c r="GY1376" s="870"/>
      <c r="GZ1376" s="867"/>
      <c r="HA1376" s="868"/>
      <c r="HB1376" s="473"/>
      <c r="HC1376" s="869"/>
      <c r="HD1376" s="870"/>
      <c r="HE1376" s="867"/>
      <c r="HF1376" s="868"/>
      <c r="HG1376" s="473"/>
      <c r="HH1376" s="867"/>
      <c r="HI1376" s="868"/>
      <c r="HJ1376" s="867"/>
      <c r="HK1376" s="868"/>
      <c r="HL1376" s="370"/>
      <c r="HM1376" s="865"/>
      <c r="HN1376" s="866"/>
      <c r="HO1376" s="865"/>
      <c r="HP1376" s="866"/>
      <c r="HQ1376" s="865"/>
      <c r="HR1376" s="866"/>
      <c r="HS1376" s="867"/>
      <c r="HT1376" s="868"/>
      <c r="HU1376" s="489"/>
      <c r="HV1376" s="865"/>
      <c r="HW1376" s="866"/>
    </row>
    <row r="1377" spans="25:231" ht="15" customHeight="1">
      <c r="Y1377" s="332"/>
      <c r="Z1377" s="332"/>
      <c r="AA1377" s="332"/>
      <c r="AB1377" s="332"/>
      <c r="AC1377" s="332"/>
      <c r="AD1377" s="332"/>
      <c r="AE1377" s="332"/>
      <c r="AF1377" s="332"/>
      <c r="AG1377" s="332"/>
      <c r="AH1377" s="332"/>
      <c r="AI1377" s="332"/>
      <c r="AJ1377" s="332"/>
      <c r="AK1377" s="332"/>
      <c r="AL1377" s="332"/>
      <c r="AM1377" s="332"/>
      <c r="AN1377" s="332"/>
      <c r="AO1377" s="332"/>
      <c r="AP1377" s="332"/>
      <c r="AQ1377" s="332"/>
      <c r="AR1377" s="332"/>
      <c r="AS1377" s="332"/>
      <c r="AT1377" s="332"/>
      <c r="AU1377" s="332"/>
      <c r="AV1377" s="332"/>
      <c r="AW1377" s="332"/>
      <c r="AX1377" s="332"/>
      <c r="AY1377" s="332"/>
      <c r="AZ1377" s="332"/>
      <c r="BA1377" s="332"/>
      <c r="BB1377" s="332"/>
      <c r="BC1377" s="332"/>
      <c r="BD1377" s="332"/>
      <c r="BE1377" s="332"/>
      <c r="BF1377" s="332"/>
      <c r="BG1377" s="332"/>
      <c r="BH1377" s="332"/>
      <c r="BI1377" s="332"/>
      <c r="BJ1377" s="332"/>
      <c r="BK1377" s="332"/>
      <c r="BL1377" s="332"/>
      <c r="BM1377" s="332"/>
      <c r="BN1377" s="332"/>
      <c r="BO1377" s="332"/>
      <c r="BP1377" s="332"/>
      <c r="BQ1377" s="332"/>
      <c r="BR1377" s="332"/>
      <c r="BS1377" s="332"/>
      <c r="BT1377" s="332"/>
      <c r="BU1377" s="332"/>
      <c r="BV1377" s="332"/>
      <c r="BW1377" s="332"/>
      <c r="BX1377" s="332"/>
      <c r="BY1377" s="332"/>
      <c r="BZ1377" s="332"/>
      <c r="CA1377" s="332"/>
      <c r="CB1377" s="332"/>
      <c r="CC1377" s="332"/>
      <c r="CD1377" s="332"/>
      <c r="CE1377" s="332"/>
      <c r="CF1377" s="332"/>
      <c r="CG1377" s="332"/>
      <c r="CH1377" s="332"/>
      <c r="CI1377" s="332"/>
      <c r="CJ1377" s="332"/>
      <c r="CK1377" s="332"/>
      <c r="CL1377" s="332"/>
      <c r="CM1377" s="332"/>
      <c r="CN1377" s="332"/>
      <c r="CO1377" s="332"/>
      <c r="CP1377" s="332"/>
      <c r="CQ1377" s="332"/>
      <c r="CR1377" s="332"/>
      <c r="CS1377" s="332"/>
      <c r="CT1377" s="332"/>
      <c r="CU1377" s="332"/>
      <c r="CV1377" s="332"/>
      <c r="CW1377" s="332"/>
      <c r="CX1377" s="332"/>
      <c r="CY1377" s="332"/>
      <c r="CZ1377" s="332"/>
      <c r="DA1377" s="332"/>
      <c r="DB1377" s="332"/>
      <c r="DC1377" s="332"/>
      <c r="DD1377" s="332"/>
      <c r="DE1377" s="332"/>
      <c r="DF1377" s="332"/>
      <c r="DG1377" s="332"/>
      <c r="DH1377" s="332"/>
      <c r="DI1377" s="332"/>
      <c r="DJ1377" s="332"/>
      <c r="DK1377" s="332"/>
      <c r="DL1377" s="332"/>
      <c r="DM1377" s="332"/>
      <c r="DN1377" s="332"/>
      <c r="DO1377" s="332"/>
      <c r="DP1377" s="332"/>
      <c r="DQ1377" s="332"/>
      <c r="DR1377" s="332"/>
      <c r="DS1377" s="332"/>
      <c r="DT1377" s="332"/>
      <c r="DU1377" s="453"/>
      <c r="DV1377" s="453"/>
      <c r="DW1377" s="453"/>
      <c r="DX1377" s="453"/>
      <c r="DY1377" s="453"/>
      <c r="DZ1377" s="453"/>
      <c r="EA1377" s="453"/>
      <c r="EB1377" s="453"/>
      <c r="EC1377" s="453"/>
      <c r="ED1377" s="453"/>
      <c r="EE1377" s="453"/>
      <c r="EF1377" s="453"/>
      <c r="EG1377" s="453"/>
      <c r="EH1377" s="453"/>
      <c r="EI1377" s="453"/>
      <c r="EJ1377" s="453"/>
      <c r="EK1377" s="453"/>
      <c r="EL1377" s="453"/>
      <c r="EM1377" s="483">
        <f t="shared" si="257"/>
        <v>1068</v>
      </c>
      <c r="EN1377" s="485"/>
      <c r="EO1377" s="458"/>
      <c r="EP1377" s="467"/>
      <c r="EQ1377" s="457"/>
      <c r="ER1377" s="808"/>
      <c r="ES1377" s="881">
        <f t="shared" si="262"/>
        <v>0</v>
      </c>
      <c r="ET1377" s="882"/>
      <c r="EU1377" s="883"/>
      <c r="EV1377" s="884">
        <f t="shared" si="263"/>
        <v>0</v>
      </c>
      <c r="EW1377" s="885"/>
      <c r="EX1377" s="885"/>
      <c r="EY1377" s="885"/>
      <c r="EZ1377" s="885"/>
      <c r="FA1377" s="885"/>
      <c r="FB1377" s="885"/>
      <c r="FC1377" s="885"/>
      <c r="FD1377" s="886"/>
      <c r="FE1377" s="877"/>
      <c r="FF1377" s="877"/>
      <c r="FG1377" s="877"/>
      <c r="FH1377" s="877"/>
      <c r="FI1377" s="877"/>
      <c r="FJ1377" s="877"/>
      <c r="FK1377" s="877"/>
      <c r="FL1377" s="874"/>
      <c r="FM1377" s="875"/>
      <c r="FN1377" s="875"/>
      <c r="FO1377" s="875"/>
      <c r="FP1377" s="875"/>
      <c r="FQ1377" s="875"/>
      <c r="FR1377" s="875"/>
      <c r="FS1377" s="875"/>
      <c r="FT1377" s="875"/>
      <c r="FU1377" s="875"/>
      <c r="FV1377" s="875"/>
      <c r="FW1377" s="875"/>
      <c r="FX1377" s="875"/>
      <c r="FY1377" s="875"/>
      <c r="FZ1377" s="875"/>
      <c r="GA1377" s="875"/>
      <c r="GB1377" s="876"/>
      <c r="GC1377" s="370"/>
      <c r="GD1377" s="453"/>
      <c r="GE1377" s="453"/>
      <c r="GF1377" s="453"/>
      <c r="GG1377" s="453"/>
      <c r="GH1377" s="454"/>
      <c r="GI1377" s="453"/>
      <c r="GJ1377" s="453"/>
      <c r="GK1377" s="453"/>
      <c r="GL1377" s="453"/>
      <c r="GM1377" s="453"/>
      <c r="GN1377" s="453"/>
      <c r="GO1377" s="453"/>
      <c r="GP1377" s="453"/>
      <c r="GQ1377" s="453"/>
      <c r="GR1377" s="453"/>
      <c r="GS1377" s="561"/>
      <c r="GT1377" s="475"/>
      <c r="GU1377" s="472"/>
      <c r="GV1377" s="453"/>
      <c r="GW1377" s="453"/>
      <c r="GX1377" s="869"/>
      <c r="GY1377" s="870"/>
      <c r="GZ1377" s="867"/>
      <c r="HA1377" s="868"/>
      <c r="HB1377" s="473"/>
      <c r="HC1377" s="869"/>
      <c r="HD1377" s="870"/>
      <c r="HE1377" s="867"/>
      <c r="HF1377" s="868"/>
      <c r="HG1377" s="473"/>
      <c r="HH1377" s="867"/>
      <c r="HI1377" s="868"/>
      <c r="HJ1377" s="867"/>
      <c r="HK1377" s="868"/>
      <c r="HL1377" s="370"/>
      <c r="HM1377" s="865"/>
      <c r="HN1377" s="866"/>
      <c r="HO1377" s="865"/>
      <c r="HP1377" s="866"/>
      <c r="HQ1377" s="865"/>
      <c r="HR1377" s="866"/>
      <c r="HS1377" s="867"/>
      <c r="HT1377" s="868"/>
      <c r="HU1377" s="489"/>
      <c r="HV1377" s="865"/>
      <c r="HW1377" s="866"/>
    </row>
    <row r="1378" spans="25:231" ht="15" customHeight="1">
      <c r="Y1378" s="332"/>
      <c r="Z1378" s="332"/>
      <c r="AA1378" s="332"/>
      <c r="AB1378" s="332"/>
      <c r="AC1378" s="332"/>
      <c r="AD1378" s="332"/>
      <c r="AE1378" s="332"/>
      <c r="AF1378" s="332"/>
      <c r="AG1378" s="332"/>
      <c r="AH1378" s="332"/>
      <c r="AI1378" s="332"/>
      <c r="AJ1378" s="332"/>
      <c r="AK1378" s="332"/>
      <c r="AL1378" s="332"/>
      <c r="AM1378" s="332"/>
      <c r="AN1378" s="332"/>
      <c r="AO1378" s="332"/>
      <c r="AP1378" s="332"/>
      <c r="AQ1378" s="332"/>
      <c r="AR1378" s="332"/>
      <c r="AS1378" s="332"/>
      <c r="AT1378" s="332"/>
      <c r="AU1378" s="332"/>
      <c r="AV1378" s="332"/>
      <c r="AW1378" s="332"/>
      <c r="AX1378" s="332"/>
      <c r="AY1378" s="332"/>
      <c r="AZ1378" s="332"/>
      <c r="BA1378" s="332"/>
      <c r="BB1378" s="332"/>
      <c r="BC1378" s="332"/>
      <c r="BD1378" s="332"/>
      <c r="BE1378" s="332"/>
      <c r="BF1378" s="332"/>
      <c r="BG1378" s="332"/>
      <c r="BH1378" s="332"/>
      <c r="BI1378" s="332"/>
      <c r="BJ1378" s="332"/>
      <c r="BK1378" s="332"/>
      <c r="BL1378" s="332"/>
      <c r="BM1378" s="332"/>
      <c r="BN1378" s="332"/>
      <c r="BO1378" s="332"/>
      <c r="BP1378" s="332"/>
      <c r="BQ1378" s="332"/>
      <c r="BR1378" s="332"/>
      <c r="BS1378" s="332"/>
      <c r="BT1378" s="332"/>
      <c r="BU1378" s="332"/>
      <c r="BV1378" s="332"/>
      <c r="BW1378" s="332"/>
      <c r="BX1378" s="332"/>
      <c r="BY1378" s="332"/>
      <c r="BZ1378" s="332"/>
      <c r="CA1378" s="332"/>
      <c r="CB1378" s="332"/>
      <c r="CC1378" s="332"/>
      <c r="CD1378" s="332"/>
      <c r="CE1378" s="332"/>
      <c r="CF1378" s="332"/>
      <c r="CG1378" s="332"/>
      <c r="CH1378" s="332"/>
      <c r="CI1378" s="332"/>
      <c r="CJ1378" s="332"/>
      <c r="CK1378" s="332"/>
      <c r="CL1378" s="332"/>
      <c r="CM1378" s="332"/>
      <c r="CN1378" s="332"/>
      <c r="CO1378" s="332"/>
      <c r="CP1378" s="332"/>
      <c r="CQ1378" s="332"/>
      <c r="CR1378" s="332"/>
      <c r="CS1378" s="332"/>
      <c r="CT1378" s="332"/>
      <c r="CU1378" s="332"/>
      <c r="CV1378" s="332"/>
      <c r="CW1378" s="332"/>
      <c r="CX1378" s="332"/>
      <c r="CY1378" s="332"/>
      <c r="CZ1378" s="332"/>
      <c r="DA1378" s="332"/>
      <c r="DB1378" s="332"/>
      <c r="DC1378" s="332"/>
      <c r="DD1378" s="332"/>
      <c r="DE1378" s="332"/>
      <c r="DF1378" s="332"/>
      <c r="DG1378" s="332"/>
      <c r="DH1378" s="332"/>
      <c r="DI1378" s="332"/>
      <c r="DJ1378" s="332"/>
      <c r="DK1378" s="332"/>
      <c r="DL1378" s="332"/>
      <c r="DM1378" s="332"/>
      <c r="DN1378" s="332"/>
      <c r="DO1378" s="332"/>
      <c r="DP1378" s="332"/>
      <c r="DQ1378" s="332"/>
      <c r="DR1378" s="332"/>
      <c r="DS1378" s="332"/>
      <c r="DT1378" s="332"/>
      <c r="DU1378" s="453"/>
      <c r="DV1378" s="453"/>
      <c r="DW1378" s="453"/>
      <c r="DX1378" s="453"/>
      <c r="DY1378" s="453"/>
      <c r="DZ1378" s="453"/>
      <c r="EA1378" s="453"/>
      <c r="EB1378" s="453"/>
      <c r="EC1378" s="453"/>
      <c r="ED1378" s="453"/>
      <c r="EE1378" s="453"/>
      <c r="EF1378" s="453"/>
      <c r="EG1378" s="453"/>
      <c r="EH1378" s="453"/>
      <c r="EI1378" s="453"/>
      <c r="EJ1378" s="453"/>
      <c r="EK1378" s="453"/>
      <c r="EL1378" s="453"/>
      <c r="EM1378" s="483">
        <f t="shared" si="257"/>
        <v>1069</v>
      </c>
      <c r="EN1378" s="485"/>
      <c r="EO1378" s="458"/>
      <c r="EP1378" s="467"/>
      <c r="EQ1378" s="457"/>
      <c r="ER1378" s="808"/>
      <c r="ES1378" s="881">
        <f t="shared" si="262"/>
        <v>0</v>
      </c>
      <c r="ET1378" s="882"/>
      <c r="EU1378" s="883"/>
      <c r="EV1378" s="884">
        <f t="shared" si="263"/>
        <v>0</v>
      </c>
      <c r="EW1378" s="885"/>
      <c r="EX1378" s="885"/>
      <c r="EY1378" s="885"/>
      <c r="EZ1378" s="885"/>
      <c r="FA1378" s="885"/>
      <c r="FB1378" s="885"/>
      <c r="FC1378" s="885"/>
      <c r="FD1378" s="886"/>
      <c r="FE1378" s="877"/>
      <c r="FF1378" s="877"/>
      <c r="FG1378" s="877"/>
      <c r="FH1378" s="877"/>
      <c r="FI1378" s="877"/>
      <c r="FJ1378" s="877"/>
      <c r="FK1378" s="877"/>
      <c r="FL1378" s="874"/>
      <c r="FM1378" s="875"/>
      <c r="FN1378" s="875"/>
      <c r="FO1378" s="875"/>
      <c r="FP1378" s="875"/>
      <c r="FQ1378" s="875"/>
      <c r="FR1378" s="875"/>
      <c r="FS1378" s="875"/>
      <c r="FT1378" s="875"/>
      <c r="FU1378" s="875"/>
      <c r="FV1378" s="875"/>
      <c r="FW1378" s="875"/>
      <c r="FX1378" s="875"/>
      <c r="FY1378" s="875"/>
      <c r="FZ1378" s="875"/>
      <c r="GA1378" s="875"/>
      <c r="GB1378" s="876"/>
      <c r="GC1378" s="370"/>
      <c r="GD1378" s="453"/>
      <c r="GE1378" s="453"/>
      <c r="GF1378" s="453"/>
      <c r="GG1378" s="453"/>
      <c r="GH1378" s="454"/>
      <c r="GI1378" s="453"/>
      <c r="GJ1378" s="453"/>
      <c r="GK1378" s="453"/>
      <c r="GL1378" s="453"/>
      <c r="GM1378" s="453"/>
      <c r="GN1378" s="453"/>
      <c r="GO1378" s="453"/>
      <c r="GP1378" s="453"/>
      <c r="GQ1378" s="453"/>
      <c r="GR1378" s="453"/>
      <c r="GS1378" s="561"/>
      <c r="GT1378" s="475"/>
      <c r="GU1378" s="472"/>
      <c r="GV1378" s="453"/>
      <c r="GW1378" s="453"/>
      <c r="GX1378" s="869"/>
      <c r="GY1378" s="870"/>
      <c r="GZ1378" s="867"/>
      <c r="HA1378" s="868"/>
      <c r="HB1378" s="473"/>
      <c r="HC1378" s="869"/>
      <c r="HD1378" s="870"/>
      <c r="HE1378" s="867"/>
      <c r="HF1378" s="868"/>
      <c r="HG1378" s="473"/>
      <c r="HH1378" s="867"/>
      <c r="HI1378" s="868"/>
      <c r="HJ1378" s="867"/>
      <c r="HK1378" s="868"/>
      <c r="HL1378" s="370"/>
      <c r="HM1378" s="865"/>
      <c r="HN1378" s="866"/>
      <c r="HO1378" s="865"/>
      <c r="HP1378" s="866"/>
      <c r="HQ1378" s="865"/>
      <c r="HR1378" s="866"/>
      <c r="HS1378" s="867"/>
      <c r="HT1378" s="868"/>
      <c r="HU1378" s="489"/>
      <c r="HV1378" s="865"/>
      <c r="HW1378" s="866"/>
    </row>
    <row r="1379" spans="25:231" ht="15" customHeight="1">
      <c r="Y1379" s="332"/>
      <c r="Z1379" s="332"/>
      <c r="AA1379" s="332"/>
      <c r="AB1379" s="332"/>
      <c r="AC1379" s="332"/>
      <c r="AD1379" s="332"/>
      <c r="AE1379" s="332"/>
      <c r="AF1379" s="332"/>
      <c r="AG1379" s="332"/>
      <c r="AH1379" s="332"/>
      <c r="AI1379" s="332"/>
      <c r="AJ1379" s="332"/>
      <c r="AK1379" s="332"/>
      <c r="AL1379" s="332"/>
      <c r="AM1379" s="332"/>
      <c r="AN1379" s="332"/>
      <c r="AO1379" s="332"/>
      <c r="AP1379" s="332"/>
      <c r="AQ1379" s="332"/>
      <c r="AR1379" s="332"/>
      <c r="AS1379" s="332"/>
      <c r="AT1379" s="332"/>
      <c r="AU1379" s="332"/>
      <c r="AV1379" s="332"/>
      <c r="AW1379" s="332"/>
      <c r="AX1379" s="332"/>
      <c r="AY1379" s="332"/>
      <c r="AZ1379" s="332"/>
      <c r="BA1379" s="332"/>
      <c r="BB1379" s="332"/>
      <c r="BC1379" s="332"/>
      <c r="BD1379" s="332"/>
      <c r="BE1379" s="332"/>
      <c r="BF1379" s="332"/>
      <c r="BG1379" s="332"/>
      <c r="BH1379" s="332"/>
      <c r="BI1379" s="332"/>
      <c r="BJ1379" s="332"/>
      <c r="BK1379" s="332"/>
      <c r="BL1379" s="332"/>
      <c r="BM1379" s="332"/>
      <c r="BN1379" s="332"/>
      <c r="BO1379" s="332"/>
      <c r="BP1379" s="332"/>
      <c r="BQ1379" s="332"/>
      <c r="BR1379" s="332"/>
      <c r="BS1379" s="332"/>
      <c r="BT1379" s="332"/>
      <c r="BU1379" s="332"/>
      <c r="BV1379" s="332"/>
      <c r="BW1379" s="332"/>
      <c r="BX1379" s="332"/>
      <c r="BY1379" s="332"/>
      <c r="BZ1379" s="332"/>
      <c r="CA1379" s="332"/>
      <c r="CB1379" s="332"/>
      <c r="CC1379" s="332"/>
      <c r="CD1379" s="332"/>
      <c r="CE1379" s="332"/>
      <c r="CF1379" s="332"/>
      <c r="CG1379" s="332"/>
      <c r="CH1379" s="332"/>
      <c r="CI1379" s="332"/>
      <c r="CJ1379" s="332"/>
      <c r="CK1379" s="332"/>
      <c r="CL1379" s="332"/>
      <c r="CM1379" s="332"/>
      <c r="CN1379" s="332"/>
      <c r="CO1379" s="332"/>
      <c r="CP1379" s="332"/>
      <c r="CQ1379" s="332"/>
      <c r="CR1379" s="332"/>
      <c r="CS1379" s="332"/>
      <c r="CT1379" s="332"/>
      <c r="CU1379" s="332"/>
      <c r="CV1379" s="332"/>
      <c r="CW1379" s="332"/>
      <c r="CX1379" s="332"/>
      <c r="CY1379" s="332"/>
      <c r="CZ1379" s="332"/>
      <c r="DA1379" s="332"/>
      <c r="DB1379" s="332"/>
      <c r="DC1379" s="332"/>
      <c r="DD1379" s="332"/>
      <c r="DE1379" s="332"/>
      <c r="DF1379" s="332"/>
      <c r="DG1379" s="332"/>
      <c r="DH1379" s="332"/>
      <c r="DI1379" s="332"/>
      <c r="DJ1379" s="332"/>
      <c r="DK1379" s="332"/>
      <c r="DL1379" s="332"/>
      <c r="DM1379" s="332"/>
      <c r="DN1379" s="332"/>
      <c r="DO1379" s="332"/>
      <c r="DP1379" s="332"/>
      <c r="DQ1379" s="332"/>
      <c r="DR1379" s="332"/>
      <c r="DS1379" s="332"/>
      <c r="DT1379" s="332"/>
      <c r="DU1379" s="453"/>
      <c r="DV1379" s="453"/>
      <c r="DW1379" s="453"/>
      <c r="DX1379" s="453"/>
      <c r="DY1379" s="453"/>
      <c r="DZ1379" s="453"/>
      <c r="EA1379" s="453"/>
      <c r="EB1379" s="453"/>
      <c r="EC1379" s="453"/>
      <c r="ED1379" s="453"/>
      <c r="EE1379" s="453"/>
      <c r="EF1379" s="453"/>
      <c r="EG1379" s="453"/>
      <c r="EH1379" s="453"/>
      <c r="EI1379" s="453"/>
      <c r="EJ1379" s="453"/>
      <c r="EK1379" s="453"/>
      <c r="EL1379" s="453"/>
      <c r="EM1379" s="483">
        <f t="shared" si="257"/>
        <v>1070</v>
      </c>
      <c r="EN1379" s="485"/>
      <c r="EO1379" s="458"/>
      <c r="EP1379" s="467"/>
      <c r="EQ1379" s="457"/>
      <c r="ER1379" s="808"/>
      <c r="ES1379" s="881">
        <f t="shared" si="262"/>
        <v>0</v>
      </c>
      <c r="ET1379" s="882"/>
      <c r="EU1379" s="883"/>
      <c r="EV1379" s="884">
        <f t="shared" si="263"/>
        <v>0</v>
      </c>
      <c r="EW1379" s="885"/>
      <c r="EX1379" s="885"/>
      <c r="EY1379" s="885"/>
      <c r="EZ1379" s="885"/>
      <c r="FA1379" s="885"/>
      <c r="FB1379" s="885"/>
      <c r="FC1379" s="885"/>
      <c r="FD1379" s="886"/>
      <c r="FE1379" s="877"/>
      <c r="FF1379" s="877"/>
      <c r="FG1379" s="877"/>
      <c r="FH1379" s="877"/>
      <c r="FI1379" s="877"/>
      <c r="FJ1379" s="877"/>
      <c r="FK1379" s="877"/>
      <c r="FL1379" s="874"/>
      <c r="FM1379" s="875"/>
      <c r="FN1379" s="875"/>
      <c r="FO1379" s="875"/>
      <c r="FP1379" s="875"/>
      <c r="FQ1379" s="875"/>
      <c r="FR1379" s="875"/>
      <c r="FS1379" s="875"/>
      <c r="FT1379" s="875"/>
      <c r="FU1379" s="875"/>
      <c r="FV1379" s="875"/>
      <c r="FW1379" s="875"/>
      <c r="FX1379" s="875"/>
      <c r="FY1379" s="875"/>
      <c r="FZ1379" s="875"/>
      <c r="GA1379" s="875"/>
      <c r="GB1379" s="876"/>
      <c r="GC1379" s="370"/>
      <c r="GD1379" s="453"/>
      <c r="GE1379" s="453"/>
      <c r="GF1379" s="453"/>
      <c r="GG1379" s="453"/>
      <c r="GH1379" s="454"/>
      <c r="GI1379" s="453"/>
      <c r="GJ1379" s="453"/>
      <c r="GK1379" s="453"/>
      <c r="GL1379" s="453"/>
      <c r="GM1379" s="453"/>
      <c r="GN1379" s="453"/>
      <c r="GO1379" s="453"/>
      <c r="GP1379" s="453"/>
      <c r="GQ1379" s="453"/>
      <c r="GR1379" s="453"/>
      <c r="GS1379" s="561"/>
      <c r="GT1379" s="475"/>
      <c r="GU1379" s="472"/>
      <c r="GV1379" s="453"/>
      <c r="GW1379" s="453"/>
      <c r="GX1379" s="869"/>
      <c r="GY1379" s="870"/>
      <c r="GZ1379" s="867"/>
      <c r="HA1379" s="868"/>
      <c r="HB1379" s="473"/>
      <c r="HC1379" s="869"/>
      <c r="HD1379" s="870"/>
      <c r="HE1379" s="867"/>
      <c r="HF1379" s="868"/>
      <c r="HG1379" s="473"/>
      <c r="HH1379" s="867"/>
      <c r="HI1379" s="868"/>
      <c r="HJ1379" s="867"/>
      <c r="HK1379" s="868"/>
      <c r="HL1379" s="370"/>
      <c r="HM1379" s="865"/>
      <c r="HN1379" s="866"/>
      <c r="HO1379" s="865"/>
      <c r="HP1379" s="866"/>
      <c r="HQ1379" s="865"/>
      <c r="HR1379" s="866"/>
      <c r="HS1379" s="867"/>
      <c r="HT1379" s="868"/>
      <c r="HU1379" s="489"/>
      <c r="HV1379" s="865"/>
      <c r="HW1379" s="866"/>
    </row>
    <row r="1380" spans="25:231" ht="15" customHeight="1">
      <c r="Y1380" s="332"/>
      <c r="Z1380" s="332"/>
      <c r="AA1380" s="332"/>
      <c r="AB1380" s="332"/>
      <c r="AC1380" s="332"/>
      <c r="AD1380" s="332"/>
      <c r="AE1380" s="332"/>
      <c r="AF1380" s="332"/>
      <c r="AG1380" s="332"/>
      <c r="AH1380" s="332"/>
      <c r="AI1380" s="332"/>
      <c r="AJ1380" s="332"/>
      <c r="AK1380" s="332"/>
      <c r="AL1380" s="332"/>
      <c r="AM1380" s="332"/>
      <c r="AN1380" s="332"/>
      <c r="AO1380" s="332"/>
      <c r="AP1380" s="332"/>
      <c r="AQ1380" s="332"/>
      <c r="AR1380" s="332"/>
      <c r="AS1380" s="332"/>
      <c r="AT1380" s="332"/>
      <c r="AU1380" s="332"/>
      <c r="AV1380" s="332"/>
      <c r="AW1380" s="332"/>
      <c r="AX1380" s="332"/>
      <c r="AY1380" s="332"/>
      <c r="AZ1380" s="332"/>
      <c r="BA1380" s="332"/>
      <c r="BB1380" s="332"/>
      <c r="BC1380" s="332"/>
      <c r="BD1380" s="332"/>
      <c r="BE1380" s="332"/>
      <c r="BF1380" s="332"/>
      <c r="BG1380" s="332"/>
      <c r="BH1380" s="332"/>
      <c r="BI1380" s="332"/>
      <c r="BJ1380" s="332"/>
      <c r="BK1380" s="332"/>
      <c r="BL1380" s="332"/>
      <c r="BM1380" s="332"/>
      <c r="BN1380" s="332"/>
      <c r="BO1380" s="332"/>
      <c r="BP1380" s="332"/>
      <c r="BQ1380" s="332"/>
      <c r="BR1380" s="332"/>
      <c r="BS1380" s="332"/>
      <c r="BT1380" s="332"/>
      <c r="BU1380" s="332"/>
      <c r="BV1380" s="332"/>
      <c r="BW1380" s="332"/>
      <c r="BX1380" s="332"/>
      <c r="BY1380" s="332"/>
      <c r="BZ1380" s="332"/>
      <c r="CA1380" s="332"/>
      <c r="CB1380" s="332"/>
      <c r="CC1380" s="332"/>
      <c r="CD1380" s="332"/>
      <c r="CE1380" s="332"/>
      <c r="CF1380" s="332"/>
      <c r="CG1380" s="332"/>
      <c r="CH1380" s="332"/>
      <c r="CI1380" s="332"/>
      <c r="CJ1380" s="332"/>
      <c r="CK1380" s="332"/>
      <c r="CL1380" s="332"/>
      <c r="CM1380" s="332"/>
      <c r="CN1380" s="332"/>
      <c r="CO1380" s="332"/>
      <c r="CP1380" s="332"/>
      <c r="CQ1380" s="332"/>
      <c r="CR1380" s="332"/>
      <c r="CS1380" s="332"/>
      <c r="CT1380" s="332"/>
      <c r="CU1380" s="332"/>
      <c r="CV1380" s="332"/>
      <c r="CW1380" s="332"/>
      <c r="CX1380" s="332"/>
      <c r="CY1380" s="332"/>
      <c r="CZ1380" s="332"/>
      <c r="DA1380" s="332"/>
      <c r="DB1380" s="332"/>
      <c r="DC1380" s="332"/>
      <c r="DD1380" s="332"/>
      <c r="DE1380" s="332"/>
      <c r="DF1380" s="332"/>
      <c r="DG1380" s="332"/>
      <c r="DH1380" s="332"/>
      <c r="DI1380" s="332"/>
      <c r="DJ1380" s="332"/>
      <c r="DK1380" s="332"/>
      <c r="DL1380" s="332"/>
      <c r="DM1380" s="332"/>
      <c r="DN1380" s="332"/>
      <c r="DO1380" s="332"/>
      <c r="DP1380" s="332"/>
      <c r="DQ1380" s="332"/>
      <c r="DR1380" s="332"/>
      <c r="DS1380" s="332"/>
      <c r="DT1380" s="332"/>
      <c r="DU1380" s="453"/>
      <c r="DV1380" s="453"/>
      <c r="DW1380" s="453"/>
      <c r="DX1380" s="453"/>
      <c r="DY1380" s="453"/>
      <c r="DZ1380" s="453"/>
      <c r="EA1380" s="453"/>
      <c r="EB1380" s="453"/>
      <c r="EC1380" s="453"/>
      <c r="ED1380" s="453"/>
      <c r="EE1380" s="453"/>
      <c r="EF1380" s="453"/>
      <c r="EG1380" s="453"/>
      <c r="EH1380" s="453"/>
      <c r="EI1380" s="453"/>
      <c r="EJ1380" s="453"/>
      <c r="EK1380" s="453"/>
      <c r="EL1380" s="453"/>
      <c r="EM1380" s="483">
        <f t="shared" si="257"/>
        <v>1071</v>
      </c>
      <c r="EN1380" s="485"/>
      <c r="EO1380" s="458"/>
      <c r="EP1380" s="467"/>
      <c r="EQ1380" s="457"/>
      <c r="ER1380" s="808"/>
      <c r="ES1380" s="881">
        <f t="shared" si="262"/>
        <v>0</v>
      </c>
      <c r="ET1380" s="882"/>
      <c r="EU1380" s="883"/>
      <c r="EV1380" s="884">
        <f t="shared" si="263"/>
        <v>0</v>
      </c>
      <c r="EW1380" s="885"/>
      <c r="EX1380" s="885"/>
      <c r="EY1380" s="885"/>
      <c r="EZ1380" s="885"/>
      <c r="FA1380" s="885"/>
      <c r="FB1380" s="885"/>
      <c r="FC1380" s="885"/>
      <c r="FD1380" s="886"/>
      <c r="FE1380" s="877"/>
      <c r="FF1380" s="877"/>
      <c r="FG1380" s="877"/>
      <c r="FH1380" s="877"/>
      <c r="FI1380" s="877"/>
      <c r="FJ1380" s="877"/>
      <c r="FK1380" s="877"/>
      <c r="FL1380" s="874"/>
      <c r="FM1380" s="875"/>
      <c r="FN1380" s="875"/>
      <c r="FO1380" s="875"/>
      <c r="FP1380" s="875"/>
      <c r="FQ1380" s="875"/>
      <c r="FR1380" s="875"/>
      <c r="FS1380" s="875"/>
      <c r="FT1380" s="875"/>
      <c r="FU1380" s="875"/>
      <c r="FV1380" s="875"/>
      <c r="FW1380" s="875"/>
      <c r="FX1380" s="875"/>
      <c r="FY1380" s="875"/>
      <c r="FZ1380" s="875"/>
      <c r="GA1380" s="875"/>
      <c r="GB1380" s="876"/>
      <c r="GC1380" s="370"/>
      <c r="GD1380" s="453"/>
      <c r="GE1380" s="453"/>
      <c r="GF1380" s="453"/>
      <c r="GG1380" s="453"/>
      <c r="GH1380" s="454"/>
      <c r="GI1380" s="453"/>
      <c r="GJ1380" s="453"/>
      <c r="GK1380" s="453"/>
      <c r="GL1380" s="453"/>
      <c r="GM1380" s="453"/>
      <c r="GN1380" s="453"/>
      <c r="GO1380" s="453"/>
      <c r="GP1380" s="453"/>
      <c r="GQ1380" s="453"/>
      <c r="GR1380" s="453"/>
      <c r="GS1380" s="561"/>
      <c r="GT1380" s="475"/>
      <c r="GU1380" s="472"/>
      <c r="GV1380" s="453"/>
      <c r="GW1380" s="453"/>
      <c r="GX1380" s="869"/>
      <c r="GY1380" s="870"/>
      <c r="GZ1380" s="867"/>
      <c r="HA1380" s="868"/>
      <c r="HB1380" s="473"/>
      <c r="HC1380" s="869"/>
      <c r="HD1380" s="870"/>
      <c r="HE1380" s="867"/>
      <c r="HF1380" s="868"/>
      <c r="HG1380" s="473"/>
      <c r="HH1380" s="867"/>
      <c r="HI1380" s="868"/>
      <c r="HJ1380" s="867"/>
      <c r="HK1380" s="868"/>
      <c r="HL1380" s="370"/>
      <c r="HM1380" s="865"/>
      <c r="HN1380" s="866"/>
      <c r="HO1380" s="865"/>
      <c r="HP1380" s="866"/>
      <c r="HQ1380" s="865"/>
      <c r="HR1380" s="866"/>
      <c r="HS1380" s="867"/>
      <c r="HT1380" s="868"/>
      <c r="HU1380" s="489"/>
      <c r="HV1380" s="865"/>
      <c r="HW1380" s="866"/>
    </row>
    <row r="1381" spans="25:231" ht="15" customHeight="1">
      <c r="Y1381" s="332"/>
      <c r="Z1381" s="332"/>
      <c r="AA1381" s="332"/>
      <c r="AB1381" s="332"/>
      <c r="AC1381" s="332"/>
      <c r="AD1381" s="332"/>
      <c r="AE1381" s="332"/>
      <c r="AF1381" s="332"/>
      <c r="AG1381" s="332"/>
      <c r="AH1381" s="332"/>
      <c r="AI1381" s="332"/>
      <c r="AJ1381" s="332"/>
      <c r="AK1381" s="332"/>
      <c r="AL1381" s="332"/>
      <c r="AM1381" s="332"/>
      <c r="AN1381" s="332"/>
      <c r="AO1381" s="332"/>
      <c r="AP1381" s="332"/>
      <c r="AQ1381" s="332"/>
      <c r="AR1381" s="332"/>
      <c r="AS1381" s="332"/>
      <c r="AT1381" s="332"/>
      <c r="AU1381" s="332"/>
      <c r="AV1381" s="332"/>
      <c r="AW1381" s="332"/>
      <c r="AX1381" s="332"/>
      <c r="AY1381" s="332"/>
      <c r="AZ1381" s="332"/>
      <c r="BA1381" s="332"/>
      <c r="BB1381" s="332"/>
      <c r="BC1381" s="332"/>
      <c r="BD1381" s="332"/>
      <c r="BE1381" s="332"/>
      <c r="BF1381" s="332"/>
      <c r="BG1381" s="332"/>
      <c r="BH1381" s="332"/>
      <c r="BI1381" s="332"/>
      <c r="BJ1381" s="332"/>
      <c r="BK1381" s="332"/>
      <c r="BL1381" s="332"/>
      <c r="BM1381" s="332"/>
      <c r="BN1381" s="332"/>
      <c r="BO1381" s="332"/>
      <c r="BP1381" s="332"/>
      <c r="BQ1381" s="332"/>
      <c r="BR1381" s="332"/>
      <c r="BS1381" s="332"/>
      <c r="BT1381" s="332"/>
      <c r="BU1381" s="332"/>
      <c r="BV1381" s="332"/>
      <c r="BW1381" s="332"/>
      <c r="BX1381" s="332"/>
      <c r="BY1381" s="332"/>
      <c r="BZ1381" s="332"/>
      <c r="CA1381" s="332"/>
      <c r="CB1381" s="332"/>
      <c r="CC1381" s="332"/>
      <c r="CD1381" s="332"/>
      <c r="CE1381" s="332"/>
      <c r="CF1381" s="332"/>
      <c r="CG1381" s="332"/>
      <c r="CH1381" s="332"/>
      <c r="CI1381" s="332"/>
      <c r="CJ1381" s="332"/>
      <c r="CK1381" s="332"/>
      <c r="CL1381" s="332"/>
      <c r="CM1381" s="332"/>
      <c r="CN1381" s="332"/>
      <c r="CO1381" s="332"/>
      <c r="CP1381" s="332"/>
      <c r="CQ1381" s="332"/>
      <c r="CR1381" s="332"/>
      <c r="CS1381" s="332"/>
      <c r="CT1381" s="332"/>
      <c r="CU1381" s="332"/>
      <c r="CV1381" s="332"/>
      <c r="CW1381" s="332"/>
      <c r="CX1381" s="332"/>
      <c r="CY1381" s="332"/>
      <c r="CZ1381" s="332"/>
      <c r="DA1381" s="332"/>
      <c r="DB1381" s="332"/>
      <c r="DC1381" s="332"/>
      <c r="DD1381" s="332"/>
      <c r="DE1381" s="332"/>
      <c r="DF1381" s="332"/>
      <c r="DG1381" s="332"/>
      <c r="DH1381" s="332"/>
      <c r="DI1381" s="332"/>
      <c r="DJ1381" s="332"/>
      <c r="DK1381" s="332"/>
      <c r="DL1381" s="332"/>
      <c r="DM1381" s="332"/>
      <c r="DN1381" s="332"/>
      <c r="DO1381" s="332"/>
      <c r="DP1381" s="332"/>
      <c r="DQ1381" s="332"/>
      <c r="DR1381" s="332"/>
      <c r="DS1381" s="332"/>
      <c r="DT1381" s="332"/>
      <c r="DU1381" s="453"/>
      <c r="DV1381" s="453"/>
      <c r="DW1381" s="453"/>
      <c r="DX1381" s="453"/>
      <c r="DY1381" s="453"/>
      <c r="DZ1381" s="453"/>
      <c r="EA1381" s="453"/>
      <c r="EB1381" s="453"/>
      <c r="EC1381" s="453"/>
      <c r="ED1381" s="453"/>
      <c r="EE1381" s="453"/>
      <c r="EF1381" s="453"/>
      <c r="EG1381" s="453"/>
      <c r="EH1381" s="453"/>
      <c r="EI1381" s="453"/>
      <c r="EJ1381" s="453"/>
      <c r="EK1381" s="453"/>
      <c r="EL1381" s="453"/>
      <c r="EM1381" s="483">
        <f t="shared" si="257"/>
        <v>1072</v>
      </c>
      <c r="EN1381" s="485"/>
      <c r="EO1381" s="458"/>
      <c r="EP1381" s="467"/>
      <c r="EQ1381" s="457"/>
      <c r="ER1381" s="808"/>
      <c r="ES1381" s="881">
        <f t="shared" si="262"/>
        <v>0</v>
      </c>
      <c r="ET1381" s="882"/>
      <c r="EU1381" s="883"/>
      <c r="EV1381" s="884">
        <f t="shared" si="263"/>
        <v>0</v>
      </c>
      <c r="EW1381" s="885"/>
      <c r="EX1381" s="885"/>
      <c r="EY1381" s="885"/>
      <c r="EZ1381" s="885"/>
      <c r="FA1381" s="885"/>
      <c r="FB1381" s="885"/>
      <c r="FC1381" s="885"/>
      <c r="FD1381" s="886"/>
      <c r="FE1381" s="877"/>
      <c r="FF1381" s="877"/>
      <c r="FG1381" s="877"/>
      <c r="FH1381" s="877"/>
      <c r="FI1381" s="877"/>
      <c r="FJ1381" s="877"/>
      <c r="FK1381" s="877"/>
      <c r="FL1381" s="874"/>
      <c r="FM1381" s="875"/>
      <c r="FN1381" s="875"/>
      <c r="FO1381" s="875"/>
      <c r="FP1381" s="875"/>
      <c r="FQ1381" s="875"/>
      <c r="FR1381" s="875"/>
      <c r="FS1381" s="875"/>
      <c r="FT1381" s="875"/>
      <c r="FU1381" s="875"/>
      <c r="FV1381" s="875"/>
      <c r="FW1381" s="875"/>
      <c r="FX1381" s="875"/>
      <c r="FY1381" s="875"/>
      <c r="FZ1381" s="875"/>
      <c r="GA1381" s="875"/>
      <c r="GB1381" s="876"/>
      <c r="GC1381" s="370"/>
      <c r="GD1381" s="453"/>
      <c r="GE1381" s="453"/>
      <c r="GF1381" s="453"/>
      <c r="GG1381" s="453"/>
      <c r="GH1381" s="454"/>
      <c r="GI1381" s="453"/>
      <c r="GJ1381" s="453"/>
      <c r="GK1381" s="453"/>
      <c r="GL1381" s="453"/>
      <c r="GM1381" s="453"/>
      <c r="GN1381" s="453"/>
      <c r="GO1381" s="453"/>
      <c r="GP1381" s="453"/>
      <c r="GQ1381" s="453"/>
      <c r="GR1381" s="453"/>
      <c r="GS1381" s="561"/>
      <c r="GT1381" s="475"/>
      <c r="GU1381" s="472"/>
      <c r="GV1381" s="453"/>
      <c r="GW1381" s="453"/>
      <c r="GX1381" s="869"/>
      <c r="GY1381" s="870"/>
      <c r="GZ1381" s="867"/>
      <c r="HA1381" s="868"/>
      <c r="HB1381" s="473"/>
      <c r="HC1381" s="869"/>
      <c r="HD1381" s="870"/>
      <c r="HE1381" s="867"/>
      <c r="HF1381" s="868"/>
      <c r="HG1381" s="473"/>
      <c r="HH1381" s="867"/>
      <c r="HI1381" s="868"/>
      <c r="HJ1381" s="867"/>
      <c r="HK1381" s="868"/>
      <c r="HL1381" s="370"/>
      <c r="HM1381" s="865"/>
      <c r="HN1381" s="866"/>
      <c r="HO1381" s="865"/>
      <c r="HP1381" s="866"/>
      <c r="HQ1381" s="865"/>
      <c r="HR1381" s="866"/>
      <c r="HS1381" s="867"/>
      <c r="HT1381" s="868"/>
      <c r="HU1381" s="489"/>
      <c r="HV1381" s="865"/>
      <c r="HW1381" s="866"/>
    </row>
    <row r="1382" spans="25:231" ht="15" customHeight="1">
      <c r="Y1382" s="332"/>
      <c r="Z1382" s="332"/>
      <c r="AA1382" s="332"/>
      <c r="AB1382" s="332"/>
      <c r="AC1382" s="332"/>
      <c r="AD1382" s="332"/>
      <c r="AE1382" s="332"/>
      <c r="AF1382" s="332"/>
      <c r="AG1382" s="332"/>
      <c r="AH1382" s="332"/>
      <c r="AI1382" s="332"/>
      <c r="AJ1382" s="332"/>
      <c r="AK1382" s="332"/>
      <c r="AL1382" s="332"/>
      <c r="AM1382" s="332"/>
      <c r="AN1382" s="332"/>
      <c r="AO1382" s="332"/>
      <c r="AP1382" s="332"/>
      <c r="AQ1382" s="332"/>
      <c r="AR1382" s="332"/>
      <c r="AS1382" s="332"/>
      <c r="AT1382" s="332"/>
      <c r="AU1382" s="332"/>
      <c r="AV1382" s="332"/>
      <c r="AW1382" s="332"/>
      <c r="AX1382" s="332"/>
      <c r="AY1382" s="332"/>
      <c r="AZ1382" s="332"/>
      <c r="BA1382" s="332"/>
      <c r="BB1382" s="332"/>
      <c r="BC1382" s="332"/>
      <c r="BD1382" s="332"/>
      <c r="BE1382" s="332"/>
      <c r="BF1382" s="332"/>
      <c r="BG1382" s="332"/>
      <c r="BH1382" s="332"/>
      <c r="BI1382" s="332"/>
      <c r="BJ1382" s="332"/>
      <c r="BK1382" s="332"/>
      <c r="BL1382" s="332"/>
      <c r="BM1382" s="332"/>
      <c r="BN1382" s="332"/>
      <c r="BO1382" s="332"/>
      <c r="BP1382" s="332"/>
      <c r="BQ1382" s="332"/>
      <c r="BR1382" s="332"/>
      <c r="BS1382" s="332"/>
      <c r="BT1382" s="332"/>
      <c r="BU1382" s="332"/>
      <c r="BV1382" s="332"/>
      <c r="BW1382" s="332"/>
      <c r="BX1382" s="332"/>
      <c r="BY1382" s="332"/>
      <c r="BZ1382" s="332"/>
      <c r="CA1382" s="332"/>
      <c r="CB1382" s="332"/>
      <c r="CC1382" s="332"/>
      <c r="CD1382" s="332"/>
      <c r="CE1382" s="332"/>
      <c r="CF1382" s="332"/>
      <c r="CG1382" s="332"/>
      <c r="CH1382" s="332"/>
      <c r="CI1382" s="332"/>
      <c r="CJ1382" s="332"/>
      <c r="CK1382" s="332"/>
      <c r="CL1382" s="332"/>
      <c r="CM1382" s="332"/>
      <c r="CN1382" s="332"/>
      <c r="CO1382" s="332"/>
      <c r="CP1382" s="332"/>
      <c r="CQ1382" s="332"/>
      <c r="CR1382" s="332"/>
      <c r="CS1382" s="332"/>
      <c r="CT1382" s="332"/>
      <c r="CU1382" s="332"/>
      <c r="CV1382" s="332"/>
      <c r="CW1382" s="332"/>
      <c r="CX1382" s="332"/>
      <c r="CY1382" s="332"/>
      <c r="CZ1382" s="332"/>
      <c r="DA1382" s="332"/>
      <c r="DB1382" s="332"/>
      <c r="DC1382" s="332"/>
      <c r="DD1382" s="332"/>
      <c r="DE1382" s="332"/>
      <c r="DF1382" s="332"/>
      <c r="DG1382" s="332"/>
      <c r="DH1382" s="332"/>
      <c r="DI1382" s="332"/>
      <c r="DJ1382" s="332"/>
      <c r="DK1382" s="332"/>
      <c r="DL1382" s="332"/>
      <c r="DM1382" s="332"/>
      <c r="DN1382" s="332"/>
      <c r="DO1382" s="332"/>
      <c r="DP1382" s="332"/>
      <c r="DQ1382" s="332"/>
      <c r="DR1382" s="332"/>
      <c r="DS1382" s="332"/>
      <c r="DT1382" s="332"/>
      <c r="DU1382" s="453"/>
      <c r="DV1382" s="453"/>
      <c r="DW1382" s="453"/>
      <c r="DX1382" s="453"/>
      <c r="DY1382" s="453"/>
      <c r="DZ1382" s="453"/>
      <c r="EA1382" s="453"/>
      <c r="EB1382" s="453"/>
      <c r="EC1382" s="453"/>
      <c r="ED1382" s="453"/>
      <c r="EE1382" s="453"/>
      <c r="EF1382" s="453"/>
      <c r="EG1382" s="453"/>
      <c r="EH1382" s="453"/>
      <c r="EI1382" s="453"/>
      <c r="EJ1382" s="453"/>
      <c r="EK1382" s="453"/>
      <c r="EL1382" s="453"/>
      <c r="EM1382" s="483">
        <f t="shared" ref="EM1382:EM1445" si="264">+EM1381+1</f>
        <v>1073</v>
      </c>
      <c r="EN1382" s="485"/>
      <c r="EO1382" s="458"/>
      <c r="EP1382" s="467"/>
      <c r="EQ1382" s="457"/>
      <c r="ER1382" s="808"/>
      <c r="ES1382" s="881">
        <f t="shared" si="262"/>
        <v>0</v>
      </c>
      <c r="ET1382" s="882"/>
      <c r="EU1382" s="883"/>
      <c r="EV1382" s="884">
        <f t="shared" si="263"/>
        <v>0</v>
      </c>
      <c r="EW1382" s="885"/>
      <c r="EX1382" s="885"/>
      <c r="EY1382" s="885"/>
      <c r="EZ1382" s="885"/>
      <c r="FA1382" s="885"/>
      <c r="FB1382" s="885"/>
      <c r="FC1382" s="885"/>
      <c r="FD1382" s="886"/>
      <c r="FE1382" s="877"/>
      <c r="FF1382" s="877"/>
      <c r="FG1382" s="877"/>
      <c r="FH1382" s="877"/>
      <c r="FI1382" s="877"/>
      <c r="FJ1382" s="877"/>
      <c r="FK1382" s="877"/>
      <c r="FL1382" s="874"/>
      <c r="FM1382" s="875"/>
      <c r="FN1382" s="875"/>
      <c r="FO1382" s="875"/>
      <c r="FP1382" s="875"/>
      <c r="FQ1382" s="875"/>
      <c r="FR1382" s="875"/>
      <c r="FS1382" s="875"/>
      <c r="FT1382" s="875"/>
      <c r="FU1382" s="875"/>
      <c r="FV1382" s="875"/>
      <c r="FW1382" s="875"/>
      <c r="FX1382" s="875"/>
      <c r="FY1382" s="875"/>
      <c r="FZ1382" s="875"/>
      <c r="GA1382" s="875"/>
      <c r="GB1382" s="876"/>
      <c r="GC1382" s="370"/>
      <c r="GD1382" s="453"/>
      <c r="GE1382" s="453"/>
      <c r="GF1382" s="453"/>
      <c r="GG1382" s="453"/>
      <c r="GH1382" s="454"/>
      <c r="GI1382" s="453"/>
      <c r="GJ1382" s="453"/>
      <c r="GK1382" s="453"/>
      <c r="GL1382" s="453"/>
      <c r="GM1382" s="453"/>
      <c r="GN1382" s="453"/>
      <c r="GO1382" s="453"/>
      <c r="GP1382" s="453"/>
      <c r="GQ1382" s="453"/>
      <c r="GR1382" s="453"/>
      <c r="GS1382" s="561"/>
      <c r="GT1382" s="475"/>
      <c r="GU1382" s="472"/>
      <c r="GV1382" s="453"/>
      <c r="GW1382" s="453"/>
      <c r="GX1382" s="869"/>
      <c r="GY1382" s="870"/>
      <c r="GZ1382" s="867"/>
      <c r="HA1382" s="868"/>
      <c r="HB1382" s="473"/>
      <c r="HC1382" s="869"/>
      <c r="HD1382" s="870"/>
      <c r="HE1382" s="867"/>
      <c r="HF1382" s="868"/>
      <c r="HG1382" s="473"/>
      <c r="HH1382" s="867"/>
      <c r="HI1382" s="868"/>
      <c r="HJ1382" s="867"/>
      <c r="HK1382" s="868"/>
      <c r="HL1382" s="370"/>
      <c r="HM1382" s="865"/>
      <c r="HN1382" s="866"/>
      <c r="HO1382" s="865"/>
      <c r="HP1382" s="866"/>
      <c r="HQ1382" s="865"/>
      <c r="HR1382" s="866"/>
      <c r="HS1382" s="867"/>
      <c r="HT1382" s="868"/>
      <c r="HU1382" s="489"/>
      <c r="HV1382" s="865"/>
      <c r="HW1382" s="866"/>
    </row>
    <row r="1383" spans="25:231" ht="15" customHeight="1">
      <c r="Y1383" s="332"/>
      <c r="Z1383" s="332"/>
      <c r="AA1383" s="332"/>
      <c r="AB1383" s="332"/>
      <c r="AC1383" s="332"/>
      <c r="AD1383" s="332"/>
      <c r="AE1383" s="332"/>
      <c r="AF1383" s="332"/>
      <c r="AG1383" s="332"/>
      <c r="AH1383" s="332"/>
      <c r="AI1383" s="332"/>
      <c r="AJ1383" s="332"/>
      <c r="AK1383" s="332"/>
      <c r="AL1383" s="332"/>
      <c r="AM1383" s="332"/>
      <c r="AN1383" s="332"/>
      <c r="AO1383" s="332"/>
      <c r="AP1383" s="332"/>
      <c r="AQ1383" s="332"/>
      <c r="AR1383" s="332"/>
      <c r="AS1383" s="332"/>
      <c r="AT1383" s="332"/>
      <c r="AU1383" s="332"/>
      <c r="AV1383" s="332"/>
      <c r="AW1383" s="332"/>
      <c r="AX1383" s="332"/>
      <c r="AY1383" s="332"/>
      <c r="AZ1383" s="332"/>
      <c r="BA1383" s="332"/>
      <c r="BB1383" s="332"/>
      <c r="BC1383" s="332"/>
      <c r="BD1383" s="332"/>
      <c r="BE1383" s="332"/>
      <c r="BF1383" s="332"/>
      <c r="BG1383" s="332"/>
      <c r="BH1383" s="332"/>
      <c r="BI1383" s="332"/>
      <c r="BJ1383" s="332"/>
      <c r="BK1383" s="332"/>
      <c r="BL1383" s="332"/>
      <c r="BM1383" s="332"/>
      <c r="BN1383" s="332"/>
      <c r="BO1383" s="332"/>
      <c r="BP1383" s="332"/>
      <c r="BQ1383" s="332"/>
      <c r="BR1383" s="332"/>
      <c r="BS1383" s="332"/>
      <c r="BT1383" s="332"/>
      <c r="BU1383" s="332"/>
      <c r="BV1383" s="332"/>
      <c r="BW1383" s="332"/>
      <c r="BX1383" s="332"/>
      <c r="BY1383" s="332"/>
      <c r="BZ1383" s="332"/>
      <c r="CA1383" s="332"/>
      <c r="CB1383" s="332"/>
      <c r="CC1383" s="332"/>
      <c r="CD1383" s="332"/>
      <c r="CE1383" s="332"/>
      <c r="CF1383" s="332"/>
      <c r="CG1383" s="332"/>
      <c r="CH1383" s="332"/>
      <c r="CI1383" s="332"/>
      <c r="CJ1383" s="332"/>
      <c r="CK1383" s="332"/>
      <c r="CL1383" s="332"/>
      <c r="CM1383" s="332"/>
      <c r="CN1383" s="332"/>
      <c r="CO1383" s="332"/>
      <c r="CP1383" s="332"/>
      <c r="CQ1383" s="332"/>
      <c r="CR1383" s="332"/>
      <c r="CS1383" s="332"/>
      <c r="CT1383" s="332"/>
      <c r="CU1383" s="332"/>
      <c r="CV1383" s="332"/>
      <c r="CW1383" s="332"/>
      <c r="CX1383" s="332"/>
      <c r="CY1383" s="332"/>
      <c r="CZ1383" s="332"/>
      <c r="DA1383" s="332"/>
      <c r="DB1383" s="332"/>
      <c r="DC1383" s="332"/>
      <c r="DD1383" s="332"/>
      <c r="DE1383" s="332"/>
      <c r="DF1383" s="332"/>
      <c r="DG1383" s="332"/>
      <c r="DH1383" s="332"/>
      <c r="DI1383" s="332"/>
      <c r="DJ1383" s="332"/>
      <c r="DK1383" s="332"/>
      <c r="DL1383" s="332"/>
      <c r="DM1383" s="332"/>
      <c r="DN1383" s="332"/>
      <c r="DO1383" s="332"/>
      <c r="DP1383" s="332"/>
      <c r="DQ1383" s="332"/>
      <c r="DR1383" s="332"/>
      <c r="DS1383" s="332"/>
      <c r="DT1383" s="332"/>
      <c r="DU1383" s="453"/>
      <c r="DV1383" s="453"/>
      <c r="DW1383" s="453"/>
      <c r="DX1383" s="453"/>
      <c r="DY1383" s="453"/>
      <c r="DZ1383" s="453"/>
      <c r="EA1383" s="453"/>
      <c r="EB1383" s="453"/>
      <c r="EC1383" s="453"/>
      <c r="ED1383" s="453"/>
      <c r="EE1383" s="453"/>
      <c r="EF1383" s="453"/>
      <c r="EG1383" s="453"/>
      <c r="EH1383" s="453"/>
      <c r="EI1383" s="453"/>
      <c r="EJ1383" s="453"/>
      <c r="EK1383" s="453"/>
      <c r="EL1383" s="453"/>
      <c r="EM1383" s="483">
        <f t="shared" si="264"/>
        <v>1074</v>
      </c>
      <c r="EN1383" s="485"/>
      <c r="EO1383" s="458"/>
      <c r="EP1383" s="467"/>
      <c r="EQ1383" s="457"/>
      <c r="ER1383" s="808"/>
      <c r="ES1383" s="881">
        <f t="shared" si="262"/>
        <v>0</v>
      </c>
      <c r="ET1383" s="882"/>
      <c r="EU1383" s="883"/>
      <c r="EV1383" s="884">
        <f t="shared" si="263"/>
        <v>0</v>
      </c>
      <c r="EW1383" s="885"/>
      <c r="EX1383" s="885"/>
      <c r="EY1383" s="885"/>
      <c r="EZ1383" s="885"/>
      <c r="FA1383" s="885"/>
      <c r="FB1383" s="885"/>
      <c r="FC1383" s="885"/>
      <c r="FD1383" s="886"/>
      <c r="FE1383" s="877"/>
      <c r="FF1383" s="877"/>
      <c r="FG1383" s="877"/>
      <c r="FH1383" s="877"/>
      <c r="FI1383" s="877"/>
      <c r="FJ1383" s="877"/>
      <c r="FK1383" s="877"/>
      <c r="FL1383" s="874"/>
      <c r="FM1383" s="875"/>
      <c r="FN1383" s="875"/>
      <c r="FO1383" s="875"/>
      <c r="FP1383" s="875"/>
      <c r="FQ1383" s="875"/>
      <c r="FR1383" s="875"/>
      <c r="FS1383" s="875"/>
      <c r="FT1383" s="875"/>
      <c r="FU1383" s="875"/>
      <c r="FV1383" s="875"/>
      <c r="FW1383" s="875"/>
      <c r="FX1383" s="875"/>
      <c r="FY1383" s="875"/>
      <c r="FZ1383" s="875"/>
      <c r="GA1383" s="875"/>
      <c r="GB1383" s="876"/>
      <c r="GC1383" s="370"/>
      <c r="GD1383" s="453"/>
      <c r="GE1383" s="453"/>
      <c r="GF1383" s="453"/>
      <c r="GG1383" s="453"/>
      <c r="GH1383" s="454"/>
      <c r="GI1383" s="453"/>
      <c r="GJ1383" s="453"/>
      <c r="GK1383" s="453"/>
      <c r="GL1383" s="453"/>
      <c r="GM1383" s="453"/>
      <c r="GN1383" s="453"/>
      <c r="GO1383" s="453"/>
      <c r="GP1383" s="453"/>
      <c r="GQ1383" s="453"/>
      <c r="GR1383" s="453"/>
      <c r="GS1383" s="561"/>
      <c r="GT1383" s="475"/>
      <c r="GU1383" s="472"/>
      <c r="GV1383" s="453"/>
      <c r="GW1383" s="453"/>
      <c r="GX1383" s="869"/>
      <c r="GY1383" s="870"/>
      <c r="GZ1383" s="867"/>
      <c r="HA1383" s="868"/>
      <c r="HB1383" s="473"/>
      <c r="HC1383" s="869"/>
      <c r="HD1383" s="870"/>
      <c r="HE1383" s="867"/>
      <c r="HF1383" s="868"/>
      <c r="HG1383" s="473"/>
      <c r="HH1383" s="867"/>
      <c r="HI1383" s="868"/>
      <c r="HJ1383" s="867"/>
      <c r="HK1383" s="868"/>
      <c r="HL1383" s="370"/>
      <c r="HM1383" s="865"/>
      <c r="HN1383" s="866"/>
      <c r="HO1383" s="865"/>
      <c r="HP1383" s="866"/>
      <c r="HQ1383" s="865"/>
      <c r="HR1383" s="866"/>
      <c r="HS1383" s="867"/>
      <c r="HT1383" s="868"/>
      <c r="HU1383" s="489"/>
      <c r="HV1383" s="865"/>
      <c r="HW1383" s="866"/>
    </row>
    <row r="1384" spans="25:231" ht="15" customHeight="1">
      <c r="Y1384" s="332"/>
      <c r="Z1384" s="332"/>
      <c r="AA1384" s="332"/>
      <c r="AB1384" s="332"/>
      <c r="AC1384" s="332"/>
      <c r="AD1384" s="332"/>
      <c r="AE1384" s="332"/>
      <c r="AF1384" s="332"/>
      <c r="AG1384" s="332"/>
      <c r="AH1384" s="332"/>
      <c r="AI1384" s="332"/>
      <c r="AJ1384" s="332"/>
      <c r="AK1384" s="332"/>
      <c r="AL1384" s="332"/>
      <c r="AM1384" s="332"/>
      <c r="AN1384" s="332"/>
      <c r="AO1384" s="332"/>
      <c r="AP1384" s="332"/>
      <c r="AQ1384" s="332"/>
      <c r="AR1384" s="332"/>
      <c r="AS1384" s="332"/>
      <c r="AT1384" s="332"/>
      <c r="AU1384" s="332"/>
      <c r="AV1384" s="332"/>
      <c r="AW1384" s="332"/>
      <c r="AX1384" s="332"/>
      <c r="AY1384" s="332"/>
      <c r="AZ1384" s="332"/>
      <c r="BA1384" s="332"/>
      <c r="BB1384" s="332"/>
      <c r="BC1384" s="332"/>
      <c r="BD1384" s="332"/>
      <c r="BE1384" s="332"/>
      <c r="BF1384" s="332"/>
      <c r="BG1384" s="332"/>
      <c r="BH1384" s="332"/>
      <c r="BI1384" s="332"/>
      <c r="BJ1384" s="332"/>
      <c r="BK1384" s="332"/>
      <c r="BL1384" s="332"/>
      <c r="BM1384" s="332"/>
      <c r="BN1384" s="332"/>
      <c r="BO1384" s="332"/>
      <c r="BP1384" s="332"/>
      <c r="BQ1384" s="332"/>
      <c r="BR1384" s="332"/>
      <c r="BS1384" s="332"/>
      <c r="BT1384" s="332"/>
      <c r="BU1384" s="332"/>
      <c r="BV1384" s="332"/>
      <c r="BW1384" s="332"/>
      <c r="BX1384" s="332"/>
      <c r="BY1384" s="332"/>
      <c r="BZ1384" s="332"/>
      <c r="CA1384" s="332"/>
      <c r="CB1384" s="332"/>
      <c r="CC1384" s="332"/>
      <c r="CD1384" s="332"/>
      <c r="CE1384" s="332"/>
      <c r="CF1384" s="332"/>
      <c r="CG1384" s="332"/>
      <c r="CH1384" s="332"/>
      <c r="CI1384" s="332"/>
      <c r="CJ1384" s="332"/>
      <c r="CK1384" s="332"/>
      <c r="CL1384" s="332"/>
      <c r="CM1384" s="332"/>
      <c r="CN1384" s="332"/>
      <c r="CO1384" s="332"/>
      <c r="CP1384" s="332"/>
      <c r="CQ1384" s="332"/>
      <c r="CR1384" s="332"/>
      <c r="CS1384" s="332"/>
      <c r="CT1384" s="332"/>
      <c r="CU1384" s="332"/>
      <c r="CV1384" s="332"/>
      <c r="CW1384" s="332"/>
      <c r="CX1384" s="332"/>
      <c r="CY1384" s="332"/>
      <c r="CZ1384" s="332"/>
      <c r="DA1384" s="332"/>
      <c r="DB1384" s="332"/>
      <c r="DC1384" s="332"/>
      <c r="DD1384" s="332"/>
      <c r="DE1384" s="332"/>
      <c r="DF1384" s="332"/>
      <c r="DG1384" s="332"/>
      <c r="DH1384" s="332"/>
      <c r="DI1384" s="332"/>
      <c r="DJ1384" s="332"/>
      <c r="DK1384" s="332"/>
      <c r="DL1384" s="332"/>
      <c r="DM1384" s="332"/>
      <c r="DN1384" s="332"/>
      <c r="DO1384" s="332"/>
      <c r="DP1384" s="332"/>
      <c r="DQ1384" s="332"/>
      <c r="DR1384" s="332"/>
      <c r="DS1384" s="332"/>
      <c r="DT1384" s="332"/>
      <c r="DU1384" s="453"/>
      <c r="DV1384" s="453"/>
      <c r="DW1384" s="453"/>
      <c r="DX1384" s="453"/>
      <c r="DY1384" s="453"/>
      <c r="DZ1384" s="453"/>
      <c r="EA1384" s="453"/>
      <c r="EB1384" s="453"/>
      <c r="EC1384" s="453"/>
      <c r="ED1384" s="453"/>
      <c r="EE1384" s="453"/>
      <c r="EF1384" s="453"/>
      <c r="EG1384" s="453"/>
      <c r="EH1384" s="453"/>
      <c r="EI1384" s="453"/>
      <c r="EJ1384" s="453"/>
      <c r="EK1384" s="453"/>
      <c r="EL1384" s="453"/>
      <c r="EM1384" s="483">
        <f t="shared" si="264"/>
        <v>1075</v>
      </c>
      <c r="EN1384" s="485"/>
      <c r="EO1384" s="458"/>
      <c r="EP1384" s="467"/>
      <c r="EQ1384" s="457"/>
      <c r="ER1384" s="808"/>
      <c r="ES1384" s="881">
        <f t="shared" si="262"/>
        <v>0</v>
      </c>
      <c r="ET1384" s="882"/>
      <c r="EU1384" s="883"/>
      <c r="EV1384" s="884">
        <f t="shared" si="263"/>
        <v>0</v>
      </c>
      <c r="EW1384" s="885"/>
      <c r="EX1384" s="885"/>
      <c r="EY1384" s="885"/>
      <c r="EZ1384" s="885"/>
      <c r="FA1384" s="885"/>
      <c r="FB1384" s="885"/>
      <c r="FC1384" s="885"/>
      <c r="FD1384" s="886"/>
      <c r="FE1384" s="877"/>
      <c r="FF1384" s="877"/>
      <c r="FG1384" s="877"/>
      <c r="FH1384" s="877"/>
      <c r="FI1384" s="877"/>
      <c r="FJ1384" s="877"/>
      <c r="FK1384" s="877"/>
      <c r="FL1384" s="874"/>
      <c r="FM1384" s="875"/>
      <c r="FN1384" s="875"/>
      <c r="FO1384" s="875"/>
      <c r="FP1384" s="875"/>
      <c r="FQ1384" s="875"/>
      <c r="FR1384" s="875"/>
      <c r="FS1384" s="875"/>
      <c r="FT1384" s="875"/>
      <c r="FU1384" s="875"/>
      <c r="FV1384" s="875"/>
      <c r="FW1384" s="875"/>
      <c r="FX1384" s="875"/>
      <c r="FY1384" s="875"/>
      <c r="FZ1384" s="875"/>
      <c r="GA1384" s="875"/>
      <c r="GB1384" s="876"/>
      <c r="GC1384" s="370"/>
      <c r="GD1384" s="453"/>
      <c r="GE1384" s="453"/>
      <c r="GF1384" s="453"/>
      <c r="GG1384" s="453"/>
      <c r="GH1384" s="454"/>
      <c r="GI1384" s="453"/>
      <c r="GJ1384" s="453"/>
      <c r="GK1384" s="453"/>
      <c r="GL1384" s="453"/>
      <c r="GM1384" s="453"/>
      <c r="GN1384" s="453"/>
      <c r="GO1384" s="453"/>
      <c r="GP1384" s="453"/>
      <c r="GQ1384" s="453"/>
      <c r="GR1384" s="453"/>
      <c r="GS1384" s="561"/>
      <c r="GT1384" s="475"/>
      <c r="GU1384" s="472"/>
      <c r="GV1384" s="453"/>
      <c r="GW1384" s="453"/>
      <c r="GX1384" s="869"/>
      <c r="GY1384" s="870"/>
      <c r="GZ1384" s="867"/>
      <c r="HA1384" s="868"/>
      <c r="HB1384" s="473"/>
      <c r="HC1384" s="869"/>
      <c r="HD1384" s="870"/>
      <c r="HE1384" s="867"/>
      <c r="HF1384" s="868"/>
      <c r="HG1384" s="473"/>
      <c r="HH1384" s="867"/>
      <c r="HI1384" s="868"/>
      <c r="HJ1384" s="867"/>
      <c r="HK1384" s="868"/>
      <c r="HL1384" s="370"/>
      <c r="HM1384" s="865"/>
      <c r="HN1384" s="866"/>
      <c r="HO1384" s="865"/>
      <c r="HP1384" s="866"/>
      <c r="HQ1384" s="865"/>
      <c r="HR1384" s="866"/>
      <c r="HS1384" s="867"/>
      <c r="HT1384" s="868"/>
      <c r="HU1384" s="489"/>
      <c r="HV1384" s="865"/>
      <c r="HW1384" s="866"/>
    </row>
    <row r="1385" spans="25:231" ht="15" customHeight="1">
      <c r="Y1385" s="332"/>
      <c r="Z1385" s="332"/>
      <c r="AA1385" s="332"/>
      <c r="AB1385" s="332"/>
      <c r="AC1385" s="332"/>
      <c r="AD1385" s="332"/>
      <c r="AE1385" s="332"/>
      <c r="AF1385" s="332"/>
      <c r="AG1385" s="332"/>
      <c r="AH1385" s="332"/>
      <c r="AI1385" s="332"/>
      <c r="AJ1385" s="332"/>
      <c r="AK1385" s="332"/>
      <c r="AL1385" s="332"/>
      <c r="AM1385" s="332"/>
      <c r="AN1385" s="332"/>
      <c r="AO1385" s="332"/>
      <c r="AP1385" s="332"/>
      <c r="AQ1385" s="332"/>
      <c r="AR1385" s="332"/>
      <c r="AS1385" s="332"/>
      <c r="AT1385" s="332"/>
      <c r="AU1385" s="332"/>
      <c r="AV1385" s="332"/>
      <c r="AW1385" s="332"/>
      <c r="AX1385" s="332"/>
      <c r="AY1385" s="332"/>
      <c r="AZ1385" s="332"/>
      <c r="BA1385" s="332"/>
      <c r="BB1385" s="332"/>
      <c r="BC1385" s="332"/>
      <c r="BD1385" s="332"/>
      <c r="BE1385" s="332"/>
      <c r="BF1385" s="332"/>
      <c r="BG1385" s="332"/>
      <c r="BH1385" s="332"/>
      <c r="BI1385" s="332"/>
      <c r="BJ1385" s="332"/>
      <c r="BK1385" s="332"/>
      <c r="BL1385" s="332"/>
      <c r="BM1385" s="332"/>
      <c r="BN1385" s="332"/>
      <c r="BO1385" s="332"/>
      <c r="BP1385" s="332"/>
      <c r="BQ1385" s="332"/>
      <c r="BR1385" s="332"/>
      <c r="BS1385" s="332"/>
      <c r="BT1385" s="332"/>
      <c r="BU1385" s="332"/>
      <c r="BV1385" s="332"/>
      <c r="BW1385" s="332"/>
      <c r="BX1385" s="332"/>
      <c r="BY1385" s="332"/>
      <c r="BZ1385" s="332"/>
      <c r="CA1385" s="332"/>
      <c r="CB1385" s="332"/>
      <c r="CC1385" s="332"/>
      <c r="CD1385" s="332"/>
      <c r="CE1385" s="332"/>
      <c r="CF1385" s="332"/>
      <c r="CG1385" s="332"/>
      <c r="CH1385" s="332"/>
      <c r="CI1385" s="332"/>
      <c r="CJ1385" s="332"/>
      <c r="CK1385" s="332"/>
      <c r="CL1385" s="332"/>
      <c r="CM1385" s="332"/>
      <c r="CN1385" s="332"/>
      <c r="CO1385" s="332"/>
      <c r="CP1385" s="332"/>
      <c r="CQ1385" s="332"/>
      <c r="CR1385" s="332"/>
      <c r="CS1385" s="332"/>
      <c r="CT1385" s="332"/>
      <c r="CU1385" s="332"/>
      <c r="CV1385" s="332"/>
      <c r="CW1385" s="332"/>
      <c r="CX1385" s="332"/>
      <c r="CY1385" s="332"/>
      <c r="CZ1385" s="332"/>
      <c r="DA1385" s="332"/>
      <c r="DB1385" s="332"/>
      <c r="DC1385" s="332"/>
      <c r="DD1385" s="332"/>
      <c r="DE1385" s="332"/>
      <c r="DF1385" s="332"/>
      <c r="DG1385" s="332"/>
      <c r="DH1385" s="332"/>
      <c r="DI1385" s="332"/>
      <c r="DJ1385" s="332"/>
      <c r="DK1385" s="332"/>
      <c r="DL1385" s="332"/>
      <c r="DM1385" s="332"/>
      <c r="DN1385" s="332"/>
      <c r="DO1385" s="332"/>
      <c r="DP1385" s="332"/>
      <c r="DQ1385" s="332"/>
      <c r="DR1385" s="332"/>
      <c r="DS1385" s="332"/>
      <c r="DT1385" s="332"/>
      <c r="DU1385" s="453"/>
      <c r="DV1385" s="453"/>
      <c r="DW1385" s="453"/>
      <c r="DX1385" s="453"/>
      <c r="DY1385" s="453"/>
      <c r="DZ1385" s="453"/>
      <c r="EA1385" s="453"/>
      <c r="EB1385" s="453"/>
      <c r="EC1385" s="453"/>
      <c r="ED1385" s="453"/>
      <c r="EE1385" s="453"/>
      <c r="EF1385" s="453"/>
      <c r="EG1385" s="453"/>
      <c r="EH1385" s="453"/>
      <c r="EI1385" s="453"/>
      <c r="EJ1385" s="453"/>
      <c r="EK1385" s="453"/>
      <c r="EL1385" s="453"/>
      <c r="EM1385" s="483">
        <f t="shared" si="264"/>
        <v>1076</v>
      </c>
      <c r="EN1385" s="485"/>
      <c r="EO1385" s="458"/>
      <c r="EP1385" s="467"/>
      <c r="EQ1385" s="457"/>
      <c r="ER1385" s="808"/>
      <c r="ES1385" s="881">
        <f t="shared" si="262"/>
        <v>0</v>
      </c>
      <c r="ET1385" s="882"/>
      <c r="EU1385" s="883"/>
      <c r="EV1385" s="884">
        <f t="shared" si="263"/>
        <v>0</v>
      </c>
      <c r="EW1385" s="885"/>
      <c r="EX1385" s="885"/>
      <c r="EY1385" s="885"/>
      <c r="EZ1385" s="885"/>
      <c r="FA1385" s="885"/>
      <c r="FB1385" s="885"/>
      <c r="FC1385" s="885"/>
      <c r="FD1385" s="886"/>
      <c r="FE1385" s="877"/>
      <c r="FF1385" s="877"/>
      <c r="FG1385" s="877"/>
      <c r="FH1385" s="877"/>
      <c r="FI1385" s="877"/>
      <c r="FJ1385" s="877"/>
      <c r="FK1385" s="877"/>
      <c r="FL1385" s="874"/>
      <c r="FM1385" s="875"/>
      <c r="FN1385" s="875"/>
      <c r="FO1385" s="875"/>
      <c r="FP1385" s="875"/>
      <c r="FQ1385" s="875"/>
      <c r="FR1385" s="875"/>
      <c r="FS1385" s="875"/>
      <c r="FT1385" s="875"/>
      <c r="FU1385" s="875"/>
      <c r="FV1385" s="875"/>
      <c r="FW1385" s="875"/>
      <c r="FX1385" s="875"/>
      <c r="FY1385" s="875"/>
      <c r="FZ1385" s="875"/>
      <c r="GA1385" s="875"/>
      <c r="GB1385" s="876"/>
      <c r="GC1385" s="370"/>
      <c r="GD1385" s="453"/>
      <c r="GE1385" s="453"/>
      <c r="GF1385" s="453"/>
      <c r="GG1385" s="453"/>
      <c r="GH1385" s="454"/>
      <c r="GI1385" s="453"/>
      <c r="GJ1385" s="453"/>
      <c r="GK1385" s="453"/>
      <c r="GL1385" s="453"/>
      <c r="GM1385" s="453"/>
      <c r="GN1385" s="453"/>
      <c r="GO1385" s="453"/>
      <c r="GP1385" s="453"/>
      <c r="GQ1385" s="453"/>
      <c r="GR1385" s="453"/>
      <c r="GS1385" s="561"/>
      <c r="GT1385" s="475"/>
      <c r="GU1385" s="472"/>
      <c r="GV1385" s="453"/>
      <c r="GW1385" s="453"/>
      <c r="GX1385" s="869"/>
      <c r="GY1385" s="870"/>
      <c r="GZ1385" s="867"/>
      <c r="HA1385" s="868"/>
      <c r="HB1385" s="473"/>
      <c r="HC1385" s="869"/>
      <c r="HD1385" s="870"/>
      <c r="HE1385" s="867"/>
      <c r="HF1385" s="868"/>
      <c r="HG1385" s="473"/>
      <c r="HH1385" s="867"/>
      <c r="HI1385" s="868"/>
      <c r="HJ1385" s="867"/>
      <c r="HK1385" s="868"/>
      <c r="HL1385" s="370"/>
      <c r="HM1385" s="865"/>
      <c r="HN1385" s="866"/>
      <c r="HO1385" s="865"/>
      <c r="HP1385" s="866"/>
      <c r="HQ1385" s="865"/>
      <c r="HR1385" s="866"/>
      <c r="HS1385" s="867"/>
      <c r="HT1385" s="868"/>
      <c r="HU1385" s="489"/>
      <c r="HV1385" s="865"/>
      <c r="HW1385" s="866"/>
    </row>
    <row r="1386" spans="25:231" ht="15" customHeight="1">
      <c r="Y1386" s="332"/>
      <c r="Z1386" s="332"/>
      <c r="AA1386" s="332"/>
      <c r="AB1386" s="332"/>
      <c r="AC1386" s="332"/>
      <c r="AD1386" s="332"/>
      <c r="AE1386" s="332"/>
      <c r="AF1386" s="332"/>
      <c r="AG1386" s="332"/>
      <c r="AH1386" s="332"/>
      <c r="AI1386" s="332"/>
      <c r="AJ1386" s="332"/>
      <c r="AK1386" s="332"/>
      <c r="AL1386" s="332"/>
      <c r="AM1386" s="332"/>
      <c r="AN1386" s="332"/>
      <c r="AO1386" s="332"/>
      <c r="AP1386" s="332"/>
      <c r="AQ1386" s="332"/>
      <c r="AR1386" s="332"/>
      <c r="AS1386" s="332"/>
      <c r="AT1386" s="332"/>
      <c r="AU1386" s="332"/>
      <c r="AV1386" s="332"/>
      <c r="AW1386" s="332"/>
      <c r="AX1386" s="332"/>
      <c r="AY1386" s="332"/>
      <c r="AZ1386" s="332"/>
      <c r="BA1386" s="332"/>
      <c r="BB1386" s="332"/>
      <c r="BC1386" s="332"/>
      <c r="BD1386" s="332"/>
      <c r="BE1386" s="332"/>
      <c r="BF1386" s="332"/>
      <c r="BG1386" s="332"/>
      <c r="BH1386" s="332"/>
      <c r="BI1386" s="332"/>
      <c r="BJ1386" s="332"/>
      <c r="BK1386" s="332"/>
      <c r="BL1386" s="332"/>
      <c r="BM1386" s="332"/>
      <c r="BN1386" s="332"/>
      <c r="BO1386" s="332"/>
      <c r="BP1386" s="332"/>
      <c r="BQ1386" s="332"/>
      <c r="BR1386" s="332"/>
      <c r="BS1386" s="332"/>
      <c r="BT1386" s="332"/>
      <c r="BU1386" s="332"/>
      <c r="BV1386" s="332"/>
      <c r="BW1386" s="332"/>
      <c r="BX1386" s="332"/>
      <c r="BY1386" s="332"/>
      <c r="BZ1386" s="332"/>
      <c r="CA1386" s="332"/>
      <c r="CB1386" s="332"/>
      <c r="CC1386" s="332"/>
      <c r="CD1386" s="332"/>
      <c r="CE1386" s="332"/>
      <c r="CF1386" s="332"/>
      <c r="CG1386" s="332"/>
      <c r="CH1386" s="332"/>
      <c r="CI1386" s="332"/>
      <c r="CJ1386" s="332"/>
      <c r="CK1386" s="332"/>
      <c r="CL1386" s="332"/>
      <c r="CM1386" s="332"/>
      <c r="CN1386" s="332"/>
      <c r="CO1386" s="332"/>
      <c r="CP1386" s="332"/>
      <c r="CQ1386" s="332"/>
      <c r="CR1386" s="332"/>
      <c r="CS1386" s="332"/>
      <c r="CT1386" s="332"/>
      <c r="CU1386" s="332"/>
      <c r="CV1386" s="332"/>
      <c r="CW1386" s="332"/>
      <c r="CX1386" s="332"/>
      <c r="CY1386" s="332"/>
      <c r="CZ1386" s="332"/>
      <c r="DA1386" s="332"/>
      <c r="DB1386" s="332"/>
      <c r="DC1386" s="332"/>
      <c r="DD1386" s="332"/>
      <c r="DE1386" s="332"/>
      <c r="DF1386" s="332"/>
      <c r="DG1386" s="332"/>
      <c r="DH1386" s="332"/>
      <c r="DI1386" s="332"/>
      <c r="DJ1386" s="332"/>
      <c r="DK1386" s="332"/>
      <c r="DL1386" s="332"/>
      <c r="DM1386" s="332"/>
      <c r="DN1386" s="332"/>
      <c r="DO1386" s="332"/>
      <c r="DP1386" s="332"/>
      <c r="DQ1386" s="332"/>
      <c r="DR1386" s="332"/>
      <c r="DS1386" s="332"/>
      <c r="DT1386" s="332"/>
      <c r="DU1386" s="453"/>
      <c r="DV1386" s="453"/>
      <c r="DW1386" s="453"/>
      <c r="DX1386" s="453"/>
      <c r="DY1386" s="453"/>
      <c r="DZ1386" s="453"/>
      <c r="EA1386" s="453"/>
      <c r="EB1386" s="453"/>
      <c r="EC1386" s="453"/>
      <c r="ED1386" s="453"/>
      <c r="EE1386" s="453"/>
      <c r="EF1386" s="453"/>
      <c r="EG1386" s="453"/>
      <c r="EH1386" s="453"/>
      <c r="EI1386" s="453"/>
      <c r="EJ1386" s="453"/>
      <c r="EK1386" s="453"/>
      <c r="EL1386" s="453"/>
      <c r="EM1386" s="483">
        <f t="shared" si="264"/>
        <v>1077</v>
      </c>
      <c r="EN1386" s="485"/>
      <c r="EO1386" s="458"/>
      <c r="EP1386" s="467"/>
      <c r="EQ1386" s="457"/>
      <c r="ER1386" s="808"/>
      <c r="ES1386" s="881">
        <f t="shared" si="262"/>
        <v>0</v>
      </c>
      <c r="ET1386" s="882"/>
      <c r="EU1386" s="883"/>
      <c r="EV1386" s="884">
        <f t="shared" si="263"/>
        <v>0</v>
      </c>
      <c r="EW1386" s="885"/>
      <c r="EX1386" s="885"/>
      <c r="EY1386" s="885"/>
      <c r="EZ1386" s="885"/>
      <c r="FA1386" s="885"/>
      <c r="FB1386" s="885"/>
      <c r="FC1386" s="885"/>
      <c r="FD1386" s="886"/>
      <c r="FE1386" s="877"/>
      <c r="FF1386" s="877"/>
      <c r="FG1386" s="877"/>
      <c r="FH1386" s="877"/>
      <c r="FI1386" s="877"/>
      <c r="FJ1386" s="877"/>
      <c r="FK1386" s="877"/>
      <c r="FL1386" s="874"/>
      <c r="FM1386" s="875"/>
      <c r="FN1386" s="875"/>
      <c r="FO1386" s="875"/>
      <c r="FP1386" s="875"/>
      <c r="FQ1386" s="875"/>
      <c r="FR1386" s="875"/>
      <c r="FS1386" s="875"/>
      <c r="FT1386" s="875"/>
      <c r="FU1386" s="875"/>
      <c r="FV1386" s="875"/>
      <c r="FW1386" s="875"/>
      <c r="FX1386" s="875"/>
      <c r="FY1386" s="875"/>
      <c r="FZ1386" s="875"/>
      <c r="GA1386" s="875"/>
      <c r="GB1386" s="876"/>
      <c r="GC1386" s="370"/>
      <c r="GD1386" s="453"/>
      <c r="GE1386" s="453"/>
      <c r="GF1386" s="453"/>
      <c r="GG1386" s="453"/>
      <c r="GH1386" s="454"/>
      <c r="GI1386" s="453"/>
      <c r="GJ1386" s="453"/>
      <c r="GK1386" s="453"/>
      <c r="GL1386" s="453"/>
      <c r="GM1386" s="453"/>
      <c r="GN1386" s="453"/>
      <c r="GO1386" s="453"/>
      <c r="GP1386" s="453"/>
      <c r="GQ1386" s="453"/>
      <c r="GR1386" s="453"/>
      <c r="GS1386" s="561"/>
      <c r="GT1386" s="475"/>
      <c r="GU1386" s="472"/>
      <c r="GV1386" s="453"/>
      <c r="GW1386" s="453"/>
      <c r="GX1386" s="869"/>
      <c r="GY1386" s="870"/>
      <c r="GZ1386" s="867"/>
      <c r="HA1386" s="868"/>
      <c r="HB1386" s="473"/>
      <c r="HC1386" s="869"/>
      <c r="HD1386" s="870"/>
      <c r="HE1386" s="867"/>
      <c r="HF1386" s="868"/>
      <c r="HG1386" s="473"/>
      <c r="HH1386" s="867"/>
      <c r="HI1386" s="868"/>
      <c r="HJ1386" s="867"/>
      <c r="HK1386" s="868"/>
      <c r="HL1386" s="370"/>
      <c r="HM1386" s="865"/>
      <c r="HN1386" s="866"/>
      <c r="HO1386" s="865"/>
      <c r="HP1386" s="866"/>
      <c r="HQ1386" s="865"/>
      <c r="HR1386" s="866"/>
      <c r="HS1386" s="867"/>
      <c r="HT1386" s="868"/>
      <c r="HU1386" s="489"/>
      <c r="HV1386" s="865"/>
      <c r="HW1386" s="866"/>
    </row>
    <row r="1387" spans="25:231" ht="15" customHeight="1">
      <c r="Y1387" s="332"/>
      <c r="Z1387" s="332"/>
      <c r="AA1387" s="332"/>
      <c r="AB1387" s="332"/>
      <c r="AC1387" s="332"/>
      <c r="AD1387" s="332"/>
      <c r="AE1387" s="332"/>
      <c r="AF1387" s="332"/>
      <c r="AG1387" s="332"/>
      <c r="AH1387" s="332"/>
      <c r="AI1387" s="332"/>
      <c r="AJ1387" s="332"/>
      <c r="AK1387" s="332"/>
      <c r="AL1387" s="332"/>
      <c r="AM1387" s="332"/>
      <c r="AN1387" s="332"/>
      <c r="AO1387" s="332"/>
      <c r="AP1387" s="332"/>
      <c r="AQ1387" s="332"/>
      <c r="AR1387" s="332"/>
      <c r="AS1387" s="332"/>
      <c r="AT1387" s="332"/>
      <c r="AU1387" s="332"/>
      <c r="AV1387" s="332"/>
      <c r="AW1387" s="332"/>
      <c r="AX1387" s="332"/>
      <c r="AY1387" s="332"/>
      <c r="AZ1387" s="332"/>
      <c r="BA1387" s="332"/>
      <c r="BB1387" s="332"/>
      <c r="BC1387" s="332"/>
      <c r="BD1387" s="332"/>
      <c r="BE1387" s="332"/>
      <c r="BF1387" s="332"/>
      <c r="BG1387" s="332"/>
      <c r="BH1387" s="332"/>
      <c r="BI1387" s="332"/>
      <c r="BJ1387" s="332"/>
      <c r="BK1387" s="332"/>
      <c r="BL1387" s="332"/>
      <c r="BM1387" s="332"/>
      <c r="BN1387" s="332"/>
      <c r="BO1387" s="332"/>
      <c r="BP1387" s="332"/>
      <c r="BQ1387" s="332"/>
      <c r="BR1387" s="332"/>
      <c r="BS1387" s="332"/>
      <c r="BT1387" s="332"/>
      <c r="BU1387" s="332"/>
      <c r="BV1387" s="332"/>
      <c r="BW1387" s="332"/>
      <c r="BX1387" s="332"/>
      <c r="BY1387" s="332"/>
      <c r="BZ1387" s="332"/>
      <c r="CA1387" s="332"/>
      <c r="CB1387" s="332"/>
      <c r="CC1387" s="332"/>
      <c r="CD1387" s="332"/>
      <c r="CE1387" s="332"/>
      <c r="CF1387" s="332"/>
      <c r="CG1387" s="332"/>
      <c r="CH1387" s="332"/>
      <c r="CI1387" s="332"/>
      <c r="CJ1387" s="332"/>
      <c r="CK1387" s="332"/>
      <c r="CL1387" s="332"/>
      <c r="CM1387" s="332"/>
      <c r="CN1387" s="332"/>
      <c r="CO1387" s="332"/>
      <c r="CP1387" s="332"/>
      <c r="CQ1387" s="332"/>
      <c r="CR1387" s="332"/>
      <c r="CS1387" s="332"/>
      <c r="CT1387" s="332"/>
      <c r="CU1387" s="332"/>
      <c r="CV1387" s="332"/>
      <c r="CW1387" s="332"/>
      <c r="CX1387" s="332"/>
      <c r="CY1387" s="332"/>
      <c r="CZ1387" s="332"/>
      <c r="DA1387" s="332"/>
      <c r="DB1387" s="332"/>
      <c r="DC1387" s="332"/>
      <c r="DD1387" s="332"/>
      <c r="DE1387" s="332"/>
      <c r="DF1387" s="332"/>
      <c r="DG1387" s="332"/>
      <c r="DH1387" s="332"/>
      <c r="DI1387" s="332"/>
      <c r="DJ1387" s="332"/>
      <c r="DK1387" s="332"/>
      <c r="DL1387" s="332"/>
      <c r="DM1387" s="332"/>
      <c r="DN1387" s="332"/>
      <c r="DO1387" s="332"/>
      <c r="DP1387" s="332"/>
      <c r="DQ1387" s="332"/>
      <c r="DR1387" s="332"/>
      <c r="DS1387" s="332"/>
      <c r="DT1387" s="332"/>
      <c r="DU1387" s="453"/>
      <c r="DV1387" s="453"/>
      <c r="DW1387" s="453"/>
      <c r="DX1387" s="453"/>
      <c r="DY1387" s="453"/>
      <c r="DZ1387" s="453"/>
      <c r="EA1387" s="453"/>
      <c r="EB1387" s="453"/>
      <c r="EC1387" s="453"/>
      <c r="ED1387" s="453"/>
      <c r="EE1387" s="453"/>
      <c r="EF1387" s="453"/>
      <c r="EG1387" s="453"/>
      <c r="EH1387" s="453"/>
      <c r="EI1387" s="453"/>
      <c r="EJ1387" s="453"/>
      <c r="EK1387" s="453"/>
      <c r="EL1387" s="453"/>
      <c r="EM1387" s="483">
        <f t="shared" si="264"/>
        <v>1078</v>
      </c>
      <c r="EN1387" s="485"/>
      <c r="EO1387" s="458"/>
      <c r="EP1387" s="467"/>
      <c r="EQ1387" s="457"/>
      <c r="ER1387" s="808"/>
      <c r="ES1387" s="881">
        <f t="shared" si="262"/>
        <v>0</v>
      </c>
      <c r="ET1387" s="882"/>
      <c r="EU1387" s="883"/>
      <c r="EV1387" s="884">
        <f t="shared" si="263"/>
        <v>0</v>
      </c>
      <c r="EW1387" s="885"/>
      <c r="EX1387" s="885"/>
      <c r="EY1387" s="885"/>
      <c r="EZ1387" s="885"/>
      <c r="FA1387" s="885"/>
      <c r="FB1387" s="885"/>
      <c r="FC1387" s="885"/>
      <c r="FD1387" s="886"/>
      <c r="FE1387" s="877"/>
      <c r="FF1387" s="877"/>
      <c r="FG1387" s="877"/>
      <c r="FH1387" s="877"/>
      <c r="FI1387" s="877"/>
      <c r="FJ1387" s="877"/>
      <c r="FK1387" s="877"/>
      <c r="FL1387" s="874"/>
      <c r="FM1387" s="875"/>
      <c r="FN1387" s="875"/>
      <c r="FO1387" s="875"/>
      <c r="FP1387" s="875"/>
      <c r="FQ1387" s="875"/>
      <c r="FR1387" s="875"/>
      <c r="FS1387" s="875"/>
      <c r="FT1387" s="875"/>
      <c r="FU1387" s="875"/>
      <c r="FV1387" s="875"/>
      <c r="FW1387" s="875"/>
      <c r="FX1387" s="875"/>
      <c r="FY1387" s="875"/>
      <c r="FZ1387" s="875"/>
      <c r="GA1387" s="875"/>
      <c r="GB1387" s="876"/>
      <c r="GC1387" s="370"/>
      <c r="GD1387" s="453"/>
      <c r="GE1387" s="453"/>
      <c r="GF1387" s="453"/>
      <c r="GG1387" s="453"/>
      <c r="GH1387" s="454"/>
      <c r="GI1387" s="453"/>
      <c r="GJ1387" s="453"/>
      <c r="GK1387" s="453"/>
      <c r="GL1387" s="453"/>
      <c r="GM1387" s="453"/>
      <c r="GN1387" s="453"/>
      <c r="GO1387" s="453"/>
      <c r="GP1387" s="453"/>
      <c r="GQ1387" s="453"/>
      <c r="GR1387" s="453"/>
      <c r="GS1387" s="561"/>
      <c r="GT1387" s="475"/>
      <c r="GU1387" s="472"/>
      <c r="GV1387" s="453"/>
      <c r="GW1387" s="453"/>
      <c r="GX1387" s="869"/>
      <c r="GY1387" s="870"/>
      <c r="GZ1387" s="867"/>
      <c r="HA1387" s="868"/>
      <c r="HB1387" s="473"/>
      <c r="HC1387" s="869"/>
      <c r="HD1387" s="870"/>
      <c r="HE1387" s="867"/>
      <c r="HF1387" s="868"/>
      <c r="HG1387" s="473"/>
      <c r="HH1387" s="867"/>
      <c r="HI1387" s="868"/>
      <c r="HJ1387" s="867"/>
      <c r="HK1387" s="868"/>
      <c r="HL1387" s="370"/>
      <c r="HM1387" s="865"/>
      <c r="HN1387" s="866"/>
      <c r="HO1387" s="865"/>
      <c r="HP1387" s="866"/>
      <c r="HQ1387" s="865"/>
      <c r="HR1387" s="866"/>
      <c r="HS1387" s="867"/>
      <c r="HT1387" s="868"/>
      <c r="HU1387" s="489"/>
      <c r="HV1387" s="865"/>
      <c r="HW1387" s="866"/>
    </row>
    <row r="1388" spans="25:231" ht="15" customHeight="1">
      <c r="Y1388" s="332"/>
      <c r="Z1388" s="332"/>
      <c r="AA1388" s="332"/>
      <c r="AB1388" s="332"/>
      <c r="AC1388" s="332"/>
      <c r="AD1388" s="332"/>
      <c r="AE1388" s="332"/>
      <c r="AF1388" s="332"/>
      <c r="AG1388" s="332"/>
      <c r="AH1388" s="332"/>
      <c r="AI1388" s="332"/>
      <c r="AJ1388" s="332"/>
      <c r="AK1388" s="332"/>
      <c r="AL1388" s="332"/>
      <c r="AM1388" s="332"/>
      <c r="AN1388" s="332"/>
      <c r="AO1388" s="332"/>
      <c r="AP1388" s="332"/>
      <c r="AQ1388" s="332"/>
      <c r="AR1388" s="332"/>
      <c r="AS1388" s="332"/>
      <c r="AT1388" s="332"/>
      <c r="AU1388" s="332"/>
      <c r="AV1388" s="332"/>
      <c r="AW1388" s="332"/>
      <c r="AX1388" s="332"/>
      <c r="AY1388" s="332"/>
      <c r="AZ1388" s="332"/>
      <c r="BA1388" s="332"/>
      <c r="BB1388" s="332"/>
      <c r="BC1388" s="332"/>
      <c r="BD1388" s="332"/>
      <c r="BE1388" s="332"/>
      <c r="BF1388" s="332"/>
      <c r="BG1388" s="332"/>
      <c r="BH1388" s="332"/>
      <c r="BI1388" s="332"/>
      <c r="BJ1388" s="332"/>
      <c r="BK1388" s="332"/>
      <c r="BL1388" s="332"/>
      <c r="BM1388" s="332"/>
      <c r="BN1388" s="332"/>
      <c r="BO1388" s="332"/>
      <c r="BP1388" s="332"/>
      <c r="BQ1388" s="332"/>
      <c r="BR1388" s="332"/>
      <c r="BS1388" s="332"/>
      <c r="BT1388" s="332"/>
      <c r="BU1388" s="332"/>
      <c r="BV1388" s="332"/>
      <c r="BW1388" s="332"/>
      <c r="BX1388" s="332"/>
      <c r="BY1388" s="332"/>
      <c r="BZ1388" s="332"/>
      <c r="CA1388" s="332"/>
      <c r="CB1388" s="332"/>
      <c r="CC1388" s="332"/>
      <c r="CD1388" s="332"/>
      <c r="CE1388" s="332"/>
      <c r="CF1388" s="332"/>
      <c r="CG1388" s="332"/>
      <c r="CH1388" s="332"/>
      <c r="CI1388" s="332"/>
      <c r="CJ1388" s="332"/>
      <c r="CK1388" s="332"/>
      <c r="CL1388" s="332"/>
      <c r="CM1388" s="332"/>
      <c r="CN1388" s="332"/>
      <c r="CO1388" s="332"/>
      <c r="CP1388" s="332"/>
      <c r="CQ1388" s="332"/>
      <c r="CR1388" s="332"/>
      <c r="CS1388" s="332"/>
      <c r="CT1388" s="332"/>
      <c r="CU1388" s="332"/>
      <c r="CV1388" s="332"/>
      <c r="CW1388" s="332"/>
      <c r="CX1388" s="332"/>
      <c r="CY1388" s="332"/>
      <c r="CZ1388" s="332"/>
      <c r="DA1388" s="332"/>
      <c r="DB1388" s="332"/>
      <c r="DC1388" s="332"/>
      <c r="DD1388" s="332"/>
      <c r="DE1388" s="332"/>
      <c r="DF1388" s="332"/>
      <c r="DG1388" s="332"/>
      <c r="DH1388" s="332"/>
      <c r="DI1388" s="332"/>
      <c r="DJ1388" s="332"/>
      <c r="DK1388" s="332"/>
      <c r="DL1388" s="332"/>
      <c r="DM1388" s="332"/>
      <c r="DN1388" s="332"/>
      <c r="DO1388" s="332"/>
      <c r="DP1388" s="332"/>
      <c r="DQ1388" s="332"/>
      <c r="DR1388" s="332"/>
      <c r="DS1388" s="332"/>
      <c r="DT1388" s="332"/>
      <c r="DU1388" s="453"/>
      <c r="DV1388" s="453"/>
      <c r="DW1388" s="453"/>
      <c r="DX1388" s="453"/>
      <c r="DY1388" s="453"/>
      <c r="DZ1388" s="453"/>
      <c r="EA1388" s="453"/>
      <c r="EB1388" s="453"/>
      <c r="EC1388" s="453"/>
      <c r="ED1388" s="453"/>
      <c r="EE1388" s="453"/>
      <c r="EF1388" s="453"/>
      <c r="EG1388" s="453"/>
      <c r="EH1388" s="453"/>
      <c r="EI1388" s="453"/>
      <c r="EJ1388" s="453"/>
      <c r="EK1388" s="453"/>
      <c r="EL1388" s="453"/>
      <c r="EM1388" s="483">
        <f t="shared" si="264"/>
        <v>1079</v>
      </c>
      <c r="EN1388" s="485"/>
      <c r="EO1388" s="458"/>
      <c r="EP1388" s="467"/>
      <c r="EQ1388" s="457"/>
      <c r="ER1388" s="808"/>
      <c r="ES1388" s="881">
        <f t="shared" si="262"/>
        <v>0</v>
      </c>
      <c r="ET1388" s="882"/>
      <c r="EU1388" s="883"/>
      <c r="EV1388" s="884">
        <f t="shared" si="263"/>
        <v>0</v>
      </c>
      <c r="EW1388" s="885"/>
      <c r="EX1388" s="885"/>
      <c r="EY1388" s="885"/>
      <c r="EZ1388" s="885"/>
      <c r="FA1388" s="885"/>
      <c r="FB1388" s="885"/>
      <c r="FC1388" s="885"/>
      <c r="FD1388" s="886"/>
      <c r="FE1388" s="877"/>
      <c r="FF1388" s="877"/>
      <c r="FG1388" s="877"/>
      <c r="FH1388" s="877"/>
      <c r="FI1388" s="877"/>
      <c r="FJ1388" s="877"/>
      <c r="FK1388" s="877"/>
      <c r="FL1388" s="874"/>
      <c r="FM1388" s="875"/>
      <c r="FN1388" s="875"/>
      <c r="FO1388" s="875"/>
      <c r="FP1388" s="875"/>
      <c r="FQ1388" s="875"/>
      <c r="FR1388" s="875"/>
      <c r="FS1388" s="875"/>
      <c r="FT1388" s="875"/>
      <c r="FU1388" s="875"/>
      <c r="FV1388" s="875"/>
      <c r="FW1388" s="875"/>
      <c r="FX1388" s="875"/>
      <c r="FY1388" s="875"/>
      <c r="FZ1388" s="875"/>
      <c r="GA1388" s="875"/>
      <c r="GB1388" s="876"/>
      <c r="GC1388" s="370"/>
      <c r="GD1388" s="453"/>
      <c r="GE1388" s="453"/>
      <c r="GF1388" s="453"/>
      <c r="GG1388" s="453"/>
      <c r="GH1388" s="454"/>
      <c r="GI1388" s="453"/>
      <c r="GJ1388" s="453"/>
      <c r="GK1388" s="453"/>
      <c r="GL1388" s="453"/>
      <c r="GM1388" s="453"/>
      <c r="GN1388" s="453"/>
      <c r="GO1388" s="453"/>
      <c r="GP1388" s="453"/>
      <c r="GQ1388" s="453"/>
      <c r="GR1388" s="453"/>
      <c r="GS1388" s="561"/>
      <c r="GT1388" s="475"/>
      <c r="GU1388" s="472"/>
      <c r="GV1388" s="453"/>
      <c r="GW1388" s="453"/>
      <c r="GX1388" s="869"/>
      <c r="GY1388" s="870"/>
      <c r="GZ1388" s="867"/>
      <c r="HA1388" s="868"/>
      <c r="HB1388" s="473"/>
      <c r="HC1388" s="869"/>
      <c r="HD1388" s="870"/>
      <c r="HE1388" s="867"/>
      <c r="HF1388" s="868"/>
      <c r="HG1388" s="473"/>
      <c r="HH1388" s="867"/>
      <c r="HI1388" s="868"/>
      <c r="HJ1388" s="867"/>
      <c r="HK1388" s="868"/>
      <c r="HL1388" s="370"/>
      <c r="HM1388" s="865"/>
      <c r="HN1388" s="866"/>
      <c r="HO1388" s="865"/>
      <c r="HP1388" s="866"/>
      <c r="HQ1388" s="865"/>
      <c r="HR1388" s="866"/>
      <c r="HS1388" s="867"/>
      <c r="HT1388" s="868"/>
      <c r="HU1388" s="489"/>
      <c r="HV1388" s="865"/>
      <c r="HW1388" s="866"/>
    </row>
    <row r="1389" spans="25:231" ht="15" customHeight="1">
      <c r="Y1389" s="332"/>
      <c r="Z1389" s="332"/>
      <c r="AA1389" s="332"/>
      <c r="AB1389" s="332"/>
      <c r="AC1389" s="332"/>
      <c r="AD1389" s="332"/>
      <c r="AE1389" s="332"/>
      <c r="AF1389" s="332"/>
      <c r="AG1389" s="332"/>
      <c r="AH1389" s="332"/>
      <c r="AI1389" s="332"/>
      <c r="AJ1389" s="332"/>
      <c r="AK1389" s="332"/>
      <c r="AL1389" s="332"/>
      <c r="AM1389" s="332"/>
      <c r="AN1389" s="332"/>
      <c r="AO1389" s="332"/>
      <c r="AP1389" s="332"/>
      <c r="AQ1389" s="332"/>
      <c r="AR1389" s="332"/>
      <c r="AS1389" s="332"/>
      <c r="AT1389" s="332"/>
      <c r="AU1389" s="332"/>
      <c r="AV1389" s="332"/>
      <c r="AW1389" s="332"/>
      <c r="AX1389" s="332"/>
      <c r="AY1389" s="332"/>
      <c r="AZ1389" s="332"/>
      <c r="BA1389" s="332"/>
      <c r="BB1389" s="332"/>
      <c r="BC1389" s="332"/>
      <c r="BD1389" s="332"/>
      <c r="BE1389" s="332"/>
      <c r="BF1389" s="332"/>
      <c r="BG1389" s="332"/>
      <c r="BH1389" s="332"/>
      <c r="BI1389" s="332"/>
      <c r="BJ1389" s="332"/>
      <c r="BK1389" s="332"/>
      <c r="BL1389" s="332"/>
      <c r="BM1389" s="332"/>
      <c r="BN1389" s="332"/>
      <c r="BO1389" s="332"/>
      <c r="BP1389" s="332"/>
      <c r="BQ1389" s="332"/>
      <c r="BR1389" s="332"/>
      <c r="BS1389" s="332"/>
      <c r="BT1389" s="332"/>
      <c r="BU1389" s="332"/>
      <c r="BV1389" s="332"/>
      <c r="BW1389" s="332"/>
      <c r="BX1389" s="332"/>
      <c r="BY1389" s="332"/>
      <c r="BZ1389" s="332"/>
      <c r="CA1389" s="332"/>
      <c r="CB1389" s="332"/>
      <c r="CC1389" s="332"/>
      <c r="CD1389" s="332"/>
      <c r="CE1389" s="332"/>
      <c r="CF1389" s="332"/>
      <c r="CG1389" s="332"/>
      <c r="CH1389" s="332"/>
      <c r="CI1389" s="332"/>
      <c r="CJ1389" s="332"/>
      <c r="CK1389" s="332"/>
      <c r="CL1389" s="332"/>
      <c r="CM1389" s="332"/>
      <c r="CN1389" s="332"/>
      <c r="CO1389" s="332"/>
      <c r="CP1389" s="332"/>
      <c r="CQ1389" s="332"/>
      <c r="CR1389" s="332"/>
      <c r="CS1389" s="332"/>
      <c r="CT1389" s="332"/>
      <c r="CU1389" s="332"/>
      <c r="CV1389" s="332"/>
      <c r="CW1389" s="332"/>
      <c r="CX1389" s="332"/>
      <c r="CY1389" s="332"/>
      <c r="CZ1389" s="332"/>
      <c r="DA1389" s="332"/>
      <c r="DB1389" s="332"/>
      <c r="DC1389" s="332"/>
      <c r="DD1389" s="332"/>
      <c r="DE1389" s="332"/>
      <c r="DF1389" s="332"/>
      <c r="DG1389" s="332"/>
      <c r="DH1389" s="332"/>
      <c r="DI1389" s="332"/>
      <c r="DJ1389" s="332"/>
      <c r="DK1389" s="332"/>
      <c r="DL1389" s="332"/>
      <c r="DM1389" s="332"/>
      <c r="DN1389" s="332"/>
      <c r="DO1389" s="332"/>
      <c r="DP1389" s="332"/>
      <c r="DQ1389" s="332"/>
      <c r="DR1389" s="332"/>
      <c r="DS1389" s="332"/>
      <c r="DT1389" s="332"/>
      <c r="DU1389" s="453"/>
      <c r="DV1389" s="453"/>
      <c r="DW1389" s="453"/>
      <c r="DX1389" s="453"/>
      <c r="DY1389" s="453"/>
      <c r="DZ1389" s="453"/>
      <c r="EA1389" s="453"/>
      <c r="EB1389" s="453"/>
      <c r="EC1389" s="453"/>
      <c r="ED1389" s="453"/>
      <c r="EE1389" s="453"/>
      <c r="EF1389" s="453"/>
      <c r="EG1389" s="453"/>
      <c r="EH1389" s="453"/>
      <c r="EI1389" s="453"/>
      <c r="EJ1389" s="453"/>
      <c r="EK1389" s="453"/>
      <c r="EL1389" s="453"/>
      <c r="EM1389" s="483">
        <f t="shared" si="264"/>
        <v>1080</v>
      </c>
      <c r="EN1389" s="485"/>
      <c r="EO1389" s="458"/>
      <c r="EP1389" s="467"/>
      <c r="EQ1389" s="457"/>
      <c r="ER1389" s="808"/>
      <c r="ES1389" s="881">
        <f t="shared" si="262"/>
        <v>0</v>
      </c>
      <c r="ET1389" s="882"/>
      <c r="EU1389" s="883"/>
      <c r="EV1389" s="884">
        <f t="shared" si="263"/>
        <v>0</v>
      </c>
      <c r="EW1389" s="885"/>
      <c r="EX1389" s="885"/>
      <c r="EY1389" s="885"/>
      <c r="EZ1389" s="885"/>
      <c r="FA1389" s="885"/>
      <c r="FB1389" s="885"/>
      <c r="FC1389" s="885"/>
      <c r="FD1389" s="886"/>
      <c r="FE1389" s="877"/>
      <c r="FF1389" s="877"/>
      <c r="FG1389" s="877"/>
      <c r="FH1389" s="877"/>
      <c r="FI1389" s="877"/>
      <c r="FJ1389" s="877"/>
      <c r="FK1389" s="877"/>
      <c r="FL1389" s="874"/>
      <c r="FM1389" s="875"/>
      <c r="FN1389" s="875"/>
      <c r="FO1389" s="875"/>
      <c r="FP1389" s="875"/>
      <c r="FQ1389" s="875"/>
      <c r="FR1389" s="875"/>
      <c r="FS1389" s="875"/>
      <c r="FT1389" s="875"/>
      <c r="FU1389" s="875"/>
      <c r="FV1389" s="875"/>
      <c r="FW1389" s="875"/>
      <c r="FX1389" s="875"/>
      <c r="FY1389" s="875"/>
      <c r="FZ1389" s="875"/>
      <c r="GA1389" s="875"/>
      <c r="GB1389" s="876"/>
      <c r="GC1389" s="370"/>
      <c r="GD1389" s="453"/>
      <c r="GE1389" s="453"/>
      <c r="GF1389" s="453"/>
      <c r="GG1389" s="453"/>
      <c r="GH1389" s="454"/>
      <c r="GI1389" s="453"/>
      <c r="GJ1389" s="453"/>
      <c r="GK1389" s="453"/>
      <c r="GL1389" s="453"/>
      <c r="GM1389" s="453"/>
      <c r="GN1389" s="453"/>
      <c r="GO1389" s="453"/>
      <c r="GP1389" s="453"/>
      <c r="GQ1389" s="453"/>
      <c r="GR1389" s="453"/>
      <c r="GS1389" s="561"/>
      <c r="GT1389" s="475"/>
      <c r="GU1389" s="472"/>
      <c r="GV1389" s="453"/>
      <c r="GW1389" s="453"/>
      <c r="GX1389" s="869"/>
      <c r="GY1389" s="870"/>
      <c r="GZ1389" s="867"/>
      <c r="HA1389" s="868"/>
      <c r="HB1389" s="473"/>
      <c r="HC1389" s="869"/>
      <c r="HD1389" s="870"/>
      <c r="HE1389" s="867"/>
      <c r="HF1389" s="868"/>
      <c r="HG1389" s="473"/>
      <c r="HH1389" s="867"/>
      <c r="HI1389" s="868"/>
      <c r="HJ1389" s="867"/>
      <c r="HK1389" s="868"/>
      <c r="HL1389" s="370"/>
      <c r="HM1389" s="865"/>
      <c r="HN1389" s="866"/>
      <c r="HO1389" s="865"/>
      <c r="HP1389" s="866"/>
      <c r="HQ1389" s="865"/>
      <c r="HR1389" s="866"/>
      <c r="HS1389" s="867"/>
      <c r="HT1389" s="868"/>
      <c r="HU1389" s="489"/>
      <c r="HV1389" s="865"/>
      <c r="HW1389" s="866"/>
    </row>
    <row r="1390" spans="25:231" ht="15" customHeight="1">
      <c r="Y1390" s="332"/>
      <c r="Z1390" s="332"/>
      <c r="AA1390" s="332"/>
      <c r="AB1390" s="332"/>
      <c r="AC1390" s="332"/>
      <c r="AD1390" s="332"/>
      <c r="AE1390" s="332"/>
      <c r="AF1390" s="332"/>
      <c r="AG1390" s="332"/>
      <c r="AH1390" s="332"/>
      <c r="AI1390" s="332"/>
      <c r="AJ1390" s="332"/>
      <c r="AK1390" s="332"/>
      <c r="AL1390" s="332"/>
      <c r="AM1390" s="332"/>
      <c r="AN1390" s="332"/>
      <c r="AO1390" s="332"/>
      <c r="AP1390" s="332"/>
      <c r="AQ1390" s="332"/>
      <c r="AR1390" s="332"/>
      <c r="AS1390" s="332"/>
      <c r="AT1390" s="332"/>
      <c r="AU1390" s="332"/>
      <c r="AV1390" s="332"/>
      <c r="AW1390" s="332"/>
      <c r="AX1390" s="332"/>
      <c r="AY1390" s="332"/>
      <c r="AZ1390" s="332"/>
      <c r="BA1390" s="332"/>
      <c r="BB1390" s="332"/>
      <c r="BC1390" s="332"/>
      <c r="BD1390" s="332"/>
      <c r="BE1390" s="332"/>
      <c r="BF1390" s="332"/>
      <c r="BG1390" s="332"/>
      <c r="BH1390" s="332"/>
      <c r="BI1390" s="332"/>
      <c r="BJ1390" s="332"/>
      <c r="BK1390" s="332"/>
      <c r="BL1390" s="332"/>
      <c r="BM1390" s="332"/>
      <c r="BN1390" s="332"/>
      <c r="BO1390" s="332"/>
      <c r="BP1390" s="332"/>
      <c r="BQ1390" s="332"/>
      <c r="BR1390" s="332"/>
      <c r="BS1390" s="332"/>
      <c r="BT1390" s="332"/>
      <c r="BU1390" s="332"/>
      <c r="BV1390" s="332"/>
      <c r="BW1390" s="332"/>
      <c r="BX1390" s="332"/>
      <c r="BY1390" s="332"/>
      <c r="BZ1390" s="332"/>
      <c r="CA1390" s="332"/>
      <c r="CB1390" s="332"/>
      <c r="CC1390" s="332"/>
      <c r="CD1390" s="332"/>
      <c r="CE1390" s="332"/>
      <c r="CF1390" s="332"/>
      <c r="CG1390" s="332"/>
      <c r="CH1390" s="332"/>
      <c r="CI1390" s="332"/>
      <c r="CJ1390" s="332"/>
      <c r="CK1390" s="332"/>
      <c r="CL1390" s="332"/>
      <c r="CM1390" s="332"/>
      <c r="CN1390" s="332"/>
      <c r="CO1390" s="332"/>
      <c r="CP1390" s="332"/>
      <c r="CQ1390" s="332"/>
      <c r="CR1390" s="332"/>
      <c r="CS1390" s="332"/>
      <c r="CT1390" s="332"/>
      <c r="CU1390" s="332"/>
      <c r="CV1390" s="332"/>
      <c r="CW1390" s="332"/>
      <c r="CX1390" s="332"/>
      <c r="CY1390" s="332"/>
      <c r="CZ1390" s="332"/>
      <c r="DA1390" s="332"/>
      <c r="DB1390" s="332"/>
      <c r="DC1390" s="332"/>
      <c r="DD1390" s="332"/>
      <c r="DE1390" s="332"/>
      <c r="DF1390" s="332"/>
      <c r="DG1390" s="332"/>
      <c r="DH1390" s="332"/>
      <c r="DI1390" s="332"/>
      <c r="DJ1390" s="332"/>
      <c r="DK1390" s="332"/>
      <c r="DL1390" s="332"/>
      <c r="DM1390" s="332"/>
      <c r="DN1390" s="332"/>
      <c r="DO1390" s="332"/>
      <c r="DP1390" s="332"/>
      <c r="DQ1390" s="332"/>
      <c r="DR1390" s="332"/>
      <c r="DS1390" s="332"/>
      <c r="DT1390" s="332"/>
      <c r="DU1390" s="453"/>
      <c r="DV1390" s="453"/>
      <c r="DW1390" s="453"/>
      <c r="DX1390" s="453"/>
      <c r="DY1390" s="453"/>
      <c r="DZ1390" s="453"/>
      <c r="EA1390" s="453"/>
      <c r="EB1390" s="453"/>
      <c r="EC1390" s="453"/>
      <c r="ED1390" s="453"/>
      <c r="EE1390" s="453"/>
      <c r="EF1390" s="453"/>
      <c r="EG1390" s="453"/>
      <c r="EH1390" s="453"/>
      <c r="EI1390" s="453"/>
      <c r="EJ1390" s="453"/>
      <c r="EK1390" s="453"/>
      <c r="EL1390" s="453"/>
      <c r="EM1390" s="483">
        <f t="shared" si="264"/>
        <v>1081</v>
      </c>
      <c r="EN1390" s="485"/>
      <c r="EO1390" s="458"/>
      <c r="EP1390" s="467"/>
      <c r="EQ1390" s="457"/>
      <c r="ER1390" s="808"/>
      <c r="ES1390" s="881">
        <f t="shared" si="262"/>
        <v>0</v>
      </c>
      <c r="ET1390" s="882"/>
      <c r="EU1390" s="883"/>
      <c r="EV1390" s="884">
        <f t="shared" si="263"/>
        <v>0</v>
      </c>
      <c r="EW1390" s="885"/>
      <c r="EX1390" s="885"/>
      <c r="EY1390" s="885"/>
      <c r="EZ1390" s="885"/>
      <c r="FA1390" s="885"/>
      <c r="FB1390" s="885"/>
      <c r="FC1390" s="885"/>
      <c r="FD1390" s="886"/>
      <c r="FE1390" s="877"/>
      <c r="FF1390" s="877"/>
      <c r="FG1390" s="877"/>
      <c r="FH1390" s="877"/>
      <c r="FI1390" s="877"/>
      <c r="FJ1390" s="877"/>
      <c r="FK1390" s="877"/>
      <c r="FL1390" s="874"/>
      <c r="FM1390" s="875"/>
      <c r="FN1390" s="875"/>
      <c r="FO1390" s="875"/>
      <c r="FP1390" s="875"/>
      <c r="FQ1390" s="875"/>
      <c r="FR1390" s="875"/>
      <c r="FS1390" s="875"/>
      <c r="FT1390" s="875"/>
      <c r="FU1390" s="875"/>
      <c r="FV1390" s="875"/>
      <c r="FW1390" s="875"/>
      <c r="FX1390" s="875"/>
      <c r="FY1390" s="875"/>
      <c r="FZ1390" s="875"/>
      <c r="GA1390" s="875"/>
      <c r="GB1390" s="876"/>
      <c r="GC1390" s="370"/>
      <c r="GD1390" s="453"/>
      <c r="GE1390" s="453"/>
      <c r="GF1390" s="453"/>
      <c r="GG1390" s="453"/>
      <c r="GH1390" s="454"/>
      <c r="GI1390" s="453"/>
      <c r="GJ1390" s="453"/>
      <c r="GK1390" s="453"/>
      <c r="GL1390" s="453"/>
      <c r="GM1390" s="453"/>
      <c r="GN1390" s="453"/>
      <c r="GO1390" s="453"/>
      <c r="GP1390" s="453"/>
      <c r="GQ1390" s="453"/>
      <c r="GR1390" s="453"/>
      <c r="GS1390" s="561"/>
      <c r="GT1390" s="475"/>
      <c r="GU1390" s="472"/>
      <c r="GV1390" s="453"/>
      <c r="GW1390" s="453"/>
      <c r="GX1390" s="869"/>
      <c r="GY1390" s="870"/>
      <c r="GZ1390" s="867"/>
      <c r="HA1390" s="868"/>
      <c r="HB1390" s="473"/>
      <c r="HC1390" s="869"/>
      <c r="HD1390" s="870"/>
      <c r="HE1390" s="867"/>
      <c r="HF1390" s="868"/>
      <c r="HG1390" s="473"/>
      <c r="HH1390" s="867"/>
      <c r="HI1390" s="868"/>
      <c r="HJ1390" s="867"/>
      <c r="HK1390" s="868"/>
      <c r="HL1390" s="370"/>
      <c r="HM1390" s="865"/>
      <c r="HN1390" s="866"/>
      <c r="HO1390" s="865"/>
      <c r="HP1390" s="866"/>
      <c r="HQ1390" s="865"/>
      <c r="HR1390" s="866"/>
      <c r="HS1390" s="867"/>
      <c r="HT1390" s="868"/>
      <c r="HU1390" s="489"/>
      <c r="HV1390" s="865"/>
      <c r="HW1390" s="866"/>
    </row>
    <row r="1391" spans="25:231" ht="15" customHeight="1">
      <c r="Y1391" s="332"/>
      <c r="Z1391" s="332"/>
      <c r="AA1391" s="332"/>
      <c r="AB1391" s="332"/>
      <c r="AC1391" s="332"/>
      <c r="AD1391" s="332"/>
      <c r="AE1391" s="332"/>
      <c r="AF1391" s="332"/>
      <c r="AG1391" s="332"/>
      <c r="AH1391" s="332"/>
      <c r="AI1391" s="332"/>
      <c r="AJ1391" s="332"/>
      <c r="AK1391" s="332"/>
      <c r="AL1391" s="332"/>
      <c r="AM1391" s="332"/>
      <c r="AN1391" s="332"/>
      <c r="AO1391" s="332"/>
      <c r="AP1391" s="332"/>
      <c r="AQ1391" s="332"/>
      <c r="AR1391" s="332"/>
      <c r="AS1391" s="332"/>
      <c r="AT1391" s="332"/>
      <c r="AU1391" s="332"/>
      <c r="AV1391" s="332"/>
      <c r="AW1391" s="332"/>
      <c r="AX1391" s="332"/>
      <c r="AY1391" s="332"/>
      <c r="AZ1391" s="332"/>
      <c r="BA1391" s="332"/>
      <c r="BB1391" s="332"/>
      <c r="BC1391" s="332"/>
      <c r="BD1391" s="332"/>
      <c r="BE1391" s="332"/>
      <c r="BF1391" s="332"/>
      <c r="BG1391" s="332"/>
      <c r="BH1391" s="332"/>
      <c r="BI1391" s="332"/>
      <c r="BJ1391" s="332"/>
      <c r="BK1391" s="332"/>
      <c r="BL1391" s="332"/>
      <c r="BM1391" s="332"/>
      <c r="BN1391" s="332"/>
      <c r="BO1391" s="332"/>
      <c r="BP1391" s="332"/>
      <c r="BQ1391" s="332"/>
      <c r="BR1391" s="332"/>
      <c r="BS1391" s="332"/>
      <c r="BT1391" s="332"/>
      <c r="BU1391" s="332"/>
      <c r="BV1391" s="332"/>
      <c r="BW1391" s="332"/>
      <c r="BX1391" s="332"/>
      <c r="BY1391" s="332"/>
      <c r="BZ1391" s="332"/>
      <c r="CA1391" s="332"/>
      <c r="CB1391" s="332"/>
      <c r="CC1391" s="332"/>
      <c r="CD1391" s="332"/>
      <c r="CE1391" s="332"/>
      <c r="CF1391" s="332"/>
      <c r="CG1391" s="332"/>
      <c r="CH1391" s="332"/>
      <c r="CI1391" s="332"/>
      <c r="CJ1391" s="332"/>
      <c r="CK1391" s="332"/>
      <c r="CL1391" s="332"/>
      <c r="CM1391" s="332"/>
      <c r="CN1391" s="332"/>
      <c r="CO1391" s="332"/>
      <c r="CP1391" s="332"/>
      <c r="CQ1391" s="332"/>
      <c r="CR1391" s="332"/>
      <c r="CS1391" s="332"/>
      <c r="CT1391" s="332"/>
      <c r="CU1391" s="332"/>
      <c r="CV1391" s="332"/>
      <c r="CW1391" s="332"/>
      <c r="CX1391" s="332"/>
      <c r="CY1391" s="332"/>
      <c r="CZ1391" s="332"/>
      <c r="DA1391" s="332"/>
      <c r="DB1391" s="332"/>
      <c r="DC1391" s="332"/>
      <c r="DD1391" s="332"/>
      <c r="DE1391" s="332"/>
      <c r="DF1391" s="332"/>
      <c r="DG1391" s="332"/>
      <c r="DH1391" s="332"/>
      <c r="DI1391" s="332"/>
      <c r="DJ1391" s="332"/>
      <c r="DK1391" s="332"/>
      <c r="DL1391" s="332"/>
      <c r="DM1391" s="332"/>
      <c r="DN1391" s="332"/>
      <c r="DO1391" s="332"/>
      <c r="DP1391" s="332"/>
      <c r="DQ1391" s="332"/>
      <c r="DR1391" s="332"/>
      <c r="DS1391" s="332"/>
      <c r="DT1391" s="332"/>
      <c r="DU1391" s="453"/>
      <c r="DV1391" s="453"/>
      <c r="DW1391" s="453"/>
      <c r="DX1391" s="453"/>
      <c r="DY1391" s="453"/>
      <c r="DZ1391" s="453"/>
      <c r="EA1391" s="453"/>
      <c r="EB1391" s="453"/>
      <c r="EC1391" s="453"/>
      <c r="ED1391" s="453"/>
      <c r="EE1391" s="453"/>
      <c r="EF1391" s="453"/>
      <c r="EG1391" s="453"/>
      <c r="EH1391" s="453"/>
      <c r="EI1391" s="453"/>
      <c r="EJ1391" s="453"/>
      <c r="EK1391" s="453"/>
      <c r="EL1391" s="453"/>
      <c r="EM1391" s="483">
        <f t="shared" si="264"/>
        <v>1082</v>
      </c>
      <c r="EN1391" s="485"/>
      <c r="EO1391" s="458"/>
      <c r="EP1391" s="467"/>
      <c r="EQ1391" s="457"/>
      <c r="ER1391" s="808"/>
      <c r="ES1391" s="881">
        <f t="shared" si="262"/>
        <v>0</v>
      </c>
      <c r="ET1391" s="882"/>
      <c r="EU1391" s="883"/>
      <c r="EV1391" s="884">
        <f t="shared" si="263"/>
        <v>0</v>
      </c>
      <c r="EW1391" s="885"/>
      <c r="EX1391" s="885"/>
      <c r="EY1391" s="885"/>
      <c r="EZ1391" s="885"/>
      <c r="FA1391" s="885"/>
      <c r="FB1391" s="885"/>
      <c r="FC1391" s="885"/>
      <c r="FD1391" s="886"/>
      <c r="FE1391" s="877"/>
      <c r="FF1391" s="877"/>
      <c r="FG1391" s="877"/>
      <c r="FH1391" s="877"/>
      <c r="FI1391" s="877"/>
      <c r="FJ1391" s="877"/>
      <c r="FK1391" s="877"/>
      <c r="FL1391" s="874"/>
      <c r="FM1391" s="875"/>
      <c r="FN1391" s="875"/>
      <c r="FO1391" s="875"/>
      <c r="FP1391" s="875"/>
      <c r="FQ1391" s="875"/>
      <c r="FR1391" s="875"/>
      <c r="FS1391" s="875"/>
      <c r="FT1391" s="875"/>
      <c r="FU1391" s="875"/>
      <c r="FV1391" s="875"/>
      <c r="FW1391" s="875"/>
      <c r="FX1391" s="875"/>
      <c r="FY1391" s="875"/>
      <c r="FZ1391" s="875"/>
      <c r="GA1391" s="875"/>
      <c r="GB1391" s="876"/>
      <c r="GC1391" s="370"/>
      <c r="GD1391" s="453"/>
      <c r="GE1391" s="453"/>
      <c r="GF1391" s="453"/>
      <c r="GG1391" s="453"/>
      <c r="GH1391" s="454"/>
      <c r="GI1391" s="453"/>
      <c r="GJ1391" s="453"/>
      <c r="GK1391" s="453"/>
      <c r="GL1391" s="453"/>
      <c r="GM1391" s="453"/>
      <c r="GN1391" s="453"/>
      <c r="GO1391" s="453"/>
      <c r="GP1391" s="453"/>
      <c r="GQ1391" s="453"/>
      <c r="GR1391" s="453"/>
      <c r="GS1391" s="561"/>
      <c r="GT1391" s="475"/>
      <c r="GU1391" s="472"/>
      <c r="GV1391" s="453"/>
      <c r="GW1391" s="453"/>
      <c r="GX1391" s="869"/>
      <c r="GY1391" s="870"/>
      <c r="GZ1391" s="867"/>
      <c r="HA1391" s="868"/>
      <c r="HB1391" s="473"/>
      <c r="HC1391" s="869"/>
      <c r="HD1391" s="870"/>
      <c r="HE1391" s="867"/>
      <c r="HF1391" s="868"/>
      <c r="HG1391" s="473"/>
      <c r="HH1391" s="867"/>
      <c r="HI1391" s="868"/>
      <c r="HJ1391" s="867"/>
      <c r="HK1391" s="868"/>
      <c r="HL1391" s="370"/>
      <c r="HM1391" s="865"/>
      <c r="HN1391" s="866"/>
      <c r="HO1391" s="865"/>
      <c r="HP1391" s="866"/>
      <c r="HQ1391" s="865"/>
      <c r="HR1391" s="866"/>
      <c r="HS1391" s="867"/>
      <c r="HT1391" s="868"/>
      <c r="HU1391" s="489"/>
      <c r="HV1391" s="865"/>
      <c r="HW1391" s="866"/>
    </row>
    <row r="1392" spans="25:231" ht="15" customHeight="1">
      <c r="Y1392" s="332"/>
      <c r="Z1392" s="332"/>
      <c r="AA1392" s="332"/>
      <c r="AB1392" s="332"/>
      <c r="AC1392" s="332"/>
      <c r="AD1392" s="332"/>
      <c r="AE1392" s="332"/>
      <c r="AF1392" s="332"/>
      <c r="AG1392" s="332"/>
      <c r="AH1392" s="332"/>
      <c r="AI1392" s="332"/>
      <c r="AJ1392" s="332"/>
      <c r="AK1392" s="332"/>
      <c r="AL1392" s="332"/>
      <c r="AM1392" s="332"/>
      <c r="AN1392" s="332"/>
      <c r="AO1392" s="332"/>
      <c r="AP1392" s="332"/>
      <c r="AQ1392" s="332"/>
      <c r="AR1392" s="332"/>
      <c r="AS1392" s="332"/>
      <c r="AT1392" s="332"/>
      <c r="AU1392" s="332"/>
      <c r="AV1392" s="332"/>
      <c r="AW1392" s="332"/>
      <c r="AX1392" s="332"/>
      <c r="AY1392" s="332"/>
      <c r="AZ1392" s="332"/>
      <c r="BA1392" s="332"/>
      <c r="BB1392" s="332"/>
      <c r="BC1392" s="332"/>
      <c r="BD1392" s="332"/>
      <c r="BE1392" s="332"/>
      <c r="BF1392" s="332"/>
      <c r="BG1392" s="332"/>
      <c r="BH1392" s="332"/>
      <c r="BI1392" s="332"/>
      <c r="BJ1392" s="332"/>
      <c r="BK1392" s="332"/>
      <c r="BL1392" s="332"/>
      <c r="BM1392" s="332"/>
      <c r="BN1392" s="332"/>
      <c r="BO1392" s="332"/>
      <c r="BP1392" s="332"/>
      <c r="BQ1392" s="332"/>
      <c r="BR1392" s="332"/>
      <c r="BS1392" s="332"/>
      <c r="BT1392" s="332"/>
      <c r="BU1392" s="332"/>
      <c r="BV1392" s="332"/>
      <c r="BW1392" s="332"/>
      <c r="BX1392" s="332"/>
      <c r="BY1392" s="332"/>
      <c r="BZ1392" s="332"/>
      <c r="CA1392" s="332"/>
      <c r="CB1392" s="332"/>
      <c r="CC1392" s="332"/>
      <c r="CD1392" s="332"/>
      <c r="CE1392" s="332"/>
      <c r="CF1392" s="332"/>
      <c r="CG1392" s="332"/>
      <c r="CH1392" s="332"/>
      <c r="CI1392" s="332"/>
      <c r="CJ1392" s="332"/>
      <c r="CK1392" s="332"/>
      <c r="CL1392" s="332"/>
      <c r="CM1392" s="332"/>
      <c r="CN1392" s="332"/>
      <c r="CO1392" s="332"/>
      <c r="CP1392" s="332"/>
      <c r="CQ1392" s="332"/>
      <c r="CR1392" s="332"/>
      <c r="CS1392" s="332"/>
      <c r="CT1392" s="332"/>
      <c r="CU1392" s="332"/>
      <c r="CV1392" s="332"/>
      <c r="CW1392" s="332"/>
      <c r="CX1392" s="332"/>
      <c r="CY1392" s="332"/>
      <c r="CZ1392" s="332"/>
      <c r="DA1392" s="332"/>
      <c r="DB1392" s="332"/>
      <c r="DC1392" s="332"/>
      <c r="DD1392" s="332"/>
      <c r="DE1392" s="332"/>
      <c r="DF1392" s="332"/>
      <c r="DG1392" s="332"/>
      <c r="DH1392" s="332"/>
      <c r="DI1392" s="332"/>
      <c r="DJ1392" s="332"/>
      <c r="DK1392" s="332"/>
      <c r="DL1392" s="332"/>
      <c r="DM1392" s="332"/>
      <c r="DN1392" s="332"/>
      <c r="DO1392" s="332"/>
      <c r="DP1392" s="332"/>
      <c r="DQ1392" s="332"/>
      <c r="DR1392" s="332"/>
      <c r="DS1392" s="332"/>
      <c r="DT1392" s="332"/>
      <c r="DU1392" s="453"/>
      <c r="DV1392" s="453"/>
      <c r="DW1392" s="453"/>
      <c r="DX1392" s="453"/>
      <c r="DY1392" s="453"/>
      <c r="DZ1392" s="453"/>
      <c r="EA1392" s="453"/>
      <c r="EB1392" s="453"/>
      <c r="EC1392" s="453"/>
      <c r="ED1392" s="453"/>
      <c r="EE1392" s="453"/>
      <c r="EF1392" s="453"/>
      <c r="EG1392" s="453"/>
      <c r="EH1392" s="453"/>
      <c r="EI1392" s="453"/>
      <c r="EJ1392" s="453"/>
      <c r="EK1392" s="453"/>
      <c r="EL1392" s="453"/>
      <c r="EM1392" s="483">
        <f t="shared" si="264"/>
        <v>1083</v>
      </c>
      <c r="EN1392" s="485"/>
      <c r="EO1392" s="458"/>
      <c r="EP1392" s="467"/>
      <c r="EQ1392" s="457"/>
      <c r="ER1392" s="808"/>
      <c r="ES1392" s="881">
        <f t="shared" ref="ES1392:ES1455" si="265">IF(OR(EO1392 = "", EP1392 = 0, EP1392 = "", EQ1392 = 0, EQ1392 = "", ER1392 = 0, ER1392 = ""), 0,
IF(EO1392 &lt;&gt; "ACCION", EP1392 * ER1392 * -100,  EP1392 * ER1392 * -1))</f>
        <v>0</v>
      </c>
      <c r="ET1392" s="882"/>
      <c r="EU1392" s="883"/>
      <c r="EV1392" s="884">
        <f t="shared" ref="EV1392:EV1455" si="266">+IF(OR(EO1392 = "", EP1392 = 0, EP1392 = "", EQ1392 = 0, EQ1392 = "", ER1392 = 0, ER1392 = ""), 0,
IF(EO1392 &lt;&gt; "ACCION",
IF(EP1392 &gt; 0, EP1392 * ER1392 * -100 * ( 1 + COMIS_OPCION), EP1392 * ER1392 * -100 * ( 1 - COMIS_OPCION)),
IF(EP1392 &gt; 0, EP1392 * ER1392 * -1 * ( 1 + COMIS_ACCION), EP1392 * ER1392 * -1 * ( 1 - COMIS_ACCION))  ))</f>
        <v>0</v>
      </c>
      <c r="EW1392" s="885"/>
      <c r="EX1392" s="885"/>
      <c r="EY1392" s="885"/>
      <c r="EZ1392" s="885"/>
      <c r="FA1392" s="885"/>
      <c r="FB1392" s="885"/>
      <c r="FC1392" s="885"/>
      <c r="FD1392" s="886"/>
      <c r="FE1392" s="877"/>
      <c r="FF1392" s="877"/>
      <c r="FG1392" s="877"/>
      <c r="FH1392" s="877"/>
      <c r="FI1392" s="877"/>
      <c r="FJ1392" s="877"/>
      <c r="FK1392" s="877"/>
      <c r="FL1392" s="874"/>
      <c r="FM1392" s="875"/>
      <c r="FN1392" s="875"/>
      <c r="FO1392" s="875"/>
      <c r="FP1392" s="875"/>
      <c r="FQ1392" s="875"/>
      <c r="FR1392" s="875"/>
      <c r="FS1392" s="875"/>
      <c r="FT1392" s="875"/>
      <c r="FU1392" s="875"/>
      <c r="FV1392" s="875"/>
      <c r="FW1392" s="875"/>
      <c r="FX1392" s="875"/>
      <c r="FY1392" s="875"/>
      <c r="FZ1392" s="875"/>
      <c r="GA1392" s="875"/>
      <c r="GB1392" s="876"/>
      <c r="GC1392" s="370"/>
      <c r="GD1392" s="453"/>
      <c r="GE1392" s="453"/>
      <c r="GF1392" s="453"/>
      <c r="GG1392" s="453"/>
      <c r="GH1392" s="454"/>
      <c r="GI1392" s="453"/>
      <c r="GJ1392" s="453"/>
      <c r="GK1392" s="453"/>
      <c r="GL1392" s="453"/>
      <c r="GM1392" s="453"/>
      <c r="GN1392" s="453"/>
      <c r="GO1392" s="453"/>
      <c r="GP1392" s="453"/>
      <c r="GQ1392" s="453"/>
      <c r="GR1392" s="453"/>
      <c r="GS1392" s="561"/>
      <c r="GT1392" s="475"/>
      <c r="GU1392" s="472"/>
      <c r="GV1392" s="453"/>
      <c r="GW1392" s="453"/>
      <c r="GX1392" s="869"/>
      <c r="GY1392" s="870"/>
      <c r="GZ1392" s="867"/>
      <c r="HA1392" s="868"/>
      <c r="HB1392" s="473"/>
      <c r="HC1392" s="869"/>
      <c r="HD1392" s="870"/>
      <c r="HE1392" s="867"/>
      <c r="HF1392" s="868"/>
      <c r="HG1392" s="473"/>
      <c r="HH1392" s="867"/>
      <c r="HI1392" s="868"/>
      <c r="HJ1392" s="867"/>
      <c r="HK1392" s="868"/>
      <c r="HL1392" s="370"/>
      <c r="HM1392" s="865"/>
      <c r="HN1392" s="866"/>
      <c r="HO1392" s="865"/>
      <c r="HP1392" s="866"/>
      <c r="HQ1392" s="865"/>
      <c r="HR1392" s="866"/>
      <c r="HS1392" s="867"/>
      <c r="HT1392" s="868"/>
      <c r="HU1392" s="489"/>
      <c r="HV1392" s="865"/>
      <c r="HW1392" s="866"/>
    </row>
    <row r="1393" spans="25:231" ht="15" customHeight="1">
      <c r="Y1393" s="332"/>
      <c r="Z1393" s="332"/>
      <c r="AA1393" s="332"/>
      <c r="AB1393" s="332"/>
      <c r="AC1393" s="332"/>
      <c r="AD1393" s="332"/>
      <c r="AE1393" s="332"/>
      <c r="AF1393" s="332"/>
      <c r="AG1393" s="332"/>
      <c r="AH1393" s="332"/>
      <c r="AI1393" s="332"/>
      <c r="AJ1393" s="332"/>
      <c r="AK1393" s="332"/>
      <c r="AL1393" s="332"/>
      <c r="AM1393" s="332"/>
      <c r="AN1393" s="332"/>
      <c r="AO1393" s="332"/>
      <c r="AP1393" s="332"/>
      <c r="AQ1393" s="332"/>
      <c r="AR1393" s="332"/>
      <c r="AS1393" s="332"/>
      <c r="AT1393" s="332"/>
      <c r="AU1393" s="332"/>
      <c r="AV1393" s="332"/>
      <c r="AW1393" s="332"/>
      <c r="AX1393" s="332"/>
      <c r="AY1393" s="332"/>
      <c r="AZ1393" s="332"/>
      <c r="BA1393" s="332"/>
      <c r="BB1393" s="332"/>
      <c r="BC1393" s="332"/>
      <c r="BD1393" s="332"/>
      <c r="BE1393" s="332"/>
      <c r="BF1393" s="332"/>
      <c r="BG1393" s="332"/>
      <c r="BH1393" s="332"/>
      <c r="BI1393" s="332"/>
      <c r="BJ1393" s="332"/>
      <c r="BK1393" s="332"/>
      <c r="BL1393" s="332"/>
      <c r="BM1393" s="332"/>
      <c r="BN1393" s="332"/>
      <c r="BO1393" s="332"/>
      <c r="BP1393" s="332"/>
      <c r="BQ1393" s="332"/>
      <c r="BR1393" s="332"/>
      <c r="BS1393" s="332"/>
      <c r="BT1393" s="332"/>
      <c r="BU1393" s="332"/>
      <c r="BV1393" s="332"/>
      <c r="BW1393" s="332"/>
      <c r="BX1393" s="332"/>
      <c r="BY1393" s="332"/>
      <c r="BZ1393" s="332"/>
      <c r="CA1393" s="332"/>
      <c r="CB1393" s="332"/>
      <c r="CC1393" s="332"/>
      <c r="CD1393" s="332"/>
      <c r="CE1393" s="332"/>
      <c r="CF1393" s="332"/>
      <c r="CG1393" s="332"/>
      <c r="CH1393" s="332"/>
      <c r="CI1393" s="332"/>
      <c r="CJ1393" s="332"/>
      <c r="CK1393" s="332"/>
      <c r="CL1393" s="332"/>
      <c r="CM1393" s="332"/>
      <c r="CN1393" s="332"/>
      <c r="CO1393" s="332"/>
      <c r="CP1393" s="332"/>
      <c r="CQ1393" s="332"/>
      <c r="CR1393" s="332"/>
      <c r="CS1393" s="332"/>
      <c r="CT1393" s="332"/>
      <c r="CU1393" s="332"/>
      <c r="CV1393" s="332"/>
      <c r="CW1393" s="332"/>
      <c r="CX1393" s="332"/>
      <c r="CY1393" s="332"/>
      <c r="CZ1393" s="332"/>
      <c r="DA1393" s="332"/>
      <c r="DB1393" s="332"/>
      <c r="DC1393" s="332"/>
      <c r="DD1393" s="332"/>
      <c r="DE1393" s="332"/>
      <c r="DF1393" s="332"/>
      <c r="DG1393" s="332"/>
      <c r="DH1393" s="332"/>
      <c r="DI1393" s="332"/>
      <c r="DJ1393" s="332"/>
      <c r="DK1393" s="332"/>
      <c r="DL1393" s="332"/>
      <c r="DM1393" s="332"/>
      <c r="DN1393" s="332"/>
      <c r="DO1393" s="332"/>
      <c r="DP1393" s="332"/>
      <c r="DQ1393" s="332"/>
      <c r="DR1393" s="332"/>
      <c r="DS1393" s="332"/>
      <c r="DT1393" s="332"/>
      <c r="DU1393" s="453"/>
      <c r="DV1393" s="453"/>
      <c r="DW1393" s="453"/>
      <c r="DX1393" s="453"/>
      <c r="DY1393" s="453"/>
      <c r="DZ1393" s="453"/>
      <c r="EA1393" s="453"/>
      <c r="EB1393" s="453"/>
      <c r="EC1393" s="453"/>
      <c r="ED1393" s="453"/>
      <c r="EE1393" s="453"/>
      <c r="EF1393" s="453"/>
      <c r="EG1393" s="453"/>
      <c r="EH1393" s="453"/>
      <c r="EI1393" s="453"/>
      <c r="EJ1393" s="453"/>
      <c r="EK1393" s="453"/>
      <c r="EL1393" s="453"/>
      <c r="EM1393" s="483">
        <f t="shared" si="264"/>
        <v>1084</v>
      </c>
      <c r="EN1393" s="485"/>
      <c r="EO1393" s="458"/>
      <c r="EP1393" s="467"/>
      <c r="EQ1393" s="457"/>
      <c r="ER1393" s="808"/>
      <c r="ES1393" s="881">
        <f t="shared" si="265"/>
        <v>0</v>
      </c>
      <c r="ET1393" s="882"/>
      <c r="EU1393" s="883"/>
      <c r="EV1393" s="884">
        <f t="shared" si="266"/>
        <v>0</v>
      </c>
      <c r="EW1393" s="885"/>
      <c r="EX1393" s="885"/>
      <c r="EY1393" s="885"/>
      <c r="EZ1393" s="885"/>
      <c r="FA1393" s="885"/>
      <c r="FB1393" s="885"/>
      <c r="FC1393" s="885"/>
      <c r="FD1393" s="886"/>
      <c r="FE1393" s="877"/>
      <c r="FF1393" s="877"/>
      <c r="FG1393" s="877"/>
      <c r="FH1393" s="877"/>
      <c r="FI1393" s="877"/>
      <c r="FJ1393" s="877"/>
      <c r="FK1393" s="877"/>
      <c r="FL1393" s="874"/>
      <c r="FM1393" s="875"/>
      <c r="FN1393" s="875"/>
      <c r="FO1393" s="875"/>
      <c r="FP1393" s="875"/>
      <c r="FQ1393" s="875"/>
      <c r="FR1393" s="875"/>
      <c r="FS1393" s="875"/>
      <c r="FT1393" s="875"/>
      <c r="FU1393" s="875"/>
      <c r="FV1393" s="875"/>
      <c r="FW1393" s="875"/>
      <c r="FX1393" s="875"/>
      <c r="FY1393" s="875"/>
      <c r="FZ1393" s="875"/>
      <c r="GA1393" s="875"/>
      <c r="GB1393" s="876"/>
      <c r="GC1393" s="370"/>
      <c r="GD1393" s="453"/>
      <c r="GE1393" s="453"/>
      <c r="GF1393" s="453"/>
      <c r="GG1393" s="453"/>
      <c r="GH1393" s="454"/>
      <c r="GI1393" s="453"/>
      <c r="GJ1393" s="453"/>
      <c r="GK1393" s="453"/>
      <c r="GL1393" s="453"/>
      <c r="GM1393" s="453"/>
      <c r="GN1393" s="453"/>
      <c r="GO1393" s="453"/>
      <c r="GP1393" s="453"/>
      <c r="GQ1393" s="453"/>
      <c r="GR1393" s="453"/>
      <c r="GS1393" s="561"/>
      <c r="GT1393" s="475"/>
      <c r="GU1393" s="472"/>
      <c r="GV1393" s="453"/>
      <c r="GW1393" s="453"/>
      <c r="GX1393" s="869"/>
      <c r="GY1393" s="870"/>
      <c r="GZ1393" s="867"/>
      <c r="HA1393" s="868"/>
      <c r="HB1393" s="473"/>
      <c r="HC1393" s="869"/>
      <c r="HD1393" s="870"/>
      <c r="HE1393" s="867"/>
      <c r="HF1393" s="868"/>
      <c r="HG1393" s="473"/>
      <c r="HH1393" s="867"/>
      <c r="HI1393" s="868"/>
      <c r="HJ1393" s="867"/>
      <c r="HK1393" s="868"/>
      <c r="HL1393" s="370"/>
      <c r="HM1393" s="865"/>
      <c r="HN1393" s="866"/>
      <c r="HO1393" s="865"/>
      <c r="HP1393" s="866"/>
      <c r="HQ1393" s="865"/>
      <c r="HR1393" s="866"/>
      <c r="HS1393" s="867"/>
      <c r="HT1393" s="868"/>
      <c r="HU1393" s="489"/>
      <c r="HV1393" s="865"/>
      <c r="HW1393" s="866"/>
    </row>
    <row r="1394" spans="25:231" ht="15" customHeight="1">
      <c r="Y1394" s="332"/>
      <c r="Z1394" s="332"/>
      <c r="AA1394" s="332"/>
      <c r="AB1394" s="332"/>
      <c r="AC1394" s="332"/>
      <c r="AD1394" s="332"/>
      <c r="AE1394" s="332"/>
      <c r="AF1394" s="332"/>
      <c r="AG1394" s="332"/>
      <c r="AH1394" s="332"/>
      <c r="AI1394" s="332"/>
      <c r="AJ1394" s="332"/>
      <c r="AK1394" s="332"/>
      <c r="AL1394" s="332"/>
      <c r="AM1394" s="332"/>
      <c r="AN1394" s="332"/>
      <c r="AO1394" s="332"/>
      <c r="AP1394" s="332"/>
      <c r="AQ1394" s="332"/>
      <c r="AR1394" s="332"/>
      <c r="AS1394" s="332"/>
      <c r="AT1394" s="332"/>
      <c r="AU1394" s="332"/>
      <c r="AV1394" s="332"/>
      <c r="AW1394" s="332"/>
      <c r="AX1394" s="332"/>
      <c r="AY1394" s="332"/>
      <c r="AZ1394" s="332"/>
      <c r="BA1394" s="332"/>
      <c r="BB1394" s="332"/>
      <c r="BC1394" s="332"/>
      <c r="BD1394" s="332"/>
      <c r="BE1394" s="332"/>
      <c r="BF1394" s="332"/>
      <c r="BG1394" s="332"/>
      <c r="BH1394" s="332"/>
      <c r="BI1394" s="332"/>
      <c r="BJ1394" s="332"/>
      <c r="BK1394" s="332"/>
      <c r="BL1394" s="332"/>
      <c r="BM1394" s="332"/>
      <c r="BN1394" s="332"/>
      <c r="BO1394" s="332"/>
      <c r="BP1394" s="332"/>
      <c r="BQ1394" s="332"/>
      <c r="BR1394" s="332"/>
      <c r="BS1394" s="332"/>
      <c r="BT1394" s="332"/>
      <c r="BU1394" s="332"/>
      <c r="BV1394" s="332"/>
      <c r="BW1394" s="332"/>
      <c r="BX1394" s="332"/>
      <c r="BY1394" s="332"/>
      <c r="BZ1394" s="332"/>
      <c r="CA1394" s="332"/>
      <c r="CB1394" s="332"/>
      <c r="CC1394" s="332"/>
      <c r="CD1394" s="332"/>
      <c r="CE1394" s="332"/>
      <c r="CF1394" s="332"/>
      <c r="CG1394" s="332"/>
      <c r="CH1394" s="332"/>
      <c r="CI1394" s="332"/>
      <c r="CJ1394" s="332"/>
      <c r="CK1394" s="332"/>
      <c r="CL1394" s="332"/>
      <c r="CM1394" s="332"/>
      <c r="CN1394" s="332"/>
      <c r="CO1394" s="332"/>
      <c r="CP1394" s="332"/>
      <c r="CQ1394" s="332"/>
      <c r="CR1394" s="332"/>
      <c r="CS1394" s="332"/>
      <c r="CT1394" s="332"/>
      <c r="CU1394" s="332"/>
      <c r="CV1394" s="332"/>
      <c r="CW1394" s="332"/>
      <c r="CX1394" s="332"/>
      <c r="CY1394" s="332"/>
      <c r="CZ1394" s="332"/>
      <c r="DA1394" s="332"/>
      <c r="DB1394" s="332"/>
      <c r="DC1394" s="332"/>
      <c r="DD1394" s="332"/>
      <c r="DE1394" s="332"/>
      <c r="DF1394" s="332"/>
      <c r="DG1394" s="332"/>
      <c r="DH1394" s="332"/>
      <c r="DI1394" s="332"/>
      <c r="DJ1394" s="332"/>
      <c r="DK1394" s="332"/>
      <c r="DL1394" s="332"/>
      <c r="DM1394" s="332"/>
      <c r="DN1394" s="332"/>
      <c r="DO1394" s="332"/>
      <c r="DP1394" s="332"/>
      <c r="DQ1394" s="332"/>
      <c r="DR1394" s="332"/>
      <c r="DS1394" s="332"/>
      <c r="DT1394" s="332"/>
      <c r="DU1394" s="453"/>
      <c r="DV1394" s="453"/>
      <c r="DW1394" s="453"/>
      <c r="DX1394" s="453"/>
      <c r="DY1394" s="453"/>
      <c r="DZ1394" s="453"/>
      <c r="EA1394" s="453"/>
      <c r="EB1394" s="453"/>
      <c r="EC1394" s="453"/>
      <c r="ED1394" s="453"/>
      <c r="EE1394" s="453"/>
      <c r="EF1394" s="453"/>
      <c r="EG1394" s="453"/>
      <c r="EH1394" s="453"/>
      <c r="EI1394" s="453"/>
      <c r="EJ1394" s="453"/>
      <c r="EK1394" s="453"/>
      <c r="EL1394" s="453"/>
      <c r="EM1394" s="483">
        <f t="shared" si="264"/>
        <v>1085</v>
      </c>
      <c r="EN1394" s="485"/>
      <c r="EO1394" s="458"/>
      <c r="EP1394" s="467"/>
      <c r="EQ1394" s="457"/>
      <c r="ER1394" s="808"/>
      <c r="ES1394" s="881">
        <f t="shared" si="265"/>
        <v>0</v>
      </c>
      <c r="ET1394" s="882"/>
      <c r="EU1394" s="883"/>
      <c r="EV1394" s="884">
        <f t="shared" si="266"/>
        <v>0</v>
      </c>
      <c r="EW1394" s="885"/>
      <c r="EX1394" s="885"/>
      <c r="EY1394" s="885"/>
      <c r="EZ1394" s="885"/>
      <c r="FA1394" s="885"/>
      <c r="FB1394" s="885"/>
      <c r="FC1394" s="885"/>
      <c r="FD1394" s="886"/>
      <c r="FE1394" s="877"/>
      <c r="FF1394" s="877"/>
      <c r="FG1394" s="877"/>
      <c r="FH1394" s="877"/>
      <c r="FI1394" s="877"/>
      <c r="FJ1394" s="877"/>
      <c r="FK1394" s="877"/>
      <c r="FL1394" s="874"/>
      <c r="FM1394" s="875"/>
      <c r="FN1394" s="875"/>
      <c r="FO1394" s="875"/>
      <c r="FP1394" s="875"/>
      <c r="FQ1394" s="875"/>
      <c r="FR1394" s="875"/>
      <c r="FS1394" s="875"/>
      <c r="FT1394" s="875"/>
      <c r="FU1394" s="875"/>
      <c r="FV1394" s="875"/>
      <c r="FW1394" s="875"/>
      <c r="FX1394" s="875"/>
      <c r="FY1394" s="875"/>
      <c r="FZ1394" s="875"/>
      <c r="GA1394" s="875"/>
      <c r="GB1394" s="876"/>
      <c r="GC1394" s="370"/>
      <c r="GD1394" s="453"/>
      <c r="GE1394" s="453"/>
      <c r="GF1394" s="453"/>
      <c r="GG1394" s="453"/>
      <c r="GH1394" s="454"/>
      <c r="GI1394" s="453"/>
      <c r="GJ1394" s="453"/>
      <c r="GK1394" s="453"/>
      <c r="GL1394" s="453"/>
      <c r="GM1394" s="453"/>
      <c r="GN1394" s="453"/>
      <c r="GO1394" s="453"/>
      <c r="GP1394" s="453"/>
      <c r="GQ1394" s="453"/>
      <c r="GR1394" s="453"/>
      <c r="GS1394" s="561"/>
      <c r="GT1394" s="475"/>
      <c r="GU1394" s="472"/>
      <c r="GV1394" s="453"/>
      <c r="GW1394" s="453"/>
      <c r="GX1394" s="869"/>
      <c r="GY1394" s="870"/>
      <c r="GZ1394" s="867"/>
      <c r="HA1394" s="868"/>
      <c r="HB1394" s="473"/>
      <c r="HC1394" s="869"/>
      <c r="HD1394" s="870"/>
      <c r="HE1394" s="867"/>
      <c r="HF1394" s="868"/>
      <c r="HG1394" s="473"/>
      <c r="HH1394" s="867"/>
      <c r="HI1394" s="868"/>
      <c r="HJ1394" s="867"/>
      <c r="HK1394" s="868"/>
      <c r="HL1394" s="370"/>
      <c r="HM1394" s="865"/>
      <c r="HN1394" s="866"/>
      <c r="HO1394" s="865"/>
      <c r="HP1394" s="866"/>
      <c r="HQ1394" s="865"/>
      <c r="HR1394" s="866"/>
      <c r="HS1394" s="867"/>
      <c r="HT1394" s="868"/>
      <c r="HU1394" s="489"/>
      <c r="HV1394" s="865"/>
      <c r="HW1394" s="866"/>
    </row>
    <row r="1395" spans="25:231" ht="15" customHeight="1">
      <c r="Y1395" s="332"/>
      <c r="Z1395" s="332"/>
      <c r="AA1395" s="332"/>
      <c r="AB1395" s="332"/>
      <c r="AC1395" s="332"/>
      <c r="AD1395" s="332"/>
      <c r="AE1395" s="332"/>
      <c r="AF1395" s="332"/>
      <c r="AG1395" s="332"/>
      <c r="AH1395" s="332"/>
      <c r="AI1395" s="332"/>
      <c r="AJ1395" s="332"/>
      <c r="AK1395" s="332"/>
      <c r="AL1395" s="332"/>
      <c r="AM1395" s="332"/>
      <c r="AN1395" s="332"/>
      <c r="AO1395" s="332"/>
      <c r="AP1395" s="332"/>
      <c r="AQ1395" s="332"/>
      <c r="AR1395" s="332"/>
      <c r="AS1395" s="332"/>
      <c r="AT1395" s="332"/>
      <c r="AU1395" s="332"/>
      <c r="AV1395" s="332"/>
      <c r="AW1395" s="332"/>
      <c r="AX1395" s="332"/>
      <c r="AY1395" s="332"/>
      <c r="AZ1395" s="332"/>
      <c r="BA1395" s="332"/>
      <c r="BB1395" s="332"/>
      <c r="BC1395" s="332"/>
      <c r="BD1395" s="332"/>
      <c r="BE1395" s="332"/>
      <c r="BF1395" s="332"/>
      <c r="BG1395" s="332"/>
      <c r="BH1395" s="332"/>
      <c r="BI1395" s="332"/>
      <c r="BJ1395" s="332"/>
      <c r="BK1395" s="332"/>
      <c r="BL1395" s="332"/>
      <c r="BM1395" s="332"/>
      <c r="BN1395" s="332"/>
      <c r="BO1395" s="332"/>
      <c r="BP1395" s="332"/>
      <c r="BQ1395" s="332"/>
      <c r="BR1395" s="332"/>
      <c r="BS1395" s="332"/>
      <c r="BT1395" s="332"/>
      <c r="BU1395" s="332"/>
      <c r="BV1395" s="332"/>
      <c r="BW1395" s="332"/>
      <c r="BX1395" s="332"/>
      <c r="BY1395" s="332"/>
      <c r="BZ1395" s="332"/>
      <c r="CA1395" s="332"/>
      <c r="CB1395" s="332"/>
      <c r="CC1395" s="332"/>
      <c r="CD1395" s="332"/>
      <c r="CE1395" s="332"/>
      <c r="CF1395" s="332"/>
      <c r="CG1395" s="332"/>
      <c r="CH1395" s="332"/>
      <c r="CI1395" s="332"/>
      <c r="CJ1395" s="332"/>
      <c r="CK1395" s="332"/>
      <c r="CL1395" s="332"/>
      <c r="CM1395" s="332"/>
      <c r="CN1395" s="332"/>
      <c r="CO1395" s="332"/>
      <c r="CP1395" s="332"/>
      <c r="CQ1395" s="332"/>
      <c r="CR1395" s="332"/>
      <c r="CS1395" s="332"/>
      <c r="CT1395" s="332"/>
      <c r="CU1395" s="332"/>
      <c r="CV1395" s="332"/>
      <c r="CW1395" s="332"/>
      <c r="CX1395" s="332"/>
      <c r="CY1395" s="332"/>
      <c r="CZ1395" s="332"/>
      <c r="DA1395" s="332"/>
      <c r="DB1395" s="332"/>
      <c r="DC1395" s="332"/>
      <c r="DD1395" s="332"/>
      <c r="DE1395" s="332"/>
      <c r="DF1395" s="332"/>
      <c r="DG1395" s="332"/>
      <c r="DH1395" s="332"/>
      <c r="DI1395" s="332"/>
      <c r="DJ1395" s="332"/>
      <c r="DK1395" s="332"/>
      <c r="DL1395" s="332"/>
      <c r="DM1395" s="332"/>
      <c r="DN1395" s="332"/>
      <c r="DO1395" s="332"/>
      <c r="DP1395" s="332"/>
      <c r="DQ1395" s="332"/>
      <c r="DR1395" s="332"/>
      <c r="DS1395" s="332"/>
      <c r="DT1395" s="332"/>
      <c r="DU1395" s="453"/>
      <c r="DV1395" s="453"/>
      <c r="DW1395" s="453"/>
      <c r="DX1395" s="453"/>
      <c r="DY1395" s="453"/>
      <c r="DZ1395" s="453"/>
      <c r="EA1395" s="453"/>
      <c r="EB1395" s="453"/>
      <c r="EC1395" s="453"/>
      <c r="ED1395" s="453"/>
      <c r="EE1395" s="453"/>
      <c r="EF1395" s="453"/>
      <c r="EG1395" s="453"/>
      <c r="EH1395" s="453"/>
      <c r="EI1395" s="453"/>
      <c r="EJ1395" s="453"/>
      <c r="EK1395" s="453"/>
      <c r="EL1395" s="453"/>
      <c r="EM1395" s="483">
        <f t="shared" si="264"/>
        <v>1086</v>
      </c>
      <c r="EN1395" s="485"/>
      <c r="EO1395" s="458"/>
      <c r="EP1395" s="467"/>
      <c r="EQ1395" s="457"/>
      <c r="ER1395" s="808"/>
      <c r="ES1395" s="881">
        <f t="shared" si="265"/>
        <v>0</v>
      </c>
      <c r="ET1395" s="882"/>
      <c r="EU1395" s="883"/>
      <c r="EV1395" s="884">
        <f t="shared" si="266"/>
        <v>0</v>
      </c>
      <c r="EW1395" s="885"/>
      <c r="EX1395" s="885"/>
      <c r="EY1395" s="885"/>
      <c r="EZ1395" s="885"/>
      <c r="FA1395" s="885"/>
      <c r="FB1395" s="885"/>
      <c r="FC1395" s="885"/>
      <c r="FD1395" s="886"/>
      <c r="FE1395" s="877"/>
      <c r="FF1395" s="877"/>
      <c r="FG1395" s="877"/>
      <c r="FH1395" s="877"/>
      <c r="FI1395" s="877"/>
      <c r="FJ1395" s="877"/>
      <c r="FK1395" s="877"/>
      <c r="FL1395" s="874"/>
      <c r="FM1395" s="875"/>
      <c r="FN1395" s="875"/>
      <c r="FO1395" s="875"/>
      <c r="FP1395" s="875"/>
      <c r="FQ1395" s="875"/>
      <c r="FR1395" s="875"/>
      <c r="FS1395" s="875"/>
      <c r="FT1395" s="875"/>
      <c r="FU1395" s="875"/>
      <c r="FV1395" s="875"/>
      <c r="FW1395" s="875"/>
      <c r="FX1395" s="875"/>
      <c r="FY1395" s="875"/>
      <c r="FZ1395" s="875"/>
      <c r="GA1395" s="875"/>
      <c r="GB1395" s="876"/>
      <c r="GC1395" s="370"/>
      <c r="GD1395" s="453"/>
      <c r="GE1395" s="453"/>
      <c r="GF1395" s="453"/>
      <c r="GG1395" s="453"/>
      <c r="GH1395" s="454"/>
      <c r="GI1395" s="453"/>
      <c r="GJ1395" s="453"/>
      <c r="GK1395" s="453"/>
      <c r="GL1395" s="453"/>
      <c r="GM1395" s="453"/>
      <c r="GN1395" s="453"/>
      <c r="GO1395" s="453"/>
      <c r="GP1395" s="453"/>
      <c r="GQ1395" s="453"/>
      <c r="GR1395" s="453"/>
      <c r="GS1395" s="561"/>
      <c r="GT1395" s="475"/>
      <c r="GU1395" s="472"/>
      <c r="GV1395" s="453"/>
      <c r="GW1395" s="453"/>
      <c r="GX1395" s="869"/>
      <c r="GY1395" s="870"/>
      <c r="GZ1395" s="867"/>
      <c r="HA1395" s="868"/>
      <c r="HB1395" s="473"/>
      <c r="HC1395" s="869"/>
      <c r="HD1395" s="870"/>
      <c r="HE1395" s="867"/>
      <c r="HF1395" s="868"/>
      <c r="HG1395" s="473"/>
      <c r="HH1395" s="867"/>
      <c r="HI1395" s="868"/>
      <c r="HJ1395" s="867"/>
      <c r="HK1395" s="868"/>
      <c r="HL1395" s="370"/>
      <c r="HM1395" s="865"/>
      <c r="HN1395" s="866"/>
      <c r="HO1395" s="865"/>
      <c r="HP1395" s="866"/>
      <c r="HQ1395" s="865"/>
      <c r="HR1395" s="866"/>
      <c r="HS1395" s="867"/>
      <c r="HT1395" s="868"/>
      <c r="HU1395" s="489"/>
      <c r="HV1395" s="865"/>
      <c r="HW1395" s="866"/>
    </row>
    <row r="1396" spans="25:231" ht="15" customHeight="1">
      <c r="Y1396" s="332"/>
      <c r="Z1396" s="332"/>
      <c r="AA1396" s="332"/>
      <c r="AB1396" s="332"/>
      <c r="AC1396" s="332"/>
      <c r="AD1396" s="332"/>
      <c r="AE1396" s="332"/>
      <c r="AF1396" s="332"/>
      <c r="AG1396" s="332"/>
      <c r="AH1396" s="332"/>
      <c r="AI1396" s="332"/>
      <c r="AJ1396" s="332"/>
      <c r="AK1396" s="332"/>
      <c r="AL1396" s="332"/>
      <c r="AM1396" s="332"/>
      <c r="AN1396" s="332"/>
      <c r="AO1396" s="332"/>
      <c r="AP1396" s="332"/>
      <c r="AQ1396" s="332"/>
      <c r="AR1396" s="332"/>
      <c r="AS1396" s="332"/>
      <c r="AT1396" s="332"/>
      <c r="AU1396" s="332"/>
      <c r="AV1396" s="332"/>
      <c r="AW1396" s="332"/>
      <c r="AX1396" s="332"/>
      <c r="AY1396" s="332"/>
      <c r="AZ1396" s="332"/>
      <c r="BA1396" s="332"/>
      <c r="BB1396" s="332"/>
      <c r="BC1396" s="332"/>
      <c r="BD1396" s="332"/>
      <c r="BE1396" s="332"/>
      <c r="BF1396" s="332"/>
      <c r="BG1396" s="332"/>
      <c r="BH1396" s="332"/>
      <c r="BI1396" s="332"/>
      <c r="BJ1396" s="332"/>
      <c r="BK1396" s="332"/>
      <c r="BL1396" s="332"/>
      <c r="BM1396" s="332"/>
      <c r="BN1396" s="332"/>
      <c r="BO1396" s="332"/>
      <c r="BP1396" s="332"/>
      <c r="BQ1396" s="332"/>
      <c r="BR1396" s="332"/>
      <c r="BS1396" s="332"/>
      <c r="BT1396" s="332"/>
      <c r="BU1396" s="332"/>
      <c r="BV1396" s="332"/>
      <c r="BW1396" s="332"/>
      <c r="BX1396" s="332"/>
      <c r="BY1396" s="332"/>
      <c r="BZ1396" s="332"/>
      <c r="CA1396" s="332"/>
      <c r="CB1396" s="332"/>
      <c r="CC1396" s="332"/>
      <c r="CD1396" s="332"/>
      <c r="CE1396" s="332"/>
      <c r="CF1396" s="332"/>
      <c r="CG1396" s="332"/>
      <c r="CH1396" s="332"/>
      <c r="CI1396" s="332"/>
      <c r="CJ1396" s="332"/>
      <c r="CK1396" s="332"/>
      <c r="CL1396" s="332"/>
      <c r="CM1396" s="332"/>
      <c r="CN1396" s="332"/>
      <c r="CO1396" s="332"/>
      <c r="CP1396" s="332"/>
      <c r="CQ1396" s="332"/>
      <c r="CR1396" s="332"/>
      <c r="CS1396" s="332"/>
      <c r="CT1396" s="332"/>
      <c r="CU1396" s="332"/>
      <c r="CV1396" s="332"/>
      <c r="CW1396" s="332"/>
      <c r="CX1396" s="332"/>
      <c r="CY1396" s="332"/>
      <c r="CZ1396" s="332"/>
      <c r="DA1396" s="332"/>
      <c r="DB1396" s="332"/>
      <c r="DC1396" s="332"/>
      <c r="DD1396" s="332"/>
      <c r="DE1396" s="332"/>
      <c r="DF1396" s="332"/>
      <c r="DG1396" s="332"/>
      <c r="DH1396" s="332"/>
      <c r="DI1396" s="332"/>
      <c r="DJ1396" s="332"/>
      <c r="DK1396" s="332"/>
      <c r="DL1396" s="332"/>
      <c r="DM1396" s="332"/>
      <c r="DN1396" s="332"/>
      <c r="DO1396" s="332"/>
      <c r="DP1396" s="332"/>
      <c r="DQ1396" s="332"/>
      <c r="DR1396" s="332"/>
      <c r="DS1396" s="332"/>
      <c r="DT1396" s="332"/>
      <c r="DU1396" s="453"/>
      <c r="DV1396" s="453"/>
      <c r="DW1396" s="453"/>
      <c r="DX1396" s="453"/>
      <c r="DY1396" s="453"/>
      <c r="DZ1396" s="453"/>
      <c r="EA1396" s="453"/>
      <c r="EB1396" s="453"/>
      <c r="EC1396" s="453"/>
      <c r="ED1396" s="453"/>
      <c r="EE1396" s="453"/>
      <c r="EF1396" s="453"/>
      <c r="EG1396" s="453"/>
      <c r="EH1396" s="453"/>
      <c r="EI1396" s="453"/>
      <c r="EJ1396" s="453"/>
      <c r="EK1396" s="453"/>
      <c r="EL1396" s="453"/>
      <c r="EM1396" s="483">
        <f t="shared" si="264"/>
        <v>1087</v>
      </c>
      <c r="EN1396" s="485"/>
      <c r="EO1396" s="458"/>
      <c r="EP1396" s="467"/>
      <c r="EQ1396" s="457"/>
      <c r="ER1396" s="808"/>
      <c r="ES1396" s="881">
        <f t="shared" si="265"/>
        <v>0</v>
      </c>
      <c r="ET1396" s="882"/>
      <c r="EU1396" s="883"/>
      <c r="EV1396" s="884">
        <f t="shared" si="266"/>
        <v>0</v>
      </c>
      <c r="EW1396" s="885"/>
      <c r="EX1396" s="885"/>
      <c r="EY1396" s="885"/>
      <c r="EZ1396" s="885"/>
      <c r="FA1396" s="885"/>
      <c r="FB1396" s="885"/>
      <c r="FC1396" s="885"/>
      <c r="FD1396" s="886"/>
      <c r="FE1396" s="877"/>
      <c r="FF1396" s="877"/>
      <c r="FG1396" s="877"/>
      <c r="FH1396" s="877"/>
      <c r="FI1396" s="877"/>
      <c r="FJ1396" s="877"/>
      <c r="FK1396" s="877"/>
      <c r="FL1396" s="874"/>
      <c r="FM1396" s="875"/>
      <c r="FN1396" s="875"/>
      <c r="FO1396" s="875"/>
      <c r="FP1396" s="875"/>
      <c r="FQ1396" s="875"/>
      <c r="FR1396" s="875"/>
      <c r="FS1396" s="875"/>
      <c r="FT1396" s="875"/>
      <c r="FU1396" s="875"/>
      <c r="FV1396" s="875"/>
      <c r="FW1396" s="875"/>
      <c r="FX1396" s="875"/>
      <c r="FY1396" s="875"/>
      <c r="FZ1396" s="875"/>
      <c r="GA1396" s="875"/>
      <c r="GB1396" s="876"/>
      <c r="GC1396" s="370"/>
      <c r="GD1396" s="453"/>
      <c r="GE1396" s="453"/>
      <c r="GF1396" s="453"/>
      <c r="GG1396" s="453"/>
      <c r="GH1396" s="454"/>
      <c r="GI1396" s="453"/>
      <c r="GJ1396" s="453"/>
      <c r="GK1396" s="453"/>
      <c r="GL1396" s="453"/>
      <c r="GM1396" s="453"/>
      <c r="GN1396" s="453"/>
      <c r="GO1396" s="453"/>
      <c r="GP1396" s="453"/>
      <c r="GQ1396" s="453"/>
      <c r="GR1396" s="453"/>
      <c r="GS1396" s="561"/>
      <c r="GT1396" s="475"/>
      <c r="GU1396" s="472"/>
      <c r="GV1396" s="453"/>
      <c r="GW1396" s="453"/>
      <c r="GX1396" s="869"/>
      <c r="GY1396" s="870"/>
      <c r="GZ1396" s="867"/>
      <c r="HA1396" s="868"/>
      <c r="HB1396" s="473"/>
      <c r="HC1396" s="869"/>
      <c r="HD1396" s="870"/>
      <c r="HE1396" s="867"/>
      <c r="HF1396" s="868"/>
      <c r="HG1396" s="473"/>
      <c r="HH1396" s="867"/>
      <c r="HI1396" s="868"/>
      <c r="HJ1396" s="867"/>
      <c r="HK1396" s="868"/>
      <c r="HL1396" s="370"/>
      <c r="HM1396" s="865"/>
      <c r="HN1396" s="866"/>
      <c r="HO1396" s="865"/>
      <c r="HP1396" s="866"/>
      <c r="HQ1396" s="865"/>
      <c r="HR1396" s="866"/>
      <c r="HS1396" s="867"/>
      <c r="HT1396" s="868"/>
      <c r="HU1396" s="489"/>
      <c r="HV1396" s="865"/>
      <c r="HW1396" s="866"/>
    </row>
    <row r="1397" spans="25:231" ht="15" customHeight="1">
      <c r="Y1397" s="332"/>
      <c r="Z1397" s="332"/>
      <c r="AA1397" s="332"/>
      <c r="AB1397" s="332"/>
      <c r="AC1397" s="332"/>
      <c r="AD1397" s="332"/>
      <c r="AE1397" s="332"/>
      <c r="AF1397" s="332"/>
      <c r="AG1397" s="332"/>
      <c r="AH1397" s="332"/>
      <c r="AI1397" s="332"/>
      <c r="AJ1397" s="332"/>
      <c r="AK1397" s="332"/>
      <c r="AL1397" s="332"/>
      <c r="AM1397" s="332"/>
      <c r="AN1397" s="332"/>
      <c r="AO1397" s="332"/>
      <c r="AP1397" s="332"/>
      <c r="AQ1397" s="332"/>
      <c r="AR1397" s="332"/>
      <c r="AS1397" s="332"/>
      <c r="AT1397" s="332"/>
      <c r="AU1397" s="332"/>
      <c r="AV1397" s="332"/>
      <c r="AW1397" s="332"/>
      <c r="AX1397" s="332"/>
      <c r="AY1397" s="332"/>
      <c r="AZ1397" s="332"/>
      <c r="BA1397" s="332"/>
      <c r="BB1397" s="332"/>
      <c r="BC1397" s="332"/>
      <c r="BD1397" s="332"/>
      <c r="BE1397" s="332"/>
      <c r="BF1397" s="332"/>
      <c r="BG1397" s="332"/>
      <c r="BH1397" s="332"/>
      <c r="BI1397" s="332"/>
      <c r="BJ1397" s="332"/>
      <c r="BK1397" s="332"/>
      <c r="BL1397" s="332"/>
      <c r="BM1397" s="332"/>
      <c r="BN1397" s="332"/>
      <c r="BO1397" s="332"/>
      <c r="BP1397" s="332"/>
      <c r="BQ1397" s="332"/>
      <c r="BR1397" s="332"/>
      <c r="BS1397" s="332"/>
      <c r="BT1397" s="332"/>
      <c r="BU1397" s="332"/>
      <c r="BV1397" s="332"/>
      <c r="BW1397" s="332"/>
      <c r="BX1397" s="332"/>
      <c r="BY1397" s="332"/>
      <c r="BZ1397" s="332"/>
      <c r="CA1397" s="332"/>
      <c r="CB1397" s="332"/>
      <c r="CC1397" s="332"/>
      <c r="CD1397" s="332"/>
      <c r="CE1397" s="332"/>
      <c r="CF1397" s="332"/>
      <c r="CG1397" s="332"/>
      <c r="CH1397" s="332"/>
      <c r="CI1397" s="332"/>
      <c r="CJ1397" s="332"/>
      <c r="CK1397" s="332"/>
      <c r="CL1397" s="332"/>
      <c r="CM1397" s="332"/>
      <c r="CN1397" s="332"/>
      <c r="CO1397" s="332"/>
      <c r="CP1397" s="332"/>
      <c r="CQ1397" s="332"/>
      <c r="CR1397" s="332"/>
      <c r="CS1397" s="332"/>
      <c r="CT1397" s="332"/>
      <c r="CU1397" s="332"/>
      <c r="CV1397" s="332"/>
      <c r="CW1397" s="332"/>
      <c r="CX1397" s="332"/>
      <c r="CY1397" s="332"/>
      <c r="CZ1397" s="332"/>
      <c r="DA1397" s="332"/>
      <c r="DB1397" s="332"/>
      <c r="DC1397" s="332"/>
      <c r="DD1397" s="332"/>
      <c r="DE1397" s="332"/>
      <c r="DF1397" s="332"/>
      <c r="DG1397" s="332"/>
      <c r="DH1397" s="332"/>
      <c r="DI1397" s="332"/>
      <c r="DJ1397" s="332"/>
      <c r="DK1397" s="332"/>
      <c r="DL1397" s="332"/>
      <c r="DM1397" s="332"/>
      <c r="DN1397" s="332"/>
      <c r="DO1397" s="332"/>
      <c r="DP1397" s="332"/>
      <c r="DQ1397" s="332"/>
      <c r="DR1397" s="332"/>
      <c r="DS1397" s="332"/>
      <c r="DT1397" s="332"/>
      <c r="DU1397" s="453"/>
      <c r="DV1397" s="453"/>
      <c r="DW1397" s="453"/>
      <c r="DX1397" s="453"/>
      <c r="DY1397" s="453"/>
      <c r="DZ1397" s="453"/>
      <c r="EA1397" s="453"/>
      <c r="EB1397" s="453"/>
      <c r="EC1397" s="453"/>
      <c r="ED1397" s="453"/>
      <c r="EE1397" s="453"/>
      <c r="EF1397" s="453"/>
      <c r="EG1397" s="453"/>
      <c r="EH1397" s="453"/>
      <c r="EI1397" s="453"/>
      <c r="EJ1397" s="453"/>
      <c r="EK1397" s="453"/>
      <c r="EL1397" s="453"/>
      <c r="EM1397" s="483">
        <f t="shared" si="264"/>
        <v>1088</v>
      </c>
      <c r="EN1397" s="485"/>
      <c r="EO1397" s="458"/>
      <c r="EP1397" s="467"/>
      <c r="EQ1397" s="457"/>
      <c r="ER1397" s="808"/>
      <c r="ES1397" s="881">
        <f t="shared" si="265"/>
        <v>0</v>
      </c>
      <c r="ET1397" s="882"/>
      <c r="EU1397" s="883"/>
      <c r="EV1397" s="884">
        <f t="shared" si="266"/>
        <v>0</v>
      </c>
      <c r="EW1397" s="885"/>
      <c r="EX1397" s="885"/>
      <c r="EY1397" s="885"/>
      <c r="EZ1397" s="885"/>
      <c r="FA1397" s="885"/>
      <c r="FB1397" s="885"/>
      <c r="FC1397" s="885"/>
      <c r="FD1397" s="886"/>
      <c r="FE1397" s="877"/>
      <c r="FF1397" s="877"/>
      <c r="FG1397" s="877"/>
      <c r="FH1397" s="877"/>
      <c r="FI1397" s="877"/>
      <c r="FJ1397" s="877"/>
      <c r="FK1397" s="877"/>
      <c r="FL1397" s="874"/>
      <c r="FM1397" s="875"/>
      <c r="FN1397" s="875"/>
      <c r="FO1397" s="875"/>
      <c r="FP1397" s="875"/>
      <c r="FQ1397" s="875"/>
      <c r="FR1397" s="875"/>
      <c r="FS1397" s="875"/>
      <c r="FT1397" s="875"/>
      <c r="FU1397" s="875"/>
      <c r="FV1397" s="875"/>
      <c r="FW1397" s="875"/>
      <c r="FX1397" s="875"/>
      <c r="FY1397" s="875"/>
      <c r="FZ1397" s="875"/>
      <c r="GA1397" s="875"/>
      <c r="GB1397" s="876"/>
      <c r="GC1397" s="370"/>
      <c r="GD1397" s="453"/>
      <c r="GE1397" s="453"/>
      <c r="GF1397" s="453"/>
      <c r="GG1397" s="453"/>
      <c r="GH1397" s="454"/>
      <c r="GI1397" s="453"/>
      <c r="GJ1397" s="453"/>
      <c r="GK1397" s="453"/>
      <c r="GL1397" s="453"/>
      <c r="GM1397" s="453"/>
      <c r="GN1397" s="453"/>
      <c r="GO1397" s="453"/>
      <c r="GP1397" s="453"/>
      <c r="GQ1397" s="453"/>
      <c r="GR1397" s="453"/>
      <c r="GS1397" s="561"/>
      <c r="GT1397" s="475"/>
      <c r="GU1397" s="472"/>
      <c r="GV1397" s="453"/>
      <c r="GW1397" s="453"/>
      <c r="GX1397" s="869"/>
      <c r="GY1397" s="870"/>
      <c r="GZ1397" s="867"/>
      <c r="HA1397" s="868"/>
      <c r="HB1397" s="473"/>
      <c r="HC1397" s="869"/>
      <c r="HD1397" s="870"/>
      <c r="HE1397" s="867"/>
      <c r="HF1397" s="868"/>
      <c r="HG1397" s="473"/>
      <c r="HH1397" s="867"/>
      <c r="HI1397" s="868"/>
      <c r="HJ1397" s="867"/>
      <c r="HK1397" s="868"/>
      <c r="HL1397" s="370"/>
      <c r="HM1397" s="865"/>
      <c r="HN1397" s="866"/>
      <c r="HO1397" s="865"/>
      <c r="HP1397" s="866"/>
      <c r="HQ1397" s="865"/>
      <c r="HR1397" s="866"/>
      <c r="HS1397" s="867"/>
      <c r="HT1397" s="868"/>
      <c r="HU1397" s="489"/>
      <c r="HV1397" s="865"/>
      <c r="HW1397" s="866"/>
    </row>
    <row r="1398" spans="25:231" ht="15" customHeight="1">
      <c r="Y1398" s="332"/>
      <c r="Z1398" s="332"/>
      <c r="AA1398" s="332"/>
      <c r="AB1398" s="332"/>
      <c r="AC1398" s="332"/>
      <c r="AD1398" s="332"/>
      <c r="AE1398" s="332"/>
      <c r="AF1398" s="332"/>
      <c r="AG1398" s="332"/>
      <c r="AH1398" s="332"/>
      <c r="AI1398" s="332"/>
      <c r="AJ1398" s="332"/>
      <c r="AK1398" s="332"/>
      <c r="AL1398" s="332"/>
      <c r="AM1398" s="332"/>
      <c r="AN1398" s="332"/>
      <c r="AO1398" s="332"/>
      <c r="AP1398" s="332"/>
      <c r="AQ1398" s="332"/>
      <c r="AR1398" s="332"/>
      <c r="AS1398" s="332"/>
      <c r="AT1398" s="332"/>
      <c r="AU1398" s="332"/>
      <c r="AV1398" s="332"/>
      <c r="AW1398" s="332"/>
      <c r="AX1398" s="332"/>
      <c r="AY1398" s="332"/>
      <c r="AZ1398" s="332"/>
      <c r="BA1398" s="332"/>
      <c r="BB1398" s="332"/>
      <c r="BC1398" s="332"/>
      <c r="BD1398" s="332"/>
      <c r="BE1398" s="332"/>
      <c r="BF1398" s="332"/>
      <c r="BG1398" s="332"/>
      <c r="BH1398" s="332"/>
      <c r="BI1398" s="332"/>
      <c r="BJ1398" s="332"/>
      <c r="BK1398" s="332"/>
      <c r="BL1398" s="332"/>
      <c r="BM1398" s="332"/>
      <c r="BN1398" s="332"/>
      <c r="BO1398" s="332"/>
      <c r="BP1398" s="332"/>
      <c r="BQ1398" s="332"/>
      <c r="BR1398" s="332"/>
      <c r="BS1398" s="332"/>
      <c r="BT1398" s="332"/>
      <c r="BU1398" s="332"/>
      <c r="BV1398" s="332"/>
      <c r="BW1398" s="332"/>
      <c r="BX1398" s="332"/>
      <c r="BY1398" s="332"/>
      <c r="BZ1398" s="332"/>
      <c r="CA1398" s="332"/>
      <c r="CB1398" s="332"/>
      <c r="CC1398" s="332"/>
      <c r="CD1398" s="332"/>
      <c r="CE1398" s="332"/>
      <c r="CF1398" s="332"/>
      <c r="CG1398" s="332"/>
      <c r="CH1398" s="332"/>
      <c r="CI1398" s="332"/>
      <c r="CJ1398" s="332"/>
      <c r="CK1398" s="332"/>
      <c r="CL1398" s="332"/>
      <c r="CM1398" s="332"/>
      <c r="CN1398" s="332"/>
      <c r="CO1398" s="332"/>
      <c r="CP1398" s="332"/>
      <c r="CQ1398" s="332"/>
      <c r="CR1398" s="332"/>
      <c r="CS1398" s="332"/>
      <c r="CT1398" s="332"/>
      <c r="CU1398" s="332"/>
      <c r="CV1398" s="332"/>
      <c r="CW1398" s="332"/>
      <c r="CX1398" s="332"/>
      <c r="CY1398" s="332"/>
      <c r="CZ1398" s="332"/>
      <c r="DA1398" s="332"/>
      <c r="DB1398" s="332"/>
      <c r="DC1398" s="332"/>
      <c r="DD1398" s="332"/>
      <c r="DE1398" s="332"/>
      <c r="DF1398" s="332"/>
      <c r="DG1398" s="332"/>
      <c r="DH1398" s="332"/>
      <c r="DI1398" s="332"/>
      <c r="DJ1398" s="332"/>
      <c r="DK1398" s="332"/>
      <c r="DL1398" s="332"/>
      <c r="DM1398" s="332"/>
      <c r="DN1398" s="332"/>
      <c r="DO1398" s="332"/>
      <c r="DP1398" s="332"/>
      <c r="DQ1398" s="332"/>
      <c r="DR1398" s="332"/>
      <c r="DS1398" s="332"/>
      <c r="DT1398" s="332"/>
      <c r="DU1398" s="453"/>
      <c r="DV1398" s="453"/>
      <c r="DW1398" s="453"/>
      <c r="DX1398" s="453"/>
      <c r="DY1398" s="453"/>
      <c r="DZ1398" s="453"/>
      <c r="EA1398" s="453"/>
      <c r="EB1398" s="453"/>
      <c r="EC1398" s="453"/>
      <c r="ED1398" s="453"/>
      <c r="EE1398" s="453"/>
      <c r="EF1398" s="453"/>
      <c r="EG1398" s="453"/>
      <c r="EH1398" s="453"/>
      <c r="EI1398" s="453"/>
      <c r="EJ1398" s="453"/>
      <c r="EK1398" s="453"/>
      <c r="EL1398" s="453"/>
      <c r="EM1398" s="483">
        <f t="shared" si="264"/>
        <v>1089</v>
      </c>
      <c r="EN1398" s="485"/>
      <c r="EO1398" s="458"/>
      <c r="EP1398" s="467"/>
      <c r="EQ1398" s="457"/>
      <c r="ER1398" s="808"/>
      <c r="ES1398" s="881">
        <f t="shared" si="265"/>
        <v>0</v>
      </c>
      <c r="ET1398" s="882"/>
      <c r="EU1398" s="883"/>
      <c r="EV1398" s="884">
        <f t="shared" si="266"/>
        <v>0</v>
      </c>
      <c r="EW1398" s="885"/>
      <c r="EX1398" s="885"/>
      <c r="EY1398" s="885"/>
      <c r="EZ1398" s="885"/>
      <c r="FA1398" s="885"/>
      <c r="FB1398" s="885"/>
      <c r="FC1398" s="885"/>
      <c r="FD1398" s="886"/>
      <c r="FE1398" s="877"/>
      <c r="FF1398" s="877"/>
      <c r="FG1398" s="877"/>
      <c r="FH1398" s="877"/>
      <c r="FI1398" s="877"/>
      <c r="FJ1398" s="877"/>
      <c r="FK1398" s="877"/>
      <c r="FL1398" s="874"/>
      <c r="FM1398" s="875"/>
      <c r="FN1398" s="875"/>
      <c r="FO1398" s="875"/>
      <c r="FP1398" s="875"/>
      <c r="FQ1398" s="875"/>
      <c r="FR1398" s="875"/>
      <c r="FS1398" s="875"/>
      <c r="FT1398" s="875"/>
      <c r="FU1398" s="875"/>
      <c r="FV1398" s="875"/>
      <c r="FW1398" s="875"/>
      <c r="FX1398" s="875"/>
      <c r="FY1398" s="875"/>
      <c r="FZ1398" s="875"/>
      <c r="GA1398" s="875"/>
      <c r="GB1398" s="876"/>
      <c r="GC1398" s="370"/>
      <c r="GD1398" s="453"/>
      <c r="GE1398" s="453"/>
      <c r="GF1398" s="453"/>
      <c r="GG1398" s="453"/>
      <c r="GH1398" s="454"/>
      <c r="GI1398" s="453"/>
      <c r="GJ1398" s="453"/>
      <c r="GK1398" s="453"/>
      <c r="GL1398" s="453"/>
      <c r="GM1398" s="453"/>
      <c r="GN1398" s="453"/>
      <c r="GO1398" s="453"/>
      <c r="GP1398" s="453"/>
      <c r="GQ1398" s="453"/>
      <c r="GR1398" s="453"/>
      <c r="GS1398" s="561"/>
      <c r="GT1398" s="475"/>
      <c r="GU1398" s="472"/>
      <c r="GV1398" s="453"/>
      <c r="GW1398" s="453"/>
      <c r="GX1398" s="869"/>
      <c r="GY1398" s="870"/>
      <c r="GZ1398" s="867"/>
      <c r="HA1398" s="868"/>
      <c r="HB1398" s="473"/>
      <c r="HC1398" s="869"/>
      <c r="HD1398" s="870"/>
      <c r="HE1398" s="867"/>
      <c r="HF1398" s="868"/>
      <c r="HG1398" s="473"/>
      <c r="HH1398" s="867"/>
      <c r="HI1398" s="868"/>
      <c r="HJ1398" s="867"/>
      <c r="HK1398" s="868"/>
      <c r="HL1398" s="370"/>
      <c r="HM1398" s="865"/>
      <c r="HN1398" s="866"/>
      <c r="HO1398" s="865"/>
      <c r="HP1398" s="866"/>
      <c r="HQ1398" s="865"/>
      <c r="HR1398" s="866"/>
      <c r="HS1398" s="867"/>
      <c r="HT1398" s="868"/>
      <c r="HU1398" s="489"/>
      <c r="HV1398" s="865"/>
      <c r="HW1398" s="866"/>
    </row>
    <row r="1399" spans="25:231" ht="15" customHeight="1">
      <c r="Y1399" s="332"/>
      <c r="Z1399" s="332"/>
      <c r="AA1399" s="332"/>
      <c r="AB1399" s="332"/>
      <c r="AC1399" s="332"/>
      <c r="AD1399" s="332"/>
      <c r="AE1399" s="332"/>
      <c r="AF1399" s="332"/>
      <c r="AG1399" s="332"/>
      <c r="AH1399" s="332"/>
      <c r="AI1399" s="332"/>
      <c r="AJ1399" s="332"/>
      <c r="AK1399" s="332"/>
      <c r="AL1399" s="332"/>
      <c r="AM1399" s="332"/>
      <c r="AN1399" s="332"/>
      <c r="AO1399" s="332"/>
      <c r="AP1399" s="332"/>
      <c r="AQ1399" s="332"/>
      <c r="AR1399" s="332"/>
      <c r="AS1399" s="332"/>
      <c r="AT1399" s="332"/>
      <c r="AU1399" s="332"/>
      <c r="AV1399" s="332"/>
      <c r="AW1399" s="332"/>
      <c r="AX1399" s="332"/>
      <c r="AY1399" s="332"/>
      <c r="AZ1399" s="332"/>
      <c r="BA1399" s="332"/>
      <c r="BB1399" s="332"/>
      <c r="BC1399" s="332"/>
      <c r="BD1399" s="332"/>
      <c r="BE1399" s="332"/>
      <c r="BF1399" s="332"/>
      <c r="BG1399" s="332"/>
      <c r="BH1399" s="332"/>
      <c r="BI1399" s="332"/>
      <c r="BJ1399" s="332"/>
      <c r="BK1399" s="332"/>
      <c r="BL1399" s="332"/>
      <c r="BM1399" s="332"/>
      <c r="BN1399" s="332"/>
      <c r="BO1399" s="332"/>
      <c r="BP1399" s="332"/>
      <c r="BQ1399" s="332"/>
      <c r="BR1399" s="332"/>
      <c r="BS1399" s="332"/>
      <c r="BT1399" s="332"/>
      <c r="BU1399" s="332"/>
      <c r="BV1399" s="332"/>
      <c r="BW1399" s="332"/>
      <c r="BX1399" s="332"/>
      <c r="BY1399" s="332"/>
      <c r="BZ1399" s="332"/>
      <c r="CA1399" s="332"/>
      <c r="CB1399" s="332"/>
      <c r="CC1399" s="332"/>
      <c r="CD1399" s="332"/>
      <c r="CE1399" s="332"/>
      <c r="CF1399" s="332"/>
      <c r="CG1399" s="332"/>
      <c r="CH1399" s="332"/>
      <c r="CI1399" s="332"/>
      <c r="CJ1399" s="332"/>
      <c r="CK1399" s="332"/>
      <c r="CL1399" s="332"/>
      <c r="CM1399" s="332"/>
      <c r="CN1399" s="332"/>
      <c r="CO1399" s="332"/>
      <c r="CP1399" s="332"/>
      <c r="CQ1399" s="332"/>
      <c r="CR1399" s="332"/>
      <c r="CS1399" s="332"/>
      <c r="CT1399" s="332"/>
      <c r="CU1399" s="332"/>
      <c r="CV1399" s="332"/>
      <c r="CW1399" s="332"/>
      <c r="CX1399" s="332"/>
      <c r="CY1399" s="332"/>
      <c r="CZ1399" s="332"/>
      <c r="DA1399" s="332"/>
      <c r="DB1399" s="332"/>
      <c r="DC1399" s="332"/>
      <c r="DD1399" s="332"/>
      <c r="DE1399" s="332"/>
      <c r="DF1399" s="332"/>
      <c r="DG1399" s="332"/>
      <c r="DH1399" s="332"/>
      <c r="DI1399" s="332"/>
      <c r="DJ1399" s="332"/>
      <c r="DK1399" s="332"/>
      <c r="DL1399" s="332"/>
      <c r="DM1399" s="332"/>
      <c r="DN1399" s="332"/>
      <c r="DO1399" s="332"/>
      <c r="DP1399" s="332"/>
      <c r="DQ1399" s="332"/>
      <c r="DR1399" s="332"/>
      <c r="DS1399" s="332"/>
      <c r="DT1399" s="332"/>
      <c r="DU1399" s="453"/>
      <c r="DV1399" s="453"/>
      <c r="DW1399" s="453"/>
      <c r="DX1399" s="453"/>
      <c r="DY1399" s="453"/>
      <c r="DZ1399" s="453"/>
      <c r="EA1399" s="453"/>
      <c r="EB1399" s="453"/>
      <c r="EC1399" s="453"/>
      <c r="ED1399" s="453"/>
      <c r="EE1399" s="453"/>
      <c r="EF1399" s="453"/>
      <c r="EG1399" s="453"/>
      <c r="EH1399" s="453"/>
      <c r="EI1399" s="453"/>
      <c r="EJ1399" s="453"/>
      <c r="EK1399" s="453"/>
      <c r="EL1399" s="453"/>
      <c r="EM1399" s="483">
        <f t="shared" si="264"/>
        <v>1090</v>
      </c>
      <c r="EN1399" s="485"/>
      <c r="EO1399" s="458"/>
      <c r="EP1399" s="467"/>
      <c r="EQ1399" s="457"/>
      <c r="ER1399" s="808"/>
      <c r="ES1399" s="881">
        <f t="shared" si="265"/>
        <v>0</v>
      </c>
      <c r="ET1399" s="882"/>
      <c r="EU1399" s="883"/>
      <c r="EV1399" s="884">
        <f t="shared" si="266"/>
        <v>0</v>
      </c>
      <c r="EW1399" s="885"/>
      <c r="EX1399" s="885"/>
      <c r="EY1399" s="885"/>
      <c r="EZ1399" s="885"/>
      <c r="FA1399" s="885"/>
      <c r="FB1399" s="885"/>
      <c r="FC1399" s="885"/>
      <c r="FD1399" s="886"/>
      <c r="FE1399" s="877"/>
      <c r="FF1399" s="877"/>
      <c r="FG1399" s="877"/>
      <c r="FH1399" s="877"/>
      <c r="FI1399" s="877"/>
      <c r="FJ1399" s="877"/>
      <c r="FK1399" s="877"/>
      <c r="FL1399" s="874"/>
      <c r="FM1399" s="875"/>
      <c r="FN1399" s="875"/>
      <c r="FO1399" s="875"/>
      <c r="FP1399" s="875"/>
      <c r="FQ1399" s="875"/>
      <c r="FR1399" s="875"/>
      <c r="FS1399" s="875"/>
      <c r="FT1399" s="875"/>
      <c r="FU1399" s="875"/>
      <c r="FV1399" s="875"/>
      <c r="FW1399" s="875"/>
      <c r="FX1399" s="875"/>
      <c r="FY1399" s="875"/>
      <c r="FZ1399" s="875"/>
      <c r="GA1399" s="875"/>
      <c r="GB1399" s="876"/>
      <c r="GC1399" s="370"/>
      <c r="GD1399" s="453"/>
      <c r="GE1399" s="453"/>
      <c r="GF1399" s="453"/>
      <c r="GG1399" s="453"/>
      <c r="GH1399" s="454"/>
      <c r="GI1399" s="453"/>
      <c r="GJ1399" s="453"/>
      <c r="GK1399" s="453"/>
      <c r="GL1399" s="453"/>
      <c r="GM1399" s="453"/>
      <c r="GN1399" s="453"/>
      <c r="GO1399" s="453"/>
      <c r="GP1399" s="453"/>
      <c r="GQ1399" s="453"/>
      <c r="GR1399" s="453"/>
      <c r="GS1399" s="561"/>
      <c r="GT1399" s="475"/>
      <c r="GU1399" s="472"/>
      <c r="GV1399" s="453"/>
      <c r="GW1399" s="453"/>
      <c r="GX1399" s="869"/>
      <c r="GY1399" s="870"/>
      <c r="GZ1399" s="867"/>
      <c r="HA1399" s="868"/>
      <c r="HB1399" s="473"/>
      <c r="HC1399" s="869"/>
      <c r="HD1399" s="870"/>
      <c r="HE1399" s="867"/>
      <c r="HF1399" s="868"/>
      <c r="HG1399" s="473"/>
      <c r="HH1399" s="867"/>
      <c r="HI1399" s="868"/>
      <c r="HJ1399" s="867"/>
      <c r="HK1399" s="868"/>
      <c r="HL1399" s="370"/>
      <c r="HM1399" s="865"/>
      <c r="HN1399" s="866"/>
      <c r="HO1399" s="865"/>
      <c r="HP1399" s="866"/>
      <c r="HQ1399" s="865"/>
      <c r="HR1399" s="866"/>
      <c r="HS1399" s="867"/>
      <c r="HT1399" s="868"/>
      <c r="HU1399" s="489"/>
      <c r="HV1399" s="865"/>
      <c r="HW1399" s="866"/>
    </row>
    <row r="1400" spans="25:231" ht="15" customHeight="1">
      <c r="Y1400" s="332"/>
      <c r="Z1400" s="332"/>
      <c r="AA1400" s="332"/>
      <c r="AB1400" s="332"/>
      <c r="AC1400" s="332"/>
      <c r="AD1400" s="332"/>
      <c r="AE1400" s="332"/>
      <c r="AF1400" s="332"/>
      <c r="AG1400" s="332"/>
      <c r="AH1400" s="332"/>
      <c r="AI1400" s="332"/>
      <c r="AJ1400" s="332"/>
      <c r="AK1400" s="332"/>
      <c r="AL1400" s="332"/>
      <c r="AM1400" s="332"/>
      <c r="AN1400" s="332"/>
      <c r="AO1400" s="332"/>
      <c r="AP1400" s="332"/>
      <c r="AQ1400" s="332"/>
      <c r="AR1400" s="332"/>
      <c r="AS1400" s="332"/>
      <c r="AT1400" s="332"/>
      <c r="AU1400" s="332"/>
      <c r="AV1400" s="332"/>
      <c r="AW1400" s="332"/>
      <c r="AX1400" s="332"/>
      <c r="AY1400" s="332"/>
      <c r="AZ1400" s="332"/>
      <c r="BA1400" s="332"/>
      <c r="BB1400" s="332"/>
      <c r="BC1400" s="332"/>
      <c r="BD1400" s="332"/>
      <c r="BE1400" s="332"/>
      <c r="BF1400" s="332"/>
      <c r="BG1400" s="332"/>
      <c r="BH1400" s="332"/>
      <c r="BI1400" s="332"/>
      <c r="BJ1400" s="332"/>
      <c r="BK1400" s="332"/>
      <c r="BL1400" s="332"/>
      <c r="BM1400" s="332"/>
      <c r="BN1400" s="332"/>
      <c r="BO1400" s="332"/>
      <c r="BP1400" s="332"/>
      <c r="BQ1400" s="332"/>
      <c r="BR1400" s="332"/>
      <c r="BS1400" s="332"/>
      <c r="BT1400" s="332"/>
      <c r="BU1400" s="332"/>
      <c r="BV1400" s="332"/>
      <c r="BW1400" s="332"/>
      <c r="BX1400" s="332"/>
      <c r="BY1400" s="332"/>
      <c r="BZ1400" s="332"/>
      <c r="CA1400" s="332"/>
      <c r="CB1400" s="332"/>
      <c r="CC1400" s="332"/>
      <c r="CD1400" s="332"/>
      <c r="CE1400" s="332"/>
      <c r="CF1400" s="332"/>
      <c r="CG1400" s="332"/>
      <c r="CH1400" s="332"/>
      <c r="CI1400" s="332"/>
      <c r="CJ1400" s="332"/>
      <c r="CK1400" s="332"/>
      <c r="CL1400" s="332"/>
      <c r="CM1400" s="332"/>
      <c r="CN1400" s="332"/>
      <c r="CO1400" s="332"/>
      <c r="CP1400" s="332"/>
      <c r="CQ1400" s="332"/>
      <c r="CR1400" s="332"/>
      <c r="CS1400" s="332"/>
      <c r="CT1400" s="332"/>
      <c r="CU1400" s="332"/>
      <c r="CV1400" s="332"/>
      <c r="CW1400" s="332"/>
      <c r="CX1400" s="332"/>
      <c r="CY1400" s="332"/>
      <c r="CZ1400" s="332"/>
      <c r="DA1400" s="332"/>
      <c r="DB1400" s="332"/>
      <c r="DC1400" s="332"/>
      <c r="DD1400" s="332"/>
      <c r="DE1400" s="332"/>
      <c r="DF1400" s="332"/>
      <c r="DG1400" s="332"/>
      <c r="DH1400" s="332"/>
      <c r="DI1400" s="332"/>
      <c r="DJ1400" s="332"/>
      <c r="DK1400" s="332"/>
      <c r="DL1400" s="332"/>
      <c r="DM1400" s="332"/>
      <c r="DN1400" s="332"/>
      <c r="DO1400" s="332"/>
      <c r="DP1400" s="332"/>
      <c r="DQ1400" s="332"/>
      <c r="DR1400" s="332"/>
      <c r="DS1400" s="332"/>
      <c r="DT1400" s="332"/>
      <c r="DU1400" s="453"/>
      <c r="DV1400" s="453"/>
      <c r="DW1400" s="453"/>
      <c r="DX1400" s="453"/>
      <c r="DY1400" s="453"/>
      <c r="DZ1400" s="453"/>
      <c r="EA1400" s="453"/>
      <c r="EB1400" s="453"/>
      <c r="EC1400" s="453"/>
      <c r="ED1400" s="453"/>
      <c r="EE1400" s="453"/>
      <c r="EF1400" s="453"/>
      <c r="EG1400" s="453"/>
      <c r="EH1400" s="453"/>
      <c r="EI1400" s="453"/>
      <c r="EJ1400" s="453"/>
      <c r="EK1400" s="453"/>
      <c r="EL1400" s="453"/>
      <c r="EM1400" s="483">
        <f t="shared" si="264"/>
        <v>1091</v>
      </c>
      <c r="EN1400" s="485"/>
      <c r="EO1400" s="458"/>
      <c r="EP1400" s="467"/>
      <c r="EQ1400" s="457"/>
      <c r="ER1400" s="808"/>
      <c r="ES1400" s="881">
        <f t="shared" si="265"/>
        <v>0</v>
      </c>
      <c r="ET1400" s="882"/>
      <c r="EU1400" s="883"/>
      <c r="EV1400" s="884">
        <f t="shared" si="266"/>
        <v>0</v>
      </c>
      <c r="EW1400" s="885"/>
      <c r="EX1400" s="885"/>
      <c r="EY1400" s="885"/>
      <c r="EZ1400" s="885"/>
      <c r="FA1400" s="885"/>
      <c r="FB1400" s="885"/>
      <c r="FC1400" s="885"/>
      <c r="FD1400" s="886"/>
      <c r="FE1400" s="877"/>
      <c r="FF1400" s="877"/>
      <c r="FG1400" s="877"/>
      <c r="FH1400" s="877"/>
      <c r="FI1400" s="877"/>
      <c r="FJ1400" s="877"/>
      <c r="FK1400" s="877"/>
      <c r="FL1400" s="874"/>
      <c r="FM1400" s="875"/>
      <c r="FN1400" s="875"/>
      <c r="FO1400" s="875"/>
      <c r="FP1400" s="875"/>
      <c r="FQ1400" s="875"/>
      <c r="FR1400" s="875"/>
      <c r="FS1400" s="875"/>
      <c r="FT1400" s="875"/>
      <c r="FU1400" s="875"/>
      <c r="FV1400" s="875"/>
      <c r="FW1400" s="875"/>
      <c r="FX1400" s="875"/>
      <c r="FY1400" s="875"/>
      <c r="FZ1400" s="875"/>
      <c r="GA1400" s="875"/>
      <c r="GB1400" s="876"/>
      <c r="GC1400" s="370"/>
      <c r="GD1400" s="453"/>
      <c r="GE1400" s="453"/>
      <c r="GF1400" s="453"/>
      <c r="GG1400" s="453"/>
      <c r="GH1400" s="454"/>
      <c r="GI1400" s="453"/>
      <c r="GJ1400" s="453"/>
      <c r="GK1400" s="453"/>
      <c r="GL1400" s="453"/>
      <c r="GM1400" s="453"/>
      <c r="GN1400" s="453"/>
      <c r="GO1400" s="453"/>
      <c r="GP1400" s="453"/>
      <c r="GQ1400" s="453"/>
      <c r="GR1400" s="453"/>
      <c r="GS1400" s="561"/>
      <c r="GT1400" s="475"/>
      <c r="GU1400" s="472"/>
      <c r="GV1400" s="453"/>
      <c r="GW1400" s="453"/>
      <c r="GX1400" s="869"/>
      <c r="GY1400" s="870"/>
      <c r="GZ1400" s="867"/>
      <c r="HA1400" s="868"/>
      <c r="HB1400" s="473"/>
      <c r="HC1400" s="869"/>
      <c r="HD1400" s="870"/>
      <c r="HE1400" s="867"/>
      <c r="HF1400" s="868"/>
      <c r="HG1400" s="473"/>
      <c r="HH1400" s="867"/>
      <c r="HI1400" s="868"/>
      <c r="HJ1400" s="867"/>
      <c r="HK1400" s="868"/>
      <c r="HL1400" s="370"/>
      <c r="HM1400" s="865"/>
      <c r="HN1400" s="866"/>
      <c r="HO1400" s="865"/>
      <c r="HP1400" s="866"/>
      <c r="HQ1400" s="865"/>
      <c r="HR1400" s="866"/>
      <c r="HS1400" s="867"/>
      <c r="HT1400" s="868"/>
      <c r="HU1400" s="489"/>
      <c r="HV1400" s="865"/>
      <c r="HW1400" s="866"/>
    </row>
    <row r="1401" spans="25:231" ht="15" customHeight="1">
      <c r="Y1401" s="332"/>
      <c r="Z1401" s="332"/>
      <c r="AA1401" s="332"/>
      <c r="AB1401" s="332"/>
      <c r="AC1401" s="332"/>
      <c r="AD1401" s="332"/>
      <c r="AE1401" s="332"/>
      <c r="AF1401" s="332"/>
      <c r="AG1401" s="332"/>
      <c r="AH1401" s="332"/>
      <c r="AI1401" s="332"/>
      <c r="AJ1401" s="332"/>
      <c r="AK1401" s="332"/>
      <c r="AL1401" s="332"/>
      <c r="AM1401" s="332"/>
      <c r="AN1401" s="332"/>
      <c r="AO1401" s="332"/>
      <c r="AP1401" s="332"/>
      <c r="AQ1401" s="332"/>
      <c r="AR1401" s="332"/>
      <c r="AS1401" s="332"/>
      <c r="AT1401" s="332"/>
      <c r="AU1401" s="332"/>
      <c r="AV1401" s="332"/>
      <c r="AW1401" s="332"/>
      <c r="AX1401" s="332"/>
      <c r="AY1401" s="332"/>
      <c r="AZ1401" s="332"/>
      <c r="BA1401" s="332"/>
      <c r="BB1401" s="332"/>
      <c r="BC1401" s="332"/>
      <c r="BD1401" s="332"/>
      <c r="BE1401" s="332"/>
      <c r="BF1401" s="332"/>
      <c r="BG1401" s="332"/>
      <c r="BH1401" s="332"/>
      <c r="BI1401" s="332"/>
      <c r="BJ1401" s="332"/>
      <c r="BK1401" s="332"/>
      <c r="BL1401" s="332"/>
      <c r="BM1401" s="332"/>
      <c r="BN1401" s="332"/>
      <c r="BO1401" s="332"/>
      <c r="BP1401" s="332"/>
      <c r="BQ1401" s="332"/>
      <c r="BR1401" s="332"/>
      <c r="BS1401" s="332"/>
      <c r="BT1401" s="332"/>
      <c r="BU1401" s="332"/>
      <c r="BV1401" s="332"/>
      <c r="BW1401" s="332"/>
      <c r="BX1401" s="332"/>
      <c r="BY1401" s="332"/>
      <c r="BZ1401" s="332"/>
      <c r="CA1401" s="332"/>
      <c r="CB1401" s="332"/>
      <c r="CC1401" s="332"/>
      <c r="CD1401" s="332"/>
      <c r="CE1401" s="332"/>
      <c r="CF1401" s="332"/>
      <c r="CG1401" s="332"/>
      <c r="CH1401" s="332"/>
      <c r="CI1401" s="332"/>
      <c r="CJ1401" s="332"/>
      <c r="CK1401" s="332"/>
      <c r="CL1401" s="332"/>
      <c r="CM1401" s="332"/>
      <c r="CN1401" s="332"/>
      <c r="CO1401" s="332"/>
      <c r="CP1401" s="332"/>
      <c r="CQ1401" s="332"/>
      <c r="CR1401" s="332"/>
      <c r="CS1401" s="332"/>
      <c r="CT1401" s="332"/>
      <c r="CU1401" s="332"/>
      <c r="CV1401" s="332"/>
      <c r="CW1401" s="332"/>
      <c r="CX1401" s="332"/>
      <c r="CY1401" s="332"/>
      <c r="CZ1401" s="332"/>
      <c r="DA1401" s="332"/>
      <c r="DB1401" s="332"/>
      <c r="DC1401" s="332"/>
      <c r="DD1401" s="332"/>
      <c r="DE1401" s="332"/>
      <c r="DF1401" s="332"/>
      <c r="DG1401" s="332"/>
      <c r="DH1401" s="332"/>
      <c r="DI1401" s="332"/>
      <c r="DJ1401" s="332"/>
      <c r="DK1401" s="332"/>
      <c r="DL1401" s="332"/>
      <c r="DM1401" s="332"/>
      <c r="DN1401" s="332"/>
      <c r="DO1401" s="332"/>
      <c r="DP1401" s="332"/>
      <c r="DQ1401" s="332"/>
      <c r="DR1401" s="332"/>
      <c r="DS1401" s="332"/>
      <c r="DT1401" s="332"/>
      <c r="DU1401" s="453"/>
      <c r="DV1401" s="453"/>
      <c r="DW1401" s="453"/>
      <c r="DX1401" s="453"/>
      <c r="DY1401" s="453"/>
      <c r="DZ1401" s="453"/>
      <c r="EA1401" s="453"/>
      <c r="EB1401" s="453"/>
      <c r="EC1401" s="453"/>
      <c r="ED1401" s="453"/>
      <c r="EE1401" s="453"/>
      <c r="EF1401" s="453"/>
      <c r="EG1401" s="453"/>
      <c r="EH1401" s="453"/>
      <c r="EI1401" s="453"/>
      <c r="EJ1401" s="453"/>
      <c r="EK1401" s="453"/>
      <c r="EL1401" s="453"/>
      <c r="EM1401" s="483">
        <f t="shared" si="264"/>
        <v>1092</v>
      </c>
      <c r="EN1401" s="485"/>
      <c r="EO1401" s="458"/>
      <c r="EP1401" s="467"/>
      <c r="EQ1401" s="457"/>
      <c r="ER1401" s="808"/>
      <c r="ES1401" s="881">
        <f t="shared" si="265"/>
        <v>0</v>
      </c>
      <c r="ET1401" s="882"/>
      <c r="EU1401" s="883"/>
      <c r="EV1401" s="884">
        <f t="shared" si="266"/>
        <v>0</v>
      </c>
      <c r="EW1401" s="885"/>
      <c r="EX1401" s="885"/>
      <c r="EY1401" s="885"/>
      <c r="EZ1401" s="885"/>
      <c r="FA1401" s="885"/>
      <c r="FB1401" s="885"/>
      <c r="FC1401" s="885"/>
      <c r="FD1401" s="886"/>
      <c r="FE1401" s="877"/>
      <c r="FF1401" s="877"/>
      <c r="FG1401" s="877"/>
      <c r="FH1401" s="877"/>
      <c r="FI1401" s="877"/>
      <c r="FJ1401" s="877"/>
      <c r="FK1401" s="877"/>
      <c r="FL1401" s="874"/>
      <c r="FM1401" s="875"/>
      <c r="FN1401" s="875"/>
      <c r="FO1401" s="875"/>
      <c r="FP1401" s="875"/>
      <c r="FQ1401" s="875"/>
      <c r="FR1401" s="875"/>
      <c r="FS1401" s="875"/>
      <c r="FT1401" s="875"/>
      <c r="FU1401" s="875"/>
      <c r="FV1401" s="875"/>
      <c r="FW1401" s="875"/>
      <c r="FX1401" s="875"/>
      <c r="FY1401" s="875"/>
      <c r="FZ1401" s="875"/>
      <c r="GA1401" s="875"/>
      <c r="GB1401" s="876"/>
      <c r="GC1401" s="370"/>
      <c r="GD1401" s="453"/>
      <c r="GE1401" s="453"/>
      <c r="GF1401" s="453"/>
      <c r="GG1401" s="453"/>
      <c r="GH1401" s="454"/>
      <c r="GI1401" s="453"/>
      <c r="GJ1401" s="453"/>
      <c r="GK1401" s="453"/>
      <c r="GL1401" s="453"/>
      <c r="GM1401" s="453"/>
      <c r="GN1401" s="453"/>
      <c r="GO1401" s="453"/>
      <c r="GP1401" s="453"/>
      <c r="GQ1401" s="453"/>
      <c r="GR1401" s="453"/>
      <c r="GS1401" s="561"/>
      <c r="GT1401" s="475"/>
      <c r="GU1401" s="472"/>
      <c r="GV1401" s="453"/>
      <c r="GW1401" s="453"/>
      <c r="GX1401" s="869"/>
      <c r="GY1401" s="870"/>
      <c r="GZ1401" s="867"/>
      <c r="HA1401" s="868"/>
      <c r="HB1401" s="473"/>
      <c r="HC1401" s="869"/>
      <c r="HD1401" s="870"/>
      <c r="HE1401" s="867"/>
      <c r="HF1401" s="868"/>
      <c r="HG1401" s="473"/>
      <c r="HH1401" s="867"/>
      <c r="HI1401" s="868"/>
      <c r="HJ1401" s="867"/>
      <c r="HK1401" s="868"/>
      <c r="HL1401" s="370"/>
      <c r="HM1401" s="865"/>
      <c r="HN1401" s="866"/>
      <c r="HO1401" s="865"/>
      <c r="HP1401" s="866"/>
      <c r="HQ1401" s="865"/>
      <c r="HR1401" s="866"/>
      <c r="HS1401" s="867"/>
      <c r="HT1401" s="868"/>
      <c r="HU1401" s="489"/>
      <c r="HV1401" s="865"/>
      <c r="HW1401" s="866"/>
    </row>
    <row r="1402" spans="25:231" ht="15" customHeight="1">
      <c r="Y1402" s="332"/>
      <c r="Z1402" s="332"/>
      <c r="AA1402" s="332"/>
      <c r="AB1402" s="332"/>
      <c r="AC1402" s="332"/>
      <c r="AD1402" s="332"/>
      <c r="AE1402" s="332"/>
      <c r="AF1402" s="332"/>
      <c r="AG1402" s="332"/>
      <c r="AH1402" s="332"/>
      <c r="AI1402" s="332"/>
      <c r="AJ1402" s="332"/>
      <c r="AK1402" s="332"/>
      <c r="AL1402" s="332"/>
      <c r="AM1402" s="332"/>
      <c r="AN1402" s="332"/>
      <c r="AO1402" s="332"/>
      <c r="AP1402" s="332"/>
      <c r="AQ1402" s="332"/>
      <c r="AR1402" s="332"/>
      <c r="AS1402" s="332"/>
      <c r="AT1402" s="332"/>
      <c r="AU1402" s="332"/>
      <c r="AV1402" s="332"/>
      <c r="AW1402" s="332"/>
      <c r="AX1402" s="332"/>
      <c r="AY1402" s="332"/>
      <c r="AZ1402" s="332"/>
      <c r="BA1402" s="332"/>
      <c r="BB1402" s="332"/>
      <c r="BC1402" s="332"/>
      <c r="BD1402" s="332"/>
      <c r="BE1402" s="332"/>
      <c r="BF1402" s="332"/>
      <c r="BG1402" s="332"/>
      <c r="BH1402" s="332"/>
      <c r="BI1402" s="332"/>
      <c r="BJ1402" s="332"/>
      <c r="BK1402" s="332"/>
      <c r="BL1402" s="332"/>
      <c r="BM1402" s="332"/>
      <c r="BN1402" s="332"/>
      <c r="BO1402" s="332"/>
      <c r="BP1402" s="332"/>
      <c r="BQ1402" s="332"/>
      <c r="BR1402" s="332"/>
      <c r="BS1402" s="332"/>
      <c r="BT1402" s="332"/>
      <c r="BU1402" s="332"/>
      <c r="BV1402" s="332"/>
      <c r="BW1402" s="332"/>
      <c r="BX1402" s="332"/>
      <c r="BY1402" s="332"/>
      <c r="BZ1402" s="332"/>
      <c r="CA1402" s="332"/>
      <c r="CB1402" s="332"/>
      <c r="CC1402" s="332"/>
      <c r="CD1402" s="332"/>
      <c r="CE1402" s="332"/>
      <c r="CF1402" s="332"/>
      <c r="CG1402" s="332"/>
      <c r="CH1402" s="332"/>
      <c r="CI1402" s="332"/>
      <c r="CJ1402" s="332"/>
      <c r="CK1402" s="332"/>
      <c r="CL1402" s="332"/>
      <c r="CM1402" s="332"/>
      <c r="CN1402" s="332"/>
      <c r="CO1402" s="332"/>
      <c r="CP1402" s="332"/>
      <c r="CQ1402" s="332"/>
      <c r="CR1402" s="332"/>
      <c r="CS1402" s="332"/>
      <c r="CT1402" s="332"/>
      <c r="CU1402" s="332"/>
      <c r="CV1402" s="332"/>
      <c r="CW1402" s="332"/>
      <c r="CX1402" s="332"/>
      <c r="CY1402" s="332"/>
      <c r="CZ1402" s="332"/>
      <c r="DA1402" s="332"/>
      <c r="DB1402" s="332"/>
      <c r="DC1402" s="332"/>
      <c r="DD1402" s="332"/>
      <c r="DE1402" s="332"/>
      <c r="DF1402" s="332"/>
      <c r="DG1402" s="332"/>
      <c r="DH1402" s="332"/>
      <c r="DI1402" s="332"/>
      <c r="DJ1402" s="332"/>
      <c r="DK1402" s="332"/>
      <c r="DL1402" s="332"/>
      <c r="DM1402" s="332"/>
      <c r="DN1402" s="332"/>
      <c r="DO1402" s="332"/>
      <c r="DP1402" s="332"/>
      <c r="DQ1402" s="332"/>
      <c r="DR1402" s="332"/>
      <c r="DS1402" s="332"/>
      <c r="DT1402" s="332"/>
      <c r="DU1402" s="453"/>
      <c r="DV1402" s="453"/>
      <c r="DW1402" s="453"/>
      <c r="DX1402" s="453"/>
      <c r="DY1402" s="453"/>
      <c r="DZ1402" s="453"/>
      <c r="EA1402" s="453"/>
      <c r="EB1402" s="453"/>
      <c r="EC1402" s="453"/>
      <c r="ED1402" s="453"/>
      <c r="EE1402" s="453"/>
      <c r="EF1402" s="453"/>
      <c r="EG1402" s="453"/>
      <c r="EH1402" s="453"/>
      <c r="EI1402" s="453"/>
      <c r="EJ1402" s="453"/>
      <c r="EK1402" s="453"/>
      <c r="EL1402" s="453"/>
      <c r="EM1402" s="483">
        <f t="shared" si="264"/>
        <v>1093</v>
      </c>
      <c r="EN1402" s="485"/>
      <c r="EO1402" s="458"/>
      <c r="EP1402" s="467"/>
      <c r="EQ1402" s="457"/>
      <c r="ER1402" s="808"/>
      <c r="ES1402" s="881">
        <f t="shared" si="265"/>
        <v>0</v>
      </c>
      <c r="ET1402" s="882"/>
      <c r="EU1402" s="883"/>
      <c r="EV1402" s="884">
        <f t="shared" si="266"/>
        <v>0</v>
      </c>
      <c r="EW1402" s="885"/>
      <c r="EX1402" s="885"/>
      <c r="EY1402" s="885"/>
      <c r="EZ1402" s="885"/>
      <c r="FA1402" s="885"/>
      <c r="FB1402" s="885"/>
      <c r="FC1402" s="885"/>
      <c r="FD1402" s="886"/>
      <c r="FE1402" s="877"/>
      <c r="FF1402" s="877"/>
      <c r="FG1402" s="877"/>
      <c r="FH1402" s="877"/>
      <c r="FI1402" s="877"/>
      <c r="FJ1402" s="877"/>
      <c r="FK1402" s="877"/>
      <c r="FL1402" s="874"/>
      <c r="FM1402" s="875"/>
      <c r="FN1402" s="875"/>
      <c r="FO1402" s="875"/>
      <c r="FP1402" s="875"/>
      <c r="FQ1402" s="875"/>
      <c r="FR1402" s="875"/>
      <c r="FS1402" s="875"/>
      <c r="FT1402" s="875"/>
      <c r="FU1402" s="875"/>
      <c r="FV1402" s="875"/>
      <c r="FW1402" s="875"/>
      <c r="FX1402" s="875"/>
      <c r="FY1402" s="875"/>
      <c r="FZ1402" s="875"/>
      <c r="GA1402" s="875"/>
      <c r="GB1402" s="876"/>
      <c r="GC1402" s="370"/>
      <c r="GD1402" s="453"/>
      <c r="GE1402" s="453"/>
      <c r="GF1402" s="453"/>
      <c r="GG1402" s="453"/>
      <c r="GH1402" s="454"/>
      <c r="GI1402" s="453"/>
      <c r="GJ1402" s="453"/>
      <c r="GK1402" s="453"/>
      <c r="GL1402" s="453"/>
      <c r="GM1402" s="453"/>
      <c r="GN1402" s="453"/>
      <c r="GO1402" s="453"/>
      <c r="GP1402" s="453"/>
      <c r="GQ1402" s="453"/>
      <c r="GR1402" s="453"/>
      <c r="GS1402" s="561"/>
      <c r="GT1402" s="475"/>
      <c r="GU1402" s="472"/>
      <c r="GV1402" s="453"/>
      <c r="GW1402" s="453"/>
      <c r="GX1402" s="869"/>
      <c r="GY1402" s="870"/>
      <c r="GZ1402" s="867"/>
      <c r="HA1402" s="868"/>
      <c r="HB1402" s="473"/>
      <c r="HC1402" s="869"/>
      <c r="HD1402" s="870"/>
      <c r="HE1402" s="867"/>
      <c r="HF1402" s="868"/>
      <c r="HG1402" s="473"/>
      <c r="HH1402" s="867"/>
      <c r="HI1402" s="868"/>
      <c r="HJ1402" s="867"/>
      <c r="HK1402" s="868"/>
      <c r="HL1402" s="370"/>
      <c r="HM1402" s="865"/>
      <c r="HN1402" s="866"/>
      <c r="HO1402" s="865"/>
      <c r="HP1402" s="866"/>
      <c r="HQ1402" s="865"/>
      <c r="HR1402" s="866"/>
      <c r="HS1402" s="867"/>
      <c r="HT1402" s="868"/>
      <c r="HU1402" s="489"/>
      <c r="HV1402" s="865"/>
      <c r="HW1402" s="866"/>
    </row>
    <row r="1403" spans="25:231" ht="15" customHeight="1">
      <c r="Y1403" s="332"/>
      <c r="Z1403" s="332"/>
      <c r="AA1403" s="332"/>
      <c r="AB1403" s="332"/>
      <c r="AC1403" s="332"/>
      <c r="AD1403" s="332"/>
      <c r="AE1403" s="332"/>
      <c r="AF1403" s="332"/>
      <c r="AG1403" s="332"/>
      <c r="AH1403" s="332"/>
      <c r="AI1403" s="332"/>
      <c r="AJ1403" s="332"/>
      <c r="AK1403" s="332"/>
      <c r="AL1403" s="332"/>
      <c r="AM1403" s="332"/>
      <c r="AN1403" s="332"/>
      <c r="AO1403" s="332"/>
      <c r="AP1403" s="332"/>
      <c r="AQ1403" s="332"/>
      <c r="AR1403" s="332"/>
      <c r="AS1403" s="332"/>
      <c r="AT1403" s="332"/>
      <c r="AU1403" s="332"/>
      <c r="AV1403" s="332"/>
      <c r="AW1403" s="332"/>
      <c r="AX1403" s="332"/>
      <c r="AY1403" s="332"/>
      <c r="AZ1403" s="332"/>
      <c r="BA1403" s="332"/>
      <c r="BB1403" s="332"/>
      <c r="BC1403" s="332"/>
      <c r="BD1403" s="332"/>
      <c r="BE1403" s="332"/>
      <c r="BF1403" s="332"/>
      <c r="BG1403" s="332"/>
      <c r="BH1403" s="332"/>
      <c r="BI1403" s="332"/>
      <c r="BJ1403" s="332"/>
      <c r="BK1403" s="332"/>
      <c r="BL1403" s="332"/>
      <c r="BM1403" s="332"/>
      <c r="BN1403" s="332"/>
      <c r="BO1403" s="332"/>
      <c r="BP1403" s="332"/>
      <c r="BQ1403" s="332"/>
      <c r="BR1403" s="332"/>
      <c r="BS1403" s="332"/>
      <c r="BT1403" s="332"/>
      <c r="BU1403" s="332"/>
      <c r="BV1403" s="332"/>
      <c r="BW1403" s="332"/>
      <c r="BX1403" s="332"/>
      <c r="BY1403" s="332"/>
      <c r="BZ1403" s="332"/>
      <c r="CA1403" s="332"/>
      <c r="CB1403" s="332"/>
      <c r="CC1403" s="332"/>
      <c r="CD1403" s="332"/>
      <c r="CE1403" s="332"/>
      <c r="CF1403" s="332"/>
      <c r="CG1403" s="332"/>
      <c r="CH1403" s="332"/>
      <c r="CI1403" s="332"/>
      <c r="CJ1403" s="332"/>
      <c r="CK1403" s="332"/>
      <c r="CL1403" s="332"/>
      <c r="CM1403" s="332"/>
      <c r="CN1403" s="332"/>
      <c r="CO1403" s="332"/>
      <c r="CP1403" s="332"/>
      <c r="CQ1403" s="332"/>
      <c r="CR1403" s="332"/>
      <c r="CS1403" s="332"/>
      <c r="CT1403" s="332"/>
      <c r="CU1403" s="332"/>
      <c r="CV1403" s="332"/>
      <c r="CW1403" s="332"/>
      <c r="CX1403" s="332"/>
      <c r="CY1403" s="332"/>
      <c r="CZ1403" s="332"/>
      <c r="DA1403" s="332"/>
      <c r="DB1403" s="332"/>
      <c r="DC1403" s="332"/>
      <c r="DD1403" s="332"/>
      <c r="DE1403" s="332"/>
      <c r="DF1403" s="332"/>
      <c r="DG1403" s="332"/>
      <c r="DH1403" s="332"/>
      <c r="DI1403" s="332"/>
      <c r="DJ1403" s="332"/>
      <c r="DK1403" s="332"/>
      <c r="DL1403" s="332"/>
      <c r="DM1403" s="332"/>
      <c r="DN1403" s="332"/>
      <c r="DO1403" s="332"/>
      <c r="DP1403" s="332"/>
      <c r="DQ1403" s="332"/>
      <c r="DR1403" s="332"/>
      <c r="DS1403" s="332"/>
      <c r="DT1403" s="332"/>
      <c r="DU1403" s="453"/>
      <c r="DV1403" s="453"/>
      <c r="DW1403" s="453"/>
      <c r="DX1403" s="453"/>
      <c r="DY1403" s="453"/>
      <c r="DZ1403" s="453"/>
      <c r="EA1403" s="453"/>
      <c r="EB1403" s="453"/>
      <c r="EC1403" s="453"/>
      <c r="ED1403" s="453"/>
      <c r="EE1403" s="453"/>
      <c r="EF1403" s="453"/>
      <c r="EG1403" s="453"/>
      <c r="EH1403" s="453"/>
      <c r="EI1403" s="453"/>
      <c r="EJ1403" s="453"/>
      <c r="EK1403" s="453"/>
      <c r="EL1403" s="453"/>
      <c r="EM1403" s="483">
        <f t="shared" si="264"/>
        <v>1094</v>
      </c>
      <c r="EN1403" s="485"/>
      <c r="EO1403" s="458"/>
      <c r="EP1403" s="467"/>
      <c r="EQ1403" s="457"/>
      <c r="ER1403" s="808"/>
      <c r="ES1403" s="881">
        <f t="shared" si="265"/>
        <v>0</v>
      </c>
      <c r="ET1403" s="882"/>
      <c r="EU1403" s="883"/>
      <c r="EV1403" s="884">
        <f t="shared" si="266"/>
        <v>0</v>
      </c>
      <c r="EW1403" s="885"/>
      <c r="EX1403" s="885"/>
      <c r="EY1403" s="885"/>
      <c r="EZ1403" s="885"/>
      <c r="FA1403" s="885"/>
      <c r="FB1403" s="885"/>
      <c r="FC1403" s="885"/>
      <c r="FD1403" s="886"/>
      <c r="FE1403" s="877"/>
      <c r="FF1403" s="877"/>
      <c r="FG1403" s="877"/>
      <c r="FH1403" s="877"/>
      <c r="FI1403" s="877"/>
      <c r="FJ1403" s="877"/>
      <c r="FK1403" s="877"/>
      <c r="FL1403" s="874"/>
      <c r="FM1403" s="875"/>
      <c r="FN1403" s="875"/>
      <c r="FO1403" s="875"/>
      <c r="FP1403" s="875"/>
      <c r="FQ1403" s="875"/>
      <c r="FR1403" s="875"/>
      <c r="FS1403" s="875"/>
      <c r="FT1403" s="875"/>
      <c r="FU1403" s="875"/>
      <c r="FV1403" s="875"/>
      <c r="FW1403" s="875"/>
      <c r="FX1403" s="875"/>
      <c r="FY1403" s="875"/>
      <c r="FZ1403" s="875"/>
      <c r="GA1403" s="875"/>
      <c r="GB1403" s="876"/>
      <c r="GC1403" s="370"/>
      <c r="GD1403" s="453"/>
      <c r="GE1403" s="453"/>
      <c r="GF1403" s="453"/>
      <c r="GG1403" s="453"/>
      <c r="GH1403" s="454"/>
      <c r="GI1403" s="453"/>
      <c r="GJ1403" s="453"/>
      <c r="GK1403" s="453"/>
      <c r="GL1403" s="453"/>
      <c r="GM1403" s="453"/>
      <c r="GN1403" s="453"/>
      <c r="GO1403" s="453"/>
      <c r="GP1403" s="453"/>
      <c r="GQ1403" s="453"/>
      <c r="GR1403" s="453"/>
      <c r="GS1403" s="561"/>
      <c r="GT1403" s="475"/>
      <c r="GU1403" s="472"/>
      <c r="GV1403" s="453"/>
      <c r="GW1403" s="453"/>
      <c r="GX1403" s="869"/>
      <c r="GY1403" s="870"/>
      <c r="GZ1403" s="867"/>
      <c r="HA1403" s="868"/>
      <c r="HB1403" s="473"/>
      <c r="HC1403" s="869"/>
      <c r="HD1403" s="870"/>
      <c r="HE1403" s="867"/>
      <c r="HF1403" s="868"/>
      <c r="HG1403" s="473"/>
      <c r="HH1403" s="867"/>
      <c r="HI1403" s="868"/>
      <c r="HJ1403" s="867"/>
      <c r="HK1403" s="868"/>
      <c r="HL1403" s="370"/>
      <c r="HM1403" s="865"/>
      <c r="HN1403" s="866"/>
      <c r="HO1403" s="865"/>
      <c r="HP1403" s="866"/>
      <c r="HQ1403" s="865"/>
      <c r="HR1403" s="866"/>
      <c r="HS1403" s="867"/>
      <c r="HT1403" s="868"/>
      <c r="HU1403" s="489"/>
      <c r="HV1403" s="865"/>
      <c r="HW1403" s="866"/>
    </row>
    <row r="1404" spans="25:231" ht="15" customHeight="1">
      <c r="Y1404" s="332"/>
      <c r="Z1404" s="332"/>
      <c r="AA1404" s="332"/>
      <c r="AB1404" s="332"/>
      <c r="AC1404" s="332"/>
      <c r="AD1404" s="332"/>
      <c r="AE1404" s="332"/>
      <c r="AF1404" s="332"/>
      <c r="AG1404" s="332"/>
      <c r="AH1404" s="332"/>
      <c r="AI1404" s="332"/>
      <c r="AJ1404" s="332"/>
      <c r="AK1404" s="332"/>
      <c r="AL1404" s="332"/>
      <c r="AM1404" s="332"/>
      <c r="AN1404" s="332"/>
      <c r="AO1404" s="332"/>
      <c r="AP1404" s="332"/>
      <c r="AQ1404" s="332"/>
      <c r="AR1404" s="332"/>
      <c r="AS1404" s="332"/>
      <c r="AT1404" s="332"/>
      <c r="AU1404" s="332"/>
      <c r="AV1404" s="332"/>
      <c r="AW1404" s="332"/>
      <c r="AX1404" s="332"/>
      <c r="AY1404" s="332"/>
      <c r="AZ1404" s="332"/>
      <c r="BA1404" s="332"/>
      <c r="BB1404" s="332"/>
      <c r="BC1404" s="332"/>
      <c r="BD1404" s="332"/>
      <c r="BE1404" s="332"/>
      <c r="BF1404" s="332"/>
      <c r="BG1404" s="332"/>
      <c r="BH1404" s="332"/>
      <c r="BI1404" s="332"/>
      <c r="BJ1404" s="332"/>
      <c r="BK1404" s="332"/>
      <c r="BL1404" s="332"/>
      <c r="BM1404" s="332"/>
      <c r="BN1404" s="332"/>
      <c r="BO1404" s="332"/>
      <c r="BP1404" s="332"/>
      <c r="BQ1404" s="332"/>
      <c r="BR1404" s="332"/>
      <c r="BS1404" s="332"/>
      <c r="BT1404" s="332"/>
      <c r="BU1404" s="332"/>
      <c r="BV1404" s="332"/>
      <c r="BW1404" s="332"/>
      <c r="BX1404" s="332"/>
      <c r="BY1404" s="332"/>
      <c r="BZ1404" s="332"/>
      <c r="CA1404" s="332"/>
      <c r="CB1404" s="332"/>
      <c r="CC1404" s="332"/>
      <c r="CD1404" s="332"/>
      <c r="CE1404" s="332"/>
      <c r="CF1404" s="332"/>
      <c r="CG1404" s="332"/>
      <c r="CH1404" s="332"/>
      <c r="CI1404" s="332"/>
      <c r="CJ1404" s="332"/>
      <c r="CK1404" s="332"/>
      <c r="CL1404" s="332"/>
      <c r="CM1404" s="332"/>
      <c r="CN1404" s="332"/>
      <c r="CO1404" s="332"/>
      <c r="CP1404" s="332"/>
      <c r="CQ1404" s="332"/>
      <c r="CR1404" s="332"/>
      <c r="CS1404" s="332"/>
      <c r="CT1404" s="332"/>
      <c r="CU1404" s="332"/>
      <c r="CV1404" s="332"/>
      <c r="CW1404" s="332"/>
      <c r="CX1404" s="332"/>
      <c r="CY1404" s="332"/>
      <c r="CZ1404" s="332"/>
      <c r="DA1404" s="332"/>
      <c r="DB1404" s="332"/>
      <c r="DC1404" s="332"/>
      <c r="DD1404" s="332"/>
      <c r="DE1404" s="332"/>
      <c r="DF1404" s="332"/>
      <c r="DG1404" s="332"/>
      <c r="DH1404" s="332"/>
      <c r="DI1404" s="332"/>
      <c r="DJ1404" s="332"/>
      <c r="DK1404" s="332"/>
      <c r="DL1404" s="332"/>
      <c r="DM1404" s="332"/>
      <c r="DN1404" s="332"/>
      <c r="DO1404" s="332"/>
      <c r="DP1404" s="332"/>
      <c r="DQ1404" s="332"/>
      <c r="DR1404" s="332"/>
      <c r="DS1404" s="332"/>
      <c r="DT1404" s="332"/>
      <c r="DU1404" s="453"/>
      <c r="DV1404" s="453"/>
      <c r="DW1404" s="453"/>
      <c r="DX1404" s="453"/>
      <c r="DY1404" s="453"/>
      <c r="DZ1404" s="453"/>
      <c r="EA1404" s="453"/>
      <c r="EB1404" s="453"/>
      <c r="EC1404" s="453"/>
      <c r="ED1404" s="453"/>
      <c r="EE1404" s="453"/>
      <c r="EF1404" s="453"/>
      <c r="EG1404" s="453"/>
      <c r="EH1404" s="453"/>
      <c r="EI1404" s="453"/>
      <c r="EJ1404" s="453"/>
      <c r="EK1404" s="453"/>
      <c r="EL1404" s="453"/>
      <c r="EM1404" s="483">
        <f t="shared" si="264"/>
        <v>1095</v>
      </c>
      <c r="EN1404" s="485"/>
      <c r="EO1404" s="458"/>
      <c r="EP1404" s="467"/>
      <c r="EQ1404" s="457"/>
      <c r="ER1404" s="808"/>
      <c r="ES1404" s="881">
        <f t="shared" si="265"/>
        <v>0</v>
      </c>
      <c r="ET1404" s="882"/>
      <c r="EU1404" s="883"/>
      <c r="EV1404" s="884">
        <f t="shared" si="266"/>
        <v>0</v>
      </c>
      <c r="EW1404" s="885"/>
      <c r="EX1404" s="885"/>
      <c r="EY1404" s="885"/>
      <c r="EZ1404" s="885"/>
      <c r="FA1404" s="885"/>
      <c r="FB1404" s="885"/>
      <c r="FC1404" s="885"/>
      <c r="FD1404" s="886"/>
      <c r="FE1404" s="877"/>
      <c r="FF1404" s="877"/>
      <c r="FG1404" s="877"/>
      <c r="FH1404" s="877"/>
      <c r="FI1404" s="877"/>
      <c r="FJ1404" s="877"/>
      <c r="FK1404" s="877"/>
      <c r="FL1404" s="874"/>
      <c r="FM1404" s="875"/>
      <c r="FN1404" s="875"/>
      <c r="FO1404" s="875"/>
      <c r="FP1404" s="875"/>
      <c r="FQ1404" s="875"/>
      <c r="FR1404" s="875"/>
      <c r="FS1404" s="875"/>
      <c r="FT1404" s="875"/>
      <c r="FU1404" s="875"/>
      <c r="FV1404" s="875"/>
      <c r="FW1404" s="875"/>
      <c r="FX1404" s="875"/>
      <c r="FY1404" s="875"/>
      <c r="FZ1404" s="875"/>
      <c r="GA1404" s="875"/>
      <c r="GB1404" s="876"/>
      <c r="GC1404" s="370"/>
      <c r="GD1404" s="453"/>
      <c r="GE1404" s="453"/>
      <c r="GF1404" s="453"/>
      <c r="GG1404" s="453"/>
      <c r="GH1404" s="454"/>
      <c r="GI1404" s="453"/>
      <c r="GJ1404" s="453"/>
      <c r="GK1404" s="453"/>
      <c r="GL1404" s="453"/>
      <c r="GM1404" s="453"/>
      <c r="GN1404" s="453"/>
      <c r="GO1404" s="453"/>
      <c r="GP1404" s="453"/>
      <c r="GQ1404" s="453"/>
      <c r="GR1404" s="453"/>
      <c r="GS1404" s="561"/>
      <c r="GT1404" s="475"/>
      <c r="GU1404" s="472"/>
      <c r="GV1404" s="453"/>
      <c r="GW1404" s="453"/>
      <c r="GX1404" s="869"/>
      <c r="GY1404" s="870"/>
      <c r="GZ1404" s="867"/>
      <c r="HA1404" s="868"/>
      <c r="HB1404" s="473"/>
      <c r="HC1404" s="869"/>
      <c r="HD1404" s="870"/>
      <c r="HE1404" s="867"/>
      <c r="HF1404" s="868"/>
      <c r="HG1404" s="473"/>
      <c r="HH1404" s="867"/>
      <c r="HI1404" s="868"/>
      <c r="HJ1404" s="867"/>
      <c r="HK1404" s="868"/>
      <c r="HL1404" s="370"/>
      <c r="HM1404" s="865"/>
      <c r="HN1404" s="866"/>
      <c r="HO1404" s="865"/>
      <c r="HP1404" s="866"/>
      <c r="HQ1404" s="865"/>
      <c r="HR1404" s="866"/>
      <c r="HS1404" s="867"/>
      <c r="HT1404" s="868"/>
      <c r="HU1404" s="489"/>
      <c r="HV1404" s="865"/>
      <c r="HW1404" s="866"/>
    </row>
    <row r="1405" spans="25:231" ht="15" customHeight="1">
      <c r="Y1405" s="332"/>
      <c r="Z1405" s="332"/>
      <c r="AA1405" s="332"/>
      <c r="AB1405" s="332"/>
      <c r="AC1405" s="332"/>
      <c r="AD1405" s="332"/>
      <c r="AE1405" s="332"/>
      <c r="AF1405" s="332"/>
      <c r="AG1405" s="332"/>
      <c r="AH1405" s="332"/>
      <c r="AI1405" s="332"/>
      <c r="AJ1405" s="332"/>
      <c r="AK1405" s="332"/>
      <c r="AL1405" s="332"/>
      <c r="AM1405" s="332"/>
      <c r="AN1405" s="332"/>
      <c r="AO1405" s="332"/>
      <c r="AP1405" s="332"/>
      <c r="AQ1405" s="332"/>
      <c r="AR1405" s="332"/>
      <c r="AS1405" s="332"/>
      <c r="AT1405" s="332"/>
      <c r="AU1405" s="332"/>
      <c r="AV1405" s="332"/>
      <c r="AW1405" s="332"/>
      <c r="AX1405" s="332"/>
      <c r="AY1405" s="332"/>
      <c r="AZ1405" s="332"/>
      <c r="BA1405" s="332"/>
      <c r="BB1405" s="332"/>
      <c r="BC1405" s="332"/>
      <c r="BD1405" s="332"/>
      <c r="BE1405" s="332"/>
      <c r="BF1405" s="332"/>
      <c r="BG1405" s="332"/>
      <c r="BH1405" s="332"/>
      <c r="BI1405" s="332"/>
      <c r="BJ1405" s="332"/>
      <c r="BK1405" s="332"/>
      <c r="BL1405" s="332"/>
      <c r="BM1405" s="332"/>
      <c r="BN1405" s="332"/>
      <c r="BO1405" s="332"/>
      <c r="BP1405" s="332"/>
      <c r="BQ1405" s="332"/>
      <c r="BR1405" s="332"/>
      <c r="BS1405" s="332"/>
      <c r="BT1405" s="332"/>
      <c r="BU1405" s="332"/>
      <c r="BV1405" s="332"/>
      <c r="BW1405" s="332"/>
      <c r="BX1405" s="332"/>
      <c r="BY1405" s="332"/>
      <c r="BZ1405" s="332"/>
      <c r="CA1405" s="332"/>
      <c r="CB1405" s="332"/>
      <c r="CC1405" s="332"/>
      <c r="CD1405" s="332"/>
      <c r="CE1405" s="332"/>
      <c r="CF1405" s="332"/>
      <c r="CG1405" s="332"/>
      <c r="CH1405" s="332"/>
      <c r="CI1405" s="332"/>
      <c r="CJ1405" s="332"/>
      <c r="CK1405" s="332"/>
      <c r="CL1405" s="332"/>
      <c r="CM1405" s="332"/>
      <c r="CN1405" s="332"/>
      <c r="CO1405" s="332"/>
      <c r="CP1405" s="332"/>
      <c r="CQ1405" s="332"/>
      <c r="CR1405" s="332"/>
      <c r="CS1405" s="332"/>
      <c r="CT1405" s="332"/>
      <c r="CU1405" s="332"/>
      <c r="CV1405" s="332"/>
      <c r="CW1405" s="332"/>
      <c r="CX1405" s="332"/>
      <c r="CY1405" s="332"/>
      <c r="CZ1405" s="332"/>
      <c r="DA1405" s="332"/>
      <c r="DB1405" s="332"/>
      <c r="DC1405" s="332"/>
      <c r="DD1405" s="332"/>
      <c r="DE1405" s="332"/>
      <c r="DF1405" s="332"/>
      <c r="DG1405" s="332"/>
      <c r="DH1405" s="332"/>
      <c r="DI1405" s="332"/>
      <c r="DJ1405" s="332"/>
      <c r="DK1405" s="332"/>
      <c r="DL1405" s="332"/>
      <c r="DM1405" s="332"/>
      <c r="DN1405" s="332"/>
      <c r="DO1405" s="332"/>
      <c r="DP1405" s="332"/>
      <c r="DQ1405" s="332"/>
      <c r="DR1405" s="332"/>
      <c r="DS1405" s="332"/>
      <c r="DT1405" s="332"/>
      <c r="DU1405" s="453"/>
      <c r="DV1405" s="453"/>
      <c r="DW1405" s="453"/>
      <c r="DX1405" s="453"/>
      <c r="DY1405" s="453"/>
      <c r="DZ1405" s="453"/>
      <c r="EA1405" s="453"/>
      <c r="EB1405" s="453"/>
      <c r="EC1405" s="453"/>
      <c r="ED1405" s="453"/>
      <c r="EE1405" s="453"/>
      <c r="EF1405" s="453"/>
      <c r="EG1405" s="453"/>
      <c r="EH1405" s="453"/>
      <c r="EI1405" s="453"/>
      <c r="EJ1405" s="453"/>
      <c r="EK1405" s="453"/>
      <c r="EL1405" s="453"/>
      <c r="EM1405" s="483">
        <f t="shared" si="264"/>
        <v>1096</v>
      </c>
      <c r="EN1405" s="485"/>
      <c r="EO1405" s="458"/>
      <c r="EP1405" s="467"/>
      <c r="EQ1405" s="457"/>
      <c r="ER1405" s="808"/>
      <c r="ES1405" s="881">
        <f t="shared" si="265"/>
        <v>0</v>
      </c>
      <c r="ET1405" s="882"/>
      <c r="EU1405" s="883"/>
      <c r="EV1405" s="884">
        <f t="shared" si="266"/>
        <v>0</v>
      </c>
      <c r="EW1405" s="885"/>
      <c r="EX1405" s="885"/>
      <c r="EY1405" s="885"/>
      <c r="EZ1405" s="885"/>
      <c r="FA1405" s="885"/>
      <c r="FB1405" s="885"/>
      <c r="FC1405" s="885"/>
      <c r="FD1405" s="886"/>
      <c r="FE1405" s="877"/>
      <c r="FF1405" s="877"/>
      <c r="FG1405" s="877"/>
      <c r="FH1405" s="877"/>
      <c r="FI1405" s="877"/>
      <c r="FJ1405" s="877"/>
      <c r="FK1405" s="877"/>
      <c r="FL1405" s="874"/>
      <c r="FM1405" s="875"/>
      <c r="FN1405" s="875"/>
      <c r="FO1405" s="875"/>
      <c r="FP1405" s="875"/>
      <c r="FQ1405" s="875"/>
      <c r="FR1405" s="875"/>
      <c r="FS1405" s="875"/>
      <c r="FT1405" s="875"/>
      <c r="FU1405" s="875"/>
      <c r="FV1405" s="875"/>
      <c r="FW1405" s="875"/>
      <c r="FX1405" s="875"/>
      <c r="FY1405" s="875"/>
      <c r="FZ1405" s="875"/>
      <c r="GA1405" s="875"/>
      <c r="GB1405" s="876"/>
      <c r="GC1405" s="370"/>
      <c r="GD1405" s="453"/>
      <c r="GE1405" s="453"/>
      <c r="GF1405" s="453"/>
      <c r="GG1405" s="453"/>
      <c r="GH1405" s="454"/>
      <c r="GI1405" s="453"/>
      <c r="GJ1405" s="453"/>
      <c r="GK1405" s="453"/>
      <c r="GL1405" s="453"/>
      <c r="GM1405" s="453"/>
      <c r="GN1405" s="453"/>
      <c r="GO1405" s="453"/>
      <c r="GP1405" s="453"/>
      <c r="GQ1405" s="453"/>
      <c r="GR1405" s="453"/>
      <c r="GS1405" s="561"/>
      <c r="GT1405" s="475"/>
      <c r="GU1405" s="472"/>
      <c r="GV1405" s="453"/>
      <c r="GW1405" s="453"/>
      <c r="GX1405" s="869"/>
      <c r="GY1405" s="870"/>
      <c r="GZ1405" s="867"/>
      <c r="HA1405" s="868"/>
      <c r="HB1405" s="473"/>
      <c r="HC1405" s="869"/>
      <c r="HD1405" s="870"/>
      <c r="HE1405" s="867"/>
      <c r="HF1405" s="868"/>
      <c r="HG1405" s="473"/>
      <c r="HH1405" s="867"/>
      <c r="HI1405" s="868"/>
      <c r="HJ1405" s="867"/>
      <c r="HK1405" s="868"/>
      <c r="HL1405" s="370"/>
      <c r="HM1405" s="865"/>
      <c r="HN1405" s="866"/>
      <c r="HO1405" s="865"/>
      <c r="HP1405" s="866"/>
      <c r="HQ1405" s="865"/>
      <c r="HR1405" s="866"/>
      <c r="HS1405" s="867"/>
      <c r="HT1405" s="868"/>
      <c r="HU1405" s="489"/>
      <c r="HV1405" s="865"/>
      <c r="HW1405" s="866"/>
    </row>
    <row r="1406" spans="25:231" ht="15" customHeight="1">
      <c r="Y1406" s="332"/>
      <c r="Z1406" s="332"/>
      <c r="AA1406" s="332"/>
      <c r="AB1406" s="332"/>
      <c r="AC1406" s="332"/>
      <c r="AD1406" s="332"/>
      <c r="AE1406" s="332"/>
      <c r="AF1406" s="332"/>
      <c r="AG1406" s="332"/>
      <c r="AH1406" s="332"/>
      <c r="AI1406" s="332"/>
      <c r="AJ1406" s="332"/>
      <c r="AK1406" s="332"/>
      <c r="AL1406" s="332"/>
      <c r="AM1406" s="332"/>
      <c r="AN1406" s="332"/>
      <c r="AO1406" s="332"/>
      <c r="AP1406" s="332"/>
      <c r="AQ1406" s="332"/>
      <c r="AR1406" s="332"/>
      <c r="AS1406" s="332"/>
      <c r="AT1406" s="332"/>
      <c r="AU1406" s="332"/>
      <c r="AV1406" s="332"/>
      <c r="AW1406" s="332"/>
      <c r="AX1406" s="332"/>
      <c r="AY1406" s="332"/>
      <c r="AZ1406" s="332"/>
      <c r="BA1406" s="332"/>
      <c r="BB1406" s="332"/>
      <c r="BC1406" s="332"/>
      <c r="BD1406" s="332"/>
      <c r="BE1406" s="332"/>
      <c r="BF1406" s="332"/>
      <c r="BG1406" s="332"/>
      <c r="BH1406" s="332"/>
      <c r="BI1406" s="332"/>
      <c r="BJ1406" s="332"/>
      <c r="BK1406" s="332"/>
      <c r="BL1406" s="332"/>
      <c r="BM1406" s="332"/>
      <c r="BN1406" s="332"/>
      <c r="BO1406" s="332"/>
      <c r="BP1406" s="332"/>
      <c r="BQ1406" s="332"/>
      <c r="BR1406" s="332"/>
      <c r="BS1406" s="332"/>
      <c r="BT1406" s="332"/>
      <c r="BU1406" s="332"/>
      <c r="BV1406" s="332"/>
      <c r="BW1406" s="332"/>
      <c r="BX1406" s="332"/>
      <c r="BY1406" s="332"/>
      <c r="BZ1406" s="332"/>
      <c r="CA1406" s="332"/>
      <c r="CB1406" s="332"/>
      <c r="CC1406" s="332"/>
      <c r="CD1406" s="332"/>
      <c r="CE1406" s="332"/>
      <c r="CF1406" s="332"/>
      <c r="CG1406" s="332"/>
      <c r="CH1406" s="332"/>
      <c r="CI1406" s="332"/>
      <c r="CJ1406" s="332"/>
      <c r="CK1406" s="332"/>
      <c r="CL1406" s="332"/>
      <c r="CM1406" s="332"/>
      <c r="CN1406" s="332"/>
      <c r="CO1406" s="332"/>
      <c r="CP1406" s="332"/>
      <c r="CQ1406" s="332"/>
      <c r="CR1406" s="332"/>
      <c r="CS1406" s="332"/>
      <c r="CT1406" s="332"/>
      <c r="CU1406" s="332"/>
      <c r="CV1406" s="332"/>
      <c r="CW1406" s="332"/>
      <c r="CX1406" s="332"/>
      <c r="CY1406" s="332"/>
      <c r="CZ1406" s="332"/>
      <c r="DA1406" s="332"/>
      <c r="DB1406" s="332"/>
      <c r="DC1406" s="332"/>
      <c r="DD1406" s="332"/>
      <c r="DE1406" s="332"/>
      <c r="DF1406" s="332"/>
      <c r="DG1406" s="332"/>
      <c r="DH1406" s="332"/>
      <c r="DI1406" s="332"/>
      <c r="DJ1406" s="332"/>
      <c r="DK1406" s="332"/>
      <c r="DL1406" s="332"/>
      <c r="DM1406" s="332"/>
      <c r="DN1406" s="332"/>
      <c r="DO1406" s="332"/>
      <c r="DP1406" s="332"/>
      <c r="DQ1406" s="332"/>
      <c r="DR1406" s="332"/>
      <c r="DS1406" s="332"/>
      <c r="DT1406" s="332"/>
      <c r="DU1406" s="453"/>
      <c r="DV1406" s="453"/>
      <c r="DW1406" s="453"/>
      <c r="DX1406" s="453"/>
      <c r="DY1406" s="453"/>
      <c r="DZ1406" s="453"/>
      <c r="EA1406" s="453"/>
      <c r="EB1406" s="453"/>
      <c r="EC1406" s="453"/>
      <c r="ED1406" s="453"/>
      <c r="EE1406" s="453"/>
      <c r="EF1406" s="453"/>
      <c r="EG1406" s="453"/>
      <c r="EH1406" s="453"/>
      <c r="EI1406" s="453"/>
      <c r="EJ1406" s="453"/>
      <c r="EK1406" s="453"/>
      <c r="EL1406" s="453"/>
      <c r="EM1406" s="483">
        <f t="shared" si="264"/>
        <v>1097</v>
      </c>
      <c r="EN1406" s="485"/>
      <c r="EO1406" s="458"/>
      <c r="EP1406" s="467"/>
      <c r="EQ1406" s="457"/>
      <c r="ER1406" s="808"/>
      <c r="ES1406" s="881">
        <f t="shared" si="265"/>
        <v>0</v>
      </c>
      <c r="ET1406" s="882"/>
      <c r="EU1406" s="883"/>
      <c r="EV1406" s="884">
        <f t="shared" si="266"/>
        <v>0</v>
      </c>
      <c r="EW1406" s="885"/>
      <c r="EX1406" s="885"/>
      <c r="EY1406" s="885"/>
      <c r="EZ1406" s="885"/>
      <c r="FA1406" s="885"/>
      <c r="FB1406" s="885"/>
      <c r="FC1406" s="885"/>
      <c r="FD1406" s="886"/>
      <c r="FE1406" s="877"/>
      <c r="FF1406" s="877"/>
      <c r="FG1406" s="877"/>
      <c r="FH1406" s="877"/>
      <c r="FI1406" s="877"/>
      <c r="FJ1406" s="877"/>
      <c r="FK1406" s="877"/>
      <c r="FL1406" s="874"/>
      <c r="FM1406" s="875"/>
      <c r="FN1406" s="875"/>
      <c r="FO1406" s="875"/>
      <c r="FP1406" s="875"/>
      <c r="FQ1406" s="875"/>
      <c r="FR1406" s="875"/>
      <c r="FS1406" s="875"/>
      <c r="FT1406" s="875"/>
      <c r="FU1406" s="875"/>
      <c r="FV1406" s="875"/>
      <c r="FW1406" s="875"/>
      <c r="FX1406" s="875"/>
      <c r="FY1406" s="875"/>
      <c r="FZ1406" s="875"/>
      <c r="GA1406" s="875"/>
      <c r="GB1406" s="876"/>
      <c r="GC1406" s="370"/>
      <c r="GD1406" s="453"/>
      <c r="GE1406" s="453"/>
      <c r="GF1406" s="453"/>
      <c r="GG1406" s="453"/>
      <c r="GH1406" s="454"/>
      <c r="GI1406" s="453"/>
      <c r="GJ1406" s="453"/>
      <c r="GK1406" s="453"/>
      <c r="GL1406" s="453"/>
      <c r="GM1406" s="453"/>
      <c r="GN1406" s="453"/>
      <c r="GO1406" s="453"/>
      <c r="GP1406" s="453"/>
      <c r="GQ1406" s="453"/>
      <c r="GR1406" s="453"/>
      <c r="GS1406" s="561"/>
      <c r="GT1406" s="475"/>
      <c r="GU1406" s="472"/>
      <c r="GV1406" s="453"/>
      <c r="GW1406" s="453"/>
      <c r="GX1406" s="869"/>
      <c r="GY1406" s="870"/>
      <c r="GZ1406" s="867"/>
      <c r="HA1406" s="868"/>
      <c r="HB1406" s="473"/>
      <c r="HC1406" s="869"/>
      <c r="HD1406" s="870"/>
      <c r="HE1406" s="867"/>
      <c r="HF1406" s="868"/>
      <c r="HG1406" s="473"/>
      <c r="HH1406" s="867"/>
      <c r="HI1406" s="868"/>
      <c r="HJ1406" s="867"/>
      <c r="HK1406" s="868"/>
      <c r="HL1406" s="370"/>
      <c r="HM1406" s="865"/>
      <c r="HN1406" s="866"/>
      <c r="HO1406" s="865"/>
      <c r="HP1406" s="866"/>
      <c r="HQ1406" s="865"/>
      <c r="HR1406" s="866"/>
      <c r="HS1406" s="867"/>
      <c r="HT1406" s="868"/>
      <c r="HU1406" s="489"/>
      <c r="HV1406" s="865"/>
      <c r="HW1406" s="866"/>
    </row>
    <row r="1407" spans="25:231" ht="15" customHeight="1">
      <c r="Y1407" s="332"/>
      <c r="Z1407" s="332"/>
      <c r="AA1407" s="332"/>
      <c r="AB1407" s="332"/>
      <c r="AC1407" s="332"/>
      <c r="AD1407" s="332"/>
      <c r="AE1407" s="332"/>
      <c r="AF1407" s="332"/>
      <c r="AG1407" s="332"/>
      <c r="AH1407" s="332"/>
      <c r="AI1407" s="332"/>
      <c r="AJ1407" s="332"/>
      <c r="AK1407" s="332"/>
      <c r="AL1407" s="332"/>
      <c r="AM1407" s="332"/>
      <c r="AN1407" s="332"/>
      <c r="AO1407" s="332"/>
      <c r="AP1407" s="332"/>
      <c r="AQ1407" s="332"/>
      <c r="AR1407" s="332"/>
      <c r="AS1407" s="332"/>
      <c r="AT1407" s="332"/>
      <c r="AU1407" s="332"/>
      <c r="AV1407" s="332"/>
      <c r="AW1407" s="332"/>
      <c r="AX1407" s="332"/>
      <c r="AY1407" s="332"/>
      <c r="AZ1407" s="332"/>
      <c r="BA1407" s="332"/>
      <c r="BB1407" s="332"/>
      <c r="BC1407" s="332"/>
      <c r="BD1407" s="332"/>
      <c r="BE1407" s="332"/>
      <c r="BF1407" s="332"/>
      <c r="BG1407" s="332"/>
      <c r="BH1407" s="332"/>
      <c r="BI1407" s="332"/>
      <c r="BJ1407" s="332"/>
      <c r="BK1407" s="332"/>
      <c r="BL1407" s="332"/>
      <c r="BM1407" s="332"/>
      <c r="BN1407" s="332"/>
      <c r="BO1407" s="332"/>
      <c r="BP1407" s="332"/>
      <c r="BQ1407" s="332"/>
      <c r="BR1407" s="332"/>
      <c r="BS1407" s="332"/>
      <c r="BT1407" s="332"/>
      <c r="BU1407" s="332"/>
      <c r="BV1407" s="332"/>
      <c r="BW1407" s="332"/>
      <c r="BX1407" s="332"/>
      <c r="BY1407" s="332"/>
      <c r="BZ1407" s="332"/>
      <c r="CA1407" s="332"/>
      <c r="CB1407" s="332"/>
      <c r="CC1407" s="332"/>
      <c r="CD1407" s="332"/>
      <c r="CE1407" s="332"/>
      <c r="CF1407" s="332"/>
      <c r="CG1407" s="332"/>
      <c r="CH1407" s="332"/>
      <c r="CI1407" s="332"/>
      <c r="CJ1407" s="332"/>
      <c r="CK1407" s="332"/>
      <c r="CL1407" s="332"/>
      <c r="CM1407" s="332"/>
      <c r="CN1407" s="332"/>
      <c r="CO1407" s="332"/>
      <c r="CP1407" s="332"/>
      <c r="CQ1407" s="332"/>
      <c r="CR1407" s="332"/>
      <c r="CS1407" s="332"/>
      <c r="CT1407" s="332"/>
      <c r="CU1407" s="332"/>
      <c r="CV1407" s="332"/>
      <c r="CW1407" s="332"/>
      <c r="CX1407" s="332"/>
      <c r="CY1407" s="332"/>
      <c r="CZ1407" s="332"/>
      <c r="DA1407" s="332"/>
      <c r="DB1407" s="332"/>
      <c r="DC1407" s="332"/>
      <c r="DD1407" s="332"/>
      <c r="DE1407" s="332"/>
      <c r="DF1407" s="332"/>
      <c r="DG1407" s="332"/>
      <c r="DH1407" s="332"/>
      <c r="DI1407" s="332"/>
      <c r="DJ1407" s="332"/>
      <c r="DK1407" s="332"/>
      <c r="DL1407" s="332"/>
      <c r="DM1407" s="332"/>
      <c r="DN1407" s="332"/>
      <c r="DO1407" s="332"/>
      <c r="DP1407" s="332"/>
      <c r="DQ1407" s="332"/>
      <c r="DR1407" s="332"/>
      <c r="DS1407" s="332"/>
      <c r="DT1407" s="332"/>
      <c r="DU1407" s="453"/>
      <c r="DV1407" s="453"/>
      <c r="DW1407" s="453"/>
      <c r="DX1407" s="453"/>
      <c r="DY1407" s="453"/>
      <c r="DZ1407" s="453"/>
      <c r="EA1407" s="453"/>
      <c r="EB1407" s="453"/>
      <c r="EC1407" s="453"/>
      <c r="ED1407" s="453"/>
      <c r="EE1407" s="453"/>
      <c r="EF1407" s="453"/>
      <c r="EG1407" s="453"/>
      <c r="EH1407" s="453"/>
      <c r="EI1407" s="453"/>
      <c r="EJ1407" s="453"/>
      <c r="EK1407" s="453"/>
      <c r="EL1407" s="453"/>
      <c r="EM1407" s="483">
        <f t="shared" si="264"/>
        <v>1098</v>
      </c>
      <c r="EN1407" s="485"/>
      <c r="EO1407" s="458"/>
      <c r="EP1407" s="467"/>
      <c r="EQ1407" s="457"/>
      <c r="ER1407" s="808"/>
      <c r="ES1407" s="881">
        <f t="shared" si="265"/>
        <v>0</v>
      </c>
      <c r="ET1407" s="882"/>
      <c r="EU1407" s="883"/>
      <c r="EV1407" s="884">
        <f t="shared" si="266"/>
        <v>0</v>
      </c>
      <c r="EW1407" s="885"/>
      <c r="EX1407" s="885"/>
      <c r="EY1407" s="885"/>
      <c r="EZ1407" s="885"/>
      <c r="FA1407" s="885"/>
      <c r="FB1407" s="885"/>
      <c r="FC1407" s="885"/>
      <c r="FD1407" s="886"/>
      <c r="FE1407" s="877"/>
      <c r="FF1407" s="877"/>
      <c r="FG1407" s="877"/>
      <c r="FH1407" s="877"/>
      <c r="FI1407" s="877"/>
      <c r="FJ1407" s="877"/>
      <c r="FK1407" s="877"/>
      <c r="FL1407" s="874"/>
      <c r="FM1407" s="875"/>
      <c r="FN1407" s="875"/>
      <c r="FO1407" s="875"/>
      <c r="FP1407" s="875"/>
      <c r="FQ1407" s="875"/>
      <c r="FR1407" s="875"/>
      <c r="FS1407" s="875"/>
      <c r="FT1407" s="875"/>
      <c r="FU1407" s="875"/>
      <c r="FV1407" s="875"/>
      <c r="FW1407" s="875"/>
      <c r="FX1407" s="875"/>
      <c r="FY1407" s="875"/>
      <c r="FZ1407" s="875"/>
      <c r="GA1407" s="875"/>
      <c r="GB1407" s="876"/>
      <c r="GC1407" s="370"/>
      <c r="GD1407" s="453"/>
      <c r="GE1407" s="453"/>
      <c r="GF1407" s="453"/>
      <c r="GG1407" s="453"/>
      <c r="GH1407" s="454"/>
      <c r="GI1407" s="453"/>
      <c r="GJ1407" s="453"/>
      <c r="GK1407" s="453"/>
      <c r="GL1407" s="453"/>
      <c r="GM1407" s="453"/>
      <c r="GN1407" s="453"/>
      <c r="GO1407" s="453"/>
      <c r="GP1407" s="453"/>
      <c r="GQ1407" s="453"/>
      <c r="GR1407" s="453"/>
      <c r="GS1407" s="561"/>
      <c r="GT1407" s="475"/>
      <c r="GU1407" s="472"/>
      <c r="GV1407" s="453"/>
      <c r="GW1407" s="453"/>
      <c r="GX1407" s="869"/>
      <c r="GY1407" s="870"/>
      <c r="GZ1407" s="867"/>
      <c r="HA1407" s="868"/>
      <c r="HB1407" s="473"/>
      <c r="HC1407" s="869"/>
      <c r="HD1407" s="870"/>
      <c r="HE1407" s="867"/>
      <c r="HF1407" s="868"/>
      <c r="HG1407" s="473"/>
      <c r="HH1407" s="867"/>
      <c r="HI1407" s="868"/>
      <c r="HJ1407" s="867"/>
      <c r="HK1407" s="868"/>
      <c r="HL1407" s="370"/>
      <c r="HM1407" s="865"/>
      <c r="HN1407" s="866"/>
      <c r="HO1407" s="865"/>
      <c r="HP1407" s="866"/>
      <c r="HQ1407" s="865"/>
      <c r="HR1407" s="866"/>
      <c r="HS1407" s="867"/>
      <c r="HT1407" s="868"/>
      <c r="HU1407" s="489"/>
      <c r="HV1407" s="865"/>
      <c r="HW1407" s="866"/>
    </row>
    <row r="1408" spans="25:231" ht="15" customHeight="1">
      <c r="Y1408" s="332"/>
      <c r="Z1408" s="332"/>
      <c r="AA1408" s="332"/>
      <c r="AB1408" s="332"/>
      <c r="AC1408" s="332"/>
      <c r="AD1408" s="332"/>
      <c r="AE1408" s="332"/>
      <c r="AF1408" s="332"/>
      <c r="AG1408" s="332"/>
      <c r="AH1408" s="332"/>
      <c r="AI1408" s="332"/>
      <c r="AJ1408" s="332"/>
      <c r="AK1408" s="332"/>
      <c r="AL1408" s="332"/>
      <c r="AM1408" s="332"/>
      <c r="AN1408" s="332"/>
      <c r="AO1408" s="332"/>
      <c r="AP1408" s="332"/>
      <c r="AQ1408" s="332"/>
      <c r="AR1408" s="332"/>
      <c r="AS1408" s="332"/>
      <c r="AT1408" s="332"/>
      <c r="AU1408" s="332"/>
      <c r="AV1408" s="332"/>
      <c r="AW1408" s="332"/>
      <c r="AX1408" s="332"/>
      <c r="AY1408" s="332"/>
      <c r="AZ1408" s="332"/>
      <c r="BA1408" s="332"/>
      <c r="BB1408" s="332"/>
      <c r="BC1408" s="332"/>
      <c r="BD1408" s="332"/>
      <c r="BE1408" s="332"/>
      <c r="BF1408" s="332"/>
      <c r="BG1408" s="332"/>
      <c r="BH1408" s="332"/>
      <c r="BI1408" s="332"/>
      <c r="BJ1408" s="332"/>
      <c r="BK1408" s="332"/>
      <c r="BL1408" s="332"/>
      <c r="BM1408" s="332"/>
      <c r="BN1408" s="332"/>
      <c r="BO1408" s="332"/>
      <c r="BP1408" s="332"/>
      <c r="BQ1408" s="332"/>
      <c r="BR1408" s="332"/>
      <c r="BS1408" s="332"/>
      <c r="BT1408" s="332"/>
      <c r="BU1408" s="332"/>
      <c r="BV1408" s="332"/>
      <c r="BW1408" s="332"/>
      <c r="BX1408" s="332"/>
      <c r="BY1408" s="332"/>
      <c r="BZ1408" s="332"/>
      <c r="CA1408" s="332"/>
      <c r="CB1408" s="332"/>
      <c r="CC1408" s="332"/>
      <c r="CD1408" s="332"/>
      <c r="CE1408" s="332"/>
      <c r="CF1408" s="332"/>
      <c r="CG1408" s="332"/>
      <c r="CH1408" s="332"/>
      <c r="CI1408" s="332"/>
      <c r="CJ1408" s="332"/>
      <c r="CK1408" s="332"/>
      <c r="CL1408" s="332"/>
      <c r="CM1408" s="332"/>
      <c r="CN1408" s="332"/>
      <c r="CO1408" s="332"/>
      <c r="CP1408" s="332"/>
      <c r="CQ1408" s="332"/>
      <c r="CR1408" s="332"/>
      <c r="CS1408" s="332"/>
      <c r="CT1408" s="332"/>
      <c r="CU1408" s="332"/>
      <c r="CV1408" s="332"/>
      <c r="CW1408" s="332"/>
      <c r="CX1408" s="332"/>
      <c r="CY1408" s="332"/>
      <c r="CZ1408" s="332"/>
      <c r="DA1408" s="332"/>
      <c r="DB1408" s="332"/>
      <c r="DC1408" s="332"/>
      <c r="DD1408" s="332"/>
      <c r="DE1408" s="332"/>
      <c r="DF1408" s="332"/>
      <c r="DG1408" s="332"/>
      <c r="DH1408" s="332"/>
      <c r="DI1408" s="332"/>
      <c r="DJ1408" s="332"/>
      <c r="DK1408" s="332"/>
      <c r="DL1408" s="332"/>
      <c r="DM1408" s="332"/>
      <c r="DN1408" s="332"/>
      <c r="DO1408" s="332"/>
      <c r="DP1408" s="332"/>
      <c r="DQ1408" s="332"/>
      <c r="DR1408" s="332"/>
      <c r="DS1408" s="332"/>
      <c r="DT1408" s="332"/>
      <c r="DU1408" s="453"/>
      <c r="DV1408" s="453"/>
      <c r="DW1408" s="453"/>
      <c r="DX1408" s="453"/>
      <c r="DY1408" s="453"/>
      <c r="DZ1408" s="453"/>
      <c r="EA1408" s="453"/>
      <c r="EB1408" s="453"/>
      <c r="EC1408" s="453"/>
      <c r="ED1408" s="453"/>
      <c r="EE1408" s="453"/>
      <c r="EF1408" s="453"/>
      <c r="EG1408" s="453"/>
      <c r="EH1408" s="453"/>
      <c r="EI1408" s="453"/>
      <c r="EJ1408" s="453"/>
      <c r="EK1408" s="453"/>
      <c r="EL1408" s="453"/>
      <c r="EM1408" s="483">
        <f t="shared" si="264"/>
        <v>1099</v>
      </c>
      <c r="EN1408" s="485"/>
      <c r="EO1408" s="458"/>
      <c r="EP1408" s="467"/>
      <c r="EQ1408" s="457"/>
      <c r="ER1408" s="808"/>
      <c r="ES1408" s="881">
        <f t="shared" si="265"/>
        <v>0</v>
      </c>
      <c r="ET1408" s="882"/>
      <c r="EU1408" s="883"/>
      <c r="EV1408" s="884">
        <f t="shared" si="266"/>
        <v>0</v>
      </c>
      <c r="EW1408" s="885"/>
      <c r="EX1408" s="885"/>
      <c r="EY1408" s="885"/>
      <c r="EZ1408" s="885"/>
      <c r="FA1408" s="885"/>
      <c r="FB1408" s="885"/>
      <c r="FC1408" s="885"/>
      <c r="FD1408" s="886"/>
      <c r="FE1408" s="877"/>
      <c r="FF1408" s="877"/>
      <c r="FG1408" s="877"/>
      <c r="FH1408" s="877"/>
      <c r="FI1408" s="877"/>
      <c r="FJ1408" s="877"/>
      <c r="FK1408" s="877"/>
      <c r="FL1408" s="874"/>
      <c r="FM1408" s="875"/>
      <c r="FN1408" s="875"/>
      <c r="FO1408" s="875"/>
      <c r="FP1408" s="875"/>
      <c r="FQ1408" s="875"/>
      <c r="FR1408" s="875"/>
      <c r="FS1408" s="875"/>
      <c r="FT1408" s="875"/>
      <c r="FU1408" s="875"/>
      <c r="FV1408" s="875"/>
      <c r="FW1408" s="875"/>
      <c r="FX1408" s="875"/>
      <c r="FY1408" s="875"/>
      <c r="FZ1408" s="875"/>
      <c r="GA1408" s="875"/>
      <c r="GB1408" s="876"/>
      <c r="GC1408" s="370"/>
      <c r="GD1408" s="453"/>
      <c r="GE1408" s="453"/>
      <c r="GF1408" s="453"/>
      <c r="GG1408" s="453"/>
      <c r="GH1408" s="454"/>
      <c r="GI1408" s="453"/>
      <c r="GJ1408" s="453"/>
      <c r="GK1408" s="453"/>
      <c r="GL1408" s="453"/>
      <c r="GM1408" s="453"/>
      <c r="GN1408" s="453"/>
      <c r="GO1408" s="453"/>
      <c r="GP1408" s="453"/>
      <c r="GQ1408" s="453"/>
      <c r="GR1408" s="453"/>
      <c r="GS1408" s="561"/>
      <c r="GT1408" s="475"/>
      <c r="GU1408" s="472"/>
      <c r="GV1408" s="453"/>
      <c r="GW1408" s="453"/>
      <c r="GX1408" s="869"/>
      <c r="GY1408" s="870"/>
      <c r="GZ1408" s="867"/>
      <c r="HA1408" s="868"/>
      <c r="HB1408" s="473"/>
      <c r="HC1408" s="869"/>
      <c r="HD1408" s="870"/>
      <c r="HE1408" s="867"/>
      <c r="HF1408" s="868"/>
      <c r="HG1408" s="473"/>
      <c r="HH1408" s="867"/>
      <c r="HI1408" s="868"/>
      <c r="HJ1408" s="867"/>
      <c r="HK1408" s="868"/>
      <c r="HL1408" s="370"/>
      <c r="HM1408" s="865"/>
      <c r="HN1408" s="866"/>
      <c r="HO1408" s="865"/>
      <c r="HP1408" s="866"/>
      <c r="HQ1408" s="865"/>
      <c r="HR1408" s="866"/>
      <c r="HS1408" s="867"/>
      <c r="HT1408" s="868"/>
      <c r="HU1408" s="489"/>
      <c r="HV1408" s="865"/>
      <c r="HW1408" s="866"/>
    </row>
    <row r="1409" spans="25:231" ht="15" customHeight="1">
      <c r="Y1409" s="332"/>
      <c r="Z1409" s="332"/>
      <c r="AA1409" s="332"/>
      <c r="AB1409" s="332"/>
      <c r="AC1409" s="332"/>
      <c r="AD1409" s="332"/>
      <c r="AE1409" s="332"/>
      <c r="AF1409" s="332"/>
      <c r="AG1409" s="332"/>
      <c r="AH1409" s="332"/>
      <c r="AI1409" s="332"/>
      <c r="AJ1409" s="332"/>
      <c r="AK1409" s="332"/>
      <c r="AL1409" s="332"/>
      <c r="AM1409" s="332"/>
      <c r="AN1409" s="332"/>
      <c r="AO1409" s="332"/>
      <c r="AP1409" s="332"/>
      <c r="AQ1409" s="332"/>
      <c r="AR1409" s="332"/>
      <c r="AS1409" s="332"/>
      <c r="AT1409" s="332"/>
      <c r="AU1409" s="332"/>
      <c r="AV1409" s="332"/>
      <c r="AW1409" s="332"/>
      <c r="AX1409" s="332"/>
      <c r="AY1409" s="332"/>
      <c r="AZ1409" s="332"/>
      <c r="BA1409" s="332"/>
      <c r="BB1409" s="332"/>
      <c r="BC1409" s="332"/>
      <c r="BD1409" s="332"/>
      <c r="BE1409" s="332"/>
      <c r="BF1409" s="332"/>
      <c r="BG1409" s="332"/>
      <c r="BH1409" s="332"/>
      <c r="BI1409" s="332"/>
      <c r="BJ1409" s="332"/>
      <c r="BK1409" s="332"/>
      <c r="BL1409" s="332"/>
      <c r="BM1409" s="332"/>
      <c r="BN1409" s="332"/>
      <c r="BO1409" s="332"/>
      <c r="BP1409" s="332"/>
      <c r="BQ1409" s="332"/>
      <c r="BR1409" s="332"/>
      <c r="BS1409" s="332"/>
      <c r="BT1409" s="332"/>
      <c r="BU1409" s="332"/>
      <c r="BV1409" s="332"/>
      <c r="BW1409" s="332"/>
      <c r="BX1409" s="332"/>
      <c r="BY1409" s="332"/>
      <c r="BZ1409" s="332"/>
      <c r="CA1409" s="332"/>
      <c r="CB1409" s="332"/>
      <c r="CC1409" s="332"/>
      <c r="CD1409" s="332"/>
      <c r="CE1409" s="332"/>
      <c r="CF1409" s="332"/>
      <c r="CG1409" s="332"/>
      <c r="CH1409" s="332"/>
      <c r="CI1409" s="332"/>
      <c r="CJ1409" s="332"/>
      <c r="CK1409" s="332"/>
      <c r="CL1409" s="332"/>
      <c r="CM1409" s="332"/>
      <c r="CN1409" s="332"/>
      <c r="CO1409" s="332"/>
      <c r="CP1409" s="332"/>
      <c r="CQ1409" s="332"/>
      <c r="CR1409" s="332"/>
      <c r="CS1409" s="332"/>
      <c r="CT1409" s="332"/>
      <c r="CU1409" s="332"/>
      <c r="CV1409" s="332"/>
      <c r="CW1409" s="332"/>
      <c r="CX1409" s="332"/>
      <c r="CY1409" s="332"/>
      <c r="CZ1409" s="332"/>
      <c r="DA1409" s="332"/>
      <c r="DB1409" s="332"/>
      <c r="DC1409" s="332"/>
      <c r="DD1409" s="332"/>
      <c r="DE1409" s="332"/>
      <c r="DF1409" s="332"/>
      <c r="DG1409" s="332"/>
      <c r="DH1409" s="332"/>
      <c r="DI1409" s="332"/>
      <c r="DJ1409" s="332"/>
      <c r="DK1409" s="332"/>
      <c r="DL1409" s="332"/>
      <c r="DM1409" s="332"/>
      <c r="DN1409" s="332"/>
      <c r="DO1409" s="332"/>
      <c r="DP1409" s="332"/>
      <c r="DQ1409" s="332"/>
      <c r="DR1409" s="332"/>
      <c r="DS1409" s="332"/>
      <c r="DT1409" s="332"/>
      <c r="DU1409" s="453"/>
      <c r="DV1409" s="453"/>
      <c r="DW1409" s="453"/>
      <c r="DX1409" s="453"/>
      <c r="DY1409" s="453"/>
      <c r="DZ1409" s="453"/>
      <c r="EA1409" s="453"/>
      <c r="EB1409" s="453"/>
      <c r="EC1409" s="453"/>
      <c r="ED1409" s="453"/>
      <c r="EE1409" s="453"/>
      <c r="EF1409" s="453"/>
      <c r="EG1409" s="453"/>
      <c r="EH1409" s="453"/>
      <c r="EI1409" s="453"/>
      <c r="EJ1409" s="453"/>
      <c r="EK1409" s="453"/>
      <c r="EL1409" s="453"/>
      <c r="EM1409" s="483">
        <f t="shared" si="264"/>
        <v>1100</v>
      </c>
      <c r="EN1409" s="485"/>
      <c r="EO1409" s="458"/>
      <c r="EP1409" s="467"/>
      <c r="EQ1409" s="457"/>
      <c r="ER1409" s="808"/>
      <c r="ES1409" s="881">
        <f t="shared" si="265"/>
        <v>0</v>
      </c>
      <c r="ET1409" s="882"/>
      <c r="EU1409" s="883"/>
      <c r="EV1409" s="884">
        <f t="shared" si="266"/>
        <v>0</v>
      </c>
      <c r="EW1409" s="885"/>
      <c r="EX1409" s="885"/>
      <c r="EY1409" s="885"/>
      <c r="EZ1409" s="885"/>
      <c r="FA1409" s="885"/>
      <c r="FB1409" s="885"/>
      <c r="FC1409" s="885"/>
      <c r="FD1409" s="886"/>
      <c r="FE1409" s="877"/>
      <c r="FF1409" s="877"/>
      <c r="FG1409" s="877"/>
      <c r="FH1409" s="877"/>
      <c r="FI1409" s="877"/>
      <c r="FJ1409" s="877"/>
      <c r="FK1409" s="877"/>
      <c r="FL1409" s="874"/>
      <c r="FM1409" s="875"/>
      <c r="FN1409" s="875"/>
      <c r="FO1409" s="875"/>
      <c r="FP1409" s="875"/>
      <c r="FQ1409" s="875"/>
      <c r="FR1409" s="875"/>
      <c r="FS1409" s="875"/>
      <c r="FT1409" s="875"/>
      <c r="FU1409" s="875"/>
      <c r="FV1409" s="875"/>
      <c r="FW1409" s="875"/>
      <c r="FX1409" s="875"/>
      <c r="FY1409" s="875"/>
      <c r="FZ1409" s="875"/>
      <c r="GA1409" s="875"/>
      <c r="GB1409" s="876"/>
      <c r="GC1409" s="370"/>
      <c r="GD1409" s="453"/>
      <c r="GE1409" s="453"/>
      <c r="GF1409" s="453"/>
      <c r="GG1409" s="453"/>
      <c r="GH1409" s="454"/>
      <c r="GI1409" s="453"/>
      <c r="GJ1409" s="453"/>
      <c r="GK1409" s="453"/>
      <c r="GL1409" s="453"/>
      <c r="GM1409" s="453"/>
      <c r="GN1409" s="453"/>
      <c r="GO1409" s="453"/>
      <c r="GP1409" s="453"/>
      <c r="GQ1409" s="453"/>
      <c r="GR1409" s="453"/>
      <c r="GS1409" s="561"/>
      <c r="GT1409" s="475"/>
      <c r="GU1409" s="472"/>
      <c r="GV1409" s="453"/>
      <c r="GW1409" s="453"/>
      <c r="GX1409" s="869"/>
      <c r="GY1409" s="870"/>
      <c r="GZ1409" s="867"/>
      <c r="HA1409" s="868"/>
      <c r="HB1409" s="473"/>
      <c r="HC1409" s="869"/>
      <c r="HD1409" s="870"/>
      <c r="HE1409" s="867"/>
      <c r="HF1409" s="868"/>
      <c r="HG1409" s="473"/>
      <c r="HH1409" s="867"/>
      <c r="HI1409" s="868"/>
      <c r="HJ1409" s="867"/>
      <c r="HK1409" s="868"/>
      <c r="HL1409" s="370"/>
      <c r="HM1409" s="865"/>
      <c r="HN1409" s="866"/>
      <c r="HO1409" s="865"/>
      <c r="HP1409" s="866"/>
      <c r="HQ1409" s="865"/>
      <c r="HR1409" s="866"/>
      <c r="HS1409" s="867"/>
      <c r="HT1409" s="868"/>
      <c r="HU1409" s="489"/>
      <c r="HV1409" s="865"/>
      <c r="HW1409" s="866"/>
    </row>
    <row r="1410" spans="25:231" ht="15" customHeight="1">
      <c r="Y1410" s="332"/>
      <c r="Z1410" s="332"/>
      <c r="AA1410" s="332"/>
      <c r="AB1410" s="332"/>
      <c r="AC1410" s="332"/>
      <c r="AD1410" s="332"/>
      <c r="AE1410" s="332"/>
      <c r="AF1410" s="332"/>
      <c r="AG1410" s="332"/>
      <c r="AH1410" s="332"/>
      <c r="AI1410" s="332"/>
      <c r="AJ1410" s="332"/>
      <c r="AK1410" s="332"/>
      <c r="AL1410" s="332"/>
      <c r="AM1410" s="332"/>
      <c r="AN1410" s="332"/>
      <c r="AO1410" s="332"/>
      <c r="AP1410" s="332"/>
      <c r="AQ1410" s="332"/>
      <c r="AR1410" s="332"/>
      <c r="AS1410" s="332"/>
      <c r="AT1410" s="332"/>
      <c r="AU1410" s="332"/>
      <c r="AV1410" s="332"/>
      <c r="AW1410" s="332"/>
      <c r="AX1410" s="332"/>
      <c r="AY1410" s="332"/>
      <c r="AZ1410" s="332"/>
      <c r="BA1410" s="332"/>
      <c r="BB1410" s="332"/>
      <c r="BC1410" s="332"/>
      <c r="BD1410" s="332"/>
      <c r="BE1410" s="332"/>
      <c r="BF1410" s="332"/>
      <c r="BG1410" s="332"/>
      <c r="BH1410" s="332"/>
      <c r="BI1410" s="332"/>
      <c r="BJ1410" s="332"/>
      <c r="BK1410" s="332"/>
      <c r="BL1410" s="332"/>
      <c r="BM1410" s="332"/>
      <c r="BN1410" s="332"/>
      <c r="BO1410" s="332"/>
      <c r="BP1410" s="332"/>
      <c r="BQ1410" s="332"/>
      <c r="BR1410" s="332"/>
      <c r="BS1410" s="332"/>
      <c r="BT1410" s="332"/>
      <c r="BU1410" s="332"/>
      <c r="BV1410" s="332"/>
      <c r="BW1410" s="332"/>
      <c r="BX1410" s="332"/>
      <c r="BY1410" s="332"/>
      <c r="BZ1410" s="332"/>
      <c r="CA1410" s="332"/>
      <c r="CB1410" s="332"/>
      <c r="CC1410" s="332"/>
      <c r="CD1410" s="332"/>
      <c r="CE1410" s="332"/>
      <c r="CF1410" s="332"/>
      <c r="CG1410" s="332"/>
      <c r="CH1410" s="332"/>
      <c r="CI1410" s="332"/>
      <c r="CJ1410" s="332"/>
      <c r="CK1410" s="332"/>
      <c r="CL1410" s="332"/>
      <c r="CM1410" s="332"/>
      <c r="CN1410" s="332"/>
      <c r="CO1410" s="332"/>
      <c r="CP1410" s="332"/>
      <c r="CQ1410" s="332"/>
      <c r="CR1410" s="332"/>
      <c r="CS1410" s="332"/>
      <c r="CT1410" s="332"/>
      <c r="CU1410" s="332"/>
      <c r="CV1410" s="332"/>
      <c r="CW1410" s="332"/>
      <c r="CX1410" s="332"/>
      <c r="CY1410" s="332"/>
      <c r="CZ1410" s="332"/>
      <c r="DA1410" s="332"/>
      <c r="DB1410" s="332"/>
      <c r="DC1410" s="332"/>
      <c r="DD1410" s="332"/>
      <c r="DE1410" s="332"/>
      <c r="DF1410" s="332"/>
      <c r="DG1410" s="332"/>
      <c r="DH1410" s="332"/>
      <c r="DI1410" s="332"/>
      <c r="DJ1410" s="332"/>
      <c r="DK1410" s="332"/>
      <c r="DL1410" s="332"/>
      <c r="DM1410" s="332"/>
      <c r="DN1410" s="332"/>
      <c r="DO1410" s="332"/>
      <c r="DP1410" s="332"/>
      <c r="DQ1410" s="332"/>
      <c r="DR1410" s="332"/>
      <c r="DS1410" s="332"/>
      <c r="DT1410" s="332"/>
      <c r="DU1410" s="453"/>
      <c r="DV1410" s="453"/>
      <c r="DW1410" s="453"/>
      <c r="DX1410" s="453"/>
      <c r="DY1410" s="453"/>
      <c r="DZ1410" s="453"/>
      <c r="EA1410" s="453"/>
      <c r="EB1410" s="453"/>
      <c r="EC1410" s="453"/>
      <c r="ED1410" s="453"/>
      <c r="EE1410" s="453"/>
      <c r="EF1410" s="453"/>
      <c r="EG1410" s="453"/>
      <c r="EH1410" s="453"/>
      <c r="EI1410" s="453"/>
      <c r="EJ1410" s="453"/>
      <c r="EK1410" s="453"/>
      <c r="EL1410" s="453"/>
      <c r="EM1410" s="483">
        <f t="shared" si="264"/>
        <v>1101</v>
      </c>
      <c r="EN1410" s="485"/>
      <c r="EO1410" s="458"/>
      <c r="EP1410" s="467"/>
      <c r="EQ1410" s="457"/>
      <c r="ER1410" s="808"/>
      <c r="ES1410" s="881">
        <f t="shared" si="265"/>
        <v>0</v>
      </c>
      <c r="ET1410" s="882"/>
      <c r="EU1410" s="883"/>
      <c r="EV1410" s="884">
        <f t="shared" si="266"/>
        <v>0</v>
      </c>
      <c r="EW1410" s="885"/>
      <c r="EX1410" s="885"/>
      <c r="EY1410" s="885"/>
      <c r="EZ1410" s="885"/>
      <c r="FA1410" s="885"/>
      <c r="FB1410" s="885"/>
      <c r="FC1410" s="885"/>
      <c r="FD1410" s="886"/>
      <c r="FE1410" s="877"/>
      <c r="FF1410" s="877"/>
      <c r="FG1410" s="877"/>
      <c r="FH1410" s="877"/>
      <c r="FI1410" s="877"/>
      <c r="FJ1410" s="877"/>
      <c r="FK1410" s="877"/>
      <c r="FL1410" s="874"/>
      <c r="FM1410" s="875"/>
      <c r="FN1410" s="875"/>
      <c r="FO1410" s="875"/>
      <c r="FP1410" s="875"/>
      <c r="FQ1410" s="875"/>
      <c r="FR1410" s="875"/>
      <c r="FS1410" s="875"/>
      <c r="FT1410" s="875"/>
      <c r="FU1410" s="875"/>
      <c r="FV1410" s="875"/>
      <c r="FW1410" s="875"/>
      <c r="FX1410" s="875"/>
      <c r="FY1410" s="875"/>
      <c r="FZ1410" s="875"/>
      <c r="GA1410" s="875"/>
      <c r="GB1410" s="876"/>
      <c r="GC1410" s="370"/>
      <c r="GD1410" s="453"/>
      <c r="GE1410" s="453"/>
      <c r="GF1410" s="453"/>
      <c r="GG1410" s="453"/>
      <c r="GH1410" s="454"/>
      <c r="GI1410" s="453"/>
      <c r="GJ1410" s="453"/>
      <c r="GK1410" s="453"/>
      <c r="GL1410" s="453"/>
      <c r="GM1410" s="453"/>
      <c r="GN1410" s="453"/>
      <c r="GO1410" s="453"/>
      <c r="GP1410" s="453"/>
      <c r="GQ1410" s="453"/>
      <c r="GR1410" s="453"/>
      <c r="GS1410" s="561"/>
      <c r="GT1410" s="475"/>
      <c r="GU1410" s="472"/>
      <c r="GV1410" s="453"/>
      <c r="GW1410" s="453"/>
      <c r="GX1410" s="869"/>
      <c r="GY1410" s="870"/>
      <c r="GZ1410" s="867"/>
      <c r="HA1410" s="868"/>
      <c r="HB1410" s="473"/>
      <c r="HC1410" s="869"/>
      <c r="HD1410" s="870"/>
      <c r="HE1410" s="867"/>
      <c r="HF1410" s="868"/>
      <c r="HG1410" s="473"/>
      <c r="HH1410" s="867"/>
      <c r="HI1410" s="868"/>
      <c r="HJ1410" s="867"/>
      <c r="HK1410" s="868"/>
      <c r="HL1410" s="370"/>
      <c r="HM1410" s="865"/>
      <c r="HN1410" s="866"/>
      <c r="HO1410" s="865"/>
      <c r="HP1410" s="866"/>
      <c r="HQ1410" s="865"/>
      <c r="HR1410" s="866"/>
      <c r="HS1410" s="867"/>
      <c r="HT1410" s="868"/>
      <c r="HU1410" s="489"/>
      <c r="HV1410" s="865"/>
      <c r="HW1410" s="866"/>
    </row>
    <row r="1411" spans="25:231" ht="15" customHeight="1">
      <c r="Y1411" s="332"/>
      <c r="Z1411" s="332"/>
      <c r="AA1411" s="332"/>
      <c r="AB1411" s="332"/>
      <c r="AC1411" s="332"/>
      <c r="AD1411" s="332"/>
      <c r="AE1411" s="332"/>
      <c r="AF1411" s="332"/>
      <c r="AG1411" s="332"/>
      <c r="AH1411" s="332"/>
      <c r="AI1411" s="332"/>
      <c r="AJ1411" s="332"/>
      <c r="AK1411" s="332"/>
      <c r="AL1411" s="332"/>
      <c r="AM1411" s="332"/>
      <c r="AN1411" s="332"/>
      <c r="AO1411" s="332"/>
      <c r="AP1411" s="332"/>
      <c r="AQ1411" s="332"/>
      <c r="AR1411" s="332"/>
      <c r="AS1411" s="332"/>
      <c r="AT1411" s="332"/>
      <c r="AU1411" s="332"/>
      <c r="AV1411" s="332"/>
      <c r="AW1411" s="332"/>
      <c r="AX1411" s="332"/>
      <c r="AY1411" s="332"/>
      <c r="AZ1411" s="332"/>
      <c r="BA1411" s="332"/>
      <c r="BB1411" s="332"/>
      <c r="BC1411" s="332"/>
      <c r="BD1411" s="332"/>
      <c r="BE1411" s="332"/>
      <c r="BF1411" s="332"/>
      <c r="BG1411" s="332"/>
      <c r="BH1411" s="332"/>
      <c r="BI1411" s="332"/>
      <c r="BJ1411" s="332"/>
      <c r="BK1411" s="332"/>
      <c r="BL1411" s="332"/>
      <c r="BM1411" s="332"/>
      <c r="BN1411" s="332"/>
      <c r="BO1411" s="332"/>
      <c r="BP1411" s="332"/>
      <c r="BQ1411" s="332"/>
      <c r="BR1411" s="332"/>
      <c r="BS1411" s="332"/>
      <c r="BT1411" s="332"/>
      <c r="BU1411" s="332"/>
      <c r="BV1411" s="332"/>
      <c r="BW1411" s="332"/>
      <c r="BX1411" s="332"/>
      <c r="BY1411" s="332"/>
      <c r="BZ1411" s="332"/>
      <c r="CA1411" s="332"/>
      <c r="CB1411" s="332"/>
      <c r="CC1411" s="332"/>
      <c r="CD1411" s="332"/>
      <c r="CE1411" s="332"/>
      <c r="CF1411" s="332"/>
      <c r="CG1411" s="332"/>
      <c r="CH1411" s="332"/>
      <c r="CI1411" s="332"/>
      <c r="CJ1411" s="332"/>
      <c r="CK1411" s="332"/>
      <c r="CL1411" s="332"/>
      <c r="CM1411" s="332"/>
      <c r="CN1411" s="332"/>
      <c r="CO1411" s="332"/>
      <c r="CP1411" s="332"/>
      <c r="CQ1411" s="332"/>
      <c r="CR1411" s="332"/>
      <c r="CS1411" s="332"/>
      <c r="CT1411" s="332"/>
      <c r="CU1411" s="332"/>
      <c r="CV1411" s="332"/>
      <c r="CW1411" s="332"/>
      <c r="CX1411" s="332"/>
      <c r="CY1411" s="332"/>
      <c r="CZ1411" s="332"/>
      <c r="DA1411" s="332"/>
      <c r="DB1411" s="332"/>
      <c r="DC1411" s="332"/>
      <c r="DD1411" s="332"/>
      <c r="DE1411" s="332"/>
      <c r="DF1411" s="332"/>
      <c r="DG1411" s="332"/>
      <c r="DH1411" s="332"/>
      <c r="DI1411" s="332"/>
      <c r="DJ1411" s="332"/>
      <c r="DK1411" s="332"/>
      <c r="DL1411" s="332"/>
      <c r="DM1411" s="332"/>
      <c r="DN1411" s="332"/>
      <c r="DO1411" s="332"/>
      <c r="DP1411" s="332"/>
      <c r="DQ1411" s="332"/>
      <c r="DR1411" s="332"/>
      <c r="DS1411" s="332"/>
      <c r="DT1411" s="332"/>
      <c r="DU1411" s="453"/>
      <c r="DV1411" s="453"/>
      <c r="DW1411" s="453"/>
      <c r="DX1411" s="453"/>
      <c r="DY1411" s="453"/>
      <c r="DZ1411" s="453"/>
      <c r="EA1411" s="453"/>
      <c r="EB1411" s="453"/>
      <c r="EC1411" s="453"/>
      <c r="ED1411" s="453"/>
      <c r="EE1411" s="453"/>
      <c r="EF1411" s="453"/>
      <c r="EG1411" s="453"/>
      <c r="EH1411" s="453"/>
      <c r="EI1411" s="453"/>
      <c r="EJ1411" s="453"/>
      <c r="EK1411" s="453"/>
      <c r="EL1411" s="453"/>
      <c r="EM1411" s="483">
        <f t="shared" si="264"/>
        <v>1102</v>
      </c>
      <c r="EN1411" s="485"/>
      <c r="EO1411" s="458"/>
      <c r="EP1411" s="467"/>
      <c r="EQ1411" s="457"/>
      <c r="ER1411" s="808"/>
      <c r="ES1411" s="881">
        <f t="shared" si="265"/>
        <v>0</v>
      </c>
      <c r="ET1411" s="882"/>
      <c r="EU1411" s="883"/>
      <c r="EV1411" s="884">
        <f t="shared" si="266"/>
        <v>0</v>
      </c>
      <c r="EW1411" s="885"/>
      <c r="EX1411" s="885"/>
      <c r="EY1411" s="885"/>
      <c r="EZ1411" s="885"/>
      <c r="FA1411" s="885"/>
      <c r="FB1411" s="885"/>
      <c r="FC1411" s="885"/>
      <c r="FD1411" s="886"/>
      <c r="FE1411" s="877"/>
      <c r="FF1411" s="877"/>
      <c r="FG1411" s="877"/>
      <c r="FH1411" s="877"/>
      <c r="FI1411" s="877"/>
      <c r="FJ1411" s="877"/>
      <c r="FK1411" s="877"/>
      <c r="FL1411" s="874"/>
      <c r="FM1411" s="875"/>
      <c r="FN1411" s="875"/>
      <c r="FO1411" s="875"/>
      <c r="FP1411" s="875"/>
      <c r="FQ1411" s="875"/>
      <c r="FR1411" s="875"/>
      <c r="FS1411" s="875"/>
      <c r="FT1411" s="875"/>
      <c r="FU1411" s="875"/>
      <c r="FV1411" s="875"/>
      <c r="FW1411" s="875"/>
      <c r="FX1411" s="875"/>
      <c r="FY1411" s="875"/>
      <c r="FZ1411" s="875"/>
      <c r="GA1411" s="875"/>
      <c r="GB1411" s="876"/>
      <c r="GC1411" s="370"/>
      <c r="GD1411" s="453"/>
      <c r="GE1411" s="453"/>
      <c r="GF1411" s="453"/>
      <c r="GG1411" s="453"/>
      <c r="GH1411" s="454"/>
      <c r="GI1411" s="453"/>
      <c r="GJ1411" s="453"/>
      <c r="GK1411" s="453"/>
      <c r="GL1411" s="453"/>
      <c r="GM1411" s="453"/>
      <c r="GN1411" s="453"/>
      <c r="GO1411" s="453"/>
      <c r="GP1411" s="453"/>
      <c r="GQ1411" s="453"/>
      <c r="GR1411" s="453"/>
      <c r="GS1411" s="561"/>
      <c r="GT1411" s="475"/>
      <c r="GU1411" s="472"/>
      <c r="GV1411" s="453"/>
      <c r="GW1411" s="453"/>
      <c r="GX1411" s="869"/>
      <c r="GY1411" s="870"/>
      <c r="GZ1411" s="867"/>
      <c r="HA1411" s="868"/>
      <c r="HB1411" s="473"/>
      <c r="HC1411" s="869"/>
      <c r="HD1411" s="870"/>
      <c r="HE1411" s="867"/>
      <c r="HF1411" s="868"/>
      <c r="HG1411" s="473"/>
      <c r="HH1411" s="867"/>
      <c r="HI1411" s="868"/>
      <c r="HJ1411" s="867"/>
      <c r="HK1411" s="868"/>
      <c r="HL1411" s="370"/>
      <c r="HM1411" s="865"/>
      <c r="HN1411" s="866"/>
      <c r="HO1411" s="865"/>
      <c r="HP1411" s="866"/>
      <c r="HQ1411" s="865"/>
      <c r="HR1411" s="866"/>
      <c r="HS1411" s="867"/>
      <c r="HT1411" s="868"/>
      <c r="HU1411" s="489"/>
      <c r="HV1411" s="865"/>
      <c r="HW1411" s="866"/>
    </row>
    <row r="1412" spans="25:231" ht="15" customHeight="1">
      <c r="Y1412" s="332"/>
      <c r="Z1412" s="332"/>
      <c r="AA1412" s="332"/>
      <c r="AB1412" s="332"/>
      <c r="AC1412" s="332"/>
      <c r="AD1412" s="332"/>
      <c r="AE1412" s="332"/>
      <c r="AF1412" s="332"/>
      <c r="AG1412" s="332"/>
      <c r="AH1412" s="332"/>
      <c r="AI1412" s="332"/>
      <c r="AJ1412" s="332"/>
      <c r="AK1412" s="332"/>
      <c r="AL1412" s="332"/>
      <c r="AM1412" s="332"/>
      <c r="AN1412" s="332"/>
      <c r="AO1412" s="332"/>
      <c r="AP1412" s="332"/>
      <c r="AQ1412" s="332"/>
      <c r="AR1412" s="332"/>
      <c r="AS1412" s="332"/>
      <c r="AT1412" s="332"/>
      <c r="AU1412" s="332"/>
      <c r="AV1412" s="332"/>
      <c r="AW1412" s="332"/>
      <c r="AX1412" s="332"/>
      <c r="AY1412" s="332"/>
      <c r="AZ1412" s="332"/>
      <c r="BA1412" s="332"/>
      <c r="BB1412" s="332"/>
      <c r="BC1412" s="332"/>
      <c r="BD1412" s="332"/>
      <c r="BE1412" s="332"/>
      <c r="BF1412" s="332"/>
      <c r="BG1412" s="332"/>
      <c r="BH1412" s="332"/>
      <c r="BI1412" s="332"/>
      <c r="BJ1412" s="332"/>
      <c r="BK1412" s="332"/>
      <c r="BL1412" s="332"/>
      <c r="BM1412" s="332"/>
      <c r="BN1412" s="332"/>
      <c r="BO1412" s="332"/>
      <c r="BP1412" s="332"/>
      <c r="BQ1412" s="332"/>
      <c r="BR1412" s="332"/>
      <c r="BS1412" s="332"/>
      <c r="BT1412" s="332"/>
      <c r="BU1412" s="332"/>
      <c r="BV1412" s="332"/>
      <c r="BW1412" s="332"/>
      <c r="BX1412" s="332"/>
      <c r="BY1412" s="332"/>
      <c r="BZ1412" s="332"/>
      <c r="CA1412" s="332"/>
      <c r="CB1412" s="332"/>
      <c r="CC1412" s="332"/>
      <c r="CD1412" s="332"/>
      <c r="CE1412" s="332"/>
      <c r="CF1412" s="332"/>
      <c r="CG1412" s="332"/>
      <c r="CH1412" s="332"/>
      <c r="CI1412" s="332"/>
      <c r="CJ1412" s="332"/>
      <c r="CK1412" s="332"/>
      <c r="CL1412" s="332"/>
      <c r="CM1412" s="332"/>
      <c r="CN1412" s="332"/>
      <c r="CO1412" s="332"/>
      <c r="CP1412" s="332"/>
      <c r="CQ1412" s="332"/>
      <c r="CR1412" s="332"/>
      <c r="CS1412" s="332"/>
      <c r="CT1412" s="332"/>
      <c r="CU1412" s="332"/>
      <c r="CV1412" s="332"/>
      <c r="CW1412" s="332"/>
      <c r="CX1412" s="332"/>
      <c r="CY1412" s="332"/>
      <c r="CZ1412" s="332"/>
      <c r="DA1412" s="332"/>
      <c r="DB1412" s="332"/>
      <c r="DC1412" s="332"/>
      <c r="DD1412" s="332"/>
      <c r="DE1412" s="332"/>
      <c r="DF1412" s="332"/>
      <c r="DG1412" s="332"/>
      <c r="DH1412" s="332"/>
      <c r="DI1412" s="332"/>
      <c r="DJ1412" s="332"/>
      <c r="DK1412" s="332"/>
      <c r="DL1412" s="332"/>
      <c r="DM1412" s="332"/>
      <c r="DN1412" s="332"/>
      <c r="DO1412" s="332"/>
      <c r="DP1412" s="332"/>
      <c r="DQ1412" s="332"/>
      <c r="DR1412" s="332"/>
      <c r="DS1412" s="332"/>
      <c r="DT1412" s="332"/>
      <c r="DU1412" s="453"/>
      <c r="DV1412" s="453"/>
      <c r="DW1412" s="453"/>
      <c r="DX1412" s="453"/>
      <c r="DY1412" s="453"/>
      <c r="DZ1412" s="453"/>
      <c r="EA1412" s="453"/>
      <c r="EB1412" s="453"/>
      <c r="EC1412" s="453"/>
      <c r="ED1412" s="453"/>
      <c r="EE1412" s="453"/>
      <c r="EF1412" s="453"/>
      <c r="EG1412" s="453"/>
      <c r="EH1412" s="453"/>
      <c r="EI1412" s="453"/>
      <c r="EJ1412" s="453"/>
      <c r="EK1412" s="453"/>
      <c r="EL1412" s="453"/>
      <c r="EM1412" s="483">
        <f t="shared" si="264"/>
        <v>1103</v>
      </c>
      <c r="EN1412" s="485"/>
      <c r="EO1412" s="458"/>
      <c r="EP1412" s="467"/>
      <c r="EQ1412" s="457"/>
      <c r="ER1412" s="808"/>
      <c r="ES1412" s="881">
        <f t="shared" si="265"/>
        <v>0</v>
      </c>
      <c r="ET1412" s="882"/>
      <c r="EU1412" s="883"/>
      <c r="EV1412" s="884">
        <f t="shared" si="266"/>
        <v>0</v>
      </c>
      <c r="EW1412" s="885"/>
      <c r="EX1412" s="885"/>
      <c r="EY1412" s="885"/>
      <c r="EZ1412" s="885"/>
      <c r="FA1412" s="885"/>
      <c r="FB1412" s="885"/>
      <c r="FC1412" s="885"/>
      <c r="FD1412" s="886"/>
      <c r="FE1412" s="877"/>
      <c r="FF1412" s="877"/>
      <c r="FG1412" s="877"/>
      <c r="FH1412" s="877"/>
      <c r="FI1412" s="877"/>
      <c r="FJ1412" s="877"/>
      <c r="FK1412" s="877"/>
      <c r="FL1412" s="874"/>
      <c r="FM1412" s="875"/>
      <c r="FN1412" s="875"/>
      <c r="FO1412" s="875"/>
      <c r="FP1412" s="875"/>
      <c r="FQ1412" s="875"/>
      <c r="FR1412" s="875"/>
      <c r="FS1412" s="875"/>
      <c r="FT1412" s="875"/>
      <c r="FU1412" s="875"/>
      <c r="FV1412" s="875"/>
      <c r="FW1412" s="875"/>
      <c r="FX1412" s="875"/>
      <c r="FY1412" s="875"/>
      <c r="FZ1412" s="875"/>
      <c r="GA1412" s="875"/>
      <c r="GB1412" s="876"/>
      <c r="GC1412" s="370"/>
      <c r="GD1412" s="453"/>
      <c r="GE1412" s="453"/>
      <c r="GF1412" s="453"/>
      <c r="GG1412" s="453"/>
      <c r="GH1412" s="454"/>
      <c r="GI1412" s="453"/>
      <c r="GJ1412" s="453"/>
      <c r="GK1412" s="453"/>
      <c r="GL1412" s="453"/>
      <c r="GM1412" s="453"/>
      <c r="GN1412" s="453"/>
      <c r="GO1412" s="453"/>
      <c r="GP1412" s="453"/>
      <c r="GQ1412" s="453"/>
      <c r="GR1412" s="453"/>
      <c r="GS1412" s="561"/>
      <c r="GT1412" s="475"/>
      <c r="GU1412" s="472"/>
      <c r="GV1412" s="453"/>
      <c r="GW1412" s="453"/>
      <c r="GX1412" s="869"/>
      <c r="GY1412" s="870"/>
      <c r="GZ1412" s="867"/>
      <c r="HA1412" s="868"/>
      <c r="HB1412" s="473"/>
      <c r="HC1412" s="869"/>
      <c r="HD1412" s="870"/>
      <c r="HE1412" s="867"/>
      <c r="HF1412" s="868"/>
      <c r="HG1412" s="473"/>
      <c r="HH1412" s="867"/>
      <c r="HI1412" s="868"/>
      <c r="HJ1412" s="867"/>
      <c r="HK1412" s="868"/>
      <c r="HL1412" s="370"/>
      <c r="HM1412" s="865"/>
      <c r="HN1412" s="866"/>
      <c r="HO1412" s="865"/>
      <c r="HP1412" s="866"/>
      <c r="HQ1412" s="865"/>
      <c r="HR1412" s="866"/>
      <c r="HS1412" s="867"/>
      <c r="HT1412" s="868"/>
      <c r="HU1412" s="489"/>
      <c r="HV1412" s="865"/>
      <c r="HW1412" s="866"/>
    </row>
    <row r="1413" spans="25:231" ht="15" customHeight="1">
      <c r="Y1413" s="332"/>
      <c r="Z1413" s="332"/>
      <c r="AA1413" s="332"/>
      <c r="AB1413" s="332"/>
      <c r="AC1413" s="332"/>
      <c r="AD1413" s="332"/>
      <c r="AE1413" s="332"/>
      <c r="AF1413" s="332"/>
      <c r="AG1413" s="332"/>
      <c r="AH1413" s="332"/>
      <c r="AI1413" s="332"/>
      <c r="AJ1413" s="332"/>
      <c r="AK1413" s="332"/>
      <c r="AL1413" s="332"/>
      <c r="AM1413" s="332"/>
      <c r="AN1413" s="332"/>
      <c r="AO1413" s="332"/>
      <c r="AP1413" s="332"/>
      <c r="AQ1413" s="332"/>
      <c r="AR1413" s="332"/>
      <c r="AS1413" s="332"/>
      <c r="AT1413" s="332"/>
      <c r="AU1413" s="332"/>
      <c r="AV1413" s="332"/>
      <c r="AW1413" s="332"/>
      <c r="AX1413" s="332"/>
      <c r="AY1413" s="332"/>
      <c r="AZ1413" s="332"/>
      <c r="BA1413" s="332"/>
      <c r="BB1413" s="332"/>
      <c r="BC1413" s="332"/>
      <c r="BD1413" s="332"/>
      <c r="BE1413" s="332"/>
      <c r="BF1413" s="332"/>
      <c r="BG1413" s="332"/>
      <c r="BH1413" s="332"/>
      <c r="BI1413" s="332"/>
      <c r="BJ1413" s="332"/>
      <c r="BK1413" s="332"/>
      <c r="BL1413" s="332"/>
      <c r="BM1413" s="332"/>
      <c r="BN1413" s="332"/>
      <c r="BO1413" s="332"/>
      <c r="BP1413" s="332"/>
      <c r="BQ1413" s="332"/>
      <c r="BR1413" s="332"/>
      <c r="BS1413" s="332"/>
      <c r="BT1413" s="332"/>
      <c r="BU1413" s="332"/>
      <c r="BV1413" s="332"/>
      <c r="BW1413" s="332"/>
      <c r="BX1413" s="332"/>
      <c r="BY1413" s="332"/>
      <c r="BZ1413" s="332"/>
      <c r="CA1413" s="332"/>
      <c r="CB1413" s="332"/>
      <c r="CC1413" s="332"/>
      <c r="CD1413" s="332"/>
      <c r="CE1413" s="332"/>
      <c r="CF1413" s="332"/>
      <c r="CG1413" s="332"/>
      <c r="CH1413" s="332"/>
      <c r="CI1413" s="332"/>
      <c r="CJ1413" s="332"/>
      <c r="CK1413" s="332"/>
      <c r="CL1413" s="332"/>
      <c r="CM1413" s="332"/>
      <c r="CN1413" s="332"/>
      <c r="CO1413" s="332"/>
      <c r="CP1413" s="332"/>
      <c r="CQ1413" s="332"/>
      <c r="CR1413" s="332"/>
      <c r="CS1413" s="332"/>
      <c r="CT1413" s="332"/>
      <c r="CU1413" s="332"/>
      <c r="CV1413" s="332"/>
      <c r="CW1413" s="332"/>
      <c r="CX1413" s="332"/>
      <c r="CY1413" s="332"/>
      <c r="CZ1413" s="332"/>
      <c r="DA1413" s="332"/>
      <c r="DB1413" s="332"/>
      <c r="DC1413" s="332"/>
      <c r="DD1413" s="332"/>
      <c r="DE1413" s="332"/>
      <c r="DF1413" s="332"/>
      <c r="DG1413" s="332"/>
      <c r="DH1413" s="332"/>
      <c r="DI1413" s="332"/>
      <c r="DJ1413" s="332"/>
      <c r="DK1413" s="332"/>
      <c r="DL1413" s="332"/>
      <c r="DM1413" s="332"/>
      <c r="DN1413" s="332"/>
      <c r="DO1413" s="332"/>
      <c r="DP1413" s="332"/>
      <c r="DQ1413" s="332"/>
      <c r="DR1413" s="332"/>
      <c r="DS1413" s="332"/>
      <c r="DT1413" s="332"/>
      <c r="DU1413" s="453"/>
      <c r="DV1413" s="453"/>
      <c r="DW1413" s="453"/>
      <c r="DX1413" s="453"/>
      <c r="DY1413" s="453"/>
      <c r="DZ1413" s="453"/>
      <c r="EA1413" s="453"/>
      <c r="EB1413" s="453"/>
      <c r="EC1413" s="453"/>
      <c r="ED1413" s="453"/>
      <c r="EE1413" s="453"/>
      <c r="EF1413" s="453"/>
      <c r="EG1413" s="453"/>
      <c r="EH1413" s="453"/>
      <c r="EI1413" s="453"/>
      <c r="EJ1413" s="453"/>
      <c r="EK1413" s="453"/>
      <c r="EL1413" s="453"/>
      <c r="EM1413" s="483">
        <f t="shared" si="264"/>
        <v>1104</v>
      </c>
      <c r="EN1413" s="485"/>
      <c r="EO1413" s="458"/>
      <c r="EP1413" s="467"/>
      <c r="EQ1413" s="457"/>
      <c r="ER1413" s="808"/>
      <c r="ES1413" s="881">
        <f t="shared" si="265"/>
        <v>0</v>
      </c>
      <c r="ET1413" s="882"/>
      <c r="EU1413" s="883"/>
      <c r="EV1413" s="884">
        <f t="shared" si="266"/>
        <v>0</v>
      </c>
      <c r="EW1413" s="885"/>
      <c r="EX1413" s="885"/>
      <c r="EY1413" s="885"/>
      <c r="EZ1413" s="885"/>
      <c r="FA1413" s="885"/>
      <c r="FB1413" s="885"/>
      <c r="FC1413" s="885"/>
      <c r="FD1413" s="886"/>
      <c r="FE1413" s="877"/>
      <c r="FF1413" s="877"/>
      <c r="FG1413" s="877"/>
      <c r="FH1413" s="877"/>
      <c r="FI1413" s="877"/>
      <c r="FJ1413" s="877"/>
      <c r="FK1413" s="877"/>
      <c r="FL1413" s="874"/>
      <c r="FM1413" s="875"/>
      <c r="FN1413" s="875"/>
      <c r="FO1413" s="875"/>
      <c r="FP1413" s="875"/>
      <c r="FQ1413" s="875"/>
      <c r="FR1413" s="875"/>
      <c r="FS1413" s="875"/>
      <c r="FT1413" s="875"/>
      <c r="FU1413" s="875"/>
      <c r="FV1413" s="875"/>
      <c r="FW1413" s="875"/>
      <c r="FX1413" s="875"/>
      <c r="FY1413" s="875"/>
      <c r="FZ1413" s="875"/>
      <c r="GA1413" s="875"/>
      <c r="GB1413" s="876"/>
      <c r="GC1413" s="370"/>
      <c r="GD1413" s="453"/>
      <c r="GE1413" s="453"/>
      <c r="GF1413" s="453"/>
      <c r="GG1413" s="453"/>
      <c r="GH1413" s="454"/>
      <c r="GI1413" s="453"/>
      <c r="GJ1413" s="453"/>
      <c r="GK1413" s="453"/>
      <c r="GL1413" s="453"/>
      <c r="GM1413" s="453"/>
      <c r="GN1413" s="453"/>
      <c r="GO1413" s="453"/>
      <c r="GP1413" s="453"/>
      <c r="GQ1413" s="453"/>
      <c r="GR1413" s="453"/>
      <c r="GS1413" s="561"/>
      <c r="GT1413" s="475"/>
      <c r="GU1413" s="472"/>
      <c r="GV1413" s="453"/>
      <c r="GW1413" s="453"/>
      <c r="GX1413" s="869"/>
      <c r="GY1413" s="870"/>
      <c r="GZ1413" s="867"/>
      <c r="HA1413" s="868"/>
      <c r="HB1413" s="473"/>
      <c r="HC1413" s="869"/>
      <c r="HD1413" s="870"/>
      <c r="HE1413" s="867"/>
      <c r="HF1413" s="868"/>
      <c r="HG1413" s="473"/>
      <c r="HH1413" s="867"/>
      <c r="HI1413" s="868"/>
      <c r="HJ1413" s="867"/>
      <c r="HK1413" s="868"/>
      <c r="HL1413" s="370"/>
      <c r="HM1413" s="865"/>
      <c r="HN1413" s="866"/>
      <c r="HO1413" s="865"/>
      <c r="HP1413" s="866"/>
      <c r="HQ1413" s="865"/>
      <c r="HR1413" s="866"/>
      <c r="HS1413" s="867"/>
      <c r="HT1413" s="868"/>
      <c r="HU1413" s="489"/>
      <c r="HV1413" s="865"/>
      <c r="HW1413" s="866"/>
    </row>
    <row r="1414" spans="25:231" ht="15" customHeight="1">
      <c r="Y1414" s="332"/>
      <c r="Z1414" s="332"/>
      <c r="AA1414" s="332"/>
      <c r="AB1414" s="332"/>
      <c r="AC1414" s="332"/>
      <c r="AD1414" s="332"/>
      <c r="AE1414" s="332"/>
      <c r="AF1414" s="332"/>
      <c r="AG1414" s="332"/>
      <c r="AH1414" s="332"/>
      <c r="AI1414" s="332"/>
      <c r="AJ1414" s="332"/>
      <c r="AK1414" s="332"/>
      <c r="AL1414" s="332"/>
      <c r="AM1414" s="332"/>
      <c r="AN1414" s="332"/>
      <c r="AO1414" s="332"/>
      <c r="AP1414" s="332"/>
      <c r="AQ1414" s="332"/>
      <c r="AR1414" s="332"/>
      <c r="AS1414" s="332"/>
      <c r="AT1414" s="332"/>
      <c r="AU1414" s="332"/>
      <c r="AV1414" s="332"/>
      <c r="AW1414" s="332"/>
      <c r="AX1414" s="332"/>
      <c r="AY1414" s="332"/>
      <c r="AZ1414" s="332"/>
      <c r="BA1414" s="332"/>
      <c r="BB1414" s="332"/>
      <c r="BC1414" s="332"/>
      <c r="BD1414" s="332"/>
      <c r="BE1414" s="332"/>
      <c r="BF1414" s="332"/>
      <c r="BG1414" s="332"/>
      <c r="BH1414" s="332"/>
      <c r="BI1414" s="332"/>
      <c r="BJ1414" s="332"/>
      <c r="BK1414" s="332"/>
      <c r="BL1414" s="332"/>
      <c r="BM1414" s="332"/>
      <c r="BN1414" s="332"/>
      <c r="BO1414" s="332"/>
      <c r="BP1414" s="332"/>
      <c r="BQ1414" s="332"/>
      <c r="BR1414" s="332"/>
      <c r="BS1414" s="332"/>
      <c r="BT1414" s="332"/>
      <c r="BU1414" s="332"/>
      <c r="BV1414" s="332"/>
      <c r="BW1414" s="332"/>
      <c r="BX1414" s="332"/>
      <c r="BY1414" s="332"/>
      <c r="BZ1414" s="332"/>
      <c r="CA1414" s="332"/>
      <c r="CB1414" s="332"/>
      <c r="CC1414" s="332"/>
      <c r="CD1414" s="332"/>
      <c r="CE1414" s="332"/>
      <c r="CF1414" s="332"/>
      <c r="CG1414" s="332"/>
      <c r="CH1414" s="332"/>
      <c r="CI1414" s="332"/>
      <c r="CJ1414" s="332"/>
      <c r="CK1414" s="332"/>
      <c r="CL1414" s="332"/>
      <c r="CM1414" s="332"/>
      <c r="CN1414" s="332"/>
      <c r="CO1414" s="332"/>
      <c r="CP1414" s="332"/>
      <c r="CQ1414" s="332"/>
      <c r="CR1414" s="332"/>
      <c r="CS1414" s="332"/>
      <c r="CT1414" s="332"/>
      <c r="CU1414" s="332"/>
      <c r="CV1414" s="332"/>
      <c r="CW1414" s="332"/>
      <c r="CX1414" s="332"/>
      <c r="CY1414" s="332"/>
      <c r="CZ1414" s="332"/>
      <c r="DA1414" s="332"/>
      <c r="DB1414" s="332"/>
      <c r="DC1414" s="332"/>
      <c r="DD1414" s="332"/>
      <c r="DE1414" s="332"/>
      <c r="DF1414" s="332"/>
      <c r="DG1414" s="332"/>
      <c r="DH1414" s="332"/>
      <c r="DI1414" s="332"/>
      <c r="DJ1414" s="332"/>
      <c r="DK1414" s="332"/>
      <c r="DL1414" s="332"/>
      <c r="DM1414" s="332"/>
      <c r="DN1414" s="332"/>
      <c r="DO1414" s="332"/>
      <c r="DP1414" s="332"/>
      <c r="DQ1414" s="332"/>
      <c r="DR1414" s="332"/>
      <c r="DS1414" s="332"/>
      <c r="DT1414" s="332"/>
      <c r="DU1414" s="453"/>
      <c r="DV1414" s="453"/>
      <c r="DW1414" s="453"/>
      <c r="DX1414" s="453"/>
      <c r="DY1414" s="453"/>
      <c r="DZ1414" s="453"/>
      <c r="EA1414" s="453"/>
      <c r="EB1414" s="453"/>
      <c r="EC1414" s="453"/>
      <c r="ED1414" s="453"/>
      <c r="EE1414" s="453"/>
      <c r="EF1414" s="453"/>
      <c r="EG1414" s="453"/>
      <c r="EH1414" s="453"/>
      <c r="EI1414" s="453"/>
      <c r="EJ1414" s="453"/>
      <c r="EK1414" s="453"/>
      <c r="EL1414" s="453"/>
      <c r="EM1414" s="483">
        <f t="shared" si="264"/>
        <v>1105</v>
      </c>
      <c r="EN1414" s="485"/>
      <c r="EO1414" s="458"/>
      <c r="EP1414" s="467"/>
      <c r="EQ1414" s="457"/>
      <c r="ER1414" s="808"/>
      <c r="ES1414" s="881">
        <f t="shared" si="265"/>
        <v>0</v>
      </c>
      <c r="ET1414" s="882"/>
      <c r="EU1414" s="883"/>
      <c r="EV1414" s="884">
        <f t="shared" si="266"/>
        <v>0</v>
      </c>
      <c r="EW1414" s="885"/>
      <c r="EX1414" s="885"/>
      <c r="EY1414" s="885"/>
      <c r="EZ1414" s="885"/>
      <c r="FA1414" s="885"/>
      <c r="FB1414" s="885"/>
      <c r="FC1414" s="885"/>
      <c r="FD1414" s="886"/>
      <c r="FE1414" s="877"/>
      <c r="FF1414" s="877"/>
      <c r="FG1414" s="877"/>
      <c r="FH1414" s="877"/>
      <c r="FI1414" s="877"/>
      <c r="FJ1414" s="877"/>
      <c r="FK1414" s="877"/>
      <c r="FL1414" s="874"/>
      <c r="FM1414" s="875"/>
      <c r="FN1414" s="875"/>
      <c r="FO1414" s="875"/>
      <c r="FP1414" s="875"/>
      <c r="FQ1414" s="875"/>
      <c r="FR1414" s="875"/>
      <c r="FS1414" s="875"/>
      <c r="FT1414" s="875"/>
      <c r="FU1414" s="875"/>
      <c r="FV1414" s="875"/>
      <c r="FW1414" s="875"/>
      <c r="FX1414" s="875"/>
      <c r="FY1414" s="875"/>
      <c r="FZ1414" s="875"/>
      <c r="GA1414" s="875"/>
      <c r="GB1414" s="876"/>
      <c r="GC1414" s="370"/>
      <c r="GD1414" s="453"/>
      <c r="GE1414" s="453"/>
      <c r="GF1414" s="453"/>
      <c r="GG1414" s="453"/>
      <c r="GH1414" s="454"/>
      <c r="GI1414" s="453"/>
      <c r="GJ1414" s="453"/>
      <c r="GK1414" s="453"/>
      <c r="GL1414" s="453"/>
      <c r="GM1414" s="453"/>
      <c r="GN1414" s="453"/>
      <c r="GO1414" s="453"/>
      <c r="GP1414" s="453"/>
      <c r="GQ1414" s="453"/>
      <c r="GR1414" s="453"/>
      <c r="GS1414" s="561"/>
      <c r="GT1414" s="475"/>
      <c r="GU1414" s="472"/>
      <c r="GV1414" s="453"/>
      <c r="GW1414" s="453"/>
      <c r="GX1414" s="869"/>
      <c r="GY1414" s="870"/>
      <c r="GZ1414" s="867"/>
      <c r="HA1414" s="868"/>
      <c r="HB1414" s="473"/>
      <c r="HC1414" s="869"/>
      <c r="HD1414" s="870"/>
      <c r="HE1414" s="867"/>
      <c r="HF1414" s="868"/>
      <c r="HG1414" s="473"/>
      <c r="HH1414" s="867"/>
      <c r="HI1414" s="868"/>
      <c r="HJ1414" s="867"/>
      <c r="HK1414" s="868"/>
      <c r="HL1414" s="370"/>
      <c r="HM1414" s="865"/>
      <c r="HN1414" s="866"/>
      <c r="HO1414" s="865"/>
      <c r="HP1414" s="866"/>
      <c r="HQ1414" s="865"/>
      <c r="HR1414" s="866"/>
      <c r="HS1414" s="867"/>
      <c r="HT1414" s="868"/>
      <c r="HU1414" s="489"/>
      <c r="HV1414" s="865"/>
      <c r="HW1414" s="866"/>
    </row>
    <row r="1415" spans="25:231" ht="15" customHeight="1">
      <c r="Y1415" s="332"/>
      <c r="Z1415" s="332"/>
      <c r="AA1415" s="332"/>
      <c r="AB1415" s="332"/>
      <c r="AC1415" s="332"/>
      <c r="AD1415" s="332"/>
      <c r="AE1415" s="332"/>
      <c r="AF1415" s="332"/>
      <c r="AG1415" s="332"/>
      <c r="AH1415" s="332"/>
      <c r="AI1415" s="332"/>
      <c r="AJ1415" s="332"/>
      <c r="AK1415" s="332"/>
      <c r="AL1415" s="332"/>
      <c r="AM1415" s="332"/>
      <c r="AN1415" s="332"/>
      <c r="AO1415" s="332"/>
      <c r="AP1415" s="332"/>
      <c r="AQ1415" s="332"/>
      <c r="AR1415" s="332"/>
      <c r="AS1415" s="332"/>
      <c r="AT1415" s="332"/>
      <c r="AU1415" s="332"/>
      <c r="AV1415" s="332"/>
      <c r="AW1415" s="332"/>
      <c r="AX1415" s="332"/>
      <c r="AY1415" s="332"/>
      <c r="AZ1415" s="332"/>
      <c r="BA1415" s="332"/>
      <c r="BB1415" s="332"/>
      <c r="BC1415" s="332"/>
      <c r="BD1415" s="332"/>
      <c r="BE1415" s="332"/>
      <c r="BF1415" s="332"/>
      <c r="BG1415" s="332"/>
      <c r="BH1415" s="332"/>
      <c r="BI1415" s="332"/>
      <c r="BJ1415" s="332"/>
      <c r="BK1415" s="332"/>
      <c r="BL1415" s="332"/>
      <c r="BM1415" s="332"/>
      <c r="BN1415" s="332"/>
      <c r="BO1415" s="332"/>
      <c r="BP1415" s="332"/>
      <c r="BQ1415" s="332"/>
      <c r="BR1415" s="332"/>
      <c r="BS1415" s="332"/>
      <c r="BT1415" s="332"/>
      <c r="BU1415" s="332"/>
      <c r="BV1415" s="332"/>
      <c r="BW1415" s="332"/>
      <c r="BX1415" s="332"/>
      <c r="BY1415" s="332"/>
      <c r="BZ1415" s="332"/>
      <c r="CA1415" s="332"/>
      <c r="CB1415" s="332"/>
      <c r="CC1415" s="332"/>
      <c r="CD1415" s="332"/>
      <c r="CE1415" s="332"/>
      <c r="CF1415" s="332"/>
      <c r="CG1415" s="332"/>
      <c r="CH1415" s="332"/>
      <c r="CI1415" s="332"/>
      <c r="CJ1415" s="332"/>
      <c r="CK1415" s="332"/>
      <c r="CL1415" s="332"/>
      <c r="CM1415" s="332"/>
      <c r="CN1415" s="332"/>
      <c r="CO1415" s="332"/>
      <c r="CP1415" s="332"/>
      <c r="CQ1415" s="332"/>
      <c r="CR1415" s="332"/>
      <c r="CS1415" s="332"/>
      <c r="CT1415" s="332"/>
      <c r="CU1415" s="332"/>
      <c r="CV1415" s="332"/>
      <c r="CW1415" s="332"/>
      <c r="CX1415" s="332"/>
      <c r="CY1415" s="332"/>
      <c r="CZ1415" s="332"/>
      <c r="DA1415" s="332"/>
      <c r="DB1415" s="332"/>
      <c r="DC1415" s="332"/>
      <c r="DD1415" s="332"/>
      <c r="DE1415" s="332"/>
      <c r="DF1415" s="332"/>
      <c r="DG1415" s="332"/>
      <c r="DH1415" s="332"/>
      <c r="DI1415" s="332"/>
      <c r="DJ1415" s="332"/>
      <c r="DK1415" s="332"/>
      <c r="DL1415" s="332"/>
      <c r="DM1415" s="332"/>
      <c r="DN1415" s="332"/>
      <c r="DO1415" s="332"/>
      <c r="DP1415" s="332"/>
      <c r="DQ1415" s="332"/>
      <c r="DR1415" s="332"/>
      <c r="DS1415" s="332"/>
      <c r="DT1415" s="332"/>
      <c r="DU1415" s="453"/>
      <c r="DV1415" s="453"/>
      <c r="DW1415" s="453"/>
      <c r="DX1415" s="453"/>
      <c r="DY1415" s="453"/>
      <c r="DZ1415" s="453"/>
      <c r="EA1415" s="453"/>
      <c r="EB1415" s="453"/>
      <c r="EC1415" s="453"/>
      <c r="ED1415" s="453"/>
      <c r="EE1415" s="453"/>
      <c r="EF1415" s="453"/>
      <c r="EG1415" s="453"/>
      <c r="EH1415" s="453"/>
      <c r="EI1415" s="453"/>
      <c r="EJ1415" s="453"/>
      <c r="EK1415" s="453"/>
      <c r="EL1415" s="453"/>
      <c r="EM1415" s="483">
        <f t="shared" si="264"/>
        <v>1106</v>
      </c>
      <c r="EN1415" s="485"/>
      <c r="EO1415" s="458"/>
      <c r="EP1415" s="467"/>
      <c r="EQ1415" s="457"/>
      <c r="ER1415" s="808"/>
      <c r="ES1415" s="881">
        <f t="shared" si="265"/>
        <v>0</v>
      </c>
      <c r="ET1415" s="882"/>
      <c r="EU1415" s="883"/>
      <c r="EV1415" s="884">
        <f t="shared" si="266"/>
        <v>0</v>
      </c>
      <c r="EW1415" s="885"/>
      <c r="EX1415" s="885"/>
      <c r="EY1415" s="885"/>
      <c r="EZ1415" s="885"/>
      <c r="FA1415" s="885"/>
      <c r="FB1415" s="885"/>
      <c r="FC1415" s="885"/>
      <c r="FD1415" s="886"/>
      <c r="FE1415" s="877"/>
      <c r="FF1415" s="877"/>
      <c r="FG1415" s="877"/>
      <c r="FH1415" s="877"/>
      <c r="FI1415" s="877"/>
      <c r="FJ1415" s="877"/>
      <c r="FK1415" s="877"/>
      <c r="FL1415" s="874"/>
      <c r="FM1415" s="875"/>
      <c r="FN1415" s="875"/>
      <c r="FO1415" s="875"/>
      <c r="FP1415" s="875"/>
      <c r="FQ1415" s="875"/>
      <c r="FR1415" s="875"/>
      <c r="FS1415" s="875"/>
      <c r="FT1415" s="875"/>
      <c r="FU1415" s="875"/>
      <c r="FV1415" s="875"/>
      <c r="FW1415" s="875"/>
      <c r="FX1415" s="875"/>
      <c r="FY1415" s="875"/>
      <c r="FZ1415" s="875"/>
      <c r="GA1415" s="875"/>
      <c r="GB1415" s="876"/>
      <c r="GC1415" s="370"/>
      <c r="GD1415" s="453"/>
      <c r="GE1415" s="453"/>
      <c r="GF1415" s="453"/>
      <c r="GG1415" s="453"/>
      <c r="GH1415" s="454"/>
      <c r="GI1415" s="453"/>
      <c r="GJ1415" s="453"/>
      <c r="GK1415" s="453"/>
      <c r="GL1415" s="453"/>
      <c r="GM1415" s="453"/>
      <c r="GN1415" s="453"/>
      <c r="GO1415" s="453"/>
      <c r="GP1415" s="453"/>
      <c r="GQ1415" s="453"/>
      <c r="GR1415" s="453"/>
      <c r="GS1415" s="561"/>
      <c r="GT1415" s="475"/>
      <c r="GU1415" s="472"/>
      <c r="GV1415" s="453"/>
      <c r="GW1415" s="453"/>
      <c r="GX1415" s="869"/>
      <c r="GY1415" s="870"/>
      <c r="GZ1415" s="867"/>
      <c r="HA1415" s="868"/>
      <c r="HB1415" s="473"/>
      <c r="HC1415" s="869"/>
      <c r="HD1415" s="870"/>
      <c r="HE1415" s="867"/>
      <c r="HF1415" s="868"/>
      <c r="HG1415" s="473"/>
      <c r="HH1415" s="867"/>
      <c r="HI1415" s="868"/>
      <c r="HJ1415" s="867"/>
      <c r="HK1415" s="868"/>
      <c r="HL1415" s="370"/>
      <c r="HM1415" s="865"/>
      <c r="HN1415" s="866"/>
      <c r="HO1415" s="865"/>
      <c r="HP1415" s="866"/>
      <c r="HQ1415" s="865"/>
      <c r="HR1415" s="866"/>
      <c r="HS1415" s="867"/>
      <c r="HT1415" s="868"/>
      <c r="HU1415" s="489"/>
      <c r="HV1415" s="865"/>
      <c r="HW1415" s="866"/>
    </row>
    <row r="1416" spans="25:231" ht="15" customHeight="1">
      <c r="Y1416" s="332"/>
      <c r="Z1416" s="332"/>
      <c r="AA1416" s="332"/>
      <c r="AB1416" s="332"/>
      <c r="AC1416" s="332"/>
      <c r="AD1416" s="332"/>
      <c r="AE1416" s="332"/>
      <c r="AF1416" s="332"/>
      <c r="AG1416" s="332"/>
      <c r="AH1416" s="332"/>
      <c r="AI1416" s="332"/>
      <c r="AJ1416" s="332"/>
      <c r="AK1416" s="332"/>
      <c r="AL1416" s="332"/>
      <c r="AM1416" s="332"/>
      <c r="AN1416" s="332"/>
      <c r="AO1416" s="332"/>
      <c r="AP1416" s="332"/>
      <c r="AQ1416" s="332"/>
      <c r="AR1416" s="332"/>
      <c r="AS1416" s="332"/>
      <c r="AT1416" s="332"/>
      <c r="AU1416" s="332"/>
      <c r="AV1416" s="332"/>
      <c r="AW1416" s="332"/>
      <c r="AX1416" s="332"/>
      <c r="AY1416" s="332"/>
      <c r="AZ1416" s="332"/>
      <c r="BA1416" s="332"/>
      <c r="BB1416" s="332"/>
      <c r="BC1416" s="332"/>
      <c r="BD1416" s="332"/>
      <c r="BE1416" s="332"/>
      <c r="BF1416" s="332"/>
      <c r="BG1416" s="332"/>
      <c r="BH1416" s="332"/>
      <c r="BI1416" s="332"/>
      <c r="BJ1416" s="332"/>
      <c r="BK1416" s="332"/>
      <c r="BL1416" s="332"/>
      <c r="BM1416" s="332"/>
      <c r="BN1416" s="332"/>
      <c r="BO1416" s="332"/>
      <c r="BP1416" s="332"/>
      <c r="BQ1416" s="332"/>
      <c r="BR1416" s="332"/>
      <c r="BS1416" s="332"/>
      <c r="BT1416" s="332"/>
      <c r="BU1416" s="332"/>
      <c r="BV1416" s="332"/>
      <c r="BW1416" s="332"/>
      <c r="BX1416" s="332"/>
      <c r="BY1416" s="332"/>
      <c r="BZ1416" s="332"/>
      <c r="CA1416" s="332"/>
      <c r="CB1416" s="332"/>
      <c r="CC1416" s="332"/>
      <c r="CD1416" s="332"/>
      <c r="CE1416" s="332"/>
      <c r="CF1416" s="332"/>
      <c r="CG1416" s="332"/>
      <c r="CH1416" s="332"/>
      <c r="CI1416" s="332"/>
      <c r="CJ1416" s="332"/>
      <c r="CK1416" s="332"/>
      <c r="CL1416" s="332"/>
      <c r="CM1416" s="332"/>
      <c r="CN1416" s="332"/>
      <c r="CO1416" s="332"/>
      <c r="CP1416" s="332"/>
      <c r="CQ1416" s="332"/>
      <c r="CR1416" s="332"/>
      <c r="CS1416" s="332"/>
      <c r="CT1416" s="332"/>
      <c r="CU1416" s="332"/>
      <c r="CV1416" s="332"/>
      <c r="CW1416" s="332"/>
      <c r="CX1416" s="332"/>
      <c r="CY1416" s="332"/>
      <c r="CZ1416" s="332"/>
      <c r="DA1416" s="332"/>
      <c r="DB1416" s="332"/>
      <c r="DC1416" s="332"/>
      <c r="DD1416" s="332"/>
      <c r="DE1416" s="332"/>
      <c r="DF1416" s="332"/>
      <c r="DG1416" s="332"/>
      <c r="DH1416" s="332"/>
      <c r="DI1416" s="332"/>
      <c r="DJ1416" s="332"/>
      <c r="DK1416" s="332"/>
      <c r="DL1416" s="332"/>
      <c r="DM1416" s="332"/>
      <c r="DN1416" s="332"/>
      <c r="DO1416" s="332"/>
      <c r="DP1416" s="332"/>
      <c r="DQ1416" s="332"/>
      <c r="DR1416" s="332"/>
      <c r="DS1416" s="332"/>
      <c r="DT1416" s="332"/>
      <c r="DU1416" s="453"/>
      <c r="DV1416" s="453"/>
      <c r="DW1416" s="453"/>
      <c r="DX1416" s="453"/>
      <c r="DY1416" s="453"/>
      <c r="DZ1416" s="453"/>
      <c r="EA1416" s="453"/>
      <c r="EB1416" s="453"/>
      <c r="EC1416" s="453"/>
      <c r="ED1416" s="453"/>
      <c r="EE1416" s="453"/>
      <c r="EF1416" s="453"/>
      <c r="EG1416" s="453"/>
      <c r="EH1416" s="453"/>
      <c r="EI1416" s="453"/>
      <c r="EJ1416" s="453"/>
      <c r="EK1416" s="453"/>
      <c r="EL1416" s="453"/>
      <c r="EM1416" s="483">
        <f t="shared" si="264"/>
        <v>1107</v>
      </c>
      <c r="EN1416" s="485"/>
      <c r="EO1416" s="458"/>
      <c r="EP1416" s="467"/>
      <c r="EQ1416" s="457"/>
      <c r="ER1416" s="808"/>
      <c r="ES1416" s="881">
        <f t="shared" si="265"/>
        <v>0</v>
      </c>
      <c r="ET1416" s="882"/>
      <c r="EU1416" s="883"/>
      <c r="EV1416" s="884">
        <f t="shared" si="266"/>
        <v>0</v>
      </c>
      <c r="EW1416" s="885"/>
      <c r="EX1416" s="885"/>
      <c r="EY1416" s="885"/>
      <c r="EZ1416" s="885"/>
      <c r="FA1416" s="885"/>
      <c r="FB1416" s="885"/>
      <c r="FC1416" s="885"/>
      <c r="FD1416" s="886"/>
      <c r="FE1416" s="877"/>
      <c r="FF1416" s="877"/>
      <c r="FG1416" s="877"/>
      <c r="FH1416" s="877"/>
      <c r="FI1416" s="877"/>
      <c r="FJ1416" s="877"/>
      <c r="FK1416" s="877"/>
      <c r="FL1416" s="874"/>
      <c r="FM1416" s="875"/>
      <c r="FN1416" s="875"/>
      <c r="FO1416" s="875"/>
      <c r="FP1416" s="875"/>
      <c r="FQ1416" s="875"/>
      <c r="FR1416" s="875"/>
      <c r="FS1416" s="875"/>
      <c r="FT1416" s="875"/>
      <c r="FU1416" s="875"/>
      <c r="FV1416" s="875"/>
      <c r="FW1416" s="875"/>
      <c r="FX1416" s="875"/>
      <c r="FY1416" s="875"/>
      <c r="FZ1416" s="875"/>
      <c r="GA1416" s="875"/>
      <c r="GB1416" s="876"/>
      <c r="GC1416" s="370"/>
      <c r="GD1416" s="453"/>
      <c r="GE1416" s="453"/>
      <c r="GF1416" s="453"/>
      <c r="GG1416" s="453"/>
      <c r="GH1416" s="454"/>
      <c r="GI1416" s="453"/>
      <c r="GJ1416" s="453"/>
      <c r="GK1416" s="453"/>
      <c r="GL1416" s="453"/>
      <c r="GM1416" s="453"/>
      <c r="GN1416" s="453"/>
      <c r="GO1416" s="453"/>
      <c r="GP1416" s="453"/>
      <c r="GQ1416" s="453"/>
      <c r="GR1416" s="453"/>
      <c r="GS1416" s="561"/>
      <c r="GT1416" s="475"/>
      <c r="GU1416" s="472"/>
      <c r="GV1416" s="453"/>
      <c r="GW1416" s="453"/>
      <c r="GX1416" s="869"/>
      <c r="GY1416" s="870"/>
      <c r="GZ1416" s="867"/>
      <c r="HA1416" s="868"/>
      <c r="HB1416" s="473"/>
      <c r="HC1416" s="869"/>
      <c r="HD1416" s="870"/>
      <c r="HE1416" s="867"/>
      <c r="HF1416" s="868"/>
      <c r="HG1416" s="473"/>
      <c r="HH1416" s="867"/>
      <c r="HI1416" s="868"/>
      <c r="HJ1416" s="867"/>
      <c r="HK1416" s="868"/>
      <c r="HL1416" s="370"/>
      <c r="HM1416" s="865"/>
      <c r="HN1416" s="866"/>
      <c r="HO1416" s="865"/>
      <c r="HP1416" s="866"/>
      <c r="HQ1416" s="865"/>
      <c r="HR1416" s="866"/>
      <c r="HS1416" s="867"/>
      <c r="HT1416" s="868"/>
      <c r="HU1416" s="489"/>
      <c r="HV1416" s="865"/>
      <c r="HW1416" s="866"/>
    </row>
    <row r="1417" spans="25:231" ht="15" customHeight="1">
      <c r="Y1417" s="332"/>
      <c r="Z1417" s="332"/>
      <c r="AA1417" s="332"/>
      <c r="AB1417" s="332"/>
      <c r="AC1417" s="332"/>
      <c r="AD1417" s="332"/>
      <c r="AE1417" s="332"/>
      <c r="AF1417" s="332"/>
      <c r="AG1417" s="332"/>
      <c r="AH1417" s="332"/>
      <c r="AI1417" s="332"/>
      <c r="AJ1417" s="332"/>
      <c r="AK1417" s="332"/>
      <c r="AL1417" s="332"/>
      <c r="AM1417" s="332"/>
      <c r="AN1417" s="332"/>
      <c r="AO1417" s="332"/>
      <c r="AP1417" s="332"/>
      <c r="AQ1417" s="332"/>
      <c r="AR1417" s="332"/>
      <c r="AS1417" s="332"/>
      <c r="AT1417" s="332"/>
      <c r="AU1417" s="332"/>
      <c r="AV1417" s="332"/>
      <c r="AW1417" s="332"/>
      <c r="AX1417" s="332"/>
      <c r="AY1417" s="332"/>
      <c r="AZ1417" s="332"/>
      <c r="BA1417" s="332"/>
      <c r="BB1417" s="332"/>
      <c r="BC1417" s="332"/>
      <c r="BD1417" s="332"/>
      <c r="BE1417" s="332"/>
      <c r="BF1417" s="332"/>
      <c r="BG1417" s="332"/>
      <c r="BH1417" s="332"/>
      <c r="BI1417" s="332"/>
      <c r="BJ1417" s="332"/>
      <c r="BK1417" s="332"/>
      <c r="BL1417" s="332"/>
      <c r="BM1417" s="332"/>
      <c r="BN1417" s="332"/>
      <c r="BO1417" s="332"/>
      <c r="BP1417" s="332"/>
      <c r="BQ1417" s="332"/>
      <c r="BR1417" s="332"/>
      <c r="BS1417" s="332"/>
      <c r="BT1417" s="332"/>
      <c r="BU1417" s="332"/>
      <c r="BV1417" s="332"/>
      <c r="BW1417" s="332"/>
      <c r="BX1417" s="332"/>
      <c r="BY1417" s="332"/>
      <c r="BZ1417" s="332"/>
      <c r="CA1417" s="332"/>
      <c r="CB1417" s="332"/>
      <c r="CC1417" s="332"/>
      <c r="CD1417" s="332"/>
      <c r="CE1417" s="332"/>
      <c r="CF1417" s="332"/>
      <c r="CG1417" s="332"/>
      <c r="CH1417" s="332"/>
      <c r="CI1417" s="332"/>
      <c r="CJ1417" s="332"/>
      <c r="CK1417" s="332"/>
      <c r="CL1417" s="332"/>
      <c r="CM1417" s="332"/>
      <c r="CN1417" s="332"/>
      <c r="CO1417" s="332"/>
      <c r="CP1417" s="332"/>
      <c r="CQ1417" s="332"/>
      <c r="CR1417" s="332"/>
      <c r="CS1417" s="332"/>
      <c r="CT1417" s="332"/>
      <c r="CU1417" s="332"/>
      <c r="CV1417" s="332"/>
      <c r="CW1417" s="332"/>
      <c r="CX1417" s="332"/>
      <c r="CY1417" s="332"/>
      <c r="CZ1417" s="332"/>
      <c r="DA1417" s="332"/>
      <c r="DB1417" s="332"/>
      <c r="DC1417" s="332"/>
      <c r="DD1417" s="332"/>
      <c r="DE1417" s="332"/>
      <c r="DF1417" s="332"/>
      <c r="DG1417" s="332"/>
      <c r="DH1417" s="332"/>
      <c r="DI1417" s="332"/>
      <c r="DJ1417" s="332"/>
      <c r="DK1417" s="332"/>
      <c r="DL1417" s="332"/>
      <c r="DM1417" s="332"/>
      <c r="DN1417" s="332"/>
      <c r="DO1417" s="332"/>
      <c r="DP1417" s="332"/>
      <c r="DQ1417" s="332"/>
      <c r="DR1417" s="332"/>
      <c r="DS1417" s="332"/>
      <c r="DT1417" s="332"/>
      <c r="DU1417" s="453"/>
      <c r="DV1417" s="453"/>
      <c r="DW1417" s="453"/>
      <c r="DX1417" s="453"/>
      <c r="DY1417" s="453"/>
      <c r="DZ1417" s="453"/>
      <c r="EA1417" s="453"/>
      <c r="EB1417" s="453"/>
      <c r="EC1417" s="453"/>
      <c r="ED1417" s="453"/>
      <c r="EE1417" s="453"/>
      <c r="EF1417" s="453"/>
      <c r="EG1417" s="453"/>
      <c r="EH1417" s="453"/>
      <c r="EI1417" s="453"/>
      <c r="EJ1417" s="453"/>
      <c r="EK1417" s="453"/>
      <c r="EL1417" s="453"/>
      <c r="EM1417" s="483">
        <f t="shared" si="264"/>
        <v>1108</v>
      </c>
      <c r="EN1417" s="485"/>
      <c r="EO1417" s="458"/>
      <c r="EP1417" s="467"/>
      <c r="EQ1417" s="457"/>
      <c r="ER1417" s="808"/>
      <c r="ES1417" s="881">
        <f t="shared" si="265"/>
        <v>0</v>
      </c>
      <c r="ET1417" s="882"/>
      <c r="EU1417" s="883"/>
      <c r="EV1417" s="884">
        <f t="shared" si="266"/>
        <v>0</v>
      </c>
      <c r="EW1417" s="885"/>
      <c r="EX1417" s="885"/>
      <c r="EY1417" s="885"/>
      <c r="EZ1417" s="885"/>
      <c r="FA1417" s="885"/>
      <c r="FB1417" s="885"/>
      <c r="FC1417" s="885"/>
      <c r="FD1417" s="886"/>
      <c r="FE1417" s="877"/>
      <c r="FF1417" s="877"/>
      <c r="FG1417" s="877"/>
      <c r="FH1417" s="877"/>
      <c r="FI1417" s="877"/>
      <c r="FJ1417" s="877"/>
      <c r="FK1417" s="877"/>
      <c r="FL1417" s="874"/>
      <c r="FM1417" s="875"/>
      <c r="FN1417" s="875"/>
      <c r="FO1417" s="875"/>
      <c r="FP1417" s="875"/>
      <c r="FQ1417" s="875"/>
      <c r="FR1417" s="875"/>
      <c r="FS1417" s="875"/>
      <c r="FT1417" s="875"/>
      <c r="FU1417" s="875"/>
      <c r="FV1417" s="875"/>
      <c r="FW1417" s="875"/>
      <c r="FX1417" s="875"/>
      <c r="FY1417" s="875"/>
      <c r="FZ1417" s="875"/>
      <c r="GA1417" s="875"/>
      <c r="GB1417" s="876"/>
      <c r="GC1417" s="370"/>
      <c r="GD1417" s="453"/>
      <c r="GE1417" s="453"/>
      <c r="GF1417" s="453"/>
      <c r="GG1417" s="453"/>
      <c r="GH1417" s="454"/>
      <c r="GI1417" s="453"/>
      <c r="GJ1417" s="453"/>
      <c r="GK1417" s="453"/>
      <c r="GL1417" s="453"/>
      <c r="GM1417" s="453"/>
      <c r="GN1417" s="453"/>
      <c r="GO1417" s="453"/>
      <c r="GP1417" s="453"/>
      <c r="GQ1417" s="453"/>
      <c r="GR1417" s="453"/>
      <c r="GS1417" s="561"/>
      <c r="GT1417" s="475"/>
      <c r="GU1417" s="472"/>
      <c r="GV1417" s="453"/>
      <c r="GW1417" s="453"/>
      <c r="GX1417" s="869"/>
      <c r="GY1417" s="870"/>
      <c r="GZ1417" s="867"/>
      <c r="HA1417" s="868"/>
      <c r="HB1417" s="473"/>
      <c r="HC1417" s="869"/>
      <c r="HD1417" s="870"/>
      <c r="HE1417" s="867"/>
      <c r="HF1417" s="868"/>
      <c r="HG1417" s="473"/>
      <c r="HH1417" s="867"/>
      <c r="HI1417" s="868"/>
      <c r="HJ1417" s="867"/>
      <c r="HK1417" s="868"/>
      <c r="HL1417" s="370"/>
      <c r="HM1417" s="865"/>
      <c r="HN1417" s="866"/>
      <c r="HO1417" s="865"/>
      <c r="HP1417" s="866"/>
      <c r="HQ1417" s="865"/>
      <c r="HR1417" s="866"/>
      <c r="HS1417" s="867"/>
      <c r="HT1417" s="868"/>
      <c r="HU1417" s="489"/>
      <c r="HV1417" s="865"/>
      <c r="HW1417" s="866"/>
    </row>
    <row r="1418" spans="25:231" ht="15" customHeight="1">
      <c r="Y1418" s="332"/>
      <c r="Z1418" s="332"/>
      <c r="AA1418" s="332"/>
      <c r="AB1418" s="332"/>
      <c r="AC1418" s="332"/>
      <c r="AD1418" s="332"/>
      <c r="AE1418" s="332"/>
      <c r="AF1418" s="332"/>
      <c r="AG1418" s="332"/>
      <c r="AH1418" s="332"/>
      <c r="AI1418" s="332"/>
      <c r="AJ1418" s="332"/>
      <c r="AK1418" s="332"/>
      <c r="AL1418" s="332"/>
      <c r="AM1418" s="332"/>
      <c r="AN1418" s="332"/>
      <c r="AO1418" s="332"/>
      <c r="AP1418" s="332"/>
      <c r="AQ1418" s="332"/>
      <c r="AR1418" s="332"/>
      <c r="AS1418" s="332"/>
      <c r="AT1418" s="332"/>
      <c r="AU1418" s="332"/>
      <c r="AV1418" s="332"/>
      <c r="AW1418" s="332"/>
      <c r="AX1418" s="332"/>
      <c r="AY1418" s="332"/>
      <c r="AZ1418" s="332"/>
      <c r="BA1418" s="332"/>
      <c r="BB1418" s="332"/>
      <c r="BC1418" s="332"/>
      <c r="BD1418" s="332"/>
      <c r="BE1418" s="332"/>
      <c r="BF1418" s="332"/>
      <c r="BG1418" s="332"/>
      <c r="BH1418" s="332"/>
      <c r="BI1418" s="332"/>
      <c r="BJ1418" s="332"/>
      <c r="BK1418" s="332"/>
      <c r="BL1418" s="332"/>
      <c r="BM1418" s="332"/>
      <c r="BN1418" s="332"/>
      <c r="BO1418" s="332"/>
      <c r="BP1418" s="332"/>
      <c r="BQ1418" s="332"/>
      <c r="BR1418" s="332"/>
      <c r="BS1418" s="332"/>
      <c r="BT1418" s="332"/>
      <c r="BU1418" s="332"/>
      <c r="BV1418" s="332"/>
      <c r="BW1418" s="332"/>
      <c r="BX1418" s="332"/>
      <c r="BY1418" s="332"/>
      <c r="BZ1418" s="332"/>
      <c r="CA1418" s="332"/>
      <c r="CB1418" s="332"/>
      <c r="CC1418" s="332"/>
      <c r="CD1418" s="332"/>
      <c r="CE1418" s="332"/>
      <c r="CF1418" s="332"/>
      <c r="CG1418" s="332"/>
      <c r="CH1418" s="332"/>
      <c r="CI1418" s="332"/>
      <c r="CJ1418" s="332"/>
      <c r="CK1418" s="332"/>
      <c r="CL1418" s="332"/>
      <c r="CM1418" s="332"/>
      <c r="CN1418" s="332"/>
      <c r="CO1418" s="332"/>
      <c r="CP1418" s="332"/>
      <c r="CQ1418" s="332"/>
      <c r="CR1418" s="332"/>
      <c r="CS1418" s="332"/>
      <c r="CT1418" s="332"/>
      <c r="CU1418" s="332"/>
      <c r="CV1418" s="332"/>
      <c r="CW1418" s="332"/>
      <c r="CX1418" s="332"/>
      <c r="CY1418" s="332"/>
      <c r="CZ1418" s="332"/>
      <c r="DA1418" s="332"/>
      <c r="DB1418" s="332"/>
      <c r="DC1418" s="332"/>
      <c r="DD1418" s="332"/>
      <c r="DE1418" s="332"/>
      <c r="DF1418" s="332"/>
      <c r="DG1418" s="332"/>
      <c r="DH1418" s="332"/>
      <c r="DI1418" s="332"/>
      <c r="DJ1418" s="332"/>
      <c r="DK1418" s="332"/>
      <c r="DL1418" s="332"/>
      <c r="DM1418" s="332"/>
      <c r="DN1418" s="332"/>
      <c r="DO1418" s="332"/>
      <c r="DP1418" s="332"/>
      <c r="DQ1418" s="332"/>
      <c r="DR1418" s="332"/>
      <c r="DS1418" s="332"/>
      <c r="DT1418" s="332"/>
      <c r="DU1418" s="453"/>
      <c r="DV1418" s="453"/>
      <c r="DW1418" s="453"/>
      <c r="DX1418" s="453"/>
      <c r="DY1418" s="453"/>
      <c r="DZ1418" s="453"/>
      <c r="EA1418" s="453"/>
      <c r="EB1418" s="453"/>
      <c r="EC1418" s="453"/>
      <c r="ED1418" s="453"/>
      <c r="EE1418" s="453"/>
      <c r="EF1418" s="453"/>
      <c r="EG1418" s="453"/>
      <c r="EH1418" s="453"/>
      <c r="EI1418" s="453"/>
      <c r="EJ1418" s="453"/>
      <c r="EK1418" s="453"/>
      <c r="EL1418" s="453"/>
      <c r="EM1418" s="483">
        <f t="shared" si="264"/>
        <v>1109</v>
      </c>
      <c r="EN1418" s="485"/>
      <c r="EO1418" s="458"/>
      <c r="EP1418" s="467"/>
      <c r="EQ1418" s="457"/>
      <c r="ER1418" s="808"/>
      <c r="ES1418" s="881">
        <f t="shared" si="265"/>
        <v>0</v>
      </c>
      <c r="ET1418" s="882"/>
      <c r="EU1418" s="883"/>
      <c r="EV1418" s="884">
        <f t="shared" si="266"/>
        <v>0</v>
      </c>
      <c r="EW1418" s="885"/>
      <c r="EX1418" s="885"/>
      <c r="EY1418" s="885"/>
      <c r="EZ1418" s="885"/>
      <c r="FA1418" s="885"/>
      <c r="FB1418" s="885"/>
      <c r="FC1418" s="885"/>
      <c r="FD1418" s="886"/>
      <c r="FE1418" s="877"/>
      <c r="FF1418" s="877"/>
      <c r="FG1418" s="877"/>
      <c r="FH1418" s="877"/>
      <c r="FI1418" s="877"/>
      <c r="FJ1418" s="877"/>
      <c r="FK1418" s="877"/>
      <c r="FL1418" s="874"/>
      <c r="FM1418" s="875"/>
      <c r="FN1418" s="875"/>
      <c r="FO1418" s="875"/>
      <c r="FP1418" s="875"/>
      <c r="FQ1418" s="875"/>
      <c r="FR1418" s="875"/>
      <c r="FS1418" s="875"/>
      <c r="FT1418" s="875"/>
      <c r="FU1418" s="875"/>
      <c r="FV1418" s="875"/>
      <c r="FW1418" s="875"/>
      <c r="FX1418" s="875"/>
      <c r="FY1418" s="875"/>
      <c r="FZ1418" s="875"/>
      <c r="GA1418" s="875"/>
      <c r="GB1418" s="876"/>
      <c r="GC1418" s="370"/>
      <c r="GD1418" s="453"/>
      <c r="GE1418" s="453"/>
      <c r="GF1418" s="453"/>
      <c r="GG1418" s="453"/>
      <c r="GH1418" s="454"/>
      <c r="GI1418" s="453"/>
      <c r="GJ1418" s="453"/>
      <c r="GK1418" s="453"/>
      <c r="GL1418" s="453"/>
      <c r="GM1418" s="453"/>
      <c r="GN1418" s="453"/>
      <c r="GO1418" s="453"/>
      <c r="GP1418" s="453"/>
      <c r="GQ1418" s="453"/>
      <c r="GR1418" s="453"/>
      <c r="GS1418" s="561"/>
      <c r="GT1418" s="475"/>
      <c r="GU1418" s="472"/>
      <c r="GV1418" s="453"/>
      <c r="GW1418" s="453"/>
      <c r="GX1418" s="869"/>
      <c r="GY1418" s="870"/>
      <c r="GZ1418" s="867"/>
      <c r="HA1418" s="868"/>
      <c r="HB1418" s="473"/>
      <c r="HC1418" s="869"/>
      <c r="HD1418" s="870"/>
      <c r="HE1418" s="867"/>
      <c r="HF1418" s="868"/>
      <c r="HG1418" s="473"/>
      <c r="HH1418" s="867"/>
      <c r="HI1418" s="868"/>
      <c r="HJ1418" s="867"/>
      <c r="HK1418" s="868"/>
      <c r="HL1418" s="370"/>
      <c r="HM1418" s="865"/>
      <c r="HN1418" s="866"/>
      <c r="HO1418" s="865"/>
      <c r="HP1418" s="866"/>
      <c r="HQ1418" s="865"/>
      <c r="HR1418" s="866"/>
      <c r="HS1418" s="867"/>
      <c r="HT1418" s="868"/>
      <c r="HU1418" s="489"/>
      <c r="HV1418" s="865"/>
      <c r="HW1418" s="866"/>
    </row>
    <row r="1419" spans="25:231" ht="15" customHeight="1">
      <c r="Y1419" s="332"/>
      <c r="Z1419" s="332"/>
      <c r="AA1419" s="332"/>
      <c r="AB1419" s="332"/>
      <c r="AC1419" s="332"/>
      <c r="AD1419" s="332"/>
      <c r="AE1419" s="332"/>
      <c r="AF1419" s="332"/>
      <c r="AG1419" s="332"/>
      <c r="AH1419" s="332"/>
      <c r="AI1419" s="332"/>
      <c r="AJ1419" s="332"/>
      <c r="AK1419" s="332"/>
      <c r="AL1419" s="332"/>
      <c r="AM1419" s="332"/>
      <c r="AN1419" s="332"/>
      <c r="AO1419" s="332"/>
      <c r="AP1419" s="332"/>
      <c r="AQ1419" s="332"/>
      <c r="AR1419" s="332"/>
      <c r="AS1419" s="332"/>
      <c r="AT1419" s="332"/>
      <c r="AU1419" s="332"/>
      <c r="AV1419" s="332"/>
      <c r="AW1419" s="332"/>
      <c r="AX1419" s="332"/>
      <c r="AY1419" s="332"/>
      <c r="AZ1419" s="332"/>
      <c r="BA1419" s="332"/>
      <c r="BB1419" s="332"/>
      <c r="BC1419" s="332"/>
      <c r="BD1419" s="332"/>
      <c r="BE1419" s="332"/>
      <c r="BF1419" s="332"/>
      <c r="BG1419" s="332"/>
      <c r="BH1419" s="332"/>
      <c r="BI1419" s="332"/>
      <c r="BJ1419" s="332"/>
      <c r="BK1419" s="332"/>
      <c r="BL1419" s="332"/>
      <c r="BM1419" s="332"/>
      <c r="BN1419" s="332"/>
      <c r="BO1419" s="332"/>
      <c r="BP1419" s="332"/>
      <c r="BQ1419" s="332"/>
      <c r="BR1419" s="332"/>
      <c r="BS1419" s="332"/>
      <c r="BT1419" s="332"/>
      <c r="BU1419" s="332"/>
      <c r="BV1419" s="332"/>
      <c r="BW1419" s="332"/>
      <c r="BX1419" s="332"/>
      <c r="BY1419" s="332"/>
      <c r="BZ1419" s="332"/>
      <c r="CA1419" s="332"/>
      <c r="CB1419" s="332"/>
      <c r="CC1419" s="332"/>
      <c r="CD1419" s="332"/>
      <c r="CE1419" s="332"/>
      <c r="CF1419" s="332"/>
      <c r="CG1419" s="332"/>
      <c r="CH1419" s="332"/>
      <c r="CI1419" s="332"/>
      <c r="CJ1419" s="332"/>
      <c r="CK1419" s="332"/>
      <c r="CL1419" s="332"/>
      <c r="CM1419" s="332"/>
      <c r="CN1419" s="332"/>
      <c r="CO1419" s="332"/>
      <c r="CP1419" s="332"/>
      <c r="CQ1419" s="332"/>
      <c r="CR1419" s="332"/>
      <c r="CS1419" s="332"/>
      <c r="CT1419" s="332"/>
      <c r="CU1419" s="332"/>
      <c r="CV1419" s="332"/>
      <c r="CW1419" s="332"/>
      <c r="CX1419" s="332"/>
      <c r="CY1419" s="332"/>
      <c r="CZ1419" s="332"/>
      <c r="DA1419" s="332"/>
      <c r="DB1419" s="332"/>
      <c r="DC1419" s="332"/>
      <c r="DD1419" s="332"/>
      <c r="DE1419" s="332"/>
      <c r="DF1419" s="332"/>
      <c r="DG1419" s="332"/>
      <c r="DH1419" s="332"/>
      <c r="DI1419" s="332"/>
      <c r="DJ1419" s="332"/>
      <c r="DK1419" s="332"/>
      <c r="DL1419" s="332"/>
      <c r="DM1419" s="332"/>
      <c r="DN1419" s="332"/>
      <c r="DO1419" s="332"/>
      <c r="DP1419" s="332"/>
      <c r="DQ1419" s="332"/>
      <c r="DR1419" s="332"/>
      <c r="DS1419" s="332"/>
      <c r="DT1419" s="332"/>
      <c r="DU1419" s="453"/>
      <c r="DV1419" s="453"/>
      <c r="DW1419" s="453"/>
      <c r="DX1419" s="453"/>
      <c r="DY1419" s="453"/>
      <c r="DZ1419" s="453"/>
      <c r="EA1419" s="453"/>
      <c r="EB1419" s="453"/>
      <c r="EC1419" s="453"/>
      <c r="ED1419" s="453"/>
      <c r="EE1419" s="453"/>
      <c r="EF1419" s="453"/>
      <c r="EG1419" s="453"/>
      <c r="EH1419" s="453"/>
      <c r="EI1419" s="453"/>
      <c r="EJ1419" s="453"/>
      <c r="EK1419" s="453"/>
      <c r="EL1419" s="453"/>
      <c r="EM1419" s="483">
        <f t="shared" si="264"/>
        <v>1110</v>
      </c>
      <c r="EN1419" s="485"/>
      <c r="EO1419" s="458"/>
      <c r="EP1419" s="467"/>
      <c r="EQ1419" s="457"/>
      <c r="ER1419" s="808"/>
      <c r="ES1419" s="881">
        <f t="shared" si="265"/>
        <v>0</v>
      </c>
      <c r="ET1419" s="882"/>
      <c r="EU1419" s="883"/>
      <c r="EV1419" s="884">
        <f t="shared" si="266"/>
        <v>0</v>
      </c>
      <c r="EW1419" s="885"/>
      <c r="EX1419" s="885"/>
      <c r="EY1419" s="885"/>
      <c r="EZ1419" s="885"/>
      <c r="FA1419" s="885"/>
      <c r="FB1419" s="885"/>
      <c r="FC1419" s="885"/>
      <c r="FD1419" s="886"/>
      <c r="FE1419" s="877"/>
      <c r="FF1419" s="877"/>
      <c r="FG1419" s="877"/>
      <c r="FH1419" s="877"/>
      <c r="FI1419" s="877"/>
      <c r="FJ1419" s="877"/>
      <c r="FK1419" s="877"/>
      <c r="FL1419" s="874"/>
      <c r="FM1419" s="875"/>
      <c r="FN1419" s="875"/>
      <c r="FO1419" s="875"/>
      <c r="FP1419" s="875"/>
      <c r="FQ1419" s="875"/>
      <c r="FR1419" s="875"/>
      <c r="FS1419" s="875"/>
      <c r="FT1419" s="875"/>
      <c r="FU1419" s="875"/>
      <c r="FV1419" s="875"/>
      <c r="FW1419" s="875"/>
      <c r="FX1419" s="875"/>
      <c r="FY1419" s="875"/>
      <c r="FZ1419" s="875"/>
      <c r="GA1419" s="875"/>
      <c r="GB1419" s="876"/>
      <c r="GC1419" s="370"/>
      <c r="GD1419" s="453"/>
      <c r="GE1419" s="453"/>
      <c r="GF1419" s="453"/>
      <c r="GG1419" s="453"/>
      <c r="GH1419" s="454"/>
      <c r="GI1419" s="453"/>
      <c r="GJ1419" s="453"/>
      <c r="GK1419" s="453"/>
      <c r="GL1419" s="453"/>
      <c r="GM1419" s="453"/>
      <c r="GN1419" s="453"/>
      <c r="GO1419" s="453"/>
      <c r="GP1419" s="453"/>
      <c r="GQ1419" s="453"/>
      <c r="GR1419" s="453"/>
      <c r="GS1419" s="561"/>
      <c r="GT1419" s="475"/>
      <c r="GU1419" s="472"/>
      <c r="GV1419" s="453"/>
      <c r="GW1419" s="453"/>
      <c r="GX1419" s="869"/>
      <c r="GY1419" s="870"/>
      <c r="GZ1419" s="867"/>
      <c r="HA1419" s="868"/>
      <c r="HB1419" s="473"/>
      <c r="HC1419" s="869"/>
      <c r="HD1419" s="870"/>
      <c r="HE1419" s="867"/>
      <c r="HF1419" s="868"/>
      <c r="HG1419" s="473"/>
      <c r="HH1419" s="867"/>
      <c r="HI1419" s="868"/>
      <c r="HJ1419" s="867"/>
      <c r="HK1419" s="868"/>
      <c r="HL1419" s="370"/>
      <c r="HM1419" s="865"/>
      <c r="HN1419" s="866"/>
      <c r="HO1419" s="865"/>
      <c r="HP1419" s="866"/>
      <c r="HQ1419" s="865"/>
      <c r="HR1419" s="866"/>
      <c r="HS1419" s="867"/>
      <c r="HT1419" s="868"/>
      <c r="HU1419" s="489"/>
      <c r="HV1419" s="865"/>
      <c r="HW1419" s="866"/>
    </row>
    <row r="1420" spans="25:231" ht="15" customHeight="1">
      <c r="Y1420" s="332"/>
      <c r="Z1420" s="332"/>
      <c r="AA1420" s="332"/>
      <c r="AB1420" s="332"/>
      <c r="AC1420" s="332"/>
      <c r="AD1420" s="332"/>
      <c r="AE1420" s="332"/>
      <c r="AF1420" s="332"/>
      <c r="AG1420" s="332"/>
      <c r="AH1420" s="332"/>
      <c r="AI1420" s="332"/>
      <c r="AJ1420" s="332"/>
      <c r="AK1420" s="332"/>
      <c r="AL1420" s="332"/>
      <c r="AM1420" s="332"/>
      <c r="AN1420" s="332"/>
      <c r="AO1420" s="332"/>
      <c r="AP1420" s="332"/>
      <c r="AQ1420" s="332"/>
      <c r="AR1420" s="332"/>
      <c r="AS1420" s="332"/>
      <c r="AT1420" s="332"/>
      <c r="AU1420" s="332"/>
      <c r="AV1420" s="332"/>
      <c r="AW1420" s="332"/>
      <c r="AX1420" s="332"/>
      <c r="AY1420" s="332"/>
      <c r="AZ1420" s="332"/>
      <c r="BA1420" s="332"/>
      <c r="BB1420" s="332"/>
      <c r="BC1420" s="332"/>
      <c r="BD1420" s="332"/>
      <c r="BE1420" s="332"/>
      <c r="BF1420" s="332"/>
      <c r="BG1420" s="332"/>
      <c r="BH1420" s="332"/>
      <c r="BI1420" s="332"/>
      <c r="BJ1420" s="332"/>
      <c r="BK1420" s="332"/>
      <c r="BL1420" s="332"/>
      <c r="BM1420" s="332"/>
      <c r="BN1420" s="332"/>
      <c r="BO1420" s="332"/>
      <c r="BP1420" s="332"/>
      <c r="BQ1420" s="332"/>
      <c r="BR1420" s="332"/>
      <c r="BS1420" s="332"/>
      <c r="BT1420" s="332"/>
      <c r="BU1420" s="332"/>
      <c r="BV1420" s="332"/>
      <c r="BW1420" s="332"/>
      <c r="BX1420" s="332"/>
      <c r="BY1420" s="332"/>
      <c r="BZ1420" s="332"/>
      <c r="CA1420" s="332"/>
      <c r="CB1420" s="332"/>
      <c r="CC1420" s="332"/>
      <c r="CD1420" s="332"/>
      <c r="CE1420" s="332"/>
      <c r="CF1420" s="332"/>
      <c r="CG1420" s="332"/>
      <c r="CH1420" s="332"/>
      <c r="CI1420" s="332"/>
      <c r="CJ1420" s="332"/>
      <c r="CK1420" s="332"/>
      <c r="CL1420" s="332"/>
      <c r="CM1420" s="332"/>
      <c r="CN1420" s="332"/>
      <c r="CO1420" s="332"/>
      <c r="CP1420" s="332"/>
      <c r="CQ1420" s="332"/>
      <c r="CR1420" s="332"/>
      <c r="CS1420" s="332"/>
      <c r="CT1420" s="332"/>
      <c r="CU1420" s="332"/>
      <c r="CV1420" s="332"/>
      <c r="CW1420" s="332"/>
      <c r="CX1420" s="332"/>
      <c r="CY1420" s="332"/>
      <c r="CZ1420" s="332"/>
      <c r="DA1420" s="332"/>
      <c r="DB1420" s="332"/>
      <c r="DC1420" s="332"/>
      <c r="DD1420" s="332"/>
      <c r="DE1420" s="332"/>
      <c r="DF1420" s="332"/>
      <c r="DG1420" s="332"/>
      <c r="DH1420" s="332"/>
      <c r="DI1420" s="332"/>
      <c r="DJ1420" s="332"/>
      <c r="DK1420" s="332"/>
      <c r="DL1420" s="332"/>
      <c r="DM1420" s="332"/>
      <c r="DN1420" s="332"/>
      <c r="DO1420" s="332"/>
      <c r="DP1420" s="332"/>
      <c r="DQ1420" s="332"/>
      <c r="DR1420" s="332"/>
      <c r="DS1420" s="332"/>
      <c r="DT1420" s="332"/>
      <c r="DU1420" s="453"/>
      <c r="DV1420" s="453"/>
      <c r="DW1420" s="453"/>
      <c r="DX1420" s="453"/>
      <c r="DY1420" s="453"/>
      <c r="DZ1420" s="453"/>
      <c r="EA1420" s="453"/>
      <c r="EB1420" s="453"/>
      <c r="EC1420" s="453"/>
      <c r="ED1420" s="453"/>
      <c r="EE1420" s="453"/>
      <c r="EF1420" s="453"/>
      <c r="EG1420" s="453"/>
      <c r="EH1420" s="453"/>
      <c r="EI1420" s="453"/>
      <c r="EJ1420" s="453"/>
      <c r="EK1420" s="453"/>
      <c r="EL1420" s="453"/>
      <c r="EM1420" s="483">
        <f t="shared" si="264"/>
        <v>1111</v>
      </c>
      <c r="EN1420" s="485"/>
      <c r="EO1420" s="458"/>
      <c r="EP1420" s="467"/>
      <c r="EQ1420" s="457"/>
      <c r="ER1420" s="808"/>
      <c r="ES1420" s="881">
        <f t="shared" si="265"/>
        <v>0</v>
      </c>
      <c r="ET1420" s="882"/>
      <c r="EU1420" s="883"/>
      <c r="EV1420" s="884">
        <f t="shared" si="266"/>
        <v>0</v>
      </c>
      <c r="EW1420" s="885"/>
      <c r="EX1420" s="885"/>
      <c r="EY1420" s="885"/>
      <c r="EZ1420" s="885"/>
      <c r="FA1420" s="885"/>
      <c r="FB1420" s="885"/>
      <c r="FC1420" s="885"/>
      <c r="FD1420" s="886"/>
      <c r="FE1420" s="877"/>
      <c r="FF1420" s="877"/>
      <c r="FG1420" s="877"/>
      <c r="FH1420" s="877"/>
      <c r="FI1420" s="877"/>
      <c r="FJ1420" s="877"/>
      <c r="FK1420" s="877"/>
      <c r="FL1420" s="874"/>
      <c r="FM1420" s="875"/>
      <c r="FN1420" s="875"/>
      <c r="FO1420" s="875"/>
      <c r="FP1420" s="875"/>
      <c r="FQ1420" s="875"/>
      <c r="FR1420" s="875"/>
      <c r="FS1420" s="875"/>
      <c r="FT1420" s="875"/>
      <c r="FU1420" s="875"/>
      <c r="FV1420" s="875"/>
      <c r="FW1420" s="875"/>
      <c r="FX1420" s="875"/>
      <c r="FY1420" s="875"/>
      <c r="FZ1420" s="875"/>
      <c r="GA1420" s="875"/>
      <c r="GB1420" s="876"/>
      <c r="GC1420" s="370"/>
      <c r="GD1420" s="453"/>
      <c r="GE1420" s="453"/>
      <c r="GF1420" s="453"/>
      <c r="GG1420" s="453"/>
      <c r="GH1420" s="454"/>
      <c r="GI1420" s="453"/>
      <c r="GJ1420" s="453"/>
      <c r="GK1420" s="453"/>
      <c r="GL1420" s="453"/>
      <c r="GM1420" s="453"/>
      <c r="GN1420" s="453"/>
      <c r="GO1420" s="453"/>
      <c r="GP1420" s="453"/>
      <c r="GQ1420" s="453"/>
      <c r="GR1420" s="453"/>
      <c r="GS1420" s="561"/>
      <c r="GT1420" s="475"/>
      <c r="GU1420" s="472"/>
      <c r="GV1420" s="453"/>
      <c r="GW1420" s="453"/>
      <c r="GX1420" s="869"/>
      <c r="GY1420" s="870"/>
      <c r="GZ1420" s="867"/>
      <c r="HA1420" s="868"/>
      <c r="HB1420" s="473"/>
      <c r="HC1420" s="869"/>
      <c r="HD1420" s="870"/>
      <c r="HE1420" s="867"/>
      <c r="HF1420" s="868"/>
      <c r="HG1420" s="473"/>
      <c r="HH1420" s="867"/>
      <c r="HI1420" s="868"/>
      <c r="HJ1420" s="867"/>
      <c r="HK1420" s="868"/>
      <c r="HL1420" s="370"/>
      <c r="HM1420" s="865"/>
      <c r="HN1420" s="866"/>
      <c r="HO1420" s="865"/>
      <c r="HP1420" s="866"/>
      <c r="HQ1420" s="865"/>
      <c r="HR1420" s="866"/>
      <c r="HS1420" s="867"/>
      <c r="HT1420" s="868"/>
      <c r="HU1420" s="489"/>
      <c r="HV1420" s="865"/>
      <c r="HW1420" s="866"/>
    </row>
    <row r="1421" spans="25:231" ht="15" customHeight="1">
      <c r="Y1421" s="332"/>
      <c r="Z1421" s="332"/>
      <c r="AA1421" s="332"/>
      <c r="AB1421" s="332"/>
      <c r="AC1421" s="332"/>
      <c r="AD1421" s="332"/>
      <c r="AE1421" s="332"/>
      <c r="AF1421" s="332"/>
      <c r="AG1421" s="332"/>
      <c r="AH1421" s="332"/>
      <c r="AI1421" s="332"/>
      <c r="AJ1421" s="332"/>
      <c r="AK1421" s="332"/>
      <c r="AL1421" s="332"/>
      <c r="AM1421" s="332"/>
      <c r="AN1421" s="332"/>
      <c r="AO1421" s="332"/>
      <c r="AP1421" s="332"/>
      <c r="AQ1421" s="332"/>
      <c r="AR1421" s="332"/>
      <c r="AS1421" s="332"/>
      <c r="AT1421" s="332"/>
      <c r="AU1421" s="332"/>
      <c r="AV1421" s="332"/>
      <c r="AW1421" s="332"/>
      <c r="AX1421" s="332"/>
      <c r="AY1421" s="332"/>
      <c r="AZ1421" s="332"/>
      <c r="BA1421" s="332"/>
      <c r="BB1421" s="332"/>
      <c r="BC1421" s="332"/>
      <c r="BD1421" s="332"/>
      <c r="BE1421" s="332"/>
      <c r="BF1421" s="332"/>
      <c r="BG1421" s="332"/>
      <c r="BH1421" s="332"/>
      <c r="BI1421" s="332"/>
      <c r="BJ1421" s="332"/>
      <c r="BK1421" s="332"/>
      <c r="BL1421" s="332"/>
      <c r="BM1421" s="332"/>
      <c r="BN1421" s="332"/>
      <c r="BO1421" s="332"/>
      <c r="BP1421" s="332"/>
      <c r="BQ1421" s="332"/>
      <c r="BR1421" s="332"/>
      <c r="BS1421" s="332"/>
      <c r="BT1421" s="332"/>
      <c r="BU1421" s="332"/>
      <c r="BV1421" s="332"/>
      <c r="BW1421" s="332"/>
      <c r="BX1421" s="332"/>
      <c r="BY1421" s="332"/>
      <c r="BZ1421" s="332"/>
      <c r="CA1421" s="332"/>
      <c r="CB1421" s="332"/>
      <c r="CC1421" s="332"/>
      <c r="CD1421" s="332"/>
      <c r="CE1421" s="332"/>
      <c r="CF1421" s="332"/>
      <c r="CG1421" s="332"/>
      <c r="CH1421" s="332"/>
      <c r="CI1421" s="332"/>
      <c r="CJ1421" s="332"/>
      <c r="CK1421" s="332"/>
      <c r="CL1421" s="332"/>
      <c r="CM1421" s="332"/>
      <c r="CN1421" s="332"/>
      <c r="CO1421" s="332"/>
      <c r="CP1421" s="332"/>
      <c r="CQ1421" s="332"/>
      <c r="CR1421" s="332"/>
      <c r="CS1421" s="332"/>
      <c r="CT1421" s="332"/>
      <c r="CU1421" s="332"/>
      <c r="CV1421" s="332"/>
      <c r="CW1421" s="332"/>
      <c r="CX1421" s="332"/>
      <c r="CY1421" s="332"/>
      <c r="CZ1421" s="332"/>
      <c r="DA1421" s="332"/>
      <c r="DB1421" s="332"/>
      <c r="DC1421" s="332"/>
      <c r="DD1421" s="332"/>
      <c r="DE1421" s="332"/>
      <c r="DF1421" s="332"/>
      <c r="DG1421" s="332"/>
      <c r="DH1421" s="332"/>
      <c r="DI1421" s="332"/>
      <c r="DJ1421" s="332"/>
      <c r="DK1421" s="332"/>
      <c r="DL1421" s="332"/>
      <c r="DM1421" s="332"/>
      <c r="DN1421" s="332"/>
      <c r="DO1421" s="332"/>
      <c r="DP1421" s="332"/>
      <c r="DQ1421" s="332"/>
      <c r="DR1421" s="332"/>
      <c r="DS1421" s="332"/>
      <c r="DT1421" s="332"/>
      <c r="DU1421" s="453"/>
      <c r="DV1421" s="453"/>
      <c r="DW1421" s="453"/>
      <c r="DX1421" s="453"/>
      <c r="DY1421" s="453"/>
      <c r="DZ1421" s="453"/>
      <c r="EA1421" s="453"/>
      <c r="EB1421" s="453"/>
      <c r="EC1421" s="453"/>
      <c r="ED1421" s="453"/>
      <c r="EE1421" s="453"/>
      <c r="EF1421" s="453"/>
      <c r="EG1421" s="453"/>
      <c r="EH1421" s="453"/>
      <c r="EI1421" s="453"/>
      <c r="EJ1421" s="453"/>
      <c r="EK1421" s="453"/>
      <c r="EL1421" s="453"/>
      <c r="EM1421" s="483">
        <f t="shared" si="264"/>
        <v>1112</v>
      </c>
      <c r="EN1421" s="485"/>
      <c r="EO1421" s="458"/>
      <c r="EP1421" s="467"/>
      <c r="EQ1421" s="457"/>
      <c r="ER1421" s="808"/>
      <c r="ES1421" s="881">
        <f t="shared" si="265"/>
        <v>0</v>
      </c>
      <c r="ET1421" s="882"/>
      <c r="EU1421" s="883"/>
      <c r="EV1421" s="884">
        <f t="shared" si="266"/>
        <v>0</v>
      </c>
      <c r="EW1421" s="885"/>
      <c r="EX1421" s="885"/>
      <c r="EY1421" s="885"/>
      <c r="EZ1421" s="885"/>
      <c r="FA1421" s="885"/>
      <c r="FB1421" s="885"/>
      <c r="FC1421" s="885"/>
      <c r="FD1421" s="886"/>
      <c r="FE1421" s="877"/>
      <c r="FF1421" s="877"/>
      <c r="FG1421" s="877"/>
      <c r="FH1421" s="877"/>
      <c r="FI1421" s="877"/>
      <c r="FJ1421" s="877"/>
      <c r="FK1421" s="877"/>
      <c r="FL1421" s="874"/>
      <c r="FM1421" s="875"/>
      <c r="FN1421" s="875"/>
      <c r="FO1421" s="875"/>
      <c r="FP1421" s="875"/>
      <c r="FQ1421" s="875"/>
      <c r="FR1421" s="875"/>
      <c r="FS1421" s="875"/>
      <c r="FT1421" s="875"/>
      <c r="FU1421" s="875"/>
      <c r="FV1421" s="875"/>
      <c r="FW1421" s="875"/>
      <c r="FX1421" s="875"/>
      <c r="FY1421" s="875"/>
      <c r="FZ1421" s="875"/>
      <c r="GA1421" s="875"/>
      <c r="GB1421" s="876"/>
      <c r="GC1421" s="370"/>
      <c r="GD1421" s="453"/>
      <c r="GE1421" s="453"/>
      <c r="GF1421" s="453"/>
      <c r="GG1421" s="453"/>
      <c r="GH1421" s="454"/>
      <c r="GI1421" s="453"/>
      <c r="GJ1421" s="453"/>
      <c r="GK1421" s="453"/>
      <c r="GL1421" s="453"/>
      <c r="GM1421" s="453"/>
      <c r="GN1421" s="453"/>
      <c r="GO1421" s="453"/>
      <c r="GP1421" s="453"/>
      <c r="GQ1421" s="453"/>
      <c r="GR1421" s="453"/>
      <c r="GS1421" s="561"/>
      <c r="GT1421" s="475"/>
      <c r="GU1421" s="472"/>
      <c r="GV1421" s="453"/>
      <c r="GW1421" s="453"/>
      <c r="GX1421" s="869"/>
      <c r="GY1421" s="870"/>
      <c r="GZ1421" s="867"/>
      <c r="HA1421" s="868"/>
      <c r="HB1421" s="473"/>
      <c r="HC1421" s="869"/>
      <c r="HD1421" s="870"/>
      <c r="HE1421" s="867"/>
      <c r="HF1421" s="868"/>
      <c r="HG1421" s="473"/>
      <c r="HH1421" s="867"/>
      <c r="HI1421" s="868"/>
      <c r="HJ1421" s="867"/>
      <c r="HK1421" s="868"/>
      <c r="HL1421" s="370"/>
      <c r="HM1421" s="865"/>
      <c r="HN1421" s="866"/>
      <c r="HO1421" s="865"/>
      <c r="HP1421" s="866"/>
      <c r="HQ1421" s="865"/>
      <c r="HR1421" s="866"/>
      <c r="HS1421" s="867"/>
      <c r="HT1421" s="868"/>
      <c r="HU1421" s="489"/>
      <c r="HV1421" s="865"/>
      <c r="HW1421" s="866"/>
    </row>
    <row r="1422" spans="25:231" ht="15" customHeight="1">
      <c r="Y1422" s="332"/>
      <c r="Z1422" s="332"/>
      <c r="AA1422" s="332"/>
      <c r="AB1422" s="332"/>
      <c r="AC1422" s="332"/>
      <c r="AD1422" s="332"/>
      <c r="AE1422" s="332"/>
      <c r="AF1422" s="332"/>
      <c r="AG1422" s="332"/>
      <c r="AH1422" s="332"/>
      <c r="AI1422" s="332"/>
      <c r="AJ1422" s="332"/>
      <c r="AK1422" s="332"/>
      <c r="AL1422" s="332"/>
      <c r="AM1422" s="332"/>
      <c r="AN1422" s="332"/>
      <c r="AO1422" s="332"/>
      <c r="AP1422" s="332"/>
      <c r="AQ1422" s="332"/>
      <c r="AR1422" s="332"/>
      <c r="AS1422" s="332"/>
      <c r="AT1422" s="332"/>
      <c r="AU1422" s="332"/>
      <c r="AV1422" s="332"/>
      <c r="AW1422" s="332"/>
      <c r="AX1422" s="332"/>
      <c r="AY1422" s="332"/>
      <c r="AZ1422" s="332"/>
      <c r="BA1422" s="332"/>
      <c r="BB1422" s="332"/>
      <c r="BC1422" s="332"/>
      <c r="BD1422" s="332"/>
      <c r="BE1422" s="332"/>
      <c r="BF1422" s="332"/>
      <c r="BG1422" s="332"/>
      <c r="BH1422" s="332"/>
      <c r="BI1422" s="332"/>
      <c r="BJ1422" s="332"/>
      <c r="BK1422" s="332"/>
      <c r="BL1422" s="332"/>
      <c r="BM1422" s="332"/>
      <c r="BN1422" s="332"/>
      <c r="BO1422" s="332"/>
      <c r="BP1422" s="332"/>
      <c r="BQ1422" s="332"/>
      <c r="BR1422" s="332"/>
      <c r="BS1422" s="332"/>
      <c r="BT1422" s="332"/>
      <c r="BU1422" s="332"/>
      <c r="BV1422" s="332"/>
      <c r="BW1422" s="332"/>
      <c r="BX1422" s="332"/>
      <c r="BY1422" s="332"/>
      <c r="BZ1422" s="332"/>
      <c r="CA1422" s="332"/>
      <c r="CB1422" s="332"/>
      <c r="CC1422" s="332"/>
      <c r="CD1422" s="332"/>
      <c r="CE1422" s="332"/>
      <c r="CF1422" s="332"/>
      <c r="CG1422" s="332"/>
      <c r="CH1422" s="332"/>
      <c r="CI1422" s="332"/>
      <c r="CJ1422" s="332"/>
      <c r="CK1422" s="332"/>
      <c r="CL1422" s="332"/>
      <c r="CM1422" s="332"/>
      <c r="CN1422" s="332"/>
      <c r="CO1422" s="332"/>
      <c r="CP1422" s="332"/>
      <c r="CQ1422" s="332"/>
      <c r="CR1422" s="332"/>
      <c r="CS1422" s="332"/>
      <c r="CT1422" s="332"/>
      <c r="CU1422" s="332"/>
      <c r="CV1422" s="332"/>
      <c r="CW1422" s="332"/>
      <c r="CX1422" s="332"/>
      <c r="CY1422" s="332"/>
      <c r="CZ1422" s="332"/>
      <c r="DA1422" s="332"/>
      <c r="DB1422" s="332"/>
      <c r="DC1422" s="332"/>
      <c r="DD1422" s="332"/>
      <c r="DE1422" s="332"/>
      <c r="DF1422" s="332"/>
      <c r="DG1422" s="332"/>
      <c r="DH1422" s="332"/>
      <c r="DI1422" s="332"/>
      <c r="DJ1422" s="332"/>
      <c r="DK1422" s="332"/>
      <c r="DL1422" s="332"/>
      <c r="DM1422" s="332"/>
      <c r="DN1422" s="332"/>
      <c r="DO1422" s="332"/>
      <c r="DP1422" s="332"/>
      <c r="DQ1422" s="332"/>
      <c r="DR1422" s="332"/>
      <c r="DS1422" s="332"/>
      <c r="DT1422" s="332"/>
      <c r="DU1422" s="453"/>
      <c r="DV1422" s="453"/>
      <c r="DW1422" s="453"/>
      <c r="DX1422" s="453"/>
      <c r="DY1422" s="453"/>
      <c r="DZ1422" s="453"/>
      <c r="EA1422" s="453"/>
      <c r="EB1422" s="453"/>
      <c r="EC1422" s="453"/>
      <c r="ED1422" s="453"/>
      <c r="EE1422" s="453"/>
      <c r="EF1422" s="453"/>
      <c r="EG1422" s="453"/>
      <c r="EH1422" s="453"/>
      <c r="EI1422" s="453"/>
      <c r="EJ1422" s="453"/>
      <c r="EK1422" s="453"/>
      <c r="EL1422" s="453"/>
      <c r="EM1422" s="483">
        <f t="shared" si="264"/>
        <v>1113</v>
      </c>
      <c r="EN1422" s="485"/>
      <c r="EO1422" s="458"/>
      <c r="EP1422" s="467"/>
      <c r="EQ1422" s="457"/>
      <c r="ER1422" s="808"/>
      <c r="ES1422" s="881">
        <f t="shared" si="265"/>
        <v>0</v>
      </c>
      <c r="ET1422" s="882"/>
      <c r="EU1422" s="883"/>
      <c r="EV1422" s="884">
        <f t="shared" si="266"/>
        <v>0</v>
      </c>
      <c r="EW1422" s="885"/>
      <c r="EX1422" s="885"/>
      <c r="EY1422" s="885"/>
      <c r="EZ1422" s="885"/>
      <c r="FA1422" s="885"/>
      <c r="FB1422" s="885"/>
      <c r="FC1422" s="885"/>
      <c r="FD1422" s="886"/>
      <c r="FE1422" s="877"/>
      <c r="FF1422" s="877"/>
      <c r="FG1422" s="877"/>
      <c r="FH1422" s="877"/>
      <c r="FI1422" s="877"/>
      <c r="FJ1422" s="877"/>
      <c r="FK1422" s="877"/>
      <c r="FL1422" s="874"/>
      <c r="FM1422" s="875"/>
      <c r="FN1422" s="875"/>
      <c r="FO1422" s="875"/>
      <c r="FP1422" s="875"/>
      <c r="FQ1422" s="875"/>
      <c r="FR1422" s="875"/>
      <c r="FS1422" s="875"/>
      <c r="FT1422" s="875"/>
      <c r="FU1422" s="875"/>
      <c r="FV1422" s="875"/>
      <c r="FW1422" s="875"/>
      <c r="FX1422" s="875"/>
      <c r="FY1422" s="875"/>
      <c r="FZ1422" s="875"/>
      <c r="GA1422" s="875"/>
      <c r="GB1422" s="876"/>
      <c r="GC1422" s="370"/>
      <c r="GD1422" s="453"/>
      <c r="GE1422" s="453"/>
      <c r="GF1422" s="453"/>
      <c r="GG1422" s="453"/>
      <c r="GH1422" s="454"/>
      <c r="GI1422" s="453"/>
      <c r="GJ1422" s="453"/>
      <c r="GK1422" s="453"/>
      <c r="GL1422" s="453"/>
      <c r="GM1422" s="453"/>
      <c r="GN1422" s="453"/>
      <c r="GO1422" s="453"/>
      <c r="GP1422" s="453"/>
      <c r="GQ1422" s="453"/>
      <c r="GR1422" s="453"/>
      <c r="GS1422" s="561"/>
      <c r="GT1422" s="475"/>
      <c r="GU1422" s="472"/>
      <c r="GV1422" s="453"/>
      <c r="GW1422" s="453"/>
      <c r="GX1422" s="869"/>
      <c r="GY1422" s="870"/>
      <c r="GZ1422" s="867"/>
      <c r="HA1422" s="868"/>
      <c r="HB1422" s="473"/>
      <c r="HC1422" s="869"/>
      <c r="HD1422" s="870"/>
      <c r="HE1422" s="867"/>
      <c r="HF1422" s="868"/>
      <c r="HG1422" s="473"/>
      <c r="HH1422" s="867"/>
      <c r="HI1422" s="868"/>
      <c r="HJ1422" s="867"/>
      <c r="HK1422" s="868"/>
      <c r="HL1422" s="370"/>
      <c r="HM1422" s="865"/>
      <c r="HN1422" s="866"/>
      <c r="HO1422" s="865"/>
      <c r="HP1422" s="866"/>
      <c r="HQ1422" s="865"/>
      <c r="HR1422" s="866"/>
      <c r="HS1422" s="867"/>
      <c r="HT1422" s="868"/>
      <c r="HU1422" s="489"/>
      <c r="HV1422" s="865"/>
      <c r="HW1422" s="866"/>
    </row>
    <row r="1423" spans="25:231" ht="15" customHeight="1">
      <c r="Y1423" s="332"/>
      <c r="Z1423" s="332"/>
      <c r="AA1423" s="332"/>
      <c r="AB1423" s="332"/>
      <c r="AC1423" s="332"/>
      <c r="AD1423" s="332"/>
      <c r="AE1423" s="332"/>
      <c r="AF1423" s="332"/>
      <c r="AG1423" s="332"/>
      <c r="AH1423" s="332"/>
      <c r="AI1423" s="332"/>
      <c r="AJ1423" s="332"/>
      <c r="AK1423" s="332"/>
      <c r="AL1423" s="332"/>
      <c r="AM1423" s="332"/>
      <c r="AN1423" s="332"/>
      <c r="AO1423" s="332"/>
      <c r="AP1423" s="332"/>
      <c r="AQ1423" s="332"/>
      <c r="AR1423" s="332"/>
      <c r="AS1423" s="332"/>
      <c r="AT1423" s="332"/>
      <c r="AU1423" s="332"/>
      <c r="AV1423" s="332"/>
      <c r="AW1423" s="332"/>
      <c r="AX1423" s="332"/>
      <c r="AY1423" s="332"/>
      <c r="AZ1423" s="332"/>
      <c r="BA1423" s="332"/>
      <c r="BB1423" s="332"/>
      <c r="BC1423" s="332"/>
      <c r="BD1423" s="332"/>
      <c r="BE1423" s="332"/>
      <c r="BF1423" s="332"/>
      <c r="BG1423" s="332"/>
      <c r="BH1423" s="332"/>
      <c r="BI1423" s="332"/>
      <c r="BJ1423" s="332"/>
      <c r="BK1423" s="332"/>
      <c r="BL1423" s="332"/>
      <c r="BM1423" s="332"/>
      <c r="BN1423" s="332"/>
      <c r="BO1423" s="332"/>
      <c r="BP1423" s="332"/>
      <c r="BQ1423" s="332"/>
      <c r="BR1423" s="332"/>
      <c r="BS1423" s="332"/>
      <c r="BT1423" s="332"/>
      <c r="BU1423" s="332"/>
      <c r="BV1423" s="332"/>
      <c r="BW1423" s="332"/>
      <c r="BX1423" s="332"/>
      <c r="BY1423" s="332"/>
      <c r="BZ1423" s="332"/>
      <c r="CA1423" s="332"/>
      <c r="CB1423" s="332"/>
      <c r="CC1423" s="332"/>
      <c r="CD1423" s="332"/>
      <c r="CE1423" s="332"/>
      <c r="CF1423" s="332"/>
      <c r="CG1423" s="332"/>
      <c r="CH1423" s="332"/>
      <c r="CI1423" s="332"/>
      <c r="CJ1423" s="332"/>
      <c r="CK1423" s="332"/>
      <c r="CL1423" s="332"/>
      <c r="CM1423" s="332"/>
      <c r="CN1423" s="332"/>
      <c r="CO1423" s="332"/>
      <c r="CP1423" s="332"/>
      <c r="CQ1423" s="332"/>
      <c r="CR1423" s="332"/>
      <c r="CS1423" s="332"/>
      <c r="CT1423" s="332"/>
      <c r="CU1423" s="332"/>
      <c r="CV1423" s="332"/>
      <c r="CW1423" s="332"/>
      <c r="CX1423" s="332"/>
      <c r="CY1423" s="332"/>
      <c r="CZ1423" s="332"/>
      <c r="DA1423" s="332"/>
      <c r="DB1423" s="332"/>
      <c r="DC1423" s="332"/>
      <c r="DD1423" s="332"/>
      <c r="DE1423" s="332"/>
      <c r="DF1423" s="332"/>
      <c r="DG1423" s="332"/>
      <c r="DH1423" s="332"/>
      <c r="DI1423" s="332"/>
      <c r="DJ1423" s="332"/>
      <c r="DK1423" s="332"/>
      <c r="DL1423" s="332"/>
      <c r="DM1423" s="332"/>
      <c r="DN1423" s="332"/>
      <c r="DO1423" s="332"/>
      <c r="DP1423" s="332"/>
      <c r="DQ1423" s="332"/>
      <c r="DR1423" s="332"/>
      <c r="DS1423" s="332"/>
      <c r="DT1423" s="332"/>
      <c r="DU1423" s="453"/>
      <c r="DV1423" s="453"/>
      <c r="DW1423" s="453"/>
      <c r="DX1423" s="453"/>
      <c r="DY1423" s="453"/>
      <c r="DZ1423" s="453"/>
      <c r="EA1423" s="453"/>
      <c r="EB1423" s="453"/>
      <c r="EC1423" s="453"/>
      <c r="ED1423" s="453"/>
      <c r="EE1423" s="453"/>
      <c r="EF1423" s="453"/>
      <c r="EG1423" s="453"/>
      <c r="EH1423" s="453"/>
      <c r="EI1423" s="453"/>
      <c r="EJ1423" s="453"/>
      <c r="EK1423" s="453"/>
      <c r="EL1423" s="453"/>
      <c r="EM1423" s="483">
        <f t="shared" si="264"/>
        <v>1114</v>
      </c>
      <c r="EN1423" s="485"/>
      <c r="EO1423" s="458"/>
      <c r="EP1423" s="467"/>
      <c r="EQ1423" s="457"/>
      <c r="ER1423" s="808"/>
      <c r="ES1423" s="881">
        <f t="shared" si="265"/>
        <v>0</v>
      </c>
      <c r="ET1423" s="882"/>
      <c r="EU1423" s="883"/>
      <c r="EV1423" s="884">
        <f t="shared" si="266"/>
        <v>0</v>
      </c>
      <c r="EW1423" s="885"/>
      <c r="EX1423" s="885"/>
      <c r="EY1423" s="885"/>
      <c r="EZ1423" s="885"/>
      <c r="FA1423" s="885"/>
      <c r="FB1423" s="885"/>
      <c r="FC1423" s="885"/>
      <c r="FD1423" s="886"/>
      <c r="FE1423" s="877"/>
      <c r="FF1423" s="877"/>
      <c r="FG1423" s="877"/>
      <c r="FH1423" s="877"/>
      <c r="FI1423" s="877"/>
      <c r="FJ1423" s="877"/>
      <c r="FK1423" s="877"/>
      <c r="FL1423" s="874"/>
      <c r="FM1423" s="875"/>
      <c r="FN1423" s="875"/>
      <c r="FO1423" s="875"/>
      <c r="FP1423" s="875"/>
      <c r="FQ1423" s="875"/>
      <c r="FR1423" s="875"/>
      <c r="FS1423" s="875"/>
      <c r="FT1423" s="875"/>
      <c r="FU1423" s="875"/>
      <c r="FV1423" s="875"/>
      <c r="FW1423" s="875"/>
      <c r="FX1423" s="875"/>
      <c r="FY1423" s="875"/>
      <c r="FZ1423" s="875"/>
      <c r="GA1423" s="875"/>
      <c r="GB1423" s="876"/>
      <c r="GC1423" s="370"/>
      <c r="GD1423" s="453"/>
      <c r="GE1423" s="453"/>
      <c r="GF1423" s="453"/>
      <c r="GG1423" s="453"/>
      <c r="GH1423" s="454"/>
      <c r="GI1423" s="453"/>
      <c r="GJ1423" s="453"/>
      <c r="GK1423" s="453"/>
      <c r="GL1423" s="453"/>
      <c r="GM1423" s="453"/>
      <c r="GN1423" s="453"/>
      <c r="GO1423" s="453"/>
      <c r="GP1423" s="453"/>
      <c r="GQ1423" s="453"/>
      <c r="GR1423" s="453"/>
      <c r="GS1423" s="561"/>
      <c r="GT1423" s="475"/>
      <c r="GU1423" s="472"/>
      <c r="GV1423" s="453"/>
      <c r="GW1423" s="453"/>
      <c r="GX1423" s="869"/>
      <c r="GY1423" s="870"/>
      <c r="GZ1423" s="867"/>
      <c r="HA1423" s="868"/>
      <c r="HB1423" s="473"/>
      <c r="HC1423" s="869"/>
      <c r="HD1423" s="870"/>
      <c r="HE1423" s="867"/>
      <c r="HF1423" s="868"/>
      <c r="HG1423" s="473"/>
      <c r="HH1423" s="867"/>
      <c r="HI1423" s="868"/>
      <c r="HJ1423" s="867"/>
      <c r="HK1423" s="868"/>
      <c r="HL1423" s="370"/>
      <c r="HM1423" s="865"/>
      <c r="HN1423" s="866"/>
      <c r="HO1423" s="865"/>
      <c r="HP1423" s="866"/>
      <c r="HQ1423" s="865"/>
      <c r="HR1423" s="866"/>
      <c r="HS1423" s="867"/>
      <c r="HT1423" s="868"/>
      <c r="HU1423" s="489"/>
      <c r="HV1423" s="865"/>
      <c r="HW1423" s="866"/>
    </row>
    <row r="1424" spans="25:231" ht="15" customHeight="1">
      <c r="Y1424" s="332"/>
      <c r="Z1424" s="332"/>
      <c r="AA1424" s="332"/>
      <c r="AB1424" s="332"/>
      <c r="AC1424" s="332"/>
      <c r="AD1424" s="332"/>
      <c r="AE1424" s="332"/>
      <c r="AF1424" s="332"/>
      <c r="AG1424" s="332"/>
      <c r="AH1424" s="332"/>
      <c r="AI1424" s="332"/>
      <c r="AJ1424" s="332"/>
      <c r="AK1424" s="332"/>
      <c r="AL1424" s="332"/>
      <c r="AM1424" s="332"/>
      <c r="AN1424" s="332"/>
      <c r="AO1424" s="332"/>
      <c r="AP1424" s="332"/>
      <c r="AQ1424" s="332"/>
      <c r="AR1424" s="332"/>
      <c r="AS1424" s="332"/>
      <c r="AT1424" s="332"/>
      <c r="AU1424" s="332"/>
      <c r="AV1424" s="332"/>
      <c r="AW1424" s="332"/>
      <c r="AX1424" s="332"/>
      <c r="AY1424" s="332"/>
      <c r="AZ1424" s="332"/>
      <c r="BA1424" s="332"/>
      <c r="BB1424" s="332"/>
      <c r="BC1424" s="332"/>
      <c r="BD1424" s="332"/>
      <c r="BE1424" s="332"/>
      <c r="BF1424" s="332"/>
      <c r="BG1424" s="332"/>
      <c r="BH1424" s="332"/>
      <c r="BI1424" s="332"/>
      <c r="BJ1424" s="332"/>
      <c r="BK1424" s="332"/>
      <c r="BL1424" s="332"/>
      <c r="BM1424" s="332"/>
      <c r="BN1424" s="332"/>
      <c r="BO1424" s="332"/>
      <c r="BP1424" s="332"/>
      <c r="BQ1424" s="332"/>
      <c r="BR1424" s="332"/>
      <c r="BS1424" s="332"/>
      <c r="BT1424" s="332"/>
      <c r="BU1424" s="332"/>
      <c r="BV1424" s="332"/>
      <c r="BW1424" s="332"/>
      <c r="BX1424" s="332"/>
      <c r="BY1424" s="332"/>
      <c r="BZ1424" s="332"/>
      <c r="CA1424" s="332"/>
      <c r="CB1424" s="332"/>
      <c r="CC1424" s="332"/>
      <c r="CD1424" s="332"/>
      <c r="CE1424" s="332"/>
      <c r="CF1424" s="332"/>
      <c r="CG1424" s="332"/>
      <c r="CH1424" s="332"/>
      <c r="CI1424" s="332"/>
      <c r="CJ1424" s="332"/>
      <c r="CK1424" s="332"/>
      <c r="CL1424" s="332"/>
      <c r="CM1424" s="332"/>
      <c r="CN1424" s="332"/>
      <c r="CO1424" s="332"/>
      <c r="CP1424" s="332"/>
      <c r="CQ1424" s="332"/>
      <c r="CR1424" s="332"/>
      <c r="CS1424" s="332"/>
      <c r="CT1424" s="332"/>
      <c r="CU1424" s="332"/>
      <c r="CV1424" s="332"/>
      <c r="CW1424" s="332"/>
      <c r="CX1424" s="332"/>
      <c r="CY1424" s="332"/>
      <c r="CZ1424" s="332"/>
      <c r="DA1424" s="332"/>
      <c r="DB1424" s="332"/>
      <c r="DC1424" s="332"/>
      <c r="DD1424" s="332"/>
      <c r="DE1424" s="332"/>
      <c r="DF1424" s="332"/>
      <c r="DG1424" s="332"/>
      <c r="DH1424" s="332"/>
      <c r="DI1424" s="332"/>
      <c r="DJ1424" s="332"/>
      <c r="DK1424" s="332"/>
      <c r="DL1424" s="332"/>
      <c r="DM1424" s="332"/>
      <c r="DN1424" s="332"/>
      <c r="DO1424" s="332"/>
      <c r="DP1424" s="332"/>
      <c r="DQ1424" s="332"/>
      <c r="DR1424" s="332"/>
      <c r="DS1424" s="332"/>
      <c r="DT1424" s="332"/>
      <c r="DU1424" s="453"/>
      <c r="DV1424" s="453"/>
      <c r="DW1424" s="453"/>
      <c r="DX1424" s="453"/>
      <c r="DY1424" s="453"/>
      <c r="DZ1424" s="453"/>
      <c r="EA1424" s="453"/>
      <c r="EB1424" s="453"/>
      <c r="EC1424" s="453"/>
      <c r="ED1424" s="453"/>
      <c r="EE1424" s="453"/>
      <c r="EF1424" s="453"/>
      <c r="EG1424" s="453"/>
      <c r="EH1424" s="453"/>
      <c r="EI1424" s="453"/>
      <c r="EJ1424" s="453"/>
      <c r="EK1424" s="453"/>
      <c r="EL1424" s="453"/>
      <c r="EM1424" s="483">
        <f t="shared" si="264"/>
        <v>1115</v>
      </c>
      <c r="EN1424" s="485"/>
      <c r="EO1424" s="458"/>
      <c r="EP1424" s="467"/>
      <c r="EQ1424" s="457"/>
      <c r="ER1424" s="808"/>
      <c r="ES1424" s="881">
        <f t="shared" si="265"/>
        <v>0</v>
      </c>
      <c r="ET1424" s="882"/>
      <c r="EU1424" s="883"/>
      <c r="EV1424" s="884">
        <f t="shared" si="266"/>
        <v>0</v>
      </c>
      <c r="EW1424" s="885"/>
      <c r="EX1424" s="885"/>
      <c r="EY1424" s="885"/>
      <c r="EZ1424" s="885"/>
      <c r="FA1424" s="885"/>
      <c r="FB1424" s="885"/>
      <c r="FC1424" s="885"/>
      <c r="FD1424" s="886"/>
      <c r="FE1424" s="877"/>
      <c r="FF1424" s="877"/>
      <c r="FG1424" s="877"/>
      <c r="FH1424" s="877"/>
      <c r="FI1424" s="877"/>
      <c r="FJ1424" s="877"/>
      <c r="FK1424" s="877"/>
      <c r="FL1424" s="874"/>
      <c r="FM1424" s="875"/>
      <c r="FN1424" s="875"/>
      <c r="FO1424" s="875"/>
      <c r="FP1424" s="875"/>
      <c r="FQ1424" s="875"/>
      <c r="FR1424" s="875"/>
      <c r="FS1424" s="875"/>
      <c r="FT1424" s="875"/>
      <c r="FU1424" s="875"/>
      <c r="FV1424" s="875"/>
      <c r="FW1424" s="875"/>
      <c r="FX1424" s="875"/>
      <c r="FY1424" s="875"/>
      <c r="FZ1424" s="875"/>
      <c r="GA1424" s="875"/>
      <c r="GB1424" s="876"/>
      <c r="GC1424" s="370"/>
      <c r="GD1424" s="453"/>
      <c r="GE1424" s="453"/>
      <c r="GF1424" s="453"/>
      <c r="GG1424" s="453"/>
      <c r="GH1424" s="454"/>
      <c r="GI1424" s="453"/>
      <c r="GJ1424" s="453"/>
      <c r="GK1424" s="453"/>
      <c r="GL1424" s="453"/>
      <c r="GM1424" s="453"/>
      <c r="GN1424" s="453"/>
      <c r="GO1424" s="453"/>
      <c r="GP1424" s="453"/>
      <c r="GQ1424" s="453"/>
      <c r="GR1424" s="453"/>
      <c r="GS1424" s="561"/>
      <c r="GT1424" s="475"/>
      <c r="GU1424" s="472"/>
      <c r="GV1424" s="453"/>
      <c r="GW1424" s="453"/>
      <c r="GX1424" s="869"/>
      <c r="GY1424" s="870"/>
      <c r="GZ1424" s="867"/>
      <c r="HA1424" s="868"/>
      <c r="HB1424" s="473"/>
      <c r="HC1424" s="869"/>
      <c r="HD1424" s="870"/>
      <c r="HE1424" s="867"/>
      <c r="HF1424" s="868"/>
      <c r="HG1424" s="473"/>
      <c r="HH1424" s="867"/>
      <c r="HI1424" s="868"/>
      <c r="HJ1424" s="867"/>
      <c r="HK1424" s="868"/>
      <c r="HL1424" s="370"/>
      <c r="HM1424" s="865"/>
      <c r="HN1424" s="866"/>
      <c r="HO1424" s="865"/>
      <c r="HP1424" s="866"/>
      <c r="HQ1424" s="865"/>
      <c r="HR1424" s="866"/>
      <c r="HS1424" s="867"/>
      <c r="HT1424" s="868"/>
      <c r="HU1424" s="489"/>
      <c r="HV1424" s="865"/>
      <c r="HW1424" s="866"/>
    </row>
    <row r="1425" spans="25:231" ht="15" customHeight="1">
      <c r="Y1425" s="332"/>
      <c r="Z1425" s="332"/>
      <c r="AA1425" s="332"/>
      <c r="AB1425" s="332"/>
      <c r="AC1425" s="332"/>
      <c r="AD1425" s="332"/>
      <c r="AE1425" s="332"/>
      <c r="AF1425" s="332"/>
      <c r="AG1425" s="332"/>
      <c r="AH1425" s="332"/>
      <c r="AI1425" s="332"/>
      <c r="AJ1425" s="332"/>
      <c r="AK1425" s="332"/>
      <c r="AL1425" s="332"/>
      <c r="AM1425" s="332"/>
      <c r="AN1425" s="332"/>
      <c r="AO1425" s="332"/>
      <c r="AP1425" s="332"/>
      <c r="AQ1425" s="332"/>
      <c r="AR1425" s="332"/>
      <c r="AS1425" s="332"/>
      <c r="AT1425" s="332"/>
      <c r="AU1425" s="332"/>
      <c r="AV1425" s="332"/>
      <c r="AW1425" s="332"/>
      <c r="AX1425" s="332"/>
      <c r="AY1425" s="332"/>
      <c r="AZ1425" s="332"/>
      <c r="BA1425" s="332"/>
      <c r="BB1425" s="332"/>
      <c r="BC1425" s="332"/>
      <c r="BD1425" s="332"/>
      <c r="BE1425" s="332"/>
      <c r="BF1425" s="332"/>
      <c r="BG1425" s="332"/>
      <c r="BH1425" s="332"/>
      <c r="BI1425" s="332"/>
      <c r="BJ1425" s="332"/>
      <c r="BK1425" s="332"/>
      <c r="BL1425" s="332"/>
      <c r="BM1425" s="332"/>
      <c r="BN1425" s="332"/>
      <c r="BO1425" s="332"/>
      <c r="BP1425" s="332"/>
      <c r="BQ1425" s="332"/>
      <c r="BR1425" s="332"/>
      <c r="BS1425" s="332"/>
      <c r="BT1425" s="332"/>
      <c r="BU1425" s="332"/>
      <c r="BV1425" s="332"/>
      <c r="BW1425" s="332"/>
      <c r="BX1425" s="332"/>
      <c r="BY1425" s="332"/>
      <c r="BZ1425" s="332"/>
      <c r="CA1425" s="332"/>
      <c r="CB1425" s="332"/>
      <c r="CC1425" s="332"/>
      <c r="CD1425" s="332"/>
      <c r="CE1425" s="332"/>
      <c r="CF1425" s="332"/>
      <c r="CG1425" s="332"/>
      <c r="CH1425" s="332"/>
      <c r="CI1425" s="332"/>
      <c r="CJ1425" s="332"/>
      <c r="CK1425" s="332"/>
      <c r="CL1425" s="332"/>
      <c r="CM1425" s="332"/>
      <c r="CN1425" s="332"/>
      <c r="CO1425" s="332"/>
      <c r="CP1425" s="332"/>
      <c r="CQ1425" s="332"/>
      <c r="CR1425" s="332"/>
      <c r="CS1425" s="332"/>
      <c r="CT1425" s="332"/>
      <c r="CU1425" s="332"/>
      <c r="CV1425" s="332"/>
      <c r="CW1425" s="332"/>
      <c r="CX1425" s="332"/>
      <c r="CY1425" s="332"/>
      <c r="CZ1425" s="332"/>
      <c r="DA1425" s="332"/>
      <c r="DB1425" s="332"/>
      <c r="DC1425" s="332"/>
      <c r="DD1425" s="332"/>
      <c r="DE1425" s="332"/>
      <c r="DF1425" s="332"/>
      <c r="DG1425" s="332"/>
      <c r="DH1425" s="332"/>
      <c r="DI1425" s="332"/>
      <c r="DJ1425" s="332"/>
      <c r="DK1425" s="332"/>
      <c r="DL1425" s="332"/>
      <c r="DM1425" s="332"/>
      <c r="DN1425" s="332"/>
      <c r="DO1425" s="332"/>
      <c r="DP1425" s="332"/>
      <c r="DQ1425" s="332"/>
      <c r="DR1425" s="332"/>
      <c r="DS1425" s="332"/>
      <c r="DT1425" s="332"/>
      <c r="DU1425" s="453"/>
      <c r="DV1425" s="453"/>
      <c r="DW1425" s="453"/>
      <c r="DX1425" s="453"/>
      <c r="DY1425" s="453"/>
      <c r="DZ1425" s="453"/>
      <c r="EA1425" s="453"/>
      <c r="EB1425" s="453"/>
      <c r="EC1425" s="453"/>
      <c r="ED1425" s="453"/>
      <c r="EE1425" s="453"/>
      <c r="EF1425" s="453"/>
      <c r="EG1425" s="453"/>
      <c r="EH1425" s="453"/>
      <c r="EI1425" s="453"/>
      <c r="EJ1425" s="453"/>
      <c r="EK1425" s="453"/>
      <c r="EL1425" s="453"/>
      <c r="EM1425" s="483">
        <f t="shared" si="264"/>
        <v>1116</v>
      </c>
      <c r="EN1425" s="485"/>
      <c r="EO1425" s="458"/>
      <c r="EP1425" s="467"/>
      <c r="EQ1425" s="457"/>
      <c r="ER1425" s="808"/>
      <c r="ES1425" s="881">
        <f t="shared" si="265"/>
        <v>0</v>
      </c>
      <c r="ET1425" s="882"/>
      <c r="EU1425" s="883"/>
      <c r="EV1425" s="884">
        <f t="shared" si="266"/>
        <v>0</v>
      </c>
      <c r="EW1425" s="885"/>
      <c r="EX1425" s="885"/>
      <c r="EY1425" s="885"/>
      <c r="EZ1425" s="885"/>
      <c r="FA1425" s="885"/>
      <c r="FB1425" s="885"/>
      <c r="FC1425" s="885"/>
      <c r="FD1425" s="886"/>
      <c r="FE1425" s="877"/>
      <c r="FF1425" s="877"/>
      <c r="FG1425" s="877"/>
      <c r="FH1425" s="877"/>
      <c r="FI1425" s="877"/>
      <c r="FJ1425" s="877"/>
      <c r="FK1425" s="877"/>
      <c r="FL1425" s="874"/>
      <c r="FM1425" s="875"/>
      <c r="FN1425" s="875"/>
      <c r="FO1425" s="875"/>
      <c r="FP1425" s="875"/>
      <c r="FQ1425" s="875"/>
      <c r="FR1425" s="875"/>
      <c r="FS1425" s="875"/>
      <c r="FT1425" s="875"/>
      <c r="FU1425" s="875"/>
      <c r="FV1425" s="875"/>
      <c r="FW1425" s="875"/>
      <c r="FX1425" s="875"/>
      <c r="FY1425" s="875"/>
      <c r="FZ1425" s="875"/>
      <c r="GA1425" s="875"/>
      <c r="GB1425" s="876"/>
      <c r="GC1425" s="370"/>
      <c r="GD1425" s="453"/>
      <c r="GE1425" s="453"/>
      <c r="GF1425" s="453"/>
      <c r="GG1425" s="453"/>
      <c r="GH1425" s="454"/>
      <c r="GI1425" s="453"/>
      <c r="GJ1425" s="453"/>
      <c r="GK1425" s="453"/>
      <c r="GL1425" s="453"/>
      <c r="GM1425" s="453"/>
      <c r="GN1425" s="453"/>
      <c r="GO1425" s="453"/>
      <c r="GP1425" s="453"/>
      <c r="GQ1425" s="453"/>
      <c r="GR1425" s="453"/>
      <c r="GS1425" s="561"/>
      <c r="GT1425" s="475"/>
      <c r="GU1425" s="472"/>
      <c r="GV1425" s="453"/>
      <c r="GW1425" s="453"/>
      <c r="GX1425" s="869"/>
      <c r="GY1425" s="870"/>
      <c r="GZ1425" s="867"/>
      <c r="HA1425" s="868"/>
      <c r="HB1425" s="473"/>
      <c r="HC1425" s="869"/>
      <c r="HD1425" s="870"/>
      <c r="HE1425" s="867"/>
      <c r="HF1425" s="868"/>
      <c r="HG1425" s="473"/>
      <c r="HH1425" s="867"/>
      <c r="HI1425" s="868"/>
      <c r="HJ1425" s="867"/>
      <c r="HK1425" s="868"/>
      <c r="HL1425" s="370"/>
      <c r="HM1425" s="865"/>
      <c r="HN1425" s="866"/>
      <c r="HO1425" s="865"/>
      <c r="HP1425" s="866"/>
      <c r="HQ1425" s="865"/>
      <c r="HR1425" s="866"/>
      <c r="HS1425" s="867"/>
      <c r="HT1425" s="868"/>
      <c r="HU1425" s="489"/>
      <c r="HV1425" s="865"/>
      <c r="HW1425" s="866"/>
    </row>
    <row r="1426" spans="25:231" ht="15" customHeight="1">
      <c r="Y1426" s="332"/>
      <c r="Z1426" s="332"/>
      <c r="AA1426" s="332"/>
      <c r="AB1426" s="332"/>
      <c r="AC1426" s="332"/>
      <c r="AD1426" s="332"/>
      <c r="AE1426" s="332"/>
      <c r="AF1426" s="332"/>
      <c r="AG1426" s="332"/>
      <c r="AH1426" s="332"/>
      <c r="AI1426" s="332"/>
      <c r="AJ1426" s="332"/>
      <c r="AK1426" s="332"/>
      <c r="AL1426" s="332"/>
      <c r="AM1426" s="332"/>
      <c r="AN1426" s="332"/>
      <c r="AO1426" s="332"/>
      <c r="AP1426" s="332"/>
      <c r="AQ1426" s="332"/>
      <c r="AR1426" s="332"/>
      <c r="AS1426" s="332"/>
      <c r="AT1426" s="332"/>
      <c r="AU1426" s="332"/>
      <c r="AV1426" s="332"/>
      <c r="AW1426" s="332"/>
      <c r="AX1426" s="332"/>
      <c r="AY1426" s="332"/>
      <c r="AZ1426" s="332"/>
      <c r="BA1426" s="332"/>
      <c r="BB1426" s="332"/>
      <c r="BC1426" s="332"/>
      <c r="BD1426" s="332"/>
      <c r="BE1426" s="332"/>
      <c r="BF1426" s="332"/>
      <c r="BG1426" s="332"/>
      <c r="BH1426" s="332"/>
      <c r="BI1426" s="332"/>
      <c r="BJ1426" s="332"/>
      <c r="BK1426" s="332"/>
      <c r="BL1426" s="332"/>
      <c r="BM1426" s="332"/>
      <c r="BN1426" s="332"/>
      <c r="BO1426" s="332"/>
      <c r="BP1426" s="332"/>
      <c r="BQ1426" s="332"/>
      <c r="BR1426" s="332"/>
      <c r="BS1426" s="332"/>
      <c r="BT1426" s="332"/>
      <c r="BU1426" s="332"/>
      <c r="BV1426" s="332"/>
      <c r="BW1426" s="332"/>
      <c r="BX1426" s="332"/>
      <c r="BY1426" s="332"/>
      <c r="BZ1426" s="332"/>
      <c r="CA1426" s="332"/>
      <c r="CB1426" s="332"/>
      <c r="CC1426" s="332"/>
      <c r="CD1426" s="332"/>
      <c r="CE1426" s="332"/>
      <c r="CF1426" s="332"/>
      <c r="CG1426" s="332"/>
      <c r="CH1426" s="332"/>
      <c r="CI1426" s="332"/>
      <c r="CJ1426" s="332"/>
      <c r="CK1426" s="332"/>
      <c r="CL1426" s="332"/>
      <c r="CM1426" s="332"/>
      <c r="CN1426" s="332"/>
      <c r="CO1426" s="332"/>
      <c r="CP1426" s="332"/>
      <c r="CQ1426" s="332"/>
      <c r="CR1426" s="332"/>
      <c r="CS1426" s="332"/>
      <c r="CT1426" s="332"/>
      <c r="CU1426" s="332"/>
      <c r="CV1426" s="332"/>
      <c r="CW1426" s="332"/>
      <c r="CX1426" s="332"/>
      <c r="CY1426" s="332"/>
      <c r="CZ1426" s="332"/>
      <c r="DA1426" s="332"/>
      <c r="DB1426" s="332"/>
      <c r="DC1426" s="332"/>
      <c r="DD1426" s="332"/>
      <c r="DE1426" s="332"/>
      <c r="DF1426" s="332"/>
      <c r="DG1426" s="332"/>
      <c r="DH1426" s="332"/>
      <c r="DI1426" s="332"/>
      <c r="DJ1426" s="332"/>
      <c r="DK1426" s="332"/>
      <c r="DL1426" s="332"/>
      <c r="DM1426" s="332"/>
      <c r="DN1426" s="332"/>
      <c r="DO1426" s="332"/>
      <c r="DP1426" s="332"/>
      <c r="DQ1426" s="332"/>
      <c r="DR1426" s="332"/>
      <c r="DS1426" s="332"/>
      <c r="DT1426" s="332"/>
      <c r="DU1426" s="453"/>
      <c r="DV1426" s="453"/>
      <c r="DW1426" s="453"/>
      <c r="DX1426" s="453"/>
      <c r="DY1426" s="453"/>
      <c r="DZ1426" s="453"/>
      <c r="EA1426" s="453"/>
      <c r="EB1426" s="453"/>
      <c r="EC1426" s="453"/>
      <c r="ED1426" s="453"/>
      <c r="EE1426" s="453"/>
      <c r="EF1426" s="453"/>
      <c r="EG1426" s="453"/>
      <c r="EH1426" s="453"/>
      <c r="EI1426" s="453"/>
      <c r="EJ1426" s="453"/>
      <c r="EK1426" s="453"/>
      <c r="EL1426" s="453"/>
      <c r="EM1426" s="483">
        <f t="shared" si="264"/>
        <v>1117</v>
      </c>
      <c r="EN1426" s="485"/>
      <c r="EO1426" s="458"/>
      <c r="EP1426" s="467"/>
      <c r="EQ1426" s="457"/>
      <c r="ER1426" s="808"/>
      <c r="ES1426" s="881">
        <f t="shared" si="265"/>
        <v>0</v>
      </c>
      <c r="ET1426" s="882"/>
      <c r="EU1426" s="883"/>
      <c r="EV1426" s="884">
        <f t="shared" si="266"/>
        <v>0</v>
      </c>
      <c r="EW1426" s="885"/>
      <c r="EX1426" s="885"/>
      <c r="EY1426" s="885"/>
      <c r="EZ1426" s="885"/>
      <c r="FA1426" s="885"/>
      <c r="FB1426" s="885"/>
      <c r="FC1426" s="885"/>
      <c r="FD1426" s="886"/>
      <c r="FE1426" s="877"/>
      <c r="FF1426" s="877"/>
      <c r="FG1426" s="877"/>
      <c r="FH1426" s="877"/>
      <c r="FI1426" s="877"/>
      <c r="FJ1426" s="877"/>
      <c r="FK1426" s="877"/>
      <c r="FL1426" s="874"/>
      <c r="FM1426" s="875"/>
      <c r="FN1426" s="875"/>
      <c r="FO1426" s="875"/>
      <c r="FP1426" s="875"/>
      <c r="FQ1426" s="875"/>
      <c r="FR1426" s="875"/>
      <c r="FS1426" s="875"/>
      <c r="FT1426" s="875"/>
      <c r="FU1426" s="875"/>
      <c r="FV1426" s="875"/>
      <c r="FW1426" s="875"/>
      <c r="FX1426" s="875"/>
      <c r="FY1426" s="875"/>
      <c r="FZ1426" s="875"/>
      <c r="GA1426" s="875"/>
      <c r="GB1426" s="876"/>
      <c r="GC1426" s="370"/>
      <c r="GD1426" s="453"/>
      <c r="GE1426" s="453"/>
      <c r="GF1426" s="453"/>
      <c r="GG1426" s="453"/>
      <c r="GH1426" s="454"/>
      <c r="GI1426" s="453"/>
      <c r="GJ1426" s="453"/>
      <c r="GK1426" s="453"/>
      <c r="GL1426" s="453"/>
      <c r="GM1426" s="453"/>
      <c r="GN1426" s="453"/>
      <c r="GO1426" s="453"/>
      <c r="GP1426" s="453"/>
      <c r="GQ1426" s="453"/>
      <c r="GR1426" s="453"/>
      <c r="GS1426" s="561"/>
      <c r="GT1426" s="475"/>
      <c r="GU1426" s="472"/>
      <c r="GV1426" s="453"/>
      <c r="GW1426" s="453"/>
      <c r="GX1426" s="869"/>
      <c r="GY1426" s="870"/>
      <c r="GZ1426" s="867"/>
      <c r="HA1426" s="868"/>
      <c r="HB1426" s="473"/>
      <c r="HC1426" s="869"/>
      <c r="HD1426" s="870"/>
      <c r="HE1426" s="867"/>
      <c r="HF1426" s="868"/>
      <c r="HG1426" s="473"/>
      <c r="HH1426" s="867"/>
      <c r="HI1426" s="868"/>
      <c r="HJ1426" s="867"/>
      <c r="HK1426" s="868"/>
      <c r="HL1426" s="370"/>
      <c r="HM1426" s="865"/>
      <c r="HN1426" s="866"/>
      <c r="HO1426" s="865"/>
      <c r="HP1426" s="866"/>
      <c r="HQ1426" s="865"/>
      <c r="HR1426" s="866"/>
      <c r="HS1426" s="867"/>
      <c r="HT1426" s="868"/>
      <c r="HU1426" s="489"/>
      <c r="HV1426" s="865"/>
      <c r="HW1426" s="866"/>
    </row>
    <row r="1427" spans="25:231" ht="15" customHeight="1">
      <c r="Y1427" s="332"/>
      <c r="Z1427" s="332"/>
      <c r="AA1427" s="332"/>
      <c r="AB1427" s="332"/>
      <c r="AC1427" s="332"/>
      <c r="AD1427" s="332"/>
      <c r="AE1427" s="332"/>
      <c r="AF1427" s="332"/>
      <c r="AG1427" s="332"/>
      <c r="AH1427" s="332"/>
      <c r="AI1427" s="332"/>
      <c r="AJ1427" s="332"/>
      <c r="AK1427" s="332"/>
      <c r="AL1427" s="332"/>
      <c r="AM1427" s="332"/>
      <c r="AN1427" s="332"/>
      <c r="AO1427" s="332"/>
      <c r="AP1427" s="332"/>
      <c r="AQ1427" s="332"/>
      <c r="AR1427" s="332"/>
      <c r="AS1427" s="332"/>
      <c r="AT1427" s="332"/>
      <c r="AU1427" s="332"/>
      <c r="AV1427" s="332"/>
      <c r="AW1427" s="332"/>
      <c r="AX1427" s="332"/>
      <c r="AY1427" s="332"/>
      <c r="AZ1427" s="332"/>
      <c r="BA1427" s="332"/>
      <c r="BB1427" s="332"/>
      <c r="BC1427" s="332"/>
      <c r="BD1427" s="332"/>
      <c r="BE1427" s="332"/>
      <c r="BF1427" s="332"/>
      <c r="BG1427" s="332"/>
      <c r="BH1427" s="332"/>
      <c r="BI1427" s="332"/>
      <c r="BJ1427" s="332"/>
      <c r="BK1427" s="332"/>
      <c r="BL1427" s="332"/>
      <c r="BM1427" s="332"/>
      <c r="BN1427" s="332"/>
      <c r="BO1427" s="332"/>
      <c r="BP1427" s="332"/>
      <c r="BQ1427" s="332"/>
      <c r="BR1427" s="332"/>
      <c r="BS1427" s="332"/>
      <c r="BT1427" s="332"/>
      <c r="BU1427" s="332"/>
      <c r="BV1427" s="332"/>
      <c r="BW1427" s="332"/>
      <c r="BX1427" s="332"/>
      <c r="BY1427" s="332"/>
      <c r="BZ1427" s="332"/>
      <c r="CA1427" s="332"/>
      <c r="CB1427" s="332"/>
      <c r="CC1427" s="332"/>
      <c r="CD1427" s="332"/>
      <c r="CE1427" s="332"/>
      <c r="CF1427" s="332"/>
      <c r="CG1427" s="332"/>
      <c r="CH1427" s="332"/>
      <c r="CI1427" s="332"/>
      <c r="CJ1427" s="332"/>
      <c r="CK1427" s="332"/>
      <c r="CL1427" s="332"/>
      <c r="CM1427" s="332"/>
      <c r="CN1427" s="332"/>
      <c r="CO1427" s="332"/>
      <c r="CP1427" s="332"/>
      <c r="CQ1427" s="332"/>
      <c r="CR1427" s="332"/>
      <c r="CS1427" s="332"/>
      <c r="CT1427" s="332"/>
      <c r="CU1427" s="332"/>
      <c r="CV1427" s="332"/>
      <c r="CW1427" s="332"/>
      <c r="CX1427" s="332"/>
      <c r="CY1427" s="332"/>
      <c r="CZ1427" s="332"/>
      <c r="DA1427" s="332"/>
      <c r="DB1427" s="332"/>
      <c r="DC1427" s="332"/>
      <c r="DD1427" s="332"/>
      <c r="DE1427" s="332"/>
      <c r="DF1427" s="332"/>
      <c r="DG1427" s="332"/>
      <c r="DH1427" s="332"/>
      <c r="DI1427" s="332"/>
      <c r="DJ1427" s="332"/>
      <c r="DK1427" s="332"/>
      <c r="DL1427" s="332"/>
      <c r="DM1427" s="332"/>
      <c r="DN1427" s="332"/>
      <c r="DO1427" s="332"/>
      <c r="DP1427" s="332"/>
      <c r="DQ1427" s="332"/>
      <c r="DR1427" s="332"/>
      <c r="DS1427" s="332"/>
      <c r="DT1427" s="332"/>
      <c r="DU1427" s="453"/>
      <c r="DV1427" s="453"/>
      <c r="DW1427" s="453"/>
      <c r="DX1427" s="453"/>
      <c r="DY1427" s="453"/>
      <c r="DZ1427" s="453"/>
      <c r="EA1427" s="453"/>
      <c r="EB1427" s="453"/>
      <c r="EC1427" s="453"/>
      <c r="ED1427" s="453"/>
      <c r="EE1427" s="453"/>
      <c r="EF1427" s="453"/>
      <c r="EG1427" s="453"/>
      <c r="EH1427" s="453"/>
      <c r="EI1427" s="453"/>
      <c r="EJ1427" s="453"/>
      <c r="EK1427" s="453"/>
      <c r="EL1427" s="453"/>
      <c r="EM1427" s="483">
        <f t="shared" si="264"/>
        <v>1118</v>
      </c>
      <c r="EN1427" s="485"/>
      <c r="EO1427" s="458"/>
      <c r="EP1427" s="467"/>
      <c r="EQ1427" s="457"/>
      <c r="ER1427" s="808"/>
      <c r="ES1427" s="881">
        <f t="shared" si="265"/>
        <v>0</v>
      </c>
      <c r="ET1427" s="882"/>
      <c r="EU1427" s="883"/>
      <c r="EV1427" s="884">
        <f t="shared" si="266"/>
        <v>0</v>
      </c>
      <c r="EW1427" s="885"/>
      <c r="EX1427" s="885"/>
      <c r="EY1427" s="885"/>
      <c r="EZ1427" s="885"/>
      <c r="FA1427" s="885"/>
      <c r="FB1427" s="885"/>
      <c r="FC1427" s="885"/>
      <c r="FD1427" s="886"/>
      <c r="FE1427" s="877"/>
      <c r="FF1427" s="877"/>
      <c r="FG1427" s="877"/>
      <c r="FH1427" s="877"/>
      <c r="FI1427" s="877"/>
      <c r="FJ1427" s="877"/>
      <c r="FK1427" s="877"/>
      <c r="FL1427" s="874"/>
      <c r="FM1427" s="875"/>
      <c r="FN1427" s="875"/>
      <c r="FO1427" s="875"/>
      <c r="FP1427" s="875"/>
      <c r="FQ1427" s="875"/>
      <c r="FR1427" s="875"/>
      <c r="FS1427" s="875"/>
      <c r="FT1427" s="875"/>
      <c r="FU1427" s="875"/>
      <c r="FV1427" s="875"/>
      <c r="FW1427" s="875"/>
      <c r="FX1427" s="875"/>
      <c r="FY1427" s="875"/>
      <c r="FZ1427" s="875"/>
      <c r="GA1427" s="875"/>
      <c r="GB1427" s="876"/>
      <c r="GC1427" s="370"/>
      <c r="GD1427" s="453"/>
      <c r="GE1427" s="453"/>
      <c r="GF1427" s="453"/>
      <c r="GG1427" s="453"/>
      <c r="GH1427" s="454"/>
      <c r="GI1427" s="453"/>
      <c r="GJ1427" s="453"/>
      <c r="GK1427" s="453"/>
      <c r="GL1427" s="453"/>
      <c r="GM1427" s="453"/>
      <c r="GN1427" s="453"/>
      <c r="GO1427" s="453"/>
      <c r="GP1427" s="453"/>
      <c r="GQ1427" s="453"/>
      <c r="GR1427" s="453"/>
      <c r="GS1427" s="561"/>
      <c r="GT1427" s="475"/>
      <c r="GU1427" s="472"/>
      <c r="GV1427" s="453"/>
      <c r="GW1427" s="453"/>
      <c r="GX1427" s="869"/>
      <c r="GY1427" s="870"/>
      <c r="GZ1427" s="867"/>
      <c r="HA1427" s="868"/>
      <c r="HB1427" s="473"/>
      <c r="HC1427" s="869"/>
      <c r="HD1427" s="870"/>
      <c r="HE1427" s="867"/>
      <c r="HF1427" s="868"/>
      <c r="HG1427" s="473"/>
      <c r="HH1427" s="867"/>
      <c r="HI1427" s="868"/>
      <c r="HJ1427" s="867"/>
      <c r="HK1427" s="868"/>
      <c r="HL1427" s="370"/>
      <c r="HM1427" s="865"/>
      <c r="HN1427" s="866"/>
      <c r="HO1427" s="865"/>
      <c r="HP1427" s="866"/>
      <c r="HQ1427" s="865"/>
      <c r="HR1427" s="866"/>
      <c r="HS1427" s="867"/>
      <c r="HT1427" s="868"/>
      <c r="HU1427" s="489"/>
      <c r="HV1427" s="865"/>
      <c r="HW1427" s="866"/>
    </row>
    <row r="1428" spans="25:231" ht="15" customHeight="1">
      <c r="Y1428" s="332"/>
      <c r="Z1428" s="332"/>
      <c r="AA1428" s="332"/>
      <c r="AB1428" s="332"/>
      <c r="AC1428" s="332"/>
      <c r="AD1428" s="332"/>
      <c r="AE1428" s="332"/>
      <c r="AF1428" s="332"/>
      <c r="AG1428" s="332"/>
      <c r="AH1428" s="332"/>
      <c r="AI1428" s="332"/>
      <c r="AJ1428" s="332"/>
      <c r="AK1428" s="332"/>
      <c r="AL1428" s="332"/>
      <c r="AM1428" s="332"/>
      <c r="AN1428" s="332"/>
      <c r="AO1428" s="332"/>
      <c r="AP1428" s="332"/>
      <c r="AQ1428" s="332"/>
      <c r="AR1428" s="332"/>
      <c r="AS1428" s="332"/>
      <c r="AT1428" s="332"/>
      <c r="AU1428" s="332"/>
      <c r="AV1428" s="332"/>
      <c r="AW1428" s="332"/>
      <c r="AX1428" s="332"/>
      <c r="AY1428" s="332"/>
      <c r="AZ1428" s="332"/>
      <c r="BA1428" s="332"/>
      <c r="BB1428" s="332"/>
      <c r="BC1428" s="332"/>
      <c r="BD1428" s="332"/>
      <c r="BE1428" s="332"/>
      <c r="BF1428" s="332"/>
      <c r="BG1428" s="332"/>
      <c r="BH1428" s="332"/>
      <c r="BI1428" s="332"/>
      <c r="BJ1428" s="332"/>
      <c r="BK1428" s="332"/>
      <c r="BL1428" s="332"/>
      <c r="BM1428" s="332"/>
      <c r="BN1428" s="332"/>
      <c r="BO1428" s="332"/>
      <c r="BP1428" s="332"/>
      <c r="BQ1428" s="332"/>
      <c r="BR1428" s="332"/>
      <c r="BS1428" s="332"/>
      <c r="BT1428" s="332"/>
      <c r="BU1428" s="332"/>
      <c r="BV1428" s="332"/>
      <c r="BW1428" s="332"/>
      <c r="BX1428" s="332"/>
      <c r="BY1428" s="332"/>
      <c r="BZ1428" s="332"/>
      <c r="CA1428" s="332"/>
      <c r="CB1428" s="332"/>
      <c r="CC1428" s="332"/>
      <c r="CD1428" s="332"/>
      <c r="CE1428" s="332"/>
      <c r="CF1428" s="332"/>
      <c r="CG1428" s="332"/>
      <c r="CH1428" s="332"/>
      <c r="CI1428" s="332"/>
      <c r="CJ1428" s="332"/>
      <c r="CK1428" s="332"/>
      <c r="CL1428" s="332"/>
      <c r="CM1428" s="332"/>
      <c r="CN1428" s="332"/>
      <c r="CO1428" s="332"/>
      <c r="CP1428" s="332"/>
      <c r="CQ1428" s="332"/>
      <c r="CR1428" s="332"/>
      <c r="CS1428" s="332"/>
      <c r="CT1428" s="332"/>
      <c r="CU1428" s="332"/>
      <c r="CV1428" s="332"/>
      <c r="CW1428" s="332"/>
      <c r="CX1428" s="332"/>
      <c r="CY1428" s="332"/>
      <c r="CZ1428" s="332"/>
      <c r="DA1428" s="332"/>
      <c r="DB1428" s="332"/>
      <c r="DC1428" s="332"/>
      <c r="DD1428" s="332"/>
      <c r="DE1428" s="332"/>
      <c r="DF1428" s="332"/>
      <c r="DG1428" s="332"/>
      <c r="DH1428" s="332"/>
      <c r="DI1428" s="332"/>
      <c r="DJ1428" s="332"/>
      <c r="DK1428" s="332"/>
      <c r="DL1428" s="332"/>
      <c r="DM1428" s="332"/>
      <c r="DN1428" s="332"/>
      <c r="DO1428" s="332"/>
      <c r="DP1428" s="332"/>
      <c r="DQ1428" s="332"/>
      <c r="DR1428" s="332"/>
      <c r="DS1428" s="332"/>
      <c r="DT1428" s="332"/>
      <c r="DU1428" s="453"/>
      <c r="DV1428" s="453"/>
      <c r="DW1428" s="453"/>
      <c r="DX1428" s="453"/>
      <c r="DY1428" s="453"/>
      <c r="DZ1428" s="453"/>
      <c r="EA1428" s="453"/>
      <c r="EB1428" s="453"/>
      <c r="EC1428" s="453"/>
      <c r="ED1428" s="453"/>
      <c r="EE1428" s="453"/>
      <c r="EF1428" s="453"/>
      <c r="EG1428" s="453"/>
      <c r="EH1428" s="453"/>
      <c r="EI1428" s="453"/>
      <c r="EJ1428" s="453"/>
      <c r="EK1428" s="453"/>
      <c r="EL1428" s="453"/>
      <c r="EM1428" s="483">
        <f t="shared" si="264"/>
        <v>1119</v>
      </c>
      <c r="EN1428" s="485"/>
      <c r="EO1428" s="458"/>
      <c r="EP1428" s="467"/>
      <c r="EQ1428" s="457"/>
      <c r="ER1428" s="808"/>
      <c r="ES1428" s="881">
        <f t="shared" si="265"/>
        <v>0</v>
      </c>
      <c r="ET1428" s="882"/>
      <c r="EU1428" s="883"/>
      <c r="EV1428" s="884">
        <f t="shared" si="266"/>
        <v>0</v>
      </c>
      <c r="EW1428" s="885"/>
      <c r="EX1428" s="885"/>
      <c r="EY1428" s="885"/>
      <c r="EZ1428" s="885"/>
      <c r="FA1428" s="885"/>
      <c r="FB1428" s="885"/>
      <c r="FC1428" s="885"/>
      <c r="FD1428" s="886"/>
      <c r="FE1428" s="877"/>
      <c r="FF1428" s="877"/>
      <c r="FG1428" s="877"/>
      <c r="FH1428" s="877"/>
      <c r="FI1428" s="877"/>
      <c r="FJ1428" s="877"/>
      <c r="FK1428" s="877"/>
      <c r="FL1428" s="874"/>
      <c r="FM1428" s="875"/>
      <c r="FN1428" s="875"/>
      <c r="FO1428" s="875"/>
      <c r="FP1428" s="875"/>
      <c r="FQ1428" s="875"/>
      <c r="FR1428" s="875"/>
      <c r="FS1428" s="875"/>
      <c r="FT1428" s="875"/>
      <c r="FU1428" s="875"/>
      <c r="FV1428" s="875"/>
      <c r="FW1428" s="875"/>
      <c r="FX1428" s="875"/>
      <c r="FY1428" s="875"/>
      <c r="FZ1428" s="875"/>
      <c r="GA1428" s="875"/>
      <c r="GB1428" s="876"/>
      <c r="GC1428" s="370"/>
      <c r="GD1428" s="453"/>
      <c r="GE1428" s="453"/>
      <c r="GF1428" s="453"/>
      <c r="GG1428" s="453"/>
      <c r="GH1428" s="454"/>
      <c r="GI1428" s="453"/>
      <c r="GJ1428" s="453"/>
      <c r="GK1428" s="453"/>
      <c r="GL1428" s="453"/>
      <c r="GM1428" s="453"/>
      <c r="GN1428" s="453"/>
      <c r="GO1428" s="453"/>
      <c r="GP1428" s="453"/>
      <c r="GQ1428" s="453"/>
      <c r="GR1428" s="453"/>
      <c r="GS1428" s="561"/>
      <c r="GT1428" s="475"/>
      <c r="GU1428" s="472"/>
      <c r="GV1428" s="453"/>
      <c r="GW1428" s="453"/>
      <c r="GX1428" s="869"/>
      <c r="GY1428" s="870"/>
      <c r="GZ1428" s="867"/>
      <c r="HA1428" s="868"/>
      <c r="HB1428" s="473"/>
      <c r="HC1428" s="869"/>
      <c r="HD1428" s="870"/>
      <c r="HE1428" s="867"/>
      <c r="HF1428" s="868"/>
      <c r="HG1428" s="473"/>
      <c r="HH1428" s="867"/>
      <c r="HI1428" s="868"/>
      <c r="HJ1428" s="867"/>
      <c r="HK1428" s="868"/>
      <c r="HL1428" s="370"/>
      <c r="HM1428" s="865"/>
      <c r="HN1428" s="866"/>
      <c r="HO1428" s="865"/>
      <c r="HP1428" s="866"/>
      <c r="HQ1428" s="865"/>
      <c r="HR1428" s="866"/>
      <c r="HS1428" s="867"/>
      <c r="HT1428" s="868"/>
      <c r="HU1428" s="489"/>
      <c r="HV1428" s="865"/>
      <c r="HW1428" s="866"/>
    </row>
    <row r="1429" spans="25:231" ht="15" customHeight="1">
      <c r="Y1429" s="332"/>
      <c r="Z1429" s="332"/>
      <c r="AA1429" s="332"/>
      <c r="AB1429" s="332"/>
      <c r="AC1429" s="332"/>
      <c r="AD1429" s="332"/>
      <c r="AE1429" s="332"/>
      <c r="AF1429" s="332"/>
      <c r="AG1429" s="332"/>
      <c r="AH1429" s="332"/>
      <c r="AI1429" s="332"/>
      <c r="AJ1429" s="332"/>
      <c r="AK1429" s="332"/>
      <c r="AL1429" s="332"/>
      <c r="AM1429" s="332"/>
      <c r="AN1429" s="332"/>
      <c r="AO1429" s="332"/>
      <c r="AP1429" s="332"/>
      <c r="AQ1429" s="332"/>
      <c r="AR1429" s="332"/>
      <c r="AS1429" s="332"/>
      <c r="AT1429" s="332"/>
      <c r="AU1429" s="332"/>
      <c r="AV1429" s="332"/>
      <c r="AW1429" s="332"/>
      <c r="AX1429" s="332"/>
      <c r="AY1429" s="332"/>
      <c r="AZ1429" s="332"/>
      <c r="BA1429" s="332"/>
      <c r="BB1429" s="332"/>
      <c r="BC1429" s="332"/>
      <c r="BD1429" s="332"/>
      <c r="BE1429" s="332"/>
      <c r="BF1429" s="332"/>
      <c r="BG1429" s="332"/>
      <c r="BH1429" s="332"/>
      <c r="BI1429" s="332"/>
      <c r="BJ1429" s="332"/>
      <c r="BK1429" s="332"/>
      <c r="BL1429" s="332"/>
      <c r="BM1429" s="332"/>
      <c r="BN1429" s="332"/>
      <c r="BO1429" s="332"/>
      <c r="BP1429" s="332"/>
      <c r="BQ1429" s="332"/>
      <c r="BR1429" s="332"/>
      <c r="BS1429" s="332"/>
      <c r="BT1429" s="332"/>
      <c r="BU1429" s="332"/>
      <c r="BV1429" s="332"/>
      <c r="BW1429" s="332"/>
      <c r="BX1429" s="332"/>
      <c r="BY1429" s="332"/>
      <c r="BZ1429" s="332"/>
      <c r="CA1429" s="332"/>
      <c r="CB1429" s="332"/>
      <c r="CC1429" s="332"/>
      <c r="CD1429" s="332"/>
      <c r="CE1429" s="332"/>
      <c r="CF1429" s="332"/>
      <c r="CG1429" s="332"/>
      <c r="CH1429" s="332"/>
      <c r="CI1429" s="332"/>
      <c r="CJ1429" s="332"/>
      <c r="CK1429" s="332"/>
      <c r="CL1429" s="332"/>
      <c r="CM1429" s="332"/>
      <c r="CN1429" s="332"/>
      <c r="CO1429" s="332"/>
      <c r="CP1429" s="332"/>
      <c r="CQ1429" s="332"/>
      <c r="CR1429" s="332"/>
      <c r="CS1429" s="332"/>
      <c r="CT1429" s="332"/>
      <c r="CU1429" s="332"/>
      <c r="CV1429" s="332"/>
      <c r="CW1429" s="332"/>
      <c r="CX1429" s="332"/>
      <c r="CY1429" s="332"/>
      <c r="CZ1429" s="332"/>
      <c r="DA1429" s="332"/>
      <c r="DB1429" s="332"/>
      <c r="DC1429" s="332"/>
      <c r="DD1429" s="332"/>
      <c r="DE1429" s="332"/>
      <c r="DF1429" s="332"/>
      <c r="DG1429" s="332"/>
      <c r="DH1429" s="332"/>
      <c r="DI1429" s="332"/>
      <c r="DJ1429" s="332"/>
      <c r="DK1429" s="332"/>
      <c r="DL1429" s="332"/>
      <c r="DM1429" s="332"/>
      <c r="DN1429" s="332"/>
      <c r="DO1429" s="332"/>
      <c r="DP1429" s="332"/>
      <c r="DQ1429" s="332"/>
      <c r="DR1429" s="332"/>
      <c r="DS1429" s="332"/>
      <c r="DT1429" s="332"/>
      <c r="DU1429" s="453"/>
      <c r="DV1429" s="453"/>
      <c r="DW1429" s="453"/>
      <c r="DX1429" s="453"/>
      <c r="DY1429" s="453"/>
      <c r="DZ1429" s="453"/>
      <c r="EA1429" s="453"/>
      <c r="EB1429" s="453"/>
      <c r="EC1429" s="453"/>
      <c r="ED1429" s="453"/>
      <c r="EE1429" s="453"/>
      <c r="EF1429" s="453"/>
      <c r="EG1429" s="453"/>
      <c r="EH1429" s="453"/>
      <c r="EI1429" s="453"/>
      <c r="EJ1429" s="453"/>
      <c r="EK1429" s="453"/>
      <c r="EL1429" s="453"/>
      <c r="EM1429" s="483">
        <f t="shared" si="264"/>
        <v>1120</v>
      </c>
      <c r="EN1429" s="485"/>
      <c r="EO1429" s="458"/>
      <c r="EP1429" s="467"/>
      <c r="EQ1429" s="457"/>
      <c r="ER1429" s="808"/>
      <c r="ES1429" s="881">
        <f t="shared" si="265"/>
        <v>0</v>
      </c>
      <c r="ET1429" s="882"/>
      <c r="EU1429" s="883"/>
      <c r="EV1429" s="884">
        <f t="shared" si="266"/>
        <v>0</v>
      </c>
      <c r="EW1429" s="885"/>
      <c r="EX1429" s="885"/>
      <c r="EY1429" s="885"/>
      <c r="EZ1429" s="885"/>
      <c r="FA1429" s="885"/>
      <c r="FB1429" s="885"/>
      <c r="FC1429" s="885"/>
      <c r="FD1429" s="886"/>
      <c r="FE1429" s="877"/>
      <c r="FF1429" s="877"/>
      <c r="FG1429" s="877"/>
      <c r="FH1429" s="877"/>
      <c r="FI1429" s="877"/>
      <c r="FJ1429" s="877"/>
      <c r="FK1429" s="877"/>
      <c r="FL1429" s="874"/>
      <c r="FM1429" s="875"/>
      <c r="FN1429" s="875"/>
      <c r="FO1429" s="875"/>
      <c r="FP1429" s="875"/>
      <c r="FQ1429" s="875"/>
      <c r="FR1429" s="875"/>
      <c r="FS1429" s="875"/>
      <c r="FT1429" s="875"/>
      <c r="FU1429" s="875"/>
      <c r="FV1429" s="875"/>
      <c r="FW1429" s="875"/>
      <c r="FX1429" s="875"/>
      <c r="FY1429" s="875"/>
      <c r="FZ1429" s="875"/>
      <c r="GA1429" s="875"/>
      <c r="GB1429" s="876"/>
      <c r="GC1429" s="370"/>
      <c r="GD1429" s="453"/>
      <c r="GE1429" s="453"/>
      <c r="GF1429" s="453"/>
      <c r="GG1429" s="453"/>
      <c r="GH1429" s="454"/>
      <c r="GI1429" s="453"/>
      <c r="GJ1429" s="453"/>
      <c r="GK1429" s="453"/>
      <c r="GL1429" s="453"/>
      <c r="GM1429" s="453"/>
      <c r="GN1429" s="453"/>
      <c r="GO1429" s="453"/>
      <c r="GP1429" s="453"/>
      <c r="GQ1429" s="453"/>
      <c r="GR1429" s="453"/>
      <c r="GS1429" s="561"/>
      <c r="GT1429" s="475"/>
      <c r="GU1429" s="472"/>
      <c r="GV1429" s="453"/>
      <c r="GW1429" s="453"/>
      <c r="GX1429" s="869"/>
      <c r="GY1429" s="870"/>
      <c r="GZ1429" s="867"/>
      <c r="HA1429" s="868"/>
      <c r="HB1429" s="473"/>
      <c r="HC1429" s="869"/>
      <c r="HD1429" s="870"/>
      <c r="HE1429" s="867"/>
      <c r="HF1429" s="868"/>
      <c r="HG1429" s="473"/>
      <c r="HH1429" s="867"/>
      <c r="HI1429" s="868"/>
      <c r="HJ1429" s="867"/>
      <c r="HK1429" s="868"/>
      <c r="HL1429" s="370"/>
      <c r="HM1429" s="865"/>
      <c r="HN1429" s="866"/>
      <c r="HO1429" s="865"/>
      <c r="HP1429" s="866"/>
      <c r="HQ1429" s="865"/>
      <c r="HR1429" s="866"/>
      <c r="HS1429" s="867"/>
      <c r="HT1429" s="868"/>
      <c r="HU1429" s="489"/>
      <c r="HV1429" s="865"/>
      <c r="HW1429" s="866"/>
    </row>
    <row r="1430" spans="25:231" ht="15" customHeight="1">
      <c r="Y1430" s="332"/>
      <c r="Z1430" s="332"/>
      <c r="AA1430" s="332"/>
      <c r="AB1430" s="332"/>
      <c r="AC1430" s="332"/>
      <c r="AD1430" s="332"/>
      <c r="AE1430" s="332"/>
      <c r="AF1430" s="332"/>
      <c r="AG1430" s="332"/>
      <c r="AH1430" s="332"/>
      <c r="AI1430" s="332"/>
      <c r="AJ1430" s="332"/>
      <c r="AK1430" s="332"/>
      <c r="AL1430" s="332"/>
      <c r="AM1430" s="332"/>
      <c r="AN1430" s="332"/>
      <c r="AO1430" s="332"/>
      <c r="AP1430" s="332"/>
      <c r="AQ1430" s="332"/>
      <c r="AR1430" s="332"/>
      <c r="AS1430" s="332"/>
      <c r="AT1430" s="332"/>
      <c r="AU1430" s="332"/>
      <c r="AV1430" s="332"/>
      <c r="AW1430" s="332"/>
      <c r="AX1430" s="332"/>
      <c r="AY1430" s="332"/>
      <c r="AZ1430" s="332"/>
      <c r="BA1430" s="332"/>
      <c r="BB1430" s="332"/>
      <c r="BC1430" s="332"/>
      <c r="BD1430" s="332"/>
      <c r="BE1430" s="332"/>
      <c r="BF1430" s="332"/>
      <c r="BG1430" s="332"/>
      <c r="BH1430" s="332"/>
      <c r="BI1430" s="332"/>
      <c r="BJ1430" s="332"/>
      <c r="BK1430" s="332"/>
      <c r="BL1430" s="332"/>
      <c r="BM1430" s="332"/>
      <c r="BN1430" s="332"/>
      <c r="BO1430" s="332"/>
      <c r="BP1430" s="332"/>
      <c r="BQ1430" s="332"/>
      <c r="BR1430" s="332"/>
      <c r="BS1430" s="332"/>
      <c r="BT1430" s="332"/>
      <c r="BU1430" s="332"/>
      <c r="BV1430" s="332"/>
      <c r="BW1430" s="332"/>
      <c r="BX1430" s="332"/>
      <c r="BY1430" s="332"/>
      <c r="BZ1430" s="332"/>
      <c r="CA1430" s="332"/>
      <c r="CB1430" s="332"/>
      <c r="CC1430" s="332"/>
      <c r="CD1430" s="332"/>
      <c r="CE1430" s="332"/>
      <c r="CF1430" s="332"/>
      <c r="CG1430" s="332"/>
      <c r="CH1430" s="332"/>
      <c r="CI1430" s="332"/>
      <c r="CJ1430" s="332"/>
      <c r="CK1430" s="332"/>
      <c r="CL1430" s="332"/>
      <c r="CM1430" s="332"/>
      <c r="CN1430" s="332"/>
      <c r="CO1430" s="332"/>
      <c r="CP1430" s="332"/>
      <c r="CQ1430" s="332"/>
      <c r="CR1430" s="332"/>
      <c r="CS1430" s="332"/>
      <c r="CT1430" s="332"/>
      <c r="CU1430" s="332"/>
      <c r="CV1430" s="332"/>
      <c r="CW1430" s="332"/>
      <c r="CX1430" s="332"/>
      <c r="CY1430" s="332"/>
      <c r="CZ1430" s="332"/>
      <c r="DA1430" s="332"/>
      <c r="DB1430" s="332"/>
      <c r="DC1430" s="332"/>
      <c r="DD1430" s="332"/>
      <c r="DE1430" s="332"/>
      <c r="DF1430" s="332"/>
      <c r="DG1430" s="332"/>
      <c r="DH1430" s="332"/>
      <c r="DI1430" s="332"/>
      <c r="DJ1430" s="332"/>
      <c r="DK1430" s="332"/>
      <c r="DL1430" s="332"/>
      <c r="DM1430" s="332"/>
      <c r="DN1430" s="332"/>
      <c r="DO1430" s="332"/>
      <c r="DP1430" s="332"/>
      <c r="DQ1430" s="332"/>
      <c r="DR1430" s="332"/>
      <c r="DS1430" s="332"/>
      <c r="DT1430" s="332"/>
      <c r="DU1430" s="453"/>
      <c r="DV1430" s="453"/>
      <c r="DW1430" s="453"/>
      <c r="DX1430" s="453"/>
      <c r="DY1430" s="453"/>
      <c r="DZ1430" s="453"/>
      <c r="EA1430" s="453"/>
      <c r="EB1430" s="453"/>
      <c r="EC1430" s="453"/>
      <c r="ED1430" s="453"/>
      <c r="EE1430" s="453"/>
      <c r="EF1430" s="453"/>
      <c r="EG1430" s="453"/>
      <c r="EH1430" s="453"/>
      <c r="EI1430" s="453"/>
      <c r="EJ1430" s="453"/>
      <c r="EK1430" s="453"/>
      <c r="EL1430" s="453"/>
      <c r="EM1430" s="483">
        <f t="shared" si="264"/>
        <v>1121</v>
      </c>
      <c r="EN1430" s="485"/>
      <c r="EO1430" s="458"/>
      <c r="EP1430" s="467"/>
      <c r="EQ1430" s="457"/>
      <c r="ER1430" s="808"/>
      <c r="ES1430" s="881">
        <f t="shared" si="265"/>
        <v>0</v>
      </c>
      <c r="ET1430" s="882"/>
      <c r="EU1430" s="883"/>
      <c r="EV1430" s="884">
        <f t="shared" si="266"/>
        <v>0</v>
      </c>
      <c r="EW1430" s="885"/>
      <c r="EX1430" s="885"/>
      <c r="EY1430" s="885"/>
      <c r="EZ1430" s="885"/>
      <c r="FA1430" s="885"/>
      <c r="FB1430" s="885"/>
      <c r="FC1430" s="885"/>
      <c r="FD1430" s="886"/>
      <c r="FE1430" s="877"/>
      <c r="FF1430" s="877"/>
      <c r="FG1430" s="877"/>
      <c r="FH1430" s="877"/>
      <c r="FI1430" s="877"/>
      <c r="FJ1430" s="877"/>
      <c r="FK1430" s="877"/>
      <c r="FL1430" s="874"/>
      <c r="FM1430" s="875"/>
      <c r="FN1430" s="875"/>
      <c r="FO1430" s="875"/>
      <c r="FP1430" s="875"/>
      <c r="FQ1430" s="875"/>
      <c r="FR1430" s="875"/>
      <c r="FS1430" s="875"/>
      <c r="FT1430" s="875"/>
      <c r="FU1430" s="875"/>
      <c r="FV1430" s="875"/>
      <c r="FW1430" s="875"/>
      <c r="FX1430" s="875"/>
      <c r="FY1430" s="875"/>
      <c r="FZ1430" s="875"/>
      <c r="GA1430" s="875"/>
      <c r="GB1430" s="876"/>
      <c r="GC1430" s="370"/>
      <c r="GD1430" s="453"/>
      <c r="GE1430" s="453"/>
      <c r="GF1430" s="453"/>
      <c r="GG1430" s="453"/>
      <c r="GH1430" s="454"/>
      <c r="GI1430" s="453"/>
      <c r="GJ1430" s="453"/>
      <c r="GK1430" s="453"/>
      <c r="GL1430" s="453"/>
      <c r="GM1430" s="453"/>
      <c r="GN1430" s="453"/>
      <c r="GO1430" s="453"/>
      <c r="GP1430" s="453"/>
      <c r="GQ1430" s="453"/>
      <c r="GR1430" s="453"/>
      <c r="GS1430" s="561"/>
      <c r="GT1430" s="475"/>
      <c r="GU1430" s="472"/>
      <c r="GV1430" s="453"/>
      <c r="GW1430" s="453"/>
      <c r="GX1430" s="869"/>
      <c r="GY1430" s="870"/>
      <c r="GZ1430" s="867"/>
      <c r="HA1430" s="868"/>
      <c r="HB1430" s="473"/>
      <c r="HC1430" s="869"/>
      <c r="HD1430" s="870"/>
      <c r="HE1430" s="867"/>
      <c r="HF1430" s="868"/>
      <c r="HG1430" s="473"/>
      <c r="HH1430" s="867"/>
      <c r="HI1430" s="868"/>
      <c r="HJ1430" s="867"/>
      <c r="HK1430" s="868"/>
      <c r="HL1430" s="370"/>
      <c r="HM1430" s="865"/>
      <c r="HN1430" s="866"/>
      <c r="HO1430" s="865"/>
      <c r="HP1430" s="866"/>
      <c r="HQ1430" s="865"/>
      <c r="HR1430" s="866"/>
      <c r="HS1430" s="867"/>
      <c r="HT1430" s="868"/>
      <c r="HU1430" s="489"/>
      <c r="HV1430" s="865"/>
      <c r="HW1430" s="866"/>
    </row>
    <row r="1431" spans="25:231" ht="15" customHeight="1">
      <c r="Y1431" s="332"/>
      <c r="Z1431" s="332"/>
      <c r="AA1431" s="332"/>
      <c r="AB1431" s="332"/>
      <c r="AC1431" s="332"/>
      <c r="AD1431" s="332"/>
      <c r="AE1431" s="332"/>
      <c r="AF1431" s="332"/>
      <c r="AG1431" s="332"/>
      <c r="AH1431" s="332"/>
      <c r="AI1431" s="332"/>
      <c r="AJ1431" s="332"/>
      <c r="AK1431" s="332"/>
      <c r="AL1431" s="332"/>
      <c r="AM1431" s="332"/>
      <c r="AN1431" s="332"/>
      <c r="AO1431" s="332"/>
      <c r="AP1431" s="332"/>
      <c r="AQ1431" s="332"/>
      <c r="AR1431" s="332"/>
      <c r="AS1431" s="332"/>
      <c r="AT1431" s="332"/>
      <c r="AU1431" s="332"/>
      <c r="AV1431" s="332"/>
      <c r="AW1431" s="332"/>
      <c r="AX1431" s="332"/>
      <c r="AY1431" s="332"/>
      <c r="AZ1431" s="332"/>
      <c r="BA1431" s="332"/>
      <c r="BB1431" s="332"/>
      <c r="BC1431" s="332"/>
      <c r="BD1431" s="332"/>
      <c r="BE1431" s="332"/>
      <c r="BF1431" s="332"/>
      <c r="BG1431" s="332"/>
      <c r="BH1431" s="332"/>
      <c r="BI1431" s="332"/>
      <c r="BJ1431" s="332"/>
      <c r="BK1431" s="332"/>
      <c r="BL1431" s="332"/>
      <c r="BM1431" s="332"/>
      <c r="BN1431" s="332"/>
      <c r="BO1431" s="332"/>
      <c r="BP1431" s="332"/>
      <c r="BQ1431" s="332"/>
      <c r="BR1431" s="332"/>
      <c r="BS1431" s="332"/>
      <c r="BT1431" s="332"/>
      <c r="BU1431" s="332"/>
      <c r="BV1431" s="332"/>
      <c r="BW1431" s="332"/>
      <c r="BX1431" s="332"/>
      <c r="BY1431" s="332"/>
      <c r="BZ1431" s="332"/>
      <c r="CA1431" s="332"/>
      <c r="CB1431" s="332"/>
      <c r="CC1431" s="332"/>
      <c r="CD1431" s="332"/>
      <c r="CE1431" s="332"/>
      <c r="CF1431" s="332"/>
      <c r="CG1431" s="332"/>
      <c r="CH1431" s="332"/>
      <c r="CI1431" s="332"/>
      <c r="CJ1431" s="332"/>
      <c r="CK1431" s="332"/>
      <c r="CL1431" s="332"/>
      <c r="CM1431" s="332"/>
      <c r="CN1431" s="332"/>
      <c r="CO1431" s="332"/>
      <c r="CP1431" s="332"/>
      <c r="CQ1431" s="332"/>
      <c r="CR1431" s="332"/>
      <c r="CS1431" s="332"/>
      <c r="CT1431" s="332"/>
      <c r="CU1431" s="332"/>
      <c r="CV1431" s="332"/>
      <c r="CW1431" s="332"/>
      <c r="CX1431" s="332"/>
      <c r="CY1431" s="332"/>
      <c r="CZ1431" s="332"/>
      <c r="DA1431" s="332"/>
      <c r="DB1431" s="332"/>
      <c r="DC1431" s="332"/>
      <c r="DD1431" s="332"/>
      <c r="DE1431" s="332"/>
      <c r="DF1431" s="332"/>
      <c r="DG1431" s="332"/>
      <c r="DH1431" s="332"/>
      <c r="DI1431" s="332"/>
      <c r="DJ1431" s="332"/>
      <c r="DK1431" s="332"/>
      <c r="DL1431" s="332"/>
      <c r="DM1431" s="332"/>
      <c r="DN1431" s="332"/>
      <c r="DO1431" s="332"/>
      <c r="DP1431" s="332"/>
      <c r="DQ1431" s="332"/>
      <c r="DR1431" s="332"/>
      <c r="DS1431" s="332"/>
      <c r="DT1431" s="332"/>
      <c r="DU1431" s="453"/>
      <c r="DV1431" s="453"/>
      <c r="DW1431" s="453"/>
      <c r="DX1431" s="453"/>
      <c r="DY1431" s="453"/>
      <c r="DZ1431" s="453"/>
      <c r="EA1431" s="453"/>
      <c r="EB1431" s="453"/>
      <c r="EC1431" s="453"/>
      <c r="ED1431" s="453"/>
      <c r="EE1431" s="453"/>
      <c r="EF1431" s="453"/>
      <c r="EG1431" s="453"/>
      <c r="EH1431" s="453"/>
      <c r="EI1431" s="453"/>
      <c r="EJ1431" s="453"/>
      <c r="EK1431" s="453"/>
      <c r="EL1431" s="453"/>
      <c r="EM1431" s="483">
        <f t="shared" si="264"/>
        <v>1122</v>
      </c>
      <c r="EN1431" s="485"/>
      <c r="EO1431" s="458"/>
      <c r="EP1431" s="467"/>
      <c r="EQ1431" s="457"/>
      <c r="ER1431" s="808"/>
      <c r="ES1431" s="881">
        <f t="shared" si="265"/>
        <v>0</v>
      </c>
      <c r="ET1431" s="882"/>
      <c r="EU1431" s="883"/>
      <c r="EV1431" s="884">
        <f t="shared" si="266"/>
        <v>0</v>
      </c>
      <c r="EW1431" s="885"/>
      <c r="EX1431" s="885"/>
      <c r="EY1431" s="885"/>
      <c r="EZ1431" s="885"/>
      <c r="FA1431" s="885"/>
      <c r="FB1431" s="885"/>
      <c r="FC1431" s="885"/>
      <c r="FD1431" s="886"/>
      <c r="FE1431" s="877"/>
      <c r="FF1431" s="877"/>
      <c r="FG1431" s="877"/>
      <c r="FH1431" s="877"/>
      <c r="FI1431" s="877"/>
      <c r="FJ1431" s="877"/>
      <c r="FK1431" s="877"/>
      <c r="FL1431" s="874"/>
      <c r="FM1431" s="875"/>
      <c r="FN1431" s="875"/>
      <c r="FO1431" s="875"/>
      <c r="FP1431" s="875"/>
      <c r="FQ1431" s="875"/>
      <c r="FR1431" s="875"/>
      <c r="FS1431" s="875"/>
      <c r="FT1431" s="875"/>
      <c r="FU1431" s="875"/>
      <c r="FV1431" s="875"/>
      <c r="FW1431" s="875"/>
      <c r="FX1431" s="875"/>
      <c r="FY1431" s="875"/>
      <c r="FZ1431" s="875"/>
      <c r="GA1431" s="875"/>
      <c r="GB1431" s="876"/>
      <c r="GC1431" s="370"/>
      <c r="GD1431" s="453"/>
      <c r="GE1431" s="453"/>
      <c r="GF1431" s="453"/>
      <c r="GG1431" s="453"/>
      <c r="GH1431" s="454"/>
      <c r="GI1431" s="453"/>
      <c r="GJ1431" s="453"/>
      <c r="GK1431" s="453"/>
      <c r="GL1431" s="453"/>
      <c r="GM1431" s="453"/>
      <c r="GN1431" s="453"/>
      <c r="GO1431" s="453"/>
      <c r="GP1431" s="453"/>
      <c r="GQ1431" s="453"/>
      <c r="GR1431" s="453"/>
      <c r="GS1431" s="561"/>
      <c r="GT1431" s="475"/>
      <c r="GU1431" s="472"/>
      <c r="GV1431" s="453"/>
      <c r="GW1431" s="453"/>
      <c r="GX1431" s="869"/>
      <c r="GY1431" s="870"/>
      <c r="GZ1431" s="867"/>
      <c r="HA1431" s="868"/>
      <c r="HB1431" s="473"/>
      <c r="HC1431" s="869"/>
      <c r="HD1431" s="870"/>
      <c r="HE1431" s="867"/>
      <c r="HF1431" s="868"/>
      <c r="HG1431" s="473"/>
      <c r="HH1431" s="867"/>
      <c r="HI1431" s="868"/>
      <c r="HJ1431" s="867"/>
      <c r="HK1431" s="868"/>
      <c r="HL1431" s="370"/>
      <c r="HM1431" s="865"/>
      <c r="HN1431" s="866"/>
      <c r="HO1431" s="865"/>
      <c r="HP1431" s="866"/>
      <c r="HQ1431" s="865"/>
      <c r="HR1431" s="866"/>
      <c r="HS1431" s="867"/>
      <c r="HT1431" s="868"/>
      <c r="HU1431" s="489"/>
      <c r="HV1431" s="865"/>
      <c r="HW1431" s="866"/>
    </row>
    <row r="1432" spans="25:231" ht="15" customHeight="1">
      <c r="Y1432" s="332"/>
      <c r="Z1432" s="332"/>
      <c r="AA1432" s="332"/>
      <c r="AB1432" s="332"/>
      <c r="AC1432" s="332"/>
      <c r="AD1432" s="332"/>
      <c r="AE1432" s="332"/>
      <c r="AF1432" s="332"/>
      <c r="AG1432" s="332"/>
      <c r="AH1432" s="332"/>
      <c r="AI1432" s="332"/>
      <c r="AJ1432" s="332"/>
      <c r="AK1432" s="332"/>
      <c r="AL1432" s="332"/>
      <c r="AM1432" s="332"/>
      <c r="AN1432" s="332"/>
      <c r="AO1432" s="332"/>
      <c r="AP1432" s="332"/>
      <c r="AQ1432" s="332"/>
      <c r="AR1432" s="332"/>
      <c r="AS1432" s="332"/>
      <c r="AT1432" s="332"/>
      <c r="AU1432" s="332"/>
      <c r="AV1432" s="332"/>
      <c r="AW1432" s="332"/>
      <c r="AX1432" s="332"/>
      <c r="AY1432" s="332"/>
      <c r="AZ1432" s="332"/>
      <c r="BA1432" s="332"/>
      <c r="BB1432" s="332"/>
      <c r="BC1432" s="332"/>
      <c r="BD1432" s="332"/>
      <c r="BE1432" s="332"/>
      <c r="BF1432" s="332"/>
      <c r="BG1432" s="332"/>
      <c r="BH1432" s="332"/>
      <c r="BI1432" s="332"/>
      <c r="BJ1432" s="332"/>
      <c r="BK1432" s="332"/>
      <c r="BL1432" s="332"/>
      <c r="BM1432" s="332"/>
      <c r="BN1432" s="332"/>
      <c r="BO1432" s="332"/>
      <c r="BP1432" s="332"/>
      <c r="BQ1432" s="332"/>
      <c r="BR1432" s="332"/>
      <c r="BS1432" s="332"/>
      <c r="BT1432" s="332"/>
      <c r="BU1432" s="332"/>
      <c r="BV1432" s="332"/>
      <c r="BW1432" s="332"/>
      <c r="BX1432" s="332"/>
      <c r="BY1432" s="332"/>
      <c r="BZ1432" s="332"/>
      <c r="CA1432" s="332"/>
      <c r="CB1432" s="332"/>
      <c r="CC1432" s="332"/>
      <c r="CD1432" s="332"/>
      <c r="CE1432" s="332"/>
      <c r="CF1432" s="332"/>
      <c r="CG1432" s="332"/>
      <c r="CH1432" s="332"/>
      <c r="CI1432" s="332"/>
      <c r="CJ1432" s="332"/>
      <c r="CK1432" s="332"/>
      <c r="CL1432" s="332"/>
      <c r="CM1432" s="332"/>
      <c r="CN1432" s="332"/>
      <c r="CO1432" s="332"/>
      <c r="CP1432" s="332"/>
      <c r="CQ1432" s="332"/>
      <c r="CR1432" s="332"/>
      <c r="CS1432" s="332"/>
      <c r="CT1432" s="332"/>
      <c r="CU1432" s="332"/>
      <c r="CV1432" s="332"/>
      <c r="CW1432" s="332"/>
      <c r="CX1432" s="332"/>
      <c r="CY1432" s="332"/>
      <c r="CZ1432" s="332"/>
      <c r="DA1432" s="332"/>
      <c r="DB1432" s="332"/>
      <c r="DC1432" s="332"/>
      <c r="DD1432" s="332"/>
      <c r="DE1432" s="332"/>
      <c r="DF1432" s="332"/>
      <c r="DG1432" s="332"/>
      <c r="DH1432" s="332"/>
      <c r="DI1432" s="332"/>
      <c r="DJ1432" s="332"/>
      <c r="DK1432" s="332"/>
      <c r="DL1432" s="332"/>
      <c r="DM1432" s="332"/>
      <c r="DN1432" s="332"/>
      <c r="DO1432" s="332"/>
      <c r="DP1432" s="332"/>
      <c r="DQ1432" s="332"/>
      <c r="DR1432" s="332"/>
      <c r="DS1432" s="332"/>
      <c r="DT1432" s="332"/>
      <c r="DU1432" s="453"/>
      <c r="DV1432" s="453"/>
      <c r="DW1432" s="453"/>
      <c r="DX1432" s="453"/>
      <c r="DY1432" s="453"/>
      <c r="DZ1432" s="453"/>
      <c r="EA1432" s="453"/>
      <c r="EB1432" s="453"/>
      <c r="EC1432" s="453"/>
      <c r="ED1432" s="453"/>
      <c r="EE1432" s="453"/>
      <c r="EF1432" s="453"/>
      <c r="EG1432" s="453"/>
      <c r="EH1432" s="453"/>
      <c r="EI1432" s="453"/>
      <c r="EJ1432" s="453"/>
      <c r="EK1432" s="453"/>
      <c r="EL1432" s="453"/>
      <c r="EM1432" s="483">
        <f t="shared" si="264"/>
        <v>1123</v>
      </c>
      <c r="EN1432" s="485"/>
      <c r="EO1432" s="458"/>
      <c r="EP1432" s="467"/>
      <c r="EQ1432" s="457"/>
      <c r="ER1432" s="808"/>
      <c r="ES1432" s="881">
        <f t="shared" si="265"/>
        <v>0</v>
      </c>
      <c r="ET1432" s="882"/>
      <c r="EU1432" s="883"/>
      <c r="EV1432" s="884">
        <f t="shared" si="266"/>
        <v>0</v>
      </c>
      <c r="EW1432" s="885"/>
      <c r="EX1432" s="885"/>
      <c r="EY1432" s="885"/>
      <c r="EZ1432" s="885"/>
      <c r="FA1432" s="885"/>
      <c r="FB1432" s="885"/>
      <c r="FC1432" s="885"/>
      <c r="FD1432" s="886"/>
      <c r="FE1432" s="877"/>
      <c r="FF1432" s="877"/>
      <c r="FG1432" s="877"/>
      <c r="FH1432" s="877"/>
      <c r="FI1432" s="877"/>
      <c r="FJ1432" s="877"/>
      <c r="FK1432" s="877"/>
      <c r="FL1432" s="874"/>
      <c r="FM1432" s="875"/>
      <c r="FN1432" s="875"/>
      <c r="FO1432" s="875"/>
      <c r="FP1432" s="875"/>
      <c r="FQ1432" s="875"/>
      <c r="FR1432" s="875"/>
      <c r="FS1432" s="875"/>
      <c r="FT1432" s="875"/>
      <c r="FU1432" s="875"/>
      <c r="FV1432" s="875"/>
      <c r="FW1432" s="875"/>
      <c r="FX1432" s="875"/>
      <c r="FY1432" s="875"/>
      <c r="FZ1432" s="875"/>
      <c r="GA1432" s="875"/>
      <c r="GB1432" s="876"/>
      <c r="GC1432" s="370"/>
      <c r="GD1432" s="453"/>
      <c r="GE1432" s="453"/>
      <c r="GF1432" s="453"/>
      <c r="GG1432" s="453"/>
      <c r="GH1432" s="454"/>
      <c r="GI1432" s="453"/>
      <c r="GJ1432" s="453"/>
      <c r="GK1432" s="453"/>
      <c r="GL1432" s="453"/>
      <c r="GM1432" s="453"/>
      <c r="GN1432" s="453"/>
      <c r="GO1432" s="453"/>
      <c r="GP1432" s="453"/>
      <c r="GQ1432" s="453"/>
      <c r="GR1432" s="453"/>
      <c r="GS1432" s="561"/>
      <c r="GT1432" s="475"/>
      <c r="GU1432" s="472"/>
      <c r="GV1432" s="453"/>
      <c r="GW1432" s="453"/>
      <c r="GX1432" s="869"/>
      <c r="GY1432" s="870"/>
      <c r="GZ1432" s="867"/>
      <c r="HA1432" s="868"/>
      <c r="HB1432" s="473"/>
      <c r="HC1432" s="869"/>
      <c r="HD1432" s="870"/>
      <c r="HE1432" s="867"/>
      <c r="HF1432" s="868"/>
      <c r="HG1432" s="473"/>
      <c r="HH1432" s="867"/>
      <c r="HI1432" s="868"/>
      <c r="HJ1432" s="867"/>
      <c r="HK1432" s="868"/>
      <c r="HL1432" s="370"/>
      <c r="HM1432" s="865"/>
      <c r="HN1432" s="866"/>
      <c r="HO1432" s="865"/>
      <c r="HP1432" s="866"/>
      <c r="HQ1432" s="865"/>
      <c r="HR1432" s="866"/>
      <c r="HS1432" s="867"/>
      <c r="HT1432" s="868"/>
      <c r="HU1432" s="489"/>
      <c r="HV1432" s="865"/>
      <c r="HW1432" s="866"/>
    </row>
    <row r="1433" spans="25:231" ht="15" customHeight="1">
      <c r="Y1433" s="332"/>
      <c r="Z1433" s="332"/>
      <c r="AA1433" s="332"/>
      <c r="AB1433" s="332"/>
      <c r="AC1433" s="332"/>
      <c r="AD1433" s="332"/>
      <c r="AE1433" s="332"/>
      <c r="AF1433" s="332"/>
      <c r="AG1433" s="332"/>
      <c r="AH1433" s="332"/>
      <c r="AI1433" s="332"/>
      <c r="AJ1433" s="332"/>
      <c r="AK1433" s="332"/>
      <c r="AL1433" s="332"/>
      <c r="AM1433" s="332"/>
      <c r="AN1433" s="332"/>
      <c r="AO1433" s="332"/>
      <c r="AP1433" s="332"/>
      <c r="AQ1433" s="332"/>
      <c r="AR1433" s="332"/>
      <c r="AS1433" s="332"/>
      <c r="AT1433" s="332"/>
      <c r="AU1433" s="332"/>
      <c r="AV1433" s="332"/>
      <c r="AW1433" s="332"/>
      <c r="AX1433" s="332"/>
      <c r="AY1433" s="332"/>
      <c r="AZ1433" s="332"/>
      <c r="BA1433" s="332"/>
      <c r="BB1433" s="332"/>
      <c r="BC1433" s="332"/>
      <c r="BD1433" s="332"/>
      <c r="BE1433" s="332"/>
      <c r="BF1433" s="332"/>
      <c r="BG1433" s="332"/>
      <c r="BH1433" s="332"/>
      <c r="BI1433" s="332"/>
      <c r="BJ1433" s="332"/>
      <c r="BK1433" s="332"/>
      <c r="BL1433" s="332"/>
      <c r="BM1433" s="332"/>
      <c r="BN1433" s="332"/>
      <c r="BO1433" s="332"/>
      <c r="BP1433" s="332"/>
      <c r="BQ1433" s="332"/>
      <c r="BR1433" s="332"/>
      <c r="BS1433" s="332"/>
      <c r="BT1433" s="332"/>
      <c r="BU1433" s="332"/>
      <c r="BV1433" s="332"/>
      <c r="BW1433" s="332"/>
      <c r="BX1433" s="332"/>
      <c r="BY1433" s="332"/>
      <c r="BZ1433" s="332"/>
      <c r="CA1433" s="332"/>
      <c r="CB1433" s="332"/>
      <c r="CC1433" s="332"/>
      <c r="CD1433" s="332"/>
      <c r="CE1433" s="332"/>
      <c r="CF1433" s="332"/>
      <c r="CG1433" s="332"/>
      <c r="CH1433" s="332"/>
      <c r="CI1433" s="332"/>
      <c r="CJ1433" s="332"/>
      <c r="CK1433" s="332"/>
      <c r="CL1433" s="332"/>
      <c r="CM1433" s="332"/>
      <c r="CN1433" s="332"/>
      <c r="CO1433" s="332"/>
      <c r="CP1433" s="332"/>
      <c r="CQ1433" s="332"/>
      <c r="CR1433" s="332"/>
      <c r="CS1433" s="332"/>
      <c r="CT1433" s="332"/>
      <c r="CU1433" s="332"/>
      <c r="CV1433" s="332"/>
      <c r="CW1433" s="332"/>
      <c r="CX1433" s="332"/>
      <c r="CY1433" s="332"/>
      <c r="CZ1433" s="332"/>
      <c r="DA1433" s="332"/>
      <c r="DB1433" s="332"/>
      <c r="DC1433" s="332"/>
      <c r="DD1433" s="332"/>
      <c r="DE1433" s="332"/>
      <c r="DF1433" s="332"/>
      <c r="DG1433" s="332"/>
      <c r="DH1433" s="332"/>
      <c r="DI1433" s="332"/>
      <c r="DJ1433" s="332"/>
      <c r="DK1433" s="332"/>
      <c r="DL1433" s="332"/>
      <c r="DM1433" s="332"/>
      <c r="DN1433" s="332"/>
      <c r="DO1433" s="332"/>
      <c r="DP1433" s="332"/>
      <c r="DQ1433" s="332"/>
      <c r="DR1433" s="332"/>
      <c r="DS1433" s="332"/>
      <c r="DT1433" s="332"/>
      <c r="DU1433" s="453"/>
      <c r="DV1433" s="453"/>
      <c r="DW1433" s="453"/>
      <c r="DX1433" s="453"/>
      <c r="DY1433" s="453"/>
      <c r="DZ1433" s="453"/>
      <c r="EA1433" s="453"/>
      <c r="EB1433" s="453"/>
      <c r="EC1433" s="453"/>
      <c r="ED1433" s="453"/>
      <c r="EE1433" s="453"/>
      <c r="EF1433" s="453"/>
      <c r="EG1433" s="453"/>
      <c r="EH1433" s="453"/>
      <c r="EI1433" s="453"/>
      <c r="EJ1433" s="453"/>
      <c r="EK1433" s="453"/>
      <c r="EL1433" s="453"/>
      <c r="EM1433" s="483">
        <f t="shared" si="264"/>
        <v>1124</v>
      </c>
      <c r="EN1433" s="485"/>
      <c r="EO1433" s="458"/>
      <c r="EP1433" s="467"/>
      <c r="EQ1433" s="457"/>
      <c r="ER1433" s="808"/>
      <c r="ES1433" s="881">
        <f t="shared" si="265"/>
        <v>0</v>
      </c>
      <c r="ET1433" s="882"/>
      <c r="EU1433" s="883"/>
      <c r="EV1433" s="884">
        <f t="shared" si="266"/>
        <v>0</v>
      </c>
      <c r="EW1433" s="885"/>
      <c r="EX1433" s="885"/>
      <c r="EY1433" s="885"/>
      <c r="EZ1433" s="885"/>
      <c r="FA1433" s="885"/>
      <c r="FB1433" s="885"/>
      <c r="FC1433" s="885"/>
      <c r="FD1433" s="886"/>
      <c r="FE1433" s="877"/>
      <c r="FF1433" s="877"/>
      <c r="FG1433" s="877"/>
      <c r="FH1433" s="877"/>
      <c r="FI1433" s="877"/>
      <c r="FJ1433" s="877"/>
      <c r="FK1433" s="877"/>
      <c r="FL1433" s="874"/>
      <c r="FM1433" s="875"/>
      <c r="FN1433" s="875"/>
      <c r="FO1433" s="875"/>
      <c r="FP1433" s="875"/>
      <c r="FQ1433" s="875"/>
      <c r="FR1433" s="875"/>
      <c r="FS1433" s="875"/>
      <c r="FT1433" s="875"/>
      <c r="FU1433" s="875"/>
      <c r="FV1433" s="875"/>
      <c r="FW1433" s="875"/>
      <c r="FX1433" s="875"/>
      <c r="FY1433" s="875"/>
      <c r="FZ1433" s="875"/>
      <c r="GA1433" s="875"/>
      <c r="GB1433" s="876"/>
      <c r="GC1433" s="370"/>
      <c r="GD1433" s="453"/>
      <c r="GE1433" s="453"/>
      <c r="GF1433" s="453"/>
      <c r="GG1433" s="453"/>
      <c r="GH1433" s="454"/>
      <c r="GI1433" s="453"/>
      <c r="GJ1433" s="453"/>
      <c r="GK1433" s="453"/>
      <c r="GL1433" s="453"/>
      <c r="GM1433" s="453"/>
      <c r="GN1433" s="453"/>
      <c r="GO1433" s="453"/>
      <c r="GP1433" s="453"/>
      <c r="GQ1433" s="453"/>
      <c r="GR1433" s="453"/>
      <c r="GS1433" s="561"/>
      <c r="GT1433" s="475"/>
      <c r="GU1433" s="472"/>
      <c r="GV1433" s="453"/>
      <c r="GW1433" s="453"/>
      <c r="GX1433" s="869"/>
      <c r="GY1433" s="870"/>
      <c r="GZ1433" s="867"/>
      <c r="HA1433" s="868"/>
      <c r="HB1433" s="473"/>
      <c r="HC1433" s="869"/>
      <c r="HD1433" s="870"/>
      <c r="HE1433" s="867"/>
      <c r="HF1433" s="868"/>
      <c r="HG1433" s="473"/>
      <c r="HH1433" s="867"/>
      <c r="HI1433" s="868"/>
      <c r="HJ1433" s="867"/>
      <c r="HK1433" s="868"/>
      <c r="HL1433" s="370"/>
      <c r="HM1433" s="865"/>
      <c r="HN1433" s="866"/>
      <c r="HO1433" s="865"/>
      <c r="HP1433" s="866"/>
      <c r="HQ1433" s="865"/>
      <c r="HR1433" s="866"/>
      <c r="HS1433" s="867"/>
      <c r="HT1433" s="868"/>
      <c r="HU1433" s="489"/>
      <c r="HV1433" s="865"/>
      <c r="HW1433" s="866"/>
    </row>
    <row r="1434" spans="25:231" ht="15" customHeight="1">
      <c r="Y1434" s="332"/>
      <c r="Z1434" s="332"/>
      <c r="AA1434" s="332"/>
      <c r="AB1434" s="332"/>
      <c r="AC1434" s="332"/>
      <c r="AD1434" s="332"/>
      <c r="AE1434" s="332"/>
      <c r="AF1434" s="332"/>
      <c r="AG1434" s="332"/>
      <c r="AH1434" s="332"/>
      <c r="AI1434" s="332"/>
      <c r="AJ1434" s="332"/>
      <c r="AK1434" s="332"/>
      <c r="AL1434" s="332"/>
      <c r="AM1434" s="332"/>
      <c r="AN1434" s="332"/>
      <c r="AO1434" s="332"/>
      <c r="AP1434" s="332"/>
      <c r="AQ1434" s="332"/>
      <c r="AR1434" s="332"/>
      <c r="AS1434" s="332"/>
      <c r="AT1434" s="332"/>
      <c r="AU1434" s="332"/>
      <c r="AV1434" s="332"/>
      <c r="AW1434" s="332"/>
      <c r="AX1434" s="332"/>
      <c r="AY1434" s="332"/>
      <c r="AZ1434" s="332"/>
      <c r="BA1434" s="332"/>
      <c r="BB1434" s="332"/>
      <c r="BC1434" s="332"/>
      <c r="BD1434" s="332"/>
      <c r="BE1434" s="332"/>
      <c r="BF1434" s="332"/>
      <c r="BG1434" s="332"/>
      <c r="BH1434" s="332"/>
      <c r="BI1434" s="332"/>
      <c r="BJ1434" s="332"/>
      <c r="BK1434" s="332"/>
      <c r="BL1434" s="332"/>
      <c r="BM1434" s="332"/>
      <c r="BN1434" s="332"/>
      <c r="BO1434" s="332"/>
      <c r="BP1434" s="332"/>
      <c r="BQ1434" s="332"/>
      <c r="BR1434" s="332"/>
      <c r="BS1434" s="332"/>
      <c r="BT1434" s="332"/>
      <c r="BU1434" s="332"/>
      <c r="BV1434" s="332"/>
      <c r="BW1434" s="332"/>
      <c r="BX1434" s="332"/>
      <c r="BY1434" s="332"/>
      <c r="BZ1434" s="332"/>
      <c r="CA1434" s="332"/>
      <c r="CB1434" s="332"/>
      <c r="CC1434" s="332"/>
      <c r="CD1434" s="332"/>
      <c r="CE1434" s="332"/>
      <c r="CF1434" s="332"/>
      <c r="CG1434" s="332"/>
      <c r="CH1434" s="332"/>
      <c r="CI1434" s="332"/>
      <c r="CJ1434" s="332"/>
      <c r="CK1434" s="332"/>
      <c r="CL1434" s="332"/>
      <c r="CM1434" s="332"/>
      <c r="CN1434" s="332"/>
      <c r="CO1434" s="332"/>
      <c r="CP1434" s="332"/>
      <c r="CQ1434" s="332"/>
      <c r="CR1434" s="332"/>
      <c r="CS1434" s="332"/>
      <c r="CT1434" s="332"/>
      <c r="CU1434" s="332"/>
      <c r="CV1434" s="332"/>
      <c r="CW1434" s="332"/>
      <c r="CX1434" s="332"/>
      <c r="CY1434" s="332"/>
      <c r="CZ1434" s="332"/>
      <c r="DA1434" s="332"/>
      <c r="DB1434" s="332"/>
      <c r="DC1434" s="332"/>
      <c r="DD1434" s="332"/>
      <c r="DE1434" s="332"/>
      <c r="DF1434" s="332"/>
      <c r="DG1434" s="332"/>
      <c r="DH1434" s="332"/>
      <c r="DI1434" s="332"/>
      <c r="DJ1434" s="332"/>
      <c r="DK1434" s="332"/>
      <c r="DL1434" s="332"/>
      <c r="DM1434" s="332"/>
      <c r="DN1434" s="332"/>
      <c r="DO1434" s="332"/>
      <c r="DP1434" s="332"/>
      <c r="DQ1434" s="332"/>
      <c r="DR1434" s="332"/>
      <c r="DS1434" s="332"/>
      <c r="DT1434" s="332"/>
      <c r="DU1434" s="453"/>
      <c r="DV1434" s="453"/>
      <c r="DW1434" s="453"/>
      <c r="DX1434" s="453"/>
      <c r="DY1434" s="453"/>
      <c r="DZ1434" s="453"/>
      <c r="EA1434" s="453"/>
      <c r="EB1434" s="453"/>
      <c r="EC1434" s="453"/>
      <c r="ED1434" s="453"/>
      <c r="EE1434" s="453"/>
      <c r="EF1434" s="453"/>
      <c r="EG1434" s="453"/>
      <c r="EH1434" s="453"/>
      <c r="EI1434" s="453"/>
      <c r="EJ1434" s="453"/>
      <c r="EK1434" s="453"/>
      <c r="EL1434" s="453"/>
      <c r="EM1434" s="483">
        <f t="shared" si="264"/>
        <v>1125</v>
      </c>
      <c r="EN1434" s="485"/>
      <c r="EO1434" s="458"/>
      <c r="EP1434" s="467"/>
      <c r="EQ1434" s="457"/>
      <c r="ER1434" s="808"/>
      <c r="ES1434" s="881">
        <f t="shared" si="265"/>
        <v>0</v>
      </c>
      <c r="ET1434" s="882"/>
      <c r="EU1434" s="883"/>
      <c r="EV1434" s="884">
        <f t="shared" si="266"/>
        <v>0</v>
      </c>
      <c r="EW1434" s="885"/>
      <c r="EX1434" s="885"/>
      <c r="EY1434" s="885"/>
      <c r="EZ1434" s="885"/>
      <c r="FA1434" s="885"/>
      <c r="FB1434" s="885"/>
      <c r="FC1434" s="885"/>
      <c r="FD1434" s="886"/>
      <c r="FE1434" s="877"/>
      <c r="FF1434" s="877"/>
      <c r="FG1434" s="877"/>
      <c r="FH1434" s="877"/>
      <c r="FI1434" s="877"/>
      <c r="FJ1434" s="877"/>
      <c r="FK1434" s="877"/>
      <c r="FL1434" s="874"/>
      <c r="FM1434" s="875"/>
      <c r="FN1434" s="875"/>
      <c r="FO1434" s="875"/>
      <c r="FP1434" s="875"/>
      <c r="FQ1434" s="875"/>
      <c r="FR1434" s="875"/>
      <c r="FS1434" s="875"/>
      <c r="FT1434" s="875"/>
      <c r="FU1434" s="875"/>
      <c r="FV1434" s="875"/>
      <c r="FW1434" s="875"/>
      <c r="FX1434" s="875"/>
      <c r="FY1434" s="875"/>
      <c r="FZ1434" s="875"/>
      <c r="GA1434" s="875"/>
      <c r="GB1434" s="876"/>
      <c r="GC1434" s="370"/>
      <c r="GD1434" s="453"/>
      <c r="GE1434" s="453"/>
      <c r="GF1434" s="453"/>
      <c r="GG1434" s="453"/>
      <c r="GH1434" s="454"/>
      <c r="GI1434" s="453"/>
      <c r="GJ1434" s="453"/>
      <c r="GK1434" s="453"/>
      <c r="GL1434" s="453"/>
      <c r="GM1434" s="453"/>
      <c r="GN1434" s="453"/>
      <c r="GO1434" s="453"/>
      <c r="GP1434" s="453"/>
      <c r="GQ1434" s="453"/>
      <c r="GR1434" s="453"/>
      <c r="GS1434" s="561"/>
      <c r="GT1434" s="475"/>
      <c r="GU1434" s="472"/>
      <c r="GV1434" s="453"/>
      <c r="GW1434" s="453"/>
      <c r="GX1434" s="869"/>
      <c r="GY1434" s="870"/>
      <c r="GZ1434" s="867"/>
      <c r="HA1434" s="868"/>
      <c r="HB1434" s="473"/>
      <c r="HC1434" s="869"/>
      <c r="HD1434" s="870"/>
      <c r="HE1434" s="867"/>
      <c r="HF1434" s="868"/>
      <c r="HG1434" s="473"/>
      <c r="HH1434" s="867"/>
      <c r="HI1434" s="868"/>
      <c r="HJ1434" s="867"/>
      <c r="HK1434" s="868"/>
      <c r="HL1434" s="370"/>
      <c r="HM1434" s="865"/>
      <c r="HN1434" s="866"/>
      <c r="HO1434" s="865"/>
      <c r="HP1434" s="866"/>
      <c r="HQ1434" s="865"/>
      <c r="HR1434" s="866"/>
      <c r="HS1434" s="867"/>
      <c r="HT1434" s="868"/>
      <c r="HU1434" s="489"/>
      <c r="HV1434" s="865"/>
      <c r="HW1434" s="866"/>
    </row>
    <row r="1435" spans="25:231" ht="15" customHeight="1">
      <c r="Y1435" s="332"/>
      <c r="Z1435" s="332"/>
      <c r="AA1435" s="332"/>
      <c r="AB1435" s="332"/>
      <c r="AC1435" s="332"/>
      <c r="AD1435" s="332"/>
      <c r="AE1435" s="332"/>
      <c r="AF1435" s="332"/>
      <c r="AG1435" s="332"/>
      <c r="AH1435" s="332"/>
      <c r="AI1435" s="332"/>
      <c r="AJ1435" s="332"/>
      <c r="AK1435" s="332"/>
      <c r="AL1435" s="332"/>
      <c r="AM1435" s="332"/>
      <c r="AN1435" s="332"/>
      <c r="AO1435" s="332"/>
      <c r="AP1435" s="332"/>
      <c r="AQ1435" s="332"/>
      <c r="AR1435" s="332"/>
      <c r="AS1435" s="332"/>
      <c r="AT1435" s="332"/>
      <c r="AU1435" s="332"/>
      <c r="AV1435" s="332"/>
      <c r="AW1435" s="332"/>
      <c r="AX1435" s="332"/>
      <c r="AY1435" s="332"/>
      <c r="AZ1435" s="332"/>
      <c r="BA1435" s="332"/>
      <c r="BB1435" s="332"/>
      <c r="BC1435" s="332"/>
      <c r="BD1435" s="332"/>
      <c r="BE1435" s="332"/>
      <c r="BF1435" s="332"/>
      <c r="BG1435" s="332"/>
      <c r="BH1435" s="332"/>
      <c r="BI1435" s="332"/>
      <c r="BJ1435" s="332"/>
      <c r="BK1435" s="332"/>
      <c r="BL1435" s="332"/>
      <c r="BM1435" s="332"/>
      <c r="BN1435" s="332"/>
      <c r="BO1435" s="332"/>
      <c r="BP1435" s="332"/>
      <c r="BQ1435" s="332"/>
      <c r="BR1435" s="332"/>
      <c r="BS1435" s="332"/>
      <c r="BT1435" s="332"/>
      <c r="BU1435" s="332"/>
      <c r="BV1435" s="332"/>
      <c r="BW1435" s="332"/>
      <c r="BX1435" s="332"/>
      <c r="BY1435" s="332"/>
      <c r="BZ1435" s="332"/>
      <c r="CA1435" s="332"/>
      <c r="CB1435" s="332"/>
      <c r="CC1435" s="332"/>
      <c r="CD1435" s="332"/>
      <c r="CE1435" s="332"/>
      <c r="CF1435" s="332"/>
      <c r="CG1435" s="332"/>
      <c r="CH1435" s="332"/>
      <c r="CI1435" s="332"/>
      <c r="CJ1435" s="332"/>
      <c r="CK1435" s="332"/>
      <c r="CL1435" s="332"/>
      <c r="CM1435" s="332"/>
      <c r="CN1435" s="332"/>
      <c r="CO1435" s="332"/>
      <c r="CP1435" s="332"/>
      <c r="CQ1435" s="332"/>
      <c r="CR1435" s="332"/>
      <c r="CS1435" s="332"/>
      <c r="CT1435" s="332"/>
      <c r="CU1435" s="332"/>
      <c r="CV1435" s="332"/>
      <c r="CW1435" s="332"/>
      <c r="CX1435" s="332"/>
      <c r="CY1435" s="332"/>
      <c r="CZ1435" s="332"/>
      <c r="DA1435" s="332"/>
      <c r="DB1435" s="332"/>
      <c r="DC1435" s="332"/>
      <c r="DD1435" s="332"/>
      <c r="DE1435" s="332"/>
      <c r="DF1435" s="332"/>
      <c r="DG1435" s="332"/>
      <c r="DH1435" s="332"/>
      <c r="DI1435" s="332"/>
      <c r="DJ1435" s="332"/>
      <c r="DK1435" s="332"/>
      <c r="DL1435" s="332"/>
      <c r="DM1435" s="332"/>
      <c r="DN1435" s="332"/>
      <c r="DO1435" s="332"/>
      <c r="DP1435" s="332"/>
      <c r="DQ1435" s="332"/>
      <c r="DR1435" s="332"/>
      <c r="DS1435" s="332"/>
      <c r="DT1435" s="332"/>
      <c r="DU1435" s="453"/>
      <c r="DV1435" s="453"/>
      <c r="DW1435" s="453"/>
      <c r="DX1435" s="453"/>
      <c r="DY1435" s="453"/>
      <c r="DZ1435" s="453"/>
      <c r="EA1435" s="453"/>
      <c r="EB1435" s="453"/>
      <c r="EC1435" s="453"/>
      <c r="ED1435" s="453"/>
      <c r="EE1435" s="453"/>
      <c r="EF1435" s="453"/>
      <c r="EG1435" s="453"/>
      <c r="EH1435" s="453"/>
      <c r="EI1435" s="453"/>
      <c r="EJ1435" s="453"/>
      <c r="EK1435" s="453"/>
      <c r="EL1435" s="453"/>
      <c r="EM1435" s="483">
        <f t="shared" si="264"/>
        <v>1126</v>
      </c>
      <c r="EN1435" s="485"/>
      <c r="EO1435" s="458"/>
      <c r="EP1435" s="467"/>
      <c r="EQ1435" s="457"/>
      <c r="ER1435" s="808"/>
      <c r="ES1435" s="881">
        <f t="shared" si="265"/>
        <v>0</v>
      </c>
      <c r="ET1435" s="882"/>
      <c r="EU1435" s="883"/>
      <c r="EV1435" s="884">
        <f t="shared" si="266"/>
        <v>0</v>
      </c>
      <c r="EW1435" s="885"/>
      <c r="EX1435" s="885"/>
      <c r="EY1435" s="885"/>
      <c r="EZ1435" s="885"/>
      <c r="FA1435" s="885"/>
      <c r="FB1435" s="885"/>
      <c r="FC1435" s="885"/>
      <c r="FD1435" s="886"/>
      <c r="FE1435" s="877"/>
      <c r="FF1435" s="877"/>
      <c r="FG1435" s="877"/>
      <c r="FH1435" s="877"/>
      <c r="FI1435" s="877"/>
      <c r="FJ1435" s="877"/>
      <c r="FK1435" s="877"/>
      <c r="FL1435" s="874"/>
      <c r="FM1435" s="875"/>
      <c r="FN1435" s="875"/>
      <c r="FO1435" s="875"/>
      <c r="FP1435" s="875"/>
      <c r="FQ1435" s="875"/>
      <c r="FR1435" s="875"/>
      <c r="FS1435" s="875"/>
      <c r="FT1435" s="875"/>
      <c r="FU1435" s="875"/>
      <c r="FV1435" s="875"/>
      <c r="FW1435" s="875"/>
      <c r="FX1435" s="875"/>
      <c r="FY1435" s="875"/>
      <c r="FZ1435" s="875"/>
      <c r="GA1435" s="875"/>
      <c r="GB1435" s="876"/>
      <c r="GC1435" s="370"/>
      <c r="GD1435" s="453"/>
      <c r="GE1435" s="453"/>
      <c r="GF1435" s="453"/>
      <c r="GG1435" s="453"/>
      <c r="GH1435" s="454"/>
      <c r="GI1435" s="453"/>
      <c r="GJ1435" s="453"/>
      <c r="GK1435" s="453"/>
      <c r="GL1435" s="453"/>
      <c r="GM1435" s="453"/>
      <c r="GN1435" s="453"/>
      <c r="GO1435" s="453"/>
      <c r="GP1435" s="453"/>
      <c r="GQ1435" s="453"/>
      <c r="GR1435" s="453"/>
      <c r="GS1435" s="561"/>
      <c r="GT1435" s="475"/>
      <c r="GU1435" s="472"/>
      <c r="GV1435" s="453"/>
      <c r="GW1435" s="453"/>
      <c r="GX1435" s="869"/>
      <c r="GY1435" s="870"/>
      <c r="GZ1435" s="867"/>
      <c r="HA1435" s="868"/>
      <c r="HB1435" s="473"/>
      <c r="HC1435" s="869"/>
      <c r="HD1435" s="870"/>
      <c r="HE1435" s="867"/>
      <c r="HF1435" s="868"/>
      <c r="HG1435" s="473"/>
      <c r="HH1435" s="867"/>
      <c r="HI1435" s="868"/>
      <c r="HJ1435" s="867"/>
      <c r="HK1435" s="868"/>
      <c r="HL1435" s="370"/>
      <c r="HM1435" s="865"/>
      <c r="HN1435" s="866"/>
      <c r="HO1435" s="865"/>
      <c r="HP1435" s="866"/>
      <c r="HQ1435" s="865"/>
      <c r="HR1435" s="866"/>
      <c r="HS1435" s="867"/>
      <c r="HT1435" s="868"/>
      <c r="HU1435" s="489"/>
      <c r="HV1435" s="865"/>
      <c r="HW1435" s="866"/>
    </row>
    <row r="1436" spans="25:231" ht="15" customHeight="1">
      <c r="Y1436" s="332"/>
      <c r="Z1436" s="332"/>
      <c r="AA1436" s="332"/>
      <c r="AB1436" s="332"/>
      <c r="AC1436" s="332"/>
      <c r="AD1436" s="332"/>
      <c r="AE1436" s="332"/>
      <c r="AF1436" s="332"/>
      <c r="AG1436" s="332"/>
      <c r="AH1436" s="332"/>
      <c r="AI1436" s="332"/>
      <c r="AJ1436" s="332"/>
      <c r="AK1436" s="332"/>
      <c r="AL1436" s="332"/>
      <c r="AM1436" s="332"/>
      <c r="AN1436" s="332"/>
      <c r="AO1436" s="332"/>
      <c r="AP1436" s="332"/>
      <c r="AQ1436" s="332"/>
      <c r="AR1436" s="332"/>
      <c r="AS1436" s="332"/>
      <c r="AT1436" s="332"/>
      <c r="AU1436" s="332"/>
      <c r="AV1436" s="332"/>
      <c r="AW1436" s="332"/>
      <c r="AX1436" s="332"/>
      <c r="AY1436" s="332"/>
      <c r="AZ1436" s="332"/>
      <c r="BA1436" s="332"/>
      <c r="BB1436" s="332"/>
      <c r="BC1436" s="332"/>
      <c r="BD1436" s="332"/>
      <c r="BE1436" s="332"/>
      <c r="BF1436" s="332"/>
      <c r="BG1436" s="332"/>
      <c r="BH1436" s="332"/>
      <c r="BI1436" s="332"/>
      <c r="BJ1436" s="332"/>
      <c r="BK1436" s="332"/>
      <c r="BL1436" s="332"/>
      <c r="BM1436" s="332"/>
      <c r="BN1436" s="332"/>
      <c r="BO1436" s="332"/>
      <c r="BP1436" s="332"/>
      <c r="BQ1436" s="332"/>
      <c r="BR1436" s="332"/>
      <c r="BS1436" s="332"/>
      <c r="BT1436" s="332"/>
      <c r="BU1436" s="332"/>
      <c r="BV1436" s="332"/>
      <c r="BW1436" s="332"/>
      <c r="BX1436" s="332"/>
      <c r="BY1436" s="332"/>
      <c r="BZ1436" s="332"/>
      <c r="CA1436" s="332"/>
      <c r="CB1436" s="332"/>
      <c r="CC1436" s="332"/>
      <c r="CD1436" s="332"/>
      <c r="CE1436" s="332"/>
      <c r="CF1436" s="332"/>
      <c r="CG1436" s="332"/>
      <c r="CH1436" s="332"/>
      <c r="CI1436" s="332"/>
      <c r="CJ1436" s="332"/>
      <c r="CK1436" s="332"/>
      <c r="CL1436" s="332"/>
      <c r="CM1436" s="332"/>
      <c r="CN1436" s="332"/>
      <c r="CO1436" s="332"/>
      <c r="CP1436" s="332"/>
      <c r="CQ1436" s="332"/>
      <c r="CR1436" s="332"/>
      <c r="CS1436" s="332"/>
      <c r="CT1436" s="332"/>
      <c r="CU1436" s="332"/>
      <c r="CV1436" s="332"/>
      <c r="CW1436" s="332"/>
      <c r="CX1436" s="332"/>
      <c r="CY1436" s="332"/>
      <c r="CZ1436" s="332"/>
      <c r="DA1436" s="332"/>
      <c r="DB1436" s="332"/>
      <c r="DC1436" s="332"/>
      <c r="DD1436" s="332"/>
      <c r="DE1436" s="332"/>
      <c r="DF1436" s="332"/>
      <c r="DG1436" s="332"/>
      <c r="DH1436" s="332"/>
      <c r="DI1436" s="332"/>
      <c r="DJ1436" s="332"/>
      <c r="DK1436" s="332"/>
      <c r="DL1436" s="332"/>
      <c r="DM1436" s="332"/>
      <c r="DN1436" s="332"/>
      <c r="DO1436" s="332"/>
      <c r="DP1436" s="332"/>
      <c r="DQ1436" s="332"/>
      <c r="DR1436" s="332"/>
      <c r="DS1436" s="332"/>
      <c r="DT1436" s="332"/>
      <c r="DU1436" s="453"/>
      <c r="DV1436" s="453"/>
      <c r="DW1436" s="453"/>
      <c r="DX1436" s="453"/>
      <c r="DY1436" s="453"/>
      <c r="DZ1436" s="453"/>
      <c r="EA1436" s="453"/>
      <c r="EB1436" s="453"/>
      <c r="EC1436" s="453"/>
      <c r="ED1436" s="453"/>
      <c r="EE1436" s="453"/>
      <c r="EF1436" s="453"/>
      <c r="EG1436" s="453"/>
      <c r="EH1436" s="453"/>
      <c r="EI1436" s="453"/>
      <c r="EJ1436" s="453"/>
      <c r="EK1436" s="453"/>
      <c r="EL1436" s="453"/>
      <c r="EM1436" s="483">
        <f t="shared" si="264"/>
        <v>1127</v>
      </c>
      <c r="EN1436" s="485"/>
      <c r="EO1436" s="458"/>
      <c r="EP1436" s="467"/>
      <c r="EQ1436" s="457"/>
      <c r="ER1436" s="808"/>
      <c r="ES1436" s="881">
        <f t="shared" si="265"/>
        <v>0</v>
      </c>
      <c r="ET1436" s="882"/>
      <c r="EU1436" s="883"/>
      <c r="EV1436" s="884">
        <f t="shared" si="266"/>
        <v>0</v>
      </c>
      <c r="EW1436" s="885"/>
      <c r="EX1436" s="885"/>
      <c r="EY1436" s="885"/>
      <c r="EZ1436" s="885"/>
      <c r="FA1436" s="885"/>
      <c r="FB1436" s="885"/>
      <c r="FC1436" s="885"/>
      <c r="FD1436" s="886"/>
      <c r="FE1436" s="877"/>
      <c r="FF1436" s="877"/>
      <c r="FG1436" s="877"/>
      <c r="FH1436" s="877"/>
      <c r="FI1436" s="877"/>
      <c r="FJ1436" s="877"/>
      <c r="FK1436" s="877"/>
      <c r="FL1436" s="874"/>
      <c r="FM1436" s="875"/>
      <c r="FN1436" s="875"/>
      <c r="FO1436" s="875"/>
      <c r="FP1436" s="875"/>
      <c r="FQ1436" s="875"/>
      <c r="FR1436" s="875"/>
      <c r="FS1436" s="875"/>
      <c r="FT1436" s="875"/>
      <c r="FU1436" s="875"/>
      <c r="FV1436" s="875"/>
      <c r="FW1436" s="875"/>
      <c r="FX1436" s="875"/>
      <c r="FY1436" s="875"/>
      <c r="FZ1436" s="875"/>
      <c r="GA1436" s="875"/>
      <c r="GB1436" s="876"/>
      <c r="GC1436" s="370"/>
      <c r="GD1436" s="453"/>
      <c r="GE1436" s="453"/>
      <c r="GF1436" s="453"/>
      <c r="GG1436" s="453"/>
      <c r="GH1436" s="454"/>
      <c r="GI1436" s="453"/>
      <c r="GJ1436" s="453"/>
      <c r="GK1436" s="453"/>
      <c r="GL1436" s="453"/>
      <c r="GM1436" s="453"/>
      <c r="GN1436" s="453"/>
      <c r="GO1436" s="453"/>
      <c r="GP1436" s="453"/>
      <c r="GQ1436" s="453"/>
      <c r="GR1436" s="453"/>
      <c r="GS1436" s="561"/>
      <c r="GT1436" s="475"/>
      <c r="GU1436" s="472"/>
      <c r="GV1436" s="453"/>
      <c r="GW1436" s="453"/>
      <c r="GX1436" s="869"/>
      <c r="GY1436" s="870"/>
      <c r="GZ1436" s="867"/>
      <c r="HA1436" s="868"/>
      <c r="HB1436" s="473"/>
      <c r="HC1436" s="869"/>
      <c r="HD1436" s="870"/>
      <c r="HE1436" s="867"/>
      <c r="HF1436" s="868"/>
      <c r="HG1436" s="473"/>
      <c r="HH1436" s="867"/>
      <c r="HI1436" s="868"/>
      <c r="HJ1436" s="867"/>
      <c r="HK1436" s="868"/>
      <c r="HL1436" s="370"/>
      <c r="HM1436" s="865"/>
      <c r="HN1436" s="866"/>
      <c r="HO1436" s="865"/>
      <c r="HP1436" s="866"/>
      <c r="HQ1436" s="865"/>
      <c r="HR1436" s="866"/>
      <c r="HS1436" s="867"/>
      <c r="HT1436" s="868"/>
      <c r="HU1436" s="489"/>
      <c r="HV1436" s="865"/>
      <c r="HW1436" s="866"/>
    </row>
    <row r="1437" spans="25:231" ht="15" customHeight="1">
      <c r="Y1437" s="332"/>
      <c r="Z1437" s="332"/>
      <c r="AA1437" s="332"/>
      <c r="AB1437" s="332"/>
      <c r="AC1437" s="332"/>
      <c r="AD1437" s="332"/>
      <c r="AE1437" s="332"/>
      <c r="AF1437" s="332"/>
      <c r="AG1437" s="332"/>
      <c r="AH1437" s="332"/>
      <c r="AI1437" s="332"/>
      <c r="AJ1437" s="332"/>
      <c r="AK1437" s="332"/>
      <c r="AL1437" s="332"/>
      <c r="AM1437" s="332"/>
      <c r="AN1437" s="332"/>
      <c r="AO1437" s="332"/>
      <c r="AP1437" s="332"/>
      <c r="AQ1437" s="332"/>
      <c r="AR1437" s="332"/>
      <c r="AS1437" s="332"/>
      <c r="AT1437" s="332"/>
      <c r="AU1437" s="332"/>
      <c r="AV1437" s="332"/>
      <c r="AW1437" s="332"/>
      <c r="AX1437" s="332"/>
      <c r="AY1437" s="332"/>
      <c r="AZ1437" s="332"/>
      <c r="BA1437" s="332"/>
      <c r="BB1437" s="332"/>
      <c r="BC1437" s="332"/>
      <c r="BD1437" s="332"/>
      <c r="BE1437" s="332"/>
      <c r="BF1437" s="332"/>
      <c r="BG1437" s="332"/>
      <c r="BH1437" s="332"/>
      <c r="BI1437" s="332"/>
      <c r="BJ1437" s="332"/>
      <c r="BK1437" s="332"/>
      <c r="BL1437" s="332"/>
      <c r="BM1437" s="332"/>
      <c r="BN1437" s="332"/>
      <c r="BO1437" s="332"/>
      <c r="BP1437" s="332"/>
      <c r="BQ1437" s="332"/>
      <c r="BR1437" s="332"/>
      <c r="BS1437" s="332"/>
      <c r="BT1437" s="332"/>
      <c r="BU1437" s="332"/>
      <c r="BV1437" s="332"/>
      <c r="BW1437" s="332"/>
      <c r="BX1437" s="332"/>
      <c r="BY1437" s="332"/>
      <c r="BZ1437" s="332"/>
      <c r="CA1437" s="332"/>
      <c r="CB1437" s="332"/>
      <c r="CC1437" s="332"/>
      <c r="CD1437" s="332"/>
      <c r="CE1437" s="332"/>
      <c r="CF1437" s="332"/>
      <c r="CG1437" s="332"/>
      <c r="CH1437" s="332"/>
      <c r="CI1437" s="332"/>
      <c r="CJ1437" s="332"/>
      <c r="CK1437" s="332"/>
      <c r="CL1437" s="332"/>
      <c r="CM1437" s="332"/>
      <c r="CN1437" s="332"/>
      <c r="CO1437" s="332"/>
      <c r="CP1437" s="332"/>
      <c r="CQ1437" s="332"/>
      <c r="CR1437" s="332"/>
      <c r="CS1437" s="332"/>
      <c r="CT1437" s="332"/>
      <c r="CU1437" s="332"/>
      <c r="CV1437" s="332"/>
      <c r="CW1437" s="332"/>
      <c r="CX1437" s="332"/>
      <c r="CY1437" s="332"/>
      <c r="CZ1437" s="332"/>
      <c r="DA1437" s="332"/>
      <c r="DB1437" s="332"/>
      <c r="DC1437" s="332"/>
      <c r="DD1437" s="332"/>
      <c r="DE1437" s="332"/>
      <c r="DF1437" s="332"/>
      <c r="DG1437" s="332"/>
      <c r="DH1437" s="332"/>
      <c r="DI1437" s="332"/>
      <c r="DJ1437" s="332"/>
      <c r="DK1437" s="332"/>
      <c r="DL1437" s="332"/>
      <c r="DM1437" s="332"/>
      <c r="DN1437" s="332"/>
      <c r="DO1437" s="332"/>
      <c r="DP1437" s="332"/>
      <c r="DQ1437" s="332"/>
      <c r="DR1437" s="332"/>
      <c r="DS1437" s="332"/>
      <c r="DT1437" s="332"/>
      <c r="DU1437" s="453"/>
      <c r="DV1437" s="453"/>
      <c r="DW1437" s="453"/>
      <c r="DX1437" s="453"/>
      <c r="DY1437" s="453"/>
      <c r="DZ1437" s="453"/>
      <c r="EA1437" s="453"/>
      <c r="EB1437" s="453"/>
      <c r="EC1437" s="453"/>
      <c r="ED1437" s="453"/>
      <c r="EE1437" s="453"/>
      <c r="EF1437" s="453"/>
      <c r="EG1437" s="453"/>
      <c r="EH1437" s="453"/>
      <c r="EI1437" s="453"/>
      <c r="EJ1437" s="453"/>
      <c r="EK1437" s="453"/>
      <c r="EL1437" s="453"/>
      <c r="EM1437" s="483">
        <f t="shared" si="264"/>
        <v>1128</v>
      </c>
      <c r="EN1437" s="485"/>
      <c r="EO1437" s="458"/>
      <c r="EP1437" s="467"/>
      <c r="EQ1437" s="457"/>
      <c r="ER1437" s="808"/>
      <c r="ES1437" s="881">
        <f t="shared" si="265"/>
        <v>0</v>
      </c>
      <c r="ET1437" s="882"/>
      <c r="EU1437" s="883"/>
      <c r="EV1437" s="884">
        <f t="shared" si="266"/>
        <v>0</v>
      </c>
      <c r="EW1437" s="885"/>
      <c r="EX1437" s="885"/>
      <c r="EY1437" s="885"/>
      <c r="EZ1437" s="885"/>
      <c r="FA1437" s="885"/>
      <c r="FB1437" s="885"/>
      <c r="FC1437" s="885"/>
      <c r="FD1437" s="886"/>
      <c r="FE1437" s="877"/>
      <c r="FF1437" s="877"/>
      <c r="FG1437" s="877"/>
      <c r="FH1437" s="877"/>
      <c r="FI1437" s="877"/>
      <c r="FJ1437" s="877"/>
      <c r="FK1437" s="877"/>
      <c r="FL1437" s="874"/>
      <c r="FM1437" s="875"/>
      <c r="FN1437" s="875"/>
      <c r="FO1437" s="875"/>
      <c r="FP1437" s="875"/>
      <c r="FQ1437" s="875"/>
      <c r="FR1437" s="875"/>
      <c r="FS1437" s="875"/>
      <c r="FT1437" s="875"/>
      <c r="FU1437" s="875"/>
      <c r="FV1437" s="875"/>
      <c r="FW1437" s="875"/>
      <c r="FX1437" s="875"/>
      <c r="FY1437" s="875"/>
      <c r="FZ1437" s="875"/>
      <c r="GA1437" s="875"/>
      <c r="GB1437" s="876"/>
      <c r="GC1437" s="370"/>
      <c r="GD1437" s="453"/>
      <c r="GE1437" s="453"/>
      <c r="GF1437" s="453"/>
      <c r="GG1437" s="453"/>
      <c r="GH1437" s="454"/>
      <c r="GI1437" s="453"/>
      <c r="GJ1437" s="453"/>
      <c r="GK1437" s="453"/>
      <c r="GL1437" s="453"/>
      <c r="GM1437" s="453"/>
      <c r="GN1437" s="453"/>
      <c r="GO1437" s="453"/>
      <c r="GP1437" s="453"/>
      <c r="GQ1437" s="453"/>
      <c r="GR1437" s="453"/>
      <c r="GS1437" s="561"/>
      <c r="GT1437" s="475"/>
      <c r="GU1437" s="472"/>
      <c r="GV1437" s="453"/>
      <c r="GW1437" s="453"/>
      <c r="GX1437" s="869"/>
      <c r="GY1437" s="870"/>
      <c r="GZ1437" s="867"/>
      <c r="HA1437" s="868"/>
      <c r="HB1437" s="473"/>
      <c r="HC1437" s="869"/>
      <c r="HD1437" s="870"/>
      <c r="HE1437" s="867"/>
      <c r="HF1437" s="868"/>
      <c r="HG1437" s="473"/>
      <c r="HH1437" s="867"/>
      <c r="HI1437" s="868"/>
      <c r="HJ1437" s="867"/>
      <c r="HK1437" s="868"/>
      <c r="HL1437" s="370"/>
      <c r="HM1437" s="865"/>
      <c r="HN1437" s="866"/>
      <c r="HO1437" s="865"/>
      <c r="HP1437" s="866"/>
      <c r="HQ1437" s="865"/>
      <c r="HR1437" s="866"/>
      <c r="HS1437" s="867"/>
      <c r="HT1437" s="868"/>
      <c r="HU1437" s="489"/>
      <c r="HV1437" s="865"/>
      <c r="HW1437" s="866"/>
    </row>
    <row r="1438" spans="25:231" ht="15" customHeight="1">
      <c r="Y1438" s="332"/>
      <c r="Z1438" s="332"/>
      <c r="AA1438" s="332"/>
      <c r="AB1438" s="332"/>
      <c r="AC1438" s="332"/>
      <c r="AD1438" s="332"/>
      <c r="AE1438" s="332"/>
      <c r="AF1438" s="332"/>
      <c r="AG1438" s="332"/>
      <c r="AH1438" s="332"/>
      <c r="AI1438" s="332"/>
      <c r="AJ1438" s="332"/>
      <c r="AK1438" s="332"/>
      <c r="AL1438" s="332"/>
      <c r="AM1438" s="332"/>
      <c r="AN1438" s="332"/>
      <c r="AO1438" s="332"/>
      <c r="AP1438" s="332"/>
      <c r="AQ1438" s="332"/>
      <c r="AR1438" s="332"/>
      <c r="AS1438" s="332"/>
      <c r="AT1438" s="332"/>
      <c r="AU1438" s="332"/>
      <c r="AV1438" s="332"/>
      <c r="AW1438" s="332"/>
      <c r="AX1438" s="332"/>
      <c r="AY1438" s="332"/>
      <c r="AZ1438" s="332"/>
      <c r="BA1438" s="332"/>
      <c r="BB1438" s="332"/>
      <c r="BC1438" s="332"/>
      <c r="BD1438" s="332"/>
      <c r="BE1438" s="332"/>
      <c r="BF1438" s="332"/>
      <c r="BG1438" s="332"/>
      <c r="BH1438" s="332"/>
      <c r="BI1438" s="332"/>
      <c r="BJ1438" s="332"/>
      <c r="BK1438" s="332"/>
      <c r="BL1438" s="332"/>
      <c r="BM1438" s="332"/>
      <c r="BN1438" s="332"/>
      <c r="BO1438" s="332"/>
      <c r="BP1438" s="332"/>
      <c r="BQ1438" s="332"/>
      <c r="BR1438" s="332"/>
      <c r="BS1438" s="332"/>
      <c r="BT1438" s="332"/>
      <c r="BU1438" s="332"/>
      <c r="BV1438" s="332"/>
      <c r="BW1438" s="332"/>
      <c r="BX1438" s="332"/>
      <c r="BY1438" s="332"/>
      <c r="BZ1438" s="332"/>
      <c r="CA1438" s="332"/>
      <c r="CB1438" s="332"/>
      <c r="CC1438" s="332"/>
      <c r="CD1438" s="332"/>
      <c r="CE1438" s="332"/>
      <c r="CF1438" s="332"/>
      <c r="CG1438" s="332"/>
      <c r="CH1438" s="332"/>
      <c r="CI1438" s="332"/>
      <c r="CJ1438" s="332"/>
      <c r="CK1438" s="332"/>
      <c r="CL1438" s="332"/>
      <c r="CM1438" s="332"/>
      <c r="CN1438" s="332"/>
      <c r="CO1438" s="332"/>
      <c r="CP1438" s="332"/>
      <c r="CQ1438" s="332"/>
      <c r="CR1438" s="332"/>
      <c r="CS1438" s="332"/>
      <c r="CT1438" s="332"/>
      <c r="CU1438" s="332"/>
      <c r="CV1438" s="332"/>
      <c r="CW1438" s="332"/>
      <c r="CX1438" s="332"/>
      <c r="CY1438" s="332"/>
      <c r="CZ1438" s="332"/>
      <c r="DA1438" s="332"/>
      <c r="DB1438" s="332"/>
      <c r="DC1438" s="332"/>
      <c r="DD1438" s="332"/>
      <c r="DE1438" s="332"/>
      <c r="DF1438" s="332"/>
      <c r="DG1438" s="332"/>
      <c r="DH1438" s="332"/>
      <c r="DI1438" s="332"/>
      <c r="DJ1438" s="332"/>
      <c r="DK1438" s="332"/>
      <c r="DL1438" s="332"/>
      <c r="DM1438" s="332"/>
      <c r="DN1438" s="332"/>
      <c r="DO1438" s="332"/>
      <c r="DP1438" s="332"/>
      <c r="DQ1438" s="332"/>
      <c r="DR1438" s="332"/>
      <c r="DS1438" s="332"/>
      <c r="DT1438" s="332"/>
      <c r="DU1438" s="453"/>
      <c r="DV1438" s="453"/>
      <c r="DW1438" s="453"/>
      <c r="DX1438" s="453"/>
      <c r="DY1438" s="453"/>
      <c r="DZ1438" s="453"/>
      <c r="EA1438" s="453"/>
      <c r="EB1438" s="453"/>
      <c r="EC1438" s="453"/>
      <c r="ED1438" s="453"/>
      <c r="EE1438" s="453"/>
      <c r="EF1438" s="453"/>
      <c r="EG1438" s="453"/>
      <c r="EH1438" s="453"/>
      <c r="EI1438" s="453"/>
      <c r="EJ1438" s="453"/>
      <c r="EK1438" s="453"/>
      <c r="EL1438" s="453"/>
      <c r="EM1438" s="483">
        <f t="shared" si="264"/>
        <v>1129</v>
      </c>
      <c r="EN1438" s="485"/>
      <c r="EO1438" s="458"/>
      <c r="EP1438" s="467"/>
      <c r="EQ1438" s="457"/>
      <c r="ER1438" s="808"/>
      <c r="ES1438" s="881">
        <f t="shared" si="265"/>
        <v>0</v>
      </c>
      <c r="ET1438" s="882"/>
      <c r="EU1438" s="883"/>
      <c r="EV1438" s="884">
        <f t="shared" si="266"/>
        <v>0</v>
      </c>
      <c r="EW1438" s="885"/>
      <c r="EX1438" s="885"/>
      <c r="EY1438" s="885"/>
      <c r="EZ1438" s="885"/>
      <c r="FA1438" s="885"/>
      <c r="FB1438" s="885"/>
      <c r="FC1438" s="885"/>
      <c r="FD1438" s="886"/>
      <c r="FE1438" s="877"/>
      <c r="FF1438" s="877"/>
      <c r="FG1438" s="877"/>
      <c r="FH1438" s="877"/>
      <c r="FI1438" s="877"/>
      <c r="FJ1438" s="877"/>
      <c r="FK1438" s="877"/>
      <c r="FL1438" s="874"/>
      <c r="FM1438" s="875"/>
      <c r="FN1438" s="875"/>
      <c r="FO1438" s="875"/>
      <c r="FP1438" s="875"/>
      <c r="FQ1438" s="875"/>
      <c r="FR1438" s="875"/>
      <c r="FS1438" s="875"/>
      <c r="FT1438" s="875"/>
      <c r="FU1438" s="875"/>
      <c r="FV1438" s="875"/>
      <c r="FW1438" s="875"/>
      <c r="FX1438" s="875"/>
      <c r="FY1438" s="875"/>
      <c r="FZ1438" s="875"/>
      <c r="GA1438" s="875"/>
      <c r="GB1438" s="876"/>
      <c r="GC1438" s="370"/>
      <c r="GD1438" s="453"/>
      <c r="GE1438" s="453"/>
      <c r="GF1438" s="453"/>
      <c r="GG1438" s="453"/>
      <c r="GH1438" s="454"/>
      <c r="GI1438" s="453"/>
      <c r="GJ1438" s="453"/>
      <c r="GK1438" s="453"/>
      <c r="GL1438" s="453"/>
      <c r="GM1438" s="453"/>
      <c r="GN1438" s="453"/>
      <c r="GO1438" s="453"/>
      <c r="GP1438" s="453"/>
      <c r="GQ1438" s="453"/>
      <c r="GR1438" s="453"/>
      <c r="GS1438" s="561"/>
      <c r="GT1438" s="475"/>
      <c r="GU1438" s="472"/>
      <c r="GV1438" s="453"/>
      <c r="GW1438" s="453"/>
      <c r="GX1438" s="869"/>
      <c r="GY1438" s="870"/>
      <c r="GZ1438" s="867"/>
      <c r="HA1438" s="868"/>
      <c r="HB1438" s="473"/>
      <c r="HC1438" s="869"/>
      <c r="HD1438" s="870"/>
      <c r="HE1438" s="867"/>
      <c r="HF1438" s="868"/>
      <c r="HG1438" s="473"/>
      <c r="HH1438" s="867"/>
      <c r="HI1438" s="868"/>
      <c r="HJ1438" s="867"/>
      <c r="HK1438" s="868"/>
      <c r="HL1438" s="370"/>
      <c r="HM1438" s="865"/>
      <c r="HN1438" s="866"/>
      <c r="HO1438" s="865"/>
      <c r="HP1438" s="866"/>
      <c r="HQ1438" s="865"/>
      <c r="HR1438" s="866"/>
      <c r="HS1438" s="867"/>
      <c r="HT1438" s="868"/>
      <c r="HU1438" s="489"/>
      <c r="HV1438" s="865"/>
      <c r="HW1438" s="866"/>
    </row>
    <row r="1439" spans="25:231" ht="15" customHeight="1">
      <c r="Y1439" s="332"/>
      <c r="Z1439" s="332"/>
      <c r="AA1439" s="332"/>
      <c r="AB1439" s="332"/>
      <c r="AC1439" s="332"/>
      <c r="AD1439" s="332"/>
      <c r="AE1439" s="332"/>
      <c r="AF1439" s="332"/>
      <c r="AG1439" s="332"/>
      <c r="AH1439" s="332"/>
      <c r="AI1439" s="332"/>
      <c r="AJ1439" s="332"/>
      <c r="AK1439" s="332"/>
      <c r="AL1439" s="332"/>
      <c r="AM1439" s="332"/>
      <c r="AN1439" s="332"/>
      <c r="AO1439" s="332"/>
      <c r="AP1439" s="332"/>
      <c r="AQ1439" s="332"/>
      <c r="AR1439" s="332"/>
      <c r="AS1439" s="332"/>
      <c r="AT1439" s="332"/>
      <c r="AU1439" s="332"/>
      <c r="AV1439" s="332"/>
      <c r="AW1439" s="332"/>
      <c r="AX1439" s="332"/>
      <c r="AY1439" s="332"/>
      <c r="AZ1439" s="332"/>
      <c r="BA1439" s="332"/>
      <c r="BB1439" s="332"/>
      <c r="BC1439" s="332"/>
      <c r="BD1439" s="332"/>
      <c r="BE1439" s="332"/>
      <c r="BF1439" s="332"/>
      <c r="BG1439" s="332"/>
      <c r="BH1439" s="332"/>
      <c r="BI1439" s="332"/>
      <c r="BJ1439" s="332"/>
      <c r="BK1439" s="332"/>
      <c r="BL1439" s="332"/>
      <c r="BM1439" s="332"/>
      <c r="BN1439" s="332"/>
      <c r="BO1439" s="332"/>
      <c r="BP1439" s="332"/>
      <c r="BQ1439" s="332"/>
      <c r="BR1439" s="332"/>
      <c r="BS1439" s="332"/>
      <c r="BT1439" s="332"/>
      <c r="BU1439" s="332"/>
      <c r="BV1439" s="332"/>
      <c r="BW1439" s="332"/>
      <c r="BX1439" s="332"/>
      <c r="BY1439" s="332"/>
      <c r="BZ1439" s="332"/>
      <c r="CA1439" s="332"/>
      <c r="CB1439" s="332"/>
      <c r="CC1439" s="332"/>
      <c r="CD1439" s="332"/>
      <c r="CE1439" s="332"/>
      <c r="CF1439" s="332"/>
      <c r="CG1439" s="332"/>
      <c r="CH1439" s="332"/>
      <c r="CI1439" s="332"/>
      <c r="CJ1439" s="332"/>
      <c r="CK1439" s="332"/>
      <c r="CL1439" s="332"/>
      <c r="CM1439" s="332"/>
      <c r="CN1439" s="332"/>
      <c r="CO1439" s="332"/>
      <c r="CP1439" s="332"/>
      <c r="CQ1439" s="332"/>
      <c r="CR1439" s="332"/>
      <c r="CS1439" s="332"/>
      <c r="CT1439" s="332"/>
      <c r="CU1439" s="332"/>
      <c r="CV1439" s="332"/>
      <c r="CW1439" s="332"/>
      <c r="CX1439" s="332"/>
      <c r="CY1439" s="332"/>
      <c r="CZ1439" s="332"/>
      <c r="DA1439" s="332"/>
      <c r="DB1439" s="332"/>
      <c r="DC1439" s="332"/>
      <c r="DD1439" s="332"/>
      <c r="DE1439" s="332"/>
      <c r="DF1439" s="332"/>
      <c r="DG1439" s="332"/>
      <c r="DH1439" s="332"/>
      <c r="DI1439" s="332"/>
      <c r="DJ1439" s="332"/>
      <c r="DK1439" s="332"/>
      <c r="DL1439" s="332"/>
      <c r="DM1439" s="332"/>
      <c r="DN1439" s="332"/>
      <c r="DO1439" s="332"/>
      <c r="DP1439" s="332"/>
      <c r="DQ1439" s="332"/>
      <c r="DR1439" s="332"/>
      <c r="DS1439" s="332"/>
      <c r="DT1439" s="332"/>
      <c r="DU1439" s="453"/>
      <c r="DV1439" s="453"/>
      <c r="DW1439" s="453"/>
      <c r="DX1439" s="453"/>
      <c r="DY1439" s="453"/>
      <c r="DZ1439" s="453"/>
      <c r="EA1439" s="453"/>
      <c r="EB1439" s="453"/>
      <c r="EC1439" s="453"/>
      <c r="ED1439" s="453"/>
      <c r="EE1439" s="453"/>
      <c r="EF1439" s="453"/>
      <c r="EG1439" s="453"/>
      <c r="EH1439" s="453"/>
      <c r="EI1439" s="453"/>
      <c r="EJ1439" s="453"/>
      <c r="EK1439" s="453"/>
      <c r="EL1439" s="453"/>
      <c r="EM1439" s="483">
        <f t="shared" si="264"/>
        <v>1130</v>
      </c>
      <c r="EN1439" s="485"/>
      <c r="EO1439" s="458"/>
      <c r="EP1439" s="467"/>
      <c r="EQ1439" s="457"/>
      <c r="ER1439" s="808"/>
      <c r="ES1439" s="881">
        <f t="shared" si="265"/>
        <v>0</v>
      </c>
      <c r="ET1439" s="882"/>
      <c r="EU1439" s="883"/>
      <c r="EV1439" s="884">
        <f t="shared" si="266"/>
        <v>0</v>
      </c>
      <c r="EW1439" s="885"/>
      <c r="EX1439" s="885"/>
      <c r="EY1439" s="885"/>
      <c r="EZ1439" s="885"/>
      <c r="FA1439" s="885"/>
      <c r="FB1439" s="885"/>
      <c r="FC1439" s="885"/>
      <c r="FD1439" s="886"/>
      <c r="FE1439" s="877"/>
      <c r="FF1439" s="877"/>
      <c r="FG1439" s="877"/>
      <c r="FH1439" s="877"/>
      <c r="FI1439" s="877"/>
      <c r="FJ1439" s="877"/>
      <c r="FK1439" s="877"/>
      <c r="FL1439" s="874"/>
      <c r="FM1439" s="875"/>
      <c r="FN1439" s="875"/>
      <c r="FO1439" s="875"/>
      <c r="FP1439" s="875"/>
      <c r="FQ1439" s="875"/>
      <c r="FR1439" s="875"/>
      <c r="FS1439" s="875"/>
      <c r="FT1439" s="875"/>
      <c r="FU1439" s="875"/>
      <c r="FV1439" s="875"/>
      <c r="FW1439" s="875"/>
      <c r="FX1439" s="875"/>
      <c r="FY1439" s="875"/>
      <c r="FZ1439" s="875"/>
      <c r="GA1439" s="875"/>
      <c r="GB1439" s="876"/>
      <c r="GC1439" s="370"/>
      <c r="GD1439" s="453"/>
      <c r="GE1439" s="453"/>
      <c r="GF1439" s="453"/>
      <c r="GG1439" s="453"/>
      <c r="GH1439" s="454"/>
      <c r="GI1439" s="453"/>
      <c r="GJ1439" s="453"/>
      <c r="GK1439" s="453"/>
      <c r="GL1439" s="453"/>
      <c r="GM1439" s="453"/>
      <c r="GN1439" s="453"/>
      <c r="GO1439" s="453"/>
      <c r="GP1439" s="453"/>
      <c r="GQ1439" s="453"/>
      <c r="GR1439" s="453"/>
      <c r="GS1439" s="561"/>
      <c r="GT1439" s="475"/>
      <c r="GU1439" s="472"/>
      <c r="GV1439" s="453"/>
      <c r="GW1439" s="453"/>
      <c r="GX1439" s="869"/>
      <c r="GY1439" s="870"/>
      <c r="GZ1439" s="867"/>
      <c r="HA1439" s="868"/>
      <c r="HB1439" s="473"/>
      <c r="HC1439" s="869"/>
      <c r="HD1439" s="870"/>
      <c r="HE1439" s="867"/>
      <c r="HF1439" s="868"/>
      <c r="HG1439" s="473"/>
      <c r="HH1439" s="867"/>
      <c r="HI1439" s="868"/>
      <c r="HJ1439" s="867"/>
      <c r="HK1439" s="868"/>
      <c r="HL1439" s="370"/>
      <c r="HM1439" s="865"/>
      <c r="HN1439" s="866"/>
      <c r="HO1439" s="865"/>
      <c r="HP1439" s="866"/>
      <c r="HQ1439" s="865"/>
      <c r="HR1439" s="866"/>
      <c r="HS1439" s="867"/>
      <c r="HT1439" s="868"/>
      <c r="HU1439" s="489"/>
      <c r="HV1439" s="865"/>
      <c r="HW1439" s="866"/>
    </row>
    <row r="1440" spans="25:231" ht="15" customHeight="1">
      <c r="Y1440" s="332"/>
      <c r="Z1440" s="332"/>
      <c r="AA1440" s="332"/>
      <c r="AB1440" s="332"/>
      <c r="AC1440" s="332"/>
      <c r="AD1440" s="332"/>
      <c r="AE1440" s="332"/>
      <c r="AF1440" s="332"/>
      <c r="AG1440" s="332"/>
      <c r="AH1440" s="332"/>
      <c r="AI1440" s="332"/>
      <c r="AJ1440" s="332"/>
      <c r="AK1440" s="332"/>
      <c r="AL1440" s="332"/>
      <c r="AM1440" s="332"/>
      <c r="AN1440" s="332"/>
      <c r="AO1440" s="332"/>
      <c r="AP1440" s="332"/>
      <c r="AQ1440" s="332"/>
      <c r="AR1440" s="332"/>
      <c r="AS1440" s="332"/>
      <c r="AT1440" s="332"/>
      <c r="AU1440" s="332"/>
      <c r="AV1440" s="332"/>
      <c r="AW1440" s="332"/>
      <c r="AX1440" s="332"/>
      <c r="AY1440" s="332"/>
      <c r="AZ1440" s="332"/>
      <c r="BA1440" s="332"/>
      <c r="BB1440" s="332"/>
      <c r="BC1440" s="332"/>
      <c r="BD1440" s="332"/>
      <c r="BE1440" s="332"/>
      <c r="BF1440" s="332"/>
      <c r="BG1440" s="332"/>
      <c r="BH1440" s="332"/>
      <c r="BI1440" s="332"/>
      <c r="BJ1440" s="332"/>
      <c r="BK1440" s="332"/>
      <c r="BL1440" s="332"/>
      <c r="BM1440" s="332"/>
      <c r="BN1440" s="332"/>
      <c r="BO1440" s="332"/>
      <c r="BP1440" s="332"/>
      <c r="BQ1440" s="332"/>
      <c r="BR1440" s="332"/>
      <c r="BS1440" s="332"/>
      <c r="BT1440" s="332"/>
      <c r="BU1440" s="332"/>
      <c r="BV1440" s="332"/>
      <c r="BW1440" s="332"/>
      <c r="BX1440" s="332"/>
      <c r="BY1440" s="332"/>
      <c r="BZ1440" s="332"/>
      <c r="CA1440" s="332"/>
      <c r="CB1440" s="332"/>
      <c r="CC1440" s="332"/>
      <c r="CD1440" s="332"/>
      <c r="CE1440" s="332"/>
      <c r="CF1440" s="332"/>
      <c r="CG1440" s="332"/>
      <c r="CH1440" s="332"/>
      <c r="CI1440" s="332"/>
      <c r="CJ1440" s="332"/>
      <c r="CK1440" s="332"/>
      <c r="CL1440" s="332"/>
      <c r="CM1440" s="332"/>
      <c r="CN1440" s="332"/>
      <c r="CO1440" s="332"/>
      <c r="CP1440" s="332"/>
      <c r="CQ1440" s="332"/>
      <c r="CR1440" s="332"/>
      <c r="CS1440" s="332"/>
      <c r="CT1440" s="332"/>
      <c r="CU1440" s="332"/>
      <c r="CV1440" s="332"/>
      <c r="CW1440" s="332"/>
      <c r="CX1440" s="332"/>
      <c r="CY1440" s="332"/>
      <c r="CZ1440" s="332"/>
      <c r="DA1440" s="332"/>
      <c r="DB1440" s="332"/>
      <c r="DC1440" s="332"/>
      <c r="DD1440" s="332"/>
      <c r="DE1440" s="332"/>
      <c r="DF1440" s="332"/>
      <c r="DG1440" s="332"/>
      <c r="DH1440" s="332"/>
      <c r="DI1440" s="332"/>
      <c r="DJ1440" s="332"/>
      <c r="DK1440" s="332"/>
      <c r="DL1440" s="332"/>
      <c r="DM1440" s="332"/>
      <c r="DN1440" s="332"/>
      <c r="DO1440" s="332"/>
      <c r="DP1440" s="332"/>
      <c r="DQ1440" s="332"/>
      <c r="DR1440" s="332"/>
      <c r="DS1440" s="332"/>
      <c r="DT1440" s="332"/>
      <c r="DU1440" s="453"/>
      <c r="DV1440" s="453"/>
      <c r="DW1440" s="453"/>
      <c r="DX1440" s="453"/>
      <c r="DY1440" s="453"/>
      <c r="DZ1440" s="453"/>
      <c r="EA1440" s="453"/>
      <c r="EB1440" s="453"/>
      <c r="EC1440" s="453"/>
      <c r="ED1440" s="453"/>
      <c r="EE1440" s="453"/>
      <c r="EF1440" s="453"/>
      <c r="EG1440" s="453"/>
      <c r="EH1440" s="453"/>
      <c r="EI1440" s="453"/>
      <c r="EJ1440" s="453"/>
      <c r="EK1440" s="453"/>
      <c r="EL1440" s="453"/>
      <c r="EM1440" s="483">
        <f t="shared" si="264"/>
        <v>1131</v>
      </c>
      <c r="EN1440" s="485"/>
      <c r="EO1440" s="458"/>
      <c r="EP1440" s="467"/>
      <c r="EQ1440" s="457"/>
      <c r="ER1440" s="808"/>
      <c r="ES1440" s="881">
        <f t="shared" si="265"/>
        <v>0</v>
      </c>
      <c r="ET1440" s="882"/>
      <c r="EU1440" s="883"/>
      <c r="EV1440" s="884">
        <f t="shared" si="266"/>
        <v>0</v>
      </c>
      <c r="EW1440" s="885"/>
      <c r="EX1440" s="885"/>
      <c r="EY1440" s="885"/>
      <c r="EZ1440" s="885"/>
      <c r="FA1440" s="885"/>
      <c r="FB1440" s="885"/>
      <c r="FC1440" s="885"/>
      <c r="FD1440" s="886"/>
      <c r="FE1440" s="877"/>
      <c r="FF1440" s="877"/>
      <c r="FG1440" s="877"/>
      <c r="FH1440" s="877"/>
      <c r="FI1440" s="877"/>
      <c r="FJ1440" s="877"/>
      <c r="FK1440" s="877"/>
      <c r="FL1440" s="874"/>
      <c r="FM1440" s="875"/>
      <c r="FN1440" s="875"/>
      <c r="FO1440" s="875"/>
      <c r="FP1440" s="875"/>
      <c r="FQ1440" s="875"/>
      <c r="FR1440" s="875"/>
      <c r="FS1440" s="875"/>
      <c r="FT1440" s="875"/>
      <c r="FU1440" s="875"/>
      <c r="FV1440" s="875"/>
      <c r="FW1440" s="875"/>
      <c r="FX1440" s="875"/>
      <c r="FY1440" s="875"/>
      <c r="FZ1440" s="875"/>
      <c r="GA1440" s="875"/>
      <c r="GB1440" s="876"/>
      <c r="GC1440" s="370"/>
      <c r="GD1440" s="453"/>
      <c r="GE1440" s="453"/>
      <c r="GF1440" s="453"/>
      <c r="GG1440" s="453"/>
      <c r="GH1440" s="454"/>
      <c r="GI1440" s="453"/>
      <c r="GJ1440" s="453"/>
      <c r="GK1440" s="453"/>
      <c r="GL1440" s="453"/>
      <c r="GM1440" s="453"/>
      <c r="GN1440" s="453"/>
      <c r="GO1440" s="453"/>
      <c r="GP1440" s="453"/>
      <c r="GQ1440" s="453"/>
      <c r="GR1440" s="453"/>
      <c r="GS1440" s="561"/>
      <c r="GT1440" s="475"/>
      <c r="GU1440" s="472"/>
      <c r="GV1440" s="453"/>
      <c r="GW1440" s="453"/>
      <c r="GX1440" s="869"/>
      <c r="GY1440" s="870"/>
      <c r="GZ1440" s="867"/>
      <c r="HA1440" s="868"/>
      <c r="HB1440" s="473"/>
      <c r="HC1440" s="869"/>
      <c r="HD1440" s="870"/>
      <c r="HE1440" s="867"/>
      <c r="HF1440" s="868"/>
      <c r="HG1440" s="473"/>
      <c r="HH1440" s="867"/>
      <c r="HI1440" s="868"/>
      <c r="HJ1440" s="867"/>
      <c r="HK1440" s="868"/>
      <c r="HL1440" s="370"/>
      <c r="HM1440" s="865"/>
      <c r="HN1440" s="866"/>
      <c r="HO1440" s="865"/>
      <c r="HP1440" s="866"/>
      <c r="HQ1440" s="865"/>
      <c r="HR1440" s="866"/>
      <c r="HS1440" s="867"/>
      <c r="HT1440" s="868"/>
      <c r="HU1440" s="489"/>
      <c r="HV1440" s="865"/>
      <c r="HW1440" s="866"/>
    </row>
    <row r="1441" spans="25:231" ht="15" customHeight="1">
      <c r="Y1441" s="332"/>
      <c r="Z1441" s="332"/>
      <c r="AA1441" s="332"/>
      <c r="AB1441" s="332"/>
      <c r="AC1441" s="332"/>
      <c r="AD1441" s="332"/>
      <c r="AE1441" s="332"/>
      <c r="AF1441" s="332"/>
      <c r="AG1441" s="332"/>
      <c r="AH1441" s="332"/>
      <c r="AI1441" s="332"/>
      <c r="AJ1441" s="332"/>
      <c r="AK1441" s="332"/>
      <c r="AL1441" s="332"/>
      <c r="AM1441" s="332"/>
      <c r="AN1441" s="332"/>
      <c r="AO1441" s="332"/>
      <c r="AP1441" s="332"/>
      <c r="AQ1441" s="332"/>
      <c r="AR1441" s="332"/>
      <c r="AS1441" s="332"/>
      <c r="AT1441" s="332"/>
      <c r="AU1441" s="332"/>
      <c r="AV1441" s="332"/>
      <c r="AW1441" s="332"/>
      <c r="AX1441" s="332"/>
      <c r="AY1441" s="332"/>
      <c r="AZ1441" s="332"/>
      <c r="BA1441" s="332"/>
      <c r="BB1441" s="332"/>
      <c r="BC1441" s="332"/>
      <c r="BD1441" s="332"/>
      <c r="BE1441" s="332"/>
      <c r="BF1441" s="332"/>
      <c r="BG1441" s="332"/>
      <c r="BH1441" s="332"/>
      <c r="BI1441" s="332"/>
      <c r="BJ1441" s="332"/>
      <c r="BK1441" s="332"/>
      <c r="BL1441" s="332"/>
      <c r="BM1441" s="332"/>
      <c r="BN1441" s="332"/>
      <c r="BO1441" s="332"/>
      <c r="BP1441" s="332"/>
      <c r="BQ1441" s="332"/>
      <c r="BR1441" s="332"/>
      <c r="BS1441" s="332"/>
      <c r="BT1441" s="332"/>
      <c r="BU1441" s="332"/>
      <c r="BV1441" s="332"/>
      <c r="BW1441" s="332"/>
      <c r="BX1441" s="332"/>
      <c r="BY1441" s="332"/>
      <c r="BZ1441" s="332"/>
      <c r="CA1441" s="332"/>
      <c r="CB1441" s="332"/>
      <c r="CC1441" s="332"/>
      <c r="CD1441" s="332"/>
      <c r="CE1441" s="332"/>
      <c r="CF1441" s="332"/>
      <c r="CG1441" s="332"/>
      <c r="CH1441" s="332"/>
      <c r="CI1441" s="332"/>
      <c r="CJ1441" s="332"/>
      <c r="CK1441" s="332"/>
      <c r="CL1441" s="332"/>
      <c r="CM1441" s="332"/>
      <c r="CN1441" s="332"/>
      <c r="CO1441" s="332"/>
      <c r="CP1441" s="332"/>
      <c r="CQ1441" s="332"/>
      <c r="CR1441" s="332"/>
      <c r="CS1441" s="332"/>
      <c r="CT1441" s="332"/>
      <c r="CU1441" s="332"/>
      <c r="CV1441" s="332"/>
      <c r="CW1441" s="332"/>
      <c r="CX1441" s="332"/>
      <c r="CY1441" s="332"/>
      <c r="CZ1441" s="332"/>
      <c r="DA1441" s="332"/>
      <c r="DB1441" s="332"/>
      <c r="DC1441" s="332"/>
      <c r="DD1441" s="332"/>
      <c r="DE1441" s="332"/>
      <c r="DF1441" s="332"/>
      <c r="DG1441" s="332"/>
      <c r="DH1441" s="332"/>
      <c r="DI1441" s="332"/>
      <c r="DJ1441" s="332"/>
      <c r="DK1441" s="332"/>
      <c r="DL1441" s="332"/>
      <c r="DM1441" s="332"/>
      <c r="DN1441" s="332"/>
      <c r="DO1441" s="332"/>
      <c r="DP1441" s="332"/>
      <c r="DQ1441" s="332"/>
      <c r="DR1441" s="332"/>
      <c r="DS1441" s="332"/>
      <c r="DT1441" s="332"/>
      <c r="DU1441" s="453"/>
      <c r="DV1441" s="453"/>
      <c r="DW1441" s="453"/>
      <c r="DX1441" s="453"/>
      <c r="DY1441" s="453"/>
      <c r="DZ1441" s="453"/>
      <c r="EA1441" s="453"/>
      <c r="EB1441" s="453"/>
      <c r="EC1441" s="453"/>
      <c r="ED1441" s="453"/>
      <c r="EE1441" s="453"/>
      <c r="EF1441" s="453"/>
      <c r="EG1441" s="453"/>
      <c r="EH1441" s="453"/>
      <c r="EI1441" s="453"/>
      <c r="EJ1441" s="453"/>
      <c r="EK1441" s="453"/>
      <c r="EL1441" s="453"/>
      <c r="EM1441" s="483">
        <f t="shared" si="264"/>
        <v>1132</v>
      </c>
      <c r="EN1441" s="485"/>
      <c r="EO1441" s="458"/>
      <c r="EP1441" s="467"/>
      <c r="EQ1441" s="457"/>
      <c r="ER1441" s="808"/>
      <c r="ES1441" s="881">
        <f t="shared" si="265"/>
        <v>0</v>
      </c>
      <c r="ET1441" s="882"/>
      <c r="EU1441" s="883"/>
      <c r="EV1441" s="884">
        <f t="shared" si="266"/>
        <v>0</v>
      </c>
      <c r="EW1441" s="885"/>
      <c r="EX1441" s="885"/>
      <c r="EY1441" s="885"/>
      <c r="EZ1441" s="885"/>
      <c r="FA1441" s="885"/>
      <c r="FB1441" s="885"/>
      <c r="FC1441" s="885"/>
      <c r="FD1441" s="886"/>
      <c r="FE1441" s="877"/>
      <c r="FF1441" s="877"/>
      <c r="FG1441" s="877"/>
      <c r="FH1441" s="877"/>
      <c r="FI1441" s="877"/>
      <c r="FJ1441" s="877"/>
      <c r="FK1441" s="877"/>
      <c r="FL1441" s="874"/>
      <c r="FM1441" s="875"/>
      <c r="FN1441" s="875"/>
      <c r="FO1441" s="875"/>
      <c r="FP1441" s="875"/>
      <c r="FQ1441" s="875"/>
      <c r="FR1441" s="875"/>
      <c r="FS1441" s="875"/>
      <c r="FT1441" s="875"/>
      <c r="FU1441" s="875"/>
      <c r="FV1441" s="875"/>
      <c r="FW1441" s="875"/>
      <c r="FX1441" s="875"/>
      <c r="FY1441" s="875"/>
      <c r="FZ1441" s="875"/>
      <c r="GA1441" s="875"/>
      <c r="GB1441" s="876"/>
      <c r="GC1441" s="370"/>
      <c r="GD1441" s="453"/>
      <c r="GE1441" s="453"/>
      <c r="GF1441" s="453"/>
      <c r="GG1441" s="453"/>
      <c r="GH1441" s="454"/>
      <c r="GI1441" s="453"/>
      <c r="GJ1441" s="453"/>
      <c r="GK1441" s="453"/>
      <c r="GL1441" s="453"/>
      <c r="GM1441" s="453"/>
      <c r="GN1441" s="453"/>
      <c r="GO1441" s="453"/>
      <c r="GP1441" s="453"/>
      <c r="GQ1441" s="453"/>
      <c r="GR1441" s="453"/>
      <c r="GS1441" s="561"/>
      <c r="GT1441" s="475"/>
      <c r="GU1441" s="472"/>
      <c r="GV1441" s="453"/>
      <c r="GW1441" s="453"/>
      <c r="GX1441" s="869"/>
      <c r="GY1441" s="870"/>
      <c r="GZ1441" s="867"/>
      <c r="HA1441" s="868"/>
      <c r="HB1441" s="473"/>
      <c r="HC1441" s="869"/>
      <c r="HD1441" s="870"/>
      <c r="HE1441" s="867"/>
      <c r="HF1441" s="868"/>
      <c r="HG1441" s="473"/>
      <c r="HH1441" s="867"/>
      <c r="HI1441" s="868"/>
      <c r="HJ1441" s="867"/>
      <c r="HK1441" s="868"/>
      <c r="HL1441" s="370"/>
      <c r="HM1441" s="865"/>
      <c r="HN1441" s="866"/>
      <c r="HO1441" s="865"/>
      <c r="HP1441" s="866"/>
      <c r="HQ1441" s="865"/>
      <c r="HR1441" s="866"/>
      <c r="HS1441" s="867"/>
      <c r="HT1441" s="868"/>
      <c r="HU1441" s="489"/>
      <c r="HV1441" s="865"/>
      <c r="HW1441" s="866"/>
    </row>
    <row r="1442" spans="25:231" ht="15" customHeight="1">
      <c r="Y1442" s="332"/>
      <c r="Z1442" s="332"/>
      <c r="AA1442" s="332"/>
      <c r="AB1442" s="332"/>
      <c r="AC1442" s="332"/>
      <c r="AD1442" s="332"/>
      <c r="AE1442" s="332"/>
      <c r="AF1442" s="332"/>
      <c r="AG1442" s="332"/>
      <c r="AH1442" s="332"/>
      <c r="AI1442" s="332"/>
      <c r="AJ1442" s="332"/>
      <c r="AK1442" s="332"/>
      <c r="AL1442" s="332"/>
      <c r="AM1442" s="332"/>
      <c r="AN1442" s="332"/>
      <c r="AO1442" s="332"/>
      <c r="AP1442" s="332"/>
      <c r="AQ1442" s="332"/>
      <c r="AR1442" s="332"/>
      <c r="AS1442" s="332"/>
      <c r="AT1442" s="332"/>
      <c r="AU1442" s="332"/>
      <c r="AV1442" s="332"/>
      <c r="AW1442" s="332"/>
      <c r="AX1442" s="332"/>
      <c r="AY1442" s="332"/>
      <c r="AZ1442" s="332"/>
      <c r="BA1442" s="332"/>
      <c r="BB1442" s="332"/>
      <c r="BC1442" s="332"/>
      <c r="BD1442" s="332"/>
      <c r="BE1442" s="332"/>
      <c r="BF1442" s="332"/>
      <c r="BG1442" s="332"/>
      <c r="BH1442" s="332"/>
      <c r="BI1442" s="332"/>
      <c r="BJ1442" s="332"/>
      <c r="BK1442" s="332"/>
      <c r="BL1442" s="332"/>
      <c r="BM1442" s="332"/>
      <c r="BN1442" s="332"/>
      <c r="BO1442" s="332"/>
      <c r="BP1442" s="332"/>
      <c r="BQ1442" s="332"/>
      <c r="BR1442" s="332"/>
      <c r="BS1442" s="332"/>
      <c r="BT1442" s="332"/>
      <c r="BU1442" s="332"/>
      <c r="BV1442" s="332"/>
      <c r="BW1442" s="332"/>
      <c r="BX1442" s="332"/>
      <c r="BY1442" s="332"/>
      <c r="BZ1442" s="332"/>
      <c r="CA1442" s="332"/>
      <c r="CB1442" s="332"/>
      <c r="CC1442" s="332"/>
      <c r="CD1442" s="332"/>
      <c r="CE1442" s="332"/>
      <c r="CF1442" s="332"/>
      <c r="CG1442" s="332"/>
      <c r="CH1442" s="332"/>
      <c r="CI1442" s="332"/>
      <c r="CJ1442" s="332"/>
      <c r="CK1442" s="332"/>
      <c r="CL1442" s="332"/>
      <c r="CM1442" s="332"/>
      <c r="CN1442" s="332"/>
      <c r="CO1442" s="332"/>
      <c r="CP1442" s="332"/>
      <c r="CQ1442" s="332"/>
      <c r="CR1442" s="332"/>
      <c r="CS1442" s="332"/>
      <c r="CT1442" s="332"/>
      <c r="CU1442" s="332"/>
      <c r="CV1442" s="332"/>
      <c r="CW1442" s="332"/>
      <c r="CX1442" s="332"/>
      <c r="CY1442" s="332"/>
      <c r="CZ1442" s="332"/>
      <c r="DA1442" s="332"/>
      <c r="DB1442" s="332"/>
      <c r="DC1442" s="332"/>
      <c r="DD1442" s="332"/>
      <c r="DE1442" s="332"/>
      <c r="DF1442" s="332"/>
      <c r="DG1442" s="332"/>
      <c r="DH1442" s="332"/>
      <c r="DI1442" s="332"/>
      <c r="DJ1442" s="332"/>
      <c r="DK1442" s="332"/>
      <c r="DL1442" s="332"/>
      <c r="DM1442" s="332"/>
      <c r="DN1442" s="332"/>
      <c r="DO1442" s="332"/>
      <c r="DP1442" s="332"/>
      <c r="DQ1442" s="332"/>
      <c r="DR1442" s="332"/>
      <c r="DS1442" s="332"/>
      <c r="DT1442" s="332"/>
      <c r="DU1442" s="453"/>
      <c r="DV1442" s="453"/>
      <c r="DW1442" s="453"/>
      <c r="DX1442" s="453"/>
      <c r="DY1442" s="453"/>
      <c r="DZ1442" s="453"/>
      <c r="EA1442" s="453"/>
      <c r="EB1442" s="453"/>
      <c r="EC1442" s="453"/>
      <c r="ED1442" s="453"/>
      <c r="EE1442" s="453"/>
      <c r="EF1442" s="453"/>
      <c r="EG1442" s="453"/>
      <c r="EH1442" s="453"/>
      <c r="EI1442" s="453"/>
      <c r="EJ1442" s="453"/>
      <c r="EK1442" s="453"/>
      <c r="EL1442" s="453"/>
      <c r="EM1442" s="483">
        <f t="shared" si="264"/>
        <v>1133</v>
      </c>
      <c r="EN1442" s="485"/>
      <c r="EO1442" s="458"/>
      <c r="EP1442" s="467"/>
      <c r="EQ1442" s="457"/>
      <c r="ER1442" s="808"/>
      <c r="ES1442" s="881">
        <f t="shared" si="265"/>
        <v>0</v>
      </c>
      <c r="ET1442" s="882"/>
      <c r="EU1442" s="883"/>
      <c r="EV1442" s="884">
        <f t="shared" si="266"/>
        <v>0</v>
      </c>
      <c r="EW1442" s="885"/>
      <c r="EX1442" s="885"/>
      <c r="EY1442" s="885"/>
      <c r="EZ1442" s="885"/>
      <c r="FA1442" s="885"/>
      <c r="FB1442" s="885"/>
      <c r="FC1442" s="885"/>
      <c r="FD1442" s="886"/>
      <c r="FE1442" s="877"/>
      <c r="FF1442" s="877"/>
      <c r="FG1442" s="877"/>
      <c r="FH1442" s="877"/>
      <c r="FI1442" s="877"/>
      <c r="FJ1442" s="877"/>
      <c r="FK1442" s="877"/>
      <c r="FL1442" s="874"/>
      <c r="FM1442" s="875"/>
      <c r="FN1442" s="875"/>
      <c r="FO1442" s="875"/>
      <c r="FP1442" s="875"/>
      <c r="FQ1442" s="875"/>
      <c r="FR1442" s="875"/>
      <c r="FS1442" s="875"/>
      <c r="FT1442" s="875"/>
      <c r="FU1442" s="875"/>
      <c r="FV1442" s="875"/>
      <c r="FW1442" s="875"/>
      <c r="FX1442" s="875"/>
      <c r="FY1442" s="875"/>
      <c r="FZ1442" s="875"/>
      <c r="GA1442" s="875"/>
      <c r="GB1442" s="876"/>
      <c r="GC1442" s="370"/>
      <c r="GD1442" s="453"/>
      <c r="GE1442" s="453"/>
      <c r="GF1442" s="453"/>
      <c r="GG1442" s="453"/>
      <c r="GH1442" s="454"/>
      <c r="GI1442" s="453"/>
      <c r="GJ1442" s="453"/>
      <c r="GK1442" s="453"/>
      <c r="GL1442" s="453"/>
      <c r="GM1442" s="453"/>
      <c r="GN1442" s="453"/>
      <c r="GO1442" s="453"/>
      <c r="GP1442" s="453"/>
      <c r="GQ1442" s="453"/>
      <c r="GR1442" s="453"/>
      <c r="GS1442" s="561"/>
      <c r="GT1442" s="475"/>
      <c r="GU1442" s="472"/>
      <c r="GV1442" s="453"/>
      <c r="GW1442" s="453"/>
      <c r="GX1442" s="869"/>
      <c r="GY1442" s="870"/>
      <c r="GZ1442" s="867"/>
      <c r="HA1442" s="868"/>
      <c r="HB1442" s="473"/>
      <c r="HC1442" s="869"/>
      <c r="HD1442" s="870"/>
      <c r="HE1442" s="867"/>
      <c r="HF1442" s="868"/>
      <c r="HG1442" s="473"/>
      <c r="HH1442" s="867"/>
      <c r="HI1442" s="868"/>
      <c r="HJ1442" s="867"/>
      <c r="HK1442" s="868"/>
      <c r="HL1442" s="370"/>
      <c r="HM1442" s="865"/>
      <c r="HN1442" s="866"/>
      <c r="HO1442" s="865"/>
      <c r="HP1442" s="866"/>
      <c r="HQ1442" s="865"/>
      <c r="HR1442" s="866"/>
      <c r="HS1442" s="867"/>
      <c r="HT1442" s="868"/>
      <c r="HU1442" s="489"/>
      <c r="HV1442" s="865"/>
      <c r="HW1442" s="866"/>
    </row>
    <row r="1443" spans="25:231" ht="15" customHeight="1">
      <c r="Y1443" s="332"/>
      <c r="Z1443" s="332"/>
      <c r="AA1443" s="332"/>
      <c r="AB1443" s="332"/>
      <c r="AC1443" s="332"/>
      <c r="AD1443" s="332"/>
      <c r="AE1443" s="332"/>
      <c r="AF1443" s="332"/>
      <c r="AG1443" s="332"/>
      <c r="AH1443" s="332"/>
      <c r="AI1443" s="332"/>
      <c r="AJ1443" s="332"/>
      <c r="AK1443" s="332"/>
      <c r="AL1443" s="332"/>
      <c r="AM1443" s="332"/>
      <c r="AN1443" s="332"/>
      <c r="AO1443" s="332"/>
      <c r="AP1443" s="332"/>
      <c r="AQ1443" s="332"/>
      <c r="AR1443" s="332"/>
      <c r="AS1443" s="332"/>
      <c r="AT1443" s="332"/>
      <c r="AU1443" s="332"/>
      <c r="AV1443" s="332"/>
      <c r="AW1443" s="332"/>
      <c r="AX1443" s="332"/>
      <c r="AY1443" s="332"/>
      <c r="AZ1443" s="332"/>
      <c r="BA1443" s="332"/>
      <c r="BB1443" s="332"/>
      <c r="BC1443" s="332"/>
      <c r="BD1443" s="332"/>
      <c r="BE1443" s="332"/>
      <c r="BF1443" s="332"/>
      <c r="BG1443" s="332"/>
      <c r="BH1443" s="332"/>
      <c r="BI1443" s="332"/>
      <c r="BJ1443" s="332"/>
      <c r="BK1443" s="332"/>
      <c r="BL1443" s="332"/>
      <c r="BM1443" s="332"/>
      <c r="BN1443" s="332"/>
      <c r="BO1443" s="332"/>
      <c r="BP1443" s="332"/>
      <c r="BQ1443" s="332"/>
      <c r="BR1443" s="332"/>
      <c r="BS1443" s="332"/>
      <c r="BT1443" s="332"/>
      <c r="BU1443" s="332"/>
      <c r="BV1443" s="332"/>
      <c r="BW1443" s="332"/>
      <c r="BX1443" s="332"/>
      <c r="BY1443" s="332"/>
      <c r="BZ1443" s="332"/>
      <c r="CA1443" s="332"/>
      <c r="CB1443" s="332"/>
      <c r="CC1443" s="332"/>
      <c r="CD1443" s="332"/>
      <c r="CE1443" s="332"/>
      <c r="CF1443" s="332"/>
      <c r="CG1443" s="332"/>
      <c r="CH1443" s="332"/>
      <c r="CI1443" s="332"/>
      <c r="CJ1443" s="332"/>
      <c r="CK1443" s="332"/>
      <c r="CL1443" s="332"/>
      <c r="CM1443" s="332"/>
      <c r="CN1443" s="332"/>
      <c r="CO1443" s="332"/>
      <c r="CP1443" s="332"/>
      <c r="CQ1443" s="332"/>
      <c r="CR1443" s="332"/>
      <c r="CS1443" s="332"/>
      <c r="CT1443" s="332"/>
      <c r="CU1443" s="332"/>
      <c r="CV1443" s="332"/>
      <c r="CW1443" s="332"/>
      <c r="CX1443" s="332"/>
      <c r="CY1443" s="332"/>
      <c r="CZ1443" s="332"/>
      <c r="DA1443" s="332"/>
      <c r="DB1443" s="332"/>
      <c r="DC1443" s="332"/>
      <c r="DD1443" s="332"/>
      <c r="DE1443" s="332"/>
      <c r="DF1443" s="332"/>
      <c r="DG1443" s="332"/>
      <c r="DH1443" s="332"/>
      <c r="DI1443" s="332"/>
      <c r="DJ1443" s="332"/>
      <c r="DK1443" s="332"/>
      <c r="DL1443" s="332"/>
      <c r="DM1443" s="332"/>
      <c r="DN1443" s="332"/>
      <c r="DO1443" s="332"/>
      <c r="DP1443" s="332"/>
      <c r="DQ1443" s="332"/>
      <c r="DR1443" s="332"/>
      <c r="DS1443" s="332"/>
      <c r="DT1443" s="332"/>
      <c r="DU1443" s="453"/>
      <c r="DV1443" s="453"/>
      <c r="DW1443" s="453"/>
      <c r="DX1443" s="453"/>
      <c r="DY1443" s="453"/>
      <c r="DZ1443" s="453"/>
      <c r="EA1443" s="453"/>
      <c r="EB1443" s="453"/>
      <c r="EC1443" s="453"/>
      <c r="ED1443" s="453"/>
      <c r="EE1443" s="453"/>
      <c r="EF1443" s="453"/>
      <c r="EG1443" s="453"/>
      <c r="EH1443" s="453"/>
      <c r="EI1443" s="453"/>
      <c r="EJ1443" s="453"/>
      <c r="EK1443" s="453"/>
      <c r="EL1443" s="453"/>
      <c r="EM1443" s="483">
        <f t="shared" si="264"/>
        <v>1134</v>
      </c>
      <c r="EN1443" s="485"/>
      <c r="EO1443" s="458"/>
      <c r="EP1443" s="467"/>
      <c r="EQ1443" s="457"/>
      <c r="ER1443" s="808"/>
      <c r="ES1443" s="881">
        <f t="shared" si="265"/>
        <v>0</v>
      </c>
      <c r="ET1443" s="882"/>
      <c r="EU1443" s="883"/>
      <c r="EV1443" s="884">
        <f t="shared" si="266"/>
        <v>0</v>
      </c>
      <c r="EW1443" s="885"/>
      <c r="EX1443" s="885"/>
      <c r="EY1443" s="885"/>
      <c r="EZ1443" s="885"/>
      <c r="FA1443" s="885"/>
      <c r="FB1443" s="885"/>
      <c r="FC1443" s="885"/>
      <c r="FD1443" s="886"/>
      <c r="FE1443" s="877"/>
      <c r="FF1443" s="877"/>
      <c r="FG1443" s="877"/>
      <c r="FH1443" s="877"/>
      <c r="FI1443" s="877"/>
      <c r="FJ1443" s="877"/>
      <c r="FK1443" s="877"/>
      <c r="FL1443" s="874"/>
      <c r="FM1443" s="875"/>
      <c r="FN1443" s="875"/>
      <c r="FO1443" s="875"/>
      <c r="FP1443" s="875"/>
      <c r="FQ1443" s="875"/>
      <c r="FR1443" s="875"/>
      <c r="FS1443" s="875"/>
      <c r="FT1443" s="875"/>
      <c r="FU1443" s="875"/>
      <c r="FV1443" s="875"/>
      <c r="FW1443" s="875"/>
      <c r="FX1443" s="875"/>
      <c r="FY1443" s="875"/>
      <c r="FZ1443" s="875"/>
      <c r="GA1443" s="875"/>
      <c r="GB1443" s="876"/>
      <c r="GC1443" s="370"/>
      <c r="GD1443" s="453"/>
      <c r="GE1443" s="453"/>
      <c r="GF1443" s="453"/>
      <c r="GG1443" s="453"/>
      <c r="GH1443" s="454"/>
      <c r="GI1443" s="453"/>
      <c r="GJ1443" s="453"/>
      <c r="GK1443" s="453"/>
      <c r="GL1443" s="453"/>
      <c r="GM1443" s="453"/>
      <c r="GN1443" s="453"/>
      <c r="GO1443" s="453"/>
      <c r="GP1443" s="453"/>
      <c r="GQ1443" s="453"/>
      <c r="GR1443" s="453"/>
      <c r="GS1443" s="561"/>
      <c r="GT1443" s="475"/>
      <c r="GU1443" s="472"/>
      <c r="GV1443" s="453"/>
      <c r="GW1443" s="453"/>
      <c r="GX1443" s="869"/>
      <c r="GY1443" s="870"/>
      <c r="GZ1443" s="867"/>
      <c r="HA1443" s="868"/>
      <c r="HB1443" s="473"/>
      <c r="HC1443" s="869"/>
      <c r="HD1443" s="870"/>
      <c r="HE1443" s="867"/>
      <c r="HF1443" s="868"/>
      <c r="HG1443" s="473"/>
      <c r="HH1443" s="867"/>
      <c r="HI1443" s="868"/>
      <c r="HJ1443" s="867"/>
      <c r="HK1443" s="868"/>
      <c r="HL1443" s="370"/>
      <c r="HM1443" s="865"/>
      <c r="HN1443" s="866"/>
      <c r="HO1443" s="865"/>
      <c r="HP1443" s="866"/>
      <c r="HQ1443" s="865"/>
      <c r="HR1443" s="866"/>
      <c r="HS1443" s="867"/>
      <c r="HT1443" s="868"/>
      <c r="HU1443" s="489"/>
      <c r="HV1443" s="865"/>
      <c r="HW1443" s="866"/>
    </row>
    <row r="1444" spans="25:231" ht="15" customHeight="1">
      <c r="Y1444" s="332"/>
      <c r="Z1444" s="332"/>
      <c r="AA1444" s="332"/>
      <c r="AB1444" s="332"/>
      <c r="AC1444" s="332"/>
      <c r="AD1444" s="332"/>
      <c r="AE1444" s="332"/>
      <c r="AF1444" s="332"/>
      <c r="AG1444" s="332"/>
      <c r="AH1444" s="332"/>
      <c r="AI1444" s="332"/>
      <c r="AJ1444" s="332"/>
      <c r="AK1444" s="332"/>
      <c r="AL1444" s="332"/>
      <c r="AM1444" s="332"/>
      <c r="AN1444" s="332"/>
      <c r="AO1444" s="332"/>
      <c r="AP1444" s="332"/>
      <c r="AQ1444" s="332"/>
      <c r="AR1444" s="332"/>
      <c r="AS1444" s="332"/>
      <c r="AT1444" s="332"/>
      <c r="AU1444" s="332"/>
      <c r="AV1444" s="332"/>
      <c r="AW1444" s="332"/>
      <c r="AX1444" s="332"/>
      <c r="AY1444" s="332"/>
      <c r="AZ1444" s="332"/>
      <c r="BA1444" s="332"/>
      <c r="BB1444" s="332"/>
      <c r="BC1444" s="332"/>
      <c r="BD1444" s="332"/>
      <c r="BE1444" s="332"/>
      <c r="BF1444" s="332"/>
      <c r="BG1444" s="332"/>
      <c r="BH1444" s="332"/>
      <c r="BI1444" s="332"/>
      <c r="BJ1444" s="332"/>
      <c r="BK1444" s="332"/>
      <c r="BL1444" s="332"/>
      <c r="BM1444" s="332"/>
      <c r="BN1444" s="332"/>
      <c r="BO1444" s="332"/>
      <c r="BP1444" s="332"/>
      <c r="BQ1444" s="332"/>
      <c r="BR1444" s="332"/>
      <c r="BS1444" s="332"/>
      <c r="BT1444" s="332"/>
      <c r="BU1444" s="332"/>
      <c r="BV1444" s="332"/>
      <c r="BW1444" s="332"/>
      <c r="BX1444" s="332"/>
      <c r="BY1444" s="332"/>
      <c r="BZ1444" s="332"/>
      <c r="CA1444" s="332"/>
      <c r="CB1444" s="332"/>
      <c r="CC1444" s="332"/>
      <c r="CD1444" s="332"/>
      <c r="CE1444" s="332"/>
      <c r="CF1444" s="332"/>
      <c r="CG1444" s="332"/>
      <c r="CH1444" s="332"/>
      <c r="CI1444" s="332"/>
      <c r="CJ1444" s="332"/>
      <c r="CK1444" s="332"/>
      <c r="CL1444" s="332"/>
      <c r="CM1444" s="332"/>
      <c r="CN1444" s="332"/>
      <c r="CO1444" s="332"/>
      <c r="CP1444" s="332"/>
      <c r="CQ1444" s="332"/>
      <c r="CR1444" s="332"/>
      <c r="CS1444" s="332"/>
      <c r="CT1444" s="332"/>
      <c r="CU1444" s="332"/>
      <c r="CV1444" s="332"/>
      <c r="CW1444" s="332"/>
      <c r="CX1444" s="332"/>
      <c r="CY1444" s="332"/>
      <c r="CZ1444" s="332"/>
      <c r="DA1444" s="332"/>
      <c r="DB1444" s="332"/>
      <c r="DC1444" s="332"/>
      <c r="DD1444" s="332"/>
      <c r="DE1444" s="332"/>
      <c r="DF1444" s="332"/>
      <c r="DG1444" s="332"/>
      <c r="DH1444" s="332"/>
      <c r="DI1444" s="332"/>
      <c r="DJ1444" s="332"/>
      <c r="DK1444" s="332"/>
      <c r="DL1444" s="332"/>
      <c r="DM1444" s="332"/>
      <c r="DN1444" s="332"/>
      <c r="DO1444" s="332"/>
      <c r="DP1444" s="332"/>
      <c r="DQ1444" s="332"/>
      <c r="DR1444" s="332"/>
      <c r="DS1444" s="332"/>
      <c r="DT1444" s="332"/>
      <c r="DU1444" s="453"/>
      <c r="DV1444" s="453"/>
      <c r="DW1444" s="453"/>
      <c r="DX1444" s="453"/>
      <c r="DY1444" s="453"/>
      <c r="DZ1444" s="453"/>
      <c r="EA1444" s="453"/>
      <c r="EB1444" s="453"/>
      <c r="EC1444" s="453"/>
      <c r="ED1444" s="453"/>
      <c r="EE1444" s="453"/>
      <c r="EF1444" s="453"/>
      <c r="EG1444" s="453"/>
      <c r="EH1444" s="453"/>
      <c r="EI1444" s="453"/>
      <c r="EJ1444" s="453"/>
      <c r="EK1444" s="453"/>
      <c r="EL1444" s="453"/>
      <c r="EM1444" s="483">
        <f t="shared" si="264"/>
        <v>1135</v>
      </c>
      <c r="EN1444" s="485"/>
      <c r="EO1444" s="458"/>
      <c r="EP1444" s="467"/>
      <c r="EQ1444" s="457"/>
      <c r="ER1444" s="808"/>
      <c r="ES1444" s="881">
        <f t="shared" si="265"/>
        <v>0</v>
      </c>
      <c r="ET1444" s="882"/>
      <c r="EU1444" s="883"/>
      <c r="EV1444" s="884">
        <f t="shared" si="266"/>
        <v>0</v>
      </c>
      <c r="EW1444" s="885"/>
      <c r="EX1444" s="885"/>
      <c r="EY1444" s="885"/>
      <c r="EZ1444" s="885"/>
      <c r="FA1444" s="885"/>
      <c r="FB1444" s="885"/>
      <c r="FC1444" s="885"/>
      <c r="FD1444" s="886"/>
      <c r="FE1444" s="877"/>
      <c r="FF1444" s="877"/>
      <c r="FG1444" s="877"/>
      <c r="FH1444" s="877"/>
      <c r="FI1444" s="877"/>
      <c r="FJ1444" s="877"/>
      <c r="FK1444" s="877"/>
      <c r="FL1444" s="874"/>
      <c r="FM1444" s="875"/>
      <c r="FN1444" s="875"/>
      <c r="FO1444" s="875"/>
      <c r="FP1444" s="875"/>
      <c r="FQ1444" s="875"/>
      <c r="FR1444" s="875"/>
      <c r="FS1444" s="875"/>
      <c r="FT1444" s="875"/>
      <c r="FU1444" s="875"/>
      <c r="FV1444" s="875"/>
      <c r="FW1444" s="875"/>
      <c r="FX1444" s="875"/>
      <c r="FY1444" s="875"/>
      <c r="FZ1444" s="875"/>
      <c r="GA1444" s="875"/>
      <c r="GB1444" s="876"/>
      <c r="GC1444" s="370"/>
      <c r="GD1444" s="453"/>
      <c r="GE1444" s="453"/>
      <c r="GF1444" s="453"/>
      <c r="GG1444" s="453"/>
      <c r="GH1444" s="454"/>
      <c r="GI1444" s="453"/>
      <c r="GJ1444" s="453"/>
      <c r="GK1444" s="453"/>
      <c r="GL1444" s="453"/>
      <c r="GM1444" s="453"/>
      <c r="GN1444" s="453"/>
      <c r="GO1444" s="453"/>
      <c r="GP1444" s="453"/>
      <c r="GQ1444" s="453"/>
      <c r="GR1444" s="453"/>
      <c r="GS1444" s="561"/>
      <c r="GT1444" s="475"/>
      <c r="GU1444" s="472"/>
      <c r="GV1444" s="453"/>
      <c r="GW1444" s="453"/>
      <c r="GX1444" s="869"/>
      <c r="GY1444" s="870"/>
      <c r="GZ1444" s="867"/>
      <c r="HA1444" s="868"/>
      <c r="HB1444" s="473"/>
      <c r="HC1444" s="869"/>
      <c r="HD1444" s="870"/>
      <c r="HE1444" s="867"/>
      <c r="HF1444" s="868"/>
      <c r="HG1444" s="473"/>
      <c r="HH1444" s="867"/>
      <c r="HI1444" s="868"/>
      <c r="HJ1444" s="867"/>
      <c r="HK1444" s="868"/>
      <c r="HL1444" s="370"/>
      <c r="HM1444" s="865"/>
      <c r="HN1444" s="866"/>
      <c r="HO1444" s="865"/>
      <c r="HP1444" s="866"/>
      <c r="HQ1444" s="865"/>
      <c r="HR1444" s="866"/>
      <c r="HS1444" s="867"/>
      <c r="HT1444" s="868"/>
      <c r="HU1444" s="489"/>
      <c r="HV1444" s="865"/>
      <c r="HW1444" s="866"/>
    </row>
    <row r="1445" spans="25:231" ht="15" customHeight="1">
      <c r="Y1445" s="332"/>
      <c r="Z1445" s="332"/>
      <c r="AA1445" s="332"/>
      <c r="AB1445" s="332"/>
      <c r="AC1445" s="332"/>
      <c r="AD1445" s="332"/>
      <c r="AE1445" s="332"/>
      <c r="AF1445" s="332"/>
      <c r="AG1445" s="332"/>
      <c r="AH1445" s="332"/>
      <c r="AI1445" s="332"/>
      <c r="AJ1445" s="332"/>
      <c r="AK1445" s="332"/>
      <c r="AL1445" s="332"/>
      <c r="AM1445" s="332"/>
      <c r="AN1445" s="332"/>
      <c r="AO1445" s="332"/>
      <c r="AP1445" s="332"/>
      <c r="AQ1445" s="332"/>
      <c r="AR1445" s="332"/>
      <c r="AS1445" s="332"/>
      <c r="AT1445" s="332"/>
      <c r="AU1445" s="332"/>
      <c r="AV1445" s="332"/>
      <c r="AW1445" s="332"/>
      <c r="AX1445" s="332"/>
      <c r="AY1445" s="332"/>
      <c r="AZ1445" s="332"/>
      <c r="BA1445" s="332"/>
      <c r="BB1445" s="332"/>
      <c r="BC1445" s="332"/>
      <c r="BD1445" s="332"/>
      <c r="BE1445" s="332"/>
      <c r="BF1445" s="332"/>
      <c r="BG1445" s="332"/>
      <c r="BH1445" s="332"/>
      <c r="BI1445" s="332"/>
      <c r="BJ1445" s="332"/>
      <c r="BK1445" s="332"/>
      <c r="BL1445" s="332"/>
      <c r="BM1445" s="332"/>
      <c r="BN1445" s="332"/>
      <c r="BO1445" s="332"/>
      <c r="BP1445" s="332"/>
      <c r="BQ1445" s="332"/>
      <c r="BR1445" s="332"/>
      <c r="BS1445" s="332"/>
      <c r="BT1445" s="332"/>
      <c r="BU1445" s="332"/>
      <c r="BV1445" s="332"/>
      <c r="BW1445" s="332"/>
      <c r="BX1445" s="332"/>
      <c r="BY1445" s="332"/>
      <c r="BZ1445" s="332"/>
      <c r="CA1445" s="332"/>
      <c r="CB1445" s="332"/>
      <c r="CC1445" s="332"/>
      <c r="CD1445" s="332"/>
      <c r="CE1445" s="332"/>
      <c r="CF1445" s="332"/>
      <c r="CG1445" s="332"/>
      <c r="CH1445" s="332"/>
      <c r="CI1445" s="332"/>
      <c r="CJ1445" s="332"/>
      <c r="CK1445" s="332"/>
      <c r="CL1445" s="332"/>
      <c r="CM1445" s="332"/>
      <c r="CN1445" s="332"/>
      <c r="CO1445" s="332"/>
      <c r="CP1445" s="332"/>
      <c r="CQ1445" s="332"/>
      <c r="CR1445" s="332"/>
      <c r="CS1445" s="332"/>
      <c r="CT1445" s="332"/>
      <c r="CU1445" s="332"/>
      <c r="CV1445" s="332"/>
      <c r="CW1445" s="332"/>
      <c r="CX1445" s="332"/>
      <c r="CY1445" s="332"/>
      <c r="CZ1445" s="332"/>
      <c r="DA1445" s="332"/>
      <c r="DB1445" s="332"/>
      <c r="DC1445" s="332"/>
      <c r="DD1445" s="332"/>
      <c r="DE1445" s="332"/>
      <c r="DF1445" s="332"/>
      <c r="DG1445" s="332"/>
      <c r="DH1445" s="332"/>
      <c r="DI1445" s="332"/>
      <c r="DJ1445" s="332"/>
      <c r="DK1445" s="332"/>
      <c r="DL1445" s="332"/>
      <c r="DM1445" s="332"/>
      <c r="DN1445" s="332"/>
      <c r="DO1445" s="332"/>
      <c r="DP1445" s="332"/>
      <c r="DQ1445" s="332"/>
      <c r="DR1445" s="332"/>
      <c r="DS1445" s="332"/>
      <c r="DT1445" s="332"/>
      <c r="DU1445" s="453"/>
      <c r="DV1445" s="453"/>
      <c r="DW1445" s="453"/>
      <c r="DX1445" s="453"/>
      <c r="DY1445" s="453"/>
      <c r="DZ1445" s="453"/>
      <c r="EA1445" s="453"/>
      <c r="EB1445" s="453"/>
      <c r="EC1445" s="453"/>
      <c r="ED1445" s="453"/>
      <c r="EE1445" s="453"/>
      <c r="EF1445" s="453"/>
      <c r="EG1445" s="453"/>
      <c r="EH1445" s="453"/>
      <c r="EI1445" s="453"/>
      <c r="EJ1445" s="453"/>
      <c r="EK1445" s="453"/>
      <c r="EL1445" s="453"/>
      <c r="EM1445" s="483">
        <f t="shared" si="264"/>
        <v>1136</v>
      </c>
      <c r="EN1445" s="485"/>
      <c r="EO1445" s="458"/>
      <c r="EP1445" s="467"/>
      <c r="EQ1445" s="457"/>
      <c r="ER1445" s="808"/>
      <c r="ES1445" s="881">
        <f t="shared" si="265"/>
        <v>0</v>
      </c>
      <c r="ET1445" s="882"/>
      <c r="EU1445" s="883"/>
      <c r="EV1445" s="884">
        <f t="shared" si="266"/>
        <v>0</v>
      </c>
      <c r="EW1445" s="885"/>
      <c r="EX1445" s="885"/>
      <c r="EY1445" s="885"/>
      <c r="EZ1445" s="885"/>
      <c r="FA1445" s="885"/>
      <c r="FB1445" s="885"/>
      <c r="FC1445" s="885"/>
      <c r="FD1445" s="886"/>
      <c r="FE1445" s="877"/>
      <c r="FF1445" s="877"/>
      <c r="FG1445" s="877"/>
      <c r="FH1445" s="877"/>
      <c r="FI1445" s="877"/>
      <c r="FJ1445" s="877"/>
      <c r="FK1445" s="877"/>
      <c r="FL1445" s="874"/>
      <c r="FM1445" s="875"/>
      <c r="FN1445" s="875"/>
      <c r="FO1445" s="875"/>
      <c r="FP1445" s="875"/>
      <c r="FQ1445" s="875"/>
      <c r="FR1445" s="875"/>
      <c r="FS1445" s="875"/>
      <c r="FT1445" s="875"/>
      <c r="FU1445" s="875"/>
      <c r="FV1445" s="875"/>
      <c r="FW1445" s="875"/>
      <c r="FX1445" s="875"/>
      <c r="FY1445" s="875"/>
      <c r="FZ1445" s="875"/>
      <c r="GA1445" s="875"/>
      <c r="GB1445" s="876"/>
      <c r="GC1445" s="370"/>
      <c r="GD1445" s="453"/>
      <c r="GE1445" s="453"/>
      <c r="GF1445" s="453"/>
      <c r="GG1445" s="453"/>
      <c r="GH1445" s="454"/>
      <c r="GI1445" s="453"/>
      <c r="GJ1445" s="453"/>
      <c r="GK1445" s="453"/>
      <c r="GL1445" s="453"/>
      <c r="GM1445" s="453"/>
      <c r="GN1445" s="453"/>
      <c r="GO1445" s="453"/>
      <c r="GP1445" s="453"/>
      <c r="GQ1445" s="453"/>
      <c r="GR1445" s="453"/>
      <c r="GS1445" s="561"/>
      <c r="GT1445" s="475"/>
      <c r="GU1445" s="472"/>
      <c r="GV1445" s="453"/>
      <c r="GW1445" s="453"/>
      <c r="GX1445" s="869"/>
      <c r="GY1445" s="870"/>
      <c r="GZ1445" s="867"/>
      <c r="HA1445" s="868"/>
      <c r="HB1445" s="473"/>
      <c r="HC1445" s="869"/>
      <c r="HD1445" s="870"/>
      <c r="HE1445" s="867"/>
      <c r="HF1445" s="868"/>
      <c r="HG1445" s="473"/>
      <c r="HH1445" s="867"/>
      <c r="HI1445" s="868"/>
      <c r="HJ1445" s="867"/>
      <c r="HK1445" s="868"/>
      <c r="HL1445" s="370"/>
      <c r="HM1445" s="865"/>
      <c r="HN1445" s="866"/>
      <c r="HO1445" s="865"/>
      <c r="HP1445" s="866"/>
      <c r="HQ1445" s="865"/>
      <c r="HR1445" s="866"/>
      <c r="HS1445" s="867"/>
      <c r="HT1445" s="868"/>
      <c r="HU1445" s="489"/>
      <c r="HV1445" s="865"/>
      <c r="HW1445" s="866"/>
    </row>
    <row r="1446" spans="25:231" ht="15" customHeight="1">
      <c r="Y1446" s="332"/>
      <c r="Z1446" s="332"/>
      <c r="AA1446" s="332"/>
      <c r="AB1446" s="332"/>
      <c r="AC1446" s="332"/>
      <c r="AD1446" s="332"/>
      <c r="AE1446" s="332"/>
      <c r="AF1446" s="332"/>
      <c r="AG1446" s="332"/>
      <c r="AH1446" s="332"/>
      <c r="AI1446" s="332"/>
      <c r="AJ1446" s="332"/>
      <c r="AK1446" s="332"/>
      <c r="AL1446" s="332"/>
      <c r="AM1446" s="332"/>
      <c r="AN1446" s="332"/>
      <c r="AO1446" s="332"/>
      <c r="AP1446" s="332"/>
      <c r="AQ1446" s="332"/>
      <c r="AR1446" s="332"/>
      <c r="AS1446" s="332"/>
      <c r="AT1446" s="332"/>
      <c r="AU1446" s="332"/>
      <c r="AV1446" s="332"/>
      <c r="AW1446" s="332"/>
      <c r="AX1446" s="332"/>
      <c r="AY1446" s="332"/>
      <c r="AZ1446" s="332"/>
      <c r="BA1446" s="332"/>
      <c r="BB1446" s="332"/>
      <c r="BC1446" s="332"/>
      <c r="BD1446" s="332"/>
      <c r="BE1446" s="332"/>
      <c r="BF1446" s="332"/>
      <c r="BG1446" s="332"/>
      <c r="BH1446" s="332"/>
      <c r="BI1446" s="332"/>
      <c r="BJ1446" s="332"/>
      <c r="BK1446" s="332"/>
      <c r="BL1446" s="332"/>
      <c r="BM1446" s="332"/>
      <c r="BN1446" s="332"/>
      <c r="BO1446" s="332"/>
      <c r="BP1446" s="332"/>
      <c r="BQ1446" s="332"/>
      <c r="BR1446" s="332"/>
      <c r="BS1446" s="332"/>
      <c r="BT1446" s="332"/>
      <c r="BU1446" s="332"/>
      <c r="BV1446" s="332"/>
      <c r="BW1446" s="332"/>
      <c r="BX1446" s="332"/>
      <c r="BY1446" s="332"/>
      <c r="BZ1446" s="332"/>
      <c r="CA1446" s="332"/>
      <c r="CB1446" s="332"/>
      <c r="CC1446" s="332"/>
      <c r="CD1446" s="332"/>
      <c r="CE1446" s="332"/>
      <c r="CF1446" s="332"/>
      <c r="CG1446" s="332"/>
      <c r="CH1446" s="332"/>
      <c r="CI1446" s="332"/>
      <c r="CJ1446" s="332"/>
      <c r="CK1446" s="332"/>
      <c r="CL1446" s="332"/>
      <c r="CM1446" s="332"/>
      <c r="CN1446" s="332"/>
      <c r="CO1446" s="332"/>
      <c r="CP1446" s="332"/>
      <c r="CQ1446" s="332"/>
      <c r="CR1446" s="332"/>
      <c r="CS1446" s="332"/>
      <c r="CT1446" s="332"/>
      <c r="CU1446" s="332"/>
      <c r="CV1446" s="332"/>
      <c r="CW1446" s="332"/>
      <c r="CX1446" s="332"/>
      <c r="CY1446" s="332"/>
      <c r="CZ1446" s="332"/>
      <c r="DA1446" s="332"/>
      <c r="DB1446" s="332"/>
      <c r="DC1446" s="332"/>
      <c r="DD1446" s="332"/>
      <c r="DE1446" s="332"/>
      <c r="DF1446" s="332"/>
      <c r="DG1446" s="332"/>
      <c r="DH1446" s="332"/>
      <c r="DI1446" s="332"/>
      <c r="DJ1446" s="332"/>
      <c r="DK1446" s="332"/>
      <c r="DL1446" s="332"/>
      <c r="DM1446" s="332"/>
      <c r="DN1446" s="332"/>
      <c r="DO1446" s="332"/>
      <c r="DP1446" s="332"/>
      <c r="DQ1446" s="332"/>
      <c r="DR1446" s="332"/>
      <c r="DS1446" s="332"/>
      <c r="DT1446" s="332"/>
      <c r="DU1446" s="453"/>
      <c r="DV1446" s="453"/>
      <c r="DW1446" s="453"/>
      <c r="DX1446" s="453"/>
      <c r="DY1446" s="453"/>
      <c r="DZ1446" s="453"/>
      <c r="EA1446" s="453"/>
      <c r="EB1446" s="453"/>
      <c r="EC1446" s="453"/>
      <c r="ED1446" s="453"/>
      <c r="EE1446" s="453"/>
      <c r="EF1446" s="453"/>
      <c r="EG1446" s="453"/>
      <c r="EH1446" s="453"/>
      <c r="EI1446" s="453"/>
      <c r="EJ1446" s="453"/>
      <c r="EK1446" s="453"/>
      <c r="EL1446" s="453"/>
      <c r="EM1446" s="483">
        <f t="shared" ref="EM1446:EM1500" si="267">+EM1445+1</f>
        <v>1137</v>
      </c>
      <c r="EN1446" s="485"/>
      <c r="EO1446" s="458"/>
      <c r="EP1446" s="467"/>
      <c r="EQ1446" s="457"/>
      <c r="ER1446" s="808"/>
      <c r="ES1446" s="881">
        <f t="shared" si="265"/>
        <v>0</v>
      </c>
      <c r="ET1446" s="882"/>
      <c r="EU1446" s="883"/>
      <c r="EV1446" s="884">
        <f t="shared" si="266"/>
        <v>0</v>
      </c>
      <c r="EW1446" s="885"/>
      <c r="EX1446" s="885"/>
      <c r="EY1446" s="885"/>
      <c r="EZ1446" s="885"/>
      <c r="FA1446" s="885"/>
      <c r="FB1446" s="885"/>
      <c r="FC1446" s="885"/>
      <c r="FD1446" s="886"/>
      <c r="FE1446" s="877"/>
      <c r="FF1446" s="877"/>
      <c r="FG1446" s="877"/>
      <c r="FH1446" s="877"/>
      <c r="FI1446" s="877"/>
      <c r="FJ1446" s="877"/>
      <c r="FK1446" s="877"/>
      <c r="FL1446" s="874"/>
      <c r="FM1446" s="875"/>
      <c r="FN1446" s="875"/>
      <c r="FO1446" s="875"/>
      <c r="FP1446" s="875"/>
      <c r="FQ1446" s="875"/>
      <c r="FR1446" s="875"/>
      <c r="FS1446" s="875"/>
      <c r="FT1446" s="875"/>
      <c r="FU1446" s="875"/>
      <c r="FV1446" s="875"/>
      <c r="FW1446" s="875"/>
      <c r="FX1446" s="875"/>
      <c r="FY1446" s="875"/>
      <c r="FZ1446" s="875"/>
      <c r="GA1446" s="875"/>
      <c r="GB1446" s="876"/>
      <c r="GC1446" s="370"/>
      <c r="GD1446" s="453"/>
      <c r="GE1446" s="453"/>
      <c r="GF1446" s="453"/>
      <c r="GG1446" s="453"/>
      <c r="GH1446" s="454"/>
      <c r="GI1446" s="453"/>
      <c r="GJ1446" s="453"/>
      <c r="GK1446" s="453"/>
      <c r="GL1446" s="453"/>
      <c r="GM1446" s="453"/>
      <c r="GN1446" s="453"/>
      <c r="GO1446" s="453"/>
      <c r="GP1446" s="453"/>
      <c r="GQ1446" s="453"/>
      <c r="GR1446" s="453"/>
      <c r="GS1446" s="561"/>
      <c r="GT1446" s="475"/>
      <c r="GU1446" s="472"/>
      <c r="GV1446" s="453"/>
      <c r="GW1446" s="453"/>
      <c r="GX1446" s="869"/>
      <c r="GY1446" s="870"/>
      <c r="GZ1446" s="867"/>
      <c r="HA1446" s="868"/>
      <c r="HB1446" s="473"/>
      <c r="HC1446" s="869"/>
      <c r="HD1446" s="870"/>
      <c r="HE1446" s="867"/>
      <c r="HF1446" s="868"/>
      <c r="HG1446" s="473"/>
      <c r="HH1446" s="867"/>
      <c r="HI1446" s="868"/>
      <c r="HJ1446" s="867"/>
      <c r="HK1446" s="868"/>
      <c r="HL1446" s="370"/>
      <c r="HM1446" s="865"/>
      <c r="HN1446" s="866"/>
      <c r="HO1446" s="865"/>
      <c r="HP1446" s="866"/>
      <c r="HQ1446" s="865"/>
      <c r="HR1446" s="866"/>
      <c r="HS1446" s="867"/>
      <c r="HT1446" s="868"/>
      <c r="HU1446" s="489"/>
      <c r="HV1446" s="865"/>
      <c r="HW1446" s="866"/>
    </row>
    <row r="1447" spans="25:231" ht="15" customHeight="1">
      <c r="Y1447" s="332"/>
      <c r="Z1447" s="332"/>
      <c r="AA1447" s="332"/>
      <c r="AB1447" s="332"/>
      <c r="AC1447" s="332"/>
      <c r="AD1447" s="332"/>
      <c r="AE1447" s="332"/>
      <c r="AF1447" s="332"/>
      <c r="AG1447" s="332"/>
      <c r="AH1447" s="332"/>
      <c r="AI1447" s="332"/>
      <c r="AJ1447" s="332"/>
      <c r="AK1447" s="332"/>
      <c r="AL1447" s="332"/>
      <c r="AM1447" s="332"/>
      <c r="AN1447" s="332"/>
      <c r="AO1447" s="332"/>
      <c r="AP1447" s="332"/>
      <c r="AQ1447" s="332"/>
      <c r="AR1447" s="332"/>
      <c r="AS1447" s="332"/>
      <c r="AT1447" s="332"/>
      <c r="AU1447" s="332"/>
      <c r="AV1447" s="332"/>
      <c r="AW1447" s="332"/>
      <c r="AX1447" s="332"/>
      <c r="AY1447" s="332"/>
      <c r="AZ1447" s="332"/>
      <c r="BA1447" s="332"/>
      <c r="BB1447" s="332"/>
      <c r="BC1447" s="332"/>
      <c r="BD1447" s="332"/>
      <c r="BE1447" s="332"/>
      <c r="BF1447" s="332"/>
      <c r="BG1447" s="332"/>
      <c r="BH1447" s="332"/>
      <c r="BI1447" s="332"/>
      <c r="BJ1447" s="332"/>
      <c r="BK1447" s="332"/>
      <c r="BL1447" s="332"/>
      <c r="BM1447" s="332"/>
      <c r="BN1447" s="332"/>
      <c r="BO1447" s="332"/>
      <c r="BP1447" s="332"/>
      <c r="BQ1447" s="332"/>
      <c r="BR1447" s="332"/>
      <c r="BS1447" s="332"/>
      <c r="BT1447" s="332"/>
      <c r="BU1447" s="332"/>
      <c r="BV1447" s="332"/>
      <c r="BW1447" s="332"/>
      <c r="BX1447" s="332"/>
      <c r="BY1447" s="332"/>
      <c r="BZ1447" s="332"/>
      <c r="CA1447" s="332"/>
      <c r="CB1447" s="332"/>
      <c r="CC1447" s="332"/>
      <c r="CD1447" s="332"/>
      <c r="CE1447" s="332"/>
      <c r="CF1447" s="332"/>
      <c r="CG1447" s="332"/>
      <c r="CH1447" s="332"/>
      <c r="CI1447" s="332"/>
      <c r="CJ1447" s="332"/>
      <c r="CK1447" s="332"/>
      <c r="CL1447" s="332"/>
      <c r="CM1447" s="332"/>
      <c r="CN1447" s="332"/>
      <c r="CO1447" s="332"/>
      <c r="CP1447" s="332"/>
      <c r="CQ1447" s="332"/>
      <c r="CR1447" s="332"/>
      <c r="CS1447" s="332"/>
      <c r="CT1447" s="332"/>
      <c r="CU1447" s="332"/>
      <c r="CV1447" s="332"/>
      <c r="CW1447" s="332"/>
      <c r="CX1447" s="332"/>
      <c r="CY1447" s="332"/>
      <c r="CZ1447" s="332"/>
      <c r="DA1447" s="332"/>
      <c r="DB1447" s="332"/>
      <c r="DC1447" s="332"/>
      <c r="DD1447" s="332"/>
      <c r="DE1447" s="332"/>
      <c r="DF1447" s="332"/>
      <c r="DG1447" s="332"/>
      <c r="DH1447" s="332"/>
      <c r="DI1447" s="332"/>
      <c r="DJ1447" s="332"/>
      <c r="DK1447" s="332"/>
      <c r="DL1447" s="332"/>
      <c r="DM1447" s="332"/>
      <c r="DN1447" s="332"/>
      <c r="DO1447" s="332"/>
      <c r="DP1447" s="332"/>
      <c r="DQ1447" s="332"/>
      <c r="DR1447" s="332"/>
      <c r="DS1447" s="332"/>
      <c r="DT1447" s="332"/>
      <c r="DU1447" s="453"/>
      <c r="DV1447" s="453"/>
      <c r="DW1447" s="453"/>
      <c r="DX1447" s="453"/>
      <c r="DY1447" s="453"/>
      <c r="DZ1447" s="453"/>
      <c r="EA1447" s="453"/>
      <c r="EB1447" s="453"/>
      <c r="EC1447" s="453"/>
      <c r="ED1447" s="453"/>
      <c r="EE1447" s="453"/>
      <c r="EF1447" s="453"/>
      <c r="EG1447" s="453"/>
      <c r="EH1447" s="453"/>
      <c r="EI1447" s="453"/>
      <c r="EJ1447" s="453"/>
      <c r="EK1447" s="453"/>
      <c r="EL1447" s="453"/>
      <c r="EM1447" s="483">
        <f t="shared" si="267"/>
        <v>1138</v>
      </c>
      <c r="EN1447" s="485"/>
      <c r="EO1447" s="458"/>
      <c r="EP1447" s="467"/>
      <c r="EQ1447" s="457"/>
      <c r="ER1447" s="808"/>
      <c r="ES1447" s="881">
        <f t="shared" si="265"/>
        <v>0</v>
      </c>
      <c r="ET1447" s="882"/>
      <c r="EU1447" s="883"/>
      <c r="EV1447" s="884">
        <f t="shared" si="266"/>
        <v>0</v>
      </c>
      <c r="EW1447" s="885"/>
      <c r="EX1447" s="885"/>
      <c r="EY1447" s="885"/>
      <c r="EZ1447" s="885"/>
      <c r="FA1447" s="885"/>
      <c r="FB1447" s="885"/>
      <c r="FC1447" s="885"/>
      <c r="FD1447" s="886"/>
      <c r="FE1447" s="877"/>
      <c r="FF1447" s="877"/>
      <c r="FG1447" s="877"/>
      <c r="FH1447" s="877"/>
      <c r="FI1447" s="877"/>
      <c r="FJ1447" s="877"/>
      <c r="FK1447" s="877"/>
      <c r="FL1447" s="874"/>
      <c r="FM1447" s="875"/>
      <c r="FN1447" s="875"/>
      <c r="FO1447" s="875"/>
      <c r="FP1447" s="875"/>
      <c r="FQ1447" s="875"/>
      <c r="FR1447" s="875"/>
      <c r="FS1447" s="875"/>
      <c r="FT1447" s="875"/>
      <c r="FU1447" s="875"/>
      <c r="FV1447" s="875"/>
      <c r="FW1447" s="875"/>
      <c r="FX1447" s="875"/>
      <c r="FY1447" s="875"/>
      <c r="FZ1447" s="875"/>
      <c r="GA1447" s="875"/>
      <c r="GB1447" s="876"/>
      <c r="GC1447" s="370"/>
      <c r="GD1447" s="453"/>
      <c r="GE1447" s="453"/>
      <c r="GF1447" s="453"/>
      <c r="GG1447" s="453"/>
      <c r="GH1447" s="454"/>
      <c r="GI1447" s="453"/>
      <c r="GJ1447" s="453"/>
      <c r="GK1447" s="453"/>
      <c r="GL1447" s="453"/>
      <c r="GM1447" s="453"/>
      <c r="GN1447" s="453"/>
      <c r="GO1447" s="453"/>
      <c r="GP1447" s="453"/>
      <c r="GQ1447" s="453"/>
      <c r="GR1447" s="453"/>
      <c r="GS1447" s="561"/>
      <c r="GT1447" s="475"/>
      <c r="GU1447" s="472"/>
      <c r="GV1447" s="453"/>
      <c r="GW1447" s="453"/>
      <c r="GX1447" s="869"/>
      <c r="GY1447" s="870"/>
      <c r="GZ1447" s="867"/>
      <c r="HA1447" s="868"/>
      <c r="HB1447" s="473"/>
      <c r="HC1447" s="869"/>
      <c r="HD1447" s="870"/>
      <c r="HE1447" s="867"/>
      <c r="HF1447" s="868"/>
      <c r="HG1447" s="473"/>
      <c r="HH1447" s="867"/>
      <c r="HI1447" s="868"/>
      <c r="HJ1447" s="867"/>
      <c r="HK1447" s="868"/>
      <c r="HL1447" s="370"/>
      <c r="HM1447" s="865"/>
      <c r="HN1447" s="866"/>
      <c r="HO1447" s="865"/>
      <c r="HP1447" s="866"/>
      <c r="HQ1447" s="865"/>
      <c r="HR1447" s="866"/>
      <c r="HS1447" s="867"/>
      <c r="HT1447" s="868"/>
      <c r="HU1447" s="489"/>
      <c r="HV1447" s="865"/>
      <c r="HW1447" s="866"/>
    </row>
    <row r="1448" spans="25:231" ht="15" customHeight="1">
      <c r="Y1448" s="332"/>
      <c r="Z1448" s="332"/>
      <c r="AA1448" s="332"/>
      <c r="AB1448" s="332"/>
      <c r="AC1448" s="332"/>
      <c r="AD1448" s="332"/>
      <c r="AE1448" s="332"/>
      <c r="AF1448" s="332"/>
      <c r="AG1448" s="332"/>
      <c r="AH1448" s="332"/>
      <c r="AI1448" s="332"/>
      <c r="AJ1448" s="332"/>
      <c r="AK1448" s="332"/>
      <c r="AL1448" s="332"/>
      <c r="AM1448" s="332"/>
      <c r="AN1448" s="332"/>
      <c r="AO1448" s="332"/>
      <c r="AP1448" s="332"/>
      <c r="AQ1448" s="332"/>
      <c r="AR1448" s="332"/>
      <c r="AS1448" s="332"/>
      <c r="AT1448" s="332"/>
      <c r="AU1448" s="332"/>
      <c r="AV1448" s="332"/>
      <c r="AW1448" s="332"/>
      <c r="AX1448" s="332"/>
      <c r="AY1448" s="332"/>
      <c r="AZ1448" s="332"/>
      <c r="BA1448" s="332"/>
      <c r="BB1448" s="332"/>
      <c r="BC1448" s="332"/>
      <c r="BD1448" s="332"/>
      <c r="BE1448" s="332"/>
      <c r="BF1448" s="332"/>
      <c r="BG1448" s="332"/>
      <c r="BH1448" s="332"/>
      <c r="BI1448" s="332"/>
      <c r="BJ1448" s="332"/>
      <c r="BK1448" s="332"/>
      <c r="BL1448" s="332"/>
      <c r="BM1448" s="332"/>
      <c r="BN1448" s="332"/>
      <c r="BO1448" s="332"/>
      <c r="BP1448" s="332"/>
      <c r="BQ1448" s="332"/>
      <c r="BR1448" s="332"/>
      <c r="BS1448" s="332"/>
      <c r="BT1448" s="332"/>
      <c r="BU1448" s="332"/>
      <c r="BV1448" s="332"/>
      <c r="BW1448" s="332"/>
      <c r="BX1448" s="332"/>
      <c r="BY1448" s="332"/>
      <c r="BZ1448" s="332"/>
      <c r="CA1448" s="332"/>
      <c r="CB1448" s="332"/>
      <c r="CC1448" s="332"/>
      <c r="CD1448" s="332"/>
      <c r="CE1448" s="332"/>
      <c r="CF1448" s="332"/>
      <c r="CG1448" s="332"/>
      <c r="CH1448" s="332"/>
      <c r="CI1448" s="332"/>
      <c r="CJ1448" s="332"/>
      <c r="CK1448" s="332"/>
      <c r="CL1448" s="332"/>
      <c r="CM1448" s="332"/>
      <c r="CN1448" s="332"/>
      <c r="CO1448" s="332"/>
      <c r="CP1448" s="332"/>
      <c r="CQ1448" s="332"/>
      <c r="CR1448" s="332"/>
      <c r="CS1448" s="332"/>
      <c r="CT1448" s="332"/>
      <c r="CU1448" s="332"/>
      <c r="CV1448" s="332"/>
      <c r="CW1448" s="332"/>
      <c r="CX1448" s="332"/>
      <c r="CY1448" s="332"/>
      <c r="CZ1448" s="332"/>
      <c r="DA1448" s="332"/>
      <c r="DB1448" s="332"/>
      <c r="DC1448" s="332"/>
      <c r="DD1448" s="332"/>
      <c r="DE1448" s="332"/>
      <c r="DF1448" s="332"/>
      <c r="DG1448" s="332"/>
      <c r="DH1448" s="332"/>
      <c r="DI1448" s="332"/>
      <c r="DJ1448" s="332"/>
      <c r="DK1448" s="332"/>
      <c r="DL1448" s="332"/>
      <c r="DM1448" s="332"/>
      <c r="DN1448" s="332"/>
      <c r="DO1448" s="332"/>
      <c r="DP1448" s="332"/>
      <c r="DQ1448" s="332"/>
      <c r="DR1448" s="332"/>
      <c r="DS1448" s="332"/>
      <c r="DT1448" s="332"/>
      <c r="DU1448" s="453"/>
      <c r="DV1448" s="453"/>
      <c r="DW1448" s="453"/>
      <c r="DX1448" s="453"/>
      <c r="DY1448" s="453"/>
      <c r="DZ1448" s="453"/>
      <c r="EA1448" s="453"/>
      <c r="EB1448" s="453"/>
      <c r="EC1448" s="453"/>
      <c r="ED1448" s="453"/>
      <c r="EE1448" s="453"/>
      <c r="EF1448" s="453"/>
      <c r="EG1448" s="453"/>
      <c r="EH1448" s="453"/>
      <c r="EI1448" s="453"/>
      <c r="EJ1448" s="453"/>
      <c r="EK1448" s="453"/>
      <c r="EL1448" s="453"/>
      <c r="EM1448" s="483">
        <f t="shared" si="267"/>
        <v>1139</v>
      </c>
      <c r="EN1448" s="485"/>
      <c r="EO1448" s="458"/>
      <c r="EP1448" s="467"/>
      <c r="EQ1448" s="457"/>
      <c r="ER1448" s="808"/>
      <c r="ES1448" s="881">
        <f t="shared" si="265"/>
        <v>0</v>
      </c>
      <c r="ET1448" s="882"/>
      <c r="EU1448" s="883"/>
      <c r="EV1448" s="884">
        <f t="shared" si="266"/>
        <v>0</v>
      </c>
      <c r="EW1448" s="885"/>
      <c r="EX1448" s="885"/>
      <c r="EY1448" s="885"/>
      <c r="EZ1448" s="885"/>
      <c r="FA1448" s="885"/>
      <c r="FB1448" s="885"/>
      <c r="FC1448" s="885"/>
      <c r="FD1448" s="886"/>
      <c r="FE1448" s="877"/>
      <c r="FF1448" s="877"/>
      <c r="FG1448" s="877"/>
      <c r="FH1448" s="877"/>
      <c r="FI1448" s="877"/>
      <c r="FJ1448" s="877"/>
      <c r="FK1448" s="877"/>
      <c r="FL1448" s="874"/>
      <c r="FM1448" s="875"/>
      <c r="FN1448" s="875"/>
      <c r="FO1448" s="875"/>
      <c r="FP1448" s="875"/>
      <c r="FQ1448" s="875"/>
      <c r="FR1448" s="875"/>
      <c r="FS1448" s="875"/>
      <c r="FT1448" s="875"/>
      <c r="FU1448" s="875"/>
      <c r="FV1448" s="875"/>
      <c r="FW1448" s="875"/>
      <c r="FX1448" s="875"/>
      <c r="FY1448" s="875"/>
      <c r="FZ1448" s="875"/>
      <c r="GA1448" s="875"/>
      <c r="GB1448" s="876"/>
      <c r="GC1448" s="370"/>
      <c r="GD1448" s="453"/>
      <c r="GE1448" s="453"/>
      <c r="GF1448" s="453"/>
      <c r="GG1448" s="453"/>
      <c r="GH1448" s="454"/>
      <c r="GI1448" s="453"/>
      <c r="GJ1448" s="453"/>
      <c r="GK1448" s="453"/>
      <c r="GL1448" s="453"/>
      <c r="GM1448" s="453"/>
      <c r="GN1448" s="453"/>
      <c r="GO1448" s="453"/>
      <c r="GP1448" s="453"/>
      <c r="GQ1448" s="453"/>
      <c r="GR1448" s="453"/>
      <c r="GS1448" s="561"/>
      <c r="GT1448" s="475"/>
      <c r="GU1448" s="472"/>
      <c r="GV1448" s="453"/>
      <c r="GW1448" s="453"/>
      <c r="GX1448" s="869"/>
      <c r="GY1448" s="870"/>
      <c r="GZ1448" s="867"/>
      <c r="HA1448" s="868"/>
      <c r="HB1448" s="473"/>
      <c r="HC1448" s="869"/>
      <c r="HD1448" s="870"/>
      <c r="HE1448" s="867"/>
      <c r="HF1448" s="868"/>
      <c r="HG1448" s="473"/>
      <c r="HH1448" s="867"/>
      <c r="HI1448" s="868"/>
      <c r="HJ1448" s="867"/>
      <c r="HK1448" s="868"/>
      <c r="HL1448" s="370"/>
      <c r="HM1448" s="865"/>
      <c r="HN1448" s="866"/>
      <c r="HO1448" s="865"/>
      <c r="HP1448" s="866"/>
      <c r="HQ1448" s="865"/>
      <c r="HR1448" s="866"/>
      <c r="HS1448" s="867"/>
      <c r="HT1448" s="868"/>
      <c r="HU1448" s="489"/>
      <c r="HV1448" s="865"/>
      <c r="HW1448" s="866"/>
    </row>
    <row r="1449" spans="25:231" ht="15" customHeight="1">
      <c r="Y1449" s="332"/>
      <c r="Z1449" s="332"/>
      <c r="AA1449" s="332"/>
      <c r="AB1449" s="332"/>
      <c r="AC1449" s="332"/>
      <c r="AD1449" s="332"/>
      <c r="AE1449" s="332"/>
      <c r="AF1449" s="332"/>
      <c r="AG1449" s="332"/>
      <c r="AH1449" s="332"/>
      <c r="AI1449" s="332"/>
      <c r="AJ1449" s="332"/>
      <c r="AK1449" s="332"/>
      <c r="AL1449" s="332"/>
      <c r="AM1449" s="332"/>
      <c r="AN1449" s="332"/>
      <c r="AO1449" s="332"/>
      <c r="AP1449" s="332"/>
      <c r="AQ1449" s="332"/>
      <c r="AR1449" s="332"/>
      <c r="AS1449" s="332"/>
      <c r="AT1449" s="332"/>
      <c r="AU1449" s="332"/>
      <c r="AV1449" s="332"/>
      <c r="AW1449" s="332"/>
      <c r="AX1449" s="332"/>
      <c r="AY1449" s="332"/>
      <c r="AZ1449" s="332"/>
      <c r="BA1449" s="332"/>
      <c r="BB1449" s="332"/>
      <c r="BC1449" s="332"/>
      <c r="BD1449" s="332"/>
      <c r="BE1449" s="332"/>
      <c r="BF1449" s="332"/>
      <c r="BG1449" s="332"/>
      <c r="BH1449" s="332"/>
      <c r="BI1449" s="332"/>
      <c r="BJ1449" s="332"/>
      <c r="BK1449" s="332"/>
      <c r="BL1449" s="332"/>
      <c r="BM1449" s="332"/>
      <c r="BN1449" s="332"/>
      <c r="BO1449" s="332"/>
      <c r="BP1449" s="332"/>
      <c r="BQ1449" s="332"/>
      <c r="BR1449" s="332"/>
      <c r="BS1449" s="332"/>
      <c r="BT1449" s="332"/>
      <c r="BU1449" s="332"/>
      <c r="BV1449" s="332"/>
      <c r="BW1449" s="332"/>
      <c r="BX1449" s="332"/>
      <c r="BY1449" s="332"/>
      <c r="BZ1449" s="332"/>
      <c r="CA1449" s="332"/>
      <c r="CB1449" s="332"/>
      <c r="CC1449" s="332"/>
      <c r="CD1449" s="332"/>
      <c r="CE1449" s="332"/>
      <c r="CF1449" s="332"/>
      <c r="CG1449" s="332"/>
      <c r="CH1449" s="332"/>
      <c r="CI1449" s="332"/>
      <c r="CJ1449" s="332"/>
      <c r="CK1449" s="332"/>
      <c r="CL1449" s="332"/>
      <c r="CM1449" s="332"/>
      <c r="CN1449" s="332"/>
      <c r="CO1449" s="332"/>
      <c r="CP1449" s="332"/>
      <c r="CQ1449" s="332"/>
      <c r="CR1449" s="332"/>
      <c r="CS1449" s="332"/>
      <c r="CT1449" s="332"/>
      <c r="CU1449" s="332"/>
      <c r="CV1449" s="332"/>
      <c r="CW1449" s="332"/>
      <c r="CX1449" s="332"/>
      <c r="CY1449" s="332"/>
      <c r="CZ1449" s="332"/>
      <c r="DA1449" s="332"/>
      <c r="DB1449" s="332"/>
      <c r="DC1449" s="332"/>
      <c r="DD1449" s="332"/>
      <c r="DE1449" s="332"/>
      <c r="DF1449" s="332"/>
      <c r="DG1449" s="332"/>
      <c r="DH1449" s="332"/>
      <c r="DI1449" s="332"/>
      <c r="DJ1449" s="332"/>
      <c r="DK1449" s="332"/>
      <c r="DL1449" s="332"/>
      <c r="DM1449" s="332"/>
      <c r="DN1449" s="332"/>
      <c r="DO1449" s="332"/>
      <c r="DP1449" s="332"/>
      <c r="DQ1449" s="332"/>
      <c r="DR1449" s="332"/>
      <c r="DS1449" s="332"/>
      <c r="DT1449" s="332"/>
      <c r="DU1449" s="453"/>
      <c r="DV1449" s="453"/>
      <c r="DW1449" s="453"/>
      <c r="DX1449" s="453"/>
      <c r="DY1449" s="453"/>
      <c r="DZ1449" s="453"/>
      <c r="EA1449" s="453"/>
      <c r="EB1449" s="453"/>
      <c r="EC1449" s="453"/>
      <c r="ED1449" s="453"/>
      <c r="EE1449" s="453"/>
      <c r="EF1449" s="453"/>
      <c r="EG1449" s="453"/>
      <c r="EH1449" s="453"/>
      <c r="EI1449" s="453"/>
      <c r="EJ1449" s="453"/>
      <c r="EK1449" s="453"/>
      <c r="EL1449" s="453"/>
      <c r="EM1449" s="483">
        <f t="shared" si="267"/>
        <v>1140</v>
      </c>
      <c r="EN1449" s="485"/>
      <c r="EO1449" s="458"/>
      <c r="EP1449" s="467"/>
      <c r="EQ1449" s="457"/>
      <c r="ER1449" s="808"/>
      <c r="ES1449" s="881">
        <f t="shared" si="265"/>
        <v>0</v>
      </c>
      <c r="ET1449" s="882"/>
      <c r="EU1449" s="883"/>
      <c r="EV1449" s="884">
        <f t="shared" si="266"/>
        <v>0</v>
      </c>
      <c r="EW1449" s="885"/>
      <c r="EX1449" s="885"/>
      <c r="EY1449" s="885"/>
      <c r="EZ1449" s="885"/>
      <c r="FA1449" s="885"/>
      <c r="FB1449" s="885"/>
      <c r="FC1449" s="885"/>
      <c r="FD1449" s="886"/>
      <c r="FE1449" s="877"/>
      <c r="FF1449" s="877"/>
      <c r="FG1449" s="877"/>
      <c r="FH1449" s="877"/>
      <c r="FI1449" s="877"/>
      <c r="FJ1449" s="877"/>
      <c r="FK1449" s="877"/>
      <c r="FL1449" s="874"/>
      <c r="FM1449" s="875"/>
      <c r="FN1449" s="875"/>
      <c r="FO1449" s="875"/>
      <c r="FP1449" s="875"/>
      <c r="FQ1449" s="875"/>
      <c r="FR1449" s="875"/>
      <c r="FS1449" s="875"/>
      <c r="FT1449" s="875"/>
      <c r="FU1449" s="875"/>
      <c r="FV1449" s="875"/>
      <c r="FW1449" s="875"/>
      <c r="FX1449" s="875"/>
      <c r="FY1449" s="875"/>
      <c r="FZ1449" s="875"/>
      <c r="GA1449" s="875"/>
      <c r="GB1449" s="876"/>
      <c r="GC1449" s="370"/>
      <c r="GD1449" s="453"/>
      <c r="GE1449" s="453"/>
      <c r="GF1449" s="453"/>
      <c r="GG1449" s="453"/>
      <c r="GH1449" s="454"/>
      <c r="GI1449" s="453"/>
      <c r="GJ1449" s="453"/>
      <c r="GK1449" s="453"/>
      <c r="GL1449" s="453"/>
      <c r="GM1449" s="453"/>
      <c r="GN1449" s="453"/>
      <c r="GO1449" s="453"/>
      <c r="GP1449" s="453"/>
      <c r="GQ1449" s="453"/>
      <c r="GR1449" s="453"/>
      <c r="GS1449" s="561"/>
      <c r="GT1449" s="475"/>
      <c r="GU1449" s="472"/>
      <c r="GV1449" s="453"/>
      <c r="GW1449" s="453"/>
      <c r="GX1449" s="869"/>
      <c r="GY1449" s="870"/>
      <c r="GZ1449" s="867"/>
      <c r="HA1449" s="868"/>
      <c r="HB1449" s="473"/>
      <c r="HC1449" s="869"/>
      <c r="HD1449" s="870"/>
      <c r="HE1449" s="867"/>
      <c r="HF1449" s="868"/>
      <c r="HG1449" s="473"/>
      <c r="HH1449" s="867"/>
      <c r="HI1449" s="868"/>
      <c r="HJ1449" s="867"/>
      <c r="HK1449" s="868"/>
      <c r="HL1449" s="370"/>
      <c r="HM1449" s="865"/>
      <c r="HN1449" s="866"/>
      <c r="HO1449" s="865"/>
      <c r="HP1449" s="866"/>
      <c r="HQ1449" s="865"/>
      <c r="HR1449" s="866"/>
      <c r="HS1449" s="867"/>
      <c r="HT1449" s="868"/>
      <c r="HU1449" s="489"/>
      <c r="HV1449" s="865"/>
      <c r="HW1449" s="866"/>
    </row>
    <row r="1450" spans="25:231" ht="15" customHeight="1">
      <c r="Y1450" s="332"/>
      <c r="Z1450" s="332"/>
      <c r="AA1450" s="332"/>
      <c r="AB1450" s="332"/>
      <c r="AC1450" s="332"/>
      <c r="AD1450" s="332"/>
      <c r="AE1450" s="332"/>
      <c r="AF1450" s="332"/>
      <c r="AG1450" s="332"/>
      <c r="AH1450" s="332"/>
      <c r="AI1450" s="332"/>
      <c r="AJ1450" s="332"/>
      <c r="AK1450" s="332"/>
      <c r="AL1450" s="332"/>
      <c r="AM1450" s="332"/>
      <c r="AN1450" s="332"/>
      <c r="AO1450" s="332"/>
      <c r="AP1450" s="332"/>
      <c r="AQ1450" s="332"/>
      <c r="AR1450" s="332"/>
      <c r="AS1450" s="332"/>
      <c r="AT1450" s="332"/>
      <c r="AU1450" s="332"/>
      <c r="AV1450" s="332"/>
      <c r="AW1450" s="332"/>
      <c r="AX1450" s="332"/>
      <c r="AY1450" s="332"/>
      <c r="AZ1450" s="332"/>
      <c r="BA1450" s="332"/>
      <c r="BB1450" s="332"/>
      <c r="BC1450" s="332"/>
      <c r="BD1450" s="332"/>
      <c r="BE1450" s="332"/>
      <c r="BF1450" s="332"/>
      <c r="BG1450" s="332"/>
      <c r="BH1450" s="332"/>
      <c r="BI1450" s="332"/>
      <c r="BJ1450" s="332"/>
      <c r="BK1450" s="332"/>
      <c r="BL1450" s="332"/>
      <c r="BM1450" s="332"/>
      <c r="BN1450" s="332"/>
      <c r="BO1450" s="332"/>
      <c r="BP1450" s="332"/>
      <c r="BQ1450" s="332"/>
      <c r="BR1450" s="332"/>
      <c r="BS1450" s="332"/>
      <c r="BT1450" s="332"/>
      <c r="BU1450" s="332"/>
      <c r="BV1450" s="332"/>
      <c r="BW1450" s="332"/>
      <c r="BX1450" s="332"/>
      <c r="BY1450" s="332"/>
      <c r="BZ1450" s="332"/>
      <c r="CA1450" s="332"/>
      <c r="CB1450" s="332"/>
      <c r="CC1450" s="332"/>
      <c r="CD1450" s="332"/>
      <c r="CE1450" s="332"/>
      <c r="CF1450" s="332"/>
      <c r="CG1450" s="332"/>
      <c r="CH1450" s="332"/>
      <c r="CI1450" s="332"/>
      <c r="CJ1450" s="332"/>
      <c r="CK1450" s="332"/>
      <c r="CL1450" s="332"/>
      <c r="CM1450" s="332"/>
      <c r="CN1450" s="332"/>
      <c r="CO1450" s="332"/>
      <c r="CP1450" s="332"/>
      <c r="CQ1450" s="332"/>
      <c r="CR1450" s="332"/>
      <c r="CS1450" s="332"/>
      <c r="CT1450" s="332"/>
      <c r="CU1450" s="332"/>
      <c r="CV1450" s="332"/>
      <c r="CW1450" s="332"/>
      <c r="CX1450" s="332"/>
      <c r="CY1450" s="332"/>
      <c r="CZ1450" s="332"/>
      <c r="DA1450" s="332"/>
      <c r="DB1450" s="332"/>
      <c r="DC1450" s="332"/>
      <c r="DD1450" s="332"/>
      <c r="DE1450" s="332"/>
      <c r="DF1450" s="332"/>
      <c r="DG1450" s="332"/>
      <c r="DH1450" s="332"/>
      <c r="DI1450" s="332"/>
      <c r="DJ1450" s="332"/>
      <c r="DK1450" s="332"/>
      <c r="DL1450" s="332"/>
      <c r="DM1450" s="332"/>
      <c r="DN1450" s="332"/>
      <c r="DO1450" s="332"/>
      <c r="DP1450" s="332"/>
      <c r="DQ1450" s="332"/>
      <c r="DR1450" s="332"/>
      <c r="DS1450" s="332"/>
      <c r="DT1450" s="332"/>
      <c r="DU1450" s="453"/>
      <c r="DV1450" s="453"/>
      <c r="DW1450" s="453"/>
      <c r="DX1450" s="453"/>
      <c r="DY1450" s="453"/>
      <c r="DZ1450" s="453"/>
      <c r="EA1450" s="453"/>
      <c r="EB1450" s="453"/>
      <c r="EC1450" s="453"/>
      <c r="ED1450" s="453"/>
      <c r="EE1450" s="453"/>
      <c r="EF1450" s="453"/>
      <c r="EG1450" s="453"/>
      <c r="EH1450" s="453"/>
      <c r="EI1450" s="453"/>
      <c r="EJ1450" s="453"/>
      <c r="EK1450" s="453"/>
      <c r="EL1450" s="453"/>
      <c r="EM1450" s="483">
        <f t="shared" si="267"/>
        <v>1141</v>
      </c>
      <c r="EN1450" s="485"/>
      <c r="EO1450" s="458"/>
      <c r="EP1450" s="467"/>
      <c r="EQ1450" s="457"/>
      <c r="ER1450" s="808"/>
      <c r="ES1450" s="881">
        <f t="shared" si="265"/>
        <v>0</v>
      </c>
      <c r="ET1450" s="882"/>
      <c r="EU1450" s="883"/>
      <c r="EV1450" s="884">
        <f t="shared" si="266"/>
        <v>0</v>
      </c>
      <c r="EW1450" s="885"/>
      <c r="EX1450" s="885"/>
      <c r="EY1450" s="885"/>
      <c r="EZ1450" s="885"/>
      <c r="FA1450" s="885"/>
      <c r="FB1450" s="885"/>
      <c r="FC1450" s="885"/>
      <c r="FD1450" s="886"/>
      <c r="FE1450" s="877"/>
      <c r="FF1450" s="877"/>
      <c r="FG1450" s="877"/>
      <c r="FH1450" s="877"/>
      <c r="FI1450" s="877"/>
      <c r="FJ1450" s="877"/>
      <c r="FK1450" s="877"/>
      <c r="FL1450" s="874"/>
      <c r="FM1450" s="875"/>
      <c r="FN1450" s="875"/>
      <c r="FO1450" s="875"/>
      <c r="FP1450" s="875"/>
      <c r="FQ1450" s="875"/>
      <c r="FR1450" s="875"/>
      <c r="FS1450" s="875"/>
      <c r="FT1450" s="875"/>
      <c r="FU1450" s="875"/>
      <c r="FV1450" s="875"/>
      <c r="FW1450" s="875"/>
      <c r="FX1450" s="875"/>
      <c r="FY1450" s="875"/>
      <c r="FZ1450" s="875"/>
      <c r="GA1450" s="875"/>
      <c r="GB1450" s="876"/>
      <c r="GC1450" s="370"/>
      <c r="GD1450" s="453"/>
      <c r="GE1450" s="453"/>
      <c r="GF1450" s="453"/>
      <c r="GG1450" s="453"/>
      <c r="GH1450" s="454"/>
      <c r="GI1450" s="453"/>
      <c r="GJ1450" s="453"/>
      <c r="GK1450" s="453"/>
      <c r="GL1450" s="453"/>
      <c r="GM1450" s="453"/>
      <c r="GN1450" s="453"/>
      <c r="GO1450" s="453"/>
      <c r="GP1450" s="453"/>
      <c r="GQ1450" s="453"/>
      <c r="GR1450" s="453"/>
      <c r="GS1450" s="561"/>
      <c r="GT1450" s="475"/>
      <c r="GU1450" s="472"/>
      <c r="GV1450" s="453"/>
      <c r="GW1450" s="453"/>
      <c r="GX1450" s="869"/>
      <c r="GY1450" s="870"/>
      <c r="GZ1450" s="867"/>
      <c r="HA1450" s="868"/>
      <c r="HB1450" s="473"/>
      <c r="HC1450" s="869"/>
      <c r="HD1450" s="870"/>
      <c r="HE1450" s="867"/>
      <c r="HF1450" s="868"/>
      <c r="HG1450" s="473"/>
      <c r="HH1450" s="867"/>
      <c r="HI1450" s="868"/>
      <c r="HJ1450" s="867"/>
      <c r="HK1450" s="868"/>
      <c r="HL1450" s="370"/>
      <c r="HM1450" s="865"/>
      <c r="HN1450" s="866"/>
      <c r="HO1450" s="865"/>
      <c r="HP1450" s="866"/>
      <c r="HQ1450" s="865"/>
      <c r="HR1450" s="866"/>
      <c r="HS1450" s="867"/>
      <c r="HT1450" s="868"/>
      <c r="HU1450" s="489"/>
      <c r="HV1450" s="865"/>
      <c r="HW1450" s="866"/>
    </row>
    <row r="1451" spans="25:231" ht="15" customHeight="1">
      <c r="Y1451" s="332"/>
      <c r="Z1451" s="332"/>
      <c r="AA1451" s="332"/>
      <c r="AB1451" s="332"/>
      <c r="AC1451" s="332"/>
      <c r="AD1451" s="332"/>
      <c r="AE1451" s="332"/>
      <c r="AF1451" s="332"/>
      <c r="AG1451" s="332"/>
      <c r="AH1451" s="332"/>
      <c r="AI1451" s="332"/>
      <c r="AJ1451" s="332"/>
      <c r="AK1451" s="332"/>
      <c r="AL1451" s="332"/>
      <c r="AM1451" s="332"/>
      <c r="AN1451" s="332"/>
      <c r="AO1451" s="332"/>
      <c r="AP1451" s="332"/>
      <c r="AQ1451" s="332"/>
      <c r="AR1451" s="332"/>
      <c r="AS1451" s="332"/>
      <c r="AT1451" s="332"/>
      <c r="AU1451" s="332"/>
      <c r="AV1451" s="332"/>
      <c r="AW1451" s="332"/>
      <c r="AX1451" s="332"/>
      <c r="AY1451" s="332"/>
      <c r="AZ1451" s="332"/>
      <c r="BA1451" s="332"/>
      <c r="BB1451" s="332"/>
      <c r="BC1451" s="332"/>
      <c r="BD1451" s="332"/>
      <c r="BE1451" s="332"/>
      <c r="BF1451" s="332"/>
      <c r="BG1451" s="332"/>
      <c r="BH1451" s="332"/>
      <c r="BI1451" s="332"/>
      <c r="BJ1451" s="332"/>
      <c r="BK1451" s="332"/>
      <c r="BL1451" s="332"/>
      <c r="BM1451" s="332"/>
      <c r="BN1451" s="332"/>
      <c r="BO1451" s="332"/>
      <c r="BP1451" s="332"/>
      <c r="BQ1451" s="332"/>
      <c r="BR1451" s="332"/>
      <c r="BS1451" s="332"/>
      <c r="BT1451" s="332"/>
      <c r="BU1451" s="332"/>
      <c r="BV1451" s="332"/>
      <c r="BW1451" s="332"/>
      <c r="BX1451" s="332"/>
      <c r="BY1451" s="332"/>
      <c r="BZ1451" s="332"/>
      <c r="CA1451" s="332"/>
      <c r="CB1451" s="332"/>
      <c r="CC1451" s="332"/>
      <c r="CD1451" s="332"/>
      <c r="CE1451" s="332"/>
      <c r="CF1451" s="332"/>
      <c r="CG1451" s="332"/>
      <c r="CH1451" s="332"/>
      <c r="CI1451" s="332"/>
      <c r="CJ1451" s="332"/>
      <c r="CK1451" s="332"/>
      <c r="CL1451" s="332"/>
      <c r="CM1451" s="332"/>
      <c r="CN1451" s="332"/>
      <c r="CO1451" s="332"/>
      <c r="CP1451" s="332"/>
      <c r="CQ1451" s="332"/>
      <c r="CR1451" s="332"/>
      <c r="CS1451" s="332"/>
      <c r="CT1451" s="332"/>
      <c r="CU1451" s="332"/>
      <c r="CV1451" s="332"/>
      <c r="CW1451" s="332"/>
      <c r="CX1451" s="332"/>
      <c r="CY1451" s="332"/>
      <c r="CZ1451" s="332"/>
      <c r="DA1451" s="332"/>
      <c r="DB1451" s="332"/>
      <c r="DC1451" s="332"/>
      <c r="DD1451" s="332"/>
      <c r="DE1451" s="332"/>
      <c r="DF1451" s="332"/>
      <c r="DG1451" s="332"/>
      <c r="DH1451" s="332"/>
      <c r="DI1451" s="332"/>
      <c r="DJ1451" s="332"/>
      <c r="DK1451" s="332"/>
      <c r="DL1451" s="332"/>
      <c r="DM1451" s="332"/>
      <c r="DN1451" s="332"/>
      <c r="DO1451" s="332"/>
      <c r="DP1451" s="332"/>
      <c r="DQ1451" s="332"/>
      <c r="DR1451" s="332"/>
      <c r="DS1451" s="332"/>
      <c r="DT1451" s="332"/>
      <c r="DU1451" s="453"/>
      <c r="DV1451" s="453"/>
      <c r="DW1451" s="453"/>
      <c r="DX1451" s="453"/>
      <c r="DY1451" s="453"/>
      <c r="DZ1451" s="453"/>
      <c r="EA1451" s="453"/>
      <c r="EB1451" s="453"/>
      <c r="EC1451" s="453"/>
      <c r="ED1451" s="453"/>
      <c r="EE1451" s="453"/>
      <c r="EF1451" s="453"/>
      <c r="EG1451" s="453"/>
      <c r="EH1451" s="453"/>
      <c r="EI1451" s="453"/>
      <c r="EJ1451" s="453"/>
      <c r="EK1451" s="453"/>
      <c r="EL1451" s="453"/>
      <c r="EM1451" s="483">
        <f t="shared" si="267"/>
        <v>1142</v>
      </c>
      <c r="EN1451" s="485"/>
      <c r="EO1451" s="458"/>
      <c r="EP1451" s="467"/>
      <c r="EQ1451" s="457"/>
      <c r="ER1451" s="808"/>
      <c r="ES1451" s="881">
        <f t="shared" si="265"/>
        <v>0</v>
      </c>
      <c r="ET1451" s="882"/>
      <c r="EU1451" s="883"/>
      <c r="EV1451" s="884">
        <f t="shared" si="266"/>
        <v>0</v>
      </c>
      <c r="EW1451" s="885"/>
      <c r="EX1451" s="885"/>
      <c r="EY1451" s="885"/>
      <c r="EZ1451" s="885"/>
      <c r="FA1451" s="885"/>
      <c r="FB1451" s="885"/>
      <c r="FC1451" s="885"/>
      <c r="FD1451" s="886"/>
      <c r="FE1451" s="877"/>
      <c r="FF1451" s="877"/>
      <c r="FG1451" s="877"/>
      <c r="FH1451" s="877"/>
      <c r="FI1451" s="877"/>
      <c r="FJ1451" s="877"/>
      <c r="FK1451" s="877"/>
      <c r="FL1451" s="874"/>
      <c r="FM1451" s="875"/>
      <c r="FN1451" s="875"/>
      <c r="FO1451" s="875"/>
      <c r="FP1451" s="875"/>
      <c r="FQ1451" s="875"/>
      <c r="FR1451" s="875"/>
      <c r="FS1451" s="875"/>
      <c r="FT1451" s="875"/>
      <c r="FU1451" s="875"/>
      <c r="FV1451" s="875"/>
      <c r="FW1451" s="875"/>
      <c r="FX1451" s="875"/>
      <c r="FY1451" s="875"/>
      <c r="FZ1451" s="875"/>
      <c r="GA1451" s="875"/>
      <c r="GB1451" s="876"/>
      <c r="GC1451" s="370"/>
      <c r="GD1451" s="453"/>
      <c r="GE1451" s="453"/>
      <c r="GF1451" s="453"/>
      <c r="GG1451" s="453"/>
      <c r="GH1451" s="454"/>
      <c r="GI1451" s="453"/>
      <c r="GJ1451" s="453"/>
      <c r="GK1451" s="453"/>
      <c r="GL1451" s="453"/>
      <c r="GM1451" s="453"/>
      <c r="GN1451" s="453"/>
      <c r="GO1451" s="453"/>
      <c r="GP1451" s="453"/>
      <c r="GQ1451" s="453"/>
      <c r="GR1451" s="453"/>
      <c r="GS1451" s="561"/>
      <c r="GT1451" s="475"/>
      <c r="GU1451" s="472"/>
      <c r="GV1451" s="453"/>
      <c r="GW1451" s="453"/>
      <c r="GX1451" s="869"/>
      <c r="GY1451" s="870"/>
      <c r="GZ1451" s="867"/>
      <c r="HA1451" s="868"/>
      <c r="HB1451" s="473"/>
      <c r="HC1451" s="869"/>
      <c r="HD1451" s="870"/>
      <c r="HE1451" s="867"/>
      <c r="HF1451" s="868"/>
      <c r="HG1451" s="473"/>
      <c r="HH1451" s="867"/>
      <c r="HI1451" s="868"/>
      <c r="HJ1451" s="867"/>
      <c r="HK1451" s="868"/>
      <c r="HL1451" s="370"/>
      <c r="HM1451" s="865"/>
      <c r="HN1451" s="866"/>
      <c r="HO1451" s="865"/>
      <c r="HP1451" s="866"/>
      <c r="HQ1451" s="865"/>
      <c r="HR1451" s="866"/>
      <c r="HS1451" s="867"/>
      <c r="HT1451" s="868"/>
      <c r="HU1451" s="489"/>
      <c r="HV1451" s="865"/>
      <c r="HW1451" s="866"/>
    </row>
    <row r="1452" spans="25:231" ht="15" customHeight="1">
      <c r="Y1452" s="332"/>
      <c r="Z1452" s="332"/>
      <c r="AA1452" s="332"/>
      <c r="AB1452" s="332"/>
      <c r="AC1452" s="332"/>
      <c r="AD1452" s="332"/>
      <c r="AE1452" s="332"/>
      <c r="AF1452" s="332"/>
      <c r="AG1452" s="332"/>
      <c r="AH1452" s="332"/>
      <c r="AI1452" s="332"/>
      <c r="AJ1452" s="332"/>
      <c r="AK1452" s="332"/>
      <c r="AL1452" s="332"/>
      <c r="AM1452" s="332"/>
      <c r="AN1452" s="332"/>
      <c r="AO1452" s="332"/>
      <c r="AP1452" s="332"/>
      <c r="AQ1452" s="332"/>
      <c r="AR1452" s="332"/>
      <c r="AS1452" s="332"/>
      <c r="AT1452" s="332"/>
      <c r="AU1452" s="332"/>
      <c r="AV1452" s="332"/>
      <c r="AW1452" s="332"/>
      <c r="AX1452" s="332"/>
      <c r="AY1452" s="332"/>
      <c r="AZ1452" s="332"/>
      <c r="BA1452" s="332"/>
      <c r="BB1452" s="332"/>
      <c r="BC1452" s="332"/>
      <c r="BD1452" s="332"/>
      <c r="BE1452" s="332"/>
      <c r="BF1452" s="332"/>
      <c r="BG1452" s="332"/>
      <c r="BH1452" s="332"/>
      <c r="BI1452" s="332"/>
      <c r="BJ1452" s="332"/>
      <c r="BK1452" s="332"/>
      <c r="BL1452" s="332"/>
      <c r="BM1452" s="332"/>
      <c r="BN1452" s="332"/>
      <c r="BO1452" s="332"/>
      <c r="BP1452" s="332"/>
      <c r="BQ1452" s="332"/>
      <c r="BR1452" s="332"/>
      <c r="BS1452" s="332"/>
      <c r="BT1452" s="332"/>
      <c r="BU1452" s="332"/>
      <c r="BV1452" s="332"/>
      <c r="BW1452" s="332"/>
      <c r="BX1452" s="332"/>
      <c r="BY1452" s="332"/>
      <c r="BZ1452" s="332"/>
      <c r="CA1452" s="332"/>
      <c r="CB1452" s="332"/>
      <c r="CC1452" s="332"/>
      <c r="CD1452" s="332"/>
      <c r="CE1452" s="332"/>
      <c r="CF1452" s="332"/>
      <c r="CG1452" s="332"/>
      <c r="CH1452" s="332"/>
      <c r="CI1452" s="332"/>
      <c r="CJ1452" s="332"/>
      <c r="CK1452" s="332"/>
      <c r="CL1452" s="332"/>
      <c r="CM1452" s="332"/>
      <c r="CN1452" s="332"/>
      <c r="CO1452" s="332"/>
      <c r="CP1452" s="332"/>
      <c r="CQ1452" s="332"/>
      <c r="CR1452" s="332"/>
      <c r="CS1452" s="332"/>
      <c r="CT1452" s="332"/>
      <c r="CU1452" s="332"/>
      <c r="CV1452" s="332"/>
      <c r="CW1452" s="332"/>
      <c r="CX1452" s="332"/>
      <c r="CY1452" s="332"/>
      <c r="CZ1452" s="332"/>
      <c r="DA1452" s="332"/>
      <c r="DB1452" s="332"/>
      <c r="DC1452" s="332"/>
      <c r="DD1452" s="332"/>
      <c r="DE1452" s="332"/>
      <c r="DF1452" s="332"/>
      <c r="DG1452" s="332"/>
      <c r="DH1452" s="332"/>
      <c r="DI1452" s="332"/>
      <c r="DJ1452" s="332"/>
      <c r="DK1452" s="332"/>
      <c r="DL1452" s="332"/>
      <c r="DM1452" s="332"/>
      <c r="DN1452" s="332"/>
      <c r="DO1452" s="332"/>
      <c r="DP1452" s="332"/>
      <c r="DQ1452" s="332"/>
      <c r="DR1452" s="332"/>
      <c r="DS1452" s="332"/>
      <c r="DT1452" s="332"/>
      <c r="DU1452" s="453"/>
      <c r="DV1452" s="453"/>
      <c r="DW1452" s="453"/>
      <c r="DX1452" s="453"/>
      <c r="DY1452" s="453"/>
      <c r="DZ1452" s="453"/>
      <c r="EA1452" s="453"/>
      <c r="EB1452" s="453"/>
      <c r="EC1452" s="453"/>
      <c r="ED1452" s="453"/>
      <c r="EE1452" s="453"/>
      <c r="EF1452" s="453"/>
      <c r="EG1452" s="453"/>
      <c r="EH1452" s="453"/>
      <c r="EI1452" s="453"/>
      <c r="EJ1452" s="453"/>
      <c r="EK1452" s="453"/>
      <c r="EL1452" s="453"/>
      <c r="EM1452" s="483">
        <f t="shared" si="267"/>
        <v>1143</v>
      </c>
      <c r="EN1452" s="485"/>
      <c r="EO1452" s="458"/>
      <c r="EP1452" s="467"/>
      <c r="EQ1452" s="457"/>
      <c r="ER1452" s="808"/>
      <c r="ES1452" s="881">
        <f t="shared" si="265"/>
        <v>0</v>
      </c>
      <c r="ET1452" s="882"/>
      <c r="EU1452" s="883"/>
      <c r="EV1452" s="884">
        <f t="shared" si="266"/>
        <v>0</v>
      </c>
      <c r="EW1452" s="885"/>
      <c r="EX1452" s="885"/>
      <c r="EY1452" s="885"/>
      <c r="EZ1452" s="885"/>
      <c r="FA1452" s="885"/>
      <c r="FB1452" s="885"/>
      <c r="FC1452" s="885"/>
      <c r="FD1452" s="886"/>
      <c r="FE1452" s="877"/>
      <c r="FF1452" s="877"/>
      <c r="FG1452" s="877"/>
      <c r="FH1452" s="877"/>
      <c r="FI1452" s="877"/>
      <c r="FJ1452" s="877"/>
      <c r="FK1452" s="877"/>
      <c r="FL1452" s="874"/>
      <c r="FM1452" s="875"/>
      <c r="FN1452" s="875"/>
      <c r="FO1452" s="875"/>
      <c r="FP1452" s="875"/>
      <c r="FQ1452" s="875"/>
      <c r="FR1452" s="875"/>
      <c r="FS1452" s="875"/>
      <c r="FT1452" s="875"/>
      <c r="FU1452" s="875"/>
      <c r="FV1452" s="875"/>
      <c r="FW1452" s="875"/>
      <c r="FX1452" s="875"/>
      <c r="FY1452" s="875"/>
      <c r="FZ1452" s="875"/>
      <c r="GA1452" s="875"/>
      <c r="GB1452" s="876"/>
      <c r="GC1452" s="370"/>
      <c r="GD1452" s="453"/>
      <c r="GE1452" s="453"/>
      <c r="GF1452" s="453"/>
      <c r="GG1452" s="453"/>
      <c r="GH1452" s="454"/>
      <c r="GI1452" s="453"/>
      <c r="GJ1452" s="453"/>
      <c r="GK1452" s="453"/>
      <c r="GL1452" s="453"/>
      <c r="GM1452" s="453"/>
      <c r="GN1452" s="453"/>
      <c r="GO1452" s="453"/>
      <c r="GP1452" s="453"/>
      <c r="GQ1452" s="453"/>
      <c r="GR1452" s="453"/>
      <c r="GS1452" s="561"/>
      <c r="GT1452" s="475"/>
      <c r="GU1452" s="472"/>
      <c r="GV1452" s="453"/>
      <c r="GW1452" s="453"/>
      <c r="GX1452" s="869"/>
      <c r="GY1452" s="870"/>
      <c r="GZ1452" s="867"/>
      <c r="HA1452" s="868"/>
      <c r="HB1452" s="473"/>
      <c r="HC1452" s="869"/>
      <c r="HD1452" s="870"/>
      <c r="HE1452" s="867"/>
      <c r="HF1452" s="868"/>
      <c r="HG1452" s="473"/>
      <c r="HH1452" s="867"/>
      <c r="HI1452" s="868"/>
      <c r="HJ1452" s="867"/>
      <c r="HK1452" s="868"/>
      <c r="HL1452" s="370"/>
      <c r="HM1452" s="865"/>
      <c r="HN1452" s="866"/>
      <c r="HO1452" s="865"/>
      <c r="HP1452" s="866"/>
      <c r="HQ1452" s="865"/>
      <c r="HR1452" s="866"/>
      <c r="HS1452" s="867"/>
      <c r="HT1452" s="868"/>
      <c r="HU1452" s="489"/>
      <c r="HV1452" s="865"/>
      <c r="HW1452" s="866"/>
    </row>
    <row r="1453" spans="25:231" ht="15" customHeight="1">
      <c r="Y1453" s="332"/>
      <c r="Z1453" s="332"/>
      <c r="AA1453" s="332"/>
      <c r="AB1453" s="332"/>
      <c r="AC1453" s="332"/>
      <c r="AD1453" s="332"/>
      <c r="AE1453" s="332"/>
      <c r="AF1453" s="332"/>
      <c r="AG1453" s="332"/>
      <c r="AH1453" s="332"/>
      <c r="AI1453" s="332"/>
      <c r="AJ1453" s="332"/>
      <c r="AK1453" s="332"/>
      <c r="AL1453" s="332"/>
      <c r="AM1453" s="332"/>
      <c r="AN1453" s="332"/>
      <c r="AO1453" s="332"/>
      <c r="AP1453" s="332"/>
      <c r="AQ1453" s="332"/>
      <c r="AR1453" s="332"/>
      <c r="AS1453" s="332"/>
      <c r="AT1453" s="332"/>
      <c r="AU1453" s="332"/>
      <c r="AV1453" s="332"/>
      <c r="AW1453" s="332"/>
      <c r="AX1453" s="332"/>
      <c r="AY1453" s="332"/>
      <c r="AZ1453" s="332"/>
      <c r="BA1453" s="332"/>
      <c r="BB1453" s="332"/>
      <c r="BC1453" s="332"/>
      <c r="BD1453" s="332"/>
      <c r="BE1453" s="332"/>
      <c r="BF1453" s="332"/>
      <c r="BG1453" s="332"/>
      <c r="BH1453" s="332"/>
      <c r="BI1453" s="332"/>
      <c r="BJ1453" s="332"/>
      <c r="BK1453" s="332"/>
      <c r="BL1453" s="332"/>
      <c r="BM1453" s="332"/>
      <c r="BN1453" s="332"/>
      <c r="BO1453" s="332"/>
      <c r="BP1453" s="332"/>
      <c r="BQ1453" s="332"/>
      <c r="BR1453" s="332"/>
      <c r="BS1453" s="332"/>
      <c r="BT1453" s="332"/>
      <c r="BU1453" s="332"/>
      <c r="BV1453" s="332"/>
      <c r="BW1453" s="332"/>
      <c r="BX1453" s="332"/>
      <c r="BY1453" s="332"/>
      <c r="BZ1453" s="332"/>
      <c r="CA1453" s="332"/>
      <c r="CB1453" s="332"/>
      <c r="CC1453" s="332"/>
      <c r="CD1453" s="332"/>
      <c r="CE1453" s="332"/>
      <c r="CF1453" s="332"/>
      <c r="CG1453" s="332"/>
      <c r="CH1453" s="332"/>
      <c r="CI1453" s="332"/>
      <c r="CJ1453" s="332"/>
      <c r="CK1453" s="332"/>
      <c r="CL1453" s="332"/>
      <c r="CM1453" s="332"/>
      <c r="CN1453" s="332"/>
      <c r="CO1453" s="332"/>
      <c r="CP1453" s="332"/>
      <c r="CQ1453" s="332"/>
      <c r="CR1453" s="332"/>
      <c r="CS1453" s="332"/>
      <c r="CT1453" s="332"/>
      <c r="CU1453" s="332"/>
      <c r="CV1453" s="332"/>
      <c r="CW1453" s="332"/>
      <c r="CX1453" s="332"/>
      <c r="CY1453" s="332"/>
      <c r="CZ1453" s="332"/>
      <c r="DA1453" s="332"/>
      <c r="DB1453" s="332"/>
      <c r="DC1453" s="332"/>
      <c r="DD1453" s="332"/>
      <c r="DE1453" s="332"/>
      <c r="DF1453" s="332"/>
      <c r="DG1453" s="332"/>
      <c r="DH1453" s="332"/>
      <c r="DI1453" s="332"/>
      <c r="DJ1453" s="332"/>
      <c r="DK1453" s="332"/>
      <c r="DL1453" s="332"/>
      <c r="DM1453" s="332"/>
      <c r="DN1453" s="332"/>
      <c r="DO1453" s="332"/>
      <c r="DP1453" s="332"/>
      <c r="DQ1453" s="332"/>
      <c r="DR1453" s="332"/>
      <c r="DS1453" s="332"/>
      <c r="DT1453" s="332"/>
      <c r="DU1453" s="453"/>
      <c r="DV1453" s="453"/>
      <c r="DW1453" s="453"/>
      <c r="DX1453" s="453"/>
      <c r="DY1453" s="453"/>
      <c r="DZ1453" s="453"/>
      <c r="EA1453" s="453"/>
      <c r="EB1453" s="453"/>
      <c r="EC1453" s="453"/>
      <c r="ED1453" s="453"/>
      <c r="EE1453" s="453"/>
      <c r="EF1453" s="453"/>
      <c r="EG1453" s="453"/>
      <c r="EH1453" s="453"/>
      <c r="EI1453" s="453"/>
      <c r="EJ1453" s="453"/>
      <c r="EK1453" s="453"/>
      <c r="EL1453" s="453"/>
      <c r="EM1453" s="483">
        <f t="shared" si="267"/>
        <v>1144</v>
      </c>
      <c r="EN1453" s="485"/>
      <c r="EO1453" s="458"/>
      <c r="EP1453" s="467"/>
      <c r="EQ1453" s="457"/>
      <c r="ER1453" s="808"/>
      <c r="ES1453" s="881">
        <f t="shared" si="265"/>
        <v>0</v>
      </c>
      <c r="ET1453" s="882"/>
      <c r="EU1453" s="883"/>
      <c r="EV1453" s="884">
        <f t="shared" si="266"/>
        <v>0</v>
      </c>
      <c r="EW1453" s="885"/>
      <c r="EX1453" s="885"/>
      <c r="EY1453" s="885"/>
      <c r="EZ1453" s="885"/>
      <c r="FA1453" s="885"/>
      <c r="FB1453" s="885"/>
      <c r="FC1453" s="885"/>
      <c r="FD1453" s="886"/>
      <c r="FE1453" s="877"/>
      <c r="FF1453" s="877"/>
      <c r="FG1453" s="877"/>
      <c r="FH1453" s="877"/>
      <c r="FI1453" s="877"/>
      <c r="FJ1453" s="877"/>
      <c r="FK1453" s="877"/>
      <c r="FL1453" s="874"/>
      <c r="FM1453" s="875"/>
      <c r="FN1453" s="875"/>
      <c r="FO1453" s="875"/>
      <c r="FP1453" s="875"/>
      <c r="FQ1453" s="875"/>
      <c r="FR1453" s="875"/>
      <c r="FS1453" s="875"/>
      <c r="FT1453" s="875"/>
      <c r="FU1453" s="875"/>
      <c r="FV1453" s="875"/>
      <c r="FW1453" s="875"/>
      <c r="FX1453" s="875"/>
      <c r="FY1453" s="875"/>
      <c r="FZ1453" s="875"/>
      <c r="GA1453" s="875"/>
      <c r="GB1453" s="876"/>
      <c r="GC1453" s="370"/>
      <c r="GD1453" s="453"/>
      <c r="GE1453" s="453"/>
      <c r="GF1453" s="453"/>
      <c r="GG1453" s="453"/>
      <c r="GH1453" s="454"/>
      <c r="GI1453" s="453"/>
      <c r="GJ1453" s="453"/>
      <c r="GK1453" s="453"/>
      <c r="GL1453" s="453"/>
      <c r="GM1453" s="453"/>
      <c r="GN1453" s="453"/>
      <c r="GO1453" s="453"/>
      <c r="GP1453" s="453"/>
      <c r="GQ1453" s="453"/>
      <c r="GR1453" s="453"/>
      <c r="GS1453" s="561"/>
      <c r="GT1453" s="475"/>
      <c r="GU1453" s="472"/>
      <c r="GV1453" s="453"/>
      <c r="GW1453" s="453"/>
      <c r="GX1453" s="869"/>
      <c r="GY1453" s="870"/>
      <c r="GZ1453" s="867"/>
      <c r="HA1453" s="868"/>
      <c r="HB1453" s="473"/>
      <c r="HC1453" s="869"/>
      <c r="HD1453" s="870"/>
      <c r="HE1453" s="867"/>
      <c r="HF1453" s="868"/>
      <c r="HG1453" s="473"/>
      <c r="HH1453" s="867"/>
      <c r="HI1453" s="868"/>
      <c r="HJ1453" s="867"/>
      <c r="HK1453" s="868"/>
      <c r="HL1453" s="370"/>
      <c r="HM1453" s="865"/>
      <c r="HN1453" s="866"/>
      <c r="HO1453" s="865"/>
      <c r="HP1453" s="866"/>
      <c r="HQ1453" s="865"/>
      <c r="HR1453" s="866"/>
      <c r="HS1453" s="867"/>
      <c r="HT1453" s="868"/>
      <c r="HU1453" s="489"/>
      <c r="HV1453" s="865"/>
      <c r="HW1453" s="866"/>
    </row>
    <row r="1454" spans="25:231" ht="15" customHeight="1">
      <c r="Y1454" s="332"/>
      <c r="Z1454" s="332"/>
      <c r="AA1454" s="332"/>
      <c r="AB1454" s="332"/>
      <c r="AC1454" s="332"/>
      <c r="AD1454" s="332"/>
      <c r="AE1454" s="332"/>
      <c r="AF1454" s="332"/>
      <c r="AG1454" s="332"/>
      <c r="AH1454" s="332"/>
      <c r="AI1454" s="332"/>
      <c r="AJ1454" s="332"/>
      <c r="AK1454" s="332"/>
      <c r="AL1454" s="332"/>
      <c r="AM1454" s="332"/>
      <c r="AN1454" s="332"/>
      <c r="AO1454" s="332"/>
      <c r="AP1454" s="332"/>
      <c r="AQ1454" s="332"/>
      <c r="AR1454" s="332"/>
      <c r="AS1454" s="332"/>
      <c r="AT1454" s="332"/>
      <c r="AU1454" s="332"/>
      <c r="AV1454" s="332"/>
      <c r="AW1454" s="332"/>
      <c r="AX1454" s="332"/>
      <c r="AY1454" s="332"/>
      <c r="AZ1454" s="332"/>
      <c r="BA1454" s="332"/>
      <c r="BB1454" s="332"/>
      <c r="BC1454" s="332"/>
      <c r="BD1454" s="332"/>
      <c r="BE1454" s="332"/>
      <c r="BF1454" s="332"/>
      <c r="BG1454" s="332"/>
      <c r="BH1454" s="332"/>
      <c r="BI1454" s="332"/>
      <c r="BJ1454" s="332"/>
      <c r="BK1454" s="332"/>
      <c r="BL1454" s="332"/>
      <c r="BM1454" s="332"/>
      <c r="BN1454" s="332"/>
      <c r="BO1454" s="332"/>
      <c r="BP1454" s="332"/>
      <c r="BQ1454" s="332"/>
      <c r="BR1454" s="332"/>
      <c r="BS1454" s="332"/>
      <c r="BT1454" s="332"/>
      <c r="BU1454" s="332"/>
      <c r="BV1454" s="332"/>
      <c r="BW1454" s="332"/>
      <c r="BX1454" s="332"/>
      <c r="BY1454" s="332"/>
      <c r="BZ1454" s="332"/>
      <c r="CA1454" s="332"/>
      <c r="CB1454" s="332"/>
      <c r="CC1454" s="332"/>
      <c r="CD1454" s="332"/>
      <c r="CE1454" s="332"/>
      <c r="CF1454" s="332"/>
      <c r="CG1454" s="332"/>
      <c r="CH1454" s="332"/>
      <c r="CI1454" s="332"/>
      <c r="CJ1454" s="332"/>
      <c r="CK1454" s="332"/>
      <c r="CL1454" s="332"/>
      <c r="CM1454" s="332"/>
      <c r="CN1454" s="332"/>
      <c r="CO1454" s="332"/>
      <c r="CP1454" s="332"/>
      <c r="CQ1454" s="332"/>
      <c r="CR1454" s="332"/>
      <c r="CS1454" s="332"/>
      <c r="CT1454" s="332"/>
      <c r="CU1454" s="332"/>
      <c r="CV1454" s="332"/>
      <c r="CW1454" s="332"/>
      <c r="CX1454" s="332"/>
      <c r="CY1454" s="332"/>
      <c r="CZ1454" s="332"/>
      <c r="DA1454" s="332"/>
      <c r="DB1454" s="332"/>
      <c r="DC1454" s="332"/>
      <c r="DD1454" s="332"/>
      <c r="DE1454" s="332"/>
      <c r="DF1454" s="332"/>
      <c r="DG1454" s="332"/>
      <c r="DH1454" s="332"/>
      <c r="DI1454" s="332"/>
      <c r="DJ1454" s="332"/>
      <c r="DK1454" s="332"/>
      <c r="DL1454" s="332"/>
      <c r="DM1454" s="332"/>
      <c r="DN1454" s="332"/>
      <c r="DO1454" s="332"/>
      <c r="DP1454" s="332"/>
      <c r="DQ1454" s="332"/>
      <c r="DR1454" s="332"/>
      <c r="DS1454" s="332"/>
      <c r="DT1454" s="332"/>
      <c r="DU1454" s="453"/>
      <c r="DV1454" s="453"/>
      <c r="DW1454" s="453"/>
      <c r="DX1454" s="453"/>
      <c r="DY1454" s="453"/>
      <c r="DZ1454" s="453"/>
      <c r="EA1454" s="453"/>
      <c r="EB1454" s="453"/>
      <c r="EC1454" s="453"/>
      <c r="ED1454" s="453"/>
      <c r="EE1454" s="453"/>
      <c r="EF1454" s="453"/>
      <c r="EG1454" s="453"/>
      <c r="EH1454" s="453"/>
      <c r="EI1454" s="453"/>
      <c r="EJ1454" s="453"/>
      <c r="EK1454" s="453"/>
      <c r="EL1454" s="453"/>
      <c r="EM1454" s="483">
        <f t="shared" si="267"/>
        <v>1145</v>
      </c>
      <c r="EN1454" s="485"/>
      <c r="EO1454" s="458"/>
      <c r="EP1454" s="467"/>
      <c r="EQ1454" s="457"/>
      <c r="ER1454" s="808"/>
      <c r="ES1454" s="881">
        <f t="shared" si="265"/>
        <v>0</v>
      </c>
      <c r="ET1454" s="882"/>
      <c r="EU1454" s="883"/>
      <c r="EV1454" s="884">
        <f t="shared" si="266"/>
        <v>0</v>
      </c>
      <c r="EW1454" s="885"/>
      <c r="EX1454" s="885"/>
      <c r="EY1454" s="885"/>
      <c r="EZ1454" s="885"/>
      <c r="FA1454" s="885"/>
      <c r="FB1454" s="885"/>
      <c r="FC1454" s="885"/>
      <c r="FD1454" s="886"/>
      <c r="FE1454" s="877"/>
      <c r="FF1454" s="877"/>
      <c r="FG1454" s="877"/>
      <c r="FH1454" s="877"/>
      <c r="FI1454" s="877"/>
      <c r="FJ1454" s="877"/>
      <c r="FK1454" s="877"/>
      <c r="FL1454" s="874"/>
      <c r="FM1454" s="875"/>
      <c r="FN1454" s="875"/>
      <c r="FO1454" s="875"/>
      <c r="FP1454" s="875"/>
      <c r="FQ1454" s="875"/>
      <c r="FR1454" s="875"/>
      <c r="FS1454" s="875"/>
      <c r="FT1454" s="875"/>
      <c r="FU1454" s="875"/>
      <c r="FV1454" s="875"/>
      <c r="FW1454" s="875"/>
      <c r="FX1454" s="875"/>
      <c r="FY1454" s="875"/>
      <c r="FZ1454" s="875"/>
      <c r="GA1454" s="875"/>
      <c r="GB1454" s="876"/>
      <c r="GC1454" s="370"/>
      <c r="GD1454" s="453"/>
      <c r="GE1454" s="453"/>
      <c r="GF1454" s="453"/>
      <c r="GG1454" s="453"/>
      <c r="GH1454" s="454"/>
      <c r="GI1454" s="453"/>
      <c r="GJ1454" s="453"/>
      <c r="GK1454" s="453"/>
      <c r="GL1454" s="453"/>
      <c r="GM1454" s="453"/>
      <c r="GN1454" s="453"/>
      <c r="GO1454" s="453"/>
      <c r="GP1454" s="453"/>
      <c r="GQ1454" s="453"/>
      <c r="GR1454" s="453"/>
      <c r="GS1454" s="561"/>
      <c r="GT1454" s="475"/>
      <c r="GU1454" s="472"/>
      <c r="GV1454" s="453"/>
      <c r="GW1454" s="453"/>
      <c r="GX1454" s="869"/>
      <c r="GY1454" s="870"/>
      <c r="GZ1454" s="867"/>
      <c r="HA1454" s="868"/>
      <c r="HB1454" s="473"/>
      <c r="HC1454" s="869"/>
      <c r="HD1454" s="870"/>
      <c r="HE1454" s="867"/>
      <c r="HF1454" s="868"/>
      <c r="HG1454" s="473"/>
      <c r="HH1454" s="867"/>
      <c r="HI1454" s="868"/>
      <c r="HJ1454" s="867"/>
      <c r="HK1454" s="868"/>
      <c r="HL1454" s="370"/>
      <c r="HM1454" s="865"/>
      <c r="HN1454" s="866"/>
      <c r="HO1454" s="865"/>
      <c r="HP1454" s="866"/>
      <c r="HQ1454" s="865"/>
      <c r="HR1454" s="866"/>
      <c r="HS1454" s="867"/>
      <c r="HT1454" s="868"/>
      <c r="HU1454" s="489"/>
      <c r="HV1454" s="865"/>
      <c r="HW1454" s="866"/>
    </row>
    <row r="1455" spans="25:231" ht="15" customHeight="1">
      <c r="Y1455" s="332"/>
      <c r="Z1455" s="332"/>
      <c r="AA1455" s="332"/>
      <c r="AB1455" s="332"/>
      <c r="AC1455" s="332"/>
      <c r="AD1455" s="332"/>
      <c r="AE1455" s="332"/>
      <c r="AF1455" s="332"/>
      <c r="AG1455" s="332"/>
      <c r="AH1455" s="332"/>
      <c r="AI1455" s="332"/>
      <c r="AJ1455" s="332"/>
      <c r="AK1455" s="332"/>
      <c r="AL1455" s="332"/>
      <c r="AM1455" s="332"/>
      <c r="AN1455" s="332"/>
      <c r="AO1455" s="332"/>
      <c r="AP1455" s="332"/>
      <c r="AQ1455" s="332"/>
      <c r="AR1455" s="332"/>
      <c r="AS1455" s="332"/>
      <c r="AT1455" s="332"/>
      <c r="AU1455" s="332"/>
      <c r="AV1455" s="332"/>
      <c r="AW1455" s="332"/>
      <c r="AX1455" s="332"/>
      <c r="AY1455" s="332"/>
      <c r="AZ1455" s="332"/>
      <c r="BA1455" s="332"/>
      <c r="BB1455" s="332"/>
      <c r="BC1455" s="332"/>
      <c r="BD1455" s="332"/>
      <c r="BE1455" s="332"/>
      <c r="BF1455" s="332"/>
      <c r="BG1455" s="332"/>
      <c r="BH1455" s="332"/>
      <c r="BI1455" s="332"/>
      <c r="BJ1455" s="332"/>
      <c r="BK1455" s="332"/>
      <c r="BL1455" s="332"/>
      <c r="BM1455" s="332"/>
      <c r="BN1455" s="332"/>
      <c r="BO1455" s="332"/>
      <c r="BP1455" s="332"/>
      <c r="BQ1455" s="332"/>
      <c r="BR1455" s="332"/>
      <c r="BS1455" s="332"/>
      <c r="BT1455" s="332"/>
      <c r="BU1455" s="332"/>
      <c r="BV1455" s="332"/>
      <c r="BW1455" s="332"/>
      <c r="BX1455" s="332"/>
      <c r="BY1455" s="332"/>
      <c r="BZ1455" s="332"/>
      <c r="CA1455" s="332"/>
      <c r="CB1455" s="332"/>
      <c r="CC1455" s="332"/>
      <c r="CD1455" s="332"/>
      <c r="CE1455" s="332"/>
      <c r="CF1455" s="332"/>
      <c r="CG1455" s="332"/>
      <c r="CH1455" s="332"/>
      <c r="CI1455" s="332"/>
      <c r="CJ1455" s="332"/>
      <c r="CK1455" s="332"/>
      <c r="CL1455" s="332"/>
      <c r="CM1455" s="332"/>
      <c r="CN1455" s="332"/>
      <c r="CO1455" s="332"/>
      <c r="CP1455" s="332"/>
      <c r="CQ1455" s="332"/>
      <c r="CR1455" s="332"/>
      <c r="CS1455" s="332"/>
      <c r="CT1455" s="332"/>
      <c r="CU1455" s="332"/>
      <c r="CV1455" s="332"/>
      <c r="CW1455" s="332"/>
      <c r="CX1455" s="332"/>
      <c r="CY1455" s="332"/>
      <c r="CZ1455" s="332"/>
      <c r="DA1455" s="332"/>
      <c r="DB1455" s="332"/>
      <c r="DC1455" s="332"/>
      <c r="DD1455" s="332"/>
      <c r="DE1455" s="332"/>
      <c r="DF1455" s="332"/>
      <c r="DG1455" s="332"/>
      <c r="DH1455" s="332"/>
      <c r="DI1455" s="332"/>
      <c r="DJ1455" s="332"/>
      <c r="DK1455" s="332"/>
      <c r="DL1455" s="332"/>
      <c r="DM1455" s="332"/>
      <c r="DN1455" s="332"/>
      <c r="DO1455" s="332"/>
      <c r="DP1455" s="332"/>
      <c r="DQ1455" s="332"/>
      <c r="DR1455" s="332"/>
      <c r="DS1455" s="332"/>
      <c r="DT1455" s="332"/>
      <c r="DU1455" s="453"/>
      <c r="DV1455" s="453"/>
      <c r="DW1455" s="453"/>
      <c r="DX1455" s="453"/>
      <c r="DY1455" s="453"/>
      <c r="DZ1455" s="453"/>
      <c r="EA1455" s="453"/>
      <c r="EB1455" s="453"/>
      <c r="EC1455" s="453"/>
      <c r="ED1455" s="453"/>
      <c r="EE1455" s="453"/>
      <c r="EF1455" s="453"/>
      <c r="EG1455" s="453"/>
      <c r="EH1455" s="453"/>
      <c r="EI1455" s="453"/>
      <c r="EJ1455" s="453"/>
      <c r="EK1455" s="453"/>
      <c r="EL1455" s="453"/>
      <c r="EM1455" s="483">
        <f t="shared" si="267"/>
        <v>1146</v>
      </c>
      <c r="EN1455" s="485"/>
      <c r="EO1455" s="458"/>
      <c r="EP1455" s="467"/>
      <c r="EQ1455" s="457"/>
      <c r="ER1455" s="808"/>
      <c r="ES1455" s="881">
        <f t="shared" si="265"/>
        <v>0</v>
      </c>
      <c r="ET1455" s="882"/>
      <c r="EU1455" s="883"/>
      <c r="EV1455" s="884">
        <f t="shared" si="266"/>
        <v>0</v>
      </c>
      <c r="EW1455" s="885"/>
      <c r="EX1455" s="885"/>
      <c r="EY1455" s="885"/>
      <c r="EZ1455" s="885"/>
      <c r="FA1455" s="885"/>
      <c r="FB1455" s="885"/>
      <c r="FC1455" s="885"/>
      <c r="FD1455" s="886"/>
      <c r="FE1455" s="877"/>
      <c r="FF1455" s="877"/>
      <c r="FG1455" s="877"/>
      <c r="FH1455" s="877"/>
      <c r="FI1455" s="877"/>
      <c r="FJ1455" s="877"/>
      <c r="FK1455" s="877"/>
      <c r="FL1455" s="874"/>
      <c r="FM1455" s="875"/>
      <c r="FN1455" s="875"/>
      <c r="FO1455" s="875"/>
      <c r="FP1455" s="875"/>
      <c r="FQ1455" s="875"/>
      <c r="FR1455" s="875"/>
      <c r="FS1455" s="875"/>
      <c r="FT1455" s="875"/>
      <c r="FU1455" s="875"/>
      <c r="FV1455" s="875"/>
      <c r="FW1455" s="875"/>
      <c r="FX1455" s="875"/>
      <c r="FY1455" s="875"/>
      <c r="FZ1455" s="875"/>
      <c r="GA1455" s="875"/>
      <c r="GB1455" s="876"/>
      <c r="GC1455" s="370"/>
      <c r="GD1455" s="453"/>
      <c r="GE1455" s="453"/>
      <c r="GF1455" s="453"/>
      <c r="GG1455" s="453"/>
      <c r="GH1455" s="454"/>
      <c r="GI1455" s="453"/>
      <c r="GJ1455" s="453"/>
      <c r="GK1455" s="453"/>
      <c r="GL1455" s="453"/>
      <c r="GM1455" s="453"/>
      <c r="GN1455" s="453"/>
      <c r="GO1455" s="453"/>
      <c r="GP1455" s="453"/>
      <c r="GQ1455" s="453"/>
      <c r="GR1455" s="453"/>
      <c r="GS1455" s="561"/>
      <c r="GT1455" s="475"/>
      <c r="GU1455" s="472"/>
      <c r="GV1455" s="453"/>
      <c r="GW1455" s="453"/>
      <c r="GX1455" s="869"/>
      <c r="GY1455" s="870"/>
      <c r="GZ1455" s="867"/>
      <c r="HA1455" s="868"/>
      <c r="HB1455" s="473"/>
      <c r="HC1455" s="869"/>
      <c r="HD1455" s="870"/>
      <c r="HE1455" s="867"/>
      <c r="HF1455" s="868"/>
      <c r="HG1455" s="473"/>
      <c r="HH1455" s="867"/>
      <c r="HI1455" s="868"/>
      <c r="HJ1455" s="867"/>
      <c r="HK1455" s="868"/>
      <c r="HL1455" s="370"/>
      <c r="HM1455" s="865"/>
      <c r="HN1455" s="866"/>
      <c r="HO1455" s="865"/>
      <c r="HP1455" s="866"/>
      <c r="HQ1455" s="865"/>
      <c r="HR1455" s="866"/>
      <c r="HS1455" s="867"/>
      <c r="HT1455" s="868"/>
      <c r="HU1455" s="489"/>
      <c r="HV1455" s="865"/>
      <c r="HW1455" s="866"/>
    </row>
    <row r="1456" spans="25:231" ht="15" customHeight="1">
      <c r="Y1456" s="332"/>
      <c r="Z1456" s="332"/>
      <c r="AA1456" s="332"/>
      <c r="AB1456" s="332"/>
      <c r="AC1456" s="332"/>
      <c r="AD1456" s="332"/>
      <c r="AE1456" s="332"/>
      <c r="AF1456" s="332"/>
      <c r="AG1456" s="332"/>
      <c r="AH1456" s="332"/>
      <c r="AI1456" s="332"/>
      <c r="AJ1456" s="332"/>
      <c r="AK1456" s="332"/>
      <c r="AL1456" s="332"/>
      <c r="AM1456" s="332"/>
      <c r="AN1456" s="332"/>
      <c r="AO1456" s="332"/>
      <c r="AP1456" s="332"/>
      <c r="AQ1456" s="332"/>
      <c r="AR1456" s="332"/>
      <c r="AS1456" s="332"/>
      <c r="AT1456" s="332"/>
      <c r="AU1456" s="332"/>
      <c r="AV1456" s="332"/>
      <c r="AW1456" s="332"/>
      <c r="AX1456" s="332"/>
      <c r="AY1456" s="332"/>
      <c r="AZ1456" s="332"/>
      <c r="BA1456" s="332"/>
      <c r="BB1456" s="332"/>
      <c r="BC1456" s="332"/>
      <c r="BD1456" s="332"/>
      <c r="BE1456" s="332"/>
      <c r="BF1456" s="332"/>
      <c r="BG1456" s="332"/>
      <c r="BH1456" s="332"/>
      <c r="BI1456" s="332"/>
      <c r="BJ1456" s="332"/>
      <c r="BK1456" s="332"/>
      <c r="BL1456" s="332"/>
      <c r="BM1456" s="332"/>
      <c r="BN1456" s="332"/>
      <c r="BO1456" s="332"/>
      <c r="BP1456" s="332"/>
      <c r="BQ1456" s="332"/>
      <c r="BR1456" s="332"/>
      <c r="BS1456" s="332"/>
      <c r="BT1456" s="332"/>
      <c r="BU1456" s="332"/>
      <c r="BV1456" s="332"/>
      <c r="BW1456" s="332"/>
      <c r="BX1456" s="332"/>
      <c r="BY1456" s="332"/>
      <c r="BZ1456" s="332"/>
      <c r="CA1456" s="332"/>
      <c r="CB1456" s="332"/>
      <c r="CC1456" s="332"/>
      <c r="CD1456" s="332"/>
      <c r="CE1456" s="332"/>
      <c r="CF1456" s="332"/>
      <c r="CG1456" s="332"/>
      <c r="CH1456" s="332"/>
      <c r="CI1456" s="332"/>
      <c r="CJ1456" s="332"/>
      <c r="CK1456" s="332"/>
      <c r="CL1456" s="332"/>
      <c r="CM1456" s="332"/>
      <c r="CN1456" s="332"/>
      <c r="CO1456" s="332"/>
      <c r="CP1456" s="332"/>
      <c r="CQ1456" s="332"/>
      <c r="CR1456" s="332"/>
      <c r="CS1456" s="332"/>
      <c r="CT1456" s="332"/>
      <c r="CU1456" s="332"/>
      <c r="CV1456" s="332"/>
      <c r="CW1456" s="332"/>
      <c r="CX1456" s="332"/>
      <c r="CY1456" s="332"/>
      <c r="CZ1456" s="332"/>
      <c r="DA1456" s="332"/>
      <c r="DB1456" s="332"/>
      <c r="DC1456" s="332"/>
      <c r="DD1456" s="332"/>
      <c r="DE1456" s="332"/>
      <c r="DF1456" s="332"/>
      <c r="DG1456" s="332"/>
      <c r="DH1456" s="332"/>
      <c r="DI1456" s="332"/>
      <c r="DJ1456" s="332"/>
      <c r="DK1456" s="332"/>
      <c r="DL1456" s="332"/>
      <c r="DM1456" s="332"/>
      <c r="DN1456" s="332"/>
      <c r="DO1456" s="332"/>
      <c r="DP1456" s="332"/>
      <c r="DQ1456" s="332"/>
      <c r="DR1456" s="332"/>
      <c r="DS1456" s="332"/>
      <c r="DT1456" s="332"/>
      <c r="DU1456" s="453"/>
      <c r="DV1456" s="453"/>
      <c r="DW1456" s="453"/>
      <c r="DX1456" s="453"/>
      <c r="DY1456" s="453"/>
      <c r="DZ1456" s="453"/>
      <c r="EA1456" s="453"/>
      <c r="EB1456" s="453"/>
      <c r="EC1456" s="453"/>
      <c r="ED1456" s="453"/>
      <c r="EE1456" s="453"/>
      <c r="EF1456" s="453"/>
      <c r="EG1456" s="453"/>
      <c r="EH1456" s="453"/>
      <c r="EI1456" s="453"/>
      <c r="EJ1456" s="453"/>
      <c r="EK1456" s="453"/>
      <c r="EL1456" s="453"/>
      <c r="EM1456" s="483">
        <f t="shared" si="267"/>
        <v>1147</v>
      </c>
      <c r="EN1456" s="485"/>
      <c r="EO1456" s="458"/>
      <c r="EP1456" s="467"/>
      <c r="EQ1456" s="457"/>
      <c r="ER1456" s="808"/>
      <c r="ES1456" s="881">
        <f t="shared" ref="ES1456:ES1499" si="268">IF(OR(EO1456 = "", EP1456 = 0, EP1456 = "", EQ1456 = 0, EQ1456 = "", ER1456 = 0, ER1456 = ""), 0,
IF(EO1456 &lt;&gt; "ACCION", EP1456 * ER1456 * -100,  EP1456 * ER1456 * -1))</f>
        <v>0</v>
      </c>
      <c r="ET1456" s="882"/>
      <c r="EU1456" s="883"/>
      <c r="EV1456" s="884">
        <f t="shared" ref="EV1456:EV1499" si="269">+IF(OR(EO1456 = "", EP1456 = 0, EP1456 = "", EQ1456 = 0, EQ1456 = "", ER1456 = 0, ER1456 = ""), 0,
IF(EO1456 &lt;&gt; "ACCION",
IF(EP1456 &gt; 0, EP1456 * ER1456 * -100 * ( 1 + COMIS_OPCION), EP1456 * ER1456 * -100 * ( 1 - COMIS_OPCION)),
IF(EP1456 &gt; 0, EP1456 * ER1456 * -1 * ( 1 + COMIS_ACCION), EP1456 * ER1456 * -1 * ( 1 - COMIS_ACCION))  ))</f>
        <v>0</v>
      </c>
      <c r="EW1456" s="885"/>
      <c r="EX1456" s="885"/>
      <c r="EY1456" s="885"/>
      <c r="EZ1456" s="885"/>
      <c r="FA1456" s="885"/>
      <c r="FB1456" s="885"/>
      <c r="FC1456" s="885"/>
      <c r="FD1456" s="886"/>
      <c r="FE1456" s="877"/>
      <c r="FF1456" s="877"/>
      <c r="FG1456" s="877"/>
      <c r="FH1456" s="877"/>
      <c r="FI1456" s="877"/>
      <c r="FJ1456" s="877"/>
      <c r="FK1456" s="877"/>
      <c r="FL1456" s="874"/>
      <c r="FM1456" s="875"/>
      <c r="FN1456" s="875"/>
      <c r="FO1456" s="875"/>
      <c r="FP1456" s="875"/>
      <c r="FQ1456" s="875"/>
      <c r="FR1456" s="875"/>
      <c r="FS1456" s="875"/>
      <c r="FT1456" s="875"/>
      <c r="FU1456" s="875"/>
      <c r="FV1456" s="875"/>
      <c r="FW1456" s="875"/>
      <c r="FX1456" s="875"/>
      <c r="FY1456" s="875"/>
      <c r="FZ1456" s="875"/>
      <c r="GA1456" s="875"/>
      <c r="GB1456" s="876"/>
      <c r="GC1456" s="370"/>
      <c r="GD1456" s="453"/>
      <c r="GE1456" s="453"/>
      <c r="GF1456" s="453"/>
      <c r="GG1456" s="453"/>
      <c r="GH1456" s="454"/>
      <c r="GI1456" s="453"/>
      <c r="GJ1456" s="453"/>
      <c r="GK1456" s="453"/>
      <c r="GL1456" s="453"/>
      <c r="GM1456" s="453"/>
      <c r="GN1456" s="453"/>
      <c r="GO1456" s="453"/>
      <c r="GP1456" s="453"/>
      <c r="GQ1456" s="453"/>
      <c r="GR1456" s="453"/>
      <c r="GS1456" s="561"/>
      <c r="GT1456" s="475"/>
      <c r="GU1456" s="472"/>
      <c r="GV1456" s="453"/>
      <c r="GW1456" s="453"/>
      <c r="GX1456" s="869"/>
      <c r="GY1456" s="870"/>
      <c r="GZ1456" s="867"/>
      <c r="HA1456" s="868"/>
      <c r="HB1456" s="473"/>
      <c r="HC1456" s="869"/>
      <c r="HD1456" s="870"/>
      <c r="HE1456" s="867"/>
      <c r="HF1456" s="868"/>
      <c r="HG1456" s="473"/>
      <c r="HH1456" s="867"/>
      <c r="HI1456" s="868"/>
      <c r="HJ1456" s="867"/>
      <c r="HK1456" s="868"/>
      <c r="HL1456" s="370"/>
      <c r="HM1456" s="865"/>
      <c r="HN1456" s="866"/>
      <c r="HO1456" s="865"/>
      <c r="HP1456" s="866"/>
      <c r="HQ1456" s="865"/>
      <c r="HR1456" s="866"/>
      <c r="HS1456" s="867"/>
      <c r="HT1456" s="868"/>
      <c r="HU1456" s="489"/>
      <c r="HV1456" s="865"/>
      <c r="HW1456" s="866"/>
    </row>
    <row r="1457" spans="25:231" ht="15" customHeight="1">
      <c r="Y1457" s="332"/>
      <c r="Z1457" s="332"/>
      <c r="AA1457" s="332"/>
      <c r="AB1457" s="332"/>
      <c r="AC1457" s="332"/>
      <c r="AD1457" s="332"/>
      <c r="AE1457" s="332"/>
      <c r="AF1457" s="332"/>
      <c r="AG1457" s="332"/>
      <c r="AH1457" s="332"/>
      <c r="AI1457" s="332"/>
      <c r="AJ1457" s="332"/>
      <c r="AK1457" s="332"/>
      <c r="AL1457" s="332"/>
      <c r="AM1457" s="332"/>
      <c r="AN1457" s="332"/>
      <c r="AO1457" s="332"/>
      <c r="AP1457" s="332"/>
      <c r="AQ1457" s="332"/>
      <c r="AR1457" s="332"/>
      <c r="AS1457" s="332"/>
      <c r="AT1457" s="332"/>
      <c r="AU1457" s="332"/>
      <c r="AV1457" s="332"/>
      <c r="AW1457" s="332"/>
      <c r="AX1457" s="332"/>
      <c r="AY1457" s="332"/>
      <c r="AZ1457" s="332"/>
      <c r="BA1457" s="332"/>
      <c r="BB1457" s="332"/>
      <c r="BC1457" s="332"/>
      <c r="BD1457" s="332"/>
      <c r="BE1457" s="332"/>
      <c r="BF1457" s="332"/>
      <c r="BG1457" s="332"/>
      <c r="BH1457" s="332"/>
      <c r="BI1457" s="332"/>
      <c r="BJ1457" s="332"/>
      <c r="BK1457" s="332"/>
      <c r="BL1457" s="332"/>
      <c r="BM1457" s="332"/>
      <c r="BN1457" s="332"/>
      <c r="BO1457" s="332"/>
      <c r="BP1457" s="332"/>
      <c r="BQ1457" s="332"/>
      <c r="BR1457" s="332"/>
      <c r="BS1457" s="332"/>
      <c r="BT1457" s="332"/>
      <c r="BU1457" s="332"/>
      <c r="BV1457" s="332"/>
      <c r="BW1457" s="332"/>
      <c r="BX1457" s="332"/>
      <c r="BY1457" s="332"/>
      <c r="BZ1457" s="332"/>
      <c r="CA1457" s="332"/>
      <c r="CB1457" s="332"/>
      <c r="CC1457" s="332"/>
      <c r="CD1457" s="332"/>
      <c r="CE1457" s="332"/>
      <c r="CF1457" s="332"/>
      <c r="CG1457" s="332"/>
      <c r="CH1457" s="332"/>
      <c r="CI1457" s="332"/>
      <c r="CJ1457" s="332"/>
      <c r="CK1457" s="332"/>
      <c r="CL1457" s="332"/>
      <c r="CM1457" s="332"/>
      <c r="CN1457" s="332"/>
      <c r="CO1457" s="332"/>
      <c r="CP1457" s="332"/>
      <c r="CQ1457" s="332"/>
      <c r="CR1457" s="332"/>
      <c r="CS1457" s="332"/>
      <c r="CT1457" s="332"/>
      <c r="CU1457" s="332"/>
      <c r="CV1457" s="332"/>
      <c r="CW1457" s="332"/>
      <c r="CX1457" s="332"/>
      <c r="CY1457" s="332"/>
      <c r="CZ1457" s="332"/>
      <c r="DA1457" s="332"/>
      <c r="DB1457" s="332"/>
      <c r="DC1457" s="332"/>
      <c r="DD1457" s="332"/>
      <c r="DE1457" s="332"/>
      <c r="DF1457" s="332"/>
      <c r="DG1457" s="332"/>
      <c r="DH1457" s="332"/>
      <c r="DI1457" s="332"/>
      <c r="DJ1457" s="332"/>
      <c r="DK1457" s="332"/>
      <c r="DL1457" s="332"/>
      <c r="DM1457" s="332"/>
      <c r="DN1457" s="332"/>
      <c r="DO1457" s="332"/>
      <c r="DP1457" s="332"/>
      <c r="DQ1457" s="332"/>
      <c r="DR1457" s="332"/>
      <c r="DS1457" s="332"/>
      <c r="DT1457" s="332"/>
      <c r="DU1457" s="453"/>
      <c r="DV1457" s="453"/>
      <c r="DW1457" s="453"/>
      <c r="DX1457" s="453"/>
      <c r="DY1457" s="453"/>
      <c r="DZ1457" s="453"/>
      <c r="EA1457" s="453"/>
      <c r="EB1457" s="453"/>
      <c r="EC1457" s="453"/>
      <c r="ED1457" s="453"/>
      <c r="EE1457" s="453"/>
      <c r="EF1457" s="453"/>
      <c r="EG1457" s="453"/>
      <c r="EH1457" s="453"/>
      <c r="EI1457" s="453"/>
      <c r="EJ1457" s="453"/>
      <c r="EK1457" s="453"/>
      <c r="EL1457" s="453"/>
      <c r="EM1457" s="483">
        <f t="shared" si="267"/>
        <v>1148</v>
      </c>
      <c r="EN1457" s="485"/>
      <c r="EO1457" s="458"/>
      <c r="EP1457" s="467"/>
      <c r="EQ1457" s="457"/>
      <c r="ER1457" s="808"/>
      <c r="ES1457" s="881">
        <f t="shared" si="268"/>
        <v>0</v>
      </c>
      <c r="ET1457" s="882"/>
      <c r="EU1457" s="883"/>
      <c r="EV1457" s="884">
        <f t="shared" si="269"/>
        <v>0</v>
      </c>
      <c r="EW1457" s="885"/>
      <c r="EX1457" s="885"/>
      <c r="EY1457" s="885"/>
      <c r="EZ1457" s="885"/>
      <c r="FA1457" s="885"/>
      <c r="FB1457" s="885"/>
      <c r="FC1457" s="885"/>
      <c r="FD1457" s="886"/>
      <c r="FE1457" s="877"/>
      <c r="FF1457" s="877"/>
      <c r="FG1457" s="877"/>
      <c r="FH1457" s="877"/>
      <c r="FI1457" s="877"/>
      <c r="FJ1457" s="877"/>
      <c r="FK1457" s="877"/>
      <c r="FL1457" s="874"/>
      <c r="FM1457" s="875"/>
      <c r="FN1457" s="875"/>
      <c r="FO1457" s="875"/>
      <c r="FP1457" s="875"/>
      <c r="FQ1457" s="875"/>
      <c r="FR1457" s="875"/>
      <c r="FS1457" s="875"/>
      <c r="FT1457" s="875"/>
      <c r="FU1457" s="875"/>
      <c r="FV1457" s="875"/>
      <c r="FW1457" s="875"/>
      <c r="FX1457" s="875"/>
      <c r="FY1457" s="875"/>
      <c r="FZ1457" s="875"/>
      <c r="GA1457" s="875"/>
      <c r="GB1457" s="876"/>
      <c r="GC1457" s="370"/>
      <c r="GD1457" s="453"/>
      <c r="GE1457" s="453"/>
      <c r="GF1457" s="453"/>
      <c r="GG1457" s="453"/>
      <c r="GH1457" s="454"/>
      <c r="GI1457" s="453"/>
      <c r="GJ1457" s="453"/>
      <c r="GK1457" s="453"/>
      <c r="GL1457" s="453"/>
      <c r="GM1457" s="453"/>
      <c r="GN1457" s="453"/>
      <c r="GO1457" s="453"/>
      <c r="GP1457" s="453"/>
      <c r="GQ1457" s="453"/>
      <c r="GR1457" s="453"/>
      <c r="GS1457" s="561"/>
      <c r="GT1457" s="475"/>
      <c r="GU1457" s="472"/>
      <c r="GV1457" s="453"/>
      <c r="GW1457" s="453"/>
      <c r="GX1457" s="869"/>
      <c r="GY1457" s="870"/>
      <c r="GZ1457" s="867"/>
      <c r="HA1457" s="868"/>
      <c r="HB1457" s="473"/>
      <c r="HC1457" s="869"/>
      <c r="HD1457" s="870"/>
      <c r="HE1457" s="867"/>
      <c r="HF1457" s="868"/>
      <c r="HG1457" s="473"/>
      <c r="HH1457" s="867"/>
      <c r="HI1457" s="868"/>
      <c r="HJ1457" s="867"/>
      <c r="HK1457" s="868"/>
      <c r="HL1457" s="370"/>
      <c r="HM1457" s="865"/>
      <c r="HN1457" s="866"/>
      <c r="HO1457" s="865"/>
      <c r="HP1457" s="866"/>
      <c r="HQ1457" s="865"/>
      <c r="HR1457" s="866"/>
      <c r="HS1457" s="867"/>
      <c r="HT1457" s="868"/>
      <c r="HU1457" s="489"/>
      <c r="HV1457" s="865"/>
      <c r="HW1457" s="866"/>
    </row>
    <row r="1458" spans="25:231" ht="15" customHeight="1">
      <c r="Y1458" s="332"/>
      <c r="Z1458" s="332"/>
      <c r="AA1458" s="332"/>
      <c r="AB1458" s="332"/>
      <c r="AC1458" s="332"/>
      <c r="AD1458" s="332"/>
      <c r="AE1458" s="332"/>
      <c r="AF1458" s="332"/>
      <c r="AG1458" s="332"/>
      <c r="AH1458" s="332"/>
      <c r="AI1458" s="332"/>
      <c r="AJ1458" s="332"/>
      <c r="AK1458" s="332"/>
      <c r="AL1458" s="332"/>
      <c r="AM1458" s="332"/>
      <c r="AN1458" s="332"/>
      <c r="AO1458" s="332"/>
      <c r="AP1458" s="332"/>
      <c r="AQ1458" s="332"/>
      <c r="AR1458" s="332"/>
      <c r="AS1458" s="332"/>
      <c r="AT1458" s="332"/>
      <c r="AU1458" s="332"/>
      <c r="AV1458" s="332"/>
      <c r="AW1458" s="332"/>
      <c r="AX1458" s="332"/>
      <c r="AY1458" s="332"/>
      <c r="AZ1458" s="332"/>
      <c r="BA1458" s="332"/>
      <c r="BB1458" s="332"/>
      <c r="BC1458" s="332"/>
      <c r="BD1458" s="332"/>
      <c r="BE1458" s="332"/>
      <c r="BF1458" s="332"/>
      <c r="BG1458" s="332"/>
      <c r="BH1458" s="332"/>
      <c r="BI1458" s="332"/>
      <c r="BJ1458" s="332"/>
      <c r="BK1458" s="332"/>
      <c r="BL1458" s="332"/>
      <c r="BM1458" s="332"/>
      <c r="BN1458" s="332"/>
      <c r="BO1458" s="332"/>
      <c r="BP1458" s="332"/>
      <c r="BQ1458" s="332"/>
      <c r="BR1458" s="332"/>
      <c r="BS1458" s="332"/>
      <c r="BT1458" s="332"/>
      <c r="BU1458" s="332"/>
      <c r="BV1458" s="332"/>
      <c r="BW1458" s="332"/>
      <c r="BX1458" s="332"/>
      <c r="BY1458" s="332"/>
      <c r="BZ1458" s="332"/>
      <c r="CA1458" s="332"/>
      <c r="CB1458" s="332"/>
      <c r="CC1458" s="332"/>
      <c r="CD1458" s="332"/>
      <c r="CE1458" s="332"/>
      <c r="CF1458" s="332"/>
      <c r="CG1458" s="332"/>
      <c r="CH1458" s="332"/>
      <c r="CI1458" s="332"/>
      <c r="CJ1458" s="332"/>
      <c r="CK1458" s="332"/>
      <c r="CL1458" s="332"/>
      <c r="CM1458" s="332"/>
      <c r="CN1458" s="332"/>
      <c r="CO1458" s="332"/>
      <c r="CP1458" s="332"/>
      <c r="CQ1458" s="332"/>
      <c r="CR1458" s="332"/>
      <c r="CS1458" s="332"/>
      <c r="CT1458" s="332"/>
      <c r="CU1458" s="332"/>
      <c r="CV1458" s="332"/>
      <c r="CW1458" s="332"/>
      <c r="CX1458" s="332"/>
      <c r="CY1458" s="332"/>
      <c r="CZ1458" s="332"/>
      <c r="DA1458" s="332"/>
      <c r="DB1458" s="332"/>
      <c r="DC1458" s="332"/>
      <c r="DD1458" s="332"/>
      <c r="DE1458" s="332"/>
      <c r="DF1458" s="332"/>
      <c r="DG1458" s="332"/>
      <c r="DH1458" s="332"/>
      <c r="DI1458" s="332"/>
      <c r="DJ1458" s="332"/>
      <c r="DK1458" s="332"/>
      <c r="DL1458" s="332"/>
      <c r="DM1458" s="332"/>
      <c r="DN1458" s="332"/>
      <c r="DO1458" s="332"/>
      <c r="DP1458" s="332"/>
      <c r="DQ1458" s="332"/>
      <c r="DR1458" s="332"/>
      <c r="DS1458" s="332"/>
      <c r="DT1458" s="332"/>
      <c r="DU1458" s="453"/>
      <c r="DV1458" s="453"/>
      <c r="DW1458" s="453"/>
      <c r="DX1458" s="453"/>
      <c r="DY1458" s="453"/>
      <c r="DZ1458" s="453"/>
      <c r="EA1458" s="453"/>
      <c r="EB1458" s="453"/>
      <c r="EC1458" s="453"/>
      <c r="ED1458" s="453"/>
      <c r="EE1458" s="453"/>
      <c r="EF1458" s="453"/>
      <c r="EG1458" s="453"/>
      <c r="EH1458" s="453"/>
      <c r="EI1458" s="453"/>
      <c r="EJ1458" s="453"/>
      <c r="EK1458" s="453"/>
      <c r="EL1458" s="453"/>
      <c r="EM1458" s="483">
        <f t="shared" si="267"/>
        <v>1149</v>
      </c>
      <c r="EN1458" s="485"/>
      <c r="EO1458" s="458"/>
      <c r="EP1458" s="467"/>
      <c r="EQ1458" s="457"/>
      <c r="ER1458" s="808"/>
      <c r="ES1458" s="881">
        <f t="shared" si="268"/>
        <v>0</v>
      </c>
      <c r="ET1458" s="882"/>
      <c r="EU1458" s="883"/>
      <c r="EV1458" s="884">
        <f t="shared" si="269"/>
        <v>0</v>
      </c>
      <c r="EW1458" s="885"/>
      <c r="EX1458" s="885"/>
      <c r="EY1458" s="885"/>
      <c r="EZ1458" s="885"/>
      <c r="FA1458" s="885"/>
      <c r="FB1458" s="885"/>
      <c r="FC1458" s="885"/>
      <c r="FD1458" s="886"/>
      <c r="FE1458" s="877"/>
      <c r="FF1458" s="877"/>
      <c r="FG1458" s="877"/>
      <c r="FH1458" s="877"/>
      <c r="FI1458" s="877"/>
      <c r="FJ1458" s="877"/>
      <c r="FK1458" s="877"/>
      <c r="FL1458" s="874"/>
      <c r="FM1458" s="875"/>
      <c r="FN1458" s="875"/>
      <c r="FO1458" s="875"/>
      <c r="FP1458" s="875"/>
      <c r="FQ1458" s="875"/>
      <c r="FR1458" s="875"/>
      <c r="FS1458" s="875"/>
      <c r="FT1458" s="875"/>
      <c r="FU1458" s="875"/>
      <c r="FV1458" s="875"/>
      <c r="FW1458" s="875"/>
      <c r="FX1458" s="875"/>
      <c r="FY1458" s="875"/>
      <c r="FZ1458" s="875"/>
      <c r="GA1458" s="875"/>
      <c r="GB1458" s="876"/>
      <c r="GC1458" s="370"/>
      <c r="GD1458" s="453"/>
      <c r="GE1458" s="453"/>
      <c r="GF1458" s="453"/>
      <c r="GG1458" s="453"/>
      <c r="GH1458" s="454"/>
      <c r="GI1458" s="453"/>
      <c r="GJ1458" s="453"/>
      <c r="GK1458" s="453"/>
      <c r="GL1458" s="453"/>
      <c r="GM1458" s="453"/>
      <c r="GN1458" s="453"/>
      <c r="GO1458" s="453"/>
      <c r="GP1458" s="453"/>
      <c r="GQ1458" s="453"/>
      <c r="GR1458" s="453"/>
      <c r="GS1458" s="561"/>
      <c r="GT1458" s="475"/>
      <c r="GU1458" s="472"/>
      <c r="GV1458" s="453"/>
      <c r="GW1458" s="453"/>
      <c r="GX1458" s="869"/>
      <c r="GY1458" s="870"/>
      <c r="GZ1458" s="867"/>
      <c r="HA1458" s="868"/>
      <c r="HB1458" s="473"/>
      <c r="HC1458" s="869"/>
      <c r="HD1458" s="870"/>
      <c r="HE1458" s="867"/>
      <c r="HF1458" s="868"/>
      <c r="HG1458" s="473"/>
      <c r="HH1458" s="867"/>
      <c r="HI1458" s="868"/>
      <c r="HJ1458" s="867"/>
      <c r="HK1458" s="868"/>
      <c r="HL1458" s="370"/>
      <c r="HM1458" s="865"/>
      <c r="HN1458" s="866"/>
      <c r="HO1458" s="865"/>
      <c r="HP1458" s="866"/>
      <c r="HQ1458" s="865"/>
      <c r="HR1458" s="866"/>
      <c r="HS1458" s="867"/>
      <c r="HT1458" s="868"/>
      <c r="HU1458" s="489"/>
      <c r="HV1458" s="865"/>
      <c r="HW1458" s="866"/>
    </row>
    <row r="1459" spans="25:231" ht="15" customHeight="1">
      <c r="Y1459" s="332"/>
      <c r="Z1459" s="332"/>
      <c r="AA1459" s="332"/>
      <c r="AB1459" s="332"/>
      <c r="AC1459" s="332"/>
      <c r="AD1459" s="332"/>
      <c r="AE1459" s="332"/>
      <c r="AF1459" s="332"/>
      <c r="AG1459" s="332"/>
      <c r="AH1459" s="332"/>
      <c r="AI1459" s="332"/>
      <c r="AJ1459" s="332"/>
      <c r="AK1459" s="332"/>
      <c r="AL1459" s="332"/>
      <c r="AM1459" s="332"/>
      <c r="AN1459" s="332"/>
      <c r="AO1459" s="332"/>
      <c r="AP1459" s="332"/>
      <c r="AQ1459" s="332"/>
      <c r="AR1459" s="332"/>
      <c r="AS1459" s="332"/>
      <c r="AT1459" s="332"/>
      <c r="AU1459" s="332"/>
      <c r="AV1459" s="332"/>
      <c r="AW1459" s="332"/>
      <c r="AX1459" s="332"/>
      <c r="AY1459" s="332"/>
      <c r="AZ1459" s="332"/>
      <c r="BA1459" s="332"/>
      <c r="BB1459" s="332"/>
      <c r="BC1459" s="332"/>
      <c r="BD1459" s="332"/>
      <c r="BE1459" s="332"/>
      <c r="BF1459" s="332"/>
      <c r="BG1459" s="332"/>
      <c r="BH1459" s="332"/>
      <c r="BI1459" s="332"/>
      <c r="BJ1459" s="332"/>
      <c r="BK1459" s="332"/>
      <c r="BL1459" s="332"/>
      <c r="BM1459" s="332"/>
      <c r="BN1459" s="332"/>
      <c r="BO1459" s="332"/>
      <c r="BP1459" s="332"/>
      <c r="BQ1459" s="332"/>
      <c r="BR1459" s="332"/>
      <c r="BS1459" s="332"/>
      <c r="BT1459" s="332"/>
      <c r="BU1459" s="332"/>
      <c r="BV1459" s="332"/>
      <c r="BW1459" s="332"/>
      <c r="BX1459" s="332"/>
      <c r="BY1459" s="332"/>
      <c r="BZ1459" s="332"/>
      <c r="CA1459" s="332"/>
      <c r="CB1459" s="332"/>
      <c r="CC1459" s="332"/>
      <c r="CD1459" s="332"/>
      <c r="CE1459" s="332"/>
      <c r="CF1459" s="332"/>
      <c r="CG1459" s="332"/>
      <c r="CH1459" s="332"/>
      <c r="CI1459" s="332"/>
      <c r="CJ1459" s="332"/>
      <c r="CK1459" s="332"/>
      <c r="CL1459" s="332"/>
      <c r="CM1459" s="332"/>
      <c r="CN1459" s="332"/>
      <c r="CO1459" s="332"/>
      <c r="CP1459" s="332"/>
      <c r="CQ1459" s="332"/>
      <c r="CR1459" s="332"/>
      <c r="CS1459" s="332"/>
      <c r="CT1459" s="332"/>
      <c r="CU1459" s="332"/>
      <c r="CV1459" s="332"/>
      <c r="CW1459" s="332"/>
      <c r="CX1459" s="332"/>
      <c r="CY1459" s="332"/>
      <c r="CZ1459" s="332"/>
      <c r="DA1459" s="332"/>
      <c r="DB1459" s="332"/>
      <c r="DC1459" s="332"/>
      <c r="DD1459" s="332"/>
      <c r="DE1459" s="332"/>
      <c r="DF1459" s="332"/>
      <c r="DG1459" s="332"/>
      <c r="DH1459" s="332"/>
      <c r="DI1459" s="332"/>
      <c r="DJ1459" s="332"/>
      <c r="DK1459" s="332"/>
      <c r="DL1459" s="332"/>
      <c r="DM1459" s="332"/>
      <c r="DN1459" s="332"/>
      <c r="DO1459" s="332"/>
      <c r="DP1459" s="332"/>
      <c r="DQ1459" s="332"/>
      <c r="DR1459" s="332"/>
      <c r="DS1459" s="332"/>
      <c r="DT1459" s="332"/>
      <c r="DU1459" s="453"/>
      <c r="DV1459" s="453"/>
      <c r="DW1459" s="453"/>
      <c r="DX1459" s="453"/>
      <c r="DY1459" s="453"/>
      <c r="DZ1459" s="453"/>
      <c r="EA1459" s="453"/>
      <c r="EB1459" s="453"/>
      <c r="EC1459" s="453"/>
      <c r="ED1459" s="453"/>
      <c r="EE1459" s="453"/>
      <c r="EF1459" s="453"/>
      <c r="EG1459" s="453"/>
      <c r="EH1459" s="453"/>
      <c r="EI1459" s="453"/>
      <c r="EJ1459" s="453"/>
      <c r="EK1459" s="453"/>
      <c r="EL1459" s="453"/>
      <c r="EM1459" s="483">
        <f t="shared" si="267"/>
        <v>1150</v>
      </c>
      <c r="EN1459" s="485"/>
      <c r="EO1459" s="458"/>
      <c r="EP1459" s="467"/>
      <c r="EQ1459" s="457"/>
      <c r="ER1459" s="808"/>
      <c r="ES1459" s="881">
        <f t="shared" si="268"/>
        <v>0</v>
      </c>
      <c r="ET1459" s="882"/>
      <c r="EU1459" s="883"/>
      <c r="EV1459" s="884">
        <f t="shared" si="269"/>
        <v>0</v>
      </c>
      <c r="EW1459" s="885"/>
      <c r="EX1459" s="885"/>
      <c r="EY1459" s="885"/>
      <c r="EZ1459" s="885"/>
      <c r="FA1459" s="885"/>
      <c r="FB1459" s="885"/>
      <c r="FC1459" s="885"/>
      <c r="FD1459" s="886"/>
      <c r="FE1459" s="877"/>
      <c r="FF1459" s="877"/>
      <c r="FG1459" s="877"/>
      <c r="FH1459" s="877"/>
      <c r="FI1459" s="877"/>
      <c r="FJ1459" s="877"/>
      <c r="FK1459" s="877"/>
      <c r="FL1459" s="874"/>
      <c r="FM1459" s="875"/>
      <c r="FN1459" s="875"/>
      <c r="FO1459" s="875"/>
      <c r="FP1459" s="875"/>
      <c r="FQ1459" s="875"/>
      <c r="FR1459" s="875"/>
      <c r="FS1459" s="875"/>
      <c r="FT1459" s="875"/>
      <c r="FU1459" s="875"/>
      <c r="FV1459" s="875"/>
      <c r="FW1459" s="875"/>
      <c r="FX1459" s="875"/>
      <c r="FY1459" s="875"/>
      <c r="FZ1459" s="875"/>
      <c r="GA1459" s="875"/>
      <c r="GB1459" s="876"/>
      <c r="GC1459" s="370"/>
      <c r="GD1459" s="453"/>
      <c r="GE1459" s="453"/>
      <c r="GF1459" s="453"/>
      <c r="GG1459" s="453"/>
      <c r="GH1459" s="454"/>
      <c r="GI1459" s="453"/>
      <c r="GJ1459" s="453"/>
      <c r="GK1459" s="453"/>
      <c r="GL1459" s="453"/>
      <c r="GM1459" s="453"/>
      <c r="GN1459" s="453"/>
      <c r="GO1459" s="453"/>
      <c r="GP1459" s="453"/>
      <c r="GQ1459" s="453"/>
      <c r="GR1459" s="453"/>
      <c r="GS1459" s="561"/>
      <c r="GT1459" s="475"/>
      <c r="GU1459" s="472"/>
      <c r="GV1459" s="453"/>
      <c r="GW1459" s="453"/>
      <c r="GX1459" s="869"/>
      <c r="GY1459" s="870"/>
      <c r="GZ1459" s="867"/>
      <c r="HA1459" s="868"/>
      <c r="HB1459" s="473"/>
      <c r="HC1459" s="869"/>
      <c r="HD1459" s="870"/>
      <c r="HE1459" s="867"/>
      <c r="HF1459" s="868"/>
      <c r="HG1459" s="473"/>
      <c r="HH1459" s="867"/>
      <c r="HI1459" s="868"/>
      <c r="HJ1459" s="867"/>
      <c r="HK1459" s="868"/>
      <c r="HL1459" s="370"/>
      <c r="HM1459" s="865"/>
      <c r="HN1459" s="866"/>
      <c r="HO1459" s="865"/>
      <c r="HP1459" s="866"/>
      <c r="HQ1459" s="865"/>
      <c r="HR1459" s="866"/>
      <c r="HS1459" s="867"/>
      <c r="HT1459" s="868"/>
      <c r="HU1459" s="489"/>
      <c r="HV1459" s="865"/>
      <c r="HW1459" s="866"/>
    </row>
    <row r="1460" spans="25:231" ht="15" customHeight="1">
      <c r="Y1460" s="332"/>
      <c r="Z1460" s="332"/>
      <c r="AA1460" s="332"/>
      <c r="AB1460" s="332"/>
      <c r="AC1460" s="332"/>
      <c r="AD1460" s="332"/>
      <c r="AE1460" s="332"/>
      <c r="AF1460" s="332"/>
      <c r="AG1460" s="332"/>
      <c r="AH1460" s="332"/>
      <c r="AI1460" s="332"/>
      <c r="AJ1460" s="332"/>
      <c r="AK1460" s="332"/>
      <c r="AL1460" s="332"/>
      <c r="AM1460" s="332"/>
      <c r="AN1460" s="332"/>
      <c r="AO1460" s="332"/>
      <c r="AP1460" s="332"/>
      <c r="AQ1460" s="332"/>
      <c r="AR1460" s="332"/>
      <c r="AS1460" s="332"/>
      <c r="AT1460" s="332"/>
      <c r="AU1460" s="332"/>
      <c r="AV1460" s="332"/>
      <c r="AW1460" s="332"/>
      <c r="AX1460" s="332"/>
      <c r="AY1460" s="332"/>
      <c r="AZ1460" s="332"/>
      <c r="BA1460" s="332"/>
      <c r="BB1460" s="332"/>
      <c r="BC1460" s="332"/>
      <c r="BD1460" s="332"/>
      <c r="BE1460" s="332"/>
      <c r="BF1460" s="332"/>
      <c r="BG1460" s="332"/>
      <c r="BH1460" s="332"/>
      <c r="BI1460" s="332"/>
      <c r="BJ1460" s="332"/>
      <c r="BK1460" s="332"/>
      <c r="BL1460" s="332"/>
      <c r="BM1460" s="332"/>
      <c r="BN1460" s="332"/>
      <c r="BO1460" s="332"/>
      <c r="BP1460" s="332"/>
      <c r="BQ1460" s="332"/>
      <c r="BR1460" s="332"/>
      <c r="BS1460" s="332"/>
      <c r="BT1460" s="332"/>
      <c r="BU1460" s="332"/>
      <c r="BV1460" s="332"/>
      <c r="BW1460" s="332"/>
      <c r="BX1460" s="332"/>
      <c r="BY1460" s="332"/>
      <c r="BZ1460" s="332"/>
      <c r="CA1460" s="332"/>
      <c r="CB1460" s="332"/>
      <c r="CC1460" s="332"/>
      <c r="CD1460" s="332"/>
      <c r="CE1460" s="332"/>
      <c r="CF1460" s="332"/>
      <c r="CG1460" s="332"/>
      <c r="CH1460" s="332"/>
      <c r="CI1460" s="332"/>
      <c r="CJ1460" s="332"/>
      <c r="CK1460" s="332"/>
      <c r="CL1460" s="332"/>
      <c r="CM1460" s="332"/>
      <c r="CN1460" s="332"/>
      <c r="CO1460" s="332"/>
      <c r="CP1460" s="332"/>
      <c r="CQ1460" s="332"/>
      <c r="CR1460" s="332"/>
      <c r="CS1460" s="332"/>
      <c r="CT1460" s="332"/>
      <c r="CU1460" s="332"/>
      <c r="CV1460" s="332"/>
      <c r="CW1460" s="332"/>
      <c r="CX1460" s="332"/>
      <c r="CY1460" s="332"/>
      <c r="CZ1460" s="332"/>
      <c r="DA1460" s="332"/>
      <c r="DB1460" s="332"/>
      <c r="DC1460" s="332"/>
      <c r="DD1460" s="332"/>
      <c r="DE1460" s="332"/>
      <c r="DF1460" s="332"/>
      <c r="DG1460" s="332"/>
      <c r="DH1460" s="332"/>
      <c r="DI1460" s="332"/>
      <c r="DJ1460" s="332"/>
      <c r="DK1460" s="332"/>
      <c r="DL1460" s="332"/>
      <c r="DM1460" s="332"/>
      <c r="DN1460" s="332"/>
      <c r="DO1460" s="332"/>
      <c r="DP1460" s="332"/>
      <c r="DQ1460" s="332"/>
      <c r="DR1460" s="332"/>
      <c r="DS1460" s="332"/>
      <c r="DT1460" s="332"/>
      <c r="DU1460" s="453"/>
      <c r="DV1460" s="453"/>
      <c r="DW1460" s="453"/>
      <c r="DX1460" s="453"/>
      <c r="DY1460" s="453"/>
      <c r="DZ1460" s="453"/>
      <c r="EA1460" s="453"/>
      <c r="EB1460" s="453"/>
      <c r="EC1460" s="453"/>
      <c r="ED1460" s="453"/>
      <c r="EE1460" s="453"/>
      <c r="EF1460" s="453"/>
      <c r="EG1460" s="453"/>
      <c r="EH1460" s="453"/>
      <c r="EI1460" s="453"/>
      <c r="EJ1460" s="453"/>
      <c r="EK1460" s="453"/>
      <c r="EL1460" s="453"/>
      <c r="EM1460" s="483">
        <f t="shared" si="267"/>
        <v>1151</v>
      </c>
      <c r="EN1460" s="485"/>
      <c r="EO1460" s="458"/>
      <c r="EP1460" s="467"/>
      <c r="EQ1460" s="457"/>
      <c r="ER1460" s="808"/>
      <c r="ES1460" s="881">
        <f t="shared" si="268"/>
        <v>0</v>
      </c>
      <c r="ET1460" s="882"/>
      <c r="EU1460" s="883"/>
      <c r="EV1460" s="884">
        <f t="shared" si="269"/>
        <v>0</v>
      </c>
      <c r="EW1460" s="885"/>
      <c r="EX1460" s="885"/>
      <c r="EY1460" s="885"/>
      <c r="EZ1460" s="885"/>
      <c r="FA1460" s="885"/>
      <c r="FB1460" s="885"/>
      <c r="FC1460" s="885"/>
      <c r="FD1460" s="886"/>
      <c r="FE1460" s="877"/>
      <c r="FF1460" s="877"/>
      <c r="FG1460" s="877"/>
      <c r="FH1460" s="877"/>
      <c r="FI1460" s="877"/>
      <c r="FJ1460" s="877"/>
      <c r="FK1460" s="877"/>
      <c r="FL1460" s="874"/>
      <c r="FM1460" s="875"/>
      <c r="FN1460" s="875"/>
      <c r="FO1460" s="875"/>
      <c r="FP1460" s="875"/>
      <c r="FQ1460" s="875"/>
      <c r="FR1460" s="875"/>
      <c r="FS1460" s="875"/>
      <c r="FT1460" s="875"/>
      <c r="FU1460" s="875"/>
      <c r="FV1460" s="875"/>
      <c r="FW1460" s="875"/>
      <c r="FX1460" s="875"/>
      <c r="FY1460" s="875"/>
      <c r="FZ1460" s="875"/>
      <c r="GA1460" s="875"/>
      <c r="GB1460" s="876"/>
      <c r="GC1460" s="370"/>
      <c r="GD1460" s="453"/>
      <c r="GE1460" s="453"/>
      <c r="GF1460" s="453"/>
      <c r="GG1460" s="453"/>
      <c r="GH1460" s="454"/>
      <c r="GI1460" s="453"/>
      <c r="GJ1460" s="453"/>
      <c r="GK1460" s="453"/>
      <c r="GL1460" s="453"/>
      <c r="GM1460" s="453"/>
      <c r="GN1460" s="453"/>
      <c r="GO1460" s="453"/>
      <c r="GP1460" s="453"/>
      <c r="GQ1460" s="453"/>
      <c r="GR1460" s="453"/>
      <c r="GS1460" s="561"/>
      <c r="GT1460" s="475"/>
      <c r="GU1460" s="472"/>
      <c r="GV1460" s="453"/>
      <c r="GW1460" s="453"/>
      <c r="GX1460" s="869"/>
      <c r="GY1460" s="870"/>
      <c r="GZ1460" s="867"/>
      <c r="HA1460" s="868"/>
      <c r="HB1460" s="473"/>
      <c r="HC1460" s="869"/>
      <c r="HD1460" s="870"/>
      <c r="HE1460" s="867"/>
      <c r="HF1460" s="868"/>
      <c r="HG1460" s="473"/>
      <c r="HH1460" s="867"/>
      <c r="HI1460" s="868"/>
      <c r="HJ1460" s="867"/>
      <c r="HK1460" s="868"/>
      <c r="HL1460" s="370"/>
      <c r="HM1460" s="865"/>
      <c r="HN1460" s="866"/>
      <c r="HO1460" s="865"/>
      <c r="HP1460" s="866"/>
      <c r="HQ1460" s="865"/>
      <c r="HR1460" s="866"/>
      <c r="HS1460" s="867"/>
      <c r="HT1460" s="868"/>
      <c r="HU1460" s="489"/>
      <c r="HV1460" s="865"/>
      <c r="HW1460" s="866"/>
    </row>
    <row r="1461" spans="25:231" ht="15" customHeight="1">
      <c r="Y1461" s="332"/>
      <c r="Z1461" s="332"/>
      <c r="AA1461" s="332"/>
      <c r="AB1461" s="332"/>
      <c r="AC1461" s="332"/>
      <c r="AD1461" s="332"/>
      <c r="AE1461" s="332"/>
      <c r="AF1461" s="332"/>
      <c r="AG1461" s="332"/>
      <c r="AH1461" s="332"/>
      <c r="AI1461" s="332"/>
      <c r="AJ1461" s="332"/>
      <c r="AK1461" s="332"/>
      <c r="AL1461" s="332"/>
      <c r="AM1461" s="332"/>
      <c r="AN1461" s="332"/>
      <c r="AO1461" s="332"/>
      <c r="AP1461" s="332"/>
      <c r="AQ1461" s="332"/>
      <c r="AR1461" s="332"/>
      <c r="AS1461" s="332"/>
      <c r="AT1461" s="332"/>
      <c r="AU1461" s="332"/>
      <c r="AV1461" s="332"/>
      <c r="AW1461" s="332"/>
      <c r="AX1461" s="332"/>
      <c r="AY1461" s="332"/>
      <c r="AZ1461" s="332"/>
      <c r="BA1461" s="332"/>
      <c r="BB1461" s="332"/>
      <c r="BC1461" s="332"/>
      <c r="BD1461" s="332"/>
      <c r="BE1461" s="332"/>
      <c r="BF1461" s="332"/>
      <c r="BG1461" s="332"/>
      <c r="BH1461" s="332"/>
      <c r="BI1461" s="332"/>
      <c r="BJ1461" s="332"/>
      <c r="BK1461" s="332"/>
      <c r="BL1461" s="332"/>
      <c r="BM1461" s="332"/>
      <c r="BN1461" s="332"/>
      <c r="BO1461" s="332"/>
      <c r="BP1461" s="332"/>
      <c r="BQ1461" s="332"/>
      <c r="BR1461" s="332"/>
      <c r="BS1461" s="332"/>
      <c r="BT1461" s="332"/>
      <c r="BU1461" s="332"/>
      <c r="BV1461" s="332"/>
      <c r="BW1461" s="332"/>
      <c r="BX1461" s="332"/>
      <c r="BY1461" s="332"/>
      <c r="BZ1461" s="332"/>
      <c r="CA1461" s="332"/>
      <c r="CB1461" s="332"/>
      <c r="CC1461" s="332"/>
      <c r="CD1461" s="332"/>
      <c r="CE1461" s="332"/>
      <c r="CF1461" s="332"/>
      <c r="CG1461" s="332"/>
      <c r="CH1461" s="332"/>
      <c r="CI1461" s="332"/>
      <c r="CJ1461" s="332"/>
      <c r="CK1461" s="332"/>
      <c r="CL1461" s="332"/>
      <c r="CM1461" s="332"/>
      <c r="CN1461" s="332"/>
      <c r="CO1461" s="332"/>
      <c r="CP1461" s="332"/>
      <c r="CQ1461" s="332"/>
      <c r="CR1461" s="332"/>
      <c r="CS1461" s="332"/>
      <c r="CT1461" s="332"/>
      <c r="CU1461" s="332"/>
      <c r="CV1461" s="332"/>
      <c r="CW1461" s="332"/>
      <c r="CX1461" s="332"/>
      <c r="CY1461" s="332"/>
      <c r="CZ1461" s="332"/>
      <c r="DA1461" s="332"/>
      <c r="DB1461" s="332"/>
      <c r="DC1461" s="332"/>
      <c r="DD1461" s="332"/>
      <c r="DE1461" s="332"/>
      <c r="DF1461" s="332"/>
      <c r="DG1461" s="332"/>
      <c r="DH1461" s="332"/>
      <c r="DI1461" s="332"/>
      <c r="DJ1461" s="332"/>
      <c r="DK1461" s="332"/>
      <c r="DL1461" s="332"/>
      <c r="DM1461" s="332"/>
      <c r="DN1461" s="332"/>
      <c r="DO1461" s="332"/>
      <c r="DP1461" s="332"/>
      <c r="DQ1461" s="332"/>
      <c r="DR1461" s="332"/>
      <c r="DS1461" s="332"/>
      <c r="DT1461" s="332"/>
      <c r="DU1461" s="453"/>
      <c r="DV1461" s="453"/>
      <c r="DW1461" s="453"/>
      <c r="DX1461" s="453"/>
      <c r="DY1461" s="453"/>
      <c r="DZ1461" s="453"/>
      <c r="EA1461" s="453"/>
      <c r="EB1461" s="453"/>
      <c r="EC1461" s="453"/>
      <c r="ED1461" s="453"/>
      <c r="EE1461" s="453"/>
      <c r="EF1461" s="453"/>
      <c r="EG1461" s="453"/>
      <c r="EH1461" s="453"/>
      <c r="EI1461" s="453"/>
      <c r="EJ1461" s="453"/>
      <c r="EK1461" s="453"/>
      <c r="EL1461" s="453"/>
      <c r="EM1461" s="483">
        <f t="shared" si="267"/>
        <v>1152</v>
      </c>
      <c r="EN1461" s="485"/>
      <c r="EO1461" s="458"/>
      <c r="EP1461" s="467"/>
      <c r="EQ1461" s="457"/>
      <c r="ER1461" s="808"/>
      <c r="ES1461" s="881">
        <f t="shared" si="268"/>
        <v>0</v>
      </c>
      <c r="ET1461" s="882"/>
      <c r="EU1461" s="883"/>
      <c r="EV1461" s="884">
        <f t="shared" si="269"/>
        <v>0</v>
      </c>
      <c r="EW1461" s="885"/>
      <c r="EX1461" s="885"/>
      <c r="EY1461" s="885"/>
      <c r="EZ1461" s="885"/>
      <c r="FA1461" s="885"/>
      <c r="FB1461" s="885"/>
      <c r="FC1461" s="885"/>
      <c r="FD1461" s="886"/>
      <c r="FE1461" s="877"/>
      <c r="FF1461" s="877"/>
      <c r="FG1461" s="877"/>
      <c r="FH1461" s="877"/>
      <c r="FI1461" s="877"/>
      <c r="FJ1461" s="877"/>
      <c r="FK1461" s="877"/>
      <c r="FL1461" s="874"/>
      <c r="FM1461" s="875"/>
      <c r="FN1461" s="875"/>
      <c r="FO1461" s="875"/>
      <c r="FP1461" s="875"/>
      <c r="FQ1461" s="875"/>
      <c r="FR1461" s="875"/>
      <c r="FS1461" s="875"/>
      <c r="FT1461" s="875"/>
      <c r="FU1461" s="875"/>
      <c r="FV1461" s="875"/>
      <c r="FW1461" s="875"/>
      <c r="FX1461" s="875"/>
      <c r="FY1461" s="875"/>
      <c r="FZ1461" s="875"/>
      <c r="GA1461" s="875"/>
      <c r="GB1461" s="876"/>
      <c r="GC1461" s="370"/>
      <c r="GD1461" s="453"/>
      <c r="GE1461" s="453"/>
      <c r="GF1461" s="453"/>
      <c r="GG1461" s="453"/>
      <c r="GH1461" s="454"/>
      <c r="GI1461" s="453"/>
      <c r="GJ1461" s="453"/>
      <c r="GK1461" s="453"/>
      <c r="GL1461" s="453"/>
      <c r="GM1461" s="453"/>
      <c r="GN1461" s="453"/>
      <c r="GO1461" s="453"/>
      <c r="GP1461" s="453"/>
      <c r="GQ1461" s="453"/>
      <c r="GR1461" s="453"/>
      <c r="GS1461" s="561"/>
      <c r="GT1461" s="475"/>
      <c r="GU1461" s="472"/>
      <c r="GV1461" s="453"/>
      <c r="GW1461" s="453"/>
      <c r="GX1461" s="869"/>
      <c r="GY1461" s="870"/>
      <c r="GZ1461" s="867"/>
      <c r="HA1461" s="868"/>
      <c r="HB1461" s="473"/>
      <c r="HC1461" s="869"/>
      <c r="HD1461" s="870"/>
      <c r="HE1461" s="867"/>
      <c r="HF1461" s="868"/>
      <c r="HG1461" s="473"/>
      <c r="HH1461" s="867"/>
      <c r="HI1461" s="868"/>
      <c r="HJ1461" s="867"/>
      <c r="HK1461" s="868"/>
      <c r="HL1461" s="370"/>
      <c r="HM1461" s="865"/>
      <c r="HN1461" s="866"/>
      <c r="HO1461" s="865"/>
      <c r="HP1461" s="866"/>
      <c r="HQ1461" s="865"/>
      <c r="HR1461" s="866"/>
      <c r="HS1461" s="867"/>
      <c r="HT1461" s="868"/>
      <c r="HU1461" s="489"/>
      <c r="HV1461" s="865"/>
      <c r="HW1461" s="866"/>
    </row>
    <row r="1462" spans="25:231" ht="15" customHeight="1">
      <c r="Y1462" s="332"/>
      <c r="Z1462" s="332"/>
      <c r="AA1462" s="332"/>
      <c r="AB1462" s="332"/>
      <c r="AC1462" s="332"/>
      <c r="AD1462" s="332"/>
      <c r="AE1462" s="332"/>
      <c r="AF1462" s="332"/>
      <c r="AG1462" s="332"/>
      <c r="AH1462" s="332"/>
      <c r="AI1462" s="332"/>
      <c r="AJ1462" s="332"/>
      <c r="AK1462" s="332"/>
      <c r="AL1462" s="332"/>
      <c r="AM1462" s="332"/>
      <c r="AN1462" s="332"/>
      <c r="AO1462" s="332"/>
      <c r="AP1462" s="332"/>
      <c r="AQ1462" s="332"/>
      <c r="AR1462" s="332"/>
      <c r="AS1462" s="332"/>
      <c r="AT1462" s="332"/>
      <c r="AU1462" s="332"/>
      <c r="AV1462" s="332"/>
      <c r="AW1462" s="332"/>
      <c r="AX1462" s="332"/>
      <c r="AY1462" s="332"/>
      <c r="AZ1462" s="332"/>
      <c r="BA1462" s="332"/>
      <c r="BB1462" s="332"/>
      <c r="BC1462" s="332"/>
      <c r="BD1462" s="332"/>
      <c r="BE1462" s="332"/>
      <c r="BF1462" s="332"/>
      <c r="BG1462" s="332"/>
      <c r="BH1462" s="332"/>
      <c r="BI1462" s="332"/>
      <c r="BJ1462" s="332"/>
      <c r="BK1462" s="332"/>
      <c r="BL1462" s="332"/>
      <c r="BM1462" s="332"/>
      <c r="BN1462" s="332"/>
      <c r="BO1462" s="332"/>
      <c r="BP1462" s="332"/>
      <c r="BQ1462" s="332"/>
      <c r="BR1462" s="332"/>
      <c r="BS1462" s="332"/>
      <c r="BT1462" s="332"/>
      <c r="BU1462" s="332"/>
      <c r="BV1462" s="332"/>
      <c r="BW1462" s="332"/>
      <c r="BX1462" s="332"/>
      <c r="BY1462" s="332"/>
      <c r="BZ1462" s="332"/>
      <c r="CA1462" s="332"/>
      <c r="CB1462" s="332"/>
      <c r="CC1462" s="332"/>
      <c r="CD1462" s="332"/>
      <c r="CE1462" s="332"/>
      <c r="CF1462" s="332"/>
      <c r="CG1462" s="332"/>
      <c r="CH1462" s="332"/>
      <c r="CI1462" s="332"/>
      <c r="CJ1462" s="332"/>
      <c r="CK1462" s="332"/>
      <c r="CL1462" s="332"/>
      <c r="CM1462" s="332"/>
      <c r="CN1462" s="332"/>
      <c r="CO1462" s="332"/>
      <c r="CP1462" s="332"/>
      <c r="CQ1462" s="332"/>
      <c r="CR1462" s="332"/>
      <c r="CS1462" s="332"/>
      <c r="CT1462" s="332"/>
      <c r="CU1462" s="332"/>
      <c r="CV1462" s="332"/>
      <c r="CW1462" s="332"/>
      <c r="CX1462" s="332"/>
      <c r="CY1462" s="332"/>
      <c r="CZ1462" s="332"/>
      <c r="DA1462" s="332"/>
      <c r="DB1462" s="332"/>
      <c r="DC1462" s="332"/>
      <c r="DD1462" s="332"/>
      <c r="DE1462" s="332"/>
      <c r="DF1462" s="332"/>
      <c r="DG1462" s="332"/>
      <c r="DH1462" s="332"/>
      <c r="DI1462" s="332"/>
      <c r="DJ1462" s="332"/>
      <c r="DK1462" s="332"/>
      <c r="DL1462" s="332"/>
      <c r="DM1462" s="332"/>
      <c r="DN1462" s="332"/>
      <c r="DO1462" s="332"/>
      <c r="DP1462" s="332"/>
      <c r="DQ1462" s="332"/>
      <c r="DR1462" s="332"/>
      <c r="DS1462" s="332"/>
      <c r="DT1462" s="332"/>
      <c r="DU1462" s="453"/>
      <c r="DV1462" s="453"/>
      <c r="DW1462" s="453"/>
      <c r="DX1462" s="453"/>
      <c r="DY1462" s="453"/>
      <c r="DZ1462" s="453"/>
      <c r="EA1462" s="453"/>
      <c r="EB1462" s="453"/>
      <c r="EC1462" s="453"/>
      <c r="ED1462" s="453"/>
      <c r="EE1462" s="453"/>
      <c r="EF1462" s="453"/>
      <c r="EG1462" s="453"/>
      <c r="EH1462" s="453"/>
      <c r="EI1462" s="453"/>
      <c r="EJ1462" s="453"/>
      <c r="EK1462" s="453"/>
      <c r="EL1462" s="453"/>
      <c r="EM1462" s="483">
        <f t="shared" si="267"/>
        <v>1153</v>
      </c>
      <c r="EN1462" s="485"/>
      <c r="EO1462" s="458"/>
      <c r="EP1462" s="467"/>
      <c r="EQ1462" s="457"/>
      <c r="ER1462" s="808"/>
      <c r="ES1462" s="881">
        <f t="shared" si="268"/>
        <v>0</v>
      </c>
      <c r="ET1462" s="882"/>
      <c r="EU1462" s="883"/>
      <c r="EV1462" s="884">
        <f t="shared" si="269"/>
        <v>0</v>
      </c>
      <c r="EW1462" s="885"/>
      <c r="EX1462" s="885"/>
      <c r="EY1462" s="885"/>
      <c r="EZ1462" s="885"/>
      <c r="FA1462" s="885"/>
      <c r="FB1462" s="885"/>
      <c r="FC1462" s="885"/>
      <c r="FD1462" s="886"/>
      <c r="FE1462" s="877"/>
      <c r="FF1462" s="877"/>
      <c r="FG1462" s="877"/>
      <c r="FH1462" s="877"/>
      <c r="FI1462" s="877"/>
      <c r="FJ1462" s="877"/>
      <c r="FK1462" s="877"/>
      <c r="FL1462" s="874"/>
      <c r="FM1462" s="875"/>
      <c r="FN1462" s="875"/>
      <c r="FO1462" s="875"/>
      <c r="FP1462" s="875"/>
      <c r="FQ1462" s="875"/>
      <c r="FR1462" s="875"/>
      <c r="FS1462" s="875"/>
      <c r="FT1462" s="875"/>
      <c r="FU1462" s="875"/>
      <c r="FV1462" s="875"/>
      <c r="FW1462" s="875"/>
      <c r="FX1462" s="875"/>
      <c r="FY1462" s="875"/>
      <c r="FZ1462" s="875"/>
      <c r="GA1462" s="875"/>
      <c r="GB1462" s="876"/>
      <c r="GC1462" s="370"/>
      <c r="GD1462" s="453"/>
      <c r="GE1462" s="453"/>
      <c r="GF1462" s="453"/>
      <c r="GG1462" s="453"/>
      <c r="GH1462" s="454"/>
      <c r="GI1462" s="453"/>
      <c r="GJ1462" s="453"/>
      <c r="GK1462" s="453"/>
      <c r="GL1462" s="453"/>
      <c r="GM1462" s="453"/>
      <c r="GN1462" s="453"/>
      <c r="GO1462" s="453"/>
      <c r="GP1462" s="453"/>
      <c r="GQ1462" s="453"/>
      <c r="GR1462" s="453"/>
      <c r="GS1462" s="561"/>
      <c r="GT1462" s="475"/>
      <c r="GU1462" s="472"/>
      <c r="GV1462" s="453"/>
      <c r="GW1462" s="453"/>
      <c r="GX1462" s="869"/>
      <c r="GY1462" s="870"/>
      <c r="GZ1462" s="867"/>
      <c r="HA1462" s="868"/>
      <c r="HB1462" s="473"/>
      <c r="HC1462" s="869"/>
      <c r="HD1462" s="870"/>
      <c r="HE1462" s="867"/>
      <c r="HF1462" s="868"/>
      <c r="HG1462" s="473"/>
      <c r="HH1462" s="867"/>
      <c r="HI1462" s="868"/>
      <c r="HJ1462" s="867"/>
      <c r="HK1462" s="868"/>
      <c r="HL1462" s="370"/>
      <c r="HM1462" s="865"/>
      <c r="HN1462" s="866"/>
      <c r="HO1462" s="865"/>
      <c r="HP1462" s="866"/>
      <c r="HQ1462" s="865"/>
      <c r="HR1462" s="866"/>
      <c r="HS1462" s="867"/>
      <c r="HT1462" s="868"/>
      <c r="HU1462" s="489"/>
      <c r="HV1462" s="865"/>
      <c r="HW1462" s="866"/>
    </row>
    <row r="1463" spans="25:231" ht="15" customHeight="1">
      <c r="Y1463" s="332"/>
      <c r="Z1463" s="332"/>
      <c r="AA1463" s="332"/>
      <c r="AB1463" s="332"/>
      <c r="AC1463" s="332"/>
      <c r="AD1463" s="332"/>
      <c r="AE1463" s="332"/>
      <c r="AF1463" s="332"/>
      <c r="AG1463" s="332"/>
      <c r="AH1463" s="332"/>
      <c r="AI1463" s="332"/>
      <c r="AJ1463" s="332"/>
      <c r="AK1463" s="332"/>
      <c r="AL1463" s="332"/>
      <c r="AM1463" s="332"/>
      <c r="AN1463" s="332"/>
      <c r="AO1463" s="332"/>
      <c r="AP1463" s="332"/>
      <c r="AQ1463" s="332"/>
      <c r="AR1463" s="332"/>
      <c r="AS1463" s="332"/>
      <c r="AT1463" s="332"/>
      <c r="AU1463" s="332"/>
      <c r="AV1463" s="332"/>
      <c r="AW1463" s="332"/>
      <c r="AX1463" s="332"/>
      <c r="AY1463" s="332"/>
      <c r="AZ1463" s="332"/>
      <c r="BA1463" s="332"/>
      <c r="BB1463" s="332"/>
      <c r="BC1463" s="332"/>
      <c r="BD1463" s="332"/>
      <c r="BE1463" s="332"/>
      <c r="BF1463" s="332"/>
      <c r="BG1463" s="332"/>
      <c r="BH1463" s="332"/>
      <c r="BI1463" s="332"/>
      <c r="BJ1463" s="332"/>
      <c r="BK1463" s="332"/>
      <c r="BL1463" s="332"/>
      <c r="BM1463" s="332"/>
      <c r="BN1463" s="332"/>
      <c r="BO1463" s="332"/>
      <c r="BP1463" s="332"/>
      <c r="BQ1463" s="332"/>
      <c r="BR1463" s="332"/>
      <c r="BS1463" s="332"/>
      <c r="BT1463" s="332"/>
      <c r="BU1463" s="332"/>
      <c r="BV1463" s="332"/>
      <c r="BW1463" s="332"/>
      <c r="BX1463" s="332"/>
      <c r="BY1463" s="332"/>
      <c r="BZ1463" s="332"/>
      <c r="CA1463" s="332"/>
      <c r="CB1463" s="332"/>
      <c r="CC1463" s="332"/>
      <c r="CD1463" s="332"/>
      <c r="CE1463" s="332"/>
      <c r="CF1463" s="332"/>
      <c r="CG1463" s="332"/>
      <c r="CH1463" s="332"/>
      <c r="CI1463" s="332"/>
      <c r="CJ1463" s="332"/>
      <c r="CK1463" s="332"/>
      <c r="CL1463" s="332"/>
      <c r="CM1463" s="332"/>
      <c r="CN1463" s="332"/>
      <c r="CO1463" s="332"/>
      <c r="CP1463" s="332"/>
      <c r="CQ1463" s="332"/>
      <c r="CR1463" s="332"/>
      <c r="CS1463" s="332"/>
      <c r="CT1463" s="332"/>
      <c r="CU1463" s="332"/>
      <c r="CV1463" s="332"/>
      <c r="CW1463" s="332"/>
      <c r="CX1463" s="332"/>
      <c r="CY1463" s="332"/>
      <c r="CZ1463" s="332"/>
      <c r="DA1463" s="332"/>
      <c r="DB1463" s="332"/>
      <c r="DC1463" s="332"/>
      <c r="DD1463" s="332"/>
      <c r="DE1463" s="332"/>
      <c r="DF1463" s="332"/>
      <c r="DG1463" s="332"/>
      <c r="DH1463" s="332"/>
      <c r="DI1463" s="332"/>
      <c r="DJ1463" s="332"/>
      <c r="DK1463" s="332"/>
      <c r="DL1463" s="332"/>
      <c r="DM1463" s="332"/>
      <c r="DN1463" s="332"/>
      <c r="DO1463" s="332"/>
      <c r="DP1463" s="332"/>
      <c r="DQ1463" s="332"/>
      <c r="DR1463" s="332"/>
      <c r="DS1463" s="332"/>
      <c r="DT1463" s="332"/>
      <c r="DU1463" s="453"/>
      <c r="DV1463" s="453"/>
      <c r="DW1463" s="453"/>
      <c r="DX1463" s="453"/>
      <c r="DY1463" s="453"/>
      <c r="DZ1463" s="453"/>
      <c r="EA1463" s="453"/>
      <c r="EB1463" s="453"/>
      <c r="EC1463" s="453"/>
      <c r="ED1463" s="453"/>
      <c r="EE1463" s="453"/>
      <c r="EF1463" s="453"/>
      <c r="EG1463" s="453"/>
      <c r="EH1463" s="453"/>
      <c r="EI1463" s="453"/>
      <c r="EJ1463" s="453"/>
      <c r="EK1463" s="453"/>
      <c r="EL1463" s="453"/>
      <c r="EM1463" s="483">
        <f t="shared" si="267"/>
        <v>1154</v>
      </c>
      <c r="EN1463" s="485"/>
      <c r="EO1463" s="458"/>
      <c r="EP1463" s="467"/>
      <c r="EQ1463" s="457"/>
      <c r="ER1463" s="808"/>
      <c r="ES1463" s="881">
        <f t="shared" si="268"/>
        <v>0</v>
      </c>
      <c r="ET1463" s="882"/>
      <c r="EU1463" s="883"/>
      <c r="EV1463" s="884">
        <f t="shared" si="269"/>
        <v>0</v>
      </c>
      <c r="EW1463" s="885"/>
      <c r="EX1463" s="885"/>
      <c r="EY1463" s="885"/>
      <c r="EZ1463" s="885"/>
      <c r="FA1463" s="885"/>
      <c r="FB1463" s="885"/>
      <c r="FC1463" s="885"/>
      <c r="FD1463" s="886"/>
      <c r="FE1463" s="877"/>
      <c r="FF1463" s="877"/>
      <c r="FG1463" s="877"/>
      <c r="FH1463" s="877"/>
      <c r="FI1463" s="877"/>
      <c r="FJ1463" s="877"/>
      <c r="FK1463" s="877"/>
      <c r="FL1463" s="874"/>
      <c r="FM1463" s="875"/>
      <c r="FN1463" s="875"/>
      <c r="FO1463" s="875"/>
      <c r="FP1463" s="875"/>
      <c r="FQ1463" s="875"/>
      <c r="FR1463" s="875"/>
      <c r="FS1463" s="875"/>
      <c r="FT1463" s="875"/>
      <c r="FU1463" s="875"/>
      <c r="FV1463" s="875"/>
      <c r="FW1463" s="875"/>
      <c r="FX1463" s="875"/>
      <c r="FY1463" s="875"/>
      <c r="FZ1463" s="875"/>
      <c r="GA1463" s="875"/>
      <c r="GB1463" s="876"/>
      <c r="GC1463" s="370"/>
      <c r="GD1463" s="453"/>
      <c r="GE1463" s="453"/>
      <c r="GF1463" s="453"/>
      <c r="GG1463" s="453"/>
      <c r="GH1463" s="454"/>
      <c r="GI1463" s="453"/>
      <c r="GJ1463" s="453"/>
      <c r="GK1463" s="453"/>
      <c r="GL1463" s="453"/>
      <c r="GM1463" s="453"/>
      <c r="GN1463" s="453"/>
      <c r="GO1463" s="453"/>
      <c r="GP1463" s="453"/>
      <c r="GQ1463" s="453"/>
      <c r="GR1463" s="453"/>
      <c r="GS1463" s="561"/>
      <c r="GT1463" s="475"/>
      <c r="GU1463" s="472"/>
      <c r="GV1463" s="453"/>
      <c r="GW1463" s="453"/>
      <c r="GX1463" s="869"/>
      <c r="GY1463" s="870"/>
      <c r="GZ1463" s="867"/>
      <c r="HA1463" s="868"/>
      <c r="HB1463" s="473"/>
      <c r="HC1463" s="869"/>
      <c r="HD1463" s="870"/>
      <c r="HE1463" s="867"/>
      <c r="HF1463" s="868"/>
      <c r="HG1463" s="473"/>
      <c r="HH1463" s="867"/>
      <c r="HI1463" s="868"/>
      <c r="HJ1463" s="867"/>
      <c r="HK1463" s="868"/>
      <c r="HL1463" s="370"/>
      <c r="HM1463" s="865"/>
      <c r="HN1463" s="866"/>
      <c r="HO1463" s="865"/>
      <c r="HP1463" s="866"/>
      <c r="HQ1463" s="865"/>
      <c r="HR1463" s="866"/>
      <c r="HS1463" s="867"/>
      <c r="HT1463" s="868"/>
      <c r="HU1463" s="489"/>
      <c r="HV1463" s="865"/>
      <c r="HW1463" s="866"/>
    </row>
    <row r="1464" spans="25:231" ht="15" customHeight="1">
      <c r="Y1464" s="332"/>
      <c r="Z1464" s="332"/>
      <c r="AA1464" s="332"/>
      <c r="AB1464" s="332"/>
      <c r="AC1464" s="332"/>
      <c r="AD1464" s="332"/>
      <c r="AE1464" s="332"/>
      <c r="AF1464" s="332"/>
      <c r="AG1464" s="332"/>
      <c r="AH1464" s="332"/>
      <c r="AI1464" s="332"/>
      <c r="AJ1464" s="332"/>
      <c r="AK1464" s="332"/>
      <c r="AL1464" s="332"/>
      <c r="AM1464" s="332"/>
      <c r="AN1464" s="332"/>
      <c r="AO1464" s="332"/>
      <c r="AP1464" s="332"/>
      <c r="AQ1464" s="332"/>
      <c r="AR1464" s="332"/>
      <c r="AS1464" s="332"/>
      <c r="AT1464" s="332"/>
      <c r="AU1464" s="332"/>
      <c r="AV1464" s="332"/>
      <c r="AW1464" s="332"/>
      <c r="AX1464" s="332"/>
      <c r="AY1464" s="332"/>
      <c r="AZ1464" s="332"/>
      <c r="BA1464" s="332"/>
      <c r="BB1464" s="332"/>
      <c r="BC1464" s="332"/>
      <c r="BD1464" s="332"/>
      <c r="BE1464" s="332"/>
      <c r="BF1464" s="332"/>
      <c r="BG1464" s="332"/>
      <c r="BH1464" s="332"/>
      <c r="BI1464" s="332"/>
      <c r="BJ1464" s="332"/>
      <c r="BK1464" s="332"/>
      <c r="BL1464" s="332"/>
      <c r="BM1464" s="332"/>
      <c r="BN1464" s="332"/>
      <c r="BO1464" s="332"/>
      <c r="BP1464" s="332"/>
      <c r="BQ1464" s="332"/>
      <c r="BR1464" s="332"/>
      <c r="BS1464" s="332"/>
      <c r="BT1464" s="332"/>
      <c r="BU1464" s="332"/>
      <c r="BV1464" s="332"/>
      <c r="BW1464" s="332"/>
      <c r="BX1464" s="332"/>
      <c r="BY1464" s="332"/>
      <c r="BZ1464" s="332"/>
      <c r="CA1464" s="332"/>
      <c r="CB1464" s="332"/>
      <c r="CC1464" s="332"/>
      <c r="CD1464" s="332"/>
      <c r="CE1464" s="332"/>
      <c r="CF1464" s="332"/>
      <c r="CG1464" s="332"/>
      <c r="CH1464" s="332"/>
      <c r="CI1464" s="332"/>
      <c r="CJ1464" s="332"/>
      <c r="CK1464" s="332"/>
      <c r="CL1464" s="332"/>
      <c r="CM1464" s="332"/>
      <c r="CN1464" s="332"/>
      <c r="CO1464" s="332"/>
      <c r="CP1464" s="332"/>
      <c r="CQ1464" s="332"/>
      <c r="CR1464" s="332"/>
      <c r="CS1464" s="332"/>
      <c r="CT1464" s="332"/>
      <c r="CU1464" s="332"/>
      <c r="CV1464" s="332"/>
      <c r="CW1464" s="332"/>
      <c r="CX1464" s="332"/>
      <c r="CY1464" s="332"/>
      <c r="CZ1464" s="332"/>
      <c r="DA1464" s="332"/>
      <c r="DB1464" s="332"/>
      <c r="DC1464" s="332"/>
      <c r="DD1464" s="332"/>
      <c r="DE1464" s="332"/>
      <c r="DF1464" s="332"/>
      <c r="DG1464" s="332"/>
      <c r="DH1464" s="332"/>
      <c r="DI1464" s="332"/>
      <c r="DJ1464" s="332"/>
      <c r="DK1464" s="332"/>
      <c r="DL1464" s="332"/>
      <c r="DM1464" s="332"/>
      <c r="DN1464" s="332"/>
      <c r="DO1464" s="332"/>
      <c r="DP1464" s="332"/>
      <c r="DQ1464" s="332"/>
      <c r="DR1464" s="332"/>
      <c r="DS1464" s="332"/>
      <c r="DT1464" s="332"/>
      <c r="DU1464" s="453"/>
      <c r="DV1464" s="453"/>
      <c r="DW1464" s="453"/>
      <c r="DX1464" s="453"/>
      <c r="DY1464" s="453"/>
      <c r="DZ1464" s="453"/>
      <c r="EA1464" s="453"/>
      <c r="EB1464" s="453"/>
      <c r="EC1464" s="453"/>
      <c r="ED1464" s="453"/>
      <c r="EE1464" s="453"/>
      <c r="EF1464" s="453"/>
      <c r="EG1464" s="453"/>
      <c r="EH1464" s="453"/>
      <c r="EI1464" s="453"/>
      <c r="EJ1464" s="453"/>
      <c r="EK1464" s="453"/>
      <c r="EL1464" s="453"/>
      <c r="EM1464" s="483">
        <f t="shared" si="267"/>
        <v>1155</v>
      </c>
      <c r="EN1464" s="485"/>
      <c r="EO1464" s="458"/>
      <c r="EP1464" s="467"/>
      <c r="EQ1464" s="457"/>
      <c r="ER1464" s="808"/>
      <c r="ES1464" s="881">
        <f t="shared" si="268"/>
        <v>0</v>
      </c>
      <c r="ET1464" s="882"/>
      <c r="EU1464" s="883"/>
      <c r="EV1464" s="884">
        <f t="shared" si="269"/>
        <v>0</v>
      </c>
      <c r="EW1464" s="885"/>
      <c r="EX1464" s="885"/>
      <c r="EY1464" s="885"/>
      <c r="EZ1464" s="885"/>
      <c r="FA1464" s="885"/>
      <c r="FB1464" s="885"/>
      <c r="FC1464" s="885"/>
      <c r="FD1464" s="886"/>
      <c r="FE1464" s="877"/>
      <c r="FF1464" s="877"/>
      <c r="FG1464" s="877"/>
      <c r="FH1464" s="877"/>
      <c r="FI1464" s="877"/>
      <c r="FJ1464" s="877"/>
      <c r="FK1464" s="877"/>
      <c r="FL1464" s="874"/>
      <c r="FM1464" s="875"/>
      <c r="FN1464" s="875"/>
      <c r="FO1464" s="875"/>
      <c r="FP1464" s="875"/>
      <c r="FQ1464" s="875"/>
      <c r="FR1464" s="875"/>
      <c r="FS1464" s="875"/>
      <c r="FT1464" s="875"/>
      <c r="FU1464" s="875"/>
      <c r="FV1464" s="875"/>
      <c r="FW1464" s="875"/>
      <c r="FX1464" s="875"/>
      <c r="FY1464" s="875"/>
      <c r="FZ1464" s="875"/>
      <c r="GA1464" s="875"/>
      <c r="GB1464" s="876"/>
      <c r="GC1464" s="370"/>
      <c r="GD1464" s="453"/>
      <c r="GE1464" s="453"/>
      <c r="GF1464" s="453"/>
      <c r="GG1464" s="453"/>
      <c r="GH1464" s="454"/>
      <c r="GI1464" s="453"/>
      <c r="GJ1464" s="453"/>
      <c r="GK1464" s="453"/>
      <c r="GL1464" s="453"/>
      <c r="GM1464" s="453"/>
      <c r="GN1464" s="453"/>
      <c r="GO1464" s="453"/>
      <c r="GP1464" s="453"/>
      <c r="GQ1464" s="453"/>
      <c r="GR1464" s="453"/>
      <c r="GS1464" s="561"/>
      <c r="GT1464" s="475"/>
      <c r="GU1464" s="472"/>
      <c r="GV1464" s="453"/>
      <c r="GW1464" s="453"/>
      <c r="GX1464" s="869"/>
      <c r="GY1464" s="870"/>
      <c r="GZ1464" s="867"/>
      <c r="HA1464" s="868"/>
      <c r="HB1464" s="473"/>
      <c r="HC1464" s="869"/>
      <c r="HD1464" s="870"/>
      <c r="HE1464" s="867"/>
      <c r="HF1464" s="868"/>
      <c r="HG1464" s="473"/>
      <c r="HH1464" s="867"/>
      <c r="HI1464" s="868"/>
      <c r="HJ1464" s="867"/>
      <c r="HK1464" s="868"/>
      <c r="HL1464" s="370"/>
      <c r="HM1464" s="865"/>
      <c r="HN1464" s="866"/>
      <c r="HO1464" s="865"/>
      <c r="HP1464" s="866"/>
      <c r="HQ1464" s="865"/>
      <c r="HR1464" s="866"/>
      <c r="HS1464" s="867"/>
      <c r="HT1464" s="868"/>
      <c r="HU1464" s="489"/>
      <c r="HV1464" s="865"/>
      <c r="HW1464" s="866"/>
    </row>
    <row r="1465" spans="25:231" ht="15" customHeight="1">
      <c r="Y1465" s="332"/>
      <c r="Z1465" s="332"/>
      <c r="AA1465" s="332"/>
      <c r="AB1465" s="332"/>
      <c r="AC1465" s="332"/>
      <c r="AD1465" s="332"/>
      <c r="AE1465" s="332"/>
      <c r="AF1465" s="332"/>
      <c r="AG1465" s="332"/>
      <c r="AH1465" s="332"/>
      <c r="AI1465" s="332"/>
      <c r="AJ1465" s="332"/>
      <c r="AK1465" s="332"/>
      <c r="AL1465" s="332"/>
      <c r="AM1465" s="332"/>
      <c r="AN1465" s="332"/>
      <c r="AO1465" s="332"/>
      <c r="AP1465" s="332"/>
      <c r="AQ1465" s="332"/>
      <c r="AR1465" s="332"/>
      <c r="AS1465" s="332"/>
      <c r="AT1465" s="332"/>
      <c r="AU1465" s="332"/>
      <c r="AV1465" s="332"/>
      <c r="AW1465" s="332"/>
      <c r="AX1465" s="332"/>
      <c r="AY1465" s="332"/>
      <c r="AZ1465" s="332"/>
      <c r="BA1465" s="332"/>
      <c r="BB1465" s="332"/>
      <c r="BC1465" s="332"/>
      <c r="BD1465" s="332"/>
      <c r="BE1465" s="332"/>
      <c r="BF1465" s="332"/>
      <c r="BG1465" s="332"/>
      <c r="BH1465" s="332"/>
      <c r="BI1465" s="332"/>
      <c r="BJ1465" s="332"/>
      <c r="BK1465" s="332"/>
      <c r="BL1465" s="332"/>
      <c r="BM1465" s="332"/>
      <c r="BN1465" s="332"/>
      <c r="BO1465" s="332"/>
      <c r="BP1465" s="332"/>
      <c r="BQ1465" s="332"/>
      <c r="BR1465" s="332"/>
      <c r="BS1465" s="332"/>
      <c r="BT1465" s="332"/>
      <c r="BU1465" s="332"/>
      <c r="BV1465" s="332"/>
      <c r="BW1465" s="332"/>
      <c r="BX1465" s="332"/>
      <c r="BY1465" s="332"/>
      <c r="BZ1465" s="332"/>
      <c r="CA1465" s="332"/>
      <c r="CB1465" s="332"/>
      <c r="CC1465" s="332"/>
      <c r="CD1465" s="332"/>
      <c r="CE1465" s="332"/>
      <c r="CF1465" s="332"/>
      <c r="CG1465" s="332"/>
      <c r="CH1465" s="332"/>
      <c r="CI1465" s="332"/>
      <c r="CJ1465" s="332"/>
      <c r="CK1465" s="332"/>
      <c r="CL1465" s="332"/>
      <c r="CM1465" s="332"/>
      <c r="CN1465" s="332"/>
      <c r="CO1465" s="332"/>
      <c r="CP1465" s="332"/>
      <c r="CQ1465" s="332"/>
      <c r="CR1465" s="332"/>
      <c r="CS1465" s="332"/>
      <c r="CT1465" s="332"/>
      <c r="CU1465" s="332"/>
      <c r="CV1465" s="332"/>
      <c r="CW1465" s="332"/>
      <c r="CX1465" s="332"/>
      <c r="CY1465" s="332"/>
      <c r="CZ1465" s="332"/>
      <c r="DA1465" s="332"/>
      <c r="DB1465" s="332"/>
      <c r="DC1465" s="332"/>
      <c r="DD1465" s="332"/>
      <c r="DE1465" s="332"/>
      <c r="DF1465" s="332"/>
      <c r="DG1465" s="332"/>
      <c r="DH1465" s="332"/>
      <c r="DI1465" s="332"/>
      <c r="DJ1465" s="332"/>
      <c r="DK1465" s="332"/>
      <c r="DL1465" s="332"/>
      <c r="DM1465" s="332"/>
      <c r="DN1465" s="332"/>
      <c r="DO1465" s="332"/>
      <c r="DP1465" s="332"/>
      <c r="DQ1465" s="332"/>
      <c r="DR1465" s="332"/>
      <c r="DS1465" s="332"/>
      <c r="DT1465" s="332"/>
      <c r="DU1465" s="453"/>
      <c r="DV1465" s="453"/>
      <c r="DW1465" s="453"/>
      <c r="DX1465" s="453"/>
      <c r="DY1465" s="453"/>
      <c r="DZ1465" s="453"/>
      <c r="EA1465" s="453"/>
      <c r="EB1465" s="453"/>
      <c r="EC1465" s="453"/>
      <c r="ED1465" s="453"/>
      <c r="EE1465" s="453"/>
      <c r="EF1465" s="453"/>
      <c r="EG1465" s="453"/>
      <c r="EH1465" s="453"/>
      <c r="EI1465" s="453"/>
      <c r="EJ1465" s="453"/>
      <c r="EK1465" s="453"/>
      <c r="EL1465" s="453"/>
      <c r="EM1465" s="483">
        <f t="shared" si="267"/>
        <v>1156</v>
      </c>
      <c r="EN1465" s="485"/>
      <c r="EO1465" s="458"/>
      <c r="EP1465" s="467"/>
      <c r="EQ1465" s="457"/>
      <c r="ER1465" s="808"/>
      <c r="ES1465" s="881">
        <f t="shared" si="268"/>
        <v>0</v>
      </c>
      <c r="ET1465" s="882"/>
      <c r="EU1465" s="883"/>
      <c r="EV1465" s="884">
        <f t="shared" si="269"/>
        <v>0</v>
      </c>
      <c r="EW1465" s="885"/>
      <c r="EX1465" s="885"/>
      <c r="EY1465" s="885"/>
      <c r="EZ1465" s="885"/>
      <c r="FA1465" s="885"/>
      <c r="FB1465" s="885"/>
      <c r="FC1465" s="885"/>
      <c r="FD1465" s="886"/>
      <c r="FE1465" s="877"/>
      <c r="FF1465" s="877"/>
      <c r="FG1465" s="877"/>
      <c r="FH1465" s="877"/>
      <c r="FI1465" s="877"/>
      <c r="FJ1465" s="877"/>
      <c r="FK1465" s="877"/>
      <c r="FL1465" s="874"/>
      <c r="FM1465" s="875"/>
      <c r="FN1465" s="875"/>
      <c r="FO1465" s="875"/>
      <c r="FP1465" s="875"/>
      <c r="FQ1465" s="875"/>
      <c r="FR1465" s="875"/>
      <c r="FS1465" s="875"/>
      <c r="FT1465" s="875"/>
      <c r="FU1465" s="875"/>
      <c r="FV1465" s="875"/>
      <c r="FW1465" s="875"/>
      <c r="FX1465" s="875"/>
      <c r="FY1465" s="875"/>
      <c r="FZ1465" s="875"/>
      <c r="GA1465" s="875"/>
      <c r="GB1465" s="876"/>
      <c r="GC1465" s="370"/>
      <c r="GD1465" s="453"/>
      <c r="GE1465" s="453"/>
      <c r="GF1465" s="453"/>
      <c r="GG1465" s="453"/>
      <c r="GH1465" s="454"/>
      <c r="GI1465" s="453"/>
      <c r="GJ1465" s="453"/>
      <c r="GK1465" s="453"/>
      <c r="GL1465" s="453"/>
      <c r="GM1465" s="453"/>
      <c r="GN1465" s="453"/>
      <c r="GO1465" s="453"/>
      <c r="GP1465" s="453"/>
      <c r="GQ1465" s="453"/>
      <c r="GR1465" s="453"/>
      <c r="GS1465" s="561"/>
      <c r="GT1465" s="475"/>
      <c r="GU1465" s="472"/>
      <c r="GV1465" s="453"/>
      <c r="GW1465" s="453"/>
      <c r="GX1465" s="869"/>
      <c r="GY1465" s="870"/>
      <c r="GZ1465" s="867"/>
      <c r="HA1465" s="868"/>
      <c r="HB1465" s="473"/>
      <c r="HC1465" s="869"/>
      <c r="HD1465" s="870"/>
      <c r="HE1465" s="867"/>
      <c r="HF1465" s="868"/>
      <c r="HG1465" s="473"/>
      <c r="HH1465" s="867"/>
      <c r="HI1465" s="868"/>
      <c r="HJ1465" s="867"/>
      <c r="HK1465" s="868"/>
      <c r="HL1465" s="370"/>
      <c r="HM1465" s="865"/>
      <c r="HN1465" s="866"/>
      <c r="HO1465" s="865"/>
      <c r="HP1465" s="866"/>
      <c r="HQ1465" s="865"/>
      <c r="HR1465" s="866"/>
      <c r="HS1465" s="867"/>
      <c r="HT1465" s="868"/>
      <c r="HU1465" s="489"/>
      <c r="HV1465" s="865"/>
      <c r="HW1465" s="866"/>
    </row>
    <row r="1466" spans="25:231" ht="15" customHeight="1">
      <c r="Y1466" s="332"/>
      <c r="Z1466" s="332"/>
      <c r="AA1466" s="332"/>
      <c r="AB1466" s="332"/>
      <c r="AC1466" s="332"/>
      <c r="AD1466" s="332"/>
      <c r="AE1466" s="332"/>
      <c r="AF1466" s="332"/>
      <c r="AG1466" s="332"/>
      <c r="AH1466" s="332"/>
      <c r="AI1466" s="332"/>
      <c r="AJ1466" s="332"/>
      <c r="AK1466" s="332"/>
      <c r="AL1466" s="332"/>
      <c r="AM1466" s="332"/>
      <c r="AN1466" s="332"/>
      <c r="AO1466" s="332"/>
      <c r="AP1466" s="332"/>
      <c r="AQ1466" s="332"/>
      <c r="AR1466" s="332"/>
      <c r="AS1466" s="332"/>
      <c r="AT1466" s="332"/>
      <c r="AU1466" s="332"/>
      <c r="AV1466" s="332"/>
      <c r="AW1466" s="332"/>
      <c r="AX1466" s="332"/>
      <c r="AY1466" s="332"/>
      <c r="AZ1466" s="332"/>
      <c r="BA1466" s="332"/>
      <c r="BB1466" s="332"/>
      <c r="BC1466" s="332"/>
      <c r="BD1466" s="332"/>
      <c r="BE1466" s="332"/>
      <c r="BF1466" s="332"/>
      <c r="BG1466" s="332"/>
      <c r="BH1466" s="332"/>
      <c r="BI1466" s="332"/>
      <c r="BJ1466" s="332"/>
      <c r="BK1466" s="332"/>
      <c r="BL1466" s="332"/>
      <c r="BM1466" s="332"/>
      <c r="BN1466" s="332"/>
      <c r="BO1466" s="332"/>
      <c r="BP1466" s="332"/>
      <c r="BQ1466" s="332"/>
      <c r="BR1466" s="332"/>
      <c r="BS1466" s="332"/>
      <c r="BT1466" s="332"/>
      <c r="BU1466" s="332"/>
      <c r="BV1466" s="332"/>
      <c r="BW1466" s="332"/>
      <c r="BX1466" s="332"/>
      <c r="BY1466" s="332"/>
      <c r="BZ1466" s="332"/>
      <c r="CA1466" s="332"/>
      <c r="CB1466" s="332"/>
      <c r="CC1466" s="332"/>
      <c r="CD1466" s="332"/>
      <c r="CE1466" s="332"/>
      <c r="CF1466" s="332"/>
      <c r="CG1466" s="332"/>
      <c r="CH1466" s="332"/>
      <c r="CI1466" s="332"/>
      <c r="CJ1466" s="332"/>
      <c r="CK1466" s="332"/>
      <c r="CL1466" s="332"/>
      <c r="CM1466" s="332"/>
      <c r="CN1466" s="332"/>
      <c r="CO1466" s="332"/>
      <c r="CP1466" s="332"/>
      <c r="CQ1466" s="332"/>
      <c r="CR1466" s="332"/>
      <c r="CS1466" s="332"/>
      <c r="CT1466" s="332"/>
      <c r="CU1466" s="332"/>
      <c r="CV1466" s="332"/>
      <c r="CW1466" s="332"/>
      <c r="CX1466" s="332"/>
      <c r="CY1466" s="332"/>
      <c r="CZ1466" s="332"/>
      <c r="DA1466" s="332"/>
      <c r="DB1466" s="332"/>
      <c r="DC1466" s="332"/>
      <c r="DD1466" s="332"/>
      <c r="DE1466" s="332"/>
      <c r="DF1466" s="332"/>
      <c r="DG1466" s="332"/>
      <c r="DH1466" s="332"/>
      <c r="DI1466" s="332"/>
      <c r="DJ1466" s="332"/>
      <c r="DK1466" s="332"/>
      <c r="DL1466" s="332"/>
      <c r="DM1466" s="332"/>
      <c r="DN1466" s="332"/>
      <c r="DO1466" s="332"/>
      <c r="DP1466" s="332"/>
      <c r="DQ1466" s="332"/>
      <c r="DR1466" s="332"/>
      <c r="DS1466" s="332"/>
      <c r="DT1466" s="332"/>
      <c r="DU1466" s="453"/>
      <c r="DV1466" s="453"/>
      <c r="DW1466" s="453"/>
      <c r="DX1466" s="453"/>
      <c r="DY1466" s="453"/>
      <c r="DZ1466" s="453"/>
      <c r="EA1466" s="453"/>
      <c r="EB1466" s="453"/>
      <c r="EC1466" s="453"/>
      <c r="ED1466" s="453"/>
      <c r="EE1466" s="453"/>
      <c r="EF1466" s="453"/>
      <c r="EG1466" s="453"/>
      <c r="EH1466" s="453"/>
      <c r="EI1466" s="453"/>
      <c r="EJ1466" s="453"/>
      <c r="EK1466" s="453"/>
      <c r="EL1466" s="453"/>
      <c r="EM1466" s="483">
        <f t="shared" si="267"/>
        <v>1157</v>
      </c>
      <c r="EN1466" s="485"/>
      <c r="EO1466" s="458"/>
      <c r="EP1466" s="467"/>
      <c r="EQ1466" s="457"/>
      <c r="ER1466" s="808"/>
      <c r="ES1466" s="881">
        <f t="shared" si="268"/>
        <v>0</v>
      </c>
      <c r="ET1466" s="882"/>
      <c r="EU1466" s="883"/>
      <c r="EV1466" s="884">
        <f t="shared" si="269"/>
        <v>0</v>
      </c>
      <c r="EW1466" s="885"/>
      <c r="EX1466" s="885"/>
      <c r="EY1466" s="885"/>
      <c r="EZ1466" s="885"/>
      <c r="FA1466" s="885"/>
      <c r="FB1466" s="885"/>
      <c r="FC1466" s="885"/>
      <c r="FD1466" s="886"/>
      <c r="FE1466" s="877"/>
      <c r="FF1466" s="877"/>
      <c r="FG1466" s="877"/>
      <c r="FH1466" s="877"/>
      <c r="FI1466" s="877"/>
      <c r="FJ1466" s="877"/>
      <c r="FK1466" s="877"/>
      <c r="FL1466" s="874"/>
      <c r="FM1466" s="875"/>
      <c r="FN1466" s="875"/>
      <c r="FO1466" s="875"/>
      <c r="FP1466" s="875"/>
      <c r="FQ1466" s="875"/>
      <c r="FR1466" s="875"/>
      <c r="FS1466" s="875"/>
      <c r="FT1466" s="875"/>
      <c r="FU1466" s="875"/>
      <c r="FV1466" s="875"/>
      <c r="FW1466" s="875"/>
      <c r="FX1466" s="875"/>
      <c r="FY1466" s="875"/>
      <c r="FZ1466" s="875"/>
      <c r="GA1466" s="875"/>
      <c r="GB1466" s="876"/>
      <c r="GC1466" s="370"/>
      <c r="GD1466" s="453"/>
      <c r="GE1466" s="453"/>
      <c r="GF1466" s="453"/>
      <c r="GG1466" s="453"/>
      <c r="GH1466" s="454"/>
      <c r="GI1466" s="453"/>
      <c r="GJ1466" s="453"/>
      <c r="GK1466" s="453"/>
      <c r="GL1466" s="453"/>
      <c r="GM1466" s="453"/>
      <c r="GN1466" s="453"/>
      <c r="GO1466" s="453"/>
      <c r="GP1466" s="453"/>
      <c r="GQ1466" s="453"/>
      <c r="GR1466" s="453"/>
      <c r="GS1466" s="561"/>
      <c r="GT1466" s="475"/>
      <c r="GU1466" s="472"/>
      <c r="GV1466" s="453"/>
      <c r="GW1466" s="453"/>
      <c r="GX1466" s="869"/>
      <c r="GY1466" s="870"/>
      <c r="GZ1466" s="867"/>
      <c r="HA1466" s="868"/>
      <c r="HB1466" s="473"/>
      <c r="HC1466" s="869"/>
      <c r="HD1466" s="870"/>
      <c r="HE1466" s="867"/>
      <c r="HF1466" s="868"/>
      <c r="HG1466" s="473"/>
      <c r="HH1466" s="867"/>
      <c r="HI1466" s="868"/>
      <c r="HJ1466" s="867"/>
      <c r="HK1466" s="868"/>
      <c r="HL1466" s="370"/>
      <c r="HM1466" s="865"/>
      <c r="HN1466" s="866"/>
      <c r="HO1466" s="865"/>
      <c r="HP1466" s="866"/>
      <c r="HQ1466" s="865"/>
      <c r="HR1466" s="866"/>
      <c r="HS1466" s="867"/>
      <c r="HT1466" s="868"/>
      <c r="HU1466" s="489"/>
      <c r="HV1466" s="865"/>
      <c r="HW1466" s="866"/>
    </row>
    <row r="1467" spans="25:231" ht="15" customHeight="1">
      <c r="Y1467" s="332"/>
      <c r="Z1467" s="332"/>
      <c r="AA1467" s="332"/>
      <c r="AB1467" s="332"/>
      <c r="AC1467" s="332"/>
      <c r="AD1467" s="332"/>
      <c r="AE1467" s="332"/>
      <c r="AF1467" s="332"/>
      <c r="AG1467" s="332"/>
      <c r="AH1467" s="332"/>
      <c r="AI1467" s="332"/>
      <c r="AJ1467" s="332"/>
      <c r="AK1467" s="332"/>
      <c r="AL1467" s="332"/>
      <c r="AM1467" s="332"/>
      <c r="AN1467" s="332"/>
      <c r="AO1467" s="332"/>
      <c r="AP1467" s="332"/>
      <c r="AQ1467" s="332"/>
      <c r="AR1467" s="332"/>
      <c r="AS1467" s="332"/>
      <c r="AT1467" s="332"/>
      <c r="AU1467" s="332"/>
      <c r="AV1467" s="332"/>
      <c r="AW1467" s="332"/>
      <c r="AX1467" s="332"/>
      <c r="AY1467" s="332"/>
      <c r="AZ1467" s="332"/>
      <c r="BA1467" s="332"/>
      <c r="BB1467" s="332"/>
      <c r="BC1467" s="332"/>
      <c r="BD1467" s="332"/>
      <c r="BE1467" s="332"/>
      <c r="BF1467" s="332"/>
      <c r="BG1467" s="332"/>
      <c r="BH1467" s="332"/>
      <c r="BI1467" s="332"/>
      <c r="BJ1467" s="332"/>
      <c r="BK1467" s="332"/>
      <c r="BL1467" s="332"/>
      <c r="BM1467" s="332"/>
      <c r="BN1467" s="332"/>
      <c r="BO1467" s="332"/>
      <c r="BP1467" s="332"/>
      <c r="BQ1467" s="332"/>
      <c r="BR1467" s="332"/>
      <c r="BS1467" s="332"/>
      <c r="BT1467" s="332"/>
      <c r="BU1467" s="332"/>
      <c r="BV1467" s="332"/>
      <c r="BW1467" s="332"/>
      <c r="BX1467" s="332"/>
      <c r="BY1467" s="332"/>
      <c r="BZ1467" s="332"/>
      <c r="CA1467" s="332"/>
      <c r="CB1467" s="332"/>
      <c r="CC1467" s="332"/>
      <c r="CD1467" s="332"/>
      <c r="CE1467" s="332"/>
      <c r="CF1467" s="332"/>
      <c r="CG1467" s="332"/>
      <c r="CH1467" s="332"/>
      <c r="CI1467" s="332"/>
      <c r="CJ1467" s="332"/>
      <c r="CK1467" s="332"/>
      <c r="CL1467" s="332"/>
      <c r="CM1467" s="332"/>
      <c r="CN1467" s="332"/>
      <c r="CO1467" s="332"/>
      <c r="CP1467" s="332"/>
      <c r="CQ1467" s="332"/>
      <c r="CR1467" s="332"/>
      <c r="CS1467" s="332"/>
      <c r="CT1467" s="332"/>
      <c r="CU1467" s="332"/>
      <c r="CV1467" s="332"/>
      <c r="CW1467" s="332"/>
      <c r="CX1467" s="332"/>
      <c r="CY1467" s="332"/>
      <c r="CZ1467" s="332"/>
      <c r="DA1467" s="332"/>
      <c r="DB1467" s="332"/>
      <c r="DC1467" s="332"/>
      <c r="DD1467" s="332"/>
      <c r="DE1467" s="332"/>
      <c r="DF1467" s="332"/>
      <c r="DG1467" s="332"/>
      <c r="DH1467" s="332"/>
      <c r="DI1467" s="332"/>
      <c r="DJ1467" s="332"/>
      <c r="DK1467" s="332"/>
      <c r="DL1467" s="332"/>
      <c r="DM1467" s="332"/>
      <c r="DN1467" s="332"/>
      <c r="DO1467" s="332"/>
      <c r="DP1467" s="332"/>
      <c r="DQ1467" s="332"/>
      <c r="DR1467" s="332"/>
      <c r="DS1467" s="332"/>
      <c r="DT1467" s="332"/>
      <c r="DU1467" s="453"/>
      <c r="DV1467" s="453"/>
      <c r="DW1467" s="453"/>
      <c r="DX1467" s="453"/>
      <c r="DY1467" s="453"/>
      <c r="DZ1467" s="453"/>
      <c r="EA1467" s="453"/>
      <c r="EB1467" s="453"/>
      <c r="EC1467" s="453"/>
      <c r="ED1467" s="453"/>
      <c r="EE1467" s="453"/>
      <c r="EF1467" s="453"/>
      <c r="EG1467" s="453"/>
      <c r="EH1467" s="453"/>
      <c r="EI1467" s="453"/>
      <c r="EJ1467" s="453"/>
      <c r="EK1467" s="453"/>
      <c r="EL1467" s="453"/>
      <c r="EM1467" s="483">
        <f t="shared" si="267"/>
        <v>1158</v>
      </c>
      <c r="EN1467" s="485"/>
      <c r="EO1467" s="458"/>
      <c r="EP1467" s="467"/>
      <c r="EQ1467" s="457"/>
      <c r="ER1467" s="808"/>
      <c r="ES1467" s="881">
        <f t="shared" si="268"/>
        <v>0</v>
      </c>
      <c r="ET1467" s="882"/>
      <c r="EU1467" s="883"/>
      <c r="EV1467" s="884">
        <f t="shared" si="269"/>
        <v>0</v>
      </c>
      <c r="EW1467" s="885"/>
      <c r="EX1467" s="885"/>
      <c r="EY1467" s="885"/>
      <c r="EZ1467" s="885"/>
      <c r="FA1467" s="885"/>
      <c r="FB1467" s="885"/>
      <c r="FC1467" s="885"/>
      <c r="FD1467" s="886"/>
      <c r="FE1467" s="877"/>
      <c r="FF1467" s="877"/>
      <c r="FG1467" s="877"/>
      <c r="FH1467" s="877"/>
      <c r="FI1467" s="877"/>
      <c r="FJ1467" s="877"/>
      <c r="FK1467" s="877"/>
      <c r="FL1467" s="874"/>
      <c r="FM1467" s="875"/>
      <c r="FN1467" s="875"/>
      <c r="FO1467" s="875"/>
      <c r="FP1467" s="875"/>
      <c r="FQ1467" s="875"/>
      <c r="FR1467" s="875"/>
      <c r="FS1467" s="875"/>
      <c r="FT1467" s="875"/>
      <c r="FU1467" s="875"/>
      <c r="FV1467" s="875"/>
      <c r="FW1467" s="875"/>
      <c r="FX1467" s="875"/>
      <c r="FY1467" s="875"/>
      <c r="FZ1467" s="875"/>
      <c r="GA1467" s="875"/>
      <c r="GB1467" s="876"/>
      <c r="GC1467" s="370"/>
      <c r="GD1467" s="453"/>
      <c r="GE1467" s="453"/>
      <c r="GF1467" s="453"/>
      <c r="GG1467" s="453"/>
      <c r="GH1467" s="454"/>
      <c r="GI1467" s="453"/>
      <c r="GJ1467" s="453"/>
      <c r="GK1467" s="453"/>
      <c r="GL1467" s="453"/>
      <c r="GM1467" s="453"/>
      <c r="GN1467" s="453"/>
      <c r="GO1467" s="453"/>
      <c r="GP1467" s="453"/>
      <c r="GQ1467" s="453"/>
      <c r="GR1467" s="453"/>
      <c r="GS1467" s="561"/>
      <c r="GT1467" s="475"/>
      <c r="GU1467" s="472"/>
      <c r="GV1467" s="453"/>
      <c r="GW1467" s="453"/>
      <c r="GX1467" s="869"/>
      <c r="GY1467" s="870"/>
      <c r="GZ1467" s="867"/>
      <c r="HA1467" s="868"/>
      <c r="HB1467" s="473"/>
      <c r="HC1467" s="869"/>
      <c r="HD1467" s="870"/>
      <c r="HE1467" s="867"/>
      <c r="HF1467" s="868"/>
      <c r="HG1467" s="473"/>
      <c r="HH1467" s="867"/>
      <c r="HI1467" s="868"/>
      <c r="HJ1467" s="867"/>
      <c r="HK1467" s="868"/>
      <c r="HL1467" s="370"/>
      <c r="HM1467" s="865"/>
      <c r="HN1467" s="866"/>
      <c r="HO1467" s="865"/>
      <c r="HP1467" s="866"/>
      <c r="HQ1467" s="865"/>
      <c r="HR1467" s="866"/>
      <c r="HS1467" s="867"/>
      <c r="HT1467" s="868"/>
      <c r="HU1467" s="489"/>
      <c r="HV1467" s="865"/>
      <c r="HW1467" s="866"/>
    </row>
    <row r="1468" spans="25:231" ht="15" customHeight="1">
      <c r="Y1468" s="332"/>
      <c r="Z1468" s="332"/>
      <c r="AA1468" s="332"/>
      <c r="AB1468" s="332"/>
      <c r="AC1468" s="332"/>
      <c r="AD1468" s="332"/>
      <c r="AE1468" s="332"/>
      <c r="AF1468" s="332"/>
      <c r="AG1468" s="332"/>
      <c r="AH1468" s="332"/>
      <c r="AI1468" s="332"/>
      <c r="AJ1468" s="332"/>
      <c r="AK1468" s="332"/>
      <c r="AL1468" s="332"/>
      <c r="AM1468" s="332"/>
      <c r="AN1468" s="332"/>
      <c r="AO1468" s="332"/>
      <c r="AP1468" s="332"/>
      <c r="AQ1468" s="332"/>
      <c r="AR1468" s="332"/>
      <c r="AS1468" s="332"/>
      <c r="AT1468" s="332"/>
      <c r="AU1468" s="332"/>
      <c r="AV1468" s="332"/>
      <c r="AW1468" s="332"/>
      <c r="AX1468" s="332"/>
      <c r="AY1468" s="332"/>
      <c r="AZ1468" s="332"/>
      <c r="BA1468" s="332"/>
      <c r="BB1468" s="332"/>
      <c r="BC1468" s="332"/>
      <c r="BD1468" s="332"/>
      <c r="BE1468" s="332"/>
      <c r="BF1468" s="332"/>
      <c r="BG1468" s="332"/>
      <c r="BH1468" s="332"/>
      <c r="BI1468" s="332"/>
      <c r="BJ1468" s="332"/>
      <c r="BK1468" s="332"/>
      <c r="BL1468" s="332"/>
      <c r="BM1468" s="332"/>
      <c r="BN1468" s="332"/>
      <c r="BO1468" s="332"/>
      <c r="BP1468" s="332"/>
      <c r="BQ1468" s="332"/>
      <c r="BR1468" s="332"/>
      <c r="BS1468" s="332"/>
      <c r="BT1468" s="332"/>
      <c r="BU1468" s="332"/>
      <c r="BV1468" s="332"/>
      <c r="BW1468" s="332"/>
      <c r="BX1468" s="332"/>
      <c r="BY1468" s="332"/>
      <c r="BZ1468" s="332"/>
      <c r="CA1468" s="332"/>
      <c r="CB1468" s="332"/>
      <c r="CC1468" s="332"/>
      <c r="CD1468" s="332"/>
      <c r="CE1468" s="332"/>
      <c r="CF1468" s="332"/>
      <c r="CG1468" s="332"/>
      <c r="CH1468" s="332"/>
      <c r="CI1468" s="332"/>
      <c r="CJ1468" s="332"/>
      <c r="CK1468" s="332"/>
      <c r="CL1468" s="332"/>
      <c r="CM1468" s="332"/>
      <c r="CN1468" s="332"/>
      <c r="CO1468" s="332"/>
      <c r="CP1468" s="332"/>
      <c r="CQ1468" s="332"/>
      <c r="CR1468" s="332"/>
      <c r="CS1468" s="332"/>
      <c r="CT1468" s="332"/>
      <c r="CU1468" s="332"/>
      <c r="CV1468" s="332"/>
      <c r="CW1468" s="332"/>
      <c r="CX1468" s="332"/>
      <c r="CY1468" s="332"/>
      <c r="CZ1468" s="332"/>
      <c r="DA1468" s="332"/>
      <c r="DB1468" s="332"/>
      <c r="DC1468" s="332"/>
      <c r="DD1468" s="332"/>
      <c r="DE1468" s="332"/>
      <c r="DF1468" s="332"/>
      <c r="DG1468" s="332"/>
      <c r="DH1468" s="332"/>
      <c r="DI1468" s="332"/>
      <c r="DJ1468" s="332"/>
      <c r="DK1468" s="332"/>
      <c r="DL1468" s="332"/>
      <c r="DM1468" s="332"/>
      <c r="DN1468" s="332"/>
      <c r="DO1468" s="332"/>
      <c r="DP1468" s="332"/>
      <c r="DQ1468" s="332"/>
      <c r="DR1468" s="332"/>
      <c r="DS1468" s="332"/>
      <c r="DT1468" s="332"/>
      <c r="DU1468" s="453"/>
      <c r="DV1468" s="453"/>
      <c r="DW1468" s="453"/>
      <c r="DX1468" s="453"/>
      <c r="DY1468" s="453"/>
      <c r="DZ1468" s="453"/>
      <c r="EA1468" s="453"/>
      <c r="EB1468" s="453"/>
      <c r="EC1468" s="453"/>
      <c r="ED1468" s="453"/>
      <c r="EE1468" s="453"/>
      <c r="EF1468" s="453"/>
      <c r="EG1468" s="453"/>
      <c r="EH1468" s="453"/>
      <c r="EI1468" s="453"/>
      <c r="EJ1468" s="453"/>
      <c r="EK1468" s="453"/>
      <c r="EL1468" s="453"/>
      <c r="EM1468" s="483">
        <f t="shared" si="267"/>
        <v>1159</v>
      </c>
      <c r="EN1468" s="485"/>
      <c r="EO1468" s="458"/>
      <c r="EP1468" s="467"/>
      <c r="EQ1468" s="457"/>
      <c r="ER1468" s="808"/>
      <c r="ES1468" s="881">
        <f t="shared" si="268"/>
        <v>0</v>
      </c>
      <c r="ET1468" s="882"/>
      <c r="EU1468" s="883"/>
      <c r="EV1468" s="884">
        <f t="shared" si="269"/>
        <v>0</v>
      </c>
      <c r="EW1468" s="885"/>
      <c r="EX1468" s="885"/>
      <c r="EY1468" s="885"/>
      <c r="EZ1468" s="885"/>
      <c r="FA1468" s="885"/>
      <c r="FB1468" s="885"/>
      <c r="FC1468" s="885"/>
      <c r="FD1468" s="886"/>
      <c r="FE1468" s="877"/>
      <c r="FF1468" s="877"/>
      <c r="FG1468" s="877"/>
      <c r="FH1468" s="877"/>
      <c r="FI1468" s="877"/>
      <c r="FJ1468" s="877"/>
      <c r="FK1468" s="877"/>
      <c r="FL1468" s="874"/>
      <c r="FM1468" s="875"/>
      <c r="FN1468" s="875"/>
      <c r="FO1468" s="875"/>
      <c r="FP1468" s="875"/>
      <c r="FQ1468" s="875"/>
      <c r="FR1468" s="875"/>
      <c r="FS1468" s="875"/>
      <c r="FT1468" s="875"/>
      <c r="FU1468" s="875"/>
      <c r="FV1468" s="875"/>
      <c r="FW1468" s="875"/>
      <c r="FX1468" s="875"/>
      <c r="FY1468" s="875"/>
      <c r="FZ1468" s="875"/>
      <c r="GA1468" s="875"/>
      <c r="GB1468" s="876"/>
      <c r="GC1468" s="370"/>
      <c r="GD1468" s="453"/>
      <c r="GE1468" s="453"/>
      <c r="GF1468" s="453"/>
      <c r="GG1468" s="453"/>
      <c r="GH1468" s="454"/>
      <c r="GI1468" s="453"/>
      <c r="GJ1468" s="453"/>
      <c r="GK1468" s="453"/>
      <c r="GL1468" s="453"/>
      <c r="GM1468" s="453"/>
      <c r="GN1468" s="453"/>
      <c r="GO1468" s="453"/>
      <c r="GP1468" s="453"/>
      <c r="GQ1468" s="453"/>
      <c r="GR1468" s="453"/>
      <c r="GS1468" s="561"/>
      <c r="GT1468" s="475"/>
      <c r="GU1468" s="472"/>
      <c r="GV1468" s="453"/>
      <c r="GW1468" s="453"/>
      <c r="GX1468" s="869"/>
      <c r="GY1468" s="870"/>
      <c r="GZ1468" s="867"/>
      <c r="HA1468" s="868"/>
      <c r="HB1468" s="473"/>
      <c r="HC1468" s="869"/>
      <c r="HD1468" s="870"/>
      <c r="HE1468" s="867"/>
      <c r="HF1468" s="868"/>
      <c r="HG1468" s="473"/>
      <c r="HH1468" s="867"/>
      <c r="HI1468" s="868"/>
      <c r="HJ1468" s="867"/>
      <c r="HK1468" s="868"/>
      <c r="HL1468" s="370"/>
      <c r="HM1468" s="865"/>
      <c r="HN1468" s="866"/>
      <c r="HO1468" s="865"/>
      <c r="HP1468" s="866"/>
      <c r="HQ1468" s="865"/>
      <c r="HR1468" s="866"/>
      <c r="HS1468" s="867"/>
      <c r="HT1468" s="868"/>
      <c r="HU1468" s="489"/>
      <c r="HV1468" s="865"/>
      <c r="HW1468" s="866"/>
    </row>
    <row r="1469" spans="25:231" ht="15" customHeight="1">
      <c r="Y1469" s="332"/>
      <c r="Z1469" s="332"/>
      <c r="AA1469" s="332"/>
      <c r="AB1469" s="332"/>
      <c r="AC1469" s="332"/>
      <c r="AD1469" s="332"/>
      <c r="AE1469" s="332"/>
      <c r="AF1469" s="332"/>
      <c r="AG1469" s="332"/>
      <c r="AH1469" s="332"/>
      <c r="AI1469" s="332"/>
      <c r="AJ1469" s="332"/>
      <c r="AK1469" s="332"/>
      <c r="AL1469" s="332"/>
      <c r="AM1469" s="332"/>
      <c r="AN1469" s="332"/>
      <c r="AO1469" s="332"/>
      <c r="AP1469" s="332"/>
      <c r="AQ1469" s="332"/>
      <c r="AR1469" s="332"/>
      <c r="AS1469" s="332"/>
      <c r="AT1469" s="332"/>
      <c r="AU1469" s="332"/>
      <c r="AV1469" s="332"/>
      <c r="AW1469" s="332"/>
      <c r="AX1469" s="332"/>
      <c r="AY1469" s="332"/>
      <c r="AZ1469" s="332"/>
      <c r="BA1469" s="332"/>
      <c r="BB1469" s="332"/>
      <c r="BC1469" s="332"/>
      <c r="BD1469" s="332"/>
      <c r="BE1469" s="332"/>
      <c r="BF1469" s="332"/>
      <c r="BG1469" s="332"/>
      <c r="BH1469" s="332"/>
      <c r="BI1469" s="332"/>
      <c r="BJ1469" s="332"/>
      <c r="BK1469" s="332"/>
      <c r="BL1469" s="332"/>
      <c r="BM1469" s="332"/>
      <c r="BN1469" s="332"/>
      <c r="BO1469" s="332"/>
      <c r="BP1469" s="332"/>
      <c r="BQ1469" s="332"/>
      <c r="BR1469" s="332"/>
      <c r="BS1469" s="332"/>
      <c r="BT1469" s="332"/>
      <c r="BU1469" s="332"/>
      <c r="BV1469" s="332"/>
      <c r="BW1469" s="332"/>
      <c r="BX1469" s="332"/>
      <c r="BY1469" s="332"/>
      <c r="BZ1469" s="332"/>
      <c r="CA1469" s="332"/>
      <c r="CB1469" s="332"/>
      <c r="CC1469" s="332"/>
      <c r="CD1469" s="332"/>
      <c r="CE1469" s="332"/>
      <c r="CF1469" s="332"/>
      <c r="CG1469" s="332"/>
      <c r="CH1469" s="332"/>
      <c r="CI1469" s="332"/>
      <c r="CJ1469" s="332"/>
      <c r="CK1469" s="332"/>
      <c r="CL1469" s="332"/>
      <c r="CM1469" s="332"/>
      <c r="CN1469" s="332"/>
      <c r="CO1469" s="332"/>
      <c r="CP1469" s="332"/>
      <c r="CQ1469" s="332"/>
      <c r="CR1469" s="332"/>
      <c r="CS1469" s="332"/>
      <c r="CT1469" s="332"/>
      <c r="CU1469" s="332"/>
      <c r="CV1469" s="332"/>
      <c r="CW1469" s="332"/>
      <c r="CX1469" s="332"/>
      <c r="CY1469" s="332"/>
      <c r="CZ1469" s="332"/>
      <c r="DA1469" s="332"/>
      <c r="DB1469" s="332"/>
      <c r="DC1469" s="332"/>
      <c r="DD1469" s="332"/>
      <c r="DE1469" s="332"/>
      <c r="DF1469" s="332"/>
      <c r="DG1469" s="332"/>
      <c r="DH1469" s="332"/>
      <c r="DI1469" s="332"/>
      <c r="DJ1469" s="332"/>
      <c r="DK1469" s="332"/>
      <c r="DL1469" s="332"/>
      <c r="DM1469" s="332"/>
      <c r="DN1469" s="332"/>
      <c r="DO1469" s="332"/>
      <c r="DP1469" s="332"/>
      <c r="DQ1469" s="332"/>
      <c r="DR1469" s="332"/>
      <c r="DS1469" s="332"/>
      <c r="DT1469" s="332"/>
      <c r="DU1469" s="453"/>
      <c r="DV1469" s="453"/>
      <c r="DW1469" s="453"/>
      <c r="DX1469" s="453"/>
      <c r="DY1469" s="453"/>
      <c r="DZ1469" s="453"/>
      <c r="EA1469" s="453"/>
      <c r="EB1469" s="453"/>
      <c r="EC1469" s="453"/>
      <c r="ED1469" s="453"/>
      <c r="EE1469" s="453"/>
      <c r="EF1469" s="453"/>
      <c r="EG1469" s="453"/>
      <c r="EH1469" s="453"/>
      <c r="EI1469" s="453"/>
      <c r="EJ1469" s="453"/>
      <c r="EK1469" s="453"/>
      <c r="EL1469" s="453"/>
      <c r="EM1469" s="483">
        <f t="shared" si="267"/>
        <v>1160</v>
      </c>
      <c r="EN1469" s="485"/>
      <c r="EO1469" s="458"/>
      <c r="EP1469" s="467"/>
      <c r="EQ1469" s="457"/>
      <c r="ER1469" s="808"/>
      <c r="ES1469" s="881">
        <f t="shared" si="268"/>
        <v>0</v>
      </c>
      <c r="ET1469" s="882"/>
      <c r="EU1469" s="883"/>
      <c r="EV1469" s="884">
        <f t="shared" si="269"/>
        <v>0</v>
      </c>
      <c r="EW1469" s="885"/>
      <c r="EX1469" s="885"/>
      <c r="EY1469" s="885"/>
      <c r="EZ1469" s="885"/>
      <c r="FA1469" s="885"/>
      <c r="FB1469" s="885"/>
      <c r="FC1469" s="885"/>
      <c r="FD1469" s="886"/>
      <c r="FE1469" s="877"/>
      <c r="FF1469" s="877"/>
      <c r="FG1469" s="877"/>
      <c r="FH1469" s="877"/>
      <c r="FI1469" s="877"/>
      <c r="FJ1469" s="877"/>
      <c r="FK1469" s="877"/>
      <c r="FL1469" s="874"/>
      <c r="FM1469" s="875"/>
      <c r="FN1469" s="875"/>
      <c r="FO1469" s="875"/>
      <c r="FP1469" s="875"/>
      <c r="FQ1469" s="875"/>
      <c r="FR1469" s="875"/>
      <c r="FS1469" s="875"/>
      <c r="FT1469" s="875"/>
      <c r="FU1469" s="875"/>
      <c r="FV1469" s="875"/>
      <c r="FW1469" s="875"/>
      <c r="FX1469" s="875"/>
      <c r="FY1469" s="875"/>
      <c r="FZ1469" s="875"/>
      <c r="GA1469" s="875"/>
      <c r="GB1469" s="876"/>
      <c r="GC1469" s="370"/>
      <c r="GD1469" s="453"/>
      <c r="GE1469" s="453"/>
      <c r="GF1469" s="453"/>
      <c r="GG1469" s="453"/>
      <c r="GH1469" s="454"/>
      <c r="GI1469" s="453"/>
      <c r="GJ1469" s="453"/>
      <c r="GK1469" s="453"/>
      <c r="GL1469" s="453"/>
      <c r="GM1469" s="453"/>
      <c r="GN1469" s="453"/>
      <c r="GO1469" s="453"/>
      <c r="GP1469" s="453"/>
      <c r="GQ1469" s="453"/>
      <c r="GR1469" s="453"/>
      <c r="GS1469" s="561"/>
      <c r="GT1469" s="475"/>
      <c r="GU1469" s="472"/>
      <c r="GV1469" s="453"/>
      <c r="GW1469" s="453"/>
      <c r="GX1469" s="869"/>
      <c r="GY1469" s="870"/>
      <c r="GZ1469" s="867"/>
      <c r="HA1469" s="868"/>
      <c r="HB1469" s="473"/>
      <c r="HC1469" s="869"/>
      <c r="HD1469" s="870"/>
      <c r="HE1469" s="867"/>
      <c r="HF1469" s="868"/>
      <c r="HG1469" s="473"/>
      <c r="HH1469" s="867"/>
      <c r="HI1469" s="868"/>
      <c r="HJ1469" s="867"/>
      <c r="HK1469" s="868"/>
      <c r="HL1469" s="370"/>
      <c r="HM1469" s="865"/>
      <c r="HN1469" s="866"/>
      <c r="HO1469" s="865"/>
      <c r="HP1469" s="866"/>
      <c r="HQ1469" s="865"/>
      <c r="HR1469" s="866"/>
      <c r="HS1469" s="867"/>
      <c r="HT1469" s="868"/>
      <c r="HU1469" s="489"/>
      <c r="HV1469" s="865"/>
      <c r="HW1469" s="866"/>
    </row>
    <row r="1470" spans="25:231" ht="15" customHeight="1">
      <c r="Y1470" s="332"/>
      <c r="Z1470" s="332"/>
      <c r="AA1470" s="332"/>
      <c r="AB1470" s="332"/>
      <c r="AC1470" s="332"/>
      <c r="AD1470" s="332"/>
      <c r="AE1470" s="332"/>
      <c r="AF1470" s="332"/>
      <c r="AG1470" s="332"/>
      <c r="AH1470" s="332"/>
      <c r="AI1470" s="332"/>
      <c r="AJ1470" s="332"/>
      <c r="AK1470" s="332"/>
      <c r="AL1470" s="332"/>
      <c r="AM1470" s="332"/>
      <c r="AN1470" s="332"/>
      <c r="AO1470" s="332"/>
      <c r="AP1470" s="332"/>
      <c r="AQ1470" s="332"/>
      <c r="AR1470" s="332"/>
      <c r="AS1470" s="332"/>
      <c r="AT1470" s="332"/>
      <c r="AU1470" s="332"/>
      <c r="AV1470" s="332"/>
      <c r="AW1470" s="332"/>
      <c r="AX1470" s="332"/>
      <c r="AY1470" s="332"/>
      <c r="AZ1470" s="332"/>
      <c r="BA1470" s="332"/>
      <c r="BB1470" s="332"/>
      <c r="BC1470" s="332"/>
      <c r="BD1470" s="332"/>
      <c r="BE1470" s="332"/>
      <c r="BF1470" s="332"/>
      <c r="BG1470" s="332"/>
      <c r="BH1470" s="332"/>
      <c r="BI1470" s="332"/>
      <c r="BJ1470" s="332"/>
      <c r="BK1470" s="332"/>
      <c r="BL1470" s="332"/>
      <c r="BM1470" s="332"/>
      <c r="BN1470" s="332"/>
      <c r="BO1470" s="332"/>
      <c r="BP1470" s="332"/>
      <c r="BQ1470" s="332"/>
      <c r="BR1470" s="332"/>
      <c r="BS1470" s="332"/>
      <c r="BT1470" s="332"/>
      <c r="BU1470" s="332"/>
      <c r="BV1470" s="332"/>
      <c r="BW1470" s="332"/>
      <c r="BX1470" s="332"/>
      <c r="BY1470" s="332"/>
      <c r="BZ1470" s="332"/>
      <c r="CA1470" s="332"/>
      <c r="CB1470" s="332"/>
      <c r="CC1470" s="332"/>
      <c r="CD1470" s="332"/>
      <c r="CE1470" s="332"/>
      <c r="CF1470" s="332"/>
      <c r="CG1470" s="332"/>
      <c r="CH1470" s="332"/>
      <c r="CI1470" s="332"/>
      <c r="CJ1470" s="332"/>
      <c r="CK1470" s="332"/>
      <c r="CL1470" s="332"/>
      <c r="CM1470" s="332"/>
      <c r="CN1470" s="332"/>
      <c r="CO1470" s="332"/>
      <c r="CP1470" s="332"/>
      <c r="CQ1470" s="332"/>
      <c r="CR1470" s="332"/>
      <c r="CS1470" s="332"/>
      <c r="CT1470" s="332"/>
      <c r="CU1470" s="332"/>
      <c r="CV1470" s="332"/>
      <c r="CW1470" s="332"/>
      <c r="CX1470" s="332"/>
      <c r="CY1470" s="332"/>
      <c r="CZ1470" s="332"/>
      <c r="DA1470" s="332"/>
      <c r="DB1470" s="332"/>
      <c r="DC1470" s="332"/>
      <c r="DD1470" s="332"/>
      <c r="DE1470" s="332"/>
      <c r="DF1470" s="332"/>
      <c r="DG1470" s="332"/>
      <c r="DH1470" s="332"/>
      <c r="DI1470" s="332"/>
      <c r="DJ1470" s="332"/>
      <c r="DK1470" s="332"/>
      <c r="DL1470" s="332"/>
      <c r="DM1470" s="332"/>
      <c r="DN1470" s="332"/>
      <c r="DO1470" s="332"/>
      <c r="DP1470" s="332"/>
      <c r="DQ1470" s="332"/>
      <c r="DR1470" s="332"/>
      <c r="DS1470" s="332"/>
      <c r="DT1470" s="332"/>
      <c r="DU1470" s="453"/>
      <c r="DV1470" s="453"/>
      <c r="DW1470" s="453"/>
      <c r="DX1470" s="453"/>
      <c r="DY1470" s="453"/>
      <c r="DZ1470" s="453"/>
      <c r="EA1470" s="453"/>
      <c r="EB1470" s="453"/>
      <c r="EC1470" s="453"/>
      <c r="ED1470" s="453"/>
      <c r="EE1470" s="453"/>
      <c r="EF1470" s="453"/>
      <c r="EG1470" s="453"/>
      <c r="EH1470" s="453"/>
      <c r="EI1470" s="453"/>
      <c r="EJ1470" s="453"/>
      <c r="EK1470" s="453"/>
      <c r="EL1470" s="453"/>
      <c r="EM1470" s="483">
        <f t="shared" si="267"/>
        <v>1161</v>
      </c>
      <c r="EN1470" s="485"/>
      <c r="EO1470" s="458"/>
      <c r="EP1470" s="467"/>
      <c r="EQ1470" s="457"/>
      <c r="ER1470" s="808"/>
      <c r="ES1470" s="881">
        <f t="shared" si="268"/>
        <v>0</v>
      </c>
      <c r="ET1470" s="882"/>
      <c r="EU1470" s="883"/>
      <c r="EV1470" s="884">
        <f t="shared" si="269"/>
        <v>0</v>
      </c>
      <c r="EW1470" s="885"/>
      <c r="EX1470" s="885"/>
      <c r="EY1470" s="885"/>
      <c r="EZ1470" s="885"/>
      <c r="FA1470" s="885"/>
      <c r="FB1470" s="885"/>
      <c r="FC1470" s="885"/>
      <c r="FD1470" s="886"/>
      <c r="FE1470" s="877"/>
      <c r="FF1470" s="877"/>
      <c r="FG1470" s="877"/>
      <c r="FH1470" s="877"/>
      <c r="FI1470" s="877"/>
      <c r="FJ1470" s="877"/>
      <c r="FK1470" s="877"/>
      <c r="FL1470" s="874"/>
      <c r="FM1470" s="875"/>
      <c r="FN1470" s="875"/>
      <c r="FO1470" s="875"/>
      <c r="FP1470" s="875"/>
      <c r="FQ1470" s="875"/>
      <c r="FR1470" s="875"/>
      <c r="FS1470" s="875"/>
      <c r="FT1470" s="875"/>
      <c r="FU1470" s="875"/>
      <c r="FV1470" s="875"/>
      <c r="FW1470" s="875"/>
      <c r="FX1470" s="875"/>
      <c r="FY1470" s="875"/>
      <c r="FZ1470" s="875"/>
      <c r="GA1470" s="875"/>
      <c r="GB1470" s="876"/>
      <c r="GC1470" s="370"/>
      <c r="GD1470" s="453"/>
      <c r="GE1470" s="453"/>
      <c r="GF1470" s="453"/>
      <c r="GG1470" s="453"/>
      <c r="GH1470" s="454"/>
      <c r="GI1470" s="453"/>
      <c r="GJ1470" s="453"/>
      <c r="GK1470" s="453"/>
      <c r="GL1470" s="453"/>
      <c r="GM1470" s="453"/>
      <c r="GN1470" s="453"/>
      <c r="GO1470" s="453"/>
      <c r="GP1470" s="453"/>
      <c r="GQ1470" s="453"/>
      <c r="GR1470" s="453"/>
      <c r="GS1470" s="561"/>
      <c r="GT1470" s="475"/>
      <c r="GU1470" s="472"/>
      <c r="GV1470" s="453"/>
      <c r="GW1470" s="453"/>
      <c r="GX1470" s="869"/>
      <c r="GY1470" s="870"/>
      <c r="GZ1470" s="867"/>
      <c r="HA1470" s="868"/>
      <c r="HB1470" s="473"/>
      <c r="HC1470" s="869"/>
      <c r="HD1470" s="870"/>
      <c r="HE1470" s="867"/>
      <c r="HF1470" s="868"/>
      <c r="HG1470" s="473"/>
      <c r="HH1470" s="867"/>
      <c r="HI1470" s="868"/>
      <c r="HJ1470" s="867"/>
      <c r="HK1470" s="868"/>
      <c r="HL1470" s="370"/>
      <c r="HM1470" s="865"/>
      <c r="HN1470" s="866"/>
      <c r="HO1470" s="865"/>
      <c r="HP1470" s="866"/>
      <c r="HQ1470" s="865"/>
      <c r="HR1470" s="866"/>
      <c r="HS1470" s="867"/>
      <c r="HT1470" s="868"/>
      <c r="HU1470" s="489"/>
      <c r="HV1470" s="865"/>
      <c r="HW1470" s="866"/>
    </row>
    <row r="1471" spans="25:231" ht="15" customHeight="1">
      <c r="Y1471" s="332"/>
      <c r="Z1471" s="332"/>
      <c r="AA1471" s="332"/>
      <c r="AB1471" s="332"/>
      <c r="AC1471" s="332"/>
      <c r="AD1471" s="332"/>
      <c r="AE1471" s="332"/>
      <c r="AF1471" s="332"/>
      <c r="AG1471" s="332"/>
      <c r="AH1471" s="332"/>
      <c r="AI1471" s="332"/>
      <c r="AJ1471" s="332"/>
      <c r="AK1471" s="332"/>
      <c r="AL1471" s="332"/>
      <c r="AM1471" s="332"/>
      <c r="AN1471" s="332"/>
      <c r="AO1471" s="332"/>
      <c r="AP1471" s="332"/>
      <c r="AQ1471" s="332"/>
      <c r="AR1471" s="332"/>
      <c r="AS1471" s="332"/>
      <c r="AT1471" s="332"/>
      <c r="AU1471" s="332"/>
      <c r="AV1471" s="332"/>
      <c r="AW1471" s="332"/>
      <c r="AX1471" s="332"/>
      <c r="AY1471" s="332"/>
      <c r="AZ1471" s="332"/>
      <c r="BA1471" s="332"/>
      <c r="BB1471" s="332"/>
      <c r="BC1471" s="332"/>
      <c r="BD1471" s="332"/>
      <c r="BE1471" s="332"/>
      <c r="BF1471" s="332"/>
      <c r="BG1471" s="332"/>
      <c r="BH1471" s="332"/>
      <c r="BI1471" s="332"/>
      <c r="BJ1471" s="332"/>
      <c r="BK1471" s="332"/>
      <c r="BL1471" s="332"/>
      <c r="BM1471" s="332"/>
      <c r="BN1471" s="332"/>
      <c r="BO1471" s="332"/>
      <c r="BP1471" s="332"/>
      <c r="BQ1471" s="332"/>
      <c r="BR1471" s="332"/>
      <c r="BS1471" s="332"/>
      <c r="BT1471" s="332"/>
      <c r="BU1471" s="332"/>
      <c r="BV1471" s="332"/>
      <c r="BW1471" s="332"/>
      <c r="BX1471" s="332"/>
      <c r="BY1471" s="332"/>
      <c r="BZ1471" s="332"/>
      <c r="CA1471" s="332"/>
      <c r="CB1471" s="332"/>
      <c r="CC1471" s="332"/>
      <c r="CD1471" s="332"/>
      <c r="CE1471" s="332"/>
      <c r="CF1471" s="332"/>
      <c r="CG1471" s="332"/>
      <c r="CH1471" s="332"/>
      <c r="CI1471" s="332"/>
      <c r="CJ1471" s="332"/>
      <c r="CK1471" s="332"/>
      <c r="CL1471" s="332"/>
      <c r="CM1471" s="332"/>
      <c r="CN1471" s="332"/>
      <c r="CO1471" s="332"/>
      <c r="CP1471" s="332"/>
      <c r="CQ1471" s="332"/>
      <c r="CR1471" s="332"/>
      <c r="CS1471" s="332"/>
      <c r="CT1471" s="332"/>
      <c r="CU1471" s="332"/>
      <c r="CV1471" s="332"/>
      <c r="CW1471" s="332"/>
      <c r="CX1471" s="332"/>
      <c r="CY1471" s="332"/>
      <c r="CZ1471" s="332"/>
      <c r="DA1471" s="332"/>
      <c r="DB1471" s="332"/>
      <c r="DC1471" s="332"/>
      <c r="DD1471" s="332"/>
      <c r="DE1471" s="332"/>
      <c r="DF1471" s="332"/>
      <c r="DG1471" s="332"/>
      <c r="DH1471" s="332"/>
      <c r="DI1471" s="332"/>
      <c r="DJ1471" s="332"/>
      <c r="DK1471" s="332"/>
      <c r="DL1471" s="332"/>
      <c r="DM1471" s="332"/>
      <c r="DN1471" s="332"/>
      <c r="DO1471" s="332"/>
      <c r="DP1471" s="332"/>
      <c r="DQ1471" s="332"/>
      <c r="DR1471" s="332"/>
      <c r="DS1471" s="332"/>
      <c r="DT1471" s="332"/>
      <c r="DU1471" s="453"/>
      <c r="DV1471" s="453"/>
      <c r="DW1471" s="453"/>
      <c r="DX1471" s="453"/>
      <c r="DY1471" s="453"/>
      <c r="DZ1471" s="453"/>
      <c r="EA1471" s="453"/>
      <c r="EB1471" s="453"/>
      <c r="EC1471" s="453"/>
      <c r="ED1471" s="453"/>
      <c r="EE1471" s="453"/>
      <c r="EF1471" s="453"/>
      <c r="EG1471" s="453"/>
      <c r="EH1471" s="453"/>
      <c r="EI1471" s="453"/>
      <c r="EJ1471" s="453"/>
      <c r="EK1471" s="453"/>
      <c r="EL1471" s="453"/>
      <c r="EM1471" s="483">
        <f t="shared" si="267"/>
        <v>1162</v>
      </c>
      <c r="EN1471" s="485"/>
      <c r="EO1471" s="458"/>
      <c r="EP1471" s="467"/>
      <c r="EQ1471" s="457"/>
      <c r="ER1471" s="808"/>
      <c r="ES1471" s="881">
        <f t="shared" si="268"/>
        <v>0</v>
      </c>
      <c r="ET1471" s="882"/>
      <c r="EU1471" s="883"/>
      <c r="EV1471" s="884">
        <f t="shared" si="269"/>
        <v>0</v>
      </c>
      <c r="EW1471" s="885"/>
      <c r="EX1471" s="885"/>
      <c r="EY1471" s="885"/>
      <c r="EZ1471" s="885"/>
      <c r="FA1471" s="885"/>
      <c r="FB1471" s="885"/>
      <c r="FC1471" s="885"/>
      <c r="FD1471" s="886"/>
      <c r="FE1471" s="877"/>
      <c r="FF1471" s="877"/>
      <c r="FG1471" s="877"/>
      <c r="FH1471" s="877"/>
      <c r="FI1471" s="877"/>
      <c r="FJ1471" s="877"/>
      <c r="FK1471" s="877"/>
      <c r="FL1471" s="874"/>
      <c r="FM1471" s="875"/>
      <c r="FN1471" s="875"/>
      <c r="FO1471" s="875"/>
      <c r="FP1471" s="875"/>
      <c r="FQ1471" s="875"/>
      <c r="FR1471" s="875"/>
      <c r="FS1471" s="875"/>
      <c r="FT1471" s="875"/>
      <c r="FU1471" s="875"/>
      <c r="FV1471" s="875"/>
      <c r="FW1471" s="875"/>
      <c r="FX1471" s="875"/>
      <c r="FY1471" s="875"/>
      <c r="FZ1471" s="875"/>
      <c r="GA1471" s="875"/>
      <c r="GB1471" s="876"/>
      <c r="GC1471" s="370"/>
      <c r="GD1471" s="453"/>
      <c r="GE1471" s="453"/>
      <c r="GF1471" s="453"/>
      <c r="GG1471" s="453"/>
      <c r="GH1471" s="454"/>
      <c r="GI1471" s="453"/>
      <c r="GJ1471" s="453"/>
      <c r="GK1471" s="453"/>
      <c r="GL1471" s="453"/>
      <c r="GM1471" s="453"/>
      <c r="GN1471" s="453"/>
      <c r="GO1471" s="453"/>
      <c r="GP1471" s="453"/>
      <c r="GQ1471" s="453"/>
      <c r="GR1471" s="453"/>
      <c r="GS1471" s="561"/>
      <c r="GT1471" s="475"/>
      <c r="GU1471" s="472"/>
      <c r="GV1471" s="453"/>
      <c r="GW1471" s="453"/>
      <c r="GX1471" s="869"/>
      <c r="GY1471" s="870"/>
      <c r="GZ1471" s="867"/>
      <c r="HA1471" s="868"/>
      <c r="HB1471" s="473"/>
      <c r="HC1471" s="869"/>
      <c r="HD1471" s="870"/>
      <c r="HE1471" s="867"/>
      <c r="HF1471" s="868"/>
      <c r="HG1471" s="473"/>
      <c r="HH1471" s="867"/>
      <c r="HI1471" s="868"/>
      <c r="HJ1471" s="867"/>
      <c r="HK1471" s="868"/>
      <c r="HL1471" s="370"/>
      <c r="HM1471" s="865"/>
      <c r="HN1471" s="866"/>
      <c r="HO1471" s="865"/>
      <c r="HP1471" s="866"/>
      <c r="HQ1471" s="865"/>
      <c r="HR1471" s="866"/>
      <c r="HS1471" s="867"/>
      <c r="HT1471" s="868"/>
      <c r="HU1471" s="489"/>
      <c r="HV1471" s="865"/>
      <c r="HW1471" s="866"/>
    </row>
    <row r="1472" spans="25:231" ht="15" customHeight="1">
      <c r="Y1472" s="332"/>
      <c r="Z1472" s="332"/>
      <c r="AA1472" s="332"/>
      <c r="AB1472" s="332"/>
      <c r="AC1472" s="332"/>
      <c r="AD1472" s="332"/>
      <c r="AE1472" s="332"/>
      <c r="AF1472" s="332"/>
      <c r="AG1472" s="332"/>
      <c r="AH1472" s="332"/>
      <c r="AI1472" s="332"/>
      <c r="AJ1472" s="332"/>
      <c r="AK1472" s="332"/>
      <c r="AL1472" s="332"/>
      <c r="AM1472" s="332"/>
      <c r="AN1472" s="332"/>
      <c r="AO1472" s="332"/>
      <c r="AP1472" s="332"/>
      <c r="AQ1472" s="332"/>
      <c r="AR1472" s="332"/>
      <c r="AS1472" s="332"/>
      <c r="AT1472" s="332"/>
      <c r="AU1472" s="332"/>
      <c r="AV1472" s="332"/>
      <c r="AW1472" s="332"/>
      <c r="AX1472" s="332"/>
      <c r="AY1472" s="332"/>
      <c r="AZ1472" s="332"/>
      <c r="BA1472" s="332"/>
      <c r="BB1472" s="332"/>
      <c r="BC1472" s="332"/>
      <c r="BD1472" s="332"/>
      <c r="BE1472" s="332"/>
      <c r="BF1472" s="332"/>
      <c r="BG1472" s="332"/>
      <c r="BH1472" s="332"/>
      <c r="BI1472" s="332"/>
      <c r="BJ1472" s="332"/>
      <c r="BK1472" s="332"/>
      <c r="BL1472" s="332"/>
      <c r="BM1472" s="332"/>
      <c r="BN1472" s="332"/>
      <c r="BO1472" s="332"/>
      <c r="BP1472" s="332"/>
      <c r="BQ1472" s="332"/>
      <c r="BR1472" s="332"/>
      <c r="BS1472" s="332"/>
      <c r="BT1472" s="332"/>
      <c r="BU1472" s="332"/>
      <c r="BV1472" s="332"/>
      <c r="BW1472" s="332"/>
      <c r="BX1472" s="332"/>
      <c r="BY1472" s="332"/>
      <c r="BZ1472" s="332"/>
      <c r="CA1472" s="332"/>
      <c r="CB1472" s="332"/>
      <c r="CC1472" s="332"/>
      <c r="CD1472" s="332"/>
      <c r="CE1472" s="332"/>
      <c r="CF1472" s="332"/>
      <c r="CG1472" s="332"/>
      <c r="CH1472" s="332"/>
      <c r="CI1472" s="332"/>
      <c r="CJ1472" s="332"/>
      <c r="CK1472" s="332"/>
      <c r="CL1472" s="332"/>
      <c r="CM1472" s="332"/>
      <c r="CN1472" s="332"/>
      <c r="CO1472" s="332"/>
      <c r="CP1472" s="332"/>
      <c r="CQ1472" s="332"/>
      <c r="CR1472" s="332"/>
      <c r="CS1472" s="332"/>
      <c r="CT1472" s="332"/>
      <c r="CU1472" s="332"/>
      <c r="CV1472" s="332"/>
      <c r="CW1472" s="332"/>
      <c r="CX1472" s="332"/>
      <c r="CY1472" s="332"/>
      <c r="CZ1472" s="332"/>
      <c r="DA1472" s="332"/>
      <c r="DB1472" s="332"/>
      <c r="DC1472" s="332"/>
      <c r="DD1472" s="332"/>
      <c r="DE1472" s="332"/>
      <c r="DF1472" s="332"/>
      <c r="DG1472" s="332"/>
      <c r="DH1472" s="332"/>
      <c r="DI1472" s="332"/>
      <c r="DJ1472" s="332"/>
      <c r="DK1472" s="332"/>
      <c r="DL1472" s="332"/>
      <c r="DM1472" s="332"/>
      <c r="DN1472" s="332"/>
      <c r="DO1472" s="332"/>
      <c r="DP1472" s="332"/>
      <c r="DQ1472" s="332"/>
      <c r="DR1472" s="332"/>
      <c r="DS1472" s="332"/>
      <c r="DT1472" s="332"/>
      <c r="DU1472" s="453"/>
      <c r="DV1472" s="453"/>
      <c r="DW1472" s="453"/>
      <c r="DX1472" s="453"/>
      <c r="DY1472" s="453"/>
      <c r="DZ1472" s="453"/>
      <c r="EA1472" s="453"/>
      <c r="EB1472" s="453"/>
      <c r="EC1472" s="453"/>
      <c r="ED1472" s="453"/>
      <c r="EE1472" s="453"/>
      <c r="EF1472" s="453"/>
      <c r="EG1472" s="453"/>
      <c r="EH1472" s="453"/>
      <c r="EI1472" s="453"/>
      <c r="EJ1472" s="453"/>
      <c r="EK1472" s="453"/>
      <c r="EL1472" s="453"/>
      <c r="EM1472" s="483">
        <f t="shared" si="267"/>
        <v>1163</v>
      </c>
      <c r="EN1472" s="485"/>
      <c r="EO1472" s="458"/>
      <c r="EP1472" s="467"/>
      <c r="EQ1472" s="457"/>
      <c r="ER1472" s="808"/>
      <c r="ES1472" s="881">
        <f t="shared" si="268"/>
        <v>0</v>
      </c>
      <c r="ET1472" s="882"/>
      <c r="EU1472" s="883"/>
      <c r="EV1472" s="884">
        <f t="shared" si="269"/>
        <v>0</v>
      </c>
      <c r="EW1472" s="885"/>
      <c r="EX1472" s="885"/>
      <c r="EY1472" s="885"/>
      <c r="EZ1472" s="885"/>
      <c r="FA1472" s="885"/>
      <c r="FB1472" s="885"/>
      <c r="FC1472" s="885"/>
      <c r="FD1472" s="886"/>
      <c r="FE1472" s="877"/>
      <c r="FF1472" s="877"/>
      <c r="FG1472" s="877"/>
      <c r="FH1472" s="877"/>
      <c r="FI1472" s="877"/>
      <c r="FJ1472" s="877"/>
      <c r="FK1472" s="877"/>
      <c r="FL1472" s="874"/>
      <c r="FM1472" s="875"/>
      <c r="FN1472" s="875"/>
      <c r="FO1472" s="875"/>
      <c r="FP1472" s="875"/>
      <c r="FQ1472" s="875"/>
      <c r="FR1472" s="875"/>
      <c r="FS1472" s="875"/>
      <c r="FT1472" s="875"/>
      <c r="FU1472" s="875"/>
      <c r="FV1472" s="875"/>
      <c r="FW1472" s="875"/>
      <c r="FX1472" s="875"/>
      <c r="FY1472" s="875"/>
      <c r="FZ1472" s="875"/>
      <c r="GA1472" s="875"/>
      <c r="GB1472" s="876"/>
      <c r="GC1472" s="370"/>
      <c r="GD1472" s="453"/>
      <c r="GE1472" s="453"/>
      <c r="GF1472" s="453"/>
      <c r="GG1472" s="453"/>
      <c r="GH1472" s="454"/>
      <c r="GI1472" s="453"/>
      <c r="GJ1472" s="453"/>
      <c r="GK1472" s="453"/>
      <c r="GL1472" s="453"/>
      <c r="GM1472" s="453"/>
      <c r="GN1472" s="453"/>
      <c r="GO1472" s="453"/>
      <c r="GP1472" s="453"/>
      <c r="GQ1472" s="453"/>
      <c r="GR1472" s="453"/>
      <c r="GS1472" s="561"/>
      <c r="GT1472" s="475"/>
      <c r="GU1472" s="472"/>
      <c r="GV1472" s="453"/>
      <c r="GW1472" s="453"/>
      <c r="GX1472" s="869"/>
      <c r="GY1472" s="870"/>
      <c r="GZ1472" s="867"/>
      <c r="HA1472" s="868"/>
      <c r="HB1472" s="473"/>
      <c r="HC1472" s="869"/>
      <c r="HD1472" s="870"/>
      <c r="HE1472" s="867"/>
      <c r="HF1472" s="868"/>
      <c r="HG1472" s="473"/>
      <c r="HH1472" s="867"/>
      <c r="HI1472" s="868"/>
      <c r="HJ1472" s="867"/>
      <c r="HK1472" s="868"/>
      <c r="HL1472" s="370"/>
      <c r="HM1472" s="865"/>
      <c r="HN1472" s="866"/>
      <c r="HO1472" s="865"/>
      <c r="HP1472" s="866"/>
      <c r="HQ1472" s="865"/>
      <c r="HR1472" s="866"/>
      <c r="HS1472" s="867"/>
      <c r="HT1472" s="868"/>
      <c r="HU1472" s="489"/>
      <c r="HV1472" s="865"/>
      <c r="HW1472" s="866"/>
    </row>
    <row r="1473" spans="25:231" ht="15" customHeight="1">
      <c r="Y1473" s="332"/>
      <c r="Z1473" s="332"/>
      <c r="AA1473" s="332"/>
      <c r="AB1473" s="332"/>
      <c r="AC1473" s="332"/>
      <c r="AD1473" s="332"/>
      <c r="AE1473" s="332"/>
      <c r="AF1473" s="332"/>
      <c r="AG1473" s="332"/>
      <c r="AH1473" s="332"/>
      <c r="AI1473" s="332"/>
      <c r="AJ1473" s="332"/>
      <c r="AK1473" s="332"/>
      <c r="AL1473" s="332"/>
      <c r="AM1473" s="332"/>
      <c r="AN1473" s="332"/>
      <c r="AO1473" s="332"/>
      <c r="AP1473" s="332"/>
      <c r="AQ1473" s="332"/>
      <c r="AR1473" s="332"/>
      <c r="AS1473" s="332"/>
      <c r="AT1473" s="332"/>
      <c r="AU1473" s="332"/>
      <c r="AV1473" s="332"/>
      <c r="AW1473" s="332"/>
      <c r="AX1473" s="332"/>
      <c r="AY1473" s="332"/>
      <c r="AZ1473" s="332"/>
      <c r="BA1473" s="332"/>
      <c r="BB1473" s="332"/>
      <c r="BC1473" s="332"/>
      <c r="BD1473" s="332"/>
      <c r="BE1473" s="332"/>
      <c r="BF1473" s="332"/>
      <c r="BG1473" s="332"/>
      <c r="BH1473" s="332"/>
      <c r="BI1473" s="332"/>
      <c r="BJ1473" s="332"/>
      <c r="BK1473" s="332"/>
      <c r="BL1473" s="332"/>
      <c r="BM1473" s="332"/>
      <c r="BN1473" s="332"/>
      <c r="BO1473" s="332"/>
      <c r="BP1473" s="332"/>
      <c r="BQ1473" s="332"/>
      <c r="BR1473" s="332"/>
      <c r="BS1473" s="332"/>
      <c r="BT1473" s="332"/>
      <c r="BU1473" s="332"/>
      <c r="BV1473" s="332"/>
      <c r="BW1473" s="332"/>
      <c r="BX1473" s="332"/>
      <c r="BY1473" s="332"/>
      <c r="BZ1473" s="332"/>
      <c r="CA1473" s="332"/>
      <c r="CB1473" s="332"/>
      <c r="CC1473" s="332"/>
      <c r="CD1473" s="332"/>
      <c r="CE1473" s="332"/>
      <c r="CF1473" s="332"/>
      <c r="CG1473" s="332"/>
      <c r="CH1473" s="332"/>
      <c r="CI1473" s="332"/>
      <c r="CJ1473" s="332"/>
      <c r="CK1473" s="332"/>
      <c r="CL1473" s="332"/>
      <c r="CM1473" s="332"/>
      <c r="CN1473" s="332"/>
      <c r="CO1473" s="332"/>
      <c r="CP1473" s="332"/>
      <c r="CQ1473" s="332"/>
      <c r="CR1473" s="332"/>
      <c r="CS1473" s="332"/>
      <c r="CT1473" s="332"/>
      <c r="CU1473" s="332"/>
      <c r="CV1473" s="332"/>
      <c r="CW1473" s="332"/>
      <c r="CX1473" s="332"/>
      <c r="CY1473" s="332"/>
      <c r="CZ1473" s="332"/>
      <c r="DA1473" s="332"/>
      <c r="DB1473" s="332"/>
      <c r="DC1473" s="332"/>
      <c r="DD1473" s="332"/>
      <c r="DE1473" s="332"/>
      <c r="DF1473" s="332"/>
      <c r="DG1473" s="332"/>
      <c r="DH1473" s="332"/>
      <c r="DI1473" s="332"/>
      <c r="DJ1473" s="332"/>
      <c r="DK1473" s="332"/>
      <c r="DL1473" s="332"/>
      <c r="DM1473" s="332"/>
      <c r="DN1473" s="332"/>
      <c r="DO1473" s="332"/>
      <c r="DP1473" s="332"/>
      <c r="DQ1473" s="332"/>
      <c r="DR1473" s="332"/>
      <c r="DS1473" s="332"/>
      <c r="DT1473" s="332"/>
      <c r="DU1473" s="453"/>
      <c r="DV1473" s="453"/>
      <c r="DW1473" s="453"/>
      <c r="DX1473" s="453"/>
      <c r="DY1473" s="453"/>
      <c r="DZ1473" s="453"/>
      <c r="EA1473" s="453"/>
      <c r="EB1473" s="453"/>
      <c r="EC1473" s="453"/>
      <c r="ED1473" s="453"/>
      <c r="EE1473" s="453"/>
      <c r="EF1473" s="453"/>
      <c r="EG1473" s="453"/>
      <c r="EH1473" s="453"/>
      <c r="EI1473" s="453"/>
      <c r="EJ1473" s="453"/>
      <c r="EK1473" s="453"/>
      <c r="EL1473" s="453"/>
      <c r="EM1473" s="483">
        <f t="shared" si="267"/>
        <v>1164</v>
      </c>
      <c r="EN1473" s="485"/>
      <c r="EO1473" s="458"/>
      <c r="EP1473" s="467"/>
      <c r="EQ1473" s="457"/>
      <c r="ER1473" s="808"/>
      <c r="ES1473" s="881">
        <f t="shared" si="268"/>
        <v>0</v>
      </c>
      <c r="ET1473" s="882"/>
      <c r="EU1473" s="883"/>
      <c r="EV1473" s="884">
        <f t="shared" si="269"/>
        <v>0</v>
      </c>
      <c r="EW1473" s="885"/>
      <c r="EX1473" s="885"/>
      <c r="EY1473" s="885"/>
      <c r="EZ1473" s="885"/>
      <c r="FA1473" s="885"/>
      <c r="FB1473" s="885"/>
      <c r="FC1473" s="885"/>
      <c r="FD1473" s="886"/>
      <c r="FE1473" s="877"/>
      <c r="FF1473" s="877"/>
      <c r="FG1473" s="877"/>
      <c r="FH1473" s="877"/>
      <c r="FI1473" s="877"/>
      <c r="FJ1473" s="877"/>
      <c r="FK1473" s="877"/>
      <c r="FL1473" s="874"/>
      <c r="FM1473" s="875"/>
      <c r="FN1473" s="875"/>
      <c r="FO1473" s="875"/>
      <c r="FP1473" s="875"/>
      <c r="FQ1473" s="875"/>
      <c r="FR1473" s="875"/>
      <c r="FS1473" s="875"/>
      <c r="FT1473" s="875"/>
      <c r="FU1473" s="875"/>
      <c r="FV1473" s="875"/>
      <c r="FW1473" s="875"/>
      <c r="FX1473" s="875"/>
      <c r="FY1473" s="875"/>
      <c r="FZ1473" s="875"/>
      <c r="GA1473" s="875"/>
      <c r="GB1473" s="876"/>
      <c r="GC1473" s="370"/>
      <c r="GD1473" s="453"/>
      <c r="GE1473" s="453"/>
      <c r="GF1473" s="453"/>
      <c r="GG1473" s="453"/>
      <c r="GH1473" s="454"/>
      <c r="GI1473" s="453"/>
      <c r="GJ1473" s="453"/>
      <c r="GK1473" s="453"/>
      <c r="GL1473" s="453"/>
      <c r="GM1473" s="453"/>
      <c r="GN1473" s="453"/>
      <c r="GO1473" s="453"/>
      <c r="GP1473" s="453"/>
      <c r="GQ1473" s="453"/>
      <c r="GR1473" s="453"/>
      <c r="GS1473" s="561"/>
      <c r="GT1473" s="475"/>
      <c r="GU1473" s="472"/>
      <c r="GV1473" s="453"/>
      <c r="GW1473" s="453"/>
      <c r="GX1473" s="869"/>
      <c r="GY1473" s="870"/>
      <c r="GZ1473" s="867"/>
      <c r="HA1473" s="868"/>
      <c r="HB1473" s="473"/>
      <c r="HC1473" s="869"/>
      <c r="HD1473" s="870"/>
      <c r="HE1473" s="867"/>
      <c r="HF1473" s="868"/>
      <c r="HG1473" s="473"/>
      <c r="HH1473" s="867"/>
      <c r="HI1473" s="868"/>
      <c r="HJ1473" s="867"/>
      <c r="HK1473" s="868"/>
      <c r="HL1473" s="370"/>
      <c r="HM1473" s="865"/>
      <c r="HN1473" s="866"/>
      <c r="HO1473" s="865"/>
      <c r="HP1473" s="866"/>
      <c r="HQ1473" s="865"/>
      <c r="HR1473" s="866"/>
      <c r="HS1473" s="867"/>
      <c r="HT1473" s="868"/>
      <c r="HU1473" s="489"/>
      <c r="HV1473" s="865"/>
      <c r="HW1473" s="866"/>
    </row>
    <row r="1474" spans="25:231" ht="15" customHeight="1">
      <c r="Y1474" s="332"/>
      <c r="Z1474" s="332"/>
      <c r="AA1474" s="332"/>
      <c r="AB1474" s="332"/>
      <c r="AC1474" s="332"/>
      <c r="AD1474" s="332"/>
      <c r="AE1474" s="332"/>
      <c r="AF1474" s="332"/>
      <c r="AG1474" s="332"/>
      <c r="AH1474" s="332"/>
      <c r="AI1474" s="332"/>
      <c r="AJ1474" s="332"/>
      <c r="AK1474" s="332"/>
      <c r="AL1474" s="332"/>
      <c r="AM1474" s="332"/>
      <c r="AN1474" s="332"/>
      <c r="AO1474" s="332"/>
      <c r="AP1474" s="332"/>
      <c r="AQ1474" s="332"/>
      <c r="AR1474" s="332"/>
      <c r="AS1474" s="332"/>
      <c r="AT1474" s="332"/>
      <c r="AU1474" s="332"/>
      <c r="AV1474" s="332"/>
      <c r="AW1474" s="332"/>
      <c r="AX1474" s="332"/>
      <c r="AY1474" s="332"/>
      <c r="AZ1474" s="332"/>
      <c r="BA1474" s="332"/>
      <c r="BB1474" s="332"/>
      <c r="BC1474" s="332"/>
      <c r="BD1474" s="332"/>
      <c r="BE1474" s="332"/>
      <c r="BF1474" s="332"/>
      <c r="BG1474" s="332"/>
      <c r="BH1474" s="332"/>
      <c r="BI1474" s="332"/>
      <c r="BJ1474" s="332"/>
      <c r="BK1474" s="332"/>
      <c r="BL1474" s="332"/>
      <c r="BM1474" s="332"/>
      <c r="BN1474" s="332"/>
      <c r="BO1474" s="332"/>
      <c r="BP1474" s="332"/>
      <c r="BQ1474" s="332"/>
      <c r="BR1474" s="332"/>
      <c r="BS1474" s="332"/>
      <c r="BT1474" s="332"/>
      <c r="BU1474" s="332"/>
      <c r="BV1474" s="332"/>
      <c r="BW1474" s="332"/>
      <c r="BX1474" s="332"/>
      <c r="BY1474" s="332"/>
      <c r="BZ1474" s="332"/>
      <c r="CA1474" s="332"/>
      <c r="CB1474" s="332"/>
      <c r="CC1474" s="332"/>
      <c r="CD1474" s="332"/>
      <c r="CE1474" s="332"/>
      <c r="CF1474" s="332"/>
      <c r="CG1474" s="332"/>
      <c r="CH1474" s="332"/>
      <c r="CI1474" s="332"/>
      <c r="CJ1474" s="332"/>
      <c r="CK1474" s="332"/>
      <c r="CL1474" s="332"/>
      <c r="CM1474" s="332"/>
      <c r="CN1474" s="332"/>
      <c r="CO1474" s="332"/>
      <c r="CP1474" s="332"/>
      <c r="CQ1474" s="332"/>
      <c r="CR1474" s="332"/>
      <c r="CS1474" s="332"/>
      <c r="CT1474" s="332"/>
      <c r="CU1474" s="332"/>
      <c r="CV1474" s="332"/>
      <c r="CW1474" s="332"/>
      <c r="CX1474" s="332"/>
      <c r="CY1474" s="332"/>
      <c r="CZ1474" s="332"/>
      <c r="DA1474" s="332"/>
      <c r="DB1474" s="332"/>
      <c r="DC1474" s="332"/>
      <c r="DD1474" s="332"/>
      <c r="DE1474" s="332"/>
      <c r="DF1474" s="332"/>
      <c r="DG1474" s="332"/>
      <c r="DH1474" s="332"/>
      <c r="DI1474" s="332"/>
      <c r="DJ1474" s="332"/>
      <c r="DK1474" s="332"/>
      <c r="DL1474" s="332"/>
      <c r="DM1474" s="332"/>
      <c r="DN1474" s="332"/>
      <c r="DO1474" s="332"/>
      <c r="DP1474" s="332"/>
      <c r="DQ1474" s="332"/>
      <c r="DR1474" s="332"/>
      <c r="DS1474" s="332"/>
      <c r="DT1474" s="332"/>
      <c r="DU1474" s="453"/>
      <c r="DV1474" s="453"/>
      <c r="DW1474" s="453"/>
      <c r="DX1474" s="453"/>
      <c r="DY1474" s="453"/>
      <c r="DZ1474" s="453"/>
      <c r="EA1474" s="453"/>
      <c r="EB1474" s="453"/>
      <c r="EC1474" s="453"/>
      <c r="ED1474" s="453"/>
      <c r="EE1474" s="453"/>
      <c r="EF1474" s="453"/>
      <c r="EG1474" s="453"/>
      <c r="EH1474" s="453"/>
      <c r="EI1474" s="453"/>
      <c r="EJ1474" s="453"/>
      <c r="EK1474" s="453"/>
      <c r="EL1474" s="453"/>
      <c r="EM1474" s="483">
        <f t="shared" si="267"/>
        <v>1165</v>
      </c>
      <c r="EN1474" s="485"/>
      <c r="EO1474" s="458"/>
      <c r="EP1474" s="467"/>
      <c r="EQ1474" s="457"/>
      <c r="ER1474" s="808"/>
      <c r="ES1474" s="881">
        <f t="shared" si="268"/>
        <v>0</v>
      </c>
      <c r="ET1474" s="882"/>
      <c r="EU1474" s="883"/>
      <c r="EV1474" s="884">
        <f t="shared" si="269"/>
        <v>0</v>
      </c>
      <c r="EW1474" s="885"/>
      <c r="EX1474" s="885"/>
      <c r="EY1474" s="885"/>
      <c r="EZ1474" s="885"/>
      <c r="FA1474" s="885"/>
      <c r="FB1474" s="885"/>
      <c r="FC1474" s="885"/>
      <c r="FD1474" s="886"/>
      <c r="FE1474" s="877"/>
      <c r="FF1474" s="877"/>
      <c r="FG1474" s="877"/>
      <c r="FH1474" s="877"/>
      <c r="FI1474" s="877"/>
      <c r="FJ1474" s="877"/>
      <c r="FK1474" s="877"/>
      <c r="FL1474" s="874"/>
      <c r="FM1474" s="875"/>
      <c r="FN1474" s="875"/>
      <c r="FO1474" s="875"/>
      <c r="FP1474" s="875"/>
      <c r="FQ1474" s="875"/>
      <c r="FR1474" s="875"/>
      <c r="FS1474" s="875"/>
      <c r="FT1474" s="875"/>
      <c r="FU1474" s="875"/>
      <c r="FV1474" s="875"/>
      <c r="FW1474" s="875"/>
      <c r="FX1474" s="875"/>
      <c r="FY1474" s="875"/>
      <c r="FZ1474" s="875"/>
      <c r="GA1474" s="875"/>
      <c r="GB1474" s="876"/>
      <c r="GC1474" s="370"/>
      <c r="GD1474" s="453"/>
      <c r="GE1474" s="453"/>
      <c r="GF1474" s="453"/>
      <c r="GG1474" s="453"/>
      <c r="GH1474" s="454"/>
      <c r="GI1474" s="453"/>
      <c r="GJ1474" s="453"/>
      <c r="GK1474" s="453"/>
      <c r="GL1474" s="453"/>
      <c r="GM1474" s="453"/>
      <c r="GN1474" s="453"/>
      <c r="GO1474" s="453"/>
      <c r="GP1474" s="453"/>
      <c r="GQ1474" s="453"/>
      <c r="GR1474" s="453"/>
      <c r="GS1474" s="561"/>
      <c r="GT1474" s="475"/>
      <c r="GU1474" s="472"/>
      <c r="GV1474" s="453"/>
      <c r="GW1474" s="453"/>
      <c r="GX1474" s="869"/>
      <c r="GY1474" s="870"/>
      <c r="GZ1474" s="867"/>
      <c r="HA1474" s="868"/>
      <c r="HB1474" s="473"/>
      <c r="HC1474" s="869"/>
      <c r="HD1474" s="870"/>
      <c r="HE1474" s="867"/>
      <c r="HF1474" s="868"/>
      <c r="HG1474" s="473"/>
      <c r="HH1474" s="867"/>
      <c r="HI1474" s="868"/>
      <c r="HJ1474" s="867"/>
      <c r="HK1474" s="868"/>
      <c r="HL1474" s="370"/>
      <c r="HM1474" s="865"/>
      <c r="HN1474" s="866"/>
      <c r="HO1474" s="865"/>
      <c r="HP1474" s="866"/>
      <c r="HQ1474" s="865"/>
      <c r="HR1474" s="866"/>
      <c r="HS1474" s="867"/>
      <c r="HT1474" s="868"/>
      <c r="HU1474" s="489"/>
      <c r="HV1474" s="865"/>
      <c r="HW1474" s="866"/>
    </row>
    <row r="1475" spans="25:231" ht="15" customHeight="1">
      <c r="Y1475" s="332"/>
      <c r="Z1475" s="332"/>
      <c r="AA1475" s="332"/>
      <c r="AB1475" s="332"/>
      <c r="AC1475" s="332"/>
      <c r="AD1475" s="332"/>
      <c r="AE1475" s="332"/>
      <c r="AF1475" s="332"/>
      <c r="AG1475" s="332"/>
      <c r="AH1475" s="332"/>
      <c r="AI1475" s="332"/>
      <c r="AJ1475" s="332"/>
      <c r="AK1475" s="332"/>
      <c r="AL1475" s="332"/>
      <c r="AM1475" s="332"/>
      <c r="AN1475" s="332"/>
      <c r="AO1475" s="332"/>
      <c r="AP1475" s="332"/>
      <c r="AQ1475" s="332"/>
      <c r="AR1475" s="332"/>
      <c r="AS1475" s="332"/>
      <c r="AT1475" s="332"/>
      <c r="AU1475" s="332"/>
      <c r="AV1475" s="332"/>
      <c r="AW1475" s="332"/>
      <c r="AX1475" s="332"/>
      <c r="AY1475" s="332"/>
      <c r="AZ1475" s="332"/>
      <c r="BA1475" s="332"/>
      <c r="BB1475" s="332"/>
      <c r="BC1475" s="332"/>
      <c r="BD1475" s="332"/>
      <c r="BE1475" s="332"/>
      <c r="BF1475" s="332"/>
      <c r="BG1475" s="332"/>
      <c r="BH1475" s="332"/>
      <c r="BI1475" s="332"/>
      <c r="BJ1475" s="332"/>
      <c r="BK1475" s="332"/>
      <c r="BL1475" s="332"/>
      <c r="BM1475" s="332"/>
      <c r="BN1475" s="332"/>
      <c r="BO1475" s="332"/>
      <c r="BP1475" s="332"/>
      <c r="BQ1475" s="332"/>
      <c r="BR1475" s="332"/>
      <c r="BS1475" s="332"/>
      <c r="BT1475" s="332"/>
      <c r="BU1475" s="332"/>
      <c r="BV1475" s="332"/>
      <c r="BW1475" s="332"/>
      <c r="BX1475" s="332"/>
      <c r="BY1475" s="332"/>
      <c r="BZ1475" s="332"/>
      <c r="CA1475" s="332"/>
      <c r="CB1475" s="332"/>
      <c r="CC1475" s="332"/>
      <c r="CD1475" s="332"/>
      <c r="CE1475" s="332"/>
      <c r="CF1475" s="332"/>
      <c r="CG1475" s="332"/>
      <c r="CH1475" s="332"/>
      <c r="CI1475" s="332"/>
      <c r="CJ1475" s="332"/>
      <c r="CK1475" s="332"/>
      <c r="CL1475" s="332"/>
      <c r="CM1475" s="332"/>
      <c r="CN1475" s="332"/>
      <c r="CO1475" s="332"/>
      <c r="CP1475" s="332"/>
      <c r="CQ1475" s="332"/>
      <c r="CR1475" s="332"/>
      <c r="CS1475" s="332"/>
      <c r="CT1475" s="332"/>
      <c r="CU1475" s="332"/>
      <c r="CV1475" s="332"/>
      <c r="CW1475" s="332"/>
      <c r="CX1475" s="332"/>
      <c r="CY1475" s="332"/>
      <c r="CZ1475" s="332"/>
      <c r="DA1475" s="332"/>
      <c r="DB1475" s="332"/>
      <c r="DC1475" s="332"/>
      <c r="DD1475" s="332"/>
      <c r="DE1475" s="332"/>
      <c r="DF1475" s="332"/>
      <c r="DG1475" s="332"/>
      <c r="DH1475" s="332"/>
      <c r="DI1475" s="332"/>
      <c r="DJ1475" s="332"/>
      <c r="DK1475" s="332"/>
      <c r="DL1475" s="332"/>
      <c r="DM1475" s="332"/>
      <c r="DN1475" s="332"/>
      <c r="DO1475" s="332"/>
      <c r="DP1475" s="332"/>
      <c r="DQ1475" s="332"/>
      <c r="DR1475" s="332"/>
      <c r="DS1475" s="332"/>
      <c r="DT1475" s="332"/>
      <c r="DU1475" s="453"/>
      <c r="DV1475" s="453"/>
      <c r="DW1475" s="453"/>
      <c r="DX1475" s="453"/>
      <c r="DY1475" s="453"/>
      <c r="DZ1475" s="453"/>
      <c r="EA1475" s="453"/>
      <c r="EB1475" s="453"/>
      <c r="EC1475" s="453"/>
      <c r="ED1475" s="453"/>
      <c r="EE1475" s="453"/>
      <c r="EF1475" s="453"/>
      <c r="EG1475" s="453"/>
      <c r="EH1475" s="453"/>
      <c r="EI1475" s="453"/>
      <c r="EJ1475" s="453"/>
      <c r="EK1475" s="453"/>
      <c r="EL1475" s="453"/>
      <c r="EM1475" s="483">
        <f t="shared" si="267"/>
        <v>1166</v>
      </c>
      <c r="EN1475" s="485"/>
      <c r="EO1475" s="458"/>
      <c r="EP1475" s="467"/>
      <c r="EQ1475" s="457"/>
      <c r="ER1475" s="808"/>
      <c r="ES1475" s="881">
        <f t="shared" si="268"/>
        <v>0</v>
      </c>
      <c r="ET1475" s="882"/>
      <c r="EU1475" s="883"/>
      <c r="EV1475" s="884">
        <f t="shared" si="269"/>
        <v>0</v>
      </c>
      <c r="EW1475" s="885"/>
      <c r="EX1475" s="885"/>
      <c r="EY1475" s="885"/>
      <c r="EZ1475" s="885"/>
      <c r="FA1475" s="885"/>
      <c r="FB1475" s="885"/>
      <c r="FC1475" s="885"/>
      <c r="FD1475" s="886"/>
      <c r="FE1475" s="877"/>
      <c r="FF1475" s="877"/>
      <c r="FG1475" s="877"/>
      <c r="FH1475" s="877"/>
      <c r="FI1475" s="877"/>
      <c r="FJ1475" s="877"/>
      <c r="FK1475" s="877"/>
      <c r="FL1475" s="874"/>
      <c r="FM1475" s="875"/>
      <c r="FN1475" s="875"/>
      <c r="FO1475" s="875"/>
      <c r="FP1475" s="875"/>
      <c r="FQ1475" s="875"/>
      <c r="FR1475" s="875"/>
      <c r="FS1475" s="875"/>
      <c r="FT1475" s="875"/>
      <c r="FU1475" s="875"/>
      <c r="FV1475" s="875"/>
      <c r="FW1475" s="875"/>
      <c r="FX1475" s="875"/>
      <c r="FY1475" s="875"/>
      <c r="FZ1475" s="875"/>
      <c r="GA1475" s="875"/>
      <c r="GB1475" s="876"/>
      <c r="GC1475" s="370"/>
      <c r="GD1475" s="453"/>
      <c r="GE1475" s="453"/>
      <c r="GF1475" s="453"/>
      <c r="GG1475" s="453"/>
      <c r="GH1475" s="454"/>
      <c r="GI1475" s="453"/>
      <c r="GJ1475" s="453"/>
      <c r="GK1475" s="453"/>
      <c r="GL1475" s="453"/>
      <c r="GM1475" s="453"/>
      <c r="GN1475" s="453"/>
      <c r="GO1475" s="453"/>
      <c r="GP1475" s="453"/>
      <c r="GQ1475" s="453"/>
      <c r="GR1475" s="453"/>
      <c r="GS1475" s="561"/>
      <c r="GT1475" s="475"/>
      <c r="GU1475" s="472"/>
      <c r="GV1475" s="453"/>
      <c r="GW1475" s="453"/>
      <c r="GX1475" s="869"/>
      <c r="GY1475" s="870"/>
      <c r="GZ1475" s="867"/>
      <c r="HA1475" s="868"/>
      <c r="HB1475" s="473"/>
      <c r="HC1475" s="869"/>
      <c r="HD1475" s="870"/>
      <c r="HE1475" s="867"/>
      <c r="HF1475" s="868"/>
      <c r="HG1475" s="473"/>
      <c r="HH1475" s="867"/>
      <c r="HI1475" s="868"/>
      <c r="HJ1475" s="867"/>
      <c r="HK1475" s="868"/>
      <c r="HL1475" s="370"/>
      <c r="HM1475" s="865"/>
      <c r="HN1475" s="866"/>
      <c r="HO1475" s="865"/>
      <c r="HP1475" s="866"/>
      <c r="HQ1475" s="865"/>
      <c r="HR1475" s="866"/>
      <c r="HS1475" s="867"/>
      <c r="HT1475" s="868"/>
      <c r="HU1475" s="489"/>
      <c r="HV1475" s="865"/>
      <c r="HW1475" s="866"/>
    </row>
    <row r="1476" spans="25:231" ht="15" customHeight="1">
      <c r="Y1476" s="332"/>
      <c r="Z1476" s="332"/>
      <c r="AA1476" s="332"/>
      <c r="AB1476" s="332"/>
      <c r="AC1476" s="332"/>
      <c r="AD1476" s="332"/>
      <c r="AE1476" s="332"/>
      <c r="AF1476" s="332"/>
      <c r="AG1476" s="332"/>
      <c r="AH1476" s="332"/>
      <c r="AI1476" s="332"/>
      <c r="AJ1476" s="332"/>
      <c r="AK1476" s="332"/>
      <c r="AL1476" s="332"/>
      <c r="AM1476" s="332"/>
      <c r="AN1476" s="332"/>
      <c r="AO1476" s="332"/>
      <c r="AP1476" s="332"/>
      <c r="AQ1476" s="332"/>
      <c r="AR1476" s="332"/>
      <c r="AS1476" s="332"/>
      <c r="AT1476" s="332"/>
      <c r="AU1476" s="332"/>
      <c r="AV1476" s="332"/>
      <c r="AW1476" s="332"/>
      <c r="AX1476" s="332"/>
      <c r="AY1476" s="332"/>
      <c r="AZ1476" s="332"/>
      <c r="BA1476" s="332"/>
      <c r="BB1476" s="332"/>
      <c r="BC1476" s="332"/>
      <c r="BD1476" s="332"/>
      <c r="BE1476" s="332"/>
      <c r="BF1476" s="332"/>
      <c r="BG1476" s="332"/>
      <c r="BH1476" s="332"/>
      <c r="BI1476" s="332"/>
      <c r="BJ1476" s="332"/>
      <c r="BK1476" s="332"/>
      <c r="BL1476" s="332"/>
      <c r="BM1476" s="332"/>
      <c r="BN1476" s="332"/>
      <c r="BO1476" s="332"/>
      <c r="BP1476" s="332"/>
      <c r="BQ1476" s="332"/>
      <c r="BR1476" s="332"/>
      <c r="BS1476" s="332"/>
      <c r="BT1476" s="332"/>
      <c r="BU1476" s="332"/>
      <c r="BV1476" s="332"/>
      <c r="BW1476" s="332"/>
      <c r="BX1476" s="332"/>
      <c r="BY1476" s="332"/>
      <c r="BZ1476" s="332"/>
      <c r="CA1476" s="332"/>
      <c r="CB1476" s="332"/>
      <c r="CC1476" s="332"/>
      <c r="CD1476" s="332"/>
      <c r="CE1476" s="332"/>
      <c r="CF1476" s="332"/>
      <c r="CG1476" s="332"/>
      <c r="CH1476" s="332"/>
      <c r="CI1476" s="332"/>
      <c r="CJ1476" s="332"/>
      <c r="CK1476" s="332"/>
      <c r="CL1476" s="332"/>
      <c r="CM1476" s="332"/>
      <c r="CN1476" s="332"/>
      <c r="CO1476" s="332"/>
      <c r="CP1476" s="332"/>
      <c r="CQ1476" s="332"/>
      <c r="CR1476" s="332"/>
      <c r="CS1476" s="332"/>
      <c r="CT1476" s="332"/>
      <c r="CU1476" s="332"/>
      <c r="CV1476" s="332"/>
      <c r="CW1476" s="332"/>
      <c r="CX1476" s="332"/>
      <c r="CY1476" s="332"/>
      <c r="CZ1476" s="332"/>
      <c r="DA1476" s="332"/>
      <c r="DB1476" s="332"/>
      <c r="DC1476" s="332"/>
      <c r="DD1476" s="332"/>
      <c r="DE1476" s="332"/>
      <c r="DF1476" s="332"/>
      <c r="DG1476" s="332"/>
      <c r="DH1476" s="332"/>
      <c r="DI1476" s="332"/>
      <c r="DJ1476" s="332"/>
      <c r="DK1476" s="332"/>
      <c r="DL1476" s="332"/>
      <c r="DM1476" s="332"/>
      <c r="DN1476" s="332"/>
      <c r="DO1476" s="332"/>
      <c r="DP1476" s="332"/>
      <c r="DQ1476" s="332"/>
      <c r="DR1476" s="332"/>
      <c r="DS1476" s="332"/>
      <c r="DT1476" s="332"/>
      <c r="DU1476" s="453"/>
      <c r="DV1476" s="453"/>
      <c r="DW1476" s="453"/>
      <c r="DX1476" s="453"/>
      <c r="DY1476" s="453"/>
      <c r="DZ1476" s="453"/>
      <c r="EA1476" s="453"/>
      <c r="EB1476" s="453"/>
      <c r="EC1476" s="453"/>
      <c r="ED1476" s="453"/>
      <c r="EE1476" s="453"/>
      <c r="EF1476" s="453"/>
      <c r="EG1476" s="453"/>
      <c r="EH1476" s="453"/>
      <c r="EI1476" s="453"/>
      <c r="EJ1476" s="453"/>
      <c r="EK1476" s="453"/>
      <c r="EL1476" s="453"/>
      <c r="EM1476" s="483">
        <f t="shared" si="267"/>
        <v>1167</v>
      </c>
      <c r="EN1476" s="485"/>
      <c r="EO1476" s="458"/>
      <c r="EP1476" s="467"/>
      <c r="EQ1476" s="457"/>
      <c r="ER1476" s="808"/>
      <c r="ES1476" s="881">
        <f t="shared" si="268"/>
        <v>0</v>
      </c>
      <c r="ET1476" s="882"/>
      <c r="EU1476" s="883"/>
      <c r="EV1476" s="884">
        <f t="shared" si="269"/>
        <v>0</v>
      </c>
      <c r="EW1476" s="885"/>
      <c r="EX1476" s="885"/>
      <c r="EY1476" s="885"/>
      <c r="EZ1476" s="885"/>
      <c r="FA1476" s="885"/>
      <c r="FB1476" s="885"/>
      <c r="FC1476" s="885"/>
      <c r="FD1476" s="886"/>
      <c r="FE1476" s="877"/>
      <c r="FF1476" s="877"/>
      <c r="FG1476" s="877"/>
      <c r="FH1476" s="877"/>
      <c r="FI1476" s="877"/>
      <c r="FJ1476" s="877"/>
      <c r="FK1476" s="877"/>
      <c r="FL1476" s="874"/>
      <c r="FM1476" s="875"/>
      <c r="FN1476" s="875"/>
      <c r="FO1476" s="875"/>
      <c r="FP1476" s="875"/>
      <c r="FQ1476" s="875"/>
      <c r="FR1476" s="875"/>
      <c r="FS1476" s="875"/>
      <c r="FT1476" s="875"/>
      <c r="FU1476" s="875"/>
      <c r="FV1476" s="875"/>
      <c r="FW1476" s="875"/>
      <c r="FX1476" s="875"/>
      <c r="FY1476" s="875"/>
      <c r="FZ1476" s="875"/>
      <c r="GA1476" s="875"/>
      <c r="GB1476" s="876"/>
      <c r="GC1476" s="370"/>
      <c r="GD1476" s="453"/>
      <c r="GE1476" s="453"/>
      <c r="GF1476" s="453"/>
      <c r="GG1476" s="453"/>
      <c r="GH1476" s="454"/>
      <c r="GI1476" s="453"/>
      <c r="GJ1476" s="453"/>
      <c r="GK1476" s="453"/>
      <c r="GL1476" s="453"/>
      <c r="GM1476" s="453"/>
      <c r="GN1476" s="453"/>
      <c r="GO1476" s="453"/>
      <c r="GP1476" s="453"/>
      <c r="GQ1476" s="453"/>
      <c r="GR1476" s="453"/>
      <c r="GS1476" s="561"/>
      <c r="GT1476" s="475"/>
      <c r="GU1476" s="472"/>
      <c r="GV1476" s="453"/>
      <c r="GW1476" s="453"/>
      <c r="GX1476" s="869"/>
      <c r="GY1476" s="870"/>
      <c r="GZ1476" s="867"/>
      <c r="HA1476" s="868"/>
      <c r="HB1476" s="473"/>
      <c r="HC1476" s="869"/>
      <c r="HD1476" s="870"/>
      <c r="HE1476" s="867"/>
      <c r="HF1476" s="868"/>
      <c r="HG1476" s="473"/>
      <c r="HH1476" s="867"/>
      <c r="HI1476" s="868"/>
      <c r="HJ1476" s="867"/>
      <c r="HK1476" s="868"/>
      <c r="HL1476" s="370"/>
      <c r="HM1476" s="865"/>
      <c r="HN1476" s="866"/>
      <c r="HO1476" s="865"/>
      <c r="HP1476" s="866"/>
      <c r="HQ1476" s="865"/>
      <c r="HR1476" s="866"/>
      <c r="HS1476" s="867"/>
      <c r="HT1476" s="868"/>
      <c r="HU1476" s="489"/>
      <c r="HV1476" s="865"/>
      <c r="HW1476" s="866"/>
    </row>
    <row r="1477" spans="25:231" ht="15" customHeight="1">
      <c r="Y1477" s="332"/>
      <c r="Z1477" s="332"/>
      <c r="AA1477" s="332"/>
      <c r="AB1477" s="332"/>
      <c r="AC1477" s="332"/>
      <c r="AD1477" s="332"/>
      <c r="AE1477" s="332"/>
      <c r="AF1477" s="332"/>
      <c r="AG1477" s="332"/>
      <c r="AH1477" s="332"/>
      <c r="AI1477" s="332"/>
      <c r="AJ1477" s="332"/>
      <c r="AK1477" s="332"/>
      <c r="AL1477" s="332"/>
      <c r="AM1477" s="332"/>
      <c r="AN1477" s="332"/>
      <c r="AO1477" s="332"/>
      <c r="AP1477" s="332"/>
      <c r="AQ1477" s="332"/>
      <c r="AR1477" s="332"/>
      <c r="AS1477" s="332"/>
      <c r="AT1477" s="332"/>
      <c r="AU1477" s="332"/>
      <c r="AV1477" s="332"/>
      <c r="AW1477" s="332"/>
      <c r="AX1477" s="332"/>
      <c r="AY1477" s="332"/>
      <c r="AZ1477" s="332"/>
      <c r="BA1477" s="332"/>
      <c r="BB1477" s="332"/>
      <c r="BC1477" s="332"/>
      <c r="BD1477" s="332"/>
      <c r="BE1477" s="332"/>
      <c r="BF1477" s="332"/>
      <c r="BG1477" s="332"/>
      <c r="BH1477" s="332"/>
      <c r="BI1477" s="332"/>
      <c r="BJ1477" s="332"/>
      <c r="BK1477" s="332"/>
      <c r="BL1477" s="332"/>
      <c r="BM1477" s="332"/>
      <c r="BN1477" s="332"/>
      <c r="BO1477" s="332"/>
      <c r="BP1477" s="332"/>
      <c r="BQ1477" s="332"/>
      <c r="BR1477" s="332"/>
      <c r="BS1477" s="332"/>
      <c r="BT1477" s="332"/>
      <c r="BU1477" s="332"/>
      <c r="BV1477" s="332"/>
      <c r="BW1477" s="332"/>
      <c r="BX1477" s="332"/>
      <c r="BY1477" s="332"/>
      <c r="BZ1477" s="332"/>
      <c r="CA1477" s="332"/>
      <c r="CB1477" s="332"/>
      <c r="CC1477" s="332"/>
      <c r="CD1477" s="332"/>
      <c r="CE1477" s="332"/>
      <c r="CF1477" s="332"/>
      <c r="CG1477" s="332"/>
      <c r="CH1477" s="332"/>
      <c r="CI1477" s="332"/>
      <c r="CJ1477" s="332"/>
      <c r="CK1477" s="332"/>
      <c r="CL1477" s="332"/>
      <c r="CM1477" s="332"/>
      <c r="CN1477" s="332"/>
      <c r="CO1477" s="332"/>
      <c r="CP1477" s="332"/>
      <c r="CQ1477" s="332"/>
      <c r="CR1477" s="332"/>
      <c r="CS1477" s="332"/>
      <c r="CT1477" s="332"/>
      <c r="CU1477" s="332"/>
      <c r="CV1477" s="332"/>
      <c r="CW1477" s="332"/>
      <c r="CX1477" s="332"/>
      <c r="CY1477" s="332"/>
      <c r="CZ1477" s="332"/>
      <c r="DA1477" s="332"/>
      <c r="DB1477" s="332"/>
      <c r="DC1477" s="332"/>
      <c r="DD1477" s="332"/>
      <c r="DE1477" s="332"/>
      <c r="DF1477" s="332"/>
      <c r="DG1477" s="332"/>
      <c r="DH1477" s="332"/>
      <c r="DI1477" s="332"/>
      <c r="DJ1477" s="332"/>
      <c r="DK1477" s="332"/>
      <c r="DL1477" s="332"/>
      <c r="DM1477" s="332"/>
      <c r="DN1477" s="332"/>
      <c r="DO1477" s="332"/>
      <c r="DP1477" s="332"/>
      <c r="DQ1477" s="332"/>
      <c r="DR1477" s="332"/>
      <c r="DS1477" s="332"/>
      <c r="DT1477" s="332"/>
      <c r="DU1477" s="453"/>
      <c r="DV1477" s="453"/>
      <c r="DW1477" s="453"/>
      <c r="DX1477" s="453"/>
      <c r="DY1477" s="453"/>
      <c r="DZ1477" s="453"/>
      <c r="EA1477" s="453"/>
      <c r="EB1477" s="453"/>
      <c r="EC1477" s="453"/>
      <c r="ED1477" s="453"/>
      <c r="EE1477" s="453"/>
      <c r="EF1477" s="453"/>
      <c r="EG1477" s="453"/>
      <c r="EH1477" s="453"/>
      <c r="EI1477" s="453"/>
      <c r="EJ1477" s="453"/>
      <c r="EK1477" s="453"/>
      <c r="EL1477" s="453"/>
      <c r="EM1477" s="483">
        <f t="shared" si="267"/>
        <v>1168</v>
      </c>
      <c r="EN1477" s="485"/>
      <c r="EO1477" s="458"/>
      <c r="EP1477" s="467"/>
      <c r="EQ1477" s="457"/>
      <c r="ER1477" s="808"/>
      <c r="ES1477" s="881">
        <f t="shared" si="268"/>
        <v>0</v>
      </c>
      <c r="ET1477" s="882"/>
      <c r="EU1477" s="883"/>
      <c r="EV1477" s="884">
        <f t="shared" si="269"/>
        <v>0</v>
      </c>
      <c r="EW1477" s="885"/>
      <c r="EX1477" s="885"/>
      <c r="EY1477" s="885"/>
      <c r="EZ1477" s="885"/>
      <c r="FA1477" s="885"/>
      <c r="FB1477" s="885"/>
      <c r="FC1477" s="885"/>
      <c r="FD1477" s="886"/>
      <c r="FE1477" s="877"/>
      <c r="FF1477" s="877"/>
      <c r="FG1477" s="877"/>
      <c r="FH1477" s="877"/>
      <c r="FI1477" s="877"/>
      <c r="FJ1477" s="877"/>
      <c r="FK1477" s="877"/>
      <c r="FL1477" s="874"/>
      <c r="FM1477" s="875"/>
      <c r="FN1477" s="875"/>
      <c r="FO1477" s="875"/>
      <c r="FP1477" s="875"/>
      <c r="FQ1477" s="875"/>
      <c r="FR1477" s="875"/>
      <c r="FS1477" s="875"/>
      <c r="FT1477" s="875"/>
      <c r="FU1477" s="875"/>
      <c r="FV1477" s="875"/>
      <c r="FW1477" s="875"/>
      <c r="FX1477" s="875"/>
      <c r="FY1477" s="875"/>
      <c r="FZ1477" s="875"/>
      <c r="GA1477" s="875"/>
      <c r="GB1477" s="876"/>
      <c r="GC1477" s="370"/>
      <c r="GD1477" s="453"/>
      <c r="GE1477" s="453"/>
      <c r="GF1477" s="453"/>
      <c r="GG1477" s="453"/>
      <c r="GH1477" s="454"/>
      <c r="GI1477" s="453"/>
      <c r="GJ1477" s="453"/>
      <c r="GK1477" s="453"/>
      <c r="GL1477" s="453"/>
      <c r="GM1477" s="453"/>
      <c r="GN1477" s="453"/>
      <c r="GO1477" s="453"/>
      <c r="GP1477" s="453"/>
      <c r="GQ1477" s="453"/>
      <c r="GR1477" s="453"/>
      <c r="GS1477" s="561"/>
      <c r="GT1477" s="475"/>
      <c r="GU1477" s="472"/>
      <c r="GV1477" s="453"/>
      <c r="GW1477" s="453"/>
      <c r="GX1477" s="869"/>
      <c r="GY1477" s="870"/>
      <c r="GZ1477" s="867"/>
      <c r="HA1477" s="868"/>
      <c r="HB1477" s="473"/>
      <c r="HC1477" s="869"/>
      <c r="HD1477" s="870"/>
      <c r="HE1477" s="867"/>
      <c r="HF1477" s="868"/>
      <c r="HG1477" s="473"/>
      <c r="HH1477" s="867"/>
      <c r="HI1477" s="868"/>
      <c r="HJ1477" s="867"/>
      <c r="HK1477" s="868"/>
      <c r="HL1477" s="370"/>
      <c r="HM1477" s="865"/>
      <c r="HN1477" s="866"/>
      <c r="HO1477" s="865"/>
      <c r="HP1477" s="866"/>
      <c r="HQ1477" s="865"/>
      <c r="HR1477" s="866"/>
      <c r="HS1477" s="867"/>
      <c r="HT1477" s="868"/>
      <c r="HU1477" s="489"/>
      <c r="HV1477" s="865"/>
      <c r="HW1477" s="866"/>
    </row>
    <row r="1478" spans="25:231" ht="15" customHeight="1">
      <c r="Y1478" s="332"/>
      <c r="Z1478" s="332"/>
      <c r="AA1478" s="332"/>
      <c r="AB1478" s="332"/>
      <c r="AC1478" s="332"/>
      <c r="AD1478" s="332"/>
      <c r="AE1478" s="332"/>
      <c r="AF1478" s="332"/>
      <c r="AG1478" s="332"/>
      <c r="AH1478" s="332"/>
      <c r="AI1478" s="332"/>
      <c r="AJ1478" s="332"/>
      <c r="AK1478" s="332"/>
      <c r="AL1478" s="332"/>
      <c r="AM1478" s="332"/>
      <c r="AN1478" s="332"/>
      <c r="AO1478" s="332"/>
      <c r="AP1478" s="332"/>
      <c r="AQ1478" s="332"/>
      <c r="AR1478" s="332"/>
      <c r="AS1478" s="332"/>
      <c r="AT1478" s="332"/>
      <c r="AU1478" s="332"/>
      <c r="AV1478" s="332"/>
      <c r="AW1478" s="332"/>
      <c r="AX1478" s="332"/>
      <c r="AY1478" s="332"/>
      <c r="AZ1478" s="332"/>
      <c r="BA1478" s="332"/>
      <c r="BB1478" s="332"/>
      <c r="BC1478" s="332"/>
      <c r="BD1478" s="332"/>
      <c r="BE1478" s="332"/>
      <c r="BF1478" s="332"/>
      <c r="BG1478" s="332"/>
      <c r="BH1478" s="332"/>
      <c r="BI1478" s="332"/>
      <c r="BJ1478" s="332"/>
      <c r="BK1478" s="332"/>
      <c r="BL1478" s="332"/>
      <c r="BM1478" s="332"/>
      <c r="BN1478" s="332"/>
      <c r="BO1478" s="332"/>
      <c r="BP1478" s="332"/>
      <c r="BQ1478" s="332"/>
      <c r="BR1478" s="332"/>
      <c r="BS1478" s="332"/>
      <c r="BT1478" s="332"/>
      <c r="BU1478" s="332"/>
      <c r="BV1478" s="332"/>
      <c r="BW1478" s="332"/>
      <c r="BX1478" s="332"/>
      <c r="BY1478" s="332"/>
      <c r="BZ1478" s="332"/>
      <c r="CA1478" s="332"/>
      <c r="CB1478" s="332"/>
      <c r="CC1478" s="332"/>
      <c r="CD1478" s="332"/>
      <c r="CE1478" s="332"/>
      <c r="CF1478" s="332"/>
      <c r="CG1478" s="332"/>
      <c r="CH1478" s="332"/>
      <c r="CI1478" s="332"/>
      <c r="CJ1478" s="332"/>
      <c r="CK1478" s="332"/>
      <c r="CL1478" s="332"/>
      <c r="CM1478" s="332"/>
      <c r="CN1478" s="332"/>
      <c r="CO1478" s="332"/>
      <c r="CP1478" s="332"/>
      <c r="CQ1478" s="332"/>
      <c r="CR1478" s="332"/>
      <c r="CS1478" s="332"/>
      <c r="CT1478" s="332"/>
      <c r="CU1478" s="332"/>
      <c r="CV1478" s="332"/>
      <c r="CW1478" s="332"/>
      <c r="CX1478" s="332"/>
      <c r="CY1478" s="332"/>
      <c r="CZ1478" s="332"/>
      <c r="DA1478" s="332"/>
      <c r="DB1478" s="332"/>
      <c r="DC1478" s="332"/>
      <c r="DD1478" s="332"/>
      <c r="DE1478" s="332"/>
      <c r="DF1478" s="332"/>
      <c r="DG1478" s="332"/>
      <c r="DH1478" s="332"/>
      <c r="DI1478" s="332"/>
      <c r="DJ1478" s="332"/>
      <c r="DK1478" s="332"/>
      <c r="DL1478" s="332"/>
      <c r="DM1478" s="332"/>
      <c r="DN1478" s="332"/>
      <c r="DO1478" s="332"/>
      <c r="DP1478" s="332"/>
      <c r="DQ1478" s="332"/>
      <c r="DR1478" s="332"/>
      <c r="DS1478" s="332"/>
      <c r="DT1478" s="332"/>
      <c r="DU1478" s="453"/>
      <c r="DV1478" s="453"/>
      <c r="DW1478" s="453"/>
      <c r="DX1478" s="453"/>
      <c r="DY1478" s="453"/>
      <c r="DZ1478" s="453"/>
      <c r="EA1478" s="453"/>
      <c r="EB1478" s="453"/>
      <c r="EC1478" s="453"/>
      <c r="ED1478" s="453"/>
      <c r="EE1478" s="453"/>
      <c r="EF1478" s="453"/>
      <c r="EG1478" s="453"/>
      <c r="EH1478" s="453"/>
      <c r="EI1478" s="453"/>
      <c r="EJ1478" s="453"/>
      <c r="EK1478" s="453"/>
      <c r="EL1478" s="453"/>
      <c r="EM1478" s="483">
        <f t="shared" si="267"/>
        <v>1169</v>
      </c>
      <c r="EN1478" s="485"/>
      <c r="EO1478" s="458"/>
      <c r="EP1478" s="467"/>
      <c r="EQ1478" s="457"/>
      <c r="ER1478" s="808"/>
      <c r="ES1478" s="881">
        <f t="shared" si="268"/>
        <v>0</v>
      </c>
      <c r="ET1478" s="882"/>
      <c r="EU1478" s="883"/>
      <c r="EV1478" s="884">
        <f t="shared" si="269"/>
        <v>0</v>
      </c>
      <c r="EW1478" s="885"/>
      <c r="EX1478" s="885"/>
      <c r="EY1478" s="885"/>
      <c r="EZ1478" s="885"/>
      <c r="FA1478" s="885"/>
      <c r="FB1478" s="885"/>
      <c r="FC1478" s="885"/>
      <c r="FD1478" s="886"/>
      <c r="FE1478" s="877"/>
      <c r="FF1478" s="877"/>
      <c r="FG1478" s="877"/>
      <c r="FH1478" s="877"/>
      <c r="FI1478" s="877"/>
      <c r="FJ1478" s="877"/>
      <c r="FK1478" s="877"/>
      <c r="FL1478" s="874"/>
      <c r="FM1478" s="875"/>
      <c r="FN1478" s="875"/>
      <c r="FO1478" s="875"/>
      <c r="FP1478" s="875"/>
      <c r="FQ1478" s="875"/>
      <c r="FR1478" s="875"/>
      <c r="FS1478" s="875"/>
      <c r="FT1478" s="875"/>
      <c r="FU1478" s="875"/>
      <c r="FV1478" s="875"/>
      <c r="FW1478" s="875"/>
      <c r="FX1478" s="875"/>
      <c r="FY1478" s="875"/>
      <c r="FZ1478" s="875"/>
      <c r="GA1478" s="875"/>
      <c r="GB1478" s="876"/>
      <c r="GC1478" s="370"/>
      <c r="GD1478" s="453"/>
      <c r="GE1478" s="453"/>
      <c r="GF1478" s="453"/>
      <c r="GG1478" s="453"/>
      <c r="GH1478" s="454"/>
      <c r="GI1478" s="453"/>
      <c r="GJ1478" s="453"/>
      <c r="GK1478" s="453"/>
      <c r="GL1478" s="453"/>
      <c r="GM1478" s="453"/>
      <c r="GN1478" s="453"/>
      <c r="GO1478" s="453"/>
      <c r="GP1478" s="453"/>
      <c r="GQ1478" s="453"/>
      <c r="GR1478" s="453"/>
      <c r="GS1478" s="561"/>
      <c r="GT1478" s="475"/>
      <c r="GU1478" s="472"/>
      <c r="GV1478" s="453"/>
      <c r="GW1478" s="453"/>
      <c r="GX1478" s="869"/>
      <c r="GY1478" s="870"/>
      <c r="GZ1478" s="867"/>
      <c r="HA1478" s="868"/>
      <c r="HB1478" s="473"/>
      <c r="HC1478" s="869"/>
      <c r="HD1478" s="870"/>
      <c r="HE1478" s="867"/>
      <c r="HF1478" s="868"/>
      <c r="HG1478" s="473"/>
      <c r="HH1478" s="867"/>
      <c r="HI1478" s="868"/>
      <c r="HJ1478" s="867"/>
      <c r="HK1478" s="868"/>
      <c r="HL1478" s="370"/>
      <c r="HM1478" s="865"/>
      <c r="HN1478" s="866"/>
      <c r="HO1478" s="865"/>
      <c r="HP1478" s="866"/>
      <c r="HQ1478" s="865"/>
      <c r="HR1478" s="866"/>
      <c r="HS1478" s="867"/>
      <c r="HT1478" s="868"/>
      <c r="HU1478" s="489"/>
      <c r="HV1478" s="865"/>
      <c r="HW1478" s="866"/>
    </row>
    <row r="1479" spans="25:231" ht="15" customHeight="1">
      <c r="Y1479" s="332"/>
      <c r="Z1479" s="332"/>
      <c r="AA1479" s="332"/>
      <c r="AB1479" s="332"/>
      <c r="AC1479" s="332"/>
      <c r="AD1479" s="332"/>
      <c r="AE1479" s="332"/>
      <c r="AF1479" s="332"/>
      <c r="AG1479" s="332"/>
      <c r="AH1479" s="332"/>
      <c r="AI1479" s="332"/>
      <c r="AJ1479" s="332"/>
      <c r="AK1479" s="332"/>
      <c r="AL1479" s="332"/>
      <c r="AM1479" s="332"/>
      <c r="AN1479" s="332"/>
      <c r="AO1479" s="332"/>
      <c r="AP1479" s="332"/>
      <c r="AQ1479" s="332"/>
      <c r="AR1479" s="332"/>
      <c r="AS1479" s="332"/>
      <c r="AT1479" s="332"/>
      <c r="AU1479" s="332"/>
      <c r="AV1479" s="332"/>
      <c r="AW1479" s="332"/>
      <c r="AX1479" s="332"/>
      <c r="AY1479" s="332"/>
      <c r="AZ1479" s="332"/>
      <c r="BA1479" s="332"/>
      <c r="BB1479" s="332"/>
      <c r="BC1479" s="332"/>
      <c r="BD1479" s="332"/>
      <c r="BE1479" s="332"/>
      <c r="BF1479" s="332"/>
      <c r="BG1479" s="332"/>
      <c r="BH1479" s="332"/>
      <c r="BI1479" s="332"/>
      <c r="BJ1479" s="332"/>
      <c r="BK1479" s="332"/>
      <c r="BL1479" s="332"/>
      <c r="BM1479" s="332"/>
      <c r="BN1479" s="332"/>
      <c r="BO1479" s="332"/>
      <c r="BP1479" s="332"/>
      <c r="BQ1479" s="332"/>
      <c r="BR1479" s="332"/>
      <c r="BS1479" s="332"/>
      <c r="BT1479" s="332"/>
      <c r="BU1479" s="332"/>
      <c r="BV1479" s="332"/>
      <c r="BW1479" s="332"/>
      <c r="BX1479" s="332"/>
      <c r="BY1479" s="332"/>
      <c r="BZ1479" s="332"/>
      <c r="CA1479" s="332"/>
      <c r="CB1479" s="332"/>
      <c r="CC1479" s="332"/>
      <c r="CD1479" s="332"/>
      <c r="CE1479" s="332"/>
      <c r="CF1479" s="332"/>
      <c r="CG1479" s="332"/>
      <c r="CH1479" s="332"/>
      <c r="CI1479" s="332"/>
      <c r="CJ1479" s="332"/>
      <c r="CK1479" s="332"/>
      <c r="CL1479" s="332"/>
      <c r="CM1479" s="332"/>
      <c r="CN1479" s="332"/>
      <c r="CO1479" s="332"/>
      <c r="CP1479" s="332"/>
      <c r="CQ1479" s="332"/>
      <c r="CR1479" s="332"/>
      <c r="CS1479" s="332"/>
      <c r="CT1479" s="332"/>
      <c r="CU1479" s="332"/>
      <c r="CV1479" s="332"/>
      <c r="CW1479" s="332"/>
      <c r="CX1479" s="332"/>
      <c r="CY1479" s="332"/>
      <c r="CZ1479" s="332"/>
      <c r="DA1479" s="332"/>
      <c r="DB1479" s="332"/>
      <c r="DC1479" s="332"/>
      <c r="DD1479" s="332"/>
      <c r="DE1479" s="332"/>
      <c r="DF1479" s="332"/>
      <c r="DG1479" s="332"/>
      <c r="DH1479" s="332"/>
      <c r="DI1479" s="332"/>
      <c r="DJ1479" s="332"/>
      <c r="DK1479" s="332"/>
      <c r="DL1479" s="332"/>
      <c r="DM1479" s="332"/>
      <c r="DN1479" s="332"/>
      <c r="DO1479" s="332"/>
      <c r="DP1479" s="332"/>
      <c r="DQ1479" s="332"/>
      <c r="DR1479" s="332"/>
      <c r="DS1479" s="332"/>
      <c r="DT1479" s="332"/>
      <c r="DU1479" s="453"/>
      <c r="DV1479" s="453"/>
      <c r="DW1479" s="453"/>
      <c r="DX1479" s="453"/>
      <c r="DY1479" s="453"/>
      <c r="DZ1479" s="453"/>
      <c r="EA1479" s="453"/>
      <c r="EB1479" s="453"/>
      <c r="EC1479" s="453"/>
      <c r="ED1479" s="453"/>
      <c r="EE1479" s="453"/>
      <c r="EF1479" s="453"/>
      <c r="EG1479" s="453"/>
      <c r="EH1479" s="453"/>
      <c r="EI1479" s="453"/>
      <c r="EJ1479" s="453"/>
      <c r="EK1479" s="453"/>
      <c r="EL1479" s="453"/>
      <c r="EM1479" s="483">
        <f t="shared" si="267"/>
        <v>1170</v>
      </c>
      <c r="EN1479" s="485"/>
      <c r="EO1479" s="458"/>
      <c r="EP1479" s="467"/>
      <c r="EQ1479" s="457"/>
      <c r="ER1479" s="808"/>
      <c r="ES1479" s="881">
        <f t="shared" si="268"/>
        <v>0</v>
      </c>
      <c r="ET1479" s="882"/>
      <c r="EU1479" s="883"/>
      <c r="EV1479" s="884">
        <f t="shared" si="269"/>
        <v>0</v>
      </c>
      <c r="EW1479" s="885"/>
      <c r="EX1479" s="885"/>
      <c r="EY1479" s="885"/>
      <c r="EZ1479" s="885"/>
      <c r="FA1479" s="885"/>
      <c r="FB1479" s="885"/>
      <c r="FC1479" s="885"/>
      <c r="FD1479" s="886"/>
      <c r="FE1479" s="877"/>
      <c r="FF1479" s="877"/>
      <c r="FG1479" s="877"/>
      <c r="FH1479" s="877"/>
      <c r="FI1479" s="877"/>
      <c r="FJ1479" s="877"/>
      <c r="FK1479" s="877"/>
      <c r="FL1479" s="874"/>
      <c r="FM1479" s="875"/>
      <c r="FN1479" s="875"/>
      <c r="FO1479" s="875"/>
      <c r="FP1479" s="875"/>
      <c r="FQ1479" s="875"/>
      <c r="FR1479" s="875"/>
      <c r="FS1479" s="875"/>
      <c r="FT1479" s="875"/>
      <c r="FU1479" s="875"/>
      <c r="FV1479" s="875"/>
      <c r="FW1479" s="875"/>
      <c r="FX1479" s="875"/>
      <c r="FY1479" s="875"/>
      <c r="FZ1479" s="875"/>
      <c r="GA1479" s="875"/>
      <c r="GB1479" s="876"/>
      <c r="GC1479" s="370"/>
      <c r="GD1479" s="453"/>
      <c r="GE1479" s="453"/>
      <c r="GF1479" s="453"/>
      <c r="GG1479" s="453"/>
      <c r="GH1479" s="454"/>
      <c r="GI1479" s="453"/>
      <c r="GJ1479" s="453"/>
      <c r="GK1479" s="453"/>
      <c r="GL1479" s="453"/>
      <c r="GM1479" s="453"/>
      <c r="GN1479" s="453"/>
      <c r="GO1479" s="453"/>
      <c r="GP1479" s="453"/>
      <c r="GQ1479" s="453"/>
      <c r="GR1479" s="453"/>
      <c r="GS1479" s="561"/>
      <c r="GT1479" s="475"/>
      <c r="GU1479" s="472"/>
      <c r="GV1479" s="453"/>
      <c r="GW1479" s="453"/>
      <c r="GX1479" s="869"/>
      <c r="GY1479" s="870"/>
      <c r="GZ1479" s="867"/>
      <c r="HA1479" s="868"/>
      <c r="HB1479" s="473"/>
      <c r="HC1479" s="869"/>
      <c r="HD1479" s="870"/>
      <c r="HE1479" s="867"/>
      <c r="HF1479" s="868"/>
      <c r="HG1479" s="473"/>
      <c r="HH1479" s="867"/>
      <c r="HI1479" s="868"/>
      <c r="HJ1479" s="867"/>
      <c r="HK1479" s="868"/>
      <c r="HL1479" s="370"/>
      <c r="HM1479" s="865"/>
      <c r="HN1479" s="866"/>
      <c r="HO1479" s="865"/>
      <c r="HP1479" s="866"/>
      <c r="HQ1479" s="865"/>
      <c r="HR1479" s="866"/>
      <c r="HS1479" s="867"/>
      <c r="HT1479" s="868"/>
      <c r="HU1479" s="489"/>
      <c r="HV1479" s="865"/>
      <c r="HW1479" s="866"/>
    </row>
    <row r="1480" spans="25:231" ht="15" customHeight="1">
      <c r="Y1480" s="332"/>
      <c r="Z1480" s="332"/>
      <c r="AA1480" s="332"/>
      <c r="AB1480" s="332"/>
      <c r="AC1480" s="332"/>
      <c r="AD1480" s="332"/>
      <c r="AE1480" s="332"/>
      <c r="AF1480" s="332"/>
      <c r="AG1480" s="332"/>
      <c r="AH1480" s="332"/>
      <c r="AI1480" s="332"/>
      <c r="AJ1480" s="332"/>
      <c r="AK1480" s="332"/>
      <c r="AL1480" s="332"/>
      <c r="AM1480" s="332"/>
      <c r="AN1480" s="332"/>
      <c r="AO1480" s="332"/>
      <c r="AP1480" s="332"/>
      <c r="AQ1480" s="332"/>
      <c r="AR1480" s="332"/>
      <c r="AS1480" s="332"/>
      <c r="AT1480" s="332"/>
      <c r="AU1480" s="332"/>
      <c r="AV1480" s="332"/>
      <c r="AW1480" s="332"/>
      <c r="AX1480" s="332"/>
      <c r="AY1480" s="332"/>
      <c r="AZ1480" s="332"/>
      <c r="BA1480" s="332"/>
      <c r="BB1480" s="332"/>
      <c r="BC1480" s="332"/>
      <c r="BD1480" s="332"/>
      <c r="BE1480" s="332"/>
      <c r="BF1480" s="332"/>
      <c r="BG1480" s="332"/>
      <c r="BH1480" s="332"/>
      <c r="BI1480" s="332"/>
      <c r="BJ1480" s="332"/>
      <c r="BK1480" s="332"/>
      <c r="BL1480" s="332"/>
      <c r="BM1480" s="332"/>
      <c r="BN1480" s="332"/>
      <c r="BO1480" s="332"/>
      <c r="BP1480" s="332"/>
      <c r="BQ1480" s="332"/>
      <c r="BR1480" s="332"/>
      <c r="BS1480" s="332"/>
      <c r="BT1480" s="332"/>
      <c r="BU1480" s="332"/>
      <c r="BV1480" s="332"/>
      <c r="BW1480" s="332"/>
      <c r="BX1480" s="332"/>
      <c r="BY1480" s="332"/>
      <c r="BZ1480" s="332"/>
      <c r="CA1480" s="332"/>
      <c r="CB1480" s="332"/>
      <c r="CC1480" s="332"/>
      <c r="CD1480" s="332"/>
      <c r="CE1480" s="332"/>
      <c r="CF1480" s="332"/>
      <c r="CG1480" s="332"/>
      <c r="CH1480" s="332"/>
      <c r="CI1480" s="332"/>
      <c r="CJ1480" s="332"/>
      <c r="CK1480" s="332"/>
      <c r="CL1480" s="332"/>
      <c r="CM1480" s="332"/>
      <c r="CN1480" s="332"/>
      <c r="CO1480" s="332"/>
      <c r="CP1480" s="332"/>
      <c r="CQ1480" s="332"/>
      <c r="CR1480" s="332"/>
      <c r="CS1480" s="332"/>
      <c r="CT1480" s="332"/>
      <c r="CU1480" s="332"/>
      <c r="CV1480" s="332"/>
      <c r="CW1480" s="332"/>
      <c r="CX1480" s="332"/>
      <c r="CY1480" s="332"/>
      <c r="CZ1480" s="332"/>
      <c r="DA1480" s="332"/>
      <c r="DB1480" s="332"/>
      <c r="DC1480" s="332"/>
      <c r="DD1480" s="332"/>
      <c r="DE1480" s="332"/>
      <c r="DF1480" s="332"/>
      <c r="DG1480" s="332"/>
      <c r="DH1480" s="332"/>
      <c r="DI1480" s="332"/>
      <c r="DJ1480" s="332"/>
      <c r="DK1480" s="332"/>
      <c r="DL1480" s="332"/>
      <c r="DM1480" s="332"/>
      <c r="DN1480" s="332"/>
      <c r="DO1480" s="332"/>
      <c r="DP1480" s="332"/>
      <c r="DQ1480" s="332"/>
      <c r="DR1480" s="332"/>
      <c r="DS1480" s="332"/>
      <c r="DT1480" s="332"/>
      <c r="DU1480" s="453"/>
      <c r="DV1480" s="453"/>
      <c r="DW1480" s="453"/>
      <c r="DX1480" s="453"/>
      <c r="DY1480" s="453"/>
      <c r="DZ1480" s="453"/>
      <c r="EA1480" s="453"/>
      <c r="EB1480" s="453"/>
      <c r="EC1480" s="453"/>
      <c r="ED1480" s="453"/>
      <c r="EE1480" s="453"/>
      <c r="EF1480" s="453"/>
      <c r="EG1480" s="453"/>
      <c r="EH1480" s="453"/>
      <c r="EI1480" s="453"/>
      <c r="EJ1480" s="453"/>
      <c r="EK1480" s="453"/>
      <c r="EL1480" s="453"/>
      <c r="EM1480" s="483">
        <f t="shared" si="267"/>
        <v>1171</v>
      </c>
      <c r="EN1480" s="485"/>
      <c r="EO1480" s="458"/>
      <c r="EP1480" s="467"/>
      <c r="EQ1480" s="457"/>
      <c r="ER1480" s="808"/>
      <c r="ES1480" s="881">
        <f t="shared" si="268"/>
        <v>0</v>
      </c>
      <c r="ET1480" s="882"/>
      <c r="EU1480" s="883"/>
      <c r="EV1480" s="884">
        <f t="shared" si="269"/>
        <v>0</v>
      </c>
      <c r="EW1480" s="885"/>
      <c r="EX1480" s="885"/>
      <c r="EY1480" s="885"/>
      <c r="EZ1480" s="885"/>
      <c r="FA1480" s="885"/>
      <c r="FB1480" s="885"/>
      <c r="FC1480" s="885"/>
      <c r="FD1480" s="886"/>
      <c r="FE1480" s="877"/>
      <c r="FF1480" s="877"/>
      <c r="FG1480" s="877"/>
      <c r="FH1480" s="877"/>
      <c r="FI1480" s="877"/>
      <c r="FJ1480" s="877"/>
      <c r="FK1480" s="877"/>
      <c r="FL1480" s="874"/>
      <c r="FM1480" s="875"/>
      <c r="FN1480" s="875"/>
      <c r="FO1480" s="875"/>
      <c r="FP1480" s="875"/>
      <c r="FQ1480" s="875"/>
      <c r="FR1480" s="875"/>
      <c r="FS1480" s="875"/>
      <c r="FT1480" s="875"/>
      <c r="FU1480" s="875"/>
      <c r="FV1480" s="875"/>
      <c r="FW1480" s="875"/>
      <c r="FX1480" s="875"/>
      <c r="FY1480" s="875"/>
      <c r="FZ1480" s="875"/>
      <c r="GA1480" s="875"/>
      <c r="GB1480" s="876"/>
      <c r="GC1480" s="370"/>
      <c r="GD1480" s="453"/>
      <c r="GE1480" s="453"/>
      <c r="GF1480" s="453"/>
      <c r="GG1480" s="453"/>
      <c r="GH1480" s="454"/>
      <c r="GI1480" s="453"/>
      <c r="GJ1480" s="453"/>
      <c r="GK1480" s="453"/>
      <c r="GL1480" s="453"/>
      <c r="GM1480" s="453"/>
      <c r="GN1480" s="453"/>
      <c r="GO1480" s="453"/>
      <c r="GP1480" s="453"/>
      <c r="GQ1480" s="453"/>
      <c r="GR1480" s="453"/>
      <c r="GS1480" s="561"/>
      <c r="GT1480" s="475"/>
      <c r="GU1480" s="472"/>
      <c r="GV1480" s="453"/>
      <c r="GW1480" s="453"/>
      <c r="GX1480" s="869"/>
      <c r="GY1480" s="870"/>
      <c r="GZ1480" s="867"/>
      <c r="HA1480" s="868"/>
      <c r="HB1480" s="473"/>
      <c r="HC1480" s="869"/>
      <c r="HD1480" s="870"/>
      <c r="HE1480" s="867"/>
      <c r="HF1480" s="868"/>
      <c r="HG1480" s="473"/>
      <c r="HH1480" s="867"/>
      <c r="HI1480" s="868"/>
      <c r="HJ1480" s="867"/>
      <c r="HK1480" s="868"/>
      <c r="HL1480" s="370"/>
      <c r="HM1480" s="865"/>
      <c r="HN1480" s="866"/>
      <c r="HO1480" s="865"/>
      <c r="HP1480" s="866"/>
      <c r="HQ1480" s="865"/>
      <c r="HR1480" s="866"/>
      <c r="HS1480" s="867"/>
      <c r="HT1480" s="868"/>
      <c r="HU1480" s="489"/>
      <c r="HV1480" s="865"/>
      <c r="HW1480" s="866"/>
    </row>
    <row r="1481" spans="25:231" ht="15" customHeight="1">
      <c r="Y1481" s="332"/>
      <c r="Z1481" s="332"/>
      <c r="AA1481" s="332"/>
      <c r="AB1481" s="332"/>
      <c r="AC1481" s="332"/>
      <c r="AD1481" s="332"/>
      <c r="AE1481" s="332"/>
      <c r="AF1481" s="332"/>
      <c r="AG1481" s="332"/>
      <c r="AH1481" s="332"/>
      <c r="AI1481" s="332"/>
      <c r="AJ1481" s="332"/>
      <c r="AK1481" s="332"/>
      <c r="AL1481" s="332"/>
      <c r="AM1481" s="332"/>
      <c r="AN1481" s="332"/>
      <c r="AO1481" s="332"/>
      <c r="AP1481" s="332"/>
      <c r="AQ1481" s="332"/>
      <c r="AR1481" s="332"/>
      <c r="AS1481" s="332"/>
      <c r="AT1481" s="332"/>
      <c r="AU1481" s="332"/>
      <c r="AV1481" s="332"/>
      <c r="AW1481" s="332"/>
      <c r="AX1481" s="332"/>
      <c r="AY1481" s="332"/>
      <c r="AZ1481" s="332"/>
      <c r="BA1481" s="332"/>
      <c r="BB1481" s="332"/>
      <c r="BC1481" s="332"/>
      <c r="BD1481" s="332"/>
      <c r="BE1481" s="332"/>
      <c r="BF1481" s="332"/>
      <c r="BG1481" s="332"/>
      <c r="BH1481" s="332"/>
      <c r="BI1481" s="332"/>
      <c r="BJ1481" s="332"/>
      <c r="BK1481" s="332"/>
      <c r="BL1481" s="332"/>
      <c r="BM1481" s="332"/>
      <c r="BN1481" s="332"/>
      <c r="BO1481" s="332"/>
      <c r="BP1481" s="332"/>
      <c r="BQ1481" s="332"/>
      <c r="BR1481" s="332"/>
      <c r="BS1481" s="332"/>
      <c r="BT1481" s="332"/>
      <c r="BU1481" s="332"/>
      <c r="BV1481" s="332"/>
      <c r="BW1481" s="332"/>
      <c r="BX1481" s="332"/>
      <c r="BY1481" s="332"/>
      <c r="BZ1481" s="332"/>
      <c r="CA1481" s="332"/>
      <c r="CB1481" s="332"/>
      <c r="CC1481" s="332"/>
      <c r="CD1481" s="332"/>
      <c r="CE1481" s="332"/>
      <c r="CF1481" s="332"/>
      <c r="CG1481" s="332"/>
      <c r="CH1481" s="332"/>
      <c r="CI1481" s="332"/>
      <c r="CJ1481" s="332"/>
      <c r="CK1481" s="332"/>
      <c r="CL1481" s="332"/>
      <c r="CM1481" s="332"/>
      <c r="CN1481" s="332"/>
      <c r="CO1481" s="332"/>
      <c r="CP1481" s="332"/>
      <c r="CQ1481" s="332"/>
      <c r="CR1481" s="332"/>
      <c r="CS1481" s="332"/>
      <c r="CT1481" s="332"/>
      <c r="CU1481" s="332"/>
      <c r="CV1481" s="332"/>
      <c r="CW1481" s="332"/>
      <c r="CX1481" s="332"/>
      <c r="CY1481" s="332"/>
      <c r="CZ1481" s="332"/>
      <c r="DA1481" s="332"/>
      <c r="DB1481" s="332"/>
      <c r="DC1481" s="332"/>
      <c r="DD1481" s="332"/>
      <c r="DE1481" s="332"/>
      <c r="DF1481" s="332"/>
      <c r="DG1481" s="332"/>
      <c r="DH1481" s="332"/>
      <c r="DI1481" s="332"/>
      <c r="DJ1481" s="332"/>
      <c r="DK1481" s="332"/>
      <c r="DL1481" s="332"/>
      <c r="DM1481" s="332"/>
      <c r="DN1481" s="332"/>
      <c r="DO1481" s="332"/>
      <c r="DP1481" s="332"/>
      <c r="DQ1481" s="332"/>
      <c r="DR1481" s="332"/>
      <c r="DS1481" s="332"/>
      <c r="DT1481" s="332"/>
      <c r="DU1481" s="453"/>
      <c r="DV1481" s="453"/>
      <c r="DW1481" s="453"/>
      <c r="DX1481" s="453"/>
      <c r="DY1481" s="453"/>
      <c r="DZ1481" s="453"/>
      <c r="EA1481" s="453"/>
      <c r="EB1481" s="453"/>
      <c r="EC1481" s="453"/>
      <c r="ED1481" s="453"/>
      <c r="EE1481" s="453"/>
      <c r="EF1481" s="453"/>
      <c r="EG1481" s="453"/>
      <c r="EH1481" s="453"/>
      <c r="EI1481" s="453"/>
      <c r="EJ1481" s="453"/>
      <c r="EK1481" s="453"/>
      <c r="EL1481" s="453"/>
      <c r="EM1481" s="483">
        <f t="shared" si="267"/>
        <v>1172</v>
      </c>
      <c r="EN1481" s="485"/>
      <c r="EO1481" s="458"/>
      <c r="EP1481" s="467"/>
      <c r="EQ1481" s="457"/>
      <c r="ER1481" s="808"/>
      <c r="ES1481" s="881">
        <f t="shared" si="268"/>
        <v>0</v>
      </c>
      <c r="ET1481" s="882"/>
      <c r="EU1481" s="883"/>
      <c r="EV1481" s="884">
        <f t="shared" si="269"/>
        <v>0</v>
      </c>
      <c r="EW1481" s="885"/>
      <c r="EX1481" s="885"/>
      <c r="EY1481" s="885"/>
      <c r="EZ1481" s="885"/>
      <c r="FA1481" s="885"/>
      <c r="FB1481" s="885"/>
      <c r="FC1481" s="885"/>
      <c r="FD1481" s="886"/>
      <c r="FE1481" s="877"/>
      <c r="FF1481" s="877"/>
      <c r="FG1481" s="877"/>
      <c r="FH1481" s="877"/>
      <c r="FI1481" s="877"/>
      <c r="FJ1481" s="877"/>
      <c r="FK1481" s="877"/>
      <c r="FL1481" s="874"/>
      <c r="FM1481" s="875"/>
      <c r="FN1481" s="875"/>
      <c r="FO1481" s="875"/>
      <c r="FP1481" s="875"/>
      <c r="FQ1481" s="875"/>
      <c r="FR1481" s="875"/>
      <c r="FS1481" s="875"/>
      <c r="FT1481" s="875"/>
      <c r="FU1481" s="875"/>
      <c r="FV1481" s="875"/>
      <c r="FW1481" s="875"/>
      <c r="FX1481" s="875"/>
      <c r="FY1481" s="875"/>
      <c r="FZ1481" s="875"/>
      <c r="GA1481" s="875"/>
      <c r="GB1481" s="876"/>
      <c r="GC1481" s="370"/>
      <c r="GD1481" s="453"/>
      <c r="GE1481" s="453"/>
      <c r="GF1481" s="453"/>
      <c r="GG1481" s="453"/>
      <c r="GH1481" s="454"/>
      <c r="GI1481" s="453"/>
      <c r="GJ1481" s="453"/>
      <c r="GK1481" s="453"/>
      <c r="GL1481" s="453"/>
      <c r="GM1481" s="453"/>
      <c r="GN1481" s="453"/>
      <c r="GO1481" s="453"/>
      <c r="GP1481" s="453"/>
      <c r="GQ1481" s="453"/>
      <c r="GR1481" s="453"/>
      <c r="GS1481" s="561"/>
      <c r="GT1481" s="475"/>
      <c r="GU1481" s="472"/>
      <c r="GV1481" s="453"/>
      <c r="GW1481" s="453"/>
      <c r="GX1481" s="869"/>
      <c r="GY1481" s="870"/>
      <c r="GZ1481" s="867"/>
      <c r="HA1481" s="868"/>
      <c r="HB1481" s="473"/>
      <c r="HC1481" s="869"/>
      <c r="HD1481" s="870"/>
      <c r="HE1481" s="867"/>
      <c r="HF1481" s="868"/>
      <c r="HG1481" s="473"/>
      <c r="HH1481" s="867"/>
      <c r="HI1481" s="868"/>
      <c r="HJ1481" s="867"/>
      <c r="HK1481" s="868"/>
      <c r="HL1481" s="370"/>
      <c r="HM1481" s="865"/>
      <c r="HN1481" s="866"/>
      <c r="HO1481" s="865"/>
      <c r="HP1481" s="866"/>
      <c r="HQ1481" s="865"/>
      <c r="HR1481" s="866"/>
      <c r="HS1481" s="867"/>
      <c r="HT1481" s="868"/>
      <c r="HU1481" s="489"/>
      <c r="HV1481" s="865"/>
      <c r="HW1481" s="866"/>
    </row>
    <row r="1482" spans="25:231" ht="15" customHeight="1">
      <c r="Y1482" s="332"/>
      <c r="Z1482" s="332"/>
      <c r="AA1482" s="332"/>
      <c r="AB1482" s="332"/>
      <c r="AC1482" s="332"/>
      <c r="AD1482" s="332"/>
      <c r="AE1482" s="332"/>
      <c r="AF1482" s="332"/>
      <c r="AG1482" s="332"/>
      <c r="AH1482" s="332"/>
      <c r="AI1482" s="332"/>
      <c r="AJ1482" s="332"/>
      <c r="AK1482" s="332"/>
      <c r="AL1482" s="332"/>
      <c r="AM1482" s="332"/>
      <c r="AN1482" s="332"/>
      <c r="AO1482" s="332"/>
      <c r="AP1482" s="332"/>
      <c r="AQ1482" s="332"/>
      <c r="AR1482" s="332"/>
      <c r="AS1482" s="332"/>
      <c r="AT1482" s="332"/>
      <c r="AU1482" s="332"/>
      <c r="AV1482" s="332"/>
      <c r="AW1482" s="332"/>
      <c r="AX1482" s="332"/>
      <c r="AY1482" s="332"/>
      <c r="AZ1482" s="332"/>
      <c r="BA1482" s="332"/>
      <c r="BB1482" s="332"/>
      <c r="BC1482" s="332"/>
      <c r="BD1482" s="332"/>
      <c r="BE1482" s="332"/>
      <c r="BF1482" s="332"/>
      <c r="BG1482" s="332"/>
      <c r="BH1482" s="332"/>
      <c r="BI1482" s="332"/>
      <c r="BJ1482" s="332"/>
      <c r="BK1482" s="332"/>
      <c r="BL1482" s="332"/>
      <c r="BM1482" s="332"/>
      <c r="BN1482" s="332"/>
      <c r="BO1482" s="332"/>
      <c r="BP1482" s="332"/>
      <c r="BQ1482" s="332"/>
      <c r="BR1482" s="332"/>
      <c r="BS1482" s="332"/>
      <c r="BT1482" s="332"/>
      <c r="BU1482" s="332"/>
      <c r="BV1482" s="332"/>
      <c r="BW1482" s="332"/>
      <c r="BX1482" s="332"/>
      <c r="BY1482" s="332"/>
      <c r="BZ1482" s="332"/>
      <c r="CA1482" s="332"/>
      <c r="CB1482" s="332"/>
      <c r="CC1482" s="332"/>
      <c r="CD1482" s="332"/>
      <c r="CE1482" s="332"/>
      <c r="CF1482" s="332"/>
      <c r="CG1482" s="332"/>
      <c r="CH1482" s="332"/>
      <c r="CI1482" s="332"/>
      <c r="CJ1482" s="332"/>
      <c r="CK1482" s="332"/>
      <c r="CL1482" s="332"/>
      <c r="CM1482" s="332"/>
      <c r="CN1482" s="332"/>
      <c r="CO1482" s="332"/>
      <c r="CP1482" s="332"/>
      <c r="CQ1482" s="332"/>
      <c r="CR1482" s="332"/>
      <c r="CS1482" s="332"/>
      <c r="CT1482" s="332"/>
      <c r="CU1482" s="332"/>
      <c r="CV1482" s="332"/>
      <c r="CW1482" s="332"/>
      <c r="CX1482" s="332"/>
      <c r="CY1482" s="332"/>
      <c r="CZ1482" s="332"/>
      <c r="DA1482" s="332"/>
      <c r="DB1482" s="332"/>
      <c r="DC1482" s="332"/>
      <c r="DD1482" s="332"/>
      <c r="DE1482" s="332"/>
      <c r="DF1482" s="332"/>
      <c r="DG1482" s="332"/>
      <c r="DH1482" s="332"/>
      <c r="DI1482" s="332"/>
      <c r="DJ1482" s="332"/>
      <c r="DK1482" s="332"/>
      <c r="DL1482" s="332"/>
      <c r="DM1482" s="332"/>
      <c r="DN1482" s="332"/>
      <c r="DO1482" s="332"/>
      <c r="DP1482" s="332"/>
      <c r="DQ1482" s="332"/>
      <c r="DR1482" s="332"/>
      <c r="DS1482" s="332"/>
      <c r="DT1482" s="332"/>
      <c r="DU1482" s="453"/>
      <c r="DV1482" s="453"/>
      <c r="DW1482" s="453"/>
      <c r="DX1482" s="453"/>
      <c r="DY1482" s="453"/>
      <c r="DZ1482" s="453"/>
      <c r="EA1482" s="453"/>
      <c r="EB1482" s="453"/>
      <c r="EC1482" s="453"/>
      <c r="ED1482" s="453"/>
      <c r="EE1482" s="453"/>
      <c r="EF1482" s="453"/>
      <c r="EG1482" s="453"/>
      <c r="EH1482" s="453"/>
      <c r="EI1482" s="453"/>
      <c r="EJ1482" s="453"/>
      <c r="EK1482" s="453"/>
      <c r="EL1482" s="453"/>
      <c r="EM1482" s="483">
        <f t="shared" si="267"/>
        <v>1173</v>
      </c>
      <c r="EN1482" s="485"/>
      <c r="EO1482" s="458"/>
      <c r="EP1482" s="467"/>
      <c r="EQ1482" s="457"/>
      <c r="ER1482" s="808"/>
      <c r="ES1482" s="881">
        <f t="shared" si="268"/>
        <v>0</v>
      </c>
      <c r="ET1482" s="882"/>
      <c r="EU1482" s="883"/>
      <c r="EV1482" s="884">
        <f t="shared" si="269"/>
        <v>0</v>
      </c>
      <c r="EW1482" s="885"/>
      <c r="EX1482" s="885"/>
      <c r="EY1482" s="885"/>
      <c r="EZ1482" s="885"/>
      <c r="FA1482" s="885"/>
      <c r="FB1482" s="885"/>
      <c r="FC1482" s="885"/>
      <c r="FD1482" s="886"/>
      <c r="FE1482" s="877"/>
      <c r="FF1482" s="877"/>
      <c r="FG1482" s="877"/>
      <c r="FH1482" s="877"/>
      <c r="FI1482" s="877"/>
      <c r="FJ1482" s="877"/>
      <c r="FK1482" s="877"/>
      <c r="FL1482" s="874"/>
      <c r="FM1482" s="875"/>
      <c r="FN1482" s="875"/>
      <c r="FO1482" s="875"/>
      <c r="FP1482" s="875"/>
      <c r="FQ1482" s="875"/>
      <c r="FR1482" s="875"/>
      <c r="FS1482" s="875"/>
      <c r="FT1482" s="875"/>
      <c r="FU1482" s="875"/>
      <c r="FV1482" s="875"/>
      <c r="FW1482" s="875"/>
      <c r="FX1482" s="875"/>
      <c r="FY1482" s="875"/>
      <c r="FZ1482" s="875"/>
      <c r="GA1482" s="875"/>
      <c r="GB1482" s="876"/>
      <c r="GC1482" s="370"/>
      <c r="GD1482" s="453"/>
      <c r="GE1482" s="453"/>
      <c r="GF1482" s="453"/>
      <c r="GG1482" s="453"/>
      <c r="GH1482" s="454"/>
      <c r="GI1482" s="453"/>
      <c r="GJ1482" s="453"/>
      <c r="GK1482" s="453"/>
      <c r="GL1482" s="453"/>
      <c r="GM1482" s="453"/>
      <c r="GN1482" s="453"/>
      <c r="GO1482" s="453"/>
      <c r="GP1482" s="453"/>
      <c r="GQ1482" s="453"/>
      <c r="GR1482" s="453"/>
      <c r="GS1482" s="561"/>
      <c r="GT1482" s="475"/>
      <c r="GU1482" s="472"/>
      <c r="GV1482" s="453"/>
      <c r="GW1482" s="453"/>
      <c r="GX1482" s="869"/>
      <c r="GY1482" s="870"/>
      <c r="GZ1482" s="867"/>
      <c r="HA1482" s="868"/>
      <c r="HB1482" s="473"/>
      <c r="HC1482" s="869"/>
      <c r="HD1482" s="870"/>
      <c r="HE1482" s="867"/>
      <c r="HF1482" s="868"/>
      <c r="HG1482" s="473"/>
      <c r="HH1482" s="867"/>
      <c r="HI1482" s="868"/>
      <c r="HJ1482" s="867"/>
      <c r="HK1482" s="868"/>
      <c r="HL1482" s="370"/>
      <c r="HM1482" s="865"/>
      <c r="HN1482" s="866"/>
      <c r="HO1482" s="865"/>
      <c r="HP1482" s="866"/>
      <c r="HQ1482" s="865"/>
      <c r="HR1482" s="866"/>
      <c r="HS1482" s="867"/>
      <c r="HT1482" s="868"/>
      <c r="HU1482" s="489"/>
      <c r="HV1482" s="865"/>
      <c r="HW1482" s="866"/>
    </row>
    <row r="1483" spans="25:231" ht="15" customHeight="1">
      <c r="Y1483" s="332"/>
      <c r="Z1483" s="332"/>
      <c r="AA1483" s="332"/>
      <c r="AB1483" s="332"/>
      <c r="AC1483" s="332"/>
      <c r="AD1483" s="332"/>
      <c r="AE1483" s="332"/>
      <c r="AF1483" s="332"/>
      <c r="AG1483" s="332"/>
      <c r="AH1483" s="332"/>
      <c r="AI1483" s="332"/>
      <c r="AJ1483" s="332"/>
      <c r="AK1483" s="332"/>
      <c r="AL1483" s="332"/>
      <c r="AM1483" s="332"/>
      <c r="AN1483" s="332"/>
      <c r="AO1483" s="332"/>
      <c r="AP1483" s="332"/>
      <c r="AQ1483" s="332"/>
      <c r="AR1483" s="332"/>
      <c r="AS1483" s="332"/>
      <c r="AT1483" s="332"/>
      <c r="AU1483" s="332"/>
      <c r="AV1483" s="332"/>
      <c r="AW1483" s="332"/>
      <c r="AX1483" s="332"/>
      <c r="AY1483" s="332"/>
      <c r="AZ1483" s="332"/>
      <c r="BA1483" s="332"/>
      <c r="BB1483" s="332"/>
      <c r="BC1483" s="332"/>
      <c r="BD1483" s="332"/>
      <c r="BE1483" s="332"/>
      <c r="BF1483" s="332"/>
      <c r="BG1483" s="332"/>
      <c r="BH1483" s="332"/>
      <c r="BI1483" s="332"/>
      <c r="BJ1483" s="332"/>
      <c r="BK1483" s="332"/>
      <c r="BL1483" s="332"/>
      <c r="BM1483" s="332"/>
      <c r="BN1483" s="332"/>
      <c r="BO1483" s="332"/>
      <c r="BP1483" s="332"/>
      <c r="BQ1483" s="332"/>
      <c r="BR1483" s="332"/>
      <c r="BS1483" s="332"/>
      <c r="BT1483" s="332"/>
      <c r="BU1483" s="332"/>
      <c r="BV1483" s="332"/>
      <c r="BW1483" s="332"/>
      <c r="BX1483" s="332"/>
      <c r="BY1483" s="332"/>
      <c r="BZ1483" s="332"/>
      <c r="CA1483" s="332"/>
      <c r="CB1483" s="332"/>
      <c r="CC1483" s="332"/>
      <c r="CD1483" s="332"/>
      <c r="CE1483" s="332"/>
      <c r="CF1483" s="332"/>
      <c r="CG1483" s="332"/>
      <c r="CH1483" s="332"/>
      <c r="CI1483" s="332"/>
      <c r="CJ1483" s="332"/>
      <c r="CK1483" s="332"/>
      <c r="CL1483" s="332"/>
      <c r="CM1483" s="332"/>
      <c r="CN1483" s="332"/>
      <c r="CO1483" s="332"/>
      <c r="CP1483" s="332"/>
      <c r="CQ1483" s="332"/>
      <c r="CR1483" s="332"/>
      <c r="CS1483" s="332"/>
      <c r="CT1483" s="332"/>
      <c r="CU1483" s="332"/>
      <c r="CV1483" s="332"/>
      <c r="CW1483" s="332"/>
      <c r="CX1483" s="332"/>
      <c r="CY1483" s="332"/>
      <c r="CZ1483" s="332"/>
      <c r="DA1483" s="332"/>
      <c r="DB1483" s="332"/>
      <c r="DC1483" s="332"/>
      <c r="DD1483" s="332"/>
      <c r="DE1483" s="332"/>
      <c r="DF1483" s="332"/>
      <c r="DG1483" s="332"/>
      <c r="DH1483" s="332"/>
      <c r="DI1483" s="332"/>
      <c r="DJ1483" s="332"/>
      <c r="DK1483" s="332"/>
      <c r="DL1483" s="332"/>
      <c r="DM1483" s="332"/>
      <c r="DN1483" s="332"/>
      <c r="DO1483" s="332"/>
      <c r="DP1483" s="332"/>
      <c r="DQ1483" s="332"/>
      <c r="DR1483" s="332"/>
      <c r="DS1483" s="332"/>
      <c r="DT1483" s="332"/>
      <c r="DU1483" s="453"/>
      <c r="DV1483" s="453"/>
      <c r="DW1483" s="453"/>
      <c r="DX1483" s="453"/>
      <c r="DY1483" s="453"/>
      <c r="DZ1483" s="453"/>
      <c r="EA1483" s="453"/>
      <c r="EB1483" s="453"/>
      <c r="EC1483" s="453"/>
      <c r="ED1483" s="453"/>
      <c r="EE1483" s="453"/>
      <c r="EF1483" s="453"/>
      <c r="EG1483" s="453"/>
      <c r="EH1483" s="453"/>
      <c r="EI1483" s="453"/>
      <c r="EJ1483" s="453"/>
      <c r="EK1483" s="453"/>
      <c r="EL1483" s="453"/>
      <c r="EM1483" s="483">
        <f t="shared" si="267"/>
        <v>1174</v>
      </c>
      <c r="EN1483" s="485"/>
      <c r="EO1483" s="458"/>
      <c r="EP1483" s="467"/>
      <c r="EQ1483" s="457"/>
      <c r="ER1483" s="808"/>
      <c r="ES1483" s="881">
        <f t="shared" si="268"/>
        <v>0</v>
      </c>
      <c r="ET1483" s="882"/>
      <c r="EU1483" s="883"/>
      <c r="EV1483" s="884">
        <f t="shared" si="269"/>
        <v>0</v>
      </c>
      <c r="EW1483" s="885"/>
      <c r="EX1483" s="885"/>
      <c r="EY1483" s="885"/>
      <c r="EZ1483" s="885"/>
      <c r="FA1483" s="885"/>
      <c r="FB1483" s="885"/>
      <c r="FC1483" s="885"/>
      <c r="FD1483" s="886"/>
      <c r="FE1483" s="877"/>
      <c r="FF1483" s="877"/>
      <c r="FG1483" s="877"/>
      <c r="FH1483" s="877"/>
      <c r="FI1483" s="877"/>
      <c r="FJ1483" s="877"/>
      <c r="FK1483" s="877"/>
      <c r="FL1483" s="874"/>
      <c r="FM1483" s="875"/>
      <c r="FN1483" s="875"/>
      <c r="FO1483" s="875"/>
      <c r="FP1483" s="875"/>
      <c r="FQ1483" s="875"/>
      <c r="FR1483" s="875"/>
      <c r="FS1483" s="875"/>
      <c r="FT1483" s="875"/>
      <c r="FU1483" s="875"/>
      <c r="FV1483" s="875"/>
      <c r="FW1483" s="875"/>
      <c r="FX1483" s="875"/>
      <c r="FY1483" s="875"/>
      <c r="FZ1483" s="875"/>
      <c r="GA1483" s="875"/>
      <c r="GB1483" s="876"/>
      <c r="GC1483" s="370"/>
      <c r="GD1483" s="453"/>
      <c r="GE1483" s="453"/>
      <c r="GF1483" s="453"/>
      <c r="GG1483" s="453"/>
      <c r="GH1483" s="454"/>
      <c r="GI1483" s="453"/>
      <c r="GJ1483" s="453"/>
      <c r="GK1483" s="453"/>
      <c r="GL1483" s="453"/>
      <c r="GM1483" s="453"/>
      <c r="GN1483" s="453"/>
      <c r="GO1483" s="453"/>
      <c r="GP1483" s="453"/>
      <c r="GQ1483" s="453"/>
      <c r="GR1483" s="453"/>
      <c r="GS1483" s="561"/>
      <c r="GT1483" s="475"/>
      <c r="GU1483" s="472"/>
      <c r="GV1483" s="453"/>
      <c r="GW1483" s="453"/>
      <c r="GX1483" s="869"/>
      <c r="GY1483" s="870"/>
      <c r="GZ1483" s="867"/>
      <c r="HA1483" s="868"/>
      <c r="HB1483" s="473"/>
      <c r="HC1483" s="869"/>
      <c r="HD1483" s="870"/>
      <c r="HE1483" s="867"/>
      <c r="HF1483" s="868"/>
      <c r="HG1483" s="473"/>
      <c r="HH1483" s="867"/>
      <c r="HI1483" s="868"/>
      <c r="HJ1483" s="867"/>
      <c r="HK1483" s="868"/>
      <c r="HL1483" s="370"/>
      <c r="HM1483" s="865"/>
      <c r="HN1483" s="866"/>
      <c r="HO1483" s="865"/>
      <c r="HP1483" s="866"/>
      <c r="HQ1483" s="865"/>
      <c r="HR1483" s="866"/>
      <c r="HS1483" s="867"/>
      <c r="HT1483" s="868"/>
      <c r="HU1483" s="489"/>
      <c r="HV1483" s="865"/>
      <c r="HW1483" s="866"/>
    </row>
    <row r="1484" spans="25:231" ht="15" customHeight="1">
      <c r="Y1484" s="332"/>
      <c r="Z1484" s="332"/>
      <c r="AA1484" s="332"/>
      <c r="AB1484" s="332"/>
      <c r="AC1484" s="332"/>
      <c r="AD1484" s="332"/>
      <c r="AE1484" s="332"/>
      <c r="AF1484" s="332"/>
      <c r="AG1484" s="332"/>
      <c r="AH1484" s="332"/>
      <c r="AI1484" s="332"/>
      <c r="AJ1484" s="332"/>
      <c r="AK1484" s="332"/>
      <c r="AL1484" s="332"/>
      <c r="AM1484" s="332"/>
      <c r="AN1484" s="332"/>
      <c r="AO1484" s="332"/>
      <c r="AP1484" s="332"/>
      <c r="AQ1484" s="332"/>
      <c r="AR1484" s="332"/>
      <c r="AS1484" s="332"/>
      <c r="AT1484" s="332"/>
      <c r="AU1484" s="332"/>
      <c r="AV1484" s="332"/>
      <c r="AW1484" s="332"/>
      <c r="AX1484" s="332"/>
      <c r="AY1484" s="332"/>
      <c r="AZ1484" s="332"/>
      <c r="BA1484" s="332"/>
      <c r="BB1484" s="332"/>
      <c r="BC1484" s="332"/>
      <c r="BD1484" s="332"/>
      <c r="BE1484" s="332"/>
      <c r="BF1484" s="332"/>
      <c r="BG1484" s="332"/>
      <c r="BH1484" s="332"/>
      <c r="BI1484" s="332"/>
      <c r="BJ1484" s="332"/>
      <c r="BK1484" s="332"/>
      <c r="BL1484" s="332"/>
      <c r="BM1484" s="332"/>
      <c r="BN1484" s="332"/>
      <c r="BO1484" s="332"/>
      <c r="BP1484" s="332"/>
      <c r="BQ1484" s="332"/>
      <c r="BR1484" s="332"/>
      <c r="BS1484" s="332"/>
      <c r="BT1484" s="332"/>
      <c r="BU1484" s="332"/>
      <c r="BV1484" s="332"/>
      <c r="BW1484" s="332"/>
      <c r="BX1484" s="332"/>
      <c r="BY1484" s="332"/>
      <c r="BZ1484" s="332"/>
      <c r="CA1484" s="332"/>
      <c r="CB1484" s="332"/>
      <c r="CC1484" s="332"/>
      <c r="CD1484" s="332"/>
      <c r="CE1484" s="332"/>
      <c r="CF1484" s="332"/>
      <c r="CG1484" s="332"/>
      <c r="CH1484" s="332"/>
      <c r="CI1484" s="332"/>
      <c r="CJ1484" s="332"/>
      <c r="CK1484" s="332"/>
      <c r="CL1484" s="332"/>
      <c r="CM1484" s="332"/>
      <c r="CN1484" s="332"/>
      <c r="CO1484" s="332"/>
      <c r="CP1484" s="332"/>
      <c r="CQ1484" s="332"/>
      <c r="CR1484" s="332"/>
      <c r="CS1484" s="332"/>
      <c r="CT1484" s="332"/>
      <c r="CU1484" s="332"/>
      <c r="CV1484" s="332"/>
      <c r="CW1484" s="332"/>
      <c r="CX1484" s="332"/>
      <c r="CY1484" s="332"/>
      <c r="CZ1484" s="332"/>
      <c r="DA1484" s="332"/>
      <c r="DB1484" s="332"/>
      <c r="DC1484" s="332"/>
      <c r="DD1484" s="332"/>
      <c r="DE1484" s="332"/>
      <c r="DF1484" s="332"/>
      <c r="DG1484" s="332"/>
      <c r="DH1484" s="332"/>
      <c r="DI1484" s="332"/>
      <c r="DJ1484" s="332"/>
      <c r="DK1484" s="332"/>
      <c r="DL1484" s="332"/>
      <c r="DM1484" s="332"/>
      <c r="DN1484" s="332"/>
      <c r="DO1484" s="332"/>
      <c r="DP1484" s="332"/>
      <c r="DQ1484" s="332"/>
      <c r="DR1484" s="332"/>
      <c r="DS1484" s="332"/>
      <c r="DT1484" s="332"/>
      <c r="DU1484" s="453"/>
      <c r="DV1484" s="453"/>
      <c r="DW1484" s="453"/>
      <c r="DX1484" s="453"/>
      <c r="DY1484" s="453"/>
      <c r="DZ1484" s="453"/>
      <c r="EA1484" s="453"/>
      <c r="EB1484" s="453"/>
      <c r="EC1484" s="453"/>
      <c r="ED1484" s="453"/>
      <c r="EE1484" s="453"/>
      <c r="EF1484" s="453"/>
      <c r="EG1484" s="453"/>
      <c r="EH1484" s="453"/>
      <c r="EI1484" s="453"/>
      <c r="EJ1484" s="453"/>
      <c r="EK1484" s="453"/>
      <c r="EL1484" s="453"/>
      <c r="EM1484" s="483">
        <f t="shared" si="267"/>
        <v>1175</v>
      </c>
      <c r="EN1484" s="485"/>
      <c r="EO1484" s="458"/>
      <c r="EP1484" s="467"/>
      <c r="EQ1484" s="457"/>
      <c r="ER1484" s="808"/>
      <c r="ES1484" s="881">
        <f t="shared" si="268"/>
        <v>0</v>
      </c>
      <c r="ET1484" s="882"/>
      <c r="EU1484" s="883"/>
      <c r="EV1484" s="884">
        <f t="shared" si="269"/>
        <v>0</v>
      </c>
      <c r="EW1484" s="885"/>
      <c r="EX1484" s="885"/>
      <c r="EY1484" s="885"/>
      <c r="EZ1484" s="885"/>
      <c r="FA1484" s="885"/>
      <c r="FB1484" s="885"/>
      <c r="FC1484" s="885"/>
      <c r="FD1484" s="886"/>
      <c r="FE1484" s="877"/>
      <c r="FF1484" s="877"/>
      <c r="FG1484" s="877"/>
      <c r="FH1484" s="877"/>
      <c r="FI1484" s="877"/>
      <c r="FJ1484" s="877"/>
      <c r="FK1484" s="877"/>
      <c r="FL1484" s="874"/>
      <c r="FM1484" s="875"/>
      <c r="FN1484" s="875"/>
      <c r="FO1484" s="875"/>
      <c r="FP1484" s="875"/>
      <c r="FQ1484" s="875"/>
      <c r="FR1484" s="875"/>
      <c r="FS1484" s="875"/>
      <c r="FT1484" s="875"/>
      <c r="FU1484" s="875"/>
      <c r="FV1484" s="875"/>
      <c r="FW1484" s="875"/>
      <c r="FX1484" s="875"/>
      <c r="FY1484" s="875"/>
      <c r="FZ1484" s="875"/>
      <c r="GA1484" s="875"/>
      <c r="GB1484" s="876"/>
      <c r="GC1484" s="370"/>
      <c r="GD1484" s="453"/>
      <c r="GE1484" s="453"/>
      <c r="GF1484" s="453"/>
      <c r="GG1484" s="453"/>
      <c r="GH1484" s="454"/>
      <c r="GI1484" s="453"/>
      <c r="GJ1484" s="453"/>
      <c r="GK1484" s="453"/>
      <c r="GL1484" s="453"/>
      <c r="GM1484" s="453"/>
      <c r="GN1484" s="453"/>
      <c r="GO1484" s="453"/>
      <c r="GP1484" s="453"/>
      <c r="GQ1484" s="453"/>
      <c r="GR1484" s="453"/>
      <c r="GS1484" s="561"/>
      <c r="GT1484" s="475"/>
      <c r="GU1484" s="472"/>
      <c r="GV1484" s="453"/>
      <c r="GW1484" s="453"/>
      <c r="GX1484" s="869"/>
      <c r="GY1484" s="870"/>
      <c r="GZ1484" s="867"/>
      <c r="HA1484" s="868"/>
      <c r="HB1484" s="473"/>
      <c r="HC1484" s="869"/>
      <c r="HD1484" s="870"/>
      <c r="HE1484" s="867"/>
      <c r="HF1484" s="868"/>
      <c r="HG1484" s="473"/>
      <c r="HH1484" s="867"/>
      <c r="HI1484" s="868"/>
      <c r="HJ1484" s="867"/>
      <c r="HK1484" s="868"/>
      <c r="HL1484" s="370"/>
      <c r="HM1484" s="865"/>
      <c r="HN1484" s="866"/>
      <c r="HO1484" s="865"/>
      <c r="HP1484" s="866"/>
      <c r="HQ1484" s="865"/>
      <c r="HR1484" s="866"/>
      <c r="HS1484" s="867"/>
      <c r="HT1484" s="868"/>
      <c r="HU1484" s="489"/>
      <c r="HV1484" s="865"/>
      <c r="HW1484" s="866"/>
    </row>
    <row r="1485" spans="25:231" ht="15" customHeight="1">
      <c r="Y1485" s="332"/>
      <c r="Z1485" s="332"/>
      <c r="AA1485" s="332"/>
      <c r="AB1485" s="332"/>
      <c r="AC1485" s="332"/>
      <c r="AD1485" s="332"/>
      <c r="AE1485" s="332"/>
      <c r="AF1485" s="332"/>
      <c r="AG1485" s="332"/>
      <c r="AH1485" s="332"/>
      <c r="AI1485" s="332"/>
      <c r="AJ1485" s="332"/>
      <c r="AK1485" s="332"/>
      <c r="AL1485" s="332"/>
      <c r="AM1485" s="332"/>
      <c r="AN1485" s="332"/>
      <c r="AO1485" s="332"/>
      <c r="AP1485" s="332"/>
      <c r="AQ1485" s="332"/>
      <c r="AR1485" s="332"/>
      <c r="AS1485" s="332"/>
      <c r="AT1485" s="332"/>
      <c r="AU1485" s="332"/>
      <c r="AV1485" s="332"/>
      <c r="AW1485" s="332"/>
      <c r="AX1485" s="332"/>
      <c r="AY1485" s="332"/>
      <c r="AZ1485" s="332"/>
      <c r="BA1485" s="332"/>
      <c r="BB1485" s="332"/>
      <c r="BC1485" s="332"/>
      <c r="BD1485" s="332"/>
      <c r="BE1485" s="332"/>
      <c r="BF1485" s="332"/>
      <c r="BG1485" s="332"/>
      <c r="BH1485" s="332"/>
      <c r="BI1485" s="332"/>
      <c r="BJ1485" s="332"/>
      <c r="BK1485" s="332"/>
      <c r="BL1485" s="332"/>
      <c r="BM1485" s="332"/>
      <c r="BN1485" s="332"/>
      <c r="BO1485" s="332"/>
      <c r="BP1485" s="332"/>
      <c r="BQ1485" s="332"/>
      <c r="BR1485" s="332"/>
      <c r="BS1485" s="332"/>
      <c r="BT1485" s="332"/>
      <c r="BU1485" s="332"/>
      <c r="BV1485" s="332"/>
      <c r="BW1485" s="332"/>
      <c r="BX1485" s="332"/>
      <c r="BY1485" s="332"/>
      <c r="BZ1485" s="332"/>
      <c r="CA1485" s="332"/>
      <c r="CB1485" s="332"/>
      <c r="CC1485" s="332"/>
      <c r="CD1485" s="332"/>
      <c r="CE1485" s="332"/>
      <c r="CF1485" s="332"/>
      <c r="CG1485" s="332"/>
      <c r="CH1485" s="332"/>
      <c r="CI1485" s="332"/>
      <c r="CJ1485" s="332"/>
      <c r="CK1485" s="332"/>
      <c r="CL1485" s="332"/>
      <c r="CM1485" s="332"/>
      <c r="CN1485" s="332"/>
      <c r="CO1485" s="332"/>
      <c r="CP1485" s="332"/>
      <c r="CQ1485" s="332"/>
      <c r="CR1485" s="332"/>
      <c r="CS1485" s="332"/>
      <c r="CT1485" s="332"/>
      <c r="CU1485" s="332"/>
      <c r="CV1485" s="332"/>
      <c r="CW1485" s="332"/>
      <c r="CX1485" s="332"/>
      <c r="CY1485" s="332"/>
      <c r="CZ1485" s="332"/>
      <c r="DA1485" s="332"/>
      <c r="DB1485" s="332"/>
      <c r="DC1485" s="332"/>
      <c r="DD1485" s="332"/>
      <c r="DE1485" s="332"/>
      <c r="DF1485" s="332"/>
      <c r="DG1485" s="332"/>
      <c r="DH1485" s="332"/>
      <c r="DI1485" s="332"/>
      <c r="DJ1485" s="332"/>
      <c r="DK1485" s="332"/>
      <c r="DL1485" s="332"/>
      <c r="DM1485" s="332"/>
      <c r="DN1485" s="332"/>
      <c r="DO1485" s="332"/>
      <c r="DP1485" s="332"/>
      <c r="DQ1485" s="332"/>
      <c r="DR1485" s="332"/>
      <c r="DS1485" s="332"/>
      <c r="DT1485" s="332"/>
      <c r="DU1485" s="453"/>
      <c r="DV1485" s="453"/>
      <c r="DW1485" s="453"/>
      <c r="DX1485" s="453"/>
      <c r="DY1485" s="453"/>
      <c r="DZ1485" s="453"/>
      <c r="EA1485" s="453"/>
      <c r="EB1485" s="453"/>
      <c r="EC1485" s="453"/>
      <c r="ED1485" s="453"/>
      <c r="EE1485" s="453"/>
      <c r="EF1485" s="453"/>
      <c r="EG1485" s="453"/>
      <c r="EH1485" s="453"/>
      <c r="EI1485" s="453"/>
      <c r="EJ1485" s="453"/>
      <c r="EK1485" s="453"/>
      <c r="EL1485" s="453"/>
      <c r="EM1485" s="483">
        <f t="shared" si="267"/>
        <v>1176</v>
      </c>
      <c r="EN1485" s="485"/>
      <c r="EO1485" s="458"/>
      <c r="EP1485" s="467"/>
      <c r="EQ1485" s="457"/>
      <c r="ER1485" s="808"/>
      <c r="ES1485" s="881">
        <f t="shared" si="268"/>
        <v>0</v>
      </c>
      <c r="ET1485" s="882"/>
      <c r="EU1485" s="883"/>
      <c r="EV1485" s="884">
        <f t="shared" si="269"/>
        <v>0</v>
      </c>
      <c r="EW1485" s="885"/>
      <c r="EX1485" s="885"/>
      <c r="EY1485" s="885"/>
      <c r="EZ1485" s="885"/>
      <c r="FA1485" s="885"/>
      <c r="FB1485" s="885"/>
      <c r="FC1485" s="885"/>
      <c r="FD1485" s="886"/>
      <c r="FE1485" s="877"/>
      <c r="FF1485" s="877"/>
      <c r="FG1485" s="877"/>
      <c r="FH1485" s="877"/>
      <c r="FI1485" s="877"/>
      <c r="FJ1485" s="877"/>
      <c r="FK1485" s="877"/>
      <c r="FL1485" s="874"/>
      <c r="FM1485" s="875"/>
      <c r="FN1485" s="875"/>
      <c r="FO1485" s="875"/>
      <c r="FP1485" s="875"/>
      <c r="FQ1485" s="875"/>
      <c r="FR1485" s="875"/>
      <c r="FS1485" s="875"/>
      <c r="FT1485" s="875"/>
      <c r="FU1485" s="875"/>
      <c r="FV1485" s="875"/>
      <c r="FW1485" s="875"/>
      <c r="FX1485" s="875"/>
      <c r="FY1485" s="875"/>
      <c r="FZ1485" s="875"/>
      <c r="GA1485" s="875"/>
      <c r="GB1485" s="876"/>
      <c r="GC1485" s="370"/>
      <c r="GD1485" s="453"/>
      <c r="GE1485" s="453"/>
      <c r="GF1485" s="453"/>
      <c r="GG1485" s="453"/>
      <c r="GH1485" s="454"/>
      <c r="GI1485" s="453"/>
      <c r="GJ1485" s="453"/>
      <c r="GK1485" s="453"/>
      <c r="GL1485" s="453"/>
      <c r="GM1485" s="453"/>
      <c r="GN1485" s="453"/>
      <c r="GO1485" s="453"/>
      <c r="GP1485" s="453"/>
      <c r="GQ1485" s="453"/>
      <c r="GR1485" s="453"/>
      <c r="GS1485" s="561"/>
      <c r="GT1485" s="475"/>
      <c r="GU1485" s="472"/>
      <c r="GV1485" s="453"/>
      <c r="GW1485" s="453"/>
      <c r="GX1485" s="869"/>
      <c r="GY1485" s="870"/>
      <c r="GZ1485" s="867"/>
      <c r="HA1485" s="868"/>
      <c r="HB1485" s="473"/>
      <c r="HC1485" s="869"/>
      <c r="HD1485" s="870"/>
      <c r="HE1485" s="867"/>
      <c r="HF1485" s="868"/>
      <c r="HG1485" s="473"/>
      <c r="HH1485" s="867"/>
      <c r="HI1485" s="868"/>
      <c r="HJ1485" s="867"/>
      <c r="HK1485" s="868"/>
      <c r="HL1485" s="370"/>
      <c r="HM1485" s="865"/>
      <c r="HN1485" s="866"/>
      <c r="HO1485" s="865"/>
      <c r="HP1485" s="866"/>
      <c r="HQ1485" s="865"/>
      <c r="HR1485" s="866"/>
      <c r="HS1485" s="867"/>
      <c r="HT1485" s="868"/>
      <c r="HU1485" s="489"/>
      <c r="HV1485" s="865"/>
      <c r="HW1485" s="866"/>
    </row>
    <row r="1486" spans="25:231" ht="15" customHeight="1">
      <c r="Y1486" s="332"/>
      <c r="Z1486" s="332"/>
      <c r="AA1486" s="332"/>
      <c r="AB1486" s="332"/>
      <c r="AC1486" s="332"/>
      <c r="AD1486" s="332"/>
      <c r="AE1486" s="332"/>
      <c r="AF1486" s="332"/>
      <c r="AG1486" s="332"/>
      <c r="AH1486" s="332"/>
      <c r="AI1486" s="332"/>
      <c r="AJ1486" s="332"/>
      <c r="AK1486" s="332"/>
      <c r="AL1486" s="332"/>
      <c r="AM1486" s="332"/>
      <c r="AN1486" s="332"/>
      <c r="AO1486" s="332"/>
      <c r="AP1486" s="332"/>
      <c r="AQ1486" s="332"/>
      <c r="AR1486" s="332"/>
      <c r="AS1486" s="332"/>
      <c r="AT1486" s="332"/>
      <c r="AU1486" s="332"/>
      <c r="AV1486" s="332"/>
      <c r="AW1486" s="332"/>
      <c r="AX1486" s="332"/>
      <c r="AY1486" s="332"/>
      <c r="AZ1486" s="332"/>
      <c r="BA1486" s="332"/>
      <c r="BB1486" s="332"/>
      <c r="BC1486" s="332"/>
      <c r="BD1486" s="332"/>
      <c r="BE1486" s="332"/>
      <c r="BF1486" s="332"/>
      <c r="BG1486" s="332"/>
      <c r="BH1486" s="332"/>
      <c r="BI1486" s="332"/>
      <c r="BJ1486" s="332"/>
      <c r="BK1486" s="332"/>
      <c r="BL1486" s="332"/>
      <c r="BM1486" s="332"/>
      <c r="BN1486" s="332"/>
      <c r="BO1486" s="332"/>
      <c r="BP1486" s="332"/>
      <c r="BQ1486" s="332"/>
      <c r="BR1486" s="332"/>
      <c r="BS1486" s="332"/>
      <c r="BT1486" s="332"/>
      <c r="BU1486" s="332"/>
      <c r="BV1486" s="332"/>
      <c r="BW1486" s="332"/>
      <c r="BX1486" s="332"/>
      <c r="BY1486" s="332"/>
      <c r="BZ1486" s="332"/>
      <c r="CA1486" s="332"/>
      <c r="CB1486" s="332"/>
      <c r="CC1486" s="332"/>
      <c r="CD1486" s="332"/>
      <c r="CE1486" s="332"/>
      <c r="CF1486" s="332"/>
      <c r="CG1486" s="332"/>
      <c r="CH1486" s="332"/>
      <c r="CI1486" s="332"/>
      <c r="CJ1486" s="332"/>
      <c r="CK1486" s="332"/>
      <c r="CL1486" s="332"/>
      <c r="CM1486" s="332"/>
      <c r="CN1486" s="332"/>
      <c r="CO1486" s="332"/>
      <c r="CP1486" s="332"/>
      <c r="CQ1486" s="332"/>
      <c r="CR1486" s="332"/>
      <c r="CS1486" s="332"/>
      <c r="CT1486" s="332"/>
      <c r="CU1486" s="332"/>
      <c r="CV1486" s="332"/>
      <c r="CW1486" s="332"/>
      <c r="CX1486" s="332"/>
      <c r="CY1486" s="332"/>
      <c r="CZ1486" s="332"/>
      <c r="DA1486" s="332"/>
      <c r="DB1486" s="332"/>
      <c r="DC1486" s="332"/>
      <c r="DD1486" s="332"/>
      <c r="DE1486" s="332"/>
      <c r="DF1486" s="332"/>
      <c r="DG1486" s="332"/>
      <c r="DH1486" s="332"/>
      <c r="DI1486" s="332"/>
      <c r="DJ1486" s="332"/>
      <c r="DK1486" s="332"/>
      <c r="DL1486" s="332"/>
      <c r="DM1486" s="332"/>
      <c r="DN1486" s="332"/>
      <c r="DO1486" s="332"/>
      <c r="DP1486" s="332"/>
      <c r="DQ1486" s="332"/>
      <c r="DR1486" s="332"/>
      <c r="DS1486" s="332"/>
      <c r="DT1486" s="332"/>
      <c r="DU1486" s="453"/>
      <c r="DV1486" s="453"/>
      <c r="DW1486" s="453"/>
      <c r="DX1486" s="453"/>
      <c r="DY1486" s="453"/>
      <c r="DZ1486" s="453"/>
      <c r="EA1486" s="453"/>
      <c r="EB1486" s="453"/>
      <c r="EC1486" s="453"/>
      <c r="ED1486" s="453"/>
      <c r="EE1486" s="453"/>
      <c r="EF1486" s="453"/>
      <c r="EG1486" s="453"/>
      <c r="EH1486" s="453"/>
      <c r="EI1486" s="453"/>
      <c r="EJ1486" s="453"/>
      <c r="EK1486" s="453"/>
      <c r="EL1486" s="453"/>
      <c r="EM1486" s="483">
        <f t="shared" si="267"/>
        <v>1177</v>
      </c>
      <c r="EN1486" s="485"/>
      <c r="EO1486" s="458"/>
      <c r="EP1486" s="467"/>
      <c r="EQ1486" s="457"/>
      <c r="ER1486" s="808"/>
      <c r="ES1486" s="881">
        <f t="shared" si="268"/>
        <v>0</v>
      </c>
      <c r="ET1486" s="882"/>
      <c r="EU1486" s="883"/>
      <c r="EV1486" s="884">
        <f t="shared" si="269"/>
        <v>0</v>
      </c>
      <c r="EW1486" s="885"/>
      <c r="EX1486" s="885"/>
      <c r="EY1486" s="885"/>
      <c r="EZ1486" s="885"/>
      <c r="FA1486" s="885"/>
      <c r="FB1486" s="885"/>
      <c r="FC1486" s="885"/>
      <c r="FD1486" s="886"/>
      <c r="FE1486" s="877"/>
      <c r="FF1486" s="877"/>
      <c r="FG1486" s="877"/>
      <c r="FH1486" s="877"/>
      <c r="FI1486" s="877"/>
      <c r="FJ1486" s="877"/>
      <c r="FK1486" s="877"/>
      <c r="FL1486" s="874"/>
      <c r="FM1486" s="875"/>
      <c r="FN1486" s="875"/>
      <c r="FO1486" s="875"/>
      <c r="FP1486" s="875"/>
      <c r="FQ1486" s="875"/>
      <c r="FR1486" s="875"/>
      <c r="FS1486" s="875"/>
      <c r="FT1486" s="875"/>
      <c r="FU1486" s="875"/>
      <c r="FV1486" s="875"/>
      <c r="FW1486" s="875"/>
      <c r="FX1486" s="875"/>
      <c r="FY1486" s="875"/>
      <c r="FZ1486" s="875"/>
      <c r="GA1486" s="875"/>
      <c r="GB1486" s="876"/>
      <c r="GC1486" s="370"/>
      <c r="GD1486" s="453"/>
      <c r="GE1486" s="453"/>
      <c r="GF1486" s="453"/>
      <c r="GG1486" s="453"/>
      <c r="GH1486" s="454"/>
      <c r="GI1486" s="453"/>
      <c r="GJ1486" s="453"/>
      <c r="GK1486" s="453"/>
      <c r="GL1486" s="453"/>
      <c r="GM1486" s="453"/>
      <c r="GN1486" s="453"/>
      <c r="GO1486" s="453"/>
      <c r="GP1486" s="453"/>
      <c r="GQ1486" s="453"/>
      <c r="GR1486" s="453"/>
      <c r="GS1486" s="561"/>
      <c r="GT1486" s="475"/>
      <c r="GU1486" s="472"/>
      <c r="GV1486" s="453"/>
      <c r="GW1486" s="453"/>
      <c r="GX1486" s="869"/>
      <c r="GY1486" s="870"/>
      <c r="GZ1486" s="867"/>
      <c r="HA1486" s="868"/>
      <c r="HB1486" s="473"/>
      <c r="HC1486" s="869"/>
      <c r="HD1486" s="870"/>
      <c r="HE1486" s="867"/>
      <c r="HF1486" s="868"/>
      <c r="HG1486" s="473"/>
      <c r="HH1486" s="867"/>
      <c r="HI1486" s="868"/>
      <c r="HJ1486" s="867"/>
      <c r="HK1486" s="868"/>
      <c r="HL1486" s="370"/>
      <c r="HM1486" s="865"/>
      <c r="HN1486" s="866"/>
      <c r="HO1486" s="865"/>
      <c r="HP1486" s="866"/>
      <c r="HQ1486" s="865"/>
      <c r="HR1486" s="866"/>
      <c r="HS1486" s="867"/>
      <c r="HT1486" s="868"/>
      <c r="HU1486" s="489"/>
      <c r="HV1486" s="865"/>
      <c r="HW1486" s="866"/>
    </row>
    <row r="1487" spans="25:231" ht="15" customHeight="1">
      <c r="Y1487" s="332"/>
      <c r="Z1487" s="332"/>
      <c r="AA1487" s="332"/>
      <c r="AB1487" s="332"/>
      <c r="AC1487" s="332"/>
      <c r="AD1487" s="332"/>
      <c r="AE1487" s="332"/>
      <c r="AF1487" s="332"/>
      <c r="AG1487" s="332"/>
      <c r="AH1487" s="332"/>
      <c r="AI1487" s="332"/>
      <c r="AJ1487" s="332"/>
      <c r="AK1487" s="332"/>
      <c r="AL1487" s="332"/>
      <c r="AM1487" s="332"/>
      <c r="AN1487" s="332"/>
      <c r="AO1487" s="332"/>
      <c r="AP1487" s="332"/>
      <c r="AQ1487" s="332"/>
      <c r="AR1487" s="332"/>
      <c r="AS1487" s="332"/>
      <c r="AT1487" s="332"/>
      <c r="AU1487" s="332"/>
      <c r="AV1487" s="332"/>
      <c r="AW1487" s="332"/>
      <c r="AX1487" s="332"/>
      <c r="AY1487" s="332"/>
      <c r="AZ1487" s="332"/>
      <c r="BA1487" s="332"/>
      <c r="BB1487" s="332"/>
      <c r="BC1487" s="332"/>
      <c r="BD1487" s="332"/>
      <c r="BE1487" s="332"/>
      <c r="BF1487" s="332"/>
      <c r="BG1487" s="332"/>
      <c r="BH1487" s="332"/>
      <c r="BI1487" s="332"/>
      <c r="BJ1487" s="332"/>
      <c r="BK1487" s="332"/>
      <c r="BL1487" s="332"/>
      <c r="BM1487" s="332"/>
      <c r="BN1487" s="332"/>
      <c r="BO1487" s="332"/>
      <c r="BP1487" s="332"/>
      <c r="BQ1487" s="332"/>
      <c r="BR1487" s="332"/>
      <c r="BS1487" s="332"/>
      <c r="BT1487" s="332"/>
      <c r="BU1487" s="332"/>
      <c r="BV1487" s="332"/>
      <c r="BW1487" s="332"/>
      <c r="BX1487" s="332"/>
      <c r="BY1487" s="332"/>
      <c r="BZ1487" s="332"/>
      <c r="CA1487" s="332"/>
      <c r="CB1487" s="332"/>
      <c r="CC1487" s="332"/>
      <c r="CD1487" s="332"/>
      <c r="CE1487" s="332"/>
      <c r="CF1487" s="332"/>
      <c r="CG1487" s="332"/>
      <c r="CH1487" s="332"/>
      <c r="CI1487" s="332"/>
      <c r="CJ1487" s="332"/>
      <c r="CK1487" s="332"/>
      <c r="CL1487" s="332"/>
      <c r="CM1487" s="332"/>
      <c r="CN1487" s="332"/>
      <c r="CO1487" s="332"/>
      <c r="CP1487" s="332"/>
      <c r="CQ1487" s="332"/>
      <c r="CR1487" s="332"/>
      <c r="CS1487" s="332"/>
      <c r="CT1487" s="332"/>
      <c r="CU1487" s="332"/>
      <c r="CV1487" s="332"/>
      <c r="CW1487" s="332"/>
      <c r="CX1487" s="332"/>
      <c r="CY1487" s="332"/>
      <c r="CZ1487" s="332"/>
      <c r="DA1487" s="332"/>
      <c r="DB1487" s="332"/>
      <c r="DC1487" s="332"/>
      <c r="DD1487" s="332"/>
      <c r="DE1487" s="332"/>
      <c r="DF1487" s="332"/>
      <c r="DG1487" s="332"/>
      <c r="DH1487" s="332"/>
      <c r="DI1487" s="332"/>
      <c r="DJ1487" s="332"/>
      <c r="DK1487" s="332"/>
      <c r="DL1487" s="332"/>
      <c r="DM1487" s="332"/>
      <c r="DN1487" s="332"/>
      <c r="DO1487" s="332"/>
      <c r="DP1487" s="332"/>
      <c r="DQ1487" s="332"/>
      <c r="DR1487" s="332"/>
      <c r="DS1487" s="332"/>
      <c r="DT1487" s="332"/>
      <c r="DU1487" s="453"/>
      <c r="DV1487" s="453"/>
      <c r="DW1487" s="453"/>
      <c r="DX1487" s="453"/>
      <c r="DY1487" s="453"/>
      <c r="DZ1487" s="453"/>
      <c r="EA1487" s="453"/>
      <c r="EB1487" s="453"/>
      <c r="EC1487" s="453"/>
      <c r="ED1487" s="453"/>
      <c r="EE1487" s="453"/>
      <c r="EF1487" s="453"/>
      <c r="EG1487" s="453"/>
      <c r="EH1487" s="453"/>
      <c r="EI1487" s="453"/>
      <c r="EJ1487" s="453"/>
      <c r="EK1487" s="453"/>
      <c r="EL1487" s="453"/>
      <c r="EM1487" s="483">
        <f t="shared" si="267"/>
        <v>1178</v>
      </c>
      <c r="EN1487" s="485"/>
      <c r="EO1487" s="458"/>
      <c r="EP1487" s="467"/>
      <c r="EQ1487" s="457"/>
      <c r="ER1487" s="808"/>
      <c r="ES1487" s="881">
        <f t="shared" si="268"/>
        <v>0</v>
      </c>
      <c r="ET1487" s="882"/>
      <c r="EU1487" s="883"/>
      <c r="EV1487" s="884">
        <f t="shared" si="269"/>
        <v>0</v>
      </c>
      <c r="EW1487" s="885"/>
      <c r="EX1487" s="885"/>
      <c r="EY1487" s="885"/>
      <c r="EZ1487" s="885"/>
      <c r="FA1487" s="885"/>
      <c r="FB1487" s="885"/>
      <c r="FC1487" s="885"/>
      <c r="FD1487" s="886"/>
      <c r="FE1487" s="877"/>
      <c r="FF1487" s="877"/>
      <c r="FG1487" s="877"/>
      <c r="FH1487" s="877"/>
      <c r="FI1487" s="877"/>
      <c r="FJ1487" s="877"/>
      <c r="FK1487" s="877"/>
      <c r="FL1487" s="874"/>
      <c r="FM1487" s="875"/>
      <c r="FN1487" s="875"/>
      <c r="FO1487" s="875"/>
      <c r="FP1487" s="875"/>
      <c r="FQ1487" s="875"/>
      <c r="FR1487" s="875"/>
      <c r="FS1487" s="875"/>
      <c r="FT1487" s="875"/>
      <c r="FU1487" s="875"/>
      <c r="FV1487" s="875"/>
      <c r="FW1487" s="875"/>
      <c r="FX1487" s="875"/>
      <c r="FY1487" s="875"/>
      <c r="FZ1487" s="875"/>
      <c r="GA1487" s="875"/>
      <c r="GB1487" s="876"/>
      <c r="GC1487" s="370"/>
      <c r="GD1487" s="453"/>
      <c r="GE1487" s="453"/>
      <c r="GF1487" s="453"/>
      <c r="GG1487" s="453"/>
      <c r="GH1487" s="454"/>
      <c r="GI1487" s="453"/>
      <c r="GJ1487" s="453"/>
      <c r="GK1487" s="453"/>
      <c r="GL1487" s="453"/>
      <c r="GM1487" s="453"/>
      <c r="GN1487" s="453"/>
      <c r="GO1487" s="453"/>
      <c r="GP1487" s="453"/>
      <c r="GQ1487" s="453"/>
      <c r="GR1487" s="453"/>
      <c r="GS1487" s="561"/>
      <c r="GT1487" s="475"/>
      <c r="GU1487" s="472"/>
      <c r="GV1487" s="453"/>
      <c r="GW1487" s="453"/>
      <c r="GX1487" s="869"/>
      <c r="GY1487" s="870"/>
      <c r="GZ1487" s="867"/>
      <c r="HA1487" s="868"/>
      <c r="HB1487" s="473"/>
      <c r="HC1487" s="869"/>
      <c r="HD1487" s="870"/>
      <c r="HE1487" s="867"/>
      <c r="HF1487" s="868"/>
      <c r="HG1487" s="473"/>
      <c r="HH1487" s="867"/>
      <c r="HI1487" s="868"/>
      <c r="HJ1487" s="867"/>
      <c r="HK1487" s="868"/>
      <c r="HL1487" s="370"/>
      <c r="HM1487" s="865"/>
      <c r="HN1487" s="866"/>
      <c r="HO1487" s="865"/>
      <c r="HP1487" s="866"/>
      <c r="HQ1487" s="865"/>
      <c r="HR1487" s="866"/>
      <c r="HS1487" s="867"/>
      <c r="HT1487" s="868"/>
      <c r="HU1487" s="489"/>
      <c r="HV1487" s="865"/>
      <c r="HW1487" s="866"/>
    </row>
    <row r="1488" spans="25:231" ht="15" customHeight="1">
      <c r="Y1488" s="332"/>
      <c r="Z1488" s="332"/>
      <c r="AA1488" s="332"/>
      <c r="AB1488" s="332"/>
      <c r="AC1488" s="332"/>
      <c r="AD1488" s="332"/>
      <c r="AE1488" s="332"/>
      <c r="AF1488" s="332"/>
      <c r="AG1488" s="332"/>
      <c r="AH1488" s="332"/>
      <c r="AI1488" s="332"/>
      <c r="AJ1488" s="332"/>
      <c r="AK1488" s="332"/>
      <c r="AL1488" s="332"/>
      <c r="AM1488" s="332"/>
      <c r="AN1488" s="332"/>
      <c r="AO1488" s="332"/>
      <c r="AP1488" s="332"/>
      <c r="AQ1488" s="332"/>
      <c r="AR1488" s="332"/>
      <c r="AS1488" s="332"/>
      <c r="AT1488" s="332"/>
      <c r="AU1488" s="332"/>
      <c r="AV1488" s="332"/>
      <c r="AW1488" s="332"/>
      <c r="AX1488" s="332"/>
      <c r="AY1488" s="332"/>
      <c r="AZ1488" s="332"/>
      <c r="BA1488" s="332"/>
      <c r="BB1488" s="332"/>
      <c r="BC1488" s="332"/>
      <c r="BD1488" s="332"/>
      <c r="BE1488" s="332"/>
      <c r="BF1488" s="332"/>
      <c r="BG1488" s="332"/>
      <c r="BH1488" s="332"/>
      <c r="BI1488" s="332"/>
      <c r="BJ1488" s="332"/>
      <c r="BK1488" s="332"/>
      <c r="BL1488" s="332"/>
      <c r="BM1488" s="332"/>
      <c r="BN1488" s="332"/>
      <c r="BO1488" s="332"/>
      <c r="BP1488" s="332"/>
      <c r="BQ1488" s="332"/>
      <c r="BR1488" s="332"/>
      <c r="BS1488" s="332"/>
      <c r="BT1488" s="332"/>
      <c r="BU1488" s="332"/>
      <c r="BV1488" s="332"/>
      <c r="BW1488" s="332"/>
      <c r="BX1488" s="332"/>
      <c r="BY1488" s="332"/>
      <c r="BZ1488" s="332"/>
      <c r="CA1488" s="332"/>
      <c r="CB1488" s="332"/>
      <c r="CC1488" s="332"/>
      <c r="CD1488" s="332"/>
      <c r="CE1488" s="332"/>
      <c r="CF1488" s="332"/>
      <c r="CG1488" s="332"/>
      <c r="CH1488" s="332"/>
      <c r="CI1488" s="332"/>
      <c r="CJ1488" s="332"/>
      <c r="CK1488" s="332"/>
      <c r="CL1488" s="332"/>
      <c r="CM1488" s="332"/>
      <c r="CN1488" s="332"/>
      <c r="CO1488" s="332"/>
      <c r="CP1488" s="332"/>
      <c r="CQ1488" s="332"/>
      <c r="CR1488" s="332"/>
      <c r="CS1488" s="332"/>
      <c r="CT1488" s="332"/>
      <c r="CU1488" s="332"/>
      <c r="CV1488" s="332"/>
      <c r="CW1488" s="332"/>
      <c r="CX1488" s="332"/>
      <c r="CY1488" s="332"/>
      <c r="CZ1488" s="332"/>
      <c r="DA1488" s="332"/>
      <c r="DB1488" s="332"/>
      <c r="DC1488" s="332"/>
      <c r="DD1488" s="332"/>
      <c r="DE1488" s="332"/>
      <c r="DF1488" s="332"/>
      <c r="DG1488" s="332"/>
      <c r="DH1488" s="332"/>
      <c r="DI1488" s="332"/>
      <c r="DJ1488" s="332"/>
      <c r="DK1488" s="332"/>
      <c r="DL1488" s="332"/>
      <c r="DM1488" s="332"/>
      <c r="DN1488" s="332"/>
      <c r="DO1488" s="332"/>
      <c r="DP1488" s="332"/>
      <c r="DQ1488" s="332"/>
      <c r="DR1488" s="332"/>
      <c r="DS1488" s="332"/>
      <c r="DT1488" s="332"/>
      <c r="DU1488" s="453"/>
      <c r="DV1488" s="453"/>
      <c r="DW1488" s="453"/>
      <c r="DX1488" s="453"/>
      <c r="DY1488" s="453"/>
      <c r="DZ1488" s="453"/>
      <c r="EA1488" s="453"/>
      <c r="EB1488" s="453"/>
      <c r="EC1488" s="453"/>
      <c r="ED1488" s="453"/>
      <c r="EE1488" s="453"/>
      <c r="EF1488" s="453"/>
      <c r="EG1488" s="453"/>
      <c r="EH1488" s="453"/>
      <c r="EI1488" s="453"/>
      <c r="EJ1488" s="453"/>
      <c r="EK1488" s="453"/>
      <c r="EL1488" s="453"/>
      <c r="EM1488" s="483">
        <f t="shared" si="267"/>
        <v>1179</v>
      </c>
      <c r="EN1488" s="485"/>
      <c r="EO1488" s="458"/>
      <c r="EP1488" s="467"/>
      <c r="EQ1488" s="457"/>
      <c r="ER1488" s="808"/>
      <c r="ES1488" s="881">
        <f t="shared" si="268"/>
        <v>0</v>
      </c>
      <c r="ET1488" s="882"/>
      <c r="EU1488" s="883"/>
      <c r="EV1488" s="884">
        <f t="shared" si="269"/>
        <v>0</v>
      </c>
      <c r="EW1488" s="885"/>
      <c r="EX1488" s="885"/>
      <c r="EY1488" s="885"/>
      <c r="EZ1488" s="885"/>
      <c r="FA1488" s="885"/>
      <c r="FB1488" s="885"/>
      <c r="FC1488" s="885"/>
      <c r="FD1488" s="886"/>
      <c r="FE1488" s="877"/>
      <c r="FF1488" s="877"/>
      <c r="FG1488" s="877"/>
      <c r="FH1488" s="877"/>
      <c r="FI1488" s="877"/>
      <c r="FJ1488" s="877"/>
      <c r="FK1488" s="877"/>
      <c r="FL1488" s="874"/>
      <c r="FM1488" s="875"/>
      <c r="FN1488" s="875"/>
      <c r="FO1488" s="875"/>
      <c r="FP1488" s="875"/>
      <c r="FQ1488" s="875"/>
      <c r="FR1488" s="875"/>
      <c r="FS1488" s="875"/>
      <c r="FT1488" s="875"/>
      <c r="FU1488" s="875"/>
      <c r="FV1488" s="875"/>
      <c r="FW1488" s="875"/>
      <c r="FX1488" s="875"/>
      <c r="FY1488" s="875"/>
      <c r="FZ1488" s="875"/>
      <c r="GA1488" s="875"/>
      <c r="GB1488" s="876"/>
      <c r="GC1488" s="370"/>
      <c r="GD1488" s="453"/>
      <c r="GE1488" s="453"/>
      <c r="GF1488" s="453"/>
      <c r="GG1488" s="453"/>
      <c r="GH1488" s="454"/>
      <c r="GI1488" s="453"/>
      <c r="GJ1488" s="453"/>
      <c r="GK1488" s="453"/>
      <c r="GL1488" s="453"/>
      <c r="GM1488" s="453"/>
      <c r="GN1488" s="453"/>
      <c r="GO1488" s="453"/>
      <c r="GP1488" s="453"/>
      <c r="GQ1488" s="453"/>
      <c r="GR1488" s="453"/>
      <c r="GS1488" s="561"/>
      <c r="GT1488" s="475"/>
      <c r="GU1488" s="472"/>
      <c r="GV1488" s="453"/>
      <c r="GW1488" s="453"/>
      <c r="GX1488" s="869"/>
      <c r="GY1488" s="870"/>
      <c r="GZ1488" s="867"/>
      <c r="HA1488" s="868"/>
      <c r="HB1488" s="473"/>
      <c r="HC1488" s="869"/>
      <c r="HD1488" s="870"/>
      <c r="HE1488" s="867"/>
      <c r="HF1488" s="868"/>
      <c r="HG1488" s="473"/>
      <c r="HH1488" s="867"/>
      <c r="HI1488" s="868"/>
      <c r="HJ1488" s="867"/>
      <c r="HK1488" s="868"/>
      <c r="HL1488" s="370"/>
      <c r="HM1488" s="865"/>
      <c r="HN1488" s="866"/>
      <c r="HO1488" s="865"/>
      <c r="HP1488" s="866"/>
      <c r="HQ1488" s="865"/>
      <c r="HR1488" s="866"/>
      <c r="HS1488" s="867"/>
      <c r="HT1488" s="868"/>
      <c r="HU1488" s="489"/>
      <c r="HV1488" s="865"/>
      <c r="HW1488" s="866"/>
    </row>
    <row r="1489" spans="25:231" ht="15" customHeight="1">
      <c r="Y1489" s="332"/>
      <c r="Z1489" s="332"/>
      <c r="AA1489" s="332"/>
      <c r="AB1489" s="332"/>
      <c r="AC1489" s="332"/>
      <c r="AD1489" s="332"/>
      <c r="AE1489" s="332"/>
      <c r="AF1489" s="332"/>
      <c r="AG1489" s="332"/>
      <c r="AH1489" s="332"/>
      <c r="AI1489" s="332"/>
      <c r="AJ1489" s="332"/>
      <c r="AK1489" s="332"/>
      <c r="AL1489" s="332"/>
      <c r="AM1489" s="332"/>
      <c r="AN1489" s="332"/>
      <c r="AO1489" s="332"/>
      <c r="AP1489" s="332"/>
      <c r="AQ1489" s="332"/>
      <c r="AR1489" s="332"/>
      <c r="AS1489" s="332"/>
      <c r="AT1489" s="332"/>
      <c r="AU1489" s="332"/>
      <c r="AV1489" s="332"/>
      <c r="AW1489" s="332"/>
      <c r="AX1489" s="332"/>
      <c r="AY1489" s="332"/>
      <c r="AZ1489" s="332"/>
      <c r="BA1489" s="332"/>
      <c r="BB1489" s="332"/>
      <c r="BC1489" s="332"/>
      <c r="BD1489" s="332"/>
      <c r="BE1489" s="332"/>
      <c r="BF1489" s="332"/>
      <c r="BG1489" s="332"/>
      <c r="BH1489" s="332"/>
      <c r="BI1489" s="332"/>
      <c r="BJ1489" s="332"/>
      <c r="BK1489" s="332"/>
      <c r="BL1489" s="332"/>
      <c r="BM1489" s="332"/>
      <c r="BN1489" s="332"/>
      <c r="BO1489" s="332"/>
      <c r="BP1489" s="332"/>
      <c r="BQ1489" s="332"/>
      <c r="BR1489" s="332"/>
      <c r="BS1489" s="332"/>
      <c r="BT1489" s="332"/>
      <c r="BU1489" s="332"/>
      <c r="BV1489" s="332"/>
      <c r="BW1489" s="332"/>
      <c r="BX1489" s="332"/>
      <c r="BY1489" s="332"/>
      <c r="BZ1489" s="332"/>
      <c r="CA1489" s="332"/>
      <c r="CB1489" s="332"/>
      <c r="CC1489" s="332"/>
      <c r="CD1489" s="332"/>
      <c r="CE1489" s="332"/>
      <c r="CF1489" s="332"/>
      <c r="CG1489" s="332"/>
      <c r="CH1489" s="332"/>
      <c r="CI1489" s="332"/>
      <c r="CJ1489" s="332"/>
      <c r="CK1489" s="332"/>
      <c r="CL1489" s="332"/>
      <c r="CM1489" s="332"/>
      <c r="CN1489" s="332"/>
      <c r="CO1489" s="332"/>
      <c r="CP1489" s="332"/>
      <c r="CQ1489" s="332"/>
      <c r="CR1489" s="332"/>
      <c r="CS1489" s="332"/>
      <c r="CT1489" s="332"/>
      <c r="CU1489" s="332"/>
      <c r="CV1489" s="332"/>
      <c r="CW1489" s="332"/>
      <c r="CX1489" s="332"/>
      <c r="CY1489" s="332"/>
      <c r="CZ1489" s="332"/>
      <c r="DA1489" s="332"/>
      <c r="DB1489" s="332"/>
      <c r="DC1489" s="332"/>
      <c r="DD1489" s="332"/>
      <c r="DE1489" s="332"/>
      <c r="DF1489" s="332"/>
      <c r="DG1489" s="332"/>
      <c r="DH1489" s="332"/>
      <c r="DI1489" s="332"/>
      <c r="DJ1489" s="332"/>
      <c r="DK1489" s="332"/>
      <c r="DL1489" s="332"/>
      <c r="DM1489" s="332"/>
      <c r="DN1489" s="332"/>
      <c r="DO1489" s="332"/>
      <c r="DP1489" s="332"/>
      <c r="DQ1489" s="332"/>
      <c r="DR1489" s="332"/>
      <c r="DS1489" s="332"/>
      <c r="DT1489" s="332"/>
      <c r="DU1489" s="453"/>
      <c r="DV1489" s="453"/>
      <c r="DW1489" s="453"/>
      <c r="DX1489" s="453"/>
      <c r="DY1489" s="453"/>
      <c r="DZ1489" s="453"/>
      <c r="EA1489" s="453"/>
      <c r="EB1489" s="453"/>
      <c r="EC1489" s="453"/>
      <c r="ED1489" s="453"/>
      <c r="EE1489" s="453"/>
      <c r="EF1489" s="453"/>
      <c r="EG1489" s="453"/>
      <c r="EH1489" s="453"/>
      <c r="EI1489" s="453"/>
      <c r="EJ1489" s="453"/>
      <c r="EK1489" s="453"/>
      <c r="EL1489" s="453"/>
      <c r="EM1489" s="483">
        <f t="shared" si="267"/>
        <v>1180</v>
      </c>
      <c r="EN1489" s="485"/>
      <c r="EO1489" s="458"/>
      <c r="EP1489" s="467"/>
      <c r="EQ1489" s="457"/>
      <c r="ER1489" s="808"/>
      <c r="ES1489" s="881">
        <f t="shared" si="268"/>
        <v>0</v>
      </c>
      <c r="ET1489" s="882"/>
      <c r="EU1489" s="883"/>
      <c r="EV1489" s="884">
        <f t="shared" si="269"/>
        <v>0</v>
      </c>
      <c r="EW1489" s="885"/>
      <c r="EX1489" s="885"/>
      <c r="EY1489" s="885"/>
      <c r="EZ1489" s="885"/>
      <c r="FA1489" s="885"/>
      <c r="FB1489" s="885"/>
      <c r="FC1489" s="885"/>
      <c r="FD1489" s="886"/>
      <c r="FE1489" s="877"/>
      <c r="FF1489" s="877"/>
      <c r="FG1489" s="877"/>
      <c r="FH1489" s="877"/>
      <c r="FI1489" s="877"/>
      <c r="FJ1489" s="877"/>
      <c r="FK1489" s="877"/>
      <c r="FL1489" s="874"/>
      <c r="FM1489" s="875"/>
      <c r="FN1489" s="875"/>
      <c r="FO1489" s="875"/>
      <c r="FP1489" s="875"/>
      <c r="FQ1489" s="875"/>
      <c r="FR1489" s="875"/>
      <c r="FS1489" s="875"/>
      <c r="FT1489" s="875"/>
      <c r="FU1489" s="875"/>
      <c r="FV1489" s="875"/>
      <c r="FW1489" s="875"/>
      <c r="FX1489" s="875"/>
      <c r="FY1489" s="875"/>
      <c r="FZ1489" s="875"/>
      <c r="GA1489" s="875"/>
      <c r="GB1489" s="876"/>
      <c r="GC1489" s="370"/>
      <c r="GD1489" s="453"/>
      <c r="GE1489" s="453"/>
      <c r="GF1489" s="453"/>
      <c r="GG1489" s="453"/>
      <c r="GH1489" s="454"/>
      <c r="GI1489" s="453"/>
      <c r="GJ1489" s="453"/>
      <c r="GK1489" s="453"/>
      <c r="GL1489" s="453"/>
      <c r="GM1489" s="453"/>
      <c r="GN1489" s="453"/>
      <c r="GO1489" s="453"/>
      <c r="GP1489" s="453"/>
      <c r="GQ1489" s="453"/>
      <c r="GR1489" s="453"/>
      <c r="GS1489" s="561"/>
      <c r="GT1489" s="475"/>
      <c r="GU1489" s="472"/>
      <c r="GV1489" s="453"/>
      <c r="GW1489" s="453"/>
      <c r="GX1489" s="869"/>
      <c r="GY1489" s="870"/>
      <c r="GZ1489" s="867"/>
      <c r="HA1489" s="868"/>
      <c r="HB1489" s="473"/>
      <c r="HC1489" s="869"/>
      <c r="HD1489" s="870"/>
      <c r="HE1489" s="867"/>
      <c r="HF1489" s="868"/>
      <c r="HG1489" s="473"/>
      <c r="HH1489" s="867"/>
      <c r="HI1489" s="868"/>
      <c r="HJ1489" s="867"/>
      <c r="HK1489" s="868"/>
      <c r="HL1489" s="370"/>
      <c r="HM1489" s="865"/>
      <c r="HN1489" s="866"/>
      <c r="HO1489" s="865"/>
      <c r="HP1489" s="866"/>
      <c r="HQ1489" s="865"/>
      <c r="HR1489" s="866"/>
      <c r="HS1489" s="867"/>
      <c r="HT1489" s="868"/>
      <c r="HU1489" s="489"/>
      <c r="HV1489" s="865"/>
      <c r="HW1489" s="866"/>
    </row>
    <row r="1490" spans="25:231" ht="15" customHeight="1">
      <c r="Y1490" s="332"/>
      <c r="Z1490" s="332"/>
      <c r="AA1490" s="332"/>
      <c r="AB1490" s="332"/>
      <c r="AC1490" s="332"/>
      <c r="AD1490" s="332"/>
      <c r="AE1490" s="332"/>
      <c r="AF1490" s="332"/>
      <c r="AG1490" s="332"/>
      <c r="AH1490" s="332"/>
      <c r="AI1490" s="332"/>
      <c r="AJ1490" s="332"/>
      <c r="AK1490" s="332"/>
      <c r="AL1490" s="332"/>
      <c r="AM1490" s="332"/>
      <c r="AN1490" s="332"/>
      <c r="AO1490" s="332"/>
      <c r="AP1490" s="332"/>
      <c r="AQ1490" s="332"/>
      <c r="AR1490" s="332"/>
      <c r="AS1490" s="332"/>
      <c r="AT1490" s="332"/>
      <c r="AU1490" s="332"/>
      <c r="AV1490" s="332"/>
      <c r="AW1490" s="332"/>
      <c r="AX1490" s="332"/>
      <c r="AY1490" s="332"/>
      <c r="AZ1490" s="332"/>
      <c r="BA1490" s="332"/>
      <c r="BB1490" s="332"/>
      <c r="BC1490" s="332"/>
      <c r="BD1490" s="332"/>
      <c r="BE1490" s="332"/>
      <c r="BF1490" s="332"/>
      <c r="BG1490" s="332"/>
      <c r="BH1490" s="332"/>
      <c r="BI1490" s="332"/>
      <c r="BJ1490" s="332"/>
      <c r="BK1490" s="332"/>
      <c r="BL1490" s="332"/>
      <c r="BM1490" s="332"/>
      <c r="BN1490" s="332"/>
      <c r="BO1490" s="332"/>
      <c r="BP1490" s="332"/>
      <c r="BQ1490" s="332"/>
      <c r="BR1490" s="332"/>
      <c r="BS1490" s="332"/>
      <c r="BT1490" s="332"/>
      <c r="BU1490" s="332"/>
      <c r="BV1490" s="332"/>
      <c r="BW1490" s="332"/>
      <c r="BX1490" s="332"/>
      <c r="BY1490" s="332"/>
      <c r="BZ1490" s="332"/>
      <c r="CA1490" s="332"/>
      <c r="CB1490" s="332"/>
      <c r="CC1490" s="332"/>
      <c r="CD1490" s="332"/>
      <c r="CE1490" s="332"/>
      <c r="CF1490" s="332"/>
      <c r="CG1490" s="332"/>
      <c r="CH1490" s="332"/>
      <c r="CI1490" s="332"/>
      <c r="CJ1490" s="332"/>
      <c r="CK1490" s="332"/>
      <c r="CL1490" s="332"/>
      <c r="CM1490" s="332"/>
      <c r="CN1490" s="332"/>
      <c r="CO1490" s="332"/>
      <c r="CP1490" s="332"/>
      <c r="CQ1490" s="332"/>
      <c r="CR1490" s="332"/>
      <c r="CS1490" s="332"/>
      <c r="CT1490" s="332"/>
      <c r="CU1490" s="332"/>
      <c r="CV1490" s="332"/>
      <c r="CW1490" s="332"/>
      <c r="CX1490" s="332"/>
      <c r="CY1490" s="332"/>
      <c r="CZ1490" s="332"/>
      <c r="DA1490" s="332"/>
      <c r="DB1490" s="332"/>
      <c r="DC1490" s="332"/>
      <c r="DD1490" s="332"/>
      <c r="DE1490" s="332"/>
      <c r="DF1490" s="332"/>
      <c r="DG1490" s="332"/>
      <c r="DH1490" s="332"/>
      <c r="DI1490" s="332"/>
      <c r="DJ1490" s="332"/>
      <c r="DK1490" s="332"/>
      <c r="DL1490" s="332"/>
      <c r="DM1490" s="332"/>
      <c r="DN1490" s="332"/>
      <c r="DO1490" s="332"/>
      <c r="DP1490" s="332"/>
      <c r="DQ1490" s="332"/>
      <c r="DR1490" s="332"/>
      <c r="DS1490" s="332"/>
      <c r="DT1490" s="332"/>
      <c r="DU1490" s="453"/>
      <c r="DV1490" s="453"/>
      <c r="DW1490" s="453"/>
      <c r="DX1490" s="453"/>
      <c r="DY1490" s="453"/>
      <c r="DZ1490" s="453"/>
      <c r="EA1490" s="453"/>
      <c r="EB1490" s="453"/>
      <c r="EC1490" s="453"/>
      <c r="ED1490" s="453"/>
      <c r="EE1490" s="453"/>
      <c r="EF1490" s="453"/>
      <c r="EG1490" s="453"/>
      <c r="EH1490" s="453"/>
      <c r="EI1490" s="453"/>
      <c r="EJ1490" s="453"/>
      <c r="EK1490" s="453"/>
      <c r="EL1490" s="453"/>
      <c r="EM1490" s="483">
        <f t="shared" si="267"/>
        <v>1181</v>
      </c>
      <c r="EN1490" s="485"/>
      <c r="EO1490" s="458"/>
      <c r="EP1490" s="467"/>
      <c r="EQ1490" s="457"/>
      <c r="ER1490" s="808"/>
      <c r="ES1490" s="881">
        <f t="shared" si="268"/>
        <v>0</v>
      </c>
      <c r="ET1490" s="882"/>
      <c r="EU1490" s="883"/>
      <c r="EV1490" s="884">
        <f t="shared" si="269"/>
        <v>0</v>
      </c>
      <c r="EW1490" s="885"/>
      <c r="EX1490" s="885"/>
      <c r="EY1490" s="885"/>
      <c r="EZ1490" s="885"/>
      <c r="FA1490" s="885"/>
      <c r="FB1490" s="885"/>
      <c r="FC1490" s="885"/>
      <c r="FD1490" s="886"/>
      <c r="FE1490" s="877"/>
      <c r="FF1490" s="877"/>
      <c r="FG1490" s="877"/>
      <c r="FH1490" s="877"/>
      <c r="FI1490" s="877"/>
      <c r="FJ1490" s="877"/>
      <c r="FK1490" s="877"/>
      <c r="FL1490" s="874"/>
      <c r="FM1490" s="875"/>
      <c r="FN1490" s="875"/>
      <c r="FO1490" s="875"/>
      <c r="FP1490" s="875"/>
      <c r="FQ1490" s="875"/>
      <c r="FR1490" s="875"/>
      <c r="FS1490" s="875"/>
      <c r="FT1490" s="875"/>
      <c r="FU1490" s="875"/>
      <c r="FV1490" s="875"/>
      <c r="FW1490" s="875"/>
      <c r="FX1490" s="875"/>
      <c r="FY1490" s="875"/>
      <c r="FZ1490" s="875"/>
      <c r="GA1490" s="875"/>
      <c r="GB1490" s="876"/>
      <c r="GC1490" s="370"/>
      <c r="GD1490" s="453"/>
      <c r="GE1490" s="453"/>
      <c r="GF1490" s="453"/>
      <c r="GG1490" s="453"/>
      <c r="GH1490" s="454"/>
      <c r="GI1490" s="453"/>
      <c r="GJ1490" s="453"/>
      <c r="GK1490" s="453"/>
      <c r="GL1490" s="453"/>
      <c r="GM1490" s="453"/>
      <c r="GN1490" s="453"/>
      <c r="GO1490" s="453"/>
      <c r="GP1490" s="453"/>
      <c r="GQ1490" s="453"/>
      <c r="GR1490" s="453"/>
      <c r="GS1490" s="561"/>
      <c r="GT1490" s="475"/>
      <c r="GU1490" s="472"/>
      <c r="GV1490" s="453"/>
      <c r="GW1490" s="453"/>
      <c r="GX1490" s="869"/>
      <c r="GY1490" s="870"/>
      <c r="GZ1490" s="867"/>
      <c r="HA1490" s="868"/>
      <c r="HB1490" s="473"/>
      <c r="HC1490" s="869"/>
      <c r="HD1490" s="870"/>
      <c r="HE1490" s="867"/>
      <c r="HF1490" s="868"/>
      <c r="HG1490" s="473"/>
      <c r="HH1490" s="867"/>
      <c r="HI1490" s="868"/>
      <c r="HJ1490" s="867"/>
      <c r="HK1490" s="868"/>
      <c r="HL1490" s="370"/>
      <c r="HM1490" s="865"/>
      <c r="HN1490" s="866"/>
      <c r="HO1490" s="865"/>
      <c r="HP1490" s="866"/>
      <c r="HQ1490" s="865"/>
      <c r="HR1490" s="866"/>
      <c r="HS1490" s="867"/>
      <c r="HT1490" s="868"/>
      <c r="HU1490" s="489"/>
      <c r="HV1490" s="865"/>
      <c r="HW1490" s="866"/>
    </row>
    <row r="1491" spans="25:231" ht="15" customHeight="1">
      <c r="Y1491" s="332"/>
      <c r="Z1491" s="332"/>
      <c r="AA1491" s="332"/>
      <c r="AB1491" s="332"/>
      <c r="AC1491" s="332"/>
      <c r="AD1491" s="332"/>
      <c r="AE1491" s="332"/>
      <c r="AF1491" s="332"/>
      <c r="AG1491" s="332"/>
      <c r="AH1491" s="332"/>
      <c r="AI1491" s="332"/>
      <c r="AJ1491" s="332"/>
      <c r="AK1491" s="332"/>
      <c r="AL1491" s="332"/>
      <c r="AM1491" s="332"/>
      <c r="AN1491" s="332"/>
      <c r="AO1491" s="332"/>
      <c r="AP1491" s="332"/>
      <c r="AQ1491" s="332"/>
      <c r="AR1491" s="332"/>
      <c r="AS1491" s="332"/>
      <c r="AT1491" s="332"/>
      <c r="AU1491" s="332"/>
      <c r="AV1491" s="332"/>
      <c r="AW1491" s="332"/>
      <c r="AX1491" s="332"/>
      <c r="AY1491" s="332"/>
      <c r="AZ1491" s="332"/>
      <c r="BA1491" s="332"/>
      <c r="BB1491" s="332"/>
      <c r="BC1491" s="332"/>
      <c r="BD1491" s="332"/>
      <c r="BE1491" s="332"/>
      <c r="BF1491" s="332"/>
      <c r="BG1491" s="332"/>
      <c r="BH1491" s="332"/>
      <c r="BI1491" s="332"/>
      <c r="BJ1491" s="332"/>
      <c r="BK1491" s="332"/>
      <c r="BL1491" s="332"/>
      <c r="BM1491" s="332"/>
      <c r="BN1491" s="332"/>
      <c r="BO1491" s="332"/>
      <c r="BP1491" s="332"/>
      <c r="BQ1491" s="332"/>
      <c r="BR1491" s="332"/>
      <c r="BS1491" s="332"/>
      <c r="BT1491" s="332"/>
      <c r="BU1491" s="332"/>
      <c r="BV1491" s="332"/>
      <c r="BW1491" s="332"/>
      <c r="BX1491" s="332"/>
      <c r="BY1491" s="332"/>
      <c r="BZ1491" s="332"/>
      <c r="CA1491" s="332"/>
      <c r="CB1491" s="332"/>
      <c r="CC1491" s="332"/>
      <c r="CD1491" s="332"/>
      <c r="CE1491" s="332"/>
      <c r="CF1491" s="332"/>
      <c r="CG1491" s="332"/>
      <c r="CH1491" s="332"/>
      <c r="CI1491" s="332"/>
      <c r="CJ1491" s="332"/>
      <c r="CK1491" s="332"/>
      <c r="CL1491" s="332"/>
      <c r="CM1491" s="332"/>
      <c r="CN1491" s="332"/>
      <c r="CO1491" s="332"/>
      <c r="CP1491" s="332"/>
      <c r="CQ1491" s="332"/>
      <c r="CR1491" s="332"/>
      <c r="CS1491" s="332"/>
      <c r="CT1491" s="332"/>
      <c r="CU1491" s="332"/>
      <c r="CV1491" s="332"/>
      <c r="CW1491" s="332"/>
      <c r="CX1491" s="332"/>
      <c r="CY1491" s="332"/>
      <c r="CZ1491" s="332"/>
      <c r="DA1491" s="332"/>
      <c r="DB1491" s="332"/>
      <c r="DC1491" s="332"/>
      <c r="DD1491" s="332"/>
      <c r="DE1491" s="332"/>
      <c r="DF1491" s="332"/>
      <c r="DG1491" s="332"/>
      <c r="DH1491" s="332"/>
      <c r="DI1491" s="332"/>
      <c r="DJ1491" s="332"/>
      <c r="DK1491" s="332"/>
      <c r="DL1491" s="332"/>
      <c r="DM1491" s="332"/>
      <c r="DN1491" s="332"/>
      <c r="DO1491" s="332"/>
      <c r="DP1491" s="332"/>
      <c r="DQ1491" s="332"/>
      <c r="DR1491" s="332"/>
      <c r="DS1491" s="332"/>
      <c r="DT1491" s="332"/>
      <c r="DU1491" s="453"/>
      <c r="DV1491" s="453"/>
      <c r="DW1491" s="453"/>
      <c r="DX1491" s="453"/>
      <c r="DY1491" s="453"/>
      <c r="DZ1491" s="453"/>
      <c r="EA1491" s="453"/>
      <c r="EB1491" s="453"/>
      <c r="EC1491" s="453"/>
      <c r="ED1491" s="453"/>
      <c r="EE1491" s="453"/>
      <c r="EF1491" s="453"/>
      <c r="EG1491" s="453"/>
      <c r="EH1491" s="453"/>
      <c r="EI1491" s="453"/>
      <c r="EJ1491" s="453"/>
      <c r="EK1491" s="453"/>
      <c r="EL1491" s="453"/>
      <c r="EM1491" s="483">
        <f t="shared" si="267"/>
        <v>1182</v>
      </c>
      <c r="EN1491" s="485"/>
      <c r="EO1491" s="458"/>
      <c r="EP1491" s="467"/>
      <c r="EQ1491" s="457"/>
      <c r="ER1491" s="808"/>
      <c r="ES1491" s="881">
        <f t="shared" si="268"/>
        <v>0</v>
      </c>
      <c r="ET1491" s="882"/>
      <c r="EU1491" s="883"/>
      <c r="EV1491" s="884">
        <f t="shared" si="269"/>
        <v>0</v>
      </c>
      <c r="EW1491" s="885"/>
      <c r="EX1491" s="885"/>
      <c r="EY1491" s="885"/>
      <c r="EZ1491" s="885"/>
      <c r="FA1491" s="885"/>
      <c r="FB1491" s="885"/>
      <c r="FC1491" s="885"/>
      <c r="FD1491" s="886"/>
      <c r="FE1491" s="877"/>
      <c r="FF1491" s="877"/>
      <c r="FG1491" s="877"/>
      <c r="FH1491" s="877"/>
      <c r="FI1491" s="877"/>
      <c r="FJ1491" s="877"/>
      <c r="FK1491" s="877"/>
      <c r="FL1491" s="874"/>
      <c r="FM1491" s="875"/>
      <c r="FN1491" s="875"/>
      <c r="FO1491" s="875"/>
      <c r="FP1491" s="875"/>
      <c r="FQ1491" s="875"/>
      <c r="FR1491" s="875"/>
      <c r="FS1491" s="875"/>
      <c r="FT1491" s="875"/>
      <c r="FU1491" s="875"/>
      <c r="FV1491" s="875"/>
      <c r="FW1491" s="875"/>
      <c r="FX1491" s="875"/>
      <c r="FY1491" s="875"/>
      <c r="FZ1491" s="875"/>
      <c r="GA1491" s="875"/>
      <c r="GB1491" s="876"/>
      <c r="GC1491" s="370"/>
      <c r="GD1491" s="453"/>
      <c r="GE1491" s="453"/>
      <c r="GF1491" s="453"/>
      <c r="GG1491" s="453"/>
      <c r="GH1491" s="454"/>
      <c r="GI1491" s="453"/>
      <c r="GJ1491" s="453"/>
      <c r="GK1491" s="453"/>
      <c r="GL1491" s="453"/>
      <c r="GM1491" s="453"/>
      <c r="GN1491" s="453"/>
      <c r="GO1491" s="453"/>
      <c r="GP1491" s="453"/>
      <c r="GQ1491" s="453"/>
      <c r="GR1491" s="453"/>
      <c r="GS1491" s="561"/>
      <c r="GT1491" s="475"/>
      <c r="GU1491" s="472"/>
      <c r="GV1491" s="453"/>
      <c r="GW1491" s="453"/>
      <c r="GX1491" s="869"/>
      <c r="GY1491" s="870"/>
      <c r="GZ1491" s="867"/>
      <c r="HA1491" s="868"/>
      <c r="HB1491" s="473"/>
      <c r="HC1491" s="869"/>
      <c r="HD1491" s="870"/>
      <c r="HE1491" s="867"/>
      <c r="HF1491" s="868"/>
      <c r="HG1491" s="473"/>
      <c r="HH1491" s="867"/>
      <c r="HI1491" s="868"/>
      <c r="HJ1491" s="867"/>
      <c r="HK1491" s="868"/>
      <c r="HL1491" s="370"/>
      <c r="HM1491" s="865"/>
      <c r="HN1491" s="866"/>
      <c r="HO1491" s="865"/>
      <c r="HP1491" s="866"/>
      <c r="HQ1491" s="865"/>
      <c r="HR1491" s="866"/>
      <c r="HS1491" s="867"/>
      <c r="HT1491" s="868"/>
      <c r="HU1491" s="489"/>
      <c r="HV1491" s="865"/>
      <c r="HW1491" s="866"/>
    </row>
    <row r="1492" spans="25:231" ht="15" customHeight="1">
      <c r="Y1492" s="332"/>
      <c r="Z1492" s="332"/>
      <c r="AA1492" s="332"/>
      <c r="AB1492" s="332"/>
      <c r="AC1492" s="332"/>
      <c r="AD1492" s="332"/>
      <c r="AE1492" s="332"/>
      <c r="AF1492" s="332"/>
      <c r="AG1492" s="332"/>
      <c r="AH1492" s="332"/>
      <c r="AI1492" s="332"/>
      <c r="AJ1492" s="332"/>
      <c r="AK1492" s="332"/>
      <c r="AL1492" s="332"/>
      <c r="AM1492" s="332"/>
      <c r="AN1492" s="332"/>
      <c r="AO1492" s="332"/>
      <c r="AP1492" s="332"/>
      <c r="AQ1492" s="332"/>
      <c r="AR1492" s="332"/>
      <c r="AS1492" s="332"/>
      <c r="AT1492" s="332"/>
      <c r="AU1492" s="332"/>
      <c r="AV1492" s="332"/>
      <c r="AW1492" s="332"/>
      <c r="AX1492" s="332"/>
      <c r="AY1492" s="332"/>
      <c r="AZ1492" s="332"/>
      <c r="BA1492" s="332"/>
      <c r="BB1492" s="332"/>
      <c r="BC1492" s="332"/>
      <c r="BD1492" s="332"/>
      <c r="BE1492" s="332"/>
      <c r="BF1492" s="332"/>
      <c r="BG1492" s="332"/>
      <c r="BH1492" s="332"/>
      <c r="BI1492" s="332"/>
      <c r="BJ1492" s="332"/>
      <c r="BK1492" s="332"/>
      <c r="BL1492" s="332"/>
      <c r="BM1492" s="332"/>
      <c r="BN1492" s="332"/>
      <c r="BO1492" s="332"/>
      <c r="BP1492" s="332"/>
      <c r="BQ1492" s="332"/>
      <c r="BR1492" s="332"/>
      <c r="BS1492" s="332"/>
      <c r="BT1492" s="332"/>
      <c r="BU1492" s="332"/>
      <c r="BV1492" s="332"/>
      <c r="BW1492" s="332"/>
      <c r="BX1492" s="332"/>
      <c r="BY1492" s="332"/>
      <c r="BZ1492" s="332"/>
      <c r="CA1492" s="332"/>
      <c r="CB1492" s="332"/>
      <c r="CC1492" s="332"/>
      <c r="CD1492" s="332"/>
      <c r="CE1492" s="332"/>
      <c r="CF1492" s="332"/>
      <c r="CG1492" s="332"/>
      <c r="CH1492" s="332"/>
      <c r="CI1492" s="332"/>
      <c r="CJ1492" s="332"/>
      <c r="CK1492" s="332"/>
      <c r="CL1492" s="332"/>
      <c r="CM1492" s="332"/>
      <c r="CN1492" s="332"/>
      <c r="CO1492" s="332"/>
      <c r="CP1492" s="332"/>
      <c r="CQ1492" s="332"/>
      <c r="CR1492" s="332"/>
      <c r="CS1492" s="332"/>
      <c r="CT1492" s="332"/>
      <c r="CU1492" s="332"/>
      <c r="CV1492" s="332"/>
      <c r="CW1492" s="332"/>
      <c r="CX1492" s="332"/>
      <c r="CY1492" s="332"/>
      <c r="CZ1492" s="332"/>
      <c r="DA1492" s="332"/>
      <c r="DB1492" s="332"/>
      <c r="DC1492" s="332"/>
      <c r="DD1492" s="332"/>
      <c r="DE1492" s="332"/>
      <c r="DF1492" s="332"/>
      <c r="DG1492" s="332"/>
      <c r="DH1492" s="332"/>
      <c r="DI1492" s="332"/>
      <c r="DJ1492" s="332"/>
      <c r="DK1492" s="332"/>
      <c r="DL1492" s="332"/>
      <c r="DM1492" s="332"/>
      <c r="DN1492" s="332"/>
      <c r="DO1492" s="332"/>
      <c r="DP1492" s="332"/>
      <c r="DQ1492" s="332"/>
      <c r="DR1492" s="332"/>
      <c r="DS1492" s="332"/>
      <c r="DT1492" s="332"/>
      <c r="DU1492" s="453"/>
      <c r="DV1492" s="453"/>
      <c r="DW1492" s="453"/>
      <c r="DX1492" s="453"/>
      <c r="DY1492" s="453"/>
      <c r="DZ1492" s="453"/>
      <c r="EA1492" s="453"/>
      <c r="EB1492" s="453"/>
      <c r="EC1492" s="453"/>
      <c r="ED1492" s="453"/>
      <c r="EE1492" s="453"/>
      <c r="EF1492" s="453"/>
      <c r="EG1492" s="453"/>
      <c r="EH1492" s="453"/>
      <c r="EI1492" s="453"/>
      <c r="EJ1492" s="453"/>
      <c r="EK1492" s="453"/>
      <c r="EL1492" s="453"/>
      <c r="EM1492" s="483">
        <f t="shared" si="267"/>
        <v>1183</v>
      </c>
      <c r="EN1492" s="485"/>
      <c r="EO1492" s="458"/>
      <c r="EP1492" s="467"/>
      <c r="EQ1492" s="457"/>
      <c r="ER1492" s="808"/>
      <c r="ES1492" s="881">
        <f t="shared" si="268"/>
        <v>0</v>
      </c>
      <c r="ET1492" s="882"/>
      <c r="EU1492" s="883"/>
      <c r="EV1492" s="884">
        <f t="shared" si="269"/>
        <v>0</v>
      </c>
      <c r="EW1492" s="885"/>
      <c r="EX1492" s="885"/>
      <c r="EY1492" s="885"/>
      <c r="EZ1492" s="885"/>
      <c r="FA1492" s="885"/>
      <c r="FB1492" s="885"/>
      <c r="FC1492" s="885"/>
      <c r="FD1492" s="886"/>
      <c r="FE1492" s="877"/>
      <c r="FF1492" s="877"/>
      <c r="FG1492" s="877"/>
      <c r="FH1492" s="877"/>
      <c r="FI1492" s="877"/>
      <c r="FJ1492" s="877"/>
      <c r="FK1492" s="877"/>
      <c r="FL1492" s="874"/>
      <c r="FM1492" s="875"/>
      <c r="FN1492" s="875"/>
      <c r="FO1492" s="875"/>
      <c r="FP1492" s="875"/>
      <c r="FQ1492" s="875"/>
      <c r="FR1492" s="875"/>
      <c r="FS1492" s="875"/>
      <c r="FT1492" s="875"/>
      <c r="FU1492" s="875"/>
      <c r="FV1492" s="875"/>
      <c r="FW1492" s="875"/>
      <c r="FX1492" s="875"/>
      <c r="FY1492" s="875"/>
      <c r="FZ1492" s="875"/>
      <c r="GA1492" s="875"/>
      <c r="GB1492" s="876"/>
      <c r="GC1492" s="370"/>
      <c r="GD1492" s="453"/>
      <c r="GE1492" s="453"/>
      <c r="GF1492" s="453"/>
      <c r="GG1492" s="453"/>
      <c r="GH1492" s="454"/>
      <c r="GI1492" s="453"/>
      <c r="GJ1492" s="453"/>
      <c r="GK1492" s="453"/>
      <c r="GL1492" s="453"/>
      <c r="GM1492" s="453"/>
      <c r="GN1492" s="453"/>
      <c r="GO1492" s="453"/>
      <c r="GP1492" s="453"/>
      <c r="GQ1492" s="453"/>
      <c r="GR1492" s="453"/>
      <c r="GS1492" s="561"/>
      <c r="GT1492" s="475"/>
      <c r="GU1492" s="472"/>
      <c r="GV1492" s="453"/>
      <c r="GW1492" s="453"/>
      <c r="GX1492" s="869"/>
      <c r="GY1492" s="870"/>
      <c r="GZ1492" s="867"/>
      <c r="HA1492" s="868"/>
      <c r="HB1492" s="473"/>
      <c r="HC1492" s="869"/>
      <c r="HD1492" s="870"/>
      <c r="HE1492" s="867"/>
      <c r="HF1492" s="868"/>
      <c r="HG1492" s="473"/>
      <c r="HH1492" s="867"/>
      <c r="HI1492" s="868"/>
      <c r="HJ1492" s="867"/>
      <c r="HK1492" s="868"/>
      <c r="HL1492" s="370"/>
      <c r="HM1492" s="865"/>
      <c r="HN1492" s="866"/>
      <c r="HO1492" s="865"/>
      <c r="HP1492" s="866"/>
      <c r="HQ1492" s="865"/>
      <c r="HR1492" s="866"/>
      <c r="HS1492" s="867"/>
      <c r="HT1492" s="868"/>
      <c r="HU1492" s="489"/>
      <c r="HV1492" s="865"/>
      <c r="HW1492" s="866"/>
    </row>
    <row r="1493" spans="25:231" ht="15" customHeight="1">
      <c r="Y1493" s="332"/>
      <c r="Z1493" s="332"/>
      <c r="AA1493" s="332"/>
      <c r="AB1493" s="332"/>
      <c r="AC1493" s="332"/>
      <c r="AD1493" s="332"/>
      <c r="AE1493" s="332"/>
      <c r="AF1493" s="332"/>
      <c r="AG1493" s="332"/>
      <c r="AH1493" s="332"/>
      <c r="AI1493" s="332"/>
      <c r="AJ1493" s="332"/>
      <c r="AK1493" s="332"/>
      <c r="AL1493" s="332"/>
      <c r="AM1493" s="332"/>
      <c r="AN1493" s="332"/>
      <c r="AO1493" s="332"/>
      <c r="AP1493" s="332"/>
      <c r="AQ1493" s="332"/>
      <c r="AR1493" s="332"/>
      <c r="AS1493" s="332"/>
      <c r="AT1493" s="332"/>
      <c r="AU1493" s="332"/>
      <c r="AV1493" s="332"/>
      <c r="AW1493" s="332"/>
      <c r="AX1493" s="332"/>
      <c r="AY1493" s="332"/>
      <c r="AZ1493" s="332"/>
      <c r="BA1493" s="332"/>
      <c r="BB1493" s="332"/>
      <c r="BC1493" s="332"/>
      <c r="BD1493" s="332"/>
      <c r="BE1493" s="332"/>
      <c r="BF1493" s="332"/>
      <c r="BG1493" s="332"/>
      <c r="BH1493" s="332"/>
      <c r="BI1493" s="332"/>
      <c r="BJ1493" s="332"/>
      <c r="BK1493" s="332"/>
      <c r="BL1493" s="332"/>
      <c r="BM1493" s="332"/>
      <c r="BN1493" s="332"/>
      <c r="BO1493" s="332"/>
      <c r="BP1493" s="332"/>
      <c r="BQ1493" s="332"/>
      <c r="BR1493" s="332"/>
      <c r="BS1493" s="332"/>
      <c r="BT1493" s="332"/>
      <c r="BU1493" s="332"/>
      <c r="BV1493" s="332"/>
      <c r="BW1493" s="332"/>
      <c r="BX1493" s="332"/>
      <c r="BY1493" s="332"/>
      <c r="BZ1493" s="332"/>
      <c r="CA1493" s="332"/>
      <c r="CB1493" s="332"/>
      <c r="CC1493" s="332"/>
      <c r="CD1493" s="332"/>
      <c r="CE1493" s="332"/>
      <c r="CF1493" s="332"/>
      <c r="CG1493" s="332"/>
      <c r="CH1493" s="332"/>
      <c r="CI1493" s="332"/>
      <c r="CJ1493" s="332"/>
      <c r="CK1493" s="332"/>
      <c r="CL1493" s="332"/>
      <c r="CM1493" s="332"/>
      <c r="CN1493" s="332"/>
      <c r="CO1493" s="332"/>
      <c r="CP1493" s="332"/>
      <c r="CQ1493" s="332"/>
      <c r="CR1493" s="332"/>
      <c r="CS1493" s="332"/>
      <c r="CT1493" s="332"/>
      <c r="CU1493" s="332"/>
      <c r="CV1493" s="332"/>
      <c r="CW1493" s="332"/>
      <c r="CX1493" s="332"/>
      <c r="CY1493" s="332"/>
      <c r="CZ1493" s="332"/>
      <c r="DA1493" s="332"/>
      <c r="DB1493" s="332"/>
      <c r="DC1493" s="332"/>
      <c r="DD1493" s="332"/>
      <c r="DE1493" s="332"/>
      <c r="DF1493" s="332"/>
      <c r="DG1493" s="332"/>
      <c r="DH1493" s="332"/>
      <c r="DI1493" s="332"/>
      <c r="DJ1493" s="332"/>
      <c r="DK1493" s="332"/>
      <c r="DL1493" s="332"/>
      <c r="DM1493" s="332"/>
      <c r="DN1493" s="332"/>
      <c r="DO1493" s="332"/>
      <c r="DP1493" s="332"/>
      <c r="DQ1493" s="332"/>
      <c r="DR1493" s="332"/>
      <c r="DS1493" s="332"/>
      <c r="DT1493" s="332"/>
      <c r="DU1493" s="453"/>
      <c r="DV1493" s="453"/>
      <c r="DW1493" s="453"/>
      <c r="DX1493" s="453"/>
      <c r="DY1493" s="453"/>
      <c r="DZ1493" s="453"/>
      <c r="EA1493" s="453"/>
      <c r="EB1493" s="453"/>
      <c r="EC1493" s="453"/>
      <c r="ED1493" s="453"/>
      <c r="EE1493" s="453"/>
      <c r="EF1493" s="453"/>
      <c r="EG1493" s="453"/>
      <c r="EH1493" s="453"/>
      <c r="EI1493" s="453"/>
      <c r="EJ1493" s="453"/>
      <c r="EK1493" s="453"/>
      <c r="EL1493" s="453"/>
      <c r="EM1493" s="483">
        <f t="shared" si="267"/>
        <v>1184</v>
      </c>
      <c r="EN1493" s="485"/>
      <c r="EO1493" s="458"/>
      <c r="EP1493" s="467"/>
      <c r="EQ1493" s="457"/>
      <c r="ER1493" s="808"/>
      <c r="ES1493" s="881">
        <f t="shared" si="268"/>
        <v>0</v>
      </c>
      <c r="ET1493" s="882"/>
      <c r="EU1493" s="883"/>
      <c r="EV1493" s="884">
        <f t="shared" si="269"/>
        <v>0</v>
      </c>
      <c r="EW1493" s="885"/>
      <c r="EX1493" s="885"/>
      <c r="EY1493" s="885"/>
      <c r="EZ1493" s="885"/>
      <c r="FA1493" s="885"/>
      <c r="FB1493" s="885"/>
      <c r="FC1493" s="885"/>
      <c r="FD1493" s="886"/>
      <c r="FE1493" s="877"/>
      <c r="FF1493" s="877"/>
      <c r="FG1493" s="877"/>
      <c r="FH1493" s="877"/>
      <c r="FI1493" s="877"/>
      <c r="FJ1493" s="877"/>
      <c r="FK1493" s="877"/>
      <c r="FL1493" s="874"/>
      <c r="FM1493" s="875"/>
      <c r="FN1493" s="875"/>
      <c r="FO1493" s="875"/>
      <c r="FP1493" s="875"/>
      <c r="FQ1493" s="875"/>
      <c r="FR1493" s="875"/>
      <c r="FS1493" s="875"/>
      <c r="FT1493" s="875"/>
      <c r="FU1493" s="875"/>
      <c r="FV1493" s="875"/>
      <c r="FW1493" s="875"/>
      <c r="FX1493" s="875"/>
      <c r="FY1493" s="875"/>
      <c r="FZ1493" s="875"/>
      <c r="GA1493" s="875"/>
      <c r="GB1493" s="876"/>
      <c r="GC1493" s="370"/>
      <c r="GD1493" s="453"/>
      <c r="GE1493" s="453"/>
      <c r="GF1493" s="453"/>
      <c r="GG1493" s="453"/>
      <c r="GH1493" s="454"/>
      <c r="GI1493" s="453"/>
      <c r="GJ1493" s="453"/>
      <c r="GK1493" s="453"/>
      <c r="GL1493" s="453"/>
      <c r="GM1493" s="453"/>
      <c r="GN1493" s="453"/>
      <c r="GO1493" s="453"/>
      <c r="GP1493" s="453"/>
      <c r="GQ1493" s="453"/>
      <c r="GR1493" s="453"/>
      <c r="GS1493" s="561"/>
      <c r="GT1493" s="475"/>
      <c r="GU1493" s="472"/>
      <c r="GV1493" s="453"/>
      <c r="GW1493" s="453"/>
      <c r="GX1493" s="869"/>
      <c r="GY1493" s="870"/>
      <c r="GZ1493" s="867"/>
      <c r="HA1493" s="868"/>
      <c r="HB1493" s="473"/>
      <c r="HC1493" s="869"/>
      <c r="HD1493" s="870"/>
      <c r="HE1493" s="867"/>
      <c r="HF1493" s="868"/>
      <c r="HG1493" s="473"/>
      <c r="HH1493" s="867"/>
      <c r="HI1493" s="868"/>
      <c r="HJ1493" s="867"/>
      <c r="HK1493" s="868"/>
      <c r="HL1493" s="370"/>
      <c r="HM1493" s="865"/>
      <c r="HN1493" s="866"/>
      <c r="HO1493" s="865"/>
      <c r="HP1493" s="866"/>
      <c r="HQ1493" s="865"/>
      <c r="HR1493" s="866"/>
      <c r="HS1493" s="867"/>
      <c r="HT1493" s="868"/>
      <c r="HU1493" s="489"/>
      <c r="HV1493" s="865"/>
      <c r="HW1493" s="866"/>
    </row>
    <row r="1494" spans="25:231" ht="15" customHeight="1">
      <c r="Y1494" s="332"/>
      <c r="Z1494" s="332"/>
      <c r="AA1494" s="332"/>
      <c r="AB1494" s="332"/>
      <c r="AC1494" s="332"/>
      <c r="AD1494" s="332"/>
      <c r="AE1494" s="332"/>
      <c r="AF1494" s="332"/>
      <c r="AG1494" s="332"/>
      <c r="AH1494" s="332"/>
      <c r="AI1494" s="332"/>
      <c r="AJ1494" s="332"/>
      <c r="AK1494" s="332"/>
      <c r="AL1494" s="332"/>
      <c r="AM1494" s="332"/>
      <c r="AN1494" s="332"/>
      <c r="AO1494" s="332"/>
      <c r="AP1494" s="332"/>
      <c r="AQ1494" s="332"/>
      <c r="AR1494" s="332"/>
      <c r="AS1494" s="332"/>
      <c r="AT1494" s="332"/>
      <c r="AU1494" s="332"/>
      <c r="AV1494" s="332"/>
      <c r="AW1494" s="332"/>
      <c r="AX1494" s="332"/>
      <c r="AY1494" s="332"/>
      <c r="AZ1494" s="332"/>
      <c r="BA1494" s="332"/>
      <c r="BB1494" s="332"/>
      <c r="BC1494" s="332"/>
      <c r="BD1494" s="332"/>
      <c r="BE1494" s="332"/>
      <c r="BF1494" s="332"/>
      <c r="BG1494" s="332"/>
      <c r="BH1494" s="332"/>
      <c r="BI1494" s="332"/>
      <c r="BJ1494" s="332"/>
      <c r="BK1494" s="332"/>
      <c r="BL1494" s="332"/>
      <c r="BM1494" s="332"/>
      <c r="BN1494" s="332"/>
      <c r="BO1494" s="332"/>
      <c r="BP1494" s="332"/>
      <c r="BQ1494" s="332"/>
      <c r="BR1494" s="332"/>
      <c r="BS1494" s="332"/>
      <c r="BT1494" s="332"/>
      <c r="BU1494" s="332"/>
      <c r="BV1494" s="332"/>
      <c r="BW1494" s="332"/>
      <c r="BX1494" s="332"/>
      <c r="BY1494" s="332"/>
      <c r="BZ1494" s="332"/>
      <c r="CA1494" s="332"/>
      <c r="CB1494" s="332"/>
      <c r="CC1494" s="332"/>
      <c r="CD1494" s="332"/>
      <c r="CE1494" s="332"/>
      <c r="CF1494" s="332"/>
      <c r="CG1494" s="332"/>
      <c r="CH1494" s="332"/>
      <c r="CI1494" s="332"/>
      <c r="CJ1494" s="332"/>
      <c r="CK1494" s="332"/>
      <c r="CL1494" s="332"/>
      <c r="CM1494" s="332"/>
      <c r="CN1494" s="332"/>
      <c r="CO1494" s="332"/>
      <c r="CP1494" s="332"/>
      <c r="CQ1494" s="332"/>
      <c r="CR1494" s="332"/>
      <c r="CS1494" s="332"/>
      <c r="CT1494" s="332"/>
      <c r="CU1494" s="332"/>
      <c r="CV1494" s="332"/>
      <c r="CW1494" s="332"/>
      <c r="CX1494" s="332"/>
      <c r="CY1494" s="332"/>
      <c r="CZ1494" s="332"/>
      <c r="DA1494" s="332"/>
      <c r="DB1494" s="332"/>
      <c r="DC1494" s="332"/>
      <c r="DD1494" s="332"/>
      <c r="DE1494" s="332"/>
      <c r="DF1494" s="332"/>
      <c r="DG1494" s="332"/>
      <c r="DH1494" s="332"/>
      <c r="DI1494" s="332"/>
      <c r="DJ1494" s="332"/>
      <c r="DK1494" s="332"/>
      <c r="DL1494" s="332"/>
      <c r="DM1494" s="332"/>
      <c r="DN1494" s="332"/>
      <c r="DO1494" s="332"/>
      <c r="DP1494" s="332"/>
      <c r="DQ1494" s="332"/>
      <c r="DR1494" s="332"/>
      <c r="DS1494" s="332"/>
      <c r="DT1494" s="332"/>
      <c r="DU1494" s="453"/>
      <c r="DV1494" s="453"/>
      <c r="DW1494" s="453"/>
      <c r="DX1494" s="453"/>
      <c r="DY1494" s="453"/>
      <c r="DZ1494" s="453"/>
      <c r="EA1494" s="453"/>
      <c r="EB1494" s="453"/>
      <c r="EC1494" s="453"/>
      <c r="ED1494" s="453"/>
      <c r="EE1494" s="453"/>
      <c r="EF1494" s="453"/>
      <c r="EG1494" s="453"/>
      <c r="EH1494" s="453"/>
      <c r="EI1494" s="453"/>
      <c r="EJ1494" s="453"/>
      <c r="EK1494" s="453"/>
      <c r="EL1494" s="453"/>
      <c r="EM1494" s="483">
        <f t="shared" si="267"/>
        <v>1185</v>
      </c>
      <c r="EN1494" s="485"/>
      <c r="EO1494" s="458"/>
      <c r="EP1494" s="467"/>
      <c r="EQ1494" s="457"/>
      <c r="ER1494" s="808"/>
      <c r="ES1494" s="881">
        <f t="shared" si="268"/>
        <v>0</v>
      </c>
      <c r="ET1494" s="882"/>
      <c r="EU1494" s="883"/>
      <c r="EV1494" s="884">
        <f t="shared" si="269"/>
        <v>0</v>
      </c>
      <c r="EW1494" s="885"/>
      <c r="EX1494" s="885"/>
      <c r="EY1494" s="885"/>
      <c r="EZ1494" s="885"/>
      <c r="FA1494" s="885"/>
      <c r="FB1494" s="885"/>
      <c r="FC1494" s="885"/>
      <c r="FD1494" s="886"/>
      <c r="FE1494" s="877"/>
      <c r="FF1494" s="877"/>
      <c r="FG1494" s="877"/>
      <c r="FH1494" s="877"/>
      <c r="FI1494" s="877"/>
      <c r="FJ1494" s="877"/>
      <c r="FK1494" s="877"/>
      <c r="FL1494" s="874"/>
      <c r="FM1494" s="875"/>
      <c r="FN1494" s="875"/>
      <c r="FO1494" s="875"/>
      <c r="FP1494" s="875"/>
      <c r="FQ1494" s="875"/>
      <c r="FR1494" s="875"/>
      <c r="FS1494" s="875"/>
      <c r="FT1494" s="875"/>
      <c r="FU1494" s="875"/>
      <c r="FV1494" s="875"/>
      <c r="FW1494" s="875"/>
      <c r="FX1494" s="875"/>
      <c r="FY1494" s="875"/>
      <c r="FZ1494" s="875"/>
      <c r="GA1494" s="875"/>
      <c r="GB1494" s="876"/>
      <c r="GC1494" s="370"/>
      <c r="GD1494" s="453"/>
      <c r="GE1494" s="453"/>
      <c r="GF1494" s="453"/>
      <c r="GG1494" s="453"/>
      <c r="GH1494" s="454"/>
      <c r="GI1494" s="453"/>
      <c r="GJ1494" s="453"/>
      <c r="GK1494" s="453"/>
      <c r="GL1494" s="453"/>
      <c r="GM1494" s="453"/>
      <c r="GN1494" s="453"/>
      <c r="GO1494" s="453"/>
      <c r="GP1494" s="453"/>
      <c r="GQ1494" s="453"/>
      <c r="GR1494" s="453"/>
      <c r="GS1494" s="561"/>
      <c r="GT1494" s="475"/>
      <c r="GU1494" s="472"/>
      <c r="GV1494" s="453"/>
      <c r="GW1494" s="453"/>
      <c r="GX1494" s="869"/>
      <c r="GY1494" s="870"/>
      <c r="GZ1494" s="867"/>
      <c r="HA1494" s="868"/>
      <c r="HB1494" s="473"/>
      <c r="HC1494" s="869"/>
      <c r="HD1494" s="870"/>
      <c r="HE1494" s="867"/>
      <c r="HF1494" s="868"/>
      <c r="HG1494" s="473"/>
      <c r="HH1494" s="867"/>
      <c r="HI1494" s="868"/>
      <c r="HJ1494" s="867"/>
      <c r="HK1494" s="868"/>
      <c r="HL1494" s="370"/>
      <c r="HM1494" s="865"/>
      <c r="HN1494" s="866"/>
      <c r="HO1494" s="865"/>
      <c r="HP1494" s="866"/>
      <c r="HQ1494" s="865"/>
      <c r="HR1494" s="866"/>
      <c r="HS1494" s="867"/>
      <c r="HT1494" s="868"/>
      <c r="HU1494" s="489"/>
      <c r="HV1494" s="865"/>
      <c r="HW1494" s="866"/>
    </row>
    <row r="1495" spans="25:231" ht="15" customHeight="1">
      <c r="Y1495" s="332"/>
      <c r="Z1495" s="332"/>
      <c r="AA1495" s="332"/>
      <c r="AB1495" s="332"/>
      <c r="AC1495" s="332"/>
      <c r="AD1495" s="332"/>
      <c r="AE1495" s="332"/>
      <c r="AF1495" s="332"/>
      <c r="AG1495" s="332"/>
      <c r="AH1495" s="332"/>
      <c r="AI1495" s="332"/>
      <c r="AJ1495" s="332"/>
      <c r="AK1495" s="332"/>
      <c r="AL1495" s="332"/>
      <c r="AM1495" s="332"/>
      <c r="AN1495" s="332"/>
      <c r="AO1495" s="332"/>
      <c r="AP1495" s="332"/>
      <c r="AQ1495" s="332"/>
      <c r="AR1495" s="332"/>
      <c r="AS1495" s="332"/>
      <c r="AT1495" s="332"/>
      <c r="AU1495" s="332"/>
      <c r="AV1495" s="332"/>
      <c r="AW1495" s="332"/>
      <c r="AX1495" s="332"/>
      <c r="AY1495" s="332"/>
      <c r="AZ1495" s="332"/>
      <c r="BA1495" s="332"/>
      <c r="BB1495" s="332"/>
      <c r="BC1495" s="332"/>
      <c r="BD1495" s="332"/>
      <c r="BE1495" s="332"/>
      <c r="BF1495" s="332"/>
      <c r="BG1495" s="332"/>
      <c r="BH1495" s="332"/>
      <c r="BI1495" s="332"/>
      <c r="BJ1495" s="332"/>
      <c r="BK1495" s="332"/>
      <c r="BL1495" s="332"/>
      <c r="BM1495" s="332"/>
      <c r="BN1495" s="332"/>
      <c r="BO1495" s="332"/>
      <c r="BP1495" s="332"/>
      <c r="BQ1495" s="332"/>
      <c r="BR1495" s="332"/>
      <c r="BS1495" s="332"/>
      <c r="BT1495" s="332"/>
      <c r="BU1495" s="332"/>
      <c r="BV1495" s="332"/>
      <c r="BW1495" s="332"/>
      <c r="BX1495" s="332"/>
      <c r="BY1495" s="332"/>
      <c r="BZ1495" s="332"/>
      <c r="CA1495" s="332"/>
      <c r="CB1495" s="332"/>
      <c r="CC1495" s="332"/>
      <c r="CD1495" s="332"/>
      <c r="CE1495" s="332"/>
      <c r="CF1495" s="332"/>
      <c r="CG1495" s="332"/>
      <c r="CH1495" s="332"/>
      <c r="CI1495" s="332"/>
      <c r="CJ1495" s="332"/>
      <c r="CK1495" s="332"/>
      <c r="CL1495" s="332"/>
      <c r="CM1495" s="332"/>
      <c r="CN1495" s="332"/>
      <c r="CO1495" s="332"/>
      <c r="CP1495" s="332"/>
      <c r="CQ1495" s="332"/>
      <c r="CR1495" s="332"/>
      <c r="CS1495" s="332"/>
      <c r="CT1495" s="332"/>
      <c r="CU1495" s="332"/>
      <c r="CV1495" s="332"/>
      <c r="CW1495" s="332"/>
      <c r="CX1495" s="332"/>
      <c r="CY1495" s="332"/>
      <c r="CZ1495" s="332"/>
      <c r="DA1495" s="332"/>
      <c r="DB1495" s="332"/>
      <c r="DC1495" s="332"/>
      <c r="DD1495" s="332"/>
      <c r="DE1495" s="332"/>
      <c r="DF1495" s="332"/>
      <c r="DG1495" s="332"/>
      <c r="DH1495" s="332"/>
      <c r="DI1495" s="332"/>
      <c r="DJ1495" s="332"/>
      <c r="DK1495" s="332"/>
      <c r="DL1495" s="332"/>
      <c r="DM1495" s="332"/>
      <c r="DN1495" s="332"/>
      <c r="DO1495" s="332"/>
      <c r="DP1495" s="332"/>
      <c r="DQ1495" s="332"/>
      <c r="DR1495" s="332"/>
      <c r="DS1495" s="332"/>
      <c r="DT1495" s="332"/>
      <c r="DU1495" s="453"/>
      <c r="DV1495" s="453"/>
      <c r="DW1495" s="453"/>
      <c r="DX1495" s="453"/>
      <c r="DY1495" s="453"/>
      <c r="DZ1495" s="453"/>
      <c r="EA1495" s="453"/>
      <c r="EB1495" s="453"/>
      <c r="EC1495" s="453"/>
      <c r="ED1495" s="453"/>
      <c r="EE1495" s="453"/>
      <c r="EF1495" s="453"/>
      <c r="EG1495" s="453"/>
      <c r="EH1495" s="453"/>
      <c r="EI1495" s="453"/>
      <c r="EJ1495" s="453"/>
      <c r="EK1495" s="453"/>
      <c r="EL1495" s="453"/>
      <c r="EM1495" s="483">
        <f t="shared" si="267"/>
        <v>1186</v>
      </c>
      <c r="EN1495" s="485"/>
      <c r="EO1495" s="458"/>
      <c r="EP1495" s="467"/>
      <c r="EQ1495" s="457"/>
      <c r="ER1495" s="808"/>
      <c r="ES1495" s="881">
        <f t="shared" si="268"/>
        <v>0</v>
      </c>
      <c r="ET1495" s="882"/>
      <c r="EU1495" s="883"/>
      <c r="EV1495" s="884">
        <f t="shared" si="269"/>
        <v>0</v>
      </c>
      <c r="EW1495" s="885"/>
      <c r="EX1495" s="885"/>
      <c r="EY1495" s="885"/>
      <c r="EZ1495" s="885"/>
      <c r="FA1495" s="885"/>
      <c r="FB1495" s="885"/>
      <c r="FC1495" s="885"/>
      <c r="FD1495" s="886"/>
      <c r="FE1495" s="877"/>
      <c r="FF1495" s="877"/>
      <c r="FG1495" s="877"/>
      <c r="FH1495" s="877"/>
      <c r="FI1495" s="877"/>
      <c r="FJ1495" s="877"/>
      <c r="FK1495" s="877"/>
      <c r="FL1495" s="874"/>
      <c r="FM1495" s="875"/>
      <c r="FN1495" s="875"/>
      <c r="FO1495" s="875"/>
      <c r="FP1495" s="875"/>
      <c r="FQ1495" s="875"/>
      <c r="FR1495" s="875"/>
      <c r="FS1495" s="875"/>
      <c r="FT1495" s="875"/>
      <c r="FU1495" s="875"/>
      <c r="FV1495" s="875"/>
      <c r="FW1495" s="875"/>
      <c r="FX1495" s="875"/>
      <c r="FY1495" s="875"/>
      <c r="FZ1495" s="875"/>
      <c r="GA1495" s="875"/>
      <c r="GB1495" s="876"/>
      <c r="GC1495" s="370"/>
      <c r="GD1495" s="453"/>
      <c r="GE1495" s="453"/>
      <c r="GF1495" s="453"/>
      <c r="GG1495" s="453"/>
      <c r="GH1495" s="454"/>
      <c r="GI1495" s="453"/>
      <c r="GJ1495" s="453"/>
      <c r="GK1495" s="453"/>
      <c r="GL1495" s="453"/>
      <c r="GM1495" s="453"/>
      <c r="GN1495" s="453"/>
      <c r="GO1495" s="453"/>
      <c r="GP1495" s="453"/>
      <c r="GQ1495" s="453"/>
      <c r="GR1495" s="453"/>
      <c r="GS1495" s="561"/>
      <c r="GT1495" s="475"/>
      <c r="GU1495" s="472"/>
      <c r="GV1495" s="453"/>
      <c r="GW1495" s="453"/>
      <c r="GX1495" s="869"/>
      <c r="GY1495" s="870"/>
      <c r="GZ1495" s="867"/>
      <c r="HA1495" s="868"/>
      <c r="HB1495" s="473"/>
      <c r="HC1495" s="869"/>
      <c r="HD1495" s="870"/>
      <c r="HE1495" s="867"/>
      <c r="HF1495" s="868"/>
      <c r="HG1495" s="473"/>
      <c r="HH1495" s="867"/>
      <c r="HI1495" s="868"/>
      <c r="HJ1495" s="867"/>
      <c r="HK1495" s="868"/>
      <c r="HL1495" s="370"/>
      <c r="HM1495" s="865"/>
      <c r="HN1495" s="866"/>
      <c r="HO1495" s="865"/>
      <c r="HP1495" s="866"/>
      <c r="HQ1495" s="865"/>
      <c r="HR1495" s="866"/>
      <c r="HS1495" s="867"/>
      <c r="HT1495" s="868"/>
      <c r="HU1495" s="489"/>
      <c r="HV1495" s="865"/>
      <c r="HW1495" s="866"/>
    </row>
    <row r="1496" spans="25:231" ht="15" customHeight="1">
      <c r="Y1496" s="332"/>
      <c r="Z1496" s="332"/>
      <c r="AA1496" s="332"/>
      <c r="AB1496" s="332"/>
      <c r="AC1496" s="332"/>
      <c r="AD1496" s="332"/>
      <c r="AE1496" s="332"/>
      <c r="AF1496" s="332"/>
      <c r="AG1496" s="332"/>
      <c r="AH1496" s="332"/>
      <c r="AI1496" s="332"/>
      <c r="AJ1496" s="332"/>
      <c r="AK1496" s="332"/>
      <c r="AL1496" s="332"/>
      <c r="AM1496" s="332"/>
      <c r="AN1496" s="332"/>
      <c r="AO1496" s="332"/>
      <c r="AP1496" s="332"/>
      <c r="AQ1496" s="332"/>
      <c r="AR1496" s="332"/>
      <c r="AS1496" s="332"/>
      <c r="AT1496" s="332"/>
      <c r="AU1496" s="332"/>
      <c r="AV1496" s="332"/>
      <c r="AW1496" s="332"/>
      <c r="AX1496" s="332"/>
      <c r="AY1496" s="332"/>
      <c r="AZ1496" s="332"/>
      <c r="BA1496" s="332"/>
      <c r="BB1496" s="332"/>
      <c r="BC1496" s="332"/>
      <c r="BD1496" s="332"/>
      <c r="BE1496" s="332"/>
      <c r="BF1496" s="332"/>
      <c r="BG1496" s="332"/>
      <c r="BH1496" s="332"/>
      <c r="BI1496" s="332"/>
      <c r="BJ1496" s="332"/>
      <c r="BK1496" s="332"/>
      <c r="BL1496" s="332"/>
      <c r="BM1496" s="332"/>
      <c r="BN1496" s="332"/>
      <c r="BO1496" s="332"/>
      <c r="BP1496" s="332"/>
      <c r="BQ1496" s="332"/>
      <c r="BR1496" s="332"/>
      <c r="BS1496" s="332"/>
      <c r="BT1496" s="332"/>
      <c r="BU1496" s="332"/>
      <c r="BV1496" s="332"/>
      <c r="BW1496" s="332"/>
      <c r="BX1496" s="332"/>
      <c r="BY1496" s="332"/>
      <c r="BZ1496" s="332"/>
      <c r="CA1496" s="332"/>
      <c r="CB1496" s="332"/>
      <c r="CC1496" s="332"/>
      <c r="CD1496" s="332"/>
      <c r="CE1496" s="332"/>
      <c r="CF1496" s="332"/>
      <c r="CG1496" s="332"/>
      <c r="CH1496" s="332"/>
      <c r="CI1496" s="332"/>
      <c r="CJ1496" s="332"/>
      <c r="CK1496" s="332"/>
      <c r="CL1496" s="332"/>
      <c r="CM1496" s="332"/>
      <c r="CN1496" s="332"/>
      <c r="CO1496" s="332"/>
      <c r="CP1496" s="332"/>
      <c r="CQ1496" s="332"/>
      <c r="CR1496" s="332"/>
      <c r="CS1496" s="332"/>
      <c r="CT1496" s="332"/>
      <c r="CU1496" s="332"/>
      <c r="CV1496" s="332"/>
      <c r="CW1496" s="332"/>
      <c r="CX1496" s="332"/>
      <c r="CY1496" s="332"/>
      <c r="CZ1496" s="332"/>
      <c r="DA1496" s="332"/>
      <c r="DB1496" s="332"/>
      <c r="DC1496" s="332"/>
      <c r="DD1496" s="332"/>
      <c r="DE1496" s="332"/>
      <c r="DF1496" s="332"/>
      <c r="DG1496" s="332"/>
      <c r="DH1496" s="332"/>
      <c r="DI1496" s="332"/>
      <c r="DJ1496" s="332"/>
      <c r="DK1496" s="332"/>
      <c r="DL1496" s="332"/>
      <c r="DM1496" s="332"/>
      <c r="DN1496" s="332"/>
      <c r="DO1496" s="332"/>
      <c r="DP1496" s="332"/>
      <c r="DQ1496" s="332"/>
      <c r="DR1496" s="332"/>
      <c r="DS1496" s="332"/>
      <c r="DT1496" s="332"/>
      <c r="DU1496" s="453"/>
      <c r="DV1496" s="453"/>
      <c r="DW1496" s="453"/>
      <c r="DX1496" s="453"/>
      <c r="DY1496" s="453"/>
      <c r="DZ1496" s="453"/>
      <c r="EA1496" s="453"/>
      <c r="EB1496" s="453"/>
      <c r="EC1496" s="453"/>
      <c r="ED1496" s="453"/>
      <c r="EE1496" s="453"/>
      <c r="EF1496" s="453"/>
      <c r="EG1496" s="453"/>
      <c r="EH1496" s="453"/>
      <c r="EI1496" s="453"/>
      <c r="EJ1496" s="453"/>
      <c r="EK1496" s="453"/>
      <c r="EL1496" s="453"/>
      <c r="EM1496" s="483">
        <f t="shared" si="267"/>
        <v>1187</v>
      </c>
      <c r="EN1496" s="485"/>
      <c r="EO1496" s="458"/>
      <c r="EP1496" s="467"/>
      <c r="EQ1496" s="457"/>
      <c r="ER1496" s="808"/>
      <c r="ES1496" s="881">
        <f t="shared" si="268"/>
        <v>0</v>
      </c>
      <c r="ET1496" s="882"/>
      <c r="EU1496" s="883"/>
      <c r="EV1496" s="884">
        <f t="shared" si="269"/>
        <v>0</v>
      </c>
      <c r="EW1496" s="885"/>
      <c r="EX1496" s="885"/>
      <c r="EY1496" s="885"/>
      <c r="EZ1496" s="885"/>
      <c r="FA1496" s="885"/>
      <c r="FB1496" s="885"/>
      <c r="FC1496" s="885"/>
      <c r="FD1496" s="886"/>
      <c r="FE1496" s="877"/>
      <c r="FF1496" s="877"/>
      <c r="FG1496" s="877"/>
      <c r="FH1496" s="877"/>
      <c r="FI1496" s="877"/>
      <c r="FJ1496" s="877"/>
      <c r="FK1496" s="877"/>
      <c r="FL1496" s="874"/>
      <c r="FM1496" s="875"/>
      <c r="FN1496" s="875"/>
      <c r="FO1496" s="875"/>
      <c r="FP1496" s="875"/>
      <c r="FQ1496" s="875"/>
      <c r="FR1496" s="875"/>
      <c r="FS1496" s="875"/>
      <c r="FT1496" s="875"/>
      <c r="FU1496" s="875"/>
      <c r="FV1496" s="875"/>
      <c r="FW1496" s="875"/>
      <c r="FX1496" s="875"/>
      <c r="FY1496" s="875"/>
      <c r="FZ1496" s="875"/>
      <c r="GA1496" s="875"/>
      <c r="GB1496" s="876"/>
      <c r="GC1496" s="370"/>
      <c r="GD1496" s="453"/>
      <c r="GE1496" s="453"/>
      <c r="GF1496" s="453"/>
      <c r="GG1496" s="453"/>
      <c r="GH1496" s="454"/>
      <c r="GI1496" s="453"/>
      <c r="GJ1496" s="453"/>
      <c r="GK1496" s="453"/>
      <c r="GL1496" s="453"/>
      <c r="GM1496" s="453"/>
      <c r="GN1496" s="453"/>
      <c r="GO1496" s="453"/>
      <c r="GP1496" s="453"/>
      <c r="GQ1496" s="453"/>
      <c r="GR1496" s="453"/>
      <c r="GS1496" s="561"/>
      <c r="GT1496" s="475"/>
      <c r="GU1496" s="472"/>
      <c r="GV1496" s="453"/>
      <c r="GW1496" s="453"/>
      <c r="GX1496" s="869"/>
      <c r="GY1496" s="870"/>
      <c r="GZ1496" s="867"/>
      <c r="HA1496" s="868"/>
      <c r="HB1496" s="473"/>
      <c r="HC1496" s="869"/>
      <c r="HD1496" s="870"/>
      <c r="HE1496" s="867"/>
      <c r="HF1496" s="868"/>
      <c r="HG1496" s="473"/>
      <c r="HH1496" s="867"/>
      <c r="HI1496" s="868"/>
      <c r="HJ1496" s="867"/>
      <c r="HK1496" s="868"/>
      <c r="HL1496" s="370"/>
      <c r="HM1496" s="865"/>
      <c r="HN1496" s="866"/>
      <c r="HO1496" s="865"/>
      <c r="HP1496" s="866"/>
      <c r="HQ1496" s="865"/>
      <c r="HR1496" s="866"/>
      <c r="HS1496" s="867"/>
      <c r="HT1496" s="868"/>
      <c r="HU1496" s="489"/>
      <c r="HV1496" s="865"/>
      <c r="HW1496" s="866"/>
    </row>
    <row r="1497" spans="25:231" ht="15" customHeight="1">
      <c r="Y1497" s="332"/>
      <c r="Z1497" s="332"/>
      <c r="AA1497" s="332"/>
      <c r="AB1497" s="332"/>
      <c r="AC1497" s="332"/>
      <c r="AD1497" s="332"/>
      <c r="AE1497" s="332"/>
      <c r="AF1497" s="332"/>
      <c r="AG1497" s="332"/>
      <c r="AH1497" s="332"/>
      <c r="AI1497" s="332"/>
      <c r="AJ1497" s="332"/>
      <c r="AK1497" s="332"/>
      <c r="AL1497" s="332"/>
      <c r="AM1497" s="332"/>
      <c r="AN1497" s="332"/>
      <c r="AO1497" s="332"/>
      <c r="AP1497" s="332"/>
      <c r="AQ1497" s="332"/>
      <c r="AR1497" s="332"/>
      <c r="AS1497" s="332"/>
      <c r="AT1497" s="332"/>
      <c r="AU1497" s="332"/>
      <c r="AV1497" s="332"/>
      <c r="AW1497" s="332"/>
      <c r="AX1497" s="332"/>
      <c r="AY1497" s="332"/>
      <c r="AZ1497" s="332"/>
      <c r="BA1497" s="332"/>
      <c r="BB1497" s="332"/>
      <c r="BC1497" s="332"/>
      <c r="BD1497" s="332"/>
      <c r="BE1497" s="332"/>
      <c r="BF1497" s="332"/>
      <c r="BG1497" s="332"/>
      <c r="BH1497" s="332"/>
      <c r="BI1497" s="332"/>
      <c r="BJ1497" s="332"/>
      <c r="BK1497" s="332"/>
      <c r="BL1497" s="332"/>
      <c r="BM1497" s="332"/>
      <c r="BN1497" s="332"/>
      <c r="BO1497" s="332"/>
      <c r="BP1497" s="332"/>
      <c r="BQ1497" s="332"/>
      <c r="BR1497" s="332"/>
      <c r="BS1497" s="332"/>
      <c r="BT1497" s="332"/>
      <c r="BU1497" s="332"/>
      <c r="BV1497" s="332"/>
      <c r="BW1497" s="332"/>
      <c r="BX1497" s="332"/>
      <c r="BY1497" s="332"/>
      <c r="BZ1497" s="332"/>
      <c r="CA1497" s="332"/>
      <c r="CB1497" s="332"/>
      <c r="CC1497" s="332"/>
      <c r="CD1497" s="332"/>
      <c r="CE1497" s="332"/>
      <c r="CF1497" s="332"/>
      <c r="CG1497" s="332"/>
      <c r="CH1497" s="332"/>
      <c r="CI1497" s="332"/>
      <c r="CJ1497" s="332"/>
      <c r="CK1497" s="332"/>
      <c r="CL1497" s="332"/>
      <c r="CM1497" s="332"/>
      <c r="CN1497" s="332"/>
      <c r="CO1497" s="332"/>
      <c r="CP1497" s="332"/>
      <c r="CQ1497" s="332"/>
      <c r="CR1497" s="332"/>
      <c r="CS1497" s="332"/>
      <c r="CT1497" s="332"/>
      <c r="CU1497" s="332"/>
      <c r="CV1497" s="332"/>
      <c r="CW1497" s="332"/>
      <c r="CX1497" s="332"/>
      <c r="CY1497" s="332"/>
      <c r="CZ1497" s="332"/>
      <c r="DA1497" s="332"/>
      <c r="DB1497" s="332"/>
      <c r="DC1497" s="332"/>
      <c r="DD1497" s="332"/>
      <c r="DE1497" s="332"/>
      <c r="DF1497" s="332"/>
      <c r="DG1497" s="332"/>
      <c r="DH1497" s="332"/>
      <c r="DI1497" s="332"/>
      <c r="DJ1497" s="332"/>
      <c r="DK1497" s="332"/>
      <c r="DL1497" s="332"/>
      <c r="DM1497" s="332"/>
      <c r="DN1497" s="332"/>
      <c r="DO1497" s="332"/>
      <c r="DP1497" s="332"/>
      <c r="DQ1497" s="332"/>
      <c r="DR1497" s="332"/>
      <c r="DS1497" s="332"/>
      <c r="DT1497" s="332"/>
      <c r="DU1497" s="453"/>
      <c r="DV1497" s="453"/>
      <c r="DW1497" s="453"/>
      <c r="DX1497" s="453"/>
      <c r="DY1497" s="453"/>
      <c r="DZ1497" s="453"/>
      <c r="EA1497" s="453"/>
      <c r="EB1497" s="453"/>
      <c r="EC1497" s="453"/>
      <c r="ED1497" s="453"/>
      <c r="EE1497" s="453"/>
      <c r="EF1497" s="453"/>
      <c r="EG1497" s="453"/>
      <c r="EH1497" s="453"/>
      <c r="EI1497" s="453"/>
      <c r="EJ1497" s="453"/>
      <c r="EK1497" s="453"/>
      <c r="EL1497" s="453"/>
      <c r="EM1497" s="483">
        <f t="shared" si="267"/>
        <v>1188</v>
      </c>
      <c r="EN1497" s="485"/>
      <c r="EO1497" s="458"/>
      <c r="EP1497" s="467"/>
      <c r="EQ1497" s="457"/>
      <c r="ER1497" s="808"/>
      <c r="ES1497" s="881">
        <f t="shared" si="268"/>
        <v>0</v>
      </c>
      <c r="ET1497" s="882"/>
      <c r="EU1497" s="883"/>
      <c r="EV1497" s="884">
        <f t="shared" si="269"/>
        <v>0</v>
      </c>
      <c r="EW1497" s="885"/>
      <c r="EX1497" s="885"/>
      <c r="EY1497" s="885"/>
      <c r="EZ1497" s="885"/>
      <c r="FA1497" s="885"/>
      <c r="FB1497" s="885"/>
      <c r="FC1497" s="885"/>
      <c r="FD1497" s="886"/>
      <c r="FE1497" s="877"/>
      <c r="FF1497" s="877"/>
      <c r="FG1497" s="877"/>
      <c r="FH1497" s="877"/>
      <c r="FI1497" s="877"/>
      <c r="FJ1497" s="877"/>
      <c r="FK1497" s="877"/>
      <c r="FL1497" s="874"/>
      <c r="FM1497" s="875"/>
      <c r="FN1497" s="875"/>
      <c r="FO1497" s="875"/>
      <c r="FP1497" s="875"/>
      <c r="FQ1497" s="875"/>
      <c r="FR1497" s="875"/>
      <c r="FS1497" s="875"/>
      <c r="FT1497" s="875"/>
      <c r="FU1497" s="875"/>
      <c r="FV1497" s="875"/>
      <c r="FW1497" s="875"/>
      <c r="FX1497" s="875"/>
      <c r="FY1497" s="875"/>
      <c r="FZ1497" s="875"/>
      <c r="GA1497" s="875"/>
      <c r="GB1497" s="876"/>
      <c r="GC1497" s="370"/>
      <c r="GD1497" s="453"/>
      <c r="GE1497" s="453"/>
      <c r="GF1497" s="453"/>
      <c r="GG1497" s="453"/>
      <c r="GH1497" s="454"/>
      <c r="GI1497" s="453"/>
      <c r="GJ1497" s="453"/>
      <c r="GK1497" s="453"/>
      <c r="GL1497" s="453"/>
      <c r="GM1497" s="453"/>
      <c r="GN1497" s="453"/>
      <c r="GO1497" s="453"/>
      <c r="GP1497" s="453"/>
      <c r="GQ1497" s="453"/>
      <c r="GR1497" s="453"/>
      <c r="GS1497" s="561"/>
      <c r="GT1497" s="475"/>
      <c r="GU1497" s="472"/>
      <c r="GV1497" s="453"/>
      <c r="GW1497" s="453"/>
      <c r="GX1497" s="869"/>
      <c r="GY1497" s="870"/>
      <c r="GZ1497" s="867"/>
      <c r="HA1497" s="868"/>
      <c r="HB1497" s="473"/>
      <c r="HC1497" s="869"/>
      <c r="HD1497" s="870"/>
      <c r="HE1497" s="867"/>
      <c r="HF1497" s="868"/>
      <c r="HG1497" s="473"/>
      <c r="HH1497" s="867"/>
      <c r="HI1497" s="868"/>
      <c r="HJ1497" s="867"/>
      <c r="HK1497" s="868"/>
      <c r="HL1497" s="370"/>
      <c r="HM1497" s="865"/>
      <c r="HN1497" s="866"/>
      <c r="HO1497" s="865"/>
      <c r="HP1497" s="866"/>
      <c r="HQ1497" s="865"/>
      <c r="HR1497" s="866"/>
      <c r="HS1497" s="867"/>
      <c r="HT1497" s="868"/>
      <c r="HU1497" s="489"/>
      <c r="HV1497" s="865"/>
      <c r="HW1497" s="866"/>
    </row>
    <row r="1498" spans="25:231" ht="15" customHeight="1">
      <c r="Y1498" s="332"/>
      <c r="Z1498" s="332"/>
      <c r="AA1498" s="332"/>
      <c r="AB1498" s="332"/>
      <c r="AC1498" s="332"/>
      <c r="AD1498" s="332"/>
      <c r="AE1498" s="332"/>
      <c r="AF1498" s="332"/>
      <c r="AG1498" s="332"/>
      <c r="AH1498" s="332"/>
      <c r="AI1498" s="332"/>
      <c r="AJ1498" s="332"/>
      <c r="AK1498" s="332"/>
      <c r="AL1498" s="332"/>
      <c r="AM1498" s="332"/>
      <c r="AN1498" s="332"/>
      <c r="AO1498" s="332"/>
      <c r="AP1498" s="332"/>
      <c r="AQ1498" s="332"/>
      <c r="AR1498" s="332"/>
      <c r="AS1498" s="332"/>
      <c r="AT1498" s="332"/>
      <c r="AU1498" s="332"/>
      <c r="AV1498" s="332"/>
      <c r="AW1498" s="332"/>
      <c r="AX1498" s="332"/>
      <c r="AY1498" s="332"/>
      <c r="AZ1498" s="332"/>
      <c r="BA1498" s="332"/>
      <c r="BB1498" s="332"/>
      <c r="BC1498" s="332"/>
      <c r="BD1498" s="332"/>
      <c r="BE1498" s="332"/>
      <c r="BF1498" s="332"/>
      <c r="BG1498" s="332"/>
      <c r="BH1498" s="332"/>
      <c r="BI1498" s="332"/>
      <c r="BJ1498" s="332"/>
      <c r="BK1498" s="332"/>
      <c r="BL1498" s="332"/>
      <c r="BM1498" s="332"/>
      <c r="BN1498" s="332"/>
      <c r="BO1498" s="332"/>
      <c r="BP1498" s="332"/>
      <c r="BQ1498" s="332"/>
      <c r="BR1498" s="332"/>
      <c r="BS1498" s="332"/>
      <c r="BT1498" s="332"/>
      <c r="BU1498" s="332"/>
      <c r="BV1498" s="332"/>
      <c r="BW1498" s="332"/>
      <c r="BX1498" s="332"/>
      <c r="BY1498" s="332"/>
      <c r="BZ1498" s="332"/>
      <c r="CA1498" s="332"/>
      <c r="CB1498" s="332"/>
      <c r="CC1498" s="332"/>
      <c r="CD1498" s="332"/>
      <c r="CE1498" s="332"/>
      <c r="CF1498" s="332"/>
      <c r="CG1498" s="332"/>
      <c r="CH1498" s="332"/>
      <c r="CI1498" s="332"/>
      <c r="CJ1498" s="332"/>
      <c r="CK1498" s="332"/>
      <c r="CL1498" s="332"/>
      <c r="CM1498" s="332"/>
      <c r="CN1498" s="332"/>
      <c r="CO1498" s="332"/>
      <c r="CP1498" s="332"/>
      <c r="CQ1498" s="332"/>
      <c r="CR1498" s="332"/>
      <c r="CS1498" s="332"/>
      <c r="CT1498" s="332"/>
      <c r="CU1498" s="332"/>
      <c r="CV1498" s="332"/>
      <c r="CW1498" s="332"/>
      <c r="CX1498" s="332"/>
      <c r="CY1498" s="332"/>
      <c r="CZ1498" s="332"/>
      <c r="DA1498" s="332"/>
      <c r="DB1498" s="332"/>
      <c r="DC1498" s="332"/>
      <c r="DD1498" s="332"/>
      <c r="DE1498" s="332"/>
      <c r="DF1498" s="332"/>
      <c r="DG1498" s="332"/>
      <c r="DH1498" s="332"/>
      <c r="DI1498" s="332"/>
      <c r="DJ1498" s="332"/>
      <c r="DK1498" s="332"/>
      <c r="DL1498" s="332"/>
      <c r="DM1498" s="332"/>
      <c r="DN1498" s="332"/>
      <c r="DO1498" s="332"/>
      <c r="DP1498" s="332"/>
      <c r="DQ1498" s="332"/>
      <c r="DR1498" s="332"/>
      <c r="DS1498" s="332"/>
      <c r="DT1498" s="332"/>
      <c r="DU1498" s="453"/>
      <c r="DV1498" s="453"/>
      <c r="DW1498" s="453"/>
      <c r="DX1498" s="453"/>
      <c r="DY1498" s="453"/>
      <c r="DZ1498" s="453"/>
      <c r="EA1498" s="453"/>
      <c r="EB1498" s="453"/>
      <c r="EC1498" s="453"/>
      <c r="ED1498" s="453"/>
      <c r="EE1498" s="453"/>
      <c r="EF1498" s="453"/>
      <c r="EG1498" s="453"/>
      <c r="EH1498" s="453"/>
      <c r="EI1498" s="453"/>
      <c r="EJ1498" s="453"/>
      <c r="EK1498" s="453"/>
      <c r="EL1498" s="453"/>
      <c r="EM1498" s="483">
        <f t="shared" si="267"/>
        <v>1189</v>
      </c>
      <c r="EN1498" s="485"/>
      <c r="EO1498" s="458"/>
      <c r="EP1498" s="467"/>
      <c r="EQ1498" s="457"/>
      <c r="ER1498" s="808"/>
      <c r="ES1498" s="881">
        <f t="shared" si="268"/>
        <v>0</v>
      </c>
      <c r="ET1498" s="882"/>
      <c r="EU1498" s="883"/>
      <c r="EV1498" s="884">
        <f t="shared" si="269"/>
        <v>0</v>
      </c>
      <c r="EW1498" s="885"/>
      <c r="EX1498" s="885"/>
      <c r="EY1498" s="885"/>
      <c r="EZ1498" s="885"/>
      <c r="FA1498" s="885"/>
      <c r="FB1498" s="885"/>
      <c r="FC1498" s="885"/>
      <c r="FD1498" s="886"/>
      <c r="FE1498" s="877"/>
      <c r="FF1498" s="877"/>
      <c r="FG1498" s="877"/>
      <c r="FH1498" s="877"/>
      <c r="FI1498" s="877"/>
      <c r="FJ1498" s="877"/>
      <c r="FK1498" s="877"/>
      <c r="FL1498" s="874"/>
      <c r="FM1498" s="875"/>
      <c r="FN1498" s="875"/>
      <c r="FO1498" s="875"/>
      <c r="FP1498" s="875"/>
      <c r="FQ1498" s="875"/>
      <c r="FR1498" s="875"/>
      <c r="FS1498" s="875"/>
      <c r="FT1498" s="875"/>
      <c r="FU1498" s="875"/>
      <c r="FV1498" s="875"/>
      <c r="FW1498" s="875"/>
      <c r="FX1498" s="875"/>
      <c r="FY1498" s="875"/>
      <c r="FZ1498" s="875"/>
      <c r="GA1498" s="875"/>
      <c r="GB1498" s="876"/>
      <c r="GC1498" s="370"/>
      <c r="GD1498" s="453"/>
      <c r="GE1498" s="453"/>
      <c r="GF1498" s="453"/>
      <c r="GG1498" s="453"/>
      <c r="GH1498" s="454"/>
      <c r="GI1498" s="453"/>
      <c r="GJ1498" s="453"/>
      <c r="GK1498" s="453"/>
      <c r="GL1498" s="453"/>
      <c r="GM1498" s="453"/>
      <c r="GN1498" s="453"/>
      <c r="GO1498" s="453"/>
      <c r="GP1498" s="453"/>
      <c r="GQ1498" s="453"/>
      <c r="GR1498" s="453"/>
      <c r="GS1498" s="561"/>
      <c r="GT1498" s="475"/>
      <c r="GU1498" s="472"/>
      <c r="GV1498" s="453"/>
      <c r="GW1498" s="453"/>
      <c r="GX1498" s="869"/>
      <c r="GY1498" s="870"/>
      <c r="GZ1498" s="867"/>
      <c r="HA1498" s="868"/>
      <c r="HB1498" s="473"/>
      <c r="HC1498" s="869"/>
      <c r="HD1498" s="870"/>
      <c r="HE1498" s="867"/>
      <c r="HF1498" s="868"/>
      <c r="HG1498" s="473"/>
      <c r="HH1498" s="867"/>
      <c r="HI1498" s="868"/>
      <c r="HJ1498" s="867"/>
      <c r="HK1498" s="868"/>
      <c r="HL1498" s="370"/>
      <c r="HM1498" s="865"/>
      <c r="HN1498" s="866"/>
      <c r="HO1498" s="865"/>
      <c r="HP1498" s="866"/>
      <c r="HQ1498" s="865"/>
      <c r="HR1498" s="866"/>
      <c r="HS1498" s="867"/>
      <c r="HT1498" s="868"/>
      <c r="HU1498" s="489"/>
      <c r="HV1498" s="865"/>
      <c r="HW1498" s="866"/>
    </row>
    <row r="1499" spans="25:231" ht="15" customHeight="1">
      <c r="Y1499" s="332"/>
      <c r="Z1499" s="332"/>
      <c r="AA1499" s="332"/>
      <c r="AB1499" s="332"/>
      <c r="AC1499" s="332"/>
      <c r="AD1499" s="332"/>
      <c r="AE1499" s="332"/>
      <c r="AF1499" s="332"/>
      <c r="AG1499" s="332"/>
      <c r="AH1499" s="332"/>
      <c r="AI1499" s="332"/>
      <c r="AJ1499" s="332"/>
      <c r="AK1499" s="332"/>
      <c r="AL1499" s="332"/>
      <c r="AM1499" s="332"/>
      <c r="AN1499" s="332"/>
      <c r="AO1499" s="332"/>
      <c r="AP1499" s="332"/>
      <c r="AQ1499" s="332"/>
      <c r="AR1499" s="332"/>
      <c r="AS1499" s="332"/>
      <c r="AT1499" s="332"/>
      <c r="AU1499" s="332"/>
      <c r="AV1499" s="332"/>
      <c r="AW1499" s="332"/>
      <c r="AX1499" s="332"/>
      <c r="AY1499" s="332"/>
      <c r="AZ1499" s="332"/>
      <c r="BA1499" s="332"/>
      <c r="BB1499" s="332"/>
      <c r="BC1499" s="332"/>
      <c r="BD1499" s="332"/>
      <c r="BE1499" s="332"/>
      <c r="BF1499" s="332"/>
      <c r="BG1499" s="332"/>
      <c r="BH1499" s="332"/>
      <c r="BI1499" s="332"/>
      <c r="BJ1499" s="332"/>
      <c r="BK1499" s="332"/>
      <c r="BL1499" s="332"/>
      <c r="BM1499" s="332"/>
      <c r="BN1499" s="332"/>
      <c r="BO1499" s="332"/>
      <c r="BP1499" s="332"/>
      <c r="BQ1499" s="332"/>
      <c r="BR1499" s="332"/>
      <c r="BS1499" s="332"/>
      <c r="BT1499" s="332"/>
      <c r="BU1499" s="332"/>
      <c r="BV1499" s="332"/>
      <c r="BW1499" s="332"/>
      <c r="BX1499" s="332"/>
      <c r="BY1499" s="332"/>
      <c r="BZ1499" s="332"/>
      <c r="CA1499" s="332"/>
      <c r="CB1499" s="332"/>
      <c r="CC1499" s="332"/>
      <c r="CD1499" s="332"/>
      <c r="CE1499" s="332"/>
      <c r="CF1499" s="332"/>
      <c r="CG1499" s="332"/>
      <c r="CH1499" s="332"/>
      <c r="CI1499" s="332"/>
      <c r="CJ1499" s="332"/>
      <c r="CK1499" s="332"/>
      <c r="CL1499" s="332"/>
      <c r="CM1499" s="332"/>
      <c r="CN1499" s="332"/>
      <c r="CO1499" s="332"/>
      <c r="CP1499" s="332"/>
      <c r="CQ1499" s="332"/>
      <c r="CR1499" s="332"/>
      <c r="CS1499" s="332"/>
      <c r="CT1499" s="332"/>
      <c r="CU1499" s="332"/>
      <c r="CV1499" s="332"/>
      <c r="CW1499" s="332"/>
      <c r="CX1499" s="332"/>
      <c r="CY1499" s="332"/>
      <c r="CZ1499" s="332"/>
      <c r="DA1499" s="332"/>
      <c r="DB1499" s="332"/>
      <c r="DC1499" s="332"/>
      <c r="DD1499" s="332"/>
      <c r="DE1499" s="332"/>
      <c r="DF1499" s="332"/>
      <c r="DG1499" s="332"/>
      <c r="DH1499" s="332"/>
      <c r="DI1499" s="332"/>
      <c r="DJ1499" s="332"/>
      <c r="DK1499" s="332"/>
      <c r="DL1499" s="332"/>
      <c r="DM1499" s="332"/>
      <c r="DN1499" s="332"/>
      <c r="DO1499" s="332"/>
      <c r="DP1499" s="332"/>
      <c r="DQ1499" s="332"/>
      <c r="DR1499" s="332"/>
      <c r="DS1499" s="332"/>
      <c r="DT1499" s="332"/>
      <c r="DU1499" s="453"/>
      <c r="DV1499" s="453"/>
      <c r="DW1499" s="453"/>
      <c r="DX1499" s="453"/>
      <c r="DY1499" s="453"/>
      <c r="DZ1499" s="453"/>
      <c r="EA1499" s="453"/>
      <c r="EB1499" s="453"/>
      <c r="EC1499" s="453"/>
      <c r="ED1499" s="453"/>
      <c r="EE1499" s="453"/>
      <c r="EF1499" s="453"/>
      <c r="EG1499" s="453"/>
      <c r="EH1499" s="453"/>
      <c r="EI1499" s="453"/>
      <c r="EJ1499" s="453"/>
      <c r="EK1499" s="453"/>
      <c r="EL1499" s="453"/>
      <c r="EM1499" s="483">
        <f t="shared" si="267"/>
        <v>1190</v>
      </c>
      <c r="EN1499" s="485"/>
      <c r="EO1499" s="458"/>
      <c r="EP1499" s="467"/>
      <c r="EQ1499" s="457"/>
      <c r="ER1499" s="808"/>
      <c r="ES1499" s="881">
        <f t="shared" si="268"/>
        <v>0</v>
      </c>
      <c r="ET1499" s="882"/>
      <c r="EU1499" s="883"/>
      <c r="EV1499" s="884">
        <f t="shared" si="269"/>
        <v>0</v>
      </c>
      <c r="EW1499" s="885"/>
      <c r="EX1499" s="885"/>
      <c r="EY1499" s="885"/>
      <c r="EZ1499" s="885"/>
      <c r="FA1499" s="885"/>
      <c r="FB1499" s="885"/>
      <c r="FC1499" s="885"/>
      <c r="FD1499" s="886"/>
      <c r="FE1499" s="877"/>
      <c r="FF1499" s="877"/>
      <c r="FG1499" s="877"/>
      <c r="FH1499" s="877"/>
      <c r="FI1499" s="877"/>
      <c r="FJ1499" s="877"/>
      <c r="FK1499" s="877"/>
      <c r="FL1499" s="874"/>
      <c r="FM1499" s="875"/>
      <c r="FN1499" s="875"/>
      <c r="FO1499" s="875"/>
      <c r="FP1499" s="875"/>
      <c r="FQ1499" s="875"/>
      <c r="FR1499" s="875"/>
      <c r="FS1499" s="875"/>
      <c r="FT1499" s="875"/>
      <c r="FU1499" s="875"/>
      <c r="FV1499" s="875"/>
      <c r="FW1499" s="875"/>
      <c r="FX1499" s="875"/>
      <c r="FY1499" s="875"/>
      <c r="FZ1499" s="875"/>
      <c r="GA1499" s="875"/>
      <c r="GB1499" s="876"/>
      <c r="GC1499" s="370"/>
      <c r="GD1499" s="453"/>
      <c r="GE1499" s="453"/>
      <c r="GF1499" s="453"/>
      <c r="GG1499" s="453"/>
      <c r="GH1499" s="454"/>
      <c r="GI1499" s="453"/>
      <c r="GJ1499" s="453"/>
      <c r="GK1499" s="453"/>
      <c r="GL1499" s="453"/>
      <c r="GM1499" s="453"/>
      <c r="GN1499" s="453"/>
      <c r="GO1499" s="453"/>
      <c r="GP1499" s="453"/>
      <c r="GQ1499" s="453"/>
      <c r="GR1499" s="453"/>
      <c r="GS1499" s="561"/>
      <c r="GT1499" s="475"/>
      <c r="GU1499" s="472"/>
      <c r="GV1499" s="453"/>
      <c r="GW1499" s="453"/>
      <c r="GX1499" s="869"/>
      <c r="GY1499" s="870"/>
      <c r="GZ1499" s="867"/>
      <c r="HA1499" s="868"/>
      <c r="HB1499" s="473"/>
      <c r="HC1499" s="869"/>
      <c r="HD1499" s="870"/>
      <c r="HE1499" s="867"/>
      <c r="HF1499" s="868"/>
      <c r="HG1499" s="473"/>
      <c r="HH1499" s="867"/>
      <c r="HI1499" s="868"/>
      <c r="HJ1499" s="867"/>
      <c r="HK1499" s="868"/>
      <c r="HL1499" s="370"/>
      <c r="HM1499" s="865"/>
      <c r="HN1499" s="866"/>
      <c r="HO1499" s="865"/>
      <c r="HP1499" s="866"/>
      <c r="HQ1499" s="865"/>
      <c r="HR1499" s="866"/>
      <c r="HS1499" s="867"/>
      <c r="HT1499" s="868"/>
      <c r="HU1499" s="489"/>
      <c r="HV1499" s="865"/>
      <c r="HW1499" s="866"/>
    </row>
    <row r="1500" spans="25:231" ht="15" customHeight="1">
      <c r="Y1500" s="332"/>
      <c r="Z1500" s="332"/>
      <c r="AA1500" s="332"/>
      <c r="AB1500" s="332"/>
      <c r="AC1500" s="332"/>
      <c r="AD1500" s="332"/>
      <c r="AE1500" s="332"/>
      <c r="AF1500" s="332"/>
      <c r="AG1500" s="332"/>
      <c r="AH1500" s="332"/>
      <c r="AI1500" s="332"/>
      <c r="AJ1500" s="332"/>
      <c r="AK1500" s="332"/>
      <c r="AL1500" s="332"/>
      <c r="AM1500" s="332"/>
      <c r="AN1500" s="332"/>
      <c r="AO1500" s="332"/>
      <c r="AP1500" s="332"/>
      <c r="AQ1500" s="332"/>
      <c r="AR1500" s="332"/>
      <c r="AS1500" s="332"/>
      <c r="AT1500" s="332"/>
      <c r="AU1500" s="332"/>
      <c r="AV1500" s="332"/>
      <c r="AW1500" s="332"/>
      <c r="AX1500" s="332"/>
      <c r="AY1500" s="332"/>
      <c r="AZ1500" s="332"/>
      <c r="BA1500" s="332"/>
      <c r="BB1500" s="332"/>
      <c r="BC1500" s="332"/>
      <c r="BD1500" s="332"/>
      <c r="BE1500" s="332"/>
      <c r="BF1500" s="332"/>
      <c r="BG1500" s="332"/>
      <c r="BH1500" s="332"/>
      <c r="BI1500" s="332"/>
      <c r="BJ1500" s="332"/>
      <c r="BK1500" s="332"/>
      <c r="BL1500" s="332"/>
      <c r="BM1500" s="332"/>
      <c r="BN1500" s="332"/>
      <c r="BO1500" s="332"/>
      <c r="BP1500" s="332"/>
      <c r="BQ1500" s="332"/>
      <c r="BR1500" s="332"/>
      <c r="BS1500" s="332"/>
      <c r="BT1500" s="332"/>
      <c r="BU1500" s="332"/>
      <c r="BV1500" s="332"/>
      <c r="BW1500" s="332"/>
      <c r="BX1500" s="332"/>
      <c r="BY1500" s="332"/>
      <c r="BZ1500" s="332"/>
      <c r="CA1500" s="332"/>
      <c r="CB1500" s="332"/>
      <c r="CC1500" s="332"/>
      <c r="CD1500" s="332"/>
      <c r="CE1500" s="332"/>
      <c r="CF1500" s="332"/>
      <c r="CG1500" s="332"/>
      <c r="CH1500" s="332"/>
      <c r="CI1500" s="332"/>
      <c r="CJ1500" s="332"/>
      <c r="CK1500" s="332"/>
      <c r="CL1500" s="332"/>
      <c r="CM1500" s="332"/>
      <c r="CN1500" s="332"/>
      <c r="CO1500" s="332"/>
      <c r="CP1500" s="332"/>
      <c r="CQ1500" s="332"/>
      <c r="CR1500" s="332"/>
      <c r="CS1500" s="332"/>
      <c r="CT1500" s="332"/>
      <c r="CU1500" s="332"/>
      <c r="CV1500" s="332"/>
      <c r="CW1500" s="332"/>
      <c r="CX1500" s="332"/>
      <c r="CY1500" s="332"/>
      <c r="CZ1500" s="332"/>
      <c r="DA1500" s="332"/>
      <c r="DB1500" s="332"/>
      <c r="DC1500" s="332"/>
      <c r="DD1500" s="332"/>
      <c r="DE1500" s="332"/>
      <c r="DF1500" s="332"/>
      <c r="DG1500" s="332"/>
      <c r="DH1500" s="332"/>
      <c r="DI1500" s="332"/>
      <c r="DJ1500" s="332"/>
      <c r="DK1500" s="332"/>
      <c r="DL1500" s="332"/>
      <c r="DM1500" s="332"/>
      <c r="DN1500" s="332"/>
      <c r="DO1500" s="332"/>
      <c r="DP1500" s="332"/>
      <c r="DQ1500" s="332"/>
      <c r="DR1500" s="332"/>
      <c r="DS1500" s="332"/>
      <c r="DT1500" s="332"/>
      <c r="DU1500" s="453"/>
      <c r="DV1500" s="453"/>
      <c r="DW1500" s="453"/>
      <c r="DX1500" s="453"/>
      <c r="DY1500" s="453"/>
      <c r="DZ1500" s="453"/>
      <c r="EA1500" s="453"/>
      <c r="EB1500" s="453"/>
      <c r="EC1500" s="453"/>
      <c r="ED1500" s="453"/>
      <c r="EE1500" s="453"/>
      <c r="EF1500" s="453"/>
      <c r="EG1500" s="453"/>
      <c r="EH1500" s="453"/>
      <c r="EI1500" s="453"/>
      <c r="EJ1500" s="453"/>
      <c r="EK1500" s="453"/>
      <c r="EL1500" s="453"/>
      <c r="EM1500" s="483">
        <f t="shared" si="267"/>
        <v>1191</v>
      </c>
      <c r="EN1500" s="485"/>
      <c r="EO1500" s="458"/>
      <c r="EP1500" s="467"/>
      <c r="EQ1500" s="457"/>
      <c r="ER1500" s="808"/>
      <c r="ES1500" s="881">
        <f t="shared" si="250"/>
        <v>0</v>
      </c>
      <c r="ET1500" s="882"/>
      <c r="EU1500" s="883"/>
      <c r="EV1500" s="884">
        <f t="shared" si="251"/>
        <v>0</v>
      </c>
      <c r="EW1500" s="885"/>
      <c r="EX1500" s="885"/>
      <c r="EY1500" s="885"/>
      <c r="EZ1500" s="885"/>
      <c r="FA1500" s="885"/>
      <c r="FB1500" s="885"/>
      <c r="FC1500" s="885"/>
      <c r="FD1500" s="886"/>
      <c r="FE1500" s="877"/>
      <c r="FF1500" s="877"/>
      <c r="FG1500" s="877"/>
      <c r="FH1500" s="877"/>
      <c r="FI1500" s="877"/>
      <c r="FJ1500" s="877"/>
      <c r="FK1500" s="877"/>
      <c r="FL1500" s="874"/>
      <c r="FM1500" s="875"/>
      <c r="FN1500" s="875"/>
      <c r="FO1500" s="875"/>
      <c r="FP1500" s="875"/>
      <c r="FQ1500" s="875"/>
      <c r="FR1500" s="875"/>
      <c r="FS1500" s="875"/>
      <c r="FT1500" s="875"/>
      <c r="FU1500" s="875"/>
      <c r="FV1500" s="875"/>
      <c r="FW1500" s="875"/>
      <c r="FX1500" s="875"/>
      <c r="FY1500" s="875"/>
      <c r="FZ1500" s="875"/>
      <c r="GA1500" s="875"/>
      <c r="GB1500" s="876"/>
      <c r="GC1500" s="370"/>
      <c r="GD1500" s="453"/>
      <c r="GE1500" s="453"/>
      <c r="GF1500" s="453"/>
      <c r="GG1500" s="453"/>
      <c r="GH1500" s="454"/>
      <c r="GI1500" s="453"/>
      <c r="GJ1500" s="453"/>
      <c r="GK1500" s="453"/>
      <c r="GL1500" s="453"/>
      <c r="GM1500" s="453"/>
      <c r="GN1500" s="453"/>
      <c r="GO1500" s="453"/>
      <c r="GP1500" s="453"/>
      <c r="GQ1500" s="453"/>
      <c r="GR1500" s="453"/>
      <c r="GS1500" s="561"/>
      <c r="GT1500" s="475"/>
      <c r="GU1500" s="472"/>
      <c r="GV1500" s="453"/>
      <c r="GW1500" s="453"/>
      <c r="GX1500" s="869"/>
      <c r="GY1500" s="870"/>
      <c r="GZ1500" s="867"/>
      <c r="HA1500" s="868"/>
      <c r="HB1500" s="473"/>
      <c r="HC1500" s="869"/>
      <c r="HD1500" s="870"/>
      <c r="HE1500" s="867"/>
      <c r="HF1500" s="868"/>
      <c r="HG1500" s="473"/>
      <c r="HH1500" s="867"/>
      <c r="HI1500" s="868"/>
      <c r="HJ1500" s="867"/>
      <c r="HK1500" s="868"/>
      <c r="HL1500" s="370"/>
      <c r="HM1500" s="865"/>
      <c r="HN1500" s="866"/>
      <c r="HO1500" s="865"/>
      <c r="HP1500" s="866"/>
      <c r="HQ1500" s="865"/>
      <c r="HR1500" s="866"/>
      <c r="HS1500" s="867"/>
      <c r="HT1500" s="868"/>
      <c r="HU1500" s="489"/>
      <c r="HV1500" s="865"/>
      <c r="HW1500" s="866"/>
    </row>
    <row r="1501" spans="25:231" ht="15" customHeight="1">
      <c r="Y1501" s="332"/>
      <c r="Z1501" s="332"/>
      <c r="AA1501" s="332"/>
      <c r="AB1501" s="332"/>
      <c r="AC1501" s="332"/>
      <c r="AD1501" s="332"/>
      <c r="AE1501" s="332"/>
      <c r="AF1501" s="332"/>
      <c r="AG1501" s="332"/>
      <c r="AH1501" s="332"/>
      <c r="AI1501" s="332"/>
      <c r="AJ1501" s="332"/>
      <c r="AK1501" s="332"/>
      <c r="AL1501" s="332"/>
      <c r="AM1501" s="332"/>
      <c r="AN1501" s="332"/>
      <c r="AO1501" s="332"/>
      <c r="AP1501" s="332"/>
      <c r="AQ1501" s="332"/>
      <c r="AR1501" s="332"/>
      <c r="AS1501" s="332"/>
      <c r="AT1501" s="332"/>
      <c r="AU1501" s="332"/>
      <c r="AV1501" s="332"/>
      <c r="AW1501" s="332"/>
      <c r="AX1501" s="332"/>
      <c r="AY1501" s="332"/>
      <c r="AZ1501" s="332"/>
      <c r="BA1501" s="332"/>
      <c r="BB1501" s="332"/>
      <c r="BC1501" s="332"/>
      <c r="BD1501" s="332"/>
      <c r="BE1501" s="332"/>
      <c r="BF1501" s="332"/>
      <c r="BG1501" s="332"/>
      <c r="BH1501" s="332"/>
      <c r="BI1501" s="332"/>
      <c r="BJ1501" s="332"/>
      <c r="BK1501" s="332"/>
      <c r="BL1501" s="332"/>
      <c r="BM1501" s="332"/>
      <c r="BN1501" s="332"/>
      <c r="BO1501" s="332"/>
      <c r="BP1501" s="332"/>
      <c r="BQ1501" s="332"/>
      <c r="BR1501" s="332"/>
      <c r="BS1501" s="332"/>
      <c r="BT1501" s="332"/>
      <c r="BU1501" s="332"/>
      <c r="BV1501" s="332"/>
      <c r="BW1501" s="332"/>
      <c r="BX1501" s="332"/>
      <c r="BY1501" s="332"/>
      <c r="BZ1501" s="332"/>
      <c r="CA1501" s="332"/>
      <c r="CB1501" s="332"/>
      <c r="CC1501" s="332"/>
      <c r="CD1501" s="332"/>
      <c r="CE1501" s="332"/>
      <c r="CF1501" s="332"/>
      <c r="CG1501" s="332"/>
      <c r="CH1501" s="332"/>
      <c r="CI1501" s="332"/>
      <c r="CJ1501" s="332"/>
      <c r="CK1501" s="332"/>
      <c r="CL1501" s="332"/>
      <c r="CM1501" s="332"/>
      <c r="CN1501" s="332"/>
      <c r="CO1501" s="332"/>
      <c r="CP1501" s="332"/>
      <c r="CQ1501" s="332"/>
      <c r="CR1501" s="332"/>
      <c r="CS1501" s="332"/>
      <c r="CT1501" s="332"/>
      <c r="CU1501" s="332"/>
      <c r="CV1501" s="332"/>
      <c r="CW1501" s="332"/>
      <c r="CX1501" s="332"/>
      <c r="CY1501" s="332"/>
      <c r="CZ1501" s="332"/>
      <c r="DA1501" s="332"/>
      <c r="DB1501" s="332"/>
      <c r="DC1501" s="332"/>
      <c r="DD1501" s="332"/>
      <c r="DE1501" s="332"/>
      <c r="DF1501" s="332"/>
      <c r="DG1501" s="332"/>
      <c r="DH1501" s="332"/>
      <c r="DI1501" s="332"/>
      <c r="DJ1501" s="332"/>
      <c r="DK1501" s="332"/>
      <c r="DL1501" s="332"/>
      <c r="DM1501" s="332"/>
      <c r="DN1501" s="332"/>
      <c r="DO1501" s="332"/>
      <c r="DP1501" s="332"/>
      <c r="DQ1501" s="332"/>
      <c r="DR1501" s="332"/>
      <c r="DS1501" s="332"/>
      <c r="DT1501" s="332"/>
      <c r="DU1501" s="453"/>
      <c r="DV1501" s="453"/>
      <c r="DW1501" s="453"/>
      <c r="DX1501" s="453"/>
      <c r="DY1501" s="453"/>
      <c r="DZ1501" s="453"/>
      <c r="EA1501" s="453"/>
      <c r="EB1501" s="453"/>
      <c r="EC1501" s="453"/>
      <c r="ED1501" s="453"/>
      <c r="EE1501" s="453"/>
      <c r="EF1501" s="453"/>
      <c r="EG1501" s="453"/>
      <c r="EH1501" s="453"/>
      <c r="EI1501" s="453"/>
      <c r="EJ1501" s="453"/>
      <c r="EK1501" s="453"/>
      <c r="EL1501" s="453"/>
      <c r="EM1501" s="483">
        <f t="shared" ref="EM1501:EM1507" si="270">+EM1500+1</f>
        <v>1192</v>
      </c>
      <c r="EN1501" s="485"/>
      <c r="EO1501" s="458"/>
      <c r="EP1501" s="467"/>
      <c r="EQ1501" s="457"/>
      <c r="ER1501" s="808"/>
      <c r="ES1501" s="881">
        <f t="shared" si="234"/>
        <v>0</v>
      </c>
      <c r="ET1501" s="882"/>
      <c r="EU1501" s="883"/>
      <c r="EV1501" s="884">
        <f t="shared" si="232"/>
        <v>0</v>
      </c>
      <c r="EW1501" s="885"/>
      <c r="EX1501" s="885"/>
      <c r="EY1501" s="885"/>
      <c r="EZ1501" s="885"/>
      <c r="FA1501" s="885"/>
      <c r="FB1501" s="885"/>
      <c r="FC1501" s="885"/>
      <c r="FD1501" s="886"/>
      <c r="FE1501" s="877"/>
      <c r="FF1501" s="877"/>
      <c r="FG1501" s="877"/>
      <c r="FH1501" s="877"/>
      <c r="FI1501" s="877"/>
      <c r="FJ1501" s="877"/>
      <c r="FK1501" s="877"/>
      <c r="FL1501" s="874"/>
      <c r="FM1501" s="875"/>
      <c r="FN1501" s="875"/>
      <c r="FO1501" s="875"/>
      <c r="FP1501" s="875"/>
      <c r="FQ1501" s="875"/>
      <c r="FR1501" s="875"/>
      <c r="FS1501" s="875"/>
      <c r="FT1501" s="875"/>
      <c r="FU1501" s="875"/>
      <c r="FV1501" s="875"/>
      <c r="FW1501" s="875"/>
      <c r="FX1501" s="875"/>
      <c r="FY1501" s="875"/>
      <c r="FZ1501" s="875"/>
      <c r="GA1501" s="875"/>
      <c r="GB1501" s="876"/>
      <c r="GC1501" s="370"/>
      <c r="GD1501" s="453"/>
      <c r="GE1501" s="453"/>
      <c r="GF1501" s="453"/>
      <c r="GG1501" s="453"/>
      <c r="GH1501" s="454"/>
      <c r="GI1501" s="453"/>
      <c r="GJ1501" s="453"/>
      <c r="GK1501" s="453"/>
      <c r="GL1501" s="453"/>
      <c r="GM1501" s="453"/>
      <c r="GN1501" s="453"/>
      <c r="GO1501" s="453"/>
      <c r="GP1501" s="453"/>
      <c r="GQ1501" s="453"/>
      <c r="GR1501" s="453"/>
      <c r="GS1501" s="561"/>
      <c r="GT1501" s="475"/>
      <c r="GU1501" s="472"/>
      <c r="GV1501" s="453"/>
      <c r="GW1501" s="453"/>
      <c r="GX1501" s="869"/>
      <c r="GY1501" s="870"/>
      <c r="GZ1501" s="867"/>
      <c r="HA1501" s="868"/>
      <c r="HB1501" s="473"/>
      <c r="HC1501" s="869"/>
      <c r="HD1501" s="870"/>
      <c r="HE1501" s="867"/>
      <c r="HF1501" s="868"/>
      <c r="HG1501" s="473"/>
      <c r="HH1501" s="867"/>
      <c r="HI1501" s="868"/>
      <c r="HJ1501" s="867"/>
      <c r="HK1501" s="868"/>
      <c r="HL1501" s="370"/>
      <c r="HM1501" s="865"/>
      <c r="HN1501" s="866"/>
      <c r="HO1501" s="865"/>
      <c r="HP1501" s="866"/>
      <c r="HQ1501" s="865"/>
      <c r="HR1501" s="866"/>
      <c r="HS1501" s="867"/>
      <c r="HT1501" s="868"/>
      <c r="HU1501" s="489"/>
      <c r="HV1501" s="865"/>
      <c r="HW1501" s="866"/>
    </row>
    <row r="1502" spans="25:231" ht="15" customHeight="1">
      <c r="Y1502" s="332"/>
      <c r="Z1502" s="332"/>
      <c r="AA1502" s="332"/>
      <c r="AB1502" s="332"/>
      <c r="AC1502" s="332"/>
      <c r="AD1502" s="332"/>
      <c r="AE1502" s="332"/>
      <c r="AF1502" s="332"/>
      <c r="AG1502" s="332"/>
      <c r="AH1502" s="332"/>
      <c r="AI1502" s="332"/>
      <c r="AJ1502" s="332"/>
      <c r="AK1502" s="332"/>
      <c r="AL1502" s="332"/>
      <c r="AM1502" s="332"/>
      <c r="AN1502" s="332"/>
      <c r="AO1502" s="332"/>
      <c r="AP1502" s="332"/>
      <c r="AQ1502" s="332"/>
      <c r="AR1502" s="332"/>
      <c r="AS1502" s="332"/>
      <c r="AT1502" s="332"/>
      <c r="AU1502" s="332"/>
      <c r="AV1502" s="332"/>
      <c r="AW1502" s="332"/>
      <c r="AX1502" s="332"/>
      <c r="AY1502" s="332"/>
      <c r="AZ1502" s="332"/>
      <c r="BA1502" s="332"/>
      <c r="BB1502" s="332"/>
      <c r="BC1502" s="332"/>
      <c r="BD1502" s="332"/>
      <c r="BE1502" s="332"/>
      <c r="BF1502" s="332"/>
      <c r="BG1502" s="332"/>
      <c r="BH1502" s="332"/>
      <c r="BI1502" s="332"/>
      <c r="BJ1502" s="332"/>
      <c r="BK1502" s="332"/>
      <c r="BL1502" s="332"/>
      <c r="BM1502" s="332"/>
      <c r="BN1502" s="332"/>
      <c r="BO1502" s="332"/>
      <c r="BP1502" s="332"/>
      <c r="BQ1502" s="332"/>
      <c r="BR1502" s="332"/>
      <c r="BS1502" s="332"/>
      <c r="BT1502" s="332"/>
      <c r="BU1502" s="332"/>
      <c r="BV1502" s="332"/>
      <c r="BW1502" s="332"/>
      <c r="BX1502" s="332"/>
      <c r="BY1502" s="332"/>
      <c r="BZ1502" s="332"/>
      <c r="CA1502" s="332"/>
      <c r="CB1502" s="332"/>
      <c r="CC1502" s="332"/>
      <c r="CD1502" s="332"/>
      <c r="CE1502" s="332"/>
      <c r="CF1502" s="332"/>
      <c r="CG1502" s="332"/>
      <c r="CH1502" s="332"/>
      <c r="CI1502" s="332"/>
      <c r="CJ1502" s="332"/>
      <c r="CK1502" s="332"/>
      <c r="CL1502" s="332"/>
      <c r="CM1502" s="332"/>
      <c r="CN1502" s="332"/>
      <c r="CO1502" s="332"/>
      <c r="CP1502" s="332"/>
      <c r="CQ1502" s="332"/>
      <c r="CR1502" s="332"/>
      <c r="CS1502" s="332"/>
      <c r="CT1502" s="332"/>
      <c r="CU1502" s="332"/>
      <c r="CV1502" s="332"/>
      <c r="CW1502" s="332"/>
      <c r="CX1502" s="332"/>
      <c r="CY1502" s="332"/>
      <c r="CZ1502" s="332"/>
      <c r="DA1502" s="332"/>
      <c r="DB1502" s="332"/>
      <c r="DC1502" s="332"/>
      <c r="DD1502" s="332"/>
      <c r="DE1502" s="332"/>
      <c r="DF1502" s="332"/>
      <c r="DG1502" s="332"/>
      <c r="DH1502" s="332"/>
      <c r="DI1502" s="332"/>
      <c r="DJ1502" s="332"/>
      <c r="DK1502" s="332"/>
      <c r="DL1502" s="332"/>
      <c r="DM1502" s="332"/>
      <c r="DN1502" s="332"/>
      <c r="DO1502" s="332"/>
      <c r="DP1502" s="332"/>
      <c r="DQ1502" s="332"/>
      <c r="DR1502" s="332"/>
      <c r="DS1502" s="332"/>
      <c r="DT1502" s="332"/>
      <c r="DU1502" s="453"/>
      <c r="DV1502" s="453"/>
      <c r="DW1502" s="453"/>
      <c r="DX1502" s="453"/>
      <c r="DY1502" s="453"/>
      <c r="DZ1502" s="453"/>
      <c r="EA1502" s="453"/>
      <c r="EB1502" s="453"/>
      <c r="EC1502" s="453"/>
      <c r="ED1502" s="453"/>
      <c r="EE1502" s="453"/>
      <c r="EF1502" s="453"/>
      <c r="EG1502" s="453"/>
      <c r="EH1502" s="453"/>
      <c r="EI1502" s="453"/>
      <c r="EJ1502" s="453"/>
      <c r="EK1502" s="453"/>
      <c r="EL1502" s="453"/>
      <c r="EM1502" s="483">
        <f t="shared" si="270"/>
        <v>1193</v>
      </c>
      <c r="EN1502" s="485"/>
      <c r="EO1502" s="458"/>
      <c r="EP1502" s="467"/>
      <c r="EQ1502" s="457"/>
      <c r="ER1502" s="808"/>
      <c r="ES1502" s="881">
        <f t="shared" si="234"/>
        <v>0</v>
      </c>
      <c r="ET1502" s="882"/>
      <c r="EU1502" s="883"/>
      <c r="EV1502" s="884">
        <f t="shared" si="232"/>
        <v>0</v>
      </c>
      <c r="EW1502" s="885"/>
      <c r="EX1502" s="885"/>
      <c r="EY1502" s="885"/>
      <c r="EZ1502" s="885"/>
      <c r="FA1502" s="885"/>
      <c r="FB1502" s="885"/>
      <c r="FC1502" s="885"/>
      <c r="FD1502" s="886"/>
      <c r="FE1502" s="877"/>
      <c r="FF1502" s="877"/>
      <c r="FG1502" s="877"/>
      <c r="FH1502" s="877"/>
      <c r="FI1502" s="877"/>
      <c r="FJ1502" s="877"/>
      <c r="FK1502" s="877"/>
      <c r="FL1502" s="874"/>
      <c r="FM1502" s="875"/>
      <c r="FN1502" s="875"/>
      <c r="FO1502" s="875"/>
      <c r="FP1502" s="875"/>
      <c r="FQ1502" s="875"/>
      <c r="FR1502" s="875"/>
      <c r="FS1502" s="875"/>
      <c r="FT1502" s="875"/>
      <c r="FU1502" s="875"/>
      <c r="FV1502" s="875"/>
      <c r="FW1502" s="875"/>
      <c r="FX1502" s="875"/>
      <c r="FY1502" s="875"/>
      <c r="FZ1502" s="875"/>
      <c r="GA1502" s="875"/>
      <c r="GB1502" s="876"/>
      <c r="GC1502" s="370"/>
      <c r="GD1502" s="453"/>
      <c r="GE1502" s="453"/>
      <c r="GF1502" s="453"/>
      <c r="GG1502" s="453"/>
      <c r="GH1502" s="454"/>
      <c r="GI1502" s="453"/>
      <c r="GJ1502" s="453"/>
      <c r="GK1502" s="453"/>
      <c r="GL1502" s="453"/>
      <c r="GM1502" s="453"/>
      <c r="GN1502" s="453"/>
      <c r="GO1502" s="453"/>
      <c r="GP1502" s="453"/>
      <c r="GQ1502" s="453"/>
      <c r="GR1502" s="453"/>
      <c r="GS1502" s="561"/>
      <c r="GT1502" s="475"/>
      <c r="GU1502" s="472"/>
      <c r="GV1502" s="453"/>
      <c r="GW1502" s="453"/>
      <c r="GX1502" s="869"/>
      <c r="GY1502" s="870"/>
      <c r="GZ1502" s="867"/>
      <c r="HA1502" s="868"/>
      <c r="HB1502" s="473"/>
      <c r="HC1502" s="869"/>
      <c r="HD1502" s="870"/>
      <c r="HE1502" s="867"/>
      <c r="HF1502" s="868"/>
      <c r="HG1502" s="473"/>
      <c r="HH1502" s="867"/>
      <c r="HI1502" s="868"/>
      <c r="HJ1502" s="867"/>
      <c r="HK1502" s="868"/>
      <c r="HL1502" s="370"/>
      <c r="HM1502" s="865"/>
      <c r="HN1502" s="866"/>
      <c r="HO1502" s="865"/>
      <c r="HP1502" s="866"/>
      <c r="HQ1502" s="865"/>
      <c r="HR1502" s="866"/>
      <c r="HS1502" s="867"/>
      <c r="HT1502" s="868"/>
      <c r="HU1502" s="489"/>
      <c r="HV1502" s="865"/>
      <c r="HW1502" s="866"/>
    </row>
    <row r="1503" spans="25:231" ht="15" customHeight="1">
      <c r="Y1503" s="332"/>
      <c r="Z1503" s="332"/>
      <c r="AA1503" s="332"/>
      <c r="AB1503" s="332"/>
      <c r="AC1503" s="332"/>
      <c r="AD1503" s="332"/>
      <c r="AE1503" s="332"/>
      <c r="AF1503" s="332"/>
      <c r="AG1503" s="332"/>
      <c r="AH1503" s="332"/>
      <c r="AI1503" s="332"/>
      <c r="AJ1503" s="332"/>
      <c r="AK1503" s="332"/>
      <c r="AL1503" s="332"/>
      <c r="AM1503" s="332"/>
      <c r="AN1503" s="332"/>
      <c r="AO1503" s="332"/>
      <c r="AP1503" s="332"/>
      <c r="AQ1503" s="332"/>
      <c r="AR1503" s="332"/>
      <c r="AS1503" s="332"/>
      <c r="AT1503" s="332"/>
      <c r="AU1503" s="332"/>
      <c r="AV1503" s="332"/>
      <c r="AW1503" s="332"/>
      <c r="AX1503" s="332"/>
      <c r="AY1503" s="332"/>
      <c r="AZ1503" s="332"/>
      <c r="BA1503" s="332"/>
      <c r="BB1503" s="332"/>
      <c r="BC1503" s="332"/>
      <c r="BD1503" s="332"/>
      <c r="BE1503" s="332"/>
      <c r="BF1503" s="332"/>
      <c r="BG1503" s="332"/>
      <c r="BH1503" s="332"/>
      <c r="BI1503" s="332"/>
      <c r="BJ1503" s="332"/>
      <c r="BK1503" s="332"/>
      <c r="BL1503" s="332"/>
      <c r="BM1503" s="332"/>
      <c r="BN1503" s="332"/>
      <c r="BO1503" s="332"/>
      <c r="BP1503" s="332"/>
      <c r="BQ1503" s="332"/>
      <c r="BR1503" s="332"/>
      <c r="BS1503" s="332"/>
      <c r="BT1503" s="332"/>
      <c r="BU1503" s="332"/>
      <c r="BV1503" s="332"/>
      <c r="BW1503" s="332"/>
      <c r="BX1503" s="332"/>
      <c r="BY1503" s="332"/>
      <c r="BZ1503" s="332"/>
      <c r="CA1503" s="332"/>
      <c r="CB1503" s="332"/>
      <c r="CC1503" s="332"/>
      <c r="CD1503" s="332"/>
      <c r="CE1503" s="332"/>
      <c r="CF1503" s="332"/>
      <c r="CG1503" s="332"/>
      <c r="CH1503" s="332"/>
      <c r="CI1503" s="332"/>
      <c r="CJ1503" s="332"/>
      <c r="CK1503" s="332"/>
      <c r="CL1503" s="332"/>
      <c r="CM1503" s="332"/>
      <c r="CN1503" s="332"/>
      <c r="CO1503" s="332"/>
      <c r="CP1503" s="332"/>
      <c r="CQ1503" s="332"/>
      <c r="CR1503" s="332"/>
      <c r="CS1503" s="332"/>
      <c r="CT1503" s="332"/>
      <c r="CU1503" s="332"/>
      <c r="CV1503" s="332"/>
      <c r="CW1503" s="332"/>
      <c r="CX1503" s="332"/>
      <c r="CY1503" s="332"/>
      <c r="CZ1503" s="332"/>
      <c r="DA1503" s="332"/>
      <c r="DB1503" s="332"/>
      <c r="DC1503" s="332"/>
      <c r="DD1503" s="332"/>
      <c r="DE1503" s="332"/>
      <c r="DF1503" s="332"/>
      <c r="DG1503" s="332"/>
      <c r="DH1503" s="332"/>
      <c r="DI1503" s="332"/>
      <c r="DJ1503" s="332"/>
      <c r="DK1503" s="332"/>
      <c r="DL1503" s="332"/>
      <c r="DM1503" s="332"/>
      <c r="DN1503" s="332"/>
      <c r="DO1503" s="332"/>
      <c r="DP1503" s="332"/>
      <c r="DQ1503" s="332"/>
      <c r="DR1503" s="332"/>
      <c r="DS1503" s="332"/>
      <c r="DT1503" s="332"/>
      <c r="DU1503" s="453"/>
      <c r="DV1503" s="453"/>
      <c r="DW1503" s="453"/>
      <c r="DX1503" s="453"/>
      <c r="DY1503" s="453"/>
      <c r="DZ1503" s="453"/>
      <c r="EA1503" s="453"/>
      <c r="EB1503" s="453"/>
      <c r="EC1503" s="453"/>
      <c r="ED1503" s="453"/>
      <c r="EE1503" s="453"/>
      <c r="EF1503" s="453"/>
      <c r="EG1503" s="453"/>
      <c r="EH1503" s="453"/>
      <c r="EI1503" s="453"/>
      <c r="EJ1503" s="453"/>
      <c r="EK1503" s="453"/>
      <c r="EL1503" s="453"/>
      <c r="EM1503" s="483">
        <f t="shared" si="270"/>
        <v>1194</v>
      </c>
      <c r="EN1503" s="485"/>
      <c r="EO1503" s="458"/>
      <c r="EP1503" s="467"/>
      <c r="EQ1503" s="457"/>
      <c r="ER1503" s="808"/>
      <c r="ES1503" s="881">
        <f t="shared" si="234"/>
        <v>0</v>
      </c>
      <c r="ET1503" s="882"/>
      <c r="EU1503" s="883"/>
      <c r="EV1503" s="884">
        <f t="shared" si="232"/>
        <v>0</v>
      </c>
      <c r="EW1503" s="885"/>
      <c r="EX1503" s="885"/>
      <c r="EY1503" s="885"/>
      <c r="EZ1503" s="885"/>
      <c r="FA1503" s="885"/>
      <c r="FB1503" s="885"/>
      <c r="FC1503" s="885"/>
      <c r="FD1503" s="886"/>
      <c r="FE1503" s="877"/>
      <c r="FF1503" s="877"/>
      <c r="FG1503" s="877"/>
      <c r="FH1503" s="877"/>
      <c r="FI1503" s="877"/>
      <c r="FJ1503" s="877"/>
      <c r="FK1503" s="877"/>
      <c r="FL1503" s="874"/>
      <c r="FM1503" s="875"/>
      <c r="FN1503" s="875"/>
      <c r="FO1503" s="875"/>
      <c r="FP1503" s="875"/>
      <c r="FQ1503" s="875"/>
      <c r="FR1503" s="875"/>
      <c r="FS1503" s="875"/>
      <c r="FT1503" s="875"/>
      <c r="FU1503" s="875"/>
      <c r="FV1503" s="875"/>
      <c r="FW1503" s="875"/>
      <c r="FX1503" s="875"/>
      <c r="FY1503" s="875"/>
      <c r="FZ1503" s="875"/>
      <c r="GA1503" s="875"/>
      <c r="GB1503" s="876"/>
      <c r="GC1503" s="370"/>
      <c r="GD1503" s="453"/>
      <c r="GE1503" s="453"/>
      <c r="GF1503" s="453"/>
      <c r="GG1503" s="453"/>
      <c r="GH1503" s="454"/>
      <c r="GI1503" s="453"/>
      <c r="GJ1503" s="453"/>
      <c r="GK1503" s="453"/>
      <c r="GL1503" s="453"/>
      <c r="GM1503" s="453"/>
      <c r="GN1503" s="453"/>
      <c r="GO1503" s="453"/>
      <c r="GP1503" s="453"/>
      <c r="GQ1503" s="453"/>
      <c r="GR1503" s="453"/>
      <c r="GS1503" s="561"/>
      <c r="GT1503" s="475"/>
      <c r="GU1503" s="472"/>
      <c r="GV1503" s="453"/>
      <c r="GW1503" s="453"/>
      <c r="GX1503" s="869"/>
      <c r="GY1503" s="870"/>
      <c r="GZ1503" s="867"/>
      <c r="HA1503" s="868"/>
      <c r="HB1503" s="473"/>
      <c r="HC1503" s="869"/>
      <c r="HD1503" s="870"/>
      <c r="HE1503" s="867"/>
      <c r="HF1503" s="868"/>
      <c r="HG1503" s="473"/>
      <c r="HH1503" s="867"/>
      <c r="HI1503" s="868"/>
      <c r="HJ1503" s="867"/>
      <c r="HK1503" s="868"/>
      <c r="HL1503" s="370"/>
      <c r="HM1503" s="865"/>
      <c r="HN1503" s="866"/>
      <c r="HO1503" s="865"/>
      <c r="HP1503" s="866"/>
      <c r="HQ1503" s="865"/>
      <c r="HR1503" s="866"/>
      <c r="HS1503" s="867"/>
      <c r="HT1503" s="868"/>
      <c r="HU1503" s="489"/>
      <c r="HV1503" s="865"/>
      <c r="HW1503" s="866"/>
    </row>
    <row r="1504" spans="25:231" ht="15" customHeight="1">
      <c r="Y1504" s="332"/>
      <c r="Z1504" s="332"/>
      <c r="AA1504" s="332"/>
      <c r="AB1504" s="332"/>
      <c r="AC1504" s="332"/>
      <c r="AD1504" s="332"/>
      <c r="AE1504" s="332"/>
      <c r="AF1504" s="332"/>
      <c r="AG1504" s="332"/>
      <c r="AH1504" s="332"/>
      <c r="AI1504" s="332"/>
      <c r="AJ1504" s="332"/>
      <c r="AK1504" s="332"/>
      <c r="AL1504" s="332"/>
      <c r="AM1504" s="332"/>
      <c r="AN1504" s="332"/>
      <c r="AO1504" s="332"/>
      <c r="AP1504" s="332"/>
      <c r="AQ1504" s="332"/>
      <c r="AR1504" s="332"/>
      <c r="AS1504" s="332"/>
      <c r="AT1504" s="332"/>
      <c r="AU1504" s="332"/>
      <c r="AV1504" s="332"/>
      <c r="AW1504" s="332"/>
      <c r="AX1504" s="332"/>
      <c r="AY1504" s="332"/>
      <c r="AZ1504" s="332"/>
      <c r="BA1504" s="332"/>
      <c r="BB1504" s="332"/>
      <c r="BC1504" s="332"/>
      <c r="BD1504" s="332"/>
      <c r="BE1504" s="332"/>
      <c r="BF1504" s="332"/>
      <c r="BG1504" s="332"/>
      <c r="BH1504" s="332"/>
      <c r="BI1504" s="332"/>
      <c r="BJ1504" s="332"/>
      <c r="BK1504" s="332"/>
      <c r="BL1504" s="332"/>
      <c r="BM1504" s="332"/>
      <c r="BN1504" s="332"/>
      <c r="BO1504" s="332"/>
      <c r="BP1504" s="332"/>
      <c r="BQ1504" s="332"/>
      <c r="BR1504" s="332"/>
      <c r="BS1504" s="332"/>
      <c r="BT1504" s="332"/>
      <c r="BU1504" s="332"/>
      <c r="BV1504" s="332"/>
      <c r="BW1504" s="332"/>
      <c r="BX1504" s="332"/>
      <c r="BY1504" s="332"/>
      <c r="BZ1504" s="332"/>
      <c r="CA1504" s="332"/>
      <c r="CB1504" s="332"/>
      <c r="CC1504" s="332"/>
      <c r="CD1504" s="332"/>
      <c r="CE1504" s="332"/>
      <c r="CF1504" s="332"/>
      <c r="CG1504" s="332"/>
      <c r="CH1504" s="332"/>
      <c r="CI1504" s="332"/>
      <c r="CJ1504" s="332"/>
      <c r="CK1504" s="332"/>
      <c r="CL1504" s="332"/>
      <c r="CM1504" s="332"/>
      <c r="CN1504" s="332"/>
      <c r="CO1504" s="332"/>
      <c r="CP1504" s="332"/>
      <c r="CQ1504" s="332"/>
      <c r="CR1504" s="332"/>
      <c r="CS1504" s="332"/>
      <c r="CT1504" s="332"/>
      <c r="CU1504" s="332"/>
      <c r="CV1504" s="332"/>
      <c r="CW1504" s="332"/>
      <c r="CX1504" s="332"/>
      <c r="CY1504" s="332"/>
      <c r="CZ1504" s="332"/>
      <c r="DA1504" s="332"/>
      <c r="DB1504" s="332"/>
      <c r="DC1504" s="332"/>
      <c r="DD1504" s="332"/>
      <c r="DE1504" s="332"/>
      <c r="DF1504" s="332"/>
      <c r="DG1504" s="332"/>
      <c r="DH1504" s="332"/>
      <c r="DI1504" s="332"/>
      <c r="DJ1504" s="332"/>
      <c r="DK1504" s="332"/>
      <c r="DL1504" s="332"/>
      <c r="DM1504" s="332"/>
      <c r="DN1504" s="332"/>
      <c r="DO1504" s="332"/>
      <c r="DP1504" s="332"/>
      <c r="DQ1504" s="332"/>
      <c r="DR1504" s="332"/>
      <c r="DS1504" s="332"/>
      <c r="DT1504" s="332"/>
      <c r="DU1504" s="453"/>
      <c r="DV1504" s="453"/>
      <c r="DW1504" s="453"/>
      <c r="DX1504" s="453"/>
      <c r="DY1504" s="453"/>
      <c r="DZ1504" s="453"/>
      <c r="EA1504" s="453"/>
      <c r="EB1504" s="453"/>
      <c r="EC1504" s="453"/>
      <c r="ED1504" s="453"/>
      <c r="EE1504" s="453"/>
      <c r="EF1504" s="453"/>
      <c r="EG1504" s="453"/>
      <c r="EH1504" s="453"/>
      <c r="EI1504" s="453"/>
      <c r="EJ1504" s="453"/>
      <c r="EK1504" s="453"/>
      <c r="EL1504" s="453"/>
      <c r="EM1504" s="483">
        <f t="shared" si="270"/>
        <v>1195</v>
      </c>
      <c r="EN1504" s="485"/>
      <c r="EO1504" s="458"/>
      <c r="EP1504" s="467"/>
      <c r="EQ1504" s="457"/>
      <c r="ER1504" s="808"/>
      <c r="ES1504" s="881">
        <f t="shared" si="234"/>
        <v>0</v>
      </c>
      <c r="ET1504" s="882"/>
      <c r="EU1504" s="883"/>
      <c r="EV1504" s="884">
        <f t="shared" si="232"/>
        <v>0</v>
      </c>
      <c r="EW1504" s="885"/>
      <c r="EX1504" s="885"/>
      <c r="EY1504" s="885"/>
      <c r="EZ1504" s="885"/>
      <c r="FA1504" s="885"/>
      <c r="FB1504" s="885"/>
      <c r="FC1504" s="885"/>
      <c r="FD1504" s="886"/>
      <c r="FE1504" s="877"/>
      <c r="FF1504" s="877"/>
      <c r="FG1504" s="877"/>
      <c r="FH1504" s="877"/>
      <c r="FI1504" s="877"/>
      <c r="FJ1504" s="877"/>
      <c r="FK1504" s="877"/>
      <c r="FL1504" s="874"/>
      <c r="FM1504" s="875"/>
      <c r="FN1504" s="875"/>
      <c r="FO1504" s="875"/>
      <c r="FP1504" s="875"/>
      <c r="FQ1504" s="875"/>
      <c r="FR1504" s="875"/>
      <c r="FS1504" s="875"/>
      <c r="FT1504" s="875"/>
      <c r="FU1504" s="875"/>
      <c r="FV1504" s="875"/>
      <c r="FW1504" s="875"/>
      <c r="FX1504" s="875"/>
      <c r="FY1504" s="875"/>
      <c r="FZ1504" s="875"/>
      <c r="GA1504" s="875"/>
      <c r="GB1504" s="876"/>
      <c r="GC1504" s="370"/>
      <c r="GD1504" s="453"/>
      <c r="GE1504" s="453"/>
      <c r="GF1504" s="453"/>
      <c r="GG1504" s="453"/>
      <c r="GH1504" s="454"/>
      <c r="GI1504" s="453"/>
      <c r="GJ1504" s="453"/>
      <c r="GK1504" s="453"/>
      <c r="GL1504" s="453"/>
      <c r="GM1504" s="453"/>
      <c r="GN1504" s="453"/>
      <c r="GO1504" s="453"/>
      <c r="GP1504" s="453"/>
      <c r="GQ1504" s="453"/>
      <c r="GR1504" s="453"/>
      <c r="GS1504" s="561"/>
      <c r="GT1504" s="475"/>
      <c r="GU1504" s="472"/>
      <c r="GV1504" s="453"/>
      <c r="GW1504" s="453"/>
      <c r="GX1504" s="869"/>
      <c r="GY1504" s="870"/>
      <c r="GZ1504" s="867"/>
      <c r="HA1504" s="868"/>
      <c r="HB1504" s="473"/>
      <c r="HC1504" s="869"/>
      <c r="HD1504" s="870"/>
      <c r="HE1504" s="867"/>
      <c r="HF1504" s="868"/>
      <c r="HG1504" s="473"/>
      <c r="HH1504" s="867"/>
      <c r="HI1504" s="868"/>
      <c r="HJ1504" s="867"/>
      <c r="HK1504" s="868"/>
      <c r="HL1504" s="370"/>
      <c r="HM1504" s="865"/>
      <c r="HN1504" s="866"/>
      <c r="HO1504" s="865"/>
      <c r="HP1504" s="866"/>
      <c r="HQ1504" s="865"/>
      <c r="HR1504" s="866"/>
      <c r="HS1504" s="867"/>
      <c r="HT1504" s="868"/>
      <c r="HU1504" s="489"/>
      <c r="HV1504" s="865"/>
      <c r="HW1504" s="866"/>
    </row>
    <row r="1505" spans="25:231" ht="15" customHeight="1">
      <c r="Y1505" s="332"/>
      <c r="Z1505" s="332"/>
      <c r="AA1505" s="332"/>
      <c r="AB1505" s="332"/>
      <c r="AC1505" s="332"/>
      <c r="AD1505" s="332"/>
      <c r="AE1505" s="332"/>
      <c r="AF1505" s="332"/>
      <c r="AG1505" s="332"/>
      <c r="AH1505" s="332"/>
      <c r="AI1505" s="332"/>
      <c r="AJ1505" s="332"/>
      <c r="AK1505" s="332"/>
      <c r="AL1505" s="332"/>
      <c r="AM1505" s="332"/>
      <c r="AN1505" s="332"/>
      <c r="AO1505" s="332"/>
      <c r="AP1505" s="332"/>
      <c r="AQ1505" s="332"/>
      <c r="AR1505" s="332"/>
      <c r="AS1505" s="332"/>
      <c r="AT1505" s="332"/>
      <c r="AU1505" s="332"/>
      <c r="AV1505" s="332"/>
      <c r="AW1505" s="332"/>
      <c r="AX1505" s="332"/>
      <c r="AY1505" s="332"/>
      <c r="AZ1505" s="332"/>
      <c r="BA1505" s="332"/>
      <c r="BB1505" s="332"/>
      <c r="BC1505" s="332"/>
      <c r="BD1505" s="332"/>
      <c r="BE1505" s="332"/>
      <c r="BF1505" s="332"/>
      <c r="BG1505" s="332"/>
      <c r="BH1505" s="332"/>
      <c r="BI1505" s="332"/>
      <c r="BJ1505" s="332"/>
      <c r="BK1505" s="332"/>
      <c r="BL1505" s="332"/>
      <c r="BM1505" s="332"/>
      <c r="BN1505" s="332"/>
      <c r="BO1505" s="332"/>
      <c r="BP1505" s="332"/>
      <c r="BQ1505" s="332"/>
      <c r="BR1505" s="332"/>
      <c r="BS1505" s="332"/>
      <c r="BT1505" s="332"/>
      <c r="BU1505" s="332"/>
      <c r="BV1505" s="332"/>
      <c r="BW1505" s="332"/>
      <c r="BX1505" s="332"/>
      <c r="BY1505" s="332"/>
      <c r="BZ1505" s="332"/>
      <c r="CA1505" s="332"/>
      <c r="CB1505" s="332"/>
      <c r="CC1505" s="332"/>
      <c r="CD1505" s="332"/>
      <c r="CE1505" s="332"/>
      <c r="CF1505" s="332"/>
      <c r="CG1505" s="332"/>
      <c r="CH1505" s="332"/>
      <c r="CI1505" s="332"/>
      <c r="CJ1505" s="332"/>
      <c r="CK1505" s="332"/>
      <c r="CL1505" s="332"/>
      <c r="CM1505" s="332"/>
      <c r="CN1505" s="332"/>
      <c r="CO1505" s="332"/>
      <c r="CP1505" s="332"/>
      <c r="CQ1505" s="332"/>
      <c r="CR1505" s="332"/>
      <c r="CS1505" s="332"/>
      <c r="CT1505" s="332"/>
      <c r="CU1505" s="332"/>
      <c r="CV1505" s="332"/>
      <c r="CW1505" s="332"/>
      <c r="CX1505" s="332"/>
      <c r="CY1505" s="332"/>
      <c r="CZ1505" s="332"/>
      <c r="DA1505" s="332"/>
      <c r="DB1505" s="332"/>
      <c r="DC1505" s="332"/>
      <c r="DD1505" s="332"/>
      <c r="DE1505" s="332"/>
      <c r="DF1505" s="332"/>
      <c r="DG1505" s="332"/>
      <c r="DH1505" s="332"/>
      <c r="DI1505" s="332"/>
      <c r="DJ1505" s="332"/>
      <c r="DK1505" s="332"/>
      <c r="DL1505" s="332"/>
      <c r="DM1505" s="332"/>
      <c r="DN1505" s="332"/>
      <c r="DO1505" s="332"/>
      <c r="DP1505" s="332"/>
      <c r="DQ1505" s="332"/>
      <c r="DR1505" s="332"/>
      <c r="DS1505" s="332"/>
      <c r="DT1505" s="332"/>
      <c r="DU1505" s="453"/>
      <c r="DV1505" s="453"/>
      <c r="DW1505" s="453"/>
      <c r="DX1505" s="453"/>
      <c r="DY1505" s="453"/>
      <c r="DZ1505" s="453"/>
      <c r="EA1505" s="453"/>
      <c r="EB1505" s="453"/>
      <c r="EC1505" s="453"/>
      <c r="ED1505" s="453"/>
      <c r="EE1505" s="453"/>
      <c r="EF1505" s="453"/>
      <c r="EG1505" s="453"/>
      <c r="EH1505" s="453"/>
      <c r="EI1505" s="453"/>
      <c r="EJ1505" s="453"/>
      <c r="EK1505" s="453"/>
      <c r="EL1505" s="453"/>
      <c r="EM1505" s="483">
        <f t="shared" si="270"/>
        <v>1196</v>
      </c>
      <c r="EN1505" s="485"/>
      <c r="EO1505" s="458"/>
      <c r="EP1505" s="467"/>
      <c r="EQ1505" s="457"/>
      <c r="ER1505" s="808"/>
      <c r="ES1505" s="881">
        <f t="shared" si="234"/>
        <v>0</v>
      </c>
      <c r="ET1505" s="882"/>
      <c r="EU1505" s="883"/>
      <c r="EV1505" s="884">
        <f t="shared" si="232"/>
        <v>0</v>
      </c>
      <c r="EW1505" s="885"/>
      <c r="EX1505" s="885"/>
      <c r="EY1505" s="885"/>
      <c r="EZ1505" s="885"/>
      <c r="FA1505" s="885"/>
      <c r="FB1505" s="885"/>
      <c r="FC1505" s="885"/>
      <c r="FD1505" s="886"/>
      <c r="FE1505" s="877"/>
      <c r="FF1505" s="877"/>
      <c r="FG1505" s="877"/>
      <c r="FH1505" s="877"/>
      <c r="FI1505" s="877"/>
      <c r="FJ1505" s="877"/>
      <c r="FK1505" s="877"/>
      <c r="FL1505" s="874"/>
      <c r="FM1505" s="875"/>
      <c r="FN1505" s="875"/>
      <c r="FO1505" s="875"/>
      <c r="FP1505" s="875"/>
      <c r="FQ1505" s="875"/>
      <c r="FR1505" s="875"/>
      <c r="FS1505" s="875"/>
      <c r="FT1505" s="875"/>
      <c r="FU1505" s="875"/>
      <c r="FV1505" s="875"/>
      <c r="FW1505" s="875"/>
      <c r="FX1505" s="875"/>
      <c r="FY1505" s="875"/>
      <c r="FZ1505" s="875"/>
      <c r="GA1505" s="875"/>
      <c r="GB1505" s="876"/>
      <c r="GC1505" s="370"/>
      <c r="GD1505" s="453"/>
      <c r="GE1505" s="453"/>
      <c r="GF1505" s="453"/>
      <c r="GG1505" s="453"/>
      <c r="GH1505" s="454"/>
      <c r="GI1505" s="453"/>
      <c r="GJ1505" s="453"/>
      <c r="GK1505" s="453"/>
      <c r="GL1505" s="453"/>
      <c r="GM1505" s="453"/>
      <c r="GN1505" s="453"/>
      <c r="GO1505" s="453"/>
      <c r="GP1505" s="453"/>
      <c r="GQ1505" s="453"/>
      <c r="GR1505" s="453"/>
      <c r="GS1505" s="561"/>
      <c r="GT1505" s="475"/>
      <c r="GU1505" s="472"/>
      <c r="GV1505" s="453"/>
      <c r="GW1505" s="453"/>
      <c r="GX1505" s="869"/>
      <c r="GY1505" s="870"/>
      <c r="GZ1505" s="867"/>
      <c r="HA1505" s="868"/>
      <c r="HB1505" s="473"/>
      <c r="HC1505" s="869"/>
      <c r="HD1505" s="870"/>
      <c r="HE1505" s="867"/>
      <c r="HF1505" s="868"/>
      <c r="HG1505" s="473"/>
      <c r="HH1505" s="867"/>
      <c r="HI1505" s="868"/>
      <c r="HJ1505" s="867"/>
      <c r="HK1505" s="868"/>
      <c r="HL1505" s="370"/>
      <c r="HM1505" s="865"/>
      <c r="HN1505" s="866"/>
      <c r="HO1505" s="865"/>
      <c r="HP1505" s="866"/>
      <c r="HQ1505" s="865"/>
      <c r="HR1505" s="866"/>
      <c r="HS1505" s="867"/>
      <c r="HT1505" s="868"/>
      <c r="HU1505" s="489"/>
      <c r="HV1505" s="865"/>
      <c r="HW1505" s="866"/>
    </row>
    <row r="1506" spans="25:231" ht="15" customHeight="1">
      <c r="Y1506" s="332"/>
      <c r="Z1506" s="332"/>
      <c r="AA1506" s="332"/>
      <c r="AB1506" s="332"/>
      <c r="AC1506" s="332"/>
      <c r="AD1506" s="332"/>
      <c r="AE1506" s="332"/>
      <c r="AF1506" s="332"/>
      <c r="AG1506" s="332"/>
      <c r="AH1506" s="332"/>
      <c r="AI1506" s="332"/>
      <c r="AJ1506" s="332"/>
      <c r="AK1506" s="332"/>
      <c r="AL1506" s="332"/>
      <c r="AM1506" s="332"/>
      <c r="AN1506" s="332"/>
      <c r="AO1506" s="332"/>
      <c r="AP1506" s="332"/>
      <c r="AQ1506" s="332"/>
      <c r="AR1506" s="332"/>
      <c r="AS1506" s="332"/>
      <c r="AT1506" s="332"/>
      <c r="AU1506" s="332"/>
      <c r="AV1506" s="332"/>
      <c r="AW1506" s="332"/>
      <c r="AX1506" s="332"/>
      <c r="AY1506" s="332"/>
      <c r="AZ1506" s="332"/>
      <c r="BA1506" s="332"/>
      <c r="BB1506" s="332"/>
      <c r="BC1506" s="332"/>
      <c r="BD1506" s="332"/>
      <c r="BE1506" s="332"/>
      <c r="BF1506" s="332"/>
      <c r="BG1506" s="332"/>
      <c r="BH1506" s="332"/>
      <c r="BI1506" s="332"/>
      <c r="BJ1506" s="332"/>
      <c r="BK1506" s="332"/>
      <c r="BL1506" s="332"/>
      <c r="BM1506" s="332"/>
      <c r="BN1506" s="332"/>
      <c r="BO1506" s="332"/>
      <c r="BP1506" s="332"/>
      <c r="BQ1506" s="332"/>
      <c r="BR1506" s="332"/>
      <c r="BS1506" s="332"/>
      <c r="BT1506" s="332"/>
      <c r="BU1506" s="332"/>
      <c r="BV1506" s="332"/>
      <c r="BW1506" s="332"/>
      <c r="BX1506" s="332"/>
      <c r="BY1506" s="332"/>
      <c r="BZ1506" s="332"/>
      <c r="CA1506" s="332"/>
      <c r="CB1506" s="332"/>
      <c r="CC1506" s="332"/>
      <c r="CD1506" s="332"/>
      <c r="CE1506" s="332"/>
      <c r="CF1506" s="332"/>
      <c r="CG1506" s="332"/>
      <c r="CH1506" s="332"/>
      <c r="CI1506" s="332"/>
      <c r="CJ1506" s="332"/>
      <c r="CK1506" s="332"/>
      <c r="CL1506" s="332"/>
      <c r="CM1506" s="332"/>
      <c r="CN1506" s="332"/>
      <c r="CO1506" s="332"/>
      <c r="CP1506" s="332"/>
      <c r="CQ1506" s="332"/>
      <c r="CR1506" s="332"/>
      <c r="CS1506" s="332"/>
      <c r="CT1506" s="332"/>
      <c r="CU1506" s="332"/>
      <c r="CV1506" s="332"/>
      <c r="CW1506" s="332"/>
      <c r="CX1506" s="332"/>
      <c r="CY1506" s="332"/>
      <c r="CZ1506" s="332"/>
      <c r="DA1506" s="332"/>
      <c r="DB1506" s="332"/>
      <c r="DC1506" s="332"/>
      <c r="DD1506" s="332"/>
      <c r="DE1506" s="332"/>
      <c r="DF1506" s="332"/>
      <c r="DG1506" s="332"/>
      <c r="DH1506" s="332"/>
      <c r="DI1506" s="332"/>
      <c r="DJ1506" s="332"/>
      <c r="DK1506" s="332"/>
      <c r="DL1506" s="332"/>
      <c r="DM1506" s="332"/>
      <c r="DN1506" s="332"/>
      <c r="DO1506" s="332"/>
      <c r="DP1506" s="332"/>
      <c r="DQ1506" s="332"/>
      <c r="DR1506" s="332"/>
      <c r="DS1506" s="332"/>
      <c r="DT1506" s="332"/>
      <c r="DU1506" s="453"/>
      <c r="DV1506" s="453"/>
      <c r="DW1506" s="453"/>
      <c r="DX1506" s="453"/>
      <c r="DY1506" s="453"/>
      <c r="DZ1506" s="453"/>
      <c r="EA1506" s="453"/>
      <c r="EB1506" s="453"/>
      <c r="EC1506" s="453"/>
      <c r="ED1506" s="453"/>
      <c r="EE1506" s="453"/>
      <c r="EF1506" s="453"/>
      <c r="EG1506" s="453"/>
      <c r="EH1506" s="453"/>
      <c r="EI1506" s="453"/>
      <c r="EJ1506" s="453"/>
      <c r="EK1506" s="453"/>
      <c r="EL1506" s="453"/>
      <c r="EM1506" s="483">
        <f t="shared" si="270"/>
        <v>1197</v>
      </c>
      <c r="EN1506" s="485"/>
      <c r="EO1506" s="458"/>
      <c r="EP1506" s="467"/>
      <c r="EQ1506" s="457"/>
      <c r="ER1506" s="808"/>
      <c r="ES1506" s="881">
        <f t="shared" si="234"/>
        <v>0</v>
      </c>
      <c r="ET1506" s="882"/>
      <c r="EU1506" s="883"/>
      <c r="EV1506" s="884">
        <f t="shared" si="232"/>
        <v>0</v>
      </c>
      <c r="EW1506" s="885"/>
      <c r="EX1506" s="885"/>
      <c r="EY1506" s="885"/>
      <c r="EZ1506" s="885"/>
      <c r="FA1506" s="885"/>
      <c r="FB1506" s="885"/>
      <c r="FC1506" s="885"/>
      <c r="FD1506" s="886"/>
      <c r="FE1506" s="877"/>
      <c r="FF1506" s="877"/>
      <c r="FG1506" s="877"/>
      <c r="FH1506" s="877"/>
      <c r="FI1506" s="877"/>
      <c r="FJ1506" s="877"/>
      <c r="FK1506" s="877"/>
      <c r="FL1506" s="874"/>
      <c r="FM1506" s="875"/>
      <c r="FN1506" s="875"/>
      <c r="FO1506" s="875"/>
      <c r="FP1506" s="875"/>
      <c r="FQ1506" s="875"/>
      <c r="FR1506" s="875"/>
      <c r="FS1506" s="875"/>
      <c r="FT1506" s="875"/>
      <c r="FU1506" s="875"/>
      <c r="FV1506" s="875"/>
      <c r="FW1506" s="875"/>
      <c r="FX1506" s="875"/>
      <c r="FY1506" s="875"/>
      <c r="FZ1506" s="875"/>
      <c r="GA1506" s="875"/>
      <c r="GB1506" s="876"/>
      <c r="GC1506" s="370"/>
      <c r="GD1506" s="453"/>
      <c r="GE1506" s="453"/>
      <c r="GF1506" s="453"/>
      <c r="GG1506" s="453"/>
      <c r="GH1506" s="454"/>
      <c r="GI1506" s="453"/>
      <c r="GJ1506" s="453"/>
      <c r="GK1506" s="453"/>
      <c r="GL1506" s="453"/>
      <c r="GM1506" s="453"/>
      <c r="GN1506" s="453"/>
      <c r="GO1506" s="453"/>
      <c r="GP1506" s="453"/>
      <c r="GQ1506" s="453"/>
      <c r="GR1506" s="453"/>
      <c r="GS1506" s="561"/>
      <c r="GT1506" s="475"/>
      <c r="GU1506" s="472"/>
      <c r="GV1506" s="453"/>
      <c r="GW1506" s="453"/>
      <c r="GX1506" s="869"/>
      <c r="GY1506" s="870"/>
      <c r="GZ1506" s="867"/>
      <c r="HA1506" s="868"/>
      <c r="HB1506" s="473"/>
      <c r="HC1506" s="869"/>
      <c r="HD1506" s="870"/>
      <c r="HE1506" s="867"/>
      <c r="HF1506" s="868"/>
      <c r="HG1506" s="473"/>
      <c r="HH1506" s="867"/>
      <c r="HI1506" s="868"/>
      <c r="HJ1506" s="867"/>
      <c r="HK1506" s="868"/>
      <c r="HL1506" s="370"/>
      <c r="HM1506" s="865"/>
      <c r="HN1506" s="866"/>
      <c r="HO1506" s="865"/>
      <c r="HP1506" s="866"/>
      <c r="HQ1506" s="865"/>
      <c r="HR1506" s="866"/>
      <c r="HS1506" s="867"/>
      <c r="HT1506" s="868"/>
      <c r="HU1506" s="489"/>
      <c r="HV1506" s="865"/>
      <c r="HW1506" s="866"/>
    </row>
    <row r="1507" spans="25:231" ht="15" customHeight="1" thickBot="1">
      <c r="Y1507" s="332"/>
      <c r="Z1507" s="332"/>
      <c r="AA1507" s="332"/>
      <c r="AB1507" s="332"/>
      <c r="AC1507" s="332"/>
      <c r="AD1507" s="332"/>
      <c r="AE1507" s="332"/>
      <c r="AF1507" s="332"/>
      <c r="AG1507" s="332"/>
      <c r="AH1507" s="332"/>
      <c r="AI1507" s="332"/>
      <c r="AJ1507" s="332"/>
      <c r="AK1507" s="332"/>
      <c r="AL1507" s="332"/>
      <c r="AM1507" s="332"/>
      <c r="AN1507" s="332"/>
      <c r="AO1507" s="332"/>
      <c r="AP1507" s="332"/>
      <c r="AQ1507" s="332"/>
      <c r="AR1507" s="332"/>
      <c r="AS1507" s="332"/>
      <c r="AT1507" s="332"/>
      <c r="AU1507" s="332"/>
      <c r="AV1507" s="332"/>
      <c r="AW1507" s="332"/>
      <c r="AX1507" s="332"/>
      <c r="AY1507" s="332"/>
      <c r="AZ1507" s="332"/>
      <c r="BA1507" s="332"/>
      <c r="BB1507" s="332"/>
      <c r="BC1507" s="332"/>
      <c r="BD1507" s="332"/>
      <c r="BE1507" s="332"/>
      <c r="BF1507" s="332"/>
      <c r="BG1507" s="332"/>
      <c r="BH1507" s="332"/>
      <c r="BI1507" s="332"/>
      <c r="BJ1507" s="332"/>
      <c r="BK1507" s="332"/>
      <c r="BL1507" s="332"/>
      <c r="BM1507" s="332"/>
      <c r="BN1507" s="332"/>
      <c r="BO1507" s="332"/>
      <c r="BP1507" s="332"/>
      <c r="BQ1507" s="332"/>
      <c r="BR1507" s="332"/>
      <c r="BS1507" s="332"/>
      <c r="BT1507" s="332"/>
      <c r="BU1507" s="332"/>
      <c r="BV1507" s="332"/>
      <c r="BW1507" s="332"/>
      <c r="BX1507" s="332"/>
      <c r="BY1507" s="332"/>
      <c r="BZ1507" s="332"/>
      <c r="CA1507" s="332"/>
      <c r="CB1507" s="332"/>
      <c r="CC1507" s="332"/>
      <c r="CD1507" s="332"/>
      <c r="CE1507" s="332"/>
      <c r="CF1507" s="332"/>
      <c r="CG1507" s="332"/>
      <c r="CH1507" s="332"/>
      <c r="CI1507" s="332"/>
      <c r="CJ1507" s="332"/>
      <c r="CK1507" s="332"/>
      <c r="CL1507" s="332"/>
      <c r="CM1507" s="332"/>
      <c r="CN1507" s="332"/>
      <c r="CO1507" s="332"/>
      <c r="CP1507" s="332"/>
      <c r="CQ1507" s="332"/>
      <c r="CR1507" s="332"/>
      <c r="CS1507" s="332"/>
      <c r="CT1507" s="332"/>
      <c r="CU1507" s="332"/>
      <c r="CV1507" s="332"/>
      <c r="CW1507" s="332"/>
      <c r="CX1507" s="332"/>
      <c r="CY1507" s="332"/>
      <c r="CZ1507" s="332"/>
      <c r="DA1507" s="332"/>
      <c r="DB1507" s="332"/>
      <c r="DC1507" s="332"/>
      <c r="DD1507" s="332"/>
      <c r="DE1507" s="332"/>
      <c r="DF1507" s="332"/>
      <c r="DG1507" s="332"/>
      <c r="DH1507" s="332"/>
      <c r="DI1507" s="332"/>
      <c r="DJ1507" s="332"/>
      <c r="DK1507" s="332"/>
      <c r="DL1507" s="332"/>
      <c r="DM1507" s="332"/>
      <c r="DN1507" s="332"/>
      <c r="DO1507" s="332"/>
      <c r="DP1507" s="332"/>
      <c r="DQ1507" s="332"/>
      <c r="DR1507" s="332"/>
      <c r="DS1507" s="332"/>
      <c r="DT1507" s="332"/>
      <c r="DU1507" s="453"/>
      <c r="DV1507" s="453"/>
      <c r="DW1507" s="453"/>
      <c r="DX1507" s="453"/>
      <c r="DY1507" s="453"/>
      <c r="DZ1507" s="453"/>
      <c r="EA1507" s="453"/>
      <c r="EB1507" s="453"/>
      <c r="EC1507" s="453"/>
      <c r="ED1507" s="453"/>
      <c r="EE1507" s="453"/>
      <c r="EF1507" s="453"/>
      <c r="EG1507" s="453"/>
      <c r="EH1507" s="453"/>
      <c r="EI1507" s="453"/>
      <c r="EJ1507" s="453"/>
      <c r="EK1507" s="453"/>
      <c r="EL1507" s="453"/>
      <c r="EM1507" s="483">
        <f t="shared" si="270"/>
        <v>1198</v>
      </c>
      <c r="EN1507" s="487"/>
      <c r="EO1507" s="459"/>
      <c r="EP1507" s="468"/>
      <c r="EQ1507" s="460"/>
      <c r="ER1507" s="822"/>
      <c r="ES1507" s="1044">
        <f t="shared" si="234"/>
        <v>0</v>
      </c>
      <c r="ET1507" s="1045"/>
      <c r="EU1507" s="1046"/>
      <c r="EV1507" s="912">
        <f t="shared" si="232"/>
        <v>0</v>
      </c>
      <c r="EW1507" s="913"/>
      <c r="EX1507" s="913"/>
      <c r="EY1507" s="913"/>
      <c r="EZ1507" s="913"/>
      <c r="FA1507" s="913"/>
      <c r="FB1507" s="913"/>
      <c r="FC1507" s="913"/>
      <c r="FD1507" s="914"/>
      <c r="FE1507" s="1049"/>
      <c r="FF1507" s="1049"/>
      <c r="FG1507" s="1049"/>
      <c r="FH1507" s="1049"/>
      <c r="FI1507" s="1049"/>
      <c r="FJ1507" s="1049"/>
      <c r="FK1507" s="1049"/>
      <c r="FL1507" s="1050"/>
      <c r="FM1507" s="1051"/>
      <c r="FN1507" s="1051"/>
      <c r="FO1507" s="1051"/>
      <c r="FP1507" s="1051"/>
      <c r="FQ1507" s="1051"/>
      <c r="FR1507" s="1051"/>
      <c r="FS1507" s="1051"/>
      <c r="FT1507" s="1051"/>
      <c r="FU1507" s="1051"/>
      <c r="FV1507" s="1051"/>
      <c r="FW1507" s="1051"/>
      <c r="FX1507" s="1051"/>
      <c r="FY1507" s="1051"/>
      <c r="FZ1507" s="1051"/>
      <c r="GA1507" s="1051"/>
      <c r="GB1507" s="1052"/>
      <c r="GC1507" s="370"/>
      <c r="GD1507" s="453"/>
      <c r="GE1507" s="453"/>
      <c r="GF1507" s="453"/>
      <c r="GG1507" s="453"/>
      <c r="GH1507" s="454"/>
      <c r="GI1507" s="453"/>
      <c r="GJ1507" s="453"/>
      <c r="GK1507" s="453"/>
      <c r="GL1507" s="453"/>
      <c r="GM1507" s="453"/>
      <c r="GN1507" s="453"/>
      <c r="GO1507" s="453"/>
      <c r="GP1507" s="453"/>
      <c r="GQ1507" s="453"/>
      <c r="GR1507" s="453"/>
      <c r="GS1507" s="561"/>
      <c r="GT1507" s="475"/>
      <c r="GU1507" s="472"/>
      <c r="GV1507" s="453"/>
      <c r="GW1507" s="453"/>
      <c r="GX1507" s="869"/>
      <c r="GY1507" s="870"/>
      <c r="GZ1507" s="867"/>
      <c r="HA1507" s="868"/>
      <c r="HB1507" s="473"/>
      <c r="HC1507" s="869"/>
      <c r="HD1507" s="870"/>
      <c r="HE1507" s="867"/>
      <c r="HF1507" s="868"/>
      <c r="HG1507" s="473"/>
      <c r="HH1507" s="867"/>
      <c r="HI1507" s="868"/>
      <c r="HJ1507" s="867"/>
      <c r="HK1507" s="868"/>
      <c r="HL1507" s="370"/>
      <c r="HM1507" s="865"/>
      <c r="HN1507" s="866"/>
      <c r="HO1507" s="865"/>
      <c r="HP1507" s="866"/>
      <c r="HQ1507" s="865"/>
      <c r="HR1507" s="866"/>
      <c r="HS1507" s="867"/>
      <c r="HT1507" s="868"/>
      <c r="HU1507" s="489"/>
      <c r="HV1507" s="865"/>
      <c r="HW1507" s="866"/>
    </row>
    <row r="1508" spans="25:231" ht="15" customHeight="1">
      <c r="Y1508" s="332"/>
      <c r="Z1508" s="332"/>
      <c r="AA1508" s="332"/>
      <c r="AB1508" s="332"/>
      <c r="AC1508" s="332"/>
      <c r="AD1508" s="332"/>
      <c r="AE1508" s="332"/>
      <c r="AF1508" s="332"/>
      <c r="AG1508" s="332"/>
      <c r="AH1508" s="332"/>
      <c r="AI1508" s="332"/>
      <c r="AJ1508" s="332"/>
      <c r="AK1508" s="332"/>
      <c r="AL1508" s="332"/>
      <c r="AM1508" s="332"/>
      <c r="AN1508" s="332"/>
      <c r="AO1508" s="332"/>
      <c r="AP1508" s="332"/>
      <c r="AQ1508" s="332"/>
      <c r="AR1508" s="332"/>
      <c r="AS1508" s="332"/>
      <c r="AT1508" s="332"/>
      <c r="AU1508" s="332"/>
      <c r="AV1508" s="332"/>
      <c r="AW1508" s="332"/>
      <c r="AX1508" s="332"/>
      <c r="AY1508" s="332"/>
      <c r="AZ1508" s="332"/>
      <c r="BA1508" s="332"/>
      <c r="BB1508" s="332"/>
      <c r="BC1508" s="332"/>
      <c r="BD1508" s="332"/>
      <c r="BE1508" s="332"/>
      <c r="BF1508" s="332"/>
      <c r="BG1508" s="332"/>
      <c r="BH1508" s="332"/>
      <c r="BI1508" s="332"/>
      <c r="BJ1508" s="332"/>
      <c r="BK1508" s="332"/>
      <c r="BL1508" s="332"/>
      <c r="BM1508" s="332"/>
      <c r="BN1508" s="332"/>
      <c r="BO1508" s="332"/>
      <c r="BP1508" s="332"/>
      <c r="BQ1508" s="332"/>
      <c r="BR1508" s="332"/>
      <c r="BS1508" s="332"/>
      <c r="BT1508" s="332"/>
      <c r="BU1508" s="332"/>
      <c r="BV1508" s="332"/>
      <c r="BW1508" s="332"/>
      <c r="BX1508" s="332"/>
      <c r="BY1508" s="332"/>
      <c r="BZ1508" s="332"/>
      <c r="CA1508" s="332"/>
      <c r="CB1508" s="332"/>
      <c r="CC1508" s="332"/>
      <c r="CD1508" s="332"/>
      <c r="CE1508" s="332"/>
      <c r="CF1508" s="332"/>
      <c r="CG1508" s="332"/>
      <c r="CH1508" s="332"/>
      <c r="CI1508" s="332"/>
      <c r="CJ1508" s="332"/>
      <c r="CK1508" s="332"/>
      <c r="CL1508" s="332"/>
      <c r="CM1508" s="332"/>
      <c r="CN1508" s="332"/>
      <c r="CO1508" s="332"/>
      <c r="CP1508" s="332"/>
      <c r="CQ1508" s="332"/>
      <c r="CR1508" s="332"/>
      <c r="CS1508" s="332"/>
      <c r="CT1508" s="332"/>
      <c r="CU1508" s="332"/>
      <c r="CV1508" s="332"/>
      <c r="CW1508" s="332"/>
      <c r="CX1508" s="332"/>
      <c r="CY1508" s="332"/>
      <c r="CZ1508" s="332"/>
      <c r="DA1508" s="332"/>
      <c r="DB1508" s="332"/>
      <c r="DC1508" s="332"/>
      <c r="DD1508" s="332"/>
      <c r="DE1508" s="332"/>
      <c r="DF1508" s="332"/>
      <c r="DG1508" s="332"/>
      <c r="DH1508" s="332"/>
      <c r="DI1508" s="332"/>
      <c r="DJ1508" s="332"/>
      <c r="DK1508" s="332"/>
      <c r="DL1508" s="332"/>
      <c r="DM1508" s="332"/>
      <c r="DN1508" s="332"/>
      <c r="DO1508" s="332"/>
      <c r="DP1508" s="332"/>
      <c r="DQ1508" s="332"/>
      <c r="DR1508" s="332"/>
      <c r="DS1508" s="332"/>
      <c r="DT1508" s="332"/>
      <c r="DU1508" s="453"/>
      <c r="DV1508" s="453"/>
      <c r="DW1508" s="453"/>
      <c r="DX1508" s="453"/>
      <c r="DY1508" s="453"/>
      <c r="DZ1508" s="453"/>
      <c r="EA1508" s="453"/>
      <c r="EB1508" s="453"/>
      <c r="EC1508" s="453"/>
      <c r="ED1508" s="453"/>
      <c r="EE1508" s="453"/>
      <c r="EF1508" s="453"/>
      <c r="EG1508" s="453"/>
      <c r="EH1508" s="453"/>
      <c r="EI1508" s="453"/>
      <c r="EJ1508" s="453"/>
      <c r="EK1508" s="453"/>
      <c r="EL1508" s="453"/>
      <c r="EM1508" s="453"/>
      <c r="EN1508" s="453"/>
      <c r="EO1508" s="453"/>
      <c r="EP1508" s="453"/>
      <c r="EQ1508" s="453"/>
      <c r="ER1508" s="823"/>
      <c r="ES1508" s="1042">
        <f>+SUM(ES310:EU1507)</f>
        <v>-44750.000000000015</v>
      </c>
      <c r="ET1508" s="908"/>
      <c r="EU1508" s="1043"/>
      <c r="EV1508" s="907">
        <f>+SUM(EV310:FD1507)</f>
        <v>-46515.23875000004</v>
      </c>
      <c r="EW1508" s="908"/>
      <c r="EX1508" s="908"/>
      <c r="EY1508" s="908"/>
      <c r="EZ1508" s="908"/>
      <c r="FA1508" s="908"/>
      <c r="FB1508" s="908"/>
      <c r="FC1508" s="908"/>
      <c r="FD1508" s="908"/>
      <c r="FE1508" s="453"/>
      <c r="FF1508" s="453"/>
      <c r="FG1508" s="453"/>
      <c r="FH1508" s="453"/>
      <c r="FI1508" s="453"/>
      <c r="FJ1508" s="453"/>
      <c r="FK1508" s="370"/>
      <c r="FL1508" s="370"/>
      <c r="FM1508" s="370"/>
      <c r="FN1508" s="370"/>
      <c r="FO1508" s="370"/>
      <c r="FP1508" s="370"/>
      <c r="FQ1508" s="370"/>
      <c r="FR1508" s="370"/>
      <c r="FS1508" s="370"/>
      <c r="FT1508" s="370"/>
      <c r="FU1508" s="370"/>
      <c r="FV1508" s="370"/>
      <c r="FW1508" s="370"/>
      <c r="FX1508" s="370"/>
      <c r="FY1508" s="370"/>
      <c r="FZ1508" s="370"/>
      <c r="GA1508" s="370"/>
      <c r="GB1508" s="370"/>
      <c r="GC1508" s="370"/>
      <c r="GD1508" s="453"/>
      <c r="GE1508" s="453"/>
      <c r="GF1508" s="453"/>
      <c r="GG1508" s="453"/>
      <c r="GH1508" s="454"/>
      <c r="GI1508" s="453"/>
      <c r="GJ1508" s="453"/>
      <c r="GK1508" s="453"/>
      <c r="GL1508" s="453"/>
      <c r="GM1508" s="453"/>
      <c r="GN1508" s="453"/>
      <c r="GO1508" s="453"/>
      <c r="GP1508" s="453"/>
      <c r="GQ1508" s="453"/>
      <c r="GR1508" s="453"/>
      <c r="GS1508" s="453"/>
      <c r="GT1508" s="453"/>
      <c r="GU1508" s="453"/>
      <c r="GV1508" s="453"/>
      <c r="GW1508" s="453"/>
      <c r="GX1508" s="453"/>
      <c r="GY1508" s="453"/>
      <c r="GZ1508" s="453"/>
      <c r="HA1508" s="453"/>
      <c r="HB1508" s="453"/>
      <c r="HC1508" s="453"/>
      <c r="HD1508" s="453"/>
      <c r="HE1508" s="453"/>
      <c r="HF1508" s="453"/>
      <c r="HG1508" s="453"/>
      <c r="HH1508" s="453"/>
      <c r="HI1508" s="453"/>
      <c r="HJ1508" s="453"/>
      <c r="HK1508" s="453"/>
      <c r="HL1508" s="453"/>
      <c r="HM1508" s="454"/>
      <c r="HN1508" s="464"/>
      <c r="HO1508" s="465"/>
      <c r="HP1508" s="453"/>
      <c r="HQ1508" s="464"/>
      <c r="HR1508" s="465"/>
      <c r="HS1508" s="453"/>
      <c r="HT1508" s="464"/>
      <c r="HU1508" s="465"/>
      <c r="HV1508" s="453"/>
      <c r="HW1508" s="464"/>
    </row>
    <row r="1509" spans="25:231" ht="15" customHeight="1">
      <c r="Y1509" s="332"/>
      <c r="Z1509" s="332"/>
      <c r="AA1509" s="332"/>
      <c r="AB1509" s="332"/>
      <c r="AC1509" s="332"/>
      <c r="AD1509" s="332"/>
      <c r="AE1509" s="332"/>
      <c r="AF1509" s="332"/>
      <c r="AG1509" s="332"/>
      <c r="AH1509" s="332"/>
      <c r="AI1509" s="332"/>
      <c r="AJ1509" s="332"/>
      <c r="AK1509" s="332"/>
      <c r="AL1509" s="332"/>
      <c r="AM1509" s="332"/>
      <c r="AN1509" s="332"/>
      <c r="AO1509" s="332"/>
      <c r="AP1509" s="332"/>
      <c r="AQ1509" s="332"/>
      <c r="AR1509" s="332"/>
      <c r="AS1509" s="332"/>
      <c r="AT1509" s="332"/>
      <c r="AU1509" s="332"/>
      <c r="AV1509" s="332"/>
      <c r="AW1509" s="332"/>
      <c r="AX1509" s="332"/>
      <c r="AY1509" s="332"/>
      <c r="AZ1509" s="332"/>
      <c r="BA1509" s="332"/>
      <c r="BB1509" s="332"/>
      <c r="BC1509" s="332"/>
      <c r="BD1509" s="332"/>
      <c r="BE1509" s="332"/>
      <c r="BF1509" s="332"/>
      <c r="BG1509" s="332"/>
      <c r="BH1509" s="332"/>
      <c r="BI1509" s="332"/>
      <c r="BJ1509" s="332"/>
      <c r="BK1509" s="332"/>
      <c r="BL1509" s="332"/>
      <c r="BM1509" s="332"/>
      <c r="BN1509" s="332"/>
      <c r="BO1509" s="332"/>
      <c r="BP1509" s="332"/>
      <c r="BQ1509" s="332"/>
      <c r="BR1509" s="332"/>
      <c r="BS1509" s="332"/>
      <c r="BT1509" s="332"/>
      <c r="BU1509" s="332"/>
      <c r="BV1509" s="332"/>
      <c r="BW1509" s="332"/>
      <c r="BX1509" s="332"/>
      <c r="BY1509" s="332"/>
      <c r="BZ1509" s="332"/>
      <c r="CA1509" s="332"/>
      <c r="CB1509" s="332"/>
      <c r="CC1509" s="332"/>
      <c r="CD1509" s="332"/>
      <c r="CE1509" s="332"/>
      <c r="CF1509" s="332"/>
      <c r="CG1509" s="332"/>
      <c r="CH1509" s="332"/>
      <c r="CI1509" s="332"/>
      <c r="CJ1509" s="332"/>
      <c r="CK1509" s="332"/>
      <c r="CL1509" s="332"/>
      <c r="CM1509" s="332"/>
      <c r="CN1509" s="332"/>
      <c r="CO1509" s="332"/>
      <c r="CP1509" s="332"/>
      <c r="CQ1509" s="332"/>
      <c r="CR1509" s="332"/>
      <c r="CS1509" s="332"/>
      <c r="CT1509" s="332"/>
      <c r="CU1509" s="332"/>
      <c r="CV1509" s="332"/>
      <c r="CW1509" s="332"/>
      <c r="CX1509" s="332"/>
      <c r="CY1509" s="332"/>
      <c r="CZ1509" s="332"/>
      <c r="DA1509" s="332"/>
      <c r="DB1509" s="332"/>
      <c r="DC1509" s="332"/>
      <c r="DD1509" s="332"/>
      <c r="DE1509" s="332"/>
      <c r="DF1509" s="332"/>
      <c r="DG1509" s="332"/>
      <c r="DH1509" s="332"/>
      <c r="DI1509" s="332"/>
      <c r="DJ1509" s="332"/>
      <c r="DK1509" s="332"/>
      <c r="DL1509" s="332"/>
      <c r="DM1509" s="332"/>
      <c r="DN1509" s="332"/>
      <c r="DO1509" s="332"/>
      <c r="DP1509" s="332"/>
      <c r="DQ1509" s="332"/>
      <c r="DR1509" s="332"/>
      <c r="DS1509" s="332"/>
      <c r="DT1509" s="332"/>
      <c r="DU1509" s="453"/>
      <c r="DV1509" s="453"/>
      <c r="DW1509" s="453"/>
      <c r="DX1509" s="453"/>
      <c r="DY1509" s="453"/>
      <c r="DZ1509" s="453"/>
      <c r="EA1509" s="453"/>
      <c r="EB1509" s="453"/>
      <c r="EC1509" s="453"/>
      <c r="ED1509" s="453"/>
      <c r="EE1509" s="453"/>
      <c r="EF1509" s="453"/>
      <c r="EG1509" s="453"/>
      <c r="EH1509" s="453"/>
      <c r="EI1509" s="453"/>
      <c r="EJ1509" s="453"/>
      <c r="EK1509" s="453"/>
      <c r="EL1509" s="453"/>
      <c r="EM1509" s="453"/>
      <c r="EN1509" s="453"/>
      <c r="EO1509" s="453"/>
      <c r="EP1509" s="453"/>
      <c r="EQ1509" s="453"/>
      <c r="ER1509" s="453"/>
      <c r="ES1509" s="453"/>
      <c r="ET1509" s="453"/>
      <c r="EU1509" s="453"/>
      <c r="EV1509" s="453"/>
      <c r="EW1509" s="453"/>
      <c r="EX1509" s="453"/>
      <c r="EY1509" s="453"/>
      <c r="EZ1509" s="453"/>
      <c r="FA1509" s="453"/>
      <c r="FB1509" s="453"/>
      <c r="FC1509" s="453"/>
      <c r="FD1509" s="453"/>
      <c r="FE1509" s="453"/>
      <c r="FF1509" s="453"/>
      <c r="FG1509" s="453"/>
      <c r="FH1509" s="453"/>
      <c r="FI1509" s="453"/>
      <c r="FJ1509" s="453"/>
      <c r="FK1509" s="370"/>
      <c r="FL1509" s="370"/>
      <c r="FM1509" s="370"/>
      <c r="FN1509" s="370"/>
      <c r="FO1509" s="370"/>
      <c r="FP1509" s="370"/>
      <c r="FQ1509" s="370"/>
      <c r="FR1509" s="370"/>
      <c r="FS1509" s="370"/>
      <c r="FT1509" s="370"/>
      <c r="FU1509" s="370"/>
      <c r="FV1509" s="370"/>
      <c r="FW1509" s="370"/>
      <c r="FX1509" s="370"/>
      <c r="FY1509" s="370"/>
      <c r="FZ1509" s="370"/>
      <c r="GA1509" s="370"/>
      <c r="GB1509" s="370"/>
      <c r="GC1509" s="370"/>
      <c r="GD1509" s="453"/>
      <c r="GE1509" s="453"/>
      <c r="GF1509" s="453"/>
      <c r="GG1509" s="453"/>
      <c r="GH1509" s="454"/>
      <c r="GI1509" s="453"/>
      <c r="GJ1509" s="453"/>
      <c r="GK1509" s="453"/>
      <c r="GL1509" s="453"/>
      <c r="GM1509" s="453"/>
      <c r="GN1509" s="453"/>
      <c r="GO1509" s="453"/>
      <c r="GP1509" s="453"/>
      <c r="GQ1509" s="453"/>
      <c r="GR1509" s="453"/>
      <c r="GS1509" s="453"/>
      <c r="GT1509" s="453"/>
      <c r="GU1509" s="453"/>
      <c r="GV1509" s="453"/>
      <c r="GW1509" s="453"/>
      <c r="GX1509" s="453"/>
      <c r="GY1509" s="453"/>
      <c r="GZ1509" s="453"/>
      <c r="HA1509" s="453"/>
      <c r="HB1509" s="453"/>
      <c r="HC1509" s="453"/>
      <c r="HD1509" s="453"/>
      <c r="HE1509" s="453"/>
      <c r="HF1509" s="453"/>
      <c r="HG1509" s="453"/>
      <c r="HH1509" s="453"/>
      <c r="HI1509" s="453"/>
      <c r="HJ1509" s="453"/>
      <c r="HK1509" s="453"/>
      <c r="HL1509" s="453"/>
      <c r="HM1509" s="454"/>
      <c r="HN1509" s="464"/>
      <c r="HO1509" s="465"/>
      <c r="HP1509" s="453"/>
      <c r="HQ1509" s="464"/>
      <c r="HR1509" s="465"/>
      <c r="HS1509" s="453"/>
      <c r="HT1509" s="464"/>
      <c r="HU1509" s="465"/>
      <c r="HV1509" s="453"/>
      <c r="HW1509" s="464"/>
    </row>
    <row r="1510" spans="25:231" ht="15" customHeight="1">
      <c r="Y1510" s="332"/>
      <c r="Z1510" s="332"/>
      <c r="AA1510" s="332"/>
      <c r="AB1510" s="332"/>
      <c r="AC1510" s="332"/>
      <c r="AD1510" s="332"/>
      <c r="AE1510" s="332"/>
      <c r="AF1510" s="332"/>
      <c r="AG1510" s="332"/>
      <c r="AH1510" s="332"/>
      <c r="AI1510" s="332"/>
      <c r="AJ1510" s="332"/>
      <c r="AK1510" s="332"/>
      <c r="AL1510" s="332"/>
      <c r="AM1510" s="332"/>
      <c r="AN1510" s="332"/>
      <c r="AO1510" s="332"/>
      <c r="AP1510" s="332"/>
      <c r="AQ1510" s="332"/>
      <c r="AR1510" s="332"/>
      <c r="AS1510" s="332"/>
      <c r="AT1510" s="332"/>
      <c r="AU1510" s="332"/>
      <c r="AV1510" s="332"/>
      <c r="AW1510" s="332"/>
      <c r="AX1510" s="332"/>
      <c r="AY1510" s="332"/>
      <c r="AZ1510" s="332"/>
      <c r="BA1510" s="332"/>
      <c r="BB1510" s="332"/>
      <c r="BC1510" s="332"/>
      <c r="BD1510" s="332"/>
      <c r="BE1510" s="332"/>
      <c r="BF1510" s="332"/>
      <c r="BG1510" s="332"/>
      <c r="BH1510" s="332"/>
      <c r="BI1510" s="332"/>
      <c r="BJ1510" s="332"/>
      <c r="BK1510" s="332"/>
      <c r="BL1510" s="332"/>
      <c r="BM1510" s="332"/>
      <c r="BN1510" s="332"/>
      <c r="BO1510" s="332"/>
      <c r="BP1510" s="332"/>
      <c r="BQ1510" s="332"/>
      <c r="BR1510" s="332"/>
      <c r="BS1510" s="332"/>
      <c r="BT1510" s="332"/>
      <c r="BU1510" s="332"/>
      <c r="BV1510" s="332"/>
      <c r="BW1510" s="332"/>
      <c r="BX1510" s="332"/>
      <c r="BY1510" s="332"/>
      <c r="BZ1510" s="332"/>
      <c r="CA1510" s="332"/>
      <c r="CB1510" s="332"/>
      <c r="CC1510" s="332"/>
      <c r="CD1510" s="332"/>
      <c r="CE1510" s="332"/>
      <c r="CF1510" s="332"/>
      <c r="CG1510" s="332"/>
      <c r="CH1510" s="332"/>
      <c r="CI1510" s="332"/>
      <c r="CJ1510" s="332"/>
      <c r="CK1510" s="332"/>
      <c r="CL1510" s="332"/>
      <c r="CM1510" s="332"/>
      <c r="CN1510" s="332"/>
      <c r="CO1510" s="332"/>
      <c r="CP1510" s="332"/>
      <c r="CQ1510" s="332"/>
      <c r="CR1510" s="332"/>
      <c r="CS1510" s="332"/>
      <c r="CT1510" s="332"/>
      <c r="CU1510" s="332"/>
      <c r="CV1510" s="332"/>
      <c r="CW1510" s="332"/>
      <c r="CX1510" s="332"/>
      <c r="CY1510" s="332"/>
      <c r="CZ1510" s="332"/>
      <c r="DA1510" s="332"/>
      <c r="DB1510" s="332"/>
      <c r="DC1510" s="332"/>
      <c r="DD1510" s="332"/>
      <c r="DE1510" s="332"/>
      <c r="DF1510" s="332"/>
      <c r="DG1510" s="332"/>
      <c r="DH1510" s="332"/>
      <c r="DI1510" s="332"/>
      <c r="DJ1510" s="332"/>
      <c r="DK1510" s="332"/>
      <c r="DL1510" s="332"/>
      <c r="DM1510" s="332"/>
      <c r="DN1510" s="332"/>
      <c r="DO1510" s="332"/>
      <c r="DP1510" s="332"/>
      <c r="DQ1510" s="332"/>
      <c r="DR1510" s="332"/>
      <c r="DS1510" s="332"/>
      <c r="DT1510" s="332"/>
      <c r="DU1510" s="453"/>
      <c r="DV1510" s="453"/>
      <c r="DW1510" s="453"/>
      <c r="DX1510" s="453"/>
      <c r="DY1510" s="453"/>
      <c r="DZ1510" s="453"/>
      <c r="EA1510" s="453"/>
      <c r="EB1510" s="453"/>
      <c r="EC1510" s="453"/>
      <c r="ED1510" s="453"/>
      <c r="EE1510" s="453"/>
      <c r="EF1510" s="453"/>
      <c r="EG1510" s="453"/>
      <c r="EH1510" s="453"/>
      <c r="EI1510" s="453"/>
      <c r="EJ1510" s="453"/>
      <c r="EK1510" s="453"/>
      <c r="EL1510" s="453"/>
      <c r="EM1510" s="453"/>
      <c r="EN1510" s="453"/>
      <c r="EO1510" s="453"/>
      <c r="EP1510" s="453"/>
      <c r="EQ1510" s="453"/>
      <c r="ER1510" s="453"/>
      <c r="ES1510" s="453"/>
      <c r="ET1510" s="453"/>
      <c r="EU1510" s="453"/>
      <c r="EV1510" s="453"/>
      <c r="EW1510" s="453"/>
      <c r="EX1510" s="453"/>
      <c r="EY1510" s="453"/>
      <c r="EZ1510" s="453"/>
      <c r="FA1510" s="453"/>
      <c r="FB1510" s="453"/>
      <c r="FC1510" s="453"/>
      <c r="FD1510" s="453"/>
      <c r="FE1510" s="453"/>
      <c r="FF1510" s="453"/>
      <c r="FG1510" s="453"/>
      <c r="FH1510" s="453"/>
      <c r="FI1510" s="453"/>
      <c r="FJ1510" s="453"/>
      <c r="FK1510" s="453"/>
      <c r="FL1510" s="453"/>
      <c r="FM1510" s="453"/>
      <c r="FN1510" s="453"/>
      <c r="FO1510" s="453"/>
      <c r="FP1510" s="453"/>
      <c r="FQ1510" s="453"/>
      <c r="FR1510" s="453"/>
      <c r="FS1510" s="453"/>
      <c r="FT1510" s="453"/>
      <c r="FU1510" s="453"/>
      <c r="FV1510" s="453"/>
      <c r="FW1510" s="453"/>
      <c r="FX1510" s="453"/>
      <c r="FY1510" s="453"/>
      <c r="FZ1510" s="453"/>
      <c r="GA1510" s="453"/>
      <c r="GB1510" s="453"/>
      <c r="GC1510" s="370"/>
      <c r="GD1510" s="453"/>
      <c r="GE1510" s="453"/>
      <c r="GF1510" s="453"/>
      <c r="GG1510" s="453"/>
      <c r="GH1510" s="454"/>
      <c r="GI1510" s="453"/>
      <c r="GJ1510" s="453"/>
      <c r="GK1510" s="453"/>
      <c r="GL1510" s="453"/>
      <c r="GM1510" s="453"/>
      <c r="GN1510" s="453"/>
      <c r="GO1510" s="453"/>
      <c r="GP1510" s="453"/>
      <c r="GQ1510" s="453"/>
      <c r="GR1510" s="453"/>
      <c r="GS1510" s="453"/>
      <c r="GT1510" s="453"/>
      <c r="GU1510" s="453"/>
      <c r="GV1510" s="453"/>
      <c r="GW1510" s="453"/>
      <c r="GX1510" s="453"/>
      <c r="GY1510" s="453"/>
      <c r="GZ1510" s="453"/>
      <c r="HA1510" s="453"/>
      <c r="HB1510" s="453"/>
      <c r="HC1510" s="453"/>
      <c r="HD1510" s="453"/>
      <c r="HE1510" s="453"/>
      <c r="HF1510" s="453"/>
      <c r="HG1510" s="453"/>
      <c r="HH1510" s="453"/>
      <c r="HI1510" s="453"/>
      <c r="HJ1510" s="453"/>
      <c r="HK1510" s="453"/>
      <c r="HL1510" s="453"/>
      <c r="HM1510" s="454"/>
      <c r="HN1510" s="464"/>
      <c r="HO1510" s="465"/>
      <c r="HP1510" s="453"/>
      <c r="HQ1510" s="464"/>
      <c r="HR1510" s="465"/>
      <c r="HS1510" s="453"/>
      <c r="HT1510" s="464"/>
      <c r="HU1510" s="465"/>
      <c r="HV1510" s="453"/>
      <c r="HW1510" s="464"/>
    </row>
    <row r="1511" spans="25:231" ht="15" customHeight="1">
      <c r="Y1511" s="332"/>
      <c r="Z1511" s="332"/>
      <c r="AA1511" s="332"/>
      <c r="AB1511" s="332"/>
      <c r="AC1511" s="332"/>
      <c r="AD1511" s="332"/>
      <c r="AE1511" s="332"/>
      <c r="AF1511" s="332"/>
      <c r="AG1511" s="332"/>
      <c r="AH1511" s="332"/>
      <c r="AI1511" s="332"/>
      <c r="AJ1511" s="332"/>
      <c r="AK1511" s="332"/>
      <c r="AL1511" s="332"/>
      <c r="AM1511" s="332"/>
      <c r="AN1511" s="332"/>
      <c r="AO1511" s="332"/>
      <c r="AP1511" s="332"/>
      <c r="AQ1511" s="332"/>
      <c r="AR1511" s="332"/>
      <c r="AS1511" s="332"/>
      <c r="AT1511" s="332"/>
      <c r="AU1511" s="332"/>
      <c r="AV1511" s="332"/>
      <c r="AW1511" s="332"/>
      <c r="AX1511" s="332"/>
      <c r="AY1511" s="332"/>
      <c r="AZ1511" s="332"/>
      <c r="BA1511" s="332"/>
      <c r="BB1511" s="332"/>
      <c r="BC1511" s="332"/>
      <c r="BD1511" s="332"/>
      <c r="BE1511" s="332"/>
      <c r="BF1511" s="332"/>
      <c r="BG1511" s="332"/>
      <c r="BH1511" s="332"/>
      <c r="BI1511" s="332"/>
      <c r="BJ1511" s="332"/>
      <c r="BK1511" s="332"/>
      <c r="BL1511" s="332"/>
      <c r="BM1511" s="332"/>
      <c r="BN1511" s="332"/>
      <c r="BO1511" s="332"/>
      <c r="BP1511" s="332"/>
      <c r="BQ1511" s="332"/>
      <c r="BR1511" s="332"/>
      <c r="BS1511" s="332"/>
      <c r="BT1511" s="332"/>
      <c r="BU1511" s="332"/>
      <c r="BV1511" s="332"/>
      <c r="BW1511" s="332"/>
      <c r="BX1511" s="332"/>
      <c r="BY1511" s="332"/>
      <c r="BZ1511" s="332"/>
      <c r="CA1511" s="332"/>
      <c r="CB1511" s="332"/>
      <c r="CC1511" s="332"/>
      <c r="CD1511" s="332"/>
      <c r="CE1511" s="332"/>
      <c r="CF1511" s="332"/>
      <c r="CG1511" s="332"/>
      <c r="CH1511" s="332"/>
      <c r="CI1511" s="332"/>
      <c r="CJ1511" s="332"/>
      <c r="CK1511" s="332"/>
      <c r="CL1511" s="332"/>
      <c r="CM1511" s="332"/>
      <c r="CN1511" s="332"/>
      <c r="CO1511" s="332"/>
      <c r="CP1511" s="332"/>
      <c r="CQ1511" s="332"/>
      <c r="CR1511" s="332"/>
      <c r="CS1511" s="332"/>
      <c r="CT1511" s="332"/>
      <c r="CU1511" s="332"/>
      <c r="CV1511" s="332"/>
      <c r="CW1511" s="332"/>
      <c r="CX1511" s="332"/>
      <c r="CY1511" s="332"/>
      <c r="CZ1511" s="332"/>
      <c r="DA1511" s="332"/>
      <c r="DB1511" s="332"/>
      <c r="DC1511" s="332"/>
      <c r="DD1511" s="332"/>
      <c r="DE1511" s="332"/>
      <c r="DF1511" s="332"/>
      <c r="DG1511" s="332"/>
      <c r="DH1511" s="332"/>
      <c r="DI1511" s="332"/>
      <c r="DJ1511" s="332"/>
      <c r="DK1511" s="332"/>
      <c r="DL1511" s="332"/>
      <c r="DM1511" s="332"/>
      <c r="DN1511" s="332"/>
      <c r="DO1511" s="332"/>
      <c r="DP1511" s="332"/>
      <c r="DQ1511" s="332"/>
      <c r="DR1511" s="332"/>
      <c r="DS1511" s="332"/>
      <c r="DT1511" s="332"/>
      <c r="DU1511" s="453"/>
      <c r="DV1511" s="453"/>
      <c r="DW1511" s="453"/>
      <c r="DX1511" s="453"/>
      <c r="DY1511" s="453"/>
      <c r="DZ1511" s="453"/>
      <c r="EA1511" s="453"/>
      <c r="EB1511" s="453"/>
      <c r="EC1511" s="453"/>
      <c r="ED1511" s="453"/>
      <c r="EE1511" s="453"/>
      <c r="EF1511" s="453"/>
      <c r="EG1511" s="453"/>
      <c r="EH1511" s="453"/>
      <c r="EI1511" s="453"/>
      <c r="EJ1511" s="453"/>
      <c r="EK1511" s="453"/>
      <c r="EL1511" s="453"/>
      <c r="EM1511" s="453"/>
      <c r="EN1511" s="453"/>
      <c r="EO1511" s="453"/>
      <c r="EP1511" s="453"/>
      <c r="EQ1511" s="453"/>
      <c r="ER1511" s="453"/>
      <c r="ES1511" s="453"/>
      <c r="ET1511" s="453"/>
      <c r="EU1511" s="453"/>
      <c r="EV1511" s="453"/>
      <c r="EW1511" s="453"/>
      <c r="EX1511" s="453"/>
      <c r="EY1511" s="453"/>
      <c r="EZ1511" s="453"/>
      <c r="FA1511" s="453"/>
      <c r="FB1511" s="453"/>
      <c r="FC1511" s="453"/>
      <c r="FD1511" s="453"/>
      <c r="FE1511" s="453"/>
      <c r="FF1511" s="453"/>
      <c r="FG1511" s="453"/>
      <c r="FH1511" s="453"/>
      <c r="FI1511" s="453"/>
      <c r="FJ1511" s="453"/>
      <c r="FK1511" s="453"/>
      <c r="FL1511" s="453"/>
      <c r="FM1511" s="453"/>
      <c r="FN1511" s="453"/>
      <c r="FO1511" s="453"/>
      <c r="FP1511" s="453"/>
      <c r="FQ1511" s="453"/>
      <c r="FR1511" s="453"/>
      <c r="FS1511" s="453"/>
      <c r="FT1511" s="453"/>
      <c r="FU1511" s="453"/>
      <c r="FV1511" s="453"/>
      <c r="FW1511" s="453"/>
      <c r="FX1511" s="453"/>
      <c r="FY1511" s="453"/>
      <c r="FZ1511" s="453"/>
      <c r="GA1511" s="453"/>
      <c r="GB1511" s="453"/>
      <c r="GC1511" s="370"/>
      <c r="GD1511" s="453"/>
      <c r="GE1511" s="453"/>
      <c r="GF1511" s="453"/>
      <c r="GG1511" s="453"/>
      <c r="GH1511" s="454"/>
      <c r="GI1511" s="453"/>
      <c r="GJ1511" s="453"/>
      <c r="GK1511" s="453"/>
      <c r="GL1511" s="453"/>
      <c r="GM1511" s="453"/>
      <c r="GN1511" s="453"/>
      <c r="GO1511" s="453"/>
      <c r="GP1511" s="453"/>
      <c r="GQ1511" s="453"/>
      <c r="GR1511" s="453"/>
      <c r="GS1511" s="453"/>
      <c r="GT1511" s="453"/>
      <c r="GU1511" s="453"/>
      <c r="GV1511" s="453"/>
      <c r="GW1511" s="453"/>
      <c r="GX1511" s="453"/>
      <c r="GY1511" s="453"/>
      <c r="GZ1511" s="453"/>
      <c r="HA1511" s="453"/>
      <c r="HB1511" s="453"/>
      <c r="HC1511" s="453"/>
      <c r="HD1511" s="453"/>
      <c r="HE1511" s="453"/>
      <c r="HF1511" s="453"/>
      <c r="HG1511" s="453"/>
      <c r="HH1511" s="453"/>
      <c r="HI1511" s="453"/>
      <c r="HJ1511" s="453"/>
      <c r="HK1511" s="453"/>
      <c r="HL1511" s="453"/>
      <c r="HM1511" s="454"/>
      <c r="HN1511" s="464"/>
      <c r="HO1511" s="465"/>
      <c r="HP1511" s="453"/>
      <c r="HQ1511" s="464"/>
      <c r="HR1511" s="465"/>
      <c r="HS1511" s="453"/>
      <c r="HT1511" s="464"/>
      <c r="HU1511" s="465"/>
      <c r="HV1511" s="453"/>
      <c r="HW1511" s="464"/>
    </row>
    <row r="1512" spans="25:231" ht="15" customHeight="1">
      <c r="Y1512" s="332"/>
      <c r="Z1512" s="332"/>
      <c r="AA1512" s="332"/>
      <c r="AB1512" s="332"/>
      <c r="AC1512" s="332"/>
      <c r="AD1512" s="332"/>
      <c r="AE1512" s="332"/>
      <c r="AF1512" s="332"/>
      <c r="AG1512" s="332"/>
      <c r="AH1512" s="332"/>
      <c r="AI1512" s="332"/>
      <c r="AJ1512" s="332"/>
      <c r="AK1512" s="332"/>
      <c r="AL1512" s="332"/>
      <c r="AM1512" s="332"/>
      <c r="AN1512" s="332"/>
      <c r="AO1512" s="332"/>
      <c r="AP1512" s="332"/>
      <c r="AQ1512" s="332"/>
      <c r="AR1512" s="332"/>
      <c r="AS1512" s="332"/>
      <c r="AT1512" s="332"/>
      <c r="AU1512" s="332"/>
      <c r="AV1512" s="332"/>
      <c r="AW1512" s="332"/>
      <c r="AX1512" s="332"/>
      <c r="AY1512" s="332"/>
      <c r="AZ1512" s="332"/>
      <c r="BA1512" s="332"/>
      <c r="BB1512" s="332"/>
      <c r="BC1512" s="332"/>
      <c r="BD1512" s="332"/>
      <c r="BE1512" s="332"/>
      <c r="BF1512" s="332"/>
      <c r="BG1512" s="332"/>
      <c r="BH1512" s="332"/>
      <c r="BI1512" s="332"/>
      <c r="BJ1512" s="332"/>
      <c r="BK1512" s="332"/>
      <c r="BL1512" s="332"/>
      <c r="BM1512" s="332"/>
      <c r="BN1512" s="332"/>
      <c r="BO1512" s="332"/>
      <c r="BP1512" s="332"/>
      <c r="BQ1512" s="332"/>
      <c r="BR1512" s="332"/>
      <c r="BS1512" s="332"/>
      <c r="BT1512" s="332"/>
      <c r="BU1512" s="332"/>
      <c r="BV1512" s="332"/>
      <c r="BW1512" s="332"/>
      <c r="BX1512" s="332"/>
      <c r="BY1512" s="332"/>
      <c r="BZ1512" s="332"/>
      <c r="CA1512" s="332"/>
      <c r="CB1512" s="332"/>
      <c r="CC1512" s="332"/>
      <c r="CD1512" s="332"/>
      <c r="CE1512" s="332"/>
      <c r="CF1512" s="332"/>
      <c r="CG1512" s="332"/>
      <c r="CH1512" s="332"/>
      <c r="CI1512" s="332"/>
      <c r="CJ1512" s="332"/>
      <c r="CK1512" s="332"/>
      <c r="CL1512" s="332"/>
      <c r="CM1512" s="332"/>
      <c r="CN1512" s="332"/>
      <c r="CO1512" s="332"/>
      <c r="CP1512" s="332"/>
      <c r="CQ1512" s="332"/>
      <c r="CR1512" s="332"/>
      <c r="CS1512" s="332"/>
      <c r="CT1512" s="332"/>
      <c r="CU1512" s="332"/>
      <c r="CV1512" s="332"/>
      <c r="CW1512" s="332"/>
      <c r="CX1512" s="332"/>
      <c r="CY1512" s="332"/>
      <c r="CZ1512" s="332"/>
      <c r="DA1512" s="332"/>
      <c r="DB1512" s="332"/>
      <c r="DC1512" s="332"/>
      <c r="DD1512" s="332"/>
      <c r="DE1512" s="332"/>
      <c r="DF1512" s="332"/>
      <c r="DG1512" s="332"/>
      <c r="DH1512" s="332"/>
      <c r="DI1512" s="332"/>
      <c r="DJ1512" s="332"/>
      <c r="DK1512" s="332"/>
      <c r="DL1512" s="332"/>
      <c r="DM1512" s="332"/>
      <c r="DN1512" s="332"/>
      <c r="DO1512" s="332"/>
      <c r="DP1512" s="332"/>
      <c r="DQ1512" s="332"/>
      <c r="DR1512" s="332"/>
      <c r="DS1512" s="332"/>
      <c r="DT1512" s="332"/>
      <c r="DU1512" s="453"/>
      <c r="DV1512" s="453"/>
      <c r="DW1512" s="453"/>
      <c r="DX1512" s="453"/>
      <c r="DY1512" s="453"/>
      <c r="DZ1512" s="453"/>
      <c r="EA1512" s="453"/>
      <c r="EB1512" s="453"/>
      <c r="EC1512" s="453"/>
      <c r="ED1512" s="453"/>
      <c r="EE1512" s="453"/>
      <c r="EF1512" s="453"/>
      <c r="EG1512" s="453"/>
      <c r="EH1512" s="453"/>
      <c r="EI1512" s="453"/>
      <c r="EJ1512" s="453"/>
      <c r="EK1512" s="453"/>
      <c r="EL1512" s="453"/>
      <c r="EM1512" s="453"/>
      <c r="EN1512" s="453"/>
      <c r="EO1512" s="453"/>
      <c r="EP1512" s="453"/>
      <c r="EQ1512" s="453"/>
      <c r="ER1512" s="453"/>
      <c r="ES1512" s="453"/>
      <c r="ET1512" s="453"/>
      <c r="EU1512" s="453"/>
      <c r="EV1512" s="453"/>
      <c r="EW1512" s="453"/>
      <c r="EX1512" s="453"/>
      <c r="EY1512" s="453"/>
      <c r="EZ1512" s="453"/>
      <c r="FA1512" s="453"/>
      <c r="FB1512" s="453"/>
      <c r="FC1512" s="453"/>
      <c r="FD1512" s="453"/>
      <c r="FE1512" s="453"/>
      <c r="FF1512" s="453"/>
      <c r="FG1512" s="453"/>
      <c r="FH1512" s="453"/>
      <c r="FI1512" s="453"/>
      <c r="FJ1512" s="453"/>
      <c r="FK1512" s="453"/>
      <c r="FL1512" s="453"/>
      <c r="FM1512" s="453"/>
      <c r="FN1512" s="453"/>
      <c r="FO1512" s="453"/>
      <c r="FP1512" s="453"/>
      <c r="FQ1512" s="453"/>
      <c r="FR1512" s="453"/>
      <c r="FS1512" s="453"/>
      <c r="FT1512" s="453"/>
      <c r="FU1512" s="453"/>
      <c r="FV1512" s="453"/>
      <c r="FW1512" s="453"/>
      <c r="FX1512" s="453"/>
      <c r="FY1512" s="453"/>
      <c r="FZ1512" s="453"/>
      <c r="GA1512" s="453"/>
      <c r="GB1512" s="453"/>
      <c r="GC1512" s="370"/>
      <c r="GD1512" s="453"/>
      <c r="GE1512" s="453"/>
      <c r="GF1512" s="453"/>
      <c r="GG1512" s="453"/>
      <c r="GH1512" s="454"/>
      <c r="GI1512" s="453"/>
      <c r="GJ1512" s="453"/>
      <c r="GK1512" s="453"/>
      <c r="GL1512" s="453"/>
      <c r="GM1512" s="453"/>
      <c r="GN1512" s="453"/>
      <c r="GO1512" s="453"/>
      <c r="GP1512" s="453"/>
      <c r="GQ1512" s="453"/>
      <c r="GR1512" s="453"/>
      <c r="GS1512" s="453"/>
      <c r="GT1512" s="453"/>
      <c r="GU1512" s="453"/>
      <c r="GV1512" s="453"/>
      <c r="GW1512" s="453"/>
      <c r="GX1512" s="453"/>
      <c r="GY1512" s="453"/>
      <c r="GZ1512" s="453"/>
      <c r="HA1512" s="453"/>
      <c r="HB1512" s="453"/>
      <c r="HC1512" s="453"/>
      <c r="HD1512" s="453"/>
      <c r="HE1512" s="453"/>
      <c r="HF1512" s="453"/>
      <c r="HG1512" s="453"/>
      <c r="HH1512" s="453"/>
      <c r="HI1512" s="453"/>
      <c r="HJ1512" s="453"/>
      <c r="HK1512" s="453"/>
      <c r="HL1512" s="453"/>
      <c r="HM1512" s="454"/>
      <c r="HN1512" s="464"/>
      <c r="HO1512" s="465"/>
      <c r="HP1512" s="453"/>
      <c r="HQ1512" s="464"/>
      <c r="HR1512" s="465"/>
      <c r="HS1512" s="453"/>
      <c r="HT1512" s="464"/>
      <c r="HU1512" s="465"/>
      <c r="HV1512" s="453"/>
      <c r="HW1512" s="464"/>
    </row>
    <row r="1513" spans="25:231" ht="15" customHeight="1">
      <c r="Y1513" s="332"/>
      <c r="Z1513" s="332"/>
      <c r="AA1513" s="332"/>
      <c r="AB1513" s="332"/>
      <c r="AC1513" s="332"/>
      <c r="AD1513" s="332"/>
      <c r="AE1513" s="332"/>
      <c r="AF1513" s="332"/>
      <c r="AG1513" s="332"/>
      <c r="AH1513" s="332"/>
      <c r="AI1513" s="332"/>
      <c r="AJ1513" s="332"/>
      <c r="AK1513" s="332"/>
      <c r="AL1513" s="332"/>
      <c r="AM1513" s="332"/>
      <c r="AN1513" s="332"/>
      <c r="AO1513" s="332"/>
      <c r="AP1513" s="332"/>
      <c r="AQ1513" s="332"/>
      <c r="AR1513" s="332"/>
      <c r="AS1513" s="332"/>
      <c r="AT1513" s="332"/>
      <c r="AU1513" s="332"/>
      <c r="AV1513" s="332"/>
      <c r="AW1513" s="332"/>
      <c r="AX1513" s="332"/>
      <c r="AY1513" s="332"/>
      <c r="AZ1513" s="332"/>
      <c r="BA1513" s="332"/>
      <c r="BB1513" s="332"/>
      <c r="BC1513" s="332"/>
      <c r="BD1513" s="332"/>
      <c r="BE1513" s="332"/>
      <c r="BF1513" s="332"/>
      <c r="BG1513" s="332"/>
      <c r="BH1513" s="332"/>
      <c r="BI1513" s="332"/>
      <c r="BJ1513" s="332"/>
      <c r="BK1513" s="332"/>
      <c r="BL1513" s="332"/>
      <c r="BM1513" s="332"/>
      <c r="BN1513" s="332"/>
      <c r="BO1513" s="332"/>
      <c r="BP1513" s="332"/>
      <c r="BQ1513" s="332"/>
      <c r="BR1513" s="332"/>
      <c r="BS1513" s="332"/>
      <c r="BT1513" s="332"/>
      <c r="BU1513" s="332"/>
      <c r="BV1513" s="332"/>
      <c r="BW1513" s="332"/>
      <c r="BX1513" s="332"/>
      <c r="BY1513" s="332"/>
      <c r="BZ1513" s="332"/>
      <c r="CA1513" s="332"/>
      <c r="CB1513" s="332"/>
      <c r="CC1513" s="332"/>
      <c r="CD1513" s="332"/>
      <c r="CE1513" s="332"/>
      <c r="CF1513" s="332"/>
      <c r="CG1513" s="332"/>
      <c r="CH1513" s="332"/>
      <c r="CI1513" s="332"/>
      <c r="CJ1513" s="332"/>
      <c r="CK1513" s="332"/>
      <c r="CL1513" s="332"/>
      <c r="CM1513" s="332"/>
      <c r="CN1513" s="332"/>
      <c r="CO1513" s="332"/>
      <c r="CP1513" s="332"/>
      <c r="CQ1513" s="332"/>
      <c r="CR1513" s="332"/>
      <c r="CS1513" s="332"/>
      <c r="CT1513" s="332"/>
      <c r="CU1513" s="332"/>
      <c r="CV1513" s="332"/>
      <c r="CW1513" s="332"/>
      <c r="CX1513" s="332"/>
      <c r="CY1513" s="332"/>
      <c r="CZ1513" s="332"/>
      <c r="DA1513" s="332"/>
      <c r="DB1513" s="332"/>
      <c r="DC1513" s="332"/>
      <c r="DD1513" s="332"/>
      <c r="DE1513" s="332"/>
      <c r="DF1513" s="332"/>
      <c r="DG1513" s="332"/>
      <c r="DH1513" s="332"/>
      <c r="DI1513" s="332"/>
      <c r="DJ1513" s="332"/>
      <c r="DK1513" s="332"/>
      <c r="DL1513" s="332"/>
      <c r="DM1513" s="332"/>
      <c r="DN1513" s="332"/>
      <c r="DO1513" s="332"/>
      <c r="DP1513" s="332"/>
      <c r="DQ1513" s="332"/>
      <c r="DR1513" s="332"/>
      <c r="DS1513" s="332"/>
      <c r="DT1513" s="332"/>
      <c r="DU1513" s="453"/>
      <c r="DV1513" s="453"/>
      <c r="DW1513" s="453"/>
      <c r="DX1513" s="453"/>
      <c r="DY1513" s="453"/>
      <c r="DZ1513" s="453"/>
      <c r="EA1513" s="453"/>
      <c r="EB1513" s="453"/>
      <c r="EC1513" s="453"/>
      <c r="ED1513" s="453"/>
      <c r="EE1513" s="453"/>
      <c r="EF1513" s="453"/>
      <c r="EG1513" s="453"/>
      <c r="EH1513" s="453"/>
      <c r="EI1513" s="453"/>
      <c r="EJ1513" s="453"/>
      <c r="EK1513" s="453"/>
      <c r="EL1513" s="453"/>
      <c r="EM1513" s="453"/>
      <c r="EN1513" s="453"/>
      <c r="EO1513" s="453"/>
      <c r="EP1513" s="453"/>
      <c r="EQ1513" s="453"/>
      <c r="ER1513" s="453"/>
      <c r="ES1513" s="453"/>
      <c r="ET1513" s="453"/>
      <c r="EU1513" s="453"/>
      <c r="EV1513" s="453"/>
      <c r="EW1513" s="453"/>
      <c r="EX1513" s="453"/>
      <c r="EY1513" s="453"/>
      <c r="EZ1513" s="453"/>
      <c r="FA1513" s="453"/>
      <c r="FB1513" s="453"/>
      <c r="FC1513" s="453"/>
      <c r="FD1513" s="453"/>
      <c r="FE1513" s="453"/>
      <c r="FF1513" s="453"/>
      <c r="FG1513" s="453"/>
      <c r="FH1513" s="453"/>
      <c r="FI1513" s="453"/>
      <c r="FJ1513" s="453"/>
      <c r="FK1513" s="453"/>
      <c r="FL1513" s="453"/>
      <c r="FM1513" s="453"/>
      <c r="FN1513" s="453"/>
      <c r="FO1513" s="453"/>
      <c r="FP1513" s="453"/>
      <c r="FQ1513" s="453"/>
      <c r="FR1513" s="453"/>
      <c r="FS1513" s="453"/>
      <c r="FT1513" s="453"/>
      <c r="FU1513" s="453"/>
      <c r="FV1513" s="453"/>
      <c r="FW1513" s="453"/>
      <c r="FX1513" s="453"/>
      <c r="FY1513" s="453"/>
      <c r="FZ1513" s="453"/>
      <c r="GA1513" s="453"/>
      <c r="GB1513" s="453"/>
      <c r="GC1513" s="370"/>
      <c r="GD1513" s="453"/>
      <c r="GE1513" s="453"/>
      <c r="GF1513" s="453"/>
      <c r="GG1513" s="453"/>
      <c r="GH1513" s="454"/>
      <c r="GI1513" s="453"/>
      <c r="GJ1513" s="453"/>
      <c r="GK1513" s="453"/>
      <c r="GL1513" s="453"/>
      <c r="GM1513" s="453"/>
      <c r="GN1513" s="453"/>
      <c r="GO1513" s="453"/>
      <c r="GP1513" s="453"/>
      <c r="GQ1513" s="453"/>
      <c r="GR1513" s="453"/>
      <c r="GS1513" s="453"/>
      <c r="GT1513" s="453"/>
      <c r="GU1513" s="453"/>
      <c r="GV1513" s="453"/>
      <c r="GW1513" s="453"/>
      <c r="GX1513" s="453"/>
      <c r="GY1513" s="453"/>
      <c r="GZ1513" s="453"/>
      <c r="HA1513" s="453"/>
      <c r="HB1513" s="453"/>
      <c r="HC1513" s="453"/>
      <c r="HD1513" s="453"/>
      <c r="HE1513" s="453"/>
      <c r="HF1513" s="453"/>
      <c r="HG1513" s="453"/>
      <c r="HH1513" s="453"/>
      <c r="HI1513" s="453"/>
      <c r="HJ1513" s="453"/>
      <c r="HK1513" s="453"/>
      <c r="HL1513" s="453"/>
      <c r="HM1513" s="454"/>
      <c r="HN1513" s="464"/>
      <c r="HO1513" s="465"/>
      <c r="HP1513" s="453"/>
      <c r="HQ1513" s="464"/>
      <c r="HR1513" s="465"/>
      <c r="HS1513" s="453"/>
      <c r="HT1513" s="464"/>
      <c r="HU1513" s="465"/>
      <c r="HV1513" s="453"/>
      <c r="HW1513" s="464"/>
    </row>
    <row r="1514" spans="25:231" ht="15" customHeight="1">
      <c r="Y1514" s="332"/>
      <c r="Z1514" s="332"/>
      <c r="AA1514" s="332"/>
      <c r="AB1514" s="332"/>
      <c r="AC1514" s="332"/>
      <c r="AD1514" s="332"/>
      <c r="AE1514" s="332"/>
      <c r="AF1514" s="332"/>
      <c r="AG1514" s="332"/>
      <c r="AH1514" s="332"/>
      <c r="AI1514" s="332"/>
      <c r="AJ1514" s="332"/>
      <c r="AK1514" s="332"/>
      <c r="AL1514" s="332"/>
      <c r="AM1514" s="332"/>
      <c r="AN1514" s="332"/>
      <c r="AO1514" s="332"/>
      <c r="AP1514" s="332"/>
      <c r="AQ1514" s="332"/>
      <c r="AR1514" s="332"/>
      <c r="AS1514" s="332"/>
      <c r="AT1514" s="332"/>
      <c r="AU1514" s="332"/>
      <c r="AV1514" s="332"/>
      <c r="AW1514" s="332"/>
      <c r="AX1514" s="332"/>
      <c r="AY1514" s="332"/>
      <c r="AZ1514" s="332"/>
      <c r="BA1514" s="332"/>
      <c r="BB1514" s="332"/>
      <c r="BC1514" s="332"/>
      <c r="BD1514" s="332"/>
      <c r="BE1514" s="332"/>
      <c r="BF1514" s="332"/>
      <c r="BG1514" s="332"/>
      <c r="BH1514" s="332"/>
      <c r="BI1514" s="332"/>
      <c r="BJ1514" s="332"/>
      <c r="BK1514" s="332"/>
      <c r="BL1514" s="332"/>
      <c r="BM1514" s="332"/>
      <c r="BN1514" s="332"/>
      <c r="BO1514" s="332"/>
      <c r="BP1514" s="332"/>
      <c r="BQ1514" s="332"/>
      <c r="BR1514" s="332"/>
      <c r="BS1514" s="332"/>
      <c r="BT1514" s="332"/>
      <c r="BU1514" s="332"/>
      <c r="BV1514" s="332"/>
      <c r="BW1514" s="332"/>
      <c r="BX1514" s="332"/>
      <c r="BY1514" s="332"/>
      <c r="BZ1514" s="332"/>
      <c r="CA1514" s="332"/>
      <c r="CB1514" s="332"/>
      <c r="CC1514" s="332"/>
      <c r="CD1514" s="332"/>
      <c r="CE1514" s="332"/>
      <c r="CF1514" s="332"/>
      <c r="CG1514" s="332"/>
      <c r="CH1514" s="332"/>
      <c r="CI1514" s="332"/>
      <c r="CJ1514" s="332"/>
      <c r="CK1514" s="332"/>
      <c r="CL1514" s="332"/>
      <c r="CM1514" s="332"/>
      <c r="CN1514" s="332"/>
      <c r="CO1514" s="332"/>
      <c r="CP1514" s="332"/>
      <c r="CQ1514" s="332"/>
      <c r="CR1514" s="332"/>
      <c r="CS1514" s="332"/>
      <c r="CT1514" s="332"/>
      <c r="CU1514" s="332"/>
      <c r="CV1514" s="332"/>
      <c r="CW1514" s="332"/>
      <c r="CX1514" s="332"/>
      <c r="CY1514" s="332"/>
      <c r="CZ1514" s="332"/>
      <c r="DA1514" s="332"/>
      <c r="DB1514" s="332"/>
      <c r="DC1514" s="332"/>
      <c r="DD1514" s="332"/>
      <c r="DE1514" s="332"/>
      <c r="DF1514" s="332"/>
      <c r="DG1514" s="332"/>
      <c r="DH1514" s="332"/>
      <c r="DI1514" s="332"/>
      <c r="DJ1514" s="332"/>
      <c r="DK1514" s="332"/>
      <c r="DL1514" s="332"/>
      <c r="DM1514" s="332"/>
      <c r="DN1514" s="332"/>
      <c r="DO1514" s="332"/>
      <c r="DP1514" s="332"/>
      <c r="DQ1514" s="332"/>
      <c r="DR1514" s="332"/>
      <c r="DS1514" s="332"/>
      <c r="DT1514" s="332"/>
      <c r="DU1514" s="453"/>
      <c r="DV1514" s="453"/>
      <c r="DW1514" s="453"/>
      <c r="DX1514" s="453"/>
      <c r="DY1514" s="453"/>
      <c r="DZ1514" s="453"/>
      <c r="EA1514" s="453"/>
      <c r="EB1514" s="453"/>
      <c r="EC1514" s="453"/>
      <c r="ED1514" s="453"/>
      <c r="EE1514" s="453"/>
      <c r="EF1514" s="453"/>
      <c r="EG1514" s="453"/>
      <c r="EH1514" s="453"/>
      <c r="EI1514" s="453"/>
      <c r="EJ1514" s="453"/>
      <c r="EK1514" s="453"/>
      <c r="EL1514" s="453"/>
      <c r="EM1514" s="453"/>
      <c r="EN1514" s="453"/>
      <c r="EO1514" s="453"/>
      <c r="EP1514" s="453"/>
      <c r="EQ1514" s="453"/>
      <c r="ER1514" s="453"/>
      <c r="ES1514" s="453"/>
      <c r="ET1514" s="453"/>
      <c r="EU1514" s="453"/>
      <c r="EV1514" s="453"/>
      <c r="EW1514" s="453"/>
      <c r="EX1514" s="453"/>
      <c r="EY1514" s="453"/>
      <c r="EZ1514" s="453"/>
      <c r="FA1514" s="453"/>
      <c r="FB1514" s="453"/>
      <c r="FC1514" s="453"/>
      <c r="FD1514" s="453"/>
      <c r="FE1514" s="453"/>
      <c r="FF1514" s="453"/>
      <c r="FG1514" s="453"/>
      <c r="FH1514" s="453"/>
      <c r="FI1514" s="453"/>
      <c r="FJ1514" s="453"/>
      <c r="FK1514" s="453"/>
      <c r="FL1514" s="453"/>
      <c r="FM1514" s="453"/>
      <c r="FN1514" s="453"/>
      <c r="FO1514" s="453"/>
      <c r="FP1514" s="453"/>
      <c r="FQ1514" s="453"/>
      <c r="FR1514" s="453"/>
      <c r="FS1514" s="453"/>
      <c r="FT1514" s="453"/>
      <c r="FU1514" s="453"/>
      <c r="FV1514" s="453"/>
      <c r="FW1514" s="453"/>
      <c r="FX1514" s="453"/>
      <c r="FY1514" s="453"/>
      <c r="FZ1514" s="453"/>
      <c r="GA1514" s="453"/>
      <c r="GB1514" s="453"/>
      <c r="GC1514" s="370"/>
      <c r="GD1514" s="453"/>
      <c r="GE1514" s="453"/>
      <c r="GF1514" s="453"/>
      <c r="GG1514" s="453"/>
      <c r="GH1514" s="454"/>
      <c r="GI1514" s="453"/>
      <c r="GJ1514" s="453"/>
      <c r="GK1514" s="453"/>
      <c r="GL1514" s="453"/>
      <c r="GM1514" s="453"/>
      <c r="GN1514" s="453"/>
      <c r="GO1514" s="453"/>
      <c r="GP1514" s="453"/>
      <c r="GQ1514" s="453"/>
      <c r="GR1514" s="453"/>
      <c r="GS1514" s="453"/>
      <c r="GT1514" s="453"/>
      <c r="GU1514" s="453"/>
      <c r="GV1514" s="453"/>
      <c r="GW1514" s="453"/>
      <c r="GX1514" s="453"/>
      <c r="GY1514" s="453"/>
      <c r="GZ1514" s="453"/>
      <c r="HA1514" s="453"/>
      <c r="HB1514" s="453"/>
      <c r="HC1514" s="453"/>
      <c r="HD1514" s="453"/>
      <c r="HE1514" s="453"/>
      <c r="HF1514" s="453"/>
      <c r="HG1514" s="453"/>
      <c r="HH1514" s="453"/>
      <c r="HI1514" s="453"/>
      <c r="HJ1514" s="453"/>
      <c r="HK1514" s="453"/>
      <c r="HL1514" s="453"/>
      <c r="HM1514" s="454"/>
      <c r="HN1514" s="464"/>
      <c r="HO1514" s="465"/>
      <c r="HP1514" s="453"/>
      <c r="HQ1514" s="464"/>
      <c r="HR1514" s="465"/>
      <c r="HS1514" s="453"/>
      <c r="HT1514" s="464"/>
      <c r="HU1514" s="465"/>
      <c r="HV1514" s="453"/>
      <c r="HW1514" s="464"/>
    </row>
    <row r="1515" spans="25:231" ht="15" customHeight="1">
      <c r="Y1515" s="332"/>
      <c r="Z1515" s="332"/>
      <c r="AA1515" s="332"/>
      <c r="AB1515" s="332"/>
      <c r="AC1515" s="332"/>
      <c r="AD1515" s="332"/>
      <c r="AE1515" s="332"/>
      <c r="AF1515" s="332"/>
      <c r="AG1515" s="332"/>
      <c r="AH1515" s="332"/>
      <c r="AI1515" s="332"/>
      <c r="AJ1515" s="332"/>
      <c r="AK1515" s="332"/>
      <c r="AL1515" s="332"/>
      <c r="AM1515" s="332"/>
      <c r="AN1515" s="332"/>
      <c r="AO1515" s="332"/>
      <c r="AP1515" s="332"/>
      <c r="AQ1515" s="332"/>
      <c r="AR1515" s="332"/>
      <c r="AS1515" s="332"/>
      <c r="AT1515" s="332"/>
      <c r="AU1515" s="332"/>
      <c r="AV1515" s="332"/>
      <c r="AW1515" s="332"/>
      <c r="AX1515" s="332"/>
      <c r="AY1515" s="332"/>
      <c r="AZ1515" s="332"/>
      <c r="BA1515" s="332"/>
      <c r="BB1515" s="332"/>
      <c r="BC1515" s="332"/>
      <c r="BD1515" s="332"/>
      <c r="BE1515" s="332"/>
      <c r="BF1515" s="332"/>
      <c r="BG1515" s="332"/>
      <c r="BH1515" s="332"/>
      <c r="BI1515" s="332"/>
      <c r="BJ1515" s="332"/>
      <c r="BK1515" s="332"/>
      <c r="BL1515" s="332"/>
      <c r="BM1515" s="332"/>
      <c r="BN1515" s="332"/>
      <c r="BO1515" s="332"/>
      <c r="BP1515" s="332"/>
      <c r="BQ1515" s="332"/>
      <c r="BR1515" s="332"/>
      <c r="BS1515" s="332"/>
      <c r="BT1515" s="332"/>
      <c r="BU1515" s="332"/>
      <c r="BV1515" s="332"/>
      <c r="BW1515" s="332"/>
      <c r="BX1515" s="332"/>
      <c r="BY1515" s="332"/>
      <c r="BZ1515" s="332"/>
      <c r="CA1515" s="332"/>
      <c r="CB1515" s="332"/>
      <c r="CC1515" s="332"/>
      <c r="CD1515" s="332"/>
      <c r="CE1515" s="332"/>
      <c r="CF1515" s="332"/>
      <c r="CG1515" s="332"/>
      <c r="CH1515" s="332"/>
      <c r="CI1515" s="332"/>
      <c r="CJ1515" s="332"/>
      <c r="CK1515" s="332"/>
      <c r="CL1515" s="332"/>
      <c r="CM1515" s="332"/>
      <c r="CN1515" s="332"/>
      <c r="CO1515" s="332"/>
      <c r="CP1515" s="332"/>
      <c r="CQ1515" s="332"/>
      <c r="CR1515" s="332"/>
      <c r="CS1515" s="332"/>
      <c r="CT1515" s="332"/>
      <c r="CU1515" s="332"/>
      <c r="CV1515" s="332"/>
      <c r="CW1515" s="332"/>
      <c r="CX1515" s="332"/>
      <c r="CY1515" s="332"/>
      <c r="CZ1515" s="332"/>
      <c r="DA1515" s="332"/>
      <c r="DB1515" s="332"/>
      <c r="DC1515" s="332"/>
      <c r="DD1515" s="332"/>
      <c r="DE1515" s="332"/>
      <c r="DF1515" s="332"/>
      <c r="DG1515" s="332"/>
      <c r="DH1515" s="332"/>
      <c r="DI1515" s="332"/>
      <c r="DJ1515" s="332"/>
      <c r="DK1515" s="332"/>
      <c r="DL1515" s="332"/>
      <c r="DM1515" s="332"/>
      <c r="DN1515" s="332"/>
      <c r="DO1515" s="332"/>
      <c r="DP1515" s="332"/>
      <c r="DQ1515" s="332"/>
      <c r="DR1515" s="332"/>
      <c r="DS1515" s="332"/>
      <c r="DT1515" s="332"/>
      <c r="DU1515" s="453"/>
      <c r="DV1515" s="453"/>
      <c r="DW1515" s="453"/>
      <c r="DX1515" s="453"/>
      <c r="DY1515" s="453"/>
      <c r="DZ1515" s="453"/>
      <c r="EA1515" s="453"/>
      <c r="EB1515" s="453"/>
      <c r="EC1515" s="453"/>
      <c r="ED1515" s="453"/>
      <c r="EE1515" s="453"/>
      <c r="EF1515" s="453"/>
      <c r="EG1515" s="453"/>
      <c r="EH1515" s="453"/>
      <c r="EI1515" s="453"/>
      <c r="EJ1515" s="453"/>
      <c r="EK1515" s="453"/>
      <c r="EL1515" s="453"/>
      <c r="EM1515" s="453"/>
      <c r="EN1515" s="453"/>
      <c r="EO1515" s="453"/>
      <c r="EP1515" s="453"/>
      <c r="EQ1515" s="453"/>
      <c r="ER1515" s="453"/>
      <c r="ES1515" s="453"/>
      <c r="ET1515" s="453"/>
      <c r="EU1515" s="453"/>
      <c r="EV1515" s="453"/>
      <c r="EW1515" s="453"/>
      <c r="EX1515" s="453"/>
      <c r="EY1515" s="453"/>
      <c r="EZ1515" s="453"/>
      <c r="FA1515" s="453"/>
      <c r="FB1515" s="453"/>
      <c r="FC1515" s="453"/>
      <c r="FD1515" s="453"/>
      <c r="FE1515" s="453"/>
      <c r="FF1515" s="453"/>
      <c r="FG1515" s="453"/>
      <c r="FH1515" s="453"/>
      <c r="FI1515" s="453"/>
      <c r="FJ1515" s="453"/>
      <c r="FK1515" s="453"/>
      <c r="FL1515" s="453"/>
      <c r="FM1515" s="453"/>
      <c r="FN1515" s="453"/>
      <c r="FO1515" s="453"/>
      <c r="FP1515" s="453"/>
      <c r="FQ1515" s="453"/>
      <c r="FR1515" s="453"/>
      <c r="FS1515" s="453"/>
      <c r="FT1515" s="453"/>
      <c r="FU1515" s="453"/>
      <c r="FV1515" s="453"/>
      <c r="FW1515" s="453"/>
      <c r="FX1515" s="453"/>
      <c r="FY1515" s="453"/>
      <c r="FZ1515" s="453"/>
      <c r="GA1515" s="453"/>
      <c r="GB1515" s="453"/>
      <c r="GC1515" s="370"/>
      <c r="GD1515" s="453"/>
      <c r="GE1515" s="453"/>
      <c r="GF1515" s="453"/>
      <c r="GG1515" s="453"/>
      <c r="GH1515" s="454"/>
      <c r="GI1515" s="453"/>
      <c r="GJ1515" s="453"/>
      <c r="GK1515" s="453"/>
      <c r="GL1515" s="453"/>
      <c r="GM1515" s="453"/>
      <c r="GN1515" s="453"/>
      <c r="GO1515" s="453"/>
      <c r="GP1515" s="453"/>
      <c r="GQ1515" s="453"/>
      <c r="GR1515" s="453"/>
      <c r="GS1515" s="453"/>
      <c r="GT1515" s="453"/>
      <c r="GU1515" s="453"/>
      <c r="GV1515" s="453"/>
      <c r="GW1515" s="453"/>
      <c r="GX1515" s="453"/>
      <c r="GY1515" s="453"/>
      <c r="GZ1515" s="453"/>
      <c r="HA1515" s="453"/>
      <c r="HB1515" s="453"/>
      <c r="HC1515" s="453"/>
      <c r="HD1515" s="453"/>
      <c r="HE1515" s="453"/>
      <c r="HF1515" s="453"/>
      <c r="HG1515" s="453"/>
      <c r="HH1515" s="453"/>
      <c r="HI1515" s="453"/>
      <c r="HJ1515" s="453"/>
      <c r="HK1515" s="453"/>
      <c r="HL1515" s="453"/>
      <c r="HM1515" s="454"/>
      <c r="HN1515" s="464"/>
      <c r="HO1515" s="465"/>
      <c r="HP1515" s="453"/>
      <c r="HQ1515" s="464"/>
      <c r="HR1515" s="465"/>
      <c r="HS1515" s="453"/>
      <c r="HT1515" s="464"/>
      <c r="HU1515" s="465"/>
      <c r="HV1515" s="453"/>
      <c r="HW1515" s="464"/>
    </row>
    <row r="1516" spans="25:231" ht="15" customHeight="1">
      <c r="Y1516" s="332"/>
      <c r="Z1516" s="332"/>
      <c r="AA1516" s="332"/>
      <c r="AB1516" s="332"/>
      <c r="AC1516" s="332"/>
      <c r="AD1516" s="332"/>
      <c r="AE1516" s="332"/>
      <c r="AF1516" s="332"/>
      <c r="AG1516" s="332"/>
      <c r="AH1516" s="332"/>
      <c r="AI1516" s="332"/>
      <c r="AJ1516" s="332"/>
      <c r="AK1516" s="332"/>
      <c r="AL1516" s="332"/>
      <c r="AM1516" s="332"/>
      <c r="AN1516" s="332"/>
      <c r="AO1516" s="332"/>
      <c r="AP1516" s="332"/>
      <c r="AQ1516" s="332"/>
      <c r="AR1516" s="332"/>
      <c r="AS1516" s="332"/>
      <c r="AT1516" s="332"/>
      <c r="AU1516" s="332"/>
      <c r="AV1516" s="332"/>
      <c r="AW1516" s="332"/>
      <c r="AX1516" s="332"/>
      <c r="AY1516" s="332"/>
      <c r="AZ1516" s="332"/>
      <c r="BA1516" s="332"/>
      <c r="BB1516" s="332"/>
      <c r="BC1516" s="332"/>
      <c r="BD1516" s="332"/>
      <c r="BE1516" s="332"/>
      <c r="BF1516" s="332"/>
      <c r="BG1516" s="332"/>
      <c r="BH1516" s="332"/>
      <c r="BI1516" s="332"/>
      <c r="BJ1516" s="332"/>
      <c r="BK1516" s="332"/>
      <c r="BL1516" s="332"/>
      <c r="BM1516" s="332"/>
      <c r="BN1516" s="332"/>
      <c r="BO1516" s="332"/>
      <c r="BP1516" s="332"/>
      <c r="BQ1516" s="332"/>
      <c r="BR1516" s="332"/>
      <c r="BS1516" s="332"/>
      <c r="BT1516" s="332"/>
      <c r="BU1516" s="332"/>
      <c r="BV1516" s="332"/>
      <c r="BW1516" s="332"/>
      <c r="BX1516" s="332"/>
      <c r="BY1516" s="332"/>
      <c r="BZ1516" s="332"/>
      <c r="CA1516" s="332"/>
      <c r="CB1516" s="332"/>
      <c r="CC1516" s="332"/>
      <c r="CD1516" s="332"/>
      <c r="CE1516" s="332"/>
      <c r="CF1516" s="332"/>
      <c r="CG1516" s="332"/>
      <c r="CH1516" s="332"/>
      <c r="CI1516" s="332"/>
      <c r="CJ1516" s="332"/>
      <c r="CK1516" s="332"/>
      <c r="CL1516" s="332"/>
      <c r="CM1516" s="332"/>
      <c r="CN1516" s="332"/>
      <c r="CO1516" s="332"/>
      <c r="CP1516" s="332"/>
      <c r="CQ1516" s="332"/>
      <c r="CR1516" s="332"/>
      <c r="CS1516" s="332"/>
      <c r="CT1516" s="332"/>
      <c r="CU1516" s="332"/>
      <c r="CV1516" s="332"/>
      <c r="CW1516" s="332"/>
      <c r="CX1516" s="332"/>
      <c r="CY1516" s="332"/>
      <c r="CZ1516" s="332"/>
      <c r="DA1516" s="332"/>
      <c r="DB1516" s="332"/>
      <c r="DC1516" s="332"/>
      <c r="DD1516" s="332"/>
      <c r="DE1516" s="332"/>
      <c r="DF1516" s="332"/>
      <c r="DG1516" s="332"/>
      <c r="DH1516" s="332"/>
      <c r="DI1516" s="332"/>
      <c r="DJ1516" s="332"/>
      <c r="DK1516" s="332"/>
      <c r="DL1516" s="332"/>
      <c r="DM1516" s="332"/>
      <c r="DN1516" s="332"/>
      <c r="DO1516" s="332"/>
      <c r="DP1516" s="332"/>
      <c r="DQ1516" s="332"/>
      <c r="DR1516" s="332"/>
      <c r="DS1516" s="332"/>
      <c r="DT1516" s="332"/>
      <c r="DU1516" s="453"/>
      <c r="DV1516" s="453"/>
      <c r="DW1516" s="453"/>
      <c r="DX1516" s="453"/>
      <c r="DY1516" s="453"/>
      <c r="DZ1516" s="453"/>
      <c r="EA1516" s="453"/>
      <c r="EB1516" s="453"/>
      <c r="EC1516" s="453"/>
      <c r="ED1516" s="453"/>
      <c r="EE1516" s="453"/>
      <c r="EF1516" s="453"/>
      <c r="EG1516" s="453"/>
      <c r="EH1516" s="453"/>
      <c r="EI1516" s="453"/>
      <c r="EJ1516" s="453"/>
      <c r="EK1516" s="453"/>
      <c r="EL1516" s="453"/>
      <c r="EM1516" s="453"/>
      <c r="EN1516" s="453"/>
      <c r="EO1516" s="453"/>
      <c r="EP1516" s="453"/>
      <c r="EQ1516" s="453"/>
      <c r="ER1516" s="453"/>
      <c r="ES1516" s="453"/>
      <c r="ET1516" s="453"/>
      <c r="EU1516" s="453"/>
      <c r="EV1516" s="453"/>
      <c r="EW1516" s="453"/>
      <c r="EX1516" s="453"/>
      <c r="EY1516" s="453"/>
      <c r="EZ1516" s="453"/>
      <c r="FA1516" s="453"/>
      <c r="FB1516" s="453"/>
      <c r="FC1516" s="453"/>
      <c r="FD1516" s="453"/>
      <c r="FE1516" s="453"/>
      <c r="FF1516" s="453"/>
      <c r="FG1516" s="453"/>
      <c r="FH1516" s="453"/>
      <c r="FI1516" s="453"/>
      <c r="FJ1516" s="453"/>
      <c r="FK1516" s="453"/>
      <c r="FL1516" s="453"/>
      <c r="FM1516" s="453"/>
      <c r="FN1516" s="453"/>
      <c r="FO1516" s="453"/>
      <c r="FP1516" s="453"/>
      <c r="FQ1516" s="453"/>
      <c r="FR1516" s="453"/>
      <c r="FS1516" s="453"/>
      <c r="FT1516" s="453"/>
      <c r="FU1516" s="453"/>
      <c r="FV1516" s="453"/>
      <c r="FW1516" s="453"/>
      <c r="FX1516" s="453"/>
      <c r="FY1516" s="453"/>
      <c r="FZ1516" s="453"/>
      <c r="GA1516" s="453"/>
      <c r="GB1516" s="453"/>
      <c r="GC1516" s="370"/>
      <c r="GD1516" s="453"/>
      <c r="GE1516" s="453"/>
      <c r="GF1516" s="453"/>
      <c r="GG1516" s="453"/>
      <c r="GH1516" s="454"/>
      <c r="GI1516" s="453"/>
      <c r="GJ1516" s="453"/>
      <c r="GK1516" s="453"/>
      <c r="GL1516" s="453"/>
      <c r="GM1516" s="453"/>
      <c r="GN1516" s="453"/>
      <c r="GO1516" s="453"/>
      <c r="GP1516" s="453"/>
      <c r="GQ1516" s="453"/>
      <c r="GR1516" s="453"/>
      <c r="GS1516" s="453"/>
      <c r="GT1516" s="453"/>
      <c r="GU1516" s="453"/>
      <c r="GV1516" s="453"/>
      <c r="GW1516" s="453"/>
      <c r="GX1516" s="453"/>
      <c r="GY1516" s="453"/>
      <c r="GZ1516" s="453"/>
      <c r="HA1516" s="453"/>
      <c r="HB1516" s="453"/>
      <c r="HC1516" s="453"/>
      <c r="HD1516" s="453"/>
      <c r="HE1516" s="453"/>
      <c r="HF1516" s="453"/>
      <c r="HG1516" s="453"/>
      <c r="HH1516" s="453"/>
      <c r="HI1516" s="453"/>
      <c r="HJ1516" s="453"/>
      <c r="HK1516" s="453"/>
      <c r="HL1516" s="453"/>
      <c r="HM1516" s="454"/>
      <c r="HN1516" s="464"/>
      <c r="HO1516" s="465"/>
      <c r="HP1516" s="453"/>
      <c r="HQ1516" s="464"/>
      <c r="HR1516" s="465"/>
      <c r="HS1516" s="453"/>
      <c r="HT1516" s="464"/>
      <c r="HU1516" s="465"/>
      <c r="HV1516" s="453"/>
      <c r="HW1516" s="464"/>
    </row>
    <row r="1517" spans="25:231" ht="15" customHeight="1">
      <c r="Y1517" s="332"/>
      <c r="Z1517" s="332"/>
      <c r="AA1517" s="332"/>
      <c r="AB1517" s="332"/>
      <c r="AC1517" s="332"/>
      <c r="AD1517" s="332"/>
      <c r="AE1517" s="332"/>
      <c r="AF1517" s="332"/>
      <c r="AG1517" s="332"/>
      <c r="AH1517" s="332"/>
      <c r="AI1517" s="332"/>
      <c r="AJ1517" s="332"/>
      <c r="AK1517" s="332"/>
      <c r="AL1517" s="332"/>
      <c r="AM1517" s="332"/>
      <c r="AN1517" s="332"/>
      <c r="AO1517" s="332"/>
      <c r="AP1517" s="332"/>
      <c r="AQ1517" s="332"/>
      <c r="AR1517" s="332"/>
      <c r="AS1517" s="332"/>
      <c r="AT1517" s="332"/>
      <c r="AU1517" s="332"/>
      <c r="AV1517" s="332"/>
      <c r="AW1517" s="332"/>
      <c r="AX1517" s="332"/>
      <c r="AY1517" s="332"/>
      <c r="AZ1517" s="332"/>
      <c r="BA1517" s="332"/>
      <c r="BB1517" s="332"/>
      <c r="BC1517" s="332"/>
      <c r="BD1517" s="332"/>
      <c r="BE1517" s="332"/>
      <c r="BF1517" s="332"/>
      <c r="BG1517" s="332"/>
      <c r="BH1517" s="332"/>
      <c r="BI1517" s="332"/>
      <c r="BJ1517" s="332"/>
      <c r="BK1517" s="332"/>
      <c r="BL1517" s="332"/>
      <c r="BM1517" s="332"/>
      <c r="BN1517" s="332"/>
      <c r="BO1517" s="332"/>
      <c r="BP1517" s="332"/>
      <c r="BQ1517" s="332"/>
      <c r="BR1517" s="332"/>
      <c r="BS1517" s="332"/>
      <c r="BT1517" s="332"/>
      <c r="BU1517" s="332"/>
      <c r="BV1517" s="332"/>
      <c r="BW1517" s="332"/>
      <c r="BX1517" s="332"/>
      <c r="BY1517" s="332"/>
      <c r="BZ1517" s="332"/>
      <c r="CA1517" s="332"/>
      <c r="CB1517" s="332"/>
      <c r="CC1517" s="332"/>
      <c r="CD1517" s="332"/>
      <c r="CE1517" s="332"/>
      <c r="CF1517" s="332"/>
      <c r="CG1517" s="332"/>
      <c r="CH1517" s="332"/>
      <c r="CI1517" s="332"/>
      <c r="CJ1517" s="332"/>
      <c r="CK1517" s="332"/>
      <c r="CL1517" s="332"/>
      <c r="CM1517" s="332"/>
      <c r="CN1517" s="332"/>
      <c r="CO1517" s="332"/>
      <c r="CP1517" s="332"/>
      <c r="CQ1517" s="332"/>
      <c r="CR1517" s="332"/>
      <c r="CS1517" s="332"/>
      <c r="CT1517" s="332"/>
      <c r="CU1517" s="332"/>
      <c r="CV1517" s="332"/>
      <c r="CW1517" s="332"/>
      <c r="CX1517" s="332"/>
      <c r="CY1517" s="332"/>
      <c r="CZ1517" s="332"/>
      <c r="DA1517" s="332"/>
      <c r="DB1517" s="332"/>
      <c r="DC1517" s="332"/>
      <c r="DD1517" s="332"/>
      <c r="DE1517" s="332"/>
      <c r="DF1517" s="332"/>
      <c r="DG1517" s="332"/>
      <c r="DH1517" s="332"/>
      <c r="DI1517" s="332"/>
      <c r="DJ1517" s="332"/>
      <c r="DK1517" s="332"/>
      <c r="DL1517" s="332"/>
      <c r="DM1517" s="332"/>
      <c r="DN1517" s="332"/>
      <c r="DO1517" s="332"/>
      <c r="DP1517" s="332"/>
      <c r="DQ1517" s="332"/>
      <c r="DR1517" s="332"/>
      <c r="DS1517" s="332"/>
      <c r="DT1517" s="332"/>
      <c r="DU1517" s="453"/>
      <c r="DV1517" s="453"/>
      <c r="DW1517" s="453"/>
      <c r="DX1517" s="453"/>
      <c r="DY1517" s="453"/>
      <c r="DZ1517" s="453"/>
      <c r="EA1517" s="453"/>
      <c r="EB1517" s="453"/>
      <c r="EC1517" s="453"/>
      <c r="ED1517" s="453"/>
      <c r="EE1517" s="453"/>
      <c r="EF1517" s="453"/>
      <c r="EG1517" s="453"/>
      <c r="EH1517" s="453"/>
      <c r="EI1517" s="453"/>
      <c r="EJ1517" s="453"/>
      <c r="EK1517" s="453"/>
      <c r="EL1517" s="453"/>
      <c r="EM1517" s="453"/>
      <c r="EN1517" s="453"/>
      <c r="EO1517" s="453"/>
      <c r="EP1517" s="453"/>
      <c r="EQ1517" s="453"/>
      <c r="ER1517" s="453"/>
      <c r="ES1517" s="453"/>
      <c r="ET1517" s="453"/>
      <c r="EU1517" s="453"/>
      <c r="EV1517" s="453"/>
      <c r="EW1517" s="453"/>
      <c r="EX1517" s="453"/>
      <c r="EY1517" s="453"/>
      <c r="EZ1517" s="453"/>
      <c r="FA1517" s="453"/>
      <c r="FB1517" s="453"/>
      <c r="FC1517" s="453"/>
      <c r="FD1517" s="453"/>
      <c r="FE1517" s="453"/>
      <c r="FF1517" s="453"/>
      <c r="FG1517" s="453"/>
      <c r="FH1517" s="453"/>
      <c r="FI1517" s="453"/>
      <c r="FJ1517" s="453"/>
      <c r="FK1517" s="453"/>
      <c r="FL1517" s="453"/>
      <c r="FM1517" s="453"/>
      <c r="FN1517" s="453"/>
      <c r="FO1517" s="453"/>
      <c r="FP1517" s="453"/>
      <c r="FQ1517" s="453"/>
      <c r="FR1517" s="453"/>
      <c r="FS1517" s="453"/>
      <c r="FT1517" s="453"/>
      <c r="FU1517" s="453"/>
      <c r="FV1517" s="453"/>
      <c r="FW1517" s="453"/>
      <c r="FX1517" s="453"/>
      <c r="FY1517" s="453"/>
      <c r="FZ1517" s="453"/>
      <c r="GA1517" s="453"/>
      <c r="GB1517" s="453"/>
      <c r="GC1517" s="370"/>
      <c r="GD1517" s="453"/>
      <c r="GE1517" s="453"/>
      <c r="GF1517" s="453"/>
      <c r="GG1517" s="453"/>
      <c r="GH1517" s="454"/>
      <c r="GI1517" s="453"/>
      <c r="GJ1517" s="453"/>
      <c r="GK1517" s="453"/>
      <c r="GL1517" s="453"/>
      <c r="GM1517" s="453"/>
      <c r="GN1517" s="453"/>
      <c r="GO1517" s="453"/>
      <c r="GP1517" s="453"/>
      <c r="GQ1517" s="453"/>
      <c r="GR1517" s="453"/>
      <c r="GS1517" s="453"/>
      <c r="GT1517" s="453"/>
      <c r="GU1517" s="453"/>
      <c r="GV1517" s="453"/>
      <c r="GW1517" s="453"/>
      <c r="GX1517" s="453"/>
      <c r="GY1517" s="453"/>
      <c r="GZ1517" s="453"/>
      <c r="HA1517" s="453"/>
      <c r="HB1517" s="453"/>
      <c r="HC1517" s="453"/>
      <c r="HD1517" s="453"/>
      <c r="HE1517" s="453"/>
      <c r="HF1517" s="453"/>
      <c r="HG1517" s="453"/>
      <c r="HH1517" s="453"/>
      <c r="HI1517" s="453"/>
      <c r="HJ1517" s="453"/>
      <c r="HK1517" s="453"/>
      <c r="HL1517" s="453"/>
      <c r="HM1517" s="454"/>
      <c r="HN1517" s="464"/>
      <c r="HO1517" s="465"/>
      <c r="HP1517" s="453"/>
      <c r="HQ1517" s="464"/>
      <c r="HR1517" s="465"/>
      <c r="HS1517" s="453"/>
      <c r="HT1517" s="464"/>
      <c r="HU1517" s="465"/>
      <c r="HV1517" s="453"/>
      <c r="HW1517" s="464"/>
    </row>
    <row r="1518" spans="25:231" ht="15" customHeight="1">
      <c r="Y1518" s="332"/>
      <c r="Z1518" s="332"/>
      <c r="AA1518" s="332"/>
      <c r="AB1518" s="332"/>
      <c r="AC1518" s="332"/>
      <c r="AD1518" s="332"/>
      <c r="AE1518" s="332"/>
      <c r="AF1518" s="332"/>
      <c r="AG1518" s="332"/>
      <c r="AH1518" s="332"/>
      <c r="AI1518" s="332"/>
      <c r="AJ1518" s="332"/>
      <c r="AK1518" s="332"/>
      <c r="AL1518" s="332"/>
      <c r="AM1518" s="332"/>
      <c r="AN1518" s="332"/>
      <c r="AO1518" s="332"/>
      <c r="AP1518" s="332"/>
      <c r="AQ1518" s="332"/>
      <c r="AR1518" s="332"/>
      <c r="AS1518" s="332"/>
      <c r="AT1518" s="332"/>
      <c r="AU1518" s="332"/>
      <c r="AV1518" s="332"/>
      <c r="AW1518" s="332"/>
      <c r="AX1518" s="332"/>
      <c r="AY1518" s="332"/>
      <c r="AZ1518" s="332"/>
      <c r="BA1518" s="332"/>
      <c r="BB1518" s="332"/>
      <c r="BC1518" s="332"/>
      <c r="BD1518" s="332"/>
      <c r="BE1518" s="332"/>
      <c r="BF1518" s="332"/>
      <c r="BG1518" s="332"/>
      <c r="BH1518" s="332"/>
      <c r="BI1518" s="332"/>
      <c r="BJ1518" s="332"/>
      <c r="BK1518" s="332"/>
      <c r="BL1518" s="332"/>
      <c r="BM1518" s="332"/>
      <c r="BN1518" s="332"/>
      <c r="BO1518" s="332"/>
      <c r="BP1518" s="332"/>
      <c r="BQ1518" s="332"/>
      <c r="BR1518" s="332"/>
      <c r="BS1518" s="332"/>
      <c r="BT1518" s="332"/>
      <c r="BU1518" s="332"/>
      <c r="BV1518" s="332"/>
      <c r="BW1518" s="332"/>
      <c r="BX1518" s="332"/>
      <c r="BY1518" s="332"/>
      <c r="BZ1518" s="332"/>
      <c r="CA1518" s="332"/>
      <c r="CB1518" s="332"/>
      <c r="CC1518" s="332"/>
      <c r="CD1518" s="332"/>
      <c r="CE1518" s="332"/>
      <c r="CF1518" s="332"/>
      <c r="CG1518" s="332"/>
      <c r="CH1518" s="332"/>
      <c r="CI1518" s="332"/>
      <c r="CJ1518" s="332"/>
      <c r="CK1518" s="332"/>
      <c r="CL1518" s="332"/>
      <c r="CM1518" s="332"/>
      <c r="CN1518" s="332"/>
      <c r="CO1518" s="332"/>
      <c r="CP1518" s="332"/>
      <c r="CQ1518" s="332"/>
      <c r="CR1518" s="332"/>
      <c r="CS1518" s="332"/>
      <c r="CT1518" s="332"/>
      <c r="CU1518" s="332"/>
      <c r="CV1518" s="332"/>
      <c r="CW1518" s="332"/>
      <c r="CX1518" s="332"/>
      <c r="CY1518" s="332"/>
      <c r="CZ1518" s="332"/>
      <c r="DA1518" s="332"/>
      <c r="DB1518" s="332"/>
      <c r="DC1518" s="332"/>
      <c r="DD1518" s="332"/>
      <c r="DE1518" s="332"/>
      <c r="DF1518" s="332"/>
      <c r="DG1518" s="332"/>
      <c r="DH1518" s="332"/>
      <c r="DI1518" s="332"/>
      <c r="DJ1518" s="332"/>
      <c r="DK1518" s="332"/>
      <c r="DL1518" s="332"/>
      <c r="DM1518" s="332"/>
      <c r="DN1518" s="332"/>
      <c r="DO1518" s="332"/>
      <c r="DP1518" s="332"/>
      <c r="DQ1518" s="332"/>
      <c r="DR1518" s="332"/>
      <c r="DS1518" s="332"/>
      <c r="DT1518" s="332"/>
      <c r="DU1518" s="453"/>
      <c r="DV1518" s="453"/>
      <c r="DW1518" s="453"/>
      <c r="DX1518" s="453"/>
      <c r="DY1518" s="453"/>
      <c r="DZ1518" s="453"/>
      <c r="EA1518" s="453"/>
      <c r="EB1518" s="453"/>
      <c r="EC1518" s="453"/>
      <c r="ED1518" s="453"/>
      <c r="EE1518" s="453"/>
      <c r="EF1518" s="453"/>
      <c r="EG1518" s="453"/>
      <c r="EH1518" s="453"/>
      <c r="EI1518" s="453"/>
      <c r="EJ1518" s="453"/>
      <c r="EK1518" s="453"/>
      <c r="EL1518" s="453"/>
      <c r="EM1518" s="453"/>
      <c r="EN1518" s="453"/>
      <c r="EO1518" s="453"/>
      <c r="EP1518" s="453"/>
      <c r="EQ1518" s="453"/>
      <c r="ER1518" s="453"/>
      <c r="ES1518" s="453"/>
      <c r="ET1518" s="453"/>
      <c r="EU1518" s="453"/>
      <c r="EV1518" s="453"/>
      <c r="EW1518" s="453"/>
      <c r="EX1518" s="453"/>
      <c r="EY1518" s="453"/>
      <c r="EZ1518" s="453"/>
      <c r="FA1518" s="453"/>
      <c r="FB1518" s="453"/>
      <c r="FC1518" s="453"/>
      <c r="FD1518" s="453"/>
      <c r="FE1518" s="453"/>
      <c r="FF1518" s="453"/>
      <c r="FG1518" s="453"/>
      <c r="FH1518" s="453"/>
      <c r="FI1518" s="453"/>
      <c r="FJ1518" s="453"/>
      <c r="FK1518" s="453"/>
      <c r="FL1518" s="453"/>
      <c r="FM1518" s="453"/>
      <c r="FN1518" s="453"/>
      <c r="FO1518" s="453"/>
      <c r="FP1518" s="453"/>
      <c r="FQ1518" s="453"/>
      <c r="FR1518" s="453"/>
      <c r="FS1518" s="453"/>
      <c r="FT1518" s="453"/>
      <c r="FU1518" s="453"/>
      <c r="FV1518" s="453"/>
      <c r="FW1518" s="453"/>
      <c r="FX1518" s="453"/>
      <c r="FY1518" s="453"/>
      <c r="FZ1518" s="453"/>
      <c r="GA1518" s="453"/>
      <c r="GB1518" s="453"/>
      <c r="GC1518" s="370"/>
      <c r="GD1518" s="453"/>
      <c r="GE1518" s="453"/>
      <c r="GF1518" s="453"/>
      <c r="GG1518" s="453"/>
      <c r="GH1518" s="454"/>
      <c r="GI1518" s="453"/>
      <c r="GJ1518" s="453"/>
      <c r="GK1518" s="453"/>
      <c r="GL1518" s="453"/>
      <c r="GM1518" s="453"/>
      <c r="GN1518" s="453"/>
      <c r="GO1518" s="453"/>
      <c r="GP1518" s="453"/>
      <c r="GQ1518" s="453"/>
      <c r="GR1518" s="453"/>
      <c r="GS1518" s="453"/>
      <c r="GT1518" s="453"/>
      <c r="GU1518" s="453"/>
      <c r="GV1518" s="453"/>
      <c r="GW1518" s="453"/>
      <c r="GX1518" s="453"/>
      <c r="GY1518" s="453"/>
      <c r="GZ1518" s="453"/>
      <c r="HA1518" s="453"/>
      <c r="HB1518" s="453"/>
      <c r="HC1518" s="453"/>
      <c r="HD1518" s="453"/>
      <c r="HE1518" s="453"/>
      <c r="HF1518" s="453"/>
      <c r="HG1518" s="453"/>
      <c r="HH1518" s="453"/>
      <c r="HI1518" s="453"/>
      <c r="HJ1518" s="453"/>
      <c r="HK1518" s="453"/>
      <c r="HL1518" s="453"/>
      <c r="HM1518" s="454"/>
      <c r="HN1518" s="464"/>
      <c r="HO1518" s="465"/>
      <c r="HP1518" s="453"/>
      <c r="HQ1518" s="464"/>
      <c r="HR1518" s="465"/>
      <c r="HS1518" s="453"/>
      <c r="HT1518" s="464"/>
      <c r="HU1518" s="465"/>
      <c r="HV1518" s="453"/>
      <c r="HW1518" s="464"/>
    </row>
    <row r="1519" spans="25:231" ht="15" customHeight="1">
      <c r="Y1519" s="332"/>
      <c r="Z1519" s="332"/>
      <c r="AA1519" s="332"/>
      <c r="AB1519" s="332"/>
      <c r="AC1519" s="332"/>
      <c r="AD1519" s="332"/>
      <c r="AE1519" s="332"/>
      <c r="AF1519" s="332"/>
      <c r="AG1519" s="332"/>
      <c r="AH1519" s="332"/>
      <c r="AI1519" s="332"/>
      <c r="AJ1519" s="332"/>
      <c r="AK1519" s="332"/>
      <c r="AL1519" s="332"/>
      <c r="AM1519" s="332"/>
      <c r="AN1519" s="332"/>
      <c r="AO1519" s="332"/>
      <c r="AP1519" s="332"/>
      <c r="AQ1519" s="332"/>
      <c r="AR1519" s="332"/>
      <c r="AS1519" s="332"/>
      <c r="AT1519" s="332"/>
      <c r="AU1519" s="332"/>
      <c r="AV1519" s="332"/>
      <c r="AW1519" s="332"/>
      <c r="AX1519" s="332"/>
      <c r="AY1519" s="332"/>
      <c r="AZ1519" s="332"/>
      <c r="BA1519" s="332"/>
      <c r="BB1519" s="332"/>
      <c r="BC1519" s="332"/>
      <c r="BD1519" s="332"/>
      <c r="BE1519" s="332"/>
      <c r="BF1519" s="332"/>
      <c r="BG1519" s="332"/>
      <c r="BH1519" s="332"/>
      <c r="BI1519" s="332"/>
      <c r="BJ1519" s="332"/>
      <c r="BK1519" s="332"/>
      <c r="BL1519" s="332"/>
      <c r="BM1519" s="332"/>
      <c r="BN1519" s="332"/>
      <c r="BO1519" s="332"/>
      <c r="BP1519" s="332"/>
      <c r="BQ1519" s="332"/>
      <c r="BR1519" s="332"/>
      <c r="BS1519" s="332"/>
      <c r="BT1519" s="332"/>
      <c r="BU1519" s="332"/>
      <c r="BV1519" s="332"/>
      <c r="BW1519" s="332"/>
      <c r="BX1519" s="332"/>
      <c r="BY1519" s="332"/>
      <c r="BZ1519" s="332"/>
      <c r="CA1519" s="332"/>
      <c r="CB1519" s="332"/>
      <c r="CC1519" s="332"/>
      <c r="CD1519" s="332"/>
      <c r="CE1519" s="332"/>
      <c r="CF1519" s="332"/>
      <c r="CG1519" s="332"/>
      <c r="CH1519" s="332"/>
      <c r="CI1519" s="332"/>
      <c r="CJ1519" s="332"/>
      <c r="CK1519" s="332"/>
      <c r="CL1519" s="332"/>
      <c r="CM1519" s="332"/>
      <c r="CN1519" s="332"/>
      <c r="CO1519" s="332"/>
      <c r="CP1519" s="332"/>
      <c r="CQ1519" s="332"/>
      <c r="CR1519" s="332"/>
      <c r="CS1519" s="332"/>
      <c r="CT1519" s="332"/>
      <c r="CU1519" s="332"/>
      <c r="CV1519" s="332"/>
      <c r="CW1519" s="332"/>
      <c r="CX1519" s="332"/>
      <c r="CY1519" s="332"/>
      <c r="CZ1519" s="332"/>
      <c r="DA1519" s="332"/>
      <c r="DB1519" s="332"/>
      <c r="DC1519" s="332"/>
      <c r="DD1519" s="332"/>
      <c r="DE1519" s="332"/>
      <c r="DF1519" s="332"/>
      <c r="DG1519" s="332"/>
      <c r="DH1519" s="332"/>
      <c r="DI1519" s="332"/>
      <c r="DJ1519" s="332"/>
      <c r="DK1519" s="332"/>
      <c r="DL1519" s="332"/>
      <c r="DM1519" s="332"/>
      <c r="DN1519" s="332"/>
      <c r="DO1519" s="332"/>
      <c r="DP1519" s="332"/>
      <c r="DQ1519" s="332"/>
      <c r="DR1519" s="332"/>
      <c r="DS1519" s="332"/>
      <c r="DT1519" s="332"/>
      <c r="DU1519" s="453"/>
      <c r="DV1519" s="453"/>
      <c r="DW1519" s="453"/>
      <c r="DX1519" s="453"/>
      <c r="DY1519" s="453"/>
      <c r="DZ1519" s="453"/>
      <c r="EA1519" s="453"/>
      <c r="EB1519" s="453"/>
      <c r="EC1519" s="453"/>
      <c r="ED1519" s="453"/>
      <c r="EE1519" s="453"/>
      <c r="EF1519" s="453"/>
      <c r="EG1519" s="453"/>
      <c r="EH1519" s="453"/>
      <c r="EI1519" s="453"/>
      <c r="EJ1519" s="453"/>
      <c r="EK1519" s="453"/>
      <c r="EL1519" s="453"/>
      <c r="EM1519" s="453"/>
      <c r="EN1519" s="453"/>
      <c r="EO1519" s="453"/>
      <c r="EP1519" s="453"/>
      <c r="EQ1519" s="453"/>
      <c r="ER1519" s="453"/>
      <c r="ES1519" s="453"/>
      <c r="ET1519" s="453"/>
      <c r="EU1519" s="453"/>
      <c r="EV1519" s="453"/>
      <c r="EW1519" s="453"/>
      <c r="EX1519" s="453"/>
      <c r="EY1519" s="453"/>
      <c r="EZ1519" s="453"/>
      <c r="FA1519" s="453"/>
      <c r="FB1519" s="453"/>
      <c r="FC1519" s="453"/>
      <c r="FD1519" s="453"/>
      <c r="FE1519" s="453"/>
      <c r="FF1519" s="453"/>
      <c r="FG1519" s="453"/>
      <c r="FH1519" s="453"/>
      <c r="FI1519" s="453"/>
      <c r="FJ1519" s="453"/>
      <c r="FK1519" s="453"/>
      <c r="FL1519" s="453"/>
      <c r="FM1519" s="453"/>
      <c r="FN1519" s="453"/>
      <c r="FO1519" s="453"/>
      <c r="FP1519" s="453"/>
      <c r="FQ1519" s="453"/>
      <c r="FR1519" s="453"/>
      <c r="FS1519" s="453"/>
      <c r="FT1519" s="453"/>
      <c r="FU1519" s="453"/>
      <c r="FV1519" s="453"/>
      <c r="FW1519" s="453"/>
      <c r="FX1519" s="453"/>
      <c r="FY1519" s="453"/>
      <c r="FZ1519" s="453"/>
      <c r="GA1519" s="453"/>
      <c r="GB1519" s="453"/>
      <c r="GC1519" s="370"/>
      <c r="GD1519" s="453"/>
      <c r="GE1519" s="453"/>
      <c r="GF1519" s="453"/>
      <c r="GG1519" s="453"/>
      <c r="GH1519" s="454"/>
      <c r="GI1519" s="453"/>
      <c r="GJ1519" s="453"/>
      <c r="GK1519" s="453"/>
      <c r="GL1519" s="453"/>
      <c r="GM1519" s="453"/>
      <c r="GN1519" s="453"/>
      <c r="GO1519" s="453"/>
      <c r="GP1519" s="453"/>
      <c r="GQ1519" s="453"/>
      <c r="GR1519" s="453"/>
      <c r="GS1519" s="453"/>
      <c r="GT1519" s="453"/>
      <c r="GU1519" s="453"/>
      <c r="GV1519" s="453"/>
      <c r="GW1519" s="453"/>
      <c r="GX1519" s="453"/>
      <c r="GY1519" s="453"/>
      <c r="GZ1519" s="453"/>
      <c r="HA1519" s="453"/>
      <c r="HB1519" s="453"/>
      <c r="HC1519" s="453"/>
      <c r="HD1519" s="453"/>
      <c r="HE1519" s="453"/>
      <c r="HF1519" s="453"/>
      <c r="HG1519" s="453"/>
      <c r="HH1519" s="453"/>
      <c r="HI1519" s="453"/>
      <c r="HJ1519" s="453"/>
      <c r="HK1519" s="453"/>
      <c r="HL1519" s="453"/>
      <c r="HM1519" s="454"/>
      <c r="HN1519" s="464"/>
      <c r="HO1519" s="465"/>
      <c r="HP1519" s="453"/>
      <c r="HQ1519" s="464"/>
      <c r="HR1519" s="465"/>
      <c r="HS1519" s="453"/>
      <c r="HT1519" s="464"/>
      <c r="HU1519" s="465"/>
      <c r="HV1519" s="453"/>
      <c r="HW1519" s="464"/>
    </row>
    <row r="1520" spans="25:231" ht="15" customHeight="1">
      <c r="Y1520" s="332"/>
      <c r="Z1520" s="332"/>
      <c r="AA1520" s="332"/>
      <c r="AB1520" s="332"/>
      <c r="AC1520" s="332"/>
      <c r="AD1520" s="332"/>
      <c r="AE1520" s="332"/>
      <c r="AF1520" s="332"/>
      <c r="AG1520" s="332"/>
      <c r="AH1520" s="332"/>
      <c r="AI1520" s="332"/>
      <c r="AJ1520" s="332"/>
      <c r="AK1520" s="332"/>
      <c r="AL1520" s="332"/>
      <c r="AM1520" s="332"/>
      <c r="AN1520" s="332"/>
      <c r="AO1520" s="332"/>
      <c r="AP1520" s="332"/>
      <c r="AQ1520" s="332"/>
      <c r="AR1520" s="332"/>
      <c r="AS1520" s="332"/>
      <c r="AT1520" s="332"/>
      <c r="AU1520" s="332"/>
      <c r="AV1520" s="332"/>
      <c r="AW1520" s="332"/>
      <c r="AX1520" s="332"/>
      <c r="AY1520" s="332"/>
      <c r="AZ1520" s="332"/>
      <c r="BA1520" s="332"/>
      <c r="BB1520" s="332"/>
      <c r="BC1520" s="332"/>
      <c r="BD1520" s="332"/>
      <c r="BE1520" s="332"/>
      <c r="BF1520" s="332"/>
      <c r="BG1520" s="332"/>
      <c r="BH1520" s="332"/>
      <c r="BI1520" s="332"/>
      <c r="BJ1520" s="332"/>
      <c r="BK1520" s="332"/>
      <c r="BL1520" s="332"/>
      <c r="BM1520" s="332"/>
      <c r="BN1520" s="332"/>
      <c r="BO1520" s="332"/>
      <c r="BP1520" s="332"/>
      <c r="BQ1520" s="332"/>
      <c r="BR1520" s="332"/>
      <c r="BS1520" s="332"/>
      <c r="BT1520" s="332"/>
      <c r="BU1520" s="332"/>
      <c r="BV1520" s="332"/>
      <c r="BW1520" s="332"/>
      <c r="BX1520" s="332"/>
      <c r="BY1520" s="332"/>
      <c r="BZ1520" s="332"/>
      <c r="CA1520" s="332"/>
      <c r="CB1520" s="332"/>
      <c r="CC1520" s="332"/>
      <c r="CD1520" s="332"/>
      <c r="CE1520" s="332"/>
      <c r="CF1520" s="332"/>
      <c r="CG1520" s="332"/>
      <c r="CH1520" s="332"/>
      <c r="CI1520" s="332"/>
      <c r="CJ1520" s="332"/>
      <c r="CK1520" s="332"/>
      <c r="CL1520" s="332"/>
      <c r="CM1520" s="332"/>
      <c r="CN1520" s="332"/>
      <c r="CO1520" s="332"/>
      <c r="CP1520" s="332"/>
      <c r="CQ1520" s="332"/>
      <c r="CR1520" s="332"/>
      <c r="CS1520" s="332"/>
      <c r="CT1520" s="332"/>
      <c r="CU1520" s="332"/>
      <c r="CV1520" s="332"/>
      <c r="CW1520" s="332"/>
      <c r="CX1520" s="332"/>
      <c r="CY1520" s="332"/>
      <c r="CZ1520" s="332"/>
      <c r="DA1520" s="332"/>
      <c r="DB1520" s="332"/>
      <c r="DC1520" s="332"/>
      <c r="DD1520" s="332"/>
      <c r="DE1520" s="332"/>
      <c r="DF1520" s="332"/>
      <c r="DG1520" s="332"/>
      <c r="DH1520" s="332"/>
      <c r="DI1520" s="332"/>
      <c r="DJ1520" s="332"/>
      <c r="DK1520" s="332"/>
      <c r="DL1520" s="332"/>
      <c r="DM1520" s="332"/>
      <c r="DN1520" s="332"/>
      <c r="DO1520" s="332"/>
      <c r="DP1520" s="332"/>
      <c r="DQ1520" s="332"/>
      <c r="DR1520" s="332"/>
      <c r="DS1520" s="332"/>
      <c r="DT1520" s="332"/>
      <c r="DU1520" s="453"/>
      <c r="DV1520" s="453"/>
      <c r="DW1520" s="453"/>
      <c r="DX1520" s="453"/>
      <c r="DY1520" s="453"/>
      <c r="DZ1520" s="453"/>
      <c r="EA1520" s="453"/>
      <c r="EB1520" s="453"/>
      <c r="EC1520" s="453"/>
      <c r="ED1520" s="453"/>
      <c r="EE1520" s="453"/>
      <c r="EF1520" s="453"/>
      <c r="EG1520" s="453"/>
      <c r="EH1520" s="453"/>
      <c r="EI1520" s="453"/>
      <c r="EJ1520" s="453"/>
      <c r="EK1520" s="453"/>
      <c r="EL1520" s="453"/>
      <c r="EM1520" s="453"/>
      <c r="EN1520" s="453"/>
      <c r="EO1520" s="453"/>
      <c r="EP1520" s="453"/>
      <c r="EQ1520" s="453"/>
      <c r="ER1520" s="453"/>
      <c r="ES1520" s="453"/>
      <c r="ET1520" s="453"/>
      <c r="EU1520" s="453"/>
      <c r="EV1520" s="453"/>
      <c r="EW1520" s="453"/>
      <c r="EX1520" s="453"/>
      <c r="EY1520" s="453"/>
      <c r="EZ1520" s="453"/>
      <c r="FA1520" s="453"/>
      <c r="FB1520" s="453"/>
      <c r="FC1520" s="453"/>
      <c r="FD1520" s="453"/>
      <c r="FE1520" s="453"/>
      <c r="FF1520" s="453"/>
      <c r="FG1520" s="453"/>
      <c r="FH1520" s="453"/>
      <c r="FI1520" s="453"/>
      <c r="FJ1520" s="453"/>
      <c r="FK1520" s="453"/>
      <c r="FL1520" s="453"/>
      <c r="FM1520" s="453"/>
      <c r="FN1520" s="453"/>
      <c r="FO1520" s="453"/>
      <c r="FP1520" s="453"/>
      <c r="FQ1520" s="453"/>
      <c r="FR1520" s="453"/>
      <c r="FS1520" s="453"/>
      <c r="FT1520" s="453"/>
      <c r="FU1520" s="453"/>
      <c r="FV1520" s="453"/>
      <c r="FW1520" s="453"/>
      <c r="FX1520" s="453"/>
      <c r="FY1520" s="453"/>
      <c r="FZ1520" s="453"/>
      <c r="GA1520" s="453"/>
      <c r="GB1520" s="453"/>
      <c r="GC1520" s="370"/>
      <c r="GD1520" s="453"/>
      <c r="GE1520" s="453"/>
      <c r="GF1520" s="453"/>
      <c r="GG1520" s="453"/>
      <c r="GH1520" s="454"/>
      <c r="GI1520" s="453"/>
      <c r="GJ1520" s="453"/>
      <c r="GK1520" s="453"/>
      <c r="GL1520" s="453"/>
      <c r="GM1520" s="453"/>
      <c r="GN1520" s="453"/>
      <c r="GO1520" s="453"/>
      <c r="GP1520" s="453"/>
      <c r="GQ1520" s="453"/>
      <c r="GR1520" s="453"/>
      <c r="GS1520" s="453"/>
      <c r="GT1520" s="453"/>
      <c r="GU1520" s="453"/>
      <c r="GV1520" s="453"/>
      <c r="GW1520" s="453"/>
      <c r="GX1520" s="453"/>
      <c r="GY1520" s="453"/>
      <c r="GZ1520" s="453"/>
      <c r="HA1520" s="453"/>
      <c r="HB1520" s="453"/>
      <c r="HC1520" s="453"/>
      <c r="HD1520" s="453"/>
      <c r="HE1520" s="453"/>
      <c r="HF1520" s="453"/>
      <c r="HG1520" s="453"/>
      <c r="HH1520" s="453"/>
      <c r="HI1520" s="453"/>
      <c r="HJ1520" s="453"/>
      <c r="HK1520" s="453"/>
      <c r="HL1520" s="453"/>
      <c r="HM1520" s="454"/>
      <c r="HN1520" s="464"/>
      <c r="HO1520" s="465"/>
      <c r="HP1520" s="453"/>
      <c r="HQ1520" s="464"/>
      <c r="HR1520" s="465"/>
      <c r="HS1520" s="453"/>
      <c r="HT1520" s="464"/>
      <c r="HU1520" s="465"/>
      <c r="HV1520" s="453"/>
      <c r="HW1520" s="464"/>
    </row>
    <row r="1521" spans="25:231" ht="15" customHeight="1">
      <c r="Y1521" s="332"/>
      <c r="Z1521" s="332"/>
      <c r="AA1521" s="332"/>
      <c r="AB1521" s="332"/>
      <c r="AC1521" s="332"/>
      <c r="AD1521" s="332"/>
      <c r="AE1521" s="332"/>
      <c r="AF1521" s="332"/>
      <c r="AG1521" s="332"/>
      <c r="AH1521" s="332"/>
      <c r="AI1521" s="332"/>
      <c r="AJ1521" s="332"/>
      <c r="AK1521" s="332"/>
      <c r="AL1521" s="332"/>
      <c r="AM1521" s="332"/>
      <c r="AN1521" s="332"/>
      <c r="AO1521" s="332"/>
      <c r="AP1521" s="332"/>
      <c r="AQ1521" s="332"/>
      <c r="AR1521" s="332"/>
      <c r="AS1521" s="332"/>
      <c r="AT1521" s="332"/>
      <c r="AU1521" s="332"/>
      <c r="AV1521" s="332"/>
      <c r="AW1521" s="332"/>
      <c r="AX1521" s="332"/>
      <c r="AY1521" s="332"/>
      <c r="AZ1521" s="332"/>
      <c r="BA1521" s="332"/>
      <c r="BB1521" s="332"/>
      <c r="BC1521" s="332"/>
      <c r="BD1521" s="332"/>
      <c r="BE1521" s="332"/>
      <c r="BF1521" s="332"/>
      <c r="BG1521" s="332"/>
      <c r="BH1521" s="332"/>
      <c r="BI1521" s="332"/>
      <c r="BJ1521" s="332"/>
      <c r="BK1521" s="332"/>
      <c r="BL1521" s="332"/>
      <c r="BM1521" s="332"/>
      <c r="BN1521" s="332"/>
      <c r="BO1521" s="332"/>
      <c r="BP1521" s="332"/>
      <c r="BQ1521" s="332"/>
      <c r="BR1521" s="332"/>
      <c r="BS1521" s="332"/>
      <c r="BT1521" s="332"/>
      <c r="BU1521" s="332"/>
      <c r="BV1521" s="332"/>
      <c r="BW1521" s="332"/>
      <c r="BX1521" s="332"/>
      <c r="BY1521" s="332"/>
      <c r="BZ1521" s="332"/>
      <c r="CA1521" s="332"/>
      <c r="CB1521" s="332"/>
      <c r="CC1521" s="332"/>
      <c r="CD1521" s="332"/>
      <c r="CE1521" s="332"/>
      <c r="CF1521" s="332"/>
      <c r="CG1521" s="332"/>
      <c r="CH1521" s="332"/>
      <c r="CI1521" s="332"/>
      <c r="CJ1521" s="332"/>
      <c r="CK1521" s="332"/>
      <c r="CL1521" s="332"/>
      <c r="CM1521" s="332"/>
      <c r="CN1521" s="332"/>
      <c r="CO1521" s="332"/>
      <c r="CP1521" s="332"/>
      <c r="CQ1521" s="332"/>
      <c r="CR1521" s="332"/>
      <c r="CS1521" s="332"/>
      <c r="CT1521" s="332"/>
      <c r="CU1521" s="332"/>
      <c r="CV1521" s="332"/>
      <c r="CW1521" s="332"/>
      <c r="CX1521" s="332"/>
      <c r="CY1521" s="332"/>
      <c r="CZ1521" s="332"/>
      <c r="DA1521" s="332"/>
      <c r="DB1521" s="332"/>
      <c r="DC1521" s="332"/>
      <c r="DD1521" s="332"/>
      <c r="DE1521" s="332"/>
      <c r="DF1521" s="332"/>
      <c r="DG1521" s="332"/>
      <c r="DH1521" s="332"/>
      <c r="DI1521" s="332"/>
      <c r="DJ1521" s="332"/>
      <c r="DK1521" s="332"/>
      <c r="DL1521" s="332"/>
      <c r="DM1521" s="332"/>
      <c r="DN1521" s="332"/>
      <c r="DO1521" s="332"/>
      <c r="DP1521" s="332"/>
      <c r="DQ1521" s="332"/>
      <c r="DR1521" s="332"/>
      <c r="DS1521" s="332"/>
      <c r="DT1521" s="332"/>
      <c r="DU1521" s="453"/>
      <c r="DV1521" s="453"/>
      <c r="DW1521" s="453"/>
      <c r="DX1521" s="453"/>
      <c r="DY1521" s="453"/>
      <c r="DZ1521" s="453"/>
      <c r="EA1521" s="453"/>
      <c r="EB1521" s="453"/>
      <c r="EC1521" s="453"/>
      <c r="ED1521" s="453"/>
      <c r="EE1521" s="453"/>
      <c r="EF1521" s="453"/>
      <c r="EG1521" s="453"/>
      <c r="EH1521" s="453"/>
      <c r="EI1521" s="453"/>
      <c r="EJ1521" s="453"/>
      <c r="EK1521" s="453"/>
      <c r="EL1521" s="453"/>
      <c r="EM1521" s="453"/>
      <c r="EN1521" s="453"/>
      <c r="EO1521" s="453"/>
      <c r="EP1521" s="453"/>
      <c r="EQ1521" s="453"/>
      <c r="ER1521" s="453"/>
      <c r="ES1521" s="453"/>
      <c r="ET1521" s="453"/>
      <c r="EU1521" s="453"/>
      <c r="EV1521" s="453"/>
      <c r="EW1521" s="453"/>
      <c r="EX1521" s="453"/>
      <c r="EY1521" s="453"/>
      <c r="EZ1521" s="453"/>
      <c r="FA1521" s="453"/>
      <c r="FB1521" s="453"/>
      <c r="FC1521" s="453"/>
      <c r="FD1521" s="453"/>
      <c r="FE1521" s="453"/>
      <c r="FF1521" s="453"/>
      <c r="FG1521" s="453"/>
      <c r="FH1521" s="453"/>
      <c r="FI1521" s="453"/>
      <c r="FJ1521" s="453"/>
      <c r="FK1521" s="453"/>
      <c r="FL1521" s="453"/>
      <c r="FM1521" s="453"/>
      <c r="FN1521" s="453"/>
      <c r="FO1521" s="453"/>
      <c r="FP1521" s="453"/>
      <c r="FQ1521" s="453"/>
      <c r="FR1521" s="453"/>
      <c r="FS1521" s="453"/>
      <c r="FT1521" s="453"/>
      <c r="FU1521" s="453"/>
      <c r="FV1521" s="453"/>
      <c r="FW1521" s="453"/>
      <c r="FX1521" s="453"/>
      <c r="FY1521" s="453"/>
      <c r="FZ1521" s="453"/>
      <c r="GA1521" s="453"/>
      <c r="GB1521" s="453"/>
      <c r="GC1521" s="370"/>
      <c r="GD1521" s="453"/>
      <c r="GE1521" s="453"/>
      <c r="GF1521" s="453"/>
      <c r="GG1521" s="453"/>
      <c r="GH1521" s="454"/>
      <c r="GI1521" s="453"/>
      <c r="GJ1521" s="453"/>
      <c r="GK1521" s="453"/>
      <c r="GL1521" s="453"/>
      <c r="GM1521" s="453"/>
      <c r="GN1521" s="453"/>
      <c r="GO1521" s="453"/>
      <c r="GP1521" s="453"/>
      <c r="GQ1521" s="453"/>
      <c r="GR1521" s="453"/>
      <c r="GS1521" s="453"/>
      <c r="GT1521" s="453"/>
      <c r="GU1521" s="453"/>
      <c r="GV1521" s="453"/>
      <c r="GW1521" s="453"/>
      <c r="GX1521" s="453"/>
      <c r="GY1521" s="453"/>
      <c r="GZ1521" s="453"/>
      <c r="HA1521" s="453"/>
      <c r="HB1521" s="453"/>
      <c r="HC1521" s="453"/>
      <c r="HD1521" s="453"/>
      <c r="HE1521" s="453"/>
      <c r="HF1521" s="453"/>
      <c r="HG1521" s="453"/>
      <c r="HH1521" s="453"/>
      <c r="HI1521" s="453"/>
      <c r="HJ1521" s="453"/>
      <c r="HK1521" s="453"/>
      <c r="HL1521" s="453"/>
      <c r="HM1521" s="454"/>
      <c r="HN1521" s="464"/>
      <c r="HO1521" s="465"/>
      <c r="HP1521" s="453"/>
      <c r="HQ1521" s="464"/>
      <c r="HR1521" s="465"/>
      <c r="HS1521" s="453"/>
      <c r="HT1521" s="464"/>
      <c r="HU1521" s="465"/>
      <c r="HV1521" s="453"/>
      <c r="HW1521" s="464"/>
    </row>
    <row r="1522" spans="25:231" ht="15" customHeight="1">
      <c r="Y1522" s="332"/>
      <c r="Z1522" s="332"/>
      <c r="AA1522" s="332"/>
      <c r="AB1522" s="332"/>
      <c r="AC1522" s="332"/>
      <c r="AD1522" s="332"/>
      <c r="AE1522" s="332"/>
      <c r="AF1522" s="332"/>
      <c r="AG1522" s="332"/>
      <c r="AH1522" s="332"/>
      <c r="AI1522" s="332"/>
      <c r="AJ1522" s="332"/>
      <c r="AK1522" s="332"/>
      <c r="AL1522" s="332"/>
      <c r="AM1522" s="332"/>
      <c r="AN1522" s="332"/>
      <c r="AO1522" s="332"/>
      <c r="AP1522" s="332"/>
      <c r="AQ1522" s="332"/>
      <c r="AR1522" s="332"/>
      <c r="AS1522" s="332"/>
      <c r="AT1522" s="332"/>
      <c r="AU1522" s="332"/>
      <c r="AV1522" s="332"/>
      <c r="AW1522" s="332"/>
      <c r="AX1522" s="332"/>
      <c r="AY1522" s="332"/>
      <c r="AZ1522" s="332"/>
      <c r="BA1522" s="332"/>
      <c r="BB1522" s="332"/>
      <c r="BC1522" s="332"/>
      <c r="BD1522" s="332"/>
      <c r="BE1522" s="332"/>
      <c r="BF1522" s="332"/>
      <c r="BG1522" s="332"/>
      <c r="BH1522" s="332"/>
      <c r="BI1522" s="332"/>
      <c r="BJ1522" s="332"/>
      <c r="BK1522" s="332"/>
      <c r="BL1522" s="332"/>
      <c r="BM1522" s="332"/>
      <c r="BN1522" s="332"/>
      <c r="BO1522" s="332"/>
      <c r="BP1522" s="332"/>
      <c r="BQ1522" s="332"/>
      <c r="BR1522" s="332"/>
      <c r="BS1522" s="332"/>
      <c r="BT1522" s="332"/>
      <c r="BU1522" s="332"/>
      <c r="BV1522" s="332"/>
      <c r="BW1522" s="332"/>
      <c r="BX1522" s="332"/>
      <c r="BY1522" s="332"/>
      <c r="BZ1522" s="332"/>
      <c r="CA1522" s="332"/>
      <c r="CB1522" s="332"/>
      <c r="CC1522" s="332"/>
      <c r="CD1522" s="332"/>
      <c r="CE1522" s="332"/>
      <c r="CF1522" s="332"/>
      <c r="CG1522" s="332"/>
      <c r="CH1522" s="332"/>
      <c r="CI1522" s="332"/>
      <c r="CJ1522" s="332"/>
      <c r="CK1522" s="332"/>
      <c r="CL1522" s="332"/>
      <c r="CM1522" s="332"/>
      <c r="CN1522" s="332"/>
      <c r="CO1522" s="332"/>
      <c r="CP1522" s="332"/>
      <c r="CQ1522" s="332"/>
      <c r="CR1522" s="332"/>
      <c r="CS1522" s="332"/>
      <c r="CT1522" s="332"/>
      <c r="CU1522" s="332"/>
      <c r="CV1522" s="332"/>
      <c r="CW1522" s="332"/>
      <c r="CX1522" s="332"/>
      <c r="CY1522" s="332"/>
      <c r="CZ1522" s="332"/>
      <c r="DA1522" s="332"/>
      <c r="DB1522" s="332"/>
      <c r="DC1522" s="332"/>
      <c r="DD1522" s="332"/>
      <c r="DE1522" s="332"/>
      <c r="DF1522" s="332"/>
      <c r="DG1522" s="332"/>
      <c r="DH1522" s="332"/>
      <c r="DI1522" s="332"/>
      <c r="DJ1522" s="332"/>
      <c r="DK1522" s="332"/>
      <c r="DL1522" s="332"/>
      <c r="DM1522" s="332"/>
      <c r="DN1522" s="332"/>
      <c r="DO1522" s="332"/>
      <c r="DP1522" s="332"/>
      <c r="DQ1522" s="332"/>
      <c r="DR1522" s="332"/>
      <c r="DS1522" s="332"/>
      <c r="DT1522" s="332"/>
      <c r="DU1522" s="453"/>
      <c r="DV1522" s="453"/>
      <c r="DW1522" s="453"/>
      <c r="DX1522" s="453"/>
      <c r="DY1522" s="453"/>
      <c r="DZ1522" s="453"/>
      <c r="EA1522" s="453"/>
      <c r="EB1522" s="453"/>
      <c r="EC1522" s="453"/>
      <c r="ED1522" s="453"/>
      <c r="EE1522" s="453"/>
      <c r="EF1522" s="453"/>
      <c r="EG1522" s="453"/>
      <c r="EH1522" s="453"/>
      <c r="EI1522" s="453"/>
      <c r="EJ1522" s="453"/>
      <c r="EK1522" s="453"/>
      <c r="EL1522" s="453"/>
      <c r="EM1522" s="453"/>
      <c r="EN1522" s="453"/>
      <c r="EO1522" s="453"/>
      <c r="EP1522" s="453"/>
      <c r="EQ1522" s="453"/>
      <c r="ER1522" s="453"/>
      <c r="ES1522" s="453"/>
      <c r="ET1522" s="453"/>
      <c r="EU1522" s="453"/>
      <c r="EV1522" s="453"/>
      <c r="EW1522" s="453"/>
      <c r="EX1522" s="453"/>
      <c r="EY1522" s="453"/>
      <c r="EZ1522" s="453"/>
      <c r="FA1522" s="453"/>
      <c r="FB1522" s="453"/>
      <c r="FC1522" s="453"/>
      <c r="FD1522" s="453"/>
      <c r="FE1522" s="453"/>
      <c r="FF1522" s="453"/>
      <c r="FG1522" s="453"/>
      <c r="FH1522" s="453"/>
      <c r="FI1522" s="453"/>
      <c r="FJ1522" s="453"/>
      <c r="FK1522" s="453"/>
      <c r="FL1522" s="453"/>
      <c r="FM1522" s="453"/>
      <c r="FN1522" s="453"/>
      <c r="FO1522" s="453"/>
      <c r="FP1522" s="453"/>
      <c r="FQ1522" s="453"/>
      <c r="FR1522" s="453"/>
      <c r="FS1522" s="453"/>
      <c r="FT1522" s="453"/>
      <c r="FU1522" s="453"/>
      <c r="FV1522" s="453"/>
      <c r="FW1522" s="453"/>
      <c r="FX1522" s="453"/>
      <c r="FY1522" s="453"/>
      <c r="FZ1522" s="453"/>
      <c r="GA1522" s="453"/>
      <c r="GB1522" s="453"/>
      <c r="GC1522" s="370"/>
      <c r="GD1522" s="453"/>
      <c r="GE1522" s="453"/>
      <c r="GF1522" s="453"/>
      <c r="GG1522" s="453"/>
      <c r="GH1522" s="454"/>
      <c r="GI1522" s="453"/>
      <c r="GJ1522" s="453"/>
      <c r="GK1522" s="453"/>
      <c r="GL1522" s="453"/>
      <c r="GM1522" s="453"/>
      <c r="GN1522" s="453"/>
      <c r="GO1522" s="453"/>
      <c r="GP1522" s="453"/>
      <c r="GQ1522" s="453"/>
      <c r="GR1522" s="453"/>
      <c r="GS1522" s="453"/>
      <c r="GT1522" s="453"/>
      <c r="GU1522" s="453"/>
      <c r="GV1522" s="453"/>
      <c r="GW1522" s="453"/>
      <c r="GX1522" s="453"/>
      <c r="GY1522" s="453"/>
      <c r="GZ1522" s="453"/>
      <c r="HA1522" s="453"/>
      <c r="HB1522" s="453"/>
      <c r="HC1522" s="453"/>
      <c r="HD1522" s="453"/>
      <c r="HE1522" s="453"/>
      <c r="HF1522" s="453"/>
      <c r="HG1522" s="453"/>
      <c r="HH1522" s="453"/>
      <c r="HI1522" s="453"/>
      <c r="HJ1522" s="453"/>
      <c r="HK1522" s="453"/>
      <c r="HL1522" s="453"/>
      <c r="HM1522" s="454"/>
      <c r="HN1522" s="464"/>
      <c r="HO1522" s="465"/>
      <c r="HP1522" s="453"/>
      <c r="HQ1522" s="464"/>
      <c r="HR1522" s="465"/>
      <c r="HS1522" s="453"/>
      <c r="HT1522" s="464"/>
      <c r="HU1522" s="465"/>
      <c r="HV1522" s="453"/>
      <c r="HW1522" s="464"/>
    </row>
    <row r="1523" spans="25:231" ht="15" customHeight="1">
      <c r="Y1523" s="332"/>
      <c r="Z1523" s="332"/>
      <c r="AA1523" s="332"/>
      <c r="AB1523" s="332"/>
      <c r="AC1523" s="332"/>
      <c r="AD1523" s="332"/>
      <c r="AE1523" s="332"/>
      <c r="AF1523" s="332"/>
      <c r="AG1523" s="332"/>
      <c r="AH1523" s="332"/>
      <c r="AI1523" s="332"/>
      <c r="AJ1523" s="332"/>
      <c r="AK1523" s="332"/>
      <c r="AL1523" s="332"/>
      <c r="AM1523" s="332"/>
      <c r="AN1523" s="332"/>
      <c r="AO1523" s="332"/>
      <c r="AP1523" s="332"/>
      <c r="AQ1523" s="332"/>
      <c r="AR1523" s="332"/>
      <c r="AS1523" s="332"/>
      <c r="AT1523" s="332"/>
      <c r="AU1523" s="332"/>
      <c r="AV1523" s="332"/>
      <c r="AW1523" s="332"/>
      <c r="AX1523" s="332"/>
      <c r="AY1523" s="332"/>
      <c r="AZ1523" s="332"/>
      <c r="BA1523" s="332"/>
      <c r="BB1523" s="332"/>
      <c r="BC1523" s="332"/>
      <c r="BD1523" s="332"/>
      <c r="BE1523" s="332"/>
      <c r="BF1523" s="332"/>
      <c r="BG1523" s="332"/>
      <c r="BH1523" s="332"/>
      <c r="BI1523" s="332"/>
      <c r="BJ1523" s="332"/>
      <c r="BK1523" s="332"/>
      <c r="BL1523" s="332"/>
      <c r="BM1523" s="332"/>
      <c r="BN1523" s="332"/>
      <c r="BO1523" s="332"/>
      <c r="BP1523" s="332"/>
      <c r="BQ1523" s="332"/>
      <c r="BR1523" s="332"/>
      <c r="BS1523" s="332"/>
      <c r="BT1523" s="332"/>
      <c r="BU1523" s="332"/>
      <c r="BV1523" s="332"/>
      <c r="BW1523" s="332"/>
      <c r="BX1523" s="332"/>
      <c r="BY1523" s="332"/>
      <c r="BZ1523" s="332"/>
      <c r="CA1523" s="332"/>
      <c r="CB1523" s="332"/>
      <c r="CC1523" s="332"/>
      <c r="CD1523" s="332"/>
      <c r="CE1523" s="332"/>
      <c r="CF1523" s="332"/>
      <c r="CG1523" s="332"/>
      <c r="CH1523" s="332"/>
      <c r="CI1523" s="332"/>
      <c r="CJ1523" s="332"/>
      <c r="CK1523" s="332"/>
      <c r="CL1523" s="332"/>
      <c r="CM1523" s="332"/>
      <c r="CN1523" s="332"/>
      <c r="CO1523" s="332"/>
      <c r="CP1523" s="332"/>
      <c r="CQ1523" s="332"/>
      <c r="CR1523" s="332"/>
      <c r="CS1523" s="332"/>
      <c r="CT1523" s="332"/>
      <c r="CU1523" s="332"/>
      <c r="CV1523" s="332"/>
      <c r="CW1523" s="332"/>
      <c r="CX1523" s="332"/>
      <c r="CY1523" s="332"/>
      <c r="CZ1523" s="332"/>
      <c r="DA1523" s="332"/>
      <c r="DB1523" s="332"/>
      <c r="DC1523" s="332"/>
      <c r="DD1523" s="332"/>
      <c r="DE1523" s="332"/>
      <c r="DF1523" s="332"/>
      <c r="DG1523" s="332"/>
      <c r="DH1523" s="332"/>
      <c r="DI1523" s="332"/>
      <c r="DJ1523" s="332"/>
      <c r="DK1523" s="332"/>
      <c r="DL1523" s="332"/>
      <c r="DM1523" s="332"/>
      <c r="DN1523" s="332"/>
      <c r="DO1523" s="332"/>
      <c r="DP1523" s="332"/>
      <c r="DQ1523" s="332"/>
      <c r="DR1523" s="332"/>
      <c r="DS1523" s="332"/>
      <c r="DT1523" s="332"/>
      <c r="DU1523" s="453"/>
      <c r="DV1523" s="453"/>
      <c r="DW1523" s="453"/>
      <c r="DX1523" s="453"/>
      <c r="DY1523" s="453"/>
      <c r="DZ1523" s="453"/>
      <c r="EA1523" s="453"/>
      <c r="EB1523" s="453"/>
      <c r="EC1523" s="453"/>
      <c r="ED1523" s="453"/>
      <c r="EE1523" s="453"/>
      <c r="EF1523" s="453"/>
      <c r="EG1523" s="453"/>
      <c r="EH1523" s="453"/>
      <c r="EI1523" s="453"/>
      <c r="EJ1523" s="453"/>
      <c r="EK1523" s="453"/>
      <c r="EL1523" s="453"/>
      <c r="EM1523" s="453"/>
      <c r="EN1523" s="453"/>
      <c r="EO1523" s="453"/>
      <c r="EP1523" s="453"/>
      <c r="EQ1523" s="453"/>
      <c r="ER1523" s="453"/>
      <c r="ES1523" s="453"/>
      <c r="ET1523" s="453"/>
      <c r="EU1523" s="453"/>
      <c r="EV1523" s="453"/>
      <c r="EW1523" s="453"/>
      <c r="EX1523" s="453"/>
      <c r="EY1523" s="453"/>
      <c r="EZ1523" s="453"/>
      <c r="FA1523" s="453"/>
      <c r="FB1523" s="453"/>
      <c r="FC1523" s="453"/>
      <c r="FD1523" s="453"/>
      <c r="FE1523" s="453"/>
      <c r="FF1523" s="453"/>
      <c r="FG1523" s="453"/>
      <c r="FH1523" s="453"/>
      <c r="FI1523" s="453"/>
      <c r="FJ1523" s="453"/>
      <c r="FK1523" s="453"/>
      <c r="FL1523" s="453"/>
      <c r="FM1523" s="453"/>
      <c r="FN1523" s="453"/>
      <c r="FO1523" s="453"/>
      <c r="FP1523" s="453"/>
      <c r="FQ1523" s="453"/>
      <c r="FR1523" s="453"/>
      <c r="FS1523" s="453"/>
      <c r="FT1523" s="453"/>
      <c r="FU1523" s="453"/>
      <c r="FV1523" s="453"/>
      <c r="FW1523" s="453"/>
      <c r="FX1523" s="453"/>
      <c r="FY1523" s="453"/>
      <c r="FZ1523" s="453"/>
      <c r="GA1523" s="453"/>
      <c r="GB1523" s="453"/>
      <c r="GC1523" s="370"/>
      <c r="GD1523" s="453"/>
      <c r="GE1523" s="453"/>
      <c r="GF1523" s="453"/>
      <c r="GG1523" s="453"/>
      <c r="GH1523" s="454"/>
      <c r="GI1523" s="453"/>
      <c r="GJ1523" s="453"/>
      <c r="GK1523" s="453"/>
      <c r="GL1523" s="453"/>
      <c r="GM1523" s="453"/>
      <c r="GN1523" s="453"/>
      <c r="GO1523" s="453"/>
      <c r="GP1523" s="453"/>
      <c r="GQ1523" s="453"/>
      <c r="GR1523" s="453"/>
      <c r="GS1523" s="453"/>
      <c r="GT1523" s="453"/>
      <c r="GU1523" s="453"/>
      <c r="GV1523" s="453"/>
      <c r="GW1523" s="453"/>
      <c r="GX1523" s="453"/>
      <c r="GY1523" s="453"/>
      <c r="GZ1523" s="453"/>
      <c r="HA1523" s="453"/>
      <c r="HB1523" s="453"/>
      <c r="HC1523" s="453"/>
      <c r="HD1523" s="453"/>
      <c r="HE1523" s="453"/>
      <c r="HF1523" s="453"/>
      <c r="HG1523" s="453"/>
      <c r="HH1523" s="453"/>
      <c r="HI1523" s="453"/>
      <c r="HJ1523" s="453"/>
      <c r="HK1523" s="453"/>
      <c r="HL1523" s="453"/>
      <c r="HM1523" s="454"/>
      <c r="HN1523" s="464"/>
      <c r="HO1523" s="465"/>
      <c r="HP1523" s="453"/>
      <c r="HQ1523" s="464"/>
      <c r="HR1523" s="465"/>
      <c r="HS1523" s="453"/>
      <c r="HT1523" s="464"/>
      <c r="HU1523" s="465"/>
      <c r="HV1523" s="453"/>
      <c r="HW1523" s="464"/>
    </row>
    <row r="1524" spans="25:231" ht="15" customHeight="1">
      <c r="Y1524" s="332"/>
      <c r="Z1524" s="332"/>
      <c r="AA1524" s="332"/>
      <c r="AB1524" s="332"/>
      <c r="AC1524" s="332"/>
      <c r="AD1524" s="332"/>
      <c r="AE1524" s="332"/>
      <c r="AF1524" s="332"/>
      <c r="AG1524" s="332"/>
      <c r="AH1524" s="332"/>
      <c r="AI1524" s="332"/>
      <c r="AJ1524" s="332"/>
      <c r="AK1524" s="332"/>
      <c r="AL1524" s="332"/>
      <c r="AM1524" s="332"/>
      <c r="AN1524" s="332"/>
      <c r="AO1524" s="332"/>
      <c r="AP1524" s="332"/>
      <c r="AQ1524" s="332"/>
      <c r="AR1524" s="332"/>
      <c r="AS1524" s="332"/>
      <c r="AT1524" s="332"/>
      <c r="AU1524" s="332"/>
      <c r="AV1524" s="332"/>
      <c r="AW1524" s="332"/>
      <c r="AX1524" s="332"/>
      <c r="AY1524" s="332"/>
      <c r="AZ1524" s="332"/>
      <c r="BA1524" s="332"/>
      <c r="BB1524" s="332"/>
      <c r="BC1524" s="332"/>
      <c r="BD1524" s="332"/>
      <c r="BE1524" s="332"/>
      <c r="BF1524" s="332"/>
      <c r="BG1524" s="332"/>
      <c r="BH1524" s="332"/>
      <c r="BI1524" s="332"/>
      <c r="BJ1524" s="332"/>
      <c r="BK1524" s="332"/>
      <c r="BL1524" s="332"/>
      <c r="BM1524" s="332"/>
      <c r="BN1524" s="332"/>
      <c r="BO1524" s="332"/>
      <c r="BP1524" s="332"/>
      <c r="BQ1524" s="332"/>
      <c r="BR1524" s="332"/>
      <c r="BS1524" s="332"/>
      <c r="BT1524" s="332"/>
      <c r="BU1524" s="332"/>
      <c r="BV1524" s="332"/>
      <c r="BW1524" s="332"/>
      <c r="BX1524" s="332"/>
      <c r="BY1524" s="332"/>
      <c r="BZ1524" s="332"/>
      <c r="CA1524" s="332"/>
      <c r="CB1524" s="332"/>
      <c r="CC1524" s="332"/>
      <c r="CD1524" s="332"/>
      <c r="CE1524" s="332"/>
      <c r="CF1524" s="332"/>
      <c r="CG1524" s="332"/>
      <c r="CH1524" s="332"/>
      <c r="CI1524" s="332"/>
      <c r="CJ1524" s="332"/>
      <c r="CK1524" s="332"/>
      <c r="CL1524" s="332"/>
      <c r="CM1524" s="332"/>
      <c r="CN1524" s="332"/>
      <c r="CO1524" s="332"/>
      <c r="CP1524" s="332"/>
      <c r="CQ1524" s="332"/>
      <c r="CR1524" s="332"/>
      <c r="CS1524" s="332"/>
      <c r="CT1524" s="332"/>
      <c r="CU1524" s="332"/>
      <c r="CV1524" s="332"/>
      <c r="CW1524" s="332"/>
      <c r="CX1524" s="332"/>
      <c r="CY1524" s="332"/>
      <c r="CZ1524" s="332"/>
      <c r="DA1524" s="332"/>
      <c r="DB1524" s="332"/>
      <c r="DC1524" s="332"/>
      <c r="DD1524" s="332"/>
      <c r="DE1524" s="332"/>
      <c r="DF1524" s="332"/>
      <c r="DG1524" s="332"/>
      <c r="DH1524" s="332"/>
      <c r="DI1524" s="332"/>
      <c r="DJ1524" s="332"/>
      <c r="DK1524" s="332"/>
      <c r="DL1524" s="332"/>
      <c r="DM1524" s="332"/>
      <c r="DN1524" s="332"/>
      <c r="DO1524" s="332"/>
      <c r="DP1524" s="332"/>
      <c r="DQ1524" s="332"/>
      <c r="DR1524" s="332"/>
      <c r="DS1524" s="332"/>
      <c r="DT1524" s="332"/>
      <c r="DU1524" s="453"/>
      <c r="DV1524" s="453"/>
      <c r="DW1524" s="453"/>
      <c r="DX1524" s="453"/>
      <c r="DY1524" s="453"/>
      <c r="DZ1524" s="453"/>
      <c r="EA1524" s="453"/>
      <c r="EB1524" s="453"/>
      <c r="EC1524" s="453"/>
      <c r="ED1524" s="453"/>
      <c r="EE1524" s="453"/>
      <c r="EF1524" s="453"/>
      <c r="EG1524" s="453"/>
      <c r="EH1524" s="453"/>
      <c r="EI1524" s="453"/>
      <c r="EJ1524" s="453"/>
      <c r="EK1524" s="453"/>
      <c r="EL1524" s="453"/>
      <c r="EM1524" s="453"/>
      <c r="EN1524" s="453"/>
      <c r="EO1524" s="453"/>
      <c r="EP1524" s="453"/>
      <c r="EQ1524" s="453"/>
      <c r="ER1524" s="453"/>
      <c r="ES1524" s="453"/>
      <c r="ET1524" s="453"/>
      <c r="EU1524" s="453"/>
      <c r="EV1524" s="453"/>
      <c r="EW1524" s="453"/>
      <c r="EX1524" s="453"/>
      <c r="EY1524" s="453"/>
      <c r="EZ1524" s="453"/>
      <c r="FA1524" s="453"/>
      <c r="FB1524" s="453"/>
      <c r="FC1524" s="453"/>
      <c r="FD1524" s="453"/>
      <c r="FE1524" s="453"/>
      <c r="FF1524" s="453"/>
      <c r="FG1524" s="453"/>
      <c r="FH1524" s="453"/>
      <c r="FI1524" s="453"/>
      <c r="FJ1524" s="453"/>
      <c r="FK1524" s="453"/>
      <c r="FL1524" s="453"/>
      <c r="FM1524" s="453"/>
      <c r="FN1524" s="453"/>
      <c r="FO1524" s="453"/>
      <c r="FP1524" s="453"/>
      <c r="FQ1524" s="453"/>
      <c r="FR1524" s="453"/>
      <c r="FS1524" s="453"/>
      <c r="FT1524" s="453"/>
      <c r="FU1524" s="453"/>
      <c r="FV1524" s="453"/>
      <c r="FW1524" s="453"/>
      <c r="FX1524" s="453"/>
      <c r="FY1524" s="453"/>
      <c r="FZ1524" s="453"/>
      <c r="GA1524" s="453"/>
      <c r="GB1524" s="453"/>
      <c r="GC1524" s="370"/>
      <c r="GD1524" s="453"/>
      <c r="GE1524" s="453"/>
      <c r="GF1524" s="453"/>
      <c r="GG1524" s="453"/>
      <c r="GH1524" s="454"/>
      <c r="GI1524" s="453"/>
      <c r="GJ1524" s="453"/>
      <c r="GK1524" s="453"/>
      <c r="GL1524" s="453"/>
      <c r="GM1524" s="453"/>
      <c r="GN1524" s="453"/>
      <c r="GO1524" s="453"/>
      <c r="GP1524" s="453"/>
      <c r="GQ1524" s="453"/>
      <c r="GR1524" s="453"/>
      <c r="GS1524" s="453"/>
      <c r="GT1524" s="453"/>
      <c r="GU1524" s="453"/>
      <c r="GV1524" s="453"/>
      <c r="GW1524" s="453"/>
      <c r="GX1524" s="453"/>
      <c r="GY1524" s="453"/>
      <c r="GZ1524" s="453"/>
      <c r="HA1524" s="453"/>
      <c r="HB1524" s="453"/>
      <c r="HC1524" s="453"/>
      <c r="HD1524" s="453"/>
      <c r="HE1524" s="453"/>
      <c r="HF1524" s="453"/>
      <c r="HG1524" s="453"/>
      <c r="HH1524" s="453"/>
      <c r="HI1524" s="453"/>
      <c r="HJ1524" s="453"/>
      <c r="HK1524" s="453"/>
      <c r="HL1524" s="453"/>
      <c r="HM1524" s="454"/>
      <c r="HN1524" s="464"/>
      <c r="HO1524" s="465"/>
      <c r="HP1524" s="453"/>
      <c r="HQ1524" s="464"/>
      <c r="HR1524" s="465"/>
      <c r="HS1524" s="453"/>
      <c r="HT1524" s="464"/>
      <c r="HU1524" s="465"/>
      <c r="HV1524" s="453"/>
      <c r="HW1524" s="464"/>
    </row>
    <row r="1525" spans="25:231" ht="15" customHeight="1">
      <c r="Y1525" s="332"/>
      <c r="Z1525" s="332"/>
      <c r="AA1525" s="332"/>
      <c r="AB1525" s="332"/>
      <c r="AC1525" s="332"/>
      <c r="AD1525" s="332"/>
      <c r="AE1525" s="332"/>
      <c r="AF1525" s="332"/>
      <c r="AG1525" s="332"/>
      <c r="AH1525" s="332"/>
      <c r="AI1525" s="332"/>
      <c r="AJ1525" s="332"/>
      <c r="AK1525" s="332"/>
      <c r="AL1525" s="332"/>
      <c r="AM1525" s="332"/>
      <c r="AN1525" s="332"/>
      <c r="AO1525" s="332"/>
      <c r="AP1525" s="332"/>
      <c r="AQ1525" s="332"/>
      <c r="AR1525" s="332"/>
      <c r="AS1525" s="332"/>
      <c r="AT1525" s="332"/>
      <c r="AU1525" s="332"/>
      <c r="AV1525" s="332"/>
      <c r="AW1525" s="332"/>
      <c r="AX1525" s="332"/>
      <c r="AY1525" s="332"/>
      <c r="AZ1525" s="332"/>
      <c r="BA1525" s="332"/>
      <c r="BB1525" s="332"/>
      <c r="BC1525" s="332"/>
      <c r="BD1525" s="332"/>
      <c r="BE1525" s="332"/>
      <c r="BF1525" s="332"/>
      <c r="BG1525" s="332"/>
      <c r="BH1525" s="332"/>
      <c r="BI1525" s="332"/>
      <c r="BJ1525" s="332"/>
      <c r="BK1525" s="332"/>
      <c r="BL1525" s="332"/>
      <c r="BM1525" s="332"/>
      <c r="BN1525" s="332"/>
      <c r="BO1525" s="332"/>
      <c r="BP1525" s="332"/>
      <c r="BQ1525" s="332"/>
      <c r="BR1525" s="332"/>
      <c r="BS1525" s="332"/>
      <c r="BT1525" s="332"/>
      <c r="BU1525" s="332"/>
      <c r="BV1525" s="332"/>
      <c r="BW1525" s="332"/>
      <c r="BX1525" s="332"/>
      <c r="BY1525" s="332"/>
      <c r="BZ1525" s="332"/>
      <c r="CA1525" s="332"/>
      <c r="CB1525" s="332"/>
      <c r="CC1525" s="332"/>
      <c r="CD1525" s="332"/>
      <c r="CE1525" s="332"/>
      <c r="CF1525" s="332"/>
      <c r="CG1525" s="332"/>
      <c r="CH1525" s="332"/>
      <c r="CI1525" s="332"/>
      <c r="CJ1525" s="332"/>
      <c r="CK1525" s="332"/>
      <c r="CL1525" s="332"/>
      <c r="CM1525" s="332"/>
      <c r="CN1525" s="332"/>
      <c r="CO1525" s="332"/>
      <c r="CP1525" s="332"/>
      <c r="CQ1525" s="332"/>
      <c r="CR1525" s="332"/>
      <c r="CS1525" s="332"/>
      <c r="CT1525" s="332"/>
      <c r="CU1525" s="332"/>
      <c r="CV1525" s="332"/>
      <c r="CW1525" s="332"/>
      <c r="CX1525" s="332"/>
      <c r="CY1525" s="332"/>
      <c r="CZ1525" s="332"/>
      <c r="DA1525" s="332"/>
      <c r="DB1525" s="332"/>
      <c r="DC1525" s="332"/>
      <c r="DD1525" s="332"/>
      <c r="DE1525" s="332"/>
      <c r="DF1525" s="332"/>
      <c r="DG1525" s="332"/>
      <c r="DH1525" s="332"/>
      <c r="DI1525" s="332"/>
      <c r="DJ1525" s="332"/>
      <c r="DK1525" s="332"/>
      <c r="DL1525" s="332"/>
      <c r="DM1525" s="332"/>
      <c r="DN1525" s="332"/>
      <c r="DO1525" s="332"/>
      <c r="DP1525" s="332"/>
      <c r="DQ1525" s="332"/>
      <c r="DR1525" s="332"/>
      <c r="DS1525" s="332"/>
      <c r="DT1525" s="332"/>
      <c r="DU1525" s="453"/>
      <c r="DV1525" s="453"/>
      <c r="DW1525" s="453"/>
      <c r="DX1525" s="453"/>
      <c r="DY1525" s="453"/>
      <c r="DZ1525" s="453"/>
      <c r="EA1525" s="453"/>
      <c r="EB1525" s="453"/>
      <c r="EC1525" s="453"/>
      <c r="ED1525" s="453"/>
      <c r="EE1525" s="453"/>
      <c r="EF1525" s="453"/>
      <c r="EG1525" s="453"/>
      <c r="EH1525" s="453"/>
      <c r="EI1525" s="453"/>
      <c r="EJ1525" s="453"/>
      <c r="EK1525" s="453"/>
      <c r="EL1525" s="453"/>
      <c r="EM1525" s="453"/>
      <c r="EN1525" s="453"/>
      <c r="EO1525" s="453"/>
      <c r="EP1525" s="453"/>
      <c r="EQ1525" s="453"/>
      <c r="ER1525" s="453"/>
      <c r="ES1525" s="453"/>
      <c r="ET1525" s="453"/>
      <c r="EU1525" s="453"/>
      <c r="EV1525" s="453"/>
      <c r="EW1525" s="453"/>
      <c r="EX1525" s="453"/>
      <c r="EY1525" s="453"/>
      <c r="EZ1525" s="453"/>
      <c r="FA1525" s="453"/>
      <c r="FB1525" s="453"/>
      <c r="FC1525" s="453"/>
      <c r="FD1525" s="453"/>
      <c r="FE1525" s="453"/>
      <c r="FF1525" s="453"/>
      <c r="FG1525" s="453"/>
      <c r="FH1525" s="453"/>
      <c r="FI1525" s="453"/>
      <c r="FJ1525" s="453"/>
      <c r="FK1525" s="453"/>
      <c r="FL1525" s="453"/>
      <c r="FM1525" s="453"/>
      <c r="FN1525" s="453"/>
      <c r="FO1525" s="453"/>
      <c r="FP1525" s="453"/>
      <c r="FQ1525" s="453"/>
      <c r="FR1525" s="453"/>
      <c r="FS1525" s="453"/>
      <c r="FT1525" s="453"/>
      <c r="FU1525" s="453"/>
      <c r="FV1525" s="453"/>
      <c r="FW1525" s="453"/>
      <c r="FX1525" s="453"/>
      <c r="FY1525" s="453"/>
      <c r="FZ1525" s="453"/>
      <c r="GA1525" s="453"/>
      <c r="GB1525" s="453"/>
      <c r="GC1525" s="370"/>
      <c r="GD1525" s="453"/>
      <c r="GE1525" s="453"/>
      <c r="GF1525" s="453"/>
      <c r="GG1525" s="453"/>
      <c r="GH1525" s="454"/>
      <c r="GI1525" s="453"/>
      <c r="GJ1525" s="453"/>
      <c r="GK1525" s="453"/>
      <c r="GL1525" s="453"/>
      <c r="GM1525" s="453"/>
      <c r="GN1525" s="453"/>
      <c r="GO1525" s="453"/>
      <c r="GP1525" s="453"/>
      <c r="GQ1525" s="453"/>
      <c r="GR1525" s="453"/>
      <c r="GS1525" s="453"/>
      <c r="GT1525" s="453"/>
      <c r="GU1525" s="453"/>
      <c r="GV1525" s="453"/>
      <c r="GW1525" s="453"/>
      <c r="GX1525" s="453"/>
      <c r="GY1525" s="453"/>
      <c r="GZ1525" s="453"/>
      <c r="HA1525" s="453"/>
      <c r="HB1525" s="453"/>
      <c r="HC1525" s="453"/>
      <c r="HD1525" s="453"/>
      <c r="HE1525" s="453"/>
      <c r="HF1525" s="453"/>
      <c r="HG1525" s="453"/>
      <c r="HH1525" s="453"/>
      <c r="HI1525" s="453"/>
      <c r="HJ1525" s="453"/>
      <c r="HK1525" s="453"/>
      <c r="HL1525" s="453"/>
      <c r="HM1525" s="454"/>
      <c r="HN1525" s="464"/>
      <c r="HO1525" s="465"/>
      <c r="HP1525" s="453"/>
      <c r="HQ1525" s="464"/>
      <c r="HR1525" s="465"/>
      <c r="HS1525" s="453"/>
      <c r="HT1525" s="464"/>
      <c r="HU1525" s="465"/>
      <c r="HV1525" s="453"/>
      <c r="HW1525" s="464"/>
    </row>
    <row r="1526" spans="25:231" ht="15" customHeight="1">
      <c r="Y1526" s="332"/>
      <c r="Z1526" s="332"/>
      <c r="AA1526" s="332"/>
      <c r="AB1526" s="332"/>
      <c r="AC1526" s="332"/>
      <c r="AD1526" s="332"/>
      <c r="AE1526" s="332"/>
      <c r="AF1526" s="332"/>
      <c r="AG1526" s="332"/>
      <c r="AH1526" s="332"/>
      <c r="AI1526" s="332"/>
      <c r="AJ1526" s="332"/>
      <c r="AK1526" s="332"/>
      <c r="AL1526" s="332"/>
      <c r="AM1526" s="332"/>
      <c r="AN1526" s="332"/>
      <c r="AO1526" s="332"/>
      <c r="AP1526" s="332"/>
      <c r="AQ1526" s="332"/>
      <c r="AR1526" s="332"/>
      <c r="AS1526" s="332"/>
      <c r="AT1526" s="332"/>
      <c r="AU1526" s="332"/>
      <c r="AV1526" s="332"/>
      <c r="AW1526" s="332"/>
      <c r="AX1526" s="332"/>
      <c r="AY1526" s="332"/>
      <c r="AZ1526" s="332"/>
      <c r="BA1526" s="332"/>
      <c r="BB1526" s="332"/>
      <c r="BC1526" s="332"/>
      <c r="BD1526" s="332"/>
      <c r="BE1526" s="332"/>
      <c r="BF1526" s="332"/>
      <c r="BG1526" s="332"/>
      <c r="BH1526" s="332"/>
      <c r="BI1526" s="332"/>
      <c r="BJ1526" s="332"/>
      <c r="BK1526" s="332"/>
      <c r="BL1526" s="332"/>
      <c r="BM1526" s="332"/>
      <c r="BN1526" s="332"/>
      <c r="BO1526" s="332"/>
      <c r="BP1526" s="332"/>
      <c r="BQ1526" s="332"/>
      <c r="BR1526" s="332"/>
      <c r="BS1526" s="332"/>
      <c r="BT1526" s="332"/>
      <c r="BU1526" s="332"/>
      <c r="BV1526" s="332"/>
      <c r="BW1526" s="332"/>
      <c r="BX1526" s="332"/>
      <c r="BY1526" s="332"/>
      <c r="BZ1526" s="332"/>
      <c r="CA1526" s="332"/>
      <c r="CB1526" s="332"/>
      <c r="CC1526" s="332"/>
      <c r="CD1526" s="332"/>
      <c r="CE1526" s="332"/>
      <c r="CF1526" s="332"/>
      <c r="CG1526" s="332"/>
      <c r="CH1526" s="332"/>
      <c r="CI1526" s="332"/>
      <c r="CJ1526" s="332"/>
      <c r="CK1526" s="332"/>
      <c r="CL1526" s="332"/>
      <c r="CM1526" s="332"/>
      <c r="CN1526" s="332"/>
      <c r="CO1526" s="332"/>
      <c r="CP1526" s="332"/>
      <c r="CQ1526" s="332"/>
      <c r="CR1526" s="332"/>
      <c r="CS1526" s="332"/>
      <c r="CT1526" s="332"/>
      <c r="CU1526" s="332"/>
      <c r="CV1526" s="332"/>
      <c r="CW1526" s="332"/>
      <c r="CX1526" s="332"/>
      <c r="CY1526" s="332"/>
      <c r="CZ1526" s="332"/>
      <c r="DA1526" s="332"/>
      <c r="DB1526" s="332"/>
      <c r="DC1526" s="332"/>
      <c r="DD1526" s="332"/>
      <c r="DE1526" s="332"/>
      <c r="DF1526" s="332"/>
      <c r="DG1526" s="332"/>
      <c r="DH1526" s="332"/>
      <c r="DI1526" s="332"/>
      <c r="DJ1526" s="332"/>
      <c r="DK1526" s="332"/>
      <c r="DL1526" s="332"/>
      <c r="DM1526" s="332"/>
      <c r="DN1526" s="332"/>
      <c r="DO1526" s="332"/>
      <c r="DP1526" s="332"/>
      <c r="DQ1526" s="332"/>
      <c r="DR1526" s="332"/>
      <c r="DS1526" s="332"/>
      <c r="DT1526" s="332"/>
      <c r="DU1526" s="453"/>
      <c r="DV1526" s="453"/>
      <c r="DW1526" s="453"/>
      <c r="DX1526" s="453"/>
      <c r="DY1526" s="453"/>
      <c r="DZ1526" s="453"/>
      <c r="EA1526" s="453"/>
      <c r="EB1526" s="453"/>
      <c r="EC1526" s="453"/>
      <c r="ED1526" s="453"/>
      <c r="EE1526" s="453"/>
      <c r="EF1526" s="453"/>
      <c r="EG1526" s="453"/>
      <c r="EH1526" s="453"/>
      <c r="EI1526" s="453"/>
      <c r="EJ1526" s="453"/>
      <c r="EK1526" s="453"/>
      <c r="EL1526" s="453"/>
      <c r="EM1526" s="453"/>
      <c r="EN1526" s="453"/>
      <c r="EO1526" s="453"/>
      <c r="EP1526" s="453"/>
      <c r="EQ1526" s="453"/>
      <c r="ER1526" s="453"/>
      <c r="ES1526" s="453"/>
      <c r="ET1526" s="453"/>
      <c r="EU1526" s="453"/>
      <c r="EV1526" s="453"/>
      <c r="EW1526" s="453"/>
      <c r="EX1526" s="453"/>
      <c r="EY1526" s="453"/>
      <c r="EZ1526" s="453"/>
      <c r="FA1526" s="453"/>
      <c r="FB1526" s="453"/>
      <c r="FC1526" s="453"/>
      <c r="FD1526" s="453"/>
      <c r="FE1526" s="453"/>
      <c r="FF1526" s="453"/>
      <c r="FG1526" s="453"/>
      <c r="FH1526" s="453"/>
      <c r="FI1526" s="453"/>
      <c r="FJ1526" s="453"/>
      <c r="FK1526" s="453"/>
      <c r="FL1526" s="453"/>
      <c r="FM1526" s="453"/>
      <c r="FN1526" s="453"/>
      <c r="FO1526" s="453"/>
      <c r="FP1526" s="453"/>
      <c r="FQ1526" s="453"/>
      <c r="FR1526" s="453"/>
      <c r="FS1526" s="453"/>
      <c r="FT1526" s="453"/>
      <c r="FU1526" s="453"/>
      <c r="FV1526" s="453"/>
      <c r="FW1526" s="453"/>
      <c r="FX1526" s="453"/>
      <c r="FY1526" s="453"/>
      <c r="FZ1526" s="453"/>
      <c r="GA1526" s="453"/>
      <c r="GB1526" s="453"/>
      <c r="GC1526" s="370"/>
      <c r="GD1526" s="453"/>
      <c r="GE1526" s="453"/>
      <c r="GF1526" s="453"/>
      <c r="GG1526" s="453"/>
      <c r="GH1526" s="454"/>
      <c r="GI1526" s="453"/>
      <c r="GJ1526" s="453"/>
      <c r="GK1526" s="453"/>
      <c r="GL1526" s="453"/>
      <c r="GM1526" s="453"/>
      <c r="GN1526" s="453"/>
      <c r="GO1526" s="453"/>
      <c r="GP1526" s="453"/>
      <c r="GQ1526" s="453"/>
      <c r="GR1526" s="453"/>
      <c r="GS1526" s="453"/>
      <c r="GT1526" s="453"/>
      <c r="GU1526" s="453"/>
      <c r="GV1526" s="453"/>
      <c r="GW1526" s="453"/>
      <c r="GX1526" s="453"/>
      <c r="GY1526" s="453"/>
      <c r="GZ1526" s="453"/>
      <c r="HA1526" s="453"/>
      <c r="HB1526" s="453"/>
      <c r="HC1526" s="453"/>
      <c r="HD1526" s="453"/>
      <c r="HE1526" s="453"/>
      <c r="HF1526" s="453"/>
      <c r="HG1526" s="453"/>
      <c r="HH1526" s="453"/>
      <c r="HI1526" s="453"/>
      <c r="HJ1526" s="453"/>
      <c r="HK1526" s="453"/>
      <c r="HL1526" s="453"/>
      <c r="HM1526" s="454"/>
      <c r="HN1526" s="464"/>
      <c r="HO1526" s="465"/>
      <c r="HP1526" s="453"/>
      <c r="HQ1526" s="464"/>
      <c r="HR1526" s="465"/>
      <c r="HS1526" s="453"/>
      <c r="HT1526" s="464"/>
      <c r="HU1526" s="465"/>
      <c r="HV1526" s="453"/>
      <c r="HW1526" s="464"/>
    </row>
    <row r="1527" spans="25:231" ht="15" customHeight="1">
      <c r="Y1527" s="332"/>
      <c r="Z1527" s="332"/>
      <c r="AA1527" s="332"/>
      <c r="AB1527" s="332"/>
      <c r="AC1527" s="332"/>
      <c r="AD1527" s="332"/>
      <c r="AE1527" s="332"/>
      <c r="AF1527" s="332"/>
      <c r="AG1527" s="332"/>
      <c r="AH1527" s="332"/>
      <c r="AI1527" s="332"/>
      <c r="AJ1527" s="332"/>
      <c r="AK1527" s="332"/>
      <c r="AL1527" s="332"/>
      <c r="AM1527" s="332"/>
      <c r="AN1527" s="332"/>
      <c r="AO1527" s="332"/>
      <c r="AP1527" s="332"/>
      <c r="AQ1527" s="332"/>
      <c r="AR1527" s="332"/>
      <c r="AS1527" s="332"/>
      <c r="AT1527" s="332"/>
      <c r="AU1527" s="332"/>
      <c r="AV1527" s="332"/>
      <c r="AW1527" s="332"/>
      <c r="AX1527" s="332"/>
      <c r="AY1527" s="332"/>
      <c r="AZ1527" s="332"/>
      <c r="BA1527" s="332"/>
      <c r="BB1527" s="332"/>
      <c r="BC1527" s="332"/>
      <c r="BD1527" s="332"/>
      <c r="BE1527" s="332"/>
      <c r="BF1527" s="332"/>
      <c r="BG1527" s="332"/>
      <c r="BH1527" s="332"/>
      <c r="BI1527" s="332"/>
      <c r="BJ1527" s="332"/>
      <c r="BK1527" s="332"/>
      <c r="BL1527" s="332"/>
      <c r="BM1527" s="332"/>
      <c r="BN1527" s="332"/>
      <c r="BO1527" s="332"/>
      <c r="BP1527" s="332"/>
      <c r="BQ1527" s="332"/>
      <c r="BR1527" s="332"/>
      <c r="BS1527" s="332"/>
      <c r="BT1527" s="332"/>
      <c r="BU1527" s="332"/>
      <c r="BV1527" s="332"/>
      <c r="BW1527" s="332"/>
      <c r="BX1527" s="332"/>
      <c r="BY1527" s="332"/>
      <c r="BZ1527" s="332"/>
      <c r="CA1527" s="332"/>
      <c r="CB1527" s="332"/>
      <c r="CC1527" s="332"/>
      <c r="CD1527" s="332"/>
      <c r="CE1527" s="332"/>
      <c r="CF1527" s="332"/>
      <c r="CG1527" s="332"/>
      <c r="CH1527" s="332"/>
      <c r="CI1527" s="332"/>
      <c r="CJ1527" s="332"/>
      <c r="CK1527" s="332"/>
      <c r="CL1527" s="332"/>
      <c r="CM1527" s="332"/>
      <c r="CN1527" s="332"/>
      <c r="CO1527" s="332"/>
      <c r="CP1527" s="332"/>
      <c r="CQ1527" s="332"/>
      <c r="CR1527" s="332"/>
      <c r="CS1527" s="332"/>
      <c r="CT1527" s="332"/>
      <c r="CU1527" s="332"/>
      <c r="CV1527" s="332"/>
      <c r="CW1527" s="332"/>
      <c r="CX1527" s="332"/>
      <c r="CY1527" s="332"/>
      <c r="CZ1527" s="332"/>
      <c r="DA1527" s="332"/>
      <c r="DB1527" s="332"/>
      <c r="DC1527" s="332"/>
      <c r="DD1527" s="332"/>
      <c r="DE1527" s="332"/>
      <c r="DF1527" s="332"/>
      <c r="DG1527" s="332"/>
      <c r="DH1527" s="332"/>
      <c r="DI1527" s="332"/>
      <c r="DJ1527" s="332"/>
      <c r="DK1527" s="332"/>
      <c r="DL1527" s="332"/>
      <c r="DM1527" s="332"/>
      <c r="DN1527" s="332"/>
      <c r="DO1527" s="332"/>
      <c r="DP1527" s="332"/>
      <c r="DQ1527" s="332"/>
      <c r="DR1527" s="332"/>
      <c r="DS1527" s="332"/>
      <c r="DT1527" s="332"/>
      <c r="DU1527" s="453"/>
      <c r="DV1527" s="453"/>
      <c r="DW1527" s="453"/>
      <c r="DX1527" s="453"/>
      <c r="DY1527" s="453"/>
      <c r="DZ1527" s="453"/>
      <c r="EA1527" s="453"/>
      <c r="EB1527" s="453"/>
      <c r="EC1527" s="453"/>
      <c r="ED1527" s="453"/>
      <c r="EE1527" s="453"/>
      <c r="EF1527" s="453"/>
      <c r="EG1527" s="453"/>
      <c r="EH1527" s="453"/>
      <c r="EI1527" s="453"/>
      <c r="EJ1527" s="453"/>
      <c r="EK1527" s="453"/>
      <c r="EL1527" s="453"/>
      <c r="EM1527" s="453"/>
      <c r="EN1527" s="453"/>
      <c r="EO1527" s="453"/>
      <c r="EP1527" s="453"/>
      <c r="EQ1527" s="453"/>
      <c r="ER1527" s="453"/>
      <c r="ES1527" s="453"/>
      <c r="ET1527" s="453"/>
      <c r="EU1527" s="453"/>
      <c r="EV1527" s="453"/>
      <c r="EW1527" s="453"/>
      <c r="EX1527" s="453"/>
      <c r="EY1527" s="453"/>
      <c r="EZ1527" s="453"/>
      <c r="FA1527" s="453"/>
      <c r="FB1527" s="453"/>
      <c r="FC1527" s="453"/>
      <c r="FD1527" s="453"/>
      <c r="FE1527" s="453"/>
      <c r="FF1527" s="453"/>
      <c r="FG1527" s="453"/>
      <c r="FH1527" s="453"/>
      <c r="FI1527" s="453"/>
      <c r="FJ1527" s="453"/>
      <c r="FK1527" s="453"/>
      <c r="FL1527" s="453"/>
      <c r="FM1527" s="453"/>
      <c r="FN1527" s="453"/>
      <c r="FO1527" s="453"/>
      <c r="FP1527" s="453"/>
      <c r="FQ1527" s="453"/>
      <c r="FR1527" s="453"/>
      <c r="FS1527" s="453"/>
      <c r="FT1527" s="453"/>
      <c r="FU1527" s="453"/>
      <c r="FV1527" s="453"/>
      <c r="FW1527" s="453"/>
      <c r="FX1527" s="453"/>
      <c r="FY1527" s="453"/>
      <c r="FZ1527" s="453"/>
      <c r="GA1527" s="453"/>
      <c r="GB1527" s="453"/>
      <c r="GC1527" s="370"/>
      <c r="GD1527" s="453"/>
      <c r="GE1527" s="453"/>
      <c r="GF1527" s="453"/>
      <c r="GG1527" s="453"/>
      <c r="GH1527" s="454"/>
      <c r="GI1527" s="453"/>
      <c r="GJ1527" s="453"/>
      <c r="GK1527" s="453"/>
      <c r="GL1527" s="453"/>
      <c r="GM1527" s="453"/>
      <c r="GN1527" s="453"/>
      <c r="GO1527" s="453"/>
      <c r="GP1527" s="453"/>
      <c r="GQ1527" s="453"/>
      <c r="GR1527" s="453"/>
      <c r="GS1527" s="453"/>
      <c r="GT1527" s="453"/>
      <c r="GU1527" s="453"/>
      <c r="GV1527" s="453"/>
      <c r="GW1527" s="453"/>
      <c r="GX1527" s="453"/>
      <c r="GY1527" s="453"/>
      <c r="GZ1527" s="453"/>
      <c r="HA1527" s="453"/>
      <c r="HB1527" s="453"/>
      <c r="HC1527" s="453"/>
      <c r="HD1527" s="453"/>
      <c r="HE1527" s="453"/>
      <c r="HF1527" s="453"/>
      <c r="HG1527" s="453"/>
      <c r="HH1527" s="453"/>
      <c r="HI1527" s="453"/>
      <c r="HJ1527" s="453"/>
      <c r="HK1527" s="453"/>
      <c r="HL1527" s="453"/>
      <c r="HM1527" s="454"/>
      <c r="HN1527" s="464"/>
      <c r="HO1527" s="465"/>
      <c r="HP1527" s="453"/>
      <c r="HQ1527" s="464"/>
      <c r="HR1527" s="465"/>
      <c r="HS1527" s="453"/>
      <c r="HT1527" s="464"/>
      <c r="HU1527" s="465"/>
      <c r="HV1527" s="453"/>
      <c r="HW1527" s="464"/>
    </row>
    <row r="1528" spans="25:231" ht="15" customHeight="1">
      <c r="Y1528" s="332"/>
      <c r="Z1528" s="332"/>
      <c r="AA1528" s="332"/>
      <c r="AB1528" s="332"/>
      <c r="AC1528" s="332"/>
      <c r="AD1528" s="332"/>
      <c r="AE1528" s="332"/>
      <c r="AF1528" s="332"/>
      <c r="AG1528" s="332"/>
      <c r="AH1528" s="332"/>
      <c r="AI1528" s="332"/>
      <c r="AJ1528" s="332"/>
      <c r="AK1528" s="332"/>
      <c r="AL1528" s="332"/>
      <c r="AM1528" s="332"/>
      <c r="AN1528" s="332"/>
      <c r="AO1528" s="332"/>
      <c r="AP1528" s="332"/>
      <c r="AQ1528" s="332"/>
      <c r="AR1528" s="332"/>
      <c r="AS1528" s="332"/>
      <c r="AT1528" s="332"/>
      <c r="AU1528" s="332"/>
      <c r="AV1528" s="332"/>
      <c r="AW1528" s="332"/>
      <c r="AX1528" s="332"/>
      <c r="AY1528" s="332"/>
      <c r="AZ1528" s="332"/>
      <c r="BA1528" s="332"/>
      <c r="BB1528" s="332"/>
      <c r="BC1528" s="332"/>
      <c r="BD1528" s="332"/>
      <c r="BE1528" s="332"/>
      <c r="BF1528" s="332"/>
      <c r="BG1528" s="332"/>
      <c r="BH1528" s="332"/>
      <c r="BI1528" s="332"/>
      <c r="BJ1528" s="332"/>
      <c r="BK1528" s="332"/>
      <c r="BL1528" s="332"/>
      <c r="BM1528" s="332"/>
      <c r="BN1528" s="332"/>
      <c r="BO1528" s="332"/>
      <c r="BP1528" s="332"/>
      <c r="BQ1528" s="332"/>
      <c r="BR1528" s="332"/>
      <c r="BS1528" s="332"/>
      <c r="BT1528" s="332"/>
      <c r="BU1528" s="332"/>
      <c r="BV1528" s="332"/>
      <c r="BW1528" s="332"/>
      <c r="BX1528" s="332"/>
      <c r="BY1528" s="332"/>
      <c r="BZ1528" s="332"/>
      <c r="CA1528" s="332"/>
      <c r="CB1528" s="332"/>
      <c r="CC1528" s="332"/>
      <c r="CD1528" s="332"/>
      <c r="CE1528" s="332"/>
      <c r="CF1528" s="332"/>
      <c r="CG1528" s="332"/>
      <c r="CH1528" s="332"/>
      <c r="CI1528" s="332"/>
      <c r="CJ1528" s="332"/>
      <c r="CK1528" s="332"/>
      <c r="CL1528" s="332"/>
      <c r="CM1528" s="332"/>
      <c r="CN1528" s="332"/>
      <c r="CO1528" s="332"/>
      <c r="CP1528" s="332"/>
      <c r="CQ1528" s="332"/>
      <c r="CR1528" s="332"/>
      <c r="CS1528" s="332"/>
      <c r="CT1528" s="332"/>
      <c r="CU1528" s="332"/>
      <c r="CV1528" s="332"/>
      <c r="CW1528" s="332"/>
      <c r="CX1528" s="332"/>
      <c r="CY1528" s="332"/>
      <c r="CZ1528" s="332"/>
      <c r="DA1528" s="332"/>
      <c r="DB1528" s="332"/>
      <c r="DC1528" s="332"/>
      <c r="DD1528" s="332"/>
      <c r="DE1528" s="332"/>
      <c r="DF1528" s="332"/>
      <c r="DG1528" s="332"/>
      <c r="DH1528" s="332"/>
      <c r="DI1528" s="332"/>
      <c r="DJ1528" s="332"/>
      <c r="DK1528" s="332"/>
      <c r="DL1528" s="332"/>
      <c r="DM1528" s="332"/>
      <c r="DN1528" s="332"/>
      <c r="DO1528" s="332"/>
      <c r="DP1528" s="332"/>
      <c r="DQ1528" s="332"/>
      <c r="DR1528" s="332"/>
      <c r="DS1528" s="332"/>
      <c r="DT1528" s="332"/>
      <c r="DU1528" s="453"/>
      <c r="DV1528" s="453"/>
      <c r="DW1528" s="453"/>
      <c r="DX1528" s="453"/>
      <c r="DY1528" s="453"/>
      <c r="DZ1528" s="453"/>
      <c r="EA1528" s="453"/>
      <c r="EB1528" s="453"/>
      <c r="EC1528" s="453"/>
      <c r="ED1528" s="453"/>
      <c r="EE1528" s="453"/>
      <c r="EF1528" s="453"/>
      <c r="EG1528" s="453"/>
      <c r="EH1528" s="453"/>
      <c r="EI1528" s="453"/>
      <c r="EJ1528" s="453"/>
      <c r="EK1528" s="453"/>
      <c r="EL1528" s="453"/>
      <c r="EM1528" s="453"/>
      <c r="EN1528" s="453"/>
      <c r="EO1528" s="453"/>
      <c r="EP1528" s="453"/>
      <c r="EQ1528" s="453"/>
      <c r="ER1528" s="453"/>
      <c r="ES1528" s="453"/>
      <c r="ET1528" s="453"/>
      <c r="EU1528" s="453"/>
      <c r="EV1528" s="453"/>
      <c r="EW1528" s="453"/>
      <c r="EX1528" s="453"/>
      <c r="EY1528" s="453"/>
      <c r="EZ1528" s="453"/>
      <c r="FA1528" s="453"/>
      <c r="FB1528" s="453"/>
      <c r="FC1528" s="453"/>
      <c r="FD1528" s="453"/>
      <c r="FE1528" s="453"/>
      <c r="FF1528" s="453"/>
      <c r="FG1528" s="453"/>
      <c r="FH1528" s="453"/>
      <c r="FI1528" s="453"/>
      <c r="FJ1528" s="453"/>
      <c r="FK1528" s="453"/>
      <c r="FL1528" s="453"/>
      <c r="FM1528" s="453"/>
      <c r="FN1528" s="453"/>
      <c r="FO1528" s="453"/>
      <c r="FP1528" s="453"/>
      <c r="FQ1528" s="453"/>
      <c r="FR1528" s="453"/>
      <c r="FS1528" s="453"/>
      <c r="FT1528" s="453"/>
      <c r="FU1528" s="453"/>
      <c r="FV1528" s="453"/>
      <c r="FW1528" s="453"/>
      <c r="FX1528" s="453"/>
      <c r="FY1528" s="453"/>
      <c r="FZ1528" s="453"/>
      <c r="GA1528" s="453"/>
      <c r="GB1528" s="453"/>
      <c r="GC1528" s="453"/>
      <c r="GD1528" s="453"/>
      <c r="GE1528" s="453"/>
      <c r="GF1528" s="453"/>
      <c r="GG1528" s="453"/>
      <c r="GH1528" s="454"/>
      <c r="GI1528" s="453"/>
      <c r="GJ1528" s="453"/>
      <c r="GK1528" s="453"/>
      <c r="GL1528" s="453"/>
      <c r="GM1528" s="453"/>
      <c r="GN1528" s="453"/>
      <c r="GO1528" s="453"/>
      <c r="GP1528" s="453"/>
      <c r="GQ1528" s="453"/>
      <c r="GR1528" s="453"/>
      <c r="GS1528" s="453"/>
      <c r="GT1528" s="453"/>
      <c r="GU1528" s="453"/>
      <c r="GV1528" s="453"/>
      <c r="GW1528" s="453"/>
      <c r="GX1528" s="453"/>
      <c r="GY1528" s="453"/>
      <c r="GZ1528" s="453"/>
      <c r="HA1528" s="453"/>
      <c r="HB1528" s="453"/>
      <c r="HC1528" s="453"/>
      <c r="HD1528" s="453"/>
      <c r="HE1528" s="453"/>
      <c r="HF1528" s="453"/>
      <c r="HG1528" s="453"/>
      <c r="HH1528" s="453"/>
      <c r="HI1528" s="453"/>
      <c r="HJ1528" s="453"/>
      <c r="HK1528" s="453"/>
      <c r="HL1528" s="453"/>
      <c r="HM1528" s="454"/>
      <c r="HN1528" s="464"/>
      <c r="HO1528" s="465"/>
      <c r="HP1528" s="453"/>
      <c r="HQ1528" s="464"/>
      <c r="HR1528" s="465"/>
      <c r="HS1528" s="453"/>
      <c r="HT1528" s="464"/>
      <c r="HU1528" s="465"/>
      <c r="HV1528" s="453"/>
      <c r="HW1528" s="464"/>
    </row>
    <row r="1529" spans="25:231" ht="15" customHeight="1">
      <c r="Y1529" s="332"/>
      <c r="Z1529" s="332"/>
      <c r="AA1529" s="332"/>
      <c r="AB1529" s="332"/>
      <c r="AC1529" s="332"/>
      <c r="AD1529" s="332"/>
      <c r="AE1529" s="332"/>
      <c r="AF1529" s="332"/>
      <c r="AG1529" s="332"/>
      <c r="AH1529" s="332"/>
      <c r="AI1529" s="332"/>
      <c r="AJ1529" s="332"/>
      <c r="AK1529" s="332"/>
      <c r="AL1529" s="332"/>
      <c r="AM1529" s="332"/>
      <c r="AN1529" s="332"/>
      <c r="AO1529" s="332"/>
      <c r="AP1529" s="332"/>
      <c r="AQ1529" s="332"/>
      <c r="AR1529" s="332"/>
      <c r="AS1529" s="332"/>
      <c r="AT1529" s="332"/>
      <c r="AU1529" s="332"/>
      <c r="AV1529" s="332"/>
      <c r="AW1529" s="332"/>
      <c r="AX1529" s="332"/>
      <c r="AY1529" s="332"/>
      <c r="AZ1529" s="332"/>
      <c r="BA1529" s="332"/>
      <c r="BB1529" s="332"/>
      <c r="BC1529" s="332"/>
      <c r="BD1529" s="332"/>
      <c r="BE1529" s="332"/>
      <c r="BF1529" s="332"/>
      <c r="BG1529" s="332"/>
      <c r="BH1529" s="332"/>
      <c r="BI1529" s="332"/>
      <c r="BJ1529" s="332"/>
      <c r="BK1529" s="332"/>
      <c r="BL1529" s="332"/>
      <c r="BM1529" s="332"/>
      <c r="BN1529" s="332"/>
      <c r="BO1529" s="332"/>
      <c r="BP1529" s="332"/>
      <c r="BQ1529" s="332"/>
      <c r="BR1529" s="332"/>
      <c r="BS1529" s="332"/>
      <c r="BT1529" s="332"/>
      <c r="BU1529" s="332"/>
      <c r="BV1529" s="332"/>
      <c r="BW1529" s="332"/>
      <c r="BX1529" s="332"/>
      <c r="BY1529" s="332"/>
      <c r="BZ1529" s="332"/>
      <c r="CA1529" s="332"/>
      <c r="CB1529" s="332"/>
      <c r="CC1529" s="332"/>
      <c r="CD1529" s="332"/>
      <c r="CE1529" s="332"/>
      <c r="CF1529" s="332"/>
      <c r="CG1529" s="332"/>
      <c r="CH1529" s="332"/>
      <c r="CI1529" s="332"/>
      <c r="CJ1529" s="332"/>
      <c r="CK1529" s="332"/>
      <c r="CL1529" s="332"/>
      <c r="CM1529" s="332"/>
      <c r="CN1529" s="332"/>
      <c r="CO1529" s="332"/>
      <c r="CP1529" s="332"/>
      <c r="CQ1529" s="332"/>
      <c r="CR1529" s="332"/>
      <c r="CS1529" s="332"/>
      <c r="CT1529" s="332"/>
      <c r="CU1529" s="332"/>
      <c r="CV1529" s="332"/>
      <c r="CW1529" s="332"/>
      <c r="CX1529" s="332"/>
      <c r="CY1529" s="332"/>
      <c r="CZ1529" s="332"/>
      <c r="DA1529" s="332"/>
      <c r="DB1529" s="332"/>
      <c r="DC1529" s="332"/>
      <c r="DD1529" s="332"/>
      <c r="DE1529" s="332"/>
      <c r="DF1529" s="332"/>
      <c r="DG1529" s="332"/>
      <c r="DH1529" s="332"/>
      <c r="DI1529" s="332"/>
      <c r="DJ1529" s="332"/>
      <c r="DK1529" s="332"/>
      <c r="DL1529" s="332"/>
      <c r="DM1529" s="332"/>
      <c r="DN1529" s="332"/>
      <c r="DO1529" s="332"/>
      <c r="DP1529" s="332"/>
      <c r="DQ1529" s="332"/>
      <c r="DR1529" s="332"/>
      <c r="DS1529" s="332"/>
      <c r="DT1529" s="332"/>
      <c r="DU1529" s="453"/>
      <c r="DV1529" s="453"/>
      <c r="DW1529" s="453"/>
      <c r="DX1529" s="453"/>
      <c r="DY1529" s="453"/>
      <c r="DZ1529" s="453"/>
      <c r="EA1529" s="453"/>
      <c r="EB1529" s="453"/>
      <c r="EC1529" s="453"/>
      <c r="ED1529" s="453"/>
      <c r="EE1529" s="453"/>
      <c r="EF1529" s="453"/>
      <c r="EG1529" s="453"/>
      <c r="EH1529" s="453"/>
      <c r="EI1529" s="453"/>
      <c r="EJ1529" s="453"/>
      <c r="EK1529" s="453"/>
      <c r="EL1529" s="453"/>
      <c r="EM1529" s="453"/>
      <c r="EN1529" s="453"/>
      <c r="EO1529" s="453"/>
      <c r="EP1529" s="453"/>
      <c r="EQ1529" s="453"/>
      <c r="ER1529" s="453"/>
      <c r="ES1529" s="453"/>
      <c r="ET1529" s="453"/>
      <c r="EU1529" s="453"/>
      <c r="EV1529" s="453"/>
      <c r="EW1529" s="453"/>
      <c r="EX1529" s="453"/>
      <c r="EY1529" s="453"/>
      <c r="EZ1529" s="453"/>
      <c r="FA1529" s="453"/>
      <c r="FB1529" s="453"/>
      <c r="FC1529" s="453"/>
      <c r="FD1529" s="453"/>
      <c r="FE1529" s="453"/>
      <c r="FF1529" s="453"/>
      <c r="FG1529" s="453"/>
      <c r="FH1529" s="453"/>
      <c r="FI1529" s="453"/>
      <c r="FJ1529" s="453"/>
      <c r="FK1529" s="453"/>
      <c r="FL1529" s="453"/>
      <c r="FM1529" s="453"/>
      <c r="FN1529" s="453"/>
      <c r="FO1529" s="453"/>
      <c r="FP1529" s="453"/>
      <c r="FQ1529" s="453"/>
      <c r="FR1529" s="453"/>
      <c r="FS1529" s="453"/>
      <c r="FT1529" s="453"/>
      <c r="FU1529" s="453"/>
      <c r="FV1529" s="453"/>
      <c r="FW1529" s="453"/>
      <c r="FX1529" s="453"/>
      <c r="FY1529" s="453"/>
      <c r="FZ1529" s="453"/>
      <c r="GA1529" s="453"/>
      <c r="GB1529" s="453"/>
      <c r="GC1529" s="453"/>
      <c r="GD1529" s="453"/>
      <c r="GE1529" s="453"/>
      <c r="GF1529" s="453"/>
      <c r="GG1529" s="453"/>
      <c r="GH1529" s="454"/>
      <c r="GI1529" s="453"/>
      <c r="GJ1529" s="453"/>
      <c r="GK1529" s="453"/>
      <c r="GL1529" s="453"/>
      <c r="GM1529" s="453"/>
      <c r="GN1529" s="453"/>
      <c r="GO1529" s="453"/>
      <c r="GP1529" s="453"/>
      <c r="GQ1529" s="453"/>
      <c r="GR1529" s="453"/>
      <c r="GS1529" s="453"/>
      <c r="GT1529" s="453"/>
      <c r="GU1529" s="453"/>
      <c r="GV1529" s="453"/>
      <c r="GW1529" s="453"/>
      <c r="GX1529" s="453"/>
      <c r="GY1529" s="453"/>
      <c r="GZ1529" s="453"/>
      <c r="HA1529" s="453"/>
      <c r="HB1529" s="453"/>
      <c r="HC1529" s="453"/>
      <c r="HD1529" s="453"/>
      <c r="HE1529" s="453"/>
      <c r="HF1529" s="453"/>
      <c r="HG1529" s="453"/>
      <c r="HH1529" s="453"/>
      <c r="HI1529" s="453"/>
      <c r="HJ1529" s="453"/>
      <c r="HK1529" s="453"/>
      <c r="HL1529" s="453"/>
      <c r="HM1529" s="454"/>
      <c r="HN1529" s="464"/>
      <c r="HO1529" s="465"/>
      <c r="HP1529" s="453"/>
      <c r="HQ1529" s="464"/>
      <c r="HR1529" s="465"/>
      <c r="HS1529" s="453"/>
      <c r="HT1529" s="464"/>
      <c r="HU1529" s="465"/>
      <c r="HV1529" s="453"/>
      <c r="HW1529" s="464"/>
    </row>
    <row r="1530" spans="25:231" ht="15" customHeight="1">
      <c r="Y1530" s="332"/>
      <c r="Z1530" s="332"/>
      <c r="AA1530" s="332"/>
      <c r="AB1530" s="332"/>
      <c r="AC1530" s="332"/>
      <c r="AD1530" s="332"/>
      <c r="AE1530" s="332"/>
      <c r="AF1530" s="332"/>
      <c r="AG1530" s="332"/>
      <c r="AH1530" s="332"/>
      <c r="AI1530" s="332"/>
      <c r="AJ1530" s="332"/>
      <c r="AK1530" s="332"/>
      <c r="AL1530" s="332"/>
      <c r="AM1530" s="332"/>
      <c r="AN1530" s="332"/>
      <c r="AO1530" s="332"/>
      <c r="AP1530" s="332"/>
      <c r="AQ1530" s="332"/>
      <c r="AR1530" s="332"/>
      <c r="AS1530" s="332"/>
      <c r="AT1530" s="332"/>
      <c r="AU1530" s="332"/>
      <c r="AV1530" s="332"/>
      <c r="AW1530" s="332"/>
      <c r="AX1530" s="332"/>
      <c r="AY1530" s="332"/>
      <c r="AZ1530" s="332"/>
      <c r="BA1530" s="332"/>
      <c r="BB1530" s="332"/>
      <c r="BC1530" s="332"/>
      <c r="BD1530" s="332"/>
      <c r="BE1530" s="332"/>
      <c r="BF1530" s="332"/>
      <c r="BG1530" s="332"/>
      <c r="BH1530" s="332"/>
      <c r="BI1530" s="332"/>
      <c r="BJ1530" s="332"/>
      <c r="BK1530" s="332"/>
      <c r="BL1530" s="332"/>
      <c r="BM1530" s="332"/>
      <c r="BN1530" s="332"/>
      <c r="BO1530" s="332"/>
      <c r="BP1530" s="332"/>
      <c r="BQ1530" s="332"/>
      <c r="BR1530" s="332"/>
      <c r="BS1530" s="332"/>
      <c r="BT1530" s="332"/>
      <c r="BU1530" s="332"/>
      <c r="BV1530" s="332"/>
      <c r="BW1530" s="332"/>
      <c r="BX1530" s="332"/>
      <c r="BY1530" s="332"/>
      <c r="BZ1530" s="332"/>
      <c r="CA1530" s="332"/>
      <c r="CB1530" s="332"/>
      <c r="CC1530" s="332"/>
      <c r="CD1530" s="332"/>
      <c r="CE1530" s="332"/>
      <c r="CF1530" s="332"/>
      <c r="CG1530" s="332"/>
      <c r="CH1530" s="332"/>
      <c r="CI1530" s="332"/>
      <c r="CJ1530" s="332"/>
      <c r="CK1530" s="332"/>
      <c r="CL1530" s="332"/>
      <c r="CM1530" s="332"/>
      <c r="CN1530" s="332"/>
      <c r="CO1530" s="332"/>
      <c r="CP1530" s="332"/>
      <c r="CQ1530" s="332"/>
      <c r="CR1530" s="332"/>
      <c r="CS1530" s="332"/>
      <c r="CT1530" s="332"/>
      <c r="CU1530" s="332"/>
      <c r="CV1530" s="332"/>
      <c r="CW1530" s="332"/>
      <c r="CX1530" s="332"/>
      <c r="CY1530" s="332"/>
      <c r="CZ1530" s="332"/>
      <c r="DA1530" s="332"/>
      <c r="DB1530" s="332"/>
      <c r="DC1530" s="332"/>
      <c r="DD1530" s="332"/>
      <c r="DE1530" s="332"/>
      <c r="DF1530" s="332"/>
      <c r="DG1530" s="332"/>
      <c r="DH1530" s="332"/>
      <c r="DI1530" s="332"/>
      <c r="DJ1530" s="332"/>
      <c r="DK1530" s="332"/>
      <c r="DL1530" s="332"/>
      <c r="DM1530" s="332"/>
      <c r="DN1530" s="332"/>
      <c r="DO1530" s="332"/>
      <c r="DP1530" s="332"/>
      <c r="DQ1530" s="332"/>
      <c r="DR1530" s="332"/>
      <c r="DS1530" s="332"/>
      <c r="DT1530" s="332"/>
      <c r="DU1530" s="453"/>
      <c r="DV1530" s="453"/>
      <c r="DW1530" s="453"/>
      <c r="DX1530" s="453"/>
      <c r="DY1530" s="453"/>
      <c r="DZ1530" s="453"/>
      <c r="EA1530" s="453"/>
      <c r="EB1530" s="453"/>
      <c r="EC1530" s="453"/>
      <c r="ED1530" s="453"/>
      <c r="EE1530" s="453"/>
      <c r="EF1530" s="453"/>
      <c r="EG1530" s="453"/>
      <c r="EH1530" s="453"/>
      <c r="EI1530" s="453"/>
      <c r="EJ1530" s="453"/>
      <c r="EK1530" s="453"/>
      <c r="EL1530" s="453"/>
      <c r="EM1530" s="453"/>
      <c r="EN1530" s="453"/>
      <c r="EO1530" s="453"/>
      <c r="EP1530" s="453"/>
      <c r="EQ1530" s="453"/>
      <c r="ER1530" s="453"/>
      <c r="ES1530" s="453"/>
      <c r="ET1530" s="453"/>
      <c r="EU1530" s="453"/>
      <c r="EV1530" s="453"/>
      <c r="EW1530" s="453"/>
      <c r="EX1530" s="453"/>
      <c r="EY1530" s="453"/>
      <c r="EZ1530" s="453"/>
      <c r="FA1530" s="453"/>
      <c r="FB1530" s="453"/>
      <c r="FC1530" s="453"/>
      <c r="FD1530" s="453"/>
      <c r="FE1530" s="453"/>
      <c r="FF1530" s="453"/>
      <c r="FG1530" s="453"/>
      <c r="FH1530" s="453"/>
      <c r="FI1530" s="453"/>
      <c r="FJ1530" s="453"/>
      <c r="FK1530" s="453"/>
      <c r="FL1530" s="453"/>
      <c r="FM1530" s="453"/>
      <c r="FN1530" s="453"/>
      <c r="FO1530" s="453"/>
      <c r="FP1530" s="453"/>
      <c r="FQ1530" s="453"/>
      <c r="FR1530" s="453"/>
      <c r="FS1530" s="453"/>
      <c r="FT1530" s="453"/>
      <c r="FU1530" s="453"/>
      <c r="FV1530" s="453"/>
      <c r="FW1530" s="453"/>
      <c r="FX1530" s="453"/>
      <c r="FY1530" s="453"/>
      <c r="FZ1530" s="453"/>
      <c r="GA1530" s="453"/>
      <c r="GB1530" s="453"/>
      <c r="GC1530" s="453"/>
      <c r="GD1530" s="453"/>
      <c r="GE1530" s="453"/>
      <c r="GF1530" s="453"/>
      <c r="GG1530" s="453"/>
      <c r="GH1530" s="454"/>
      <c r="GI1530" s="453"/>
      <c r="GJ1530" s="453"/>
      <c r="GK1530" s="453"/>
      <c r="GL1530" s="453"/>
      <c r="GM1530" s="453"/>
      <c r="GN1530" s="453"/>
      <c r="GO1530" s="453"/>
      <c r="GP1530" s="453"/>
      <c r="GQ1530" s="453"/>
      <c r="GR1530" s="453"/>
      <c r="GS1530" s="453"/>
      <c r="GT1530" s="453"/>
      <c r="GU1530" s="453"/>
      <c r="GV1530" s="453"/>
      <c r="GW1530" s="453"/>
      <c r="GX1530" s="453"/>
      <c r="GY1530" s="453"/>
      <c r="GZ1530" s="453"/>
      <c r="HA1530" s="453"/>
      <c r="HB1530" s="453"/>
      <c r="HC1530" s="453"/>
      <c r="HD1530" s="453"/>
      <c r="HE1530" s="453"/>
      <c r="HF1530" s="453"/>
      <c r="HG1530" s="453"/>
      <c r="HH1530" s="453"/>
      <c r="HI1530" s="453"/>
      <c r="HJ1530" s="453"/>
      <c r="HK1530" s="453"/>
      <c r="HL1530" s="453"/>
      <c r="HM1530" s="454"/>
      <c r="HN1530" s="464"/>
      <c r="HO1530" s="465"/>
      <c r="HP1530" s="453"/>
      <c r="HQ1530" s="464"/>
      <c r="HR1530" s="465"/>
      <c r="HS1530" s="453"/>
      <c r="HT1530" s="464"/>
      <c r="HU1530" s="465"/>
      <c r="HV1530" s="453"/>
      <c r="HW1530" s="464"/>
    </row>
    <row r="1531" spans="25:231" ht="15" customHeight="1">
      <c r="Y1531" s="332"/>
      <c r="Z1531" s="332"/>
      <c r="AA1531" s="332"/>
      <c r="AB1531" s="332"/>
      <c r="AC1531" s="332"/>
      <c r="AD1531" s="332"/>
      <c r="AE1531" s="332"/>
      <c r="AF1531" s="332"/>
      <c r="AG1531" s="332"/>
      <c r="AH1531" s="332"/>
      <c r="AI1531" s="332"/>
      <c r="AJ1531" s="332"/>
      <c r="AK1531" s="332"/>
      <c r="AL1531" s="332"/>
      <c r="AM1531" s="332"/>
      <c r="AN1531" s="332"/>
      <c r="AO1531" s="332"/>
      <c r="AP1531" s="332"/>
      <c r="AQ1531" s="332"/>
      <c r="AR1531" s="332"/>
      <c r="AS1531" s="332"/>
      <c r="AT1531" s="332"/>
      <c r="AU1531" s="332"/>
      <c r="AV1531" s="332"/>
      <c r="AW1531" s="332"/>
      <c r="AX1531" s="332"/>
      <c r="AY1531" s="332"/>
      <c r="AZ1531" s="332"/>
      <c r="BA1531" s="332"/>
      <c r="BB1531" s="332"/>
      <c r="BC1531" s="332"/>
      <c r="BD1531" s="332"/>
      <c r="BE1531" s="332"/>
      <c r="BF1531" s="332"/>
      <c r="BG1531" s="332"/>
      <c r="BH1531" s="332"/>
      <c r="BI1531" s="332"/>
      <c r="BJ1531" s="332"/>
      <c r="BK1531" s="332"/>
      <c r="BL1531" s="332"/>
      <c r="BM1531" s="332"/>
      <c r="BN1531" s="332"/>
      <c r="BO1531" s="332"/>
      <c r="BP1531" s="332"/>
      <c r="BQ1531" s="332"/>
      <c r="BR1531" s="332"/>
      <c r="BS1531" s="332"/>
      <c r="BT1531" s="332"/>
      <c r="BU1531" s="332"/>
      <c r="BV1531" s="332"/>
      <c r="BW1531" s="332"/>
      <c r="BX1531" s="332"/>
      <c r="BY1531" s="332"/>
      <c r="BZ1531" s="332"/>
      <c r="CA1531" s="332"/>
      <c r="CB1531" s="332"/>
      <c r="CC1531" s="332"/>
      <c r="CD1531" s="332"/>
      <c r="CE1531" s="332"/>
      <c r="CF1531" s="332"/>
      <c r="CG1531" s="332"/>
      <c r="CH1531" s="332"/>
      <c r="CI1531" s="332"/>
      <c r="CJ1531" s="332"/>
      <c r="CK1531" s="332"/>
      <c r="CL1531" s="332"/>
      <c r="CM1531" s="332"/>
      <c r="CN1531" s="332"/>
      <c r="CO1531" s="332"/>
      <c r="CP1531" s="332"/>
      <c r="CQ1531" s="332"/>
      <c r="CR1531" s="332"/>
      <c r="CS1531" s="332"/>
      <c r="CT1531" s="332"/>
      <c r="CU1531" s="332"/>
      <c r="CV1531" s="332"/>
      <c r="CW1531" s="332"/>
      <c r="CX1531" s="332"/>
      <c r="CY1531" s="332"/>
      <c r="CZ1531" s="332"/>
      <c r="DA1531" s="332"/>
      <c r="DB1531" s="332"/>
      <c r="DC1531" s="332"/>
      <c r="DD1531" s="332"/>
      <c r="DE1531" s="332"/>
      <c r="DF1531" s="332"/>
      <c r="DG1531" s="332"/>
      <c r="DH1531" s="332"/>
      <c r="DI1531" s="332"/>
      <c r="DJ1531" s="332"/>
      <c r="DK1531" s="332"/>
      <c r="DL1531" s="332"/>
      <c r="DM1531" s="332"/>
      <c r="DN1531" s="332"/>
      <c r="DO1531" s="332"/>
      <c r="DP1531" s="332"/>
      <c r="DQ1531" s="332"/>
      <c r="DR1531" s="332"/>
      <c r="DS1531" s="332"/>
      <c r="DT1531" s="332"/>
      <c r="DU1531" s="453"/>
      <c r="DV1531" s="453"/>
      <c r="DW1531" s="453"/>
      <c r="DX1531" s="453"/>
      <c r="DY1531" s="453"/>
      <c r="DZ1531" s="453"/>
      <c r="EA1531" s="453"/>
      <c r="EB1531" s="453"/>
      <c r="EC1531" s="453"/>
      <c r="ED1531" s="453"/>
      <c r="EE1531" s="453"/>
      <c r="EF1531" s="453"/>
      <c r="EG1531" s="453"/>
      <c r="EH1531" s="453"/>
      <c r="EI1531" s="453"/>
      <c r="EJ1531" s="453"/>
      <c r="EK1531" s="453"/>
      <c r="EL1531" s="453"/>
      <c r="EM1531" s="453"/>
      <c r="EN1531" s="453"/>
      <c r="EO1531" s="453"/>
      <c r="EP1531" s="453"/>
      <c r="EQ1531" s="453"/>
      <c r="ER1531" s="453"/>
      <c r="ES1531" s="453"/>
      <c r="ET1531" s="453"/>
      <c r="EU1531" s="453"/>
      <c r="EV1531" s="453"/>
      <c r="EW1531" s="453"/>
      <c r="EX1531" s="453"/>
      <c r="EY1531" s="453"/>
      <c r="EZ1531" s="453"/>
      <c r="FA1531" s="453"/>
      <c r="FB1531" s="453"/>
      <c r="FC1531" s="453"/>
      <c r="FD1531" s="453"/>
      <c r="FE1531" s="453"/>
      <c r="FF1531" s="453"/>
      <c r="FG1531" s="453"/>
      <c r="FH1531" s="453"/>
      <c r="FI1531" s="453"/>
      <c r="FJ1531" s="453"/>
      <c r="FK1531" s="453"/>
      <c r="FL1531" s="453"/>
      <c r="FM1531" s="453"/>
      <c r="FN1531" s="453"/>
      <c r="FO1531" s="453"/>
      <c r="FP1531" s="453"/>
      <c r="FQ1531" s="453"/>
      <c r="FR1531" s="453"/>
      <c r="FS1531" s="453"/>
      <c r="FT1531" s="453"/>
      <c r="FU1531" s="453"/>
      <c r="FV1531" s="453"/>
      <c r="FW1531" s="453"/>
      <c r="FX1531" s="453"/>
      <c r="FY1531" s="453"/>
      <c r="FZ1531" s="453"/>
      <c r="GA1531" s="453"/>
      <c r="GB1531" s="453"/>
      <c r="GC1531" s="453"/>
      <c r="GD1531" s="453"/>
      <c r="GE1531" s="453"/>
      <c r="GF1531" s="453"/>
      <c r="GG1531" s="453"/>
      <c r="GH1531" s="454"/>
      <c r="GI1531" s="453"/>
      <c r="GJ1531" s="453"/>
      <c r="GK1531" s="453"/>
      <c r="GL1531" s="453"/>
      <c r="GM1531" s="453"/>
      <c r="GN1531" s="453"/>
      <c r="GO1531" s="453"/>
      <c r="GP1531" s="453"/>
      <c r="GQ1531" s="453"/>
      <c r="GR1531" s="453"/>
      <c r="GS1531" s="453"/>
      <c r="GT1531" s="453"/>
      <c r="GU1531" s="453"/>
      <c r="GV1531" s="453"/>
      <c r="GW1531" s="453"/>
      <c r="GX1531" s="453"/>
      <c r="GY1531" s="453"/>
      <c r="GZ1531" s="453"/>
      <c r="HA1531" s="453"/>
      <c r="HB1531" s="453"/>
      <c r="HC1531" s="453"/>
      <c r="HD1531" s="453"/>
      <c r="HE1531" s="453"/>
      <c r="HF1531" s="453"/>
      <c r="HG1531" s="453"/>
      <c r="HH1531" s="453"/>
      <c r="HI1531" s="453"/>
      <c r="HJ1531" s="453"/>
      <c r="HK1531" s="453"/>
      <c r="HL1531" s="453"/>
      <c r="HM1531" s="454"/>
      <c r="HN1531" s="464"/>
      <c r="HO1531" s="465"/>
      <c r="HP1531" s="453"/>
      <c r="HQ1531" s="464"/>
      <c r="HR1531" s="465"/>
      <c r="HS1531" s="453"/>
      <c r="HT1531" s="464"/>
      <c r="HU1531" s="465"/>
      <c r="HV1531" s="453"/>
      <c r="HW1531" s="464"/>
    </row>
    <row r="1532" spans="25:231" ht="15" customHeight="1">
      <c r="Y1532" s="332"/>
      <c r="Z1532" s="332"/>
      <c r="AA1532" s="332"/>
      <c r="AB1532" s="332"/>
      <c r="AC1532" s="332"/>
      <c r="AD1532" s="332"/>
      <c r="AE1532" s="332"/>
      <c r="AF1532" s="332"/>
      <c r="AG1532" s="332"/>
      <c r="AH1532" s="332"/>
      <c r="AI1532" s="332"/>
      <c r="AJ1532" s="332"/>
      <c r="AK1532" s="332"/>
      <c r="AL1532" s="332"/>
      <c r="AM1532" s="332"/>
      <c r="AN1532" s="332"/>
      <c r="AO1532" s="332"/>
      <c r="AP1532" s="332"/>
      <c r="AQ1532" s="332"/>
      <c r="AR1532" s="332"/>
      <c r="AS1532" s="332"/>
      <c r="AT1532" s="332"/>
      <c r="AU1532" s="332"/>
      <c r="AV1532" s="332"/>
      <c r="AW1532" s="332"/>
      <c r="AX1532" s="332"/>
      <c r="AY1532" s="332"/>
      <c r="AZ1532" s="332"/>
      <c r="BA1532" s="332"/>
      <c r="BB1532" s="332"/>
      <c r="BC1532" s="332"/>
      <c r="BD1532" s="332"/>
      <c r="BE1532" s="332"/>
      <c r="BF1532" s="332"/>
      <c r="BG1532" s="332"/>
      <c r="BH1532" s="332"/>
      <c r="BI1532" s="332"/>
      <c r="BJ1532" s="332"/>
      <c r="BK1532" s="332"/>
      <c r="BL1532" s="332"/>
      <c r="BM1532" s="332"/>
      <c r="BN1532" s="332"/>
      <c r="BO1532" s="332"/>
      <c r="BP1532" s="332"/>
      <c r="BQ1532" s="332"/>
      <c r="BR1532" s="332"/>
      <c r="BS1532" s="332"/>
      <c r="BT1532" s="332"/>
      <c r="BU1532" s="332"/>
      <c r="BV1532" s="332"/>
      <c r="BW1532" s="332"/>
      <c r="BX1532" s="332"/>
      <c r="BY1532" s="332"/>
      <c r="BZ1532" s="332"/>
      <c r="CA1532" s="332"/>
      <c r="CB1532" s="332"/>
      <c r="CC1532" s="332"/>
      <c r="CD1532" s="332"/>
      <c r="CE1532" s="332"/>
      <c r="CF1532" s="332"/>
      <c r="CG1532" s="332"/>
      <c r="CH1532" s="332"/>
      <c r="CI1532" s="332"/>
      <c r="CJ1532" s="332"/>
      <c r="CK1532" s="332"/>
      <c r="CL1532" s="332"/>
      <c r="CM1532" s="332"/>
      <c r="CN1532" s="332"/>
      <c r="CO1532" s="332"/>
      <c r="CP1532" s="332"/>
      <c r="CQ1532" s="332"/>
      <c r="CR1532" s="332"/>
      <c r="CS1532" s="332"/>
      <c r="CT1532" s="332"/>
      <c r="CU1532" s="332"/>
      <c r="CV1532" s="332"/>
      <c r="CW1532" s="332"/>
      <c r="CX1532" s="332"/>
      <c r="CY1532" s="332"/>
      <c r="CZ1532" s="332"/>
      <c r="DA1532" s="332"/>
      <c r="DB1532" s="332"/>
      <c r="DC1532" s="332"/>
      <c r="DD1532" s="332"/>
      <c r="DE1532" s="332"/>
      <c r="DF1532" s="332"/>
      <c r="DG1532" s="332"/>
      <c r="DH1532" s="332"/>
      <c r="DI1532" s="332"/>
      <c r="DJ1532" s="332"/>
      <c r="DK1532" s="332"/>
      <c r="DL1532" s="332"/>
      <c r="DM1532" s="332"/>
      <c r="DN1532" s="332"/>
      <c r="DO1532" s="332"/>
      <c r="DP1532" s="332"/>
      <c r="DQ1532" s="332"/>
      <c r="DR1532" s="332"/>
      <c r="DS1532" s="332"/>
      <c r="DT1532" s="332"/>
      <c r="DU1532" s="453"/>
      <c r="DV1532" s="453"/>
      <c r="DW1532" s="453"/>
      <c r="DX1532" s="453"/>
      <c r="DY1532" s="453"/>
      <c r="DZ1532" s="453"/>
      <c r="EA1532" s="453"/>
      <c r="EB1532" s="453"/>
      <c r="EC1532" s="453"/>
      <c r="ED1532" s="453"/>
      <c r="EE1532" s="453"/>
      <c r="EF1532" s="453"/>
      <c r="EG1532" s="453"/>
      <c r="EH1532" s="453"/>
      <c r="EI1532" s="453"/>
      <c r="EJ1532" s="453"/>
      <c r="EK1532" s="453"/>
      <c r="EL1532" s="453"/>
      <c r="EM1532" s="453"/>
      <c r="EN1532" s="453"/>
      <c r="EO1532" s="453"/>
      <c r="EP1532" s="453"/>
      <c r="EQ1532" s="453"/>
      <c r="ER1532" s="453"/>
      <c r="ES1532" s="453"/>
      <c r="ET1532" s="453"/>
      <c r="EU1532" s="453"/>
      <c r="EV1532" s="453"/>
      <c r="EW1532" s="453"/>
      <c r="EX1532" s="453"/>
      <c r="EY1532" s="453"/>
      <c r="EZ1532" s="453"/>
      <c r="FA1532" s="453"/>
      <c r="FB1532" s="453"/>
      <c r="FC1532" s="453"/>
      <c r="FD1532" s="453"/>
      <c r="FE1532" s="453"/>
      <c r="FF1532" s="453"/>
      <c r="FG1532" s="453"/>
      <c r="FH1532" s="453"/>
      <c r="FI1532" s="453"/>
      <c r="FJ1532" s="453"/>
      <c r="FK1532" s="453"/>
      <c r="FL1532" s="453"/>
      <c r="FM1532" s="453"/>
      <c r="FN1532" s="453"/>
      <c r="FO1532" s="453"/>
      <c r="FP1532" s="453"/>
      <c r="FQ1532" s="453"/>
      <c r="FR1532" s="453"/>
      <c r="FS1532" s="453"/>
      <c r="FT1532" s="453"/>
      <c r="FU1532" s="453"/>
      <c r="FV1532" s="453"/>
      <c r="FW1532" s="453"/>
      <c r="FX1532" s="453"/>
      <c r="FY1532" s="453"/>
      <c r="FZ1532" s="453"/>
      <c r="GA1532" s="453"/>
      <c r="GB1532" s="453"/>
      <c r="GC1532" s="453"/>
      <c r="GD1532" s="453"/>
      <c r="GE1532" s="453"/>
      <c r="GF1532" s="453"/>
      <c r="GG1532" s="453"/>
      <c r="GH1532" s="454"/>
      <c r="GI1532" s="453"/>
      <c r="GJ1532" s="453"/>
      <c r="GK1532" s="453"/>
      <c r="GL1532" s="453"/>
      <c r="GM1532" s="453"/>
      <c r="GN1532" s="453"/>
      <c r="GO1532" s="453"/>
      <c r="GP1532" s="453"/>
      <c r="GQ1532" s="453"/>
      <c r="GR1532" s="453"/>
      <c r="GS1532" s="453"/>
      <c r="GT1532" s="453"/>
      <c r="GU1532" s="453"/>
      <c r="GV1532" s="453"/>
      <c r="GW1532" s="453"/>
      <c r="GX1532" s="453"/>
      <c r="GY1532" s="453"/>
      <c r="GZ1532" s="453"/>
      <c r="HA1532" s="453"/>
      <c r="HB1532" s="453"/>
      <c r="HC1532" s="453"/>
      <c r="HD1532" s="453"/>
      <c r="HE1532" s="453"/>
      <c r="HF1532" s="453"/>
      <c r="HG1532" s="453"/>
      <c r="HH1532" s="453"/>
      <c r="HI1532" s="453"/>
      <c r="HJ1532" s="453"/>
      <c r="HK1532" s="453"/>
      <c r="HL1532" s="453"/>
      <c r="HM1532" s="454"/>
      <c r="HN1532" s="464"/>
      <c r="HO1532" s="465"/>
      <c r="HP1532" s="453"/>
      <c r="HQ1532" s="464"/>
      <c r="HR1532" s="465"/>
      <c r="HS1532" s="453"/>
      <c r="HT1532" s="464"/>
      <c r="HU1532" s="465"/>
      <c r="HV1532" s="453"/>
      <c r="HW1532" s="464"/>
    </row>
    <row r="1533" spans="25:231" ht="15" customHeight="1">
      <c r="Y1533" s="332"/>
      <c r="Z1533" s="332"/>
      <c r="AA1533" s="332"/>
      <c r="AB1533" s="332"/>
      <c r="AC1533" s="332"/>
      <c r="AD1533" s="332"/>
      <c r="AE1533" s="332"/>
      <c r="AF1533" s="332"/>
      <c r="AG1533" s="332"/>
      <c r="AH1533" s="332"/>
      <c r="AI1533" s="332"/>
      <c r="AJ1533" s="332"/>
      <c r="AK1533" s="332"/>
      <c r="AL1533" s="332"/>
      <c r="AM1533" s="332"/>
      <c r="AN1533" s="332"/>
      <c r="AO1533" s="332"/>
      <c r="AP1533" s="332"/>
      <c r="AQ1533" s="332"/>
      <c r="AR1533" s="332"/>
      <c r="AS1533" s="332"/>
      <c r="AT1533" s="332"/>
      <c r="AU1533" s="332"/>
      <c r="AV1533" s="332"/>
      <c r="AW1533" s="332"/>
      <c r="AX1533" s="332"/>
      <c r="AY1533" s="332"/>
      <c r="AZ1533" s="332"/>
      <c r="BA1533" s="332"/>
      <c r="BB1533" s="332"/>
      <c r="BC1533" s="332"/>
      <c r="BD1533" s="332"/>
      <c r="BE1533" s="332"/>
      <c r="BF1533" s="332"/>
      <c r="BG1533" s="332"/>
      <c r="BH1533" s="332"/>
      <c r="BI1533" s="332"/>
      <c r="BJ1533" s="332"/>
      <c r="BK1533" s="332"/>
      <c r="BL1533" s="332"/>
      <c r="BM1533" s="332"/>
      <c r="BN1533" s="332"/>
      <c r="BO1533" s="332"/>
      <c r="BP1533" s="332"/>
      <c r="BQ1533" s="332"/>
      <c r="BR1533" s="332"/>
      <c r="BS1533" s="332"/>
      <c r="BT1533" s="332"/>
      <c r="BU1533" s="332"/>
      <c r="BV1533" s="332"/>
      <c r="BW1533" s="332"/>
      <c r="BX1533" s="332"/>
      <c r="BY1533" s="332"/>
      <c r="BZ1533" s="332"/>
      <c r="CA1533" s="332"/>
      <c r="CB1533" s="332"/>
      <c r="CC1533" s="332"/>
      <c r="CD1533" s="332"/>
      <c r="CE1533" s="332"/>
      <c r="CF1533" s="332"/>
      <c r="CG1533" s="332"/>
      <c r="CH1533" s="332"/>
      <c r="CI1533" s="332"/>
      <c r="CJ1533" s="332"/>
      <c r="CK1533" s="332"/>
      <c r="CL1533" s="332"/>
      <c r="CM1533" s="332"/>
      <c r="CN1533" s="332"/>
      <c r="CO1533" s="332"/>
      <c r="CP1533" s="332"/>
      <c r="CQ1533" s="332"/>
      <c r="CR1533" s="332"/>
      <c r="CS1533" s="332"/>
      <c r="CT1533" s="332"/>
      <c r="CU1533" s="332"/>
      <c r="CV1533" s="332"/>
      <c r="CW1533" s="332"/>
      <c r="CX1533" s="332"/>
      <c r="CY1533" s="332"/>
      <c r="CZ1533" s="332"/>
      <c r="DA1533" s="332"/>
      <c r="DB1533" s="332"/>
      <c r="DC1533" s="332"/>
      <c r="DD1533" s="332"/>
      <c r="DE1533" s="332"/>
      <c r="DF1533" s="332"/>
      <c r="DG1533" s="332"/>
      <c r="DH1533" s="332"/>
      <c r="DI1533" s="332"/>
      <c r="DJ1533" s="332"/>
      <c r="DK1533" s="332"/>
      <c r="DL1533" s="332"/>
      <c r="DM1533" s="332"/>
      <c r="DN1533" s="332"/>
      <c r="DO1533" s="332"/>
      <c r="DP1533" s="332"/>
      <c r="DQ1533" s="332"/>
      <c r="DR1533" s="332"/>
      <c r="DS1533" s="332"/>
      <c r="DT1533" s="332"/>
      <c r="DU1533" s="453"/>
      <c r="DV1533" s="453"/>
      <c r="DW1533" s="453"/>
      <c r="DX1533" s="453"/>
      <c r="DY1533" s="453"/>
      <c r="DZ1533" s="453"/>
      <c r="EA1533" s="453"/>
      <c r="EB1533" s="453"/>
      <c r="EC1533" s="453"/>
      <c r="ED1533" s="453"/>
      <c r="EE1533" s="453"/>
      <c r="EF1533" s="453"/>
      <c r="EG1533" s="453"/>
      <c r="EH1533" s="453"/>
      <c r="EI1533" s="453"/>
      <c r="EJ1533" s="453"/>
      <c r="EK1533" s="453"/>
      <c r="EL1533" s="453"/>
      <c r="EM1533" s="453"/>
      <c r="EN1533" s="453"/>
      <c r="EO1533" s="453"/>
      <c r="EP1533" s="453"/>
      <c r="EQ1533" s="453"/>
      <c r="ER1533" s="453"/>
      <c r="ES1533" s="453"/>
      <c r="ET1533" s="453"/>
      <c r="EU1533" s="453"/>
      <c r="EV1533" s="453"/>
      <c r="EW1533" s="453"/>
      <c r="EX1533" s="453"/>
      <c r="EY1533" s="453"/>
      <c r="EZ1533" s="453"/>
      <c r="FA1533" s="453"/>
      <c r="FB1533" s="453"/>
      <c r="FC1533" s="453"/>
      <c r="FD1533" s="453"/>
      <c r="FE1533" s="453"/>
      <c r="FF1533" s="453"/>
      <c r="FG1533" s="453"/>
      <c r="FH1533" s="453"/>
      <c r="FI1533" s="453"/>
      <c r="FJ1533" s="453"/>
      <c r="FK1533" s="453"/>
      <c r="FL1533" s="453"/>
      <c r="FM1533" s="453"/>
      <c r="FN1533" s="453"/>
      <c r="FO1533" s="453"/>
      <c r="FP1533" s="453"/>
      <c r="FQ1533" s="453"/>
      <c r="FR1533" s="453"/>
      <c r="FS1533" s="453"/>
      <c r="FT1533" s="453"/>
      <c r="FU1533" s="453"/>
      <c r="FV1533" s="453"/>
      <c r="FW1533" s="453"/>
      <c r="FX1533" s="453"/>
      <c r="FY1533" s="453"/>
      <c r="FZ1533" s="453"/>
      <c r="GA1533" s="453"/>
      <c r="GB1533" s="453"/>
      <c r="GC1533" s="453"/>
      <c r="GD1533" s="453"/>
      <c r="GE1533" s="453"/>
      <c r="GF1533" s="453"/>
      <c r="GG1533" s="453"/>
      <c r="GH1533" s="454"/>
      <c r="GI1533" s="453"/>
      <c r="GJ1533" s="453"/>
      <c r="GK1533" s="453"/>
      <c r="GL1533" s="453"/>
      <c r="GM1533" s="453"/>
      <c r="GN1533" s="453"/>
      <c r="GO1533" s="453"/>
      <c r="GP1533" s="453"/>
      <c r="GQ1533" s="453"/>
      <c r="GR1533" s="453"/>
      <c r="GS1533" s="453"/>
      <c r="GT1533" s="453"/>
      <c r="GU1533" s="453"/>
      <c r="GV1533" s="453"/>
      <c r="GW1533" s="453"/>
      <c r="GX1533" s="453"/>
      <c r="GY1533" s="453"/>
      <c r="GZ1533" s="453"/>
      <c r="HA1533" s="453"/>
      <c r="HB1533" s="453"/>
      <c r="HC1533" s="453"/>
      <c r="HD1533" s="453"/>
      <c r="HE1533" s="453"/>
      <c r="HF1533" s="453"/>
      <c r="HG1533" s="453"/>
      <c r="HH1533" s="453"/>
      <c r="HI1533" s="453"/>
      <c r="HJ1533" s="453"/>
      <c r="HK1533" s="453"/>
      <c r="HL1533" s="453"/>
      <c r="HM1533" s="454"/>
      <c r="HN1533" s="464"/>
      <c r="HO1533" s="465"/>
      <c r="HP1533" s="453"/>
      <c r="HQ1533" s="464"/>
      <c r="HR1533" s="465"/>
      <c r="HS1533" s="453"/>
      <c r="HT1533" s="464"/>
      <c r="HU1533" s="465"/>
      <c r="HV1533" s="453"/>
      <c r="HW1533" s="464"/>
    </row>
    <row r="1534" spans="25:231" ht="15" customHeight="1">
      <c r="Y1534" s="332"/>
      <c r="Z1534" s="332"/>
      <c r="AA1534" s="332"/>
      <c r="AB1534" s="332"/>
      <c r="AC1534" s="332"/>
      <c r="AD1534" s="332"/>
      <c r="AE1534" s="332"/>
      <c r="AF1534" s="332"/>
      <c r="AG1534" s="332"/>
      <c r="AH1534" s="332"/>
      <c r="AI1534" s="332"/>
      <c r="AJ1534" s="332"/>
      <c r="AK1534" s="332"/>
      <c r="AL1534" s="332"/>
      <c r="AM1534" s="332"/>
      <c r="AN1534" s="332"/>
      <c r="AO1534" s="332"/>
      <c r="AP1534" s="332"/>
      <c r="AQ1534" s="332"/>
      <c r="AR1534" s="332"/>
      <c r="AS1534" s="332"/>
      <c r="AT1534" s="332"/>
      <c r="AU1534" s="332"/>
      <c r="AV1534" s="332"/>
      <c r="AW1534" s="332"/>
      <c r="AX1534" s="332"/>
      <c r="AY1534" s="332"/>
      <c r="AZ1534" s="332"/>
      <c r="BA1534" s="332"/>
      <c r="BB1534" s="332"/>
      <c r="BC1534" s="332"/>
      <c r="BD1534" s="332"/>
      <c r="BE1534" s="332"/>
      <c r="BF1534" s="332"/>
      <c r="BG1534" s="332"/>
      <c r="BH1534" s="332"/>
      <c r="BI1534" s="332"/>
      <c r="BJ1534" s="332"/>
      <c r="BK1534" s="332"/>
      <c r="BL1534" s="332"/>
      <c r="BM1534" s="332"/>
      <c r="BN1534" s="332"/>
      <c r="BO1534" s="332"/>
      <c r="BP1534" s="332"/>
      <c r="BQ1534" s="332"/>
      <c r="BR1534" s="332"/>
      <c r="BS1534" s="332"/>
      <c r="BT1534" s="332"/>
      <c r="BU1534" s="332"/>
      <c r="BV1534" s="332"/>
      <c r="BW1534" s="332"/>
      <c r="BX1534" s="332"/>
      <c r="BY1534" s="332"/>
      <c r="BZ1534" s="332"/>
      <c r="CA1534" s="332"/>
      <c r="CB1534" s="332"/>
      <c r="CC1534" s="332"/>
      <c r="CD1534" s="332"/>
      <c r="CE1534" s="332"/>
      <c r="CF1534" s="332"/>
      <c r="CG1534" s="332"/>
      <c r="CH1534" s="332"/>
      <c r="CI1534" s="332"/>
      <c r="CJ1534" s="332"/>
      <c r="CK1534" s="332"/>
      <c r="CL1534" s="332"/>
      <c r="CM1534" s="332"/>
      <c r="CN1534" s="332"/>
      <c r="CO1534" s="332"/>
      <c r="CP1534" s="332"/>
      <c r="CQ1534" s="332"/>
      <c r="CR1534" s="332"/>
      <c r="CS1534" s="332"/>
      <c r="CT1534" s="332"/>
      <c r="CU1534" s="332"/>
      <c r="CV1534" s="332"/>
      <c r="CW1534" s="332"/>
      <c r="CX1534" s="332"/>
      <c r="CY1534" s="332"/>
      <c r="CZ1534" s="332"/>
      <c r="DA1534" s="332"/>
      <c r="DB1534" s="332"/>
      <c r="DC1534" s="332"/>
      <c r="DD1534" s="332"/>
      <c r="DE1534" s="332"/>
      <c r="DF1534" s="332"/>
      <c r="DG1534" s="332"/>
      <c r="DH1534" s="332"/>
      <c r="DI1534" s="332"/>
      <c r="DJ1534" s="332"/>
      <c r="DK1534" s="332"/>
      <c r="DL1534" s="332"/>
      <c r="DM1534" s="332"/>
      <c r="DN1534" s="332"/>
      <c r="DO1534" s="332"/>
      <c r="DP1534" s="332"/>
      <c r="DQ1534" s="332"/>
      <c r="DR1534" s="332"/>
      <c r="DS1534" s="332"/>
      <c r="DT1534" s="332"/>
      <c r="DU1534" s="453"/>
      <c r="DV1534" s="453"/>
      <c r="DW1534" s="453"/>
      <c r="DX1534" s="453"/>
      <c r="DY1534" s="453"/>
      <c r="DZ1534" s="453"/>
      <c r="EA1534" s="453"/>
      <c r="EB1534" s="453"/>
      <c r="EC1534" s="453"/>
      <c r="ED1534" s="453"/>
      <c r="EE1534" s="453"/>
      <c r="EF1534" s="453"/>
      <c r="EG1534" s="453"/>
      <c r="EH1534" s="453"/>
      <c r="EI1534" s="453"/>
      <c r="EJ1534" s="453"/>
      <c r="EK1534" s="453"/>
      <c r="EL1534" s="453"/>
      <c r="EM1534" s="453"/>
      <c r="EN1534" s="453"/>
      <c r="EO1534" s="453"/>
      <c r="EP1534" s="453"/>
      <c r="EQ1534" s="453"/>
      <c r="ER1534" s="453"/>
      <c r="ES1534" s="453"/>
      <c r="ET1534" s="453"/>
      <c r="EU1534" s="453"/>
      <c r="EV1534" s="453"/>
      <c r="EW1534" s="453"/>
      <c r="EX1534" s="453"/>
      <c r="EY1534" s="453"/>
      <c r="EZ1534" s="453"/>
      <c r="FA1534" s="453"/>
      <c r="FB1534" s="453"/>
      <c r="FC1534" s="453"/>
      <c r="FD1534" s="453"/>
      <c r="FE1534" s="453"/>
      <c r="FF1534" s="453"/>
      <c r="FG1534" s="453"/>
      <c r="FH1534" s="453"/>
      <c r="FI1534" s="453"/>
      <c r="FJ1534" s="453"/>
      <c r="FK1534" s="453"/>
      <c r="FL1534" s="453"/>
      <c r="FM1534" s="453"/>
      <c r="FN1534" s="453"/>
      <c r="FO1534" s="453"/>
      <c r="FP1534" s="453"/>
      <c r="FQ1534" s="453"/>
      <c r="FR1534" s="453"/>
      <c r="FS1534" s="453"/>
      <c r="FT1534" s="453"/>
      <c r="FU1534" s="453"/>
      <c r="FV1534" s="453"/>
      <c r="FW1534" s="453"/>
      <c r="FX1534" s="453"/>
      <c r="FY1534" s="453"/>
      <c r="FZ1534" s="453"/>
      <c r="GA1534" s="453"/>
      <c r="GB1534" s="453"/>
      <c r="GC1534" s="453"/>
      <c r="GD1534" s="453"/>
      <c r="GE1534" s="453"/>
      <c r="GF1534" s="453"/>
      <c r="GG1534" s="453"/>
      <c r="GH1534" s="454"/>
      <c r="GI1534" s="453"/>
      <c r="GJ1534" s="453"/>
      <c r="GK1534" s="453"/>
      <c r="GL1534" s="453"/>
      <c r="GM1534" s="453"/>
      <c r="GN1534" s="453"/>
      <c r="GO1534" s="453"/>
      <c r="GP1534" s="453"/>
      <c r="GQ1534" s="453"/>
      <c r="GR1534" s="453"/>
      <c r="GS1534" s="453"/>
      <c r="GT1534" s="453"/>
      <c r="GU1534" s="453"/>
      <c r="GV1534" s="453"/>
      <c r="GW1534" s="453"/>
      <c r="GX1534" s="453"/>
      <c r="GY1534" s="453"/>
      <c r="GZ1534" s="453"/>
      <c r="HA1534" s="453"/>
      <c r="HB1534" s="453"/>
      <c r="HC1534" s="453"/>
      <c r="HD1534" s="453"/>
      <c r="HE1534" s="453"/>
      <c r="HF1534" s="453"/>
      <c r="HG1534" s="453"/>
      <c r="HH1534" s="453"/>
      <c r="HI1534" s="453"/>
      <c r="HJ1534" s="453"/>
      <c r="HK1534" s="453"/>
      <c r="HL1534" s="453"/>
      <c r="HM1534" s="454"/>
      <c r="HN1534" s="464"/>
      <c r="HO1534" s="465"/>
      <c r="HP1534" s="453"/>
      <c r="HQ1534" s="464"/>
      <c r="HR1534" s="465"/>
      <c r="HS1534" s="453"/>
      <c r="HT1534" s="464"/>
      <c r="HU1534" s="465"/>
      <c r="HV1534" s="453"/>
      <c r="HW1534" s="464"/>
    </row>
    <row r="1535" spans="25:231" ht="15" customHeight="1">
      <c r="Y1535" s="332"/>
      <c r="Z1535" s="332"/>
      <c r="AA1535" s="332"/>
      <c r="AB1535" s="332"/>
      <c r="AC1535" s="332"/>
      <c r="AD1535" s="332"/>
      <c r="AE1535" s="332"/>
      <c r="AF1535" s="332"/>
      <c r="AG1535" s="332"/>
      <c r="AH1535" s="332"/>
      <c r="AI1535" s="332"/>
      <c r="AJ1535" s="332"/>
      <c r="AK1535" s="332"/>
      <c r="AL1535" s="332"/>
      <c r="AM1535" s="332"/>
      <c r="AN1535" s="332"/>
      <c r="AO1535" s="332"/>
      <c r="AP1535" s="332"/>
      <c r="AQ1535" s="332"/>
      <c r="AR1535" s="332"/>
      <c r="AS1535" s="332"/>
      <c r="AT1535" s="332"/>
      <c r="AU1535" s="332"/>
      <c r="AV1535" s="332"/>
      <c r="AW1535" s="332"/>
      <c r="AX1535" s="332"/>
      <c r="AY1535" s="332"/>
      <c r="AZ1535" s="332"/>
      <c r="BA1535" s="332"/>
      <c r="BB1535" s="332"/>
      <c r="BC1535" s="332"/>
      <c r="BD1535" s="332"/>
      <c r="BE1535" s="332"/>
      <c r="BF1535" s="332"/>
      <c r="BG1535" s="332"/>
      <c r="BH1535" s="332"/>
      <c r="BI1535" s="332"/>
      <c r="BJ1535" s="332"/>
      <c r="BK1535" s="332"/>
      <c r="BL1535" s="332"/>
      <c r="BM1535" s="332"/>
      <c r="BN1535" s="332"/>
      <c r="BO1535" s="332"/>
      <c r="BP1535" s="332"/>
      <c r="BQ1535" s="332"/>
      <c r="BR1535" s="332"/>
      <c r="BS1535" s="332"/>
      <c r="BT1535" s="332"/>
      <c r="BU1535" s="332"/>
      <c r="BV1535" s="332"/>
      <c r="BW1535" s="332"/>
      <c r="BX1535" s="332"/>
      <c r="BY1535" s="332"/>
      <c r="BZ1535" s="332"/>
      <c r="CA1535" s="332"/>
      <c r="CB1535" s="332"/>
      <c r="CC1535" s="332"/>
      <c r="CD1535" s="332"/>
      <c r="CE1535" s="332"/>
      <c r="CF1535" s="332"/>
      <c r="CG1535" s="332"/>
      <c r="CH1535" s="332"/>
      <c r="CI1535" s="332"/>
      <c r="CJ1535" s="332"/>
      <c r="CK1535" s="332"/>
      <c r="CL1535" s="332"/>
      <c r="CM1535" s="332"/>
      <c r="CN1535" s="332"/>
      <c r="CO1535" s="332"/>
      <c r="CP1535" s="332"/>
      <c r="CQ1535" s="332"/>
      <c r="CR1535" s="332"/>
      <c r="CS1535" s="332"/>
      <c r="CT1535" s="332"/>
      <c r="CU1535" s="332"/>
      <c r="CV1535" s="332"/>
      <c r="CW1535" s="332"/>
      <c r="CX1535" s="332"/>
      <c r="CY1535" s="332"/>
      <c r="CZ1535" s="332"/>
      <c r="DA1535" s="332"/>
      <c r="DB1535" s="332"/>
      <c r="DC1535" s="332"/>
      <c r="DD1535" s="332"/>
      <c r="DE1535" s="332"/>
      <c r="DF1535" s="332"/>
      <c r="DG1535" s="332"/>
      <c r="DH1535" s="332"/>
      <c r="DI1535" s="332"/>
      <c r="DJ1535" s="332"/>
      <c r="DK1535" s="332"/>
      <c r="DL1535" s="332"/>
      <c r="DM1535" s="332"/>
      <c r="DN1535" s="332"/>
      <c r="DO1535" s="332"/>
      <c r="DP1535" s="332"/>
      <c r="DQ1535" s="332"/>
      <c r="DR1535" s="332"/>
      <c r="DS1535" s="332"/>
      <c r="DT1535" s="332"/>
      <c r="DU1535" s="453"/>
      <c r="DV1535" s="453"/>
      <c r="DW1535" s="453"/>
      <c r="DX1535" s="453"/>
      <c r="DY1535" s="453"/>
      <c r="DZ1535" s="453"/>
      <c r="EA1535" s="453"/>
      <c r="EB1535" s="453"/>
      <c r="EC1535" s="453"/>
      <c r="ED1535" s="453"/>
      <c r="EE1535" s="453"/>
      <c r="EF1535" s="453"/>
      <c r="EG1535" s="453"/>
      <c r="EH1535" s="453"/>
      <c r="EI1535" s="453"/>
      <c r="EJ1535" s="453"/>
      <c r="EK1535" s="453"/>
      <c r="EL1535" s="453"/>
      <c r="EM1535" s="453"/>
      <c r="EN1535" s="453"/>
      <c r="EO1535" s="453"/>
      <c r="EP1535" s="453"/>
      <c r="EQ1535" s="453"/>
      <c r="ER1535" s="453"/>
      <c r="ES1535" s="453"/>
      <c r="ET1535" s="453"/>
      <c r="EU1535" s="453"/>
      <c r="EV1535" s="453"/>
      <c r="EW1535" s="453"/>
      <c r="EX1535" s="453"/>
      <c r="EY1535" s="453"/>
      <c r="EZ1535" s="453"/>
      <c r="FA1535" s="453"/>
      <c r="FB1535" s="453"/>
      <c r="FC1535" s="453"/>
      <c r="FD1535" s="453"/>
      <c r="FE1535" s="453"/>
      <c r="FF1535" s="453"/>
      <c r="FG1535" s="453"/>
      <c r="FH1535" s="453"/>
      <c r="FI1535" s="453"/>
      <c r="FJ1535" s="453"/>
      <c r="FK1535" s="453"/>
      <c r="FL1535" s="453"/>
      <c r="FM1535" s="453"/>
      <c r="FN1535" s="453"/>
      <c r="FO1535" s="453"/>
      <c r="FP1535" s="453"/>
      <c r="FQ1535" s="453"/>
      <c r="FR1535" s="453"/>
      <c r="FS1535" s="453"/>
      <c r="FT1535" s="453"/>
      <c r="FU1535" s="453"/>
      <c r="FV1535" s="453"/>
      <c r="FW1535" s="453"/>
      <c r="FX1535" s="453"/>
      <c r="FY1535" s="453"/>
      <c r="FZ1535" s="453"/>
      <c r="GA1535" s="453"/>
      <c r="GB1535" s="453"/>
      <c r="GC1535" s="453"/>
      <c r="GD1535" s="453"/>
      <c r="GE1535" s="453"/>
      <c r="GF1535" s="453"/>
      <c r="GG1535" s="453"/>
      <c r="GH1535" s="454"/>
      <c r="GI1535" s="453"/>
      <c r="GJ1535" s="453"/>
      <c r="GK1535" s="453"/>
      <c r="GL1535" s="453"/>
      <c r="GM1535" s="453"/>
      <c r="GN1535" s="453"/>
      <c r="GO1535" s="453"/>
      <c r="GP1535" s="453"/>
      <c r="GQ1535" s="453"/>
      <c r="GR1535" s="453"/>
      <c r="GS1535" s="453"/>
      <c r="GT1535" s="453"/>
      <c r="GU1535" s="453"/>
      <c r="GV1535" s="453"/>
      <c r="GW1535" s="453"/>
      <c r="GX1535" s="453"/>
      <c r="GY1535" s="453"/>
      <c r="GZ1535" s="453"/>
      <c r="HA1535" s="453"/>
      <c r="HB1535" s="453"/>
      <c r="HC1535" s="453"/>
      <c r="HD1535" s="453"/>
      <c r="HE1535" s="453"/>
      <c r="HF1535" s="453"/>
      <c r="HG1535" s="453"/>
      <c r="HH1535" s="453"/>
      <c r="HI1535" s="453"/>
      <c r="HJ1535" s="453"/>
      <c r="HK1535" s="453"/>
      <c r="HL1535" s="453"/>
      <c r="HM1535" s="454"/>
      <c r="HN1535" s="464"/>
      <c r="HO1535" s="465"/>
      <c r="HP1535" s="453"/>
      <c r="HQ1535" s="464"/>
      <c r="HR1535" s="465"/>
      <c r="HS1535" s="453"/>
      <c r="HT1535" s="464"/>
      <c r="HU1535" s="465"/>
      <c r="HV1535" s="453"/>
      <c r="HW1535" s="464"/>
    </row>
    <row r="1536" spans="25:231" ht="15" customHeight="1">
      <c r="Y1536" s="332"/>
      <c r="Z1536" s="332"/>
      <c r="AA1536" s="332"/>
      <c r="AB1536" s="332"/>
      <c r="AC1536" s="332"/>
      <c r="AD1536" s="332"/>
      <c r="AE1536" s="332"/>
      <c r="AF1536" s="332"/>
      <c r="AG1536" s="332"/>
      <c r="AH1536" s="332"/>
      <c r="AI1536" s="332"/>
      <c r="AJ1536" s="332"/>
      <c r="AK1536" s="332"/>
      <c r="AL1536" s="332"/>
      <c r="AM1536" s="332"/>
      <c r="AN1536" s="332"/>
      <c r="AO1536" s="332"/>
      <c r="AP1536" s="332"/>
      <c r="AQ1536" s="332"/>
      <c r="AR1536" s="332"/>
      <c r="AS1536" s="332"/>
      <c r="AT1536" s="332"/>
      <c r="AU1536" s="332"/>
      <c r="AV1536" s="332"/>
      <c r="AW1536" s="332"/>
      <c r="AX1536" s="332"/>
      <c r="AY1536" s="332"/>
      <c r="AZ1536" s="332"/>
      <c r="BA1536" s="332"/>
      <c r="BB1536" s="332"/>
      <c r="BC1536" s="332"/>
      <c r="BD1536" s="332"/>
      <c r="BE1536" s="332"/>
      <c r="BF1536" s="332"/>
      <c r="BG1536" s="332"/>
      <c r="BH1536" s="332"/>
      <c r="BI1536" s="332"/>
      <c r="BJ1536" s="332"/>
      <c r="BK1536" s="332"/>
      <c r="BL1536" s="332"/>
      <c r="BM1536" s="332"/>
      <c r="BN1536" s="332"/>
      <c r="BO1536" s="332"/>
      <c r="BP1536" s="332"/>
      <c r="BQ1536" s="332"/>
      <c r="BR1536" s="332"/>
      <c r="BS1536" s="332"/>
      <c r="BT1536" s="332"/>
      <c r="BU1536" s="332"/>
      <c r="BV1536" s="332"/>
      <c r="BW1536" s="332"/>
      <c r="BX1536" s="332"/>
      <c r="BY1536" s="332"/>
      <c r="BZ1536" s="332"/>
      <c r="CA1536" s="332"/>
      <c r="CB1536" s="332"/>
      <c r="CC1536" s="332"/>
      <c r="CD1536" s="332"/>
      <c r="CE1536" s="332"/>
      <c r="CF1536" s="332"/>
      <c r="CG1536" s="332"/>
      <c r="CH1536" s="332"/>
      <c r="CI1536" s="332"/>
      <c r="CJ1536" s="332"/>
      <c r="CK1536" s="332"/>
      <c r="CL1536" s="332"/>
      <c r="CM1536" s="332"/>
      <c r="CN1536" s="332"/>
      <c r="CO1536" s="332"/>
      <c r="CP1536" s="332"/>
      <c r="CQ1536" s="332"/>
      <c r="CR1536" s="332"/>
      <c r="CS1536" s="332"/>
      <c r="CT1536" s="332"/>
      <c r="CU1536" s="332"/>
      <c r="CV1536" s="332"/>
      <c r="CW1536" s="332"/>
      <c r="CX1536" s="332"/>
      <c r="CY1536" s="332"/>
      <c r="CZ1536" s="332"/>
      <c r="DA1536" s="332"/>
      <c r="DB1536" s="332"/>
      <c r="DC1536" s="332"/>
      <c r="DD1536" s="332"/>
      <c r="DE1536" s="332"/>
      <c r="DF1536" s="332"/>
      <c r="DG1536" s="332"/>
      <c r="DH1536" s="332"/>
      <c r="DI1536" s="332"/>
      <c r="DJ1536" s="332"/>
      <c r="DK1536" s="332"/>
      <c r="DL1536" s="332"/>
      <c r="DM1536" s="332"/>
      <c r="DN1536" s="332"/>
      <c r="DO1536" s="332"/>
      <c r="DP1536" s="332"/>
      <c r="DQ1536" s="332"/>
      <c r="DR1536" s="332"/>
      <c r="DS1536" s="332"/>
      <c r="DT1536" s="332"/>
      <c r="DU1536" s="453"/>
      <c r="DV1536" s="453"/>
      <c r="DW1536" s="453"/>
      <c r="DX1536" s="453"/>
      <c r="DY1536" s="453"/>
      <c r="DZ1536" s="453"/>
      <c r="EA1536" s="453"/>
      <c r="EB1536" s="453"/>
      <c r="EC1536" s="453"/>
      <c r="ED1536" s="453"/>
      <c r="EE1536" s="453"/>
      <c r="EF1536" s="453"/>
      <c r="EG1536" s="453"/>
      <c r="EH1536" s="453"/>
      <c r="EI1536" s="453"/>
      <c r="EJ1536" s="453"/>
      <c r="EK1536" s="453"/>
      <c r="EL1536" s="453"/>
      <c r="EM1536" s="453"/>
      <c r="EN1536" s="453"/>
      <c r="EO1536" s="453"/>
      <c r="EP1536" s="453"/>
      <c r="EQ1536" s="453"/>
      <c r="ER1536" s="453"/>
      <c r="ES1536" s="453"/>
      <c r="ET1536" s="453"/>
      <c r="EU1536" s="453"/>
      <c r="EV1536" s="453"/>
      <c r="EW1536" s="453"/>
      <c r="EX1536" s="453"/>
      <c r="EY1536" s="453"/>
      <c r="EZ1536" s="453"/>
      <c r="FA1536" s="453"/>
      <c r="FB1536" s="453"/>
      <c r="FC1536" s="453"/>
      <c r="FD1536" s="453"/>
      <c r="FE1536" s="453"/>
      <c r="FF1536" s="453"/>
      <c r="FG1536" s="453"/>
      <c r="FH1536" s="453"/>
      <c r="FI1536" s="453"/>
      <c r="FJ1536" s="453"/>
      <c r="FK1536" s="453"/>
      <c r="FL1536" s="453"/>
      <c r="FM1536" s="453"/>
      <c r="FN1536" s="453"/>
      <c r="FO1536" s="453"/>
      <c r="FP1536" s="453"/>
      <c r="FQ1536" s="453"/>
      <c r="FR1536" s="453"/>
      <c r="FS1536" s="453"/>
      <c r="FT1536" s="453"/>
      <c r="FU1536" s="453"/>
      <c r="FV1536" s="453"/>
      <c r="FW1536" s="453"/>
      <c r="FX1536" s="453"/>
      <c r="FY1536" s="453"/>
      <c r="FZ1536" s="453"/>
      <c r="GA1536" s="453"/>
      <c r="GB1536" s="453"/>
      <c r="GC1536" s="453"/>
      <c r="GD1536" s="453"/>
      <c r="GE1536" s="453"/>
      <c r="GF1536" s="453"/>
      <c r="GG1536" s="453"/>
      <c r="GH1536" s="454"/>
      <c r="GI1536" s="453"/>
      <c r="GJ1536" s="453"/>
      <c r="GK1536" s="453"/>
      <c r="GL1536" s="453"/>
      <c r="GM1536" s="453"/>
      <c r="GN1536" s="453"/>
      <c r="GO1536" s="453"/>
      <c r="GP1536" s="453"/>
      <c r="GQ1536" s="453"/>
      <c r="GR1536" s="453"/>
      <c r="GS1536" s="453"/>
      <c r="GT1536" s="453"/>
      <c r="GU1536" s="453"/>
      <c r="GV1536" s="453"/>
      <c r="GW1536" s="453"/>
      <c r="GX1536" s="453"/>
      <c r="GY1536" s="453"/>
      <c r="GZ1536" s="453"/>
      <c r="HA1536" s="453"/>
      <c r="HB1536" s="453"/>
      <c r="HC1536" s="453"/>
      <c r="HD1536" s="453"/>
      <c r="HE1536" s="453"/>
      <c r="HF1536" s="453"/>
      <c r="HG1536" s="453"/>
      <c r="HH1536" s="453"/>
      <c r="HI1536" s="453"/>
      <c r="HJ1536" s="453"/>
      <c r="HK1536" s="453"/>
      <c r="HL1536" s="453"/>
      <c r="HM1536" s="454"/>
      <c r="HN1536" s="464"/>
      <c r="HO1536" s="465"/>
      <c r="HP1536" s="453"/>
      <c r="HQ1536" s="464"/>
      <c r="HR1536" s="465"/>
      <c r="HS1536" s="453"/>
      <c r="HT1536" s="464"/>
      <c r="HU1536" s="465"/>
      <c r="HV1536" s="453"/>
      <c r="HW1536" s="464"/>
    </row>
    <row r="1537" spans="25:231" ht="15" customHeight="1">
      <c r="Y1537" s="332"/>
      <c r="Z1537" s="332"/>
      <c r="AA1537" s="332"/>
      <c r="AB1537" s="332"/>
      <c r="AC1537" s="332"/>
      <c r="AD1537" s="332"/>
      <c r="AE1537" s="332"/>
      <c r="AF1537" s="332"/>
      <c r="AG1537" s="332"/>
      <c r="AH1537" s="332"/>
      <c r="AI1537" s="332"/>
      <c r="AJ1537" s="332"/>
      <c r="AK1537" s="332"/>
      <c r="AL1537" s="332"/>
      <c r="AM1537" s="332"/>
      <c r="AN1537" s="332"/>
      <c r="AO1537" s="332"/>
      <c r="AP1537" s="332"/>
      <c r="AQ1537" s="332"/>
      <c r="AR1537" s="332"/>
      <c r="AS1537" s="332"/>
      <c r="AT1537" s="332"/>
      <c r="AU1537" s="332"/>
      <c r="AV1537" s="332"/>
      <c r="AW1537" s="332"/>
      <c r="AX1537" s="332"/>
      <c r="AY1537" s="332"/>
      <c r="AZ1537" s="332"/>
      <c r="BA1537" s="332"/>
      <c r="BB1537" s="332"/>
      <c r="BC1537" s="332"/>
      <c r="BD1537" s="332"/>
      <c r="BE1537" s="332"/>
      <c r="BF1537" s="332"/>
      <c r="BG1537" s="332"/>
      <c r="BH1537" s="332"/>
      <c r="BI1537" s="332"/>
      <c r="BJ1537" s="332"/>
      <c r="BK1537" s="332"/>
      <c r="BL1537" s="332"/>
      <c r="BM1537" s="332"/>
      <c r="BN1537" s="332"/>
      <c r="BO1537" s="332"/>
      <c r="BP1537" s="332"/>
      <c r="BQ1537" s="332"/>
      <c r="BR1537" s="332"/>
      <c r="BS1537" s="332"/>
      <c r="BT1537" s="332"/>
      <c r="BU1537" s="332"/>
      <c r="BV1537" s="332"/>
      <c r="BW1537" s="332"/>
      <c r="BX1537" s="332"/>
      <c r="BY1537" s="332"/>
      <c r="BZ1537" s="332"/>
      <c r="CA1537" s="332"/>
      <c r="CB1537" s="332"/>
      <c r="CC1537" s="332"/>
      <c r="CD1537" s="332"/>
      <c r="CE1537" s="332"/>
      <c r="CF1537" s="332"/>
      <c r="CG1537" s="332"/>
      <c r="CH1537" s="332"/>
      <c r="CI1537" s="332"/>
      <c r="CJ1537" s="332"/>
      <c r="CK1537" s="332"/>
      <c r="CL1537" s="332"/>
      <c r="CM1537" s="332"/>
      <c r="CN1537" s="332"/>
      <c r="CO1537" s="332"/>
      <c r="CP1537" s="332"/>
      <c r="CQ1537" s="332"/>
      <c r="CR1537" s="332"/>
      <c r="CS1537" s="332"/>
      <c r="CT1537" s="332"/>
      <c r="CU1537" s="332"/>
      <c r="CV1537" s="332"/>
      <c r="CW1537" s="332"/>
      <c r="CX1537" s="332"/>
      <c r="CY1537" s="332"/>
      <c r="CZ1537" s="332"/>
      <c r="DA1537" s="332"/>
      <c r="DB1537" s="332"/>
      <c r="DC1537" s="332"/>
      <c r="DD1537" s="332"/>
      <c r="DE1537" s="332"/>
      <c r="DF1537" s="332"/>
      <c r="DG1537" s="332"/>
      <c r="DH1537" s="332"/>
      <c r="DI1537" s="332"/>
      <c r="DJ1537" s="332"/>
      <c r="DK1537" s="332"/>
      <c r="DL1537" s="332"/>
      <c r="DM1537" s="332"/>
      <c r="DN1537" s="332"/>
      <c r="DO1537" s="332"/>
      <c r="DP1537" s="332"/>
      <c r="DQ1537" s="332"/>
      <c r="DR1537" s="332"/>
      <c r="DS1537" s="332"/>
      <c r="DT1537" s="332"/>
      <c r="DU1537" s="453"/>
      <c r="DV1537" s="453"/>
      <c r="DW1537" s="453"/>
      <c r="DX1537" s="453"/>
      <c r="DY1537" s="453"/>
      <c r="DZ1537" s="453"/>
      <c r="EA1537" s="453"/>
      <c r="EB1537" s="453"/>
      <c r="EC1537" s="453"/>
      <c r="ED1537" s="453"/>
      <c r="EE1537" s="453"/>
      <c r="EF1537" s="453"/>
      <c r="EG1537" s="453"/>
      <c r="EH1537" s="453"/>
      <c r="EI1537" s="453"/>
      <c r="EJ1537" s="453"/>
      <c r="EK1537" s="453"/>
      <c r="EL1537" s="453"/>
      <c r="EM1537" s="453"/>
      <c r="EN1537" s="453"/>
      <c r="EO1537" s="453"/>
      <c r="EP1537" s="453"/>
      <c r="EQ1537" s="453"/>
      <c r="ER1537" s="453"/>
      <c r="ES1537" s="453"/>
      <c r="ET1537" s="453"/>
      <c r="EU1537" s="453"/>
      <c r="EV1537" s="453"/>
      <c r="EW1537" s="453"/>
      <c r="EX1537" s="453"/>
      <c r="EY1537" s="453"/>
      <c r="EZ1537" s="453"/>
      <c r="FA1537" s="453"/>
      <c r="FB1537" s="453"/>
      <c r="FC1537" s="453"/>
      <c r="FD1537" s="453"/>
      <c r="FE1537" s="453"/>
      <c r="FF1537" s="453"/>
      <c r="FG1537" s="453"/>
      <c r="FH1537" s="453"/>
      <c r="FI1537" s="453"/>
      <c r="FJ1537" s="453"/>
      <c r="FK1537" s="453"/>
      <c r="FL1537" s="453"/>
      <c r="FM1537" s="453"/>
      <c r="FN1537" s="453"/>
      <c r="FO1537" s="453"/>
      <c r="FP1537" s="453"/>
      <c r="FQ1537" s="453"/>
      <c r="FR1537" s="453"/>
      <c r="FS1537" s="453"/>
      <c r="FT1537" s="453"/>
      <c r="FU1537" s="453"/>
      <c r="FV1537" s="453"/>
      <c r="FW1537" s="453"/>
      <c r="FX1537" s="453"/>
      <c r="FY1537" s="453"/>
      <c r="FZ1537" s="453"/>
      <c r="GA1537" s="453"/>
      <c r="GB1537" s="453"/>
      <c r="GC1537" s="453"/>
      <c r="GD1537" s="453"/>
      <c r="GE1537" s="453"/>
      <c r="GF1537" s="453"/>
      <c r="GG1537" s="453"/>
      <c r="GH1537" s="454"/>
      <c r="GI1537" s="453"/>
      <c r="GJ1537" s="453"/>
      <c r="GK1537" s="453"/>
      <c r="GL1537" s="453"/>
      <c r="GM1537" s="453"/>
      <c r="GN1537" s="453"/>
      <c r="GO1537" s="453"/>
      <c r="GP1537" s="453"/>
      <c r="GQ1537" s="453"/>
      <c r="GR1537" s="453"/>
      <c r="GS1537" s="453"/>
      <c r="GT1537" s="453"/>
      <c r="GU1537" s="453"/>
      <c r="GV1537" s="453"/>
      <c r="GW1537" s="453"/>
      <c r="GX1537" s="453"/>
      <c r="GY1537" s="453"/>
      <c r="GZ1537" s="453"/>
      <c r="HA1537" s="453"/>
      <c r="HB1537" s="453"/>
      <c r="HC1537" s="453"/>
      <c r="HD1537" s="453"/>
      <c r="HE1537" s="453"/>
      <c r="HF1537" s="453"/>
      <c r="HG1537" s="453"/>
      <c r="HH1537" s="453"/>
      <c r="HI1537" s="453"/>
      <c r="HJ1537" s="453"/>
      <c r="HK1537" s="453"/>
      <c r="HL1537" s="453"/>
      <c r="HM1537" s="454"/>
      <c r="HN1537" s="464"/>
      <c r="HO1537" s="465"/>
      <c r="HP1537" s="453"/>
      <c r="HQ1537" s="464"/>
      <c r="HR1537" s="465"/>
      <c r="HS1537" s="453"/>
      <c r="HT1537" s="464"/>
      <c r="HU1537" s="465"/>
      <c r="HV1537" s="453"/>
      <c r="HW1537" s="464"/>
    </row>
    <row r="1538" spans="25:231" ht="15" customHeight="1">
      <c r="Y1538" s="332"/>
      <c r="Z1538" s="332"/>
      <c r="AA1538" s="332"/>
      <c r="AB1538" s="332"/>
      <c r="AC1538" s="332"/>
      <c r="AD1538" s="332"/>
      <c r="AE1538" s="332"/>
      <c r="AF1538" s="332"/>
      <c r="AG1538" s="332"/>
      <c r="AH1538" s="332"/>
      <c r="AI1538" s="332"/>
      <c r="AJ1538" s="332"/>
      <c r="AK1538" s="332"/>
      <c r="AL1538" s="332"/>
      <c r="AM1538" s="332"/>
      <c r="AN1538" s="332"/>
      <c r="AO1538" s="332"/>
      <c r="AP1538" s="332"/>
      <c r="AQ1538" s="332"/>
      <c r="AR1538" s="332"/>
      <c r="AS1538" s="332"/>
      <c r="AT1538" s="332"/>
      <c r="AU1538" s="332"/>
      <c r="AV1538" s="332"/>
      <c r="AW1538" s="332"/>
      <c r="AX1538" s="332"/>
      <c r="AY1538" s="332"/>
      <c r="AZ1538" s="332"/>
      <c r="BA1538" s="332"/>
      <c r="BB1538" s="332"/>
      <c r="BC1538" s="332"/>
      <c r="BD1538" s="332"/>
      <c r="BE1538" s="332"/>
      <c r="BF1538" s="332"/>
      <c r="BG1538" s="332"/>
      <c r="BH1538" s="332"/>
      <c r="BI1538" s="332"/>
      <c r="BJ1538" s="332"/>
      <c r="BK1538" s="332"/>
      <c r="BL1538" s="332"/>
      <c r="BM1538" s="332"/>
      <c r="BN1538" s="332"/>
      <c r="BO1538" s="332"/>
      <c r="BP1538" s="332"/>
      <c r="BQ1538" s="332"/>
      <c r="BR1538" s="332"/>
      <c r="BS1538" s="332"/>
      <c r="BT1538" s="332"/>
      <c r="BU1538" s="332"/>
      <c r="BV1538" s="332"/>
      <c r="BW1538" s="332"/>
      <c r="BX1538" s="332"/>
      <c r="BY1538" s="332"/>
      <c r="BZ1538" s="332"/>
      <c r="CA1538" s="332"/>
      <c r="CB1538" s="332"/>
      <c r="CC1538" s="332"/>
      <c r="CD1538" s="332"/>
      <c r="CE1538" s="332"/>
      <c r="CF1538" s="332"/>
      <c r="CG1538" s="332"/>
      <c r="CH1538" s="332"/>
      <c r="CI1538" s="332"/>
      <c r="CJ1538" s="332"/>
      <c r="CK1538" s="332"/>
      <c r="CL1538" s="332"/>
      <c r="CM1538" s="332"/>
      <c r="CN1538" s="332"/>
      <c r="CO1538" s="332"/>
      <c r="CP1538" s="332"/>
      <c r="CQ1538" s="332"/>
      <c r="CR1538" s="332"/>
      <c r="CS1538" s="332"/>
      <c r="CT1538" s="332"/>
      <c r="CU1538" s="332"/>
      <c r="CV1538" s="332"/>
      <c r="CW1538" s="332"/>
      <c r="CX1538" s="332"/>
      <c r="CY1538" s="332"/>
      <c r="CZ1538" s="332"/>
      <c r="DA1538" s="332"/>
      <c r="DB1538" s="332"/>
      <c r="DC1538" s="332"/>
      <c r="DD1538" s="332"/>
      <c r="DE1538" s="332"/>
      <c r="DF1538" s="332"/>
      <c r="DG1538" s="332"/>
      <c r="DH1538" s="332"/>
      <c r="DI1538" s="332"/>
      <c r="DJ1538" s="332"/>
      <c r="DK1538" s="332"/>
      <c r="DL1538" s="332"/>
      <c r="DM1538" s="332"/>
      <c r="DN1538" s="332"/>
      <c r="DO1538" s="332"/>
      <c r="DP1538" s="332"/>
      <c r="DQ1538" s="332"/>
      <c r="DR1538" s="332"/>
      <c r="DS1538" s="332"/>
      <c r="DT1538" s="332"/>
      <c r="DU1538" s="453"/>
      <c r="DV1538" s="453"/>
      <c r="DW1538" s="453"/>
      <c r="DX1538" s="453"/>
      <c r="DY1538" s="453"/>
      <c r="DZ1538" s="453"/>
      <c r="EA1538" s="453"/>
      <c r="EB1538" s="453"/>
      <c r="EC1538" s="453"/>
      <c r="ED1538" s="453"/>
      <c r="EE1538" s="453"/>
      <c r="EF1538" s="453"/>
      <c r="EG1538" s="453"/>
      <c r="EH1538" s="453"/>
      <c r="EI1538" s="453"/>
      <c r="EJ1538" s="453"/>
      <c r="EK1538" s="453"/>
      <c r="EL1538" s="453"/>
      <c r="EM1538" s="453"/>
      <c r="EN1538" s="453"/>
      <c r="EO1538" s="453"/>
      <c r="EP1538" s="453"/>
      <c r="EQ1538" s="453"/>
      <c r="ER1538" s="453"/>
      <c r="ES1538" s="453"/>
      <c r="ET1538" s="453"/>
      <c r="EU1538" s="453"/>
      <c r="EV1538" s="453"/>
      <c r="EW1538" s="453"/>
      <c r="EX1538" s="453"/>
      <c r="EY1538" s="453"/>
      <c r="EZ1538" s="453"/>
      <c r="FA1538" s="453"/>
      <c r="FB1538" s="453"/>
      <c r="FC1538" s="453"/>
      <c r="FD1538" s="453"/>
      <c r="FE1538" s="453"/>
      <c r="FF1538" s="453"/>
      <c r="FG1538" s="453"/>
      <c r="FH1538" s="453"/>
      <c r="FI1538" s="453"/>
      <c r="FJ1538" s="453"/>
      <c r="FK1538" s="453"/>
      <c r="FL1538" s="453"/>
      <c r="FM1538" s="453"/>
      <c r="FN1538" s="453"/>
      <c r="FO1538" s="453"/>
      <c r="FP1538" s="453"/>
      <c r="FQ1538" s="453"/>
      <c r="FR1538" s="453"/>
      <c r="FS1538" s="453"/>
      <c r="FT1538" s="453"/>
      <c r="FU1538" s="453"/>
      <c r="FV1538" s="453"/>
      <c r="FW1538" s="453"/>
      <c r="FX1538" s="453"/>
      <c r="FY1538" s="453"/>
      <c r="FZ1538" s="453"/>
      <c r="GA1538" s="453"/>
      <c r="GB1538" s="453"/>
      <c r="GC1538" s="453"/>
      <c r="GD1538" s="453"/>
      <c r="GE1538" s="453"/>
      <c r="GF1538" s="453"/>
      <c r="GG1538" s="453"/>
      <c r="GH1538" s="454"/>
      <c r="GI1538" s="453"/>
      <c r="GJ1538" s="453"/>
      <c r="GK1538" s="453"/>
      <c r="GL1538" s="453"/>
      <c r="GM1538" s="453"/>
      <c r="GN1538" s="453"/>
      <c r="GO1538" s="453"/>
      <c r="GP1538" s="453"/>
      <c r="GQ1538" s="453"/>
      <c r="GR1538" s="453"/>
      <c r="GS1538" s="453"/>
      <c r="GT1538" s="453"/>
      <c r="GU1538" s="453"/>
      <c r="GV1538" s="453"/>
      <c r="GW1538" s="453"/>
      <c r="GX1538" s="453"/>
      <c r="GY1538" s="453"/>
      <c r="GZ1538" s="453"/>
      <c r="HA1538" s="453"/>
      <c r="HB1538" s="453"/>
      <c r="HC1538" s="453"/>
      <c r="HD1538" s="453"/>
      <c r="HE1538" s="453"/>
      <c r="HF1538" s="453"/>
      <c r="HG1538" s="453"/>
      <c r="HH1538" s="453"/>
      <c r="HI1538" s="453"/>
      <c r="HJ1538" s="453"/>
      <c r="HK1538" s="453"/>
      <c r="HL1538" s="453"/>
      <c r="HM1538" s="454"/>
      <c r="HN1538" s="464"/>
      <c r="HO1538" s="465"/>
      <c r="HP1538" s="453"/>
      <c r="HQ1538" s="464"/>
      <c r="HR1538" s="465"/>
      <c r="HS1538" s="453"/>
      <c r="HT1538" s="464"/>
      <c r="HU1538" s="465"/>
      <c r="HV1538" s="453"/>
      <c r="HW1538" s="464"/>
    </row>
    <row r="1539" spans="25:231" ht="15" customHeight="1">
      <c r="Y1539" s="332"/>
      <c r="Z1539" s="332"/>
      <c r="AA1539" s="332"/>
      <c r="AB1539" s="332"/>
      <c r="AC1539" s="332"/>
      <c r="AD1539" s="332"/>
      <c r="AE1539" s="332"/>
      <c r="AF1539" s="332"/>
      <c r="AG1539" s="332"/>
      <c r="AH1539" s="332"/>
      <c r="AI1539" s="332"/>
      <c r="AJ1539" s="332"/>
      <c r="AK1539" s="332"/>
      <c r="AL1539" s="332"/>
      <c r="AM1539" s="332"/>
      <c r="AN1539" s="332"/>
      <c r="AO1539" s="332"/>
      <c r="AP1539" s="332"/>
      <c r="AQ1539" s="332"/>
      <c r="AR1539" s="332"/>
      <c r="AS1539" s="332"/>
      <c r="AT1539" s="332"/>
      <c r="AU1539" s="332"/>
      <c r="AV1539" s="332"/>
      <c r="AW1539" s="332"/>
      <c r="AX1539" s="332"/>
      <c r="AY1539" s="332"/>
      <c r="AZ1539" s="332"/>
      <c r="BA1539" s="332"/>
      <c r="BB1539" s="332"/>
      <c r="BC1539" s="332"/>
      <c r="BD1539" s="332"/>
      <c r="BE1539" s="332"/>
      <c r="BF1539" s="332"/>
      <c r="BG1539" s="332"/>
      <c r="BH1539" s="332"/>
      <c r="BI1539" s="332"/>
      <c r="BJ1539" s="332"/>
      <c r="BK1539" s="332"/>
      <c r="BL1539" s="332"/>
      <c r="BM1539" s="332"/>
      <c r="BN1539" s="332"/>
      <c r="BO1539" s="332"/>
      <c r="BP1539" s="332"/>
      <c r="BQ1539" s="332"/>
      <c r="BR1539" s="332"/>
      <c r="BS1539" s="332"/>
      <c r="BT1539" s="332"/>
      <c r="BU1539" s="332"/>
      <c r="BV1539" s="332"/>
      <c r="BW1539" s="332"/>
      <c r="BX1539" s="332"/>
      <c r="BY1539" s="332"/>
      <c r="BZ1539" s="332"/>
      <c r="CA1539" s="332"/>
      <c r="CB1539" s="332"/>
      <c r="CC1539" s="332"/>
      <c r="CD1539" s="332"/>
      <c r="CE1539" s="332"/>
      <c r="CF1539" s="332"/>
      <c r="CG1539" s="332"/>
      <c r="CH1539" s="332"/>
      <c r="CI1539" s="332"/>
      <c r="CJ1539" s="332"/>
      <c r="CK1539" s="332"/>
      <c r="CL1539" s="332"/>
      <c r="CM1539" s="332"/>
      <c r="CN1539" s="332"/>
      <c r="CO1539" s="332"/>
      <c r="CP1539" s="332"/>
      <c r="CQ1539" s="332"/>
      <c r="CR1539" s="332"/>
      <c r="CS1539" s="332"/>
      <c r="CT1539" s="332"/>
      <c r="CU1539" s="332"/>
      <c r="CV1539" s="332"/>
      <c r="CW1539" s="332"/>
      <c r="CX1539" s="332"/>
      <c r="CY1539" s="332"/>
      <c r="CZ1539" s="332"/>
      <c r="DA1539" s="332"/>
      <c r="DB1539" s="332"/>
      <c r="DC1539" s="332"/>
      <c r="DD1539" s="332"/>
      <c r="DE1539" s="332"/>
      <c r="DF1539" s="332"/>
      <c r="DG1539" s="332"/>
      <c r="DH1539" s="332"/>
      <c r="DI1539" s="332"/>
      <c r="DJ1539" s="332"/>
      <c r="DK1539" s="332"/>
      <c r="DL1539" s="332"/>
      <c r="DM1539" s="332"/>
      <c r="DN1539" s="332"/>
      <c r="DO1539" s="332"/>
      <c r="DP1539" s="332"/>
      <c r="DQ1539" s="332"/>
      <c r="DR1539" s="332"/>
      <c r="DS1539" s="332"/>
      <c r="DT1539" s="332"/>
      <c r="DU1539" s="453"/>
      <c r="DV1539" s="453"/>
      <c r="DW1539" s="453"/>
      <c r="DX1539" s="453"/>
      <c r="DY1539" s="453"/>
      <c r="DZ1539" s="453"/>
      <c r="EA1539" s="453"/>
      <c r="EB1539" s="453"/>
      <c r="EC1539" s="453"/>
      <c r="ED1539" s="453"/>
      <c r="EE1539" s="453"/>
      <c r="EF1539" s="453"/>
      <c r="EG1539" s="453"/>
      <c r="EH1539" s="453"/>
      <c r="EI1539" s="453"/>
      <c r="EJ1539" s="453"/>
      <c r="EK1539" s="453"/>
      <c r="EL1539" s="453"/>
      <c r="EM1539" s="453"/>
      <c r="EN1539" s="453"/>
      <c r="EO1539" s="453"/>
      <c r="EP1539" s="453"/>
      <c r="EQ1539" s="453"/>
      <c r="ER1539" s="453"/>
      <c r="ES1539" s="453"/>
      <c r="ET1539" s="453"/>
      <c r="EU1539" s="453"/>
      <c r="EV1539" s="453"/>
      <c r="EW1539" s="453"/>
      <c r="EX1539" s="453"/>
      <c r="EY1539" s="453"/>
      <c r="EZ1539" s="453"/>
      <c r="FA1539" s="453"/>
      <c r="FB1539" s="453"/>
      <c r="FC1539" s="453"/>
      <c r="FD1539" s="453"/>
      <c r="FE1539" s="453"/>
      <c r="FF1539" s="453"/>
      <c r="FG1539" s="453"/>
      <c r="FH1539" s="453"/>
      <c r="FI1539" s="453"/>
      <c r="FJ1539" s="453"/>
      <c r="FK1539" s="453"/>
      <c r="FL1539" s="453"/>
      <c r="FM1539" s="453"/>
      <c r="FN1539" s="453"/>
      <c r="FO1539" s="453"/>
      <c r="FP1539" s="453"/>
      <c r="FQ1539" s="453"/>
      <c r="FR1539" s="453"/>
      <c r="FS1539" s="453"/>
      <c r="FT1539" s="453"/>
      <c r="FU1539" s="453"/>
      <c r="FV1539" s="453"/>
      <c r="FW1539" s="453"/>
      <c r="FX1539" s="453"/>
      <c r="FY1539" s="453"/>
      <c r="FZ1539" s="453"/>
      <c r="GA1539" s="453"/>
      <c r="GB1539" s="453"/>
      <c r="GC1539" s="453"/>
      <c r="GD1539" s="453"/>
      <c r="GE1539" s="453"/>
      <c r="GF1539" s="453"/>
      <c r="GG1539" s="453"/>
      <c r="GH1539" s="454"/>
      <c r="GI1539" s="453"/>
      <c r="GJ1539" s="453"/>
      <c r="GK1539" s="453"/>
      <c r="GL1539" s="453"/>
      <c r="GM1539" s="453"/>
      <c r="GN1539" s="453"/>
      <c r="GO1539" s="453"/>
      <c r="GP1539" s="453"/>
      <c r="GQ1539" s="453"/>
      <c r="GR1539" s="453"/>
      <c r="GS1539" s="453"/>
      <c r="GT1539" s="453"/>
      <c r="GU1539" s="453"/>
      <c r="GV1539" s="453"/>
      <c r="GW1539" s="453"/>
      <c r="GX1539" s="453"/>
      <c r="GY1539" s="453"/>
      <c r="GZ1539" s="453"/>
      <c r="HA1539" s="453"/>
      <c r="HB1539" s="453"/>
      <c r="HC1539" s="453"/>
      <c r="HD1539" s="453"/>
      <c r="HE1539" s="453"/>
      <c r="HF1539" s="453"/>
      <c r="HG1539" s="453"/>
      <c r="HH1539" s="453"/>
      <c r="HI1539" s="453"/>
      <c r="HJ1539" s="453"/>
      <c r="HK1539" s="453"/>
      <c r="HL1539" s="453"/>
      <c r="HM1539" s="454"/>
      <c r="HN1539" s="464"/>
      <c r="HO1539" s="465"/>
      <c r="HP1539" s="453"/>
      <c r="HQ1539" s="464"/>
      <c r="HR1539" s="465"/>
      <c r="HS1539" s="453"/>
      <c r="HT1539" s="464"/>
      <c r="HU1539" s="465"/>
      <c r="HV1539" s="453"/>
      <c r="HW1539" s="464"/>
    </row>
    <row r="1540" spans="25:231" ht="15" customHeight="1">
      <c r="Y1540" s="332"/>
      <c r="Z1540" s="332"/>
      <c r="AA1540" s="332"/>
      <c r="AB1540" s="332"/>
      <c r="AC1540" s="332"/>
      <c r="AD1540" s="332"/>
      <c r="AE1540" s="332"/>
      <c r="AF1540" s="332"/>
      <c r="AG1540" s="332"/>
      <c r="AH1540" s="332"/>
      <c r="AI1540" s="332"/>
      <c r="AJ1540" s="332"/>
      <c r="AK1540" s="332"/>
      <c r="AL1540" s="332"/>
      <c r="AM1540" s="332"/>
      <c r="AN1540" s="332"/>
      <c r="AO1540" s="332"/>
      <c r="AP1540" s="332"/>
      <c r="AQ1540" s="332"/>
      <c r="AR1540" s="332"/>
      <c r="AS1540" s="332"/>
      <c r="AT1540" s="332"/>
      <c r="AU1540" s="332"/>
      <c r="AV1540" s="332"/>
      <c r="AW1540" s="332"/>
      <c r="AX1540" s="332"/>
      <c r="AY1540" s="332"/>
      <c r="AZ1540" s="332"/>
      <c r="BA1540" s="332"/>
      <c r="BB1540" s="332"/>
      <c r="BC1540" s="332"/>
      <c r="BD1540" s="332"/>
      <c r="BE1540" s="332"/>
      <c r="BF1540" s="332"/>
      <c r="BG1540" s="332"/>
      <c r="BH1540" s="332"/>
      <c r="BI1540" s="332"/>
      <c r="BJ1540" s="332"/>
      <c r="BK1540" s="332"/>
      <c r="BL1540" s="332"/>
      <c r="BM1540" s="332"/>
      <c r="BN1540" s="332"/>
      <c r="BO1540" s="332"/>
      <c r="BP1540" s="332"/>
      <c r="BQ1540" s="332"/>
      <c r="BR1540" s="332"/>
      <c r="BS1540" s="332"/>
      <c r="BT1540" s="332"/>
      <c r="BU1540" s="332"/>
      <c r="BV1540" s="332"/>
      <c r="BW1540" s="332"/>
      <c r="BX1540" s="332"/>
      <c r="BY1540" s="332"/>
      <c r="BZ1540" s="332"/>
      <c r="CA1540" s="332"/>
      <c r="CB1540" s="332"/>
      <c r="CC1540" s="332"/>
      <c r="CD1540" s="332"/>
      <c r="CE1540" s="332"/>
      <c r="CF1540" s="332"/>
      <c r="CG1540" s="332"/>
      <c r="CH1540" s="332"/>
      <c r="CI1540" s="332"/>
      <c r="CJ1540" s="332"/>
      <c r="CK1540" s="332"/>
      <c r="CL1540" s="332"/>
      <c r="CM1540" s="332"/>
      <c r="CN1540" s="332"/>
      <c r="CO1540" s="332"/>
      <c r="CP1540" s="332"/>
      <c r="CQ1540" s="332"/>
      <c r="CR1540" s="332"/>
      <c r="CS1540" s="332"/>
      <c r="CT1540" s="332"/>
      <c r="CU1540" s="332"/>
      <c r="CV1540" s="332"/>
      <c r="CW1540" s="332"/>
      <c r="CX1540" s="332"/>
      <c r="CY1540" s="332"/>
      <c r="CZ1540" s="332"/>
      <c r="DA1540" s="332"/>
      <c r="DB1540" s="332"/>
      <c r="DC1540" s="332"/>
      <c r="DD1540" s="332"/>
      <c r="DE1540" s="332"/>
      <c r="DF1540" s="332"/>
      <c r="DG1540" s="332"/>
      <c r="DH1540" s="332"/>
      <c r="DI1540" s="332"/>
      <c r="DJ1540" s="332"/>
      <c r="DK1540" s="332"/>
      <c r="DL1540" s="332"/>
      <c r="DM1540" s="332"/>
      <c r="DN1540" s="332"/>
      <c r="DO1540" s="332"/>
      <c r="DP1540" s="332"/>
      <c r="DQ1540" s="332"/>
      <c r="DR1540" s="332"/>
      <c r="DS1540" s="332"/>
      <c r="DT1540" s="332"/>
      <c r="DU1540" s="453"/>
      <c r="DV1540" s="453"/>
      <c r="DW1540" s="453"/>
      <c r="DX1540" s="453"/>
      <c r="DY1540" s="453"/>
      <c r="DZ1540" s="453"/>
      <c r="EA1540" s="453"/>
      <c r="EB1540" s="453"/>
      <c r="EC1540" s="453"/>
      <c r="ED1540" s="453"/>
      <c r="EE1540" s="453"/>
      <c r="EF1540" s="453"/>
      <c r="EG1540" s="453"/>
      <c r="EH1540" s="453"/>
      <c r="EI1540" s="453"/>
      <c r="EJ1540" s="453"/>
      <c r="EK1540" s="453"/>
      <c r="EL1540" s="453"/>
      <c r="EM1540" s="453"/>
      <c r="EN1540" s="453"/>
      <c r="EO1540" s="453"/>
      <c r="EP1540" s="453"/>
      <c r="EQ1540" s="453"/>
      <c r="ER1540" s="453"/>
      <c r="ES1540" s="453"/>
      <c r="ET1540" s="453"/>
      <c r="EU1540" s="453"/>
      <c r="EV1540" s="453"/>
      <c r="EW1540" s="453"/>
      <c r="EX1540" s="453"/>
      <c r="EY1540" s="453"/>
      <c r="EZ1540" s="453"/>
      <c r="FA1540" s="453"/>
      <c r="FB1540" s="453"/>
      <c r="FC1540" s="453"/>
      <c r="FD1540" s="453"/>
      <c r="FE1540" s="453"/>
      <c r="FF1540" s="453"/>
      <c r="FG1540" s="453"/>
      <c r="FH1540" s="453"/>
      <c r="FI1540" s="453"/>
      <c r="FJ1540" s="453"/>
      <c r="FK1540" s="453"/>
      <c r="FL1540" s="453"/>
      <c r="FM1540" s="453"/>
      <c r="FN1540" s="453"/>
      <c r="FO1540" s="453"/>
      <c r="FP1540" s="453"/>
      <c r="FQ1540" s="453"/>
      <c r="FR1540" s="453"/>
      <c r="FS1540" s="453"/>
      <c r="FT1540" s="453"/>
      <c r="FU1540" s="453"/>
      <c r="FV1540" s="453"/>
      <c r="FW1540" s="453"/>
      <c r="FX1540" s="453"/>
      <c r="FY1540" s="453"/>
      <c r="FZ1540" s="453"/>
      <c r="GA1540" s="453"/>
      <c r="GB1540" s="453"/>
      <c r="GC1540" s="453"/>
      <c r="GD1540" s="453"/>
      <c r="GE1540" s="453"/>
      <c r="GF1540" s="453"/>
      <c r="GG1540" s="453"/>
      <c r="GH1540" s="454"/>
      <c r="GI1540" s="453"/>
      <c r="GJ1540" s="453"/>
      <c r="GK1540" s="453"/>
      <c r="GL1540" s="453"/>
      <c r="GM1540" s="453"/>
      <c r="GN1540" s="453"/>
      <c r="GO1540" s="453"/>
      <c r="GP1540" s="453"/>
      <c r="GQ1540" s="453"/>
      <c r="GR1540" s="453"/>
      <c r="GS1540" s="453"/>
      <c r="GT1540" s="453"/>
      <c r="GU1540" s="453"/>
      <c r="GV1540" s="453"/>
      <c r="GW1540" s="453"/>
      <c r="GX1540" s="453"/>
      <c r="GY1540" s="453"/>
      <c r="GZ1540" s="453"/>
      <c r="HA1540" s="453"/>
      <c r="HB1540" s="453"/>
      <c r="HC1540" s="453"/>
      <c r="HD1540" s="453"/>
      <c r="HE1540" s="453"/>
      <c r="HF1540" s="453"/>
      <c r="HG1540" s="453"/>
      <c r="HH1540" s="453"/>
      <c r="HI1540" s="453"/>
      <c r="HJ1540" s="453"/>
      <c r="HK1540" s="453"/>
      <c r="HL1540" s="453"/>
      <c r="HM1540" s="454"/>
      <c r="HN1540" s="464"/>
      <c r="HO1540" s="465"/>
      <c r="HP1540" s="453"/>
      <c r="HQ1540" s="464"/>
      <c r="HR1540" s="465"/>
      <c r="HS1540" s="453"/>
      <c r="HT1540" s="464"/>
      <c r="HU1540" s="465"/>
      <c r="HV1540" s="453"/>
      <c r="HW1540" s="464"/>
    </row>
    <row r="1541" spans="25:231" ht="15" customHeight="1">
      <c r="Y1541" s="332"/>
      <c r="Z1541" s="332"/>
      <c r="AA1541" s="332"/>
      <c r="AB1541" s="332"/>
      <c r="AC1541" s="332"/>
      <c r="AD1541" s="332"/>
      <c r="AE1541" s="332"/>
      <c r="AF1541" s="332"/>
      <c r="AG1541" s="332"/>
      <c r="AH1541" s="332"/>
      <c r="AI1541" s="332"/>
      <c r="AJ1541" s="332"/>
      <c r="AK1541" s="332"/>
      <c r="AL1541" s="332"/>
      <c r="AM1541" s="332"/>
      <c r="AN1541" s="332"/>
      <c r="AO1541" s="332"/>
      <c r="AP1541" s="332"/>
      <c r="AQ1541" s="332"/>
      <c r="AR1541" s="332"/>
      <c r="AS1541" s="332"/>
      <c r="AT1541" s="332"/>
      <c r="AU1541" s="332"/>
      <c r="AV1541" s="332"/>
      <c r="AW1541" s="332"/>
      <c r="AX1541" s="332"/>
      <c r="AY1541" s="332"/>
      <c r="AZ1541" s="332"/>
      <c r="BA1541" s="332"/>
      <c r="BB1541" s="332"/>
      <c r="BC1541" s="332"/>
      <c r="BD1541" s="332"/>
      <c r="BE1541" s="332"/>
      <c r="BF1541" s="332"/>
      <c r="BG1541" s="332"/>
      <c r="BH1541" s="332"/>
      <c r="BI1541" s="332"/>
      <c r="BJ1541" s="332"/>
      <c r="BK1541" s="332"/>
      <c r="BL1541" s="332"/>
      <c r="BM1541" s="332"/>
      <c r="BN1541" s="332"/>
      <c r="BO1541" s="332"/>
      <c r="BP1541" s="332"/>
      <c r="BQ1541" s="332"/>
      <c r="BR1541" s="332"/>
      <c r="BS1541" s="332"/>
      <c r="BT1541" s="332"/>
      <c r="BU1541" s="332"/>
      <c r="BV1541" s="332"/>
      <c r="BW1541" s="332"/>
      <c r="BX1541" s="332"/>
      <c r="BY1541" s="332"/>
      <c r="BZ1541" s="332"/>
      <c r="CA1541" s="332"/>
      <c r="CB1541" s="332"/>
      <c r="CC1541" s="332"/>
      <c r="CD1541" s="332"/>
      <c r="CE1541" s="332"/>
      <c r="CF1541" s="332"/>
      <c r="CG1541" s="332"/>
      <c r="CH1541" s="332"/>
      <c r="CI1541" s="332"/>
      <c r="CJ1541" s="332"/>
      <c r="CK1541" s="332"/>
      <c r="CL1541" s="332"/>
      <c r="CM1541" s="332"/>
      <c r="CN1541" s="332"/>
      <c r="CO1541" s="332"/>
      <c r="CP1541" s="332"/>
      <c r="CQ1541" s="332"/>
      <c r="CR1541" s="332"/>
      <c r="CS1541" s="332"/>
      <c r="CT1541" s="332"/>
      <c r="CU1541" s="332"/>
      <c r="CV1541" s="332"/>
      <c r="CW1541" s="332"/>
      <c r="CX1541" s="332"/>
      <c r="CY1541" s="332"/>
      <c r="CZ1541" s="332"/>
      <c r="DA1541" s="332"/>
      <c r="DB1541" s="332"/>
      <c r="DC1541" s="332"/>
      <c r="DD1541" s="332"/>
      <c r="DE1541" s="332"/>
      <c r="DF1541" s="332"/>
      <c r="DG1541" s="332"/>
      <c r="DH1541" s="332"/>
      <c r="DI1541" s="332"/>
      <c r="DJ1541" s="332"/>
      <c r="DK1541" s="332"/>
      <c r="DL1541" s="332"/>
      <c r="DM1541" s="332"/>
      <c r="DN1541" s="332"/>
      <c r="DO1541" s="332"/>
      <c r="DP1541" s="332"/>
      <c r="DQ1541" s="332"/>
      <c r="DR1541" s="332"/>
      <c r="DS1541" s="332"/>
      <c r="DT1541" s="332"/>
      <c r="DU1541" s="453"/>
      <c r="DV1541" s="453"/>
      <c r="DW1541" s="453"/>
      <c r="DX1541" s="453"/>
      <c r="DY1541" s="453"/>
      <c r="DZ1541" s="453"/>
      <c r="EA1541" s="453"/>
      <c r="EB1541" s="453"/>
      <c r="EC1541" s="453"/>
      <c r="ED1541" s="453"/>
      <c r="EE1541" s="453"/>
      <c r="EF1541" s="453"/>
      <c r="EG1541" s="453"/>
      <c r="EH1541" s="453"/>
      <c r="EI1541" s="453"/>
      <c r="EJ1541" s="453"/>
      <c r="EK1541" s="453"/>
      <c r="EL1541" s="453"/>
      <c r="EM1541" s="453"/>
      <c r="EN1541" s="453"/>
      <c r="EO1541" s="453"/>
      <c r="EP1541" s="453"/>
      <c r="EQ1541" s="453"/>
      <c r="ER1541" s="453"/>
      <c r="ES1541" s="453"/>
      <c r="ET1541" s="453"/>
      <c r="EU1541" s="453"/>
      <c r="EV1541" s="453"/>
      <c r="EW1541" s="453"/>
      <c r="EX1541" s="453"/>
      <c r="EY1541" s="453"/>
      <c r="EZ1541" s="453"/>
      <c r="FA1541" s="453"/>
      <c r="FB1541" s="453"/>
      <c r="FC1541" s="453"/>
      <c r="FD1541" s="453"/>
      <c r="FE1541" s="453"/>
      <c r="FF1541" s="453"/>
      <c r="FG1541" s="453"/>
      <c r="FH1541" s="453"/>
      <c r="FI1541" s="453"/>
      <c r="FJ1541" s="453"/>
      <c r="FK1541" s="453"/>
      <c r="FL1541" s="453"/>
      <c r="FM1541" s="453"/>
      <c r="FN1541" s="453"/>
      <c r="FO1541" s="453"/>
      <c r="FP1541" s="453"/>
      <c r="FQ1541" s="453"/>
      <c r="FR1541" s="453"/>
      <c r="FS1541" s="453"/>
      <c r="FT1541" s="453"/>
      <c r="FU1541" s="453"/>
      <c r="FV1541" s="453"/>
      <c r="FW1541" s="453"/>
      <c r="FX1541" s="453"/>
      <c r="FY1541" s="453"/>
      <c r="FZ1541" s="453"/>
      <c r="GA1541" s="453"/>
      <c r="GB1541" s="453"/>
      <c r="GC1541" s="453"/>
      <c r="GD1541" s="453"/>
      <c r="GE1541" s="453"/>
      <c r="GF1541" s="453"/>
      <c r="GG1541" s="453"/>
      <c r="GH1541" s="454"/>
      <c r="GI1541" s="453"/>
      <c r="GJ1541" s="453"/>
      <c r="GK1541" s="453"/>
      <c r="GL1541" s="453"/>
      <c r="GM1541" s="453"/>
      <c r="GN1541" s="453"/>
      <c r="GO1541" s="453"/>
      <c r="GP1541" s="453"/>
      <c r="GQ1541" s="453"/>
      <c r="GR1541" s="453"/>
      <c r="GS1541" s="453"/>
      <c r="GT1541" s="453"/>
      <c r="GU1541" s="453"/>
      <c r="GV1541" s="453"/>
      <c r="GW1541" s="453"/>
      <c r="GX1541" s="453"/>
      <c r="GY1541" s="453"/>
      <c r="GZ1541" s="453"/>
      <c r="HA1541" s="453"/>
      <c r="HB1541" s="453"/>
      <c r="HC1541" s="453"/>
      <c r="HD1541" s="453"/>
      <c r="HE1541" s="453"/>
      <c r="HF1541" s="453"/>
      <c r="HG1541" s="453"/>
      <c r="HH1541" s="453"/>
      <c r="HI1541" s="453"/>
      <c r="HJ1541" s="453"/>
      <c r="HK1541" s="453"/>
      <c r="HL1541" s="453"/>
      <c r="HM1541" s="454"/>
      <c r="HN1541" s="464"/>
      <c r="HO1541" s="465"/>
      <c r="HP1541" s="453"/>
      <c r="HQ1541" s="464"/>
      <c r="HR1541" s="465"/>
      <c r="HS1541" s="453"/>
      <c r="HT1541" s="464"/>
      <c r="HU1541" s="465"/>
      <c r="HV1541" s="453"/>
      <c r="HW1541" s="464"/>
    </row>
    <row r="1542" spans="25:231" ht="15" customHeight="1">
      <c r="Y1542" s="332"/>
      <c r="Z1542" s="332"/>
      <c r="AA1542" s="332"/>
      <c r="AB1542" s="332"/>
      <c r="AC1542" s="332"/>
      <c r="AD1542" s="332"/>
      <c r="AE1542" s="332"/>
      <c r="AF1542" s="332"/>
      <c r="AG1542" s="332"/>
      <c r="AH1542" s="332"/>
      <c r="AI1542" s="332"/>
      <c r="AJ1542" s="332"/>
      <c r="AK1542" s="332"/>
      <c r="AL1542" s="332"/>
      <c r="AM1542" s="332"/>
      <c r="AN1542" s="332"/>
      <c r="AO1542" s="332"/>
      <c r="AP1542" s="332"/>
      <c r="AQ1542" s="332"/>
      <c r="AR1542" s="332"/>
      <c r="AS1542" s="332"/>
      <c r="AT1542" s="332"/>
      <c r="AU1542" s="332"/>
      <c r="AV1542" s="332"/>
      <c r="AW1542" s="332"/>
      <c r="AX1542" s="332"/>
      <c r="AY1542" s="332"/>
      <c r="AZ1542" s="332"/>
      <c r="BA1542" s="332"/>
      <c r="BB1542" s="332"/>
      <c r="BC1542" s="332"/>
      <c r="BD1542" s="332"/>
      <c r="BE1542" s="332"/>
      <c r="BF1542" s="332"/>
      <c r="BG1542" s="332"/>
      <c r="BH1542" s="332"/>
      <c r="BI1542" s="332"/>
      <c r="BJ1542" s="332"/>
      <c r="BK1542" s="332"/>
      <c r="BL1542" s="332"/>
      <c r="BM1542" s="332"/>
      <c r="BN1542" s="332"/>
      <c r="BO1542" s="332"/>
      <c r="BP1542" s="332"/>
      <c r="BQ1542" s="332"/>
      <c r="BR1542" s="332"/>
      <c r="BS1542" s="332"/>
      <c r="BT1542" s="332"/>
      <c r="BU1542" s="332"/>
      <c r="BV1542" s="332"/>
      <c r="BW1542" s="332"/>
      <c r="BX1542" s="332"/>
      <c r="BY1542" s="332"/>
      <c r="BZ1542" s="332"/>
      <c r="CA1542" s="332"/>
      <c r="CB1542" s="332"/>
      <c r="CC1542" s="332"/>
      <c r="CD1542" s="332"/>
      <c r="CE1542" s="332"/>
      <c r="CF1542" s="332"/>
      <c r="CG1542" s="332"/>
      <c r="CH1542" s="332"/>
      <c r="CI1542" s="332"/>
      <c r="CJ1542" s="332"/>
      <c r="CK1542" s="332"/>
      <c r="CL1542" s="332"/>
      <c r="CM1542" s="332"/>
      <c r="CN1542" s="332"/>
      <c r="CO1542" s="332"/>
      <c r="CP1542" s="332"/>
      <c r="CQ1542" s="332"/>
      <c r="CR1542" s="332"/>
      <c r="CS1542" s="332"/>
      <c r="CT1542" s="332"/>
      <c r="CU1542" s="332"/>
      <c r="CV1542" s="332"/>
      <c r="CW1542" s="332"/>
      <c r="CX1542" s="332"/>
      <c r="CY1542" s="332"/>
      <c r="CZ1542" s="332"/>
      <c r="DA1542" s="332"/>
      <c r="DB1542" s="332"/>
      <c r="DC1542" s="332"/>
      <c r="DD1542" s="332"/>
      <c r="DE1542" s="332"/>
      <c r="DF1542" s="332"/>
      <c r="DG1542" s="332"/>
      <c r="DH1542" s="332"/>
      <c r="DI1542" s="332"/>
      <c r="DJ1542" s="332"/>
      <c r="DK1542" s="332"/>
      <c r="DL1542" s="332"/>
      <c r="DM1542" s="332"/>
      <c r="DN1542" s="332"/>
      <c r="DO1542" s="332"/>
      <c r="DP1542" s="332"/>
      <c r="DQ1542" s="332"/>
      <c r="DR1542" s="332"/>
      <c r="DS1542" s="332"/>
      <c r="DT1542" s="332"/>
      <c r="DU1542" s="453"/>
      <c r="DV1542" s="453"/>
      <c r="DW1542" s="453"/>
      <c r="DX1542" s="453"/>
      <c r="DY1542" s="453"/>
      <c r="DZ1542" s="453"/>
      <c r="EA1542" s="453"/>
      <c r="EB1542" s="453"/>
      <c r="EC1542" s="453"/>
      <c r="ED1542" s="453"/>
      <c r="EE1542" s="453"/>
      <c r="EF1542" s="453"/>
      <c r="EG1542" s="453"/>
      <c r="EH1542" s="453"/>
      <c r="EI1542" s="453"/>
      <c r="EJ1542" s="453"/>
      <c r="EK1542" s="453"/>
      <c r="EL1542" s="453"/>
      <c r="EM1542" s="453"/>
      <c r="EN1542" s="453"/>
      <c r="EO1542" s="453"/>
      <c r="EP1542" s="453"/>
      <c r="EQ1542" s="453"/>
      <c r="ER1542" s="453"/>
      <c r="ES1542" s="453"/>
      <c r="ET1542" s="453"/>
      <c r="EU1542" s="453"/>
      <c r="EV1542" s="453"/>
      <c r="EW1542" s="453"/>
      <c r="EX1542" s="453"/>
      <c r="EY1542" s="453"/>
      <c r="EZ1542" s="453"/>
      <c r="FA1542" s="453"/>
      <c r="FB1542" s="453"/>
      <c r="FC1542" s="453"/>
      <c r="FD1542" s="453"/>
      <c r="FE1542" s="453"/>
      <c r="FF1542" s="453"/>
      <c r="FG1542" s="453"/>
      <c r="FH1542" s="453"/>
      <c r="FI1542" s="453"/>
      <c r="FJ1542" s="453"/>
      <c r="FK1542" s="453"/>
      <c r="FL1542" s="453"/>
      <c r="FM1542" s="453"/>
      <c r="FN1542" s="453"/>
      <c r="FO1542" s="453"/>
      <c r="FP1542" s="453"/>
      <c r="FQ1542" s="453"/>
      <c r="FR1542" s="453"/>
      <c r="FS1542" s="453"/>
      <c r="FT1542" s="453"/>
      <c r="FU1542" s="453"/>
      <c r="FV1542" s="453"/>
      <c r="FW1542" s="453"/>
      <c r="FX1542" s="453"/>
      <c r="FY1542" s="453"/>
      <c r="FZ1542" s="453"/>
      <c r="GA1542" s="453"/>
      <c r="GB1542" s="453"/>
      <c r="GC1542" s="453"/>
      <c r="GD1542" s="453"/>
      <c r="GE1542" s="453"/>
      <c r="GF1542" s="453"/>
      <c r="GG1542" s="453"/>
      <c r="GH1542" s="454"/>
      <c r="GI1542" s="453"/>
      <c r="GJ1542" s="453"/>
      <c r="GK1542" s="453"/>
      <c r="GL1542" s="453"/>
      <c r="GM1542" s="453"/>
      <c r="GN1542" s="453"/>
      <c r="GO1542" s="453"/>
      <c r="GP1542" s="453"/>
      <c r="GQ1542" s="453"/>
      <c r="GR1542" s="453"/>
      <c r="GS1542" s="453"/>
      <c r="GT1542" s="453"/>
      <c r="GU1542" s="453"/>
      <c r="GV1542" s="453"/>
      <c r="GW1542" s="453"/>
      <c r="GX1542" s="453"/>
      <c r="GY1542" s="453"/>
      <c r="GZ1542" s="453"/>
      <c r="HA1542" s="453"/>
      <c r="HB1542" s="453"/>
      <c r="HC1542" s="453"/>
      <c r="HD1542" s="453"/>
      <c r="HE1542" s="453"/>
      <c r="HF1542" s="453"/>
      <c r="HG1542" s="453"/>
      <c r="HH1542" s="453"/>
      <c r="HI1542" s="453"/>
      <c r="HJ1542" s="453"/>
      <c r="HK1542" s="453"/>
      <c r="HL1542" s="453"/>
      <c r="HM1542" s="454"/>
      <c r="HN1542" s="464"/>
      <c r="HO1542" s="465"/>
      <c r="HP1542" s="453"/>
      <c r="HQ1542" s="464"/>
      <c r="HR1542" s="465"/>
      <c r="HS1542" s="453"/>
      <c r="HT1542" s="464"/>
      <c r="HU1542" s="465"/>
      <c r="HV1542" s="453"/>
      <c r="HW1542" s="464"/>
    </row>
    <row r="1543" spans="25:231" ht="15" customHeight="1">
      <c r="Y1543" s="332"/>
      <c r="Z1543" s="332"/>
      <c r="AA1543" s="332"/>
      <c r="AB1543" s="332"/>
      <c r="AC1543" s="332"/>
      <c r="AD1543" s="332"/>
      <c r="AE1543" s="332"/>
      <c r="AF1543" s="332"/>
      <c r="AG1543" s="332"/>
      <c r="AH1543" s="332"/>
      <c r="AI1543" s="332"/>
      <c r="AJ1543" s="332"/>
      <c r="AK1543" s="332"/>
      <c r="AL1543" s="332"/>
      <c r="AM1543" s="332"/>
      <c r="AN1543" s="332"/>
      <c r="AO1543" s="332"/>
      <c r="AP1543" s="332"/>
      <c r="AQ1543" s="332"/>
      <c r="AR1543" s="332"/>
      <c r="AS1543" s="332"/>
      <c r="AT1543" s="332"/>
      <c r="AU1543" s="332"/>
      <c r="AV1543" s="332"/>
      <c r="AW1543" s="332"/>
      <c r="AX1543" s="332"/>
      <c r="AY1543" s="332"/>
      <c r="AZ1543" s="332"/>
      <c r="BA1543" s="332"/>
      <c r="BB1543" s="332"/>
      <c r="BC1543" s="332"/>
      <c r="BD1543" s="332"/>
      <c r="BE1543" s="332"/>
      <c r="BF1543" s="332"/>
      <c r="BG1543" s="332"/>
      <c r="BH1543" s="332"/>
      <c r="BI1543" s="332"/>
      <c r="BJ1543" s="332"/>
      <c r="BK1543" s="332"/>
      <c r="BL1543" s="332"/>
      <c r="BM1543" s="332"/>
      <c r="BN1543" s="332"/>
      <c r="BO1543" s="332"/>
      <c r="BP1543" s="332"/>
      <c r="BQ1543" s="332"/>
      <c r="BR1543" s="332"/>
      <c r="BS1543" s="332"/>
      <c r="BT1543" s="332"/>
      <c r="BU1543" s="332"/>
      <c r="BV1543" s="332"/>
      <c r="BW1543" s="332"/>
      <c r="BX1543" s="332"/>
      <c r="BY1543" s="332"/>
      <c r="BZ1543" s="332"/>
      <c r="CA1543" s="332"/>
      <c r="CB1543" s="332"/>
      <c r="CC1543" s="332"/>
      <c r="CD1543" s="332"/>
      <c r="CE1543" s="332"/>
      <c r="CF1543" s="332"/>
      <c r="CG1543" s="332"/>
      <c r="CH1543" s="332"/>
      <c r="CI1543" s="332"/>
      <c r="CJ1543" s="332"/>
      <c r="CK1543" s="332"/>
      <c r="CL1543" s="332"/>
      <c r="CM1543" s="332"/>
      <c r="CN1543" s="332"/>
      <c r="CO1543" s="332"/>
      <c r="CP1543" s="332"/>
      <c r="CQ1543" s="332"/>
      <c r="CR1543" s="332"/>
      <c r="CS1543" s="332"/>
      <c r="CT1543" s="332"/>
      <c r="CU1543" s="332"/>
      <c r="CV1543" s="332"/>
      <c r="CW1543" s="332"/>
      <c r="CX1543" s="332"/>
      <c r="CY1543" s="332"/>
      <c r="CZ1543" s="332"/>
      <c r="DA1543" s="332"/>
      <c r="DB1543" s="332"/>
      <c r="DC1543" s="332"/>
      <c r="DD1543" s="332"/>
      <c r="DE1543" s="332"/>
      <c r="DF1543" s="332"/>
      <c r="DG1543" s="332"/>
      <c r="DH1543" s="332"/>
      <c r="DI1543" s="332"/>
      <c r="DJ1543" s="332"/>
      <c r="DK1543" s="332"/>
      <c r="DL1543" s="332"/>
      <c r="DM1543" s="332"/>
      <c r="DN1543" s="332"/>
      <c r="DO1543" s="332"/>
      <c r="DP1543" s="332"/>
      <c r="DQ1543" s="332"/>
      <c r="DR1543" s="332"/>
      <c r="DS1543" s="332"/>
      <c r="DT1543" s="332"/>
      <c r="DU1543" s="453"/>
      <c r="DV1543" s="453"/>
      <c r="DW1543" s="453"/>
      <c r="DX1543" s="453"/>
      <c r="DY1543" s="453"/>
      <c r="DZ1543" s="453"/>
      <c r="EA1543" s="453"/>
      <c r="EB1543" s="453"/>
      <c r="EC1543" s="453"/>
      <c r="ED1543" s="453"/>
      <c r="EE1543" s="453"/>
      <c r="EF1543" s="453"/>
      <c r="EG1543" s="453"/>
      <c r="EH1543" s="453"/>
      <c r="EI1543" s="453"/>
      <c r="EJ1543" s="453"/>
      <c r="EK1543" s="453"/>
      <c r="EL1543" s="453"/>
      <c r="EM1543" s="453"/>
      <c r="EN1543" s="453"/>
      <c r="EO1543" s="453"/>
      <c r="EP1543" s="453"/>
      <c r="EQ1543" s="453"/>
      <c r="ER1543" s="453"/>
      <c r="ES1543" s="453"/>
      <c r="ET1543" s="453"/>
      <c r="EU1543" s="453"/>
      <c r="EV1543" s="453"/>
      <c r="EW1543" s="453"/>
      <c r="EX1543" s="453"/>
      <c r="EY1543" s="453"/>
      <c r="EZ1543" s="453"/>
      <c r="FA1543" s="453"/>
      <c r="FB1543" s="453"/>
      <c r="FC1543" s="453"/>
      <c r="FD1543" s="453"/>
      <c r="FE1543" s="453"/>
      <c r="FF1543" s="453"/>
      <c r="FG1543" s="453"/>
      <c r="FH1543" s="453"/>
      <c r="FI1543" s="453"/>
      <c r="FJ1543" s="453"/>
      <c r="FK1543" s="453"/>
      <c r="FL1543" s="453"/>
      <c r="FM1543" s="453"/>
      <c r="FN1543" s="453"/>
      <c r="FO1543" s="453"/>
      <c r="FP1543" s="453"/>
      <c r="FQ1543" s="453"/>
      <c r="FR1543" s="453"/>
      <c r="FS1543" s="453"/>
      <c r="FT1543" s="453"/>
      <c r="FU1543" s="453"/>
      <c r="FV1543" s="453"/>
      <c r="FW1543" s="453"/>
      <c r="FX1543" s="453"/>
      <c r="FY1543" s="453"/>
      <c r="FZ1543" s="453"/>
      <c r="GA1543" s="453"/>
      <c r="GB1543" s="453"/>
      <c r="GC1543" s="453"/>
      <c r="GD1543" s="453"/>
      <c r="GE1543" s="453"/>
      <c r="GF1543" s="453"/>
      <c r="GG1543" s="453"/>
      <c r="GH1543" s="454"/>
      <c r="GI1543" s="453"/>
      <c r="GJ1543" s="453"/>
      <c r="GK1543" s="453"/>
      <c r="GL1543" s="453"/>
      <c r="GM1543" s="453"/>
      <c r="GN1543" s="453"/>
      <c r="GO1543" s="453"/>
      <c r="GP1543" s="453"/>
      <c r="GQ1543" s="453"/>
      <c r="GR1543" s="453"/>
      <c r="GS1543" s="453"/>
      <c r="GT1543" s="453"/>
      <c r="GU1543" s="453"/>
      <c r="GV1543" s="453"/>
      <c r="GW1543" s="453"/>
      <c r="GX1543" s="453"/>
      <c r="GY1543" s="453"/>
      <c r="GZ1543" s="453"/>
      <c r="HA1543" s="453"/>
      <c r="HB1543" s="453"/>
      <c r="HC1543" s="453"/>
      <c r="HD1543" s="453"/>
      <c r="HE1543" s="453"/>
      <c r="HF1543" s="453"/>
      <c r="HG1543" s="453"/>
      <c r="HH1543" s="453"/>
      <c r="HI1543" s="453"/>
      <c r="HJ1543" s="453"/>
      <c r="HK1543" s="453"/>
      <c r="HL1543" s="453"/>
      <c r="HM1543" s="454"/>
      <c r="HN1543" s="464"/>
      <c r="HO1543" s="465"/>
      <c r="HP1543" s="453"/>
      <c r="HQ1543" s="464"/>
      <c r="HR1543" s="465"/>
      <c r="HS1543" s="453"/>
      <c r="HT1543" s="464"/>
      <c r="HU1543" s="465"/>
      <c r="HV1543" s="453"/>
      <c r="HW1543" s="464"/>
    </row>
    <row r="1544" spans="25:231" ht="15" customHeight="1">
      <c r="Y1544" s="332"/>
      <c r="Z1544" s="332"/>
      <c r="AA1544" s="332"/>
      <c r="AB1544" s="332"/>
      <c r="AC1544" s="332"/>
      <c r="AD1544" s="332"/>
      <c r="AE1544" s="332"/>
      <c r="AF1544" s="332"/>
      <c r="AG1544" s="332"/>
      <c r="AH1544" s="332"/>
      <c r="AI1544" s="332"/>
      <c r="AJ1544" s="332"/>
      <c r="AK1544" s="332"/>
      <c r="AL1544" s="332"/>
      <c r="AM1544" s="332"/>
      <c r="AN1544" s="332"/>
      <c r="AO1544" s="332"/>
      <c r="AP1544" s="332"/>
      <c r="AQ1544" s="332"/>
      <c r="AR1544" s="332"/>
      <c r="AS1544" s="332"/>
      <c r="AT1544" s="332"/>
      <c r="AU1544" s="332"/>
      <c r="AV1544" s="332"/>
      <c r="AW1544" s="332"/>
      <c r="AX1544" s="332"/>
      <c r="AY1544" s="332"/>
      <c r="AZ1544" s="332"/>
      <c r="BA1544" s="332"/>
      <c r="BB1544" s="332"/>
      <c r="BC1544" s="332"/>
      <c r="BD1544" s="332"/>
      <c r="BE1544" s="332"/>
      <c r="BF1544" s="332"/>
      <c r="BG1544" s="332"/>
      <c r="BH1544" s="332"/>
      <c r="BI1544" s="332"/>
      <c r="BJ1544" s="332"/>
      <c r="BK1544" s="332"/>
      <c r="BL1544" s="332"/>
      <c r="BM1544" s="332"/>
      <c r="BN1544" s="332"/>
      <c r="BO1544" s="332"/>
      <c r="BP1544" s="332"/>
      <c r="BQ1544" s="332"/>
      <c r="BR1544" s="332"/>
      <c r="BS1544" s="332"/>
      <c r="BT1544" s="332"/>
      <c r="BU1544" s="332"/>
      <c r="BV1544" s="332"/>
      <c r="BW1544" s="332"/>
      <c r="BX1544" s="332"/>
      <c r="BY1544" s="332"/>
      <c r="BZ1544" s="332"/>
      <c r="CA1544" s="332"/>
      <c r="CB1544" s="332"/>
      <c r="CC1544" s="332"/>
      <c r="CD1544" s="332"/>
      <c r="CE1544" s="332"/>
      <c r="CF1544" s="332"/>
      <c r="CG1544" s="332"/>
      <c r="CH1544" s="332"/>
      <c r="CI1544" s="332"/>
      <c r="CJ1544" s="332"/>
      <c r="CK1544" s="332"/>
      <c r="CL1544" s="332"/>
      <c r="CM1544" s="332"/>
      <c r="CN1544" s="332"/>
      <c r="CO1544" s="332"/>
      <c r="CP1544" s="332"/>
      <c r="CQ1544" s="332"/>
      <c r="CR1544" s="332"/>
      <c r="CS1544" s="332"/>
      <c r="CT1544" s="332"/>
      <c r="CU1544" s="332"/>
      <c r="CV1544" s="332"/>
      <c r="CW1544" s="332"/>
      <c r="CX1544" s="332"/>
      <c r="CY1544" s="332"/>
      <c r="CZ1544" s="332"/>
      <c r="DA1544" s="332"/>
      <c r="DB1544" s="332"/>
      <c r="DC1544" s="332"/>
      <c r="DD1544" s="332"/>
      <c r="DE1544" s="332"/>
      <c r="DF1544" s="332"/>
      <c r="DG1544" s="332"/>
      <c r="DH1544" s="332"/>
      <c r="DI1544" s="332"/>
      <c r="DJ1544" s="332"/>
      <c r="DK1544" s="332"/>
      <c r="DL1544" s="332"/>
      <c r="DM1544" s="332"/>
      <c r="DN1544" s="332"/>
      <c r="DO1544" s="332"/>
      <c r="DP1544" s="332"/>
      <c r="DQ1544" s="332"/>
      <c r="DR1544" s="332"/>
      <c r="DS1544" s="332"/>
      <c r="DT1544" s="332"/>
      <c r="DU1544" s="453"/>
      <c r="DV1544" s="453"/>
      <c r="DW1544" s="453"/>
      <c r="DX1544" s="453"/>
      <c r="DY1544" s="453"/>
      <c r="DZ1544" s="453"/>
      <c r="EA1544" s="453"/>
      <c r="EB1544" s="453"/>
      <c r="EC1544" s="453"/>
      <c r="ED1544" s="453"/>
      <c r="EE1544" s="453"/>
      <c r="EF1544" s="453"/>
      <c r="EG1544" s="453"/>
      <c r="EH1544" s="453"/>
      <c r="EI1544" s="453"/>
      <c r="EJ1544" s="453"/>
      <c r="EK1544" s="453"/>
      <c r="EL1544" s="453"/>
      <c r="EM1544" s="453"/>
      <c r="EN1544" s="453"/>
      <c r="EO1544" s="453"/>
      <c r="EP1544" s="453"/>
      <c r="EQ1544" s="453"/>
      <c r="ER1544" s="453"/>
      <c r="ES1544" s="453"/>
      <c r="ET1544" s="453"/>
      <c r="EU1544" s="453"/>
      <c r="EV1544" s="453"/>
      <c r="EW1544" s="453"/>
      <c r="EX1544" s="453"/>
      <c r="EY1544" s="453"/>
      <c r="EZ1544" s="453"/>
      <c r="FA1544" s="453"/>
      <c r="FB1544" s="453"/>
      <c r="FC1544" s="453"/>
      <c r="FD1544" s="453"/>
      <c r="FE1544" s="453"/>
      <c r="FF1544" s="453"/>
      <c r="FG1544" s="453"/>
      <c r="FH1544" s="453"/>
      <c r="FI1544" s="453"/>
      <c r="FJ1544" s="453"/>
      <c r="FK1544" s="453"/>
      <c r="FL1544" s="453"/>
      <c r="FM1544" s="453"/>
      <c r="FN1544" s="453"/>
      <c r="FO1544" s="453"/>
      <c r="FP1544" s="453"/>
      <c r="FQ1544" s="453"/>
      <c r="FR1544" s="453"/>
      <c r="FS1544" s="453"/>
      <c r="FT1544" s="453"/>
      <c r="FU1544" s="453"/>
      <c r="FV1544" s="453"/>
      <c r="FW1544" s="453"/>
      <c r="FX1544" s="453"/>
      <c r="FY1544" s="453"/>
      <c r="FZ1544" s="453"/>
      <c r="GA1544" s="453"/>
      <c r="GB1544" s="453"/>
      <c r="GC1544" s="453"/>
      <c r="GD1544" s="453"/>
      <c r="GE1544" s="453"/>
      <c r="GF1544" s="453"/>
      <c r="GG1544" s="453"/>
      <c r="GH1544" s="454"/>
      <c r="GI1544" s="453"/>
      <c r="GJ1544" s="453"/>
      <c r="GK1544" s="453"/>
      <c r="GL1544" s="453"/>
      <c r="GM1544" s="453"/>
      <c r="GN1544" s="453"/>
      <c r="GO1544" s="453"/>
      <c r="GP1544" s="453"/>
      <c r="GQ1544" s="453"/>
      <c r="GR1544" s="453"/>
      <c r="GS1544" s="453"/>
      <c r="GT1544" s="453"/>
      <c r="GU1544" s="453"/>
      <c r="GV1544" s="453"/>
      <c r="GW1544" s="453"/>
      <c r="GX1544" s="453"/>
      <c r="GY1544" s="453"/>
      <c r="GZ1544" s="453"/>
      <c r="HA1544" s="453"/>
      <c r="HB1544" s="453"/>
      <c r="HC1544" s="453"/>
      <c r="HD1544" s="453"/>
      <c r="HE1544" s="453"/>
      <c r="HF1544" s="453"/>
      <c r="HG1544" s="453"/>
      <c r="HH1544" s="453"/>
      <c r="HI1544" s="453"/>
      <c r="HJ1544" s="453"/>
      <c r="HK1544" s="453"/>
      <c r="HL1544" s="453"/>
      <c r="HM1544" s="454"/>
      <c r="HN1544" s="464"/>
      <c r="HO1544" s="465"/>
      <c r="HP1544" s="453"/>
      <c r="HQ1544" s="464"/>
      <c r="HR1544" s="465"/>
      <c r="HS1544" s="453"/>
      <c r="HT1544" s="464"/>
      <c r="HU1544" s="465"/>
      <c r="HV1544" s="453"/>
      <c r="HW1544" s="464"/>
    </row>
    <row r="1545" spans="25:231" ht="15" customHeight="1">
      <c r="Y1545" s="332"/>
      <c r="Z1545" s="332"/>
      <c r="AA1545" s="332"/>
      <c r="AB1545" s="332"/>
      <c r="AC1545" s="332"/>
      <c r="AD1545" s="332"/>
      <c r="AE1545" s="332"/>
      <c r="AF1545" s="332"/>
      <c r="AG1545" s="332"/>
      <c r="AH1545" s="332"/>
      <c r="AI1545" s="332"/>
      <c r="AJ1545" s="332"/>
      <c r="AK1545" s="332"/>
      <c r="AL1545" s="332"/>
      <c r="AM1545" s="332"/>
      <c r="AN1545" s="332"/>
      <c r="AO1545" s="332"/>
      <c r="AP1545" s="332"/>
      <c r="AQ1545" s="332"/>
      <c r="AR1545" s="332"/>
      <c r="AS1545" s="332"/>
      <c r="AT1545" s="332"/>
      <c r="AU1545" s="332"/>
      <c r="AV1545" s="332"/>
      <c r="AW1545" s="332"/>
      <c r="AX1545" s="332"/>
      <c r="AY1545" s="332"/>
      <c r="AZ1545" s="332"/>
      <c r="BA1545" s="332"/>
      <c r="BB1545" s="332"/>
      <c r="BC1545" s="332"/>
      <c r="BD1545" s="332"/>
      <c r="BE1545" s="332"/>
      <c r="BF1545" s="332"/>
      <c r="BG1545" s="332"/>
      <c r="BH1545" s="332"/>
      <c r="BI1545" s="332"/>
      <c r="BJ1545" s="332"/>
      <c r="BK1545" s="332"/>
      <c r="BL1545" s="332"/>
      <c r="BM1545" s="332"/>
      <c r="BN1545" s="332"/>
      <c r="BO1545" s="332"/>
      <c r="BP1545" s="332"/>
      <c r="BQ1545" s="332"/>
      <c r="BR1545" s="332"/>
      <c r="BS1545" s="332"/>
      <c r="BT1545" s="332"/>
      <c r="BU1545" s="332"/>
      <c r="BV1545" s="332"/>
      <c r="BW1545" s="332"/>
      <c r="BX1545" s="332"/>
      <c r="BY1545" s="332"/>
      <c r="BZ1545" s="332"/>
      <c r="CA1545" s="332"/>
      <c r="CB1545" s="332"/>
      <c r="CC1545" s="332"/>
      <c r="CD1545" s="332"/>
      <c r="CE1545" s="332"/>
      <c r="CF1545" s="332"/>
      <c r="CG1545" s="332"/>
      <c r="CH1545" s="332"/>
      <c r="CI1545" s="332"/>
      <c r="CJ1545" s="332"/>
      <c r="CK1545" s="332"/>
      <c r="CL1545" s="332"/>
      <c r="CM1545" s="332"/>
      <c r="CN1545" s="332"/>
      <c r="CO1545" s="332"/>
      <c r="CP1545" s="332"/>
      <c r="CQ1545" s="332"/>
      <c r="CR1545" s="332"/>
      <c r="CS1545" s="332"/>
      <c r="CT1545" s="332"/>
      <c r="CU1545" s="332"/>
      <c r="CV1545" s="332"/>
      <c r="CW1545" s="332"/>
      <c r="CX1545" s="332"/>
      <c r="CY1545" s="332"/>
      <c r="CZ1545" s="332"/>
      <c r="DA1545" s="332"/>
      <c r="DB1545" s="332"/>
      <c r="DC1545" s="332"/>
      <c r="DD1545" s="332"/>
      <c r="DE1545" s="332"/>
      <c r="DF1545" s="332"/>
      <c r="DG1545" s="332"/>
      <c r="DH1545" s="332"/>
      <c r="DI1545" s="332"/>
      <c r="DJ1545" s="332"/>
      <c r="DK1545" s="332"/>
      <c r="DL1545" s="332"/>
      <c r="DM1545" s="332"/>
      <c r="DN1545" s="332"/>
      <c r="DO1545" s="332"/>
      <c r="DP1545" s="332"/>
      <c r="DQ1545" s="332"/>
      <c r="DR1545" s="332"/>
      <c r="DS1545" s="332"/>
      <c r="DT1545" s="332"/>
      <c r="DU1545" s="453"/>
      <c r="DV1545" s="453"/>
      <c r="DW1545" s="453"/>
      <c r="DX1545" s="453"/>
      <c r="DY1545" s="453"/>
      <c r="DZ1545" s="453"/>
      <c r="EA1545" s="453"/>
      <c r="EB1545" s="453"/>
      <c r="EC1545" s="453"/>
      <c r="ED1545" s="453"/>
      <c r="EE1545" s="453"/>
      <c r="EF1545" s="453"/>
      <c r="EG1545" s="453"/>
      <c r="EH1545" s="453"/>
      <c r="EI1545" s="453"/>
      <c r="EJ1545" s="453"/>
      <c r="EK1545" s="453"/>
      <c r="EL1545" s="453"/>
      <c r="EM1545" s="453"/>
      <c r="EN1545" s="453"/>
      <c r="EO1545" s="453"/>
      <c r="EP1545" s="453"/>
      <c r="EQ1545" s="453"/>
      <c r="ER1545" s="453"/>
      <c r="ES1545" s="453"/>
      <c r="ET1545" s="453"/>
      <c r="EU1545" s="453"/>
      <c r="EV1545" s="453"/>
      <c r="EW1545" s="453"/>
      <c r="EX1545" s="453"/>
      <c r="EY1545" s="453"/>
      <c r="EZ1545" s="453"/>
      <c r="FA1545" s="453"/>
      <c r="FB1545" s="453"/>
      <c r="FC1545" s="453"/>
      <c r="FD1545" s="453"/>
      <c r="FE1545" s="453"/>
      <c r="FF1545" s="453"/>
      <c r="FG1545" s="453"/>
      <c r="FH1545" s="453"/>
      <c r="FI1545" s="453"/>
      <c r="FJ1545" s="453"/>
      <c r="FK1545" s="453"/>
      <c r="FL1545" s="453"/>
      <c r="FM1545" s="453"/>
      <c r="FN1545" s="453"/>
      <c r="FO1545" s="453"/>
      <c r="FP1545" s="453"/>
      <c r="FQ1545" s="453"/>
      <c r="FR1545" s="453"/>
      <c r="FS1545" s="453"/>
      <c r="FT1545" s="453"/>
      <c r="FU1545" s="453"/>
      <c r="FV1545" s="453"/>
      <c r="FW1545" s="453"/>
      <c r="FX1545" s="453"/>
      <c r="FY1545" s="453"/>
      <c r="FZ1545" s="453"/>
      <c r="GA1545" s="453"/>
      <c r="GB1545" s="453"/>
      <c r="GC1545" s="453"/>
      <c r="GD1545" s="453"/>
      <c r="GE1545" s="453"/>
      <c r="GF1545" s="453"/>
      <c r="GG1545" s="453"/>
      <c r="GH1545" s="454"/>
      <c r="GI1545" s="453"/>
      <c r="GJ1545" s="453"/>
      <c r="GK1545" s="453"/>
      <c r="GL1545" s="453"/>
      <c r="GM1545" s="453"/>
      <c r="GN1545" s="453"/>
      <c r="GO1545" s="453"/>
      <c r="GP1545" s="453"/>
      <c r="GQ1545" s="453"/>
      <c r="GR1545" s="453"/>
      <c r="GS1545" s="453"/>
      <c r="GT1545" s="453"/>
      <c r="GU1545" s="453"/>
      <c r="GV1545" s="453"/>
      <c r="GW1545" s="453"/>
      <c r="GX1545" s="453"/>
      <c r="GY1545" s="453"/>
      <c r="GZ1545" s="453"/>
      <c r="HA1545" s="453"/>
      <c r="HB1545" s="453"/>
      <c r="HC1545" s="453"/>
      <c r="HD1545" s="453"/>
      <c r="HE1545" s="453"/>
      <c r="HF1545" s="453"/>
      <c r="HG1545" s="453"/>
      <c r="HH1545" s="453"/>
      <c r="HI1545" s="453"/>
      <c r="HJ1545" s="453"/>
      <c r="HK1545" s="453"/>
      <c r="HL1545" s="453"/>
      <c r="HM1545" s="454"/>
      <c r="HN1545" s="464"/>
      <c r="HO1545" s="465"/>
      <c r="HP1545" s="453"/>
      <c r="HQ1545" s="464"/>
      <c r="HR1545" s="465"/>
      <c r="HS1545" s="453"/>
      <c r="HT1545" s="464"/>
      <c r="HU1545" s="465"/>
      <c r="HV1545" s="453"/>
      <c r="HW1545" s="464"/>
    </row>
    <row r="1546" spans="25:231" ht="15" customHeight="1">
      <c r="Y1546" s="332"/>
      <c r="Z1546" s="332"/>
      <c r="AA1546" s="332"/>
      <c r="AB1546" s="332"/>
      <c r="AC1546" s="332"/>
      <c r="AD1546" s="332"/>
      <c r="AE1546" s="332"/>
      <c r="AF1546" s="332"/>
      <c r="AG1546" s="332"/>
      <c r="AH1546" s="332"/>
      <c r="AI1546" s="332"/>
      <c r="AJ1546" s="332"/>
      <c r="AK1546" s="332"/>
      <c r="AL1546" s="332"/>
      <c r="AM1546" s="332"/>
      <c r="AN1546" s="332"/>
      <c r="AO1546" s="332"/>
      <c r="AP1546" s="332"/>
      <c r="AQ1546" s="332"/>
      <c r="AR1546" s="332"/>
      <c r="AS1546" s="332"/>
      <c r="AT1546" s="332"/>
      <c r="AU1546" s="332"/>
      <c r="AV1546" s="332"/>
      <c r="AW1546" s="332"/>
      <c r="AX1546" s="332"/>
      <c r="AY1546" s="332"/>
      <c r="AZ1546" s="332"/>
      <c r="BA1546" s="332"/>
      <c r="BB1546" s="332"/>
      <c r="BC1546" s="332"/>
      <c r="BD1546" s="332"/>
      <c r="BE1546" s="332"/>
      <c r="BF1546" s="332"/>
      <c r="BG1546" s="332"/>
      <c r="BH1546" s="332"/>
      <c r="BI1546" s="332"/>
      <c r="BJ1546" s="332"/>
      <c r="BK1546" s="332"/>
      <c r="BL1546" s="332"/>
      <c r="BM1546" s="332"/>
      <c r="BN1546" s="332"/>
      <c r="BO1546" s="332"/>
      <c r="BP1546" s="332"/>
      <c r="BQ1546" s="332"/>
      <c r="BR1546" s="332"/>
      <c r="BS1546" s="332"/>
      <c r="BT1546" s="332"/>
      <c r="BU1546" s="332"/>
      <c r="BV1546" s="332"/>
      <c r="BW1546" s="332"/>
      <c r="BX1546" s="332"/>
      <c r="BY1546" s="332"/>
      <c r="BZ1546" s="332"/>
      <c r="CA1546" s="332"/>
      <c r="CB1546" s="332"/>
      <c r="CC1546" s="332"/>
      <c r="CD1546" s="332"/>
      <c r="CE1546" s="332"/>
      <c r="CF1546" s="332"/>
      <c r="CG1546" s="332"/>
      <c r="CH1546" s="332"/>
      <c r="CI1546" s="332"/>
      <c r="CJ1546" s="332"/>
      <c r="CK1546" s="332"/>
      <c r="CL1546" s="332"/>
      <c r="CM1546" s="332"/>
      <c r="CN1546" s="332"/>
      <c r="CO1546" s="332"/>
      <c r="CP1546" s="332"/>
      <c r="CQ1546" s="332"/>
      <c r="CR1546" s="332"/>
      <c r="CS1546" s="332"/>
      <c r="CT1546" s="332"/>
      <c r="CU1546" s="332"/>
      <c r="CV1546" s="332"/>
      <c r="CW1546" s="332"/>
      <c r="CX1546" s="332"/>
      <c r="CY1546" s="332"/>
      <c r="CZ1546" s="332"/>
      <c r="DA1546" s="332"/>
      <c r="DB1546" s="332"/>
      <c r="DC1546" s="332"/>
      <c r="DD1546" s="332"/>
      <c r="DE1546" s="332"/>
      <c r="DF1546" s="332"/>
      <c r="DG1546" s="332"/>
      <c r="DH1546" s="332"/>
      <c r="DI1546" s="332"/>
      <c r="DJ1546" s="332"/>
      <c r="DK1546" s="332"/>
      <c r="DL1546" s="332"/>
      <c r="DM1546" s="332"/>
      <c r="DN1546" s="332"/>
      <c r="DO1546" s="332"/>
      <c r="DP1546" s="332"/>
      <c r="DQ1546" s="332"/>
      <c r="DR1546" s="332"/>
      <c r="DS1546" s="332"/>
      <c r="DT1546" s="332"/>
      <c r="DU1546" s="453"/>
      <c r="DV1546" s="453"/>
      <c r="DW1546" s="453"/>
      <c r="DX1546" s="453"/>
      <c r="DY1546" s="453"/>
      <c r="DZ1546" s="453"/>
      <c r="EA1546" s="453"/>
      <c r="EB1546" s="453"/>
      <c r="EC1546" s="453"/>
      <c r="ED1546" s="453"/>
      <c r="EE1546" s="453"/>
      <c r="EF1546" s="453"/>
      <c r="EG1546" s="453"/>
      <c r="EH1546" s="453"/>
      <c r="EI1546" s="453"/>
      <c r="EJ1546" s="453"/>
      <c r="EK1546" s="453"/>
      <c r="EL1546" s="453"/>
      <c r="EM1546" s="453"/>
      <c r="EN1546" s="453"/>
      <c r="EO1546" s="453"/>
      <c r="EP1546" s="453"/>
      <c r="EQ1546" s="453"/>
      <c r="ER1546" s="453"/>
      <c r="ES1546" s="453"/>
      <c r="ET1546" s="453"/>
      <c r="EU1546" s="453"/>
      <c r="EV1546" s="453"/>
      <c r="EW1546" s="453"/>
      <c r="EX1546" s="453"/>
      <c r="EY1546" s="453"/>
      <c r="EZ1546" s="453"/>
      <c r="FA1546" s="453"/>
      <c r="FB1546" s="453"/>
      <c r="FC1546" s="453"/>
      <c r="FD1546" s="453"/>
      <c r="FE1546" s="453"/>
      <c r="FF1546" s="453"/>
      <c r="FG1546" s="453"/>
      <c r="FH1546" s="453"/>
      <c r="FI1546" s="453"/>
      <c r="FJ1546" s="453"/>
      <c r="FK1546" s="453"/>
      <c r="FL1546" s="453"/>
      <c r="FM1546" s="453"/>
      <c r="FN1546" s="453"/>
      <c r="FO1546" s="453"/>
      <c r="FP1546" s="453"/>
      <c r="FQ1546" s="453"/>
      <c r="FR1546" s="453"/>
      <c r="FS1546" s="453"/>
      <c r="FT1546" s="453"/>
      <c r="FU1546" s="453"/>
      <c r="FV1546" s="453"/>
      <c r="FW1546" s="453"/>
      <c r="FX1546" s="453"/>
      <c r="FY1546" s="453"/>
      <c r="FZ1546" s="453"/>
      <c r="GA1546" s="453"/>
      <c r="GB1546" s="453"/>
      <c r="GC1546" s="453"/>
      <c r="GD1546" s="453"/>
      <c r="GE1546" s="453"/>
      <c r="GF1546" s="453"/>
      <c r="GG1546" s="453"/>
      <c r="GH1546" s="454"/>
      <c r="GI1546" s="453"/>
      <c r="GJ1546" s="453"/>
      <c r="GK1546" s="453"/>
      <c r="GL1546" s="453"/>
      <c r="GM1546" s="453"/>
      <c r="GN1546" s="453"/>
      <c r="GO1546" s="453"/>
      <c r="GP1546" s="453"/>
      <c r="GQ1546" s="453"/>
      <c r="GR1546" s="453"/>
      <c r="GS1546" s="453"/>
      <c r="GT1546" s="453"/>
      <c r="GU1546" s="453"/>
      <c r="GV1546" s="453"/>
      <c r="GW1546" s="453"/>
      <c r="GX1546" s="453"/>
      <c r="GY1546" s="453"/>
      <c r="GZ1546" s="453"/>
      <c r="HA1546" s="453"/>
      <c r="HB1546" s="453"/>
      <c r="HC1546" s="453"/>
      <c r="HD1546" s="453"/>
      <c r="HE1546" s="453"/>
      <c r="HF1546" s="453"/>
      <c r="HG1546" s="453"/>
      <c r="HH1546" s="453"/>
      <c r="HI1546" s="453"/>
      <c r="HJ1546" s="453"/>
      <c r="HK1546" s="453"/>
      <c r="HL1546" s="453"/>
      <c r="HM1546" s="454"/>
      <c r="HN1546" s="464"/>
      <c r="HO1546" s="465"/>
      <c r="HP1546" s="453"/>
      <c r="HQ1546" s="464"/>
      <c r="HR1546" s="465"/>
      <c r="HS1546" s="453"/>
      <c r="HT1546" s="464"/>
      <c r="HU1546" s="465"/>
      <c r="HV1546" s="453"/>
      <c r="HW1546" s="464"/>
    </row>
    <row r="1547" spans="25:231" ht="15" customHeight="1">
      <c r="Y1547" s="332"/>
      <c r="Z1547" s="332"/>
      <c r="AA1547" s="332"/>
      <c r="AB1547" s="332"/>
      <c r="AC1547" s="332"/>
      <c r="AD1547" s="332"/>
      <c r="AE1547" s="332"/>
      <c r="AF1547" s="332"/>
      <c r="AG1547" s="332"/>
      <c r="AH1547" s="332"/>
      <c r="AI1547" s="332"/>
      <c r="AJ1547" s="332"/>
      <c r="AK1547" s="332"/>
      <c r="AL1547" s="332"/>
      <c r="AM1547" s="332"/>
      <c r="AN1547" s="332"/>
      <c r="AO1547" s="332"/>
      <c r="AP1547" s="332"/>
      <c r="AQ1547" s="332"/>
      <c r="AR1547" s="332"/>
      <c r="AS1547" s="332"/>
      <c r="AT1547" s="332"/>
      <c r="AU1547" s="332"/>
      <c r="AV1547" s="332"/>
      <c r="AW1547" s="332"/>
      <c r="AX1547" s="332"/>
      <c r="AY1547" s="332"/>
      <c r="AZ1547" s="332"/>
      <c r="BA1547" s="332"/>
      <c r="BB1547" s="332"/>
      <c r="BC1547" s="332"/>
      <c r="BD1547" s="332"/>
      <c r="BE1547" s="332"/>
      <c r="BF1547" s="332"/>
      <c r="BG1547" s="332"/>
      <c r="BH1547" s="332"/>
      <c r="BI1547" s="332"/>
      <c r="BJ1547" s="332"/>
      <c r="BK1547" s="332"/>
      <c r="BL1547" s="332"/>
      <c r="BM1547" s="332"/>
      <c r="BN1547" s="332"/>
      <c r="BO1547" s="332"/>
      <c r="BP1547" s="332"/>
      <c r="BQ1547" s="332"/>
      <c r="BR1547" s="332"/>
      <c r="BS1547" s="332"/>
      <c r="BT1547" s="332"/>
      <c r="BU1547" s="332"/>
      <c r="BV1547" s="332"/>
      <c r="BW1547" s="332"/>
      <c r="BX1547" s="332"/>
      <c r="BY1547" s="332"/>
      <c r="BZ1547" s="332"/>
      <c r="CA1547" s="332"/>
      <c r="CB1547" s="332"/>
      <c r="CC1547" s="332"/>
      <c r="CD1547" s="332"/>
      <c r="CE1547" s="332"/>
      <c r="CF1547" s="332"/>
      <c r="CG1547" s="332"/>
      <c r="CH1547" s="332"/>
      <c r="CI1547" s="332"/>
      <c r="CJ1547" s="332"/>
      <c r="CK1547" s="332"/>
      <c r="CL1547" s="332"/>
      <c r="CM1547" s="332"/>
      <c r="CN1547" s="332"/>
      <c r="CO1547" s="332"/>
      <c r="CP1547" s="332"/>
      <c r="CQ1547" s="332"/>
      <c r="CR1547" s="332"/>
      <c r="CS1547" s="332"/>
      <c r="CT1547" s="332"/>
      <c r="CU1547" s="332"/>
      <c r="CV1547" s="332"/>
      <c r="CW1547" s="332"/>
      <c r="CX1547" s="332"/>
      <c r="CY1547" s="332"/>
      <c r="CZ1547" s="332"/>
      <c r="DA1547" s="332"/>
      <c r="DB1547" s="332"/>
      <c r="DC1547" s="332"/>
      <c r="DD1547" s="332"/>
      <c r="DE1547" s="332"/>
      <c r="DF1547" s="332"/>
      <c r="DG1547" s="332"/>
      <c r="DH1547" s="332"/>
      <c r="DI1547" s="332"/>
      <c r="DJ1547" s="332"/>
      <c r="DK1547" s="332"/>
      <c r="DL1547" s="332"/>
      <c r="DM1547" s="332"/>
      <c r="DN1547" s="332"/>
      <c r="DO1547" s="332"/>
      <c r="DP1547" s="332"/>
      <c r="DQ1547" s="332"/>
      <c r="DR1547" s="332"/>
      <c r="DS1547" s="332"/>
      <c r="DT1547" s="332"/>
      <c r="DU1547" s="453"/>
      <c r="DV1547" s="453"/>
      <c r="DW1547" s="453"/>
      <c r="DX1547" s="453"/>
      <c r="DY1547" s="453"/>
      <c r="DZ1547" s="453"/>
      <c r="EA1547" s="453"/>
      <c r="EB1547" s="453"/>
      <c r="EC1547" s="453"/>
      <c r="ED1547" s="453"/>
      <c r="EE1547" s="453"/>
      <c r="EF1547" s="453"/>
      <c r="EG1547" s="453"/>
      <c r="EH1547" s="453"/>
      <c r="EI1547" s="453"/>
      <c r="EJ1547" s="453"/>
      <c r="EK1547" s="453"/>
      <c r="EL1547" s="453"/>
      <c r="EM1547" s="453"/>
      <c r="EN1547" s="453"/>
      <c r="EO1547" s="453"/>
      <c r="EP1547" s="453"/>
      <c r="EQ1547" s="453"/>
      <c r="ER1547" s="453"/>
      <c r="ES1547" s="453"/>
      <c r="ET1547" s="453"/>
      <c r="EU1547" s="453"/>
      <c r="EV1547" s="453"/>
      <c r="EW1547" s="453"/>
      <c r="EX1547" s="453"/>
      <c r="EY1547" s="453"/>
      <c r="EZ1547" s="453"/>
      <c r="FA1547" s="453"/>
      <c r="FB1547" s="453"/>
      <c r="FC1547" s="453"/>
      <c r="FD1547" s="453"/>
      <c r="FE1547" s="453"/>
      <c r="FF1547" s="453"/>
      <c r="FG1547" s="453"/>
      <c r="FH1547" s="453"/>
      <c r="FI1547" s="453"/>
      <c r="FJ1547" s="453"/>
      <c r="FK1547" s="453"/>
      <c r="FL1547" s="453"/>
      <c r="FM1547" s="453"/>
      <c r="FN1547" s="453"/>
      <c r="FO1547" s="453"/>
      <c r="FP1547" s="453"/>
      <c r="FQ1547" s="453"/>
      <c r="FR1547" s="453"/>
      <c r="FS1547" s="453"/>
      <c r="FT1547" s="453"/>
      <c r="FU1547" s="453"/>
      <c r="FV1547" s="453"/>
      <c r="FW1547" s="453"/>
      <c r="FX1547" s="453"/>
      <c r="FY1547" s="453"/>
      <c r="FZ1547" s="453"/>
      <c r="GA1547" s="453"/>
      <c r="GB1547" s="453"/>
      <c r="GC1547" s="453"/>
      <c r="GD1547" s="453"/>
      <c r="GE1547" s="453"/>
      <c r="GF1547" s="453"/>
      <c r="GG1547" s="453"/>
      <c r="GH1547" s="454"/>
      <c r="GI1547" s="453"/>
      <c r="GJ1547" s="453"/>
      <c r="GK1547" s="453"/>
      <c r="GL1547" s="453"/>
      <c r="GM1547" s="453"/>
      <c r="GN1547" s="453"/>
      <c r="GO1547" s="453"/>
      <c r="GP1547" s="453"/>
      <c r="GQ1547" s="453"/>
      <c r="GR1547" s="453"/>
      <c r="GS1547" s="453"/>
      <c r="GT1547" s="453"/>
      <c r="GU1547" s="453"/>
      <c r="GV1547" s="453"/>
      <c r="GW1547" s="453"/>
      <c r="GX1547" s="453"/>
      <c r="GY1547" s="453"/>
      <c r="GZ1547" s="453"/>
      <c r="HA1547" s="453"/>
      <c r="HB1547" s="453"/>
      <c r="HC1547" s="453"/>
      <c r="HD1547" s="453"/>
      <c r="HE1547" s="453"/>
      <c r="HF1547" s="453"/>
      <c r="HG1547" s="453"/>
      <c r="HH1547" s="453"/>
      <c r="HI1547" s="453"/>
      <c r="HJ1547" s="453"/>
      <c r="HK1547" s="453"/>
      <c r="HL1547" s="453"/>
      <c r="HM1547" s="454"/>
      <c r="HN1547" s="464"/>
      <c r="HO1547" s="465"/>
      <c r="HP1547" s="453"/>
      <c r="HQ1547" s="464"/>
      <c r="HR1547" s="465"/>
      <c r="HS1547" s="453"/>
      <c r="HT1547" s="464"/>
      <c r="HU1547" s="465"/>
      <c r="HV1547" s="453"/>
      <c r="HW1547" s="464"/>
    </row>
    <row r="1548" spans="25:231" ht="15" customHeight="1">
      <c r="Y1548" s="332"/>
      <c r="Z1548" s="332"/>
      <c r="AA1548" s="332"/>
      <c r="AB1548" s="332"/>
      <c r="AC1548" s="332"/>
      <c r="AD1548" s="332"/>
      <c r="AE1548" s="332"/>
      <c r="AF1548" s="332"/>
      <c r="AG1548" s="332"/>
      <c r="AH1548" s="332"/>
      <c r="AI1548" s="332"/>
      <c r="AJ1548" s="332"/>
      <c r="AK1548" s="332"/>
      <c r="AL1548" s="332"/>
      <c r="AM1548" s="332"/>
      <c r="AN1548" s="332"/>
      <c r="AO1548" s="332"/>
      <c r="AP1548" s="332"/>
      <c r="AQ1548" s="332"/>
      <c r="AR1548" s="332"/>
      <c r="AS1548" s="332"/>
      <c r="AT1548" s="332"/>
      <c r="AU1548" s="332"/>
      <c r="AV1548" s="332"/>
      <c r="AW1548" s="332"/>
      <c r="AX1548" s="332"/>
      <c r="AY1548" s="332"/>
      <c r="AZ1548" s="332"/>
      <c r="BA1548" s="332"/>
      <c r="BB1548" s="332"/>
      <c r="BC1548" s="332"/>
      <c r="BD1548" s="332"/>
      <c r="BE1548" s="332"/>
      <c r="BF1548" s="332"/>
      <c r="BG1548" s="332"/>
      <c r="BH1548" s="332"/>
      <c r="BI1548" s="332"/>
      <c r="BJ1548" s="332"/>
      <c r="BK1548" s="332"/>
      <c r="BL1548" s="332"/>
      <c r="BM1548" s="332"/>
      <c r="BN1548" s="332"/>
      <c r="BO1548" s="332"/>
      <c r="BP1548" s="332"/>
      <c r="BQ1548" s="332"/>
      <c r="BR1548" s="332"/>
      <c r="BS1548" s="332"/>
      <c r="BT1548" s="332"/>
      <c r="BU1548" s="332"/>
      <c r="BV1548" s="332"/>
      <c r="BW1548" s="332"/>
      <c r="BX1548" s="332"/>
      <c r="BY1548" s="332"/>
      <c r="BZ1548" s="332"/>
      <c r="CA1548" s="332"/>
      <c r="CB1548" s="332"/>
      <c r="CC1548" s="332"/>
      <c r="CD1548" s="332"/>
      <c r="CE1548" s="332"/>
      <c r="CF1548" s="332"/>
      <c r="CG1548" s="332"/>
      <c r="CH1548" s="332"/>
      <c r="CI1548" s="332"/>
      <c r="CJ1548" s="332"/>
      <c r="CK1548" s="332"/>
      <c r="CL1548" s="332"/>
      <c r="CM1548" s="332"/>
      <c r="CN1548" s="332"/>
      <c r="CO1548" s="332"/>
      <c r="CP1548" s="332"/>
      <c r="CQ1548" s="332"/>
      <c r="CR1548" s="332"/>
      <c r="CS1548" s="332"/>
      <c r="CT1548" s="332"/>
      <c r="CU1548" s="332"/>
      <c r="CV1548" s="332"/>
      <c r="CW1548" s="332"/>
      <c r="CX1548" s="332"/>
      <c r="CY1548" s="332"/>
      <c r="CZ1548" s="332"/>
      <c r="DA1548" s="332"/>
      <c r="DB1548" s="332"/>
      <c r="DC1548" s="332"/>
      <c r="DD1548" s="332"/>
      <c r="DE1548" s="332"/>
      <c r="DF1548" s="332"/>
      <c r="DG1548" s="332"/>
      <c r="DH1548" s="332"/>
      <c r="DI1548" s="332"/>
      <c r="DJ1548" s="332"/>
      <c r="DK1548" s="332"/>
      <c r="DL1548" s="332"/>
      <c r="DM1548" s="332"/>
      <c r="DN1548" s="332"/>
      <c r="DO1548" s="332"/>
      <c r="DP1548" s="332"/>
      <c r="DQ1548" s="332"/>
      <c r="DR1548" s="332"/>
      <c r="DS1548" s="332"/>
      <c r="DT1548" s="332"/>
      <c r="DU1548" s="453"/>
      <c r="DV1548" s="453"/>
      <c r="DW1548" s="453"/>
      <c r="DX1548" s="453"/>
      <c r="DY1548" s="453"/>
      <c r="DZ1548" s="453"/>
      <c r="EA1548" s="453"/>
      <c r="EB1548" s="453"/>
      <c r="EC1548" s="453"/>
      <c r="ED1548" s="453"/>
      <c r="EE1548" s="453"/>
      <c r="EF1548" s="453"/>
      <c r="EG1548" s="453"/>
      <c r="EH1548" s="453"/>
      <c r="EI1548" s="453"/>
      <c r="EJ1548" s="453"/>
      <c r="EK1548" s="453"/>
      <c r="EL1548" s="453"/>
      <c r="EM1548" s="453"/>
      <c r="EN1548" s="453"/>
      <c r="EO1548" s="453"/>
      <c r="EP1548" s="453"/>
      <c r="EQ1548" s="453"/>
      <c r="ER1548" s="453"/>
      <c r="ES1548" s="453"/>
      <c r="ET1548" s="453"/>
      <c r="EU1548" s="453"/>
      <c r="EV1548" s="453"/>
      <c r="EW1548" s="453"/>
      <c r="EX1548" s="453"/>
      <c r="EY1548" s="453"/>
      <c r="EZ1548" s="453"/>
      <c r="FA1548" s="453"/>
      <c r="FB1548" s="453"/>
      <c r="FC1548" s="453"/>
      <c r="FD1548" s="453"/>
      <c r="FE1548" s="453"/>
      <c r="FF1548" s="453"/>
      <c r="FG1548" s="453"/>
      <c r="FH1548" s="453"/>
      <c r="FI1548" s="453"/>
      <c r="FJ1548" s="453"/>
      <c r="FK1548" s="453"/>
      <c r="FL1548" s="453"/>
      <c r="FM1548" s="453"/>
      <c r="FN1548" s="453"/>
      <c r="FO1548" s="453"/>
      <c r="FP1548" s="453"/>
      <c r="FQ1548" s="453"/>
      <c r="FR1548" s="453"/>
      <c r="FS1548" s="453"/>
      <c r="FT1548" s="453"/>
      <c r="FU1548" s="453"/>
      <c r="FV1548" s="453"/>
      <c r="FW1548" s="453"/>
      <c r="FX1548" s="453"/>
      <c r="FY1548" s="453"/>
      <c r="FZ1548" s="453"/>
      <c r="GA1548" s="453"/>
      <c r="GB1548" s="453"/>
      <c r="GC1548" s="453"/>
      <c r="GD1548" s="453"/>
      <c r="GE1548" s="453"/>
      <c r="GF1548" s="453"/>
      <c r="GG1548" s="453"/>
      <c r="GH1548" s="454"/>
      <c r="GI1548" s="453"/>
      <c r="GJ1548" s="453"/>
      <c r="GK1548" s="453"/>
      <c r="GL1548" s="453"/>
      <c r="GM1548" s="453"/>
      <c r="GN1548" s="453"/>
      <c r="GO1548" s="453"/>
      <c r="GP1548" s="453"/>
      <c r="GQ1548" s="453"/>
      <c r="GR1548" s="453"/>
      <c r="GS1548" s="453"/>
      <c r="GT1548" s="453"/>
      <c r="GU1548" s="453"/>
      <c r="GV1548" s="453"/>
      <c r="GW1548" s="453"/>
      <c r="GX1548" s="453"/>
      <c r="GY1548" s="453"/>
      <c r="GZ1548" s="453"/>
      <c r="HA1548" s="453"/>
      <c r="HB1548" s="453"/>
      <c r="HC1548" s="453"/>
      <c r="HD1548" s="453"/>
      <c r="HE1548" s="453"/>
      <c r="HF1548" s="453"/>
      <c r="HG1548" s="453"/>
      <c r="HH1548" s="453"/>
      <c r="HI1548" s="453"/>
      <c r="HJ1548" s="453"/>
      <c r="HK1548" s="453"/>
      <c r="HL1548" s="453"/>
      <c r="HM1548" s="454"/>
      <c r="HN1548" s="464"/>
      <c r="HO1548" s="465"/>
      <c r="HP1548" s="453"/>
      <c r="HQ1548" s="464"/>
      <c r="HR1548" s="465"/>
      <c r="HS1548" s="453"/>
      <c r="HT1548" s="464"/>
      <c r="HU1548" s="465"/>
      <c r="HV1548" s="453"/>
      <c r="HW1548" s="464"/>
    </row>
    <row r="1549" spans="25:231" ht="15" customHeight="1">
      <c r="Y1549" s="332"/>
      <c r="Z1549" s="332"/>
      <c r="AA1549" s="332"/>
      <c r="AB1549" s="332"/>
      <c r="AC1549" s="332"/>
      <c r="AD1549" s="332"/>
      <c r="AE1549" s="332"/>
      <c r="AF1549" s="332"/>
      <c r="AG1549" s="332"/>
      <c r="AH1549" s="332"/>
      <c r="AI1549" s="332"/>
      <c r="AJ1549" s="332"/>
      <c r="AK1549" s="332"/>
      <c r="AL1549" s="332"/>
      <c r="AM1549" s="332"/>
      <c r="AN1549" s="332"/>
      <c r="AO1549" s="332"/>
      <c r="AP1549" s="332"/>
      <c r="AQ1549" s="332"/>
      <c r="AR1549" s="332"/>
      <c r="AS1549" s="332"/>
      <c r="AT1549" s="332"/>
      <c r="AU1549" s="332"/>
      <c r="AV1549" s="332"/>
      <c r="AW1549" s="332"/>
      <c r="AX1549" s="332"/>
      <c r="AY1549" s="332"/>
      <c r="AZ1549" s="332"/>
      <c r="BA1549" s="332"/>
      <c r="BB1549" s="332"/>
      <c r="BC1549" s="332"/>
      <c r="BD1549" s="332"/>
      <c r="BE1549" s="332"/>
      <c r="BF1549" s="332"/>
      <c r="BG1549" s="332"/>
      <c r="BH1549" s="332"/>
      <c r="BI1549" s="332"/>
      <c r="BJ1549" s="332"/>
      <c r="BK1549" s="332"/>
      <c r="BL1549" s="332"/>
      <c r="BM1549" s="332"/>
      <c r="BN1549" s="332"/>
      <c r="BO1549" s="332"/>
      <c r="BP1549" s="332"/>
      <c r="BQ1549" s="332"/>
      <c r="BR1549" s="332"/>
      <c r="BS1549" s="332"/>
      <c r="BT1549" s="332"/>
      <c r="BU1549" s="332"/>
      <c r="BV1549" s="332"/>
      <c r="BW1549" s="332"/>
      <c r="BX1549" s="332"/>
      <c r="BY1549" s="332"/>
      <c r="BZ1549" s="332"/>
      <c r="CA1549" s="332"/>
      <c r="CB1549" s="332"/>
      <c r="CC1549" s="332"/>
      <c r="CD1549" s="332"/>
      <c r="CE1549" s="332"/>
      <c r="CF1549" s="332"/>
      <c r="CG1549" s="332"/>
      <c r="CH1549" s="332"/>
      <c r="CI1549" s="332"/>
      <c r="CJ1549" s="332"/>
      <c r="CK1549" s="332"/>
      <c r="CL1549" s="332"/>
      <c r="CM1549" s="332"/>
      <c r="CN1549" s="332"/>
      <c r="CO1549" s="332"/>
      <c r="CP1549" s="332"/>
      <c r="CQ1549" s="332"/>
      <c r="CR1549" s="332"/>
      <c r="CS1549" s="332"/>
      <c r="CT1549" s="332"/>
      <c r="CU1549" s="332"/>
      <c r="CV1549" s="332"/>
      <c r="CW1549" s="332"/>
      <c r="CX1549" s="332"/>
      <c r="CY1549" s="332"/>
      <c r="CZ1549" s="332"/>
      <c r="DA1549" s="332"/>
      <c r="DB1549" s="332"/>
      <c r="DC1549" s="332"/>
      <c r="DD1549" s="332"/>
      <c r="DE1549" s="332"/>
      <c r="DF1549" s="332"/>
      <c r="DG1549" s="332"/>
      <c r="DH1549" s="332"/>
      <c r="DI1549" s="332"/>
      <c r="DJ1549" s="332"/>
      <c r="DK1549" s="332"/>
      <c r="DL1549" s="332"/>
      <c r="DM1549" s="332"/>
      <c r="DN1549" s="332"/>
      <c r="DO1549" s="332"/>
      <c r="DP1549" s="332"/>
      <c r="DQ1549" s="332"/>
      <c r="DR1549" s="332"/>
      <c r="DS1549" s="332"/>
      <c r="DT1549" s="332"/>
      <c r="DU1549" s="453"/>
      <c r="DV1549" s="453"/>
      <c r="DW1549" s="453"/>
      <c r="DX1549" s="453"/>
      <c r="DY1549" s="453"/>
      <c r="DZ1549" s="453"/>
      <c r="EA1549" s="453"/>
      <c r="EB1549" s="453"/>
      <c r="EC1549" s="453"/>
      <c r="ED1549" s="453"/>
      <c r="EE1549" s="453"/>
      <c r="EF1549" s="453"/>
      <c r="EG1549" s="453"/>
      <c r="EH1549" s="453"/>
      <c r="EI1549" s="453"/>
      <c r="EJ1549" s="453"/>
      <c r="EK1549" s="453"/>
      <c r="EL1549" s="453"/>
      <c r="EM1549" s="453"/>
      <c r="EN1549" s="453"/>
      <c r="EO1549" s="453"/>
      <c r="EP1549" s="453"/>
      <c r="EQ1549" s="453"/>
      <c r="ER1549" s="453"/>
      <c r="ES1549" s="453"/>
      <c r="ET1549" s="453"/>
      <c r="EU1549" s="453"/>
      <c r="EV1549" s="453"/>
      <c r="EW1549" s="453"/>
      <c r="EX1549" s="453"/>
      <c r="EY1549" s="453"/>
      <c r="EZ1549" s="453"/>
      <c r="FA1549" s="453"/>
      <c r="FB1549" s="453"/>
      <c r="FC1549" s="453"/>
      <c r="FD1549" s="453"/>
      <c r="FE1549" s="453"/>
      <c r="FF1549" s="453"/>
      <c r="FG1549" s="453"/>
      <c r="FH1549" s="453"/>
      <c r="FI1549" s="453"/>
      <c r="FJ1549" s="453"/>
      <c r="FK1549" s="453"/>
      <c r="FL1549" s="453"/>
      <c r="FM1549" s="453"/>
      <c r="FN1549" s="453"/>
      <c r="FO1549" s="453"/>
      <c r="FP1549" s="453"/>
      <c r="FQ1549" s="453"/>
      <c r="FR1549" s="453"/>
      <c r="FS1549" s="453"/>
      <c r="FT1549" s="453"/>
      <c r="FU1549" s="453"/>
      <c r="FV1549" s="453"/>
      <c r="FW1549" s="453"/>
      <c r="FX1549" s="453"/>
      <c r="FY1549" s="453"/>
      <c r="FZ1549" s="453"/>
      <c r="GA1549" s="453"/>
      <c r="GB1549" s="453"/>
      <c r="GC1549" s="453"/>
      <c r="GD1549" s="453"/>
      <c r="GE1549" s="453"/>
      <c r="GF1549" s="453"/>
      <c r="GG1549" s="453"/>
      <c r="GH1549" s="454"/>
      <c r="GI1549" s="453"/>
      <c r="GJ1549" s="453"/>
      <c r="GK1549" s="453"/>
      <c r="GL1549" s="453"/>
      <c r="GM1549" s="453"/>
      <c r="GN1549" s="453"/>
      <c r="GO1549" s="453"/>
      <c r="GP1549" s="453"/>
      <c r="GQ1549" s="453"/>
      <c r="GR1549" s="453"/>
      <c r="GS1549" s="453"/>
      <c r="GT1549" s="453"/>
      <c r="GU1549" s="453"/>
      <c r="GV1549" s="453"/>
      <c r="GW1549" s="453"/>
      <c r="GX1549" s="453"/>
      <c r="GY1549" s="453"/>
      <c r="GZ1549" s="453"/>
      <c r="HA1549" s="453"/>
      <c r="HB1549" s="453"/>
      <c r="HC1549" s="453"/>
      <c r="HD1549" s="453"/>
      <c r="HE1549" s="453"/>
      <c r="HF1549" s="453"/>
      <c r="HG1549" s="453"/>
      <c r="HH1549" s="453"/>
      <c r="HI1549" s="453"/>
      <c r="HJ1549" s="453"/>
      <c r="HK1549" s="453"/>
      <c r="HL1549" s="453"/>
      <c r="HM1549" s="454"/>
      <c r="HN1549" s="464"/>
      <c r="HO1549" s="465"/>
      <c r="HP1549" s="453"/>
      <c r="HQ1549" s="464"/>
      <c r="HR1549" s="465"/>
      <c r="HS1549" s="453"/>
      <c r="HT1549" s="464"/>
      <c r="HU1549" s="465"/>
      <c r="HV1549" s="453"/>
      <c r="HW1549" s="464"/>
    </row>
    <row r="1550" spans="25:231" ht="15" customHeight="1">
      <c r="Y1550" s="332"/>
      <c r="Z1550" s="332"/>
      <c r="AA1550" s="332"/>
      <c r="AB1550" s="332"/>
      <c r="AC1550" s="332"/>
      <c r="AD1550" s="332"/>
      <c r="AE1550" s="332"/>
      <c r="AF1550" s="332"/>
      <c r="AG1550" s="332"/>
      <c r="AH1550" s="332"/>
      <c r="AI1550" s="332"/>
      <c r="AJ1550" s="332"/>
      <c r="AK1550" s="332"/>
      <c r="AL1550" s="332"/>
      <c r="AM1550" s="332"/>
      <c r="AN1550" s="332"/>
      <c r="AO1550" s="332"/>
      <c r="AP1550" s="332"/>
      <c r="AQ1550" s="332"/>
      <c r="AR1550" s="332"/>
      <c r="AS1550" s="332"/>
      <c r="AT1550" s="332"/>
      <c r="AU1550" s="332"/>
      <c r="AV1550" s="332"/>
      <c r="AW1550" s="332"/>
      <c r="AX1550" s="332"/>
      <c r="AY1550" s="332"/>
      <c r="AZ1550" s="332"/>
      <c r="BA1550" s="332"/>
      <c r="BB1550" s="332"/>
      <c r="BC1550" s="332"/>
      <c r="BD1550" s="332"/>
      <c r="BE1550" s="332"/>
      <c r="BF1550" s="332"/>
      <c r="BG1550" s="332"/>
      <c r="BH1550" s="332"/>
      <c r="BI1550" s="332"/>
      <c r="BJ1550" s="332"/>
      <c r="BK1550" s="332"/>
      <c r="BL1550" s="332"/>
      <c r="BM1550" s="332"/>
      <c r="BN1550" s="332"/>
      <c r="BO1550" s="332"/>
      <c r="BP1550" s="332"/>
      <c r="BQ1550" s="332"/>
      <c r="BR1550" s="332"/>
      <c r="BS1550" s="332"/>
      <c r="BT1550" s="332"/>
      <c r="BU1550" s="332"/>
      <c r="BV1550" s="332"/>
      <c r="BW1550" s="332"/>
      <c r="BX1550" s="332"/>
      <c r="BY1550" s="332"/>
      <c r="BZ1550" s="332"/>
      <c r="CA1550" s="332"/>
      <c r="CB1550" s="332"/>
      <c r="CC1550" s="332"/>
      <c r="CD1550" s="332"/>
      <c r="CE1550" s="332"/>
      <c r="CF1550" s="332"/>
      <c r="CG1550" s="332"/>
      <c r="CH1550" s="332"/>
      <c r="CI1550" s="332"/>
      <c r="CJ1550" s="332"/>
      <c r="CK1550" s="332"/>
      <c r="CL1550" s="332"/>
      <c r="CM1550" s="332"/>
      <c r="CN1550" s="332"/>
      <c r="CO1550" s="332"/>
      <c r="CP1550" s="332"/>
      <c r="CQ1550" s="332"/>
      <c r="CR1550" s="332"/>
      <c r="CS1550" s="332"/>
      <c r="CT1550" s="332"/>
      <c r="CU1550" s="332"/>
      <c r="CV1550" s="332"/>
      <c r="CW1550" s="332"/>
      <c r="CX1550" s="332"/>
      <c r="CY1550" s="332"/>
      <c r="CZ1550" s="332"/>
      <c r="DA1550" s="332"/>
      <c r="DB1550" s="332"/>
      <c r="DC1550" s="332"/>
      <c r="DD1550" s="332"/>
      <c r="DE1550" s="332"/>
      <c r="DF1550" s="332"/>
      <c r="DG1550" s="332"/>
      <c r="DH1550" s="332"/>
      <c r="DI1550" s="332"/>
      <c r="DJ1550" s="332"/>
      <c r="DK1550" s="332"/>
      <c r="DL1550" s="332"/>
      <c r="DM1550" s="332"/>
      <c r="DN1550" s="332"/>
      <c r="DO1550" s="332"/>
      <c r="DP1550" s="332"/>
      <c r="DQ1550" s="332"/>
      <c r="DR1550" s="332"/>
      <c r="DS1550" s="332"/>
      <c r="DT1550" s="332"/>
      <c r="DU1550" s="453"/>
      <c r="DV1550" s="453"/>
      <c r="DW1550" s="453"/>
      <c r="DX1550" s="453"/>
      <c r="DY1550" s="453"/>
      <c r="DZ1550" s="453"/>
      <c r="EA1550" s="453"/>
      <c r="EB1550" s="453"/>
      <c r="EC1550" s="453"/>
      <c r="ED1550" s="453"/>
      <c r="EE1550" s="453"/>
      <c r="EF1550" s="453"/>
      <c r="EG1550" s="453"/>
      <c r="EH1550" s="453"/>
      <c r="EI1550" s="453"/>
      <c r="EJ1550" s="453"/>
      <c r="EK1550" s="453"/>
      <c r="EL1550" s="453"/>
      <c r="EM1550" s="453"/>
      <c r="EN1550" s="453"/>
      <c r="EO1550" s="453"/>
      <c r="EP1550" s="453"/>
      <c r="EQ1550" s="453"/>
      <c r="ER1550" s="453"/>
      <c r="ES1550" s="453"/>
      <c r="ET1550" s="453"/>
      <c r="EU1550" s="453"/>
      <c r="EV1550" s="453"/>
      <c r="EW1550" s="453"/>
      <c r="EX1550" s="453"/>
      <c r="EY1550" s="453"/>
      <c r="EZ1550" s="453"/>
      <c r="FA1550" s="453"/>
      <c r="FB1550" s="453"/>
      <c r="FC1550" s="453"/>
      <c r="FD1550" s="453"/>
      <c r="FE1550" s="453"/>
      <c r="FF1550" s="453"/>
      <c r="FG1550" s="453"/>
      <c r="FH1550" s="453"/>
      <c r="FI1550" s="453"/>
      <c r="FJ1550" s="453"/>
      <c r="FK1550" s="453"/>
      <c r="FL1550" s="453"/>
      <c r="FM1550" s="453"/>
      <c r="FN1550" s="453"/>
      <c r="FO1550" s="453"/>
      <c r="FP1550" s="453"/>
      <c r="FQ1550" s="453"/>
      <c r="FR1550" s="453"/>
      <c r="FS1550" s="453"/>
      <c r="FT1550" s="453"/>
      <c r="FU1550" s="453"/>
      <c r="FV1550" s="453"/>
      <c r="FW1550" s="453"/>
      <c r="FX1550" s="453"/>
      <c r="FY1550" s="453"/>
      <c r="FZ1550" s="453"/>
      <c r="GA1550" s="453"/>
      <c r="GB1550" s="453"/>
      <c r="GC1550" s="453"/>
      <c r="GD1550" s="453"/>
      <c r="GE1550" s="453"/>
      <c r="GF1550" s="453"/>
      <c r="GG1550" s="453"/>
      <c r="GH1550" s="454"/>
      <c r="GI1550" s="453"/>
      <c r="GJ1550" s="453"/>
      <c r="GK1550" s="453"/>
      <c r="GL1550" s="453"/>
      <c r="GM1550" s="453"/>
      <c r="GN1550" s="453"/>
      <c r="GO1550" s="453"/>
      <c r="GP1550" s="453"/>
      <c r="GQ1550" s="453"/>
      <c r="GR1550" s="453"/>
      <c r="GS1550" s="453"/>
      <c r="GT1550" s="453"/>
      <c r="GU1550" s="453"/>
      <c r="GV1550" s="453"/>
      <c r="GW1550" s="453"/>
      <c r="GX1550" s="453"/>
      <c r="GY1550" s="453"/>
      <c r="GZ1550" s="453"/>
      <c r="HA1550" s="453"/>
      <c r="HB1550" s="453"/>
      <c r="HC1550" s="453"/>
      <c r="HD1550" s="453"/>
      <c r="HE1550" s="453"/>
      <c r="HF1550" s="453"/>
      <c r="HG1550" s="453"/>
      <c r="HH1550" s="453"/>
      <c r="HI1550" s="453"/>
      <c r="HJ1550" s="453"/>
      <c r="HK1550" s="453"/>
      <c r="HL1550" s="453"/>
      <c r="HM1550" s="454"/>
      <c r="HN1550" s="464"/>
      <c r="HO1550" s="465"/>
      <c r="HP1550" s="453"/>
      <c r="HQ1550" s="464"/>
      <c r="HR1550" s="465"/>
      <c r="HS1550" s="453"/>
      <c r="HT1550" s="464"/>
      <c r="HU1550" s="465"/>
      <c r="HV1550" s="453"/>
      <c r="HW1550" s="464"/>
    </row>
    <row r="1551" spans="25:231" ht="15" customHeight="1">
      <c r="Y1551" s="332"/>
      <c r="Z1551" s="332"/>
      <c r="AA1551" s="332"/>
      <c r="AB1551" s="332"/>
      <c r="AC1551" s="332"/>
      <c r="AD1551" s="332"/>
      <c r="AE1551" s="332"/>
      <c r="AF1551" s="332"/>
      <c r="AG1551" s="332"/>
      <c r="AH1551" s="332"/>
      <c r="AI1551" s="332"/>
      <c r="AJ1551" s="332"/>
      <c r="AK1551" s="332"/>
      <c r="AL1551" s="332"/>
      <c r="AM1551" s="332"/>
      <c r="AN1551" s="332"/>
      <c r="AO1551" s="332"/>
      <c r="AP1551" s="332"/>
      <c r="AQ1551" s="332"/>
      <c r="AR1551" s="332"/>
      <c r="AS1551" s="332"/>
      <c r="AT1551" s="332"/>
      <c r="AU1551" s="332"/>
      <c r="AV1551" s="332"/>
      <c r="AW1551" s="332"/>
      <c r="AX1551" s="332"/>
      <c r="AY1551" s="332"/>
      <c r="AZ1551" s="332"/>
      <c r="BA1551" s="332"/>
      <c r="BB1551" s="332"/>
      <c r="BC1551" s="332"/>
      <c r="BD1551" s="332"/>
      <c r="BE1551" s="332"/>
      <c r="BF1551" s="332"/>
      <c r="BG1551" s="332"/>
      <c r="BH1551" s="332"/>
      <c r="BI1551" s="332"/>
      <c r="BJ1551" s="332"/>
      <c r="BK1551" s="332"/>
      <c r="BL1551" s="332"/>
      <c r="BM1551" s="332"/>
      <c r="BN1551" s="332"/>
      <c r="BO1551" s="332"/>
      <c r="BP1551" s="332"/>
      <c r="BQ1551" s="332"/>
      <c r="BR1551" s="332"/>
      <c r="BS1551" s="332"/>
      <c r="BT1551" s="332"/>
      <c r="BU1551" s="332"/>
      <c r="BV1551" s="332"/>
      <c r="BW1551" s="332"/>
      <c r="BX1551" s="332"/>
      <c r="BY1551" s="332"/>
      <c r="BZ1551" s="332"/>
      <c r="CA1551" s="332"/>
      <c r="CB1551" s="332"/>
      <c r="CC1551" s="332"/>
      <c r="CD1551" s="332"/>
      <c r="CE1551" s="332"/>
      <c r="CF1551" s="332"/>
      <c r="CG1551" s="332"/>
      <c r="CH1551" s="332"/>
      <c r="CI1551" s="332"/>
      <c r="CJ1551" s="332"/>
      <c r="CK1551" s="332"/>
      <c r="CL1551" s="332"/>
      <c r="CM1551" s="332"/>
      <c r="CN1551" s="332"/>
      <c r="CO1551" s="332"/>
      <c r="CP1551" s="332"/>
      <c r="CQ1551" s="332"/>
      <c r="CR1551" s="332"/>
      <c r="CS1551" s="332"/>
      <c r="CT1551" s="332"/>
      <c r="CU1551" s="332"/>
      <c r="CV1551" s="332"/>
      <c r="CW1551" s="332"/>
      <c r="CX1551" s="332"/>
      <c r="CY1551" s="332"/>
      <c r="CZ1551" s="332"/>
      <c r="DA1551" s="332"/>
      <c r="DB1551" s="332"/>
      <c r="DC1551" s="332"/>
      <c r="DD1551" s="332"/>
      <c r="DE1551" s="332"/>
      <c r="DF1551" s="332"/>
      <c r="DG1551" s="332"/>
      <c r="DH1551" s="332"/>
      <c r="DI1551" s="332"/>
      <c r="DJ1551" s="332"/>
      <c r="DK1551" s="332"/>
      <c r="DL1551" s="332"/>
      <c r="DM1551" s="332"/>
      <c r="DN1551" s="332"/>
      <c r="DO1551" s="332"/>
      <c r="DP1551" s="332"/>
      <c r="DQ1551" s="332"/>
      <c r="DR1551" s="332"/>
      <c r="DS1551" s="332"/>
      <c r="DT1551" s="332"/>
      <c r="DU1551" s="453"/>
      <c r="DV1551" s="453"/>
      <c r="DW1551" s="453"/>
      <c r="DX1551" s="453"/>
      <c r="DY1551" s="453"/>
      <c r="DZ1551" s="453"/>
      <c r="EA1551" s="453"/>
      <c r="EB1551" s="453"/>
      <c r="EC1551" s="453"/>
      <c r="ED1551" s="453"/>
      <c r="EE1551" s="453"/>
      <c r="EF1551" s="453"/>
      <c r="EG1551" s="453"/>
      <c r="EH1551" s="453"/>
      <c r="EI1551" s="453"/>
      <c r="EJ1551" s="453"/>
      <c r="EK1551" s="453"/>
      <c r="EL1551" s="453"/>
      <c r="EM1551" s="453"/>
      <c r="EN1551" s="453"/>
      <c r="EO1551" s="453"/>
      <c r="EP1551" s="453"/>
      <c r="EQ1551" s="453"/>
      <c r="ER1551" s="453"/>
      <c r="ES1551" s="453"/>
      <c r="ET1551" s="453"/>
      <c r="EU1551" s="453"/>
      <c r="EV1551" s="453"/>
      <c r="EW1551" s="453"/>
      <c r="EX1551" s="453"/>
      <c r="EY1551" s="453"/>
      <c r="EZ1551" s="453"/>
      <c r="FA1551" s="453"/>
      <c r="FB1551" s="453"/>
      <c r="FC1551" s="453"/>
      <c r="FD1551" s="453"/>
      <c r="FE1551" s="453"/>
      <c r="FF1551" s="453"/>
      <c r="FG1551" s="453"/>
      <c r="FH1551" s="453"/>
      <c r="FI1551" s="453"/>
      <c r="FJ1551" s="453"/>
      <c r="FK1551" s="453"/>
      <c r="FL1551" s="453"/>
      <c r="FM1551" s="453"/>
      <c r="FN1551" s="453"/>
      <c r="FO1551" s="453"/>
      <c r="FP1551" s="453"/>
      <c r="FQ1551" s="453"/>
      <c r="FR1551" s="453"/>
      <c r="FS1551" s="453"/>
      <c r="FT1551" s="453"/>
      <c r="FU1551" s="453"/>
      <c r="FV1551" s="453"/>
      <c r="FW1551" s="453"/>
      <c r="FX1551" s="453"/>
      <c r="FY1551" s="453"/>
      <c r="FZ1551" s="453"/>
      <c r="GA1551" s="453"/>
      <c r="GB1551" s="453"/>
      <c r="GC1551" s="453"/>
      <c r="GD1551" s="453"/>
      <c r="GE1551" s="453"/>
      <c r="GF1551" s="453"/>
      <c r="GG1551" s="453"/>
      <c r="GH1551" s="454"/>
      <c r="GI1551" s="453"/>
      <c r="GJ1551" s="453"/>
      <c r="GK1551" s="453"/>
      <c r="GL1551" s="453"/>
      <c r="GM1551" s="453"/>
      <c r="GN1551" s="453"/>
      <c r="GO1551" s="453"/>
      <c r="GP1551" s="453"/>
      <c r="GQ1551" s="453"/>
      <c r="GR1551" s="453"/>
      <c r="GS1551" s="453"/>
      <c r="GT1551" s="453"/>
      <c r="GU1551" s="453"/>
      <c r="GV1551" s="453"/>
      <c r="GW1551" s="453"/>
      <c r="GX1551" s="453"/>
      <c r="GY1551" s="453"/>
      <c r="GZ1551" s="453"/>
      <c r="HA1551" s="453"/>
      <c r="HB1551" s="453"/>
      <c r="HC1551" s="453"/>
      <c r="HD1551" s="453"/>
      <c r="HE1551" s="453"/>
      <c r="HF1551" s="453"/>
      <c r="HG1551" s="453"/>
      <c r="HH1551" s="453"/>
      <c r="HI1551" s="453"/>
      <c r="HJ1551" s="453"/>
      <c r="HK1551" s="453"/>
      <c r="HL1551" s="453"/>
      <c r="HM1551" s="454"/>
      <c r="HN1551" s="464"/>
      <c r="HO1551" s="465"/>
      <c r="HP1551" s="453"/>
      <c r="HQ1551" s="464"/>
      <c r="HR1551" s="465"/>
      <c r="HS1551" s="453"/>
      <c r="HT1551" s="464"/>
      <c r="HU1551" s="465"/>
      <c r="HV1551" s="453"/>
      <c r="HW1551" s="464"/>
    </row>
    <row r="1552" spans="25:231" ht="15" customHeight="1">
      <c r="Y1552" s="332"/>
      <c r="Z1552" s="332"/>
      <c r="AA1552" s="332"/>
      <c r="AB1552" s="332"/>
      <c r="AC1552" s="332"/>
      <c r="AD1552" s="332"/>
      <c r="AE1552" s="332"/>
      <c r="AF1552" s="332"/>
      <c r="AG1552" s="332"/>
      <c r="AH1552" s="332"/>
      <c r="AI1552" s="332"/>
      <c r="AJ1552" s="332"/>
      <c r="AK1552" s="332"/>
      <c r="AL1552" s="332"/>
      <c r="AM1552" s="332"/>
      <c r="AN1552" s="332"/>
      <c r="AO1552" s="332"/>
      <c r="AP1552" s="332"/>
      <c r="AQ1552" s="332"/>
      <c r="AR1552" s="332"/>
      <c r="AS1552" s="332"/>
      <c r="AT1552" s="332"/>
      <c r="AU1552" s="332"/>
      <c r="AV1552" s="332"/>
      <c r="AW1552" s="332"/>
      <c r="AX1552" s="332"/>
      <c r="AY1552" s="332"/>
      <c r="AZ1552" s="332"/>
      <c r="BA1552" s="332"/>
      <c r="BB1552" s="332"/>
      <c r="BC1552" s="332"/>
      <c r="BD1552" s="332"/>
      <c r="BE1552" s="332"/>
      <c r="BF1552" s="332"/>
      <c r="BG1552" s="332"/>
      <c r="BH1552" s="332"/>
      <c r="BI1552" s="332"/>
      <c r="BJ1552" s="332"/>
      <c r="BK1552" s="332"/>
      <c r="BL1552" s="332"/>
      <c r="BM1552" s="332"/>
      <c r="BN1552" s="332"/>
      <c r="BO1552" s="332"/>
      <c r="BP1552" s="332"/>
      <c r="BQ1552" s="332"/>
      <c r="BR1552" s="332"/>
      <c r="BS1552" s="332"/>
      <c r="BT1552" s="332"/>
      <c r="BU1552" s="332"/>
      <c r="BV1552" s="332"/>
      <c r="BW1552" s="332"/>
      <c r="BX1552" s="332"/>
      <c r="BY1552" s="332"/>
      <c r="BZ1552" s="332"/>
      <c r="CA1552" s="332"/>
      <c r="CB1552" s="332"/>
      <c r="CC1552" s="332"/>
      <c r="CD1552" s="332"/>
      <c r="CE1552" s="332"/>
      <c r="CF1552" s="332"/>
      <c r="CG1552" s="332"/>
      <c r="CH1552" s="332"/>
      <c r="CI1552" s="332"/>
      <c r="CJ1552" s="332"/>
      <c r="CK1552" s="332"/>
      <c r="CL1552" s="332"/>
      <c r="CM1552" s="332"/>
      <c r="CN1552" s="332"/>
      <c r="CO1552" s="332"/>
      <c r="CP1552" s="332"/>
      <c r="CQ1552" s="332"/>
      <c r="CR1552" s="332"/>
      <c r="CS1552" s="332"/>
      <c r="CT1552" s="332"/>
      <c r="CU1552" s="332"/>
      <c r="CV1552" s="332"/>
      <c r="CW1552" s="332"/>
      <c r="CX1552" s="332"/>
      <c r="CY1552" s="332"/>
      <c r="CZ1552" s="332"/>
      <c r="DA1552" s="332"/>
      <c r="DB1552" s="332"/>
      <c r="DC1552" s="332"/>
      <c r="DD1552" s="332"/>
      <c r="DE1552" s="332"/>
      <c r="DF1552" s="332"/>
      <c r="DG1552" s="332"/>
      <c r="DH1552" s="332"/>
      <c r="DI1552" s="332"/>
      <c r="DJ1552" s="332"/>
      <c r="DK1552" s="332"/>
      <c r="DL1552" s="332"/>
      <c r="DM1552" s="332"/>
      <c r="DN1552" s="332"/>
      <c r="DO1552" s="332"/>
      <c r="DP1552" s="332"/>
      <c r="DQ1552" s="332"/>
      <c r="DR1552" s="332"/>
      <c r="DS1552" s="332"/>
      <c r="DT1552" s="332"/>
      <c r="DU1552" s="453"/>
      <c r="DV1552" s="453"/>
      <c r="DW1552" s="453"/>
      <c r="DX1552" s="453"/>
      <c r="DY1552" s="453"/>
      <c r="DZ1552" s="453"/>
      <c r="EA1552" s="453"/>
      <c r="EB1552" s="453"/>
      <c r="EC1552" s="453"/>
      <c r="ED1552" s="453"/>
      <c r="EE1552" s="453"/>
      <c r="EF1552" s="453"/>
      <c r="EG1552" s="453"/>
      <c r="EH1552" s="453"/>
      <c r="EI1552" s="453"/>
      <c r="EJ1552" s="453"/>
      <c r="EK1552" s="453"/>
      <c r="EL1552" s="453"/>
      <c r="EM1552" s="453"/>
      <c r="EN1552" s="453"/>
      <c r="EO1552" s="453"/>
      <c r="EP1552" s="453"/>
      <c r="EQ1552" s="453"/>
      <c r="ER1552" s="453"/>
      <c r="ES1552" s="453"/>
      <c r="ET1552" s="453"/>
      <c r="EU1552" s="453"/>
      <c r="EV1552" s="453"/>
      <c r="EW1552" s="453"/>
      <c r="EX1552" s="453"/>
      <c r="EY1552" s="453"/>
      <c r="EZ1552" s="453"/>
      <c r="FA1552" s="453"/>
      <c r="FB1552" s="453"/>
      <c r="FC1552" s="453"/>
      <c r="FD1552" s="453"/>
      <c r="FE1552" s="453"/>
      <c r="FF1552" s="453"/>
      <c r="FG1552" s="453"/>
      <c r="FH1552" s="453"/>
      <c r="FI1552" s="453"/>
      <c r="FJ1552" s="453"/>
      <c r="FK1552" s="453"/>
      <c r="FL1552" s="453"/>
      <c r="FM1552" s="453"/>
      <c r="FN1552" s="453"/>
      <c r="FO1552" s="453"/>
      <c r="FP1552" s="453"/>
      <c r="FQ1552" s="453"/>
      <c r="FR1552" s="453"/>
      <c r="FS1552" s="453"/>
      <c r="FT1552" s="453"/>
      <c r="FU1552" s="453"/>
      <c r="FV1552" s="453"/>
      <c r="FW1552" s="453"/>
      <c r="FX1552" s="453"/>
      <c r="FY1552" s="453"/>
      <c r="FZ1552" s="453"/>
      <c r="GA1552" s="453"/>
      <c r="GB1552" s="453"/>
      <c r="GC1552" s="453"/>
      <c r="GD1552" s="453"/>
      <c r="GE1552" s="453"/>
      <c r="GF1552" s="453"/>
      <c r="GG1552" s="453"/>
      <c r="GH1552" s="454"/>
      <c r="GI1552" s="453"/>
      <c r="GJ1552" s="453"/>
      <c r="GK1552" s="453"/>
      <c r="GL1552" s="453"/>
      <c r="GM1552" s="453"/>
      <c r="GN1552" s="453"/>
      <c r="GO1552" s="453"/>
      <c r="GP1552" s="453"/>
      <c r="GQ1552" s="453"/>
      <c r="GR1552" s="453"/>
      <c r="GS1552" s="453"/>
      <c r="GT1552" s="453"/>
      <c r="GU1552" s="453"/>
      <c r="GV1552" s="453"/>
      <c r="GW1552" s="453"/>
      <c r="GX1552" s="453"/>
      <c r="GY1552" s="453"/>
      <c r="GZ1552" s="453"/>
      <c r="HA1552" s="453"/>
      <c r="HB1552" s="453"/>
      <c r="HC1552" s="453"/>
      <c r="HD1552" s="453"/>
      <c r="HE1552" s="453"/>
      <c r="HF1552" s="453"/>
      <c r="HG1552" s="453"/>
      <c r="HH1552" s="453"/>
      <c r="HI1552" s="453"/>
      <c r="HJ1552" s="453"/>
      <c r="HK1552" s="453"/>
      <c r="HL1552" s="453"/>
      <c r="HM1552" s="454"/>
      <c r="HN1552" s="464"/>
      <c r="HO1552" s="465"/>
      <c r="HP1552" s="453"/>
      <c r="HQ1552" s="464"/>
      <c r="HR1552" s="465"/>
      <c r="HS1552" s="453"/>
      <c r="HT1552" s="464"/>
      <c r="HU1552" s="465"/>
      <c r="HV1552" s="453"/>
      <c r="HW1552" s="464"/>
    </row>
  </sheetData>
  <mergeCells count="18167">
    <mergeCell ref="AG1:AJ1"/>
    <mergeCell ref="AE1:AF1"/>
    <mergeCell ref="ES1498:EU1498"/>
    <mergeCell ref="EV1498:FD1498"/>
    <mergeCell ref="FE1498:FK1498"/>
    <mergeCell ref="ES1499:EU1499"/>
    <mergeCell ref="EV1499:FD1499"/>
    <mergeCell ref="FE1499:FK1499"/>
    <mergeCell ref="ES1492:EU1492"/>
    <mergeCell ref="EV1492:FD1492"/>
    <mergeCell ref="FE1492:FK1492"/>
    <mergeCell ref="ES1493:EU1493"/>
    <mergeCell ref="EV1493:FD1493"/>
    <mergeCell ref="FE1493:FK1493"/>
    <mergeCell ref="ES1494:EU1494"/>
    <mergeCell ref="EV1494:FD1494"/>
    <mergeCell ref="FE1494:FK1494"/>
    <mergeCell ref="ES1495:EU1495"/>
    <mergeCell ref="EV1495:FD1495"/>
    <mergeCell ref="FE1495:FK1495"/>
    <mergeCell ref="ES1496:EU1496"/>
    <mergeCell ref="EV1496:FD1496"/>
    <mergeCell ref="FE1496:FK1496"/>
    <mergeCell ref="ES1497:EU1497"/>
    <mergeCell ref="EV1497:FD1497"/>
    <mergeCell ref="FE1497:FK1497"/>
    <mergeCell ref="ES1486:EU1486"/>
    <mergeCell ref="EV1486:FD1486"/>
    <mergeCell ref="FE1486:FK1486"/>
    <mergeCell ref="ES1487:EU1487"/>
    <mergeCell ref="EV1487:FD1487"/>
    <mergeCell ref="FE1487:FK1487"/>
    <mergeCell ref="ES1488:EU1488"/>
    <mergeCell ref="EV1488:FD1488"/>
    <mergeCell ref="FE1488:FK1488"/>
    <mergeCell ref="ES1489:EU1489"/>
    <mergeCell ref="EV1489:FD1489"/>
    <mergeCell ref="FE1489:FK1489"/>
    <mergeCell ref="ES1490:EU1490"/>
    <mergeCell ref="EV1490:FD1490"/>
    <mergeCell ref="FE1490:FK1490"/>
    <mergeCell ref="ES1491:EU1491"/>
    <mergeCell ref="EV1491:FD1491"/>
    <mergeCell ref="FE1491:FK1491"/>
    <mergeCell ref="ES1480:EU1480"/>
    <mergeCell ref="EV1480:FD1480"/>
    <mergeCell ref="FE1480:FK1480"/>
    <mergeCell ref="ES1481:EU1481"/>
    <mergeCell ref="EV1481:FD1481"/>
    <mergeCell ref="FE1481:FK1481"/>
    <mergeCell ref="ES1482:EU1482"/>
    <mergeCell ref="EV1482:FD1482"/>
    <mergeCell ref="FE1482:FK1482"/>
    <mergeCell ref="ES1483:EU1483"/>
    <mergeCell ref="EV1483:FD1483"/>
    <mergeCell ref="FE1483:FK1483"/>
    <mergeCell ref="ES1484:EU1484"/>
    <mergeCell ref="EV1484:FD1484"/>
    <mergeCell ref="FE1484:FK1484"/>
    <mergeCell ref="ES1485:EU1485"/>
    <mergeCell ref="EV1485:FD1485"/>
    <mergeCell ref="FE1485:FK1485"/>
    <mergeCell ref="ES1474:EU1474"/>
    <mergeCell ref="EV1474:FD1474"/>
    <mergeCell ref="FE1474:FK1474"/>
    <mergeCell ref="ES1475:EU1475"/>
    <mergeCell ref="EV1475:FD1475"/>
    <mergeCell ref="FE1475:FK1475"/>
    <mergeCell ref="ES1476:EU1476"/>
    <mergeCell ref="EV1476:FD1476"/>
    <mergeCell ref="FE1476:FK1476"/>
    <mergeCell ref="ES1477:EU1477"/>
    <mergeCell ref="EV1477:FD1477"/>
    <mergeCell ref="FE1477:FK1477"/>
    <mergeCell ref="ES1478:EU1478"/>
    <mergeCell ref="EV1478:FD1478"/>
    <mergeCell ref="FE1478:FK1478"/>
    <mergeCell ref="ES1479:EU1479"/>
    <mergeCell ref="EV1479:FD1479"/>
    <mergeCell ref="FE1479:FK1479"/>
    <mergeCell ref="ES1468:EU1468"/>
    <mergeCell ref="EV1468:FD1468"/>
    <mergeCell ref="FE1468:FK1468"/>
    <mergeCell ref="ES1469:EU1469"/>
    <mergeCell ref="EV1469:FD1469"/>
    <mergeCell ref="FE1469:FK1469"/>
    <mergeCell ref="ES1470:EU1470"/>
    <mergeCell ref="EV1470:FD1470"/>
    <mergeCell ref="FE1470:FK1470"/>
    <mergeCell ref="ES1471:EU1471"/>
    <mergeCell ref="EV1471:FD1471"/>
    <mergeCell ref="FE1471:FK1471"/>
    <mergeCell ref="ES1472:EU1472"/>
    <mergeCell ref="EV1472:FD1472"/>
    <mergeCell ref="FE1472:FK1472"/>
    <mergeCell ref="ES1473:EU1473"/>
    <mergeCell ref="EV1473:FD1473"/>
    <mergeCell ref="FE1473:FK1473"/>
    <mergeCell ref="ES1462:EU1462"/>
    <mergeCell ref="EV1462:FD1462"/>
    <mergeCell ref="FE1462:FK1462"/>
    <mergeCell ref="ES1463:EU1463"/>
    <mergeCell ref="EV1463:FD1463"/>
    <mergeCell ref="FE1463:FK1463"/>
    <mergeCell ref="ES1464:EU1464"/>
    <mergeCell ref="EV1464:FD1464"/>
    <mergeCell ref="FE1464:FK1464"/>
    <mergeCell ref="ES1465:EU1465"/>
    <mergeCell ref="EV1465:FD1465"/>
    <mergeCell ref="FE1465:FK1465"/>
    <mergeCell ref="ES1466:EU1466"/>
    <mergeCell ref="EV1466:FD1466"/>
    <mergeCell ref="FE1466:FK1466"/>
    <mergeCell ref="ES1467:EU1467"/>
    <mergeCell ref="EV1467:FD1467"/>
    <mergeCell ref="FE1467:FK1467"/>
    <mergeCell ref="ES1456:EU1456"/>
    <mergeCell ref="EV1456:FD1456"/>
    <mergeCell ref="FE1456:FK1456"/>
    <mergeCell ref="ES1457:EU1457"/>
    <mergeCell ref="EV1457:FD1457"/>
    <mergeCell ref="FE1457:FK1457"/>
    <mergeCell ref="ES1458:EU1458"/>
    <mergeCell ref="EV1458:FD1458"/>
    <mergeCell ref="FE1458:FK1458"/>
    <mergeCell ref="ES1459:EU1459"/>
    <mergeCell ref="EV1459:FD1459"/>
    <mergeCell ref="FE1459:FK1459"/>
    <mergeCell ref="ES1460:EU1460"/>
    <mergeCell ref="EV1460:FD1460"/>
    <mergeCell ref="FE1460:FK1460"/>
    <mergeCell ref="ES1461:EU1461"/>
    <mergeCell ref="EV1461:FD1461"/>
    <mergeCell ref="FE1461:FK1461"/>
    <mergeCell ref="ES1450:EU1450"/>
    <mergeCell ref="EV1450:FD1450"/>
    <mergeCell ref="FE1450:FK1450"/>
    <mergeCell ref="ES1451:EU1451"/>
    <mergeCell ref="EV1451:FD1451"/>
    <mergeCell ref="FE1451:FK1451"/>
    <mergeCell ref="ES1452:EU1452"/>
    <mergeCell ref="EV1452:FD1452"/>
    <mergeCell ref="FE1452:FK1452"/>
    <mergeCell ref="ES1453:EU1453"/>
    <mergeCell ref="EV1453:FD1453"/>
    <mergeCell ref="FE1453:FK1453"/>
    <mergeCell ref="ES1454:EU1454"/>
    <mergeCell ref="EV1454:FD1454"/>
    <mergeCell ref="FE1454:FK1454"/>
    <mergeCell ref="ES1455:EU1455"/>
    <mergeCell ref="EV1455:FD1455"/>
    <mergeCell ref="FE1455:FK1455"/>
    <mergeCell ref="ES1444:EU1444"/>
    <mergeCell ref="EV1444:FD1444"/>
    <mergeCell ref="FE1444:FK1444"/>
    <mergeCell ref="ES1445:EU1445"/>
    <mergeCell ref="EV1445:FD1445"/>
    <mergeCell ref="FE1445:FK1445"/>
    <mergeCell ref="ES1446:EU1446"/>
    <mergeCell ref="EV1446:FD1446"/>
    <mergeCell ref="FE1446:FK1446"/>
    <mergeCell ref="ES1447:EU1447"/>
    <mergeCell ref="EV1447:FD1447"/>
    <mergeCell ref="FE1447:FK1447"/>
    <mergeCell ref="ES1448:EU1448"/>
    <mergeCell ref="EV1448:FD1448"/>
    <mergeCell ref="FE1448:FK1448"/>
    <mergeCell ref="ES1449:EU1449"/>
    <mergeCell ref="EV1449:FD1449"/>
    <mergeCell ref="FE1449:FK1449"/>
    <mergeCell ref="ES1438:EU1438"/>
    <mergeCell ref="EV1438:FD1438"/>
    <mergeCell ref="FE1438:FK1438"/>
    <mergeCell ref="ES1439:EU1439"/>
    <mergeCell ref="EV1439:FD1439"/>
    <mergeCell ref="FE1439:FK1439"/>
    <mergeCell ref="ES1440:EU1440"/>
    <mergeCell ref="EV1440:FD1440"/>
    <mergeCell ref="FE1440:FK1440"/>
    <mergeCell ref="ES1441:EU1441"/>
    <mergeCell ref="EV1441:FD1441"/>
    <mergeCell ref="FE1441:FK1441"/>
    <mergeCell ref="ES1442:EU1442"/>
    <mergeCell ref="EV1442:FD1442"/>
    <mergeCell ref="FE1442:FK1442"/>
    <mergeCell ref="ES1443:EU1443"/>
    <mergeCell ref="EV1443:FD1443"/>
    <mergeCell ref="FE1443:FK1443"/>
    <mergeCell ref="ES1432:EU1432"/>
    <mergeCell ref="EV1432:FD1432"/>
    <mergeCell ref="FE1432:FK1432"/>
    <mergeCell ref="ES1433:EU1433"/>
    <mergeCell ref="EV1433:FD1433"/>
    <mergeCell ref="FE1433:FK1433"/>
    <mergeCell ref="ES1434:EU1434"/>
    <mergeCell ref="EV1434:FD1434"/>
    <mergeCell ref="FE1434:FK1434"/>
    <mergeCell ref="ES1435:EU1435"/>
    <mergeCell ref="EV1435:FD1435"/>
    <mergeCell ref="FE1435:FK1435"/>
    <mergeCell ref="ES1436:EU1436"/>
    <mergeCell ref="EV1436:FD1436"/>
    <mergeCell ref="FE1436:FK1436"/>
    <mergeCell ref="ES1437:EU1437"/>
    <mergeCell ref="EV1437:FD1437"/>
    <mergeCell ref="FE1437:FK1437"/>
    <mergeCell ref="ES1426:EU1426"/>
    <mergeCell ref="EV1426:FD1426"/>
    <mergeCell ref="FE1426:FK1426"/>
    <mergeCell ref="ES1427:EU1427"/>
    <mergeCell ref="EV1427:FD1427"/>
    <mergeCell ref="FE1427:FK1427"/>
    <mergeCell ref="ES1428:EU1428"/>
    <mergeCell ref="EV1428:FD1428"/>
    <mergeCell ref="FE1428:FK1428"/>
    <mergeCell ref="ES1429:EU1429"/>
    <mergeCell ref="EV1429:FD1429"/>
    <mergeCell ref="FE1429:FK1429"/>
    <mergeCell ref="ES1430:EU1430"/>
    <mergeCell ref="EV1430:FD1430"/>
    <mergeCell ref="FE1430:FK1430"/>
    <mergeCell ref="ES1431:EU1431"/>
    <mergeCell ref="EV1431:FD1431"/>
    <mergeCell ref="FE1431:FK1431"/>
    <mergeCell ref="ES1420:EU1420"/>
    <mergeCell ref="EV1420:FD1420"/>
    <mergeCell ref="FE1420:FK1420"/>
    <mergeCell ref="ES1421:EU1421"/>
    <mergeCell ref="EV1421:FD1421"/>
    <mergeCell ref="FE1421:FK1421"/>
    <mergeCell ref="ES1422:EU1422"/>
    <mergeCell ref="EV1422:FD1422"/>
    <mergeCell ref="FE1422:FK1422"/>
    <mergeCell ref="ES1423:EU1423"/>
    <mergeCell ref="EV1423:FD1423"/>
    <mergeCell ref="FE1423:FK1423"/>
    <mergeCell ref="ES1424:EU1424"/>
    <mergeCell ref="EV1424:FD1424"/>
    <mergeCell ref="FE1424:FK1424"/>
    <mergeCell ref="ES1425:EU1425"/>
    <mergeCell ref="EV1425:FD1425"/>
    <mergeCell ref="FE1425:FK1425"/>
    <mergeCell ref="ES1414:EU1414"/>
    <mergeCell ref="EV1414:FD1414"/>
    <mergeCell ref="FE1414:FK1414"/>
    <mergeCell ref="ES1415:EU1415"/>
    <mergeCell ref="EV1415:FD1415"/>
    <mergeCell ref="FE1415:FK1415"/>
    <mergeCell ref="ES1416:EU1416"/>
    <mergeCell ref="EV1416:FD1416"/>
    <mergeCell ref="FE1416:FK1416"/>
    <mergeCell ref="ES1417:EU1417"/>
    <mergeCell ref="EV1417:FD1417"/>
    <mergeCell ref="FE1417:FK1417"/>
    <mergeCell ref="ES1418:EU1418"/>
    <mergeCell ref="EV1418:FD1418"/>
    <mergeCell ref="FE1418:FK1418"/>
    <mergeCell ref="ES1419:EU1419"/>
    <mergeCell ref="EV1419:FD1419"/>
    <mergeCell ref="FE1419:FK1419"/>
    <mergeCell ref="ES1408:EU1408"/>
    <mergeCell ref="EV1408:FD1408"/>
    <mergeCell ref="FE1408:FK1408"/>
    <mergeCell ref="ES1409:EU1409"/>
    <mergeCell ref="EV1409:FD1409"/>
    <mergeCell ref="FE1409:FK1409"/>
    <mergeCell ref="ES1410:EU1410"/>
    <mergeCell ref="EV1410:FD1410"/>
    <mergeCell ref="FE1410:FK1410"/>
    <mergeCell ref="ES1411:EU1411"/>
    <mergeCell ref="EV1411:FD1411"/>
    <mergeCell ref="FE1411:FK1411"/>
    <mergeCell ref="ES1412:EU1412"/>
    <mergeCell ref="EV1412:FD1412"/>
    <mergeCell ref="FE1412:FK1412"/>
    <mergeCell ref="ES1413:EU1413"/>
    <mergeCell ref="EV1413:FD1413"/>
    <mergeCell ref="FE1413:FK1413"/>
    <mergeCell ref="ES1402:EU1402"/>
    <mergeCell ref="EV1402:FD1402"/>
    <mergeCell ref="FE1402:FK1402"/>
    <mergeCell ref="ES1403:EU1403"/>
    <mergeCell ref="EV1403:FD1403"/>
    <mergeCell ref="FE1403:FK1403"/>
    <mergeCell ref="ES1404:EU1404"/>
    <mergeCell ref="EV1404:FD1404"/>
    <mergeCell ref="FE1404:FK1404"/>
    <mergeCell ref="ES1405:EU1405"/>
    <mergeCell ref="EV1405:FD1405"/>
    <mergeCell ref="FE1405:FK1405"/>
    <mergeCell ref="ES1406:EU1406"/>
    <mergeCell ref="EV1406:FD1406"/>
    <mergeCell ref="FE1406:FK1406"/>
    <mergeCell ref="ES1407:EU1407"/>
    <mergeCell ref="EV1407:FD1407"/>
    <mergeCell ref="FE1407:FK1407"/>
    <mergeCell ref="ES1396:EU1396"/>
    <mergeCell ref="EV1396:FD1396"/>
    <mergeCell ref="FE1396:FK1396"/>
    <mergeCell ref="ES1397:EU1397"/>
    <mergeCell ref="EV1397:FD1397"/>
    <mergeCell ref="FE1397:FK1397"/>
    <mergeCell ref="ES1398:EU1398"/>
    <mergeCell ref="EV1398:FD1398"/>
    <mergeCell ref="FE1398:FK1398"/>
    <mergeCell ref="ES1399:EU1399"/>
    <mergeCell ref="EV1399:FD1399"/>
    <mergeCell ref="FE1399:FK1399"/>
    <mergeCell ref="ES1400:EU1400"/>
    <mergeCell ref="EV1400:FD1400"/>
    <mergeCell ref="FE1400:FK1400"/>
    <mergeCell ref="ES1401:EU1401"/>
    <mergeCell ref="EV1401:FD1401"/>
    <mergeCell ref="FE1401:FK1401"/>
    <mergeCell ref="ES1390:EU1390"/>
    <mergeCell ref="EV1390:FD1390"/>
    <mergeCell ref="FE1390:FK1390"/>
    <mergeCell ref="ES1391:EU1391"/>
    <mergeCell ref="EV1391:FD1391"/>
    <mergeCell ref="FE1391:FK1391"/>
    <mergeCell ref="ES1392:EU1392"/>
    <mergeCell ref="EV1392:FD1392"/>
    <mergeCell ref="FE1392:FK1392"/>
    <mergeCell ref="ES1393:EU1393"/>
    <mergeCell ref="EV1393:FD1393"/>
    <mergeCell ref="FE1393:FK1393"/>
    <mergeCell ref="ES1394:EU1394"/>
    <mergeCell ref="EV1394:FD1394"/>
    <mergeCell ref="FE1394:FK1394"/>
    <mergeCell ref="ES1395:EU1395"/>
    <mergeCell ref="EV1395:FD1395"/>
    <mergeCell ref="FE1395:FK1395"/>
    <mergeCell ref="ES1384:EU1384"/>
    <mergeCell ref="EV1384:FD1384"/>
    <mergeCell ref="FE1384:FK1384"/>
    <mergeCell ref="ES1385:EU1385"/>
    <mergeCell ref="EV1385:FD1385"/>
    <mergeCell ref="FE1385:FK1385"/>
    <mergeCell ref="ES1386:EU1386"/>
    <mergeCell ref="EV1386:FD1386"/>
    <mergeCell ref="FE1386:FK1386"/>
    <mergeCell ref="ES1387:EU1387"/>
    <mergeCell ref="EV1387:FD1387"/>
    <mergeCell ref="FE1387:FK1387"/>
    <mergeCell ref="ES1388:EU1388"/>
    <mergeCell ref="EV1388:FD1388"/>
    <mergeCell ref="FE1388:FK1388"/>
    <mergeCell ref="ES1389:EU1389"/>
    <mergeCell ref="EV1389:FD1389"/>
    <mergeCell ref="FE1389:FK1389"/>
    <mergeCell ref="ES1378:EU1378"/>
    <mergeCell ref="EV1378:FD1378"/>
    <mergeCell ref="FE1378:FK1378"/>
    <mergeCell ref="ES1379:EU1379"/>
    <mergeCell ref="EV1379:FD1379"/>
    <mergeCell ref="FE1379:FK1379"/>
    <mergeCell ref="ES1380:EU1380"/>
    <mergeCell ref="EV1380:FD1380"/>
    <mergeCell ref="FE1380:FK1380"/>
    <mergeCell ref="ES1381:EU1381"/>
    <mergeCell ref="EV1381:FD1381"/>
    <mergeCell ref="FE1381:FK1381"/>
    <mergeCell ref="ES1382:EU1382"/>
    <mergeCell ref="EV1382:FD1382"/>
    <mergeCell ref="FE1382:FK1382"/>
    <mergeCell ref="ES1383:EU1383"/>
    <mergeCell ref="EV1383:FD1383"/>
    <mergeCell ref="FE1383:FK1383"/>
    <mergeCell ref="ES1372:EU1372"/>
    <mergeCell ref="EV1372:FD1372"/>
    <mergeCell ref="FE1372:FK1372"/>
    <mergeCell ref="ES1373:EU1373"/>
    <mergeCell ref="EV1373:FD1373"/>
    <mergeCell ref="FE1373:FK1373"/>
    <mergeCell ref="ES1374:EU1374"/>
    <mergeCell ref="EV1374:FD1374"/>
    <mergeCell ref="FE1374:FK1374"/>
    <mergeCell ref="ES1375:EU1375"/>
    <mergeCell ref="EV1375:FD1375"/>
    <mergeCell ref="FE1375:FK1375"/>
    <mergeCell ref="ES1376:EU1376"/>
    <mergeCell ref="EV1376:FD1376"/>
    <mergeCell ref="FE1376:FK1376"/>
    <mergeCell ref="ES1377:EU1377"/>
    <mergeCell ref="EV1377:FD1377"/>
    <mergeCell ref="FE1377:FK1377"/>
    <mergeCell ref="ES1366:EU1366"/>
    <mergeCell ref="EV1366:FD1366"/>
    <mergeCell ref="FE1366:FK1366"/>
    <mergeCell ref="ES1367:EU1367"/>
    <mergeCell ref="EV1367:FD1367"/>
    <mergeCell ref="FE1367:FK1367"/>
    <mergeCell ref="ES1368:EU1368"/>
    <mergeCell ref="EV1368:FD1368"/>
    <mergeCell ref="FE1368:FK1368"/>
    <mergeCell ref="ES1369:EU1369"/>
    <mergeCell ref="EV1369:FD1369"/>
    <mergeCell ref="FE1369:FK1369"/>
    <mergeCell ref="ES1370:EU1370"/>
    <mergeCell ref="EV1370:FD1370"/>
    <mergeCell ref="FE1370:FK1370"/>
    <mergeCell ref="ES1371:EU1371"/>
    <mergeCell ref="EV1371:FD1371"/>
    <mergeCell ref="FE1371:FK1371"/>
    <mergeCell ref="ES1360:EU1360"/>
    <mergeCell ref="EV1360:FD1360"/>
    <mergeCell ref="FE1360:FK1360"/>
    <mergeCell ref="ES1361:EU1361"/>
    <mergeCell ref="EV1361:FD1361"/>
    <mergeCell ref="FE1361:FK1361"/>
    <mergeCell ref="ES1362:EU1362"/>
    <mergeCell ref="EV1362:FD1362"/>
    <mergeCell ref="FE1362:FK1362"/>
    <mergeCell ref="ES1363:EU1363"/>
    <mergeCell ref="EV1363:FD1363"/>
    <mergeCell ref="FE1363:FK1363"/>
    <mergeCell ref="ES1364:EU1364"/>
    <mergeCell ref="EV1364:FD1364"/>
    <mergeCell ref="FE1364:FK1364"/>
    <mergeCell ref="ES1365:EU1365"/>
    <mergeCell ref="EV1365:FD1365"/>
    <mergeCell ref="FE1365:FK1365"/>
    <mergeCell ref="ES1354:EU1354"/>
    <mergeCell ref="EV1354:FD1354"/>
    <mergeCell ref="FE1354:FK1354"/>
    <mergeCell ref="ES1355:EU1355"/>
    <mergeCell ref="EV1355:FD1355"/>
    <mergeCell ref="FE1355:FK1355"/>
    <mergeCell ref="ES1356:EU1356"/>
    <mergeCell ref="EV1356:FD1356"/>
    <mergeCell ref="FE1356:FK1356"/>
    <mergeCell ref="ES1357:EU1357"/>
    <mergeCell ref="EV1357:FD1357"/>
    <mergeCell ref="FE1357:FK1357"/>
    <mergeCell ref="ES1358:EU1358"/>
    <mergeCell ref="EV1358:FD1358"/>
    <mergeCell ref="FE1358:FK1358"/>
    <mergeCell ref="ES1359:EU1359"/>
    <mergeCell ref="EV1359:FD1359"/>
    <mergeCell ref="FE1359:FK1359"/>
    <mergeCell ref="ES1348:EU1348"/>
    <mergeCell ref="EV1348:FD1348"/>
    <mergeCell ref="FE1348:FK1348"/>
    <mergeCell ref="ES1349:EU1349"/>
    <mergeCell ref="EV1349:FD1349"/>
    <mergeCell ref="FE1349:FK1349"/>
    <mergeCell ref="ES1350:EU1350"/>
    <mergeCell ref="EV1350:FD1350"/>
    <mergeCell ref="FE1350:FK1350"/>
    <mergeCell ref="ES1351:EU1351"/>
    <mergeCell ref="EV1351:FD1351"/>
    <mergeCell ref="FE1351:FK1351"/>
    <mergeCell ref="ES1352:EU1352"/>
    <mergeCell ref="EV1352:FD1352"/>
    <mergeCell ref="FE1352:FK1352"/>
    <mergeCell ref="ES1353:EU1353"/>
    <mergeCell ref="EV1353:FD1353"/>
    <mergeCell ref="FE1353:FK1353"/>
    <mergeCell ref="ES1342:EU1342"/>
    <mergeCell ref="EV1342:FD1342"/>
    <mergeCell ref="FE1342:FK1342"/>
    <mergeCell ref="ES1343:EU1343"/>
    <mergeCell ref="EV1343:FD1343"/>
    <mergeCell ref="FE1343:FK1343"/>
    <mergeCell ref="ES1344:EU1344"/>
    <mergeCell ref="EV1344:FD1344"/>
    <mergeCell ref="FE1344:FK1344"/>
    <mergeCell ref="ES1345:EU1345"/>
    <mergeCell ref="EV1345:FD1345"/>
    <mergeCell ref="FE1345:FK1345"/>
    <mergeCell ref="ES1346:EU1346"/>
    <mergeCell ref="EV1346:FD1346"/>
    <mergeCell ref="FE1346:FK1346"/>
    <mergeCell ref="ES1347:EU1347"/>
    <mergeCell ref="EV1347:FD1347"/>
    <mergeCell ref="FE1347:FK1347"/>
    <mergeCell ref="ES1336:EU1336"/>
    <mergeCell ref="EV1336:FD1336"/>
    <mergeCell ref="FE1336:FK1336"/>
    <mergeCell ref="ES1337:EU1337"/>
    <mergeCell ref="EV1337:FD1337"/>
    <mergeCell ref="FE1337:FK1337"/>
    <mergeCell ref="ES1338:EU1338"/>
    <mergeCell ref="EV1338:FD1338"/>
    <mergeCell ref="FE1338:FK1338"/>
    <mergeCell ref="ES1339:EU1339"/>
    <mergeCell ref="EV1339:FD1339"/>
    <mergeCell ref="FE1339:FK1339"/>
    <mergeCell ref="ES1340:EU1340"/>
    <mergeCell ref="EV1340:FD1340"/>
    <mergeCell ref="FE1340:FK1340"/>
    <mergeCell ref="ES1341:EU1341"/>
    <mergeCell ref="EV1341:FD1341"/>
    <mergeCell ref="FE1341:FK1341"/>
    <mergeCell ref="ES1330:EU1330"/>
    <mergeCell ref="EV1330:FD1330"/>
    <mergeCell ref="FE1330:FK1330"/>
    <mergeCell ref="ES1331:EU1331"/>
    <mergeCell ref="EV1331:FD1331"/>
    <mergeCell ref="FE1331:FK1331"/>
    <mergeCell ref="ES1332:EU1332"/>
    <mergeCell ref="EV1332:FD1332"/>
    <mergeCell ref="FE1332:FK1332"/>
    <mergeCell ref="ES1333:EU1333"/>
    <mergeCell ref="EV1333:FD1333"/>
    <mergeCell ref="FE1333:FK1333"/>
    <mergeCell ref="ES1334:EU1334"/>
    <mergeCell ref="EV1334:FD1334"/>
    <mergeCell ref="FE1334:FK1334"/>
    <mergeCell ref="ES1335:EU1335"/>
    <mergeCell ref="EV1335:FD1335"/>
    <mergeCell ref="FE1335:FK1335"/>
    <mergeCell ref="ES1324:EU1324"/>
    <mergeCell ref="EV1324:FD1324"/>
    <mergeCell ref="FE1324:FK1324"/>
    <mergeCell ref="ES1325:EU1325"/>
    <mergeCell ref="EV1325:FD1325"/>
    <mergeCell ref="FE1325:FK1325"/>
    <mergeCell ref="ES1326:EU1326"/>
    <mergeCell ref="EV1326:FD1326"/>
    <mergeCell ref="FE1326:FK1326"/>
    <mergeCell ref="ES1327:EU1327"/>
    <mergeCell ref="EV1327:FD1327"/>
    <mergeCell ref="FE1327:FK1327"/>
    <mergeCell ref="ES1328:EU1328"/>
    <mergeCell ref="EV1328:FD1328"/>
    <mergeCell ref="FE1328:FK1328"/>
    <mergeCell ref="ES1329:EU1329"/>
    <mergeCell ref="EV1329:FD1329"/>
    <mergeCell ref="FE1329:FK1329"/>
    <mergeCell ref="ES1318:EU1318"/>
    <mergeCell ref="EV1318:FD1318"/>
    <mergeCell ref="FE1318:FK1318"/>
    <mergeCell ref="ES1319:EU1319"/>
    <mergeCell ref="EV1319:FD1319"/>
    <mergeCell ref="FE1319:FK1319"/>
    <mergeCell ref="ES1320:EU1320"/>
    <mergeCell ref="EV1320:FD1320"/>
    <mergeCell ref="FE1320:FK1320"/>
    <mergeCell ref="ES1321:EU1321"/>
    <mergeCell ref="EV1321:FD1321"/>
    <mergeCell ref="FE1321:FK1321"/>
    <mergeCell ref="ES1322:EU1322"/>
    <mergeCell ref="EV1322:FD1322"/>
    <mergeCell ref="FE1322:FK1322"/>
    <mergeCell ref="ES1323:EU1323"/>
    <mergeCell ref="EV1323:FD1323"/>
    <mergeCell ref="FE1323:FK1323"/>
    <mergeCell ref="ES1312:EU1312"/>
    <mergeCell ref="EV1312:FD1312"/>
    <mergeCell ref="FE1312:FK1312"/>
    <mergeCell ref="ES1313:EU1313"/>
    <mergeCell ref="EV1313:FD1313"/>
    <mergeCell ref="FE1313:FK1313"/>
    <mergeCell ref="ES1314:EU1314"/>
    <mergeCell ref="EV1314:FD1314"/>
    <mergeCell ref="FE1314:FK1314"/>
    <mergeCell ref="ES1315:EU1315"/>
    <mergeCell ref="EV1315:FD1315"/>
    <mergeCell ref="FE1315:FK1315"/>
    <mergeCell ref="ES1316:EU1316"/>
    <mergeCell ref="EV1316:FD1316"/>
    <mergeCell ref="FE1316:FK1316"/>
    <mergeCell ref="ES1317:EU1317"/>
    <mergeCell ref="EV1317:FD1317"/>
    <mergeCell ref="FE1317:FK1317"/>
    <mergeCell ref="ES1306:EU1306"/>
    <mergeCell ref="EV1306:FD1306"/>
    <mergeCell ref="FE1306:FK1306"/>
    <mergeCell ref="ES1307:EU1307"/>
    <mergeCell ref="EV1307:FD1307"/>
    <mergeCell ref="FE1307:FK1307"/>
    <mergeCell ref="ES1308:EU1308"/>
    <mergeCell ref="EV1308:FD1308"/>
    <mergeCell ref="FE1308:FK1308"/>
    <mergeCell ref="ES1309:EU1309"/>
    <mergeCell ref="EV1309:FD1309"/>
    <mergeCell ref="FE1309:FK1309"/>
    <mergeCell ref="ES1310:EU1310"/>
    <mergeCell ref="EV1310:FD1310"/>
    <mergeCell ref="FE1310:FK1310"/>
    <mergeCell ref="ES1311:EU1311"/>
    <mergeCell ref="EV1311:FD1311"/>
    <mergeCell ref="FE1311:FK1311"/>
    <mergeCell ref="ES1300:EU1300"/>
    <mergeCell ref="EV1300:FD1300"/>
    <mergeCell ref="FE1300:FK1300"/>
    <mergeCell ref="ES1301:EU1301"/>
    <mergeCell ref="EV1301:FD1301"/>
    <mergeCell ref="FE1301:FK1301"/>
    <mergeCell ref="ES1302:EU1302"/>
    <mergeCell ref="EV1302:FD1302"/>
    <mergeCell ref="FE1302:FK1302"/>
    <mergeCell ref="ES1303:EU1303"/>
    <mergeCell ref="EV1303:FD1303"/>
    <mergeCell ref="FE1303:FK1303"/>
    <mergeCell ref="ES1304:EU1304"/>
    <mergeCell ref="EV1304:FD1304"/>
    <mergeCell ref="FE1304:FK1304"/>
    <mergeCell ref="ES1305:EU1305"/>
    <mergeCell ref="EV1305:FD1305"/>
    <mergeCell ref="FE1305:FK1305"/>
    <mergeCell ref="ES1294:EU1294"/>
    <mergeCell ref="EV1294:FD1294"/>
    <mergeCell ref="FE1294:FK1294"/>
    <mergeCell ref="ES1295:EU1295"/>
    <mergeCell ref="EV1295:FD1295"/>
    <mergeCell ref="FE1295:FK1295"/>
    <mergeCell ref="ES1296:EU1296"/>
    <mergeCell ref="EV1296:FD1296"/>
    <mergeCell ref="FE1296:FK1296"/>
    <mergeCell ref="ES1297:EU1297"/>
    <mergeCell ref="EV1297:FD1297"/>
    <mergeCell ref="FE1297:FK1297"/>
    <mergeCell ref="ES1298:EU1298"/>
    <mergeCell ref="EV1298:FD1298"/>
    <mergeCell ref="FE1298:FK1298"/>
    <mergeCell ref="ES1299:EU1299"/>
    <mergeCell ref="EV1299:FD1299"/>
    <mergeCell ref="FE1299:FK1299"/>
    <mergeCell ref="ES1288:EU1288"/>
    <mergeCell ref="EV1288:FD1288"/>
    <mergeCell ref="FE1288:FK1288"/>
    <mergeCell ref="ES1289:EU1289"/>
    <mergeCell ref="EV1289:FD1289"/>
    <mergeCell ref="FE1289:FK1289"/>
    <mergeCell ref="ES1290:EU1290"/>
    <mergeCell ref="EV1290:FD1290"/>
    <mergeCell ref="FE1290:FK1290"/>
    <mergeCell ref="ES1291:EU1291"/>
    <mergeCell ref="EV1291:FD1291"/>
    <mergeCell ref="FE1291:FK1291"/>
    <mergeCell ref="ES1292:EU1292"/>
    <mergeCell ref="EV1292:FD1292"/>
    <mergeCell ref="FE1292:FK1292"/>
    <mergeCell ref="ES1293:EU1293"/>
    <mergeCell ref="EV1293:FD1293"/>
    <mergeCell ref="FE1293:FK1293"/>
    <mergeCell ref="ES1282:EU1282"/>
    <mergeCell ref="EV1282:FD1282"/>
    <mergeCell ref="FE1282:FK1282"/>
    <mergeCell ref="ES1283:EU1283"/>
    <mergeCell ref="EV1283:FD1283"/>
    <mergeCell ref="FE1283:FK1283"/>
    <mergeCell ref="ES1284:EU1284"/>
    <mergeCell ref="EV1284:FD1284"/>
    <mergeCell ref="FE1284:FK1284"/>
    <mergeCell ref="ES1285:EU1285"/>
    <mergeCell ref="EV1285:FD1285"/>
    <mergeCell ref="FE1285:FK1285"/>
    <mergeCell ref="ES1286:EU1286"/>
    <mergeCell ref="EV1286:FD1286"/>
    <mergeCell ref="FE1286:FK1286"/>
    <mergeCell ref="ES1287:EU1287"/>
    <mergeCell ref="EV1287:FD1287"/>
    <mergeCell ref="FE1287:FK1287"/>
    <mergeCell ref="ES1276:EU1276"/>
    <mergeCell ref="EV1276:FD1276"/>
    <mergeCell ref="FE1276:FK1276"/>
    <mergeCell ref="ES1277:EU1277"/>
    <mergeCell ref="EV1277:FD1277"/>
    <mergeCell ref="FE1277:FK1277"/>
    <mergeCell ref="ES1278:EU1278"/>
    <mergeCell ref="EV1278:FD1278"/>
    <mergeCell ref="FE1278:FK1278"/>
    <mergeCell ref="ES1279:EU1279"/>
    <mergeCell ref="EV1279:FD1279"/>
    <mergeCell ref="FE1279:FK1279"/>
    <mergeCell ref="ES1280:EU1280"/>
    <mergeCell ref="EV1280:FD1280"/>
    <mergeCell ref="FE1280:FK1280"/>
    <mergeCell ref="ES1281:EU1281"/>
    <mergeCell ref="EV1281:FD1281"/>
    <mergeCell ref="FE1281:FK1281"/>
    <mergeCell ref="ES1270:EU1270"/>
    <mergeCell ref="EV1270:FD1270"/>
    <mergeCell ref="FE1270:FK1270"/>
    <mergeCell ref="ES1271:EU1271"/>
    <mergeCell ref="EV1271:FD1271"/>
    <mergeCell ref="FE1271:FK1271"/>
    <mergeCell ref="ES1272:EU1272"/>
    <mergeCell ref="EV1272:FD1272"/>
    <mergeCell ref="FE1272:FK1272"/>
    <mergeCell ref="ES1273:EU1273"/>
    <mergeCell ref="EV1273:FD1273"/>
    <mergeCell ref="FE1273:FK1273"/>
    <mergeCell ref="ES1274:EU1274"/>
    <mergeCell ref="EV1274:FD1274"/>
    <mergeCell ref="FE1274:FK1274"/>
    <mergeCell ref="ES1275:EU1275"/>
    <mergeCell ref="EV1275:FD1275"/>
    <mergeCell ref="FE1275:FK1275"/>
    <mergeCell ref="ES1264:EU1264"/>
    <mergeCell ref="EV1264:FD1264"/>
    <mergeCell ref="FE1264:FK1264"/>
    <mergeCell ref="ES1265:EU1265"/>
    <mergeCell ref="EV1265:FD1265"/>
    <mergeCell ref="FE1265:FK1265"/>
    <mergeCell ref="ES1266:EU1266"/>
    <mergeCell ref="EV1266:FD1266"/>
    <mergeCell ref="FE1266:FK1266"/>
    <mergeCell ref="ES1267:EU1267"/>
    <mergeCell ref="EV1267:FD1267"/>
    <mergeCell ref="FE1267:FK1267"/>
    <mergeCell ref="ES1268:EU1268"/>
    <mergeCell ref="EV1268:FD1268"/>
    <mergeCell ref="FE1268:FK1268"/>
    <mergeCell ref="ES1269:EU1269"/>
    <mergeCell ref="EV1269:FD1269"/>
    <mergeCell ref="FE1269:FK1269"/>
    <mergeCell ref="ES1254:EU1254"/>
    <mergeCell ref="EV1254:FD1254"/>
    <mergeCell ref="ES1255:EU1255"/>
    <mergeCell ref="EV1255:FD1255"/>
    <mergeCell ref="ES1256:EU1256"/>
    <mergeCell ref="EV1256:FD1256"/>
    <mergeCell ref="ES1257:EU1257"/>
    <mergeCell ref="EV1257:FD1257"/>
    <mergeCell ref="ES1258:EU1258"/>
    <mergeCell ref="EV1258:FD1258"/>
    <mergeCell ref="ES1259:EU1259"/>
    <mergeCell ref="EV1259:FD1259"/>
    <mergeCell ref="ES1260:EU1260"/>
    <mergeCell ref="EV1260:FD1260"/>
    <mergeCell ref="ES1261:EU1261"/>
    <mergeCell ref="EV1261:FD1261"/>
    <mergeCell ref="ES1263:EU1263"/>
    <mergeCell ref="FE1260:FK1260"/>
    <mergeCell ref="FE1261:FK1261"/>
    <mergeCell ref="FE1262:FK1262"/>
    <mergeCell ref="FE1263:FK1263"/>
    <mergeCell ref="ES1085:EU1085"/>
    <mergeCell ref="EV1085:FD1085"/>
    <mergeCell ref="ES1086:EU1086"/>
    <mergeCell ref="EV1086:FD1086"/>
    <mergeCell ref="ES1087:EU1087"/>
    <mergeCell ref="EV1087:FD1087"/>
    <mergeCell ref="ES1088:EU1088"/>
    <mergeCell ref="EV1088:FD1088"/>
    <mergeCell ref="ES1089:EU1089"/>
    <mergeCell ref="EV1089:FD1089"/>
    <mergeCell ref="ES1090:EU1090"/>
    <mergeCell ref="EV1090:FD1090"/>
    <mergeCell ref="ES1251:EU1251"/>
    <mergeCell ref="EV1251:FD1251"/>
    <mergeCell ref="ES1252:EU1252"/>
    <mergeCell ref="EV1252:FD1252"/>
    <mergeCell ref="ES1253:EU1253"/>
    <mergeCell ref="EV1253:FD1253"/>
    <mergeCell ref="ES1102:EU1102"/>
    <mergeCell ref="ES1103:EU1103"/>
    <mergeCell ref="ES1104:EU1104"/>
    <mergeCell ref="ES1105:EU1105"/>
    <mergeCell ref="ES1106:EU1106"/>
    <mergeCell ref="ES1107:EU1107"/>
    <mergeCell ref="EV1107:FD1107"/>
    <mergeCell ref="ES1108:EU1108"/>
    <mergeCell ref="EV1108:FD1108"/>
    <mergeCell ref="ES1109:EU1109"/>
    <mergeCell ref="EV1109:FD1109"/>
    <mergeCell ref="ES1110:EU1110"/>
    <mergeCell ref="EV1110:FD1110"/>
    <mergeCell ref="FE1133:FK1133"/>
    <mergeCell ref="FE1134:FK1134"/>
    <mergeCell ref="FE1135:FK1135"/>
    <mergeCell ref="FE1136:FK1136"/>
    <mergeCell ref="FE1137:FK1137"/>
    <mergeCell ref="FE1138:FK1138"/>
    <mergeCell ref="FE1139:FK1139"/>
    <mergeCell ref="FE1140:FK1140"/>
    <mergeCell ref="FE1141:FK1141"/>
    <mergeCell ref="FE1142:FK1142"/>
    <mergeCell ref="FE1143:FK1143"/>
    <mergeCell ref="FE1144:FK1144"/>
    <mergeCell ref="ES1076:EU1076"/>
    <mergeCell ref="EV1076:FD1076"/>
    <mergeCell ref="ES1077:EU1077"/>
    <mergeCell ref="EV1077:FD1077"/>
    <mergeCell ref="ES1078:EU1078"/>
    <mergeCell ref="EV1078:FD1078"/>
    <mergeCell ref="ES1079:EU1079"/>
    <mergeCell ref="EV1079:FD1079"/>
    <mergeCell ref="ES1080:EU1080"/>
    <mergeCell ref="EV1080:FD1080"/>
    <mergeCell ref="ES1081:EU1081"/>
    <mergeCell ref="EV1081:FD1081"/>
    <mergeCell ref="ES1082:EU1082"/>
    <mergeCell ref="EV1082:FD1082"/>
    <mergeCell ref="ES1083:EU1083"/>
    <mergeCell ref="EV1083:FD1083"/>
    <mergeCell ref="ES1084:EU1084"/>
    <mergeCell ref="EV1084:FD1084"/>
    <mergeCell ref="ES1091:EU1091"/>
    <mergeCell ref="EV1091:FD1091"/>
    <mergeCell ref="ES1092:EU1092"/>
    <mergeCell ref="EV1092:FD1092"/>
    <mergeCell ref="ES1093:EU1093"/>
    <mergeCell ref="EV1093:FD1093"/>
    <mergeCell ref="ES1094:EU1094"/>
    <mergeCell ref="EV1094:FD1094"/>
    <mergeCell ref="ES1095:EU1095"/>
    <mergeCell ref="EV1095:FD1095"/>
    <mergeCell ref="ES1096:EU1096"/>
    <mergeCell ref="EV1096:FD1096"/>
    <mergeCell ref="ES1099:EU1099"/>
    <mergeCell ref="ES1100:EU1100"/>
    <mergeCell ref="ES1101:EU1101"/>
    <mergeCell ref="ES1067:EU1067"/>
    <mergeCell ref="EV1067:FD1067"/>
    <mergeCell ref="ES1068:EU1068"/>
    <mergeCell ref="EV1068:FD1068"/>
    <mergeCell ref="ES1069:EU1069"/>
    <mergeCell ref="EV1069:FD1069"/>
    <mergeCell ref="ES1070:EU1070"/>
    <mergeCell ref="EV1070:FD1070"/>
    <mergeCell ref="ES1071:EU1071"/>
    <mergeCell ref="EV1071:FD1071"/>
    <mergeCell ref="ES1072:EU1072"/>
    <mergeCell ref="EV1072:FD1072"/>
    <mergeCell ref="ES1073:EU1073"/>
    <mergeCell ref="EV1073:FD1073"/>
    <mergeCell ref="ES1074:EU1074"/>
    <mergeCell ref="EV1074:FD1074"/>
    <mergeCell ref="ES1075:EU1075"/>
    <mergeCell ref="EV1075:FD1075"/>
    <mergeCell ref="ES1058:EU1058"/>
    <mergeCell ref="EV1058:FD1058"/>
    <mergeCell ref="ES1059:EU1059"/>
    <mergeCell ref="EV1059:FD1059"/>
    <mergeCell ref="ES1060:EU1060"/>
    <mergeCell ref="EV1060:FD1060"/>
    <mergeCell ref="ES1061:EU1061"/>
    <mergeCell ref="EV1061:FD1061"/>
    <mergeCell ref="ES1062:EU1062"/>
    <mergeCell ref="EV1062:FD1062"/>
    <mergeCell ref="ES1063:EU1063"/>
    <mergeCell ref="EV1063:FD1063"/>
    <mergeCell ref="ES1064:EU1064"/>
    <mergeCell ref="EV1064:FD1064"/>
    <mergeCell ref="ES1065:EU1065"/>
    <mergeCell ref="EV1065:FD1065"/>
    <mergeCell ref="ES1066:EU1066"/>
    <mergeCell ref="EV1066:FD1066"/>
    <mergeCell ref="ES1049:EU1049"/>
    <mergeCell ref="EV1049:FD1049"/>
    <mergeCell ref="ES1050:EU1050"/>
    <mergeCell ref="EV1050:FD1050"/>
    <mergeCell ref="ES1051:EU1051"/>
    <mergeCell ref="EV1051:FD1051"/>
    <mergeCell ref="ES1052:EU1052"/>
    <mergeCell ref="EV1052:FD1052"/>
    <mergeCell ref="ES1053:EU1053"/>
    <mergeCell ref="EV1053:FD1053"/>
    <mergeCell ref="ES1054:EU1054"/>
    <mergeCell ref="EV1054:FD1054"/>
    <mergeCell ref="ES1055:EU1055"/>
    <mergeCell ref="EV1055:FD1055"/>
    <mergeCell ref="ES1056:EU1056"/>
    <mergeCell ref="EV1056:FD1056"/>
    <mergeCell ref="ES1057:EU1057"/>
    <mergeCell ref="EV1057:FD1057"/>
    <mergeCell ref="ES1040:EU1040"/>
    <mergeCell ref="EV1040:FD1040"/>
    <mergeCell ref="ES1041:EU1041"/>
    <mergeCell ref="EV1041:FD1041"/>
    <mergeCell ref="ES1042:EU1042"/>
    <mergeCell ref="EV1042:FD1042"/>
    <mergeCell ref="ES1043:EU1043"/>
    <mergeCell ref="EV1043:FD1043"/>
    <mergeCell ref="ES1044:EU1044"/>
    <mergeCell ref="EV1044:FD1044"/>
    <mergeCell ref="ES1045:EU1045"/>
    <mergeCell ref="EV1045:FD1045"/>
    <mergeCell ref="ES1046:EU1046"/>
    <mergeCell ref="EV1046:FD1046"/>
    <mergeCell ref="ES1047:EU1047"/>
    <mergeCell ref="EV1047:FD1047"/>
    <mergeCell ref="ES1048:EU1048"/>
    <mergeCell ref="EV1048:FD1048"/>
    <mergeCell ref="ES1031:EU1031"/>
    <mergeCell ref="EV1031:FD1031"/>
    <mergeCell ref="ES1032:EU1032"/>
    <mergeCell ref="EV1032:FD1032"/>
    <mergeCell ref="ES1033:EU1033"/>
    <mergeCell ref="EV1033:FD1033"/>
    <mergeCell ref="ES1034:EU1034"/>
    <mergeCell ref="EV1034:FD1034"/>
    <mergeCell ref="ES1035:EU1035"/>
    <mergeCell ref="EV1035:FD1035"/>
    <mergeCell ref="ES1036:EU1036"/>
    <mergeCell ref="EV1036:FD1036"/>
    <mergeCell ref="ES1037:EU1037"/>
    <mergeCell ref="EV1037:FD1037"/>
    <mergeCell ref="ES1038:EU1038"/>
    <mergeCell ref="EV1038:FD1038"/>
    <mergeCell ref="ES1039:EU1039"/>
    <mergeCell ref="EV1039:FD1039"/>
    <mergeCell ref="ES1022:EU1022"/>
    <mergeCell ref="EV1022:FD1022"/>
    <mergeCell ref="ES1023:EU1023"/>
    <mergeCell ref="EV1023:FD1023"/>
    <mergeCell ref="ES1024:EU1024"/>
    <mergeCell ref="EV1024:FD1024"/>
    <mergeCell ref="ES1025:EU1025"/>
    <mergeCell ref="EV1025:FD1025"/>
    <mergeCell ref="ES1026:EU1026"/>
    <mergeCell ref="EV1026:FD1026"/>
    <mergeCell ref="ES1027:EU1027"/>
    <mergeCell ref="EV1027:FD1027"/>
    <mergeCell ref="ES1028:EU1028"/>
    <mergeCell ref="EV1028:FD1028"/>
    <mergeCell ref="ES1029:EU1029"/>
    <mergeCell ref="EV1029:FD1029"/>
    <mergeCell ref="ES1030:EU1030"/>
    <mergeCell ref="EV1030:FD1030"/>
    <mergeCell ref="EV1004:FD1004"/>
    <mergeCell ref="EV1005:FD1005"/>
    <mergeCell ref="EV1006:FD1006"/>
    <mergeCell ref="EV1007:FD1007"/>
    <mergeCell ref="EV1008:FD1008"/>
    <mergeCell ref="EV1009:FD1009"/>
    <mergeCell ref="EV1010:FD1010"/>
    <mergeCell ref="EV1011:FD1011"/>
    <mergeCell ref="EV987:FD987"/>
    <mergeCell ref="EV988:FD988"/>
    <mergeCell ref="EV989:FD989"/>
    <mergeCell ref="EV990:FD990"/>
    <mergeCell ref="EV991:FD991"/>
    <mergeCell ref="EV992:FD992"/>
    <mergeCell ref="EV993:FD993"/>
    <mergeCell ref="EV994:FD994"/>
    <mergeCell ref="EV995:FD995"/>
    <mergeCell ref="EV996:FD996"/>
    <mergeCell ref="EV997:FD997"/>
    <mergeCell ref="EV998:FD998"/>
    <mergeCell ref="EV999:FD999"/>
    <mergeCell ref="EV1000:FD1000"/>
    <mergeCell ref="EV1001:FD1001"/>
    <mergeCell ref="EV1002:FD1002"/>
    <mergeCell ref="EV1003:FD1003"/>
    <mergeCell ref="EV970:FD970"/>
    <mergeCell ref="EV971:FD971"/>
    <mergeCell ref="EV972:FD972"/>
    <mergeCell ref="EV973:FD973"/>
    <mergeCell ref="EV974:FD974"/>
    <mergeCell ref="EV975:FD975"/>
    <mergeCell ref="EV976:FD976"/>
    <mergeCell ref="EV977:FD977"/>
    <mergeCell ref="EV978:FD978"/>
    <mergeCell ref="EV979:FD979"/>
    <mergeCell ref="EV980:FD980"/>
    <mergeCell ref="EV981:FD981"/>
    <mergeCell ref="EV982:FD982"/>
    <mergeCell ref="EV983:FD983"/>
    <mergeCell ref="EV984:FD984"/>
    <mergeCell ref="EV985:FD985"/>
    <mergeCell ref="EV986:FD986"/>
    <mergeCell ref="EV953:FD953"/>
    <mergeCell ref="EV954:FD954"/>
    <mergeCell ref="EV955:FD955"/>
    <mergeCell ref="EV956:FD956"/>
    <mergeCell ref="EV957:FD957"/>
    <mergeCell ref="EV958:FD958"/>
    <mergeCell ref="EV959:FD959"/>
    <mergeCell ref="EV960:FD960"/>
    <mergeCell ref="EV961:FD961"/>
    <mergeCell ref="EV962:FD962"/>
    <mergeCell ref="EV963:FD963"/>
    <mergeCell ref="EV964:FD964"/>
    <mergeCell ref="EV965:FD965"/>
    <mergeCell ref="EV966:FD966"/>
    <mergeCell ref="EV967:FD967"/>
    <mergeCell ref="EV968:FD968"/>
    <mergeCell ref="EV969:FD969"/>
    <mergeCell ref="EV936:FD936"/>
    <mergeCell ref="EV937:FD937"/>
    <mergeCell ref="EV938:FD938"/>
    <mergeCell ref="EV939:FD939"/>
    <mergeCell ref="EV940:FD940"/>
    <mergeCell ref="EV941:FD941"/>
    <mergeCell ref="EV942:FD942"/>
    <mergeCell ref="EV943:FD943"/>
    <mergeCell ref="EV944:FD944"/>
    <mergeCell ref="EV945:FD945"/>
    <mergeCell ref="EV946:FD946"/>
    <mergeCell ref="EV947:FD947"/>
    <mergeCell ref="EV948:FD948"/>
    <mergeCell ref="EV949:FD949"/>
    <mergeCell ref="EV950:FD950"/>
    <mergeCell ref="EV951:FD951"/>
    <mergeCell ref="EV952:FD952"/>
    <mergeCell ref="EV919:FD919"/>
    <mergeCell ref="EV920:FD920"/>
    <mergeCell ref="EV921:FD921"/>
    <mergeCell ref="EV922:FD922"/>
    <mergeCell ref="EV923:FD923"/>
    <mergeCell ref="EV924:FD924"/>
    <mergeCell ref="EV925:FD925"/>
    <mergeCell ref="EV926:FD926"/>
    <mergeCell ref="EV927:FD927"/>
    <mergeCell ref="EV928:FD928"/>
    <mergeCell ref="EV929:FD929"/>
    <mergeCell ref="EV930:FD930"/>
    <mergeCell ref="EV931:FD931"/>
    <mergeCell ref="EV932:FD932"/>
    <mergeCell ref="EV933:FD933"/>
    <mergeCell ref="EV934:FD934"/>
    <mergeCell ref="EV935:FD935"/>
    <mergeCell ref="EV902:FD902"/>
    <mergeCell ref="EV903:FD903"/>
    <mergeCell ref="EV904:FD904"/>
    <mergeCell ref="EV905:FD905"/>
    <mergeCell ref="EV906:FD906"/>
    <mergeCell ref="EV907:FD907"/>
    <mergeCell ref="EV908:FD908"/>
    <mergeCell ref="EV909:FD909"/>
    <mergeCell ref="EV910:FD910"/>
    <mergeCell ref="EV911:FD911"/>
    <mergeCell ref="EV912:FD912"/>
    <mergeCell ref="EV913:FD913"/>
    <mergeCell ref="EV914:FD914"/>
    <mergeCell ref="EV915:FD915"/>
    <mergeCell ref="EV916:FD916"/>
    <mergeCell ref="EV917:FD917"/>
    <mergeCell ref="EV918:FD918"/>
    <mergeCell ref="EV885:FD885"/>
    <mergeCell ref="EV886:FD886"/>
    <mergeCell ref="EV887:FD887"/>
    <mergeCell ref="EV888:FD888"/>
    <mergeCell ref="EV889:FD889"/>
    <mergeCell ref="EV890:FD890"/>
    <mergeCell ref="EV891:FD891"/>
    <mergeCell ref="EV892:FD892"/>
    <mergeCell ref="EV893:FD893"/>
    <mergeCell ref="EV894:FD894"/>
    <mergeCell ref="EV895:FD895"/>
    <mergeCell ref="EV896:FD896"/>
    <mergeCell ref="EV897:FD897"/>
    <mergeCell ref="EV898:FD898"/>
    <mergeCell ref="EV899:FD899"/>
    <mergeCell ref="EV900:FD900"/>
    <mergeCell ref="EV901:FD901"/>
    <mergeCell ref="EV868:FD868"/>
    <mergeCell ref="EV869:FD869"/>
    <mergeCell ref="EV870:FD870"/>
    <mergeCell ref="EV871:FD871"/>
    <mergeCell ref="EV872:FD872"/>
    <mergeCell ref="EV873:FD873"/>
    <mergeCell ref="EV874:FD874"/>
    <mergeCell ref="EV875:FD875"/>
    <mergeCell ref="EV876:FD876"/>
    <mergeCell ref="EV877:FD877"/>
    <mergeCell ref="EV878:FD878"/>
    <mergeCell ref="EV879:FD879"/>
    <mergeCell ref="EV880:FD880"/>
    <mergeCell ref="EV881:FD881"/>
    <mergeCell ref="EV882:FD882"/>
    <mergeCell ref="EV883:FD883"/>
    <mergeCell ref="EV884:FD884"/>
    <mergeCell ref="EV851:FD851"/>
    <mergeCell ref="EV852:FD852"/>
    <mergeCell ref="EV853:FD853"/>
    <mergeCell ref="EV854:FD854"/>
    <mergeCell ref="EV855:FD855"/>
    <mergeCell ref="EV856:FD856"/>
    <mergeCell ref="EV857:FD857"/>
    <mergeCell ref="EV858:FD858"/>
    <mergeCell ref="EV859:FD859"/>
    <mergeCell ref="EV860:FD860"/>
    <mergeCell ref="EV861:FD861"/>
    <mergeCell ref="EV862:FD862"/>
    <mergeCell ref="EV863:FD863"/>
    <mergeCell ref="EV864:FD864"/>
    <mergeCell ref="EV865:FD865"/>
    <mergeCell ref="EV866:FD866"/>
    <mergeCell ref="EV867:FD867"/>
    <mergeCell ref="EV834:FD834"/>
    <mergeCell ref="EV835:FD835"/>
    <mergeCell ref="EV836:FD836"/>
    <mergeCell ref="EV837:FD837"/>
    <mergeCell ref="EV838:FD838"/>
    <mergeCell ref="EV839:FD839"/>
    <mergeCell ref="EV840:FD840"/>
    <mergeCell ref="EV841:FD841"/>
    <mergeCell ref="EV842:FD842"/>
    <mergeCell ref="EV843:FD843"/>
    <mergeCell ref="EV844:FD844"/>
    <mergeCell ref="EV845:FD845"/>
    <mergeCell ref="EV846:FD846"/>
    <mergeCell ref="EV847:FD847"/>
    <mergeCell ref="EV848:FD848"/>
    <mergeCell ref="EV849:FD849"/>
    <mergeCell ref="EV850:FD850"/>
    <mergeCell ref="ES1011:EU1011"/>
    <mergeCell ref="EV790:FD790"/>
    <mergeCell ref="EV791:FD791"/>
    <mergeCell ref="EV792:FD792"/>
    <mergeCell ref="EV793:FD793"/>
    <mergeCell ref="EV794:FD794"/>
    <mergeCell ref="EV795:FD795"/>
    <mergeCell ref="EV796:FD796"/>
    <mergeCell ref="EV797:FD797"/>
    <mergeCell ref="EV798:FD798"/>
    <mergeCell ref="EV799:FD799"/>
    <mergeCell ref="EV800:FD800"/>
    <mergeCell ref="EV801:FD801"/>
    <mergeCell ref="EV802:FD802"/>
    <mergeCell ref="EV803:FD803"/>
    <mergeCell ref="EV804:FD804"/>
    <mergeCell ref="EV805:FD805"/>
    <mergeCell ref="EV806:FD806"/>
    <mergeCell ref="EV807:FD807"/>
    <mergeCell ref="EV808:FD808"/>
    <mergeCell ref="EV809:FD809"/>
    <mergeCell ref="EV810:FD810"/>
    <mergeCell ref="EV811:FD811"/>
    <mergeCell ref="EV812:FD812"/>
    <mergeCell ref="EV813:FD813"/>
    <mergeCell ref="EV814:FD814"/>
    <mergeCell ref="EV815:FD815"/>
    <mergeCell ref="EV816:FD816"/>
    <mergeCell ref="EV817:FD817"/>
    <mergeCell ref="EV818:FD818"/>
    <mergeCell ref="EV819:FD819"/>
    <mergeCell ref="EV820:FD820"/>
    <mergeCell ref="ES994:EU994"/>
    <mergeCell ref="ES995:EU995"/>
    <mergeCell ref="ES996:EU996"/>
    <mergeCell ref="ES997:EU997"/>
    <mergeCell ref="ES998:EU998"/>
    <mergeCell ref="ES999:EU999"/>
    <mergeCell ref="ES1000:EU1000"/>
    <mergeCell ref="ES1001:EU1001"/>
    <mergeCell ref="ES1002:EU1002"/>
    <mergeCell ref="ES1003:EU1003"/>
    <mergeCell ref="ES1004:EU1004"/>
    <mergeCell ref="ES1005:EU1005"/>
    <mergeCell ref="ES1006:EU1006"/>
    <mergeCell ref="ES1007:EU1007"/>
    <mergeCell ref="ES1008:EU1008"/>
    <mergeCell ref="ES1009:EU1009"/>
    <mergeCell ref="ES1010:EU1010"/>
    <mergeCell ref="ES977:EU977"/>
    <mergeCell ref="ES978:EU978"/>
    <mergeCell ref="ES979:EU979"/>
    <mergeCell ref="ES980:EU980"/>
    <mergeCell ref="ES981:EU981"/>
    <mergeCell ref="ES982:EU982"/>
    <mergeCell ref="ES983:EU983"/>
    <mergeCell ref="ES984:EU984"/>
    <mergeCell ref="ES985:EU985"/>
    <mergeCell ref="ES986:EU986"/>
    <mergeCell ref="ES987:EU987"/>
    <mergeCell ref="ES988:EU988"/>
    <mergeCell ref="ES989:EU989"/>
    <mergeCell ref="ES990:EU990"/>
    <mergeCell ref="ES991:EU991"/>
    <mergeCell ref="ES992:EU992"/>
    <mergeCell ref="ES993:EU993"/>
    <mergeCell ref="ES960:EU960"/>
    <mergeCell ref="ES961:EU961"/>
    <mergeCell ref="ES962:EU962"/>
    <mergeCell ref="ES963:EU963"/>
    <mergeCell ref="ES964:EU964"/>
    <mergeCell ref="ES965:EU965"/>
    <mergeCell ref="ES966:EU966"/>
    <mergeCell ref="ES967:EU967"/>
    <mergeCell ref="ES968:EU968"/>
    <mergeCell ref="ES969:EU969"/>
    <mergeCell ref="ES970:EU970"/>
    <mergeCell ref="ES971:EU971"/>
    <mergeCell ref="ES972:EU972"/>
    <mergeCell ref="ES973:EU973"/>
    <mergeCell ref="ES974:EU974"/>
    <mergeCell ref="ES975:EU975"/>
    <mergeCell ref="ES976:EU976"/>
    <mergeCell ref="ES943:EU943"/>
    <mergeCell ref="ES944:EU944"/>
    <mergeCell ref="ES945:EU945"/>
    <mergeCell ref="ES946:EU946"/>
    <mergeCell ref="ES947:EU947"/>
    <mergeCell ref="ES948:EU948"/>
    <mergeCell ref="ES949:EU949"/>
    <mergeCell ref="ES950:EU950"/>
    <mergeCell ref="ES951:EU951"/>
    <mergeCell ref="ES952:EU952"/>
    <mergeCell ref="ES953:EU953"/>
    <mergeCell ref="ES954:EU954"/>
    <mergeCell ref="ES955:EU955"/>
    <mergeCell ref="ES956:EU956"/>
    <mergeCell ref="ES957:EU957"/>
    <mergeCell ref="ES958:EU958"/>
    <mergeCell ref="ES959:EU959"/>
    <mergeCell ref="ES843:EU843"/>
    <mergeCell ref="ES844:EU844"/>
    <mergeCell ref="ES845:EU845"/>
    <mergeCell ref="ES846:EU846"/>
    <mergeCell ref="ES847:EU847"/>
    <mergeCell ref="ES848:EU848"/>
    <mergeCell ref="ES849:EU849"/>
    <mergeCell ref="ES850:EU850"/>
    <mergeCell ref="ES851:EU851"/>
    <mergeCell ref="ES852:EU852"/>
    <mergeCell ref="ES926:EU926"/>
    <mergeCell ref="ES927:EU927"/>
    <mergeCell ref="ES928:EU928"/>
    <mergeCell ref="ES929:EU929"/>
    <mergeCell ref="ES930:EU930"/>
    <mergeCell ref="ES931:EU931"/>
    <mergeCell ref="ES932:EU932"/>
    <mergeCell ref="ES933:EU933"/>
    <mergeCell ref="ES934:EU934"/>
    <mergeCell ref="ES935:EU935"/>
    <mergeCell ref="ES936:EU936"/>
    <mergeCell ref="ES937:EU937"/>
    <mergeCell ref="ES938:EU938"/>
    <mergeCell ref="ES939:EU939"/>
    <mergeCell ref="ES940:EU940"/>
    <mergeCell ref="ES941:EU941"/>
    <mergeCell ref="ES942:EU942"/>
    <mergeCell ref="ES909:EU909"/>
    <mergeCell ref="ES910:EU910"/>
    <mergeCell ref="ES911:EU911"/>
    <mergeCell ref="ES912:EU912"/>
    <mergeCell ref="ES913:EU913"/>
    <mergeCell ref="ES914:EU914"/>
    <mergeCell ref="ES915:EU915"/>
    <mergeCell ref="ES916:EU916"/>
    <mergeCell ref="ES917:EU917"/>
    <mergeCell ref="ES918:EU918"/>
    <mergeCell ref="ES919:EU919"/>
    <mergeCell ref="ES920:EU920"/>
    <mergeCell ref="ES921:EU921"/>
    <mergeCell ref="ES922:EU922"/>
    <mergeCell ref="ES923:EU923"/>
    <mergeCell ref="ES924:EU924"/>
    <mergeCell ref="ES925:EU925"/>
    <mergeCell ref="ED382:EE382"/>
    <mergeCell ref="EG382:EH382"/>
    <mergeCell ref="ED383:EE383"/>
    <mergeCell ref="EG383:EH383"/>
    <mergeCell ref="ED384:EE384"/>
    <mergeCell ref="EG384:EH384"/>
    <mergeCell ref="ED385:EE385"/>
    <mergeCell ref="EG385:EH385"/>
    <mergeCell ref="ED364:EE364"/>
    <mergeCell ref="EG364:EH364"/>
    <mergeCell ref="ES796:EU796"/>
    <mergeCell ref="ES828:EU828"/>
    <mergeCell ref="ES892:EU892"/>
    <mergeCell ref="ES893:EU893"/>
    <mergeCell ref="ES894:EU894"/>
    <mergeCell ref="ES895:EU895"/>
    <mergeCell ref="ES896:EU896"/>
    <mergeCell ref="ES897:EU897"/>
    <mergeCell ref="ES898:EU898"/>
    <mergeCell ref="ES899:EU899"/>
    <mergeCell ref="ES900:EU900"/>
    <mergeCell ref="ES901:EU901"/>
    <mergeCell ref="ES902:EU902"/>
    <mergeCell ref="ES903:EU903"/>
    <mergeCell ref="ES904:EU904"/>
    <mergeCell ref="ES905:EU905"/>
    <mergeCell ref="ES906:EU906"/>
    <mergeCell ref="ES907:EU907"/>
    <mergeCell ref="ES908:EU908"/>
    <mergeCell ref="ES875:EU875"/>
    <mergeCell ref="ES876:EU876"/>
    <mergeCell ref="ES877:EU877"/>
    <mergeCell ref="ES878:EU878"/>
    <mergeCell ref="ES879:EU879"/>
    <mergeCell ref="ES880:EU880"/>
    <mergeCell ref="ES881:EU881"/>
    <mergeCell ref="ES882:EU882"/>
    <mergeCell ref="ES883:EU883"/>
    <mergeCell ref="ES884:EU884"/>
    <mergeCell ref="ES885:EU885"/>
    <mergeCell ref="ES886:EU886"/>
    <mergeCell ref="ES887:EU887"/>
    <mergeCell ref="ES888:EU888"/>
    <mergeCell ref="ES889:EU889"/>
    <mergeCell ref="ES890:EU890"/>
    <mergeCell ref="ES891:EU891"/>
    <mergeCell ref="ES858:EU858"/>
    <mergeCell ref="ES859:EU859"/>
    <mergeCell ref="ES860:EU860"/>
    <mergeCell ref="ES861:EU861"/>
    <mergeCell ref="ES862:EU862"/>
    <mergeCell ref="ES863:EU863"/>
    <mergeCell ref="ES864:EU864"/>
    <mergeCell ref="ES865:EU865"/>
    <mergeCell ref="ES866:EU866"/>
    <mergeCell ref="ES867:EU867"/>
    <mergeCell ref="ES868:EU868"/>
    <mergeCell ref="ES869:EU869"/>
    <mergeCell ref="ES870:EU870"/>
    <mergeCell ref="ES871:EU871"/>
    <mergeCell ref="ES872:EU872"/>
    <mergeCell ref="ES873:EU873"/>
    <mergeCell ref="ES874:EU874"/>
    <mergeCell ref="ES841:EU841"/>
    <mergeCell ref="FM276:FO276"/>
    <mergeCell ref="FP276:FX276"/>
    <mergeCell ref="FM290:FO290"/>
    <mergeCell ref="FP290:FX290"/>
    <mergeCell ref="FM291:FO291"/>
    <mergeCell ref="ES273:EU273"/>
    <mergeCell ref="EV273:FD273"/>
    <mergeCell ref="ES275:EU275"/>
    <mergeCell ref="EV275:FD275"/>
    <mergeCell ref="ES276:EU276"/>
    <mergeCell ref="EV276:FD276"/>
    <mergeCell ref="ES853:EU853"/>
    <mergeCell ref="ES854:EU854"/>
    <mergeCell ref="ES855:EU855"/>
    <mergeCell ref="ES856:EU856"/>
    <mergeCell ref="ES857:EU857"/>
    <mergeCell ref="EG341:EH341"/>
    <mergeCell ref="ED342:EE342"/>
    <mergeCell ref="EG342:EH342"/>
    <mergeCell ref="ED343:EE343"/>
    <mergeCell ref="EG343:EH343"/>
    <mergeCell ref="ED344:EE344"/>
    <mergeCell ref="EG344:EH344"/>
    <mergeCell ref="ED345:EE345"/>
    <mergeCell ref="EG345:EH345"/>
    <mergeCell ref="ED346:EE346"/>
    <mergeCell ref="EG346:EH346"/>
    <mergeCell ref="ED347:EE347"/>
    <mergeCell ref="EG347:EH347"/>
    <mergeCell ref="ED348:EE348"/>
    <mergeCell ref="EG378:EH378"/>
    <mergeCell ref="ED350:EE350"/>
    <mergeCell ref="ED370:EE370"/>
    <mergeCell ref="EG370:EH370"/>
    <mergeCell ref="EG350:EH350"/>
    <mergeCell ref="ED386:EE386"/>
    <mergeCell ref="EG386:EH386"/>
    <mergeCell ref="ED387:EE387"/>
    <mergeCell ref="EG387:EH387"/>
    <mergeCell ref="ED388:EE388"/>
    <mergeCell ref="EG388:EH388"/>
    <mergeCell ref="ED389:EE389"/>
    <mergeCell ref="EG389:EH389"/>
    <mergeCell ref="ED390:EE390"/>
    <mergeCell ref="EG390:EH390"/>
    <mergeCell ref="ES366:EU366"/>
    <mergeCell ref="ES367:EU367"/>
    <mergeCell ref="ES368:EU368"/>
    <mergeCell ref="ES363:EU363"/>
    <mergeCell ref="ES364:EU364"/>
    <mergeCell ref="ES365:EU365"/>
    <mergeCell ref="ED369:EE369"/>
    <mergeCell ref="EG365:EH365"/>
    <mergeCell ref="ED365:EE365"/>
    <mergeCell ref="EG363:EH363"/>
    <mergeCell ref="ED363:EE363"/>
    <mergeCell ref="EG362:EH362"/>
    <mergeCell ref="ED362:EE362"/>
    <mergeCell ref="EG361:EH361"/>
    <mergeCell ref="ED361:EE361"/>
    <mergeCell ref="ED351:EE351"/>
    <mergeCell ref="EG351:EH351"/>
    <mergeCell ref="ES381:EU381"/>
    <mergeCell ref="EG381:EH381"/>
    <mergeCell ref="ES277:EU277"/>
    <mergeCell ref="EV277:FD277"/>
    <mergeCell ref="ES278:EU278"/>
    <mergeCell ref="EV278:FD278"/>
    <mergeCell ref="ES290:EU290"/>
    <mergeCell ref="EV290:FD290"/>
    <mergeCell ref="ES291:EU291"/>
    <mergeCell ref="EV291:FD291"/>
    <mergeCell ref="ES279:EU279"/>
    <mergeCell ref="EV279:FD279"/>
    <mergeCell ref="ES289:EU289"/>
    <mergeCell ref="FP304:FX304"/>
    <mergeCell ref="FM304:FO304"/>
    <mergeCell ref="FM303:FO303"/>
    <mergeCell ref="FP303:FX303"/>
    <mergeCell ref="FM296:FO296"/>
    <mergeCell ref="FM298:FO298"/>
    <mergeCell ref="FP298:FX298"/>
    <mergeCell ref="FM299:FO299"/>
    <mergeCell ref="FM259:FO259"/>
    <mergeCell ref="FP259:FX259"/>
    <mergeCell ref="FP277:FX277"/>
    <mergeCell ref="FM278:FO278"/>
    <mergeCell ref="FP278:FX278"/>
    <mergeCell ref="FM261:FO261"/>
    <mergeCell ref="FP261:FX261"/>
    <mergeCell ref="FP287:FX287"/>
    <mergeCell ref="FM288:FO288"/>
    <mergeCell ref="FP288:FX288"/>
    <mergeCell ref="FM260:FO260"/>
    <mergeCell ref="ES272:EU272"/>
    <mergeCell ref="ES281:EU281"/>
    <mergeCell ref="EV281:FD281"/>
    <mergeCell ref="ES282:EU282"/>
    <mergeCell ref="FM294:FO294"/>
    <mergeCell ref="FP294:FX294"/>
    <mergeCell ref="FM295:FO295"/>
    <mergeCell ref="FP265:FX265"/>
    <mergeCell ref="FM266:FO266"/>
    <mergeCell ref="FP266:FX266"/>
    <mergeCell ref="FM267:FO267"/>
    <mergeCell ref="FP267:FX267"/>
    <mergeCell ref="FM268:FO268"/>
    <mergeCell ref="FP268:FX268"/>
    <mergeCell ref="EV282:FD282"/>
    <mergeCell ref="ES283:EU283"/>
    <mergeCell ref="EV283:FD283"/>
    <mergeCell ref="ES284:EU284"/>
    <mergeCell ref="EV284:FD284"/>
    <mergeCell ref="ES285:EU285"/>
    <mergeCell ref="EV285:FD285"/>
    <mergeCell ref="ES293:EU293"/>
    <mergeCell ref="EV293:FD293"/>
    <mergeCell ref="ES294:EU294"/>
    <mergeCell ref="EV294:FD294"/>
    <mergeCell ref="ES295:EU295"/>
    <mergeCell ref="EV295:FD295"/>
    <mergeCell ref="ES269:EU269"/>
    <mergeCell ref="EV269:FD269"/>
    <mergeCell ref="ES270:EU270"/>
    <mergeCell ref="ES287:EU287"/>
    <mergeCell ref="EV287:FD287"/>
    <mergeCell ref="EV272:FD272"/>
    <mergeCell ref="FP275:FX275"/>
    <mergeCell ref="FM301:FO301"/>
    <mergeCell ref="FP301:FX301"/>
    <mergeCell ref="FM302:FO302"/>
    <mergeCell ref="FP302:FX302"/>
    <mergeCell ref="FP293:FX293"/>
    <mergeCell ref="FP291:FX291"/>
    <mergeCell ref="FM292:FO292"/>
    <mergeCell ref="FP292:FX292"/>
    <mergeCell ref="FM287:FO287"/>
    <mergeCell ref="FM256:FO256"/>
    <mergeCell ref="FP256:FX256"/>
    <mergeCell ref="FM257:FO257"/>
    <mergeCell ref="FP257:FX257"/>
    <mergeCell ref="FP269:FX269"/>
    <mergeCell ref="FP260:FX260"/>
    <mergeCell ref="FM269:FO269"/>
    <mergeCell ref="FP295:FX295"/>
    <mergeCell ref="FM258:FO258"/>
    <mergeCell ref="FP258:FX258"/>
    <mergeCell ref="FL322:GB322"/>
    <mergeCell ref="FE323:FK323"/>
    <mergeCell ref="FL323:GB323"/>
    <mergeCell ref="FE324:FK324"/>
    <mergeCell ref="FE322:FK322"/>
    <mergeCell ref="FL315:GB315"/>
    <mergeCell ref="ES324:EU324"/>
    <mergeCell ref="FM279:FO279"/>
    <mergeCell ref="FP279:FX279"/>
    <mergeCell ref="FM280:FO280"/>
    <mergeCell ref="FP280:FX280"/>
    <mergeCell ref="FM281:FO281"/>
    <mergeCell ref="FP281:FX281"/>
    <mergeCell ref="FM282:FO282"/>
    <mergeCell ref="FP282:FX282"/>
    <mergeCell ref="FM283:FO283"/>
    <mergeCell ref="FP283:FX283"/>
    <mergeCell ref="FM284:FO284"/>
    <mergeCell ref="FP284:FX284"/>
    <mergeCell ref="FM285:FO285"/>
    <mergeCell ref="FP285:FX285"/>
    <mergeCell ref="ES300:EU300"/>
    <mergeCell ref="EV300:FD300"/>
    <mergeCell ref="ES301:EU301"/>
    <mergeCell ref="EV301:FD301"/>
    <mergeCell ref="ES302:EU302"/>
    <mergeCell ref="EV302:FD302"/>
    <mergeCell ref="EV289:FD289"/>
    <mergeCell ref="FM289:FO289"/>
    <mergeCell ref="FP289:FX289"/>
    <mergeCell ref="ES297:EU297"/>
    <mergeCell ref="EV297:FD297"/>
    <mergeCell ref="FM277:FO277"/>
    <mergeCell ref="FM286:FO286"/>
    <mergeCell ref="FP286:FX286"/>
    <mergeCell ref="FM293:FO293"/>
    <mergeCell ref="FB307:FD307"/>
    <mergeCell ref="ES318:EU318"/>
    <mergeCell ref="ES319:EU319"/>
    <mergeCell ref="ES320:EU320"/>
    <mergeCell ref="FP296:FX296"/>
    <mergeCell ref="FM297:FO297"/>
    <mergeCell ref="FP297:FX297"/>
    <mergeCell ref="ES288:EU288"/>
    <mergeCell ref="EV288:FD288"/>
    <mergeCell ref="FM220:FO220"/>
    <mergeCell ref="FP220:FX220"/>
    <mergeCell ref="FM221:FO221"/>
    <mergeCell ref="FP221:FX221"/>
    <mergeCell ref="FM223:FO223"/>
    <mergeCell ref="FP223:FX223"/>
    <mergeCell ref="FM224:FO224"/>
    <mergeCell ref="FP224:FX224"/>
    <mergeCell ref="FM225:FO225"/>
    <mergeCell ref="FP225:FX225"/>
    <mergeCell ref="FM226:FO226"/>
    <mergeCell ref="FP226:FX226"/>
    <mergeCell ref="FM227:FO227"/>
    <mergeCell ref="FP227:FX227"/>
    <mergeCell ref="FM228:FO228"/>
    <mergeCell ref="FP228:FX228"/>
    <mergeCell ref="FM229:FO229"/>
    <mergeCell ref="FP229:FX229"/>
    <mergeCell ref="FP222:FX222"/>
    <mergeCell ref="ES303:EU303"/>
    <mergeCell ref="EV303:FD303"/>
    <mergeCell ref="ES296:EU296"/>
    <mergeCell ref="EV296:FD296"/>
    <mergeCell ref="FM239:FO239"/>
    <mergeCell ref="FP239:FX239"/>
    <mergeCell ref="FM240:FO240"/>
    <mergeCell ref="FP240:FX240"/>
    <mergeCell ref="FM242:FO242"/>
    <mergeCell ref="FP242:FX242"/>
    <mergeCell ref="FM243:FO243"/>
    <mergeCell ref="FP243:FX243"/>
    <mergeCell ref="FM244:FO244"/>
    <mergeCell ref="FP244:FX244"/>
    <mergeCell ref="FM245:FO245"/>
    <mergeCell ref="FP245:FX245"/>
    <mergeCell ref="FM246:FO246"/>
    <mergeCell ref="FP246:FX246"/>
    <mergeCell ref="FM247:FO247"/>
    <mergeCell ref="FP247:FX247"/>
    <mergeCell ref="FM248:FO248"/>
    <mergeCell ref="FP248:FX248"/>
    <mergeCell ref="FM241:FO241"/>
    <mergeCell ref="FP241:FX241"/>
    <mergeCell ref="FM270:FO270"/>
    <mergeCell ref="FP270:FX270"/>
    <mergeCell ref="FM271:FO271"/>
    <mergeCell ref="FP271:FX271"/>
    <mergeCell ref="FM272:FO272"/>
    <mergeCell ref="FP272:FX272"/>
    <mergeCell ref="FM273:FO273"/>
    <mergeCell ref="FP273:FX273"/>
    <mergeCell ref="FM274:FO274"/>
    <mergeCell ref="FP274:FX274"/>
    <mergeCell ref="FM275:FO275"/>
    <mergeCell ref="FM262:FO262"/>
    <mergeCell ref="FP262:FX262"/>
    <mergeCell ref="FM263:FO263"/>
    <mergeCell ref="FP263:FX263"/>
    <mergeCell ref="FM264:FO264"/>
    <mergeCell ref="FP264:FX264"/>
    <mergeCell ref="FM265:FO265"/>
    <mergeCell ref="FP299:FX299"/>
    <mergeCell ref="FM300:FO300"/>
    <mergeCell ref="FP300:FX300"/>
    <mergeCell ref="FP177:FX177"/>
    <mergeCell ref="FM178:FO178"/>
    <mergeCell ref="FP178:FX178"/>
    <mergeCell ref="FM179:FO179"/>
    <mergeCell ref="FP179:FX179"/>
    <mergeCell ref="FM180:FO180"/>
    <mergeCell ref="FP180:FX180"/>
    <mergeCell ref="FM181:FO181"/>
    <mergeCell ref="FP181:FX181"/>
    <mergeCell ref="FM182:FO182"/>
    <mergeCell ref="FP182:FX182"/>
    <mergeCell ref="FM164:FO164"/>
    <mergeCell ref="FP164:FX164"/>
    <mergeCell ref="FP217:FX217"/>
    <mergeCell ref="FM218:FO218"/>
    <mergeCell ref="FP218:FX218"/>
    <mergeCell ref="FM219:FO219"/>
    <mergeCell ref="FP219:FX219"/>
    <mergeCell ref="FM201:FO201"/>
    <mergeCell ref="FP201:FX201"/>
    <mergeCell ref="FM202:FO202"/>
    <mergeCell ref="FP202:FX202"/>
    <mergeCell ref="FM204:FO204"/>
    <mergeCell ref="FP204:FX204"/>
    <mergeCell ref="FM205:FO205"/>
    <mergeCell ref="FP205:FX205"/>
    <mergeCell ref="FM206:FO206"/>
    <mergeCell ref="FP206:FX206"/>
    <mergeCell ref="FM207:FO207"/>
    <mergeCell ref="FP207:FX207"/>
    <mergeCell ref="FM208:FO208"/>
    <mergeCell ref="FP208:FX208"/>
    <mergeCell ref="FM209:FO209"/>
    <mergeCell ref="FP209:FX209"/>
    <mergeCell ref="FM210:FO210"/>
    <mergeCell ref="FP210:FX210"/>
    <mergeCell ref="FM203:FO203"/>
    <mergeCell ref="FP203:FX203"/>
    <mergeCell ref="FP167:FX167"/>
    <mergeCell ref="FM168:FO168"/>
    <mergeCell ref="FP168:FX168"/>
    <mergeCell ref="FM169:FO169"/>
    <mergeCell ref="FP169:FX169"/>
    <mergeCell ref="FM170:FO170"/>
    <mergeCell ref="FP170:FX170"/>
    <mergeCell ref="FM171:FO171"/>
    <mergeCell ref="FP171:FX171"/>
    <mergeCell ref="FM172:FO172"/>
    <mergeCell ref="FP172:FX172"/>
    <mergeCell ref="FM173:FO173"/>
    <mergeCell ref="FP173:FX173"/>
    <mergeCell ref="FM174:FO174"/>
    <mergeCell ref="FP174:FX174"/>
    <mergeCell ref="FM175:FO175"/>
    <mergeCell ref="FP175:FX175"/>
    <mergeCell ref="FM176:FO176"/>
    <mergeCell ref="FP176:FX176"/>
    <mergeCell ref="FM254:FO254"/>
    <mergeCell ref="FP254:FX254"/>
    <mergeCell ref="FM255:FO255"/>
    <mergeCell ref="FP255:FX255"/>
    <mergeCell ref="FM211:FO211"/>
    <mergeCell ref="FP211:FX211"/>
    <mergeCell ref="FM212:FO212"/>
    <mergeCell ref="FP212:FX212"/>
    <mergeCell ref="FM213:FO213"/>
    <mergeCell ref="FP213:FX213"/>
    <mergeCell ref="FM214:FO214"/>
    <mergeCell ref="FP214:FX214"/>
    <mergeCell ref="FM215:FO215"/>
    <mergeCell ref="FP215:FX215"/>
    <mergeCell ref="FM216:FO216"/>
    <mergeCell ref="FP216:FX216"/>
    <mergeCell ref="FM217:FO217"/>
    <mergeCell ref="FP72:FX72"/>
    <mergeCell ref="FM73:FO73"/>
    <mergeCell ref="FP73:FX73"/>
    <mergeCell ref="FM74:FO74"/>
    <mergeCell ref="FP74:FX74"/>
    <mergeCell ref="FM79:FO79"/>
    <mergeCell ref="FP79:FX79"/>
    <mergeCell ref="FM80:FO80"/>
    <mergeCell ref="FP80:FX80"/>
    <mergeCell ref="FM81:FO81"/>
    <mergeCell ref="FP81:FX81"/>
    <mergeCell ref="FM82:FO82"/>
    <mergeCell ref="FP82:FX82"/>
    <mergeCell ref="FM136:FO136"/>
    <mergeCell ref="FP136:FX136"/>
    <mergeCell ref="FM137:FO137"/>
    <mergeCell ref="FP137:FX137"/>
    <mergeCell ref="FM138:FO138"/>
    <mergeCell ref="FP138:FX138"/>
    <mergeCell ref="FM139:FO139"/>
    <mergeCell ref="FP139:FX139"/>
    <mergeCell ref="FM140:FO140"/>
    <mergeCell ref="FP140:FX140"/>
    <mergeCell ref="FP91:FX91"/>
    <mergeCell ref="FM92:FO92"/>
    <mergeCell ref="FP92:FX92"/>
    <mergeCell ref="FM93:FO93"/>
    <mergeCell ref="FM112:FO112"/>
    <mergeCell ref="FP112:FX112"/>
    <mergeCell ref="FM104:FO104"/>
    <mergeCell ref="FM96:FO96"/>
    <mergeCell ref="FM99:FO99"/>
    <mergeCell ref="FP99:FX99"/>
    <mergeCell ref="FM103:FO103"/>
    <mergeCell ref="FP103:FX103"/>
    <mergeCell ref="FP96:FX96"/>
    <mergeCell ref="FM97:FO97"/>
    <mergeCell ref="FP94:FX94"/>
    <mergeCell ref="FP105:FX105"/>
    <mergeCell ref="FP110:FX110"/>
    <mergeCell ref="FM100:FO100"/>
    <mergeCell ref="FM109:FO109"/>
    <mergeCell ref="FP109:FX109"/>
    <mergeCell ref="FM110:FO110"/>
    <mergeCell ref="FP97:FX97"/>
    <mergeCell ref="FM98:FO98"/>
    <mergeCell ref="FP98:FX98"/>
    <mergeCell ref="FP249:FX249"/>
    <mergeCell ref="FM250:FO250"/>
    <mergeCell ref="FP250:FX250"/>
    <mergeCell ref="FM251:FO251"/>
    <mergeCell ref="FP251:FX251"/>
    <mergeCell ref="FM252:FO252"/>
    <mergeCell ref="FP252:FX252"/>
    <mergeCell ref="FM253:FO253"/>
    <mergeCell ref="FP253:FX253"/>
    <mergeCell ref="FM192:FO192"/>
    <mergeCell ref="FP192:FX192"/>
    <mergeCell ref="FM193:FO193"/>
    <mergeCell ref="FP193:FX193"/>
    <mergeCell ref="FM194:FO194"/>
    <mergeCell ref="FP194:FX194"/>
    <mergeCell ref="FM195:FO195"/>
    <mergeCell ref="FP195:FX195"/>
    <mergeCell ref="FM196:FO196"/>
    <mergeCell ref="FP196:FX196"/>
    <mergeCell ref="FM197:FO197"/>
    <mergeCell ref="FP197:FX197"/>
    <mergeCell ref="FM198:FO198"/>
    <mergeCell ref="FP198:FX198"/>
    <mergeCell ref="FM199:FO199"/>
    <mergeCell ref="FP199:FX199"/>
    <mergeCell ref="FM200:FO200"/>
    <mergeCell ref="FP200:FX200"/>
    <mergeCell ref="FM183:FO183"/>
    <mergeCell ref="FP183:FX183"/>
    <mergeCell ref="FM184:FO184"/>
    <mergeCell ref="FP184:FX184"/>
    <mergeCell ref="FM185:FO185"/>
    <mergeCell ref="FP185:FX185"/>
    <mergeCell ref="FM186:FO186"/>
    <mergeCell ref="FP186:FX186"/>
    <mergeCell ref="FM187:FO187"/>
    <mergeCell ref="FP187:FX187"/>
    <mergeCell ref="FM188:FO188"/>
    <mergeCell ref="FP188:FX188"/>
    <mergeCell ref="FM189:FO189"/>
    <mergeCell ref="FP189:FX189"/>
    <mergeCell ref="FM190:FO190"/>
    <mergeCell ref="FP190:FX190"/>
    <mergeCell ref="FM191:FO191"/>
    <mergeCell ref="FP191:FX191"/>
    <mergeCell ref="FM249:FO249"/>
    <mergeCell ref="FM230:FO230"/>
    <mergeCell ref="FP230:FX230"/>
    <mergeCell ref="FM231:FO231"/>
    <mergeCell ref="FP231:FX231"/>
    <mergeCell ref="FM232:FO232"/>
    <mergeCell ref="FP232:FX232"/>
    <mergeCell ref="FM233:FO233"/>
    <mergeCell ref="FP233:FX233"/>
    <mergeCell ref="FM234:FO234"/>
    <mergeCell ref="FP234:FX234"/>
    <mergeCell ref="FM235:FO235"/>
    <mergeCell ref="FP235:FX235"/>
    <mergeCell ref="FM236:FO236"/>
    <mergeCell ref="FP236:FX236"/>
    <mergeCell ref="FM237:FO237"/>
    <mergeCell ref="FP237:FX237"/>
    <mergeCell ref="FM238:FO238"/>
    <mergeCell ref="FP238:FX238"/>
    <mergeCell ref="ES239:EU239"/>
    <mergeCell ref="EV239:FD239"/>
    <mergeCell ref="ES240:EU240"/>
    <mergeCell ref="EV249:FD249"/>
    <mergeCell ref="ES229:EU229"/>
    <mergeCell ref="EV229:FD229"/>
    <mergeCell ref="ES264:EU264"/>
    <mergeCell ref="EV264:FD264"/>
    <mergeCell ref="ES265:EU265"/>
    <mergeCell ref="EV265:FD265"/>
    <mergeCell ref="ES266:EU266"/>
    <mergeCell ref="EV270:FD270"/>
    <mergeCell ref="ES271:EU271"/>
    <mergeCell ref="EV271:FD271"/>
    <mergeCell ref="ES243:EU243"/>
    <mergeCell ref="EV243:FD243"/>
    <mergeCell ref="EV266:FD266"/>
    <mergeCell ref="ES245:EU245"/>
    <mergeCell ref="EV245:FD245"/>
    <mergeCell ref="ES246:EU246"/>
    <mergeCell ref="EV246:FD246"/>
    <mergeCell ref="ES247:EU247"/>
    <mergeCell ref="EV247:FD247"/>
    <mergeCell ref="ES248:EU248"/>
    <mergeCell ref="EV248:FD248"/>
    <mergeCell ref="ES249:EU249"/>
    <mergeCell ref="ES263:EU263"/>
    <mergeCell ref="EV263:FD263"/>
    <mergeCell ref="ES255:EU255"/>
    <mergeCell ref="EV255:FD255"/>
    <mergeCell ref="ES251:EU251"/>
    <mergeCell ref="EV251:FD251"/>
    <mergeCell ref="ES252:EU252"/>
    <mergeCell ref="EV252:FD252"/>
    <mergeCell ref="ES253:EU253"/>
    <mergeCell ref="EV254:FD254"/>
    <mergeCell ref="ES257:EU257"/>
    <mergeCell ref="EV257:FD257"/>
    <mergeCell ref="ES258:EU258"/>
    <mergeCell ref="EV258:FD258"/>
    <mergeCell ref="ES259:EU259"/>
    <mergeCell ref="EV259:FD259"/>
    <mergeCell ref="ES260:EU260"/>
    <mergeCell ref="EV260:FD260"/>
    <mergeCell ref="ES261:EU261"/>
    <mergeCell ref="EV240:FD240"/>
    <mergeCell ref="ES241:EU241"/>
    <mergeCell ref="EV241:FD241"/>
    <mergeCell ref="EV261:FD261"/>
    <mergeCell ref="EV253:FD253"/>
    <mergeCell ref="ES254:EU254"/>
    <mergeCell ref="ES242:EU242"/>
    <mergeCell ref="EV242:FD242"/>
    <mergeCell ref="EV211:FD211"/>
    <mergeCell ref="EV192:FD192"/>
    <mergeCell ref="ES193:EU193"/>
    <mergeCell ref="EV193:FD193"/>
    <mergeCell ref="ES194:EU194"/>
    <mergeCell ref="EV194:FD194"/>
    <mergeCell ref="ES197:EU197"/>
    <mergeCell ref="EV197:FD197"/>
    <mergeCell ref="ES198:EU198"/>
    <mergeCell ref="EV198:FD198"/>
    <mergeCell ref="ES199:EU199"/>
    <mergeCell ref="EV199:FD199"/>
    <mergeCell ref="ES213:EU213"/>
    <mergeCell ref="EV213:FD213"/>
    <mergeCell ref="ES215:EU215"/>
    <mergeCell ref="ES219:EU219"/>
    <mergeCell ref="EV219:FD219"/>
    <mergeCell ref="ES207:EU207"/>
    <mergeCell ref="EV207:FD207"/>
    <mergeCell ref="ES195:EU195"/>
    <mergeCell ref="EV195:FD195"/>
    <mergeCell ref="ES230:EU230"/>
    <mergeCell ref="EV230:FD230"/>
    <mergeCell ref="ES233:EU233"/>
    <mergeCell ref="EV233:FD233"/>
    <mergeCell ref="ES234:EU234"/>
    <mergeCell ref="EV234:FD234"/>
    <mergeCell ref="ES235:EU235"/>
    <mergeCell ref="EV235:FD235"/>
    <mergeCell ref="ES236:EU236"/>
    <mergeCell ref="EV236:FD236"/>
    <mergeCell ref="ES237:EU237"/>
    <mergeCell ref="EV237:FD237"/>
    <mergeCell ref="ES224:EU224"/>
    <mergeCell ref="EV224:FD224"/>
    <mergeCell ref="ES225:EU225"/>
    <mergeCell ref="EV225:FD225"/>
    <mergeCell ref="ES227:EU227"/>
    <mergeCell ref="EV227:FD227"/>
    <mergeCell ref="ES228:EU228"/>
    <mergeCell ref="EV228:FD228"/>
    <mergeCell ref="FP113:FX113"/>
    <mergeCell ref="FM114:FO114"/>
    <mergeCell ref="FP114:FX114"/>
    <mergeCell ref="FM115:FO115"/>
    <mergeCell ref="FP115:FX115"/>
    <mergeCell ref="FM116:FO116"/>
    <mergeCell ref="FP116:FX116"/>
    <mergeCell ref="FM117:FO117"/>
    <mergeCell ref="FP147:FX147"/>
    <mergeCell ref="FM148:FO148"/>
    <mergeCell ref="FP148:FX148"/>
    <mergeCell ref="FM149:FO149"/>
    <mergeCell ref="FP149:FX149"/>
    <mergeCell ref="FM150:FO150"/>
    <mergeCell ref="FP150:FX150"/>
    <mergeCell ref="EV176:FD176"/>
    <mergeCell ref="ES177:EU177"/>
    <mergeCell ref="EV177:FD177"/>
    <mergeCell ref="ES179:EU179"/>
    <mergeCell ref="EV179:FD179"/>
    <mergeCell ref="FM144:FO144"/>
    <mergeCell ref="FP144:FX144"/>
    <mergeCell ref="FP117:FX117"/>
    <mergeCell ref="FM118:FO118"/>
    <mergeCell ref="FP118:FX118"/>
    <mergeCell ref="FM129:FO129"/>
    <mergeCell ref="FP129:FX129"/>
    <mergeCell ref="FM130:FO130"/>
    <mergeCell ref="FP130:FX130"/>
    <mergeCell ref="FM131:FO131"/>
    <mergeCell ref="FP131:FX131"/>
    <mergeCell ref="FM132:FO132"/>
    <mergeCell ref="FP132:FX132"/>
    <mergeCell ref="FM133:FO133"/>
    <mergeCell ref="FP133:FX133"/>
    <mergeCell ref="FM154:FO154"/>
    <mergeCell ref="FP154:FX154"/>
    <mergeCell ref="FM155:FO155"/>
    <mergeCell ref="FP155:FX155"/>
    <mergeCell ref="FM157:FO157"/>
    <mergeCell ref="FP157:FX157"/>
    <mergeCell ref="FM158:FO158"/>
    <mergeCell ref="FP158:FX158"/>
    <mergeCell ref="ES173:EU173"/>
    <mergeCell ref="EV173:FD173"/>
    <mergeCell ref="EV121:FD121"/>
    <mergeCell ref="FM160:FO160"/>
    <mergeCell ref="FP160:FX160"/>
    <mergeCell ref="FM161:FO161"/>
    <mergeCell ref="FP161:FX161"/>
    <mergeCell ref="FM162:FO162"/>
    <mergeCell ref="FP162:FX162"/>
    <mergeCell ref="FM163:FO163"/>
    <mergeCell ref="FP163:FX163"/>
    <mergeCell ref="FP124:FX124"/>
    <mergeCell ref="EV156:FD156"/>
    <mergeCell ref="ES157:EU157"/>
    <mergeCell ref="EV157:FD157"/>
    <mergeCell ref="FM145:FO145"/>
    <mergeCell ref="FP145:FX145"/>
    <mergeCell ref="FM165:FO165"/>
    <mergeCell ref="FP165:FX165"/>
    <mergeCell ref="FM167:FO167"/>
    <mergeCell ref="FM177:FO177"/>
    <mergeCell ref="FP146:FX146"/>
    <mergeCell ref="FM147:FO147"/>
    <mergeCell ref="FM159:FO159"/>
    <mergeCell ref="FP159:FX159"/>
    <mergeCell ref="ES138:EU138"/>
    <mergeCell ref="EV122:FD122"/>
    <mergeCell ref="ES123:EU123"/>
    <mergeCell ref="EV123:FD123"/>
    <mergeCell ref="ES125:EU125"/>
    <mergeCell ref="ES113:EU113"/>
    <mergeCell ref="ES188:EU188"/>
    <mergeCell ref="EV188:FD188"/>
    <mergeCell ref="FP93:FX93"/>
    <mergeCell ref="FM94:FO94"/>
    <mergeCell ref="FM134:FO134"/>
    <mergeCell ref="FP134:FX134"/>
    <mergeCell ref="FM135:FO135"/>
    <mergeCell ref="FP135:FX135"/>
    <mergeCell ref="FM120:FO120"/>
    <mergeCell ref="FP120:FX120"/>
    <mergeCell ref="FM121:FO121"/>
    <mergeCell ref="FP121:FX121"/>
    <mergeCell ref="FM122:FO122"/>
    <mergeCell ref="FP122:FX122"/>
    <mergeCell ref="FM123:FO123"/>
    <mergeCell ref="FP123:FX123"/>
    <mergeCell ref="FM119:FO119"/>
    <mergeCell ref="FP119:FX119"/>
    <mergeCell ref="FM126:FO126"/>
    <mergeCell ref="FP126:FX126"/>
    <mergeCell ref="FM127:FO127"/>
    <mergeCell ref="FP127:FX127"/>
    <mergeCell ref="FM128:FO128"/>
    <mergeCell ref="FM125:FO125"/>
    <mergeCell ref="FP125:FX125"/>
    <mergeCell ref="FM141:FO141"/>
    <mergeCell ref="FP141:FX141"/>
    <mergeCell ref="FM142:FO142"/>
    <mergeCell ref="FP142:FX142"/>
    <mergeCell ref="FM143:FO143"/>
    <mergeCell ref="FP143:FX143"/>
    <mergeCell ref="FM108:FO108"/>
    <mergeCell ref="FP108:FX108"/>
    <mergeCell ref="ES180:EU180"/>
    <mergeCell ref="EV180:FD180"/>
    <mergeCell ref="ES181:EU181"/>
    <mergeCell ref="EV181:FD181"/>
    <mergeCell ref="ES182:EU182"/>
    <mergeCell ref="EV182:FD182"/>
    <mergeCell ref="ES185:EU185"/>
    <mergeCell ref="EV185:FD185"/>
    <mergeCell ref="ES186:EU186"/>
    <mergeCell ref="EV186:FD186"/>
    <mergeCell ref="ES187:EU187"/>
    <mergeCell ref="EV187:FD187"/>
    <mergeCell ref="ES174:EU174"/>
    <mergeCell ref="EV174:FD174"/>
    <mergeCell ref="EV143:FD143"/>
    <mergeCell ref="ES144:EU144"/>
    <mergeCell ref="EV144:FD144"/>
    <mergeCell ref="EV128:FD128"/>
    <mergeCell ref="ES129:EU129"/>
    <mergeCell ref="EV129:FD129"/>
    <mergeCell ref="FM113:FO113"/>
    <mergeCell ref="FP151:FX151"/>
    <mergeCell ref="FM152:FO152"/>
    <mergeCell ref="FP152:FX152"/>
    <mergeCell ref="FM153:FO153"/>
    <mergeCell ref="EV149:FD149"/>
    <mergeCell ref="ES150:EU150"/>
    <mergeCell ref="ES153:EU153"/>
    <mergeCell ref="EV153:FD153"/>
    <mergeCell ref="ES101:EU101"/>
    <mergeCell ref="EV101:FD101"/>
    <mergeCell ref="ES102:EU102"/>
    <mergeCell ref="EV102:FD102"/>
    <mergeCell ref="ES103:EU103"/>
    <mergeCell ref="EV103:FD103"/>
    <mergeCell ref="FM95:FO95"/>
    <mergeCell ref="FP95:FX95"/>
    <mergeCell ref="FP153:FX153"/>
    <mergeCell ref="FM156:FO156"/>
    <mergeCell ref="FP156:FX156"/>
    <mergeCell ref="FE706:FK706"/>
    <mergeCell ref="FE707:FK707"/>
    <mergeCell ref="FE708:FK708"/>
    <mergeCell ref="FE643:FK643"/>
    <mergeCell ref="FE644:FK644"/>
    <mergeCell ref="FE624:FK624"/>
    <mergeCell ref="FE625:FK625"/>
    <mergeCell ref="FE617:FK617"/>
    <mergeCell ref="FE618:FK618"/>
    <mergeCell ref="FE619:FK619"/>
    <mergeCell ref="FE620:FK620"/>
    <mergeCell ref="FE621:FK621"/>
    <mergeCell ref="FE622:FK622"/>
    <mergeCell ref="FE623:FK623"/>
    <mergeCell ref="FE462:FK462"/>
    <mergeCell ref="FE463:FK463"/>
    <mergeCell ref="FE464:FK464"/>
    <mergeCell ref="FE465:FK465"/>
    <mergeCell ref="FE466:FK466"/>
    <mergeCell ref="FE467:FK467"/>
    <mergeCell ref="FE491:FK491"/>
    <mergeCell ref="FE609:FK609"/>
    <mergeCell ref="FE610:FK610"/>
    <mergeCell ref="FE577:FK577"/>
    <mergeCell ref="FE578:FK578"/>
    <mergeCell ref="FE579:FK579"/>
    <mergeCell ref="FE543:FK543"/>
    <mergeCell ref="FE580:FK580"/>
    <mergeCell ref="FE581:FK581"/>
    <mergeCell ref="FE582:FK582"/>
    <mergeCell ref="FE583:FK583"/>
    <mergeCell ref="FE584:FK584"/>
    <mergeCell ref="FE585:FK585"/>
    <mergeCell ref="FE436:FK436"/>
    <mergeCell ref="FE704:FK704"/>
    <mergeCell ref="FE705:FK705"/>
    <mergeCell ref="FE684:FK684"/>
    <mergeCell ref="ES95:EU95"/>
    <mergeCell ref="FE604:FK604"/>
    <mergeCell ref="FE605:FK605"/>
    <mergeCell ref="FE694:FK694"/>
    <mergeCell ref="FE695:FK695"/>
    <mergeCell ref="FE696:FK696"/>
    <mergeCell ref="FE697:FK697"/>
    <mergeCell ref="FM146:FO146"/>
    <mergeCell ref="FE595:FK595"/>
    <mergeCell ref="FE606:FK606"/>
    <mergeCell ref="FE607:FK607"/>
    <mergeCell ref="FE608:FK608"/>
    <mergeCell ref="FE632:FK632"/>
    <mergeCell ref="FE633:FK633"/>
    <mergeCell ref="FE634:FK634"/>
    <mergeCell ref="FE635:FK635"/>
    <mergeCell ref="FE636:FK636"/>
    <mergeCell ref="FE637:FK637"/>
    <mergeCell ref="FE638:FK638"/>
    <mergeCell ref="FE572:FK572"/>
    <mergeCell ref="FE573:FK573"/>
    <mergeCell ref="FE574:FK574"/>
    <mergeCell ref="FE630:FK630"/>
    <mergeCell ref="FE631:FK631"/>
    <mergeCell ref="FE639:FK639"/>
    <mergeCell ref="FE640:FK640"/>
    <mergeCell ref="FE641:FK641"/>
    <mergeCell ref="FE642:FK642"/>
    <mergeCell ref="FE421:FK421"/>
    <mergeCell ref="FE480:FK480"/>
    <mergeCell ref="FE483:FK483"/>
    <mergeCell ref="FE429:FK429"/>
    <mergeCell ref="FE430:FK430"/>
    <mergeCell ref="FE431:FK431"/>
    <mergeCell ref="FE432:FK432"/>
    <mergeCell ref="FE433:FK433"/>
    <mergeCell ref="FE434:FK434"/>
    <mergeCell ref="FE435:FK435"/>
    <mergeCell ref="FE586:FK586"/>
    <mergeCell ref="FE587:FK587"/>
    <mergeCell ref="FE492:FK492"/>
    <mergeCell ref="FE493:FK493"/>
    <mergeCell ref="FE494:FK494"/>
    <mergeCell ref="FE495:FK495"/>
    <mergeCell ref="FE507:FK507"/>
    <mergeCell ref="FE508:FK508"/>
    <mergeCell ref="FE509:FK509"/>
    <mergeCell ref="FE510:FK510"/>
    <mergeCell ref="FE499:FK499"/>
    <mergeCell ref="FE500:FK500"/>
    <mergeCell ref="FE562:FK562"/>
    <mergeCell ref="FE563:FK563"/>
    <mergeCell ref="FE564:FK564"/>
    <mergeCell ref="FE565:FK565"/>
    <mergeCell ref="FE566:FK566"/>
    <mergeCell ref="FE567:FK567"/>
    <mergeCell ref="FE505:FK505"/>
    <mergeCell ref="FE506:FK506"/>
    <mergeCell ref="FE511:FK511"/>
    <mergeCell ref="FE476:FK476"/>
    <mergeCell ref="FE453:FK453"/>
    <mergeCell ref="FE611:FK611"/>
    <mergeCell ref="FE593:FK593"/>
    <mergeCell ref="FE594:FK594"/>
    <mergeCell ref="FE612:FK612"/>
    <mergeCell ref="FE613:FK613"/>
    <mergeCell ref="FE614:FK614"/>
    <mergeCell ref="FE588:FK588"/>
    <mergeCell ref="FE589:FK589"/>
    <mergeCell ref="FE590:FK590"/>
    <mergeCell ref="FE591:FK591"/>
    <mergeCell ref="FE592:FK592"/>
    <mergeCell ref="HS573:HT573"/>
    <mergeCell ref="FE428:FK428"/>
    <mergeCell ref="FE389:FK389"/>
    <mergeCell ref="FE390:FK390"/>
    <mergeCell ref="FE391:FK391"/>
    <mergeCell ref="FE420:FK420"/>
    <mergeCell ref="FE399:FK399"/>
    <mergeCell ref="FE416:FK416"/>
    <mergeCell ref="FE422:FK422"/>
    <mergeCell ref="FE424:FK424"/>
    <mergeCell ref="FE425:FK425"/>
    <mergeCell ref="FE426:FK426"/>
    <mergeCell ref="HS460:HT460"/>
    <mergeCell ref="HS461:HT461"/>
    <mergeCell ref="HS462:HT462"/>
    <mergeCell ref="HS463:HT463"/>
    <mergeCell ref="HS464:HT464"/>
    <mergeCell ref="HS465:HT465"/>
    <mergeCell ref="HS466:HT466"/>
    <mergeCell ref="HS467:HT467"/>
    <mergeCell ref="HS468:HT468"/>
    <mergeCell ref="HS469:HT469"/>
    <mergeCell ref="HS470:HT470"/>
    <mergeCell ref="HS471:HT471"/>
    <mergeCell ref="HS472:HT472"/>
    <mergeCell ref="HS473:HT473"/>
    <mergeCell ref="HS474:HT474"/>
    <mergeCell ref="HS475:HT475"/>
    <mergeCell ref="HS476:HT476"/>
    <mergeCell ref="HS538:HT538"/>
    <mergeCell ref="HS539:HT539"/>
    <mergeCell ref="HS540:HT540"/>
    <mergeCell ref="HS541:HT541"/>
    <mergeCell ref="HS542:HT542"/>
    <mergeCell ref="HS543:HT543"/>
    <mergeCell ref="HS544:HT544"/>
    <mergeCell ref="HS547:HT547"/>
    <mergeCell ref="HS552:HT552"/>
    <mergeCell ref="HS391:HT391"/>
    <mergeCell ref="HS508:HT508"/>
    <mergeCell ref="HS511:HT511"/>
    <mergeCell ref="HS512:HT512"/>
    <mergeCell ref="HS479:HT479"/>
    <mergeCell ref="HS480:HT480"/>
    <mergeCell ref="HS481:HT481"/>
    <mergeCell ref="HS482:HT482"/>
    <mergeCell ref="HS483:HT483"/>
    <mergeCell ref="FE402:FK402"/>
    <mergeCell ref="FE403:FK403"/>
    <mergeCell ref="FE404:FK404"/>
    <mergeCell ref="FE427:FK427"/>
    <mergeCell ref="FE405:FK405"/>
    <mergeCell ref="FE392:FK392"/>
    <mergeCell ref="FE393:FK393"/>
    <mergeCell ref="FE394:FK394"/>
    <mergeCell ref="FE395:FK395"/>
    <mergeCell ref="FE396:FK396"/>
    <mergeCell ref="FE397:FK397"/>
    <mergeCell ref="FE398:FK398"/>
    <mergeCell ref="FE423:FK423"/>
    <mergeCell ref="FE497:FK497"/>
    <mergeCell ref="FE498:FK498"/>
    <mergeCell ref="FE437:FK437"/>
    <mergeCell ref="FE438:FK438"/>
    <mergeCell ref="HS1501:HT1501"/>
    <mergeCell ref="HS753:HT753"/>
    <mergeCell ref="HS732:HT732"/>
    <mergeCell ref="HS733:HT733"/>
    <mergeCell ref="HS734:HT734"/>
    <mergeCell ref="HS735:HT735"/>
    <mergeCell ref="HS736:HT736"/>
    <mergeCell ref="HS737:HT737"/>
    <mergeCell ref="HS738:HT738"/>
    <mergeCell ref="HS739:HT739"/>
    <mergeCell ref="HS740:HT740"/>
    <mergeCell ref="HS741:HT741"/>
    <mergeCell ref="HS742:HT742"/>
    <mergeCell ref="HS743:HT743"/>
    <mergeCell ref="HS744:HT744"/>
    <mergeCell ref="HS715:HT715"/>
    <mergeCell ref="HS716:HT716"/>
    <mergeCell ref="HS754:HT754"/>
    <mergeCell ref="HS698:HT698"/>
    <mergeCell ref="HS699:HT699"/>
    <mergeCell ref="HS700:HT700"/>
    <mergeCell ref="HS701:HT701"/>
    <mergeCell ref="HS702:HT702"/>
    <mergeCell ref="HS703:HT703"/>
    <mergeCell ref="HS704:HT704"/>
    <mergeCell ref="HS705:HT705"/>
    <mergeCell ref="HS706:HT706"/>
    <mergeCell ref="HS707:HT707"/>
    <mergeCell ref="HS708:HT708"/>
    <mergeCell ref="HS709:HT709"/>
    <mergeCell ref="HS683:HT683"/>
    <mergeCell ref="HS684:HT684"/>
    <mergeCell ref="FE496:FK496"/>
    <mergeCell ref="FE536:FK536"/>
    <mergeCell ref="FE537:FK537"/>
    <mergeCell ref="HS688:HT688"/>
    <mergeCell ref="HS689:HT689"/>
    <mergeCell ref="HS690:HT690"/>
    <mergeCell ref="HS691:HT691"/>
    <mergeCell ref="HS692:HT692"/>
    <mergeCell ref="HS693:HT693"/>
    <mergeCell ref="HS694:HT694"/>
    <mergeCell ref="HS695:HT695"/>
    <mergeCell ref="HS696:HT696"/>
    <mergeCell ref="HS697:HT697"/>
    <mergeCell ref="HS553:HT553"/>
    <mergeCell ref="HS554:HT554"/>
    <mergeCell ref="HS555:HT555"/>
    <mergeCell ref="HS556:HT556"/>
    <mergeCell ref="HS557:HT557"/>
    <mergeCell ref="HS680:HT680"/>
    <mergeCell ref="HS681:HT681"/>
    <mergeCell ref="HS682:HT682"/>
    <mergeCell ref="HS562:HT562"/>
    <mergeCell ref="HS563:HT563"/>
    <mergeCell ref="HS564:HT564"/>
    <mergeCell ref="HS565:HT565"/>
    <mergeCell ref="HS566:HT566"/>
    <mergeCell ref="HS567:HT567"/>
    <mergeCell ref="HS568:HT568"/>
    <mergeCell ref="HS534:HT534"/>
    <mergeCell ref="HS535:HT535"/>
    <mergeCell ref="HS536:HT536"/>
    <mergeCell ref="HS537:HT537"/>
    <mergeCell ref="HS1502:HT1502"/>
    <mergeCell ref="HS1503:HT1503"/>
    <mergeCell ref="HS1504:HT1504"/>
    <mergeCell ref="HS1505:HT1505"/>
    <mergeCell ref="HS1506:HT1506"/>
    <mergeCell ref="HS1507:HT1507"/>
    <mergeCell ref="HS766:HT766"/>
    <mergeCell ref="HS767:HT767"/>
    <mergeCell ref="HS768:HT768"/>
    <mergeCell ref="HS769:HT769"/>
    <mergeCell ref="HS770:HT770"/>
    <mergeCell ref="HS771:HT771"/>
    <mergeCell ref="HS772:HT772"/>
    <mergeCell ref="HS773:HT773"/>
    <mergeCell ref="HS774:HT774"/>
    <mergeCell ref="HS775:HT775"/>
    <mergeCell ref="HS776:HT776"/>
    <mergeCell ref="HS777:HT777"/>
    <mergeCell ref="HS778:HT778"/>
    <mergeCell ref="HS779:HT779"/>
    <mergeCell ref="HS780:HT780"/>
    <mergeCell ref="HS781:HT781"/>
    <mergeCell ref="HS782:HT782"/>
    <mergeCell ref="HS785:HT785"/>
    <mergeCell ref="HS786:HT786"/>
    <mergeCell ref="HS787:HT787"/>
    <mergeCell ref="HS788:HT788"/>
    <mergeCell ref="HS676:HT676"/>
    <mergeCell ref="HS677:HT677"/>
    <mergeCell ref="HS678:HT678"/>
    <mergeCell ref="HS647:HT647"/>
    <mergeCell ref="HS648:HT648"/>
    <mergeCell ref="HS615:HT615"/>
    <mergeCell ref="HS616:HT616"/>
    <mergeCell ref="HS617:HT617"/>
    <mergeCell ref="HS618:HT618"/>
    <mergeCell ref="HS619:HT619"/>
    <mergeCell ref="HS620:HT620"/>
    <mergeCell ref="HS621:HT621"/>
    <mergeCell ref="HS622:HT622"/>
    <mergeCell ref="HS623:HT623"/>
    <mergeCell ref="HS624:HT624"/>
    <mergeCell ref="HS625:HT625"/>
    <mergeCell ref="HS626:HT626"/>
    <mergeCell ref="HS627:HT627"/>
    <mergeCell ref="HS628:HT628"/>
    <mergeCell ref="HS629:HT629"/>
    <mergeCell ref="HS645:HT645"/>
    <mergeCell ref="HS646:HT646"/>
    <mergeCell ref="HS633:HT633"/>
    <mergeCell ref="HS634:HT634"/>
    <mergeCell ref="HS635:HT635"/>
    <mergeCell ref="HS636:HT636"/>
    <mergeCell ref="HS637:HT637"/>
    <mergeCell ref="HS638:HT638"/>
    <mergeCell ref="HS639:HT639"/>
    <mergeCell ref="HS640:HT640"/>
    <mergeCell ref="HS641:HT641"/>
    <mergeCell ref="HS642:HT642"/>
    <mergeCell ref="HS679:HT679"/>
    <mergeCell ref="HS783:HT783"/>
    <mergeCell ref="HS784:HT784"/>
    <mergeCell ref="HS751:HT751"/>
    <mergeCell ref="HS752:HT752"/>
    <mergeCell ref="HS309:HT309"/>
    <mergeCell ref="HS310:HT310"/>
    <mergeCell ref="HS311:HT311"/>
    <mergeCell ref="HS312:HT312"/>
    <mergeCell ref="HS313:HT313"/>
    <mergeCell ref="HS314:HT314"/>
    <mergeCell ref="HS315:HT315"/>
    <mergeCell ref="HS316:HT316"/>
    <mergeCell ref="HS317:HT317"/>
    <mergeCell ref="HS318:HT318"/>
    <mergeCell ref="HS319:HT319"/>
    <mergeCell ref="HS320:HT320"/>
    <mergeCell ref="HS321:HT321"/>
    <mergeCell ref="HS322:HT322"/>
    <mergeCell ref="HS323:HT323"/>
    <mergeCell ref="HS324:HT324"/>
    <mergeCell ref="HS325:HT325"/>
    <mergeCell ref="HS326:HT326"/>
    <mergeCell ref="HS327:HT327"/>
    <mergeCell ref="HS328:HT328"/>
    <mergeCell ref="HS329:HT329"/>
    <mergeCell ref="HS330:HT330"/>
    <mergeCell ref="HS331:HT331"/>
    <mergeCell ref="HS332:HT332"/>
    <mergeCell ref="HS426:HT426"/>
    <mergeCell ref="HS427:HT427"/>
    <mergeCell ref="HS428:HT428"/>
    <mergeCell ref="HS429:HT429"/>
    <mergeCell ref="HS430:HT430"/>
    <mergeCell ref="HS431:HT431"/>
    <mergeCell ref="HS432:HT432"/>
    <mergeCell ref="HS433:HT433"/>
    <mergeCell ref="HS434:HT434"/>
    <mergeCell ref="HS392:HT392"/>
    <mergeCell ref="HS393:HT393"/>
    <mergeCell ref="HS394:HT394"/>
    <mergeCell ref="HS395:HT395"/>
    <mergeCell ref="HS396:HT396"/>
    <mergeCell ref="HS397:HT397"/>
    <mergeCell ref="HS398:HT398"/>
    <mergeCell ref="HS399:HT399"/>
    <mergeCell ref="HS400:HT400"/>
    <mergeCell ref="HS401:HT401"/>
    <mergeCell ref="HS402:HT402"/>
    <mergeCell ref="HS403:HT403"/>
    <mergeCell ref="HS404:HT404"/>
    <mergeCell ref="HS405:HT405"/>
    <mergeCell ref="HS420:HT420"/>
    <mergeCell ref="HS421:HT421"/>
    <mergeCell ref="HS377:HT377"/>
    <mergeCell ref="HS378:HT378"/>
    <mergeCell ref="HS379:HT379"/>
    <mergeCell ref="HS380:HT380"/>
    <mergeCell ref="HS381:HT381"/>
    <mergeCell ref="HS386:HT386"/>
    <mergeCell ref="HS387:HT387"/>
    <mergeCell ref="HS388:HT388"/>
    <mergeCell ref="HS389:HT389"/>
    <mergeCell ref="HS390:HT390"/>
    <mergeCell ref="HS333:HT333"/>
    <mergeCell ref="HS334:HT334"/>
    <mergeCell ref="HS335:HT335"/>
    <mergeCell ref="HS336:HT336"/>
    <mergeCell ref="HS337:HT337"/>
    <mergeCell ref="HS755:HT755"/>
    <mergeCell ref="HS756:HT756"/>
    <mergeCell ref="HS757:HT757"/>
    <mergeCell ref="HS758:HT758"/>
    <mergeCell ref="HS759:HT759"/>
    <mergeCell ref="HS760:HT760"/>
    <mergeCell ref="HS761:HT761"/>
    <mergeCell ref="HS762:HT762"/>
    <mergeCell ref="HS763:HT763"/>
    <mergeCell ref="HS764:HT764"/>
    <mergeCell ref="HS765:HT765"/>
    <mergeCell ref="HS749:HT749"/>
    <mergeCell ref="HS750:HT750"/>
    <mergeCell ref="HS717:HT717"/>
    <mergeCell ref="HS718:HT718"/>
    <mergeCell ref="HS719:HT719"/>
    <mergeCell ref="HS720:HT720"/>
    <mergeCell ref="HS721:HT721"/>
    <mergeCell ref="HS722:HT722"/>
    <mergeCell ref="HS723:HT723"/>
    <mergeCell ref="HS724:HT724"/>
    <mergeCell ref="HS725:HT725"/>
    <mergeCell ref="HS726:HT726"/>
    <mergeCell ref="HS727:HT727"/>
    <mergeCell ref="HS728:HT728"/>
    <mergeCell ref="HS729:HT729"/>
    <mergeCell ref="HS730:HT730"/>
    <mergeCell ref="HS731:HT731"/>
    <mergeCell ref="HS745:HT745"/>
    <mergeCell ref="HS746:HT746"/>
    <mergeCell ref="HS747:HT747"/>
    <mergeCell ref="HS748:HT748"/>
    <mergeCell ref="HS714:HT714"/>
    <mergeCell ref="HS710:HT710"/>
    <mergeCell ref="HS711:HT711"/>
    <mergeCell ref="HS712:HT712"/>
    <mergeCell ref="HS713:HT713"/>
    <mergeCell ref="HS664:HT664"/>
    <mergeCell ref="HS665:HT665"/>
    <mergeCell ref="HS666:HT666"/>
    <mergeCell ref="HS667:HT667"/>
    <mergeCell ref="HS548:HT548"/>
    <mergeCell ref="HS549:HT549"/>
    <mergeCell ref="HS550:HT550"/>
    <mergeCell ref="HS551:HT551"/>
    <mergeCell ref="HS669:HT669"/>
    <mergeCell ref="HS670:HT670"/>
    <mergeCell ref="HS671:HT671"/>
    <mergeCell ref="HS672:HT672"/>
    <mergeCell ref="HS673:HT673"/>
    <mergeCell ref="HS674:HT674"/>
    <mergeCell ref="HS675:HT675"/>
    <mergeCell ref="HS643:HT643"/>
    <mergeCell ref="HS644:HT644"/>
    <mergeCell ref="HS581:HT581"/>
    <mergeCell ref="HS582:HT582"/>
    <mergeCell ref="HS583:HT583"/>
    <mergeCell ref="HS584:HT584"/>
    <mergeCell ref="HS585:HT585"/>
    <mergeCell ref="HS586:HT586"/>
    <mergeCell ref="HS587:HT587"/>
    <mergeCell ref="HS588:HT588"/>
    <mergeCell ref="HS589:HT589"/>
    <mergeCell ref="HS590:HT590"/>
    <mergeCell ref="HS591:HT591"/>
    <mergeCell ref="HS592:HT592"/>
    <mergeCell ref="HS593:HT593"/>
    <mergeCell ref="HS594:HT594"/>
    <mergeCell ref="HS595:HT595"/>
    <mergeCell ref="HS608:HT608"/>
    <mergeCell ref="HS609:HT609"/>
    <mergeCell ref="HS610:HT610"/>
    <mergeCell ref="HS611:HT611"/>
    <mergeCell ref="HS612:HT612"/>
    <mergeCell ref="HS613:HT613"/>
    <mergeCell ref="HS614:HT614"/>
    <mergeCell ref="HS630:HT630"/>
    <mergeCell ref="HS631:HT631"/>
    <mergeCell ref="HS632:HT632"/>
    <mergeCell ref="HS596:HT596"/>
    <mergeCell ref="HS597:HT597"/>
    <mergeCell ref="HS598:HT598"/>
    <mergeCell ref="HS599:HT599"/>
    <mergeCell ref="HS600:HT600"/>
    <mergeCell ref="HS649:HT649"/>
    <mergeCell ref="HS650:HT650"/>
    <mergeCell ref="HS601:HT601"/>
    <mergeCell ref="HS602:HT602"/>
    <mergeCell ref="HS603:HT603"/>
    <mergeCell ref="HS604:HT604"/>
    <mergeCell ref="HS605:HT605"/>
    <mergeCell ref="HS606:HT606"/>
    <mergeCell ref="HS607:HT607"/>
    <mergeCell ref="HS569:HT569"/>
    <mergeCell ref="HS570:HT570"/>
    <mergeCell ref="HS571:HT571"/>
    <mergeCell ref="HS572:HT572"/>
    <mergeCell ref="HS489:HT489"/>
    <mergeCell ref="HS490:HT490"/>
    <mergeCell ref="HS491:HT491"/>
    <mergeCell ref="HS492:HT492"/>
    <mergeCell ref="HS493:HT493"/>
    <mergeCell ref="HS509:HT509"/>
    <mergeCell ref="HS510:HT510"/>
    <mergeCell ref="HS454:HT454"/>
    <mergeCell ref="HS455:HT455"/>
    <mergeCell ref="HS456:HT456"/>
    <mergeCell ref="HS457:HT457"/>
    <mergeCell ref="HS458:HT458"/>
    <mergeCell ref="HS459:HT459"/>
    <mergeCell ref="HS685:HT685"/>
    <mergeCell ref="HS686:HT686"/>
    <mergeCell ref="HS687:HT687"/>
    <mergeCell ref="HS579:HT579"/>
    <mergeCell ref="HS580:HT580"/>
    <mergeCell ref="HS558:HT558"/>
    <mergeCell ref="HS559:HT559"/>
    <mergeCell ref="HS560:HT560"/>
    <mergeCell ref="HS561:HT561"/>
    <mergeCell ref="HS545:HT545"/>
    <mergeCell ref="HS546:HT546"/>
    <mergeCell ref="HS578:HT578"/>
    <mergeCell ref="HS513:HT513"/>
    <mergeCell ref="HS514:HT514"/>
    <mergeCell ref="HS515:HT515"/>
    <mergeCell ref="HS516:HT516"/>
    <mergeCell ref="HS517:HT517"/>
    <mergeCell ref="HS518:HT518"/>
    <mergeCell ref="HS519:HT519"/>
    <mergeCell ref="HS520:HT520"/>
    <mergeCell ref="HS521:HT521"/>
    <mergeCell ref="HS522:HT522"/>
    <mergeCell ref="HS523:HT523"/>
    <mergeCell ref="HS524:HT524"/>
    <mergeCell ref="HS525:HT525"/>
    <mergeCell ref="HS526:HT526"/>
    <mergeCell ref="HS527:HT527"/>
    <mergeCell ref="HS574:HT574"/>
    <mergeCell ref="HS575:HT575"/>
    <mergeCell ref="HS576:HT576"/>
    <mergeCell ref="HS577:HT577"/>
    <mergeCell ref="HS528:HT528"/>
    <mergeCell ref="HS529:HT529"/>
    <mergeCell ref="HS530:HT530"/>
    <mergeCell ref="HS531:HT531"/>
    <mergeCell ref="HS532:HT532"/>
    <mergeCell ref="HS533:HT533"/>
    <mergeCell ref="HS668:HT668"/>
    <mergeCell ref="HS651:HT651"/>
    <mergeCell ref="HS652:HT652"/>
    <mergeCell ref="HS653:HT653"/>
    <mergeCell ref="HS654:HT654"/>
    <mergeCell ref="HS655:HT655"/>
    <mergeCell ref="HS656:HT656"/>
    <mergeCell ref="HS657:HT657"/>
    <mergeCell ref="HS658:HT658"/>
    <mergeCell ref="HS659:HT659"/>
    <mergeCell ref="HS660:HT660"/>
    <mergeCell ref="HS661:HT661"/>
    <mergeCell ref="HS662:HT662"/>
    <mergeCell ref="HS663:HT663"/>
    <mergeCell ref="HS338:HT338"/>
    <mergeCell ref="HS339:HT339"/>
    <mergeCell ref="HS340:HT340"/>
    <mergeCell ref="HS341:HT341"/>
    <mergeCell ref="HS342:HT342"/>
    <mergeCell ref="HS358:HT358"/>
    <mergeCell ref="HS359:HT359"/>
    <mergeCell ref="HS360:HT360"/>
    <mergeCell ref="HS361:HT361"/>
    <mergeCell ref="HS362:HT362"/>
    <mergeCell ref="HS363:HT363"/>
    <mergeCell ref="HS364:HT364"/>
    <mergeCell ref="HS443:HT443"/>
    <mergeCell ref="HS444:HT444"/>
    <mergeCell ref="HS477:HT477"/>
    <mergeCell ref="HS478:HT478"/>
    <mergeCell ref="HS494:HT494"/>
    <mergeCell ref="HS495:HT495"/>
    <mergeCell ref="HS496:HT496"/>
    <mergeCell ref="HS497:HT497"/>
    <mergeCell ref="HS498:HT498"/>
    <mergeCell ref="HS499:HT499"/>
    <mergeCell ref="HS500:HT500"/>
    <mergeCell ref="HS422:HT422"/>
    <mergeCell ref="HS423:HT423"/>
    <mergeCell ref="HS424:HT424"/>
    <mergeCell ref="HS425:HT425"/>
    <mergeCell ref="HS409:HT409"/>
    <mergeCell ref="HS410:HT410"/>
    <mergeCell ref="HS445:HT445"/>
    <mergeCell ref="HS446:HT446"/>
    <mergeCell ref="HS447:HT447"/>
    <mergeCell ref="HS448:HT448"/>
    <mergeCell ref="HS449:HT449"/>
    <mergeCell ref="HS450:HT450"/>
    <mergeCell ref="HS451:HT451"/>
    <mergeCell ref="HS452:HT452"/>
    <mergeCell ref="HS453:HT453"/>
    <mergeCell ref="HS435:HT435"/>
    <mergeCell ref="HS436:HT436"/>
    <mergeCell ref="HS437:HT437"/>
    <mergeCell ref="HS438:HT438"/>
    <mergeCell ref="HS439:HT439"/>
    <mergeCell ref="HS440:HT440"/>
    <mergeCell ref="HS441:HT441"/>
    <mergeCell ref="HS442:HT442"/>
    <mergeCell ref="HS413:HT413"/>
    <mergeCell ref="HS414:HT414"/>
    <mergeCell ref="HS415:HT415"/>
    <mergeCell ref="HS416:HT416"/>
    <mergeCell ref="HS417:HT417"/>
    <mergeCell ref="HS418:HT418"/>
    <mergeCell ref="HS419:HT419"/>
    <mergeCell ref="HS411:HT411"/>
    <mergeCell ref="HS412:HT412"/>
    <mergeCell ref="HS382:HT382"/>
    <mergeCell ref="HS383:HT383"/>
    <mergeCell ref="HS384:HT384"/>
    <mergeCell ref="HS385:HT385"/>
    <mergeCell ref="HS484:HT484"/>
    <mergeCell ref="HS485:HT485"/>
    <mergeCell ref="HS486:HT486"/>
    <mergeCell ref="HS487:HT487"/>
    <mergeCell ref="HS488:HT488"/>
    <mergeCell ref="GX1507:GY1507"/>
    <mergeCell ref="GZ1507:HA1507"/>
    <mergeCell ref="HC1507:HD1507"/>
    <mergeCell ref="HE1507:HF1507"/>
    <mergeCell ref="HH1507:HI1507"/>
    <mergeCell ref="HJ1507:HK1507"/>
    <mergeCell ref="HM1507:HN1507"/>
    <mergeCell ref="HO1507:HP1507"/>
    <mergeCell ref="HQ1507:HR1507"/>
    <mergeCell ref="GX1504:GY1504"/>
    <mergeCell ref="GZ1504:HA1504"/>
    <mergeCell ref="HC1504:HD1504"/>
    <mergeCell ref="HE1504:HF1504"/>
    <mergeCell ref="HH1504:HI1504"/>
    <mergeCell ref="HJ1504:HK1504"/>
    <mergeCell ref="HM1504:HN1504"/>
    <mergeCell ref="HO1504:HP1504"/>
    <mergeCell ref="HQ1504:HR1504"/>
    <mergeCell ref="GX1505:GY1505"/>
    <mergeCell ref="GZ1505:HA1505"/>
    <mergeCell ref="HC1505:HD1505"/>
    <mergeCell ref="HE1505:HF1505"/>
    <mergeCell ref="HH1505:HI1505"/>
    <mergeCell ref="HJ1505:HK1505"/>
    <mergeCell ref="HM1505:HN1505"/>
    <mergeCell ref="HO1505:HP1505"/>
    <mergeCell ref="HQ1505:HR1505"/>
    <mergeCell ref="HS408:HT408"/>
    <mergeCell ref="HS406:HT406"/>
    <mergeCell ref="HS407:HT407"/>
    <mergeCell ref="HS375:HT375"/>
    <mergeCell ref="HS376:HT376"/>
    <mergeCell ref="HS343:HT343"/>
    <mergeCell ref="HS344:HT344"/>
    <mergeCell ref="HS345:HT345"/>
    <mergeCell ref="HS346:HT346"/>
    <mergeCell ref="HS347:HT347"/>
    <mergeCell ref="HS348:HT348"/>
    <mergeCell ref="HS349:HT349"/>
    <mergeCell ref="HS350:HT350"/>
    <mergeCell ref="HS351:HT351"/>
    <mergeCell ref="HS352:HT352"/>
    <mergeCell ref="HS353:HT353"/>
    <mergeCell ref="HS354:HT354"/>
    <mergeCell ref="HS355:HT355"/>
    <mergeCell ref="HS356:HT356"/>
    <mergeCell ref="HS357:HT357"/>
    <mergeCell ref="HS365:HT365"/>
    <mergeCell ref="HS366:HT366"/>
    <mergeCell ref="HS367:HT367"/>
    <mergeCell ref="HS368:HT368"/>
    <mergeCell ref="HS369:HT369"/>
    <mergeCell ref="HS370:HT370"/>
    <mergeCell ref="HS371:HT371"/>
    <mergeCell ref="HS372:HT372"/>
    <mergeCell ref="HS373:HT373"/>
    <mergeCell ref="HS374:HT374"/>
    <mergeCell ref="HS501:HT501"/>
    <mergeCell ref="HS502:HT502"/>
    <mergeCell ref="HS503:HT503"/>
    <mergeCell ref="HS504:HT504"/>
    <mergeCell ref="HS505:HT505"/>
    <mergeCell ref="HS506:HT506"/>
    <mergeCell ref="HS507:HT507"/>
    <mergeCell ref="GX1503:GY1503"/>
    <mergeCell ref="GZ1503:HA1503"/>
    <mergeCell ref="HC1503:HD1503"/>
    <mergeCell ref="HE1503:HF1503"/>
    <mergeCell ref="HH1503:HI1503"/>
    <mergeCell ref="HJ1503:HK1503"/>
    <mergeCell ref="HM1503:HN1503"/>
    <mergeCell ref="HO1503:HP1503"/>
    <mergeCell ref="HQ1503:HR1503"/>
    <mergeCell ref="GX1501:GY1501"/>
    <mergeCell ref="GZ1501:HA1501"/>
    <mergeCell ref="HC1501:HD1501"/>
    <mergeCell ref="HE1501:HF1501"/>
    <mergeCell ref="HH1501:HI1501"/>
    <mergeCell ref="HJ1501:HK1501"/>
    <mergeCell ref="HM1501:HN1501"/>
    <mergeCell ref="HO1501:HP1501"/>
    <mergeCell ref="HQ1501:HR1501"/>
    <mergeCell ref="GX788:GY788"/>
    <mergeCell ref="GZ788:HA788"/>
    <mergeCell ref="HC788:HD788"/>
    <mergeCell ref="HE788:HF788"/>
    <mergeCell ref="HH788:HI788"/>
    <mergeCell ref="HJ788:HK788"/>
    <mergeCell ref="HM788:HN788"/>
    <mergeCell ref="HO788:HP788"/>
    <mergeCell ref="HQ788:HR788"/>
    <mergeCell ref="GX1506:GY1506"/>
    <mergeCell ref="GZ1506:HA1506"/>
    <mergeCell ref="HC1506:HD1506"/>
    <mergeCell ref="HE1506:HF1506"/>
    <mergeCell ref="HH1506:HI1506"/>
    <mergeCell ref="HJ1506:HK1506"/>
    <mergeCell ref="HM1506:HN1506"/>
    <mergeCell ref="HO1506:HP1506"/>
    <mergeCell ref="HQ1506:HR1506"/>
    <mergeCell ref="GX817:GY817"/>
    <mergeCell ref="GX818:GY818"/>
    <mergeCell ref="GX819:GY819"/>
    <mergeCell ref="GX820:GY820"/>
    <mergeCell ref="GX821:GY821"/>
    <mergeCell ref="GX822:GY822"/>
    <mergeCell ref="GX823:GY823"/>
    <mergeCell ref="GX824:GY824"/>
    <mergeCell ref="GX825:GY825"/>
    <mergeCell ref="GX826:GY826"/>
    <mergeCell ref="GX827:GY827"/>
    <mergeCell ref="GX828:GY828"/>
    <mergeCell ref="GX829:GY829"/>
    <mergeCell ref="GX830:GY830"/>
    <mergeCell ref="GX831:GY831"/>
    <mergeCell ref="GX832:GY832"/>
    <mergeCell ref="GX833:GY833"/>
    <mergeCell ref="GX834:GY834"/>
    <mergeCell ref="GX835:GY835"/>
    <mergeCell ref="GX836:GY836"/>
    <mergeCell ref="GX837:GY837"/>
    <mergeCell ref="GX838:GY838"/>
    <mergeCell ref="GX839:GY839"/>
    <mergeCell ref="GX840:GY840"/>
    <mergeCell ref="GX841:GY841"/>
    <mergeCell ref="GX842:GY842"/>
    <mergeCell ref="GX843:GY843"/>
    <mergeCell ref="GX844:GY844"/>
    <mergeCell ref="GX787:GY787"/>
    <mergeCell ref="GZ787:HA787"/>
    <mergeCell ref="HC787:HD787"/>
    <mergeCell ref="HE787:HF787"/>
    <mergeCell ref="HH787:HI787"/>
    <mergeCell ref="HJ787:HK787"/>
    <mergeCell ref="HM787:HN787"/>
    <mergeCell ref="HO787:HP787"/>
    <mergeCell ref="HQ787:HR787"/>
    <mergeCell ref="GX784:GY784"/>
    <mergeCell ref="GZ784:HA784"/>
    <mergeCell ref="HC784:HD784"/>
    <mergeCell ref="HE784:HF784"/>
    <mergeCell ref="HH784:HI784"/>
    <mergeCell ref="HJ784:HK784"/>
    <mergeCell ref="HM784:HN784"/>
    <mergeCell ref="HO784:HP784"/>
    <mergeCell ref="HQ784:HR784"/>
    <mergeCell ref="GX785:GY785"/>
    <mergeCell ref="GZ785:HA785"/>
    <mergeCell ref="HC785:HD785"/>
    <mergeCell ref="HE785:HF785"/>
    <mergeCell ref="HH785:HI785"/>
    <mergeCell ref="HJ785:HK785"/>
    <mergeCell ref="HM785:HN785"/>
    <mergeCell ref="HO785:HP785"/>
    <mergeCell ref="HQ785:HR785"/>
    <mergeCell ref="GX1502:GY1502"/>
    <mergeCell ref="GZ1502:HA1502"/>
    <mergeCell ref="HC1502:HD1502"/>
    <mergeCell ref="HE1502:HF1502"/>
    <mergeCell ref="HH1502:HI1502"/>
    <mergeCell ref="HJ1502:HK1502"/>
    <mergeCell ref="HM1502:HN1502"/>
    <mergeCell ref="HO1502:HP1502"/>
    <mergeCell ref="HQ1502:HR1502"/>
    <mergeCell ref="GX789:GY789"/>
    <mergeCell ref="GX790:GY790"/>
    <mergeCell ref="GX791:GY791"/>
    <mergeCell ref="GX792:GY792"/>
    <mergeCell ref="GX793:GY793"/>
    <mergeCell ref="GX794:GY794"/>
    <mergeCell ref="GX795:GY795"/>
    <mergeCell ref="GX796:GY796"/>
    <mergeCell ref="GX797:GY797"/>
    <mergeCell ref="GX798:GY798"/>
    <mergeCell ref="GX799:GY799"/>
    <mergeCell ref="GX800:GY800"/>
    <mergeCell ref="GX801:GY801"/>
    <mergeCell ref="GX802:GY802"/>
    <mergeCell ref="GX803:GY803"/>
    <mergeCell ref="GX804:GY804"/>
    <mergeCell ref="GX805:GY805"/>
    <mergeCell ref="GX806:GY806"/>
    <mergeCell ref="GX807:GY807"/>
    <mergeCell ref="GX808:GY808"/>
    <mergeCell ref="GX809:GY809"/>
    <mergeCell ref="GX810:GY810"/>
    <mergeCell ref="GX811:GY811"/>
    <mergeCell ref="GX812:GY812"/>
    <mergeCell ref="GX813:GY813"/>
    <mergeCell ref="GX814:GY814"/>
    <mergeCell ref="GX815:GY815"/>
    <mergeCell ref="GX816:GY816"/>
    <mergeCell ref="GX783:GY783"/>
    <mergeCell ref="GZ783:HA783"/>
    <mergeCell ref="HC783:HD783"/>
    <mergeCell ref="HE783:HF783"/>
    <mergeCell ref="HH783:HI783"/>
    <mergeCell ref="HJ783:HK783"/>
    <mergeCell ref="HM783:HN783"/>
    <mergeCell ref="HO783:HP783"/>
    <mergeCell ref="HQ783:HR783"/>
    <mergeCell ref="GX780:GY780"/>
    <mergeCell ref="GZ780:HA780"/>
    <mergeCell ref="HC780:HD780"/>
    <mergeCell ref="HE780:HF780"/>
    <mergeCell ref="HH780:HI780"/>
    <mergeCell ref="HJ780:HK780"/>
    <mergeCell ref="HM780:HN780"/>
    <mergeCell ref="HO780:HP780"/>
    <mergeCell ref="HQ780:HR780"/>
    <mergeCell ref="GX781:GY781"/>
    <mergeCell ref="GZ781:HA781"/>
    <mergeCell ref="HC781:HD781"/>
    <mergeCell ref="HE781:HF781"/>
    <mergeCell ref="HH781:HI781"/>
    <mergeCell ref="HJ781:HK781"/>
    <mergeCell ref="HM781:HN781"/>
    <mergeCell ref="HO781:HP781"/>
    <mergeCell ref="HQ781:HR781"/>
    <mergeCell ref="GX786:GY786"/>
    <mergeCell ref="GZ786:HA786"/>
    <mergeCell ref="HC786:HD786"/>
    <mergeCell ref="HE786:HF786"/>
    <mergeCell ref="HH786:HI786"/>
    <mergeCell ref="HJ786:HK786"/>
    <mergeCell ref="HM786:HN786"/>
    <mergeCell ref="HO786:HP786"/>
    <mergeCell ref="HQ786:HR786"/>
    <mergeCell ref="GX779:GY779"/>
    <mergeCell ref="GZ779:HA779"/>
    <mergeCell ref="HC779:HD779"/>
    <mergeCell ref="HE779:HF779"/>
    <mergeCell ref="HH779:HI779"/>
    <mergeCell ref="HJ779:HK779"/>
    <mergeCell ref="HM779:HN779"/>
    <mergeCell ref="HO779:HP779"/>
    <mergeCell ref="HQ779:HR779"/>
    <mergeCell ref="GX776:GY776"/>
    <mergeCell ref="GZ776:HA776"/>
    <mergeCell ref="HC776:HD776"/>
    <mergeCell ref="HE776:HF776"/>
    <mergeCell ref="HH776:HI776"/>
    <mergeCell ref="HJ776:HK776"/>
    <mergeCell ref="HM776:HN776"/>
    <mergeCell ref="HO776:HP776"/>
    <mergeCell ref="HQ776:HR776"/>
    <mergeCell ref="GX777:GY777"/>
    <mergeCell ref="GZ777:HA777"/>
    <mergeCell ref="HC777:HD777"/>
    <mergeCell ref="HE777:HF777"/>
    <mergeCell ref="HH777:HI777"/>
    <mergeCell ref="HJ777:HK777"/>
    <mergeCell ref="HM777:HN777"/>
    <mergeCell ref="HO777:HP777"/>
    <mergeCell ref="HQ777:HR777"/>
    <mergeCell ref="GX782:GY782"/>
    <mergeCell ref="GZ782:HA782"/>
    <mergeCell ref="HC782:HD782"/>
    <mergeCell ref="HE782:HF782"/>
    <mergeCell ref="HH782:HI782"/>
    <mergeCell ref="HJ782:HK782"/>
    <mergeCell ref="HM782:HN782"/>
    <mergeCell ref="HO782:HP782"/>
    <mergeCell ref="HQ782:HR782"/>
    <mergeCell ref="GX775:GY775"/>
    <mergeCell ref="GZ775:HA775"/>
    <mergeCell ref="HC775:HD775"/>
    <mergeCell ref="HE775:HF775"/>
    <mergeCell ref="HH775:HI775"/>
    <mergeCell ref="HJ775:HK775"/>
    <mergeCell ref="HM775:HN775"/>
    <mergeCell ref="HO775:HP775"/>
    <mergeCell ref="HQ775:HR775"/>
    <mergeCell ref="GX772:GY772"/>
    <mergeCell ref="GZ772:HA772"/>
    <mergeCell ref="HC772:HD772"/>
    <mergeCell ref="HE772:HF772"/>
    <mergeCell ref="HH772:HI772"/>
    <mergeCell ref="HJ772:HK772"/>
    <mergeCell ref="HM772:HN772"/>
    <mergeCell ref="HO772:HP772"/>
    <mergeCell ref="HQ772:HR772"/>
    <mergeCell ref="GX773:GY773"/>
    <mergeCell ref="GZ773:HA773"/>
    <mergeCell ref="HC773:HD773"/>
    <mergeCell ref="HE773:HF773"/>
    <mergeCell ref="HH773:HI773"/>
    <mergeCell ref="HJ773:HK773"/>
    <mergeCell ref="HM773:HN773"/>
    <mergeCell ref="HO773:HP773"/>
    <mergeCell ref="HQ773:HR773"/>
    <mergeCell ref="GX778:GY778"/>
    <mergeCell ref="GZ778:HA778"/>
    <mergeCell ref="HC778:HD778"/>
    <mergeCell ref="HE778:HF778"/>
    <mergeCell ref="HH778:HI778"/>
    <mergeCell ref="HJ778:HK778"/>
    <mergeCell ref="HM778:HN778"/>
    <mergeCell ref="HO778:HP778"/>
    <mergeCell ref="HQ778:HR778"/>
    <mergeCell ref="GX771:GY771"/>
    <mergeCell ref="GZ771:HA771"/>
    <mergeCell ref="HC771:HD771"/>
    <mergeCell ref="HE771:HF771"/>
    <mergeCell ref="HH771:HI771"/>
    <mergeCell ref="HJ771:HK771"/>
    <mergeCell ref="HM771:HN771"/>
    <mergeCell ref="HO771:HP771"/>
    <mergeCell ref="HQ771:HR771"/>
    <mergeCell ref="GX768:GY768"/>
    <mergeCell ref="GZ768:HA768"/>
    <mergeCell ref="HC768:HD768"/>
    <mergeCell ref="HE768:HF768"/>
    <mergeCell ref="HH768:HI768"/>
    <mergeCell ref="HJ768:HK768"/>
    <mergeCell ref="HM768:HN768"/>
    <mergeCell ref="HO768:HP768"/>
    <mergeCell ref="HQ768:HR768"/>
    <mergeCell ref="GX769:GY769"/>
    <mergeCell ref="GZ769:HA769"/>
    <mergeCell ref="HC769:HD769"/>
    <mergeCell ref="HE769:HF769"/>
    <mergeCell ref="HH769:HI769"/>
    <mergeCell ref="HJ769:HK769"/>
    <mergeCell ref="HM769:HN769"/>
    <mergeCell ref="HO769:HP769"/>
    <mergeCell ref="HQ769:HR769"/>
    <mergeCell ref="GX774:GY774"/>
    <mergeCell ref="GZ774:HA774"/>
    <mergeCell ref="HC774:HD774"/>
    <mergeCell ref="HE774:HF774"/>
    <mergeCell ref="HH774:HI774"/>
    <mergeCell ref="HJ774:HK774"/>
    <mergeCell ref="HM774:HN774"/>
    <mergeCell ref="HO774:HP774"/>
    <mergeCell ref="HQ774:HR774"/>
    <mergeCell ref="GX767:GY767"/>
    <mergeCell ref="GZ767:HA767"/>
    <mergeCell ref="HC767:HD767"/>
    <mergeCell ref="HE767:HF767"/>
    <mergeCell ref="HH767:HI767"/>
    <mergeCell ref="HJ767:HK767"/>
    <mergeCell ref="HM767:HN767"/>
    <mergeCell ref="HO767:HP767"/>
    <mergeCell ref="HQ767:HR767"/>
    <mergeCell ref="GX764:GY764"/>
    <mergeCell ref="GZ764:HA764"/>
    <mergeCell ref="HC764:HD764"/>
    <mergeCell ref="HE764:HF764"/>
    <mergeCell ref="HH764:HI764"/>
    <mergeCell ref="HJ764:HK764"/>
    <mergeCell ref="HM764:HN764"/>
    <mergeCell ref="HO764:HP764"/>
    <mergeCell ref="HQ764:HR764"/>
    <mergeCell ref="GX765:GY765"/>
    <mergeCell ref="GZ765:HA765"/>
    <mergeCell ref="HC765:HD765"/>
    <mergeCell ref="HE765:HF765"/>
    <mergeCell ref="HH765:HI765"/>
    <mergeCell ref="HJ765:HK765"/>
    <mergeCell ref="HM765:HN765"/>
    <mergeCell ref="HO765:HP765"/>
    <mergeCell ref="HQ765:HR765"/>
    <mergeCell ref="GX770:GY770"/>
    <mergeCell ref="GZ770:HA770"/>
    <mergeCell ref="HC770:HD770"/>
    <mergeCell ref="HE770:HF770"/>
    <mergeCell ref="HH770:HI770"/>
    <mergeCell ref="HJ770:HK770"/>
    <mergeCell ref="HM770:HN770"/>
    <mergeCell ref="HO770:HP770"/>
    <mergeCell ref="HQ770:HR770"/>
    <mergeCell ref="GX763:GY763"/>
    <mergeCell ref="GZ763:HA763"/>
    <mergeCell ref="HC763:HD763"/>
    <mergeCell ref="HE763:HF763"/>
    <mergeCell ref="HH763:HI763"/>
    <mergeCell ref="HJ763:HK763"/>
    <mergeCell ref="HM763:HN763"/>
    <mergeCell ref="HO763:HP763"/>
    <mergeCell ref="HQ763:HR763"/>
    <mergeCell ref="GX760:GY760"/>
    <mergeCell ref="GZ760:HA760"/>
    <mergeCell ref="HC760:HD760"/>
    <mergeCell ref="HE760:HF760"/>
    <mergeCell ref="HH760:HI760"/>
    <mergeCell ref="HJ760:HK760"/>
    <mergeCell ref="HM760:HN760"/>
    <mergeCell ref="HO760:HP760"/>
    <mergeCell ref="HQ760:HR760"/>
    <mergeCell ref="GX761:GY761"/>
    <mergeCell ref="GZ761:HA761"/>
    <mergeCell ref="HC761:HD761"/>
    <mergeCell ref="HE761:HF761"/>
    <mergeCell ref="HH761:HI761"/>
    <mergeCell ref="HJ761:HK761"/>
    <mergeCell ref="HM761:HN761"/>
    <mergeCell ref="HO761:HP761"/>
    <mergeCell ref="HQ761:HR761"/>
    <mergeCell ref="GX766:GY766"/>
    <mergeCell ref="GZ766:HA766"/>
    <mergeCell ref="HC766:HD766"/>
    <mergeCell ref="HE766:HF766"/>
    <mergeCell ref="HH766:HI766"/>
    <mergeCell ref="HJ766:HK766"/>
    <mergeCell ref="HM766:HN766"/>
    <mergeCell ref="HO766:HP766"/>
    <mergeCell ref="HQ766:HR766"/>
    <mergeCell ref="GX759:GY759"/>
    <mergeCell ref="GZ759:HA759"/>
    <mergeCell ref="HC759:HD759"/>
    <mergeCell ref="HE759:HF759"/>
    <mergeCell ref="HH759:HI759"/>
    <mergeCell ref="HJ759:HK759"/>
    <mergeCell ref="HM759:HN759"/>
    <mergeCell ref="HO759:HP759"/>
    <mergeCell ref="HQ759:HR759"/>
    <mergeCell ref="GX756:GY756"/>
    <mergeCell ref="GZ756:HA756"/>
    <mergeCell ref="HC756:HD756"/>
    <mergeCell ref="HE756:HF756"/>
    <mergeCell ref="HH756:HI756"/>
    <mergeCell ref="HJ756:HK756"/>
    <mergeCell ref="HM756:HN756"/>
    <mergeCell ref="HO756:HP756"/>
    <mergeCell ref="HQ756:HR756"/>
    <mergeCell ref="GX757:GY757"/>
    <mergeCell ref="GZ757:HA757"/>
    <mergeCell ref="HC757:HD757"/>
    <mergeCell ref="HE757:HF757"/>
    <mergeCell ref="HH757:HI757"/>
    <mergeCell ref="HJ757:HK757"/>
    <mergeCell ref="HM757:HN757"/>
    <mergeCell ref="HO757:HP757"/>
    <mergeCell ref="HQ757:HR757"/>
    <mergeCell ref="GX762:GY762"/>
    <mergeCell ref="GZ762:HA762"/>
    <mergeCell ref="HC762:HD762"/>
    <mergeCell ref="HE762:HF762"/>
    <mergeCell ref="HH762:HI762"/>
    <mergeCell ref="HJ762:HK762"/>
    <mergeCell ref="HM762:HN762"/>
    <mergeCell ref="HO762:HP762"/>
    <mergeCell ref="HQ762:HR762"/>
    <mergeCell ref="GX755:GY755"/>
    <mergeCell ref="GZ755:HA755"/>
    <mergeCell ref="HC755:HD755"/>
    <mergeCell ref="HE755:HF755"/>
    <mergeCell ref="HH755:HI755"/>
    <mergeCell ref="HJ755:HK755"/>
    <mergeCell ref="HM755:HN755"/>
    <mergeCell ref="HO755:HP755"/>
    <mergeCell ref="HQ755:HR755"/>
    <mergeCell ref="GX752:GY752"/>
    <mergeCell ref="GZ752:HA752"/>
    <mergeCell ref="HC752:HD752"/>
    <mergeCell ref="HE752:HF752"/>
    <mergeCell ref="HH752:HI752"/>
    <mergeCell ref="HJ752:HK752"/>
    <mergeCell ref="HM752:HN752"/>
    <mergeCell ref="HO752:HP752"/>
    <mergeCell ref="HQ752:HR752"/>
    <mergeCell ref="GX753:GY753"/>
    <mergeCell ref="GZ753:HA753"/>
    <mergeCell ref="HC753:HD753"/>
    <mergeCell ref="HE753:HF753"/>
    <mergeCell ref="HH753:HI753"/>
    <mergeCell ref="HJ753:HK753"/>
    <mergeCell ref="HM753:HN753"/>
    <mergeCell ref="HO753:HP753"/>
    <mergeCell ref="HQ753:HR753"/>
    <mergeCell ref="GX758:GY758"/>
    <mergeCell ref="GZ758:HA758"/>
    <mergeCell ref="HC758:HD758"/>
    <mergeCell ref="HE758:HF758"/>
    <mergeCell ref="HH758:HI758"/>
    <mergeCell ref="HJ758:HK758"/>
    <mergeCell ref="HM758:HN758"/>
    <mergeCell ref="HO758:HP758"/>
    <mergeCell ref="HQ758:HR758"/>
    <mergeCell ref="GX751:GY751"/>
    <mergeCell ref="GZ751:HA751"/>
    <mergeCell ref="HC751:HD751"/>
    <mergeCell ref="HE751:HF751"/>
    <mergeCell ref="HH751:HI751"/>
    <mergeCell ref="HJ751:HK751"/>
    <mergeCell ref="HM751:HN751"/>
    <mergeCell ref="HO751:HP751"/>
    <mergeCell ref="HQ751:HR751"/>
    <mergeCell ref="GX748:GY748"/>
    <mergeCell ref="GZ748:HA748"/>
    <mergeCell ref="HC748:HD748"/>
    <mergeCell ref="HE748:HF748"/>
    <mergeCell ref="HH748:HI748"/>
    <mergeCell ref="HJ748:HK748"/>
    <mergeCell ref="HM748:HN748"/>
    <mergeCell ref="HO748:HP748"/>
    <mergeCell ref="HQ748:HR748"/>
    <mergeCell ref="GX749:GY749"/>
    <mergeCell ref="GZ749:HA749"/>
    <mergeCell ref="HC749:HD749"/>
    <mergeCell ref="HE749:HF749"/>
    <mergeCell ref="HH749:HI749"/>
    <mergeCell ref="HJ749:HK749"/>
    <mergeCell ref="HM749:HN749"/>
    <mergeCell ref="HO749:HP749"/>
    <mergeCell ref="HQ749:HR749"/>
    <mergeCell ref="GX754:GY754"/>
    <mergeCell ref="GZ754:HA754"/>
    <mergeCell ref="HC754:HD754"/>
    <mergeCell ref="HE754:HF754"/>
    <mergeCell ref="HH754:HI754"/>
    <mergeCell ref="HJ754:HK754"/>
    <mergeCell ref="HM754:HN754"/>
    <mergeCell ref="HO754:HP754"/>
    <mergeCell ref="HQ754:HR754"/>
    <mergeCell ref="GX747:GY747"/>
    <mergeCell ref="GZ747:HA747"/>
    <mergeCell ref="HC747:HD747"/>
    <mergeCell ref="HE747:HF747"/>
    <mergeCell ref="HH747:HI747"/>
    <mergeCell ref="HJ747:HK747"/>
    <mergeCell ref="HM747:HN747"/>
    <mergeCell ref="HO747:HP747"/>
    <mergeCell ref="HQ747:HR747"/>
    <mergeCell ref="GX744:GY744"/>
    <mergeCell ref="GZ744:HA744"/>
    <mergeCell ref="HC744:HD744"/>
    <mergeCell ref="HE744:HF744"/>
    <mergeCell ref="HH744:HI744"/>
    <mergeCell ref="HJ744:HK744"/>
    <mergeCell ref="HM744:HN744"/>
    <mergeCell ref="HO744:HP744"/>
    <mergeCell ref="HQ744:HR744"/>
    <mergeCell ref="GX745:GY745"/>
    <mergeCell ref="GZ745:HA745"/>
    <mergeCell ref="HC745:HD745"/>
    <mergeCell ref="HE745:HF745"/>
    <mergeCell ref="HH745:HI745"/>
    <mergeCell ref="HJ745:HK745"/>
    <mergeCell ref="HM745:HN745"/>
    <mergeCell ref="HO745:HP745"/>
    <mergeCell ref="HQ745:HR745"/>
    <mergeCell ref="GX750:GY750"/>
    <mergeCell ref="GZ750:HA750"/>
    <mergeCell ref="HC750:HD750"/>
    <mergeCell ref="HE750:HF750"/>
    <mergeCell ref="HH750:HI750"/>
    <mergeCell ref="HJ750:HK750"/>
    <mergeCell ref="HM750:HN750"/>
    <mergeCell ref="HO750:HP750"/>
    <mergeCell ref="HQ750:HR750"/>
    <mergeCell ref="GX743:GY743"/>
    <mergeCell ref="GZ743:HA743"/>
    <mergeCell ref="HC743:HD743"/>
    <mergeCell ref="HE743:HF743"/>
    <mergeCell ref="HH743:HI743"/>
    <mergeCell ref="HJ743:HK743"/>
    <mergeCell ref="HM743:HN743"/>
    <mergeCell ref="HO743:HP743"/>
    <mergeCell ref="HQ743:HR743"/>
    <mergeCell ref="GX740:GY740"/>
    <mergeCell ref="GZ740:HA740"/>
    <mergeCell ref="HC740:HD740"/>
    <mergeCell ref="HE740:HF740"/>
    <mergeCell ref="HH740:HI740"/>
    <mergeCell ref="HJ740:HK740"/>
    <mergeCell ref="HM740:HN740"/>
    <mergeCell ref="HO740:HP740"/>
    <mergeCell ref="HQ740:HR740"/>
    <mergeCell ref="GX741:GY741"/>
    <mergeCell ref="GZ741:HA741"/>
    <mergeCell ref="HC741:HD741"/>
    <mergeCell ref="HE741:HF741"/>
    <mergeCell ref="HH741:HI741"/>
    <mergeCell ref="HJ741:HK741"/>
    <mergeCell ref="HM741:HN741"/>
    <mergeCell ref="HO741:HP741"/>
    <mergeCell ref="HQ741:HR741"/>
    <mergeCell ref="GX746:GY746"/>
    <mergeCell ref="GZ746:HA746"/>
    <mergeCell ref="HC746:HD746"/>
    <mergeCell ref="HE746:HF746"/>
    <mergeCell ref="HH746:HI746"/>
    <mergeCell ref="HJ746:HK746"/>
    <mergeCell ref="HM746:HN746"/>
    <mergeCell ref="HO746:HP746"/>
    <mergeCell ref="HQ746:HR746"/>
    <mergeCell ref="GX739:GY739"/>
    <mergeCell ref="GZ739:HA739"/>
    <mergeCell ref="HC739:HD739"/>
    <mergeCell ref="HE739:HF739"/>
    <mergeCell ref="HH739:HI739"/>
    <mergeCell ref="HJ739:HK739"/>
    <mergeCell ref="HM739:HN739"/>
    <mergeCell ref="HO739:HP739"/>
    <mergeCell ref="HQ739:HR739"/>
    <mergeCell ref="GX736:GY736"/>
    <mergeCell ref="GZ736:HA736"/>
    <mergeCell ref="HC736:HD736"/>
    <mergeCell ref="HE736:HF736"/>
    <mergeCell ref="HH736:HI736"/>
    <mergeCell ref="HJ736:HK736"/>
    <mergeCell ref="HM736:HN736"/>
    <mergeCell ref="HO736:HP736"/>
    <mergeCell ref="HQ736:HR736"/>
    <mergeCell ref="GX737:GY737"/>
    <mergeCell ref="GZ737:HA737"/>
    <mergeCell ref="HC737:HD737"/>
    <mergeCell ref="HE737:HF737"/>
    <mergeCell ref="HH737:HI737"/>
    <mergeCell ref="HJ737:HK737"/>
    <mergeCell ref="HM737:HN737"/>
    <mergeCell ref="HO737:HP737"/>
    <mergeCell ref="HQ737:HR737"/>
    <mergeCell ref="GX742:GY742"/>
    <mergeCell ref="GZ742:HA742"/>
    <mergeCell ref="HC742:HD742"/>
    <mergeCell ref="HE742:HF742"/>
    <mergeCell ref="HH742:HI742"/>
    <mergeCell ref="HJ742:HK742"/>
    <mergeCell ref="HM742:HN742"/>
    <mergeCell ref="HO742:HP742"/>
    <mergeCell ref="HQ742:HR742"/>
    <mergeCell ref="GX735:GY735"/>
    <mergeCell ref="GZ735:HA735"/>
    <mergeCell ref="HC735:HD735"/>
    <mergeCell ref="HE735:HF735"/>
    <mergeCell ref="HH735:HI735"/>
    <mergeCell ref="HJ735:HK735"/>
    <mergeCell ref="HM735:HN735"/>
    <mergeCell ref="HO735:HP735"/>
    <mergeCell ref="HQ735:HR735"/>
    <mergeCell ref="GX732:GY732"/>
    <mergeCell ref="GZ732:HA732"/>
    <mergeCell ref="HC732:HD732"/>
    <mergeCell ref="HE732:HF732"/>
    <mergeCell ref="HH732:HI732"/>
    <mergeCell ref="HJ732:HK732"/>
    <mergeCell ref="HM732:HN732"/>
    <mergeCell ref="HO732:HP732"/>
    <mergeCell ref="HQ732:HR732"/>
    <mergeCell ref="GX733:GY733"/>
    <mergeCell ref="GZ733:HA733"/>
    <mergeCell ref="HC733:HD733"/>
    <mergeCell ref="HE733:HF733"/>
    <mergeCell ref="HH733:HI733"/>
    <mergeCell ref="HJ733:HK733"/>
    <mergeCell ref="HM733:HN733"/>
    <mergeCell ref="HO733:HP733"/>
    <mergeCell ref="HQ733:HR733"/>
    <mergeCell ref="GX738:GY738"/>
    <mergeCell ref="GZ738:HA738"/>
    <mergeCell ref="HC738:HD738"/>
    <mergeCell ref="HE738:HF738"/>
    <mergeCell ref="HH738:HI738"/>
    <mergeCell ref="HJ738:HK738"/>
    <mergeCell ref="HM738:HN738"/>
    <mergeCell ref="HO738:HP738"/>
    <mergeCell ref="HQ738:HR738"/>
    <mergeCell ref="GX731:GY731"/>
    <mergeCell ref="GZ731:HA731"/>
    <mergeCell ref="HC731:HD731"/>
    <mergeCell ref="HE731:HF731"/>
    <mergeCell ref="HH731:HI731"/>
    <mergeCell ref="HJ731:HK731"/>
    <mergeCell ref="HM731:HN731"/>
    <mergeCell ref="HO731:HP731"/>
    <mergeCell ref="HQ731:HR731"/>
    <mergeCell ref="GX728:GY728"/>
    <mergeCell ref="GZ728:HA728"/>
    <mergeCell ref="HC728:HD728"/>
    <mergeCell ref="HE728:HF728"/>
    <mergeCell ref="HH728:HI728"/>
    <mergeCell ref="HJ728:HK728"/>
    <mergeCell ref="HM728:HN728"/>
    <mergeCell ref="HO728:HP728"/>
    <mergeCell ref="HQ728:HR728"/>
    <mergeCell ref="GX729:GY729"/>
    <mergeCell ref="GZ729:HA729"/>
    <mergeCell ref="HC729:HD729"/>
    <mergeCell ref="HE729:HF729"/>
    <mergeCell ref="HH729:HI729"/>
    <mergeCell ref="HJ729:HK729"/>
    <mergeCell ref="HM729:HN729"/>
    <mergeCell ref="HO729:HP729"/>
    <mergeCell ref="HQ729:HR729"/>
    <mergeCell ref="GX734:GY734"/>
    <mergeCell ref="GZ734:HA734"/>
    <mergeCell ref="HC734:HD734"/>
    <mergeCell ref="HE734:HF734"/>
    <mergeCell ref="HH734:HI734"/>
    <mergeCell ref="HJ734:HK734"/>
    <mergeCell ref="HM734:HN734"/>
    <mergeCell ref="HO734:HP734"/>
    <mergeCell ref="HQ734:HR734"/>
    <mergeCell ref="GX727:GY727"/>
    <mergeCell ref="GZ727:HA727"/>
    <mergeCell ref="HC727:HD727"/>
    <mergeCell ref="HE727:HF727"/>
    <mergeCell ref="HH727:HI727"/>
    <mergeCell ref="HJ727:HK727"/>
    <mergeCell ref="HM727:HN727"/>
    <mergeCell ref="HO727:HP727"/>
    <mergeCell ref="HQ727:HR727"/>
    <mergeCell ref="GX724:GY724"/>
    <mergeCell ref="GZ724:HA724"/>
    <mergeCell ref="HC724:HD724"/>
    <mergeCell ref="HE724:HF724"/>
    <mergeCell ref="HH724:HI724"/>
    <mergeCell ref="HJ724:HK724"/>
    <mergeCell ref="HM724:HN724"/>
    <mergeCell ref="HO724:HP724"/>
    <mergeCell ref="HQ724:HR724"/>
    <mergeCell ref="GX725:GY725"/>
    <mergeCell ref="GZ725:HA725"/>
    <mergeCell ref="HC725:HD725"/>
    <mergeCell ref="HE725:HF725"/>
    <mergeCell ref="HH725:HI725"/>
    <mergeCell ref="HJ725:HK725"/>
    <mergeCell ref="HM725:HN725"/>
    <mergeCell ref="HO725:HP725"/>
    <mergeCell ref="HQ725:HR725"/>
    <mergeCell ref="GX730:GY730"/>
    <mergeCell ref="GZ730:HA730"/>
    <mergeCell ref="HC730:HD730"/>
    <mergeCell ref="HE730:HF730"/>
    <mergeCell ref="HH730:HI730"/>
    <mergeCell ref="HJ730:HK730"/>
    <mergeCell ref="HM730:HN730"/>
    <mergeCell ref="HO730:HP730"/>
    <mergeCell ref="HQ730:HR730"/>
    <mergeCell ref="GX723:GY723"/>
    <mergeCell ref="GZ723:HA723"/>
    <mergeCell ref="HC723:HD723"/>
    <mergeCell ref="HE723:HF723"/>
    <mergeCell ref="HH723:HI723"/>
    <mergeCell ref="HJ723:HK723"/>
    <mergeCell ref="HM723:HN723"/>
    <mergeCell ref="HO723:HP723"/>
    <mergeCell ref="HQ723:HR723"/>
    <mergeCell ref="GX720:GY720"/>
    <mergeCell ref="GZ720:HA720"/>
    <mergeCell ref="HC720:HD720"/>
    <mergeCell ref="HE720:HF720"/>
    <mergeCell ref="HH720:HI720"/>
    <mergeCell ref="HJ720:HK720"/>
    <mergeCell ref="HM720:HN720"/>
    <mergeCell ref="HO720:HP720"/>
    <mergeCell ref="HQ720:HR720"/>
    <mergeCell ref="GX721:GY721"/>
    <mergeCell ref="GZ721:HA721"/>
    <mergeCell ref="HC721:HD721"/>
    <mergeCell ref="HE721:HF721"/>
    <mergeCell ref="HH721:HI721"/>
    <mergeCell ref="HJ721:HK721"/>
    <mergeCell ref="HM721:HN721"/>
    <mergeCell ref="HO721:HP721"/>
    <mergeCell ref="HQ721:HR721"/>
    <mergeCell ref="GX726:GY726"/>
    <mergeCell ref="GZ726:HA726"/>
    <mergeCell ref="HC726:HD726"/>
    <mergeCell ref="HE726:HF726"/>
    <mergeCell ref="HH726:HI726"/>
    <mergeCell ref="HJ726:HK726"/>
    <mergeCell ref="HM726:HN726"/>
    <mergeCell ref="HO726:HP726"/>
    <mergeCell ref="HQ726:HR726"/>
    <mergeCell ref="GX719:GY719"/>
    <mergeCell ref="GZ719:HA719"/>
    <mergeCell ref="HC719:HD719"/>
    <mergeCell ref="HE719:HF719"/>
    <mergeCell ref="HH719:HI719"/>
    <mergeCell ref="HJ719:HK719"/>
    <mergeCell ref="HM719:HN719"/>
    <mergeCell ref="HO719:HP719"/>
    <mergeCell ref="HQ719:HR719"/>
    <mergeCell ref="GX716:GY716"/>
    <mergeCell ref="GZ716:HA716"/>
    <mergeCell ref="HC716:HD716"/>
    <mergeCell ref="HE716:HF716"/>
    <mergeCell ref="HH716:HI716"/>
    <mergeCell ref="HJ716:HK716"/>
    <mergeCell ref="HM716:HN716"/>
    <mergeCell ref="HO716:HP716"/>
    <mergeCell ref="HQ716:HR716"/>
    <mergeCell ref="GX717:GY717"/>
    <mergeCell ref="GZ717:HA717"/>
    <mergeCell ref="HC717:HD717"/>
    <mergeCell ref="HE717:HF717"/>
    <mergeCell ref="HH717:HI717"/>
    <mergeCell ref="HJ717:HK717"/>
    <mergeCell ref="HM717:HN717"/>
    <mergeCell ref="HO717:HP717"/>
    <mergeCell ref="HQ717:HR717"/>
    <mergeCell ref="GX722:GY722"/>
    <mergeCell ref="GZ722:HA722"/>
    <mergeCell ref="HC722:HD722"/>
    <mergeCell ref="HE722:HF722"/>
    <mergeCell ref="HH722:HI722"/>
    <mergeCell ref="HJ722:HK722"/>
    <mergeCell ref="HM722:HN722"/>
    <mergeCell ref="HO722:HP722"/>
    <mergeCell ref="HQ722:HR722"/>
    <mergeCell ref="GX715:GY715"/>
    <mergeCell ref="GZ715:HA715"/>
    <mergeCell ref="HC715:HD715"/>
    <mergeCell ref="HE715:HF715"/>
    <mergeCell ref="HH715:HI715"/>
    <mergeCell ref="HJ715:HK715"/>
    <mergeCell ref="HM715:HN715"/>
    <mergeCell ref="HO715:HP715"/>
    <mergeCell ref="HQ715:HR715"/>
    <mergeCell ref="GX712:GY712"/>
    <mergeCell ref="GZ712:HA712"/>
    <mergeCell ref="HC712:HD712"/>
    <mergeCell ref="HE712:HF712"/>
    <mergeCell ref="HH712:HI712"/>
    <mergeCell ref="HJ712:HK712"/>
    <mergeCell ref="HM712:HN712"/>
    <mergeCell ref="HO712:HP712"/>
    <mergeCell ref="HQ712:HR712"/>
    <mergeCell ref="GX713:GY713"/>
    <mergeCell ref="GZ713:HA713"/>
    <mergeCell ref="HC713:HD713"/>
    <mergeCell ref="HE713:HF713"/>
    <mergeCell ref="HH713:HI713"/>
    <mergeCell ref="HJ713:HK713"/>
    <mergeCell ref="HM713:HN713"/>
    <mergeCell ref="HO713:HP713"/>
    <mergeCell ref="HQ713:HR713"/>
    <mergeCell ref="GX718:GY718"/>
    <mergeCell ref="GZ718:HA718"/>
    <mergeCell ref="HC718:HD718"/>
    <mergeCell ref="HE718:HF718"/>
    <mergeCell ref="HH718:HI718"/>
    <mergeCell ref="HJ718:HK718"/>
    <mergeCell ref="HM718:HN718"/>
    <mergeCell ref="HO718:HP718"/>
    <mergeCell ref="HQ718:HR718"/>
    <mergeCell ref="GX711:GY711"/>
    <mergeCell ref="GZ711:HA711"/>
    <mergeCell ref="HC711:HD711"/>
    <mergeCell ref="HE711:HF711"/>
    <mergeCell ref="HH711:HI711"/>
    <mergeCell ref="HJ711:HK711"/>
    <mergeCell ref="HM711:HN711"/>
    <mergeCell ref="HO711:HP711"/>
    <mergeCell ref="HQ711:HR711"/>
    <mergeCell ref="GX708:GY708"/>
    <mergeCell ref="GZ708:HA708"/>
    <mergeCell ref="HC708:HD708"/>
    <mergeCell ref="HE708:HF708"/>
    <mergeCell ref="HH708:HI708"/>
    <mergeCell ref="HJ708:HK708"/>
    <mergeCell ref="HM708:HN708"/>
    <mergeCell ref="HO708:HP708"/>
    <mergeCell ref="HQ708:HR708"/>
    <mergeCell ref="GX709:GY709"/>
    <mergeCell ref="GZ709:HA709"/>
    <mergeCell ref="HC709:HD709"/>
    <mergeCell ref="HE709:HF709"/>
    <mergeCell ref="HH709:HI709"/>
    <mergeCell ref="HJ709:HK709"/>
    <mergeCell ref="HM709:HN709"/>
    <mergeCell ref="HO709:HP709"/>
    <mergeCell ref="HQ709:HR709"/>
    <mergeCell ref="GX714:GY714"/>
    <mergeCell ref="GZ714:HA714"/>
    <mergeCell ref="HC714:HD714"/>
    <mergeCell ref="HE714:HF714"/>
    <mergeCell ref="HH714:HI714"/>
    <mergeCell ref="HJ714:HK714"/>
    <mergeCell ref="HM714:HN714"/>
    <mergeCell ref="HO714:HP714"/>
    <mergeCell ref="HQ714:HR714"/>
    <mergeCell ref="GX707:GY707"/>
    <mergeCell ref="GZ707:HA707"/>
    <mergeCell ref="HC707:HD707"/>
    <mergeCell ref="HE707:HF707"/>
    <mergeCell ref="HH707:HI707"/>
    <mergeCell ref="HJ707:HK707"/>
    <mergeCell ref="HM707:HN707"/>
    <mergeCell ref="HO707:HP707"/>
    <mergeCell ref="HQ707:HR707"/>
    <mergeCell ref="GX704:GY704"/>
    <mergeCell ref="GZ704:HA704"/>
    <mergeCell ref="HC704:HD704"/>
    <mergeCell ref="HE704:HF704"/>
    <mergeCell ref="HH704:HI704"/>
    <mergeCell ref="HJ704:HK704"/>
    <mergeCell ref="HM704:HN704"/>
    <mergeCell ref="HO704:HP704"/>
    <mergeCell ref="HQ704:HR704"/>
    <mergeCell ref="GX705:GY705"/>
    <mergeCell ref="GZ705:HA705"/>
    <mergeCell ref="HC705:HD705"/>
    <mergeCell ref="HE705:HF705"/>
    <mergeCell ref="HH705:HI705"/>
    <mergeCell ref="HJ705:HK705"/>
    <mergeCell ref="HM705:HN705"/>
    <mergeCell ref="HO705:HP705"/>
    <mergeCell ref="HQ705:HR705"/>
    <mergeCell ref="GX710:GY710"/>
    <mergeCell ref="GZ710:HA710"/>
    <mergeCell ref="HC710:HD710"/>
    <mergeCell ref="HE710:HF710"/>
    <mergeCell ref="HH710:HI710"/>
    <mergeCell ref="HJ710:HK710"/>
    <mergeCell ref="HM710:HN710"/>
    <mergeCell ref="HO710:HP710"/>
    <mergeCell ref="HQ710:HR710"/>
    <mergeCell ref="GX703:GY703"/>
    <mergeCell ref="GZ703:HA703"/>
    <mergeCell ref="HC703:HD703"/>
    <mergeCell ref="HE703:HF703"/>
    <mergeCell ref="HH703:HI703"/>
    <mergeCell ref="HJ703:HK703"/>
    <mergeCell ref="HM703:HN703"/>
    <mergeCell ref="HO703:HP703"/>
    <mergeCell ref="HQ703:HR703"/>
    <mergeCell ref="GX700:GY700"/>
    <mergeCell ref="GZ700:HA700"/>
    <mergeCell ref="HC700:HD700"/>
    <mergeCell ref="HE700:HF700"/>
    <mergeCell ref="HH700:HI700"/>
    <mergeCell ref="HJ700:HK700"/>
    <mergeCell ref="HM700:HN700"/>
    <mergeCell ref="HO700:HP700"/>
    <mergeCell ref="HQ700:HR700"/>
    <mergeCell ref="GX701:GY701"/>
    <mergeCell ref="GZ701:HA701"/>
    <mergeCell ref="HC701:HD701"/>
    <mergeCell ref="HE701:HF701"/>
    <mergeCell ref="HH701:HI701"/>
    <mergeCell ref="HJ701:HK701"/>
    <mergeCell ref="HM701:HN701"/>
    <mergeCell ref="HO701:HP701"/>
    <mergeCell ref="HQ701:HR701"/>
    <mergeCell ref="GX706:GY706"/>
    <mergeCell ref="GZ706:HA706"/>
    <mergeCell ref="HC706:HD706"/>
    <mergeCell ref="HE706:HF706"/>
    <mergeCell ref="HH706:HI706"/>
    <mergeCell ref="HJ706:HK706"/>
    <mergeCell ref="HM706:HN706"/>
    <mergeCell ref="HO706:HP706"/>
    <mergeCell ref="HQ706:HR706"/>
    <mergeCell ref="GX699:GY699"/>
    <mergeCell ref="GZ699:HA699"/>
    <mergeCell ref="HC699:HD699"/>
    <mergeCell ref="HE699:HF699"/>
    <mergeCell ref="HH699:HI699"/>
    <mergeCell ref="HJ699:HK699"/>
    <mergeCell ref="HM699:HN699"/>
    <mergeCell ref="HO699:HP699"/>
    <mergeCell ref="HQ699:HR699"/>
    <mergeCell ref="GX696:GY696"/>
    <mergeCell ref="GZ696:HA696"/>
    <mergeCell ref="HC696:HD696"/>
    <mergeCell ref="HE696:HF696"/>
    <mergeCell ref="HH696:HI696"/>
    <mergeCell ref="HJ696:HK696"/>
    <mergeCell ref="HM696:HN696"/>
    <mergeCell ref="HO696:HP696"/>
    <mergeCell ref="HQ696:HR696"/>
    <mergeCell ref="GX697:GY697"/>
    <mergeCell ref="GZ697:HA697"/>
    <mergeCell ref="HC697:HD697"/>
    <mergeCell ref="HE697:HF697"/>
    <mergeCell ref="HH697:HI697"/>
    <mergeCell ref="HJ697:HK697"/>
    <mergeCell ref="HM697:HN697"/>
    <mergeCell ref="HO697:HP697"/>
    <mergeCell ref="HQ697:HR697"/>
    <mergeCell ref="GX702:GY702"/>
    <mergeCell ref="GZ702:HA702"/>
    <mergeCell ref="HC702:HD702"/>
    <mergeCell ref="HE702:HF702"/>
    <mergeCell ref="HH702:HI702"/>
    <mergeCell ref="HJ702:HK702"/>
    <mergeCell ref="HM702:HN702"/>
    <mergeCell ref="HO702:HP702"/>
    <mergeCell ref="HQ702:HR702"/>
    <mergeCell ref="GX695:GY695"/>
    <mergeCell ref="GZ695:HA695"/>
    <mergeCell ref="HC695:HD695"/>
    <mergeCell ref="HE695:HF695"/>
    <mergeCell ref="HH695:HI695"/>
    <mergeCell ref="HJ695:HK695"/>
    <mergeCell ref="HM695:HN695"/>
    <mergeCell ref="HO695:HP695"/>
    <mergeCell ref="HQ695:HR695"/>
    <mergeCell ref="GX692:GY692"/>
    <mergeCell ref="GZ692:HA692"/>
    <mergeCell ref="HC692:HD692"/>
    <mergeCell ref="HE692:HF692"/>
    <mergeCell ref="HH692:HI692"/>
    <mergeCell ref="HJ692:HK692"/>
    <mergeCell ref="HM692:HN692"/>
    <mergeCell ref="HO692:HP692"/>
    <mergeCell ref="HQ692:HR692"/>
    <mergeCell ref="GX693:GY693"/>
    <mergeCell ref="GZ693:HA693"/>
    <mergeCell ref="HC693:HD693"/>
    <mergeCell ref="HE693:HF693"/>
    <mergeCell ref="HH693:HI693"/>
    <mergeCell ref="HJ693:HK693"/>
    <mergeCell ref="HM693:HN693"/>
    <mergeCell ref="HO693:HP693"/>
    <mergeCell ref="HQ693:HR693"/>
    <mergeCell ref="GX698:GY698"/>
    <mergeCell ref="GZ698:HA698"/>
    <mergeCell ref="HC698:HD698"/>
    <mergeCell ref="HE698:HF698"/>
    <mergeCell ref="HH698:HI698"/>
    <mergeCell ref="HJ698:HK698"/>
    <mergeCell ref="HM698:HN698"/>
    <mergeCell ref="HO698:HP698"/>
    <mergeCell ref="HQ698:HR698"/>
    <mergeCell ref="GX691:GY691"/>
    <mergeCell ref="GZ691:HA691"/>
    <mergeCell ref="HC691:HD691"/>
    <mergeCell ref="HE691:HF691"/>
    <mergeCell ref="HH691:HI691"/>
    <mergeCell ref="HJ691:HK691"/>
    <mergeCell ref="HM691:HN691"/>
    <mergeCell ref="HO691:HP691"/>
    <mergeCell ref="HQ691:HR691"/>
    <mergeCell ref="GX688:GY688"/>
    <mergeCell ref="GZ688:HA688"/>
    <mergeCell ref="HC688:HD688"/>
    <mergeCell ref="HE688:HF688"/>
    <mergeCell ref="HH688:HI688"/>
    <mergeCell ref="HJ688:HK688"/>
    <mergeCell ref="HM688:HN688"/>
    <mergeCell ref="HO688:HP688"/>
    <mergeCell ref="HQ688:HR688"/>
    <mergeCell ref="GX689:GY689"/>
    <mergeCell ref="GZ689:HA689"/>
    <mergeCell ref="HC689:HD689"/>
    <mergeCell ref="HE689:HF689"/>
    <mergeCell ref="HH689:HI689"/>
    <mergeCell ref="HJ689:HK689"/>
    <mergeCell ref="HM689:HN689"/>
    <mergeCell ref="HO689:HP689"/>
    <mergeCell ref="HQ689:HR689"/>
    <mergeCell ref="GX694:GY694"/>
    <mergeCell ref="GZ694:HA694"/>
    <mergeCell ref="HC694:HD694"/>
    <mergeCell ref="HE694:HF694"/>
    <mergeCell ref="HH694:HI694"/>
    <mergeCell ref="HJ694:HK694"/>
    <mergeCell ref="HM694:HN694"/>
    <mergeCell ref="HO694:HP694"/>
    <mergeCell ref="HQ694:HR694"/>
    <mergeCell ref="GX687:GY687"/>
    <mergeCell ref="GZ687:HA687"/>
    <mergeCell ref="HC687:HD687"/>
    <mergeCell ref="HE687:HF687"/>
    <mergeCell ref="HH687:HI687"/>
    <mergeCell ref="HJ687:HK687"/>
    <mergeCell ref="HM687:HN687"/>
    <mergeCell ref="HO687:HP687"/>
    <mergeCell ref="HQ687:HR687"/>
    <mergeCell ref="GX684:GY684"/>
    <mergeCell ref="GZ684:HA684"/>
    <mergeCell ref="HC684:HD684"/>
    <mergeCell ref="HE684:HF684"/>
    <mergeCell ref="HH684:HI684"/>
    <mergeCell ref="HJ684:HK684"/>
    <mergeCell ref="HM684:HN684"/>
    <mergeCell ref="HO684:HP684"/>
    <mergeCell ref="HQ684:HR684"/>
    <mergeCell ref="GX685:GY685"/>
    <mergeCell ref="GZ685:HA685"/>
    <mergeCell ref="HC685:HD685"/>
    <mergeCell ref="HE685:HF685"/>
    <mergeCell ref="HH685:HI685"/>
    <mergeCell ref="HJ685:HK685"/>
    <mergeCell ref="HM685:HN685"/>
    <mergeCell ref="HO685:HP685"/>
    <mergeCell ref="HQ685:HR685"/>
    <mergeCell ref="GX690:GY690"/>
    <mergeCell ref="GZ690:HA690"/>
    <mergeCell ref="HC690:HD690"/>
    <mergeCell ref="HE690:HF690"/>
    <mergeCell ref="HH690:HI690"/>
    <mergeCell ref="HJ690:HK690"/>
    <mergeCell ref="HM690:HN690"/>
    <mergeCell ref="HO690:HP690"/>
    <mergeCell ref="HQ690:HR690"/>
    <mergeCell ref="GX683:GY683"/>
    <mergeCell ref="GZ683:HA683"/>
    <mergeCell ref="HC683:HD683"/>
    <mergeCell ref="HE683:HF683"/>
    <mergeCell ref="HH683:HI683"/>
    <mergeCell ref="HJ683:HK683"/>
    <mergeCell ref="HM683:HN683"/>
    <mergeCell ref="HO683:HP683"/>
    <mergeCell ref="HQ683:HR683"/>
    <mergeCell ref="GX680:GY680"/>
    <mergeCell ref="GZ680:HA680"/>
    <mergeCell ref="HC680:HD680"/>
    <mergeCell ref="HE680:HF680"/>
    <mergeCell ref="HH680:HI680"/>
    <mergeCell ref="HJ680:HK680"/>
    <mergeCell ref="HM680:HN680"/>
    <mergeCell ref="HO680:HP680"/>
    <mergeCell ref="HQ680:HR680"/>
    <mergeCell ref="GX681:GY681"/>
    <mergeCell ref="GZ681:HA681"/>
    <mergeCell ref="HC681:HD681"/>
    <mergeCell ref="HE681:HF681"/>
    <mergeCell ref="HH681:HI681"/>
    <mergeCell ref="HJ681:HK681"/>
    <mergeCell ref="HM681:HN681"/>
    <mergeCell ref="HO681:HP681"/>
    <mergeCell ref="HQ681:HR681"/>
    <mergeCell ref="GX686:GY686"/>
    <mergeCell ref="GZ686:HA686"/>
    <mergeCell ref="HC686:HD686"/>
    <mergeCell ref="HE686:HF686"/>
    <mergeCell ref="HH686:HI686"/>
    <mergeCell ref="HJ686:HK686"/>
    <mergeCell ref="HM686:HN686"/>
    <mergeCell ref="HO686:HP686"/>
    <mergeCell ref="HQ686:HR686"/>
    <mergeCell ref="GX679:GY679"/>
    <mergeCell ref="GZ679:HA679"/>
    <mergeCell ref="HC679:HD679"/>
    <mergeCell ref="HE679:HF679"/>
    <mergeCell ref="HH679:HI679"/>
    <mergeCell ref="HJ679:HK679"/>
    <mergeCell ref="HM679:HN679"/>
    <mergeCell ref="HO679:HP679"/>
    <mergeCell ref="HQ679:HR679"/>
    <mergeCell ref="GX676:GY676"/>
    <mergeCell ref="GZ676:HA676"/>
    <mergeCell ref="HC676:HD676"/>
    <mergeCell ref="HE676:HF676"/>
    <mergeCell ref="HH676:HI676"/>
    <mergeCell ref="HJ676:HK676"/>
    <mergeCell ref="HM676:HN676"/>
    <mergeCell ref="HO676:HP676"/>
    <mergeCell ref="HQ676:HR676"/>
    <mergeCell ref="GX677:GY677"/>
    <mergeCell ref="GZ677:HA677"/>
    <mergeCell ref="HC677:HD677"/>
    <mergeCell ref="HE677:HF677"/>
    <mergeCell ref="HH677:HI677"/>
    <mergeCell ref="HJ677:HK677"/>
    <mergeCell ref="HM677:HN677"/>
    <mergeCell ref="HO677:HP677"/>
    <mergeCell ref="HQ677:HR677"/>
    <mergeCell ref="GX682:GY682"/>
    <mergeCell ref="GZ682:HA682"/>
    <mergeCell ref="HC682:HD682"/>
    <mergeCell ref="HE682:HF682"/>
    <mergeCell ref="HH682:HI682"/>
    <mergeCell ref="HJ682:HK682"/>
    <mergeCell ref="HM682:HN682"/>
    <mergeCell ref="HO682:HP682"/>
    <mergeCell ref="HQ682:HR682"/>
    <mergeCell ref="GX675:GY675"/>
    <mergeCell ref="GZ675:HA675"/>
    <mergeCell ref="HC675:HD675"/>
    <mergeCell ref="HE675:HF675"/>
    <mergeCell ref="HH675:HI675"/>
    <mergeCell ref="HJ675:HK675"/>
    <mergeCell ref="HM675:HN675"/>
    <mergeCell ref="HO675:HP675"/>
    <mergeCell ref="HQ675:HR675"/>
    <mergeCell ref="GX672:GY672"/>
    <mergeCell ref="GZ672:HA672"/>
    <mergeCell ref="HC672:HD672"/>
    <mergeCell ref="HE672:HF672"/>
    <mergeCell ref="HH672:HI672"/>
    <mergeCell ref="HJ672:HK672"/>
    <mergeCell ref="HM672:HN672"/>
    <mergeCell ref="HO672:HP672"/>
    <mergeCell ref="HQ672:HR672"/>
    <mergeCell ref="GX673:GY673"/>
    <mergeCell ref="GZ673:HA673"/>
    <mergeCell ref="HC673:HD673"/>
    <mergeCell ref="HE673:HF673"/>
    <mergeCell ref="HH673:HI673"/>
    <mergeCell ref="HJ673:HK673"/>
    <mergeCell ref="HM673:HN673"/>
    <mergeCell ref="HO673:HP673"/>
    <mergeCell ref="HQ673:HR673"/>
    <mergeCell ref="GX678:GY678"/>
    <mergeCell ref="GZ678:HA678"/>
    <mergeCell ref="HC678:HD678"/>
    <mergeCell ref="HE678:HF678"/>
    <mergeCell ref="HH678:HI678"/>
    <mergeCell ref="HJ678:HK678"/>
    <mergeCell ref="HM678:HN678"/>
    <mergeCell ref="HO678:HP678"/>
    <mergeCell ref="HQ678:HR678"/>
    <mergeCell ref="GX671:GY671"/>
    <mergeCell ref="GZ671:HA671"/>
    <mergeCell ref="HC671:HD671"/>
    <mergeCell ref="HE671:HF671"/>
    <mergeCell ref="HH671:HI671"/>
    <mergeCell ref="HJ671:HK671"/>
    <mergeCell ref="HM671:HN671"/>
    <mergeCell ref="HO671:HP671"/>
    <mergeCell ref="HQ671:HR671"/>
    <mergeCell ref="GX668:GY668"/>
    <mergeCell ref="GZ668:HA668"/>
    <mergeCell ref="HC668:HD668"/>
    <mergeCell ref="HE668:HF668"/>
    <mergeCell ref="HH668:HI668"/>
    <mergeCell ref="HJ668:HK668"/>
    <mergeCell ref="HM668:HN668"/>
    <mergeCell ref="HO668:HP668"/>
    <mergeCell ref="HQ668:HR668"/>
    <mergeCell ref="GX669:GY669"/>
    <mergeCell ref="GZ669:HA669"/>
    <mergeCell ref="HC669:HD669"/>
    <mergeCell ref="HE669:HF669"/>
    <mergeCell ref="HH669:HI669"/>
    <mergeCell ref="HJ669:HK669"/>
    <mergeCell ref="HM669:HN669"/>
    <mergeCell ref="HO669:HP669"/>
    <mergeCell ref="HQ669:HR669"/>
    <mergeCell ref="GX674:GY674"/>
    <mergeCell ref="GZ674:HA674"/>
    <mergeCell ref="HC674:HD674"/>
    <mergeCell ref="HE674:HF674"/>
    <mergeCell ref="HH674:HI674"/>
    <mergeCell ref="HJ674:HK674"/>
    <mergeCell ref="HM674:HN674"/>
    <mergeCell ref="HO674:HP674"/>
    <mergeCell ref="HQ674:HR674"/>
    <mergeCell ref="GX667:GY667"/>
    <mergeCell ref="GZ667:HA667"/>
    <mergeCell ref="HC667:HD667"/>
    <mergeCell ref="HE667:HF667"/>
    <mergeCell ref="HH667:HI667"/>
    <mergeCell ref="HJ667:HK667"/>
    <mergeCell ref="HM667:HN667"/>
    <mergeCell ref="HO667:HP667"/>
    <mergeCell ref="HQ667:HR667"/>
    <mergeCell ref="GX664:GY664"/>
    <mergeCell ref="GZ664:HA664"/>
    <mergeCell ref="HC664:HD664"/>
    <mergeCell ref="HE664:HF664"/>
    <mergeCell ref="HH664:HI664"/>
    <mergeCell ref="HJ664:HK664"/>
    <mergeCell ref="HM664:HN664"/>
    <mergeCell ref="HO664:HP664"/>
    <mergeCell ref="HQ664:HR664"/>
    <mergeCell ref="GX665:GY665"/>
    <mergeCell ref="GZ665:HA665"/>
    <mergeCell ref="HC665:HD665"/>
    <mergeCell ref="HE665:HF665"/>
    <mergeCell ref="HH665:HI665"/>
    <mergeCell ref="HJ665:HK665"/>
    <mergeCell ref="HM665:HN665"/>
    <mergeCell ref="HO665:HP665"/>
    <mergeCell ref="HQ665:HR665"/>
    <mergeCell ref="GX670:GY670"/>
    <mergeCell ref="GZ670:HA670"/>
    <mergeCell ref="HC670:HD670"/>
    <mergeCell ref="HE670:HF670"/>
    <mergeCell ref="HH670:HI670"/>
    <mergeCell ref="HJ670:HK670"/>
    <mergeCell ref="HM670:HN670"/>
    <mergeCell ref="HO670:HP670"/>
    <mergeCell ref="HQ670:HR670"/>
    <mergeCell ref="GX663:GY663"/>
    <mergeCell ref="GZ663:HA663"/>
    <mergeCell ref="HC663:HD663"/>
    <mergeCell ref="HE663:HF663"/>
    <mergeCell ref="HH663:HI663"/>
    <mergeCell ref="HJ663:HK663"/>
    <mergeCell ref="HM663:HN663"/>
    <mergeCell ref="HO663:HP663"/>
    <mergeCell ref="HQ663:HR663"/>
    <mergeCell ref="GX660:GY660"/>
    <mergeCell ref="GZ660:HA660"/>
    <mergeCell ref="HC660:HD660"/>
    <mergeCell ref="HE660:HF660"/>
    <mergeCell ref="HH660:HI660"/>
    <mergeCell ref="HJ660:HK660"/>
    <mergeCell ref="HM660:HN660"/>
    <mergeCell ref="HO660:HP660"/>
    <mergeCell ref="HQ660:HR660"/>
    <mergeCell ref="GX661:GY661"/>
    <mergeCell ref="GZ661:HA661"/>
    <mergeCell ref="HC661:HD661"/>
    <mergeCell ref="HE661:HF661"/>
    <mergeCell ref="HH661:HI661"/>
    <mergeCell ref="HJ661:HK661"/>
    <mergeCell ref="HM661:HN661"/>
    <mergeCell ref="HO661:HP661"/>
    <mergeCell ref="HQ661:HR661"/>
    <mergeCell ref="GX666:GY666"/>
    <mergeCell ref="GZ666:HA666"/>
    <mergeCell ref="HC666:HD666"/>
    <mergeCell ref="HE666:HF666"/>
    <mergeCell ref="HH666:HI666"/>
    <mergeCell ref="HJ666:HK666"/>
    <mergeCell ref="HM666:HN666"/>
    <mergeCell ref="HO666:HP666"/>
    <mergeCell ref="HQ666:HR666"/>
    <mergeCell ref="GX659:GY659"/>
    <mergeCell ref="GZ659:HA659"/>
    <mergeCell ref="HC659:HD659"/>
    <mergeCell ref="HE659:HF659"/>
    <mergeCell ref="HH659:HI659"/>
    <mergeCell ref="HJ659:HK659"/>
    <mergeCell ref="HM659:HN659"/>
    <mergeCell ref="HO659:HP659"/>
    <mergeCell ref="HQ659:HR659"/>
    <mergeCell ref="GX656:GY656"/>
    <mergeCell ref="GZ656:HA656"/>
    <mergeCell ref="HC656:HD656"/>
    <mergeCell ref="HE656:HF656"/>
    <mergeCell ref="HH656:HI656"/>
    <mergeCell ref="HJ656:HK656"/>
    <mergeCell ref="HM656:HN656"/>
    <mergeCell ref="HO656:HP656"/>
    <mergeCell ref="HQ656:HR656"/>
    <mergeCell ref="GX657:GY657"/>
    <mergeCell ref="GZ657:HA657"/>
    <mergeCell ref="HC657:HD657"/>
    <mergeCell ref="HE657:HF657"/>
    <mergeCell ref="HH657:HI657"/>
    <mergeCell ref="HJ657:HK657"/>
    <mergeCell ref="HM657:HN657"/>
    <mergeCell ref="HO657:HP657"/>
    <mergeCell ref="HQ657:HR657"/>
    <mergeCell ref="GX662:GY662"/>
    <mergeCell ref="GZ662:HA662"/>
    <mergeCell ref="HC662:HD662"/>
    <mergeCell ref="HE662:HF662"/>
    <mergeCell ref="HH662:HI662"/>
    <mergeCell ref="HJ662:HK662"/>
    <mergeCell ref="HM662:HN662"/>
    <mergeCell ref="HO662:HP662"/>
    <mergeCell ref="HQ662:HR662"/>
    <mergeCell ref="GX655:GY655"/>
    <mergeCell ref="GZ655:HA655"/>
    <mergeCell ref="HC655:HD655"/>
    <mergeCell ref="HE655:HF655"/>
    <mergeCell ref="HH655:HI655"/>
    <mergeCell ref="HJ655:HK655"/>
    <mergeCell ref="HM655:HN655"/>
    <mergeCell ref="HO655:HP655"/>
    <mergeCell ref="HQ655:HR655"/>
    <mergeCell ref="GX652:GY652"/>
    <mergeCell ref="GZ652:HA652"/>
    <mergeCell ref="HC652:HD652"/>
    <mergeCell ref="HE652:HF652"/>
    <mergeCell ref="HH652:HI652"/>
    <mergeCell ref="HJ652:HK652"/>
    <mergeCell ref="HM652:HN652"/>
    <mergeCell ref="HO652:HP652"/>
    <mergeCell ref="HQ652:HR652"/>
    <mergeCell ref="GX653:GY653"/>
    <mergeCell ref="GZ653:HA653"/>
    <mergeCell ref="HC653:HD653"/>
    <mergeCell ref="HE653:HF653"/>
    <mergeCell ref="HH653:HI653"/>
    <mergeCell ref="HJ653:HK653"/>
    <mergeCell ref="HM653:HN653"/>
    <mergeCell ref="HO653:HP653"/>
    <mergeCell ref="HQ653:HR653"/>
    <mergeCell ref="GX658:GY658"/>
    <mergeCell ref="GZ658:HA658"/>
    <mergeCell ref="HC658:HD658"/>
    <mergeCell ref="HE658:HF658"/>
    <mergeCell ref="HH658:HI658"/>
    <mergeCell ref="HJ658:HK658"/>
    <mergeCell ref="HM658:HN658"/>
    <mergeCell ref="HO658:HP658"/>
    <mergeCell ref="HQ658:HR658"/>
    <mergeCell ref="GX651:GY651"/>
    <mergeCell ref="GZ651:HA651"/>
    <mergeCell ref="HC651:HD651"/>
    <mergeCell ref="HE651:HF651"/>
    <mergeCell ref="HH651:HI651"/>
    <mergeCell ref="HJ651:HK651"/>
    <mergeCell ref="HM651:HN651"/>
    <mergeCell ref="HO651:HP651"/>
    <mergeCell ref="HQ651:HR651"/>
    <mergeCell ref="GX648:GY648"/>
    <mergeCell ref="GZ648:HA648"/>
    <mergeCell ref="HC648:HD648"/>
    <mergeCell ref="HE648:HF648"/>
    <mergeCell ref="HH648:HI648"/>
    <mergeCell ref="HJ648:HK648"/>
    <mergeCell ref="HM648:HN648"/>
    <mergeCell ref="HO648:HP648"/>
    <mergeCell ref="HQ648:HR648"/>
    <mergeCell ref="GX649:GY649"/>
    <mergeCell ref="GZ649:HA649"/>
    <mergeCell ref="HC649:HD649"/>
    <mergeCell ref="HE649:HF649"/>
    <mergeCell ref="HH649:HI649"/>
    <mergeCell ref="HJ649:HK649"/>
    <mergeCell ref="HM649:HN649"/>
    <mergeCell ref="HO649:HP649"/>
    <mergeCell ref="HQ649:HR649"/>
    <mergeCell ref="GX654:GY654"/>
    <mergeCell ref="GZ654:HA654"/>
    <mergeCell ref="HC654:HD654"/>
    <mergeCell ref="HE654:HF654"/>
    <mergeCell ref="HH654:HI654"/>
    <mergeCell ref="HJ654:HK654"/>
    <mergeCell ref="HM654:HN654"/>
    <mergeCell ref="HO654:HP654"/>
    <mergeCell ref="HQ654:HR654"/>
    <mergeCell ref="GX647:GY647"/>
    <mergeCell ref="GZ647:HA647"/>
    <mergeCell ref="HC647:HD647"/>
    <mergeCell ref="HE647:HF647"/>
    <mergeCell ref="HH647:HI647"/>
    <mergeCell ref="HJ647:HK647"/>
    <mergeCell ref="HM647:HN647"/>
    <mergeCell ref="HO647:HP647"/>
    <mergeCell ref="HQ647:HR647"/>
    <mergeCell ref="GX644:GY644"/>
    <mergeCell ref="GZ644:HA644"/>
    <mergeCell ref="HC644:HD644"/>
    <mergeCell ref="HE644:HF644"/>
    <mergeCell ref="HH644:HI644"/>
    <mergeCell ref="HJ644:HK644"/>
    <mergeCell ref="HM644:HN644"/>
    <mergeCell ref="HO644:HP644"/>
    <mergeCell ref="HQ644:HR644"/>
    <mergeCell ref="GX645:GY645"/>
    <mergeCell ref="GZ645:HA645"/>
    <mergeCell ref="HC645:HD645"/>
    <mergeCell ref="HE645:HF645"/>
    <mergeCell ref="HH645:HI645"/>
    <mergeCell ref="HJ645:HK645"/>
    <mergeCell ref="HM645:HN645"/>
    <mergeCell ref="HO645:HP645"/>
    <mergeCell ref="HQ645:HR645"/>
    <mergeCell ref="GX650:GY650"/>
    <mergeCell ref="GZ650:HA650"/>
    <mergeCell ref="HC650:HD650"/>
    <mergeCell ref="HE650:HF650"/>
    <mergeCell ref="HH650:HI650"/>
    <mergeCell ref="HJ650:HK650"/>
    <mergeCell ref="HM650:HN650"/>
    <mergeCell ref="HO650:HP650"/>
    <mergeCell ref="HQ650:HR650"/>
    <mergeCell ref="GX643:GY643"/>
    <mergeCell ref="GZ643:HA643"/>
    <mergeCell ref="HC643:HD643"/>
    <mergeCell ref="HE643:HF643"/>
    <mergeCell ref="HH643:HI643"/>
    <mergeCell ref="HJ643:HK643"/>
    <mergeCell ref="HM643:HN643"/>
    <mergeCell ref="HO643:HP643"/>
    <mergeCell ref="HQ643:HR643"/>
    <mergeCell ref="GX640:GY640"/>
    <mergeCell ref="GZ640:HA640"/>
    <mergeCell ref="HC640:HD640"/>
    <mergeCell ref="HE640:HF640"/>
    <mergeCell ref="HH640:HI640"/>
    <mergeCell ref="HJ640:HK640"/>
    <mergeCell ref="HM640:HN640"/>
    <mergeCell ref="HO640:HP640"/>
    <mergeCell ref="HQ640:HR640"/>
    <mergeCell ref="GX641:GY641"/>
    <mergeCell ref="GZ641:HA641"/>
    <mergeCell ref="HC641:HD641"/>
    <mergeCell ref="HE641:HF641"/>
    <mergeCell ref="HH641:HI641"/>
    <mergeCell ref="HJ641:HK641"/>
    <mergeCell ref="HM641:HN641"/>
    <mergeCell ref="HO641:HP641"/>
    <mergeCell ref="HQ641:HR641"/>
    <mergeCell ref="GX646:GY646"/>
    <mergeCell ref="GZ646:HA646"/>
    <mergeCell ref="HC646:HD646"/>
    <mergeCell ref="HE646:HF646"/>
    <mergeCell ref="HH646:HI646"/>
    <mergeCell ref="HJ646:HK646"/>
    <mergeCell ref="HM646:HN646"/>
    <mergeCell ref="HO646:HP646"/>
    <mergeCell ref="HQ646:HR646"/>
    <mergeCell ref="GX639:GY639"/>
    <mergeCell ref="GZ639:HA639"/>
    <mergeCell ref="HC639:HD639"/>
    <mergeCell ref="HE639:HF639"/>
    <mergeCell ref="HH639:HI639"/>
    <mergeCell ref="HJ639:HK639"/>
    <mergeCell ref="HM639:HN639"/>
    <mergeCell ref="HO639:HP639"/>
    <mergeCell ref="HQ639:HR639"/>
    <mergeCell ref="GX636:GY636"/>
    <mergeCell ref="GZ636:HA636"/>
    <mergeCell ref="HC636:HD636"/>
    <mergeCell ref="HE636:HF636"/>
    <mergeCell ref="HH636:HI636"/>
    <mergeCell ref="HJ636:HK636"/>
    <mergeCell ref="HM636:HN636"/>
    <mergeCell ref="HO636:HP636"/>
    <mergeCell ref="HQ636:HR636"/>
    <mergeCell ref="GX637:GY637"/>
    <mergeCell ref="GZ637:HA637"/>
    <mergeCell ref="HC637:HD637"/>
    <mergeCell ref="HE637:HF637"/>
    <mergeCell ref="HH637:HI637"/>
    <mergeCell ref="HJ637:HK637"/>
    <mergeCell ref="HM637:HN637"/>
    <mergeCell ref="HO637:HP637"/>
    <mergeCell ref="HQ637:HR637"/>
    <mergeCell ref="GX642:GY642"/>
    <mergeCell ref="GZ642:HA642"/>
    <mergeCell ref="HC642:HD642"/>
    <mergeCell ref="HE642:HF642"/>
    <mergeCell ref="HH642:HI642"/>
    <mergeCell ref="HJ642:HK642"/>
    <mergeCell ref="HM642:HN642"/>
    <mergeCell ref="HO642:HP642"/>
    <mergeCell ref="HQ642:HR642"/>
    <mergeCell ref="GX635:GY635"/>
    <mergeCell ref="GZ635:HA635"/>
    <mergeCell ref="HC635:HD635"/>
    <mergeCell ref="HE635:HF635"/>
    <mergeCell ref="HH635:HI635"/>
    <mergeCell ref="HJ635:HK635"/>
    <mergeCell ref="HM635:HN635"/>
    <mergeCell ref="HO635:HP635"/>
    <mergeCell ref="HQ635:HR635"/>
    <mergeCell ref="GX632:GY632"/>
    <mergeCell ref="GZ632:HA632"/>
    <mergeCell ref="HC632:HD632"/>
    <mergeCell ref="HE632:HF632"/>
    <mergeCell ref="HH632:HI632"/>
    <mergeCell ref="HJ632:HK632"/>
    <mergeCell ref="HM632:HN632"/>
    <mergeCell ref="HO632:HP632"/>
    <mergeCell ref="HQ632:HR632"/>
    <mergeCell ref="GX633:GY633"/>
    <mergeCell ref="GZ633:HA633"/>
    <mergeCell ref="HC633:HD633"/>
    <mergeCell ref="HE633:HF633"/>
    <mergeCell ref="HH633:HI633"/>
    <mergeCell ref="HJ633:HK633"/>
    <mergeCell ref="HM633:HN633"/>
    <mergeCell ref="HO633:HP633"/>
    <mergeCell ref="HQ633:HR633"/>
    <mergeCell ref="GX638:GY638"/>
    <mergeCell ref="GZ638:HA638"/>
    <mergeCell ref="HC638:HD638"/>
    <mergeCell ref="HE638:HF638"/>
    <mergeCell ref="HH638:HI638"/>
    <mergeCell ref="HJ638:HK638"/>
    <mergeCell ref="HM638:HN638"/>
    <mergeCell ref="HO638:HP638"/>
    <mergeCell ref="HQ638:HR638"/>
    <mergeCell ref="GX631:GY631"/>
    <mergeCell ref="GZ631:HA631"/>
    <mergeCell ref="HC631:HD631"/>
    <mergeCell ref="HE631:HF631"/>
    <mergeCell ref="HH631:HI631"/>
    <mergeCell ref="HJ631:HK631"/>
    <mergeCell ref="HM631:HN631"/>
    <mergeCell ref="HO631:HP631"/>
    <mergeCell ref="HQ631:HR631"/>
    <mergeCell ref="GX628:GY628"/>
    <mergeCell ref="GZ628:HA628"/>
    <mergeCell ref="HC628:HD628"/>
    <mergeCell ref="HE628:HF628"/>
    <mergeCell ref="HH628:HI628"/>
    <mergeCell ref="HJ628:HK628"/>
    <mergeCell ref="HM628:HN628"/>
    <mergeCell ref="HO628:HP628"/>
    <mergeCell ref="HQ628:HR628"/>
    <mergeCell ref="GX629:GY629"/>
    <mergeCell ref="GZ629:HA629"/>
    <mergeCell ref="HC629:HD629"/>
    <mergeCell ref="HE629:HF629"/>
    <mergeCell ref="HH629:HI629"/>
    <mergeCell ref="HJ629:HK629"/>
    <mergeCell ref="HM629:HN629"/>
    <mergeCell ref="HO629:HP629"/>
    <mergeCell ref="HQ629:HR629"/>
    <mergeCell ref="GX634:GY634"/>
    <mergeCell ref="GZ634:HA634"/>
    <mergeCell ref="HC634:HD634"/>
    <mergeCell ref="HE634:HF634"/>
    <mergeCell ref="HH634:HI634"/>
    <mergeCell ref="HJ634:HK634"/>
    <mergeCell ref="HM634:HN634"/>
    <mergeCell ref="HO634:HP634"/>
    <mergeCell ref="HQ634:HR634"/>
    <mergeCell ref="GX627:GY627"/>
    <mergeCell ref="GZ627:HA627"/>
    <mergeCell ref="HC627:HD627"/>
    <mergeCell ref="HE627:HF627"/>
    <mergeCell ref="HH627:HI627"/>
    <mergeCell ref="HJ627:HK627"/>
    <mergeCell ref="HM627:HN627"/>
    <mergeCell ref="HO627:HP627"/>
    <mergeCell ref="HQ627:HR627"/>
    <mergeCell ref="GX624:GY624"/>
    <mergeCell ref="GZ624:HA624"/>
    <mergeCell ref="HC624:HD624"/>
    <mergeCell ref="HE624:HF624"/>
    <mergeCell ref="HH624:HI624"/>
    <mergeCell ref="HJ624:HK624"/>
    <mergeCell ref="HM624:HN624"/>
    <mergeCell ref="HO624:HP624"/>
    <mergeCell ref="HQ624:HR624"/>
    <mergeCell ref="GX625:GY625"/>
    <mergeCell ref="GZ625:HA625"/>
    <mergeCell ref="HC625:HD625"/>
    <mergeCell ref="HE625:HF625"/>
    <mergeCell ref="HH625:HI625"/>
    <mergeCell ref="HJ625:HK625"/>
    <mergeCell ref="HM625:HN625"/>
    <mergeCell ref="HO625:HP625"/>
    <mergeCell ref="HQ625:HR625"/>
    <mergeCell ref="GX630:GY630"/>
    <mergeCell ref="GZ630:HA630"/>
    <mergeCell ref="HC630:HD630"/>
    <mergeCell ref="HE630:HF630"/>
    <mergeCell ref="HH630:HI630"/>
    <mergeCell ref="HJ630:HK630"/>
    <mergeCell ref="HM630:HN630"/>
    <mergeCell ref="HO630:HP630"/>
    <mergeCell ref="HQ630:HR630"/>
    <mergeCell ref="GX623:GY623"/>
    <mergeCell ref="GZ623:HA623"/>
    <mergeCell ref="HC623:HD623"/>
    <mergeCell ref="HE623:HF623"/>
    <mergeCell ref="HH623:HI623"/>
    <mergeCell ref="HJ623:HK623"/>
    <mergeCell ref="HM623:HN623"/>
    <mergeCell ref="HO623:HP623"/>
    <mergeCell ref="HQ623:HR623"/>
    <mergeCell ref="GX620:GY620"/>
    <mergeCell ref="GZ620:HA620"/>
    <mergeCell ref="HC620:HD620"/>
    <mergeCell ref="HE620:HF620"/>
    <mergeCell ref="HH620:HI620"/>
    <mergeCell ref="HJ620:HK620"/>
    <mergeCell ref="HM620:HN620"/>
    <mergeCell ref="HO620:HP620"/>
    <mergeCell ref="HQ620:HR620"/>
    <mergeCell ref="GX621:GY621"/>
    <mergeCell ref="GZ621:HA621"/>
    <mergeCell ref="HC621:HD621"/>
    <mergeCell ref="HE621:HF621"/>
    <mergeCell ref="HH621:HI621"/>
    <mergeCell ref="HJ621:HK621"/>
    <mergeCell ref="HM621:HN621"/>
    <mergeCell ref="HO621:HP621"/>
    <mergeCell ref="HQ621:HR621"/>
    <mergeCell ref="GX626:GY626"/>
    <mergeCell ref="GZ626:HA626"/>
    <mergeCell ref="HC626:HD626"/>
    <mergeCell ref="HE626:HF626"/>
    <mergeCell ref="HH626:HI626"/>
    <mergeCell ref="HJ626:HK626"/>
    <mergeCell ref="HM626:HN626"/>
    <mergeCell ref="HO626:HP626"/>
    <mergeCell ref="HQ626:HR626"/>
    <mergeCell ref="GX619:GY619"/>
    <mergeCell ref="GZ619:HA619"/>
    <mergeCell ref="HC619:HD619"/>
    <mergeCell ref="HE619:HF619"/>
    <mergeCell ref="HH619:HI619"/>
    <mergeCell ref="HJ619:HK619"/>
    <mergeCell ref="HM619:HN619"/>
    <mergeCell ref="HO619:HP619"/>
    <mergeCell ref="HQ619:HR619"/>
    <mergeCell ref="GX616:GY616"/>
    <mergeCell ref="GZ616:HA616"/>
    <mergeCell ref="HC616:HD616"/>
    <mergeCell ref="HE616:HF616"/>
    <mergeCell ref="HH616:HI616"/>
    <mergeCell ref="HJ616:HK616"/>
    <mergeCell ref="HM616:HN616"/>
    <mergeCell ref="HO616:HP616"/>
    <mergeCell ref="HQ616:HR616"/>
    <mergeCell ref="GX617:GY617"/>
    <mergeCell ref="GZ617:HA617"/>
    <mergeCell ref="HC617:HD617"/>
    <mergeCell ref="HE617:HF617"/>
    <mergeCell ref="HH617:HI617"/>
    <mergeCell ref="HJ617:HK617"/>
    <mergeCell ref="HM617:HN617"/>
    <mergeCell ref="HO617:HP617"/>
    <mergeCell ref="HQ617:HR617"/>
    <mergeCell ref="GX622:GY622"/>
    <mergeCell ref="GZ622:HA622"/>
    <mergeCell ref="HC622:HD622"/>
    <mergeCell ref="HE622:HF622"/>
    <mergeCell ref="HH622:HI622"/>
    <mergeCell ref="HJ622:HK622"/>
    <mergeCell ref="HM622:HN622"/>
    <mergeCell ref="HO622:HP622"/>
    <mergeCell ref="HQ622:HR622"/>
    <mergeCell ref="GX615:GY615"/>
    <mergeCell ref="GZ615:HA615"/>
    <mergeCell ref="HC615:HD615"/>
    <mergeCell ref="HE615:HF615"/>
    <mergeCell ref="HH615:HI615"/>
    <mergeCell ref="HJ615:HK615"/>
    <mergeCell ref="HM615:HN615"/>
    <mergeCell ref="HO615:HP615"/>
    <mergeCell ref="HQ615:HR615"/>
    <mergeCell ref="GX612:GY612"/>
    <mergeCell ref="GZ612:HA612"/>
    <mergeCell ref="HC612:HD612"/>
    <mergeCell ref="HE612:HF612"/>
    <mergeCell ref="HH612:HI612"/>
    <mergeCell ref="HJ612:HK612"/>
    <mergeCell ref="HM612:HN612"/>
    <mergeCell ref="HO612:HP612"/>
    <mergeCell ref="HQ612:HR612"/>
    <mergeCell ref="GX613:GY613"/>
    <mergeCell ref="GZ613:HA613"/>
    <mergeCell ref="HC613:HD613"/>
    <mergeCell ref="HE613:HF613"/>
    <mergeCell ref="HH613:HI613"/>
    <mergeCell ref="HJ613:HK613"/>
    <mergeCell ref="HM613:HN613"/>
    <mergeCell ref="HO613:HP613"/>
    <mergeCell ref="HQ613:HR613"/>
    <mergeCell ref="GX618:GY618"/>
    <mergeCell ref="GZ618:HA618"/>
    <mergeCell ref="HC618:HD618"/>
    <mergeCell ref="HE618:HF618"/>
    <mergeCell ref="HH618:HI618"/>
    <mergeCell ref="HJ618:HK618"/>
    <mergeCell ref="HM618:HN618"/>
    <mergeCell ref="HO618:HP618"/>
    <mergeCell ref="HQ618:HR618"/>
    <mergeCell ref="GX611:GY611"/>
    <mergeCell ref="GZ611:HA611"/>
    <mergeCell ref="HC611:HD611"/>
    <mergeCell ref="HE611:HF611"/>
    <mergeCell ref="HH611:HI611"/>
    <mergeCell ref="HJ611:HK611"/>
    <mergeCell ref="HM611:HN611"/>
    <mergeCell ref="HO611:HP611"/>
    <mergeCell ref="HQ611:HR611"/>
    <mergeCell ref="GX608:GY608"/>
    <mergeCell ref="GZ608:HA608"/>
    <mergeCell ref="HC608:HD608"/>
    <mergeCell ref="HE608:HF608"/>
    <mergeCell ref="HH608:HI608"/>
    <mergeCell ref="HJ608:HK608"/>
    <mergeCell ref="HM608:HN608"/>
    <mergeCell ref="HO608:HP608"/>
    <mergeCell ref="HQ608:HR608"/>
    <mergeCell ref="GX609:GY609"/>
    <mergeCell ref="GZ609:HA609"/>
    <mergeCell ref="HC609:HD609"/>
    <mergeCell ref="HE609:HF609"/>
    <mergeCell ref="HH609:HI609"/>
    <mergeCell ref="HJ609:HK609"/>
    <mergeCell ref="HM609:HN609"/>
    <mergeCell ref="HO609:HP609"/>
    <mergeCell ref="HQ609:HR609"/>
    <mergeCell ref="GX614:GY614"/>
    <mergeCell ref="GZ614:HA614"/>
    <mergeCell ref="HC614:HD614"/>
    <mergeCell ref="HE614:HF614"/>
    <mergeCell ref="HH614:HI614"/>
    <mergeCell ref="HJ614:HK614"/>
    <mergeCell ref="HM614:HN614"/>
    <mergeCell ref="HO614:HP614"/>
    <mergeCell ref="HQ614:HR614"/>
    <mergeCell ref="GX607:GY607"/>
    <mergeCell ref="GZ607:HA607"/>
    <mergeCell ref="HC607:HD607"/>
    <mergeCell ref="HE607:HF607"/>
    <mergeCell ref="HH607:HI607"/>
    <mergeCell ref="HJ607:HK607"/>
    <mergeCell ref="HM607:HN607"/>
    <mergeCell ref="HO607:HP607"/>
    <mergeCell ref="HQ607:HR607"/>
    <mergeCell ref="GX604:GY604"/>
    <mergeCell ref="GZ604:HA604"/>
    <mergeCell ref="HC604:HD604"/>
    <mergeCell ref="HE604:HF604"/>
    <mergeCell ref="HH604:HI604"/>
    <mergeCell ref="HJ604:HK604"/>
    <mergeCell ref="HM604:HN604"/>
    <mergeCell ref="HO604:HP604"/>
    <mergeCell ref="HQ604:HR604"/>
    <mergeCell ref="GX605:GY605"/>
    <mergeCell ref="GZ605:HA605"/>
    <mergeCell ref="HC605:HD605"/>
    <mergeCell ref="HE605:HF605"/>
    <mergeCell ref="HH605:HI605"/>
    <mergeCell ref="HJ605:HK605"/>
    <mergeCell ref="HM605:HN605"/>
    <mergeCell ref="HO605:HP605"/>
    <mergeCell ref="HQ605:HR605"/>
    <mergeCell ref="GX610:GY610"/>
    <mergeCell ref="GZ610:HA610"/>
    <mergeCell ref="HC610:HD610"/>
    <mergeCell ref="HE610:HF610"/>
    <mergeCell ref="HH610:HI610"/>
    <mergeCell ref="HJ610:HK610"/>
    <mergeCell ref="HM610:HN610"/>
    <mergeCell ref="HO610:HP610"/>
    <mergeCell ref="HQ610:HR610"/>
    <mergeCell ref="GX603:GY603"/>
    <mergeCell ref="GZ603:HA603"/>
    <mergeCell ref="HC603:HD603"/>
    <mergeCell ref="HE603:HF603"/>
    <mergeCell ref="HH603:HI603"/>
    <mergeCell ref="HJ603:HK603"/>
    <mergeCell ref="HM603:HN603"/>
    <mergeCell ref="HO603:HP603"/>
    <mergeCell ref="HQ603:HR603"/>
    <mergeCell ref="GX600:GY600"/>
    <mergeCell ref="GZ600:HA600"/>
    <mergeCell ref="HC600:HD600"/>
    <mergeCell ref="HE600:HF600"/>
    <mergeCell ref="HH600:HI600"/>
    <mergeCell ref="HJ600:HK600"/>
    <mergeCell ref="HM600:HN600"/>
    <mergeCell ref="HO600:HP600"/>
    <mergeCell ref="HQ600:HR600"/>
    <mergeCell ref="GX601:GY601"/>
    <mergeCell ref="GZ601:HA601"/>
    <mergeCell ref="HC601:HD601"/>
    <mergeCell ref="HE601:HF601"/>
    <mergeCell ref="HH601:HI601"/>
    <mergeCell ref="HJ601:HK601"/>
    <mergeCell ref="HM601:HN601"/>
    <mergeCell ref="HO601:HP601"/>
    <mergeCell ref="HQ601:HR601"/>
    <mergeCell ref="GX606:GY606"/>
    <mergeCell ref="GZ606:HA606"/>
    <mergeCell ref="HC606:HD606"/>
    <mergeCell ref="HE606:HF606"/>
    <mergeCell ref="HH606:HI606"/>
    <mergeCell ref="HJ606:HK606"/>
    <mergeCell ref="HM606:HN606"/>
    <mergeCell ref="HO606:HP606"/>
    <mergeCell ref="HQ606:HR606"/>
    <mergeCell ref="GX599:GY599"/>
    <mergeCell ref="GZ599:HA599"/>
    <mergeCell ref="HC599:HD599"/>
    <mergeCell ref="HE599:HF599"/>
    <mergeCell ref="HH599:HI599"/>
    <mergeCell ref="HJ599:HK599"/>
    <mergeCell ref="HM599:HN599"/>
    <mergeCell ref="HO599:HP599"/>
    <mergeCell ref="HQ599:HR599"/>
    <mergeCell ref="GX596:GY596"/>
    <mergeCell ref="GZ596:HA596"/>
    <mergeCell ref="HC596:HD596"/>
    <mergeCell ref="HE596:HF596"/>
    <mergeCell ref="HH596:HI596"/>
    <mergeCell ref="HJ596:HK596"/>
    <mergeCell ref="HM596:HN596"/>
    <mergeCell ref="HO596:HP596"/>
    <mergeCell ref="HQ596:HR596"/>
    <mergeCell ref="GX597:GY597"/>
    <mergeCell ref="GZ597:HA597"/>
    <mergeCell ref="HC597:HD597"/>
    <mergeCell ref="HE597:HF597"/>
    <mergeCell ref="HH597:HI597"/>
    <mergeCell ref="HJ597:HK597"/>
    <mergeCell ref="HM597:HN597"/>
    <mergeCell ref="HO597:HP597"/>
    <mergeCell ref="HQ597:HR597"/>
    <mergeCell ref="GX602:GY602"/>
    <mergeCell ref="GZ602:HA602"/>
    <mergeCell ref="HC602:HD602"/>
    <mergeCell ref="HE602:HF602"/>
    <mergeCell ref="HH602:HI602"/>
    <mergeCell ref="HJ602:HK602"/>
    <mergeCell ref="HM602:HN602"/>
    <mergeCell ref="HO602:HP602"/>
    <mergeCell ref="HQ602:HR602"/>
    <mergeCell ref="GX595:GY595"/>
    <mergeCell ref="GZ595:HA595"/>
    <mergeCell ref="HC595:HD595"/>
    <mergeCell ref="HE595:HF595"/>
    <mergeCell ref="HH595:HI595"/>
    <mergeCell ref="HJ595:HK595"/>
    <mergeCell ref="HM595:HN595"/>
    <mergeCell ref="HO595:HP595"/>
    <mergeCell ref="HQ595:HR595"/>
    <mergeCell ref="GX592:GY592"/>
    <mergeCell ref="GZ592:HA592"/>
    <mergeCell ref="HC592:HD592"/>
    <mergeCell ref="HE592:HF592"/>
    <mergeCell ref="HH592:HI592"/>
    <mergeCell ref="HJ592:HK592"/>
    <mergeCell ref="HM592:HN592"/>
    <mergeCell ref="HO592:HP592"/>
    <mergeCell ref="HQ592:HR592"/>
    <mergeCell ref="GX593:GY593"/>
    <mergeCell ref="GZ593:HA593"/>
    <mergeCell ref="HC593:HD593"/>
    <mergeCell ref="HE593:HF593"/>
    <mergeCell ref="HH593:HI593"/>
    <mergeCell ref="HJ593:HK593"/>
    <mergeCell ref="HM593:HN593"/>
    <mergeCell ref="HO593:HP593"/>
    <mergeCell ref="HQ593:HR593"/>
    <mergeCell ref="GX598:GY598"/>
    <mergeCell ref="GZ598:HA598"/>
    <mergeCell ref="HC598:HD598"/>
    <mergeCell ref="HE598:HF598"/>
    <mergeCell ref="HH598:HI598"/>
    <mergeCell ref="HJ598:HK598"/>
    <mergeCell ref="HM598:HN598"/>
    <mergeCell ref="HO598:HP598"/>
    <mergeCell ref="HQ598:HR598"/>
    <mergeCell ref="GX591:GY591"/>
    <mergeCell ref="GZ591:HA591"/>
    <mergeCell ref="HC591:HD591"/>
    <mergeCell ref="HE591:HF591"/>
    <mergeCell ref="HH591:HI591"/>
    <mergeCell ref="HJ591:HK591"/>
    <mergeCell ref="HM591:HN591"/>
    <mergeCell ref="HO591:HP591"/>
    <mergeCell ref="HQ591:HR591"/>
    <mergeCell ref="GX588:GY588"/>
    <mergeCell ref="GZ588:HA588"/>
    <mergeCell ref="HC588:HD588"/>
    <mergeCell ref="HE588:HF588"/>
    <mergeCell ref="HH588:HI588"/>
    <mergeCell ref="HJ588:HK588"/>
    <mergeCell ref="HM588:HN588"/>
    <mergeCell ref="HO588:HP588"/>
    <mergeCell ref="HQ588:HR588"/>
    <mergeCell ref="GX589:GY589"/>
    <mergeCell ref="GZ589:HA589"/>
    <mergeCell ref="HC589:HD589"/>
    <mergeCell ref="HE589:HF589"/>
    <mergeCell ref="HH589:HI589"/>
    <mergeCell ref="HJ589:HK589"/>
    <mergeCell ref="HM589:HN589"/>
    <mergeCell ref="HO589:HP589"/>
    <mergeCell ref="HQ589:HR589"/>
    <mergeCell ref="GX594:GY594"/>
    <mergeCell ref="GZ594:HA594"/>
    <mergeCell ref="HC594:HD594"/>
    <mergeCell ref="HE594:HF594"/>
    <mergeCell ref="HH594:HI594"/>
    <mergeCell ref="HJ594:HK594"/>
    <mergeCell ref="HM594:HN594"/>
    <mergeCell ref="HO594:HP594"/>
    <mergeCell ref="HQ594:HR594"/>
    <mergeCell ref="GX587:GY587"/>
    <mergeCell ref="GZ587:HA587"/>
    <mergeCell ref="HC587:HD587"/>
    <mergeCell ref="HE587:HF587"/>
    <mergeCell ref="HH587:HI587"/>
    <mergeCell ref="HJ587:HK587"/>
    <mergeCell ref="HM587:HN587"/>
    <mergeCell ref="HO587:HP587"/>
    <mergeCell ref="HQ587:HR587"/>
    <mergeCell ref="GX584:GY584"/>
    <mergeCell ref="GZ584:HA584"/>
    <mergeCell ref="HC584:HD584"/>
    <mergeCell ref="HE584:HF584"/>
    <mergeCell ref="HH584:HI584"/>
    <mergeCell ref="HJ584:HK584"/>
    <mergeCell ref="HM584:HN584"/>
    <mergeCell ref="HO584:HP584"/>
    <mergeCell ref="HQ584:HR584"/>
    <mergeCell ref="GX585:GY585"/>
    <mergeCell ref="GZ585:HA585"/>
    <mergeCell ref="HC585:HD585"/>
    <mergeCell ref="HE585:HF585"/>
    <mergeCell ref="HH585:HI585"/>
    <mergeCell ref="HJ585:HK585"/>
    <mergeCell ref="HM585:HN585"/>
    <mergeCell ref="HO585:HP585"/>
    <mergeCell ref="HQ585:HR585"/>
    <mergeCell ref="GX590:GY590"/>
    <mergeCell ref="GZ590:HA590"/>
    <mergeCell ref="HC590:HD590"/>
    <mergeCell ref="HE590:HF590"/>
    <mergeCell ref="HH590:HI590"/>
    <mergeCell ref="HJ590:HK590"/>
    <mergeCell ref="HM590:HN590"/>
    <mergeCell ref="HO590:HP590"/>
    <mergeCell ref="HQ590:HR590"/>
    <mergeCell ref="GX583:GY583"/>
    <mergeCell ref="GZ583:HA583"/>
    <mergeCell ref="HC583:HD583"/>
    <mergeCell ref="HE583:HF583"/>
    <mergeCell ref="HH583:HI583"/>
    <mergeCell ref="HJ583:HK583"/>
    <mergeCell ref="HM583:HN583"/>
    <mergeCell ref="HO583:HP583"/>
    <mergeCell ref="HQ583:HR583"/>
    <mergeCell ref="GX580:GY580"/>
    <mergeCell ref="GZ580:HA580"/>
    <mergeCell ref="HC580:HD580"/>
    <mergeCell ref="HE580:HF580"/>
    <mergeCell ref="HH580:HI580"/>
    <mergeCell ref="HJ580:HK580"/>
    <mergeCell ref="HM580:HN580"/>
    <mergeCell ref="HO580:HP580"/>
    <mergeCell ref="HQ580:HR580"/>
    <mergeCell ref="GX581:GY581"/>
    <mergeCell ref="GZ581:HA581"/>
    <mergeCell ref="HC581:HD581"/>
    <mergeCell ref="HE581:HF581"/>
    <mergeCell ref="HH581:HI581"/>
    <mergeCell ref="HJ581:HK581"/>
    <mergeCell ref="HM581:HN581"/>
    <mergeCell ref="HO581:HP581"/>
    <mergeCell ref="HQ581:HR581"/>
    <mergeCell ref="GX586:GY586"/>
    <mergeCell ref="GZ586:HA586"/>
    <mergeCell ref="HC586:HD586"/>
    <mergeCell ref="HE586:HF586"/>
    <mergeCell ref="HH586:HI586"/>
    <mergeCell ref="HJ586:HK586"/>
    <mergeCell ref="HM586:HN586"/>
    <mergeCell ref="HO586:HP586"/>
    <mergeCell ref="HQ586:HR586"/>
    <mergeCell ref="GX579:GY579"/>
    <mergeCell ref="GZ579:HA579"/>
    <mergeCell ref="HC579:HD579"/>
    <mergeCell ref="HE579:HF579"/>
    <mergeCell ref="HH579:HI579"/>
    <mergeCell ref="HJ579:HK579"/>
    <mergeCell ref="HM579:HN579"/>
    <mergeCell ref="HO579:HP579"/>
    <mergeCell ref="HQ579:HR579"/>
    <mergeCell ref="GX576:GY576"/>
    <mergeCell ref="GZ576:HA576"/>
    <mergeCell ref="HC576:HD576"/>
    <mergeCell ref="HE576:HF576"/>
    <mergeCell ref="HH576:HI576"/>
    <mergeCell ref="HJ576:HK576"/>
    <mergeCell ref="HM576:HN576"/>
    <mergeCell ref="HO576:HP576"/>
    <mergeCell ref="HQ576:HR576"/>
    <mergeCell ref="GX577:GY577"/>
    <mergeCell ref="GZ577:HA577"/>
    <mergeCell ref="HC577:HD577"/>
    <mergeCell ref="HE577:HF577"/>
    <mergeCell ref="HH577:HI577"/>
    <mergeCell ref="HJ577:HK577"/>
    <mergeCell ref="HM577:HN577"/>
    <mergeCell ref="HO577:HP577"/>
    <mergeCell ref="HQ577:HR577"/>
    <mergeCell ref="GX582:GY582"/>
    <mergeCell ref="GZ582:HA582"/>
    <mergeCell ref="HC582:HD582"/>
    <mergeCell ref="HE582:HF582"/>
    <mergeCell ref="HH582:HI582"/>
    <mergeCell ref="HJ582:HK582"/>
    <mergeCell ref="HM582:HN582"/>
    <mergeCell ref="HO582:HP582"/>
    <mergeCell ref="HQ582:HR582"/>
    <mergeCell ref="GX575:GY575"/>
    <mergeCell ref="GZ575:HA575"/>
    <mergeCell ref="HC575:HD575"/>
    <mergeCell ref="HE575:HF575"/>
    <mergeCell ref="HH575:HI575"/>
    <mergeCell ref="HJ575:HK575"/>
    <mergeCell ref="HM575:HN575"/>
    <mergeCell ref="HO575:HP575"/>
    <mergeCell ref="HQ575:HR575"/>
    <mergeCell ref="GX572:GY572"/>
    <mergeCell ref="GZ572:HA572"/>
    <mergeCell ref="HC572:HD572"/>
    <mergeCell ref="HE572:HF572"/>
    <mergeCell ref="HH572:HI572"/>
    <mergeCell ref="HJ572:HK572"/>
    <mergeCell ref="HM572:HN572"/>
    <mergeCell ref="HO572:HP572"/>
    <mergeCell ref="HQ572:HR572"/>
    <mergeCell ref="GX573:GY573"/>
    <mergeCell ref="GZ573:HA573"/>
    <mergeCell ref="HC573:HD573"/>
    <mergeCell ref="HE573:HF573"/>
    <mergeCell ref="HH573:HI573"/>
    <mergeCell ref="HJ573:HK573"/>
    <mergeCell ref="HM573:HN573"/>
    <mergeCell ref="HO573:HP573"/>
    <mergeCell ref="HQ573:HR573"/>
    <mergeCell ref="GX578:GY578"/>
    <mergeCell ref="GZ578:HA578"/>
    <mergeCell ref="HC578:HD578"/>
    <mergeCell ref="HE578:HF578"/>
    <mergeCell ref="HH578:HI578"/>
    <mergeCell ref="HJ578:HK578"/>
    <mergeCell ref="HM578:HN578"/>
    <mergeCell ref="HO578:HP578"/>
    <mergeCell ref="HQ578:HR578"/>
    <mergeCell ref="GX571:GY571"/>
    <mergeCell ref="GZ571:HA571"/>
    <mergeCell ref="HC571:HD571"/>
    <mergeCell ref="HE571:HF571"/>
    <mergeCell ref="HH571:HI571"/>
    <mergeCell ref="HJ571:HK571"/>
    <mergeCell ref="HM571:HN571"/>
    <mergeCell ref="HO571:HP571"/>
    <mergeCell ref="HQ571:HR571"/>
    <mergeCell ref="GX568:GY568"/>
    <mergeCell ref="GZ568:HA568"/>
    <mergeCell ref="HC568:HD568"/>
    <mergeCell ref="HE568:HF568"/>
    <mergeCell ref="HH568:HI568"/>
    <mergeCell ref="HJ568:HK568"/>
    <mergeCell ref="HM568:HN568"/>
    <mergeCell ref="HO568:HP568"/>
    <mergeCell ref="HQ568:HR568"/>
    <mergeCell ref="GX569:GY569"/>
    <mergeCell ref="GZ569:HA569"/>
    <mergeCell ref="HC569:HD569"/>
    <mergeCell ref="HE569:HF569"/>
    <mergeCell ref="HH569:HI569"/>
    <mergeCell ref="HJ569:HK569"/>
    <mergeCell ref="HM569:HN569"/>
    <mergeCell ref="HO569:HP569"/>
    <mergeCell ref="HQ569:HR569"/>
    <mergeCell ref="GX574:GY574"/>
    <mergeCell ref="GZ574:HA574"/>
    <mergeCell ref="HC574:HD574"/>
    <mergeCell ref="HE574:HF574"/>
    <mergeCell ref="HH574:HI574"/>
    <mergeCell ref="HJ574:HK574"/>
    <mergeCell ref="HM574:HN574"/>
    <mergeCell ref="HO574:HP574"/>
    <mergeCell ref="HQ574:HR574"/>
    <mergeCell ref="GX567:GY567"/>
    <mergeCell ref="GZ567:HA567"/>
    <mergeCell ref="HC567:HD567"/>
    <mergeCell ref="HE567:HF567"/>
    <mergeCell ref="HH567:HI567"/>
    <mergeCell ref="HJ567:HK567"/>
    <mergeCell ref="HM567:HN567"/>
    <mergeCell ref="HO567:HP567"/>
    <mergeCell ref="HQ567:HR567"/>
    <mergeCell ref="GX564:GY564"/>
    <mergeCell ref="GZ564:HA564"/>
    <mergeCell ref="HC564:HD564"/>
    <mergeCell ref="HE564:HF564"/>
    <mergeCell ref="HH564:HI564"/>
    <mergeCell ref="HJ564:HK564"/>
    <mergeCell ref="HM564:HN564"/>
    <mergeCell ref="HO564:HP564"/>
    <mergeCell ref="HQ564:HR564"/>
    <mergeCell ref="GX565:GY565"/>
    <mergeCell ref="GZ565:HA565"/>
    <mergeCell ref="HC565:HD565"/>
    <mergeCell ref="HE565:HF565"/>
    <mergeCell ref="HH565:HI565"/>
    <mergeCell ref="HJ565:HK565"/>
    <mergeCell ref="HM565:HN565"/>
    <mergeCell ref="HO565:HP565"/>
    <mergeCell ref="HQ565:HR565"/>
    <mergeCell ref="GX570:GY570"/>
    <mergeCell ref="GZ570:HA570"/>
    <mergeCell ref="HC570:HD570"/>
    <mergeCell ref="HE570:HF570"/>
    <mergeCell ref="HH570:HI570"/>
    <mergeCell ref="HJ570:HK570"/>
    <mergeCell ref="HM570:HN570"/>
    <mergeCell ref="HO570:HP570"/>
    <mergeCell ref="HQ570:HR570"/>
    <mergeCell ref="GX563:GY563"/>
    <mergeCell ref="GZ563:HA563"/>
    <mergeCell ref="HC563:HD563"/>
    <mergeCell ref="HE563:HF563"/>
    <mergeCell ref="HH563:HI563"/>
    <mergeCell ref="HJ563:HK563"/>
    <mergeCell ref="HM563:HN563"/>
    <mergeCell ref="HO563:HP563"/>
    <mergeCell ref="HQ563:HR563"/>
    <mergeCell ref="GX560:GY560"/>
    <mergeCell ref="GZ560:HA560"/>
    <mergeCell ref="HC560:HD560"/>
    <mergeCell ref="HE560:HF560"/>
    <mergeCell ref="HH560:HI560"/>
    <mergeCell ref="HJ560:HK560"/>
    <mergeCell ref="HM560:HN560"/>
    <mergeCell ref="HO560:HP560"/>
    <mergeCell ref="HQ560:HR560"/>
    <mergeCell ref="GX561:GY561"/>
    <mergeCell ref="GZ561:HA561"/>
    <mergeCell ref="HC561:HD561"/>
    <mergeCell ref="HE561:HF561"/>
    <mergeCell ref="HH561:HI561"/>
    <mergeCell ref="HJ561:HK561"/>
    <mergeCell ref="HM561:HN561"/>
    <mergeCell ref="HO561:HP561"/>
    <mergeCell ref="HQ561:HR561"/>
    <mergeCell ref="GX566:GY566"/>
    <mergeCell ref="GZ566:HA566"/>
    <mergeCell ref="HC566:HD566"/>
    <mergeCell ref="HE566:HF566"/>
    <mergeCell ref="HH566:HI566"/>
    <mergeCell ref="HJ566:HK566"/>
    <mergeCell ref="HM566:HN566"/>
    <mergeCell ref="HO566:HP566"/>
    <mergeCell ref="HQ566:HR566"/>
    <mergeCell ref="GX559:GY559"/>
    <mergeCell ref="GZ559:HA559"/>
    <mergeCell ref="HC559:HD559"/>
    <mergeCell ref="HE559:HF559"/>
    <mergeCell ref="HH559:HI559"/>
    <mergeCell ref="HJ559:HK559"/>
    <mergeCell ref="HM559:HN559"/>
    <mergeCell ref="HO559:HP559"/>
    <mergeCell ref="HQ559:HR559"/>
    <mergeCell ref="GX556:GY556"/>
    <mergeCell ref="GZ556:HA556"/>
    <mergeCell ref="HC556:HD556"/>
    <mergeCell ref="HE556:HF556"/>
    <mergeCell ref="HH556:HI556"/>
    <mergeCell ref="HJ556:HK556"/>
    <mergeCell ref="HM556:HN556"/>
    <mergeCell ref="HO556:HP556"/>
    <mergeCell ref="HQ556:HR556"/>
    <mergeCell ref="GX557:GY557"/>
    <mergeCell ref="GZ557:HA557"/>
    <mergeCell ref="HC557:HD557"/>
    <mergeCell ref="HE557:HF557"/>
    <mergeCell ref="HH557:HI557"/>
    <mergeCell ref="HJ557:HK557"/>
    <mergeCell ref="HM557:HN557"/>
    <mergeCell ref="HO557:HP557"/>
    <mergeCell ref="HQ557:HR557"/>
    <mergeCell ref="GX562:GY562"/>
    <mergeCell ref="GZ562:HA562"/>
    <mergeCell ref="HC562:HD562"/>
    <mergeCell ref="HE562:HF562"/>
    <mergeCell ref="HH562:HI562"/>
    <mergeCell ref="HJ562:HK562"/>
    <mergeCell ref="HM562:HN562"/>
    <mergeCell ref="HO562:HP562"/>
    <mergeCell ref="HQ562:HR562"/>
    <mergeCell ref="GX555:GY555"/>
    <mergeCell ref="GZ555:HA555"/>
    <mergeCell ref="HC555:HD555"/>
    <mergeCell ref="HE555:HF555"/>
    <mergeCell ref="HH555:HI555"/>
    <mergeCell ref="HJ555:HK555"/>
    <mergeCell ref="HM555:HN555"/>
    <mergeCell ref="HO555:HP555"/>
    <mergeCell ref="HQ555:HR555"/>
    <mergeCell ref="GX552:GY552"/>
    <mergeCell ref="GZ552:HA552"/>
    <mergeCell ref="HC552:HD552"/>
    <mergeCell ref="HE552:HF552"/>
    <mergeCell ref="HH552:HI552"/>
    <mergeCell ref="HJ552:HK552"/>
    <mergeCell ref="HM552:HN552"/>
    <mergeCell ref="HO552:HP552"/>
    <mergeCell ref="HQ552:HR552"/>
    <mergeCell ref="GX553:GY553"/>
    <mergeCell ref="GZ553:HA553"/>
    <mergeCell ref="HC553:HD553"/>
    <mergeCell ref="HE553:HF553"/>
    <mergeCell ref="HH553:HI553"/>
    <mergeCell ref="HJ553:HK553"/>
    <mergeCell ref="HM553:HN553"/>
    <mergeCell ref="HO553:HP553"/>
    <mergeCell ref="HQ553:HR553"/>
    <mergeCell ref="GX558:GY558"/>
    <mergeCell ref="GZ558:HA558"/>
    <mergeCell ref="HC558:HD558"/>
    <mergeCell ref="HE558:HF558"/>
    <mergeCell ref="HH558:HI558"/>
    <mergeCell ref="HJ558:HK558"/>
    <mergeCell ref="HM558:HN558"/>
    <mergeCell ref="HO558:HP558"/>
    <mergeCell ref="HQ558:HR558"/>
    <mergeCell ref="GX551:GY551"/>
    <mergeCell ref="GZ551:HA551"/>
    <mergeCell ref="HC551:HD551"/>
    <mergeCell ref="HE551:HF551"/>
    <mergeCell ref="HH551:HI551"/>
    <mergeCell ref="HJ551:HK551"/>
    <mergeCell ref="HM551:HN551"/>
    <mergeCell ref="HO551:HP551"/>
    <mergeCell ref="HQ551:HR551"/>
    <mergeCell ref="GX548:GY548"/>
    <mergeCell ref="GZ548:HA548"/>
    <mergeCell ref="HC548:HD548"/>
    <mergeCell ref="HE548:HF548"/>
    <mergeCell ref="HH548:HI548"/>
    <mergeCell ref="HJ548:HK548"/>
    <mergeCell ref="HM548:HN548"/>
    <mergeCell ref="HO548:HP548"/>
    <mergeCell ref="HQ548:HR548"/>
    <mergeCell ref="GX549:GY549"/>
    <mergeCell ref="GZ549:HA549"/>
    <mergeCell ref="HC549:HD549"/>
    <mergeCell ref="HE549:HF549"/>
    <mergeCell ref="HH549:HI549"/>
    <mergeCell ref="HJ549:HK549"/>
    <mergeCell ref="HM549:HN549"/>
    <mergeCell ref="HO549:HP549"/>
    <mergeCell ref="HQ549:HR549"/>
    <mergeCell ref="GX554:GY554"/>
    <mergeCell ref="GZ554:HA554"/>
    <mergeCell ref="HC554:HD554"/>
    <mergeCell ref="HE554:HF554"/>
    <mergeCell ref="HH554:HI554"/>
    <mergeCell ref="HJ554:HK554"/>
    <mergeCell ref="HM554:HN554"/>
    <mergeCell ref="HO554:HP554"/>
    <mergeCell ref="HQ554:HR554"/>
    <mergeCell ref="GX547:GY547"/>
    <mergeCell ref="GZ547:HA547"/>
    <mergeCell ref="HC547:HD547"/>
    <mergeCell ref="HE547:HF547"/>
    <mergeCell ref="HH547:HI547"/>
    <mergeCell ref="HJ547:HK547"/>
    <mergeCell ref="HM547:HN547"/>
    <mergeCell ref="HO547:HP547"/>
    <mergeCell ref="HQ547:HR547"/>
    <mergeCell ref="GX544:GY544"/>
    <mergeCell ref="GZ544:HA544"/>
    <mergeCell ref="HC544:HD544"/>
    <mergeCell ref="HE544:HF544"/>
    <mergeCell ref="HH544:HI544"/>
    <mergeCell ref="HJ544:HK544"/>
    <mergeCell ref="HM544:HN544"/>
    <mergeCell ref="HO544:HP544"/>
    <mergeCell ref="HQ544:HR544"/>
    <mergeCell ref="GX545:GY545"/>
    <mergeCell ref="GZ545:HA545"/>
    <mergeCell ref="HC545:HD545"/>
    <mergeCell ref="HE545:HF545"/>
    <mergeCell ref="HH545:HI545"/>
    <mergeCell ref="HJ545:HK545"/>
    <mergeCell ref="HM545:HN545"/>
    <mergeCell ref="HO545:HP545"/>
    <mergeCell ref="HQ545:HR545"/>
    <mergeCell ref="GX550:GY550"/>
    <mergeCell ref="GZ550:HA550"/>
    <mergeCell ref="HC550:HD550"/>
    <mergeCell ref="HE550:HF550"/>
    <mergeCell ref="HH550:HI550"/>
    <mergeCell ref="HJ550:HK550"/>
    <mergeCell ref="HM550:HN550"/>
    <mergeCell ref="HO550:HP550"/>
    <mergeCell ref="HQ550:HR550"/>
    <mergeCell ref="GX543:GY543"/>
    <mergeCell ref="GZ543:HA543"/>
    <mergeCell ref="HC543:HD543"/>
    <mergeCell ref="HE543:HF543"/>
    <mergeCell ref="HH543:HI543"/>
    <mergeCell ref="HJ543:HK543"/>
    <mergeCell ref="HM543:HN543"/>
    <mergeCell ref="HO543:HP543"/>
    <mergeCell ref="HQ543:HR543"/>
    <mergeCell ref="GX540:GY540"/>
    <mergeCell ref="GZ540:HA540"/>
    <mergeCell ref="HC540:HD540"/>
    <mergeCell ref="HE540:HF540"/>
    <mergeCell ref="HH540:HI540"/>
    <mergeCell ref="HJ540:HK540"/>
    <mergeCell ref="HM540:HN540"/>
    <mergeCell ref="HO540:HP540"/>
    <mergeCell ref="HQ540:HR540"/>
    <mergeCell ref="GX541:GY541"/>
    <mergeCell ref="GZ541:HA541"/>
    <mergeCell ref="HC541:HD541"/>
    <mergeCell ref="HE541:HF541"/>
    <mergeCell ref="HH541:HI541"/>
    <mergeCell ref="HJ541:HK541"/>
    <mergeCell ref="HM541:HN541"/>
    <mergeCell ref="HO541:HP541"/>
    <mergeCell ref="HQ541:HR541"/>
    <mergeCell ref="GX546:GY546"/>
    <mergeCell ref="GZ546:HA546"/>
    <mergeCell ref="HC546:HD546"/>
    <mergeCell ref="HE546:HF546"/>
    <mergeCell ref="HH546:HI546"/>
    <mergeCell ref="HJ546:HK546"/>
    <mergeCell ref="HM546:HN546"/>
    <mergeCell ref="HO546:HP546"/>
    <mergeCell ref="HQ546:HR546"/>
    <mergeCell ref="GX539:GY539"/>
    <mergeCell ref="GZ539:HA539"/>
    <mergeCell ref="HC539:HD539"/>
    <mergeCell ref="HE539:HF539"/>
    <mergeCell ref="HH539:HI539"/>
    <mergeCell ref="HJ539:HK539"/>
    <mergeCell ref="HM539:HN539"/>
    <mergeCell ref="HO539:HP539"/>
    <mergeCell ref="HQ539:HR539"/>
    <mergeCell ref="GX536:GY536"/>
    <mergeCell ref="GZ536:HA536"/>
    <mergeCell ref="HC536:HD536"/>
    <mergeCell ref="HE536:HF536"/>
    <mergeCell ref="HH536:HI536"/>
    <mergeCell ref="HJ536:HK536"/>
    <mergeCell ref="HM536:HN536"/>
    <mergeCell ref="HO536:HP536"/>
    <mergeCell ref="HQ536:HR536"/>
    <mergeCell ref="GX537:GY537"/>
    <mergeCell ref="GZ537:HA537"/>
    <mergeCell ref="HC537:HD537"/>
    <mergeCell ref="HE537:HF537"/>
    <mergeCell ref="HH537:HI537"/>
    <mergeCell ref="HJ537:HK537"/>
    <mergeCell ref="HM537:HN537"/>
    <mergeCell ref="HO537:HP537"/>
    <mergeCell ref="HQ537:HR537"/>
    <mergeCell ref="GX542:GY542"/>
    <mergeCell ref="GZ542:HA542"/>
    <mergeCell ref="HC542:HD542"/>
    <mergeCell ref="HE542:HF542"/>
    <mergeCell ref="HH542:HI542"/>
    <mergeCell ref="HJ542:HK542"/>
    <mergeCell ref="HM542:HN542"/>
    <mergeCell ref="HO542:HP542"/>
    <mergeCell ref="HQ542:HR542"/>
    <mergeCell ref="GX535:GY535"/>
    <mergeCell ref="GZ535:HA535"/>
    <mergeCell ref="HC535:HD535"/>
    <mergeCell ref="HE535:HF535"/>
    <mergeCell ref="HH535:HI535"/>
    <mergeCell ref="HJ535:HK535"/>
    <mergeCell ref="HM535:HN535"/>
    <mergeCell ref="HO535:HP535"/>
    <mergeCell ref="HQ535:HR535"/>
    <mergeCell ref="GX532:GY532"/>
    <mergeCell ref="GZ532:HA532"/>
    <mergeCell ref="HC532:HD532"/>
    <mergeCell ref="HE532:HF532"/>
    <mergeCell ref="HH532:HI532"/>
    <mergeCell ref="HJ532:HK532"/>
    <mergeCell ref="HM532:HN532"/>
    <mergeCell ref="HO532:HP532"/>
    <mergeCell ref="HQ532:HR532"/>
    <mergeCell ref="GX533:GY533"/>
    <mergeCell ref="GZ533:HA533"/>
    <mergeCell ref="HC533:HD533"/>
    <mergeCell ref="HE533:HF533"/>
    <mergeCell ref="HH533:HI533"/>
    <mergeCell ref="HJ533:HK533"/>
    <mergeCell ref="HM533:HN533"/>
    <mergeCell ref="HO533:HP533"/>
    <mergeCell ref="HQ533:HR533"/>
    <mergeCell ref="GX538:GY538"/>
    <mergeCell ref="GZ538:HA538"/>
    <mergeCell ref="HC538:HD538"/>
    <mergeCell ref="HE538:HF538"/>
    <mergeCell ref="HH538:HI538"/>
    <mergeCell ref="HJ538:HK538"/>
    <mergeCell ref="HM538:HN538"/>
    <mergeCell ref="HO538:HP538"/>
    <mergeCell ref="HQ538:HR538"/>
    <mergeCell ref="GX531:GY531"/>
    <mergeCell ref="GZ531:HA531"/>
    <mergeCell ref="HC531:HD531"/>
    <mergeCell ref="HE531:HF531"/>
    <mergeCell ref="HH531:HI531"/>
    <mergeCell ref="HJ531:HK531"/>
    <mergeCell ref="HM531:HN531"/>
    <mergeCell ref="HO531:HP531"/>
    <mergeCell ref="HQ531:HR531"/>
    <mergeCell ref="GX528:GY528"/>
    <mergeCell ref="GZ528:HA528"/>
    <mergeCell ref="HC528:HD528"/>
    <mergeCell ref="HE528:HF528"/>
    <mergeCell ref="HH528:HI528"/>
    <mergeCell ref="HJ528:HK528"/>
    <mergeCell ref="HM528:HN528"/>
    <mergeCell ref="HO528:HP528"/>
    <mergeCell ref="HQ528:HR528"/>
    <mergeCell ref="GX529:GY529"/>
    <mergeCell ref="GZ529:HA529"/>
    <mergeCell ref="HC529:HD529"/>
    <mergeCell ref="HE529:HF529"/>
    <mergeCell ref="HH529:HI529"/>
    <mergeCell ref="HJ529:HK529"/>
    <mergeCell ref="HM529:HN529"/>
    <mergeCell ref="HO529:HP529"/>
    <mergeCell ref="HQ529:HR529"/>
    <mergeCell ref="GX534:GY534"/>
    <mergeCell ref="GZ534:HA534"/>
    <mergeCell ref="HC534:HD534"/>
    <mergeCell ref="HE534:HF534"/>
    <mergeCell ref="HH534:HI534"/>
    <mergeCell ref="HJ534:HK534"/>
    <mergeCell ref="HM534:HN534"/>
    <mergeCell ref="HO534:HP534"/>
    <mergeCell ref="HQ534:HR534"/>
    <mergeCell ref="GX527:GY527"/>
    <mergeCell ref="GZ527:HA527"/>
    <mergeCell ref="HC527:HD527"/>
    <mergeCell ref="HE527:HF527"/>
    <mergeCell ref="HH527:HI527"/>
    <mergeCell ref="HJ527:HK527"/>
    <mergeCell ref="HM527:HN527"/>
    <mergeCell ref="HO527:HP527"/>
    <mergeCell ref="HQ527:HR527"/>
    <mergeCell ref="GX524:GY524"/>
    <mergeCell ref="GZ524:HA524"/>
    <mergeCell ref="HC524:HD524"/>
    <mergeCell ref="HE524:HF524"/>
    <mergeCell ref="HH524:HI524"/>
    <mergeCell ref="HJ524:HK524"/>
    <mergeCell ref="HM524:HN524"/>
    <mergeCell ref="HO524:HP524"/>
    <mergeCell ref="HQ524:HR524"/>
    <mergeCell ref="GX525:GY525"/>
    <mergeCell ref="GZ525:HA525"/>
    <mergeCell ref="HC525:HD525"/>
    <mergeCell ref="HE525:HF525"/>
    <mergeCell ref="HH525:HI525"/>
    <mergeCell ref="HJ525:HK525"/>
    <mergeCell ref="HM525:HN525"/>
    <mergeCell ref="HO525:HP525"/>
    <mergeCell ref="HQ525:HR525"/>
    <mergeCell ref="GX530:GY530"/>
    <mergeCell ref="GZ530:HA530"/>
    <mergeCell ref="HC530:HD530"/>
    <mergeCell ref="HE530:HF530"/>
    <mergeCell ref="HH530:HI530"/>
    <mergeCell ref="HJ530:HK530"/>
    <mergeCell ref="HM530:HN530"/>
    <mergeCell ref="HO530:HP530"/>
    <mergeCell ref="HQ530:HR530"/>
    <mergeCell ref="GX523:GY523"/>
    <mergeCell ref="GZ523:HA523"/>
    <mergeCell ref="HC523:HD523"/>
    <mergeCell ref="HE523:HF523"/>
    <mergeCell ref="HH523:HI523"/>
    <mergeCell ref="HJ523:HK523"/>
    <mergeCell ref="HM523:HN523"/>
    <mergeCell ref="HO523:HP523"/>
    <mergeCell ref="HQ523:HR523"/>
    <mergeCell ref="GX520:GY520"/>
    <mergeCell ref="GZ520:HA520"/>
    <mergeCell ref="HC520:HD520"/>
    <mergeCell ref="HE520:HF520"/>
    <mergeCell ref="HH520:HI520"/>
    <mergeCell ref="HJ520:HK520"/>
    <mergeCell ref="HM520:HN520"/>
    <mergeCell ref="HO520:HP520"/>
    <mergeCell ref="HQ520:HR520"/>
    <mergeCell ref="GX521:GY521"/>
    <mergeCell ref="GZ521:HA521"/>
    <mergeCell ref="HC521:HD521"/>
    <mergeCell ref="HE521:HF521"/>
    <mergeCell ref="HH521:HI521"/>
    <mergeCell ref="HJ521:HK521"/>
    <mergeCell ref="HM521:HN521"/>
    <mergeCell ref="HO521:HP521"/>
    <mergeCell ref="HQ521:HR521"/>
    <mergeCell ref="GX526:GY526"/>
    <mergeCell ref="GZ526:HA526"/>
    <mergeCell ref="HC526:HD526"/>
    <mergeCell ref="HE526:HF526"/>
    <mergeCell ref="HH526:HI526"/>
    <mergeCell ref="HJ526:HK526"/>
    <mergeCell ref="HM526:HN526"/>
    <mergeCell ref="HO526:HP526"/>
    <mergeCell ref="HQ526:HR526"/>
    <mergeCell ref="GX519:GY519"/>
    <mergeCell ref="GZ519:HA519"/>
    <mergeCell ref="HC519:HD519"/>
    <mergeCell ref="HE519:HF519"/>
    <mergeCell ref="HH519:HI519"/>
    <mergeCell ref="HJ519:HK519"/>
    <mergeCell ref="HM519:HN519"/>
    <mergeCell ref="HO519:HP519"/>
    <mergeCell ref="HQ519:HR519"/>
    <mergeCell ref="GX516:GY516"/>
    <mergeCell ref="GZ516:HA516"/>
    <mergeCell ref="HC516:HD516"/>
    <mergeCell ref="HE516:HF516"/>
    <mergeCell ref="HH516:HI516"/>
    <mergeCell ref="HJ516:HK516"/>
    <mergeCell ref="HM516:HN516"/>
    <mergeCell ref="HO516:HP516"/>
    <mergeCell ref="HQ516:HR516"/>
    <mergeCell ref="GX517:GY517"/>
    <mergeCell ref="GZ517:HA517"/>
    <mergeCell ref="HC517:HD517"/>
    <mergeCell ref="HE517:HF517"/>
    <mergeCell ref="HH517:HI517"/>
    <mergeCell ref="HJ517:HK517"/>
    <mergeCell ref="HM517:HN517"/>
    <mergeCell ref="HO517:HP517"/>
    <mergeCell ref="HQ517:HR517"/>
    <mergeCell ref="GX522:GY522"/>
    <mergeCell ref="GZ522:HA522"/>
    <mergeCell ref="HC522:HD522"/>
    <mergeCell ref="HE522:HF522"/>
    <mergeCell ref="HH522:HI522"/>
    <mergeCell ref="HJ522:HK522"/>
    <mergeCell ref="HM522:HN522"/>
    <mergeCell ref="HO522:HP522"/>
    <mergeCell ref="HQ522:HR522"/>
    <mergeCell ref="GX515:GY515"/>
    <mergeCell ref="GZ515:HA515"/>
    <mergeCell ref="HC515:HD515"/>
    <mergeCell ref="HE515:HF515"/>
    <mergeCell ref="HH515:HI515"/>
    <mergeCell ref="HJ515:HK515"/>
    <mergeCell ref="HM515:HN515"/>
    <mergeCell ref="HO515:HP515"/>
    <mergeCell ref="HQ515:HR515"/>
    <mergeCell ref="GX512:GY512"/>
    <mergeCell ref="GZ512:HA512"/>
    <mergeCell ref="HC512:HD512"/>
    <mergeCell ref="HE512:HF512"/>
    <mergeCell ref="HH512:HI512"/>
    <mergeCell ref="HJ512:HK512"/>
    <mergeCell ref="HM512:HN512"/>
    <mergeCell ref="HO512:HP512"/>
    <mergeCell ref="HQ512:HR512"/>
    <mergeCell ref="GX513:GY513"/>
    <mergeCell ref="GZ513:HA513"/>
    <mergeCell ref="HC513:HD513"/>
    <mergeCell ref="HE513:HF513"/>
    <mergeCell ref="HH513:HI513"/>
    <mergeCell ref="HJ513:HK513"/>
    <mergeCell ref="HM513:HN513"/>
    <mergeCell ref="HO513:HP513"/>
    <mergeCell ref="HQ513:HR513"/>
    <mergeCell ref="GX518:GY518"/>
    <mergeCell ref="GZ518:HA518"/>
    <mergeCell ref="HC518:HD518"/>
    <mergeCell ref="HE518:HF518"/>
    <mergeCell ref="HH518:HI518"/>
    <mergeCell ref="HJ518:HK518"/>
    <mergeCell ref="HM518:HN518"/>
    <mergeCell ref="HO518:HP518"/>
    <mergeCell ref="HQ518:HR518"/>
    <mergeCell ref="GX511:GY511"/>
    <mergeCell ref="GZ511:HA511"/>
    <mergeCell ref="HC511:HD511"/>
    <mergeCell ref="HE511:HF511"/>
    <mergeCell ref="HH511:HI511"/>
    <mergeCell ref="HJ511:HK511"/>
    <mergeCell ref="HM511:HN511"/>
    <mergeCell ref="HO511:HP511"/>
    <mergeCell ref="HQ511:HR511"/>
    <mergeCell ref="GX508:GY508"/>
    <mergeCell ref="GZ508:HA508"/>
    <mergeCell ref="HC508:HD508"/>
    <mergeCell ref="HE508:HF508"/>
    <mergeCell ref="HH508:HI508"/>
    <mergeCell ref="HJ508:HK508"/>
    <mergeCell ref="HM508:HN508"/>
    <mergeCell ref="HO508:HP508"/>
    <mergeCell ref="HQ508:HR508"/>
    <mergeCell ref="GX509:GY509"/>
    <mergeCell ref="GZ509:HA509"/>
    <mergeCell ref="HC509:HD509"/>
    <mergeCell ref="HE509:HF509"/>
    <mergeCell ref="HH509:HI509"/>
    <mergeCell ref="HJ509:HK509"/>
    <mergeCell ref="HM509:HN509"/>
    <mergeCell ref="HO509:HP509"/>
    <mergeCell ref="HQ509:HR509"/>
    <mergeCell ref="GX514:GY514"/>
    <mergeCell ref="GZ514:HA514"/>
    <mergeCell ref="HC514:HD514"/>
    <mergeCell ref="HE514:HF514"/>
    <mergeCell ref="HH514:HI514"/>
    <mergeCell ref="HJ514:HK514"/>
    <mergeCell ref="HM514:HN514"/>
    <mergeCell ref="HO514:HP514"/>
    <mergeCell ref="HQ514:HR514"/>
    <mergeCell ref="GX507:GY507"/>
    <mergeCell ref="GZ507:HA507"/>
    <mergeCell ref="HC507:HD507"/>
    <mergeCell ref="HE507:HF507"/>
    <mergeCell ref="HH507:HI507"/>
    <mergeCell ref="HJ507:HK507"/>
    <mergeCell ref="HM507:HN507"/>
    <mergeCell ref="HO507:HP507"/>
    <mergeCell ref="HQ507:HR507"/>
    <mergeCell ref="GX504:GY504"/>
    <mergeCell ref="GZ504:HA504"/>
    <mergeCell ref="HC504:HD504"/>
    <mergeCell ref="HE504:HF504"/>
    <mergeCell ref="HH504:HI504"/>
    <mergeCell ref="HJ504:HK504"/>
    <mergeCell ref="HM504:HN504"/>
    <mergeCell ref="HO504:HP504"/>
    <mergeCell ref="HQ504:HR504"/>
    <mergeCell ref="GX505:GY505"/>
    <mergeCell ref="GZ505:HA505"/>
    <mergeCell ref="HC505:HD505"/>
    <mergeCell ref="HE505:HF505"/>
    <mergeCell ref="HH505:HI505"/>
    <mergeCell ref="HJ505:HK505"/>
    <mergeCell ref="HM505:HN505"/>
    <mergeCell ref="HO505:HP505"/>
    <mergeCell ref="HQ505:HR505"/>
    <mergeCell ref="GX510:GY510"/>
    <mergeCell ref="GZ510:HA510"/>
    <mergeCell ref="HC510:HD510"/>
    <mergeCell ref="HE510:HF510"/>
    <mergeCell ref="HH510:HI510"/>
    <mergeCell ref="HJ510:HK510"/>
    <mergeCell ref="HM510:HN510"/>
    <mergeCell ref="HO510:HP510"/>
    <mergeCell ref="HQ510:HR510"/>
    <mergeCell ref="GX503:GY503"/>
    <mergeCell ref="GZ503:HA503"/>
    <mergeCell ref="HC503:HD503"/>
    <mergeCell ref="HE503:HF503"/>
    <mergeCell ref="HH503:HI503"/>
    <mergeCell ref="HJ503:HK503"/>
    <mergeCell ref="HM503:HN503"/>
    <mergeCell ref="HO503:HP503"/>
    <mergeCell ref="HQ503:HR503"/>
    <mergeCell ref="GX500:GY500"/>
    <mergeCell ref="GZ500:HA500"/>
    <mergeCell ref="HC500:HD500"/>
    <mergeCell ref="HE500:HF500"/>
    <mergeCell ref="HH500:HI500"/>
    <mergeCell ref="HJ500:HK500"/>
    <mergeCell ref="HM500:HN500"/>
    <mergeCell ref="HO500:HP500"/>
    <mergeCell ref="HQ500:HR500"/>
    <mergeCell ref="GX501:GY501"/>
    <mergeCell ref="GZ501:HA501"/>
    <mergeCell ref="HC501:HD501"/>
    <mergeCell ref="HE501:HF501"/>
    <mergeCell ref="HH501:HI501"/>
    <mergeCell ref="HJ501:HK501"/>
    <mergeCell ref="HM501:HN501"/>
    <mergeCell ref="HO501:HP501"/>
    <mergeCell ref="HQ501:HR501"/>
    <mergeCell ref="GX506:GY506"/>
    <mergeCell ref="GZ506:HA506"/>
    <mergeCell ref="HC506:HD506"/>
    <mergeCell ref="HE506:HF506"/>
    <mergeCell ref="HH506:HI506"/>
    <mergeCell ref="HJ506:HK506"/>
    <mergeCell ref="HM506:HN506"/>
    <mergeCell ref="HO506:HP506"/>
    <mergeCell ref="HQ506:HR506"/>
    <mergeCell ref="GX499:GY499"/>
    <mergeCell ref="GZ499:HA499"/>
    <mergeCell ref="HC499:HD499"/>
    <mergeCell ref="HE499:HF499"/>
    <mergeCell ref="HH499:HI499"/>
    <mergeCell ref="HJ499:HK499"/>
    <mergeCell ref="HM499:HN499"/>
    <mergeCell ref="HO499:HP499"/>
    <mergeCell ref="HQ499:HR499"/>
    <mergeCell ref="GX496:GY496"/>
    <mergeCell ref="GZ496:HA496"/>
    <mergeCell ref="HC496:HD496"/>
    <mergeCell ref="HE496:HF496"/>
    <mergeCell ref="HH496:HI496"/>
    <mergeCell ref="HJ496:HK496"/>
    <mergeCell ref="HM496:HN496"/>
    <mergeCell ref="HO496:HP496"/>
    <mergeCell ref="HQ496:HR496"/>
    <mergeCell ref="GX497:GY497"/>
    <mergeCell ref="GZ497:HA497"/>
    <mergeCell ref="HC497:HD497"/>
    <mergeCell ref="HE497:HF497"/>
    <mergeCell ref="HH497:HI497"/>
    <mergeCell ref="HJ497:HK497"/>
    <mergeCell ref="HM497:HN497"/>
    <mergeCell ref="HO497:HP497"/>
    <mergeCell ref="HQ497:HR497"/>
    <mergeCell ref="GX502:GY502"/>
    <mergeCell ref="GZ502:HA502"/>
    <mergeCell ref="HC502:HD502"/>
    <mergeCell ref="HE502:HF502"/>
    <mergeCell ref="HH502:HI502"/>
    <mergeCell ref="HJ502:HK502"/>
    <mergeCell ref="HM502:HN502"/>
    <mergeCell ref="HO502:HP502"/>
    <mergeCell ref="HQ502:HR502"/>
    <mergeCell ref="GX495:GY495"/>
    <mergeCell ref="GZ495:HA495"/>
    <mergeCell ref="HC495:HD495"/>
    <mergeCell ref="HE495:HF495"/>
    <mergeCell ref="HH495:HI495"/>
    <mergeCell ref="HJ495:HK495"/>
    <mergeCell ref="HM495:HN495"/>
    <mergeCell ref="HO495:HP495"/>
    <mergeCell ref="HQ495:HR495"/>
    <mergeCell ref="GX492:GY492"/>
    <mergeCell ref="GZ492:HA492"/>
    <mergeCell ref="HC492:HD492"/>
    <mergeCell ref="HE492:HF492"/>
    <mergeCell ref="HH492:HI492"/>
    <mergeCell ref="HJ492:HK492"/>
    <mergeCell ref="HM492:HN492"/>
    <mergeCell ref="HO492:HP492"/>
    <mergeCell ref="HQ492:HR492"/>
    <mergeCell ref="GX493:GY493"/>
    <mergeCell ref="GZ493:HA493"/>
    <mergeCell ref="HC493:HD493"/>
    <mergeCell ref="HE493:HF493"/>
    <mergeCell ref="HH493:HI493"/>
    <mergeCell ref="HJ493:HK493"/>
    <mergeCell ref="HM493:HN493"/>
    <mergeCell ref="HO493:HP493"/>
    <mergeCell ref="HQ493:HR493"/>
    <mergeCell ref="GX498:GY498"/>
    <mergeCell ref="GZ498:HA498"/>
    <mergeCell ref="HC498:HD498"/>
    <mergeCell ref="HE498:HF498"/>
    <mergeCell ref="HH498:HI498"/>
    <mergeCell ref="HJ498:HK498"/>
    <mergeCell ref="HM498:HN498"/>
    <mergeCell ref="HO498:HP498"/>
    <mergeCell ref="HQ498:HR498"/>
    <mergeCell ref="GX491:GY491"/>
    <mergeCell ref="GZ491:HA491"/>
    <mergeCell ref="HC491:HD491"/>
    <mergeCell ref="HE491:HF491"/>
    <mergeCell ref="HH491:HI491"/>
    <mergeCell ref="HJ491:HK491"/>
    <mergeCell ref="HM491:HN491"/>
    <mergeCell ref="HO491:HP491"/>
    <mergeCell ref="HQ491:HR491"/>
    <mergeCell ref="GX488:GY488"/>
    <mergeCell ref="GZ488:HA488"/>
    <mergeCell ref="HC488:HD488"/>
    <mergeCell ref="HE488:HF488"/>
    <mergeCell ref="HH488:HI488"/>
    <mergeCell ref="HJ488:HK488"/>
    <mergeCell ref="HM488:HN488"/>
    <mergeCell ref="HO488:HP488"/>
    <mergeCell ref="HQ488:HR488"/>
    <mergeCell ref="GX489:GY489"/>
    <mergeCell ref="GZ489:HA489"/>
    <mergeCell ref="HC489:HD489"/>
    <mergeCell ref="HE489:HF489"/>
    <mergeCell ref="HH489:HI489"/>
    <mergeCell ref="HJ489:HK489"/>
    <mergeCell ref="HM489:HN489"/>
    <mergeCell ref="HO489:HP489"/>
    <mergeCell ref="HQ489:HR489"/>
    <mergeCell ref="GX494:GY494"/>
    <mergeCell ref="GZ494:HA494"/>
    <mergeCell ref="HC494:HD494"/>
    <mergeCell ref="HE494:HF494"/>
    <mergeCell ref="HH494:HI494"/>
    <mergeCell ref="HJ494:HK494"/>
    <mergeCell ref="HM494:HN494"/>
    <mergeCell ref="HO494:HP494"/>
    <mergeCell ref="HQ494:HR494"/>
    <mergeCell ref="GX487:GY487"/>
    <mergeCell ref="GZ487:HA487"/>
    <mergeCell ref="HC487:HD487"/>
    <mergeCell ref="HE487:HF487"/>
    <mergeCell ref="HH487:HI487"/>
    <mergeCell ref="HJ487:HK487"/>
    <mergeCell ref="HM487:HN487"/>
    <mergeCell ref="HO487:HP487"/>
    <mergeCell ref="HQ487:HR487"/>
    <mergeCell ref="GX484:GY484"/>
    <mergeCell ref="GZ484:HA484"/>
    <mergeCell ref="HC484:HD484"/>
    <mergeCell ref="HE484:HF484"/>
    <mergeCell ref="HH484:HI484"/>
    <mergeCell ref="HJ484:HK484"/>
    <mergeCell ref="HM484:HN484"/>
    <mergeCell ref="HO484:HP484"/>
    <mergeCell ref="HQ484:HR484"/>
    <mergeCell ref="GX485:GY485"/>
    <mergeCell ref="GZ485:HA485"/>
    <mergeCell ref="HC485:HD485"/>
    <mergeCell ref="HE485:HF485"/>
    <mergeCell ref="HH485:HI485"/>
    <mergeCell ref="HJ485:HK485"/>
    <mergeCell ref="HM485:HN485"/>
    <mergeCell ref="HO485:HP485"/>
    <mergeCell ref="HQ485:HR485"/>
    <mergeCell ref="GX490:GY490"/>
    <mergeCell ref="GZ490:HA490"/>
    <mergeCell ref="HC490:HD490"/>
    <mergeCell ref="HE490:HF490"/>
    <mergeCell ref="HH490:HI490"/>
    <mergeCell ref="HJ490:HK490"/>
    <mergeCell ref="HM490:HN490"/>
    <mergeCell ref="HO490:HP490"/>
    <mergeCell ref="HQ490:HR490"/>
    <mergeCell ref="GX483:GY483"/>
    <mergeCell ref="GZ483:HA483"/>
    <mergeCell ref="HC483:HD483"/>
    <mergeCell ref="HE483:HF483"/>
    <mergeCell ref="HH483:HI483"/>
    <mergeCell ref="HJ483:HK483"/>
    <mergeCell ref="HM483:HN483"/>
    <mergeCell ref="HO483:HP483"/>
    <mergeCell ref="HQ483:HR483"/>
    <mergeCell ref="GX480:GY480"/>
    <mergeCell ref="GZ480:HA480"/>
    <mergeCell ref="HC480:HD480"/>
    <mergeCell ref="HE480:HF480"/>
    <mergeCell ref="HH480:HI480"/>
    <mergeCell ref="HJ480:HK480"/>
    <mergeCell ref="HM480:HN480"/>
    <mergeCell ref="HO480:HP480"/>
    <mergeCell ref="HQ480:HR480"/>
    <mergeCell ref="GX481:GY481"/>
    <mergeCell ref="GZ481:HA481"/>
    <mergeCell ref="HC481:HD481"/>
    <mergeCell ref="HE481:HF481"/>
    <mergeCell ref="HH481:HI481"/>
    <mergeCell ref="HJ481:HK481"/>
    <mergeCell ref="HM481:HN481"/>
    <mergeCell ref="HO481:HP481"/>
    <mergeCell ref="HQ481:HR481"/>
    <mergeCell ref="GX486:GY486"/>
    <mergeCell ref="GZ486:HA486"/>
    <mergeCell ref="HC486:HD486"/>
    <mergeCell ref="HE486:HF486"/>
    <mergeCell ref="HH486:HI486"/>
    <mergeCell ref="HJ486:HK486"/>
    <mergeCell ref="HM486:HN486"/>
    <mergeCell ref="HO486:HP486"/>
    <mergeCell ref="HQ486:HR486"/>
    <mergeCell ref="GX479:GY479"/>
    <mergeCell ref="GZ479:HA479"/>
    <mergeCell ref="HC479:HD479"/>
    <mergeCell ref="HE479:HF479"/>
    <mergeCell ref="HH479:HI479"/>
    <mergeCell ref="HJ479:HK479"/>
    <mergeCell ref="HM479:HN479"/>
    <mergeCell ref="HO479:HP479"/>
    <mergeCell ref="HQ479:HR479"/>
    <mergeCell ref="GX476:GY476"/>
    <mergeCell ref="GZ476:HA476"/>
    <mergeCell ref="HC476:HD476"/>
    <mergeCell ref="HE476:HF476"/>
    <mergeCell ref="HH476:HI476"/>
    <mergeCell ref="HJ476:HK476"/>
    <mergeCell ref="HM476:HN476"/>
    <mergeCell ref="HO476:HP476"/>
    <mergeCell ref="HQ476:HR476"/>
    <mergeCell ref="GX477:GY477"/>
    <mergeCell ref="GZ477:HA477"/>
    <mergeCell ref="HC477:HD477"/>
    <mergeCell ref="HE477:HF477"/>
    <mergeCell ref="HH477:HI477"/>
    <mergeCell ref="HJ477:HK477"/>
    <mergeCell ref="HM477:HN477"/>
    <mergeCell ref="HO477:HP477"/>
    <mergeCell ref="HQ477:HR477"/>
    <mergeCell ref="GX482:GY482"/>
    <mergeCell ref="GZ482:HA482"/>
    <mergeCell ref="HC482:HD482"/>
    <mergeCell ref="HE482:HF482"/>
    <mergeCell ref="HH482:HI482"/>
    <mergeCell ref="HJ482:HK482"/>
    <mergeCell ref="HM482:HN482"/>
    <mergeCell ref="HO482:HP482"/>
    <mergeCell ref="HQ482:HR482"/>
    <mergeCell ref="GX475:GY475"/>
    <mergeCell ref="GZ475:HA475"/>
    <mergeCell ref="HC475:HD475"/>
    <mergeCell ref="HE475:HF475"/>
    <mergeCell ref="HH475:HI475"/>
    <mergeCell ref="HJ475:HK475"/>
    <mergeCell ref="HM475:HN475"/>
    <mergeCell ref="HO475:HP475"/>
    <mergeCell ref="HQ475:HR475"/>
    <mergeCell ref="GX472:GY472"/>
    <mergeCell ref="GZ472:HA472"/>
    <mergeCell ref="HC472:HD472"/>
    <mergeCell ref="HE472:HF472"/>
    <mergeCell ref="HH472:HI472"/>
    <mergeCell ref="HJ472:HK472"/>
    <mergeCell ref="HM472:HN472"/>
    <mergeCell ref="HO472:HP472"/>
    <mergeCell ref="HQ472:HR472"/>
    <mergeCell ref="GX473:GY473"/>
    <mergeCell ref="GZ473:HA473"/>
    <mergeCell ref="HC473:HD473"/>
    <mergeCell ref="HE473:HF473"/>
    <mergeCell ref="HH473:HI473"/>
    <mergeCell ref="HJ473:HK473"/>
    <mergeCell ref="HM473:HN473"/>
    <mergeCell ref="HO473:HP473"/>
    <mergeCell ref="HQ473:HR473"/>
    <mergeCell ref="GX478:GY478"/>
    <mergeCell ref="GZ478:HA478"/>
    <mergeCell ref="HC478:HD478"/>
    <mergeCell ref="HE478:HF478"/>
    <mergeCell ref="HH478:HI478"/>
    <mergeCell ref="HJ478:HK478"/>
    <mergeCell ref="HM478:HN478"/>
    <mergeCell ref="HO478:HP478"/>
    <mergeCell ref="HQ478:HR478"/>
    <mergeCell ref="GX471:GY471"/>
    <mergeCell ref="GZ471:HA471"/>
    <mergeCell ref="HC471:HD471"/>
    <mergeCell ref="HE471:HF471"/>
    <mergeCell ref="HH471:HI471"/>
    <mergeCell ref="HJ471:HK471"/>
    <mergeCell ref="HM471:HN471"/>
    <mergeCell ref="HO471:HP471"/>
    <mergeCell ref="HQ471:HR471"/>
    <mergeCell ref="GX468:GY468"/>
    <mergeCell ref="GZ468:HA468"/>
    <mergeCell ref="HC468:HD468"/>
    <mergeCell ref="HE468:HF468"/>
    <mergeCell ref="HH468:HI468"/>
    <mergeCell ref="HJ468:HK468"/>
    <mergeCell ref="HM468:HN468"/>
    <mergeCell ref="HO468:HP468"/>
    <mergeCell ref="HQ468:HR468"/>
    <mergeCell ref="GX469:GY469"/>
    <mergeCell ref="GZ469:HA469"/>
    <mergeCell ref="HC469:HD469"/>
    <mergeCell ref="HE469:HF469"/>
    <mergeCell ref="HH469:HI469"/>
    <mergeCell ref="HJ469:HK469"/>
    <mergeCell ref="HM469:HN469"/>
    <mergeCell ref="HO469:HP469"/>
    <mergeCell ref="HQ469:HR469"/>
    <mergeCell ref="GX474:GY474"/>
    <mergeCell ref="GZ474:HA474"/>
    <mergeCell ref="HC474:HD474"/>
    <mergeCell ref="HE474:HF474"/>
    <mergeCell ref="HH474:HI474"/>
    <mergeCell ref="HJ474:HK474"/>
    <mergeCell ref="HM474:HN474"/>
    <mergeCell ref="HO474:HP474"/>
    <mergeCell ref="HQ474:HR474"/>
    <mergeCell ref="GX467:GY467"/>
    <mergeCell ref="GZ467:HA467"/>
    <mergeCell ref="HC467:HD467"/>
    <mergeCell ref="HE467:HF467"/>
    <mergeCell ref="HH467:HI467"/>
    <mergeCell ref="HJ467:HK467"/>
    <mergeCell ref="HM467:HN467"/>
    <mergeCell ref="HO467:HP467"/>
    <mergeCell ref="HQ467:HR467"/>
    <mergeCell ref="GX464:GY464"/>
    <mergeCell ref="GZ464:HA464"/>
    <mergeCell ref="HC464:HD464"/>
    <mergeCell ref="HE464:HF464"/>
    <mergeCell ref="HH464:HI464"/>
    <mergeCell ref="HJ464:HK464"/>
    <mergeCell ref="HM464:HN464"/>
    <mergeCell ref="HO464:HP464"/>
    <mergeCell ref="HQ464:HR464"/>
    <mergeCell ref="GX465:GY465"/>
    <mergeCell ref="GZ465:HA465"/>
    <mergeCell ref="HC465:HD465"/>
    <mergeCell ref="HE465:HF465"/>
    <mergeCell ref="HH465:HI465"/>
    <mergeCell ref="HJ465:HK465"/>
    <mergeCell ref="HM465:HN465"/>
    <mergeCell ref="HO465:HP465"/>
    <mergeCell ref="HQ465:HR465"/>
    <mergeCell ref="GX470:GY470"/>
    <mergeCell ref="GZ470:HA470"/>
    <mergeCell ref="HC470:HD470"/>
    <mergeCell ref="HE470:HF470"/>
    <mergeCell ref="HH470:HI470"/>
    <mergeCell ref="HJ470:HK470"/>
    <mergeCell ref="HM470:HN470"/>
    <mergeCell ref="HO470:HP470"/>
    <mergeCell ref="HQ470:HR470"/>
    <mergeCell ref="GX463:GY463"/>
    <mergeCell ref="GZ463:HA463"/>
    <mergeCell ref="HC463:HD463"/>
    <mergeCell ref="HE463:HF463"/>
    <mergeCell ref="HH463:HI463"/>
    <mergeCell ref="HJ463:HK463"/>
    <mergeCell ref="HM463:HN463"/>
    <mergeCell ref="HO463:HP463"/>
    <mergeCell ref="HQ463:HR463"/>
    <mergeCell ref="GX460:GY460"/>
    <mergeCell ref="GZ460:HA460"/>
    <mergeCell ref="HC460:HD460"/>
    <mergeCell ref="HE460:HF460"/>
    <mergeCell ref="HH460:HI460"/>
    <mergeCell ref="HJ460:HK460"/>
    <mergeCell ref="HM460:HN460"/>
    <mergeCell ref="HO460:HP460"/>
    <mergeCell ref="HQ460:HR460"/>
    <mergeCell ref="GX461:GY461"/>
    <mergeCell ref="GZ461:HA461"/>
    <mergeCell ref="HC461:HD461"/>
    <mergeCell ref="HE461:HF461"/>
    <mergeCell ref="HH461:HI461"/>
    <mergeCell ref="HJ461:HK461"/>
    <mergeCell ref="HM461:HN461"/>
    <mergeCell ref="HO461:HP461"/>
    <mergeCell ref="HQ461:HR461"/>
    <mergeCell ref="GX466:GY466"/>
    <mergeCell ref="GZ466:HA466"/>
    <mergeCell ref="HC466:HD466"/>
    <mergeCell ref="HE466:HF466"/>
    <mergeCell ref="HH466:HI466"/>
    <mergeCell ref="HJ466:HK466"/>
    <mergeCell ref="HM466:HN466"/>
    <mergeCell ref="HO466:HP466"/>
    <mergeCell ref="HQ466:HR466"/>
    <mergeCell ref="GX459:GY459"/>
    <mergeCell ref="GZ459:HA459"/>
    <mergeCell ref="HC459:HD459"/>
    <mergeCell ref="HE459:HF459"/>
    <mergeCell ref="HH459:HI459"/>
    <mergeCell ref="HJ459:HK459"/>
    <mergeCell ref="HM459:HN459"/>
    <mergeCell ref="HO459:HP459"/>
    <mergeCell ref="HQ459:HR459"/>
    <mergeCell ref="GX456:GY456"/>
    <mergeCell ref="GZ456:HA456"/>
    <mergeCell ref="HC456:HD456"/>
    <mergeCell ref="HE456:HF456"/>
    <mergeCell ref="HH456:HI456"/>
    <mergeCell ref="HJ456:HK456"/>
    <mergeCell ref="HM456:HN456"/>
    <mergeCell ref="HO456:HP456"/>
    <mergeCell ref="HQ456:HR456"/>
    <mergeCell ref="GX457:GY457"/>
    <mergeCell ref="GZ457:HA457"/>
    <mergeCell ref="HC457:HD457"/>
    <mergeCell ref="HE457:HF457"/>
    <mergeCell ref="HH457:HI457"/>
    <mergeCell ref="HJ457:HK457"/>
    <mergeCell ref="HM457:HN457"/>
    <mergeCell ref="HO457:HP457"/>
    <mergeCell ref="HQ457:HR457"/>
    <mergeCell ref="GX462:GY462"/>
    <mergeCell ref="GZ462:HA462"/>
    <mergeCell ref="HC462:HD462"/>
    <mergeCell ref="HE462:HF462"/>
    <mergeCell ref="HH462:HI462"/>
    <mergeCell ref="HJ462:HK462"/>
    <mergeCell ref="HM462:HN462"/>
    <mergeCell ref="HO462:HP462"/>
    <mergeCell ref="HQ462:HR462"/>
    <mergeCell ref="GX455:GY455"/>
    <mergeCell ref="GZ455:HA455"/>
    <mergeCell ref="HC455:HD455"/>
    <mergeCell ref="HE455:HF455"/>
    <mergeCell ref="HH455:HI455"/>
    <mergeCell ref="HJ455:HK455"/>
    <mergeCell ref="HM455:HN455"/>
    <mergeCell ref="HO455:HP455"/>
    <mergeCell ref="HQ455:HR455"/>
    <mergeCell ref="GX452:GY452"/>
    <mergeCell ref="GZ452:HA452"/>
    <mergeCell ref="HC452:HD452"/>
    <mergeCell ref="HE452:HF452"/>
    <mergeCell ref="HH452:HI452"/>
    <mergeCell ref="HJ452:HK452"/>
    <mergeCell ref="HM452:HN452"/>
    <mergeCell ref="HO452:HP452"/>
    <mergeCell ref="HQ452:HR452"/>
    <mergeCell ref="GX453:GY453"/>
    <mergeCell ref="GZ453:HA453"/>
    <mergeCell ref="HC453:HD453"/>
    <mergeCell ref="HE453:HF453"/>
    <mergeCell ref="HH453:HI453"/>
    <mergeCell ref="HJ453:HK453"/>
    <mergeCell ref="HM453:HN453"/>
    <mergeCell ref="HO453:HP453"/>
    <mergeCell ref="HQ453:HR453"/>
    <mergeCell ref="GX458:GY458"/>
    <mergeCell ref="GZ458:HA458"/>
    <mergeCell ref="HC458:HD458"/>
    <mergeCell ref="HE458:HF458"/>
    <mergeCell ref="HH458:HI458"/>
    <mergeCell ref="HJ458:HK458"/>
    <mergeCell ref="HM458:HN458"/>
    <mergeCell ref="HO458:HP458"/>
    <mergeCell ref="HQ458:HR458"/>
    <mergeCell ref="GX451:GY451"/>
    <mergeCell ref="GZ451:HA451"/>
    <mergeCell ref="HC451:HD451"/>
    <mergeCell ref="HE451:HF451"/>
    <mergeCell ref="HH451:HI451"/>
    <mergeCell ref="HJ451:HK451"/>
    <mergeCell ref="HM451:HN451"/>
    <mergeCell ref="HO451:HP451"/>
    <mergeCell ref="HQ451:HR451"/>
    <mergeCell ref="GX448:GY448"/>
    <mergeCell ref="GZ448:HA448"/>
    <mergeCell ref="HC448:HD448"/>
    <mergeCell ref="HE448:HF448"/>
    <mergeCell ref="HH448:HI448"/>
    <mergeCell ref="HJ448:HK448"/>
    <mergeCell ref="HM448:HN448"/>
    <mergeCell ref="HO448:HP448"/>
    <mergeCell ref="HQ448:HR448"/>
    <mergeCell ref="GX449:GY449"/>
    <mergeCell ref="GZ449:HA449"/>
    <mergeCell ref="HC449:HD449"/>
    <mergeCell ref="HE449:HF449"/>
    <mergeCell ref="HH449:HI449"/>
    <mergeCell ref="HJ449:HK449"/>
    <mergeCell ref="HM449:HN449"/>
    <mergeCell ref="HO449:HP449"/>
    <mergeCell ref="HQ449:HR449"/>
    <mergeCell ref="GX454:GY454"/>
    <mergeCell ref="GZ454:HA454"/>
    <mergeCell ref="HC454:HD454"/>
    <mergeCell ref="HE454:HF454"/>
    <mergeCell ref="HH454:HI454"/>
    <mergeCell ref="HJ454:HK454"/>
    <mergeCell ref="HM454:HN454"/>
    <mergeCell ref="HO454:HP454"/>
    <mergeCell ref="HQ454:HR454"/>
    <mergeCell ref="GX447:GY447"/>
    <mergeCell ref="GZ447:HA447"/>
    <mergeCell ref="HC447:HD447"/>
    <mergeCell ref="HE447:HF447"/>
    <mergeCell ref="HH447:HI447"/>
    <mergeCell ref="HJ447:HK447"/>
    <mergeCell ref="HM447:HN447"/>
    <mergeCell ref="HO447:HP447"/>
    <mergeCell ref="HQ447:HR447"/>
    <mergeCell ref="GX444:GY444"/>
    <mergeCell ref="GZ444:HA444"/>
    <mergeCell ref="HC444:HD444"/>
    <mergeCell ref="HE444:HF444"/>
    <mergeCell ref="HH444:HI444"/>
    <mergeCell ref="HJ444:HK444"/>
    <mergeCell ref="HM444:HN444"/>
    <mergeCell ref="HO444:HP444"/>
    <mergeCell ref="HQ444:HR444"/>
    <mergeCell ref="GX445:GY445"/>
    <mergeCell ref="GZ445:HA445"/>
    <mergeCell ref="HC445:HD445"/>
    <mergeCell ref="HE445:HF445"/>
    <mergeCell ref="HH445:HI445"/>
    <mergeCell ref="HJ445:HK445"/>
    <mergeCell ref="HM445:HN445"/>
    <mergeCell ref="HO445:HP445"/>
    <mergeCell ref="HQ445:HR445"/>
    <mergeCell ref="GX450:GY450"/>
    <mergeCell ref="GZ450:HA450"/>
    <mergeCell ref="HC450:HD450"/>
    <mergeCell ref="HE450:HF450"/>
    <mergeCell ref="HH450:HI450"/>
    <mergeCell ref="HJ450:HK450"/>
    <mergeCell ref="HM450:HN450"/>
    <mergeCell ref="HO450:HP450"/>
    <mergeCell ref="HQ450:HR450"/>
    <mergeCell ref="GX443:GY443"/>
    <mergeCell ref="GZ443:HA443"/>
    <mergeCell ref="HC443:HD443"/>
    <mergeCell ref="HE443:HF443"/>
    <mergeCell ref="HH443:HI443"/>
    <mergeCell ref="HJ443:HK443"/>
    <mergeCell ref="HM443:HN443"/>
    <mergeCell ref="HO443:HP443"/>
    <mergeCell ref="HQ443:HR443"/>
    <mergeCell ref="GX440:GY440"/>
    <mergeCell ref="GZ440:HA440"/>
    <mergeCell ref="HC440:HD440"/>
    <mergeCell ref="HE440:HF440"/>
    <mergeCell ref="HH440:HI440"/>
    <mergeCell ref="HJ440:HK440"/>
    <mergeCell ref="HM440:HN440"/>
    <mergeCell ref="HO440:HP440"/>
    <mergeCell ref="HQ440:HR440"/>
    <mergeCell ref="GX441:GY441"/>
    <mergeCell ref="GZ441:HA441"/>
    <mergeCell ref="HC441:HD441"/>
    <mergeCell ref="HE441:HF441"/>
    <mergeCell ref="HH441:HI441"/>
    <mergeCell ref="HJ441:HK441"/>
    <mergeCell ref="HM441:HN441"/>
    <mergeCell ref="HO441:HP441"/>
    <mergeCell ref="HQ441:HR441"/>
    <mergeCell ref="GX446:GY446"/>
    <mergeCell ref="GZ446:HA446"/>
    <mergeCell ref="HC446:HD446"/>
    <mergeCell ref="HE446:HF446"/>
    <mergeCell ref="HH446:HI446"/>
    <mergeCell ref="HJ446:HK446"/>
    <mergeCell ref="HM446:HN446"/>
    <mergeCell ref="HO446:HP446"/>
    <mergeCell ref="HQ446:HR446"/>
    <mergeCell ref="GX439:GY439"/>
    <mergeCell ref="GZ439:HA439"/>
    <mergeCell ref="HC439:HD439"/>
    <mergeCell ref="HE439:HF439"/>
    <mergeCell ref="HH439:HI439"/>
    <mergeCell ref="HJ439:HK439"/>
    <mergeCell ref="HM439:HN439"/>
    <mergeCell ref="HO439:HP439"/>
    <mergeCell ref="HQ439:HR439"/>
    <mergeCell ref="GX436:GY436"/>
    <mergeCell ref="GZ436:HA436"/>
    <mergeCell ref="HC436:HD436"/>
    <mergeCell ref="HE436:HF436"/>
    <mergeCell ref="HH436:HI436"/>
    <mergeCell ref="HJ436:HK436"/>
    <mergeCell ref="HM436:HN436"/>
    <mergeCell ref="HO436:HP436"/>
    <mergeCell ref="HQ436:HR436"/>
    <mergeCell ref="GX437:GY437"/>
    <mergeCell ref="GZ437:HA437"/>
    <mergeCell ref="HC437:HD437"/>
    <mergeCell ref="HE437:HF437"/>
    <mergeCell ref="HH437:HI437"/>
    <mergeCell ref="HJ437:HK437"/>
    <mergeCell ref="HM437:HN437"/>
    <mergeCell ref="HO437:HP437"/>
    <mergeCell ref="HQ437:HR437"/>
    <mergeCell ref="GX442:GY442"/>
    <mergeCell ref="GZ442:HA442"/>
    <mergeCell ref="HC442:HD442"/>
    <mergeCell ref="HE442:HF442"/>
    <mergeCell ref="HH442:HI442"/>
    <mergeCell ref="HJ442:HK442"/>
    <mergeCell ref="HM442:HN442"/>
    <mergeCell ref="HO442:HP442"/>
    <mergeCell ref="HQ442:HR442"/>
    <mergeCell ref="GX435:GY435"/>
    <mergeCell ref="GZ435:HA435"/>
    <mergeCell ref="HC435:HD435"/>
    <mergeCell ref="HE435:HF435"/>
    <mergeCell ref="HH435:HI435"/>
    <mergeCell ref="HJ435:HK435"/>
    <mergeCell ref="HM435:HN435"/>
    <mergeCell ref="HO435:HP435"/>
    <mergeCell ref="HQ435:HR435"/>
    <mergeCell ref="GX432:GY432"/>
    <mergeCell ref="GZ432:HA432"/>
    <mergeCell ref="HC432:HD432"/>
    <mergeCell ref="HE432:HF432"/>
    <mergeCell ref="HH432:HI432"/>
    <mergeCell ref="HJ432:HK432"/>
    <mergeCell ref="HM432:HN432"/>
    <mergeCell ref="HO432:HP432"/>
    <mergeCell ref="HQ432:HR432"/>
    <mergeCell ref="GX433:GY433"/>
    <mergeCell ref="GZ433:HA433"/>
    <mergeCell ref="HC433:HD433"/>
    <mergeCell ref="HE433:HF433"/>
    <mergeCell ref="HH433:HI433"/>
    <mergeCell ref="HJ433:HK433"/>
    <mergeCell ref="HM433:HN433"/>
    <mergeCell ref="HO433:HP433"/>
    <mergeCell ref="HQ433:HR433"/>
    <mergeCell ref="GX438:GY438"/>
    <mergeCell ref="GZ438:HA438"/>
    <mergeCell ref="HC438:HD438"/>
    <mergeCell ref="HE438:HF438"/>
    <mergeCell ref="HH438:HI438"/>
    <mergeCell ref="HJ438:HK438"/>
    <mergeCell ref="HM438:HN438"/>
    <mergeCell ref="HO438:HP438"/>
    <mergeCell ref="HQ438:HR438"/>
    <mergeCell ref="GX431:GY431"/>
    <mergeCell ref="GZ431:HA431"/>
    <mergeCell ref="HC431:HD431"/>
    <mergeCell ref="HE431:HF431"/>
    <mergeCell ref="HH431:HI431"/>
    <mergeCell ref="HJ431:HK431"/>
    <mergeCell ref="HM431:HN431"/>
    <mergeCell ref="HO431:HP431"/>
    <mergeCell ref="HQ431:HR431"/>
    <mergeCell ref="GX428:GY428"/>
    <mergeCell ref="GZ428:HA428"/>
    <mergeCell ref="HC428:HD428"/>
    <mergeCell ref="HE428:HF428"/>
    <mergeCell ref="HH428:HI428"/>
    <mergeCell ref="HJ428:HK428"/>
    <mergeCell ref="HM428:HN428"/>
    <mergeCell ref="HO428:HP428"/>
    <mergeCell ref="HQ428:HR428"/>
    <mergeCell ref="GX429:GY429"/>
    <mergeCell ref="GZ429:HA429"/>
    <mergeCell ref="HC429:HD429"/>
    <mergeCell ref="HE429:HF429"/>
    <mergeCell ref="HH429:HI429"/>
    <mergeCell ref="HJ429:HK429"/>
    <mergeCell ref="HM429:HN429"/>
    <mergeCell ref="HO429:HP429"/>
    <mergeCell ref="HQ429:HR429"/>
    <mergeCell ref="GX434:GY434"/>
    <mergeCell ref="GZ434:HA434"/>
    <mergeCell ref="HC434:HD434"/>
    <mergeCell ref="HE434:HF434"/>
    <mergeCell ref="HH434:HI434"/>
    <mergeCell ref="HJ434:HK434"/>
    <mergeCell ref="HM434:HN434"/>
    <mergeCell ref="HO434:HP434"/>
    <mergeCell ref="HQ434:HR434"/>
    <mergeCell ref="GX427:GY427"/>
    <mergeCell ref="GZ427:HA427"/>
    <mergeCell ref="HC427:HD427"/>
    <mergeCell ref="HE427:HF427"/>
    <mergeCell ref="HH427:HI427"/>
    <mergeCell ref="HJ427:HK427"/>
    <mergeCell ref="HM427:HN427"/>
    <mergeCell ref="HO427:HP427"/>
    <mergeCell ref="HQ427:HR427"/>
    <mergeCell ref="GX424:GY424"/>
    <mergeCell ref="GZ424:HA424"/>
    <mergeCell ref="HC424:HD424"/>
    <mergeCell ref="HE424:HF424"/>
    <mergeCell ref="HH424:HI424"/>
    <mergeCell ref="HJ424:HK424"/>
    <mergeCell ref="HM424:HN424"/>
    <mergeCell ref="HO424:HP424"/>
    <mergeCell ref="HQ424:HR424"/>
    <mergeCell ref="GX425:GY425"/>
    <mergeCell ref="GZ425:HA425"/>
    <mergeCell ref="HC425:HD425"/>
    <mergeCell ref="HE425:HF425"/>
    <mergeCell ref="HH425:HI425"/>
    <mergeCell ref="HJ425:HK425"/>
    <mergeCell ref="HM425:HN425"/>
    <mergeCell ref="HO425:HP425"/>
    <mergeCell ref="HQ425:HR425"/>
    <mergeCell ref="GX430:GY430"/>
    <mergeCell ref="GZ430:HA430"/>
    <mergeCell ref="HC430:HD430"/>
    <mergeCell ref="HE430:HF430"/>
    <mergeCell ref="HH430:HI430"/>
    <mergeCell ref="HJ430:HK430"/>
    <mergeCell ref="HM430:HN430"/>
    <mergeCell ref="HO430:HP430"/>
    <mergeCell ref="HQ430:HR430"/>
    <mergeCell ref="GX423:GY423"/>
    <mergeCell ref="GZ423:HA423"/>
    <mergeCell ref="HC423:HD423"/>
    <mergeCell ref="HE423:HF423"/>
    <mergeCell ref="HH423:HI423"/>
    <mergeCell ref="HJ423:HK423"/>
    <mergeCell ref="HM423:HN423"/>
    <mergeCell ref="HO423:HP423"/>
    <mergeCell ref="HQ423:HR423"/>
    <mergeCell ref="GX420:GY420"/>
    <mergeCell ref="GZ420:HA420"/>
    <mergeCell ref="HC420:HD420"/>
    <mergeCell ref="HE420:HF420"/>
    <mergeCell ref="HH420:HI420"/>
    <mergeCell ref="HJ420:HK420"/>
    <mergeCell ref="HM420:HN420"/>
    <mergeCell ref="HO420:HP420"/>
    <mergeCell ref="HQ420:HR420"/>
    <mergeCell ref="GX421:GY421"/>
    <mergeCell ref="GZ421:HA421"/>
    <mergeCell ref="HC421:HD421"/>
    <mergeCell ref="HE421:HF421"/>
    <mergeCell ref="HH421:HI421"/>
    <mergeCell ref="HJ421:HK421"/>
    <mergeCell ref="HM421:HN421"/>
    <mergeCell ref="HO421:HP421"/>
    <mergeCell ref="HQ421:HR421"/>
    <mergeCell ref="GX426:GY426"/>
    <mergeCell ref="GZ426:HA426"/>
    <mergeCell ref="HC426:HD426"/>
    <mergeCell ref="HE426:HF426"/>
    <mergeCell ref="HH426:HI426"/>
    <mergeCell ref="HJ426:HK426"/>
    <mergeCell ref="HM426:HN426"/>
    <mergeCell ref="HO426:HP426"/>
    <mergeCell ref="HQ426:HR426"/>
    <mergeCell ref="GX419:GY419"/>
    <mergeCell ref="GZ419:HA419"/>
    <mergeCell ref="HC419:HD419"/>
    <mergeCell ref="HE419:HF419"/>
    <mergeCell ref="HH419:HI419"/>
    <mergeCell ref="HJ419:HK419"/>
    <mergeCell ref="HM419:HN419"/>
    <mergeCell ref="HO419:HP419"/>
    <mergeCell ref="HQ419:HR419"/>
    <mergeCell ref="GX416:GY416"/>
    <mergeCell ref="GZ416:HA416"/>
    <mergeCell ref="HC416:HD416"/>
    <mergeCell ref="HE416:HF416"/>
    <mergeCell ref="HH416:HI416"/>
    <mergeCell ref="HJ416:HK416"/>
    <mergeCell ref="HM416:HN416"/>
    <mergeCell ref="HO416:HP416"/>
    <mergeCell ref="HQ416:HR416"/>
    <mergeCell ref="GX417:GY417"/>
    <mergeCell ref="GZ417:HA417"/>
    <mergeCell ref="HC417:HD417"/>
    <mergeCell ref="HE417:HF417"/>
    <mergeCell ref="HH417:HI417"/>
    <mergeCell ref="HJ417:HK417"/>
    <mergeCell ref="HM417:HN417"/>
    <mergeCell ref="HO417:HP417"/>
    <mergeCell ref="HQ417:HR417"/>
    <mergeCell ref="GX422:GY422"/>
    <mergeCell ref="GZ422:HA422"/>
    <mergeCell ref="HC422:HD422"/>
    <mergeCell ref="HE422:HF422"/>
    <mergeCell ref="HH422:HI422"/>
    <mergeCell ref="HJ422:HK422"/>
    <mergeCell ref="HM422:HN422"/>
    <mergeCell ref="HO422:HP422"/>
    <mergeCell ref="HQ422:HR422"/>
    <mergeCell ref="GX415:GY415"/>
    <mergeCell ref="GZ415:HA415"/>
    <mergeCell ref="HC415:HD415"/>
    <mergeCell ref="HE415:HF415"/>
    <mergeCell ref="HH415:HI415"/>
    <mergeCell ref="HJ415:HK415"/>
    <mergeCell ref="HM415:HN415"/>
    <mergeCell ref="HO415:HP415"/>
    <mergeCell ref="HQ415:HR415"/>
    <mergeCell ref="GX412:GY412"/>
    <mergeCell ref="GZ412:HA412"/>
    <mergeCell ref="HC412:HD412"/>
    <mergeCell ref="HE412:HF412"/>
    <mergeCell ref="HH412:HI412"/>
    <mergeCell ref="HJ412:HK412"/>
    <mergeCell ref="HM412:HN412"/>
    <mergeCell ref="HO412:HP412"/>
    <mergeCell ref="HQ412:HR412"/>
    <mergeCell ref="GX413:GY413"/>
    <mergeCell ref="GZ413:HA413"/>
    <mergeCell ref="HC413:HD413"/>
    <mergeCell ref="HE413:HF413"/>
    <mergeCell ref="HH413:HI413"/>
    <mergeCell ref="HJ413:HK413"/>
    <mergeCell ref="HM413:HN413"/>
    <mergeCell ref="HO413:HP413"/>
    <mergeCell ref="HQ413:HR413"/>
    <mergeCell ref="GX418:GY418"/>
    <mergeCell ref="GZ418:HA418"/>
    <mergeCell ref="HC418:HD418"/>
    <mergeCell ref="HE418:HF418"/>
    <mergeCell ref="HH418:HI418"/>
    <mergeCell ref="HJ418:HK418"/>
    <mergeCell ref="HM418:HN418"/>
    <mergeCell ref="HO418:HP418"/>
    <mergeCell ref="HQ418:HR418"/>
    <mergeCell ref="GX411:GY411"/>
    <mergeCell ref="GZ411:HA411"/>
    <mergeCell ref="HC411:HD411"/>
    <mergeCell ref="HE411:HF411"/>
    <mergeCell ref="HH411:HI411"/>
    <mergeCell ref="HJ411:HK411"/>
    <mergeCell ref="HM411:HN411"/>
    <mergeCell ref="HO411:HP411"/>
    <mergeCell ref="HQ411:HR411"/>
    <mergeCell ref="GX408:GY408"/>
    <mergeCell ref="GZ408:HA408"/>
    <mergeCell ref="HC408:HD408"/>
    <mergeCell ref="HE408:HF408"/>
    <mergeCell ref="HH408:HI408"/>
    <mergeCell ref="HJ408:HK408"/>
    <mergeCell ref="HM408:HN408"/>
    <mergeCell ref="HO408:HP408"/>
    <mergeCell ref="HQ408:HR408"/>
    <mergeCell ref="GX409:GY409"/>
    <mergeCell ref="GZ409:HA409"/>
    <mergeCell ref="HC409:HD409"/>
    <mergeCell ref="HE409:HF409"/>
    <mergeCell ref="HH409:HI409"/>
    <mergeCell ref="HJ409:HK409"/>
    <mergeCell ref="HM409:HN409"/>
    <mergeCell ref="HO409:HP409"/>
    <mergeCell ref="HQ409:HR409"/>
    <mergeCell ref="GX414:GY414"/>
    <mergeCell ref="GZ414:HA414"/>
    <mergeCell ref="HC414:HD414"/>
    <mergeCell ref="HE414:HF414"/>
    <mergeCell ref="HH414:HI414"/>
    <mergeCell ref="HJ414:HK414"/>
    <mergeCell ref="HM414:HN414"/>
    <mergeCell ref="HO414:HP414"/>
    <mergeCell ref="HQ414:HR414"/>
    <mergeCell ref="GX407:GY407"/>
    <mergeCell ref="GZ407:HA407"/>
    <mergeCell ref="HC407:HD407"/>
    <mergeCell ref="HE407:HF407"/>
    <mergeCell ref="HH407:HI407"/>
    <mergeCell ref="HJ407:HK407"/>
    <mergeCell ref="HM407:HN407"/>
    <mergeCell ref="HO407:HP407"/>
    <mergeCell ref="HQ407:HR407"/>
    <mergeCell ref="GX404:GY404"/>
    <mergeCell ref="GZ404:HA404"/>
    <mergeCell ref="HC404:HD404"/>
    <mergeCell ref="HE404:HF404"/>
    <mergeCell ref="HH404:HI404"/>
    <mergeCell ref="HJ404:HK404"/>
    <mergeCell ref="HM404:HN404"/>
    <mergeCell ref="HO404:HP404"/>
    <mergeCell ref="HQ404:HR404"/>
    <mergeCell ref="GX405:GY405"/>
    <mergeCell ref="GZ405:HA405"/>
    <mergeCell ref="HC405:HD405"/>
    <mergeCell ref="HE405:HF405"/>
    <mergeCell ref="HH405:HI405"/>
    <mergeCell ref="HJ405:HK405"/>
    <mergeCell ref="HM405:HN405"/>
    <mergeCell ref="HO405:HP405"/>
    <mergeCell ref="HQ405:HR405"/>
    <mergeCell ref="GX410:GY410"/>
    <mergeCell ref="GZ410:HA410"/>
    <mergeCell ref="HC410:HD410"/>
    <mergeCell ref="HE410:HF410"/>
    <mergeCell ref="HH410:HI410"/>
    <mergeCell ref="HJ410:HK410"/>
    <mergeCell ref="HM410:HN410"/>
    <mergeCell ref="HO410:HP410"/>
    <mergeCell ref="HQ410:HR410"/>
    <mergeCell ref="GX403:GY403"/>
    <mergeCell ref="GZ403:HA403"/>
    <mergeCell ref="HC403:HD403"/>
    <mergeCell ref="HE403:HF403"/>
    <mergeCell ref="HH403:HI403"/>
    <mergeCell ref="HJ403:HK403"/>
    <mergeCell ref="HM403:HN403"/>
    <mergeCell ref="HO403:HP403"/>
    <mergeCell ref="HQ403:HR403"/>
    <mergeCell ref="GX400:GY400"/>
    <mergeCell ref="GZ400:HA400"/>
    <mergeCell ref="HC400:HD400"/>
    <mergeCell ref="HE400:HF400"/>
    <mergeCell ref="HH400:HI400"/>
    <mergeCell ref="HJ400:HK400"/>
    <mergeCell ref="HM400:HN400"/>
    <mergeCell ref="HO400:HP400"/>
    <mergeCell ref="HQ400:HR400"/>
    <mergeCell ref="GX401:GY401"/>
    <mergeCell ref="GZ401:HA401"/>
    <mergeCell ref="HC401:HD401"/>
    <mergeCell ref="HE401:HF401"/>
    <mergeCell ref="HH401:HI401"/>
    <mergeCell ref="HJ401:HK401"/>
    <mergeCell ref="HM401:HN401"/>
    <mergeCell ref="HO401:HP401"/>
    <mergeCell ref="HQ401:HR401"/>
    <mergeCell ref="GX406:GY406"/>
    <mergeCell ref="GZ406:HA406"/>
    <mergeCell ref="HC406:HD406"/>
    <mergeCell ref="HE406:HF406"/>
    <mergeCell ref="HH406:HI406"/>
    <mergeCell ref="HJ406:HK406"/>
    <mergeCell ref="HM406:HN406"/>
    <mergeCell ref="HO406:HP406"/>
    <mergeCell ref="HQ406:HR406"/>
    <mergeCell ref="GX399:GY399"/>
    <mergeCell ref="GZ399:HA399"/>
    <mergeCell ref="HC399:HD399"/>
    <mergeCell ref="HE399:HF399"/>
    <mergeCell ref="HH399:HI399"/>
    <mergeCell ref="HJ399:HK399"/>
    <mergeCell ref="HM399:HN399"/>
    <mergeCell ref="HO399:HP399"/>
    <mergeCell ref="HQ399:HR399"/>
    <mergeCell ref="GX396:GY396"/>
    <mergeCell ref="GZ396:HA396"/>
    <mergeCell ref="HC396:HD396"/>
    <mergeCell ref="HE396:HF396"/>
    <mergeCell ref="HH396:HI396"/>
    <mergeCell ref="HJ396:HK396"/>
    <mergeCell ref="HM396:HN396"/>
    <mergeCell ref="HO396:HP396"/>
    <mergeCell ref="HQ396:HR396"/>
    <mergeCell ref="GX397:GY397"/>
    <mergeCell ref="GZ397:HA397"/>
    <mergeCell ref="HC397:HD397"/>
    <mergeCell ref="HE397:HF397"/>
    <mergeCell ref="HH397:HI397"/>
    <mergeCell ref="HJ397:HK397"/>
    <mergeCell ref="HM397:HN397"/>
    <mergeCell ref="HO397:HP397"/>
    <mergeCell ref="HQ397:HR397"/>
    <mergeCell ref="GX402:GY402"/>
    <mergeCell ref="GZ402:HA402"/>
    <mergeCell ref="HC402:HD402"/>
    <mergeCell ref="HE402:HF402"/>
    <mergeCell ref="HH402:HI402"/>
    <mergeCell ref="HJ402:HK402"/>
    <mergeCell ref="HM402:HN402"/>
    <mergeCell ref="HO402:HP402"/>
    <mergeCell ref="HQ402:HR402"/>
    <mergeCell ref="GX395:GY395"/>
    <mergeCell ref="GZ395:HA395"/>
    <mergeCell ref="HC395:HD395"/>
    <mergeCell ref="HE395:HF395"/>
    <mergeCell ref="HH395:HI395"/>
    <mergeCell ref="HJ395:HK395"/>
    <mergeCell ref="HM395:HN395"/>
    <mergeCell ref="HO395:HP395"/>
    <mergeCell ref="HQ395:HR395"/>
    <mergeCell ref="GX392:GY392"/>
    <mergeCell ref="GZ392:HA392"/>
    <mergeCell ref="HC392:HD392"/>
    <mergeCell ref="HE392:HF392"/>
    <mergeCell ref="HH392:HI392"/>
    <mergeCell ref="HJ392:HK392"/>
    <mergeCell ref="HM392:HN392"/>
    <mergeCell ref="HO392:HP392"/>
    <mergeCell ref="HQ392:HR392"/>
    <mergeCell ref="GX393:GY393"/>
    <mergeCell ref="GZ393:HA393"/>
    <mergeCell ref="HC393:HD393"/>
    <mergeCell ref="HE393:HF393"/>
    <mergeCell ref="HH393:HI393"/>
    <mergeCell ref="HJ393:HK393"/>
    <mergeCell ref="HM393:HN393"/>
    <mergeCell ref="HO393:HP393"/>
    <mergeCell ref="HQ393:HR393"/>
    <mergeCell ref="GX398:GY398"/>
    <mergeCell ref="GZ398:HA398"/>
    <mergeCell ref="HC398:HD398"/>
    <mergeCell ref="HE398:HF398"/>
    <mergeCell ref="HH398:HI398"/>
    <mergeCell ref="HJ398:HK398"/>
    <mergeCell ref="HM398:HN398"/>
    <mergeCell ref="HO398:HP398"/>
    <mergeCell ref="HQ398:HR398"/>
    <mergeCell ref="GX391:GY391"/>
    <mergeCell ref="GZ391:HA391"/>
    <mergeCell ref="HC391:HD391"/>
    <mergeCell ref="HE391:HF391"/>
    <mergeCell ref="HH391:HI391"/>
    <mergeCell ref="HJ391:HK391"/>
    <mergeCell ref="HM391:HN391"/>
    <mergeCell ref="HO391:HP391"/>
    <mergeCell ref="HQ391:HR391"/>
    <mergeCell ref="GX388:GY388"/>
    <mergeCell ref="GZ388:HA388"/>
    <mergeCell ref="HC388:HD388"/>
    <mergeCell ref="HE388:HF388"/>
    <mergeCell ref="HH388:HI388"/>
    <mergeCell ref="HJ388:HK388"/>
    <mergeCell ref="HM388:HN388"/>
    <mergeCell ref="HO388:HP388"/>
    <mergeCell ref="HQ388:HR388"/>
    <mergeCell ref="GX389:GY389"/>
    <mergeCell ref="GZ389:HA389"/>
    <mergeCell ref="HC389:HD389"/>
    <mergeCell ref="HE389:HF389"/>
    <mergeCell ref="HH389:HI389"/>
    <mergeCell ref="HJ389:HK389"/>
    <mergeCell ref="HM389:HN389"/>
    <mergeCell ref="HO389:HP389"/>
    <mergeCell ref="HQ389:HR389"/>
    <mergeCell ref="GX394:GY394"/>
    <mergeCell ref="GZ394:HA394"/>
    <mergeCell ref="HC394:HD394"/>
    <mergeCell ref="HE394:HF394"/>
    <mergeCell ref="HH394:HI394"/>
    <mergeCell ref="HJ394:HK394"/>
    <mergeCell ref="HM394:HN394"/>
    <mergeCell ref="HO394:HP394"/>
    <mergeCell ref="HQ394:HR394"/>
    <mergeCell ref="GX387:GY387"/>
    <mergeCell ref="GZ387:HA387"/>
    <mergeCell ref="HC387:HD387"/>
    <mergeCell ref="HE387:HF387"/>
    <mergeCell ref="HH387:HI387"/>
    <mergeCell ref="HJ387:HK387"/>
    <mergeCell ref="HM387:HN387"/>
    <mergeCell ref="HO387:HP387"/>
    <mergeCell ref="HQ387:HR387"/>
    <mergeCell ref="GX384:GY384"/>
    <mergeCell ref="GZ384:HA384"/>
    <mergeCell ref="HC384:HD384"/>
    <mergeCell ref="HE384:HF384"/>
    <mergeCell ref="HH384:HI384"/>
    <mergeCell ref="HJ384:HK384"/>
    <mergeCell ref="HM384:HN384"/>
    <mergeCell ref="HO384:HP384"/>
    <mergeCell ref="HQ384:HR384"/>
    <mergeCell ref="GX385:GY385"/>
    <mergeCell ref="GZ385:HA385"/>
    <mergeCell ref="HC385:HD385"/>
    <mergeCell ref="HE385:HF385"/>
    <mergeCell ref="HH385:HI385"/>
    <mergeCell ref="HJ385:HK385"/>
    <mergeCell ref="HM385:HN385"/>
    <mergeCell ref="HO385:HP385"/>
    <mergeCell ref="HQ385:HR385"/>
    <mergeCell ref="GX390:GY390"/>
    <mergeCell ref="GZ390:HA390"/>
    <mergeCell ref="HC390:HD390"/>
    <mergeCell ref="HE390:HF390"/>
    <mergeCell ref="HH390:HI390"/>
    <mergeCell ref="HJ390:HK390"/>
    <mergeCell ref="HM390:HN390"/>
    <mergeCell ref="HO390:HP390"/>
    <mergeCell ref="HQ390:HR390"/>
    <mergeCell ref="GX383:GY383"/>
    <mergeCell ref="GZ383:HA383"/>
    <mergeCell ref="HC383:HD383"/>
    <mergeCell ref="HE383:HF383"/>
    <mergeCell ref="HH383:HI383"/>
    <mergeCell ref="HJ383:HK383"/>
    <mergeCell ref="HM383:HN383"/>
    <mergeCell ref="HO383:HP383"/>
    <mergeCell ref="HQ383:HR383"/>
    <mergeCell ref="GX380:GY380"/>
    <mergeCell ref="GZ380:HA380"/>
    <mergeCell ref="HC380:HD380"/>
    <mergeCell ref="HE380:HF380"/>
    <mergeCell ref="HH380:HI380"/>
    <mergeCell ref="HJ380:HK380"/>
    <mergeCell ref="HM380:HN380"/>
    <mergeCell ref="HO380:HP380"/>
    <mergeCell ref="HQ380:HR380"/>
    <mergeCell ref="GX381:GY381"/>
    <mergeCell ref="GZ381:HA381"/>
    <mergeCell ref="HC381:HD381"/>
    <mergeCell ref="HE381:HF381"/>
    <mergeCell ref="HH381:HI381"/>
    <mergeCell ref="HJ381:HK381"/>
    <mergeCell ref="HM381:HN381"/>
    <mergeCell ref="HO381:HP381"/>
    <mergeCell ref="HQ381:HR381"/>
    <mergeCell ref="GX386:GY386"/>
    <mergeCell ref="GZ386:HA386"/>
    <mergeCell ref="HC386:HD386"/>
    <mergeCell ref="HE386:HF386"/>
    <mergeCell ref="HH386:HI386"/>
    <mergeCell ref="HJ386:HK386"/>
    <mergeCell ref="HM386:HN386"/>
    <mergeCell ref="HO386:HP386"/>
    <mergeCell ref="HQ386:HR386"/>
    <mergeCell ref="GX379:GY379"/>
    <mergeCell ref="GZ379:HA379"/>
    <mergeCell ref="HC379:HD379"/>
    <mergeCell ref="HE379:HF379"/>
    <mergeCell ref="HH379:HI379"/>
    <mergeCell ref="HJ379:HK379"/>
    <mergeCell ref="HM379:HN379"/>
    <mergeCell ref="HO379:HP379"/>
    <mergeCell ref="HQ379:HR379"/>
    <mergeCell ref="GX376:GY376"/>
    <mergeCell ref="GZ376:HA376"/>
    <mergeCell ref="HC376:HD376"/>
    <mergeCell ref="HE376:HF376"/>
    <mergeCell ref="HH376:HI376"/>
    <mergeCell ref="HJ376:HK376"/>
    <mergeCell ref="HM376:HN376"/>
    <mergeCell ref="HO376:HP376"/>
    <mergeCell ref="HQ376:HR376"/>
    <mergeCell ref="GX377:GY377"/>
    <mergeCell ref="GZ377:HA377"/>
    <mergeCell ref="HC377:HD377"/>
    <mergeCell ref="HE377:HF377"/>
    <mergeCell ref="HH377:HI377"/>
    <mergeCell ref="HJ377:HK377"/>
    <mergeCell ref="HM377:HN377"/>
    <mergeCell ref="HO377:HP377"/>
    <mergeCell ref="HQ377:HR377"/>
    <mergeCell ref="GX382:GY382"/>
    <mergeCell ref="GZ382:HA382"/>
    <mergeCell ref="HC382:HD382"/>
    <mergeCell ref="HE382:HF382"/>
    <mergeCell ref="HH382:HI382"/>
    <mergeCell ref="HJ382:HK382"/>
    <mergeCell ref="HM382:HN382"/>
    <mergeCell ref="HO382:HP382"/>
    <mergeCell ref="HQ382:HR382"/>
    <mergeCell ref="GX375:GY375"/>
    <mergeCell ref="GZ375:HA375"/>
    <mergeCell ref="HC375:HD375"/>
    <mergeCell ref="HE375:HF375"/>
    <mergeCell ref="HH375:HI375"/>
    <mergeCell ref="HJ375:HK375"/>
    <mergeCell ref="HM375:HN375"/>
    <mergeCell ref="HO375:HP375"/>
    <mergeCell ref="HQ375:HR375"/>
    <mergeCell ref="GX372:GY372"/>
    <mergeCell ref="GZ372:HA372"/>
    <mergeCell ref="HC372:HD372"/>
    <mergeCell ref="HE372:HF372"/>
    <mergeCell ref="HH372:HI372"/>
    <mergeCell ref="HJ372:HK372"/>
    <mergeCell ref="HM372:HN372"/>
    <mergeCell ref="HO372:HP372"/>
    <mergeCell ref="HQ372:HR372"/>
    <mergeCell ref="GX373:GY373"/>
    <mergeCell ref="GZ373:HA373"/>
    <mergeCell ref="HC373:HD373"/>
    <mergeCell ref="HE373:HF373"/>
    <mergeCell ref="HH373:HI373"/>
    <mergeCell ref="HJ373:HK373"/>
    <mergeCell ref="HM373:HN373"/>
    <mergeCell ref="HO373:HP373"/>
    <mergeCell ref="HQ373:HR373"/>
    <mergeCell ref="GX378:GY378"/>
    <mergeCell ref="GZ378:HA378"/>
    <mergeCell ref="HC378:HD378"/>
    <mergeCell ref="HE378:HF378"/>
    <mergeCell ref="HH378:HI378"/>
    <mergeCell ref="HJ378:HK378"/>
    <mergeCell ref="HM378:HN378"/>
    <mergeCell ref="HO378:HP378"/>
    <mergeCell ref="HQ378:HR378"/>
    <mergeCell ref="GX371:GY371"/>
    <mergeCell ref="GZ371:HA371"/>
    <mergeCell ref="HC371:HD371"/>
    <mergeCell ref="HE371:HF371"/>
    <mergeCell ref="HH371:HI371"/>
    <mergeCell ref="HJ371:HK371"/>
    <mergeCell ref="HM371:HN371"/>
    <mergeCell ref="HO371:HP371"/>
    <mergeCell ref="HQ371:HR371"/>
    <mergeCell ref="GX368:GY368"/>
    <mergeCell ref="GZ368:HA368"/>
    <mergeCell ref="HC368:HD368"/>
    <mergeCell ref="HE368:HF368"/>
    <mergeCell ref="HH368:HI368"/>
    <mergeCell ref="HJ368:HK368"/>
    <mergeCell ref="HM368:HN368"/>
    <mergeCell ref="HO368:HP368"/>
    <mergeCell ref="HQ368:HR368"/>
    <mergeCell ref="GX369:GY369"/>
    <mergeCell ref="GZ369:HA369"/>
    <mergeCell ref="HC369:HD369"/>
    <mergeCell ref="HE369:HF369"/>
    <mergeCell ref="HH369:HI369"/>
    <mergeCell ref="HJ369:HK369"/>
    <mergeCell ref="HM369:HN369"/>
    <mergeCell ref="HO369:HP369"/>
    <mergeCell ref="HQ369:HR369"/>
    <mergeCell ref="GX374:GY374"/>
    <mergeCell ref="GZ374:HA374"/>
    <mergeCell ref="HC374:HD374"/>
    <mergeCell ref="HE374:HF374"/>
    <mergeCell ref="HH374:HI374"/>
    <mergeCell ref="HJ374:HK374"/>
    <mergeCell ref="HM374:HN374"/>
    <mergeCell ref="HO374:HP374"/>
    <mergeCell ref="HQ374:HR374"/>
    <mergeCell ref="GX367:GY367"/>
    <mergeCell ref="GZ367:HA367"/>
    <mergeCell ref="HC367:HD367"/>
    <mergeCell ref="HE367:HF367"/>
    <mergeCell ref="HH367:HI367"/>
    <mergeCell ref="HJ367:HK367"/>
    <mergeCell ref="HM367:HN367"/>
    <mergeCell ref="HO367:HP367"/>
    <mergeCell ref="HQ367:HR367"/>
    <mergeCell ref="GX364:GY364"/>
    <mergeCell ref="GZ364:HA364"/>
    <mergeCell ref="HC364:HD364"/>
    <mergeCell ref="HE364:HF364"/>
    <mergeCell ref="HH364:HI364"/>
    <mergeCell ref="HJ364:HK364"/>
    <mergeCell ref="HM364:HN364"/>
    <mergeCell ref="HO364:HP364"/>
    <mergeCell ref="HQ364:HR364"/>
    <mergeCell ref="GX365:GY365"/>
    <mergeCell ref="GZ365:HA365"/>
    <mergeCell ref="HC365:HD365"/>
    <mergeCell ref="HE365:HF365"/>
    <mergeCell ref="HH365:HI365"/>
    <mergeCell ref="HJ365:HK365"/>
    <mergeCell ref="HM365:HN365"/>
    <mergeCell ref="HO365:HP365"/>
    <mergeCell ref="HQ365:HR365"/>
    <mergeCell ref="GX370:GY370"/>
    <mergeCell ref="GZ370:HA370"/>
    <mergeCell ref="HC370:HD370"/>
    <mergeCell ref="HE370:HF370"/>
    <mergeCell ref="HH370:HI370"/>
    <mergeCell ref="HJ370:HK370"/>
    <mergeCell ref="HM370:HN370"/>
    <mergeCell ref="HO370:HP370"/>
    <mergeCell ref="HQ370:HR370"/>
    <mergeCell ref="GX363:GY363"/>
    <mergeCell ref="GZ363:HA363"/>
    <mergeCell ref="HC363:HD363"/>
    <mergeCell ref="HE363:HF363"/>
    <mergeCell ref="HH363:HI363"/>
    <mergeCell ref="HJ363:HK363"/>
    <mergeCell ref="HM363:HN363"/>
    <mergeCell ref="HO363:HP363"/>
    <mergeCell ref="HQ363:HR363"/>
    <mergeCell ref="GX360:GY360"/>
    <mergeCell ref="GZ360:HA360"/>
    <mergeCell ref="HC360:HD360"/>
    <mergeCell ref="HE360:HF360"/>
    <mergeCell ref="HH360:HI360"/>
    <mergeCell ref="HJ360:HK360"/>
    <mergeCell ref="HM360:HN360"/>
    <mergeCell ref="HO360:HP360"/>
    <mergeCell ref="HQ360:HR360"/>
    <mergeCell ref="GX361:GY361"/>
    <mergeCell ref="GZ361:HA361"/>
    <mergeCell ref="HC361:HD361"/>
    <mergeCell ref="HE361:HF361"/>
    <mergeCell ref="HH361:HI361"/>
    <mergeCell ref="HJ361:HK361"/>
    <mergeCell ref="HM361:HN361"/>
    <mergeCell ref="HO361:HP361"/>
    <mergeCell ref="HQ361:HR361"/>
    <mergeCell ref="GX366:GY366"/>
    <mergeCell ref="GZ366:HA366"/>
    <mergeCell ref="HC366:HD366"/>
    <mergeCell ref="HE366:HF366"/>
    <mergeCell ref="HH366:HI366"/>
    <mergeCell ref="HJ366:HK366"/>
    <mergeCell ref="HM366:HN366"/>
    <mergeCell ref="HO366:HP366"/>
    <mergeCell ref="HQ366:HR366"/>
    <mergeCell ref="HQ359:HR359"/>
    <mergeCell ref="HM355:HN355"/>
    <mergeCell ref="HO355:HP355"/>
    <mergeCell ref="HQ355:HR355"/>
    <mergeCell ref="GX356:GY356"/>
    <mergeCell ref="GZ356:HA356"/>
    <mergeCell ref="HC356:HD356"/>
    <mergeCell ref="HE356:HF356"/>
    <mergeCell ref="HH356:HI356"/>
    <mergeCell ref="HJ356:HK356"/>
    <mergeCell ref="HM356:HN356"/>
    <mergeCell ref="HO356:HP356"/>
    <mergeCell ref="HQ356:HR356"/>
    <mergeCell ref="GX357:GY357"/>
    <mergeCell ref="GZ357:HA357"/>
    <mergeCell ref="HC357:HD357"/>
    <mergeCell ref="HE357:HF357"/>
    <mergeCell ref="HH357:HI357"/>
    <mergeCell ref="HJ357:HK357"/>
    <mergeCell ref="HM357:HN357"/>
    <mergeCell ref="HO357:HP357"/>
    <mergeCell ref="HQ357:HR357"/>
    <mergeCell ref="HJ355:HK355"/>
    <mergeCell ref="GX355:GY355"/>
    <mergeCell ref="GZ355:HA355"/>
    <mergeCell ref="HC355:HD355"/>
    <mergeCell ref="HE355:HF355"/>
    <mergeCell ref="HH355:HI355"/>
    <mergeCell ref="GX362:GY362"/>
    <mergeCell ref="GZ362:HA362"/>
    <mergeCell ref="HC362:HD362"/>
    <mergeCell ref="HE362:HF362"/>
    <mergeCell ref="HH362:HI362"/>
    <mergeCell ref="HJ362:HK362"/>
    <mergeCell ref="HM362:HN362"/>
    <mergeCell ref="HO362:HP362"/>
    <mergeCell ref="HQ362:HR362"/>
    <mergeCell ref="HJ359:HK359"/>
    <mergeCell ref="HM359:HN359"/>
    <mergeCell ref="HO359:HP359"/>
    <mergeCell ref="GX352:GY352"/>
    <mergeCell ref="GZ352:HA352"/>
    <mergeCell ref="HC352:HD352"/>
    <mergeCell ref="HE352:HF352"/>
    <mergeCell ref="HH352:HI352"/>
    <mergeCell ref="HJ352:HK352"/>
    <mergeCell ref="HM352:HN352"/>
    <mergeCell ref="HO352:HP352"/>
    <mergeCell ref="HQ352:HR352"/>
    <mergeCell ref="GX353:GY353"/>
    <mergeCell ref="GZ353:HA353"/>
    <mergeCell ref="HC353:HD353"/>
    <mergeCell ref="HE353:HF353"/>
    <mergeCell ref="HH353:HI353"/>
    <mergeCell ref="HJ353:HK353"/>
    <mergeCell ref="HM353:HN353"/>
    <mergeCell ref="HO353:HP353"/>
    <mergeCell ref="HQ353:HR353"/>
    <mergeCell ref="GX350:GY350"/>
    <mergeCell ref="GZ350:HA350"/>
    <mergeCell ref="HC350:HD350"/>
    <mergeCell ref="HE350:HF350"/>
    <mergeCell ref="HH350:HI350"/>
    <mergeCell ref="HJ350:HK350"/>
    <mergeCell ref="HM350:HN350"/>
    <mergeCell ref="HO350:HP350"/>
    <mergeCell ref="HQ350:HR350"/>
    <mergeCell ref="GX351:GY351"/>
    <mergeCell ref="GZ351:HA351"/>
    <mergeCell ref="HC351:HD351"/>
    <mergeCell ref="HE351:HF351"/>
    <mergeCell ref="HH351:HI351"/>
    <mergeCell ref="HJ351:HK351"/>
    <mergeCell ref="HM351:HN351"/>
    <mergeCell ref="HO351:HP351"/>
    <mergeCell ref="HQ351:HR351"/>
    <mergeCell ref="GX348:GY348"/>
    <mergeCell ref="GZ348:HA348"/>
    <mergeCell ref="HC348:HD348"/>
    <mergeCell ref="HE348:HF348"/>
    <mergeCell ref="HH348:HI348"/>
    <mergeCell ref="HJ348:HK348"/>
    <mergeCell ref="HM348:HN348"/>
    <mergeCell ref="HO348:HP348"/>
    <mergeCell ref="HQ348:HR348"/>
    <mergeCell ref="GX349:GY349"/>
    <mergeCell ref="GZ349:HA349"/>
    <mergeCell ref="HC349:HD349"/>
    <mergeCell ref="HE349:HF349"/>
    <mergeCell ref="HH349:HI349"/>
    <mergeCell ref="HJ349:HK349"/>
    <mergeCell ref="HM349:HN349"/>
    <mergeCell ref="HO349:HP349"/>
    <mergeCell ref="HQ349:HR349"/>
    <mergeCell ref="GX346:GY346"/>
    <mergeCell ref="GZ346:HA346"/>
    <mergeCell ref="HC346:HD346"/>
    <mergeCell ref="HE346:HF346"/>
    <mergeCell ref="HH346:HI346"/>
    <mergeCell ref="HJ346:HK346"/>
    <mergeCell ref="HM346:HN346"/>
    <mergeCell ref="HO346:HP346"/>
    <mergeCell ref="HQ346:HR346"/>
    <mergeCell ref="GX347:GY347"/>
    <mergeCell ref="GZ347:HA347"/>
    <mergeCell ref="HC347:HD347"/>
    <mergeCell ref="HE347:HF347"/>
    <mergeCell ref="HH347:HI347"/>
    <mergeCell ref="HJ347:HK347"/>
    <mergeCell ref="HM347:HN347"/>
    <mergeCell ref="HO347:HP347"/>
    <mergeCell ref="HQ347:HR347"/>
    <mergeCell ref="GX344:GY344"/>
    <mergeCell ref="GZ344:HA344"/>
    <mergeCell ref="HC344:HD344"/>
    <mergeCell ref="HE344:HF344"/>
    <mergeCell ref="HH344:HI344"/>
    <mergeCell ref="HJ344:HK344"/>
    <mergeCell ref="HM344:HN344"/>
    <mergeCell ref="HO344:HP344"/>
    <mergeCell ref="HQ344:HR344"/>
    <mergeCell ref="GX345:GY345"/>
    <mergeCell ref="GZ345:HA345"/>
    <mergeCell ref="HC345:HD345"/>
    <mergeCell ref="HE345:HF345"/>
    <mergeCell ref="HH345:HI345"/>
    <mergeCell ref="HJ345:HK345"/>
    <mergeCell ref="HM345:HN345"/>
    <mergeCell ref="HO345:HP345"/>
    <mergeCell ref="HQ345:HR345"/>
    <mergeCell ref="GX342:GY342"/>
    <mergeCell ref="GZ342:HA342"/>
    <mergeCell ref="HC342:HD342"/>
    <mergeCell ref="HE342:HF342"/>
    <mergeCell ref="HH342:HI342"/>
    <mergeCell ref="HJ342:HK342"/>
    <mergeCell ref="HM342:HN342"/>
    <mergeCell ref="HO342:HP342"/>
    <mergeCell ref="HQ342:HR342"/>
    <mergeCell ref="GX343:GY343"/>
    <mergeCell ref="GZ343:HA343"/>
    <mergeCell ref="HC343:HD343"/>
    <mergeCell ref="HE343:HF343"/>
    <mergeCell ref="HH343:HI343"/>
    <mergeCell ref="HJ343:HK343"/>
    <mergeCell ref="HM343:HN343"/>
    <mergeCell ref="HO343:HP343"/>
    <mergeCell ref="HQ343:HR343"/>
    <mergeCell ref="GX340:GY340"/>
    <mergeCell ref="GZ340:HA340"/>
    <mergeCell ref="HC340:HD340"/>
    <mergeCell ref="HE340:HF340"/>
    <mergeCell ref="HH340:HI340"/>
    <mergeCell ref="HJ340:HK340"/>
    <mergeCell ref="HM340:HN340"/>
    <mergeCell ref="HO340:HP340"/>
    <mergeCell ref="HQ340:HR340"/>
    <mergeCell ref="GX341:GY341"/>
    <mergeCell ref="GZ341:HA341"/>
    <mergeCell ref="HC341:HD341"/>
    <mergeCell ref="HE341:HF341"/>
    <mergeCell ref="HH341:HI341"/>
    <mergeCell ref="HJ341:HK341"/>
    <mergeCell ref="HM341:HN341"/>
    <mergeCell ref="HO341:HP341"/>
    <mergeCell ref="HQ341:HR341"/>
    <mergeCell ref="GX338:GY338"/>
    <mergeCell ref="GZ338:HA338"/>
    <mergeCell ref="HC338:HD338"/>
    <mergeCell ref="HE338:HF338"/>
    <mergeCell ref="HH338:HI338"/>
    <mergeCell ref="HJ338:HK338"/>
    <mergeCell ref="HM338:HN338"/>
    <mergeCell ref="HO338:HP338"/>
    <mergeCell ref="HQ338:HR338"/>
    <mergeCell ref="GX339:GY339"/>
    <mergeCell ref="GZ339:HA339"/>
    <mergeCell ref="HC339:HD339"/>
    <mergeCell ref="HE339:HF339"/>
    <mergeCell ref="HH339:HI339"/>
    <mergeCell ref="HJ339:HK339"/>
    <mergeCell ref="HM339:HN339"/>
    <mergeCell ref="HO339:HP339"/>
    <mergeCell ref="HQ339:HR339"/>
    <mergeCell ref="GX336:GY336"/>
    <mergeCell ref="GZ336:HA336"/>
    <mergeCell ref="HC336:HD336"/>
    <mergeCell ref="HE336:HF336"/>
    <mergeCell ref="HH336:HI336"/>
    <mergeCell ref="HJ336:HK336"/>
    <mergeCell ref="HM336:HN336"/>
    <mergeCell ref="HO336:HP336"/>
    <mergeCell ref="HQ336:HR336"/>
    <mergeCell ref="GX337:GY337"/>
    <mergeCell ref="GZ337:HA337"/>
    <mergeCell ref="HC337:HD337"/>
    <mergeCell ref="HE337:HF337"/>
    <mergeCell ref="HH337:HI337"/>
    <mergeCell ref="HJ337:HK337"/>
    <mergeCell ref="HM337:HN337"/>
    <mergeCell ref="HO337:HP337"/>
    <mergeCell ref="HQ337:HR337"/>
    <mergeCell ref="GX334:GY334"/>
    <mergeCell ref="GZ334:HA334"/>
    <mergeCell ref="HC334:HD334"/>
    <mergeCell ref="HE334:HF334"/>
    <mergeCell ref="HH334:HI334"/>
    <mergeCell ref="HJ334:HK334"/>
    <mergeCell ref="HM334:HN334"/>
    <mergeCell ref="HO334:HP334"/>
    <mergeCell ref="HQ334:HR334"/>
    <mergeCell ref="GX335:GY335"/>
    <mergeCell ref="GZ335:HA335"/>
    <mergeCell ref="HC335:HD335"/>
    <mergeCell ref="HE335:HF335"/>
    <mergeCell ref="HH335:HI335"/>
    <mergeCell ref="HJ335:HK335"/>
    <mergeCell ref="HM335:HN335"/>
    <mergeCell ref="HO335:HP335"/>
    <mergeCell ref="HQ335:HR335"/>
    <mergeCell ref="GX332:GY332"/>
    <mergeCell ref="GZ332:HA332"/>
    <mergeCell ref="HC332:HD332"/>
    <mergeCell ref="HE332:HF332"/>
    <mergeCell ref="HH332:HI332"/>
    <mergeCell ref="HJ332:HK332"/>
    <mergeCell ref="HM332:HN332"/>
    <mergeCell ref="HO332:HP332"/>
    <mergeCell ref="HQ332:HR332"/>
    <mergeCell ref="GX333:GY333"/>
    <mergeCell ref="GZ333:HA333"/>
    <mergeCell ref="HC333:HD333"/>
    <mergeCell ref="HE333:HF333"/>
    <mergeCell ref="HH333:HI333"/>
    <mergeCell ref="HJ333:HK333"/>
    <mergeCell ref="HM333:HN333"/>
    <mergeCell ref="HO333:HP333"/>
    <mergeCell ref="HQ333:HR333"/>
    <mergeCell ref="GX330:GY330"/>
    <mergeCell ref="GZ330:HA330"/>
    <mergeCell ref="HC330:HD330"/>
    <mergeCell ref="HE330:HF330"/>
    <mergeCell ref="HH330:HI330"/>
    <mergeCell ref="HJ330:HK330"/>
    <mergeCell ref="HM330:HN330"/>
    <mergeCell ref="HO330:HP330"/>
    <mergeCell ref="HQ330:HR330"/>
    <mergeCell ref="GX331:GY331"/>
    <mergeCell ref="GZ331:HA331"/>
    <mergeCell ref="HC331:HD331"/>
    <mergeCell ref="HE331:HF331"/>
    <mergeCell ref="HH331:HI331"/>
    <mergeCell ref="HJ331:HK331"/>
    <mergeCell ref="HM331:HN331"/>
    <mergeCell ref="HO331:HP331"/>
    <mergeCell ref="HQ331:HR331"/>
    <mergeCell ref="GX328:GY328"/>
    <mergeCell ref="GZ328:HA328"/>
    <mergeCell ref="HC328:HD328"/>
    <mergeCell ref="HE328:HF328"/>
    <mergeCell ref="HH328:HI328"/>
    <mergeCell ref="HJ328:HK328"/>
    <mergeCell ref="HM328:HN328"/>
    <mergeCell ref="HO328:HP328"/>
    <mergeCell ref="HQ328:HR328"/>
    <mergeCell ref="GX329:GY329"/>
    <mergeCell ref="GZ329:HA329"/>
    <mergeCell ref="HC329:HD329"/>
    <mergeCell ref="HE329:HF329"/>
    <mergeCell ref="HH329:HI329"/>
    <mergeCell ref="HJ329:HK329"/>
    <mergeCell ref="HM329:HN329"/>
    <mergeCell ref="HO329:HP329"/>
    <mergeCell ref="HQ329:HR329"/>
    <mergeCell ref="GX326:GY326"/>
    <mergeCell ref="GZ326:HA326"/>
    <mergeCell ref="HC326:HD326"/>
    <mergeCell ref="HE326:HF326"/>
    <mergeCell ref="HH326:HI326"/>
    <mergeCell ref="HJ326:HK326"/>
    <mergeCell ref="HM326:HN326"/>
    <mergeCell ref="HO326:HP326"/>
    <mergeCell ref="HQ326:HR326"/>
    <mergeCell ref="GX327:GY327"/>
    <mergeCell ref="GZ327:HA327"/>
    <mergeCell ref="HC327:HD327"/>
    <mergeCell ref="HE327:HF327"/>
    <mergeCell ref="HH327:HI327"/>
    <mergeCell ref="HJ327:HK327"/>
    <mergeCell ref="HM327:HN327"/>
    <mergeCell ref="HO327:HP327"/>
    <mergeCell ref="HQ327:HR327"/>
    <mergeCell ref="GZ324:HA324"/>
    <mergeCell ref="HC324:HD324"/>
    <mergeCell ref="HE324:HF324"/>
    <mergeCell ref="HH324:HI324"/>
    <mergeCell ref="HJ324:HK324"/>
    <mergeCell ref="HM324:HN324"/>
    <mergeCell ref="HO324:HP324"/>
    <mergeCell ref="HQ324:HR324"/>
    <mergeCell ref="GX325:GY325"/>
    <mergeCell ref="GZ325:HA325"/>
    <mergeCell ref="HC325:HD325"/>
    <mergeCell ref="HE325:HF325"/>
    <mergeCell ref="HH325:HI325"/>
    <mergeCell ref="HJ325:HK325"/>
    <mergeCell ref="HM325:HN325"/>
    <mergeCell ref="HO325:HP325"/>
    <mergeCell ref="HQ325:HR325"/>
    <mergeCell ref="GX324:GY324"/>
    <mergeCell ref="HM321:HN321"/>
    <mergeCell ref="HO321:HP321"/>
    <mergeCell ref="HQ321:HR321"/>
    <mergeCell ref="GX322:GY322"/>
    <mergeCell ref="GZ322:HA322"/>
    <mergeCell ref="HC322:HD322"/>
    <mergeCell ref="HE322:HF322"/>
    <mergeCell ref="HH322:HI322"/>
    <mergeCell ref="HJ322:HK322"/>
    <mergeCell ref="HM322:HN322"/>
    <mergeCell ref="HO322:HP322"/>
    <mergeCell ref="HQ322:HR322"/>
    <mergeCell ref="GX323:GY323"/>
    <mergeCell ref="GZ323:HA323"/>
    <mergeCell ref="HC323:HD323"/>
    <mergeCell ref="HE323:HF323"/>
    <mergeCell ref="HH323:HI323"/>
    <mergeCell ref="HJ323:HK323"/>
    <mergeCell ref="HM323:HN323"/>
    <mergeCell ref="HO323:HP323"/>
    <mergeCell ref="HQ323:HR323"/>
    <mergeCell ref="GX321:GY321"/>
    <mergeCell ref="GZ321:HA321"/>
    <mergeCell ref="HC321:HD321"/>
    <mergeCell ref="HE321:HF321"/>
    <mergeCell ref="HH321:HI321"/>
    <mergeCell ref="HJ321:HK321"/>
    <mergeCell ref="HM318:HN318"/>
    <mergeCell ref="HO318:HP318"/>
    <mergeCell ref="HQ318:HR318"/>
    <mergeCell ref="GX319:GY319"/>
    <mergeCell ref="GZ319:HA319"/>
    <mergeCell ref="HC319:HD319"/>
    <mergeCell ref="HE319:HF319"/>
    <mergeCell ref="HH319:HI319"/>
    <mergeCell ref="HJ319:HK319"/>
    <mergeCell ref="HM319:HN319"/>
    <mergeCell ref="HO319:HP319"/>
    <mergeCell ref="HQ319:HR319"/>
    <mergeCell ref="GX320:GY320"/>
    <mergeCell ref="GZ320:HA320"/>
    <mergeCell ref="HC320:HD320"/>
    <mergeCell ref="HE320:HF320"/>
    <mergeCell ref="HH320:HI320"/>
    <mergeCell ref="HJ320:HK320"/>
    <mergeCell ref="HM320:HN320"/>
    <mergeCell ref="HO320:HP320"/>
    <mergeCell ref="HQ320:HR320"/>
    <mergeCell ref="GX318:GY318"/>
    <mergeCell ref="GZ318:HA318"/>
    <mergeCell ref="HC318:HD318"/>
    <mergeCell ref="HE318:HF318"/>
    <mergeCell ref="HH318:HI318"/>
    <mergeCell ref="HJ318:HK318"/>
    <mergeCell ref="HQ316:HR316"/>
    <mergeCell ref="HH315:HI315"/>
    <mergeCell ref="HH316:HI316"/>
    <mergeCell ref="GX317:GY317"/>
    <mergeCell ref="GZ317:HA317"/>
    <mergeCell ref="HC317:HD317"/>
    <mergeCell ref="HE317:HF317"/>
    <mergeCell ref="HH317:HI317"/>
    <mergeCell ref="HJ317:HK317"/>
    <mergeCell ref="HM317:HN317"/>
    <mergeCell ref="HO317:HP317"/>
    <mergeCell ref="HQ317:HR317"/>
    <mergeCell ref="HQ309:HR309"/>
    <mergeCell ref="HM310:HN310"/>
    <mergeCell ref="HO310:HP310"/>
    <mergeCell ref="HQ310:HR310"/>
    <mergeCell ref="HM311:HN311"/>
    <mergeCell ref="HO311:HP311"/>
    <mergeCell ref="HQ311:HR311"/>
    <mergeCell ref="HM312:HN312"/>
    <mergeCell ref="HO312:HP312"/>
    <mergeCell ref="HQ312:HR312"/>
    <mergeCell ref="HM313:HN313"/>
    <mergeCell ref="HO313:HP313"/>
    <mergeCell ref="HQ313:HR313"/>
    <mergeCell ref="HM314:HN314"/>
    <mergeCell ref="HO314:HP314"/>
    <mergeCell ref="HQ314:HR314"/>
    <mergeCell ref="HM315:HN315"/>
    <mergeCell ref="HO315:HP315"/>
    <mergeCell ref="HQ315:HR315"/>
    <mergeCell ref="HE316:HF316"/>
    <mergeCell ref="HM309:HN309"/>
    <mergeCell ref="HO309:HP309"/>
    <mergeCell ref="HM316:HN316"/>
    <mergeCell ref="HO316:HP316"/>
    <mergeCell ref="GX310:GY310"/>
    <mergeCell ref="GZ310:HA310"/>
    <mergeCell ref="HC310:HD310"/>
    <mergeCell ref="GX311:GY311"/>
    <mergeCell ref="GZ311:HA311"/>
    <mergeCell ref="HC311:HD311"/>
    <mergeCell ref="GX312:GY312"/>
    <mergeCell ref="GZ312:HA312"/>
    <mergeCell ref="HC312:HD312"/>
    <mergeCell ref="GX313:GY313"/>
    <mergeCell ref="GZ313:HA313"/>
    <mergeCell ref="HC313:HD313"/>
    <mergeCell ref="GX314:GY314"/>
    <mergeCell ref="GZ314:HA314"/>
    <mergeCell ref="HC314:HD314"/>
    <mergeCell ref="GX315:GY315"/>
    <mergeCell ref="GZ315:HA315"/>
    <mergeCell ref="HC315:HD315"/>
    <mergeCell ref="GX316:GY316"/>
    <mergeCell ref="GZ316:HA316"/>
    <mergeCell ref="HC316:HD316"/>
    <mergeCell ref="GX309:GY309"/>
    <mergeCell ref="GZ309:HA309"/>
    <mergeCell ref="HC309:HD309"/>
    <mergeCell ref="HE309:HF309"/>
    <mergeCell ref="HH309:HI309"/>
    <mergeCell ref="HJ309:HK309"/>
    <mergeCell ref="HE310:HF310"/>
    <mergeCell ref="HE311:HF311"/>
    <mergeCell ref="HE312:HF312"/>
    <mergeCell ref="HE313:HF313"/>
    <mergeCell ref="HE314:HF314"/>
    <mergeCell ref="HE315:HF315"/>
    <mergeCell ref="HH310:HI310"/>
    <mergeCell ref="HH311:HI311"/>
    <mergeCell ref="HH312:HI312"/>
    <mergeCell ref="HH313:HI313"/>
    <mergeCell ref="HH314:HI314"/>
    <mergeCell ref="HJ310:HK310"/>
    <mergeCell ref="HJ311:HK311"/>
    <mergeCell ref="HJ312:HK312"/>
    <mergeCell ref="HJ313:HK313"/>
    <mergeCell ref="HJ314:HK314"/>
    <mergeCell ref="HJ315:HK315"/>
    <mergeCell ref="HJ316:HK316"/>
    <mergeCell ref="ED329:EE329"/>
    <mergeCell ref="EG329:EH329"/>
    <mergeCell ref="ED330:EE330"/>
    <mergeCell ref="EG330:EH330"/>
    <mergeCell ref="ED331:EE331"/>
    <mergeCell ref="EG331:EH331"/>
    <mergeCell ref="EG348:EH348"/>
    <mergeCell ref="ED349:EE349"/>
    <mergeCell ref="EG349:EH349"/>
    <mergeCell ref="ED332:EE332"/>
    <mergeCell ref="EG332:EH332"/>
    <mergeCell ref="ED333:EE333"/>
    <mergeCell ref="EG333:EH333"/>
    <mergeCell ref="ED334:EE334"/>
    <mergeCell ref="EG334:EH334"/>
    <mergeCell ref="ED335:EE335"/>
    <mergeCell ref="EG335:EH335"/>
    <mergeCell ref="ED336:EE336"/>
    <mergeCell ref="EG336:EH336"/>
    <mergeCell ref="ED337:EE337"/>
    <mergeCell ref="EG337:EH337"/>
    <mergeCell ref="ED338:EE338"/>
    <mergeCell ref="EG338:EH338"/>
    <mergeCell ref="ED339:EE339"/>
    <mergeCell ref="ED340:EE340"/>
    <mergeCell ref="EG340:EH340"/>
    <mergeCell ref="EG309:EH309"/>
    <mergeCell ref="EG308:EI308"/>
    <mergeCell ref="EG312:EH312"/>
    <mergeCell ref="EG311:EH311"/>
    <mergeCell ref="ED309:EE309"/>
    <mergeCell ref="ED310:EE310"/>
    <mergeCell ref="ED308:EF308"/>
    <mergeCell ref="EG313:EH313"/>
    <mergeCell ref="ES328:EU328"/>
    <mergeCell ref="ES329:EU329"/>
    <mergeCell ref="ES325:EU325"/>
    <mergeCell ref="ES326:EU326"/>
    <mergeCell ref="FE335:FK335"/>
    <mergeCell ref="FE325:FK325"/>
    <mergeCell ref="FE334:FK334"/>
    <mergeCell ref="EV327:FD327"/>
    <mergeCell ref="EV328:FD328"/>
    <mergeCell ref="EV329:FD329"/>
    <mergeCell ref="EV335:FD335"/>
    <mergeCell ref="FE333:FK333"/>
    <mergeCell ref="FE321:FK321"/>
    <mergeCell ref="FL321:GB321"/>
    <mergeCell ref="EV312:FD312"/>
    <mergeCell ref="EV313:FD313"/>
    <mergeCell ref="EV314:FD314"/>
    <mergeCell ref="EV315:FD315"/>
    <mergeCell ref="ES333:EU333"/>
    <mergeCell ref="EV330:FD330"/>
    <mergeCell ref="EV331:FD331"/>
    <mergeCell ref="EV332:FD332"/>
    <mergeCell ref="EV333:FD333"/>
    <mergeCell ref="EV334:FD334"/>
    <mergeCell ref="FE315:FK315"/>
    <mergeCell ref="FE1507:FK1507"/>
    <mergeCell ref="FL1507:GB1507"/>
    <mergeCell ref="EG310:EH310"/>
    <mergeCell ref="EG315:EH315"/>
    <mergeCell ref="EG339:EH339"/>
    <mergeCell ref="FE357:FK357"/>
    <mergeCell ref="FE358:FK358"/>
    <mergeCell ref="FE359:FK359"/>
    <mergeCell ref="FE360:FK360"/>
    <mergeCell ref="FE361:FK361"/>
    <mergeCell ref="FE331:FK331"/>
    <mergeCell ref="FE332:FK332"/>
    <mergeCell ref="EG316:EH316"/>
    <mergeCell ref="ED313:EE313"/>
    <mergeCell ref="ED312:EE312"/>
    <mergeCell ref="EG323:EH323"/>
    <mergeCell ref="ED324:EE324"/>
    <mergeCell ref="EG324:EH324"/>
    <mergeCell ref="ED325:EE325"/>
    <mergeCell ref="EG325:EH325"/>
    <mergeCell ref="ED326:EE326"/>
    <mergeCell ref="EG326:EH326"/>
    <mergeCell ref="ED327:EE327"/>
    <mergeCell ref="EG327:EH327"/>
    <mergeCell ref="ED328:EE328"/>
    <mergeCell ref="EG328:EH328"/>
    <mergeCell ref="FE1504:FK1504"/>
    <mergeCell ref="FL1504:GB1504"/>
    <mergeCell ref="FE1505:FK1505"/>
    <mergeCell ref="FL1505:GB1505"/>
    <mergeCell ref="FE1506:FK1506"/>
    <mergeCell ref="FL1506:GB1506"/>
    <mergeCell ref="FE788:FK788"/>
    <mergeCell ref="FE713:FK713"/>
    <mergeCell ref="FE355:FK355"/>
    <mergeCell ref="FE356:FK356"/>
    <mergeCell ref="FE347:FK347"/>
    <mergeCell ref="FE400:FK400"/>
    <mergeCell ref="FE1501:FK1501"/>
    <mergeCell ref="FE364:FK364"/>
    <mergeCell ref="FE365:FK365"/>
    <mergeCell ref="FE363:FK363"/>
    <mergeCell ref="FE354:FK354"/>
    <mergeCell ref="FE366:FK366"/>
    <mergeCell ref="FE367:FK367"/>
    <mergeCell ref="FE362:FK362"/>
    <mergeCell ref="FE370:FK370"/>
    <mergeCell ref="FE368:FK368"/>
    <mergeCell ref="FE369:FK369"/>
    <mergeCell ref="FE384:FK384"/>
    <mergeCell ref="FE385:FK385"/>
    <mergeCell ref="FE386:FK386"/>
    <mergeCell ref="FE387:FK387"/>
    <mergeCell ref="FE388:FK388"/>
    <mergeCell ref="FE439:FK439"/>
    <mergeCell ref="FE440:FK440"/>
    <mergeCell ref="FE441:FK441"/>
    <mergeCell ref="FE442:FK442"/>
    <mergeCell ref="FE443:FK443"/>
    <mergeCell ref="FE444:FK444"/>
    <mergeCell ref="FE445:FK445"/>
    <mergeCell ref="FE446:FK446"/>
    <mergeCell ref="FE709:FK709"/>
    <mergeCell ref="FE655:FK655"/>
    <mergeCell ref="FE326:FK326"/>
    <mergeCell ref="FE327:FK327"/>
    <mergeCell ref="FE328:FK328"/>
    <mergeCell ref="FE329:FK329"/>
    <mergeCell ref="FE330:FK330"/>
    <mergeCell ref="FE663:FK663"/>
    <mergeCell ref="ED317:EE317"/>
    <mergeCell ref="EG317:EH317"/>
    <mergeCell ref="ED318:EE318"/>
    <mergeCell ref="EG318:EH318"/>
    <mergeCell ref="ED319:EE319"/>
    <mergeCell ref="EG319:EH319"/>
    <mergeCell ref="ED320:EE320"/>
    <mergeCell ref="EG320:EH320"/>
    <mergeCell ref="ED321:EE321"/>
    <mergeCell ref="EG321:EH321"/>
    <mergeCell ref="ED322:EE322"/>
    <mergeCell ref="EG322:EH322"/>
    <mergeCell ref="ED323:EE323"/>
    <mergeCell ref="ED314:EE314"/>
    <mergeCell ref="EG314:EH314"/>
    <mergeCell ref="ED315:EE315"/>
    <mergeCell ref="ED316:EE316"/>
    <mergeCell ref="FE447:FK447"/>
    <mergeCell ref="FE471:FK471"/>
    <mergeCell ref="FE472:FK472"/>
    <mergeCell ref="FE473:FK473"/>
    <mergeCell ref="FE474:FK474"/>
    <mergeCell ref="FE475:FK475"/>
    <mergeCell ref="FE454:FK454"/>
    <mergeCell ref="FE455:FK455"/>
    <mergeCell ref="FE456:FK456"/>
    <mergeCell ref="FE457:FK457"/>
    <mergeCell ref="FE458:FK458"/>
    <mergeCell ref="FE459:FK459"/>
    <mergeCell ref="FE460:FK460"/>
    <mergeCell ref="FE461:FK461"/>
    <mergeCell ref="FE490:FK490"/>
    <mergeCell ref="FE468:FK468"/>
    <mergeCell ref="FE469:FK469"/>
    <mergeCell ref="FE470:FK470"/>
    <mergeCell ref="FE484:FK484"/>
    <mergeCell ref="FE485:FK485"/>
    <mergeCell ref="FE486:FK486"/>
    <mergeCell ref="FE481:FK481"/>
    <mergeCell ref="FE482:FK482"/>
    <mergeCell ref="FE401:FK401"/>
    <mergeCell ref="FE449:FK449"/>
    <mergeCell ref="FE450:FK450"/>
    <mergeCell ref="FE451:FK451"/>
    <mergeCell ref="FE406:FK406"/>
    <mergeCell ref="FE407:FK407"/>
    <mergeCell ref="FE656:FK656"/>
    <mergeCell ref="FE657:FK657"/>
    <mergeCell ref="FE658:FK658"/>
    <mergeCell ref="FE659:FK659"/>
    <mergeCell ref="FE660:FK660"/>
    <mergeCell ref="FE661:FK661"/>
    <mergeCell ref="FE662:FK662"/>
    <mergeCell ref="ES334:EU334"/>
    <mergeCell ref="ES327:EU327"/>
    <mergeCell ref="ED396:EE396"/>
    <mergeCell ref="EG396:EH396"/>
    <mergeCell ref="ED341:EE341"/>
    <mergeCell ref="FE1145:FK1145"/>
    <mergeCell ref="FE1146:FK1146"/>
    <mergeCell ref="FE1147:FK1147"/>
    <mergeCell ref="FE1148:FK1148"/>
    <mergeCell ref="FE1149:FK1149"/>
    <mergeCell ref="FE1150:FK1150"/>
    <mergeCell ref="FE1151:FK1151"/>
    <mergeCell ref="FE1152:FK1152"/>
    <mergeCell ref="FE1153:FK1153"/>
    <mergeCell ref="FE1154:FK1154"/>
    <mergeCell ref="FE1155:FK1155"/>
    <mergeCell ref="FE1156:FK1156"/>
    <mergeCell ref="FE1157:FK1157"/>
    <mergeCell ref="FE1158:FK1158"/>
    <mergeCell ref="FE1159:FK1159"/>
    <mergeCell ref="FE1160:FK1160"/>
    <mergeCell ref="FE1502:FK1502"/>
    <mergeCell ref="FE1503:FK1503"/>
    <mergeCell ref="FL1503:GB1503"/>
    <mergeCell ref="FE712:FK712"/>
    <mergeCell ref="FE745:FK745"/>
    <mergeCell ref="FE746:FK746"/>
    <mergeCell ref="FE747:FK747"/>
    <mergeCell ref="FE748:FK748"/>
    <mergeCell ref="FE737:FK737"/>
    <mergeCell ref="FE738:FK738"/>
    <mergeCell ref="FE739:FK739"/>
    <mergeCell ref="FE740:FK740"/>
    <mergeCell ref="FE1204:FK1204"/>
    <mergeCell ref="FE1205:FK1205"/>
    <mergeCell ref="FE1206:FK1206"/>
    <mergeCell ref="FE1207:FK1207"/>
    <mergeCell ref="FE1208:FK1208"/>
    <mergeCell ref="FE1209:FK1209"/>
    <mergeCell ref="FE1210:FK1210"/>
    <mergeCell ref="FE1211:FK1211"/>
    <mergeCell ref="FE1212:FK1212"/>
    <mergeCell ref="FE1213:FK1213"/>
    <mergeCell ref="FE1214:FK1214"/>
    <mergeCell ref="FE1215:FK1215"/>
    <mergeCell ref="FE1216:FK1216"/>
    <mergeCell ref="FE1217:FK1217"/>
    <mergeCell ref="FE1218:FK1218"/>
    <mergeCell ref="FE1219:FK1219"/>
    <mergeCell ref="FE1220:FK1220"/>
    <mergeCell ref="FE1221:FK1221"/>
    <mergeCell ref="FE1222:FK1222"/>
    <mergeCell ref="FE1223:FK1223"/>
    <mergeCell ref="FE1224:FK1224"/>
    <mergeCell ref="FE1225:FK1225"/>
    <mergeCell ref="FE1226:FK1226"/>
    <mergeCell ref="FE782:FK782"/>
    <mergeCell ref="FE1117:FK1117"/>
    <mergeCell ref="FE1118:FK1118"/>
    <mergeCell ref="FE1119:FK1119"/>
    <mergeCell ref="FE1120:FK1120"/>
    <mergeCell ref="FE1121:FK1121"/>
    <mergeCell ref="FE1122:FK1122"/>
    <mergeCell ref="FE1123:FK1123"/>
    <mergeCell ref="FE1124:FK1124"/>
    <mergeCell ref="FE1125:FK1125"/>
    <mergeCell ref="FE1126:FK1126"/>
    <mergeCell ref="FE1127:FK1127"/>
    <mergeCell ref="FE1128:FK1128"/>
    <mergeCell ref="FE1129:FK1129"/>
    <mergeCell ref="FE1130:FK1130"/>
    <mergeCell ref="FE1131:FK1131"/>
    <mergeCell ref="FE1132:FK1132"/>
    <mergeCell ref="FE517:FK517"/>
    <mergeCell ref="FE518:FK518"/>
    <mergeCell ref="FE519:FK519"/>
    <mergeCell ref="FE520:FK520"/>
    <mergeCell ref="FE521:FK521"/>
    <mergeCell ref="FE522:FK522"/>
    <mergeCell ref="FE527:FK527"/>
    <mergeCell ref="FE528:FK528"/>
    <mergeCell ref="FE529:FK529"/>
    <mergeCell ref="FE532:FK532"/>
    <mergeCell ref="FE533:FK533"/>
    <mergeCell ref="FE534:FK534"/>
    <mergeCell ref="FE535:FK535"/>
    <mergeCell ref="FE568:FK568"/>
    <mergeCell ref="FE544:FK544"/>
    <mergeCell ref="FE545:FK545"/>
    <mergeCell ref="FE546:FK546"/>
    <mergeCell ref="FE547:FK547"/>
    <mergeCell ref="FE548:FK548"/>
    <mergeCell ref="FE549:FK549"/>
    <mergeCell ref="FE550:FK550"/>
    <mergeCell ref="FE551:FK551"/>
    <mergeCell ref="FE552:FK552"/>
    <mergeCell ref="FE553:FK553"/>
    <mergeCell ref="FE570:FK570"/>
    <mergeCell ref="FE571:FK571"/>
    <mergeCell ref="FE540:FK540"/>
    <mergeCell ref="FE541:FK541"/>
    <mergeCell ref="FE542:FK542"/>
    <mergeCell ref="FE538:FK538"/>
    <mergeCell ref="FE627:FK627"/>
    <mergeCell ref="FE628:FK628"/>
    <mergeCell ref="FE629:FK629"/>
    <mergeCell ref="FE560:FK560"/>
    <mergeCell ref="FE561:FK561"/>
    <mergeCell ref="FE596:FK596"/>
    <mergeCell ref="FE597:FK597"/>
    <mergeCell ref="FE598:FK598"/>
    <mergeCell ref="FE599:FK599"/>
    <mergeCell ref="FE600:FK600"/>
    <mergeCell ref="FE601:FK601"/>
    <mergeCell ref="FE602:FK602"/>
    <mergeCell ref="FE603:FK603"/>
    <mergeCell ref="FE787:FK787"/>
    <mergeCell ref="FE783:FK783"/>
    <mergeCell ref="FE734:FK734"/>
    <mergeCell ref="FE784:FK784"/>
    <mergeCell ref="FE736:FK736"/>
    <mergeCell ref="FE1112:FK1112"/>
    <mergeCell ref="FE1113:FK1113"/>
    <mergeCell ref="FE1114:FK1114"/>
    <mergeCell ref="FE1115:FK1115"/>
    <mergeCell ref="FE1116:FK1116"/>
    <mergeCell ref="FE764:FK764"/>
    <mergeCell ref="FE765:FK765"/>
    <mergeCell ref="FE759:FK759"/>
    <mergeCell ref="FE775:FK775"/>
    <mergeCell ref="FE780:FK780"/>
    <mergeCell ref="FE767:FK767"/>
    <mergeCell ref="FE768:FK768"/>
    <mergeCell ref="FE769:FK769"/>
    <mergeCell ref="FE770:FK770"/>
    <mergeCell ref="FE771:FK771"/>
    <mergeCell ref="FE772:FK772"/>
    <mergeCell ref="FE773:FK773"/>
    <mergeCell ref="FE781:FK781"/>
    <mergeCell ref="FE757:FK757"/>
    <mergeCell ref="FE743:FK743"/>
    <mergeCell ref="FE744:FK744"/>
    <mergeCell ref="FE774:FK774"/>
    <mergeCell ref="FE766:FK766"/>
    <mergeCell ref="FE710:FK710"/>
    <mergeCell ref="FE716:FK716"/>
    <mergeCell ref="FE717:FK717"/>
    <mergeCell ref="FE718:FK718"/>
    <mergeCell ref="FE719:FK719"/>
    <mergeCell ref="FE720:FK720"/>
    <mergeCell ref="FE721:FK721"/>
    <mergeCell ref="FE722:FK722"/>
    <mergeCell ref="FE723:FK723"/>
    <mergeCell ref="FE711:FK711"/>
    <mergeCell ref="FE735:FK735"/>
    <mergeCell ref="FE714:FK714"/>
    <mergeCell ref="FE715:FK715"/>
    <mergeCell ref="FE732:FK732"/>
    <mergeCell ref="FE733:FK733"/>
    <mergeCell ref="FE756:FK756"/>
    <mergeCell ref="FE725:FK725"/>
    <mergeCell ref="FE726:FK726"/>
    <mergeCell ref="FE727:FK727"/>
    <mergeCell ref="FE760:FK760"/>
    <mergeCell ref="FE761:FK761"/>
    <mergeCell ref="FE762:FK762"/>
    <mergeCell ref="FE763:FK763"/>
    <mergeCell ref="FE749:FK749"/>
    <mergeCell ref="FE750:FK750"/>
    <mergeCell ref="FE741:FK741"/>
    <mergeCell ref="FE742:FK742"/>
    <mergeCell ref="FE731:FK731"/>
    <mergeCell ref="FE724:FK724"/>
    <mergeCell ref="FE785:FK785"/>
    <mergeCell ref="FE786:FK786"/>
    <mergeCell ref="FE512:FK512"/>
    <mergeCell ref="FE513:FK513"/>
    <mergeCell ref="FE514:FK514"/>
    <mergeCell ref="FE515:FK515"/>
    <mergeCell ref="FE516:FK516"/>
    <mergeCell ref="FE530:FK530"/>
    <mergeCell ref="FE531:FK531"/>
    <mergeCell ref="FE501:FK501"/>
    <mergeCell ref="FE502:FK502"/>
    <mergeCell ref="FE503:FK503"/>
    <mergeCell ref="FE504:FK504"/>
    <mergeCell ref="FE477:FK477"/>
    <mergeCell ref="FE478:FK478"/>
    <mergeCell ref="FE479:FK479"/>
    <mergeCell ref="FE569:FK569"/>
    <mergeCell ref="FE539:FK539"/>
    <mergeCell ref="FE559:FK559"/>
    <mergeCell ref="FE554:FK554"/>
    <mergeCell ref="FE555:FK555"/>
    <mergeCell ref="FE556:FK556"/>
    <mergeCell ref="FE557:FK557"/>
    <mergeCell ref="FE558:FK558"/>
    <mergeCell ref="FE575:FK575"/>
    <mergeCell ref="FE576:FK576"/>
    <mergeCell ref="ES1508:EU1508"/>
    <mergeCell ref="ES782:EU782"/>
    <mergeCell ref="ES767:EU767"/>
    <mergeCell ref="ES771:EU771"/>
    <mergeCell ref="ES772:EU772"/>
    <mergeCell ref="ES773:EU773"/>
    <mergeCell ref="ES774:EU774"/>
    <mergeCell ref="ES775:EU775"/>
    <mergeCell ref="ES749:EU749"/>
    <mergeCell ref="ES753:EU753"/>
    <mergeCell ref="ES754:EU754"/>
    <mergeCell ref="ES755:EU755"/>
    <mergeCell ref="ES756:EU756"/>
    <mergeCell ref="ES757:EU757"/>
    <mergeCell ref="ES762:EU762"/>
    <mergeCell ref="ES763:EU763"/>
    <mergeCell ref="ES764:EU764"/>
    <mergeCell ref="ES765:EU765"/>
    <mergeCell ref="ES766:EU766"/>
    <mergeCell ref="ES759:EU759"/>
    <mergeCell ref="ES1016:EU1016"/>
    <mergeCell ref="ES1020:EU1020"/>
    <mergeCell ref="ES1021:EU1021"/>
    <mergeCell ref="ES1262:EU1262"/>
    <mergeCell ref="ES1502:EU1502"/>
    <mergeCell ref="ES1503:EU1503"/>
    <mergeCell ref="ES1504:EU1504"/>
    <mergeCell ref="ES1501:EU1501"/>
    <mergeCell ref="ES1505:EU1505"/>
    <mergeCell ref="ES1506:EU1506"/>
    <mergeCell ref="ES1507:EU1507"/>
    <mergeCell ref="ES786:EU786"/>
    <mergeCell ref="EV782:FD782"/>
    <mergeCell ref="EV783:FD783"/>
    <mergeCell ref="EV784:FD784"/>
    <mergeCell ref="EV785:FD785"/>
    <mergeCell ref="EV786:FD786"/>
    <mergeCell ref="EV787:FD787"/>
    <mergeCell ref="EV788:FD788"/>
    <mergeCell ref="EV789:FD789"/>
    <mergeCell ref="EV1012:FD1012"/>
    <mergeCell ref="EV1013:FD1013"/>
    <mergeCell ref="EV1014:FD1014"/>
    <mergeCell ref="EV1501:FD1501"/>
    <mergeCell ref="EV1502:FD1502"/>
    <mergeCell ref="EV1503:FD1503"/>
    <mergeCell ref="EV1504:FD1504"/>
    <mergeCell ref="EV1021:FD1021"/>
    <mergeCell ref="EV1262:FD1262"/>
    <mergeCell ref="EV1263:FD1263"/>
    <mergeCell ref="EV1500:FD1500"/>
    <mergeCell ref="EV821:FD821"/>
    <mergeCell ref="EV822:FD822"/>
    <mergeCell ref="EV823:FD823"/>
    <mergeCell ref="EV824:FD824"/>
    <mergeCell ref="EV825:FD825"/>
    <mergeCell ref="EV826:FD826"/>
    <mergeCell ref="EV827:FD827"/>
    <mergeCell ref="EV828:FD828"/>
    <mergeCell ref="EV829:FD829"/>
    <mergeCell ref="EV830:FD830"/>
    <mergeCell ref="EV831:FD831"/>
    <mergeCell ref="EV832:FD832"/>
    <mergeCell ref="EV833:FD833"/>
    <mergeCell ref="ES335:EU335"/>
    <mergeCell ref="ES339:EU339"/>
    <mergeCell ref="ES340:EU340"/>
    <mergeCell ref="ES341:EU341"/>
    <mergeCell ref="ES342:EU342"/>
    <mergeCell ref="ES343:EU343"/>
    <mergeCell ref="ES1017:EU1017"/>
    <mergeCell ref="ES1018:EU1018"/>
    <mergeCell ref="ES1019:EU1019"/>
    <mergeCell ref="ES780:EU780"/>
    <mergeCell ref="ES781:EU781"/>
    <mergeCell ref="ES371:EU371"/>
    <mergeCell ref="ES375:EU375"/>
    <mergeCell ref="ES376:EU376"/>
    <mergeCell ref="ES377:EU377"/>
    <mergeCell ref="ES378:EU378"/>
    <mergeCell ref="EV749:FD749"/>
    <mergeCell ref="EV750:FD750"/>
    <mergeCell ref="EV751:FD751"/>
    <mergeCell ref="EV752:FD752"/>
    <mergeCell ref="ES415:EU415"/>
    <mergeCell ref="ES743:EU743"/>
    <mergeCell ref="ES740:EU740"/>
    <mergeCell ref="ES732:EU732"/>
    <mergeCell ref="ES723:EU723"/>
    <mergeCell ref="ES724:EU724"/>
    <mergeCell ref="ES725:EU725"/>
    <mergeCell ref="ES677:EU677"/>
    <mergeCell ref="ES681:EU681"/>
    <mergeCell ref="ES682:EU682"/>
    <mergeCell ref="ES683:EU683"/>
    <mergeCell ref="ES719:EU719"/>
    <mergeCell ref="ES720:EU720"/>
    <mergeCell ref="ES721:EU721"/>
    <mergeCell ref="ES726:EU726"/>
    <mergeCell ref="ES791:EU791"/>
    <mergeCell ref="ES792:EU792"/>
    <mergeCell ref="ES793:EU793"/>
    <mergeCell ref="ES794:EU794"/>
    <mergeCell ref="ES795:EU795"/>
    <mergeCell ref="ES797:EU797"/>
    <mergeCell ref="ES798:EU798"/>
    <mergeCell ref="ES799:EU799"/>
    <mergeCell ref="ES800:EU800"/>
    <mergeCell ref="ES801:EU801"/>
    <mergeCell ref="ES696:EU696"/>
    <mergeCell ref="ES697:EU697"/>
    <mergeCell ref="ES698:EU698"/>
    <mergeCell ref="ES693:EU693"/>
    <mergeCell ref="ES705:EU705"/>
    <mergeCell ref="ES694:EU694"/>
    <mergeCell ref="ES736:EU736"/>
    <mergeCell ref="ES737:EU737"/>
    <mergeCell ref="ES738:EU738"/>
    <mergeCell ref="ES739:EU739"/>
    <mergeCell ref="ES686:EU686"/>
    <mergeCell ref="ES678:EU678"/>
    <mergeCell ref="ES679:EU679"/>
    <mergeCell ref="ES680:EU680"/>
    <mergeCell ref="ES808:EU808"/>
    <mergeCell ref="ES809:EU809"/>
    <mergeCell ref="ES810:EU810"/>
    <mergeCell ref="ES811:EU811"/>
    <mergeCell ref="ES1500:EU1500"/>
    <mergeCell ref="ES785:EU785"/>
    <mergeCell ref="ES789:EU789"/>
    <mergeCell ref="ES1012:EU1012"/>
    <mergeCell ref="ES1013:EU1013"/>
    <mergeCell ref="ES1014:EU1014"/>
    <mergeCell ref="ES1015:EU1015"/>
    <mergeCell ref="ES783:EU783"/>
    <mergeCell ref="ES784:EU784"/>
    <mergeCell ref="ES777:EU777"/>
    <mergeCell ref="ES778:EU778"/>
    <mergeCell ref="ES779:EU779"/>
    <mergeCell ref="ES776:EU776"/>
    <mergeCell ref="ES768:EU768"/>
    <mergeCell ref="ES769:EU769"/>
    <mergeCell ref="ES770:EU770"/>
    <mergeCell ref="ES690:EU690"/>
    <mergeCell ref="ES691:EU691"/>
    <mergeCell ref="ES787:EU787"/>
    <mergeCell ref="ES788:EU788"/>
    <mergeCell ref="ES1111:EU1111"/>
    <mergeCell ref="ES1128:EU1128"/>
    <mergeCell ref="ES1145:EU1145"/>
    <mergeCell ref="ES1162:EU1162"/>
    <mergeCell ref="ES1179:EU1179"/>
    <mergeCell ref="ES1196:EU1196"/>
    <mergeCell ref="ES1213:EU1213"/>
    <mergeCell ref="ES1230:EU1230"/>
    <mergeCell ref="ES812:EU812"/>
    <mergeCell ref="ES813:EU813"/>
    <mergeCell ref="ES814:EU814"/>
    <mergeCell ref="ES815:EU815"/>
    <mergeCell ref="ES816:EU816"/>
    <mergeCell ref="ES817:EU817"/>
    <mergeCell ref="ES818:EU818"/>
    <mergeCell ref="ES819:EU819"/>
    <mergeCell ref="ES820:EU820"/>
    <mergeCell ref="ES821:EU821"/>
    <mergeCell ref="ES822:EU822"/>
    <mergeCell ref="ES823:EU823"/>
    <mergeCell ref="ES842:EU842"/>
    <mergeCell ref="EV1015:FD1015"/>
    <mergeCell ref="EV1016:FD1016"/>
    <mergeCell ref="EV1017:FD1017"/>
    <mergeCell ref="EV1018:FD1018"/>
    <mergeCell ref="EV1019:FD1019"/>
    <mergeCell ref="EV1020:FD1020"/>
    <mergeCell ref="ES802:EU802"/>
    <mergeCell ref="ES803:EU803"/>
    <mergeCell ref="ES804:EU804"/>
    <mergeCell ref="ES805:EU805"/>
    <mergeCell ref="ES806:EU806"/>
    <mergeCell ref="ES702:EU702"/>
    <mergeCell ref="ES703:EU703"/>
    <mergeCell ref="ES708:EU708"/>
    <mergeCell ref="ES709:EU709"/>
    <mergeCell ref="ES710:EU710"/>
    <mergeCell ref="ES824:EU824"/>
    <mergeCell ref="ES825:EU825"/>
    <mergeCell ref="ES826:EU826"/>
    <mergeCell ref="ES827:EU827"/>
    <mergeCell ref="ES790:EU790"/>
    <mergeCell ref="ES829:EU829"/>
    <mergeCell ref="ES830:EU830"/>
    <mergeCell ref="ES831:EU831"/>
    <mergeCell ref="ES832:EU832"/>
    <mergeCell ref="ES833:EU833"/>
    <mergeCell ref="ES834:EU834"/>
    <mergeCell ref="ES835:EU835"/>
    <mergeCell ref="ES836:EU836"/>
    <mergeCell ref="ES837:EU837"/>
    <mergeCell ref="ES838:EU838"/>
    <mergeCell ref="ES839:EU839"/>
    <mergeCell ref="ES840:EU840"/>
    <mergeCell ref="ES807:EU807"/>
    <mergeCell ref="EV777:FD777"/>
    <mergeCell ref="EV778:FD778"/>
    <mergeCell ref="EV779:FD779"/>
    <mergeCell ref="EV780:FD780"/>
    <mergeCell ref="EV781:FD781"/>
    <mergeCell ref="EV732:FD732"/>
    <mergeCell ref="EV733:FD733"/>
    <mergeCell ref="EV734:FD734"/>
    <mergeCell ref="EV735:FD735"/>
    <mergeCell ref="EV736:FD736"/>
    <mergeCell ref="EV737:FD737"/>
    <mergeCell ref="EV738:FD738"/>
    <mergeCell ref="EV739:FD739"/>
    <mergeCell ref="EV740:FD740"/>
    <mergeCell ref="EV741:FD741"/>
    <mergeCell ref="EV742:FD742"/>
    <mergeCell ref="EV765:FD765"/>
    <mergeCell ref="EV766:FD766"/>
    <mergeCell ref="EV767:FD767"/>
    <mergeCell ref="EV768:FD768"/>
    <mergeCell ref="EV770:FD770"/>
    <mergeCell ref="EV771:FD771"/>
    <mergeCell ref="EV772:FD772"/>
    <mergeCell ref="EV773:FD773"/>
    <mergeCell ref="EV774:FD774"/>
    <mergeCell ref="EV762:FD762"/>
    <mergeCell ref="EV743:FD743"/>
    <mergeCell ref="EV744:FD744"/>
    <mergeCell ref="EV775:FD775"/>
    <mergeCell ref="EV776:FD776"/>
    <mergeCell ref="EV694:FD694"/>
    <mergeCell ref="EV695:FD695"/>
    <mergeCell ref="EV696:FD696"/>
    <mergeCell ref="EV697:FD697"/>
    <mergeCell ref="ES761:EU761"/>
    <mergeCell ref="ES748:EU748"/>
    <mergeCell ref="EV757:FD757"/>
    <mergeCell ref="EV758:FD758"/>
    <mergeCell ref="ES760:EU760"/>
    <mergeCell ref="EV717:FD717"/>
    <mergeCell ref="EV718:FD718"/>
    <mergeCell ref="EV719:FD719"/>
    <mergeCell ref="EV720:FD720"/>
    <mergeCell ref="EV698:FD698"/>
    <mergeCell ref="EV699:FD699"/>
    <mergeCell ref="EV700:FD700"/>
    <mergeCell ref="EV701:FD701"/>
    <mergeCell ref="EV702:FD702"/>
    <mergeCell ref="EV703:FD703"/>
    <mergeCell ref="EV704:FD704"/>
    <mergeCell ref="EV705:FD705"/>
    <mergeCell ref="EV706:FD706"/>
    <mergeCell ref="EV707:FD707"/>
    <mergeCell ref="EV708:FD708"/>
    <mergeCell ref="EV709:FD709"/>
    <mergeCell ref="EV710:FD710"/>
    <mergeCell ref="EV711:FD711"/>
    <mergeCell ref="EV712:FD712"/>
    <mergeCell ref="EV713:FD713"/>
    <mergeCell ref="EV714:FD714"/>
    <mergeCell ref="FE689:FK689"/>
    <mergeCell ref="FE690:FK690"/>
    <mergeCell ref="FE699:FK699"/>
    <mergeCell ref="FE691:FK691"/>
    <mergeCell ref="ES711:EU711"/>
    <mergeCell ref="ES712:EU712"/>
    <mergeCell ref="ES713:EU713"/>
    <mergeCell ref="ES706:EU706"/>
    <mergeCell ref="ES707:EU707"/>
    <mergeCell ref="ES704:EU704"/>
    <mergeCell ref="ES758:EU758"/>
    <mergeCell ref="ES750:EU750"/>
    <mergeCell ref="ES751:EU751"/>
    <mergeCell ref="ES752:EU752"/>
    <mergeCell ref="ES744:EU744"/>
    <mergeCell ref="ES745:EU745"/>
    <mergeCell ref="ES746:EU746"/>
    <mergeCell ref="ES747:EU747"/>
    <mergeCell ref="EV690:FD690"/>
    <mergeCell ref="EV691:FD691"/>
    <mergeCell ref="EV692:FD692"/>
    <mergeCell ref="EV693:FD693"/>
    <mergeCell ref="FE758:FK758"/>
    <mergeCell ref="FE751:FK751"/>
    <mergeCell ref="FE752:FK752"/>
    <mergeCell ref="FE753:FK753"/>
    <mergeCell ref="FE754:FK754"/>
    <mergeCell ref="FE755:FK755"/>
    <mergeCell ref="ES731:EU731"/>
    <mergeCell ref="ES735:EU735"/>
    <mergeCell ref="FE700:FK700"/>
    <mergeCell ref="FE701:FK701"/>
    <mergeCell ref="ES741:EU741"/>
    <mergeCell ref="ES742:EU742"/>
    <mergeCell ref="ES733:EU733"/>
    <mergeCell ref="ES734:EU734"/>
    <mergeCell ref="ES729:EU729"/>
    <mergeCell ref="ES730:EU730"/>
    <mergeCell ref="ES727:EU727"/>
    <mergeCell ref="ES728:EU728"/>
    <mergeCell ref="ES722:EU722"/>
    <mergeCell ref="ES714:EU714"/>
    <mergeCell ref="ES715:EU715"/>
    <mergeCell ref="ES716:EU716"/>
    <mergeCell ref="EV721:FD721"/>
    <mergeCell ref="EV722:FD722"/>
    <mergeCell ref="EV723:FD723"/>
    <mergeCell ref="EV724:FD724"/>
    <mergeCell ref="ES695:EU695"/>
    <mergeCell ref="ES699:EU699"/>
    <mergeCell ref="ES700:EU700"/>
    <mergeCell ref="ES701:EU701"/>
    <mergeCell ref="EV676:FD676"/>
    <mergeCell ref="EV677:FD677"/>
    <mergeCell ref="EV678:FD678"/>
    <mergeCell ref="EV679:FD679"/>
    <mergeCell ref="ES692:EU692"/>
    <mergeCell ref="ES687:EU687"/>
    <mergeCell ref="ES688:EU688"/>
    <mergeCell ref="ES689:EU689"/>
    <mergeCell ref="EV681:FD681"/>
    <mergeCell ref="EV682:FD682"/>
    <mergeCell ref="EV683:FD683"/>
    <mergeCell ref="EV684:FD684"/>
    <mergeCell ref="EV716:FD716"/>
    <mergeCell ref="EV687:FD687"/>
    <mergeCell ref="EV688:FD688"/>
    <mergeCell ref="EV689:FD689"/>
    <mergeCell ref="EV726:FD726"/>
    <mergeCell ref="EV727:FD727"/>
    <mergeCell ref="EV715:FD715"/>
    <mergeCell ref="ES684:EU684"/>
    <mergeCell ref="ES685:EU685"/>
    <mergeCell ref="EV728:FD728"/>
    <mergeCell ref="EV729:FD729"/>
    <mergeCell ref="EV730:FD730"/>
    <mergeCell ref="EV731:FD731"/>
    <mergeCell ref="EV725:FD725"/>
    <mergeCell ref="ES717:EU717"/>
    <mergeCell ref="ES718:EU718"/>
    <mergeCell ref="ES671:EU671"/>
    <mergeCell ref="ES668:EU668"/>
    <mergeCell ref="ES660:EU660"/>
    <mergeCell ref="ES661:EU661"/>
    <mergeCell ref="ES662:EU662"/>
    <mergeCell ref="FE728:FK728"/>
    <mergeCell ref="FE729:FK729"/>
    <mergeCell ref="FE730:FK730"/>
    <mergeCell ref="FE685:FK685"/>
    <mergeCell ref="FE686:FK686"/>
    <mergeCell ref="FE687:FK687"/>
    <mergeCell ref="FE688:FK688"/>
    <mergeCell ref="FE698:FK698"/>
    <mergeCell ref="ES666:EU666"/>
    <mergeCell ref="ES667:EU667"/>
    <mergeCell ref="EV647:FD647"/>
    <mergeCell ref="EV648:FD648"/>
    <mergeCell ref="FE672:FK672"/>
    <mergeCell ref="FE681:FK681"/>
    <mergeCell ref="FE682:FK682"/>
    <mergeCell ref="FE683:FK683"/>
    <mergeCell ref="FE673:FK673"/>
    <mergeCell ref="FE676:FK676"/>
    <mergeCell ref="FE677:FK677"/>
    <mergeCell ref="FE678:FK678"/>
    <mergeCell ref="FE679:FK679"/>
    <mergeCell ref="FE664:FK664"/>
    <mergeCell ref="FE665:FK665"/>
    <mergeCell ref="FE667:FK667"/>
    <mergeCell ref="ES657:EU657"/>
    <mergeCell ref="ES658:EU658"/>
    <mergeCell ref="ES672:EU672"/>
    <mergeCell ref="ES673:EU673"/>
    <mergeCell ref="ES674:EU674"/>
    <mergeCell ref="ES675:EU675"/>
    <mergeCell ref="ES676:EU676"/>
    <mergeCell ref="EV685:FD685"/>
    <mergeCell ref="EV686:FD686"/>
    <mergeCell ref="ES659:EU659"/>
    <mergeCell ref="ES663:EU663"/>
    <mergeCell ref="ES664:EU664"/>
    <mergeCell ref="ES665:EU665"/>
    <mergeCell ref="EV667:FD667"/>
    <mergeCell ref="EV668:FD668"/>
    <mergeCell ref="EV669:FD669"/>
    <mergeCell ref="EV670:FD670"/>
    <mergeCell ref="EV671:FD671"/>
    <mergeCell ref="EV672:FD672"/>
    <mergeCell ref="EV673:FD673"/>
    <mergeCell ref="EV674:FD674"/>
    <mergeCell ref="EV675:FD675"/>
    <mergeCell ref="EV680:FD680"/>
    <mergeCell ref="EV663:FD663"/>
    <mergeCell ref="FE666:FK666"/>
    <mergeCell ref="FE671:FK671"/>
    <mergeCell ref="FE668:FK668"/>
    <mergeCell ref="FE669:FK669"/>
    <mergeCell ref="FE670:FK670"/>
    <mergeCell ref="FE692:FK692"/>
    <mergeCell ref="FE693:FK693"/>
    <mergeCell ref="FE702:FK702"/>
    <mergeCell ref="FE703:FK703"/>
    <mergeCell ref="FE615:FK615"/>
    <mergeCell ref="FE616:FK616"/>
    <mergeCell ref="ES632:EU632"/>
    <mergeCell ref="ES624:EU624"/>
    <mergeCell ref="ES625:EU625"/>
    <mergeCell ref="ES626:EU626"/>
    <mergeCell ref="ES669:EU669"/>
    <mergeCell ref="ES670:EU670"/>
    <mergeCell ref="ES641:EU641"/>
    <mergeCell ref="ES645:EU645"/>
    <mergeCell ref="ES646:EU646"/>
    <mergeCell ref="ES647:EU647"/>
    <mergeCell ref="ES648:EU648"/>
    <mergeCell ref="ES649:EU649"/>
    <mergeCell ref="ES654:EU654"/>
    <mergeCell ref="ES655:EU655"/>
    <mergeCell ref="EV659:FD659"/>
    <mergeCell ref="EV660:FD660"/>
    <mergeCell ref="EV661:FD661"/>
    <mergeCell ref="EV662:FD662"/>
    <mergeCell ref="EV654:FD654"/>
    <mergeCell ref="EV655:FD655"/>
    <mergeCell ref="EV656:FD656"/>
    <mergeCell ref="EV657:FD657"/>
    <mergeCell ref="EV658:FD658"/>
    <mergeCell ref="EV645:FD645"/>
    <mergeCell ref="FE626:FK626"/>
    <mergeCell ref="FE645:FK645"/>
    <mergeCell ref="FE646:FK646"/>
    <mergeCell ref="FE647:FK647"/>
    <mergeCell ref="ES621:EU621"/>
    <mergeCell ref="ES622:EU622"/>
    <mergeCell ref="ES623:EU623"/>
    <mergeCell ref="ES627:EU627"/>
    <mergeCell ref="ES628:EU628"/>
    <mergeCell ref="ES629:EU629"/>
    <mergeCell ref="ES630:EU630"/>
    <mergeCell ref="ES631:EU631"/>
    <mergeCell ref="ES656:EU656"/>
    <mergeCell ref="ES651:EU651"/>
    <mergeCell ref="ES652:EU652"/>
    <mergeCell ref="ES653:EU653"/>
    <mergeCell ref="ES650:EU650"/>
    <mergeCell ref="ES642:EU642"/>
    <mergeCell ref="ES643:EU643"/>
    <mergeCell ref="ES644:EU644"/>
    <mergeCell ref="ES636:EU636"/>
    <mergeCell ref="EV651:FD651"/>
    <mergeCell ref="EV652:FD652"/>
    <mergeCell ref="EV624:FD624"/>
    <mergeCell ref="EV625:FD625"/>
    <mergeCell ref="EV626:FD626"/>
    <mergeCell ref="EV627:FD627"/>
    <mergeCell ref="EV628:FD628"/>
    <mergeCell ref="EV629:FD629"/>
    <mergeCell ref="EV630:FD630"/>
    <mergeCell ref="EV631:FD631"/>
    <mergeCell ref="EV632:FD632"/>
    <mergeCell ref="EV633:FD633"/>
    <mergeCell ref="EV634:FD634"/>
    <mergeCell ref="EV664:FD664"/>
    <mergeCell ref="EV665:FD665"/>
    <mergeCell ref="EV666:FD666"/>
    <mergeCell ref="ES614:EU614"/>
    <mergeCell ref="ES637:EU637"/>
    <mergeCell ref="ES638:EU638"/>
    <mergeCell ref="ES639:EU639"/>
    <mergeCell ref="ES640:EU640"/>
    <mergeCell ref="EV649:FD649"/>
    <mergeCell ref="ES606:EU606"/>
    <mergeCell ref="ES607:EU607"/>
    <mergeCell ref="ES608:EU608"/>
    <mergeCell ref="ES600:EU600"/>
    <mergeCell ref="ES601:EU601"/>
    <mergeCell ref="EV650:FD650"/>
    <mergeCell ref="ES602:EU602"/>
    <mergeCell ref="ES603:EU603"/>
    <mergeCell ref="ES604:EU604"/>
    <mergeCell ref="EV613:FD613"/>
    <mergeCell ref="EV614:FD614"/>
    <mergeCell ref="ES587:EU587"/>
    <mergeCell ref="ES591:EU591"/>
    <mergeCell ref="ES592:EU592"/>
    <mergeCell ref="ES593:EU593"/>
    <mergeCell ref="ES594:EU594"/>
    <mergeCell ref="ES595:EU595"/>
    <mergeCell ref="EV586:FD586"/>
    <mergeCell ref="EV587:FD587"/>
    <mergeCell ref="EV588:FD588"/>
    <mergeCell ref="EV589:FD589"/>
    <mergeCell ref="EV590:FD590"/>
    <mergeCell ref="EV591:FD591"/>
    <mergeCell ref="EV592:FD592"/>
    <mergeCell ref="EV593:FD593"/>
    <mergeCell ref="EV594:FD594"/>
    <mergeCell ref="EV595:FD595"/>
    <mergeCell ref="EV596:FD596"/>
    <mergeCell ref="EV597:FD597"/>
    <mergeCell ref="EV598:FD598"/>
    <mergeCell ref="EV620:FD620"/>
    <mergeCell ref="EV635:FD635"/>
    <mergeCell ref="EV636:FD636"/>
    <mergeCell ref="EV623:FD623"/>
    <mergeCell ref="ES633:EU633"/>
    <mergeCell ref="ES634:EU634"/>
    <mergeCell ref="ES635:EU635"/>
    <mergeCell ref="ES605:EU605"/>
    <mergeCell ref="ES609:EU609"/>
    <mergeCell ref="ES610:EU610"/>
    <mergeCell ref="ES611:EU611"/>
    <mergeCell ref="ES612:EU612"/>
    <mergeCell ref="ES613:EU613"/>
    <mergeCell ref="ES618:EU618"/>
    <mergeCell ref="ES619:EU619"/>
    <mergeCell ref="ES620:EU620"/>
    <mergeCell ref="ES615:EU615"/>
    <mergeCell ref="ES616:EU616"/>
    <mergeCell ref="ES617:EU617"/>
    <mergeCell ref="ES599:EU599"/>
    <mergeCell ref="ES596:EU596"/>
    <mergeCell ref="ES588:EU588"/>
    <mergeCell ref="ES589:EU589"/>
    <mergeCell ref="ES590:EU590"/>
    <mergeCell ref="EV599:FD599"/>
    <mergeCell ref="ES578:EU578"/>
    <mergeCell ref="ES570:EU570"/>
    <mergeCell ref="ES571:EU571"/>
    <mergeCell ref="ES572:EU572"/>
    <mergeCell ref="ES564:EU564"/>
    <mergeCell ref="ES565:EU565"/>
    <mergeCell ref="ES566:EU566"/>
    <mergeCell ref="ES567:EU567"/>
    <mergeCell ref="ES568:EU568"/>
    <mergeCell ref="EV577:FD577"/>
    <mergeCell ref="EV578:FD578"/>
    <mergeCell ref="EV579:FD579"/>
    <mergeCell ref="EV580:FD580"/>
    <mergeCell ref="EV581:FD581"/>
    <mergeCell ref="ES597:EU597"/>
    <mergeCell ref="ES598:EU598"/>
    <mergeCell ref="ES569:EU569"/>
    <mergeCell ref="ES573:EU573"/>
    <mergeCell ref="ES574:EU574"/>
    <mergeCell ref="ES575:EU575"/>
    <mergeCell ref="ES576:EU576"/>
    <mergeCell ref="ES577:EU577"/>
    <mergeCell ref="ES582:EU582"/>
    <mergeCell ref="ES583:EU583"/>
    <mergeCell ref="ES584:EU584"/>
    <mergeCell ref="ES579:EU579"/>
    <mergeCell ref="ES580:EU580"/>
    <mergeCell ref="ES581:EU581"/>
    <mergeCell ref="EV582:FD582"/>
    <mergeCell ref="EV583:FD583"/>
    <mergeCell ref="EV584:FD584"/>
    <mergeCell ref="EV585:FD585"/>
    <mergeCell ref="ES561:EU561"/>
    <mergeCell ref="ES562:EU562"/>
    <mergeCell ref="ES563:EU563"/>
    <mergeCell ref="ES585:EU585"/>
    <mergeCell ref="ES586:EU586"/>
    <mergeCell ref="ES560:EU560"/>
    <mergeCell ref="ES552:EU552"/>
    <mergeCell ref="ES553:EU553"/>
    <mergeCell ref="ES554:EU554"/>
    <mergeCell ref="ES549:EU549"/>
    <mergeCell ref="ES550:EU550"/>
    <mergeCell ref="ES551:EU551"/>
    <mergeCell ref="ES555:EU555"/>
    <mergeCell ref="ES556:EU556"/>
    <mergeCell ref="ES557:EU557"/>
    <mergeCell ref="ES558:EU558"/>
    <mergeCell ref="ES559:EU559"/>
    <mergeCell ref="EV563:FD563"/>
    <mergeCell ref="EV547:FD547"/>
    <mergeCell ref="EV548:FD548"/>
    <mergeCell ref="EV549:FD549"/>
    <mergeCell ref="EV550:FD550"/>
    <mergeCell ref="EV551:FD551"/>
    <mergeCell ref="EV552:FD552"/>
    <mergeCell ref="EV553:FD553"/>
    <mergeCell ref="EV554:FD554"/>
    <mergeCell ref="EV555:FD555"/>
    <mergeCell ref="EV556:FD556"/>
    <mergeCell ref="EV557:FD557"/>
    <mergeCell ref="EV558:FD558"/>
    <mergeCell ref="EV559:FD559"/>
    <mergeCell ref="ES497:EU497"/>
    <mergeCell ref="ES501:EU501"/>
    <mergeCell ref="ES502:EU502"/>
    <mergeCell ref="ES503:EU503"/>
    <mergeCell ref="ES504:EU504"/>
    <mergeCell ref="ES533:EU533"/>
    <mergeCell ref="ES537:EU537"/>
    <mergeCell ref="ES538:EU538"/>
    <mergeCell ref="ES539:EU539"/>
    <mergeCell ref="ES540:EU540"/>
    <mergeCell ref="ES541:EU541"/>
    <mergeCell ref="ES546:EU546"/>
    <mergeCell ref="ES547:EU547"/>
    <mergeCell ref="ES548:EU548"/>
    <mergeCell ref="ES543:EU543"/>
    <mergeCell ref="ES544:EU544"/>
    <mergeCell ref="ES545:EU545"/>
    <mergeCell ref="ES506:EU506"/>
    <mergeCell ref="ES498:EU498"/>
    <mergeCell ref="ES499:EU499"/>
    <mergeCell ref="ES500:EU500"/>
    <mergeCell ref="ES542:EU542"/>
    <mergeCell ref="ES534:EU534"/>
    <mergeCell ref="ES535:EU535"/>
    <mergeCell ref="ES536:EU536"/>
    <mergeCell ref="ES528:EU528"/>
    <mergeCell ref="ES529:EU529"/>
    <mergeCell ref="ES530:EU530"/>
    <mergeCell ref="ES531:EU531"/>
    <mergeCell ref="ES532:EU532"/>
    <mergeCell ref="ES505:EU505"/>
    <mergeCell ref="ES510:EU510"/>
    <mergeCell ref="EV500:FD500"/>
    <mergeCell ref="EV501:FD501"/>
    <mergeCell ref="EV502:FD502"/>
    <mergeCell ref="ES525:EU525"/>
    <mergeCell ref="ES526:EU526"/>
    <mergeCell ref="ES527:EU527"/>
    <mergeCell ref="ES524:EU524"/>
    <mergeCell ref="ES516:EU516"/>
    <mergeCell ref="ES517:EU517"/>
    <mergeCell ref="ES518:EU518"/>
    <mergeCell ref="ES513:EU513"/>
    <mergeCell ref="ES514:EU514"/>
    <mergeCell ref="ES515:EU515"/>
    <mergeCell ref="ES519:EU519"/>
    <mergeCell ref="ES520:EU520"/>
    <mergeCell ref="ES521:EU521"/>
    <mergeCell ref="ES522:EU522"/>
    <mergeCell ref="ES523:EU523"/>
    <mergeCell ref="ES511:EU511"/>
    <mergeCell ref="ES512:EU512"/>
    <mergeCell ref="ES507:EU507"/>
    <mergeCell ref="ES508:EU508"/>
    <mergeCell ref="ES509:EU509"/>
    <mergeCell ref="FE523:FK523"/>
    <mergeCell ref="FE524:FK524"/>
    <mergeCell ref="FE525:FK525"/>
    <mergeCell ref="FE526:FK526"/>
    <mergeCell ref="ES455:EU455"/>
    <mergeCell ref="ES452:EU452"/>
    <mergeCell ref="ES444:EU444"/>
    <mergeCell ref="ES445:EU445"/>
    <mergeCell ref="ES446:EU446"/>
    <mergeCell ref="ES441:EU441"/>
    <mergeCell ref="ES442:EU442"/>
    <mergeCell ref="ES470:EU470"/>
    <mergeCell ref="ES462:EU462"/>
    <mergeCell ref="ES463:EU463"/>
    <mergeCell ref="ES464:EU464"/>
    <mergeCell ref="ES456:EU456"/>
    <mergeCell ref="ES457:EU457"/>
    <mergeCell ref="ES458:EU458"/>
    <mergeCell ref="ES459:EU459"/>
    <mergeCell ref="ES460:EU460"/>
    <mergeCell ref="EV460:FD460"/>
    <mergeCell ref="EV461:FD461"/>
    <mergeCell ref="EV462:FD462"/>
    <mergeCell ref="EV463:FD463"/>
    <mergeCell ref="EV464:FD464"/>
    <mergeCell ref="EV465:FD465"/>
    <mergeCell ref="ES492:EU492"/>
    <mergeCell ref="ES493:EU493"/>
    <mergeCell ref="ES494:EU494"/>
    <mergeCell ref="ES495:EU495"/>
    <mergeCell ref="ES496:EU496"/>
    <mergeCell ref="ES489:EU489"/>
    <mergeCell ref="ES490:EU490"/>
    <mergeCell ref="ES491:EU491"/>
    <mergeCell ref="ES488:EU488"/>
    <mergeCell ref="ES480:EU480"/>
    <mergeCell ref="ES481:EU481"/>
    <mergeCell ref="ES482:EU482"/>
    <mergeCell ref="ES477:EU477"/>
    <mergeCell ref="ES478:EU478"/>
    <mergeCell ref="ES443:EU443"/>
    <mergeCell ref="ES449:EU449"/>
    <mergeCell ref="FE452:FK452"/>
    <mergeCell ref="EV521:FD521"/>
    <mergeCell ref="EV492:FD492"/>
    <mergeCell ref="EV493:FD493"/>
    <mergeCell ref="EV506:FD506"/>
    <mergeCell ref="ES416:EU416"/>
    <mergeCell ref="ES408:EU408"/>
    <mergeCell ref="ES409:EU409"/>
    <mergeCell ref="ES410:EU410"/>
    <mergeCell ref="ES405:EU405"/>
    <mergeCell ref="ES406:EU406"/>
    <mergeCell ref="EV413:FD413"/>
    <mergeCell ref="EV414:FD414"/>
    <mergeCell ref="EV415:FD415"/>
    <mergeCell ref="EV416:FD416"/>
    <mergeCell ref="EV417:FD417"/>
    <mergeCell ref="EV418:FD418"/>
    <mergeCell ref="EV419:FD419"/>
    <mergeCell ref="ES434:EU434"/>
    <mergeCell ref="ES426:EU426"/>
    <mergeCell ref="ES427:EU427"/>
    <mergeCell ref="ES428:EU428"/>
    <mergeCell ref="ES420:EU420"/>
    <mergeCell ref="ES421:EU421"/>
    <mergeCell ref="ES422:EU422"/>
    <mergeCell ref="ES423:EU423"/>
    <mergeCell ref="ES424:EU424"/>
    <mergeCell ref="EV420:FD420"/>
    <mergeCell ref="EV421:FD421"/>
    <mergeCell ref="EV422:FD422"/>
    <mergeCell ref="ES453:EU453"/>
    <mergeCell ref="FE448:FK448"/>
    <mergeCell ref="ES454:EU454"/>
    <mergeCell ref="EV441:FD441"/>
    <mergeCell ref="EV442:FD442"/>
    <mergeCell ref="EV443:FD443"/>
    <mergeCell ref="ES447:EU447"/>
    <mergeCell ref="ES448:EU448"/>
    <mergeCell ref="ES450:EU450"/>
    <mergeCell ref="ES451:EU451"/>
    <mergeCell ref="EV446:FD446"/>
    <mergeCell ref="EV447:FD447"/>
    <mergeCell ref="EV448:FD448"/>
    <mergeCell ref="FE408:FK408"/>
    <mergeCell ref="FE409:FK409"/>
    <mergeCell ref="FE410:FK410"/>
    <mergeCell ref="FE411:FK411"/>
    <mergeCell ref="FE412:FK412"/>
    <mergeCell ref="FE413:FK413"/>
    <mergeCell ref="FE414:FK414"/>
    <mergeCell ref="FE415:FK415"/>
    <mergeCell ref="ES407:EU407"/>
    <mergeCell ref="EV444:FD444"/>
    <mergeCell ref="ES432:EU432"/>
    <mergeCell ref="ES433:EU433"/>
    <mergeCell ref="EV385:FD385"/>
    <mergeCell ref="EV386:FD386"/>
    <mergeCell ref="EV387:FD387"/>
    <mergeCell ref="EV388:FD388"/>
    <mergeCell ref="EV389:FD389"/>
    <mergeCell ref="EV381:FD381"/>
    <mergeCell ref="ES403:EU403"/>
    <mergeCell ref="ES404:EU404"/>
    <mergeCell ref="ES399:EU399"/>
    <mergeCell ref="ES400:EU400"/>
    <mergeCell ref="ES401:EU401"/>
    <mergeCell ref="ES425:EU425"/>
    <mergeCell ref="ES429:EU429"/>
    <mergeCell ref="ES430:EU430"/>
    <mergeCell ref="ES431:EU431"/>
    <mergeCell ref="EV427:FD427"/>
    <mergeCell ref="EV428:FD428"/>
    <mergeCell ref="EV429:FD429"/>
    <mergeCell ref="EV430:FD430"/>
    <mergeCell ref="EV431:FD431"/>
    <mergeCell ref="EV396:FD396"/>
    <mergeCell ref="EV397:FD397"/>
    <mergeCell ref="EV449:FD449"/>
    <mergeCell ref="EV404:FD404"/>
    <mergeCell ref="EV424:FD424"/>
    <mergeCell ref="EV426:FD426"/>
    <mergeCell ref="ES479:EU479"/>
    <mergeCell ref="ES483:EU483"/>
    <mergeCell ref="ES484:EU484"/>
    <mergeCell ref="ES485:EU485"/>
    <mergeCell ref="ES486:EU486"/>
    <mergeCell ref="ES487:EU487"/>
    <mergeCell ref="ES461:EU461"/>
    <mergeCell ref="ES465:EU465"/>
    <mergeCell ref="ES466:EU466"/>
    <mergeCell ref="ES467:EU467"/>
    <mergeCell ref="ES468:EU468"/>
    <mergeCell ref="ES469:EU469"/>
    <mergeCell ref="ES474:EU474"/>
    <mergeCell ref="ES475:EU475"/>
    <mergeCell ref="ES476:EU476"/>
    <mergeCell ref="ES471:EU471"/>
    <mergeCell ref="ES472:EU472"/>
    <mergeCell ref="ES473:EU473"/>
    <mergeCell ref="EV454:FD454"/>
    <mergeCell ref="ES438:EU438"/>
    <mergeCell ref="ES439:EU439"/>
    <mergeCell ref="ES440:EU440"/>
    <mergeCell ref="ES435:EU435"/>
    <mergeCell ref="ES436:EU436"/>
    <mergeCell ref="ES414:EU414"/>
    <mergeCell ref="EV438:FD438"/>
    <mergeCell ref="EV439:FD439"/>
    <mergeCell ref="EV440:FD440"/>
    <mergeCell ref="EV408:FD408"/>
    <mergeCell ref="ES411:EU411"/>
    <mergeCell ref="ES412:EU412"/>
    <mergeCell ref="ES413:EU413"/>
    <mergeCell ref="EV434:FD434"/>
    <mergeCell ref="EV435:FD435"/>
    <mergeCell ref="EV436:FD436"/>
    <mergeCell ref="EV437:FD437"/>
    <mergeCell ref="ES418:EU418"/>
    <mergeCell ref="ES419:EU419"/>
    <mergeCell ref="FP88:FX88"/>
    <mergeCell ref="FM89:FO89"/>
    <mergeCell ref="FP89:FX89"/>
    <mergeCell ref="FM90:FO90"/>
    <mergeCell ref="FP90:FX90"/>
    <mergeCell ref="FM84:FO84"/>
    <mergeCell ref="FE375:FK375"/>
    <mergeCell ref="FE376:FK376"/>
    <mergeCell ref="FE377:FK377"/>
    <mergeCell ref="FE378:FK378"/>
    <mergeCell ref="FE379:FK379"/>
    <mergeCell ref="FE380:FK380"/>
    <mergeCell ref="ES398:EU398"/>
    <mergeCell ref="ES390:EU390"/>
    <mergeCell ref="ES391:EU391"/>
    <mergeCell ref="ES392:EU392"/>
    <mergeCell ref="ES384:EU384"/>
    <mergeCell ref="ES385:EU385"/>
    <mergeCell ref="ES386:EU386"/>
    <mergeCell ref="ES387:EU387"/>
    <mergeCell ref="ES388:EU388"/>
    <mergeCell ref="ES347:EU347"/>
    <mergeCell ref="ES344:EU344"/>
    <mergeCell ref="ES336:EU336"/>
    <mergeCell ref="ES337:EU337"/>
    <mergeCell ref="ES338:EU338"/>
    <mergeCell ref="ES362:EU362"/>
    <mergeCell ref="ES354:EU354"/>
    <mergeCell ref="ES355:EU355"/>
    <mergeCell ref="ES356:EU356"/>
    <mergeCell ref="ES348:EU348"/>
    <mergeCell ref="ES349:EU349"/>
    <mergeCell ref="ES350:EU350"/>
    <mergeCell ref="ES351:EU351"/>
    <mergeCell ref="ES352:EU352"/>
    <mergeCell ref="ES359:EU359"/>
    <mergeCell ref="ES360:EU360"/>
    <mergeCell ref="ES361:EU361"/>
    <mergeCell ref="ES345:EU345"/>
    <mergeCell ref="ES346:EU346"/>
    <mergeCell ref="ES353:EU353"/>
    <mergeCell ref="ES357:EU357"/>
    <mergeCell ref="ES358:EU358"/>
    <mergeCell ref="FE336:FK336"/>
    <mergeCell ref="FE337:FK337"/>
    <mergeCell ref="FE338:FK338"/>
    <mergeCell ref="EV336:FD336"/>
    <mergeCell ref="EV337:FD337"/>
    <mergeCell ref="EV342:FD342"/>
    <mergeCell ref="EV343:FD343"/>
    <mergeCell ref="EV344:FD344"/>
    <mergeCell ref="FE348:FK348"/>
    <mergeCell ref="FE349:FK349"/>
    <mergeCell ref="FE350:FK350"/>
    <mergeCell ref="FE341:FK341"/>
    <mergeCell ref="FE342:FK342"/>
    <mergeCell ref="FE343:FK343"/>
    <mergeCell ref="EV390:FD390"/>
    <mergeCell ref="EV391:FD391"/>
    <mergeCell ref="EV392:FD392"/>
    <mergeCell ref="EV393:FD393"/>
    <mergeCell ref="EV394:FD394"/>
    <mergeCell ref="EV395:FD395"/>
    <mergeCell ref="ES379:EU379"/>
    <mergeCell ref="ES62:EU62"/>
    <mergeCell ref="EV62:FD62"/>
    <mergeCell ref="FP51:FX51"/>
    <mergeCell ref="FM51:FO51"/>
    <mergeCell ref="ES63:EU63"/>
    <mergeCell ref="EV63:FD63"/>
    <mergeCell ref="FE344:FK344"/>
    <mergeCell ref="EV338:FD338"/>
    <mergeCell ref="EV341:FD341"/>
    <mergeCell ref="FE339:FK339"/>
    <mergeCell ref="EV340:FD340"/>
    <mergeCell ref="EV353:FD353"/>
    <mergeCell ref="EV366:FD366"/>
    <mergeCell ref="FE345:FK345"/>
    <mergeCell ref="FE346:FK346"/>
    <mergeCell ref="FE340:FK340"/>
    <mergeCell ref="FE351:FK351"/>
    <mergeCell ref="FE352:FK352"/>
    <mergeCell ref="FE353:FK353"/>
    <mergeCell ref="FP69:FX69"/>
    <mergeCell ref="FP55:FX55"/>
    <mergeCell ref="FM56:FO56"/>
    <mergeCell ref="ES315:EU315"/>
    <mergeCell ref="ES316:EU316"/>
    <mergeCell ref="ES317:EU317"/>
    <mergeCell ref="ES314:EU314"/>
    <mergeCell ref="FE309:FK309"/>
    <mergeCell ref="FE310:FK310"/>
    <mergeCell ref="FL309:GB309"/>
    <mergeCell ref="FE320:FK320"/>
    <mergeCell ref="FL320:GB320"/>
    <mergeCell ref="ES309:EU309"/>
    <mergeCell ref="ES313:EU313"/>
    <mergeCell ref="ES312:EU312"/>
    <mergeCell ref="ES311:EU311"/>
    <mergeCell ref="ES310:EU310"/>
    <mergeCell ref="FE318:FK318"/>
    <mergeCell ref="FL318:GB318"/>
    <mergeCell ref="FE319:FK319"/>
    <mergeCell ref="FL319:GB319"/>
    <mergeCell ref="FE312:FK312"/>
    <mergeCell ref="FL312:GB312"/>
    <mergeCell ref="FE313:FK313"/>
    <mergeCell ref="FL313:GB313"/>
    <mergeCell ref="FE314:FK314"/>
    <mergeCell ref="FL314:GB314"/>
    <mergeCell ref="FL316:GB316"/>
    <mergeCell ref="FE317:FK317"/>
    <mergeCell ref="FL317:GB317"/>
    <mergeCell ref="FL310:GB310"/>
    <mergeCell ref="FE311:FK311"/>
    <mergeCell ref="FL311:GB311"/>
    <mergeCell ref="EV317:FD317"/>
    <mergeCell ref="EV316:FD316"/>
    <mergeCell ref="EV310:FD310"/>
    <mergeCell ref="FE316:FK316"/>
    <mergeCell ref="EV318:FD318"/>
    <mergeCell ref="EV319:FD319"/>
    <mergeCell ref="EV320:FD320"/>
    <mergeCell ref="FM86:FO86"/>
    <mergeCell ref="FP86:FX86"/>
    <mergeCell ref="FM87:FO87"/>
    <mergeCell ref="FP87:FX87"/>
    <mergeCell ref="FM88:FO88"/>
    <mergeCell ref="ES161:EU161"/>
    <mergeCell ref="EV161:FD161"/>
    <mergeCell ref="ES162:EU162"/>
    <mergeCell ref="EV162:FD162"/>
    <mergeCell ref="FP128:FX128"/>
    <mergeCell ref="ES231:EU231"/>
    <mergeCell ref="EV231:FD231"/>
    <mergeCell ref="FM222:FO222"/>
    <mergeCell ref="FM124:FO124"/>
    <mergeCell ref="EV155:FD155"/>
    <mergeCell ref="ES156:EU156"/>
    <mergeCell ref="EV131:FD131"/>
    <mergeCell ref="ES126:EU126"/>
    <mergeCell ref="EV126:FD126"/>
    <mergeCell ref="ES127:EU127"/>
    <mergeCell ref="EV127:FD127"/>
    <mergeCell ref="ES128:EU128"/>
    <mergeCell ref="FM166:FO166"/>
    <mergeCell ref="FP166:FX166"/>
    <mergeCell ref="ES137:EU137"/>
    <mergeCell ref="ES135:EU135"/>
    <mergeCell ref="EV150:FD150"/>
    <mergeCell ref="ES151:EU151"/>
    <mergeCell ref="EV151:FD151"/>
    <mergeCell ref="ES152:EU152"/>
    <mergeCell ref="EV152:FD152"/>
    <mergeCell ref="ES299:EU299"/>
    <mergeCell ref="EV299:FD299"/>
    <mergeCell ref="ES267:EU267"/>
    <mergeCell ref="EV267:FD267"/>
    <mergeCell ref="ES134:EU134"/>
    <mergeCell ref="EV138:FD138"/>
    <mergeCell ref="ES139:EU139"/>
    <mergeCell ref="EV139:FD139"/>
    <mergeCell ref="ES140:EU140"/>
    <mergeCell ref="EV140:FD140"/>
    <mergeCell ref="ES141:EU141"/>
    <mergeCell ref="EV141:FD141"/>
    <mergeCell ref="ES145:EU145"/>
    <mergeCell ref="EV145:FD145"/>
    <mergeCell ref="ES159:EU159"/>
    <mergeCell ref="EV159:FD159"/>
    <mergeCell ref="ES147:EU147"/>
    <mergeCell ref="EV147:FD147"/>
    <mergeCell ref="ES146:EU146"/>
    <mergeCell ref="EV146:FD146"/>
    <mergeCell ref="ES149:EU149"/>
    <mergeCell ref="EV215:FD215"/>
    <mergeCell ref="ES216:EU216"/>
    <mergeCell ref="EV216:FD216"/>
    <mergeCell ref="ES217:EU217"/>
    <mergeCell ref="ES163:EU163"/>
    <mergeCell ref="EV163:FD163"/>
    <mergeCell ref="ES158:EU158"/>
    <mergeCell ref="ES189:EU189"/>
    <mergeCell ref="EV189:FD189"/>
    <mergeCell ref="ES191:EU191"/>
    <mergeCell ref="EV191:FD191"/>
    <mergeCell ref="ES192:EU192"/>
    <mergeCell ref="ES212:EU212"/>
    <mergeCell ref="EV212:FD212"/>
    <mergeCell ref="ES143:EU143"/>
    <mergeCell ref="ES183:EU183"/>
    <mergeCell ref="FM151:FO151"/>
    <mergeCell ref="ES107:EU107"/>
    <mergeCell ref="EV107:FD107"/>
    <mergeCell ref="EV114:FD114"/>
    <mergeCell ref="ES115:EU115"/>
    <mergeCell ref="ES84:EU84"/>
    <mergeCell ref="EV84:FD84"/>
    <mergeCell ref="ES85:EU85"/>
    <mergeCell ref="EV85:FD85"/>
    <mergeCell ref="EV117:FD117"/>
    <mergeCell ref="ES119:EU119"/>
    <mergeCell ref="EV119:FD119"/>
    <mergeCell ref="ES120:EU120"/>
    <mergeCell ref="EV120:FD120"/>
    <mergeCell ref="ES131:EU131"/>
    <mergeCell ref="ES122:EU122"/>
    <mergeCell ref="ES104:EU104"/>
    <mergeCell ref="EV104:FD104"/>
    <mergeCell ref="EG81:EH81"/>
    <mergeCell ref="EG73:EH73"/>
    <mergeCell ref="ED74:EE74"/>
    <mergeCell ref="EG82:EH82"/>
    <mergeCell ref="ED83:EE83"/>
    <mergeCell ref="ES92:EU92"/>
    <mergeCell ref="EV92:FD92"/>
    <mergeCell ref="ES93:EU93"/>
    <mergeCell ref="EV93:FD93"/>
    <mergeCell ref="EV95:FD95"/>
    <mergeCell ref="ES96:EU96"/>
    <mergeCell ref="EV96:FD96"/>
    <mergeCell ref="ED82:EE82"/>
    <mergeCell ref="EV113:FD113"/>
    <mergeCell ref="ED105:EE105"/>
    <mergeCell ref="EG105:EH105"/>
    <mergeCell ref="ED106:EE106"/>
    <mergeCell ref="EG106:EH106"/>
    <mergeCell ref="ED107:EE107"/>
    <mergeCell ref="EG107:EH107"/>
    <mergeCell ref="ED124:EE124"/>
    <mergeCell ref="EG124:EH124"/>
    <mergeCell ref="ED125:EE125"/>
    <mergeCell ref="EG125:EH125"/>
    <mergeCell ref="ED108:EE108"/>
    <mergeCell ref="EG108:EH108"/>
    <mergeCell ref="ED109:EE109"/>
    <mergeCell ref="EG109:EH109"/>
    <mergeCell ref="ED110:EE110"/>
    <mergeCell ref="EG110:EH110"/>
    <mergeCell ref="ED111:EE111"/>
    <mergeCell ref="EG111:EH111"/>
    <mergeCell ref="ED112:EE112"/>
    <mergeCell ref="HH1:HK1"/>
    <mergeCell ref="ES52:EU52"/>
    <mergeCell ref="EV52:FD52"/>
    <mergeCell ref="CP27:CR27"/>
    <mergeCell ref="EG54:EH54"/>
    <mergeCell ref="ES53:EU53"/>
    <mergeCell ref="FP52:FX52"/>
    <mergeCell ref="FM52:FO52"/>
    <mergeCell ref="FP54:FX54"/>
    <mergeCell ref="FM54:FO54"/>
    <mergeCell ref="FM53:FO53"/>
    <mergeCell ref="EG74:EH74"/>
    <mergeCell ref="EV91:FD91"/>
    <mergeCell ref="ES97:EU97"/>
    <mergeCell ref="EV97:FD97"/>
    <mergeCell ref="ES98:EU98"/>
    <mergeCell ref="ES110:EU110"/>
    <mergeCell ref="EV110:FD110"/>
    <mergeCell ref="ES111:EU111"/>
    <mergeCell ref="EV111:FD111"/>
    <mergeCell ref="EG61:EH61"/>
    <mergeCell ref="ED62:EE62"/>
    <mergeCell ref="EG62:EH62"/>
    <mergeCell ref="ED64:EE64"/>
    <mergeCell ref="EG64:EH64"/>
    <mergeCell ref="ED65:EE65"/>
    <mergeCell ref="EG65:EH65"/>
    <mergeCell ref="ED66:EE66"/>
    <mergeCell ref="EG66:EH66"/>
    <mergeCell ref="ES68:EU68"/>
    <mergeCell ref="EV68:FD68"/>
    <mergeCell ref="ES69:EU69"/>
    <mergeCell ref="ES108:EU108"/>
    <mergeCell ref="EV108:FD108"/>
    <mergeCell ref="ES109:EU109"/>
    <mergeCell ref="EV109:FD109"/>
    <mergeCell ref="EV81:FD81"/>
    <mergeCell ref="ES83:EU83"/>
    <mergeCell ref="EV83:FD83"/>
    <mergeCell ref="FP100:FX100"/>
    <mergeCell ref="FM101:FO101"/>
    <mergeCell ref="FP101:FX101"/>
    <mergeCell ref="FM102:FO102"/>
    <mergeCell ref="FM111:FO111"/>
    <mergeCell ref="FP111:FX111"/>
    <mergeCell ref="FM106:FO106"/>
    <mergeCell ref="FP106:FX106"/>
    <mergeCell ref="FM107:FO107"/>
    <mergeCell ref="FP107:FX107"/>
    <mergeCell ref="ES91:EU91"/>
    <mergeCell ref="ES81:EU81"/>
    <mergeCell ref="FM83:FO83"/>
    <mergeCell ref="FP83:FX83"/>
    <mergeCell ref="FM91:FO91"/>
    <mergeCell ref="FP77:FX77"/>
    <mergeCell ref="FM78:FO78"/>
    <mergeCell ref="FP78:FX78"/>
    <mergeCell ref="FM72:FO72"/>
    <mergeCell ref="EG84:EH84"/>
    <mergeCell ref="ED85:EE85"/>
    <mergeCell ref="EG85:EH85"/>
    <mergeCell ref="FA1:FB1"/>
    <mergeCell ref="FK1:FL1"/>
    <mergeCell ref="GE1:GI1"/>
    <mergeCell ref="GK1:GO1"/>
    <mergeCell ref="GS1:HA1"/>
    <mergeCell ref="HC1:HF1"/>
    <mergeCell ref="CW1:CX1"/>
    <mergeCell ref="CY1:CZ1"/>
    <mergeCell ref="DZ1:EM1"/>
    <mergeCell ref="EP1:EQ1"/>
    <mergeCell ref="EW1:EX1"/>
    <mergeCell ref="EY1:EZ1"/>
    <mergeCell ref="AX1:AY1"/>
    <mergeCell ref="BK1:BL1"/>
    <mergeCell ref="CN1:CO1"/>
    <mergeCell ref="CR1:CS1"/>
    <mergeCell ref="CT1:CU1"/>
    <mergeCell ref="AQ1:AS1"/>
    <mergeCell ref="AT1:AU1"/>
    <mergeCell ref="DI5:DJ6"/>
    <mergeCell ref="EO5:FD5"/>
    <mergeCell ref="BM5:BP5"/>
    <mergeCell ref="BY5:BZ5"/>
    <mergeCell ref="CB5:CF5"/>
    <mergeCell ref="CH5:CI5"/>
    <mergeCell ref="CP1:CQ4"/>
    <mergeCell ref="FM76:FO76"/>
    <mergeCell ref="FP76:FX76"/>
    <mergeCell ref="EG58:EH58"/>
    <mergeCell ref="ED59:EE59"/>
    <mergeCell ref="EG59:EH59"/>
    <mergeCell ref="ED60:EE60"/>
    <mergeCell ref="EG60:EH60"/>
    <mergeCell ref="ED67:EE67"/>
    <mergeCell ref="EG67:EH67"/>
    <mergeCell ref="ED72:EE72"/>
    <mergeCell ref="DJ7:DJ9"/>
    <mergeCell ref="ED75:EE75"/>
    <mergeCell ref="EG75:EH75"/>
    <mergeCell ref="ES71:EU71"/>
    <mergeCell ref="CY4:CZ4"/>
    <mergeCell ref="GT5:HB5"/>
    <mergeCell ref="EV57:FD57"/>
    <mergeCell ref="ES65:EU65"/>
    <mergeCell ref="EV65:FD65"/>
    <mergeCell ref="ES66:EU66"/>
    <mergeCell ref="EV66:FD66"/>
    <mergeCell ref="ES67:EU67"/>
    <mergeCell ref="EV67:FD67"/>
    <mergeCell ref="FE51:FG51"/>
    <mergeCell ref="FP53:FX53"/>
    <mergeCell ref="FM55:FO55"/>
    <mergeCell ref="FP57:FX57"/>
    <mergeCell ref="FM58:FO58"/>
    <mergeCell ref="FP58:FX58"/>
    <mergeCell ref="FM59:FO59"/>
    <mergeCell ref="FP59:FX59"/>
    <mergeCell ref="FM60:FO60"/>
    <mergeCell ref="FP60:FX60"/>
    <mergeCell ref="FM61:FO61"/>
    <mergeCell ref="FP61:FX61"/>
    <mergeCell ref="FM62:FO62"/>
    <mergeCell ref="FP62:FX62"/>
    <mergeCell ref="FM63:FO63"/>
    <mergeCell ref="EV53:FD53"/>
    <mergeCell ref="ES54:EU54"/>
    <mergeCell ref="EV54:FD54"/>
    <mergeCell ref="AH5:AI5"/>
    <mergeCell ref="AK5:AL5"/>
    <mergeCell ref="AN5:AO5"/>
    <mergeCell ref="BD5:BG5"/>
    <mergeCell ref="ED56:EE56"/>
    <mergeCell ref="EG56:EH56"/>
    <mergeCell ref="DJ19:DJ21"/>
    <mergeCell ref="ED51:EF51"/>
    <mergeCell ref="EG51:EI51"/>
    <mergeCell ref="ED52:EE52"/>
    <mergeCell ref="EG52:EH52"/>
    <mergeCell ref="ED53:EE53"/>
    <mergeCell ref="EG53:EH53"/>
    <mergeCell ref="ES55:EU55"/>
    <mergeCell ref="EV55:FD55"/>
    <mergeCell ref="ES56:EU56"/>
    <mergeCell ref="FP56:FX56"/>
    <mergeCell ref="EV60:FD60"/>
    <mergeCell ref="ES60:EU60"/>
    <mergeCell ref="EG83:EH83"/>
    <mergeCell ref="ED84:EE84"/>
    <mergeCell ref="FP65:FX65"/>
    <mergeCell ref="FM66:FO66"/>
    <mergeCell ref="FP66:FX66"/>
    <mergeCell ref="FM67:FO67"/>
    <mergeCell ref="FP67:FX67"/>
    <mergeCell ref="FM68:FO68"/>
    <mergeCell ref="FP68:FX68"/>
    <mergeCell ref="FM69:FO69"/>
    <mergeCell ref="EV71:FD71"/>
    <mergeCell ref="ES72:EU72"/>
    <mergeCell ref="EV72:FD72"/>
    <mergeCell ref="ES73:EU73"/>
    <mergeCell ref="EV73:FD73"/>
    <mergeCell ref="ES74:EU74"/>
    <mergeCell ref="EV74:FD74"/>
    <mergeCell ref="ES75:EU75"/>
    <mergeCell ref="FP84:FX84"/>
    <mergeCell ref="ED61:EE61"/>
    <mergeCell ref="FM70:FO70"/>
    <mergeCell ref="FP70:FX70"/>
    <mergeCell ref="FM71:FO71"/>
    <mergeCell ref="FP71:FX71"/>
    <mergeCell ref="FM75:FO75"/>
    <mergeCell ref="FP75:FX75"/>
    <mergeCell ref="ED76:EE76"/>
    <mergeCell ref="ED55:EE55"/>
    <mergeCell ref="EG55:EH55"/>
    <mergeCell ref="FE50:FG50"/>
    <mergeCell ref="ED68:EE68"/>
    <mergeCell ref="EV51:FD51"/>
    <mergeCell ref="FP63:FX63"/>
    <mergeCell ref="FM64:FO64"/>
    <mergeCell ref="FP64:FX64"/>
    <mergeCell ref="FM65:FO65"/>
    <mergeCell ref="EV69:FD69"/>
    <mergeCell ref="FM57:FO57"/>
    <mergeCell ref="EV56:FD56"/>
    <mergeCell ref="ES57:EU57"/>
    <mergeCell ref="ES51:EU51"/>
    <mergeCell ref="ES59:EU59"/>
    <mergeCell ref="EV59:FD59"/>
    <mergeCell ref="ES61:EU61"/>
    <mergeCell ref="EV61:FD61"/>
    <mergeCell ref="FM85:FO85"/>
    <mergeCell ref="FP85:FX85"/>
    <mergeCell ref="FM77:FO77"/>
    <mergeCell ref="FP104:FX104"/>
    <mergeCell ref="FM105:FO105"/>
    <mergeCell ref="FP102:FX102"/>
    <mergeCell ref="EV90:FD90"/>
    <mergeCell ref="ED139:EE139"/>
    <mergeCell ref="EG139:EH139"/>
    <mergeCell ref="ES155:EU155"/>
    <mergeCell ref="ES133:EU133"/>
    <mergeCell ref="EV133:FD133"/>
    <mergeCell ref="EV137:FD137"/>
    <mergeCell ref="EV309:FD309"/>
    <mergeCell ref="EV311:FD311"/>
    <mergeCell ref="ED311:EE311"/>
    <mergeCell ref="ES89:EU89"/>
    <mergeCell ref="EV89:FD89"/>
    <mergeCell ref="ES90:EU90"/>
    <mergeCell ref="CP6:CR6"/>
    <mergeCell ref="FG5:FH5"/>
    <mergeCell ref="GE5:GI5"/>
    <mergeCell ref="HC5:HF5"/>
    <mergeCell ref="HH5:HK5"/>
    <mergeCell ref="CY5:DA6"/>
    <mergeCell ref="DB5:DE6"/>
    <mergeCell ref="DG5:DG6"/>
    <mergeCell ref="DH5:DH6"/>
    <mergeCell ref="CP5:CR5"/>
    <mergeCell ref="CV5:CX6"/>
    <mergeCell ref="ED54:EE54"/>
    <mergeCell ref="EV75:FD75"/>
    <mergeCell ref="ES77:EU77"/>
    <mergeCell ref="EV77:FD77"/>
    <mergeCell ref="ES78:EU78"/>
    <mergeCell ref="EV78:FD78"/>
    <mergeCell ref="ES79:EU79"/>
    <mergeCell ref="EV79:FD79"/>
    <mergeCell ref="ES80:EU80"/>
    <mergeCell ref="EV80:FD80"/>
    <mergeCell ref="EG68:EH68"/>
    <mergeCell ref="ED69:EE69"/>
    <mergeCell ref="EG69:EH69"/>
    <mergeCell ref="ED70:EE70"/>
    <mergeCell ref="EG70:EH70"/>
    <mergeCell ref="ED71:EE71"/>
    <mergeCell ref="EG71:EH71"/>
    <mergeCell ref="EG72:EH72"/>
    <mergeCell ref="ED73:EE73"/>
    <mergeCell ref="ED63:EE63"/>
    <mergeCell ref="EG63:EH63"/>
    <mergeCell ref="ES114:EU114"/>
    <mergeCell ref="ES132:EU132"/>
    <mergeCell ref="EG112:EH112"/>
    <mergeCell ref="ED113:EE113"/>
    <mergeCell ref="ES86:EU86"/>
    <mergeCell ref="EV86:FD86"/>
    <mergeCell ref="ES87:EU87"/>
    <mergeCell ref="EV87:FD87"/>
    <mergeCell ref="EV98:FD98"/>
    <mergeCell ref="ES99:EU99"/>
    <mergeCell ref="EV99:FD99"/>
    <mergeCell ref="ES105:EU105"/>
    <mergeCell ref="EV105:FD105"/>
    <mergeCell ref="EV350:FD350"/>
    <mergeCell ref="ES304:EU304"/>
    <mergeCell ref="ES330:EU330"/>
    <mergeCell ref="ES331:EU331"/>
    <mergeCell ref="ES321:EU321"/>
    <mergeCell ref="ES322:EU322"/>
    <mergeCell ref="ES323:EU323"/>
    <mergeCell ref="ES332:EU332"/>
    <mergeCell ref="EV339:FD339"/>
    <mergeCell ref="ES121:EU121"/>
    <mergeCell ref="EV304:FD304"/>
    <mergeCell ref="EV183:FD183"/>
    <mergeCell ref="ES171:EU171"/>
    <mergeCell ref="EV171:FD171"/>
    <mergeCell ref="EV115:FD115"/>
    <mergeCell ref="ES116:EU116"/>
    <mergeCell ref="EV116:FD116"/>
    <mergeCell ref="ES117:EU117"/>
    <mergeCell ref="EV132:FD132"/>
    <mergeCell ref="ES164:EU164"/>
    <mergeCell ref="EV135:FD135"/>
    <mergeCell ref="EV164:FD164"/>
    <mergeCell ref="ES165:EU165"/>
    <mergeCell ref="EV165:FD165"/>
    <mergeCell ref="ES167:EU167"/>
    <mergeCell ref="EV167:FD167"/>
    <mergeCell ref="ES168:EU168"/>
    <mergeCell ref="EV168:FD168"/>
    <mergeCell ref="ES169:EU169"/>
    <mergeCell ref="EV169:FD169"/>
    <mergeCell ref="ES170:EU170"/>
    <mergeCell ref="EV170:FD170"/>
    <mergeCell ref="EV125:FD125"/>
    <mergeCell ref="EV134:FD134"/>
    <mergeCell ref="ES175:EU175"/>
    <mergeCell ref="EV175:FD175"/>
    <mergeCell ref="ES176:EU176"/>
    <mergeCell ref="EV217:FD217"/>
    <mergeCell ref="ES218:EU218"/>
    <mergeCell ref="EV218:FD218"/>
    <mergeCell ref="ES221:EU221"/>
    <mergeCell ref="EV221:FD221"/>
    <mergeCell ref="ES222:EU222"/>
    <mergeCell ref="EV222:FD222"/>
    <mergeCell ref="ES223:EU223"/>
    <mergeCell ref="EV223:FD223"/>
    <mergeCell ref="ES200:EU200"/>
    <mergeCell ref="EV200:FD200"/>
    <mergeCell ref="ES201:EU201"/>
    <mergeCell ref="EV201:FD201"/>
    <mergeCell ref="ES203:EU203"/>
    <mergeCell ref="EV203:FD203"/>
    <mergeCell ref="ES204:EU204"/>
    <mergeCell ref="EV204:FD204"/>
    <mergeCell ref="ES205:EU205"/>
    <mergeCell ref="EV205:FD205"/>
    <mergeCell ref="ES206:EU206"/>
    <mergeCell ref="EV206:FD206"/>
    <mergeCell ref="ES209:EU209"/>
    <mergeCell ref="EV209:FD209"/>
    <mergeCell ref="ES210:EU210"/>
    <mergeCell ref="EV210:FD210"/>
    <mergeCell ref="ES211:EU211"/>
    <mergeCell ref="EV158:FD158"/>
    <mergeCell ref="ES380:EU380"/>
    <mergeCell ref="ES417:EU417"/>
    <mergeCell ref="ES389:EU389"/>
    <mergeCell ref="ES393:EU393"/>
    <mergeCell ref="ES394:EU394"/>
    <mergeCell ref="ES395:EU395"/>
    <mergeCell ref="ES396:EU396"/>
    <mergeCell ref="EV525:FD525"/>
    <mergeCell ref="EV473:FD473"/>
    <mergeCell ref="EV378:FD378"/>
    <mergeCell ref="EV379:FD379"/>
    <mergeCell ref="EV360:FD360"/>
    <mergeCell ref="EV367:FD367"/>
    <mergeCell ref="EV368:FD368"/>
    <mergeCell ref="ED371:EE371"/>
    <mergeCell ref="EG371:EH371"/>
    <mergeCell ref="ED372:EE372"/>
    <mergeCell ref="EG372:EH372"/>
    <mergeCell ref="ED373:EE373"/>
    <mergeCell ref="EG373:EH373"/>
    <mergeCell ref="ED374:EE374"/>
    <mergeCell ref="EG374:EH374"/>
    <mergeCell ref="ED375:EE375"/>
    <mergeCell ref="EG375:EH375"/>
    <mergeCell ref="ED376:EE376"/>
    <mergeCell ref="EG376:EH376"/>
    <mergeCell ref="ED377:EE377"/>
    <mergeCell ref="EG377:EH377"/>
    <mergeCell ref="ED378:EE378"/>
    <mergeCell ref="ED379:EE379"/>
    <mergeCell ref="EG379:EH379"/>
    <mergeCell ref="ED391:EE391"/>
    <mergeCell ref="EG391:EH391"/>
    <mergeCell ref="ED392:EE392"/>
    <mergeCell ref="EG392:EH392"/>
    <mergeCell ref="ED393:EE393"/>
    <mergeCell ref="EG393:EH393"/>
    <mergeCell ref="ED394:EE394"/>
    <mergeCell ref="EG394:EH394"/>
    <mergeCell ref="ED395:EE395"/>
    <mergeCell ref="EG395:EH395"/>
    <mergeCell ref="EV380:FD380"/>
    <mergeCell ref="EG369:EH369"/>
    <mergeCell ref="EV370:FD370"/>
    <mergeCell ref="EV371:FD371"/>
    <mergeCell ref="ED366:EE366"/>
    <mergeCell ref="EG366:EH366"/>
    <mergeCell ref="ED367:EE367"/>
    <mergeCell ref="EG367:EH367"/>
    <mergeCell ref="ED368:EE368"/>
    <mergeCell ref="EG368:EH368"/>
    <mergeCell ref="ED380:EE380"/>
    <mergeCell ref="EG380:EH380"/>
    <mergeCell ref="EV470:FD470"/>
    <mergeCell ref="EV471:FD471"/>
    <mergeCell ref="EV472:FD472"/>
    <mergeCell ref="ES437:EU437"/>
    <mergeCell ref="EV432:FD432"/>
    <mergeCell ref="EV433:FD433"/>
    <mergeCell ref="EV517:FD517"/>
    <mergeCell ref="EV518:FD518"/>
    <mergeCell ref="EV519:FD519"/>
    <mergeCell ref="ES397:EU397"/>
    <mergeCell ref="ES402:EU402"/>
    <mergeCell ref="ED381:EE381"/>
    <mergeCell ref="EV406:FD406"/>
    <mergeCell ref="EV407:FD407"/>
    <mergeCell ref="EV504:FD504"/>
    <mergeCell ref="EV505:FD505"/>
    <mergeCell ref="EV522:FD522"/>
    <mergeCell ref="EV321:FD321"/>
    <mergeCell ref="EV322:FD322"/>
    <mergeCell ref="EV323:FD323"/>
    <mergeCell ref="EV324:FD324"/>
    <mergeCell ref="EV325:FD325"/>
    <mergeCell ref="EV326:FD326"/>
    <mergeCell ref="EV560:FD560"/>
    <mergeCell ref="EV561:FD561"/>
    <mergeCell ref="EV562:FD562"/>
    <mergeCell ref="EV398:FD398"/>
    <mergeCell ref="EV399:FD399"/>
    <mergeCell ref="EV400:FD400"/>
    <mergeCell ref="EV401:FD401"/>
    <mergeCell ref="EV402:FD402"/>
    <mergeCell ref="EV403:FD403"/>
    <mergeCell ref="EV405:FD405"/>
    <mergeCell ref="EV369:FD369"/>
    <mergeCell ref="EV345:FD345"/>
    <mergeCell ref="EV496:FD496"/>
    <mergeCell ref="EV497:FD497"/>
    <mergeCell ref="EV482:FD482"/>
    <mergeCell ref="EV384:FD384"/>
    <mergeCell ref="EV346:FD346"/>
    <mergeCell ref="EV347:FD347"/>
    <mergeCell ref="EV348:FD348"/>
    <mergeCell ref="EV349:FD349"/>
    <mergeCell ref="EV486:FD486"/>
    <mergeCell ref="EV487:FD487"/>
    <mergeCell ref="EV488:FD488"/>
    <mergeCell ref="EV409:FD409"/>
    <mergeCell ref="EV410:FD410"/>
    <mergeCell ref="EV411:FD411"/>
    <mergeCell ref="EV412:FD412"/>
    <mergeCell ref="EV423:FD423"/>
    <mergeCell ref="EV445:FD445"/>
    <mergeCell ref="EV352:FD352"/>
    <mergeCell ref="EV356:FD356"/>
    <mergeCell ref="EV372:FD372"/>
    <mergeCell ref="EV373:FD373"/>
    <mergeCell ref="EV546:FD546"/>
    <mergeCell ref="EV450:FD450"/>
    <mergeCell ref="EV451:FD451"/>
    <mergeCell ref="EV452:FD452"/>
    <mergeCell ref="EV453:FD453"/>
    <mergeCell ref="EV425:FD425"/>
    <mergeCell ref="EV351:FD351"/>
    <mergeCell ref="EV489:FD489"/>
    <mergeCell ref="EV357:FD357"/>
    <mergeCell ref="EV358:FD358"/>
    <mergeCell ref="EV359:FD359"/>
    <mergeCell ref="EV361:FD361"/>
    <mergeCell ref="EV490:FD490"/>
    <mergeCell ref="EV382:FD382"/>
    <mergeCell ref="EV383:FD383"/>
    <mergeCell ref="EV491:FD491"/>
    <mergeCell ref="EV457:FD457"/>
    <mergeCell ref="EV495:FD495"/>
    <mergeCell ref="EV520:FD520"/>
    <mergeCell ref="EV458:FD458"/>
    <mergeCell ref="EV621:FD621"/>
    <mergeCell ref="EV622:FD622"/>
    <mergeCell ref="EV646:FD646"/>
    <mergeCell ref="EV619:FD619"/>
    <mergeCell ref="EV610:FD610"/>
    <mergeCell ref="EV611:FD611"/>
    <mergeCell ref="EV612:FD612"/>
    <mergeCell ref="EV615:FD615"/>
    <mergeCell ref="EV616:FD616"/>
    <mergeCell ref="EV617:FD617"/>
    <mergeCell ref="EV618:FD618"/>
    <mergeCell ref="EV540:FD540"/>
    <mergeCell ref="EV541:FD541"/>
    <mergeCell ref="EV542:FD542"/>
    <mergeCell ref="EV543:FD543"/>
    <mergeCell ref="EV544:FD544"/>
    <mergeCell ref="EV545:FD545"/>
    <mergeCell ref="EV566:FD566"/>
    <mergeCell ref="EV567:FD567"/>
    <mergeCell ref="EV568:FD568"/>
    <mergeCell ref="EV569:FD569"/>
    <mergeCell ref="EV570:FD570"/>
    <mergeCell ref="EV571:FD571"/>
    <mergeCell ref="EV572:FD572"/>
    <mergeCell ref="EV573:FD573"/>
    <mergeCell ref="EV574:FD574"/>
    <mergeCell ref="EV575:FD575"/>
    <mergeCell ref="EV600:FD600"/>
    <mergeCell ref="EV609:FD609"/>
    <mergeCell ref="EV606:FD606"/>
    <mergeCell ref="EV607:FD607"/>
    <mergeCell ref="EV608:FD608"/>
    <mergeCell ref="EV601:FD601"/>
    <mergeCell ref="EV602:FD602"/>
    <mergeCell ref="EV603:FD603"/>
    <mergeCell ref="EV604:FD604"/>
    <mergeCell ref="EV478:FD478"/>
    <mergeCell ref="EV479:FD479"/>
    <mergeCell ref="EV494:FD494"/>
    <mergeCell ref="EV503:FD503"/>
    <mergeCell ref="EV637:FD637"/>
    <mergeCell ref="EV638:FD638"/>
    <mergeCell ref="EV639:FD639"/>
    <mergeCell ref="EV640:FD640"/>
    <mergeCell ref="EV641:FD641"/>
    <mergeCell ref="EV642:FD642"/>
    <mergeCell ref="EV643:FD643"/>
    <mergeCell ref="EV644:FD644"/>
    <mergeCell ref="EV753:FD753"/>
    <mergeCell ref="EV754:FD754"/>
    <mergeCell ref="EV764:FD764"/>
    <mergeCell ref="EV769:FD769"/>
    <mergeCell ref="EV763:FD763"/>
    <mergeCell ref="EV761:FD761"/>
    <mergeCell ref="EV745:FD745"/>
    <mergeCell ref="EV746:FD746"/>
    <mergeCell ref="EV747:FD747"/>
    <mergeCell ref="EV748:FD748"/>
    <mergeCell ref="EV755:FD755"/>
    <mergeCell ref="EV756:FD756"/>
    <mergeCell ref="EV759:FD759"/>
    <mergeCell ref="EV760:FD760"/>
    <mergeCell ref="HV391:HW391"/>
    <mergeCell ref="FE779:FK779"/>
    <mergeCell ref="EV1505:FD1505"/>
    <mergeCell ref="EV1506:FD1506"/>
    <mergeCell ref="EV1507:FD1507"/>
    <mergeCell ref="EV498:FD498"/>
    <mergeCell ref="EV499:FD499"/>
    <mergeCell ref="EV526:FD526"/>
    <mergeCell ref="EV527:FD527"/>
    <mergeCell ref="EV528:FD528"/>
    <mergeCell ref="EV529:FD529"/>
    <mergeCell ref="EV530:FD530"/>
    <mergeCell ref="EV469:FD469"/>
    <mergeCell ref="EV480:FD480"/>
    <mergeCell ref="EV481:FD481"/>
    <mergeCell ref="EV531:FD531"/>
    <mergeCell ref="EV532:FD532"/>
    <mergeCell ref="EV533:FD533"/>
    <mergeCell ref="EV534:FD534"/>
    <mergeCell ref="EV535:FD535"/>
    <mergeCell ref="EV536:FD536"/>
    <mergeCell ref="EV537:FD537"/>
    <mergeCell ref="EV538:FD538"/>
    <mergeCell ref="EV539:FD539"/>
    <mergeCell ref="EV509:FD509"/>
    <mergeCell ref="EV510:FD510"/>
    <mergeCell ref="EV511:FD511"/>
    <mergeCell ref="EV512:FD512"/>
    <mergeCell ref="EV513:FD513"/>
    <mergeCell ref="EV514:FD514"/>
    <mergeCell ref="EV515:FD515"/>
    <mergeCell ref="EV516:FD516"/>
    <mergeCell ref="EV459:FD459"/>
    <mergeCell ref="EV466:FD466"/>
    <mergeCell ref="FE1174:FK1174"/>
    <mergeCell ref="FE1175:FK1175"/>
    <mergeCell ref="FE1176:FK1176"/>
    <mergeCell ref="FE1177:FK1177"/>
    <mergeCell ref="FE1178:FK1178"/>
    <mergeCell ref="FE1179:FK1179"/>
    <mergeCell ref="FE1180:FK1180"/>
    <mergeCell ref="FE1181:FK1181"/>
    <mergeCell ref="FE1182:FK1182"/>
    <mergeCell ref="FE1183:FK1183"/>
    <mergeCell ref="FE1184:FK1184"/>
    <mergeCell ref="FE1185:FK1185"/>
    <mergeCell ref="FE1186:FK1186"/>
    <mergeCell ref="FE1187:FK1187"/>
    <mergeCell ref="FE1188:FK1188"/>
    <mergeCell ref="FE1189:FK1189"/>
    <mergeCell ref="FE1190:FK1190"/>
    <mergeCell ref="FE1191:FK1191"/>
    <mergeCell ref="FE1192:FK1192"/>
    <mergeCell ref="FE1193:FK1193"/>
    <mergeCell ref="FE1194:FK1194"/>
    <mergeCell ref="FE1195:FK1195"/>
    <mergeCell ref="FE1196:FK1196"/>
    <mergeCell ref="FE1197:FK1197"/>
    <mergeCell ref="FE1198:FK1198"/>
    <mergeCell ref="FE1199:FK1199"/>
    <mergeCell ref="FE1200:FK1200"/>
    <mergeCell ref="FE1201:FK1201"/>
    <mergeCell ref="FE1202:FK1202"/>
    <mergeCell ref="FE1203:FK1203"/>
    <mergeCell ref="HV375:HW375"/>
    <mergeCell ref="EV523:FD523"/>
    <mergeCell ref="EV483:FD483"/>
    <mergeCell ref="EV484:FD484"/>
    <mergeCell ref="EV485:FD485"/>
    <mergeCell ref="EV1099:FD1099"/>
    <mergeCell ref="EV1100:FD1100"/>
    <mergeCell ref="EV1101:FD1101"/>
    <mergeCell ref="EV1102:FD1102"/>
    <mergeCell ref="EV1103:FD1103"/>
    <mergeCell ref="EV1104:FD1104"/>
    <mergeCell ref="EV1105:FD1105"/>
    <mergeCell ref="EV1106:FD1106"/>
    <mergeCell ref="FE1161:FK1161"/>
    <mergeCell ref="FE1162:FK1162"/>
    <mergeCell ref="FE1163:FK1163"/>
    <mergeCell ref="FE1164:FK1164"/>
    <mergeCell ref="FE1165:FK1165"/>
    <mergeCell ref="FE1166:FK1166"/>
    <mergeCell ref="FE1167:FK1167"/>
    <mergeCell ref="FE1168:FK1168"/>
    <mergeCell ref="FE1169:FK1169"/>
    <mergeCell ref="FE1170:FK1170"/>
    <mergeCell ref="FE1171:FK1171"/>
    <mergeCell ref="FE1172:FK1172"/>
    <mergeCell ref="FE1173:FK1173"/>
    <mergeCell ref="HV386:HW386"/>
    <mergeCell ref="HV387:HW387"/>
    <mergeCell ref="HV388:HW388"/>
    <mergeCell ref="HV389:HW389"/>
    <mergeCell ref="HV390:HW390"/>
    <mergeCell ref="HV379:HW379"/>
    <mergeCell ref="HV380:HW380"/>
    <mergeCell ref="HV381:HW381"/>
    <mergeCell ref="HV382:HW382"/>
    <mergeCell ref="HV383:HW383"/>
    <mergeCell ref="HV384:HW384"/>
    <mergeCell ref="HV385:HW385"/>
    <mergeCell ref="HV392:HW392"/>
    <mergeCell ref="HV393:HW393"/>
    <mergeCell ref="HV394:HW394"/>
    <mergeCell ref="HV395:HW395"/>
    <mergeCell ref="HV396:HW396"/>
    <mergeCell ref="HV397:HW397"/>
    <mergeCell ref="HV398:HW398"/>
    <mergeCell ref="HV399:HW399"/>
    <mergeCell ref="HV400:HW400"/>
    <mergeCell ref="HV401:HW401"/>
    <mergeCell ref="HV402:HW402"/>
    <mergeCell ref="HV403:HW403"/>
    <mergeCell ref="HV317:HW317"/>
    <mergeCell ref="HV318:HW318"/>
    <mergeCell ref="HV319:HW319"/>
    <mergeCell ref="HV320:HW320"/>
    <mergeCell ref="HV321:HW321"/>
    <mergeCell ref="HV322:HW322"/>
    <mergeCell ref="HV323:HW323"/>
    <mergeCell ref="HV324:HW324"/>
    <mergeCell ref="HV325:HW325"/>
    <mergeCell ref="HV326:HW326"/>
    <mergeCell ref="HV327:HW327"/>
    <mergeCell ref="HV328:HW328"/>
    <mergeCell ref="HV329:HW329"/>
    <mergeCell ref="HV330:HW330"/>
    <mergeCell ref="HV335:HW335"/>
    <mergeCell ref="HV376:HW376"/>
    <mergeCell ref="HV377:HW377"/>
    <mergeCell ref="HV350:HW350"/>
    <mergeCell ref="HV351:HW351"/>
    <mergeCell ref="HV352:HW352"/>
    <mergeCell ref="HV353:HW353"/>
    <mergeCell ref="HV354:HW354"/>
    <mergeCell ref="HV355:HW355"/>
    <mergeCell ref="HV360:HW360"/>
    <mergeCell ref="HV361:HW361"/>
    <mergeCell ref="HV362:HW362"/>
    <mergeCell ref="HV349:HW349"/>
    <mergeCell ref="HV334:HW334"/>
    <mergeCell ref="HV378:HW378"/>
    <mergeCell ref="HV336:HW336"/>
    <mergeCell ref="HV337:HW337"/>
    <mergeCell ref="HV338:HW338"/>
    <mergeCell ref="HV339:HW339"/>
    <mergeCell ref="HV364:HW364"/>
    <mergeCell ref="HV365:HW365"/>
    <mergeCell ref="HV366:HW366"/>
    <mergeCell ref="HV367:HW367"/>
    <mergeCell ref="HV368:HW368"/>
    <mergeCell ref="HV369:HW369"/>
    <mergeCell ref="HV370:HW370"/>
    <mergeCell ref="HV371:HW371"/>
    <mergeCell ref="HV372:HW372"/>
    <mergeCell ref="HV373:HW373"/>
    <mergeCell ref="HV374:HW374"/>
    <mergeCell ref="EV362:FD362"/>
    <mergeCell ref="EV363:FD363"/>
    <mergeCell ref="EV364:FD364"/>
    <mergeCell ref="EV365:FD365"/>
    <mergeCell ref="FE371:FK371"/>
    <mergeCell ref="EV1508:FD1508"/>
    <mergeCell ref="ES308:EU308"/>
    <mergeCell ref="EV308:FD308"/>
    <mergeCell ref="EV507:FD507"/>
    <mergeCell ref="EV508:FD508"/>
    <mergeCell ref="FE381:FK381"/>
    <mergeCell ref="FE382:FK382"/>
    <mergeCell ref="FE383:FK383"/>
    <mergeCell ref="FE417:FK417"/>
    <mergeCell ref="FE418:FK418"/>
    <mergeCell ref="FE419:FK419"/>
    <mergeCell ref="FE487:FK487"/>
    <mergeCell ref="EV524:FD524"/>
    <mergeCell ref="EV455:FD455"/>
    <mergeCell ref="EV456:FD456"/>
    <mergeCell ref="EV467:FD467"/>
    <mergeCell ref="EV468:FD468"/>
    <mergeCell ref="FE488:FK488"/>
    <mergeCell ref="FE489:FK489"/>
    <mergeCell ref="FE776:FK776"/>
    <mergeCell ref="FE777:FK777"/>
    <mergeCell ref="FE778:FK778"/>
    <mergeCell ref="FE648:FK648"/>
    <mergeCell ref="FE649:FK649"/>
    <mergeCell ref="FE650:FK650"/>
    <mergeCell ref="FE651:FK651"/>
    <mergeCell ref="FE652:FK652"/>
    <mergeCell ref="FE653:FK653"/>
    <mergeCell ref="FE654:FK654"/>
    <mergeCell ref="FE680:FK680"/>
    <mergeCell ref="FE674:FK674"/>
    <mergeCell ref="FE675:FK675"/>
    <mergeCell ref="ES369:EU369"/>
    <mergeCell ref="ES370:EU370"/>
    <mergeCell ref="EV374:FD374"/>
    <mergeCell ref="FE372:FK372"/>
    <mergeCell ref="FE373:FK373"/>
    <mergeCell ref="FE374:FK374"/>
    <mergeCell ref="ES1097:EU1097"/>
    <mergeCell ref="EV1097:FD1097"/>
    <mergeCell ref="ES1098:EU1098"/>
    <mergeCell ref="EV1098:FD1098"/>
    <mergeCell ref="ES382:EU382"/>
    <mergeCell ref="ES383:EU383"/>
    <mergeCell ref="ES372:EU372"/>
    <mergeCell ref="ES373:EU373"/>
    <mergeCell ref="ES374:EU374"/>
    <mergeCell ref="EV375:FD375"/>
    <mergeCell ref="EV376:FD376"/>
    <mergeCell ref="EV377:FD377"/>
    <mergeCell ref="EV653:FD653"/>
    <mergeCell ref="EV605:FD605"/>
    <mergeCell ref="EV576:FD576"/>
    <mergeCell ref="EV564:FD564"/>
    <mergeCell ref="EV565:FD565"/>
    <mergeCell ref="EV474:FD474"/>
    <mergeCell ref="EV475:FD475"/>
    <mergeCell ref="EV476:FD476"/>
    <mergeCell ref="EV477:FD477"/>
    <mergeCell ref="HV309:HW309"/>
    <mergeCell ref="HV310:HW310"/>
    <mergeCell ref="HV311:HW311"/>
    <mergeCell ref="HV312:HW312"/>
    <mergeCell ref="HV313:HW313"/>
    <mergeCell ref="HV314:HW314"/>
    <mergeCell ref="HV315:HW315"/>
    <mergeCell ref="HV340:HW340"/>
    <mergeCell ref="HV341:HW341"/>
    <mergeCell ref="HV342:HW342"/>
    <mergeCell ref="HV343:HW343"/>
    <mergeCell ref="HV344:HW344"/>
    <mergeCell ref="HV345:HW345"/>
    <mergeCell ref="HV346:HW346"/>
    <mergeCell ref="HV347:HW347"/>
    <mergeCell ref="HV348:HW348"/>
    <mergeCell ref="HV316:HW316"/>
    <mergeCell ref="HV331:HW331"/>
    <mergeCell ref="HV332:HW332"/>
    <mergeCell ref="HV333:HW333"/>
    <mergeCell ref="HV363:HW363"/>
    <mergeCell ref="ED354:EE354"/>
    <mergeCell ref="EG354:EH354"/>
    <mergeCell ref="ED355:EE355"/>
    <mergeCell ref="EG355:EH355"/>
    <mergeCell ref="ED356:EE356"/>
    <mergeCell ref="EG356:EH356"/>
    <mergeCell ref="ED357:EE357"/>
    <mergeCell ref="EG357:EH357"/>
    <mergeCell ref="ED358:EE358"/>
    <mergeCell ref="EG358:EH358"/>
    <mergeCell ref="ED359:EE359"/>
    <mergeCell ref="EG359:EH359"/>
    <mergeCell ref="ED360:EE360"/>
    <mergeCell ref="EG360:EH360"/>
    <mergeCell ref="GX354:GY354"/>
    <mergeCell ref="GZ354:HA354"/>
    <mergeCell ref="HC354:HD354"/>
    <mergeCell ref="HE354:HF354"/>
    <mergeCell ref="HH354:HI354"/>
    <mergeCell ref="HJ354:HK354"/>
    <mergeCell ref="HM354:HN354"/>
    <mergeCell ref="HO354:HP354"/>
    <mergeCell ref="HQ354:HR354"/>
    <mergeCell ref="EV354:FD354"/>
    <mergeCell ref="EV355:FD355"/>
    <mergeCell ref="HV356:HW356"/>
    <mergeCell ref="HV357:HW357"/>
    <mergeCell ref="HV358:HW358"/>
    <mergeCell ref="HV359:HW359"/>
    <mergeCell ref="GX358:GY358"/>
    <mergeCell ref="GZ358:HA358"/>
    <mergeCell ref="HC358:HD358"/>
    <mergeCell ref="HE358:HF358"/>
    <mergeCell ref="HH358:HI358"/>
    <mergeCell ref="HJ358:HK358"/>
    <mergeCell ref="HM358:HN358"/>
    <mergeCell ref="HO358:HP358"/>
    <mergeCell ref="HQ358:HR358"/>
    <mergeCell ref="GX359:GY359"/>
    <mergeCell ref="GZ359:HA359"/>
    <mergeCell ref="HC359:HD359"/>
    <mergeCell ref="HE359:HF359"/>
    <mergeCell ref="HH359:HI359"/>
    <mergeCell ref="HV404:HW404"/>
    <mergeCell ref="HV405:HW405"/>
    <mergeCell ref="HV406:HW406"/>
    <mergeCell ref="HV407:HW407"/>
    <mergeCell ref="HV408:HW408"/>
    <mergeCell ref="HV409:HW409"/>
    <mergeCell ref="HV410:HW410"/>
    <mergeCell ref="HV411:HW411"/>
    <mergeCell ref="HV412:HW412"/>
    <mergeCell ref="HV413:HW413"/>
    <mergeCell ref="HV414:HW414"/>
    <mergeCell ref="HV415:HW415"/>
    <mergeCell ref="HV416:HW416"/>
    <mergeCell ref="HV417:HW417"/>
    <mergeCell ref="HV418:HW418"/>
    <mergeCell ref="HV419:HW419"/>
    <mergeCell ref="HV420:HW420"/>
    <mergeCell ref="HV421:HW421"/>
    <mergeCell ref="HV422:HW422"/>
    <mergeCell ref="HV423:HW423"/>
    <mergeCell ref="HV424:HW424"/>
    <mergeCell ref="HV425:HW425"/>
    <mergeCell ref="HV426:HW426"/>
    <mergeCell ref="HV427:HW427"/>
    <mergeCell ref="HV428:HW428"/>
    <mergeCell ref="HV429:HW429"/>
    <mergeCell ref="HV430:HW430"/>
    <mergeCell ref="HV431:HW431"/>
    <mergeCell ref="HV432:HW432"/>
    <mergeCell ref="HV433:HW433"/>
    <mergeCell ref="HV434:HW434"/>
    <mergeCell ref="HV435:HW435"/>
    <mergeCell ref="HV436:HW436"/>
    <mergeCell ref="HV437:HW437"/>
    <mergeCell ref="HV438:HW438"/>
    <mergeCell ref="HV439:HW439"/>
    <mergeCell ref="HV440:HW440"/>
    <mergeCell ref="HV441:HW441"/>
    <mergeCell ref="HV442:HW442"/>
    <mergeCell ref="HV443:HW443"/>
    <mergeCell ref="HV444:HW444"/>
    <mergeCell ref="HV445:HW445"/>
    <mergeCell ref="HV446:HW446"/>
    <mergeCell ref="HV447:HW447"/>
    <mergeCell ref="HV448:HW448"/>
    <mergeCell ref="HV449:HW449"/>
    <mergeCell ref="HV450:HW450"/>
    <mergeCell ref="HV451:HW451"/>
    <mergeCell ref="HV452:HW452"/>
    <mergeCell ref="HV453:HW453"/>
    <mergeCell ref="HV454:HW454"/>
    <mergeCell ref="HV455:HW455"/>
    <mergeCell ref="HV456:HW456"/>
    <mergeCell ref="HV457:HW457"/>
    <mergeCell ref="HV458:HW458"/>
    <mergeCell ref="HV459:HW459"/>
    <mergeCell ref="HV460:HW460"/>
    <mergeCell ref="HV461:HW461"/>
    <mergeCell ref="HV462:HW462"/>
    <mergeCell ref="HV463:HW463"/>
    <mergeCell ref="HV464:HW464"/>
    <mergeCell ref="HV465:HW465"/>
    <mergeCell ref="HV466:HW466"/>
    <mergeCell ref="HV467:HW467"/>
    <mergeCell ref="HV468:HW468"/>
    <mergeCell ref="HV469:HW469"/>
    <mergeCell ref="HV470:HW470"/>
    <mergeCell ref="HV471:HW471"/>
    <mergeCell ref="HV472:HW472"/>
    <mergeCell ref="HV473:HW473"/>
    <mergeCell ref="HV474:HW474"/>
    <mergeCell ref="HV475:HW475"/>
    <mergeCell ref="HV476:HW476"/>
    <mergeCell ref="HV477:HW477"/>
    <mergeCell ref="HV478:HW478"/>
    <mergeCell ref="HV479:HW479"/>
    <mergeCell ref="HV480:HW480"/>
    <mergeCell ref="HV481:HW481"/>
    <mergeCell ref="HV482:HW482"/>
    <mergeCell ref="HV483:HW483"/>
    <mergeCell ref="HV484:HW484"/>
    <mergeCell ref="HV485:HW485"/>
    <mergeCell ref="HV486:HW486"/>
    <mergeCell ref="HV487:HW487"/>
    <mergeCell ref="HV488:HW488"/>
    <mergeCell ref="HV489:HW489"/>
    <mergeCell ref="HV490:HW490"/>
    <mergeCell ref="HV491:HW491"/>
    <mergeCell ref="HV492:HW492"/>
    <mergeCell ref="HV493:HW493"/>
    <mergeCell ref="HV494:HW494"/>
    <mergeCell ref="HV495:HW495"/>
    <mergeCell ref="HV496:HW496"/>
    <mergeCell ref="HV497:HW497"/>
    <mergeCell ref="HV498:HW498"/>
    <mergeCell ref="HV499:HW499"/>
    <mergeCell ref="HV500:HW500"/>
    <mergeCell ref="HV501:HW501"/>
    <mergeCell ref="HV502:HW502"/>
    <mergeCell ref="HV503:HW503"/>
    <mergeCell ref="HV504:HW504"/>
    <mergeCell ref="HV505:HW505"/>
    <mergeCell ref="HV506:HW506"/>
    <mergeCell ref="HV507:HW507"/>
    <mergeCell ref="HV508:HW508"/>
    <mergeCell ref="HV509:HW509"/>
    <mergeCell ref="HV510:HW510"/>
    <mergeCell ref="HV511:HW511"/>
    <mergeCell ref="HV512:HW512"/>
    <mergeCell ref="HV513:HW513"/>
    <mergeCell ref="HV514:HW514"/>
    <mergeCell ref="HV515:HW515"/>
    <mergeCell ref="HV516:HW516"/>
    <mergeCell ref="HV517:HW517"/>
    <mergeCell ref="HV518:HW518"/>
    <mergeCell ref="HV519:HW519"/>
    <mergeCell ref="HV520:HW520"/>
    <mergeCell ref="HV521:HW521"/>
    <mergeCell ref="HV522:HW522"/>
    <mergeCell ref="HV523:HW523"/>
    <mergeCell ref="HV524:HW524"/>
    <mergeCell ref="HV525:HW525"/>
    <mergeCell ref="HV526:HW526"/>
    <mergeCell ref="HV527:HW527"/>
    <mergeCell ref="HV528:HW528"/>
    <mergeCell ref="HV529:HW529"/>
    <mergeCell ref="HV530:HW530"/>
    <mergeCell ref="HV531:HW531"/>
    <mergeCell ref="HV532:HW532"/>
    <mergeCell ref="HV533:HW533"/>
    <mergeCell ref="HV534:HW534"/>
    <mergeCell ref="HV535:HW535"/>
    <mergeCell ref="HV536:HW536"/>
    <mergeCell ref="HV537:HW537"/>
    <mergeCell ref="HV538:HW538"/>
    <mergeCell ref="HV539:HW539"/>
    <mergeCell ref="HV540:HW540"/>
    <mergeCell ref="HV541:HW541"/>
    <mergeCell ref="HV542:HW542"/>
    <mergeCell ref="HV543:HW543"/>
    <mergeCell ref="HV544:HW544"/>
    <mergeCell ref="HV545:HW545"/>
    <mergeCell ref="HV546:HW546"/>
    <mergeCell ref="HV547:HW547"/>
    <mergeCell ref="HV548:HW548"/>
    <mergeCell ref="HV549:HW549"/>
    <mergeCell ref="HV550:HW550"/>
    <mergeCell ref="HV551:HW551"/>
    <mergeCell ref="HV552:HW552"/>
    <mergeCell ref="HV553:HW553"/>
    <mergeCell ref="HV554:HW554"/>
    <mergeCell ref="HV555:HW555"/>
    <mergeCell ref="HV556:HW556"/>
    <mergeCell ref="HV557:HW557"/>
    <mergeCell ref="HV558:HW558"/>
    <mergeCell ref="HV559:HW559"/>
    <mergeCell ref="HV560:HW560"/>
    <mergeCell ref="HV561:HW561"/>
    <mergeCell ref="HV562:HW562"/>
    <mergeCell ref="HV563:HW563"/>
    <mergeCell ref="HV564:HW564"/>
    <mergeCell ref="HV565:HW565"/>
    <mergeCell ref="HV566:HW566"/>
    <mergeCell ref="HV567:HW567"/>
    <mergeCell ref="HV568:HW568"/>
    <mergeCell ref="HV569:HW569"/>
    <mergeCell ref="HV570:HW570"/>
    <mergeCell ref="HV571:HW571"/>
    <mergeCell ref="HV572:HW572"/>
    <mergeCell ref="HV573:HW573"/>
    <mergeCell ref="HV574:HW574"/>
    <mergeCell ref="HV575:HW575"/>
    <mergeCell ref="HV576:HW576"/>
    <mergeCell ref="HV577:HW577"/>
    <mergeCell ref="HV578:HW578"/>
    <mergeCell ref="HV579:HW579"/>
    <mergeCell ref="HV580:HW580"/>
    <mergeCell ref="HV581:HW581"/>
    <mergeCell ref="HV582:HW582"/>
    <mergeCell ref="HV583:HW583"/>
    <mergeCell ref="HV584:HW584"/>
    <mergeCell ref="HV585:HW585"/>
    <mergeCell ref="HV586:HW586"/>
    <mergeCell ref="HV587:HW587"/>
    <mergeCell ref="HV588:HW588"/>
    <mergeCell ref="HV589:HW589"/>
    <mergeCell ref="HV590:HW590"/>
    <mergeCell ref="HV591:HW591"/>
    <mergeCell ref="HV592:HW592"/>
    <mergeCell ref="HV593:HW593"/>
    <mergeCell ref="HV594:HW594"/>
    <mergeCell ref="HV595:HW595"/>
    <mergeCell ref="HV596:HW596"/>
    <mergeCell ref="HV597:HW597"/>
    <mergeCell ref="HV598:HW598"/>
    <mergeCell ref="HV599:HW599"/>
    <mergeCell ref="HV600:HW600"/>
    <mergeCell ref="HV601:HW601"/>
    <mergeCell ref="HV602:HW602"/>
    <mergeCell ref="HV603:HW603"/>
    <mergeCell ref="HV604:HW604"/>
    <mergeCell ref="HV605:HW605"/>
    <mergeCell ref="HV606:HW606"/>
    <mergeCell ref="HV607:HW607"/>
    <mergeCell ref="HV608:HW608"/>
    <mergeCell ref="HV609:HW609"/>
    <mergeCell ref="HV610:HW610"/>
    <mergeCell ref="HV611:HW611"/>
    <mergeCell ref="HV612:HW612"/>
    <mergeCell ref="HV613:HW613"/>
    <mergeCell ref="HV614:HW614"/>
    <mergeCell ref="HV615:HW615"/>
    <mergeCell ref="HV616:HW616"/>
    <mergeCell ref="HV617:HW617"/>
    <mergeCell ref="HV618:HW618"/>
    <mergeCell ref="HV619:HW619"/>
    <mergeCell ref="HV620:HW620"/>
    <mergeCell ref="HV621:HW621"/>
    <mergeCell ref="HV622:HW622"/>
    <mergeCell ref="HV623:HW623"/>
    <mergeCell ref="HV624:HW624"/>
    <mergeCell ref="HV625:HW625"/>
    <mergeCell ref="HV626:HW626"/>
    <mergeCell ref="HV627:HW627"/>
    <mergeCell ref="HV628:HW628"/>
    <mergeCell ref="HV629:HW629"/>
    <mergeCell ref="HV630:HW630"/>
    <mergeCell ref="HV631:HW631"/>
    <mergeCell ref="HV632:HW632"/>
    <mergeCell ref="HV633:HW633"/>
    <mergeCell ref="HV634:HW634"/>
    <mergeCell ref="HV635:HW635"/>
    <mergeCell ref="HV636:HW636"/>
    <mergeCell ref="HV637:HW637"/>
    <mergeCell ref="HV638:HW638"/>
    <mergeCell ref="HV639:HW639"/>
    <mergeCell ref="HV640:HW640"/>
    <mergeCell ref="HV641:HW641"/>
    <mergeCell ref="HV642:HW642"/>
    <mergeCell ref="HV643:HW643"/>
    <mergeCell ref="HV644:HW644"/>
    <mergeCell ref="HV645:HW645"/>
    <mergeCell ref="HV646:HW646"/>
    <mergeCell ref="HV647:HW647"/>
    <mergeCell ref="HV648:HW648"/>
    <mergeCell ref="HV649:HW649"/>
    <mergeCell ref="HV650:HW650"/>
    <mergeCell ref="HV651:HW651"/>
    <mergeCell ref="HV652:HW652"/>
    <mergeCell ref="HV653:HW653"/>
    <mergeCell ref="HV654:HW654"/>
    <mergeCell ref="HV655:HW655"/>
    <mergeCell ref="HV656:HW656"/>
    <mergeCell ref="HV657:HW657"/>
    <mergeCell ref="HV658:HW658"/>
    <mergeCell ref="HV659:HW659"/>
    <mergeCell ref="HV660:HW660"/>
    <mergeCell ref="HV661:HW661"/>
    <mergeCell ref="HV662:HW662"/>
    <mergeCell ref="HV663:HW663"/>
    <mergeCell ref="HV664:HW664"/>
    <mergeCell ref="HV665:HW665"/>
    <mergeCell ref="HV666:HW666"/>
    <mergeCell ref="HV667:HW667"/>
    <mergeCell ref="HV668:HW668"/>
    <mergeCell ref="HV669:HW669"/>
    <mergeCell ref="HV670:HW670"/>
    <mergeCell ref="HV671:HW671"/>
    <mergeCell ref="HV672:HW672"/>
    <mergeCell ref="HV673:HW673"/>
    <mergeCell ref="HV674:HW674"/>
    <mergeCell ref="HV675:HW675"/>
    <mergeCell ref="HV676:HW676"/>
    <mergeCell ref="HV677:HW677"/>
    <mergeCell ref="HV678:HW678"/>
    <mergeCell ref="HV679:HW679"/>
    <mergeCell ref="HV680:HW680"/>
    <mergeCell ref="HV681:HW681"/>
    <mergeCell ref="HV682:HW682"/>
    <mergeCell ref="HV683:HW683"/>
    <mergeCell ref="HV684:HW684"/>
    <mergeCell ref="HV685:HW685"/>
    <mergeCell ref="HV686:HW686"/>
    <mergeCell ref="HV687:HW687"/>
    <mergeCell ref="HV688:HW688"/>
    <mergeCell ref="HV689:HW689"/>
    <mergeCell ref="HV690:HW690"/>
    <mergeCell ref="HV691:HW691"/>
    <mergeCell ref="HV692:HW692"/>
    <mergeCell ref="HV693:HW693"/>
    <mergeCell ref="HV694:HW694"/>
    <mergeCell ref="HV695:HW695"/>
    <mergeCell ref="HV696:HW696"/>
    <mergeCell ref="HV697:HW697"/>
    <mergeCell ref="HV698:HW698"/>
    <mergeCell ref="HV699:HW699"/>
    <mergeCell ref="HV700:HW700"/>
    <mergeCell ref="HV701:HW701"/>
    <mergeCell ref="HV702:HW702"/>
    <mergeCell ref="HV703:HW703"/>
    <mergeCell ref="HV704:HW704"/>
    <mergeCell ref="HV705:HW705"/>
    <mergeCell ref="HV706:HW706"/>
    <mergeCell ref="HV707:HW707"/>
    <mergeCell ref="HV708:HW708"/>
    <mergeCell ref="HV709:HW709"/>
    <mergeCell ref="HV710:HW710"/>
    <mergeCell ref="HV711:HW711"/>
    <mergeCell ref="HV712:HW712"/>
    <mergeCell ref="HV713:HW713"/>
    <mergeCell ref="HV714:HW714"/>
    <mergeCell ref="HV715:HW715"/>
    <mergeCell ref="HV716:HW716"/>
    <mergeCell ref="HV717:HW717"/>
    <mergeCell ref="HV718:HW718"/>
    <mergeCell ref="HV719:HW719"/>
    <mergeCell ref="HV720:HW720"/>
    <mergeCell ref="HV721:HW721"/>
    <mergeCell ref="HV722:HW722"/>
    <mergeCell ref="HV723:HW723"/>
    <mergeCell ref="HV724:HW724"/>
    <mergeCell ref="HV725:HW725"/>
    <mergeCell ref="HV726:HW726"/>
    <mergeCell ref="HV727:HW727"/>
    <mergeCell ref="HV728:HW728"/>
    <mergeCell ref="HV729:HW729"/>
    <mergeCell ref="HV730:HW730"/>
    <mergeCell ref="HV731:HW731"/>
    <mergeCell ref="HV732:HW732"/>
    <mergeCell ref="HV733:HW733"/>
    <mergeCell ref="HV734:HW734"/>
    <mergeCell ref="HV735:HW735"/>
    <mergeCell ref="HV736:HW736"/>
    <mergeCell ref="HV737:HW737"/>
    <mergeCell ref="HV738:HW738"/>
    <mergeCell ref="HV739:HW739"/>
    <mergeCell ref="HV740:HW740"/>
    <mergeCell ref="HV741:HW741"/>
    <mergeCell ref="HV742:HW742"/>
    <mergeCell ref="HV743:HW743"/>
    <mergeCell ref="HV744:HW744"/>
    <mergeCell ref="HV745:HW745"/>
    <mergeCell ref="HV746:HW746"/>
    <mergeCell ref="HV747:HW747"/>
    <mergeCell ref="HV782:HW782"/>
    <mergeCell ref="HV783:HW783"/>
    <mergeCell ref="HV784:HW784"/>
    <mergeCell ref="HV785:HW785"/>
    <mergeCell ref="HV1501:HW1501"/>
    <mergeCell ref="HV1502:HW1502"/>
    <mergeCell ref="HV786:HW786"/>
    <mergeCell ref="HV787:HW787"/>
    <mergeCell ref="HV788:HW788"/>
    <mergeCell ref="HV748:HW748"/>
    <mergeCell ref="HV749:HW749"/>
    <mergeCell ref="HV750:HW750"/>
    <mergeCell ref="HV751:HW751"/>
    <mergeCell ref="HV752:HW752"/>
    <mergeCell ref="HV753:HW753"/>
    <mergeCell ref="HV754:HW754"/>
    <mergeCell ref="HV755:HW755"/>
    <mergeCell ref="HV756:HW756"/>
    <mergeCell ref="HV757:HW757"/>
    <mergeCell ref="HV758:HW758"/>
    <mergeCell ref="HV833:HW833"/>
    <mergeCell ref="HV834:HW834"/>
    <mergeCell ref="HV835:HW835"/>
    <mergeCell ref="HV836:HW836"/>
    <mergeCell ref="HV837:HW837"/>
    <mergeCell ref="HV838:HW838"/>
    <mergeCell ref="HV839:HW839"/>
    <mergeCell ref="HV840:HW840"/>
    <mergeCell ref="HV841:HW841"/>
    <mergeCell ref="HV842:HW842"/>
    <mergeCell ref="HV843:HW843"/>
    <mergeCell ref="HV844:HW844"/>
    <mergeCell ref="HV845:HW845"/>
    <mergeCell ref="HV846:HW846"/>
    <mergeCell ref="HV847:HW847"/>
    <mergeCell ref="HV848:HW848"/>
    <mergeCell ref="HV849:HW849"/>
    <mergeCell ref="HV850:HW850"/>
    <mergeCell ref="HV851:HW851"/>
    <mergeCell ref="HV852:HW852"/>
    <mergeCell ref="HV853:HW853"/>
    <mergeCell ref="HV854:HW854"/>
    <mergeCell ref="HV855:HW855"/>
    <mergeCell ref="HV856:HW856"/>
    <mergeCell ref="HV857:HW857"/>
    <mergeCell ref="HV858:HW858"/>
    <mergeCell ref="HV859:HW859"/>
    <mergeCell ref="HV860:HW860"/>
    <mergeCell ref="HV861:HW861"/>
    <mergeCell ref="HV862:HW862"/>
    <mergeCell ref="HV1503:HW1503"/>
    <mergeCell ref="HV1504:HW1504"/>
    <mergeCell ref="HV1505:HW1505"/>
    <mergeCell ref="HV1506:HW1506"/>
    <mergeCell ref="HV1507:HW1507"/>
    <mergeCell ref="HV759:HW759"/>
    <mergeCell ref="HV760:HW760"/>
    <mergeCell ref="HV761:HW761"/>
    <mergeCell ref="HV762:HW762"/>
    <mergeCell ref="HV763:HW763"/>
    <mergeCell ref="HV764:HW764"/>
    <mergeCell ref="HV765:HW765"/>
    <mergeCell ref="HV766:HW766"/>
    <mergeCell ref="HV767:HW767"/>
    <mergeCell ref="HV768:HW768"/>
    <mergeCell ref="HV769:HW769"/>
    <mergeCell ref="HV770:HW770"/>
    <mergeCell ref="HV771:HW771"/>
    <mergeCell ref="HV772:HW772"/>
    <mergeCell ref="HV773:HW773"/>
    <mergeCell ref="HV774:HW774"/>
    <mergeCell ref="HV775:HW775"/>
    <mergeCell ref="HV776:HW776"/>
    <mergeCell ref="HV777:HW777"/>
    <mergeCell ref="HV778:HW778"/>
    <mergeCell ref="HV779:HW779"/>
    <mergeCell ref="HV780:HW780"/>
    <mergeCell ref="HV781:HW781"/>
    <mergeCell ref="ED90:EE90"/>
    <mergeCell ref="EG90:EH90"/>
    <mergeCell ref="ED91:EE91"/>
    <mergeCell ref="EG91:EH91"/>
    <mergeCell ref="ED92:EE92"/>
    <mergeCell ref="EG92:EH92"/>
    <mergeCell ref="EG113:EH113"/>
    <mergeCell ref="ED114:EE114"/>
    <mergeCell ref="EG114:EH114"/>
    <mergeCell ref="ED115:EE115"/>
    <mergeCell ref="EG115:EH115"/>
    <mergeCell ref="ED116:EE116"/>
    <mergeCell ref="EG116:EH116"/>
    <mergeCell ref="ED117:EE117"/>
    <mergeCell ref="EG117:EH117"/>
    <mergeCell ref="ED93:EE93"/>
    <mergeCell ref="EG93:EH93"/>
    <mergeCell ref="ED97:EE97"/>
    <mergeCell ref="EG97:EH97"/>
    <mergeCell ref="ED98:EE98"/>
    <mergeCell ref="EG98:EH98"/>
    <mergeCell ref="ED94:EE94"/>
    <mergeCell ref="EG94:EH94"/>
    <mergeCell ref="ED99:EE99"/>
    <mergeCell ref="EG99:EH99"/>
    <mergeCell ref="ED100:EE100"/>
    <mergeCell ref="EG100:EH100"/>
    <mergeCell ref="ED101:EE101"/>
    <mergeCell ref="EG101:EH101"/>
    <mergeCell ref="ED102:EE102"/>
    <mergeCell ref="EG102:EH102"/>
    <mergeCell ref="ED103:EE103"/>
    <mergeCell ref="EG103:EH103"/>
    <mergeCell ref="EV1111:FD1111"/>
    <mergeCell ref="ES1112:EU1112"/>
    <mergeCell ref="EV1112:FD1112"/>
    <mergeCell ref="Z1:AA1"/>
    <mergeCell ref="ED118:EE118"/>
    <mergeCell ref="EG118:EH118"/>
    <mergeCell ref="ED119:EE119"/>
    <mergeCell ref="EG119:EH119"/>
    <mergeCell ref="ED120:EE120"/>
    <mergeCell ref="EG120:EH120"/>
    <mergeCell ref="ED121:EE121"/>
    <mergeCell ref="EG121:EH121"/>
    <mergeCell ref="ED122:EE122"/>
    <mergeCell ref="EG122:EH122"/>
    <mergeCell ref="ED123:EE123"/>
    <mergeCell ref="EG123:EH123"/>
    <mergeCell ref="ED138:EE138"/>
    <mergeCell ref="EG138:EH138"/>
    <mergeCell ref="ED126:EE126"/>
    <mergeCell ref="EG126:EH126"/>
    <mergeCell ref="ED127:EE127"/>
    <mergeCell ref="EG127:EH127"/>
    <mergeCell ref="ED128:EE128"/>
    <mergeCell ref="EG128:EH128"/>
    <mergeCell ref="ED129:EE129"/>
    <mergeCell ref="EG129:EH129"/>
    <mergeCell ref="ED130:EE130"/>
    <mergeCell ref="EG130:EH130"/>
    <mergeCell ref="ED131:EE131"/>
    <mergeCell ref="EG131:EH131"/>
    <mergeCell ref="ED132:EE132"/>
    <mergeCell ref="EG132:EH132"/>
    <mergeCell ref="ED133:EE133"/>
    <mergeCell ref="DJ11:DJ13"/>
    <mergeCell ref="DJ15:DJ17"/>
    <mergeCell ref="ED87:EE87"/>
    <mergeCell ref="EG87:EH87"/>
    <mergeCell ref="ED88:EE88"/>
    <mergeCell ref="EG88:EH88"/>
    <mergeCell ref="ED89:EE89"/>
    <mergeCell ref="EG89:EH89"/>
    <mergeCell ref="ED57:EE57"/>
    <mergeCell ref="EG57:EH57"/>
    <mergeCell ref="ED58:EE58"/>
    <mergeCell ref="EG76:EH76"/>
    <mergeCell ref="ED77:EE77"/>
    <mergeCell ref="EG77:EH77"/>
    <mergeCell ref="ED78:EE78"/>
    <mergeCell ref="EG78:EH78"/>
    <mergeCell ref="ED79:EE79"/>
    <mergeCell ref="EG79:EH79"/>
    <mergeCell ref="ED80:EE80"/>
    <mergeCell ref="EG80:EH80"/>
    <mergeCell ref="ED81:EE81"/>
    <mergeCell ref="ED86:EE86"/>
    <mergeCell ref="EG86:EH86"/>
    <mergeCell ref="EG133:EH133"/>
    <mergeCell ref="ED134:EE134"/>
    <mergeCell ref="EG134:EH134"/>
    <mergeCell ref="ED135:EE135"/>
    <mergeCell ref="EG135:EH135"/>
    <mergeCell ref="ED136:EE136"/>
    <mergeCell ref="EG136:EH136"/>
    <mergeCell ref="ED137:EE137"/>
    <mergeCell ref="EG137:EH137"/>
    <mergeCell ref="ED104:EE104"/>
    <mergeCell ref="EG104:EH104"/>
    <mergeCell ref="ES1113:EU1113"/>
    <mergeCell ref="EV1113:FD1113"/>
    <mergeCell ref="ES1114:EU1114"/>
    <mergeCell ref="EV1114:FD1114"/>
    <mergeCell ref="ES1115:EU1115"/>
    <mergeCell ref="EV1115:FD1115"/>
    <mergeCell ref="ES1116:EU1116"/>
    <mergeCell ref="EV1116:FD1116"/>
    <mergeCell ref="ES1117:EU1117"/>
    <mergeCell ref="EV1117:FD1117"/>
    <mergeCell ref="ES1118:EU1118"/>
    <mergeCell ref="EV1118:FD1118"/>
    <mergeCell ref="ES1119:EU1119"/>
    <mergeCell ref="EV1119:FD1119"/>
    <mergeCell ref="ES1120:EU1120"/>
    <mergeCell ref="EV1120:FD1120"/>
    <mergeCell ref="ES1121:EU1121"/>
    <mergeCell ref="EV1121:FD1121"/>
    <mergeCell ref="ES1122:EU1122"/>
    <mergeCell ref="EV1122:FD1122"/>
    <mergeCell ref="ES1123:EU1123"/>
    <mergeCell ref="EV1123:FD1123"/>
    <mergeCell ref="ES1124:EU1124"/>
    <mergeCell ref="EV1124:FD1124"/>
    <mergeCell ref="ES1125:EU1125"/>
    <mergeCell ref="EV1125:FD1125"/>
    <mergeCell ref="ES1126:EU1126"/>
    <mergeCell ref="EV1126:FD1126"/>
    <mergeCell ref="ES1127:EU1127"/>
    <mergeCell ref="EV1127:FD1127"/>
    <mergeCell ref="EV1128:FD1128"/>
    <mergeCell ref="ES1129:EU1129"/>
    <mergeCell ref="EV1129:FD1129"/>
    <mergeCell ref="ES1130:EU1130"/>
    <mergeCell ref="EV1130:FD1130"/>
    <mergeCell ref="ES1131:EU1131"/>
    <mergeCell ref="EV1131:FD1131"/>
    <mergeCell ref="ES1132:EU1132"/>
    <mergeCell ref="EV1132:FD1132"/>
    <mergeCell ref="ES1133:EU1133"/>
    <mergeCell ref="EV1133:FD1133"/>
    <mergeCell ref="ES1134:EU1134"/>
    <mergeCell ref="EV1134:FD1134"/>
    <mergeCell ref="ES1135:EU1135"/>
    <mergeCell ref="EV1135:FD1135"/>
    <mergeCell ref="ES1136:EU1136"/>
    <mergeCell ref="EV1136:FD1136"/>
    <mergeCell ref="ES1137:EU1137"/>
    <mergeCell ref="EV1137:FD1137"/>
    <mergeCell ref="ES1138:EU1138"/>
    <mergeCell ref="EV1138:FD1138"/>
    <mergeCell ref="ES1139:EU1139"/>
    <mergeCell ref="EV1139:FD1139"/>
    <mergeCell ref="ES1140:EU1140"/>
    <mergeCell ref="EV1140:FD1140"/>
    <mergeCell ref="ES1141:EU1141"/>
    <mergeCell ref="EV1141:FD1141"/>
    <mergeCell ref="ES1142:EU1142"/>
    <mergeCell ref="EV1142:FD1142"/>
    <mergeCell ref="ES1143:EU1143"/>
    <mergeCell ref="EV1143:FD1143"/>
    <mergeCell ref="ES1144:EU1144"/>
    <mergeCell ref="EV1144:FD1144"/>
    <mergeCell ref="EV1145:FD1145"/>
    <mergeCell ref="ES1146:EU1146"/>
    <mergeCell ref="EV1146:FD1146"/>
    <mergeCell ref="ES1147:EU1147"/>
    <mergeCell ref="EV1147:FD1147"/>
    <mergeCell ref="ES1148:EU1148"/>
    <mergeCell ref="EV1148:FD1148"/>
    <mergeCell ref="ES1149:EU1149"/>
    <mergeCell ref="EV1149:FD1149"/>
    <mergeCell ref="ES1150:EU1150"/>
    <mergeCell ref="EV1150:FD1150"/>
    <mergeCell ref="ES1151:EU1151"/>
    <mergeCell ref="EV1151:FD1151"/>
    <mergeCell ref="ES1152:EU1152"/>
    <mergeCell ref="EV1152:FD1152"/>
    <mergeCell ref="ES1153:EU1153"/>
    <mergeCell ref="EV1153:FD1153"/>
    <mergeCell ref="ES1154:EU1154"/>
    <mergeCell ref="EV1154:FD1154"/>
    <mergeCell ref="ES1155:EU1155"/>
    <mergeCell ref="EV1155:FD1155"/>
    <mergeCell ref="ES1156:EU1156"/>
    <mergeCell ref="EV1156:FD1156"/>
    <mergeCell ref="ES1157:EU1157"/>
    <mergeCell ref="EV1157:FD1157"/>
    <mergeCell ref="ES1158:EU1158"/>
    <mergeCell ref="EV1158:FD1158"/>
    <mergeCell ref="ES1159:EU1159"/>
    <mergeCell ref="EV1159:FD1159"/>
    <mergeCell ref="ES1160:EU1160"/>
    <mergeCell ref="EV1160:FD1160"/>
    <mergeCell ref="ES1161:EU1161"/>
    <mergeCell ref="EV1161:FD1161"/>
    <mergeCell ref="EV1162:FD1162"/>
    <mergeCell ref="ES1163:EU1163"/>
    <mergeCell ref="EV1163:FD1163"/>
    <mergeCell ref="ES1164:EU1164"/>
    <mergeCell ref="EV1164:FD1164"/>
    <mergeCell ref="ES1165:EU1165"/>
    <mergeCell ref="EV1165:FD1165"/>
    <mergeCell ref="ES1166:EU1166"/>
    <mergeCell ref="EV1166:FD1166"/>
    <mergeCell ref="ES1167:EU1167"/>
    <mergeCell ref="EV1167:FD1167"/>
    <mergeCell ref="ES1168:EU1168"/>
    <mergeCell ref="EV1168:FD1168"/>
    <mergeCell ref="ES1169:EU1169"/>
    <mergeCell ref="EV1169:FD1169"/>
    <mergeCell ref="ES1170:EU1170"/>
    <mergeCell ref="EV1170:FD1170"/>
    <mergeCell ref="ES1171:EU1171"/>
    <mergeCell ref="EV1171:FD1171"/>
    <mergeCell ref="ES1172:EU1172"/>
    <mergeCell ref="EV1172:FD1172"/>
    <mergeCell ref="ES1173:EU1173"/>
    <mergeCell ref="EV1173:FD1173"/>
    <mergeCell ref="ES1174:EU1174"/>
    <mergeCell ref="EV1174:FD1174"/>
    <mergeCell ref="ES1175:EU1175"/>
    <mergeCell ref="EV1175:FD1175"/>
    <mergeCell ref="ES1176:EU1176"/>
    <mergeCell ref="EV1176:FD1176"/>
    <mergeCell ref="ES1177:EU1177"/>
    <mergeCell ref="EV1177:FD1177"/>
    <mergeCell ref="ES1178:EU1178"/>
    <mergeCell ref="EV1178:FD1178"/>
    <mergeCell ref="EV1179:FD1179"/>
    <mergeCell ref="ES1180:EU1180"/>
    <mergeCell ref="EV1180:FD1180"/>
    <mergeCell ref="ES1181:EU1181"/>
    <mergeCell ref="EV1181:FD1181"/>
    <mergeCell ref="ES1182:EU1182"/>
    <mergeCell ref="EV1182:FD1182"/>
    <mergeCell ref="ES1183:EU1183"/>
    <mergeCell ref="EV1183:FD1183"/>
    <mergeCell ref="ES1184:EU1184"/>
    <mergeCell ref="EV1184:FD1184"/>
    <mergeCell ref="ES1185:EU1185"/>
    <mergeCell ref="EV1185:FD1185"/>
    <mergeCell ref="ES1186:EU1186"/>
    <mergeCell ref="EV1186:FD1186"/>
    <mergeCell ref="ES1187:EU1187"/>
    <mergeCell ref="EV1187:FD1187"/>
    <mergeCell ref="ES1188:EU1188"/>
    <mergeCell ref="EV1188:FD1188"/>
    <mergeCell ref="ES1189:EU1189"/>
    <mergeCell ref="EV1189:FD1189"/>
    <mergeCell ref="ES1190:EU1190"/>
    <mergeCell ref="EV1190:FD1190"/>
    <mergeCell ref="ES1191:EU1191"/>
    <mergeCell ref="EV1191:FD1191"/>
    <mergeCell ref="ES1192:EU1192"/>
    <mergeCell ref="EV1192:FD1192"/>
    <mergeCell ref="ES1193:EU1193"/>
    <mergeCell ref="EV1193:FD1193"/>
    <mergeCell ref="ES1194:EU1194"/>
    <mergeCell ref="EV1194:FD1194"/>
    <mergeCell ref="ES1195:EU1195"/>
    <mergeCell ref="EV1195:FD1195"/>
    <mergeCell ref="EV1196:FD1196"/>
    <mergeCell ref="ES1197:EU1197"/>
    <mergeCell ref="EV1197:FD1197"/>
    <mergeCell ref="ES1198:EU1198"/>
    <mergeCell ref="EV1198:FD1198"/>
    <mergeCell ref="ES1199:EU1199"/>
    <mergeCell ref="EV1199:FD1199"/>
    <mergeCell ref="ES1200:EU1200"/>
    <mergeCell ref="EV1200:FD1200"/>
    <mergeCell ref="ES1201:EU1201"/>
    <mergeCell ref="EV1201:FD1201"/>
    <mergeCell ref="ES1202:EU1202"/>
    <mergeCell ref="EV1202:FD1202"/>
    <mergeCell ref="ES1203:EU1203"/>
    <mergeCell ref="EV1203:FD1203"/>
    <mergeCell ref="ES1204:EU1204"/>
    <mergeCell ref="EV1204:FD1204"/>
    <mergeCell ref="ES1205:EU1205"/>
    <mergeCell ref="EV1205:FD1205"/>
    <mergeCell ref="ES1206:EU1206"/>
    <mergeCell ref="EV1206:FD1206"/>
    <mergeCell ref="ES1207:EU1207"/>
    <mergeCell ref="EV1207:FD1207"/>
    <mergeCell ref="ES1208:EU1208"/>
    <mergeCell ref="EV1208:FD1208"/>
    <mergeCell ref="ES1209:EU1209"/>
    <mergeCell ref="EV1209:FD1209"/>
    <mergeCell ref="ES1210:EU1210"/>
    <mergeCell ref="EV1210:FD1210"/>
    <mergeCell ref="ES1211:EU1211"/>
    <mergeCell ref="EV1211:FD1211"/>
    <mergeCell ref="ES1212:EU1212"/>
    <mergeCell ref="EV1212:FD1212"/>
    <mergeCell ref="EV1213:FD1213"/>
    <mergeCell ref="ES1214:EU1214"/>
    <mergeCell ref="EV1214:FD1214"/>
    <mergeCell ref="ES1215:EU1215"/>
    <mergeCell ref="EV1215:FD1215"/>
    <mergeCell ref="ES1216:EU1216"/>
    <mergeCell ref="EV1216:FD1216"/>
    <mergeCell ref="ES1217:EU1217"/>
    <mergeCell ref="EV1217:FD1217"/>
    <mergeCell ref="ES1218:EU1218"/>
    <mergeCell ref="EV1218:FD1218"/>
    <mergeCell ref="ES1219:EU1219"/>
    <mergeCell ref="EV1219:FD1219"/>
    <mergeCell ref="ES1220:EU1220"/>
    <mergeCell ref="EV1220:FD1220"/>
    <mergeCell ref="ES1221:EU1221"/>
    <mergeCell ref="EV1221:FD1221"/>
    <mergeCell ref="ES1222:EU1222"/>
    <mergeCell ref="EV1222:FD1222"/>
    <mergeCell ref="ES1223:EU1223"/>
    <mergeCell ref="EV1223:FD1223"/>
    <mergeCell ref="ES1224:EU1224"/>
    <mergeCell ref="EV1224:FD1224"/>
    <mergeCell ref="ES1225:EU1225"/>
    <mergeCell ref="EV1225:FD1225"/>
    <mergeCell ref="ES1226:EU1226"/>
    <mergeCell ref="EV1226:FD1226"/>
    <mergeCell ref="ES1227:EU1227"/>
    <mergeCell ref="EV1227:FD1227"/>
    <mergeCell ref="ES1228:EU1228"/>
    <mergeCell ref="EV1228:FD1228"/>
    <mergeCell ref="ES1229:EU1229"/>
    <mergeCell ref="EV1229:FD1229"/>
    <mergeCell ref="EV1230:FD1230"/>
    <mergeCell ref="ES1231:EU1231"/>
    <mergeCell ref="EV1231:FD1231"/>
    <mergeCell ref="ES1232:EU1232"/>
    <mergeCell ref="EV1232:FD1232"/>
    <mergeCell ref="ES1233:EU1233"/>
    <mergeCell ref="EV1233:FD1233"/>
    <mergeCell ref="ES1234:EU1234"/>
    <mergeCell ref="EV1234:FD1234"/>
    <mergeCell ref="ES1235:EU1235"/>
    <mergeCell ref="EV1235:FD1235"/>
    <mergeCell ref="ES1236:EU1236"/>
    <mergeCell ref="EV1236:FD1236"/>
    <mergeCell ref="ES1237:EU1237"/>
    <mergeCell ref="EV1237:FD1237"/>
    <mergeCell ref="ES1238:EU1238"/>
    <mergeCell ref="EV1238:FD1238"/>
    <mergeCell ref="ES1239:EU1239"/>
    <mergeCell ref="EV1239:FD1239"/>
    <mergeCell ref="ES1240:EU1240"/>
    <mergeCell ref="EV1240:FD1240"/>
    <mergeCell ref="ES1250:EU1250"/>
    <mergeCell ref="EV1250:FD1250"/>
    <mergeCell ref="ES1241:EU1241"/>
    <mergeCell ref="EV1241:FD1241"/>
    <mergeCell ref="ES1242:EU1242"/>
    <mergeCell ref="EV1242:FD1242"/>
    <mergeCell ref="ES1243:EU1243"/>
    <mergeCell ref="EV1243:FD1243"/>
    <mergeCell ref="ES1244:EU1244"/>
    <mergeCell ref="EV1244:FD1244"/>
    <mergeCell ref="ES1245:EU1245"/>
    <mergeCell ref="EV1245:FD1245"/>
    <mergeCell ref="ES1246:EU1246"/>
    <mergeCell ref="EV1246:FD1246"/>
    <mergeCell ref="ES1247:EU1247"/>
    <mergeCell ref="EV1247:FD1247"/>
    <mergeCell ref="ES1248:EU1248"/>
    <mergeCell ref="EV1248:FD1248"/>
    <mergeCell ref="ES1249:EU1249"/>
    <mergeCell ref="EV1249:FD1249"/>
    <mergeCell ref="FE1227:FK1227"/>
    <mergeCell ref="FE1228:FK1228"/>
    <mergeCell ref="FE1229:FK1229"/>
    <mergeCell ref="FE1230:FK1230"/>
    <mergeCell ref="FE1231:FK1231"/>
    <mergeCell ref="FE1232:FK1232"/>
    <mergeCell ref="FE1233:FK1233"/>
    <mergeCell ref="FE1234:FK1234"/>
    <mergeCell ref="FE1235:FK1235"/>
    <mergeCell ref="FE1236:FK1236"/>
    <mergeCell ref="FE1237:FK1237"/>
    <mergeCell ref="FE1238:FK1238"/>
    <mergeCell ref="FE1239:FK1239"/>
    <mergeCell ref="FE1240:FK1240"/>
    <mergeCell ref="FE1241:FK1241"/>
    <mergeCell ref="FE1242:FK1242"/>
    <mergeCell ref="FE1243:FK1243"/>
    <mergeCell ref="FE1244:FK1244"/>
    <mergeCell ref="FE1245:FK1245"/>
    <mergeCell ref="FE1246:FK1246"/>
    <mergeCell ref="FE1247:FK1247"/>
    <mergeCell ref="FE1248:FK1248"/>
    <mergeCell ref="FE1249:FK1249"/>
    <mergeCell ref="FE1250:FK1250"/>
    <mergeCell ref="FE1251:FK1251"/>
    <mergeCell ref="FE1252:FK1252"/>
    <mergeCell ref="FE1253:FK1253"/>
    <mergeCell ref="FE1254:FK1254"/>
    <mergeCell ref="FE1255:FK1255"/>
    <mergeCell ref="FE1256:FK1256"/>
    <mergeCell ref="FE1257:FK1257"/>
    <mergeCell ref="FE1258:FK1258"/>
    <mergeCell ref="FE1259:FK1259"/>
    <mergeCell ref="FE1500:FK1500"/>
    <mergeCell ref="FL1243:GB1243"/>
    <mergeCell ref="FL1244:GB1244"/>
    <mergeCell ref="FL1245:GB1245"/>
    <mergeCell ref="FL1246:GB1246"/>
    <mergeCell ref="FL1247:GB1247"/>
    <mergeCell ref="FL1248:GB1248"/>
    <mergeCell ref="FL1249:GB1249"/>
    <mergeCell ref="FL1250:GB1250"/>
    <mergeCell ref="FL1251:GB1251"/>
    <mergeCell ref="FL1252:GB1252"/>
    <mergeCell ref="FL1253:GB1253"/>
    <mergeCell ref="FL1254:GB1254"/>
    <mergeCell ref="FL1255:GB1255"/>
    <mergeCell ref="FL1256:GB1256"/>
    <mergeCell ref="FL1257:GB1257"/>
    <mergeCell ref="FL1258:GB1258"/>
    <mergeCell ref="FL1259:GB1259"/>
    <mergeCell ref="FL1260:GB1260"/>
    <mergeCell ref="FL1261:GB1261"/>
    <mergeCell ref="FL1262:GB1262"/>
    <mergeCell ref="FL1263:GB1263"/>
    <mergeCell ref="FL1264:GB1264"/>
    <mergeCell ref="FL1265:GB1265"/>
    <mergeCell ref="FL1266:GB1266"/>
    <mergeCell ref="FL1267:GB1267"/>
    <mergeCell ref="FL1268:GB1268"/>
    <mergeCell ref="FL1269:GB1269"/>
    <mergeCell ref="FL1270:GB1270"/>
    <mergeCell ref="FL1271:GB1271"/>
    <mergeCell ref="FL1272:GB1272"/>
    <mergeCell ref="FL1273:GB1273"/>
    <mergeCell ref="FL1274:GB1274"/>
    <mergeCell ref="FL1275:GB1275"/>
    <mergeCell ref="FL1276:GB1276"/>
    <mergeCell ref="FL1277:GB1277"/>
    <mergeCell ref="FL1278:GB1278"/>
    <mergeCell ref="FL1279:GB1279"/>
    <mergeCell ref="FL1280:GB1280"/>
    <mergeCell ref="FL1281:GB1281"/>
    <mergeCell ref="FL1282:GB1282"/>
    <mergeCell ref="FL1283:GB1283"/>
    <mergeCell ref="FL1284:GB1284"/>
    <mergeCell ref="FL1285:GB1285"/>
    <mergeCell ref="FL1286:GB1286"/>
    <mergeCell ref="FL1287:GB1287"/>
    <mergeCell ref="FL1288:GB1288"/>
    <mergeCell ref="FL1289:GB1289"/>
    <mergeCell ref="FL1290:GB1290"/>
    <mergeCell ref="FL1291:GB1291"/>
    <mergeCell ref="FL1292:GB1292"/>
    <mergeCell ref="FL1293:GB1293"/>
    <mergeCell ref="FL1294:GB1294"/>
    <mergeCell ref="FL1295:GB1295"/>
    <mergeCell ref="FL1296:GB1296"/>
    <mergeCell ref="FL1297:GB1297"/>
    <mergeCell ref="FL1298:GB1298"/>
    <mergeCell ref="FL1299:GB1299"/>
    <mergeCell ref="FL1300:GB1300"/>
    <mergeCell ref="FL1301:GB1301"/>
    <mergeCell ref="FL1302:GB1302"/>
    <mergeCell ref="FL1303:GB1303"/>
    <mergeCell ref="FL1304:GB1304"/>
    <mergeCell ref="FL1305:GB1305"/>
    <mergeCell ref="FL1306:GB1306"/>
    <mergeCell ref="FL1307:GB1307"/>
    <mergeCell ref="FL1308:GB1308"/>
    <mergeCell ref="FL1309:GB1309"/>
    <mergeCell ref="FL1310:GB1310"/>
    <mergeCell ref="FL1311:GB1311"/>
    <mergeCell ref="FL1312:GB1312"/>
    <mergeCell ref="FL1313:GB1313"/>
    <mergeCell ref="FL1314:GB1314"/>
    <mergeCell ref="FL1315:GB1315"/>
    <mergeCell ref="FL1316:GB1316"/>
    <mergeCell ref="FL1317:GB1317"/>
    <mergeCell ref="FL1318:GB1318"/>
    <mergeCell ref="FL1319:GB1319"/>
    <mergeCell ref="FL1320:GB1320"/>
    <mergeCell ref="FL1321:GB1321"/>
    <mergeCell ref="FL1322:GB1322"/>
    <mergeCell ref="FL1323:GB1323"/>
    <mergeCell ref="FL1324:GB1324"/>
    <mergeCell ref="FL1325:GB1325"/>
    <mergeCell ref="FL1326:GB1326"/>
    <mergeCell ref="FL1327:GB1327"/>
    <mergeCell ref="FL1328:GB1328"/>
    <mergeCell ref="FL1329:GB1329"/>
    <mergeCell ref="FL1330:GB1330"/>
    <mergeCell ref="FL1331:GB1331"/>
    <mergeCell ref="FL1332:GB1332"/>
    <mergeCell ref="FL1333:GB1333"/>
    <mergeCell ref="FL1334:GB1334"/>
    <mergeCell ref="FL1335:GB1335"/>
    <mergeCell ref="FL1336:GB1336"/>
    <mergeCell ref="FL1337:GB1337"/>
    <mergeCell ref="FL1338:GB1338"/>
    <mergeCell ref="FL1339:GB1339"/>
    <mergeCell ref="FL1340:GB1340"/>
    <mergeCell ref="FL1341:GB1341"/>
    <mergeCell ref="FL1342:GB1342"/>
    <mergeCell ref="FL1343:GB1343"/>
    <mergeCell ref="FL1344:GB1344"/>
    <mergeCell ref="FL1345:GB1345"/>
    <mergeCell ref="FL1346:GB1346"/>
    <mergeCell ref="FL1347:GB1347"/>
    <mergeCell ref="FL1348:GB1348"/>
    <mergeCell ref="FL1349:GB1349"/>
    <mergeCell ref="FL1350:GB1350"/>
    <mergeCell ref="FL1351:GB1351"/>
    <mergeCell ref="FL1352:GB1352"/>
    <mergeCell ref="FL1353:GB1353"/>
    <mergeCell ref="FL1354:GB1354"/>
    <mergeCell ref="FL1355:GB1355"/>
    <mergeCell ref="FL1356:GB1356"/>
    <mergeCell ref="FL1357:GB1357"/>
    <mergeCell ref="FL1358:GB1358"/>
    <mergeCell ref="FL1359:GB1359"/>
    <mergeCell ref="FL1360:GB1360"/>
    <mergeCell ref="FL1361:GB1361"/>
    <mergeCell ref="FL1362:GB1362"/>
    <mergeCell ref="FL1363:GB1363"/>
    <mergeCell ref="FL1364:GB1364"/>
    <mergeCell ref="FL1365:GB1365"/>
    <mergeCell ref="FL1366:GB1366"/>
    <mergeCell ref="FL1367:GB1367"/>
    <mergeCell ref="FL1368:GB1368"/>
    <mergeCell ref="FL1369:GB1369"/>
    <mergeCell ref="FL1370:GB1370"/>
    <mergeCell ref="FL1371:GB1371"/>
    <mergeCell ref="FL1372:GB1372"/>
    <mergeCell ref="FL1373:GB1373"/>
    <mergeCell ref="FL1374:GB1374"/>
    <mergeCell ref="FL1375:GB1375"/>
    <mergeCell ref="FL1376:GB1376"/>
    <mergeCell ref="FL1377:GB1377"/>
    <mergeCell ref="FL1378:GB1378"/>
    <mergeCell ref="FL1379:GB1379"/>
    <mergeCell ref="FL1380:GB1380"/>
    <mergeCell ref="FL1381:GB1381"/>
    <mergeCell ref="FL1382:GB1382"/>
    <mergeCell ref="FL1383:GB1383"/>
    <mergeCell ref="FL1384:GB1384"/>
    <mergeCell ref="FL1385:GB1385"/>
    <mergeCell ref="FL1386:GB1386"/>
    <mergeCell ref="FL1387:GB1387"/>
    <mergeCell ref="FL1388:GB1388"/>
    <mergeCell ref="FL1389:GB1389"/>
    <mergeCell ref="FL1390:GB1390"/>
    <mergeCell ref="FL1391:GB1391"/>
    <mergeCell ref="FL1392:GB1392"/>
    <mergeCell ref="FL1393:GB1393"/>
    <mergeCell ref="FL1394:GB1394"/>
    <mergeCell ref="FL1395:GB1395"/>
    <mergeCell ref="FL1396:GB1396"/>
    <mergeCell ref="FL1397:GB1397"/>
    <mergeCell ref="FL1398:GB1398"/>
    <mergeCell ref="FL1399:GB1399"/>
    <mergeCell ref="FL1400:GB1400"/>
    <mergeCell ref="FL1401:GB1401"/>
    <mergeCell ref="FL1402:GB1402"/>
    <mergeCell ref="FL1403:GB1403"/>
    <mergeCell ref="FL1404:GB1404"/>
    <mergeCell ref="FL1469:GB1469"/>
    <mergeCell ref="FL1470:GB1470"/>
    <mergeCell ref="FL1405:GB1405"/>
    <mergeCell ref="FL1406:GB1406"/>
    <mergeCell ref="FL1407:GB1407"/>
    <mergeCell ref="FL1408:GB1408"/>
    <mergeCell ref="FL1409:GB1409"/>
    <mergeCell ref="FL1410:GB1410"/>
    <mergeCell ref="FL1411:GB1411"/>
    <mergeCell ref="FL1412:GB1412"/>
    <mergeCell ref="FL1413:GB1413"/>
    <mergeCell ref="FL1414:GB1414"/>
    <mergeCell ref="FL1415:GB1415"/>
    <mergeCell ref="FL1416:GB1416"/>
    <mergeCell ref="FL1417:GB1417"/>
    <mergeCell ref="FL1418:GB1418"/>
    <mergeCell ref="FL1419:GB1419"/>
    <mergeCell ref="FL1420:GB1420"/>
    <mergeCell ref="FL1421:GB1421"/>
    <mergeCell ref="FL1422:GB1422"/>
    <mergeCell ref="FL1423:GB1423"/>
    <mergeCell ref="FL1424:GB1424"/>
    <mergeCell ref="FL1425:GB1425"/>
    <mergeCell ref="FL1426:GB1426"/>
    <mergeCell ref="FL1427:GB1427"/>
    <mergeCell ref="FL1428:GB1428"/>
    <mergeCell ref="FL1429:GB1429"/>
    <mergeCell ref="FL1430:GB1430"/>
    <mergeCell ref="FL1431:GB1431"/>
    <mergeCell ref="FL1432:GB1432"/>
    <mergeCell ref="FL1433:GB1433"/>
    <mergeCell ref="FL1434:GB1434"/>
    <mergeCell ref="FL1435:GB1435"/>
    <mergeCell ref="FL1436:GB1436"/>
    <mergeCell ref="FL1437:GB1437"/>
    <mergeCell ref="FL729:GB729"/>
    <mergeCell ref="FL1471:GB1471"/>
    <mergeCell ref="FL1472:GB1472"/>
    <mergeCell ref="FL1473:GB1473"/>
    <mergeCell ref="FL1474:GB1474"/>
    <mergeCell ref="FL1475:GB1475"/>
    <mergeCell ref="FL1476:GB1476"/>
    <mergeCell ref="FL1477:GB1477"/>
    <mergeCell ref="FL1478:GB1478"/>
    <mergeCell ref="FL1479:GB1479"/>
    <mergeCell ref="FL1480:GB1480"/>
    <mergeCell ref="FL1481:GB1481"/>
    <mergeCell ref="FL1482:GB1482"/>
    <mergeCell ref="FL1483:GB1483"/>
    <mergeCell ref="FL1484:GB1484"/>
    <mergeCell ref="FL1485:GB1485"/>
    <mergeCell ref="FL1486:GB1486"/>
    <mergeCell ref="FL1487:GB1487"/>
    <mergeCell ref="FL1488:GB1488"/>
    <mergeCell ref="FL1489:GB1489"/>
    <mergeCell ref="FL1490:GB1490"/>
    <mergeCell ref="FL1491:GB1491"/>
    <mergeCell ref="FL1492:GB1492"/>
    <mergeCell ref="FL1493:GB1493"/>
    <mergeCell ref="FL1494:GB1494"/>
    <mergeCell ref="FL1495:GB1495"/>
    <mergeCell ref="FL1496:GB1496"/>
    <mergeCell ref="FL1497:GB1497"/>
    <mergeCell ref="FL1498:GB1498"/>
    <mergeCell ref="FL1499:GB1499"/>
    <mergeCell ref="FL1500:GB1500"/>
    <mergeCell ref="FL1501:GB1501"/>
    <mergeCell ref="FL1502:GB1502"/>
    <mergeCell ref="FL1438:GB1438"/>
    <mergeCell ref="FL1439:GB1439"/>
    <mergeCell ref="FL1440:GB1440"/>
    <mergeCell ref="FL1441:GB1441"/>
    <mergeCell ref="FL1442:GB1442"/>
    <mergeCell ref="FL1443:GB1443"/>
    <mergeCell ref="FL1444:GB1444"/>
    <mergeCell ref="FL1445:GB1445"/>
    <mergeCell ref="FL1446:GB1446"/>
    <mergeCell ref="FL1447:GB1447"/>
    <mergeCell ref="FL1448:GB1448"/>
    <mergeCell ref="FL1449:GB1449"/>
    <mergeCell ref="FL1450:GB1450"/>
    <mergeCell ref="FL1451:GB1451"/>
    <mergeCell ref="FL1452:GB1452"/>
    <mergeCell ref="FL1453:GB1453"/>
    <mergeCell ref="FL1454:GB1454"/>
    <mergeCell ref="FL1455:GB1455"/>
    <mergeCell ref="FL1456:GB1456"/>
    <mergeCell ref="FL1457:GB1457"/>
    <mergeCell ref="FL1458:GB1458"/>
    <mergeCell ref="FL1459:GB1459"/>
    <mergeCell ref="FL1460:GB1460"/>
    <mergeCell ref="FL1461:GB1461"/>
    <mergeCell ref="FL1462:GB1462"/>
    <mergeCell ref="FL1463:GB1463"/>
    <mergeCell ref="FL1464:GB1464"/>
    <mergeCell ref="FL1465:GB1465"/>
    <mergeCell ref="FL1466:GB1466"/>
    <mergeCell ref="FL1467:GB1467"/>
    <mergeCell ref="FL1468:GB1468"/>
    <mergeCell ref="GX845:GY845"/>
    <mergeCell ref="GX846:GY846"/>
    <mergeCell ref="GX847:GY847"/>
    <mergeCell ref="GX848:GY848"/>
    <mergeCell ref="GX849:GY849"/>
    <mergeCell ref="GX850:GY850"/>
    <mergeCell ref="GX851:GY851"/>
    <mergeCell ref="GX852:GY852"/>
    <mergeCell ref="GX853:GY853"/>
    <mergeCell ref="GX854:GY854"/>
    <mergeCell ref="GX855:GY855"/>
    <mergeCell ref="GX856:GY856"/>
    <mergeCell ref="GX857:GY857"/>
    <mergeCell ref="GX858:GY858"/>
    <mergeCell ref="GX859:GY859"/>
    <mergeCell ref="GX860:GY860"/>
    <mergeCell ref="GX861:GY861"/>
    <mergeCell ref="GX862:GY862"/>
    <mergeCell ref="GX863:GY863"/>
    <mergeCell ref="GX864:GY864"/>
    <mergeCell ref="GX865:GY865"/>
    <mergeCell ref="GX866:GY866"/>
    <mergeCell ref="GX867:GY867"/>
    <mergeCell ref="GX868:GY868"/>
    <mergeCell ref="GX869:GY869"/>
    <mergeCell ref="GX870:GY870"/>
    <mergeCell ref="GX871:GY871"/>
    <mergeCell ref="GX872:GY872"/>
    <mergeCell ref="GX873:GY873"/>
    <mergeCell ref="GX874:GY874"/>
    <mergeCell ref="GX875:GY875"/>
    <mergeCell ref="GX876:GY876"/>
    <mergeCell ref="GX877:GY877"/>
    <mergeCell ref="GX878:GY878"/>
    <mergeCell ref="GX879:GY879"/>
    <mergeCell ref="GX880:GY880"/>
    <mergeCell ref="GX881:GY881"/>
    <mergeCell ref="GX882:GY882"/>
    <mergeCell ref="GX883:GY883"/>
    <mergeCell ref="GX884:GY884"/>
    <mergeCell ref="GX885:GY885"/>
    <mergeCell ref="GX886:GY886"/>
    <mergeCell ref="GX887:GY887"/>
    <mergeCell ref="GX888:GY888"/>
    <mergeCell ref="GX889:GY889"/>
    <mergeCell ref="GX890:GY890"/>
    <mergeCell ref="GX891:GY891"/>
    <mergeCell ref="GX892:GY892"/>
    <mergeCell ref="GX893:GY893"/>
    <mergeCell ref="GX894:GY894"/>
    <mergeCell ref="GX895:GY895"/>
    <mergeCell ref="GX896:GY896"/>
    <mergeCell ref="GX897:GY897"/>
    <mergeCell ref="GX898:GY898"/>
    <mergeCell ref="GX899:GY899"/>
    <mergeCell ref="GX900:GY900"/>
    <mergeCell ref="GX901:GY901"/>
    <mergeCell ref="GX902:GY902"/>
    <mergeCell ref="GX903:GY903"/>
    <mergeCell ref="GX904:GY904"/>
    <mergeCell ref="GX905:GY905"/>
    <mergeCell ref="GX906:GY906"/>
    <mergeCell ref="GX907:GY907"/>
    <mergeCell ref="GX908:GY908"/>
    <mergeCell ref="GX909:GY909"/>
    <mergeCell ref="GX910:GY910"/>
    <mergeCell ref="GX911:GY911"/>
    <mergeCell ref="GX912:GY912"/>
    <mergeCell ref="GX913:GY913"/>
    <mergeCell ref="GX914:GY914"/>
    <mergeCell ref="GX915:GY915"/>
    <mergeCell ref="GX916:GY916"/>
    <mergeCell ref="GX917:GY917"/>
    <mergeCell ref="GX918:GY918"/>
    <mergeCell ref="GX919:GY919"/>
    <mergeCell ref="GX920:GY920"/>
    <mergeCell ref="GX921:GY921"/>
    <mergeCell ref="GX922:GY922"/>
    <mergeCell ref="GX923:GY923"/>
    <mergeCell ref="GX924:GY924"/>
    <mergeCell ref="GX925:GY925"/>
    <mergeCell ref="GX926:GY926"/>
    <mergeCell ref="GX927:GY927"/>
    <mergeCell ref="GX928:GY928"/>
    <mergeCell ref="GX929:GY929"/>
    <mergeCell ref="GX930:GY930"/>
    <mergeCell ref="GX931:GY931"/>
    <mergeCell ref="GX932:GY932"/>
    <mergeCell ref="GX933:GY933"/>
    <mergeCell ref="GX934:GY934"/>
    <mergeCell ref="GX935:GY935"/>
    <mergeCell ref="GX936:GY936"/>
    <mergeCell ref="GX937:GY937"/>
    <mergeCell ref="GX938:GY938"/>
    <mergeCell ref="GX939:GY939"/>
    <mergeCell ref="GX940:GY940"/>
    <mergeCell ref="GX941:GY941"/>
    <mergeCell ref="GX942:GY942"/>
    <mergeCell ref="GX943:GY943"/>
    <mergeCell ref="GX944:GY944"/>
    <mergeCell ref="GX945:GY945"/>
    <mergeCell ref="GX946:GY946"/>
    <mergeCell ref="GX947:GY947"/>
    <mergeCell ref="GX948:GY948"/>
    <mergeCell ref="GX949:GY949"/>
    <mergeCell ref="GX950:GY950"/>
    <mergeCell ref="GX951:GY951"/>
    <mergeCell ref="GX952:GY952"/>
    <mergeCell ref="GX953:GY953"/>
    <mergeCell ref="GX954:GY954"/>
    <mergeCell ref="GX955:GY955"/>
    <mergeCell ref="GX956:GY956"/>
    <mergeCell ref="GX957:GY957"/>
    <mergeCell ref="GX958:GY958"/>
    <mergeCell ref="GX959:GY959"/>
    <mergeCell ref="GX960:GY960"/>
    <mergeCell ref="GX961:GY961"/>
    <mergeCell ref="GX962:GY962"/>
    <mergeCell ref="GX963:GY963"/>
    <mergeCell ref="GX964:GY964"/>
    <mergeCell ref="GX965:GY965"/>
    <mergeCell ref="GX966:GY966"/>
    <mergeCell ref="GX967:GY967"/>
    <mergeCell ref="GX968:GY968"/>
    <mergeCell ref="GX969:GY969"/>
    <mergeCell ref="GX970:GY970"/>
    <mergeCell ref="GX971:GY971"/>
    <mergeCell ref="GX972:GY972"/>
    <mergeCell ref="GX973:GY973"/>
    <mergeCell ref="GX974:GY974"/>
    <mergeCell ref="GX975:GY975"/>
    <mergeCell ref="GX976:GY976"/>
    <mergeCell ref="GX977:GY977"/>
    <mergeCell ref="GX978:GY978"/>
    <mergeCell ref="GX979:GY979"/>
    <mergeCell ref="GX980:GY980"/>
    <mergeCell ref="GX981:GY981"/>
    <mergeCell ref="GX982:GY982"/>
    <mergeCell ref="GX983:GY983"/>
    <mergeCell ref="GX984:GY984"/>
    <mergeCell ref="GX985:GY985"/>
    <mergeCell ref="GX986:GY986"/>
    <mergeCell ref="GX987:GY987"/>
    <mergeCell ref="GX988:GY988"/>
    <mergeCell ref="GX989:GY989"/>
    <mergeCell ref="GX990:GY990"/>
    <mergeCell ref="GX991:GY991"/>
    <mergeCell ref="GX992:GY992"/>
    <mergeCell ref="GX993:GY993"/>
    <mergeCell ref="GX994:GY994"/>
    <mergeCell ref="GX995:GY995"/>
    <mergeCell ref="GX996:GY996"/>
    <mergeCell ref="GX997:GY997"/>
    <mergeCell ref="GX998:GY998"/>
    <mergeCell ref="GX999:GY999"/>
    <mergeCell ref="GX1000:GY1000"/>
    <mergeCell ref="GX1001:GY1001"/>
    <mergeCell ref="GX1002:GY1002"/>
    <mergeCell ref="GX1003:GY1003"/>
    <mergeCell ref="GX1004:GY1004"/>
    <mergeCell ref="GX1005:GY1005"/>
    <mergeCell ref="GX1006:GY1006"/>
    <mergeCell ref="GX1007:GY1007"/>
    <mergeCell ref="GX1008:GY1008"/>
    <mergeCell ref="GX1009:GY1009"/>
    <mergeCell ref="GX1010:GY1010"/>
    <mergeCell ref="GX1011:GY1011"/>
    <mergeCell ref="GX1012:GY1012"/>
    <mergeCell ref="GX1013:GY1013"/>
    <mergeCell ref="GX1014:GY1014"/>
    <mergeCell ref="GX1015:GY1015"/>
    <mergeCell ref="GX1016:GY1016"/>
    <mergeCell ref="GX1017:GY1017"/>
    <mergeCell ref="GX1018:GY1018"/>
    <mergeCell ref="GX1019:GY1019"/>
    <mergeCell ref="GX1020:GY1020"/>
    <mergeCell ref="GX1021:GY1021"/>
    <mergeCell ref="GX1022:GY1022"/>
    <mergeCell ref="GX1023:GY1023"/>
    <mergeCell ref="GX1024:GY1024"/>
    <mergeCell ref="GX1025:GY1025"/>
    <mergeCell ref="GX1026:GY1026"/>
    <mergeCell ref="GX1027:GY1027"/>
    <mergeCell ref="GX1028:GY1028"/>
    <mergeCell ref="GX1029:GY1029"/>
    <mergeCell ref="GX1030:GY1030"/>
    <mergeCell ref="GX1031:GY1031"/>
    <mergeCell ref="GX1032:GY1032"/>
    <mergeCell ref="GX1033:GY1033"/>
    <mergeCell ref="GX1034:GY1034"/>
    <mergeCell ref="GX1035:GY1035"/>
    <mergeCell ref="GX1036:GY1036"/>
    <mergeCell ref="GX1037:GY1037"/>
    <mergeCell ref="GX1038:GY1038"/>
    <mergeCell ref="GX1039:GY1039"/>
    <mergeCell ref="GX1040:GY1040"/>
    <mergeCell ref="GX1041:GY1041"/>
    <mergeCell ref="GX1042:GY1042"/>
    <mergeCell ref="GX1043:GY1043"/>
    <mergeCell ref="GX1044:GY1044"/>
    <mergeCell ref="GX1045:GY1045"/>
    <mergeCell ref="GX1046:GY1046"/>
    <mergeCell ref="GX1047:GY1047"/>
    <mergeCell ref="GX1048:GY1048"/>
    <mergeCell ref="GX1049:GY1049"/>
    <mergeCell ref="GX1050:GY1050"/>
    <mergeCell ref="GX1051:GY1051"/>
    <mergeCell ref="GX1052:GY1052"/>
    <mergeCell ref="GX1053:GY1053"/>
    <mergeCell ref="GX1054:GY1054"/>
    <mergeCell ref="GX1055:GY1055"/>
    <mergeCell ref="GX1056:GY1056"/>
    <mergeCell ref="GX1057:GY1057"/>
    <mergeCell ref="GX1058:GY1058"/>
    <mergeCell ref="GX1059:GY1059"/>
    <mergeCell ref="GX1060:GY1060"/>
    <mergeCell ref="GX1061:GY1061"/>
    <mergeCell ref="GX1062:GY1062"/>
    <mergeCell ref="GX1063:GY1063"/>
    <mergeCell ref="GX1064:GY1064"/>
    <mergeCell ref="GX1065:GY1065"/>
    <mergeCell ref="GX1066:GY1066"/>
    <mergeCell ref="GX1067:GY1067"/>
    <mergeCell ref="GX1068:GY1068"/>
    <mergeCell ref="GX1069:GY1069"/>
    <mergeCell ref="GX1070:GY1070"/>
    <mergeCell ref="GX1071:GY1071"/>
    <mergeCell ref="GX1072:GY1072"/>
    <mergeCell ref="GX1073:GY1073"/>
    <mergeCell ref="GX1074:GY1074"/>
    <mergeCell ref="GX1075:GY1075"/>
    <mergeCell ref="GX1076:GY1076"/>
    <mergeCell ref="GX1077:GY1077"/>
    <mergeCell ref="GX1078:GY1078"/>
    <mergeCell ref="GX1079:GY1079"/>
    <mergeCell ref="GX1080:GY1080"/>
    <mergeCell ref="GX1081:GY1081"/>
    <mergeCell ref="GX1082:GY1082"/>
    <mergeCell ref="GX1083:GY1083"/>
    <mergeCell ref="GX1084:GY1084"/>
    <mergeCell ref="GX1085:GY1085"/>
    <mergeCell ref="GX1086:GY1086"/>
    <mergeCell ref="GX1087:GY1087"/>
    <mergeCell ref="GX1088:GY1088"/>
    <mergeCell ref="GX1089:GY1089"/>
    <mergeCell ref="GX1090:GY1090"/>
    <mergeCell ref="GX1091:GY1091"/>
    <mergeCell ref="GX1092:GY1092"/>
    <mergeCell ref="GX1093:GY1093"/>
    <mergeCell ref="GX1094:GY1094"/>
    <mergeCell ref="GX1095:GY1095"/>
    <mergeCell ref="GX1096:GY1096"/>
    <mergeCell ref="GX1097:GY1097"/>
    <mergeCell ref="GX1098:GY1098"/>
    <mergeCell ref="GX1099:GY1099"/>
    <mergeCell ref="GX1100:GY1100"/>
    <mergeCell ref="GX1101:GY1101"/>
    <mergeCell ref="GX1102:GY1102"/>
    <mergeCell ref="GX1103:GY1103"/>
    <mergeCell ref="GX1104:GY1104"/>
    <mergeCell ref="GX1105:GY1105"/>
    <mergeCell ref="GX1106:GY1106"/>
    <mergeCell ref="GX1107:GY1107"/>
    <mergeCell ref="GX1108:GY1108"/>
    <mergeCell ref="GX1109:GY1109"/>
    <mergeCell ref="GX1110:GY1110"/>
    <mergeCell ref="GX1111:GY1111"/>
    <mergeCell ref="GX1112:GY1112"/>
    <mergeCell ref="GX1113:GY1113"/>
    <mergeCell ref="GX1114:GY1114"/>
    <mergeCell ref="GX1115:GY1115"/>
    <mergeCell ref="GX1116:GY1116"/>
    <mergeCell ref="GX1117:GY1117"/>
    <mergeCell ref="GX1118:GY1118"/>
    <mergeCell ref="GX1119:GY1119"/>
    <mergeCell ref="GX1120:GY1120"/>
    <mergeCell ref="GX1121:GY1121"/>
    <mergeCell ref="GX1122:GY1122"/>
    <mergeCell ref="GX1123:GY1123"/>
    <mergeCell ref="GX1124:GY1124"/>
    <mergeCell ref="GX1125:GY1125"/>
    <mergeCell ref="GX1126:GY1126"/>
    <mergeCell ref="GX1127:GY1127"/>
    <mergeCell ref="GX1128:GY1128"/>
    <mergeCell ref="GX1129:GY1129"/>
    <mergeCell ref="GX1130:GY1130"/>
    <mergeCell ref="GX1131:GY1131"/>
    <mergeCell ref="GX1132:GY1132"/>
    <mergeCell ref="GX1133:GY1133"/>
    <mergeCell ref="GX1134:GY1134"/>
    <mergeCell ref="GX1135:GY1135"/>
    <mergeCell ref="GX1136:GY1136"/>
    <mergeCell ref="GX1137:GY1137"/>
    <mergeCell ref="GX1138:GY1138"/>
    <mergeCell ref="GX1139:GY1139"/>
    <mergeCell ref="GX1140:GY1140"/>
    <mergeCell ref="GX1141:GY1141"/>
    <mergeCell ref="GX1142:GY1142"/>
    <mergeCell ref="GX1143:GY1143"/>
    <mergeCell ref="GX1144:GY1144"/>
    <mergeCell ref="GX1145:GY1145"/>
    <mergeCell ref="GX1146:GY1146"/>
    <mergeCell ref="GX1147:GY1147"/>
    <mergeCell ref="GX1148:GY1148"/>
    <mergeCell ref="GX1149:GY1149"/>
    <mergeCell ref="GX1150:GY1150"/>
    <mergeCell ref="GX1151:GY1151"/>
    <mergeCell ref="GX1152:GY1152"/>
    <mergeCell ref="GX1153:GY1153"/>
    <mergeCell ref="GX1154:GY1154"/>
    <mergeCell ref="GX1155:GY1155"/>
    <mergeCell ref="GX1156:GY1156"/>
    <mergeCell ref="GX1157:GY1157"/>
    <mergeCell ref="GX1158:GY1158"/>
    <mergeCell ref="GX1159:GY1159"/>
    <mergeCell ref="GX1160:GY1160"/>
    <mergeCell ref="GX1161:GY1161"/>
    <mergeCell ref="GX1162:GY1162"/>
    <mergeCell ref="GX1163:GY1163"/>
    <mergeCell ref="GX1164:GY1164"/>
    <mergeCell ref="GX1165:GY1165"/>
    <mergeCell ref="GX1166:GY1166"/>
    <mergeCell ref="GX1167:GY1167"/>
    <mergeCell ref="GX1168:GY1168"/>
    <mergeCell ref="GX1169:GY1169"/>
    <mergeCell ref="GX1170:GY1170"/>
    <mergeCell ref="GX1171:GY1171"/>
    <mergeCell ref="GX1172:GY1172"/>
    <mergeCell ref="GX1173:GY1173"/>
    <mergeCell ref="GX1174:GY1174"/>
    <mergeCell ref="GX1175:GY1175"/>
    <mergeCell ref="GX1176:GY1176"/>
    <mergeCell ref="GX1177:GY1177"/>
    <mergeCell ref="GX1178:GY1178"/>
    <mergeCell ref="GX1179:GY1179"/>
    <mergeCell ref="GX1180:GY1180"/>
    <mergeCell ref="GX1181:GY1181"/>
    <mergeCell ref="GX1182:GY1182"/>
    <mergeCell ref="GX1183:GY1183"/>
    <mergeCell ref="GX1184:GY1184"/>
    <mergeCell ref="GX1185:GY1185"/>
    <mergeCell ref="GX1186:GY1186"/>
    <mergeCell ref="GX1187:GY1187"/>
    <mergeCell ref="GX1188:GY1188"/>
    <mergeCell ref="GX1189:GY1189"/>
    <mergeCell ref="GX1190:GY1190"/>
    <mergeCell ref="GX1191:GY1191"/>
    <mergeCell ref="GX1192:GY1192"/>
    <mergeCell ref="GX1193:GY1193"/>
    <mergeCell ref="GX1194:GY1194"/>
    <mergeCell ref="GX1195:GY1195"/>
    <mergeCell ref="GX1196:GY1196"/>
    <mergeCell ref="GX1197:GY1197"/>
    <mergeCell ref="GX1198:GY1198"/>
    <mergeCell ref="GX1199:GY1199"/>
    <mergeCell ref="GX1200:GY1200"/>
    <mergeCell ref="GX1201:GY1201"/>
    <mergeCell ref="GX1202:GY1202"/>
    <mergeCell ref="GX1203:GY1203"/>
    <mergeCell ref="GX1204:GY1204"/>
    <mergeCell ref="GX1205:GY1205"/>
    <mergeCell ref="GX1206:GY1206"/>
    <mergeCell ref="GX1207:GY1207"/>
    <mergeCell ref="GX1208:GY1208"/>
    <mergeCell ref="GX1209:GY1209"/>
    <mergeCell ref="GX1210:GY1210"/>
    <mergeCell ref="GX1211:GY1211"/>
    <mergeCell ref="GX1212:GY1212"/>
    <mergeCell ref="GX1213:GY1213"/>
    <mergeCell ref="GX1214:GY1214"/>
    <mergeCell ref="GX1215:GY1215"/>
    <mergeCell ref="GX1216:GY1216"/>
    <mergeCell ref="GX1217:GY1217"/>
    <mergeCell ref="GX1218:GY1218"/>
    <mergeCell ref="GX1219:GY1219"/>
    <mergeCell ref="GX1220:GY1220"/>
    <mergeCell ref="GX1221:GY1221"/>
    <mergeCell ref="GX1222:GY1222"/>
    <mergeCell ref="GX1223:GY1223"/>
    <mergeCell ref="GX1224:GY1224"/>
    <mergeCell ref="GX1225:GY1225"/>
    <mergeCell ref="GX1226:GY1226"/>
    <mergeCell ref="GX1227:GY1227"/>
    <mergeCell ref="GX1228:GY1228"/>
    <mergeCell ref="GX1229:GY1229"/>
    <mergeCell ref="GX1230:GY1230"/>
    <mergeCell ref="GX1231:GY1231"/>
    <mergeCell ref="GX1232:GY1232"/>
    <mergeCell ref="GX1233:GY1233"/>
    <mergeCell ref="GX1234:GY1234"/>
    <mergeCell ref="GX1235:GY1235"/>
    <mergeCell ref="GX1236:GY1236"/>
    <mergeCell ref="GX1237:GY1237"/>
    <mergeCell ref="GX1238:GY1238"/>
    <mergeCell ref="GX1239:GY1239"/>
    <mergeCell ref="GX1240:GY1240"/>
    <mergeCell ref="GX1241:GY1241"/>
    <mergeCell ref="GX1242:GY1242"/>
    <mergeCell ref="GX1243:GY1243"/>
    <mergeCell ref="GX1244:GY1244"/>
    <mergeCell ref="GX1245:GY1245"/>
    <mergeCell ref="GX1246:GY1246"/>
    <mergeCell ref="GX1247:GY1247"/>
    <mergeCell ref="GX1248:GY1248"/>
    <mergeCell ref="GX1249:GY1249"/>
    <mergeCell ref="GX1250:GY1250"/>
    <mergeCell ref="GX1251:GY1251"/>
    <mergeCell ref="GX1252:GY1252"/>
    <mergeCell ref="GX1253:GY1253"/>
    <mergeCell ref="GX1254:GY1254"/>
    <mergeCell ref="GX1255:GY1255"/>
    <mergeCell ref="GX1256:GY1256"/>
    <mergeCell ref="GX1257:GY1257"/>
    <mergeCell ref="GX1258:GY1258"/>
    <mergeCell ref="GX1259:GY1259"/>
    <mergeCell ref="GX1260:GY1260"/>
    <mergeCell ref="GX1261:GY1261"/>
    <mergeCell ref="GX1262:GY1262"/>
    <mergeCell ref="GX1263:GY1263"/>
    <mergeCell ref="GX1264:GY1264"/>
    <mergeCell ref="GX1265:GY1265"/>
    <mergeCell ref="GX1266:GY1266"/>
    <mergeCell ref="GX1267:GY1267"/>
    <mergeCell ref="GX1268:GY1268"/>
    <mergeCell ref="GX1269:GY1269"/>
    <mergeCell ref="GX1270:GY1270"/>
    <mergeCell ref="GX1271:GY1271"/>
    <mergeCell ref="GX1272:GY1272"/>
    <mergeCell ref="GX1273:GY1273"/>
    <mergeCell ref="GX1274:GY1274"/>
    <mergeCell ref="GX1275:GY1275"/>
    <mergeCell ref="GX1276:GY1276"/>
    <mergeCell ref="GX1277:GY1277"/>
    <mergeCell ref="GX1278:GY1278"/>
    <mergeCell ref="GX1279:GY1279"/>
    <mergeCell ref="GX1280:GY1280"/>
    <mergeCell ref="GX1281:GY1281"/>
    <mergeCell ref="GX1282:GY1282"/>
    <mergeCell ref="GX1283:GY1283"/>
    <mergeCell ref="GX1284:GY1284"/>
    <mergeCell ref="GX1285:GY1285"/>
    <mergeCell ref="GX1286:GY1286"/>
    <mergeCell ref="GX1287:GY1287"/>
    <mergeCell ref="GX1288:GY1288"/>
    <mergeCell ref="GX1289:GY1289"/>
    <mergeCell ref="GX1290:GY1290"/>
    <mergeCell ref="GX1291:GY1291"/>
    <mergeCell ref="GX1292:GY1292"/>
    <mergeCell ref="GX1293:GY1293"/>
    <mergeCell ref="GX1294:GY1294"/>
    <mergeCell ref="GX1295:GY1295"/>
    <mergeCell ref="GX1296:GY1296"/>
    <mergeCell ref="GX1297:GY1297"/>
    <mergeCell ref="GX1298:GY1298"/>
    <mergeCell ref="GX1299:GY1299"/>
    <mergeCell ref="GX1300:GY1300"/>
    <mergeCell ref="GX1301:GY1301"/>
    <mergeCell ref="GX1302:GY1302"/>
    <mergeCell ref="GX1303:GY1303"/>
    <mergeCell ref="GX1304:GY1304"/>
    <mergeCell ref="GX1305:GY1305"/>
    <mergeCell ref="GX1306:GY1306"/>
    <mergeCell ref="GX1307:GY1307"/>
    <mergeCell ref="GX1308:GY1308"/>
    <mergeCell ref="GX1309:GY1309"/>
    <mergeCell ref="GX1310:GY1310"/>
    <mergeCell ref="GX1311:GY1311"/>
    <mergeCell ref="GX1312:GY1312"/>
    <mergeCell ref="GX1313:GY1313"/>
    <mergeCell ref="GX1314:GY1314"/>
    <mergeCell ref="GX1315:GY1315"/>
    <mergeCell ref="GX1316:GY1316"/>
    <mergeCell ref="GX1317:GY1317"/>
    <mergeCell ref="GX1318:GY1318"/>
    <mergeCell ref="GX1319:GY1319"/>
    <mergeCell ref="GX1320:GY1320"/>
    <mergeCell ref="GX1321:GY1321"/>
    <mergeCell ref="GX1322:GY1322"/>
    <mergeCell ref="GX1323:GY1323"/>
    <mergeCell ref="GX1324:GY1324"/>
    <mergeCell ref="GX1325:GY1325"/>
    <mergeCell ref="GX1326:GY1326"/>
    <mergeCell ref="GX1327:GY1327"/>
    <mergeCell ref="GX1328:GY1328"/>
    <mergeCell ref="GX1329:GY1329"/>
    <mergeCell ref="GX1330:GY1330"/>
    <mergeCell ref="GX1331:GY1331"/>
    <mergeCell ref="GX1332:GY1332"/>
    <mergeCell ref="GX1333:GY1333"/>
    <mergeCell ref="GX1334:GY1334"/>
    <mergeCell ref="GX1335:GY1335"/>
    <mergeCell ref="GX1336:GY1336"/>
    <mergeCell ref="GX1337:GY1337"/>
    <mergeCell ref="GX1338:GY1338"/>
    <mergeCell ref="GX1339:GY1339"/>
    <mergeCell ref="GX1340:GY1340"/>
    <mergeCell ref="GX1341:GY1341"/>
    <mergeCell ref="GX1342:GY1342"/>
    <mergeCell ref="GX1343:GY1343"/>
    <mergeCell ref="GX1344:GY1344"/>
    <mergeCell ref="GX1345:GY1345"/>
    <mergeCell ref="GX1346:GY1346"/>
    <mergeCell ref="GX1347:GY1347"/>
    <mergeCell ref="GX1348:GY1348"/>
    <mergeCell ref="GX1349:GY1349"/>
    <mergeCell ref="GX1350:GY1350"/>
    <mergeCell ref="GX1351:GY1351"/>
    <mergeCell ref="GX1352:GY1352"/>
    <mergeCell ref="GX1353:GY1353"/>
    <mergeCell ref="GX1354:GY1354"/>
    <mergeCell ref="GX1355:GY1355"/>
    <mergeCell ref="GX1356:GY1356"/>
    <mergeCell ref="GX1357:GY1357"/>
    <mergeCell ref="GX1358:GY1358"/>
    <mergeCell ref="GX1359:GY1359"/>
    <mergeCell ref="GX1360:GY1360"/>
    <mergeCell ref="GX1361:GY1361"/>
    <mergeCell ref="GX1362:GY1362"/>
    <mergeCell ref="GX1363:GY1363"/>
    <mergeCell ref="GX1364:GY1364"/>
    <mergeCell ref="GX1365:GY1365"/>
    <mergeCell ref="GX1366:GY1366"/>
    <mergeCell ref="GX1367:GY1367"/>
    <mergeCell ref="GX1368:GY1368"/>
    <mergeCell ref="GX1369:GY1369"/>
    <mergeCell ref="GX1370:GY1370"/>
    <mergeCell ref="GX1371:GY1371"/>
    <mergeCell ref="GX1372:GY1372"/>
    <mergeCell ref="GX1373:GY1373"/>
    <mergeCell ref="GX1374:GY1374"/>
    <mergeCell ref="GX1375:GY1375"/>
    <mergeCell ref="GX1376:GY1376"/>
    <mergeCell ref="GX1377:GY1377"/>
    <mergeCell ref="GX1378:GY1378"/>
    <mergeCell ref="GX1379:GY1379"/>
    <mergeCell ref="GX1380:GY1380"/>
    <mergeCell ref="GX1381:GY1381"/>
    <mergeCell ref="GX1382:GY1382"/>
    <mergeCell ref="GX1383:GY1383"/>
    <mergeCell ref="GX1384:GY1384"/>
    <mergeCell ref="GX1385:GY1385"/>
    <mergeCell ref="GX1386:GY1386"/>
    <mergeCell ref="GX1387:GY1387"/>
    <mergeCell ref="GX1388:GY1388"/>
    <mergeCell ref="GX1389:GY1389"/>
    <mergeCell ref="GX1390:GY1390"/>
    <mergeCell ref="GX1391:GY1391"/>
    <mergeCell ref="GX1392:GY1392"/>
    <mergeCell ref="GX1393:GY1393"/>
    <mergeCell ref="GX1394:GY1394"/>
    <mergeCell ref="GX1395:GY1395"/>
    <mergeCell ref="GX1396:GY1396"/>
    <mergeCell ref="GX1397:GY1397"/>
    <mergeCell ref="GX1398:GY1398"/>
    <mergeCell ref="GX1399:GY1399"/>
    <mergeCell ref="GX1400:GY1400"/>
    <mergeCell ref="GX1401:GY1401"/>
    <mergeCell ref="GX1402:GY1402"/>
    <mergeCell ref="GX1403:GY1403"/>
    <mergeCell ref="GX1404:GY1404"/>
    <mergeCell ref="GX1405:GY1405"/>
    <mergeCell ref="GX1406:GY1406"/>
    <mergeCell ref="GX1407:GY1407"/>
    <mergeCell ref="GX1408:GY1408"/>
    <mergeCell ref="GX1409:GY1409"/>
    <mergeCell ref="GX1410:GY1410"/>
    <mergeCell ref="GX1411:GY1411"/>
    <mergeCell ref="GX1412:GY1412"/>
    <mergeCell ref="GX1413:GY1413"/>
    <mergeCell ref="GX1414:GY1414"/>
    <mergeCell ref="GX1415:GY1415"/>
    <mergeCell ref="GX1416:GY1416"/>
    <mergeCell ref="GX1417:GY1417"/>
    <mergeCell ref="GX1418:GY1418"/>
    <mergeCell ref="GX1419:GY1419"/>
    <mergeCell ref="GX1420:GY1420"/>
    <mergeCell ref="GX1421:GY1421"/>
    <mergeCell ref="GX1422:GY1422"/>
    <mergeCell ref="GX1423:GY1423"/>
    <mergeCell ref="GX1424:GY1424"/>
    <mergeCell ref="GX1425:GY1425"/>
    <mergeCell ref="GX1426:GY1426"/>
    <mergeCell ref="GX1427:GY1427"/>
    <mergeCell ref="GX1428:GY1428"/>
    <mergeCell ref="GX1429:GY1429"/>
    <mergeCell ref="GX1430:GY1430"/>
    <mergeCell ref="GX1431:GY1431"/>
    <mergeCell ref="GX1432:GY1432"/>
    <mergeCell ref="GX1433:GY1433"/>
    <mergeCell ref="GX1434:GY1434"/>
    <mergeCell ref="GX1435:GY1435"/>
    <mergeCell ref="GX1436:GY1436"/>
    <mergeCell ref="GX1437:GY1437"/>
    <mergeCell ref="GX1438:GY1438"/>
    <mergeCell ref="GX1439:GY1439"/>
    <mergeCell ref="GX1440:GY1440"/>
    <mergeCell ref="GX1441:GY1441"/>
    <mergeCell ref="GX1442:GY1442"/>
    <mergeCell ref="GX1443:GY1443"/>
    <mergeCell ref="GX1444:GY1444"/>
    <mergeCell ref="GX1445:GY1445"/>
    <mergeCell ref="GX1446:GY1446"/>
    <mergeCell ref="GX1447:GY1447"/>
    <mergeCell ref="GX1448:GY1448"/>
    <mergeCell ref="GX1449:GY1449"/>
    <mergeCell ref="GX1450:GY1450"/>
    <mergeCell ref="GX1451:GY1451"/>
    <mergeCell ref="GX1452:GY1452"/>
    <mergeCell ref="GX1453:GY1453"/>
    <mergeCell ref="GX1454:GY1454"/>
    <mergeCell ref="GX1455:GY1455"/>
    <mergeCell ref="GX1456:GY1456"/>
    <mergeCell ref="GX1457:GY1457"/>
    <mergeCell ref="GX1458:GY1458"/>
    <mergeCell ref="GX1459:GY1459"/>
    <mergeCell ref="GX1460:GY1460"/>
    <mergeCell ref="GX1461:GY1461"/>
    <mergeCell ref="GX1462:GY1462"/>
    <mergeCell ref="GX1463:GY1463"/>
    <mergeCell ref="GX1464:GY1464"/>
    <mergeCell ref="GX1465:GY1465"/>
    <mergeCell ref="GX1466:GY1466"/>
    <mergeCell ref="GX1467:GY1467"/>
    <mergeCell ref="GX1468:GY1468"/>
    <mergeCell ref="GX1469:GY1469"/>
    <mergeCell ref="GX1470:GY1470"/>
    <mergeCell ref="GX1471:GY1471"/>
    <mergeCell ref="GX1472:GY1472"/>
    <mergeCell ref="GX1473:GY1473"/>
    <mergeCell ref="GX1474:GY1474"/>
    <mergeCell ref="GX1475:GY1475"/>
    <mergeCell ref="GX1476:GY1476"/>
    <mergeCell ref="GX1477:GY1477"/>
    <mergeCell ref="GX1478:GY1478"/>
    <mergeCell ref="GX1479:GY1479"/>
    <mergeCell ref="GX1480:GY1480"/>
    <mergeCell ref="GX1481:GY1481"/>
    <mergeCell ref="GX1482:GY1482"/>
    <mergeCell ref="GX1483:GY1483"/>
    <mergeCell ref="GX1484:GY1484"/>
    <mergeCell ref="GX1485:GY1485"/>
    <mergeCell ref="GX1486:GY1486"/>
    <mergeCell ref="GX1487:GY1487"/>
    <mergeCell ref="GX1488:GY1488"/>
    <mergeCell ref="GX1489:GY1489"/>
    <mergeCell ref="GX1490:GY1490"/>
    <mergeCell ref="GX1491:GY1491"/>
    <mergeCell ref="GX1492:GY1492"/>
    <mergeCell ref="GX1493:GY1493"/>
    <mergeCell ref="GX1494:GY1494"/>
    <mergeCell ref="GX1495:GY1495"/>
    <mergeCell ref="GX1496:GY1496"/>
    <mergeCell ref="GX1497:GY1497"/>
    <mergeCell ref="GX1498:GY1498"/>
    <mergeCell ref="GX1499:GY1499"/>
    <mergeCell ref="GX1500:GY1500"/>
    <mergeCell ref="GZ789:HA789"/>
    <mergeCell ref="GZ790:HA790"/>
    <mergeCell ref="GZ791:HA791"/>
    <mergeCell ref="GZ792:HA792"/>
    <mergeCell ref="GZ793:HA793"/>
    <mergeCell ref="GZ794:HA794"/>
    <mergeCell ref="GZ795:HA795"/>
    <mergeCell ref="GZ796:HA796"/>
    <mergeCell ref="GZ797:HA797"/>
    <mergeCell ref="GZ798:HA798"/>
    <mergeCell ref="GZ799:HA799"/>
    <mergeCell ref="GZ800:HA800"/>
    <mergeCell ref="GZ801:HA801"/>
    <mergeCell ref="GZ802:HA802"/>
    <mergeCell ref="GZ803:HA803"/>
    <mergeCell ref="GZ804:HA804"/>
    <mergeCell ref="GZ805:HA805"/>
    <mergeCell ref="GZ806:HA806"/>
    <mergeCell ref="GZ807:HA807"/>
    <mergeCell ref="GZ808:HA808"/>
    <mergeCell ref="GZ809:HA809"/>
    <mergeCell ref="GZ810:HA810"/>
    <mergeCell ref="GZ811:HA811"/>
    <mergeCell ref="GZ812:HA812"/>
    <mergeCell ref="GZ813:HA813"/>
    <mergeCell ref="GZ814:HA814"/>
    <mergeCell ref="GZ815:HA815"/>
    <mergeCell ref="GZ816:HA816"/>
    <mergeCell ref="GZ817:HA817"/>
    <mergeCell ref="GZ818:HA818"/>
    <mergeCell ref="GZ819:HA819"/>
    <mergeCell ref="GZ820:HA820"/>
    <mergeCell ref="GZ821:HA821"/>
    <mergeCell ref="GZ822:HA822"/>
    <mergeCell ref="GZ823:HA823"/>
    <mergeCell ref="GZ824:HA824"/>
    <mergeCell ref="GZ825:HA825"/>
    <mergeCell ref="GZ826:HA826"/>
    <mergeCell ref="GZ827:HA827"/>
    <mergeCell ref="GZ828:HA828"/>
    <mergeCell ref="GZ829:HA829"/>
    <mergeCell ref="GZ830:HA830"/>
    <mergeCell ref="GZ831:HA831"/>
    <mergeCell ref="GZ832:HA832"/>
    <mergeCell ref="GZ833:HA833"/>
    <mergeCell ref="GZ834:HA834"/>
    <mergeCell ref="GZ835:HA835"/>
    <mergeCell ref="GZ836:HA836"/>
    <mergeCell ref="GZ837:HA837"/>
    <mergeCell ref="GZ838:HA838"/>
    <mergeCell ref="GZ839:HA839"/>
    <mergeCell ref="GZ840:HA840"/>
    <mergeCell ref="GZ841:HA841"/>
    <mergeCell ref="GZ842:HA842"/>
    <mergeCell ref="GZ843:HA843"/>
    <mergeCell ref="GZ844:HA844"/>
    <mergeCell ref="GZ845:HA845"/>
    <mergeCell ref="GZ846:HA846"/>
    <mergeCell ref="GZ847:HA847"/>
    <mergeCell ref="GZ848:HA848"/>
    <mergeCell ref="GZ849:HA849"/>
    <mergeCell ref="GZ850:HA850"/>
    <mergeCell ref="GZ851:HA851"/>
    <mergeCell ref="GZ852:HA852"/>
    <mergeCell ref="GZ853:HA853"/>
    <mergeCell ref="GZ854:HA854"/>
    <mergeCell ref="GZ855:HA855"/>
    <mergeCell ref="GZ856:HA856"/>
    <mergeCell ref="GZ857:HA857"/>
    <mergeCell ref="GZ858:HA858"/>
    <mergeCell ref="GZ859:HA859"/>
    <mergeCell ref="GZ860:HA860"/>
    <mergeCell ref="GZ861:HA861"/>
    <mergeCell ref="GZ862:HA862"/>
    <mergeCell ref="GZ863:HA863"/>
    <mergeCell ref="GZ864:HA864"/>
    <mergeCell ref="GZ865:HA865"/>
    <mergeCell ref="GZ866:HA866"/>
    <mergeCell ref="GZ867:HA867"/>
    <mergeCell ref="GZ868:HA868"/>
    <mergeCell ref="GZ869:HA869"/>
    <mergeCell ref="GZ870:HA870"/>
    <mergeCell ref="GZ871:HA871"/>
    <mergeCell ref="GZ872:HA872"/>
    <mergeCell ref="GZ873:HA873"/>
    <mergeCell ref="GZ874:HA874"/>
    <mergeCell ref="GZ875:HA875"/>
    <mergeCell ref="GZ876:HA876"/>
    <mergeCell ref="GZ877:HA877"/>
    <mergeCell ref="GZ878:HA878"/>
    <mergeCell ref="GZ879:HA879"/>
    <mergeCell ref="GZ880:HA880"/>
    <mergeCell ref="GZ881:HA881"/>
    <mergeCell ref="GZ882:HA882"/>
    <mergeCell ref="GZ883:HA883"/>
    <mergeCell ref="GZ884:HA884"/>
    <mergeCell ref="GZ885:HA885"/>
    <mergeCell ref="GZ886:HA886"/>
    <mergeCell ref="GZ887:HA887"/>
    <mergeCell ref="GZ888:HA888"/>
    <mergeCell ref="GZ889:HA889"/>
    <mergeCell ref="GZ890:HA890"/>
    <mergeCell ref="GZ891:HA891"/>
    <mergeCell ref="GZ892:HA892"/>
    <mergeCell ref="GZ893:HA893"/>
    <mergeCell ref="GZ894:HA894"/>
    <mergeCell ref="GZ895:HA895"/>
    <mergeCell ref="GZ896:HA896"/>
    <mergeCell ref="GZ897:HA897"/>
    <mergeCell ref="GZ898:HA898"/>
    <mergeCell ref="GZ899:HA899"/>
    <mergeCell ref="GZ900:HA900"/>
    <mergeCell ref="GZ901:HA901"/>
    <mergeCell ref="GZ902:HA902"/>
    <mergeCell ref="GZ903:HA903"/>
    <mergeCell ref="GZ904:HA904"/>
    <mergeCell ref="GZ905:HA905"/>
    <mergeCell ref="GZ906:HA906"/>
    <mergeCell ref="GZ907:HA907"/>
    <mergeCell ref="GZ908:HA908"/>
    <mergeCell ref="GZ909:HA909"/>
    <mergeCell ref="GZ910:HA910"/>
    <mergeCell ref="GZ911:HA911"/>
    <mergeCell ref="GZ912:HA912"/>
    <mergeCell ref="GZ913:HA913"/>
    <mergeCell ref="GZ914:HA914"/>
    <mergeCell ref="GZ915:HA915"/>
    <mergeCell ref="GZ916:HA916"/>
    <mergeCell ref="GZ917:HA917"/>
    <mergeCell ref="GZ918:HA918"/>
    <mergeCell ref="GZ919:HA919"/>
    <mergeCell ref="GZ920:HA920"/>
    <mergeCell ref="GZ921:HA921"/>
    <mergeCell ref="GZ922:HA922"/>
    <mergeCell ref="GZ923:HA923"/>
    <mergeCell ref="GZ924:HA924"/>
    <mergeCell ref="GZ925:HA925"/>
    <mergeCell ref="GZ926:HA926"/>
    <mergeCell ref="GZ927:HA927"/>
    <mergeCell ref="GZ928:HA928"/>
    <mergeCell ref="GZ929:HA929"/>
    <mergeCell ref="GZ930:HA930"/>
    <mergeCell ref="GZ931:HA931"/>
    <mergeCell ref="GZ932:HA932"/>
    <mergeCell ref="GZ933:HA933"/>
    <mergeCell ref="GZ934:HA934"/>
    <mergeCell ref="GZ935:HA935"/>
    <mergeCell ref="GZ936:HA936"/>
    <mergeCell ref="GZ937:HA937"/>
    <mergeCell ref="GZ938:HA938"/>
    <mergeCell ref="GZ939:HA939"/>
    <mergeCell ref="GZ940:HA940"/>
    <mergeCell ref="GZ941:HA941"/>
    <mergeCell ref="GZ942:HA942"/>
    <mergeCell ref="GZ943:HA943"/>
    <mergeCell ref="GZ944:HA944"/>
    <mergeCell ref="GZ945:HA945"/>
    <mergeCell ref="GZ946:HA946"/>
    <mergeCell ref="GZ947:HA947"/>
    <mergeCell ref="GZ948:HA948"/>
    <mergeCell ref="GZ949:HA949"/>
    <mergeCell ref="GZ950:HA950"/>
    <mergeCell ref="GZ951:HA951"/>
    <mergeCell ref="GZ952:HA952"/>
    <mergeCell ref="GZ953:HA953"/>
    <mergeCell ref="GZ954:HA954"/>
    <mergeCell ref="GZ955:HA955"/>
    <mergeCell ref="GZ956:HA956"/>
    <mergeCell ref="GZ957:HA957"/>
    <mergeCell ref="GZ958:HA958"/>
    <mergeCell ref="GZ959:HA959"/>
    <mergeCell ref="GZ960:HA960"/>
    <mergeCell ref="GZ961:HA961"/>
    <mergeCell ref="GZ962:HA962"/>
    <mergeCell ref="GZ963:HA963"/>
    <mergeCell ref="GZ964:HA964"/>
    <mergeCell ref="GZ965:HA965"/>
    <mergeCell ref="GZ966:HA966"/>
    <mergeCell ref="GZ967:HA967"/>
    <mergeCell ref="GZ968:HA968"/>
    <mergeCell ref="GZ969:HA969"/>
    <mergeCell ref="GZ970:HA970"/>
    <mergeCell ref="GZ971:HA971"/>
    <mergeCell ref="GZ972:HA972"/>
    <mergeCell ref="GZ973:HA973"/>
    <mergeCell ref="GZ974:HA974"/>
    <mergeCell ref="GZ975:HA975"/>
    <mergeCell ref="GZ976:HA976"/>
    <mergeCell ref="GZ977:HA977"/>
    <mergeCell ref="GZ978:HA978"/>
    <mergeCell ref="GZ979:HA979"/>
    <mergeCell ref="GZ980:HA980"/>
    <mergeCell ref="GZ981:HA981"/>
    <mergeCell ref="GZ982:HA982"/>
    <mergeCell ref="GZ983:HA983"/>
    <mergeCell ref="GZ984:HA984"/>
    <mergeCell ref="GZ985:HA985"/>
    <mergeCell ref="GZ986:HA986"/>
    <mergeCell ref="GZ987:HA987"/>
    <mergeCell ref="GZ988:HA988"/>
    <mergeCell ref="GZ989:HA989"/>
    <mergeCell ref="GZ990:HA990"/>
    <mergeCell ref="GZ991:HA991"/>
    <mergeCell ref="GZ992:HA992"/>
    <mergeCell ref="GZ993:HA993"/>
    <mergeCell ref="GZ994:HA994"/>
    <mergeCell ref="GZ995:HA995"/>
    <mergeCell ref="GZ996:HA996"/>
    <mergeCell ref="GZ997:HA997"/>
    <mergeCell ref="GZ998:HA998"/>
    <mergeCell ref="GZ999:HA999"/>
    <mergeCell ref="GZ1000:HA1000"/>
    <mergeCell ref="GZ1001:HA1001"/>
    <mergeCell ref="GZ1002:HA1002"/>
    <mergeCell ref="GZ1003:HA1003"/>
    <mergeCell ref="GZ1004:HA1004"/>
    <mergeCell ref="GZ1005:HA1005"/>
    <mergeCell ref="GZ1006:HA1006"/>
    <mergeCell ref="GZ1007:HA1007"/>
    <mergeCell ref="GZ1008:HA1008"/>
    <mergeCell ref="GZ1009:HA1009"/>
    <mergeCell ref="GZ1010:HA1010"/>
    <mergeCell ref="GZ1011:HA1011"/>
    <mergeCell ref="GZ1012:HA1012"/>
    <mergeCell ref="GZ1013:HA1013"/>
    <mergeCell ref="GZ1014:HA1014"/>
    <mergeCell ref="GZ1015:HA1015"/>
    <mergeCell ref="GZ1016:HA1016"/>
    <mergeCell ref="GZ1017:HA1017"/>
    <mergeCell ref="GZ1018:HA1018"/>
    <mergeCell ref="GZ1019:HA1019"/>
    <mergeCell ref="GZ1020:HA1020"/>
    <mergeCell ref="GZ1021:HA1021"/>
    <mergeCell ref="GZ1022:HA1022"/>
    <mergeCell ref="GZ1023:HA1023"/>
    <mergeCell ref="GZ1024:HA1024"/>
    <mergeCell ref="GZ1025:HA1025"/>
    <mergeCell ref="GZ1026:HA1026"/>
    <mergeCell ref="GZ1027:HA1027"/>
    <mergeCell ref="GZ1028:HA1028"/>
    <mergeCell ref="GZ1029:HA1029"/>
    <mergeCell ref="GZ1030:HA1030"/>
    <mergeCell ref="GZ1031:HA1031"/>
    <mergeCell ref="GZ1032:HA1032"/>
    <mergeCell ref="GZ1033:HA1033"/>
    <mergeCell ref="GZ1034:HA1034"/>
    <mergeCell ref="GZ1035:HA1035"/>
    <mergeCell ref="GZ1036:HA1036"/>
    <mergeCell ref="GZ1037:HA1037"/>
    <mergeCell ref="GZ1038:HA1038"/>
    <mergeCell ref="GZ1039:HA1039"/>
    <mergeCell ref="GZ1040:HA1040"/>
    <mergeCell ref="GZ1041:HA1041"/>
    <mergeCell ref="GZ1042:HA1042"/>
    <mergeCell ref="GZ1043:HA1043"/>
    <mergeCell ref="GZ1044:HA1044"/>
    <mergeCell ref="GZ1045:HA1045"/>
    <mergeCell ref="GZ1046:HA1046"/>
    <mergeCell ref="GZ1047:HA1047"/>
    <mergeCell ref="GZ1048:HA1048"/>
    <mergeCell ref="GZ1049:HA1049"/>
    <mergeCell ref="GZ1050:HA1050"/>
    <mergeCell ref="GZ1051:HA1051"/>
    <mergeCell ref="GZ1052:HA1052"/>
    <mergeCell ref="GZ1053:HA1053"/>
    <mergeCell ref="GZ1054:HA1054"/>
    <mergeCell ref="GZ1055:HA1055"/>
    <mergeCell ref="GZ1056:HA1056"/>
    <mergeCell ref="GZ1057:HA1057"/>
    <mergeCell ref="GZ1058:HA1058"/>
    <mergeCell ref="GZ1059:HA1059"/>
    <mergeCell ref="GZ1060:HA1060"/>
    <mergeCell ref="GZ1061:HA1061"/>
    <mergeCell ref="GZ1062:HA1062"/>
    <mergeCell ref="GZ1063:HA1063"/>
    <mergeCell ref="GZ1064:HA1064"/>
    <mergeCell ref="GZ1065:HA1065"/>
    <mergeCell ref="GZ1066:HA1066"/>
    <mergeCell ref="GZ1067:HA1067"/>
    <mergeCell ref="GZ1068:HA1068"/>
    <mergeCell ref="GZ1069:HA1069"/>
    <mergeCell ref="GZ1070:HA1070"/>
    <mergeCell ref="GZ1071:HA1071"/>
    <mergeCell ref="GZ1072:HA1072"/>
    <mergeCell ref="GZ1073:HA1073"/>
    <mergeCell ref="GZ1074:HA1074"/>
    <mergeCell ref="GZ1075:HA1075"/>
    <mergeCell ref="GZ1076:HA1076"/>
    <mergeCell ref="GZ1077:HA1077"/>
    <mergeCell ref="GZ1078:HA1078"/>
    <mergeCell ref="GZ1079:HA1079"/>
    <mergeCell ref="GZ1080:HA1080"/>
    <mergeCell ref="GZ1081:HA1081"/>
    <mergeCell ref="GZ1082:HA1082"/>
    <mergeCell ref="GZ1083:HA1083"/>
    <mergeCell ref="GZ1084:HA1084"/>
    <mergeCell ref="GZ1085:HA1085"/>
    <mergeCell ref="GZ1086:HA1086"/>
    <mergeCell ref="GZ1087:HA1087"/>
    <mergeCell ref="GZ1088:HA1088"/>
    <mergeCell ref="GZ1089:HA1089"/>
    <mergeCell ref="GZ1090:HA1090"/>
    <mergeCell ref="GZ1091:HA1091"/>
    <mergeCell ref="GZ1092:HA1092"/>
    <mergeCell ref="GZ1093:HA1093"/>
    <mergeCell ref="GZ1094:HA1094"/>
    <mergeCell ref="GZ1095:HA1095"/>
    <mergeCell ref="GZ1096:HA1096"/>
    <mergeCell ref="GZ1097:HA1097"/>
    <mergeCell ref="GZ1098:HA1098"/>
    <mergeCell ref="GZ1099:HA1099"/>
    <mergeCell ref="GZ1100:HA1100"/>
    <mergeCell ref="GZ1101:HA1101"/>
    <mergeCell ref="GZ1102:HA1102"/>
    <mergeCell ref="GZ1103:HA1103"/>
    <mergeCell ref="GZ1104:HA1104"/>
    <mergeCell ref="GZ1105:HA1105"/>
    <mergeCell ref="GZ1106:HA1106"/>
    <mergeCell ref="GZ1107:HA1107"/>
    <mergeCell ref="GZ1108:HA1108"/>
    <mergeCell ref="GZ1109:HA1109"/>
    <mergeCell ref="GZ1110:HA1110"/>
    <mergeCell ref="GZ1111:HA1111"/>
    <mergeCell ref="GZ1112:HA1112"/>
    <mergeCell ref="GZ1113:HA1113"/>
    <mergeCell ref="GZ1114:HA1114"/>
    <mergeCell ref="GZ1115:HA1115"/>
    <mergeCell ref="GZ1116:HA1116"/>
    <mergeCell ref="GZ1117:HA1117"/>
    <mergeCell ref="GZ1118:HA1118"/>
    <mergeCell ref="GZ1119:HA1119"/>
    <mergeCell ref="GZ1120:HA1120"/>
    <mergeCell ref="GZ1121:HA1121"/>
    <mergeCell ref="GZ1122:HA1122"/>
    <mergeCell ref="GZ1123:HA1123"/>
    <mergeCell ref="GZ1124:HA1124"/>
    <mergeCell ref="GZ1125:HA1125"/>
    <mergeCell ref="GZ1126:HA1126"/>
    <mergeCell ref="GZ1127:HA1127"/>
    <mergeCell ref="GZ1128:HA1128"/>
    <mergeCell ref="GZ1129:HA1129"/>
    <mergeCell ref="GZ1130:HA1130"/>
    <mergeCell ref="GZ1131:HA1131"/>
    <mergeCell ref="GZ1132:HA1132"/>
    <mergeCell ref="GZ1133:HA1133"/>
    <mergeCell ref="GZ1134:HA1134"/>
    <mergeCell ref="GZ1135:HA1135"/>
    <mergeCell ref="GZ1136:HA1136"/>
    <mergeCell ref="GZ1137:HA1137"/>
    <mergeCell ref="GZ1138:HA1138"/>
    <mergeCell ref="GZ1139:HA1139"/>
    <mergeCell ref="GZ1140:HA1140"/>
    <mergeCell ref="GZ1141:HA1141"/>
    <mergeCell ref="GZ1142:HA1142"/>
    <mergeCell ref="GZ1143:HA1143"/>
    <mergeCell ref="GZ1144:HA1144"/>
    <mergeCell ref="GZ1145:HA1145"/>
    <mergeCell ref="GZ1146:HA1146"/>
    <mergeCell ref="GZ1147:HA1147"/>
    <mergeCell ref="GZ1148:HA1148"/>
    <mergeCell ref="GZ1149:HA1149"/>
    <mergeCell ref="GZ1150:HA1150"/>
    <mergeCell ref="GZ1151:HA1151"/>
    <mergeCell ref="GZ1152:HA1152"/>
    <mergeCell ref="GZ1153:HA1153"/>
    <mergeCell ref="GZ1154:HA1154"/>
    <mergeCell ref="GZ1155:HA1155"/>
    <mergeCell ref="GZ1156:HA1156"/>
    <mergeCell ref="GZ1157:HA1157"/>
    <mergeCell ref="GZ1158:HA1158"/>
    <mergeCell ref="GZ1159:HA1159"/>
    <mergeCell ref="GZ1160:HA1160"/>
    <mergeCell ref="GZ1161:HA1161"/>
    <mergeCell ref="GZ1162:HA1162"/>
    <mergeCell ref="GZ1163:HA1163"/>
    <mergeCell ref="GZ1164:HA1164"/>
    <mergeCell ref="GZ1165:HA1165"/>
    <mergeCell ref="GZ1166:HA1166"/>
    <mergeCell ref="GZ1167:HA1167"/>
    <mergeCell ref="GZ1168:HA1168"/>
    <mergeCell ref="GZ1169:HA1169"/>
    <mergeCell ref="GZ1170:HA1170"/>
    <mergeCell ref="GZ1171:HA1171"/>
    <mergeCell ref="GZ1172:HA1172"/>
    <mergeCell ref="GZ1173:HA1173"/>
    <mergeCell ref="GZ1174:HA1174"/>
    <mergeCell ref="GZ1175:HA1175"/>
    <mergeCell ref="GZ1176:HA1176"/>
    <mergeCell ref="GZ1177:HA1177"/>
    <mergeCell ref="GZ1178:HA1178"/>
    <mergeCell ref="GZ1179:HA1179"/>
    <mergeCell ref="GZ1180:HA1180"/>
    <mergeCell ref="GZ1181:HA1181"/>
    <mergeCell ref="GZ1182:HA1182"/>
    <mergeCell ref="GZ1183:HA1183"/>
    <mergeCell ref="GZ1184:HA1184"/>
    <mergeCell ref="GZ1185:HA1185"/>
    <mergeCell ref="GZ1186:HA1186"/>
    <mergeCell ref="GZ1187:HA1187"/>
    <mergeCell ref="GZ1188:HA1188"/>
    <mergeCell ref="GZ1189:HA1189"/>
    <mergeCell ref="GZ1190:HA1190"/>
    <mergeCell ref="GZ1191:HA1191"/>
    <mergeCell ref="GZ1192:HA1192"/>
    <mergeCell ref="GZ1193:HA1193"/>
    <mergeCell ref="GZ1194:HA1194"/>
    <mergeCell ref="GZ1195:HA1195"/>
    <mergeCell ref="GZ1196:HA1196"/>
    <mergeCell ref="GZ1197:HA1197"/>
    <mergeCell ref="GZ1198:HA1198"/>
    <mergeCell ref="GZ1199:HA1199"/>
    <mergeCell ref="GZ1200:HA1200"/>
    <mergeCell ref="GZ1201:HA1201"/>
    <mergeCell ref="GZ1202:HA1202"/>
    <mergeCell ref="GZ1203:HA1203"/>
    <mergeCell ref="GZ1204:HA1204"/>
    <mergeCell ref="GZ1205:HA1205"/>
    <mergeCell ref="GZ1206:HA1206"/>
    <mergeCell ref="GZ1207:HA1207"/>
    <mergeCell ref="GZ1208:HA1208"/>
    <mergeCell ref="GZ1209:HA1209"/>
    <mergeCell ref="GZ1210:HA1210"/>
    <mergeCell ref="GZ1211:HA1211"/>
    <mergeCell ref="GZ1212:HA1212"/>
    <mergeCell ref="GZ1213:HA1213"/>
    <mergeCell ref="GZ1214:HA1214"/>
    <mergeCell ref="GZ1215:HA1215"/>
    <mergeCell ref="GZ1216:HA1216"/>
    <mergeCell ref="GZ1217:HA1217"/>
    <mergeCell ref="GZ1218:HA1218"/>
    <mergeCell ref="GZ1219:HA1219"/>
    <mergeCell ref="GZ1220:HA1220"/>
    <mergeCell ref="GZ1221:HA1221"/>
    <mergeCell ref="GZ1222:HA1222"/>
    <mergeCell ref="GZ1223:HA1223"/>
    <mergeCell ref="GZ1224:HA1224"/>
    <mergeCell ref="GZ1225:HA1225"/>
    <mergeCell ref="GZ1226:HA1226"/>
    <mergeCell ref="GZ1227:HA1227"/>
    <mergeCell ref="GZ1228:HA1228"/>
    <mergeCell ref="GZ1229:HA1229"/>
    <mergeCell ref="GZ1230:HA1230"/>
    <mergeCell ref="GZ1231:HA1231"/>
    <mergeCell ref="GZ1232:HA1232"/>
    <mergeCell ref="GZ1233:HA1233"/>
    <mergeCell ref="GZ1234:HA1234"/>
    <mergeCell ref="GZ1235:HA1235"/>
    <mergeCell ref="GZ1236:HA1236"/>
    <mergeCell ref="GZ1237:HA1237"/>
    <mergeCell ref="GZ1238:HA1238"/>
    <mergeCell ref="GZ1239:HA1239"/>
    <mergeCell ref="GZ1240:HA1240"/>
    <mergeCell ref="GZ1241:HA1241"/>
    <mergeCell ref="GZ1242:HA1242"/>
    <mergeCell ref="GZ1243:HA1243"/>
    <mergeCell ref="GZ1244:HA1244"/>
    <mergeCell ref="GZ1245:HA1245"/>
    <mergeCell ref="GZ1246:HA1246"/>
    <mergeCell ref="GZ1247:HA1247"/>
    <mergeCell ref="GZ1248:HA1248"/>
    <mergeCell ref="GZ1249:HA1249"/>
    <mergeCell ref="GZ1250:HA1250"/>
    <mergeCell ref="GZ1251:HA1251"/>
    <mergeCell ref="GZ1252:HA1252"/>
    <mergeCell ref="GZ1253:HA1253"/>
    <mergeCell ref="GZ1254:HA1254"/>
    <mergeCell ref="GZ1255:HA1255"/>
    <mergeCell ref="GZ1256:HA1256"/>
    <mergeCell ref="GZ1257:HA1257"/>
    <mergeCell ref="GZ1258:HA1258"/>
    <mergeCell ref="GZ1259:HA1259"/>
    <mergeCell ref="GZ1260:HA1260"/>
    <mergeCell ref="GZ1261:HA1261"/>
    <mergeCell ref="GZ1262:HA1262"/>
    <mergeCell ref="GZ1263:HA1263"/>
    <mergeCell ref="GZ1264:HA1264"/>
    <mergeCell ref="GZ1265:HA1265"/>
    <mergeCell ref="GZ1266:HA1266"/>
    <mergeCell ref="GZ1267:HA1267"/>
    <mergeCell ref="GZ1268:HA1268"/>
    <mergeCell ref="GZ1269:HA1269"/>
    <mergeCell ref="GZ1270:HA1270"/>
    <mergeCell ref="GZ1271:HA1271"/>
    <mergeCell ref="GZ1272:HA1272"/>
    <mergeCell ref="GZ1273:HA1273"/>
    <mergeCell ref="GZ1274:HA1274"/>
    <mergeCell ref="GZ1275:HA1275"/>
    <mergeCell ref="GZ1276:HA1276"/>
    <mergeCell ref="GZ1277:HA1277"/>
    <mergeCell ref="GZ1278:HA1278"/>
    <mergeCell ref="GZ1279:HA1279"/>
    <mergeCell ref="GZ1280:HA1280"/>
    <mergeCell ref="GZ1281:HA1281"/>
    <mergeCell ref="GZ1282:HA1282"/>
    <mergeCell ref="GZ1283:HA1283"/>
    <mergeCell ref="GZ1284:HA1284"/>
    <mergeCell ref="GZ1285:HA1285"/>
    <mergeCell ref="GZ1286:HA1286"/>
    <mergeCell ref="GZ1287:HA1287"/>
    <mergeCell ref="GZ1288:HA1288"/>
    <mergeCell ref="GZ1289:HA1289"/>
    <mergeCell ref="GZ1290:HA1290"/>
    <mergeCell ref="GZ1291:HA1291"/>
    <mergeCell ref="GZ1292:HA1292"/>
    <mergeCell ref="GZ1293:HA1293"/>
    <mergeCell ref="GZ1294:HA1294"/>
    <mergeCell ref="GZ1295:HA1295"/>
    <mergeCell ref="GZ1296:HA1296"/>
    <mergeCell ref="GZ1297:HA1297"/>
    <mergeCell ref="GZ1298:HA1298"/>
    <mergeCell ref="GZ1299:HA1299"/>
    <mergeCell ref="GZ1300:HA1300"/>
    <mergeCell ref="GZ1301:HA1301"/>
    <mergeCell ref="GZ1302:HA1302"/>
    <mergeCell ref="GZ1303:HA1303"/>
    <mergeCell ref="GZ1304:HA1304"/>
    <mergeCell ref="GZ1305:HA1305"/>
    <mergeCell ref="GZ1306:HA1306"/>
    <mergeCell ref="GZ1307:HA1307"/>
    <mergeCell ref="GZ1308:HA1308"/>
    <mergeCell ref="GZ1309:HA1309"/>
    <mergeCell ref="GZ1310:HA1310"/>
    <mergeCell ref="GZ1311:HA1311"/>
    <mergeCell ref="GZ1312:HA1312"/>
    <mergeCell ref="GZ1313:HA1313"/>
    <mergeCell ref="GZ1314:HA1314"/>
    <mergeCell ref="GZ1315:HA1315"/>
    <mergeCell ref="GZ1316:HA1316"/>
    <mergeCell ref="GZ1317:HA1317"/>
    <mergeCell ref="GZ1318:HA1318"/>
    <mergeCell ref="GZ1319:HA1319"/>
    <mergeCell ref="GZ1320:HA1320"/>
    <mergeCell ref="GZ1321:HA1321"/>
    <mergeCell ref="GZ1322:HA1322"/>
    <mergeCell ref="GZ1323:HA1323"/>
    <mergeCell ref="GZ1324:HA1324"/>
    <mergeCell ref="GZ1325:HA1325"/>
    <mergeCell ref="GZ1326:HA1326"/>
    <mergeCell ref="GZ1327:HA1327"/>
    <mergeCell ref="GZ1328:HA1328"/>
    <mergeCell ref="GZ1329:HA1329"/>
    <mergeCell ref="GZ1330:HA1330"/>
    <mergeCell ref="GZ1331:HA1331"/>
    <mergeCell ref="GZ1332:HA1332"/>
    <mergeCell ref="GZ1333:HA1333"/>
    <mergeCell ref="GZ1334:HA1334"/>
    <mergeCell ref="GZ1335:HA1335"/>
    <mergeCell ref="GZ1336:HA1336"/>
    <mergeCell ref="GZ1337:HA1337"/>
    <mergeCell ref="GZ1338:HA1338"/>
    <mergeCell ref="GZ1339:HA1339"/>
    <mergeCell ref="GZ1340:HA1340"/>
    <mergeCell ref="GZ1341:HA1341"/>
    <mergeCell ref="GZ1342:HA1342"/>
    <mergeCell ref="GZ1343:HA1343"/>
    <mergeCell ref="GZ1344:HA1344"/>
    <mergeCell ref="GZ1345:HA1345"/>
    <mergeCell ref="GZ1346:HA1346"/>
    <mergeCell ref="GZ1347:HA1347"/>
    <mergeCell ref="GZ1348:HA1348"/>
    <mergeCell ref="GZ1349:HA1349"/>
    <mergeCell ref="GZ1350:HA1350"/>
    <mergeCell ref="GZ1351:HA1351"/>
    <mergeCell ref="GZ1352:HA1352"/>
    <mergeCell ref="GZ1353:HA1353"/>
    <mergeCell ref="GZ1354:HA1354"/>
    <mergeCell ref="GZ1355:HA1355"/>
    <mergeCell ref="GZ1356:HA1356"/>
    <mergeCell ref="GZ1357:HA1357"/>
    <mergeCell ref="GZ1358:HA1358"/>
    <mergeCell ref="GZ1359:HA1359"/>
    <mergeCell ref="GZ1360:HA1360"/>
    <mergeCell ref="GZ1361:HA1361"/>
    <mergeCell ref="GZ1362:HA1362"/>
    <mergeCell ref="GZ1363:HA1363"/>
    <mergeCell ref="GZ1364:HA1364"/>
    <mergeCell ref="GZ1365:HA1365"/>
    <mergeCell ref="GZ1366:HA1366"/>
    <mergeCell ref="GZ1367:HA1367"/>
    <mergeCell ref="GZ1368:HA1368"/>
    <mergeCell ref="GZ1369:HA1369"/>
    <mergeCell ref="GZ1370:HA1370"/>
    <mergeCell ref="GZ1371:HA1371"/>
    <mergeCell ref="GZ1372:HA1372"/>
    <mergeCell ref="GZ1373:HA1373"/>
    <mergeCell ref="GZ1374:HA1374"/>
    <mergeCell ref="GZ1375:HA1375"/>
    <mergeCell ref="GZ1376:HA1376"/>
    <mergeCell ref="GZ1377:HA1377"/>
    <mergeCell ref="GZ1378:HA1378"/>
    <mergeCell ref="GZ1379:HA1379"/>
    <mergeCell ref="GZ1380:HA1380"/>
    <mergeCell ref="GZ1381:HA1381"/>
    <mergeCell ref="GZ1382:HA1382"/>
    <mergeCell ref="GZ1383:HA1383"/>
    <mergeCell ref="GZ1384:HA1384"/>
    <mergeCell ref="GZ1385:HA1385"/>
    <mergeCell ref="GZ1386:HA1386"/>
    <mergeCell ref="GZ1387:HA1387"/>
    <mergeCell ref="GZ1388:HA1388"/>
    <mergeCell ref="GZ1389:HA1389"/>
    <mergeCell ref="GZ1390:HA1390"/>
    <mergeCell ref="GZ1391:HA1391"/>
    <mergeCell ref="GZ1392:HA1392"/>
    <mergeCell ref="GZ1393:HA1393"/>
    <mergeCell ref="GZ1394:HA1394"/>
    <mergeCell ref="GZ1395:HA1395"/>
    <mergeCell ref="GZ1396:HA1396"/>
    <mergeCell ref="GZ1397:HA1397"/>
    <mergeCell ref="GZ1398:HA1398"/>
    <mergeCell ref="GZ1399:HA1399"/>
    <mergeCell ref="GZ1400:HA1400"/>
    <mergeCell ref="GZ1401:HA1401"/>
    <mergeCell ref="GZ1402:HA1402"/>
    <mergeCell ref="GZ1403:HA1403"/>
    <mergeCell ref="GZ1404:HA1404"/>
    <mergeCell ref="GZ1405:HA1405"/>
    <mergeCell ref="GZ1406:HA1406"/>
    <mergeCell ref="GZ1407:HA1407"/>
    <mergeCell ref="GZ1408:HA1408"/>
    <mergeCell ref="GZ1409:HA1409"/>
    <mergeCell ref="GZ1410:HA1410"/>
    <mergeCell ref="GZ1411:HA1411"/>
    <mergeCell ref="GZ1412:HA1412"/>
    <mergeCell ref="GZ1413:HA1413"/>
    <mergeCell ref="GZ1414:HA1414"/>
    <mergeCell ref="GZ1415:HA1415"/>
    <mergeCell ref="GZ1416:HA1416"/>
    <mergeCell ref="GZ1417:HA1417"/>
    <mergeCell ref="GZ1418:HA1418"/>
    <mergeCell ref="GZ1419:HA1419"/>
    <mergeCell ref="GZ1420:HA1420"/>
    <mergeCell ref="GZ1421:HA1421"/>
    <mergeCell ref="GZ1422:HA1422"/>
    <mergeCell ref="GZ1423:HA1423"/>
    <mergeCell ref="GZ1424:HA1424"/>
    <mergeCell ref="GZ1425:HA1425"/>
    <mergeCell ref="GZ1426:HA1426"/>
    <mergeCell ref="GZ1427:HA1427"/>
    <mergeCell ref="GZ1428:HA1428"/>
    <mergeCell ref="GZ1429:HA1429"/>
    <mergeCell ref="GZ1430:HA1430"/>
    <mergeCell ref="GZ1431:HA1431"/>
    <mergeCell ref="GZ1432:HA1432"/>
    <mergeCell ref="GZ1433:HA1433"/>
    <mergeCell ref="GZ1434:HA1434"/>
    <mergeCell ref="GZ1435:HA1435"/>
    <mergeCell ref="GZ1436:HA1436"/>
    <mergeCell ref="GZ1437:HA1437"/>
    <mergeCell ref="GZ1438:HA1438"/>
    <mergeCell ref="GZ1439:HA1439"/>
    <mergeCell ref="GZ1440:HA1440"/>
    <mergeCell ref="GZ1441:HA1441"/>
    <mergeCell ref="GZ1442:HA1442"/>
    <mergeCell ref="GZ1443:HA1443"/>
    <mergeCell ref="GZ1444:HA1444"/>
    <mergeCell ref="GZ1445:HA1445"/>
    <mergeCell ref="GZ1446:HA1446"/>
    <mergeCell ref="GZ1447:HA1447"/>
    <mergeCell ref="GZ1448:HA1448"/>
    <mergeCell ref="GZ1449:HA1449"/>
    <mergeCell ref="GZ1450:HA1450"/>
    <mergeCell ref="GZ1451:HA1451"/>
    <mergeCell ref="GZ1452:HA1452"/>
    <mergeCell ref="GZ1453:HA1453"/>
    <mergeCell ref="GZ1454:HA1454"/>
    <mergeCell ref="GZ1455:HA1455"/>
    <mergeCell ref="GZ1456:HA1456"/>
    <mergeCell ref="GZ1457:HA1457"/>
    <mergeCell ref="GZ1458:HA1458"/>
    <mergeCell ref="GZ1459:HA1459"/>
    <mergeCell ref="GZ1460:HA1460"/>
    <mergeCell ref="GZ1461:HA1461"/>
    <mergeCell ref="GZ1462:HA1462"/>
    <mergeCell ref="GZ1463:HA1463"/>
    <mergeCell ref="GZ1464:HA1464"/>
    <mergeCell ref="GZ1465:HA1465"/>
    <mergeCell ref="GZ1466:HA1466"/>
    <mergeCell ref="GZ1467:HA1467"/>
    <mergeCell ref="GZ1468:HA1468"/>
    <mergeCell ref="GZ1469:HA1469"/>
    <mergeCell ref="GZ1470:HA1470"/>
    <mergeCell ref="GZ1471:HA1471"/>
    <mergeCell ref="GZ1472:HA1472"/>
    <mergeCell ref="GZ1473:HA1473"/>
    <mergeCell ref="GZ1474:HA1474"/>
    <mergeCell ref="GZ1475:HA1475"/>
    <mergeCell ref="GZ1476:HA1476"/>
    <mergeCell ref="GZ1477:HA1477"/>
    <mergeCell ref="GZ1478:HA1478"/>
    <mergeCell ref="GZ1479:HA1479"/>
    <mergeCell ref="GZ1480:HA1480"/>
    <mergeCell ref="GZ1481:HA1481"/>
    <mergeCell ref="GZ1482:HA1482"/>
    <mergeCell ref="GZ1483:HA1483"/>
    <mergeCell ref="GZ1484:HA1484"/>
    <mergeCell ref="GZ1485:HA1485"/>
    <mergeCell ref="GZ1486:HA1486"/>
    <mergeCell ref="GZ1487:HA1487"/>
    <mergeCell ref="GZ1488:HA1488"/>
    <mergeCell ref="GZ1489:HA1489"/>
    <mergeCell ref="GZ1490:HA1490"/>
    <mergeCell ref="GZ1491:HA1491"/>
    <mergeCell ref="GZ1492:HA1492"/>
    <mergeCell ref="GZ1493:HA1493"/>
    <mergeCell ref="GZ1494:HA1494"/>
    <mergeCell ref="GZ1495:HA1495"/>
    <mergeCell ref="GZ1496:HA1496"/>
    <mergeCell ref="GZ1497:HA1497"/>
    <mergeCell ref="GZ1498:HA1498"/>
    <mergeCell ref="GZ1499:HA1499"/>
    <mergeCell ref="GZ1500:HA1500"/>
    <mergeCell ref="HC789:HD789"/>
    <mergeCell ref="HC790:HD790"/>
    <mergeCell ref="HC791:HD791"/>
    <mergeCell ref="HC792:HD792"/>
    <mergeCell ref="HC793:HD793"/>
    <mergeCell ref="HC794:HD794"/>
    <mergeCell ref="HC795:HD795"/>
    <mergeCell ref="HC796:HD796"/>
    <mergeCell ref="HC797:HD797"/>
    <mergeCell ref="HC798:HD798"/>
    <mergeCell ref="HC799:HD799"/>
    <mergeCell ref="HC800:HD800"/>
    <mergeCell ref="HC801:HD801"/>
    <mergeCell ref="HC802:HD802"/>
    <mergeCell ref="HC803:HD803"/>
    <mergeCell ref="HC804:HD804"/>
    <mergeCell ref="HC805:HD805"/>
    <mergeCell ref="HC806:HD806"/>
    <mergeCell ref="HC807:HD807"/>
    <mergeCell ref="HC808:HD808"/>
    <mergeCell ref="HC809:HD809"/>
    <mergeCell ref="HC810:HD810"/>
    <mergeCell ref="HC811:HD811"/>
    <mergeCell ref="HC812:HD812"/>
    <mergeCell ref="HC813:HD813"/>
    <mergeCell ref="HC814:HD814"/>
    <mergeCell ref="HC815:HD815"/>
    <mergeCell ref="HC816:HD816"/>
    <mergeCell ref="HC817:HD817"/>
    <mergeCell ref="HC818:HD818"/>
    <mergeCell ref="HC819:HD819"/>
    <mergeCell ref="HC820:HD820"/>
    <mergeCell ref="HC821:HD821"/>
    <mergeCell ref="HC822:HD822"/>
    <mergeCell ref="HC823:HD823"/>
    <mergeCell ref="HC824:HD824"/>
    <mergeCell ref="HC825:HD825"/>
    <mergeCell ref="HC826:HD826"/>
    <mergeCell ref="HC827:HD827"/>
    <mergeCell ref="HC828:HD828"/>
    <mergeCell ref="HC829:HD829"/>
    <mergeCell ref="HC830:HD830"/>
    <mergeCell ref="HC831:HD831"/>
    <mergeCell ref="HC832:HD832"/>
    <mergeCell ref="HC833:HD833"/>
    <mergeCell ref="HC834:HD834"/>
    <mergeCell ref="HC835:HD835"/>
    <mergeCell ref="HC836:HD836"/>
    <mergeCell ref="HC837:HD837"/>
    <mergeCell ref="HC838:HD838"/>
    <mergeCell ref="HC839:HD839"/>
    <mergeCell ref="HC840:HD840"/>
    <mergeCell ref="HC841:HD841"/>
    <mergeCell ref="HC842:HD842"/>
    <mergeCell ref="HC843:HD843"/>
    <mergeCell ref="HC844:HD844"/>
    <mergeCell ref="HC845:HD845"/>
    <mergeCell ref="HC846:HD846"/>
    <mergeCell ref="HC847:HD847"/>
    <mergeCell ref="HC848:HD848"/>
    <mergeCell ref="HC849:HD849"/>
    <mergeCell ref="HC850:HD850"/>
    <mergeCell ref="HC851:HD851"/>
    <mergeCell ref="HC852:HD852"/>
    <mergeCell ref="HC853:HD853"/>
    <mergeCell ref="HC854:HD854"/>
    <mergeCell ref="HC855:HD855"/>
    <mergeCell ref="HC856:HD856"/>
    <mergeCell ref="HC857:HD857"/>
    <mergeCell ref="HC858:HD858"/>
    <mergeCell ref="HC859:HD859"/>
    <mergeCell ref="HC860:HD860"/>
    <mergeCell ref="HC861:HD861"/>
    <mergeCell ref="HC862:HD862"/>
    <mergeCell ref="HC863:HD863"/>
    <mergeCell ref="HC864:HD864"/>
    <mergeCell ref="HC865:HD865"/>
    <mergeCell ref="HC866:HD866"/>
    <mergeCell ref="HC867:HD867"/>
    <mergeCell ref="HC868:HD868"/>
    <mergeCell ref="HC869:HD869"/>
    <mergeCell ref="HC870:HD870"/>
    <mergeCell ref="HC871:HD871"/>
    <mergeCell ref="HC872:HD872"/>
    <mergeCell ref="HC873:HD873"/>
    <mergeCell ref="HC874:HD874"/>
    <mergeCell ref="HC875:HD875"/>
    <mergeCell ref="HC876:HD876"/>
    <mergeCell ref="HC877:HD877"/>
    <mergeCell ref="HC878:HD878"/>
    <mergeCell ref="HC879:HD879"/>
    <mergeCell ref="HC880:HD880"/>
    <mergeCell ref="HC881:HD881"/>
    <mergeCell ref="HC882:HD882"/>
    <mergeCell ref="HC883:HD883"/>
    <mergeCell ref="HC884:HD884"/>
    <mergeCell ref="HC885:HD885"/>
    <mergeCell ref="HC886:HD886"/>
    <mergeCell ref="HC887:HD887"/>
    <mergeCell ref="HC888:HD888"/>
    <mergeCell ref="HC889:HD889"/>
    <mergeCell ref="HC890:HD890"/>
    <mergeCell ref="HC891:HD891"/>
    <mergeCell ref="HC892:HD892"/>
    <mergeCell ref="HC893:HD893"/>
    <mergeCell ref="HC894:HD894"/>
    <mergeCell ref="HC895:HD895"/>
    <mergeCell ref="HC896:HD896"/>
    <mergeCell ref="HC897:HD897"/>
    <mergeCell ref="HC898:HD898"/>
    <mergeCell ref="HC899:HD899"/>
    <mergeCell ref="HC900:HD900"/>
    <mergeCell ref="HC901:HD901"/>
    <mergeCell ref="HC902:HD902"/>
    <mergeCell ref="HC903:HD903"/>
    <mergeCell ref="HC904:HD904"/>
    <mergeCell ref="HC905:HD905"/>
    <mergeCell ref="HC906:HD906"/>
    <mergeCell ref="HC907:HD907"/>
    <mergeCell ref="HC908:HD908"/>
    <mergeCell ref="HC909:HD909"/>
    <mergeCell ref="HC910:HD910"/>
    <mergeCell ref="HC911:HD911"/>
    <mergeCell ref="HC912:HD912"/>
    <mergeCell ref="HC913:HD913"/>
    <mergeCell ref="HC914:HD914"/>
    <mergeCell ref="HC915:HD915"/>
    <mergeCell ref="HC916:HD916"/>
    <mergeCell ref="HC917:HD917"/>
    <mergeCell ref="HC918:HD918"/>
    <mergeCell ref="HC919:HD919"/>
    <mergeCell ref="HC920:HD920"/>
    <mergeCell ref="HC921:HD921"/>
    <mergeCell ref="HC922:HD922"/>
    <mergeCell ref="HC923:HD923"/>
    <mergeCell ref="HC924:HD924"/>
    <mergeCell ref="HC925:HD925"/>
    <mergeCell ref="HC926:HD926"/>
    <mergeCell ref="HC927:HD927"/>
    <mergeCell ref="HC928:HD928"/>
    <mergeCell ref="HC929:HD929"/>
    <mergeCell ref="HC930:HD930"/>
    <mergeCell ref="HC931:HD931"/>
    <mergeCell ref="HC932:HD932"/>
    <mergeCell ref="HC933:HD933"/>
    <mergeCell ref="HC934:HD934"/>
    <mergeCell ref="HC935:HD935"/>
    <mergeCell ref="HC936:HD936"/>
    <mergeCell ref="HC937:HD937"/>
    <mergeCell ref="HC938:HD938"/>
    <mergeCell ref="HC939:HD939"/>
    <mergeCell ref="HC940:HD940"/>
    <mergeCell ref="HC941:HD941"/>
    <mergeCell ref="HC942:HD942"/>
    <mergeCell ref="HC943:HD943"/>
    <mergeCell ref="HC944:HD944"/>
    <mergeCell ref="HC945:HD945"/>
    <mergeCell ref="HC946:HD946"/>
    <mergeCell ref="HC947:HD947"/>
    <mergeCell ref="HC948:HD948"/>
    <mergeCell ref="HC949:HD949"/>
    <mergeCell ref="HC950:HD950"/>
    <mergeCell ref="HC951:HD951"/>
    <mergeCell ref="HC952:HD952"/>
    <mergeCell ref="HC953:HD953"/>
    <mergeCell ref="HC954:HD954"/>
    <mergeCell ref="HC955:HD955"/>
    <mergeCell ref="HC956:HD956"/>
    <mergeCell ref="HC957:HD957"/>
    <mergeCell ref="HC958:HD958"/>
    <mergeCell ref="HC959:HD959"/>
    <mergeCell ref="HC960:HD960"/>
    <mergeCell ref="HC961:HD961"/>
    <mergeCell ref="HC962:HD962"/>
    <mergeCell ref="HC963:HD963"/>
    <mergeCell ref="HC964:HD964"/>
    <mergeCell ref="HC965:HD965"/>
    <mergeCell ref="HC966:HD966"/>
    <mergeCell ref="HC967:HD967"/>
    <mergeCell ref="HC968:HD968"/>
    <mergeCell ref="HC969:HD969"/>
    <mergeCell ref="HC970:HD970"/>
    <mergeCell ref="HC971:HD971"/>
    <mergeCell ref="HC972:HD972"/>
    <mergeCell ref="HC973:HD973"/>
    <mergeCell ref="HC974:HD974"/>
    <mergeCell ref="HC975:HD975"/>
    <mergeCell ref="HC976:HD976"/>
    <mergeCell ref="HC977:HD977"/>
    <mergeCell ref="HC978:HD978"/>
    <mergeCell ref="HC979:HD979"/>
    <mergeCell ref="HC980:HD980"/>
    <mergeCell ref="HC981:HD981"/>
    <mergeCell ref="HC982:HD982"/>
    <mergeCell ref="HC983:HD983"/>
    <mergeCell ref="HC984:HD984"/>
    <mergeCell ref="HC985:HD985"/>
    <mergeCell ref="HC986:HD986"/>
    <mergeCell ref="HC987:HD987"/>
    <mergeCell ref="HC988:HD988"/>
    <mergeCell ref="HC989:HD989"/>
    <mergeCell ref="HC990:HD990"/>
    <mergeCell ref="HC991:HD991"/>
    <mergeCell ref="HC992:HD992"/>
    <mergeCell ref="HC993:HD993"/>
    <mergeCell ref="HC994:HD994"/>
    <mergeCell ref="HC995:HD995"/>
    <mergeCell ref="HC996:HD996"/>
    <mergeCell ref="HC997:HD997"/>
    <mergeCell ref="HC998:HD998"/>
    <mergeCell ref="HC999:HD999"/>
    <mergeCell ref="HC1000:HD1000"/>
    <mergeCell ref="HC1001:HD1001"/>
    <mergeCell ref="HC1002:HD1002"/>
    <mergeCell ref="HC1003:HD1003"/>
    <mergeCell ref="HC1004:HD1004"/>
    <mergeCell ref="HC1005:HD1005"/>
    <mergeCell ref="HC1006:HD1006"/>
    <mergeCell ref="HC1007:HD1007"/>
    <mergeCell ref="HC1008:HD1008"/>
    <mergeCell ref="HC1009:HD1009"/>
    <mergeCell ref="HC1010:HD1010"/>
    <mergeCell ref="HC1011:HD1011"/>
    <mergeCell ref="HC1012:HD1012"/>
    <mergeCell ref="HC1013:HD1013"/>
    <mergeCell ref="HC1014:HD1014"/>
    <mergeCell ref="HC1015:HD1015"/>
    <mergeCell ref="HC1016:HD1016"/>
    <mergeCell ref="HC1017:HD1017"/>
    <mergeCell ref="HC1018:HD1018"/>
    <mergeCell ref="HC1019:HD1019"/>
    <mergeCell ref="HC1020:HD1020"/>
    <mergeCell ref="HC1021:HD1021"/>
    <mergeCell ref="HC1022:HD1022"/>
    <mergeCell ref="HC1023:HD1023"/>
    <mergeCell ref="HC1024:HD1024"/>
    <mergeCell ref="HC1025:HD1025"/>
    <mergeCell ref="HC1026:HD1026"/>
    <mergeCell ref="HC1027:HD1027"/>
    <mergeCell ref="HC1028:HD1028"/>
    <mergeCell ref="HC1029:HD1029"/>
    <mergeCell ref="HC1030:HD1030"/>
    <mergeCell ref="HC1031:HD1031"/>
    <mergeCell ref="HC1032:HD1032"/>
    <mergeCell ref="HC1033:HD1033"/>
    <mergeCell ref="HC1034:HD1034"/>
    <mergeCell ref="HC1035:HD1035"/>
    <mergeCell ref="HC1036:HD1036"/>
    <mergeCell ref="HC1037:HD1037"/>
    <mergeCell ref="HC1038:HD1038"/>
    <mergeCell ref="HC1039:HD1039"/>
    <mergeCell ref="HC1040:HD1040"/>
    <mergeCell ref="HC1041:HD1041"/>
    <mergeCell ref="HC1042:HD1042"/>
    <mergeCell ref="HC1043:HD1043"/>
    <mergeCell ref="HC1044:HD1044"/>
    <mergeCell ref="HC1045:HD1045"/>
    <mergeCell ref="HC1046:HD1046"/>
    <mergeCell ref="HC1047:HD1047"/>
    <mergeCell ref="HC1048:HD1048"/>
    <mergeCell ref="HC1049:HD1049"/>
    <mergeCell ref="HC1050:HD1050"/>
    <mergeCell ref="HC1051:HD1051"/>
    <mergeCell ref="HC1052:HD1052"/>
    <mergeCell ref="HC1053:HD1053"/>
    <mergeCell ref="HC1054:HD1054"/>
    <mergeCell ref="HC1055:HD1055"/>
    <mergeCell ref="HC1056:HD1056"/>
    <mergeCell ref="HC1057:HD1057"/>
    <mergeCell ref="HC1058:HD1058"/>
    <mergeCell ref="HC1059:HD1059"/>
    <mergeCell ref="HC1060:HD1060"/>
    <mergeCell ref="HC1061:HD1061"/>
    <mergeCell ref="HC1062:HD1062"/>
    <mergeCell ref="HC1063:HD1063"/>
    <mergeCell ref="HC1064:HD1064"/>
    <mergeCell ref="HC1065:HD1065"/>
    <mergeCell ref="HC1066:HD1066"/>
    <mergeCell ref="HC1067:HD1067"/>
    <mergeCell ref="HC1068:HD1068"/>
    <mergeCell ref="HC1069:HD1069"/>
    <mergeCell ref="HC1070:HD1070"/>
    <mergeCell ref="HC1071:HD1071"/>
    <mergeCell ref="HC1072:HD1072"/>
    <mergeCell ref="HC1073:HD1073"/>
    <mergeCell ref="HC1074:HD1074"/>
    <mergeCell ref="HC1075:HD1075"/>
    <mergeCell ref="HC1076:HD1076"/>
    <mergeCell ref="HC1077:HD1077"/>
    <mergeCell ref="HC1078:HD1078"/>
    <mergeCell ref="HC1079:HD1079"/>
    <mergeCell ref="HC1080:HD1080"/>
    <mergeCell ref="HC1081:HD1081"/>
    <mergeCell ref="HC1082:HD1082"/>
    <mergeCell ref="HC1083:HD1083"/>
    <mergeCell ref="HC1084:HD1084"/>
    <mergeCell ref="HC1085:HD1085"/>
    <mergeCell ref="HC1086:HD1086"/>
    <mergeCell ref="HC1087:HD1087"/>
    <mergeCell ref="HC1088:HD1088"/>
    <mergeCell ref="HC1089:HD1089"/>
    <mergeCell ref="HC1090:HD1090"/>
    <mergeCell ref="HC1091:HD1091"/>
    <mergeCell ref="HC1092:HD1092"/>
    <mergeCell ref="HC1093:HD1093"/>
    <mergeCell ref="HC1094:HD1094"/>
    <mergeCell ref="HC1095:HD1095"/>
    <mergeCell ref="HC1096:HD1096"/>
    <mergeCell ref="HC1097:HD1097"/>
    <mergeCell ref="HC1098:HD1098"/>
    <mergeCell ref="HC1099:HD1099"/>
    <mergeCell ref="HC1100:HD1100"/>
    <mergeCell ref="HC1101:HD1101"/>
    <mergeCell ref="HC1102:HD1102"/>
    <mergeCell ref="HC1103:HD1103"/>
    <mergeCell ref="HC1104:HD1104"/>
    <mergeCell ref="HC1105:HD1105"/>
    <mergeCell ref="HC1106:HD1106"/>
    <mergeCell ref="HC1107:HD1107"/>
    <mergeCell ref="HC1108:HD1108"/>
    <mergeCell ref="HC1109:HD1109"/>
    <mergeCell ref="HC1110:HD1110"/>
    <mergeCell ref="HC1111:HD1111"/>
    <mergeCell ref="HC1112:HD1112"/>
    <mergeCell ref="HC1113:HD1113"/>
    <mergeCell ref="HC1114:HD1114"/>
    <mergeCell ref="HC1115:HD1115"/>
    <mergeCell ref="HC1116:HD1116"/>
    <mergeCell ref="HC1117:HD1117"/>
    <mergeCell ref="HC1118:HD1118"/>
    <mergeCell ref="HC1119:HD1119"/>
    <mergeCell ref="HC1120:HD1120"/>
    <mergeCell ref="HC1121:HD1121"/>
    <mergeCell ref="HC1122:HD1122"/>
    <mergeCell ref="HC1123:HD1123"/>
    <mergeCell ref="HC1124:HD1124"/>
    <mergeCell ref="HC1125:HD1125"/>
    <mergeCell ref="HC1126:HD1126"/>
    <mergeCell ref="HC1127:HD1127"/>
    <mergeCell ref="HC1128:HD1128"/>
    <mergeCell ref="HC1129:HD1129"/>
    <mergeCell ref="HC1130:HD1130"/>
    <mergeCell ref="HC1131:HD1131"/>
    <mergeCell ref="HC1132:HD1132"/>
    <mergeCell ref="HC1133:HD1133"/>
    <mergeCell ref="HC1134:HD1134"/>
    <mergeCell ref="HC1135:HD1135"/>
    <mergeCell ref="HC1136:HD1136"/>
    <mergeCell ref="HC1137:HD1137"/>
    <mergeCell ref="HC1138:HD1138"/>
    <mergeCell ref="HC1139:HD1139"/>
    <mergeCell ref="HC1140:HD1140"/>
    <mergeCell ref="HC1141:HD1141"/>
    <mergeCell ref="HC1142:HD1142"/>
    <mergeCell ref="HC1143:HD1143"/>
    <mergeCell ref="HC1144:HD1144"/>
    <mergeCell ref="HC1145:HD1145"/>
    <mergeCell ref="HC1146:HD1146"/>
    <mergeCell ref="HC1147:HD1147"/>
    <mergeCell ref="HC1148:HD1148"/>
    <mergeCell ref="HC1149:HD1149"/>
    <mergeCell ref="HC1150:HD1150"/>
    <mergeCell ref="HC1151:HD1151"/>
    <mergeCell ref="HC1152:HD1152"/>
    <mergeCell ref="HC1153:HD1153"/>
    <mergeCell ref="HC1154:HD1154"/>
    <mergeCell ref="HC1155:HD1155"/>
    <mergeCell ref="HC1156:HD1156"/>
    <mergeCell ref="HC1157:HD1157"/>
    <mergeCell ref="HC1158:HD1158"/>
    <mergeCell ref="HC1159:HD1159"/>
    <mergeCell ref="HC1160:HD1160"/>
    <mergeCell ref="HC1161:HD1161"/>
    <mergeCell ref="HC1162:HD1162"/>
    <mergeCell ref="HC1163:HD1163"/>
    <mergeCell ref="HC1164:HD1164"/>
    <mergeCell ref="HC1165:HD1165"/>
    <mergeCell ref="HC1166:HD1166"/>
    <mergeCell ref="HC1167:HD1167"/>
    <mergeCell ref="HC1168:HD1168"/>
    <mergeCell ref="HC1169:HD1169"/>
    <mergeCell ref="HC1170:HD1170"/>
    <mergeCell ref="HC1171:HD1171"/>
    <mergeCell ref="HC1172:HD1172"/>
    <mergeCell ref="HC1173:HD1173"/>
    <mergeCell ref="HC1174:HD1174"/>
    <mergeCell ref="HC1175:HD1175"/>
    <mergeCell ref="HC1176:HD1176"/>
    <mergeCell ref="HC1177:HD1177"/>
    <mergeCell ref="HC1178:HD1178"/>
    <mergeCell ref="HC1179:HD1179"/>
    <mergeCell ref="HC1180:HD1180"/>
    <mergeCell ref="HC1181:HD1181"/>
    <mergeCell ref="HC1182:HD1182"/>
    <mergeCell ref="HC1183:HD1183"/>
    <mergeCell ref="HC1184:HD1184"/>
    <mergeCell ref="HC1185:HD1185"/>
    <mergeCell ref="HC1186:HD1186"/>
    <mergeCell ref="HC1187:HD1187"/>
    <mergeCell ref="HC1188:HD1188"/>
    <mergeCell ref="HC1189:HD1189"/>
    <mergeCell ref="HC1190:HD1190"/>
    <mergeCell ref="HC1191:HD1191"/>
    <mergeCell ref="HC1192:HD1192"/>
    <mergeCell ref="HC1193:HD1193"/>
    <mergeCell ref="HC1194:HD1194"/>
    <mergeCell ref="HC1195:HD1195"/>
    <mergeCell ref="HC1196:HD1196"/>
    <mergeCell ref="HC1197:HD1197"/>
    <mergeCell ref="HC1198:HD1198"/>
    <mergeCell ref="HC1199:HD1199"/>
    <mergeCell ref="HC1200:HD1200"/>
    <mergeCell ref="HC1201:HD1201"/>
    <mergeCell ref="HC1202:HD1202"/>
    <mergeCell ref="HC1203:HD1203"/>
    <mergeCell ref="HC1204:HD1204"/>
    <mergeCell ref="HC1205:HD1205"/>
    <mergeCell ref="HC1206:HD1206"/>
    <mergeCell ref="HC1207:HD1207"/>
    <mergeCell ref="HC1208:HD1208"/>
    <mergeCell ref="HC1209:HD1209"/>
    <mergeCell ref="HC1210:HD1210"/>
    <mergeCell ref="HC1211:HD1211"/>
    <mergeCell ref="HC1212:HD1212"/>
    <mergeCell ref="HC1213:HD1213"/>
    <mergeCell ref="HC1214:HD1214"/>
    <mergeCell ref="HC1215:HD1215"/>
    <mergeCell ref="HC1216:HD1216"/>
    <mergeCell ref="HC1217:HD1217"/>
    <mergeCell ref="HC1218:HD1218"/>
    <mergeCell ref="HC1219:HD1219"/>
    <mergeCell ref="HC1220:HD1220"/>
    <mergeCell ref="HC1221:HD1221"/>
    <mergeCell ref="HC1222:HD1222"/>
    <mergeCell ref="HC1223:HD1223"/>
    <mergeCell ref="HC1224:HD1224"/>
    <mergeCell ref="HC1225:HD1225"/>
    <mergeCell ref="HC1226:HD1226"/>
    <mergeCell ref="HC1227:HD1227"/>
    <mergeCell ref="HC1228:HD1228"/>
    <mergeCell ref="HC1229:HD1229"/>
    <mergeCell ref="HC1230:HD1230"/>
    <mergeCell ref="HC1231:HD1231"/>
    <mergeCell ref="HC1232:HD1232"/>
    <mergeCell ref="HC1233:HD1233"/>
    <mergeCell ref="HC1234:HD1234"/>
    <mergeCell ref="HC1235:HD1235"/>
    <mergeCell ref="HC1236:HD1236"/>
    <mergeCell ref="HC1237:HD1237"/>
    <mergeCell ref="HC1238:HD1238"/>
    <mergeCell ref="HC1239:HD1239"/>
    <mergeCell ref="HC1240:HD1240"/>
    <mergeCell ref="HC1241:HD1241"/>
    <mergeCell ref="HC1242:HD1242"/>
    <mergeCell ref="HC1243:HD1243"/>
    <mergeCell ref="HC1244:HD1244"/>
    <mergeCell ref="HC1245:HD1245"/>
    <mergeCell ref="HC1246:HD1246"/>
    <mergeCell ref="HC1247:HD1247"/>
    <mergeCell ref="HC1248:HD1248"/>
    <mergeCell ref="HC1249:HD1249"/>
    <mergeCell ref="HC1250:HD1250"/>
    <mergeCell ref="HC1251:HD1251"/>
    <mergeCell ref="HC1252:HD1252"/>
    <mergeCell ref="HC1253:HD1253"/>
    <mergeCell ref="HC1254:HD1254"/>
    <mergeCell ref="HC1255:HD1255"/>
    <mergeCell ref="HC1256:HD1256"/>
    <mergeCell ref="HC1257:HD1257"/>
    <mergeCell ref="HC1258:HD1258"/>
    <mergeCell ref="HC1259:HD1259"/>
    <mergeCell ref="HC1260:HD1260"/>
    <mergeCell ref="HC1261:HD1261"/>
    <mergeCell ref="HC1262:HD1262"/>
    <mergeCell ref="HC1263:HD1263"/>
    <mergeCell ref="HC1264:HD1264"/>
    <mergeCell ref="HC1265:HD1265"/>
    <mergeCell ref="HC1266:HD1266"/>
    <mergeCell ref="HC1267:HD1267"/>
    <mergeCell ref="HC1268:HD1268"/>
    <mergeCell ref="HC1269:HD1269"/>
    <mergeCell ref="HC1270:HD1270"/>
    <mergeCell ref="HC1271:HD1271"/>
    <mergeCell ref="HC1272:HD1272"/>
    <mergeCell ref="HC1273:HD1273"/>
    <mergeCell ref="HC1274:HD1274"/>
    <mergeCell ref="HC1275:HD1275"/>
    <mergeCell ref="HC1276:HD1276"/>
    <mergeCell ref="HC1277:HD1277"/>
    <mergeCell ref="HC1278:HD1278"/>
    <mergeCell ref="HC1279:HD1279"/>
    <mergeCell ref="HC1280:HD1280"/>
    <mergeCell ref="HC1281:HD1281"/>
    <mergeCell ref="HC1282:HD1282"/>
    <mergeCell ref="HC1283:HD1283"/>
    <mergeCell ref="HC1284:HD1284"/>
    <mergeCell ref="HC1285:HD1285"/>
    <mergeCell ref="HC1286:HD1286"/>
    <mergeCell ref="HC1287:HD1287"/>
    <mergeCell ref="HC1288:HD1288"/>
    <mergeCell ref="HC1289:HD1289"/>
    <mergeCell ref="HC1290:HD1290"/>
    <mergeCell ref="HC1291:HD1291"/>
    <mergeCell ref="HC1292:HD1292"/>
    <mergeCell ref="HC1293:HD1293"/>
    <mergeCell ref="HC1294:HD1294"/>
    <mergeCell ref="HC1295:HD1295"/>
    <mergeCell ref="HC1296:HD1296"/>
    <mergeCell ref="HC1297:HD1297"/>
    <mergeCell ref="HC1298:HD1298"/>
    <mergeCell ref="HC1299:HD1299"/>
    <mergeCell ref="HC1300:HD1300"/>
    <mergeCell ref="HC1301:HD1301"/>
    <mergeCell ref="HC1302:HD1302"/>
    <mergeCell ref="HC1303:HD1303"/>
    <mergeCell ref="HC1304:HD1304"/>
    <mergeCell ref="HC1305:HD1305"/>
    <mergeCell ref="HC1306:HD1306"/>
    <mergeCell ref="HC1307:HD1307"/>
    <mergeCell ref="HC1308:HD1308"/>
    <mergeCell ref="HC1309:HD1309"/>
    <mergeCell ref="HC1310:HD1310"/>
    <mergeCell ref="HC1311:HD1311"/>
    <mergeCell ref="HC1312:HD1312"/>
    <mergeCell ref="HC1313:HD1313"/>
    <mergeCell ref="HC1314:HD1314"/>
    <mergeCell ref="HC1315:HD1315"/>
    <mergeCell ref="HC1316:HD1316"/>
    <mergeCell ref="HC1317:HD1317"/>
    <mergeCell ref="HC1318:HD1318"/>
    <mergeCell ref="HC1319:HD1319"/>
    <mergeCell ref="HC1320:HD1320"/>
    <mergeCell ref="HC1321:HD1321"/>
    <mergeCell ref="HC1322:HD1322"/>
    <mergeCell ref="HC1323:HD1323"/>
    <mergeCell ref="HC1324:HD1324"/>
    <mergeCell ref="HC1325:HD1325"/>
    <mergeCell ref="HC1326:HD1326"/>
    <mergeCell ref="HC1327:HD1327"/>
    <mergeCell ref="HC1328:HD1328"/>
    <mergeCell ref="HC1329:HD1329"/>
    <mergeCell ref="HC1330:HD1330"/>
    <mergeCell ref="HC1331:HD1331"/>
    <mergeCell ref="HC1332:HD1332"/>
    <mergeCell ref="HC1333:HD1333"/>
    <mergeCell ref="HC1334:HD1334"/>
    <mergeCell ref="HC1335:HD1335"/>
    <mergeCell ref="HC1336:HD1336"/>
    <mergeCell ref="HC1337:HD1337"/>
    <mergeCell ref="HC1338:HD1338"/>
    <mergeCell ref="HC1339:HD1339"/>
    <mergeCell ref="HC1340:HD1340"/>
    <mergeCell ref="HC1341:HD1341"/>
    <mergeCell ref="HC1342:HD1342"/>
    <mergeCell ref="HC1343:HD1343"/>
    <mergeCell ref="HC1344:HD1344"/>
    <mergeCell ref="HC1345:HD1345"/>
    <mergeCell ref="HC1346:HD1346"/>
    <mergeCell ref="HC1347:HD1347"/>
    <mergeCell ref="HC1348:HD1348"/>
    <mergeCell ref="HC1349:HD1349"/>
    <mergeCell ref="HC1350:HD1350"/>
    <mergeCell ref="HC1351:HD1351"/>
    <mergeCell ref="HC1352:HD1352"/>
    <mergeCell ref="HC1353:HD1353"/>
    <mergeCell ref="HC1354:HD1354"/>
    <mergeCell ref="HC1355:HD1355"/>
    <mergeCell ref="HC1356:HD1356"/>
    <mergeCell ref="HC1357:HD1357"/>
    <mergeCell ref="HC1358:HD1358"/>
    <mergeCell ref="HC1359:HD1359"/>
    <mergeCell ref="HC1360:HD1360"/>
    <mergeCell ref="HC1361:HD1361"/>
    <mergeCell ref="HC1362:HD1362"/>
    <mergeCell ref="HC1363:HD1363"/>
    <mergeCell ref="HC1364:HD1364"/>
    <mergeCell ref="HC1365:HD1365"/>
    <mergeCell ref="HC1366:HD1366"/>
    <mergeCell ref="HC1367:HD1367"/>
    <mergeCell ref="HC1368:HD1368"/>
    <mergeCell ref="HC1369:HD1369"/>
    <mergeCell ref="HC1370:HD1370"/>
    <mergeCell ref="HC1371:HD1371"/>
    <mergeCell ref="HC1372:HD1372"/>
    <mergeCell ref="HC1373:HD1373"/>
    <mergeCell ref="HC1374:HD1374"/>
    <mergeCell ref="HC1375:HD1375"/>
    <mergeCell ref="HC1376:HD1376"/>
    <mergeCell ref="HC1377:HD1377"/>
    <mergeCell ref="HC1378:HD1378"/>
    <mergeCell ref="HC1379:HD1379"/>
    <mergeCell ref="HC1380:HD1380"/>
    <mergeCell ref="HC1381:HD1381"/>
    <mergeCell ref="HC1382:HD1382"/>
    <mergeCell ref="HC1383:HD1383"/>
    <mergeCell ref="HC1384:HD1384"/>
    <mergeCell ref="HC1385:HD1385"/>
    <mergeCell ref="HC1386:HD1386"/>
    <mergeCell ref="HC1387:HD1387"/>
    <mergeCell ref="HC1388:HD1388"/>
    <mergeCell ref="HC1389:HD1389"/>
    <mergeCell ref="HC1390:HD1390"/>
    <mergeCell ref="HC1391:HD1391"/>
    <mergeCell ref="HC1392:HD1392"/>
    <mergeCell ref="HC1393:HD1393"/>
    <mergeCell ref="HC1394:HD1394"/>
    <mergeCell ref="HC1395:HD1395"/>
    <mergeCell ref="HC1396:HD1396"/>
    <mergeCell ref="HC1397:HD1397"/>
    <mergeCell ref="HC1398:HD1398"/>
    <mergeCell ref="HC1399:HD1399"/>
    <mergeCell ref="HC1400:HD1400"/>
    <mergeCell ref="HC1401:HD1401"/>
    <mergeCell ref="HC1402:HD1402"/>
    <mergeCell ref="HC1403:HD1403"/>
    <mergeCell ref="HC1404:HD1404"/>
    <mergeCell ref="HC1405:HD1405"/>
    <mergeCell ref="HC1406:HD1406"/>
    <mergeCell ref="HC1407:HD1407"/>
    <mergeCell ref="HC1408:HD1408"/>
    <mergeCell ref="HC1409:HD1409"/>
    <mergeCell ref="HC1410:HD1410"/>
    <mergeCell ref="HC1411:HD1411"/>
    <mergeCell ref="HC1412:HD1412"/>
    <mergeCell ref="HC1413:HD1413"/>
    <mergeCell ref="HC1414:HD1414"/>
    <mergeCell ref="HC1415:HD1415"/>
    <mergeCell ref="HC1416:HD1416"/>
    <mergeCell ref="HC1417:HD1417"/>
    <mergeCell ref="HC1418:HD1418"/>
    <mergeCell ref="HC1419:HD1419"/>
    <mergeCell ref="HC1420:HD1420"/>
    <mergeCell ref="HC1421:HD1421"/>
    <mergeCell ref="HC1422:HD1422"/>
    <mergeCell ref="HC1423:HD1423"/>
    <mergeCell ref="HC1424:HD1424"/>
    <mergeCell ref="HC1425:HD1425"/>
    <mergeCell ref="HC1426:HD1426"/>
    <mergeCell ref="HC1427:HD1427"/>
    <mergeCell ref="HC1428:HD1428"/>
    <mergeCell ref="HC1429:HD1429"/>
    <mergeCell ref="HC1430:HD1430"/>
    <mergeCell ref="HC1431:HD1431"/>
    <mergeCell ref="HC1432:HD1432"/>
    <mergeCell ref="HC1433:HD1433"/>
    <mergeCell ref="HC1434:HD1434"/>
    <mergeCell ref="HC1435:HD1435"/>
    <mergeCell ref="HC1436:HD1436"/>
    <mergeCell ref="HC1437:HD1437"/>
    <mergeCell ref="HC1438:HD1438"/>
    <mergeCell ref="HC1439:HD1439"/>
    <mergeCell ref="HC1440:HD1440"/>
    <mergeCell ref="HC1441:HD1441"/>
    <mergeCell ref="HC1442:HD1442"/>
    <mergeCell ref="HC1443:HD1443"/>
    <mergeCell ref="HC1444:HD1444"/>
    <mergeCell ref="HC1445:HD1445"/>
    <mergeCell ref="HC1446:HD1446"/>
    <mergeCell ref="HC1447:HD1447"/>
    <mergeCell ref="HC1448:HD1448"/>
    <mergeCell ref="HC1449:HD1449"/>
    <mergeCell ref="HC1450:HD1450"/>
    <mergeCell ref="HC1451:HD1451"/>
    <mergeCell ref="HC1452:HD1452"/>
    <mergeCell ref="HC1453:HD1453"/>
    <mergeCell ref="HC1454:HD1454"/>
    <mergeCell ref="HC1455:HD1455"/>
    <mergeCell ref="HC1456:HD1456"/>
    <mergeCell ref="HC1457:HD1457"/>
    <mergeCell ref="HC1458:HD1458"/>
    <mergeCell ref="HC1459:HD1459"/>
    <mergeCell ref="HC1460:HD1460"/>
    <mergeCell ref="HC1461:HD1461"/>
    <mergeCell ref="HC1462:HD1462"/>
    <mergeCell ref="HC1463:HD1463"/>
    <mergeCell ref="HC1464:HD1464"/>
    <mergeCell ref="HC1465:HD1465"/>
    <mergeCell ref="HC1466:HD1466"/>
    <mergeCell ref="HC1467:HD1467"/>
    <mergeCell ref="HC1468:HD1468"/>
    <mergeCell ref="HC1469:HD1469"/>
    <mergeCell ref="HC1470:HD1470"/>
    <mergeCell ref="HC1471:HD1471"/>
    <mergeCell ref="HC1472:HD1472"/>
    <mergeCell ref="HC1473:HD1473"/>
    <mergeCell ref="HC1474:HD1474"/>
    <mergeCell ref="HC1475:HD1475"/>
    <mergeCell ref="HC1476:HD1476"/>
    <mergeCell ref="HC1477:HD1477"/>
    <mergeCell ref="HC1478:HD1478"/>
    <mergeCell ref="HC1479:HD1479"/>
    <mergeCell ref="HC1480:HD1480"/>
    <mergeCell ref="HC1481:HD1481"/>
    <mergeCell ref="HC1482:HD1482"/>
    <mergeCell ref="HC1483:HD1483"/>
    <mergeCell ref="HC1484:HD1484"/>
    <mergeCell ref="HC1485:HD1485"/>
    <mergeCell ref="HC1486:HD1486"/>
    <mergeCell ref="HC1487:HD1487"/>
    <mergeCell ref="HC1488:HD1488"/>
    <mergeCell ref="HC1489:HD1489"/>
    <mergeCell ref="HC1490:HD1490"/>
    <mergeCell ref="HC1491:HD1491"/>
    <mergeCell ref="HC1492:HD1492"/>
    <mergeCell ref="HC1493:HD1493"/>
    <mergeCell ref="HC1494:HD1494"/>
    <mergeCell ref="HC1495:HD1495"/>
    <mergeCell ref="HC1496:HD1496"/>
    <mergeCell ref="HC1497:HD1497"/>
    <mergeCell ref="HC1498:HD1498"/>
    <mergeCell ref="HC1499:HD1499"/>
    <mergeCell ref="HC1500:HD1500"/>
    <mergeCell ref="HE789:HF789"/>
    <mergeCell ref="HE790:HF790"/>
    <mergeCell ref="HE791:HF791"/>
    <mergeCell ref="HE792:HF792"/>
    <mergeCell ref="HE793:HF793"/>
    <mergeCell ref="HE794:HF794"/>
    <mergeCell ref="HE795:HF795"/>
    <mergeCell ref="HE796:HF796"/>
    <mergeCell ref="HE797:HF797"/>
    <mergeCell ref="HE798:HF798"/>
    <mergeCell ref="HE799:HF799"/>
    <mergeCell ref="HE800:HF800"/>
    <mergeCell ref="HE801:HF801"/>
    <mergeCell ref="HE802:HF802"/>
    <mergeCell ref="HE803:HF803"/>
    <mergeCell ref="HE804:HF804"/>
    <mergeCell ref="HE805:HF805"/>
    <mergeCell ref="HE806:HF806"/>
    <mergeCell ref="HE807:HF807"/>
    <mergeCell ref="HE808:HF808"/>
    <mergeCell ref="HE809:HF809"/>
    <mergeCell ref="HE810:HF810"/>
    <mergeCell ref="HE811:HF811"/>
    <mergeCell ref="HE812:HF812"/>
    <mergeCell ref="HE813:HF813"/>
    <mergeCell ref="HE814:HF814"/>
    <mergeCell ref="HE815:HF815"/>
    <mergeCell ref="HE816:HF816"/>
    <mergeCell ref="HE817:HF817"/>
    <mergeCell ref="HE818:HF818"/>
    <mergeCell ref="HE819:HF819"/>
    <mergeCell ref="HE820:HF820"/>
    <mergeCell ref="HE821:HF821"/>
    <mergeCell ref="HE822:HF822"/>
    <mergeCell ref="HE823:HF823"/>
    <mergeCell ref="HE824:HF824"/>
    <mergeCell ref="HE825:HF825"/>
    <mergeCell ref="HE826:HF826"/>
    <mergeCell ref="HE827:HF827"/>
    <mergeCell ref="HE828:HF828"/>
    <mergeCell ref="HE829:HF829"/>
    <mergeCell ref="HE830:HF830"/>
    <mergeCell ref="HE831:HF831"/>
    <mergeCell ref="HE832:HF832"/>
    <mergeCell ref="HE833:HF833"/>
    <mergeCell ref="HE834:HF834"/>
    <mergeCell ref="HE835:HF835"/>
    <mergeCell ref="HE836:HF836"/>
    <mergeCell ref="HE837:HF837"/>
    <mergeCell ref="HE838:HF838"/>
    <mergeCell ref="HE839:HF839"/>
    <mergeCell ref="HE840:HF840"/>
    <mergeCell ref="HE841:HF841"/>
    <mergeCell ref="HE842:HF842"/>
    <mergeCell ref="HE843:HF843"/>
    <mergeCell ref="HE844:HF844"/>
    <mergeCell ref="HE845:HF845"/>
    <mergeCell ref="HE846:HF846"/>
    <mergeCell ref="HE847:HF847"/>
    <mergeCell ref="HE848:HF848"/>
    <mergeCell ref="HE849:HF849"/>
    <mergeCell ref="HE850:HF850"/>
    <mergeCell ref="HE851:HF851"/>
    <mergeCell ref="HE852:HF852"/>
    <mergeCell ref="HE853:HF853"/>
    <mergeCell ref="HE854:HF854"/>
    <mergeCell ref="HE855:HF855"/>
    <mergeCell ref="HE856:HF856"/>
    <mergeCell ref="HE857:HF857"/>
    <mergeCell ref="HE858:HF858"/>
    <mergeCell ref="HE859:HF859"/>
    <mergeCell ref="HE860:HF860"/>
    <mergeCell ref="HE861:HF861"/>
    <mergeCell ref="HE862:HF862"/>
    <mergeCell ref="HE863:HF863"/>
    <mergeCell ref="HE864:HF864"/>
    <mergeCell ref="HE865:HF865"/>
    <mergeCell ref="HE866:HF866"/>
    <mergeCell ref="HE867:HF867"/>
    <mergeCell ref="HE868:HF868"/>
    <mergeCell ref="HE869:HF869"/>
    <mergeCell ref="HE870:HF870"/>
    <mergeCell ref="HE871:HF871"/>
    <mergeCell ref="HE872:HF872"/>
    <mergeCell ref="HE873:HF873"/>
    <mergeCell ref="HE874:HF874"/>
    <mergeCell ref="HE875:HF875"/>
    <mergeCell ref="HE876:HF876"/>
    <mergeCell ref="HE877:HF877"/>
    <mergeCell ref="HE878:HF878"/>
    <mergeCell ref="HE879:HF879"/>
    <mergeCell ref="HE880:HF880"/>
    <mergeCell ref="HE881:HF881"/>
    <mergeCell ref="HE882:HF882"/>
    <mergeCell ref="HE883:HF883"/>
    <mergeCell ref="HE884:HF884"/>
    <mergeCell ref="HE885:HF885"/>
    <mergeCell ref="HE886:HF886"/>
    <mergeCell ref="HE887:HF887"/>
    <mergeCell ref="HE888:HF888"/>
    <mergeCell ref="HE889:HF889"/>
    <mergeCell ref="HE890:HF890"/>
    <mergeCell ref="HE891:HF891"/>
    <mergeCell ref="HE892:HF892"/>
    <mergeCell ref="HE893:HF893"/>
    <mergeCell ref="HE894:HF894"/>
    <mergeCell ref="HE895:HF895"/>
    <mergeCell ref="HE896:HF896"/>
    <mergeCell ref="HE897:HF897"/>
    <mergeCell ref="HE898:HF898"/>
    <mergeCell ref="HE899:HF899"/>
    <mergeCell ref="HE900:HF900"/>
    <mergeCell ref="HE901:HF901"/>
    <mergeCell ref="HE902:HF902"/>
    <mergeCell ref="HE903:HF903"/>
    <mergeCell ref="HE904:HF904"/>
    <mergeCell ref="HE905:HF905"/>
    <mergeCell ref="HE906:HF906"/>
    <mergeCell ref="HE907:HF907"/>
    <mergeCell ref="HE908:HF908"/>
    <mergeCell ref="HE909:HF909"/>
    <mergeCell ref="HE910:HF910"/>
    <mergeCell ref="HE911:HF911"/>
    <mergeCell ref="HE912:HF912"/>
    <mergeCell ref="HE913:HF913"/>
    <mergeCell ref="HE914:HF914"/>
    <mergeCell ref="HE915:HF915"/>
    <mergeCell ref="HE916:HF916"/>
    <mergeCell ref="HE917:HF917"/>
    <mergeCell ref="HE918:HF918"/>
    <mergeCell ref="HE919:HF919"/>
    <mergeCell ref="HE920:HF920"/>
    <mergeCell ref="HE921:HF921"/>
    <mergeCell ref="HE922:HF922"/>
    <mergeCell ref="HE923:HF923"/>
    <mergeCell ref="HE924:HF924"/>
    <mergeCell ref="HE925:HF925"/>
    <mergeCell ref="HE926:HF926"/>
    <mergeCell ref="HE927:HF927"/>
    <mergeCell ref="HE928:HF928"/>
    <mergeCell ref="HE929:HF929"/>
    <mergeCell ref="HE930:HF930"/>
    <mergeCell ref="HE931:HF931"/>
    <mergeCell ref="HE932:HF932"/>
    <mergeCell ref="HE933:HF933"/>
    <mergeCell ref="HE934:HF934"/>
    <mergeCell ref="HE935:HF935"/>
    <mergeCell ref="HE936:HF936"/>
    <mergeCell ref="HE937:HF937"/>
    <mergeCell ref="HE938:HF938"/>
    <mergeCell ref="HE939:HF939"/>
    <mergeCell ref="HE940:HF940"/>
    <mergeCell ref="HE941:HF941"/>
    <mergeCell ref="HE942:HF942"/>
    <mergeCell ref="HE943:HF943"/>
    <mergeCell ref="HE944:HF944"/>
    <mergeCell ref="HE945:HF945"/>
    <mergeCell ref="HE946:HF946"/>
    <mergeCell ref="HE947:HF947"/>
    <mergeCell ref="HE948:HF948"/>
    <mergeCell ref="HE949:HF949"/>
    <mergeCell ref="HE950:HF950"/>
    <mergeCell ref="HE951:HF951"/>
    <mergeCell ref="HE952:HF952"/>
    <mergeCell ref="HE953:HF953"/>
    <mergeCell ref="HE954:HF954"/>
    <mergeCell ref="HE955:HF955"/>
    <mergeCell ref="HE956:HF956"/>
    <mergeCell ref="HE957:HF957"/>
    <mergeCell ref="HE958:HF958"/>
    <mergeCell ref="HE959:HF959"/>
    <mergeCell ref="HE960:HF960"/>
    <mergeCell ref="HE961:HF961"/>
    <mergeCell ref="HE962:HF962"/>
    <mergeCell ref="HE963:HF963"/>
    <mergeCell ref="HE964:HF964"/>
    <mergeCell ref="HE965:HF965"/>
    <mergeCell ref="HE966:HF966"/>
    <mergeCell ref="HE967:HF967"/>
    <mergeCell ref="HE968:HF968"/>
    <mergeCell ref="HE969:HF969"/>
    <mergeCell ref="HE970:HF970"/>
    <mergeCell ref="HE971:HF971"/>
    <mergeCell ref="HE972:HF972"/>
    <mergeCell ref="HE973:HF973"/>
    <mergeCell ref="HE974:HF974"/>
    <mergeCell ref="HE975:HF975"/>
    <mergeCell ref="HE976:HF976"/>
    <mergeCell ref="HE977:HF977"/>
    <mergeCell ref="HE978:HF978"/>
    <mergeCell ref="HE979:HF979"/>
    <mergeCell ref="HE980:HF980"/>
    <mergeCell ref="HE981:HF981"/>
    <mergeCell ref="HE982:HF982"/>
    <mergeCell ref="HE983:HF983"/>
    <mergeCell ref="HE984:HF984"/>
    <mergeCell ref="HE985:HF985"/>
    <mergeCell ref="HE986:HF986"/>
    <mergeCell ref="HE987:HF987"/>
    <mergeCell ref="HE988:HF988"/>
    <mergeCell ref="HE989:HF989"/>
    <mergeCell ref="HE990:HF990"/>
    <mergeCell ref="HE991:HF991"/>
    <mergeCell ref="HE992:HF992"/>
    <mergeCell ref="HE993:HF993"/>
    <mergeCell ref="HE994:HF994"/>
    <mergeCell ref="HE995:HF995"/>
    <mergeCell ref="HE996:HF996"/>
    <mergeCell ref="HE997:HF997"/>
    <mergeCell ref="HE998:HF998"/>
    <mergeCell ref="HE999:HF999"/>
    <mergeCell ref="HE1000:HF1000"/>
    <mergeCell ref="HE1001:HF1001"/>
    <mergeCell ref="HE1002:HF1002"/>
    <mergeCell ref="HE1003:HF1003"/>
    <mergeCell ref="HE1004:HF1004"/>
    <mergeCell ref="HE1005:HF1005"/>
    <mergeCell ref="HE1006:HF1006"/>
    <mergeCell ref="HE1007:HF1007"/>
    <mergeCell ref="HE1008:HF1008"/>
    <mergeCell ref="HE1009:HF1009"/>
    <mergeCell ref="HE1010:HF1010"/>
    <mergeCell ref="HE1011:HF1011"/>
    <mergeCell ref="HE1012:HF1012"/>
    <mergeCell ref="HE1013:HF1013"/>
    <mergeCell ref="HE1014:HF1014"/>
    <mergeCell ref="HE1015:HF1015"/>
    <mergeCell ref="HE1016:HF1016"/>
    <mergeCell ref="HE1017:HF1017"/>
    <mergeCell ref="HE1018:HF1018"/>
    <mergeCell ref="HE1019:HF1019"/>
    <mergeCell ref="HE1020:HF1020"/>
    <mergeCell ref="HE1021:HF1021"/>
    <mergeCell ref="HE1022:HF1022"/>
    <mergeCell ref="HE1023:HF1023"/>
    <mergeCell ref="HE1024:HF1024"/>
    <mergeCell ref="HE1025:HF1025"/>
    <mergeCell ref="HE1026:HF1026"/>
    <mergeCell ref="HE1027:HF1027"/>
    <mergeCell ref="HE1028:HF1028"/>
    <mergeCell ref="HE1029:HF1029"/>
    <mergeCell ref="HE1030:HF1030"/>
    <mergeCell ref="HE1031:HF1031"/>
    <mergeCell ref="HE1032:HF1032"/>
    <mergeCell ref="HE1033:HF1033"/>
    <mergeCell ref="HE1034:HF1034"/>
    <mergeCell ref="HE1035:HF1035"/>
    <mergeCell ref="HE1036:HF1036"/>
    <mergeCell ref="HE1037:HF1037"/>
    <mergeCell ref="HE1038:HF1038"/>
    <mergeCell ref="HE1039:HF1039"/>
    <mergeCell ref="HE1040:HF1040"/>
    <mergeCell ref="HE1041:HF1041"/>
    <mergeCell ref="HE1042:HF1042"/>
    <mergeCell ref="HE1043:HF1043"/>
    <mergeCell ref="HE1044:HF1044"/>
    <mergeCell ref="HE1045:HF1045"/>
    <mergeCell ref="HE1046:HF1046"/>
    <mergeCell ref="HE1047:HF1047"/>
    <mergeCell ref="HE1048:HF1048"/>
    <mergeCell ref="HE1049:HF1049"/>
    <mergeCell ref="HE1050:HF1050"/>
    <mergeCell ref="HE1051:HF1051"/>
    <mergeCell ref="HE1052:HF1052"/>
    <mergeCell ref="HE1053:HF1053"/>
    <mergeCell ref="HE1054:HF1054"/>
    <mergeCell ref="HE1055:HF1055"/>
    <mergeCell ref="HE1056:HF1056"/>
    <mergeCell ref="HE1057:HF1057"/>
    <mergeCell ref="HE1058:HF1058"/>
    <mergeCell ref="HE1059:HF1059"/>
    <mergeCell ref="HE1060:HF1060"/>
    <mergeCell ref="HE1061:HF1061"/>
    <mergeCell ref="HE1062:HF1062"/>
    <mergeCell ref="HE1063:HF1063"/>
    <mergeCell ref="HE1064:HF1064"/>
    <mergeCell ref="HE1065:HF1065"/>
    <mergeCell ref="HE1066:HF1066"/>
    <mergeCell ref="HE1067:HF1067"/>
    <mergeCell ref="HE1068:HF1068"/>
    <mergeCell ref="HE1069:HF1069"/>
    <mergeCell ref="HE1070:HF1070"/>
    <mergeCell ref="HE1071:HF1071"/>
    <mergeCell ref="HE1072:HF1072"/>
    <mergeCell ref="HE1073:HF1073"/>
    <mergeCell ref="HE1074:HF1074"/>
    <mergeCell ref="HE1075:HF1075"/>
    <mergeCell ref="HE1076:HF1076"/>
    <mergeCell ref="HE1077:HF1077"/>
    <mergeCell ref="HE1078:HF1078"/>
    <mergeCell ref="HE1079:HF1079"/>
    <mergeCell ref="HE1080:HF1080"/>
    <mergeCell ref="HE1081:HF1081"/>
    <mergeCell ref="HE1082:HF1082"/>
    <mergeCell ref="HE1083:HF1083"/>
    <mergeCell ref="HE1084:HF1084"/>
    <mergeCell ref="HE1085:HF1085"/>
    <mergeCell ref="HE1086:HF1086"/>
    <mergeCell ref="HE1087:HF1087"/>
    <mergeCell ref="HE1088:HF1088"/>
    <mergeCell ref="HE1089:HF1089"/>
    <mergeCell ref="HE1090:HF1090"/>
    <mergeCell ref="HE1091:HF1091"/>
    <mergeCell ref="HE1092:HF1092"/>
    <mergeCell ref="HE1093:HF1093"/>
    <mergeCell ref="HE1094:HF1094"/>
    <mergeCell ref="HE1095:HF1095"/>
    <mergeCell ref="HE1096:HF1096"/>
    <mergeCell ref="HE1097:HF1097"/>
    <mergeCell ref="HE1098:HF1098"/>
    <mergeCell ref="HE1099:HF1099"/>
    <mergeCell ref="HE1100:HF1100"/>
    <mergeCell ref="HE1101:HF1101"/>
    <mergeCell ref="HE1102:HF1102"/>
    <mergeCell ref="HE1103:HF1103"/>
    <mergeCell ref="HE1104:HF1104"/>
    <mergeCell ref="HE1105:HF1105"/>
    <mergeCell ref="HE1106:HF1106"/>
    <mergeCell ref="HE1107:HF1107"/>
    <mergeCell ref="HE1108:HF1108"/>
    <mergeCell ref="HE1109:HF1109"/>
    <mergeCell ref="HE1110:HF1110"/>
    <mergeCell ref="HE1111:HF1111"/>
    <mergeCell ref="HE1112:HF1112"/>
    <mergeCell ref="HE1113:HF1113"/>
    <mergeCell ref="HE1114:HF1114"/>
    <mergeCell ref="HE1115:HF1115"/>
    <mergeCell ref="HE1116:HF1116"/>
    <mergeCell ref="HE1117:HF1117"/>
    <mergeCell ref="HE1118:HF1118"/>
    <mergeCell ref="HE1119:HF1119"/>
    <mergeCell ref="HE1120:HF1120"/>
    <mergeCell ref="HE1121:HF1121"/>
    <mergeCell ref="HE1122:HF1122"/>
    <mergeCell ref="HE1123:HF1123"/>
    <mergeCell ref="HE1124:HF1124"/>
    <mergeCell ref="HE1125:HF1125"/>
    <mergeCell ref="HE1126:HF1126"/>
    <mergeCell ref="HE1127:HF1127"/>
    <mergeCell ref="HE1128:HF1128"/>
    <mergeCell ref="HE1129:HF1129"/>
    <mergeCell ref="HE1130:HF1130"/>
    <mergeCell ref="HE1131:HF1131"/>
    <mergeCell ref="HE1132:HF1132"/>
    <mergeCell ref="HE1133:HF1133"/>
    <mergeCell ref="HE1134:HF1134"/>
    <mergeCell ref="HE1135:HF1135"/>
    <mergeCell ref="HE1136:HF1136"/>
    <mergeCell ref="HE1137:HF1137"/>
    <mergeCell ref="HE1138:HF1138"/>
    <mergeCell ref="HE1139:HF1139"/>
    <mergeCell ref="HE1140:HF1140"/>
    <mergeCell ref="HE1141:HF1141"/>
    <mergeCell ref="HE1142:HF1142"/>
    <mergeCell ref="HE1143:HF1143"/>
    <mergeCell ref="HE1144:HF1144"/>
    <mergeCell ref="HE1145:HF1145"/>
    <mergeCell ref="HE1146:HF1146"/>
    <mergeCell ref="HE1147:HF1147"/>
    <mergeCell ref="HE1148:HF1148"/>
    <mergeCell ref="HE1149:HF1149"/>
    <mergeCell ref="HE1150:HF1150"/>
    <mergeCell ref="HE1151:HF1151"/>
    <mergeCell ref="HE1152:HF1152"/>
    <mergeCell ref="HE1153:HF1153"/>
    <mergeCell ref="HE1154:HF1154"/>
    <mergeCell ref="HE1155:HF1155"/>
    <mergeCell ref="HE1156:HF1156"/>
    <mergeCell ref="HE1157:HF1157"/>
    <mergeCell ref="HE1158:HF1158"/>
    <mergeCell ref="HE1159:HF1159"/>
    <mergeCell ref="HE1160:HF1160"/>
    <mergeCell ref="HE1161:HF1161"/>
    <mergeCell ref="HE1162:HF1162"/>
    <mergeCell ref="HE1163:HF1163"/>
    <mergeCell ref="HE1164:HF1164"/>
    <mergeCell ref="HE1165:HF1165"/>
    <mergeCell ref="HE1166:HF1166"/>
    <mergeCell ref="HE1167:HF1167"/>
    <mergeCell ref="HE1168:HF1168"/>
    <mergeCell ref="HE1169:HF1169"/>
    <mergeCell ref="HE1170:HF1170"/>
    <mergeCell ref="HE1171:HF1171"/>
    <mergeCell ref="HE1172:HF1172"/>
    <mergeCell ref="HE1173:HF1173"/>
    <mergeCell ref="HE1174:HF1174"/>
    <mergeCell ref="HE1175:HF1175"/>
    <mergeCell ref="HE1176:HF1176"/>
    <mergeCell ref="HE1177:HF1177"/>
    <mergeCell ref="HE1178:HF1178"/>
    <mergeCell ref="HE1179:HF1179"/>
    <mergeCell ref="HE1180:HF1180"/>
    <mergeCell ref="HE1181:HF1181"/>
    <mergeCell ref="HE1182:HF1182"/>
    <mergeCell ref="HE1183:HF1183"/>
    <mergeCell ref="HE1184:HF1184"/>
    <mergeCell ref="HE1185:HF1185"/>
    <mergeCell ref="HE1186:HF1186"/>
    <mergeCell ref="HE1187:HF1187"/>
    <mergeCell ref="HE1188:HF1188"/>
    <mergeCell ref="HE1189:HF1189"/>
    <mergeCell ref="HE1190:HF1190"/>
    <mergeCell ref="HE1191:HF1191"/>
    <mergeCell ref="HE1192:HF1192"/>
    <mergeCell ref="HE1193:HF1193"/>
    <mergeCell ref="HE1194:HF1194"/>
    <mergeCell ref="HE1195:HF1195"/>
    <mergeCell ref="HE1196:HF1196"/>
    <mergeCell ref="HE1197:HF1197"/>
    <mergeCell ref="HE1198:HF1198"/>
    <mergeCell ref="HE1199:HF1199"/>
    <mergeCell ref="HE1200:HF1200"/>
    <mergeCell ref="HE1201:HF1201"/>
    <mergeCell ref="HE1202:HF1202"/>
    <mergeCell ref="HE1203:HF1203"/>
    <mergeCell ref="HE1204:HF1204"/>
    <mergeCell ref="HE1205:HF1205"/>
    <mergeCell ref="HE1206:HF1206"/>
    <mergeCell ref="HE1207:HF1207"/>
    <mergeCell ref="HE1208:HF1208"/>
    <mergeCell ref="HE1209:HF1209"/>
    <mergeCell ref="HE1210:HF1210"/>
    <mergeCell ref="HE1211:HF1211"/>
    <mergeCell ref="HE1212:HF1212"/>
    <mergeCell ref="HE1213:HF1213"/>
    <mergeCell ref="HE1214:HF1214"/>
    <mergeCell ref="HE1215:HF1215"/>
    <mergeCell ref="HE1216:HF1216"/>
    <mergeCell ref="HE1217:HF1217"/>
    <mergeCell ref="HE1218:HF1218"/>
    <mergeCell ref="HE1219:HF1219"/>
    <mergeCell ref="HE1220:HF1220"/>
    <mergeCell ref="HE1221:HF1221"/>
    <mergeCell ref="HE1222:HF1222"/>
    <mergeCell ref="HE1223:HF1223"/>
    <mergeCell ref="HE1224:HF1224"/>
    <mergeCell ref="HE1225:HF1225"/>
    <mergeCell ref="HE1226:HF1226"/>
    <mergeCell ref="HE1227:HF1227"/>
    <mergeCell ref="HE1228:HF1228"/>
    <mergeCell ref="HE1229:HF1229"/>
    <mergeCell ref="HE1230:HF1230"/>
    <mergeCell ref="HE1231:HF1231"/>
    <mergeCell ref="HE1232:HF1232"/>
    <mergeCell ref="HE1233:HF1233"/>
    <mergeCell ref="HE1234:HF1234"/>
    <mergeCell ref="HE1235:HF1235"/>
    <mergeCell ref="HE1236:HF1236"/>
    <mergeCell ref="HE1237:HF1237"/>
    <mergeCell ref="HE1238:HF1238"/>
    <mergeCell ref="HE1239:HF1239"/>
    <mergeCell ref="HE1240:HF1240"/>
    <mergeCell ref="HE1241:HF1241"/>
    <mergeCell ref="HE1242:HF1242"/>
    <mergeCell ref="HE1243:HF1243"/>
    <mergeCell ref="HE1244:HF1244"/>
    <mergeCell ref="HE1245:HF1245"/>
    <mergeCell ref="HE1246:HF1246"/>
    <mergeCell ref="HE1247:HF1247"/>
    <mergeCell ref="HE1248:HF1248"/>
    <mergeCell ref="HE1249:HF1249"/>
    <mergeCell ref="HE1250:HF1250"/>
    <mergeCell ref="HE1251:HF1251"/>
    <mergeCell ref="HE1252:HF1252"/>
    <mergeCell ref="HE1253:HF1253"/>
    <mergeCell ref="HE1254:HF1254"/>
    <mergeCell ref="HE1255:HF1255"/>
    <mergeCell ref="HE1256:HF1256"/>
    <mergeCell ref="HE1257:HF1257"/>
    <mergeCell ref="HE1258:HF1258"/>
    <mergeCell ref="HE1259:HF1259"/>
    <mergeCell ref="HE1260:HF1260"/>
    <mergeCell ref="HE1261:HF1261"/>
    <mergeCell ref="HE1262:HF1262"/>
    <mergeCell ref="HE1263:HF1263"/>
    <mergeCell ref="HE1264:HF1264"/>
    <mergeCell ref="HE1265:HF1265"/>
    <mergeCell ref="HE1266:HF1266"/>
    <mergeCell ref="HE1267:HF1267"/>
    <mergeCell ref="HE1268:HF1268"/>
    <mergeCell ref="HE1269:HF1269"/>
    <mergeCell ref="HE1270:HF1270"/>
    <mergeCell ref="HE1271:HF1271"/>
    <mergeCell ref="HE1272:HF1272"/>
    <mergeCell ref="HE1273:HF1273"/>
    <mergeCell ref="HE1274:HF1274"/>
    <mergeCell ref="HE1275:HF1275"/>
    <mergeCell ref="HE1276:HF1276"/>
    <mergeCell ref="HE1277:HF1277"/>
    <mergeCell ref="HE1278:HF1278"/>
    <mergeCell ref="HE1279:HF1279"/>
    <mergeCell ref="HE1280:HF1280"/>
    <mergeCell ref="HE1281:HF1281"/>
    <mergeCell ref="HE1282:HF1282"/>
    <mergeCell ref="HE1283:HF1283"/>
    <mergeCell ref="HE1284:HF1284"/>
    <mergeCell ref="HE1285:HF1285"/>
    <mergeCell ref="HE1286:HF1286"/>
    <mergeCell ref="HE1287:HF1287"/>
    <mergeCell ref="HE1288:HF1288"/>
    <mergeCell ref="HE1289:HF1289"/>
    <mergeCell ref="HE1290:HF1290"/>
    <mergeCell ref="HE1291:HF1291"/>
    <mergeCell ref="HE1292:HF1292"/>
    <mergeCell ref="HE1293:HF1293"/>
    <mergeCell ref="HE1294:HF1294"/>
    <mergeCell ref="HE1295:HF1295"/>
    <mergeCell ref="HE1296:HF1296"/>
    <mergeCell ref="HE1297:HF1297"/>
    <mergeCell ref="HE1298:HF1298"/>
    <mergeCell ref="HE1299:HF1299"/>
    <mergeCell ref="HE1300:HF1300"/>
    <mergeCell ref="HE1301:HF1301"/>
    <mergeCell ref="HE1302:HF1302"/>
    <mergeCell ref="HE1303:HF1303"/>
    <mergeCell ref="HE1304:HF1304"/>
    <mergeCell ref="HE1305:HF1305"/>
    <mergeCell ref="HE1306:HF1306"/>
    <mergeCell ref="HE1307:HF1307"/>
    <mergeCell ref="HE1308:HF1308"/>
    <mergeCell ref="HE1309:HF1309"/>
    <mergeCell ref="HE1310:HF1310"/>
    <mergeCell ref="HE1311:HF1311"/>
    <mergeCell ref="HE1312:HF1312"/>
    <mergeCell ref="HE1313:HF1313"/>
    <mergeCell ref="HE1314:HF1314"/>
    <mergeCell ref="HE1315:HF1315"/>
    <mergeCell ref="HE1316:HF1316"/>
    <mergeCell ref="HE1317:HF1317"/>
    <mergeCell ref="HE1318:HF1318"/>
    <mergeCell ref="HE1319:HF1319"/>
    <mergeCell ref="HE1320:HF1320"/>
    <mergeCell ref="HE1321:HF1321"/>
    <mergeCell ref="HE1322:HF1322"/>
    <mergeCell ref="HE1323:HF1323"/>
    <mergeCell ref="HE1324:HF1324"/>
    <mergeCell ref="HE1325:HF1325"/>
    <mergeCell ref="HE1326:HF1326"/>
    <mergeCell ref="HE1327:HF1327"/>
    <mergeCell ref="HE1328:HF1328"/>
    <mergeCell ref="HE1329:HF1329"/>
    <mergeCell ref="HE1330:HF1330"/>
    <mergeCell ref="HE1331:HF1331"/>
    <mergeCell ref="HE1332:HF1332"/>
    <mergeCell ref="HE1333:HF1333"/>
    <mergeCell ref="HE1334:HF1334"/>
    <mergeCell ref="HE1335:HF1335"/>
    <mergeCell ref="HE1336:HF1336"/>
    <mergeCell ref="HE1337:HF1337"/>
    <mergeCell ref="HE1338:HF1338"/>
    <mergeCell ref="HE1339:HF1339"/>
    <mergeCell ref="HE1340:HF1340"/>
    <mergeCell ref="HE1341:HF1341"/>
    <mergeCell ref="HE1342:HF1342"/>
    <mergeCell ref="HE1343:HF1343"/>
    <mergeCell ref="HE1344:HF1344"/>
    <mergeCell ref="HE1345:HF1345"/>
    <mergeCell ref="HE1346:HF1346"/>
    <mergeCell ref="HE1347:HF1347"/>
    <mergeCell ref="HE1348:HF1348"/>
    <mergeCell ref="HE1349:HF1349"/>
    <mergeCell ref="HE1350:HF1350"/>
    <mergeCell ref="HE1351:HF1351"/>
    <mergeCell ref="HE1352:HF1352"/>
    <mergeCell ref="HE1353:HF1353"/>
    <mergeCell ref="HE1354:HF1354"/>
    <mergeCell ref="HE1355:HF1355"/>
    <mergeCell ref="HE1356:HF1356"/>
    <mergeCell ref="HE1357:HF1357"/>
    <mergeCell ref="HE1358:HF1358"/>
    <mergeCell ref="HE1359:HF1359"/>
    <mergeCell ref="HE1360:HF1360"/>
    <mergeCell ref="HE1361:HF1361"/>
    <mergeCell ref="HE1362:HF1362"/>
    <mergeCell ref="HE1363:HF1363"/>
    <mergeCell ref="HE1364:HF1364"/>
    <mergeCell ref="HE1365:HF1365"/>
    <mergeCell ref="HE1366:HF1366"/>
    <mergeCell ref="HE1367:HF1367"/>
    <mergeCell ref="HE1368:HF1368"/>
    <mergeCell ref="HE1369:HF1369"/>
    <mergeCell ref="HE1370:HF1370"/>
    <mergeCell ref="HE1371:HF1371"/>
    <mergeCell ref="HE1372:HF1372"/>
    <mergeCell ref="HE1373:HF1373"/>
    <mergeCell ref="HE1374:HF1374"/>
    <mergeCell ref="HE1375:HF1375"/>
    <mergeCell ref="HE1376:HF1376"/>
    <mergeCell ref="HE1377:HF1377"/>
    <mergeCell ref="HE1378:HF1378"/>
    <mergeCell ref="HE1379:HF1379"/>
    <mergeCell ref="HE1380:HF1380"/>
    <mergeCell ref="HE1381:HF1381"/>
    <mergeCell ref="HE1382:HF1382"/>
    <mergeCell ref="HE1383:HF1383"/>
    <mergeCell ref="HE1384:HF1384"/>
    <mergeCell ref="HE1385:HF1385"/>
    <mergeCell ref="HE1386:HF1386"/>
    <mergeCell ref="HE1387:HF1387"/>
    <mergeCell ref="HE1388:HF1388"/>
    <mergeCell ref="HE1389:HF1389"/>
    <mergeCell ref="HE1390:HF1390"/>
    <mergeCell ref="HE1391:HF1391"/>
    <mergeCell ref="HE1392:HF1392"/>
    <mergeCell ref="HE1393:HF1393"/>
    <mergeCell ref="HE1394:HF1394"/>
    <mergeCell ref="HE1395:HF1395"/>
    <mergeCell ref="HE1396:HF1396"/>
    <mergeCell ref="HE1397:HF1397"/>
    <mergeCell ref="HE1398:HF1398"/>
    <mergeCell ref="HE1399:HF1399"/>
    <mergeCell ref="HE1400:HF1400"/>
    <mergeCell ref="HE1401:HF1401"/>
    <mergeCell ref="HE1402:HF1402"/>
    <mergeCell ref="HE1403:HF1403"/>
    <mergeCell ref="HE1404:HF1404"/>
    <mergeCell ref="HE1405:HF1405"/>
    <mergeCell ref="HE1406:HF1406"/>
    <mergeCell ref="HE1407:HF1407"/>
    <mergeCell ref="HE1408:HF1408"/>
    <mergeCell ref="HE1409:HF1409"/>
    <mergeCell ref="HE1410:HF1410"/>
    <mergeCell ref="HE1411:HF1411"/>
    <mergeCell ref="HE1412:HF1412"/>
    <mergeCell ref="HE1413:HF1413"/>
    <mergeCell ref="HE1414:HF1414"/>
    <mergeCell ref="HE1415:HF1415"/>
    <mergeCell ref="HE1416:HF1416"/>
    <mergeCell ref="HE1417:HF1417"/>
    <mergeCell ref="HE1418:HF1418"/>
    <mergeCell ref="HE1419:HF1419"/>
    <mergeCell ref="HE1420:HF1420"/>
    <mergeCell ref="HE1421:HF1421"/>
    <mergeCell ref="HE1422:HF1422"/>
    <mergeCell ref="HE1423:HF1423"/>
    <mergeCell ref="HE1424:HF1424"/>
    <mergeCell ref="HE1425:HF1425"/>
    <mergeCell ref="HE1426:HF1426"/>
    <mergeCell ref="HE1427:HF1427"/>
    <mergeCell ref="HE1428:HF1428"/>
    <mergeCell ref="HE1429:HF1429"/>
    <mergeCell ref="HE1430:HF1430"/>
    <mergeCell ref="HE1431:HF1431"/>
    <mergeCell ref="HE1432:HF1432"/>
    <mergeCell ref="HE1433:HF1433"/>
    <mergeCell ref="HE1434:HF1434"/>
    <mergeCell ref="HE1435:HF1435"/>
    <mergeCell ref="HE1436:HF1436"/>
    <mergeCell ref="HE1437:HF1437"/>
    <mergeCell ref="HE1438:HF1438"/>
    <mergeCell ref="HE1439:HF1439"/>
    <mergeCell ref="HE1440:HF1440"/>
    <mergeCell ref="HE1441:HF1441"/>
    <mergeCell ref="HE1442:HF1442"/>
    <mergeCell ref="HE1443:HF1443"/>
    <mergeCell ref="HE1444:HF1444"/>
    <mergeCell ref="HE1445:HF1445"/>
    <mergeCell ref="HE1446:HF1446"/>
    <mergeCell ref="HE1447:HF1447"/>
    <mergeCell ref="HE1448:HF1448"/>
    <mergeCell ref="HE1449:HF1449"/>
    <mergeCell ref="HE1450:HF1450"/>
    <mergeCell ref="HE1451:HF1451"/>
    <mergeCell ref="HE1452:HF1452"/>
    <mergeCell ref="HE1453:HF1453"/>
    <mergeCell ref="HE1454:HF1454"/>
    <mergeCell ref="HE1455:HF1455"/>
    <mergeCell ref="HE1456:HF1456"/>
    <mergeCell ref="HE1457:HF1457"/>
    <mergeCell ref="HE1458:HF1458"/>
    <mergeCell ref="HE1459:HF1459"/>
    <mergeCell ref="HE1460:HF1460"/>
    <mergeCell ref="HE1461:HF1461"/>
    <mergeCell ref="HE1462:HF1462"/>
    <mergeCell ref="HE1463:HF1463"/>
    <mergeCell ref="HE1464:HF1464"/>
    <mergeCell ref="HE1465:HF1465"/>
    <mergeCell ref="HE1466:HF1466"/>
    <mergeCell ref="HE1467:HF1467"/>
    <mergeCell ref="HE1468:HF1468"/>
    <mergeCell ref="HE1469:HF1469"/>
    <mergeCell ref="HE1470:HF1470"/>
    <mergeCell ref="HE1471:HF1471"/>
    <mergeCell ref="HE1472:HF1472"/>
    <mergeCell ref="HE1473:HF1473"/>
    <mergeCell ref="HE1474:HF1474"/>
    <mergeCell ref="HE1475:HF1475"/>
    <mergeCell ref="HE1476:HF1476"/>
    <mergeCell ref="HE1477:HF1477"/>
    <mergeCell ref="HE1478:HF1478"/>
    <mergeCell ref="HE1479:HF1479"/>
    <mergeCell ref="HE1480:HF1480"/>
    <mergeCell ref="HE1481:HF1481"/>
    <mergeCell ref="HE1482:HF1482"/>
    <mergeCell ref="HE1483:HF1483"/>
    <mergeCell ref="HE1484:HF1484"/>
    <mergeCell ref="HE1485:HF1485"/>
    <mergeCell ref="HE1486:HF1486"/>
    <mergeCell ref="HE1487:HF1487"/>
    <mergeCell ref="HE1488:HF1488"/>
    <mergeCell ref="HE1489:HF1489"/>
    <mergeCell ref="HE1490:HF1490"/>
    <mergeCell ref="HE1491:HF1491"/>
    <mergeCell ref="HE1492:HF1492"/>
    <mergeCell ref="HE1493:HF1493"/>
    <mergeCell ref="HE1494:HF1494"/>
    <mergeCell ref="HE1495:HF1495"/>
    <mergeCell ref="HE1496:HF1496"/>
    <mergeCell ref="HE1497:HF1497"/>
    <mergeCell ref="HE1498:HF1498"/>
    <mergeCell ref="HE1499:HF1499"/>
    <mergeCell ref="HE1500:HF1500"/>
    <mergeCell ref="HH789:HI789"/>
    <mergeCell ref="HH790:HI790"/>
    <mergeCell ref="HH791:HI791"/>
    <mergeCell ref="HH792:HI792"/>
    <mergeCell ref="HH793:HI793"/>
    <mergeCell ref="HH794:HI794"/>
    <mergeCell ref="HH795:HI795"/>
    <mergeCell ref="HH796:HI796"/>
    <mergeCell ref="HH797:HI797"/>
    <mergeCell ref="HH798:HI798"/>
    <mergeCell ref="HH799:HI799"/>
    <mergeCell ref="HH800:HI800"/>
    <mergeCell ref="HH801:HI801"/>
    <mergeCell ref="HH802:HI802"/>
    <mergeCell ref="HH803:HI803"/>
    <mergeCell ref="HH804:HI804"/>
    <mergeCell ref="HH805:HI805"/>
    <mergeCell ref="HH806:HI806"/>
    <mergeCell ref="HH807:HI807"/>
    <mergeCell ref="HH808:HI808"/>
    <mergeCell ref="HH809:HI809"/>
    <mergeCell ref="HH810:HI810"/>
    <mergeCell ref="HH811:HI811"/>
    <mergeCell ref="HH812:HI812"/>
    <mergeCell ref="HH813:HI813"/>
    <mergeCell ref="HH814:HI814"/>
    <mergeCell ref="HH815:HI815"/>
    <mergeCell ref="HH816:HI816"/>
    <mergeCell ref="HH817:HI817"/>
    <mergeCell ref="HH818:HI818"/>
    <mergeCell ref="HH819:HI819"/>
    <mergeCell ref="HH820:HI820"/>
    <mergeCell ref="HH821:HI821"/>
    <mergeCell ref="HH822:HI822"/>
    <mergeCell ref="HH823:HI823"/>
    <mergeCell ref="HH824:HI824"/>
    <mergeCell ref="HH825:HI825"/>
    <mergeCell ref="HH826:HI826"/>
    <mergeCell ref="HH827:HI827"/>
    <mergeCell ref="HH828:HI828"/>
    <mergeCell ref="HH829:HI829"/>
    <mergeCell ref="HH830:HI830"/>
    <mergeCell ref="HH831:HI831"/>
    <mergeCell ref="HH832:HI832"/>
    <mergeCell ref="HH833:HI833"/>
    <mergeCell ref="HH834:HI834"/>
    <mergeCell ref="HH835:HI835"/>
    <mergeCell ref="HH836:HI836"/>
    <mergeCell ref="HH837:HI837"/>
    <mergeCell ref="HH838:HI838"/>
    <mergeCell ref="HH839:HI839"/>
    <mergeCell ref="HH840:HI840"/>
    <mergeCell ref="HH841:HI841"/>
    <mergeCell ref="HH842:HI842"/>
    <mergeCell ref="HH843:HI843"/>
    <mergeCell ref="HH844:HI844"/>
    <mergeCell ref="HH845:HI845"/>
    <mergeCell ref="HH846:HI846"/>
    <mergeCell ref="HH847:HI847"/>
    <mergeCell ref="HH848:HI848"/>
    <mergeCell ref="HH849:HI849"/>
    <mergeCell ref="HH850:HI850"/>
    <mergeCell ref="HH851:HI851"/>
    <mergeCell ref="HH852:HI852"/>
    <mergeCell ref="HH853:HI853"/>
    <mergeCell ref="HH854:HI854"/>
    <mergeCell ref="HH855:HI855"/>
    <mergeCell ref="HH856:HI856"/>
    <mergeCell ref="HH857:HI857"/>
    <mergeCell ref="HH858:HI858"/>
    <mergeCell ref="HH859:HI859"/>
    <mergeCell ref="HH860:HI860"/>
    <mergeCell ref="HH861:HI861"/>
    <mergeCell ref="HH862:HI862"/>
    <mergeCell ref="HH863:HI863"/>
    <mergeCell ref="HH864:HI864"/>
    <mergeCell ref="HH865:HI865"/>
    <mergeCell ref="HH866:HI866"/>
    <mergeCell ref="HH867:HI867"/>
    <mergeCell ref="HH868:HI868"/>
    <mergeCell ref="HH869:HI869"/>
    <mergeCell ref="HH870:HI870"/>
    <mergeCell ref="HH871:HI871"/>
    <mergeCell ref="HH872:HI872"/>
    <mergeCell ref="HH873:HI873"/>
    <mergeCell ref="HH874:HI874"/>
    <mergeCell ref="HH875:HI875"/>
    <mergeCell ref="HH876:HI876"/>
    <mergeCell ref="HH877:HI877"/>
    <mergeCell ref="HH878:HI878"/>
    <mergeCell ref="HH879:HI879"/>
    <mergeCell ref="HH880:HI880"/>
    <mergeCell ref="HH881:HI881"/>
    <mergeCell ref="HH882:HI882"/>
    <mergeCell ref="HH883:HI883"/>
    <mergeCell ref="HH884:HI884"/>
    <mergeCell ref="HH885:HI885"/>
    <mergeCell ref="HH886:HI886"/>
    <mergeCell ref="HH887:HI887"/>
    <mergeCell ref="HH888:HI888"/>
    <mergeCell ref="HH889:HI889"/>
    <mergeCell ref="HH890:HI890"/>
    <mergeCell ref="HH891:HI891"/>
    <mergeCell ref="HH892:HI892"/>
    <mergeCell ref="HH893:HI893"/>
    <mergeCell ref="HH894:HI894"/>
    <mergeCell ref="HH895:HI895"/>
    <mergeCell ref="HH896:HI896"/>
    <mergeCell ref="HH897:HI897"/>
    <mergeCell ref="HH898:HI898"/>
    <mergeCell ref="HH899:HI899"/>
    <mergeCell ref="HH900:HI900"/>
    <mergeCell ref="HH901:HI901"/>
    <mergeCell ref="HH902:HI902"/>
    <mergeCell ref="HH903:HI903"/>
    <mergeCell ref="HH904:HI904"/>
    <mergeCell ref="HH905:HI905"/>
    <mergeCell ref="HH906:HI906"/>
    <mergeCell ref="HH907:HI907"/>
    <mergeCell ref="HH908:HI908"/>
    <mergeCell ref="HH909:HI909"/>
    <mergeCell ref="HH910:HI910"/>
    <mergeCell ref="HH911:HI911"/>
    <mergeCell ref="HH912:HI912"/>
    <mergeCell ref="HH913:HI913"/>
    <mergeCell ref="HH914:HI914"/>
    <mergeCell ref="HH915:HI915"/>
    <mergeCell ref="HH916:HI916"/>
    <mergeCell ref="HH917:HI917"/>
    <mergeCell ref="HH918:HI918"/>
    <mergeCell ref="HH919:HI919"/>
    <mergeCell ref="HH920:HI920"/>
    <mergeCell ref="HH921:HI921"/>
    <mergeCell ref="HH922:HI922"/>
    <mergeCell ref="HH923:HI923"/>
    <mergeCell ref="HH924:HI924"/>
    <mergeCell ref="HH925:HI925"/>
    <mergeCell ref="HH926:HI926"/>
    <mergeCell ref="HH927:HI927"/>
    <mergeCell ref="HH928:HI928"/>
    <mergeCell ref="HH929:HI929"/>
    <mergeCell ref="HH930:HI930"/>
    <mergeCell ref="HH931:HI931"/>
    <mergeCell ref="HH932:HI932"/>
    <mergeCell ref="HH933:HI933"/>
    <mergeCell ref="HH934:HI934"/>
    <mergeCell ref="HH935:HI935"/>
    <mergeCell ref="HH936:HI936"/>
    <mergeCell ref="HH937:HI937"/>
    <mergeCell ref="HH938:HI938"/>
    <mergeCell ref="HH939:HI939"/>
    <mergeCell ref="HH940:HI940"/>
    <mergeCell ref="HH941:HI941"/>
    <mergeCell ref="HH942:HI942"/>
    <mergeCell ref="HH943:HI943"/>
    <mergeCell ref="HH944:HI944"/>
    <mergeCell ref="HH945:HI945"/>
    <mergeCell ref="HH946:HI946"/>
    <mergeCell ref="HH947:HI947"/>
    <mergeCell ref="HH948:HI948"/>
    <mergeCell ref="HH949:HI949"/>
    <mergeCell ref="HH950:HI950"/>
    <mergeCell ref="HH951:HI951"/>
    <mergeCell ref="HH952:HI952"/>
    <mergeCell ref="HH953:HI953"/>
    <mergeCell ref="HH954:HI954"/>
    <mergeCell ref="HH955:HI955"/>
    <mergeCell ref="HH956:HI956"/>
    <mergeCell ref="HH957:HI957"/>
    <mergeCell ref="HH958:HI958"/>
    <mergeCell ref="HH959:HI959"/>
    <mergeCell ref="HH960:HI960"/>
    <mergeCell ref="HH961:HI961"/>
    <mergeCell ref="HH962:HI962"/>
    <mergeCell ref="HH963:HI963"/>
    <mergeCell ref="HH964:HI964"/>
    <mergeCell ref="HH965:HI965"/>
    <mergeCell ref="HH966:HI966"/>
    <mergeCell ref="HH967:HI967"/>
    <mergeCell ref="HH968:HI968"/>
    <mergeCell ref="HH969:HI969"/>
    <mergeCell ref="HH970:HI970"/>
    <mergeCell ref="HH971:HI971"/>
    <mergeCell ref="HH972:HI972"/>
    <mergeCell ref="HH973:HI973"/>
    <mergeCell ref="HH974:HI974"/>
    <mergeCell ref="HH975:HI975"/>
    <mergeCell ref="HH976:HI976"/>
    <mergeCell ref="HH977:HI977"/>
    <mergeCell ref="HH978:HI978"/>
    <mergeCell ref="HH979:HI979"/>
    <mergeCell ref="HH980:HI980"/>
    <mergeCell ref="HH981:HI981"/>
    <mergeCell ref="HH982:HI982"/>
    <mergeCell ref="HH983:HI983"/>
    <mergeCell ref="HH984:HI984"/>
    <mergeCell ref="HH985:HI985"/>
    <mergeCell ref="HH986:HI986"/>
    <mergeCell ref="HH987:HI987"/>
    <mergeCell ref="HH988:HI988"/>
    <mergeCell ref="HH989:HI989"/>
    <mergeCell ref="HH990:HI990"/>
    <mergeCell ref="HH991:HI991"/>
    <mergeCell ref="HH992:HI992"/>
    <mergeCell ref="HH993:HI993"/>
    <mergeCell ref="HH994:HI994"/>
    <mergeCell ref="HH995:HI995"/>
    <mergeCell ref="HH996:HI996"/>
    <mergeCell ref="HH997:HI997"/>
    <mergeCell ref="HH998:HI998"/>
    <mergeCell ref="HH999:HI999"/>
    <mergeCell ref="HH1000:HI1000"/>
    <mergeCell ref="HH1001:HI1001"/>
    <mergeCell ref="HH1002:HI1002"/>
    <mergeCell ref="HH1003:HI1003"/>
    <mergeCell ref="HH1004:HI1004"/>
    <mergeCell ref="HH1005:HI1005"/>
    <mergeCell ref="HH1006:HI1006"/>
    <mergeCell ref="HH1007:HI1007"/>
    <mergeCell ref="HH1008:HI1008"/>
    <mergeCell ref="HH1009:HI1009"/>
    <mergeCell ref="HH1010:HI1010"/>
    <mergeCell ref="HH1011:HI1011"/>
    <mergeCell ref="HH1012:HI1012"/>
    <mergeCell ref="HH1013:HI1013"/>
    <mergeCell ref="HH1014:HI1014"/>
    <mergeCell ref="HH1015:HI1015"/>
    <mergeCell ref="HH1016:HI1016"/>
    <mergeCell ref="HH1017:HI1017"/>
    <mergeCell ref="HH1018:HI1018"/>
    <mergeCell ref="HH1019:HI1019"/>
    <mergeCell ref="HH1020:HI1020"/>
    <mergeCell ref="HH1021:HI1021"/>
    <mergeCell ref="HH1022:HI1022"/>
    <mergeCell ref="HH1023:HI1023"/>
    <mergeCell ref="HH1024:HI1024"/>
    <mergeCell ref="HH1025:HI1025"/>
    <mergeCell ref="HH1026:HI1026"/>
    <mergeCell ref="HH1027:HI1027"/>
    <mergeCell ref="HH1028:HI1028"/>
    <mergeCell ref="HH1029:HI1029"/>
    <mergeCell ref="HH1030:HI1030"/>
    <mergeCell ref="HH1031:HI1031"/>
    <mergeCell ref="HH1032:HI1032"/>
    <mergeCell ref="HH1033:HI1033"/>
    <mergeCell ref="HH1034:HI1034"/>
    <mergeCell ref="HH1035:HI1035"/>
    <mergeCell ref="HH1036:HI1036"/>
    <mergeCell ref="HH1037:HI1037"/>
    <mergeCell ref="HH1038:HI1038"/>
    <mergeCell ref="HH1039:HI1039"/>
    <mergeCell ref="HH1040:HI1040"/>
    <mergeCell ref="HH1041:HI1041"/>
    <mergeCell ref="HH1042:HI1042"/>
    <mergeCell ref="HH1043:HI1043"/>
    <mergeCell ref="HH1044:HI1044"/>
    <mergeCell ref="HH1045:HI1045"/>
    <mergeCell ref="HH1046:HI1046"/>
    <mergeCell ref="HH1047:HI1047"/>
    <mergeCell ref="HH1048:HI1048"/>
    <mergeCell ref="HH1049:HI1049"/>
    <mergeCell ref="HH1050:HI1050"/>
    <mergeCell ref="HH1051:HI1051"/>
    <mergeCell ref="HH1052:HI1052"/>
    <mergeCell ref="HH1053:HI1053"/>
    <mergeCell ref="HH1054:HI1054"/>
    <mergeCell ref="HH1055:HI1055"/>
    <mergeCell ref="HH1056:HI1056"/>
    <mergeCell ref="HH1057:HI1057"/>
    <mergeCell ref="HH1058:HI1058"/>
    <mergeCell ref="HH1059:HI1059"/>
    <mergeCell ref="HH1060:HI1060"/>
    <mergeCell ref="HH1061:HI1061"/>
    <mergeCell ref="HH1062:HI1062"/>
    <mergeCell ref="HH1063:HI1063"/>
    <mergeCell ref="HH1064:HI1064"/>
    <mergeCell ref="HH1065:HI1065"/>
    <mergeCell ref="HH1066:HI1066"/>
    <mergeCell ref="HH1067:HI1067"/>
    <mergeCell ref="HH1068:HI1068"/>
    <mergeCell ref="HH1069:HI1069"/>
    <mergeCell ref="HH1070:HI1070"/>
    <mergeCell ref="HH1071:HI1071"/>
    <mergeCell ref="HH1072:HI1072"/>
    <mergeCell ref="HH1073:HI1073"/>
    <mergeCell ref="HH1074:HI1074"/>
    <mergeCell ref="HH1075:HI1075"/>
    <mergeCell ref="HH1076:HI1076"/>
    <mergeCell ref="HH1077:HI1077"/>
    <mergeCell ref="HH1078:HI1078"/>
    <mergeCell ref="HH1079:HI1079"/>
    <mergeCell ref="HH1080:HI1080"/>
    <mergeCell ref="HH1081:HI1081"/>
    <mergeCell ref="HH1082:HI1082"/>
    <mergeCell ref="HH1083:HI1083"/>
    <mergeCell ref="HH1084:HI1084"/>
    <mergeCell ref="HH1085:HI1085"/>
    <mergeCell ref="HH1086:HI1086"/>
    <mergeCell ref="HH1087:HI1087"/>
    <mergeCell ref="HH1088:HI1088"/>
    <mergeCell ref="HH1089:HI1089"/>
    <mergeCell ref="HH1090:HI1090"/>
    <mergeCell ref="HH1091:HI1091"/>
    <mergeCell ref="HH1092:HI1092"/>
    <mergeCell ref="HH1093:HI1093"/>
    <mergeCell ref="HH1094:HI1094"/>
    <mergeCell ref="HH1095:HI1095"/>
    <mergeCell ref="HH1096:HI1096"/>
    <mergeCell ref="HH1097:HI1097"/>
    <mergeCell ref="HH1098:HI1098"/>
    <mergeCell ref="HH1099:HI1099"/>
    <mergeCell ref="HH1100:HI1100"/>
    <mergeCell ref="HH1101:HI1101"/>
    <mergeCell ref="HH1102:HI1102"/>
    <mergeCell ref="HH1103:HI1103"/>
    <mergeCell ref="HH1104:HI1104"/>
    <mergeCell ref="HH1105:HI1105"/>
    <mergeCell ref="HH1106:HI1106"/>
    <mergeCell ref="HH1107:HI1107"/>
    <mergeCell ref="HH1108:HI1108"/>
    <mergeCell ref="HH1109:HI1109"/>
    <mergeCell ref="HH1110:HI1110"/>
    <mergeCell ref="HH1111:HI1111"/>
    <mergeCell ref="HH1112:HI1112"/>
    <mergeCell ref="HH1113:HI1113"/>
    <mergeCell ref="HH1114:HI1114"/>
    <mergeCell ref="HH1115:HI1115"/>
    <mergeCell ref="HH1116:HI1116"/>
    <mergeCell ref="HH1117:HI1117"/>
    <mergeCell ref="HH1118:HI1118"/>
    <mergeCell ref="HH1119:HI1119"/>
    <mergeCell ref="HH1120:HI1120"/>
    <mergeCell ref="HH1121:HI1121"/>
    <mergeCell ref="HH1122:HI1122"/>
    <mergeCell ref="HH1123:HI1123"/>
    <mergeCell ref="HH1124:HI1124"/>
    <mergeCell ref="HH1125:HI1125"/>
    <mergeCell ref="HH1126:HI1126"/>
    <mergeCell ref="HH1127:HI1127"/>
    <mergeCell ref="HH1128:HI1128"/>
    <mergeCell ref="HH1129:HI1129"/>
    <mergeCell ref="HH1130:HI1130"/>
    <mergeCell ref="HH1131:HI1131"/>
    <mergeCell ref="HH1132:HI1132"/>
    <mergeCell ref="HH1133:HI1133"/>
    <mergeCell ref="HH1134:HI1134"/>
    <mergeCell ref="HH1135:HI1135"/>
    <mergeCell ref="HH1136:HI1136"/>
    <mergeCell ref="HH1137:HI1137"/>
    <mergeCell ref="HH1138:HI1138"/>
    <mergeCell ref="HH1139:HI1139"/>
    <mergeCell ref="HH1140:HI1140"/>
    <mergeCell ref="HH1141:HI1141"/>
    <mergeCell ref="HH1142:HI1142"/>
    <mergeCell ref="HH1143:HI1143"/>
    <mergeCell ref="HH1144:HI1144"/>
    <mergeCell ref="HH1145:HI1145"/>
    <mergeCell ref="HH1146:HI1146"/>
    <mergeCell ref="HH1147:HI1147"/>
    <mergeCell ref="HH1148:HI1148"/>
    <mergeCell ref="HH1149:HI1149"/>
    <mergeCell ref="HH1150:HI1150"/>
    <mergeCell ref="HH1151:HI1151"/>
    <mergeCell ref="HH1152:HI1152"/>
    <mergeCell ref="HH1153:HI1153"/>
    <mergeCell ref="HH1154:HI1154"/>
    <mergeCell ref="HH1155:HI1155"/>
    <mergeCell ref="HH1156:HI1156"/>
    <mergeCell ref="HH1157:HI1157"/>
    <mergeCell ref="HH1158:HI1158"/>
    <mergeCell ref="HH1159:HI1159"/>
    <mergeCell ref="HH1160:HI1160"/>
    <mergeCell ref="HH1161:HI1161"/>
    <mergeCell ref="HH1162:HI1162"/>
    <mergeCell ref="HH1163:HI1163"/>
    <mergeCell ref="HH1164:HI1164"/>
    <mergeCell ref="HH1165:HI1165"/>
    <mergeCell ref="HH1166:HI1166"/>
    <mergeCell ref="HH1167:HI1167"/>
    <mergeCell ref="HH1168:HI1168"/>
    <mergeCell ref="HH1169:HI1169"/>
    <mergeCell ref="HH1170:HI1170"/>
    <mergeCell ref="HH1171:HI1171"/>
    <mergeCell ref="HH1172:HI1172"/>
    <mergeCell ref="HH1173:HI1173"/>
    <mergeCell ref="HH1174:HI1174"/>
    <mergeCell ref="HH1175:HI1175"/>
    <mergeCell ref="HH1176:HI1176"/>
    <mergeCell ref="HH1177:HI1177"/>
    <mergeCell ref="HH1178:HI1178"/>
    <mergeCell ref="HH1179:HI1179"/>
    <mergeCell ref="HH1180:HI1180"/>
    <mergeCell ref="HH1181:HI1181"/>
    <mergeCell ref="HH1182:HI1182"/>
    <mergeCell ref="HH1183:HI1183"/>
    <mergeCell ref="HH1184:HI1184"/>
    <mergeCell ref="HH1185:HI1185"/>
    <mergeCell ref="HH1186:HI1186"/>
    <mergeCell ref="HH1187:HI1187"/>
    <mergeCell ref="HH1188:HI1188"/>
    <mergeCell ref="HH1189:HI1189"/>
    <mergeCell ref="HH1190:HI1190"/>
    <mergeCell ref="HH1191:HI1191"/>
    <mergeCell ref="HH1192:HI1192"/>
    <mergeCell ref="HH1193:HI1193"/>
    <mergeCell ref="HH1194:HI1194"/>
    <mergeCell ref="HH1195:HI1195"/>
    <mergeCell ref="HH1196:HI1196"/>
    <mergeCell ref="HH1197:HI1197"/>
    <mergeCell ref="HH1198:HI1198"/>
    <mergeCell ref="HH1199:HI1199"/>
    <mergeCell ref="HH1200:HI1200"/>
    <mergeCell ref="HH1201:HI1201"/>
    <mergeCell ref="HH1202:HI1202"/>
    <mergeCell ref="HH1203:HI1203"/>
    <mergeCell ref="HH1204:HI1204"/>
    <mergeCell ref="HH1205:HI1205"/>
    <mergeCell ref="HH1206:HI1206"/>
    <mergeCell ref="HH1207:HI1207"/>
    <mergeCell ref="HH1208:HI1208"/>
    <mergeCell ref="HH1209:HI1209"/>
    <mergeCell ref="HH1210:HI1210"/>
    <mergeCell ref="HH1211:HI1211"/>
    <mergeCell ref="HH1212:HI1212"/>
    <mergeCell ref="HH1213:HI1213"/>
    <mergeCell ref="HH1214:HI1214"/>
    <mergeCell ref="HH1215:HI1215"/>
    <mergeCell ref="HH1216:HI1216"/>
    <mergeCell ref="HH1217:HI1217"/>
    <mergeCell ref="HH1218:HI1218"/>
    <mergeCell ref="HH1219:HI1219"/>
    <mergeCell ref="HH1220:HI1220"/>
    <mergeCell ref="HH1221:HI1221"/>
    <mergeCell ref="HH1222:HI1222"/>
    <mergeCell ref="HH1223:HI1223"/>
    <mergeCell ref="HH1224:HI1224"/>
    <mergeCell ref="HH1225:HI1225"/>
    <mergeCell ref="HH1226:HI1226"/>
    <mergeCell ref="HH1227:HI1227"/>
    <mergeCell ref="HH1228:HI1228"/>
    <mergeCell ref="HH1229:HI1229"/>
    <mergeCell ref="HH1230:HI1230"/>
    <mergeCell ref="HH1231:HI1231"/>
    <mergeCell ref="HH1232:HI1232"/>
    <mergeCell ref="HH1233:HI1233"/>
    <mergeCell ref="HH1234:HI1234"/>
    <mergeCell ref="HH1235:HI1235"/>
    <mergeCell ref="HH1236:HI1236"/>
    <mergeCell ref="HH1237:HI1237"/>
    <mergeCell ref="HH1238:HI1238"/>
    <mergeCell ref="HH1239:HI1239"/>
    <mergeCell ref="HH1240:HI1240"/>
    <mergeCell ref="HH1241:HI1241"/>
    <mergeCell ref="HH1242:HI1242"/>
    <mergeCell ref="HH1243:HI1243"/>
    <mergeCell ref="HH1244:HI1244"/>
    <mergeCell ref="HH1245:HI1245"/>
    <mergeCell ref="HH1246:HI1246"/>
    <mergeCell ref="HH1247:HI1247"/>
    <mergeCell ref="HH1248:HI1248"/>
    <mergeCell ref="HH1249:HI1249"/>
    <mergeCell ref="HH1250:HI1250"/>
    <mergeCell ref="HH1251:HI1251"/>
    <mergeCell ref="HH1252:HI1252"/>
    <mergeCell ref="HH1253:HI1253"/>
    <mergeCell ref="HH1254:HI1254"/>
    <mergeCell ref="HH1255:HI1255"/>
    <mergeCell ref="HH1256:HI1256"/>
    <mergeCell ref="HH1257:HI1257"/>
    <mergeCell ref="HH1258:HI1258"/>
    <mergeCell ref="HH1259:HI1259"/>
    <mergeCell ref="HH1260:HI1260"/>
    <mergeCell ref="HH1261:HI1261"/>
    <mergeCell ref="HH1262:HI1262"/>
    <mergeCell ref="HH1263:HI1263"/>
    <mergeCell ref="HH1264:HI1264"/>
    <mergeCell ref="HH1265:HI1265"/>
    <mergeCell ref="HH1266:HI1266"/>
    <mergeCell ref="HH1267:HI1267"/>
    <mergeCell ref="HH1268:HI1268"/>
    <mergeCell ref="HH1269:HI1269"/>
    <mergeCell ref="HH1270:HI1270"/>
    <mergeCell ref="HH1271:HI1271"/>
    <mergeCell ref="HH1272:HI1272"/>
    <mergeCell ref="HH1273:HI1273"/>
    <mergeCell ref="HH1274:HI1274"/>
    <mergeCell ref="HH1275:HI1275"/>
    <mergeCell ref="HH1276:HI1276"/>
    <mergeCell ref="HH1277:HI1277"/>
    <mergeCell ref="HH1278:HI1278"/>
    <mergeCell ref="HH1279:HI1279"/>
    <mergeCell ref="HH1280:HI1280"/>
    <mergeCell ref="HH1281:HI1281"/>
    <mergeCell ref="HH1282:HI1282"/>
    <mergeCell ref="HH1283:HI1283"/>
    <mergeCell ref="HH1284:HI1284"/>
    <mergeCell ref="HH1285:HI1285"/>
    <mergeCell ref="HH1286:HI1286"/>
    <mergeCell ref="HH1287:HI1287"/>
    <mergeCell ref="HH1288:HI1288"/>
    <mergeCell ref="HH1289:HI1289"/>
    <mergeCell ref="HH1290:HI1290"/>
    <mergeCell ref="HH1291:HI1291"/>
    <mergeCell ref="HH1292:HI1292"/>
    <mergeCell ref="HH1293:HI1293"/>
    <mergeCell ref="HH1294:HI1294"/>
    <mergeCell ref="HH1295:HI1295"/>
    <mergeCell ref="HH1296:HI1296"/>
    <mergeCell ref="HH1297:HI1297"/>
    <mergeCell ref="HH1298:HI1298"/>
    <mergeCell ref="HH1299:HI1299"/>
    <mergeCell ref="HH1300:HI1300"/>
    <mergeCell ref="HH1301:HI1301"/>
    <mergeCell ref="HH1302:HI1302"/>
    <mergeCell ref="HH1303:HI1303"/>
    <mergeCell ref="HH1304:HI1304"/>
    <mergeCell ref="HH1305:HI1305"/>
    <mergeCell ref="HH1306:HI1306"/>
    <mergeCell ref="HH1307:HI1307"/>
    <mergeCell ref="HH1308:HI1308"/>
    <mergeCell ref="HH1309:HI1309"/>
    <mergeCell ref="HH1310:HI1310"/>
    <mergeCell ref="HH1311:HI1311"/>
    <mergeCell ref="HH1312:HI1312"/>
    <mergeCell ref="HH1313:HI1313"/>
    <mergeCell ref="HH1314:HI1314"/>
    <mergeCell ref="HH1315:HI1315"/>
    <mergeCell ref="HH1316:HI1316"/>
    <mergeCell ref="HH1317:HI1317"/>
    <mergeCell ref="HH1318:HI1318"/>
    <mergeCell ref="HH1319:HI1319"/>
    <mergeCell ref="HH1320:HI1320"/>
    <mergeCell ref="HH1321:HI1321"/>
    <mergeCell ref="HH1322:HI1322"/>
    <mergeCell ref="HH1323:HI1323"/>
    <mergeCell ref="HH1324:HI1324"/>
    <mergeCell ref="HH1325:HI1325"/>
    <mergeCell ref="HH1326:HI1326"/>
    <mergeCell ref="HH1327:HI1327"/>
    <mergeCell ref="HH1328:HI1328"/>
    <mergeCell ref="HH1329:HI1329"/>
    <mergeCell ref="HH1330:HI1330"/>
    <mergeCell ref="HH1331:HI1331"/>
    <mergeCell ref="HH1332:HI1332"/>
    <mergeCell ref="HH1333:HI1333"/>
    <mergeCell ref="HH1334:HI1334"/>
    <mergeCell ref="HH1335:HI1335"/>
    <mergeCell ref="HH1336:HI1336"/>
    <mergeCell ref="HH1337:HI1337"/>
    <mergeCell ref="HH1338:HI1338"/>
    <mergeCell ref="HH1339:HI1339"/>
    <mergeCell ref="HH1340:HI1340"/>
    <mergeCell ref="HH1341:HI1341"/>
    <mergeCell ref="HH1342:HI1342"/>
    <mergeCell ref="HH1343:HI1343"/>
    <mergeCell ref="HH1344:HI1344"/>
    <mergeCell ref="HH1345:HI1345"/>
    <mergeCell ref="HH1346:HI1346"/>
    <mergeCell ref="HH1347:HI1347"/>
    <mergeCell ref="HH1348:HI1348"/>
    <mergeCell ref="HH1349:HI1349"/>
    <mergeCell ref="HH1350:HI1350"/>
    <mergeCell ref="HH1351:HI1351"/>
    <mergeCell ref="HH1352:HI1352"/>
    <mergeCell ref="HH1353:HI1353"/>
    <mergeCell ref="HH1354:HI1354"/>
    <mergeCell ref="HH1355:HI1355"/>
    <mergeCell ref="HH1356:HI1356"/>
    <mergeCell ref="HH1357:HI1357"/>
    <mergeCell ref="HH1358:HI1358"/>
    <mergeCell ref="HH1359:HI1359"/>
    <mergeCell ref="HH1360:HI1360"/>
    <mergeCell ref="HH1361:HI1361"/>
    <mergeCell ref="HH1362:HI1362"/>
    <mergeCell ref="HH1363:HI1363"/>
    <mergeCell ref="HH1364:HI1364"/>
    <mergeCell ref="HH1365:HI1365"/>
    <mergeCell ref="HH1366:HI1366"/>
    <mergeCell ref="HH1367:HI1367"/>
    <mergeCell ref="HH1368:HI1368"/>
    <mergeCell ref="HH1369:HI1369"/>
    <mergeCell ref="HH1370:HI1370"/>
    <mergeCell ref="HH1371:HI1371"/>
    <mergeCell ref="HH1372:HI1372"/>
    <mergeCell ref="HH1373:HI1373"/>
    <mergeCell ref="HH1374:HI1374"/>
    <mergeCell ref="HH1375:HI1375"/>
    <mergeCell ref="HH1376:HI1376"/>
    <mergeCell ref="HH1377:HI1377"/>
    <mergeCell ref="HH1378:HI1378"/>
    <mergeCell ref="HH1379:HI1379"/>
    <mergeCell ref="HH1380:HI1380"/>
    <mergeCell ref="HH1381:HI1381"/>
    <mergeCell ref="HH1382:HI1382"/>
    <mergeCell ref="HH1383:HI1383"/>
    <mergeCell ref="HH1384:HI1384"/>
    <mergeCell ref="HH1385:HI1385"/>
    <mergeCell ref="HH1386:HI1386"/>
    <mergeCell ref="HH1387:HI1387"/>
    <mergeCell ref="HH1388:HI1388"/>
    <mergeCell ref="HH1389:HI1389"/>
    <mergeCell ref="HH1390:HI1390"/>
    <mergeCell ref="HH1391:HI1391"/>
    <mergeCell ref="HH1392:HI1392"/>
    <mergeCell ref="HH1393:HI1393"/>
    <mergeCell ref="HH1394:HI1394"/>
    <mergeCell ref="HH1395:HI1395"/>
    <mergeCell ref="HH1396:HI1396"/>
    <mergeCell ref="HH1397:HI1397"/>
    <mergeCell ref="HH1398:HI1398"/>
    <mergeCell ref="HH1399:HI1399"/>
    <mergeCell ref="HH1400:HI1400"/>
    <mergeCell ref="HH1401:HI1401"/>
    <mergeCell ref="HH1402:HI1402"/>
    <mergeCell ref="HH1403:HI1403"/>
    <mergeCell ref="HH1404:HI1404"/>
    <mergeCell ref="HH1405:HI1405"/>
    <mergeCell ref="HH1406:HI1406"/>
    <mergeCell ref="HH1407:HI1407"/>
    <mergeCell ref="HH1408:HI1408"/>
    <mergeCell ref="HH1409:HI1409"/>
    <mergeCell ref="HH1410:HI1410"/>
    <mergeCell ref="HH1411:HI1411"/>
    <mergeCell ref="HH1412:HI1412"/>
    <mergeCell ref="HH1413:HI1413"/>
    <mergeCell ref="HH1414:HI1414"/>
    <mergeCell ref="HH1415:HI1415"/>
    <mergeCell ref="HH1416:HI1416"/>
    <mergeCell ref="HH1417:HI1417"/>
    <mergeCell ref="HH1418:HI1418"/>
    <mergeCell ref="HH1419:HI1419"/>
    <mergeCell ref="HH1420:HI1420"/>
    <mergeCell ref="HH1421:HI1421"/>
    <mergeCell ref="HH1422:HI1422"/>
    <mergeCell ref="HH1423:HI1423"/>
    <mergeCell ref="HH1424:HI1424"/>
    <mergeCell ref="HH1425:HI1425"/>
    <mergeCell ref="HH1426:HI1426"/>
    <mergeCell ref="HH1427:HI1427"/>
    <mergeCell ref="HH1428:HI1428"/>
    <mergeCell ref="HH1429:HI1429"/>
    <mergeCell ref="HH1430:HI1430"/>
    <mergeCell ref="HH1431:HI1431"/>
    <mergeCell ref="HH1432:HI1432"/>
    <mergeCell ref="HH1433:HI1433"/>
    <mergeCell ref="HH1434:HI1434"/>
    <mergeCell ref="HH1435:HI1435"/>
    <mergeCell ref="HH1436:HI1436"/>
    <mergeCell ref="HH1437:HI1437"/>
    <mergeCell ref="HH1438:HI1438"/>
    <mergeCell ref="HH1439:HI1439"/>
    <mergeCell ref="HH1440:HI1440"/>
    <mergeCell ref="HH1441:HI1441"/>
    <mergeCell ref="HH1442:HI1442"/>
    <mergeCell ref="HH1443:HI1443"/>
    <mergeCell ref="HH1444:HI1444"/>
    <mergeCell ref="HH1445:HI1445"/>
    <mergeCell ref="HH1446:HI1446"/>
    <mergeCell ref="HH1447:HI1447"/>
    <mergeCell ref="HH1448:HI1448"/>
    <mergeCell ref="HH1449:HI1449"/>
    <mergeCell ref="HH1450:HI1450"/>
    <mergeCell ref="HH1451:HI1451"/>
    <mergeCell ref="HH1452:HI1452"/>
    <mergeCell ref="HH1453:HI1453"/>
    <mergeCell ref="HH1454:HI1454"/>
    <mergeCell ref="HH1455:HI1455"/>
    <mergeCell ref="HH1456:HI1456"/>
    <mergeCell ref="HH1457:HI1457"/>
    <mergeCell ref="HH1458:HI1458"/>
    <mergeCell ref="HH1459:HI1459"/>
    <mergeCell ref="HH1460:HI1460"/>
    <mergeCell ref="HH1461:HI1461"/>
    <mergeCell ref="HH1462:HI1462"/>
    <mergeCell ref="HH1463:HI1463"/>
    <mergeCell ref="HH1464:HI1464"/>
    <mergeCell ref="HH1465:HI1465"/>
    <mergeCell ref="HH1466:HI1466"/>
    <mergeCell ref="HH1467:HI1467"/>
    <mergeCell ref="HH1468:HI1468"/>
    <mergeCell ref="HH1469:HI1469"/>
    <mergeCell ref="HH1470:HI1470"/>
    <mergeCell ref="HH1471:HI1471"/>
    <mergeCell ref="HH1472:HI1472"/>
    <mergeCell ref="HH1473:HI1473"/>
    <mergeCell ref="HH1474:HI1474"/>
    <mergeCell ref="HH1475:HI1475"/>
    <mergeCell ref="HH1476:HI1476"/>
    <mergeCell ref="HH1477:HI1477"/>
    <mergeCell ref="HH1478:HI1478"/>
    <mergeCell ref="HH1479:HI1479"/>
    <mergeCell ref="HH1480:HI1480"/>
    <mergeCell ref="HH1481:HI1481"/>
    <mergeCell ref="HH1482:HI1482"/>
    <mergeCell ref="HH1483:HI1483"/>
    <mergeCell ref="HH1484:HI1484"/>
    <mergeCell ref="HH1485:HI1485"/>
    <mergeCell ref="HH1486:HI1486"/>
    <mergeCell ref="HH1487:HI1487"/>
    <mergeCell ref="HH1488:HI1488"/>
    <mergeCell ref="HH1489:HI1489"/>
    <mergeCell ref="HH1490:HI1490"/>
    <mergeCell ref="HH1491:HI1491"/>
    <mergeCell ref="HH1492:HI1492"/>
    <mergeCell ref="HH1493:HI1493"/>
    <mergeCell ref="HH1494:HI1494"/>
    <mergeCell ref="HH1495:HI1495"/>
    <mergeCell ref="HH1496:HI1496"/>
    <mergeCell ref="HH1497:HI1497"/>
    <mergeCell ref="HH1498:HI1498"/>
    <mergeCell ref="HH1499:HI1499"/>
    <mergeCell ref="HH1500:HI1500"/>
    <mergeCell ref="HJ789:HK789"/>
    <mergeCell ref="HJ790:HK790"/>
    <mergeCell ref="HJ791:HK791"/>
    <mergeCell ref="HJ792:HK792"/>
    <mergeCell ref="HJ793:HK793"/>
    <mergeCell ref="HJ794:HK794"/>
    <mergeCell ref="HJ795:HK795"/>
    <mergeCell ref="HJ796:HK796"/>
    <mergeCell ref="HJ797:HK797"/>
    <mergeCell ref="HJ798:HK798"/>
    <mergeCell ref="HJ799:HK799"/>
    <mergeCell ref="HJ800:HK800"/>
    <mergeCell ref="HJ801:HK801"/>
    <mergeCell ref="HJ802:HK802"/>
    <mergeCell ref="HJ803:HK803"/>
    <mergeCell ref="HJ804:HK804"/>
    <mergeCell ref="HJ805:HK805"/>
    <mergeCell ref="HJ806:HK806"/>
    <mergeCell ref="HJ807:HK807"/>
    <mergeCell ref="HJ808:HK808"/>
    <mergeCell ref="HJ809:HK809"/>
    <mergeCell ref="HJ810:HK810"/>
    <mergeCell ref="HJ811:HK811"/>
    <mergeCell ref="HJ812:HK812"/>
    <mergeCell ref="HJ813:HK813"/>
    <mergeCell ref="HJ814:HK814"/>
    <mergeCell ref="HJ815:HK815"/>
    <mergeCell ref="HJ816:HK816"/>
    <mergeCell ref="HJ817:HK817"/>
    <mergeCell ref="HJ818:HK818"/>
    <mergeCell ref="HJ819:HK819"/>
    <mergeCell ref="HJ820:HK820"/>
    <mergeCell ref="HJ821:HK821"/>
    <mergeCell ref="HJ822:HK822"/>
    <mergeCell ref="HJ823:HK823"/>
    <mergeCell ref="HJ824:HK824"/>
    <mergeCell ref="HJ825:HK825"/>
    <mergeCell ref="HJ826:HK826"/>
    <mergeCell ref="HJ827:HK827"/>
    <mergeCell ref="HJ828:HK828"/>
    <mergeCell ref="HJ829:HK829"/>
    <mergeCell ref="HJ830:HK830"/>
    <mergeCell ref="HJ831:HK831"/>
    <mergeCell ref="HJ832:HK832"/>
    <mergeCell ref="HJ833:HK833"/>
    <mergeCell ref="HJ834:HK834"/>
    <mergeCell ref="HJ835:HK835"/>
    <mergeCell ref="HJ836:HK836"/>
    <mergeCell ref="HJ837:HK837"/>
    <mergeCell ref="HJ838:HK838"/>
    <mergeCell ref="HJ839:HK839"/>
    <mergeCell ref="HJ840:HK840"/>
    <mergeCell ref="HJ841:HK841"/>
    <mergeCell ref="HJ842:HK842"/>
    <mergeCell ref="HJ843:HK843"/>
    <mergeCell ref="HJ844:HK844"/>
    <mergeCell ref="HJ845:HK845"/>
    <mergeCell ref="HJ846:HK846"/>
    <mergeCell ref="HJ847:HK847"/>
    <mergeCell ref="HJ848:HK848"/>
    <mergeCell ref="HJ849:HK849"/>
    <mergeCell ref="HJ850:HK850"/>
    <mergeCell ref="HJ851:HK851"/>
    <mergeCell ref="HJ852:HK852"/>
    <mergeCell ref="HJ853:HK853"/>
    <mergeCell ref="HJ854:HK854"/>
    <mergeCell ref="HJ855:HK855"/>
    <mergeCell ref="HJ856:HK856"/>
    <mergeCell ref="HJ857:HK857"/>
    <mergeCell ref="HJ858:HK858"/>
    <mergeCell ref="HJ859:HK859"/>
    <mergeCell ref="HJ860:HK860"/>
    <mergeCell ref="HJ861:HK861"/>
    <mergeCell ref="HJ862:HK862"/>
    <mergeCell ref="HJ863:HK863"/>
    <mergeCell ref="HJ864:HK864"/>
    <mergeCell ref="HJ865:HK865"/>
    <mergeCell ref="HJ866:HK866"/>
    <mergeCell ref="HJ867:HK867"/>
    <mergeCell ref="HJ868:HK868"/>
    <mergeCell ref="HJ869:HK869"/>
    <mergeCell ref="HJ870:HK870"/>
    <mergeCell ref="HJ871:HK871"/>
    <mergeCell ref="HJ872:HK872"/>
    <mergeCell ref="HJ873:HK873"/>
    <mergeCell ref="HJ874:HK874"/>
    <mergeCell ref="HJ875:HK875"/>
    <mergeCell ref="HJ876:HK876"/>
    <mergeCell ref="HJ877:HK877"/>
    <mergeCell ref="HJ878:HK878"/>
    <mergeCell ref="HJ879:HK879"/>
    <mergeCell ref="HJ880:HK880"/>
    <mergeCell ref="HJ881:HK881"/>
    <mergeCell ref="HJ882:HK882"/>
    <mergeCell ref="HJ883:HK883"/>
    <mergeCell ref="HJ884:HK884"/>
    <mergeCell ref="HJ885:HK885"/>
    <mergeCell ref="HJ886:HK886"/>
    <mergeCell ref="HJ887:HK887"/>
    <mergeCell ref="HJ888:HK888"/>
    <mergeCell ref="HJ889:HK889"/>
    <mergeCell ref="HJ890:HK890"/>
    <mergeCell ref="HJ891:HK891"/>
    <mergeCell ref="HJ892:HK892"/>
    <mergeCell ref="HJ893:HK893"/>
    <mergeCell ref="HJ894:HK894"/>
    <mergeCell ref="HJ895:HK895"/>
    <mergeCell ref="HJ896:HK896"/>
    <mergeCell ref="HJ897:HK897"/>
    <mergeCell ref="HJ898:HK898"/>
    <mergeCell ref="HJ899:HK899"/>
    <mergeCell ref="HJ900:HK900"/>
    <mergeCell ref="HJ901:HK901"/>
    <mergeCell ref="HJ902:HK902"/>
    <mergeCell ref="HJ903:HK903"/>
    <mergeCell ref="HJ904:HK904"/>
    <mergeCell ref="HJ905:HK905"/>
    <mergeCell ref="HJ906:HK906"/>
    <mergeCell ref="HJ907:HK907"/>
    <mergeCell ref="HJ908:HK908"/>
    <mergeCell ref="HJ909:HK909"/>
    <mergeCell ref="HJ910:HK910"/>
    <mergeCell ref="HJ911:HK911"/>
    <mergeCell ref="HJ912:HK912"/>
    <mergeCell ref="HJ913:HK913"/>
    <mergeCell ref="HJ914:HK914"/>
    <mergeCell ref="HJ915:HK915"/>
    <mergeCell ref="HJ916:HK916"/>
    <mergeCell ref="HJ917:HK917"/>
    <mergeCell ref="HJ918:HK918"/>
    <mergeCell ref="HJ919:HK919"/>
    <mergeCell ref="HJ920:HK920"/>
    <mergeCell ref="HJ921:HK921"/>
    <mergeCell ref="HJ922:HK922"/>
    <mergeCell ref="HJ923:HK923"/>
    <mergeCell ref="HJ924:HK924"/>
    <mergeCell ref="HJ925:HK925"/>
    <mergeCell ref="HJ926:HK926"/>
    <mergeCell ref="HJ927:HK927"/>
    <mergeCell ref="HJ928:HK928"/>
    <mergeCell ref="HJ929:HK929"/>
    <mergeCell ref="HJ930:HK930"/>
    <mergeCell ref="HJ931:HK931"/>
    <mergeCell ref="HJ932:HK932"/>
    <mergeCell ref="HJ933:HK933"/>
    <mergeCell ref="HJ934:HK934"/>
    <mergeCell ref="HJ935:HK935"/>
    <mergeCell ref="HJ936:HK936"/>
    <mergeCell ref="HJ937:HK937"/>
    <mergeCell ref="HJ938:HK938"/>
    <mergeCell ref="HJ939:HK939"/>
    <mergeCell ref="HJ940:HK940"/>
    <mergeCell ref="HJ941:HK941"/>
    <mergeCell ref="HJ942:HK942"/>
    <mergeCell ref="HJ943:HK943"/>
    <mergeCell ref="HJ944:HK944"/>
    <mergeCell ref="HJ945:HK945"/>
    <mergeCell ref="HJ946:HK946"/>
    <mergeCell ref="HJ947:HK947"/>
    <mergeCell ref="HJ948:HK948"/>
    <mergeCell ref="HJ949:HK949"/>
    <mergeCell ref="HJ950:HK950"/>
    <mergeCell ref="HJ951:HK951"/>
    <mergeCell ref="HJ952:HK952"/>
    <mergeCell ref="HJ953:HK953"/>
    <mergeCell ref="HJ954:HK954"/>
    <mergeCell ref="HJ955:HK955"/>
    <mergeCell ref="HJ956:HK956"/>
    <mergeCell ref="HJ957:HK957"/>
    <mergeCell ref="HJ958:HK958"/>
    <mergeCell ref="HJ959:HK959"/>
    <mergeCell ref="HJ960:HK960"/>
    <mergeCell ref="HJ961:HK961"/>
    <mergeCell ref="HJ962:HK962"/>
    <mergeCell ref="HJ963:HK963"/>
    <mergeCell ref="HJ964:HK964"/>
    <mergeCell ref="HJ965:HK965"/>
    <mergeCell ref="HJ966:HK966"/>
    <mergeCell ref="HJ967:HK967"/>
    <mergeCell ref="HJ968:HK968"/>
    <mergeCell ref="HJ969:HK969"/>
    <mergeCell ref="HJ970:HK970"/>
    <mergeCell ref="HJ971:HK971"/>
    <mergeCell ref="HJ972:HK972"/>
    <mergeCell ref="HJ973:HK973"/>
    <mergeCell ref="HJ974:HK974"/>
    <mergeCell ref="HJ975:HK975"/>
    <mergeCell ref="HJ976:HK976"/>
    <mergeCell ref="HJ977:HK977"/>
    <mergeCell ref="HJ978:HK978"/>
    <mergeCell ref="HJ979:HK979"/>
    <mergeCell ref="HJ980:HK980"/>
    <mergeCell ref="HJ981:HK981"/>
    <mergeCell ref="HJ982:HK982"/>
    <mergeCell ref="HJ983:HK983"/>
    <mergeCell ref="HJ984:HK984"/>
    <mergeCell ref="HJ985:HK985"/>
    <mergeCell ref="HJ986:HK986"/>
    <mergeCell ref="HJ987:HK987"/>
    <mergeCell ref="HJ988:HK988"/>
    <mergeCell ref="HJ989:HK989"/>
    <mergeCell ref="HJ990:HK990"/>
    <mergeCell ref="HJ991:HK991"/>
    <mergeCell ref="HJ992:HK992"/>
    <mergeCell ref="HJ993:HK993"/>
    <mergeCell ref="HJ994:HK994"/>
    <mergeCell ref="HJ995:HK995"/>
    <mergeCell ref="HJ996:HK996"/>
    <mergeCell ref="HJ997:HK997"/>
    <mergeCell ref="HJ998:HK998"/>
    <mergeCell ref="HJ999:HK999"/>
    <mergeCell ref="HJ1000:HK1000"/>
    <mergeCell ref="HJ1001:HK1001"/>
    <mergeCell ref="HJ1002:HK1002"/>
    <mergeCell ref="HJ1003:HK1003"/>
    <mergeCell ref="HJ1004:HK1004"/>
    <mergeCell ref="HJ1005:HK1005"/>
    <mergeCell ref="HJ1006:HK1006"/>
    <mergeCell ref="HJ1007:HK1007"/>
    <mergeCell ref="HJ1008:HK1008"/>
    <mergeCell ref="HJ1009:HK1009"/>
    <mergeCell ref="HJ1010:HK1010"/>
    <mergeCell ref="HJ1011:HK1011"/>
    <mergeCell ref="HJ1012:HK1012"/>
    <mergeCell ref="HJ1013:HK1013"/>
    <mergeCell ref="HJ1014:HK1014"/>
    <mergeCell ref="HJ1015:HK1015"/>
    <mergeCell ref="HJ1016:HK1016"/>
    <mergeCell ref="HJ1017:HK1017"/>
    <mergeCell ref="HJ1018:HK1018"/>
    <mergeCell ref="HJ1019:HK1019"/>
    <mergeCell ref="HJ1020:HK1020"/>
    <mergeCell ref="HJ1021:HK1021"/>
    <mergeCell ref="HJ1022:HK1022"/>
    <mergeCell ref="HJ1023:HK1023"/>
    <mergeCell ref="HJ1024:HK1024"/>
    <mergeCell ref="HJ1025:HK1025"/>
    <mergeCell ref="HJ1026:HK1026"/>
    <mergeCell ref="HJ1027:HK1027"/>
    <mergeCell ref="HJ1028:HK1028"/>
    <mergeCell ref="HJ1029:HK1029"/>
    <mergeCell ref="HJ1030:HK1030"/>
    <mergeCell ref="HJ1031:HK1031"/>
    <mergeCell ref="HJ1032:HK1032"/>
    <mergeCell ref="HJ1033:HK1033"/>
    <mergeCell ref="HJ1034:HK1034"/>
    <mergeCell ref="HJ1035:HK1035"/>
    <mergeCell ref="HJ1036:HK1036"/>
    <mergeCell ref="HJ1037:HK1037"/>
    <mergeCell ref="HJ1038:HK1038"/>
    <mergeCell ref="HJ1039:HK1039"/>
    <mergeCell ref="HJ1040:HK1040"/>
    <mergeCell ref="HJ1041:HK1041"/>
    <mergeCell ref="HJ1042:HK1042"/>
    <mergeCell ref="HJ1043:HK1043"/>
    <mergeCell ref="HJ1044:HK1044"/>
    <mergeCell ref="HJ1045:HK1045"/>
    <mergeCell ref="HJ1046:HK1046"/>
    <mergeCell ref="HJ1047:HK1047"/>
    <mergeCell ref="HJ1048:HK1048"/>
    <mergeCell ref="HJ1049:HK1049"/>
    <mergeCell ref="HJ1050:HK1050"/>
    <mergeCell ref="HJ1051:HK1051"/>
    <mergeCell ref="HJ1052:HK1052"/>
    <mergeCell ref="HJ1053:HK1053"/>
    <mergeCell ref="HJ1054:HK1054"/>
    <mergeCell ref="HJ1055:HK1055"/>
    <mergeCell ref="HJ1056:HK1056"/>
    <mergeCell ref="HJ1057:HK1057"/>
    <mergeCell ref="HJ1058:HK1058"/>
    <mergeCell ref="HJ1059:HK1059"/>
    <mergeCell ref="HJ1060:HK1060"/>
    <mergeCell ref="HJ1061:HK1061"/>
    <mergeCell ref="HJ1062:HK1062"/>
    <mergeCell ref="HJ1063:HK1063"/>
    <mergeCell ref="HJ1064:HK1064"/>
    <mergeCell ref="HJ1065:HK1065"/>
    <mergeCell ref="HJ1066:HK1066"/>
    <mergeCell ref="HJ1067:HK1067"/>
    <mergeCell ref="HJ1068:HK1068"/>
    <mergeCell ref="HJ1069:HK1069"/>
    <mergeCell ref="HJ1070:HK1070"/>
    <mergeCell ref="HJ1071:HK1071"/>
    <mergeCell ref="HJ1072:HK1072"/>
    <mergeCell ref="HJ1073:HK1073"/>
    <mergeCell ref="HJ1074:HK1074"/>
    <mergeCell ref="HJ1075:HK1075"/>
    <mergeCell ref="HJ1076:HK1076"/>
    <mergeCell ref="HJ1077:HK1077"/>
    <mergeCell ref="HJ1078:HK1078"/>
    <mergeCell ref="HJ1079:HK1079"/>
    <mergeCell ref="HJ1080:HK1080"/>
    <mergeCell ref="HJ1081:HK1081"/>
    <mergeCell ref="HJ1082:HK1082"/>
    <mergeCell ref="HJ1083:HK1083"/>
    <mergeCell ref="HJ1084:HK1084"/>
    <mergeCell ref="HJ1085:HK1085"/>
    <mergeCell ref="HJ1086:HK1086"/>
    <mergeCell ref="HJ1087:HK1087"/>
    <mergeCell ref="HJ1088:HK1088"/>
    <mergeCell ref="HJ1089:HK1089"/>
    <mergeCell ref="HJ1090:HK1090"/>
    <mergeCell ref="HJ1091:HK1091"/>
    <mergeCell ref="HJ1092:HK1092"/>
    <mergeCell ref="HJ1093:HK1093"/>
    <mergeCell ref="HJ1094:HK1094"/>
    <mergeCell ref="HJ1095:HK1095"/>
    <mergeCell ref="HJ1096:HK1096"/>
    <mergeCell ref="HJ1097:HK1097"/>
    <mergeCell ref="HJ1098:HK1098"/>
    <mergeCell ref="HJ1099:HK1099"/>
    <mergeCell ref="HJ1100:HK1100"/>
    <mergeCell ref="HJ1101:HK1101"/>
    <mergeCell ref="HJ1102:HK1102"/>
    <mergeCell ref="HJ1103:HK1103"/>
    <mergeCell ref="HJ1104:HK1104"/>
    <mergeCell ref="HJ1105:HK1105"/>
    <mergeCell ref="HJ1106:HK1106"/>
    <mergeCell ref="HJ1107:HK1107"/>
    <mergeCell ref="HJ1108:HK1108"/>
    <mergeCell ref="HJ1109:HK1109"/>
    <mergeCell ref="HJ1110:HK1110"/>
    <mergeCell ref="HJ1111:HK1111"/>
    <mergeCell ref="HJ1112:HK1112"/>
    <mergeCell ref="HJ1113:HK1113"/>
    <mergeCell ref="HJ1114:HK1114"/>
    <mergeCell ref="HJ1115:HK1115"/>
    <mergeCell ref="HJ1116:HK1116"/>
    <mergeCell ref="HJ1117:HK1117"/>
    <mergeCell ref="HJ1118:HK1118"/>
    <mergeCell ref="HJ1119:HK1119"/>
    <mergeCell ref="HJ1120:HK1120"/>
    <mergeCell ref="HJ1121:HK1121"/>
    <mergeCell ref="HJ1122:HK1122"/>
    <mergeCell ref="HJ1123:HK1123"/>
    <mergeCell ref="HJ1124:HK1124"/>
    <mergeCell ref="HJ1125:HK1125"/>
    <mergeCell ref="HJ1126:HK1126"/>
    <mergeCell ref="HJ1127:HK1127"/>
    <mergeCell ref="HJ1128:HK1128"/>
    <mergeCell ref="HJ1129:HK1129"/>
    <mergeCell ref="HJ1130:HK1130"/>
    <mergeCell ref="HJ1131:HK1131"/>
    <mergeCell ref="HJ1132:HK1132"/>
    <mergeCell ref="HJ1133:HK1133"/>
    <mergeCell ref="HJ1134:HK1134"/>
    <mergeCell ref="HJ1135:HK1135"/>
    <mergeCell ref="HJ1136:HK1136"/>
    <mergeCell ref="HJ1137:HK1137"/>
    <mergeCell ref="HJ1138:HK1138"/>
    <mergeCell ref="HJ1139:HK1139"/>
    <mergeCell ref="HJ1140:HK1140"/>
    <mergeCell ref="HJ1141:HK1141"/>
    <mergeCell ref="HJ1142:HK1142"/>
    <mergeCell ref="HJ1143:HK1143"/>
    <mergeCell ref="HJ1144:HK1144"/>
    <mergeCell ref="HJ1145:HK1145"/>
    <mergeCell ref="HJ1146:HK1146"/>
    <mergeCell ref="HJ1147:HK1147"/>
    <mergeCell ref="HJ1148:HK1148"/>
    <mergeCell ref="HJ1149:HK1149"/>
    <mergeCell ref="HJ1150:HK1150"/>
    <mergeCell ref="HJ1151:HK1151"/>
    <mergeCell ref="HJ1152:HK1152"/>
    <mergeCell ref="HJ1153:HK1153"/>
    <mergeCell ref="HJ1154:HK1154"/>
    <mergeCell ref="HJ1155:HK1155"/>
    <mergeCell ref="HJ1156:HK1156"/>
    <mergeCell ref="HJ1157:HK1157"/>
    <mergeCell ref="HJ1158:HK1158"/>
    <mergeCell ref="HJ1159:HK1159"/>
    <mergeCell ref="HJ1160:HK1160"/>
    <mergeCell ref="HJ1161:HK1161"/>
    <mergeCell ref="HJ1162:HK1162"/>
    <mergeCell ref="HJ1163:HK1163"/>
    <mergeCell ref="HJ1164:HK1164"/>
    <mergeCell ref="HJ1165:HK1165"/>
    <mergeCell ref="HJ1166:HK1166"/>
    <mergeCell ref="HJ1167:HK1167"/>
    <mergeCell ref="HJ1168:HK1168"/>
    <mergeCell ref="HJ1169:HK1169"/>
    <mergeCell ref="HJ1170:HK1170"/>
    <mergeCell ref="HJ1171:HK1171"/>
    <mergeCell ref="HJ1172:HK1172"/>
    <mergeCell ref="HJ1173:HK1173"/>
    <mergeCell ref="HJ1174:HK1174"/>
    <mergeCell ref="HJ1175:HK1175"/>
    <mergeCell ref="HJ1176:HK1176"/>
    <mergeCell ref="HJ1177:HK1177"/>
    <mergeCell ref="HJ1178:HK1178"/>
    <mergeCell ref="HJ1179:HK1179"/>
    <mergeCell ref="HJ1180:HK1180"/>
    <mergeCell ref="HJ1181:HK1181"/>
    <mergeCell ref="HJ1182:HK1182"/>
    <mergeCell ref="HJ1183:HK1183"/>
    <mergeCell ref="HJ1184:HK1184"/>
    <mergeCell ref="HJ1185:HK1185"/>
    <mergeCell ref="HJ1186:HK1186"/>
    <mergeCell ref="HJ1187:HK1187"/>
    <mergeCell ref="HJ1188:HK1188"/>
    <mergeCell ref="HJ1189:HK1189"/>
    <mergeCell ref="HJ1190:HK1190"/>
    <mergeCell ref="HJ1191:HK1191"/>
    <mergeCell ref="HJ1192:HK1192"/>
    <mergeCell ref="HJ1193:HK1193"/>
    <mergeCell ref="HJ1194:HK1194"/>
    <mergeCell ref="HJ1195:HK1195"/>
    <mergeCell ref="HJ1196:HK1196"/>
    <mergeCell ref="HJ1197:HK1197"/>
    <mergeCell ref="HJ1198:HK1198"/>
    <mergeCell ref="HJ1199:HK1199"/>
    <mergeCell ref="HJ1200:HK1200"/>
    <mergeCell ref="HJ1201:HK1201"/>
    <mergeCell ref="HJ1202:HK1202"/>
    <mergeCell ref="HJ1203:HK1203"/>
    <mergeCell ref="HJ1204:HK1204"/>
    <mergeCell ref="HJ1205:HK1205"/>
    <mergeCell ref="HJ1206:HK1206"/>
    <mergeCell ref="HJ1207:HK1207"/>
    <mergeCell ref="HJ1208:HK1208"/>
    <mergeCell ref="HJ1209:HK1209"/>
    <mergeCell ref="HJ1210:HK1210"/>
    <mergeCell ref="HJ1211:HK1211"/>
    <mergeCell ref="HJ1212:HK1212"/>
    <mergeCell ref="HJ1213:HK1213"/>
    <mergeCell ref="HJ1214:HK1214"/>
    <mergeCell ref="HJ1215:HK1215"/>
    <mergeCell ref="HJ1216:HK1216"/>
    <mergeCell ref="HJ1217:HK1217"/>
    <mergeCell ref="HJ1218:HK1218"/>
    <mergeCell ref="HJ1219:HK1219"/>
    <mergeCell ref="HJ1220:HK1220"/>
    <mergeCell ref="HJ1221:HK1221"/>
    <mergeCell ref="HJ1222:HK1222"/>
    <mergeCell ref="HJ1223:HK1223"/>
    <mergeCell ref="HJ1224:HK1224"/>
    <mergeCell ref="HJ1225:HK1225"/>
    <mergeCell ref="HJ1226:HK1226"/>
    <mergeCell ref="HJ1227:HK1227"/>
    <mergeCell ref="HJ1228:HK1228"/>
    <mergeCell ref="HJ1229:HK1229"/>
    <mergeCell ref="HJ1230:HK1230"/>
    <mergeCell ref="HJ1231:HK1231"/>
    <mergeCell ref="HJ1232:HK1232"/>
    <mergeCell ref="HJ1233:HK1233"/>
    <mergeCell ref="HJ1234:HK1234"/>
    <mergeCell ref="HJ1235:HK1235"/>
    <mergeCell ref="HJ1236:HK1236"/>
    <mergeCell ref="HJ1237:HK1237"/>
    <mergeCell ref="HJ1238:HK1238"/>
    <mergeCell ref="HJ1239:HK1239"/>
    <mergeCell ref="HJ1240:HK1240"/>
    <mergeCell ref="HJ1241:HK1241"/>
    <mergeCell ref="HJ1242:HK1242"/>
    <mergeCell ref="HJ1243:HK1243"/>
    <mergeCell ref="HJ1244:HK1244"/>
    <mergeCell ref="HJ1245:HK1245"/>
    <mergeCell ref="HJ1246:HK1246"/>
    <mergeCell ref="HJ1247:HK1247"/>
    <mergeCell ref="HJ1248:HK1248"/>
    <mergeCell ref="HJ1249:HK1249"/>
    <mergeCell ref="HJ1250:HK1250"/>
    <mergeCell ref="HJ1251:HK1251"/>
    <mergeCell ref="HJ1252:HK1252"/>
    <mergeCell ref="HJ1253:HK1253"/>
    <mergeCell ref="HJ1254:HK1254"/>
    <mergeCell ref="HJ1255:HK1255"/>
    <mergeCell ref="HJ1256:HK1256"/>
    <mergeCell ref="HJ1257:HK1257"/>
    <mergeCell ref="HJ1258:HK1258"/>
    <mergeCell ref="HJ1259:HK1259"/>
    <mergeCell ref="HJ1260:HK1260"/>
    <mergeCell ref="HJ1261:HK1261"/>
    <mergeCell ref="HJ1262:HK1262"/>
    <mergeCell ref="HJ1263:HK1263"/>
    <mergeCell ref="HJ1264:HK1264"/>
    <mergeCell ref="HJ1265:HK1265"/>
    <mergeCell ref="HJ1266:HK1266"/>
    <mergeCell ref="HJ1267:HK1267"/>
    <mergeCell ref="HJ1268:HK1268"/>
    <mergeCell ref="HJ1269:HK1269"/>
    <mergeCell ref="HJ1270:HK1270"/>
    <mergeCell ref="HJ1271:HK1271"/>
    <mergeCell ref="HJ1272:HK1272"/>
    <mergeCell ref="HJ1273:HK1273"/>
    <mergeCell ref="HJ1274:HK1274"/>
    <mergeCell ref="HJ1275:HK1275"/>
    <mergeCell ref="HJ1276:HK1276"/>
    <mergeCell ref="HJ1277:HK1277"/>
    <mergeCell ref="HJ1278:HK1278"/>
    <mergeCell ref="HJ1279:HK1279"/>
    <mergeCell ref="HJ1280:HK1280"/>
    <mergeCell ref="HJ1281:HK1281"/>
    <mergeCell ref="HJ1282:HK1282"/>
    <mergeCell ref="HJ1283:HK1283"/>
    <mergeCell ref="HJ1284:HK1284"/>
    <mergeCell ref="HJ1285:HK1285"/>
    <mergeCell ref="HJ1286:HK1286"/>
    <mergeCell ref="HJ1287:HK1287"/>
    <mergeCell ref="HJ1288:HK1288"/>
    <mergeCell ref="HJ1289:HK1289"/>
    <mergeCell ref="HJ1290:HK1290"/>
    <mergeCell ref="HJ1291:HK1291"/>
    <mergeCell ref="HJ1292:HK1292"/>
    <mergeCell ref="HJ1293:HK1293"/>
    <mergeCell ref="HJ1294:HK1294"/>
    <mergeCell ref="HJ1295:HK1295"/>
    <mergeCell ref="HJ1296:HK1296"/>
    <mergeCell ref="HJ1297:HK1297"/>
    <mergeCell ref="HJ1298:HK1298"/>
    <mergeCell ref="HJ1299:HK1299"/>
    <mergeCell ref="HJ1300:HK1300"/>
    <mergeCell ref="HJ1301:HK1301"/>
    <mergeCell ref="HJ1302:HK1302"/>
    <mergeCell ref="HJ1303:HK1303"/>
    <mergeCell ref="HJ1304:HK1304"/>
    <mergeCell ref="HJ1305:HK1305"/>
    <mergeCell ref="HJ1306:HK1306"/>
    <mergeCell ref="HJ1307:HK1307"/>
    <mergeCell ref="HJ1308:HK1308"/>
    <mergeCell ref="HJ1309:HK1309"/>
    <mergeCell ref="HJ1310:HK1310"/>
    <mergeCell ref="HJ1311:HK1311"/>
    <mergeCell ref="HJ1312:HK1312"/>
    <mergeCell ref="HJ1313:HK1313"/>
    <mergeCell ref="HJ1314:HK1314"/>
    <mergeCell ref="HJ1315:HK1315"/>
    <mergeCell ref="HJ1316:HK1316"/>
    <mergeCell ref="HJ1317:HK1317"/>
    <mergeCell ref="HJ1318:HK1318"/>
    <mergeCell ref="HJ1319:HK1319"/>
    <mergeCell ref="HJ1320:HK1320"/>
    <mergeCell ref="HJ1321:HK1321"/>
    <mergeCell ref="HJ1322:HK1322"/>
    <mergeCell ref="HJ1323:HK1323"/>
    <mergeCell ref="HJ1324:HK1324"/>
    <mergeCell ref="HJ1325:HK1325"/>
    <mergeCell ref="HJ1326:HK1326"/>
    <mergeCell ref="HJ1327:HK1327"/>
    <mergeCell ref="HJ1328:HK1328"/>
    <mergeCell ref="HJ1329:HK1329"/>
    <mergeCell ref="HJ1330:HK1330"/>
    <mergeCell ref="HJ1331:HK1331"/>
    <mergeCell ref="HJ1332:HK1332"/>
    <mergeCell ref="HJ1333:HK1333"/>
    <mergeCell ref="HJ1334:HK1334"/>
    <mergeCell ref="HJ1335:HK1335"/>
    <mergeCell ref="HJ1336:HK1336"/>
    <mergeCell ref="HJ1337:HK1337"/>
    <mergeCell ref="HJ1338:HK1338"/>
    <mergeCell ref="HJ1339:HK1339"/>
    <mergeCell ref="HJ1340:HK1340"/>
    <mergeCell ref="HJ1341:HK1341"/>
    <mergeCell ref="HJ1342:HK1342"/>
    <mergeCell ref="HJ1343:HK1343"/>
    <mergeCell ref="HJ1344:HK1344"/>
    <mergeCell ref="HJ1345:HK1345"/>
    <mergeCell ref="HJ1346:HK1346"/>
    <mergeCell ref="HJ1347:HK1347"/>
    <mergeCell ref="HJ1348:HK1348"/>
    <mergeCell ref="HJ1349:HK1349"/>
    <mergeCell ref="HJ1350:HK1350"/>
    <mergeCell ref="HJ1351:HK1351"/>
    <mergeCell ref="HJ1352:HK1352"/>
    <mergeCell ref="HJ1353:HK1353"/>
    <mergeCell ref="HJ1354:HK1354"/>
    <mergeCell ref="HJ1355:HK1355"/>
    <mergeCell ref="HJ1356:HK1356"/>
    <mergeCell ref="HJ1357:HK1357"/>
    <mergeCell ref="HJ1358:HK1358"/>
    <mergeCell ref="HJ1359:HK1359"/>
    <mergeCell ref="HJ1360:HK1360"/>
    <mergeCell ref="HJ1361:HK1361"/>
    <mergeCell ref="HJ1362:HK1362"/>
    <mergeCell ref="HJ1363:HK1363"/>
    <mergeCell ref="HJ1364:HK1364"/>
    <mergeCell ref="HJ1365:HK1365"/>
    <mergeCell ref="HJ1366:HK1366"/>
    <mergeCell ref="HJ1367:HK1367"/>
    <mergeCell ref="HJ1368:HK1368"/>
    <mergeCell ref="HJ1369:HK1369"/>
    <mergeCell ref="HJ1370:HK1370"/>
    <mergeCell ref="HJ1371:HK1371"/>
    <mergeCell ref="HJ1372:HK1372"/>
    <mergeCell ref="HJ1373:HK1373"/>
    <mergeCell ref="HJ1374:HK1374"/>
    <mergeCell ref="HJ1375:HK1375"/>
    <mergeCell ref="HJ1376:HK1376"/>
    <mergeCell ref="HJ1377:HK1377"/>
    <mergeCell ref="HJ1378:HK1378"/>
    <mergeCell ref="HJ1379:HK1379"/>
    <mergeCell ref="HJ1380:HK1380"/>
    <mergeCell ref="HJ1381:HK1381"/>
    <mergeCell ref="HJ1382:HK1382"/>
    <mergeCell ref="HJ1383:HK1383"/>
    <mergeCell ref="HJ1384:HK1384"/>
    <mergeCell ref="HJ1385:HK1385"/>
    <mergeCell ref="HJ1386:HK1386"/>
    <mergeCell ref="HJ1387:HK1387"/>
    <mergeCell ref="HJ1388:HK1388"/>
    <mergeCell ref="HJ1389:HK1389"/>
    <mergeCell ref="HJ1390:HK1390"/>
    <mergeCell ref="HJ1391:HK1391"/>
    <mergeCell ref="HJ1392:HK1392"/>
    <mergeCell ref="HJ1393:HK1393"/>
    <mergeCell ref="HJ1394:HK1394"/>
    <mergeCell ref="HJ1395:HK1395"/>
    <mergeCell ref="HJ1396:HK1396"/>
    <mergeCell ref="HJ1397:HK1397"/>
    <mergeCell ref="HJ1398:HK1398"/>
    <mergeCell ref="HJ1399:HK1399"/>
    <mergeCell ref="HJ1400:HK1400"/>
    <mergeCell ref="HJ1401:HK1401"/>
    <mergeCell ref="HJ1402:HK1402"/>
    <mergeCell ref="HJ1403:HK1403"/>
    <mergeCell ref="HJ1404:HK1404"/>
    <mergeCell ref="HJ1405:HK1405"/>
    <mergeCell ref="HJ1406:HK1406"/>
    <mergeCell ref="HJ1407:HK1407"/>
    <mergeCell ref="HJ1408:HK1408"/>
    <mergeCell ref="HJ1409:HK1409"/>
    <mergeCell ref="HJ1410:HK1410"/>
    <mergeCell ref="HJ1411:HK1411"/>
    <mergeCell ref="HJ1412:HK1412"/>
    <mergeCell ref="HJ1413:HK1413"/>
    <mergeCell ref="HJ1414:HK1414"/>
    <mergeCell ref="HJ1415:HK1415"/>
    <mergeCell ref="HJ1416:HK1416"/>
    <mergeCell ref="HJ1417:HK1417"/>
    <mergeCell ref="HJ1418:HK1418"/>
    <mergeCell ref="HJ1419:HK1419"/>
    <mergeCell ref="HJ1420:HK1420"/>
    <mergeCell ref="HJ1421:HK1421"/>
    <mergeCell ref="HJ1422:HK1422"/>
    <mergeCell ref="HJ1423:HK1423"/>
    <mergeCell ref="HJ1424:HK1424"/>
    <mergeCell ref="HJ1425:HK1425"/>
    <mergeCell ref="HJ1426:HK1426"/>
    <mergeCell ref="HJ1427:HK1427"/>
    <mergeCell ref="HJ1428:HK1428"/>
    <mergeCell ref="HJ1429:HK1429"/>
    <mergeCell ref="HJ1430:HK1430"/>
    <mergeCell ref="HJ1431:HK1431"/>
    <mergeCell ref="HJ1432:HK1432"/>
    <mergeCell ref="HJ1433:HK1433"/>
    <mergeCell ref="HJ1434:HK1434"/>
    <mergeCell ref="HJ1435:HK1435"/>
    <mergeCell ref="HJ1436:HK1436"/>
    <mergeCell ref="HJ1437:HK1437"/>
    <mergeCell ref="HJ1438:HK1438"/>
    <mergeCell ref="HJ1439:HK1439"/>
    <mergeCell ref="HJ1440:HK1440"/>
    <mergeCell ref="HJ1441:HK1441"/>
    <mergeCell ref="HJ1442:HK1442"/>
    <mergeCell ref="HJ1443:HK1443"/>
    <mergeCell ref="HJ1444:HK1444"/>
    <mergeCell ref="HJ1445:HK1445"/>
    <mergeCell ref="HJ1446:HK1446"/>
    <mergeCell ref="HJ1447:HK1447"/>
    <mergeCell ref="HJ1448:HK1448"/>
    <mergeCell ref="HJ1449:HK1449"/>
    <mergeCell ref="HJ1450:HK1450"/>
    <mergeCell ref="HJ1451:HK1451"/>
    <mergeCell ref="HJ1452:HK1452"/>
    <mergeCell ref="HJ1453:HK1453"/>
    <mergeCell ref="HJ1454:HK1454"/>
    <mergeCell ref="HJ1455:HK1455"/>
    <mergeCell ref="HJ1456:HK1456"/>
    <mergeCell ref="HJ1457:HK1457"/>
    <mergeCell ref="HJ1458:HK1458"/>
    <mergeCell ref="HJ1459:HK1459"/>
    <mergeCell ref="HJ1460:HK1460"/>
    <mergeCell ref="HJ1461:HK1461"/>
    <mergeCell ref="HJ1462:HK1462"/>
    <mergeCell ref="HJ1463:HK1463"/>
    <mergeCell ref="HJ1464:HK1464"/>
    <mergeCell ref="HJ1465:HK1465"/>
    <mergeCell ref="HJ1466:HK1466"/>
    <mergeCell ref="HJ1467:HK1467"/>
    <mergeCell ref="HJ1468:HK1468"/>
    <mergeCell ref="HJ1469:HK1469"/>
    <mergeCell ref="HJ1470:HK1470"/>
    <mergeCell ref="HJ1471:HK1471"/>
    <mergeCell ref="HJ1472:HK1472"/>
    <mergeCell ref="HJ1473:HK1473"/>
    <mergeCell ref="HJ1474:HK1474"/>
    <mergeCell ref="HJ1475:HK1475"/>
    <mergeCell ref="HJ1476:HK1476"/>
    <mergeCell ref="HJ1477:HK1477"/>
    <mergeCell ref="HJ1478:HK1478"/>
    <mergeCell ref="HJ1479:HK1479"/>
    <mergeCell ref="HJ1480:HK1480"/>
    <mergeCell ref="HJ1481:HK1481"/>
    <mergeCell ref="HJ1482:HK1482"/>
    <mergeCell ref="HJ1483:HK1483"/>
    <mergeCell ref="HJ1484:HK1484"/>
    <mergeCell ref="HJ1485:HK1485"/>
    <mergeCell ref="HJ1486:HK1486"/>
    <mergeCell ref="HJ1487:HK1487"/>
    <mergeCell ref="HJ1488:HK1488"/>
    <mergeCell ref="HJ1489:HK1489"/>
    <mergeCell ref="HJ1490:HK1490"/>
    <mergeCell ref="HJ1491:HK1491"/>
    <mergeCell ref="HJ1492:HK1492"/>
    <mergeCell ref="HJ1493:HK1493"/>
    <mergeCell ref="HJ1494:HK1494"/>
    <mergeCell ref="HJ1495:HK1495"/>
    <mergeCell ref="HJ1496:HK1496"/>
    <mergeCell ref="HJ1497:HK1497"/>
    <mergeCell ref="HJ1498:HK1498"/>
    <mergeCell ref="HJ1499:HK1499"/>
    <mergeCell ref="HJ1500:HK1500"/>
    <mergeCell ref="HM789:HN789"/>
    <mergeCell ref="HM790:HN790"/>
    <mergeCell ref="HM791:HN791"/>
    <mergeCell ref="HM792:HN792"/>
    <mergeCell ref="HM793:HN793"/>
    <mergeCell ref="HM794:HN794"/>
    <mergeCell ref="HM795:HN795"/>
    <mergeCell ref="HM796:HN796"/>
    <mergeCell ref="HM797:HN797"/>
    <mergeCell ref="HM798:HN798"/>
    <mergeCell ref="HM799:HN799"/>
    <mergeCell ref="HM800:HN800"/>
    <mergeCell ref="HM801:HN801"/>
    <mergeCell ref="HM802:HN802"/>
    <mergeCell ref="HM803:HN803"/>
    <mergeCell ref="HM804:HN804"/>
    <mergeCell ref="HM805:HN805"/>
    <mergeCell ref="HM806:HN806"/>
    <mergeCell ref="HM807:HN807"/>
    <mergeCell ref="HM808:HN808"/>
    <mergeCell ref="HM809:HN809"/>
    <mergeCell ref="HM810:HN810"/>
    <mergeCell ref="HM811:HN811"/>
    <mergeCell ref="HM812:HN812"/>
    <mergeCell ref="HM813:HN813"/>
    <mergeCell ref="HM814:HN814"/>
    <mergeCell ref="HM815:HN815"/>
    <mergeCell ref="HM816:HN816"/>
    <mergeCell ref="HM817:HN817"/>
    <mergeCell ref="HM818:HN818"/>
    <mergeCell ref="HM819:HN819"/>
    <mergeCell ref="HM820:HN820"/>
    <mergeCell ref="HM821:HN821"/>
    <mergeCell ref="HM822:HN822"/>
    <mergeCell ref="HM823:HN823"/>
    <mergeCell ref="HM824:HN824"/>
    <mergeCell ref="HM825:HN825"/>
    <mergeCell ref="HM826:HN826"/>
    <mergeCell ref="HM827:HN827"/>
    <mergeCell ref="HM828:HN828"/>
    <mergeCell ref="HM829:HN829"/>
    <mergeCell ref="HM830:HN830"/>
    <mergeCell ref="HM831:HN831"/>
    <mergeCell ref="HM832:HN832"/>
    <mergeCell ref="HM833:HN833"/>
    <mergeCell ref="HM834:HN834"/>
    <mergeCell ref="HM835:HN835"/>
    <mergeCell ref="HM836:HN836"/>
    <mergeCell ref="HM837:HN837"/>
    <mergeCell ref="HM838:HN838"/>
    <mergeCell ref="HM839:HN839"/>
    <mergeCell ref="HM840:HN840"/>
    <mergeCell ref="HM841:HN841"/>
    <mergeCell ref="HM842:HN842"/>
    <mergeCell ref="HM843:HN843"/>
    <mergeCell ref="HM844:HN844"/>
    <mergeCell ref="HM845:HN845"/>
    <mergeCell ref="HM846:HN846"/>
    <mergeCell ref="HM847:HN847"/>
    <mergeCell ref="HM848:HN848"/>
    <mergeCell ref="HM849:HN849"/>
    <mergeCell ref="HM850:HN850"/>
    <mergeCell ref="HM851:HN851"/>
    <mergeCell ref="HM852:HN852"/>
    <mergeCell ref="HM853:HN853"/>
    <mergeCell ref="HM854:HN854"/>
    <mergeCell ref="HM855:HN855"/>
    <mergeCell ref="HM856:HN856"/>
    <mergeCell ref="HM857:HN857"/>
    <mergeCell ref="HM858:HN858"/>
    <mergeCell ref="HM859:HN859"/>
    <mergeCell ref="HM860:HN860"/>
    <mergeCell ref="HM861:HN861"/>
    <mergeCell ref="HM862:HN862"/>
    <mergeCell ref="HM863:HN863"/>
    <mergeCell ref="HM864:HN864"/>
    <mergeCell ref="HM865:HN865"/>
    <mergeCell ref="HM866:HN866"/>
    <mergeCell ref="HM867:HN867"/>
    <mergeCell ref="HM868:HN868"/>
    <mergeCell ref="HM869:HN869"/>
    <mergeCell ref="HM870:HN870"/>
    <mergeCell ref="HM871:HN871"/>
    <mergeCell ref="HM872:HN872"/>
    <mergeCell ref="HM873:HN873"/>
    <mergeCell ref="HM874:HN874"/>
    <mergeCell ref="HM875:HN875"/>
    <mergeCell ref="HM876:HN876"/>
    <mergeCell ref="HM877:HN877"/>
    <mergeCell ref="HM878:HN878"/>
    <mergeCell ref="HM879:HN879"/>
    <mergeCell ref="HM880:HN880"/>
    <mergeCell ref="HM881:HN881"/>
    <mergeCell ref="HM882:HN882"/>
    <mergeCell ref="HM883:HN883"/>
    <mergeCell ref="HM884:HN884"/>
    <mergeCell ref="HM885:HN885"/>
    <mergeCell ref="HM886:HN886"/>
    <mergeCell ref="HM887:HN887"/>
    <mergeCell ref="HM888:HN888"/>
    <mergeCell ref="HM889:HN889"/>
    <mergeCell ref="HM890:HN890"/>
    <mergeCell ref="HM891:HN891"/>
    <mergeCell ref="HM892:HN892"/>
    <mergeCell ref="HM893:HN893"/>
    <mergeCell ref="HM894:HN894"/>
    <mergeCell ref="HM895:HN895"/>
    <mergeCell ref="HM896:HN896"/>
    <mergeCell ref="HM897:HN897"/>
    <mergeCell ref="HM898:HN898"/>
    <mergeCell ref="HM899:HN899"/>
    <mergeCell ref="HM900:HN900"/>
    <mergeCell ref="HM901:HN901"/>
    <mergeCell ref="HM902:HN902"/>
    <mergeCell ref="HM903:HN903"/>
    <mergeCell ref="HM904:HN904"/>
    <mergeCell ref="HM905:HN905"/>
    <mergeCell ref="HM906:HN906"/>
    <mergeCell ref="HM907:HN907"/>
    <mergeCell ref="HM908:HN908"/>
    <mergeCell ref="HM909:HN909"/>
    <mergeCell ref="HM910:HN910"/>
    <mergeCell ref="HM911:HN911"/>
    <mergeCell ref="HM912:HN912"/>
    <mergeCell ref="HM913:HN913"/>
    <mergeCell ref="HM914:HN914"/>
    <mergeCell ref="HM915:HN915"/>
    <mergeCell ref="HM916:HN916"/>
    <mergeCell ref="HM917:HN917"/>
    <mergeCell ref="HM918:HN918"/>
    <mergeCell ref="HM919:HN919"/>
    <mergeCell ref="HM920:HN920"/>
    <mergeCell ref="HM921:HN921"/>
    <mergeCell ref="HM922:HN922"/>
    <mergeCell ref="HM923:HN923"/>
    <mergeCell ref="HM924:HN924"/>
    <mergeCell ref="HM925:HN925"/>
    <mergeCell ref="HM926:HN926"/>
    <mergeCell ref="HM927:HN927"/>
    <mergeCell ref="HM928:HN928"/>
    <mergeCell ref="HM929:HN929"/>
    <mergeCell ref="HM930:HN930"/>
    <mergeCell ref="HM931:HN931"/>
    <mergeCell ref="HM932:HN932"/>
    <mergeCell ref="HM933:HN933"/>
    <mergeCell ref="HM934:HN934"/>
    <mergeCell ref="HM935:HN935"/>
    <mergeCell ref="HM936:HN936"/>
    <mergeCell ref="HM937:HN937"/>
    <mergeCell ref="HM938:HN938"/>
    <mergeCell ref="HM939:HN939"/>
    <mergeCell ref="HM940:HN940"/>
    <mergeCell ref="HM941:HN941"/>
    <mergeCell ref="HM942:HN942"/>
    <mergeCell ref="HM943:HN943"/>
    <mergeCell ref="HM944:HN944"/>
    <mergeCell ref="HM945:HN945"/>
    <mergeCell ref="HM946:HN946"/>
    <mergeCell ref="HM947:HN947"/>
    <mergeCell ref="HM948:HN948"/>
    <mergeCell ref="HM949:HN949"/>
    <mergeCell ref="HM950:HN950"/>
    <mergeCell ref="HM951:HN951"/>
    <mergeCell ref="HM952:HN952"/>
    <mergeCell ref="HM953:HN953"/>
    <mergeCell ref="HM954:HN954"/>
    <mergeCell ref="HM955:HN955"/>
    <mergeCell ref="HM956:HN956"/>
    <mergeCell ref="HM957:HN957"/>
    <mergeCell ref="HM958:HN958"/>
    <mergeCell ref="HM959:HN959"/>
    <mergeCell ref="HM960:HN960"/>
    <mergeCell ref="HM961:HN961"/>
    <mergeCell ref="HM962:HN962"/>
    <mergeCell ref="HM963:HN963"/>
    <mergeCell ref="HM964:HN964"/>
    <mergeCell ref="HM965:HN965"/>
    <mergeCell ref="HM966:HN966"/>
    <mergeCell ref="HM967:HN967"/>
    <mergeCell ref="HM968:HN968"/>
    <mergeCell ref="HM969:HN969"/>
    <mergeCell ref="HM970:HN970"/>
    <mergeCell ref="HM971:HN971"/>
    <mergeCell ref="HM972:HN972"/>
    <mergeCell ref="HM973:HN973"/>
    <mergeCell ref="HM974:HN974"/>
    <mergeCell ref="HM975:HN975"/>
    <mergeCell ref="HM976:HN976"/>
    <mergeCell ref="HM977:HN977"/>
    <mergeCell ref="HM978:HN978"/>
    <mergeCell ref="HM979:HN979"/>
    <mergeCell ref="HM980:HN980"/>
    <mergeCell ref="HM981:HN981"/>
    <mergeCell ref="HM982:HN982"/>
    <mergeCell ref="HM983:HN983"/>
    <mergeCell ref="HM984:HN984"/>
    <mergeCell ref="HM985:HN985"/>
    <mergeCell ref="HM986:HN986"/>
    <mergeCell ref="HM987:HN987"/>
    <mergeCell ref="HM988:HN988"/>
    <mergeCell ref="HM989:HN989"/>
    <mergeCell ref="HM990:HN990"/>
    <mergeCell ref="HM991:HN991"/>
    <mergeCell ref="HM992:HN992"/>
    <mergeCell ref="HM993:HN993"/>
    <mergeCell ref="HM994:HN994"/>
    <mergeCell ref="HM995:HN995"/>
    <mergeCell ref="HM996:HN996"/>
    <mergeCell ref="HM997:HN997"/>
    <mergeCell ref="HM998:HN998"/>
    <mergeCell ref="HM999:HN999"/>
    <mergeCell ref="HM1000:HN1000"/>
    <mergeCell ref="HM1001:HN1001"/>
    <mergeCell ref="HM1002:HN1002"/>
    <mergeCell ref="HM1003:HN1003"/>
    <mergeCell ref="HM1004:HN1004"/>
    <mergeCell ref="HM1005:HN1005"/>
    <mergeCell ref="HM1006:HN1006"/>
    <mergeCell ref="HM1007:HN1007"/>
    <mergeCell ref="HM1008:HN1008"/>
    <mergeCell ref="HM1009:HN1009"/>
    <mergeCell ref="HM1010:HN1010"/>
    <mergeCell ref="HM1011:HN1011"/>
    <mergeCell ref="HM1012:HN1012"/>
    <mergeCell ref="HM1013:HN1013"/>
    <mergeCell ref="HM1014:HN1014"/>
    <mergeCell ref="HM1015:HN1015"/>
    <mergeCell ref="HM1016:HN1016"/>
    <mergeCell ref="HM1017:HN1017"/>
    <mergeCell ref="HM1018:HN1018"/>
    <mergeCell ref="HM1019:HN1019"/>
    <mergeCell ref="HM1020:HN1020"/>
    <mergeCell ref="HM1021:HN1021"/>
    <mergeCell ref="HM1022:HN1022"/>
    <mergeCell ref="HM1023:HN1023"/>
    <mergeCell ref="HM1024:HN1024"/>
    <mergeCell ref="HM1025:HN1025"/>
    <mergeCell ref="HM1026:HN1026"/>
    <mergeCell ref="HM1027:HN1027"/>
    <mergeCell ref="HM1028:HN1028"/>
    <mergeCell ref="HM1029:HN1029"/>
    <mergeCell ref="HM1030:HN1030"/>
    <mergeCell ref="HM1031:HN1031"/>
    <mergeCell ref="HM1032:HN1032"/>
    <mergeCell ref="HM1033:HN1033"/>
    <mergeCell ref="HM1034:HN1034"/>
    <mergeCell ref="HM1035:HN1035"/>
    <mergeCell ref="HM1036:HN1036"/>
    <mergeCell ref="HM1037:HN1037"/>
    <mergeCell ref="HM1038:HN1038"/>
    <mergeCell ref="HM1039:HN1039"/>
    <mergeCell ref="HM1040:HN1040"/>
    <mergeCell ref="HM1041:HN1041"/>
    <mergeCell ref="HM1042:HN1042"/>
    <mergeCell ref="HM1043:HN1043"/>
    <mergeCell ref="HM1044:HN1044"/>
    <mergeCell ref="HM1045:HN1045"/>
    <mergeCell ref="HM1046:HN1046"/>
    <mergeCell ref="HM1047:HN1047"/>
    <mergeCell ref="HM1048:HN1048"/>
    <mergeCell ref="HM1049:HN1049"/>
    <mergeCell ref="HM1050:HN1050"/>
    <mergeCell ref="HM1051:HN1051"/>
    <mergeCell ref="HM1052:HN1052"/>
    <mergeCell ref="HM1053:HN1053"/>
    <mergeCell ref="HM1054:HN1054"/>
    <mergeCell ref="HM1055:HN1055"/>
    <mergeCell ref="HM1056:HN1056"/>
    <mergeCell ref="HM1057:HN1057"/>
    <mergeCell ref="HM1058:HN1058"/>
    <mergeCell ref="HM1059:HN1059"/>
    <mergeCell ref="HM1060:HN1060"/>
    <mergeCell ref="HM1061:HN1061"/>
    <mergeCell ref="HM1062:HN1062"/>
    <mergeCell ref="HM1063:HN1063"/>
    <mergeCell ref="HM1064:HN1064"/>
    <mergeCell ref="HM1065:HN1065"/>
    <mergeCell ref="HM1066:HN1066"/>
    <mergeCell ref="HM1067:HN1067"/>
    <mergeCell ref="HM1068:HN1068"/>
    <mergeCell ref="HM1069:HN1069"/>
    <mergeCell ref="HM1070:HN1070"/>
    <mergeCell ref="HM1071:HN1071"/>
    <mergeCell ref="HM1072:HN1072"/>
    <mergeCell ref="HM1073:HN1073"/>
    <mergeCell ref="HM1074:HN1074"/>
    <mergeCell ref="HM1075:HN1075"/>
    <mergeCell ref="HM1076:HN1076"/>
    <mergeCell ref="HM1077:HN1077"/>
    <mergeCell ref="HM1078:HN1078"/>
    <mergeCell ref="HM1079:HN1079"/>
    <mergeCell ref="HM1080:HN1080"/>
    <mergeCell ref="HM1081:HN1081"/>
    <mergeCell ref="HM1082:HN1082"/>
    <mergeCell ref="HM1083:HN1083"/>
    <mergeCell ref="HM1084:HN1084"/>
    <mergeCell ref="HM1085:HN1085"/>
    <mergeCell ref="HM1086:HN1086"/>
    <mergeCell ref="HM1087:HN1087"/>
    <mergeCell ref="HM1088:HN1088"/>
    <mergeCell ref="HM1089:HN1089"/>
    <mergeCell ref="HM1090:HN1090"/>
    <mergeCell ref="HM1091:HN1091"/>
    <mergeCell ref="HM1092:HN1092"/>
    <mergeCell ref="HM1093:HN1093"/>
    <mergeCell ref="HM1094:HN1094"/>
    <mergeCell ref="HM1095:HN1095"/>
    <mergeCell ref="HM1096:HN1096"/>
    <mergeCell ref="HM1097:HN1097"/>
    <mergeCell ref="HM1098:HN1098"/>
    <mergeCell ref="HM1099:HN1099"/>
    <mergeCell ref="HM1100:HN1100"/>
    <mergeCell ref="HM1101:HN1101"/>
    <mergeCell ref="HM1102:HN1102"/>
    <mergeCell ref="HM1103:HN1103"/>
    <mergeCell ref="HM1104:HN1104"/>
    <mergeCell ref="HM1105:HN1105"/>
    <mergeCell ref="HM1106:HN1106"/>
    <mergeCell ref="HM1107:HN1107"/>
    <mergeCell ref="HM1108:HN1108"/>
    <mergeCell ref="HM1109:HN1109"/>
    <mergeCell ref="HM1110:HN1110"/>
    <mergeCell ref="HM1111:HN1111"/>
    <mergeCell ref="HM1112:HN1112"/>
    <mergeCell ref="HM1113:HN1113"/>
    <mergeCell ref="HM1114:HN1114"/>
    <mergeCell ref="HM1115:HN1115"/>
    <mergeCell ref="HM1116:HN1116"/>
    <mergeCell ref="HM1117:HN1117"/>
    <mergeCell ref="HM1118:HN1118"/>
    <mergeCell ref="HM1119:HN1119"/>
    <mergeCell ref="HM1120:HN1120"/>
    <mergeCell ref="HM1121:HN1121"/>
    <mergeCell ref="HM1122:HN1122"/>
    <mergeCell ref="HM1123:HN1123"/>
    <mergeCell ref="HM1124:HN1124"/>
    <mergeCell ref="HM1125:HN1125"/>
    <mergeCell ref="HM1126:HN1126"/>
    <mergeCell ref="HM1127:HN1127"/>
    <mergeCell ref="HM1128:HN1128"/>
    <mergeCell ref="HM1129:HN1129"/>
    <mergeCell ref="HM1130:HN1130"/>
    <mergeCell ref="HM1131:HN1131"/>
    <mergeCell ref="HM1132:HN1132"/>
    <mergeCell ref="HM1133:HN1133"/>
    <mergeCell ref="HM1134:HN1134"/>
    <mergeCell ref="HM1135:HN1135"/>
    <mergeCell ref="HM1136:HN1136"/>
    <mergeCell ref="HM1137:HN1137"/>
    <mergeCell ref="HM1138:HN1138"/>
    <mergeCell ref="HM1139:HN1139"/>
    <mergeCell ref="HM1140:HN1140"/>
    <mergeCell ref="HM1141:HN1141"/>
    <mergeCell ref="HM1142:HN1142"/>
    <mergeCell ref="HM1143:HN1143"/>
    <mergeCell ref="HM1144:HN1144"/>
    <mergeCell ref="HM1145:HN1145"/>
    <mergeCell ref="HM1146:HN1146"/>
    <mergeCell ref="HM1147:HN1147"/>
    <mergeCell ref="HM1148:HN1148"/>
    <mergeCell ref="HM1149:HN1149"/>
    <mergeCell ref="HM1150:HN1150"/>
    <mergeCell ref="HM1151:HN1151"/>
    <mergeCell ref="HM1152:HN1152"/>
    <mergeCell ref="HM1153:HN1153"/>
    <mergeCell ref="HM1154:HN1154"/>
    <mergeCell ref="HM1155:HN1155"/>
    <mergeCell ref="HM1156:HN1156"/>
    <mergeCell ref="HM1157:HN1157"/>
    <mergeCell ref="HM1158:HN1158"/>
    <mergeCell ref="HM1159:HN1159"/>
    <mergeCell ref="HM1160:HN1160"/>
    <mergeCell ref="HM1161:HN1161"/>
    <mergeCell ref="HM1162:HN1162"/>
    <mergeCell ref="HM1163:HN1163"/>
    <mergeCell ref="HM1164:HN1164"/>
    <mergeCell ref="HM1165:HN1165"/>
    <mergeCell ref="HM1166:HN1166"/>
    <mergeCell ref="HM1167:HN1167"/>
    <mergeCell ref="HM1168:HN1168"/>
    <mergeCell ref="HM1169:HN1169"/>
    <mergeCell ref="HM1170:HN1170"/>
    <mergeCell ref="HM1171:HN1171"/>
    <mergeCell ref="HM1172:HN1172"/>
    <mergeCell ref="HM1173:HN1173"/>
    <mergeCell ref="HM1174:HN1174"/>
    <mergeCell ref="HM1175:HN1175"/>
    <mergeCell ref="HM1176:HN1176"/>
    <mergeCell ref="HM1177:HN1177"/>
    <mergeCell ref="HM1178:HN1178"/>
    <mergeCell ref="HM1179:HN1179"/>
    <mergeCell ref="HM1180:HN1180"/>
    <mergeCell ref="HM1181:HN1181"/>
    <mergeCell ref="HM1182:HN1182"/>
    <mergeCell ref="HM1183:HN1183"/>
    <mergeCell ref="HM1184:HN1184"/>
    <mergeCell ref="HM1185:HN1185"/>
    <mergeCell ref="HM1186:HN1186"/>
    <mergeCell ref="HM1187:HN1187"/>
    <mergeCell ref="HM1188:HN1188"/>
    <mergeCell ref="HM1189:HN1189"/>
    <mergeCell ref="HM1190:HN1190"/>
    <mergeCell ref="HM1191:HN1191"/>
    <mergeCell ref="HM1192:HN1192"/>
    <mergeCell ref="HM1193:HN1193"/>
    <mergeCell ref="HM1194:HN1194"/>
    <mergeCell ref="HM1195:HN1195"/>
    <mergeCell ref="HM1196:HN1196"/>
    <mergeCell ref="HM1197:HN1197"/>
    <mergeCell ref="HM1198:HN1198"/>
    <mergeCell ref="HM1199:HN1199"/>
    <mergeCell ref="HM1200:HN1200"/>
    <mergeCell ref="HM1201:HN1201"/>
    <mergeCell ref="HM1202:HN1202"/>
    <mergeCell ref="HM1203:HN1203"/>
    <mergeCell ref="HM1204:HN1204"/>
    <mergeCell ref="HM1205:HN1205"/>
    <mergeCell ref="HM1206:HN1206"/>
    <mergeCell ref="HM1207:HN1207"/>
    <mergeCell ref="HM1208:HN1208"/>
    <mergeCell ref="HM1209:HN1209"/>
    <mergeCell ref="HM1210:HN1210"/>
    <mergeCell ref="HM1211:HN1211"/>
    <mergeCell ref="HM1212:HN1212"/>
    <mergeCell ref="HM1213:HN1213"/>
    <mergeCell ref="HM1214:HN1214"/>
    <mergeCell ref="HM1215:HN1215"/>
    <mergeCell ref="HM1216:HN1216"/>
    <mergeCell ref="HM1217:HN1217"/>
    <mergeCell ref="HM1218:HN1218"/>
    <mergeCell ref="HM1219:HN1219"/>
    <mergeCell ref="HM1220:HN1220"/>
    <mergeCell ref="HM1221:HN1221"/>
    <mergeCell ref="HM1222:HN1222"/>
    <mergeCell ref="HM1223:HN1223"/>
    <mergeCell ref="HM1224:HN1224"/>
    <mergeCell ref="HM1225:HN1225"/>
    <mergeCell ref="HM1226:HN1226"/>
    <mergeCell ref="HM1227:HN1227"/>
    <mergeCell ref="HM1228:HN1228"/>
    <mergeCell ref="HM1229:HN1229"/>
    <mergeCell ref="HM1230:HN1230"/>
    <mergeCell ref="HM1231:HN1231"/>
    <mergeCell ref="HM1232:HN1232"/>
    <mergeCell ref="HM1233:HN1233"/>
    <mergeCell ref="HM1234:HN1234"/>
    <mergeCell ref="HM1235:HN1235"/>
    <mergeCell ref="HM1236:HN1236"/>
    <mergeCell ref="HM1237:HN1237"/>
    <mergeCell ref="HM1238:HN1238"/>
    <mergeCell ref="HM1239:HN1239"/>
    <mergeCell ref="HM1240:HN1240"/>
    <mergeCell ref="HM1241:HN1241"/>
    <mergeCell ref="HM1242:HN1242"/>
    <mergeCell ref="HM1243:HN1243"/>
    <mergeCell ref="HM1244:HN1244"/>
    <mergeCell ref="HM1245:HN1245"/>
    <mergeCell ref="HM1246:HN1246"/>
    <mergeCell ref="HM1247:HN1247"/>
    <mergeCell ref="HM1248:HN1248"/>
    <mergeCell ref="HM1249:HN1249"/>
    <mergeCell ref="HM1250:HN1250"/>
    <mergeCell ref="HM1251:HN1251"/>
    <mergeCell ref="HM1252:HN1252"/>
    <mergeCell ref="HM1253:HN1253"/>
    <mergeCell ref="HM1254:HN1254"/>
    <mergeCell ref="HM1255:HN1255"/>
    <mergeCell ref="HM1256:HN1256"/>
    <mergeCell ref="HM1257:HN1257"/>
    <mergeCell ref="HM1258:HN1258"/>
    <mergeCell ref="HM1259:HN1259"/>
    <mergeCell ref="HM1260:HN1260"/>
    <mergeCell ref="HM1261:HN1261"/>
    <mergeCell ref="HM1262:HN1262"/>
    <mergeCell ref="HM1263:HN1263"/>
    <mergeCell ref="HM1264:HN1264"/>
    <mergeCell ref="HM1265:HN1265"/>
    <mergeCell ref="HM1266:HN1266"/>
    <mergeCell ref="HM1267:HN1267"/>
    <mergeCell ref="HM1268:HN1268"/>
    <mergeCell ref="HM1269:HN1269"/>
    <mergeCell ref="HM1270:HN1270"/>
    <mergeCell ref="HM1271:HN1271"/>
    <mergeCell ref="HM1272:HN1272"/>
    <mergeCell ref="HM1273:HN1273"/>
    <mergeCell ref="HM1274:HN1274"/>
    <mergeCell ref="HM1275:HN1275"/>
    <mergeCell ref="HM1276:HN1276"/>
    <mergeCell ref="HM1277:HN1277"/>
    <mergeCell ref="HM1278:HN1278"/>
    <mergeCell ref="HM1279:HN1279"/>
    <mergeCell ref="HM1280:HN1280"/>
    <mergeCell ref="HM1281:HN1281"/>
    <mergeCell ref="HM1282:HN1282"/>
    <mergeCell ref="HM1283:HN1283"/>
    <mergeCell ref="HM1284:HN1284"/>
    <mergeCell ref="HM1285:HN1285"/>
    <mergeCell ref="HM1286:HN1286"/>
    <mergeCell ref="HM1287:HN1287"/>
    <mergeCell ref="HM1288:HN1288"/>
    <mergeCell ref="HM1289:HN1289"/>
    <mergeCell ref="HM1290:HN1290"/>
    <mergeCell ref="HM1291:HN1291"/>
    <mergeCell ref="HM1292:HN1292"/>
    <mergeCell ref="HM1293:HN1293"/>
    <mergeCell ref="HM1294:HN1294"/>
    <mergeCell ref="HM1295:HN1295"/>
    <mergeCell ref="HM1296:HN1296"/>
    <mergeCell ref="HM1297:HN1297"/>
    <mergeCell ref="HM1298:HN1298"/>
    <mergeCell ref="HM1299:HN1299"/>
    <mergeCell ref="HM1300:HN1300"/>
    <mergeCell ref="HM1301:HN1301"/>
    <mergeCell ref="HM1302:HN1302"/>
    <mergeCell ref="HM1303:HN1303"/>
    <mergeCell ref="HM1304:HN1304"/>
    <mergeCell ref="HM1305:HN1305"/>
    <mergeCell ref="HM1306:HN1306"/>
    <mergeCell ref="HM1307:HN1307"/>
    <mergeCell ref="HM1308:HN1308"/>
    <mergeCell ref="HM1309:HN1309"/>
    <mergeCell ref="HM1310:HN1310"/>
    <mergeCell ref="HM1311:HN1311"/>
    <mergeCell ref="HM1312:HN1312"/>
    <mergeCell ref="HM1313:HN1313"/>
    <mergeCell ref="HM1314:HN1314"/>
    <mergeCell ref="HM1315:HN1315"/>
    <mergeCell ref="HM1316:HN1316"/>
    <mergeCell ref="HM1317:HN1317"/>
    <mergeCell ref="HM1318:HN1318"/>
    <mergeCell ref="HM1319:HN1319"/>
    <mergeCell ref="HM1320:HN1320"/>
    <mergeCell ref="HM1321:HN1321"/>
    <mergeCell ref="HM1322:HN1322"/>
    <mergeCell ref="HM1323:HN1323"/>
    <mergeCell ref="HM1324:HN1324"/>
    <mergeCell ref="HM1325:HN1325"/>
    <mergeCell ref="HM1326:HN1326"/>
    <mergeCell ref="HM1327:HN1327"/>
    <mergeCell ref="HM1328:HN1328"/>
    <mergeCell ref="HM1329:HN1329"/>
    <mergeCell ref="HM1330:HN1330"/>
    <mergeCell ref="HM1331:HN1331"/>
    <mergeCell ref="HM1332:HN1332"/>
    <mergeCell ref="HM1333:HN1333"/>
    <mergeCell ref="HM1334:HN1334"/>
    <mergeCell ref="HM1335:HN1335"/>
    <mergeCell ref="HM1336:HN1336"/>
    <mergeCell ref="HM1337:HN1337"/>
    <mergeCell ref="HM1338:HN1338"/>
    <mergeCell ref="HM1339:HN1339"/>
    <mergeCell ref="HM1340:HN1340"/>
    <mergeCell ref="HM1341:HN1341"/>
    <mergeCell ref="HM1342:HN1342"/>
    <mergeCell ref="HM1343:HN1343"/>
    <mergeCell ref="HM1344:HN1344"/>
    <mergeCell ref="HM1345:HN1345"/>
    <mergeCell ref="HM1346:HN1346"/>
    <mergeCell ref="HM1347:HN1347"/>
    <mergeCell ref="HM1348:HN1348"/>
    <mergeCell ref="HM1349:HN1349"/>
    <mergeCell ref="HM1350:HN1350"/>
    <mergeCell ref="HM1351:HN1351"/>
    <mergeCell ref="HM1352:HN1352"/>
    <mergeCell ref="HM1353:HN1353"/>
    <mergeCell ref="HM1354:HN1354"/>
    <mergeCell ref="HM1355:HN1355"/>
    <mergeCell ref="HM1356:HN1356"/>
    <mergeCell ref="HM1357:HN1357"/>
    <mergeCell ref="HM1358:HN1358"/>
    <mergeCell ref="HM1359:HN1359"/>
    <mergeCell ref="HM1360:HN1360"/>
    <mergeCell ref="HM1361:HN1361"/>
    <mergeCell ref="HM1362:HN1362"/>
    <mergeCell ref="HM1363:HN1363"/>
    <mergeCell ref="HM1364:HN1364"/>
    <mergeCell ref="HM1365:HN1365"/>
    <mergeCell ref="HM1366:HN1366"/>
    <mergeCell ref="HM1367:HN1367"/>
    <mergeCell ref="HM1368:HN1368"/>
    <mergeCell ref="HM1369:HN1369"/>
    <mergeCell ref="HM1370:HN1370"/>
    <mergeCell ref="HM1371:HN1371"/>
    <mergeCell ref="HM1372:HN1372"/>
    <mergeCell ref="HM1373:HN1373"/>
    <mergeCell ref="HM1374:HN1374"/>
    <mergeCell ref="HM1375:HN1375"/>
    <mergeCell ref="HM1376:HN1376"/>
    <mergeCell ref="HM1377:HN1377"/>
    <mergeCell ref="HM1378:HN1378"/>
    <mergeCell ref="HM1379:HN1379"/>
    <mergeCell ref="HM1380:HN1380"/>
    <mergeCell ref="HM1381:HN1381"/>
    <mergeCell ref="HM1382:HN1382"/>
    <mergeCell ref="HM1383:HN1383"/>
    <mergeCell ref="HM1384:HN1384"/>
    <mergeCell ref="HM1385:HN1385"/>
    <mergeCell ref="HM1386:HN1386"/>
    <mergeCell ref="HM1387:HN1387"/>
    <mergeCell ref="HM1388:HN1388"/>
    <mergeCell ref="HM1389:HN1389"/>
    <mergeCell ref="HM1390:HN1390"/>
    <mergeCell ref="HM1391:HN1391"/>
    <mergeCell ref="HM1392:HN1392"/>
    <mergeCell ref="HM1393:HN1393"/>
    <mergeCell ref="HM1394:HN1394"/>
    <mergeCell ref="HM1395:HN1395"/>
    <mergeCell ref="HM1396:HN1396"/>
    <mergeCell ref="HM1397:HN1397"/>
    <mergeCell ref="HM1398:HN1398"/>
    <mergeCell ref="HM1399:HN1399"/>
    <mergeCell ref="HM1400:HN1400"/>
    <mergeCell ref="HM1401:HN1401"/>
    <mergeCell ref="HM1402:HN1402"/>
    <mergeCell ref="HM1403:HN1403"/>
    <mergeCell ref="HM1404:HN1404"/>
    <mergeCell ref="HM1405:HN1405"/>
    <mergeCell ref="HM1406:HN1406"/>
    <mergeCell ref="HM1407:HN1407"/>
    <mergeCell ref="HM1408:HN1408"/>
    <mergeCell ref="HM1409:HN1409"/>
    <mergeCell ref="HM1410:HN1410"/>
    <mergeCell ref="HM1411:HN1411"/>
    <mergeCell ref="HM1412:HN1412"/>
    <mergeCell ref="HM1413:HN1413"/>
    <mergeCell ref="HM1414:HN1414"/>
    <mergeCell ref="HM1415:HN1415"/>
    <mergeCell ref="HM1416:HN1416"/>
    <mergeCell ref="HM1417:HN1417"/>
    <mergeCell ref="HM1418:HN1418"/>
    <mergeCell ref="HM1419:HN1419"/>
    <mergeCell ref="HM1420:HN1420"/>
    <mergeCell ref="HM1421:HN1421"/>
    <mergeCell ref="HM1422:HN1422"/>
    <mergeCell ref="HM1423:HN1423"/>
    <mergeCell ref="HM1424:HN1424"/>
    <mergeCell ref="HM1425:HN1425"/>
    <mergeCell ref="HM1426:HN1426"/>
    <mergeCell ref="HM1427:HN1427"/>
    <mergeCell ref="HM1428:HN1428"/>
    <mergeCell ref="HM1429:HN1429"/>
    <mergeCell ref="HM1430:HN1430"/>
    <mergeCell ref="HM1431:HN1431"/>
    <mergeCell ref="HM1432:HN1432"/>
    <mergeCell ref="HM1433:HN1433"/>
    <mergeCell ref="HM1434:HN1434"/>
    <mergeCell ref="HM1435:HN1435"/>
    <mergeCell ref="HM1436:HN1436"/>
    <mergeCell ref="HM1437:HN1437"/>
    <mergeCell ref="HM1438:HN1438"/>
    <mergeCell ref="HM1439:HN1439"/>
    <mergeCell ref="HM1440:HN1440"/>
    <mergeCell ref="HM1441:HN1441"/>
    <mergeCell ref="HM1442:HN1442"/>
    <mergeCell ref="HM1443:HN1443"/>
    <mergeCell ref="HM1444:HN1444"/>
    <mergeCell ref="HM1445:HN1445"/>
    <mergeCell ref="HM1446:HN1446"/>
    <mergeCell ref="HM1447:HN1447"/>
    <mergeCell ref="HM1448:HN1448"/>
    <mergeCell ref="HM1449:HN1449"/>
    <mergeCell ref="HM1450:HN1450"/>
    <mergeCell ref="HM1451:HN1451"/>
    <mergeCell ref="HM1452:HN1452"/>
    <mergeCell ref="HM1453:HN1453"/>
    <mergeCell ref="HM1454:HN1454"/>
    <mergeCell ref="HM1455:HN1455"/>
    <mergeCell ref="HM1456:HN1456"/>
    <mergeCell ref="HM1457:HN1457"/>
    <mergeCell ref="HM1458:HN1458"/>
    <mergeCell ref="HM1459:HN1459"/>
    <mergeCell ref="HM1460:HN1460"/>
    <mergeCell ref="HM1461:HN1461"/>
    <mergeCell ref="HM1462:HN1462"/>
    <mergeCell ref="HM1463:HN1463"/>
    <mergeCell ref="HM1464:HN1464"/>
    <mergeCell ref="HM1465:HN1465"/>
    <mergeCell ref="HM1466:HN1466"/>
    <mergeCell ref="HM1467:HN1467"/>
    <mergeCell ref="HM1468:HN1468"/>
    <mergeCell ref="HM1469:HN1469"/>
    <mergeCell ref="HM1470:HN1470"/>
    <mergeCell ref="HM1471:HN1471"/>
    <mergeCell ref="HM1472:HN1472"/>
    <mergeCell ref="HM1473:HN1473"/>
    <mergeCell ref="HM1474:HN1474"/>
    <mergeCell ref="HM1475:HN1475"/>
    <mergeCell ref="HM1476:HN1476"/>
    <mergeCell ref="HM1477:HN1477"/>
    <mergeCell ref="HM1478:HN1478"/>
    <mergeCell ref="HM1479:HN1479"/>
    <mergeCell ref="HM1480:HN1480"/>
    <mergeCell ref="HM1481:HN1481"/>
    <mergeCell ref="HM1482:HN1482"/>
    <mergeCell ref="HM1483:HN1483"/>
    <mergeCell ref="HM1484:HN1484"/>
    <mergeCell ref="HM1485:HN1485"/>
    <mergeCell ref="HM1486:HN1486"/>
    <mergeCell ref="HM1487:HN1487"/>
    <mergeCell ref="HM1488:HN1488"/>
    <mergeCell ref="HM1489:HN1489"/>
    <mergeCell ref="HM1490:HN1490"/>
    <mergeCell ref="HM1491:HN1491"/>
    <mergeCell ref="HM1492:HN1492"/>
    <mergeCell ref="HM1493:HN1493"/>
    <mergeCell ref="HM1494:HN1494"/>
    <mergeCell ref="HM1495:HN1495"/>
    <mergeCell ref="HM1496:HN1496"/>
    <mergeCell ref="HM1497:HN1497"/>
    <mergeCell ref="HM1498:HN1498"/>
    <mergeCell ref="HM1499:HN1499"/>
    <mergeCell ref="HM1500:HN1500"/>
    <mergeCell ref="HO789:HP789"/>
    <mergeCell ref="HO790:HP790"/>
    <mergeCell ref="HO791:HP791"/>
    <mergeCell ref="HO792:HP792"/>
    <mergeCell ref="HO793:HP793"/>
    <mergeCell ref="HO794:HP794"/>
    <mergeCell ref="HO795:HP795"/>
    <mergeCell ref="HO796:HP796"/>
    <mergeCell ref="HO797:HP797"/>
    <mergeCell ref="HO798:HP798"/>
    <mergeCell ref="HO799:HP799"/>
    <mergeCell ref="HO800:HP800"/>
    <mergeCell ref="HO801:HP801"/>
    <mergeCell ref="HO802:HP802"/>
    <mergeCell ref="HO803:HP803"/>
    <mergeCell ref="HO804:HP804"/>
    <mergeCell ref="HO805:HP805"/>
    <mergeCell ref="HO806:HP806"/>
    <mergeCell ref="HO807:HP807"/>
    <mergeCell ref="HO808:HP808"/>
    <mergeCell ref="HO809:HP809"/>
    <mergeCell ref="HO810:HP810"/>
    <mergeCell ref="HO811:HP811"/>
    <mergeCell ref="HO812:HP812"/>
    <mergeCell ref="HO813:HP813"/>
    <mergeCell ref="HO814:HP814"/>
    <mergeCell ref="HO815:HP815"/>
    <mergeCell ref="HO816:HP816"/>
    <mergeCell ref="HO817:HP817"/>
    <mergeCell ref="HO818:HP818"/>
    <mergeCell ref="HO819:HP819"/>
    <mergeCell ref="HO820:HP820"/>
    <mergeCell ref="HO821:HP821"/>
    <mergeCell ref="HO822:HP822"/>
    <mergeCell ref="HO823:HP823"/>
    <mergeCell ref="HO824:HP824"/>
    <mergeCell ref="HO825:HP825"/>
    <mergeCell ref="HO826:HP826"/>
    <mergeCell ref="HO827:HP827"/>
    <mergeCell ref="HO828:HP828"/>
    <mergeCell ref="HO829:HP829"/>
    <mergeCell ref="HO830:HP830"/>
    <mergeCell ref="HO831:HP831"/>
    <mergeCell ref="HO832:HP832"/>
    <mergeCell ref="HO833:HP833"/>
    <mergeCell ref="HO834:HP834"/>
    <mergeCell ref="HO835:HP835"/>
    <mergeCell ref="HO836:HP836"/>
    <mergeCell ref="HO837:HP837"/>
    <mergeCell ref="HO838:HP838"/>
    <mergeCell ref="HO839:HP839"/>
    <mergeCell ref="HO840:HP840"/>
    <mergeCell ref="HO841:HP841"/>
    <mergeCell ref="HO842:HP842"/>
    <mergeCell ref="HO843:HP843"/>
    <mergeCell ref="HO844:HP844"/>
    <mergeCell ref="HO845:HP845"/>
    <mergeCell ref="HO846:HP846"/>
    <mergeCell ref="HO847:HP847"/>
    <mergeCell ref="HO848:HP848"/>
    <mergeCell ref="HO849:HP849"/>
    <mergeCell ref="HO850:HP850"/>
    <mergeCell ref="HO851:HP851"/>
    <mergeCell ref="HO852:HP852"/>
    <mergeCell ref="HO853:HP853"/>
    <mergeCell ref="HO854:HP854"/>
    <mergeCell ref="HO855:HP855"/>
    <mergeCell ref="HO856:HP856"/>
    <mergeCell ref="HO857:HP857"/>
    <mergeCell ref="HO858:HP858"/>
    <mergeCell ref="HO859:HP859"/>
    <mergeCell ref="HO860:HP860"/>
    <mergeCell ref="HO861:HP861"/>
    <mergeCell ref="HO862:HP862"/>
    <mergeCell ref="HO863:HP863"/>
    <mergeCell ref="HO864:HP864"/>
    <mergeCell ref="HO865:HP865"/>
    <mergeCell ref="HO866:HP866"/>
    <mergeCell ref="HO867:HP867"/>
    <mergeCell ref="HO868:HP868"/>
    <mergeCell ref="HO869:HP869"/>
    <mergeCell ref="HO870:HP870"/>
    <mergeCell ref="HO871:HP871"/>
    <mergeCell ref="HO872:HP872"/>
    <mergeCell ref="HO873:HP873"/>
    <mergeCell ref="HO874:HP874"/>
    <mergeCell ref="HO875:HP875"/>
    <mergeCell ref="HO876:HP876"/>
    <mergeCell ref="HO877:HP877"/>
    <mergeCell ref="HO878:HP878"/>
    <mergeCell ref="HO879:HP879"/>
    <mergeCell ref="HO880:HP880"/>
    <mergeCell ref="HO881:HP881"/>
    <mergeCell ref="HO882:HP882"/>
    <mergeCell ref="HO883:HP883"/>
    <mergeCell ref="HO884:HP884"/>
    <mergeCell ref="HO885:HP885"/>
    <mergeCell ref="HO886:HP886"/>
    <mergeCell ref="HO887:HP887"/>
    <mergeCell ref="HO888:HP888"/>
    <mergeCell ref="HO889:HP889"/>
    <mergeCell ref="HO890:HP890"/>
    <mergeCell ref="HO891:HP891"/>
    <mergeCell ref="HO892:HP892"/>
    <mergeCell ref="HO893:HP893"/>
    <mergeCell ref="HO894:HP894"/>
    <mergeCell ref="HO895:HP895"/>
    <mergeCell ref="HO896:HP896"/>
    <mergeCell ref="HO897:HP897"/>
    <mergeCell ref="HO898:HP898"/>
    <mergeCell ref="HO899:HP899"/>
    <mergeCell ref="HO900:HP900"/>
    <mergeCell ref="HO901:HP901"/>
    <mergeCell ref="HO902:HP902"/>
    <mergeCell ref="HO903:HP903"/>
    <mergeCell ref="HO904:HP904"/>
    <mergeCell ref="HO905:HP905"/>
    <mergeCell ref="HO906:HP906"/>
    <mergeCell ref="HO907:HP907"/>
    <mergeCell ref="HO908:HP908"/>
    <mergeCell ref="HO909:HP909"/>
    <mergeCell ref="HO910:HP910"/>
    <mergeCell ref="HO911:HP911"/>
    <mergeCell ref="HO912:HP912"/>
    <mergeCell ref="HO913:HP913"/>
    <mergeCell ref="HO914:HP914"/>
    <mergeCell ref="HO915:HP915"/>
    <mergeCell ref="HO916:HP916"/>
    <mergeCell ref="HO917:HP917"/>
    <mergeCell ref="HO918:HP918"/>
    <mergeCell ref="HO919:HP919"/>
    <mergeCell ref="HO920:HP920"/>
    <mergeCell ref="HO921:HP921"/>
    <mergeCell ref="HO922:HP922"/>
    <mergeCell ref="HO923:HP923"/>
    <mergeCell ref="HO924:HP924"/>
    <mergeCell ref="HO925:HP925"/>
    <mergeCell ref="HO926:HP926"/>
    <mergeCell ref="HO927:HP927"/>
    <mergeCell ref="HO928:HP928"/>
    <mergeCell ref="HO929:HP929"/>
    <mergeCell ref="HO930:HP930"/>
    <mergeCell ref="HO931:HP931"/>
    <mergeCell ref="HO932:HP932"/>
    <mergeCell ref="HO933:HP933"/>
    <mergeCell ref="HO934:HP934"/>
    <mergeCell ref="HO935:HP935"/>
    <mergeCell ref="HO936:HP936"/>
    <mergeCell ref="HO937:HP937"/>
    <mergeCell ref="HO938:HP938"/>
    <mergeCell ref="HO939:HP939"/>
    <mergeCell ref="HO940:HP940"/>
    <mergeCell ref="HO941:HP941"/>
    <mergeCell ref="HO942:HP942"/>
    <mergeCell ref="HO943:HP943"/>
    <mergeCell ref="HO944:HP944"/>
    <mergeCell ref="HO945:HP945"/>
    <mergeCell ref="HO946:HP946"/>
    <mergeCell ref="HO947:HP947"/>
    <mergeCell ref="HO948:HP948"/>
    <mergeCell ref="HO949:HP949"/>
    <mergeCell ref="HO950:HP950"/>
    <mergeCell ref="HO951:HP951"/>
    <mergeCell ref="HO952:HP952"/>
    <mergeCell ref="HO953:HP953"/>
    <mergeCell ref="HO954:HP954"/>
    <mergeCell ref="HO955:HP955"/>
    <mergeCell ref="HO956:HP956"/>
    <mergeCell ref="HO957:HP957"/>
    <mergeCell ref="HO958:HP958"/>
    <mergeCell ref="HO959:HP959"/>
    <mergeCell ref="HO960:HP960"/>
    <mergeCell ref="HO961:HP961"/>
    <mergeCell ref="HO962:HP962"/>
    <mergeCell ref="HO963:HP963"/>
    <mergeCell ref="HO964:HP964"/>
    <mergeCell ref="HO965:HP965"/>
    <mergeCell ref="HO966:HP966"/>
    <mergeCell ref="HO967:HP967"/>
    <mergeCell ref="HO968:HP968"/>
    <mergeCell ref="HO969:HP969"/>
    <mergeCell ref="HO970:HP970"/>
    <mergeCell ref="HO971:HP971"/>
    <mergeCell ref="HO972:HP972"/>
    <mergeCell ref="HO973:HP973"/>
    <mergeCell ref="HO974:HP974"/>
    <mergeCell ref="HO975:HP975"/>
    <mergeCell ref="HO976:HP976"/>
    <mergeCell ref="HO977:HP977"/>
    <mergeCell ref="HO978:HP978"/>
    <mergeCell ref="HO979:HP979"/>
    <mergeCell ref="HO980:HP980"/>
    <mergeCell ref="HO981:HP981"/>
    <mergeCell ref="HO982:HP982"/>
    <mergeCell ref="HO983:HP983"/>
    <mergeCell ref="HO984:HP984"/>
    <mergeCell ref="HO985:HP985"/>
    <mergeCell ref="HO986:HP986"/>
    <mergeCell ref="HO987:HP987"/>
    <mergeCell ref="HO988:HP988"/>
    <mergeCell ref="HO989:HP989"/>
    <mergeCell ref="HO990:HP990"/>
    <mergeCell ref="HO991:HP991"/>
    <mergeCell ref="HO992:HP992"/>
    <mergeCell ref="HO993:HP993"/>
    <mergeCell ref="HO994:HP994"/>
    <mergeCell ref="HO995:HP995"/>
    <mergeCell ref="HO996:HP996"/>
    <mergeCell ref="HO997:HP997"/>
    <mergeCell ref="HO998:HP998"/>
    <mergeCell ref="HO999:HP999"/>
    <mergeCell ref="HO1000:HP1000"/>
    <mergeCell ref="HO1001:HP1001"/>
    <mergeCell ref="HO1002:HP1002"/>
    <mergeCell ref="HO1003:HP1003"/>
    <mergeCell ref="HO1004:HP1004"/>
    <mergeCell ref="HO1005:HP1005"/>
    <mergeCell ref="HO1006:HP1006"/>
    <mergeCell ref="HO1007:HP1007"/>
    <mergeCell ref="HO1008:HP1008"/>
    <mergeCell ref="HO1009:HP1009"/>
    <mergeCell ref="HO1010:HP1010"/>
    <mergeCell ref="HO1011:HP1011"/>
    <mergeCell ref="HO1012:HP1012"/>
    <mergeCell ref="HO1013:HP1013"/>
    <mergeCell ref="HO1014:HP1014"/>
    <mergeCell ref="HO1015:HP1015"/>
    <mergeCell ref="HO1016:HP1016"/>
    <mergeCell ref="HO1017:HP1017"/>
    <mergeCell ref="HO1018:HP1018"/>
    <mergeCell ref="HO1019:HP1019"/>
    <mergeCell ref="HO1020:HP1020"/>
    <mergeCell ref="HO1021:HP1021"/>
    <mergeCell ref="HO1022:HP1022"/>
    <mergeCell ref="HO1023:HP1023"/>
    <mergeCell ref="HO1024:HP1024"/>
    <mergeCell ref="HO1025:HP1025"/>
    <mergeCell ref="HO1026:HP1026"/>
    <mergeCell ref="HO1027:HP1027"/>
    <mergeCell ref="HO1028:HP1028"/>
    <mergeCell ref="HO1029:HP1029"/>
    <mergeCell ref="HO1030:HP1030"/>
    <mergeCell ref="HO1031:HP1031"/>
    <mergeCell ref="HO1032:HP1032"/>
    <mergeCell ref="HO1033:HP1033"/>
    <mergeCell ref="HO1034:HP1034"/>
    <mergeCell ref="HO1035:HP1035"/>
    <mergeCell ref="HO1036:HP1036"/>
    <mergeCell ref="HO1037:HP1037"/>
    <mergeCell ref="HO1038:HP1038"/>
    <mergeCell ref="HO1039:HP1039"/>
    <mergeCell ref="HO1040:HP1040"/>
    <mergeCell ref="HO1041:HP1041"/>
    <mergeCell ref="HO1042:HP1042"/>
    <mergeCell ref="HO1043:HP1043"/>
    <mergeCell ref="HO1044:HP1044"/>
    <mergeCell ref="HO1045:HP1045"/>
    <mergeCell ref="HO1046:HP1046"/>
    <mergeCell ref="HO1047:HP1047"/>
    <mergeCell ref="HO1048:HP1048"/>
    <mergeCell ref="HO1049:HP1049"/>
    <mergeCell ref="HO1050:HP1050"/>
    <mergeCell ref="HO1051:HP1051"/>
    <mergeCell ref="HO1052:HP1052"/>
    <mergeCell ref="HO1053:HP1053"/>
    <mergeCell ref="HO1054:HP1054"/>
    <mergeCell ref="HO1055:HP1055"/>
    <mergeCell ref="HO1056:HP1056"/>
    <mergeCell ref="HO1057:HP1057"/>
    <mergeCell ref="HO1058:HP1058"/>
    <mergeCell ref="HO1059:HP1059"/>
    <mergeCell ref="HO1060:HP1060"/>
    <mergeCell ref="HO1061:HP1061"/>
    <mergeCell ref="HO1062:HP1062"/>
    <mergeCell ref="HO1063:HP1063"/>
    <mergeCell ref="HO1064:HP1064"/>
    <mergeCell ref="HO1065:HP1065"/>
    <mergeCell ref="HO1066:HP1066"/>
    <mergeCell ref="HO1067:HP1067"/>
    <mergeCell ref="HO1068:HP1068"/>
    <mergeCell ref="HO1069:HP1069"/>
    <mergeCell ref="HO1070:HP1070"/>
    <mergeCell ref="HO1071:HP1071"/>
    <mergeCell ref="HO1072:HP1072"/>
    <mergeCell ref="HO1073:HP1073"/>
    <mergeCell ref="HO1074:HP1074"/>
    <mergeCell ref="HO1075:HP1075"/>
    <mergeCell ref="HO1076:HP1076"/>
    <mergeCell ref="HO1077:HP1077"/>
    <mergeCell ref="HO1078:HP1078"/>
    <mergeCell ref="HO1079:HP1079"/>
    <mergeCell ref="HO1080:HP1080"/>
    <mergeCell ref="HO1081:HP1081"/>
    <mergeCell ref="HO1082:HP1082"/>
    <mergeCell ref="HO1083:HP1083"/>
    <mergeCell ref="HO1084:HP1084"/>
    <mergeCell ref="HO1085:HP1085"/>
    <mergeCell ref="HO1086:HP1086"/>
    <mergeCell ref="HO1087:HP1087"/>
    <mergeCell ref="HO1088:HP1088"/>
    <mergeCell ref="HO1089:HP1089"/>
    <mergeCell ref="HO1090:HP1090"/>
    <mergeCell ref="HO1091:HP1091"/>
    <mergeCell ref="HO1092:HP1092"/>
    <mergeCell ref="HO1093:HP1093"/>
    <mergeCell ref="HO1094:HP1094"/>
    <mergeCell ref="HO1095:HP1095"/>
    <mergeCell ref="HO1096:HP1096"/>
    <mergeCell ref="HO1097:HP1097"/>
    <mergeCell ref="HO1098:HP1098"/>
    <mergeCell ref="HO1099:HP1099"/>
    <mergeCell ref="HO1100:HP1100"/>
    <mergeCell ref="HO1101:HP1101"/>
    <mergeCell ref="HO1102:HP1102"/>
    <mergeCell ref="HO1103:HP1103"/>
    <mergeCell ref="HO1104:HP1104"/>
    <mergeCell ref="HO1105:HP1105"/>
    <mergeCell ref="HO1106:HP1106"/>
    <mergeCell ref="HO1107:HP1107"/>
    <mergeCell ref="HO1108:HP1108"/>
    <mergeCell ref="HO1109:HP1109"/>
    <mergeCell ref="HO1110:HP1110"/>
    <mergeCell ref="HO1111:HP1111"/>
    <mergeCell ref="HO1112:HP1112"/>
    <mergeCell ref="HO1113:HP1113"/>
    <mergeCell ref="HO1114:HP1114"/>
    <mergeCell ref="HO1115:HP1115"/>
    <mergeCell ref="HO1116:HP1116"/>
    <mergeCell ref="HO1117:HP1117"/>
    <mergeCell ref="HO1118:HP1118"/>
    <mergeCell ref="HO1119:HP1119"/>
    <mergeCell ref="HO1120:HP1120"/>
    <mergeCell ref="HO1121:HP1121"/>
    <mergeCell ref="HO1122:HP1122"/>
    <mergeCell ref="HO1123:HP1123"/>
    <mergeCell ref="HO1124:HP1124"/>
    <mergeCell ref="HO1125:HP1125"/>
    <mergeCell ref="HO1126:HP1126"/>
    <mergeCell ref="HO1127:HP1127"/>
    <mergeCell ref="HO1128:HP1128"/>
    <mergeCell ref="HO1129:HP1129"/>
    <mergeCell ref="HO1130:HP1130"/>
    <mergeCell ref="HO1131:HP1131"/>
    <mergeCell ref="HO1132:HP1132"/>
    <mergeCell ref="HO1133:HP1133"/>
    <mergeCell ref="HO1134:HP1134"/>
    <mergeCell ref="HO1135:HP1135"/>
    <mergeCell ref="HO1136:HP1136"/>
    <mergeCell ref="HO1137:HP1137"/>
    <mergeCell ref="HO1138:HP1138"/>
    <mergeCell ref="HO1139:HP1139"/>
    <mergeCell ref="HO1140:HP1140"/>
    <mergeCell ref="HO1141:HP1141"/>
    <mergeCell ref="HO1142:HP1142"/>
    <mergeCell ref="HO1143:HP1143"/>
    <mergeCell ref="HO1144:HP1144"/>
    <mergeCell ref="HO1145:HP1145"/>
    <mergeCell ref="HO1146:HP1146"/>
    <mergeCell ref="HO1147:HP1147"/>
    <mergeCell ref="HO1148:HP1148"/>
    <mergeCell ref="HO1149:HP1149"/>
    <mergeCell ref="HO1150:HP1150"/>
    <mergeCell ref="HO1151:HP1151"/>
    <mergeCell ref="HO1152:HP1152"/>
    <mergeCell ref="HO1153:HP1153"/>
    <mergeCell ref="HO1154:HP1154"/>
    <mergeCell ref="HO1155:HP1155"/>
    <mergeCell ref="HO1156:HP1156"/>
    <mergeCell ref="HO1157:HP1157"/>
    <mergeCell ref="HO1158:HP1158"/>
    <mergeCell ref="HO1159:HP1159"/>
    <mergeCell ref="HO1160:HP1160"/>
    <mergeCell ref="HO1161:HP1161"/>
    <mergeCell ref="HO1162:HP1162"/>
    <mergeCell ref="HO1163:HP1163"/>
    <mergeCell ref="HO1164:HP1164"/>
    <mergeCell ref="HO1165:HP1165"/>
    <mergeCell ref="HO1166:HP1166"/>
    <mergeCell ref="HO1167:HP1167"/>
    <mergeCell ref="HO1168:HP1168"/>
    <mergeCell ref="HO1169:HP1169"/>
    <mergeCell ref="HO1170:HP1170"/>
    <mergeCell ref="HO1171:HP1171"/>
    <mergeCell ref="HO1172:HP1172"/>
    <mergeCell ref="HO1173:HP1173"/>
    <mergeCell ref="HO1174:HP1174"/>
    <mergeCell ref="HO1175:HP1175"/>
    <mergeCell ref="HO1176:HP1176"/>
    <mergeCell ref="HO1177:HP1177"/>
    <mergeCell ref="HO1178:HP1178"/>
    <mergeCell ref="HO1179:HP1179"/>
    <mergeCell ref="HO1180:HP1180"/>
    <mergeCell ref="HO1181:HP1181"/>
    <mergeCell ref="HO1182:HP1182"/>
    <mergeCell ref="HO1183:HP1183"/>
    <mergeCell ref="HO1184:HP1184"/>
    <mergeCell ref="HO1185:HP1185"/>
    <mergeCell ref="HO1186:HP1186"/>
    <mergeCell ref="HO1187:HP1187"/>
    <mergeCell ref="HO1188:HP1188"/>
    <mergeCell ref="HO1189:HP1189"/>
    <mergeCell ref="HO1190:HP1190"/>
    <mergeCell ref="HO1191:HP1191"/>
    <mergeCell ref="HO1192:HP1192"/>
    <mergeCell ref="HO1193:HP1193"/>
    <mergeCell ref="HO1194:HP1194"/>
    <mergeCell ref="HO1195:HP1195"/>
    <mergeCell ref="HO1196:HP1196"/>
    <mergeCell ref="HO1197:HP1197"/>
    <mergeCell ref="HO1198:HP1198"/>
    <mergeCell ref="HO1199:HP1199"/>
    <mergeCell ref="HO1200:HP1200"/>
    <mergeCell ref="HO1201:HP1201"/>
    <mergeCell ref="HO1202:HP1202"/>
    <mergeCell ref="HO1203:HP1203"/>
    <mergeCell ref="HO1204:HP1204"/>
    <mergeCell ref="HO1205:HP1205"/>
    <mergeCell ref="HO1206:HP1206"/>
    <mergeCell ref="HO1207:HP1207"/>
    <mergeCell ref="HO1208:HP1208"/>
    <mergeCell ref="HO1209:HP1209"/>
    <mergeCell ref="HO1210:HP1210"/>
    <mergeCell ref="HO1211:HP1211"/>
    <mergeCell ref="HO1212:HP1212"/>
    <mergeCell ref="HO1213:HP1213"/>
    <mergeCell ref="HO1214:HP1214"/>
    <mergeCell ref="HO1215:HP1215"/>
    <mergeCell ref="HO1216:HP1216"/>
    <mergeCell ref="HO1217:HP1217"/>
    <mergeCell ref="HO1218:HP1218"/>
    <mergeCell ref="HO1219:HP1219"/>
    <mergeCell ref="HO1220:HP1220"/>
    <mergeCell ref="HO1221:HP1221"/>
    <mergeCell ref="HO1222:HP1222"/>
    <mergeCell ref="HO1223:HP1223"/>
    <mergeCell ref="HO1224:HP1224"/>
    <mergeCell ref="HO1225:HP1225"/>
    <mergeCell ref="HO1226:HP1226"/>
    <mergeCell ref="HO1227:HP1227"/>
    <mergeCell ref="HO1228:HP1228"/>
    <mergeCell ref="HO1229:HP1229"/>
    <mergeCell ref="HO1230:HP1230"/>
    <mergeCell ref="HO1231:HP1231"/>
    <mergeCell ref="HO1232:HP1232"/>
    <mergeCell ref="HO1233:HP1233"/>
    <mergeCell ref="HO1234:HP1234"/>
    <mergeCell ref="HO1235:HP1235"/>
    <mergeCell ref="HO1236:HP1236"/>
    <mergeCell ref="HO1237:HP1237"/>
    <mergeCell ref="HO1238:HP1238"/>
    <mergeCell ref="HO1239:HP1239"/>
    <mergeCell ref="HO1240:HP1240"/>
    <mergeCell ref="HO1241:HP1241"/>
    <mergeCell ref="HO1242:HP1242"/>
    <mergeCell ref="HO1243:HP1243"/>
    <mergeCell ref="HO1244:HP1244"/>
    <mergeCell ref="HO1245:HP1245"/>
    <mergeCell ref="HO1246:HP1246"/>
    <mergeCell ref="HO1247:HP1247"/>
    <mergeCell ref="HO1248:HP1248"/>
    <mergeCell ref="HO1249:HP1249"/>
    <mergeCell ref="HO1250:HP1250"/>
    <mergeCell ref="HO1251:HP1251"/>
    <mergeCell ref="HO1252:HP1252"/>
    <mergeCell ref="HO1253:HP1253"/>
    <mergeCell ref="HO1254:HP1254"/>
    <mergeCell ref="HO1255:HP1255"/>
    <mergeCell ref="HO1256:HP1256"/>
    <mergeCell ref="HO1257:HP1257"/>
    <mergeCell ref="HO1258:HP1258"/>
    <mergeCell ref="HO1259:HP1259"/>
    <mergeCell ref="HO1260:HP1260"/>
    <mergeCell ref="HO1261:HP1261"/>
    <mergeCell ref="HO1262:HP1262"/>
    <mergeCell ref="HO1263:HP1263"/>
    <mergeCell ref="HO1264:HP1264"/>
    <mergeCell ref="HO1265:HP1265"/>
    <mergeCell ref="HO1266:HP1266"/>
    <mergeCell ref="HO1267:HP1267"/>
    <mergeCell ref="HO1268:HP1268"/>
    <mergeCell ref="HO1269:HP1269"/>
    <mergeCell ref="HO1270:HP1270"/>
    <mergeCell ref="HO1271:HP1271"/>
    <mergeCell ref="HO1272:HP1272"/>
    <mergeCell ref="HO1273:HP1273"/>
    <mergeCell ref="HO1274:HP1274"/>
    <mergeCell ref="HO1275:HP1275"/>
    <mergeCell ref="HO1276:HP1276"/>
    <mergeCell ref="HO1277:HP1277"/>
    <mergeCell ref="HO1278:HP1278"/>
    <mergeCell ref="HO1279:HP1279"/>
    <mergeCell ref="HO1280:HP1280"/>
    <mergeCell ref="HO1281:HP1281"/>
    <mergeCell ref="HO1282:HP1282"/>
    <mergeCell ref="HO1283:HP1283"/>
    <mergeCell ref="HO1284:HP1284"/>
    <mergeCell ref="HO1285:HP1285"/>
    <mergeCell ref="HO1286:HP1286"/>
    <mergeCell ref="HO1287:HP1287"/>
    <mergeCell ref="HO1288:HP1288"/>
    <mergeCell ref="HO1289:HP1289"/>
    <mergeCell ref="HO1290:HP1290"/>
    <mergeCell ref="HO1291:HP1291"/>
    <mergeCell ref="HO1292:HP1292"/>
    <mergeCell ref="HO1293:HP1293"/>
    <mergeCell ref="HO1294:HP1294"/>
    <mergeCell ref="HO1295:HP1295"/>
    <mergeCell ref="HO1296:HP1296"/>
    <mergeCell ref="HO1297:HP1297"/>
    <mergeCell ref="HO1298:HP1298"/>
    <mergeCell ref="HO1299:HP1299"/>
    <mergeCell ref="HO1300:HP1300"/>
    <mergeCell ref="HO1301:HP1301"/>
    <mergeCell ref="HO1302:HP1302"/>
    <mergeCell ref="HO1303:HP1303"/>
    <mergeCell ref="HO1304:HP1304"/>
    <mergeCell ref="HO1305:HP1305"/>
    <mergeCell ref="HO1306:HP1306"/>
    <mergeCell ref="HO1307:HP1307"/>
    <mergeCell ref="HO1308:HP1308"/>
    <mergeCell ref="HO1309:HP1309"/>
    <mergeCell ref="HO1310:HP1310"/>
    <mergeCell ref="HO1311:HP1311"/>
    <mergeCell ref="HO1312:HP1312"/>
    <mergeCell ref="HO1313:HP1313"/>
    <mergeCell ref="HO1314:HP1314"/>
    <mergeCell ref="HO1315:HP1315"/>
    <mergeCell ref="HO1316:HP1316"/>
    <mergeCell ref="HO1317:HP1317"/>
    <mergeCell ref="HO1318:HP1318"/>
    <mergeCell ref="HO1319:HP1319"/>
    <mergeCell ref="HO1320:HP1320"/>
    <mergeCell ref="HO1321:HP1321"/>
    <mergeCell ref="HO1322:HP1322"/>
    <mergeCell ref="HO1323:HP1323"/>
    <mergeCell ref="HO1324:HP1324"/>
    <mergeCell ref="HO1325:HP1325"/>
    <mergeCell ref="HO1326:HP1326"/>
    <mergeCell ref="HO1327:HP1327"/>
    <mergeCell ref="HO1328:HP1328"/>
    <mergeCell ref="HO1329:HP1329"/>
    <mergeCell ref="HO1330:HP1330"/>
    <mergeCell ref="HO1331:HP1331"/>
    <mergeCell ref="HO1332:HP1332"/>
    <mergeCell ref="HO1333:HP1333"/>
    <mergeCell ref="HO1334:HP1334"/>
    <mergeCell ref="HO1335:HP1335"/>
    <mergeCell ref="HO1336:HP1336"/>
    <mergeCell ref="HO1337:HP1337"/>
    <mergeCell ref="HO1338:HP1338"/>
    <mergeCell ref="HO1339:HP1339"/>
    <mergeCell ref="HO1340:HP1340"/>
    <mergeCell ref="HO1341:HP1341"/>
    <mergeCell ref="HO1342:HP1342"/>
    <mergeCell ref="HO1343:HP1343"/>
    <mergeCell ref="HO1344:HP1344"/>
    <mergeCell ref="HO1345:HP1345"/>
    <mergeCell ref="HO1346:HP1346"/>
    <mergeCell ref="HO1347:HP1347"/>
    <mergeCell ref="HO1348:HP1348"/>
    <mergeCell ref="HO1349:HP1349"/>
    <mergeCell ref="HO1350:HP1350"/>
    <mergeCell ref="HO1351:HP1351"/>
    <mergeCell ref="HO1352:HP1352"/>
    <mergeCell ref="HO1353:HP1353"/>
    <mergeCell ref="HO1354:HP1354"/>
    <mergeCell ref="HO1355:HP1355"/>
    <mergeCell ref="HO1356:HP1356"/>
    <mergeCell ref="HO1357:HP1357"/>
    <mergeCell ref="HO1358:HP1358"/>
    <mergeCell ref="HO1359:HP1359"/>
    <mergeCell ref="HO1360:HP1360"/>
    <mergeCell ref="HO1361:HP1361"/>
    <mergeCell ref="HO1362:HP1362"/>
    <mergeCell ref="HO1363:HP1363"/>
    <mergeCell ref="HO1364:HP1364"/>
    <mergeCell ref="HO1365:HP1365"/>
    <mergeCell ref="HO1366:HP1366"/>
    <mergeCell ref="HO1367:HP1367"/>
    <mergeCell ref="HO1368:HP1368"/>
    <mergeCell ref="HO1369:HP1369"/>
    <mergeCell ref="HO1370:HP1370"/>
    <mergeCell ref="HO1371:HP1371"/>
    <mergeCell ref="HO1372:HP1372"/>
    <mergeCell ref="HO1373:HP1373"/>
    <mergeCell ref="HO1374:HP1374"/>
    <mergeCell ref="HO1375:HP1375"/>
    <mergeCell ref="HO1376:HP1376"/>
    <mergeCell ref="HO1377:HP1377"/>
    <mergeCell ref="HO1378:HP1378"/>
    <mergeCell ref="HO1379:HP1379"/>
    <mergeCell ref="HO1380:HP1380"/>
    <mergeCell ref="HO1381:HP1381"/>
    <mergeCell ref="HO1382:HP1382"/>
    <mergeCell ref="HO1383:HP1383"/>
    <mergeCell ref="HO1384:HP1384"/>
    <mergeCell ref="HO1385:HP1385"/>
    <mergeCell ref="HO1386:HP1386"/>
    <mergeCell ref="HO1387:HP1387"/>
    <mergeCell ref="HO1388:HP1388"/>
    <mergeCell ref="HO1389:HP1389"/>
    <mergeCell ref="HO1390:HP1390"/>
    <mergeCell ref="HO1391:HP1391"/>
    <mergeCell ref="HO1392:HP1392"/>
    <mergeCell ref="HO1393:HP1393"/>
    <mergeCell ref="HO1394:HP1394"/>
    <mergeCell ref="HO1395:HP1395"/>
    <mergeCell ref="HO1396:HP1396"/>
    <mergeCell ref="HO1397:HP1397"/>
    <mergeCell ref="HO1398:HP1398"/>
    <mergeCell ref="HO1399:HP1399"/>
    <mergeCell ref="HO1400:HP1400"/>
    <mergeCell ref="HO1401:HP1401"/>
    <mergeCell ref="HO1402:HP1402"/>
    <mergeCell ref="HO1403:HP1403"/>
    <mergeCell ref="HO1404:HP1404"/>
    <mergeCell ref="HO1405:HP1405"/>
    <mergeCell ref="HO1406:HP1406"/>
    <mergeCell ref="HO1407:HP1407"/>
    <mergeCell ref="HO1408:HP1408"/>
    <mergeCell ref="HO1409:HP1409"/>
    <mergeCell ref="HO1410:HP1410"/>
    <mergeCell ref="HO1411:HP1411"/>
    <mergeCell ref="HO1412:HP1412"/>
    <mergeCell ref="HO1413:HP1413"/>
    <mergeCell ref="HO1414:HP1414"/>
    <mergeCell ref="HO1415:HP1415"/>
    <mergeCell ref="HO1416:HP1416"/>
    <mergeCell ref="HO1417:HP1417"/>
    <mergeCell ref="HO1418:HP1418"/>
    <mergeCell ref="HO1419:HP1419"/>
    <mergeCell ref="HO1420:HP1420"/>
    <mergeCell ref="HO1421:HP1421"/>
    <mergeCell ref="HO1422:HP1422"/>
    <mergeCell ref="HO1423:HP1423"/>
    <mergeCell ref="HO1424:HP1424"/>
    <mergeCell ref="HO1425:HP1425"/>
    <mergeCell ref="HO1426:HP1426"/>
    <mergeCell ref="HO1427:HP1427"/>
    <mergeCell ref="HO1428:HP1428"/>
    <mergeCell ref="HO1429:HP1429"/>
    <mergeCell ref="HO1430:HP1430"/>
    <mergeCell ref="HO1431:HP1431"/>
    <mergeCell ref="HO1432:HP1432"/>
    <mergeCell ref="HO1433:HP1433"/>
    <mergeCell ref="HO1434:HP1434"/>
    <mergeCell ref="HO1435:HP1435"/>
    <mergeCell ref="HO1436:HP1436"/>
    <mergeCell ref="HO1437:HP1437"/>
    <mergeCell ref="HO1438:HP1438"/>
    <mergeCell ref="HO1439:HP1439"/>
    <mergeCell ref="HO1440:HP1440"/>
    <mergeCell ref="HO1441:HP1441"/>
    <mergeCell ref="HO1442:HP1442"/>
    <mergeCell ref="HO1443:HP1443"/>
    <mergeCell ref="HO1444:HP1444"/>
    <mergeCell ref="HO1445:HP1445"/>
    <mergeCell ref="HO1446:HP1446"/>
    <mergeCell ref="HO1447:HP1447"/>
    <mergeCell ref="HO1448:HP1448"/>
    <mergeCell ref="HO1449:HP1449"/>
    <mergeCell ref="HO1450:HP1450"/>
    <mergeCell ref="HO1451:HP1451"/>
    <mergeCell ref="HO1452:HP1452"/>
    <mergeCell ref="HO1453:HP1453"/>
    <mergeCell ref="HO1454:HP1454"/>
    <mergeCell ref="HO1455:HP1455"/>
    <mergeCell ref="HO1456:HP1456"/>
    <mergeCell ref="HO1457:HP1457"/>
    <mergeCell ref="HO1458:HP1458"/>
    <mergeCell ref="HO1459:HP1459"/>
    <mergeCell ref="HO1460:HP1460"/>
    <mergeCell ref="HO1461:HP1461"/>
    <mergeCell ref="HO1462:HP1462"/>
    <mergeCell ref="HO1463:HP1463"/>
    <mergeCell ref="HO1464:HP1464"/>
    <mergeCell ref="HO1465:HP1465"/>
    <mergeCell ref="HO1466:HP1466"/>
    <mergeCell ref="HO1467:HP1467"/>
    <mergeCell ref="HO1468:HP1468"/>
    <mergeCell ref="HO1469:HP1469"/>
    <mergeCell ref="HO1470:HP1470"/>
    <mergeCell ref="HO1471:HP1471"/>
    <mergeCell ref="HO1472:HP1472"/>
    <mergeCell ref="HO1473:HP1473"/>
    <mergeCell ref="HO1474:HP1474"/>
    <mergeCell ref="HO1475:HP1475"/>
    <mergeCell ref="HO1476:HP1476"/>
    <mergeCell ref="HO1477:HP1477"/>
    <mergeCell ref="HO1478:HP1478"/>
    <mergeCell ref="HO1479:HP1479"/>
    <mergeCell ref="HO1480:HP1480"/>
    <mergeCell ref="HO1481:HP1481"/>
    <mergeCell ref="HO1482:HP1482"/>
    <mergeCell ref="HO1483:HP1483"/>
    <mergeCell ref="HO1484:HP1484"/>
    <mergeCell ref="HO1485:HP1485"/>
    <mergeCell ref="HO1486:HP1486"/>
    <mergeCell ref="HO1487:HP1487"/>
    <mergeCell ref="HO1488:HP1488"/>
    <mergeCell ref="HO1489:HP1489"/>
    <mergeCell ref="HO1490:HP1490"/>
    <mergeCell ref="HO1491:HP1491"/>
    <mergeCell ref="HO1492:HP1492"/>
    <mergeCell ref="HO1493:HP1493"/>
    <mergeCell ref="HO1494:HP1494"/>
    <mergeCell ref="HO1495:HP1495"/>
    <mergeCell ref="HO1496:HP1496"/>
    <mergeCell ref="HO1497:HP1497"/>
    <mergeCell ref="HO1498:HP1498"/>
    <mergeCell ref="HO1499:HP1499"/>
    <mergeCell ref="HO1500:HP1500"/>
    <mergeCell ref="HQ789:HR789"/>
    <mergeCell ref="HQ790:HR790"/>
    <mergeCell ref="HQ791:HR791"/>
    <mergeCell ref="HQ792:HR792"/>
    <mergeCell ref="HQ793:HR793"/>
    <mergeCell ref="HQ794:HR794"/>
    <mergeCell ref="HQ795:HR795"/>
    <mergeCell ref="HQ796:HR796"/>
    <mergeCell ref="HQ797:HR797"/>
    <mergeCell ref="HQ798:HR798"/>
    <mergeCell ref="HQ799:HR799"/>
    <mergeCell ref="HQ800:HR800"/>
    <mergeCell ref="HQ801:HR801"/>
    <mergeCell ref="HQ802:HR802"/>
    <mergeCell ref="HQ803:HR803"/>
    <mergeCell ref="HQ804:HR804"/>
    <mergeCell ref="HQ805:HR805"/>
    <mergeCell ref="HQ806:HR806"/>
    <mergeCell ref="HQ807:HR807"/>
    <mergeCell ref="HQ808:HR808"/>
    <mergeCell ref="HQ809:HR809"/>
    <mergeCell ref="HQ810:HR810"/>
    <mergeCell ref="HQ811:HR811"/>
    <mergeCell ref="HQ812:HR812"/>
    <mergeCell ref="HQ813:HR813"/>
    <mergeCell ref="HQ814:HR814"/>
    <mergeCell ref="HQ815:HR815"/>
    <mergeCell ref="HQ816:HR816"/>
    <mergeCell ref="HQ817:HR817"/>
    <mergeCell ref="HQ818:HR818"/>
    <mergeCell ref="HQ819:HR819"/>
    <mergeCell ref="HQ820:HR820"/>
    <mergeCell ref="HQ821:HR821"/>
    <mergeCell ref="HQ822:HR822"/>
    <mergeCell ref="HQ823:HR823"/>
    <mergeCell ref="HQ824:HR824"/>
    <mergeCell ref="HQ825:HR825"/>
    <mergeCell ref="HQ826:HR826"/>
    <mergeCell ref="HQ827:HR827"/>
    <mergeCell ref="HQ828:HR828"/>
    <mergeCell ref="HQ829:HR829"/>
    <mergeCell ref="HQ830:HR830"/>
    <mergeCell ref="HQ831:HR831"/>
    <mergeCell ref="HQ832:HR832"/>
    <mergeCell ref="HQ833:HR833"/>
    <mergeCell ref="HQ834:HR834"/>
    <mergeCell ref="HQ835:HR835"/>
    <mergeCell ref="HQ836:HR836"/>
    <mergeCell ref="HQ837:HR837"/>
    <mergeCell ref="HQ838:HR838"/>
    <mergeCell ref="HQ839:HR839"/>
    <mergeCell ref="HQ840:HR840"/>
    <mergeCell ref="HQ841:HR841"/>
    <mergeCell ref="HQ842:HR842"/>
    <mergeCell ref="HQ843:HR843"/>
    <mergeCell ref="HQ844:HR844"/>
    <mergeCell ref="HQ845:HR845"/>
    <mergeCell ref="HQ846:HR846"/>
    <mergeCell ref="HQ847:HR847"/>
    <mergeCell ref="HQ848:HR848"/>
    <mergeCell ref="HQ849:HR849"/>
    <mergeCell ref="HQ850:HR850"/>
    <mergeCell ref="HQ851:HR851"/>
    <mergeCell ref="HQ852:HR852"/>
    <mergeCell ref="HQ853:HR853"/>
    <mergeCell ref="HQ854:HR854"/>
    <mergeCell ref="HQ855:HR855"/>
    <mergeCell ref="HQ856:HR856"/>
    <mergeCell ref="HQ857:HR857"/>
    <mergeCell ref="HQ858:HR858"/>
    <mergeCell ref="HQ859:HR859"/>
    <mergeCell ref="HQ860:HR860"/>
    <mergeCell ref="HQ861:HR861"/>
    <mergeCell ref="HQ862:HR862"/>
    <mergeCell ref="HQ863:HR863"/>
    <mergeCell ref="HQ864:HR864"/>
    <mergeCell ref="HQ865:HR865"/>
    <mergeCell ref="HQ866:HR866"/>
    <mergeCell ref="HQ867:HR867"/>
    <mergeCell ref="HQ868:HR868"/>
    <mergeCell ref="HQ869:HR869"/>
    <mergeCell ref="HQ870:HR870"/>
    <mergeCell ref="HQ871:HR871"/>
    <mergeCell ref="HQ872:HR872"/>
    <mergeCell ref="HQ873:HR873"/>
    <mergeCell ref="HQ874:HR874"/>
    <mergeCell ref="HQ875:HR875"/>
    <mergeCell ref="HQ876:HR876"/>
    <mergeCell ref="HQ877:HR877"/>
    <mergeCell ref="HQ878:HR878"/>
    <mergeCell ref="HQ879:HR879"/>
    <mergeCell ref="HQ880:HR880"/>
    <mergeCell ref="HQ881:HR881"/>
    <mergeCell ref="HQ882:HR882"/>
    <mergeCell ref="HQ883:HR883"/>
    <mergeCell ref="HQ884:HR884"/>
    <mergeCell ref="HQ885:HR885"/>
    <mergeCell ref="HQ886:HR886"/>
    <mergeCell ref="HQ887:HR887"/>
    <mergeCell ref="HQ888:HR888"/>
    <mergeCell ref="HQ889:HR889"/>
    <mergeCell ref="HQ890:HR890"/>
    <mergeCell ref="HQ891:HR891"/>
    <mergeCell ref="HQ892:HR892"/>
    <mergeCell ref="HQ893:HR893"/>
    <mergeCell ref="HQ894:HR894"/>
    <mergeCell ref="HQ895:HR895"/>
    <mergeCell ref="HQ896:HR896"/>
    <mergeCell ref="HQ897:HR897"/>
    <mergeCell ref="HQ898:HR898"/>
    <mergeCell ref="HQ899:HR899"/>
    <mergeCell ref="HQ900:HR900"/>
    <mergeCell ref="HQ901:HR901"/>
    <mergeCell ref="HQ902:HR902"/>
    <mergeCell ref="HQ903:HR903"/>
    <mergeCell ref="HQ904:HR904"/>
    <mergeCell ref="HQ905:HR905"/>
    <mergeCell ref="HQ906:HR906"/>
    <mergeCell ref="HQ907:HR907"/>
    <mergeCell ref="HQ908:HR908"/>
    <mergeCell ref="HQ909:HR909"/>
    <mergeCell ref="HQ910:HR910"/>
    <mergeCell ref="HQ911:HR911"/>
    <mergeCell ref="HQ912:HR912"/>
    <mergeCell ref="HQ913:HR913"/>
    <mergeCell ref="HQ914:HR914"/>
    <mergeCell ref="HQ915:HR915"/>
    <mergeCell ref="HQ916:HR916"/>
    <mergeCell ref="HQ917:HR917"/>
    <mergeCell ref="HQ918:HR918"/>
    <mergeCell ref="HQ919:HR919"/>
    <mergeCell ref="HQ920:HR920"/>
    <mergeCell ref="HQ921:HR921"/>
    <mergeCell ref="HQ922:HR922"/>
    <mergeCell ref="HQ923:HR923"/>
    <mergeCell ref="HQ924:HR924"/>
    <mergeCell ref="HQ925:HR925"/>
    <mergeCell ref="HQ926:HR926"/>
    <mergeCell ref="HQ927:HR927"/>
    <mergeCell ref="HQ928:HR928"/>
    <mergeCell ref="HQ929:HR929"/>
    <mergeCell ref="HQ930:HR930"/>
    <mergeCell ref="HQ931:HR931"/>
    <mergeCell ref="HQ932:HR932"/>
    <mergeCell ref="HQ933:HR933"/>
    <mergeCell ref="HQ934:HR934"/>
    <mergeCell ref="HQ935:HR935"/>
    <mergeCell ref="HQ936:HR936"/>
    <mergeCell ref="HQ937:HR937"/>
    <mergeCell ref="HQ938:HR938"/>
    <mergeCell ref="HQ939:HR939"/>
    <mergeCell ref="HQ940:HR940"/>
    <mergeCell ref="HQ941:HR941"/>
    <mergeCell ref="HQ942:HR942"/>
    <mergeCell ref="HQ943:HR943"/>
    <mergeCell ref="HQ944:HR944"/>
    <mergeCell ref="HQ945:HR945"/>
    <mergeCell ref="HQ946:HR946"/>
    <mergeCell ref="HQ947:HR947"/>
    <mergeCell ref="HQ948:HR948"/>
    <mergeCell ref="HQ949:HR949"/>
    <mergeCell ref="HQ950:HR950"/>
    <mergeCell ref="HQ951:HR951"/>
    <mergeCell ref="HQ952:HR952"/>
    <mergeCell ref="HQ953:HR953"/>
    <mergeCell ref="HQ954:HR954"/>
    <mergeCell ref="HQ955:HR955"/>
    <mergeCell ref="HQ956:HR956"/>
    <mergeCell ref="HQ957:HR957"/>
    <mergeCell ref="HQ958:HR958"/>
    <mergeCell ref="HQ959:HR959"/>
    <mergeCell ref="HQ960:HR960"/>
    <mergeCell ref="HQ961:HR961"/>
    <mergeCell ref="HQ962:HR962"/>
    <mergeCell ref="HQ963:HR963"/>
    <mergeCell ref="HQ964:HR964"/>
    <mergeCell ref="HQ965:HR965"/>
    <mergeCell ref="HQ966:HR966"/>
    <mergeCell ref="HQ967:HR967"/>
    <mergeCell ref="HQ968:HR968"/>
    <mergeCell ref="HQ969:HR969"/>
    <mergeCell ref="HQ970:HR970"/>
    <mergeCell ref="HQ971:HR971"/>
    <mergeCell ref="HQ972:HR972"/>
    <mergeCell ref="HQ973:HR973"/>
    <mergeCell ref="HQ974:HR974"/>
    <mergeCell ref="HQ975:HR975"/>
    <mergeCell ref="HQ976:HR976"/>
    <mergeCell ref="HQ977:HR977"/>
    <mergeCell ref="HQ978:HR978"/>
    <mergeCell ref="HQ979:HR979"/>
    <mergeCell ref="HQ980:HR980"/>
    <mergeCell ref="HQ981:HR981"/>
    <mergeCell ref="HQ982:HR982"/>
    <mergeCell ref="HQ983:HR983"/>
    <mergeCell ref="HQ984:HR984"/>
    <mergeCell ref="HQ985:HR985"/>
    <mergeCell ref="HQ986:HR986"/>
    <mergeCell ref="HQ987:HR987"/>
    <mergeCell ref="HQ988:HR988"/>
    <mergeCell ref="HQ989:HR989"/>
    <mergeCell ref="HQ990:HR990"/>
    <mergeCell ref="HQ991:HR991"/>
    <mergeCell ref="HQ992:HR992"/>
    <mergeCell ref="HQ993:HR993"/>
    <mergeCell ref="HQ994:HR994"/>
    <mergeCell ref="HQ995:HR995"/>
    <mergeCell ref="HQ996:HR996"/>
    <mergeCell ref="HQ997:HR997"/>
    <mergeCell ref="HQ998:HR998"/>
    <mergeCell ref="HQ999:HR999"/>
    <mergeCell ref="HQ1000:HR1000"/>
    <mergeCell ref="HQ1001:HR1001"/>
    <mergeCell ref="HQ1002:HR1002"/>
    <mergeCell ref="HQ1003:HR1003"/>
    <mergeCell ref="HQ1004:HR1004"/>
    <mergeCell ref="HQ1005:HR1005"/>
    <mergeCell ref="HQ1006:HR1006"/>
    <mergeCell ref="HQ1007:HR1007"/>
    <mergeCell ref="HQ1008:HR1008"/>
    <mergeCell ref="HQ1009:HR1009"/>
    <mergeCell ref="HQ1010:HR1010"/>
    <mergeCell ref="HQ1011:HR1011"/>
    <mergeCell ref="HQ1012:HR1012"/>
    <mergeCell ref="HQ1013:HR1013"/>
    <mergeCell ref="HQ1014:HR1014"/>
    <mergeCell ref="HQ1015:HR1015"/>
    <mergeCell ref="HQ1016:HR1016"/>
    <mergeCell ref="HQ1017:HR1017"/>
    <mergeCell ref="HQ1018:HR1018"/>
    <mergeCell ref="HQ1019:HR1019"/>
    <mergeCell ref="HQ1020:HR1020"/>
    <mergeCell ref="HQ1021:HR1021"/>
    <mergeCell ref="HQ1022:HR1022"/>
    <mergeCell ref="HQ1023:HR1023"/>
    <mergeCell ref="HQ1024:HR1024"/>
    <mergeCell ref="HQ1025:HR1025"/>
    <mergeCell ref="HQ1026:HR1026"/>
    <mergeCell ref="HQ1027:HR1027"/>
    <mergeCell ref="HQ1028:HR1028"/>
    <mergeCell ref="HQ1029:HR1029"/>
    <mergeCell ref="HQ1030:HR1030"/>
    <mergeCell ref="HQ1031:HR1031"/>
    <mergeCell ref="HQ1032:HR1032"/>
    <mergeCell ref="HQ1033:HR1033"/>
    <mergeCell ref="HQ1034:HR1034"/>
    <mergeCell ref="HQ1035:HR1035"/>
    <mergeCell ref="HQ1036:HR1036"/>
    <mergeCell ref="HQ1037:HR1037"/>
    <mergeCell ref="HQ1038:HR1038"/>
    <mergeCell ref="HQ1039:HR1039"/>
    <mergeCell ref="HQ1040:HR1040"/>
    <mergeCell ref="HQ1041:HR1041"/>
    <mergeCell ref="HQ1042:HR1042"/>
    <mergeCell ref="HQ1043:HR1043"/>
    <mergeCell ref="HQ1044:HR1044"/>
    <mergeCell ref="HQ1045:HR1045"/>
    <mergeCell ref="HQ1046:HR1046"/>
    <mergeCell ref="HQ1047:HR1047"/>
    <mergeCell ref="HQ1048:HR1048"/>
    <mergeCell ref="HQ1049:HR1049"/>
    <mergeCell ref="HQ1050:HR1050"/>
    <mergeCell ref="HQ1051:HR1051"/>
    <mergeCell ref="HQ1052:HR1052"/>
    <mergeCell ref="HQ1053:HR1053"/>
    <mergeCell ref="HQ1054:HR1054"/>
    <mergeCell ref="HQ1055:HR1055"/>
    <mergeCell ref="HQ1056:HR1056"/>
    <mergeCell ref="HQ1057:HR1057"/>
    <mergeCell ref="HQ1058:HR1058"/>
    <mergeCell ref="HQ1059:HR1059"/>
    <mergeCell ref="HQ1060:HR1060"/>
    <mergeCell ref="HQ1061:HR1061"/>
    <mergeCell ref="HQ1062:HR1062"/>
    <mergeCell ref="HQ1063:HR1063"/>
    <mergeCell ref="HQ1064:HR1064"/>
    <mergeCell ref="HQ1065:HR1065"/>
    <mergeCell ref="HQ1066:HR1066"/>
    <mergeCell ref="HQ1067:HR1067"/>
    <mergeCell ref="HQ1068:HR1068"/>
    <mergeCell ref="HQ1069:HR1069"/>
    <mergeCell ref="HQ1070:HR1070"/>
    <mergeCell ref="HQ1071:HR1071"/>
    <mergeCell ref="HQ1072:HR1072"/>
    <mergeCell ref="HQ1073:HR1073"/>
    <mergeCell ref="HQ1074:HR1074"/>
    <mergeCell ref="HQ1075:HR1075"/>
    <mergeCell ref="HQ1076:HR1076"/>
    <mergeCell ref="HQ1077:HR1077"/>
    <mergeCell ref="HQ1078:HR1078"/>
    <mergeCell ref="HQ1079:HR1079"/>
    <mergeCell ref="HQ1080:HR1080"/>
    <mergeCell ref="HQ1081:HR1081"/>
    <mergeCell ref="HQ1082:HR1082"/>
    <mergeCell ref="HQ1083:HR1083"/>
    <mergeCell ref="HQ1084:HR1084"/>
    <mergeCell ref="HQ1085:HR1085"/>
    <mergeCell ref="HQ1086:HR1086"/>
    <mergeCell ref="HQ1087:HR1087"/>
    <mergeCell ref="HQ1088:HR1088"/>
    <mergeCell ref="HQ1089:HR1089"/>
    <mergeCell ref="HQ1090:HR1090"/>
    <mergeCell ref="HQ1091:HR1091"/>
    <mergeCell ref="HQ1092:HR1092"/>
    <mergeCell ref="HQ1093:HR1093"/>
    <mergeCell ref="HQ1094:HR1094"/>
    <mergeCell ref="HQ1095:HR1095"/>
    <mergeCell ref="HQ1096:HR1096"/>
    <mergeCell ref="HQ1097:HR1097"/>
    <mergeCell ref="HQ1098:HR1098"/>
    <mergeCell ref="HQ1099:HR1099"/>
    <mergeCell ref="HQ1100:HR1100"/>
    <mergeCell ref="HQ1101:HR1101"/>
    <mergeCell ref="HQ1102:HR1102"/>
    <mergeCell ref="HQ1103:HR1103"/>
    <mergeCell ref="HQ1104:HR1104"/>
    <mergeCell ref="HQ1105:HR1105"/>
    <mergeCell ref="HQ1106:HR1106"/>
    <mergeCell ref="HQ1107:HR1107"/>
    <mergeCell ref="HQ1108:HR1108"/>
    <mergeCell ref="HQ1109:HR1109"/>
    <mergeCell ref="HQ1110:HR1110"/>
    <mergeCell ref="HQ1111:HR1111"/>
    <mergeCell ref="HQ1112:HR1112"/>
    <mergeCell ref="HQ1113:HR1113"/>
    <mergeCell ref="HQ1114:HR1114"/>
    <mergeCell ref="HQ1115:HR1115"/>
    <mergeCell ref="HQ1116:HR1116"/>
    <mergeCell ref="HQ1117:HR1117"/>
    <mergeCell ref="HQ1118:HR1118"/>
    <mergeCell ref="HQ1119:HR1119"/>
    <mergeCell ref="HQ1120:HR1120"/>
    <mergeCell ref="HQ1121:HR1121"/>
    <mergeCell ref="HQ1122:HR1122"/>
    <mergeCell ref="HQ1123:HR1123"/>
    <mergeCell ref="HQ1124:HR1124"/>
    <mergeCell ref="HQ1125:HR1125"/>
    <mergeCell ref="HQ1126:HR1126"/>
    <mergeCell ref="HQ1127:HR1127"/>
    <mergeCell ref="HQ1128:HR1128"/>
    <mergeCell ref="HQ1129:HR1129"/>
    <mergeCell ref="HQ1130:HR1130"/>
    <mergeCell ref="HQ1131:HR1131"/>
    <mergeCell ref="HQ1132:HR1132"/>
    <mergeCell ref="HQ1133:HR1133"/>
    <mergeCell ref="HQ1134:HR1134"/>
    <mergeCell ref="HQ1135:HR1135"/>
    <mergeCell ref="HQ1136:HR1136"/>
    <mergeCell ref="HQ1137:HR1137"/>
    <mergeCell ref="HQ1138:HR1138"/>
    <mergeCell ref="HQ1139:HR1139"/>
    <mergeCell ref="HQ1140:HR1140"/>
    <mergeCell ref="HQ1141:HR1141"/>
    <mergeCell ref="HQ1142:HR1142"/>
    <mergeCell ref="HQ1143:HR1143"/>
    <mergeCell ref="HQ1144:HR1144"/>
    <mergeCell ref="HQ1145:HR1145"/>
    <mergeCell ref="HQ1146:HR1146"/>
    <mergeCell ref="HQ1147:HR1147"/>
    <mergeCell ref="HQ1148:HR1148"/>
    <mergeCell ref="HQ1149:HR1149"/>
    <mergeCell ref="HQ1150:HR1150"/>
    <mergeCell ref="HQ1151:HR1151"/>
    <mergeCell ref="HQ1152:HR1152"/>
    <mergeCell ref="HQ1153:HR1153"/>
    <mergeCell ref="HQ1154:HR1154"/>
    <mergeCell ref="HQ1155:HR1155"/>
    <mergeCell ref="HQ1156:HR1156"/>
    <mergeCell ref="HQ1157:HR1157"/>
    <mergeCell ref="HQ1158:HR1158"/>
    <mergeCell ref="HQ1159:HR1159"/>
    <mergeCell ref="HQ1160:HR1160"/>
    <mergeCell ref="HQ1161:HR1161"/>
    <mergeCell ref="HQ1162:HR1162"/>
    <mergeCell ref="HQ1163:HR1163"/>
    <mergeCell ref="HQ1164:HR1164"/>
    <mergeCell ref="HQ1165:HR1165"/>
    <mergeCell ref="HQ1166:HR1166"/>
    <mergeCell ref="HQ1167:HR1167"/>
    <mergeCell ref="HQ1168:HR1168"/>
    <mergeCell ref="HQ1169:HR1169"/>
    <mergeCell ref="HQ1170:HR1170"/>
    <mergeCell ref="HQ1171:HR1171"/>
    <mergeCell ref="HQ1172:HR1172"/>
    <mergeCell ref="HQ1173:HR1173"/>
    <mergeCell ref="HQ1174:HR1174"/>
    <mergeCell ref="HQ1175:HR1175"/>
    <mergeCell ref="HQ1176:HR1176"/>
    <mergeCell ref="HQ1177:HR1177"/>
    <mergeCell ref="HQ1178:HR1178"/>
    <mergeCell ref="HQ1179:HR1179"/>
    <mergeCell ref="HQ1180:HR1180"/>
    <mergeCell ref="HQ1181:HR1181"/>
    <mergeCell ref="HQ1182:HR1182"/>
    <mergeCell ref="HQ1183:HR1183"/>
    <mergeCell ref="HQ1184:HR1184"/>
    <mergeCell ref="HQ1185:HR1185"/>
    <mergeCell ref="HQ1186:HR1186"/>
    <mergeCell ref="HQ1187:HR1187"/>
    <mergeCell ref="HQ1188:HR1188"/>
    <mergeCell ref="HQ1189:HR1189"/>
    <mergeCell ref="HQ1190:HR1190"/>
    <mergeCell ref="HQ1191:HR1191"/>
    <mergeCell ref="HQ1192:HR1192"/>
    <mergeCell ref="HQ1193:HR1193"/>
    <mergeCell ref="HQ1194:HR1194"/>
    <mergeCell ref="HQ1195:HR1195"/>
    <mergeCell ref="HQ1196:HR1196"/>
    <mergeCell ref="HQ1197:HR1197"/>
    <mergeCell ref="HQ1198:HR1198"/>
    <mergeCell ref="HQ1199:HR1199"/>
    <mergeCell ref="HQ1200:HR1200"/>
    <mergeCell ref="HQ1201:HR1201"/>
    <mergeCell ref="HQ1202:HR1202"/>
    <mergeCell ref="HQ1203:HR1203"/>
    <mergeCell ref="HQ1204:HR1204"/>
    <mergeCell ref="HQ1205:HR1205"/>
    <mergeCell ref="HQ1206:HR1206"/>
    <mergeCell ref="HQ1207:HR1207"/>
    <mergeCell ref="HQ1208:HR1208"/>
    <mergeCell ref="HQ1209:HR1209"/>
    <mergeCell ref="HQ1210:HR1210"/>
    <mergeCell ref="HQ1211:HR1211"/>
    <mergeCell ref="HQ1212:HR1212"/>
    <mergeCell ref="HQ1213:HR1213"/>
    <mergeCell ref="HQ1214:HR1214"/>
    <mergeCell ref="HQ1215:HR1215"/>
    <mergeCell ref="HQ1216:HR1216"/>
    <mergeCell ref="HQ1217:HR1217"/>
    <mergeCell ref="HQ1218:HR1218"/>
    <mergeCell ref="HQ1219:HR1219"/>
    <mergeCell ref="HQ1220:HR1220"/>
    <mergeCell ref="HQ1221:HR1221"/>
    <mergeCell ref="HQ1222:HR1222"/>
    <mergeCell ref="HQ1223:HR1223"/>
    <mergeCell ref="HQ1224:HR1224"/>
    <mergeCell ref="HQ1225:HR1225"/>
    <mergeCell ref="HQ1226:HR1226"/>
    <mergeCell ref="HQ1227:HR1227"/>
    <mergeCell ref="HQ1228:HR1228"/>
    <mergeCell ref="HQ1229:HR1229"/>
    <mergeCell ref="HQ1230:HR1230"/>
    <mergeCell ref="HQ1231:HR1231"/>
    <mergeCell ref="HQ1232:HR1232"/>
    <mergeCell ref="HQ1233:HR1233"/>
    <mergeCell ref="HQ1234:HR1234"/>
    <mergeCell ref="HQ1235:HR1235"/>
    <mergeCell ref="HQ1236:HR1236"/>
    <mergeCell ref="HQ1237:HR1237"/>
    <mergeCell ref="HQ1238:HR1238"/>
    <mergeCell ref="HQ1239:HR1239"/>
    <mergeCell ref="HQ1240:HR1240"/>
    <mergeCell ref="HQ1241:HR1241"/>
    <mergeCell ref="HQ1242:HR1242"/>
    <mergeCell ref="HQ1243:HR1243"/>
    <mergeCell ref="HQ1244:HR1244"/>
    <mergeCell ref="HQ1245:HR1245"/>
    <mergeCell ref="HQ1246:HR1246"/>
    <mergeCell ref="HQ1247:HR1247"/>
    <mergeCell ref="HQ1248:HR1248"/>
    <mergeCell ref="HQ1249:HR1249"/>
    <mergeCell ref="HQ1250:HR1250"/>
    <mergeCell ref="HQ1251:HR1251"/>
    <mergeCell ref="HQ1252:HR1252"/>
    <mergeCell ref="HQ1253:HR1253"/>
    <mergeCell ref="HQ1254:HR1254"/>
    <mergeCell ref="HQ1255:HR1255"/>
    <mergeCell ref="HQ1256:HR1256"/>
    <mergeCell ref="HQ1257:HR1257"/>
    <mergeCell ref="HQ1258:HR1258"/>
    <mergeCell ref="HQ1259:HR1259"/>
    <mergeCell ref="HQ1260:HR1260"/>
    <mergeCell ref="HQ1261:HR1261"/>
    <mergeCell ref="HQ1262:HR1262"/>
    <mergeCell ref="HQ1263:HR1263"/>
    <mergeCell ref="HQ1264:HR1264"/>
    <mergeCell ref="HQ1265:HR1265"/>
    <mergeCell ref="HQ1266:HR1266"/>
    <mergeCell ref="HQ1267:HR1267"/>
    <mergeCell ref="HQ1268:HR1268"/>
    <mergeCell ref="HQ1269:HR1269"/>
    <mergeCell ref="HQ1270:HR1270"/>
    <mergeCell ref="HQ1271:HR1271"/>
    <mergeCell ref="HQ1272:HR1272"/>
    <mergeCell ref="HQ1273:HR1273"/>
    <mergeCell ref="HQ1274:HR1274"/>
    <mergeCell ref="HQ1275:HR1275"/>
    <mergeCell ref="HQ1276:HR1276"/>
    <mergeCell ref="HQ1277:HR1277"/>
    <mergeCell ref="HQ1278:HR1278"/>
    <mergeCell ref="HQ1279:HR1279"/>
    <mergeCell ref="HQ1280:HR1280"/>
    <mergeCell ref="HQ1281:HR1281"/>
    <mergeCell ref="HQ1282:HR1282"/>
    <mergeCell ref="HQ1283:HR1283"/>
    <mergeCell ref="HQ1284:HR1284"/>
    <mergeCell ref="HQ1285:HR1285"/>
    <mergeCell ref="HQ1286:HR1286"/>
    <mergeCell ref="HQ1287:HR1287"/>
    <mergeCell ref="HQ1288:HR1288"/>
    <mergeCell ref="HQ1289:HR1289"/>
    <mergeCell ref="HQ1290:HR1290"/>
    <mergeCell ref="HQ1291:HR1291"/>
    <mergeCell ref="HQ1292:HR1292"/>
    <mergeCell ref="HQ1293:HR1293"/>
    <mergeCell ref="HQ1294:HR1294"/>
    <mergeCell ref="HQ1295:HR1295"/>
    <mergeCell ref="HQ1296:HR1296"/>
    <mergeCell ref="HQ1297:HR1297"/>
    <mergeCell ref="HQ1298:HR1298"/>
    <mergeCell ref="HQ1299:HR1299"/>
    <mergeCell ref="HQ1300:HR1300"/>
    <mergeCell ref="HQ1301:HR1301"/>
    <mergeCell ref="HQ1302:HR1302"/>
    <mergeCell ref="HQ1303:HR1303"/>
    <mergeCell ref="HQ1304:HR1304"/>
    <mergeCell ref="HQ1305:HR1305"/>
    <mergeCell ref="HQ1306:HR1306"/>
    <mergeCell ref="HQ1307:HR1307"/>
    <mergeCell ref="HQ1308:HR1308"/>
    <mergeCell ref="HQ1309:HR1309"/>
    <mergeCell ref="HQ1310:HR1310"/>
    <mergeCell ref="HQ1311:HR1311"/>
    <mergeCell ref="HQ1312:HR1312"/>
    <mergeCell ref="HQ1313:HR1313"/>
    <mergeCell ref="HQ1314:HR1314"/>
    <mergeCell ref="HQ1315:HR1315"/>
    <mergeCell ref="HQ1316:HR1316"/>
    <mergeCell ref="HQ1317:HR1317"/>
    <mergeCell ref="HQ1318:HR1318"/>
    <mergeCell ref="HQ1319:HR1319"/>
    <mergeCell ref="HQ1320:HR1320"/>
    <mergeCell ref="HQ1321:HR1321"/>
    <mergeCell ref="HQ1322:HR1322"/>
    <mergeCell ref="HQ1323:HR1323"/>
    <mergeCell ref="HQ1324:HR1324"/>
    <mergeCell ref="HQ1325:HR1325"/>
    <mergeCell ref="HQ1326:HR1326"/>
    <mergeCell ref="HQ1327:HR1327"/>
    <mergeCell ref="HQ1328:HR1328"/>
    <mergeCell ref="HQ1329:HR1329"/>
    <mergeCell ref="HQ1330:HR1330"/>
    <mergeCell ref="HQ1331:HR1331"/>
    <mergeCell ref="HQ1332:HR1332"/>
    <mergeCell ref="HQ1333:HR1333"/>
    <mergeCell ref="HQ1334:HR1334"/>
    <mergeCell ref="HQ1335:HR1335"/>
    <mergeCell ref="HQ1336:HR1336"/>
    <mergeCell ref="HQ1337:HR1337"/>
    <mergeCell ref="HQ1338:HR1338"/>
    <mergeCell ref="HQ1339:HR1339"/>
    <mergeCell ref="HQ1340:HR1340"/>
    <mergeCell ref="HQ1341:HR1341"/>
    <mergeCell ref="HQ1342:HR1342"/>
    <mergeCell ref="HQ1343:HR1343"/>
    <mergeCell ref="HQ1344:HR1344"/>
    <mergeCell ref="HQ1345:HR1345"/>
    <mergeCell ref="HQ1346:HR1346"/>
    <mergeCell ref="HQ1347:HR1347"/>
    <mergeCell ref="HQ1348:HR1348"/>
    <mergeCell ref="HQ1349:HR1349"/>
    <mergeCell ref="HQ1350:HR1350"/>
    <mergeCell ref="HQ1351:HR1351"/>
    <mergeCell ref="HQ1352:HR1352"/>
    <mergeCell ref="HQ1353:HR1353"/>
    <mergeCell ref="HQ1354:HR1354"/>
    <mergeCell ref="HQ1355:HR1355"/>
    <mergeCell ref="HQ1356:HR1356"/>
    <mergeCell ref="HQ1357:HR1357"/>
    <mergeCell ref="HQ1358:HR1358"/>
    <mergeCell ref="HQ1359:HR1359"/>
    <mergeCell ref="HQ1360:HR1360"/>
    <mergeCell ref="HQ1361:HR1361"/>
    <mergeCell ref="HQ1362:HR1362"/>
    <mergeCell ref="HQ1363:HR1363"/>
    <mergeCell ref="HQ1364:HR1364"/>
    <mergeCell ref="HQ1365:HR1365"/>
    <mergeCell ref="HQ1366:HR1366"/>
    <mergeCell ref="HQ1367:HR1367"/>
    <mergeCell ref="HQ1368:HR1368"/>
    <mergeCell ref="HQ1369:HR1369"/>
    <mergeCell ref="HQ1370:HR1370"/>
    <mergeCell ref="HQ1371:HR1371"/>
    <mergeCell ref="HQ1372:HR1372"/>
    <mergeCell ref="HQ1373:HR1373"/>
    <mergeCell ref="HQ1374:HR1374"/>
    <mergeCell ref="HQ1375:HR1375"/>
    <mergeCell ref="HQ1376:HR1376"/>
    <mergeCell ref="HQ1377:HR1377"/>
    <mergeCell ref="HQ1378:HR1378"/>
    <mergeCell ref="HQ1379:HR1379"/>
    <mergeCell ref="HQ1380:HR1380"/>
    <mergeCell ref="HQ1381:HR1381"/>
    <mergeCell ref="HQ1382:HR1382"/>
    <mergeCell ref="HQ1383:HR1383"/>
    <mergeCell ref="HQ1384:HR1384"/>
    <mergeCell ref="HQ1385:HR1385"/>
    <mergeCell ref="HQ1386:HR1386"/>
    <mergeCell ref="HQ1387:HR1387"/>
    <mergeCell ref="HQ1388:HR1388"/>
    <mergeCell ref="HQ1389:HR1389"/>
    <mergeCell ref="HQ1390:HR1390"/>
    <mergeCell ref="HQ1391:HR1391"/>
    <mergeCell ref="HQ1392:HR1392"/>
    <mergeCell ref="HQ1393:HR1393"/>
    <mergeCell ref="HQ1394:HR1394"/>
    <mergeCell ref="HQ1395:HR1395"/>
    <mergeCell ref="HQ1396:HR1396"/>
    <mergeCell ref="HQ1397:HR1397"/>
    <mergeCell ref="HQ1398:HR1398"/>
    <mergeCell ref="HQ1399:HR1399"/>
    <mergeCell ref="HQ1400:HR1400"/>
    <mergeCell ref="HQ1401:HR1401"/>
    <mergeCell ref="HQ1402:HR1402"/>
    <mergeCell ref="HQ1403:HR1403"/>
    <mergeCell ref="HQ1404:HR1404"/>
    <mergeCell ref="HQ1405:HR1405"/>
    <mergeCell ref="HQ1406:HR1406"/>
    <mergeCell ref="HQ1407:HR1407"/>
    <mergeCell ref="HQ1408:HR1408"/>
    <mergeCell ref="HQ1409:HR1409"/>
    <mergeCell ref="HQ1410:HR1410"/>
    <mergeCell ref="HQ1411:HR1411"/>
    <mergeCell ref="HQ1412:HR1412"/>
    <mergeCell ref="HQ1413:HR1413"/>
    <mergeCell ref="HQ1414:HR1414"/>
    <mergeCell ref="HQ1415:HR1415"/>
    <mergeCell ref="HQ1416:HR1416"/>
    <mergeCell ref="HQ1417:HR1417"/>
    <mergeCell ref="HQ1418:HR1418"/>
    <mergeCell ref="HQ1419:HR1419"/>
    <mergeCell ref="HQ1420:HR1420"/>
    <mergeCell ref="HQ1421:HR1421"/>
    <mergeCell ref="HQ1422:HR1422"/>
    <mergeCell ref="HQ1423:HR1423"/>
    <mergeCell ref="HQ1424:HR1424"/>
    <mergeCell ref="HQ1425:HR1425"/>
    <mergeCell ref="HQ1426:HR1426"/>
    <mergeCell ref="HQ1427:HR1427"/>
    <mergeCell ref="HQ1428:HR1428"/>
    <mergeCell ref="HQ1429:HR1429"/>
    <mergeCell ref="HQ1430:HR1430"/>
    <mergeCell ref="HQ1431:HR1431"/>
    <mergeCell ref="HQ1432:HR1432"/>
    <mergeCell ref="HQ1433:HR1433"/>
    <mergeCell ref="HQ1434:HR1434"/>
    <mergeCell ref="HQ1435:HR1435"/>
    <mergeCell ref="HQ1436:HR1436"/>
    <mergeCell ref="HQ1437:HR1437"/>
    <mergeCell ref="HQ1438:HR1438"/>
    <mergeCell ref="HQ1439:HR1439"/>
    <mergeCell ref="HQ1440:HR1440"/>
    <mergeCell ref="HQ1441:HR1441"/>
    <mergeCell ref="HQ1442:HR1442"/>
    <mergeCell ref="HQ1443:HR1443"/>
    <mergeCell ref="HQ1444:HR1444"/>
    <mergeCell ref="HQ1445:HR1445"/>
    <mergeCell ref="HQ1446:HR1446"/>
    <mergeCell ref="HQ1447:HR1447"/>
    <mergeCell ref="HQ1448:HR1448"/>
    <mergeCell ref="HQ1449:HR1449"/>
    <mergeCell ref="HQ1450:HR1450"/>
    <mergeCell ref="HQ1451:HR1451"/>
    <mergeCell ref="HQ1452:HR1452"/>
    <mergeCell ref="HQ1453:HR1453"/>
    <mergeCell ref="HQ1454:HR1454"/>
    <mergeCell ref="HQ1455:HR1455"/>
    <mergeCell ref="HQ1456:HR1456"/>
    <mergeCell ref="HQ1457:HR1457"/>
    <mergeCell ref="HQ1458:HR1458"/>
    <mergeCell ref="HQ1459:HR1459"/>
    <mergeCell ref="HQ1460:HR1460"/>
    <mergeCell ref="HQ1461:HR1461"/>
    <mergeCell ref="HQ1462:HR1462"/>
    <mergeCell ref="HQ1463:HR1463"/>
    <mergeCell ref="HQ1464:HR1464"/>
    <mergeCell ref="HQ1465:HR1465"/>
    <mergeCell ref="HQ1466:HR1466"/>
    <mergeCell ref="HQ1467:HR1467"/>
    <mergeCell ref="HQ1468:HR1468"/>
    <mergeCell ref="HQ1469:HR1469"/>
    <mergeCell ref="HQ1470:HR1470"/>
    <mergeCell ref="HQ1471:HR1471"/>
    <mergeCell ref="HQ1472:HR1472"/>
    <mergeCell ref="HQ1473:HR1473"/>
    <mergeCell ref="HQ1474:HR1474"/>
    <mergeCell ref="HQ1475:HR1475"/>
    <mergeCell ref="HQ1476:HR1476"/>
    <mergeCell ref="HQ1477:HR1477"/>
    <mergeCell ref="HQ1478:HR1478"/>
    <mergeCell ref="HQ1479:HR1479"/>
    <mergeCell ref="HQ1480:HR1480"/>
    <mergeCell ref="HQ1481:HR1481"/>
    <mergeCell ref="HQ1482:HR1482"/>
    <mergeCell ref="HQ1483:HR1483"/>
    <mergeCell ref="HQ1484:HR1484"/>
    <mergeCell ref="HQ1485:HR1485"/>
    <mergeCell ref="HQ1486:HR1486"/>
    <mergeCell ref="HQ1487:HR1487"/>
    <mergeCell ref="HQ1488:HR1488"/>
    <mergeCell ref="HQ1489:HR1489"/>
    <mergeCell ref="HQ1490:HR1490"/>
    <mergeCell ref="HQ1491:HR1491"/>
    <mergeCell ref="HQ1492:HR1492"/>
    <mergeCell ref="HQ1493:HR1493"/>
    <mergeCell ref="HQ1494:HR1494"/>
    <mergeCell ref="HQ1495:HR1495"/>
    <mergeCell ref="HQ1496:HR1496"/>
    <mergeCell ref="HQ1497:HR1497"/>
    <mergeCell ref="HQ1498:HR1498"/>
    <mergeCell ref="HQ1499:HR1499"/>
    <mergeCell ref="HQ1500:HR1500"/>
    <mergeCell ref="HS789:HT789"/>
    <mergeCell ref="HS790:HT790"/>
    <mergeCell ref="HS791:HT791"/>
    <mergeCell ref="HS792:HT792"/>
    <mergeCell ref="HS793:HT793"/>
    <mergeCell ref="HS794:HT794"/>
    <mergeCell ref="HS795:HT795"/>
    <mergeCell ref="HS796:HT796"/>
    <mergeCell ref="HS797:HT797"/>
    <mergeCell ref="HS798:HT798"/>
    <mergeCell ref="HS799:HT799"/>
    <mergeCell ref="HS800:HT800"/>
    <mergeCell ref="HS801:HT801"/>
    <mergeCell ref="HS802:HT802"/>
    <mergeCell ref="HS803:HT803"/>
    <mergeCell ref="HS804:HT804"/>
    <mergeCell ref="HS805:HT805"/>
    <mergeCell ref="HS806:HT806"/>
    <mergeCell ref="HS807:HT807"/>
    <mergeCell ref="HS808:HT808"/>
    <mergeCell ref="HS809:HT809"/>
    <mergeCell ref="HS810:HT810"/>
    <mergeCell ref="HS811:HT811"/>
    <mergeCell ref="HS812:HT812"/>
    <mergeCell ref="HS813:HT813"/>
    <mergeCell ref="HS814:HT814"/>
    <mergeCell ref="HS815:HT815"/>
    <mergeCell ref="HS816:HT816"/>
    <mergeCell ref="HS817:HT817"/>
    <mergeCell ref="HS818:HT818"/>
    <mergeCell ref="HS819:HT819"/>
    <mergeCell ref="HS820:HT820"/>
    <mergeCell ref="HS821:HT821"/>
    <mergeCell ref="HS822:HT822"/>
    <mergeCell ref="HS823:HT823"/>
    <mergeCell ref="HS824:HT824"/>
    <mergeCell ref="HS825:HT825"/>
    <mergeCell ref="HS826:HT826"/>
    <mergeCell ref="HS827:HT827"/>
    <mergeCell ref="HS828:HT828"/>
    <mergeCell ref="HS829:HT829"/>
    <mergeCell ref="HS830:HT830"/>
    <mergeCell ref="HS831:HT831"/>
    <mergeCell ref="HS832:HT832"/>
    <mergeCell ref="HS833:HT833"/>
    <mergeCell ref="HS834:HT834"/>
    <mergeCell ref="HS835:HT835"/>
    <mergeCell ref="HS836:HT836"/>
    <mergeCell ref="HS837:HT837"/>
    <mergeCell ref="HS838:HT838"/>
    <mergeCell ref="HS839:HT839"/>
    <mergeCell ref="HS840:HT840"/>
    <mergeCell ref="HS841:HT841"/>
    <mergeCell ref="HS842:HT842"/>
    <mergeCell ref="HS843:HT843"/>
    <mergeCell ref="HS844:HT844"/>
    <mergeCell ref="HS845:HT845"/>
    <mergeCell ref="HS846:HT846"/>
    <mergeCell ref="HS847:HT847"/>
    <mergeCell ref="HS848:HT848"/>
    <mergeCell ref="HS849:HT849"/>
    <mergeCell ref="HS850:HT850"/>
    <mergeCell ref="HS851:HT851"/>
    <mergeCell ref="HS852:HT852"/>
    <mergeCell ref="HS853:HT853"/>
    <mergeCell ref="HS854:HT854"/>
    <mergeCell ref="HS855:HT855"/>
    <mergeCell ref="HS856:HT856"/>
    <mergeCell ref="HS857:HT857"/>
    <mergeCell ref="HS858:HT858"/>
    <mergeCell ref="HS859:HT859"/>
    <mergeCell ref="HS860:HT860"/>
    <mergeCell ref="HS861:HT861"/>
    <mergeCell ref="HS862:HT862"/>
    <mergeCell ref="HS863:HT863"/>
    <mergeCell ref="HS864:HT864"/>
    <mergeCell ref="HS865:HT865"/>
    <mergeCell ref="HS866:HT866"/>
    <mergeCell ref="HS867:HT867"/>
    <mergeCell ref="HS868:HT868"/>
    <mergeCell ref="HS869:HT869"/>
    <mergeCell ref="HS870:HT870"/>
    <mergeCell ref="HS871:HT871"/>
    <mergeCell ref="HS872:HT872"/>
    <mergeCell ref="HS873:HT873"/>
    <mergeCell ref="HS874:HT874"/>
    <mergeCell ref="HS875:HT875"/>
    <mergeCell ref="HS876:HT876"/>
    <mergeCell ref="HS877:HT877"/>
    <mergeCell ref="HS878:HT878"/>
    <mergeCell ref="HS879:HT879"/>
    <mergeCell ref="HS880:HT880"/>
    <mergeCell ref="HS881:HT881"/>
    <mergeCell ref="HS882:HT882"/>
    <mergeCell ref="HS883:HT883"/>
    <mergeCell ref="HS884:HT884"/>
    <mergeCell ref="HS885:HT885"/>
    <mergeCell ref="HS886:HT886"/>
    <mergeCell ref="HS887:HT887"/>
    <mergeCell ref="HS888:HT888"/>
    <mergeCell ref="HS889:HT889"/>
    <mergeCell ref="HS890:HT890"/>
    <mergeCell ref="HS891:HT891"/>
    <mergeCell ref="HS892:HT892"/>
    <mergeCell ref="HS893:HT893"/>
    <mergeCell ref="HS894:HT894"/>
    <mergeCell ref="HS895:HT895"/>
    <mergeCell ref="HS896:HT896"/>
    <mergeCell ref="HS897:HT897"/>
    <mergeCell ref="HS898:HT898"/>
    <mergeCell ref="HS899:HT899"/>
    <mergeCell ref="HS900:HT900"/>
    <mergeCell ref="HS901:HT901"/>
    <mergeCell ref="HS902:HT902"/>
    <mergeCell ref="HS903:HT903"/>
    <mergeCell ref="HS904:HT904"/>
    <mergeCell ref="HS905:HT905"/>
    <mergeCell ref="HS906:HT906"/>
    <mergeCell ref="HS907:HT907"/>
    <mergeCell ref="HS908:HT908"/>
    <mergeCell ref="HS909:HT909"/>
    <mergeCell ref="HS910:HT910"/>
    <mergeCell ref="HS911:HT911"/>
    <mergeCell ref="HS912:HT912"/>
    <mergeCell ref="HS913:HT913"/>
    <mergeCell ref="HS914:HT914"/>
    <mergeCell ref="HS915:HT915"/>
    <mergeCell ref="HS916:HT916"/>
    <mergeCell ref="HS917:HT917"/>
    <mergeCell ref="HS918:HT918"/>
    <mergeCell ref="HS919:HT919"/>
    <mergeCell ref="HS920:HT920"/>
    <mergeCell ref="HS921:HT921"/>
    <mergeCell ref="HS922:HT922"/>
    <mergeCell ref="HS923:HT923"/>
    <mergeCell ref="HS924:HT924"/>
    <mergeCell ref="HS925:HT925"/>
    <mergeCell ref="HS926:HT926"/>
    <mergeCell ref="HS927:HT927"/>
    <mergeCell ref="HS928:HT928"/>
    <mergeCell ref="HS929:HT929"/>
    <mergeCell ref="HS930:HT930"/>
    <mergeCell ref="HS931:HT931"/>
    <mergeCell ref="HS932:HT932"/>
    <mergeCell ref="HS933:HT933"/>
    <mergeCell ref="HS934:HT934"/>
    <mergeCell ref="HS935:HT935"/>
    <mergeCell ref="HS936:HT936"/>
    <mergeCell ref="HS937:HT937"/>
    <mergeCell ref="HS938:HT938"/>
    <mergeCell ref="HS939:HT939"/>
    <mergeCell ref="HS940:HT940"/>
    <mergeCell ref="HS941:HT941"/>
    <mergeCell ref="HS942:HT942"/>
    <mergeCell ref="HS943:HT943"/>
    <mergeCell ref="HS944:HT944"/>
    <mergeCell ref="HS945:HT945"/>
    <mergeCell ref="HS946:HT946"/>
    <mergeCell ref="HS947:HT947"/>
    <mergeCell ref="HS948:HT948"/>
    <mergeCell ref="HS949:HT949"/>
    <mergeCell ref="HS950:HT950"/>
    <mergeCell ref="HS951:HT951"/>
    <mergeCell ref="HS952:HT952"/>
    <mergeCell ref="HS953:HT953"/>
    <mergeCell ref="HS954:HT954"/>
    <mergeCell ref="HS955:HT955"/>
    <mergeCell ref="HS956:HT956"/>
    <mergeCell ref="HS957:HT957"/>
    <mergeCell ref="HS958:HT958"/>
    <mergeCell ref="HS959:HT959"/>
    <mergeCell ref="HS960:HT960"/>
    <mergeCell ref="HS961:HT961"/>
    <mergeCell ref="HS962:HT962"/>
    <mergeCell ref="HS963:HT963"/>
    <mergeCell ref="HS964:HT964"/>
    <mergeCell ref="HS965:HT965"/>
    <mergeCell ref="HS966:HT966"/>
    <mergeCell ref="HS967:HT967"/>
    <mergeCell ref="HS968:HT968"/>
    <mergeCell ref="HS969:HT969"/>
    <mergeCell ref="HS970:HT970"/>
    <mergeCell ref="HS971:HT971"/>
    <mergeCell ref="HS972:HT972"/>
    <mergeCell ref="HS973:HT973"/>
    <mergeCell ref="HS974:HT974"/>
    <mergeCell ref="HS975:HT975"/>
    <mergeCell ref="HS976:HT976"/>
    <mergeCell ref="HS977:HT977"/>
    <mergeCell ref="HS978:HT978"/>
    <mergeCell ref="HS979:HT979"/>
    <mergeCell ref="HS980:HT980"/>
    <mergeCell ref="HS981:HT981"/>
    <mergeCell ref="HS982:HT982"/>
    <mergeCell ref="HS983:HT983"/>
    <mergeCell ref="HS984:HT984"/>
    <mergeCell ref="HS985:HT985"/>
    <mergeCell ref="HS986:HT986"/>
    <mergeCell ref="HS987:HT987"/>
    <mergeCell ref="HS988:HT988"/>
    <mergeCell ref="HS989:HT989"/>
    <mergeCell ref="HS990:HT990"/>
    <mergeCell ref="HS991:HT991"/>
    <mergeCell ref="HS992:HT992"/>
    <mergeCell ref="HS993:HT993"/>
    <mergeCell ref="HS994:HT994"/>
    <mergeCell ref="HS995:HT995"/>
    <mergeCell ref="HS996:HT996"/>
    <mergeCell ref="HS997:HT997"/>
    <mergeCell ref="HS998:HT998"/>
    <mergeCell ref="HS999:HT999"/>
    <mergeCell ref="HS1000:HT1000"/>
    <mergeCell ref="HS1001:HT1001"/>
    <mergeCell ref="HS1002:HT1002"/>
    <mergeCell ref="HS1003:HT1003"/>
    <mergeCell ref="HS1004:HT1004"/>
    <mergeCell ref="HS1005:HT1005"/>
    <mergeCell ref="HS1006:HT1006"/>
    <mergeCell ref="HS1007:HT1007"/>
    <mergeCell ref="HS1008:HT1008"/>
    <mergeCell ref="HS1009:HT1009"/>
    <mergeCell ref="HS1010:HT1010"/>
    <mergeCell ref="HS1011:HT1011"/>
    <mergeCell ref="HS1012:HT1012"/>
    <mergeCell ref="HS1013:HT1013"/>
    <mergeCell ref="HS1014:HT1014"/>
    <mergeCell ref="HS1015:HT1015"/>
    <mergeCell ref="HS1016:HT1016"/>
    <mergeCell ref="HS1017:HT1017"/>
    <mergeCell ref="HS1018:HT1018"/>
    <mergeCell ref="HS1019:HT1019"/>
    <mergeCell ref="HS1020:HT1020"/>
    <mergeCell ref="HS1021:HT1021"/>
    <mergeCell ref="HS1022:HT1022"/>
    <mergeCell ref="HS1023:HT1023"/>
    <mergeCell ref="HS1024:HT1024"/>
    <mergeCell ref="HS1025:HT1025"/>
    <mergeCell ref="HS1026:HT1026"/>
    <mergeCell ref="HS1027:HT1027"/>
    <mergeCell ref="HS1028:HT1028"/>
    <mergeCell ref="HS1029:HT1029"/>
    <mergeCell ref="HS1030:HT1030"/>
    <mergeCell ref="HS1031:HT1031"/>
    <mergeCell ref="HS1032:HT1032"/>
    <mergeCell ref="HS1033:HT1033"/>
    <mergeCell ref="HS1034:HT1034"/>
    <mergeCell ref="HS1035:HT1035"/>
    <mergeCell ref="HS1036:HT1036"/>
    <mergeCell ref="HS1037:HT1037"/>
    <mergeCell ref="HS1038:HT1038"/>
    <mergeCell ref="HS1039:HT1039"/>
    <mergeCell ref="HS1040:HT1040"/>
    <mergeCell ref="HS1041:HT1041"/>
    <mergeCell ref="HS1042:HT1042"/>
    <mergeCell ref="HS1043:HT1043"/>
    <mergeCell ref="HS1044:HT1044"/>
    <mergeCell ref="HS1045:HT1045"/>
    <mergeCell ref="HS1046:HT1046"/>
    <mergeCell ref="HS1047:HT1047"/>
    <mergeCell ref="HS1048:HT1048"/>
    <mergeCell ref="HS1049:HT1049"/>
    <mergeCell ref="HS1050:HT1050"/>
    <mergeCell ref="HS1051:HT1051"/>
    <mergeCell ref="HS1052:HT1052"/>
    <mergeCell ref="HS1053:HT1053"/>
    <mergeCell ref="HS1054:HT1054"/>
    <mergeCell ref="HS1055:HT1055"/>
    <mergeCell ref="HS1056:HT1056"/>
    <mergeCell ref="HS1057:HT1057"/>
    <mergeCell ref="HS1058:HT1058"/>
    <mergeCell ref="HS1059:HT1059"/>
    <mergeCell ref="HS1060:HT1060"/>
    <mergeCell ref="HS1061:HT1061"/>
    <mergeCell ref="HS1062:HT1062"/>
    <mergeCell ref="HS1063:HT1063"/>
    <mergeCell ref="HS1064:HT1064"/>
    <mergeCell ref="HS1065:HT1065"/>
    <mergeCell ref="HS1066:HT1066"/>
    <mergeCell ref="HS1067:HT1067"/>
    <mergeCell ref="HS1068:HT1068"/>
    <mergeCell ref="HS1069:HT1069"/>
    <mergeCell ref="HS1070:HT1070"/>
    <mergeCell ref="HS1071:HT1071"/>
    <mergeCell ref="HS1072:HT1072"/>
    <mergeCell ref="HS1073:HT1073"/>
    <mergeCell ref="HS1074:HT1074"/>
    <mergeCell ref="HS1075:HT1075"/>
    <mergeCell ref="HS1076:HT1076"/>
    <mergeCell ref="HS1077:HT1077"/>
    <mergeCell ref="HS1078:HT1078"/>
    <mergeCell ref="HS1079:HT1079"/>
    <mergeCell ref="HS1080:HT1080"/>
    <mergeCell ref="HS1081:HT1081"/>
    <mergeCell ref="HS1082:HT1082"/>
    <mergeCell ref="HS1083:HT1083"/>
    <mergeCell ref="HS1084:HT1084"/>
    <mergeCell ref="HS1085:HT1085"/>
    <mergeCell ref="HS1086:HT1086"/>
    <mergeCell ref="HS1087:HT1087"/>
    <mergeCell ref="HS1088:HT1088"/>
    <mergeCell ref="HS1089:HT1089"/>
    <mergeCell ref="HS1090:HT1090"/>
    <mergeCell ref="HS1091:HT1091"/>
    <mergeCell ref="HS1092:HT1092"/>
    <mergeCell ref="HS1093:HT1093"/>
    <mergeCell ref="HS1094:HT1094"/>
    <mergeCell ref="HS1095:HT1095"/>
    <mergeCell ref="HS1096:HT1096"/>
    <mergeCell ref="HS1097:HT1097"/>
    <mergeCell ref="HS1098:HT1098"/>
    <mergeCell ref="HS1099:HT1099"/>
    <mergeCell ref="HS1100:HT1100"/>
    <mergeCell ref="HS1101:HT1101"/>
    <mergeCell ref="HS1102:HT1102"/>
    <mergeCell ref="HS1103:HT1103"/>
    <mergeCell ref="HS1104:HT1104"/>
    <mergeCell ref="HS1105:HT1105"/>
    <mergeCell ref="HS1106:HT1106"/>
    <mergeCell ref="HS1107:HT1107"/>
    <mergeCell ref="HS1108:HT1108"/>
    <mergeCell ref="HS1109:HT1109"/>
    <mergeCell ref="HS1110:HT1110"/>
    <mergeCell ref="HS1111:HT1111"/>
    <mergeCell ref="HS1112:HT1112"/>
    <mergeCell ref="HS1113:HT1113"/>
    <mergeCell ref="HS1114:HT1114"/>
    <mergeCell ref="HS1115:HT1115"/>
    <mergeCell ref="HS1116:HT1116"/>
    <mergeCell ref="HS1117:HT1117"/>
    <mergeCell ref="HS1118:HT1118"/>
    <mergeCell ref="HS1119:HT1119"/>
    <mergeCell ref="HS1120:HT1120"/>
    <mergeCell ref="HS1121:HT1121"/>
    <mergeCell ref="HS1122:HT1122"/>
    <mergeCell ref="HS1123:HT1123"/>
    <mergeCell ref="HS1124:HT1124"/>
    <mergeCell ref="HS1125:HT1125"/>
    <mergeCell ref="HS1126:HT1126"/>
    <mergeCell ref="HS1127:HT1127"/>
    <mergeCell ref="HS1128:HT1128"/>
    <mergeCell ref="HS1129:HT1129"/>
    <mergeCell ref="HS1130:HT1130"/>
    <mergeCell ref="HS1131:HT1131"/>
    <mergeCell ref="HS1132:HT1132"/>
    <mergeCell ref="HS1133:HT1133"/>
    <mergeCell ref="HS1134:HT1134"/>
    <mergeCell ref="HS1135:HT1135"/>
    <mergeCell ref="HS1136:HT1136"/>
    <mergeCell ref="HS1137:HT1137"/>
    <mergeCell ref="HS1138:HT1138"/>
    <mergeCell ref="HS1139:HT1139"/>
    <mergeCell ref="HS1140:HT1140"/>
    <mergeCell ref="HS1141:HT1141"/>
    <mergeCell ref="HS1142:HT1142"/>
    <mergeCell ref="HS1143:HT1143"/>
    <mergeCell ref="HS1144:HT1144"/>
    <mergeCell ref="HS1145:HT1145"/>
    <mergeCell ref="HS1146:HT1146"/>
    <mergeCell ref="HS1147:HT1147"/>
    <mergeCell ref="HS1148:HT1148"/>
    <mergeCell ref="HS1149:HT1149"/>
    <mergeCell ref="HS1150:HT1150"/>
    <mergeCell ref="HS1151:HT1151"/>
    <mergeCell ref="HS1152:HT1152"/>
    <mergeCell ref="HS1153:HT1153"/>
    <mergeCell ref="HS1154:HT1154"/>
    <mergeCell ref="HS1155:HT1155"/>
    <mergeCell ref="HS1156:HT1156"/>
    <mergeCell ref="HS1157:HT1157"/>
    <mergeCell ref="HS1158:HT1158"/>
    <mergeCell ref="HS1159:HT1159"/>
    <mergeCell ref="HS1160:HT1160"/>
    <mergeCell ref="HS1161:HT1161"/>
    <mergeCell ref="HS1162:HT1162"/>
    <mergeCell ref="HS1163:HT1163"/>
    <mergeCell ref="HS1164:HT1164"/>
    <mergeCell ref="HS1165:HT1165"/>
    <mergeCell ref="HS1166:HT1166"/>
    <mergeCell ref="HS1167:HT1167"/>
    <mergeCell ref="HS1168:HT1168"/>
    <mergeCell ref="HS1169:HT1169"/>
    <mergeCell ref="HS1170:HT1170"/>
    <mergeCell ref="HS1171:HT1171"/>
    <mergeCell ref="HS1172:HT1172"/>
    <mergeCell ref="HS1173:HT1173"/>
    <mergeCell ref="HS1174:HT1174"/>
    <mergeCell ref="HS1175:HT1175"/>
    <mergeCell ref="HS1176:HT1176"/>
    <mergeCell ref="HS1177:HT1177"/>
    <mergeCell ref="HS1178:HT1178"/>
    <mergeCell ref="HS1179:HT1179"/>
    <mergeCell ref="HS1180:HT1180"/>
    <mergeCell ref="HS1181:HT1181"/>
    <mergeCell ref="HS1182:HT1182"/>
    <mergeCell ref="HS1183:HT1183"/>
    <mergeCell ref="HS1184:HT1184"/>
    <mergeCell ref="HS1185:HT1185"/>
    <mergeCell ref="HS1186:HT1186"/>
    <mergeCell ref="HS1187:HT1187"/>
    <mergeCell ref="HS1188:HT1188"/>
    <mergeCell ref="HS1189:HT1189"/>
    <mergeCell ref="HS1190:HT1190"/>
    <mergeCell ref="HS1191:HT1191"/>
    <mergeCell ref="HS1192:HT1192"/>
    <mergeCell ref="HS1193:HT1193"/>
    <mergeCell ref="HS1194:HT1194"/>
    <mergeCell ref="HS1195:HT1195"/>
    <mergeCell ref="HS1196:HT1196"/>
    <mergeCell ref="HS1197:HT1197"/>
    <mergeCell ref="HS1198:HT1198"/>
    <mergeCell ref="HS1199:HT1199"/>
    <mergeCell ref="HS1200:HT1200"/>
    <mergeCell ref="HS1201:HT1201"/>
    <mergeCell ref="HS1202:HT1202"/>
    <mergeCell ref="HS1203:HT1203"/>
    <mergeCell ref="HS1204:HT1204"/>
    <mergeCell ref="HS1205:HT1205"/>
    <mergeCell ref="HS1206:HT1206"/>
    <mergeCell ref="HS1207:HT1207"/>
    <mergeCell ref="HS1208:HT1208"/>
    <mergeCell ref="HS1209:HT1209"/>
    <mergeCell ref="HS1210:HT1210"/>
    <mergeCell ref="HS1211:HT1211"/>
    <mergeCell ref="HS1212:HT1212"/>
    <mergeCell ref="HS1213:HT1213"/>
    <mergeCell ref="HS1214:HT1214"/>
    <mergeCell ref="HS1215:HT1215"/>
    <mergeCell ref="HS1216:HT1216"/>
    <mergeCell ref="HS1217:HT1217"/>
    <mergeCell ref="HS1218:HT1218"/>
    <mergeCell ref="HS1219:HT1219"/>
    <mergeCell ref="HS1220:HT1220"/>
    <mergeCell ref="HS1221:HT1221"/>
    <mergeCell ref="HS1222:HT1222"/>
    <mergeCell ref="HS1223:HT1223"/>
    <mergeCell ref="HS1224:HT1224"/>
    <mergeCell ref="HS1225:HT1225"/>
    <mergeCell ref="HS1226:HT1226"/>
    <mergeCell ref="HS1227:HT1227"/>
    <mergeCell ref="HS1228:HT1228"/>
    <mergeCell ref="HS1229:HT1229"/>
    <mergeCell ref="HS1230:HT1230"/>
    <mergeCell ref="HS1231:HT1231"/>
    <mergeCell ref="HS1232:HT1232"/>
    <mergeCell ref="HS1233:HT1233"/>
    <mergeCell ref="HS1234:HT1234"/>
    <mergeCell ref="HS1235:HT1235"/>
    <mergeCell ref="HS1236:HT1236"/>
    <mergeCell ref="HS1237:HT1237"/>
    <mergeCell ref="HS1238:HT1238"/>
    <mergeCell ref="HS1239:HT1239"/>
    <mergeCell ref="HS1240:HT1240"/>
    <mergeCell ref="HS1241:HT1241"/>
    <mergeCell ref="HS1242:HT1242"/>
    <mergeCell ref="HS1243:HT1243"/>
    <mergeCell ref="HS1244:HT1244"/>
    <mergeCell ref="HS1245:HT1245"/>
    <mergeCell ref="HS1246:HT1246"/>
    <mergeCell ref="HS1247:HT1247"/>
    <mergeCell ref="HS1248:HT1248"/>
    <mergeCell ref="HS1249:HT1249"/>
    <mergeCell ref="HS1250:HT1250"/>
    <mergeCell ref="HS1251:HT1251"/>
    <mergeCell ref="HS1252:HT1252"/>
    <mergeCell ref="HS1253:HT1253"/>
    <mergeCell ref="HS1254:HT1254"/>
    <mergeCell ref="HS1255:HT1255"/>
    <mergeCell ref="HS1256:HT1256"/>
    <mergeCell ref="HS1257:HT1257"/>
    <mergeCell ref="HS1258:HT1258"/>
    <mergeCell ref="HS1259:HT1259"/>
    <mergeCell ref="HS1260:HT1260"/>
    <mergeCell ref="HS1261:HT1261"/>
    <mergeCell ref="HS1262:HT1262"/>
    <mergeCell ref="HS1263:HT1263"/>
    <mergeCell ref="HS1264:HT1264"/>
    <mergeCell ref="HS1265:HT1265"/>
    <mergeCell ref="HS1266:HT1266"/>
    <mergeCell ref="HS1267:HT1267"/>
    <mergeCell ref="HS1268:HT1268"/>
    <mergeCell ref="HS1269:HT1269"/>
    <mergeCell ref="HS1270:HT1270"/>
    <mergeCell ref="HS1271:HT1271"/>
    <mergeCell ref="HS1272:HT1272"/>
    <mergeCell ref="HS1273:HT1273"/>
    <mergeCell ref="HS1274:HT1274"/>
    <mergeCell ref="HS1275:HT1275"/>
    <mergeCell ref="HS1276:HT1276"/>
    <mergeCell ref="HS1277:HT1277"/>
    <mergeCell ref="HS1278:HT1278"/>
    <mergeCell ref="HS1279:HT1279"/>
    <mergeCell ref="HS1280:HT1280"/>
    <mergeCell ref="HS1281:HT1281"/>
    <mergeCell ref="HS1282:HT1282"/>
    <mergeCell ref="HS1283:HT1283"/>
    <mergeCell ref="HS1284:HT1284"/>
    <mergeCell ref="HS1285:HT1285"/>
    <mergeCell ref="HS1286:HT1286"/>
    <mergeCell ref="HS1287:HT1287"/>
    <mergeCell ref="HS1288:HT1288"/>
    <mergeCell ref="HS1289:HT1289"/>
    <mergeCell ref="HS1290:HT1290"/>
    <mergeCell ref="HS1291:HT1291"/>
    <mergeCell ref="HS1292:HT1292"/>
    <mergeCell ref="HS1293:HT1293"/>
    <mergeCell ref="HS1294:HT1294"/>
    <mergeCell ref="HS1295:HT1295"/>
    <mergeCell ref="HS1296:HT1296"/>
    <mergeCell ref="HS1297:HT1297"/>
    <mergeCell ref="HS1298:HT1298"/>
    <mergeCell ref="HS1299:HT1299"/>
    <mergeCell ref="HS1300:HT1300"/>
    <mergeCell ref="HS1301:HT1301"/>
    <mergeCell ref="HS1302:HT1302"/>
    <mergeCell ref="HS1303:HT1303"/>
    <mergeCell ref="HS1304:HT1304"/>
    <mergeCell ref="HS1305:HT1305"/>
    <mergeCell ref="HS1306:HT1306"/>
    <mergeCell ref="HS1307:HT1307"/>
    <mergeCell ref="HS1308:HT1308"/>
    <mergeCell ref="HS1309:HT1309"/>
    <mergeCell ref="HS1310:HT1310"/>
    <mergeCell ref="HS1311:HT1311"/>
    <mergeCell ref="HS1312:HT1312"/>
    <mergeCell ref="HS1313:HT1313"/>
    <mergeCell ref="HS1314:HT1314"/>
    <mergeCell ref="HS1315:HT1315"/>
    <mergeCell ref="HS1316:HT1316"/>
    <mergeCell ref="HS1317:HT1317"/>
    <mergeCell ref="HS1318:HT1318"/>
    <mergeCell ref="HS1319:HT1319"/>
    <mergeCell ref="HS1320:HT1320"/>
    <mergeCell ref="HS1321:HT1321"/>
    <mergeCell ref="HS1322:HT1322"/>
    <mergeCell ref="HS1323:HT1323"/>
    <mergeCell ref="HS1324:HT1324"/>
    <mergeCell ref="HS1325:HT1325"/>
    <mergeCell ref="HS1326:HT1326"/>
    <mergeCell ref="HS1327:HT1327"/>
    <mergeCell ref="HS1328:HT1328"/>
    <mergeCell ref="HS1329:HT1329"/>
    <mergeCell ref="HS1330:HT1330"/>
    <mergeCell ref="HS1331:HT1331"/>
    <mergeCell ref="HS1332:HT1332"/>
    <mergeCell ref="HS1333:HT1333"/>
    <mergeCell ref="HS1334:HT1334"/>
    <mergeCell ref="HS1335:HT1335"/>
    <mergeCell ref="HS1336:HT1336"/>
    <mergeCell ref="HS1337:HT1337"/>
    <mergeCell ref="HS1338:HT1338"/>
    <mergeCell ref="HS1339:HT1339"/>
    <mergeCell ref="HS1340:HT1340"/>
    <mergeCell ref="HS1341:HT1341"/>
    <mergeCell ref="HS1342:HT1342"/>
    <mergeCell ref="HS1343:HT1343"/>
    <mergeCell ref="HS1344:HT1344"/>
    <mergeCell ref="HS1345:HT1345"/>
    <mergeCell ref="HS1346:HT1346"/>
    <mergeCell ref="HS1347:HT1347"/>
    <mergeCell ref="HS1348:HT1348"/>
    <mergeCell ref="HS1349:HT1349"/>
    <mergeCell ref="HS1350:HT1350"/>
    <mergeCell ref="HS1351:HT1351"/>
    <mergeCell ref="HS1352:HT1352"/>
    <mergeCell ref="HS1353:HT1353"/>
    <mergeCell ref="HS1354:HT1354"/>
    <mergeCell ref="HS1355:HT1355"/>
    <mergeCell ref="HS1356:HT1356"/>
    <mergeCell ref="HS1357:HT1357"/>
    <mergeCell ref="HS1358:HT1358"/>
    <mergeCell ref="HS1359:HT1359"/>
    <mergeCell ref="HS1360:HT1360"/>
    <mergeCell ref="HS1361:HT1361"/>
    <mergeCell ref="HS1362:HT1362"/>
    <mergeCell ref="HS1363:HT1363"/>
    <mergeCell ref="HS1364:HT1364"/>
    <mergeCell ref="HS1365:HT1365"/>
    <mergeCell ref="HS1366:HT1366"/>
    <mergeCell ref="HS1367:HT1367"/>
    <mergeCell ref="HS1368:HT1368"/>
    <mergeCell ref="HS1369:HT1369"/>
    <mergeCell ref="HS1370:HT1370"/>
    <mergeCell ref="HS1371:HT1371"/>
    <mergeCell ref="HS1372:HT1372"/>
    <mergeCell ref="HS1373:HT1373"/>
    <mergeCell ref="HS1374:HT1374"/>
    <mergeCell ref="HS1375:HT1375"/>
    <mergeCell ref="HS1376:HT1376"/>
    <mergeCell ref="HS1377:HT1377"/>
    <mergeCell ref="HS1378:HT1378"/>
    <mergeCell ref="HS1379:HT1379"/>
    <mergeCell ref="HS1380:HT1380"/>
    <mergeCell ref="HS1381:HT1381"/>
    <mergeCell ref="HS1382:HT1382"/>
    <mergeCell ref="HS1383:HT1383"/>
    <mergeCell ref="HS1384:HT1384"/>
    <mergeCell ref="HS1385:HT1385"/>
    <mergeCell ref="HS1386:HT1386"/>
    <mergeCell ref="HS1387:HT1387"/>
    <mergeCell ref="HS1388:HT1388"/>
    <mergeCell ref="HS1389:HT1389"/>
    <mergeCell ref="HS1390:HT1390"/>
    <mergeCell ref="HS1391:HT1391"/>
    <mergeCell ref="HS1392:HT1392"/>
    <mergeCell ref="HS1393:HT1393"/>
    <mergeCell ref="HS1394:HT1394"/>
    <mergeCell ref="HS1395:HT1395"/>
    <mergeCell ref="HS1396:HT1396"/>
    <mergeCell ref="HS1397:HT1397"/>
    <mergeCell ref="HS1398:HT1398"/>
    <mergeCell ref="HS1399:HT1399"/>
    <mergeCell ref="HS1400:HT1400"/>
    <mergeCell ref="HS1401:HT1401"/>
    <mergeCell ref="HS1402:HT1402"/>
    <mergeCell ref="HS1403:HT1403"/>
    <mergeCell ref="HS1404:HT1404"/>
    <mergeCell ref="HS1405:HT1405"/>
    <mergeCell ref="HS1406:HT1406"/>
    <mergeCell ref="HS1407:HT1407"/>
    <mergeCell ref="HS1408:HT1408"/>
    <mergeCell ref="HS1409:HT1409"/>
    <mergeCell ref="HS1410:HT1410"/>
    <mergeCell ref="HS1411:HT1411"/>
    <mergeCell ref="HS1412:HT1412"/>
    <mergeCell ref="HS1413:HT1413"/>
    <mergeCell ref="HS1414:HT1414"/>
    <mergeCell ref="HS1415:HT1415"/>
    <mergeCell ref="HS1416:HT1416"/>
    <mergeCell ref="HS1417:HT1417"/>
    <mergeCell ref="HS1418:HT1418"/>
    <mergeCell ref="HS1419:HT1419"/>
    <mergeCell ref="HS1420:HT1420"/>
    <mergeCell ref="HS1421:HT1421"/>
    <mergeCell ref="HS1422:HT1422"/>
    <mergeCell ref="HS1423:HT1423"/>
    <mergeCell ref="HS1424:HT1424"/>
    <mergeCell ref="HS1425:HT1425"/>
    <mergeCell ref="HS1426:HT1426"/>
    <mergeCell ref="HS1427:HT1427"/>
    <mergeCell ref="HS1428:HT1428"/>
    <mergeCell ref="HS1429:HT1429"/>
    <mergeCell ref="HS1430:HT1430"/>
    <mergeCell ref="HS1431:HT1431"/>
    <mergeCell ref="HS1432:HT1432"/>
    <mergeCell ref="HS1433:HT1433"/>
    <mergeCell ref="HS1434:HT1434"/>
    <mergeCell ref="HS1435:HT1435"/>
    <mergeCell ref="HS1436:HT1436"/>
    <mergeCell ref="HS1437:HT1437"/>
    <mergeCell ref="HS1438:HT1438"/>
    <mergeCell ref="HS1439:HT1439"/>
    <mergeCell ref="HS1440:HT1440"/>
    <mergeCell ref="HS1441:HT1441"/>
    <mergeCell ref="HS1442:HT1442"/>
    <mergeCell ref="HS1443:HT1443"/>
    <mergeCell ref="HS1444:HT1444"/>
    <mergeCell ref="HS1445:HT1445"/>
    <mergeCell ref="HS1446:HT1446"/>
    <mergeCell ref="HS1447:HT1447"/>
    <mergeCell ref="HS1448:HT1448"/>
    <mergeCell ref="HS1449:HT1449"/>
    <mergeCell ref="HS1450:HT1450"/>
    <mergeCell ref="HS1451:HT1451"/>
    <mergeCell ref="HS1452:HT1452"/>
    <mergeCell ref="HS1453:HT1453"/>
    <mergeCell ref="HS1454:HT1454"/>
    <mergeCell ref="HS1455:HT1455"/>
    <mergeCell ref="HS1456:HT1456"/>
    <mergeCell ref="HS1457:HT1457"/>
    <mergeCell ref="HS1458:HT1458"/>
    <mergeCell ref="HS1459:HT1459"/>
    <mergeCell ref="HS1460:HT1460"/>
    <mergeCell ref="HS1461:HT1461"/>
    <mergeCell ref="HS1462:HT1462"/>
    <mergeCell ref="HS1463:HT1463"/>
    <mergeCell ref="HS1464:HT1464"/>
    <mergeCell ref="HS1465:HT1465"/>
    <mergeCell ref="HS1466:HT1466"/>
    <mergeCell ref="HS1467:HT1467"/>
    <mergeCell ref="HS1468:HT1468"/>
    <mergeCell ref="HS1469:HT1469"/>
    <mergeCell ref="HS1470:HT1470"/>
    <mergeCell ref="HS1471:HT1471"/>
    <mergeCell ref="HS1472:HT1472"/>
    <mergeCell ref="HS1473:HT1473"/>
    <mergeCell ref="HS1474:HT1474"/>
    <mergeCell ref="HS1475:HT1475"/>
    <mergeCell ref="HS1476:HT1476"/>
    <mergeCell ref="HS1477:HT1477"/>
    <mergeCell ref="HS1478:HT1478"/>
    <mergeCell ref="HS1479:HT1479"/>
    <mergeCell ref="HS1480:HT1480"/>
    <mergeCell ref="HS1481:HT1481"/>
    <mergeCell ref="HS1482:HT1482"/>
    <mergeCell ref="HS1483:HT1483"/>
    <mergeCell ref="HS1484:HT1484"/>
    <mergeCell ref="HS1485:HT1485"/>
    <mergeCell ref="HS1486:HT1486"/>
    <mergeCell ref="HS1487:HT1487"/>
    <mergeCell ref="HS1488:HT1488"/>
    <mergeCell ref="HS1489:HT1489"/>
    <mergeCell ref="HS1490:HT1490"/>
    <mergeCell ref="HS1491:HT1491"/>
    <mergeCell ref="HS1492:HT1492"/>
    <mergeCell ref="HS1493:HT1493"/>
    <mergeCell ref="HS1494:HT1494"/>
    <mergeCell ref="HS1495:HT1495"/>
    <mergeCell ref="HS1496:HT1496"/>
    <mergeCell ref="HS1497:HT1497"/>
    <mergeCell ref="HS1498:HT1498"/>
    <mergeCell ref="HS1499:HT1499"/>
    <mergeCell ref="HS1500:HT1500"/>
    <mergeCell ref="HV789:HW789"/>
    <mergeCell ref="HV790:HW790"/>
    <mergeCell ref="HV791:HW791"/>
    <mergeCell ref="HV792:HW792"/>
    <mergeCell ref="HV793:HW793"/>
    <mergeCell ref="HV794:HW794"/>
    <mergeCell ref="HV795:HW795"/>
    <mergeCell ref="HV796:HW796"/>
    <mergeCell ref="HV797:HW797"/>
    <mergeCell ref="HV798:HW798"/>
    <mergeCell ref="HV799:HW799"/>
    <mergeCell ref="HV800:HW800"/>
    <mergeCell ref="HV801:HW801"/>
    <mergeCell ref="HV802:HW802"/>
    <mergeCell ref="HV803:HW803"/>
    <mergeCell ref="HV804:HW804"/>
    <mergeCell ref="HV805:HW805"/>
    <mergeCell ref="HV806:HW806"/>
    <mergeCell ref="HV807:HW807"/>
    <mergeCell ref="HV808:HW808"/>
    <mergeCell ref="HV809:HW809"/>
    <mergeCell ref="HV810:HW810"/>
    <mergeCell ref="HV811:HW811"/>
    <mergeCell ref="HV812:HW812"/>
    <mergeCell ref="HV813:HW813"/>
    <mergeCell ref="HV814:HW814"/>
    <mergeCell ref="HV815:HW815"/>
    <mergeCell ref="HV816:HW816"/>
    <mergeCell ref="HV817:HW817"/>
    <mergeCell ref="HV818:HW818"/>
    <mergeCell ref="HV819:HW819"/>
    <mergeCell ref="HV820:HW820"/>
    <mergeCell ref="HV821:HW821"/>
    <mergeCell ref="HV822:HW822"/>
    <mergeCell ref="HV823:HW823"/>
    <mergeCell ref="HV824:HW824"/>
    <mergeCell ref="HV825:HW825"/>
    <mergeCell ref="HV826:HW826"/>
    <mergeCell ref="HV827:HW827"/>
    <mergeCell ref="HV828:HW828"/>
    <mergeCell ref="HV829:HW829"/>
    <mergeCell ref="HV830:HW830"/>
    <mergeCell ref="HV831:HW831"/>
    <mergeCell ref="HV832:HW832"/>
    <mergeCell ref="HV863:HW863"/>
    <mergeCell ref="HV864:HW864"/>
    <mergeCell ref="HV865:HW865"/>
    <mergeCell ref="HV866:HW866"/>
    <mergeCell ref="HV867:HW867"/>
    <mergeCell ref="HV868:HW868"/>
    <mergeCell ref="HV869:HW869"/>
    <mergeCell ref="HV870:HW870"/>
    <mergeCell ref="HV871:HW871"/>
    <mergeCell ref="HV872:HW872"/>
    <mergeCell ref="HV873:HW873"/>
    <mergeCell ref="HV874:HW874"/>
    <mergeCell ref="HV875:HW875"/>
    <mergeCell ref="HV876:HW876"/>
    <mergeCell ref="HV877:HW877"/>
    <mergeCell ref="HV878:HW878"/>
    <mergeCell ref="HV879:HW879"/>
    <mergeCell ref="HV880:HW880"/>
    <mergeCell ref="HV881:HW881"/>
    <mergeCell ref="HV882:HW882"/>
    <mergeCell ref="HV883:HW883"/>
    <mergeCell ref="HV884:HW884"/>
    <mergeCell ref="HV885:HW885"/>
    <mergeCell ref="HV886:HW886"/>
    <mergeCell ref="HV887:HW887"/>
    <mergeCell ref="HV888:HW888"/>
    <mergeCell ref="HV889:HW889"/>
    <mergeCell ref="HV890:HW890"/>
    <mergeCell ref="HV891:HW891"/>
    <mergeCell ref="HV892:HW892"/>
    <mergeCell ref="HV893:HW893"/>
    <mergeCell ref="HV894:HW894"/>
    <mergeCell ref="HV895:HW895"/>
    <mergeCell ref="HV896:HW896"/>
    <mergeCell ref="HV897:HW897"/>
    <mergeCell ref="HV898:HW898"/>
    <mergeCell ref="HV899:HW899"/>
    <mergeCell ref="HV900:HW900"/>
    <mergeCell ref="HV901:HW901"/>
    <mergeCell ref="HV902:HW902"/>
    <mergeCell ref="HV903:HW903"/>
    <mergeCell ref="HV904:HW904"/>
    <mergeCell ref="HV905:HW905"/>
    <mergeCell ref="HV906:HW906"/>
    <mergeCell ref="HV907:HW907"/>
    <mergeCell ref="HV908:HW908"/>
    <mergeCell ref="HV909:HW909"/>
    <mergeCell ref="HV910:HW910"/>
    <mergeCell ref="HV911:HW911"/>
    <mergeCell ref="HV912:HW912"/>
    <mergeCell ref="HV913:HW913"/>
    <mergeCell ref="HV914:HW914"/>
    <mergeCell ref="HV915:HW915"/>
    <mergeCell ref="HV916:HW916"/>
    <mergeCell ref="HV917:HW917"/>
    <mergeCell ref="HV918:HW918"/>
    <mergeCell ref="HV919:HW919"/>
    <mergeCell ref="HV920:HW920"/>
    <mergeCell ref="HV921:HW921"/>
    <mergeCell ref="HV922:HW922"/>
    <mergeCell ref="HV923:HW923"/>
    <mergeCell ref="HV924:HW924"/>
    <mergeCell ref="HV925:HW925"/>
    <mergeCell ref="HV926:HW926"/>
    <mergeCell ref="HV927:HW927"/>
    <mergeCell ref="HV928:HW928"/>
    <mergeCell ref="HV929:HW929"/>
    <mergeCell ref="HV930:HW930"/>
    <mergeCell ref="HV931:HW931"/>
    <mergeCell ref="HV932:HW932"/>
    <mergeCell ref="HV933:HW933"/>
    <mergeCell ref="HV934:HW934"/>
    <mergeCell ref="HV935:HW935"/>
    <mergeCell ref="HV936:HW936"/>
    <mergeCell ref="HV937:HW937"/>
    <mergeCell ref="HV938:HW938"/>
    <mergeCell ref="HV939:HW939"/>
    <mergeCell ref="HV940:HW940"/>
    <mergeCell ref="HV941:HW941"/>
    <mergeCell ref="HV942:HW942"/>
    <mergeCell ref="HV943:HW943"/>
    <mergeCell ref="HV944:HW944"/>
    <mergeCell ref="HV945:HW945"/>
    <mergeCell ref="HV946:HW946"/>
    <mergeCell ref="HV947:HW947"/>
    <mergeCell ref="HV948:HW948"/>
    <mergeCell ref="HV949:HW949"/>
    <mergeCell ref="HV950:HW950"/>
    <mergeCell ref="HV951:HW951"/>
    <mergeCell ref="HV952:HW952"/>
    <mergeCell ref="HV953:HW953"/>
    <mergeCell ref="HV954:HW954"/>
    <mergeCell ref="HV955:HW955"/>
    <mergeCell ref="HV956:HW956"/>
    <mergeCell ref="HV957:HW957"/>
    <mergeCell ref="HV958:HW958"/>
    <mergeCell ref="HV959:HW959"/>
    <mergeCell ref="HV960:HW960"/>
    <mergeCell ref="HV961:HW961"/>
    <mergeCell ref="HV962:HW962"/>
    <mergeCell ref="HV963:HW963"/>
    <mergeCell ref="HV964:HW964"/>
    <mergeCell ref="HV965:HW965"/>
    <mergeCell ref="HV966:HW966"/>
    <mergeCell ref="HV967:HW967"/>
    <mergeCell ref="HV968:HW968"/>
    <mergeCell ref="HV969:HW969"/>
    <mergeCell ref="HV970:HW970"/>
    <mergeCell ref="HV971:HW971"/>
    <mergeCell ref="HV972:HW972"/>
    <mergeCell ref="HV973:HW973"/>
    <mergeCell ref="HV974:HW974"/>
    <mergeCell ref="HV975:HW975"/>
    <mergeCell ref="HV976:HW976"/>
    <mergeCell ref="HV977:HW977"/>
    <mergeCell ref="HV978:HW978"/>
    <mergeCell ref="HV979:HW979"/>
    <mergeCell ref="HV980:HW980"/>
    <mergeCell ref="HV981:HW981"/>
    <mergeCell ref="HV982:HW982"/>
    <mergeCell ref="HV983:HW983"/>
    <mergeCell ref="HV984:HW984"/>
    <mergeCell ref="HV985:HW985"/>
    <mergeCell ref="HV986:HW986"/>
    <mergeCell ref="HV987:HW987"/>
    <mergeCell ref="HV988:HW988"/>
    <mergeCell ref="HV989:HW989"/>
    <mergeCell ref="HV990:HW990"/>
    <mergeCell ref="HV991:HW991"/>
    <mergeCell ref="HV992:HW992"/>
    <mergeCell ref="HV993:HW993"/>
    <mergeCell ref="HV994:HW994"/>
    <mergeCell ref="HV995:HW995"/>
    <mergeCell ref="HV996:HW996"/>
    <mergeCell ref="HV997:HW997"/>
    <mergeCell ref="HV998:HW998"/>
    <mergeCell ref="HV999:HW999"/>
    <mergeCell ref="HV1000:HW1000"/>
    <mergeCell ref="HV1001:HW1001"/>
    <mergeCell ref="HV1002:HW1002"/>
    <mergeCell ref="HV1003:HW1003"/>
    <mergeCell ref="HV1004:HW1004"/>
    <mergeCell ref="HV1005:HW1005"/>
    <mergeCell ref="HV1006:HW1006"/>
    <mergeCell ref="HV1007:HW1007"/>
    <mergeCell ref="HV1008:HW1008"/>
    <mergeCell ref="HV1009:HW1009"/>
    <mergeCell ref="HV1010:HW1010"/>
    <mergeCell ref="HV1011:HW1011"/>
    <mergeCell ref="HV1012:HW1012"/>
    <mergeCell ref="HV1013:HW1013"/>
    <mergeCell ref="HV1014:HW1014"/>
    <mergeCell ref="HV1015:HW1015"/>
    <mergeCell ref="HV1016:HW1016"/>
    <mergeCell ref="HV1017:HW1017"/>
    <mergeCell ref="HV1018:HW1018"/>
    <mergeCell ref="HV1019:HW1019"/>
    <mergeCell ref="HV1020:HW1020"/>
    <mergeCell ref="HV1021:HW1021"/>
    <mergeCell ref="HV1022:HW1022"/>
    <mergeCell ref="HV1023:HW1023"/>
    <mergeCell ref="HV1024:HW1024"/>
    <mergeCell ref="HV1025:HW1025"/>
    <mergeCell ref="HV1026:HW1026"/>
    <mergeCell ref="HV1027:HW1027"/>
    <mergeCell ref="HV1028:HW1028"/>
    <mergeCell ref="HV1029:HW1029"/>
    <mergeCell ref="HV1030:HW1030"/>
    <mergeCell ref="HV1031:HW1031"/>
    <mergeCell ref="HV1032:HW1032"/>
    <mergeCell ref="HV1033:HW1033"/>
    <mergeCell ref="HV1034:HW1034"/>
    <mergeCell ref="HV1035:HW1035"/>
    <mergeCell ref="HV1036:HW1036"/>
    <mergeCell ref="HV1037:HW1037"/>
    <mergeCell ref="HV1038:HW1038"/>
    <mergeCell ref="HV1039:HW1039"/>
    <mergeCell ref="HV1040:HW1040"/>
    <mergeCell ref="HV1041:HW1041"/>
    <mergeCell ref="HV1042:HW1042"/>
    <mergeCell ref="HV1043:HW1043"/>
    <mergeCell ref="HV1044:HW1044"/>
    <mergeCell ref="HV1045:HW1045"/>
    <mergeCell ref="HV1046:HW1046"/>
    <mergeCell ref="HV1047:HW1047"/>
    <mergeCell ref="HV1048:HW1048"/>
    <mergeCell ref="HV1049:HW1049"/>
    <mergeCell ref="HV1050:HW1050"/>
    <mergeCell ref="HV1051:HW1051"/>
    <mergeCell ref="HV1052:HW1052"/>
    <mergeCell ref="HV1053:HW1053"/>
    <mergeCell ref="HV1054:HW1054"/>
    <mergeCell ref="HV1055:HW1055"/>
    <mergeCell ref="HV1056:HW1056"/>
    <mergeCell ref="HV1057:HW1057"/>
    <mergeCell ref="HV1058:HW1058"/>
    <mergeCell ref="HV1059:HW1059"/>
    <mergeCell ref="HV1060:HW1060"/>
    <mergeCell ref="HV1061:HW1061"/>
    <mergeCell ref="HV1062:HW1062"/>
    <mergeCell ref="HV1063:HW1063"/>
    <mergeCell ref="HV1064:HW1064"/>
    <mergeCell ref="HV1065:HW1065"/>
    <mergeCell ref="HV1066:HW1066"/>
    <mergeCell ref="HV1067:HW1067"/>
    <mergeCell ref="HV1068:HW1068"/>
    <mergeCell ref="HV1069:HW1069"/>
    <mergeCell ref="HV1070:HW1070"/>
    <mergeCell ref="HV1071:HW1071"/>
    <mergeCell ref="HV1072:HW1072"/>
    <mergeCell ref="HV1073:HW1073"/>
    <mergeCell ref="HV1074:HW1074"/>
    <mergeCell ref="HV1075:HW1075"/>
    <mergeCell ref="HV1076:HW1076"/>
    <mergeCell ref="HV1077:HW1077"/>
    <mergeCell ref="HV1078:HW1078"/>
    <mergeCell ref="HV1079:HW1079"/>
    <mergeCell ref="HV1080:HW1080"/>
    <mergeCell ref="HV1081:HW1081"/>
    <mergeCell ref="HV1082:HW1082"/>
    <mergeCell ref="HV1083:HW1083"/>
    <mergeCell ref="HV1084:HW1084"/>
    <mergeCell ref="HV1085:HW1085"/>
    <mergeCell ref="HV1086:HW1086"/>
    <mergeCell ref="HV1087:HW1087"/>
    <mergeCell ref="HV1088:HW1088"/>
    <mergeCell ref="HV1089:HW1089"/>
    <mergeCell ref="HV1090:HW1090"/>
    <mergeCell ref="HV1091:HW1091"/>
    <mergeCell ref="HV1092:HW1092"/>
    <mergeCell ref="HV1093:HW1093"/>
    <mergeCell ref="HV1094:HW1094"/>
    <mergeCell ref="HV1095:HW1095"/>
    <mergeCell ref="HV1096:HW1096"/>
    <mergeCell ref="HV1097:HW1097"/>
    <mergeCell ref="HV1098:HW1098"/>
    <mergeCell ref="HV1099:HW1099"/>
    <mergeCell ref="HV1100:HW1100"/>
    <mergeCell ref="HV1101:HW1101"/>
    <mergeCell ref="HV1102:HW1102"/>
    <mergeCell ref="HV1103:HW1103"/>
    <mergeCell ref="HV1104:HW1104"/>
    <mergeCell ref="HV1105:HW1105"/>
    <mergeCell ref="HV1106:HW1106"/>
    <mergeCell ref="HV1107:HW1107"/>
    <mergeCell ref="HV1108:HW1108"/>
    <mergeCell ref="HV1109:HW1109"/>
    <mergeCell ref="HV1110:HW1110"/>
    <mergeCell ref="HV1111:HW1111"/>
    <mergeCell ref="HV1112:HW1112"/>
    <mergeCell ref="HV1113:HW1113"/>
    <mergeCell ref="HV1114:HW1114"/>
    <mergeCell ref="HV1115:HW1115"/>
    <mergeCell ref="HV1116:HW1116"/>
    <mergeCell ref="HV1117:HW1117"/>
    <mergeCell ref="HV1118:HW1118"/>
    <mergeCell ref="HV1119:HW1119"/>
    <mergeCell ref="HV1120:HW1120"/>
    <mergeCell ref="HV1121:HW1121"/>
    <mergeCell ref="HV1122:HW1122"/>
    <mergeCell ref="HV1123:HW1123"/>
    <mergeCell ref="HV1124:HW1124"/>
    <mergeCell ref="HV1125:HW1125"/>
    <mergeCell ref="HV1126:HW1126"/>
    <mergeCell ref="HV1127:HW1127"/>
    <mergeCell ref="HV1128:HW1128"/>
    <mergeCell ref="HV1129:HW1129"/>
    <mergeCell ref="HV1130:HW1130"/>
    <mergeCell ref="HV1131:HW1131"/>
    <mergeCell ref="HV1132:HW1132"/>
    <mergeCell ref="HV1133:HW1133"/>
    <mergeCell ref="HV1134:HW1134"/>
    <mergeCell ref="HV1135:HW1135"/>
    <mergeCell ref="HV1136:HW1136"/>
    <mergeCell ref="HV1137:HW1137"/>
    <mergeCell ref="HV1138:HW1138"/>
    <mergeCell ref="HV1139:HW1139"/>
    <mergeCell ref="HV1140:HW1140"/>
    <mergeCell ref="HV1141:HW1141"/>
    <mergeCell ref="HV1142:HW1142"/>
    <mergeCell ref="HV1143:HW1143"/>
    <mergeCell ref="HV1144:HW1144"/>
    <mergeCell ref="HV1145:HW1145"/>
    <mergeCell ref="HV1146:HW1146"/>
    <mergeCell ref="HV1147:HW1147"/>
    <mergeCell ref="HV1148:HW1148"/>
    <mergeCell ref="HV1149:HW1149"/>
    <mergeCell ref="HV1150:HW1150"/>
    <mergeCell ref="HV1151:HW1151"/>
    <mergeCell ref="HV1152:HW1152"/>
    <mergeCell ref="HV1153:HW1153"/>
    <mergeCell ref="HV1154:HW1154"/>
    <mergeCell ref="HV1155:HW1155"/>
    <mergeCell ref="HV1156:HW1156"/>
    <mergeCell ref="HV1157:HW1157"/>
    <mergeCell ref="HV1158:HW1158"/>
    <mergeCell ref="HV1159:HW1159"/>
    <mergeCell ref="HV1160:HW1160"/>
    <mergeCell ref="HV1161:HW1161"/>
    <mergeCell ref="HV1162:HW1162"/>
    <mergeCell ref="HV1163:HW1163"/>
    <mergeCell ref="HV1164:HW1164"/>
    <mergeCell ref="HV1165:HW1165"/>
    <mergeCell ref="HV1166:HW1166"/>
    <mergeCell ref="HV1167:HW1167"/>
    <mergeCell ref="HV1168:HW1168"/>
    <mergeCell ref="HV1169:HW1169"/>
    <mergeCell ref="HV1170:HW1170"/>
    <mergeCell ref="HV1171:HW1171"/>
    <mergeCell ref="HV1172:HW1172"/>
    <mergeCell ref="HV1173:HW1173"/>
    <mergeCell ref="HV1174:HW1174"/>
    <mergeCell ref="HV1175:HW1175"/>
    <mergeCell ref="HV1176:HW1176"/>
    <mergeCell ref="HV1177:HW1177"/>
    <mergeCell ref="HV1178:HW1178"/>
    <mergeCell ref="HV1179:HW1179"/>
    <mergeCell ref="HV1180:HW1180"/>
    <mergeCell ref="HV1181:HW1181"/>
    <mergeCell ref="HV1182:HW1182"/>
    <mergeCell ref="HV1183:HW1183"/>
    <mergeCell ref="HV1184:HW1184"/>
    <mergeCell ref="HV1185:HW1185"/>
    <mergeCell ref="HV1186:HW1186"/>
    <mergeCell ref="HV1187:HW1187"/>
    <mergeCell ref="HV1188:HW1188"/>
    <mergeCell ref="HV1189:HW1189"/>
    <mergeCell ref="HV1190:HW1190"/>
    <mergeCell ref="HV1191:HW1191"/>
    <mergeCell ref="HV1192:HW1192"/>
    <mergeCell ref="HV1193:HW1193"/>
    <mergeCell ref="HV1194:HW1194"/>
    <mergeCell ref="HV1195:HW1195"/>
    <mergeCell ref="HV1196:HW1196"/>
    <mergeCell ref="HV1197:HW1197"/>
    <mergeCell ref="HV1198:HW1198"/>
    <mergeCell ref="HV1199:HW1199"/>
    <mergeCell ref="HV1200:HW1200"/>
    <mergeCell ref="HV1201:HW1201"/>
    <mergeCell ref="HV1202:HW1202"/>
    <mergeCell ref="HV1203:HW1203"/>
    <mergeCell ref="HV1204:HW1204"/>
    <mergeCell ref="HV1205:HW1205"/>
    <mergeCell ref="HV1206:HW1206"/>
    <mergeCell ref="HV1207:HW1207"/>
    <mergeCell ref="HV1208:HW1208"/>
    <mergeCell ref="HV1209:HW1209"/>
    <mergeCell ref="HV1210:HW1210"/>
    <mergeCell ref="HV1211:HW1211"/>
    <mergeCell ref="HV1212:HW1212"/>
    <mergeCell ref="HV1213:HW1213"/>
    <mergeCell ref="HV1214:HW1214"/>
    <mergeCell ref="HV1215:HW1215"/>
    <mergeCell ref="HV1216:HW1216"/>
    <mergeCell ref="HV1217:HW1217"/>
    <mergeCell ref="HV1218:HW1218"/>
    <mergeCell ref="HV1219:HW1219"/>
    <mergeCell ref="HV1220:HW1220"/>
    <mergeCell ref="HV1221:HW1221"/>
    <mergeCell ref="HV1222:HW1222"/>
    <mergeCell ref="HV1223:HW1223"/>
    <mergeCell ref="HV1224:HW1224"/>
    <mergeCell ref="HV1225:HW1225"/>
    <mergeCell ref="HV1226:HW1226"/>
    <mergeCell ref="HV1227:HW1227"/>
    <mergeCell ref="HV1228:HW1228"/>
    <mergeCell ref="HV1229:HW1229"/>
    <mergeCell ref="HV1230:HW1230"/>
    <mergeCell ref="HV1231:HW1231"/>
    <mergeCell ref="HV1232:HW1232"/>
    <mergeCell ref="HV1233:HW1233"/>
    <mergeCell ref="HV1234:HW1234"/>
    <mergeCell ref="HV1235:HW1235"/>
    <mergeCell ref="HV1236:HW1236"/>
    <mergeCell ref="HV1237:HW1237"/>
    <mergeCell ref="HV1238:HW1238"/>
    <mergeCell ref="HV1239:HW1239"/>
    <mergeCell ref="HV1240:HW1240"/>
    <mergeCell ref="HV1241:HW1241"/>
    <mergeCell ref="HV1242:HW1242"/>
    <mergeCell ref="HV1243:HW1243"/>
    <mergeCell ref="HV1244:HW1244"/>
    <mergeCell ref="HV1245:HW1245"/>
    <mergeCell ref="HV1246:HW1246"/>
    <mergeCell ref="HV1247:HW1247"/>
    <mergeCell ref="HV1248:HW1248"/>
    <mergeCell ref="HV1249:HW1249"/>
    <mergeCell ref="HV1250:HW1250"/>
    <mergeCell ref="HV1251:HW1251"/>
    <mergeCell ref="HV1252:HW1252"/>
    <mergeCell ref="HV1253:HW1253"/>
    <mergeCell ref="HV1254:HW1254"/>
    <mergeCell ref="HV1255:HW1255"/>
    <mergeCell ref="HV1256:HW1256"/>
    <mergeCell ref="HV1257:HW1257"/>
    <mergeCell ref="HV1258:HW1258"/>
    <mergeCell ref="HV1259:HW1259"/>
    <mergeCell ref="HV1260:HW1260"/>
    <mergeCell ref="HV1261:HW1261"/>
    <mergeCell ref="HV1262:HW1262"/>
    <mergeCell ref="HV1263:HW1263"/>
    <mergeCell ref="HV1264:HW1264"/>
    <mergeCell ref="HV1265:HW1265"/>
    <mergeCell ref="HV1266:HW1266"/>
    <mergeCell ref="HV1267:HW1267"/>
    <mergeCell ref="HV1268:HW1268"/>
    <mergeCell ref="HV1269:HW1269"/>
    <mergeCell ref="HV1270:HW1270"/>
    <mergeCell ref="HV1271:HW1271"/>
    <mergeCell ref="HV1272:HW1272"/>
    <mergeCell ref="HV1273:HW1273"/>
    <mergeCell ref="HV1274:HW1274"/>
    <mergeCell ref="HV1275:HW1275"/>
    <mergeCell ref="HV1276:HW1276"/>
    <mergeCell ref="HV1277:HW1277"/>
    <mergeCell ref="HV1278:HW1278"/>
    <mergeCell ref="HV1279:HW1279"/>
    <mergeCell ref="HV1280:HW1280"/>
    <mergeCell ref="HV1281:HW1281"/>
    <mergeCell ref="HV1282:HW1282"/>
    <mergeCell ref="HV1283:HW1283"/>
    <mergeCell ref="HV1284:HW1284"/>
    <mergeCell ref="HV1285:HW1285"/>
    <mergeCell ref="HV1286:HW1286"/>
    <mergeCell ref="HV1287:HW1287"/>
    <mergeCell ref="HV1288:HW1288"/>
    <mergeCell ref="HV1289:HW1289"/>
    <mergeCell ref="HV1290:HW1290"/>
    <mergeCell ref="HV1291:HW1291"/>
    <mergeCell ref="HV1292:HW1292"/>
    <mergeCell ref="HV1293:HW1293"/>
    <mergeCell ref="HV1294:HW1294"/>
    <mergeCell ref="HV1295:HW1295"/>
    <mergeCell ref="HV1296:HW1296"/>
    <mergeCell ref="HV1297:HW1297"/>
    <mergeCell ref="HV1298:HW1298"/>
    <mergeCell ref="HV1299:HW1299"/>
    <mergeCell ref="HV1300:HW1300"/>
    <mergeCell ref="HV1301:HW1301"/>
    <mergeCell ref="HV1302:HW1302"/>
    <mergeCell ref="HV1303:HW1303"/>
    <mergeCell ref="HV1304:HW1304"/>
    <mergeCell ref="HV1305:HW1305"/>
    <mergeCell ref="HV1306:HW1306"/>
    <mergeCell ref="HV1307:HW1307"/>
    <mergeCell ref="HV1308:HW1308"/>
    <mergeCell ref="HV1309:HW1309"/>
    <mergeCell ref="HV1310:HW1310"/>
    <mergeCell ref="HV1311:HW1311"/>
    <mergeCell ref="HV1312:HW1312"/>
    <mergeCell ref="HV1313:HW1313"/>
    <mergeCell ref="HV1314:HW1314"/>
    <mergeCell ref="HV1315:HW1315"/>
    <mergeCell ref="HV1316:HW1316"/>
    <mergeCell ref="HV1317:HW1317"/>
    <mergeCell ref="HV1318:HW1318"/>
    <mergeCell ref="HV1319:HW1319"/>
    <mergeCell ref="HV1320:HW1320"/>
    <mergeCell ref="HV1321:HW1321"/>
    <mergeCell ref="HV1322:HW1322"/>
    <mergeCell ref="HV1323:HW1323"/>
    <mergeCell ref="HV1324:HW1324"/>
    <mergeCell ref="HV1325:HW1325"/>
    <mergeCell ref="HV1326:HW1326"/>
    <mergeCell ref="HV1327:HW1327"/>
    <mergeCell ref="HV1328:HW1328"/>
    <mergeCell ref="HV1329:HW1329"/>
    <mergeCell ref="HV1330:HW1330"/>
    <mergeCell ref="HV1331:HW1331"/>
    <mergeCell ref="HV1332:HW1332"/>
    <mergeCell ref="HV1333:HW1333"/>
    <mergeCell ref="HV1334:HW1334"/>
    <mergeCell ref="HV1335:HW1335"/>
    <mergeCell ref="HV1336:HW1336"/>
    <mergeCell ref="HV1337:HW1337"/>
    <mergeCell ref="HV1338:HW1338"/>
    <mergeCell ref="HV1339:HW1339"/>
    <mergeCell ref="HV1340:HW1340"/>
    <mergeCell ref="HV1341:HW1341"/>
    <mergeCell ref="HV1342:HW1342"/>
    <mergeCell ref="HV1343:HW1343"/>
    <mergeCell ref="HV1344:HW1344"/>
    <mergeCell ref="HV1345:HW1345"/>
    <mergeCell ref="HV1346:HW1346"/>
    <mergeCell ref="HV1347:HW1347"/>
    <mergeCell ref="HV1348:HW1348"/>
    <mergeCell ref="HV1349:HW1349"/>
    <mergeCell ref="HV1350:HW1350"/>
    <mergeCell ref="HV1351:HW1351"/>
    <mergeCell ref="HV1352:HW1352"/>
    <mergeCell ref="HV1353:HW1353"/>
    <mergeCell ref="HV1354:HW1354"/>
    <mergeCell ref="HV1355:HW1355"/>
    <mergeCell ref="HV1356:HW1356"/>
    <mergeCell ref="HV1357:HW1357"/>
    <mergeCell ref="HV1358:HW1358"/>
    <mergeCell ref="HV1359:HW1359"/>
    <mergeCell ref="HV1360:HW1360"/>
    <mergeCell ref="HV1361:HW1361"/>
    <mergeCell ref="HV1362:HW1362"/>
    <mergeCell ref="HV1363:HW1363"/>
    <mergeCell ref="HV1364:HW1364"/>
    <mergeCell ref="HV1365:HW1365"/>
    <mergeCell ref="HV1366:HW1366"/>
    <mergeCell ref="HV1367:HW1367"/>
    <mergeCell ref="HV1368:HW1368"/>
    <mergeCell ref="HV1369:HW1369"/>
    <mergeCell ref="HV1370:HW1370"/>
    <mergeCell ref="HV1371:HW1371"/>
    <mergeCell ref="HV1372:HW1372"/>
    <mergeCell ref="HV1373:HW1373"/>
    <mergeCell ref="HV1374:HW1374"/>
    <mergeCell ref="HV1375:HW1375"/>
    <mergeCell ref="HV1376:HW1376"/>
    <mergeCell ref="HV1377:HW1377"/>
    <mergeCell ref="HV1378:HW1378"/>
    <mergeCell ref="HV1379:HW1379"/>
    <mergeCell ref="HV1380:HW1380"/>
    <mergeCell ref="HV1381:HW1381"/>
    <mergeCell ref="HV1382:HW1382"/>
    <mergeCell ref="HV1383:HW1383"/>
    <mergeCell ref="HV1384:HW1384"/>
    <mergeCell ref="HV1385:HW1385"/>
    <mergeCell ref="HV1386:HW1386"/>
    <mergeCell ref="HV1387:HW1387"/>
    <mergeCell ref="HV1388:HW1388"/>
    <mergeCell ref="HV1389:HW1389"/>
    <mergeCell ref="HV1390:HW1390"/>
    <mergeCell ref="HV1391:HW1391"/>
    <mergeCell ref="HV1392:HW1392"/>
    <mergeCell ref="HV1393:HW1393"/>
    <mergeCell ref="HV1394:HW1394"/>
    <mergeCell ref="HV1395:HW1395"/>
    <mergeCell ref="HV1396:HW1396"/>
    <mergeCell ref="HV1397:HW1397"/>
    <mergeCell ref="HV1398:HW1398"/>
    <mergeCell ref="HV1399:HW1399"/>
    <mergeCell ref="HV1400:HW1400"/>
    <mergeCell ref="HV1401:HW1401"/>
    <mergeCell ref="HV1402:HW1402"/>
    <mergeCell ref="HV1403:HW1403"/>
    <mergeCell ref="HV1404:HW1404"/>
    <mergeCell ref="HV1405:HW1405"/>
    <mergeCell ref="HV1406:HW1406"/>
    <mergeCell ref="HV1407:HW1407"/>
    <mergeCell ref="HV1408:HW1408"/>
    <mergeCell ref="HV1409:HW1409"/>
    <mergeCell ref="HV1410:HW1410"/>
    <mergeCell ref="HV1411:HW1411"/>
    <mergeCell ref="HV1412:HW1412"/>
    <mergeCell ref="HV1413:HW1413"/>
    <mergeCell ref="HV1414:HW1414"/>
    <mergeCell ref="HV1415:HW1415"/>
    <mergeCell ref="HV1416:HW1416"/>
    <mergeCell ref="HV1417:HW1417"/>
    <mergeCell ref="HV1418:HW1418"/>
    <mergeCell ref="HV1419:HW1419"/>
    <mergeCell ref="HV1420:HW1420"/>
    <mergeCell ref="HV1421:HW1421"/>
    <mergeCell ref="HV1422:HW1422"/>
    <mergeCell ref="HV1423:HW1423"/>
    <mergeCell ref="HV1424:HW1424"/>
    <mergeCell ref="HV1425:HW1425"/>
    <mergeCell ref="HV1426:HW1426"/>
    <mergeCell ref="HV1427:HW1427"/>
    <mergeCell ref="HV1428:HW1428"/>
    <mergeCell ref="HV1429:HW1429"/>
    <mergeCell ref="HV1430:HW1430"/>
    <mergeCell ref="HV1431:HW1431"/>
    <mergeCell ref="HV1432:HW1432"/>
    <mergeCell ref="HV1433:HW1433"/>
    <mergeCell ref="HV1434:HW1434"/>
    <mergeCell ref="HV1435:HW1435"/>
    <mergeCell ref="HV1436:HW1436"/>
    <mergeCell ref="HV1437:HW1437"/>
    <mergeCell ref="HV1438:HW1438"/>
    <mergeCell ref="HV1439:HW1439"/>
    <mergeCell ref="HV1440:HW1440"/>
    <mergeCell ref="HV1441:HW1441"/>
    <mergeCell ref="HV1442:HW1442"/>
    <mergeCell ref="HV1443:HW1443"/>
    <mergeCell ref="HV1444:HW1444"/>
    <mergeCell ref="HV1445:HW1445"/>
    <mergeCell ref="HV1446:HW1446"/>
    <mergeCell ref="HV1447:HW1447"/>
    <mergeCell ref="HV1448:HW1448"/>
    <mergeCell ref="HV1449:HW1449"/>
    <mergeCell ref="HV1450:HW1450"/>
    <mergeCell ref="HV1451:HW1451"/>
    <mergeCell ref="HV1452:HW1452"/>
    <mergeCell ref="HV1453:HW1453"/>
    <mergeCell ref="HV1454:HW1454"/>
    <mergeCell ref="HV1455:HW1455"/>
    <mergeCell ref="HV1456:HW1456"/>
    <mergeCell ref="HV1490:HW1490"/>
    <mergeCell ref="HV1491:HW1491"/>
    <mergeCell ref="HV1492:HW1492"/>
    <mergeCell ref="HV1493:HW1493"/>
    <mergeCell ref="HV1494:HW1494"/>
    <mergeCell ref="HV1495:HW1495"/>
    <mergeCell ref="HV1496:HW1496"/>
    <mergeCell ref="HV1497:HW1497"/>
    <mergeCell ref="HV1498:HW1498"/>
    <mergeCell ref="HV1499:HW1499"/>
    <mergeCell ref="HV1500:HW1500"/>
    <mergeCell ref="HV1457:HW1457"/>
    <mergeCell ref="HV1458:HW1458"/>
    <mergeCell ref="HV1459:HW1459"/>
    <mergeCell ref="HV1460:HW1460"/>
    <mergeCell ref="HV1461:HW1461"/>
    <mergeCell ref="HV1462:HW1462"/>
    <mergeCell ref="HV1463:HW1463"/>
    <mergeCell ref="HV1464:HW1464"/>
    <mergeCell ref="HV1465:HW1465"/>
    <mergeCell ref="HV1466:HW1466"/>
    <mergeCell ref="HV1467:HW1467"/>
    <mergeCell ref="HV1468:HW1468"/>
    <mergeCell ref="HV1469:HW1469"/>
    <mergeCell ref="HV1470:HW1470"/>
    <mergeCell ref="HV1471:HW1471"/>
    <mergeCell ref="HV1472:HW1472"/>
    <mergeCell ref="HV1473:HW1473"/>
    <mergeCell ref="HV1474:HW1474"/>
    <mergeCell ref="HV1475:HW1475"/>
    <mergeCell ref="HV1476:HW1476"/>
    <mergeCell ref="HV1477:HW1477"/>
    <mergeCell ref="HV1478:HW1478"/>
    <mergeCell ref="HV1479:HW1479"/>
    <mergeCell ref="HV1480:HW1480"/>
    <mergeCell ref="HV1481:HW1481"/>
    <mergeCell ref="HV1482:HW1482"/>
    <mergeCell ref="HV1483:HW1483"/>
    <mergeCell ref="HV1484:HW1484"/>
    <mergeCell ref="HV1485:HW1485"/>
    <mergeCell ref="HV1486:HW1486"/>
    <mergeCell ref="HV1487:HW1487"/>
    <mergeCell ref="HV1488:HW1488"/>
    <mergeCell ref="HV1489:HW1489"/>
    <mergeCell ref="ED401:EE401"/>
    <mergeCell ref="EG401:EH401"/>
    <mergeCell ref="ED402:EE402"/>
    <mergeCell ref="EG402:EH402"/>
    <mergeCell ref="ED403:EE403"/>
    <mergeCell ref="EG403:EH403"/>
    <mergeCell ref="ED404:EE404"/>
    <mergeCell ref="EG404:EH404"/>
    <mergeCell ref="ED405:EE405"/>
    <mergeCell ref="EG405:EH405"/>
    <mergeCell ref="ED406:EE406"/>
    <mergeCell ref="EG406:EH406"/>
    <mergeCell ref="ED407:EE407"/>
    <mergeCell ref="EG407:EH407"/>
    <mergeCell ref="ED408:EE408"/>
    <mergeCell ref="EG408:EH408"/>
    <mergeCell ref="ED409:EE409"/>
    <mergeCell ref="EG409:EH409"/>
    <mergeCell ref="ED410:EE410"/>
    <mergeCell ref="EG410:EH410"/>
    <mergeCell ref="ED411:EE411"/>
    <mergeCell ref="EG411:EH411"/>
    <mergeCell ref="ED412:EE412"/>
    <mergeCell ref="EG412:EH412"/>
    <mergeCell ref="ED413:EE413"/>
    <mergeCell ref="EG413:EH413"/>
    <mergeCell ref="ED414:EE414"/>
    <mergeCell ref="EG414:EH414"/>
    <mergeCell ref="ED415:EE415"/>
    <mergeCell ref="EG415:EH415"/>
    <mergeCell ref="ED416:EE416"/>
    <mergeCell ref="EG416:EH416"/>
    <mergeCell ref="ED417:EE417"/>
    <mergeCell ref="EG417:EH417"/>
    <mergeCell ref="ED435:EE435"/>
    <mergeCell ref="EG435:EH435"/>
    <mergeCell ref="ED436:EE436"/>
    <mergeCell ref="EG436:EH436"/>
    <mergeCell ref="ED437:EE437"/>
    <mergeCell ref="EG437:EH437"/>
    <mergeCell ref="ED438:EE438"/>
    <mergeCell ref="EG438:EH438"/>
    <mergeCell ref="ED439:EE439"/>
    <mergeCell ref="EG439:EH439"/>
    <mergeCell ref="ED440:EE440"/>
    <mergeCell ref="EG440:EH440"/>
    <mergeCell ref="ED441:EE441"/>
    <mergeCell ref="EG441:EH441"/>
    <mergeCell ref="ED418:EE418"/>
    <mergeCell ref="EG418:EH418"/>
    <mergeCell ref="ED419:EE419"/>
    <mergeCell ref="EG419:EH419"/>
    <mergeCell ref="ED420:EE420"/>
    <mergeCell ref="EG420:EH420"/>
    <mergeCell ref="ED421:EE421"/>
    <mergeCell ref="EG421:EH421"/>
    <mergeCell ref="ED422:EE422"/>
    <mergeCell ref="EG422:EH422"/>
    <mergeCell ref="ED423:EE423"/>
    <mergeCell ref="EG423:EH423"/>
    <mergeCell ref="ED424:EE424"/>
    <mergeCell ref="EG424:EH424"/>
    <mergeCell ref="ED425:EE425"/>
    <mergeCell ref="EG425:EH425"/>
    <mergeCell ref="ED426:EE426"/>
    <mergeCell ref="EG426:EH426"/>
    <mergeCell ref="ED427:EE427"/>
    <mergeCell ref="EG427:EH427"/>
    <mergeCell ref="ED428:EE428"/>
    <mergeCell ref="EG428:EH428"/>
    <mergeCell ref="ED429:EE429"/>
    <mergeCell ref="EG429:EH429"/>
    <mergeCell ref="ED430:EE430"/>
    <mergeCell ref="EG430:EH430"/>
    <mergeCell ref="ED431:EE431"/>
    <mergeCell ref="EG431:EH431"/>
    <mergeCell ref="ED432:EE432"/>
    <mergeCell ref="EG432:EH432"/>
    <mergeCell ref="ED433:EE433"/>
    <mergeCell ref="EG433:EH433"/>
    <mergeCell ref="ED434:EE434"/>
    <mergeCell ref="EG434:EH434"/>
  </mergeCells>
  <conditionalFormatting sqref="CP5 CR4">
    <cfRule type="cellIs" dxfId="898" priority="1163" operator="lessThan">
      <formula>0</formula>
    </cfRule>
    <cfRule type="cellIs" dxfId="897" priority="1164" operator="greaterThan">
      <formula>0</formula>
    </cfRule>
  </conditionalFormatting>
  <conditionalFormatting sqref="GE1">
    <cfRule type="containsText" dxfId="896" priority="1162" operator="containsText" text="COMPRA">
      <formula>NOT(ISERROR(SEARCH("COMPRA",GE1)))</formula>
    </cfRule>
  </conditionalFormatting>
  <conditionalFormatting sqref="GK1">
    <cfRule type="containsText" dxfId="895" priority="1161" operator="containsText" text="VEN">
      <formula>NOT(ISERROR(SEARCH("VEN",GK1)))</formula>
    </cfRule>
  </conditionalFormatting>
  <conditionalFormatting sqref="HH1 HC1 GS1">
    <cfRule type="containsText" dxfId="894" priority="1160" operator="containsText" text="OPERAR MARIPOSA">
      <formula>NOT(ISERROR(SEARCH("OPERAR MARIPOSA",GS1)))</formula>
    </cfRule>
  </conditionalFormatting>
  <conditionalFormatting sqref="Y7:Y47">
    <cfRule type="colorScale" priority="1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47">
    <cfRule type="colorScale" priority="1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7:AB47">
    <cfRule type="colorScale" priority="1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7:BK47 BB7:BB47">
    <cfRule type="cellIs" dxfId="893" priority="1144" operator="greaterThan">
      <formula>0</formula>
    </cfRule>
    <cfRule type="cellIs" dxfId="892" priority="1145" operator="lessThan">
      <formula>0</formula>
    </cfRule>
    <cfRule type="cellIs" dxfId="891" priority="1146" operator="equal">
      <formula>0</formula>
    </cfRule>
  </conditionalFormatting>
  <conditionalFormatting sqref="AQ6 AT6 AK6 AH6">
    <cfRule type="cellIs" dxfId="890" priority="1141" operator="equal">
      <formula>0</formula>
    </cfRule>
    <cfRule type="cellIs" dxfId="889" priority="1142" operator="lessThan">
      <formula>0</formula>
    </cfRule>
    <cfRule type="cellIs" dxfId="888" priority="1143" operator="greaterThan">
      <formula>0</formula>
    </cfRule>
  </conditionalFormatting>
  <conditionalFormatting sqref="AN7:AN48 AH7:AH48 AK7:AK48 AT7:AT48 AQ7:AQ48 EG355:EG396 ED355:ED396 EG310:EG351 ED310:ED351 EG53:EG94 ED53:ED94 EG98:EG139 ED98:ED139 ED402:ED441 EP310:EP311 EP519:EP523 EP527:EP529 EP542:EP545 EP566 EP569 EP509:EP511 EP658:EP1507 EP369:EP380 EP504:EP506 EP580:EP584 EP586:EP591 EP593 EP596:EP602 EP610:EP612 EP618:EP620 EP625:EP646 EP654:EP655 EP352 EP354:EP367 EP382:EP386 EP389:EP392 EP394:EP420 EP423:EP429 EP432:EP443 EP447:EP466 EP474:EP485 EP491:EP495 EP497:EP501 EP531 EP313:EP349">
    <cfRule type="cellIs" dxfId="887" priority="1136" operator="greaterThan">
      <formula>0</formula>
    </cfRule>
    <cfRule type="cellIs" dxfId="886" priority="1137" operator="lessThan">
      <formula>0</formula>
    </cfRule>
  </conditionalFormatting>
  <conditionalFormatting sqref="AZ1 AT1:AU1">
    <cfRule type="cellIs" dxfId="885" priority="1131" operator="greaterThan">
      <formula>0</formula>
    </cfRule>
    <cfRule type="cellIs" dxfId="884" priority="1132" operator="lessThan">
      <formula>0</formula>
    </cfRule>
    <cfRule type="cellIs" dxfId="883" priority="1133" operator="equal">
      <formula>0</formula>
    </cfRule>
  </conditionalFormatting>
  <conditionalFormatting sqref="CV5:DJ6">
    <cfRule type="containsText" dxfId="882" priority="1130" operator="containsText" text="OPERAR">
      <formula>NOT(ISERROR(SEARCH("OPERAR",CV5)))</formula>
    </cfRule>
  </conditionalFormatting>
  <conditionalFormatting sqref="DN5:DO5 DT5:DU5 EC5:ED5 EI5:EJ5 DM7:DO48 DS7:DU48 EB7:ED48 EH7:EJ48 DK7:DK48 DQ7:DQ48 DZ7:DZ48 EF7:EF48">
    <cfRule type="cellIs" dxfId="881" priority="1127" operator="greaterThan">
      <formula>0</formula>
    </cfRule>
    <cfRule type="cellIs" dxfId="880" priority="1128" operator="lessThan">
      <formula>0</formula>
    </cfRule>
  </conditionalFormatting>
  <conditionalFormatting sqref="HN1:HX1">
    <cfRule type="containsText" dxfId="879" priority="1126" operator="containsText" text="OPERAR">
      <formula>NOT(ISERROR(SEARCH("OPERAR",HN1)))</formula>
    </cfRule>
  </conditionalFormatting>
  <conditionalFormatting sqref="EO7:EQ47">
    <cfRule type="dataBar" priority="1125">
      <dataBar>
        <cfvo type="min"/>
        <cfvo type="max"/>
        <color theme="3" tint="-0.499984740745262"/>
      </dataBar>
    </cfRule>
  </conditionalFormatting>
  <conditionalFormatting sqref="ER7:ET47">
    <cfRule type="dataBar" priority="1124">
      <dataBar>
        <cfvo type="min"/>
        <cfvo type="max"/>
        <color rgb="FF1A4629"/>
      </dataBar>
    </cfRule>
  </conditionalFormatting>
  <conditionalFormatting sqref="EU7:EU47">
    <cfRule type="dataBar" priority="1123">
      <dataBar>
        <cfvo type="min"/>
        <cfvo type="max"/>
        <color theme="5" tint="-0.249977111117893"/>
      </dataBar>
    </cfRule>
  </conditionalFormatting>
  <conditionalFormatting sqref="FJ7:FL47">
    <cfRule type="dataBar" priority="1122">
      <dataBar>
        <cfvo type="min"/>
        <cfvo type="max"/>
        <color theme="3" tint="-0.499984740745262"/>
      </dataBar>
    </cfRule>
  </conditionalFormatting>
  <conditionalFormatting sqref="FM7:FO47">
    <cfRule type="dataBar" priority="1121">
      <dataBar>
        <cfvo type="min"/>
        <cfvo type="max"/>
        <color rgb="FF1A4629"/>
      </dataBar>
    </cfRule>
  </conditionalFormatting>
  <conditionalFormatting sqref="GF7:GF47">
    <cfRule type="top10" dxfId="878" priority="1120" bottom="1" rank="3"/>
  </conditionalFormatting>
  <conditionalFormatting sqref="GL7:GL47">
    <cfRule type="top10" dxfId="877" priority="1119" rank="3"/>
  </conditionalFormatting>
  <conditionalFormatting sqref="GT7:HF47 HH7:HK47">
    <cfRule type="cellIs" dxfId="876" priority="1094" operator="equal">
      <formula>""</formula>
    </cfRule>
    <cfRule type="cellIs" dxfId="875" priority="1095" operator="greaterThanOrEqual">
      <formula>0</formula>
    </cfRule>
  </conditionalFormatting>
  <conditionalFormatting sqref="GT7:GT47">
    <cfRule type="top10" dxfId="874" priority="1117" rank="3"/>
  </conditionalFormatting>
  <conditionalFormatting sqref="BU7:BV47">
    <cfRule type="dataBar" priority="1115">
      <dataBar>
        <cfvo type="min"/>
        <cfvo type="max"/>
        <color theme="3" tint="-0.499984740745262"/>
      </dataBar>
    </cfRule>
  </conditionalFormatting>
  <conditionalFormatting sqref="CL7:CL47">
    <cfRule type="dataBar" priority="1114">
      <dataBar>
        <cfvo type="min"/>
        <cfvo type="max"/>
        <color theme="5" tint="-0.249977111117893"/>
      </dataBar>
    </cfRule>
  </conditionalFormatting>
  <conditionalFormatting sqref="CB5:CF5">
    <cfRule type="containsText" dxfId="873" priority="1112" operator="containsText" text="PUT">
      <formula>NOT(ISERROR(SEARCH("PUT",CB5)))</formula>
    </cfRule>
    <cfRule type="containsText" dxfId="872" priority="1113" operator="containsText" text="CALL">
      <formula>NOT(ISERROR(SEARCH("CALL",CB5)))</formula>
    </cfRule>
  </conditionalFormatting>
  <conditionalFormatting sqref="BS7:BS47">
    <cfRule type="dataBar" priority="1111">
      <dataBar>
        <cfvo type="min"/>
        <cfvo type="max"/>
        <color rgb="FF008AEF"/>
      </dataBar>
    </cfRule>
  </conditionalFormatting>
  <conditionalFormatting sqref="FI55:FI56 EO61:EO62 GR7:GR47 EO55:EO56 EO67:EO68 EO73:EO74 EO79:EO80 EO91:EO92 EO85:EO86 EO97:EO98 EO103:EO104 EO109:EO110 EO121:EO122 EO115:EO116 EO127:EO128 EO133:EO134 EO139:EO140 EO151:EO152 EO145:EO146 EO157:EO158 EO163:EO164 EO169:EO170 EO181:EO182 EO175:EO176 EO187:EO188 EO193:EO194 EO199:EO200 EO211:EO212 EO205:EO206 EO217:EO218 EO223:EO224 EO229:EO230 EO241:EO242 EO235:EO236 EO247:EO248 EO253:EO254 EO259:EO260 EO271:EO272 EO265:EO266 EO277:EO278 EO283:EO284 EO289:EO290 EO295:EO296 EO301:EO302 FI61:FI62 FI67:FI68 FI73:FI74 FI79:FI80 FI85:FI86 FI91:FI92 FI97:FI98 FI103:FI104 FI109:FI110 FI115:FI116 FI121:FI122 FI127:FI128 FI133:FI134 FI139:FI140 FI145:FI146 FI151:FI152 FI157:FI158 FI163:FI164 FI169:FI170 FI175:FI176 FI181:FI182 FI187:FI188 FI193:FI194 FI199:FI200 FI205:FI206 FI211:FI212 FI217:FI218 FI223:FI224 FI229:FI230 FI235:FI236 FI241:FI242 FI247:FI248 FI253:FI254 FI259:FI260 FI265:FI266 FI271:FI272 FI277:FI278 FI283:FI284 FI289:FI290 FI295:FI296 FI301:FI302">
    <cfRule type="cellIs" dxfId="871" priority="1108" operator="greaterThan">
      <formula>0</formula>
    </cfRule>
    <cfRule type="cellIs" dxfId="870" priority="1109" operator="lessThan">
      <formula>0</formula>
    </cfRule>
    <cfRule type="cellIs" dxfId="869" priority="1110" operator="equal">
      <formula>0</formula>
    </cfRule>
  </conditionalFormatting>
  <conditionalFormatting sqref="GU7:GU47">
    <cfRule type="top10" dxfId="868" priority="1116" rank="3"/>
  </conditionalFormatting>
  <conditionalFormatting sqref="GV7:GV47">
    <cfRule type="top10" dxfId="867" priority="1107" rank="3"/>
  </conditionalFormatting>
  <conditionalFormatting sqref="GW7:GW47">
    <cfRule type="top10" dxfId="866" priority="1106" rank="3"/>
  </conditionalFormatting>
  <conditionalFormatting sqref="GX7:GX47">
    <cfRule type="top10" dxfId="865" priority="1105" rank="3"/>
  </conditionalFormatting>
  <conditionalFormatting sqref="GY7:GY47">
    <cfRule type="top10" dxfId="864" priority="1104" rank="3"/>
  </conditionalFormatting>
  <conditionalFormatting sqref="GZ7:GZ47">
    <cfRule type="top10" dxfId="863" priority="1103" rank="3"/>
  </conditionalFormatting>
  <conditionalFormatting sqref="HA7:HA47">
    <cfRule type="top10" dxfId="862" priority="1102" rank="3"/>
  </conditionalFormatting>
  <conditionalFormatting sqref="HB7:HB47">
    <cfRule type="top10" dxfId="861" priority="1101" rank="3"/>
  </conditionalFormatting>
  <conditionalFormatting sqref="HC7:HC47">
    <cfRule type="top10" dxfId="860" priority="1100" rank="3"/>
  </conditionalFormatting>
  <conditionalFormatting sqref="HD7:HD47">
    <cfRule type="top10" dxfId="859" priority="1099" rank="3"/>
  </conditionalFormatting>
  <conditionalFormatting sqref="HE7:HE47">
    <cfRule type="top10" dxfId="858" priority="1098" rank="3"/>
  </conditionalFormatting>
  <conditionalFormatting sqref="HF7:HF47">
    <cfRule type="top10" dxfId="857" priority="1097" rank="3"/>
  </conditionalFormatting>
  <conditionalFormatting sqref="HH7:HH47">
    <cfRule type="top10" dxfId="856" priority="1096" rank="3"/>
  </conditionalFormatting>
  <conditionalFormatting sqref="HI7:HI47">
    <cfRule type="top10" dxfId="855" priority="1118" rank="3"/>
  </conditionalFormatting>
  <conditionalFormatting sqref="FG7:FG47">
    <cfRule type="top10" dxfId="854" priority="1093" bottom="1" rank="3"/>
  </conditionalFormatting>
  <conditionalFormatting sqref="FH7:FH47">
    <cfRule type="top10" dxfId="853" priority="1092" bottom="1" rank="3"/>
  </conditionalFormatting>
  <conditionalFormatting sqref="EU7:EU47">
    <cfRule type="dataBar" priority="1091">
      <dataBar>
        <cfvo type="min"/>
        <cfvo type="max"/>
        <color rgb="FFAC7300"/>
      </dataBar>
    </cfRule>
  </conditionalFormatting>
  <conditionalFormatting sqref="FC7:FC47">
    <cfRule type="top10" dxfId="852" priority="1090" rank="3"/>
  </conditionalFormatting>
  <conditionalFormatting sqref="FB7:FB47">
    <cfRule type="top10" dxfId="851" priority="1089" rank="3"/>
  </conditionalFormatting>
  <conditionalFormatting sqref="FP7:FP47">
    <cfRule type="dataBar" priority="1088">
      <dataBar>
        <cfvo type="min"/>
        <cfvo type="max"/>
        <color rgb="FFAC7300"/>
      </dataBar>
    </cfRule>
  </conditionalFormatting>
  <conditionalFormatting sqref="FW7:FW47">
    <cfRule type="top10" dxfId="850" priority="1087" rank="3"/>
  </conditionalFormatting>
  <conditionalFormatting sqref="FX7:FX47">
    <cfRule type="top10" dxfId="849" priority="1086" rank="3"/>
  </conditionalFormatting>
  <conditionalFormatting sqref="FD7:FD47">
    <cfRule type="cellIs" dxfId="848" priority="1084" operator="lessThan">
      <formula>AZ7</formula>
    </cfRule>
    <cfRule type="cellIs" dxfId="847" priority="1085" operator="greaterThan">
      <formula>AZ7</formula>
    </cfRule>
  </conditionalFormatting>
  <conditionalFormatting sqref="FY7:FY47">
    <cfRule type="cellIs" dxfId="846" priority="1082" operator="lessThan">
      <formula>BI7</formula>
    </cfRule>
    <cfRule type="cellIs" dxfId="845" priority="1083" operator="greaterThan">
      <formula>BI7</formula>
    </cfRule>
  </conditionalFormatting>
  <conditionalFormatting sqref="EG355:EG396 ED355:ED396 EG310:EG351 ED310:ED351 EG53:EG94 ED53:ED94 EG98:EG139 ED98:ED139 ED402:ED441 EP310:EP311 EP519:EP523 EP527:EP529 EP542:EP545 EP566 EP569 EP509:EP511 EP658:EP1507 EP369:EP380 EP504:EP506 EP580:EP584 EP586:EP591 EP593 EP596:EP602 EP610:EP612 EP618:EP620 EP625:EP646 EP654:EP655 EP352 EP354:EP367 EP382:EP386 EP389:EP392 EP394:EP420 EP423:EP429 EP432:EP443 EP447:EP466 EP474:EP485 EP491:EP495 EP497:EP501 EP531 EP313:EP349">
    <cfRule type="cellIs" dxfId="844" priority="1057" operator="equal">
      <formula>0</formula>
    </cfRule>
  </conditionalFormatting>
  <conditionalFormatting sqref="EO310:EO311 EO519:EO523 EO527:EO529 EO542:EO545 EO566 EO569 EO509:EO511 EO658:EO1507 EO369:EO380 EO504:EO506 EO580:EO584 EO586:EO591 EO593 EO596:EO602 EO610:EO612 EO618:EO620 EO625:EO646 EO654:EO655 EO352 EO354:EO367 EO382:EO386 EO389:EO392 EO394:EO420 EO423:EO429 EO432:EO443 EO447:EO466 EO474:EO485 EO491:EO495 EO497:EO501 EO531 EO313:EO349">
    <cfRule type="containsText" dxfId="843" priority="1048" operator="containsText" text="PUT">
      <formula>NOT(ISERROR(SEARCH("PUT",EO310)))</formula>
    </cfRule>
    <cfRule type="containsText" dxfId="842" priority="1049" operator="containsText" text="CALL">
      <formula>NOT(ISERROR(SEARCH("CALL",EO310)))</formula>
    </cfRule>
  </conditionalFormatting>
  <conditionalFormatting sqref="Y48">
    <cfRule type="colorScale" priority="9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48">
    <cfRule type="colorScale" priority="9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48">
    <cfRule type="colorScale" priority="9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1">
    <cfRule type="expression" dxfId="841" priority="943">
      <formula>$Y$49 = TRUE</formula>
    </cfRule>
  </conditionalFormatting>
  <conditionalFormatting sqref="AX7:AY47 CD7:CD47 AE7:AG48">
    <cfRule type="cellIs" dxfId="840" priority="1706" operator="lessThan">
      <formula>$AG$1</formula>
    </cfRule>
  </conditionalFormatting>
  <conditionalFormatting sqref="Y7:Y47">
    <cfRule type="expression" dxfId="839" priority="1709">
      <formula>IK7 &lt; $AG$1</formula>
    </cfRule>
  </conditionalFormatting>
  <conditionalFormatting sqref="CP1:CQ4">
    <cfRule type="cellIs" dxfId="838" priority="1711" operator="lessThan">
      <formula>$AG$1</formula>
    </cfRule>
    <cfRule type="cellIs" dxfId="837" priority="1712" operator="greaterThan">
      <formula>$AG$1</formula>
    </cfRule>
  </conditionalFormatting>
  <conditionalFormatting sqref="ET7:ET47">
    <cfRule type="cellIs" dxfId="836" priority="934" operator="lessThan">
      <formula>0</formula>
    </cfRule>
  </conditionalFormatting>
  <conditionalFormatting sqref="AN7:AN48 AH7:AH48 AK7:AK48 AQ7:AR48 AT7:AU48">
    <cfRule type="cellIs" dxfId="835" priority="1138" operator="equal">
      <formula>0</formula>
    </cfRule>
  </conditionalFormatting>
  <conditionalFormatting sqref="HQ7:HQ47">
    <cfRule type="cellIs" dxfId="834" priority="932" operator="equal">
      <formula>""</formula>
    </cfRule>
    <cfRule type="cellIs" dxfId="833" priority="933" operator="greaterThanOrEqual">
      <formula>0</formula>
    </cfRule>
  </conditionalFormatting>
  <conditionalFormatting sqref="HQ7:HQ47">
    <cfRule type="top10" dxfId="832" priority="931" rank="3"/>
  </conditionalFormatting>
  <conditionalFormatting sqref="FD48">
    <cfRule type="cellIs" dxfId="831" priority="926" operator="lessThan">
      <formula>AZ48</formula>
    </cfRule>
    <cfRule type="cellIs" dxfId="830" priority="927" operator="greaterThan">
      <formula>AZ48</formula>
    </cfRule>
  </conditionalFormatting>
  <conditionalFormatting sqref="AF7:AF48">
    <cfRule type="cellIs" dxfId="829" priority="925" operator="lessThan">
      <formula>$AG$1</formula>
    </cfRule>
  </conditionalFormatting>
  <conditionalFormatting sqref="EP512:EP513">
    <cfRule type="cellIs" dxfId="828" priority="923" operator="greaterThan">
      <formula>0</formula>
    </cfRule>
    <cfRule type="cellIs" dxfId="827" priority="924" operator="lessThan">
      <formula>0</formula>
    </cfRule>
  </conditionalFormatting>
  <conditionalFormatting sqref="EP512:EP513">
    <cfRule type="cellIs" dxfId="826" priority="922" operator="equal">
      <formula>0</formula>
    </cfRule>
  </conditionalFormatting>
  <conditionalFormatting sqref="EO512:EO513">
    <cfRule type="containsText" dxfId="825" priority="920" operator="containsText" text="PUT">
      <formula>NOT(ISERROR(SEARCH("PUT",EO512)))</formula>
    </cfRule>
    <cfRule type="containsText" dxfId="824" priority="921" operator="containsText" text="CALL">
      <formula>NOT(ISERROR(SEARCH("CALL",EO512)))</formula>
    </cfRule>
  </conditionalFormatting>
  <conditionalFormatting sqref="EP514:EP515">
    <cfRule type="cellIs" dxfId="823" priority="918" operator="greaterThan">
      <formula>0</formula>
    </cfRule>
    <cfRule type="cellIs" dxfId="822" priority="919" operator="lessThan">
      <formula>0</formula>
    </cfRule>
  </conditionalFormatting>
  <conditionalFormatting sqref="EP514:EP515">
    <cfRule type="cellIs" dxfId="821" priority="917" operator="equal">
      <formula>0</formula>
    </cfRule>
  </conditionalFormatting>
  <conditionalFormatting sqref="EO514:EO515">
    <cfRule type="containsText" dxfId="820" priority="915" operator="containsText" text="PUT">
      <formula>NOT(ISERROR(SEARCH("PUT",EO514)))</formula>
    </cfRule>
    <cfRule type="containsText" dxfId="819" priority="916" operator="containsText" text="CALL">
      <formula>NOT(ISERROR(SEARCH("CALL",EO514)))</formula>
    </cfRule>
  </conditionalFormatting>
  <conditionalFormatting sqref="EP525">
    <cfRule type="cellIs" dxfId="818" priority="903" operator="greaterThan">
      <formula>0</formula>
    </cfRule>
    <cfRule type="cellIs" dxfId="817" priority="904" operator="lessThan">
      <formula>0</formula>
    </cfRule>
  </conditionalFormatting>
  <conditionalFormatting sqref="EP525">
    <cfRule type="cellIs" dxfId="816" priority="902" operator="equal">
      <formula>0</formula>
    </cfRule>
  </conditionalFormatting>
  <conditionalFormatting sqref="EO525">
    <cfRule type="containsText" dxfId="815" priority="900" operator="containsText" text="PUT">
      <formula>NOT(ISERROR(SEARCH("PUT",EO525)))</formula>
    </cfRule>
    <cfRule type="containsText" dxfId="814" priority="901" operator="containsText" text="CALL">
      <formula>NOT(ISERROR(SEARCH("CALL",EO525)))</formula>
    </cfRule>
  </conditionalFormatting>
  <conditionalFormatting sqref="EP526">
    <cfRule type="cellIs" dxfId="813" priority="898" operator="greaterThan">
      <formula>0</formula>
    </cfRule>
    <cfRule type="cellIs" dxfId="812" priority="899" operator="lessThan">
      <formula>0</formula>
    </cfRule>
  </conditionalFormatting>
  <conditionalFormatting sqref="EP526">
    <cfRule type="cellIs" dxfId="811" priority="897" operator="equal">
      <formula>0</formula>
    </cfRule>
  </conditionalFormatting>
  <conditionalFormatting sqref="EO526">
    <cfRule type="containsText" dxfId="810" priority="895" operator="containsText" text="PUT">
      <formula>NOT(ISERROR(SEARCH("PUT",EO526)))</formula>
    </cfRule>
    <cfRule type="containsText" dxfId="809" priority="896" operator="containsText" text="CALL">
      <formula>NOT(ISERROR(SEARCH("CALL",EO526)))</formula>
    </cfRule>
  </conditionalFormatting>
  <conditionalFormatting sqref="EP532">
    <cfRule type="cellIs" dxfId="808" priority="893" operator="greaterThan">
      <formula>0</formula>
    </cfRule>
    <cfRule type="cellIs" dxfId="807" priority="894" operator="lessThan">
      <formula>0</formula>
    </cfRule>
  </conditionalFormatting>
  <conditionalFormatting sqref="EP532">
    <cfRule type="cellIs" dxfId="806" priority="892" operator="equal">
      <formula>0</formula>
    </cfRule>
  </conditionalFormatting>
  <conditionalFormatting sqref="EO532">
    <cfRule type="containsText" dxfId="805" priority="890" operator="containsText" text="PUT">
      <formula>NOT(ISERROR(SEARCH("PUT",EO532)))</formula>
    </cfRule>
    <cfRule type="containsText" dxfId="804" priority="891" operator="containsText" text="CALL">
      <formula>NOT(ISERROR(SEARCH("CALL",EO532)))</formula>
    </cfRule>
  </conditionalFormatting>
  <conditionalFormatting sqref="EP533">
    <cfRule type="cellIs" dxfId="803" priority="888" operator="greaterThan">
      <formula>0</formula>
    </cfRule>
    <cfRule type="cellIs" dxfId="802" priority="889" operator="lessThan">
      <formula>0</formula>
    </cfRule>
  </conditionalFormatting>
  <conditionalFormatting sqref="EP533">
    <cfRule type="cellIs" dxfId="801" priority="887" operator="equal">
      <formula>0</formula>
    </cfRule>
  </conditionalFormatting>
  <conditionalFormatting sqref="EO533">
    <cfRule type="containsText" dxfId="800" priority="885" operator="containsText" text="PUT">
      <formula>NOT(ISERROR(SEARCH("PUT",EO533)))</formula>
    </cfRule>
    <cfRule type="containsText" dxfId="799" priority="886" operator="containsText" text="CALL">
      <formula>NOT(ISERROR(SEARCH("CALL",EO533)))</formula>
    </cfRule>
  </conditionalFormatting>
  <conditionalFormatting sqref="EP541">
    <cfRule type="cellIs" dxfId="798" priority="848" operator="greaterThan">
      <formula>0</formula>
    </cfRule>
    <cfRule type="cellIs" dxfId="797" priority="849" operator="lessThan">
      <formula>0</formula>
    </cfRule>
  </conditionalFormatting>
  <conditionalFormatting sqref="EP541">
    <cfRule type="cellIs" dxfId="796" priority="847" operator="equal">
      <formula>0</formula>
    </cfRule>
  </conditionalFormatting>
  <conditionalFormatting sqref="EO541">
    <cfRule type="containsText" dxfId="795" priority="845" operator="containsText" text="PUT">
      <formula>NOT(ISERROR(SEARCH("PUT",EO541)))</formula>
    </cfRule>
    <cfRule type="containsText" dxfId="794" priority="846" operator="containsText" text="CALL">
      <formula>NOT(ISERROR(SEARCH("CALL",EO541)))</formula>
    </cfRule>
  </conditionalFormatting>
  <conditionalFormatting sqref="EP507:EP508">
    <cfRule type="cellIs" dxfId="793" priority="803" operator="greaterThan">
      <formula>0</formula>
    </cfRule>
    <cfRule type="cellIs" dxfId="792" priority="804" operator="lessThan">
      <formula>0</formula>
    </cfRule>
  </conditionalFormatting>
  <conditionalFormatting sqref="EP507:EP508">
    <cfRule type="cellIs" dxfId="791" priority="802" operator="equal">
      <formula>0</formula>
    </cfRule>
  </conditionalFormatting>
  <conditionalFormatting sqref="EO507:EO508">
    <cfRule type="containsText" dxfId="790" priority="800" operator="containsText" text="PUT">
      <formula>NOT(ISERROR(SEARCH("PUT",EO507)))</formula>
    </cfRule>
    <cfRule type="containsText" dxfId="789" priority="801" operator="containsText" text="CALL">
      <formula>NOT(ISERROR(SEARCH("CALL",EO507)))</formula>
    </cfRule>
  </conditionalFormatting>
  <conditionalFormatting sqref="EP516">
    <cfRule type="cellIs" dxfId="788" priority="798" operator="greaterThan">
      <formula>0</formula>
    </cfRule>
    <cfRule type="cellIs" dxfId="787" priority="799" operator="lessThan">
      <formula>0</formula>
    </cfRule>
  </conditionalFormatting>
  <conditionalFormatting sqref="EP516">
    <cfRule type="cellIs" dxfId="786" priority="797" operator="equal">
      <formula>0</formula>
    </cfRule>
  </conditionalFormatting>
  <conditionalFormatting sqref="EO516">
    <cfRule type="containsText" dxfId="785" priority="795" operator="containsText" text="PUT">
      <formula>NOT(ISERROR(SEARCH("PUT",EO516)))</formula>
    </cfRule>
    <cfRule type="containsText" dxfId="784" priority="796" operator="containsText" text="CALL">
      <formula>NOT(ISERROR(SEARCH("CALL",EO516)))</formula>
    </cfRule>
  </conditionalFormatting>
  <conditionalFormatting sqref="EP568">
    <cfRule type="cellIs" dxfId="783" priority="808" operator="greaterThan">
      <formula>0</formula>
    </cfRule>
    <cfRule type="cellIs" dxfId="782" priority="809" operator="lessThan">
      <formula>0</formula>
    </cfRule>
  </conditionalFormatting>
  <conditionalFormatting sqref="EP568">
    <cfRule type="cellIs" dxfId="781" priority="807" operator="equal">
      <formula>0</formula>
    </cfRule>
  </conditionalFormatting>
  <conditionalFormatting sqref="EO568">
    <cfRule type="containsText" dxfId="780" priority="805" operator="containsText" text="PUT">
      <formula>NOT(ISERROR(SEARCH("PUT",EO568)))</formula>
    </cfRule>
    <cfRule type="containsText" dxfId="779" priority="806" operator="containsText" text="CALL">
      <formula>NOT(ISERROR(SEARCH("CALL",EO568)))</formula>
    </cfRule>
  </conditionalFormatting>
  <conditionalFormatting sqref="EP567">
    <cfRule type="cellIs" dxfId="778" priority="813" operator="greaterThan">
      <formula>0</formula>
    </cfRule>
    <cfRule type="cellIs" dxfId="777" priority="814" operator="lessThan">
      <formula>0</formula>
    </cfRule>
  </conditionalFormatting>
  <conditionalFormatting sqref="EP567">
    <cfRule type="cellIs" dxfId="776" priority="812" operator="equal">
      <formula>0</formula>
    </cfRule>
  </conditionalFormatting>
  <conditionalFormatting sqref="EO567">
    <cfRule type="containsText" dxfId="775" priority="810" operator="containsText" text="PUT">
      <formula>NOT(ISERROR(SEARCH("PUT",EO567)))</formula>
    </cfRule>
    <cfRule type="containsText" dxfId="774" priority="811" operator="containsText" text="CALL">
      <formula>NOT(ISERROR(SEARCH("CALL",EO567)))</formula>
    </cfRule>
  </conditionalFormatting>
  <conditionalFormatting sqref="EP517:EP518">
    <cfRule type="cellIs" dxfId="773" priority="793" operator="greaterThan">
      <formula>0</formula>
    </cfRule>
    <cfRule type="cellIs" dxfId="772" priority="794" operator="lessThan">
      <formula>0</formula>
    </cfRule>
  </conditionalFormatting>
  <conditionalFormatting sqref="EP517:EP518">
    <cfRule type="cellIs" dxfId="771" priority="792" operator="equal">
      <formula>0</formula>
    </cfRule>
  </conditionalFormatting>
  <conditionalFormatting sqref="EO517:EO518">
    <cfRule type="containsText" dxfId="770" priority="790" operator="containsText" text="PUT">
      <formula>NOT(ISERROR(SEARCH("PUT",EO517)))</formula>
    </cfRule>
    <cfRule type="containsText" dxfId="769" priority="791" operator="containsText" text="CALL">
      <formula>NOT(ISERROR(SEARCH("CALL",EO517)))</formula>
    </cfRule>
  </conditionalFormatting>
  <conditionalFormatting sqref="GE4">
    <cfRule type="cellIs" dxfId="768" priority="789" operator="greaterThan">
      <formula>0</formula>
    </cfRule>
  </conditionalFormatting>
  <conditionalFormatting sqref="EP656:EP657">
    <cfRule type="cellIs" dxfId="767" priority="787" operator="greaterThan">
      <formula>0</formula>
    </cfRule>
    <cfRule type="cellIs" dxfId="766" priority="788" operator="lessThan">
      <formula>0</formula>
    </cfRule>
  </conditionalFormatting>
  <conditionalFormatting sqref="EP656:EP657">
    <cfRule type="cellIs" dxfId="765" priority="786" operator="equal">
      <formula>0</formula>
    </cfRule>
  </conditionalFormatting>
  <conditionalFormatting sqref="EO656:EO657">
    <cfRule type="containsText" dxfId="764" priority="784" operator="containsText" text="PUT">
      <formula>NOT(ISERROR(SEARCH("PUT",EO656)))</formula>
    </cfRule>
    <cfRule type="containsText" dxfId="763" priority="785" operator="containsText" text="CALL">
      <formula>NOT(ISERROR(SEARCH("CALL",EO656)))</formula>
    </cfRule>
  </conditionalFormatting>
  <conditionalFormatting sqref="EP502:EP503">
    <cfRule type="cellIs" dxfId="762" priority="777" operator="greaterThan">
      <formula>0</formula>
    </cfRule>
    <cfRule type="cellIs" dxfId="761" priority="778" operator="lessThan">
      <formula>0</formula>
    </cfRule>
  </conditionalFormatting>
  <conditionalFormatting sqref="EP502:EP503">
    <cfRule type="cellIs" dxfId="760" priority="776" operator="equal">
      <formula>0</formula>
    </cfRule>
  </conditionalFormatting>
  <conditionalFormatting sqref="EO502:EO503">
    <cfRule type="containsText" dxfId="759" priority="774" operator="containsText" text="PUT">
      <formula>NOT(ISERROR(SEARCH("PUT",EO502)))</formula>
    </cfRule>
    <cfRule type="containsText" dxfId="758" priority="775" operator="containsText" text="CALL">
      <formula>NOT(ISERROR(SEARCH("CALL",EO502)))</formula>
    </cfRule>
  </conditionalFormatting>
  <conditionalFormatting sqref="EP524">
    <cfRule type="cellIs" dxfId="757" priority="772" operator="greaterThan">
      <formula>0</formula>
    </cfRule>
    <cfRule type="cellIs" dxfId="756" priority="773" operator="lessThan">
      <formula>0</formula>
    </cfRule>
  </conditionalFormatting>
  <conditionalFormatting sqref="EP524">
    <cfRule type="cellIs" dxfId="755" priority="771" operator="equal">
      <formula>0</formula>
    </cfRule>
  </conditionalFormatting>
  <conditionalFormatting sqref="EO524">
    <cfRule type="containsText" dxfId="754" priority="769" operator="containsText" text="PUT">
      <formula>NOT(ISERROR(SEARCH("PUT",EO524)))</formula>
    </cfRule>
    <cfRule type="containsText" dxfId="753" priority="770" operator="containsText" text="CALL">
      <formula>NOT(ISERROR(SEARCH("CALL",EO524)))</formula>
    </cfRule>
  </conditionalFormatting>
  <conditionalFormatting sqref="EP526">
    <cfRule type="cellIs" dxfId="752" priority="767" operator="greaterThan">
      <formula>0</formula>
    </cfRule>
    <cfRule type="cellIs" dxfId="751" priority="768" operator="lessThan">
      <formula>0</formula>
    </cfRule>
  </conditionalFormatting>
  <conditionalFormatting sqref="EP526">
    <cfRule type="cellIs" dxfId="750" priority="766" operator="equal">
      <formula>0</formula>
    </cfRule>
  </conditionalFormatting>
  <conditionalFormatting sqref="EO526">
    <cfRule type="containsText" dxfId="749" priority="764" operator="containsText" text="PUT">
      <formula>NOT(ISERROR(SEARCH("PUT",EO526)))</formula>
    </cfRule>
    <cfRule type="containsText" dxfId="748" priority="765" operator="containsText" text="CALL">
      <formula>NOT(ISERROR(SEARCH("CALL",EO526)))</formula>
    </cfRule>
  </conditionalFormatting>
  <conditionalFormatting sqref="EP524">
    <cfRule type="cellIs" dxfId="747" priority="762" operator="greaterThan">
      <formula>0</formula>
    </cfRule>
    <cfRule type="cellIs" dxfId="746" priority="763" operator="lessThan">
      <formula>0</formula>
    </cfRule>
  </conditionalFormatting>
  <conditionalFormatting sqref="EP524">
    <cfRule type="cellIs" dxfId="745" priority="761" operator="equal">
      <formula>0</formula>
    </cfRule>
  </conditionalFormatting>
  <conditionalFormatting sqref="EO524">
    <cfRule type="containsText" dxfId="744" priority="759" operator="containsText" text="PUT">
      <formula>NOT(ISERROR(SEARCH("PUT",EO524)))</formula>
    </cfRule>
    <cfRule type="containsText" dxfId="743" priority="760" operator="containsText" text="CALL">
      <formula>NOT(ISERROR(SEARCH("CALL",EO524)))</formula>
    </cfRule>
  </conditionalFormatting>
  <conditionalFormatting sqref="EP525">
    <cfRule type="cellIs" dxfId="742" priority="757" operator="greaterThan">
      <formula>0</formula>
    </cfRule>
    <cfRule type="cellIs" dxfId="741" priority="758" operator="lessThan">
      <formula>0</formula>
    </cfRule>
  </conditionalFormatting>
  <conditionalFormatting sqref="EP525">
    <cfRule type="cellIs" dxfId="740" priority="756" operator="equal">
      <formula>0</formula>
    </cfRule>
  </conditionalFormatting>
  <conditionalFormatting sqref="EO525">
    <cfRule type="containsText" dxfId="739" priority="754" operator="containsText" text="PUT">
      <formula>NOT(ISERROR(SEARCH("PUT",EO525)))</formula>
    </cfRule>
    <cfRule type="containsText" dxfId="738" priority="755" operator="containsText" text="CALL">
      <formula>NOT(ISERROR(SEARCH("CALL",EO525)))</formula>
    </cfRule>
  </conditionalFormatting>
  <conditionalFormatting sqref="EP523">
    <cfRule type="cellIs" dxfId="737" priority="752" operator="greaterThan">
      <formula>0</formula>
    </cfRule>
    <cfRule type="cellIs" dxfId="736" priority="753" operator="lessThan">
      <formula>0</formula>
    </cfRule>
  </conditionalFormatting>
  <conditionalFormatting sqref="EP523">
    <cfRule type="cellIs" dxfId="735" priority="751" operator="equal">
      <formula>0</formula>
    </cfRule>
  </conditionalFormatting>
  <conditionalFormatting sqref="EO523">
    <cfRule type="containsText" dxfId="734" priority="749" operator="containsText" text="PUT">
      <formula>NOT(ISERROR(SEARCH("PUT",EO523)))</formula>
    </cfRule>
    <cfRule type="containsText" dxfId="733" priority="750" operator="containsText" text="CALL">
      <formula>NOT(ISERROR(SEARCH("CALL",EO523)))</formula>
    </cfRule>
  </conditionalFormatting>
  <conditionalFormatting sqref="EP534">
    <cfRule type="cellIs" dxfId="732" priority="747" operator="greaterThan">
      <formula>0</formula>
    </cfRule>
    <cfRule type="cellIs" dxfId="731" priority="748" operator="lessThan">
      <formula>0</formula>
    </cfRule>
  </conditionalFormatting>
  <conditionalFormatting sqref="EP534">
    <cfRule type="cellIs" dxfId="730" priority="746" operator="equal">
      <formula>0</formula>
    </cfRule>
  </conditionalFormatting>
  <conditionalFormatting sqref="EO534">
    <cfRule type="containsText" dxfId="729" priority="744" operator="containsText" text="PUT">
      <formula>NOT(ISERROR(SEARCH("PUT",EO534)))</formula>
    </cfRule>
    <cfRule type="containsText" dxfId="728" priority="745" operator="containsText" text="CALL">
      <formula>NOT(ISERROR(SEARCH("CALL",EO534)))</formula>
    </cfRule>
  </conditionalFormatting>
  <conditionalFormatting sqref="EP534">
    <cfRule type="cellIs" dxfId="727" priority="742" operator="greaterThan">
      <formula>0</formula>
    </cfRule>
    <cfRule type="cellIs" dxfId="726" priority="743" operator="lessThan">
      <formula>0</formula>
    </cfRule>
  </conditionalFormatting>
  <conditionalFormatting sqref="EP534">
    <cfRule type="cellIs" dxfId="725" priority="741" operator="equal">
      <formula>0</formula>
    </cfRule>
  </conditionalFormatting>
  <conditionalFormatting sqref="EO534">
    <cfRule type="containsText" dxfId="724" priority="739" operator="containsText" text="PUT">
      <formula>NOT(ISERROR(SEARCH("PUT",EO534)))</formula>
    </cfRule>
    <cfRule type="containsText" dxfId="723" priority="740" operator="containsText" text="CALL">
      <formula>NOT(ISERROR(SEARCH("CALL",EO534)))</formula>
    </cfRule>
  </conditionalFormatting>
  <conditionalFormatting sqref="EP534:EP536">
    <cfRule type="cellIs" dxfId="722" priority="737" operator="greaterThan">
      <formula>0</formula>
    </cfRule>
    <cfRule type="cellIs" dxfId="721" priority="738" operator="lessThan">
      <formula>0</formula>
    </cfRule>
  </conditionalFormatting>
  <conditionalFormatting sqref="EP534:EP536">
    <cfRule type="cellIs" dxfId="720" priority="736" operator="equal">
      <formula>0</formula>
    </cfRule>
  </conditionalFormatting>
  <conditionalFormatting sqref="EO534:EO536">
    <cfRule type="containsText" dxfId="719" priority="734" operator="containsText" text="PUT">
      <formula>NOT(ISERROR(SEARCH("PUT",EO534)))</formula>
    </cfRule>
    <cfRule type="containsText" dxfId="718" priority="735" operator="containsText" text="CALL">
      <formula>NOT(ISERROR(SEARCH("CALL",EO534)))</formula>
    </cfRule>
  </conditionalFormatting>
  <conditionalFormatting sqref="EP536:EP538">
    <cfRule type="cellIs" dxfId="717" priority="732" operator="greaterThan">
      <formula>0</formula>
    </cfRule>
    <cfRule type="cellIs" dxfId="716" priority="733" operator="lessThan">
      <formula>0</formula>
    </cfRule>
  </conditionalFormatting>
  <conditionalFormatting sqref="EP536:EP538">
    <cfRule type="cellIs" dxfId="715" priority="731" operator="equal">
      <formula>0</formula>
    </cfRule>
  </conditionalFormatting>
  <conditionalFormatting sqref="EO536:EO538">
    <cfRule type="containsText" dxfId="714" priority="729" operator="containsText" text="PUT">
      <formula>NOT(ISERROR(SEARCH("PUT",EO536)))</formula>
    </cfRule>
    <cfRule type="containsText" dxfId="713" priority="730" operator="containsText" text="CALL">
      <formula>NOT(ISERROR(SEARCH("CALL",EO536)))</formula>
    </cfRule>
  </conditionalFormatting>
  <conditionalFormatting sqref="EP539:EP540">
    <cfRule type="cellIs" dxfId="712" priority="727" operator="greaterThan">
      <formula>0</formula>
    </cfRule>
    <cfRule type="cellIs" dxfId="711" priority="728" operator="lessThan">
      <formula>0</formula>
    </cfRule>
  </conditionalFormatting>
  <conditionalFormatting sqref="EP539:EP540">
    <cfRule type="cellIs" dxfId="710" priority="726" operator="equal">
      <formula>0</formula>
    </cfRule>
  </conditionalFormatting>
  <conditionalFormatting sqref="EO539:EO540">
    <cfRule type="containsText" dxfId="709" priority="724" operator="containsText" text="PUT">
      <formula>NOT(ISERROR(SEARCH("PUT",EO539)))</formula>
    </cfRule>
    <cfRule type="containsText" dxfId="708" priority="725" operator="containsText" text="CALL">
      <formula>NOT(ISERROR(SEARCH("CALL",EO539)))</formula>
    </cfRule>
  </conditionalFormatting>
  <conditionalFormatting sqref="EP539:EP540">
    <cfRule type="cellIs" dxfId="707" priority="722" operator="greaterThan">
      <formula>0</formula>
    </cfRule>
    <cfRule type="cellIs" dxfId="706" priority="723" operator="lessThan">
      <formula>0</formula>
    </cfRule>
  </conditionalFormatting>
  <conditionalFormatting sqref="EP539:EP540">
    <cfRule type="cellIs" dxfId="705" priority="721" operator="equal">
      <formula>0</formula>
    </cfRule>
  </conditionalFormatting>
  <conditionalFormatting sqref="EO539:EO540">
    <cfRule type="containsText" dxfId="704" priority="719" operator="containsText" text="PUT">
      <formula>NOT(ISERROR(SEARCH("PUT",EO539)))</formula>
    </cfRule>
    <cfRule type="containsText" dxfId="703" priority="720" operator="containsText" text="CALL">
      <formula>NOT(ISERROR(SEARCH("CALL",EO539)))</formula>
    </cfRule>
  </conditionalFormatting>
  <conditionalFormatting sqref="EP546">
    <cfRule type="cellIs" dxfId="702" priority="717" operator="greaterThan">
      <formula>0</formula>
    </cfRule>
    <cfRule type="cellIs" dxfId="701" priority="718" operator="lessThan">
      <formula>0</formula>
    </cfRule>
  </conditionalFormatting>
  <conditionalFormatting sqref="EP546">
    <cfRule type="cellIs" dxfId="700" priority="716" operator="equal">
      <formula>0</formula>
    </cfRule>
  </conditionalFormatting>
  <conditionalFormatting sqref="EO546">
    <cfRule type="containsText" dxfId="699" priority="714" operator="containsText" text="PUT">
      <formula>NOT(ISERROR(SEARCH("PUT",EO546)))</formula>
    </cfRule>
    <cfRule type="containsText" dxfId="698" priority="715" operator="containsText" text="CALL">
      <formula>NOT(ISERROR(SEARCH("CALL",EO546)))</formula>
    </cfRule>
  </conditionalFormatting>
  <conditionalFormatting sqref="EP546">
    <cfRule type="cellIs" dxfId="697" priority="712" operator="greaterThan">
      <formula>0</formula>
    </cfRule>
    <cfRule type="cellIs" dxfId="696" priority="713" operator="lessThan">
      <formula>0</formula>
    </cfRule>
  </conditionalFormatting>
  <conditionalFormatting sqref="EP546">
    <cfRule type="cellIs" dxfId="695" priority="711" operator="equal">
      <formula>0</formula>
    </cfRule>
  </conditionalFormatting>
  <conditionalFormatting sqref="EO546">
    <cfRule type="containsText" dxfId="694" priority="709" operator="containsText" text="PUT">
      <formula>NOT(ISERROR(SEARCH("PUT",EO546)))</formula>
    </cfRule>
    <cfRule type="containsText" dxfId="693" priority="710" operator="containsText" text="CALL">
      <formula>NOT(ISERROR(SEARCH("CALL",EO546)))</formula>
    </cfRule>
  </conditionalFormatting>
  <conditionalFormatting sqref="EP546:EP547">
    <cfRule type="cellIs" dxfId="692" priority="707" operator="greaterThan">
      <formula>0</formula>
    </cfRule>
    <cfRule type="cellIs" dxfId="691" priority="708" operator="lessThan">
      <formula>0</formula>
    </cfRule>
  </conditionalFormatting>
  <conditionalFormatting sqref="EP546:EP547">
    <cfRule type="cellIs" dxfId="690" priority="706" operator="equal">
      <formula>0</formula>
    </cfRule>
  </conditionalFormatting>
  <conditionalFormatting sqref="EO546:EO547">
    <cfRule type="containsText" dxfId="689" priority="704" operator="containsText" text="PUT">
      <formula>NOT(ISERROR(SEARCH("PUT",EO546)))</formula>
    </cfRule>
    <cfRule type="containsText" dxfId="688" priority="705" operator="containsText" text="CALL">
      <formula>NOT(ISERROR(SEARCH("CALL",EO546)))</formula>
    </cfRule>
  </conditionalFormatting>
  <conditionalFormatting sqref="EP548">
    <cfRule type="cellIs" dxfId="687" priority="702" operator="greaterThan">
      <formula>0</formula>
    </cfRule>
    <cfRule type="cellIs" dxfId="686" priority="703" operator="lessThan">
      <formula>0</formula>
    </cfRule>
  </conditionalFormatting>
  <conditionalFormatting sqref="EP548">
    <cfRule type="cellIs" dxfId="685" priority="701" operator="equal">
      <formula>0</formula>
    </cfRule>
  </conditionalFormatting>
  <conditionalFormatting sqref="EO548">
    <cfRule type="containsText" dxfId="684" priority="699" operator="containsText" text="PUT">
      <formula>NOT(ISERROR(SEARCH("PUT",EO548)))</formula>
    </cfRule>
    <cfRule type="containsText" dxfId="683" priority="700" operator="containsText" text="CALL">
      <formula>NOT(ISERROR(SEARCH("CALL",EO548)))</formula>
    </cfRule>
  </conditionalFormatting>
  <conditionalFormatting sqref="EP548">
    <cfRule type="cellIs" dxfId="682" priority="697" operator="greaterThan">
      <formula>0</formula>
    </cfRule>
    <cfRule type="cellIs" dxfId="681" priority="698" operator="lessThan">
      <formula>0</formula>
    </cfRule>
  </conditionalFormatting>
  <conditionalFormatting sqref="EP548">
    <cfRule type="cellIs" dxfId="680" priority="696" operator="equal">
      <formula>0</formula>
    </cfRule>
  </conditionalFormatting>
  <conditionalFormatting sqref="EO548">
    <cfRule type="containsText" dxfId="679" priority="694" operator="containsText" text="PUT">
      <formula>NOT(ISERROR(SEARCH("PUT",EO548)))</formula>
    </cfRule>
    <cfRule type="containsText" dxfId="678" priority="695" operator="containsText" text="CALL">
      <formula>NOT(ISERROR(SEARCH("CALL",EO548)))</formula>
    </cfRule>
  </conditionalFormatting>
  <conditionalFormatting sqref="EP548:EP549">
    <cfRule type="cellIs" dxfId="677" priority="692" operator="greaterThan">
      <formula>0</formula>
    </cfRule>
    <cfRule type="cellIs" dxfId="676" priority="693" operator="lessThan">
      <formula>0</formula>
    </cfRule>
  </conditionalFormatting>
  <conditionalFormatting sqref="EP548:EP549">
    <cfRule type="cellIs" dxfId="675" priority="691" operator="equal">
      <formula>0</formula>
    </cfRule>
  </conditionalFormatting>
  <conditionalFormatting sqref="EO548:EO549">
    <cfRule type="containsText" dxfId="674" priority="689" operator="containsText" text="PUT">
      <formula>NOT(ISERROR(SEARCH("PUT",EO548)))</formula>
    </cfRule>
    <cfRule type="containsText" dxfId="673" priority="690" operator="containsText" text="CALL">
      <formula>NOT(ISERROR(SEARCH("CALL",EO548)))</formula>
    </cfRule>
  </conditionalFormatting>
  <conditionalFormatting sqref="EP550">
    <cfRule type="cellIs" dxfId="672" priority="687" operator="greaterThan">
      <formula>0</formula>
    </cfRule>
    <cfRule type="cellIs" dxfId="671" priority="688" operator="lessThan">
      <formula>0</formula>
    </cfRule>
  </conditionalFormatting>
  <conditionalFormatting sqref="EP550">
    <cfRule type="cellIs" dxfId="670" priority="686" operator="equal">
      <formula>0</formula>
    </cfRule>
  </conditionalFormatting>
  <conditionalFormatting sqref="EO550">
    <cfRule type="containsText" dxfId="669" priority="684" operator="containsText" text="PUT">
      <formula>NOT(ISERROR(SEARCH("PUT",EO550)))</formula>
    </cfRule>
    <cfRule type="containsText" dxfId="668" priority="685" operator="containsText" text="CALL">
      <formula>NOT(ISERROR(SEARCH("CALL",EO550)))</formula>
    </cfRule>
  </conditionalFormatting>
  <conditionalFormatting sqref="EP550">
    <cfRule type="cellIs" dxfId="667" priority="682" operator="greaterThan">
      <formula>0</formula>
    </cfRule>
    <cfRule type="cellIs" dxfId="666" priority="683" operator="lessThan">
      <formula>0</formula>
    </cfRule>
  </conditionalFormatting>
  <conditionalFormatting sqref="EP550">
    <cfRule type="cellIs" dxfId="665" priority="681" operator="equal">
      <formula>0</formula>
    </cfRule>
  </conditionalFormatting>
  <conditionalFormatting sqref="EO550">
    <cfRule type="containsText" dxfId="664" priority="679" operator="containsText" text="PUT">
      <formula>NOT(ISERROR(SEARCH("PUT",EO550)))</formula>
    </cfRule>
    <cfRule type="containsText" dxfId="663" priority="680" operator="containsText" text="CALL">
      <formula>NOT(ISERROR(SEARCH("CALL",EO550)))</formula>
    </cfRule>
  </conditionalFormatting>
  <conditionalFormatting sqref="EP550:EP551">
    <cfRule type="cellIs" dxfId="662" priority="677" operator="greaterThan">
      <formula>0</formula>
    </cfRule>
    <cfRule type="cellIs" dxfId="661" priority="678" operator="lessThan">
      <formula>0</formula>
    </cfRule>
  </conditionalFormatting>
  <conditionalFormatting sqref="EP550:EP551">
    <cfRule type="cellIs" dxfId="660" priority="676" operator="equal">
      <formula>0</formula>
    </cfRule>
  </conditionalFormatting>
  <conditionalFormatting sqref="EO550:EO551">
    <cfRule type="containsText" dxfId="659" priority="674" operator="containsText" text="PUT">
      <formula>NOT(ISERROR(SEARCH("PUT",EO550)))</formula>
    </cfRule>
    <cfRule type="containsText" dxfId="658" priority="675" operator="containsText" text="CALL">
      <formula>NOT(ISERROR(SEARCH("CALL",EO550)))</formula>
    </cfRule>
  </conditionalFormatting>
  <conditionalFormatting sqref="EP582">
    <cfRule type="cellIs" dxfId="657" priority="542" operator="greaterThan">
      <formula>0</formula>
    </cfRule>
    <cfRule type="cellIs" dxfId="656" priority="543" operator="lessThan">
      <formula>0</formula>
    </cfRule>
  </conditionalFormatting>
  <conditionalFormatting sqref="EP582">
    <cfRule type="cellIs" dxfId="655" priority="541" operator="equal">
      <formula>0</formula>
    </cfRule>
  </conditionalFormatting>
  <conditionalFormatting sqref="EO582">
    <cfRule type="containsText" dxfId="654" priority="539" operator="containsText" text="PUT">
      <formula>NOT(ISERROR(SEARCH("PUT",EO582)))</formula>
    </cfRule>
    <cfRule type="containsText" dxfId="653" priority="540" operator="containsText" text="CALL">
      <formula>NOT(ISERROR(SEARCH("CALL",EO582)))</formula>
    </cfRule>
  </conditionalFormatting>
  <conditionalFormatting sqref="EP582">
    <cfRule type="cellIs" dxfId="652" priority="537" operator="greaterThan">
      <formula>0</formula>
    </cfRule>
    <cfRule type="cellIs" dxfId="651" priority="538" operator="lessThan">
      <formula>0</formula>
    </cfRule>
  </conditionalFormatting>
  <conditionalFormatting sqref="EP582">
    <cfRule type="cellIs" dxfId="650" priority="536" operator="equal">
      <formula>0</formula>
    </cfRule>
  </conditionalFormatting>
  <conditionalFormatting sqref="EO582">
    <cfRule type="containsText" dxfId="649" priority="534" operator="containsText" text="PUT">
      <formula>NOT(ISERROR(SEARCH("PUT",EO582)))</formula>
    </cfRule>
    <cfRule type="containsText" dxfId="648" priority="535" operator="containsText" text="CALL">
      <formula>NOT(ISERROR(SEARCH("CALL",EO582)))</formula>
    </cfRule>
  </conditionalFormatting>
  <conditionalFormatting sqref="EP582:EP583">
    <cfRule type="cellIs" dxfId="647" priority="532" operator="greaterThan">
      <formula>0</formula>
    </cfRule>
    <cfRule type="cellIs" dxfId="646" priority="533" operator="lessThan">
      <formula>0</formula>
    </cfRule>
  </conditionalFormatting>
  <conditionalFormatting sqref="EP582:EP583">
    <cfRule type="cellIs" dxfId="645" priority="531" operator="equal">
      <formula>0</formula>
    </cfRule>
  </conditionalFormatting>
  <conditionalFormatting sqref="EO582:EO583">
    <cfRule type="containsText" dxfId="644" priority="529" operator="containsText" text="PUT">
      <formula>NOT(ISERROR(SEARCH("PUT",EO582)))</formula>
    </cfRule>
    <cfRule type="containsText" dxfId="643" priority="530" operator="containsText" text="CALL">
      <formula>NOT(ISERROR(SEARCH("CALL",EO582)))</formula>
    </cfRule>
  </conditionalFormatting>
  <conditionalFormatting sqref="EP584">
    <cfRule type="cellIs" dxfId="642" priority="527" operator="greaterThan">
      <formula>0</formula>
    </cfRule>
    <cfRule type="cellIs" dxfId="641" priority="528" operator="lessThan">
      <formula>0</formula>
    </cfRule>
  </conditionalFormatting>
  <conditionalFormatting sqref="EP584">
    <cfRule type="cellIs" dxfId="640" priority="526" operator="equal">
      <formula>0</formula>
    </cfRule>
  </conditionalFormatting>
  <conditionalFormatting sqref="EO584">
    <cfRule type="containsText" dxfId="639" priority="524" operator="containsText" text="PUT">
      <formula>NOT(ISERROR(SEARCH("PUT",EO584)))</formula>
    </cfRule>
    <cfRule type="containsText" dxfId="638" priority="525" operator="containsText" text="CALL">
      <formula>NOT(ISERROR(SEARCH("CALL",EO584)))</formula>
    </cfRule>
  </conditionalFormatting>
  <conditionalFormatting sqref="EP584">
    <cfRule type="cellIs" dxfId="637" priority="522" operator="greaterThan">
      <formula>0</formula>
    </cfRule>
    <cfRule type="cellIs" dxfId="636" priority="523" operator="lessThan">
      <formula>0</formula>
    </cfRule>
  </conditionalFormatting>
  <conditionalFormatting sqref="EP584">
    <cfRule type="cellIs" dxfId="635" priority="521" operator="equal">
      <formula>0</formula>
    </cfRule>
  </conditionalFormatting>
  <conditionalFormatting sqref="EO584">
    <cfRule type="containsText" dxfId="634" priority="519" operator="containsText" text="PUT">
      <formula>NOT(ISERROR(SEARCH("PUT",EO584)))</formula>
    </cfRule>
    <cfRule type="containsText" dxfId="633" priority="520" operator="containsText" text="CALL">
      <formula>NOT(ISERROR(SEARCH("CALL",EO584)))</formula>
    </cfRule>
  </conditionalFormatting>
  <conditionalFormatting sqref="EP561">
    <cfRule type="cellIs" dxfId="632" priority="647" operator="greaterThan">
      <formula>0</formula>
    </cfRule>
    <cfRule type="cellIs" dxfId="631" priority="648" operator="lessThan">
      <formula>0</formula>
    </cfRule>
  </conditionalFormatting>
  <conditionalFormatting sqref="EP561">
    <cfRule type="cellIs" dxfId="630" priority="646" operator="equal">
      <formula>0</formula>
    </cfRule>
  </conditionalFormatting>
  <conditionalFormatting sqref="EO561">
    <cfRule type="containsText" dxfId="629" priority="644" operator="containsText" text="PUT">
      <formula>NOT(ISERROR(SEARCH("PUT",EO561)))</formula>
    </cfRule>
    <cfRule type="containsText" dxfId="628" priority="645" operator="containsText" text="CALL">
      <formula>NOT(ISERROR(SEARCH("CALL",EO561)))</formula>
    </cfRule>
  </conditionalFormatting>
  <conditionalFormatting sqref="EP562">
    <cfRule type="cellIs" dxfId="627" priority="642" operator="greaterThan">
      <formula>0</formula>
    </cfRule>
    <cfRule type="cellIs" dxfId="626" priority="643" operator="lessThan">
      <formula>0</formula>
    </cfRule>
  </conditionalFormatting>
  <conditionalFormatting sqref="EP562">
    <cfRule type="cellIs" dxfId="625" priority="641" operator="equal">
      <formula>0</formula>
    </cfRule>
  </conditionalFormatting>
  <conditionalFormatting sqref="EO562">
    <cfRule type="containsText" dxfId="624" priority="639" operator="containsText" text="PUT">
      <formula>NOT(ISERROR(SEARCH("PUT",EO562)))</formula>
    </cfRule>
    <cfRule type="containsText" dxfId="623" priority="640" operator="containsText" text="CALL">
      <formula>NOT(ISERROR(SEARCH("CALL",EO562)))</formula>
    </cfRule>
  </conditionalFormatting>
  <conditionalFormatting sqref="EP562">
    <cfRule type="cellIs" dxfId="622" priority="637" operator="greaterThan">
      <formula>0</formula>
    </cfRule>
    <cfRule type="cellIs" dxfId="621" priority="638" operator="lessThan">
      <formula>0</formula>
    </cfRule>
  </conditionalFormatting>
  <conditionalFormatting sqref="EP562">
    <cfRule type="cellIs" dxfId="620" priority="636" operator="equal">
      <formula>0</formula>
    </cfRule>
  </conditionalFormatting>
  <conditionalFormatting sqref="EO562">
    <cfRule type="containsText" dxfId="619" priority="634" operator="containsText" text="PUT">
      <formula>NOT(ISERROR(SEARCH("PUT",EO562)))</formula>
    </cfRule>
    <cfRule type="containsText" dxfId="618" priority="635" operator="containsText" text="CALL">
      <formula>NOT(ISERROR(SEARCH("CALL",EO562)))</formula>
    </cfRule>
  </conditionalFormatting>
  <conditionalFormatting sqref="EP562:EP563">
    <cfRule type="cellIs" dxfId="617" priority="632" operator="greaterThan">
      <formula>0</formula>
    </cfRule>
    <cfRule type="cellIs" dxfId="616" priority="633" operator="lessThan">
      <formula>0</formula>
    </cfRule>
  </conditionalFormatting>
  <conditionalFormatting sqref="EP562:EP563">
    <cfRule type="cellIs" dxfId="615" priority="631" operator="equal">
      <formula>0</formula>
    </cfRule>
  </conditionalFormatting>
  <conditionalFormatting sqref="EO562:EO563">
    <cfRule type="containsText" dxfId="614" priority="629" operator="containsText" text="PUT">
      <formula>NOT(ISERROR(SEARCH("PUT",EO562)))</formula>
    </cfRule>
    <cfRule type="containsText" dxfId="613" priority="630" operator="containsText" text="CALL">
      <formula>NOT(ISERROR(SEARCH("CALL",EO562)))</formula>
    </cfRule>
  </conditionalFormatting>
  <conditionalFormatting sqref="EP564">
    <cfRule type="cellIs" dxfId="612" priority="627" operator="greaterThan">
      <formula>0</formula>
    </cfRule>
    <cfRule type="cellIs" dxfId="611" priority="628" operator="lessThan">
      <formula>0</formula>
    </cfRule>
  </conditionalFormatting>
  <conditionalFormatting sqref="EP564">
    <cfRule type="cellIs" dxfId="610" priority="626" operator="equal">
      <formula>0</formula>
    </cfRule>
  </conditionalFormatting>
  <conditionalFormatting sqref="EO564">
    <cfRule type="containsText" dxfId="609" priority="624" operator="containsText" text="PUT">
      <formula>NOT(ISERROR(SEARCH("PUT",EO564)))</formula>
    </cfRule>
    <cfRule type="containsText" dxfId="608" priority="625" operator="containsText" text="CALL">
      <formula>NOT(ISERROR(SEARCH("CALL",EO564)))</formula>
    </cfRule>
  </conditionalFormatting>
  <conditionalFormatting sqref="EP564">
    <cfRule type="cellIs" dxfId="607" priority="622" operator="greaterThan">
      <formula>0</formula>
    </cfRule>
    <cfRule type="cellIs" dxfId="606" priority="623" operator="lessThan">
      <formula>0</formula>
    </cfRule>
  </conditionalFormatting>
  <conditionalFormatting sqref="EP564">
    <cfRule type="cellIs" dxfId="605" priority="621" operator="equal">
      <formula>0</formula>
    </cfRule>
  </conditionalFormatting>
  <conditionalFormatting sqref="EO564">
    <cfRule type="containsText" dxfId="604" priority="619" operator="containsText" text="PUT">
      <formula>NOT(ISERROR(SEARCH("PUT",EO564)))</formula>
    </cfRule>
    <cfRule type="containsText" dxfId="603" priority="620" operator="containsText" text="CALL">
      <formula>NOT(ISERROR(SEARCH("CALL",EO564)))</formula>
    </cfRule>
  </conditionalFormatting>
  <conditionalFormatting sqref="EP564:EP565">
    <cfRule type="cellIs" dxfId="602" priority="617" operator="greaterThan">
      <formula>0</formula>
    </cfRule>
    <cfRule type="cellIs" dxfId="601" priority="618" operator="lessThan">
      <formula>0</formula>
    </cfRule>
  </conditionalFormatting>
  <conditionalFormatting sqref="EP564:EP565">
    <cfRule type="cellIs" dxfId="600" priority="616" operator="equal">
      <formula>0</formula>
    </cfRule>
  </conditionalFormatting>
  <conditionalFormatting sqref="EO564:EO565">
    <cfRule type="containsText" dxfId="599" priority="614" operator="containsText" text="PUT">
      <formula>NOT(ISERROR(SEARCH("PUT",EO564)))</formula>
    </cfRule>
    <cfRule type="containsText" dxfId="598" priority="615" operator="containsText" text="CALL">
      <formula>NOT(ISERROR(SEARCH("CALL",EO564)))</formula>
    </cfRule>
  </conditionalFormatting>
  <conditionalFormatting sqref="EP580:EP581 EP590 EP576">
    <cfRule type="cellIs" dxfId="597" priority="612" operator="greaterThan">
      <formula>0</formula>
    </cfRule>
    <cfRule type="cellIs" dxfId="596" priority="613" operator="lessThan">
      <formula>0</formula>
    </cfRule>
  </conditionalFormatting>
  <conditionalFormatting sqref="EP580:EP581 EP590 EP576">
    <cfRule type="cellIs" dxfId="595" priority="611" operator="equal">
      <formula>0</formula>
    </cfRule>
  </conditionalFormatting>
  <conditionalFormatting sqref="EO580:EO581 EO590 EO576">
    <cfRule type="containsText" dxfId="594" priority="609" operator="containsText" text="PUT">
      <formula>NOT(ISERROR(SEARCH("PUT",EO576)))</formula>
    </cfRule>
    <cfRule type="containsText" dxfId="593" priority="610" operator="containsText" text="CALL">
      <formula>NOT(ISERROR(SEARCH("CALL",EO576)))</formula>
    </cfRule>
  </conditionalFormatting>
  <conditionalFormatting sqref="EP577">
    <cfRule type="cellIs" dxfId="592" priority="607" operator="greaterThan">
      <formula>0</formula>
    </cfRule>
    <cfRule type="cellIs" dxfId="591" priority="608" operator="lessThan">
      <formula>0</formula>
    </cfRule>
  </conditionalFormatting>
  <conditionalFormatting sqref="EP577">
    <cfRule type="cellIs" dxfId="590" priority="606" operator="equal">
      <formula>0</formula>
    </cfRule>
  </conditionalFormatting>
  <conditionalFormatting sqref="EO577">
    <cfRule type="containsText" dxfId="589" priority="604" operator="containsText" text="PUT">
      <formula>NOT(ISERROR(SEARCH("PUT",EO577)))</formula>
    </cfRule>
    <cfRule type="containsText" dxfId="588" priority="605" operator="containsText" text="CALL">
      <formula>NOT(ISERROR(SEARCH("CALL",EO577)))</formula>
    </cfRule>
  </conditionalFormatting>
  <conditionalFormatting sqref="EP578">
    <cfRule type="cellIs" dxfId="587" priority="602" operator="greaterThan">
      <formula>0</formula>
    </cfRule>
    <cfRule type="cellIs" dxfId="586" priority="603" operator="lessThan">
      <formula>0</formula>
    </cfRule>
  </conditionalFormatting>
  <conditionalFormatting sqref="EP578">
    <cfRule type="cellIs" dxfId="585" priority="601" operator="equal">
      <formula>0</formula>
    </cfRule>
  </conditionalFormatting>
  <conditionalFormatting sqref="EO578">
    <cfRule type="containsText" dxfId="584" priority="599" operator="containsText" text="PUT">
      <formula>NOT(ISERROR(SEARCH("PUT",EO578)))</formula>
    </cfRule>
    <cfRule type="containsText" dxfId="583" priority="600" operator="containsText" text="CALL">
      <formula>NOT(ISERROR(SEARCH("CALL",EO578)))</formula>
    </cfRule>
  </conditionalFormatting>
  <conditionalFormatting sqref="EP579">
    <cfRule type="cellIs" dxfId="582" priority="597" operator="greaterThan">
      <formula>0</formula>
    </cfRule>
    <cfRule type="cellIs" dxfId="581" priority="598" operator="lessThan">
      <formula>0</formula>
    </cfRule>
  </conditionalFormatting>
  <conditionalFormatting sqref="EP579">
    <cfRule type="cellIs" dxfId="580" priority="596" operator="equal">
      <formula>0</formula>
    </cfRule>
  </conditionalFormatting>
  <conditionalFormatting sqref="EO579">
    <cfRule type="containsText" dxfId="579" priority="594" operator="containsText" text="PUT">
      <formula>NOT(ISERROR(SEARCH("PUT",EO579)))</formula>
    </cfRule>
    <cfRule type="containsText" dxfId="578" priority="595" operator="containsText" text="CALL">
      <formula>NOT(ISERROR(SEARCH("CALL",EO579)))</formula>
    </cfRule>
  </conditionalFormatting>
  <conditionalFormatting sqref="EP591">
    <cfRule type="cellIs" dxfId="577" priority="592" operator="greaterThan">
      <formula>0</formula>
    </cfRule>
    <cfRule type="cellIs" dxfId="576" priority="593" operator="lessThan">
      <formula>0</formula>
    </cfRule>
  </conditionalFormatting>
  <conditionalFormatting sqref="EP591">
    <cfRule type="cellIs" dxfId="575" priority="591" operator="equal">
      <formula>0</formula>
    </cfRule>
  </conditionalFormatting>
  <conditionalFormatting sqref="EO591">
    <cfRule type="containsText" dxfId="574" priority="589" operator="containsText" text="PUT">
      <formula>NOT(ISERROR(SEARCH("PUT",EO591)))</formula>
    </cfRule>
    <cfRule type="containsText" dxfId="573" priority="590" operator="containsText" text="CALL">
      <formula>NOT(ISERROR(SEARCH("CALL",EO591)))</formula>
    </cfRule>
  </conditionalFormatting>
  <conditionalFormatting sqref="EP570">
    <cfRule type="cellIs" dxfId="572" priority="587" operator="greaterThan">
      <formula>0</formula>
    </cfRule>
    <cfRule type="cellIs" dxfId="571" priority="588" operator="lessThan">
      <formula>0</formula>
    </cfRule>
  </conditionalFormatting>
  <conditionalFormatting sqref="EP570">
    <cfRule type="cellIs" dxfId="570" priority="586" operator="equal">
      <formula>0</formula>
    </cfRule>
  </conditionalFormatting>
  <conditionalFormatting sqref="EO570">
    <cfRule type="containsText" dxfId="569" priority="584" operator="containsText" text="PUT">
      <formula>NOT(ISERROR(SEARCH("PUT",EO570)))</formula>
    </cfRule>
    <cfRule type="containsText" dxfId="568" priority="585" operator="containsText" text="CALL">
      <formula>NOT(ISERROR(SEARCH("CALL",EO570)))</formula>
    </cfRule>
  </conditionalFormatting>
  <conditionalFormatting sqref="EP570">
    <cfRule type="cellIs" dxfId="567" priority="582" operator="greaterThan">
      <formula>0</formula>
    </cfRule>
    <cfRule type="cellIs" dxfId="566" priority="583" operator="lessThan">
      <formula>0</formula>
    </cfRule>
  </conditionalFormatting>
  <conditionalFormatting sqref="EP570">
    <cfRule type="cellIs" dxfId="565" priority="581" operator="equal">
      <formula>0</formula>
    </cfRule>
  </conditionalFormatting>
  <conditionalFormatting sqref="EO570">
    <cfRule type="containsText" dxfId="564" priority="579" operator="containsText" text="PUT">
      <formula>NOT(ISERROR(SEARCH("PUT",EO570)))</formula>
    </cfRule>
    <cfRule type="containsText" dxfId="563" priority="580" operator="containsText" text="CALL">
      <formula>NOT(ISERROR(SEARCH("CALL",EO570)))</formula>
    </cfRule>
  </conditionalFormatting>
  <conditionalFormatting sqref="EP570:EP571">
    <cfRule type="cellIs" dxfId="562" priority="577" operator="greaterThan">
      <formula>0</formula>
    </cfRule>
    <cfRule type="cellIs" dxfId="561" priority="578" operator="lessThan">
      <formula>0</formula>
    </cfRule>
  </conditionalFormatting>
  <conditionalFormatting sqref="EP570:EP571">
    <cfRule type="cellIs" dxfId="560" priority="576" operator="equal">
      <formula>0</formula>
    </cfRule>
  </conditionalFormatting>
  <conditionalFormatting sqref="EO570:EO571">
    <cfRule type="containsText" dxfId="559" priority="574" operator="containsText" text="PUT">
      <formula>NOT(ISERROR(SEARCH("PUT",EO570)))</formula>
    </cfRule>
    <cfRule type="containsText" dxfId="558" priority="575" operator="containsText" text="CALL">
      <formula>NOT(ISERROR(SEARCH("CALL",EO570)))</formula>
    </cfRule>
  </conditionalFormatting>
  <conditionalFormatting sqref="EP572">
    <cfRule type="cellIs" dxfId="557" priority="572" operator="greaterThan">
      <formula>0</formula>
    </cfRule>
    <cfRule type="cellIs" dxfId="556" priority="573" operator="lessThan">
      <formula>0</formula>
    </cfRule>
  </conditionalFormatting>
  <conditionalFormatting sqref="EP572">
    <cfRule type="cellIs" dxfId="555" priority="571" operator="equal">
      <formula>0</formula>
    </cfRule>
  </conditionalFormatting>
  <conditionalFormatting sqref="EO572">
    <cfRule type="containsText" dxfId="554" priority="569" operator="containsText" text="PUT">
      <formula>NOT(ISERROR(SEARCH("PUT",EO572)))</formula>
    </cfRule>
    <cfRule type="containsText" dxfId="553" priority="570" operator="containsText" text="CALL">
      <formula>NOT(ISERROR(SEARCH("CALL",EO572)))</formula>
    </cfRule>
  </conditionalFormatting>
  <conditionalFormatting sqref="EP572">
    <cfRule type="cellIs" dxfId="552" priority="567" operator="greaterThan">
      <formula>0</formula>
    </cfRule>
    <cfRule type="cellIs" dxfId="551" priority="568" operator="lessThan">
      <formula>0</formula>
    </cfRule>
  </conditionalFormatting>
  <conditionalFormatting sqref="EP572">
    <cfRule type="cellIs" dxfId="550" priority="566" operator="equal">
      <formula>0</formula>
    </cfRule>
  </conditionalFormatting>
  <conditionalFormatting sqref="EO572">
    <cfRule type="containsText" dxfId="549" priority="564" operator="containsText" text="PUT">
      <formula>NOT(ISERROR(SEARCH("PUT",EO572)))</formula>
    </cfRule>
    <cfRule type="containsText" dxfId="548" priority="565" operator="containsText" text="CALL">
      <formula>NOT(ISERROR(SEARCH("CALL",EO572)))</formula>
    </cfRule>
  </conditionalFormatting>
  <conditionalFormatting sqref="EP572:EP573">
    <cfRule type="cellIs" dxfId="547" priority="562" operator="greaterThan">
      <formula>0</formula>
    </cfRule>
    <cfRule type="cellIs" dxfId="546" priority="563" operator="lessThan">
      <formula>0</formula>
    </cfRule>
  </conditionalFormatting>
  <conditionalFormatting sqref="EP572:EP573">
    <cfRule type="cellIs" dxfId="545" priority="561" operator="equal">
      <formula>0</formula>
    </cfRule>
  </conditionalFormatting>
  <conditionalFormatting sqref="EO572:EO573">
    <cfRule type="containsText" dxfId="544" priority="559" operator="containsText" text="PUT">
      <formula>NOT(ISERROR(SEARCH("PUT",EO572)))</formula>
    </cfRule>
    <cfRule type="containsText" dxfId="543" priority="560" operator="containsText" text="CALL">
      <formula>NOT(ISERROR(SEARCH("CALL",EO572)))</formula>
    </cfRule>
  </conditionalFormatting>
  <conditionalFormatting sqref="EP574">
    <cfRule type="cellIs" dxfId="542" priority="557" operator="greaterThan">
      <formula>0</formula>
    </cfRule>
    <cfRule type="cellIs" dxfId="541" priority="558" operator="lessThan">
      <formula>0</formula>
    </cfRule>
  </conditionalFormatting>
  <conditionalFormatting sqref="EP574">
    <cfRule type="cellIs" dxfId="540" priority="556" operator="equal">
      <formula>0</formula>
    </cfRule>
  </conditionalFormatting>
  <conditionalFormatting sqref="EO574">
    <cfRule type="containsText" dxfId="539" priority="554" operator="containsText" text="PUT">
      <formula>NOT(ISERROR(SEARCH("PUT",EO574)))</formula>
    </cfRule>
    <cfRule type="containsText" dxfId="538" priority="555" operator="containsText" text="CALL">
      <formula>NOT(ISERROR(SEARCH("CALL",EO574)))</formula>
    </cfRule>
  </conditionalFormatting>
  <conditionalFormatting sqref="EP574">
    <cfRule type="cellIs" dxfId="537" priority="552" operator="greaterThan">
      <formula>0</formula>
    </cfRule>
    <cfRule type="cellIs" dxfId="536" priority="553" operator="lessThan">
      <formula>0</formula>
    </cfRule>
  </conditionalFormatting>
  <conditionalFormatting sqref="EP574">
    <cfRule type="cellIs" dxfId="535" priority="551" operator="equal">
      <formula>0</formula>
    </cfRule>
  </conditionalFormatting>
  <conditionalFormatting sqref="EO574">
    <cfRule type="containsText" dxfId="534" priority="549" operator="containsText" text="PUT">
      <formula>NOT(ISERROR(SEARCH("PUT",EO574)))</formula>
    </cfRule>
    <cfRule type="containsText" dxfId="533" priority="550" operator="containsText" text="CALL">
      <formula>NOT(ISERROR(SEARCH("CALL",EO574)))</formula>
    </cfRule>
  </conditionalFormatting>
  <conditionalFormatting sqref="EP574:EP575">
    <cfRule type="cellIs" dxfId="532" priority="547" operator="greaterThan">
      <formula>0</formula>
    </cfRule>
    <cfRule type="cellIs" dxfId="531" priority="548" operator="lessThan">
      <formula>0</formula>
    </cfRule>
  </conditionalFormatting>
  <conditionalFormatting sqref="EP574:EP575">
    <cfRule type="cellIs" dxfId="530" priority="546" operator="equal">
      <formula>0</formula>
    </cfRule>
  </conditionalFormatting>
  <conditionalFormatting sqref="EO574:EO575">
    <cfRule type="containsText" dxfId="529" priority="544" operator="containsText" text="PUT">
      <formula>NOT(ISERROR(SEARCH("PUT",EO574)))</formula>
    </cfRule>
    <cfRule type="containsText" dxfId="528" priority="545" operator="containsText" text="CALL">
      <formula>NOT(ISERROR(SEARCH("CALL",EO574)))</formula>
    </cfRule>
  </conditionalFormatting>
  <conditionalFormatting sqref="EP584">
    <cfRule type="cellIs" dxfId="527" priority="517" operator="greaterThan">
      <formula>0</formula>
    </cfRule>
    <cfRule type="cellIs" dxfId="526" priority="518" operator="lessThan">
      <formula>0</formula>
    </cfRule>
  </conditionalFormatting>
  <conditionalFormatting sqref="EP584">
    <cfRule type="cellIs" dxfId="525" priority="516" operator="equal">
      <formula>0</formula>
    </cfRule>
  </conditionalFormatting>
  <conditionalFormatting sqref="EO584">
    <cfRule type="containsText" dxfId="524" priority="514" operator="containsText" text="PUT">
      <formula>NOT(ISERROR(SEARCH("PUT",EO584)))</formula>
    </cfRule>
    <cfRule type="containsText" dxfId="523" priority="515" operator="containsText" text="CALL">
      <formula>NOT(ISERROR(SEARCH("CALL",EO584)))</formula>
    </cfRule>
  </conditionalFormatting>
  <conditionalFormatting sqref="EP586">
    <cfRule type="cellIs" dxfId="522" priority="512" operator="greaterThan">
      <formula>0</formula>
    </cfRule>
    <cfRule type="cellIs" dxfId="521" priority="513" operator="lessThan">
      <formula>0</formula>
    </cfRule>
  </conditionalFormatting>
  <conditionalFormatting sqref="EP586">
    <cfRule type="cellIs" dxfId="520" priority="511" operator="equal">
      <formula>0</formula>
    </cfRule>
  </conditionalFormatting>
  <conditionalFormatting sqref="EO586">
    <cfRule type="containsText" dxfId="519" priority="509" operator="containsText" text="PUT">
      <formula>NOT(ISERROR(SEARCH("PUT",EO586)))</formula>
    </cfRule>
    <cfRule type="containsText" dxfId="518" priority="510" operator="containsText" text="CALL">
      <formula>NOT(ISERROR(SEARCH("CALL",EO586)))</formula>
    </cfRule>
  </conditionalFormatting>
  <conditionalFormatting sqref="EP586">
    <cfRule type="cellIs" dxfId="517" priority="507" operator="greaterThan">
      <formula>0</formula>
    </cfRule>
    <cfRule type="cellIs" dxfId="516" priority="508" operator="lessThan">
      <formula>0</formula>
    </cfRule>
  </conditionalFormatting>
  <conditionalFormatting sqref="EP586">
    <cfRule type="cellIs" dxfId="515" priority="506" operator="equal">
      <formula>0</formula>
    </cfRule>
  </conditionalFormatting>
  <conditionalFormatting sqref="EO586">
    <cfRule type="containsText" dxfId="514" priority="504" operator="containsText" text="PUT">
      <formula>NOT(ISERROR(SEARCH("PUT",EO586)))</formula>
    </cfRule>
    <cfRule type="containsText" dxfId="513" priority="505" operator="containsText" text="CALL">
      <formula>NOT(ISERROR(SEARCH("CALL",EO586)))</formula>
    </cfRule>
  </conditionalFormatting>
  <conditionalFormatting sqref="EP586:EP587">
    <cfRule type="cellIs" dxfId="512" priority="502" operator="greaterThan">
      <formula>0</formula>
    </cfRule>
    <cfRule type="cellIs" dxfId="511" priority="503" operator="lessThan">
      <formula>0</formula>
    </cfRule>
  </conditionalFormatting>
  <conditionalFormatting sqref="EP586:EP587">
    <cfRule type="cellIs" dxfId="510" priority="501" operator="equal">
      <formula>0</formula>
    </cfRule>
  </conditionalFormatting>
  <conditionalFormatting sqref="EO586:EO587">
    <cfRule type="containsText" dxfId="509" priority="499" operator="containsText" text="PUT">
      <formula>NOT(ISERROR(SEARCH("PUT",EO586)))</formula>
    </cfRule>
    <cfRule type="containsText" dxfId="508" priority="500" operator="containsText" text="CALL">
      <formula>NOT(ISERROR(SEARCH("CALL",EO586)))</formula>
    </cfRule>
  </conditionalFormatting>
  <conditionalFormatting sqref="EP588">
    <cfRule type="cellIs" dxfId="507" priority="497" operator="greaterThan">
      <formula>0</formula>
    </cfRule>
    <cfRule type="cellIs" dxfId="506" priority="498" operator="lessThan">
      <formula>0</formula>
    </cfRule>
  </conditionalFormatting>
  <conditionalFormatting sqref="EP588">
    <cfRule type="cellIs" dxfId="505" priority="496" operator="equal">
      <formula>0</formula>
    </cfRule>
  </conditionalFormatting>
  <conditionalFormatting sqref="EO588">
    <cfRule type="containsText" dxfId="504" priority="494" operator="containsText" text="PUT">
      <formula>NOT(ISERROR(SEARCH("PUT",EO588)))</formula>
    </cfRule>
    <cfRule type="containsText" dxfId="503" priority="495" operator="containsText" text="CALL">
      <formula>NOT(ISERROR(SEARCH("CALL",EO588)))</formula>
    </cfRule>
  </conditionalFormatting>
  <conditionalFormatting sqref="EP588">
    <cfRule type="cellIs" dxfId="502" priority="492" operator="greaterThan">
      <formula>0</formula>
    </cfRule>
    <cfRule type="cellIs" dxfId="501" priority="493" operator="lessThan">
      <formula>0</formula>
    </cfRule>
  </conditionalFormatting>
  <conditionalFormatting sqref="EP588">
    <cfRule type="cellIs" dxfId="500" priority="491" operator="equal">
      <formula>0</formula>
    </cfRule>
  </conditionalFormatting>
  <conditionalFormatting sqref="EO588">
    <cfRule type="containsText" dxfId="499" priority="489" operator="containsText" text="PUT">
      <formula>NOT(ISERROR(SEARCH("PUT",EO588)))</formula>
    </cfRule>
    <cfRule type="containsText" dxfId="498" priority="490" operator="containsText" text="CALL">
      <formula>NOT(ISERROR(SEARCH("CALL",EO588)))</formula>
    </cfRule>
  </conditionalFormatting>
  <conditionalFormatting sqref="EP588:EP589">
    <cfRule type="cellIs" dxfId="497" priority="487" operator="greaterThan">
      <formula>0</formula>
    </cfRule>
    <cfRule type="cellIs" dxfId="496" priority="488" operator="lessThan">
      <formula>0</formula>
    </cfRule>
  </conditionalFormatting>
  <conditionalFormatting sqref="EP588:EP589">
    <cfRule type="cellIs" dxfId="495" priority="486" operator="equal">
      <formula>0</formula>
    </cfRule>
  </conditionalFormatting>
  <conditionalFormatting sqref="EO588:EO589">
    <cfRule type="containsText" dxfId="494" priority="484" operator="containsText" text="PUT">
      <formula>NOT(ISERROR(SEARCH("PUT",EO588)))</formula>
    </cfRule>
    <cfRule type="containsText" dxfId="493" priority="485" operator="containsText" text="CALL">
      <formula>NOT(ISERROR(SEARCH("CALL",EO588)))</formula>
    </cfRule>
  </conditionalFormatting>
  <conditionalFormatting sqref="EP558">
    <cfRule type="cellIs" dxfId="492" priority="482" operator="greaterThan">
      <formula>0</formula>
    </cfRule>
    <cfRule type="cellIs" dxfId="491" priority="483" operator="lessThan">
      <formula>0</formula>
    </cfRule>
  </conditionalFormatting>
  <conditionalFormatting sqref="EP558">
    <cfRule type="cellIs" dxfId="490" priority="481" operator="equal">
      <formula>0</formula>
    </cfRule>
  </conditionalFormatting>
  <conditionalFormatting sqref="EO558">
    <cfRule type="containsText" dxfId="489" priority="479" operator="containsText" text="PUT">
      <formula>NOT(ISERROR(SEARCH("PUT",EO558)))</formula>
    </cfRule>
    <cfRule type="containsText" dxfId="488" priority="480" operator="containsText" text="CALL">
      <formula>NOT(ISERROR(SEARCH("CALL",EO558)))</formula>
    </cfRule>
  </conditionalFormatting>
  <conditionalFormatting sqref="EP559">
    <cfRule type="cellIs" dxfId="487" priority="477" operator="greaterThan">
      <formula>0</formula>
    </cfRule>
    <cfRule type="cellIs" dxfId="486" priority="478" operator="lessThan">
      <formula>0</formula>
    </cfRule>
  </conditionalFormatting>
  <conditionalFormatting sqref="EP559">
    <cfRule type="cellIs" dxfId="485" priority="476" operator="equal">
      <formula>0</formula>
    </cfRule>
  </conditionalFormatting>
  <conditionalFormatting sqref="EO559">
    <cfRule type="containsText" dxfId="484" priority="474" operator="containsText" text="PUT">
      <formula>NOT(ISERROR(SEARCH("PUT",EO559)))</formula>
    </cfRule>
    <cfRule type="containsText" dxfId="483" priority="475" operator="containsText" text="CALL">
      <formula>NOT(ISERROR(SEARCH("CALL",EO559)))</formula>
    </cfRule>
  </conditionalFormatting>
  <conditionalFormatting sqref="EP560">
    <cfRule type="cellIs" dxfId="482" priority="472" operator="greaterThan">
      <formula>0</formula>
    </cfRule>
    <cfRule type="cellIs" dxfId="481" priority="473" operator="lessThan">
      <formula>0</formula>
    </cfRule>
  </conditionalFormatting>
  <conditionalFormatting sqref="EP560">
    <cfRule type="cellIs" dxfId="480" priority="471" operator="equal">
      <formula>0</formula>
    </cfRule>
  </conditionalFormatting>
  <conditionalFormatting sqref="EO560">
    <cfRule type="containsText" dxfId="479" priority="469" operator="containsText" text="PUT">
      <formula>NOT(ISERROR(SEARCH("PUT",EO560)))</formula>
    </cfRule>
    <cfRule type="containsText" dxfId="478" priority="470" operator="containsText" text="CALL">
      <formula>NOT(ISERROR(SEARCH("CALL",EO560)))</formula>
    </cfRule>
  </conditionalFormatting>
  <conditionalFormatting sqref="EP552">
    <cfRule type="cellIs" dxfId="477" priority="467" operator="greaterThan">
      <formula>0</formula>
    </cfRule>
    <cfRule type="cellIs" dxfId="476" priority="468" operator="lessThan">
      <formula>0</formula>
    </cfRule>
  </conditionalFormatting>
  <conditionalFormatting sqref="EP552">
    <cfRule type="cellIs" dxfId="475" priority="466" operator="equal">
      <formula>0</formula>
    </cfRule>
  </conditionalFormatting>
  <conditionalFormatting sqref="EO552">
    <cfRule type="containsText" dxfId="474" priority="464" operator="containsText" text="PUT">
      <formula>NOT(ISERROR(SEARCH("PUT",EO552)))</formula>
    </cfRule>
    <cfRule type="containsText" dxfId="473" priority="465" operator="containsText" text="CALL">
      <formula>NOT(ISERROR(SEARCH("CALL",EO552)))</formula>
    </cfRule>
  </conditionalFormatting>
  <conditionalFormatting sqref="EP552">
    <cfRule type="cellIs" dxfId="472" priority="462" operator="greaterThan">
      <formula>0</formula>
    </cfRule>
    <cfRule type="cellIs" dxfId="471" priority="463" operator="lessThan">
      <formula>0</formula>
    </cfRule>
  </conditionalFormatting>
  <conditionalFormatting sqref="EP552">
    <cfRule type="cellIs" dxfId="470" priority="461" operator="equal">
      <formula>0</formula>
    </cfRule>
  </conditionalFormatting>
  <conditionalFormatting sqref="EO552">
    <cfRule type="containsText" dxfId="469" priority="459" operator="containsText" text="PUT">
      <formula>NOT(ISERROR(SEARCH("PUT",EO552)))</formula>
    </cfRule>
    <cfRule type="containsText" dxfId="468" priority="460" operator="containsText" text="CALL">
      <formula>NOT(ISERROR(SEARCH("CALL",EO552)))</formula>
    </cfRule>
  </conditionalFormatting>
  <conditionalFormatting sqref="EP552:EP553">
    <cfRule type="cellIs" dxfId="467" priority="457" operator="greaterThan">
      <formula>0</formula>
    </cfRule>
    <cfRule type="cellIs" dxfId="466" priority="458" operator="lessThan">
      <formula>0</formula>
    </cfRule>
  </conditionalFormatting>
  <conditionalFormatting sqref="EP552:EP553">
    <cfRule type="cellIs" dxfId="465" priority="456" operator="equal">
      <formula>0</formula>
    </cfRule>
  </conditionalFormatting>
  <conditionalFormatting sqref="EO552:EO553">
    <cfRule type="containsText" dxfId="464" priority="454" operator="containsText" text="PUT">
      <formula>NOT(ISERROR(SEARCH("PUT",EO552)))</formula>
    </cfRule>
    <cfRule type="containsText" dxfId="463" priority="455" operator="containsText" text="CALL">
      <formula>NOT(ISERROR(SEARCH("CALL",EO552)))</formula>
    </cfRule>
  </conditionalFormatting>
  <conditionalFormatting sqref="EP554">
    <cfRule type="cellIs" dxfId="462" priority="452" operator="greaterThan">
      <formula>0</formula>
    </cfRule>
    <cfRule type="cellIs" dxfId="461" priority="453" operator="lessThan">
      <formula>0</formula>
    </cfRule>
  </conditionalFormatting>
  <conditionalFormatting sqref="EP554">
    <cfRule type="cellIs" dxfId="460" priority="451" operator="equal">
      <formula>0</formula>
    </cfRule>
  </conditionalFormatting>
  <conditionalFormatting sqref="EO554">
    <cfRule type="containsText" dxfId="459" priority="449" operator="containsText" text="PUT">
      <formula>NOT(ISERROR(SEARCH("PUT",EO554)))</formula>
    </cfRule>
    <cfRule type="containsText" dxfId="458" priority="450" operator="containsText" text="CALL">
      <formula>NOT(ISERROR(SEARCH("CALL",EO554)))</formula>
    </cfRule>
  </conditionalFormatting>
  <conditionalFormatting sqref="EP554">
    <cfRule type="cellIs" dxfId="457" priority="447" operator="greaterThan">
      <formula>0</formula>
    </cfRule>
    <cfRule type="cellIs" dxfId="456" priority="448" operator="lessThan">
      <formula>0</formula>
    </cfRule>
  </conditionalFormatting>
  <conditionalFormatting sqref="EP554">
    <cfRule type="cellIs" dxfId="455" priority="446" operator="equal">
      <formula>0</formula>
    </cfRule>
  </conditionalFormatting>
  <conditionalFormatting sqref="EO554">
    <cfRule type="containsText" dxfId="454" priority="444" operator="containsText" text="PUT">
      <formula>NOT(ISERROR(SEARCH("PUT",EO554)))</formula>
    </cfRule>
    <cfRule type="containsText" dxfId="453" priority="445" operator="containsText" text="CALL">
      <formula>NOT(ISERROR(SEARCH("CALL",EO554)))</formula>
    </cfRule>
  </conditionalFormatting>
  <conditionalFormatting sqref="EP554:EP555">
    <cfRule type="cellIs" dxfId="452" priority="442" operator="greaterThan">
      <formula>0</formula>
    </cfRule>
    <cfRule type="cellIs" dxfId="451" priority="443" operator="lessThan">
      <formula>0</formula>
    </cfRule>
  </conditionalFormatting>
  <conditionalFormatting sqref="EP554:EP555">
    <cfRule type="cellIs" dxfId="450" priority="441" operator="equal">
      <formula>0</formula>
    </cfRule>
  </conditionalFormatting>
  <conditionalFormatting sqref="EO554:EO555">
    <cfRule type="containsText" dxfId="449" priority="439" operator="containsText" text="PUT">
      <formula>NOT(ISERROR(SEARCH("PUT",EO554)))</formula>
    </cfRule>
    <cfRule type="containsText" dxfId="448" priority="440" operator="containsText" text="CALL">
      <formula>NOT(ISERROR(SEARCH("CALL",EO554)))</formula>
    </cfRule>
  </conditionalFormatting>
  <conditionalFormatting sqref="EP556">
    <cfRule type="cellIs" dxfId="447" priority="437" operator="greaterThan">
      <formula>0</formula>
    </cfRule>
    <cfRule type="cellIs" dxfId="446" priority="438" operator="lessThan">
      <formula>0</formula>
    </cfRule>
  </conditionalFormatting>
  <conditionalFormatting sqref="EP556">
    <cfRule type="cellIs" dxfId="445" priority="436" operator="equal">
      <formula>0</formula>
    </cfRule>
  </conditionalFormatting>
  <conditionalFormatting sqref="EO556">
    <cfRule type="containsText" dxfId="444" priority="434" operator="containsText" text="PUT">
      <formula>NOT(ISERROR(SEARCH("PUT",EO556)))</formula>
    </cfRule>
    <cfRule type="containsText" dxfId="443" priority="435" operator="containsText" text="CALL">
      <formula>NOT(ISERROR(SEARCH("CALL",EO556)))</formula>
    </cfRule>
  </conditionalFormatting>
  <conditionalFormatting sqref="EP556">
    <cfRule type="cellIs" dxfId="442" priority="432" operator="greaterThan">
      <formula>0</formula>
    </cfRule>
    <cfRule type="cellIs" dxfId="441" priority="433" operator="lessThan">
      <formula>0</formula>
    </cfRule>
  </conditionalFormatting>
  <conditionalFormatting sqref="EP556">
    <cfRule type="cellIs" dxfId="440" priority="431" operator="equal">
      <formula>0</formula>
    </cfRule>
  </conditionalFormatting>
  <conditionalFormatting sqref="EO556">
    <cfRule type="containsText" dxfId="439" priority="429" operator="containsText" text="PUT">
      <formula>NOT(ISERROR(SEARCH("PUT",EO556)))</formula>
    </cfRule>
    <cfRule type="containsText" dxfId="438" priority="430" operator="containsText" text="CALL">
      <formula>NOT(ISERROR(SEARCH("CALL",EO556)))</formula>
    </cfRule>
  </conditionalFormatting>
  <conditionalFormatting sqref="EP556:EP557">
    <cfRule type="cellIs" dxfId="437" priority="427" operator="greaterThan">
      <formula>0</formula>
    </cfRule>
    <cfRule type="cellIs" dxfId="436" priority="428" operator="lessThan">
      <formula>0</formula>
    </cfRule>
  </conditionalFormatting>
  <conditionalFormatting sqref="EP556:EP557">
    <cfRule type="cellIs" dxfId="435" priority="426" operator="equal">
      <formula>0</formula>
    </cfRule>
  </conditionalFormatting>
  <conditionalFormatting sqref="EO556:EO557">
    <cfRule type="containsText" dxfId="434" priority="424" operator="containsText" text="PUT">
      <formula>NOT(ISERROR(SEARCH("PUT",EO556)))</formula>
    </cfRule>
    <cfRule type="containsText" dxfId="433" priority="425" operator="containsText" text="CALL">
      <formula>NOT(ISERROR(SEARCH("CALL",EO556)))</formula>
    </cfRule>
  </conditionalFormatting>
  <conditionalFormatting sqref="EP578">
    <cfRule type="cellIs" dxfId="432" priority="422" operator="greaterThan">
      <formula>0</formula>
    </cfRule>
    <cfRule type="cellIs" dxfId="431" priority="423" operator="lessThan">
      <formula>0</formula>
    </cfRule>
  </conditionalFormatting>
  <conditionalFormatting sqref="EP578">
    <cfRule type="cellIs" dxfId="430" priority="421" operator="equal">
      <formula>0</formula>
    </cfRule>
  </conditionalFormatting>
  <conditionalFormatting sqref="EO578">
    <cfRule type="containsText" dxfId="429" priority="419" operator="containsText" text="PUT">
      <formula>NOT(ISERROR(SEARCH("PUT",EO578)))</formula>
    </cfRule>
    <cfRule type="containsText" dxfId="428" priority="420" operator="containsText" text="CALL">
      <formula>NOT(ISERROR(SEARCH("CALL",EO578)))</formula>
    </cfRule>
  </conditionalFormatting>
  <conditionalFormatting sqref="EP579">
    <cfRule type="cellIs" dxfId="427" priority="417" operator="greaterThan">
      <formula>0</formula>
    </cfRule>
    <cfRule type="cellIs" dxfId="426" priority="418" operator="lessThan">
      <formula>0</formula>
    </cfRule>
  </conditionalFormatting>
  <conditionalFormatting sqref="EP579">
    <cfRule type="cellIs" dxfId="425" priority="416" operator="equal">
      <formula>0</formula>
    </cfRule>
  </conditionalFormatting>
  <conditionalFormatting sqref="EO579">
    <cfRule type="containsText" dxfId="424" priority="414" operator="containsText" text="PUT">
      <formula>NOT(ISERROR(SEARCH("PUT",EO579)))</formula>
    </cfRule>
    <cfRule type="containsText" dxfId="423" priority="415" operator="containsText" text="CALL">
      <formula>NOT(ISERROR(SEARCH("CALL",EO579)))</formula>
    </cfRule>
  </conditionalFormatting>
  <conditionalFormatting sqref="EP570">
    <cfRule type="cellIs" dxfId="422" priority="412" operator="greaterThan">
      <formula>0</formula>
    </cfRule>
    <cfRule type="cellIs" dxfId="421" priority="413" operator="lessThan">
      <formula>0</formula>
    </cfRule>
  </conditionalFormatting>
  <conditionalFormatting sqref="EP570">
    <cfRule type="cellIs" dxfId="420" priority="411" operator="equal">
      <formula>0</formula>
    </cfRule>
  </conditionalFormatting>
  <conditionalFormatting sqref="EO570">
    <cfRule type="containsText" dxfId="419" priority="409" operator="containsText" text="PUT">
      <formula>NOT(ISERROR(SEARCH("PUT",EO570)))</formula>
    </cfRule>
    <cfRule type="containsText" dxfId="418" priority="410" operator="containsText" text="CALL">
      <formula>NOT(ISERROR(SEARCH("CALL",EO570)))</formula>
    </cfRule>
  </conditionalFormatting>
  <conditionalFormatting sqref="EP570">
    <cfRule type="cellIs" dxfId="417" priority="407" operator="greaterThan">
      <formula>0</formula>
    </cfRule>
    <cfRule type="cellIs" dxfId="416" priority="408" operator="lessThan">
      <formula>0</formula>
    </cfRule>
  </conditionalFormatting>
  <conditionalFormatting sqref="EP570">
    <cfRule type="cellIs" dxfId="415" priority="406" operator="equal">
      <formula>0</formula>
    </cfRule>
  </conditionalFormatting>
  <conditionalFormatting sqref="EO570">
    <cfRule type="containsText" dxfId="414" priority="404" operator="containsText" text="PUT">
      <formula>NOT(ISERROR(SEARCH("PUT",EO570)))</formula>
    </cfRule>
    <cfRule type="containsText" dxfId="413" priority="405" operator="containsText" text="CALL">
      <formula>NOT(ISERROR(SEARCH("CALL",EO570)))</formula>
    </cfRule>
  </conditionalFormatting>
  <conditionalFormatting sqref="EP570:EP571">
    <cfRule type="cellIs" dxfId="412" priority="402" operator="greaterThan">
      <formula>0</formula>
    </cfRule>
    <cfRule type="cellIs" dxfId="411" priority="403" operator="lessThan">
      <formula>0</formula>
    </cfRule>
  </conditionalFormatting>
  <conditionalFormatting sqref="EP570:EP571">
    <cfRule type="cellIs" dxfId="410" priority="401" operator="equal">
      <formula>0</formula>
    </cfRule>
  </conditionalFormatting>
  <conditionalFormatting sqref="EO570:EO571">
    <cfRule type="containsText" dxfId="409" priority="399" operator="containsText" text="PUT">
      <formula>NOT(ISERROR(SEARCH("PUT",EO570)))</formula>
    </cfRule>
    <cfRule type="containsText" dxfId="408" priority="400" operator="containsText" text="CALL">
      <formula>NOT(ISERROR(SEARCH("CALL",EO570)))</formula>
    </cfRule>
  </conditionalFormatting>
  <conditionalFormatting sqref="EP572">
    <cfRule type="cellIs" dxfId="407" priority="397" operator="greaterThan">
      <formula>0</formula>
    </cfRule>
    <cfRule type="cellIs" dxfId="406" priority="398" operator="lessThan">
      <formula>0</formula>
    </cfRule>
  </conditionalFormatting>
  <conditionalFormatting sqref="EP572">
    <cfRule type="cellIs" dxfId="405" priority="396" operator="equal">
      <formula>0</formula>
    </cfRule>
  </conditionalFormatting>
  <conditionalFormatting sqref="EO572">
    <cfRule type="containsText" dxfId="404" priority="394" operator="containsText" text="PUT">
      <formula>NOT(ISERROR(SEARCH("PUT",EO572)))</formula>
    </cfRule>
    <cfRule type="containsText" dxfId="403" priority="395" operator="containsText" text="CALL">
      <formula>NOT(ISERROR(SEARCH("CALL",EO572)))</formula>
    </cfRule>
  </conditionalFormatting>
  <conditionalFormatting sqref="EP572">
    <cfRule type="cellIs" dxfId="402" priority="392" operator="greaterThan">
      <formula>0</formula>
    </cfRule>
    <cfRule type="cellIs" dxfId="401" priority="393" operator="lessThan">
      <formula>0</formula>
    </cfRule>
  </conditionalFormatting>
  <conditionalFormatting sqref="EP572">
    <cfRule type="cellIs" dxfId="400" priority="391" operator="equal">
      <formula>0</formula>
    </cfRule>
  </conditionalFormatting>
  <conditionalFormatting sqref="EO572">
    <cfRule type="containsText" dxfId="399" priority="389" operator="containsText" text="PUT">
      <formula>NOT(ISERROR(SEARCH("PUT",EO572)))</formula>
    </cfRule>
    <cfRule type="containsText" dxfId="398" priority="390" operator="containsText" text="CALL">
      <formula>NOT(ISERROR(SEARCH("CALL",EO572)))</formula>
    </cfRule>
  </conditionalFormatting>
  <conditionalFormatting sqref="EP572:EP573">
    <cfRule type="cellIs" dxfId="397" priority="387" operator="greaterThan">
      <formula>0</formula>
    </cfRule>
    <cfRule type="cellIs" dxfId="396" priority="388" operator="lessThan">
      <formula>0</formula>
    </cfRule>
  </conditionalFormatting>
  <conditionalFormatting sqref="EP572:EP573">
    <cfRule type="cellIs" dxfId="395" priority="386" operator="equal">
      <formula>0</formula>
    </cfRule>
  </conditionalFormatting>
  <conditionalFormatting sqref="EO572:EO573">
    <cfRule type="containsText" dxfId="394" priority="384" operator="containsText" text="PUT">
      <formula>NOT(ISERROR(SEARCH("PUT",EO572)))</formula>
    </cfRule>
    <cfRule type="containsText" dxfId="393" priority="385" operator="containsText" text="CALL">
      <formula>NOT(ISERROR(SEARCH("CALL",EO572)))</formula>
    </cfRule>
  </conditionalFormatting>
  <conditionalFormatting sqref="EP574">
    <cfRule type="cellIs" dxfId="392" priority="382" operator="greaterThan">
      <formula>0</formula>
    </cfRule>
    <cfRule type="cellIs" dxfId="391" priority="383" operator="lessThan">
      <formula>0</formula>
    </cfRule>
  </conditionalFormatting>
  <conditionalFormatting sqref="EP574">
    <cfRule type="cellIs" dxfId="390" priority="381" operator="equal">
      <formula>0</formula>
    </cfRule>
  </conditionalFormatting>
  <conditionalFormatting sqref="EO574">
    <cfRule type="containsText" dxfId="389" priority="379" operator="containsText" text="PUT">
      <formula>NOT(ISERROR(SEARCH("PUT",EO574)))</formula>
    </cfRule>
    <cfRule type="containsText" dxfId="388" priority="380" operator="containsText" text="CALL">
      <formula>NOT(ISERROR(SEARCH("CALL",EO574)))</formula>
    </cfRule>
  </conditionalFormatting>
  <conditionalFormatting sqref="EP574">
    <cfRule type="cellIs" dxfId="387" priority="377" operator="greaterThan">
      <formula>0</formula>
    </cfRule>
    <cfRule type="cellIs" dxfId="386" priority="378" operator="lessThan">
      <formula>0</formula>
    </cfRule>
  </conditionalFormatting>
  <conditionalFormatting sqref="EP574">
    <cfRule type="cellIs" dxfId="385" priority="376" operator="equal">
      <formula>0</formula>
    </cfRule>
  </conditionalFormatting>
  <conditionalFormatting sqref="EO574">
    <cfRule type="containsText" dxfId="384" priority="374" operator="containsText" text="PUT">
      <formula>NOT(ISERROR(SEARCH("PUT",EO574)))</formula>
    </cfRule>
    <cfRule type="containsText" dxfId="383" priority="375" operator="containsText" text="CALL">
      <formula>NOT(ISERROR(SEARCH("CALL",EO574)))</formula>
    </cfRule>
  </conditionalFormatting>
  <conditionalFormatting sqref="EP574:EP575">
    <cfRule type="cellIs" dxfId="382" priority="372" operator="greaterThan">
      <formula>0</formula>
    </cfRule>
    <cfRule type="cellIs" dxfId="381" priority="373" operator="lessThan">
      <formula>0</formula>
    </cfRule>
  </conditionalFormatting>
  <conditionalFormatting sqref="EP574:EP575">
    <cfRule type="cellIs" dxfId="380" priority="371" operator="equal">
      <formula>0</formula>
    </cfRule>
  </conditionalFormatting>
  <conditionalFormatting sqref="EO574:EO575">
    <cfRule type="containsText" dxfId="379" priority="369" operator="containsText" text="PUT">
      <formula>NOT(ISERROR(SEARCH("PUT",EO574)))</formula>
    </cfRule>
    <cfRule type="containsText" dxfId="378" priority="370" operator="containsText" text="CALL">
      <formula>NOT(ISERROR(SEARCH("CALL",EO574)))</formula>
    </cfRule>
  </conditionalFormatting>
  <conditionalFormatting sqref="EP576">
    <cfRule type="cellIs" dxfId="377" priority="367" operator="greaterThan">
      <formula>0</formula>
    </cfRule>
    <cfRule type="cellIs" dxfId="376" priority="368" operator="lessThan">
      <formula>0</formula>
    </cfRule>
  </conditionalFormatting>
  <conditionalFormatting sqref="EP576">
    <cfRule type="cellIs" dxfId="375" priority="366" operator="equal">
      <formula>0</formula>
    </cfRule>
  </conditionalFormatting>
  <conditionalFormatting sqref="EO576">
    <cfRule type="containsText" dxfId="374" priority="364" operator="containsText" text="PUT">
      <formula>NOT(ISERROR(SEARCH("PUT",EO576)))</formula>
    </cfRule>
    <cfRule type="containsText" dxfId="373" priority="365" operator="containsText" text="CALL">
      <formula>NOT(ISERROR(SEARCH("CALL",EO576)))</formula>
    </cfRule>
  </conditionalFormatting>
  <conditionalFormatting sqref="EP576">
    <cfRule type="cellIs" dxfId="372" priority="362" operator="greaterThan">
      <formula>0</formula>
    </cfRule>
    <cfRule type="cellIs" dxfId="371" priority="363" operator="lessThan">
      <formula>0</formula>
    </cfRule>
  </conditionalFormatting>
  <conditionalFormatting sqref="EP576">
    <cfRule type="cellIs" dxfId="370" priority="361" operator="equal">
      <formula>0</formula>
    </cfRule>
  </conditionalFormatting>
  <conditionalFormatting sqref="EO576">
    <cfRule type="containsText" dxfId="369" priority="359" operator="containsText" text="PUT">
      <formula>NOT(ISERROR(SEARCH("PUT",EO576)))</formula>
    </cfRule>
    <cfRule type="containsText" dxfId="368" priority="360" operator="containsText" text="CALL">
      <formula>NOT(ISERROR(SEARCH("CALL",EO576)))</formula>
    </cfRule>
  </conditionalFormatting>
  <conditionalFormatting sqref="EP576:EP577">
    <cfRule type="cellIs" dxfId="367" priority="357" operator="greaterThan">
      <formula>0</formula>
    </cfRule>
    <cfRule type="cellIs" dxfId="366" priority="358" operator="lessThan">
      <formula>0</formula>
    </cfRule>
  </conditionalFormatting>
  <conditionalFormatting sqref="EP576:EP577">
    <cfRule type="cellIs" dxfId="365" priority="356" operator="equal">
      <formula>0</formula>
    </cfRule>
  </conditionalFormatting>
  <conditionalFormatting sqref="EO576:EO577">
    <cfRule type="containsText" dxfId="364" priority="354" operator="containsText" text="PUT">
      <formula>NOT(ISERROR(SEARCH("PUT",EO576)))</formula>
    </cfRule>
    <cfRule type="containsText" dxfId="363" priority="355" operator="containsText" text="CALL">
      <formula>NOT(ISERROR(SEARCH("CALL",EO576)))</formula>
    </cfRule>
  </conditionalFormatting>
  <conditionalFormatting sqref="EP585">
    <cfRule type="cellIs" dxfId="362" priority="352" operator="greaterThan">
      <formula>0</formula>
    </cfRule>
    <cfRule type="cellIs" dxfId="361" priority="353" operator="lessThan">
      <formula>0</formula>
    </cfRule>
  </conditionalFormatting>
  <conditionalFormatting sqref="EP585">
    <cfRule type="cellIs" dxfId="360" priority="351" operator="equal">
      <formula>0</formula>
    </cfRule>
  </conditionalFormatting>
  <conditionalFormatting sqref="EO585">
    <cfRule type="containsText" dxfId="359" priority="349" operator="containsText" text="PUT">
      <formula>NOT(ISERROR(SEARCH("PUT",EO585)))</formula>
    </cfRule>
    <cfRule type="containsText" dxfId="358" priority="350" operator="containsText" text="CALL">
      <formula>NOT(ISERROR(SEARCH("CALL",EO585)))</formula>
    </cfRule>
  </conditionalFormatting>
  <conditionalFormatting sqref="EP585">
    <cfRule type="cellIs" dxfId="357" priority="347" operator="greaterThan">
      <formula>0</formula>
    </cfRule>
    <cfRule type="cellIs" dxfId="356" priority="348" operator="lessThan">
      <formula>0</formula>
    </cfRule>
  </conditionalFormatting>
  <conditionalFormatting sqref="EP585">
    <cfRule type="cellIs" dxfId="355" priority="346" operator="equal">
      <formula>0</formula>
    </cfRule>
  </conditionalFormatting>
  <conditionalFormatting sqref="EO585">
    <cfRule type="containsText" dxfId="354" priority="344" operator="containsText" text="PUT">
      <formula>NOT(ISERROR(SEARCH("PUT",EO585)))</formula>
    </cfRule>
    <cfRule type="containsText" dxfId="353" priority="345" operator="containsText" text="CALL">
      <formula>NOT(ISERROR(SEARCH("CALL",EO585)))</formula>
    </cfRule>
  </conditionalFormatting>
  <conditionalFormatting sqref="EP592">
    <cfRule type="cellIs" dxfId="352" priority="342" operator="greaterThan">
      <formula>0</formula>
    </cfRule>
    <cfRule type="cellIs" dxfId="351" priority="343" operator="lessThan">
      <formula>0</formula>
    </cfRule>
  </conditionalFormatting>
  <conditionalFormatting sqref="EP592">
    <cfRule type="cellIs" dxfId="350" priority="341" operator="equal">
      <formula>0</formula>
    </cfRule>
  </conditionalFormatting>
  <conditionalFormatting sqref="EO592">
    <cfRule type="containsText" dxfId="349" priority="339" operator="containsText" text="PUT">
      <formula>NOT(ISERROR(SEARCH("PUT",EO592)))</formula>
    </cfRule>
    <cfRule type="containsText" dxfId="348" priority="340" operator="containsText" text="CALL">
      <formula>NOT(ISERROR(SEARCH("CALL",EO592)))</formula>
    </cfRule>
  </conditionalFormatting>
  <conditionalFormatting sqref="EP592">
    <cfRule type="cellIs" dxfId="347" priority="337" operator="greaterThan">
      <formula>0</formula>
    </cfRule>
    <cfRule type="cellIs" dxfId="346" priority="338" operator="lessThan">
      <formula>0</formula>
    </cfRule>
  </conditionalFormatting>
  <conditionalFormatting sqref="EP592">
    <cfRule type="cellIs" dxfId="345" priority="336" operator="equal">
      <formula>0</formula>
    </cfRule>
  </conditionalFormatting>
  <conditionalFormatting sqref="EO592">
    <cfRule type="containsText" dxfId="344" priority="334" operator="containsText" text="PUT">
      <formula>NOT(ISERROR(SEARCH("PUT",EO592)))</formula>
    </cfRule>
    <cfRule type="containsText" dxfId="343" priority="335" operator="containsText" text="CALL">
      <formula>NOT(ISERROR(SEARCH("CALL",EO592)))</formula>
    </cfRule>
  </conditionalFormatting>
  <conditionalFormatting sqref="EP594">
    <cfRule type="cellIs" dxfId="342" priority="332" operator="greaterThan">
      <formula>0</formula>
    </cfRule>
    <cfRule type="cellIs" dxfId="341" priority="333" operator="lessThan">
      <formula>0</formula>
    </cfRule>
  </conditionalFormatting>
  <conditionalFormatting sqref="EP594">
    <cfRule type="cellIs" dxfId="340" priority="331" operator="equal">
      <formula>0</formula>
    </cfRule>
  </conditionalFormatting>
  <conditionalFormatting sqref="EO594">
    <cfRule type="containsText" dxfId="339" priority="329" operator="containsText" text="PUT">
      <formula>NOT(ISERROR(SEARCH("PUT",EO594)))</formula>
    </cfRule>
    <cfRule type="containsText" dxfId="338" priority="330" operator="containsText" text="CALL">
      <formula>NOT(ISERROR(SEARCH("CALL",EO594)))</formula>
    </cfRule>
  </conditionalFormatting>
  <conditionalFormatting sqref="EP594">
    <cfRule type="cellIs" dxfId="337" priority="327" operator="greaterThan">
      <formula>0</formula>
    </cfRule>
    <cfRule type="cellIs" dxfId="336" priority="328" operator="lessThan">
      <formula>0</formula>
    </cfRule>
  </conditionalFormatting>
  <conditionalFormatting sqref="EP594">
    <cfRule type="cellIs" dxfId="335" priority="326" operator="equal">
      <formula>0</formula>
    </cfRule>
  </conditionalFormatting>
  <conditionalFormatting sqref="EO594">
    <cfRule type="containsText" dxfId="334" priority="324" operator="containsText" text="PUT">
      <formula>NOT(ISERROR(SEARCH("PUT",EO594)))</formula>
    </cfRule>
    <cfRule type="containsText" dxfId="333" priority="325" operator="containsText" text="CALL">
      <formula>NOT(ISERROR(SEARCH("CALL",EO594)))</formula>
    </cfRule>
  </conditionalFormatting>
  <conditionalFormatting sqref="EP595">
    <cfRule type="cellIs" dxfId="332" priority="322" operator="greaterThan">
      <formula>0</formula>
    </cfRule>
    <cfRule type="cellIs" dxfId="331" priority="323" operator="lessThan">
      <formula>0</formula>
    </cfRule>
  </conditionalFormatting>
  <conditionalFormatting sqref="EP595">
    <cfRule type="cellIs" dxfId="330" priority="321" operator="equal">
      <formula>0</formula>
    </cfRule>
  </conditionalFormatting>
  <conditionalFormatting sqref="EO595">
    <cfRule type="containsText" dxfId="329" priority="319" operator="containsText" text="PUT">
      <formula>NOT(ISERROR(SEARCH("PUT",EO595)))</formula>
    </cfRule>
    <cfRule type="containsText" dxfId="328" priority="320" operator="containsText" text="CALL">
      <formula>NOT(ISERROR(SEARCH("CALL",EO595)))</formula>
    </cfRule>
  </conditionalFormatting>
  <conditionalFormatting sqref="EP603 EP605">
    <cfRule type="cellIs" dxfId="327" priority="317" operator="greaterThan">
      <formula>0</formula>
    </cfRule>
    <cfRule type="cellIs" dxfId="326" priority="318" operator="lessThan">
      <formula>0</formula>
    </cfRule>
  </conditionalFormatting>
  <conditionalFormatting sqref="EP603 EP605">
    <cfRule type="cellIs" dxfId="325" priority="316" operator="equal">
      <formula>0</formula>
    </cfRule>
  </conditionalFormatting>
  <conditionalFormatting sqref="EO603 EO605">
    <cfRule type="containsText" dxfId="324" priority="314" operator="containsText" text="PUT">
      <formula>NOT(ISERROR(SEARCH("PUT",EO603)))</formula>
    </cfRule>
    <cfRule type="containsText" dxfId="323" priority="315" operator="containsText" text="CALL">
      <formula>NOT(ISERROR(SEARCH("CALL",EO603)))</formula>
    </cfRule>
  </conditionalFormatting>
  <conditionalFormatting sqref="EP603">
    <cfRule type="cellIs" dxfId="322" priority="312" operator="greaterThan">
      <formula>0</formula>
    </cfRule>
    <cfRule type="cellIs" dxfId="321" priority="313" operator="lessThan">
      <formula>0</formula>
    </cfRule>
  </conditionalFormatting>
  <conditionalFormatting sqref="EP603">
    <cfRule type="cellIs" dxfId="320" priority="311" operator="equal">
      <formula>0</formula>
    </cfRule>
  </conditionalFormatting>
  <conditionalFormatting sqref="EO603">
    <cfRule type="containsText" dxfId="319" priority="309" operator="containsText" text="PUT">
      <formula>NOT(ISERROR(SEARCH("PUT",EO603)))</formula>
    </cfRule>
    <cfRule type="containsText" dxfId="318" priority="310" operator="containsText" text="CALL">
      <formula>NOT(ISERROR(SEARCH("CALL",EO603)))</formula>
    </cfRule>
  </conditionalFormatting>
  <conditionalFormatting sqref="EP604">
    <cfRule type="cellIs" dxfId="317" priority="307" operator="greaterThan">
      <formula>0</formula>
    </cfRule>
    <cfRule type="cellIs" dxfId="316" priority="308" operator="lessThan">
      <formula>0</formula>
    </cfRule>
  </conditionalFormatting>
  <conditionalFormatting sqref="EP604">
    <cfRule type="cellIs" dxfId="315" priority="306" operator="equal">
      <formula>0</formula>
    </cfRule>
  </conditionalFormatting>
  <conditionalFormatting sqref="EO604">
    <cfRule type="containsText" dxfId="314" priority="304" operator="containsText" text="PUT">
      <formula>NOT(ISERROR(SEARCH("PUT",EO604)))</formula>
    </cfRule>
    <cfRule type="containsText" dxfId="313" priority="305" operator="containsText" text="CALL">
      <formula>NOT(ISERROR(SEARCH("CALL",EO604)))</formula>
    </cfRule>
  </conditionalFormatting>
  <conditionalFormatting sqref="EP604">
    <cfRule type="cellIs" dxfId="312" priority="302" operator="greaterThan">
      <formula>0</formula>
    </cfRule>
    <cfRule type="cellIs" dxfId="311" priority="303" operator="lessThan">
      <formula>0</formula>
    </cfRule>
  </conditionalFormatting>
  <conditionalFormatting sqref="EP604">
    <cfRule type="cellIs" dxfId="310" priority="301" operator="equal">
      <formula>0</formula>
    </cfRule>
  </conditionalFormatting>
  <conditionalFormatting sqref="EO604">
    <cfRule type="containsText" dxfId="309" priority="299" operator="containsText" text="PUT">
      <formula>NOT(ISERROR(SEARCH("PUT",EO604)))</formula>
    </cfRule>
    <cfRule type="containsText" dxfId="308" priority="300" operator="containsText" text="CALL">
      <formula>NOT(ISERROR(SEARCH("CALL",EO604)))</formula>
    </cfRule>
  </conditionalFormatting>
  <conditionalFormatting sqref="EP606">
    <cfRule type="cellIs" dxfId="307" priority="297" operator="greaterThan">
      <formula>0</formula>
    </cfRule>
    <cfRule type="cellIs" dxfId="306" priority="298" operator="lessThan">
      <formula>0</formula>
    </cfRule>
  </conditionalFormatting>
  <conditionalFormatting sqref="EP606">
    <cfRule type="cellIs" dxfId="305" priority="296" operator="equal">
      <formula>0</formula>
    </cfRule>
  </conditionalFormatting>
  <conditionalFormatting sqref="EO606">
    <cfRule type="containsText" dxfId="304" priority="294" operator="containsText" text="PUT">
      <formula>NOT(ISERROR(SEARCH("PUT",EO606)))</formula>
    </cfRule>
    <cfRule type="containsText" dxfId="303" priority="295" operator="containsText" text="CALL">
      <formula>NOT(ISERROR(SEARCH("CALL",EO606)))</formula>
    </cfRule>
  </conditionalFormatting>
  <conditionalFormatting sqref="EP606">
    <cfRule type="cellIs" dxfId="302" priority="292" operator="greaterThan">
      <formula>0</formula>
    </cfRule>
    <cfRule type="cellIs" dxfId="301" priority="293" operator="lessThan">
      <formula>0</formula>
    </cfRule>
  </conditionalFormatting>
  <conditionalFormatting sqref="EP606">
    <cfRule type="cellIs" dxfId="300" priority="291" operator="equal">
      <formula>0</formula>
    </cfRule>
  </conditionalFormatting>
  <conditionalFormatting sqref="EO606">
    <cfRule type="containsText" dxfId="299" priority="289" operator="containsText" text="PUT">
      <formula>NOT(ISERROR(SEARCH("PUT",EO606)))</formula>
    </cfRule>
    <cfRule type="containsText" dxfId="298" priority="290" operator="containsText" text="CALL">
      <formula>NOT(ISERROR(SEARCH("CALL",EO606)))</formula>
    </cfRule>
  </conditionalFormatting>
  <conditionalFormatting sqref="EP607">
    <cfRule type="cellIs" dxfId="297" priority="287" operator="greaterThan">
      <formula>0</formula>
    </cfRule>
    <cfRule type="cellIs" dxfId="296" priority="288" operator="lessThan">
      <formula>0</formula>
    </cfRule>
  </conditionalFormatting>
  <conditionalFormatting sqref="EP607">
    <cfRule type="cellIs" dxfId="295" priority="286" operator="equal">
      <formula>0</formula>
    </cfRule>
  </conditionalFormatting>
  <conditionalFormatting sqref="EO607">
    <cfRule type="containsText" dxfId="294" priority="284" operator="containsText" text="PUT">
      <formula>NOT(ISERROR(SEARCH("PUT",EO607)))</formula>
    </cfRule>
    <cfRule type="containsText" dxfId="293" priority="285" operator="containsText" text="CALL">
      <formula>NOT(ISERROR(SEARCH("CALL",EO607)))</formula>
    </cfRule>
  </conditionalFormatting>
  <conditionalFormatting sqref="EP607">
    <cfRule type="cellIs" dxfId="292" priority="282" operator="greaterThan">
      <formula>0</formula>
    </cfRule>
    <cfRule type="cellIs" dxfId="291" priority="283" operator="lessThan">
      <formula>0</formula>
    </cfRule>
  </conditionalFormatting>
  <conditionalFormatting sqref="EP607">
    <cfRule type="cellIs" dxfId="290" priority="281" operator="equal">
      <formula>0</formula>
    </cfRule>
  </conditionalFormatting>
  <conditionalFormatting sqref="EO607">
    <cfRule type="containsText" dxfId="289" priority="279" operator="containsText" text="PUT">
      <formula>NOT(ISERROR(SEARCH("PUT",EO607)))</formula>
    </cfRule>
    <cfRule type="containsText" dxfId="288" priority="280" operator="containsText" text="CALL">
      <formula>NOT(ISERROR(SEARCH("CALL",EO607)))</formula>
    </cfRule>
  </conditionalFormatting>
  <conditionalFormatting sqref="EP608">
    <cfRule type="cellIs" dxfId="287" priority="277" operator="greaterThan">
      <formula>0</formula>
    </cfRule>
    <cfRule type="cellIs" dxfId="286" priority="278" operator="lessThan">
      <formula>0</formula>
    </cfRule>
  </conditionalFormatting>
  <conditionalFormatting sqref="EP608">
    <cfRule type="cellIs" dxfId="285" priority="276" operator="equal">
      <formula>0</formula>
    </cfRule>
  </conditionalFormatting>
  <conditionalFormatting sqref="EO608">
    <cfRule type="containsText" dxfId="284" priority="274" operator="containsText" text="PUT">
      <formula>NOT(ISERROR(SEARCH("PUT",EO608)))</formula>
    </cfRule>
    <cfRule type="containsText" dxfId="283" priority="275" operator="containsText" text="CALL">
      <formula>NOT(ISERROR(SEARCH("CALL",EO608)))</formula>
    </cfRule>
  </conditionalFormatting>
  <conditionalFormatting sqref="EP608">
    <cfRule type="cellIs" dxfId="282" priority="272" operator="greaterThan">
      <formula>0</formula>
    </cfRule>
    <cfRule type="cellIs" dxfId="281" priority="273" operator="lessThan">
      <formula>0</formula>
    </cfRule>
  </conditionalFormatting>
  <conditionalFormatting sqref="EP608">
    <cfRule type="cellIs" dxfId="280" priority="271" operator="equal">
      <formula>0</formula>
    </cfRule>
  </conditionalFormatting>
  <conditionalFormatting sqref="EO608">
    <cfRule type="containsText" dxfId="279" priority="269" operator="containsText" text="PUT">
      <formula>NOT(ISERROR(SEARCH("PUT",EO608)))</formula>
    </cfRule>
    <cfRule type="containsText" dxfId="278" priority="270" operator="containsText" text="CALL">
      <formula>NOT(ISERROR(SEARCH("CALL",EO608)))</formula>
    </cfRule>
  </conditionalFormatting>
  <conditionalFormatting sqref="EP609">
    <cfRule type="cellIs" dxfId="277" priority="267" operator="greaterThan">
      <formula>0</formula>
    </cfRule>
    <cfRule type="cellIs" dxfId="276" priority="268" operator="lessThan">
      <formula>0</formula>
    </cfRule>
  </conditionalFormatting>
  <conditionalFormatting sqref="EP609">
    <cfRule type="cellIs" dxfId="275" priority="266" operator="equal">
      <formula>0</formula>
    </cfRule>
  </conditionalFormatting>
  <conditionalFormatting sqref="EO609">
    <cfRule type="containsText" dxfId="274" priority="264" operator="containsText" text="PUT">
      <formula>NOT(ISERROR(SEARCH("PUT",EO609)))</formula>
    </cfRule>
    <cfRule type="containsText" dxfId="273" priority="265" operator="containsText" text="CALL">
      <formula>NOT(ISERROR(SEARCH("CALL",EO609)))</formula>
    </cfRule>
  </conditionalFormatting>
  <conditionalFormatting sqref="EP613">
    <cfRule type="cellIs" dxfId="272" priority="262" operator="greaterThan">
      <formula>0</formula>
    </cfRule>
    <cfRule type="cellIs" dxfId="271" priority="263" operator="lessThan">
      <formula>0</formula>
    </cfRule>
  </conditionalFormatting>
  <conditionalFormatting sqref="EP613">
    <cfRule type="cellIs" dxfId="270" priority="261" operator="equal">
      <formula>0</formula>
    </cfRule>
  </conditionalFormatting>
  <conditionalFormatting sqref="EO613">
    <cfRule type="containsText" dxfId="269" priority="259" operator="containsText" text="PUT">
      <formula>NOT(ISERROR(SEARCH("PUT",EO613)))</formula>
    </cfRule>
    <cfRule type="containsText" dxfId="268" priority="260" operator="containsText" text="CALL">
      <formula>NOT(ISERROR(SEARCH("CALL",EO613)))</formula>
    </cfRule>
  </conditionalFormatting>
  <conditionalFormatting sqref="EP614 EP616">
    <cfRule type="cellIs" dxfId="267" priority="257" operator="greaterThan">
      <formula>0</formula>
    </cfRule>
    <cfRule type="cellIs" dxfId="266" priority="258" operator="lessThan">
      <formula>0</formula>
    </cfRule>
  </conditionalFormatting>
  <conditionalFormatting sqref="EP614 EP616">
    <cfRule type="cellIs" dxfId="265" priority="256" operator="equal">
      <formula>0</formula>
    </cfRule>
  </conditionalFormatting>
  <conditionalFormatting sqref="EO614 EO616">
    <cfRule type="containsText" dxfId="264" priority="254" operator="containsText" text="PUT">
      <formula>NOT(ISERROR(SEARCH("PUT",EO614)))</formula>
    </cfRule>
    <cfRule type="containsText" dxfId="263" priority="255" operator="containsText" text="CALL">
      <formula>NOT(ISERROR(SEARCH("CALL",EO614)))</formula>
    </cfRule>
  </conditionalFormatting>
  <conditionalFormatting sqref="EP614">
    <cfRule type="cellIs" dxfId="262" priority="252" operator="greaterThan">
      <formula>0</formula>
    </cfRule>
    <cfRule type="cellIs" dxfId="261" priority="253" operator="lessThan">
      <formula>0</formula>
    </cfRule>
  </conditionalFormatting>
  <conditionalFormatting sqref="EP614">
    <cfRule type="cellIs" dxfId="260" priority="251" operator="equal">
      <formula>0</formula>
    </cfRule>
  </conditionalFormatting>
  <conditionalFormatting sqref="EO614">
    <cfRule type="containsText" dxfId="259" priority="249" operator="containsText" text="PUT">
      <formula>NOT(ISERROR(SEARCH("PUT",EO614)))</formula>
    </cfRule>
    <cfRule type="containsText" dxfId="258" priority="250" operator="containsText" text="CALL">
      <formula>NOT(ISERROR(SEARCH("CALL",EO614)))</formula>
    </cfRule>
  </conditionalFormatting>
  <conditionalFormatting sqref="EP615">
    <cfRule type="cellIs" dxfId="257" priority="247" operator="greaterThan">
      <formula>0</formula>
    </cfRule>
    <cfRule type="cellIs" dxfId="256" priority="248" operator="lessThan">
      <formula>0</formula>
    </cfRule>
  </conditionalFormatting>
  <conditionalFormatting sqref="EP615">
    <cfRule type="cellIs" dxfId="255" priority="246" operator="equal">
      <formula>0</formula>
    </cfRule>
  </conditionalFormatting>
  <conditionalFormatting sqref="EO615">
    <cfRule type="containsText" dxfId="254" priority="244" operator="containsText" text="PUT">
      <formula>NOT(ISERROR(SEARCH("PUT",EO615)))</formula>
    </cfRule>
    <cfRule type="containsText" dxfId="253" priority="245" operator="containsText" text="CALL">
      <formula>NOT(ISERROR(SEARCH("CALL",EO615)))</formula>
    </cfRule>
  </conditionalFormatting>
  <conditionalFormatting sqref="EP615">
    <cfRule type="cellIs" dxfId="252" priority="242" operator="greaterThan">
      <formula>0</formula>
    </cfRule>
    <cfRule type="cellIs" dxfId="251" priority="243" operator="lessThan">
      <formula>0</formula>
    </cfRule>
  </conditionalFormatting>
  <conditionalFormatting sqref="EP615">
    <cfRule type="cellIs" dxfId="250" priority="241" operator="equal">
      <formula>0</formula>
    </cfRule>
  </conditionalFormatting>
  <conditionalFormatting sqref="EO615">
    <cfRule type="containsText" dxfId="249" priority="239" operator="containsText" text="PUT">
      <formula>NOT(ISERROR(SEARCH("PUT",EO615)))</formula>
    </cfRule>
    <cfRule type="containsText" dxfId="248" priority="240" operator="containsText" text="CALL">
      <formula>NOT(ISERROR(SEARCH("CALL",EO615)))</formula>
    </cfRule>
  </conditionalFormatting>
  <conditionalFormatting sqref="EP617">
    <cfRule type="cellIs" dxfId="247" priority="237" operator="greaterThan">
      <formula>0</formula>
    </cfRule>
    <cfRule type="cellIs" dxfId="246" priority="238" operator="lessThan">
      <formula>0</formula>
    </cfRule>
  </conditionalFormatting>
  <conditionalFormatting sqref="EP617">
    <cfRule type="cellIs" dxfId="245" priority="236" operator="equal">
      <formula>0</formula>
    </cfRule>
  </conditionalFormatting>
  <conditionalFormatting sqref="EO617">
    <cfRule type="containsText" dxfId="244" priority="234" operator="containsText" text="PUT">
      <formula>NOT(ISERROR(SEARCH("PUT",EO617)))</formula>
    </cfRule>
    <cfRule type="containsText" dxfId="243" priority="235" operator="containsText" text="CALL">
      <formula>NOT(ISERROR(SEARCH("CALL",EO617)))</formula>
    </cfRule>
  </conditionalFormatting>
  <conditionalFormatting sqref="EP617">
    <cfRule type="cellIs" dxfId="242" priority="232" operator="greaterThan">
      <formula>0</formula>
    </cfRule>
    <cfRule type="cellIs" dxfId="241" priority="233" operator="lessThan">
      <formula>0</formula>
    </cfRule>
  </conditionalFormatting>
  <conditionalFormatting sqref="EP617">
    <cfRule type="cellIs" dxfId="240" priority="231" operator="equal">
      <formula>0</formula>
    </cfRule>
  </conditionalFormatting>
  <conditionalFormatting sqref="EO617">
    <cfRule type="containsText" dxfId="239" priority="229" operator="containsText" text="PUT">
      <formula>NOT(ISERROR(SEARCH("PUT",EO617)))</formula>
    </cfRule>
    <cfRule type="containsText" dxfId="238" priority="230" operator="containsText" text="CALL">
      <formula>NOT(ISERROR(SEARCH("CALL",EO617)))</formula>
    </cfRule>
  </conditionalFormatting>
  <conditionalFormatting sqref="EP621">
    <cfRule type="cellIs" dxfId="237" priority="227" operator="greaterThan">
      <formula>0</formula>
    </cfRule>
    <cfRule type="cellIs" dxfId="236" priority="228" operator="lessThan">
      <formula>0</formula>
    </cfRule>
  </conditionalFormatting>
  <conditionalFormatting sqref="EP621">
    <cfRule type="cellIs" dxfId="235" priority="226" operator="equal">
      <formula>0</formula>
    </cfRule>
  </conditionalFormatting>
  <conditionalFormatting sqref="EO621">
    <cfRule type="containsText" dxfId="234" priority="224" operator="containsText" text="PUT">
      <formula>NOT(ISERROR(SEARCH("PUT",EO621)))</formula>
    </cfRule>
    <cfRule type="containsText" dxfId="233" priority="225" operator="containsText" text="CALL">
      <formula>NOT(ISERROR(SEARCH("CALL",EO621)))</formula>
    </cfRule>
  </conditionalFormatting>
  <conditionalFormatting sqref="EP622">
    <cfRule type="cellIs" dxfId="232" priority="222" operator="greaterThan">
      <formula>0</formula>
    </cfRule>
    <cfRule type="cellIs" dxfId="231" priority="223" operator="lessThan">
      <formula>0</formula>
    </cfRule>
  </conditionalFormatting>
  <conditionalFormatting sqref="EP622">
    <cfRule type="cellIs" dxfId="230" priority="221" operator="equal">
      <formula>0</formula>
    </cfRule>
  </conditionalFormatting>
  <conditionalFormatting sqref="EO622">
    <cfRule type="containsText" dxfId="229" priority="219" operator="containsText" text="PUT">
      <formula>NOT(ISERROR(SEARCH("PUT",EO622)))</formula>
    </cfRule>
    <cfRule type="containsText" dxfId="228" priority="220" operator="containsText" text="CALL">
      <formula>NOT(ISERROR(SEARCH("CALL",EO622)))</formula>
    </cfRule>
  </conditionalFormatting>
  <conditionalFormatting sqref="EP622">
    <cfRule type="cellIs" dxfId="227" priority="217" operator="greaterThan">
      <formula>0</formula>
    </cfRule>
    <cfRule type="cellIs" dxfId="226" priority="218" operator="lessThan">
      <formula>0</formula>
    </cfRule>
  </conditionalFormatting>
  <conditionalFormatting sqref="EP622">
    <cfRule type="cellIs" dxfId="225" priority="216" operator="equal">
      <formula>0</formula>
    </cfRule>
  </conditionalFormatting>
  <conditionalFormatting sqref="EO622">
    <cfRule type="containsText" dxfId="224" priority="214" operator="containsText" text="PUT">
      <formula>NOT(ISERROR(SEARCH("PUT",EO622)))</formula>
    </cfRule>
    <cfRule type="containsText" dxfId="223" priority="215" operator="containsText" text="CALL">
      <formula>NOT(ISERROR(SEARCH("CALL",EO622)))</formula>
    </cfRule>
  </conditionalFormatting>
  <conditionalFormatting sqref="EP623">
    <cfRule type="cellIs" dxfId="222" priority="212" operator="greaterThan">
      <formula>0</formula>
    </cfRule>
    <cfRule type="cellIs" dxfId="221" priority="213" operator="lessThan">
      <formula>0</formula>
    </cfRule>
  </conditionalFormatting>
  <conditionalFormatting sqref="EP623">
    <cfRule type="cellIs" dxfId="220" priority="211" operator="equal">
      <formula>0</formula>
    </cfRule>
  </conditionalFormatting>
  <conditionalFormatting sqref="EO623">
    <cfRule type="containsText" dxfId="219" priority="209" operator="containsText" text="PUT">
      <formula>NOT(ISERROR(SEARCH("PUT",EO623)))</formula>
    </cfRule>
    <cfRule type="containsText" dxfId="218" priority="210" operator="containsText" text="CALL">
      <formula>NOT(ISERROR(SEARCH("CALL",EO623)))</formula>
    </cfRule>
  </conditionalFormatting>
  <conditionalFormatting sqref="EP623">
    <cfRule type="cellIs" dxfId="217" priority="207" operator="greaterThan">
      <formula>0</formula>
    </cfRule>
    <cfRule type="cellIs" dxfId="216" priority="208" operator="lessThan">
      <formula>0</formula>
    </cfRule>
  </conditionalFormatting>
  <conditionalFormatting sqref="EP623">
    <cfRule type="cellIs" dxfId="215" priority="206" operator="equal">
      <formula>0</formula>
    </cfRule>
  </conditionalFormatting>
  <conditionalFormatting sqref="EO623">
    <cfRule type="containsText" dxfId="214" priority="204" operator="containsText" text="PUT">
      <formula>NOT(ISERROR(SEARCH("PUT",EO623)))</formula>
    </cfRule>
    <cfRule type="containsText" dxfId="213" priority="205" operator="containsText" text="CALL">
      <formula>NOT(ISERROR(SEARCH("CALL",EO623)))</formula>
    </cfRule>
  </conditionalFormatting>
  <conditionalFormatting sqref="EP624">
    <cfRule type="cellIs" dxfId="212" priority="202" operator="greaterThan">
      <formula>0</formula>
    </cfRule>
    <cfRule type="cellIs" dxfId="211" priority="203" operator="lessThan">
      <formula>0</formula>
    </cfRule>
  </conditionalFormatting>
  <conditionalFormatting sqref="EP624">
    <cfRule type="cellIs" dxfId="210" priority="201" operator="equal">
      <formula>0</formula>
    </cfRule>
  </conditionalFormatting>
  <conditionalFormatting sqref="EO624">
    <cfRule type="containsText" dxfId="209" priority="199" operator="containsText" text="PUT">
      <formula>NOT(ISERROR(SEARCH("PUT",EO624)))</formula>
    </cfRule>
    <cfRule type="containsText" dxfId="208" priority="200" operator="containsText" text="CALL">
      <formula>NOT(ISERROR(SEARCH("CALL",EO624)))</formula>
    </cfRule>
  </conditionalFormatting>
  <conditionalFormatting sqref="EP647">
    <cfRule type="cellIs" dxfId="207" priority="197" operator="greaterThan">
      <formula>0</formula>
    </cfRule>
    <cfRule type="cellIs" dxfId="206" priority="198" operator="lessThan">
      <formula>0</formula>
    </cfRule>
  </conditionalFormatting>
  <conditionalFormatting sqref="EP647">
    <cfRule type="cellIs" dxfId="205" priority="196" operator="equal">
      <formula>0</formula>
    </cfRule>
  </conditionalFormatting>
  <conditionalFormatting sqref="EO647">
    <cfRule type="containsText" dxfId="204" priority="194" operator="containsText" text="PUT">
      <formula>NOT(ISERROR(SEARCH("PUT",EO647)))</formula>
    </cfRule>
    <cfRule type="containsText" dxfId="203" priority="195" operator="containsText" text="CALL">
      <formula>NOT(ISERROR(SEARCH("CALL",EO647)))</formula>
    </cfRule>
  </conditionalFormatting>
  <conditionalFormatting sqref="EP647">
    <cfRule type="cellIs" dxfId="202" priority="192" operator="greaterThan">
      <formula>0</formula>
    </cfRule>
    <cfRule type="cellIs" dxfId="201" priority="193" operator="lessThan">
      <formula>0</formula>
    </cfRule>
  </conditionalFormatting>
  <conditionalFormatting sqref="EP647">
    <cfRule type="cellIs" dxfId="200" priority="191" operator="equal">
      <formula>0</formula>
    </cfRule>
  </conditionalFormatting>
  <conditionalFormatting sqref="EO647">
    <cfRule type="containsText" dxfId="199" priority="189" operator="containsText" text="PUT">
      <formula>NOT(ISERROR(SEARCH("PUT",EO647)))</formula>
    </cfRule>
    <cfRule type="containsText" dxfId="198" priority="190" operator="containsText" text="CALL">
      <formula>NOT(ISERROR(SEARCH("CALL",EO647)))</formula>
    </cfRule>
  </conditionalFormatting>
  <conditionalFormatting sqref="EP648">
    <cfRule type="cellIs" dxfId="197" priority="187" operator="greaterThan">
      <formula>0</formula>
    </cfRule>
    <cfRule type="cellIs" dxfId="196" priority="188" operator="lessThan">
      <formula>0</formula>
    </cfRule>
  </conditionalFormatting>
  <conditionalFormatting sqref="EP648">
    <cfRule type="cellIs" dxfId="195" priority="186" operator="equal">
      <formula>0</formula>
    </cfRule>
  </conditionalFormatting>
  <conditionalFormatting sqref="EO648">
    <cfRule type="containsText" dxfId="194" priority="184" operator="containsText" text="PUT">
      <formula>NOT(ISERROR(SEARCH("PUT",EO648)))</formula>
    </cfRule>
    <cfRule type="containsText" dxfId="193" priority="185" operator="containsText" text="CALL">
      <formula>NOT(ISERROR(SEARCH("CALL",EO648)))</formula>
    </cfRule>
  </conditionalFormatting>
  <conditionalFormatting sqref="EP648">
    <cfRule type="cellIs" dxfId="192" priority="182" operator="greaterThan">
      <formula>0</formula>
    </cfRule>
    <cfRule type="cellIs" dxfId="191" priority="183" operator="lessThan">
      <formula>0</formula>
    </cfRule>
  </conditionalFormatting>
  <conditionalFormatting sqref="EP648">
    <cfRule type="cellIs" dxfId="190" priority="181" operator="equal">
      <formula>0</formula>
    </cfRule>
  </conditionalFormatting>
  <conditionalFormatting sqref="EO648">
    <cfRule type="containsText" dxfId="189" priority="179" operator="containsText" text="PUT">
      <formula>NOT(ISERROR(SEARCH("PUT",EO648)))</formula>
    </cfRule>
    <cfRule type="containsText" dxfId="188" priority="180" operator="containsText" text="CALL">
      <formula>NOT(ISERROR(SEARCH("CALL",EO648)))</formula>
    </cfRule>
  </conditionalFormatting>
  <conditionalFormatting sqref="EP649">
    <cfRule type="cellIs" dxfId="187" priority="177" operator="greaterThan">
      <formula>0</formula>
    </cfRule>
    <cfRule type="cellIs" dxfId="186" priority="178" operator="lessThan">
      <formula>0</formula>
    </cfRule>
  </conditionalFormatting>
  <conditionalFormatting sqref="EP649">
    <cfRule type="cellIs" dxfId="185" priority="176" operator="equal">
      <formula>0</formula>
    </cfRule>
  </conditionalFormatting>
  <conditionalFormatting sqref="EO649">
    <cfRule type="containsText" dxfId="184" priority="174" operator="containsText" text="PUT">
      <formula>NOT(ISERROR(SEARCH("PUT",EO649)))</formula>
    </cfRule>
    <cfRule type="containsText" dxfId="183" priority="175" operator="containsText" text="CALL">
      <formula>NOT(ISERROR(SEARCH("CALL",EO649)))</formula>
    </cfRule>
  </conditionalFormatting>
  <conditionalFormatting sqref="EP649">
    <cfRule type="cellIs" dxfId="182" priority="172" operator="greaterThan">
      <formula>0</formula>
    </cfRule>
    <cfRule type="cellIs" dxfId="181" priority="173" operator="lessThan">
      <formula>0</formula>
    </cfRule>
  </conditionalFormatting>
  <conditionalFormatting sqref="EP649">
    <cfRule type="cellIs" dxfId="180" priority="171" operator="equal">
      <formula>0</formula>
    </cfRule>
  </conditionalFormatting>
  <conditionalFormatting sqref="EO649">
    <cfRule type="containsText" dxfId="179" priority="169" operator="containsText" text="PUT">
      <formula>NOT(ISERROR(SEARCH("PUT",EO649)))</formula>
    </cfRule>
    <cfRule type="containsText" dxfId="178" priority="170" operator="containsText" text="CALL">
      <formula>NOT(ISERROR(SEARCH("CALL",EO649)))</formula>
    </cfRule>
  </conditionalFormatting>
  <conditionalFormatting sqref="EP650">
    <cfRule type="cellIs" dxfId="177" priority="167" operator="greaterThan">
      <formula>0</formula>
    </cfRule>
    <cfRule type="cellIs" dxfId="176" priority="168" operator="lessThan">
      <formula>0</formula>
    </cfRule>
  </conditionalFormatting>
  <conditionalFormatting sqref="EP650">
    <cfRule type="cellIs" dxfId="175" priority="166" operator="equal">
      <formula>0</formula>
    </cfRule>
  </conditionalFormatting>
  <conditionalFormatting sqref="EO650">
    <cfRule type="containsText" dxfId="174" priority="164" operator="containsText" text="PUT">
      <formula>NOT(ISERROR(SEARCH("PUT",EO650)))</formula>
    </cfRule>
    <cfRule type="containsText" dxfId="173" priority="165" operator="containsText" text="CALL">
      <formula>NOT(ISERROR(SEARCH("CALL",EO650)))</formula>
    </cfRule>
  </conditionalFormatting>
  <conditionalFormatting sqref="EP650">
    <cfRule type="cellIs" dxfId="172" priority="162" operator="greaterThan">
      <formula>0</formula>
    </cfRule>
    <cfRule type="cellIs" dxfId="171" priority="163" operator="lessThan">
      <formula>0</formula>
    </cfRule>
  </conditionalFormatting>
  <conditionalFormatting sqref="EP650">
    <cfRule type="cellIs" dxfId="170" priority="161" operator="equal">
      <formula>0</formula>
    </cfRule>
  </conditionalFormatting>
  <conditionalFormatting sqref="EO650">
    <cfRule type="containsText" dxfId="169" priority="159" operator="containsText" text="PUT">
      <formula>NOT(ISERROR(SEARCH("PUT",EO650)))</formula>
    </cfRule>
    <cfRule type="containsText" dxfId="168" priority="160" operator="containsText" text="CALL">
      <formula>NOT(ISERROR(SEARCH("CALL",EO650)))</formula>
    </cfRule>
  </conditionalFormatting>
  <conditionalFormatting sqref="EP651">
    <cfRule type="cellIs" dxfId="167" priority="157" operator="greaterThan">
      <formula>0</formula>
    </cfRule>
    <cfRule type="cellIs" dxfId="166" priority="158" operator="lessThan">
      <formula>0</formula>
    </cfRule>
  </conditionalFormatting>
  <conditionalFormatting sqref="EP651">
    <cfRule type="cellIs" dxfId="165" priority="156" operator="equal">
      <formula>0</formula>
    </cfRule>
  </conditionalFormatting>
  <conditionalFormatting sqref="EO651">
    <cfRule type="containsText" dxfId="164" priority="154" operator="containsText" text="PUT">
      <formula>NOT(ISERROR(SEARCH("PUT",EO651)))</formula>
    </cfRule>
    <cfRule type="containsText" dxfId="163" priority="155" operator="containsText" text="CALL">
      <formula>NOT(ISERROR(SEARCH("CALL",EO651)))</formula>
    </cfRule>
  </conditionalFormatting>
  <conditionalFormatting sqref="EP651">
    <cfRule type="cellIs" dxfId="162" priority="152" operator="greaterThan">
      <formula>0</formula>
    </cfRule>
    <cfRule type="cellIs" dxfId="161" priority="153" operator="lessThan">
      <formula>0</formula>
    </cfRule>
  </conditionalFormatting>
  <conditionalFormatting sqref="EP651">
    <cfRule type="cellIs" dxfId="160" priority="151" operator="equal">
      <formula>0</formula>
    </cfRule>
  </conditionalFormatting>
  <conditionalFormatting sqref="EO651">
    <cfRule type="containsText" dxfId="159" priority="149" operator="containsText" text="PUT">
      <formula>NOT(ISERROR(SEARCH("PUT",EO651)))</formula>
    </cfRule>
    <cfRule type="containsText" dxfId="158" priority="150" operator="containsText" text="CALL">
      <formula>NOT(ISERROR(SEARCH("CALL",EO651)))</formula>
    </cfRule>
  </conditionalFormatting>
  <conditionalFormatting sqref="EP652">
    <cfRule type="cellIs" dxfId="157" priority="147" operator="greaterThan">
      <formula>0</formula>
    </cfRule>
    <cfRule type="cellIs" dxfId="156" priority="148" operator="lessThan">
      <formula>0</formula>
    </cfRule>
  </conditionalFormatting>
  <conditionalFormatting sqref="EP652">
    <cfRule type="cellIs" dxfId="155" priority="146" operator="equal">
      <formula>0</formula>
    </cfRule>
  </conditionalFormatting>
  <conditionalFormatting sqref="EO652">
    <cfRule type="containsText" dxfId="154" priority="144" operator="containsText" text="PUT">
      <formula>NOT(ISERROR(SEARCH("PUT",EO652)))</formula>
    </cfRule>
    <cfRule type="containsText" dxfId="153" priority="145" operator="containsText" text="CALL">
      <formula>NOT(ISERROR(SEARCH("CALL",EO652)))</formula>
    </cfRule>
  </conditionalFormatting>
  <conditionalFormatting sqref="EP652">
    <cfRule type="cellIs" dxfId="152" priority="142" operator="greaterThan">
      <formula>0</formula>
    </cfRule>
    <cfRule type="cellIs" dxfId="151" priority="143" operator="lessThan">
      <formula>0</formula>
    </cfRule>
  </conditionalFormatting>
  <conditionalFormatting sqref="EP652">
    <cfRule type="cellIs" dxfId="150" priority="141" operator="equal">
      <formula>0</formula>
    </cfRule>
  </conditionalFormatting>
  <conditionalFormatting sqref="EO652">
    <cfRule type="containsText" dxfId="149" priority="139" operator="containsText" text="PUT">
      <formula>NOT(ISERROR(SEARCH("PUT",EO652)))</formula>
    </cfRule>
    <cfRule type="containsText" dxfId="148" priority="140" operator="containsText" text="CALL">
      <formula>NOT(ISERROR(SEARCH("CALL",EO652)))</formula>
    </cfRule>
  </conditionalFormatting>
  <conditionalFormatting sqref="EP653">
    <cfRule type="cellIs" dxfId="147" priority="137" operator="greaterThan">
      <formula>0</formula>
    </cfRule>
    <cfRule type="cellIs" dxfId="146" priority="138" operator="lessThan">
      <formula>0</formula>
    </cfRule>
  </conditionalFormatting>
  <conditionalFormatting sqref="EP653">
    <cfRule type="cellIs" dxfId="145" priority="136" operator="equal">
      <formula>0</formula>
    </cfRule>
  </conditionalFormatting>
  <conditionalFormatting sqref="EO653">
    <cfRule type="containsText" dxfId="144" priority="134" operator="containsText" text="PUT">
      <formula>NOT(ISERROR(SEARCH("PUT",EO653)))</formula>
    </cfRule>
    <cfRule type="containsText" dxfId="143" priority="135" operator="containsText" text="CALL">
      <formula>NOT(ISERROR(SEARCH("CALL",EO653)))</formula>
    </cfRule>
  </conditionalFormatting>
  <conditionalFormatting sqref="EP653">
    <cfRule type="cellIs" dxfId="142" priority="132" operator="greaterThan">
      <formula>0</formula>
    </cfRule>
    <cfRule type="cellIs" dxfId="141" priority="133" operator="lessThan">
      <formula>0</formula>
    </cfRule>
  </conditionalFormatting>
  <conditionalFormatting sqref="EP653">
    <cfRule type="cellIs" dxfId="140" priority="131" operator="equal">
      <formula>0</formula>
    </cfRule>
  </conditionalFormatting>
  <conditionalFormatting sqref="EO653">
    <cfRule type="containsText" dxfId="139" priority="129" operator="containsText" text="PUT">
      <formula>NOT(ISERROR(SEARCH("PUT",EO653)))</formula>
    </cfRule>
    <cfRule type="containsText" dxfId="138" priority="130" operator="containsText" text="CALL">
      <formula>NOT(ISERROR(SEARCH("CALL",EO653)))</formula>
    </cfRule>
  </conditionalFormatting>
  <conditionalFormatting sqref="EP350">
    <cfRule type="cellIs" dxfId="137" priority="127" operator="greaterThan">
      <formula>0</formula>
    </cfRule>
    <cfRule type="cellIs" dxfId="136" priority="128" operator="lessThan">
      <formula>0</formula>
    </cfRule>
  </conditionalFormatting>
  <conditionalFormatting sqref="EP350">
    <cfRule type="cellIs" dxfId="135" priority="126" operator="equal">
      <formula>0</formula>
    </cfRule>
  </conditionalFormatting>
  <conditionalFormatting sqref="EO350">
    <cfRule type="containsText" dxfId="134" priority="124" operator="containsText" text="PUT">
      <formula>NOT(ISERROR(SEARCH("PUT",EO350)))</formula>
    </cfRule>
    <cfRule type="containsText" dxfId="133" priority="125" operator="containsText" text="CALL">
      <formula>NOT(ISERROR(SEARCH("CALL",EO350)))</formula>
    </cfRule>
  </conditionalFormatting>
  <conditionalFormatting sqref="EP351">
    <cfRule type="cellIs" dxfId="132" priority="122" operator="greaterThan">
      <formula>0</formula>
    </cfRule>
    <cfRule type="cellIs" dxfId="131" priority="123" operator="lessThan">
      <formula>0</formula>
    </cfRule>
  </conditionalFormatting>
  <conditionalFormatting sqref="EP351">
    <cfRule type="cellIs" dxfId="130" priority="121" operator="equal">
      <formula>0</formula>
    </cfRule>
  </conditionalFormatting>
  <conditionalFormatting sqref="EO351">
    <cfRule type="containsText" dxfId="129" priority="119" operator="containsText" text="PUT">
      <formula>NOT(ISERROR(SEARCH("PUT",EO351)))</formula>
    </cfRule>
    <cfRule type="containsText" dxfId="128" priority="120" operator="containsText" text="CALL">
      <formula>NOT(ISERROR(SEARCH("CALL",EO351)))</formula>
    </cfRule>
  </conditionalFormatting>
  <conditionalFormatting sqref="EP353">
    <cfRule type="cellIs" dxfId="127" priority="117" operator="greaterThan">
      <formula>0</formula>
    </cfRule>
    <cfRule type="cellIs" dxfId="126" priority="118" operator="lessThan">
      <formula>0</formula>
    </cfRule>
  </conditionalFormatting>
  <conditionalFormatting sqref="EP353">
    <cfRule type="cellIs" dxfId="125" priority="116" operator="equal">
      <formula>0</formula>
    </cfRule>
  </conditionalFormatting>
  <conditionalFormatting sqref="EO353">
    <cfRule type="containsText" dxfId="124" priority="114" operator="containsText" text="PUT">
      <formula>NOT(ISERROR(SEARCH("PUT",EO353)))</formula>
    </cfRule>
    <cfRule type="containsText" dxfId="123" priority="115" operator="containsText" text="CALL">
      <formula>NOT(ISERROR(SEARCH("CALL",EO353)))</formula>
    </cfRule>
  </conditionalFormatting>
  <conditionalFormatting sqref="EP381">
    <cfRule type="cellIs" dxfId="122" priority="112" operator="greaterThan">
      <formula>0</formula>
    </cfRule>
    <cfRule type="cellIs" dxfId="121" priority="113" operator="lessThan">
      <formula>0</formula>
    </cfRule>
  </conditionalFormatting>
  <conditionalFormatting sqref="EP381">
    <cfRule type="cellIs" dxfId="120" priority="111" operator="equal">
      <formula>0</formula>
    </cfRule>
  </conditionalFormatting>
  <conditionalFormatting sqref="EO381">
    <cfRule type="containsText" dxfId="119" priority="109" operator="containsText" text="PUT">
      <formula>NOT(ISERROR(SEARCH("PUT",EO381)))</formula>
    </cfRule>
    <cfRule type="containsText" dxfId="118" priority="110" operator="containsText" text="CALL">
      <formula>NOT(ISERROR(SEARCH("CALL",EO381)))</formula>
    </cfRule>
  </conditionalFormatting>
  <conditionalFormatting sqref="EP387">
    <cfRule type="cellIs" dxfId="117" priority="107" operator="greaterThan">
      <formula>0</formula>
    </cfRule>
    <cfRule type="cellIs" dxfId="116" priority="108" operator="lessThan">
      <formula>0</formula>
    </cfRule>
  </conditionalFormatting>
  <conditionalFormatting sqref="EP387">
    <cfRule type="cellIs" dxfId="115" priority="106" operator="equal">
      <formula>0</formula>
    </cfRule>
  </conditionalFormatting>
  <conditionalFormatting sqref="EO387">
    <cfRule type="containsText" dxfId="114" priority="104" operator="containsText" text="PUT">
      <formula>NOT(ISERROR(SEARCH("PUT",EO387)))</formula>
    </cfRule>
    <cfRule type="containsText" dxfId="113" priority="105" operator="containsText" text="CALL">
      <formula>NOT(ISERROR(SEARCH("CALL",EO387)))</formula>
    </cfRule>
  </conditionalFormatting>
  <conditionalFormatting sqref="EP393">
    <cfRule type="cellIs" dxfId="112" priority="102" operator="greaterThan">
      <formula>0</formula>
    </cfRule>
    <cfRule type="cellIs" dxfId="111" priority="103" operator="lessThan">
      <formula>0</formula>
    </cfRule>
  </conditionalFormatting>
  <conditionalFormatting sqref="EP393">
    <cfRule type="cellIs" dxfId="110" priority="101" operator="equal">
      <formula>0</formula>
    </cfRule>
  </conditionalFormatting>
  <conditionalFormatting sqref="EO393">
    <cfRule type="containsText" dxfId="109" priority="99" operator="containsText" text="PUT">
      <formula>NOT(ISERROR(SEARCH("PUT",EO393)))</formula>
    </cfRule>
    <cfRule type="containsText" dxfId="108" priority="100" operator="containsText" text="CALL">
      <formula>NOT(ISERROR(SEARCH("CALL",EO393)))</formula>
    </cfRule>
  </conditionalFormatting>
  <conditionalFormatting sqref="EP388">
    <cfRule type="cellIs" dxfId="107" priority="97" operator="greaterThan">
      <formula>0</formula>
    </cfRule>
    <cfRule type="cellIs" dxfId="106" priority="98" operator="lessThan">
      <formula>0</formula>
    </cfRule>
  </conditionalFormatting>
  <conditionalFormatting sqref="EP388">
    <cfRule type="cellIs" dxfId="105" priority="96" operator="equal">
      <formula>0</formula>
    </cfRule>
  </conditionalFormatting>
  <conditionalFormatting sqref="EO388">
    <cfRule type="containsText" dxfId="104" priority="94" operator="containsText" text="PUT">
      <formula>NOT(ISERROR(SEARCH("PUT",EO388)))</formula>
    </cfRule>
    <cfRule type="containsText" dxfId="103" priority="95" operator="containsText" text="CALL">
      <formula>NOT(ISERROR(SEARCH("CALL",EO388)))</formula>
    </cfRule>
  </conditionalFormatting>
  <conditionalFormatting sqref="EP368">
    <cfRule type="cellIs" dxfId="102" priority="92" operator="greaterThan">
      <formula>0</formula>
    </cfRule>
    <cfRule type="cellIs" dxfId="101" priority="93" operator="lessThan">
      <formula>0</formula>
    </cfRule>
  </conditionalFormatting>
  <conditionalFormatting sqref="EP368">
    <cfRule type="cellIs" dxfId="100" priority="91" operator="equal">
      <formula>0</formula>
    </cfRule>
  </conditionalFormatting>
  <conditionalFormatting sqref="EO368">
    <cfRule type="containsText" dxfId="99" priority="89" operator="containsText" text="PUT">
      <formula>NOT(ISERROR(SEARCH("PUT",EO368)))</formula>
    </cfRule>
    <cfRule type="containsText" dxfId="98" priority="90" operator="containsText" text="CALL">
      <formula>NOT(ISERROR(SEARCH("CALL",EO368)))</formula>
    </cfRule>
  </conditionalFormatting>
  <conditionalFormatting sqref="EP421:EP422">
    <cfRule type="cellIs" dxfId="97" priority="87" operator="greaterThan">
      <formula>0</formula>
    </cfRule>
    <cfRule type="cellIs" dxfId="96" priority="88" operator="lessThan">
      <formula>0</formula>
    </cfRule>
  </conditionalFormatting>
  <conditionalFormatting sqref="EP421:EP422">
    <cfRule type="cellIs" dxfId="95" priority="86" operator="equal">
      <formula>0</formula>
    </cfRule>
  </conditionalFormatting>
  <conditionalFormatting sqref="EO421:EO422">
    <cfRule type="containsText" dxfId="94" priority="84" operator="containsText" text="PUT">
      <formula>NOT(ISERROR(SEARCH("PUT",EO421)))</formula>
    </cfRule>
    <cfRule type="containsText" dxfId="93" priority="85" operator="containsText" text="CALL">
      <formula>NOT(ISERROR(SEARCH("CALL",EO421)))</formula>
    </cfRule>
  </conditionalFormatting>
  <conditionalFormatting sqref="EP430:EP431">
    <cfRule type="cellIs" dxfId="92" priority="82" operator="greaterThan">
      <formula>0</formula>
    </cfRule>
    <cfRule type="cellIs" dxfId="91" priority="83" operator="lessThan">
      <formula>0</formula>
    </cfRule>
  </conditionalFormatting>
  <conditionalFormatting sqref="EP430:EP431">
    <cfRule type="cellIs" dxfId="90" priority="81" operator="equal">
      <formula>0</formula>
    </cfRule>
  </conditionalFormatting>
  <conditionalFormatting sqref="EO430:EO431">
    <cfRule type="containsText" dxfId="89" priority="79" operator="containsText" text="PUT">
      <formula>NOT(ISERROR(SEARCH("PUT",EO430)))</formula>
    </cfRule>
    <cfRule type="containsText" dxfId="88" priority="80" operator="containsText" text="CALL">
      <formula>NOT(ISERROR(SEARCH("CALL",EO430)))</formula>
    </cfRule>
  </conditionalFormatting>
  <conditionalFormatting sqref="EP444">
    <cfRule type="cellIs" dxfId="87" priority="77" operator="greaterThan">
      <formula>0</formula>
    </cfRule>
    <cfRule type="cellIs" dxfId="86" priority="78" operator="lessThan">
      <formula>0</formula>
    </cfRule>
  </conditionalFormatting>
  <conditionalFormatting sqref="EP444">
    <cfRule type="cellIs" dxfId="85" priority="76" operator="equal">
      <formula>0</formula>
    </cfRule>
  </conditionalFormatting>
  <conditionalFormatting sqref="EO444:EO445">
    <cfRule type="containsText" dxfId="84" priority="74" operator="containsText" text="PUT">
      <formula>NOT(ISERROR(SEARCH("PUT",EO444)))</formula>
    </cfRule>
    <cfRule type="containsText" dxfId="83" priority="75" operator="containsText" text="CALL">
      <formula>NOT(ISERROR(SEARCH("CALL",EO444)))</formula>
    </cfRule>
  </conditionalFormatting>
  <conditionalFormatting sqref="EP445">
    <cfRule type="cellIs" dxfId="82" priority="72" operator="greaterThan">
      <formula>0</formula>
    </cfRule>
    <cfRule type="cellIs" dxfId="81" priority="73" operator="lessThan">
      <formula>0</formula>
    </cfRule>
  </conditionalFormatting>
  <conditionalFormatting sqref="EP445">
    <cfRule type="cellIs" dxfId="80" priority="71" operator="equal">
      <formula>0</formula>
    </cfRule>
  </conditionalFormatting>
  <conditionalFormatting sqref="EP446">
    <cfRule type="cellIs" dxfId="79" priority="69" operator="greaterThan">
      <formula>0</formula>
    </cfRule>
    <cfRule type="cellIs" dxfId="78" priority="70" operator="lessThan">
      <formula>0</formula>
    </cfRule>
  </conditionalFormatting>
  <conditionalFormatting sqref="EP446">
    <cfRule type="cellIs" dxfId="77" priority="68" operator="equal">
      <formula>0</formula>
    </cfRule>
  </conditionalFormatting>
  <conditionalFormatting sqref="EO446">
    <cfRule type="containsText" dxfId="76" priority="66" operator="containsText" text="PUT">
      <formula>NOT(ISERROR(SEARCH("PUT",EO446)))</formula>
    </cfRule>
    <cfRule type="containsText" dxfId="75" priority="67" operator="containsText" text="CALL">
      <formula>NOT(ISERROR(SEARCH("CALL",EO446)))</formula>
    </cfRule>
  </conditionalFormatting>
  <conditionalFormatting sqref="EP467">
    <cfRule type="cellIs" dxfId="74" priority="64" operator="greaterThan">
      <formula>0</formula>
    </cfRule>
    <cfRule type="cellIs" dxfId="73" priority="65" operator="lessThan">
      <formula>0</formula>
    </cfRule>
  </conditionalFormatting>
  <conditionalFormatting sqref="EP467">
    <cfRule type="cellIs" dxfId="72" priority="63" operator="equal">
      <formula>0</formula>
    </cfRule>
  </conditionalFormatting>
  <conditionalFormatting sqref="EO467:EO468">
    <cfRule type="containsText" dxfId="71" priority="61" operator="containsText" text="PUT">
      <formula>NOT(ISERROR(SEARCH("PUT",EO467)))</formula>
    </cfRule>
    <cfRule type="containsText" dxfId="70" priority="62" operator="containsText" text="CALL">
      <formula>NOT(ISERROR(SEARCH("CALL",EO467)))</formula>
    </cfRule>
  </conditionalFormatting>
  <conditionalFormatting sqref="EP468">
    <cfRule type="cellIs" dxfId="69" priority="59" operator="greaterThan">
      <formula>0</formula>
    </cfRule>
    <cfRule type="cellIs" dxfId="68" priority="60" operator="lessThan">
      <formula>0</formula>
    </cfRule>
  </conditionalFormatting>
  <conditionalFormatting sqref="EP468">
    <cfRule type="cellIs" dxfId="67" priority="58" operator="equal">
      <formula>0</formula>
    </cfRule>
  </conditionalFormatting>
  <conditionalFormatting sqref="EP469">
    <cfRule type="cellIs" dxfId="66" priority="56" operator="greaterThan">
      <formula>0</formula>
    </cfRule>
    <cfRule type="cellIs" dxfId="65" priority="57" operator="lessThan">
      <formula>0</formula>
    </cfRule>
  </conditionalFormatting>
  <conditionalFormatting sqref="EP469">
    <cfRule type="cellIs" dxfId="64" priority="55" operator="equal">
      <formula>0</formula>
    </cfRule>
  </conditionalFormatting>
  <conditionalFormatting sqref="EO469:EO470">
    <cfRule type="containsText" dxfId="63" priority="53" operator="containsText" text="PUT">
      <formula>NOT(ISERROR(SEARCH("PUT",EO469)))</formula>
    </cfRule>
    <cfRule type="containsText" dxfId="62" priority="54" operator="containsText" text="CALL">
      <formula>NOT(ISERROR(SEARCH("CALL",EO469)))</formula>
    </cfRule>
  </conditionalFormatting>
  <conditionalFormatting sqref="EP470">
    <cfRule type="cellIs" dxfId="61" priority="51" operator="greaterThan">
      <formula>0</formula>
    </cfRule>
    <cfRule type="cellIs" dxfId="60" priority="52" operator="lessThan">
      <formula>0</formula>
    </cfRule>
  </conditionalFormatting>
  <conditionalFormatting sqref="EP470">
    <cfRule type="cellIs" dxfId="59" priority="50" operator="equal">
      <formula>0</formula>
    </cfRule>
  </conditionalFormatting>
  <conditionalFormatting sqref="EP471">
    <cfRule type="cellIs" dxfId="58" priority="48" operator="greaterThan">
      <formula>0</formula>
    </cfRule>
    <cfRule type="cellIs" dxfId="57" priority="49" operator="lessThan">
      <formula>0</formula>
    </cfRule>
  </conditionalFormatting>
  <conditionalFormatting sqref="EP471">
    <cfRule type="cellIs" dxfId="56" priority="47" operator="equal">
      <formula>0</formula>
    </cfRule>
  </conditionalFormatting>
  <conditionalFormatting sqref="EO471:EO472">
    <cfRule type="containsText" dxfId="55" priority="45" operator="containsText" text="PUT">
      <formula>NOT(ISERROR(SEARCH("PUT",EO471)))</formula>
    </cfRule>
    <cfRule type="containsText" dxfId="54" priority="46" operator="containsText" text="CALL">
      <formula>NOT(ISERROR(SEARCH("CALL",EO471)))</formula>
    </cfRule>
  </conditionalFormatting>
  <conditionalFormatting sqref="EP472">
    <cfRule type="cellIs" dxfId="53" priority="43" operator="greaterThan">
      <formula>0</formula>
    </cfRule>
    <cfRule type="cellIs" dxfId="52" priority="44" operator="lessThan">
      <formula>0</formula>
    </cfRule>
  </conditionalFormatting>
  <conditionalFormatting sqref="EP472">
    <cfRule type="cellIs" dxfId="51" priority="42" operator="equal">
      <formula>0</formula>
    </cfRule>
  </conditionalFormatting>
  <conditionalFormatting sqref="EP473">
    <cfRule type="cellIs" dxfId="50" priority="40" operator="greaterThan">
      <formula>0</formula>
    </cfRule>
    <cfRule type="cellIs" dxfId="49" priority="41" operator="lessThan">
      <formula>0</formula>
    </cfRule>
  </conditionalFormatting>
  <conditionalFormatting sqref="EP473">
    <cfRule type="cellIs" dxfId="48" priority="39" operator="equal">
      <formula>0</formula>
    </cfRule>
  </conditionalFormatting>
  <conditionalFormatting sqref="EO473">
    <cfRule type="containsText" dxfId="47" priority="37" operator="containsText" text="PUT">
      <formula>NOT(ISERROR(SEARCH("PUT",EO473)))</formula>
    </cfRule>
    <cfRule type="containsText" dxfId="46" priority="38" operator="containsText" text="CALL">
      <formula>NOT(ISERROR(SEARCH("CALL",EO473)))</formula>
    </cfRule>
  </conditionalFormatting>
  <conditionalFormatting sqref="EP486">
    <cfRule type="cellIs" dxfId="45" priority="35" operator="greaterThan">
      <formula>0</formula>
    </cfRule>
    <cfRule type="cellIs" dxfId="44" priority="36" operator="lessThan">
      <formula>0</formula>
    </cfRule>
  </conditionalFormatting>
  <conditionalFormatting sqref="EP486">
    <cfRule type="cellIs" dxfId="43" priority="34" operator="equal">
      <formula>0</formula>
    </cfRule>
  </conditionalFormatting>
  <conditionalFormatting sqref="EO486:EO487">
    <cfRule type="containsText" dxfId="42" priority="32" operator="containsText" text="PUT">
      <formula>NOT(ISERROR(SEARCH("PUT",EO486)))</formula>
    </cfRule>
    <cfRule type="containsText" dxfId="41" priority="33" operator="containsText" text="CALL">
      <formula>NOT(ISERROR(SEARCH("CALL",EO486)))</formula>
    </cfRule>
  </conditionalFormatting>
  <conditionalFormatting sqref="EP487">
    <cfRule type="cellIs" dxfId="40" priority="30" operator="greaterThan">
      <formula>0</formula>
    </cfRule>
    <cfRule type="cellIs" dxfId="39" priority="31" operator="lessThan">
      <formula>0</formula>
    </cfRule>
  </conditionalFormatting>
  <conditionalFormatting sqref="EP487">
    <cfRule type="cellIs" dxfId="38" priority="29" operator="equal">
      <formula>0</formula>
    </cfRule>
  </conditionalFormatting>
  <conditionalFormatting sqref="EP488">
    <cfRule type="cellIs" dxfId="37" priority="27" operator="greaterThan">
      <formula>0</formula>
    </cfRule>
    <cfRule type="cellIs" dxfId="36" priority="28" operator="lessThan">
      <formula>0</formula>
    </cfRule>
  </conditionalFormatting>
  <conditionalFormatting sqref="EP488">
    <cfRule type="cellIs" dxfId="35" priority="26" operator="equal">
      <formula>0</formula>
    </cfRule>
  </conditionalFormatting>
  <conditionalFormatting sqref="EO488:EO489">
    <cfRule type="containsText" dxfId="34" priority="24" operator="containsText" text="PUT">
      <formula>NOT(ISERROR(SEARCH("PUT",EO488)))</formula>
    </cfRule>
    <cfRule type="containsText" dxfId="33" priority="25" operator="containsText" text="CALL">
      <formula>NOT(ISERROR(SEARCH("CALL",EO488)))</formula>
    </cfRule>
  </conditionalFormatting>
  <conditionalFormatting sqref="EP489">
    <cfRule type="cellIs" dxfId="32" priority="22" operator="greaterThan">
      <formula>0</formula>
    </cfRule>
    <cfRule type="cellIs" dxfId="31" priority="23" operator="lessThan">
      <formula>0</formula>
    </cfRule>
  </conditionalFormatting>
  <conditionalFormatting sqref="EP489">
    <cfRule type="cellIs" dxfId="30" priority="21" operator="equal">
      <formula>0</formula>
    </cfRule>
  </conditionalFormatting>
  <conditionalFormatting sqref="EP490">
    <cfRule type="cellIs" dxfId="29" priority="19" operator="greaterThan">
      <formula>0</formula>
    </cfRule>
    <cfRule type="cellIs" dxfId="28" priority="20" operator="lessThan">
      <formula>0</formula>
    </cfRule>
  </conditionalFormatting>
  <conditionalFormatting sqref="EP490">
    <cfRule type="cellIs" dxfId="27" priority="18" operator="equal">
      <formula>0</formula>
    </cfRule>
  </conditionalFormatting>
  <conditionalFormatting sqref="EO490">
    <cfRule type="containsText" dxfId="26" priority="16" operator="containsText" text="PUT">
      <formula>NOT(ISERROR(SEARCH("PUT",EO490)))</formula>
    </cfRule>
    <cfRule type="containsText" dxfId="25" priority="17" operator="containsText" text="CALL">
      <formula>NOT(ISERROR(SEARCH("CALL",EO490)))</formula>
    </cfRule>
  </conditionalFormatting>
  <conditionalFormatting sqref="EP496">
    <cfRule type="cellIs" dxfId="24" priority="14" operator="greaterThan">
      <formula>0</formula>
    </cfRule>
    <cfRule type="cellIs" dxfId="23" priority="15" operator="lessThan">
      <formula>0</formula>
    </cfRule>
  </conditionalFormatting>
  <conditionalFormatting sqref="EP496">
    <cfRule type="cellIs" dxfId="22" priority="13" operator="equal">
      <formula>0</formula>
    </cfRule>
  </conditionalFormatting>
  <conditionalFormatting sqref="EO496">
    <cfRule type="containsText" dxfId="21" priority="11" operator="containsText" text="PUT">
      <formula>NOT(ISERROR(SEARCH("PUT",EO496)))</formula>
    </cfRule>
    <cfRule type="containsText" dxfId="20" priority="12" operator="containsText" text="CALL">
      <formula>NOT(ISERROR(SEARCH("CALL",EO496)))</formula>
    </cfRule>
  </conditionalFormatting>
  <conditionalFormatting sqref="EP530">
    <cfRule type="cellIs" dxfId="19" priority="9" operator="greaterThan">
      <formula>0</formula>
    </cfRule>
    <cfRule type="cellIs" dxfId="18" priority="10" operator="lessThan">
      <formula>0</formula>
    </cfRule>
  </conditionalFormatting>
  <conditionalFormatting sqref="EP530">
    <cfRule type="cellIs" dxfId="17" priority="8" operator="equal">
      <formula>0</formula>
    </cfRule>
  </conditionalFormatting>
  <conditionalFormatting sqref="EO530">
    <cfRule type="containsText" dxfId="16" priority="6" operator="containsText" text="PUT">
      <formula>NOT(ISERROR(SEARCH("PUT",EO530)))</formula>
    </cfRule>
    <cfRule type="containsText" dxfId="15" priority="7" operator="containsText" text="CALL">
      <formula>NOT(ISERROR(SEARCH("CALL",EO530)))</formula>
    </cfRule>
  </conditionalFormatting>
  <conditionalFormatting sqref="EP312">
    <cfRule type="cellIs" dxfId="14" priority="4" operator="greaterThan">
      <formula>0</formula>
    </cfRule>
    <cfRule type="cellIs" dxfId="13" priority="5" operator="lessThan">
      <formula>0</formula>
    </cfRule>
  </conditionalFormatting>
  <conditionalFormatting sqref="EP312">
    <cfRule type="cellIs" dxfId="12" priority="3" operator="equal">
      <formula>0</formula>
    </cfRule>
  </conditionalFormatting>
  <conditionalFormatting sqref="EO312">
    <cfRule type="containsText" dxfId="11" priority="1" operator="containsText" text="PUT">
      <formula>NOT(ISERROR(SEARCH("PUT",EO312)))</formula>
    </cfRule>
    <cfRule type="containsText" dxfId="10" priority="2" operator="containsText" text="CALL">
      <formula>NOT(ISERROR(SEARCH("CALL",EO312)))</formula>
    </cfRule>
  </conditionalFormatting>
  <dataValidations count="3">
    <dataValidation type="list" showInputMessage="1" showErrorMessage="1" sqref="EO310:EO1507">
      <formula1>TIPO</formula1>
    </dataValidation>
    <dataValidation type="list" allowBlank="1" showInputMessage="1" showErrorMessage="1" sqref="FD1 FY1">
      <formula1>cants</formula1>
    </dataValidation>
    <dataValidation type="list" allowBlank="1" showInputMessage="1" showErrorMessage="1" sqref="ER1 FM1">
      <formula1>ve</formula1>
    </dataValidation>
  </dataValidations>
  <pageMargins left="0.7" right="0.7" top="0.75" bottom="0.75" header="0.3" footer="0.3"/>
  <pageSetup paperSize="9" orientation="portrait" r:id="rId1"/>
  <ignoredErrors>
    <ignoredError sqref="IH56:II56 IL56:IL57 IO56:KD56 IH57:II57 IO57:JI57 GE1 GK1 DG5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1169" r:id="rId4" name="Check Box 1">
              <controlPr defaultSize="0" autoFill="0" autoLine="0" autoPict="0">
                <anchor moveWithCells="1">
                  <from>
                    <xdr:col>97</xdr:col>
                    <xdr:colOff>76200</xdr:colOff>
                    <xdr:row>4</xdr:row>
                    <xdr:rowOff>99060</xdr:rowOff>
                  </from>
                  <to>
                    <xdr:col>97</xdr:col>
                    <xdr:colOff>320040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70" r:id="rId5" name="Check Box 2">
              <controlPr defaultSize="0" autoFill="0" autoLine="0" autoPict="0">
                <anchor moveWithCells="1">
                  <from>
                    <xdr:col>113</xdr:col>
                    <xdr:colOff>38100</xdr:colOff>
                    <xdr:row>12</xdr:row>
                    <xdr:rowOff>137160</xdr:rowOff>
                  </from>
                  <to>
                    <xdr:col>114</xdr:col>
                    <xdr:colOff>30480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71" r:id="rId6" name="Check Box 3">
              <controlPr defaultSize="0" autoFill="0" autoLine="0" autoPict="0">
                <anchor moveWithCells="1">
                  <from>
                    <xdr:col>113</xdr:col>
                    <xdr:colOff>38100</xdr:colOff>
                    <xdr:row>16</xdr:row>
                    <xdr:rowOff>144780</xdr:rowOff>
                  </from>
                  <to>
                    <xdr:col>114</xdr:col>
                    <xdr:colOff>30480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72" r:id="rId7" name="Check Box 4">
              <controlPr defaultSize="0" autoFill="0" autoLine="0" autoPict="0">
                <anchor moveWithCells="1">
                  <from>
                    <xdr:col>113</xdr:col>
                    <xdr:colOff>38100</xdr:colOff>
                    <xdr:row>8</xdr:row>
                    <xdr:rowOff>144780</xdr:rowOff>
                  </from>
                  <to>
                    <xdr:col>114</xdr:col>
                    <xdr:colOff>45720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73" r:id="rId8" name="Check Box 5">
              <controlPr defaultSize="0" autoFill="0" autoLine="0" autoPict="0">
                <anchor moveWithCells="1">
                  <from>
                    <xdr:col>113</xdr:col>
                    <xdr:colOff>38100</xdr:colOff>
                    <xdr:row>20</xdr:row>
                    <xdr:rowOff>137160</xdr:rowOff>
                  </from>
                  <to>
                    <xdr:col>114</xdr:col>
                    <xdr:colOff>45720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74" r:id="rId9" name="Button 6">
              <controlPr defaultSize="0" print="0" autoFill="0" autoPict="0" macro="[0]!generarFormulas_ETrader">
                <anchor moveWithCells="1" sizeWithCells="1">
                  <from>
                    <xdr:col>19</xdr:col>
                    <xdr:colOff>30480</xdr:colOff>
                    <xdr:row>10</xdr:row>
                    <xdr:rowOff>7620</xdr:rowOff>
                  </from>
                  <to>
                    <xdr:col>22</xdr:col>
                    <xdr:colOff>121920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75" r:id="rId10" name="Button 7">
              <controlPr defaultSize="0" print="0" autoFill="0" autoPict="0" macro="[0]!asignarCargarOrdenes">
                <anchor moveWithCells="1" sizeWithCells="1">
                  <from>
                    <xdr:col>72</xdr:col>
                    <xdr:colOff>281940</xdr:colOff>
                    <xdr:row>0</xdr:row>
                    <xdr:rowOff>76200</xdr:rowOff>
                  </from>
                  <to>
                    <xdr:col>77</xdr:col>
                    <xdr:colOff>373380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76" r:id="rId11" name="Button 8">
              <controlPr defaultSize="0" print="0" autoFill="0" autoPict="0" macro="[0]!asignarCancelarOrdenes">
                <anchor moveWithCells="1" sizeWithCells="1">
                  <from>
                    <xdr:col>85</xdr:col>
                    <xdr:colOff>15240</xdr:colOff>
                    <xdr:row>0</xdr:row>
                    <xdr:rowOff>76200</xdr:rowOff>
                  </from>
                  <to>
                    <xdr:col>89</xdr:col>
                    <xdr:colOff>152400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77" r:id="rId12" name="Check Box 9">
              <controlPr defaultSize="0" autoFill="0" autoLine="0" autoPict="0">
                <anchor moveWithCells="1">
                  <from>
                    <xdr:col>79</xdr:col>
                    <xdr:colOff>297180</xdr:colOff>
                    <xdr:row>0</xdr:row>
                    <xdr:rowOff>30480</xdr:rowOff>
                  </from>
                  <to>
                    <xdr:col>81</xdr:col>
                    <xdr:colOff>68580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78" r:id="rId13" name="Option Button 10">
              <controlPr defaultSize="0" autoFill="0" autoLine="0" autoPict="0">
                <anchor moveWithCells="1">
                  <from>
                    <xdr:col>200</xdr:col>
                    <xdr:colOff>60960</xdr:colOff>
                    <xdr:row>0</xdr:row>
                    <xdr:rowOff>106680</xdr:rowOff>
                  </from>
                  <to>
                    <xdr:col>201</xdr:col>
                    <xdr:colOff>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231" r:id="rId14" name="Group Box 63">
              <controlPr defaultSize="0" autoFill="0" autoPict="0">
                <anchor moveWithCells="1">
                  <from>
                    <xdr:col>200</xdr:col>
                    <xdr:colOff>274320</xdr:colOff>
                    <xdr:row>0</xdr:row>
                    <xdr:rowOff>68580</xdr:rowOff>
                  </from>
                  <to>
                    <xdr:col>218</xdr:col>
                    <xdr:colOff>53340</xdr:colOff>
                    <xdr:row>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272" r:id="rId15" name="Option Button 104">
              <controlPr defaultSize="0" autoFill="0" autoLine="0" autoPict="0" altText="ViU%">
                <anchor moveWithCells="1">
                  <from>
                    <xdr:col>149</xdr:col>
                    <xdr:colOff>220980</xdr:colOff>
                    <xdr:row>0</xdr:row>
                    <xdr:rowOff>0</xdr:rowOff>
                  </from>
                  <to>
                    <xdr:col>150</xdr:col>
                    <xdr:colOff>289560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273" r:id="rId16" name="Option Button 105">
              <controlPr defaultSize="0" autoFill="0" autoLine="0" autoPict="0" altText="ViC%">
                <anchor moveWithCells="1">
                  <from>
                    <xdr:col>144</xdr:col>
                    <xdr:colOff>22860</xdr:colOff>
                    <xdr:row>3</xdr:row>
                    <xdr:rowOff>144780</xdr:rowOff>
                  </from>
                  <to>
                    <xdr:col>145</xdr:col>
                    <xdr:colOff>15240</xdr:colOff>
                    <xdr:row>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274" r:id="rId17" name="Check Box 106">
              <controlPr defaultSize="0" autoFill="0" autoLine="0" autoPict="0">
                <anchor moveWithCells="1">
                  <from>
                    <xdr:col>143</xdr:col>
                    <xdr:colOff>220980</xdr:colOff>
                    <xdr:row>4</xdr:row>
                    <xdr:rowOff>30480</xdr:rowOff>
                  </from>
                  <to>
                    <xdr:col>144</xdr:col>
                    <xdr:colOff>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291" r:id="rId18" name="Group Box 123">
              <controlPr defaultSize="0" autoFill="0" autoPict="0">
                <anchor moveWithCells="1">
                  <from>
                    <xdr:col>165</xdr:col>
                    <xdr:colOff>0</xdr:colOff>
                    <xdr:row>0</xdr:row>
                    <xdr:rowOff>121920</xdr:rowOff>
                  </from>
                  <to>
                    <xdr:col>168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292" r:id="rId19" name="Option Button 124">
              <controlPr defaultSize="0" autoFill="0" autoLine="0" autoPict="0">
                <anchor moveWithCells="1">
                  <from>
                    <xdr:col>165</xdr:col>
                    <xdr:colOff>7620</xdr:colOff>
                    <xdr:row>3</xdr:row>
                    <xdr:rowOff>99060</xdr:rowOff>
                  </from>
                  <to>
                    <xdr:col>166</xdr:col>
                    <xdr:colOff>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293" r:id="rId20" name="Option Button 125">
              <controlPr defaultSize="0" autoFill="0" autoLine="0" autoPict="0">
                <anchor moveWithCells="1">
                  <from>
                    <xdr:col>165</xdr:col>
                    <xdr:colOff>403860</xdr:colOff>
                    <xdr:row>3</xdr:row>
                    <xdr:rowOff>99060</xdr:rowOff>
                  </from>
                  <to>
                    <xdr:col>166</xdr:col>
                    <xdr:colOff>350520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294" r:id="rId21" name="Option Button 126">
              <controlPr defaultSize="0" autoFill="0" autoLine="0" autoPict="0">
                <anchor moveWithCells="1">
                  <from>
                    <xdr:col>166</xdr:col>
                    <xdr:colOff>396240</xdr:colOff>
                    <xdr:row>3</xdr:row>
                    <xdr:rowOff>99060</xdr:rowOff>
                  </from>
                  <to>
                    <xdr:col>167</xdr:col>
                    <xdr:colOff>350520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295" r:id="rId22" name="Check Box 127">
              <controlPr defaultSize="0" autoFill="0" autoLine="0" autoPict="0">
                <anchor moveWithCells="1">
                  <from>
                    <xdr:col>164</xdr:col>
                    <xdr:colOff>144780</xdr:colOff>
                    <xdr:row>4</xdr:row>
                    <xdr:rowOff>30480</xdr:rowOff>
                  </from>
                  <to>
                    <xdr:col>165</xdr:col>
                    <xdr:colOff>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350" r:id="rId23" name="Check Box 182">
              <controlPr defaultSize="0" autoFill="0" autoLine="0" autoPict="0">
                <anchor moveWithCells="1">
                  <from>
                    <xdr:col>45</xdr:col>
                    <xdr:colOff>99060</xdr:colOff>
                    <xdr:row>0</xdr:row>
                    <xdr:rowOff>99060</xdr:rowOff>
                  </from>
                  <to>
                    <xdr:col>46</xdr:col>
                    <xdr:colOff>7620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448" r:id="rId24" name="Button 280">
              <controlPr defaultSize="0" print="0" autoFill="0" autoPict="0" macro="[0]!limpiarPrueba">
                <anchor moveWithCells="1" sizeWithCells="1">
                  <from>
                    <xdr:col>27</xdr:col>
                    <xdr:colOff>45720</xdr:colOff>
                    <xdr:row>3</xdr:row>
                    <xdr:rowOff>7620</xdr:rowOff>
                  </from>
                  <to>
                    <xdr:col>27</xdr:col>
                    <xdr:colOff>472440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548" r:id="rId25" name="Check Box 380">
              <controlPr defaultSize="0" autoFill="0" autoLine="0" autoPict="0">
                <anchor moveWithCells="1">
                  <from>
                    <xdr:col>95</xdr:col>
                    <xdr:colOff>152400</xdr:colOff>
                    <xdr:row>25</xdr:row>
                    <xdr:rowOff>137160</xdr:rowOff>
                  </from>
                  <to>
                    <xdr:col>97</xdr:col>
                    <xdr:colOff>45720</xdr:colOff>
                    <xdr:row>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563" r:id="rId26" name="Button 395">
              <controlPr defaultSize="0" print="0" autoFill="0" autoPict="0" macro="[0]!copiarPosActual">
                <anchor moveWithCells="1" sizeWithCells="1">
                  <from>
                    <xdr:col>24</xdr:col>
                    <xdr:colOff>30480</xdr:colOff>
                    <xdr:row>3</xdr:row>
                    <xdr:rowOff>0</xdr:rowOff>
                  </from>
                  <to>
                    <xdr:col>25</xdr:col>
                    <xdr:colOff>472440</xdr:colOff>
                    <xdr:row>3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935" r:id="rId27" name="Check Box 767">
              <controlPr defaultSize="0" autoFill="0" autoLine="0" autoPict="0">
                <anchor moveWithCells="1">
                  <from>
                    <xdr:col>108</xdr:col>
                    <xdr:colOff>281940</xdr:colOff>
                    <xdr:row>0</xdr:row>
                    <xdr:rowOff>0</xdr:rowOff>
                  </from>
                  <to>
                    <xdr:col>110</xdr:col>
                    <xdr:colOff>220980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936" r:id="rId28" name="Check Box 768">
              <controlPr defaultSize="0" autoFill="0" autoLine="0" autoPict="0">
                <anchor moveWithCells="1">
                  <from>
                    <xdr:col>108</xdr:col>
                    <xdr:colOff>281940</xdr:colOff>
                    <xdr:row>0</xdr:row>
                    <xdr:rowOff>121920</xdr:rowOff>
                  </from>
                  <to>
                    <xdr:col>110</xdr:col>
                    <xdr:colOff>220980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077" r:id="rId29" name="Check Box 909">
              <controlPr defaultSize="0" autoFill="0" autoLine="0" autoPict="0">
                <anchor moveWithCells="1">
                  <from>
                    <xdr:col>45</xdr:col>
                    <xdr:colOff>99060</xdr:colOff>
                    <xdr:row>3</xdr:row>
                    <xdr:rowOff>106680</xdr:rowOff>
                  </from>
                  <to>
                    <xdr:col>46</xdr:col>
                    <xdr:colOff>7620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04" r:id="rId30" name="Option Button 936">
              <controlPr defaultSize="0" autoFill="0" autoLine="0" autoPict="0">
                <anchor moveWithCells="1">
                  <from>
                    <xdr:col>201</xdr:col>
                    <xdr:colOff>60960</xdr:colOff>
                    <xdr:row>0</xdr:row>
                    <xdr:rowOff>99060</xdr:rowOff>
                  </from>
                  <to>
                    <xdr:col>202</xdr:col>
                    <xdr:colOff>22860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12" r:id="rId31" name="Option Button 944">
              <controlPr defaultSize="0" autoFill="0" autoLine="0" autoPict="0">
                <anchor moveWithCells="1">
                  <from>
                    <xdr:col>202</xdr:col>
                    <xdr:colOff>45720</xdr:colOff>
                    <xdr:row>0</xdr:row>
                    <xdr:rowOff>99060</xdr:rowOff>
                  </from>
                  <to>
                    <xdr:col>203</xdr:col>
                    <xdr:colOff>7620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49" r:id="rId32" name="Option Button 981">
              <controlPr defaultSize="0" autoFill="0" autoLine="0" autoPict="0">
                <anchor moveWithCells="1">
                  <from>
                    <xdr:col>203</xdr:col>
                    <xdr:colOff>53340</xdr:colOff>
                    <xdr:row>0</xdr:row>
                    <xdr:rowOff>99060</xdr:rowOff>
                  </from>
                  <to>
                    <xdr:col>204</xdr:col>
                    <xdr:colOff>15240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50" r:id="rId33" name="Option Button 982">
              <controlPr defaultSize="0" autoFill="0" autoLine="0" autoPict="0">
                <anchor moveWithCells="1">
                  <from>
                    <xdr:col>204</xdr:col>
                    <xdr:colOff>45720</xdr:colOff>
                    <xdr:row>0</xdr:row>
                    <xdr:rowOff>99060</xdr:rowOff>
                  </from>
                  <to>
                    <xdr:col>205</xdr:col>
                    <xdr:colOff>7620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51" r:id="rId34" name="Option Button 983">
              <controlPr defaultSize="0" autoFill="0" autoLine="0" autoPict="0">
                <anchor moveWithCells="1">
                  <from>
                    <xdr:col>205</xdr:col>
                    <xdr:colOff>53340</xdr:colOff>
                    <xdr:row>0</xdr:row>
                    <xdr:rowOff>99060</xdr:rowOff>
                  </from>
                  <to>
                    <xdr:col>206</xdr:col>
                    <xdr:colOff>15240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52" r:id="rId35" name="Option Button 984">
              <controlPr defaultSize="0" autoFill="0" autoLine="0" autoPict="0">
                <anchor moveWithCells="1">
                  <from>
                    <xdr:col>206</xdr:col>
                    <xdr:colOff>38100</xdr:colOff>
                    <xdr:row>0</xdr:row>
                    <xdr:rowOff>99060</xdr:rowOff>
                  </from>
                  <to>
                    <xdr:col>207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53" r:id="rId36" name="Option Button 985">
              <controlPr defaultSize="0" autoFill="0" autoLine="0" autoPict="0">
                <anchor moveWithCells="1">
                  <from>
                    <xdr:col>207</xdr:col>
                    <xdr:colOff>45720</xdr:colOff>
                    <xdr:row>0</xdr:row>
                    <xdr:rowOff>99060</xdr:rowOff>
                  </from>
                  <to>
                    <xdr:col>208</xdr:col>
                    <xdr:colOff>7620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54" r:id="rId37" name="Option Button 986">
              <controlPr defaultSize="0" autoFill="0" autoLine="0" autoPict="0">
                <anchor moveWithCells="1">
                  <from>
                    <xdr:col>208</xdr:col>
                    <xdr:colOff>38100</xdr:colOff>
                    <xdr:row>0</xdr:row>
                    <xdr:rowOff>99060</xdr:rowOff>
                  </from>
                  <to>
                    <xdr:col>209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55" r:id="rId38" name="Option Button 987">
              <controlPr defaultSize="0" autoFill="0" autoLine="0" autoPict="0">
                <anchor moveWithCells="1">
                  <from>
                    <xdr:col>209</xdr:col>
                    <xdr:colOff>45720</xdr:colOff>
                    <xdr:row>0</xdr:row>
                    <xdr:rowOff>99060</xdr:rowOff>
                  </from>
                  <to>
                    <xdr:col>210</xdr:col>
                    <xdr:colOff>7620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56" r:id="rId39" name="Option Button 988">
              <controlPr defaultSize="0" autoFill="0" autoLine="0" autoPict="0">
                <anchor moveWithCells="1">
                  <from>
                    <xdr:col>210</xdr:col>
                    <xdr:colOff>45720</xdr:colOff>
                    <xdr:row>0</xdr:row>
                    <xdr:rowOff>99060</xdr:rowOff>
                  </from>
                  <to>
                    <xdr:col>211</xdr:col>
                    <xdr:colOff>7620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57" r:id="rId40" name="Option Button 989">
              <controlPr defaultSize="0" autoFill="0" autoLine="0" autoPict="0">
                <anchor moveWithCells="1">
                  <from>
                    <xdr:col>211</xdr:col>
                    <xdr:colOff>30480</xdr:colOff>
                    <xdr:row>0</xdr:row>
                    <xdr:rowOff>99060</xdr:rowOff>
                  </from>
                  <to>
                    <xdr:col>211</xdr:col>
                    <xdr:colOff>274320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58" r:id="rId41" name="Option Button 990">
              <controlPr defaultSize="0" autoFill="0" autoLine="0" autoPict="0">
                <anchor moveWithCells="1">
                  <from>
                    <xdr:col>212</xdr:col>
                    <xdr:colOff>38100</xdr:colOff>
                    <xdr:row>0</xdr:row>
                    <xdr:rowOff>99060</xdr:rowOff>
                  </from>
                  <to>
                    <xdr:col>213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59" r:id="rId42" name="Option Button 991">
              <controlPr defaultSize="0" autoFill="0" autoLine="0" autoPict="0">
                <anchor moveWithCells="1">
                  <from>
                    <xdr:col>213</xdr:col>
                    <xdr:colOff>30480</xdr:colOff>
                    <xdr:row>0</xdr:row>
                    <xdr:rowOff>99060</xdr:rowOff>
                  </from>
                  <to>
                    <xdr:col>213</xdr:col>
                    <xdr:colOff>274320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60" r:id="rId43" name="Option Button 992">
              <controlPr defaultSize="0" autoFill="0" autoLine="0" autoPict="0">
                <anchor moveWithCells="1">
                  <from>
                    <xdr:col>215</xdr:col>
                    <xdr:colOff>38100</xdr:colOff>
                    <xdr:row>0</xdr:row>
                    <xdr:rowOff>99060</xdr:rowOff>
                  </from>
                  <to>
                    <xdr:col>216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61" r:id="rId44" name="Option Button 993">
              <controlPr defaultSize="0" autoFill="0" autoLine="0" autoPict="0">
                <anchor moveWithCells="1">
                  <from>
                    <xdr:col>216</xdr:col>
                    <xdr:colOff>30480</xdr:colOff>
                    <xdr:row>0</xdr:row>
                    <xdr:rowOff>99060</xdr:rowOff>
                  </from>
                  <to>
                    <xdr:col>216</xdr:col>
                    <xdr:colOff>274320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62" r:id="rId45" name="Option Button 994">
              <controlPr defaultSize="0" autoFill="0" autoLine="0" autoPict="0">
                <anchor moveWithCells="1">
                  <from>
                    <xdr:col>194</xdr:col>
                    <xdr:colOff>350520</xdr:colOff>
                    <xdr:row>5</xdr:row>
                    <xdr:rowOff>121920</xdr:rowOff>
                  </from>
                  <to>
                    <xdr:col>199</xdr:col>
                    <xdr:colOff>60960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63" r:id="rId46" name="Option Button 995">
              <controlPr defaultSize="0" autoFill="0" autoLine="0" autoPict="0">
                <anchor moveWithCells="1">
                  <from>
                    <xdr:col>194</xdr:col>
                    <xdr:colOff>350520</xdr:colOff>
                    <xdr:row>6</xdr:row>
                    <xdr:rowOff>137160</xdr:rowOff>
                  </from>
                  <to>
                    <xdr:col>199</xdr:col>
                    <xdr:colOff>60960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79" r:id="rId47" name="Group Box 1011">
              <controlPr defaultSize="0" autoFill="0" autoPict="0">
                <anchor moveWithCells="1">
                  <from>
                    <xdr:col>194</xdr:col>
                    <xdr:colOff>335280</xdr:colOff>
                    <xdr:row>5</xdr:row>
                    <xdr:rowOff>106680</xdr:rowOff>
                  </from>
                  <to>
                    <xdr:col>199</xdr:col>
                    <xdr:colOff>137160</xdr:colOff>
                    <xdr:row>46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65" r:id="rId48" name="Option Button 1061">
              <controlPr defaultSize="0" autoFill="0" autoLine="0" autoPict="0">
                <anchor moveWithCells="1">
                  <from>
                    <xdr:col>194</xdr:col>
                    <xdr:colOff>350520</xdr:colOff>
                    <xdr:row>7</xdr:row>
                    <xdr:rowOff>144780</xdr:rowOff>
                  </from>
                  <to>
                    <xdr:col>199</xdr:col>
                    <xdr:colOff>60960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66" r:id="rId49" name="Option Button 1062">
              <controlPr defaultSize="0" autoFill="0" autoLine="0" autoPict="0">
                <anchor moveWithCells="1">
                  <from>
                    <xdr:col>194</xdr:col>
                    <xdr:colOff>350520</xdr:colOff>
                    <xdr:row>8</xdr:row>
                    <xdr:rowOff>137160</xdr:rowOff>
                  </from>
                  <to>
                    <xdr:col>199</xdr:col>
                    <xdr:colOff>60960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67" r:id="rId50" name="Option Button 1063">
              <controlPr defaultSize="0" autoFill="0" autoLine="0" autoPict="0">
                <anchor moveWithCells="1">
                  <from>
                    <xdr:col>194</xdr:col>
                    <xdr:colOff>350520</xdr:colOff>
                    <xdr:row>9</xdr:row>
                    <xdr:rowOff>144780</xdr:rowOff>
                  </from>
                  <to>
                    <xdr:col>199</xdr:col>
                    <xdr:colOff>60960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68" r:id="rId51" name="Option Button 1064">
              <controlPr defaultSize="0" autoFill="0" autoLine="0" autoPict="0">
                <anchor moveWithCells="1">
                  <from>
                    <xdr:col>194</xdr:col>
                    <xdr:colOff>350520</xdr:colOff>
                    <xdr:row>10</xdr:row>
                    <xdr:rowOff>137160</xdr:rowOff>
                  </from>
                  <to>
                    <xdr:col>199</xdr:col>
                    <xdr:colOff>60960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69" r:id="rId52" name="Option Button 1065">
              <controlPr defaultSize="0" autoFill="0" autoLine="0" autoPict="0">
                <anchor moveWithCells="1">
                  <from>
                    <xdr:col>194</xdr:col>
                    <xdr:colOff>350520</xdr:colOff>
                    <xdr:row>11</xdr:row>
                    <xdr:rowOff>144780</xdr:rowOff>
                  </from>
                  <to>
                    <xdr:col>199</xdr:col>
                    <xdr:colOff>60960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70" r:id="rId53" name="Option Button 1066">
              <controlPr defaultSize="0" autoFill="0" autoLine="0" autoPict="0">
                <anchor moveWithCells="1">
                  <from>
                    <xdr:col>194</xdr:col>
                    <xdr:colOff>350520</xdr:colOff>
                    <xdr:row>12</xdr:row>
                    <xdr:rowOff>137160</xdr:rowOff>
                  </from>
                  <to>
                    <xdr:col>199</xdr:col>
                    <xdr:colOff>60960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71" r:id="rId54" name="Option Button 1067">
              <controlPr defaultSize="0" autoFill="0" autoLine="0" autoPict="0">
                <anchor moveWithCells="1">
                  <from>
                    <xdr:col>194</xdr:col>
                    <xdr:colOff>350520</xdr:colOff>
                    <xdr:row>13</xdr:row>
                    <xdr:rowOff>137160</xdr:rowOff>
                  </from>
                  <to>
                    <xdr:col>199</xdr:col>
                    <xdr:colOff>60960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72" r:id="rId55" name="Option Button 1068">
              <controlPr defaultSize="0" autoFill="0" autoLine="0" autoPict="0">
                <anchor moveWithCells="1">
                  <from>
                    <xdr:col>194</xdr:col>
                    <xdr:colOff>350520</xdr:colOff>
                    <xdr:row>14</xdr:row>
                    <xdr:rowOff>129540</xdr:rowOff>
                  </from>
                  <to>
                    <xdr:col>199</xdr:col>
                    <xdr:colOff>60960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73" r:id="rId56" name="Option Button 1069">
              <controlPr defaultSize="0" autoFill="0" autoLine="0" autoPict="0">
                <anchor moveWithCells="1">
                  <from>
                    <xdr:col>194</xdr:col>
                    <xdr:colOff>350520</xdr:colOff>
                    <xdr:row>15</xdr:row>
                    <xdr:rowOff>137160</xdr:rowOff>
                  </from>
                  <to>
                    <xdr:col>199</xdr:col>
                    <xdr:colOff>60960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74" r:id="rId57" name="Option Button 1070">
              <controlPr defaultSize="0" autoFill="0" autoLine="0" autoPict="0">
                <anchor moveWithCells="1">
                  <from>
                    <xdr:col>194</xdr:col>
                    <xdr:colOff>350520</xdr:colOff>
                    <xdr:row>16</xdr:row>
                    <xdr:rowOff>129540</xdr:rowOff>
                  </from>
                  <to>
                    <xdr:col>199</xdr:col>
                    <xdr:colOff>60960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75" r:id="rId58" name="Option Button 1071">
              <controlPr defaultSize="0" autoFill="0" autoLine="0" autoPict="0">
                <anchor moveWithCells="1">
                  <from>
                    <xdr:col>194</xdr:col>
                    <xdr:colOff>350520</xdr:colOff>
                    <xdr:row>17</xdr:row>
                    <xdr:rowOff>137160</xdr:rowOff>
                  </from>
                  <to>
                    <xdr:col>199</xdr:col>
                    <xdr:colOff>60960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76" r:id="rId59" name="Option Button 1072">
              <controlPr defaultSize="0" autoFill="0" autoLine="0" autoPict="0">
                <anchor moveWithCells="1">
                  <from>
                    <xdr:col>194</xdr:col>
                    <xdr:colOff>350520</xdr:colOff>
                    <xdr:row>18</xdr:row>
                    <xdr:rowOff>129540</xdr:rowOff>
                  </from>
                  <to>
                    <xdr:col>199</xdr:col>
                    <xdr:colOff>60960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77" r:id="rId60" name="Option Button 1073">
              <controlPr defaultSize="0" autoFill="0" autoLine="0" autoPict="0">
                <anchor moveWithCells="1">
                  <from>
                    <xdr:col>194</xdr:col>
                    <xdr:colOff>350520</xdr:colOff>
                    <xdr:row>19</xdr:row>
                    <xdr:rowOff>137160</xdr:rowOff>
                  </from>
                  <to>
                    <xdr:col>199</xdr:col>
                    <xdr:colOff>60960</xdr:colOff>
                    <xdr:row>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78" r:id="rId61" name="Option Button 1074">
              <controlPr defaultSize="0" autoFill="0" autoLine="0" autoPict="0">
                <anchor moveWithCells="1">
                  <from>
                    <xdr:col>194</xdr:col>
                    <xdr:colOff>350520</xdr:colOff>
                    <xdr:row>20</xdr:row>
                    <xdr:rowOff>129540</xdr:rowOff>
                  </from>
                  <to>
                    <xdr:col>199</xdr:col>
                    <xdr:colOff>60960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79" r:id="rId62" name="Option Button 1075">
              <controlPr defaultSize="0" autoFill="0" autoLine="0" autoPict="0">
                <anchor moveWithCells="1">
                  <from>
                    <xdr:col>194</xdr:col>
                    <xdr:colOff>350520</xdr:colOff>
                    <xdr:row>21</xdr:row>
                    <xdr:rowOff>144780</xdr:rowOff>
                  </from>
                  <to>
                    <xdr:col>199</xdr:col>
                    <xdr:colOff>60960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80" r:id="rId63" name="Option Button 1076">
              <controlPr defaultSize="0" autoFill="0" autoLine="0" autoPict="0">
                <anchor moveWithCells="1">
                  <from>
                    <xdr:col>194</xdr:col>
                    <xdr:colOff>350520</xdr:colOff>
                    <xdr:row>22</xdr:row>
                    <xdr:rowOff>137160</xdr:rowOff>
                  </from>
                  <to>
                    <xdr:col>199</xdr:col>
                    <xdr:colOff>60960</xdr:colOff>
                    <xdr:row>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81" r:id="rId64" name="Option Button 1077">
              <controlPr defaultSize="0" autoFill="0" autoLine="0" autoPict="0">
                <anchor moveWithCells="1">
                  <from>
                    <xdr:col>194</xdr:col>
                    <xdr:colOff>350520</xdr:colOff>
                    <xdr:row>23</xdr:row>
                    <xdr:rowOff>144780</xdr:rowOff>
                  </from>
                  <to>
                    <xdr:col>199</xdr:col>
                    <xdr:colOff>60960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82" r:id="rId65" name="Option Button 1078">
              <controlPr defaultSize="0" autoFill="0" autoLine="0" autoPict="0">
                <anchor moveWithCells="1">
                  <from>
                    <xdr:col>194</xdr:col>
                    <xdr:colOff>350520</xdr:colOff>
                    <xdr:row>24</xdr:row>
                    <xdr:rowOff>137160</xdr:rowOff>
                  </from>
                  <to>
                    <xdr:col>199</xdr:col>
                    <xdr:colOff>60960</xdr:colOff>
                    <xdr:row>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83" r:id="rId66" name="Option Button 1079">
              <controlPr defaultSize="0" autoFill="0" autoLine="0" autoPict="0">
                <anchor moveWithCells="1">
                  <from>
                    <xdr:col>194</xdr:col>
                    <xdr:colOff>350520</xdr:colOff>
                    <xdr:row>25</xdr:row>
                    <xdr:rowOff>144780</xdr:rowOff>
                  </from>
                  <to>
                    <xdr:col>199</xdr:col>
                    <xdr:colOff>60960</xdr:colOff>
                    <xdr:row>27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84" r:id="rId67" name="Option Button 1080">
              <controlPr defaultSize="0" autoFill="0" autoLine="0" autoPict="0">
                <anchor moveWithCells="1">
                  <from>
                    <xdr:col>194</xdr:col>
                    <xdr:colOff>350520</xdr:colOff>
                    <xdr:row>26</xdr:row>
                    <xdr:rowOff>144780</xdr:rowOff>
                  </from>
                  <to>
                    <xdr:col>199</xdr:col>
                    <xdr:colOff>60960</xdr:colOff>
                    <xdr:row>28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85" r:id="rId68" name="Option Button 1081">
              <controlPr defaultSize="0" autoFill="0" autoLine="0" autoPict="0">
                <anchor moveWithCells="1">
                  <from>
                    <xdr:col>194</xdr:col>
                    <xdr:colOff>350520</xdr:colOff>
                    <xdr:row>27</xdr:row>
                    <xdr:rowOff>137160</xdr:rowOff>
                  </from>
                  <to>
                    <xdr:col>199</xdr:col>
                    <xdr:colOff>60960</xdr:colOff>
                    <xdr:row>29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86" r:id="rId69" name="Option Button 1082">
              <controlPr defaultSize="0" autoFill="0" autoLine="0" autoPict="0">
                <anchor moveWithCells="1">
                  <from>
                    <xdr:col>194</xdr:col>
                    <xdr:colOff>350520</xdr:colOff>
                    <xdr:row>28</xdr:row>
                    <xdr:rowOff>137160</xdr:rowOff>
                  </from>
                  <to>
                    <xdr:col>199</xdr:col>
                    <xdr:colOff>60960</xdr:colOff>
                    <xdr:row>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87" r:id="rId70" name="Option Button 1083">
              <controlPr defaultSize="0" autoFill="0" autoLine="0" autoPict="0">
                <anchor moveWithCells="1">
                  <from>
                    <xdr:col>194</xdr:col>
                    <xdr:colOff>350520</xdr:colOff>
                    <xdr:row>29</xdr:row>
                    <xdr:rowOff>129540</xdr:rowOff>
                  </from>
                  <to>
                    <xdr:col>199</xdr:col>
                    <xdr:colOff>60960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88" r:id="rId71" name="Option Button 1084">
              <controlPr defaultSize="0" autoFill="0" autoLine="0" autoPict="0">
                <anchor moveWithCells="1">
                  <from>
                    <xdr:col>194</xdr:col>
                    <xdr:colOff>350520</xdr:colOff>
                    <xdr:row>30</xdr:row>
                    <xdr:rowOff>137160</xdr:rowOff>
                  </from>
                  <to>
                    <xdr:col>199</xdr:col>
                    <xdr:colOff>60960</xdr:colOff>
                    <xdr:row>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89" r:id="rId72" name="Option Button 1085">
              <controlPr defaultSize="0" autoFill="0" autoLine="0" autoPict="0">
                <anchor moveWithCells="1">
                  <from>
                    <xdr:col>194</xdr:col>
                    <xdr:colOff>350520</xdr:colOff>
                    <xdr:row>31</xdr:row>
                    <xdr:rowOff>129540</xdr:rowOff>
                  </from>
                  <to>
                    <xdr:col>199</xdr:col>
                    <xdr:colOff>60960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90" r:id="rId73" name="Option Button 1086">
              <controlPr defaultSize="0" autoFill="0" autoLine="0" autoPict="0">
                <anchor moveWithCells="1">
                  <from>
                    <xdr:col>194</xdr:col>
                    <xdr:colOff>350520</xdr:colOff>
                    <xdr:row>32</xdr:row>
                    <xdr:rowOff>137160</xdr:rowOff>
                  </from>
                  <to>
                    <xdr:col>199</xdr:col>
                    <xdr:colOff>60960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91" r:id="rId74" name="Option Button 1087">
              <controlPr defaultSize="0" autoFill="0" autoLine="0" autoPict="0">
                <anchor moveWithCells="1">
                  <from>
                    <xdr:col>194</xdr:col>
                    <xdr:colOff>350520</xdr:colOff>
                    <xdr:row>33</xdr:row>
                    <xdr:rowOff>129540</xdr:rowOff>
                  </from>
                  <to>
                    <xdr:col>199</xdr:col>
                    <xdr:colOff>60960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92" r:id="rId75" name="Option Button 1088">
              <controlPr defaultSize="0" autoFill="0" autoLine="0" autoPict="0">
                <anchor moveWithCells="1">
                  <from>
                    <xdr:col>194</xdr:col>
                    <xdr:colOff>350520</xdr:colOff>
                    <xdr:row>34</xdr:row>
                    <xdr:rowOff>137160</xdr:rowOff>
                  </from>
                  <to>
                    <xdr:col>199</xdr:col>
                    <xdr:colOff>60960</xdr:colOff>
                    <xdr:row>36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93" r:id="rId76" name="Option Button 1089">
              <controlPr defaultSize="0" autoFill="0" autoLine="0" autoPict="0">
                <anchor moveWithCells="1">
                  <from>
                    <xdr:col>194</xdr:col>
                    <xdr:colOff>350520</xdr:colOff>
                    <xdr:row>35</xdr:row>
                    <xdr:rowOff>129540</xdr:rowOff>
                  </from>
                  <to>
                    <xdr:col>199</xdr:col>
                    <xdr:colOff>60960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95" r:id="rId77" name="Option Button 1091">
              <controlPr defaultSize="0" autoFill="0" autoLine="0" autoPict="0">
                <anchor moveWithCells="1">
                  <from>
                    <xdr:col>194</xdr:col>
                    <xdr:colOff>350520</xdr:colOff>
                    <xdr:row>36</xdr:row>
                    <xdr:rowOff>137160</xdr:rowOff>
                  </from>
                  <to>
                    <xdr:col>199</xdr:col>
                    <xdr:colOff>60960</xdr:colOff>
                    <xdr:row>38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96" r:id="rId78" name="Option Button 1092">
              <controlPr defaultSize="0" autoFill="0" autoLine="0" autoPict="0">
                <anchor moveWithCells="1">
                  <from>
                    <xdr:col>194</xdr:col>
                    <xdr:colOff>350520</xdr:colOff>
                    <xdr:row>37</xdr:row>
                    <xdr:rowOff>129540</xdr:rowOff>
                  </from>
                  <to>
                    <xdr:col>199</xdr:col>
                    <xdr:colOff>60960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97" r:id="rId79" name="Option Button 1093">
              <controlPr defaultSize="0" autoFill="0" autoLine="0" autoPict="0">
                <anchor moveWithCells="1">
                  <from>
                    <xdr:col>194</xdr:col>
                    <xdr:colOff>350520</xdr:colOff>
                    <xdr:row>38</xdr:row>
                    <xdr:rowOff>129540</xdr:rowOff>
                  </from>
                  <to>
                    <xdr:col>199</xdr:col>
                    <xdr:colOff>60960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98" r:id="rId80" name="Option Button 1094">
              <controlPr defaultSize="0" autoFill="0" autoLine="0" autoPict="0">
                <anchor moveWithCells="1">
                  <from>
                    <xdr:col>194</xdr:col>
                    <xdr:colOff>350520</xdr:colOff>
                    <xdr:row>39</xdr:row>
                    <xdr:rowOff>121920</xdr:rowOff>
                  </from>
                  <to>
                    <xdr:col>199</xdr:col>
                    <xdr:colOff>60960</xdr:colOff>
                    <xdr:row>40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99" r:id="rId81" name="Option Button 1095">
              <controlPr defaultSize="0" autoFill="0" autoLine="0" autoPict="0">
                <anchor moveWithCells="1">
                  <from>
                    <xdr:col>194</xdr:col>
                    <xdr:colOff>350520</xdr:colOff>
                    <xdr:row>40</xdr:row>
                    <xdr:rowOff>129540</xdr:rowOff>
                  </from>
                  <to>
                    <xdr:col>199</xdr:col>
                    <xdr:colOff>60960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600" r:id="rId82" name="Option Button 1096">
              <controlPr defaultSize="0" autoFill="0" autoLine="0" autoPict="0">
                <anchor moveWithCells="1">
                  <from>
                    <xdr:col>194</xdr:col>
                    <xdr:colOff>350520</xdr:colOff>
                    <xdr:row>41</xdr:row>
                    <xdr:rowOff>121920</xdr:rowOff>
                  </from>
                  <to>
                    <xdr:col>199</xdr:col>
                    <xdr:colOff>60960</xdr:colOff>
                    <xdr:row>42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601" r:id="rId83" name="Option Button 1097">
              <controlPr defaultSize="0" autoFill="0" autoLine="0" autoPict="0">
                <anchor moveWithCells="1">
                  <from>
                    <xdr:col>194</xdr:col>
                    <xdr:colOff>350520</xdr:colOff>
                    <xdr:row>42</xdr:row>
                    <xdr:rowOff>129540</xdr:rowOff>
                  </from>
                  <to>
                    <xdr:col>199</xdr:col>
                    <xdr:colOff>60960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602" r:id="rId84" name="Option Button 1098">
              <controlPr defaultSize="0" autoFill="0" autoLine="0" autoPict="0">
                <anchor moveWithCells="1">
                  <from>
                    <xdr:col>194</xdr:col>
                    <xdr:colOff>350520</xdr:colOff>
                    <xdr:row>43</xdr:row>
                    <xdr:rowOff>121920</xdr:rowOff>
                  </from>
                  <to>
                    <xdr:col>199</xdr:col>
                    <xdr:colOff>60960</xdr:colOff>
                    <xdr:row>44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603" r:id="rId85" name="Option Button 1099">
              <controlPr defaultSize="0" autoFill="0" autoLine="0" autoPict="0">
                <anchor moveWithCells="1">
                  <from>
                    <xdr:col>194</xdr:col>
                    <xdr:colOff>350520</xdr:colOff>
                    <xdr:row>44</xdr:row>
                    <xdr:rowOff>129540</xdr:rowOff>
                  </from>
                  <to>
                    <xdr:col>199</xdr:col>
                    <xdr:colOff>60960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604" r:id="rId86" name="Option Button 1100">
              <controlPr defaultSize="0" autoFill="0" autoLine="0" autoPict="0">
                <anchor moveWithCells="1">
                  <from>
                    <xdr:col>194</xdr:col>
                    <xdr:colOff>350520</xdr:colOff>
                    <xdr:row>45</xdr:row>
                    <xdr:rowOff>121920</xdr:rowOff>
                  </from>
                  <to>
                    <xdr:col>199</xdr:col>
                    <xdr:colOff>60960</xdr:colOff>
                    <xdr:row>46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632" r:id="rId87" name="Button 1128">
              <controlPr defaultSize="0" print="0" autoFill="0" autoPict="0" macro="[0]!estadisticasOpciones">
                <anchor moveWithCells="1" sizeWithCells="1">
                  <from>
                    <xdr:col>104</xdr:col>
                    <xdr:colOff>0</xdr:colOff>
                    <xdr:row>3</xdr:row>
                    <xdr:rowOff>7620</xdr:rowOff>
                  </from>
                  <to>
                    <xdr:col>108</xdr:col>
                    <xdr:colOff>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264" r:id="rId88" name="Group Box 96">
              <controlPr defaultSize="0" autoFill="0" autoPict="0">
                <anchor moveWithCells="1">
                  <from>
                    <xdr:col>144</xdr:col>
                    <xdr:colOff>0</xdr:colOff>
                    <xdr:row>0</xdr:row>
                    <xdr:rowOff>121920</xdr:rowOff>
                  </from>
                  <to>
                    <xdr:col>147</xdr:col>
                    <xdr:colOff>7620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271" r:id="rId89" name="Option Button 103">
              <controlPr defaultSize="0" autoFill="0" autoLine="0" autoPict="0">
                <anchor moveWithCells="1">
                  <from>
                    <xdr:col>145</xdr:col>
                    <xdr:colOff>7620</xdr:colOff>
                    <xdr:row>3</xdr:row>
                    <xdr:rowOff>152400</xdr:rowOff>
                  </from>
                  <to>
                    <xdr:col>146</xdr:col>
                    <xdr:colOff>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633" r:id="rId90" name="Option Button 1129">
              <controlPr defaultSize="0" autoFill="0" autoLine="0" autoPict="0">
                <anchor moveWithCells="1">
                  <from>
                    <xdr:col>146</xdr:col>
                    <xdr:colOff>15240</xdr:colOff>
                    <xdr:row>3</xdr:row>
                    <xdr:rowOff>144780</xdr:rowOff>
                  </from>
                  <to>
                    <xdr:col>147</xdr:col>
                    <xdr:colOff>7620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0">
    <tabColor rgb="FFFFFF00"/>
  </sheetPr>
  <dimension ref="A1:V20"/>
  <sheetViews>
    <sheetView workbookViewId="0">
      <selection activeCell="B23" sqref="B23"/>
    </sheetView>
    <sheetView workbookViewId="1"/>
    <sheetView workbookViewId="2"/>
  </sheetViews>
  <sheetFormatPr baseColWidth="10" defaultColWidth="11.44140625" defaultRowHeight="15" customHeight="1"/>
  <cols>
    <col min="1" max="1" width="2.109375" style="144" customWidth="1"/>
    <col min="2" max="2" width="14.6640625" style="144" bestFit="1" customWidth="1"/>
    <col min="3" max="8" width="12.6640625" style="144" customWidth="1"/>
    <col min="9" max="9" width="14.33203125" style="144" customWidth="1"/>
    <col min="10" max="13" width="12.6640625" style="144" customWidth="1"/>
    <col min="14" max="14" width="12.6640625" style="149" customWidth="1"/>
    <col min="15" max="21" width="12.6640625" style="144" customWidth="1"/>
    <col min="22" max="22" width="17.6640625" style="144" customWidth="1"/>
    <col min="23" max="27" width="11.44140625" style="144"/>
    <col min="28" max="30" width="8.6640625" style="144" customWidth="1"/>
    <col min="31" max="16384" width="11.44140625" style="144"/>
  </cols>
  <sheetData>
    <row r="1" spans="1:22" ht="15" customHeight="1">
      <c r="A1" s="576" t="s">
        <v>39</v>
      </c>
      <c r="B1" s="577"/>
      <c r="C1" s="577"/>
      <c r="D1" s="577"/>
      <c r="S1" s="46"/>
      <c r="V1" s="578" t="str">
        <f>+CONCATENATE("Costo Financiero | ", "Estrategias con Opciones")</f>
        <v>Costo Financiero | Estrategias con Opciones</v>
      </c>
    </row>
    <row r="2" spans="1:22" ht="15" customHeight="1">
      <c r="A2" s="578"/>
      <c r="B2" s="578"/>
      <c r="C2" s="578"/>
      <c r="D2" s="578"/>
      <c r="V2" s="143" t="str">
        <f>+CONCATENATE("Versión", " | ", 2022)</f>
        <v>Versión | 2022</v>
      </c>
    </row>
    <row r="3" spans="1:22" ht="15" customHeight="1">
      <c r="A3" s="579"/>
      <c r="B3" s="579"/>
      <c r="C3" s="579"/>
      <c r="D3" s="579"/>
      <c r="E3" s="579"/>
      <c r="F3" s="579"/>
      <c r="G3" s="579"/>
      <c r="H3" s="579"/>
      <c r="I3" s="579"/>
      <c r="J3" s="579"/>
      <c r="K3" s="579"/>
      <c r="L3" s="579" t="s">
        <v>325</v>
      </c>
      <c r="M3" s="579"/>
      <c r="N3" s="579"/>
      <c r="O3" s="579"/>
      <c r="P3" s="579"/>
      <c r="Q3" s="579"/>
      <c r="R3" s="579"/>
      <c r="S3" s="579"/>
      <c r="T3" s="579"/>
      <c r="U3" s="579"/>
      <c r="V3" s="579"/>
    </row>
    <row r="4" spans="1:22" ht="15" customHeight="1">
      <c r="U4" s="149"/>
      <c r="V4" s="149"/>
    </row>
    <row r="5" spans="1:22" ht="15" hidden="1" customHeight="1"/>
    <row r="6" spans="1:22" ht="15" customHeight="1">
      <c r="B6" s="580" t="s">
        <v>326</v>
      </c>
      <c r="C6" s="582" t="s">
        <v>327</v>
      </c>
      <c r="D6" s="582" t="s">
        <v>328</v>
      </c>
      <c r="E6" s="581" t="s">
        <v>342</v>
      </c>
      <c r="F6" s="580" t="s">
        <v>343</v>
      </c>
      <c r="G6" s="582" t="s">
        <v>345</v>
      </c>
      <c r="H6" s="582" t="s">
        <v>344</v>
      </c>
      <c r="I6" s="582" t="s">
        <v>341</v>
      </c>
      <c r="J6" s="581" t="s">
        <v>340</v>
      </c>
      <c r="K6" s="582" t="s">
        <v>329</v>
      </c>
      <c r="L6" s="582" t="s">
        <v>330</v>
      </c>
      <c r="M6" s="584"/>
    </row>
    <row r="7" spans="1:22" ht="15" customHeight="1">
      <c r="B7" s="585">
        <v>1</v>
      </c>
      <c r="C7" s="587">
        <f>+GGAL!BM1</f>
        <v>51</v>
      </c>
      <c r="D7" s="587">
        <v>365</v>
      </c>
      <c r="E7" s="591">
        <f>+Datos!$Q$28</f>
        <v>0.36</v>
      </c>
      <c r="F7" s="589">
        <f>1 * (0 + E7 * (C7 / D7))</f>
        <v>5.0301369863013701E-2</v>
      </c>
      <c r="G7" s="614">
        <f>+E7 * (C7/D7)</f>
        <v>5.0301369863013701E-2</v>
      </c>
      <c r="H7" s="614">
        <f>1 + (E7 * (C7/D7))</f>
        <v>1.0503013698630137</v>
      </c>
      <c r="I7" s="613">
        <f t="shared" ref="I7:I14" si="0">+B7 * (0 + E7 * (C7 / D7))</f>
        <v>5.0301369863013701E-2</v>
      </c>
      <c r="J7" s="592">
        <f>+B7 * (1 + E7 * (C7 / D7))</f>
        <v>1.0503013698630137</v>
      </c>
      <c r="K7" s="590"/>
      <c r="L7" s="583">
        <f t="shared" ref="L7:L13" si="1">+J7-B7</f>
        <v>5.0301369863013701E-2</v>
      </c>
      <c r="M7" s="584"/>
    </row>
    <row r="8" spans="1:22" ht="15" customHeight="1">
      <c r="B8" s="585">
        <v>100</v>
      </c>
      <c r="C8" s="587">
        <f>+GGAL!BM1</f>
        <v>51</v>
      </c>
      <c r="D8" s="587">
        <v>365</v>
      </c>
      <c r="E8" s="591">
        <f>+Datos!$Q$28</f>
        <v>0.36</v>
      </c>
      <c r="F8" s="589">
        <f t="shared" ref="F8" si="2">1 * (0 + E8 * (C8 / D8))</f>
        <v>5.0301369863013701E-2</v>
      </c>
      <c r="G8" s="614">
        <f t="shared" ref="G8:G14" si="3">+E8 * (C8/D8)</f>
        <v>5.0301369863013701E-2</v>
      </c>
      <c r="H8" s="614">
        <f t="shared" ref="H8:H20" si="4">1 + (E8 * (C8/D8))</f>
        <v>1.0503013698630137</v>
      </c>
      <c r="I8" s="613">
        <f t="shared" si="0"/>
        <v>5.0301369863013701</v>
      </c>
      <c r="J8" s="592">
        <f t="shared" ref="J8:J9" si="5">+B8 * (1 + E8 * (C8 / D8))</f>
        <v>105.03013698630137</v>
      </c>
      <c r="K8" s="590"/>
      <c r="L8" s="583">
        <f t="shared" si="1"/>
        <v>5.0301369863013718</v>
      </c>
      <c r="M8" s="584"/>
    </row>
    <row r="9" spans="1:22" ht="15" customHeight="1">
      <c r="B9" s="585">
        <v>1000</v>
      </c>
      <c r="C9" s="587">
        <f>+GGAL!BM1</f>
        <v>51</v>
      </c>
      <c r="D9" s="587">
        <v>365</v>
      </c>
      <c r="E9" s="591">
        <f>+Datos!$Q$28</f>
        <v>0.36</v>
      </c>
      <c r="F9" s="589">
        <f>1 * (0 + E9 * (C9 / D9))</f>
        <v>5.0301369863013701E-2</v>
      </c>
      <c r="G9" s="614">
        <f t="shared" si="3"/>
        <v>5.0301369863013701E-2</v>
      </c>
      <c r="H9" s="614">
        <f t="shared" si="4"/>
        <v>1.0503013698630137</v>
      </c>
      <c r="I9" s="613">
        <f t="shared" si="0"/>
        <v>50.301369863013704</v>
      </c>
      <c r="J9" s="592">
        <f t="shared" si="5"/>
        <v>1050.3013698630136</v>
      </c>
      <c r="K9" s="590"/>
      <c r="L9" s="583">
        <f t="shared" si="1"/>
        <v>50.301369863013633</v>
      </c>
      <c r="M9" s="584"/>
    </row>
    <row r="10" spans="1:22" ht="15" customHeight="1">
      <c r="B10" s="586">
        <f>+B11</f>
        <v>209.65</v>
      </c>
      <c r="C10" s="587">
        <f>+C7</f>
        <v>51</v>
      </c>
      <c r="D10" s="587">
        <f>+D7</f>
        <v>365</v>
      </c>
      <c r="E10" s="591">
        <f>+Datos!$Q$28</f>
        <v>0.36</v>
      </c>
      <c r="F10" s="589">
        <f t="shared" ref="F10:F14" si="6">1 * (0 + E10 * (C10 / D10))</f>
        <v>5.0301369863013701E-2</v>
      </c>
      <c r="G10" s="614">
        <f t="shared" si="3"/>
        <v>5.0301369863013701E-2</v>
      </c>
      <c r="H10" s="614">
        <f t="shared" si="4"/>
        <v>1.0503013698630137</v>
      </c>
      <c r="I10" s="767">
        <f t="shared" si="0"/>
        <v>10.545682191780823</v>
      </c>
      <c r="J10" s="592">
        <f>+B10 * (1 + E10 * (C10 / D10))</f>
        <v>220.19568219178083</v>
      </c>
      <c r="K10" s="590"/>
      <c r="L10" s="583">
        <f t="shared" si="1"/>
        <v>10.545682191780827</v>
      </c>
      <c r="M10" s="584"/>
    </row>
    <row r="11" spans="1:22" ht="15" customHeight="1">
      <c r="B11" s="585">
        <f>+GGAL!AG1</f>
        <v>209.65</v>
      </c>
      <c r="C11" s="588">
        <v>-1</v>
      </c>
      <c r="D11" s="587">
        <f t="shared" ref="D11:D14" si="7">+D10</f>
        <v>365</v>
      </c>
      <c r="E11" s="591">
        <f>+Datos!$Q$28</f>
        <v>0.36</v>
      </c>
      <c r="F11" s="589">
        <f t="shared" si="6"/>
        <v>-9.8630136986301367E-4</v>
      </c>
      <c r="G11" s="614">
        <f t="shared" si="3"/>
        <v>-9.8630136986301367E-4</v>
      </c>
      <c r="H11" s="614">
        <f t="shared" si="4"/>
        <v>0.999013698630137</v>
      </c>
      <c r="I11" s="613">
        <f t="shared" si="0"/>
        <v>-0.20677808219178082</v>
      </c>
      <c r="J11" s="592">
        <f>+B11 * (1 + E11 * (C11 / D11))</f>
        <v>209.44322191780822</v>
      </c>
      <c r="K11" s="590"/>
      <c r="L11" s="583">
        <f t="shared" si="1"/>
        <v>-0.20677808219178928</v>
      </c>
      <c r="M11" s="584"/>
    </row>
    <row r="12" spans="1:22" ht="15" customHeight="1">
      <c r="B12" s="585">
        <v>100</v>
      </c>
      <c r="C12" s="587">
        <f>+C10</f>
        <v>51</v>
      </c>
      <c r="D12" s="587">
        <f t="shared" si="7"/>
        <v>365</v>
      </c>
      <c r="E12" s="593">
        <v>0.3</v>
      </c>
      <c r="F12" s="589">
        <f t="shared" si="6"/>
        <v>4.1917808219178086E-2</v>
      </c>
      <c r="G12" s="614">
        <f t="shared" si="3"/>
        <v>4.1917808219178086E-2</v>
      </c>
      <c r="H12" s="614">
        <f t="shared" si="4"/>
        <v>1.041917808219178</v>
      </c>
      <c r="I12" s="613">
        <f t="shared" si="0"/>
        <v>4.191780821917809</v>
      </c>
      <c r="J12" s="592">
        <f>+B12 * (1 + E12 * (C12 / D12))</f>
        <v>104.1917808219178</v>
      </c>
      <c r="K12" s="590"/>
      <c r="L12" s="583">
        <f t="shared" si="1"/>
        <v>4.1917808219178028</v>
      </c>
      <c r="N12" s="144"/>
    </row>
    <row r="13" spans="1:22" ht="15" customHeight="1">
      <c r="B13" s="585"/>
      <c r="C13" s="587"/>
      <c r="D13" s="587">
        <f t="shared" si="7"/>
        <v>365</v>
      </c>
      <c r="E13" s="591"/>
      <c r="F13" s="589">
        <f t="shared" si="6"/>
        <v>0</v>
      </c>
      <c r="G13" s="614">
        <f t="shared" si="3"/>
        <v>0</v>
      </c>
      <c r="H13" s="614">
        <f t="shared" si="4"/>
        <v>1</v>
      </c>
      <c r="I13" s="613">
        <f t="shared" si="0"/>
        <v>0</v>
      </c>
      <c r="J13" s="592">
        <f>+B13 * (1 + E13 * (C13 / D13))</f>
        <v>0</v>
      </c>
      <c r="K13" s="590"/>
      <c r="L13" s="583">
        <f t="shared" si="1"/>
        <v>0</v>
      </c>
      <c r="N13" s="144"/>
    </row>
    <row r="14" spans="1:22" ht="15" customHeight="1">
      <c r="B14" s="586">
        <v>100</v>
      </c>
      <c r="C14" s="588">
        <v>1</v>
      </c>
      <c r="D14" s="587">
        <f t="shared" si="7"/>
        <v>365</v>
      </c>
      <c r="E14" s="593">
        <v>0.34</v>
      </c>
      <c r="F14" s="589">
        <f t="shared" si="6"/>
        <v>9.315068493150686E-4</v>
      </c>
      <c r="G14" s="614">
        <f t="shared" si="3"/>
        <v>9.315068493150686E-4</v>
      </c>
      <c r="H14" s="614">
        <f t="shared" si="4"/>
        <v>1.000931506849315</v>
      </c>
      <c r="I14" s="613">
        <f t="shared" si="0"/>
        <v>9.3150684931506855E-2</v>
      </c>
      <c r="J14" s="592">
        <f>+B14 * (1 + E14 * (C14 / D14))</f>
        <v>100.0931506849315</v>
      </c>
      <c r="K14" s="590"/>
      <c r="L14" s="583">
        <f>+J14-B14</f>
        <v>9.315068493150136E-2</v>
      </c>
    </row>
    <row r="15" spans="1:22" ht="15" hidden="1" customHeight="1">
      <c r="F15" s="144">
        <f>+COMIS_OPCION</f>
        <v>6.6549999999999995E-3</v>
      </c>
      <c r="H15" s="614" t="e">
        <f t="shared" si="4"/>
        <v>#DIV/0!</v>
      </c>
    </row>
    <row r="16" spans="1:22" ht="15" hidden="1" customHeight="1">
      <c r="D16" s="144" t="e">
        <f xml:space="preserve"> MOD((#REF!*#REF!),#REF!)</f>
        <v>#REF!</v>
      </c>
      <c r="F16" s="144" t="e">
        <f xml:space="preserve"> MOD((#REF!*#REF!),#REF!)</f>
        <v>#REF!</v>
      </c>
      <c r="H16" s="614" t="e">
        <f t="shared" si="4"/>
        <v>#REF!</v>
      </c>
      <c r="K16" s="144" t="e">
        <f>+F16/#REF!</f>
        <v>#REF!</v>
      </c>
    </row>
    <row r="17" spans="5:8" ht="15" hidden="1" customHeight="1">
      <c r="H17" s="614" t="e">
        <f t="shared" si="4"/>
        <v>#DIV/0!</v>
      </c>
    </row>
    <row r="18" spans="5:8" ht="15" hidden="1" customHeight="1">
      <c r="E18" s="144" t="s">
        <v>253</v>
      </c>
      <c r="H18" s="614" t="e">
        <f t="shared" si="4"/>
        <v>#VALUE!</v>
      </c>
    </row>
    <row r="19" spans="5:8" ht="15" hidden="1" customHeight="1">
      <c r="H19" s="614" t="e">
        <f t="shared" si="4"/>
        <v>#DIV/0!</v>
      </c>
    </row>
    <row r="20" spans="5:8" ht="15" hidden="1" customHeight="1">
      <c r="H20" s="614" t="e">
        <f t="shared" si="4"/>
        <v>#DIV/0!</v>
      </c>
    </row>
  </sheetData>
  <pageMargins left="0.70866141732283472" right="0.70866141732283472" top="0.74803149606299213" bottom="0.74803149606299213" header="0.31496062992125984" footer="0.31496062992125984"/>
  <pageSetup paperSize="9" scale="6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theme="6" tint="0.39997558519241921"/>
  </sheetPr>
  <dimension ref="A1:BF10"/>
  <sheetViews>
    <sheetView workbookViewId="0"/>
    <sheetView workbookViewId="1"/>
    <sheetView workbookViewId="2"/>
  </sheetViews>
  <sheetFormatPr baseColWidth="10" defaultColWidth="11.44140625" defaultRowHeight="14.1" customHeight="1"/>
  <cols>
    <col min="1" max="1" width="1.6640625" style="155" customWidth="1"/>
    <col min="2" max="3" width="3.33203125" style="10" customWidth="1"/>
    <col min="4" max="4" width="12.6640625" style="10" customWidth="1"/>
    <col min="5" max="5" width="9.88671875" style="17" bestFit="1" customWidth="1"/>
    <col min="6" max="6" width="6.6640625" style="17" customWidth="1"/>
    <col min="7" max="7" width="0.88671875" style="17" customWidth="1"/>
    <col min="8" max="8" width="4.6640625" style="17" customWidth="1"/>
    <col min="9" max="10" width="7.6640625" style="17" customWidth="1"/>
    <col min="11" max="11" width="4.6640625" style="17" customWidth="1"/>
    <col min="12" max="12" width="6.44140625" style="17" customWidth="1"/>
    <col min="13" max="13" width="0.88671875" style="17" customWidth="1"/>
    <col min="14" max="15" width="5.6640625" style="17" hidden="1" customWidth="1"/>
    <col min="16" max="17" width="8.6640625" style="17" hidden="1" customWidth="1"/>
    <col min="18" max="18" width="5.6640625" style="17" hidden="1" customWidth="1"/>
    <col min="19" max="19" width="4.6640625" style="17" hidden="1" customWidth="1"/>
    <col min="20" max="20" width="0.88671875" style="17" hidden="1" customWidth="1"/>
    <col min="21" max="25" width="7.6640625" style="17" hidden="1" customWidth="1"/>
    <col min="26" max="28" width="7.6640625" style="17" customWidth="1"/>
    <col min="29" max="29" width="7.6640625" style="74" customWidth="1"/>
    <col min="30" max="30" width="0.88671875" style="17" customWidth="1"/>
    <col min="31" max="31" width="9.6640625" style="17" bestFit="1" customWidth="1"/>
    <col min="32" max="32" width="7.6640625" style="17" customWidth="1"/>
    <col min="33" max="33" width="0.88671875" style="17" customWidth="1"/>
    <col min="34" max="34" width="5.6640625" style="74" customWidth="1"/>
    <col min="35" max="35" width="6.6640625" style="17" customWidth="1"/>
    <col min="36" max="38" width="5.6640625" style="17" customWidth="1"/>
    <col min="39" max="39" width="0.88671875" style="17" customWidth="1"/>
    <col min="40" max="42" width="6.6640625" style="75" customWidth="1"/>
    <col min="43" max="43" width="0.88671875" style="17" customWidth="1"/>
    <col min="44" max="45" width="8.6640625" style="10" customWidth="1"/>
    <col min="46" max="46" width="7.6640625" style="10" customWidth="1"/>
    <col min="47" max="47" width="11.44140625" style="10" customWidth="1"/>
    <col min="48" max="48" width="20.33203125" style="10" customWidth="1"/>
    <col min="49" max="49" width="12.44140625" style="10" customWidth="1"/>
    <col min="50" max="50" width="7.6640625" style="10" customWidth="1"/>
    <col min="51" max="51" width="7.33203125" style="10" bestFit="1" customWidth="1"/>
    <col min="52" max="52" width="12.6640625" style="10" customWidth="1"/>
    <col min="53" max="53" width="13.6640625" style="10" bestFit="1" customWidth="1"/>
    <col min="54" max="54" width="7.6640625" style="10" customWidth="1"/>
    <col min="55" max="55" width="6.6640625" style="10" customWidth="1"/>
    <col min="56" max="56" width="7.109375" style="10" bestFit="1" customWidth="1"/>
    <col min="57" max="58" width="5.6640625" style="10" customWidth="1"/>
    <col min="59" max="16384" width="11.44140625" style="10"/>
  </cols>
  <sheetData>
    <row r="1" spans="1:58" ht="17.100000000000001" customHeight="1">
      <c r="A1" s="152" t="s">
        <v>1</v>
      </c>
      <c r="B1" s="9"/>
      <c r="C1" s="9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I1" s="23"/>
      <c r="AJ1" s="23"/>
      <c r="AK1" s="11"/>
      <c r="AN1" s="76" t="str">
        <f>+CONCATENATE("Panel de Opciones | ", "Estrategias con Opciones")</f>
        <v>Panel de Opciones | Estrategias con Opciones</v>
      </c>
      <c r="AP1" s="77" t="str">
        <f>+CONCATENATE("Versión ", " | ", 2016)</f>
        <v>Versión  | 2016</v>
      </c>
      <c r="AS1" s="1059" t="b">
        <v>0</v>
      </c>
      <c r="AT1" s="1059"/>
      <c r="AU1" s="118" t="s">
        <v>186</v>
      </c>
      <c r="AW1" s="10">
        <f>+COLUMN()</f>
        <v>49</v>
      </c>
      <c r="AX1" s="10" t="s">
        <v>199</v>
      </c>
      <c r="AZ1" s="127" t="s">
        <v>186</v>
      </c>
    </row>
    <row r="2" spans="1:58" ht="17.100000000000001" customHeight="1">
      <c r="A2" s="153"/>
      <c r="B2" s="12"/>
      <c r="C2" s="12"/>
      <c r="D2" s="12"/>
      <c r="E2" s="18"/>
      <c r="F2" s="18"/>
      <c r="G2" s="18"/>
      <c r="H2" s="18"/>
      <c r="I2" s="18"/>
      <c r="J2" s="26"/>
      <c r="K2" s="26"/>
      <c r="L2" s="27"/>
      <c r="M2" s="78"/>
      <c r="N2" s="79" t="s">
        <v>79</v>
      </c>
      <c r="O2" s="79"/>
      <c r="P2" s="26"/>
      <c r="Q2" s="26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26"/>
      <c r="AD2" s="18"/>
      <c r="AE2" s="18"/>
      <c r="AF2" s="18"/>
      <c r="AG2" s="18"/>
      <c r="AH2" s="78"/>
      <c r="AI2" s="18"/>
      <c r="AJ2" s="18"/>
      <c r="AK2" s="18"/>
      <c r="AL2" s="18"/>
      <c r="AM2" s="18"/>
      <c r="AN2" s="80"/>
      <c r="AO2" s="80"/>
      <c r="AP2" s="80"/>
      <c r="AQ2" s="18"/>
      <c r="AT2" s="127" t="s">
        <v>688</v>
      </c>
      <c r="AU2" s="127" t="s">
        <v>213</v>
      </c>
      <c r="AV2" s="156" t="s">
        <v>685</v>
      </c>
      <c r="AW2" s="156" t="s">
        <v>686</v>
      </c>
      <c r="AX2" s="127" t="s">
        <v>687</v>
      </c>
    </row>
    <row r="3" spans="1:58" s="22" customFormat="1" ht="5.0999999999999996" customHeight="1">
      <c r="A3" s="154"/>
    </row>
    <row r="4" spans="1:58" s="22" customFormat="1" ht="14.1" customHeight="1">
      <c r="A4" s="154"/>
      <c r="D4" s="62" t="s">
        <v>22</v>
      </c>
      <c r="E4" s="59">
        <f ca="1">TODAY() + F4</f>
        <v>44615</v>
      </c>
      <c r="F4" s="66">
        <v>0</v>
      </c>
      <c r="G4" s="22">
        <v>6</v>
      </c>
      <c r="I4" s="63" t="s">
        <v>48</v>
      </c>
      <c r="J4" s="57"/>
      <c r="K4" s="81">
        <v>0</v>
      </c>
      <c r="AE4" s="405"/>
      <c r="AF4" s="405"/>
      <c r="AG4" s="405"/>
      <c r="AH4" s="405"/>
      <c r="AI4" s="405"/>
      <c r="AJ4" s="405"/>
      <c r="AK4" s="405"/>
      <c r="AL4" s="405"/>
      <c r="AS4" s="128"/>
      <c r="AT4" s="157" t="s">
        <v>188</v>
      </c>
      <c r="AU4" s="157" t="s">
        <v>189</v>
      </c>
      <c r="AV4" s="157" t="s">
        <v>190</v>
      </c>
      <c r="AW4" s="157" t="s">
        <v>192</v>
      </c>
      <c r="AX4" s="157" t="s">
        <v>193</v>
      </c>
      <c r="AY4" s="157" t="s">
        <v>191</v>
      </c>
      <c r="AZ4" s="157" t="s">
        <v>194</v>
      </c>
      <c r="BA4" s="157" t="s">
        <v>198</v>
      </c>
      <c r="BB4" s="157" t="s">
        <v>195</v>
      </c>
      <c r="BC4" s="157" t="s">
        <v>188</v>
      </c>
      <c r="BD4" s="157" t="s">
        <v>189</v>
      </c>
      <c r="BE4" s="157" t="s">
        <v>192</v>
      </c>
      <c r="BF4" s="157" t="s">
        <v>193</v>
      </c>
    </row>
    <row r="5" spans="1:58" s="17" customFormat="1" ht="14.1" customHeight="1">
      <c r="A5" s="154"/>
      <c r="B5" s="22"/>
      <c r="C5" s="22"/>
      <c r="D5" s="22">
        <v>1</v>
      </c>
      <c r="E5" s="129">
        <v>2</v>
      </c>
      <c r="F5" s="129">
        <v>3</v>
      </c>
      <c r="G5" s="22">
        <v>4</v>
      </c>
      <c r="H5" s="129">
        <v>5</v>
      </c>
      <c r="I5" s="129">
        <v>6</v>
      </c>
      <c r="J5" s="129">
        <v>7</v>
      </c>
      <c r="K5" s="129">
        <v>8</v>
      </c>
      <c r="L5" s="129">
        <v>9</v>
      </c>
      <c r="M5" s="22">
        <v>10</v>
      </c>
      <c r="N5" s="22">
        <v>14</v>
      </c>
      <c r="O5" s="405">
        <v>15</v>
      </c>
      <c r="P5" s="405">
        <v>16</v>
      </c>
      <c r="Q5" s="405">
        <v>17</v>
      </c>
      <c r="R5" s="405">
        <v>18</v>
      </c>
      <c r="S5" s="405">
        <v>19</v>
      </c>
      <c r="T5" s="405">
        <v>20</v>
      </c>
      <c r="U5" s="405">
        <v>21</v>
      </c>
      <c r="V5" s="405">
        <v>22</v>
      </c>
      <c r="W5" s="405">
        <v>23</v>
      </c>
      <c r="X5" s="405">
        <v>24</v>
      </c>
      <c r="Y5" s="405">
        <v>25</v>
      </c>
      <c r="Z5" s="405">
        <v>26</v>
      </c>
      <c r="AA5" s="405">
        <v>27</v>
      </c>
      <c r="AB5" s="405">
        <v>28</v>
      </c>
      <c r="AC5" s="405">
        <v>29</v>
      </c>
      <c r="AD5" s="405">
        <v>30</v>
      </c>
      <c r="AE5" s="129">
        <v>31</v>
      </c>
      <c r="AF5" s="129">
        <v>32</v>
      </c>
      <c r="AG5" s="405">
        <v>33</v>
      </c>
      <c r="AH5" s="405">
        <v>34</v>
      </c>
      <c r="AI5" s="129">
        <v>35</v>
      </c>
      <c r="AJ5" s="129">
        <v>36</v>
      </c>
      <c r="AK5" s="129">
        <v>37</v>
      </c>
      <c r="AL5" s="129">
        <v>38</v>
      </c>
      <c r="AM5" s="405">
        <v>39</v>
      </c>
      <c r="AN5" s="405">
        <v>40</v>
      </c>
      <c r="AO5" s="405">
        <v>41</v>
      </c>
      <c r="AP5" s="405">
        <v>42</v>
      </c>
      <c r="AQ5" s="22">
        <v>40</v>
      </c>
      <c r="AR5" s="22">
        <v>41</v>
      </c>
      <c r="AS5" s="22">
        <v>42</v>
      </c>
      <c r="AT5" s="1060" t="s">
        <v>187</v>
      </c>
      <c r="AU5" s="1060"/>
      <c r="AV5" s="1060"/>
      <c r="AW5" s="1060"/>
      <c r="AX5" s="1060"/>
      <c r="AY5" s="1060"/>
      <c r="AZ5" s="1060"/>
      <c r="BA5" s="1060"/>
      <c r="BB5" s="1060"/>
      <c r="BC5" s="1060"/>
      <c r="BD5" s="1060"/>
      <c r="BE5" s="1060"/>
      <c r="BF5" s="1060"/>
    </row>
    <row r="6" spans="1:58" ht="24.9" customHeight="1" thickBot="1">
      <c r="B6" s="82" t="s">
        <v>17</v>
      </c>
      <c r="C6" s="82"/>
      <c r="D6" s="82" t="s">
        <v>70</v>
      </c>
      <c r="E6" s="28" t="s">
        <v>80</v>
      </c>
      <c r="F6" s="28" t="s">
        <v>9</v>
      </c>
      <c r="G6" s="83" t="s">
        <v>13</v>
      </c>
      <c r="H6" s="84" t="s">
        <v>81</v>
      </c>
      <c r="I6" s="84" t="s">
        <v>82</v>
      </c>
      <c r="J6" s="84" t="s">
        <v>83</v>
      </c>
      <c r="K6" s="85"/>
      <c r="L6" s="84"/>
      <c r="M6" s="83"/>
      <c r="N6" s="28"/>
      <c r="O6" s="28"/>
      <c r="P6" s="14"/>
      <c r="Q6" s="14"/>
      <c r="R6" s="28"/>
      <c r="S6" s="28"/>
      <c r="T6" s="83"/>
      <c r="U6" s="14"/>
      <c r="V6" s="14"/>
      <c r="W6" s="14"/>
      <c r="X6" s="14"/>
      <c r="Y6" s="14"/>
      <c r="Z6" s="87" t="s">
        <v>256</v>
      </c>
      <c r="AA6" s="87"/>
      <c r="AB6" s="87" t="s">
        <v>258</v>
      </c>
      <c r="AC6" s="28" t="s">
        <v>257</v>
      </c>
      <c r="AD6" s="83" t="s">
        <v>15</v>
      </c>
      <c r="AE6" s="87" t="s">
        <v>197</v>
      </c>
      <c r="AF6" s="28" t="s">
        <v>196</v>
      </c>
      <c r="AG6" s="86"/>
      <c r="AH6" s="28" t="s">
        <v>71</v>
      </c>
      <c r="AI6" s="28" t="s">
        <v>86</v>
      </c>
      <c r="AJ6" s="28" t="s">
        <v>32</v>
      </c>
      <c r="AK6" s="28" t="s">
        <v>87</v>
      </c>
      <c r="AL6" s="28" t="s">
        <v>88</v>
      </c>
      <c r="AM6" s="86" t="s">
        <v>14</v>
      </c>
      <c r="AN6" s="87" t="s">
        <v>89</v>
      </c>
      <c r="AO6" s="87" t="s">
        <v>49</v>
      </c>
      <c r="AP6" s="87" t="s">
        <v>47</v>
      </c>
      <c r="AQ6" s="86"/>
      <c r="AT6" s="28" t="s">
        <v>80</v>
      </c>
      <c r="AU6" s="84" t="s">
        <v>9</v>
      </c>
      <c r="AV6" s="84" t="s">
        <v>81</v>
      </c>
      <c r="AW6" s="84" t="s">
        <v>82</v>
      </c>
      <c r="AX6" s="84" t="s">
        <v>83</v>
      </c>
      <c r="AY6" s="85" t="s">
        <v>84</v>
      </c>
      <c r="AZ6" s="84" t="s">
        <v>85</v>
      </c>
      <c r="BA6" s="28" t="s">
        <v>197</v>
      </c>
      <c r="BB6" s="84" t="s">
        <v>196</v>
      </c>
      <c r="BC6" s="84" t="s">
        <v>86</v>
      </c>
      <c r="BD6" s="84" t="s">
        <v>32</v>
      </c>
      <c r="BE6" s="84" t="s">
        <v>87</v>
      </c>
      <c r="BF6" s="84" t="s">
        <v>88</v>
      </c>
    </row>
    <row r="7" spans="1:58" ht="14.1" customHeight="1">
      <c r="B7" s="53">
        <v>1</v>
      </c>
      <c r="C7" s="48">
        <v>0</v>
      </c>
      <c r="D7" s="105" t="s">
        <v>211</v>
      </c>
      <c r="E7" s="44"/>
      <c r="F7" s="16"/>
      <c r="H7" s="13"/>
      <c r="I7" s="64"/>
      <c r="J7" s="65"/>
      <c r="K7" s="13"/>
      <c r="L7" s="13"/>
      <c r="N7" s="60"/>
      <c r="O7" s="15"/>
      <c r="P7" s="15"/>
      <c r="Q7" s="15"/>
      <c r="R7" s="15"/>
      <c r="S7" s="25"/>
      <c r="U7" s="7"/>
      <c r="V7" s="7"/>
      <c r="W7" s="7"/>
      <c r="X7" s="7"/>
      <c r="Y7" s="7"/>
      <c r="Z7" s="7"/>
      <c r="AA7" s="7"/>
      <c r="AB7" s="413"/>
      <c r="AC7" s="412"/>
      <c r="AE7" s="13"/>
      <c r="AF7" s="13"/>
      <c r="AH7" s="15"/>
      <c r="AI7" s="89"/>
      <c r="AJ7" s="16"/>
      <c r="AK7" s="19"/>
      <c r="AL7" s="20"/>
      <c r="AN7" s="29"/>
      <c r="AO7" s="29"/>
      <c r="AP7" s="29"/>
      <c r="AT7" s="88"/>
      <c r="AU7" s="130"/>
      <c r="AV7" s="13"/>
      <c r="AW7" s="64"/>
      <c r="AX7" s="65"/>
      <c r="AY7" s="13"/>
      <c r="AZ7" s="13"/>
      <c r="BA7" s="13"/>
      <c r="BB7" s="13"/>
      <c r="BC7" s="89"/>
      <c r="BD7" s="130"/>
      <c r="BE7" s="19"/>
      <c r="BF7" s="20"/>
    </row>
    <row r="8" spans="1:58" ht="14.1" customHeight="1">
      <c r="B8" s="53">
        <v>2</v>
      </c>
      <c r="C8" s="48">
        <v>0</v>
      </c>
      <c r="D8" s="105" t="s">
        <v>212</v>
      </c>
      <c r="E8" s="44"/>
      <c r="F8" s="16"/>
      <c r="H8" s="13"/>
      <c r="I8" s="64"/>
      <c r="J8" s="65"/>
      <c r="K8" s="13"/>
      <c r="L8" s="13"/>
      <c r="N8" s="60"/>
      <c r="O8" s="15"/>
      <c r="P8" s="15"/>
      <c r="Q8" s="15"/>
      <c r="R8" s="15"/>
      <c r="S8" s="25"/>
      <c r="U8" s="7"/>
      <c r="V8" s="7"/>
      <c r="W8" s="7"/>
      <c r="X8" s="7"/>
      <c r="Y8" s="7"/>
      <c r="Z8" s="7"/>
      <c r="AA8" s="7"/>
      <c r="AB8" s="7"/>
      <c r="AC8" s="73"/>
      <c r="AE8" s="13"/>
      <c r="AF8" s="13"/>
      <c r="AH8" s="15"/>
      <c r="AI8" s="89"/>
      <c r="AJ8" s="16"/>
      <c r="AK8" s="19"/>
      <c r="AL8" s="20"/>
      <c r="AN8" s="29"/>
      <c r="AO8" s="29"/>
      <c r="AP8" s="29"/>
      <c r="AT8" s="88"/>
      <c r="AU8" s="130"/>
      <c r="AV8" s="13"/>
      <c r="AW8" s="64"/>
      <c r="AX8" s="65"/>
      <c r="AY8" s="13"/>
      <c r="AZ8" s="13"/>
      <c r="BA8" s="13"/>
      <c r="BB8" s="13"/>
      <c r="BC8" s="89"/>
      <c r="BD8" s="130"/>
      <c r="BE8" s="19"/>
      <c r="BF8" s="20"/>
    </row>
    <row r="9" spans="1:58" ht="14.1" customHeight="1">
      <c r="B9" s="53">
        <v>3</v>
      </c>
      <c r="C9" s="48">
        <v>0</v>
      </c>
      <c r="D9" s="105" t="s">
        <v>3</v>
      </c>
      <c r="E9" s="44"/>
      <c r="F9" s="16"/>
      <c r="H9" s="13"/>
      <c r="I9" s="64"/>
      <c r="J9" s="65"/>
      <c r="K9" s="13"/>
      <c r="L9" s="13"/>
      <c r="N9" s="60"/>
      <c r="O9" s="15"/>
      <c r="P9" s="15"/>
      <c r="Q9" s="15"/>
      <c r="R9" s="15"/>
      <c r="S9" s="25"/>
      <c r="U9" s="7"/>
      <c r="V9" s="7"/>
      <c r="W9" s="7"/>
      <c r="X9" s="7"/>
      <c r="Y9" s="7"/>
      <c r="Z9" s="7"/>
      <c r="AA9" s="7"/>
      <c r="AB9" s="7"/>
      <c r="AC9" s="73"/>
      <c r="AE9" s="13"/>
      <c r="AF9" s="13"/>
      <c r="AH9" s="15"/>
      <c r="AI9" s="89"/>
      <c r="AJ9" s="16"/>
      <c r="AK9" s="19"/>
      <c r="AL9" s="20"/>
      <c r="AN9" s="29"/>
      <c r="AO9" s="29"/>
      <c r="AP9" s="29"/>
      <c r="AT9" s="88"/>
      <c r="AU9" s="130"/>
      <c r="AV9" s="13"/>
      <c r="AW9" s="64"/>
      <c r="AX9" s="65"/>
      <c r="AY9" s="13"/>
      <c r="AZ9" s="13"/>
      <c r="BA9" s="13"/>
      <c r="BB9" s="13"/>
      <c r="BC9" s="89"/>
      <c r="BD9" s="130"/>
      <c r="BE9" s="19"/>
      <c r="BF9" s="20"/>
    </row>
    <row r="10" spans="1:58" ht="14.1" customHeight="1">
      <c r="B10" s="53">
        <v>4</v>
      </c>
      <c r="C10" s="48">
        <v>0</v>
      </c>
      <c r="D10" s="105" t="s">
        <v>346</v>
      </c>
      <c r="E10" s="44"/>
      <c r="F10" s="16"/>
      <c r="H10" s="13"/>
      <c r="I10" s="64"/>
      <c r="J10" s="65"/>
      <c r="K10" s="13"/>
      <c r="L10" s="13"/>
      <c r="N10" s="60"/>
      <c r="O10" s="15"/>
      <c r="P10" s="15"/>
      <c r="Q10" s="15"/>
      <c r="R10" s="15"/>
      <c r="S10" s="25"/>
      <c r="U10" s="7"/>
      <c r="V10" s="7"/>
      <c r="W10" s="7"/>
      <c r="X10" s="7"/>
      <c r="Y10" s="7"/>
      <c r="Z10" s="7"/>
      <c r="AA10" s="7"/>
      <c r="AB10" s="7"/>
      <c r="AC10" s="73"/>
      <c r="AE10" s="13"/>
      <c r="AF10" s="13"/>
      <c r="AH10" s="15"/>
      <c r="AI10" s="89"/>
      <c r="AJ10" s="16"/>
      <c r="AK10" s="19"/>
      <c r="AL10" s="20"/>
      <c r="AN10" s="29"/>
      <c r="AO10" s="29"/>
      <c r="AP10" s="29"/>
      <c r="AT10" s="88"/>
      <c r="AU10" s="130"/>
      <c r="AV10" s="13"/>
      <c r="AW10" s="64"/>
      <c r="AX10" s="65"/>
      <c r="AY10" s="13"/>
      <c r="AZ10" s="13"/>
      <c r="BA10" s="13"/>
      <c r="BB10" s="13"/>
      <c r="BC10" s="89"/>
      <c r="BD10" s="130"/>
      <c r="BE10" s="19"/>
      <c r="BF10" s="20"/>
    </row>
  </sheetData>
  <autoFilter ref="B6:AQ10">
    <sortState ref="B7:AO507">
      <sortCondition ref="B6:B507"/>
    </sortState>
  </autoFilter>
  <mergeCells count="2">
    <mergeCell ref="AS1:AT1"/>
    <mergeCell ref="AT5:BF5"/>
  </mergeCells>
  <conditionalFormatting sqref="AU7:AU10 F7:F10">
    <cfRule type="cellIs" dxfId="9" priority="106" operator="lessThan">
      <formula>0</formula>
    </cfRule>
    <cfRule type="cellIs" dxfId="8" priority="107" operator="greaterThan">
      <formula>0</formula>
    </cfRule>
  </conditionalFormatting>
  <conditionalFormatting sqref="BD7:BD10 AJ7:AJ10">
    <cfRule type="cellIs" dxfId="7" priority="104" operator="lessThan">
      <formula>0</formula>
    </cfRule>
    <cfRule type="cellIs" dxfId="6" priority="105" operator="greaterThan">
      <formula>0</formula>
    </cfRule>
  </conditionalFormatting>
  <conditionalFormatting sqref="AU7:AU10 F7:F10">
    <cfRule type="containsBlanks" dxfId="5" priority="103" stopIfTrue="1">
      <formula>LEN(TRIM(F7))=0</formula>
    </cfRule>
  </conditionalFormatting>
  <conditionalFormatting sqref="N7:N10">
    <cfRule type="containsText" dxfId="4" priority="88" operator="containsText" text="PUT">
      <formula>NOT(ISERROR(SEARCH("PUT",N7)))</formula>
    </cfRule>
    <cfRule type="containsText" dxfId="3" priority="89" operator="containsText" text="CALL">
      <formula>NOT(ISERROR(SEARCH("CALL",N7)))</formula>
    </cfRule>
  </conditionalFormatting>
  <conditionalFormatting sqref="O7:O10">
    <cfRule type="containsText" dxfId="2" priority="86" operator="containsText" text="OTM">
      <formula>NOT(ISERROR(SEARCH("OTM",O7)))</formula>
    </cfRule>
    <cfRule type="containsText" dxfId="1" priority="87" operator="containsText" text="ITM">
      <formula>NOT(ISERROR(SEARCH("ITM",O7)))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6" r:id="rId4" name="Check Box 2">
              <controlPr defaultSize="0" autoFill="0" autoLine="0" autoPict="0">
                <anchor moveWithCells="1">
                  <from>
                    <xdr:col>50</xdr:col>
                    <xdr:colOff>106680</xdr:colOff>
                    <xdr:row>0</xdr:row>
                    <xdr:rowOff>0</xdr:rowOff>
                  </from>
                  <to>
                    <xdr:col>50</xdr:col>
                    <xdr:colOff>350520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5" name="Button 3">
              <controlPr defaultSize="0" print="0" autoFill="0" autoPict="0" macro="[0]!CrearFormulaBolsuite">
                <anchor moveWithCells="1" sizeWithCells="1">
                  <from>
                    <xdr:col>52</xdr:col>
                    <xdr:colOff>342900</xdr:colOff>
                    <xdr:row>0</xdr:row>
                    <xdr:rowOff>38100</xdr:rowOff>
                  </from>
                  <to>
                    <xdr:col>55</xdr:col>
                    <xdr:colOff>60960</xdr:colOff>
                    <xdr:row>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AD19183"/>
  <sheetViews>
    <sheetView zoomScale="110" zoomScaleNormal="110" workbookViewId="0">
      <selection activeCell="B11" sqref="B11"/>
    </sheetView>
    <sheetView workbookViewId="1"/>
    <sheetView workbookViewId="2"/>
  </sheetViews>
  <sheetFormatPr baseColWidth="10" defaultColWidth="11.44140625" defaultRowHeight="12" customHeight="1"/>
  <cols>
    <col min="1" max="1" width="4.5546875" style="323" customWidth="1"/>
    <col min="2" max="2" width="9.5546875" style="323" bestFit="1" customWidth="1"/>
    <col min="3" max="3" width="7.33203125" style="323" bestFit="1" customWidth="1"/>
    <col min="4" max="4" width="10" style="323" customWidth="1"/>
    <col min="5" max="5" width="11.33203125" style="323" customWidth="1"/>
    <col min="6" max="7" width="6.6640625" style="323" customWidth="1"/>
    <col min="8" max="8" width="7.6640625" style="323" customWidth="1"/>
    <col min="9" max="9" width="7.5546875" style="323" customWidth="1"/>
    <col min="10" max="10" width="8.6640625" style="323" customWidth="1"/>
    <col min="11" max="11" width="16.6640625" style="323" bestFit="1" customWidth="1"/>
    <col min="12" max="15" width="4.6640625" style="323" customWidth="1"/>
    <col min="16" max="16" width="14.109375" style="318" customWidth="1"/>
    <col min="17" max="19" width="3.6640625" style="318" customWidth="1"/>
    <col min="20" max="20" width="13.5546875" style="318" bestFit="1" customWidth="1"/>
    <col min="21" max="21" width="7" style="318" customWidth="1"/>
    <col min="22" max="25" width="8.6640625" style="318" customWidth="1"/>
    <col min="26" max="16384" width="11.44140625" style="318"/>
  </cols>
  <sheetData>
    <row r="1" spans="1:30" ht="12" customHeight="1">
      <c r="A1" s="315" t="s">
        <v>701</v>
      </c>
      <c r="B1" s="315"/>
      <c r="C1" s="315"/>
      <c r="D1" s="316">
        <v>4</v>
      </c>
      <c r="E1" s="316">
        <v>5</v>
      </c>
      <c r="F1" s="316">
        <v>6</v>
      </c>
      <c r="G1" s="316">
        <v>7</v>
      </c>
      <c r="H1" s="316">
        <v>8</v>
      </c>
      <c r="I1" s="316">
        <v>9</v>
      </c>
      <c r="J1" s="316">
        <v>10</v>
      </c>
      <c r="K1" s="316">
        <v>11</v>
      </c>
      <c r="L1" s="316">
        <v>12</v>
      </c>
      <c r="M1" s="316">
        <v>13</v>
      </c>
      <c r="N1" s="316">
        <v>14</v>
      </c>
      <c r="O1" s="316">
        <v>15</v>
      </c>
      <c r="P1" s="317">
        <v>44615.856516203705</v>
      </c>
      <c r="Q1" s="318">
        <v>657768</v>
      </c>
      <c r="T1" s="319">
        <v>43804.568310185183</v>
      </c>
      <c r="U1" s="320">
        <v>1.0416666666666666E-2</v>
      </c>
    </row>
    <row r="2" spans="1:30" ht="12" customHeight="1">
      <c r="A2" s="321" t="s">
        <v>237</v>
      </c>
      <c r="B2" s="321" t="s">
        <v>238</v>
      </c>
      <c r="C2" s="321" t="s">
        <v>239</v>
      </c>
      <c r="D2" s="321" t="s">
        <v>240</v>
      </c>
      <c r="E2" s="321" t="s">
        <v>241</v>
      </c>
      <c r="F2" s="321" t="s">
        <v>248</v>
      </c>
      <c r="G2" s="321" t="s">
        <v>46</v>
      </c>
      <c r="H2" s="321" t="s">
        <v>249</v>
      </c>
      <c r="I2" s="321" t="s">
        <v>247</v>
      </c>
      <c r="J2" s="321" t="s">
        <v>242</v>
      </c>
      <c r="K2" s="321" t="s">
        <v>243</v>
      </c>
      <c r="L2" s="322"/>
      <c r="M2" s="322"/>
      <c r="N2" s="322"/>
      <c r="O2" s="322"/>
      <c r="T2" s="318" t="b">
        <v>0</v>
      </c>
    </row>
    <row r="3" spans="1:30" s="323" customFormat="1" ht="12" hidden="1" customHeight="1">
      <c r="B3" s="324"/>
      <c r="C3" s="325"/>
      <c r="D3" s="326"/>
      <c r="E3" s="326"/>
      <c r="F3" s="326"/>
      <c r="G3" s="326"/>
      <c r="H3" s="326"/>
      <c r="P3" s="318"/>
      <c r="Q3" s="318"/>
      <c r="R3" s="318"/>
      <c r="S3" s="318"/>
      <c r="T3" s="318"/>
      <c r="U3" s="318"/>
      <c r="V3" s="318"/>
      <c r="W3" s="318"/>
      <c r="X3" s="318"/>
      <c r="Y3" s="318"/>
      <c r="Z3" s="318"/>
      <c r="AA3" s="318"/>
      <c r="AB3" s="318"/>
      <c r="AC3" s="318"/>
      <c r="AD3" s="318"/>
    </row>
    <row r="4" spans="1:30" s="323" customFormat="1" ht="12" customHeight="1">
      <c r="A4" s="323">
        <f>+A5+1</f>
        <v>6</v>
      </c>
      <c r="B4" s="324">
        <v>44615</v>
      </c>
      <c r="C4" s="325">
        <v>0.86121527777777773</v>
      </c>
      <c r="D4" s="326" t="s">
        <v>696</v>
      </c>
      <c r="E4" s="326" t="s">
        <v>697</v>
      </c>
      <c r="F4" s="326">
        <v>0</v>
      </c>
      <c r="G4" s="326">
        <v>0</v>
      </c>
      <c r="H4" s="326"/>
      <c r="I4" s="323" t="s">
        <v>702</v>
      </c>
      <c r="J4" s="323" t="s">
        <v>95</v>
      </c>
      <c r="K4" s="323" t="s">
        <v>698</v>
      </c>
      <c r="P4" s="318"/>
      <c r="Q4" s="318"/>
      <c r="R4" s="318"/>
      <c r="S4" s="318"/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</row>
    <row r="5" spans="1:30" s="323" customFormat="1" ht="12" customHeight="1">
      <c r="A5" s="323">
        <f>+A6+1</f>
        <v>5</v>
      </c>
      <c r="B5" s="324">
        <v>44615</v>
      </c>
      <c r="C5" s="325">
        <v>0.86057870370370371</v>
      </c>
      <c r="D5" s="326" t="s">
        <v>19</v>
      </c>
      <c r="E5" s="326" t="s">
        <v>699</v>
      </c>
      <c r="F5" s="326">
        <v>25</v>
      </c>
      <c r="G5" s="326">
        <v>5.3</v>
      </c>
      <c r="H5" s="326" t="s">
        <v>693</v>
      </c>
      <c r="J5" s="323" t="s">
        <v>703</v>
      </c>
      <c r="K5" s="323" t="s">
        <v>694</v>
      </c>
      <c r="P5" s="318"/>
      <c r="Q5" s="318"/>
      <c r="R5" s="318"/>
      <c r="S5" s="318"/>
      <c r="T5" s="318"/>
      <c r="U5" s="318"/>
      <c r="V5" s="318"/>
      <c r="W5" s="318"/>
      <c r="X5" s="318"/>
      <c r="Y5" s="318"/>
      <c r="Z5" s="318"/>
      <c r="AA5" s="318"/>
      <c r="AB5" s="318"/>
      <c r="AC5" s="318"/>
      <c r="AD5" s="318"/>
    </row>
    <row r="6" spans="1:30" s="323" customFormat="1" ht="12" customHeight="1">
      <c r="A6" s="323">
        <f>+A7+1</f>
        <v>4</v>
      </c>
      <c r="B6" s="324">
        <v>44615</v>
      </c>
      <c r="C6" s="325">
        <v>0.85799768518518515</v>
      </c>
      <c r="D6" s="326" t="s">
        <v>696</v>
      </c>
      <c r="E6" s="326" t="s">
        <v>697</v>
      </c>
      <c r="F6" s="326">
        <v>0</v>
      </c>
      <c r="G6" s="326">
        <v>0</v>
      </c>
      <c r="H6" s="326"/>
      <c r="I6" s="323" t="s">
        <v>702</v>
      </c>
      <c r="J6" s="323" t="s">
        <v>95</v>
      </c>
      <c r="K6" s="323" t="s">
        <v>698</v>
      </c>
      <c r="P6" s="318"/>
      <c r="Q6" s="318"/>
      <c r="R6" s="318"/>
      <c r="S6" s="318"/>
      <c r="T6" s="318"/>
      <c r="U6" s="318"/>
      <c r="V6" s="318"/>
      <c r="W6" s="318"/>
      <c r="X6" s="318"/>
      <c r="Y6" s="318"/>
      <c r="Z6" s="318"/>
      <c r="AA6" s="318"/>
      <c r="AB6" s="318"/>
      <c r="AC6" s="318"/>
      <c r="AD6" s="318"/>
    </row>
    <row r="7" spans="1:30" s="323" customFormat="1" ht="12" customHeight="1">
      <c r="A7" s="323">
        <f>+A8+1</f>
        <v>3</v>
      </c>
      <c r="B7" s="324">
        <v>44615</v>
      </c>
      <c r="C7" s="325">
        <v>0.85777777777777775</v>
      </c>
      <c r="D7" s="326" t="s">
        <v>19</v>
      </c>
      <c r="E7" s="326" t="s">
        <v>695</v>
      </c>
      <c r="F7" s="326">
        <v>50</v>
      </c>
      <c r="G7" s="326">
        <v>19.399999999999999</v>
      </c>
      <c r="H7" s="326" t="s">
        <v>693</v>
      </c>
      <c r="J7" s="323" t="s">
        <v>703</v>
      </c>
      <c r="K7" s="323" t="s">
        <v>694</v>
      </c>
      <c r="P7" s="318"/>
      <c r="Q7" s="318"/>
      <c r="R7" s="318"/>
      <c r="S7" s="318"/>
      <c r="T7" s="318"/>
      <c r="U7" s="318"/>
      <c r="V7" s="318"/>
      <c r="W7" s="318"/>
      <c r="X7" s="318"/>
      <c r="Y7" s="318"/>
      <c r="Z7" s="318"/>
      <c r="AA7" s="318"/>
      <c r="AB7" s="318"/>
      <c r="AC7" s="318"/>
      <c r="AD7" s="318"/>
    </row>
    <row r="8" spans="1:30" s="323" customFormat="1" ht="12" customHeight="1">
      <c r="A8" s="323">
        <f>+A9+1</f>
        <v>2</v>
      </c>
      <c r="B8" s="324">
        <v>44615</v>
      </c>
      <c r="C8" s="325">
        <v>0.8574652777777777</v>
      </c>
      <c r="D8" s="326" t="s">
        <v>18</v>
      </c>
      <c r="E8" s="326" t="s">
        <v>692</v>
      </c>
      <c r="F8" s="326">
        <v>50</v>
      </c>
      <c r="G8" s="326">
        <v>31</v>
      </c>
      <c r="H8" s="326" t="s">
        <v>693</v>
      </c>
      <c r="J8" s="323" t="s">
        <v>703</v>
      </c>
      <c r="K8" s="323" t="s">
        <v>694</v>
      </c>
      <c r="P8" s="318"/>
      <c r="Q8" s="318"/>
      <c r="R8" s="318"/>
      <c r="S8" s="318"/>
      <c r="T8" s="318"/>
      <c r="U8" s="318"/>
      <c r="V8" s="318"/>
      <c r="W8" s="318"/>
      <c r="X8" s="318"/>
      <c r="Y8" s="318"/>
      <c r="Z8" s="318"/>
      <c r="AA8" s="318"/>
      <c r="AB8" s="318"/>
      <c r="AC8" s="318"/>
      <c r="AD8" s="318"/>
    </row>
    <row r="9" spans="1:30" s="323" customFormat="1" ht="12" customHeight="1">
      <c r="A9" s="323">
        <v>1</v>
      </c>
      <c r="B9" s="324">
        <v>44615</v>
      </c>
      <c r="C9" s="325">
        <v>0.85671296296296295</v>
      </c>
      <c r="D9" s="326" t="s">
        <v>689</v>
      </c>
      <c r="E9" s="326" t="s">
        <v>690</v>
      </c>
      <c r="F9" s="326">
        <v>0</v>
      </c>
      <c r="G9" s="326">
        <v>0</v>
      </c>
      <c r="H9" s="326"/>
      <c r="I9" s="323" t="s">
        <v>702</v>
      </c>
      <c r="J9" s="323" t="s">
        <v>95</v>
      </c>
      <c r="K9" s="323" t="s">
        <v>691</v>
      </c>
      <c r="P9" s="318"/>
      <c r="Q9" s="318"/>
      <c r="R9" s="318"/>
      <c r="S9" s="318"/>
      <c r="T9" s="318"/>
      <c r="U9" s="318"/>
      <c r="V9" s="318"/>
      <c r="W9" s="318"/>
      <c r="X9" s="318"/>
      <c r="Y9" s="318"/>
      <c r="Z9" s="318"/>
      <c r="AA9" s="318"/>
      <c r="AB9" s="318"/>
      <c r="AC9" s="318"/>
      <c r="AD9" s="318"/>
    </row>
    <row r="10" spans="1:30" s="323" customFormat="1" ht="12" customHeight="1">
      <c r="B10" s="324"/>
      <c r="C10" s="325"/>
      <c r="D10" s="326"/>
      <c r="E10" s="326"/>
      <c r="F10" s="326"/>
      <c r="G10" s="326"/>
      <c r="H10" s="326"/>
      <c r="P10" s="318"/>
      <c r="Q10" s="318"/>
      <c r="R10" s="318"/>
      <c r="S10" s="318"/>
      <c r="T10" s="318"/>
      <c r="U10" s="318"/>
      <c r="V10" s="318"/>
      <c r="W10" s="318"/>
      <c r="X10" s="318"/>
      <c r="Y10" s="318"/>
      <c r="Z10" s="318"/>
      <c r="AA10" s="318"/>
      <c r="AB10" s="318"/>
      <c r="AC10" s="318"/>
      <c r="AD10" s="318"/>
    </row>
    <row r="11" spans="1:30" s="323" customFormat="1" ht="12" customHeight="1">
      <c r="B11" s="324"/>
      <c r="C11" s="325"/>
      <c r="D11" s="326"/>
      <c r="E11" s="326"/>
      <c r="F11" s="326"/>
      <c r="G11" s="326"/>
      <c r="H11" s="326"/>
      <c r="P11" s="318"/>
      <c r="Q11" s="318"/>
      <c r="R11" s="318"/>
      <c r="S11" s="318"/>
      <c r="T11" s="318"/>
      <c r="U11" s="318"/>
      <c r="V11" s="318"/>
      <c r="W11" s="318"/>
      <c r="X11" s="318"/>
      <c r="Y11" s="318"/>
      <c r="Z11" s="318"/>
      <c r="AA11" s="318"/>
      <c r="AB11" s="318"/>
      <c r="AC11" s="318"/>
      <c r="AD11" s="318"/>
    </row>
    <row r="12" spans="1:30" s="323" customFormat="1" ht="12" customHeight="1">
      <c r="B12" s="324"/>
      <c r="C12" s="325"/>
      <c r="D12" s="326"/>
      <c r="E12" s="326"/>
      <c r="F12" s="326"/>
      <c r="G12" s="326"/>
      <c r="H12" s="326"/>
      <c r="P12" s="318"/>
      <c r="Q12" s="318"/>
      <c r="R12" s="318"/>
      <c r="S12" s="318"/>
      <c r="T12" s="318"/>
      <c r="U12" s="318"/>
      <c r="V12" s="318"/>
      <c r="W12" s="318"/>
      <c r="X12" s="318"/>
      <c r="Y12" s="318"/>
      <c r="Z12" s="318"/>
      <c r="AA12" s="318"/>
      <c r="AB12" s="318"/>
      <c r="AC12" s="318"/>
      <c r="AD12" s="318"/>
    </row>
    <row r="13" spans="1:30" s="323" customFormat="1" ht="12" customHeight="1">
      <c r="B13" s="324"/>
      <c r="C13" s="325"/>
      <c r="D13" s="326"/>
      <c r="E13" s="326"/>
      <c r="F13" s="326"/>
      <c r="G13" s="326"/>
      <c r="H13" s="326"/>
      <c r="P13" s="318"/>
      <c r="Q13" s="318"/>
      <c r="R13" s="318"/>
      <c r="S13" s="318"/>
      <c r="T13" s="318"/>
      <c r="U13" s="318"/>
      <c r="V13" s="318"/>
      <c r="W13" s="318"/>
      <c r="X13" s="318"/>
      <c r="Y13" s="318"/>
      <c r="Z13" s="318"/>
      <c r="AA13" s="318"/>
      <c r="AB13" s="318"/>
      <c r="AC13" s="318"/>
      <c r="AD13" s="318"/>
    </row>
    <row r="14" spans="1:30" s="323" customFormat="1" ht="12" customHeight="1">
      <c r="B14" s="324"/>
      <c r="C14" s="325"/>
      <c r="D14" s="326"/>
      <c r="E14" s="326"/>
      <c r="F14" s="326"/>
      <c r="G14" s="326"/>
      <c r="H14" s="326"/>
      <c r="P14" s="318"/>
      <c r="Q14" s="318"/>
      <c r="R14" s="318"/>
      <c r="S14" s="318"/>
      <c r="T14" s="318"/>
      <c r="U14" s="318"/>
      <c r="V14" s="318"/>
      <c r="W14" s="318"/>
      <c r="X14" s="318"/>
      <c r="Y14" s="318"/>
      <c r="Z14" s="318"/>
      <c r="AA14" s="318"/>
      <c r="AB14" s="318"/>
      <c r="AC14" s="318"/>
      <c r="AD14" s="318"/>
    </row>
    <row r="15" spans="1:30" s="323" customFormat="1" ht="12" customHeight="1">
      <c r="B15" s="324"/>
      <c r="C15" s="325"/>
      <c r="D15" s="326"/>
      <c r="E15" s="326"/>
      <c r="F15" s="326"/>
      <c r="G15" s="326"/>
      <c r="H15" s="326"/>
      <c r="P15" s="318"/>
      <c r="Q15" s="318"/>
      <c r="R15" s="318"/>
      <c r="S15" s="318"/>
      <c r="T15" s="318"/>
      <c r="U15" s="318"/>
      <c r="V15" s="318"/>
      <c r="W15" s="318"/>
      <c r="X15" s="318"/>
      <c r="Y15" s="318"/>
      <c r="Z15" s="318"/>
      <c r="AA15" s="318"/>
      <c r="AB15" s="318"/>
      <c r="AC15" s="318"/>
      <c r="AD15" s="318"/>
    </row>
    <row r="16" spans="1:30" s="323" customFormat="1" ht="12" customHeight="1">
      <c r="B16" s="324"/>
      <c r="C16" s="325"/>
      <c r="D16" s="326"/>
      <c r="E16" s="326"/>
      <c r="F16" s="326"/>
      <c r="G16" s="326"/>
      <c r="H16" s="326"/>
      <c r="P16" s="318"/>
      <c r="Q16" s="318"/>
      <c r="R16" s="318"/>
      <c r="S16" s="318"/>
      <c r="T16" s="318"/>
      <c r="U16" s="318"/>
      <c r="V16" s="318"/>
      <c r="W16" s="318"/>
      <c r="X16" s="318"/>
      <c r="Y16" s="318"/>
      <c r="Z16" s="318"/>
      <c r="AA16" s="318"/>
      <c r="AB16" s="318"/>
      <c r="AC16" s="318"/>
      <c r="AD16" s="318"/>
    </row>
    <row r="17" spans="2:30" s="323" customFormat="1" ht="12" customHeight="1">
      <c r="B17" s="324"/>
      <c r="C17" s="325"/>
      <c r="D17" s="326"/>
      <c r="E17" s="326"/>
      <c r="F17" s="326"/>
      <c r="G17" s="326"/>
      <c r="H17" s="326"/>
      <c r="P17" s="318"/>
      <c r="Q17" s="318"/>
      <c r="R17" s="318"/>
      <c r="S17" s="318"/>
      <c r="T17" s="318"/>
      <c r="U17" s="318"/>
      <c r="V17" s="318"/>
      <c r="W17" s="318"/>
      <c r="X17" s="318"/>
      <c r="Y17" s="318"/>
      <c r="Z17" s="318"/>
      <c r="AA17" s="318"/>
      <c r="AB17" s="318"/>
      <c r="AC17" s="318"/>
      <c r="AD17" s="318"/>
    </row>
    <row r="18" spans="2:30" s="323" customFormat="1" ht="12" customHeight="1">
      <c r="B18" s="324"/>
      <c r="C18" s="325"/>
      <c r="D18" s="326"/>
      <c r="E18" s="326"/>
      <c r="F18" s="326"/>
      <c r="G18" s="326"/>
      <c r="H18" s="326"/>
      <c r="P18" s="318"/>
      <c r="Q18" s="318"/>
      <c r="R18" s="318"/>
      <c r="S18" s="318"/>
      <c r="T18" s="318"/>
      <c r="U18" s="318"/>
      <c r="V18" s="318"/>
      <c r="W18" s="318"/>
      <c r="X18" s="318"/>
      <c r="Y18" s="318"/>
      <c r="Z18" s="318"/>
      <c r="AA18" s="318"/>
      <c r="AB18" s="318"/>
      <c r="AC18" s="318"/>
      <c r="AD18" s="318"/>
    </row>
    <row r="19" spans="2:30" s="323" customFormat="1" ht="12" customHeight="1">
      <c r="B19" s="324"/>
      <c r="C19" s="325"/>
      <c r="D19" s="326"/>
      <c r="E19" s="326"/>
      <c r="F19" s="326"/>
      <c r="G19" s="326"/>
      <c r="H19" s="326"/>
      <c r="P19" s="318"/>
      <c r="Q19" s="318"/>
      <c r="R19" s="318"/>
      <c r="S19" s="318"/>
      <c r="T19" s="318"/>
      <c r="U19" s="318"/>
      <c r="V19" s="318"/>
      <c r="W19" s="318"/>
      <c r="X19" s="318"/>
      <c r="Y19" s="318"/>
      <c r="Z19" s="318"/>
      <c r="AA19" s="318"/>
      <c r="AB19" s="318"/>
      <c r="AC19" s="318"/>
      <c r="AD19" s="318"/>
    </row>
    <row r="20" spans="2:30" s="323" customFormat="1" ht="12" customHeight="1">
      <c r="B20" s="324"/>
      <c r="C20" s="325"/>
      <c r="D20" s="326"/>
      <c r="E20" s="326"/>
      <c r="F20" s="326"/>
      <c r="G20" s="326"/>
      <c r="H20" s="326"/>
      <c r="P20" s="318"/>
      <c r="Q20" s="318"/>
      <c r="R20" s="318"/>
      <c r="S20" s="318"/>
      <c r="T20" s="318"/>
      <c r="U20" s="318"/>
      <c r="V20" s="318"/>
      <c r="W20" s="318"/>
      <c r="X20" s="318"/>
      <c r="Y20" s="318"/>
      <c r="Z20" s="318"/>
      <c r="AA20" s="318"/>
      <c r="AB20" s="318"/>
      <c r="AC20" s="318"/>
      <c r="AD20" s="318"/>
    </row>
    <row r="21" spans="2:30" s="323" customFormat="1" ht="12" customHeight="1">
      <c r="B21" s="324"/>
      <c r="C21" s="325"/>
      <c r="D21" s="326"/>
      <c r="E21" s="326"/>
      <c r="F21" s="326"/>
      <c r="G21" s="326"/>
      <c r="H21" s="326"/>
      <c r="P21" s="318"/>
      <c r="Q21" s="318"/>
      <c r="R21" s="318"/>
      <c r="S21" s="318"/>
      <c r="T21" s="318"/>
      <c r="U21" s="318"/>
      <c r="V21" s="318"/>
      <c r="W21" s="318"/>
      <c r="X21" s="318"/>
      <c r="Y21" s="318"/>
      <c r="Z21" s="318"/>
      <c r="AA21" s="318"/>
      <c r="AB21" s="318"/>
      <c r="AC21" s="318"/>
      <c r="AD21" s="318"/>
    </row>
    <row r="22" spans="2:30" s="323" customFormat="1" ht="12" customHeight="1">
      <c r="B22" s="324"/>
      <c r="C22" s="325"/>
      <c r="D22" s="326"/>
      <c r="E22" s="326"/>
      <c r="F22" s="326"/>
      <c r="G22" s="326"/>
      <c r="H22" s="326"/>
      <c r="P22" s="318"/>
      <c r="Q22" s="318"/>
      <c r="R22" s="318"/>
      <c r="S22" s="318"/>
      <c r="T22" s="318"/>
      <c r="U22" s="318"/>
      <c r="V22" s="318"/>
      <c r="W22" s="318"/>
      <c r="X22" s="318"/>
      <c r="Y22" s="318"/>
      <c r="Z22" s="318"/>
      <c r="AA22" s="318"/>
      <c r="AB22" s="318"/>
      <c r="AC22" s="318"/>
      <c r="AD22" s="318"/>
    </row>
    <row r="23" spans="2:30" s="323" customFormat="1" ht="12" customHeight="1">
      <c r="B23" s="324"/>
      <c r="C23" s="325"/>
      <c r="D23" s="326"/>
      <c r="E23" s="326"/>
      <c r="F23" s="326"/>
      <c r="G23" s="326"/>
      <c r="H23" s="326"/>
      <c r="P23" s="318"/>
      <c r="Q23" s="318"/>
      <c r="R23" s="318"/>
      <c r="S23" s="318"/>
      <c r="T23" s="318"/>
      <c r="U23" s="318"/>
      <c r="V23" s="318"/>
      <c r="W23" s="318"/>
      <c r="X23" s="318"/>
      <c r="Y23" s="318"/>
      <c r="Z23" s="318"/>
      <c r="AA23" s="318"/>
      <c r="AB23" s="318"/>
      <c r="AC23" s="318"/>
      <c r="AD23" s="318"/>
    </row>
    <row r="24" spans="2:30" s="323" customFormat="1" ht="12" customHeight="1">
      <c r="B24" s="324"/>
      <c r="C24" s="325"/>
      <c r="D24" s="326"/>
      <c r="E24" s="326"/>
      <c r="F24" s="326"/>
      <c r="G24" s="326"/>
      <c r="H24" s="326"/>
      <c r="P24" s="318"/>
      <c r="Q24" s="318"/>
      <c r="R24" s="318"/>
      <c r="S24" s="318"/>
      <c r="T24" s="318"/>
      <c r="U24" s="318"/>
      <c r="V24" s="318"/>
      <c r="W24" s="318"/>
      <c r="X24" s="318"/>
      <c r="Y24" s="318"/>
      <c r="Z24" s="318"/>
      <c r="AA24" s="318"/>
      <c r="AB24" s="318"/>
      <c r="AC24" s="318"/>
      <c r="AD24" s="318"/>
    </row>
    <row r="25" spans="2:30" s="323" customFormat="1" ht="12" customHeight="1">
      <c r="B25" s="324"/>
      <c r="C25" s="325"/>
      <c r="D25" s="326"/>
      <c r="E25" s="326"/>
      <c r="F25" s="326"/>
      <c r="G25" s="326"/>
      <c r="H25" s="326"/>
      <c r="P25" s="318"/>
      <c r="Q25" s="318"/>
      <c r="R25" s="318"/>
      <c r="S25" s="318"/>
      <c r="T25" s="318"/>
      <c r="U25" s="318"/>
      <c r="V25" s="318"/>
      <c r="W25" s="318"/>
      <c r="X25" s="318"/>
      <c r="Y25" s="318"/>
      <c r="Z25" s="318"/>
      <c r="AA25" s="318"/>
      <c r="AB25" s="318"/>
      <c r="AC25" s="318"/>
      <c r="AD25" s="318"/>
    </row>
    <row r="26" spans="2:30" s="323" customFormat="1" ht="12" customHeight="1">
      <c r="B26" s="324"/>
      <c r="C26" s="325"/>
      <c r="D26" s="326"/>
      <c r="E26" s="326"/>
      <c r="F26" s="326"/>
      <c r="G26" s="326"/>
      <c r="H26" s="326"/>
      <c r="P26" s="318"/>
      <c r="Q26" s="318"/>
      <c r="R26" s="318"/>
      <c r="S26" s="318"/>
      <c r="T26" s="318"/>
      <c r="U26" s="318"/>
      <c r="V26" s="318"/>
      <c r="W26" s="318"/>
      <c r="X26" s="318"/>
      <c r="Y26" s="318"/>
      <c r="Z26" s="318"/>
      <c r="AA26" s="318"/>
      <c r="AB26" s="318"/>
      <c r="AC26" s="318"/>
      <c r="AD26" s="318"/>
    </row>
    <row r="27" spans="2:30" s="323" customFormat="1" ht="12" customHeight="1">
      <c r="B27" s="324"/>
      <c r="C27" s="325"/>
      <c r="D27" s="326"/>
      <c r="E27" s="326"/>
      <c r="F27" s="326"/>
      <c r="G27" s="326"/>
      <c r="H27" s="326"/>
      <c r="P27" s="318"/>
      <c r="Q27" s="318"/>
      <c r="R27" s="318"/>
      <c r="S27" s="318"/>
      <c r="T27" s="318"/>
      <c r="U27" s="318"/>
      <c r="V27" s="318"/>
      <c r="W27" s="318"/>
      <c r="X27" s="318"/>
      <c r="Y27" s="318"/>
      <c r="Z27" s="318"/>
      <c r="AA27" s="318"/>
      <c r="AB27" s="318"/>
      <c r="AC27" s="318"/>
      <c r="AD27" s="318"/>
    </row>
    <row r="28" spans="2:30" s="323" customFormat="1" ht="12" customHeight="1">
      <c r="B28" s="324"/>
      <c r="C28" s="325"/>
      <c r="D28" s="326"/>
      <c r="E28" s="326"/>
      <c r="F28" s="326"/>
      <c r="G28" s="326"/>
      <c r="H28" s="326"/>
      <c r="P28" s="318"/>
      <c r="Q28" s="318"/>
      <c r="R28" s="318"/>
      <c r="S28" s="318"/>
      <c r="T28" s="318"/>
      <c r="U28" s="318"/>
      <c r="V28" s="318"/>
      <c r="W28" s="318"/>
      <c r="X28" s="318"/>
      <c r="Y28" s="318"/>
      <c r="Z28" s="318"/>
      <c r="AA28" s="318"/>
      <c r="AB28" s="318"/>
      <c r="AC28" s="318"/>
      <c r="AD28" s="318"/>
    </row>
    <row r="29" spans="2:30" s="323" customFormat="1" ht="12" customHeight="1">
      <c r="B29" s="324"/>
      <c r="C29" s="325"/>
      <c r="D29" s="326"/>
      <c r="E29" s="326"/>
      <c r="F29" s="326"/>
      <c r="G29" s="326"/>
      <c r="H29" s="326"/>
      <c r="P29" s="318"/>
      <c r="Q29" s="318"/>
      <c r="R29" s="318"/>
      <c r="S29" s="318"/>
      <c r="T29" s="318"/>
      <c r="U29" s="318"/>
      <c r="V29" s="318"/>
      <c r="W29" s="318"/>
      <c r="X29" s="318"/>
      <c r="Y29" s="318"/>
      <c r="Z29" s="318"/>
      <c r="AA29" s="318"/>
      <c r="AB29" s="318"/>
      <c r="AC29" s="318"/>
      <c r="AD29" s="318"/>
    </row>
    <row r="30" spans="2:30" s="323" customFormat="1" ht="12" customHeight="1">
      <c r="B30" s="324"/>
      <c r="C30" s="325"/>
      <c r="D30" s="326"/>
      <c r="E30" s="326"/>
      <c r="F30" s="326"/>
      <c r="G30" s="326"/>
      <c r="H30" s="326"/>
      <c r="P30" s="318"/>
      <c r="Q30" s="318"/>
      <c r="R30" s="318"/>
      <c r="S30" s="318"/>
      <c r="T30" s="318"/>
      <c r="U30" s="318"/>
      <c r="V30" s="318"/>
      <c r="W30" s="318"/>
      <c r="X30" s="318"/>
      <c r="Y30" s="318"/>
      <c r="Z30" s="318"/>
      <c r="AA30" s="318"/>
      <c r="AB30" s="318"/>
      <c r="AC30" s="318"/>
      <c r="AD30" s="318"/>
    </row>
    <row r="31" spans="2:30" s="323" customFormat="1" ht="12" customHeight="1">
      <c r="B31" s="324"/>
      <c r="C31" s="325"/>
      <c r="D31" s="326"/>
      <c r="E31" s="326"/>
      <c r="F31" s="326"/>
      <c r="G31" s="326"/>
      <c r="H31" s="326"/>
      <c r="P31" s="318"/>
      <c r="Q31" s="318"/>
      <c r="R31" s="318"/>
      <c r="S31" s="318"/>
      <c r="T31" s="318"/>
      <c r="U31" s="318"/>
      <c r="V31" s="318"/>
      <c r="W31" s="318"/>
      <c r="X31" s="318"/>
      <c r="Y31" s="318"/>
      <c r="Z31" s="318"/>
      <c r="AA31" s="318"/>
      <c r="AB31" s="318"/>
      <c r="AC31" s="318"/>
      <c r="AD31" s="318"/>
    </row>
    <row r="32" spans="2:30" s="323" customFormat="1" ht="12" customHeight="1">
      <c r="B32" s="324"/>
      <c r="C32" s="325"/>
      <c r="D32" s="326"/>
      <c r="E32" s="326"/>
      <c r="F32" s="326"/>
      <c r="G32" s="326"/>
      <c r="H32" s="326"/>
      <c r="P32" s="318"/>
      <c r="Q32" s="318"/>
      <c r="R32" s="318"/>
      <c r="S32" s="318"/>
      <c r="T32" s="318"/>
      <c r="U32" s="318"/>
      <c r="V32" s="318"/>
      <c r="W32" s="318"/>
      <c r="X32" s="318"/>
      <c r="Y32" s="318"/>
      <c r="Z32" s="318"/>
      <c r="AA32" s="318"/>
      <c r="AB32" s="318"/>
      <c r="AC32" s="318"/>
      <c r="AD32" s="318"/>
    </row>
    <row r="33" spans="2:30" s="323" customFormat="1" ht="12" customHeight="1">
      <c r="B33" s="324"/>
      <c r="C33" s="325"/>
      <c r="D33" s="326"/>
      <c r="E33" s="326"/>
      <c r="F33" s="326"/>
      <c r="G33" s="326"/>
      <c r="H33" s="326"/>
      <c r="P33" s="318"/>
      <c r="Q33" s="318"/>
      <c r="R33" s="318"/>
      <c r="S33" s="318"/>
      <c r="T33" s="318"/>
      <c r="U33" s="318"/>
      <c r="V33" s="318"/>
      <c r="W33" s="318"/>
      <c r="X33" s="318"/>
      <c r="Y33" s="318"/>
      <c r="Z33" s="318"/>
      <c r="AA33" s="318"/>
      <c r="AB33" s="318"/>
      <c r="AC33" s="318"/>
      <c r="AD33" s="318"/>
    </row>
    <row r="34" spans="2:30" s="323" customFormat="1" ht="12" customHeight="1">
      <c r="B34" s="324"/>
      <c r="C34" s="325"/>
      <c r="D34" s="326"/>
      <c r="E34" s="326"/>
      <c r="F34" s="326"/>
      <c r="G34" s="326"/>
      <c r="H34" s="326"/>
      <c r="P34" s="318"/>
      <c r="Q34" s="318"/>
      <c r="R34" s="318"/>
      <c r="S34" s="318"/>
      <c r="T34" s="318"/>
      <c r="U34" s="318"/>
      <c r="V34" s="318"/>
      <c r="W34" s="318"/>
      <c r="X34" s="318"/>
      <c r="Y34" s="318"/>
      <c r="Z34" s="318"/>
      <c r="AA34" s="318"/>
      <c r="AB34" s="318"/>
      <c r="AC34" s="318"/>
      <c r="AD34" s="318"/>
    </row>
    <row r="35" spans="2:30" s="323" customFormat="1" ht="12" customHeight="1">
      <c r="B35" s="324"/>
      <c r="C35" s="325"/>
      <c r="D35" s="326"/>
      <c r="E35" s="326"/>
      <c r="F35" s="326"/>
      <c r="G35" s="326"/>
      <c r="H35" s="326"/>
      <c r="P35" s="318"/>
      <c r="Q35" s="318"/>
      <c r="R35" s="318"/>
      <c r="S35" s="318"/>
      <c r="T35" s="318"/>
      <c r="U35" s="318"/>
      <c r="V35" s="318"/>
      <c r="W35" s="318"/>
      <c r="X35" s="318"/>
      <c r="Y35" s="318"/>
      <c r="Z35" s="318"/>
      <c r="AA35" s="318"/>
      <c r="AB35" s="318"/>
      <c r="AC35" s="318"/>
      <c r="AD35" s="318"/>
    </row>
    <row r="36" spans="2:30" s="323" customFormat="1" ht="12" customHeight="1">
      <c r="B36" s="324"/>
      <c r="C36" s="325"/>
      <c r="D36" s="326"/>
      <c r="E36" s="326"/>
      <c r="F36" s="326"/>
      <c r="G36" s="326"/>
      <c r="H36" s="326"/>
      <c r="P36" s="318"/>
      <c r="Q36" s="318"/>
      <c r="R36" s="318"/>
      <c r="S36" s="318"/>
      <c r="T36" s="318"/>
      <c r="U36" s="318"/>
      <c r="V36" s="318"/>
      <c r="W36" s="318"/>
      <c r="X36" s="318"/>
      <c r="Y36" s="318"/>
      <c r="Z36" s="318"/>
      <c r="AA36" s="318"/>
      <c r="AB36" s="318"/>
      <c r="AC36" s="318"/>
      <c r="AD36" s="318"/>
    </row>
    <row r="37" spans="2:30" s="323" customFormat="1" ht="12" customHeight="1">
      <c r="B37" s="324"/>
      <c r="C37" s="325"/>
      <c r="D37" s="326"/>
      <c r="E37" s="326"/>
      <c r="F37" s="326"/>
      <c r="G37" s="326"/>
      <c r="H37" s="326"/>
      <c r="P37" s="318"/>
      <c r="Q37" s="318"/>
      <c r="R37" s="318"/>
      <c r="S37" s="318"/>
      <c r="T37" s="318"/>
      <c r="U37" s="318"/>
      <c r="V37" s="318"/>
      <c r="W37" s="318"/>
      <c r="X37" s="318"/>
      <c r="Y37" s="318"/>
      <c r="Z37" s="318"/>
      <c r="AA37" s="318"/>
      <c r="AB37" s="318"/>
      <c r="AC37" s="318"/>
      <c r="AD37" s="318"/>
    </row>
    <row r="38" spans="2:30" s="323" customFormat="1" ht="12" customHeight="1">
      <c r="B38" s="324"/>
      <c r="C38" s="325"/>
      <c r="D38" s="326"/>
      <c r="E38" s="326"/>
      <c r="F38" s="326"/>
      <c r="G38" s="326"/>
      <c r="H38" s="326"/>
      <c r="P38" s="318"/>
      <c r="Q38" s="318"/>
      <c r="R38" s="318"/>
      <c r="S38" s="318"/>
      <c r="T38" s="318"/>
      <c r="U38" s="318"/>
      <c r="V38" s="318"/>
      <c r="W38" s="318"/>
      <c r="X38" s="318"/>
      <c r="Y38" s="318"/>
      <c r="Z38" s="318"/>
      <c r="AA38" s="318"/>
      <c r="AB38" s="318"/>
      <c r="AC38" s="318"/>
      <c r="AD38" s="318"/>
    </row>
    <row r="39" spans="2:30" s="323" customFormat="1" ht="12" customHeight="1">
      <c r="B39" s="324"/>
      <c r="C39" s="325"/>
      <c r="D39" s="326"/>
      <c r="E39" s="326"/>
      <c r="F39" s="326"/>
      <c r="G39" s="326"/>
      <c r="H39" s="326"/>
      <c r="P39" s="318"/>
      <c r="Q39" s="318"/>
      <c r="R39" s="318"/>
      <c r="S39" s="318"/>
      <c r="T39" s="318"/>
      <c r="U39" s="318"/>
      <c r="V39" s="318"/>
      <c r="W39" s="318"/>
      <c r="X39" s="318"/>
      <c r="Y39" s="318"/>
      <c r="Z39" s="318"/>
      <c r="AA39" s="318"/>
      <c r="AB39" s="318"/>
      <c r="AC39" s="318"/>
      <c r="AD39" s="318"/>
    </row>
    <row r="40" spans="2:30" s="323" customFormat="1" ht="12" customHeight="1">
      <c r="B40" s="324"/>
      <c r="C40" s="325"/>
      <c r="D40" s="326"/>
      <c r="E40" s="326"/>
      <c r="F40" s="326"/>
      <c r="G40" s="326"/>
      <c r="H40" s="326"/>
      <c r="P40" s="318"/>
      <c r="Q40" s="318"/>
      <c r="R40" s="318"/>
      <c r="S40" s="318"/>
      <c r="T40" s="318"/>
      <c r="U40" s="318"/>
      <c r="V40" s="318"/>
      <c r="W40" s="318"/>
      <c r="X40" s="318"/>
      <c r="Y40" s="318"/>
      <c r="Z40" s="318"/>
      <c r="AA40" s="318"/>
      <c r="AB40" s="318"/>
      <c r="AC40" s="318"/>
      <c r="AD40" s="318"/>
    </row>
    <row r="41" spans="2:30" s="323" customFormat="1" ht="12" customHeight="1">
      <c r="B41" s="324"/>
      <c r="C41" s="325"/>
      <c r="D41" s="326"/>
      <c r="E41" s="326"/>
      <c r="F41" s="326"/>
      <c r="G41" s="326"/>
      <c r="H41" s="326"/>
      <c r="P41" s="318"/>
      <c r="Q41" s="318"/>
      <c r="R41" s="318"/>
      <c r="S41" s="318"/>
      <c r="T41" s="318"/>
      <c r="U41" s="318"/>
      <c r="V41" s="318"/>
      <c r="W41" s="318"/>
      <c r="X41" s="318"/>
      <c r="Y41" s="318"/>
      <c r="Z41" s="318"/>
      <c r="AA41" s="318"/>
      <c r="AB41" s="318"/>
      <c r="AC41" s="318"/>
      <c r="AD41" s="318"/>
    </row>
    <row r="42" spans="2:30" s="323" customFormat="1" ht="12" customHeight="1">
      <c r="B42" s="324"/>
      <c r="C42" s="325"/>
      <c r="D42" s="326"/>
      <c r="E42" s="326"/>
      <c r="F42" s="326"/>
      <c r="G42" s="326"/>
      <c r="H42" s="326"/>
      <c r="P42" s="318"/>
      <c r="Q42" s="318"/>
      <c r="R42" s="318"/>
      <c r="S42" s="318"/>
      <c r="T42" s="318"/>
      <c r="U42" s="318"/>
      <c r="V42" s="318"/>
      <c r="W42" s="318"/>
      <c r="X42" s="318"/>
      <c r="Y42" s="318"/>
      <c r="Z42" s="318"/>
      <c r="AA42" s="318"/>
      <c r="AB42" s="318"/>
      <c r="AC42" s="318"/>
      <c r="AD42" s="318"/>
    </row>
    <row r="43" spans="2:30" s="323" customFormat="1" ht="12" customHeight="1">
      <c r="B43" s="324"/>
      <c r="C43" s="325"/>
      <c r="D43" s="326"/>
      <c r="E43" s="326"/>
      <c r="F43" s="326"/>
      <c r="G43" s="326"/>
      <c r="H43" s="326"/>
      <c r="P43" s="318"/>
      <c r="Q43" s="318"/>
      <c r="R43" s="318"/>
      <c r="S43" s="318"/>
      <c r="T43" s="318"/>
      <c r="U43" s="318"/>
      <c r="V43" s="318"/>
      <c r="W43" s="318"/>
      <c r="X43" s="318"/>
      <c r="Y43" s="318"/>
      <c r="Z43" s="318"/>
      <c r="AA43" s="318"/>
      <c r="AB43" s="318"/>
      <c r="AC43" s="318"/>
      <c r="AD43" s="318"/>
    </row>
    <row r="44" spans="2:30" s="323" customFormat="1" ht="12" customHeight="1">
      <c r="B44" s="324"/>
      <c r="C44" s="325"/>
      <c r="D44" s="326"/>
      <c r="E44" s="326"/>
      <c r="F44" s="326"/>
      <c r="G44" s="326"/>
      <c r="H44" s="326"/>
      <c r="P44" s="318"/>
      <c r="Q44" s="318"/>
      <c r="R44" s="318"/>
      <c r="S44" s="318"/>
      <c r="T44" s="318"/>
      <c r="U44" s="318"/>
      <c r="V44" s="318"/>
      <c r="W44" s="318"/>
      <c r="X44" s="318"/>
      <c r="Y44" s="318"/>
      <c r="Z44" s="318"/>
      <c r="AA44" s="318"/>
      <c r="AB44" s="318"/>
      <c r="AC44" s="318"/>
      <c r="AD44" s="318"/>
    </row>
    <row r="45" spans="2:30" s="323" customFormat="1" ht="12" customHeight="1">
      <c r="B45" s="324"/>
      <c r="C45" s="325"/>
      <c r="D45" s="326"/>
      <c r="E45" s="326"/>
      <c r="F45" s="326"/>
      <c r="G45" s="326"/>
      <c r="H45" s="326"/>
      <c r="P45" s="318"/>
      <c r="Q45" s="318"/>
      <c r="R45" s="318"/>
      <c r="S45" s="318"/>
      <c r="T45" s="318"/>
      <c r="U45" s="318"/>
      <c r="V45" s="318"/>
      <c r="W45" s="318"/>
      <c r="X45" s="318"/>
      <c r="Y45" s="318"/>
      <c r="Z45" s="318"/>
      <c r="AA45" s="318"/>
      <c r="AB45" s="318"/>
      <c r="AC45" s="318"/>
      <c r="AD45" s="318"/>
    </row>
    <row r="46" spans="2:30" s="323" customFormat="1" ht="12" customHeight="1">
      <c r="B46" s="324"/>
      <c r="C46" s="325"/>
      <c r="D46" s="326"/>
      <c r="E46" s="326"/>
      <c r="F46" s="326"/>
      <c r="G46" s="326"/>
      <c r="H46" s="326"/>
      <c r="P46" s="318"/>
      <c r="Q46" s="318"/>
      <c r="R46" s="318"/>
      <c r="S46" s="318"/>
      <c r="T46" s="318"/>
      <c r="U46" s="318"/>
      <c r="V46" s="318"/>
      <c r="W46" s="318"/>
      <c r="X46" s="318"/>
      <c r="Y46" s="318"/>
      <c r="Z46" s="318"/>
      <c r="AA46" s="318"/>
      <c r="AB46" s="318"/>
      <c r="AC46" s="318"/>
      <c r="AD46" s="318"/>
    </row>
    <row r="47" spans="2:30" s="323" customFormat="1" ht="12" customHeight="1">
      <c r="B47" s="324"/>
      <c r="C47" s="325"/>
      <c r="D47" s="326"/>
      <c r="E47" s="326"/>
      <c r="F47" s="326"/>
      <c r="G47" s="326"/>
      <c r="H47" s="326"/>
      <c r="P47" s="318"/>
      <c r="Q47" s="318"/>
      <c r="R47" s="318"/>
      <c r="S47" s="318"/>
      <c r="T47" s="318"/>
      <c r="U47" s="318"/>
      <c r="V47" s="318"/>
      <c r="W47" s="318"/>
      <c r="X47" s="318"/>
      <c r="Y47" s="318"/>
      <c r="Z47" s="318"/>
      <c r="AA47" s="318"/>
      <c r="AB47" s="318"/>
      <c r="AC47" s="318"/>
      <c r="AD47" s="318"/>
    </row>
    <row r="48" spans="2:30" s="323" customFormat="1" ht="12" customHeight="1">
      <c r="B48" s="324"/>
      <c r="C48" s="325"/>
      <c r="D48" s="326"/>
      <c r="E48" s="326"/>
      <c r="F48" s="326"/>
      <c r="G48" s="326"/>
      <c r="H48" s="326"/>
      <c r="P48" s="318"/>
      <c r="Q48" s="318"/>
      <c r="R48" s="318"/>
      <c r="S48" s="318"/>
      <c r="T48" s="318"/>
      <c r="U48" s="318"/>
      <c r="V48" s="318"/>
      <c r="W48" s="318"/>
      <c r="X48" s="318"/>
      <c r="Y48" s="318"/>
      <c r="Z48" s="318"/>
      <c r="AA48" s="318"/>
      <c r="AB48" s="318"/>
      <c r="AC48" s="318"/>
      <c r="AD48" s="318"/>
    </row>
    <row r="49" spans="2:30" s="323" customFormat="1" ht="12" customHeight="1">
      <c r="B49" s="324"/>
      <c r="C49" s="325"/>
      <c r="D49" s="326"/>
      <c r="E49" s="326"/>
      <c r="F49" s="326"/>
      <c r="G49" s="326"/>
      <c r="H49" s="326"/>
      <c r="P49" s="318"/>
      <c r="Q49" s="318"/>
      <c r="R49" s="318"/>
      <c r="S49" s="318"/>
      <c r="T49" s="318"/>
      <c r="U49" s="318"/>
      <c r="V49" s="318"/>
      <c r="W49" s="318"/>
      <c r="X49" s="318"/>
      <c r="Y49" s="318"/>
      <c r="Z49" s="318"/>
      <c r="AA49" s="318"/>
      <c r="AB49" s="318"/>
      <c r="AC49" s="318"/>
      <c r="AD49" s="318"/>
    </row>
    <row r="50" spans="2:30" s="323" customFormat="1" ht="12" customHeight="1">
      <c r="B50" s="324"/>
      <c r="C50" s="325"/>
      <c r="D50" s="326"/>
      <c r="E50" s="326"/>
      <c r="F50" s="326"/>
      <c r="G50" s="326"/>
      <c r="H50" s="326"/>
      <c r="P50" s="318"/>
      <c r="Q50" s="318"/>
      <c r="R50" s="318"/>
      <c r="S50" s="318"/>
      <c r="T50" s="318"/>
      <c r="U50" s="318"/>
      <c r="V50" s="318"/>
      <c r="W50" s="318"/>
      <c r="X50" s="318"/>
      <c r="Y50" s="318"/>
      <c r="Z50" s="318"/>
      <c r="AA50" s="318"/>
      <c r="AB50" s="318"/>
      <c r="AC50" s="318"/>
      <c r="AD50" s="318"/>
    </row>
    <row r="51" spans="2:30" s="323" customFormat="1" ht="12" customHeight="1">
      <c r="B51" s="324"/>
      <c r="C51" s="325"/>
      <c r="D51" s="326"/>
      <c r="E51" s="326"/>
      <c r="F51" s="326"/>
      <c r="G51" s="326"/>
      <c r="H51" s="326"/>
      <c r="P51" s="318"/>
      <c r="Q51" s="318"/>
      <c r="R51" s="318"/>
      <c r="S51" s="318"/>
      <c r="T51" s="318"/>
      <c r="U51" s="318"/>
      <c r="V51" s="318"/>
      <c r="W51" s="318"/>
      <c r="X51" s="318"/>
      <c r="Y51" s="318"/>
      <c r="Z51" s="318"/>
      <c r="AA51" s="318"/>
      <c r="AB51" s="318"/>
      <c r="AC51" s="318"/>
      <c r="AD51" s="318"/>
    </row>
    <row r="52" spans="2:30" s="323" customFormat="1" ht="12" customHeight="1">
      <c r="B52" s="324"/>
      <c r="C52" s="325"/>
      <c r="D52" s="326"/>
      <c r="E52" s="326"/>
      <c r="F52" s="326"/>
      <c r="G52" s="326"/>
      <c r="H52" s="326"/>
      <c r="P52" s="318"/>
      <c r="Q52" s="318"/>
      <c r="R52" s="318"/>
      <c r="S52" s="318"/>
      <c r="T52" s="318"/>
      <c r="U52" s="318"/>
      <c r="V52" s="318"/>
      <c r="W52" s="318"/>
      <c r="X52" s="318"/>
      <c r="Y52" s="318"/>
      <c r="Z52" s="318"/>
      <c r="AA52" s="318"/>
      <c r="AB52" s="318"/>
      <c r="AC52" s="318"/>
      <c r="AD52" s="318"/>
    </row>
    <row r="53" spans="2:30" s="323" customFormat="1" ht="12" customHeight="1">
      <c r="B53" s="324"/>
      <c r="C53" s="325"/>
      <c r="D53" s="326"/>
      <c r="E53" s="326"/>
      <c r="F53" s="326"/>
      <c r="G53" s="326"/>
      <c r="H53" s="326"/>
      <c r="P53" s="318"/>
      <c r="Q53" s="318"/>
      <c r="R53" s="318"/>
      <c r="S53" s="318"/>
      <c r="T53" s="318"/>
      <c r="U53" s="318"/>
      <c r="V53" s="318"/>
      <c r="W53" s="318"/>
      <c r="X53" s="318"/>
      <c r="Y53" s="318"/>
      <c r="Z53" s="318"/>
      <c r="AA53" s="318"/>
      <c r="AB53" s="318"/>
      <c r="AC53" s="318"/>
      <c r="AD53" s="318"/>
    </row>
    <row r="54" spans="2:30" s="323" customFormat="1" ht="12" customHeight="1">
      <c r="B54" s="324"/>
      <c r="C54" s="325"/>
      <c r="D54" s="326"/>
      <c r="E54" s="326"/>
      <c r="F54" s="326"/>
      <c r="G54" s="326"/>
      <c r="H54" s="326"/>
      <c r="P54" s="318"/>
      <c r="Q54" s="318"/>
      <c r="R54" s="318"/>
      <c r="S54" s="318"/>
      <c r="T54" s="318"/>
      <c r="U54" s="318"/>
      <c r="V54" s="318"/>
      <c r="W54" s="318"/>
      <c r="X54" s="318"/>
      <c r="Y54" s="318"/>
      <c r="Z54" s="318"/>
      <c r="AA54" s="318"/>
      <c r="AB54" s="318"/>
      <c r="AC54" s="318"/>
      <c r="AD54" s="318"/>
    </row>
    <row r="55" spans="2:30" s="323" customFormat="1" ht="12" customHeight="1">
      <c r="B55" s="324"/>
      <c r="C55" s="325"/>
      <c r="D55" s="326"/>
      <c r="E55" s="326"/>
      <c r="F55" s="326"/>
      <c r="G55" s="326"/>
      <c r="H55" s="326"/>
      <c r="P55" s="318"/>
      <c r="Q55" s="318"/>
      <c r="R55" s="318"/>
      <c r="S55" s="318"/>
      <c r="T55" s="318"/>
      <c r="U55" s="318"/>
      <c r="V55" s="318"/>
      <c r="W55" s="318"/>
      <c r="X55" s="318"/>
      <c r="Y55" s="318"/>
      <c r="Z55" s="318"/>
      <c r="AA55" s="318"/>
      <c r="AB55" s="318"/>
      <c r="AC55" s="318"/>
      <c r="AD55" s="318"/>
    </row>
    <row r="56" spans="2:30" s="323" customFormat="1" ht="12" customHeight="1">
      <c r="B56" s="324"/>
      <c r="C56" s="325"/>
      <c r="D56" s="326"/>
      <c r="E56" s="326"/>
      <c r="F56" s="326"/>
      <c r="G56" s="326"/>
      <c r="H56" s="326"/>
      <c r="P56" s="318"/>
      <c r="Q56" s="318"/>
      <c r="R56" s="318"/>
      <c r="S56" s="318"/>
      <c r="T56" s="318"/>
      <c r="U56" s="318"/>
      <c r="V56" s="318"/>
      <c r="W56" s="318"/>
      <c r="X56" s="318"/>
      <c r="Y56" s="318"/>
      <c r="Z56" s="318"/>
      <c r="AA56" s="318"/>
      <c r="AB56" s="318"/>
      <c r="AC56" s="318"/>
      <c r="AD56" s="318"/>
    </row>
    <row r="57" spans="2:30" s="323" customFormat="1" ht="12" customHeight="1">
      <c r="B57" s="324"/>
      <c r="C57" s="325"/>
      <c r="D57" s="326"/>
      <c r="E57" s="326"/>
      <c r="F57" s="326"/>
      <c r="G57" s="326"/>
      <c r="H57" s="326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8"/>
      <c r="AA57" s="318"/>
      <c r="AB57" s="318"/>
      <c r="AC57" s="318"/>
      <c r="AD57" s="318"/>
    </row>
    <row r="58" spans="2:30" s="323" customFormat="1" ht="12" customHeight="1">
      <c r="B58" s="324"/>
      <c r="C58" s="325"/>
      <c r="D58" s="326"/>
      <c r="E58" s="326"/>
      <c r="F58" s="326"/>
      <c r="G58" s="326"/>
      <c r="H58" s="326"/>
      <c r="P58" s="318"/>
      <c r="Q58" s="318"/>
      <c r="R58" s="318"/>
      <c r="S58" s="318"/>
      <c r="T58" s="318"/>
      <c r="U58" s="318"/>
      <c r="V58" s="318"/>
      <c r="W58" s="318"/>
      <c r="X58" s="318"/>
      <c r="Y58" s="318"/>
      <c r="Z58" s="318"/>
      <c r="AA58" s="318"/>
      <c r="AB58" s="318"/>
      <c r="AC58" s="318"/>
      <c r="AD58" s="318"/>
    </row>
    <row r="59" spans="2:30" s="323" customFormat="1" ht="12" customHeight="1">
      <c r="B59" s="324"/>
      <c r="C59" s="325"/>
      <c r="D59" s="326"/>
      <c r="E59" s="326"/>
      <c r="F59" s="326"/>
      <c r="G59" s="326"/>
      <c r="H59" s="326"/>
      <c r="P59" s="318"/>
      <c r="Q59" s="318"/>
      <c r="R59" s="318"/>
      <c r="S59" s="318"/>
      <c r="T59" s="318"/>
      <c r="U59" s="318"/>
      <c r="V59" s="318"/>
      <c r="W59" s="318"/>
      <c r="X59" s="318"/>
      <c r="Y59" s="318"/>
      <c r="Z59" s="318"/>
      <c r="AA59" s="318"/>
      <c r="AB59" s="318"/>
      <c r="AC59" s="318"/>
      <c r="AD59" s="318"/>
    </row>
    <row r="60" spans="2:30" s="323" customFormat="1" ht="12" customHeight="1">
      <c r="B60" s="324"/>
      <c r="C60" s="325"/>
      <c r="D60" s="326"/>
      <c r="E60" s="326"/>
      <c r="F60" s="326"/>
      <c r="G60" s="326"/>
      <c r="H60" s="326"/>
      <c r="P60" s="318"/>
      <c r="Q60" s="318"/>
      <c r="R60" s="318"/>
      <c r="S60" s="318"/>
      <c r="T60" s="318"/>
      <c r="U60" s="318"/>
      <c r="V60" s="318"/>
      <c r="W60" s="318"/>
      <c r="X60" s="318"/>
      <c r="Y60" s="318"/>
      <c r="Z60" s="318"/>
      <c r="AA60" s="318"/>
      <c r="AB60" s="318"/>
      <c r="AC60" s="318"/>
      <c r="AD60" s="318"/>
    </row>
    <row r="61" spans="2:30" s="323" customFormat="1" ht="12" customHeight="1">
      <c r="B61" s="324"/>
      <c r="C61" s="325"/>
      <c r="D61" s="326"/>
      <c r="E61" s="326"/>
      <c r="F61" s="326"/>
      <c r="G61" s="326"/>
      <c r="H61" s="326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8"/>
      <c r="AA61" s="318"/>
      <c r="AB61" s="318"/>
      <c r="AC61" s="318"/>
      <c r="AD61" s="318"/>
    </row>
    <row r="62" spans="2:30" s="323" customFormat="1" ht="12" customHeight="1">
      <c r="B62" s="324"/>
      <c r="C62" s="325"/>
      <c r="D62" s="326"/>
      <c r="E62" s="326"/>
      <c r="F62" s="326"/>
      <c r="G62" s="326"/>
      <c r="H62" s="326"/>
      <c r="P62" s="318"/>
      <c r="Q62" s="318"/>
      <c r="R62" s="318"/>
      <c r="S62" s="318"/>
      <c r="T62" s="318"/>
      <c r="U62" s="318"/>
      <c r="V62" s="318"/>
      <c r="W62" s="318"/>
      <c r="X62" s="318"/>
      <c r="Y62" s="318"/>
      <c r="Z62" s="318"/>
      <c r="AA62" s="318"/>
      <c r="AB62" s="318"/>
      <c r="AC62" s="318"/>
      <c r="AD62" s="318"/>
    </row>
    <row r="63" spans="2:30" s="323" customFormat="1" ht="12" customHeight="1">
      <c r="B63" s="324"/>
      <c r="C63" s="325"/>
      <c r="D63" s="326"/>
      <c r="E63" s="326"/>
      <c r="F63" s="326"/>
      <c r="G63" s="326"/>
      <c r="H63" s="326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8"/>
      <c r="AA63" s="318"/>
      <c r="AB63" s="318"/>
      <c r="AC63" s="318"/>
      <c r="AD63" s="318"/>
    </row>
    <row r="64" spans="2:30" s="323" customFormat="1" ht="12" customHeight="1">
      <c r="B64" s="324"/>
      <c r="C64" s="325"/>
      <c r="D64" s="326"/>
      <c r="E64" s="326"/>
      <c r="F64" s="326"/>
      <c r="G64" s="326"/>
      <c r="H64" s="326"/>
      <c r="P64" s="318"/>
      <c r="Q64" s="318"/>
      <c r="R64" s="318"/>
      <c r="S64" s="318"/>
      <c r="T64" s="318"/>
      <c r="U64" s="318"/>
      <c r="V64" s="318"/>
      <c r="W64" s="318"/>
      <c r="X64" s="318"/>
      <c r="Y64" s="318"/>
      <c r="Z64" s="318"/>
      <c r="AA64" s="318"/>
      <c r="AB64" s="318"/>
      <c r="AC64" s="318"/>
      <c r="AD64" s="318"/>
    </row>
    <row r="65" spans="2:30" s="323" customFormat="1" ht="12" customHeight="1">
      <c r="B65" s="324"/>
      <c r="C65" s="325"/>
      <c r="D65" s="326"/>
      <c r="E65" s="326"/>
      <c r="F65" s="326"/>
      <c r="G65" s="326"/>
      <c r="H65" s="326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8"/>
      <c r="AA65" s="318"/>
      <c r="AB65" s="318"/>
      <c r="AC65" s="318"/>
      <c r="AD65" s="318"/>
    </row>
    <row r="66" spans="2:30" s="323" customFormat="1" ht="12" customHeight="1">
      <c r="B66" s="324"/>
      <c r="C66" s="325"/>
      <c r="D66" s="326"/>
      <c r="E66" s="326"/>
      <c r="F66" s="326"/>
      <c r="G66" s="326"/>
      <c r="H66" s="326"/>
      <c r="P66" s="318"/>
      <c r="Q66" s="318"/>
      <c r="R66" s="318"/>
      <c r="S66" s="318"/>
      <c r="T66" s="318"/>
      <c r="U66" s="318"/>
      <c r="V66" s="318"/>
      <c r="W66" s="318"/>
      <c r="X66" s="318"/>
      <c r="Y66" s="318"/>
      <c r="Z66" s="318"/>
      <c r="AA66" s="318"/>
      <c r="AB66" s="318"/>
      <c r="AC66" s="318"/>
      <c r="AD66" s="318"/>
    </row>
    <row r="67" spans="2:30" s="323" customFormat="1" ht="12" customHeight="1">
      <c r="B67" s="324"/>
      <c r="C67" s="325"/>
      <c r="D67" s="326"/>
      <c r="E67" s="326"/>
      <c r="F67" s="326"/>
      <c r="G67" s="326"/>
      <c r="H67" s="326"/>
      <c r="P67" s="318"/>
      <c r="Q67" s="318"/>
      <c r="R67" s="318"/>
      <c r="S67" s="318"/>
      <c r="T67" s="318"/>
      <c r="U67" s="318"/>
      <c r="V67" s="318"/>
      <c r="W67" s="318"/>
      <c r="X67" s="318"/>
      <c r="Y67" s="318"/>
      <c r="Z67" s="318"/>
      <c r="AA67" s="318"/>
      <c r="AB67" s="318"/>
      <c r="AC67" s="318"/>
      <c r="AD67" s="318"/>
    </row>
    <row r="68" spans="2:30" s="323" customFormat="1" ht="12" customHeight="1">
      <c r="B68" s="324"/>
      <c r="C68" s="325"/>
      <c r="D68" s="326"/>
      <c r="E68" s="326"/>
      <c r="F68" s="326"/>
      <c r="G68" s="326"/>
      <c r="H68" s="326"/>
      <c r="P68" s="318"/>
      <c r="Q68" s="318"/>
      <c r="R68" s="318"/>
      <c r="S68" s="318"/>
      <c r="T68" s="318"/>
      <c r="U68" s="318"/>
      <c r="V68" s="318"/>
      <c r="W68" s="318"/>
      <c r="X68" s="318"/>
      <c r="Y68" s="318"/>
      <c r="Z68" s="318"/>
      <c r="AA68" s="318"/>
      <c r="AB68" s="318"/>
      <c r="AC68" s="318"/>
      <c r="AD68" s="318"/>
    </row>
    <row r="69" spans="2:30" s="323" customFormat="1" ht="12" customHeight="1">
      <c r="B69" s="324"/>
      <c r="C69" s="325"/>
      <c r="D69" s="326"/>
      <c r="E69" s="326"/>
      <c r="F69" s="326"/>
      <c r="G69" s="326"/>
      <c r="H69" s="326"/>
      <c r="P69" s="318"/>
      <c r="Q69" s="318"/>
      <c r="R69" s="318"/>
      <c r="S69" s="318"/>
      <c r="T69" s="318"/>
      <c r="U69" s="318"/>
      <c r="V69" s="318"/>
      <c r="W69" s="318"/>
      <c r="X69" s="318"/>
      <c r="Y69" s="318"/>
      <c r="Z69" s="318"/>
      <c r="AA69" s="318"/>
      <c r="AB69" s="318"/>
      <c r="AC69" s="318"/>
      <c r="AD69" s="318"/>
    </row>
    <row r="70" spans="2:30" s="323" customFormat="1" ht="12" customHeight="1">
      <c r="B70" s="324"/>
      <c r="C70" s="325"/>
      <c r="D70" s="326"/>
      <c r="E70" s="326"/>
      <c r="F70" s="326"/>
      <c r="G70" s="326"/>
      <c r="H70" s="326"/>
      <c r="P70" s="318"/>
      <c r="Q70" s="318"/>
      <c r="R70" s="318"/>
      <c r="S70" s="318"/>
      <c r="T70" s="318"/>
      <c r="U70" s="318"/>
      <c r="V70" s="318"/>
      <c r="W70" s="318"/>
      <c r="X70" s="318"/>
      <c r="Y70" s="318"/>
      <c r="Z70" s="318"/>
      <c r="AA70" s="318"/>
      <c r="AB70" s="318"/>
      <c r="AC70" s="318"/>
      <c r="AD70" s="318"/>
    </row>
    <row r="71" spans="2:30" s="323" customFormat="1" ht="12" customHeight="1">
      <c r="B71" s="324"/>
      <c r="C71" s="325"/>
      <c r="D71" s="326"/>
      <c r="E71" s="326"/>
      <c r="F71" s="326"/>
      <c r="G71" s="326"/>
      <c r="H71" s="326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8"/>
      <c r="AA71" s="318"/>
      <c r="AB71" s="318"/>
      <c r="AC71" s="318"/>
      <c r="AD71" s="318"/>
    </row>
    <row r="72" spans="2:30" s="323" customFormat="1" ht="12" customHeight="1">
      <c r="B72" s="324"/>
      <c r="C72" s="325"/>
      <c r="D72" s="326"/>
      <c r="E72" s="326"/>
      <c r="F72" s="326"/>
      <c r="G72" s="326"/>
      <c r="H72" s="326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318"/>
      <c r="AA72" s="318"/>
      <c r="AB72" s="318"/>
      <c r="AC72" s="318"/>
      <c r="AD72" s="318"/>
    </row>
    <row r="73" spans="2:30" s="323" customFormat="1" ht="12" customHeight="1">
      <c r="B73" s="324"/>
      <c r="C73" s="325"/>
      <c r="D73" s="326"/>
      <c r="E73" s="326"/>
      <c r="F73" s="326"/>
      <c r="G73" s="326"/>
      <c r="H73" s="326"/>
      <c r="P73" s="318"/>
      <c r="Q73" s="318"/>
      <c r="R73" s="318"/>
      <c r="S73" s="318"/>
      <c r="T73" s="318"/>
      <c r="U73" s="318"/>
      <c r="V73" s="318"/>
      <c r="W73" s="318"/>
      <c r="X73" s="318"/>
      <c r="Y73" s="318"/>
      <c r="Z73" s="318"/>
      <c r="AA73" s="318"/>
      <c r="AB73" s="318"/>
      <c r="AC73" s="318"/>
      <c r="AD73" s="318"/>
    </row>
    <row r="74" spans="2:30" s="323" customFormat="1" ht="12" customHeight="1">
      <c r="B74" s="324"/>
      <c r="C74" s="325"/>
      <c r="D74" s="326"/>
      <c r="E74" s="326"/>
      <c r="F74" s="326"/>
      <c r="G74" s="326"/>
      <c r="H74" s="326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8"/>
      <c r="AA74" s="318"/>
      <c r="AB74" s="318"/>
      <c r="AC74" s="318"/>
      <c r="AD74" s="318"/>
    </row>
    <row r="75" spans="2:30" s="323" customFormat="1" ht="12" customHeight="1">
      <c r="B75" s="324"/>
      <c r="C75" s="325"/>
      <c r="D75" s="326"/>
      <c r="E75" s="326"/>
      <c r="F75" s="326"/>
      <c r="G75" s="326"/>
      <c r="H75" s="326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8"/>
      <c r="AA75" s="318"/>
      <c r="AB75" s="318"/>
      <c r="AC75" s="318"/>
      <c r="AD75" s="318"/>
    </row>
    <row r="76" spans="2:30" s="323" customFormat="1" ht="12" customHeight="1">
      <c r="B76" s="324"/>
      <c r="C76" s="325"/>
      <c r="D76" s="326"/>
      <c r="E76" s="326"/>
      <c r="F76" s="326"/>
      <c r="G76" s="326"/>
      <c r="H76" s="326"/>
      <c r="P76" s="318"/>
      <c r="Q76" s="318"/>
      <c r="R76" s="318"/>
      <c r="S76" s="318"/>
      <c r="T76" s="318"/>
      <c r="U76" s="318"/>
      <c r="V76" s="318"/>
      <c r="W76" s="318"/>
      <c r="X76" s="318"/>
      <c r="Y76" s="318"/>
      <c r="Z76" s="318"/>
      <c r="AA76" s="318"/>
      <c r="AB76" s="318"/>
      <c r="AC76" s="318"/>
      <c r="AD76" s="318"/>
    </row>
    <row r="77" spans="2:30" s="323" customFormat="1" ht="12" customHeight="1">
      <c r="B77" s="324"/>
      <c r="C77" s="325"/>
      <c r="D77" s="326"/>
      <c r="E77" s="326"/>
      <c r="F77" s="326"/>
      <c r="G77" s="326"/>
      <c r="H77" s="326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8"/>
      <c r="AA77" s="318"/>
      <c r="AB77" s="318"/>
      <c r="AC77" s="318"/>
      <c r="AD77" s="318"/>
    </row>
    <row r="78" spans="2:30" s="323" customFormat="1" ht="12" customHeight="1">
      <c r="B78" s="324"/>
      <c r="C78" s="325"/>
      <c r="D78" s="326"/>
      <c r="E78" s="326"/>
      <c r="F78" s="326"/>
      <c r="G78" s="326"/>
      <c r="H78" s="326"/>
      <c r="P78" s="318"/>
      <c r="Q78" s="318"/>
      <c r="R78" s="318"/>
      <c r="S78" s="318"/>
      <c r="T78" s="318"/>
      <c r="U78" s="318"/>
      <c r="V78" s="318"/>
      <c r="W78" s="318"/>
      <c r="X78" s="318"/>
      <c r="Y78" s="318"/>
      <c r="Z78" s="318"/>
      <c r="AA78" s="318"/>
      <c r="AB78" s="318"/>
      <c r="AC78" s="318"/>
      <c r="AD78" s="318"/>
    </row>
    <row r="79" spans="2:30" s="323" customFormat="1" ht="12" customHeight="1">
      <c r="B79" s="324"/>
      <c r="C79" s="325"/>
      <c r="D79" s="326"/>
      <c r="E79" s="326"/>
      <c r="F79" s="326"/>
      <c r="G79" s="326"/>
      <c r="H79" s="326"/>
      <c r="P79" s="318"/>
      <c r="Q79" s="318"/>
      <c r="R79" s="318"/>
      <c r="S79" s="318"/>
      <c r="T79" s="318"/>
      <c r="U79" s="318"/>
      <c r="V79" s="318"/>
      <c r="W79" s="318"/>
      <c r="X79" s="318"/>
      <c r="Y79" s="318"/>
      <c r="Z79" s="318"/>
      <c r="AA79" s="318"/>
      <c r="AB79" s="318"/>
      <c r="AC79" s="318"/>
      <c r="AD79" s="318"/>
    </row>
    <row r="80" spans="2:30" s="323" customFormat="1" ht="12" customHeight="1">
      <c r="B80" s="324"/>
      <c r="C80" s="325"/>
      <c r="D80" s="326"/>
      <c r="E80" s="326"/>
      <c r="F80" s="326"/>
      <c r="G80" s="326"/>
      <c r="H80" s="326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8"/>
      <c r="AA80" s="318"/>
      <c r="AB80" s="318"/>
      <c r="AC80" s="318"/>
      <c r="AD80" s="318"/>
    </row>
    <row r="81" spans="2:30" s="323" customFormat="1" ht="12" customHeight="1">
      <c r="B81" s="324"/>
      <c r="C81" s="325"/>
      <c r="D81" s="326"/>
      <c r="E81" s="326"/>
      <c r="F81" s="326"/>
      <c r="G81" s="326"/>
      <c r="H81" s="326"/>
      <c r="P81" s="318"/>
      <c r="Q81" s="318"/>
      <c r="R81" s="318"/>
      <c r="S81" s="318"/>
      <c r="T81" s="318"/>
      <c r="U81" s="318"/>
      <c r="V81" s="318"/>
      <c r="W81" s="318"/>
      <c r="X81" s="318"/>
      <c r="Y81" s="318"/>
      <c r="Z81" s="318"/>
      <c r="AA81" s="318"/>
      <c r="AB81" s="318"/>
      <c r="AC81" s="318"/>
      <c r="AD81" s="318"/>
    </row>
    <row r="82" spans="2:30" s="323" customFormat="1" ht="12" customHeight="1">
      <c r="B82" s="324"/>
      <c r="C82" s="325"/>
      <c r="D82" s="326"/>
      <c r="E82" s="326"/>
      <c r="F82" s="326"/>
      <c r="G82" s="326"/>
      <c r="H82" s="326"/>
      <c r="P82" s="318"/>
      <c r="Q82" s="318"/>
      <c r="R82" s="318"/>
      <c r="S82" s="318"/>
      <c r="T82" s="318"/>
      <c r="U82" s="318"/>
      <c r="V82" s="318"/>
      <c r="W82" s="318"/>
      <c r="X82" s="318"/>
      <c r="Y82" s="318"/>
      <c r="Z82" s="318"/>
      <c r="AA82" s="318"/>
      <c r="AB82" s="318"/>
      <c r="AC82" s="318"/>
      <c r="AD82" s="318"/>
    </row>
    <row r="83" spans="2:30" s="323" customFormat="1" ht="12" customHeight="1">
      <c r="B83" s="324"/>
      <c r="C83" s="325"/>
      <c r="D83" s="326"/>
      <c r="E83" s="326"/>
      <c r="F83" s="326"/>
      <c r="G83" s="326"/>
      <c r="H83" s="326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8"/>
      <c r="AA83" s="318"/>
      <c r="AB83" s="318"/>
      <c r="AC83" s="318"/>
      <c r="AD83" s="318"/>
    </row>
    <row r="84" spans="2:30" s="323" customFormat="1" ht="12" customHeight="1">
      <c r="B84" s="324"/>
      <c r="C84" s="325"/>
      <c r="D84" s="326"/>
      <c r="E84" s="326"/>
      <c r="F84" s="326"/>
      <c r="G84" s="326"/>
      <c r="H84" s="326"/>
      <c r="P84" s="318"/>
      <c r="Q84" s="318"/>
      <c r="R84" s="318"/>
      <c r="S84" s="318"/>
      <c r="T84" s="318"/>
      <c r="U84" s="318"/>
      <c r="V84" s="318"/>
      <c r="W84" s="318"/>
      <c r="X84" s="318"/>
      <c r="Y84" s="318"/>
      <c r="Z84" s="318"/>
      <c r="AA84" s="318"/>
      <c r="AB84" s="318"/>
      <c r="AC84" s="318"/>
      <c r="AD84" s="318"/>
    </row>
    <row r="85" spans="2:30" s="323" customFormat="1" ht="12" customHeight="1">
      <c r="B85" s="324"/>
      <c r="C85" s="325"/>
      <c r="D85" s="326"/>
      <c r="E85" s="326"/>
      <c r="F85" s="326"/>
      <c r="G85" s="326"/>
      <c r="H85" s="326"/>
      <c r="P85" s="318"/>
      <c r="Q85" s="318"/>
      <c r="R85" s="318"/>
      <c r="S85" s="318"/>
      <c r="T85" s="318"/>
      <c r="U85" s="318"/>
      <c r="V85" s="318"/>
      <c r="W85" s="318"/>
      <c r="X85" s="318"/>
      <c r="Y85" s="318"/>
      <c r="Z85" s="318"/>
      <c r="AA85" s="318"/>
      <c r="AB85" s="318"/>
      <c r="AC85" s="318"/>
      <c r="AD85" s="318"/>
    </row>
    <row r="86" spans="2:30" s="323" customFormat="1" ht="12" customHeight="1">
      <c r="B86" s="324"/>
      <c r="C86" s="325"/>
      <c r="D86" s="326"/>
      <c r="E86" s="326"/>
      <c r="F86" s="326"/>
      <c r="G86" s="326"/>
      <c r="H86" s="326"/>
      <c r="P86" s="318"/>
      <c r="Q86" s="318"/>
      <c r="R86" s="318"/>
      <c r="S86" s="318"/>
      <c r="T86" s="318"/>
      <c r="U86" s="318"/>
      <c r="V86" s="318"/>
      <c r="W86" s="318"/>
      <c r="X86" s="318"/>
      <c r="Y86" s="318"/>
      <c r="Z86" s="318"/>
      <c r="AA86" s="318"/>
      <c r="AB86" s="318"/>
      <c r="AC86" s="318"/>
      <c r="AD86" s="318"/>
    </row>
    <row r="87" spans="2:30" s="323" customFormat="1" ht="12" customHeight="1">
      <c r="B87" s="324"/>
      <c r="C87" s="325"/>
      <c r="D87" s="326"/>
      <c r="E87" s="326"/>
      <c r="F87" s="326"/>
      <c r="G87" s="326"/>
      <c r="H87" s="326"/>
      <c r="P87" s="318"/>
      <c r="Q87" s="318"/>
      <c r="R87" s="318"/>
      <c r="S87" s="318"/>
      <c r="T87" s="318"/>
      <c r="U87" s="318"/>
      <c r="V87" s="318"/>
      <c r="W87" s="318"/>
      <c r="X87" s="318"/>
      <c r="Y87" s="318"/>
      <c r="Z87" s="318"/>
      <c r="AA87" s="318"/>
      <c r="AB87" s="318"/>
      <c r="AC87" s="318"/>
      <c r="AD87" s="318"/>
    </row>
    <row r="88" spans="2:30" s="323" customFormat="1" ht="12" customHeight="1">
      <c r="B88" s="324"/>
      <c r="C88" s="325"/>
      <c r="D88" s="326"/>
      <c r="E88" s="326"/>
      <c r="F88" s="326"/>
      <c r="G88" s="326"/>
      <c r="H88" s="326"/>
      <c r="P88" s="318"/>
      <c r="Q88" s="318"/>
      <c r="R88" s="318"/>
      <c r="S88" s="318"/>
      <c r="T88" s="318"/>
      <c r="U88" s="318"/>
      <c r="V88" s="318"/>
      <c r="W88" s="318"/>
      <c r="X88" s="318"/>
      <c r="Y88" s="318"/>
      <c r="Z88" s="318"/>
      <c r="AA88" s="318"/>
      <c r="AB88" s="318"/>
      <c r="AC88" s="318"/>
      <c r="AD88" s="318"/>
    </row>
    <row r="89" spans="2:30" s="323" customFormat="1" ht="12" customHeight="1">
      <c r="B89" s="324"/>
      <c r="C89" s="325"/>
      <c r="D89" s="326"/>
      <c r="E89" s="326"/>
      <c r="F89" s="326"/>
      <c r="G89" s="326"/>
      <c r="H89" s="326"/>
      <c r="P89" s="318"/>
      <c r="Q89" s="318"/>
      <c r="R89" s="318"/>
      <c r="S89" s="318"/>
      <c r="T89" s="318"/>
      <c r="U89" s="318"/>
      <c r="V89" s="318"/>
      <c r="W89" s="318"/>
      <c r="X89" s="318"/>
      <c r="Y89" s="318"/>
      <c r="Z89" s="318"/>
      <c r="AA89" s="318"/>
      <c r="AB89" s="318"/>
      <c r="AC89" s="318"/>
      <c r="AD89" s="318"/>
    </row>
    <row r="90" spans="2:30" s="323" customFormat="1" ht="12" customHeight="1">
      <c r="B90" s="324"/>
      <c r="C90" s="325"/>
      <c r="D90" s="326"/>
      <c r="E90" s="326"/>
      <c r="F90" s="326"/>
      <c r="G90" s="326"/>
      <c r="H90" s="326"/>
      <c r="P90" s="318"/>
      <c r="Q90" s="318"/>
      <c r="R90" s="318"/>
      <c r="S90" s="318"/>
      <c r="T90" s="318"/>
      <c r="U90" s="318"/>
      <c r="V90" s="318"/>
      <c r="W90" s="318"/>
      <c r="X90" s="318"/>
      <c r="Y90" s="318"/>
      <c r="Z90" s="318"/>
      <c r="AA90" s="318"/>
      <c r="AB90" s="318"/>
      <c r="AC90" s="318"/>
      <c r="AD90" s="318"/>
    </row>
    <row r="91" spans="2:30" s="323" customFormat="1" ht="12" customHeight="1">
      <c r="B91" s="324"/>
      <c r="C91" s="325"/>
      <c r="D91" s="326"/>
      <c r="E91" s="326"/>
      <c r="F91" s="326"/>
      <c r="G91" s="326"/>
      <c r="H91" s="326"/>
      <c r="P91" s="318"/>
      <c r="Q91" s="318"/>
      <c r="R91" s="318"/>
      <c r="S91" s="318"/>
      <c r="T91" s="318"/>
      <c r="U91" s="318"/>
      <c r="V91" s="318"/>
      <c r="W91" s="318"/>
      <c r="X91" s="318"/>
      <c r="Y91" s="318"/>
      <c r="Z91" s="318"/>
      <c r="AA91" s="318"/>
      <c r="AB91" s="318"/>
      <c r="AC91" s="318"/>
      <c r="AD91" s="318"/>
    </row>
    <row r="92" spans="2:30" s="323" customFormat="1" ht="12" customHeight="1">
      <c r="B92" s="324"/>
      <c r="C92" s="325"/>
      <c r="D92" s="326"/>
      <c r="E92" s="326"/>
      <c r="F92" s="326"/>
      <c r="G92" s="326"/>
      <c r="H92" s="326"/>
      <c r="P92" s="318"/>
      <c r="Q92" s="318"/>
      <c r="R92" s="318"/>
      <c r="S92" s="318"/>
      <c r="T92" s="318"/>
      <c r="U92" s="318"/>
      <c r="V92" s="318"/>
      <c r="W92" s="318"/>
      <c r="X92" s="318"/>
      <c r="Y92" s="318"/>
      <c r="Z92" s="318"/>
      <c r="AA92" s="318"/>
      <c r="AB92" s="318"/>
      <c r="AC92" s="318"/>
      <c r="AD92" s="318"/>
    </row>
    <row r="93" spans="2:30" s="323" customFormat="1" ht="12" customHeight="1">
      <c r="B93" s="324"/>
      <c r="C93" s="325"/>
      <c r="D93" s="326"/>
      <c r="E93" s="326"/>
      <c r="F93" s="326"/>
      <c r="G93" s="326"/>
      <c r="H93" s="326"/>
      <c r="P93" s="318"/>
      <c r="Q93" s="318"/>
      <c r="R93" s="318"/>
      <c r="S93" s="318"/>
      <c r="T93" s="318"/>
      <c r="U93" s="318"/>
      <c r="V93" s="318"/>
      <c r="W93" s="318"/>
      <c r="X93" s="318"/>
      <c r="Y93" s="318"/>
      <c r="Z93" s="318"/>
      <c r="AA93" s="318"/>
      <c r="AB93" s="318"/>
      <c r="AC93" s="318"/>
      <c r="AD93" s="318"/>
    </row>
    <row r="94" spans="2:30" s="323" customFormat="1" ht="12" customHeight="1">
      <c r="B94" s="324"/>
      <c r="C94" s="325"/>
      <c r="D94" s="326"/>
      <c r="E94" s="326"/>
      <c r="F94" s="326"/>
      <c r="G94" s="326"/>
      <c r="H94" s="326"/>
      <c r="P94" s="318"/>
      <c r="Q94" s="318"/>
      <c r="R94" s="318"/>
      <c r="S94" s="318"/>
      <c r="T94" s="318"/>
      <c r="U94" s="318"/>
      <c r="V94" s="318"/>
      <c r="W94" s="318"/>
      <c r="X94" s="318"/>
      <c r="Y94" s="318"/>
      <c r="Z94" s="318"/>
      <c r="AA94" s="318"/>
      <c r="AB94" s="318"/>
      <c r="AC94" s="318"/>
      <c r="AD94" s="318"/>
    </row>
    <row r="95" spans="2:30" s="323" customFormat="1" ht="12" customHeight="1">
      <c r="B95" s="324"/>
      <c r="C95" s="325"/>
      <c r="D95" s="326"/>
      <c r="E95" s="326"/>
      <c r="F95" s="326"/>
      <c r="G95" s="326"/>
      <c r="H95" s="326"/>
      <c r="P95" s="318"/>
      <c r="Q95" s="318"/>
      <c r="R95" s="318"/>
      <c r="S95" s="318"/>
      <c r="T95" s="318"/>
      <c r="U95" s="318"/>
      <c r="V95" s="318"/>
      <c r="W95" s="318"/>
      <c r="X95" s="318"/>
      <c r="Y95" s="318"/>
      <c r="Z95" s="318"/>
      <c r="AA95" s="318"/>
      <c r="AB95" s="318"/>
      <c r="AC95" s="318"/>
      <c r="AD95" s="318"/>
    </row>
    <row r="96" spans="2:30" s="323" customFormat="1" ht="12" customHeight="1">
      <c r="B96" s="324"/>
      <c r="C96" s="325"/>
      <c r="D96" s="326"/>
      <c r="E96" s="326"/>
      <c r="F96" s="326"/>
      <c r="G96" s="326"/>
      <c r="H96" s="326"/>
      <c r="P96" s="318"/>
      <c r="Q96" s="318"/>
      <c r="R96" s="318"/>
      <c r="S96" s="318"/>
      <c r="T96" s="318"/>
      <c r="U96" s="318"/>
      <c r="V96" s="318"/>
      <c r="W96" s="318"/>
      <c r="X96" s="318"/>
      <c r="Y96" s="318"/>
      <c r="Z96" s="318"/>
      <c r="AA96" s="318"/>
      <c r="AB96" s="318"/>
      <c r="AC96" s="318"/>
      <c r="AD96" s="318"/>
    </row>
    <row r="97" spans="2:30" s="323" customFormat="1" ht="12" customHeight="1">
      <c r="B97" s="324"/>
      <c r="C97" s="325"/>
      <c r="D97" s="326"/>
      <c r="E97" s="326"/>
      <c r="F97" s="326"/>
      <c r="G97" s="326"/>
      <c r="H97" s="326"/>
      <c r="P97" s="318"/>
      <c r="Q97" s="318"/>
      <c r="R97" s="318"/>
      <c r="S97" s="318"/>
      <c r="T97" s="318"/>
      <c r="U97" s="318"/>
      <c r="V97" s="318"/>
      <c r="W97" s="318"/>
      <c r="X97" s="318"/>
      <c r="Y97" s="318"/>
      <c r="Z97" s="318"/>
      <c r="AA97" s="318"/>
      <c r="AB97" s="318"/>
      <c r="AC97" s="318"/>
      <c r="AD97" s="318"/>
    </row>
    <row r="98" spans="2:30" s="323" customFormat="1" ht="12" customHeight="1">
      <c r="B98" s="324"/>
      <c r="C98" s="325"/>
      <c r="D98" s="326"/>
      <c r="E98" s="326"/>
      <c r="F98" s="326"/>
      <c r="G98" s="326"/>
      <c r="H98" s="326"/>
      <c r="P98" s="318"/>
      <c r="Q98" s="318"/>
      <c r="R98" s="318"/>
      <c r="S98" s="318"/>
      <c r="T98" s="318"/>
      <c r="U98" s="318"/>
      <c r="V98" s="318"/>
      <c r="W98" s="318"/>
      <c r="X98" s="318"/>
      <c r="Y98" s="318"/>
      <c r="Z98" s="318"/>
      <c r="AA98" s="318"/>
      <c r="AB98" s="318"/>
      <c r="AC98" s="318"/>
      <c r="AD98" s="318"/>
    </row>
    <row r="99" spans="2:30" s="323" customFormat="1" ht="12" customHeight="1">
      <c r="B99" s="324"/>
      <c r="C99" s="325"/>
      <c r="D99" s="326"/>
      <c r="E99" s="326"/>
      <c r="F99" s="326"/>
      <c r="G99" s="326"/>
      <c r="H99" s="326"/>
      <c r="P99" s="318"/>
      <c r="Q99" s="318"/>
      <c r="R99" s="318"/>
      <c r="S99" s="318"/>
      <c r="T99" s="318"/>
      <c r="U99" s="318"/>
      <c r="V99" s="318"/>
      <c r="W99" s="318"/>
      <c r="X99" s="318"/>
      <c r="Y99" s="318"/>
      <c r="Z99" s="318"/>
      <c r="AA99" s="318"/>
      <c r="AB99" s="318"/>
      <c r="AC99" s="318"/>
      <c r="AD99" s="318"/>
    </row>
    <row r="100" spans="2:30" s="323" customFormat="1" ht="12" customHeight="1">
      <c r="B100" s="324"/>
      <c r="C100" s="325"/>
      <c r="D100" s="326"/>
      <c r="E100" s="326"/>
      <c r="F100" s="326"/>
      <c r="G100" s="326"/>
      <c r="H100" s="326"/>
      <c r="P100" s="318"/>
      <c r="Q100" s="318"/>
      <c r="R100" s="318"/>
      <c r="S100" s="318"/>
      <c r="T100" s="318"/>
      <c r="U100" s="318"/>
      <c r="V100" s="318"/>
      <c r="W100" s="318"/>
      <c r="X100" s="318"/>
      <c r="Y100" s="318"/>
      <c r="Z100" s="318"/>
      <c r="AA100" s="318"/>
      <c r="AB100" s="318"/>
      <c r="AC100" s="318"/>
      <c r="AD100" s="318"/>
    </row>
    <row r="101" spans="2:30" s="323" customFormat="1" ht="12" customHeight="1">
      <c r="B101" s="324"/>
      <c r="C101" s="325"/>
      <c r="D101" s="326"/>
      <c r="E101" s="326"/>
      <c r="F101" s="326"/>
      <c r="G101" s="326"/>
      <c r="H101" s="326"/>
      <c r="P101" s="318"/>
      <c r="Q101" s="318"/>
      <c r="R101" s="318"/>
      <c r="S101" s="318"/>
      <c r="T101" s="318"/>
      <c r="U101" s="318"/>
      <c r="V101" s="318"/>
      <c r="W101" s="318"/>
      <c r="X101" s="318"/>
      <c r="Y101" s="318"/>
      <c r="Z101" s="318"/>
      <c r="AA101" s="318"/>
      <c r="AB101" s="318"/>
      <c r="AC101" s="318"/>
      <c r="AD101" s="318"/>
    </row>
    <row r="102" spans="2:30" s="323" customFormat="1" ht="12" customHeight="1">
      <c r="B102" s="324"/>
      <c r="C102" s="325"/>
      <c r="D102" s="326"/>
      <c r="E102" s="326"/>
      <c r="F102" s="326"/>
      <c r="G102" s="326"/>
      <c r="H102" s="326"/>
      <c r="P102" s="318"/>
      <c r="Q102" s="318"/>
      <c r="R102" s="318"/>
      <c r="S102" s="318"/>
      <c r="T102" s="318"/>
      <c r="U102" s="318"/>
      <c r="V102" s="318"/>
      <c r="W102" s="318"/>
      <c r="X102" s="318"/>
      <c r="Y102" s="318"/>
      <c r="Z102" s="318"/>
      <c r="AA102" s="318"/>
      <c r="AB102" s="318"/>
      <c r="AC102" s="318"/>
      <c r="AD102" s="318"/>
    </row>
    <row r="103" spans="2:30" s="323" customFormat="1" ht="12" customHeight="1">
      <c r="B103" s="324"/>
      <c r="C103" s="325"/>
      <c r="D103" s="326"/>
      <c r="E103" s="326"/>
      <c r="F103" s="326"/>
      <c r="G103" s="326"/>
      <c r="H103" s="326"/>
      <c r="P103" s="318"/>
      <c r="Q103" s="318"/>
      <c r="R103" s="318"/>
      <c r="S103" s="318"/>
      <c r="T103" s="318"/>
      <c r="U103" s="318"/>
      <c r="V103" s="318"/>
      <c r="W103" s="318"/>
      <c r="X103" s="318"/>
      <c r="Y103" s="318"/>
      <c r="Z103" s="318"/>
      <c r="AA103" s="318"/>
      <c r="AB103" s="318"/>
      <c r="AC103" s="318"/>
      <c r="AD103" s="318"/>
    </row>
    <row r="104" spans="2:30" s="323" customFormat="1" ht="12" customHeight="1">
      <c r="B104" s="324"/>
      <c r="C104" s="325"/>
      <c r="D104" s="326"/>
      <c r="E104" s="326"/>
      <c r="F104" s="326"/>
      <c r="G104" s="326"/>
      <c r="H104" s="326"/>
      <c r="P104" s="318"/>
      <c r="Q104" s="318"/>
      <c r="R104" s="318"/>
      <c r="S104" s="318"/>
      <c r="T104" s="318"/>
      <c r="U104" s="318"/>
      <c r="V104" s="318"/>
      <c r="W104" s="318"/>
      <c r="X104" s="318"/>
      <c r="Y104" s="318"/>
      <c r="Z104" s="318"/>
      <c r="AA104" s="318"/>
      <c r="AB104" s="318"/>
      <c r="AC104" s="318"/>
      <c r="AD104" s="318"/>
    </row>
    <row r="105" spans="2:30" s="323" customFormat="1" ht="12" customHeight="1">
      <c r="B105" s="324"/>
      <c r="C105" s="325"/>
      <c r="D105" s="326"/>
      <c r="E105" s="326"/>
      <c r="F105" s="326"/>
      <c r="G105" s="326"/>
      <c r="H105" s="326"/>
      <c r="P105" s="318"/>
      <c r="Q105" s="318"/>
      <c r="R105" s="318"/>
      <c r="S105" s="318"/>
      <c r="T105" s="318"/>
      <c r="U105" s="318"/>
      <c r="V105" s="318"/>
      <c r="W105" s="318"/>
      <c r="X105" s="318"/>
      <c r="Y105" s="318"/>
      <c r="Z105" s="318"/>
      <c r="AA105" s="318"/>
      <c r="AB105" s="318"/>
      <c r="AC105" s="318"/>
      <c r="AD105" s="318"/>
    </row>
    <row r="106" spans="2:30" s="323" customFormat="1" ht="12" customHeight="1">
      <c r="B106" s="324"/>
      <c r="C106" s="325"/>
      <c r="D106" s="326"/>
      <c r="E106" s="326"/>
      <c r="F106" s="326"/>
      <c r="G106" s="326"/>
      <c r="H106" s="326"/>
      <c r="P106" s="318"/>
      <c r="Q106" s="318"/>
      <c r="R106" s="318"/>
      <c r="S106" s="318"/>
      <c r="T106" s="318"/>
      <c r="U106" s="318"/>
      <c r="V106" s="318"/>
      <c r="W106" s="318"/>
      <c r="X106" s="318"/>
      <c r="Y106" s="318"/>
      <c r="Z106" s="318"/>
      <c r="AA106" s="318"/>
      <c r="AB106" s="318"/>
      <c r="AC106" s="318"/>
      <c r="AD106" s="318"/>
    </row>
    <row r="107" spans="2:30" s="323" customFormat="1" ht="12" customHeight="1">
      <c r="B107" s="324"/>
      <c r="C107" s="325"/>
      <c r="D107" s="326"/>
      <c r="E107" s="326"/>
      <c r="F107" s="326"/>
      <c r="G107" s="326"/>
      <c r="H107" s="326"/>
      <c r="P107" s="318"/>
      <c r="Q107" s="318"/>
      <c r="R107" s="318"/>
      <c r="S107" s="318"/>
      <c r="T107" s="318"/>
      <c r="U107" s="318"/>
      <c r="V107" s="318"/>
      <c r="W107" s="318"/>
      <c r="X107" s="318"/>
      <c r="Y107" s="318"/>
      <c r="Z107" s="318"/>
      <c r="AA107" s="318"/>
      <c r="AB107" s="318"/>
      <c r="AC107" s="318"/>
      <c r="AD107" s="318"/>
    </row>
    <row r="108" spans="2:30" s="323" customFormat="1" ht="12" customHeight="1">
      <c r="B108" s="324"/>
      <c r="C108" s="325"/>
      <c r="D108" s="326"/>
      <c r="E108" s="326"/>
      <c r="F108" s="326"/>
      <c r="G108" s="326"/>
      <c r="H108" s="326"/>
      <c r="P108" s="318"/>
      <c r="Q108" s="318"/>
      <c r="R108" s="318"/>
      <c r="S108" s="318"/>
      <c r="T108" s="318"/>
      <c r="U108" s="318"/>
      <c r="V108" s="318"/>
      <c r="W108" s="318"/>
      <c r="X108" s="318"/>
      <c r="Y108" s="318"/>
      <c r="Z108" s="318"/>
      <c r="AA108" s="318"/>
      <c r="AB108" s="318"/>
      <c r="AC108" s="318"/>
      <c r="AD108" s="318"/>
    </row>
    <row r="109" spans="2:30" s="323" customFormat="1" ht="12" customHeight="1">
      <c r="B109" s="324"/>
      <c r="C109" s="325"/>
      <c r="D109" s="326"/>
      <c r="E109" s="326"/>
      <c r="F109" s="326"/>
      <c r="G109" s="326"/>
      <c r="H109" s="326"/>
      <c r="P109" s="318"/>
      <c r="Q109" s="318"/>
      <c r="R109" s="318"/>
      <c r="S109" s="318"/>
      <c r="T109" s="318"/>
      <c r="U109" s="318"/>
      <c r="V109" s="318"/>
      <c r="W109" s="318"/>
      <c r="X109" s="318"/>
      <c r="Y109" s="318"/>
      <c r="Z109" s="318"/>
      <c r="AA109" s="318"/>
      <c r="AB109" s="318"/>
      <c r="AC109" s="318"/>
      <c r="AD109" s="318"/>
    </row>
    <row r="110" spans="2:30" s="323" customFormat="1" ht="12" customHeight="1">
      <c r="B110" s="324"/>
      <c r="C110" s="325"/>
      <c r="D110" s="326"/>
      <c r="E110" s="326"/>
      <c r="F110" s="326"/>
      <c r="G110" s="326"/>
      <c r="H110" s="326"/>
      <c r="P110" s="318"/>
      <c r="Q110" s="318"/>
      <c r="R110" s="318"/>
      <c r="S110" s="318"/>
      <c r="T110" s="318"/>
      <c r="U110" s="318"/>
      <c r="V110" s="318"/>
      <c r="W110" s="318"/>
      <c r="X110" s="318"/>
      <c r="Y110" s="318"/>
      <c r="Z110" s="318"/>
      <c r="AA110" s="318"/>
      <c r="AB110" s="318"/>
      <c r="AC110" s="318"/>
      <c r="AD110" s="318"/>
    </row>
    <row r="111" spans="2:30" s="323" customFormat="1" ht="12" customHeight="1">
      <c r="B111" s="324"/>
      <c r="C111" s="325"/>
      <c r="D111" s="326"/>
      <c r="E111" s="326"/>
      <c r="F111" s="326"/>
      <c r="G111" s="326"/>
      <c r="H111" s="326"/>
      <c r="P111" s="318"/>
      <c r="Q111" s="318"/>
      <c r="R111" s="318"/>
      <c r="S111" s="318"/>
      <c r="T111" s="318"/>
      <c r="U111" s="318"/>
      <c r="V111" s="318"/>
      <c r="W111" s="318"/>
      <c r="X111" s="318"/>
      <c r="Y111" s="318"/>
      <c r="Z111" s="318"/>
      <c r="AA111" s="318"/>
      <c r="AB111" s="318"/>
      <c r="AC111" s="318"/>
      <c r="AD111" s="318"/>
    </row>
    <row r="112" spans="2:30" s="323" customFormat="1" ht="12" customHeight="1">
      <c r="B112" s="324"/>
      <c r="C112" s="325"/>
      <c r="D112" s="326"/>
      <c r="E112" s="326"/>
      <c r="F112" s="326"/>
      <c r="G112" s="326"/>
      <c r="H112" s="326"/>
      <c r="P112" s="318"/>
      <c r="Q112" s="318"/>
      <c r="R112" s="318"/>
      <c r="S112" s="318"/>
      <c r="T112" s="318"/>
      <c r="U112" s="318"/>
      <c r="V112" s="318"/>
      <c r="W112" s="318"/>
      <c r="X112" s="318"/>
      <c r="Y112" s="318"/>
      <c r="Z112" s="318"/>
      <c r="AA112" s="318"/>
      <c r="AB112" s="318"/>
      <c r="AC112" s="318"/>
      <c r="AD112" s="318"/>
    </row>
    <row r="113" spans="2:30" s="323" customFormat="1" ht="12" customHeight="1">
      <c r="B113" s="324"/>
      <c r="C113" s="325"/>
      <c r="D113" s="326"/>
      <c r="E113" s="326"/>
      <c r="F113" s="326"/>
      <c r="G113" s="326"/>
      <c r="H113" s="326"/>
      <c r="P113" s="318"/>
      <c r="Q113" s="318"/>
      <c r="R113" s="318"/>
      <c r="S113" s="318"/>
      <c r="T113" s="318"/>
      <c r="U113" s="318"/>
      <c r="V113" s="318"/>
      <c r="W113" s="318"/>
      <c r="X113" s="318"/>
      <c r="Y113" s="318"/>
      <c r="Z113" s="318"/>
      <c r="AA113" s="318"/>
      <c r="AB113" s="318"/>
      <c r="AC113" s="318"/>
      <c r="AD113" s="318"/>
    </row>
    <row r="114" spans="2:30" s="323" customFormat="1" ht="12" customHeight="1">
      <c r="B114" s="324"/>
      <c r="C114" s="325"/>
      <c r="D114" s="326"/>
      <c r="E114" s="326"/>
      <c r="F114" s="326"/>
      <c r="G114" s="326"/>
      <c r="H114" s="326"/>
      <c r="P114" s="318"/>
      <c r="Q114" s="318"/>
      <c r="R114" s="318"/>
      <c r="S114" s="318"/>
      <c r="T114" s="318"/>
      <c r="U114" s="318"/>
      <c r="V114" s="318"/>
      <c r="W114" s="318"/>
      <c r="X114" s="318"/>
      <c r="Y114" s="318"/>
      <c r="Z114" s="318"/>
      <c r="AA114" s="318"/>
      <c r="AB114" s="318"/>
      <c r="AC114" s="318"/>
      <c r="AD114" s="318"/>
    </row>
    <row r="115" spans="2:30" s="323" customFormat="1" ht="12" customHeight="1">
      <c r="B115" s="324"/>
      <c r="C115" s="325"/>
      <c r="D115" s="326"/>
      <c r="E115" s="326"/>
      <c r="F115" s="326"/>
      <c r="G115" s="326"/>
      <c r="H115" s="326"/>
      <c r="P115" s="318"/>
      <c r="Q115" s="318"/>
      <c r="R115" s="318"/>
      <c r="S115" s="318"/>
      <c r="T115" s="318"/>
      <c r="U115" s="318"/>
      <c r="V115" s="318"/>
      <c r="W115" s="318"/>
      <c r="X115" s="318"/>
      <c r="Y115" s="318"/>
      <c r="Z115" s="318"/>
      <c r="AA115" s="318"/>
      <c r="AB115" s="318"/>
      <c r="AC115" s="318"/>
      <c r="AD115" s="318"/>
    </row>
    <row r="116" spans="2:30" s="323" customFormat="1" ht="12" customHeight="1">
      <c r="B116" s="324"/>
      <c r="C116" s="325"/>
      <c r="D116" s="326"/>
      <c r="E116" s="326"/>
      <c r="F116" s="326"/>
      <c r="G116" s="326"/>
      <c r="H116" s="326"/>
      <c r="P116" s="318"/>
      <c r="Q116" s="318"/>
      <c r="R116" s="318"/>
      <c r="S116" s="318"/>
      <c r="T116" s="318"/>
      <c r="U116" s="318"/>
      <c r="V116" s="318"/>
      <c r="W116" s="318"/>
      <c r="X116" s="318"/>
      <c r="Y116" s="318"/>
      <c r="Z116" s="318"/>
      <c r="AA116" s="318"/>
      <c r="AB116" s="318"/>
      <c r="AC116" s="318"/>
      <c r="AD116" s="318"/>
    </row>
    <row r="117" spans="2:30" s="323" customFormat="1" ht="12" customHeight="1">
      <c r="B117" s="324"/>
      <c r="C117" s="325"/>
      <c r="D117" s="326"/>
      <c r="E117" s="326"/>
      <c r="F117" s="326"/>
      <c r="G117" s="326"/>
      <c r="H117" s="326"/>
      <c r="P117" s="318"/>
      <c r="Q117" s="318"/>
      <c r="R117" s="318"/>
      <c r="S117" s="318"/>
      <c r="T117" s="318"/>
      <c r="U117" s="318"/>
      <c r="V117" s="318"/>
      <c r="W117" s="318"/>
      <c r="X117" s="318"/>
      <c r="Y117" s="318"/>
      <c r="Z117" s="318"/>
      <c r="AA117" s="318"/>
      <c r="AB117" s="318"/>
      <c r="AC117" s="318"/>
      <c r="AD117" s="318"/>
    </row>
    <row r="118" spans="2:30" s="323" customFormat="1" ht="12" customHeight="1">
      <c r="B118" s="324"/>
      <c r="C118" s="325"/>
      <c r="D118" s="326"/>
      <c r="E118" s="326"/>
      <c r="F118" s="326"/>
      <c r="G118" s="326"/>
      <c r="H118" s="326"/>
      <c r="P118" s="318"/>
      <c r="Q118" s="318"/>
      <c r="R118" s="318"/>
      <c r="S118" s="318"/>
      <c r="T118" s="318"/>
      <c r="U118" s="318"/>
      <c r="V118" s="318"/>
      <c r="W118" s="318"/>
      <c r="X118" s="318"/>
      <c r="Y118" s="318"/>
      <c r="Z118" s="318"/>
      <c r="AA118" s="318"/>
      <c r="AB118" s="318"/>
      <c r="AC118" s="318"/>
      <c r="AD118" s="318"/>
    </row>
    <row r="119" spans="2:30" s="323" customFormat="1" ht="12" customHeight="1">
      <c r="B119" s="324"/>
      <c r="C119" s="325"/>
      <c r="D119" s="326"/>
      <c r="E119" s="326"/>
      <c r="F119" s="326"/>
      <c r="G119" s="326"/>
      <c r="H119" s="326"/>
      <c r="P119" s="318"/>
      <c r="Q119" s="318"/>
      <c r="R119" s="318"/>
      <c r="S119" s="318"/>
      <c r="T119" s="318"/>
      <c r="U119" s="318"/>
      <c r="V119" s="318"/>
      <c r="W119" s="318"/>
      <c r="X119" s="318"/>
      <c r="Y119" s="318"/>
      <c r="Z119" s="318"/>
      <c r="AA119" s="318"/>
      <c r="AB119" s="318"/>
      <c r="AC119" s="318"/>
      <c r="AD119" s="318"/>
    </row>
    <row r="120" spans="2:30" s="323" customFormat="1" ht="12" customHeight="1">
      <c r="B120" s="324"/>
      <c r="C120" s="325"/>
      <c r="D120" s="326"/>
      <c r="E120" s="326"/>
      <c r="F120" s="326"/>
      <c r="G120" s="326"/>
      <c r="H120" s="326"/>
      <c r="P120" s="318"/>
      <c r="Q120" s="318"/>
      <c r="R120" s="318"/>
      <c r="S120" s="318"/>
      <c r="T120" s="318"/>
      <c r="U120" s="318"/>
      <c r="V120" s="318"/>
      <c r="W120" s="318"/>
      <c r="X120" s="318"/>
      <c r="Y120" s="318"/>
      <c r="Z120" s="318"/>
      <c r="AA120" s="318"/>
      <c r="AB120" s="318"/>
      <c r="AC120" s="318"/>
      <c r="AD120" s="318"/>
    </row>
    <row r="121" spans="2:30" s="323" customFormat="1" ht="12" customHeight="1">
      <c r="B121" s="324"/>
      <c r="C121" s="325"/>
      <c r="D121" s="326"/>
      <c r="E121" s="326"/>
      <c r="F121" s="326"/>
      <c r="G121" s="326"/>
      <c r="H121" s="326"/>
      <c r="P121" s="318"/>
      <c r="Q121" s="318"/>
      <c r="R121" s="318"/>
      <c r="S121" s="318"/>
      <c r="T121" s="318"/>
      <c r="U121" s="318"/>
      <c r="V121" s="318"/>
      <c r="W121" s="318"/>
      <c r="X121" s="318"/>
      <c r="Y121" s="318"/>
      <c r="Z121" s="318"/>
      <c r="AA121" s="318"/>
      <c r="AB121" s="318"/>
      <c r="AC121" s="318"/>
      <c r="AD121" s="318"/>
    </row>
    <row r="122" spans="2:30" s="323" customFormat="1" ht="12" customHeight="1">
      <c r="B122" s="324"/>
      <c r="C122" s="325"/>
      <c r="D122" s="326"/>
      <c r="E122" s="326"/>
      <c r="F122" s="326"/>
      <c r="G122" s="326"/>
      <c r="H122" s="326"/>
      <c r="P122" s="318"/>
      <c r="Q122" s="318"/>
      <c r="R122" s="318"/>
      <c r="S122" s="318"/>
      <c r="T122" s="318"/>
      <c r="U122" s="318"/>
      <c r="V122" s="318"/>
      <c r="W122" s="318"/>
      <c r="X122" s="318"/>
      <c r="Y122" s="318"/>
      <c r="Z122" s="318"/>
      <c r="AA122" s="318"/>
      <c r="AB122" s="318"/>
      <c r="AC122" s="318"/>
      <c r="AD122" s="318"/>
    </row>
    <row r="123" spans="2:30" s="323" customFormat="1" ht="12" customHeight="1">
      <c r="B123" s="324"/>
      <c r="C123" s="325"/>
      <c r="D123" s="326"/>
      <c r="E123" s="326"/>
      <c r="F123" s="326"/>
      <c r="G123" s="326"/>
      <c r="H123" s="326"/>
      <c r="P123" s="318"/>
      <c r="Q123" s="318"/>
      <c r="R123" s="318"/>
      <c r="S123" s="318"/>
      <c r="T123" s="318"/>
      <c r="U123" s="318"/>
      <c r="V123" s="318"/>
      <c r="W123" s="318"/>
      <c r="X123" s="318"/>
      <c r="Y123" s="318"/>
      <c r="Z123" s="318"/>
      <c r="AA123" s="318"/>
      <c r="AB123" s="318"/>
      <c r="AC123" s="318"/>
      <c r="AD123" s="318"/>
    </row>
    <row r="124" spans="2:30" s="323" customFormat="1" ht="12" customHeight="1">
      <c r="B124" s="324"/>
      <c r="C124" s="325"/>
      <c r="D124" s="326"/>
      <c r="E124" s="326"/>
      <c r="F124" s="326"/>
      <c r="G124" s="326"/>
      <c r="H124" s="326"/>
      <c r="P124" s="318"/>
      <c r="Q124" s="318"/>
      <c r="R124" s="318"/>
      <c r="S124" s="318"/>
      <c r="T124" s="318"/>
      <c r="U124" s="318"/>
      <c r="V124" s="318"/>
      <c r="W124" s="318"/>
      <c r="X124" s="318"/>
      <c r="Y124" s="318"/>
      <c r="Z124" s="318"/>
      <c r="AA124" s="318"/>
      <c r="AB124" s="318"/>
      <c r="AC124" s="318"/>
      <c r="AD124" s="318"/>
    </row>
    <row r="125" spans="2:30" s="323" customFormat="1" ht="12" customHeight="1">
      <c r="B125" s="324"/>
      <c r="C125" s="325"/>
      <c r="D125" s="326"/>
      <c r="E125" s="326"/>
      <c r="F125" s="326"/>
      <c r="G125" s="326"/>
      <c r="H125" s="326"/>
      <c r="P125" s="318"/>
      <c r="Q125" s="318"/>
      <c r="R125" s="318"/>
      <c r="S125" s="318"/>
      <c r="T125" s="318"/>
      <c r="U125" s="318"/>
      <c r="V125" s="318"/>
      <c r="W125" s="318"/>
      <c r="X125" s="318"/>
      <c r="Y125" s="318"/>
      <c r="Z125" s="318"/>
      <c r="AA125" s="318"/>
      <c r="AB125" s="318"/>
      <c r="AC125" s="318"/>
      <c r="AD125" s="318"/>
    </row>
    <row r="126" spans="2:30" s="323" customFormat="1" ht="12" customHeight="1">
      <c r="B126" s="324"/>
      <c r="C126" s="325"/>
      <c r="D126" s="326"/>
      <c r="E126" s="326"/>
      <c r="F126" s="326"/>
      <c r="G126" s="326"/>
      <c r="H126" s="326"/>
      <c r="P126" s="318"/>
      <c r="Q126" s="318"/>
      <c r="R126" s="318"/>
      <c r="S126" s="318"/>
      <c r="T126" s="318"/>
      <c r="U126" s="318"/>
      <c r="V126" s="318"/>
      <c r="W126" s="318"/>
      <c r="X126" s="318"/>
      <c r="Y126" s="318"/>
      <c r="Z126" s="318"/>
      <c r="AA126" s="318"/>
      <c r="AB126" s="318"/>
      <c r="AC126" s="318"/>
      <c r="AD126" s="318"/>
    </row>
    <row r="127" spans="2:30" s="323" customFormat="1" ht="12" customHeight="1">
      <c r="B127" s="324"/>
      <c r="C127" s="325"/>
      <c r="D127" s="326"/>
      <c r="E127" s="326"/>
      <c r="F127" s="326"/>
      <c r="G127" s="326"/>
      <c r="H127" s="326"/>
      <c r="P127" s="318"/>
      <c r="Q127" s="318"/>
      <c r="R127" s="318"/>
      <c r="S127" s="318"/>
      <c r="T127" s="318"/>
      <c r="U127" s="318"/>
      <c r="V127" s="318"/>
      <c r="W127" s="318"/>
      <c r="X127" s="318"/>
      <c r="Y127" s="318"/>
      <c r="Z127" s="318"/>
      <c r="AA127" s="318"/>
      <c r="AB127" s="318"/>
      <c r="AC127" s="318"/>
      <c r="AD127" s="318"/>
    </row>
    <row r="128" spans="2:30" s="323" customFormat="1" ht="12" customHeight="1">
      <c r="B128" s="324"/>
      <c r="C128" s="325"/>
      <c r="D128" s="326"/>
      <c r="E128" s="326"/>
      <c r="F128" s="326"/>
      <c r="G128" s="326"/>
      <c r="H128" s="326"/>
      <c r="P128" s="318"/>
      <c r="Q128" s="318"/>
      <c r="R128" s="318"/>
      <c r="S128" s="318"/>
      <c r="T128" s="318"/>
      <c r="U128" s="318"/>
      <c r="V128" s="318"/>
      <c r="W128" s="318"/>
      <c r="X128" s="318"/>
      <c r="Y128" s="318"/>
      <c r="Z128" s="318"/>
      <c r="AA128" s="318"/>
      <c r="AB128" s="318"/>
      <c r="AC128" s="318"/>
      <c r="AD128" s="318"/>
    </row>
    <row r="129" spans="2:30" s="323" customFormat="1" ht="12" customHeight="1">
      <c r="B129" s="324"/>
      <c r="C129" s="325"/>
      <c r="D129" s="326"/>
      <c r="E129" s="326"/>
      <c r="F129" s="326"/>
      <c r="G129" s="326"/>
      <c r="H129" s="326"/>
      <c r="P129" s="318"/>
      <c r="Q129" s="318"/>
      <c r="R129" s="318"/>
      <c r="S129" s="318"/>
      <c r="T129" s="318"/>
      <c r="U129" s="318"/>
      <c r="V129" s="318"/>
      <c r="W129" s="318"/>
      <c r="X129" s="318"/>
      <c r="Y129" s="318"/>
      <c r="Z129" s="318"/>
      <c r="AA129" s="318"/>
      <c r="AB129" s="318"/>
      <c r="AC129" s="318"/>
      <c r="AD129" s="318"/>
    </row>
    <row r="130" spans="2:30" s="323" customFormat="1" ht="12" customHeight="1">
      <c r="B130" s="324"/>
      <c r="C130" s="325"/>
      <c r="D130" s="326"/>
      <c r="E130" s="326"/>
      <c r="F130" s="326"/>
      <c r="G130" s="326"/>
      <c r="H130" s="326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  <c r="Z130" s="318"/>
      <c r="AA130" s="318"/>
      <c r="AB130" s="318"/>
      <c r="AC130" s="318"/>
      <c r="AD130" s="318"/>
    </row>
    <row r="131" spans="2:30" s="323" customFormat="1" ht="12" customHeight="1">
      <c r="B131" s="324"/>
      <c r="C131" s="325"/>
      <c r="D131" s="326"/>
      <c r="E131" s="326"/>
      <c r="F131" s="326"/>
      <c r="G131" s="326"/>
      <c r="H131" s="326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  <c r="Z131" s="318"/>
      <c r="AA131" s="318"/>
      <c r="AB131" s="318"/>
      <c r="AC131" s="318"/>
      <c r="AD131" s="318"/>
    </row>
    <row r="132" spans="2:30" s="323" customFormat="1" ht="12" customHeight="1">
      <c r="B132" s="324"/>
      <c r="C132" s="325"/>
      <c r="D132" s="326"/>
      <c r="E132" s="326"/>
      <c r="F132" s="326"/>
      <c r="G132" s="326"/>
      <c r="H132" s="326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  <c r="Z132" s="318"/>
      <c r="AA132" s="318"/>
      <c r="AB132" s="318"/>
      <c r="AC132" s="318"/>
      <c r="AD132" s="318"/>
    </row>
    <row r="133" spans="2:30" s="323" customFormat="1" ht="12" customHeight="1">
      <c r="B133" s="324"/>
      <c r="C133" s="325"/>
      <c r="D133" s="326"/>
      <c r="E133" s="326"/>
      <c r="F133" s="326"/>
      <c r="G133" s="326"/>
      <c r="H133" s="326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  <c r="Z133" s="318"/>
      <c r="AA133" s="318"/>
      <c r="AB133" s="318"/>
      <c r="AC133" s="318"/>
      <c r="AD133" s="318"/>
    </row>
    <row r="134" spans="2:30" s="323" customFormat="1" ht="12" customHeight="1">
      <c r="B134" s="324"/>
      <c r="C134" s="325"/>
      <c r="D134" s="326"/>
      <c r="E134" s="326"/>
      <c r="F134" s="326"/>
      <c r="G134" s="326"/>
      <c r="H134" s="326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  <c r="Z134" s="318"/>
      <c r="AA134" s="318"/>
      <c r="AB134" s="318"/>
      <c r="AC134" s="318"/>
      <c r="AD134" s="318"/>
    </row>
    <row r="135" spans="2:30" s="323" customFormat="1" ht="12" customHeight="1">
      <c r="B135" s="324"/>
      <c r="C135" s="325"/>
      <c r="D135" s="326"/>
      <c r="E135" s="326"/>
      <c r="F135" s="326"/>
      <c r="G135" s="326"/>
      <c r="H135" s="326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  <c r="Z135" s="318"/>
      <c r="AA135" s="318"/>
      <c r="AB135" s="318"/>
      <c r="AC135" s="318"/>
      <c r="AD135" s="318"/>
    </row>
    <row r="136" spans="2:30" s="323" customFormat="1" ht="12" customHeight="1">
      <c r="B136" s="324"/>
      <c r="C136" s="325"/>
      <c r="D136" s="326"/>
      <c r="E136" s="326"/>
      <c r="F136" s="326"/>
      <c r="G136" s="326"/>
      <c r="H136" s="326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  <c r="Z136" s="318"/>
      <c r="AA136" s="318"/>
      <c r="AB136" s="318"/>
      <c r="AC136" s="318"/>
      <c r="AD136" s="318"/>
    </row>
    <row r="137" spans="2:30" s="323" customFormat="1" ht="12" customHeight="1">
      <c r="B137" s="324"/>
      <c r="C137" s="325"/>
      <c r="D137" s="326"/>
      <c r="E137" s="326"/>
      <c r="F137" s="326"/>
      <c r="G137" s="326"/>
      <c r="H137" s="326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  <c r="Z137" s="318"/>
      <c r="AA137" s="318"/>
      <c r="AB137" s="318"/>
      <c r="AC137" s="318"/>
      <c r="AD137" s="318"/>
    </row>
    <row r="138" spans="2:30" s="323" customFormat="1" ht="12" customHeight="1">
      <c r="B138" s="324"/>
      <c r="C138" s="325"/>
      <c r="D138" s="326"/>
      <c r="E138" s="326"/>
      <c r="F138" s="326"/>
      <c r="G138" s="326"/>
      <c r="H138" s="326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  <c r="Z138" s="318"/>
      <c r="AA138" s="318"/>
      <c r="AB138" s="318"/>
      <c r="AC138" s="318"/>
      <c r="AD138" s="318"/>
    </row>
    <row r="139" spans="2:30" s="323" customFormat="1" ht="12" customHeight="1">
      <c r="B139" s="324"/>
      <c r="C139" s="325"/>
      <c r="D139" s="326"/>
      <c r="E139" s="326"/>
      <c r="F139" s="326"/>
      <c r="G139" s="326"/>
      <c r="H139" s="326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  <c r="Z139" s="318"/>
      <c r="AA139" s="318"/>
      <c r="AB139" s="318"/>
      <c r="AC139" s="318"/>
      <c r="AD139" s="318"/>
    </row>
    <row r="140" spans="2:30" s="323" customFormat="1" ht="12" customHeight="1">
      <c r="B140" s="324"/>
      <c r="C140" s="325"/>
      <c r="D140" s="326"/>
      <c r="E140" s="326"/>
      <c r="F140" s="326"/>
      <c r="G140" s="326"/>
      <c r="H140" s="326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  <c r="Z140" s="318"/>
      <c r="AA140" s="318"/>
      <c r="AB140" s="318"/>
      <c r="AC140" s="318"/>
      <c r="AD140" s="318"/>
    </row>
    <row r="141" spans="2:30" s="323" customFormat="1" ht="12" customHeight="1">
      <c r="B141" s="324"/>
      <c r="C141" s="325"/>
      <c r="D141" s="326"/>
      <c r="E141" s="326"/>
      <c r="F141" s="326"/>
      <c r="G141" s="326"/>
      <c r="H141" s="326"/>
      <c r="P141" s="318"/>
      <c r="Q141" s="318"/>
      <c r="R141" s="318"/>
      <c r="S141" s="318"/>
      <c r="T141" s="318"/>
      <c r="U141" s="318"/>
      <c r="V141" s="318"/>
      <c r="W141" s="318"/>
      <c r="X141" s="318"/>
      <c r="Y141" s="318"/>
      <c r="Z141" s="318"/>
      <c r="AA141" s="318"/>
      <c r="AB141" s="318"/>
      <c r="AC141" s="318"/>
      <c r="AD141" s="318"/>
    </row>
    <row r="142" spans="2:30" s="323" customFormat="1" ht="12" customHeight="1">
      <c r="B142" s="324"/>
      <c r="C142" s="325"/>
      <c r="D142" s="326"/>
      <c r="E142" s="326"/>
      <c r="F142" s="326"/>
      <c r="G142" s="326"/>
      <c r="H142" s="326"/>
      <c r="P142" s="318"/>
      <c r="Q142" s="318"/>
      <c r="R142" s="318"/>
      <c r="S142" s="318"/>
      <c r="T142" s="318"/>
      <c r="U142" s="318"/>
      <c r="V142" s="318"/>
      <c r="W142" s="318"/>
      <c r="X142" s="318"/>
      <c r="Y142" s="318"/>
      <c r="Z142" s="318"/>
      <c r="AA142" s="318"/>
      <c r="AB142" s="318"/>
      <c r="AC142" s="318"/>
      <c r="AD142" s="318"/>
    </row>
    <row r="143" spans="2:30" s="323" customFormat="1" ht="12" customHeight="1">
      <c r="B143" s="324"/>
      <c r="C143" s="325"/>
      <c r="D143" s="326"/>
      <c r="E143" s="326"/>
      <c r="F143" s="326"/>
      <c r="G143" s="326"/>
      <c r="H143" s="326"/>
      <c r="P143" s="318"/>
      <c r="Q143" s="318"/>
      <c r="R143" s="318"/>
      <c r="S143" s="318"/>
      <c r="T143" s="318"/>
      <c r="U143" s="318"/>
      <c r="V143" s="318"/>
      <c r="W143" s="318"/>
      <c r="X143" s="318"/>
      <c r="Y143" s="318"/>
      <c r="Z143" s="318"/>
      <c r="AA143" s="318"/>
      <c r="AB143" s="318"/>
      <c r="AC143" s="318"/>
      <c r="AD143" s="318"/>
    </row>
    <row r="144" spans="2:30" s="323" customFormat="1" ht="12" customHeight="1">
      <c r="B144" s="324"/>
      <c r="C144" s="325"/>
      <c r="D144" s="326"/>
      <c r="E144" s="326"/>
      <c r="F144" s="326"/>
      <c r="G144" s="326"/>
      <c r="H144" s="326"/>
      <c r="P144" s="318"/>
      <c r="Q144" s="318"/>
      <c r="R144" s="318"/>
      <c r="S144" s="318"/>
      <c r="T144" s="318"/>
      <c r="U144" s="318"/>
      <c r="V144" s="318"/>
      <c r="W144" s="318"/>
      <c r="X144" s="318"/>
      <c r="Y144" s="318"/>
      <c r="Z144" s="318"/>
      <c r="AA144" s="318"/>
      <c r="AB144" s="318"/>
      <c r="AC144" s="318"/>
      <c r="AD144" s="318"/>
    </row>
    <row r="145" spans="2:30" s="323" customFormat="1" ht="12" customHeight="1">
      <c r="B145" s="324"/>
      <c r="C145" s="325"/>
      <c r="D145" s="326"/>
      <c r="E145" s="326"/>
      <c r="F145" s="326"/>
      <c r="G145" s="326"/>
      <c r="H145" s="326"/>
      <c r="P145" s="318"/>
      <c r="Q145" s="318"/>
      <c r="R145" s="318"/>
      <c r="S145" s="318"/>
      <c r="T145" s="318"/>
      <c r="U145" s="318"/>
      <c r="V145" s="318"/>
      <c r="W145" s="318"/>
      <c r="X145" s="318"/>
      <c r="Y145" s="318"/>
      <c r="Z145" s="318"/>
      <c r="AA145" s="318"/>
      <c r="AB145" s="318"/>
      <c r="AC145" s="318"/>
      <c r="AD145" s="318"/>
    </row>
    <row r="146" spans="2:30" s="323" customFormat="1" ht="12" customHeight="1">
      <c r="B146" s="324"/>
      <c r="C146" s="325"/>
      <c r="D146" s="326"/>
      <c r="E146" s="326"/>
      <c r="F146" s="326"/>
      <c r="G146" s="326"/>
      <c r="H146" s="326"/>
      <c r="P146" s="318"/>
      <c r="Q146" s="318"/>
      <c r="R146" s="318"/>
      <c r="S146" s="318"/>
      <c r="T146" s="318"/>
      <c r="U146" s="318"/>
      <c r="V146" s="318"/>
      <c r="W146" s="318"/>
      <c r="X146" s="318"/>
      <c r="Y146" s="318"/>
      <c r="Z146" s="318"/>
      <c r="AA146" s="318"/>
      <c r="AB146" s="318"/>
      <c r="AC146" s="318"/>
      <c r="AD146" s="318"/>
    </row>
    <row r="147" spans="2:30" s="323" customFormat="1" ht="12" customHeight="1">
      <c r="B147" s="324"/>
      <c r="C147" s="325"/>
      <c r="D147" s="326"/>
      <c r="E147" s="326"/>
      <c r="F147" s="326"/>
      <c r="G147" s="326"/>
      <c r="H147" s="326"/>
      <c r="P147" s="318"/>
      <c r="Q147" s="318"/>
      <c r="R147" s="318"/>
      <c r="S147" s="318"/>
      <c r="T147" s="318"/>
      <c r="U147" s="318"/>
      <c r="V147" s="318"/>
      <c r="W147" s="318"/>
      <c r="X147" s="318"/>
      <c r="Y147" s="318"/>
      <c r="Z147" s="318"/>
      <c r="AA147" s="318"/>
      <c r="AB147" s="318"/>
      <c r="AC147" s="318"/>
      <c r="AD147" s="318"/>
    </row>
    <row r="148" spans="2:30" s="323" customFormat="1" ht="12" customHeight="1">
      <c r="B148" s="324"/>
      <c r="C148" s="325"/>
      <c r="D148" s="326"/>
      <c r="E148" s="326"/>
      <c r="F148" s="326"/>
      <c r="G148" s="326"/>
      <c r="H148" s="326"/>
      <c r="P148" s="318"/>
      <c r="Q148" s="318"/>
      <c r="R148" s="318"/>
      <c r="S148" s="318"/>
      <c r="T148" s="318"/>
      <c r="U148" s="318"/>
      <c r="V148" s="318"/>
      <c r="W148" s="318"/>
      <c r="X148" s="318"/>
      <c r="Y148" s="318"/>
      <c r="Z148" s="318"/>
      <c r="AA148" s="318"/>
      <c r="AB148" s="318"/>
      <c r="AC148" s="318"/>
      <c r="AD148" s="318"/>
    </row>
    <row r="149" spans="2:30" s="323" customFormat="1" ht="12" customHeight="1">
      <c r="B149" s="324"/>
      <c r="C149" s="325"/>
      <c r="D149" s="326"/>
      <c r="E149" s="326"/>
      <c r="F149" s="326"/>
      <c r="G149" s="326"/>
      <c r="H149" s="326"/>
      <c r="P149" s="318"/>
      <c r="Q149" s="318"/>
      <c r="R149" s="318"/>
      <c r="S149" s="318"/>
      <c r="T149" s="318"/>
      <c r="U149" s="318"/>
      <c r="V149" s="318"/>
      <c r="W149" s="318"/>
      <c r="X149" s="318"/>
      <c r="Y149" s="318"/>
      <c r="Z149" s="318"/>
      <c r="AA149" s="318"/>
      <c r="AB149" s="318"/>
      <c r="AC149" s="318"/>
      <c r="AD149" s="318"/>
    </row>
    <row r="150" spans="2:30" s="323" customFormat="1" ht="12" customHeight="1">
      <c r="B150" s="324"/>
      <c r="C150" s="325"/>
      <c r="D150" s="326"/>
      <c r="E150" s="326"/>
      <c r="F150" s="326"/>
      <c r="G150" s="326"/>
      <c r="H150" s="326"/>
      <c r="P150" s="318"/>
      <c r="Q150" s="318"/>
      <c r="R150" s="318"/>
      <c r="S150" s="318"/>
      <c r="T150" s="318"/>
      <c r="U150" s="318"/>
      <c r="V150" s="318"/>
      <c r="W150" s="318"/>
      <c r="X150" s="318"/>
      <c r="Y150" s="318"/>
      <c r="Z150" s="318"/>
      <c r="AA150" s="318"/>
      <c r="AB150" s="318"/>
      <c r="AC150" s="318"/>
      <c r="AD150" s="318"/>
    </row>
    <row r="151" spans="2:30" s="323" customFormat="1" ht="12" customHeight="1">
      <c r="B151" s="324"/>
      <c r="C151" s="325"/>
      <c r="D151" s="326"/>
      <c r="E151" s="326"/>
      <c r="F151" s="326"/>
      <c r="G151" s="326"/>
      <c r="H151" s="326"/>
      <c r="P151" s="318"/>
      <c r="Q151" s="318"/>
      <c r="R151" s="318"/>
      <c r="S151" s="318"/>
      <c r="T151" s="318"/>
      <c r="U151" s="318"/>
      <c r="V151" s="318"/>
      <c r="W151" s="318"/>
      <c r="X151" s="318"/>
      <c r="Y151" s="318"/>
      <c r="Z151" s="318"/>
      <c r="AA151" s="318"/>
      <c r="AB151" s="318"/>
      <c r="AC151" s="318"/>
      <c r="AD151" s="318"/>
    </row>
    <row r="152" spans="2:30" s="323" customFormat="1" ht="12" customHeight="1">
      <c r="B152" s="324"/>
      <c r="C152" s="325"/>
      <c r="D152" s="326"/>
      <c r="E152" s="326"/>
      <c r="F152" s="326"/>
      <c r="G152" s="326"/>
      <c r="H152" s="326"/>
      <c r="P152" s="318"/>
      <c r="Q152" s="318"/>
      <c r="R152" s="318"/>
      <c r="S152" s="318"/>
      <c r="T152" s="318"/>
      <c r="U152" s="318"/>
      <c r="V152" s="318"/>
      <c r="W152" s="318"/>
      <c r="X152" s="318"/>
      <c r="Y152" s="318"/>
      <c r="Z152" s="318"/>
      <c r="AA152" s="318"/>
      <c r="AB152" s="318"/>
      <c r="AC152" s="318"/>
      <c r="AD152" s="318"/>
    </row>
    <row r="153" spans="2:30" s="323" customFormat="1" ht="12" customHeight="1">
      <c r="B153" s="324"/>
      <c r="C153" s="325"/>
      <c r="D153" s="326"/>
      <c r="E153" s="326"/>
      <c r="F153" s="326"/>
      <c r="G153" s="326"/>
      <c r="H153" s="326"/>
      <c r="P153" s="318"/>
      <c r="Q153" s="318"/>
      <c r="R153" s="318"/>
      <c r="S153" s="318"/>
      <c r="T153" s="318"/>
      <c r="U153" s="318"/>
      <c r="V153" s="318"/>
      <c r="W153" s="318"/>
      <c r="X153" s="318"/>
      <c r="Y153" s="318"/>
      <c r="Z153" s="318"/>
      <c r="AA153" s="318"/>
      <c r="AB153" s="318"/>
      <c r="AC153" s="318"/>
      <c r="AD153" s="318"/>
    </row>
    <row r="154" spans="2:30" s="323" customFormat="1" ht="12" customHeight="1">
      <c r="B154" s="324"/>
      <c r="C154" s="325"/>
      <c r="D154" s="326"/>
      <c r="E154" s="326"/>
      <c r="F154" s="326"/>
      <c r="G154" s="326"/>
      <c r="H154" s="326"/>
      <c r="P154" s="318"/>
      <c r="Q154" s="318"/>
      <c r="R154" s="318"/>
      <c r="S154" s="318"/>
      <c r="T154" s="318"/>
      <c r="U154" s="318"/>
      <c r="V154" s="318"/>
      <c r="W154" s="318"/>
      <c r="X154" s="318"/>
      <c r="Y154" s="318"/>
      <c r="Z154" s="318"/>
      <c r="AA154" s="318"/>
      <c r="AB154" s="318"/>
      <c r="AC154" s="318"/>
      <c r="AD154" s="318"/>
    </row>
    <row r="155" spans="2:30" s="323" customFormat="1" ht="12" customHeight="1">
      <c r="B155" s="324"/>
      <c r="C155" s="325"/>
      <c r="D155" s="326"/>
      <c r="E155" s="326"/>
      <c r="F155" s="326"/>
      <c r="G155" s="326"/>
      <c r="H155" s="326"/>
      <c r="P155" s="318"/>
      <c r="Q155" s="318"/>
      <c r="R155" s="318"/>
      <c r="S155" s="318"/>
      <c r="T155" s="318"/>
      <c r="U155" s="318"/>
      <c r="V155" s="318"/>
      <c r="W155" s="318"/>
      <c r="X155" s="318"/>
      <c r="Y155" s="318"/>
      <c r="Z155" s="318"/>
      <c r="AA155" s="318"/>
      <c r="AB155" s="318"/>
      <c r="AC155" s="318"/>
      <c r="AD155" s="318"/>
    </row>
    <row r="156" spans="2:30" s="323" customFormat="1" ht="12" customHeight="1">
      <c r="B156" s="324"/>
      <c r="C156" s="325"/>
      <c r="D156" s="326"/>
      <c r="E156" s="326"/>
      <c r="F156" s="326"/>
      <c r="G156" s="326"/>
      <c r="H156" s="326"/>
      <c r="P156" s="318"/>
      <c r="Q156" s="318"/>
      <c r="R156" s="318"/>
      <c r="S156" s="318"/>
      <c r="T156" s="318"/>
      <c r="U156" s="318"/>
      <c r="V156" s="318"/>
      <c r="W156" s="318"/>
      <c r="X156" s="318"/>
      <c r="Y156" s="318"/>
      <c r="Z156" s="318"/>
      <c r="AA156" s="318"/>
      <c r="AB156" s="318"/>
      <c r="AC156" s="318"/>
      <c r="AD156" s="318"/>
    </row>
    <row r="157" spans="2:30" s="323" customFormat="1" ht="12" customHeight="1">
      <c r="B157" s="324"/>
      <c r="C157" s="325"/>
      <c r="D157" s="326"/>
      <c r="E157" s="326"/>
      <c r="F157" s="326"/>
      <c r="G157" s="326"/>
      <c r="H157" s="326"/>
      <c r="P157" s="318"/>
      <c r="Q157" s="318"/>
      <c r="R157" s="318"/>
      <c r="S157" s="318"/>
      <c r="T157" s="318"/>
      <c r="U157" s="318"/>
      <c r="V157" s="318"/>
      <c r="W157" s="318"/>
      <c r="X157" s="318"/>
      <c r="Y157" s="318"/>
      <c r="Z157" s="318"/>
      <c r="AA157" s="318"/>
      <c r="AB157" s="318"/>
      <c r="AC157" s="318"/>
      <c r="AD157" s="318"/>
    </row>
    <row r="158" spans="2:30" s="323" customFormat="1" ht="12" customHeight="1">
      <c r="B158" s="324"/>
      <c r="C158" s="325"/>
      <c r="D158" s="326"/>
      <c r="E158" s="326"/>
      <c r="F158" s="326"/>
      <c r="G158" s="326"/>
      <c r="H158" s="326"/>
      <c r="P158" s="318"/>
      <c r="Q158" s="318"/>
      <c r="R158" s="318"/>
      <c r="S158" s="318"/>
      <c r="T158" s="318"/>
      <c r="U158" s="318"/>
      <c r="V158" s="318"/>
      <c r="W158" s="318"/>
      <c r="X158" s="318"/>
      <c r="Y158" s="318"/>
      <c r="Z158" s="318"/>
      <c r="AA158" s="318"/>
      <c r="AB158" s="318"/>
      <c r="AC158" s="318"/>
      <c r="AD158" s="318"/>
    </row>
    <row r="159" spans="2:30" s="323" customFormat="1" ht="12" customHeight="1">
      <c r="B159" s="324"/>
      <c r="C159" s="325"/>
      <c r="D159" s="326"/>
      <c r="E159" s="326"/>
      <c r="F159" s="326"/>
      <c r="G159" s="326"/>
      <c r="H159" s="326"/>
      <c r="P159" s="318"/>
      <c r="Q159" s="318"/>
      <c r="R159" s="318"/>
      <c r="S159" s="318"/>
      <c r="T159" s="318"/>
      <c r="U159" s="318"/>
      <c r="V159" s="318"/>
      <c r="W159" s="318"/>
      <c r="X159" s="318"/>
      <c r="Y159" s="318"/>
      <c r="Z159" s="318"/>
      <c r="AA159" s="318"/>
      <c r="AB159" s="318"/>
      <c r="AC159" s="318"/>
      <c r="AD159" s="318"/>
    </row>
    <row r="160" spans="2:30" s="323" customFormat="1" ht="12" customHeight="1">
      <c r="B160" s="324"/>
      <c r="C160" s="325"/>
      <c r="D160" s="326"/>
      <c r="E160" s="326"/>
      <c r="F160" s="326"/>
      <c r="G160" s="326"/>
      <c r="H160" s="326"/>
      <c r="P160" s="318"/>
      <c r="Q160" s="318"/>
      <c r="R160" s="318"/>
      <c r="S160" s="318"/>
      <c r="T160" s="318"/>
      <c r="U160" s="318"/>
      <c r="V160" s="318"/>
      <c r="W160" s="318"/>
      <c r="X160" s="318"/>
      <c r="Y160" s="318"/>
      <c r="Z160" s="318"/>
      <c r="AA160" s="318"/>
      <c r="AB160" s="318"/>
      <c r="AC160" s="318"/>
      <c r="AD160" s="318"/>
    </row>
    <row r="161" spans="2:30" s="323" customFormat="1" ht="12" customHeight="1">
      <c r="B161" s="324"/>
      <c r="C161" s="325"/>
      <c r="D161" s="326"/>
      <c r="E161" s="326"/>
      <c r="F161" s="326"/>
      <c r="G161" s="326"/>
      <c r="H161" s="326"/>
      <c r="P161" s="318"/>
      <c r="Q161" s="318"/>
      <c r="R161" s="318"/>
      <c r="S161" s="318"/>
      <c r="T161" s="318"/>
      <c r="U161" s="318"/>
      <c r="V161" s="318"/>
      <c r="W161" s="318"/>
      <c r="X161" s="318"/>
      <c r="Y161" s="318"/>
      <c r="Z161" s="318"/>
      <c r="AA161" s="318"/>
      <c r="AB161" s="318"/>
      <c r="AC161" s="318"/>
      <c r="AD161" s="318"/>
    </row>
    <row r="162" spans="2:30" s="323" customFormat="1" ht="12" customHeight="1">
      <c r="B162" s="324"/>
      <c r="C162" s="325"/>
      <c r="D162" s="326"/>
      <c r="E162" s="326"/>
      <c r="F162" s="326"/>
      <c r="G162" s="326"/>
      <c r="H162" s="326"/>
      <c r="P162" s="318"/>
      <c r="Q162" s="318"/>
      <c r="R162" s="318"/>
      <c r="S162" s="318"/>
      <c r="T162" s="318"/>
      <c r="U162" s="318"/>
      <c r="V162" s="318"/>
      <c r="W162" s="318"/>
      <c r="X162" s="318"/>
      <c r="Y162" s="318"/>
      <c r="Z162" s="318"/>
      <c r="AA162" s="318"/>
      <c r="AB162" s="318"/>
      <c r="AC162" s="318"/>
      <c r="AD162" s="318"/>
    </row>
    <row r="163" spans="2:30" s="323" customFormat="1" ht="12" customHeight="1">
      <c r="B163" s="324"/>
      <c r="C163" s="325"/>
      <c r="D163" s="326"/>
      <c r="E163" s="326"/>
      <c r="F163" s="326"/>
      <c r="G163" s="326"/>
      <c r="H163" s="326"/>
      <c r="P163" s="318"/>
      <c r="Q163" s="318"/>
      <c r="R163" s="318"/>
      <c r="S163" s="318"/>
      <c r="T163" s="318"/>
      <c r="U163" s="318"/>
      <c r="V163" s="318"/>
      <c r="W163" s="318"/>
      <c r="X163" s="318"/>
      <c r="Y163" s="318"/>
      <c r="Z163" s="318"/>
      <c r="AA163" s="318"/>
      <c r="AB163" s="318"/>
      <c r="AC163" s="318"/>
      <c r="AD163" s="318"/>
    </row>
    <row r="164" spans="2:30" s="323" customFormat="1" ht="12" customHeight="1">
      <c r="B164" s="324"/>
      <c r="C164" s="325"/>
      <c r="D164" s="326"/>
      <c r="E164" s="326"/>
      <c r="F164" s="326"/>
      <c r="G164" s="326"/>
      <c r="H164" s="326"/>
      <c r="P164" s="318"/>
      <c r="Q164" s="318"/>
      <c r="R164" s="318"/>
      <c r="S164" s="318"/>
      <c r="T164" s="318"/>
      <c r="U164" s="318"/>
      <c r="V164" s="318"/>
      <c r="W164" s="318"/>
      <c r="X164" s="318"/>
      <c r="Y164" s="318"/>
      <c r="Z164" s="318"/>
      <c r="AA164" s="318"/>
      <c r="AB164" s="318"/>
      <c r="AC164" s="318"/>
      <c r="AD164" s="318"/>
    </row>
    <row r="165" spans="2:30" s="323" customFormat="1" ht="12" customHeight="1">
      <c r="B165" s="324"/>
      <c r="C165" s="325"/>
      <c r="D165" s="326"/>
      <c r="E165" s="326"/>
      <c r="F165" s="326"/>
      <c r="G165" s="326"/>
      <c r="H165" s="326"/>
      <c r="P165" s="318"/>
      <c r="Q165" s="318"/>
      <c r="R165" s="318"/>
      <c r="S165" s="318"/>
      <c r="T165" s="318"/>
      <c r="U165" s="318"/>
      <c r="V165" s="318"/>
      <c r="W165" s="318"/>
      <c r="X165" s="318"/>
      <c r="Y165" s="318"/>
      <c r="Z165" s="318"/>
      <c r="AA165" s="318"/>
      <c r="AB165" s="318"/>
      <c r="AC165" s="318"/>
      <c r="AD165" s="318"/>
    </row>
    <row r="166" spans="2:30" s="323" customFormat="1" ht="12" customHeight="1">
      <c r="B166" s="324"/>
      <c r="C166" s="325"/>
      <c r="D166" s="326"/>
      <c r="E166" s="326"/>
      <c r="F166" s="326"/>
      <c r="G166" s="326"/>
      <c r="H166" s="326"/>
      <c r="P166" s="318"/>
      <c r="Q166" s="318"/>
      <c r="R166" s="318"/>
      <c r="S166" s="318"/>
      <c r="T166" s="318"/>
      <c r="U166" s="318"/>
      <c r="V166" s="318"/>
      <c r="W166" s="318"/>
      <c r="X166" s="318"/>
      <c r="Y166" s="318"/>
      <c r="Z166" s="318"/>
      <c r="AA166" s="318"/>
      <c r="AB166" s="318"/>
      <c r="AC166" s="318"/>
      <c r="AD166" s="318"/>
    </row>
    <row r="167" spans="2:30" s="323" customFormat="1" ht="12" customHeight="1">
      <c r="B167" s="324"/>
      <c r="C167" s="325"/>
      <c r="D167" s="326"/>
      <c r="E167" s="326"/>
      <c r="F167" s="326"/>
      <c r="G167" s="326"/>
      <c r="H167" s="326"/>
      <c r="P167" s="318"/>
      <c r="Q167" s="318"/>
      <c r="R167" s="318"/>
      <c r="S167" s="318"/>
      <c r="T167" s="318"/>
      <c r="U167" s="318"/>
      <c r="V167" s="318"/>
      <c r="W167" s="318"/>
      <c r="X167" s="318"/>
      <c r="Y167" s="318"/>
      <c r="Z167" s="318"/>
      <c r="AA167" s="318"/>
      <c r="AB167" s="318"/>
      <c r="AC167" s="318"/>
      <c r="AD167" s="318"/>
    </row>
    <row r="168" spans="2:30" s="323" customFormat="1" ht="12" customHeight="1">
      <c r="B168" s="324"/>
      <c r="C168" s="325"/>
      <c r="D168" s="326"/>
      <c r="E168" s="326"/>
      <c r="F168" s="326"/>
      <c r="G168" s="326"/>
      <c r="H168" s="326"/>
      <c r="P168" s="318"/>
      <c r="Q168" s="318"/>
      <c r="R168" s="318"/>
      <c r="S168" s="318"/>
      <c r="T168" s="318"/>
      <c r="U168" s="318"/>
      <c r="V168" s="318"/>
      <c r="W168" s="318"/>
      <c r="X168" s="318"/>
      <c r="Y168" s="318"/>
      <c r="Z168" s="318"/>
      <c r="AA168" s="318"/>
      <c r="AB168" s="318"/>
      <c r="AC168" s="318"/>
      <c r="AD168" s="318"/>
    </row>
    <row r="169" spans="2:30" s="323" customFormat="1" ht="12" customHeight="1">
      <c r="B169" s="324"/>
      <c r="C169" s="325"/>
      <c r="D169" s="326"/>
      <c r="E169" s="326"/>
      <c r="F169" s="326"/>
      <c r="G169" s="326"/>
      <c r="H169" s="326"/>
      <c r="P169" s="318"/>
      <c r="Q169" s="318"/>
      <c r="R169" s="318"/>
      <c r="S169" s="318"/>
      <c r="T169" s="318"/>
      <c r="U169" s="318"/>
      <c r="V169" s="318"/>
      <c r="W169" s="318"/>
      <c r="X169" s="318"/>
      <c r="Y169" s="318"/>
      <c r="Z169" s="318"/>
      <c r="AA169" s="318"/>
      <c r="AB169" s="318"/>
      <c r="AC169" s="318"/>
      <c r="AD169" s="318"/>
    </row>
    <row r="170" spans="2:30" s="323" customFormat="1" ht="12" customHeight="1">
      <c r="B170" s="324"/>
      <c r="C170" s="325"/>
      <c r="D170" s="326"/>
      <c r="E170" s="326"/>
      <c r="F170" s="326"/>
      <c r="G170" s="326"/>
      <c r="H170" s="326"/>
      <c r="P170" s="318"/>
      <c r="Q170" s="318"/>
      <c r="R170" s="318"/>
      <c r="S170" s="318"/>
      <c r="T170" s="318"/>
      <c r="U170" s="318"/>
      <c r="V170" s="318"/>
      <c r="W170" s="318"/>
      <c r="X170" s="318"/>
      <c r="Y170" s="318"/>
      <c r="Z170" s="318"/>
      <c r="AA170" s="318"/>
      <c r="AB170" s="318"/>
      <c r="AC170" s="318"/>
      <c r="AD170" s="318"/>
    </row>
    <row r="171" spans="2:30" s="323" customFormat="1" ht="12" customHeight="1">
      <c r="B171" s="324"/>
      <c r="C171" s="325"/>
      <c r="D171" s="326"/>
      <c r="E171" s="326"/>
      <c r="F171" s="326"/>
      <c r="G171" s="326"/>
      <c r="H171" s="326"/>
      <c r="P171" s="318"/>
      <c r="Q171" s="318"/>
      <c r="R171" s="318"/>
      <c r="S171" s="318"/>
      <c r="T171" s="318"/>
      <c r="U171" s="318"/>
      <c r="V171" s="318"/>
      <c r="W171" s="318"/>
      <c r="X171" s="318"/>
      <c r="Y171" s="318"/>
      <c r="Z171" s="318"/>
      <c r="AA171" s="318"/>
      <c r="AB171" s="318"/>
      <c r="AC171" s="318"/>
      <c r="AD171" s="318"/>
    </row>
    <row r="172" spans="2:30" s="323" customFormat="1" ht="12" customHeight="1">
      <c r="B172" s="324"/>
      <c r="C172" s="325"/>
      <c r="D172" s="326"/>
      <c r="E172" s="326"/>
      <c r="F172" s="326"/>
      <c r="G172" s="326"/>
      <c r="H172" s="326"/>
      <c r="P172" s="318"/>
      <c r="Q172" s="318"/>
      <c r="R172" s="318"/>
      <c r="S172" s="318"/>
      <c r="T172" s="318"/>
      <c r="U172" s="318"/>
      <c r="V172" s="318"/>
      <c r="W172" s="318"/>
      <c r="X172" s="318"/>
      <c r="Y172" s="318"/>
      <c r="Z172" s="318"/>
      <c r="AA172" s="318"/>
      <c r="AB172" s="318"/>
      <c r="AC172" s="318"/>
      <c r="AD172" s="318"/>
    </row>
    <row r="173" spans="2:30" s="323" customFormat="1" ht="12" customHeight="1">
      <c r="B173" s="324"/>
      <c r="C173" s="325"/>
      <c r="D173" s="326"/>
      <c r="E173" s="326"/>
      <c r="F173" s="326"/>
      <c r="G173" s="326"/>
      <c r="H173" s="326"/>
      <c r="P173" s="318"/>
      <c r="Q173" s="318"/>
      <c r="R173" s="318"/>
      <c r="S173" s="318"/>
      <c r="T173" s="318"/>
      <c r="U173" s="318"/>
      <c r="V173" s="318"/>
      <c r="W173" s="318"/>
      <c r="X173" s="318"/>
      <c r="Y173" s="318"/>
      <c r="Z173" s="318"/>
      <c r="AA173" s="318"/>
      <c r="AB173" s="318"/>
      <c r="AC173" s="318"/>
      <c r="AD173" s="318"/>
    </row>
    <row r="174" spans="2:30" s="323" customFormat="1" ht="12" customHeight="1">
      <c r="B174" s="324"/>
      <c r="C174" s="325"/>
      <c r="D174" s="326"/>
      <c r="E174" s="326"/>
      <c r="F174" s="326"/>
      <c r="G174" s="326"/>
      <c r="H174" s="326"/>
      <c r="P174" s="318"/>
      <c r="Q174" s="318"/>
      <c r="R174" s="318"/>
      <c r="S174" s="318"/>
      <c r="T174" s="318"/>
      <c r="U174" s="318"/>
      <c r="V174" s="318"/>
      <c r="W174" s="318"/>
      <c r="X174" s="318"/>
      <c r="Y174" s="318"/>
      <c r="Z174" s="318"/>
      <c r="AA174" s="318"/>
      <c r="AB174" s="318"/>
      <c r="AC174" s="318"/>
      <c r="AD174" s="318"/>
    </row>
    <row r="175" spans="2:30" s="323" customFormat="1" ht="12" customHeight="1">
      <c r="B175" s="324"/>
      <c r="C175" s="325"/>
      <c r="D175" s="326"/>
      <c r="E175" s="326"/>
      <c r="F175" s="326"/>
      <c r="G175" s="326"/>
      <c r="H175" s="326"/>
      <c r="P175" s="318"/>
      <c r="Q175" s="318"/>
      <c r="R175" s="318"/>
      <c r="S175" s="318"/>
      <c r="T175" s="318"/>
      <c r="U175" s="318"/>
      <c r="V175" s="318"/>
      <c r="W175" s="318"/>
      <c r="X175" s="318"/>
      <c r="Y175" s="318"/>
      <c r="Z175" s="318"/>
      <c r="AA175" s="318"/>
      <c r="AB175" s="318"/>
      <c r="AC175" s="318"/>
      <c r="AD175" s="318"/>
    </row>
    <row r="176" spans="2:30" s="323" customFormat="1" ht="12" customHeight="1">
      <c r="B176" s="324"/>
      <c r="C176" s="325"/>
      <c r="D176" s="326"/>
      <c r="E176" s="326"/>
      <c r="F176" s="326"/>
      <c r="G176" s="326"/>
      <c r="H176" s="326"/>
      <c r="P176" s="318"/>
      <c r="Q176" s="318"/>
      <c r="R176" s="318"/>
      <c r="S176" s="318"/>
      <c r="T176" s="318"/>
      <c r="U176" s="318"/>
      <c r="V176" s="318"/>
      <c r="W176" s="318"/>
      <c r="X176" s="318"/>
      <c r="Y176" s="318"/>
      <c r="Z176" s="318"/>
      <c r="AA176" s="318"/>
      <c r="AB176" s="318"/>
      <c r="AC176" s="318"/>
      <c r="AD176" s="318"/>
    </row>
    <row r="177" spans="2:30" s="323" customFormat="1" ht="12" customHeight="1">
      <c r="B177" s="324"/>
      <c r="C177" s="325"/>
      <c r="D177" s="326"/>
      <c r="E177" s="326"/>
      <c r="F177" s="326"/>
      <c r="G177" s="326"/>
      <c r="H177" s="326"/>
      <c r="P177" s="318"/>
      <c r="Q177" s="318"/>
      <c r="R177" s="318"/>
      <c r="S177" s="318"/>
      <c r="T177" s="318"/>
      <c r="U177" s="318"/>
      <c r="V177" s="318"/>
      <c r="W177" s="318"/>
      <c r="X177" s="318"/>
      <c r="Y177" s="318"/>
      <c r="Z177" s="318"/>
      <c r="AA177" s="318"/>
      <c r="AB177" s="318"/>
      <c r="AC177" s="318"/>
      <c r="AD177" s="318"/>
    </row>
    <row r="178" spans="2:30" s="323" customFormat="1" ht="12" customHeight="1">
      <c r="B178" s="324"/>
      <c r="C178" s="325"/>
      <c r="D178" s="326"/>
      <c r="E178" s="326"/>
      <c r="F178" s="326"/>
      <c r="G178" s="326"/>
      <c r="H178" s="326"/>
      <c r="P178" s="318"/>
      <c r="Q178" s="318"/>
      <c r="R178" s="318"/>
      <c r="S178" s="318"/>
      <c r="T178" s="318"/>
      <c r="U178" s="318"/>
      <c r="V178" s="318"/>
      <c r="W178" s="318"/>
      <c r="X178" s="318"/>
      <c r="Y178" s="318"/>
      <c r="Z178" s="318"/>
      <c r="AA178" s="318"/>
      <c r="AB178" s="318"/>
      <c r="AC178" s="318"/>
      <c r="AD178" s="318"/>
    </row>
    <row r="179" spans="2:30" s="323" customFormat="1" ht="12" customHeight="1">
      <c r="B179" s="324"/>
      <c r="C179" s="325"/>
      <c r="D179" s="326"/>
      <c r="E179" s="326"/>
      <c r="F179" s="326"/>
      <c r="G179" s="326"/>
      <c r="H179" s="326"/>
      <c r="P179" s="318"/>
      <c r="Q179" s="318"/>
      <c r="R179" s="318"/>
      <c r="S179" s="318"/>
      <c r="T179" s="318"/>
      <c r="U179" s="318"/>
      <c r="V179" s="318"/>
      <c r="W179" s="318"/>
      <c r="X179" s="318"/>
      <c r="Y179" s="318"/>
      <c r="Z179" s="318"/>
      <c r="AA179" s="318"/>
      <c r="AB179" s="318"/>
      <c r="AC179" s="318"/>
      <c r="AD179" s="318"/>
    </row>
    <row r="180" spans="2:30" s="323" customFormat="1" ht="12" customHeight="1">
      <c r="B180" s="324"/>
      <c r="C180" s="325"/>
      <c r="D180" s="326"/>
      <c r="E180" s="326"/>
      <c r="F180" s="326"/>
      <c r="G180" s="326"/>
      <c r="H180" s="326"/>
      <c r="P180" s="318"/>
      <c r="Q180" s="318"/>
      <c r="R180" s="318"/>
      <c r="S180" s="318"/>
      <c r="T180" s="318"/>
      <c r="U180" s="318"/>
      <c r="V180" s="318"/>
      <c r="W180" s="318"/>
      <c r="X180" s="318"/>
      <c r="Y180" s="318"/>
      <c r="Z180" s="318"/>
      <c r="AA180" s="318"/>
      <c r="AB180" s="318"/>
      <c r="AC180" s="318"/>
      <c r="AD180" s="318"/>
    </row>
    <row r="181" spans="2:30" s="323" customFormat="1" ht="12" customHeight="1">
      <c r="B181" s="324"/>
      <c r="C181" s="325"/>
      <c r="D181" s="326"/>
      <c r="E181" s="326"/>
      <c r="F181" s="326"/>
      <c r="G181" s="326"/>
      <c r="H181" s="326"/>
      <c r="P181" s="318"/>
      <c r="Q181" s="318"/>
      <c r="R181" s="318"/>
      <c r="S181" s="318"/>
      <c r="T181" s="318"/>
      <c r="U181" s="318"/>
      <c r="V181" s="318"/>
      <c r="W181" s="318"/>
      <c r="X181" s="318"/>
      <c r="Y181" s="318"/>
      <c r="Z181" s="318"/>
      <c r="AA181" s="318"/>
      <c r="AB181" s="318"/>
      <c r="AC181" s="318"/>
      <c r="AD181" s="318"/>
    </row>
    <row r="182" spans="2:30" s="323" customFormat="1" ht="12" customHeight="1">
      <c r="B182" s="324"/>
      <c r="C182" s="325"/>
      <c r="D182" s="326"/>
      <c r="E182" s="326"/>
      <c r="F182" s="326"/>
      <c r="G182" s="326"/>
      <c r="H182" s="326"/>
      <c r="P182" s="318"/>
      <c r="Q182" s="318"/>
      <c r="R182" s="318"/>
      <c r="S182" s="318"/>
      <c r="T182" s="318"/>
      <c r="U182" s="318"/>
      <c r="V182" s="318"/>
      <c r="W182" s="318"/>
      <c r="X182" s="318"/>
      <c r="Y182" s="318"/>
      <c r="Z182" s="318"/>
      <c r="AA182" s="318"/>
      <c r="AB182" s="318"/>
      <c r="AC182" s="318"/>
      <c r="AD182" s="318"/>
    </row>
    <row r="183" spans="2:30" s="323" customFormat="1" ht="12" customHeight="1">
      <c r="B183" s="324"/>
      <c r="C183" s="325"/>
      <c r="D183" s="326"/>
      <c r="E183" s="326"/>
      <c r="F183" s="326"/>
      <c r="G183" s="326"/>
      <c r="H183" s="326"/>
      <c r="P183" s="318"/>
      <c r="Q183" s="318"/>
      <c r="R183" s="318"/>
      <c r="S183" s="318"/>
      <c r="T183" s="318"/>
      <c r="U183" s="318"/>
      <c r="V183" s="318"/>
      <c r="W183" s="318"/>
      <c r="X183" s="318"/>
      <c r="Y183" s="318"/>
      <c r="Z183" s="318"/>
      <c r="AA183" s="318"/>
      <c r="AB183" s="318"/>
      <c r="AC183" s="318"/>
      <c r="AD183" s="318"/>
    </row>
    <row r="184" spans="2:30" s="323" customFormat="1" ht="12" customHeight="1">
      <c r="B184" s="324"/>
      <c r="C184" s="325"/>
      <c r="D184" s="326"/>
      <c r="E184" s="326"/>
      <c r="F184" s="326"/>
      <c r="G184" s="326"/>
      <c r="H184" s="326"/>
      <c r="P184" s="318"/>
      <c r="Q184" s="318"/>
      <c r="R184" s="318"/>
      <c r="S184" s="318"/>
      <c r="T184" s="318"/>
      <c r="U184" s="318"/>
      <c r="V184" s="318"/>
      <c r="W184" s="318"/>
      <c r="X184" s="318"/>
      <c r="Y184" s="318"/>
      <c r="Z184" s="318"/>
      <c r="AA184" s="318"/>
      <c r="AB184" s="318"/>
      <c r="AC184" s="318"/>
      <c r="AD184" s="318"/>
    </row>
    <row r="185" spans="2:30" s="323" customFormat="1" ht="12" customHeight="1">
      <c r="B185" s="324"/>
      <c r="C185" s="325"/>
      <c r="D185" s="326"/>
      <c r="E185" s="326"/>
      <c r="F185" s="326"/>
      <c r="G185" s="326"/>
      <c r="H185" s="326"/>
      <c r="P185" s="318"/>
      <c r="Q185" s="318"/>
      <c r="R185" s="318"/>
      <c r="S185" s="318"/>
      <c r="T185" s="318"/>
      <c r="U185" s="318"/>
      <c r="V185" s="318"/>
      <c r="W185" s="318"/>
      <c r="X185" s="318"/>
      <c r="Y185" s="318"/>
      <c r="Z185" s="318"/>
      <c r="AA185" s="318"/>
      <c r="AB185" s="318"/>
      <c r="AC185" s="318"/>
      <c r="AD185" s="318"/>
    </row>
    <row r="186" spans="2:30" s="323" customFormat="1" ht="12" customHeight="1">
      <c r="B186" s="324"/>
      <c r="C186" s="325"/>
      <c r="D186" s="326"/>
      <c r="E186" s="326"/>
      <c r="F186" s="326"/>
      <c r="G186" s="326"/>
      <c r="H186" s="326"/>
      <c r="P186" s="318"/>
      <c r="Q186" s="318"/>
      <c r="R186" s="318"/>
      <c r="S186" s="318"/>
      <c r="T186" s="318"/>
      <c r="U186" s="318"/>
      <c r="V186" s="318"/>
      <c r="W186" s="318"/>
      <c r="X186" s="318"/>
      <c r="Y186" s="318"/>
      <c r="Z186" s="318"/>
      <c r="AA186" s="318"/>
      <c r="AB186" s="318"/>
      <c r="AC186" s="318"/>
      <c r="AD186" s="318"/>
    </row>
    <row r="187" spans="2:30" s="323" customFormat="1" ht="12" customHeight="1">
      <c r="B187" s="324"/>
      <c r="C187" s="325"/>
      <c r="D187" s="326"/>
      <c r="E187" s="326"/>
      <c r="F187" s="326"/>
      <c r="G187" s="326"/>
      <c r="H187" s="326"/>
      <c r="P187" s="318"/>
      <c r="Q187" s="318"/>
      <c r="R187" s="318"/>
      <c r="S187" s="318"/>
      <c r="T187" s="318"/>
      <c r="U187" s="318"/>
      <c r="V187" s="318"/>
      <c r="W187" s="318"/>
      <c r="X187" s="318"/>
      <c r="Y187" s="318"/>
      <c r="Z187" s="318"/>
      <c r="AA187" s="318"/>
      <c r="AB187" s="318"/>
      <c r="AC187" s="318"/>
      <c r="AD187" s="318"/>
    </row>
    <row r="188" spans="2:30" s="323" customFormat="1" ht="12" customHeight="1">
      <c r="B188" s="324"/>
      <c r="C188" s="325"/>
      <c r="D188" s="326"/>
      <c r="E188" s="326"/>
      <c r="F188" s="326"/>
      <c r="G188" s="326"/>
      <c r="H188" s="326"/>
      <c r="P188" s="318"/>
      <c r="Q188" s="318"/>
      <c r="R188" s="318"/>
      <c r="S188" s="318"/>
      <c r="T188" s="318"/>
      <c r="U188" s="318"/>
      <c r="V188" s="318"/>
      <c r="W188" s="318"/>
      <c r="X188" s="318"/>
      <c r="Y188" s="318"/>
      <c r="Z188" s="318"/>
      <c r="AA188" s="318"/>
      <c r="AB188" s="318"/>
      <c r="AC188" s="318"/>
      <c r="AD188" s="318"/>
    </row>
    <row r="189" spans="2:30" s="323" customFormat="1" ht="12" customHeight="1">
      <c r="B189" s="324"/>
      <c r="C189" s="325"/>
      <c r="D189" s="326"/>
      <c r="E189" s="326"/>
      <c r="F189" s="326"/>
      <c r="G189" s="326"/>
      <c r="H189" s="326"/>
      <c r="P189" s="318"/>
      <c r="Q189" s="318"/>
      <c r="R189" s="318"/>
      <c r="S189" s="318"/>
      <c r="T189" s="318"/>
      <c r="U189" s="318"/>
      <c r="V189" s="318"/>
      <c r="W189" s="318"/>
      <c r="X189" s="318"/>
      <c r="Y189" s="318"/>
      <c r="Z189" s="318"/>
      <c r="AA189" s="318"/>
      <c r="AB189" s="318"/>
      <c r="AC189" s="318"/>
      <c r="AD189" s="318"/>
    </row>
    <row r="190" spans="2:30" s="323" customFormat="1" ht="12" customHeight="1">
      <c r="B190" s="324"/>
      <c r="C190" s="325"/>
      <c r="D190" s="326"/>
      <c r="E190" s="326"/>
      <c r="F190" s="326"/>
      <c r="G190" s="326"/>
      <c r="H190" s="326"/>
      <c r="P190" s="318"/>
      <c r="Q190" s="318"/>
      <c r="R190" s="318"/>
      <c r="S190" s="318"/>
      <c r="T190" s="318"/>
      <c r="U190" s="318"/>
      <c r="V190" s="318"/>
      <c r="W190" s="318"/>
      <c r="X190" s="318"/>
      <c r="Y190" s="318"/>
      <c r="Z190" s="318"/>
      <c r="AA190" s="318"/>
      <c r="AB190" s="318"/>
      <c r="AC190" s="318"/>
      <c r="AD190" s="318"/>
    </row>
    <row r="191" spans="2:30" s="323" customFormat="1" ht="12" customHeight="1">
      <c r="B191" s="324"/>
      <c r="C191" s="325"/>
      <c r="D191" s="326"/>
      <c r="E191" s="326"/>
      <c r="F191" s="326"/>
      <c r="G191" s="326"/>
      <c r="H191" s="326"/>
      <c r="P191" s="318"/>
      <c r="Q191" s="318"/>
      <c r="R191" s="318"/>
      <c r="S191" s="318"/>
      <c r="T191" s="318"/>
      <c r="U191" s="318"/>
      <c r="V191" s="318"/>
      <c r="W191" s="318"/>
      <c r="X191" s="318"/>
      <c r="Y191" s="318"/>
      <c r="Z191" s="318"/>
      <c r="AA191" s="318"/>
      <c r="AB191" s="318"/>
      <c r="AC191" s="318"/>
      <c r="AD191" s="318"/>
    </row>
    <row r="192" spans="2:30" s="323" customFormat="1" ht="12" customHeight="1">
      <c r="B192" s="324"/>
      <c r="C192" s="325"/>
      <c r="D192" s="326"/>
      <c r="E192" s="326"/>
      <c r="F192" s="326"/>
      <c r="G192" s="326"/>
      <c r="H192" s="326"/>
      <c r="P192" s="318"/>
      <c r="Q192" s="318"/>
      <c r="R192" s="318"/>
      <c r="S192" s="318"/>
      <c r="T192" s="318"/>
      <c r="U192" s="318"/>
      <c r="V192" s="318"/>
      <c r="W192" s="318"/>
      <c r="X192" s="318"/>
      <c r="Y192" s="318"/>
      <c r="Z192" s="318"/>
      <c r="AA192" s="318"/>
      <c r="AB192" s="318"/>
      <c r="AC192" s="318"/>
      <c r="AD192" s="318"/>
    </row>
    <row r="193" spans="2:30" s="323" customFormat="1" ht="12" customHeight="1">
      <c r="B193" s="324"/>
      <c r="C193" s="325"/>
      <c r="D193" s="326"/>
      <c r="E193" s="326"/>
      <c r="F193" s="326"/>
      <c r="G193" s="326"/>
      <c r="H193" s="326"/>
      <c r="P193" s="318"/>
      <c r="Q193" s="318"/>
      <c r="R193" s="318"/>
      <c r="S193" s="318"/>
      <c r="T193" s="318"/>
      <c r="U193" s="318"/>
      <c r="V193" s="318"/>
      <c r="W193" s="318"/>
      <c r="X193" s="318"/>
      <c r="Y193" s="318"/>
      <c r="Z193" s="318"/>
      <c r="AA193" s="318"/>
      <c r="AB193" s="318"/>
      <c r="AC193" s="318"/>
      <c r="AD193" s="318"/>
    </row>
    <row r="194" spans="2:30" s="323" customFormat="1" ht="12" customHeight="1">
      <c r="B194" s="324"/>
      <c r="C194" s="325"/>
      <c r="D194" s="326"/>
      <c r="E194" s="326"/>
      <c r="F194" s="326"/>
      <c r="G194" s="326"/>
      <c r="H194" s="326"/>
      <c r="P194" s="318"/>
      <c r="Q194" s="318"/>
      <c r="R194" s="318"/>
      <c r="S194" s="318"/>
      <c r="T194" s="318"/>
      <c r="U194" s="318"/>
      <c r="V194" s="318"/>
      <c r="W194" s="318"/>
      <c r="X194" s="318"/>
      <c r="Y194" s="318"/>
      <c r="Z194" s="318"/>
      <c r="AA194" s="318"/>
      <c r="AB194" s="318"/>
      <c r="AC194" s="318"/>
      <c r="AD194" s="318"/>
    </row>
    <row r="195" spans="2:30" s="323" customFormat="1" ht="12" customHeight="1">
      <c r="B195" s="324"/>
      <c r="C195" s="325"/>
      <c r="D195" s="326"/>
      <c r="E195" s="326"/>
      <c r="F195" s="326"/>
      <c r="G195" s="326"/>
      <c r="H195" s="326"/>
      <c r="P195" s="318"/>
      <c r="Q195" s="318"/>
      <c r="R195" s="318"/>
      <c r="S195" s="318"/>
      <c r="T195" s="318"/>
      <c r="U195" s="318"/>
      <c r="V195" s="318"/>
      <c r="W195" s="318"/>
      <c r="X195" s="318"/>
      <c r="Y195" s="318"/>
      <c r="Z195" s="318"/>
      <c r="AA195" s="318"/>
      <c r="AB195" s="318"/>
      <c r="AC195" s="318"/>
      <c r="AD195" s="318"/>
    </row>
    <row r="196" spans="2:30" s="323" customFormat="1" ht="12" customHeight="1">
      <c r="B196" s="324"/>
      <c r="C196" s="325"/>
      <c r="D196" s="326"/>
      <c r="E196" s="326"/>
      <c r="F196" s="326"/>
      <c r="G196" s="326"/>
      <c r="H196" s="326"/>
      <c r="P196" s="318"/>
      <c r="Q196" s="318"/>
      <c r="R196" s="318"/>
      <c r="S196" s="318"/>
      <c r="T196" s="318"/>
      <c r="U196" s="318"/>
      <c r="V196" s="318"/>
      <c r="W196" s="318"/>
      <c r="X196" s="318"/>
      <c r="Y196" s="318"/>
      <c r="Z196" s="318"/>
      <c r="AA196" s="318"/>
      <c r="AB196" s="318"/>
      <c r="AC196" s="318"/>
      <c r="AD196" s="318"/>
    </row>
    <row r="197" spans="2:30" s="323" customFormat="1" ht="12" customHeight="1">
      <c r="B197" s="324"/>
      <c r="C197" s="325"/>
      <c r="D197" s="326"/>
      <c r="E197" s="326"/>
      <c r="F197" s="326"/>
      <c r="G197" s="326"/>
      <c r="H197" s="326"/>
      <c r="P197" s="318"/>
      <c r="Q197" s="318"/>
      <c r="R197" s="318"/>
      <c r="S197" s="318"/>
      <c r="T197" s="318"/>
      <c r="U197" s="318"/>
      <c r="V197" s="318"/>
      <c r="W197" s="318"/>
      <c r="X197" s="318"/>
      <c r="Y197" s="318"/>
      <c r="Z197" s="318"/>
      <c r="AA197" s="318"/>
      <c r="AB197" s="318"/>
      <c r="AC197" s="318"/>
      <c r="AD197" s="318"/>
    </row>
    <row r="198" spans="2:30" s="323" customFormat="1" ht="12" customHeight="1">
      <c r="B198" s="324"/>
      <c r="C198" s="325"/>
      <c r="D198" s="326"/>
      <c r="E198" s="326"/>
      <c r="F198" s="326"/>
      <c r="G198" s="326"/>
      <c r="H198" s="326"/>
      <c r="P198" s="318"/>
      <c r="Q198" s="318"/>
      <c r="R198" s="318"/>
      <c r="S198" s="318"/>
      <c r="T198" s="318"/>
      <c r="U198" s="318"/>
      <c r="V198" s="318"/>
      <c r="W198" s="318"/>
      <c r="X198" s="318"/>
      <c r="Y198" s="318"/>
      <c r="Z198" s="318"/>
      <c r="AA198" s="318"/>
      <c r="AB198" s="318"/>
      <c r="AC198" s="318"/>
      <c r="AD198" s="318"/>
    </row>
    <row r="199" spans="2:30" s="323" customFormat="1" ht="12" customHeight="1">
      <c r="B199" s="324"/>
      <c r="C199" s="325"/>
      <c r="D199" s="326"/>
      <c r="E199" s="326"/>
      <c r="F199" s="326"/>
      <c r="G199" s="326"/>
      <c r="H199" s="326"/>
      <c r="P199" s="318"/>
      <c r="Q199" s="318"/>
      <c r="R199" s="318"/>
      <c r="S199" s="318"/>
      <c r="T199" s="318"/>
      <c r="U199" s="318"/>
      <c r="V199" s="318"/>
      <c r="W199" s="318"/>
      <c r="X199" s="318"/>
      <c r="Y199" s="318"/>
      <c r="Z199" s="318"/>
      <c r="AA199" s="318"/>
      <c r="AB199" s="318"/>
      <c r="AC199" s="318"/>
      <c r="AD199" s="318"/>
    </row>
    <row r="200" spans="2:30" s="323" customFormat="1" ht="12" customHeight="1">
      <c r="B200" s="324"/>
      <c r="C200" s="325"/>
      <c r="D200" s="326"/>
      <c r="E200" s="326"/>
      <c r="F200" s="326"/>
      <c r="G200" s="326"/>
      <c r="H200" s="326"/>
      <c r="P200" s="318"/>
      <c r="Q200" s="318"/>
      <c r="R200" s="318"/>
      <c r="S200" s="318"/>
      <c r="T200" s="318"/>
      <c r="U200" s="318"/>
      <c r="V200" s="318"/>
      <c r="W200" s="318"/>
      <c r="X200" s="318"/>
      <c r="Y200" s="318"/>
      <c r="Z200" s="318"/>
      <c r="AA200" s="318"/>
      <c r="AB200" s="318"/>
      <c r="AC200" s="318"/>
      <c r="AD200" s="318"/>
    </row>
    <row r="201" spans="2:30" s="323" customFormat="1" ht="12" customHeight="1">
      <c r="B201" s="324"/>
      <c r="C201" s="325"/>
      <c r="D201" s="326"/>
      <c r="E201" s="326"/>
      <c r="F201" s="326"/>
      <c r="G201" s="326"/>
      <c r="H201" s="326"/>
      <c r="P201" s="318"/>
      <c r="Q201" s="318"/>
      <c r="R201" s="318"/>
      <c r="S201" s="318"/>
      <c r="T201" s="318"/>
      <c r="U201" s="318"/>
      <c r="V201" s="318"/>
      <c r="W201" s="318"/>
      <c r="X201" s="318"/>
      <c r="Y201" s="318"/>
      <c r="Z201" s="318"/>
      <c r="AA201" s="318"/>
      <c r="AB201" s="318"/>
      <c r="AC201" s="318"/>
      <c r="AD201" s="318"/>
    </row>
    <row r="202" spans="2:30" s="323" customFormat="1" ht="12" customHeight="1">
      <c r="B202" s="324"/>
      <c r="C202" s="325"/>
      <c r="D202" s="326"/>
      <c r="E202" s="326"/>
      <c r="F202" s="326"/>
      <c r="G202" s="326"/>
      <c r="H202" s="326"/>
      <c r="P202" s="318"/>
      <c r="Q202" s="318"/>
      <c r="R202" s="318"/>
      <c r="S202" s="318"/>
      <c r="T202" s="318"/>
      <c r="U202" s="318"/>
      <c r="V202" s="318"/>
      <c r="W202" s="318"/>
      <c r="X202" s="318"/>
      <c r="Y202" s="318"/>
      <c r="Z202" s="318"/>
      <c r="AA202" s="318"/>
      <c r="AB202" s="318"/>
      <c r="AC202" s="318"/>
      <c r="AD202" s="318"/>
    </row>
    <row r="203" spans="2:30" s="323" customFormat="1" ht="12" customHeight="1">
      <c r="B203" s="324"/>
      <c r="C203" s="325"/>
      <c r="D203" s="326"/>
      <c r="E203" s="326"/>
      <c r="F203" s="326"/>
      <c r="G203" s="326"/>
      <c r="H203" s="326"/>
      <c r="P203" s="318"/>
      <c r="Q203" s="318"/>
      <c r="R203" s="318"/>
      <c r="S203" s="318"/>
      <c r="T203" s="318"/>
      <c r="U203" s="318"/>
      <c r="V203" s="318"/>
      <c r="W203" s="318"/>
      <c r="X203" s="318"/>
      <c r="Y203" s="318"/>
      <c r="Z203" s="318"/>
      <c r="AA203" s="318"/>
      <c r="AB203" s="318"/>
      <c r="AC203" s="318"/>
      <c r="AD203" s="318"/>
    </row>
    <row r="204" spans="2:30" s="323" customFormat="1" ht="12" customHeight="1">
      <c r="B204" s="324"/>
      <c r="C204" s="325"/>
      <c r="D204" s="326"/>
      <c r="E204" s="326"/>
      <c r="F204" s="326"/>
      <c r="G204" s="326"/>
      <c r="H204" s="326"/>
      <c r="P204" s="318"/>
      <c r="Q204" s="318"/>
      <c r="R204" s="318"/>
      <c r="S204" s="318"/>
      <c r="T204" s="318"/>
      <c r="U204" s="318"/>
      <c r="V204" s="318"/>
      <c r="W204" s="318"/>
      <c r="X204" s="318"/>
      <c r="Y204" s="318"/>
      <c r="Z204" s="318"/>
      <c r="AA204" s="318"/>
      <c r="AB204" s="318"/>
      <c r="AC204" s="318"/>
      <c r="AD204" s="318"/>
    </row>
    <row r="205" spans="2:30" s="323" customFormat="1" ht="12" customHeight="1">
      <c r="B205" s="324"/>
      <c r="C205" s="325"/>
      <c r="D205" s="326"/>
      <c r="E205" s="326"/>
      <c r="F205" s="326"/>
      <c r="G205" s="326"/>
      <c r="H205" s="326"/>
      <c r="P205" s="318"/>
      <c r="Q205" s="318"/>
      <c r="R205" s="318"/>
      <c r="S205" s="318"/>
      <c r="T205" s="318"/>
      <c r="U205" s="318"/>
      <c r="V205" s="318"/>
      <c r="W205" s="318"/>
      <c r="X205" s="318"/>
      <c r="Y205" s="318"/>
      <c r="Z205" s="318"/>
      <c r="AA205" s="318"/>
      <c r="AB205" s="318"/>
      <c r="AC205" s="318"/>
      <c r="AD205" s="318"/>
    </row>
    <row r="206" spans="2:30" s="323" customFormat="1" ht="12" customHeight="1">
      <c r="B206" s="324"/>
      <c r="C206" s="325"/>
      <c r="D206" s="326"/>
      <c r="E206" s="326"/>
      <c r="F206" s="326"/>
      <c r="G206" s="326"/>
      <c r="H206" s="326"/>
      <c r="P206" s="318"/>
      <c r="Q206" s="318"/>
      <c r="R206" s="318"/>
      <c r="S206" s="318"/>
      <c r="T206" s="318"/>
      <c r="U206" s="318"/>
      <c r="V206" s="318"/>
      <c r="W206" s="318"/>
      <c r="X206" s="318"/>
      <c r="Y206" s="318"/>
      <c r="Z206" s="318"/>
      <c r="AA206" s="318"/>
      <c r="AB206" s="318"/>
      <c r="AC206" s="318"/>
      <c r="AD206" s="318"/>
    </row>
    <row r="207" spans="2:30" s="323" customFormat="1" ht="12" customHeight="1">
      <c r="B207" s="324"/>
      <c r="C207" s="325"/>
      <c r="D207" s="326"/>
      <c r="E207" s="326"/>
      <c r="F207" s="326"/>
      <c r="G207" s="326"/>
      <c r="H207" s="326"/>
      <c r="P207" s="318"/>
      <c r="Q207" s="318"/>
      <c r="R207" s="318"/>
      <c r="S207" s="318"/>
      <c r="T207" s="318"/>
      <c r="U207" s="318"/>
      <c r="V207" s="318"/>
      <c r="W207" s="318"/>
      <c r="X207" s="318"/>
      <c r="Y207" s="318"/>
      <c r="Z207" s="318"/>
      <c r="AA207" s="318"/>
      <c r="AB207" s="318"/>
      <c r="AC207" s="318"/>
      <c r="AD207" s="318"/>
    </row>
    <row r="208" spans="2:30" s="323" customFormat="1" ht="12" customHeight="1">
      <c r="B208" s="324"/>
      <c r="C208" s="325"/>
      <c r="D208" s="326"/>
      <c r="E208" s="326"/>
      <c r="F208" s="326"/>
      <c r="G208" s="326"/>
      <c r="H208" s="326"/>
      <c r="P208" s="318"/>
      <c r="Q208" s="318"/>
      <c r="R208" s="318"/>
      <c r="S208" s="318"/>
      <c r="T208" s="318"/>
      <c r="U208" s="318"/>
      <c r="V208" s="318"/>
      <c r="W208" s="318"/>
      <c r="X208" s="318"/>
      <c r="Y208" s="318"/>
      <c r="Z208" s="318"/>
      <c r="AA208" s="318"/>
      <c r="AB208" s="318"/>
      <c r="AC208" s="318"/>
      <c r="AD208" s="318"/>
    </row>
    <row r="209" spans="2:30" s="323" customFormat="1" ht="12" customHeight="1">
      <c r="B209" s="324"/>
      <c r="C209" s="325"/>
      <c r="D209" s="326"/>
      <c r="E209" s="326"/>
      <c r="F209" s="326"/>
      <c r="G209" s="326"/>
      <c r="H209" s="326"/>
      <c r="P209" s="318"/>
      <c r="Q209" s="318"/>
      <c r="R209" s="318"/>
      <c r="S209" s="318"/>
      <c r="T209" s="318"/>
      <c r="U209" s="318"/>
      <c r="V209" s="318"/>
      <c r="W209" s="318"/>
      <c r="X209" s="318"/>
      <c r="Y209" s="318"/>
      <c r="Z209" s="318"/>
      <c r="AA209" s="318"/>
      <c r="AB209" s="318"/>
      <c r="AC209" s="318"/>
      <c r="AD209" s="318"/>
    </row>
    <row r="210" spans="2:30" s="323" customFormat="1" ht="12" customHeight="1">
      <c r="B210" s="324"/>
      <c r="C210" s="325"/>
      <c r="D210" s="326"/>
      <c r="E210" s="326"/>
      <c r="F210" s="326"/>
      <c r="G210" s="326"/>
      <c r="H210" s="326"/>
      <c r="P210" s="318"/>
      <c r="Q210" s="318"/>
      <c r="R210" s="318"/>
      <c r="S210" s="318"/>
      <c r="T210" s="318"/>
      <c r="U210" s="318"/>
      <c r="V210" s="318"/>
      <c r="W210" s="318"/>
      <c r="X210" s="318"/>
      <c r="Y210" s="318"/>
      <c r="Z210" s="318"/>
      <c r="AA210" s="318"/>
      <c r="AB210" s="318"/>
      <c r="AC210" s="318"/>
      <c r="AD210" s="318"/>
    </row>
    <row r="211" spans="2:30" s="323" customFormat="1" ht="12" customHeight="1">
      <c r="B211" s="324"/>
      <c r="C211" s="325"/>
      <c r="D211" s="326"/>
      <c r="E211" s="326"/>
      <c r="F211" s="326"/>
      <c r="G211" s="326"/>
      <c r="H211" s="326"/>
      <c r="P211" s="318"/>
      <c r="Q211" s="318"/>
      <c r="R211" s="318"/>
      <c r="S211" s="318"/>
      <c r="T211" s="318"/>
      <c r="U211" s="318"/>
      <c r="V211" s="318"/>
      <c r="W211" s="318"/>
      <c r="X211" s="318"/>
      <c r="Y211" s="318"/>
      <c r="Z211" s="318"/>
      <c r="AA211" s="318"/>
      <c r="AB211" s="318"/>
      <c r="AC211" s="318"/>
      <c r="AD211" s="318"/>
    </row>
    <row r="212" spans="2:30" s="323" customFormat="1" ht="12" customHeight="1">
      <c r="B212" s="324"/>
      <c r="C212" s="325"/>
      <c r="D212" s="326"/>
      <c r="E212" s="326"/>
      <c r="F212" s="326"/>
      <c r="G212" s="326"/>
      <c r="H212" s="326"/>
      <c r="P212" s="318"/>
      <c r="Q212" s="318"/>
      <c r="R212" s="318"/>
      <c r="S212" s="318"/>
      <c r="T212" s="318"/>
      <c r="U212" s="318"/>
      <c r="V212" s="318"/>
      <c r="W212" s="318"/>
      <c r="X212" s="318"/>
      <c r="Y212" s="318"/>
      <c r="Z212" s="318"/>
      <c r="AA212" s="318"/>
      <c r="AB212" s="318"/>
      <c r="AC212" s="318"/>
      <c r="AD212" s="318"/>
    </row>
    <row r="213" spans="2:30" s="323" customFormat="1" ht="12" customHeight="1">
      <c r="B213" s="324"/>
      <c r="C213" s="325"/>
      <c r="D213" s="326"/>
      <c r="E213" s="326"/>
      <c r="F213" s="326"/>
      <c r="G213" s="326"/>
      <c r="H213" s="326"/>
      <c r="P213" s="318"/>
      <c r="Q213" s="318"/>
      <c r="R213" s="318"/>
      <c r="S213" s="318"/>
      <c r="T213" s="318"/>
      <c r="U213" s="318"/>
      <c r="V213" s="318"/>
      <c r="W213" s="318"/>
      <c r="X213" s="318"/>
      <c r="Y213" s="318"/>
      <c r="Z213" s="318"/>
      <c r="AA213" s="318"/>
      <c r="AB213" s="318"/>
      <c r="AC213" s="318"/>
      <c r="AD213" s="318"/>
    </row>
    <row r="214" spans="2:30" s="323" customFormat="1" ht="12" customHeight="1">
      <c r="B214" s="324"/>
      <c r="C214" s="325"/>
      <c r="D214" s="326"/>
      <c r="E214" s="326"/>
      <c r="F214" s="326"/>
      <c r="G214" s="326"/>
      <c r="H214" s="326"/>
      <c r="P214" s="318"/>
      <c r="Q214" s="318"/>
      <c r="R214" s="318"/>
      <c r="S214" s="318"/>
      <c r="T214" s="318"/>
      <c r="U214" s="318"/>
      <c r="V214" s="318"/>
      <c r="W214" s="318"/>
      <c r="X214" s="318"/>
      <c r="Y214" s="318"/>
      <c r="Z214" s="318"/>
      <c r="AA214" s="318"/>
      <c r="AB214" s="318"/>
      <c r="AC214" s="318"/>
      <c r="AD214" s="318"/>
    </row>
    <row r="215" spans="2:30" s="323" customFormat="1" ht="12" customHeight="1">
      <c r="B215" s="324"/>
      <c r="C215" s="325"/>
      <c r="D215" s="326"/>
      <c r="E215" s="326"/>
      <c r="F215" s="326"/>
      <c r="G215" s="326"/>
      <c r="H215" s="326"/>
      <c r="P215" s="318"/>
      <c r="Q215" s="318"/>
      <c r="R215" s="318"/>
      <c r="S215" s="318"/>
      <c r="T215" s="318"/>
      <c r="U215" s="318"/>
      <c r="V215" s="318"/>
      <c r="W215" s="318"/>
      <c r="X215" s="318"/>
      <c r="Y215" s="318"/>
      <c r="Z215" s="318"/>
      <c r="AA215" s="318"/>
      <c r="AB215" s="318"/>
      <c r="AC215" s="318"/>
      <c r="AD215" s="318"/>
    </row>
    <row r="216" spans="2:30" s="323" customFormat="1" ht="12" customHeight="1">
      <c r="B216" s="324"/>
      <c r="C216" s="325"/>
      <c r="D216" s="326"/>
      <c r="E216" s="326"/>
      <c r="F216" s="326"/>
      <c r="G216" s="326"/>
      <c r="H216" s="326"/>
      <c r="P216" s="318"/>
      <c r="Q216" s="318"/>
      <c r="R216" s="318"/>
      <c r="S216" s="318"/>
      <c r="T216" s="318"/>
      <c r="U216" s="318"/>
      <c r="V216" s="318"/>
      <c r="W216" s="318"/>
      <c r="X216" s="318"/>
      <c r="Y216" s="318"/>
      <c r="Z216" s="318"/>
      <c r="AA216" s="318"/>
      <c r="AB216" s="318"/>
      <c r="AC216" s="318"/>
      <c r="AD216" s="318"/>
    </row>
    <row r="217" spans="2:30" s="323" customFormat="1" ht="12" customHeight="1">
      <c r="B217" s="324"/>
      <c r="C217" s="325"/>
      <c r="D217" s="326"/>
      <c r="E217" s="326"/>
      <c r="F217" s="326"/>
      <c r="G217" s="326"/>
      <c r="H217" s="326"/>
      <c r="P217" s="318"/>
      <c r="Q217" s="318"/>
      <c r="R217" s="318"/>
      <c r="S217" s="318"/>
      <c r="T217" s="318"/>
      <c r="U217" s="318"/>
      <c r="V217" s="318"/>
      <c r="W217" s="318"/>
      <c r="X217" s="318"/>
      <c r="Y217" s="318"/>
      <c r="Z217" s="318"/>
      <c r="AA217" s="318"/>
      <c r="AB217" s="318"/>
      <c r="AC217" s="318"/>
      <c r="AD217" s="318"/>
    </row>
    <row r="218" spans="2:30" s="323" customFormat="1" ht="12" customHeight="1">
      <c r="B218" s="324"/>
      <c r="C218" s="325"/>
      <c r="D218" s="326"/>
      <c r="E218" s="326"/>
      <c r="F218" s="326"/>
      <c r="G218" s="326"/>
      <c r="H218" s="326"/>
      <c r="P218" s="318"/>
      <c r="Q218" s="318"/>
      <c r="R218" s="318"/>
      <c r="S218" s="318"/>
      <c r="T218" s="318"/>
      <c r="U218" s="318"/>
      <c r="V218" s="318"/>
      <c r="W218" s="318"/>
      <c r="X218" s="318"/>
      <c r="Y218" s="318"/>
      <c r="Z218" s="318"/>
      <c r="AA218" s="318"/>
      <c r="AB218" s="318"/>
      <c r="AC218" s="318"/>
      <c r="AD218" s="318"/>
    </row>
    <row r="219" spans="2:30" s="323" customFormat="1" ht="12" customHeight="1">
      <c r="B219" s="324"/>
      <c r="C219" s="325"/>
      <c r="D219" s="326"/>
      <c r="E219" s="326"/>
      <c r="F219" s="326"/>
      <c r="G219" s="326"/>
      <c r="H219" s="326"/>
      <c r="P219" s="318"/>
      <c r="Q219" s="318"/>
      <c r="R219" s="318"/>
      <c r="S219" s="318"/>
      <c r="T219" s="318"/>
      <c r="U219" s="318"/>
      <c r="V219" s="318"/>
      <c r="W219" s="318"/>
      <c r="X219" s="318"/>
      <c r="Y219" s="318"/>
      <c r="Z219" s="318"/>
      <c r="AA219" s="318"/>
      <c r="AB219" s="318"/>
      <c r="AC219" s="318"/>
      <c r="AD219" s="318"/>
    </row>
    <row r="220" spans="2:30" s="323" customFormat="1" ht="12" customHeight="1">
      <c r="B220" s="324"/>
      <c r="C220" s="325"/>
      <c r="D220" s="326"/>
      <c r="E220" s="326"/>
      <c r="F220" s="326"/>
      <c r="G220" s="326"/>
      <c r="H220" s="326"/>
      <c r="P220" s="318"/>
      <c r="Q220" s="318"/>
      <c r="R220" s="318"/>
      <c r="S220" s="318"/>
      <c r="T220" s="318"/>
      <c r="U220" s="318"/>
      <c r="V220" s="318"/>
      <c r="W220" s="318"/>
      <c r="X220" s="318"/>
      <c r="Y220" s="318"/>
      <c r="Z220" s="318"/>
      <c r="AA220" s="318"/>
      <c r="AB220" s="318"/>
      <c r="AC220" s="318"/>
      <c r="AD220" s="318"/>
    </row>
    <row r="221" spans="2:30" s="323" customFormat="1" ht="12" customHeight="1">
      <c r="B221" s="324"/>
      <c r="C221" s="325"/>
      <c r="D221" s="326"/>
      <c r="E221" s="326"/>
      <c r="F221" s="326"/>
      <c r="G221" s="326"/>
      <c r="H221" s="326"/>
      <c r="P221" s="318"/>
      <c r="Q221" s="318"/>
      <c r="R221" s="318"/>
      <c r="S221" s="318"/>
      <c r="T221" s="318"/>
      <c r="U221" s="318"/>
      <c r="V221" s="318"/>
      <c r="W221" s="318"/>
      <c r="X221" s="318"/>
      <c r="Y221" s="318"/>
      <c r="Z221" s="318"/>
      <c r="AA221" s="318"/>
      <c r="AB221" s="318"/>
      <c r="AC221" s="318"/>
      <c r="AD221" s="318"/>
    </row>
    <row r="222" spans="2:30" s="323" customFormat="1" ht="12" customHeight="1">
      <c r="B222" s="324"/>
      <c r="C222" s="325"/>
      <c r="D222" s="326"/>
      <c r="E222" s="326"/>
      <c r="F222" s="326"/>
      <c r="G222" s="326"/>
      <c r="H222" s="326"/>
      <c r="P222" s="318"/>
      <c r="Q222" s="318"/>
      <c r="R222" s="318"/>
      <c r="S222" s="318"/>
      <c r="T222" s="318"/>
      <c r="U222" s="318"/>
      <c r="V222" s="318"/>
      <c r="W222" s="318"/>
      <c r="X222" s="318"/>
      <c r="Y222" s="318"/>
      <c r="Z222" s="318"/>
      <c r="AA222" s="318"/>
      <c r="AB222" s="318"/>
      <c r="AC222" s="318"/>
      <c r="AD222" s="318"/>
    </row>
    <row r="223" spans="2:30" s="323" customFormat="1" ht="12" customHeight="1">
      <c r="B223" s="324"/>
      <c r="C223" s="325"/>
      <c r="D223" s="326"/>
      <c r="E223" s="326"/>
      <c r="F223" s="326"/>
      <c r="G223" s="326"/>
      <c r="H223" s="326"/>
      <c r="P223" s="318"/>
      <c r="Q223" s="318"/>
      <c r="R223" s="318"/>
      <c r="S223" s="318"/>
      <c r="T223" s="318"/>
      <c r="U223" s="318"/>
      <c r="V223" s="318"/>
      <c r="W223" s="318"/>
      <c r="X223" s="318"/>
      <c r="Y223" s="318"/>
      <c r="Z223" s="318"/>
      <c r="AA223" s="318"/>
      <c r="AB223" s="318"/>
      <c r="AC223" s="318"/>
      <c r="AD223" s="318"/>
    </row>
    <row r="224" spans="2:30" s="323" customFormat="1" ht="12" customHeight="1">
      <c r="B224" s="324"/>
      <c r="C224" s="325"/>
      <c r="D224" s="326"/>
      <c r="E224" s="326"/>
      <c r="F224" s="326"/>
      <c r="G224" s="326"/>
      <c r="H224" s="326"/>
      <c r="P224" s="318"/>
      <c r="Q224" s="318"/>
      <c r="R224" s="318"/>
      <c r="S224" s="318"/>
      <c r="T224" s="318"/>
      <c r="U224" s="318"/>
      <c r="V224" s="318"/>
      <c r="W224" s="318"/>
      <c r="X224" s="318"/>
      <c r="Y224" s="318"/>
      <c r="Z224" s="318"/>
      <c r="AA224" s="318"/>
      <c r="AB224" s="318"/>
      <c r="AC224" s="318"/>
      <c r="AD224" s="318"/>
    </row>
    <row r="225" spans="2:30" s="323" customFormat="1" ht="12" customHeight="1">
      <c r="B225" s="324"/>
      <c r="C225" s="325"/>
      <c r="D225" s="326"/>
      <c r="E225" s="326"/>
      <c r="F225" s="326"/>
      <c r="G225" s="326"/>
      <c r="H225" s="326"/>
      <c r="P225" s="318"/>
      <c r="Q225" s="318"/>
      <c r="R225" s="318"/>
      <c r="S225" s="318"/>
      <c r="T225" s="318"/>
      <c r="U225" s="318"/>
      <c r="V225" s="318"/>
      <c r="W225" s="318"/>
      <c r="X225" s="318"/>
      <c r="Y225" s="318"/>
      <c r="Z225" s="318"/>
      <c r="AA225" s="318"/>
      <c r="AB225" s="318"/>
      <c r="AC225" s="318"/>
      <c r="AD225" s="318"/>
    </row>
    <row r="226" spans="2:30" s="323" customFormat="1" ht="12" customHeight="1">
      <c r="B226" s="324"/>
      <c r="C226" s="325"/>
      <c r="D226" s="326"/>
      <c r="E226" s="326"/>
      <c r="F226" s="326"/>
      <c r="G226" s="326"/>
      <c r="H226" s="326"/>
      <c r="P226" s="318"/>
      <c r="Q226" s="318"/>
      <c r="R226" s="318"/>
      <c r="S226" s="318"/>
      <c r="T226" s="318"/>
      <c r="U226" s="318"/>
      <c r="V226" s="318"/>
      <c r="W226" s="318"/>
      <c r="X226" s="318"/>
      <c r="Y226" s="318"/>
      <c r="Z226" s="318"/>
      <c r="AA226" s="318"/>
      <c r="AB226" s="318"/>
      <c r="AC226" s="318"/>
      <c r="AD226" s="318"/>
    </row>
    <row r="227" spans="2:30" s="323" customFormat="1" ht="12" customHeight="1">
      <c r="B227" s="324"/>
      <c r="C227" s="325"/>
      <c r="D227" s="326"/>
      <c r="E227" s="326"/>
      <c r="F227" s="326"/>
      <c r="G227" s="326"/>
      <c r="H227" s="326"/>
      <c r="P227" s="318"/>
      <c r="Q227" s="318"/>
      <c r="R227" s="318"/>
      <c r="S227" s="318"/>
      <c r="T227" s="318"/>
      <c r="U227" s="318"/>
      <c r="V227" s="318"/>
      <c r="W227" s="318"/>
      <c r="X227" s="318"/>
      <c r="Y227" s="318"/>
      <c r="Z227" s="318"/>
      <c r="AA227" s="318"/>
      <c r="AB227" s="318"/>
      <c r="AC227" s="318"/>
      <c r="AD227" s="318"/>
    </row>
    <row r="228" spans="2:30" s="323" customFormat="1" ht="12" customHeight="1">
      <c r="B228" s="324"/>
      <c r="C228" s="325"/>
      <c r="D228" s="326"/>
      <c r="E228" s="326"/>
      <c r="F228" s="326"/>
      <c r="G228" s="326"/>
      <c r="H228" s="326"/>
      <c r="P228" s="318"/>
      <c r="Q228" s="318"/>
      <c r="R228" s="318"/>
      <c r="S228" s="318"/>
      <c r="T228" s="318"/>
      <c r="U228" s="318"/>
      <c r="V228" s="318"/>
      <c r="W228" s="318"/>
      <c r="X228" s="318"/>
      <c r="Y228" s="318"/>
      <c r="Z228" s="318"/>
      <c r="AA228" s="318"/>
      <c r="AB228" s="318"/>
      <c r="AC228" s="318"/>
      <c r="AD228" s="318"/>
    </row>
    <row r="229" spans="2:30" s="323" customFormat="1" ht="12" customHeight="1">
      <c r="B229" s="324"/>
      <c r="C229" s="325"/>
      <c r="D229" s="326"/>
      <c r="E229" s="326"/>
      <c r="F229" s="326"/>
      <c r="G229" s="326"/>
      <c r="H229" s="326"/>
      <c r="P229" s="318"/>
      <c r="Q229" s="318"/>
      <c r="R229" s="318"/>
      <c r="S229" s="318"/>
      <c r="T229" s="318"/>
      <c r="U229" s="318"/>
      <c r="V229" s="318"/>
      <c r="W229" s="318"/>
      <c r="X229" s="318"/>
      <c r="Y229" s="318"/>
      <c r="Z229" s="318"/>
      <c r="AA229" s="318"/>
      <c r="AB229" s="318"/>
      <c r="AC229" s="318"/>
      <c r="AD229" s="318"/>
    </row>
    <row r="230" spans="2:30" s="323" customFormat="1" ht="12" customHeight="1">
      <c r="B230" s="324"/>
      <c r="C230" s="325"/>
      <c r="D230" s="326"/>
      <c r="E230" s="326"/>
      <c r="F230" s="326"/>
      <c r="G230" s="326"/>
      <c r="H230" s="326"/>
      <c r="P230" s="318"/>
      <c r="Q230" s="318"/>
      <c r="R230" s="318"/>
      <c r="S230" s="318"/>
      <c r="T230" s="318"/>
      <c r="U230" s="318"/>
      <c r="V230" s="318"/>
      <c r="W230" s="318"/>
      <c r="X230" s="318"/>
      <c r="Y230" s="318"/>
      <c r="Z230" s="318"/>
      <c r="AA230" s="318"/>
      <c r="AB230" s="318"/>
      <c r="AC230" s="318"/>
      <c r="AD230" s="318"/>
    </row>
    <row r="231" spans="2:30" s="323" customFormat="1" ht="12" customHeight="1">
      <c r="B231" s="324"/>
      <c r="C231" s="325"/>
      <c r="D231" s="326"/>
      <c r="E231" s="326"/>
      <c r="F231" s="326"/>
      <c r="G231" s="326"/>
      <c r="H231" s="326"/>
      <c r="P231" s="318"/>
      <c r="Q231" s="318"/>
      <c r="R231" s="318"/>
      <c r="S231" s="318"/>
      <c r="T231" s="318"/>
      <c r="U231" s="318"/>
      <c r="V231" s="318"/>
      <c r="W231" s="318"/>
      <c r="X231" s="318"/>
      <c r="Y231" s="318"/>
      <c r="Z231" s="318"/>
      <c r="AA231" s="318"/>
      <c r="AB231" s="318"/>
      <c r="AC231" s="318"/>
      <c r="AD231" s="318"/>
    </row>
    <row r="232" spans="2:30" s="323" customFormat="1" ht="12" customHeight="1">
      <c r="B232" s="324"/>
      <c r="C232" s="325"/>
      <c r="D232" s="326"/>
      <c r="E232" s="326"/>
      <c r="F232" s="326"/>
      <c r="G232" s="326"/>
      <c r="H232" s="326"/>
      <c r="P232" s="318"/>
      <c r="Q232" s="318"/>
      <c r="R232" s="318"/>
      <c r="S232" s="318"/>
      <c r="T232" s="318"/>
      <c r="U232" s="318"/>
      <c r="V232" s="318"/>
      <c r="W232" s="318"/>
      <c r="X232" s="318"/>
      <c r="Y232" s="318"/>
      <c r="Z232" s="318"/>
      <c r="AA232" s="318"/>
      <c r="AB232" s="318"/>
      <c r="AC232" s="318"/>
      <c r="AD232" s="318"/>
    </row>
    <row r="233" spans="2:30" s="323" customFormat="1" ht="12" customHeight="1">
      <c r="B233" s="324"/>
      <c r="C233" s="325"/>
      <c r="D233" s="326"/>
      <c r="E233" s="326"/>
      <c r="F233" s="326"/>
      <c r="G233" s="326"/>
      <c r="H233" s="326"/>
      <c r="P233" s="318"/>
      <c r="Q233" s="318"/>
      <c r="R233" s="318"/>
      <c r="S233" s="318"/>
      <c r="T233" s="318"/>
      <c r="U233" s="318"/>
      <c r="V233" s="318"/>
      <c r="W233" s="318"/>
      <c r="X233" s="318"/>
      <c r="Y233" s="318"/>
      <c r="Z233" s="318"/>
      <c r="AA233" s="318"/>
      <c r="AB233" s="318"/>
      <c r="AC233" s="318"/>
      <c r="AD233" s="318"/>
    </row>
    <row r="234" spans="2:30" s="323" customFormat="1" ht="12" customHeight="1">
      <c r="B234" s="324"/>
      <c r="C234" s="325"/>
      <c r="D234" s="326"/>
      <c r="E234" s="326"/>
      <c r="F234" s="326"/>
      <c r="G234" s="326"/>
      <c r="H234" s="326"/>
      <c r="P234" s="318"/>
      <c r="Q234" s="318"/>
      <c r="R234" s="318"/>
      <c r="S234" s="318"/>
      <c r="T234" s="318"/>
      <c r="U234" s="318"/>
      <c r="V234" s="318"/>
      <c r="W234" s="318"/>
      <c r="X234" s="318"/>
      <c r="Y234" s="318"/>
      <c r="Z234" s="318"/>
      <c r="AA234" s="318"/>
      <c r="AB234" s="318"/>
      <c r="AC234" s="318"/>
      <c r="AD234" s="318"/>
    </row>
    <row r="235" spans="2:30" s="323" customFormat="1" ht="12" customHeight="1">
      <c r="B235" s="324"/>
      <c r="C235" s="325"/>
      <c r="D235" s="326"/>
      <c r="E235" s="326"/>
      <c r="F235" s="326"/>
      <c r="G235" s="326"/>
      <c r="H235" s="326"/>
      <c r="P235" s="318"/>
      <c r="Q235" s="318"/>
      <c r="R235" s="318"/>
      <c r="S235" s="318"/>
      <c r="T235" s="318"/>
      <c r="U235" s="318"/>
      <c r="V235" s="318"/>
      <c r="W235" s="318"/>
      <c r="X235" s="318"/>
      <c r="Y235" s="318"/>
      <c r="Z235" s="318"/>
      <c r="AA235" s="318"/>
      <c r="AB235" s="318"/>
      <c r="AC235" s="318"/>
      <c r="AD235" s="318"/>
    </row>
    <row r="236" spans="2:30" s="323" customFormat="1" ht="12" customHeight="1">
      <c r="B236" s="324"/>
      <c r="C236" s="325"/>
      <c r="D236" s="326"/>
      <c r="E236" s="326"/>
      <c r="F236" s="326"/>
      <c r="G236" s="326"/>
      <c r="H236" s="326"/>
      <c r="P236" s="318"/>
      <c r="Q236" s="318"/>
      <c r="R236" s="318"/>
      <c r="S236" s="318"/>
      <c r="T236" s="318"/>
      <c r="U236" s="318"/>
      <c r="V236" s="318"/>
      <c r="W236" s="318"/>
      <c r="X236" s="318"/>
      <c r="Y236" s="318"/>
      <c r="Z236" s="318"/>
      <c r="AA236" s="318"/>
      <c r="AB236" s="318"/>
      <c r="AC236" s="318"/>
      <c r="AD236" s="318"/>
    </row>
    <row r="237" spans="2:30" s="323" customFormat="1" ht="12" customHeight="1">
      <c r="B237" s="324"/>
      <c r="C237" s="325"/>
      <c r="D237" s="326"/>
      <c r="E237" s="326"/>
      <c r="F237" s="326"/>
      <c r="G237" s="326"/>
      <c r="H237" s="326"/>
      <c r="P237" s="318"/>
      <c r="Q237" s="318"/>
      <c r="R237" s="318"/>
      <c r="S237" s="318"/>
      <c r="T237" s="318"/>
      <c r="U237" s="318"/>
      <c r="V237" s="318"/>
      <c r="W237" s="318"/>
      <c r="X237" s="318"/>
      <c r="Y237" s="318"/>
      <c r="Z237" s="318"/>
      <c r="AA237" s="318"/>
      <c r="AB237" s="318"/>
      <c r="AC237" s="318"/>
      <c r="AD237" s="318"/>
    </row>
    <row r="238" spans="2:30" s="323" customFormat="1" ht="12" customHeight="1">
      <c r="B238" s="324"/>
      <c r="C238" s="325"/>
      <c r="D238" s="326"/>
      <c r="E238" s="326"/>
      <c r="F238" s="326"/>
      <c r="G238" s="326"/>
      <c r="H238" s="326"/>
      <c r="P238" s="318"/>
      <c r="Q238" s="318"/>
      <c r="R238" s="318"/>
      <c r="S238" s="318"/>
      <c r="T238" s="318"/>
      <c r="U238" s="318"/>
      <c r="V238" s="318"/>
      <c r="W238" s="318"/>
      <c r="X238" s="318"/>
      <c r="Y238" s="318"/>
      <c r="Z238" s="318"/>
      <c r="AA238" s="318"/>
      <c r="AB238" s="318"/>
      <c r="AC238" s="318"/>
      <c r="AD238" s="318"/>
    </row>
    <row r="239" spans="2:30" s="323" customFormat="1" ht="12" customHeight="1">
      <c r="B239" s="324"/>
      <c r="C239" s="325"/>
      <c r="D239" s="326"/>
      <c r="E239" s="326"/>
      <c r="F239" s="326"/>
      <c r="G239" s="326"/>
      <c r="H239" s="326"/>
      <c r="P239" s="318"/>
      <c r="Q239" s="318"/>
      <c r="R239" s="318"/>
      <c r="S239" s="318"/>
      <c r="T239" s="318"/>
      <c r="U239" s="318"/>
      <c r="V239" s="318"/>
      <c r="W239" s="318"/>
      <c r="X239" s="318"/>
      <c r="Y239" s="318"/>
      <c r="Z239" s="318"/>
      <c r="AA239" s="318"/>
      <c r="AB239" s="318"/>
      <c r="AC239" s="318"/>
      <c r="AD239" s="318"/>
    </row>
    <row r="240" spans="2:30" s="323" customFormat="1" ht="12" customHeight="1">
      <c r="B240" s="324"/>
      <c r="C240" s="325"/>
      <c r="D240" s="326"/>
      <c r="E240" s="326"/>
      <c r="F240" s="326"/>
      <c r="G240" s="326"/>
      <c r="H240" s="326"/>
      <c r="P240" s="318"/>
      <c r="Q240" s="318"/>
      <c r="R240" s="318"/>
      <c r="S240" s="318"/>
      <c r="T240" s="318"/>
      <c r="U240" s="318"/>
      <c r="V240" s="318"/>
      <c r="W240" s="318"/>
      <c r="X240" s="318"/>
      <c r="Y240" s="318"/>
      <c r="Z240" s="318"/>
      <c r="AA240" s="318"/>
      <c r="AB240" s="318"/>
      <c r="AC240" s="318"/>
      <c r="AD240" s="318"/>
    </row>
    <row r="241" spans="2:30" s="323" customFormat="1" ht="12" customHeight="1">
      <c r="B241" s="324"/>
      <c r="C241" s="325"/>
      <c r="D241" s="326"/>
      <c r="E241" s="326"/>
      <c r="F241" s="326"/>
      <c r="G241" s="326"/>
      <c r="H241" s="326"/>
      <c r="P241" s="318"/>
      <c r="Q241" s="318"/>
      <c r="R241" s="318"/>
      <c r="S241" s="318"/>
      <c r="T241" s="318"/>
      <c r="U241" s="318"/>
      <c r="V241" s="318"/>
      <c r="W241" s="318"/>
      <c r="X241" s="318"/>
      <c r="Y241" s="318"/>
      <c r="Z241" s="318"/>
      <c r="AA241" s="318"/>
      <c r="AB241" s="318"/>
      <c r="AC241" s="318"/>
      <c r="AD241" s="318"/>
    </row>
    <row r="242" spans="2:30" s="323" customFormat="1" ht="12" customHeight="1">
      <c r="B242" s="324"/>
      <c r="C242" s="325"/>
      <c r="D242" s="326"/>
      <c r="E242" s="326"/>
      <c r="F242" s="326"/>
      <c r="G242" s="326"/>
      <c r="H242" s="326"/>
      <c r="P242" s="318"/>
      <c r="Q242" s="318"/>
      <c r="R242" s="318"/>
      <c r="S242" s="318"/>
      <c r="T242" s="318"/>
      <c r="U242" s="318"/>
      <c r="V242" s="318"/>
      <c r="W242" s="318"/>
      <c r="X242" s="318"/>
      <c r="Y242" s="318"/>
      <c r="Z242" s="318"/>
      <c r="AA242" s="318"/>
      <c r="AB242" s="318"/>
      <c r="AC242" s="318"/>
      <c r="AD242" s="318"/>
    </row>
    <row r="243" spans="2:30" s="323" customFormat="1" ht="12" customHeight="1">
      <c r="B243" s="324"/>
      <c r="C243" s="325"/>
      <c r="D243" s="326"/>
      <c r="E243" s="326"/>
      <c r="F243" s="326"/>
      <c r="G243" s="326"/>
      <c r="H243" s="326"/>
      <c r="P243" s="318"/>
      <c r="Q243" s="318"/>
      <c r="R243" s="318"/>
      <c r="S243" s="318"/>
      <c r="T243" s="318"/>
      <c r="U243" s="318"/>
      <c r="V243" s="318"/>
      <c r="W243" s="318"/>
      <c r="X243" s="318"/>
      <c r="Y243" s="318"/>
      <c r="Z243" s="318"/>
      <c r="AA243" s="318"/>
      <c r="AB243" s="318"/>
      <c r="AC243" s="318"/>
      <c r="AD243" s="318"/>
    </row>
    <row r="244" spans="2:30" s="323" customFormat="1" ht="12" customHeight="1">
      <c r="B244" s="324"/>
      <c r="C244" s="325"/>
      <c r="D244" s="326"/>
      <c r="E244" s="326"/>
      <c r="F244" s="326"/>
      <c r="G244" s="326"/>
      <c r="H244" s="326"/>
      <c r="P244" s="318"/>
      <c r="Q244" s="318"/>
      <c r="R244" s="318"/>
      <c r="S244" s="318"/>
      <c r="T244" s="318"/>
      <c r="U244" s="318"/>
      <c r="V244" s="318"/>
      <c r="W244" s="318"/>
      <c r="X244" s="318"/>
      <c r="Y244" s="318"/>
      <c r="Z244" s="318"/>
      <c r="AA244" s="318"/>
      <c r="AB244" s="318"/>
      <c r="AC244" s="318"/>
      <c r="AD244" s="318"/>
    </row>
    <row r="245" spans="2:30" s="323" customFormat="1" ht="12" customHeight="1">
      <c r="B245" s="324"/>
      <c r="C245" s="325"/>
      <c r="D245" s="326"/>
      <c r="E245" s="326"/>
      <c r="F245" s="326"/>
      <c r="G245" s="326"/>
      <c r="H245" s="326"/>
      <c r="P245" s="318"/>
      <c r="Q245" s="318"/>
      <c r="R245" s="318"/>
      <c r="S245" s="318"/>
      <c r="T245" s="318"/>
      <c r="U245" s="318"/>
      <c r="V245" s="318"/>
      <c r="W245" s="318"/>
      <c r="X245" s="318"/>
      <c r="Y245" s="318"/>
      <c r="Z245" s="318"/>
      <c r="AA245" s="318"/>
      <c r="AB245" s="318"/>
      <c r="AC245" s="318"/>
      <c r="AD245" s="318"/>
    </row>
    <row r="246" spans="2:30" s="323" customFormat="1" ht="12" customHeight="1">
      <c r="B246" s="324"/>
      <c r="C246" s="325"/>
      <c r="D246" s="326"/>
      <c r="E246" s="326"/>
      <c r="F246" s="326"/>
      <c r="G246" s="326"/>
      <c r="H246" s="326"/>
      <c r="P246" s="318"/>
      <c r="Q246" s="318"/>
      <c r="R246" s="318"/>
      <c r="S246" s="318"/>
      <c r="T246" s="318"/>
      <c r="U246" s="318"/>
      <c r="V246" s="318"/>
      <c r="W246" s="318"/>
      <c r="X246" s="318"/>
      <c r="Y246" s="318"/>
      <c r="Z246" s="318"/>
      <c r="AA246" s="318"/>
      <c r="AB246" s="318"/>
      <c r="AC246" s="318"/>
      <c r="AD246" s="318"/>
    </row>
    <row r="247" spans="2:30" s="323" customFormat="1" ht="12" customHeight="1">
      <c r="B247" s="324"/>
      <c r="C247" s="325"/>
      <c r="D247" s="326"/>
      <c r="E247" s="326"/>
      <c r="F247" s="326"/>
      <c r="G247" s="326"/>
      <c r="H247" s="326"/>
      <c r="P247" s="318"/>
      <c r="Q247" s="318"/>
      <c r="R247" s="318"/>
      <c r="S247" s="318"/>
      <c r="T247" s="318"/>
      <c r="U247" s="318"/>
      <c r="V247" s="318"/>
      <c r="W247" s="318"/>
      <c r="X247" s="318"/>
      <c r="Y247" s="318"/>
      <c r="Z247" s="318"/>
      <c r="AA247" s="318"/>
      <c r="AB247" s="318"/>
      <c r="AC247" s="318"/>
      <c r="AD247" s="318"/>
    </row>
    <row r="248" spans="2:30" s="323" customFormat="1" ht="12" customHeight="1">
      <c r="B248" s="324"/>
      <c r="C248" s="325"/>
      <c r="D248" s="326"/>
      <c r="E248" s="326"/>
      <c r="F248" s="326"/>
      <c r="G248" s="326"/>
      <c r="H248" s="326"/>
      <c r="P248" s="318"/>
      <c r="Q248" s="318"/>
      <c r="R248" s="318"/>
      <c r="S248" s="318"/>
      <c r="T248" s="318"/>
      <c r="U248" s="318"/>
      <c r="V248" s="318"/>
      <c r="W248" s="318"/>
      <c r="X248" s="318"/>
      <c r="Y248" s="318"/>
      <c r="Z248" s="318"/>
      <c r="AA248" s="318"/>
      <c r="AB248" s="318"/>
      <c r="AC248" s="318"/>
      <c r="AD248" s="318"/>
    </row>
    <row r="249" spans="2:30" s="323" customFormat="1" ht="12" customHeight="1">
      <c r="B249" s="324"/>
      <c r="C249" s="325"/>
      <c r="D249" s="326"/>
      <c r="E249" s="326"/>
      <c r="F249" s="326"/>
      <c r="G249" s="326"/>
      <c r="H249" s="326"/>
      <c r="P249" s="318"/>
      <c r="Q249" s="318"/>
      <c r="R249" s="318"/>
      <c r="S249" s="318"/>
      <c r="T249" s="318"/>
      <c r="U249" s="318"/>
      <c r="V249" s="318"/>
      <c r="W249" s="318"/>
      <c r="X249" s="318"/>
      <c r="Y249" s="318"/>
      <c r="Z249" s="318"/>
      <c r="AA249" s="318"/>
      <c r="AB249" s="318"/>
      <c r="AC249" s="318"/>
      <c r="AD249" s="318"/>
    </row>
    <row r="250" spans="2:30" s="323" customFormat="1" ht="12" customHeight="1">
      <c r="B250" s="324"/>
      <c r="C250" s="325"/>
      <c r="D250" s="326"/>
      <c r="E250" s="326"/>
      <c r="F250" s="326"/>
      <c r="G250" s="326"/>
      <c r="H250" s="326"/>
      <c r="P250" s="318"/>
      <c r="Q250" s="318"/>
      <c r="R250" s="318"/>
      <c r="S250" s="318"/>
      <c r="T250" s="318"/>
      <c r="U250" s="318"/>
      <c r="V250" s="318"/>
      <c r="W250" s="318"/>
      <c r="X250" s="318"/>
      <c r="Y250" s="318"/>
      <c r="Z250" s="318"/>
      <c r="AA250" s="318"/>
      <c r="AB250" s="318"/>
      <c r="AC250" s="318"/>
      <c r="AD250" s="318"/>
    </row>
    <row r="251" spans="2:30" s="323" customFormat="1" ht="12" customHeight="1">
      <c r="B251" s="324"/>
      <c r="C251" s="325"/>
      <c r="D251" s="326"/>
      <c r="E251" s="326"/>
      <c r="F251" s="326"/>
      <c r="G251" s="326"/>
      <c r="H251" s="326"/>
      <c r="P251" s="318"/>
      <c r="Q251" s="318"/>
      <c r="R251" s="318"/>
      <c r="S251" s="318"/>
      <c r="T251" s="318"/>
      <c r="U251" s="318"/>
      <c r="V251" s="318"/>
      <c r="W251" s="318"/>
      <c r="X251" s="318"/>
      <c r="Y251" s="318"/>
      <c r="Z251" s="318"/>
      <c r="AA251" s="318"/>
      <c r="AB251" s="318"/>
      <c r="AC251" s="318"/>
      <c r="AD251" s="318"/>
    </row>
    <row r="252" spans="2:30" s="323" customFormat="1" ht="12" customHeight="1">
      <c r="B252" s="324"/>
      <c r="C252" s="325"/>
      <c r="D252" s="326"/>
      <c r="E252" s="326"/>
      <c r="F252" s="326"/>
      <c r="G252" s="326"/>
      <c r="H252" s="326"/>
      <c r="P252" s="318"/>
      <c r="Q252" s="318"/>
      <c r="R252" s="318"/>
      <c r="S252" s="318"/>
      <c r="T252" s="318"/>
      <c r="U252" s="318"/>
      <c r="V252" s="318"/>
      <c r="W252" s="318"/>
      <c r="X252" s="318"/>
      <c r="Y252" s="318"/>
      <c r="Z252" s="318"/>
      <c r="AA252" s="318"/>
      <c r="AB252" s="318"/>
      <c r="AC252" s="318"/>
      <c r="AD252" s="318"/>
    </row>
    <row r="253" spans="2:30" s="323" customFormat="1" ht="12" customHeight="1">
      <c r="B253" s="324"/>
      <c r="C253" s="325"/>
      <c r="D253" s="326"/>
      <c r="E253" s="326"/>
      <c r="F253" s="326"/>
      <c r="G253" s="326"/>
      <c r="H253" s="326"/>
      <c r="P253" s="318"/>
      <c r="Q253" s="318"/>
      <c r="R253" s="318"/>
      <c r="S253" s="318"/>
      <c r="T253" s="318"/>
      <c r="U253" s="318"/>
      <c r="V253" s="318"/>
      <c r="W253" s="318"/>
      <c r="X253" s="318"/>
      <c r="Y253" s="318"/>
      <c r="Z253" s="318"/>
      <c r="AA253" s="318"/>
      <c r="AB253" s="318"/>
      <c r="AC253" s="318"/>
      <c r="AD253" s="318"/>
    </row>
    <row r="254" spans="2:30" s="323" customFormat="1" ht="12" customHeight="1">
      <c r="B254" s="324"/>
      <c r="C254" s="325"/>
      <c r="D254" s="326"/>
      <c r="E254" s="326"/>
      <c r="F254" s="326"/>
      <c r="G254" s="326"/>
      <c r="H254" s="326"/>
      <c r="P254" s="318"/>
      <c r="Q254" s="318"/>
      <c r="R254" s="318"/>
      <c r="S254" s="318"/>
      <c r="T254" s="318"/>
      <c r="U254" s="318"/>
      <c r="V254" s="318"/>
      <c r="W254" s="318"/>
      <c r="X254" s="318"/>
      <c r="Y254" s="318"/>
      <c r="Z254" s="318"/>
      <c r="AA254" s="318"/>
      <c r="AB254" s="318"/>
      <c r="AC254" s="318"/>
      <c r="AD254" s="318"/>
    </row>
    <row r="255" spans="2:30" s="323" customFormat="1" ht="12" customHeight="1">
      <c r="B255" s="324"/>
      <c r="C255" s="325"/>
      <c r="D255" s="326"/>
      <c r="E255" s="326"/>
      <c r="F255" s="326"/>
      <c r="G255" s="326"/>
      <c r="H255" s="326"/>
      <c r="P255" s="318"/>
      <c r="Q255" s="318"/>
      <c r="R255" s="318"/>
      <c r="S255" s="318"/>
      <c r="T255" s="318"/>
      <c r="U255" s="318"/>
      <c r="V255" s="318"/>
      <c r="W255" s="318"/>
      <c r="X255" s="318"/>
      <c r="Y255" s="318"/>
      <c r="Z255" s="318"/>
      <c r="AA255" s="318"/>
      <c r="AB255" s="318"/>
      <c r="AC255" s="318"/>
      <c r="AD255" s="318"/>
    </row>
    <row r="256" spans="2:30" s="323" customFormat="1" ht="12" customHeight="1">
      <c r="B256" s="324"/>
      <c r="C256" s="325"/>
      <c r="D256" s="326"/>
      <c r="E256" s="326"/>
      <c r="F256" s="326"/>
      <c r="G256" s="326"/>
      <c r="H256" s="326"/>
      <c r="P256" s="318"/>
      <c r="Q256" s="318"/>
      <c r="R256" s="318"/>
      <c r="S256" s="318"/>
      <c r="T256" s="318"/>
      <c r="U256" s="318"/>
      <c r="V256" s="318"/>
      <c r="W256" s="318"/>
      <c r="X256" s="318"/>
      <c r="Y256" s="318"/>
      <c r="Z256" s="318"/>
      <c r="AA256" s="318"/>
      <c r="AB256" s="318"/>
      <c r="AC256" s="318"/>
      <c r="AD256" s="318"/>
    </row>
    <row r="257" spans="2:30" s="323" customFormat="1" ht="12" customHeight="1">
      <c r="B257" s="324"/>
      <c r="C257" s="325"/>
      <c r="D257" s="326"/>
      <c r="E257" s="326"/>
      <c r="F257" s="326"/>
      <c r="G257" s="326"/>
      <c r="H257" s="326"/>
      <c r="P257" s="318"/>
      <c r="Q257" s="318"/>
      <c r="R257" s="318"/>
      <c r="S257" s="318"/>
      <c r="T257" s="318"/>
      <c r="U257" s="318"/>
      <c r="V257" s="318"/>
      <c r="W257" s="318"/>
      <c r="X257" s="318"/>
      <c r="Y257" s="318"/>
      <c r="Z257" s="318"/>
      <c r="AA257" s="318"/>
      <c r="AB257" s="318"/>
      <c r="AC257" s="318"/>
      <c r="AD257" s="318"/>
    </row>
    <row r="258" spans="2:30" s="323" customFormat="1" ht="12" customHeight="1">
      <c r="B258" s="324"/>
      <c r="C258" s="325"/>
      <c r="D258" s="326"/>
      <c r="E258" s="326"/>
      <c r="F258" s="326"/>
      <c r="G258" s="326"/>
      <c r="H258" s="326"/>
      <c r="P258" s="318"/>
      <c r="Q258" s="318"/>
      <c r="R258" s="318"/>
      <c r="S258" s="318"/>
      <c r="T258" s="318"/>
      <c r="U258" s="318"/>
      <c r="V258" s="318"/>
      <c r="W258" s="318"/>
      <c r="X258" s="318"/>
      <c r="Y258" s="318"/>
      <c r="Z258" s="318"/>
      <c r="AA258" s="318"/>
      <c r="AB258" s="318"/>
      <c r="AC258" s="318"/>
      <c r="AD258" s="318"/>
    </row>
    <row r="259" spans="2:30" s="323" customFormat="1" ht="12" customHeight="1">
      <c r="B259" s="324"/>
      <c r="C259" s="325"/>
      <c r="D259" s="326"/>
      <c r="E259" s="326"/>
      <c r="F259" s="326"/>
      <c r="G259" s="326"/>
      <c r="H259" s="326"/>
      <c r="P259" s="318"/>
      <c r="Q259" s="318"/>
      <c r="R259" s="318"/>
      <c r="S259" s="318"/>
      <c r="T259" s="318"/>
      <c r="U259" s="318"/>
      <c r="V259" s="318"/>
      <c r="W259" s="318"/>
      <c r="X259" s="318"/>
      <c r="Y259" s="318"/>
      <c r="Z259" s="318"/>
      <c r="AA259" s="318"/>
      <c r="AB259" s="318"/>
      <c r="AC259" s="318"/>
      <c r="AD259" s="318"/>
    </row>
    <row r="260" spans="2:30" s="323" customFormat="1" ht="12" customHeight="1">
      <c r="B260" s="324"/>
      <c r="C260" s="325"/>
      <c r="D260" s="326"/>
      <c r="E260" s="326"/>
      <c r="F260" s="326"/>
      <c r="G260" s="326"/>
      <c r="H260" s="326"/>
      <c r="P260" s="318"/>
      <c r="Q260" s="318"/>
      <c r="R260" s="318"/>
      <c r="S260" s="318"/>
      <c r="T260" s="318"/>
      <c r="U260" s="318"/>
      <c r="V260" s="318"/>
      <c r="W260" s="318"/>
      <c r="X260" s="318"/>
      <c r="Y260" s="318"/>
      <c r="Z260" s="318"/>
      <c r="AA260" s="318"/>
      <c r="AB260" s="318"/>
      <c r="AC260" s="318"/>
      <c r="AD260" s="318"/>
    </row>
    <row r="261" spans="2:30" s="323" customFormat="1" ht="12" customHeight="1">
      <c r="B261" s="324"/>
      <c r="C261" s="325"/>
      <c r="D261" s="326"/>
      <c r="E261" s="326"/>
      <c r="F261" s="326"/>
      <c r="G261" s="326"/>
      <c r="H261" s="326"/>
      <c r="P261" s="318"/>
      <c r="Q261" s="318"/>
      <c r="R261" s="318"/>
      <c r="S261" s="318"/>
      <c r="T261" s="318"/>
      <c r="U261" s="318"/>
      <c r="V261" s="318"/>
      <c r="W261" s="318"/>
      <c r="X261" s="318"/>
      <c r="Y261" s="318"/>
      <c r="Z261" s="318"/>
      <c r="AA261" s="318"/>
      <c r="AB261" s="318"/>
      <c r="AC261" s="318"/>
      <c r="AD261" s="318"/>
    </row>
    <row r="262" spans="2:30" s="323" customFormat="1" ht="12" customHeight="1">
      <c r="B262" s="324"/>
      <c r="C262" s="325"/>
      <c r="D262" s="326"/>
      <c r="E262" s="326"/>
      <c r="F262" s="326"/>
      <c r="G262" s="326"/>
      <c r="H262" s="326"/>
      <c r="P262" s="318"/>
      <c r="Q262" s="318"/>
      <c r="R262" s="318"/>
      <c r="S262" s="318"/>
      <c r="T262" s="318"/>
      <c r="U262" s="318"/>
      <c r="V262" s="318"/>
      <c r="W262" s="318"/>
      <c r="X262" s="318"/>
      <c r="Y262" s="318"/>
      <c r="Z262" s="318"/>
      <c r="AA262" s="318"/>
      <c r="AB262" s="318"/>
      <c r="AC262" s="318"/>
      <c r="AD262" s="318"/>
    </row>
    <row r="263" spans="2:30" s="323" customFormat="1" ht="12" customHeight="1">
      <c r="B263" s="324"/>
      <c r="C263" s="325"/>
      <c r="D263" s="326"/>
      <c r="E263" s="326"/>
      <c r="F263" s="326"/>
      <c r="G263" s="326"/>
      <c r="H263" s="326"/>
      <c r="P263" s="318"/>
      <c r="Q263" s="318"/>
      <c r="R263" s="318"/>
      <c r="S263" s="318"/>
      <c r="T263" s="318"/>
      <c r="U263" s="318"/>
      <c r="V263" s="318"/>
      <c r="W263" s="318"/>
      <c r="X263" s="318"/>
      <c r="Y263" s="318"/>
      <c r="Z263" s="318"/>
      <c r="AA263" s="318"/>
      <c r="AB263" s="318"/>
      <c r="AC263" s="318"/>
      <c r="AD263" s="318"/>
    </row>
    <row r="264" spans="2:30" s="323" customFormat="1" ht="12" customHeight="1">
      <c r="B264" s="324"/>
      <c r="C264" s="325"/>
      <c r="D264" s="326"/>
      <c r="E264" s="326"/>
      <c r="F264" s="326"/>
      <c r="G264" s="326"/>
      <c r="H264" s="326"/>
      <c r="P264" s="318"/>
      <c r="Q264" s="318"/>
      <c r="R264" s="318"/>
      <c r="S264" s="318"/>
      <c r="T264" s="318"/>
      <c r="U264" s="318"/>
      <c r="V264" s="318"/>
      <c r="W264" s="318"/>
      <c r="X264" s="318"/>
      <c r="Y264" s="318"/>
      <c r="Z264" s="318"/>
      <c r="AA264" s="318"/>
      <c r="AB264" s="318"/>
      <c r="AC264" s="318"/>
      <c r="AD264" s="318"/>
    </row>
    <row r="265" spans="2:30" s="323" customFormat="1" ht="12" customHeight="1">
      <c r="B265" s="324"/>
      <c r="C265" s="325"/>
      <c r="D265" s="326"/>
      <c r="E265" s="326"/>
      <c r="F265" s="326"/>
      <c r="G265" s="326"/>
      <c r="H265" s="326"/>
      <c r="P265" s="318"/>
      <c r="Q265" s="318"/>
      <c r="R265" s="318"/>
      <c r="S265" s="318"/>
      <c r="T265" s="318"/>
      <c r="U265" s="318"/>
      <c r="V265" s="318"/>
      <c r="W265" s="318"/>
      <c r="X265" s="318"/>
      <c r="Y265" s="318"/>
      <c r="Z265" s="318"/>
      <c r="AA265" s="318"/>
      <c r="AB265" s="318"/>
      <c r="AC265" s="318"/>
      <c r="AD265" s="318"/>
    </row>
    <row r="266" spans="2:30" s="323" customFormat="1" ht="12" customHeight="1">
      <c r="B266" s="324"/>
      <c r="C266" s="325"/>
      <c r="D266" s="326"/>
      <c r="E266" s="326"/>
      <c r="F266" s="326"/>
      <c r="G266" s="326"/>
      <c r="H266" s="326"/>
      <c r="P266" s="318"/>
      <c r="Q266" s="318"/>
      <c r="R266" s="318"/>
      <c r="S266" s="318"/>
      <c r="T266" s="318"/>
      <c r="U266" s="318"/>
      <c r="V266" s="318"/>
      <c r="W266" s="318"/>
      <c r="X266" s="318"/>
      <c r="Y266" s="318"/>
      <c r="Z266" s="318"/>
      <c r="AA266" s="318"/>
      <c r="AB266" s="318"/>
      <c r="AC266" s="318"/>
      <c r="AD266" s="318"/>
    </row>
    <row r="267" spans="2:30" s="323" customFormat="1" ht="12" customHeight="1">
      <c r="B267" s="324"/>
      <c r="C267" s="325"/>
      <c r="D267" s="326"/>
      <c r="E267" s="326"/>
      <c r="F267" s="326"/>
      <c r="G267" s="326"/>
      <c r="H267" s="326"/>
      <c r="P267" s="318"/>
      <c r="Q267" s="318"/>
      <c r="R267" s="318"/>
      <c r="S267" s="318"/>
      <c r="T267" s="318"/>
      <c r="U267" s="318"/>
      <c r="V267" s="318"/>
      <c r="W267" s="318"/>
      <c r="X267" s="318"/>
      <c r="Y267" s="318"/>
      <c r="Z267" s="318"/>
      <c r="AA267" s="318"/>
      <c r="AB267" s="318"/>
      <c r="AC267" s="318"/>
      <c r="AD267" s="318"/>
    </row>
    <row r="268" spans="2:30" s="323" customFormat="1" ht="12" customHeight="1">
      <c r="B268" s="324"/>
      <c r="C268" s="325"/>
      <c r="D268" s="326"/>
      <c r="E268" s="326"/>
      <c r="F268" s="326"/>
      <c r="G268" s="326"/>
      <c r="H268" s="326"/>
      <c r="P268" s="318"/>
      <c r="Q268" s="318"/>
      <c r="R268" s="318"/>
      <c r="S268" s="318"/>
      <c r="T268" s="318"/>
      <c r="U268" s="318"/>
      <c r="V268" s="318"/>
      <c r="W268" s="318"/>
      <c r="X268" s="318"/>
      <c r="Y268" s="318"/>
      <c r="Z268" s="318"/>
      <c r="AA268" s="318"/>
      <c r="AB268" s="318"/>
      <c r="AC268" s="318"/>
      <c r="AD268" s="318"/>
    </row>
    <row r="269" spans="2:30" s="323" customFormat="1" ht="12" customHeight="1">
      <c r="B269" s="324"/>
      <c r="C269" s="325"/>
      <c r="D269" s="326"/>
      <c r="E269" s="326"/>
      <c r="F269" s="326"/>
      <c r="G269" s="326"/>
      <c r="H269" s="326"/>
      <c r="P269" s="318"/>
      <c r="Q269" s="318"/>
      <c r="R269" s="318"/>
      <c r="S269" s="318"/>
      <c r="T269" s="318"/>
      <c r="U269" s="318"/>
      <c r="V269" s="318"/>
      <c r="W269" s="318"/>
      <c r="X269" s="318"/>
      <c r="Y269" s="318"/>
      <c r="Z269" s="318"/>
      <c r="AA269" s="318"/>
      <c r="AB269" s="318"/>
      <c r="AC269" s="318"/>
      <c r="AD269" s="318"/>
    </row>
    <row r="270" spans="2:30" s="323" customFormat="1" ht="12" customHeight="1">
      <c r="B270" s="324"/>
      <c r="C270" s="325"/>
      <c r="D270" s="326"/>
      <c r="E270" s="326"/>
      <c r="F270" s="326"/>
      <c r="G270" s="326"/>
      <c r="H270" s="326"/>
      <c r="P270" s="318"/>
      <c r="Q270" s="318"/>
      <c r="R270" s="318"/>
      <c r="S270" s="318"/>
      <c r="T270" s="318"/>
      <c r="U270" s="318"/>
      <c r="V270" s="318"/>
      <c r="W270" s="318"/>
      <c r="X270" s="318"/>
      <c r="Y270" s="318"/>
      <c r="Z270" s="318"/>
      <c r="AA270" s="318"/>
      <c r="AB270" s="318"/>
      <c r="AC270" s="318"/>
      <c r="AD270" s="318"/>
    </row>
    <row r="271" spans="2:30" s="323" customFormat="1" ht="12" customHeight="1">
      <c r="B271" s="324"/>
      <c r="C271" s="325"/>
      <c r="D271" s="326"/>
      <c r="E271" s="326"/>
      <c r="F271" s="326"/>
      <c r="G271" s="326"/>
      <c r="H271" s="326"/>
      <c r="P271" s="318"/>
      <c r="Q271" s="318"/>
      <c r="R271" s="318"/>
      <c r="S271" s="318"/>
      <c r="T271" s="318"/>
      <c r="U271" s="318"/>
      <c r="V271" s="318"/>
      <c r="W271" s="318"/>
      <c r="X271" s="318"/>
      <c r="Y271" s="318"/>
      <c r="Z271" s="318"/>
      <c r="AA271" s="318"/>
      <c r="AB271" s="318"/>
      <c r="AC271" s="318"/>
      <c r="AD271" s="318"/>
    </row>
    <row r="272" spans="2:30" s="323" customFormat="1" ht="12" customHeight="1">
      <c r="B272" s="324"/>
      <c r="C272" s="325"/>
      <c r="D272" s="326"/>
      <c r="E272" s="326"/>
      <c r="F272" s="326"/>
      <c r="G272" s="326"/>
      <c r="H272" s="326"/>
      <c r="P272" s="318"/>
      <c r="Q272" s="318"/>
      <c r="R272" s="318"/>
      <c r="S272" s="318"/>
      <c r="T272" s="318"/>
      <c r="U272" s="318"/>
      <c r="V272" s="318"/>
      <c r="W272" s="318"/>
      <c r="X272" s="318"/>
      <c r="Y272" s="318"/>
      <c r="Z272" s="318"/>
      <c r="AA272" s="318"/>
      <c r="AB272" s="318"/>
      <c r="AC272" s="318"/>
      <c r="AD272" s="318"/>
    </row>
    <row r="273" spans="2:30" s="323" customFormat="1" ht="12" customHeight="1">
      <c r="B273" s="324"/>
      <c r="C273" s="325"/>
      <c r="D273" s="326"/>
      <c r="E273" s="326"/>
      <c r="F273" s="326"/>
      <c r="G273" s="326"/>
      <c r="H273" s="326"/>
      <c r="P273" s="318"/>
      <c r="Q273" s="318"/>
      <c r="R273" s="318"/>
      <c r="S273" s="318"/>
      <c r="T273" s="318"/>
      <c r="U273" s="318"/>
      <c r="V273" s="318"/>
      <c r="W273" s="318"/>
      <c r="X273" s="318"/>
      <c r="Y273" s="318"/>
      <c r="Z273" s="318"/>
      <c r="AA273" s="318"/>
      <c r="AB273" s="318"/>
      <c r="AC273" s="318"/>
      <c r="AD273" s="318"/>
    </row>
    <row r="274" spans="2:30" s="323" customFormat="1" ht="12" customHeight="1">
      <c r="B274" s="324"/>
      <c r="C274" s="325"/>
      <c r="D274" s="326"/>
      <c r="E274" s="326"/>
      <c r="F274" s="326"/>
      <c r="G274" s="326"/>
      <c r="H274" s="326"/>
      <c r="P274" s="318"/>
      <c r="Q274" s="318"/>
      <c r="R274" s="318"/>
      <c r="S274" s="318"/>
      <c r="T274" s="318"/>
      <c r="U274" s="318"/>
      <c r="V274" s="318"/>
      <c r="W274" s="318"/>
      <c r="X274" s="318"/>
      <c r="Y274" s="318"/>
      <c r="Z274" s="318"/>
      <c r="AA274" s="318"/>
      <c r="AB274" s="318"/>
      <c r="AC274" s="318"/>
      <c r="AD274" s="318"/>
    </row>
    <row r="275" spans="2:30" s="323" customFormat="1" ht="12" customHeight="1">
      <c r="B275" s="324"/>
      <c r="C275" s="325"/>
      <c r="D275" s="326"/>
      <c r="E275" s="326"/>
      <c r="F275" s="326"/>
      <c r="G275" s="326"/>
      <c r="H275" s="326"/>
      <c r="P275" s="318"/>
      <c r="Q275" s="318"/>
      <c r="R275" s="318"/>
      <c r="S275" s="318"/>
      <c r="T275" s="318"/>
      <c r="U275" s="318"/>
      <c r="V275" s="318"/>
      <c r="W275" s="318"/>
      <c r="X275" s="318"/>
      <c r="Y275" s="318"/>
      <c r="Z275" s="318"/>
      <c r="AA275" s="318"/>
      <c r="AB275" s="318"/>
      <c r="AC275" s="318"/>
      <c r="AD275" s="318"/>
    </row>
    <row r="276" spans="2:30" s="323" customFormat="1" ht="12" customHeight="1">
      <c r="B276" s="324"/>
      <c r="C276" s="325"/>
      <c r="D276" s="326"/>
      <c r="E276" s="326"/>
      <c r="F276" s="326"/>
      <c r="G276" s="326"/>
      <c r="H276" s="326"/>
      <c r="P276" s="318"/>
      <c r="Q276" s="318"/>
      <c r="R276" s="318"/>
      <c r="S276" s="318"/>
      <c r="T276" s="318"/>
      <c r="U276" s="318"/>
      <c r="V276" s="318"/>
      <c r="W276" s="318"/>
      <c r="X276" s="318"/>
      <c r="Y276" s="318"/>
      <c r="Z276" s="318"/>
      <c r="AA276" s="318"/>
      <c r="AB276" s="318"/>
      <c r="AC276" s="318"/>
      <c r="AD276" s="318"/>
    </row>
    <row r="277" spans="2:30" s="323" customFormat="1" ht="12" customHeight="1">
      <c r="B277" s="324"/>
      <c r="C277" s="325"/>
      <c r="D277" s="326"/>
      <c r="E277" s="326"/>
      <c r="F277" s="326"/>
      <c r="G277" s="326"/>
      <c r="H277" s="326"/>
      <c r="P277" s="318"/>
      <c r="Q277" s="318"/>
      <c r="R277" s="318"/>
      <c r="S277" s="318"/>
      <c r="T277" s="318"/>
      <c r="U277" s="318"/>
      <c r="V277" s="318"/>
      <c r="W277" s="318"/>
      <c r="X277" s="318"/>
      <c r="Y277" s="318"/>
      <c r="Z277" s="318"/>
      <c r="AA277" s="318"/>
      <c r="AB277" s="318"/>
      <c r="AC277" s="318"/>
      <c r="AD277" s="318"/>
    </row>
    <row r="278" spans="2:30" s="323" customFormat="1" ht="12" customHeight="1">
      <c r="B278" s="324"/>
      <c r="C278" s="325"/>
      <c r="D278" s="326"/>
      <c r="E278" s="326"/>
      <c r="F278" s="326"/>
      <c r="G278" s="326"/>
      <c r="H278" s="326"/>
      <c r="P278" s="318"/>
      <c r="Q278" s="318"/>
      <c r="R278" s="318"/>
      <c r="S278" s="318"/>
      <c r="T278" s="318"/>
      <c r="U278" s="318"/>
      <c r="V278" s="318"/>
      <c r="W278" s="318"/>
      <c r="X278" s="318"/>
      <c r="Y278" s="318"/>
      <c r="Z278" s="318"/>
      <c r="AA278" s="318"/>
      <c r="AB278" s="318"/>
      <c r="AC278" s="318"/>
      <c r="AD278" s="318"/>
    </row>
    <row r="279" spans="2:30" s="323" customFormat="1" ht="12" customHeight="1">
      <c r="B279" s="324"/>
      <c r="C279" s="325"/>
      <c r="D279" s="326"/>
      <c r="E279" s="326"/>
      <c r="F279" s="326"/>
      <c r="G279" s="326"/>
      <c r="H279" s="326"/>
      <c r="P279" s="318"/>
      <c r="Q279" s="318"/>
      <c r="R279" s="318"/>
      <c r="S279" s="318"/>
      <c r="T279" s="318"/>
      <c r="U279" s="318"/>
      <c r="V279" s="318"/>
      <c r="W279" s="318"/>
      <c r="X279" s="318"/>
      <c r="Y279" s="318"/>
      <c r="Z279" s="318"/>
      <c r="AA279" s="318"/>
      <c r="AB279" s="318"/>
      <c r="AC279" s="318"/>
      <c r="AD279" s="318"/>
    </row>
    <row r="280" spans="2:30" s="323" customFormat="1" ht="12" customHeight="1">
      <c r="B280" s="324"/>
      <c r="C280" s="325"/>
      <c r="D280" s="326"/>
      <c r="E280" s="326"/>
      <c r="F280" s="326"/>
      <c r="G280" s="326"/>
      <c r="H280" s="326"/>
      <c r="P280" s="318"/>
      <c r="Q280" s="318"/>
      <c r="R280" s="318"/>
      <c r="S280" s="318"/>
      <c r="T280" s="318"/>
      <c r="U280" s="318"/>
      <c r="V280" s="318"/>
      <c r="W280" s="318"/>
      <c r="X280" s="318"/>
      <c r="Y280" s="318"/>
      <c r="Z280" s="318"/>
      <c r="AA280" s="318"/>
      <c r="AB280" s="318"/>
      <c r="AC280" s="318"/>
      <c r="AD280" s="318"/>
    </row>
    <row r="281" spans="2:30" s="323" customFormat="1" ht="12" customHeight="1">
      <c r="B281" s="324"/>
      <c r="C281" s="325"/>
      <c r="D281" s="326"/>
      <c r="E281" s="326"/>
      <c r="F281" s="326"/>
      <c r="G281" s="326"/>
      <c r="H281" s="326"/>
      <c r="P281" s="318"/>
      <c r="Q281" s="318"/>
      <c r="R281" s="318"/>
      <c r="S281" s="318"/>
      <c r="T281" s="318"/>
      <c r="U281" s="318"/>
      <c r="V281" s="318"/>
      <c r="W281" s="318"/>
      <c r="X281" s="318"/>
      <c r="Y281" s="318"/>
      <c r="Z281" s="318"/>
      <c r="AA281" s="318"/>
      <c r="AB281" s="318"/>
      <c r="AC281" s="318"/>
      <c r="AD281" s="318"/>
    </row>
    <row r="282" spans="2:30" s="323" customFormat="1" ht="12" customHeight="1">
      <c r="B282" s="324"/>
      <c r="C282" s="325"/>
      <c r="D282" s="326"/>
      <c r="E282" s="326"/>
      <c r="F282" s="326"/>
      <c r="G282" s="326"/>
      <c r="H282" s="326"/>
      <c r="P282" s="318"/>
      <c r="Q282" s="318"/>
      <c r="R282" s="318"/>
      <c r="S282" s="318"/>
      <c r="T282" s="318"/>
      <c r="U282" s="318"/>
      <c r="V282" s="318"/>
      <c r="W282" s="318"/>
      <c r="X282" s="318"/>
      <c r="Y282" s="318"/>
      <c r="Z282" s="318"/>
      <c r="AA282" s="318"/>
      <c r="AB282" s="318"/>
      <c r="AC282" s="318"/>
      <c r="AD282" s="318"/>
    </row>
    <row r="283" spans="2:30" s="323" customFormat="1" ht="12" customHeight="1">
      <c r="B283" s="324"/>
      <c r="C283" s="325"/>
      <c r="D283" s="326"/>
      <c r="E283" s="326"/>
      <c r="F283" s="326"/>
      <c r="G283" s="326"/>
      <c r="H283" s="326"/>
      <c r="P283" s="318"/>
      <c r="Q283" s="318"/>
      <c r="R283" s="318"/>
      <c r="S283" s="318"/>
      <c r="T283" s="318"/>
      <c r="U283" s="318"/>
      <c r="V283" s="318"/>
      <c r="W283" s="318"/>
      <c r="X283" s="318"/>
      <c r="Y283" s="318"/>
      <c r="Z283" s="318"/>
      <c r="AA283" s="318"/>
      <c r="AB283" s="318"/>
      <c r="AC283" s="318"/>
      <c r="AD283" s="318"/>
    </row>
    <row r="284" spans="2:30" s="323" customFormat="1" ht="12" customHeight="1">
      <c r="B284" s="324"/>
      <c r="C284" s="325"/>
      <c r="D284" s="326"/>
      <c r="E284" s="326"/>
      <c r="F284" s="326"/>
      <c r="G284" s="326"/>
      <c r="H284" s="326"/>
      <c r="P284" s="318"/>
      <c r="Q284" s="318"/>
      <c r="R284" s="318"/>
      <c r="S284" s="318"/>
      <c r="T284" s="318"/>
      <c r="U284" s="318"/>
      <c r="V284" s="318"/>
      <c r="W284" s="318"/>
      <c r="X284" s="318"/>
      <c r="Y284" s="318"/>
      <c r="Z284" s="318"/>
      <c r="AA284" s="318"/>
      <c r="AB284" s="318"/>
      <c r="AC284" s="318"/>
      <c r="AD284" s="318"/>
    </row>
    <row r="285" spans="2:30" s="323" customFormat="1" ht="12" customHeight="1">
      <c r="B285" s="324"/>
      <c r="C285" s="325"/>
      <c r="D285" s="326"/>
      <c r="E285" s="326"/>
      <c r="F285" s="326"/>
      <c r="G285" s="326"/>
      <c r="H285" s="326"/>
      <c r="P285" s="318"/>
      <c r="Q285" s="318"/>
      <c r="R285" s="318"/>
      <c r="S285" s="318"/>
      <c r="T285" s="318"/>
      <c r="U285" s="318"/>
      <c r="V285" s="318"/>
      <c r="W285" s="318"/>
      <c r="X285" s="318"/>
      <c r="Y285" s="318"/>
      <c r="Z285" s="318"/>
      <c r="AA285" s="318"/>
      <c r="AB285" s="318"/>
      <c r="AC285" s="318"/>
      <c r="AD285" s="318"/>
    </row>
    <row r="286" spans="2:30" s="323" customFormat="1" ht="12" customHeight="1">
      <c r="B286" s="324"/>
      <c r="C286" s="325"/>
      <c r="D286" s="326"/>
      <c r="E286" s="326"/>
      <c r="F286" s="326"/>
      <c r="G286" s="326"/>
      <c r="H286" s="326"/>
      <c r="P286" s="318"/>
      <c r="Q286" s="318"/>
      <c r="R286" s="318"/>
      <c r="S286" s="318"/>
      <c r="T286" s="318"/>
      <c r="U286" s="318"/>
      <c r="V286" s="318"/>
      <c r="W286" s="318"/>
      <c r="X286" s="318"/>
      <c r="Y286" s="318"/>
      <c r="Z286" s="318"/>
      <c r="AA286" s="318"/>
      <c r="AB286" s="318"/>
      <c r="AC286" s="318"/>
      <c r="AD286" s="318"/>
    </row>
    <row r="287" spans="2:30" s="323" customFormat="1" ht="12" customHeight="1">
      <c r="B287" s="324"/>
      <c r="C287" s="325"/>
      <c r="D287" s="326"/>
      <c r="E287" s="326"/>
      <c r="F287" s="326"/>
      <c r="G287" s="326"/>
      <c r="H287" s="326"/>
      <c r="P287" s="318"/>
      <c r="Q287" s="318"/>
      <c r="R287" s="318"/>
      <c r="S287" s="318"/>
      <c r="T287" s="318"/>
      <c r="U287" s="318"/>
      <c r="V287" s="318"/>
      <c r="W287" s="318"/>
      <c r="X287" s="318"/>
      <c r="Y287" s="318"/>
      <c r="Z287" s="318"/>
      <c r="AA287" s="318"/>
      <c r="AB287" s="318"/>
      <c r="AC287" s="318"/>
      <c r="AD287" s="318"/>
    </row>
    <row r="288" spans="2:30" s="323" customFormat="1" ht="12" customHeight="1">
      <c r="B288" s="324"/>
      <c r="C288" s="325"/>
      <c r="D288" s="326"/>
      <c r="E288" s="326"/>
      <c r="F288" s="326"/>
      <c r="G288" s="326"/>
      <c r="H288" s="326"/>
      <c r="P288" s="318"/>
      <c r="Q288" s="318"/>
      <c r="R288" s="318"/>
      <c r="S288" s="318"/>
      <c r="T288" s="318"/>
      <c r="U288" s="318"/>
      <c r="V288" s="318"/>
      <c r="W288" s="318"/>
      <c r="X288" s="318"/>
      <c r="Y288" s="318"/>
      <c r="Z288" s="318"/>
      <c r="AA288" s="318"/>
      <c r="AB288" s="318"/>
      <c r="AC288" s="318"/>
      <c r="AD288" s="318"/>
    </row>
    <row r="289" spans="2:30" s="323" customFormat="1" ht="12" customHeight="1">
      <c r="B289" s="324"/>
      <c r="C289" s="325"/>
      <c r="D289" s="326"/>
      <c r="E289" s="326"/>
      <c r="F289" s="326"/>
      <c r="G289" s="326"/>
      <c r="H289" s="326"/>
      <c r="P289" s="318"/>
      <c r="Q289" s="318"/>
      <c r="R289" s="318"/>
      <c r="S289" s="318"/>
      <c r="T289" s="318"/>
      <c r="U289" s="318"/>
      <c r="V289" s="318"/>
      <c r="W289" s="318"/>
      <c r="X289" s="318"/>
      <c r="Y289" s="318"/>
      <c r="Z289" s="318"/>
      <c r="AA289" s="318"/>
      <c r="AB289" s="318"/>
      <c r="AC289" s="318"/>
      <c r="AD289" s="318"/>
    </row>
    <row r="290" spans="2:30" s="323" customFormat="1" ht="12" customHeight="1">
      <c r="B290" s="324"/>
      <c r="C290" s="325"/>
      <c r="D290" s="326"/>
      <c r="E290" s="326"/>
      <c r="F290" s="326"/>
      <c r="G290" s="326"/>
      <c r="H290" s="326"/>
      <c r="P290" s="318"/>
      <c r="Q290" s="318"/>
      <c r="R290" s="318"/>
      <c r="S290" s="318"/>
      <c r="T290" s="318"/>
      <c r="U290" s="318"/>
      <c r="V290" s="318"/>
      <c r="W290" s="318"/>
      <c r="X290" s="318"/>
      <c r="Y290" s="318"/>
      <c r="Z290" s="318"/>
      <c r="AA290" s="318"/>
      <c r="AB290" s="318"/>
      <c r="AC290" s="318"/>
      <c r="AD290" s="318"/>
    </row>
    <row r="291" spans="2:30" s="323" customFormat="1" ht="12" customHeight="1">
      <c r="B291" s="324"/>
      <c r="C291" s="325"/>
      <c r="D291" s="326"/>
      <c r="E291" s="326"/>
      <c r="F291" s="326"/>
      <c r="G291" s="326"/>
      <c r="H291" s="326"/>
      <c r="P291" s="318"/>
      <c r="Q291" s="318"/>
      <c r="R291" s="318"/>
      <c r="S291" s="318"/>
      <c r="T291" s="318"/>
      <c r="U291" s="318"/>
      <c r="V291" s="318"/>
      <c r="W291" s="318"/>
      <c r="X291" s="318"/>
      <c r="Y291" s="318"/>
      <c r="Z291" s="318"/>
      <c r="AA291" s="318"/>
      <c r="AB291" s="318"/>
      <c r="AC291" s="318"/>
      <c r="AD291" s="318"/>
    </row>
    <row r="292" spans="2:30" s="323" customFormat="1" ht="12" customHeight="1">
      <c r="B292" s="324"/>
      <c r="C292" s="325"/>
      <c r="D292" s="326"/>
      <c r="E292" s="326"/>
      <c r="F292" s="326"/>
      <c r="G292" s="326"/>
      <c r="H292" s="326"/>
      <c r="P292" s="318"/>
      <c r="Q292" s="318"/>
      <c r="R292" s="318"/>
      <c r="S292" s="318"/>
      <c r="T292" s="318"/>
      <c r="U292" s="318"/>
      <c r="V292" s="318"/>
      <c r="W292" s="318"/>
      <c r="X292" s="318"/>
      <c r="Y292" s="318"/>
      <c r="Z292" s="318"/>
      <c r="AA292" s="318"/>
      <c r="AB292" s="318"/>
      <c r="AC292" s="318"/>
      <c r="AD292" s="318"/>
    </row>
    <row r="293" spans="2:30" s="323" customFormat="1" ht="12" customHeight="1">
      <c r="B293" s="324"/>
      <c r="C293" s="325"/>
      <c r="D293" s="326"/>
      <c r="E293" s="326"/>
      <c r="F293" s="326"/>
      <c r="G293" s="326"/>
      <c r="H293" s="326"/>
      <c r="P293" s="318"/>
      <c r="Q293" s="318"/>
      <c r="R293" s="318"/>
      <c r="S293" s="318"/>
      <c r="T293" s="318"/>
      <c r="U293" s="318"/>
      <c r="V293" s="318"/>
      <c r="W293" s="318"/>
      <c r="X293" s="318"/>
      <c r="Y293" s="318"/>
      <c r="Z293" s="318"/>
      <c r="AA293" s="318"/>
      <c r="AB293" s="318"/>
      <c r="AC293" s="318"/>
      <c r="AD293" s="318"/>
    </row>
    <row r="294" spans="2:30" s="323" customFormat="1" ht="12" customHeight="1">
      <c r="B294" s="324"/>
      <c r="C294" s="325"/>
      <c r="D294" s="326"/>
      <c r="E294" s="326"/>
      <c r="F294" s="326"/>
      <c r="G294" s="326"/>
      <c r="H294" s="326"/>
      <c r="P294" s="318"/>
      <c r="Q294" s="318"/>
      <c r="R294" s="318"/>
      <c r="S294" s="318"/>
      <c r="T294" s="318"/>
      <c r="U294" s="318"/>
      <c r="V294" s="318"/>
      <c r="W294" s="318"/>
      <c r="X294" s="318"/>
      <c r="Y294" s="318"/>
      <c r="Z294" s="318"/>
      <c r="AA294" s="318"/>
      <c r="AB294" s="318"/>
      <c r="AC294" s="318"/>
      <c r="AD294" s="318"/>
    </row>
    <row r="295" spans="2:30" s="323" customFormat="1" ht="12" customHeight="1">
      <c r="B295" s="324"/>
      <c r="C295" s="325"/>
      <c r="D295" s="326"/>
      <c r="E295" s="326"/>
      <c r="F295" s="326"/>
      <c r="G295" s="326"/>
      <c r="H295" s="326"/>
      <c r="P295" s="318"/>
      <c r="Q295" s="318"/>
      <c r="R295" s="318"/>
      <c r="S295" s="318"/>
      <c r="T295" s="318"/>
      <c r="U295" s="318"/>
      <c r="V295" s="318"/>
      <c r="W295" s="318"/>
      <c r="X295" s="318"/>
      <c r="Y295" s="318"/>
      <c r="Z295" s="318"/>
      <c r="AA295" s="318"/>
      <c r="AB295" s="318"/>
      <c r="AC295" s="318"/>
      <c r="AD295" s="318"/>
    </row>
    <row r="296" spans="2:30" s="323" customFormat="1" ht="12" customHeight="1">
      <c r="B296" s="324"/>
      <c r="C296" s="325"/>
      <c r="D296" s="326"/>
      <c r="E296" s="326"/>
      <c r="F296" s="326"/>
      <c r="G296" s="326"/>
      <c r="H296" s="326"/>
      <c r="P296" s="318"/>
      <c r="Q296" s="318"/>
      <c r="R296" s="318"/>
      <c r="S296" s="318"/>
      <c r="T296" s="318"/>
      <c r="U296" s="318"/>
      <c r="V296" s="318"/>
      <c r="W296" s="318"/>
      <c r="X296" s="318"/>
      <c r="Y296" s="318"/>
      <c r="Z296" s="318"/>
      <c r="AA296" s="318"/>
      <c r="AB296" s="318"/>
      <c r="AC296" s="318"/>
      <c r="AD296" s="318"/>
    </row>
    <row r="297" spans="2:30" s="323" customFormat="1" ht="12" customHeight="1">
      <c r="B297" s="324"/>
      <c r="C297" s="325"/>
      <c r="D297" s="326"/>
      <c r="E297" s="326"/>
      <c r="F297" s="326"/>
      <c r="G297" s="326"/>
      <c r="H297" s="326"/>
      <c r="P297" s="318"/>
      <c r="Q297" s="318"/>
      <c r="R297" s="318"/>
      <c r="S297" s="318"/>
      <c r="T297" s="318"/>
      <c r="U297" s="318"/>
      <c r="V297" s="318"/>
      <c r="W297" s="318"/>
      <c r="X297" s="318"/>
      <c r="Y297" s="318"/>
      <c r="Z297" s="318"/>
      <c r="AA297" s="318"/>
      <c r="AB297" s="318"/>
      <c r="AC297" s="318"/>
      <c r="AD297" s="318"/>
    </row>
    <row r="298" spans="2:30" s="323" customFormat="1" ht="12" customHeight="1">
      <c r="B298" s="324"/>
      <c r="C298" s="325"/>
      <c r="D298" s="326"/>
      <c r="E298" s="326"/>
      <c r="F298" s="326"/>
      <c r="G298" s="326"/>
      <c r="H298" s="326"/>
      <c r="P298" s="318"/>
      <c r="Q298" s="318"/>
      <c r="R298" s="318"/>
      <c r="S298" s="318"/>
      <c r="T298" s="318"/>
      <c r="U298" s="318"/>
      <c r="V298" s="318"/>
      <c r="W298" s="318"/>
      <c r="X298" s="318"/>
      <c r="Y298" s="318"/>
      <c r="Z298" s="318"/>
      <c r="AA298" s="318"/>
      <c r="AB298" s="318"/>
      <c r="AC298" s="318"/>
      <c r="AD298" s="318"/>
    </row>
    <row r="299" spans="2:30" s="323" customFormat="1" ht="12" customHeight="1">
      <c r="B299" s="324"/>
      <c r="C299" s="325"/>
      <c r="D299" s="326"/>
      <c r="E299" s="326"/>
      <c r="F299" s="326"/>
      <c r="G299" s="326"/>
      <c r="H299" s="326"/>
      <c r="P299" s="318"/>
      <c r="Q299" s="318"/>
      <c r="R299" s="318"/>
      <c r="S299" s="318"/>
      <c r="T299" s="318"/>
      <c r="U299" s="318"/>
      <c r="V299" s="318"/>
      <c r="W299" s="318"/>
      <c r="X299" s="318"/>
      <c r="Y299" s="318"/>
      <c r="Z299" s="318"/>
      <c r="AA299" s="318"/>
      <c r="AB299" s="318"/>
      <c r="AC299" s="318"/>
      <c r="AD299" s="318"/>
    </row>
    <row r="300" spans="2:30" s="323" customFormat="1" ht="12" customHeight="1">
      <c r="B300" s="324"/>
      <c r="C300" s="325"/>
      <c r="D300" s="326"/>
      <c r="E300" s="326"/>
      <c r="F300" s="326"/>
      <c r="G300" s="326"/>
      <c r="H300" s="326"/>
      <c r="P300" s="318"/>
      <c r="Q300" s="318"/>
      <c r="R300" s="318"/>
      <c r="S300" s="318"/>
      <c r="T300" s="318"/>
      <c r="U300" s="318"/>
      <c r="V300" s="318"/>
      <c r="W300" s="318"/>
      <c r="X300" s="318"/>
      <c r="Y300" s="318"/>
      <c r="Z300" s="318"/>
      <c r="AA300" s="318"/>
      <c r="AB300" s="318"/>
      <c r="AC300" s="318"/>
      <c r="AD300" s="318"/>
    </row>
    <row r="301" spans="2:30" s="323" customFormat="1" ht="12" customHeight="1">
      <c r="B301" s="324"/>
      <c r="C301" s="325"/>
      <c r="D301" s="326"/>
      <c r="E301" s="326"/>
      <c r="F301" s="326"/>
      <c r="G301" s="326"/>
      <c r="H301" s="326"/>
      <c r="P301" s="318"/>
      <c r="Q301" s="318"/>
      <c r="R301" s="318"/>
      <c r="S301" s="318"/>
      <c r="T301" s="318"/>
      <c r="U301" s="318"/>
      <c r="V301" s="318"/>
      <c r="W301" s="318"/>
      <c r="X301" s="318"/>
      <c r="Y301" s="318"/>
      <c r="Z301" s="318"/>
      <c r="AA301" s="318"/>
      <c r="AB301" s="318"/>
      <c r="AC301" s="318"/>
      <c r="AD301" s="318"/>
    </row>
    <row r="302" spans="2:30" s="323" customFormat="1" ht="12" customHeight="1">
      <c r="B302" s="324"/>
      <c r="C302" s="325"/>
      <c r="D302" s="326"/>
      <c r="E302" s="326"/>
      <c r="F302" s="326"/>
      <c r="G302" s="326"/>
      <c r="H302" s="326"/>
      <c r="P302" s="318"/>
      <c r="Q302" s="318"/>
      <c r="R302" s="318"/>
      <c r="S302" s="318"/>
      <c r="T302" s="318"/>
      <c r="U302" s="318"/>
      <c r="V302" s="318"/>
      <c r="W302" s="318"/>
      <c r="X302" s="318"/>
      <c r="Y302" s="318"/>
      <c r="Z302" s="318"/>
      <c r="AA302" s="318"/>
      <c r="AB302" s="318"/>
      <c r="AC302" s="318"/>
      <c r="AD302" s="318"/>
    </row>
    <row r="303" spans="2:30" s="323" customFormat="1" ht="12" customHeight="1">
      <c r="B303" s="324"/>
      <c r="C303" s="325"/>
      <c r="D303" s="326"/>
      <c r="E303" s="326"/>
      <c r="F303" s="326"/>
      <c r="G303" s="326"/>
      <c r="H303" s="326"/>
      <c r="P303" s="318"/>
      <c r="Q303" s="318"/>
      <c r="R303" s="318"/>
      <c r="S303" s="318"/>
      <c r="T303" s="318"/>
      <c r="U303" s="318"/>
      <c r="V303" s="318"/>
      <c r="W303" s="318"/>
      <c r="X303" s="318"/>
      <c r="Y303" s="318"/>
      <c r="Z303" s="318"/>
      <c r="AA303" s="318"/>
      <c r="AB303" s="318"/>
      <c r="AC303" s="318"/>
      <c r="AD303" s="318"/>
    </row>
    <row r="304" spans="2:30" s="323" customFormat="1" ht="12" customHeight="1">
      <c r="B304" s="324"/>
      <c r="C304" s="325"/>
      <c r="D304" s="326"/>
      <c r="E304" s="326"/>
      <c r="F304" s="326"/>
      <c r="G304" s="326"/>
      <c r="H304" s="326"/>
      <c r="P304" s="318"/>
      <c r="Q304" s="318"/>
      <c r="R304" s="318"/>
      <c r="S304" s="318"/>
      <c r="T304" s="318"/>
      <c r="U304" s="318"/>
      <c r="V304" s="318"/>
      <c r="W304" s="318"/>
      <c r="X304" s="318"/>
      <c r="Y304" s="318"/>
      <c r="Z304" s="318"/>
      <c r="AA304" s="318"/>
      <c r="AB304" s="318"/>
      <c r="AC304" s="318"/>
      <c r="AD304" s="318"/>
    </row>
    <row r="305" spans="2:30" s="323" customFormat="1" ht="12" customHeight="1">
      <c r="B305" s="324"/>
      <c r="C305" s="325"/>
      <c r="D305" s="326"/>
      <c r="E305" s="326"/>
      <c r="F305" s="326"/>
      <c r="G305" s="326"/>
      <c r="H305" s="326"/>
      <c r="P305" s="318"/>
      <c r="Q305" s="318"/>
      <c r="R305" s="318"/>
      <c r="S305" s="318"/>
      <c r="T305" s="318"/>
      <c r="U305" s="318"/>
      <c r="V305" s="318"/>
      <c r="W305" s="318"/>
      <c r="X305" s="318"/>
      <c r="Y305" s="318"/>
      <c r="Z305" s="318"/>
      <c r="AA305" s="318"/>
      <c r="AB305" s="318"/>
      <c r="AC305" s="318"/>
      <c r="AD305" s="318"/>
    </row>
    <row r="306" spans="2:30" s="323" customFormat="1" ht="12" customHeight="1">
      <c r="B306" s="324"/>
      <c r="C306" s="325"/>
      <c r="D306" s="326"/>
      <c r="E306" s="326"/>
      <c r="F306" s="326"/>
      <c r="G306" s="326"/>
      <c r="H306" s="326"/>
      <c r="P306" s="318"/>
      <c r="Q306" s="318"/>
      <c r="R306" s="318"/>
      <c r="S306" s="318"/>
      <c r="T306" s="318"/>
      <c r="U306" s="318"/>
      <c r="V306" s="318"/>
      <c r="W306" s="318"/>
      <c r="X306" s="318"/>
      <c r="Y306" s="318"/>
      <c r="Z306" s="318"/>
      <c r="AA306" s="318"/>
      <c r="AB306" s="318"/>
      <c r="AC306" s="318"/>
      <c r="AD306" s="318"/>
    </row>
    <row r="307" spans="2:30" s="323" customFormat="1" ht="12" customHeight="1">
      <c r="B307" s="324"/>
      <c r="C307" s="325"/>
      <c r="D307" s="326"/>
      <c r="E307" s="326"/>
      <c r="F307" s="326"/>
      <c r="G307" s="326"/>
      <c r="H307" s="326"/>
      <c r="P307" s="318"/>
      <c r="Q307" s="318"/>
      <c r="R307" s="318"/>
      <c r="S307" s="318"/>
      <c r="T307" s="318"/>
      <c r="U307" s="318"/>
      <c r="V307" s="318"/>
      <c r="W307" s="318"/>
      <c r="X307" s="318"/>
      <c r="Y307" s="318"/>
      <c r="Z307" s="318"/>
      <c r="AA307" s="318"/>
      <c r="AB307" s="318"/>
      <c r="AC307" s="318"/>
      <c r="AD307" s="318"/>
    </row>
    <row r="308" spans="2:30" s="323" customFormat="1" ht="12" customHeight="1">
      <c r="B308" s="324"/>
      <c r="C308" s="325"/>
      <c r="D308" s="326"/>
      <c r="E308" s="326"/>
      <c r="F308" s="326"/>
      <c r="G308" s="326"/>
      <c r="H308" s="326"/>
      <c r="P308" s="318"/>
      <c r="Q308" s="318"/>
      <c r="R308" s="318"/>
      <c r="S308" s="318"/>
      <c r="T308" s="318"/>
      <c r="U308" s="318"/>
      <c r="V308" s="318"/>
      <c r="W308" s="318"/>
      <c r="X308" s="318"/>
      <c r="Y308" s="318"/>
      <c r="Z308" s="318"/>
      <c r="AA308" s="318"/>
      <c r="AB308" s="318"/>
      <c r="AC308" s="318"/>
      <c r="AD308" s="318"/>
    </row>
    <row r="309" spans="2:30" s="323" customFormat="1" ht="12" customHeight="1">
      <c r="B309" s="324"/>
      <c r="C309" s="325"/>
      <c r="D309" s="326"/>
      <c r="E309" s="326"/>
      <c r="F309" s="326"/>
      <c r="G309" s="326"/>
      <c r="H309" s="326"/>
      <c r="P309" s="318"/>
      <c r="Q309" s="318"/>
      <c r="R309" s="318"/>
      <c r="S309" s="318"/>
      <c r="T309" s="318"/>
      <c r="U309" s="318"/>
      <c r="V309" s="318"/>
      <c r="W309" s="318"/>
      <c r="X309" s="318"/>
      <c r="Y309" s="318"/>
      <c r="Z309" s="318"/>
      <c r="AA309" s="318"/>
      <c r="AB309" s="318"/>
      <c r="AC309" s="318"/>
      <c r="AD309" s="318"/>
    </row>
    <row r="310" spans="2:30" s="323" customFormat="1" ht="12" customHeight="1">
      <c r="B310" s="324"/>
      <c r="C310" s="325"/>
      <c r="D310" s="326"/>
      <c r="E310" s="326"/>
      <c r="F310" s="326"/>
      <c r="G310" s="326"/>
      <c r="H310" s="326"/>
      <c r="P310" s="318"/>
      <c r="Q310" s="318"/>
      <c r="R310" s="318"/>
      <c r="S310" s="318"/>
      <c r="T310" s="318"/>
      <c r="U310" s="318"/>
      <c r="V310" s="318"/>
      <c r="W310" s="318"/>
      <c r="X310" s="318"/>
      <c r="Y310" s="318"/>
      <c r="Z310" s="318"/>
      <c r="AA310" s="318"/>
      <c r="AB310" s="318"/>
      <c r="AC310" s="318"/>
      <c r="AD310" s="318"/>
    </row>
    <row r="311" spans="2:30" s="323" customFormat="1" ht="12" customHeight="1">
      <c r="B311" s="324"/>
      <c r="C311" s="325"/>
      <c r="D311" s="326"/>
      <c r="E311" s="326"/>
      <c r="F311" s="326"/>
      <c r="G311" s="326"/>
      <c r="H311" s="326"/>
      <c r="P311" s="318"/>
      <c r="Q311" s="318"/>
      <c r="R311" s="318"/>
      <c r="S311" s="318"/>
      <c r="T311" s="318"/>
      <c r="U311" s="318"/>
      <c r="V311" s="318"/>
      <c r="W311" s="318"/>
      <c r="X311" s="318"/>
      <c r="Y311" s="318"/>
      <c r="Z311" s="318"/>
      <c r="AA311" s="318"/>
      <c r="AB311" s="318"/>
      <c r="AC311" s="318"/>
      <c r="AD311" s="318"/>
    </row>
    <row r="312" spans="2:30" s="323" customFormat="1" ht="12" customHeight="1">
      <c r="B312" s="324"/>
      <c r="C312" s="325"/>
      <c r="D312" s="326"/>
      <c r="E312" s="326"/>
      <c r="F312" s="326"/>
      <c r="G312" s="326"/>
      <c r="H312" s="326"/>
      <c r="P312" s="318"/>
      <c r="Q312" s="318"/>
      <c r="R312" s="318"/>
      <c r="S312" s="318"/>
      <c r="T312" s="318"/>
      <c r="U312" s="318"/>
      <c r="V312" s="318"/>
      <c r="W312" s="318"/>
      <c r="X312" s="318"/>
      <c r="Y312" s="318"/>
      <c r="Z312" s="318"/>
      <c r="AA312" s="318"/>
      <c r="AB312" s="318"/>
      <c r="AC312" s="318"/>
      <c r="AD312" s="318"/>
    </row>
    <row r="313" spans="2:30" s="323" customFormat="1" ht="12" customHeight="1">
      <c r="B313" s="324"/>
      <c r="C313" s="325"/>
      <c r="D313" s="326"/>
      <c r="E313" s="326"/>
      <c r="F313" s="326"/>
      <c r="G313" s="326"/>
      <c r="H313" s="326"/>
      <c r="P313" s="318"/>
      <c r="Q313" s="318"/>
      <c r="R313" s="318"/>
      <c r="S313" s="318"/>
      <c r="T313" s="318"/>
      <c r="U313" s="318"/>
      <c r="V313" s="318"/>
      <c r="W313" s="318"/>
      <c r="X313" s="318"/>
      <c r="Y313" s="318"/>
      <c r="Z313" s="318"/>
      <c r="AA313" s="318"/>
      <c r="AB313" s="318"/>
      <c r="AC313" s="318"/>
      <c r="AD313" s="318"/>
    </row>
    <row r="314" spans="2:30" s="323" customFormat="1" ht="12" customHeight="1">
      <c r="B314" s="324"/>
      <c r="C314" s="325"/>
      <c r="D314" s="326"/>
      <c r="E314" s="326"/>
      <c r="F314" s="326"/>
      <c r="G314" s="326"/>
      <c r="H314" s="326"/>
      <c r="P314" s="318"/>
      <c r="Q314" s="318"/>
      <c r="R314" s="318"/>
      <c r="S314" s="318"/>
      <c r="T314" s="318"/>
      <c r="U314" s="318"/>
      <c r="V314" s="318"/>
      <c r="W314" s="318"/>
      <c r="X314" s="318"/>
      <c r="Y314" s="318"/>
      <c r="Z314" s="318"/>
      <c r="AA314" s="318"/>
      <c r="AB314" s="318"/>
      <c r="AC314" s="318"/>
      <c r="AD314" s="318"/>
    </row>
    <row r="315" spans="2:30" s="323" customFormat="1" ht="12" customHeight="1">
      <c r="B315" s="324"/>
      <c r="C315" s="325"/>
      <c r="D315" s="326"/>
      <c r="E315" s="326"/>
      <c r="F315" s="326"/>
      <c r="G315" s="326"/>
      <c r="H315" s="326"/>
      <c r="P315" s="318"/>
      <c r="Q315" s="318"/>
      <c r="R315" s="318"/>
      <c r="S315" s="318"/>
      <c r="T315" s="318"/>
      <c r="U315" s="318"/>
      <c r="V315" s="318"/>
      <c r="W315" s="318"/>
      <c r="X315" s="318"/>
      <c r="Y315" s="318"/>
      <c r="Z315" s="318"/>
      <c r="AA315" s="318"/>
      <c r="AB315" s="318"/>
      <c r="AC315" s="318"/>
      <c r="AD315" s="318"/>
    </row>
    <row r="316" spans="2:30" s="323" customFormat="1" ht="12" customHeight="1">
      <c r="B316" s="324"/>
      <c r="C316" s="325"/>
      <c r="D316" s="326"/>
      <c r="E316" s="326"/>
      <c r="F316" s="326"/>
      <c r="G316" s="326"/>
      <c r="H316" s="326"/>
      <c r="P316" s="318"/>
      <c r="Q316" s="318"/>
      <c r="R316" s="318"/>
      <c r="S316" s="318"/>
      <c r="T316" s="318"/>
      <c r="U316" s="318"/>
      <c r="V316" s="318"/>
      <c r="W316" s="318"/>
      <c r="X316" s="318"/>
      <c r="Y316" s="318"/>
      <c r="Z316" s="318"/>
      <c r="AA316" s="318"/>
      <c r="AB316" s="318"/>
      <c r="AC316" s="318"/>
      <c r="AD316" s="318"/>
    </row>
    <row r="317" spans="2:30" s="323" customFormat="1" ht="12" customHeight="1">
      <c r="B317" s="324"/>
      <c r="C317" s="325"/>
      <c r="D317" s="326"/>
      <c r="E317" s="326"/>
      <c r="F317" s="326"/>
      <c r="G317" s="326"/>
      <c r="H317" s="326"/>
      <c r="P317" s="318"/>
      <c r="Q317" s="318"/>
      <c r="R317" s="318"/>
      <c r="S317" s="318"/>
      <c r="T317" s="318"/>
      <c r="U317" s="318"/>
      <c r="V317" s="318"/>
      <c r="W317" s="318"/>
      <c r="X317" s="318"/>
      <c r="Y317" s="318"/>
      <c r="Z317" s="318"/>
      <c r="AA317" s="318"/>
      <c r="AB317" s="318"/>
      <c r="AC317" s="318"/>
      <c r="AD317" s="318"/>
    </row>
    <row r="318" spans="2:30" s="323" customFormat="1" ht="12" customHeight="1">
      <c r="B318" s="324"/>
      <c r="C318" s="325"/>
      <c r="D318" s="326"/>
      <c r="E318" s="326"/>
      <c r="F318" s="326"/>
      <c r="G318" s="326"/>
      <c r="H318" s="326"/>
      <c r="P318" s="318"/>
      <c r="Q318" s="318"/>
      <c r="R318" s="318"/>
      <c r="S318" s="318"/>
      <c r="T318" s="318"/>
      <c r="U318" s="318"/>
      <c r="V318" s="318"/>
      <c r="W318" s="318"/>
      <c r="X318" s="318"/>
      <c r="Y318" s="318"/>
      <c r="Z318" s="318"/>
      <c r="AA318" s="318"/>
      <c r="AB318" s="318"/>
      <c r="AC318" s="318"/>
      <c r="AD318" s="318"/>
    </row>
    <row r="319" spans="2:30" s="323" customFormat="1" ht="12" customHeight="1">
      <c r="B319" s="324"/>
      <c r="C319" s="325"/>
      <c r="D319" s="326"/>
      <c r="E319" s="326"/>
      <c r="F319" s="326"/>
      <c r="G319" s="326"/>
      <c r="H319" s="326"/>
      <c r="P319" s="318"/>
      <c r="Q319" s="318"/>
      <c r="R319" s="318"/>
      <c r="S319" s="318"/>
      <c r="T319" s="318"/>
      <c r="U319" s="318"/>
      <c r="V319" s="318"/>
      <c r="W319" s="318"/>
      <c r="X319" s="318"/>
      <c r="Y319" s="318"/>
      <c r="Z319" s="318"/>
      <c r="AA319" s="318"/>
      <c r="AB319" s="318"/>
      <c r="AC319" s="318"/>
      <c r="AD319" s="318"/>
    </row>
    <row r="320" spans="2:30" s="323" customFormat="1" ht="12" customHeight="1">
      <c r="B320" s="324"/>
      <c r="C320" s="325"/>
      <c r="D320" s="326"/>
      <c r="E320" s="326"/>
      <c r="F320" s="326"/>
      <c r="G320" s="326"/>
      <c r="H320" s="326"/>
      <c r="P320" s="318"/>
      <c r="Q320" s="318"/>
      <c r="R320" s="318"/>
      <c r="S320" s="318"/>
      <c r="T320" s="318"/>
      <c r="U320" s="318"/>
      <c r="V320" s="318"/>
      <c r="W320" s="318"/>
      <c r="X320" s="318"/>
      <c r="Y320" s="318"/>
      <c r="Z320" s="318"/>
      <c r="AA320" s="318"/>
      <c r="AB320" s="318"/>
      <c r="AC320" s="318"/>
      <c r="AD320" s="318"/>
    </row>
    <row r="321" spans="2:30" s="323" customFormat="1" ht="12" customHeight="1">
      <c r="B321" s="324"/>
      <c r="C321" s="325"/>
      <c r="D321" s="326"/>
      <c r="E321" s="326"/>
      <c r="F321" s="326"/>
      <c r="G321" s="326"/>
      <c r="H321" s="326"/>
      <c r="P321" s="318"/>
      <c r="Q321" s="318"/>
      <c r="R321" s="318"/>
      <c r="S321" s="318"/>
      <c r="T321" s="318"/>
      <c r="U321" s="318"/>
      <c r="V321" s="318"/>
      <c r="W321" s="318"/>
      <c r="X321" s="318"/>
      <c r="Y321" s="318"/>
      <c r="Z321" s="318"/>
      <c r="AA321" s="318"/>
      <c r="AB321" s="318"/>
      <c r="AC321" s="318"/>
      <c r="AD321" s="318"/>
    </row>
    <row r="322" spans="2:30" s="323" customFormat="1" ht="12" customHeight="1">
      <c r="B322" s="324"/>
      <c r="C322" s="325"/>
      <c r="D322" s="326"/>
      <c r="E322" s="326"/>
      <c r="F322" s="326"/>
      <c r="G322" s="326"/>
      <c r="H322" s="326"/>
      <c r="P322" s="318"/>
      <c r="Q322" s="318"/>
      <c r="R322" s="318"/>
      <c r="S322" s="318"/>
      <c r="T322" s="318"/>
      <c r="U322" s="318"/>
      <c r="V322" s="318"/>
      <c r="W322" s="318"/>
      <c r="X322" s="318"/>
      <c r="Y322" s="318"/>
      <c r="Z322" s="318"/>
      <c r="AA322" s="318"/>
      <c r="AB322" s="318"/>
      <c r="AC322" s="318"/>
      <c r="AD322" s="318"/>
    </row>
    <row r="323" spans="2:30" s="323" customFormat="1" ht="12" customHeight="1">
      <c r="B323" s="324"/>
      <c r="C323" s="325"/>
      <c r="D323" s="326"/>
      <c r="E323" s="326"/>
      <c r="F323" s="326"/>
      <c r="G323" s="326"/>
      <c r="H323" s="326"/>
      <c r="P323" s="318"/>
      <c r="Q323" s="318"/>
      <c r="R323" s="318"/>
      <c r="S323" s="318"/>
      <c r="T323" s="318"/>
      <c r="U323" s="318"/>
      <c r="V323" s="318"/>
      <c r="W323" s="318"/>
      <c r="X323" s="318"/>
      <c r="Y323" s="318"/>
      <c r="Z323" s="318"/>
      <c r="AA323" s="318"/>
      <c r="AB323" s="318"/>
      <c r="AC323" s="318"/>
      <c r="AD323" s="318"/>
    </row>
    <row r="324" spans="2:30" s="323" customFormat="1" ht="12" customHeight="1">
      <c r="B324" s="324"/>
      <c r="C324" s="325"/>
      <c r="D324" s="326"/>
      <c r="E324" s="326"/>
      <c r="F324" s="326"/>
      <c r="G324" s="326"/>
      <c r="H324" s="326"/>
      <c r="P324" s="318"/>
      <c r="Q324" s="318"/>
      <c r="R324" s="318"/>
      <c r="S324" s="318"/>
      <c r="T324" s="318"/>
      <c r="U324" s="318"/>
      <c r="V324" s="318"/>
      <c r="W324" s="318"/>
      <c r="X324" s="318"/>
      <c r="Y324" s="318"/>
      <c r="Z324" s="318"/>
      <c r="AA324" s="318"/>
      <c r="AB324" s="318"/>
      <c r="AC324" s="318"/>
      <c r="AD324" s="318"/>
    </row>
    <row r="325" spans="2:30" s="323" customFormat="1" ht="12" customHeight="1">
      <c r="B325" s="324"/>
      <c r="C325" s="325"/>
      <c r="D325" s="326"/>
      <c r="E325" s="326"/>
      <c r="F325" s="326"/>
      <c r="G325" s="326"/>
      <c r="H325" s="326"/>
      <c r="P325" s="318"/>
      <c r="Q325" s="318"/>
      <c r="R325" s="318"/>
      <c r="S325" s="318"/>
      <c r="T325" s="318"/>
      <c r="U325" s="318"/>
      <c r="V325" s="318"/>
      <c r="W325" s="318"/>
      <c r="X325" s="318"/>
      <c r="Y325" s="318"/>
      <c r="Z325" s="318"/>
      <c r="AA325" s="318"/>
      <c r="AB325" s="318"/>
      <c r="AC325" s="318"/>
      <c r="AD325" s="318"/>
    </row>
    <row r="326" spans="2:30" s="323" customFormat="1" ht="12" customHeight="1">
      <c r="B326" s="324"/>
      <c r="C326" s="325"/>
      <c r="D326" s="326"/>
      <c r="E326" s="326"/>
      <c r="F326" s="326"/>
      <c r="G326" s="326"/>
      <c r="H326" s="326"/>
      <c r="P326" s="318"/>
      <c r="Q326" s="318"/>
      <c r="R326" s="318"/>
      <c r="S326" s="318"/>
      <c r="T326" s="318"/>
      <c r="U326" s="318"/>
      <c r="V326" s="318"/>
      <c r="W326" s="318"/>
      <c r="X326" s="318"/>
      <c r="Y326" s="318"/>
      <c r="Z326" s="318"/>
      <c r="AA326" s="318"/>
      <c r="AB326" s="318"/>
      <c r="AC326" s="318"/>
      <c r="AD326" s="318"/>
    </row>
    <row r="327" spans="2:30" s="323" customFormat="1" ht="12" customHeight="1">
      <c r="B327" s="324"/>
      <c r="C327" s="325"/>
      <c r="D327" s="326"/>
      <c r="E327" s="326"/>
      <c r="F327" s="326"/>
      <c r="G327" s="326"/>
      <c r="H327" s="326"/>
      <c r="P327" s="318"/>
      <c r="Q327" s="318"/>
      <c r="R327" s="318"/>
      <c r="S327" s="318"/>
      <c r="T327" s="318"/>
      <c r="U327" s="318"/>
      <c r="V327" s="318"/>
      <c r="W327" s="318"/>
      <c r="X327" s="318"/>
      <c r="Y327" s="318"/>
      <c r="Z327" s="318"/>
      <c r="AA327" s="318"/>
      <c r="AB327" s="318"/>
      <c r="AC327" s="318"/>
      <c r="AD327" s="318"/>
    </row>
    <row r="328" spans="2:30" s="323" customFormat="1" ht="12" customHeight="1">
      <c r="B328" s="324"/>
      <c r="C328" s="325"/>
      <c r="D328" s="326"/>
      <c r="E328" s="326"/>
      <c r="F328" s="326"/>
      <c r="G328" s="326"/>
      <c r="H328" s="326"/>
      <c r="P328" s="318"/>
      <c r="Q328" s="318"/>
      <c r="R328" s="318"/>
      <c r="S328" s="318"/>
      <c r="T328" s="318"/>
      <c r="U328" s="318"/>
      <c r="V328" s="318"/>
      <c r="W328" s="318"/>
      <c r="X328" s="318"/>
      <c r="Y328" s="318"/>
      <c r="Z328" s="318"/>
      <c r="AA328" s="318"/>
      <c r="AB328" s="318"/>
      <c r="AC328" s="318"/>
      <c r="AD328" s="318"/>
    </row>
    <row r="329" spans="2:30" s="323" customFormat="1" ht="12" customHeight="1">
      <c r="B329" s="324"/>
      <c r="C329" s="325"/>
      <c r="D329" s="326"/>
      <c r="E329" s="326"/>
      <c r="F329" s="326"/>
      <c r="G329" s="326"/>
      <c r="H329" s="326"/>
      <c r="P329" s="318"/>
      <c r="Q329" s="318"/>
      <c r="R329" s="318"/>
      <c r="S329" s="318"/>
      <c r="T329" s="318"/>
      <c r="U329" s="318"/>
      <c r="V329" s="318"/>
      <c r="W329" s="318"/>
      <c r="X329" s="318"/>
      <c r="Y329" s="318"/>
      <c r="Z329" s="318"/>
      <c r="AA329" s="318"/>
      <c r="AB329" s="318"/>
      <c r="AC329" s="318"/>
      <c r="AD329" s="318"/>
    </row>
    <row r="330" spans="2:30" s="323" customFormat="1" ht="12" customHeight="1">
      <c r="B330" s="324"/>
      <c r="C330" s="325"/>
      <c r="D330" s="326"/>
      <c r="E330" s="326"/>
      <c r="F330" s="326"/>
      <c r="G330" s="326"/>
      <c r="H330" s="326"/>
      <c r="P330" s="318"/>
      <c r="Q330" s="318"/>
      <c r="R330" s="318"/>
      <c r="S330" s="318"/>
      <c r="T330" s="318"/>
      <c r="U330" s="318"/>
      <c r="V330" s="318"/>
      <c r="W330" s="318"/>
      <c r="X330" s="318"/>
      <c r="Y330" s="318"/>
      <c r="Z330" s="318"/>
      <c r="AA330" s="318"/>
      <c r="AB330" s="318"/>
      <c r="AC330" s="318"/>
      <c r="AD330" s="318"/>
    </row>
    <row r="331" spans="2:30" s="323" customFormat="1" ht="12" customHeight="1">
      <c r="B331" s="324"/>
      <c r="C331" s="325"/>
      <c r="D331" s="326"/>
      <c r="E331" s="326"/>
      <c r="F331" s="326"/>
      <c r="G331" s="326"/>
      <c r="H331" s="326"/>
      <c r="P331" s="318"/>
      <c r="Q331" s="318"/>
      <c r="R331" s="318"/>
      <c r="S331" s="318"/>
      <c r="T331" s="318"/>
      <c r="U331" s="318"/>
      <c r="V331" s="318"/>
      <c r="W331" s="318"/>
      <c r="X331" s="318"/>
      <c r="Y331" s="318"/>
      <c r="Z331" s="318"/>
      <c r="AA331" s="318"/>
      <c r="AB331" s="318"/>
      <c r="AC331" s="318"/>
      <c r="AD331" s="318"/>
    </row>
    <row r="332" spans="2:30" s="323" customFormat="1" ht="12" customHeight="1">
      <c r="B332" s="324"/>
      <c r="C332" s="325"/>
      <c r="D332" s="326"/>
      <c r="E332" s="326"/>
      <c r="F332" s="326"/>
      <c r="G332" s="326"/>
      <c r="H332" s="326"/>
      <c r="P332" s="318"/>
      <c r="Q332" s="318"/>
      <c r="R332" s="318"/>
      <c r="S332" s="318"/>
      <c r="T332" s="318"/>
      <c r="U332" s="318"/>
      <c r="V332" s="318"/>
      <c r="W332" s="318"/>
      <c r="X332" s="318"/>
      <c r="Y332" s="318"/>
      <c r="Z332" s="318"/>
      <c r="AA332" s="318"/>
      <c r="AB332" s="318"/>
      <c r="AC332" s="318"/>
      <c r="AD332" s="318"/>
    </row>
    <row r="333" spans="2:30" s="323" customFormat="1" ht="12" customHeight="1">
      <c r="B333" s="324"/>
      <c r="C333" s="325"/>
      <c r="D333" s="326"/>
      <c r="E333" s="326"/>
      <c r="F333" s="326"/>
      <c r="G333" s="326"/>
      <c r="H333" s="326"/>
      <c r="P333" s="318"/>
      <c r="Q333" s="318"/>
      <c r="R333" s="318"/>
      <c r="S333" s="318"/>
      <c r="T333" s="318"/>
      <c r="U333" s="318"/>
      <c r="V333" s="318"/>
      <c r="W333" s="318"/>
      <c r="X333" s="318"/>
      <c r="Y333" s="318"/>
      <c r="Z333" s="318"/>
      <c r="AA333" s="318"/>
      <c r="AB333" s="318"/>
      <c r="AC333" s="318"/>
      <c r="AD333" s="318"/>
    </row>
    <row r="334" spans="2:30" s="323" customFormat="1" ht="12" customHeight="1">
      <c r="B334" s="324"/>
      <c r="C334" s="325"/>
      <c r="D334" s="326"/>
      <c r="E334" s="326"/>
      <c r="F334" s="326"/>
      <c r="G334" s="326"/>
      <c r="H334" s="326"/>
      <c r="P334" s="318"/>
      <c r="Q334" s="318"/>
      <c r="R334" s="318"/>
      <c r="S334" s="318"/>
      <c r="T334" s="318"/>
      <c r="U334" s="318"/>
      <c r="V334" s="318"/>
      <c r="W334" s="318"/>
      <c r="X334" s="318"/>
      <c r="Y334" s="318"/>
      <c r="Z334" s="318"/>
      <c r="AA334" s="318"/>
      <c r="AB334" s="318"/>
      <c r="AC334" s="318"/>
      <c r="AD334" s="318"/>
    </row>
    <row r="335" spans="2:30" s="323" customFormat="1" ht="12" customHeight="1">
      <c r="B335" s="324"/>
      <c r="C335" s="325"/>
      <c r="D335" s="326"/>
      <c r="E335" s="326"/>
      <c r="F335" s="326"/>
      <c r="G335" s="326"/>
      <c r="H335" s="326"/>
      <c r="P335" s="318"/>
      <c r="Q335" s="318"/>
      <c r="R335" s="318"/>
      <c r="S335" s="318"/>
      <c r="T335" s="318"/>
      <c r="U335" s="318"/>
      <c r="V335" s="318"/>
      <c r="W335" s="318"/>
      <c r="X335" s="318"/>
      <c r="Y335" s="318"/>
      <c r="Z335" s="318"/>
      <c r="AA335" s="318"/>
      <c r="AB335" s="318"/>
      <c r="AC335" s="318"/>
      <c r="AD335" s="318"/>
    </row>
    <row r="336" spans="2:30" s="323" customFormat="1" ht="12" customHeight="1">
      <c r="B336" s="324"/>
      <c r="C336" s="325"/>
      <c r="D336" s="326"/>
      <c r="E336" s="326"/>
      <c r="F336" s="326"/>
      <c r="G336" s="326"/>
      <c r="H336" s="326"/>
      <c r="P336" s="318"/>
      <c r="Q336" s="318"/>
      <c r="R336" s="318"/>
      <c r="S336" s="318"/>
      <c r="T336" s="318"/>
      <c r="U336" s="318"/>
      <c r="V336" s="318"/>
      <c r="W336" s="318"/>
      <c r="X336" s="318"/>
      <c r="Y336" s="318"/>
      <c r="Z336" s="318"/>
      <c r="AA336" s="318"/>
      <c r="AB336" s="318"/>
      <c r="AC336" s="318"/>
      <c r="AD336" s="318"/>
    </row>
    <row r="337" spans="2:30" s="323" customFormat="1" ht="12" customHeight="1">
      <c r="B337" s="324"/>
      <c r="C337" s="325"/>
      <c r="D337" s="326"/>
      <c r="E337" s="326"/>
      <c r="F337" s="326"/>
      <c r="G337" s="326"/>
      <c r="H337" s="326"/>
      <c r="P337" s="318"/>
      <c r="Q337" s="318"/>
      <c r="R337" s="318"/>
      <c r="S337" s="318"/>
      <c r="T337" s="318"/>
      <c r="U337" s="318"/>
      <c r="V337" s="318"/>
      <c r="W337" s="318"/>
      <c r="X337" s="318"/>
      <c r="Y337" s="318"/>
      <c r="Z337" s="318"/>
      <c r="AA337" s="318"/>
      <c r="AB337" s="318"/>
      <c r="AC337" s="318"/>
      <c r="AD337" s="318"/>
    </row>
    <row r="338" spans="2:30" s="323" customFormat="1" ht="12" customHeight="1">
      <c r="B338" s="324"/>
      <c r="C338" s="325"/>
      <c r="D338" s="326"/>
      <c r="E338" s="326"/>
      <c r="F338" s="326"/>
      <c r="G338" s="326"/>
      <c r="H338" s="326"/>
      <c r="P338" s="318"/>
      <c r="Q338" s="318"/>
      <c r="R338" s="318"/>
      <c r="S338" s="318"/>
      <c r="T338" s="318"/>
      <c r="U338" s="318"/>
      <c r="V338" s="318"/>
      <c r="W338" s="318"/>
      <c r="X338" s="318"/>
      <c r="Y338" s="318"/>
      <c r="Z338" s="318"/>
      <c r="AA338" s="318"/>
      <c r="AB338" s="318"/>
      <c r="AC338" s="318"/>
      <c r="AD338" s="318"/>
    </row>
    <row r="339" spans="2:30" s="323" customFormat="1" ht="12" customHeight="1">
      <c r="B339" s="324"/>
      <c r="C339" s="325"/>
      <c r="D339" s="326"/>
      <c r="E339" s="326"/>
      <c r="F339" s="326"/>
      <c r="G339" s="326"/>
      <c r="H339" s="326"/>
      <c r="P339" s="318"/>
      <c r="Q339" s="318"/>
      <c r="R339" s="318"/>
      <c r="S339" s="318"/>
      <c r="T339" s="318"/>
      <c r="U339" s="318"/>
      <c r="V339" s="318"/>
      <c r="W339" s="318"/>
      <c r="X339" s="318"/>
      <c r="Y339" s="318"/>
      <c r="Z339" s="318"/>
      <c r="AA339" s="318"/>
      <c r="AB339" s="318"/>
      <c r="AC339" s="318"/>
      <c r="AD339" s="318"/>
    </row>
    <row r="340" spans="2:30" s="323" customFormat="1" ht="12" customHeight="1">
      <c r="B340" s="324"/>
      <c r="C340" s="325"/>
      <c r="D340" s="326"/>
      <c r="E340" s="326"/>
      <c r="F340" s="326"/>
      <c r="G340" s="326"/>
      <c r="H340" s="326"/>
      <c r="P340" s="318"/>
      <c r="Q340" s="318"/>
      <c r="R340" s="318"/>
      <c r="S340" s="318"/>
      <c r="T340" s="318"/>
      <c r="U340" s="318"/>
      <c r="V340" s="318"/>
      <c r="W340" s="318"/>
      <c r="X340" s="318"/>
      <c r="Y340" s="318"/>
      <c r="Z340" s="318"/>
      <c r="AA340" s="318"/>
      <c r="AB340" s="318"/>
      <c r="AC340" s="318"/>
      <c r="AD340" s="318"/>
    </row>
    <row r="341" spans="2:30" s="323" customFormat="1" ht="12" customHeight="1">
      <c r="B341" s="324"/>
      <c r="C341" s="325"/>
      <c r="D341" s="326"/>
      <c r="E341" s="326"/>
      <c r="F341" s="326"/>
      <c r="G341" s="326"/>
      <c r="H341" s="326"/>
      <c r="P341" s="318"/>
      <c r="Q341" s="318"/>
      <c r="R341" s="318"/>
      <c r="S341" s="318"/>
      <c r="T341" s="318"/>
      <c r="U341" s="318"/>
      <c r="V341" s="318"/>
      <c r="W341" s="318"/>
      <c r="X341" s="318"/>
      <c r="Y341" s="318"/>
      <c r="Z341" s="318"/>
      <c r="AA341" s="318"/>
      <c r="AB341" s="318"/>
      <c r="AC341" s="318"/>
      <c r="AD341" s="318"/>
    </row>
    <row r="342" spans="2:30" s="323" customFormat="1" ht="12" customHeight="1">
      <c r="B342" s="324"/>
      <c r="C342" s="325"/>
      <c r="D342" s="326"/>
      <c r="E342" s="326"/>
      <c r="F342" s="326"/>
      <c r="G342" s="326"/>
      <c r="H342" s="326"/>
      <c r="P342" s="318"/>
      <c r="Q342" s="318"/>
      <c r="R342" s="318"/>
      <c r="S342" s="318"/>
      <c r="T342" s="318"/>
      <c r="U342" s="318"/>
      <c r="V342" s="318"/>
      <c r="W342" s="318"/>
      <c r="X342" s="318"/>
      <c r="Y342" s="318"/>
      <c r="Z342" s="318"/>
      <c r="AA342" s="318"/>
      <c r="AB342" s="318"/>
      <c r="AC342" s="318"/>
      <c r="AD342" s="318"/>
    </row>
    <row r="343" spans="2:30" s="323" customFormat="1" ht="12" customHeight="1">
      <c r="B343" s="324"/>
      <c r="C343" s="325"/>
      <c r="D343" s="326"/>
      <c r="E343" s="326"/>
      <c r="F343" s="326"/>
      <c r="G343" s="326"/>
      <c r="H343" s="326"/>
      <c r="P343" s="318"/>
      <c r="Q343" s="318"/>
      <c r="R343" s="318"/>
      <c r="S343" s="318"/>
      <c r="T343" s="318"/>
      <c r="U343" s="318"/>
      <c r="V343" s="318"/>
      <c r="W343" s="318"/>
      <c r="X343" s="318"/>
      <c r="Y343" s="318"/>
      <c r="Z343" s="318"/>
      <c r="AA343" s="318"/>
      <c r="AB343" s="318"/>
      <c r="AC343" s="318"/>
      <c r="AD343" s="318"/>
    </row>
    <row r="344" spans="2:30" s="323" customFormat="1" ht="12" customHeight="1">
      <c r="B344" s="324"/>
      <c r="C344" s="325"/>
      <c r="D344" s="326"/>
      <c r="E344" s="326"/>
      <c r="F344" s="326"/>
      <c r="G344" s="326"/>
      <c r="H344" s="326"/>
      <c r="P344" s="318"/>
      <c r="Q344" s="318"/>
      <c r="R344" s="318"/>
      <c r="S344" s="318"/>
      <c r="T344" s="318"/>
      <c r="U344" s="318"/>
      <c r="V344" s="318"/>
      <c r="W344" s="318"/>
      <c r="X344" s="318"/>
      <c r="Y344" s="318"/>
      <c r="Z344" s="318"/>
      <c r="AA344" s="318"/>
      <c r="AB344" s="318"/>
      <c r="AC344" s="318"/>
      <c r="AD344" s="318"/>
    </row>
    <row r="345" spans="2:30" s="323" customFormat="1" ht="12" customHeight="1">
      <c r="B345" s="324"/>
      <c r="C345" s="325"/>
      <c r="D345" s="326"/>
      <c r="E345" s="326"/>
      <c r="F345" s="326"/>
      <c r="G345" s="326"/>
      <c r="H345" s="326"/>
      <c r="P345" s="318"/>
      <c r="Q345" s="318"/>
      <c r="R345" s="318"/>
      <c r="S345" s="318"/>
      <c r="T345" s="318"/>
      <c r="U345" s="318"/>
      <c r="V345" s="318"/>
      <c r="W345" s="318"/>
      <c r="X345" s="318"/>
      <c r="Y345" s="318"/>
      <c r="Z345" s="318"/>
      <c r="AA345" s="318"/>
      <c r="AB345" s="318"/>
      <c r="AC345" s="318"/>
      <c r="AD345" s="318"/>
    </row>
    <row r="346" spans="2:30" s="323" customFormat="1" ht="12" customHeight="1">
      <c r="B346" s="324"/>
      <c r="C346" s="325"/>
      <c r="D346" s="326"/>
      <c r="E346" s="326"/>
      <c r="F346" s="326"/>
      <c r="G346" s="326"/>
      <c r="H346" s="326"/>
      <c r="P346" s="318"/>
      <c r="Q346" s="318"/>
      <c r="R346" s="318"/>
      <c r="S346" s="318"/>
      <c r="T346" s="318"/>
      <c r="U346" s="318"/>
      <c r="V346" s="318"/>
      <c r="W346" s="318"/>
      <c r="X346" s="318"/>
      <c r="Y346" s="318"/>
      <c r="Z346" s="318"/>
      <c r="AA346" s="318"/>
      <c r="AB346" s="318"/>
      <c r="AC346" s="318"/>
      <c r="AD346" s="318"/>
    </row>
    <row r="347" spans="2:30" s="323" customFormat="1" ht="12" customHeight="1">
      <c r="B347" s="324"/>
      <c r="C347" s="325"/>
      <c r="D347" s="326"/>
      <c r="E347" s="326"/>
      <c r="F347" s="326"/>
      <c r="G347" s="326"/>
      <c r="H347" s="326"/>
      <c r="P347" s="318"/>
      <c r="Q347" s="318"/>
      <c r="R347" s="318"/>
      <c r="S347" s="318"/>
      <c r="T347" s="318"/>
      <c r="U347" s="318"/>
      <c r="V347" s="318"/>
      <c r="W347" s="318"/>
      <c r="X347" s="318"/>
      <c r="Y347" s="318"/>
      <c r="Z347" s="318"/>
      <c r="AA347" s="318"/>
      <c r="AB347" s="318"/>
      <c r="AC347" s="318"/>
      <c r="AD347" s="318"/>
    </row>
    <row r="348" spans="2:30" s="323" customFormat="1" ht="12" customHeight="1">
      <c r="B348" s="324"/>
      <c r="C348" s="325"/>
      <c r="D348" s="326"/>
      <c r="E348" s="326"/>
      <c r="F348" s="326"/>
      <c r="G348" s="326"/>
      <c r="H348" s="326"/>
      <c r="P348" s="318"/>
      <c r="Q348" s="318"/>
      <c r="R348" s="318"/>
      <c r="S348" s="318"/>
      <c r="T348" s="318"/>
      <c r="U348" s="318"/>
      <c r="V348" s="318"/>
      <c r="W348" s="318"/>
      <c r="X348" s="318"/>
      <c r="Y348" s="318"/>
      <c r="Z348" s="318"/>
      <c r="AA348" s="318"/>
      <c r="AB348" s="318"/>
      <c r="AC348" s="318"/>
      <c r="AD348" s="318"/>
    </row>
    <row r="349" spans="2:30" s="323" customFormat="1" ht="12" customHeight="1">
      <c r="B349" s="324"/>
      <c r="C349" s="325"/>
      <c r="D349" s="326"/>
      <c r="E349" s="326"/>
      <c r="F349" s="326"/>
      <c r="G349" s="326"/>
      <c r="H349" s="326"/>
      <c r="P349" s="318"/>
      <c r="Q349" s="318"/>
      <c r="R349" s="318"/>
      <c r="S349" s="318"/>
      <c r="T349" s="318"/>
      <c r="U349" s="318"/>
      <c r="V349" s="318"/>
      <c r="W349" s="318"/>
      <c r="X349" s="318"/>
      <c r="Y349" s="318"/>
      <c r="Z349" s="318"/>
      <c r="AA349" s="318"/>
      <c r="AB349" s="318"/>
      <c r="AC349" s="318"/>
      <c r="AD349" s="318"/>
    </row>
    <row r="350" spans="2:30" s="323" customFormat="1" ht="12" customHeight="1">
      <c r="B350" s="324"/>
      <c r="C350" s="325"/>
      <c r="D350" s="326"/>
      <c r="E350" s="326"/>
      <c r="F350" s="326"/>
      <c r="G350" s="326"/>
      <c r="H350" s="326"/>
      <c r="P350" s="318"/>
      <c r="Q350" s="318"/>
      <c r="R350" s="318"/>
      <c r="S350" s="318"/>
      <c r="T350" s="318"/>
      <c r="U350" s="318"/>
      <c r="V350" s="318"/>
      <c r="W350" s="318"/>
      <c r="X350" s="318"/>
      <c r="Y350" s="318"/>
      <c r="Z350" s="318"/>
      <c r="AA350" s="318"/>
      <c r="AB350" s="318"/>
      <c r="AC350" s="318"/>
      <c r="AD350" s="318"/>
    </row>
    <row r="351" spans="2:30" s="323" customFormat="1" ht="12" customHeight="1">
      <c r="B351" s="324"/>
      <c r="C351" s="325"/>
      <c r="D351" s="326"/>
      <c r="E351" s="326"/>
      <c r="F351" s="326"/>
      <c r="G351" s="326"/>
      <c r="H351" s="326"/>
      <c r="P351" s="318"/>
      <c r="Q351" s="318"/>
      <c r="R351" s="318"/>
      <c r="S351" s="318"/>
      <c r="T351" s="318"/>
      <c r="U351" s="318"/>
      <c r="V351" s="318"/>
      <c r="W351" s="318"/>
      <c r="X351" s="318"/>
      <c r="Y351" s="318"/>
      <c r="Z351" s="318"/>
      <c r="AA351" s="318"/>
      <c r="AB351" s="318"/>
      <c r="AC351" s="318"/>
      <c r="AD351" s="318"/>
    </row>
    <row r="352" spans="2:30" s="323" customFormat="1" ht="12" customHeight="1">
      <c r="B352" s="324"/>
      <c r="C352" s="325"/>
      <c r="D352" s="326"/>
      <c r="E352" s="326"/>
      <c r="F352" s="326"/>
      <c r="G352" s="326"/>
      <c r="H352" s="326"/>
      <c r="P352" s="318"/>
      <c r="Q352" s="318"/>
      <c r="R352" s="318"/>
      <c r="S352" s="318"/>
      <c r="T352" s="318"/>
      <c r="U352" s="318"/>
      <c r="V352" s="318"/>
      <c r="W352" s="318"/>
      <c r="X352" s="318"/>
      <c r="Y352" s="318"/>
      <c r="Z352" s="318"/>
      <c r="AA352" s="318"/>
      <c r="AB352" s="318"/>
      <c r="AC352" s="318"/>
      <c r="AD352" s="318"/>
    </row>
    <row r="353" spans="2:30" s="323" customFormat="1" ht="12" customHeight="1">
      <c r="B353" s="324"/>
      <c r="C353" s="325"/>
      <c r="D353" s="326"/>
      <c r="E353" s="326"/>
      <c r="F353" s="326"/>
      <c r="G353" s="326"/>
      <c r="H353" s="326"/>
      <c r="P353" s="318"/>
      <c r="Q353" s="318"/>
      <c r="R353" s="318"/>
      <c r="S353" s="318"/>
      <c r="T353" s="318"/>
      <c r="U353" s="318"/>
      <c r="V353" s="318"/>
      <c r="W353" s="318"/>
      <c r="X353" s="318"/>
      <c r="Y353" s="318"/>
      <c r="Z353" s="318"/>
      <c r="AA353" s="318"/>
      <c r="AB353" s="318"/>
      <c r="AC353" s="318"/>
      <c r="AD353" s="318"/>
    </row>
    <row r="354" spans="2:30" s="323" customFormat="1" ht="12" customHeight="1">
      <c r="B354" s="324"/>
      <c r="C354" s="325"/>
      <c r="D354" s="326"/>
      <c r="E354" s="326"/>
      <c r="F354" s="326"/>
      <c r="G354" s="326"/>
      <c r="H354" s="326"/>
      <c r="P354" s="318"/>
      <c r="Q354" s="318"/>
      <c r="R354" s="318"/>
      <c r="S354" s="318"/>
      <c r="T354" s="318"/>
      <c r="U354" s="318"/>
      <c r="V354" s="318"/>
      <c r="W354" s="318"/>
      <c r="X354" s="318"/>
      <c r="Y354" s="318"/>
      <c r="Z354" s="318"/>
      <c r="AA354" s="318"/>
      <c r="AB354" s="318"/>
      <c r="AC354" s="318"/>
      <c r="AD354" s="318"/>
    </row>
    <row r="355" spans="2:30" s="323" customFormat="1" ht="12" customHeight="1">
      <c r="B355" s="324"/>
      <c r="C355" s="325"/>
      <c r="D355" s="326"/>
      <c r="E355" s="326"/>
      <c r="F355" s="326"/>
      <c r="G355" s="326"/>
      <c r="H355" s="326"/>
      <c r="P355" s="318"/>
      <c r="Q355" s="318"/>
      <c r="R355" s="318"/>
      <c r="S355" s="318"/>
      <c r="T355" s="318"/>
      <c r="U355" s="318"/>
      <c r="V355" s="318"/>
      <c r="W355" s="318"/>
      <c r="X355" s="318"/>
      <c r="Y355" s="318"/>
      <c r="Z355" s="318"/>
      <c r="AA355" s="318"/>
      <c r="AB355" s="318"/>
      <c r="AC355" s="318"/>
      <c r="AD355" s="318"/>
    </row>
    <row r="356" spans="2:30" s="323" customFormat="1" ht="12" customHeight="1">
      <c r="B356" s="324"/>
      <c r="C356" s="325"/>
      <c r="D356" s="326"/>
      <c r="E356" s="326"/>
      <c r="F356" s="326"/>
      <c r="G356" s="326"/>
      <c r="H356" s="326"/>
      <c r="P356" s="318"/>
      <c r="Q356" s="318"/>
      <c r="R356" s="318"/>
      <c r="S356" s="318"/>
      <c r="T356" s="318"/>
      <c r="U356" s="318"/>
      <c r="V356" s="318"/>
      <c r="W356" s="318"/>
      <c r="X356" s="318"/>
      <c r="Y356" s="318"/>
      <c r="Z356" s="318"/>
      <c r="AA356" s="318"/>
      <c r="AB356" s="318"/>
      <c r="AC356" s="318"/>
      <c r="AD356" s="318"/>
    </row>
    <row r="357" spans="2:30" s="323" customFormat="1" ht="12" customHeight="1">
      <c r="B357" s="324"/>
      <c r="C357" s="325"/>
      <c r="D357" s="326"/>
      <c r="E357" s="326"/>
      <c r="F357" s="326"/>
      <c r="G357" s="326"/>
      <c r="H357" s="326"/>
      <c r="P357" s="318"/>
      <c r="Q357" s="318"/>
      <c r="R357" s="318"/>
      <c r="S357" s="318"/>
      <c r="T357" s="318"/>
      <c r="U357" s="318"/>
      <c r="V357" s="318"/>
      <c r="W357" s="318"/>
      <c r="X357" s="318"/>
      <c r="Y357" s="318"/>
      <c r="Z357" s="318"/>
      <c r="AA357" s="318"/>
      <c r="AB357" s="318"/>
      <c r="AC357" s="318"/>
      <c r="AD357" s="318"/>
    </row>
    <row r="358" spans="2:30" s="323" customFormat="1" ht="12" customHeight="1">
      <c r="B358" s="324"/>
      <c r="C358" s="325"/>
      <c r="D358" s="326"/>
      <c r="E358" s="326"/>
      <c r="F358" s="326"/>
      <c r="G358" s="326"/>
      <c r="H358" s="326"/>
      <c r="P358" s="318"/>
      <c r="Q358" s="318"/>
      <c r="R358" s="318"/>
      <c r="S358" s="318"/>
      <c r="T358" s="318"/>
      <c r="U358" s="318"/>
      <c r="V358" s="318"/>
      <c r="W358" s="318"/>
      <c r="X358" s="318"/>
      <c r="Y358" s="318"/>
      <c r="Z358" s="318"/>
      <c r="AA358" s="318"/>
      <c r="AB358" s="318"/>
      <c r="AC358" s="318"/>
      <c r="AD358" s="318"/>
    </row>
    <row r="359" spans="2:30" s="323" customFormat="1" ht="12" customHeight="1">
      <c r="B359" s="324"/>
      <c r="C359" s="325"/>
      <c r="D359" s="326"/>
      <c r="E359" s="326"/>
      <c r="F359" s="326"/>
      <c r="G359" s="326"/>
      <c r="H359" s="326"/>
      <c r="P359" s="318"/>
      <c r="Q359" s="318"/>
      <c r="R359" s="318"/>
      <c r="S359" s="318"/>
      <c r="T359" s="318"/>
      <c r="U359" s="318"/>
      <c r="V359" s="318"/>
      <c r="W359" s="318"/>
      <c r="X359" s="318"/>
      <c r="Y359" s="318"/>
      <c r="Z359" s="318"/>
      <c r="AA359" s="318"/>
      <c r="AB359" s="318"/>
      <c r="AC359" s="318"/>
      <c r="AD359" s="318"/>
    </row>
    <row r="360" spans="2:30" s="323" customFormat="1" ht="12" customHeight="1">
      <c r="B360" s="324"/>
      <c r="C360" s="325"/>
      <c r="D360" s="326"/>
      <c r="E360" s="326"/>
      <c r="F360" s="326"/>
      <c r="G360" s="326"/>
      <c r="H360" s="326"/>
      <c r="P360" s="318"/>
      <c r="Q360" s="318"/>
      <c r="R360" s="318"/>
      <c r="S360" s="318"/>
      <c r="T360" s="318"/>
      <c r="U360" s="318"/>
      <c r="V360" s="318"/>
      <c r="W360" s="318"/>
      <c r="X360" s="318"/>
      <c r="Y360" s="318"/>
      <c r="Z360" s="318"/>
      <c r="AA360" s="318"/>
      <c r="AB360" s="318"/>
      <c r="AC360" s="318"/>
      <c r="AD360" s="318"/>
    </row>
    <row r="361" spans="2:30" s="323" customFormat="1" ht="12" customHeight="1">
      <c r="B361" s="324"/>
      <c r="C361" s="325"/>
      <c r="D361" s="326"/>
      <c r="E361" s="326"/>
      <c r="F361" s="326"/>
      <c r="G361" s="326"/>
      <c r="H361" s="326"/>
      <c r="P361" s="318"/>
      <c r="Q361" s="318"/>
      <c r="R361" s="318"/>
      <c r="S361" s="318"/>
      <c r="T361" s="318"/>
      <c r="U361" s="318"/>
      <c r="V361" s="318"/>
      <c r="W361" s="318"/>
      <c r="X361" s="318"/>
      <c r="Y361" s="318"/>
      <c r="Z361" s="318"/>
      <c r="AA361" s="318"/>
      <c r="AB361" s="318"/>
      <c r="AC361" s="318"/>
      <c r="AD361" s="318"/>
    </row>
    <row r="362" spans="2:30" s="323" customFormat="1" ht="12" customHeight="1">
      <c r="B362" s="324"/>
      <c r="C362" s="325"/>
      <c r="D362" s="326"/>
      <c r="E362" s="326"/>
      <c r="F362" s="326"/>
      <c r="G362" s="326"/>
      <c r="H362" s="326"/>
      <c r="P362" s="318"/>
      <c r="Q362" s="318"/>
      <c r="R362" s="318"/>
      <c r="S362" s="318"/>
      <c r="T362" s="318"/>
      <c r="U362" s="318"/>
      <c r="V362" s="318"/>
      <c r="W362" s="318"/>
      <c r="X362" s="318"/>
      <c r="Y362" s="318"/>
      <c r="Z362" s="318"/>
      <c r="AA362" s="318"/>
      <c r="AB362" s="318"/>
      <c r="AC362" s="318"/>
      <c r="AD362" s="318"/>
    </row>
    <row r="363" spans="2:30" s="323" customFormat="1" ht="12" customHeight="1">
      <c r="B363" s="324"/>
      <c r="C363" s="325"/>
      <c r="D363" s="326"/>
      <c r="E363" s="326"/>
      <c r="F363" s="326"/>
      <c r="G363" s="326"/>
      <c r="H363" s="326"/>
      <c r="P363" s="318"/>
      <c r="Q363" s="318"/>
      <c r="R363" s="318"/>
      <c r="S363" s="318"/>
      <c r="T363" s="318"/>
      <c r="U363" s="318"/>
      <c r="V363" s="318"/>
      <c r="W363" s="318"/>
      <c r="X363" s="318"/>
      <c r="Y363" s="318"/>
      <c r="Z363" s="318"/>
      <c r="AA363" s="318"/>
      <c r="AB363" s="318"/>
      <c r="AC363" s="318"/>
      <c r="AD363" s="318"/>
    </row>
    <row r="364" spans="2:30" s="323" customFormat="1" ht="12" customHeight="1">
      <c r="B364" s="324"/>
      <c r="C364" s="325"/>
      <c r="D364" s="326"/>
      <c r="E364" s="326"/>
      <c r="F364" s="326"/>
      <c r="G364" s="326"/>
      <c r="H364" s="326"/>
      <c r="P364" s="318"/>
      <c r="Q364" s="318"/>
      <c r="R364" s="318"/>
      <c r="S364" s="318"/>
      <c r="T364" s="318"/>
      <c r="U364" s="318"/>
      <c r="V364" s="318"/>
      <c r="W364" s="318"/>
      <c r="X364" s="318"/>
      <c r="Y364" s="318"/>
      <c r="Z364" s="318"/>
      <c r="AA364" s="318"/>
      <c r="AB364" s="318"/>
      <c r="AC364" s="318"/>
      <c r="AD364" s="318"/>
    </row>
    <row r="365" spans="2:30" s="323" customFormat="1" ht="12" customHeight="1">
      <c r="B365" s="324"/>
      <c r="C365" s="325"/>
      <c r="D365" s="326"/>
      <c r="E365" s="326"/>
      <c r="F365" s="326"/>
      <c r="G365" s="326"/>
      <c r="H365" s="326"/>
      <c r="P365" s="318"/>
      <c r="Q365" s="318"/>
      <c r="R365" s="318"/>
      <c r="S365" s="318"/>
      <c r="T365" s="318"/>
      <c r="U365" s="318"/>
      <c r="V365" s="318"/>
      <c r="W365" s="318"/>
      <c r="X365" s="318"/>
      <c r="Y365" s="318"/>
      <c r="Z365" s="318"/>
      <c r="AA365" s="318"/>
      <c r="AB365" s="318"/>
      <c r="AC365" s="318"/>
      <c r="AD365" s="318"/>
    </row>
    <row r="366" spans="2:30" s="323" customFormat="1" ht="12" customHeight="1">
      <c r="B366" s="324"/>
      <c r="C366" s="325"/>
      <c r="D366" s="326"/>
      <c r="E366" s="326"/>
      <c r="F366" s="326"/>
      <c r="G366" s="326"/>
      <c r="H366" s="326"/>
      <c r="P366" s="318"/>
      <c r="Q366" s="318"/>
      <c r="R366" s="318"/>
      <c r="S366" s="318"/>
      <c r="T366" s="318"/>
      <c r="U366" s="318"/>
      <c r="V366" s="318"/>
      <c r="W366" s="318"/>
      <c r="X366" s="318"/>
      <c r="Y366" s="318"/>
      <c r="Z366" s="318"/>
      <c r="AA366" s="318"/>
      <c r="AB366" s="318"/>
      <c r="AC366" s="318"/>
      <c r="AD366" s="318"/>
    </row>
    <row r="367" spans="2:30" s="323" customFormat="1" ht="12" customHeight="1">
      <c r="B367" s="324"/>
      <c r="C367" s="325"/>
      <c r="D367" s="326"/>
      <c r="E367" s="326"/>
      <c r="F367" s="326"/>
      <c r="G367" s="326"/>
      <c r="H367" s="326"/>
      <c r="P367" s="318"/>
      <c r="Q367" s="318"/>
      <c r="R367" s="318"/>
      <c r="S367" s="318"/>
      <c r="T367" s="318"/>
      <c r="U367" s="318"/>
      <c r="V367" s="318"/>
      <c r="W367" s="318"/>
      <c r="X367" s="318"/>
      <c r="Y367" s="318"/>
      <c r="Z367" s="318"/>
      <c r="AA367" s="318"/>
      <c r="AB367" s="318"/>
      <c r="AC367" s="318"/>
      <c r="AD367" s="318"/>
    </row>
    <row r="368" spans="2:30" s="323" customFormat="1" ht="12" customHeight="1">
      <c r="B368" s="324"/>
      <c r="C368" s="325"/>
      <c r="D368" s="326"/>
      <c r="E368" s="326"/>
      <c r="F368" s="326"/>
      <c r="G368" s="326"/>
      <c r="H368" s="326"/>
      <c r="P368" s="318"/>
      <c r="Q368" s="318"/>
      <c r="R368" s="318"/>
      <c r="S368" s="318"/>
      <c r="T368" s="318"/>
      <c r="U368" s="318"/>
      <c r="V368" s="318"/>
      <c r="W368" s="318"/>
      <c r="X368" s="318"/>
      <c r="Y368" s="318"/>
      <c r="Z368" s="318"/>
      <c r="AA368" s="318"/>
      <c r="AB368" s="318"/>
      <c r="AC368" s="318"/>
      <c r="AD368" s="318"/>
    </row>
    <row r="369" spans="2:30" s="323" customFormat="1" ht="12" customHeight="1">
      <c r="B369" s="324"/>
      <c r="C369" s="325"/>
      <c r="D369" s="326"/>
      <c r="E369" s="326"/>
      <c r="F369" s="326"/>
      <c r="G369" s="326"/>
      <c r="H369" s="326"/>
      <c r="P369" s="318"/>
      <c r="Q369" s="318"/>
      <c r="R369" s="318"/>
      <c r="S369" s="318"/>
      <c r="T369" s="318"/>
      <c r="U369" s="318"/>
      <c r="V369" s="318"/>
      <c r="W369" s="318"/>
      <c r="X369" s="318"/>
      <c r="Y369" s="318"/>
      <c r="Z369" s="318"/>
      <c r="AA369" s="318"/>
      <c r="AB369" s="318"/>
      <c r="AC369" s="318"/>
      <c r="AD369" s="318"/>
    </row>
    <row r="370" spans="2:30" s="323" customFormat="1" ht="12" customHeight="1">
      <c r="B370" s="324"/>
      <c r="C370" s="325"/>
      <c r="D370" s="326"/>
      <c r="E370" s="326"/>
      <c r="F370" s="326"/>
      <c r="G370" s="326"/>
      <c r="H370" s="326"/>
      <c r="P370" s="318"/>
      <c r="Q370" s="318"/>
      <c r="R370" s="318"/>
      <c r="S370" s="318"/>
      <c r="T370" s="318"/>
      <c r="U370" s="318"/>
      <c r="V370" s="318"/>
      <c r="W370" s="318"/>
      <c r="X370" s="318"/>
      <c r="Y370" s="318"/>
      <c r="Z370" s="318"/>
      <c r="AA370" s="318"/>
      <c r="AB370" s="318"/>
      <c r="AC370" s="318"/>
      <c r="AD370" s="318"/>
    </row>
    <row r="371" spans="2:30" s="323" customFormat="1" ht="12" customHeight="1">
      <c r="B371" s="324"/>
      <c r="C371" s="325"/>
      <c r="D371" s="326"/>
      <c r="E371" s="326"/>
      <c r="F371" s="326"/>
      <c r="G371" s="326"/>
      <c r="H371" s="326"/>
      <c r="P371" s="318"/>
      <c r="Q371" s="318"/>
      <c r="R371" s="318"/>
      <c r="S371" s="318"/>
      <c r="T371" s="318"/>
      <c r="U371" s="318"/>
      <c r="V371" s="318"/>
      <c r="W371" s="318"/>
      <c r="X371" s="318"/>
      <c r="Y371" s="318"/>
      <c r="Z371" s="318"/>
      <c r="AA371" s="318"/>
      <c r="AB371" s="318"/>
      <c r="AC371" s="318"/>
      <c r="AD371" s="318"/>
    </row>
    <row r="372" spans="2:30" s="323" customFormat="1" ht="12" customHeight="1">
      <c r="B372" s="324"/>
      <c r="C372" s="325"/>
      <c r="D372" s="326"/>
      <c r="E372" s="326"/>
      <c r="F372" s="326"/>
      <c r="G372" s="326"/>
      <c r="H372" s="326"/>
      <c r="P372" s="318"/>
      <c r="Q372" s="318"/>
      <c r="R372" s="318"/>
      <c r="S372" s="318"/>
      <c r="T372" s="318"/>
      <c r="U372" s="318"/>
      <c r="V372" s="318"/>
      <c r="W372" s="318"/>
      <c r="X372" s="318"/>
      <c r="Y372" s="318"/>
      <c r="Z372" s="318"/>
      <c r="AA372" s="318"/>
      <c r="AB372" s="318"/>
      <c r="AC372" s="318"/>
      <c r="AD372" s="318"/>
    </row>
    <row r="373" spans="2:30" s="323" customFormat="1" ht="12" customHeight="1">
      <c r="B373" s="324"/>
      <c r="C373" s="325"/>
      <c r="D373" s="326"/>
      <c r="E373" s="326"/>
      <c r="F373" s="326"/>
      <c r="G373" s="326"/>
      <c r="H373" s="326"/>
      <c r="P373" s="318"/>
      <c r="Q373" s="318"/>
      <c r="R373" s="318"/>
      <c r="S373" s="318"/>
      <c r="T373" s="318"/>
      <c r="U373" s="318"/>
      <c r="V373" s="318"/>
      <c r="W373" s="318"/>
      <c r="X373" s="318"/>
      <c r="Y373" s="318"/>
      <c r="Z373" s="318"/>
      <c r="AA373" s="318"/>
      <c r="AB373" s="318"/>
      <c r="AC373" s="318"/>
      <c r="AD373" s="318"/>
    </row>
    <row r="374" spans="2:30" s="323" customFormat="1" ht="12" customHeight="1">
      <c r="B374" s="324"/>
      <c r="C374" s="325"/>
      <c r="D374" s="326"/>
      <c r="E374" s="326"/>
      <c r="F374" s="326"/>
      <c r="G374" s="326"/>
      <c r="H374" s="326"/>
      <c r="P374" s="318"/>
      <c r="Q374" s="318"/>
      <c r="R374" s="318"/>
      <c r="S374" s="318"/>
      <c r="T374" s="318"/>
      <c r="U374" s="318"/>
      <c r="V374" s="318"/>
      <c r="W374" s="318"/>
      <c r="X374" s="318"/>
      <c r="Y374" s="318"/>
      <c r="Z374" s="318"/>
      <c r="AA374" s="318"/>
      <c r="AB374" s="318"/>
      <c r="AC374" s="318"/>
      <c r="AD374" s="318"/>
    </row>
    <row r="375" spans="2:30" s="323" customFormat="1" ht="12" customHeight="1">
      <c r="B375" s="324"/>
      <c r="C375" s="325"/>
      <c r="D375" s="326"/>
      <c r="E375" s="326"/>
      <c r="F375" s="326"/>
      <c r="G375" s="326"/>
      <c r="H375" s="326"/>
      <c r="P375" s="318"/>
      <c r="Q375" s="318"/>
      <c r="R375" s="318"/>
      <c r="S375" s="318"/>
      <c r="T375" s="318"/>
      <c r="U375" s="318"/>
      <c r="V375" s="318"/>
      <c r="W375" s="318"/>
      <c r="X375" s="318"/>
      <c r="Y375" s="318"/>
      <c r="Z375" s="318"/>
      <c r="AA375" s="318"/>
      <c r="AB375" s="318"/>
      <c r="AC375" s="318"/>
      <c r="AD375" s="318"/>
    </row>
    <row r="376" spans="2:30" s="323" customFormat="1" ht="12" customHeight="1">
      <c r="B376" s="324"/>
      <c r="C376" s="325"/>
      <c r="D376" s="326"/>
      <c r="E376" s="326"/>
      <c r="F376" s="326"/>
      <c r="G376" s="326"/>
      <c r="H376" s="326"/>
      <c r="P376" s="318"/>
      <c r="Q376" s="318"/>
      <c r="R376" s="318"/>
      <c r="S376" s="318"/>
      <c r="T376" s="318"/>
      <c r="U376" s="318"/>
      <c r="V376" s="318"/>
      <c r="W376" s="318"/>
      <c r="X376" s="318"/>
      <c r="Y376" s="318"/>
      <c r="Z376" s="318"/>
      <c r="AA376" s="318"/>
      <c r="AB376" s="318"/>
      <c r="AC376" s="318"/>
      <c r="AD376" s="318"/>
    </row>
    <row r="377" spans="2:30" s="323" customFormat="1" ht="12" customHeight="1">
      <c r="B377" s="324"/>
      <c r="C377" s="325"/>
      <c r="D377" s="326"/>
      <c r="E377" s="326"/>
      <c r="F377" s="326"/>
      <c r="G377" s="326"/>
      <c r="H377" s="326"/>
      <c r="P377" s="318"/>
      <c r="Q377" s="318"/>
      <c r="R377" s="318"/>
      <c r="S377" s="318"/>
      <c r="T377" s="318"/>
      <c r="U377" s="318"/>
      <c r="V377" s="318"/>
      <c r="W377" s="318"/>
      <c r="X377" s="318"/>
      <c r="Y377" s="318"/>
      <c r="Z377" s="318"/>
      <c r="AA377" s="318"/>
      <c r="AB377" s="318"/>
      <c r="AC377" s="318"/>
      <c r="AD377" s="318"/>
    </row>
    <row r="378" spans="2:30" s="323" customFormat="1" ht="12" customHeight="1">
      <c r="B378" s="324"/>
      <c r="C378" s="325"/>
      <c r="D378" s="326"/>
      <c r="E378" s="326"/>
      <c r="F378" s="326"/>
      <c r="G378" s="326"/>
      <c r="H378" s="326"/>
      <c r="P378" s="318"/>
      <c r="Q378" s="318"/>
      <c r="R378" s="318"/>
      <c r="S378" s="318"/>
      <c r="T378" s="318"/>
      <c r="U378" s="318"/>
      <c r="V378" s="318"/>
      <c r="W378" s="318"/>
      <c r="X378" s="318"/>
      <c r="Y378" s="318"/>
      <c r="Z378" s="318"/>
      <c r="AA378" s="318"/>
      <c r="AB378" s="318"/>
      <c r="AC378" s="318"/>
      <c r="AD378" s="318"/>
    </row>
    <row r="379" spans="2:30" s="323" customFormat="1" ht="12" customHeight="1">
      <c r="B379" s="324"/>
      <c r="C379" s="325"/>
      <c r="D379" s="326"/>
      <c r="E379" s="326"/>
      <c r="F379" s="326"/>
      <c r="G379" s="326"/>
      <c r="H379" s="326"/>
      <c r="P379" s="318"/>
      <c r="Q379" s="318"/>
      <c r="R379" s="318"/>
      <c r="S379" s="318"/>
      <c r="T379" s="318"/>
      <c r="U379" s="318"/>
      <c r="V379" s="318"/>
      <c r="W379" s="318"/>
      <c r="X379" s="318"/>
      <c r="Y379" s="318"/>
      <c r="Z379" s="318"/>
      <c r="AA379" s="318"/>
      <c r="AB379" s="318"/>
      <c r="AC379" s="318"/>
      <c r="AD379" s="318"/>
    </row>
    <row r="380" spans="2:30" s="323" customFormat="1" ht="12" customHeight="1">
      <c r="B380" s="324"/>
      <c r="C380" s="325"/>
      <c r="D380" s="326"/>
      <c r="E380" s="326"/>
      <c r="F380" s="326"/>
      <c r="G380" s="326"/>
      <c r="H380" s="326"/>
      <c r="P380" s="318"/>
      <c r="Q380" s="318"/>
      <c r="R380" s="318"/>
      <c r="S380" s="318"/>
      <c r="T380" s="318"/>
      <c r="U380" s="318"/>
      <c r="V380" s="318"/>
      <c r="W380" s="318"/>
      <c r="X380" s="318"/>
      <c r="Y380" s="318"/>
      <c r="Z380" s="318"/>
      <c r="AA380" s="318"/>
      <c r="AB380" s="318"/>
      <c r="AC380" s="318"/>
      <c r="AD380" s="318"/>
    </row>
    <row r="381" spans="2:30" s="323" customFormat="1" ht="12" customHeight="1">
      <c r="B381" s="324"/>
      <c r="C381" s="325"/>
      <c r="D381" s="326"/>
      <c r="E381" s="326"/>
      <c r="F381" s="326"/>
      <c r="G381" s="326"/>
      <c r="H381" s="326"/>
      <c r="P381" s="318"/>
      <c r="Q381" s="318"/>
      <c r="R381" s="318"/>
      <c r="S381" s="318"/>
      <c r="T381" s="318"/>
      <c r="U381" s="318"/>
      <c r="V381" s="318"/>
      <c r="W381" s="318"/>
      <c r="X381" s="318"/>
      <c r="Y381" s="318"/>
      <c r="Z381" s="318"/>
      <c r="AA381" s="318"/>
      <c r="AB381" s="318"/>
      <c r="AC381" s="318"/>
      <c r="AD381" s="318"/>
    </row>
    <row r="382" spans="2:30" s="323" customFormat="1" ht="12" customHeight="1">
      <c r="B382" s="324"/>
      <c r="C382" s="325"/>
      <c r="D382" s="326"/>
      <c r="E382" s="326"/>
      <c r="F382" s="326"/>
      <c r="G382" s="326"/>
      <c r="H382" s="326"/>
      <c r="P382" s="318"/>
      <c r="Q382" s="318"/>
      <c r="R382" s="318"/>
      <c r="S382" s="318"/>
      <c r="T382" s="318"/>
      <c r="U382" s="318"/>
      <c r="V382" s="318"/>
      <c r="W382" s="318"/>
      <c r="X382" s="318"/>
      <c r="Y382" s="318"/>
      <c r="Z382" s="318"/>
      <c r="AA382" s="318"/>
      <c r="AB382" s="318"/>
      <c r="AC382" s="318"/>
      <c r="AD382" s="318"/>
    </row>
    <row r="383" spans="2:30" s="323" customFormat="1" ht="12" customHeight="1">
      <c r="B383" s="324"/>
      <c r="C383" s="325"/>
      <c r="D383" s="326"/>
      <c r="E383" s="326"/>
      <c r="F383" s="326"/>
      <c r="G383" s="326"/>
      <c r="H383" s="326"/>
      <c r="P383" s="318"/>
      <c r="Q383" s="318"/>
      <c r="R383" s="318"/>
      <c r="S383" s="318"/>
      <c r="T383" s="318"/>
      <c r="U383" s="318"/>
      <c r="V383" s="318"/>
      <c r="W383" s="318"/>
      <c r="X383" s="318"/>
      <c r="Y383" s="318"/>
      <c r="Z383" s="318"/>
      <c r="AA383" s="318"/>
      <c r="AB383" s="318"/>
      <c r="AC383" s="318"/>
      <c r="AD383" s="318"/>
    </row>
    <row r="384" spans="2:30" s="323" customFormat="1" ht="12" customHeight="1">
      <c r="B384" s="324"/>
      <c r="C384" s="325"/>
      <c r="D384" s="326"/>
      <c r="E384" s="326"/>
      <c r="F384" s="326"/>
      <c r="G384" s="326"/>
      <c r="H384" s="326"/>
      <c r="P384" s="318"/>
      <c r="Q384" s="318"/>
      <c r="R384" s="318"/>
      <c r="S384" s="318"/>
      <c r="T384" s="318"/>
      <c r="U384" s="318"/>
      <c r="V384" s="318"/>
      <c r="W384" s="318"/>
      <c r="X384" s="318"/>
      <c r="Y384" s="318"/>
      <c r="Z384" s="318"/>
      <c r="AA384" s="318"/>
      <c r="AB384" s="318"/>
      <c r="AC384" s="318"/>
      <c r="AD384" s="318"/>
    </row>
    <row r="385" spans="2:30" s="323" customFormat="1" ht="12" customHeight="1">
      <c r="B385" s="324"/>
      <c r="C385" s="325"/>
      <c r="D385" s="326"/>
      <c r="E385" s="326"/>
      <c r="F385" s="326"/>
      <c r="G385" s="326"/>
      <c r="H385" s="326"/>
      <c r="P385" s="318"/>
      <c r="Q385" s="318"/>
      <c r="R385" s="318"/>
      <c r="S385" s="318"/>
      <c r="T385" s="318"/>
      <c r="U385" s="318"/>
      <c r="V385" s="318"/>
      <c r="W385" s="318"/>
      <c r="X385" s="318"/>
      <c r="Y385" s="318"/>
      <c r="Z385" s="318"/>
      <c r="AA385" s="318"/>
      <c r="AB385" s="318"/>
      <c r="AC385" s="318"/>
      <c r="AD385" s="318"/>
    </row>
    <row r="386" spans="2:30" s="323" customFormat="1" ht="12" customHeight="1">
      <c r="B386" s="324"/>
      <c r="C386" s="325"/>
      <c r="D386" s="326"/>
      <c r="E386" s="326"/>
      <c r="F386" s="326"/>
      <c r="G386" s="326"/>
      <c r="H386" s="326"/>
      <c r="P386" s="318"/>
      <c r="Q386" s="318"/>
      <c r="R386" s="318"/>
      <c r="S386" s="318"/>
      <c r="T386" s="318"/>
      <c r="U386" s="318"/>
      <c r="V386" s="318"/>
      <c r="W386" s="318"/>
      <c r="X386" s="318"/>
      <c r="Y386" s="318"/>
      <c r="Z386" s="318"/>
      <c r="AA386" s="318"/>
      <c r="AB386" s="318"/>
      <c r="AC386" s="318"/>
      <c r="AD386" s="318"/>
    </row>
    <row r="387" spans="2:30" s="323" customFormat="1" ht="12" customHeight="1">
      <c r="B387" s="324"/>
      <c r="C387" s="325"/>
      <c r="D387" s="326"/>
      <c r="E387" s="326"/>
      <c r="F387" s="326"/>
      <c r="G387" s="326"/>
      <c r="H387" s="326"/>
      <c r="P387" s="318"/>
      <c r="Q387" s="318"/>
      <c r="R387" s="318"/>
      <c r="S387" s="318"/>
      <c r="T387" s="318"/>
      <c r="U387" s="318"/>
      <c r="V387" s="318"/>
      <c r="W387" s="318"/>
      <c r="X387" s="318"/>
      <c r="Y387" s="318"/>
      <c r="Z387" s="318"/>
      <c r="AA387" s="318"/>
      <c r="AB387" s="318"/>
      <c r="AC387" s="318"/>
      <c r="AD387" s="318"/>
    </row>
    <row r="388" spans="2:30" s="323" customFormat="1" ht="12" customHeight="1">
      <c r="B388" s="324"/>
      <c r="C388" s="325"/>
      <c r="D388" s="326"/>
      <c r="E388" s="326"/>
      <c r="F388" s="326"/>
      <c r="G388" s="326"/>
      <c r="H388" s="326"/>
      <c r="P388" s="318"/>
      <c r="Q388" s="318"/>
      <c r="R388" s="318"/>
      <c r="S388" s="318"/>
      <c r="T388" s="318"/>
      <c r="U388" s="318"/>
      <c r="V388" s="318"/>
      <c r="W388" s="318"/>
      <c r="X388" s="318"/>
      <c r="Y388" s="318"/>
      <c r="Z388" s="318"/>
      <c r="AA388" s="318"/>
      <c r="AB388" s="318"/>
      <c r="AC388" s="318"/>
      <c r="AD388" s="318"/>
    </row>
    <row r="389" spans="2:30" s="323" customFormat="1" ht="12" customHeight="1">
      <c r="B389" s="324"/>
      <c r="C389" s="325"/>
      <c r="D389" s="326"/>
      <c r="E389" s="326"/>
      <c r="F389" s="326"/>
      <c r="G389" s="326"/>
      <c r="H389" s="326"/>
      <c r="P389" s="318"/>
      <c r="Q389" s="318"/>
      <c r="R389" s="318"/>
      <c r="S389" s="318"/>
      <c r="T389" s="318"/>
      <c r="U389" s="318"/>
      <c r="V389" s="318"/>
      <c r="W389" s="318"/>
      <c r="X389" s="318"/>
      <c r="Y389" s="318"/>
      <c r="Z389" s="318"/>
      <c r="AA389" s="318"/>
      <c r="AB389" s="318"/>
      <c r="AC389" s="318"/>
      <c r="AD389" s="318"/>
    </row>
    <row r="390" spans="2:30" s="323" customFormat="1" ht="12" customHeight="1">
      <c r="B390" s="324"/>
      <c r="C390" s="325"/>
      <c r="D390" s="326"/>
      <c r="E390" s="326"/>
      <c r="F390" s="326"/>
      <c r="G390" s="326"/>
      <c r="H390" s="326"/>
      <c r="P390" s="318"/>
      <c r="Q390" s="318"/>
      <c r="R390" s="318"/>
      <c r="S390" s="318"/>
      <c r="T390" s="318"/>
      <c r="U390" s="318"/>
      <c r="V390" s="318"/>
      <c r="W390" s="318"/>
      <c r="X390" s="318"/>
      <c r="Y390" s="318"/>
      <c r="Z390" s="318"/>
      <c r="AA390" s="318"/>
      <c r="AB390" s="318"/>
      <c r="AC390" s="318"/>
      <c r="AD390" s="318"/>
    </row>
    <row r="391" spans="2:30" s="323" customFormat="1" ht="12" customHeight="1">
      <c r="B391" s="324"/>
      <c r="C391" s="325"/>
      <c r="D391" s="326"/>
      <c r="E391" s="326"/>
      <c r="F391" s="326"/>
      <c r="G391" s="326"/>
      <c r="H391" s="326"/>
      <c r="P391" s="318"/>
      <c r="Q391" s="318"/>
      <c r="R391" s="318"/>
      <c r="S391" s="318"/>
      <c r="T391" s="318"/>
      <c r="U391" s="318"/>
      <c r="V391" s="318"/>
      <c r="W391" s="318"/>
      <c r="X391" s="318"/>
      <c r="Y391" s="318"/>
      <c r="Z391" s="318"/>
      <c r="AA391" s="318"/>
      <c r="AB391" s="318"/>
      <c r="AC391" s="318"/>
      <c r="AD391" s="318"/>
    </row>
    <row r="392" spans="2:30" s="323" customFormat="1" ht="12" customHeight="1">
      <c r="B392" s="324"/>
      <c r="C392" s="325"/>
      <c r="D392" s="326"/>
      <c r="E392" s="326"/>
      <c r="F392" s="326"/>
      <c r="G392" s="326"/>
      <c r="H392" s="326"/>
      <c r="P392" s="318"/>
      <c r="Q392" s="318"/>
      <c r="R392" s="318"/>
      <c r="S392" s="318"/>
      <c r="T392" s="318"/>
      <c r="U392" s="318"/>
      <c r="V392" s="318"/>
      <c r="W392" s="318"/>
      <c r="X392" s="318"/>
      <c r="Y392" s="318"/>
      <c r="Z392" s="318"/>
      <c r="AA392" s="318"/>
      <c r="AB392" s="318"/>
      <c r="AC392" s="318"/>
      <c r="AD392" s="318"/>
    </row>
    <row r="393" spans="2:30" s="323" customFormat="1" ht="12" customHeight="1">
      <c r="B393" s="324"/>
      <c r="C393" s="325"/>
      <c r="D393" s="326"/>
      <c r="E393" s="326"/>
      <c r="F393" s="326"/>
      <c r="G393" s="326"/>
      <c r="H393" s="326"/>
      <c r="P393" s="318"/>
      <c r="Q393" s="318"/>
      <c r="R393" s="318"/>
      <c r="S393" s="318"/>
      <c r="T393" s="318"/>
      <c r="U393" s="318"/>
      <c r="V393" s="318"/>
      <c r="W393" s="318"/>
      <c r="X393" s="318"/>
      <c r="Y393" s="318"/>
      <c r="Z393" s="318"/>
      <c r="AA393" s="318"/>
      <c r="AB393" s="318"/>
      <c r="AC393" s="318"/>
      <c r="AD393" s="318"/>
    </row>
    <row r="394" spans="2:30" s="323" customFormat="1" ht="12" customHeight="1">
      <c r="B394" s="324"/>
      <c r="C394" s="325"/>
      <c r="D394" s="326"/>
      <c r="E394" s="326"/>
      <c r="F394" s="326"/>
      <c r="G394" s="326"/>
      <c r="H394" s="326"/>
      <c r="P394" s="318"/>
      <c r="Q394" s="318"/>
      <c r="R394" s="318"/>
      <c r="S394" s="318"/>
      <c r="T394" s="318"/>
      <c r="U394" s="318"/>
      <c r="V394" s="318"/>
      <c r="W394" s="318"/>
      <c r="X394" s="318"/>
      <c r="Y394" s="318"/>
      <c r="Z394" s="318"/>
      <c r="AA394" s="318"/>
      <c r="AB394" s="318"/>
      <c r="AC394" s="318"/>
      <c r="AD394" s="318"/>
    </row>
    <row r="395" spans="2:30" s="323" customFormat="1" ht="12" customHeight="1">
      <c r="B395" s="324"/>
      <c r="C395" s="325"/>
      <c r="D395" s="326"/>
      <c r="E395" s="326"/>
      <c r="F395" s="326"/>
      <c r="G395" s="326"/>
      <c r="H395" s="326"/>
      <c r="P395" s="318"/>
      <c r="Q395" s="318"/>
      <c r="R395" s="318"/>
      <c r="S395" s="318"/>
      <c r="T395" s="318"/>
      <c r="U395" s="318"/>
      <c r="V395" s="318"/>
      <c r="W395" s="318"/>
      <c r="X395" s="318"/>
      <c r="Y395" s="318"/>
      <c r="Z395" s="318"/>
      <c r="AA395" s="318"/>
      <c r="AB395" s="318"/>
      <c r="AC395" s="318"/>
      <c r="AD395" s="318"/>
    </row>
    <row r="396" spans="2:30" s="323" customFormat="1" ht="12" customHeight="1">
      <c r="B396" s="324"/>
      <c r="C396" s="325"/>
      <c r="D396" s="326"/>
      <c r="E396" s="326"/>
      <c r="F396" s="326"/>
      <c r="G396" s="326"/>
      <c r="H396" s="326"/>
      <c r="P396" s="318"/>
      <c r="Q396" s="318"/>
      <c r="R396" s="318"/>
      <c r="S396" s="318"/>
      <c r="T396" s="318"/>
      <c r="U396" s="318"/>
      <c r="V396" s="318"/>
      <c r="W396" s="318"/>
      <c r="X396" s="318"/>
      <c r="Y396" s="318"/>
      <c r="Z396" s="318"/>
      <c r="AA396" s="318"/>
      <c r="AB396" s="318"/>
      <c r="AC396" s="318"/>
      <c r="AD396" s="318"/>
    </row>
    <row r="397" spans="2:30" s="323" customFormat="1" ht="12" customHeight="1">
      <c r="B397" s="324"/>
      <c r="C397" s="325"/>
      <c r="D397" s="326"/>
      <c r="E397" s="326"/>
      <c r="F397" s="326"/>
      <c r="G397" s="326"/>
      <c r="H397" s="326"/>
      <c r="P397" s="318"/>
      <c r="Q397" s="318"/>
      <c r="R397" s="318"/>
      <c r="S397" s="318"/>
      <c r="T397" s="318"/>
      <c r="U397" s="318"/>
      <c r="V397" s="318"/>
      <c r="W397" s="318"/>
      <c r="X397" s="318"/>
      <c r="Y397" s="318"/>
      <c r="Z397" s="318"/>
      <c r="AA397" s="318"/>
      <c r="AB397" s="318"/>
      <c r="AC397" s="318"/>
      <c r="AD397" s="318"/>
    </row>
    <row r="398" spans="2:30" s="323" customFormat="1" ht="12" customHeight="1">
      <c r="B398" s="324"/>
      <c r="C398" s="325"/>
      <c r="D398" s="326"/>
      <c r="E398" s="326"/>
      <c r="F398" s="326"/>
      <c r="G398" s="326"/>
      <c r="H398" s="326"/>
      <c r="P398" s="318"/>
      <c r="Q398" s="318"/>
      <c r="R398" s="318"/>
      <c r="S398" s="318"/>
      <c r="T398" s="318"/>
      <c r="U398" s="318"/>
      <c r="V398" s="318"/>
      <c r="W398" s="318"/>
      <c r="X398" s="318"/>
      <c r="Y398" s="318"/>
      <c r="Z398" s="318"/>
      <c r="AA398" s="318"/>
      <c r="AB398" s="318"/>
      <c r="AC398" s="318"/>
      <c r="AD398" s="318"/>
    </row>
    <row r="399" spans="2:30" s="323" customFormat="1" ht="12" customHeight="1">
      <c r="B399" s="324"/>
      <c r="C399" s="325"/>
      <c r="D399" s="326"/>
      <c r="E399" s="326"/>
      <c r="F399" s="326"/>
      <c r="G399" s="326"/>
      <c r="H399" s="326"/>
      <c r="P399" s="318"/>
      <c r="Q399" s="318"/>
      <c r="R399" s="318"/>
      <c r="S399" s="318"/>
      <c r="T399" s="318"/>
      <c r="U399" s="318"/>
      <c r="V399" s="318"/>
      <c r="W399" s="318"/>
      <c r="X399" s="318"/>
      <c r="Y399" s="318"/>
      <c r="Z399" s="318"/>
      <c r="AA399" s="318"/>
      <c r="AB399" s="318"/>
      <c r="AC399" s="318"/>
      <c r="AD399" s="318"/>
    </row>
    <row r="400" spans="2:30" s="323" customFormat="1" ht="12" customHeight="1">
      <c r="B400" s="324"/>
      <c r="C400" s="325"/>
      <c r="D400" s="326"/>
      <c r="E400" s="326"/>
      <c r="F400" s="326"/>
      <c r="G400" s="326"/>
      <c r="H400" s="326"/>
      <c r="P400" s="318"/>
      <c r="Q400" s="318"/>
      <c r="R400" s="318"/>
      <c r="S400" s="318"/>
      <c r="T400" s="318"/>
      <c r="U400" s="318"/>
      <c r="V400" s="318"/>
      <c r="W400" s="318"/>
      <c r="X400" s="318"/>
      <c r="Y400" s="318"/>
      <c r="Z400" s="318"/>
      <c r="AA400" s="318"/>
      <c r="AB400" s="318"/>
      <c r="AC400" s="318"/>
      <c r="AD400" s="318"/>
    </row>
    <row r="401" spans="2:30" s="323" customFormat="1" ht="12" customHeight="1">
      <c r="B401" s="324"/>
      <c r="C401" s="325"/>
      <c r="D401" s="326"/>
      <c r="E401" s="326"/>
      <c r="F401" s="326"/>
      <c r="G401" s="326"/>
      <c r="H401" s="326"/>
      <c r="P401" s="318"/>
      <c r="Q401" s="318"/>
      <c r="R401" s="318"/>
      <c r="S401" s="318"/>
      <c r="T401" s="318"/>
      <c r="U401" s="318"/>
      <c r="V401" s="318"/>
      <c r="W401" s="318"/>
      <c r="X401" s="318"/>
      <c r="Y401" s="318"/>
      <c r="Z401" s="318"/>
      <c r="AA401" s="318"/>
      <c r="AB401" s="318"/>
      <c r="AC401" s="318"/>
      <c r="AD401" s="318"/>
    </row>
    <row r="402" spans="2:30" s="323" customFormat="1" ht="12" customHeight="1">
      <c r="B402" s="324"/>
      <c r="C402" s="325"/>
      <c r="D402" s="326"/>
      <c r="E402" s="326"/>
      <c r="F402" s="326"/>
      <c r="G402" s="326"/>
      <c r="H402" s="326"/>
      <c r="P402" s="318"/>
      <c r="Q402" s="318"/>
      <c r="R402" s="318"/>
      <c r="S402" s="318"/>
      <c r="T402" s="318"/>
      <c r="U402" s="318"/>
      <c r="V402" s="318"/>
      <c r="W402" s="318"/>
      <c r="X402" s="318"/>
      <c r="Y402" s="318"/>
      <c r="Z402" s="318"/>
      <c r="AA402" s="318"/>
      <c r="AB402" s="318"/>
      <c r="AC402" s="318"/>
      <c r="AD402" s="318"/>
    </row>
    <row r="403" spans="2:30" s="323" customFormat="1" ht="12" customHeight="1">
      <c r="B403" s="324"/>
      <c r="C403" s="325"/>
      <c r="D403" s="326"/>
      <c r="E403" s="326"/>
      <c r="F403" s="326"/>
      <c r="G403" s="326"/>
      <c r="H403" s="326"/>
      <c r="P403" s="318"/>
      <c r="Q403" s="318"/>
      <c r="R403" s="318"/>
      <c r="S403" s="318"/>
      <c r="T403" s="318"/>
      <c r="U403" s="318"/>
      <c r="V403" s="318"/>
      <c r="W403" s="318"/>
      <c r="X403" s="318"/>
      <c r="Y403" s="318"/>
      <c r="Z403" s="318"/>
      <c r="AA403" s="318"/>
      <c r="AB403" s="318"/>
      <c r="AC403" s="318"/>
      <c r="AD403" s="318"/>
    </row>
    <row r="404" spans="2:30" s="323" customFormat="1" ht="12" customHeight="1">
      <c r="B404" s="324"/>
      <c r="C404" s="325"/>
      <c r="D404" s="326"/>
      <c r="E404" s="326"/>
      <c r="F404" s="326"/>
      <c r="G404" s="326"/>
      <c r="H404" s="326"/>
      <c r="P404" s="318"/>
      <c r="Q404" s="318"/>
      <c r="R404" s="318"/>
      <c r="S404" s="318"/>
      <c r="T404" s="318"/>
      <c r="U404" s="318"/>
      <c r="V404" s="318"/>
      <c r="W404" s="318"/>
      <c r="X404" s="318"/>
      <c r="Y404" s="318"/>
      <c r="Z404" s="318"/>
      <c r="AA404" s="318"/>
      <c r="AB404" s="318"/>
      <c r="AC404" s="318"/>
      <c r="AD404" s="318"/>
    </row>
    <row r="405" spans="2:30" s="323" customFormat="1" ht="12" customHeight="1">
      <c r="B405" s="324"/>
      <c r="C405" s="325"/>
      <c r="D405" s="326"/>
      <c r="E405" s="326"/>
      <c r="F405" s="326"/>
      <c r="G405" s="326"/>
      <c r="H405" s="326"/>
      <c r="P405" s="318"/>
      <c r="Q405" s="318"/>
      <c r="R405" s="318"/>
      <c r="S405" s="318"/>
      <c r="T405" s="318"/>
      <c r="U405" s="318"/>
      <c r="V405" s="318"/>
      <c r="W405" s="318"/>
      <c r="X405" s="318"/>
      <c r="Y405" s="318"/>
      <c r="Z405" s="318"/>
      <c r="AA405" s="318"/>
      <c r="AB405" s="318"/>
      <c r="AC405" s="318"/>
      <c r="AD405" s="318"/>
    </row>
    <row r="406" spans="2:30" s="323" customFormat="1" ht="12" customHeight="1">
      <c r="B406" s="324"/>
      <c r="C406" s="325"/>
      <c r="D406" s="326"/>
      <c r="E406" s="326"/>
      <c r="F406" s="326"/>
      <c r="G406" s="326"/>
      <c r="H406" s="326"/>
      <c r="P406" s="318"/>
      <c r="Q406" s="318"/>
      <c r="R406" s="318"/>
      <c r="S406" s="318"/>
      <c r="T406" s="318"/>
      <c r="U406" s="318"/>
      <c r="V406" s="318"/>
      <c r="W406" s="318"/>
      <c r="X406" s="318"/>
      <c r="Y406" s="318"/>
      <c r="Z406" s="318"/>
      <c r="AA406" s="318"/>
      <c r="AB406" s="318"/>
      <c r="AC406" s="318"/>
      <c r="AD406" s="318"/>
    </row>
    <row r="407" spans="2:30" s="323" customFormat="1" ht="12" customHeight="1">
      <c r="B407" s="324"/>
      <c r="C407" s="325"/>
      <c r="D407" s="326"/>
      <c r="E407" s="326"/>
      <c r="F407" s="326"/>
      <c r="G407" s="326"/>
      <c r="H407" s="326"/>
      <c r="P407" s="318"/>
      <c r="Q407" s="318"/>
      <c r="R407" s="318"/>
      <c r="S407" s="318"/>
      <c r="T407" s="318"/>
      <c r="U407" s="318"/>
      <c r="V407" s="318"/>
      <c r="W407" s="318"/>
      <c r="X407" s="318"/>
      <c r="Y407" s="318"/>
      <c r="Z407" s="318"/>
      <c r="AA407" s="318"/>
      <c r="AB407" s="318"/>
      <c r="AC407" s="318"/>
      <c r="AD407" s="318"/>
    </row>
    <row r="408" spans="2:30" s="323" customFormat="1" ht="12" customHeight="1">
      <c r="B408" s="324"/>
      <c r="C408" s="325"/>
      <c r="D408" s="326"/>
      <c r="E408" s="326"/>
      <c r="F408" s="326"/>
      <c r="G408" s="326"/>
      <c r="H408" s="326"/>
      <c r="P408" s="318"/>
      <c r="Q408" s="318"/>
      <c r="R408" s="318"/>
      <c r="S408" s="318"/>
      <c r="T408" s="318"/>
      <c r="U408" s="318"/>
      <c r="V408" s="318"/>
      <c r="W408" s="318"/>
      <c r="X408" s="318"/>
      <c r="Y408" s="318"/>
      <c r="Z408" s="318"/>
      <c r="AA408" s="318"/>
      <c r="AB408" s="318"/>
      <c r="AC408" s="318"/>
      <c r="AD408" s="318"/>
    </row>
    <row r="409" spans="2:30" s="323" customFormat="1" ht="12" customHeight="1">
      <c r="B409" s="324"/>
      <c r="C409" s="325"/>
      <c r="D409" s="326"/>
      <c r="E409" s="326"/>
      <c r="F409" s="326"/>
      <c r="G409" s="326"/>
      <c r="H409" s="326"/>
      <c r="P409" s="318"/>
      <c r="Q409" s="318"/>
      <c r="R409" s="318"/>
      <c r="S409" s="318"/>
      <c r="T409" s="318"/>
      <c r="U409" s="318"/>
      <c r="V409" s="318"/>
      <c r="W409" s="318"/>
      <c r="X409" s="318"/>
      <c r="Y409" s="318"/>
      <c r="Z409" s="318"/>
      <c r="AA409" s="318"/>
      <c r="AB409" s="318"/>
      <c r="AC409" s="318"/>
      <c r="AD409" s="318"/>
    </row>
    <row r="410" spans="2:30" s="323" customFormat="1" ht="12" customHeight="1">
      <c r="B410" s="324"/>
      <c r="C410" s="325"/>
      <c r="D410" s="326"/>
      <c r="E410" s="326"/>
      <c r="F410" s="326"/>
      <c r="G410" s="326"/>
      <c r="H410" s="326"/>
      <c r="P410" s="318"/>
      <c r="Q410" s="318"/>
      <c r="R410" s="318"/>
      <c r="S410" s="318"/>
      <c r="T410" s="318"/>
      <c r="U410" s="318"/>
      <c r="V410" s="318"/>
      <c r="W410" s="318"/>
      <c r="X410" s="318"/>
      <c r="Y410" s="318"/>
      <c r="Z410" s="318"/>
      <c r="AA410" s="318"/>
      <c r="AB410" s="318"/>
      <c r="AC410" s="318"/>
      <c r="AD410" s="318"/>
    </row>
    <row r="411" spans="2:30" s="323" customFormat="1" ht="12" customHeight="1">
      <c r="B411" s="324"/>
      <c r="C411" s="325"/>
      <c r="D411" s="326"/>
      <c r="E411" s="326"/>
      <c r="F411" s="326"/>
      <c r="G411" s="326"/>
      <c r="H411" s="326"/>
      <c r="P411" s="318"/>
      <c r="Q411" s="318"/>
      <c r="R411" s="318"/>
      <c r="S411" s="318"/>
      <c r="T411" s="318"/>
      <c r="U411" s="318"/>
      <c r="V411" s="318"/>
      <c r="W411" s="318"/>
      <c r="X411" s="318"/>
      <c r="Y411" s="318"/>
      <c r="Z411" s="318"/>
      <c r="AA411" s="318"/>
      <c r="AB411" s="318"/>
      <c r="AC411" s="318"/>
      <c r="AD411" s="318"/>
    </row>
    <row r="412" spans="2:30" s="323" customFormat="1" ht="12" customHeight="1">
      <c r="B412" s="324"/>
      <c r="C412" s="325"/>
      <c r="D412" s="326"/>
      <c r="E412" s="326"/>
      <c r="F412" s="326"/>
      <c r="G412" s="326"/>
      <c r="H412" s="326"/>
      <c r="P412" s="318"/>
      <c r="Q412" s="318"/>
      <c r="R412" s="318"/>
      <c r="S412" s="318"/>
      <c r="T412" s="318"/>
      <c r="U412" s="318"/>
      <c r="V412" s="318"/>
      <c r="W412" s="318"/>
      <c r="X412" s="318"/>
      <c r="Y412" s="318"/>
      <c r="Z412" s="318"/>
      <c r="AA412" s="318"/>
      <c r="AB412" s="318"/>
      <c r="AC412" s="318"/>
      <c r="AD412" s="318"/>
    </row>
    <row r="413" spans="2:30" s="323" customFormat="1" ht="12" customHeight="1">
      <c r="B413" s="324"/>
      <c r="C413" s="325"/>
      <c r="D413" s="326"/>
      <c r="E413" s="326"/>
      <c r="F413" s="326"/>
      <c r="G413" s="326"/>
      <c r="H413" s="326"/>
      <c r="P413" s="318"/>
      <c r="Q413" s="318"/>
      <c r="R413" s="318"/>
      <c r="S413" s="318"/>
      <c r="T413" s="318"/>
      <c r="U413" s="318"/>
      <c r="V413" s="318"/>
      <c r="W413" s="318"/>
      <c r="X413" s="318"/>
      <c r="Y413" s="318"/>
      <c r="Z413" s="318"/>
      <c r="AA413" s="318"/>
      <c r="AB413" s="318"/>
      <c r="AC413" s="318"/>
      <c r="AD413" s="318"/>
    </row>
    <row r="414" spans="2:30" s="323" customFormat="1" ht="12" customHeight="1">
      <c r="B414" s="324"/>
      <c r="C414" s="325"/>
      <c r="D414" s="326"/>
      <c r="E414" s="326"/>
      <c r="F414" s="326"/>
      <c r="G414" s="326"/>
      <c r="H414" s="326"/>
      <c r="P414" s="318"/>
      <c r="Q414" s="318"/>
      <c r="R414" s="318"/>
      <c r="S414" s="318"/>
      <c r="T414" s="318"/>
      <c r="U414" s="318"/>
      <c r="V414" s="318"/>
      <c r="W414" s="318"/>
      <c r="X414" s="318"/>
      <c r="Y414" s="318"/>
      <c r="Z414" s="318"/>
      <c r="AA414" s="318"/>
      <c r="AB414" s="318"/>
      <c r="AC414" s="318"/>
      <c r="AD414" s="318"/>
    </row>
    <row r="415" spans="2:30" s="323" customFormat="1" ht="12" customHeight="1">
      <c r="B415" s="324"/>
      <c r="C415" s="325"/>
      <c r="D415" s="326"/>
      <c r="E415" s="326"/>
      <c r="F415" s="326"/>
      <c r="G415" s="326"/>
      <c r="H415" s="326"/>
      <c r="P415" s="318"/>
      <c r="Q415" s="318"/>
      <c r="R415" s="318"/>
      <c r="S415" s="318"/>
      <c r="T415" s="318"/>
      <c r="U415" s="318"/>
      <c r="V415" s="318"/>
      <c r="W415" s="318"/>
      <c r="X415" s="318"/>
      <c r="Y415" s="318"/>
      <c r="Z415" s="318"/>
      <c r="AA415" s="318"/>
      <c r="AB415" s="318"/>
      <c r="AC415" s="318"/>
      <c r="AD415" s="318"/>
    </row>
    <row r="416" spans="2:30" s="323" customFormat="1" ht="12" customHeight="1">
      <c r="B416" s="324"/>
      <c r="C416" s="325"/>
      <c r="D416" s="326"/>
      <c r="E416" s="326"/>
      <c r="F416" s="326"/>
      <c r="G416" s="326"/>
      <c r="H416" s="326"/>
      <c r="P416" s="318"/>
      <c r="Q416" s="318"/>
      <c r="R416" s="318"/>
      <c r="S416" s="318"/>
      <c r="T416" s="318"/>
      <c r="U416" s="318"/>
      <c r="V416" s="318"/>
      <c r="W416" s="318"/>
      <c r="X416" s="318"/>
      <c r="Y416" s="318"/>
      <c r="Z416" s="318"/>
      <c r="AA416" s="318"/>
      <c r="AB416" s="318"/>
      <c r="AC416" s="318"/>
      <c r="AD416" s="318"/>
    </row>
    <row r="417" spans="2:30" s="323" customFormat="1" ht="12" customHeight="1">
      <c r="B417" s="324"/>
      <c r="C417" s="325"/>
      <c r="D417" s="326"/>
      <c r="E417" s="326"/>
      <c r="F417" s="326"/>
      <c r="G417" s="326"/>
      <c r="H417" s="326"/>
      <c r="P417" s="318"/>
      <c r="Q417" s="318"/>
      <c r="R417" s="318"/>
      <c r="S417" s="318"/>
      <c r="T417" s="318"/>
      <c r="U417" s="318"/>
      <c r="V417" s="318"/>
      <c r="W417" s="318"/>
      <c r="X417" s="318"/>
      <c r="Y417" s="318"/>
      <c r="Z417" s="318"/>
      <c r="AA417" s="318"/>
      <c r="AB417" s="318"/>
      <c r="AC417" s="318"/>
      <c r="AD417" s="318"/>
    </row>
    <row r="418" spans="2:30" s="323" customFormat="1" ht="12" customHeight="1">
      <c r="B418" s="324"/>
      <c r="C418" s="325"/>
      <c r="D418" s="326"/>
      <c r="E418" s="326"/>
      <c r="F418" s="326"/>
      <c r="G418" s="326"/>
      <c r="H418" s="326"/>
      <c r="P418" s="318"/>
      <c r="Q418" s="318"/>
      <c r="R418" s="318"/>
      <c r="S418" s="318"/>
      <c r="T418" s="318"/>
      <c r="U418" s="318"/>
      <c r="V418" s="318"/>
      <c r="W418" s="318"/>
      <c r="X418" s="318"/>
      <c r="Y418" s="318"/>
      <c r="Z418" s="318"/>
      <c r="AA418" s="318"/>
      <c r="AB418" s="318"/>
      <c r="AC418" s="318"/>
      <c r="AD418" s="318"/>
    </row>
    <row r="419" spans="2:30" s="323" customFormat="1" ht="12" customHeight="1">
      <c r="B419" s="324"/>
      <c r="C419" s="325"/>
      <c r="D419" s="326"/>
      <c r="E419" s="326"/>
      <c r="F419" s="326"/>
      <c r="G419" s="326"/>
      <c r="H419" s="326"/>
      <c r="P419" s="318"/>
      <c r="Q419" s="318"/>
      <c r="R419" s="318"/>
      <c r="S419" s="318"/>
      <c r="T419" s="318"/>
      <c r="U419" s="318"/>
      <c r="V419" s="318"/>
      <c r="W419" s="318"/>
      <c r="X419" s="318"/>
      <c r="Y419" s="318"/>
      <c r="Z419" s="318"/>
      <c r="AA419" s="318"/>
      <c r="AB419" s="318"/>
      <c r="AC419" s="318"/>
      <c r="AD419" s="318"/>
    </row>
    <row r="420" spans="2:30" s="323" customFormat="1" ht="12" customHeight="1">
      <c r="B420" s="324"/>
      <c r="C420" s="325"/>
      <c r="D420" s="326"/>
      <c r="E420" s="326"/>
      <c r="F420" s="326"/>
      <c r="G420" s="326"/>
      <c r="H420" s="326"/>
      <c r="P420" s="318"/>
      <c r="Q420" s="318"/>
      <c r="R420" s="318"/>
      <c r="S420" s="318"/>
      <c r="T420" s="318"/>
      <c r="U420" s="318"/>
      <c r="V420" s="318"/>
      <c r="W420" s="318"/>
      <c r="X420" s="318"/>
      <c r="Y420" s="318"/>
      <c r="Z420" s="318"/>
      <c r="AA420" s="318"/>
      <c r="AB420" s="318"/>
      <c r="AC420" s="318"/>
      <c r="AD420" s="318"/>
    </row>
    <row r="421" spans="2:30" s="323" customFormat="1" ht="12" customHeight="1">
      <c r="B421" s="324"/>
      <c r="C421" s="325"/>
      <c r="D421" s="326"/>
      <c r="E421" s="326"/>
      <c r="F421" s="326"/>
      <c r="G421" s="326"/>
      <c r="H421" s="326"/>
      <c r="P421" s="318"/>
      <c r="Q421" s="318"/>
      <c r="R421" s="318"/>
      <c r="S421" s="318"/>
      <c r="T421" s="318"/>
      <c r="U421" s="318"/>
      <c r="V421" s="318"/>
      <c r="W421" s="318"/>
      <c r="X421" s="318"/>
      <c r="Y421" s="318"/>
      <c r="Z421" s="318"/>
      <c r="AA421" s="318"/>
      <c r="AB421" s="318"/>
      <c r="AC421" s="318"/>
      <c r="AD421" s="318"/>
    </row>
    <row r="422" spans="2:30" s="323" customFormat="1" ht="12" customHeight="1">
      <c r="B422" s="324"/>
      <c r="C422" s="325"/>
      <c r="D422" s="326"/>
      <c r="E422" s="326"/>
      <c r="F422" s="326"/>
      <c r="G422" s="326"/>
      <c r="H422" s="326"/>
      <c r="P422" s="318"/>
      <c r="Q422" s="318"/>
      <c r="R422" s="318"/>
      <c r="S422" s="318"/>
      <c r="T422" s="318"/>
      <c r="U422" s="318"/>
      <c r="V422" s="318"/>
      <c r="W422" s="318"/>
      <c r="X422" s="318"/>
      <c r="Y422" s="318"/>
      <c r="Z422" s="318"/>
      <c r="AA422" s="318"/>
      <c r="AB422" s="318"/>
      <c r="AC422" s="318"/>
      <c r="AD422" s="318"/>
    </row>
    <row r="423" spans="2:30" s="323" customFormat="1" ht="12" customHeight="1">
      <c r="B423" s="324"/>
      <c r="C423" s="325"/>
      <c r="D423" s="326"/>
      <c r="E423" s="326"/>
      <c r="F423" s="326"/>
      <c r="G423" s="326"/>
      <c r="H423" s="326"/>
      <c r="P423" s="318"/>
      <c r="Q423" s="318"/>
      <c r="R423" s="318"/>
      <c r="S423" s="318"/>
      <c r="T423" s="318"/>
      <c r="U423" s="318"/>
      <c r="V423" s="318"/>
      <c r="W423" s="318"/>
      <c r="X423" s="318"/>
      <c r="Y423" s="318"/>
      <c r="Z423" s="318"/>
      <c r="AA423" s="318"/>
      <c r="AB423" s="318"/>
      <c r="AC423" s="318"/>
      <c r="AD423" s="318"/>
    </row>
    <row r="424" spans="2:30" s="323" customFormat="1" ht="12" customHeight="1">
      <c r="B424" s="324"/>
      <c r="C424" s="325"/>
      <c r="D424" s="326"/>
      <c r="E424" s="326"/>
      <c r="F424" s="326"/>
      <c r="G424" s="326"/>
      <c r="H424" s="326"/>
      <c r="P424" s="318"/>
      <c r="Q424" s="318"/>
      <c r="R424" s="318"/>
      <c r="S424" s="318"/>
      <c r="T424" s="318"/>
      <c r="U424" s="318"/>
      <c r="V424" s="318"/>
      <c r="W424" s="318"/>
      <c r="X424" s="318"/>
      <c r="Y424" s="318"/>
      <c r="Z424" s="318"/>
      <c r="AA424" s="318"/>
      <c r="AB424" s="318"/>
      <c r="AC424" s="318"/>
      <c r="AD424" s="318"/>
    </row>
    <row r="425" spans="2:30" s="323" customFormat="1" ht="12" customHeight="1">
      <c r="B425" s="324"/>
      <c r="C425" s="325"/>
      <c r="D425" s="326"/>
      <c r="E425" s="326"/>
      <c r="F425" s="326"/>
      <c r="G425" s="326"/>
      <c r="H425" s="326"/>
      <c r="P425" s="318"/>
      <c r="Q425" s="318"/>
      <c r="R425" s="318"/>
      <c r="S425" s="318"/>
      <c r="T425" s="318"/>
      <c r="U425" s="318"/>
      <c r="V425" s="318"/>
      <c r="W425" s="318"/>
      <c r="X425" s="318"/>
      <c r="Y425" s="318"/>
      <c r="Z425" s="318"/>
      <c r="AA425" s="318"/>
      <c r="AB425" s="318"/>
      <c r="AC425" s="318"/>
      <c r="AD425" s="318"/>
    </row>
    <row r="426" spans="2:30" s="323" customFormat="1" ht="12" customHeight="1">
      <c r="B426" s="324"/>
      <c r="C426" s="325"/>
      <c r="D426" s="326"/>
      <c r="E426" s="326"/>
      <c r="F426" s="326"/>
      <c r="G426" s="326"/>
      <c r="H426" s="326"/>
      <c r="P426" s="318"/>
      <c r="Q426" s="318"/>
      <c r="R426" s="318"/>
      <c r="S426" s="318"/>
      <c r="T426" s="318"/>
      <c r="U426" s="318"/>
      <c r="V426" s="318"/>
      <c r="W426" s="318"/>
      <c r="X426" s="318"/>
      <c r="Y426" s="318"/>
      <c r="Z426" s="318"/>
      <c r="AA426" s="318"/>
      <c r="AB426" s="318"/>
      <c r="AC426" s="318"/>
      <c r="AD426" s="318"/>
    </row>
    <row r="427" spans="2:30" s="323" customFormat="1" ht="12" customHeight="1">
      <c r="B427" s="324"/>
      <c r="C427" s="325"/>
      <c r="D427" s="326"/>
      <c r="E427" s="326"/>
      <c r="F427" s="326"/>
      <c r="G427" s="326"/>
      <c r="H427" s="326"/>
      <c r="P427" s="318"/>
      <c r="Q427" s="318"/>
      <c r="R427" s="318"/>
      <c r="S427" s="318"/>
      <c r="T427" s="318"/>
      <c r="U427" s="318"/>
      <c r="V427" s="318"/>
      <c r="W427" s="318"/>
      <c r="X427" s="318"/>
      <c r="Y427" s="318"/>
      <c r="Z427" s="318"/>
      <c r="AA427" s="318"/>
      <c r="AB427" s="318"/>
      <c r="AC427" s="318"/>
      <c r="AD427" s="318"/>
    </row>
    <row r="428" spans="2:30" s="323" customFormat="1" ht="12" customHeight="1">
      <c r="B428" s="324"/>
      <c r="C428" s="325"/>
      <c r="D428" s="326"/>
      <c r="E428" s="326"/>
      <c r="F428" s="326"/>
      <c r="G428" s="326"/>
      <c r="H428" s="326"/>
      <c r="P428" s="318"/>
      <c r="Q428" s="318"/>
      <c r="R428" s="318"/>
      <c r="S428" s="318"/>
      <c r="T428" s="318"/>
      <c r="U428" s="318"/>
      <c r="V428" s="318"/>
      <c r="W428" s="318"/>
      <c r="X428" s="318"/>
      <c r="Y428" s="318"/>
      <c r="Z428" s="318"/>
      <c r="AA428" s="318"/>
      <c r="AB428" s="318"/>
      <c r="AC428" s="318"/>
      <c r="AD428" s="318"/>
    </row>
    <row r="429" spans="2:30" s="323" customFormat="1" ht="12" customHeight="1">
      <c r="B429" s="324"/>
      <c r="C429" s="325"/>
      <c r="D429" s="326"/>
      <c r="E429" s="326"/>
      <c r="F429" s="326"/>
      <c r="G429" s="326"/>
      <c r="H429" s="326"/>
      <c r="P429" s="318"/>
      <c r="Q429" s="318"/>
      <c r="R429" s="318"/>
      <c r="S429" s="318"/>
      <c r="T429" s="318"/>
      <c r="U429" s="318"/>
      <c r="V429" s="318"/>
      <c r="W429" s="318"/>
      <c r="X429" s="318"/>
      <c r="Y429" s="318"/>
      <c r="Z429" s="318"/>
      <c r="AA429" s="318"/>
      <c r="AB429" s="318"/>
      <c r="AC429" s="318"/>
      <c r="AD429" s="318"/>
    </row>
    <row r="430" spans="2:30" s="323" customFormat="1" ht="12" customHeight="1">
      <c r="B430" s="324"/>
      <c r="C430" s="325"/>
      <c r="D430" s="326"/>
      <c r="E430" s="326"/>
      <c r="F430" s="326"/>
      <c r="G430" s="326"/>
      <c r="H430" s="326"/>
      <c r="P430" s="318"/>
      <c r="Q430" s="318"/>
      <c r="R430" s="318"/>
      <c r="S430" s="318"/>
      <c r="T430" s="318"/>
      <c r="U430" s="318"/>
      <c r="V430" s="318"/>
      <c r="W430" s="318"/>
      <c r="X430" s="318"/>
      <c r="Y430" s="318"/>
      <c r="Z430" s="318"/>
      <c r="AA430" s="318"/>
      <c r="AB430" s="318"/>
      <c r="AC430" s="318"/>
      <c r="AD430" s="318"/>
    </row>
    <row r="431" spans="2:30" s="323" customFormat="1" ht="12" customHeight="1">
      <c r="B431" s="324"/>
      <c r="C431" s="325"/>
      <c r="D431" s="326"/>
      <c r="E431" s="326"/>
      <c r="F431" s="326"/>
      <c r="G431" s="326"/>
      <c r="H431" s="326"/>
      <c r="P431" s="318"/>
      <c r="Q431" s="318"/>
      <c r="R431" s="318"/>
      <c r="S431" s="318"/>
      <c r="T431" s="318"/>
      <c r="U431" s="318"/>
      <c r="V431" s="318"/>
      <c r="W431" s="318"/>
      <c r="X431" s="318"/>
      <c r="Y431" s="318"/>
      <c r="Z431" s="318"/>
      <c r="AA431" s="318"/>
      <c r="AB431" s="318"/>
      <c r="AC431" s="318"/>
      <c r="AD431" s="318"/>
    </row>
    <row r="432" spans="2:30" s="323" customFormat="1" ht="12" customHeight="1">
      <c r="B432" s="324"/>
      <c r="C432" s="325"/>
      <c r="D432" s="326"/>
      <c r="E432" s="326"/>
      <c r="F432" s="326"/>
      <c r="G432" s="326"/>
      <c r="H432" s="326"/>
      <c r="P432" s="318"/>
      <c r="Q432" s="318"/>
      <c r="R432" s="318"/>
      <c r="S432" s="318"/>
      <c r="T432" s="318"/>
      <c r="U432" s="318"/>
      <c r="V432" s="318"/>
      <c r="W432" s="318"/>
      <c r="X432" s="318"/>
      <c r="Y432" s="318"/>
      <c r="Z432" s="318"/>
      <c r="AA432" s="318"/>
      <c r="AB432" s="318"/>
      <c r="AC432" s="318"/>
      <c r="AD432" s="318"/>
    </row>
    <row r="433" spans="2:30" s="323" customFormat="1" ht="12" customHeight="1">
      <c r="B433" s="324"/>
      <c r="C433" s="325"/>
      <c r="D433" s="326"/>
      <c r="E433" s="326"/>
      <c r="F433" s="326"/>
      <c r="G433" s="326"/>
      <c r="H433" s="326"/>
      <c r="P433" s="318"/>
      <c r="Q433" s="318"/>
      <c r="R433" s="318"/>
      <c r="S433" s="318"/>
      <c r="T433" s="318"/>
      <c r="U433" s="318"/>
      <c r="V433" s="318"/>
      <c r="W433" s="318"/>
      <c r="X433" s="318"/>
      <c r="Y433" s="318"/>
      <c r="Z433" s="318"/>
      <c r="AA433" s="318"/>
      <c r="AB433" s="318"/>
      <c r="AC433" s="318"/>
      <c r="AD433" s="318"/>
    </row>
    <row r="434" spans="2:30" s="323" customFormat="1" ht="12" customHeight="1">
      <c r="B434" s="324"/>
      <c r="C434" s="325"/>
      <c r="D434" s="326"/>
      <c r="E434" s="326"/>
      <c r="F434" s="326"/>
      <c r="G434" s="326"/>
      <c r="H434" s="326"/>
      <c r="P434" s="318"/>
      <c r="Q434" s="318"/>
      <c r="R434" s="318"/>
      <c r="S434" s="318"/>
      <c r="T434" s="318"/>
      <c r="U434" s="318"/>
      <c r="V434" s="318"/>
      <c r="W434" s="318"/>
      <c r="X434" s="318"/>
      <c r="Y434" s="318"/>
      <c r="Z434" s="318"/>
      <c r="AA434" s="318"/>
      <c r="AB434" s="318"/>
      <c r="AC434" s="318"/>
      <c r="AD434" s="318"/>
    </row>
    <row r="435" spans="2:30" s="323" customFormat="1" ht="12" customHeight="1">
      <c r="B435" s="324"/>
      <c r="C435" s="325"/>
      <c r="D435" s="326"/>
      <c r="E435" s="326"/>
      <c r="F435" s="326"/>
      <c r="G435" s="326"/>
      <c r="H435" s="326"/>
      <c r="P435" s="318"/>
      <c r="Q435" s="318"/>
      <c r="R435" s="318"/>
      <c r="S435" s="318"/>
      <c r="T435" s="318"/>
      <c r="U435" s="318"/>
      <c r="V435" s="318"/>
      <c r="W435" s="318"/>
      <c r="X435" s="318"/>
      <c r="Y435" s="318"/>
      <c r="Z435" s="318"/>
      <c r="AA435" s="318"/>
      <c r="AB435" s="318"/>
      <c r="AC435" s="318"/>
      <c r="AD435" s="318"/>
    </row>
    <row r="436" spans="2:30" s="323" customFormat="1" ht="12" customHeight="1">
      <c r="B436" s="324"/>
      <c r="C436" s="325"/>
      <c r="D436" s="326"/>
      <c r="E436" s="326"/>
      <c r="F436" s="326"/>
      <c r="G436" s="326"/>
      <c r="H436" s="326"/>
      <c r="P436" s="318"/>
      <c r="Q436" s="318"/>
      <c r="R436" s="318"/>
      <c r="S436" s="318"/>
      <c r="T436" s="318"/>
      <c r="U436" s="318"/>
      <c r="V436" s="318"/>
      <c r="W436" s="318"/>
      <c r="X436" s="318"/>
      <c r="Y436" s="318"/>
      <c r="Z436" s="318"/>
      <c r="AA436" s="318"/>
      <c r="AB436" s="318"/>
      <c r="AC436" s="318"/>
      <c r="AD436" s="318"/>
    </row>
    <row r="437" spans="2:30" s="323" customFormat="1" ht="12" customHeight="1">
      <c r="B437" s="324"/>
      <c r="C437" s="325"/>
      <c r="D437" s="326"/>
      <c r="E437" s="326"/>
      <c r="F437" s="326"/>
      <c r="G437" s="326"/>
      <c r="H437" s="326"/>
      <c r="P437" s="318"/>
      <c r="Q437" s="318"/>
      <c r="R437" s="318"/>
      <c r="S437" s="318"/>
      <c r="T437" s="318"/>
      <c r="U437" s="318"/>
      <c r="V437" s="318"/>
      <c r="W437" s="318"/>
      <c r="X437" s="318"/>
      <c r="Y437" s="318"/>
      <c r="Z437" s="318"/>
      <c r="AA437" s="318"/>
      <c r="AB437" s="318"/>
      <c r="AC437" s="318"/>
      <c r="AD437" s="318"/>
    </row>
    <row r="438" spans="2:30" s="323" customFormat="1" ht="12" customHeight="1">
      <c r="B438" s="324"/>
      <c r="C438" s="325"/>
      <c r="D438" s="326"/>
      <c r="E438" s="326"/>
      <c r="F438" s="326"/>
      <c r="G438" s="326"/>
      <c r="H438" s="326"/>
      <c r="P438" s="318"/>
      <c r="Q438" s="318"/>
      <c r="R438" s="318"/>
      <c r="S438" s="318"/>
      <c r="T438" s="318"/>
      <c r="U438" s="318"/>
      <c r="V438" s="318"/>
      <c r="W438" s="318"/>
      <c r="X438" s="318"/>
      <c r="Y438" s="318"/>
      <c r="Z438" s="318"/>
      <c r="AA438" s="318"/>
      <c r="AB438" s="318"/>
      <c r="AC438" s="318"/>
      <c r="AD438" s="318"/>
    </row>
    <row r="439" spans="2:30" s="323" customFormat="1" ht="12" customHeight="1">
      <c r="B439" s="324"/>
      <c r="C439" s="325"/>
      <c r="D439" s="326"/>
      <c r="E439" s="326"/>
      <c r="F439" s="326"/>
      <c r="G439" s="326"/>
      <c r="H439" s="326"/>
      <c r="P439" s="318"/>
      <c r="Q439" s="318"/>
      <c r="R439" s="318"/>
      <c r="S439" s="318"/>
      <c r="T439" s="318"/>
      <c r="U439" s="318"/>
      <c r="V439" s="318"/>
      <c r="W439" s="318"/>
      <c r="X439" s="318"/>
      <c r="Y439" s="318"/>
      <c r="Z439" s="318"/>
      <c r="AA439" s="318"/>
      <c r="AB439" s="318"/>
      <c r="AC439" s="318"/>
      <c r="AD439" s="318"/>
    </row>
    <row r="440" spans="2:30" s="323" customFormat="1" ht="12" customHeight="1">
      <c r="B440" s="324"/>
      <c r="C440" s="325"/>
      <c r="D440" s="326"/>
      <c r="E440" s="326"/>
      <c r="F440" s="326"/>
      <c r="G440" s="326"/>
      <c r="H440" s="326"/>
      <c r="P440" s="318"/>
      <c r="Q440" s="318"/>
      <c r="R440" s="318"/>
      <c r="S440" s="318"/>
      <c r="T440" s="318"/>
      <c r="U440" s="318"/>
      <c r="V440" s="318"/>
      <c r="W440" s="318"/>
      <c r="X440" s="318"/>
      <c r="Y440" s="318"/>
      <c r="Z440" s="318"/>
      <c r="AA440" s="318"/>
      <c r="AB440" s="318"/>
      <c r="AC440" s="318"/>
      <c r="AD440" s="318"/>
    </row>
    <row r="441" spans="2:30" s="323" customFormat="1" ht="12" customHeight="1">
      <c r="B441" s="324"/>
      <c r="C441" s="325"/>
      <c r="D441" s="326"/>
      <c r="E441" s="326"/>
      <c r="F441" s="326"/>
      <c r="G441" s="326"/>
      <c r="H441" s="326"/>
      <c r="P441" s="318"/>
      <c r="Q441" s="318"/>
      <c r="R441" s="318"/>
      <c r="S441" s="318"/>
      <c r="T441" s="318"/>
      <c r="U441" s="318"/>
      <c r="V441" s="318"/>
      <c r="W441" s="318"/>
      <c r="X441" s="318"/>
      <c r="Y441" s="318"/>
      <c r="Z441" s="318"/>
      <c r="AA441" s="318"/>
      <c r="AB441" s="318"/>
      <c r="AC441" s="318"/>
      <c r="AD441" s="318"/>
    </row>
    <row r="442" spans="2:30" s="323" customFormat="1" ht="12" customHeight="1">
      <c r="B442" s="324"/>
      <c r="C442" s="325"/>
      <c r="D442" s="326"/>
      <c r="E442" s="326"/>
      <c r="F442" s="326"/>
      <c r="G442" s="326"/>
      <c r="H442" s="326"/>
      <c r="P442" s="318"/>
      <c r="Q442" s="318"/>
      <c r="R442" s="318"/>
      <c r="S442" s="318"/>
      <c r="T442" s="318"/>
      <c r="U442" s="318"/>
      <c r="V442" s="318"/>
      <c r="W442" s="318"/>
      <c r="X442" s="318"/>
      <c r="Y442" s="318"/>
      <c r="Z442" s="318"/>
      <c r="AA442" s="318"/>
      <c r="AB442" s="318"/>
      <c r="AC442" s="318"/>
      <c r="AD442" s="318"/>
    </row>
    <row r="443" spans="2:30" s="323" customFormat="1" ht="12" customHeight="1">
      <c r="B443" s="324"/>
      <c r="C443" s="325"/>
      <c r="D443" s="326"/>
      <c r="E443" s="326"/>
      <c r="F443" s="326"/>
      <c r="G443" s="326"/>
      <c r="H443" s="326"/>
      <c r="P443" s="318"/>
      <c r="Q443" s="318"/>
      <c r="R443" s="318"/>
      <c r="S443" s="318"/>
      <c r="T443" s="318"/>
      <c r="U443" s="318"/>
      <c r="V443" s="318"/>
      <c r="W443" s="318"/>
      <c r="X443" s="318"/>
      <c r="Y443" s="318"/>
      <c r="Z443" s="318"/>
      <c r="AA443" s="318"/>
      <c r="AB443" s="318"/>
      <c r="AC443" s="318"/>
      <c r="AD443" s="318"/>
    </row>
    <row r="444" spans="2:30" s="323" customFormat="1" ht="12" customHeight="1">
      <c r="B444" s="324"/>
      <c r="C444" s="325"/>
      <c r="D444" s="326"/>
      <c r="E444" s="326"/>
      <c r="F444" s="326"/>
      <c r="G444" s="326"/>
      <c r="H444" s="326"/>
      <c r="P444" s="318"/>
      <c r="Q444" s="318"/>
      <c r="R444" s="318"/>
      <c r="S444" s="318"/>
      <c r="T444" s="318"/>
      <c r="U444" s="318"/>
      <c r="V444" s="318"/>
      <c r="W444" s="318"/>
      <c r="X444" s="318"/>
      <c r="Y444" s="318"/>
      <c r="Z444" s="318"/>
      <c r="AA444" s="318"/>
      <c r="AB444" s="318"/>
      <c r="AC444" s="318"/>
      <c r="AD444" s="318"/>
    </row>
    <row r="445" spans="2:30" s="323" customFormat="1" ht="12" customHeight="1">
      <c r="B445" s="324"/>
      <c r="C445" s="325"/>
      <c r="D445" s="326"/>
      <c r="E445" s="326"/>
      <c r="F445" s="326"/>
      <c r="G445" s="326"/>
      <c r="H445" s="326"/>
      <c r="P445" s="318"/>
      <c r="Q445" s="318"/>
      <c r="R445" s="318"/>
      <c r="S445" s="318"/>
      <c r="T445" s="318"/>
      <c r="U445" s="318"/>
      <c r="V445" s="318"/>
      <c r="W445" s="318"/>
      <c r="X445" s="318"/>
      <c r="Y445" s="318"/>
      <c r="Z445" s="318"/>
      <c r="AA445" s="318"/>
      <c r="AB445" s="318"/>
      <c r="AC445" s="318"/>
      <c r="AD445" s="318"/>
    </row>
    <row r="446" spans="2:30" s="323" customFormat="1" ht="12" customHeight="1">
      <c r="B446" s="324"/>
      <c r="C446" s="325"/>
      <c r="D446" s="326"/>
      <c r="E446" s="326"/>
      <c r="F446" s="326"/>
      <c r="G446" s="326"/>
      <c r="H446" s="326"/>
      <c r="P446" s="318"/>
      <c r="Q446" s="318"/>
      <c r="R446" s="318"/>
      <c r="S446" s="318"/>
      <c r="T446" s="318"/>
      <c r="U446" s="318"/>
      <c r="V446" s="318"/>
      <c r="W446" s="318"/>
      <c r="X446" s="318"/>
      <c r="Y446" s="318"/>
      <c r="Z446" s="318"/>
      <c r="AA446" s="318"/>
      <c r="AB446" s="318"/>
      <c r="AC446" s="318"/>
      <c r="AD446" s="318"/>
    </row>
    <row r="447" spans="2:30" s="323" customFormat="1" ht="12" customHeight="1">
      <c r="B447" s="324"/>
      <c r="C447" s="325"/>
      <c r="D447" s="326"/>
      <c r="E447" s="326"/>
      <c r="F447" s="326"/>
      <c r="G447" s="326"/>
      <c r="H447" s="326"/>
      <c r="P447" s="318"/>
      <c r="Q447" s="318"/>
      <c r="R447" s="318"/>
      <c r="S447" s="318"/>
      <c r="T447" s="318"/>
      <c r="U447" s="318"/>
      <c r="V447" s="318"/>
      <c r="W447" s="318"/>
      <c r="X447" s="318"/>
      <c r="Y447" s="318"/>
      <c r="Z447" s="318"/>
      <c r="AA447" s="318"/>
      <c r="AB447" s="318"/>
      <c r="AC447" s="318"/>
      <c r="AD447" s="318"/>
    </row>
    <row r="448" spans="2:30" s="323" customFormat="1" ht="12" customHeight="1">
      <c r="B448" s="324"/>
      <c r="C448" s="325"/>
      <c r="D448" s="326"/>
      <c r="E448" s="326"/>
      <c r="F448" s="326"/>
      <c r="G448" s="326"/>
      <c r="H448" s="326"/>
      <c r="P448" s="318"/>
      <c r="Q448" s="318"/>
      <c r="R448" s="318"/>
      <c r="S448" s="318"/>
      <c r="T448" s="318"/>
      <c r="U448" s="318"/>
      <c r="V448" s="318"/>
      <c r="W448" s="318"/>
      <c r="X448" s="318"/>
      <c r="Y448" s="318"/>
      <c r="Z448" s="318"/>
      <c r="AA448" s="318"/>
      <c r="AB448" s="318"/>
      <c r="AC448" s="318"/>
      <c r="AD448" s="318"/>
    </row>
    <row r="449" spans="2:30" s="323" customFormat="1" ht="12" customHeight="1">
      <c r="B449" s="324"/>
      <c r="C449" s="325"/>
      <c r="D449" s="326"/>
      <c r="E449" s="326"/>
      <c r="F449" s="326"/>
      <c r="G449" s="326"/>
      <c r="H449" s="326"/>
      <c r="P449" s="318"/>
      <c r="Q449" s="318"/>
      <c r="R449" s="318"/>
      <c r="S449" s="318"/>
      <c r="T449" s="318"/>
      <c r="U449" s="318"/>
      <c r="V449" s="318"/>
      <c r="W449" s="318"/>
      <c r="X449" s="318"/>
      <c r="Y449" s="318"/>
      <c r="Z449" s="318"/>
      <c r="AA449" s="318"/>
      <c r="AB449" s="318"/>
      <c r="AC449" s="318"/>
      <c r="AD449" s="318"/>
    </row>
    <row r="450" spans="2:30" s="323" customFormat="1" ht="12" customHeight="1">
      <c r="B450" s="324"/>
      <c r="C450" s="325"/>
      <c r="D450" s="326"/>
      <c r="E450" s="326"/>
      <c r="F450" s="326"/>
      <c r="G450" s="326"/>
      <c r="H450" s="326"/>
      <c r="P450" s="318"/>
      <c r="Q450" s="318"/>
      <c r="R450" s="318"/>
      <c r="S450" s="318"/>
      <c r="T450" s="318"/>
      <c r="U450" s="318"/>
      <c r="V450" s="318"/>
      <c r="W450" s="318"/>
      <c r="X450" s="318"/>
      <c r="Y450" s="318"/>
      <c r="Z450" s="318"/>
      <c r="AA450" s="318"/>
      <c r="AB450" s="318"/>
      <c r="AC450" s="318"/>
      <c r="AD450" s="318"/>
    </row>
    <row r="451" spans="2:30" s="323" customFormat="1" ht="12" customHeight="1">
      <c r="B451" s="324"/>
      <c r="C451" s="325"/>
      <c r="D451" s="326"/>
      <c r="E451" s="326"/>
      <c r="F451" s="326"/>
      <c r="G451" s="326"/>
      <c r="H451" s="326"/>
      <c r="P451" s="318"/>
      <c r="Q451" s="318"/>
      <c r="R451" s="318"/>
      <c r="S451" s="318"/>
      <c r="T451" s="318"/>
      <c r="U451" s="318"/>
      <c r="V451" s="318"/>
      <c r="W451" s="318"/>
      <c r="X451" s="318"/>
      <c r="Y451" s="318"/>
      <c r="Z451" s="318"/>
      <c r="AA451" s="318"/>
      <c r="AB451" s="318"/>
      <c r="AC451" s="318"/>
      <c r="AD451" s="318"/>
    </row>
    <row r="452" spans="2:30" s="323" customFormat="1" ht="12" customHeight="1">
      <c r="B452" s="324"/>
      <c r="C452" s="325"/>
      <c r="D452" s="326"/>
      <c r="E452" s="326"/>
      <c r="F452" s="326"/>
      <c r="G452" s="326"/>
      <c r="H452" s="326"/>
      <c r="P452" s="318"/>
      <c r="Q452" s="318"/>
      <c r="R452" s="318"/>
      <c r="S452" s="318"/>
      <c r="T452" s="318"/>
      <c r="U452" s="318"/>
      <c r="V452" s="318"/>
      <c r="W452" s="318"/>
      <c r="X452" s="318"/>
      <c r="Y452" s="318"/>
      <c r="Z452" s="318"/>
      <c r="AA452" s="318"/>
      <c r="AB452" s="318"/>
      <c r="AC452" s="318"/>
      <c r="AD452" s="318"/>
    </row>
    <row r="453" spans="2:30" s="323" customFormat="1" ht="12" customHeight="1">
      <c r="B453" s="324"/>
      <c r="C453" s="325"/>
      <c r="D453" s="326"/>
      <c r="E453" s="326"/>
      <c r="F453" s="326"/>
      <c r="G453" s="326"/>
      <c r="H453" s="326"/>
      <c r="P453" s="318"/>
      <c r="Q453" s="318"/>
      <c r="R453" s="318"/>
      <c r="S453" s="318"/>
      <c r="T453" s="318"/>
      <c r="U453" s="318"/>
      <c r="V453" s="318"/>
      <c r="W453" s="318"/>
      <c r="X453" s="318"/>
      <c r="Y453" s="318"/>
      <c r="Z453" s="318"/>
      <c r="AA453" s="318"/>
      <c r="AB453" s="318"/>
      <c r="AC453" s="318"/>
      <c r="AD453" s="318"/>
    </row>
    <row r="454" spans="2:30" s="323" customFormat="1" ht="12" customHeight="1">
      <c r="B454" s="324"/>
      <c r="C454" s="325"/>
      <c r="D454" s="326"/>
      <c r="E454" s="326"/>
      <c r="F454" s="326"/>
      <c r="G454" s="326"/>
      <c r="H454" s="326"/>
      <c r="P454" s="318"/>
      <c r="Q454" s="318"/>
      <c r="R454" s="318"/>
      <c r="S454" s="318"/>
      <c r="T454" s="318"/>
      <c r="U454" s="318"/>
      <c r="V454" s="318"/>
      <c r="W454" s="318"/>
      <c r="X454" s="318"/>
      <c r="Y454" s="318"/>
      <c r="Z454" s="318"/>
      <c r="AA454" s="318"/>
      <c r="AB454" s="318"/>
      <c r="AC454" s="318"/>
      <c r="AD454" s="318"/>
    </row>
    <row r="455" spans="2:30" s="323" customFormat="1" ht="12" customHeight="1">
      <c r="B455" s="324"/>
      <c r="C455" s="325"/>
      <c r="D455" s="326"/>
      <c r="E455" s="326"/>
      <c r="F455" s="326"/>
      <c r="G455" s="326"/>
      <c r="H455" s="326"/>
      <c r="P455" s="318"/>
      <c r="Q455" s="318"/>
      <c r="R455" s="318"/>
      <c r="S455" s="318"/>
      <c r="T455" s="318"/>
      <c r="U455" s="318"/>
      <c r="V455" s="318"/>
      <c r="W455" s="318"/>
      <c r="X455" s="318"/>
      <c r="Y455" s="318"/>
      <c r="Z455" s="318"/>
      <c r="AA455" s="318"/>
      <c r="AB455" s="318"/>
      <c r="AC455" s="318"/>
      <c r="AD455" s="318"/>
    </row>
    <row r="456" spans="2:30" s="323" customFormat="1" ht="12" customHeight="1">
      <c r="B456" s="324"/>
      <c r="C456" s="325"/>
      <c r="D456" s="326"/>
      <c r="E456" s="326"/>
      <c r="F456" s="326"/>
      <c r="G456" s="326"/>
      <c r="H456" s="326"/>
      <c r="P456" s="318"/>
      <c r="Q456" s="318"/>
      <c r="R456" s="318"/>
      <c r="S456" s="318"/>
      <c r="T456" s="318"/>
      <c r="U456" s="318"/>
      <c r="V456" s="318"/>
      <c r="W456" s="318"/>
      <c r="X456" s="318"/>
      <c r="Y456" s="318"/>
      <c r="Z456" s="318"/>
      <c r="AA456" s="318"/>
      <c r="AB456" s="318"/>
      <c r="AC456" s="318"/>
      <c r="AD456" s="318"/>
    </row>
    <row r="457" spans="2:30" s="323" customFormat="1" ht="12" customHeight="1">
      <c r="B457" s="324"/>
      <c r="C457" s="325"/>
      <c r="D457" s="326"/>
      <c r="E457" s="326"/>
      <c r="F457" s="326"/>
      <c r="G457" s="326"/>
      <c r="H457" s="326"/>
      <c r="P457" s="318"/>
      <c r="Q457" s="318"/>
      <c r="R457" s="318"/>
      <c r="S457" s="318"/>
      <c r="T457" s="318"/>
      <c r="U457" s="318"/>
      <c r="V457" s="318"/>
      <c r="W457" s="318"/>
      <c r="X457" s="318"/>
      <c r="Y457" s="318"/>
      <c r="Z457" s="318"/>
      <c r="AA457" s="318"/>
      <c r="AB457" s="318"/>
      <c r="AC457" s="318"/>
      <c r="AD457" s="318"/>
    </row>
    <row r="458" spans="2:30" s="323" customFormat="1" ht="12" customHeight="1">
      <c r="B458" s="324"/>
      <c r="C458" s="325"/>
      <c r="D458" s="326"/>
      <c r="E458" s="326"/>
      <c r="F458" s="326"/>
      <c r="G458" s="326"/>
      <c r="H458" s="326"/>
      <c r="P458" s="318"/>
      <c r="Q458" s="318"/>
      <c r="R458" s="318"/>
      <c r="S458" s="318"/>
      <c r="T458" s="318"/>
      <c r="U458" s="318"/>
      <c r="V458" s="318"/>
      <c r="W458" s="318"/>
      <c r="X458" s="318"/>
      <c r="Y458" s="318"/>
      <c r="Z458" s="318"/>
      <c r="AA458" s="318"/>
      <c r="AB458" s="318"/>
      <c r="AC458" s="318"/>
      <c r="AD458" s="318"/>
    </row>
    <row r="459" spans="2:30" s="323" customFormat="1" ht="12" customHeight="1">
      <c r="B459" s="324"/>
      <c r="C459" s="325"/>
      <c r="D459" s="326"/>
      <c r="E459" s="326"/>
      <c r="F459" s="326"/>
      <c r="G459" s="326"/>
      <c r="H459" s="326"/>
      <c r="P459" s="318"/>
      <c r="Q459" s="318"/>
      <c r="R459" s="318"/>
      <c r="S459" s="318"/>
      <c r="T459" s="318"/>
      <c r="U459" s="318"/>
      <c r="V459" s="318"/>
      <c r="W459" s="318"/>
      <c r="X459" s="318"/>
      <c r="Y459" s="318"/>
      <c r="Z459" s="318"/>
      <c r="AA459" s="318"/>
      <c r="AB459" s="318"/>
      <c r="AC459" s="318"/>
      <c r="AD459" s="318"/>
    </row>
    <row r="460" spans="2:30" s="323" customFormat="1" ht="12" customHeight="1">
      <c r="B460" s="324"/>
      <c r="C460" s="325"/>
      <c r="D460" s="326"/>
      <c r="E460" s="326"/>
      <c r="F460" s="326"/>
      <c r="G460" s="326"/>
      <c r="H460" s="326"/>
      <c r="P460" s="318"/>
      <c r="Q460" s="318"/>
      <c r="R460" s="318"/>
      <c r="S460" s="318"/>
      <c r="T460" s="318"/>
      <c r="U460" s="318"/>
      <c r="V460" s="318"/>
      <c r="W460" s="318"/>
      <c r="X460" s="318"/>
      <c r="Y460" s="318"/>
      <c r="Z460" s="318"/>
      <c r="AA460" s="318"/>
      <c r="AB460" s="318"/>
      <c r="AC460" s="318"/>
      <c r="AD460" s="318"/>
    </row>
    <row r="461" spans="2:30" s="323" customFormat="1" ht="12" customHeight="1">
      <c r="B461" s="324"/>
      <c r="C461" s="325"/>
      <c r="D461" s="326"/>
      <c r="E461" s="326"/>
      <c r="F461" s="326"/>
      <c r="G461" s="326"/>
      <c r="H461" s="326"/>
      <c r="P461" s="318"/>
      <c r="Q461" s="318"/>
      <c r="R461" s="318"/>
      <c r="S461" s="318"/>
      <c r="T461" s="318"/>
      <c r="U461" s="318"/>
      <c r="V461" s="318"/>
      <c r="W461" s="318"/>
      <c r="X461" s="318"/>
      <c r="Y461" s="318"/>
      <c r="Z461" s="318"/>
      <c r="AA461" s="318"/>
      <c r="AB461" s="318"/>
      <c r="AC461" s="318"/>
      <c r="AD461" s="318"/>
    </row>
    <row r="462" spans="2:30" s="323" customFormat="1" ht="12" customHeight="1">
      <c r="B462" s="324"/>
      <c r="C462" s="325"/>
      <c r="D462" s="326"/>
      <c r="E462" s="326"/>
      <c r="F462" s="326"/>
      <c r="G462" s="326"/>
      <c r="H462" s="326"/>
      <c r="P462" s="318"/>
      <c r="Q462" s="318"/>
      <c r="R462" s="318"/>
      <c r="S462" s="318"/>
      <c r="T462" s="318"/>
      <c r="U462" s="318"/>
      <c r="V462" s="318"/>
      <c r="W462" s="318"/>
      <c r="X462" s="318"/>
      <c r="Y462" s="318"/>
      <c r="Z462" s="318"/>
      <c r="AA462" s="318"/>
      <c r="AB462" s="318"/>
      <c r="AC462" s="318"/>
      <c r="AD462" s="318"/>
    </row>
    <row r="463" spans="2:30" s="323" customFormat="1" ht="12" customHeight="1">
      <c r="B463" s="324"/>
      <c r="C463" s="325"/>
      <c r="D463" s="326"/>
      <c r="E463" s="326"/>
      <c r="F463" s="326"/>
      <c r="G463" s="326"/>
      <c r="H463" s="326"/>
      <c r="P463" s="318"/>
      <c r="Q463" s="318"/>
      <c r="R463" s="318"/>
      <c r="S463" s="318"/>
      <c r="T463" s="318"/>
      <c r="U463" s="318"/>
      <c r="V463" s="318"/>
      <c r="W463" s="318"/>
      <c r="X463" s="318"/>
      <c r="Y463" s="318"/>
      <c r="Z463" s="318"/>
      <c r="AA463" s="318"/>
      <c r="AB463" s="318"/>
      <c r="AC463" s="318"/>
      <c r="AD463" s="318"/>
    </row>
    <row r="464" spans="2:30" s="323" customFormat="1" ht="12" customHeight="1">
      <c r="B464" s="324"/>
      <c r="C464" s="325"/>
      <c r="D464" s="326"/>
      <c r="E464" s="326"/>
      <c r="F464" s="326"/>
      <c r="G464" s="326"/>
      <c r="H464" s="326"/>
      <c r="P464" s="318"/>
      <c r="Q464" s="318"/>
      <c r="R464" s="318"/>
      <c r="S464" s="318"/>
      <c r="T464" s="318"/>
      <c r="U464" s="318"/>
      <c r="V464" s="318"/>
      <c r="W464" s="318"/>
      <c r="X464" s="318"/>
      <c r="Y464" s="318"/>
      <c r="Z464" s="318"/>
      <c r="AA464" s="318"/>
      <c r="AB464" s="318"/>
      <c r="AC464" s="318"/>
      <c r="AD464" s="318"/>
    </row>
    <row r="465" spans="2:30" s="323" customFormat="1" ht="12" customHeight="1">
      <c r="B465" s="324"/>
      <c r="C465" s="325"/>
      <c r="D465" s="326"/>
      <c r="E465" s="326"/>
      <c r="F465" s="326"/>
      <c r="G465" s="326"/>
      <c r="H465" s="326"/>
      <c r="P465" s="318"/>
      <c r="Q465" s="318"/>
      <c r="R465" s="318"/>
      <c r="S465" s="318"/>
      <c r="T465" s="318"/>
      <c r="U465" s="318"/>
      <c r="V465" s="318"/>
      <c r="W465" s="318"/>
      <c r="X465" s="318"/>
      <c r="Y465" s="318"/>
      <c r="Z465" s="318"/>
      <c r="AA465" s="318"/>
      <c r="AB465" s="318"/>
      <c r="AC465" s="318"/>
      <c r="AD465" s="318"/>
    </row>
    <row r="466" spans="2:30" s="323" customFormat="1" ht="12" customHeight="1">
      <c r="B466" s="324"/>
      <c r="C466" s="325"/>
      <c r="D466" s="326"/>
      <c r="E466" s="326"/>
      <c r="F466" s="326"/>
      <c r="G466" s="326"/>
      <c r="H466" s="326"/>
      <c r="P466" s="318"/>
      <c r="Q466" s="318"/>
      <c r="R466" s="318"/>
      <c r="S466" s="318"/>
      <c r="T466" s="318"/>
      <c r="U466" s="318"/>
      <c r="V466" s="318"/>
      <c r="W466" s="318"/>
      <c r="X466" s="318"/>
      <c r="Y466" s="318"/>
      <c r="Z466" s="318"/>
      <c r="AA466" s="318"/>
      <c r="AB466" s="318"/>
      <c r="AC466" s="318"/>
      <c r="AD466" s="318"/>
    </row>
    <row r="467" spans="2:30" s="323" customFormat="1" ht="12" customHeight="1">
      <c r="B467" s="324"/>
      <c r="C467" s="325"/>
      <c r="D467" s="326"/>
      <c r="E467" s="326"/>
      <c r="F467" s="326"/>
      <c r="G467" s="326"/>
      <c r="H467" s="326"/>
      <c r="P467" s="318"/>
      <c r="Q467" s="318"/>
      <c r="R467" s="318"/>
      <c r="S467" s="318"/>
      <c r="T467" s="318"/>
      <c r="U467" s="318"/>
      <c r="V467" s="318"/>
      <c r="W467" s="318"/>
      <c r="X467" s="318"/>
      <c r="Y467" s="318"/>
      <c r="Z467" s="318"/>
      <c r="AA467" s="318"/>
      <c r="AB467" s="318"/>
      <c r="AC467" s="318"/>
      <c r="AD467" s="318"/>
    </row>
    <row r="468" spans="2:30" s="323" customFormat="1" ht="12" customHeight="1">
      <c r="B468" s="324"/>
      <c r="C468" s="325"/>
      <c r="D468" s="326"/>
      <c r="E468" s="326"/>
      <c r="F468" s="326"/>
      <c r="G468" s="326"/>
      <c r="H468" s="326"/>
      <c r="P468" s="318"/>
      <c r="Q468" s="318"/>
      <c r="R468" s="318"/>
      <c r="S468" s="318"/>
      <c r="T468" s="318"/>
      <c r="U468" s="318"/>
      <c r="V468" s="318"/>
      <c r="W468" s="318"/>
      <c r="X468" s="318"/>
      <c r="Y468" s="318"/>
      <c r="Z468" s="318"/>
      <c r="AA468" s="318"/>
      <c r="AB468" s="318"/>
      <c r="AC468" s="318"/>
      <c r="AD468" s="318"/>
    </row>
    <row r="469" spans="2:30" s="323" customFormat="1" ht="12" customHeight="1">
      <c r="B469" s="324"/>
      <c r="C469" s="325"/>
      <c r="D469" s="326"/>
      <c r="E469" s="326"/>
      <c r="F469" s="326"/>
      <c r="G469" s="326"/>
      <c r="H469" s="326"/>
      <c r="P469" s="318"/>
      <c r="Q469" s="318"/>
      <c r="R469" s="318"/>
      <c r="S469" s="318"/>
      <c r="T469" s="318"/>
      <c r="U469" s="318"/>
      <c r="V469" s="318"/>
      <c r="W469" s="318"/>
      <c r="X469" s="318"/>
      <c r="Y469" s="318"/>
      <c r="Z469" s="318"/>
      <c r="AA469" s="318"/>
      <c r="AB469" s="318"/>
      <c r="AC469" s="318"/>
      <c r="AD469" s="318"/>
    </row>
    <row r="470" spans="2:30" s="323" customFormat="1" ht="12" customHeight="1">
      <c r="B470" s="324"/>
      <c r="C470" s="325"/>
      <c r="D470" s="326"/>
      <c r="E470" s="326"/>
      <c r="F470" s="326"/>
      <c r="G470" s="326"/>
      <c r="H470" s="326"/>
      <c r="P470" s="318"/>
      <c r="Q470" s="318"/>
      <c r="R470" s="318"/>
      <c r="S470" s="318"/>
      <c r="T470" s="318"/>
      <c r="U470" s="318"/>
      <c r="V470" s="318"/>
      <c r="W470" s="318"/>
      <c r="X470" s="318"/>
      <c r="Y470" s="318"/>
      <c r="Z470" s="318"/>
      <c r="AA470" s="318"/>
      <c r="AB470" s="318"/>
      <c r="AC470" s="318"/>
      <c r="AD470" s="318"/>
    </row>
    <row r="471" spans="2:30" s="323" customFormat="1" ht="12" customHeight="1">
      <c r="B471" s="324"/>
      <c r="C471" s="325"/>
      <c r="D471" s="326"/>
      <c r="E471" s="326"/>
      <c r="F471" s="326"/>
      <c r="G471" s="326"/>
      <c r="H471" s="326"/>
      <c r="P471" s="318"/>
      <c r="Q471" s="318"/>
      <c r="R471" s="318"/>
      <c r="S471" s="318"/>
      <c r="T471" s="318"/>
      <c r="U471" s="318"/>
      <c r="V471" s="318"/>
      <c r="W471" s="318"/>
      <c r="X471" s="318"/>
      <c r="Y471" s="318"/>
      <c r="Z471" s="318"/>
      <c r="AA471" s="318"/>
      <c r="AB471" s="318"/>
      <c r="AC471" s="318"/>
      <c r="AD471" s="318"/>
    </row>
    <row r="472" spans="2:30" s="323" customFormat="1" ht="12" customHeight="1">
      <c r="B472" s="324"/>
      <c r="C472" s="325"/>
      <c r="D472" s="326"/>
      <c r="E472" s="326"/>
      <c r="F472" s="326"/>
      <c r="G472" s="326"/>
      <c r="H472" s="326"/>
      <c r="P472" s="318"/>
      <c r="Q472" s="318"/>
      <c r="R472" s="318"/>
      <c r="S472" s="318"/>
      <c r="T472" s="318"/>
      <c r="U472" s="318"/>
      <c r="V472" s="318"/>
      <c r="W472" s="318"/>
      <c r="X472" s="318"/>
      <c r="Y472" s="318"/>
      <c r="Z472" s="318"/>
      <c r="AA472" s="318"/>
      <c r="AB472" s="318"/>
      <c r="AC472" s="318"/>
      <c r="AD472" s="318"/>
    </row>
    <row r="473" spans="2:30" s="323" customFormat="1" ht="12" customHeight="1">
      <c r="B473" s="324"/>
      <c r="C473" s="325"/>
      <c r="D473" s="326"/>
      <c r="E473" s="326"/>
      <c r="F473" s="326"/>
      <c r="G473" s="326"/>
      <c r="H473" s="326"/>
      <c r="P473" s="318"/>
      <c r="Q473" s="318"/>
      <c r="R473" s="318"/>
      <c r="S473" s="318"/>
      <c r="T473" s="318"/>
      <c r="U473" s="318"/>
      <c r="V473" s="318"/>
      <c r="W473" s="318"/>
      <c r="X473" s="318"/>
      <c r="Y473" s="318"/>
      <c r="Z473" s="318"/>
      <c r="AA473" s="318"/>
      <c r="AB473" s="318"/>
      <c r="AC473" s="318"/>
      <c r="AD473" s="318"/>
    </row>
    <row r="474" spans="2:30" s="323" customFormat="1" ht="12" customHeight="1">
      <c r="B474" s="324"/>
      <c r="C474" s="325"/>
      <c r="D474" s="326"/>
      <c r="E474" s="326"/>
      <c r="F474" s="326"/>
      <c r="G474" s="326"/>
      <c r="H474" s="326"/>
      <c r="P474" s="318"/>
      <c r="Q474" s="318"/>
      <c r="R474" s="318"/>
      <c r="S474" s="318"/>
      <c r="T474" s="318"/>
      <c r="U474" s="318"/>
      <c r="V474" s="318"/>
      <c r="W474" s="318"/>
      <c r="X474" s="318"/>
      <c r="Y474" s="318"/>
      <c r="Z474" s="318"/>
      <c r="AA474" s="318"/>
      <c r="AB474" s="318"/>
      <c r="AC474" s="318"/>
      <c r="AD474" s="318"/>
    </row>
    <row r="475" spans="2:30" s="323" customFormat="1" ht="12" customHeight="1">
      <c r="B475" s="324"/>
      <c r="C475" s="325"/>
      <c r="D475" s="326"/>
      <c r="E475" s="326"/>
      <c r="F475" s="326"/>
      <c r="G475" s="326"/>
      <c r="H475" s="326"/>
      <c r="P475" s="318"/>
      <c r="Q475" s="318"/>
      <c r="R475" s="318"/>
      <c r="S475" s="318"/>
      <c r="T475" s="318"/>
      <c r="U475" s="318"/>
      <c r="V475" s="318"/>
      <c r="W475" s="318"/>
      <c r="X475" s="318"/>
      <c r="Y475" s="318"/>
      <c r="Z475" s="318"/>
      <c r="AA475" s="318"/>
      <c r="AB475" s="318"/>
      <c r="AC475" s="318"/>
      <c r="AD475" s="318"/>
    </row>
    <row r="476" spans="2:30" s="323" customFormat="1" ht="12" customHeight="1">
      <c r="B476" s="324"/>
      <c r="C476" s="325"/>
      <c r="D476" s="326"/>
      <c r="E476" s="326"/>
      <c r="F476" s="326"/>
      <c r="G476" s="326"/>
      <c r="H476" s="326"/>
      <c r="P476" s="318"/>
      <c r="Q476" s="318"/>
      <c r="R476" s="318"/>
      <c r="S476" s="318"/>
      <c r="T476" s="318"/>
      <c r="U476" s="318"/>
      <c r="V476" s="318"/>
      <c r="W476" s="318"/>
      <c r="X476" s="318"/>
      <c r="Y476" s="318"/>
      <c r="Z476" s="318"/>
      <c r="AA476" s="318"/>
      <c r="AB476" s="318"/>
      <c r="AC476" s="318"/>
      <c r="AD476" s="318"/>
    </row>
    <row r="477" spans="2:30" s="323" customFormat="1" ht="12" customHeight="1">
      <c r="B477" s="324"/>
      <c r="C477" s="325"/>
      <c r="D477" s="326"/>
      <c r="E477" s="326"/>
      <c r="F477" s="326"/>
      <c r="G477" s="326"/>
      <c r="H477" s="326"/>
      <c r="P477" s="318"/>
      <c r="Q477" s="318"/>
      <c r="R477" s="318"/>
      <c r="S477" s="318"/>
      <c r="T477" s="318"/>
      <c r="U477" s="318"/>
      <c r="V477" s="318"/>
      <c r="W477" s="318"/>
      <c r="X477" s="318"/>
      <c r="Y477" s="318"/>
      <c r="Z477" s="318"/>
      <c r="AA477" s="318"/>
      <c r="AB477" s="318"/>
      <c r="AC477" s="318"/>
      <c r="AD477" s="318"/>
    </row>
    <row r="478" spans="2:30" s="323" customFormat="1" ht="12" customHeight="1">
      <c r="B478" s="324"/>
      <c r="C478" s="325"/>
      <c r="D478" s="326"/>
      <c r="E478" s="326"/>
      <c r="F478" s="326"/>
      <c r="G478" s="326"/>
      <c r="H478" s="326"/>
      <c r="P478" s="318"/>
      <c r="Q478" s="318"/>
      <c r="R478" s="318"/>
      <c r="S478" s="318"/>
      <c r="T478" s="318"/>
      <c r="U478" s="318"/>
      <c r="V478" s="318"/>
      <c r="W478" s="318"/>
      <c r="X478" s="318"/>
      <c r="Y478" s="318"/>
      <c r="Z478" s="318"/>
      <c r="AA478" s="318"/>
      <c r="AB478" s="318"/>
      <c r="AC478" s="318"/>
      <c r="AD478" s="318"/>
    </row>
    <row r="479" spans="2:30" s="323" customFormat="1" ht="12" customHeight="1">
      <c r="B479" s="324"/>
      <c r="C479" s="325"/>
      <c r="D479" s="326"/>
      <c r="E479" s="326"/>
      <c r="F479" s="326"/>
      <c r="G479" s="326"/>
      <c r="H479" s="326"/>
      <c r="P479" s="318"/>
      <c r="Q479" s="318"/>
      <c r="R479" s="318"/>
      <c r="S479" s="318"/>
      <c r="T479" s="318"/>
      <c r="U479" s="318"/>
      <c r="V479" s="318"/>
      <c r="W479" s="318"/>
      <c r="X479" s="318"/>
      <c r="Y479" s="318"/>
      <c r="Z479" s="318"/>
      <c r="AA479" s="318"/>
      <c r="AB479" s="318"/>
      <c r="AC479" s="318"/>
      <c r="AD479" s="318"/>
    </row>
    <row r="480" spans="2:30" s="323" customFormat="1" ht="12" customHeight="1">
      <c r="B480" s="324"/>
      <c r="C480" s="325"/>
      <c r="D480" s="326"/>
      <c r="E480" s="326"/>
      <c r="F480" s="326"/>
      <c r="G480" s="326"/>
      <c r="H480" s="326"/>
      <c r="P480" s="318"/>
      <c r="Q480" s="318"/>
      <c r="R480" s="318"/>
      <c r="S480" s="318"/>
      <c r="T480" s="318"/>
      <c r="U480" s="318"/>
      <c r="V480" s="318"/>
      <c r="W480" s="318"/>
      <c r="X480" s="318"/>
      <c r="Y480" s="318"/>
      <c r="Z480" s="318"/>
      <c r="AA480" s="318"/>
      <c r="AB480" s="318"/>
      <c r="AC480" s="318"/>
      <c r="AD480" s="318"/>
    </row>
    <row r="481" spans="2:30" s="323" customFormat="1" ht="12" customHeight="1">
      <c r="B481" s="324"/>
      <c r="C481" s="325"/>
      <c r="D481" s="326"/>
      <c r="E481" s="326"/>
      <c r="F481" s="326"/>
      <c r="G481" s="326"/>
      <c r="H481" s="326"/>
      <c r="P481" s="318"/>
      <c r="Q481" s="318"/>
      <c r="R481" s="318"/>
      <c r="S481" s="318"/>
      <c r="T481" s="318"/>
      <c r="U481" s="318"/>
      <c r="V481" s="318"/>
      <c r="W481" s="318"/>
      <c r="X481" s="318"/>
      <c r="Y481" s="318"/>
      <c r="Z481" s="318"/>
      <c r="AA481" s="318"/>
      <c r="AB481" s="318"/>
      <c r="AC481" s="318"/>
      <c r="AD481" s="318"/>
    </row>
    <row r="482" spans="2:30" s="323" customFormat="1" ht="12" customHeight="1">
      <c r="B482" s="324"/>
      <c r="C482" s="325"/>
      <c r="D482" s="326"/>
      <c r="E482" s="326"/>
      <c r="F482" s="326"/>
      <c r="G482" s="326"/>
      <c r="H482" s="326"/>
      <c r="P482" s="318"/>
      <c r="Q482" s="318"/>
      <c r="R482" s="318"/>
      <c r="S482" s="318"/>
      <c r="T482" s="318"/>
      <c r="U482" s="318"/>
      <c r="V482" s="318"/>
      <c r="W482" s="318"/>
      <c r="X482" s="318"/>
      <c r="Y482" s="318"/>
      <c r="Z482" s="318"/>
      <c r="AA482" s="318"/>
      <c r="AB482" s="318"/>
      <c r="AC482" s="318"/>
      <c r="AD482" s="318"/>
    </row>
    <row r="483" spans="2:30" s="323" customFormat="1" ht="12" customHeight="1">
      <c r="B483" s="324"/>
      <c r="C483" s="325"/>
      <c r="D483" s="326"/>
      <c r="E483" s="326"/>
      <c r="F483" s="326"/>
      <c r="G483" s="326"/>
      <c r="H483" s="326"/>
      <c r="P483" s="318"/>
      <c r="Q483" s="318"/>
      <c r="R483" s="318"/>
      <c r="S483" s="318"/>
      <c r="T483" s="318"/>
      <c r="U483" s="318"/>
      <c r="V483" s="318"/>
      <c r="W483" s="318"/>
      <c r="X483" s="318"/>
      <c r="Y483" s="318"/>
      <c r="Z483" s="318"/>
      <c r="AA483" s="318"/>
      <c r="AB483" s="318"/>
      <c r="AC483" s="318"/>
      <c r="AD483" s="318"/>
    </row>
    <row r="484" spans="2:30" s="323" customFormat="1" ht="12" customHeight="1">
      <c r="B484" s="324"/>
      <c r="C484" s="325"/>
      <c r="D484" s="326"/>
      <c r="E484" s="326"/>
      <c r="F484" s="326"/>
      <c r="G484" s="326"/>
      <c r="H484" s="326"/>
      <c r="P484" s="318"/>
      <c r="Q484" s="318"/>
      <c r="R484" s="318"/>
      <c r="S484" s="318"/>
      <c r="T484" s="318"/>
      <c r="U484" s="318"/>
      <c r="V484" s="318"/>
      <c r="W484" s="318"/>
      <c r="X484" s="318"/>
      <c r="Y484" s="318"/>
      <c r="Z484" s="318"/>
      <c r="AA484" s="318"/>
      <c r="AB484" s="318"/>
      <c r="AC484" s="318"/>
      <c r="AD484" s="318"/>
    </row>
    <row r="485" spans="2:30" s="323" customFormat="1" ht="12" customHeight="1">
      <c r="B485" s="324"/>
      <c r="C485" s="325"/>
      <c r="D485" s="326"/>
      <c r="E485" s="326"/>
      <c r="F485" s="326"/>
      <c r="G485" s="326"/>
      <c r="H485" s="326"/>
      <c r="P485" s="318"/>
      <c r="Q485" s="318"/>
      <c r="R485" s="318"/>
      <c r="S485" s="318"/>
      <c r="T485" s="318"/>
      <c r="U485" s="318"/>
      <c r="V485" s="318"/>
      <c r="W485" s="318"/>
      <c r="X485" s="318"/>
      <c r="Y485" s="318"/>
      <c r="Z485" s="318"/>
      <c r="AA485" s="318"/>
      <c r="AB485" s="318"/>
      <c r="AC485" s="318"/>
      <c r="AD485" s="318"/>
    </row>
    <row r="486" spans="2:30" s="323" customFormat="1" ht="12" customHeight="1">
      <c r="B486" s="324"/>
      <c r="C486" s="325"/>
      <c r="D486" s="326"/>
      <c r="E486" s="326"/>
      <c r="F486" s="326"/>
      <c r="G486" s="326"/>
      <c r="H486" s="326"/>
      <c r="P486" s="318"/>
      <c r="Q486" s="318"/>
      <c r="R486" s="318"/>
      <c r="S486" s="318"/>
      <c r="T486" s="318"/>
      <c r="U486" s="318"/>
      <c r="V486" s="318"/>
      <c r="W486" s="318"/>
      <c r="X486" s="318"/>
      <c r="Y486" s="318"/>
      <c r="Z486" s="318"/>
      <c r="AA486" s="318"/>
      <c r="AB486" s="318"/>
      <c r="AC486" s="318"/>
      <c r="AD486" s="318"/>
    </row>
    <row r="487" spans="2:30" s="323" customFormat="1" ht="12" customHeight="1">
      <c r="B487" s="324"/>
      <c r="C487" s="325"/>
      <c r="D487" s="326"/>
      <c r="E487" s="326"/>
      <c r="F487" s="326"/>
      <c r="G487" s="326"/>
      <c r="H487" s="326"/>
      <c r="P487" s="318"/>
      <c r="Q487" s="318"/>
      <c r="R487" s="318"/>
      <c r="S487" s="318"/>
      <c r="T487" s="318"/>
      <c r="U487" s="318"/>
      <c r="V487" s="318"/>
      <c r="W487" s="318"/>
      <c r="X487" s="318"/>
      <c r="Y487" s="318"/>
      <c r="Z487" s="318"/>
      <c r="AA487" s="318"/>
      <c r="AB487" s="318"/>
      <c r="AC487" s="318"/>
      <c r="AD487" s="318"/>
    </row>
    <row r="488" spans="2:30" s="323" customFormat="1" ht="12" customHeight="1">
      <c r="B488" s="324"/>
      <c r="C488" s="325"/>
      <c r="D488" s="326"/>
      <c r="E488" s="326"/>
      <c r="F488" s="326"/>
      <c r="G488" s="326"/>
      <c r="H488" s="326"/>
      <c r="P488" s="318"/>
      <c r="Q488" s="318"/>
      <c r="R488" s="318"/>
      <c r="S488" s="318"/>
      <c r="T488" s="318"/>
      <c r="U488" s="318"/>
      <c r="V488" s="318"/>
      <c r="W488" s="318"/>
      <c r="X488" s="318"/>
      <c r="Y488" s="318"/>
      <c r="Z488" s="318"/>
      <c r="AA488" s="318"/>
      <c r="AB488" s="318"/>
      <c r="AC488" s="318"/>
      <c r="AD488" s="318"/>
    </row>
    <row r="489" spans="2:30" s="323" customFormat="1" ht="12" customHeight="1">
      <c r="B489" s="324"/>
      <c r="C489" s="325"/>
      <c r="D489" s="326"/>
      <c r="E489" s="326"/>
      <c r="F489" s="326"/>
      <c r="G489" s="326"/>
      <c r="H489" s="326"/>
      <c r="P489" s="318"/>
      <c r="Q489" s="318"/>
      <c r="R489" s="318"/>
      <c r="S489" s="318"/>
      <c r="T489" s="318"/>
      <c r="U489" s="318"/>
      <c r="V489" s="318"/>
      <c r="W489" s="318"/>
      <c r="X489" s="318"/>
      <c r="Y489" s="318"/>
      <c r="Z489" s="318"/>
      <c r="AA489" s="318"/>
      <c r="AB489" s="318"/>
      <c r="AC489" s="318"/>
      <c r="AD489" s="318"/>
    </row>
    <row r="490" spans="2:30" s="323" customFormat="1" ht="12" customHeight="1">
      <c r="B490" s="324"/>
      <c r="C490" s="325"/>
      <c r="D490" s="326"/>
      <c r="E490" s="326"/>
      <c r="F490" s="326"/>
      <c r="G490" s="326"/>
      <c r="H490" s="326"/>
      <c r="P490" s="318"/>
      <c r="Q490" s="318"/>
      <c r="R490" s="318"/>
      <c r="S490" s="318"/>
      <c r="T490" s="318"/>
      <c r="U490" s="318"/>
      <c r="V490" s="318"/>
      <c r="W490" s="318"/>
      <c r="X490" s="318"/>
      <c r="Y490" s="318"/>
      <c r="Z490" s="318"/>
      <c r="AA490" s="318"/>
      <c r="AB490" s="318"/>
      <c r="AC490" s="318"/>
      <c r="AD490" s="318"/>
    </row>
    <row r="491" spans="2:30" s="323" customFormat="1" ht="12" customHeight="1">
      <c r="B491" s="324"/>
      <c r="C491" s="325"/>
      <c r="D491" s="326"/>
      <c r="E491" s="326"/>
      <c r="F491" s="326"/>
      <c r="G491" s="326"/>
      <c r="H491" s="326"/>
      <c r="P491" s="318"/>
      <c r="Q491" s="318"/>
      <c r="R491" s="318"/>
      <c r="S491" s="318"/>
      <c r="T491" s="318"/>
      <c r="U491" s="318"/>
      <c r="V491" s="318"/>
      <c r="W491" s="318"/>
      <c r="X491" s="318"/>
      <c r="Y491" s="318"/>
      <c r="Z491" s="318"/>
      <c r="AA491" s="318"/>
      <c r="AB491" s="318"/>
      <c r="AC491" s="318"/>
      <c r="AD491" s="318"/>
    </row>
    <row r="492" spans="2:30" s="323" customFormat="1" ht="12" customHeight="1">
      <c r="B492" s="324"/>
      <c r="C492" s="325"/>
      <c r="D492" s="326"/>
      <c r="E492" s="326"/>
      <c r="F492" s="326"/>
      <c r="G492" s="326"/>
      <c r="H492" s="326"/>
      <c r="P492" s="318"/>
      <c r="Q492" s="318"/>
      <c r="R492" s="318"/>
      <c r="S492" s="318"/>
      <c r="T492" s="318"/>
      <c r="U492" s="318"/>
      <c r="V492" s="318"/>
      <c r="W492" s="318"/>
      <c r="X492" s="318"/>
      <c r="Y492" s="318"/>
      <c r="Z492" s="318"/>
      <c r="AA492" s="318"/>
      <c r="AB492" s="318"/>
      <c r="AC492" s="318"/>
      <c r="AD492" s="318"/>
    </row>
    <row r="493" spans="2:30" s="323" customFormat="1" ht="12" customHeight="1">
      <c r="B493" s="324"/>
      <c r="C493" s="325"/>
      <c r="D493" s="326"/>
      <c r="E493" s="326"/>
      <c r="F493" s="326"/>
      <c r="G493" s="326"/>
      <c r="H493" s="326"/>
      <c r="P493" s="318"/>
      <c r="Q493" s="318"/>
      <c r="R493" s="318"/>
      <c r="S493" s="318"/>
      <c r="T493" s="318"/>
      <c r="U493" s="318"/>
      <c r="V493" s="318"/>
      <c r="W493" s="318"/>
      <c r="X493" s="318"/>
      <c r="Y493" s="318"/>
      <c r="Z493" s="318"/>
      <c r="AA493" s="318"/>
      <c r="AB493" s="318"/>
      <c r="AC493" s="318"/>
      <c r="AD493" s="318"/>
    </row>
    <row r="494" spans="2:30" s="323" customFormat="1" ht="12" customHeight="1">
      <c r="B494" s="324"/>
      <c r="C494" s="325"/>
      <c r="D494" s="326"/>
      <c r="E494" s="326"/>
      <c r="F494" s="326"/>
      <c r="G494" s="326"/>
      <c r="H494" s="326"/>
      <c r="P494" s="318"/>
      <c r="Q494" s="318"/>
      <c r="R494" s="318"/>
      <c r="S494" s="318"/>
      <c r="T494" s="318"/>
      <c r="U494" s="318"/>
      <c r="V494" s="318"/>
      <c r="W494" s="318"/>
      <c r="X494" s="318"/>
      <c r="Y494" s="318"/>
      <c r="Z494" s="318"/>
      <c r="AA494" s="318"/>
      <c r="AB494" s="318"/>
      <c r="AC494" s="318"/>
      <c r="AD494" s="318"/>
    </row>
    <row r="495" spans="2:30" s="323" customFormat="1" ht="12" customHeight="1">
      <c r="B495" s="324"/>
      <c r="C495" s="325"/>
      <c r="D495" s="326"/>
      <c r="E495" s="326"/>
      <c r="F495" s="326"/>
      <c r="G495" s="326"/>
      <c r="H495" s="326"/>
      <c r="P495" s="318"/>
      <c r="Q495" s="318"/>
      <c r="R495" s="318"/>
      <c r="S495" s="318"/>
      <c r="T495" s="318"/>
      <c r="U495" s="318"/>
      <c r="V495" s="318"/>
      <c r="W495" s="318"/>
      <c r="X495" s="318"/>
      <c r="Y495" s="318"/>
      <c r="Z495" s="318"/>
      <c r="AA495" s="318"/>
      <c r="AB495" s="318"/>
      <c r="AC495" s="318"/>
      <c r="AD495" s="318"/>
    </row>
    <row r="496" spans="2:30" s="323" customFormat="1" ht="12" customHeight="1">
      <c r="B496" s="324"/>
      <c r="C496" s="325"/>
      <c r="D496" s="326"/>
      <c r="E496" s="326"/>
      <c r="F496" s="326"/>
      <c r="G496" s="326"/>
      <c r="H496" s="326"/>
      <c r="P496" s="318"/>
      <c r="Q496" s="318"/>
      <c r="R496" s="318"/>
      <c r="S496" s="318"/>
      <c r="T496" s="318"/>
      <c r="U496" s="318"/>
      <c r="V496" s="318"/>
      <c r="W496" s="318"/>
      <c r="X496" s="318"/>
      <c r="Y496" s="318"/>
      <c r="Z496" s="318"/>
      <c r="AA496" s="318"/>
      <c r="AB496" s="318"/>
      <c r="AC496" s="318"/>
      <c r="AD496" s="318"/>
    </row>
    <row r="497" spans="2:30" s="323" customFormat="1" ht="12" customHeight="1">
      <c r="B497" s="324"/>
      <c r="C497" s="325"/>
      <c r="D497" s="326"/>
      <c r="E497" s="326"/>
      <c r="F497" s="326"/>
      <c r="G497" s="326"/>
      <c r="H497" s="326"/>
      <c r="P497" s="318"/>
      <c r="Q497" s="318"/>
      <c r="R497" s="318"/>
      <c r="S497" s="318"/>
      <c r="T497" s="318"/>
      <c r="U497" s="318"/>
      <c r="V497" s="318"/>
      <c r="W497" s="318"/>
      <c r="X497" s="318"/>
      <c r="Y497" s="318"/>
      <c r="Z497" s="318"/>
      <c r="AA497" s="318"/>
      <c r="AB497" s="318"/>
      <c r="AC497" s="318"/>
      <c r="AD497" s="318"/>
    </row>
    <row r="498" spans="2:30" s="323" customFormat="1" ht="12" customHeight="1">
      <c r="B498" s="324"/>
      <c r="C498" s="325"/>
      <c r="D498" s="326"/>
      <c r="E498" s="326"/>
      <c r="F498" s="326"/>
      <c r="G498" s="326"/>
      <c r="H498" s="326"/>
      <c r="P498" s="318"/>
      <c r="Q498" s="318"/>
      <c r="R498" s="318"/>
      <c r="S498" s="318"/>
      <c r="T498" s="318"/>
      <c r="U498" s="318"/>
      <c r="V498" s="318"/>
      <c r="W498" s="318"/>
      <c r="X498" s="318"/>
      <c r="Y498" s="318"/>
      <c r="Z498" s="318"/>
      <c r="AA498" s="318"/>
      <c r="AB498" s="318"/>
      <c r="AC498" s="318"/>
      <c r="AD498" s="318"/>
    </row>
    <row r="499" spans="2:30" s="323" customFormat="1" ht="12" customHeight="1">
      <c r="B499" s="324"/>
      <c r="C499" s="325"/>
      <c r="D499" s="326"/>
      <c r="E499" s="326"/>
      <c r="F499" s="326"/>
      <c r="G499" s="326"/>
      <c r="H499" s="326"/>
      <c r="P499" s="318"/>
      <c r="Q499" s="318"/>
      <c r="R499" s="318"/>
      <c r="S499" s="318"/>
      <c r="T499" s="318"/>
      <c r="U499" s="318"/>
      <c r="V499" s="318"/>
      <c r="W499" s="318"/>
      <c r="X499" s="318"/>
      <c r="Y499" s="318"/>
      <c r="Z499" s="318"/>
      <c r="AA499" s="318"/>
      <c r="AB499" s="318"/>
      <c r="AC499" s="318"/>
      <c r="AD499" s="318"/>
    </row>
    <row r="500" spans="2:30" s="323" customFormat="1" ht="12" customHeight="1">
      <c r="B500" s="324"/>
      <c r="C500" s="325"/>
      <c r="D500" s="326"/>
      <c r="E500" s="326"/>
      <c r="F500" s="326"/>
      <c r="G500" s="326"/>
      <c r="H500" s="326"/>
      <c r="P500" s="318"/>
      <c r="Q500" s="318"/>
      <c r="R500" s="318"/>
      <c r="S500" s="318"/>
      <c r="T500" s="318"/>
      <c r="U500" s="318"/>
      <c r="V500" s="318"/>
      <c r="W500" s="318"/>
      <c r="X500" s="318"/>
      <c r="Y500" s="318"/>
      <c r="Z500" s="318"/>
      <c r="AA500" s="318"/>
      <c r="AB500" s="318"/>
      <c r="AC500" s="318"/>
      <c r="AD500" s="318"/>
    </row>
    <row r="501" spans="2:30" s="323" customFormat="1" ht="12" customHeight="1">
      <c r="B501" s="324"/>
      <c r="C501" s="325"/>
      <c r="D501" s="326"/>
      <c r="E501" s="326"/>
      <c r="F501" s="326"/>
      <c r="G501" s="326"/>
      <c r="H501" s="326"/>
      <c r="P501" s="318"/>
      <c r="Q501" s="318"/>
      <c r="R501" s="318"/>
      <c r="S501" s="318"/>
      <c r="T501" s="318"/>
      <c r="U501" s="318"/>
      <c r="V501" s="318"/>
      <c r="W501" s="318"/>
      <c r="X501" s="318"/>
      <c r="Y501" s="318"/>
      <c r="Z501" s="318"/>
      <c r="AA501" s="318"/>
      <c r="AB501" s="318"/>
      <c r="AC501" s="318"/>
      <c r="AD501" s="318"/>
    </row>
    <row r="502" spans="2:30" s="323" customFormat="1" ht="12" customHeight="1">
      <c r="B502" s="324"/>
      <c r="C502" s="325"/>
      <c r="D502" s="326"/>
      <c r="E502" s="326"/>
      <c r="F502" s="326"/>
      <c r="G502" s="326"/>
      <c r="H502" s="326"/>
      <c r="P502" s="318"/>
      <c r="Q502" s="318"/>
      <c r="R502" s="318"/>
      <c r="S502" s="318"/>
      <c r="T502" s="318"/>
      <c r="U502" s="318"/>
      <c r="V502" s="318"/>
      <c r="W502" s="318"/>
      <c r="X502" s="318"/>
      <c r="Y502" s="318"/>
      <c r="Z502" s="318"/>
      <c r="AA502" s="318"/>
      <c r="AB502" s="318"/>
      <c r="AC502" s="318"/>
      <c r="AD502" s="318"/>
    </row>
    <row r="503" spans="2:30" s="323" customFormat="1" ht="12" customHeight="1">
      <c r="B503" s="324"/>
      <c r="C503" s="325"/>
      <c r="D503" s="326"/>
      <c r="E503" s="326"/>
      <c r="F503" s="326"/>
      <c r="G503" s="326"/>
      <c r="H503" s="326"/>
      <c r="P503" s="318"/>
      <c r="Q503" s="318"/>
      <c r="R503" s="318"/>
      <c r="S503" s="318"/>
      <c r="T503" s="318"/>
      <c r="U503" s="318"/>
      <c r="V503" s="318"/>
      <c r="W503" s="318"/>
      <c r="X503" s="318"/>
      <c r="Y503" s="318"/>
      <c r="Z503" s="318"/>
      <c r="AA503" s="318"/>
      <c r="AB503" s="318"/>
      <c r="AC503" s="318"/>
      <c r="AD503" s="318"/>
    </row>
    <row r="504" spans="2:30" s="323" customFormat="1" ht="12" customHeight="1">
      <c r="B504" s="324"/>
      <c r="C504" s="325"/>
      <c r="D504" s="326"/>
      <c r="E504" s="326"/>
      <c r="F504" s="326"/>
      <c r="G504" s="326"/>
      <c r="H504" s="326"/>
      <c r="P504" s="318"/>
      <c r="Q504" s="318"/>
      <c r="R504" s="318"/>
      <c r="S504" s="318"/>
      <c r="T504" s="318"/>
      <c r="U504" s="318"/>
      <c r="V504" s="318"/>
      <c r="W504" s="318"/>
      <c r="X504" s="318"/>
      <c r="Y504" s="318"/>
      <c r="Z504" s="318"/>
      <c r="AA504" s="318"/>
      <c r="AB504" s="318"/>
      <c r="AC504" s="318"/>
      <c r="AD504" s="318"/>
    </row>
    <row r="505" spans="2:30" s="323" customFormat="1" ht="12" customHeight="1">
      <c r="B505" s="324"/>
      <c r="C505" s="325"/>
      <c r="D505" s="326"/>
      <c r="E505" s="326"/>
      <c r="F505" s="326"/>
      <c r="G505" s="326"/>
      <c r="H505" s="326"/>
      <c r="P505" s="318"/>
      <c r="Q505" s="318"/>
      <c r="R505" s="318"/>
      <c r="S505" s="318"/>
      <c r="T505" s="318"/>
      <c r="U505" s="318"/>
      <c r="V505" s="318"/>
      <c r="W505" s="318"/>
      <c r="X505" s="318"/>
      <c r="Y505" s="318"/>
      <c r="Z505" s="318"/>
      <c r="AA505" s="318"/>
      <c r="AB505" s="318"/>
      <c r="AC505" s="318"/>
      <c r="AD505" s="318"/>
    </row>
    <row r="506" spans="2:30" s="323" customFormat="1" ht="12" customHeight="1">
      <c r="B506" s="324"/>
      <c r="C506" s="325"/>
      <c r="D506" s="326"/>
      <c r="E506" s="326"/>
      <c r="F506" s="326"/>
      <c r="G506" s="326"/>
      <c r="H506" s="326"/>
      <c r="P506" s="318"/>
      <c r="Q506" s="318"/>
      <c r="R506" s="318"/>
      <c r="S506" s="318"/>
      <c r="T506" s="318"/>
      <c r="U506" s="318"/>
      <c r="V506" s="318"/>
      <c r="W506" s="318"/>
      <c r="X506" s="318"/>
      <c r="Y506" s="318"/>
      <c r="Z506" s="318"/>
      <c r="AA506" s="318"/>
      <c r="AB506" s="318"/>
      <c r="AC506" s="318"/>
      <c r="AD506" s="318"/>
    </row>
    <row r="507" spans="2:30" s="323" customFormat="1" ht="12" customHeight="1">
      <c r="B507" s="324"/>
      <c r="C507" s="325"/>
      <c r="D507" s="326"/>
      <c r="E507" s="326"/>
      <c r="F507" s="326"/>
      <c r="G507" s="326"/>
      <c r="H507" s="326"/>
      <c r="P507" s="318"/>
      <c r="Q507" s="318"/>
      <c r="R507" s="318"/>
      <c r="S507" s="318"/>
      <c r="T507" s="318"/>
      <c r="U507" s="318"/>
      <c r="V507" s="318"/>
      <c r="W507" s="318"/>
      <c r="X507" s="318"/>
      <c r="Y507" s="318"/>
      <c r="Z507" s="318"/>
      <c r="AA507" s="318"/>
      <c r="AB507" s="318"/>
      <c r="AC507" s="318"/>
      <c r="AD507" s="318"/>
    </row>
    <row r="508" spans="2:30" s="323" customFormat="1" ht="12" customHeight="1">
      <c r="B508" s="324"/>
      <c r="C508" s="325"/>
      <c r="D508" s="326"/>
      <c r="E508" s="326"/>
      <c r="F508" s="326"/>
      <c r="G508" s="326"/>
      <c r="H508" s="326"/>
      <c r="P508" s="318"/>
      <c r="Q508" s="318"/>
      <c r="R508" s="318"/>
      <c r="S508" s="318"/>
      <c r="T508" s="318"/>
      <c r="U508" s="318"/>
      <c r="V508" s="318"/>
      <c r="W508" s="318"/>
      <c r="X508" s="318"/>
      <c r="Y508" s="318"/>
      <c r="Z508" s="318"/>
      <c r="AA508" s="318"/>
      <c r="AB508" s="318"/>
      <c r="AC508" s="318"/>
      <c r="AD508" s="318"/>
    </row>
    <row r="509" spans="2:30" s="323" customFormat="1" ht="12" customHeight="1">
      <c r="B509" s="324"/>
      <c r="C509" s="325"/>
      <c r="D509" s="326"/>
      <c r="E509" s="326"/>
      <c r="F509" s="326"/>
      <c r="G509" s="326"/>
      <c r="H509" s="326"/>
      <c r="P509" s="318"/>
      <c r="Q509" s="318"/>
      <c r="R509" s="318"/>
      <c r="S509" s="318"/>
      <c r="T509" s="318"/>
      <c r="U509" s="318"/>
      <c r="V509" s="318"/>
      <c r="W509" s="318"/>
      <c r="X509" s="318"/>
      <c r="Y509" s="318"/>
      <c r="Z509" s="318"/>
      <c r="AA509" s="318"/>
      <c r="AB509" s="318"/>
      <c r="AC509" s="318"/>
      <c r="AD509" s="318"/>
    </row>
    <row r="510" spans="2:30" s="323" customFormat="1" ht="12" customHeight="1">
      <c r="B510" s="324"/>
      <c r="C510" s="325"/>
      <c r="D510" s="326"/>
      <c r="E510" s="326"/>
      <c r="F510" s="326"/>
      <c r="G510" s="326"/>
      <c r="H510" s="326"/>
      <c r="P510" s="318"/>
      <c r="Q510" s="318"/>
      <c r="R510" s="318"/>
      <c r="S510" s="318"/>
      <c r="T510" s="318"/>
      <c r="U510" s="318"/>
      <c r="V510" s="318"/>
      <c r="W510" s="318"/>
      <c r="X510" s="318"/>
      <c r="Y510" s="318"/>
      <c r="Z510" s="318"/>
      <c r="AA510" s="318"/>
      <c r="AB510" s="318"/>
      <c r="AC510" s="318"/>
      <c r="AD510" s="318"/>
    </row>
    <row r="511" spans="2:30" s="323" customFormat="1" ht="12" customHeight="1">
      <c r="B511" s="324"/>
      <c r="C511" s="325"/>
      <c r="D511" s="326"/>
      <c r="E511" s="326"/>
      <c r="F511" s="326"/>
      <c r="G511" s="326"/>
      <c r="H511" s="326"/>
      <c r="P511" s="318"/>
      <c r="Q511" s="318"/>
      <c r="R511" s="318"/>
      <c r="S511" s="318"/>
      <c r="T511" s="318"/>
      <c r="U511" s="318"/>
      <c r="V511" s="318"/>
      <c r="W511" s="318"/>
      <c r="X511" s="318"/>
      <c r="Y511" s="318"/>
      <c r="Z511" s="318"/>
      <c r="AA511" s="318"/>
      <c r="AB511" s="318"/>
      <c r="AC511" s="318"/>
      <c r="AD511" s="318"/>
    </row>
    <row r="512" spans="2:30" s="323" customFormat="1" ht="12" customHeight="1">
      <c r="B512" s="324"/>
      <c r="C512" s="325"/>
      <c r="D512" s="326"/>
      <c r="E512" s="326"/>
      <c r="F512" s="326"/>
      <c r="G512" s="326"/>
      <c r="H512" s="326"/>
      <c r="P512" s="318"/>
      <c r="Q512" s="318"/>
      <c r="R512" s="318"/>
      <c r="S512" s="318"/>
      <c r="T512" s="318"/>
      <c r="U512" s="318"/>
      <c r="V512" s="318"/>
      <c r="W512" s="318"/>
      <c r="X512" s="318"/>
      <c r="Y512" s="318"/>
      <c r="Z512" s="318"/>
      <c r="AA512" s="318"/>
      <c r="AB512" s="318"/>
      <c r="AC512" s="318"/>
      <c r="AD512" s="318"/>
    </row>
    <row r="513" spans="2:30" s="323" customFormat="1" ht="12" customHeight="1">
      <c r="B513" s="324"/>
      <c r="C513" s="325"/>
      <c r="D513" s="326"/>
      <c r="E513" s="326"/>
      <c r="F513" s="326"/>
      <c r="G513" s="326"/>
      <c r="H513" s="326"/>
      <c r="P513" s="318"/>
      <c r="Q513" s="318"/>
      <c r="R513" s="318"/>
      <c r="S513" s="318"/>
      <c r="T513" s="318"/>
      <c r="U513" s="318"/>
      <c r="V513" s="318"/>
      <c r="W513" s="318"/>
      <c r="X513" s="318"/>
      <c r="Y513" s="318"/>
      <c r="Z513" s="318"/>
      <c r="AA513" s="318"/>
      <c r="AB513" s="318"/>
      <c r="AC513" s="318"/>
      <c r="AD513" s="318"/>
    </row>
    <row r="514" spans="2:30" s="323" customFormat="1" ht="12" customHeight="1">
      <c r="B514" s="324"/>
      <c r="C514" s="325"/>
      <c r="D514" s="326"/>
      <c r="E514" s="326"/>
      <c r="F514" s="326"/>
      <c r="G514" s="326"/>
      <c r="H514" s="326"/>
      <c r="P514" s="318"/>
      <c r="Q514" s="318"/>
      <c r="R514" s="318"/>
      <c r="S514" s="318"/>
      <c r="T514" s="318"/>
      <c r="U514" s="318"/>
      <c r="V514" s="318"/>
      <c r="W514" s="318"/>
      <c r="X514" s="318"/>
      <c r="Y514" s="318"/>
      <c r="Z514" s="318"/>
      <c r="AA514" s="318"/>
      <c r="AB514" s="318"/>
      <c r="AC514" s="318"/>
      <c r="AD514" s="318"/>
    </row>
    <row r="515" spans="2:30" s="323" customFormat="1" ht="12" customHeight="1">
      <c r="B515" s="324"/>
      <c r="C515" s="325"/>
      <c r="D515" s="326"/>
      <c r="E515" s="326"/>
      <c r="F515" s="326"/>
      <c r="G515" s="326"/>
      <c r="H515" s="326"/>
      <c r="P515" s="318"/>
      <c r="Q515" s="318"/>
      <c r="R515" s="318"/>
      <c r="S515" s="318"/>
      <c r="T515" s="318"/>
      <c r="U515" s="318"/>
      <c r="V515" s="318"/>
      <c r="W515" s="318"/>
      <c r="X515" s="318"/>
      <c r="Y515" s="318"/>
      <c r="Z515" s="318"/>
      <c r="AA515" s="318"/>
      <c r="AB515" s="318"/>
      <c r="AC515" s="318"/>
      <c r="AD515" s="318"/>
    </row>
    <row r="516" spans="2:30" s="323" customFormat="1" ht="12" customHeight="1">
      <c r="B516" s="324"/>
      <c r="C516" s="325"/>
      <c r="D516" s="326"/>
      <c r="E516" s="326"/>
      <c r="F516" s="326"/>
      <c r="G516" s="326"/>
      <c r="H516" s="326"/>
      <c r="P516" s="318"/>
      <c r="Q516" s="318"/>
      <c r="R516" s="318"/>
      <c r="S516" s="318"/>
      <c r="T516" s="318"/>
      <c r="U516" s="318"/>
      <c r="V516" s="318"/>
      <c r="W516" s="318"/>
      <c r="X516" s="318"/>
      <c r="Y516" s="318"/>
      <c r="Z516" s="318"/>
      <c r="AA516" s="318"/>
      <c r="AB516" s="318"/>
      <c r="AC516" s="318"/>
      <c r="AD516" s="318"/>
    </row>
    <row r="517" spans="2:30" s="323" customFormat="1" ht="12" customHeight="1">
      <c r="B517" s="324"/>
      <c r="C517" s="325"/>
      <c r="D517" s="326"/>
      <c r="E517" s="326"/>
      <c r="F517" s="326"/>
      <c r="G517" s="326"/>
      <c r="H517" s="326"/>
      <c r="P517" s="318"/>
      <c r="Q517" s="318"/>
      <c r="R517" s="318"/>
      <c r="S517" s="318"/>
      <c r="T517" s="318"/>
      <c r="U517" s="318"/>
      <c r="V517" s="318"/>
      <c r="W517" s="318"/>
      <c r="X517" s="318"/>
      <c r="Y517" s="318"/>
      <c r="Z517" s="318"/>
      <c r="AA517" s="318"/>
      <c r="AB517" s="318"/>
      <c r="AC517" s="318"/>
      <c r="AD517" s="318"/>
    </row>
    <row r="518" spans="2:30" s="323" customFormat="1" ht="12" customHeight="1">
      <c r="B518" s="324"/>
      <c r="C518" s="325"/>
      <c r="D518" s="326"/>
      <c r="E518" s="326"/>
      <c r="F518" s="326"/>
      <c r="G518" s="326"/>
      <c r="H518" s="326"/>
      <c r="P518" s="318"/>
      <c r="Q518" s="318"/>
      <c r="R518" s="318"/>
      <c r="S518" s="318"/>
      <c r="T518" s="318"/>
      <c r="U518" s="318"/>
      <c r="V518" s="318"/>
      <c r="W518" s="318"/>
      <c r="X518" s="318"/>
      <c r="Y518" s="318"/>
      <c r="Z518" s="318"/>
      <c r="AA518" s="318"/>
      <c r="AB518" s="318"/>
      <c r="AC518" s="318"/>
      <c r="AD518" s="318"/>
    </row>
    <row r="519" spans="2:30" s="323" customFormat="1" ht="12" customHeight="1">
      <c r="B519" s="324"/>
      <c r="C519" s="325"/>
      <c r="D519" s="326"/>
      <c r="E519" s="326"/>
      <c r="F519" s="326"/>
      <c r="G519" s="326"/>
      <c r="H519" s="326"/>
      <c r="P519" s="318"/>
      <c r="Q519" s="318"/>
      <c r="R519" s="318"/>
      <c r="S519" s="318"/>
      <c r="T519" s="318"/>
      <c r="U519" s="318"/>
      <c r="V519" s="318"/>
      <c r="W519" s="318"/>
      <c r="X519" s="318"/>
      <c r="Y519" s="318"/>
      <c r="Z519" s="318"/>
      <c r="AA519" s="318"/>
      <c r="AB519" s="318"/>
      <c r="AC519" s="318"/>
      <c r="AD519" s="318"/>
    </row>
    <row r="520" spans="2:30" s="323" customFormat="1" ht="12" customHeight="1">
      <c r="B520" s="324"/>
      <c r="C520" s="325"/>
      <c r="D520" s="326"/>
      <c r="E520" s="326"/>
      <c r="F520" s="326"/>
      <c r="G520" s="326"/>
      <c r="H520" s="326"/>
      <c r="P520" s="318"/>
      <c r="Q520" s="318"/>
      <c r="R520" s="318"/>
      <c r="S520" s="318"/>
      <c r="T520" s="318"/>
      <c r="U520" s="318"/>
      <c r="V520" s="318"/>
      <c r="W520" s="318"/>
      <c r="X520" s="318"/>
      <c r="Y520" s="318"/>
      <c r="Z520" s="318"/>
      <c r="AA520" s="318"/>
      <c r="AB520" s="318"/>
      <c r="AC520" s="318"/>
      <c r="AD520" s="318"/>
    </row>
    <row r="521" spans="2:30" s="323" customFormat="1" ht="12" customHeight="1">
      <c r="B521" s="324"/>
      <c r="C521" s="325"/>
      <c r="D521" s="326"/>
      <c r="E521" s="326"/>
      <c r="F521" s="326"/>
      <c r="G521" s="326"/>
      <c r="H521" s="326"/>
      <c r="P521" s="318"/>
      <c r="Q521" s="318"/>
      <c r="R521" s="318"/>
      <c r="S521" s="318"/>
      <c r="T521" s="318"/>
      <c r="U521" s="318"/>
      <c r="V521" s="318"/>
      <c r="W521" s="318"/>
      <c r="X521" s="318"/>
      <c r="Y521" s="318"/>
      <c r="Z521" s="318"/>
      <c r="AA521" s="318"/>
      <c r="AB521" s="318"/>
      <c r="AC521" s="318"/>
      <c r="AD521" s="318"/>
    </row>
    <row r="522" spans="2:30" s="323" customFormat="1" ht="12" customHeight="1">
      <c r="B522" s="324"/>
      <c r="C522" s="325"/>
      <c r="D522" s="326"/>
      <c r="E522" s="326"/>
      <c r="F522" s="326"/>
      <c r="G522" s="326"/>
      <c r="H522" s="326"/>
      <c r="P522" s="318"/>
      <c r="Q522" s="318"/>
      <c r="R522" s="318"/>
      <c r="S522" s="318"/>
      <c r="T522" s="318"/>
      <c r="U522" s="318"/>
      <c r="V522" s="318"/>
      <c r="W522" s="318"/>
      <c r="X522" s="318"/>
      <c r="Y522" s="318"/>
      <c r="Z522" s="318"/>
      <c r="AA522" s="318"/>
      <c r="AB522" s="318"/>
      <c r="AC522" s="318"/>
      <c r="AD522" s="318"/>
    </row>
    <row r="523" spans="2:30" s="323" customFormat="1" ht="12" customHeight="1">
      <c r="B523" s="324"/>
      <c r="C523" s="325"/>
      <c r="D523" s="326"/>
      <c r="E523" s="326"/>
      <c r="F523" s="326"/>
      <c r="G523" s="326"/>
      <c r="H523" s="326"/>
      <c r="P523" s="318"/>
      <c r="Q523" s="318"/>
      <c r="R523" s="318"/>
      <c r="S523" s="318"/>
      <c r="T523" s="318"/>
      <c r="U523" s="318"/>
      <c r="V523" s="318"/>
      <c r="W523" s="318"/>
      <c r="X523" s="318"/>
      <c r="Y523" s="318"/>
      <c r="Z523" s="318"/>
      <c r="AA523" s="318"/>
      <c r="AB523" s="318"/>
      <c r="AC523" s="318"/>
      <c r="AD523" s="318"/>
    </row>
    <row r="524" spans="2:30" s="323" customFormat="1" ht="12" customHeight="1">
      <c r="B524" s="324"/>
      <c r="C524" s="325"/>
      <c r="D524" s="326"/>
      <c r="E524" s="326"/>
      <c r="F524" s="326"/>
      <c r="G524" s="326"/>
      <c r="H524" s="326"/>
      <c r="P524" s="318"/>
      <c r="Q524" s="318"/>
      <c r="R524" s="318"/>
      <c r="S524" s="318"/>
      <c r="T524" s="318"/>
      <c r="U524" s="318"/>
      <c r="V524" s="318"/>
      <c r="W524" s="318"/>
      <c r="X524" s="318"/>
      <c r="Y524" s="318"/>
      <c r="Z524" s="318"/>
      <c r="AA524" s="318"/>
      <c r="AB524" s="318"/>
      <c r="AC524" s="318"/>
      <c r="AD524" s="318"/>
    </row>
    <row r="525" spans="2:30" s="323" customFormat="1" ht="12" customHeight="1">
      <c r="B525" s="324"/>
      <c r="C525" s="325"/>
      <c r="D525" s="326"/>
      <c r="E525" s="326"/>
      <c r="F525" s="326"/>
      <c r="G525" s="326"/>
      <c r="H525" s="326"/>
      <c r="P525" s="318"/>
      <c r="Q525" s="318"/>
      <c r="R525" s="318"/>
      <c r="S525" s="318"/>
      <c r="T525" s="318"/>
      <c r="U525" s="318"/>
      <c r="V525" s="318"/>
      <c r="W525" s="318"/>
      <c r="X525" s="318"/>
      <c r="Y525" s="318"/>
      <c r="Z525" s="318"/>
      <c r="AA525" s="318"/>
      <c r="AB525" s="318"/>
      <c r="AC525" s="318"/>
      <c r="AD525" s="318"/>
    </row>
    <row r="526" spans="2:30" s="323" customFormat="1" ht="12" customHeight="1">
      <c r="B526" s="324"/>
      <c r="C526" s="325"/>
      <c r="D526" s="326"/>
      <c r="E526" s="326"/>
      <c r="F526" s="326"/>
      <c r="G526" s="326"/>
      <c r="H526" s="326"/>
      <c r="P526" s="318"/>
      <c r="Q526" s="318"/>
      <c r="R526" s="318"/>
      <c r="S526" s="318"/>
      <c r="T526" s="318"/>
      <c r="U526" s="318"/>
      <c r="V526" s="318"/>
      <c r="W526" s="318"/>
      <c r="X526" s="318"/>
      <c r="Y526" s="318"/>
      <c r="Z526" s="318"/>
      <c r="AA526" s="318"/>
      <c r="AB526" s="318"/>
      <c r="AC526" s="318"/>
      <c r="AD526" s="318"/>
    </row>
    <row r="527" spans="2:30" s="323" customFormat="1" ht="12" customHeight="1">
      <c r="B527" s="324"/>
      <c r="C527" s="325"/>
      <c r="D527" s="326"/>
      <c r="E527" s="326"/>
      <c r="F527" s="326"/>
      <c r="G527" s="326"/>
      <c r="H527" s="326"/>
      <c r="P527" s="318"/>
      <c r="Q527" s="318"/>
      <c r="R527" s="318"/>
      <c r="S527" s="318"/>
      <c r="T527" s="318"/>
      <c r="U527" s="318"/>
      <c r="V527" s="318"/>
      <c r="W527" s="318"/>
      <c r="X527" s="318"/>
      <c r="Y527" s="318"/>
      <c r="Z527" s="318"/>
      <c r="AA527" s="318"/>
      <c r="AB527" s="318"/>
      <c r="AC527" s="318"/>
      <c r="AD527" s="318"/>
    </row>
    <row r="528" spans="2:30" s="323" customFormat="1" ht="12" customHeight="1">
      <c r="B528" s="324"/>
      <c r="C528" s="325"/>
      <c r="D528" s="326"/>
      <c r="E528" s="326"/>
      <c r="F528" s="326"/>
      <c r="G528" s="326"/>
      <c r="H528" s="326"/>
      <c r="P528" s="318"/>
      <c r="Q528" s="318"/>
      <c r="R528" s="318"/>
      <c r="S528" s="318"/>
      <c r="T528" s="318"/>
      <c r="U528" s="318"/>
      <c r="V528" s="318"/>
      <c r="W528" s="318"/>
      <c r="X528" s="318"/>
      <c r="Y528" s="318"/>
      <c r="Z528" s="318"/>
      <c r="AA528" s="318"/>
      <c r="AB528" s="318"/>
      <c r="AC528" s="318"/>
      <c r="AD528" s="318"/>
    </row>
    <row r="529" spans="2:30" s="323" customFormat="1" ht="12" customHeight="1">
      <c r="B529" s="324"/>
      <c r="C529" s="325"/>
      <c r="D529" s="326"/>
      <c r="E529" s="326"/>
      <c r="F529" s="326"/>
      <c r="G529" s="326"/>
      <c r="H529" s="326"/>
      <c r="P529" s="318"/>
      <c r="Q529" s="318"/>
      <c r="R529" s="318"/>
      <c r="S529" s="318"/>
      <c r="T529" s="318"/>
      <c r="U529" s="318"/>
      <c r="V529" s="318"/>
      <c r="W529" s="318"/>
      <c r="X529" s="318"/>
      <c r="Y529" s="318"/>
      <c r="Z529" s="318"/>
      <c r="AA529" s="318"/>
      <c r="AB529" s="318"/>
      <c r="AC529" s="318"/>
      <c r="AD529" s="318"/>
    </row>
    <row r="530" spans="2:30" s="323" customFormat="1" ht="12" customHeight="1">
      <c r="B530" s="324"/>
      <c r="C530" s="325"/>
      <c r="D530" s="326"/>
      <c r="E530" s="326"/>
      <c r="F530" s="326"/>
      <c r="G530" s="326"/>
      <c r="H530" s="326"/>
      <c r="P530" s="318"/>
      <c r="Q530" s="318"/>
      <c r="R530" s="318"/>
      <c r="S530" s="318"/>
      <c r="T530" s="318"/>
      <c r="U530" s="318"/>
      <c r="V530" s="318"/>
      <c r="W530" s="318"/>
      <c r="X530" s="318"/>
      <c r="Y530" s="318"/>
      <c r="Z530" s="318"/>
      <c r="AA530" s="318"/>
      <c r="AB530" s="318"/>
      <c r="AC530" s="318"/>
      <c r="AD530" s="318"/>
    </row>
    <row r="531" spans="2:30" s="323" customFormat="1" ht="12" customHeight="1">
      <c r="B531" s="324"/>
      <c r="C531" s="325"/>
      <c r="D531" s="326"/>
      <c r="E531" s="326"/>
      <c r="F531" s="326"/>
      <c r="G531" s="326"/>
      <c r="H531" s="326"/>
      <c r="P531" s="318"/>
      <c r="Q531" s="318"/>
      <c r="R531" s="318"/>
      <c r="S531" s="318"/>
      <c r="T531" s="318"/>
      <c r="U531" s="318"/>
      <c r="V531" s="318"/>
      <c r="W531" s="318"/>
      <c r="X531" s="318"/>
      <c r="Y531" s="318"/>
      <c r="Z531" s="318"/>
      <c r="AA531" s="318"/>
      <c r="AB531" s="318"/>
      <c r="AC531" s="318"/>
      <c r="AD531" s="318"/>
    </row>
    <row r="532" spans="2:30" s="323" customFormat="1" ht="12" customHeight="1">
      <c r="B532" s="324"/>
      <c r="C532" s="325"/>
      <c r="D532" s="326"/>
      <c r="E532" s="326"/>
      <c r="F532" s="326"/>
      <c r="G532" s="326"/>
      <c r="H532" s="326"/>
      <c r="P532" s="318"/>
      <c r="Q532" s="318"/>
      <c r="R532" s="318"/>
      <c r="S532" s="318"/>
      <c r="T532" s="318"/>
      <c r="U532" s="318"/>
      <c r="V532" s="318"/>
      <c r="W532" s="318"/>
      <c r="X532" s="318"/>
      <c r="Y532" s="318"/>
      <c r="Z532" s="318"/>
      <c r="AA532" s="318"/>
      <c r="AB532" s="318"/>
      <c r="AC532" s="318"/>
      <c r="AD532" s="318"/>
    </row>
    <row r="533" spans="2:30" s="323" customFormat="1" ht="12" customHeight="1">
      <c r="B533" s="324"/>
      <c r="C533" s="325"/>
      <c r="D533" s="326"/>
      <c r="E533" s="326"/>
      <c r="F533" s="326"/>
      <c r="G533" s="326"/>
      <c r="H533" s="326"/>
      <c r="P533" s="318"/>
      <c r="Q533" s="318"/>
      <c r="R533" s="318"/>
      <c r="S533" s="318"/>
      <c r="T533" s="318"/>
      <c r="U533" s="318"/>
      <c r="V533" s="318"/>
      <c r="W533" s="318"/>
      <c r="X533" s="318"/>
      <c r="Y533" s="318"/>
      <c r="Z533" s="318"/>
      <c r="AA533" s="318"/>
      <c r="AB533" s="318"/>
      <c r="AC533" s="318"/>
      <c r="AD533" s="318"/>
    </row>
    <row r="534" spans="2:30" s="323" customFormat="1" ht="12" customHeight="1">
      <c r="B534" s="324"/>
      <c r="C534" s="325"/>
      <c r="D534" s="326"/>
      <c r="E534" s="326"/>
      <c r="F534" s="326"/>
      <c r="G534" s="326"/>
      <c r="H534" s="326"/>
      <c r="P534" s="318"/>
      <c r="Q534" s="318"/>
      <c r="R534" s="318"/>
      <c r="S534" s="318"/>
      <c r="T534" s="318"/>
      <c r="U534" s="318"/>
      <c r="V534" s="318"/>
      <c r="W534" s="318"/>
      <c r="X534" s="318"/>
      <c r="Y534" s="318"/>
      <c r="Z534" s="318"/>
      <c r="AA534" s="318"/>
      <c r="AB534" s="318"/>
      <c r="AC534" s="318"/>
      <c r="AD534" s="318"/>
    </row>
    <row r="535" spans="2:30" s="323" customFormat="1" ht="12" customHeight="1">
      <c r="B535" s="324"/>
      <c r="C535" s="325"/>
      <c r="D535" s="326"/>
      <c r="E535" s="326"/>
      <c r="F535" s="326"/>
      <c r="G535" s="326"/>
      <c r="H535" s="326"/>
      <c r="P535" s="318"/>
      <c r="Q535" s="318"/>
      <c r="R535" s="318"/>
      <c r="S535" s="318"/>
      <c r="T535" s="318"/>
      <c r="U535" s="318"/>
      <c r="V535" s="318"/>
      <c r="W535" s="318"/>
      <c r="X535" s="318"/>
      <c r="Y535" s="318"/>
      <c r="Z535" s="318"/>
      <c r="AA535" s="318"/>
      <c r="AB535" s="318"/>
      <c r="AC535" s="318"/>
      <c r="AD535" s="318"/>
    </row>
    <row r="536" spans="2:30" s="323" customFormat="1" ht="12" customHeight="1">
      <c r="B536" s="324"/>
      <c r="C536" s="325"/>
      <c r="D536" s="326"/>
      <c r="E536" s="326"/>
      <c r="F536" s="326"/>
      <c r="G536" s="326"/>
      <c r="H536" s="326"/>
      <c r="P536" s="318"/>
      <c r="Q536" s="318"/>
      <c r="R536" s="318"/>
      <c r="S536" s="318"/>
      <c r="T536" s="318"/>
      <c r="U536" s="318"/>
      <c r="V536" s="318"/>
      <c r="W536" s="318"/>
      <c r="X536" s="318"/>
      <c r="Y536" s="318"/>
      <c r="Z536" s="318"/>
      <c r="AA536" s="318"/>
      <c r="AB536" s="318"/>
      <c r="AC536" s="318"/>
      <c r="AD536" s="318"/>
    </row>
    <row r="537" spans="2:30" s="323" customFormat="1" ht="12" customHeight="1">
      <c r="B537" s="324"/>
      <c r="C537" s="325"/>
      <c r="D537" s="326"/>
      <c r="E537" s="326"/>
      <c r="F537" s="326"/>
      <c r="G537" s="326"/>
      <c r="H537" s="326"/>
      <c r="P537" s="318"/>
      <c r="Q537" s="318"/>
      <c r="R537" s="318"/>
      <c r="S537" s="318"/>
      <c r="T537" s="318"/>
      <c r="U537" s="318"/>
      <c r="V537" s="318"/>
      <c r="W537" s="318"/>
      <c r="X537" s="318"/>
      <c r="Y537" s="318"/>
      <c r="Z537" s="318"/>
      <c r="AA537" s="318"/>
      <c r="AB537" s="318"/>
      <c r="AC537" s="318"/>
      <c r="AD537" s="318"/>
    </row>
    <row r="538" spans="2:30" s="323" customFormat="1" ht="12" customHeight="1">
      <c r="B538" s="324"/>
      <c r="C538" s="325"/>
      <c r="D538" s="326"/>
      <c r="E538" s="326"/>
      <c r="F538" s="326"/>
      <c r="G538" s="326"/>
      <c r="H538" s="326"/>
      <c r="P538" s="318"/>
      <c r="Q538" s="318"/>
      <c r="R538" s="318"/>
      <c r="S538" s="318"/>
      <c r="T538" s="318"/>
      <c r="U538" s="318"/>
      <c r="V538" s="318"/>
      <c r="W538" s="318"/>
      <c r="X538" s="318"/>
      <c r="Y538" s="318"/>
      <c r="Z538" s="318"/>
      <c r="AA538" s="318"/>
      <c r="AB538" s="318"/>
      <c r="AC538" s="318"/>
      <c r="AD538" s="318"/>
    </row>
    <row r="539" spans="2:30" s="323" customFormat="1" ht="12" customHeight="1">
      <c r="B539" s="324"/>
      <c r="C539" s="325"/>
      <c r="D539" s="326"/>
      <c r="E539" s="326"/>
      <c r="F539" s="326"/>
      <c r="G539" s="326"/>
      <c r="H539" s="326"/>
      <c r="P539" s="318"/>
      <c r="Q539" s="318"/>
      <c r="R539" s="318"/>
      <c r="S539" s="318"/>
      <c r="T539" s="318"/>
      <c r="U539" s="318"/>
      <c r="V539" s="318"/>
      <c r="W539" s="318"/>
      <c r="X539" s="318"/>
      <c r="Y539" s="318"/>
      <c r="Z539" s="318"/>
      <c r="AA539" s="318"/>
      <c r="AB539" s="318"/>
      <c r="AC539" s="318"/>
      <c r="AD539" s="318"/>
    </row>
    <row r="540" spans="2:30" s="323" customFormat="1" ht="12" customHeight="1">
      <c r="B540" s="324"/>
      <c r="C540" s="325"/>
      <c r="D540" s="326"/>
      <c r="E540" s="326"/>
      <c r="F540" s="326"/>
      <c r="G540" s="326"/>
      <c r="H540" s="326"/>
      <c r="P540" s="318"/>
      <c r="Q540" s="318"/>
      <c r="R540" s="318"/>
      <c r="S540" s="318"/>
      <c r="T540" s="318"/>
      <c r="U540" s="318"/>
      <c r="V540" s="318"/>
      <c r="W540" s="318"/>
      <c r="X540" s="318"/>
      <c r="Y540" s="318"/>
      <c r="Z540" s="318"/>
      <c r="AA540" s="318"/>
      <c r="AB540" s="318"/>
      <c r="AC540" s="318"/>
      <c r="AD540" s="318"/>
    </row>
    <row r="541" spans="2:30" s="323" customFormat="1" ht="12" customHeight="1">
      <c r="B541" s="324"/>
      <c r="C541" s="325"/>
      <c r="D541" s="326"/>
      <c r="E541" s="326"/>
      <c r="F541" s="326"/>
      <c r="G541" s="326"/>
      <c r="H541" s="326"/>
      <c r="P541" s="318"/>
      <c r="Q541" s="318"/>
      <c r="R541" s="318"/>
      <c r="S541" s="318"/>
      <c r="T541" s="318"/>
      <c r="U541" s="318"/>
      <c r="V541" s="318"/>
      <c r="W541" s="318"/>
      <c r="X541" s="318"/>
      <c r="Y541" s="318"/>
      <c r="Z541" s="318"/>
      <c r="AA541" s="318"/>
      <c r="AB541" s="318"/>
      <c r="AC541" s="318"/>
      <c r="AD541" s="318"/>
    </row>
    <row r="542" spans="2:30" s="323" customFormat="1" ht="12" customHeight="1">
      <c r="B542" s="324"/>
      <c r="C542" s="325"/>
      <c r="D542" s="326"/>
      <c r="E542" s="326"/>
      <c r="F542" s="326"/>
      <c r="G542" s="326"/>
      <c r="H542" s="326"/>
      <c r="P542" s="318"/>
      <c r="Q542" s="318"/>
      <c r="R542" s="318"/>
      <c r="S542" s="318"/>
      <c r="T542" s="318"/>
      <c r="U542" s="318"/>
      <c r="V542" s="318"/>
      <c r="W542" s="318"/>
      <c r="X542" s="318"/>
      <c r="Y542" s="318"/>
      <c r="Z542" s="318"/>
      <c r="AA542" s="318"/>
      <c r="AB542" s="318"/>
      <c r="AC542" s="318"/>
      <c r="AD542" s="318"/>
    </row>
    <row r="543" spans="2:30" s="323" customFormat="1" ht="12" customHeight="1">
      <c r="B543" s="324"/>
      <c r="C543" s="325"/>
      <c r="D543" s="326"/>
      <c r="E543" s="326"/>
      <c r="F543" s="326"/>
      <c r="G543" s="326"/>
      <c r="H543" s="326"/>
      <c r="P543" s="318"/>
      <c r="Q543" s="318"/>
      <c r="R543" s="318"/>
      <c r="S543" s="318"/>
      <c r="T543" s="318"/>
      <c r="U543" s="318"/>
      <c r="V543" s="318"/>
      <c r="W543" s="318"/>
      <c r="X543" s="318"/>
      <c r="Y543" s="318"/>
      <c r="Z543" s="318"/>
      <c r="AA543" s="318"/>
      <c r="AB543" s="318"/>
      <c r="AC543" s="318"/>
      <c r="AD543" s="318"/>
    </row>
    <row r="544" spans="2:30" s="323" customFormat="1" ht="12" customHeight="1">
      <c r="B544" s="324"/>
      <c r="C544" s="325"/>
      <c r="D544" s="326"/>
      <c r="E544" s="326"/>
      <c r="F544" s="326"/>
      <c r="G544" s="326"/>
      <c r="H544" s="326"/>
      <c r="P544" s="318"/>
      <c r="Q544" s="318"/>
      <c r="R544" s="318"/>
      <c r="S544" s="318"/>
      <c r="T544" s="318"/>
      <c r="U544" s="318"/>
      <c r="V544" s="318"/>
      <c r="W544" s="318"/>
      <c r="X544" s="318"/>
      <c r="Y544" s="318"/>
      <c r="Z544" s="318"/>
      <c r="AA544" s="318"/>
      <c r="AB544" s="318"/>
      <c r="AC544" s="318"/>
      <c r="AD544" s="318"/>
    </row>
    <row r="545" spans="2:30" s="323" customFormat="1" ht="12" customHeight="1">
      <c r="B545" s="324"/>
      <c r="C545" s="325"/>
      <c r="D545" s="326"/>
      <c r="E545" s="326"/>
      <c r="F545" s="326"/>
      <c r="G545" s="326"/>
      <c r="H545" s="326"/>
      <c r="P545" s="318"/>
      <c r="Q545" s="318"/>
      <c r="R545" s="318"/>
      <c r="S545" s="318"/>
      <c r="T545" s="318"/>
      <c r="U545" s="318"/>
      <c r="V545" s="318"/>
      <c r="W545" s="318"/>
      <c r="X545" s="318"/>
      <c r="Y545" s="318"/>
      <c r="Z545" s="318"/>
      <c r="AA545" s="318"/>
      <c r="AB545" s="318"/>
      <c r="AC545" s="318"/>
      <c r="AD545" s="318"/>
    </row>
    <row r="546" spans="2:30" s="323" customFormat="1" ht="12" customHeight="1">
      <c r="B546" s="324"/>
      <c r="C546" s="325"/>
      <c r="D546" s="326"/>
      <c r="E546" s="326"/>
      <c r="F546" s="326"/>
      <c r="G546" s="326"/>
      <c r="H546" s="326"/>
      <c r="P546" s="318"/>
      <c r="Q546" s="318"/>
      <c r="R546" s="318"/>
      <c r="S546" s="318"/>
      <c r="T546" s="318"/>
      <c r="U546" s="318"/>
      <c r="V546" s="318"/>
      <c r="W546" s="318"/>
      <c r="X546" s="318"/>
      <c r="Y546" s="318"/>
      <c r="Z546" s="318"/>
      <c r="AA546" s="318"/>
      <c r="AB546" s="318"/>
      <c r="AC546" s="318"/>
      <c r="AD546" s="318"/>
    </row>
    <row r="547" spans="2:30" s="323" customFormat="1" ht="12" customHeight="1">
      <c r="B547" s="324"/>
      <c r="C547" s="325"/>
      <c r="D547" s="326"/>
      <c r="E547" s="326"/>
      <c r="F547" s="326"/>
      <c r="G547" s="326"/>
      <c r="H547" s="326"/>
      <c r="P547" s="318"/>
      <c r="Q547" s="318"/>
      <c r="R547" s="318"/>
      <c r="S547" s="318"/>
      <c r="T547" s="318"/>
      <c r="U547" s="318"/>
      <c r="V547" s="318"/>
      <c r="W547" s="318"/>
      <c r="X547" s="318"/>
      <c r="Y547" s="318"/>
      <c r="Z547" s="318"/>
      <c r="AA547" s="318"/>
      <c r="AB547" s="318"/>
      <c r="AC547" s="318"/>
      <c r="AD547" s="318"/>
    </row>
    <row r="548" spans="2:30" s="323" customFormat="1" ht="12" customHeight="1">
      <c r="B548" s="324"/>
      <c r="C548" s="325"/>
      <c r="D548" s="326"/>
      <c r="E548" s="326"/>
      <c r="F548" s="326"/>
      <c r="G548" s="326"/>
      <c r="H548" s="326"/>
      <c r="P548" s="318"/>
      <c r="Q548" s="318"/>
      <c r="R548" s="318"/>
      <c r="S548" s="318"/>
      <c r="T548" s="318"/>
      <c r="U548" s="318"/>
      <c r="V548" s="318"/>
      <c r="W548" s="318"/>
      <c r="X548" s="318"/>
      <c r="Y548" s="318"/>
      <c r="Z548" s="318"/>
      <c r="AA548" s="318"/>
      <c r="AB548" s="318"/>
      <c r="AC548" s="318"/>
      <c r="AD548" s="318"/>
    </row>
    <row r="549" spans="2:30" s="323" customFormat="1" ht="12" customHeight="1">
      <c r="B549" s="324"/>
      <c r="C549" s="325"/>
      <c r="D549" s="326"/>
      <c r="E549" s="326"/>
      <c r="F549" s="326"/>
      <c r="G549" s="326"/>
      <c r="H549" s="326"/>
      <c r="P549" s="318"/>
      <c r="Q549" s="318"/>
      <c r="R549" s="318"/>
      <c r="S549" s="318"/>
      <c r="T549" s="318"/>
      <c r="U549" s="318"/>
      <c r="V549" s="318"/>
      <c r="W549" s="318"/>
      <c r="X549" s="318"/>
      <c r="Y549" s="318"/>
      <c r="Z549" s="318"/>
      <c r="AA549" s="318"/>
      <c r="AB549" s="318"/>
      <c r="AC549" s="318"/>
      <c r="AD549" s="318"/>
    </row>
    <row r="550" spans="2:30" s="323" customFormat="1" ht="12" customHeight="1">
      <c r="B550" s="324"/>
      <c r="C550" s="325"/>
      <c r="D550" s="326"/>
      <c r="E550" s="326"/>
      <c r="F550" s="326"/>
      <c r="G550" s="326"/>
      <c r="H550" s="326"/>
      <c r="P550" s="318"/>
      <c r="Q550" s="318"/>
      <c r="R550" s="318"/>
      <c r="S550" s="318"/>
      <c r="T550" s="318"/>
      <c r="U550" s="318"/>
      <c r="V550" s="318"/>
      <c r="W550" s="318"/>
      <c r="X550" s="318"/>
      <c r="Y550" s="318"/>
      <c r="Z550" s="318"/>
      <c r="AA550" s="318"/>
      <c r="AB550" s="318"/>
      <c r="AC550" s="318"/>
      <c r="AD550" s="318"/>
    </row>
    <row r="551" spans="2:30" s="323" customFormat="1" ht="12" customHeight="1">
      <c r="B551" s="324"/>
      <c r="C551" s="325"/>
      <c r="D551" s="326"/>
      <c r="E551" s="326"/>
      <c r="F551" s="326"/>
      <c r="G551" s="326"/>
      <c r="H551" s="326"/>
      <c r="P551" s="318"/>
      <c r="Q551" s="318"/>
      <c r="R551" s="318"/>
      <c r="S551" s="318"/>
      <c r="T551" s="318"/>
      <c r="U551" s="318"/>
      <c r="V551" s="318"/>
      <c r="W551" s="318"/>
      <c r="X551" s="318"/>
      <c r="Y551" s="318"/>
      <c r="Z551" s="318"/>
      <c r="AA551" s="318"/>
      <c r="AB551" s="318"/>
      <c r="AC551" s="318"/>
      <c r="AD551" s="318"/>
    </row>
    <row r="552" spans="2:30" s="323" customFormat="1" ht="12" customHeight="1">
      <c r="B552" s="324"/>
      <c r="C552" s="325"/>
      <c r="D552" s="326"/>
      <c r="E552" s="326"/>
      <c r="F552" s="326"/>
      <c r="G552" s="326"/>
      <c r="H552" s="326"/>
      <c r="P552" s="318"/>
      <c r="Q552" s="318"/>
      <c r="R552" s="318"/>
      <c r="S552" s="318"/>
      <c r="T552" s="318"/>
      <c r="U552" s="318"/>
      <c r="V552" s="318"/>
      <c r="W552" s="318"/>
      <c r="X552" s="318"/>
      <c r="Y552" s="318"/>
      <c r="Z552" s="318"/>
      <c r="AA552" s="318"/>
      <c r="AB552" s="318"/>
      <c r="AC552" s="318"/>
      <c r="AD552" s="318"/>
    </row>
    <row r="553" spans="2:30" s="323" customFormat="1" ht="12" customHeight="1">
      <c r="B553" s="324"/>
      <c r="C553" s="325"/>
      <c r="D553" s="326"/>
      <c r="E553" s="326"/>
      <c r="F553" s="326"/>
      <c r="G553" s="326"/>
      <c r="H553" s="326"/>
      <c r="P553" s="318"/>
      <c r="Q553" s="318"/>
      <c r="R553" s="318"/>
      <c r="S553" s="318"/>
      <c r="T553" s="318"/>
      <c r="U553" s="318"/>
      <c r="V553" s="318"/>
      <c r="W553" s="318"/>
      <c r="X553" s="318"/>
      <c r="Y553" s="318"/>
      <c r="Z553" s="318"/>
      <c r="AA553" s="318"/>
      <c r="AB553" s="318"/>
      <c r="AC553" s="318"/>
      <c r="AD553" s="318"/>
    </row>
    <row r="554" spans="2:30" s="323" customFormat="1" ht="12" customHeight="1">
      <c r="B554" s="324"/>
      <c r="C554" s="325"/>
      <c r="D554" s="326"/>
      <c r="E554" s="326"/>
      <c r="F554" s="326"/>
      <c r="G554" s="326"/>
      <c r="H554" s="326"/>
      <c r="P554" s="318"/>
      <c r="Q554" s="318"/>
      <c r="R554" s="318"/>
      <c r="S554" s="318"/>
      <c r="T554" s="318"/>
      <c r="U554" s="318"/>
      <c r="V554" s="318"/>
      <c r="W554" s="318"/>
      <c r="X554" s="318"/>
      <c r="Y554" s="318"/>
      <c r="Z554" s="318"/>
      <c r="AA554" s="318"/>
      <c r="AB554" s="318"/>
      <c r="AC554" s="318"/>
      <c r="AD554" s="318"/>
    </row>
    <row r="555" spans="2:30" s="323" customFormat="1" ht="12" customHeight="1">
      <c r="B555" s="324"/>
      <c r="C555" s="325"/>
      <c r="D555" s="326"/>
      <c r="E555" s="326"/>
      <c r="F555" s="326"/>
      <c r="G555" s="326"/>
      <c r="H555" s="326"/>
      <c r="P555" s="318"/>
      <c r="Q555" s="318"/>
      <c r="R555" s="318"/>
      <c r="S555" s="318"/>
      <c r="T555" s="318"/>
      <c r="U555" s="318"/>
      <c r="V555" s="318"/>
      <c r="W555" s="318"/>
      <c r="X555" s="318"/>
      <c r="Y555" s="318"/>
      <c r="Z555" s="318"/>
      <c r="AA555" s="318"/>
      <c r="AB555" s="318"/>
      <c r="AC555" s="318"/>
      <c r="AD555" s="318"/>
    </row>
    <row r="556" spans="2:30" s="323" customFormat="1" ht="12" customHeight="1">
      <c r="B556" s="324"/>
      <c r="C556" s="325"/>
      <c r="D556" s="326"/>
      <c r="E556" s="326"/>
      <c r="F556" s="326"/>
      <c r="G556" s="326"/>
      <c r="H556" s="326"/>
      <c r="P556" s="318"/>
      <c r="Q556" s="318"/>
      <c r="R556" s="318"/>
      <c r="S556" s="318"/>
      <c r="T556" s="318"/>
      <c r="U556" s="318"/>
      <c r="V556" s="318"/>
      <c r="W556" s="318"/>
      <c r="X556" s="318"/>
      <c r="Y556" s="318"/>
      <c r="Z556" s="318"/>
      <c r="AA556" s="318"/>
      <c r="AB556" s="318"/>
      <c r="AC556" s="318"/>
      <c r="AD556" s="318"/>
    </row>
    <row r="557" spans="2:30" s="323" customFormat="1" ht="12" customHeight="1">
      <c r="B557" s="324"/>
      <c r="C557" s="325"/>
      <c r="D557" s="326"/>
      <c r="E557" s="326"/>
      <c r="F557" s="326"/>
      <c r="G557" s="326"/>
      <c r="H557" s="326"/>
      <c r="P557" s="318"/>
      <c r="Q557" s="318"/>
      <c r="R557" s="318"/>
      <c r="S557" s="318"/>
      <c r="T557" s="318"/>
      <c r="U557" s="318"/>
      <c r="V557" s="318"/>
      <c r="W557" s="318"/>
      <c r="X557" s="318"/>
      <c r="Y557" s="318"/>
      <c r="Z557" s="318"/>
      <c r="AA557" s="318"/>
      <c r="AB557" s="318"/>
      <c r="AC557" s="318"/>
      <c r="AD557" s="318"/>
    </row>
    <row r="558" spans="2:30" s="323" customFormat="1" ht="12" customHeight="1">
      <c r="B558" s="324"/>
      <c r="C558" s="325"/>
      <c r="D558" s="326"/>
      <c r="E558" s="326"/>
      <c r="F558" s="326"/>
      <c r="G558" s="326"/>
      <c r="H558" s="326"/>
      <c r="P558" s="318"/>
      <c r="Q558" s="318"/>
      <c r="R558" s="318"/>
      <c r="S558" s="318"/>
      <c r="T558" s="318"/>
      <c r="U558" s="318"/>
      <c r="V558" s="318"/>
      <c r="W558" s="318"/>
      <c r="X558" s="318"/>
      <c r="Y558" s="318"/>
      <c r="Z558" s="318"/>
      <c r="AA558" s="318"/>
      <c r="AB558" s="318"/>
      <c r="AC558" s="318"/>
      <c r="AD558" s="318"/>
    </row>
    <row r="559" spans="2:30" s="323" customFormat="1" ht="12" customHeight="1">
      <c r="B559" s="324"/>
      <c r="C559" s="325"/>
      <c r="D559" s="326"/>
      <c r="E559" s="326"/>
      <c r="F559" s="326"/>
      <c r="G559" s="326"/>
      <c r="H559" s="326"/>
      <c r="P559" s="318"/>
      <c r="Q559" s="318"/>
      <c r="R559" s="318"/>
      <c r="S559" s="318"/>
      <c r="T559" s="318"/>
      <c r="U559" s="318"/>
      <c r="V559" s="318"/>
      <c r="W559" s="318"/>
      <c r="X559" s="318"/>
      <c r="Y559" s="318"/>
      <c r="Z559" s="318"/>
      <c r="AA559" s="318"/>
      <c r="AB559" s="318"/>
      <c r="AC559" s="318"/>
      <c r="AD559" s="318"/>
    </row>
    <row r="560" spans="2:30" s="323" customFormat="1" ht="12" customHeight="1">
      <c r="B560" s="324"/>
      <c r="C560" s="325"/>
      <c r="D560" s="326"/>
      <c r="E560" s="326"/>
      <c r="F560" s="326"/>
      <c r="G560" s="326"/>
      <c r="H560" s="326"/>
      <c r="P560" s="318"/>
      <c r="Q560" s="318"/>
      <c r="R560" s="318"/>
      <c r="S560" s="318"/>
      <c r="T560" s="318"/>
      <c r="U560" s="318"/>
      <c r="V560" s="318"/>
      <c r="W560" s="318"/>
      <c r="X560" s="318"/>
      <c r="Y560" s="318"/>
      <c r="Z560" s="318"/>
      <c r="AA560" s="318"/>
      <c r="AB560" s="318"/>
      <c r="AC560" s="318"/>
      <c r="AD560" s="318"/>
    </row>
    <row r="561" spans="2:30" s="323" customFormat="1" ht="12" customHeight="1">
      <c r="B561" s="324"/>
      <c r="C561" s="325"/>
      <c r="D561" s="326"/>
      <c r="E561" s="326"/>
      <c r="F561" s="326"/>
      <c r="G561" s="326"/>
      <c r="H561" s="326"/>
      <c r="P561" s="318"/>
      <c r="Q561" s="318"/>
      <c r="R561" s="318"/>
      <c r="S561" s="318"/>
      <c r="T561" s="318"/>
      <c r="U561" s="318"/>
      <c r="V561" s="318"/>
      <c r="W561" s="318"/>
      <c r="X561" s="318"/>
      <c r="Y561" s="318"/>
      <c r="Z561" s="318"/>
      <c r="AA561" s="318"/>
      <c r="AB561" s="318"/>
      <c r="AC561" s="318"/>
      <c r="AD561" s="318"/>
    </row>
    <row r="562" spans="2:30" s="323" customFormat="1" ht="12" customHeight="1">
      <c r="B562" s="324"/>
      <c r="C562" s="325"/>
      <c r="D562" s="326"/>
      <c r="E562" s="326"/>
      <c r="F562" s="326"/>
      <c r="G562" s="326"/>
      <c r="H562" s="326"/>
      <c r="P562" s="318"/>
      <c r="Q562" s="318"/>
      <c r="R562" s="318"/>
      <c r="S562" s="318"/>
      <c r="T562" s="318"/>
      <c r="U562" s="318"/>
      <c r="V562" s="318"/>
      <c r="W562" s="318"/>
      <c r="X562" s="318"/>
      <c r="Y562" s="318"/>
      <c r="Z562" s="318"/>
      <c r="AA562" s="318"/>
      <c r="AB562" s="318"/>
      <c r="AC562" s="318"/>
      <c r="AD562" s="318"/>
    </row>
    <row r="563" spans="2:30" s="323" customFormat="1" ht="12" customHeight="1">
      <c r="B563" s="324"/>
      <c r="C563" s="325"/>
      <c r="D563" s="326"/>
      <c r="E563" s="326"/>
      <c r="F563" s="326"/>
      <c r="G563" s="326"/>
      <c r="H563" s="326"/>
      <c r="P563" s="318"/>
      <c r="Q563" s="318"/>
      <c r="R563" s="318"/>
      <c r="S563" s="318"/>
      <c r="T563" s="318"/>
      <c r="U563" s="318"/>
      <c r="V563" s="318"/>
      <c r="W563" s="318"/>
      <c r="X563" s="318"/>
      <c r="Y563" s="318"/>
      <c r="Z563" s="318"/>
      <c r="AA563" s="318"/>
      <c r="AB563" s="318"/>
      <c r="AC563" s="318"/>
      <c r="AD563" s="318"/>
    </row>
    <row r="564" spans="2:30" s="323" customFormat="1" ht="12" customHeight="1">
      <c r="B564" s="324"/>
      <c r="C564" s="325"/>
      <c r="D564" s="326"/>
      <c r="E564" s="326"/>
      <c r="F564" s="326"/>
      <c r="G564" s="326"/>
      <c r="H564" s="326"/>
      <c r="P564" s="318"/>
      <c r="Q564" s="318"/>
      <c r="R564" s="318"/>
      <c r="S564" s="318"/>
      <c r="T564" s="318"/>
      <c r="U564" s="318"/>
      <c r="V564" s="318"/>
      <c r="W564" s="318"/>
      <c r="X564" s="318"/>
      <c r="Y564" s="318"/>
      <c r="Z564" s="318"/>
      <c r="AA564" s="318"/>
      <c r="AB564" s="318"/>
      <c r="AC564" s="318"/>
      <c r="AD564" s="318"/>
    </row>
    <row r="565" spans="2:30" s="323" customFormat="1" ht="12" customHeight="1">
      <c r="B565" s="324"/>
      <c r="C565" s="325"/>
      <c r="D565" s="326"/>
      <c r="E565" s="326"/>
      <c r="F565" s="326"/>
      <c r="G565" s="326"/>
      <c r="H565" s="326"/>
      <c r="P565" s="318"/>
      <c r="Q565" s="318"/>
      <c r="R565" s="318"/>
      <c r="S565" s="318"/>
      <c r="T565" s="318"/>
      <c r="U565" s="318"/>
      <c r="V565" s="318"/>
      <c r="W565" s="318"/>
      <c r="X565" s="318"/>
      <c r="Y565" s="318"/>
      <c r="Z565" s="318"/>
      <c r="AA565" s="318"/>
      <c r="AB565" s="318"/>
      <c r="AC565" s="318"/>
      <c r="AD565" s="318"/>
    </row>
    <row r="566" spans="2:30" s="323" customFormat="1" ht="12" customHeight="1">
      <c r="B566" s="324"/>
      <c r="C566" s="325"/>
      <c r="D566" s="326"/>
      <c r="E566" s="326"/>
      <c r="F566" s="326"/>
      <c r="G566" s="326"/>
      <c r="H566" s="326"/>
      <c r="P566" s="318"/>
      <c r="Q566" s="318"/>
      <c r="R566" s="318"/>
      <c r="S566" s="318"/>
      <c r="T566" s="318"/>
      <c r="U566" s="318"/>
      <c r="V566" s="318"/>
      <c r="W566" s="318"/>
      <c r="X566" s="318"/>
      <c r="Y566" s="318"/>
      <c r="Z566" s="318"/>
      <c r="AA566" s="318"/>
      <c r="AB566" s="318"/>
      <c r="AC566" s="318"/>
      <c r="AD566" s="318"/>
    </row>
    <row r="567" spans="2:30" s="323" customFormat="1" ht="12" customHeight="1">
      <c r="B567" s="324"/>
      <c r="C567" s="325"/>
      <c r="D567" s="326"/>
      <c r="E567" s="326"/>
      <c r="F567" s="326"/>
      <c r="G567" s="326"/>
      <c r="H567" s="326"/>
      <c r="P567" s="318"/>
      <c r="Q567" s="318"/>
      <c r="R567" s="318"/>
      <c r="S567" s="318"/>
      <c r="T567" s="318"/>
      <c r="U567" s="318"/>
      <c r="V567" s="318"/>
      <c r="W567" s="318"/>
      <c r="X567" s="318"/>
      <c r="Y567" s="318"/>
      <c r="Z567" s="318"/>
      <c r="AA567" s="318"/>
      <c r="AB567" s="318"/>
      <c r="AC567" s="318"/>
      <c r="AD567" s="318"/>
    </row>
    <row r="568" spans="2:30" s="323" customFormat="1" ht="12" customHeight="1">
      <c r="B568" s="324"/>
      <c r="C568" s="325"/>
      <c r="D568" s="326"/>
      <c r="E568" s="326"/>
      <c r="F568" s="326"/>
      <c r="G568" s="326"/>
      <c r="H568" s="326"/>
      <c r="P568" s="318"/>
      <c r="Q568" s="318"/>
      <c r="R568" s="318"/>
      <c r="S568" s="318"/>
      <c r="T568" s="318"/>
      <c r="U568" s="318"/>
      <c r="V568" s="318"/>
      <c r="W568" s="318"/>
      <c r="X568" s="318"/>
      <c r="Y568" s="318"/>
      <c r="Z568" s="318"/>
      <c r="AA568" s="318"/>
      <c r="AB568" s="318"/>
      <c r="AC568" s="318"/>
      <c r="AD568" s="318"/>
    </row>
    <row r="569" spans="2:30" s="323" customFormat="1" ht="12" customHeight="1">
      <c r="B569" s="324"/>
      <c r="C569" s="325"/>
      <c r="D569" s="326"/>
      <c r="E569" s="326"/>
      <c r="F569" s="326"/>
      <c r="G569" s="326"/>
      <c r="H569" s="326"/>
      <c r="P569" s="318"/>
      <c r="Q569" s="318"/>
      <c r="R569" s="318"/>
      <c r="S569" s="318"/>
      <c r="T569" s="318"/>
      <c r="U569" s="318"/>
      <c r="V569" s="318"/>
      <c r="W569" s="318"/>
      <c r="X569" s="318"/>
      <c r="Y569" s="318"/>
      <c r="Z569" s="318"/>
      <c r="AA569" s="318"/>
      <c r="AB569" s="318"/>
      <c r="AC569" s="318"/>
      <c r="AD569" s="318"/>
    </row>
    <row r="570" spans="2:30" s="323" customFormat="1" ht="12" customHeight="1">
      <c r="B570" s="324"/>
      <c r="C570" s="325"/>
      <c r="D570" s="326"/>
      <c r="E570" s="326"/>
      <c r="F570" s="326"/>
      <c r="G570" s="326"/>
      <c r="H570" s="326"/>
      <c r="P570" s="318"/>
      <c r="Q570" s="318"/>
      <c r="R570" s="318"/>
      <c r="S570" s="318"/>
      <c r="T570" s="318"/>
      <c r="U570" s="318"/>
      <c r="V570" s="318"/>
      <c r="W570" s="318"/>
      <c r="X570" s="318"/>
      <c r="Y570" s="318"/>
      <c r="Z570" s="318"/>
      <c r="AA570" s="318"/>
      <c r="AB570" s="318"/>
      <c r="AC570" s="318"/>
      <c r="AD570" s="318"/>
    </row>
    <row r="571" spans="2:30" s="323" customFormat="1" ht="12" customHeight="1">
      <c r="B571" s="324"/>
      <c r="C571" s="325"/>
      <c r="D571" s="326"/>
      <c r="E571" s="326"/>
      <c r="F571" s="326"/>
      <c r="G571" s="326"/>
      <c r="H571" s="326"/>
      <c r="P571" s="318"/>
      <c r="Q571" s="318"/>
      <c r="R571" s="318"/>
      <c r="S571" s="318"/>
      <c r="T571" s="318"/>
      <c r="U571" s="318"/>
      <c r="V571" s="318"/>
      <c r="W571" s="318"/>
      <c r="X571" s="318"/>
      <c r="Y571" s="318"/>
      <c r="Z571" s="318"/>
      <c r="AA571" s="318"/>
      <c r="AB571" s="318"/>
      <c r="AC571" s="318"/>
      <c r="AD571" s="318"/>
    </row>
    <row r="572" spans="2:30" s="323" customFormat="1" ht="12" customHeight="1">
      <c r="B572" s="324"/>
      <c r="C572" s="325"/>
      <c r="D572" s="326"/>
      <c r="E572" s="326"/>
      <c r="F572" s="326"/>
      <c r="G572" s="326"/>
      <c r="H572" s="326"/>
      <c r="P572" s="318"/>
      <c r="Q572" s="318"/>
      <c r="R572" s="318"/>
      <c r="S572" s="318"/>
      <c r="T572" s="318"/>
      <c r="U572" s="318"/>
      <c r="V572" s="318"/>
      <c r="W572" s="318"/>
      <c r="X572" s="318"/>
      <c r="Y572" s="318"/>
      <c r="Z572" s="318"/>
      <c r="AA572" s="318"/>
      <c r="AB572" s="318"/>
      <c r="AC572" s="318"/>
      <c r="AD572" s="318"/>
    </row>
    <row r="573" spans="2:30" s="323" customFormat="1" ht="12" customHeight="1">
      <c r="B573" s="324"/>
      <c r="C573" s="325"/>
      <c r="D573" s="326"/>
      <c r="E573" s="326"/>
      <c r="F573" s="326"/>
      <c r="G573" s="326"/>
      <c r="H573" s="326"/>
      <c r="P573" s="318"/>
      <c r="Q573" s="318"/>
      <c r="R573" s="318"/>
      <c r="S573" s="318"/>
      <c r="T573" s="318"/>
      <c r="U573" s="318"/>
      <c r="V573" s="318"/>
      <c r="W573" s="318"/>
      <c r="X573" s="318"/>
      <c r="Y573" s="318"/>
      <c r="Z573" s="318"/>
      <c r="AA573" s="318"/>
      <c r="AB573" s="318"/>
      <c r="AC573" s="318"/>
      <c r="AD573" s="318"/>
    </row>
    <row r="574" spans="2:30" s="323" customFormat="1" ht="12" customHeight="1">
      <c r="B574" s="324"/>
      <c r="C574" s="325"/>
      <c r="D574" s="326"/>
      <c r="E574" s="326"/>
      <c r="F574" s="326"/>
      <c r="G574" s="326"/>
      <c r="H574" s="326"/>
      <c r="P574" s="318"/>
      <c r="Q574" s="318"/>
      <c r="R574" s="318"/>
      <c r="S574" s="318"/>
      <c r="T574" s="318"/>
      <c r="U574" s="318"/>
      <c r="V574" s="318"/>
      <c r="W574" s="318"/>
      <c r="X574" s="318"/>
      <c r="Y574" s="318"/>
      <c r="Z574" s="318"/>
      <c r="AA574" s="318"/>
      <c r="AB574" s="318"/>
      <c r="AC574" s="318"/>
      <c r="AD574" s="318"/>
    </row>
    <row r="575" spans="2:30" s="323" customFormat="1" ht="12" customHeight="1">
      <c r="B575" s="324"/>
      <c r="C575" s="325"/>
      <c r="D575" s="326"/>
      <c r="E575" s="326"/>
      <c r="F575" s="326"/>
      <c r="G575" s="326"/>
      <c r="H575" s="326"/>
      <c r="P575" s="318"/>
      <c r="Q575" s="318"/>
      <c r="R575" s="318"/>
      <c r="S575" s="318"/>
      <c r="T575" s="318"/>
      <c r="U575" s="318"/>
      <c r="V575" s="318"/>
      <c r="W575" s="318"/>
      <c r="X575" s="318"/>
      <c r="Y575" s="318"/>
      <c r="Z575" s="318"/>
      <c r="AA575" s="318"/>
      <c r="AB575" s="318"/>
      <c r="AC575" s="318"/>
      <c r="AD575" s="318"/>
    </row>
    <row r="576" spans="2:30" s="323" customFormat="1" ht="12" customHeight="1">
      <c r="B576" s="324"/>
      <c r="C576" s="325"/>
      <c r="D576" s="326"/>
      <c r="E576" s="326"/>
      <c r="F576" s="326"/>
      <c r="G576" s="326"/>
      <c r="H576" s="326"/>
      <c r="P576" s="318"/>
      <c r="Q576" s="318"/>
      <c r="R576" s="318"/>
      <c r="S576" s="318"/>
      <c r="T576" s="318"/>
      <c r="U576" s="318"/>
      <c r="V576" s="318"/>
      <c r="W576" s="318"/>
      <c r="X576" s="318"/>
      <c r="Y576" s="318"/>
      <c r="Z576" s="318"/>
      <c r="AA576" s="318"/>
      <c r="AB576" s="318"/>
      <c r="AC576" s="318"/>
      <c r="AD576" s="318"/>
    </row>
    <row r="577" spans="2:30" s="323" customFormat="1" ht="12" customHeight="1">
      <c r="B577" s="324"/>
      <c r="C577" s="325"/>
      <c r="D577" s="326"/>
      <c r="E577" s="326"/>
      <c r="F577" s="326"/>
      <c r="G577" s="326"/>
      <c r="H577" s="326"/>
      <c r="P577" s="318"/>
      <c r="Q577" s="318"/>
      <c r="R577" s="318"/>
      <c r="S577" s="318"/>
      <c r="T577" s="318"/>
      <c r="U577" s="318"/>
      <c r="V577" s="318"/>
      <c r="W577" s="318"/>
      <c r="X577" s="318"/>
      <c r="Y577" s="318"/>
      <c r="Z577" s="318"/>
      <c r="AA577" s="318"/>
      <c r="AB577" s="318"/>
      <c r="AC577" s="318"/>
      <c r="AD577" s="318"/>
    </row>
    <row r="578" spans="2:30" s="323" customFormat="1" ht="12" customHeight="1">
      <c r="B578" s="324"/>
      <c r="C578" s="325"/>
      <c r="D578" s="326"/>
      <c r="E578" s="326"/>
      <c r="F578" s="326"/>
      <c r="G578" s="326"/>
      <c r="H578" s="326"/>
      <c r="P578" s="318"/>
      <c r="Q578" s="318"/>
      <c r="R578" s="318"/>
      <c r="S578" s="318"/>
      <c r="T578" s="318"/>
      <c r="U578" s="318"/>
      <c r="V578" s="318"/>
      <c r="W578" s="318"/>
      <c r="X578" s="318"/>
      <c r="Y578" s="318"/>
      <c r="Z578" s="318"/>
      <c r="AA578" s="318"/>
      <c r="AB578" s="318"/>
      <c r="AC578" s="318"/>
      <c r="AD578" s="318"/>
    </row>
    <row r="579" spans="2:30" s="323" customFormat="1" ht="12" customHeight="1">
      <c r="B579" s="324"/>
      <c r="C579" s="325"/>
      <c r="D579" s="326"/>
      <c r="E579" s="326"/>
      <c r="F579" s="326"/>
      <c r="G579" s="326"/>
      <c r="H579" s="326"/>
      <c r="P579" s="318"/>
      <c r="Q579" s="318"/>
      <c r="R579" s="318"/>
      <c r="S579" s="318"/>
      <c r="T579" s="318"/>
      <c r="U579" s="318"/>
      <c r="V579" s="318"/>
      <c r="W579" s="318"/>
      <c r="X579" s="318"/>
      <c r="Y579" s="318"/>
      <c r="Z579" s="318"/>
      <c r="AA579" s="318"/>
      <c r="AB579" s="318"/>
      <c r="AC579" s="318"/>
      <c r="AD579" s="318"/>
    </row>
    <row r="580" spans="2:30" s="323" customFormat="1" ht="12" customHeight="1">
      <c r="B580" s="324"/>
      <c r="C580" s="325"/>
      <c r="D580" s="326"/>
      <c r="E580" s="326"/>
      <c r="F580" s="326"/>
      <c r="G580" s="326"/>
      <c r="H580" s="326"/>
      <c r="P580" s="318"/>
      <c r="Q580" s="318"/>
      <c r="R580" s="318"/>
      <c r="S580" s="318"/>
      <c r="T580" s="318"/>
      <c r="U580" s="318"/>
      <c r="V580" s="318"/>
      <c r="W580" s="318"/>
      <c r="X580" s="318"/>
      <c r="Y580" s="318"/>
      <c r="Z580" s="318"/>
      <c r="AA580" s="318"/>
      <c r="AB580" s="318"/>
      <c r="AC580" s="318"/>
      <c r="AD580" s="318"/>
    </row>
    <row r="581" spans="2:30" s="323" customFormat="1" ht="12" customHeight="1">
      <c r="B581" s="324"/>
      <c r="C581" s="325"/>
      <c r="D581" s="326"/>
      <c r="E581" s="326"/>
      <c r="F581" s="326"/>
      <c r="G581" s="326"/>
      <c r="H581" s="326"/>
      <c r="P581" s="318"/>
      <c r="Q581" s="318"/>
      <c r="R581" s="318"/>
      <c r="S581" s="318"/>
      <c r="T581" s="318"/>
      <c r="U581" s="318"/>
      <c r="V581" s="318"/>
      <c r="W581" s="318"/>
      <c r="X581" s="318"/>
      <c r="Y581" s="318"/>
      <c r="Z581" s="318"/>
      <c r="AA581" s="318"/>
      <c r="AB581" s="318"/>
      <c r="AC581" s="318"/>
      <c r="AD581" s="318"/>
    </row>
    <row r="582" spans="2:30" s="323" customFormat="1" ht="12" customHeight="1">
      <c r="B582" s="324"/>
      <c r="C582" s="325"/>
      <c r="D582" s="326"/>
      <c r="E582" s="326"/>
      <c r="F582" s="326"/>
      <c r="G582" s="326"/>
      <c r="H582" s="326"/>
      <c r="P582" s="318"/>
      <c r="Q582" s="318"/>
      <c r="R582" s="318"/>
      <c r="S582" s="318"/>
      <c r="T582" s="318"/>
      <c r="U582" s="318"/>
      <c r="V582" s="318"/>
      <c r="W582" s="318"/>
      <c r="X582" s="318"/>
      <c r="Y582" s="318"/>
      <c r="Z582" s="318"/>
      <c r="AA582" s="318"/>
      <c r="AB582" s="318"/>
      <c r="AC582" s="318"/>
      <c r="AD582" s="318"/>
    </row>
    <row r="583" spans="2:30" s="323" customFormat="1" ht="12" customHeight="1">
      <c r="B583" s="324"/>
      <c r="C583" s="325"/>
      <c r="D583" s="326"/>
      <c r="E583" s="326"/>
      <c r="F583" s="326"/>
      <c r="G583" s="326"/>
      <c r="H583" s="326"/>
      <c r="P583" s="318"/>
      <c r="Q583" s="318"/>
      <c r="R583" s="318"/>
      <c r="S583" s="318"/>
      <c r="T583" s="318"/>
      <c r="U583" s="318"/>
      <c r="V583" s="318"/>
      <c r="W583" s="318"/>
      <c r="X583" s="318"/>
      <c r="Y583" s="318"/>
      <c r="Z583" s="318"/>
      <c r="AA583" s="318"/>
      <c r="AB583" s="318"/>
      <c r="AC583" s="318"/>
      <c r="AD583" s="318"/>
    </row>
    <row r="584" spans="2:30" s="323" customFormat="1" ht="12" customHeight="1">
      <c r="B584" s="324"/>
      <c r="C584" s="325"/>
      <c r="D584" s="326"/>
      <c r="E584" s="326"/>
      <c r="F584" s="326"/>
      <c r="G584" s="326"/>
      <c r="H584" s="326"/>
      <c r="P584" s="318"/>
      <c r="Q584" s="318"/>
      <c r="R584" s="318"/>
      <c r="S584" s="318"/>
      <c r="T584" s="318"/>
      <c r="U584" s="318"/>
      <c r="V584" s="318"/>
      <c r="W584" s="318"/>
      <c r="X584" s="318"/>
      <c r="Y584" s="318"/>
      <c r="Z584" s="318"/>
      <c r="AA584" s="318"/>
      <c r="AB584" s="318"/>
      <c r="AC584" s="318"/>
      <c r="AD584" s="318"/>
    </row>
    <row r="585" spans="2:30" s="323" customFormat="1" ht="12" customHeight="1">
      <c r="B585" s="324"/>
      <c r="C585" s="325"/>
      <c r="D585" s="326"/>
      <c r="E585" s="326"/>
      <c r="F585" s="326"/>
      <c r="G585" s="326"/>
      <c r="H585" s="326"/>
      <c r="P585" s="318"/>
      <c r="Q585" s="318"/>
      <c r="R585" s="318"/>
      <c r="S585" s="318"/>
      <c r="T585" s="318"/>
      <c r="U585" s="318"/>
      <c r="V585" s="318"/>
      <c r="W585" s="318"/>
      <c r="X585" s="318"/>
      <c r="Y585" s="318"/>
      <c r="Z585" s="318"/>
      <c r="AA585" s="318"/>
      <c r="AB585" s="318"/>
      <c r="AC585" s="318"/>
      <c r="AD585" s="318"/>
    </row>
    <row r="586" spans="2:30" s="323" customFormat="1" ht="12" customHeight="1">
      <c r="B586" s="324"/>
      <c r="C586" s="325"/>
      <c r="D586" s="326"/>
      <c r="E586" s="326"/>
      <c r="F586" s="326"/>
      <c r="G586" s="326"/>
      <c r="H586" s="326"/>
      <c r="P586" s="318"/>
      <c r="Q586" s="318"/>
      <c r="R586" s="318"/>
      <c r="S586" s="318"/>
      <c r="T586" s="318"/>
      <c r="U586" s="318"/>
      <c r="V586" s="318"/>
      <c r="W586" s="318"/>
      <c r="X586" s="318"/>
      <c r="Y586" s="318"/>
      <c r="Z586" s="318"/>
      <c r="AA586" s="318"/>
      <c r="AB586" s="318"/>
      <c r="AC586" s="318"/>
      <c r="AD586" s="318"/>
    </row>
    <row r="587" spans="2:30" s="323" customFormat="1" ht="12" customHeight="1">
      <c r="B587" s="324"/>
      <c r="C587" s="325"/>
      <c r="D587" s="326"/>
      <c r="E587" s="326"/>
      <c r="F587" s="326"/>
      <c r="G587" s="326"/>
      <c r="H587" s="326"/>
      <c r="P587" s="318"/>
      <c r="Q587" s="318"/>
      <c r="R587" s="318"/>
      <c r="S587" s="318"/>
      <c r="T587" s="318"/>
      <c r="U587" s="318"/>
      <c r="V587" s="318"/>
      <c r="W587" s="318"/>
      <c r="X587" s="318"/>
      <c r="Y587" s="318"/>
      <c r="Z587" s="318"/>
      <c r="AA587" s="318"/>
      <c r="AB587" s="318"/>
      <c r="AC587" s="318"/>
      <c r="AD587" s="318"/>
    </row>
    <row r="588" spans="2:30" s="323" customFormat="1" ht="12" customHeight="1">
      <c r="B588" s="324"/>
      <c r="C588" s="325"/>
      <c r="D588" s="326"/>
      <c r="E588" s="326"/>
      <c r="F588" s="326"/>
      <c r="G588" s="326"/>
      <c r="H588" s="326"/>
      <c r="P588" s="318"/>
      <c r="Q588" s="318"/>
      <c r="R588" s="318"/>
      <c r="S588" s="318"/>
      <c r="T588" s="318"/>
      <c r="U588" s="318"/>
      <c r="V588" s="318"/>
      <c r="W588" s="318"/>
      <c r="X588" s="318"/>
      <c r="Y588" s="318"/>
      <c r="Z588" s="318"/>
      <c r="AA588" s="318"/>
      <c r="AB588" s="318"/>
      <c r="AC588" s="318"/>
      <c r="AD588" s="318"/>
    </row>
    <row r="589" spans="2:30" s="323" customFormat="1" ht="12" customHeight="1">
      <c r="B589" s="324"/>
      <c r="C589" s="325"/>
      <c r="D589" s="326"/>
      <c r="E589" s="326"/>
      <c r="F589" s="326"/>
      <c r="G589" s="326"/>
      <c r="H589" s="326"/>
      <c r="P589" s="318"/>
      <c r="Q589" s="318"/>
      <c r="R589" s="318"/>
      <c r="S589" s="318"/>
      <c r="T589" s="318"/>
      <c r="U589" s="318"/>
      <c r="V589" s="318"/>
      <c r="W589" s="318"/>
      <c r="X589" s="318"/>
      <c r="Y589" s="318"/>
      <c r="Z589" s="318"/>
      <c r="AA589" s="318"/>
      <c r="AB589" s="318"/>
      <c r="AC589" s="318"/>
      <c r="AD589" s="318"/>
    </row>
    <row r="590" spans="2:30" s="323" customFormat="1" ht="12" customHeight="1">
      <c r="B590" s="324"/>
      <c r="C590" s="325"/>
      <c r="D590" s="326"/>
      <c r="E590" s="326"/>
      <c r="F590" s="326"/>
      <c r="G590" s="326"/>
      <c r="H590" s="326"/>
      <c r="P590" s="318"/>
      <c r="Q590" s="318"/>
      <c r="R590" s="318"/>
      <c r="S590" s="318"/>
      <c r="T590" s="318"/>
      <c r="U590" s="318"/>
      <c r="V590" s="318"/>
      <c r="W590" s="318"/>
      <c r="X590" s="318"/>
      <c r="Y590" s="318"/>
      <c r="Z590" s="318"/>
      <c r="AA590" s="318"/>
      <c r="AB590" s="318"/>
      <c r="AC590" s="318"/>
      <c r="AD590" s="318"/>
    </row>
    <row r="591" spans="2:30" s="323" customFormat="1" ht="12" customHeight="1">
      <c r="B591" s="324"/>
      <c r="C591" s="325"/>
      <c r="D591" s="326"/>
      <c r="E591" s="326"/>
      <c r="F591" s="326"/>
      <c r="G591" s="326"/>
      <c r="H591" s="326"/>
      <c r="P591" s="318"/>
      <c r="Q591" s="318"/>
      <c r="R591" s="318"/>
      <c r="S591" s="318"/>
      <c r="T591" s="318"/>
      <c r="U591" s="318"/>
      <c r="V591" s="318"/>
      <c r="W591" s="318"/>
      <c r="X591" s="318"/>
      <c r="Y591" s="318"/>
      <c r="Z591" s="318"/>
      <c r="AA591" s="318"/>
      <c r="AB591" s="318"/>
      <c r="AC591" s="318"/>
      <c r="AD591" s="318"/>
    </row>
    <row r="592" spans="2:30" s="323" customFormat="1" ht="12" customHeight="1">
      <c r="B592" s="324"/>
      <c r="C592" s="325"/>
      <c r="D592" s="326"/>
      <c r="E592" s="326"/>
      <c r="F592" s="326"/>
      <c r="G592" s="326"/>
      <c r="H592" s="326"/>
      <c r="P592" s="318"/>
      <c r="Q592" s="318"/>
      <c r="R592" s="318"/>
      <c r="S592" s="318"/>
      <c r="T592" s="318"/>
      <c r="U592" s="318"/>
      <c r="V592" s="318"/>
      <c r="W592" s="318"/>
      <c r="X592" s="318"/>
      <c r="Y592" s="318"/>
      <c r="Z592" s="318"/>
      <c r="AA592" s="318"/>
      <c r="AB592" s="318"/>
      <c r="AC592" s="318"/>
      <c r="AD592" s="318"/>
    </row>
    <row r="593" spans="2:30" s="323" customFormat="1" ht="12" customHeight="1">
      <c r="B593" s="324"/>
      <c r="C593" s="325"/>
      <c r="D593" s="326"/>
      <c r="E593" s="326"/>
      <c r="F593" s="326"/>
      <c r="G593" s="326"/>
      <c r="H593" s="326"/>
      <c r="P593" s="318"/>
      <c r="Q593" s="318"/>
      <c r="R593" s="318"/>
      <c r="S593" s="318"/>
      <c r="T593" s="318"/>
      <c r="U593" s="318"/>
      <c r="V593" s="318"/>
      <c r="W593" s="318"/>
      <c r="X593" s="318"/>
      <c r="Y593" s="318"/>
      <c r="Z593" s="318"/>
      <c r="AA593" s="318"/>
      <c r="AB593" s="318"/>
      <c r="AC593" s="318"/>
      <c r="AD593" s="318"/>
    </row>
    <row r="594" spans="2:30" s="323" customFormat="1" ht="12" customHeight="1">
      <c r="B594" s="324"/>
      <c r="C594" s="325"/>
      <c r="D594" s="326"/>
      <c r="E594" s="326"/>
      <c r="F594" s="326"/>
      <c r="G594" s="326"/>
      <c r="H594" s="326"/>
      <c r="P594" s="318"/>
      <c r="Q594" s="318"/>
      <c r="R594" s="318"/>
      <c r="S594" s="318"/>
      <c r="T594" s="318"/>
      <c r="U594" s="318"/>
      <c r="V594" s="318"/>
      <c r="W594" s="318"/>
      <c r="X594" s="318"/>
      <c r="Y594" s="318"/>
      <c r="Z594" s="318"/>
      <c r="AA594" s="318"/>
      <c r="AB594" s="318"/>
      <c r="AC594" s="318"/>
      <c r="AD594" s="318"/>
    </row>
    <row r="595" spans="2:30" s="323" customFormat="1" ht="12" customHeight="1">
      <c r="B595" s="324"/>
      <c r="C595" s="325"/>
      <c r="D595" s="326"/>
      <c r="E595" s="326"/>
      <c r="F595" s="326"/>
      <c r="G595" s="326"/>
      <c r="H595" s="326"/>
      <c r="P595" s="318"/>
      <c r="Q595" s="318"/>
      <c r="R595" s="318"/>
      <c r="S595" s="318"/>
      <c r="T595" s="318"/>
      <c r="U595" s="318"/>
      <c r="V595" s="318"/>
      <c r="W595" s="318"/>
      <c r="X595" s="318"/>
      <c r="Y595" s="318"/>
      <c r="Z595" s="318"/>
      <c r="AA595" s="318"/>
      <c r="AB595" s="318"/>
      <c r="AC595" s="318"/>
      <c r="AD595" s="318"/>
    </row>
    <row r="596" spans="2:30" s="323" customFormat="1" ht="12" customHeight="1">
      <c r="B596" s="324"/>
      <c r="C596" s="325"/>
      <c r="D596" s="326"/>
      <c r="E596" s="326"/>
      <c r="F596" s="326"/>
      <c r="G596" s="326"/>
      <c r="H596" s="326"/>
      <c r="P596" s="318"/>
      <c r="Q596" s="318"/>
      <c r="R596" s="318"/>
      <c r="S596" s="318"/>
      <c r="T596" s="318"/>
      <c r="U596" s="318"/>
      <c r="V596" s="318"/>
      <c r="W596" s="318"/>
      <c r="X596" s="318"/>
      <c r="Y596" s="318"/>
      <c r="Z596" s="318"/>
      <c r="AA596" s="318"/>
      <c r="AB596" s="318"/>
      <c r="AC596" s="318"/>
      <c r="AD596" s="318"/>
    </row>
    <row r="597" spans="2:30" s="323" customFormat="1" ht="12" customHeight="1">
      <c r="B597" s="324"/>
      <c r="C597" s="325"/>
      <c r="D597" s="326"/>
      <c r="E597" s="326"/>
      <c r="F597" s="326"/>
      <c r="G597" s="326"/>
      <c r="H597" s="326"/>
      <c r="P597" s="318"/>
      <c r="Q597" s="318"/>
      <c r="R597" s="318"/>
      <c r="S597" s="318"/>
      <c r="T597" s="318"/>
      <c r="U597" s="318"/>
      <c r="V597" s="318"/>
      <c r="W597" s="318"/>
      <c r="X597" s="318"/>
      <c r="Y597" s="318"/>
      <c r="Z597" s="318"/>
      <c r="AA597" s="318"/>
      <c r="AB597" s="318"/>
      <c r="AC597" s="318"/>
      <c r="AD597" s="318"/>
    </row>
    <row r="598" spans="2:30" s="323" customFormat="1" ht="12" customHeight="1">
      <c r="B598" s="324"/>
      <c r="C598" s="325"/>
      <c r="D598" s="326"/>
      <c r="E598" s="326"/>
      <c r="F598" s="326"/>
      <c r="G598" s="326"/>
      <c r="H598" s="326"/>
      <c r="P598" s="318"/>
      <c r="Q598" s="318"/>
      <c r="R598" s="318"/>
      <c r="S598" s="318"/>
      <c r="T598" s="318"/>
      <c r="U598" s="318"/>
      <c r="V598" s="318"/>
      <c r="W598" s="318"/>
      <c r="X598" s="318"/>
      <c r="Y598" s="318"/>
      <c r="Z598" s="318"/>
      <c r="AA598" s="318"/>
      <c r="AB598" s="318"/>
      <c r="AC598" s="318"/>
      <c r="AD598" s="318"/>
    </row>
    <row r="599" spans="2:30" s="323" customFormat="1" ht="12" customHeight="1">
      <c r="B599" s="324"/>
      <c r="C599" s="325"/>
      <c r="D599" s="326"/>
      <c r="E599" s="326"/>
      <c r="F599" s="326"/>
      <c r="G599" s="326"/>
      <c r="H599" s="326"/>
      <c r="P599" s="318"/>
      <c r="Q599" s="318"/>
      <c r="R599" s="318"/>
      <c r="S599" s="318"/>
      <c r="T599" s="318"/>
      <c r="U599" s="318"/>
      <c r="V599" s="318"/>
      <c r="W599" s="318"/>
      <c r="X599" s="318"/>
      <c r="Y599" s="318"/>
      <c r="Z599" s="318"/>
      <c r="AA599" s="318"/>
      <c r="AB599" s="318"/>
      <c r="AC599" s="318"/>
      <c r="AD599" s="318"/>
    </row>
    <row r="600" spans="2:30" s="323" customFormat="1" ht="12" customHeight="1">
      <c r="B600" s="324"/>
      <c r="C600" s="325"/>
      <c r="D600" s="326"/>
      <c r="E600" s="326"/>
      <c r="F600" s="326"/>
      <c r="G600" s="326"/>
      <c r="H600" s="326"/>
      <c r="P600" s="318"/>
      <c r="Q600" s="318"/>
      <c r="R600" s="318"/>
      <c r="S600" s="318"/>
      <c r="T600" s="318"/>
      <c r="U600" s="318"/>
      <c r="V600" s="318"/>
      <c r="W600" s="318"/>
      <c r="X600" s="318"/>
      <c r="Y600" s="318"/>
      <c r="Z600" s="318"/>
      <c r="AA600" s="318"/>
      <c r="AB600" s="318"/>
      <c r="AC600" s="318"/>
      <c r="AD600" s="318"/>
    </row>
    <row r="601" spans="2:30" s="323" customFormat="1" ht="12" customHeight="1">
      <c r="B601" s="324"/>
      <c r="C601" s="325"/>
      <c r="D601" s="326"/>
      <c r="E601" s="326"/>
      <c r="F601" s="326"/>
      <c r="G601" s="326"/>
      <c r="H601" s="326"/>
      <c r="P601" s="318"/>
      <c r="Q601" s="318"/>
      <c r="R601" s="318"/>
      <c r="S601" s="318"/>
      <c r="T601" s="318"/>
      <c r="U601" s="318"/>
      <c r="V601" s="318"/>
      <c r="W601" s="318"/>
      <c r="X601" s="318"/>
      <c r="Y601" s="318"/>
      <c r="Z601" s="318"/>
      <c r="AA601" s="318"/>
      <c r="AB601" s="318"/>
      <c r="AC601" s="318"/>
      <c r="AD601" s="318"/>
    </row>
    <row r="602" spans="2:30" s="323" customFormat="1" ht="12" customHeight="1">
      <c r="B602" s="324"/>
      <c r="C602" s="325"/>
      <c r="D602" s="326"/>
      <c r="E602" s="326"/>
      <c r="F602" s="326"/>
      <c r="G602" s="326"/>
      <c r="H602" s="326"/>
      <c r="P602" s="318"/>
      <c r="Q602" s="318"/>
      <c r="R602" s="318"/>
      <c r="S602" s="318"/>
      <c r="T602" s="318"/>
      <c r="U602" s="318"/>
      <c r="V602" s="318"/>
      <c r="W602" s="318"/>
      <c r="X602" s="318"/>
      <c r="Y602" s="318"/>
      <c r="Z602" s="318"/>
      <c r="AA602" s="318"/>
      <c r="AB602" s="318"/>
      <c r="AC602" s="318"/>
      <c r="AD602" s="318"/>
    </row>
    <row r="603" spans="2:30" s="323" customFormat="1" ht="12" customHeight="1">
      <c r="B603" s="324"/>
      <c r="C603" s="325"/>
      <c r="D603" s="326"/>
      <c r="E603" s="326"/>
      <c r="F603" s="326"/>
      <c r="G603" s="326"/>
      <c r="H603" s="326"/>
      <c r="P603" s="318"/>
      <c r="Q603" s="318"/>
      <c r="R603" s="318"/>
      <c r="S603" s="318"/>
      <c r="T603" s="318"/>
      <c r="U603" s="318"/>
      <c r="V603" s="318"/>
      <c r="W603" s="318"/>
      <c r="X603" s="318"/>
      <c r="Y603" s="318"/>
      <c r="Z603" s="318"/>
      <c r="AA603" s="318"/>
      <c r="AB603" s="318"/>
      <c r="AC603" s="318"/>
      <c r="AD603" s="318"/>
    </row>
    <row r="604" spans="2:30" s="323" customFormat="1" ht="12" customHeight="1">
      <c r="B604" s="324"/>
      <c r="C604" s="325"/>
      <c r="D604" s="326"/>
      <c r="E604" s="326"/>
      <c r="F604" s="326"/>
      <c r="G604" s="326"/>
      <c r="H604" s="326"/>
      <c r="P604" s="318"/>
      <c r="Q604" s="318"/>
      <c r="R604" s="318"/>
      <c r="S604" s="318"/>
      <c r="T604" s="318"/>
      <c r="U604" s="318"/>
      <c r="V604" s="318"/>
      <c r="W604" s="318"/>
      <c r="X604" s="318"/>
      <c r="Y604" s="318"/>
      <c r="Z604" s="318"/>
      <c r="AA604" s="318"/>
      <c r="AB604" s="318"/>
      <c r="AC604" s="318"/>
      <c r="AD604" s="318"/>
    </row>
    <row r="605" spans="2:30" s="323" customFormat="1" ht="12" customHeight="1">
      <c r="B605" s="324"/>
      <c r="C605" s="325"/>
      <c r="D605" s="326"/>
      <c r="E605" s="326"/>
      <c r="F605" s="326"/>
      <c r="G605" s="326"/>
      <c r="H605" s="326"/>
      <c r="P605" s="318"/>
      <c r="Q605" s="318"/>
      <c r="R605" s="318"/>
      <c r="S605" s="318"/>
      <c r="T605" s="318"/>
      <c r="U605" s="318"/>
      <c r="V605" s="318"/>
      <c r="W605" s="318"/>
      <c r="X605" s="318"/>
      <c r="Y605" s="318"/>
      <c r="Z605" s="318"/>
      <c r="AA605" s="318"/>
      <c r="AB605" s="318"/>
      <c r="AC605" s="318"/>
      <c r="AD605" s="318"/>
    </row>
    <row r="606" spans="2:30" s="323" customFormat="1" ht="12" customHeight="1">
      <c r="B606" s="324"/>
      <c r="C606" s="325"/>
      <c r="D606" s="326"/>
      <c r="E606" s="326"/>
      <c r="F606" s="326"/>
      <c r="G606" s="326"/>
      <c r="H606" s="326"/>
      <c r="P606" s="318"/>
      <c r="Q606" s="318"/>
      <c r="R606" s="318"/>
      <c r="S606" s="318"/>
      <c r="T606" s="318"/>
      <c r="U606" s="318"/>
      <c r="V606" s="318"/>
      <c r="W606" s="318"/>
      <c r="X606" s="318"/>
      <c r="Y606" s="318"/>
      <c r="Z606" s="318"/>
      <c r="AA606" s="318"/>
      <c r="AB606" s="318"/>
      <c r="AC606" s="318"/>
      <c r="AD606" s="318"/>
    </row>
    <row r="607" spans="2:30" s="323" customFormat="1" ht="12" customHeight="1">
      <c r="B607" s="324"/>
      <c r="C607" s="325"/>
      <c r="D607" s="326"/>
      <c r="E607" s="326"/>
      <c r="F607" s="326"/>
      <c r="G607" s="326"/>
      <c r="H607" s="326"/>
      <c r="P607" s="318"/>
      <c r="Q607" s="318"/>
      <c r="R607" s="318"/>
      <c r="S607" s="318"/>
      <c r="T607" s="318"/>
      <c r="U607" s="318"/>
      <c r="V607" s="318"/>
      <c r="W607" s="318"/>
      <c r="X607" s="318"/>
      <c r="Y607" s="318"/>
      <c r="Z607" s="318"/>
      <c r="AA607" s="318"/>
      <c r="AB607" s="318"/>
      <c r="AC607" s="318"/>
      <c r="AD607" s="318"/>
    </row>
    <row r="608" spans="2:30" s="323" customFormat="1" ht="12" customHeight="1">
      <c r="B608" s="324"/>
      <c r="C608" s="325"/>
      <c r="D608" s="326"/>
      <c r="E608" s="326"/>
      <c r="F608" s="326"/>
      <c r="G608" s="326"/>
      <c r="H608" s="326"/>
      <c r="P608" s="318"/>
      <c r="Q608" s="318"/>
      <c r="R608" s="318"/>
      <c r="S608" s="318"/>
      <c r="T608" s="318"/>
      <c r="U608" s="318"/>
      <c r="V608" s="318"/>
      <c r="W608" s="318"/>
      <c r="X608" s="318"/>
      <c r="Y608" s="318"/>
      <c r="Z608" s="318"/>
      <c r="AA608" s="318"/>
      <c r="AB608" s="318"/>
      <c r="AC608" s="318"/>
      <c r="AD608" s="318"/>
    </row>
    <row r="609" spans="2:30" s="323" customFormat="1" ht="12" customHeight="1">
      <c r="B609" s="324"/>
      <c r="C609" s="325"/>
      <c r="D609" s="326"/>
      <c r="E609" s="326"/>
      <c r="F609" s="326"/>
      <c r="G609" s="326"/>
      <c r="H609" s="326"/>
      <c r="P609" s="318"/>
      <c r="Q609" s="318"/>
      <c r="R609" s="318"/>
      <c r="S609" s="318"/>
      <c r="T609" s="318"/>
      <c r="U609" s="318"/>
      <c r="V609" s="318"/>
      <c r="W609" s="318"/>
      <c r="X609" s="318"/>
      <c r="Y609" s="318"/>
      <c r="Z609" s="318"/>
      <c r="AA609" s="318"/>
      <c r="AB609" s="318"/>
      <c r="AC609" s="318"/>
      <c r="AD609" s="318"/>
    </row>
    <row r="610" spans="2:30" s="323" customFormat="1" ht="12" customHeight="1">
      <c r="B610" s="324"/>
      <c r="C610" s="325"/>
      <c r="D610" s="326"/>
      <c r="E610" s="326"/>
      <c r="F610" s="326"/>
      <c r="G610" s="326"/>
      <c r="H610" s="326"/>
      <c r="P610" s="318"/>
      <c r="Q610" s="318"/>
      <c r="R610" s="318"/>
      <c r="S610" s="318"/>
      <c r="T610" s="318"/>
      <c r="U610" s="318"/>
      <c r="V610" s="318"/>
      <c r="W610" s="318"/>
      <c r="X610" s="318"/>
      <c r="Y610" s="318"/>
      <c r="Z610" s="318"/>
      <c r="AA610" s="318"/>
      <c r="AB610" s="318"/>
      <c r="AC610" s="318"/>
      <c r="AD610" s="318"/>
    </row>
    <row r="611" spans="2:30" s="323" customFormat="1" ht="12" customHeight="1">
      <c r="B611" s="324"/>
      <c r="C611" s="325"/>
      <c r="D611" s="326"/>
      <c r="E611" s="326"/>
      <c r="F611" s="326"/>
      <c r="G611" s="326"/>
      <c r="H611" s="326"/>
      <c r="P611" s="318"/>
      <c r="Q611" s="318"/>
      <c r="R611" s="318"/>
      <c r="S611" s="318"/>
      <c r="T611" s="318"/>
      <c r="U611" s="318"/>
      <c r="V611" s="318"/>
      <c r="W611" s="318"/>
      <c r="X611" s="318"/>
      <c r="Y611" s="318"/>
      <c r="Z611" s="318"/>
      <c r="AA611" s="318"/>
      <c r="AB611" s="318"/>
      <c r="AC611" s="318"/>
      <c r="AD611" s="318"/>
    </row>
    <row r="612" spans="2:30" s="323" customFormat="1" ht="12" customHeight="1">
      <c r="B612" s="324"/>
      <c r="C612" s="325"/>
      <c r="D612" s="326"/>
      <c r="E612" s="326"/>
      <c r="F612" s="326"/>
      <c r="G612" s="326"/>
      <c r="H612" s="326"/>
      <c r="P612" s="318"/>
      <c r="Q612" s="318"/>
      <c r="R612" s="318"/>
      <c r="S612" s="318"/>
      <c r="T612" s="318"/>
      <c r="U612" s="318"/>
      <c r="V612" s="318"/>
      <c r="W612" s="318"/>
      <c r="X612" s="318"/>
      <c r="Y612" s="318"/>
      <c r="Z612" s="318"/>
      <c r="AA612" s="318"/>
      <c r="AB612" s="318"/>
      <c r="AC612" s="318"/>
      <c r="AD612" s="318"/>
    </row>
    <row r="613" spans="2:30" s="323" customFormat="1" ht="12" customHeight="1">
      <c r="B613" s="324"/>
      <c r="C613" s="325"/>
      <c r="D613" s="326"/>
      <c r="E613" s="326"/>
      <c r="F613" s="326"/>
      <c r="G613" s="326"/>
      <c r="H613" s="326"/>
      <c r="P613" s="318"/>
      <c r="Q613" s="318"/>
      <c r="R613" s="318"/>
      <c r="S613" s="318"/>
      <c r="T613" s="318"/>
      <c r="U613" s="318"/>
      <c r="V613" s="318"/>
      <c r="W613" s="318"/>
      <c r="X613" s="318"/>
      <c r="Y613" s="318"/>
      <c r="Z613" s="318"/>
      <c r="AA613" s="318"/>
      <c r="AB613" s="318"/>
      <c r="AC613" s="318"/>
      <c r="AD613" s="318"/>
    </row>
    <row r="614" spans="2:30" s="323" customFormat="1" ht="12" customHeight="1">
      <c r="B614" s="324"/>
      <c r="C614" s="325"/>
      <c r="D614" s="326"/>
      <c r="E614" s="326"/>
      <c r="F614" s="326"/>
      <c r="G614" s="326"/>
      <c r="H614" s="326"/>
      <c r="P614" s="318"/>
      <c r="Q614" s="318"/>
      <c r="R614" s="318"/>
      <c r="S614" s="318"/>
      <c r="T614" s="318"/>
      <c r="U614" s="318"/>
      <c r="V614" s="318"/>
      <c r="W614" s="318"/>
      <c r="X614" s="318"/>
      <c r="Y614" s="318"/>
      <c r="Z614" s="318"/>
      <c r="AA614" s="318"/>
      <c r="AB614" s="318"/>
      <c r="AC614" s="318"/>
      <c r="AD614" s="318"/>
    </row>
    <row r="615" spans="2:30" s="323" customFormat="1" ht="12" customHeight="1">
      <c r="B615" s="324"/>
      <c r="C615" s="325"/>
      <c r="D615" s="326"/>
      <c r="E615" s="326"/>
      <c r="F615" s="326"/>
      <c r="G615" s="326"/>
      <c r="H615" s="326"/>
      <c r="P615" s="318"/>
      <c r="Q615" s="318"/>
      <c r="R615" s="318"/>
      <c r="S615" s="318"/>
      <c r="T615" s="318"/>
      <c r="U615" s="318"/>
      <c r="V615" s="318"/>
      <c r="W615" s="318"/>
      <c r="X615" s="318"/>
      <c r="Y615" s="318"/>
      <c r="Z615" s="318"/>
      <c r="AA615" s="318"/>
      <c r="AB615" s="318"/>
      <c r="AC615" s="318"/>
      <c r="AD615" s="318"/>
    </row>
    <row r="616" spans="2:30" s="323" customFormat="1" ht="12" customHeight="1">
      <c r="B616" s="324"/>
      <c r="C616" s="325"/>
      <c r="D616" s="326"/>
      <c r="E616" s="326"/>
      <c r="F616" s="326"/>
      <c r="G616" s="326"/>
      <c r="H616" s="326"/>
      <c r="P616" s="318"/>
      <c r="Q616" s="318"/>
      <c r="R616" s="318"/>
      <c r="S616" s="318"/>
      <c r="T616" s="318"/>
      <c r="U616" s="318"/>
      <c r="V616" s="318"/>
      <c r="W616" s="318"/>
      <c r="X616" s="318"/>
      <c r="Y616" s="318"/>
      <c r="Z616" s="318"/>
      <c r="AA616" s="318"/>
      <c r="AB616" s="318"/>
      <c r="AC616" s="318"/>
      <c r="AD616" s="318"/>
    </row>
    <row r="617" spans="2:30" s="323" customFormat="1" ht="12" customHeight="1">
      <c r="B617" s="324"/>
      <c r="C617" s="325"/>
      <c r="D617" s="326"/>
      <c r="E617" s="326"/>
      <c r="F617" s="326"/>
      <c r="G617" s="326"/>
      <c r="H617" s="326"/>
      <c r="P617" s="318"/>
      <c r="Q617" s="318"/>
      <c r="R617" s="318"/>
      <c r="S617" s="318"/>
      <c r="T617" s="318"/>
      <c r="U617" s="318"/>
      <c r="V617" s="318"/>
      <c r="W617" s="318"/>
      <c r="X617" s="318"/>
      <c r="Y617" s="318"/>
      <c r="Z617" s="318"/>
      <c r="AA617" s="318"/>
      <c r="AB617" s="318"/>
      <c r="AC617" s="318"/>
      <c r="AD617" s="318"/>
    </row>
    <row r="618" spans="2:30" s="323" customFormat="1" ht="12" customHeight="1">
      <c r="B618" s="324"/>
      <c r="C618" s="325"/>
      <c r="D618" s="326"/>
      <c r="E618" s="326"/>
      <c r="F618" s="326"/>
      <c r="G618" s="326"/>
      <c r="H618" s="326"/>
      <c r="P618" s="318"/>
      <c r="Q618" s="318"/>
      <c r="R618" s="318"/>
      <c r="S618" s="318"/>
      <c r="T618" s="318"/>
      <c r="U618" s="318"/>
      <c r="V618" s="318"/>
      <c r="W618" s="318"/>
      <c r="X618" s="318"/>
      <c r="Y618" s="318"/>
      <c r="Z618" s="318"/>
      <c r="AA618" s="318"/>
      <c r="AB618" s="318"/>
      <c r="AC618" s="318"/>
      <c r="AD618" s="318"/>
    </row>
    <row r="619" spans="2:30" s="323" customFormat="1" ht="12" customHeight="1">
      <c r="B619" s="324"/>
      <c r="C619" s="325"/>
      <c r="D619" s="326"/>
      <c r="E619" s="326"/>
      <c r="F619" s="326"/>
      <c r="G619" s="326"/>
      <c r="H619" s="326"/>
      <c r="P619" s="318"/>
      <c r="Q619" s="318"/>
      <c r="R619" s="318"/>
      <c r="S619" s="318"/>
      <c r="T619" s="318"/>
      <c r="U619" s="318"/>
      <c r="V619" s="318"/>
      <c r="W619" s="318"/>
      <c r="X619" s="318"/>
      <c r="Y619" s="318"/>
      <c r="Z619" s="318"/>
      <c r="AA619" s="318"/>
      <c r="AB619" s="318"/>
      <c r="AC619" s="318"/>
      <c r="AD619" s="318"/>
    </row>
    <row r="620" spans="2:30" s="323" customFormat="1" ht="12" customHeight="1">
      <c r="B620" s="324"/>
      <c r="C620" s="325"/>
      <c r="D620" s="326"/>
      <c r="E620" s="326"/>
      <c r="F620" s="326"/>
      <c r="G620" s="326"/>
      <c r="H620" s="326"/>
      <c r="P620" s="318"/>
      <c r="Q620" s="318"/>
      <c r="R620" s="318"/>
      <c r="S620" s="318"/>
      <c r="T620" s="318"/>
      <c r="U620" s="318"/>
      <c r="V620" s="318"/>
      <c r="W620" s="318"/>
      <c r="X620" s="318"/>
      <c r="Y620" s="318"/>
      <c r="Z620" s="318"/>
      <c r="AA620" s="318"/>
      <c r="AB620" s="318"/>
      <c r="AC620" s="318"/>
      <c r="AD620" s="318"/>
    </row>
    <row r="621" spans="2:30" s="323" customFormat="1" ht="12" customHeight="1">
      <c r="B621" s="324"/>
      <c r="C621" s="325"/>
      <c r="D621" s="326"/>
      <c r="E621" s="326"/>
      <c r="F621" s="326"/>
      <c r="G621" s="326"/>
      <c r="H621" s="326"/>
      <c r="P621" s="318"/>
      <c r="Q621" s="318"/>
      <c r="R621" s="318"/>
      <c r="S621" s="318"/>
      <c r="T621" s="318"/>
      <c r="U621" s="318"/>
      <c r="V621" s="318"/>
      <c r="W621" s="318"/>
      <c r="X621" s="318"/>
      <c r="Y621" s="318"/>
      <c r="Z621" s="318"/>
      <c r="AA621" s="318"/>
      <c r="AB621" s="318"/>
      <c r="AC621" s="318"/>
      <c r="AD621" s="318"/>
    </row>
    <row r="622" spans="2:30" s="323" customFormat="1" ht="12" customHeight="1">
      <c r="B622" s="324"/>
      <c r="C622" s="325"/>
      <c r="D622" s="326"/>
      <c r="E622" s="326"/>
      <c r="F622" s="326"/>
      <c r="G622" s="326"/>
      <c r="H622" s="326"/>
      <c r="P622" s="318"/>
      <c r="Q622" s="318"/>
      <c r="R622" s="318"/>
      <c r="S622" s="318"/>
      <c r="T622" s="318"/>
      <c r="U622" s="318"/>
      <c r="V622" s="318"/>
      <c r="W622" s="318"/>
      <c r="X622" s="318"/>
      <c r="Y622" s="318"/>
      <c r="Z622" s="318"/>
      <c r="AA622" s="318"/>
      <c r="AB622" s="318"/>
      <c r="AC622" s="318"/>
      <c r="AD622" s="318"/>
    </row>
    <row r="623" spans="2:30" s="323" customFormat="1" ht="12" customHeight="1">
      <c r="B623" s="324"/>
      <c r="C623" s="325"/>
      <c r="D623" s="326"/>
      <c r="E623" s="326"/>
      <c r="F623" s="326"/>
      <c r="G623" s="326"/>
      <c r="H623" s="326"/>
      <c r="P623" s="318"/>
      <c r="Q623" s="318"/>
      <c r="R623" s="318"/>
      <c r="S623" s="318"/>
      <c r="T623" s="318"/>
      <c r="U623" s="318"/>
      <c r="V623" s="318"/>
      <c r="W623" s="318"/>
      <c r="X623" s="318"/>
      <c r="Y623" s="318"/>
      <c r="Z623" s="318"/>
      <c r="AA623" s="318"/>
      <c r="AB623" s="318"/>
      <c r="AC623" s="318"/>
      <c r="AD623" s="318"/>
    </row>
    <row r="624" spans="2:30" s="323" customFormat="1" ht="12" customHeight="1">
      <c r="B624" s="324"/>
      <c r="C624" s="325"/>
      <c r="D624" s="326"/>
      <c r="E624" s="326"/>
      <c r="F624" s="326"/>
      <c r="G624" s="326"/>
      <c r="H624" s="326"/>
      <c r="P624" s="318"/>
      <c r="Q624" s="318"/>
      <c r="R624" s="318"/>
      <c r="S624" s="318"/>
      <c r="T624" s="318"/>
      <c r="U624" s="318"/>
      <c r="V624" s="318"/>
      <c r="W624" s="318"/>
      <c r="X624" s="318"/>
      <c r="Y624" s="318"/>
      <c r="Z624" s="318"/>
      <c r="AA624" s="318"/>
      <c r="AB624" s="318"/>
      <c r="AC624" s="318"/>
      <c r="AD624" s="318"/>
    </row>
    <row r="625" spans="2:30" s="323" customFormat="1" ht="12" customHeight="1">
      <c r="B625" s="324"/>
      <c r="C625" s="325"/>
      <c r="D625" s="326"/>
      <c r="E625" s="326"/>
      <c r="F625" s="326"/>
      <c r="G625" s="326"/>
      <c r="H625" s="326"/>
      <c r="P625" s="318"/>
      <c r="Q625" s="318"/>
      <c r="R625" s="318"/>
      <c r="S625" s="318"/>
      <c r="T625" s="318"/>
      <c r="U625" s="318"/>
      <c r="V625" s="318"/>
      <c r="W625" s="318"/>
      <c r="X625" s="318"/>
      <c r="Y625" s="318"/>
      <c r="Z625" s="318"/>
      <c r="AA625" s="318"/>
      <c r="AB625" s="318"/>
      <c r="AC625" s="318"/>
      <c r="AD625" s="318"/>
    </row>
    <row r="626" spans="2:30" s="323" customFormat="1" ht="12" customHeight="1">
      <c r="B626" s="324"/>
      <c r="C626" s="325"/>
      <c r="D626" s="326"/>
      <c r="E626" s="326"/>
      <c r="F626" s="326"/>
      <c r="G626" s="326"/>
      <c r="H626" s="326"/>
      <c r="P626" s="318"/>
      <c r="Q626" s="318"/>
      <c r="R626" s="318"/>
      <c r="S626" s="318"/>
      <c r="T626" s="318"/>
      <c r="U626" s="318"/>
      <c r="V626" s="318"/>
      <c r="W626" s="318"/>
      <c r="X626" s="318"/>
      <c r="Y626" s="318"/>
      <c r="Z626" s="318"/>
      <c r="AA626" s="318"/>
      <c r="AB626" s="318"/>
      <c r="AC626" s="318"/>
      <c r="AD626" s="318"/>
    </row>
    <row r="627" spans="2:30" s="323" customFormat="1" ht="12" customHeight="1">
      <c r="B627" s="324"/>
      <c r="C627" s="325"/>
      <c r="D627" s="326"/>
      <c r="E627" s="326"/>
      <c r="F627" s="326"/>
      <c r="G627" s="326"/>
      <c r="H627" s="326"/>
      <c r="P627" s="318"/>
      <c r="Q627" s="318"/>
      <c r="R627" s="318"/>
      <c r="S627" s="318"/>
      <c r="T627" s="318"/>
      <c r="U627" s="318"/>
      <c r="V627" s="318"/>
      <c r="W627" s="318"/>
      <c r="X627" s="318"/>
      <c r="Y627" s="318"/>
      <c r="Z627" s="318"/>
      <c r="AA627" s="318"/>
      <c r="AB627" s="318"/>
      <c r="AC627" s="318"/>
      <c r="AD627" s="318"/>
    </row>
    <row r="628" spans="2:30" s="323" customFormat="1" ht="12" customHeight="1">
      <c r="B628" s="324"/>
      <c r="C628" s="325"/>
      <c r="D628" s="326"/>
      <c r="E628" s="326"/>
      <c r="F628" s="326"/>
      <c r="G628" s="326"/>
      <c r="H628" s="326"/>
      <c r="P628" s="318"/>
      <c r="Q628" s="318"/>
      <c r="R628" s="318"/>
      <c r="S628" s="318"/>
      <c r="T628" s="318"/>
      <c r="U628" s="318"/>
      <c r="V628" s="318"/>
      <c r="W628" s="318"/>
      <c r="X628" s="318"/>
      <c r="Y628" s="318"/>
      <c r="Z628" s="318"/>
      <c r="AA628" s="318"/>
      <c r="AB628" s="318"/>
      <c r="AC628" s="318"/>
      <c r="AD628" s="318"/>
    </row>
    <row r="629" spans="2:30" s="323" customFormat="1" ht="12" customHeight="1">
      <c r="B629" s="324"/>
      <c r="C629" s="325"/>
      <c r="D629" s="326"/>
      <c r="E629" s="326"/>
      <c r="F629" s="326"/>
      <c r="G629" s="326"/>
      <c r="H629" s="326"/>
      <c r="P629" s="318"/>
      <c r="Q629" s="318"/>
      <c r="R629" s="318"/>
      <c r="S629" s="318"/>
      <c r="T629" s="318"/>
      <c r="U629" s="318"/>
      <c r="V629" s="318"/>
      <c r="W629" s="318"/>
      <c r="X629" s="318"/>
      <c r="Y629" s="318"/>
      <c r="Z629" s="318"/>
      <c r="AA629" s="318"/>
      <c r="AB629" s="318"/>
      <c r="AC629" s="318"/>
      <c r="AD629" s="318"/>
    </row>
    <row r="630" spans="2:30" s="323" customFormat="1" ht="12" customHeight="1">
      <c r="B630" s="324"/>
      <c r="C630" s="325"/>
      <c r="D630" s="326"/>
      <c r="E630" s="326"/>
      <c r="F630" s="326"/>
      <c r="G630" s="326"/>
      <c r="H630" s="326"/>
      <c r="P630" s="318"/>
      <c r="Q630" s="318"/>
      <c r="R630" s="318"/>
      <c r="S630" s="318"/>
      <c r="T630" s="318"/>
      <c r="U630" s="318"/>
      <c r="V630" s="318"/>
      <c r="W630" s="318"/>
      <c r="X630" s="318"/>
      <c r="Y630" s="318"/>
      <c r="Z630" s="318"/>
      <c r="AA630" s="318"/>
      <c r="AB630" s="318"/>
      <c r="AC630" s="318"/>
      <c r="AD630" s="318"/>
    </row>
    <row r="631" spans="2:30" s="323" customFormat="1" ht="12" customHeight="1">
      <c r="B631" s="324"/>
      <c r="C631" s="325"/>
      <c r="D631" s="326"/>
      <c r="E631" s="326"/>
      <c r="F631" s="326"/>
      <c r="G631" s="326"/>
      <c r="H631" s="326"/>
      <c r="P631" s="318"/>
      <c r="Q631" s="318"/>
      <c r="R631" s="318"/>
      <c r="S631" s="318"/>
      <c r="T631" s="318"/>
      <c r="U631" s="318"/>
      <c r="V631" s="318"/>
      <c r="W631" s="318"/>
      <c r="X631" s="318"/>
      <c r="Y631" s="318"/>
      <c r="Z631" s="318"/>
      <c r="AA631" s="318"/>
      <c r="AB631" s="318"/>
      <c r="AC631" s="318"/>
      <c r="AD631" s="318"/>
    </row>
    <row r="632" spans="2:30" s="323" customFormat="1" ht="12" customHeight="1">
      <c r="B632" s="324"/>
      <c r="C632" s="325"/>
      <c r="D632" s="326"/>
      <c r="E632" s="326"/>
      <c r="F632" s="326"/>
      <c r="G632" s="326"/>
      <c r="H632" s="326"/>
      <c r="P632" s="318"/>
      <c r="Q632" s="318"/>
      <c r="R632" s="318"/>
      <c r="S632" s="318"/>
      <c r="T632" s="318"/>
      <c r="U632" s="318"/>
      <c r="V632" s="318"/>
      <c r="W632" s="318"/>
      <c r="X632" s="318"/>
      <c r="Y632" s="318"/>
      <c r="Z632" s="318"/>
      <c r="AA632" s="318"/>
      <c r="AB632" s="318"/>
      <c r="AC632" s="318"/>
      <c r="AD632" s="318"/>
    </row>
    <row r="633" spans="2:30" s="323" customFormat="1" ht="12" customHeight="1">
      <c r="B633" s="324"/>
      <c r="C633" s="325"/>
      <c r="D633" s="326"/>
      <c r="E633" s="326"/>
      <c r="F633" s="326"/>
      <c r="G633" s="326"/>
      <c r="H633" s="326"/>
      <c r="P633" s="318"/>
      <c r="Q633" s="318"/>
      <c r="R633" s="318"/>
      <c r="S633" s="318"/>
      <c r="T633" s="318"/>
      <c r="U633" s="318"/>
      <c r="V633" s="318"/>
      <c r="W633" s="318"/>
      <c r="X633" s="318"/>
      <c r="Y633" s="318"/>
      <c r="Z633" s="318"/>
      <c r="AA633" s="318"/>
      <c r="AB633" s="318"/>
      <c r="AC633" s="318"/>
      <c r="AD633" s="318"/>
    </row>
    <row r="634" spans="2:30" s="323" customFormat="1" ht="12" customHeight="1">
      <c r="B634" s="324"/>
      <c r="C634" s="325"/>
      <c r="D634" s="326"/>
      <c r="E634" s="326"/>
      <c r="F634" s="326"/>
      <c r="G634" s="326"/>
      <c r="H634" s="326"/>
      <c r="P634" s="318"/>
      <c r="Q634" s="318"/>
      <c r="R634" s="318"/>
      <c r="S634" s="318"/>
      <c r="T634" s="318"/>
      <c r="U634" s="318"/>
      <c r="V634" s="318"/>
      <c r="W634" s="318"/>
      <c r="X634" s="318"/>
      <c r="Y634" s="318"/>
      <c r="Z634" s="318"/>
      <c r="AA634" s="318"/>
      <c r="AB634" s="318"/>
      <c r="AC634" s="318"/>
      <c r="AD634" s="318"/>
    </row>
    <row r="635" spans="2:30" s="323" customFormat="1" ht="12" customHeight="1">
      <c r="B635" s="324"/>
      <c r="C635" s="325"/>
      <c r="D635" s="326"/>
      <c r="E635" s="326"/>
      <c r="F635" s="326"/>
      <c r="G635" s="326"/>
      <c r="H635" s="326"/>
      <c r="P635" s="318"/>
      <c r="Q635" s="318"/>
      <c r="R635" s="318"/>
      <c r="S635" s="318"/>
      <c r="T635" s="318"/>
      <c r="U635" s="318"/>
      <c r="V635" s="318"/>
      <c r="W635" s="318"/>
      <c r="X635" s="318"/>
      <c r="Y635" s="318"/>
      <c r="Z635" s="318"/>
      <c r="AA635" s="318"/>
      <c r="AB635" s="318"/>
      <c r="AC635" s="318"/>
      <c r="AD635" s="318"/>
    </row>
    <row r="636" spans="2:30" s="323" customFormat="1" ht="12" customHeight="1">
      <c r="B636" s="324"/>
      <c r="C636" s="325"/>
      <c r="D636" s="326"/>
      <c r="E636" s="326"/>
      <c r="F636" s="326"/>
      <c r="G636" s="326"/>
      <c r="H636" s="326"/>
      <c r="P636" s="318"/>
      <c r="Q636" s="318"/>
      <c r="R636" s="318"/>
      <c r="S636" s="318"/>
      <c r="T636" s="318"/>
      <c r="U636" s="318"/>
      <c r="V636" s="318"/>
      <c r="W636" s="318"/>
      <c r="X636" s="318"/>
      <c r="Y636" s="318"/>
      <c r="Z636" s="318"/>
      <c r="AA636" s="318"/>
      <c r="AB636" s="318"/>
      <c r="AC636" s="318"/>
      <c r="AD636" s="318"/>
    </row>
    <row r="637" spans="2:30" s="323" customFormat="1" ht="12" customHeight="1">
      <c r="B637" s="324"/>
      <c r="C637" s="325"/>
      <c r="D637" s="326"/>
      <c r="E637" s="326"/>
      <c r="F637" s="326"/>
      <c r="G637" s="326"/>
      <c r="H637" s="326"/>
      <c r="P637" s="318"/>
      <c r="Q637" s="318"/>
      <c r="R637" s="318"/>
      <c r="S637" s="318"/>
      <c r="T637" s="318"/>
      <c r="U637" s="318"/>
      <c r="V637" s="318"/>
      <c r="W637" s="318"/>
      <c r="X637" s="318"/>
      <c r="Y637" s="318"/>
      <c r="Z637" s="318"/>
      <c r="AA637" s="318"/>
      <c r="AB637" s="318"/>
      <c r="AC637" s="318"/>
      <c r="AD637" s="318"/>
    </row>
    <row r="638" spans="2:30" s="323" customFormat="1" ht="12" customHeight="1">
      <c r="B638" s="324"/>
      <c r="C638" s="325"/>
      <c r="D638" s="326"/>
      <c r="E638" s="326"/>
      <c r="F638" s="326"/>
      <c r="G638" s="326"/>
      <c r="H638" s="326"/>
      <c r="P638" s="318"/>
      <c r="Q638" s="318"/>
      <c r="R638" s="318"/>
      <c r="S638" s="318"/>
      <c r="T638" s="318"/>
      <c r="U638" s="318"/>
      <c r="V638" s="318"/>
      <c r="W638" s="318"/>
      <c r="X638" s="318"/>
      <c r="Y638" s="318"/>
      <c r="Z638" s="318"/>
      <c r="AA638" s="318"/>
      <c r="AB638" s="318"/>
      <c r="AC638" s="318"/>
      <c r="AD638" s="318"/>
    </row>
    <row r="639" spans="2:30" s="323" customFormat="1" ht="12" customHeight="1">
      <c r="B639" s="324"/>
      <c r="C639" s="325"/>
      <c r="D639" s="326"/>
      <c r="E639" s="326"/>
      <c r="F639" s="326"/>
      <c r="G639" s="326"/>
      <c r="H639" s="326"/>
      <c r="P639" s="318"/>
      <c r="Q639" s="318"/>
      <c r="R639" s="318"/>
      <c r="S639" s="318"/>
      <c r="T639" s="318"/>
      <c r="U639" s="318"/>
      <c r="V639" s="318"/>
      <c r="W639" s="318"/>
      <c r="X639" s="318"/>
      <c r="Y639" s="318"/>
      <c r="Z639" s="318"/>
      <c r="AA639" s="318"/>
      <c r="AB639" s="318"/>
      <c r="AC639" s="318"/>
      <c r="AD639" s="318"/>
    </row>
    <row r="640" spans="2:30" s="323" customFormat="1" ht="12" customHeight="1">
      <c r="B640" s="324"/>
      <c r="C640" s="325"/>
      <c r="D640" s="326"/>
      <c r="E640" s="326"/>
      <c r="F640" s="326"/>
      <c r="G640" s="326"/>
      <c r="H640" s="326"/>
      <c r="P640" s="318"/>
      <c r="Q640" s="318"/>
      <c r="R640" s="318"/>
      <c r="S640" s="318"/>
      <c r="T640" s="318"/>
      <c r="U640" s="318"/>
      <c r="V640" s="318"/>
      <c r="W640" s="318"/>
      <c r="X640" s="318"/>
      <c r="Y640" s="318"/>
      <c r="Z640" s="318"/>
      <c r="AA640" s="318"/>
      <c r="AB640" s="318"/>
      <c r="AC640" s="318"/>
      <c r="AD640" s="318"/>
    </row>
    <row r="641" spans="2:30" s="323" customFormat="1" ht="12" customHeight="1">
      <c r="B641" s="324"/>
      <c r="C641" s="325"/>
      <c r="D641" s="326"/>
      <c r="E641" s="326"/>
      <c r="F641" s="326"/>
      <c r="G641" s="326"/>
      <c r="H641" s="326"/>
      <c r="P641" s="318"/>
      <c r="Q641" s="318"/>
      <c r="R641" s="318"/>
      <c r="S641" s="318"/>
      <c r="T641" s="318"/>
      <c r="U641" s="318"/>
      <c r="V641" s="318"/>
      <c r="W641" s="318"/>
      <c r="X641" s="318"/>
      <c r="Y641" s="318"/>
      <c r="Z641" s="318"/>
      <c r="AA641" s="318"/>
      <c r="AB641" s="318"/>
      <c r="AC641" s="318"/>
      <c r="AD641" s="318"/>
    </row>
    <row r="642" spans="2:30" s="323" customFormat="1" ht="12" customHeight="1">
      <c r="B642" s="324"/>
      <c r="C642" s="325"/>
      <c r="D642" s="326"/>
      <c r="E642" s="326"/>
      <c r="F642" s="326"/>
      <c r="G642" s="326"/>
      <c r="H642" s="326"/>
      <c r="P642" s="318"/>
      <c r="Q642" s="318"/>
      <c r="R642" s="318"/>
      <c r="S642" s="318"/>
      <c r="T642" s="318"/>
      <c r="U642" s="318"/>
      <c r="V642" s="318"/>
      <c r="W642" s="318"/>
      <c r="X642" s="318"/>
      <c r="Y642" s="318"/>
      <c r="Z642" s="318"/>
      <c r="AA642" s="318"/>
      <c r="AB642" s="318"/>
      <c r="AC642" s="318"/>
      <c r="AD642" s="318"/>
    </row>
    <row r="643" spans="2:30" s="323" customFormat="1" ht="12" customHeight="1">
      <c r="B643" s="324"/>
      <c r="C643" s="325"/>
      <c r="D643" s="326"/>
      <c r="E643" s="326"/>
      <c r="F643" s="326"/>
      <c r="G643" s="326"/>
      <c r="H643" s="326"/>
      <c r="P643" s="318"/>
      <c r="Q643" s="318"/>
      <c r="R643" s="318"/>
      <c r="S643" s="318"/>
      <c r="T643" s="318"/>
      <c r="U643" s="318"/>
      <c r="V643" s="318"/>
      <c r="W643" s="318"/>
      <c r="X643" s="318"/>
      <c r="Y643" s="318"/>
      <c r="Z643" s="318"/>
      <c r="AA643" s="318"/>
      <c r="AB643" s="318"/>
      <c r="AC643" s="318"/>
      <c r="AD643" s="318"/>
    </row>
    <row r="644" spans="2:30" s="323" customFormat="1" ht="12" customHeight="1">
      <c r="B644" s="324"/>
      <c r="C644" s="325"/>
      <c r="D644" s="326"/>
      <c r="E644" s="326"/>
      <c r="F644" s="326"/>
      <c r="G644" s="326"/>
      <c r="H644" s="326"/>
      <c r="P644" s="318"/>
      <c r="Q644" s="318"/>
      <c r="R644" s="318"/>
      <c r="S644" s="318"/>
      <c r="T644" s="318"/>
      <c r="U644" s="318"/>
      <c r="V644" s="318"/>
      <c r="W644" s="318"/>
      <c r="X644" s="318"/>
      <c r="Y644" s="318"/>
      <c r="Z644" s="318"/>
      <c r="AA644" s="318"/>
      <c r="AB644" s="318"/>
      <c r="AC644" s="318"/>
      <c r="AD644" s="318"/>
    </row>
    <row r="645" spans="2:30" s="323" customFormat="1" ht="12" customHeight="1">
      <c r="B645" s="324"/>
      <c r="C645" s="325"/>
      <c r="D645" s="326"/>
      <c r="E645" s="326"/>
      <c r="F645" s="326"/>
      <c r="G645" s="326"/>
      <c r="H645" s="326"/>
      <c r="P645" s="318"/>
      <c r="Q645" s="318"/>
      <c r="R645" s="318"/>
      <c r="S645" s="318"/>
      <c r="T645" s="318"/>
      <c r="U645" s="318"/>
      <c r="V645" s="318"/>
      <c r="W645" s="318"/>
      <c r="X645" s="318"/>
      <c r="Y645" s="318"/>
      <c r="Z645" s="318"/>
      <c r="AA645" s="318"/>
      <c r="AB645" s="318"/>
      <c r="AC645" s="318"/>
      <c r="AD645" s="318"/>
    </row>
    <row r="646" spans="2:30" s="323" customFormat="1" ht="12" customHeight="1">
      <c r="B646" s="324"/>
      <c r="C646" s="325"/>
      <c r="D646" s="326"/>
      <c r="E646" s="326"/>
      <c r="F646" s="326"/>
      <c r="G646" s="326"/>
      <c r="H646" s="326"/>
      <c r="P646" s="318"/>
      <c r="Q646" s="318"/>
      <c r="R646" s="318"/>
      <c r="S646" s="318"/>
      <c r="T646" s="318"/>
      <c r="U646" s="318"/>
      <c r="V646" s="318"/>
      <c r="W646" s="318"/>
      <c r="X646" s="318"/>
      <c r="Y646" s="318"/>
      <c r="Z646" s="318"/>
      <c r="AA646" s="318"/>
      <c r="AB646" s="318"/>
      <c r="AC646" s="318"/>
      <c r="AD646" s="318"/>
    </row>
    <row r="647" spans="2:30" s="323" customFormat="1" ht="12" customHeight="1">
      <c r="B647" s="324"/>
      <c r="C647" s="325"/>
      <c r="D647" s="326"/>
      <c r="E647" s="326"/>
      <c r="F647" s="326"/>
      <c r="G647" s="326"/>
      <c r="H647" s="326"/>
      <c r="P647" s="318"/>
      <c r="Q647" s="318"/>
      <c r="R647" s="318"/>
      <c r="S647" s="318"/>
      <c r="T647" s="318"/>
      <c r="U647" s="318"/>
      <c r="V647" s="318"/>
      <c r="W647" s="318"/>
      <c r="X647" s="318"/>
      <c r="Y647" s="318"/>
      <c r="Z647" s="318"/>
      <c r="AA647" s="318"/>
      <c r="AB647" s="318"/>
      <c r="AC647" s="318"/>
      <c r="AD647" s="318"/>
    </row>
    <row r="648" spans="2:30" s="323" customFormat="1" ht="12" customHeight="1">
      <c r="B648" s="324"/>
      <c r="C648" s="325"/>
      <c r="D648" s="326"/>
      <c r="E648" s="326"/>
      <c r="F648" s="326"/>
      <c r="G648" s="326"/>
      <c r="H648" s="326"/>
      <c r="P648" s="318"/>
      <c r="Q648" s="318"/>
      <c r="R648" s="318"/>
      <c r="S648" s="318"/>
      <c r="T648" s="318"/>
      <c r="U648" s="318"/>
      <c r="V648" s="318"/>
      <c r="W648" s="318"/>
      <c r="X648" s="318"/>
      <c r="Y648" s="318"/>
      <c r="Z648" s="318"/>
      <c r="AA648" s="318"/>
      <c r="AB648" s="318"/>
      <c r="AC648" s="318"/>
      <c r="AD648" s="318"/>
    </row>
    <row r="649" spans="2:30" s="323" customFormat="1" ht="12" customHeight="1">
      <c r="B649" s="324"/>
      <c r="C649" s="325"/>
      <c r="D649" s="326"/>
      <c r="E649" s="326"/>
      <c r="F649" s="326"/>
      <c r="G649" s="326"/>
      <c r="H649" s="326"/>
      <c r="P649" s="318"/>
      <c r="Q649" s="318"/>
      <c r="R649" s="318"/>
      <c r="S649" s="318"/>
      <c r="T649" s="318"/>
      <c r="U649" s="318"/>
      <c r="V649" s="318"/>
      <c r="W649" s="318"/>
      <c r="X649" s="318"/>
      <c r="Y649" s="318"/>
      <c r="Z649" s="318"/>
      <c r="AA649" s="318"/>
      <c r="AB649" s="318"/>
      <c r="AC649" s="318"/>
      <c r="AD649" s="318"/>
    </row>
    <row r="650" spans="2:30" s="323" customFormat="1" ht="12" customHeight="1">
      <c r="B650" s="324"/>
      <c r="C650" s="325"/>
      <c r="D650" s="326"/>
      <c r="E650" s="326"/>
      <c r="F650" s="326"/>
      <c r="G650" s="326"/>
      <c r="H650" s="326"/>
      <c r="P650" s="318"/>
      <c r="Q650" s="318"/>
      <c r="R650" s="318"/>
      <c r="S650" s="318"/>
      <c r="T650" s="318"/>
      <c r="U650" s="318"/>
      <c r="V650" s="318"/>
      <c r="W650" s="318"/>
      <c r="X650" s="318"/>
      <c r="Y650" s="318"/>
      <c r="Z650" s="318"/>
      <c r="AA650" s="318"/>
      <c r="AB650" s="318"/>
      <c r="AC650" s="318"/>
      <c r="AD650" s="318"/>
    </row>
    <row r="651" spans="2:30" s="323" customFormat="1" ht="12" customHeight="1">
      <c r="B651" s="324"/>
      <c r="C651" s="325"/>
      <c r="D651" s="326"/>
      <c r="E651" s="326"/>
      <c r="F651" s="326"/>
      <c r="G651" s="326"/>
      <c r="H651" s="326"/>
      <c r="P651" s="318"/>
      <c r="Q651" s="318"/>
      <c r="R651" s="318"/>
      <c r="S651" s="318"/>
      <c r="T651" s="318"/>
      <c r="U651" s="318"/>
      <c r="V651" s="318"/>
      <c r="W651" s="318"/>
      <c r="X651" s="318"/>
      <c r="Y651" s="318"/>
      <c r="Z651" s="318"/>
      <c r="AA651" s="318"/>
      <c r="AB651" s="318"/>
      <c r="AC651" s="318"/>
      <c r="AD651" s="318"/>
    </row>
    <row r="652" spans="2:30" s="323" customFormat="1" ht="12" customHeight="1">
      <c r="B652" s="324"/>
      <c r="C652" s="325"/>
      <c r="D652" s="326"/>
      <c r="E652" s="326"/>
      <c r="F652" s="326"/>
      <c r="G652" s="326"/>
      <c r="H652" s="326"/>
      <c r="P652" s="318"/>
      <c r="Q652" s="318"/>
      <c r="R652" s="318"/>
      <c r="S652" s="318"/>
      <c r="T652" s="318"/>
      <c r="U652" s="318"/>
      <c r="V652" s="318"/>
      <c r="W652" s="318"/>
      <c r="X652" s="318"/>
      <c r="Y652" s="318"/>
      <c r="Z652" s="318"/>
      <c r="AA652" s="318"/>
      <c r="AB652" s="318"/>
      <c r="AC652" s="318"/>
      <c r="AD652" s="318"/>
    </row>
    <row r="653" spans="2:30" s="323" customFormat="1" ht="12" customHeight="1">
      <c r="B653" s="324"/>
      <c r="C653" s="325"/>
      <c r="D653" s="326"/>
      <c r="E653" s="326"/>
      <c r="F653" s="326"/>
      <c r="G653" s="326"/>
      <c r="H653" s="326"/>
      <c r="P653" s="318"/>
      <c r="Q653" s="318"/>
      <c r="R653" s="318"/>
      <c r="S653" s="318"/>
      <c r="T653" s="318"/>
      <c r="U653" s="318"/>
      <c r="V653" s="318"/>
      <c r="W653" s="318"/>
      <c r="X653" s="318"/>
      <c r="Y653" s="318"/>
      <c r="Z653" s="318"/>
      <c r="AA653" s="318"/>
      <c r="AB653" s="318"/>
      <c r="AC653" s="318"/>
      <c r="AD653" s="318"/>
    </row>
    <row r="654" spans="2:30" s="323" customFormat="1" ht="12" customHeight="1">
      <c r="B654" s="324"/>
      <c r="C654" s="325"/>
      <c r="D654" s="326"/>
      <c r="E654" s="326"/>
      <c r="F654" s="326"/>
      <c r="G654" s="326"/>
      <c r="H654" s="326"/>
      <c r="P654" s="318"/>
      <c r="Q654" s="318"/>
      <c r="R654" s="318"/>
      <c r="S654" s="318"/>
      <c r="T654" s="318"/>
      <c r="U654" s="318"/>
      <c r="V654" s="318"/>
      <c r="W654" s="318"/>
      <c r="X654" s="318"/>
      <c r="Y654" s="318"/>
      <c r="Z654" s="318"/>
      <c r="AA654" s="318"/>
      <c r="AB654" s="318"/>
      <c r="AC654" s="318"/>
      <c r="AD654" s="318"/>
    </row>
    <row r="655" spans="2:30" s="323" customFormat="1" ht="12" customHeight="1">
      <c r="B655" s="324"/>
      <c r="C655" s="325"/>
      <c r="D655" s="326"/>
      <c r="E655" s="326"/>
      <c r="F655" s="326"/>
      <c r="G655" s="326"/>
      <c r="H655" s="326"/>
      <c r="P655" s="318"/>
      <c r="Q655" s="318"/>
      <c r="R655" s="318"/>
      <c r="S655" s="318"/>
      <c r="T655" s="318"/>
      <c r="U655" s="318"/>
      <c r="V655" s="318"/>
      <c r="W655" s="318"/>
      <c r="X655" s="318"/>
      <c r="Y655" s="318"/>
      <c r="Z655" s="318"/>
      <c r="AA655" s="318"/>
      <c r="AB655" s="318"/>
      <c r="AC655" s="318"/>
      <c r="AD655" s="318"/>
    </row>
    <row r="656" spans="2:30" s="323" customFormat="1" ht="12" customHeight="1">
      <c r="B656" s="324"/>
      <c r="C656" s="325"/>
      <c r="D656" s="326"/>
      <c r="E656" s="326"/>
      <c r="F656" s="326"/>
      <c r="G656" s="326"/>
      <c r="H656" s="326"/>
      <c r="P656" s="318"/>
      <c r="Q656" s="318"/>
      <c r="R656" s="318"/>
      <c r="S656" s="318"/>
      <c r="T656" s="318"/>
      <c r="U656" s="318"/>
      <c r="V656" s="318"/>
      <c r="W656" s="318"/>
      <c r="X656" s="318"/>
      <c r="Y656" s="318"/>
      <c r="Z656" s="318"/>
      <c r="AA656" s="318"/>
      <c r="AB656" s="318"/>
      <c r="AC656" s="318"/>
      <c r="AD656" s="318"/>
    </row>
    <row r="657" spans="2:30" s="323" customFormat="1" ht="12" customHeight="1">
      <c r="B657" s="324"/>
      <c r="C657" s="325"/>
      <c r="D657" s="326"/>
      <c r="E657" s="326"/>
      <c r="F657" s="326"/>
      <c r="G657" s="326"/>
      <c r="H657" s="326"/>
      <c r="P657" s="318"/>
      <c r="Q657" s="318"/>
      <c r="R657" s="318"/>
      <c r="S657" s="318"/>
      <c r="T657" s="318"/>
      <c r="U657" s="318"/>
      <c r="V657" s="318"/>
      <c r="W657" s="318"/>
      <c r="X657" s="318"/>
      <c r="Y657" s="318"/>
      <c r="Z657" s="318"/>
      <c r="AA657" s="318"/>
      <c r="AB657" s="318"/>
      <c r="AC657" s="318"/>
      <c r="AD657" s="318"/>
    </row>
    <row r="658" spans="2:30" s="323" customFormat="1" ht="12" customHeight="1">
      <c r="B658" s="324"/>
      <c r="C658" s="325"/>
      <c r="D658" s="326"/>
      <c r="E658" s="326"/>
      <c r="F658" s="326"/>
      <c r="G658" s="326"/>
      <c r="H658" s="326"/>
      <c r="P658" s="318"/>
      <c r="Q658" s="318"/>
      <c r="R658" s="318"/>
      <c r="S658" s="318"/>
      <c r="T658" s="318"/>
      <c r="U658" s="318"/>
      <c r="V658" s="318"/>
      <c r="W658" s="318"/>
      <c r="X658" s="318"/>
      <c r="Y658" s="318"/>
      <c r="Z658" s="318"/>
      <c r="AA658" s="318"/>
      <c r="AB658" s="318"/>
      <c r="AC658" s="318"/>
      <c r="AD658" s="318"/>
    </row>
    <row r="659" spans="2:30" s="323" customFormat="1" ht="12" customHeight="1">
      <c r="B659" s="324"/>
      <c r="C659" s="325"/>
      <c r="D659" s="326"/>
      <c r="E659" s="326"/>
      <c r="F659" s="326"/>
      <c r="G659" s="326"/>
      <c r="H659" s="326"/>
      <c r="P659" s="318"/>
      <c r="Q659" s="318"/>
      <c r="R659" s="318"/>
      <c r="S659" s="318"/>
      <c r="T659" s="318"/>
      <c r="U659" s="318"/>
      <c r="V659" s="318"/>
      <c r="W659" s="318"/>
      <c r="X659" s="318"/>
      <c r="Y659" s="318"/>
      <c r="Z659" s="318"/>
      <c r="AA659" s="318"/>
      <c r="AB659" s="318"/>
      <c r="AC659" s="318"/>
      <c r="AD659" s="318"/>
    </row>
    <row r="660" spans="2:30" s="323" customFormat="1" ht="12" customHeight="1">
      <c r="B660" s="324"/>
      <c r="C660" s="325"/>
      <c r="D660" s="326"/>
      <c r="E660" s="326"/>
      <c r="F660" s="326"/>
      <c r="G660" s="326"/>
      <c r="H660" s="326"/>
      <c r="P660" s="318"/>
      <c r="Q660" s="318"/>
      <c r="R660" s="318"/>
      <c r="S660" s="318"/>
      <c r="T660" s="318"/>
      <c r="U660" s="318"/>
      <c r="V660" s="318"/>
      <c r="W660" s="318"/>
      <c r="X660" s="318"/>
      <c r="Y660" s="318"/>
      <c r="Z660" s="318"/>
      <c r="AA660" s="318"/>
      <c r="AB660" s="318"/>
      <c r="AC660" s="318"/>
      <c r="AD660" s="318"/>
    </row>
    <row r="661" spans="2:30" s="323" customFormat="1" ht="12" customHeight="1">
      <c r="B661" s="324"/>
      <c r="C661" s="325"/>
      <c r="D661" s="326"/>
      <c r="E661" s="326"/>
      <c r="F661" s="326"/>
      <c r="G661" s="326"/>
      <c r="H661" s="326"/>
      <c r="P661" s="318"/>
      <c r="Q661" s="318"/>
      <c r="R661" s="318"/>
      <c r="S661" s="318"/>
      <c r="T661" s="318"/>
      <c r="U661" s="318"/>
      <c r="V661" s="318"/>
      <c r="W661" s="318"/>
      <c r="X661" s="318"/>
      <c r="Y661" s="318"/>
      <c r="Z661" s="318"/>
      <c r="AA661" s="318"/>
      <c r="AB661" s="318"/>
      <c r="AC661" s="318"/>
      <c r="AD661" s="318"/>
    </row>
    <row r="662" spans="2:30" s="323" customFormat="1" ht="12" customHeight="1">
      <c r="B662" s="324"/>
      <c r="C662" s="325"/>
      <c r="D662" s="326"/>
      <c r="E662" s="326"/>
      <c r="F662" s="326"/>
      <c r="G662" s="326"/>
      <c r="H662" s="326"/>
      <c r="P662" s="318"/>
      <c r="Q662" s="318"/>
      <c r="R662" s="318"/>
      <c r="S662" s="318"/>
      <c r="T662" s="318"/>
      <c r="U662" s="318"/>
      <c r="V662" s="318"/>
      <c r="W662" s="318"/>
      <c r="X662" s="318"/>
      <c r="Y662" s="318"/>
      <c r="Z662" s="318"/>
      <c r="AA662" s="318"/>
      <c r="AB662" s="318"/>
      <c r="AC662" s="318"/>
      <c r="AD662" s="318"/>
    </row>
    <row r="663" spans="2:30" s="323" customFormat="1" ht="12" customHeight="1">
      <c r="B663" s="324"/>
      <c r="C663" s="325"/>
      <c r="D663" s="326"/>
      <c r="E663" s="326"/>
      <c r="F663" s="326"/>
      <c r="G663" s="326"/>
      <c r="H663" s="326"/>
      <c r="P663" s="318"/>
      <c r="Q663" s="318"/>
      <c r="R663" s="318"/>
      <c r="S663" s="318"/>
      <c r="T663" s="318"/>
      <c r="U663" s="318"/>
      <c r="V663" s="318"/>
      <c r="W663" s="318"/>
      <c r="X663" s="318"/>
      <c r="Y663" s="318"/>
      <c r="Z663" s="318"/>
      <c r="AA663" s="318"/>
      <c r="AB663" s="318"/>
      <c r="AC663" s="318"/>
      <c r="AD663" s="318"/>
    </row>
    <row r="664" spans="2:30" s="323" customFormat="1" ht="12" customHeight="1">
      <c r="B664" s="324"/>
      <c r="C664" s="325"/>
      <c r="D664" s="326"/>
      <c r="E664" s="326"/>
      <c r="F664" s="326"/>
      <c r="G664" s="326"/>
      <c r="H664" s="326"/>
      <c r="P664" s="318"/>
      <c r="Q664" s="318"/>
      <c r="R664" s="318"/>
      <c r="S664" s="318"/>
      <c r="T664" s="318"/>
      <c r="U664" s="318"/>
      <c r="V664" s="318"/>
      <c r="W664" s="318"/>
      <c r="X664" s="318"/>
      <c r="Y664" s="318"/>
      <c r="Z664" s="318"/>
      <c r="AA664" s="318"/>
      <c r="AB664" s="318"/>
      <c r="AC664" s="318"/>
      <c r="AD664" s="318"/>
    </row>
    <row r="665" spans="2:30" s="323" customFormat="1" ht="12" customHeight="1">
      <c r="B665" s="324"/>
      <c r="C665" s="325"/>
      <c r="D665" s="326"/>
      <c r="E665" s="326"/>
      <c r="F665" s="326"/>
      <c r="G665" s="326"/>
      <c r="H665" s="326"/>
      <c r="P665" s="318"/>
      <c r="Q665" s="318"/>
      <c r="R665" s="318"/>
      <c r="S665" s="318"/>
      <c r="T665" s="318"/>
      <c r="U665" s="318"/>
      <c r="V665" s="318"/>
      <c r="W665" s="318"/>
      <c r="X665" s="318"/>
      <c r="Y665" s="318"/>
      <c r="Z665" s="318"/>
      <c r="AA665" s="318"/>
      <c r="AB665" s="318"/>
      <c r="AC665" s="318"/>
      <c r="AD665" s="318"/>
    </row>
    <row r="666" spans="2:30" s="323" customFormat="1" ht="12" customHeight="1">
      <c r="B666" s="324"/>
      <c r="C666" s="325"/>
      <c r="D666" s="326"/>
      <c r="E666" s="326"/>
      <c r="F666" s="326"/>
      <c r="G666" s="326"/>
      <c r="H666" s="326"/>
      <c r="P666" s="318"/>
      <c r="Q666" s="318"/>
      <c r="R666" s="318"/>
      <c r="S666" s="318"/>
      <c r="T666" s="318"/>
      <c r="U666" s="318"/>
      <c r="V666" s="318"/>
      <c r="W666" s="318"/>
      <c r="X666" s="318"/>
      <c r="Y666" s="318"/>
      <c r="Z666" s="318"/>
      <c r="AA666" s="318"/>
      <c r="AB666" s="318"/>
      <c r="AC666" s="318"/>
      <c r="AD666" s="318"/>
    </row>
    <row r="667" spans="2:30" s="323" customFormat="1" ht="12" customHeight="1">
      <c r="B667" s="324"/>
      <c r="C667" s="325"/>
      <c r="D667" s="326"/>
      <c r="E667" s="326"/>
      <c r="F667" s="326"/>
      <c r="G667" s="326"/>
      <c r="H667" s="326"/>
      <c r="P667" s="318"/>
      <c r="Q667" s="318"/>
      <c r="R667" s="318"/>
      <c r="S667" s="318"/>
      <c r="T667" s="318"/>
      <c r="U667" s="318"/>
      <c r="V667" s="318"/>
      <c r="W667" s="318"/>
      <c r="X667" s="318"/>
      <c r="Y667" s="318"/>
      <c r="Z667" s="318"/>
      <c r="AA667" s="318"/>
      <c r="AB667" s="318"/>
      <c r="AC667" s="318"/>
      <c r="AD667" s="318"/>
    </row>
    <row r="668" spans="2:30" s="323" customFormat="1" ht="12" customHeight="1">
      <c r="B668" s="324"/>
      <c r="C668" s="325"/>
      <c r="D668" s="326"/>
      <c r="E668" s="326"/>
      <c r="F668" s="326"/>
      <c r="G668" s="326"/>
      <c r="H668" s="326"/>
      <c r="P668" s="318"/>
      <c r="Q668" s="318"/>
      <c r="R668" s="318"/>
      <c r="S668" s="318"/>
      <c r="T668" s="318"/>
      <c r="U668" s="318"/>
      <c r="V668" s="318"/>
      <c r="W668" s="318"/>
      <c r="X668" s="318"/>
      <c r="Y668" s="318"/>
      <c r="Z668" s="318"/>
      <c r="AA668" s="318"/>
      <c r="AB668" s="318"/>
      <c r="AC668" s="318"/>
      <c r="AD668" s="318"/>
    </row>
    <row r="669" spans="2:30" s="323" customFormat="1" ht="12" customHeight="1">
      <c r="B669" s="324"/>
      <c r="C669" s="325"/>
      <c r="D669" s="326"/>
      <c r="E669" s="326"/>
      <c r="F669" s="326"/>
      <c r="G669" s="326"/>
      <c r="H669" s="326"/>
      <c r="P669" s="318"/>
      <c r="Q669" s="318"/>
      <c r="R669" s="318"/>
      <c r="S669" s="318"/>
      <c r="T669" s="318"/>
      <c r="U669" s="318"/>
      <c r="V669" s="318"/>
      <c r="W669" s="318"/>
      <c r="X669" s="318"/>
      <c r="Y669" s="318"/>
      <c r="Z669" s="318"/>
      <c r="AA669" s="318"/>
      <c r="AB669" s="318"/>
      <c r="AC669" s="318"/>
      <c r="AD669" s="318"/>
    </row>
    <row r="670" spans="2:30" s="323" customFormat="1" ht="12" customHeight="1">
      <c r="B670" s="324"/>
      <c r="C670" s="325"/>
      <c r="D670" s="326"/>
      <c r="E670" s="326"/>
      <c r="F670" s="326"/>
      <c r="G670" s="326"/>
      <c r="H670" s="326"/>
      <c r="P670" s="318"/>
      <c r="Q670" s="318"/>
      <c r="R670" s="318"/>
      <c r="S670" s="318"/>
      <c r="T670" s="318"/>
      <c r="U670" s="318"/>
      <c r="V670" s="318"/>
      <c r="W670" s="318"/>
      <c r="X670" s="318"/>
      <c r="Y670" s="318"/>
      <c r="Z670" s="318"/>
      <c r="AA670" s="318"/>
      <c r="AB670" s="318"/>
      <c r="AC670" s="318"/>
      <c r="AD670" s="318"/>
    </row>
    <row r="671" spans="2:30" s="323" customFormat="1" ht="12" customHeight="1">
      <c r="B671" s="324"/>
      <c r="C671" s="325"/>
      <c r="D671" s="326"/>
      <c r="E671" s="326"/>
      <c r="F671" s="326"/>
      <c r="G671" s="326"/>
      <c r="H671" s="326"/>
      <c r="P671" s="318"/>
      <c r="Q671" s="318"/>
      <c r="R671" s="318"/>
      <c r="S671" s="318"/>
      <c r="T671" s="318"/>
      <c r="U671" s="318"/>
      <c r="V671" s="318"/>
      <c r="W671" s="318"/>
      <c r="X671" s="318"/>
      <c r="Y671" s="318"/>
      <c r="Z671" s="318"/>
      <c r="AA671" s="318"/>
      <c r="AB671" s="318"/>
      <c r="AC671" s="318"/>
      <c r="AD671" s="318"/>
    </row>
    <row r="672" spans="2:30" s="323" customFormat="1" ht="12" customHeight="1">
      <c r="B672" s="324"/>
      <c r="C672" s="325"/>
      <c r="D672" s="326"/>
      <c r="E672" s="326"/>
      <c r="F672" s="326"/>
      <c r="G672" s="326"/>
      <c r="H672" s="326"/>
      <c r="P672" s="318"/>
      <c r="Q672" s="318"/>
      <c r="R672" s="318"/>
      <c r="S672" s="318"/>
      <c r="T672" s="318"/>
      <c r="U672" s="318"/>
      <c r="V672" s="318"/>
      <c r="W672" s="318"/>
      <c r="X672" s="318"/>
      <c r="Y672" s="318"/>
      <c r="Z672" s="318"/>
      <c r="AA672" s="318"/>
      <c r="AB672" s="318"/>
      <c r="AC672" s="318"/>
      <c r="AD672" s="318"/>
    </row>
    <row r="673" spans="2:30" s="323" customFormat="1" ht="12" customHeight="1">
      <c r="B673" s="324"/>
      <c r="C673" s="325"/>
      <c r="D673" s="326"/>
      <c r="E673" s="326"/>
      <c r="F673" s="326"/>
      <c r="G673" s="326"/>
      <c r="H673" s="326"/>
      <c r="P673" s="318"/>
      <c r="Q673" s="318"/>
      <c r="R673" s="318"/>
      <c r="S673" s="318"/>
      <c r="T673" s="318"/>
      <c r="U673" s="318"/>
      <c r="V673" s="318"/>
      <c r="W673" s="318"/>
      <c r="X673" s="318"/>
      <c r="Y673" s="318"/>
      <c r="Z673" s="318"/>
      <c r="AA673" s="318"/>
      <c r="AB673" s="318"/>
      <c r="AC673" s="318"/>
      <c r="AD673" s="318"/>
    </row>
    <row r="674" spans="2:30" s="323" customFormat="1" ht="12" customHeight="1">
      <c r="B674" s="324"/>
      <c r="C674" s="325"/>
      <c r="D674" s="326"/>
      <c r="E674" s="326"/>
      <c r="F674" s="326"/>
      <c r="G674" s="326"/>
      <c r="H674" s="326"/>
      <c r="P674" s="318"/>
      <c r="Q674" s="318"/>
      <c r="R674" s="318"/>
      <c r="S674" s="318"/>
      <c r="T674" s="318"/>
      <c r="U674" s="318"/>
      <c r="V674" s="318"/>
      <c r="W674" s="318"/>
      <c r="X674" s="318"/>
      <c r="Y674" s="318"/>
      <c r="Z674" s="318"/>
      <c r="AA674" s="318"/>
      <c r="AB674" s="318"/>
      <c r="AC674" s="318"/>
      <c r="AD674" s="318"/>
    </row>
    <row r="675" spans="2:30" s="323" customFormat="1" ht="12" customHeight="1">
      <c r="B675" s="324"/>
      <c r="C675" s="325"/>
      <c r="D675" s="326"/>
      <c r="E675" s="326"/>
      <c r="F675" s="326"/>
      <c r="G675" s="326"/>
      <c r="H675" s="326"/>
      <c r="P675" s="318"/>
      <c r="Q675" s="318"/>
      <c r="R675" s="318"/>
      <c r="S675" s="318"/>
      <c r="T675" s="318"/>
      <c r="U675" s="318"/>
      <c r="V675" s="318"/>
      <c r="W675" s="318"/>
      <c r="X675" s="318"/>
      <c r="Y675" s="318"/>
      <c r="Z675" s="318"/>
      <c r="AA675" s="318"/>
      <c r="AB675" s="318"/>
      <c r="AC675" s="318"/>
      <c r="AD675" s="318"/>
    </row>
    <row r="676" spans="2:30" s="323" customFormat="1" ht="12" customHeight="1">
      <c r="B676" s="324"/>
      <c r="C676" s="325"/>
      <c r="D676" s="326"/>
      <c r="E676" s="326"/>
      <c r="F676" s="326"/>
      <c r="G676" s="326"/>
      <c r="H676" s="326"/>
      <c r="P676" s="318"/>
      <c r="Q676" s="318"/>
      <c r="R676" s="318"/>
      <c r="S676" s="318"/>
      <c r="T676" s="318"/>
      <c r="U676" s="318"/>
      <c r="V676" s="318"/>
      <c r="W676" s="318"/>
      <c r="X676" s="318"/>
      <c r="Y676" s="318"/>
      <c r="Z676" s="318"/>
      <c r="AA676" s="318"/>
      <c r="AB676" s="318"/>
      <c r="AC676" s="318"/>
      <c r="AD676" s="318"/>
    </row>
    <row r="677" spans="2:30" s="323" customFormat="1" ht="12" customHeight="1">
      <c r="B677" s="324"/>
      <c r="C677" s="325"/>
      <c r="D677" s="326"/>
      <c r="E677" s="326"/>
      <c r="F677" s="326"/>
      <c r="G677" s="326"/>
      <c r="H677" s="326"/>
      <c r="P677" s="318"/>
      <c r="Q677" s="318"/>
      <c r="R677" s="318"/>
      <c r="S677" s="318"/>
      <c r="T677" s="318"/>
      <c r="U677" s="318"/>
      <c r="V677" s="318"/>
      <c r="W677" s="318"/>
      <c r="X677" s="318"/>
      <c r="Y677" s="318"/>
      <c r="Z677" s="318"/>
      <c r="AA677" s="318"/>
      <c r="AB677" s="318"/>
      <c r="AC677" s="318"/>
      <c r="AD677" s="318"/>
    </row>
    <row r="678" spans="2:30" s="323" customFormat="1" ht="12" customHeight="1">
      <c r="B678" s="324"/>
      <c r="C678" s="325"/>
      <c r="D678" s="326"/>
      <c r="E678" s="326"/>
      <c r="F678" s="326"/>
      <c r="G678" s="326"/>
      <c r="H678" s="326"/>
      <c r="P678" s="318"/>
      <c r="Q678" s="318"/>
      <c r="R678" s="318"/>
      <c r="S678" s="318"/>
      <c r="T678" s="318"/>
      <c r="U678" s="318"/>
      <c r="V678" s="318"/>
      <c r="W678" s="318"/>
      <c r="X678" s="318"/>
      <c r="Y678" s="318"/>
      <c r="Z678" s="318"/>
      <c r="AA678" s="318"/>
      <c r="AB678" s="318"/>
      <c r="AC678" s="318"/>
      <c r="AD678" s="318"/>
    </row>
    <row r="679" spans="2:30" s="323" customFormat="1" ht="12" customHeight="1">
      <c r="B679" s="324"/>
      <c r="C679" s="325"/>
      <c r="D679" s="326"/>
      <c r="E679" s="326"/>
      <c r="F679" s="326"/>
      <c r="G679" s="326"/>
      <c r="H679" s="326"/>
      <c r="P679" s="318"/>
      <c r="Q679" s="318"/>
      <c r="R679" s="318"/>
      <c r="S679" s="318"/>
      <c r="T679" s="318"/>
      <c r="U679" s="318"/>
      <c r="V679" s="318"/>
      <c r="W679" s="318"/>
      <c r="X679" s="318"/>
      <c r="Y679" s="318"/>
      <c r="Z679" s="318"/>
      <c r="AA679" s="318"/>
      <c r="AB679" s="318"/>
      <c r="AC679" s="318"/>
      <c r="AD679" s="318"/>
    </row>
    <row r="680" spans="2:30" s="323" customFormat="1" ht="12" customHeight="1">
      <c r="B680" s="324"/>
      <c r="C680" s="325"/>
      <c r="D680" s="326"/>
      <c r="E680" s="326"/>
      <c r="F680" s="326"/>
      <c r="G680" s="326"/>
      <c r="H680" s="326"/>
      <c r="P680" s="318"/>
      <c r="Q680" s="318"/>
      <c r="R680" s="318"/>
      <c r="S680" s="318"/>
      <c r="T680" s="318"/>
      <c r="U680" s="318"/>
      <c r="V680" s="318"/>
      <c r="W680" s="318"/>
      <c r="X680" s="318"/>
      <c r="Y680" s="318"/>
      <c r="Z680" s="318"/>
      <c r="AA680" s="318"/>
      <c r="AB680" s="318"/>
      <c r="AC680" s="318"/>
      <c r="AD680" s="318"/>
    </row>
    <row r="681" spans="2:30" s="323" customFormat="1" ht="12" customHeight="1">
      <c r="B681" s="324"/>
      <c r="C681" s="325"/>
      <c r="D681" s="326"/>
      <c r="E681" s="326"/>
      <c r="F681" s="326"/>
      <c r="G681" s="326"/>
      <c r="H681" s="326"/>
      <c r="P681" s="318"/>
      <c r="Q681" s="318"/>
      <c r="R681" s="318"/>
      <c r="S681" s="318"/>
      <c r="T681" s="318"/>
      <c r="U681" s="318"/>
      <c r="V681" s="318"/>
      <c r="W681" s="318"/>
      <c r="X681" s="318"/>
      <c r="Y681" s="318"/>
      <c r="Z681" s="318"/>
      <c r="AA681" s="318"/>
      <c r="AB681" s="318"/>
      <c r="AC681" s="318"/>
      <c r="AD681" s="318"/>
    </row>
    <row r="682" spans="2:30" s="323" customFormat="1" ht="12" customHeight="1">
      <c r="B682" s="324"/>
      <c r="C682" s="325"/>
      <c r="D682" s="326"/>
      <c r="E682" s="326"/>
      <c r="F682" s="326"/>
      <c r="G682" s="326"/>
      <c r="H682" s="326"/>
      <c r="P682" s="318"/>
      <c r="Q682" s="318"/>
      <c r="R682" s="318"/>
      <c r="S682" s="318"/>
      <c r="T682" s="318"/>
      <c r="U682" s="318"/>
      <c r="V682" s="318"/>
      <c r="W682" s="318"/>
      <c r="X682" s="318"/>
      <c r="Y682" s="318"/>
      <c r="Z682" s="318"/>
      <c r="AA682" s="318"/>
      <c r="AB682" s="318"/>
      <c r="AC682" s="318"/>
      <c r="AD682" s="318"/>
    </row>
    <row r="683" spans="2:30" s="323" customFormat="1" ht="12" customHeight="1">
      <c r="B683" s="324"/>
      <c r="C683" s="325"/>
      <c r="D683" s="326"/>
      <c r="E683" s="326"/>
      <c r="F683" s="326"/>
      <c r="G683" s="326"/>
      <c r="H683" s="326"/>
      <c r="P683" s="318"/>
      <c r="Q683" s="318"/>
      <c r="R683" s="318"/>
      <c r="S683" s="318"/>
      <c r="T683" s="318"/>
      <c r="U683" s="318"/>
      <c r="V683" s="318"/>
      <c r="W683" s="318"/>
      <c r="X683" s="318"/>
      <c r="Y683" s="318"/>
      <c r="Z683" s="318"/>
      <c r="AA683" s="318"/>
      <c r="AB683" s="318"/>
      <c r="AC683" s="318"/>
      <c r="AD683" s="318"/>
    </row>
    <row r="684" spans="2:30" s="323" customFormat="1" ht="12" customHeight="1">
      <c r="B684" s="324"/>
      <c r="C684" s="325"/>
      <c r="D684" s="326"/>
      <c r="E684" s="326"/>
      <c r="F684" s="326"/>
      <c r="G684" s="326"/>
      <c r="H684" s="326"/>
      <c r="P684" s="318"/>
      <c r="Q684" s="318"/>
      <c r="R684" s="318"/>
      <c r="S684" s="318"/>
      <c r="T684" s="318"/>
      <c r="U684" s="318"/>
      <c r="V684" s="318"/>
      <c r="W684" s="318"/>
      <c r="X684" s="318"/>
      <c r="Y684" s="318"/>
      <c r="Z684" s="318"/>
      <c r="AA684" s="318"/>
      <c r="AB684" s="318"/>
      <c r="AC684" s="318"/>
      <c r="AD684" s="318"/>
    </row>
    <row r="685" spans="2:30" s="323" customFormat="1" ht="12" customHeight="1">
      <c r="B685" s="324"/>
      <c r="C685" s="325"/>
      <c r="D685" s="326"/>
      <c r="E685" s="326"/>
      <c r="F685" s="326"/>
      <c r="G685" s="326"/>
      <c r="H685" s="326"/>
      <c r="P685" s="318"/>
      <c r="Q685" s="318"/>
      <c r="R685" s="318"/>
      <c r="S685" s="318"/>
      <c r="T685" s="318"/>
      <c r="U685" s="318"/>
      <c r="V685" s="318"/>
      <c r="W685" s="318"/>
      <c r="X685" s="318"/>
      <c r="Y685" s="318"/>
      <c r="Z685" s="318"/>
      <c r="AA685" s="318"/>
      <c r="AB685" s="318"/>
      <c r="AC685" s="318"/>
      <c r="AD685" s="318"/>
    </row>
    <row r="686" spans="2:30" s="323" customFormat="1" ht="12" customHeight="1">
      <c r="B686" s="324"/>
      <c r="C686" s="325"/>
      <c r="D686" s="326"/>
      <c r="E686" s="326"/>
      <c r="F686" s="326"/>
      <c r="G686" s="326"/>
      <c r="H686" s="326"/>
      <c r="P686" s="318"/>
      <c r="Q686" s="318"/>
      <c r="R686" s="318"/>
      <c r="S686" s="318"/>
      <c r="T686" s="318"/>
      <c r="U686" s="318"/>
      <c r="V686" s="318"/>
      <c r="W686" s="318"/>
      <c r="X686" s="318"/>
      <c r="Y686" s="318"/>
      <c r="Z686" s="318"/>
      <c r="AA686" s="318"/>
      <c r="AB686" s="318"/>
      <c r="AC686" s="318"/>
      <c r="AD686" s="318"/>
    </row>
    <row r="687" spans="2:30" s="323" customFormat="1" ht="12" customHeight="1">
      <c r="B687" s="324"/>
      <c r="C687" s="325"/>
      <c r="D687" s="326"/>
      <c r="E687" s="326"/>
      <c r="F687" s="326"/>
      <c r="G687" s="326"/>
      <c r="H687" s="326"/>
      <c r="P687" s="318"/>
      <c r="Q687" s="318"/>
      <c r="R687" s="318"/>
      <c r="S687" s="318"/>
      <c r="T687" s="318"/>
      <c r="U687" s="318"/>
      <c r="V687" s="318"/>
      <c r="W687" s="318"/>
      <c r="X687" s="318"/>
      <c r="Y687" s="318"/>
      <c r="Z687" s="318"/>
      <c r="AA687" s="318"/>
      <c r="AB687" s="318"/>
      <c r="AC687" s="318"/>
      <c r="AD687" s="318"/>
    </row>
    <row r="688" spans="2:30" s="323" customFormat="1" ht="12" customHeight="1">
      <c r="B688" s="324"/>
      <c r="C688" s="325"/>
      <c r="D688" s="326"/>
      <c r="E688" s="326"/>
      <c r="F688" s="326"/>
      <c r="G688" s="326"/>
      <c r="H688" s="326"/>
      <c r="P688" s="318"/>
      <c r="Q688" s="318"/>
      <c r="R688" s="318"/>
      <c r="S688" s="318"/>
      <c r="T688" s="318"/>
      <c r="U688" s="318"/>
      <c r="V688" s="318"/>
      <c r="W688" s="318"/>
      <c r="X688" s="318"/>
      <c r="Y688" s="318"/>
      <c r="Z688" s="318"/>
      <c r="AA688" s="318"/>
      <c r="AB688" s="318"/>
      <c r="AC688" s="318"/>
      <c r="AD688" s="318"/>
    </row>
    <row r="689" spans="2:30" s="323" customFormat="1" ht="12" customHeight="1">
      <c r="B689" s="324"/>
      <c r="C689" s="325"/>
      <c r="D689" s="326"/>
      <c r="E689" s="326"/>
      <c r="F689" s="326"/>
      <c r="G689" s="326"/>
      <c r="H689" s="326"/>
      <c r="P689" s="318"/>
      <c r="Q689" s="318"/>
      <c r="R689" s="318"/>
      <c r="S689" s="318"/>
      <c r="T689" s="318"/>
      <c r="U689" s="318"/>
      <c r="V689" s="318"/>
      <c r="W689" s="318"/>
      <c r="X689" s="318"/>
      <c r="Y689" s="318"/>
      <c r="Z689" s="318"/>
      <c r="AA689" s="318"/>
      <c r="AB689" s="318"/>
      <c r="AC689" s="318"/>
      <c r="AD689" s="318"/>
    </row>
    <row r="690" spans="2:30" s="323" customFormat="1" ht="12" customHeight="1">
      <c r="B690" s="324"/>
      <c r="C690" s="325"/>
      <c r="D690" s="326"/>
      <c r="E690" s="326"/>
      <c r="F690" s="326"/>
      <c r="G690" s="326"/>
      <c r="H690" s="326"/>
      <c r="P690" s="318"/>
      <c r="Q690" s="318"/>
      <c r="R690" s="318"/>
      <c r="S690" s="318"/>
      <c r="T690" s="318"/>
      <c r="U690" s="318"/>
      <c r="V690" s="318"/>
      <c r="W690" s="318"/>
      <c r="X690" s="318"/>
      <c r="Y690" s="318"/>
      <c r="Z690" s="318"/>
      <c r="AA690" s="318"/>
      <c r="AB690" s="318"/>
      <c r="AC690" s="318"/>
      <c r="AD690" s="318"/>
    </row>
    <row r="691" spans="2:30" s="323" customFormat="1" ht="12" customHeight="1">
      <c r="B691" s="324"/>
      <c r="C691" s="325"/>
      <c r="D691" s="326"/>
      <c r="E691" s="326"/>
      <c r="F691" s="326"/>
      <c r="G691" s="326"/>
      <c r="H691" s="326"/>
      <c r="P691" s="318"/>
      <c r="Q691" s="318"/>
      <c r="R691" s="318"/>
      <c r="S691" s="318"/>
      <c r="T691" s="318"/>
      <c r="U691" s="318"/>
      <c r="V691" s="318"/>
      <c r="W691" s="318"/>
      <c r="X691" s="318"/>
      <c r="Y691" s="318"/>
      <c r="Z691" s="318"/>
      <c r="AA691" s="318"/>
      <c r="AB691" s="318"/>
      <c r="AC691" s="318"/>
      <c r="AD691" s="318"/>
    </row>
    <row r="692" spans="2:30" s="323" customFormat="1" ht="12" customHeight="1">
      <c r="B692" s="324"/>
      <c r="C692" s="325"/>
      <c r="D692" s="326"/>
      <c r="E692" s="326"/>
      <c r="F692" s="326"/>
      <c r="G692" s="326"/>
      <c r="H692" s="326"/>
      <c r="P692" s="318"/>
      <c r="Q692" s="318"/>
      <c r="R692" s="318"/>
      <c r="S692" s="318"/>
      <c r="T692" s="318"/>
      <c r="U692" s="318"/>
      <c r="V692" s="318"/>
      <c r="W692" s="318"/>
      <c r="X692" s="318"/>
      <c r="Y692" s="318"/>
      <c r="Z692" s="318"/>
      <c r="AA692" s="318"/>
      <c r="AB692" s="318"/>
      <c r="AC692" s="318"/>
      <c r="AD692" s="318"/>
    </row>
    <row r="693" spans="2:30" s="323" customFormat="1" ht="12" customHeight="1">
      <c r="B693" s="324"/>
      <c r="C693" s="325"/>
      <c r="D693" s="326"/>
      <c r="E693" s="326"/>
      <c r="F693" s="326"/>
      <c r="G693" s="326"/>
      <c r="H693" s="326"/>
      <c r="P693" s="318"/>
      <c r="Q693" s="318"/>
      <c r="R693" s="318"/>
      <c r="S693" s="318"/>
      <c r="T693" s="318"/>
      <c r="U693" s="318"/>
      <c r="V693" s="318"/>
      <c r="W693" s="318"/>
      <c r="X693" s="318"/>
      <c r="Y693" s="318"/>
      <c r="Z693" s="318"/>
      <c r="AA693" s="318"/>
      <c r="AB693" s="318"/>
      <c r="AC693" s="318"/>
      <c r="AD693" s="318"/>
    </row>
    <row r="694" spans="2:30" s="323" customFormat="1" ht="12" customHeight="1">
      <c r="B694" s="324"/>
      <c r="C694" s="325"/>
      <c r="D694" s="326"/>
      <c r="E694" s="326"/>
      <c r="F694" s="326"/>
      <c r="G694" s="326"/>
      <c r="H694" s="326"/>
      <c r="P694" s="318"/>
      <c r="Q694" s="318"/>
      <c r="R694" s="318"/>
      <c r="S694" s="318"/>
      <c r="T694" s="318"/>
      <c r="U694" s="318"/>
      <c r="V694" s="318"/>
      <c r="W694" s="318"/>
      <c r="X694" s="318"/>
      <c r="Y694" s="318"/>
      <c r="Z694" s="318"/>
      <c r="AA694" s="318"/>
      <c r="AB694" s="318"/>
      <c r="AC694" s="318"/>
      <c r="AD694" s="318"/>
    </row>
    <row r="695" spans="2:30" s="323" customFormat="1" ht="12" customHeight="1">
      <c r="B695" s="324"/>
      <c r="C695" s="325"/>
      <c r="D695" s="326"/>
      <c r="E695" s="326"/>
      <c r="F695" s="326"/>
      <c r="G695" s="326"/>
      <c r="H695" s="326"/>
      <c r="P695" s="318"/>
      <c r="Q695" s="318"/>
      <c r="R695" s="318"/>
      <c r="S695" s="318"/>
      <c r="T695" s="318"/>
      <c r="U695" s="318"/>
      <c r="V695" s="318"/>
      <c r="W695" s="318"/>
      <c r="X695" s="318"/>
      <c r="Y695" s="318"/>
      <c r="Z695" s="318"/>
      <c r="AA695" s="318"/>
      <c r="AB695" s="318"/>
      <c r="AC695" s="318"/>
      <c r="AD695" s="318"/>
    </row>
    <row r="696" spans="2:30" s="323" customFormat="1" ht="12" customHeight="1">
      <c r="B696" s="324"/>
      <c r="C696" s="325"/>
      <c r="D696" s="326"/>
      <c r="E696" s="326"/>
      <c r="F696" s="326"/>
      <c r="G696" s="326"/>
      <c r="H696" s="326"/>
      <c r="P696" s="318"/>
      <c r="Q696" s="318"/>
      <c r="R696" s="318"/>
      <c r="S696" s="318"/>
      <c r="T696" s="318"/>
      <c r="U696" s="318"/>
      <c r="V696" s="318"/>
      <c r="W696" s="318"/>
      <c r="X696" s="318"/>
      <c r="Y696" s="318"/>
      <c r="Z696" s="318"/>
      <c r="AA696" s="318"/>
      <c r="AB696" s="318"/>
      <c r="AC696" s="318"/>
      <c r="AD696" s="318"/>
    </row>
    <row r="697" spans="2:30" s="323" customFormat="1" ht="12" customHeight="1">
      <c r="B697" s="324"/>
      <c r="C697" s="325"/>
      <c r="D697" s="326"/>
      <c r="E697" s="326"/>
      <c r="F697" s="326"/>
      <c r="G697" s="326"/>
      <c r="H697" s="326"/>
      <c r="P697" s="318"/>
      <c r="Q697" s="318"/>
      <c r="R697" s="318"/>
      <c r="S697" s="318"/>
      <c r="T697" s="318"/>
      <c r="U697" s="318"/>
      <c r="V697" s="318"/>
      <c r="W697" s="318"/>
      <c r="X697" s="318"/>
      <c r="Y697" s="318"/>
      <c r="Z697" s="318"/>
      <c r="AA697" s="318"/>
      <c r="AB697" s="318"/>
      <c r="AC697" s="318"/>
      <c r="AD697" s="318"/>
    </row>
    <row r="698" spans="2:30" s="323" customFormat="1" ht="12" customHeight="1">
      <c r="B698" s="324"/>
      <c r="C698" s="325"/>
      <c r="D698" s="326"/>
      <c r="E698" s="326"/>
      <c r="F698" s="326"/>
      <c r="G698" s="326"/>
      <c r="H698" s="326"/>
      <c r="P698" s="318"/>
      <c r="Q698" s="318"/>
      <c r="R698" s="318"/>
      <c r="S698" s="318"/>
      <c r="T698" s="318"/>
      <c r="U698" s="318"/>
      <c r="V698" s="318"/>
      <c r="W698" s="318"/>
      <c r="X698" s="318"/>
      <c r="Y698" s="318"/>
      <c r="Z698" s="318"/>
      <c r="AA698" s="318"/>
      <c r="AB698" s="318"/>
      <c r="AC698" s="318"/>
      <c r="AD698" s="318"/>
    </row>
    <row r="699" spans="2:30" s="323" customFormat="1" ht="12" customHeight="1">
      <c r="B699" s="324"/>
      <c r="C699" s="325"/>
      <c r="D699" s="326"/>
      <c r="E699" s="326"/>
      <c r="F699" s="326"/>
      <c r="G699" s="326"/>
      <c r="H699" s="326"/>
      <c r="P699" s="318"/>
      <c r="Q699" s="318"/>
      <c r="R699" s="318"/>
      <c r="S699" s="318"/>
      <c r="T699" s="318"/>
      <c r="U699" s="318"/>
      <c r="V699" s="318"/>
      <c r="W699" s="318"/>
      <c r="X699" s="318"/>
      <c r="Y699" s="318"/>
      <c r="Z699" s="318"/>
      <c r="AA699" s="318"/>
      <c r="AB699" s="318"/>
      <c r="AC699" s="318"/>
      <c r="AD699" s="318"/>
    </row>
    <row r="700" spans="2:30" s="323" customFormat="1" ht="12" customHeight="1">
      <c r="B700" s="324"/>
      <c r="C700" s="325"/>
      <c r="D700" s="326"/>
      <c r="E700" s="326"/>
      <c r="F700" s="326"/>
      <c r="G700" s="326"/>
      <c r="H700" s="326"/>
      <c r="P700" s="318"/>
      <c r="Q700" s="318"/>
      <c r="R700" s="318"/>
      <c r="S700" s="318"/>
      <c r="T700" s="318"/>
      <c r="U700" s="318"/>
      <c r="V700" s="318"/>
      <c r="W700" s="318"/>
      <c r="X700" s="318"/>
      <c r="Y700" s="318"/>
      <c r="Z700" s="318"/>
      <c r="AA700" s="318"/>
      <c r="AB700" s="318"/>
      <c r="AC700" s="318"/>
      <c r="AD700" s="318"/>
    </row>
    <row r="701" spans="2:30" s="323" customFormat="1" ht="12" customHeight="1">
      <c r="B701" s="324"/>
      <c r="C701" s="325"/>
      <c r="D701" s="326"/>
      <c r="E701" s="326"/>
      <c r="F701" s="326"/>
      <c r="G701" s="326"/>
      <c r="H701" s="326"/>
      <c r="P701" s="318"/>
      <c r="Q701" s="318"/>
      <c r="R701" s="318"/>
      <c r="S701" s="318"/>
      <c r="T701" s="318"/>
      <c r="U701" s="318"/>
      <c r="V701" s="318"/>
      <c r="W701" s="318"/>
      <c r="X701" s="318"/>
      <c r="Y701" s="318"/>
      <c r="Z701" s="318"/>
      <c r="AA701" s="318"/>
      <c r="AB701" s="318"/>
      <c r="AC701" s="318"/>
      <c r="AD701" s="318"/>
    </row>
    <row r="702" spans="2:30" s="323" customFormat="1" ht="12" customHeight="1">
      <c r="B702" s="324"/>
      <c r="C702" s="325"/>
      <c r="D702" s="326"/>
      <c r="E702" s="326"/>
      <c r="F702" s="326"/>
      <c r="G702" s="326"/>
      <c r="H702" s="326"/>
      <c r="P702" s="318"/>
      <c r="Q702" s="318"/>
      <c r="R702" s="318"/>
      <c r="S702" s="318"/>
      <c r="T702" s="318"/>
      <c r="U702" s="318"/>
      <c r="V702" s="318"/>
      <c r="W702" s="318"/>
      <c r="X702" s="318"/>
      <c r="Y702" s="318"/>
      <c r="Z702" s="318"/>
      <c r="AA702" s="318"/>
      <c r="AB702" s="318"/>
      <c r="AC702" s="318"/>
      <c r="AD702" s="318"/>
    </row>
    <row r="703" spans="2:30" s="323" customFormat="1" ht="12" customHeight="1">
      <c r="B703" s="324"/>
      <c r="C703" s="325"/>
      <c r="D703" s="326"/>
      <c r="E703" s="326"/>
      <c r="F703" s="326"/>
      <c r="G703" s="326"/>
      <c r="H703" s="326"/>
      <c r="P703" s="318"/>
      <c r="Q703" s="318"/>
      <c r="R703" s="318"/>
      <c r="S703" s="318"/>
      <c r="T703" s="318"/>
      <c r="U703" s="318"/>
      <c r="V703" s="318"/>
      <c r="W703" s="318"/>
      <c r="X703" s="318"/>
      <c r="Y703" s="318"/>
      <c r="Z703" s="318"/>
      <c r="AA703" s="318"/>
      <c r="AB703" s="318"/>
      <c r="AC703" s="318"/>
      <c r="AD703" s="318"/>
    </row>
    <row r="704" spans="2:30" s="323" customFormat="1" ht="12" customHeight="1">
      <c r="B704" s="324"/>
      <c r="C704" s="325"/>
      <c r="D704" s="326"/>
      <c r="E704" s="326"/>
      <c r="F704" s="326"/>
      <c r="G704" s="326"/>
      <c r="H704" s="326"/>
      <c r="P704" s="318"/>
      <c r="Q704" s="318"/>
      <c r="R704" s="318"/>
      <c r="S704" s="318"/>
      <c r="T704" s="318"/>
      <c r="U704" s="318"/>
      <c r="V704" s="318"/>
      <c r="W704" s="318"/>
      <c r="X704" s="318"/>
      <c r="Y704" s="318"/>
      <c r="Z704" s="318"/>
      <c r="AA704" s="318"/>
      <c r="AB704" s="318"/>
      <c r="AC704" s="318"/>
      <c r="AD704" s="318"/>
    </row>
    <row r="705" spans="2:30" s="323" customFormat="1" ht="12" customHeight="1">
      <c r="B705" s="324"/>
      <c r="C705" s="325"/>
      <c r="D705" s="326"/>
      <c r="E705" s="326"/>
      <c r="F705" s="326"/>
      <c r="G705" s="326"/>
      <c r="H705" s="326"/>
      <c r="P705" s="318"/>
      <c r="Q705" s="318"/>
      <c r="R705" s="318"/>
      <c r="S705" s="318"/>
      <c r="T705" s="318"/>
      <c r="U705" s="318"/>
      <c r="V705" s="318"/>
      <c r="W705" s="318"/>
      <c r="X705" s="318"/>
      <c r="Y705" s="318"/>
      <c r="Z705" s="318"/>
      <c r="AA705" s="318"/>
      <c r="AB705" s="318"/>
      <c r="AC705" s="318"/>
      <c r="AD705" s="318"/>
    </row>
    <row r="706" spans="2:30" s="323" customFormat="1" ht="12" customHeight="1">
      <c r="B706" s="324"/>
      <c r="C706" s="325"/>
      <c r="D706" s="326"/>
      <c r="E706" s="326"/>
      <c r="F706" s="326"/>
      <c r="G706" s="326"/>
      <c r="H706" s="326"/>
      <c r="P706" s="318"/>
      <c r="Q706" s="318"/>
      <c r="R706" s="318"/>
      <c r="S706" s="318"/>
      <c r="T706" s="318"/>
      <c r="U706" s="318"/>
      <c r="V706" s="318"/>
      <c r="W706" s="318"/>
      <c r="X706" s="318"/>
      <c r="Y706" s="318"/>
      <c r="Z706" s="318"/>
      <c r="AA706" s="318"/>
      <c r="AB706" s="318"/>
      <c r="AC706" s="318"/>
      <c r="AD706" s="318"/>
    </row>
    <row r="707" spans="2:30" s="323" customFormat="1" ht="12" customHeight="1">
      <c r="B707" s="324"/>
      <c r="C707" s="325"/>
      <c r="D707" s="326"/>
      <c r="E707" s="326"/>
      <c r="F707" s="326"/>
      <c r="G707" s="326"/>
      <c r="H707" s="326"/>
      <c r="P707" s="318"/>
      <c r="Q707" s="318"/>
      <c r="R707" s="318"/>
      <c r="S707" s="318"/>
      <c r="T707" s="318"/>
      <c r="U707" s="318"/>
      <c r="V707" s="318"/>
      <c r="W707" s="318"/>
      <c r="X707" s="318"/>
      <c r="Y707" s="318"/>
      <c r="Z707" s="318"/>
      <c r="AA707" s="318"/>
      <c r="AB707" s="318"/>
      <c r="AC707" s="318"/>
      <c r="AD707" s="318"/>
    </row>
    <row r="708" spans="2:30" s="323" customFormat="1" ht="12" customHeight="1">
      <c r="B708" s="324"/>
      <c r="C708" s="325"/>
      <c r="D708" s="326"/>
      <c r="E708" s="326"/>
      <c r="F708" s="326"/>
      <c r="G708" s="326"/>
      <c r="H708" s="326"/>
      <c r="P708" s="318"/>
      <c r="Q708" s="318"/>
      <c r="R708" s="318"/>
      <c r="S708" s="318"/>
      <c r="T708" s="318"/>
      <c r="U708" s="318"/>
      <c r="V708" s="318"/>
      <c r="W708" s="318"/>
      <c r="X708" s="318"/>
      <c r="Y708" s="318"/>
      <c r="Z708" s="318"/>
      <c r="AA708" s="318"/>
      <c r="AB708" s="318"/>
      <c r="AC708" s="318"/>
      <c r="AD708" s="318"/>
    </row>
    <row r="709" spans="2:30" s="323" customFormat="1" ht="12" customHeight="1">
      <c r="B709" s="324"/>
      <c r="C709" s="325"/>
      <c r="D709" s="326"/>
      <c r="E709" s="326"/>
      <c r="F709" s="326"/>
      <c r="G709" s="326"/>
      <c r="H709" s="326"/>
      <c r="P709" s="318"/>
      <c r="Q709" s="318"/>
      <c r="R709" s="318"/>
      <c r="S709" s="318"/>
      <c r="T709" s="318"/>
      <c r="U709" s="318"/>
      <c r="V709" s="318"/>
      <c r="W709" s="318"/>
      <c r="X709" s="318"/>
      <c r="Y709" s="318"/>
      <c r="Z709" s="318"/>
      <c r="AA709" s="318"/>
      <c r="AB709" s="318"/>
      <c r="AC709" s="318"/>
      <c r="AD709" s="318"/>
    </row>
    <row r="710" spans="2:30" s="323" customFormat="1" ht="12" customHeight="1">
      <c r="B710" s="324"/>
      <c r="C710" s="325"/>
      <c r="D710" s="326"/>
      <c r="E710" s="326"/>
      <c r="F710" s="326"/>
      <c r="G710" s="326"/>
      <c r="H710" s="326"/>
      <c r="P710" s="318"/>
      <c r="Q710" s="318"/>
      <c r="R710" s="318"/>
      <c r="S710" s="318"/>
      <c r="T710" s="318"/>
      <c r="U710" s="318"/>
      <c r="V710" s="318"/>
      <c r="W710" s="318"/>
      <c r="X710" s="318"/>
      <c r="Y710" s="318"/>
      <c r="Z710" s="318"/>
      <c r="AA710" s="318"/>
      <c r="AB710" s="318"/>
      <c r="AC710" s="318"/>
      <c r="AD710" s="318"/>
    </row>
    <row r="711" spans="2:30" s="323" customFormat="1" ht="12" customHeight="1">
      <c r="B711" s="324"/>
      <c r="C711" s="325"/>
      <c r="D711" s="326"/>
      <c r="E711" s="326"/>
      <c r="F711" s="326"/>
      <c r="G711" s="326"/>
      <c r="H711" s="326"/>
      <c r="P711" s="318"/>
      <c r="Q711" s="318"/>
      <c r="R711" s="318"/>
      <c r="S711" s="318"/>
      <c r="T711" s="318"/>
      <c r="U711" s="318"/>
      <c r="V711" s="318"/>
      <c r="W711" s="318"/>
      <c r="X711" s="318"/>
      <c r="Y711" s="318"/>
      <c r="Z711" s="318"/>
      <c r="AA711" s="318"/>
      <c r="AB711" s="318"/>
      <c r="AC711" s="318"/>
      <c r="AD711" s="318"/>
    </row>
    <row r="712" spans="2:30" s="323" customFormat="1" ht="12" customHeight="1">
      <c r="B712" s="324"/>
      <c r="C712" s="325"/>
      <c r="D712" s="326"/>
      <c r="E712" s="326"/>
      <c r="F712" s="326"/>
      <c r="G712" s="326"/>
      <c r="H712" s="326"/>
      <c r="P712" s="318"/>
      <c r="Q712" s="318"/>
      <c r="R712" s="318"/>
      <c r="S712" s="318"/>
      <c r="T712" s="318"/>
      <c r="U712" s="318"/>
      <c r="V712" s="318"/>
      <c r="W712" s="318"/>
      <c r="X712" s="318"/>
      <c r="Y712" s="318"/>
      <c r="Z712" s="318"/>
      <c r="AA712" s="318"/>
      <c r="AB712" s="318"/>
      <c r="AC712" s="318"/>
      <c r="AD712" s="318"/>
    </row>
    <row r="713" spans="2:30" s="323" customFormat="1" ht="12" customHeight="1">
      <c r="B713" s="324"/>
      <c r="C713" s="325"/>
      <c r="D713" s="326"/>
      <c r="E713" s="326"/>
      <c r="F713" s="326"/>
      <c r="G713" s="326"/>
      <c r="H713" s="326"/>
      <c r="P713" s="318"/>
      <c r="Q713" s="318"/>
      <c r="R713" s="318"/>
      <c r="S713" s="318"/>
      <c r="T713" s="318"/>
      <c r="U713" s="318"/>
      <c r="V713" s="318"/>
      <c r="W713" s="318"/>
      <c r="X713" s="318"/>
      <c r="Y713" s="318"/>
      <c r="Z713" s="318"/>
      <c r="AA713" s="318"/>
      <c r="AB713" s="318"/>
      <c r="AC713" s="318"/>
      <c r="AD713" s="318"/>
    </row>
    <row r="714" spans="2:30" s="323" customFormat="1" ht="12" customHeight="1">
      <c r="B714" s="324"/>
      <c r="C714" s="325"/>
      <c r="D714" s="326"/>
      <c r="E714" s="326"/>
      <c r="F714" s="326"/>
      <c r="G714" s="326"/>
      <c r="H714" s="326"/>
      <c r="P714" s="318"/>
      <c r="Q714" s="318"/>
      <c r="R714" s="318"/>
      <c r="S714" s="318"/>
      <c r="T714" s="318"/>
      <c r="U714" s="318"/>
      <c r="V714" s="318"/>
      <c r="W714" s="318"/>
      <c r="X714" s="318"/>
      <c r="Y714" s="318"/>
      <c r="Z714" s="318"/>
      <c r="AA714" s="318"/>
      <c r="AB714" s="318"/>
      <c r="AC714" s="318"/>
      <c r="AD714" s="318"/>
    </row>
    <row r="715" spans="2:30" s="323" customFormat="1" ht="12" customHeight="1">
      <c r="B715" s="324"/>
      <c r="C715" s="325"/>
      <c r="D715" s="326"/>
      <c r="E715" s="326"/>
      <c r="F715" s="326"/>
      <c r="G715" s="326"/>
      <c r="H715" s="326"/>
      <c r="P715" s="318"/>
      <c r="Q715" s="318"/>
      <c r="R715" s="318"/>
      <c r="S715" s="318"/>
      <c r="T715" s="318"/>
      <c r="U715" s="318"/>
      <c r="V715" s="318"/>
      <c r="W715" s="318"/>
      <c r="X715" s="318"/>
      <c r="Y715" s="318"/>
      <c r="Z715" s="318"/>
      <c r="AA715" s="318"/>
      <c r="AB715" s="318"/>
      <c r="AC715" s="318"/>
      <c r="AD715" s="318"/>
    </row>
    <row r="716" spans="2:30" s="323" customFormat="1" ht="12" customHeight="1">
      <c r="B716" s="324"/>
      <c r="C716" s="325"/>
      <c r="D716" s="326"/>
      <c r="E716" s="326"/>
      <c r="F716" s="326"/>
      <c r="G716" s="326"/>
      <c r="H716" s="326"/>
      <c r="P716" s="318"/>
      <c r="Q716" s="318"/>
      <c r="R716" s="318"/>
      <c r="S716" s="318"/>
      <c r="T716" s="318"/>
      <c r="U716" s="318"/>
      <c r="V716" s="318"/>
      <c r="W716" s="318"/>
      <c r="X716" s="318"/>
      <c r="Y716" s="318"/>
      <c r="Z716" s="318"/>
      <c r="AA716" s="318"/>
      <c r="AB716" s="318"/>
      <c r="AC716" s="318"/>
      <c r="AD716" s="318"/>
    </row>
    <row r="717" spans="2:30" s="323" customFormat="1" ht="12" customHeight="1">
      <c r="B717" s="324"/>
      <c r="C717" s="325"/>
      <c r="D717" s="326"/>
      <c r="E717" s="326"/>
      <c r="F717" s="326"/>
      <c r="G717" s="326"/>
      <c r="H717" s="326"/>
      <c r="P717" s="318"/>
      <c r="Q717" s="318"/>
      <c r="R717" s="318"/>
      <c r="S717" s="318"/>
      <c r="T717" s="318"/>
      <c r="U717" s="318"/>
      <c r="V717" s="318"/>
      <c r="W717" s="318"/>
      <c r="X717" s="318"/>
      <c r="Y717" s="318"/>
      <c r="Z717" s="318"/>
      <c r="AA717" s="318"/>
      <c r="AB717" s="318"/>
      <c r="AC717" s="318"/>
      <c r="AD717" s="318"/>
    </row>
    <row r="718" spans="2:30" s="323" customFormat="1" ht="12" customHeight="1">
      <c r="B718" s="324"/>
      <c r="C718" s="325"/>
      <c r="D718" s="326"/>
      <c r="E718" s="326"/>
      <c r="F718" s="326"/>
      <c r="G718" s="326"/>
      <c r="H718" s="326"/>
      <c r="P718" s="318"/>
      <c r="Q718" s="318"/>
      <c r="R718" s="318"/>
      <c r="S718" s="318"/>
      <c r="T718" s="318"/>
      <c r="U718" s="318"/>
      <c r="V718" s="318"/>
      <c r="W718" s="318"/>
      <c r="X718" s="318"/>
      <c r="Y718" s="318"/>
      <c r="Z718" s="318"/>
      <c r="AA718" s="318"/>
      <c r="AB718" s="318"/>
      <c r="AC718" s="318"/>
      <c r="AD718" s="318"/>
    </row>
    <row r="719" spans="2:30" s="323" customFormat="1" ht="12" customHeight="1">
      <c r="B719" s="324"/>
      <c r="C719" s="325"/>
      <c r="D719" s="326"/>
      <c r="E719" s="326"/>
      <c r="F719" s="326"/>
      <c r="G719" s="326"/>
      <c r="H719" s="326"/>
      <c r="P719" s="318"/>
      <c r="Q719" s="318"/>
      <c r="R719" s="318"/>
      <c r="S719" s="318"/>
      <c r="T719" s="318"/>
      <c r="U719" s="318"/>
      <c r="V719" s="318"/>
      <c r="W719" s="318"/>
      <c r="X719" s="318"/>
      <c r="Y719" s="318"/>
      <c r="Z719" s="318"/>
      <c r="AA719" s="318"/>
      <c r="AB719" s="318"/>
      <c r="AC719" s="318"/>
      <c r="AD719" s="318"/>
    </row>
    <row r="720" spans="2:30" s="323" customFormat="1" ht="12" customHeight="1">
      <c r="B720" s="324"/>
      <c r="C720" s="325"/>
      <c r="D720" s="326"/>
      <c r="E720" s="326"/>
      <c r="F720" s="326"/>
      <c r="G720" s="326"/>
      <c r="H720" s="326"/>
      <c r="P720" s="318"/>
      <c r="Q720" s="318"/>
      <c r="R720" s="318"/>
      <c r="S720" s="318"/>
      <c r="T720" s="318"/>
      <c r="U720" s="318"/>
      <c r="V720" s="318"/>
      <c r="W720" s="318"/>
      <c r="X720" s="318"/>
      <c r="Y720" s="318"/>
      <c r="Z720" s="318"/>
      <c r="AA720" s="318"/>
      <c r="AB720" s="318"/>
      <c r="AC720" s="318"/>
      <c r="AD720" s="318"/>
    </row>
    <row r="721" spans="2:30" s="323" customFormat="1" ht="12" customHeight="1">
      <c r="B721" s="324"/>
      <c r="C721" s="325"/>
      <c r="D721" s="326"/>
      <c r="E721" s="326"/>
      <c r="F721" s="326"/>
      <c r="G721" s="326"/>
      <c r="H721" s="326"/>
      <c r="P721" s="318"/>
      <c r="Q721" s="318"/>
      <c r="R721" s="318"/>
      <c r="S721" s="318"/>
      <c r="T721" s="318"/>
      <c r="U721" s="318"/>
      <c r="V721" s="318"/>
      <c r="W721" s="318"/>
      <c r="X721" s="318"/>
      <c r="Y721" s="318"/>
      <c r="Z721" s="318"/>
      <c r="AA721" s="318"/>
      <c r="AB721" s="318"/>
      <c r="AC721" s="318"/>
      <c r="AD721" s="318"/>
    </row>
    <row r="722" spans="2:30" s="323" customFormat="1" ht="12" customHeight="1">
      <c r="B722" s="324"/>
      <c r="C722" s="325"/>
      <c r="D722" s="326"/>
      <c r="E722" s="326"/>
      <c r="F722" s="326"/>
      <c r="G722" s="326"/>
      <c r="H722" s="326"/>
      <c r="P722" s="318"/>
      <c r="Q722" s="318"/>
      <c r="R722" s="318"/>
      <c r="S722" s="318"/>
      <c r="T722" s="318"/>
      <c r="U722" s="318"/>
      <c r="V722" s="318"/>
      <c r="W722" s="318"/>
      <c r="X722" s="318"/>
      <c r="Y722" s="318"/>
      <c r="Z722" s="318"/>
      <c r="AA722" s="318"/>
      <c r="AB722" s="318"/>
      <c r="AC722" s="318"/>
      <c r="AD722" s="318"/>
    </row>
    <row r="723" spans="2:30" s="323" customFormat="1" ht="12" customHeight="1">
      <c r="B723" s="324"/>
      <c r="C723" s="325"/>
      <c r="D723" s="326"/>
      <c r="E723" s="326"/>
      <c r="F723" s="326"/>
      <c r="G723" s="326"/>
      <c r="H723" s="326"/>
      <c r="P723" s="318"/>
      <c r="Q723" s="318"/>
      <c r="R723" s="318"/>
      <c r="S723" s="318"/>
      <c r="T723" s="318"/>
      <c r="U723" s="318"/>
      <c r="V723" s="318"/>
      <c r="W723" s="318"/>
      <c r="X723" s="318"/>
      <c r="Y723" s="318"/>
      <c r="Z723" s="318"/>
      <c r="AA723" s="318"/>
      <c r="AB723" s="318"/>
      <c r="AC723" s="318"/>
      <c r="AD723" s="318"/>
    </row>
    <row r="724" spans="2:30" s="323" customFormat="1" ht="12" customHeight="1">
      <c r="B724" s="324"/>
      <c r="C724" s="325"/>
      <c r="D724" s="326"/>
      <c r="E724" s="326"/>
      <c r="F724" s="326"/>
      <c r="G724" s="326"/>
      <c r="H724" s="326"/>
      <c r="P724" s="318"/>
      <c r="Q724" s="318"/>
      <c r="R724" s="318"/>
      <c r="S724" s="318"/>
      <c r="T724" s="318"/>
      <c r="U724" s="318"/>
      <c r="V724" s="318"/>
      <c r="W724" s="318"/>
      <c r="X724" s="318"/>
      <c r="Y724" s="318"/>
      <c r="Z724" s="318"/>
      <c r="AA724" s="318"/>
      <c r="AB724" s="318"/>
      <c r="AC724" s="318"/>
      <c r="AD724" s="318"/>
    </row>
    <row r="725" spans="2:30" s="323" customFormat="1" ht="12" customHeight="1">
      <c r="B725" s="324"/>
      <c r="C725" s="325"/>
      <c r="D725" s="326"/>
      <c r="E725" s="326"/>
      <c r="F725" s="326"/>
      <c r="G725" s="326"/>
      <c r="H725" s="326"/>
      <c r="P725" s="318"/>
      <c r="Q725" s="318"/>
      <c r="R725" s="318"/>
      <c r="S725" s="318"/>
      <c r="T725" s="318"/>
      <c r="U725" s="318"/>
      <c r="V725" s="318"/>
      <c r="W725" s="318"/>
      <c r="X725" s="318"/>
      <c r="Y725" s="318"/>
      <c r="Z725" s="318"/>
      <c r="AA725" s="318"/>
      <c r="AB725" s="318"/>
      <c r="AC725" s="318"/>
      <c r="AD725" s="318"/>
    </row>
    <row r="726" spans="2:30" s="323" customFormat="1" ht="12" customHeight="1">
      <c r="B726" s="324"/>
      <c r="C726" s="325"/>
      <c r="D726" s="326"/>
      <c r="E726" s="326"/>
      <c r="F726" s="326"/>
      <c r="G726" s="326"/>
      <c r="H726" s="326"/>
      <c r="P726" s="318"/>
      <c r="Q726" s="318"/>
      <c r="R726" s="318"/>
      <c r="S726" s="318"/>
      <c r="T726" s="318"/>
      <c r="U726" s="318"/>
      <c r="V726" s="318"/>
      <c r="W726" s="318"/>
      <c r="X726" s="318"/>
      <c r="Y726" s="318"/>
      <c r="Z726" s="318"/>
      <c r="AA726" s="318"/>
      <c r="AB726" s="318"/>
      <c r="AC726" s="318"/>
      <c r="AD726" s="318"/>
    </row>
    <row r="727" spans="2:30" s="323" customFormat="1" ht="12" customHeight="1">
      <c r="B727" s="324"/>
      <c r="C727" s="325"/>
      <c r="D727" s="326"/>
      <c r="E727" s="326"/>
      <c r="F727" s="326"/>
      <c r="G727" s="326"/>
      <c r="H727" s="326"/>
      <c r="P727" s="318"/>
      <c r="Q727" s="318"/>
      <c r="R727" s="318"/>
      <c r="S727" s="318"/>
      <c r="T727" s="318"/>
      <c r="U727" s="318"/>
      <c r="V727" s="318"/>
      <c r="W727" s="318"/>
      <c r="X727" s="318"/>
      <c r="Y727" s="318"/>
      <c r="Z727" s="318"/>
      <c r="AA727" s="318"/>
      <c r="AB727" s="318"/>
      <c r="AC727" s="318"/>
      <c r="AD727" s="318"/>
    </row>
    <row r="728" spans="2:30" s="323" customFormat="1" ht="12" customHeight="1">
      <c r="B728" s="324"/>
      <c r="C728" s="325"/>
      <c r="D728" s="326"/>
      <c r="E728" s="326"/>
      <c r="F728" s="326"/>
      <c r="G728" s="326"/>
      <c r="H728" s="326"/>
      <c r="P728" s="318"/>
      <c r="Q728" s="318"/>
      <c r="R728" s="318"/>
      <c r="S728" s="318"/>
      <c r="T728" s="318"/>
      <c r="U728" s="318"/>
      <c r="V728" s="318"/>
      <c r="W728" s="318"/>
      <c r="X728" s="318"/>
      <c r="Y728" s="318"/>
      <c r="Z728" s="318"/>
      <c r="AA728" s="318"/>
      <c r="AB728" s="318"/>
      <c r="AC728" s="318"/>
      <c r="AD728" s="318"/>
    </row>
    <row r="729" spans="2:30" s="323" customFormat="1" ht="12" customHeight="1">
      <c r="B729" s="324"/>
      <c r="C729" s="325"/>
      <c r="D729" s="326"/>
      <c r="E729" s="326"/>
      <c r="F729" s="326"/>
      <c r="G729" s="326"/>
      <c r="H729" s="326"/>
      <c r="P729" s="318"/>
      <c r="Q729" s="318"/>
      <c r="R729" s="318"/>
      <c r="S729" s="318"/>
      <c r="T729" s="318"/>
      <c r="U729" s="318"/>
      <c r="V729" s="318"/>
      <c r="W729" s="318"/>
      <c r="X729" s="318"/>
      <c r="Y729" s="318"/>
      <c r="Z729" s="318"/>
      <c r="AA729" s="318"/>
      <c r="AB729" s="318"/>
      <c r="AC729" s="318"/>
      <c r="AD729" s="318"/>
    </row>
    <row r="730" spans="2:30" s="323" customFormat="1" ht="12" customHeight="1">
      <c r="B730" s="324"/>
      <c r="C730" s="325"/>
      <c r="D730" s="326"/>
      <c r="E730" s="326"/>
      <c r="F730" s="326"/>
      <c r="G730" s="326"/>
      <c r="H730" s="326"/>
      <c r="P730" s="318"/>
      <c r="Q730" s="318"/>
      <c r="R730" s="318"/>
      <c r="S730" s="318"/>
      <c r="T730" s="318"/>
      <c r="U730" s="318"/>
      <c r="V730" s="318"/>
      <c r="W730" s="318"/>
      <c r="X730" s="318"/>
      <c r="Y730" s="318"/>
      <c r="Z730" s="318"/>
      <c r="AA730" s="318"/>
      <c r="AB730" s="318"/>
      <c r="AC730" s="318"/>
      <c r="AD730" s="318"/>
    </row>
    <row r="731" spans="2:30" s="323" customFormat="1" ht="12" customHeight="1">
      <c r="B731" s="324"/>
      <c r="C731" s="325"/>
      <c r="D731" s="326"/>
      <c r="E731" s="326"/>
      <c r="F731" s="326"/>
      <c r="G731" s="326"/>
      <c r="H731" s="326"/>
      <c r="P731" s="318"/>
      <c r="Q731" s="318"/>
      <c r="R731" s="318"/>
      <c r="S731" s="318"/>
      <c r="T731" s="318"/>
      <c r="U731" s="318"/>
      <c r="V731" s="318"/>
      <c r="W731" s="318"/>
      <c r="X731" s="318"/>
      <c r="Y731" s="318"/>
      <c r="Z731" s="318"/>
      <c r="AA731" s="318"/>
      <c r="AB731" s="318"/>
      <c r="AC731" s="318"/>
      <c r="AD731" s="318"/>
    </row>
    <row r="732" spans="2:30" s="323" customFormat="1" ht="12" customHeight="1">
      <c r="B732" s="324"/>
      <c r="C732" s="325"/>
      <c r="D732" s="326"/>
      <c r="E732" s="326"/>
      <c r="F732" s="326"/>
      <c r="G732" s="326"/>
      <c r="H732" s="326"/>
      <c r="P732" s="318"/>
      <c r="Q732" s="318"/>
      <c r="R732" s="318"/>
      <c r="S732" s="318"/>
      <c r="T732" s="318"/>
      <c r="U732" s="318"/>
      <c r="V732" s="318"/>
      <c r="W732" s="318"/>
      <c r="X732" s="318"/>
      <c r="Y732" s="318"/>
      <c r="Z732" s="318"/>
      <c r="AA732" s="318"/>
      <c r="AB732" s="318"/>
      <c r="AC732" s="318"/>
      <c r="AD732" s="318"/>
    </row>
    <row r="733" spans="2:30" s="323" customFormat="1" ht="12" customHeight="1">
      <c r="B733" s="324"/>
      <c r="C733" s="325"/>
      <c r="D733" s="326"/>
      <c r="E733" s="326"/>
      <c r="F733" s="326"/>
      <c r="G733" s="326"/>
      <c r="H733" s="326"/>
      <c r="P733" s="318"/>
      <c r="Q733" s="318"/>
      <c r="R733" s="318"/>
      <c r="S733" s="318"/>
      <c r="T733" s="318"/>
      <c r="U733" s="318"/>
      <c r="V733" s="318"/>
      <c r="W733" s="318"/>
      <c r="X733" s="318"/>
      <c r="Y733" s="318"/>
      <c r="Z733" s="318"/>
      <c r="AA733" s="318"/>
      <c r="AB733" s="318"/>
      <c r="AC733" s="318"/>
      <c r="AD733" s="318"/>
    </row>
    <row r="734" spans="2:30" s="323" customFormat="1" ht="12" customHeight="1">
      <c r="B734" s="324"/>
      <c r="C734" s="325"/>
      <c r="D734" s="326"/>
      <c r="E734" s="326"/>
      <c r="F734" s="326"/>
      <c r="G734" s="326"/>
      <c r="H734" s="326"/>
      <c r="P734" s="318"/>
      <c r="Q734" s="318"/>
      <c r="R734" s="318"/>
      <c r="S734" s="318"/>
      <c r="T734" s="318"/>
      <c r="U734" s="318"/>
      <c r="V734" s="318"/>
      <c r="W734" s="318"/>
      <c r="X734" s="318"/>
      <c r="Y734" s="318"/>
      <c r="Z734" s="318"/>
      <c r="AA734" s="318"/>
      <c r="AB734" s="318"/>
      <c r="AC734" s="318"/>
      <c r="AD734" s="318"/>
    </row>
    <row r="735" spans="2:30" s="323" customFormat="1" ht="12" customHeight="1">
      <c r="B735" s="324"/>
      <c r="C735" s="325"/>
      <c r="D735" s="326"/>
      <c r="E735" s="326"/>
      <c r="F735" s="326"/>
      <c r="G735" s="326"/>
      <c r="H735" s="326"/>
      <c r="P735" s="318"/>
      <c r="Q735" s="318"/>
      <c r="R735" s="318"/>
      <c r="S735" s="318"/>
      <c r="T735" s="318"/>
      <c r="U735" s="318"/>
      <c r="V735" s="318"/>
      <c r="W735" s="318"/>
      <c r="X735" s="318"/>
      <c r="Y735" s="318"/>
      <c r="Z735" s="318"/>
      <c r="AA735" s="318"/>
      <c r="AB735" s="318"/>
      <c r="AC735" s="318"/>
      <c r="AD735" s="318"/>
    </row>
    <row r="736" spans="2:30" s="323" customFormat="1" ht="12" customHeight="1">
      <c r="B736" s="324"/>
      <c r="C736" s="325"/>
      <c r="D736" s="326"/>
      <c r="E736" s="326"/>
      <c r="F736" s="326"/>
      <c r="G736" s="326"/>
      <c r="H736" s="326"/>
      <c r="P736" s="318"/>
      <c r="Q736" s="318"/>
      <c r="R736" s="318"/>
      <c r="S736" s="318"/>
      <c r="T736" s="318"/>
      <c r="U736" s="318"/>
      <c r="V736" s="318"/>
      <c r="W736" s="318"/>
      <c r="X736" s="318"/>
      <c r="Y736" s="318"/>
      <c r="Z736" s="318"/>
      <c r="AA736" s="318"/>
      <c r="AB736" s="318"/>
      <c r="AC736" s="318"/>
      <c r="AD736" s="318"/>
    </row>
    <row r="737" spans="2:30" s="323" customFormat="1" ht="12" customHeight="1">
      <c r="B737" s="324"/>
      <c r="C737" s="325"/>
      <c r="D737" s="326"/>
      <c r="E737" s="326"/>
      <c r="F737" s="326"/>
      <c r="G737" s="326"/>
      <c r="H737" s="326"/>
      <c r="P737" s="318"/>
      <c r="Q737" s="318"/>
      <c r="R737" s="318"/>
      <c r="S737" s="318"/>
      <c r="T737" s="318"/>
      <c r="U737" s="318"/>
      <c r="V737" s="318"/>
      <c r="W737" s="318"/>
      <c r="X737" s="318"/>
      <c r="Y737" s="318"/>
      <c r="Z737" s="318"/>
      <c r="AA737" s="318"/>
      <c r="AB737" s="318"/>
      <c r="AC737" s="318"/>
      <c r="AD737" s="318"/>
    </row>
    <row r="738" spans="2:30" s="323" customFormat="1" ht="12" customHeight="1">
      <c r="B738" s="324"/>
      <c r="C738" s="325"/>
      <c r="D738" s="326"/>
      <c r="E738" s="326"/>
      <c r="F738" s="326"/>
      <c r="G738" s="326"/>
      <c r="H738" s="326"/>
      <c r="P738" s="318"/>
      <c r="Q738" s="318"/>
      <c r="R738" s="318"/>
      <c r="S738" s="318"/>
      <c r="T738" s="318"/>
      <c r="U738" s="318"/>
      <c r="V738" s="318"/>
      <c r="W738" s="318"/>
      <c r="X738" s="318"/>
      <c r="Y738" s="318"/>
      <c r="Z738" s="318"/>
      <c r="AA738" s="318"/>
      <c r="AB738" s="318"/>
      <c r="AC738" s="318"/>
      <c r="AD738" s="318"/>
    </row>
    <row r="739" spans="2:30" s="323" customFormat="1" ht="12" customHeight="1">
      <c r="B739" s="324"/>
      <c r="C739" s="325"/>
      <c r="D739" s="326"/>
      <c r="E739" s="326"/>
      <c r="F739" s="326"/>
      <c r="G739" s="326"/>
      <c r="H739" s="326"/>
      <c r="P739" s="318"/>
      <c r="Q739" s="318"/>
      <c r="R739" s="318"/>
      <c r="S739" s="318"/>
      <c r="T739" s="318"/>
      <c r="U739" s="318"/>
      <c r="V739" s="318"/>
      <c r="W739" s="318"/>
      <c r="X739" s="318"/>
      <c r="Y739" s="318"/>
      <c r="Z739" s="318"/>
      <c r="AA739" s="318"/>
      <c r="AB739" s="318"/>
      <c r="AC739" s="318"/>
      <c r="AD739" s="318"/>
    </row>
    <row r="740" spans="2:30" s="323" customFormat="1" ht="12" customHeight="1">
      <c r="B740" s="324"/>
      <c r="C740" s="325"/>
      <c r="D740" s="326"/>
      <c r="E740" s="326"/>
      <c r="F740" s="326"/>
      <c r="G740" s="326"/>
      <c r="H740" s="326"/>
      <c r="P740" s="318"/>
      <c r="Q740" s="318"/>
      <c r="R740" s="318"/>
      <c r="S740" s="318"/>
      <c r="T740" s="318"/>
      <c r="U740" s="318"/>
      <c r="V740" s="318"/>
      <c r="W740" s="318"/>
      <c r="X740" s="318"/>
      <c r="Y740" s="318"/>
      <c r="Z740" s="318"/>
      <c r="AA740" s="318"/>
      <c r="AB740" s="318"/>
      <c r="AC740" s="318"/>
      <c r="AD740" s="318"/>
    </row>
    <row r="741" spans="2:30" s="323" customFormat="1" ht="12" customHeight="1">
      <c r="B741" s="324"/>
      <c r="C741" s="325"/>
      <c r="D741" s="326"/>
      <c r="E741" s="326"/>
      <c r="F741" s="326"/>
      <c r="G741" s="326"/>
      <c r="H741" s="326"/>
      <c r="P741" s="318"/>
      <c r="Q741" s="318"/>
      <c r="R741" s="318"/>
      <c r="S741" s="318"/>
      <c r="T741" s="318"/>
      <c r="U741" s="318"/>
      <c r="V741" s="318"/>
      <c r="W741" s="318"/>
      <c r="X741" s="318"/>
      <c r="Y741" s="318"/>
      <c r="Z741" s="318"/>
      <c r="AA741" s="318"/>
      <c r="AB741" s="318"/>
      <c r="AC741" s="318"/>
      <c r="AD741" s="318"/>
    </row>
    <row r="742" spans="2:30" s="323" customFormat="1" ht="12" customHeight="1">
      <c r="B742" s="324"/>
      <c r="C742" s="325"/>
      <c r="D742" s="326"/>
      <c r="E742" s="326"/>
      <c r="F742" s="326"/>
      <c r="G742" s="326"/>
      <c r="H742" s="326"/>
      <c r="P742" s="318"/>
      <c r="Q742" s="318"/>
      <c r="R742" s="318"/>
      <c r="S742" s="318"/>
      <c r="T742" s="318"/>
      <c r="U742" s="318"/>
      <c r="V742" s="318"/>
      <c r="W742" s="318"/>
      <c r="X742" s="318"/>
      <c r="Y742" s="318"/>
      <c r="Z742" s="318"/>
      <c r="AA742" s="318"/>
      <c r="AB742" s="318"/>
      <c r="AC742" s="318"/>
      <c r="AD742" s="318"/>
    </row>
    <row r="743" spans="2:30" s="323" customFormat="1" ht="12" customHeight="1">
      <c r="B743" s="324"/>
      <c r="C743" s="325"/>
      <c r="D743" s="326"/>
      <c r="E743" s="326"/>
      <c r="F743" s="326"/>
      <c r="G743" s="326"/>
      <c r="H743" s="326"/>
      <c r="P743" s="318"/>
      <c r="Q743" s="318"/>
      <c r="R743" s="318"/>
      <c r="S743" s="318"/>
      <c r="T743" s="318"/>
      <c r="U743" s="318"/>
      <c r="V743" s="318"/>
      <c r="W743" s="318"/>
      <c r="X743" s="318"/>
      <c r="Y743" s="318"/>
      <c r="Z743" s="318"/>
      <c r="AA743" s="318"/>
      <c r="AB743" s="318"/>
      <c r="AC743" s="318"/>
      <c r="AD743" s="318"/>
    </row>
    <row r="744" spans="2:30" s="323" customFormat="1" ht="12" customHeight="1">
      <c r="B744" s="324"/>
      <c r="C744" s="325"/>
      <c r="D744" s="326"/>
      <c r="E744" s="326"/>
      <c r="F744" s="326"/>
      <c r="G744" s="326"/>
      <c r="H744" s="326"/>
      <c r="P744" s="318"/>
      <c r="Q744" s="318"/>
      <c r="R744" s="318"/>
      <c r="S744" s="318"/>
      <c r="T744" s="318"/>
      <c r="U744" s="318"/>
      <c r="V744" s="318"/>
      <c r="W744" s="318"/>
      <c r="X744" s="318"/>
      <c r="Y744" s="318"/>
      <c r="Z744" s="318"/>
      <c r="AA744" s="318"/>
      <c r="AB744" s="318"/>
      <c r="AC744" s="318"/>
      <c r="AD744" s="318"/>
    </row>
    <row r="745" spans="2:30" s="323" customFormat="1" ht="12" customHeight="1">
      <c r="B745" s="324"/>
      <c r="C745" s="325"/>
      <c r="D745" s="326"/>
      <c r="E745" s="326"/>
      <c r="F745" s="326"/>
      <c r="G745" s="326"/>
      <c r="H745" s="326"/>
      <c r="P745" s="318"/>
      <c r="Q745" s="318"/>
      <c r="R745" s="318"/>
      <c r="S745" s="318"/>
      <c r="T745" s="318"/>
      <c r="U745" s="318"/>
      <c r="V745" s="318"/>
      <c r="W745" s="318"/>
      <c r="X745" s="318"/>
      <c r="Y745" s="318"/>
      <c r="Z745" s="318"/>
      <c r="AA745" s="318"/>
      <c r="AB745" s="318"/>
      <c r="AC745" s="318"/>
      <c r="AD745" s="318"/>
    </row>
    <row r="746" spans="2:30" s="323" customFormat="1" ht="12" customHeight="1">
      <c r="B746" s="324"/>
      <c r="C746" s="325"/>
      <c r="D746" s="326"/>
      <c r="E746" s="326"/>
      <c r="F746" s="326"/>
      <c r="G746" s="326"/>
      <c r="H746" s="326"/>
      <c r="P746" s="318"/>
      <c r="Q746" s="318"/>
      <c r="R746" s="318"/>
      <c r="S746" s="318"/>
      <c r="T746" s="318"/>
      <c r="U746" s="318"/>
      <c r="V746" s="318"/>
      <c r="W746" s="318"/>
      <c r="X746" s="318"/>
      <c r="Y746" s="318"/>
      <c r="Z746" s="318"/>
      <c r="AA746" s="318"/>
      <c r="AB746" s="318"/>
      <c r="AC746" s="318"/>
      <c r="AD746" s="318"/>
    </row>
    <row r="747" spans="2:30" s="323" customFormat="1" ht="12" customHeight="1">
      <c r="B747" s="324"/>
      <c r="C747" s="325"/>
      <c r="D747" s="326"/>
      <c r="E747" s="326"/>
      <c r="F747" s="326"/>
      <c r="G747" s="326"/>
      <c r="H747" s="326"/>
      <c r="P747" s="318"/>
      <c r="Q747" s="318"/>
      <c r="R747" s="318"/>
      <c r="S747" s="318"/>
      <c r="T747" s="318"/>
      <c r="U747" s="318"/>
      <c r="V747" s="318"/>
      <c r="W747" s="318"/>
      <c r="X747" s="318"/>
      <c r="Y747" s="318"/>
      <c r="Z747" s="318"/>
      <c r="AA747" s="318"/>
      <c r="AB747" s="318"/>
      <c r="AC747" s="318"/>
      <c r="AD747" s="318"/>
    </row>
    <row r="748" spans="2:30" s="323" customFormat="1" ht="12" customHeight="1">
      <c r="B748" s="324"/>
      <c r="C748" s="325"/>
      <c r="D748" s="326"/>
      <c r="E748" s="326"/>
      <c r="F748" s="326"/>
      <c r="G748" s="326"/>
      <c r="H748" s="326"/>
      <c r="P748" s="318"/>
      <c r="Q748" s="318"/>
      <c r="R748" s="318"/>
      <c r="S748" s="318"/>
      <c r="T748" s="318"/>
      <c r="U748" s="318"/>
      <c r="V748" s="318"/>
      <c r="W748" s="318"/>
      <c r="X748" s="318"/>
      <c r="Y748" s="318"/>
      <c r="Z748" s="318"/>
      <c r="AA748" s="318"/>
      <c r="AB748" s="318"/>
      <c r="AC748" s="318"/>
      <c r="AD748" s="318"/>
    </row>
    <row r="749" spans="2:30" s="323" customFormat="1" ht="12" customHeight="1">
      <c r="B749" s="324"/>
      <c r="C749" s="325"/>
      <c r="D749" s="326"/>
      <c r="E749" s="326"/>
      <c r="F749" s="326"/>
      <c r="G749" s="326"/>
      <c r="H749" s="326"/>
      <c r="P749" s="318"/>
      <c r="Q749" s="318"/>
      <c r="R749" s="318"/>
      <c r="S749" s="318"/>
      <c r="T749" s="318"/>
      <c r="U749" s="318"/>
      <c r="V749" s="318"/>
      <c r="W749" s="318"/>
      <c r="X749" s="318"/>
      <c r="Y749" s="318"/>
      <c r="Z749" s="318"/>
      <c r="AA749" s="318"/>
      <c r="AB749" s="318"/>
      <c r="AC749" s="318"/>
      <c r="AD749" s="318"/>
    </row>
    <row r="750" spans="2:30" s="323" customFormat="1" ht="12" customHeight="1">
      <c r="B750" s="324"/>
      <c r="C750" s="325"/>
      <c r="D750" s="326"/>
      <c r="E750" s="326"/>
      <c r="F750" s="326"/>
      <c r="G750" s="326"/>
      <c r="H750" s="326"/>
      <c r="P750" s="318"/>
      <c r="Q750" s="318"/>
      <c r="R750" s="318"/>
      <c r="S750" s="318"/>
      <c r="T750" s="318"/>
      <c r="U750" s="318"/>
      <c r="V750" s="318"/>
      <c r="W750" s="318"/>
      <c r="X750" s="318"/>
      <c r="Y750" s="318"/>
      <c r="Z750" s="318"/>
      <c r="AA750" s="318"/>
      <c r="AB750" s="318"/>
      <c r="AC750" s="318"/>
      <c r="AD750" s="318"/>
    </row>
    <row r="751" spans="2:30" s="323" customFormat="1" ht="12" customHeight="1">
      <c r="B751" s="324"/>
      <c r="C751" s="325"/>
      <c r="D751" s="326"/>
      <c r="E751" s="326"/>
      <c r="F751" s="326"/>
      <c r="G751" s="326"/>
      <c r="H751" s="326"/>
      <c r="P751" s="318"/>
      <c r="Q751" s="318"/>
      <c r="R751" s="318"/>
      <c r="S751" s="318"/>
      <c r="T751" s="318"/>
      <c r="U751" s="318"/>
      <c r="V751" s="318"/>
      <c r="W751" s="318"/>
      <c r="X751" s="318"/>
      <c r="Y751" s="318"/>
      <c r="Z751" s="318"/>
      <c r="AA751" s="318"/>
      <c r="AB751" s="318"/>
      <c r="AC751" s="318"/>
      <c r="AD751" s="318"/>
    </row>
    <row r="752" spans="2:30" s="323" customFormat="1" ht="12" customHeight="1">
      <c r="B752" s="324"/>
      <c r="C752" s="325"/>
      <c r="D752" s="326"/>
      <c r="E752" s="326"/>
      <c r="F752" s="326"/>
      <c r="G752" s="326"/>
      <c r="H752" s="326"/>
      <c r="P752" s="318"/>
      <c r="Q752" s="318"/>
      <c r="R752" s="318"/>
      <c r="S752" s="318"/>
      <c r="T752" s="318"/>
      <c r="U752" s="318"/>
      <c r="V752" s="318"/>
      <c r="W752" s="318"/>
      <c r="X752" s="318"/>
      <c r="Y752" s="318"/>
      <c r="Z752" s="318"/>
      <c r="AA752" s="318"/>
      <c r="AB752" s="318"/>
      <c r="AC752" s="318"/>
      <c r="AD752" s="318"/>
    </row>
    <row r="753" spans="2:30" s="323" customFormat="1" ht="12" customHeight="1">
      <c r="B753" s="324"/>
      <c r="C753" s="325"/>
      <c r="D753" s="326"/>
      <c r="E753" s="326"/>
      <c r="F753" s="326"/>
      <c r="G753" s="326"/>
      <c r="H753" s="326"/>
      <c r="P753" s="318"/>
      <c r="Q753" s="318"/>
      <c r="R753" s="318"/>
      <c r="S753" s="318"/>
      <c r="T753" s="318"/>
      <c r="U753" s="318"/>
      <c r="V753" s="318"/>
      <c r="W753" s="318"/>
      <c r="X753" s="318"/>
      <c r="Y753" s="318"/>
      <c r="Z753" s="318"/>
      <c r="AA753" s="318"/>
      <c r="AB753" s="318"/>
      <c r="AC753" s="318"/>
      <c r="AD753" s="318"/>
    </row>
    <row r="754" spans="2:30" s="323" customFormat="1" ht="12" customHeight="1">
      <c r="B754" s="324"/>
      <c r="C754" s="325"/>
      <c r="D754" s="326"/>
      <c r="E754" s="326"/>
      <c r="F754" s="326"/>
      <c r="G754" s="326"/>
      <c r="H754" s="326"/>
      <c r="P754" s="318"/>
      <c r="Q754" s="318"/>
      <c r="R754" s="318"/>
      <c r="S754" s="318"/>
      <c r="T754" s="318"/>
      <c r="U754" s="318"/>
      <c r="V754" s="318"/>
      <c r="W754" s="318"/>
      <c r="X754" s="318"/>
      <c r="Y754" s="318"/>
      <c r="Z754" s="318"/>
      <c r="AA754" s="318"/>
      <c r="AB754" s="318"/>
      <c r="AC754" s="318"/>
      <c r="AD754" s="318"/>
    </row>
    <row r="755" spans="2:30" s="323" customFormat="1" ht="12" customHeight="1">
      <c r="B755" s="324"/>
      <c r="C755" s="325"/>
      <c r="D755" s="326"/>
      <c r="E755" s="326"/>
      <c r="F755" s="326"/>
      <c r="G755" s="326"/>
      <c r="H755" s="326"/>
      <c r="P755" s="318"/>
      <c r="Q755" s="318"/>
      <c r="R755" s="318"/>
      <c r="S755" s="318"/>
      <c r="T755" s="318"/>
      <c r="U755" s="318"/>
      <c r="V755" s="318"/>
      <c r="W755" s="318"/>
      <c r="X755" s="318"/>
      <c r="Y755" s="318"/>
      <c r="Z755" s="318"/>
      <c r="AA755" s="318"/>
      <c r="AB755" s="318"/>
      <c r="AC755" s="318"/>
      <c r="AD755" s="318"/>
    </row>
    <row r="756" spans="2:30" s="323" customFormat="1" ht="12" customHeight="1">
      <c r="B756" s="324"/>
      <c r="C756" s="325"/>
      <c r="D756" s="326"/>
      <c r="E756" s="326"/>
      <c r="F756" s="326"/>
      <c r="G756" s="326"/>
      <c r="H756" s="326"/>
      <c r="P756" s="318"/>
      <c r="Q756" s="318"/>
      <c r="R756" s="318"/>
      <c r="S756" s="318"/>
      <c r="T756" s="318"/>
      <c r="U756" s="318"/>
      <c r="V756" s="318"/>
      <c r="W756" s="318"/>
      <c r="X756" s="318"/>
      <c r="Y756" s="318"/>
      <c r="Z756" s="318"/>
      <c r="AA756" s="318"/>
      <c r="AB756" s="318"/>
      <c r="AC756" s="318"/>
      <c r="AD756" s="318"/>
    </row>
    <row r="757" spans="2:30" s="323" customFormat="1" ht="12" customHeight="1">
      <c r="B757" s="324"/>
      <c r="C757" s="325"/>
      <c r="D757" s="326"/>
      <c r="E757" s="326"/>
      <c r="F757" s="326"/>
      <c r="G757" s="326"/>
      <c r="H757" s="326"/>
      <c r="P757" s="318"/>
      <c r="Q757" s="318"/>
      <c r="R757" s="318"/>
      <c r="S757" s="318"/>
      <c r="T757" s="318"/>
      <c r="U757" s="318"/>
      <c r="V757" s="318"/>
      <c r="W757" s="318"/>
      <c r="X757" s="318"/>
      <c r="Y757" s="318"/>
      <c r="Z757" s="318"/>
      <c r="AA757" s="318"/>
      <c r="AB757" s="318"/>
      <c r="AC757" s="318"/>
      <c r="AD757" s="318"/>
    </row>
    <row r="758" spans="2:30" s="323" customFormat="1" ht="12" customHeight="1">
      <c r="B758" s="324"/>
      <c r="C758" s="325"/>
      <c r="D758" s="326"/>
      <c r="E758" s="326"/>
      <c r="F758" s="326"/>
      <c r="G758" s="326"/>
      <c r="H758" s="326"/>
      <c r="P758" s="318"/>
      <c r="Q758" s="318"/>
      <c r="R758" s="318"/>
      <c r="S758" s="318"/>
      <c r="T758" s="318"/>
      <c r="U758" s="318"/>
      <c r="V758" s="318"/>
      <c r="W758" s="318"/>
      <c r="X758" s="318"/>
      <c r="Y758" s="318"/>
      <c r="Z758" s="318"/>
      <c r="AA758" s="318"/>
      <c r="AB758" s="318"/>
      <c r="AC758" s="318"/>
      <c r="AD758" s="318"/>
    </row>
    <row r="759" spans="2:30" s="323" customFormat="1" ht="12" customHeight="1">
      <c r="B759" s="324"/>
      <c r="C759" s="325"/>
      <c r="D759" s="326"/>
      <c r="E759" s="326"/>
      <c r="F759" s="326"/>
      <c r="G759" s="326"/>
      <c r="H759" s="326"/>
      <c r="P759" s="318"/>
      <c r="Q759" s="318"/>
      <c r="R759" s="318"/>
      <c r="S759" s="318"/>
      <c r="T759" s="318"/>
      <c r="U759" s="318"/>
      <c r="V759" s="318"/>
      <c r="W759" s="318"/>
      <c r="X759" s="318"/>
      <c r="Y759" s="318"/>
      <c r="Z759" s="318"/>
      <c r="AA759" s="318"/>
      <c r="AB759" s="318"/>
      <c r="AC759" s="318"/>
      <c r="AD759" s="318"/>
    </row>
    <row r="760" spans="2:30" s="323" customFormat="1" ht="12" customHeight="1">
      <c r="B760" s="324"/>
      <c r="C760" s="325"/>
      <c r="D760" s="326"/>
      <c r="E760" s="326"/>
      <c r="F760" s="326"/>
      <c r="G760" s="326"/>
      <c r="H760" s="326"/>
      <c r="P760" s="318"/>
      <c r="Q760" s="318"/>
      <c r="R760" s="318"/>
      <c r="S760" s="318"/>
      <c r="T760" s="318"/>
      <c r="U760" s="318"/>
      <c r="V760" s="318"/>
      <c r="W760" s="318"/>
      <c r="X760" s="318"/>
      <c r="Y760" s="318"/>
      <c r="Z760" s="318"/>
      <c r="AA760" s="318"/>
      <c r="AB760" s="318"/>
      <c r="AC760" s="318"/>
      <c r="AD760" s="318"/>
    </row>
    <row r="761" spans="2:30" s="323" customFormat="1" ht="12" customHeight="1">
      <c r="B761" s="324"/>
      <c r="C761" s="325"/>
      <c r="D761" s="326"/>
      <c r="E761" s="326"/>
      <c r="F761" s="326"/>
      <c r="G761" s="326"/>
      <c r="H761" s="326"/>
      <c r="P761" s="318"/>
      <c r="Q761" s="318"/>
      <c r="R761" s="318"/>
      <c r="S761" s="318"/>
      <c r="T761" s="318"/>
      <c r="U761" s="318"/>
      <c r="V761" s="318"/>
      <c r="W761" s="318"/>
      <c r="X761" s="318"/>
      <c r="Y761" s="318"/>
      <c r="Z761" s="318"/>
      <c r="AA761" s="318"/>
      <c r="AB761" s="318"/>
      <c r="AC761" s="318"/>
      <c r="AD761" s="318"/>
    </row>
    <row r="762" spans="2:30" s="323" customFormat="1" ht="12" customHeight="1">
      <c r="B762" s="324"/>
      <c r="C762" s="325"/>
      <c r="D762" s="326"/>
      <c r="E762" s="326"/>
      <c r="F762" s="326"/>
      <c r="G762" s="326"/>
      <c r="H762" s="326"/>
      <c r="P762" s="318"/>
      <c r="Q762" s="318"/>
      <c r="R762" s="318"/>
      <c r="S762" s="318"/>
      <c r="T762" s="318"/>
      <c r="U762" s="318"/>
      <c r="V762" s="318"/>
      <c r="W762" s="318"/>
      <c r="X762" s="318"/>
      <c r="Y762" s="318"/>
      <c r="Z762" s="318"/>
      <c r="AA762" s="318"/>
      <c r="AB762" s="318"/>
      <c r="AC762" s="318"/>
      <c r="AD762" s="318"/>
    </row>
    <row r="763" spans="2:30" s="323" customFormat="1" ht="12" customHeight="1">
      <c r="B763" s="324"/>
      <c r="C763" s="325"/>
      <c r="D763" s="326"/>
      <c r="E763" s="326"/>
      <c r="F763" s="326"/>
      <c r="G763" s="326"/>
      <c r="H763" s="326"/>
      <c r="P763" s="318"/>
      <c r="Q763" s="318"/>
      <c r="R763" s="318"/>
      <c r="S763" s="318"/>
      <c r="T763" s="318"/>
      <c r="U763" s="318"/>
      <c r="V763" s="318"/>
      <c r="W763" s="318"/>
      <c r="X763" s="318"/>
      <c r="Y763" s="318"/>
      <c r="Z763" s="318"/>
      <c r="AA763" s="318"/>
      <c r="AB763" s="318"/>
      <c r="AC763" s="318"/>
      <c r="AD763" s="318"/>
    </row>
    <row r="764" spans="2:30" s="323" customFormat="1" ht="12" customHeight="1">
      <c r="B764" s="324"/>
      <c r="C764" s="325"/>
      <c r="D764" s="326"/>
      <c r="E764" s="326"/>
      <c r="F764" s="326"/>
      <c r="G764" s="326"/>
      <c r="H764" s="326"/>
      <c r="P764" s="318"/>
      <c r="Q764" s="318"/>
      <c r="R764" s="318"/>
      <c r="S764" s="318"/>
      <c r="T764" s="318"/>
      <c r="U764" s="318"/>
      <c r="V764" s="318"/>
      <c r="W764" s="318"/>
      <c r="X764" s="318"/>
      <c r="Y764" s="318"/>
      <c r="Z764" s="318"/>
      <c r="AA764" s="318"/>
      <c r="AB764" s="318"/>
      <c r="AC764" s="318"/>
      <c r="AD764" s="318"/>
    </row>
    <row r="765" spans="2:30" s="323" customFormat="1" ht="12" customHeight="1">
      <c r="B765" s="324"/>
      <c r="C765" s="325"/>
      <c r="D765" s="326"/>
      <c r="E765" s="326"/>
      <c r="F765" s="326"/>
      <c r="G765" s="326"/>
      <c r="H765" s="326"/>
      <c r="P765" s="318"/>
      <c r="Q765" s="318"/>
      <c r="R765" s="318"/>
      <c r="S765" s="318"/>
      <c r="T765" s="318"/>
      <c r="U765" s="318"/>
      <c r="V765" s="318"/>
      <c r="W765" s="318"/>
      <c r="X765" s="318"/>
      <c r="Y765" s="318"/>
      <c r="Z765" s="318"/>
      <c r="AA765" s="318"/>
      <c r="AB765" s="318"/>
      <c r="AC765" s="318"/>
      <c r="AD765" s="318"/>
    </row>
    <row r="766" spans="2:30" s="323" customFormat="1" ht="12" customHeight="1">
      <c r="B766" s="324"/>
      <c r="C766" s="325"/>
      <c r="D766" s="326"/>
      <c r="E766" s="326"/>
      <c r="F766" s="326"/>
      <c r="G766" s="326"/>
      <c r="H766" s="326"/>
      <c r="P766" s="318"/>
      <c r="Q766" s="318"/>
      <c r="R766" s="318"/>
      <c r="S766" s="318"/>
      <c r="T766" s="318"/>
      <c r="U766" s="318"/>
      <c r="V766" s="318"/>
      <c r="W766" s="318"/>
      <c r="X766" s="318"/>
      <c r="Y766" s="318"/>
      <c r="Z766" s="318"/>
      <c r="AA766" s="318"/>
      <c r="AB766" s="318"/>
      <c r="AC766" s="318"/>
      <c r="AD766" s="318"/>
    </row>
    <row r="767" spans="2:30" s="323" customFormat="1" ht="12" customHeight="1">
      <c r="B767" s="324"/>
      <c r="C767" s="325"/>
      <c r="D767" s="326"/>
      <c r="E767" s="326"/>
      <c r="F767" s="326"/>
      <c r="G767" s="326"/>
      <c r="H767" s="326"/>
      <c r="P767" s="318"/>
      <c r="Q767" s="318"/>
      <c r="R767" s="318"/>
      <c r="S767" s="318"/>
      <c r="T767" s="318"/>
      <c r="U767" s="318"/>
      <c r="V767" s="318"/>
      <c r="W767" s="318"/>
      <c r="X767" s="318"/>
      <c r="Y767" s="318"/>
      <c r="Z767" s="318"/>
      <c r="AA767" s="318"/>
      <c r="AB767" s="318"/>
      <c r="AC767" s="318"/>
      <c r="AD767" s="318"/>
    </row>
    <row r="768" spans="2:30" s="323" customFormat="1" ht="12" customHeight="1">
      <c r="B768" s="324"/>
      <c r="C768" s="325"/>
      <c r="D768" s="326"/>
      <c r="E768" s="326"/>
      <c r="F768" s="326"/>
      <c r="G768" s="326"/>
      <c r="H768" s="326"/>
      <c r="P768" s="318"/>
      <c r="Q768" s="318"/>
      <c r="R768" s="318"/>
      <c r="S768" s="318"/>
      <c r="T768" s="318"/>
      <c r="U768" s="318"/>
      <c r="V768" s="318"/>
      <c r="W768" s="318"/>
      <c r="X768" s="318"/>
      <c r="Y768" s="318"/>
      <c r="Z768" s="318"/>
      <c r="AA768" s="318"/>
      <c r="AB768" s="318"/>
      <c r="AC768" s="318"/>
      <c r="AD768" s="318"/>
    </row>
    <row r="769" spans="2:30" s="323" customFormat="1" ht="12" customHeight="1">
      <c r="B769" s="324"/>
      <c r="C769" s="325"/>
      <c r="D769" s="326"/>
      <c r="E769" s="326"/>
      <c r="F769" s="326"/>
      <c r="G769" s="326"/>
      <c r="H769" s="326"/>
      <c r="P769" s="318"/>
      <c r="Q769" s="318"/>
      <c r="R769" s="318"/>
      <c r="S769" s="318"/>
      <c r="T769" s="318"/>
      <c r="U769" s="318"/>
      <c r="V769" s="318"/>
      <c r="W769" s="318"/>
      <c r="X769" s="318"/>
      <c r="Y769" s="318"/>
      <c r="Z769" s="318"/>
      <c r="AA769" s="318"/>
      <c r="AB769" s="318"/>
      <c r="AC769" s="318"/>
      <c r="AD769" s="318"/>
    </row>
    <row r="770" spans="2:30" s="323" customFormat="1" ht="12" customHeight="1">
      <c r="B770" s="324"/>
      <c r="C770" s="325"/>
      <c r="D770" s="326"/>
      <c r="E770" s="326"/>
      <c r="F770" s="326"/>
      <c r="G770" s="326"/>
      <c r="H770" s="326"/>
      <c r="P770" s="318"/>
      <c r="Q770" s="318"/>
      <c r="R770" s="318"/>
      <c r="S770" s="318"/>
      <c r="T770" s="318"/>
      <c r="U770" s="318"/>
      <c r="V770" s="318"/>
      <c r="W770" s="318"/>
      <c r="X770" s="318"/>
      <c r="Y770" s="318"/>
      <c r="Z770" s="318"/>
      <c r="AA770" s="318"/>
      <c r="AB770" s="318"/>
      <c r="AC770" s="318"/>
      <c r="AD770" s="318"/>
    </row>
    <row r="771" spans="2:30" s="323" customFormat="1" ht="12" customHeight="1">
      <c r="B771" s="324"/>
      <c r="C771" s="325"/>
      <c r="D771" s="326"/>
      <c r="E771" s="326"/>
      <c r="F771" s="326"/>
      <c r="G771" s="326"/>
      <c r="H771" s="326"/>
      <c r="P771" s="318"/>
      <c r="Q771" s="318"/>
      <c r="R771" s="318"/>
      <c r="S771" s="318"/>
      <c r="T771" s="318"/>
      <c r="U771" s="318"/>
      <c r="V771" s="318"/>
      <c r="W771" s="318"/>
      <c r="X771" s="318"/>
      <c r="Y771" s="318"/>
      <c r="Z771" s="318"/>
      <c r="AA771" s="318"/>
      <c r="AB771" s="318"/>
      <c r="AC771" s="318"/>
      <c r="AD771" s="318"/>
    </row>
    <row r="772" spans="2:30" s="323" customFormat="1" ht="12" customHeight="1">
      <c r="B772" s="324"/>
      <c r="C772" s="325"/>
      <c r="D772" s="326"/>
      <c r="E772" s="326"/>
      <c r="F772" s="326"/>
      <c r="G772" s="326"/>
      <c r="H772" s="326"/>
      <c r="P772" s="318"/>
      <c r="Q772" s="318"/>
      <c r="R772" s="318"/>
      <c r="S772" s="318"/>
      <c r="T772" s="318"/>
      <c r="U772" s="318"/>
      <c r="V772" s="318"/>
      <c r="W772" s="318"/>
      <c r="X772" s="318"/>
      <c r="Y772" s="318"/>
      <c r="Z772" s="318"/>
      <c r="AA772" s="318"/>
      <c r="AB772" s="318"/>
      <c r="AC772" s="318"/>
      <c r="AD772" s="318"/>
    </row>
    <row r="773" spans="2:30" s="323" customFormat="1" ht="12" customHeight="1">
      <c r="B773" s="324"/>
      <c r="C773" s="325"/>
      <c r="D773" s="326"/>
      <c r="E773" s="326"/>
      <c r="F773" s="326"/>
      <c r="G773" s="326"/>
      <c r="H773" s="326"/>
      <c r="P773" s="318"/>
      <c r="Q773" s="318"/>
      <c r="R773" s="318"/>
      <c r="S773" s="318"/>
      <c r="T773" s="318"/>
      <c r="U773" s="318"/>
      <c r="V773" s="318"/>
      <c r="W773" s="318"/>
      <c r="X773" s="318"/>
      <c r="Y773" s="318"/>
      <c r="Z773" s="318"/>
      <c r="AA773" s="318"/>
      <c r="AB773" s="318"/>
      <c r="AC773" s="318"/>
      <c r="AD773" s="318"/>
    </row>
    <row r="774" spans="2:30" s="323" customFormat="1" ht="12" customHeight="1">
      <c r="B774" s="324"/>
      <c r="C774" s="325"/>
      <c r="D774" s="326"/>
      <c r="E774" s="326"/>
      <c r="F774" s="326"/>
      <c r="G774" s="326"/>
      <c r="H774" s="326"/>
      <c r="P774" s="318"/>
      <c r="Q774" s="318"/>
      <c r="R774" s="318"/>
      <c r="S774" s="318"/>
      <c r="T774" s="318"/>
      <c r="U774" s="318"/>
      <c r="V774" s="318"/>
      <c r="W774" s="318"/>
      <c r="X774" s="318"/>
      <c r="Y774" s="318"/>
      <c r="Z774" s="318"/>
      <c r="AA774" s="318"/>
      <c r="AB774" s="318"/>
      <c r="AC774" s="318"/>
      <c r="AD774" s="318"/>
    </row>
    <row r="775" spans="2:30" s="323" customFormat="1" ht="12" customHeight="1">
      <c r="B775" s="324"/>
      <c r="C775" s="325"/>
      <c r="D775" s="326"/>
      <c r="E775" s="326"/>
      <c r="F775" s="326"/>
      <c r="G775" s="326"/>
      <c r="H775" s="326"/>
      <c r="P775" s="318"/>
      <c r="Q775" s="318"/>
      <c r="R775" s="318"/>
      <c r="S775" s="318"/>
      <c r="T775" s="318"/>
      <c r="U775" s="318"/>
      <c r="V775" s="318"/>
      <c r="W775" s="318"/>
      <c r="X775" s="318"/>
      <c r="Y775" s="318"/>
      <c r="Z775" s="318"/>
      <c r="AA775" s="318"/>
      <c r="AB775" s="318"/>
      <c r="AC775" s="318"/>
      <c r="AD775" s="318"/>
    </row>
    <row r="776" spans="2:30" s="323" customFormat="1" ht="12" customHeight="1">
      <c r="B776" s="324"/>
      <c r="C776" s="325"/>
      <c r="D776" s="326"/>
      <c r="E776" s="326"/>
      <c r="F776" s="326"/>
      <c r="G776" s="326"/>
      <c r="H776" s="326"/>
      <c r="P776" s="318"/>
      <c r="Q776" s="318"/>
      <c r="R776" s="318"/>
      <c r="S776" s="318"/>
      <c r="T776" s="318"/>
      <c r="U776" s="318"/>
      <c r="V776" s="318"/>
      <c r="W776" s="318"/>
      <c r="X776" s="318"/>
      <c r="Y776" s="318"/>
      <c r="Z776" s="318"/>
      <c r="AA776" s="318"/>
      <c r="AB776" s="318"/>
      <c r="AC776" s="318"/>
      <c r="AD776" s="318"/>
    </row>
    <row r="777" spans="2:30" s="323" customFormat="1" ht="12" customHeight="1">
      <c r="B777" s="324"/>
      <c r="C777" s="325"/>
      <c r="D777" s="326"/>
      <c r="E777" s="326"/>
      <c r="F777" s="326"/>
      <c r="G777" s="326"/>
      <c r="H777" s="326"/>
      <c r="P777" s="318"/>
      <c r="Q777" s="318"/>
      <c r="R777" s="318"/>
      <c r="S777" s="318"/>
      <c r="T777" s="318"/>
      <c r="U777" s="318"/>
      <c r="V777" s="318"/>
      <c r="W777" s="318"/>
      <c r="X777" s="318"/>
      <c r="Y777" s="318"/>
      <c r="Z777" s="318"/>
      <c r="AA777" s="318"/>
      <c r="AB777" s="318"/>
      <c r="AC777" s="318"/>
      <c r="AD777" s="318"/>
    </row>
    <row r="778" spans="2:30" s="323" customFormat="1" ht="12" customHeight="1">
      <c r="B778" s="324"/>
      <c r="C778" s="325"/>
      <c r="D778" s="326"/>
      <c r="E778" s="326"/>
      <c r="F778" s="326"/>
      <c r="G778" s="326"/>
      <c r="H778" s="326"/>
      <c r="P778" s="318"/>
      <c r="Q778" s="318"/>
      <c r="R778" s="318"/>
      <c r="S778" s="318"/>
      <c r="T778" s="318"/>
      <c r="U778" s="318"/>
      <c r="V778" s="318"/>
      <c r="W778" s="318"/>
      <c r="X778" s="318"/>
      <c r="Y778" s="318"/>
      <c r="Z778" s="318"/>
      <c r="AA778" s="318"/>
      <c r="AB778" s="318"/>
      <c r="AC778" s="318"/>
      <c r="AD778" s="318"/>
    </row>
    <row r="779" spans="2:30" s="323" customFormat="1" ht="12" customHeight="1">
      <c r="B779" s="324"/>
      <c r="C779" s="325"/>
      <c r="D779" s="326"/>
      <c r="E779" s="326"/>
      <c r="F779" s="326"/>
      <c r="G779" s="326"/>
      <c r="H779" s="326"/>
      <c r="P779" s="318"/>
      <c r="Q779" s="318"/>
      <c r="R779" s="318"/>
      <c r="S779" s="318"/>
      <c r="T779" s="318"/>
      <c r="U779" s="318"/>
      <c r="V779" s="318"/>
      <c r="W779" s="318"/>
      <c r="X779" s="318"/>
      <c r="Y779" s="318"/>
      <c r="Z779" s="318"/>
      <c r="AA779" s="318"/>
      <c r="AB779" s="318"/>
      <c r="AC779" s="318"/>
      <c r="AD779" s="318"/>
    </row>
    <row r="780" spans="2:30" s="323" customFormat="1" ht="12" customHeight="1">
      <c r="B780" s="324"/>
      <c r="C780" s="325"/>
      <c r="D780" s="326"/>
      <c r="E780" s="326"/>
      <c r="F780" s="326"/>
      <c r="G780" s="326"/>
      <c r="H780" s="326"/>
      <c r="P780" s="318"/>
      <c r="Q780" s="318"/>
      <c r="R780" s="318"/>
      <c r="S780" s="318"/>
      <c r="T780" s="318"/>
      <c r="U780" s="318"/>
      <c r="V780" s="318"/>
      <c r="W780" s="318"/>
      <c r="X780" s="318"/>
      <c r="Y780" s="318"/>
      <c r="Z780" s="318"/>
      <c r="AA780" s="318"/>
      <c r="AB780" s="318"/>
      <c r="AC780" s="318"/>
      <c r="AD780" s="318"/>
    </row>
    <row r="781" spans="2:30" s="323" customFormat="1" ht="12" customHeight="1">
      <c r="B781" s="324"/>
      <c r="C781" s="325"/>
      <c r="D781" s="326"/>
      <c r="E781" s="326"/>
      <c r="F781" s="326"/>
      <c r="G781" s="326"/>
      <c r="H781" s="326"/>
      <c r="P781" s="318"/>
      <c r="Q781" s="318"/>
      <c r="R781" s="318"/>
      <c r="S781" s="318"/>
      <c r="T781" s="318"/>
      <c r="U781" s="318"/>
      <c r="V781" s="318"/>
      <c r="W781" s="318"/>
      <c r="X781" s="318"/>
      <c r="Y781" s="318"/>
      <c r="Z781" s="318"/>
      <c r="AA781" s="318"/>
      <c r="AB781" s="318"/>
      <c r="AC781" s="318"/>
      <c r="AD781" s="318"/>
    </row>
    <row r="782" spans="2:30" s="323" customFormat="1" ht="12" customHeight="1">
      <c r="B782" s="324"/>
      <c r="C782" s="325"/>
      <c r="D782" s="326"/>
      <c r="E782" s="326"/>
      <c r="F782" s="326"/>
      <c r="G782" s="326"/>
      <c r="H782" s="326"/>
      <c r="P782" s="318"/>
      <c r="Q782" s="318"/>
      <c r="R782" s="318"/>
      <c r="S782" s="318"/>
      <c r="T782" s="318"/>
      <c r="U782" s="318"/>
      <c r="V782" s="318"/>
      <c r="W782" s="318"/>
      <c r="X782" s="318"/>
      <c r="Y782" s="318"/>
      <c r="Z782" s="318"/>
      <c r="AA782" s="318"/>
      <c r="AB782" s="318"/>
      <c r="AC782" s="318"/>
      <c r="AD782" s="318"/>
    </row>
    <row r="783" spans="2:30" s="323" customFormat="1" ht="12" customHeight="1">
      <c r="B783" s="324"/>
      <c r="C783" s="325"/>
      <c r="D783" s="326"/>
      <c r="E783" s="326"/>
      <c r="F783" s="326"/>
      <c r="G783" s="326"/>
      <c r="H783" s="326"/>
      <c r="P783" s="318"/>
      <c r="Q783" s="318"/>
      <c r="R783" s="318"/>
      <c r="S783" s="318"/>
      <c r="T783" s="318"/>
      <c r="U783" s="318"/>
      <c r="V783" s="318"/>
      <c r="W783" s="318"/>
      <c r="X783" s="318"/>
      <c r="Y783" s="318"/>
      <c r="Z783" s="318"/>
      <c r="AA783" s="318"/>
      <c r="AB783" s="318"/>
      <c r="AC783" s="318"/>
      <c r="AD783" s="318"/>
    </row>
    <row r="784" spans="2:30" s="323" customFormat="1" ht="12" customHeight="1">
      <c r="B784" s="324"/>
      <c r="C784" s="325"/>
      <c r="D784" s="326"/>
      <c r="E784" s="326"/>
      <c r="F784" s="326"/>
      <c r="G784" s="326"/>
      <c r="H784" s="326"/>
      <c r="P784" s="318"/>
      <c r="Q784" s="318"/>
      <c r="R784" s="318"/>
      <c r="S784" s="318"/>
      <c r="T784" s="318"/>
      <c r="U784" s="318"/>
      <c r="V784" s="318"/>
      <c r="W784" s="318"/>
      <c r="X784" s="318"/>
      <c r="Y784" s="318"/>
      <c r="Z784" s="318"/>
      <c r="AA784" s="318"/>
      <c r="AB784" s="318"/>
      <c r="AC784" s="318"/>
      <c r="AD784" s="318"/>
    </row>
    <row r="785" spans="2:30" s="323" customFormat="1" ht="12" customHeight="1">
      <c r="B785" s="324"/>
      <c r="C785" s="325"/>
      <c r="D785" s="326"/>
      <c r="E785" s="326"/>
      <c r="F785" s="326"/>
      <c r="G785" s="326"/>
      <c r="H785" s="326"/>
      <c r="P785" s="318"/>
      <c r="Q785" s="318"/>
      <c r="R785" s="318"/>
      <c r="S785" s="318"/>
      <c r="T785" s="318"/>
      <c r="U785" s="318"/>
      <c r="V785" s="318"/>
      <c r="W785" s="318"/>
      <c r="X785" s="318"/>
      <c r="Y785" s="318"/>
      <c r="Z785" s="318"/>
      <c r="AA785" s="318"/>
      <c r="AB785" s="318"/>
      <c r="AC785" s="318"/>
      <c r="AD785" s="318"/>
    </row>
    <row r="786" spans="2:30" s="323" customFormat="1" ht="12" customHeight="1">
      <c r="B786" s="324"/>
      <c r="C786" s="325"/>
      <c r="D786" s="326"/>
      <c r="E786" s="326"/>
      <c r="F786" s="326"/>
      <c r="G786" s="326"/>
      <c r="H786" s="326"/>
      <c r="P786" s="318"/>
      <c r="Q786" s="318"/>
      <c r="R786" s="318"/>
      <c r="S786" s="318"/>
      <c r="T786" s="318"/>
      <c r="U786" s="318"/>
      <c r="V786" s="318"/>
      <c r="W786" s="318"/>
      <c r="X786" s="318"/>
      <c r="Y786" s="318"/>
      <c r="Z786" s="318"/>
      <c r="AA786" s="318"/>
      <c r="AB786" s="318"/>
      <c r="AC786" s="318"/>
      <c r="AD786" s="318"/>
    </row>
    <row r="787" spans="2:30" s="323" customFormat="1" ht="12" customHeight="1">
      <c r="B787" s="324"/>
      <c r="C787" s="325"/>
      <c r="D787" s="326"/>
      <c r="E787" s="326"/>
      <c r="F787" s="326"/>
      <c r="G787" s="326"/>
      <c r="H787" s="326"/>
      <c r="P787" s="318"/>
      <c r="Q787" s="318"/>
      <c r="R787" s="318"/>
      <c r="S787" s="318"/>
      <c r="T787" s="318"/>
      <c r="U787" s="318"/>
      <c r="V787" s="318"/>
      <c r="W787" s="318"/>
      <c r="X787" s="318"/>
      <c r="Y787" s="318"/>
      <c r="Z787" s="318"/>
      <c r="AA787" s="318"/>
      <c r="AB787" s="318"/>
      <c r="AC787" s="318"/>
      <c r="AD787" s="318"/>
    </row>
    <row r="788" spans="2:30" s="323" customFormat="1" ht="12" customHeight="1">
      <c r="B788" s="324"/>
      <c r="C788" s="325"/>
      <c r="D788" s="326"/>
      <c r="E788" s="326"/>
      <c r="F788" s="326"/>
      <c r="G788" s="326"/>
      <c r="H788" s="326"/>
      <c r="P788" s="318"/>
      <c r="Q788" s="318"/>
      <c r="R788" s="318"/>
      <c r="S788" s="318"/>
      <c r="T788" s="318"/>
      <c r="U788" s="318"/>
      <c r="V788" s="318"/>
      <c r="W788" s="318"/>
      <c r="X788" s="318"/>
      <c r="Y788" s="318"/>
      <c r="Z788" s="318"/>
      <c r="AA788" s="318"/>
      <c r="AB788" s="318"/>
      <c r="AC788" s="318"/>
      <c r="AD788" s="318"/>
    </row>
    <row r="789" spans="2:30" s="323" customFormat="1" ht="12" customHeight="1">
      <c r="B789" s="324"/>
      <c r="C789" s="325"/>
      <c r="D789" s="326"/>
      <c r="E789" s="326"/>
      <c r="F789" s="326"/>
      <c r="G789" s="326"/>
      <c r="H789" s="326"/>
      <c r="P789" s="318"/>
      <c r="Q789" s="318"/>
      <c r="R789" s="318"/>
      <c r="S789" s="318"/>
      <c r="T789" s="318"/>
      <c r="U789" s="318"/>
      <c r="V789" s="318"/>
      <c r="W789" s="318"/>
      <c r="X789" s="318"/>
      <c r="Y789" s="318"/>
      <c r="Z789" s="318"/>
      <c r="AA789" s="318"/>
      <c r="AB789" s="318"/>
      <c r="AC789" s="318"/>
      <c r="AD789" s="318"/>
    </row>
    <row r="790" spans="2:30" s="323" customFormat="1" ht="12" customHeight="1">
      <c r="B790" s="324"/>
      <c r="C790" s="325"/>
      <c r="D790" s="326"/>
      <c r="E790" s="326"/>
      <c r="F790" s="326"/>
      <c r="G790" s="326"/>
      <c r="H790" s="326"/>
      <c r="P790" s="318"/>
      <c r="Q790" s="318"/>
      <c r="R790" s="318"/>
      <c r="S790" s="318"/>
      <c r="T790" s="318"/>
      <c r="U790" s="318"/>
      <c r="V790" s="318"/>
      <c r="W790" s="318"/>
      <c r="X790" s="318"/>
      <c r="Y790" s="318"/>
      <c r="Z790" s="318"/>
      <c r="AA790" s="318"/>
      <c r="AB790" s="318"/>
      <c r="AC790" s="318"/>
      <c r="AD790" s="318"/>
    </row>
    <row r="791" spans="2:30" s="323" customFormat="1" ht="12" customHeight="1">
      <c r="B791" s="324"/>
      <c r="C791" s="325"/>
      <c r="D791" s="326"/>
      <c r="E791" s="326"/>
      <c r="F791" s="326"/>
      <c r="G791" s="326"/>
      <c r="H791" s="326"/>
      <c r="P791" s="318"/>
      <c r="Q791" s="318"/>
      <c r="R791" s="318"/>
      <c r="S791" s="318"/>
      <c r="T791" s="318"/>
      <c r="U791" s="318"/>
      <c r="V791" s="318"/>
      <c r="W791" s="318"/>
      <c r="X791" s="318"/>
      <c r="Y791" s="318"/>
      <c r="Z791" s="318"/>
      <c r="AA791" s="318"/>
      <c r="AB791" s="318"/>
      <c r="AC791" s="318"/>
      <c r="AD791" s="318"/>
    </row>
    <row r="792" spans="2:30" s="323" customFormat="1" ht="12" customHeight="1">
      <c r="B792" s="324"/>
      <c r="C792" s="325"/>
      <c r="D792" s="326"/>
      <c r="E792" s="326"/>
      <c r="F792" s="326"/>
      <c r="G792" s="326"/>
      <c r="H792" s="326"/>
      <c r="P792" s="318"/>
      <c r="Q792" s="318"/>
      <c r="R792" s="318"/>
      <c r="S792" s="318"/>
      <c r="T792" s="318"/>
      <c r="U792" s="318"/>
      <c r="V792" s="318"/>
      <c r="W792" s="318"/>
      <c r="X792" s="318"/>
      <c r="Y792" s="318"/>
      <c r="Z792" s="318"/>
      <c r="AA792" s="318"/>
      <c r="AB792" s="318"/>
      <c r="AC792" s="318"/>
      <c r="AD792" s="318"/>
    </row>
    <row r="793" spans="2:30" s="323" customFormat="1" ht="12" customHeight="1">
      <c r="B793" s="324"/>
      <c r="C793" s="325"/>
      <c r="D793" s="326"/>
      <c r="E793" s="326"/>
      <c r="F793" s="326"/>
      <c r="G793" s="326"/>
      <c r="H793" s="326"/>
      <c r="P793" s="318"/>
      <c r="Q793" s="318"/>
      <c r="R793" s="318"/>
      <c r="S793" s="318"/>
      <c r="T793" s="318"/>
      <c r="U793" s="318"/>
      <c r="V793" s="318"/>
      <c r="W793" s="318"/>
      <c r="X793" s="318"/>
      <c r="Y793" s="318"/>
      <c r="Z793" s="318"/>
      <c r="AA793" s="318"/>
      <c r="AB793" s="318"/>
      <c r="AC793" s="318"/>
      <c r="AD793" s="318"/>
    </row>
    <row r="794" spans="2:30" s="323" customFormat="1" ht="12" customHeight="1">
      <c r="B794" s="324"/>
      <c r="C794" s="325"/>
      <c r="D794" s="326"/>
      <c r="E794" s="326"/>
      <c r="F794" s="326"/>
      <c r="G794" s="326"/>
      <c r="H794" s="326"/>
      <c r="P794" s="318"/>
      <c r="Q794" s="318"/>
      <c r="R794" s="318"/>
      <c r="S794" s="318"/>
      <c r="T794" s="318"/>
      <c r="U794" s="318"/>
      <c r="V794" s="318"/>
      <c r="W794" s="318"/>
      <c r="X794" s="318"/>
      <c r="Y794" s="318"/>
      <c r="Z794" s="318"/>
      <c r="AA794" s="318"/>
      <c r="AB794" s="318"/>
      <c r="AC794" s="318"/>
      <c r="AD794" s="318"/>
    </row>
    <row r="795" spans="2:30" s="323" customFormat="1" ht="12" customHeight="1">
      <c r="B795" s="324"/>
      <c r="C795" s="325"/>
      <c r="D795" s="326"/>
      <c r="E795" s="326"/>
      <c r="F795" s="326"/>
      <c r="G795" s="326"/>
      <c r="H795" s="326"/>
      <c r="P795" s="318"/>
      <c r="Q795" s="318"/>
      <c r="R795" s="318"/>
      <c r="S795" s="318"/>
      <c r="T795" s="318"/>
      <c r="U795" s="318"/>
      <c r="V795" s="318"/>
      <c r="W795" s="318"/>
      <c r="X795" s="318"/>
      <c r="Y795" s="318"/>
      <c r="Z795" s="318"/>
      <c r="AA795" s="318"/>
      <c r="AB795" s="318"/>
      <c r="AC795" s="318"/>
      <c r="AD795" s="318"/>
    </row>
    <row r="796" spans="2:30" s="323" customFormat="1" ht="12" customHeight="1">
      <c r="B796" s="324"/>
      <c r="C796" s="325"/>
      <c r="D796" s="326"/>
      <c r="E796" s="326"/>
      <c r="F796" s="326"/>
      <c r="G796" s="326"/>
      <c r="H796" s="326"/>
      <c r="P796" s="318"/>
      <c r="Q796" s="318"/>
      <c r="R796" s="318"/>
      <c r="S796" s="318"/>
      <c r="T796" s="318"/>
      <c r="U796" s="318"/>
      <c r="V796" s="318"/>
      <c r="W796" s="318"/>
      <c r="X796" s="318"/>
      <c r="Y796" s="318"/>
      <c r="Z796" s="318"/>
      <c r="AA796" s="318"/>
      <c r="AB796" s="318"/>
      <c r="AC796" s="318"/>
      <c r="AD796" s="318"/>
    </row>
    <row r="797" spans="2:30" s="323" customFormat="1" ht="12" customHeight="1">
      <c r="B797" s="324"/>
      <c r="C797" s="325"/>
      <c r="D797" s="326"/>
      <c r="E797" s="326"/>
      <c r="F797" s="326"/>
      <c r="G797" s="326"/>
      <c r="H797" s="326"/>
      <c r="P797" s="318"/>
      <c r="Q797" s="318"/>
      <c r="R797" s="318"/>
      <c r="S797" s="318"/>
      <c r="T797" s="318"/>
      <c r="U797" s="318"/>
      <c r="V797" s="318"/>
      <c r="W797" s="318"/>
      <c r="X797" s="318"/>
      <c r="Y797" s="318"/>
      <c r="Z797" s="318"/>
      <c r="AA797" s="318"/>
      <c r="AB797" s="318"/>
      <c r="AC797" s="318"/>
      <c r="AD797" s="318"/>
    </row>
    <row r="798" spans="2:30" s="323" customFormat="1" ht="12" customHeight="1">
      <c r="B798" s="324"/>
      <c r="C798" s="325"/>
      <c r="D798" s="326"/>
      <c r="E798" s="326"/>
      <c r="F798" s="326"/>
      <c r="G798" s="326"/>
      <c r="H798" s="326"/>
      <c r="P798" s="318"/>
      <c r="Q798" s="318"/>
      <c r="R798" s="318"/>
      <c r="S798" s="318"/>
      <c r="T798" s="318"/>
      <c r="U798" s="318"/>
      <c r="V798" s="318"/>
      <c r="W798" s="318"/>
      <c r="X798" s="318"/>
      <c r="Y798" s="318"/>
      <c r="Z798" s="318"/>
      <c r="AA798" s="318"/>
      <c r="AB798" s="318"/>
      <c r="AC798" s="318"/>
      <c r="AD798" s="318"/>
    </row>
    <row r="799" spans="2:30" s="323" customFormat="1" ht="12" customHeight="1">
      <c r="B799" s="324"/>
      <c r="C799" s="325"/>
      <c r="D799" s="326"/>
      <c r="E799" s="326"/>
      <c r="F799" s="326"/>
      <c r="G799" s="326"/>
      <c r="H799" s="326"/>
      <c r="P799" s="318"/>
      <c r="Q799" s="318"/>
      <c r="R799" s="318"/>
      <c r="S799" s="318"/>
      <c r="T799" s="318"/>
      <c r="U799" s="318"/>
      <c r="V799" s="318"/>
      <c r="W799" s="318"/>
      <c r="X799" s="318"/>
      <c r="Y799" s="318"/>
      <c r="Z799" s="318"/>
      <c r="AA799" s="318"/>
      <c r="AB799" s="318"/>
      <c r="AC799" s="318"/>
      <c r="AD799" s="318"/>
    </row>
    <row r="800" spans="2:30" s="323" customFormat="1" ht="12" customHeight="1">
      <c r="B800" s="324"/>
      <c r="C800" s="325"/>
      <c r="D800" s="326"/>
      <c r="E800" s="326"/>
      <c r="F800" s="326"/>
      <c r="G800" s="326"/>
      <c r="H800" s="326"/>
      <c r="P800" s="318"/>
      <c r="Q800" s="318"/>
      <c r="R800" s="318"/>
      <c r="S800" s="318"/>
      <c r="T800" s="318"/>
      <c r="U800" s="318"/>
      <c r="V800" s="318"/>
      <c r="W800" s="318"/>
      <c r="X800" s="318"/>
      <c r="Y800" s="318"/>
      <c r="Z800" s="318"/>
      <c r="AA800" s="318"/>
      <c r="AB800" s="318"/>
      <c r="AC800" s="318"/>
      <c r="AD800" s="318"/>
    </row>
    <row r="801" spans="2:30" s="323" customFormat="1" ht="12" customHeight="1">
      <c r="B801" s="324"/>
      <c r="C801" s="325"/>
      <c r="D801" s="326"/>
      <c r="E801" s="326"/>
      <c r="F801" s="326"/>
      <c r="G801" s="326"/>
      <c r="H801" s="326"/>
      <c r="P801" s="318"/>
      <c r="Q801" s="318"/>
      <c r="R801" s="318"/>
      <c r="S801" s="318"/>
      <c r="T801" s="318"/>
      <c r="U801" s="318"/>
      <c r="V801" s="318"/>
      <c r="W801" s="318"/>
      <c r="X801" s="318"/>
      <c r="Y801" s="318"/>
      <c r="Z801" s="318"/>
      <c r="AA801" s="318"/>
      <c r="AB801" s="318"/>
      <c r="AC801" s="318"/>
      <c r="AD801" s="318"/>
    </row>
    <row r="802" spans="2:30" s="323" customFormat="1" ht="12" customHeight="1">
      <c r="B802" s="324"/>
      <c r="C802" s="325"/>
      <c r="D802" s="326"/>
      <c r="E802" s="326"/>
      <c r="F802" s="326"/>
      <c r="G802" s="326"/>
      <c r="H802" s="326"/>
      <c r="P802" s="318"/>
      <c r="Q802" s="318"/>
      <c r="R802" s="318"/>
      <c r="S802" s="318"/>
      <c r="T802" s="318"/>
      <c r="U802" s="318"/>
      <c r="V802" s="318"/>
      <c r="W802" s="318"/>
      <c r="X802" s="318"/>
      <c r="Y802" s="318"/>
      <c r="Z802" s="318"/>
      <c r="AA802" s="318"/>
      <c r="AB802" s="318"/>
      <c r="AC802" s="318"/>
      <c r="AD802" s="318"/>
    </row>
    <row r="803" spans="2:30" s="323" customFormat="1" ht="12" customHeight="1">
      <c r="B803" s="324"/>
      <c r="C803" s="325"/>
      <c r="D803" s="326"/>
      <c r="E803" s="326"/>
      <c r="F803" s="326"/>
      <c r="G803" s="326"/>
      <c r="H803" s="326"/>
      <c r="P803" s="318"/>
      <c r="Q803" s="318"/>
      <c r="R803" s="318"/>
      <c r="S803" s="318"/>
      <c r="T803" s="318"/>
      <c r="U803" s="318"/>
      <c r="V803" s="318"/>
      <c r="W803" s="318"/>
      <c r="X803" s="318"/>
      <c r="Y803" s="318"/>
      <c r="Z803" s="318"/>
      <c r="AA803" s="318"/>
      <c r="AB803" s="318"/>
      <c r="AC803" s="318"/>
      <c r="AD803" s="318"/>
    </row>
    <row r="804" spans="2:30" s="323" customFormat="1" ht="12" customHeight="1">
      <c r="B804" s="324"/>
      <c r="C804" s="325"/>
      <c r="D804" s="326"/>
      <c r="E804" s="326"/>
      <c r="F804" s="326"/>
      <c r="G804" s="326"/>
      <c r="H804" s="326"/>
      <c r="P804" s="318"/>
      <c r="Q804" s="318"/>
      <c r="R804" s="318"/>
      <c r="S804" s="318"/>
      <c r="T804" s="318"/>
      <c r="U804" s="318"/>
      <c r="V804" s="318"/>
      <c r="W804" s="318"/>
      <c r="X804" s="318"/>
      <c r="Y804" s="318"/>
      <c r="Z804" s="318"/>
      <c r="AA804" s="318"/>
      <c r="AB804" s="318"/>
      <c r="AC804" s="318"/>
      <c r="AD804" s="318"/>
    </row>
    <row r="805" spans="2:30" s="323" customFormat="1" ht="12" customHeight="1">
      <c r="B805" s="324"/>
      <c r="C805" s="325"/>
      <c r="D805" s="326"/>
      <c r="E805" s="326"/>
      <c r="F805" s="326"/>
      <c r="G805" s="326"/>
      <c r="H805" s="326"/>
      <c r="P805" s="318"/>
      <c r="Q805" s="318"/>
      <c r="R805" s="318"/>
      <c r="S805" s="318"/>
      <c r="T805" s="318"/>
      <c r="U805" s="318"/>
      <c r="V805" s="318"/>
      <c r="W805" s="318"/>
      <c r="X805" s="318"/>
      <c r="Y805" s="318"/>
      <c r="Z805" s="318"/>
      <c r="AA805" s="318"/>
      <c r="AB805" s="318"/>
      <c r="AC805" s="318"/>
      <c r="AD805" s="318"/>
    </row>
    <row r="806" spans="2:30" s="323" customFormat="1" ht="12" customHeight="1">
      <c r="B806" s="324"/>
      <c r="C806" s="325"/>
      <c r="D806" s="326"/>
      <c r="E806" s="326"/>
      <c r="F806" s="326"/>
      <c r="G806" s="326"/>
      <c r="H806" s="326"/>
      <c r="P806" s="318"/>
      <c r="Q806" s="318"/>
      <c r="R806" s="318"/>
      <c r="S806" s="318"/>
      <c r="T806" s="318"/>
      <c r="U806" s="318"/>
      <c r="V806" s="318"/>
      <c r="W806" s="318"/>
      <c r="X806" s="318"/>
      <c r="Y806" s="318"/>
      <c r="Z806" s="318"/>
      <c r="AA806" s="318"/>
      <c r="AB806" s="318"/>
      <c r="AC806" s="318"/>
      <c r="AD806" s="318"/>
    </row>
    <row r="807" spans="2:30" s="323" customFormat="1" ht="12" customHeight="1">
      <c r="B807" s="324"/>
      <c r="C807" s="325"/>
      <c r="D807" s="326"/>
      <c r="E807" s="326"/>
      <c r="F807" s="326"/>
      <c r="G807" s="326"/>
      <c r="H807" s="326"/>
      <c r="P807" s="318"/>
      <c r="Q807" s="318"/>
      <c r="R807" s="318"/>
      <c r="S807" s="318"/>
      <c r="T807" s="318"/>
      <c r="U807" s="318"/>
      <c r="V807" s="318"/>
      <c r="W807" s="318"/>
      <c r="X807" s="318"/>
      <c r="Y807" s="318"/>
      <c r="Z807" s="318"/>
      <c r="AA807" s="318"/>
      <c r="AB807" s="318"/>
      <c r="AC807" s="318"/>
      <c r="AD807" s="318"/>
    </row>
    <row r="808" spans="2:30" s="323" customFormat="1" ht="12" customHeight="1">
      <c r="B808" s="324"/>
      <c r="C808" s="325"/>
      <c r="D808" s="326"/>
      <c r="E808" s="326"/>
      <c r="F808" s="326"/>
      <c r="G808" s="326"/>
      <c r="H808" s="326"/>
      <c r="P808" s="318"/>
      <c r="Q808" s="318"/>
      <c r="R808" s="318"/>
      <c r="S808" s="318"/>
      <c r="T808" s="318"/>
      <c r="U808" s="318"/>
      <c r="V808" s="318"/>
      <c r="W808" s="318"/>
      <c r="X808" s="318"/>
      <c r="Y808" s="318"/>
      <c r="Z808" s="318"/>
      <c r="AA808" s="318"/>
      <c r="AB808" s="318"/>
      <c r="AC808" s="318"/>
      <c r="AD808" s="318"/>
    </row>
    <row r="809" spans="2:30" s="323" customFormat="1" ht="12" customHeight="1">
      <c r="B809" s="324"/>
      <c r="C809" s="325"/>
      <c r="D809" s="326"/>
      <c r="E809" s="326"/>
      <c r="F809" s="326"/>
      <c r="G809" s="326"/>
      <c r="H809" s="326"/>
      <c r="P809" s="318"/>
      <c r="Q809" s="318"/>
      <c r="R809" s="318"/>
      <c r="S809" s="318"/>
      <c r="T809" s="318"/>
      <c r="U809" s="318"/>
      <c r="V809" s="318"/>
      <c r="W809" s="318"/>
      <c r="X809" s="318"/>
      <c r="Y809" s="318"/>
      <c r="Z809" s="318"/>
      <c r="AA809" s="318"/>
      <c r="AB809" s="318"/>
      <c r="AC809" s="318"/>
      <c r="AD809" s="318"/>
    </row>
    <row r="810" spans="2:30" s="323" customFormat="1" ht="12" customHeight="1">
      <c r="B810" s="324"/>
      <c r="C810" s="325"/>
      <c r="D810" s="326"/>
      <c r="E810" s="326"/>
      <c r="F810" s="326"/>
      <c r="G810" s="326"/>
      <c r="H810" s="326"/>
      <c r="P810" s="318"/>
      <c r="Q810" s="318"/>
      <c r="R810" s="318"/>
      <c r="S810" s="318"/>
      <c r="T810" s="318"/>
      <c r="U810" s="318"/>
      <c r="V810" s="318"/>
      <c r="W810" s="318"/>
      <c r="X810" s="318"/>
      <c r="Y810" s="318"/>
      <c r="Z810" s="318"/>
      <c r="AA810" s="318"/>
      <c r="AB810" s="318"/>
      <c r="AC810" s="318"/>
      <c r="AD810" s="318"/>
    </row>
    <row r="811" spans="2:30" s="323" customFormat="1" ht="12" customHeight="1">
      <c r="B811" s="324"/>
      <c r="C811" s="325"/>
      <c r="D811" s="326"/>
      <c r="E811" s="326"/>
      <c r="F811" s="326"/>
      <c r="G811" s="326"/>
      <c r="H811" s="326"/>
      <c r="P811" s="318"/>
      <c r="Q811" s="318"/>
      <c r="R811" s="318"/>
      <c r="S811" s="318"/>
      <c r="T811" s="318"/>
      <c r="U811" s="318"/>
      <c r="V811" s="318"/>
      <c r="W811" s="318"/>
      <c r="X811" s="318"/>
      <c r="Y811" s="318"/>
      <c r="Z811" s="318"/>
      <c r="AA811" s="318"/>
      <c r="AB811" s="318"/>
      <c r="AC811" s="318"/>
      <c r="AD811" s="318"/>
    </row>
    <row r="812" spans="2:30" s="323" customFormat="1" ht="12" customHeight="1">
      <c r="B812" s="324"/>
      <c r="C812" s="325"/>
      <c r="D812" s="326"/>
      <c r="E812" s="326"/>
      <c r="F812" s="326"/>
      <c r="G812" s="326"/>
      <c r="H812" s="326"/>
      <c r="P812" s="318"/>
      <c r="Q812" s="318"/>
      <c r="R812" s="318"/>
      <c r="S812" s="318"/>
      <c r="T812" s="318"/>
      <c r="U812" s="318"/>
      <c r="V812" s="318"/>
      <c r="W812" s="318"/>
      <c r="X812" s="318"/>
      <c r="Y812" s="318"/>
      <c r="Z812" s="318"/>
      <c r="AA812" s="318"/>
      <c r="AB812" s="318"/>
      <c r="AC812" s="318"/>
      <c r="AD812" s="318"/>
    </row>
    <row r="813" spans="2:30" s="323" customFormat="1" ht="12" customHeight="1">
      <c r="B813" s="324"/>
      <c r="C813" s="325"/>
      <c r="D813" s="326"/>
      <c r="E813" s="326"/>
      <c r="F813" s="326"/>
      <c r="G813" s="326"/>
      <c r="H813" s="326"/>
      <c r="P813" s="318"/>
      <c r="Q813" s="318"/>
      <c r="R813" s="318"/>
      <c r="S813" s="318"/>
      <c r="T813" s="318"/>
      <c r="U813" s="318"/>
      <c r="V813" s="318"/>
      <c r="W813" s="318"/>
      <c r="X813" s="318"/>
      <c r="Y813" s="318"/>
      <c r="Z813" s="318"/>
      <c r="AA813" s="318"/>
      <c r="AB813" s="318"/>
      <c r="AC813" s="318"/>
      <c r="AD813" s="318"/>
    </row>
    <row r="814" spans="2:30" s="323" customFormat="1" ht="12" customHeight="1">
      <c r="B814" s="324"/>
      <c r="C814" s="325"/>
      <c r="D814" s="326"/>
      <c r="E814" s="326"/>
      <c r="F814" s="326"/>
      <c r="G814" s="326"/>
      <c r="H814" s="326"/>
      <c r="P814" s="318"/>
      <c r="Q814" s="318"/>
      <c r="R814" s="318"/>
      <c r="S814" s="318"/>
      <c r="T814" s="318"/>
      <c r="U814" s="318"/>
      <c r="V814" s="318"/>
      <c r="W814" s="318"/>
      <c r="X814" s="318"/>
      <c r="Y814" s="318"/>
      <c r="Z814" s="318"/>
      <c r="AA814" s="318"/>
      <c r="AB814" s="318"/>
      <c r="AC814" s="318"/>
      <c r="AD814" s="318"/>
    </row>
    <row r="815" spans="2:30" s="323" customFormat="1" ht="12" customHeight="1">
      <c r="B815" s="324"/>
      <c r="C815" s="325"/>
      <c r="D815" s="326"/>
      <c r="E815" s="326"/>
      <c r="F815" s="326"/>
      <c r="G815" s="326"/>
      <c r="H815" s="326"/>
      <c r="P815" s="318"/>
      <c r="Q815" s="318"/>
      <c r="R815" s="318"/>
      <c r="S815" s="318"/>
      <c r="T815" s="318"/>
      <c r="U815" s="318"/>
      <c r="V815" s="318"/>
      <c r="W815" s="318"/>
      <c r="X815" s="318"/>
      <c r="Y815" s="318"/>
      <c r="Z815" s="318"/>
      <c r="AA815" s="318"/>
      <c r="AB815" s="318"/>
      <c r="AC815" s="318"/>
      <c r="AD815" s="318"/>
    </row>
    <row r="816" spans="2:30" s="323" customFormat="1" ht="12" customHeight="1">
      <c r="B816" s="324"/>
      <c r="C816" s="325"/>
      <c r="D816" s="326"/>
      <c r="E816" s="326"/>
      <c r="F816" s="326"/>
      <c r="G816" s="326"/>
      <c r="H816" s="326"/>
      <c r="P816" s="318"/>
      <c r="Q816" s="318"/>
      <c r="R816" s="318"/>
      <c r="S816" s="318"/>
      <c r="T816" s="318"/>
      <c r="U816" s="318"/>
      <c r="V816" s="318"/>
      <c r="W816" s="318"/>
      <c r="X816" s="318"/>
      <c r="Y816" s="318"/>
      <c r="Z816" s="318"/>
      <c r="AA816" s="318"/>
      <c r="AB816" s="318"/>
      <c r="AC816" s="318"/>
      <c r="AD816" s="318"/>
    </row>
    <row r="817" spans="2:30" s="323" customFormat="1" ht="12" customHeight="1">
      <c r="B817" s="324"/>
      <c r="C817" s="325"/>
      <c r="D817" s="326"/>
      <c r="E817" s="326"/>
      <c r="F817" s="326"/>
      <c r="G817" s="326"/>
      <c r="H817" s="326"/>
      <c r="P817" s="318"/>
      <c r="Q817" s="318"/>
      <c r="R817" s="318"/>
      <c r="S817" s="318"/>
      <c r="T817" s="318"/>
      <c r="U817" s="318"/>
      <c r="V817" s="318"/>
      <c r="W817" s="318"/>
      <c r="X817" s="318"/>
      <c r="Y817" s="318"/>
      <c r="Z817" s="318"/>
      <c r="AA817" s="318"/>
      <c r="AB817" s="318"/>
      <c r="AC817" s="318"/>
      <c r="AD817" s="318"/>
    </row>
    <row r="818" spans="2:30" s="323" customFormat="1" ht="12" customHeight="1">
      <c r="B818" s="324"/>
      <c r="C818" s="325"/>
      <c r="D818" s="326"/>
      <c r="E818" s="326"/>
      <c r="F818" s="326"/>
      <c r="G818" s="326"/>
      <c r="H818" s="326"/>
      <c r="P818" s="318"/>
      <c r="Q818" s="318"/>
      <c r="R818" s="318"/>
      <c r="S818" s="318"/>
      <c r="T818" s="318"/>
      <c r="U818" s="318"/>
      <c r="V818" s="318"/>
      <c r="W818" s="318"/>
      <c r="X818" s="318"/>
      <c r="Y818" s="318"/>
      <c r="Z818" s="318"/>
      <c r="AA818" s="318"/>
      <c r="AB818" s="318"/>
      <c r="AC818" s="318"/>
      <c r="AD818" s="318"/>
    </row>
    <row r="819" spans="2:30" s="323" customFormat="1" ht="12" customHeight="1">
      <c r="B819" s="324"/>
      <c r="C819" s="325"/>
      <c r="D819" s="326"/>
      <c r="E819" s="326"/>
      <c r="F819" s="326"/>
      <c r="G819" s="326"/>
      <c r="H819" s="326"/>
      <c r="P819" s="318"/>
      <c r="Q819" s="318"/>
      <c r="R819" s="318"/>
      <c r="S819" s="318"/>
      <c r="T819" s="318"/>
      <c r="U819" s="318"/>
      <c r="V819" s="318"/>
      <c r="W819" s="318"/>
      <c r="X819" s="318"/>
      <c r="Y819" s="318"/>
      <c r="Z819" s="318"/>
      <c r="AA819" s="318"/>
      <c r="AB819" s="318"/>
      <c r="AC819" s="318"/>
      <c r="AD819" s="318"/>
    </row>
    <row r="820" spans="2:30" s="323" customFormat="1" ht="12" customHeight="1">
      <c r="B820" s="324"/>
      <c r="C820" s="325"/>
      <c r="D820" s="326"/>
      <c r="E820" s="326"/>
      <c r="F820" s="326"/>
      <c r="G820" s="326"/>
      <c r="H820" s="326"/>
      <c r="P820" s="318"/>
      <c r="Q820" s="318"/>
      <c r="R820" s="318"/>
      <c r="S820" s="318"/>
      <c r="T820" s="318"/>
      <c r="U820" s="318"/>
      <c r="V820" s="318"/>
      <c r="W820" s="318"/>
      <c r="X820" s="318"/>
      <c r="Y820" s="318"/>
      <c r="Z820" s="318"/>
      <c r="AA820" s="318"/>
      <c r="AB820" s="318"/>
      <c r="AC820" s="318"/>
      <c r="AD820" s="318"/>
    </row>
    <row r="821" spans="2:30" s="323" customFormat="1" ht="12" customHeight="1">
      <c r="B821" s="324"/>
      <c r="C821" s="325"/>
      <c r="D821" s="326"/>
      <c r="E821" s="326"/>
      <c r="F821" s="326"/>
      <c r="G821" s="326"/>
      <c r="H821" s="326"/>
      <c r="P821" s="318"/>
      <c r="Q821" s="318"/>
      <c r="R821" s="318"/>
      <c r="S821" s="318"/>
      <c r="T821" s="318"/>
      <c r="U821" s="318"/>
      <c r="V821" s="318"/>
      <c r="W821" s="318"/>
      <c r="X821" s="318"/>
      <c r="Y821" s="318"/>
      <c r="Z821" s="318"/>
      <c r="AA821" s="318"/>
      <c r="AB821" s="318"/>
      <c r="AC821" s="318"/>
      <c r="AD821" s="318"/>
    </row>
    <row r="822" spans="2:30" s="323" customFormat="1" ht="12" customHeight="1">
      <c r="B822" s="324"/>
      <c r="C822" s="325"/>
      <c r="D822" s="326"/>
      <c r="E822" s="326"/>
      <c r="F822" s="326"/>
      <c r="G822" s="326"/>
      <c r="H822" s="326"/>
      <c r="P822" s="318"/>
      <c r="Q822" s="318"/>
      <c r="R822" s="318"/>
      <c r="S822" s="318"/>
      <c r="T822" s="318"/>
      <c r="U822" s="318"/>
      <c r="V822" s="318"/>
      <c r="W822" s="318"/>
      <c r="X822" s="318"/>
      <c r="Y822" s="318"/>
      <c r="Z822" s="318"/>
      <c r="AA822" s="318"/>
      <c r="AB822" s="318"/>
      <c r="AC822" s="318"/>
      <c r="AD822" s="318"/>
    </row>
    <row r="823" spans="2:30" s="323" customFormat="1" ht="12" customHeight="1">
      <c r="B823" s="324"/>
      <c r="C823" s="325"/>
      <c r="D823" s="326"/>
      <c r="E823" s="326"/>
      <c r="F823" s="326"/>
      <c r="G823" s="326"/>
      <c r="H823" s="326"/>
      <c r="P823" s="318"/>
      <c r="Q823" s="318"/>
      <c r="R823" s="318"/>
      <c r="S823" s="318"/>
      <c r="T823" s="318"/>
      <c r="U823" s="318"/>
      <c r="V823" s="318"/>
      <c r="W823" s="318"/>
      <c r="X823" s="318"/>
      <c r="Y823" s="318"/>
      <c r="Z823" s="318"/>
      <c r="AA823" s="318"/>
      <c r="AB823" s="318"/>
      <c r="AC823" s="318"/>
      <c r="AD823" s="318"/>
    </row>
    <row r="824" spans="2:30" s="323" customFormat="1" ht="12" customHeight="1">
      <c r="B824" s="324"/>
      <c r="C824" s="325"/>
      <c r="D824" s="326"/>
      <c r="E824" s="326"/>
      <c r="F824" s="326"/>
      <c r="G824" s="326"/>
      <c r="H824" s="326"/>
      <c r="P824" s="318"/>
      <c r="Q824" s="318"/>
      <c r="R824" s="318"/>
      <c r="S824" s="318"/>
      <c r="T824" s="318"/>
      <c r="U824" s="318"/>
      <c r="V824" s="318"/>
      <c r="W824" s="318"/>
      <c r="X824" s="318"/>
      <c r="Y824" s="318"/>
      <c r="Z824" s="318"/>
      <c r="AA824" s="318"/>
      <c r="AB824" s="318"/>
      <c r="AC824" s="318"/>
      <c r="AD824" s="318"/>
    </row>
    <row r="825" spans="2:30" s="323" customFormat="1" ht="12" customHeight="1">
      <c r="B825" s="324"/>
      <c r="C825" s="325"/>
      <c r="D825" s="326"/>
      <c r="E825" s="326"/>
      <c r="F825" s="326"/>
      <c r="G825" s="326"/>
      <c r="H825" s="326"/>
      <c r="P825" s="318"/>
      <c r="Q825" s="318"/>
      <c r="R825" s="318"/>
      <c r="S825" s="318"/>
      <c r="T825" s="318"/>
      <c r="U825" s="318"/>
      <c r="V825" s="318"/>
      <c r="W825" s="318"/>
      <c r="X825" s="318"/>
      <c r="Y825" s="318"/>
      <c r="Z825" s="318"/>
      <c r="AA825" s="318"/>
      <c r="AB825" s="318"/>
      <c r="AC825" s="318"/>
      <c r="AD825" s="318"/>
    </row>
    <row r="826" spans="2:30" s="323" customFormat="1" ht="12" customHeight="1">
      <c r="B826" s="324"/>
      <c r="C826" s="325"/>
      <c r="D826" s="326"/>
      <c r="E826" s="326"/>
      <c r="F826" s="326"/>
      <c r="G826" s="326"/>
      <c r="H826" s="326"/>
      <c r="P826" s="318"/>
      <c r="Q826" s="318"/>
      <c r="R826" s="318"/>
      <c r="S826" s="318"/>
      <c r="T826" s="318"/>
      <c r="U826" s="318"/>
      <c r="V826" s="318"/>
      <c r="W826" s="318"/>
      <c r="X826" s="318"/>
      <c r="Y826" s="318"/>
      <c r="Z826" s="318"/>
      <c r="AA826" s="318"/>
      <c r="AB826" s="318"/>
      <c r="AC826" s="318"/>
      <c r="AD826" s="318"/>
    </row>
    <row r="827" spans="2:30" s="323" customFormat="1" ht="12" customHeight="1">
      <c r="B827" s="324"/>
      <c r="C827" s="325"/>
      <c r="D827" s="326"/>
      <c r="E827" s="326"/>
      <c r="F827" s="326"/>
      <c r="G827" s="326"/>
      <c r="H827" s="326"/>
      <c r="P827" s="318"/>
      <c r="Q827" s="318"/>
      <c r="R827" s="318"/>
      <c r="S827" s="318"/>
      <c r="T827" s="318"/>
      <c r="U827" s="318"/>
      <c r="V827" s="318"/>
      <c r="W827" s="318"/>
      <c r="X827" s="318"/>
      <c r="Y827" s="318"/>
      <c r="Z827" s="318"/>
      <c r="AA827" s="318"/>
      <c r="AB827" s="318"/>
      <c r="AC827" s="318"/>
      <c r="AD827" s="318"/>
    </row>
    <row r="828" spans="2:30" s="323" customFormat="1" ht="12" customHeight="1">
      <c r="B828" s="324"/>
      <c r="C828" s="325"/>
      <c r="D828" s="326"/>
      <c r="E828" s="326"/>
      <c r="F828" s="326"/>
      <c r="G828" s="326"/>
      <c r="H828" s="326"/>
      <c r="P828" s="318"/>
      <c r="Q828" s="318"/>
      <c r="R828" s="318"/>
      <c r="S828" s="318"/>
      <c r="T828" s="318"/>
      <c r="U828" s="318"/>
      <c r="V828" s="318"/>
      <c r="W828" s="318"/>
      <c r="X828" s="318"/>
      <c r="Y828" s="318"/>
      <c r="Z828" s="318"/>
      <c r="AA828" s="318"/>
      <c r="AB828" s="318"/>
      <c r="AC828" s="318"/>
      <c r="AD828" s="318"/>
    </row>
    <row r="829" spans="2:30" s="323" customFormat="1" ht="12" customHeight="1">
      <c r="B829" s="324"/>
      <c r="C829" s="325"/>
      <c r="D829" s="326"/>
      <c r="E829" s="326"/>
      <c r="F829" s="326"/>
      <c r="G829" s="326"/>
      <c r="H829" s="326"/>
      <c r="P829" s="318"/>
      <c r="Q829" s="318"/>
      <c r="R829" s="318"/>
      <c r="S829" s="318"/>
      <c r="T829" s="318"/>
      <c r="U829" s="318"/>
      <c r="V829" s="318"/>
      <c r="W829" s="318"/>
      <c r="X829" s="318"/>
      <c r="Y829" s="318"/>
      <c r="Z829" s="318"/>
      <c r="AA829" s="318"/>
      <c r="AB829" s="318"/>
      <c r="AC829" s="318"/>
      <c r="AD829" s="318"/>
    </row>
    <row r="830" spans="2:30" s="323" customFormat="1" ht="12" customHeight="1">
      <c r="B830" s="324"/>
      <c r="C830" s="325"/>
      <c r="D830" s="326"/>
      <c r="E830" s="326"/>
      <c r="F830" s="326"/>
      <c r="G830" s="326"/>
      <c r="H830" s="326"/>
      <c r="P830" s="318"/>
      <c r="Q830" s="318"/>
      <c r="R830" s="318"/>
      <c r="S830" s="318"/>
      <c r="T830" s="318"/>
      <c r="U830" s="318"/>
      <c r="V830" s="318"/>
      <c r="W830" s="318"/>
      <c r="X830" s="318"/>
      <c r="Y830" s="318"/>
      <c r="Z830" s="318"/>
      <c r="AA830" s="318"/>
      <c r="AB830" s="318"/>
      <c r="AC830" s="318"/>
      <c r="AD830" s="318"/>
    </row>
    <row r="831" spans="2:30" s="323" customFormat="1" ht="12" customHeight="1">
      <c r="B831" s="324"/>
      <c r="C831" s="325"/>
      <c r="D831" s="326"/>
      <c r="E831" s="326"/>
      <c r="F831" s="326"/>
      <c r="G831" s="326"/>
      <c r="H831" s="326"/>
      <c r="P831" s="318"/>
      <c r="Q831" s="318"/>
      <c r="R831" s="318"/>
      <c r="S831" s="318"/>
      <c r="T831" s="318"/>
      <c r="U831" s="318"/>
      <c r="V831" s="318"/>
      <c r="W831" s="318"/>
      <c r="X831" s="318"/>
      <c r="Y831" s="318"/>
      <c r="Z831" s="318"/>
      <c r="AA831" s="318"/>
      <c r="AB831" s="318"/>
      <c r="AC831" s="318"/>
      <c r="AD831" s="318"/>
    </row>
    <row r="832" spans="2:30" s="323" customFormat="1" ht="12" customHeight="1">
      <c r="B832" s="324"/>
      <c r="C832" s="325"/>
      <c r="D832" s="326"/>
      <c r="E832" s="326"/>
      <c r="F832" s="326"/>
      <c r="G832" s="326"/>
      <c r="H832" s="326"/>
      <c r="P832" s="318"/>
      <c r="Q832" s="318"/>
      <c r="R832" s="318"/>
      <c r="S832" s="318"/>
      <c r="T832" s="318"/>
      <c r="U832" s="318"/>
      <c r="V832" s="318"/>
      <c r="W832" s="318"/>
      <c r="X832" s="318"/>
      <c r="Y832" s="318"/>
      <c r="Z832" s="318"/>
      <c r="AA832" s="318"/>
      <c r="AB832" s="318"/>
      <c r="AC832" s="318"/>
      <c r="AD832" s="318"/>
    </row>
    <row r="833" spans="2:30" s="323" customFormat="1" ht="12" customHeight="1">
      <c r="B833" s="324"/>
      <c r="C833" s="325"/>
      <c r="D833" s="326"/>
      <c r="E833" s="326"/>
      <c r="F833" s="326"/>
      <c r="G833" s="326"/>
      <c r="H833" s="326"/>
      <c r="P833" s="318"/>
      <c r="Q833" s="318"/>
      <c r="R833" s="318"/>
      <c r="S833" s="318"/>
      <c r="T833" s="318"/>
      <c r="U833" s="318"/>
      <c r="V833" s="318"/>
      <c r="W833" s="318"/>
      <c r="X833" s="318"/>
      <c r="Y833" s="318"/>
      <c r="Z833" s="318"/>
      <c r="AA833" s="318"/>
      <c r="AB833" s="318"/>
      <c r="AC833" s="318"/>
      <c r="AD833" s="318"/>
    </row>
    <row r="834" spans="2:30" s="323" customFormat="1" ht="12" customHeight="1">
      <c r="B834" s="324"/>
      <c r="C834" s="325"/>
      <c r="D834" s="326"/>
      <c r="E834" s="326"/>
      <c r="F834" s="326"/>
      <c r="G834" s="326"/>
      <c r="H834" s="326"/>
      <c r="P834" s="318"/>
      <c r="Q834" s="318"/>
      <c r="R834" s="318"/>
      <c r="S834" s="318"/>
      <c r="T834" s="318"/>
      <c r="U834" s="318"/>
      <c r="V834" s="318"/>
      <c r="W834" s="318"/>
      <c r="X834" s="318"/>
      <c r="Y834" s="318"/>
      <c r="Z834" s="318"/>
      <c r="AA834" s="318"/>
      <c r="AB834" s="318"/>
      <c r="AC834" s="318"/>
      <c r="AD834" s="318"/>
    </row>
    <row r="835" spans="2:30" s="323" customFormat="1" ht="12" customHeight="1">
      <c r="B835" s="324"/>
      <c r="C835" s="325"/>
      <c r="D835" s="326"/>
      <c r="E835" s="326"/>
      <c r="F835" s="326"/>
      <c r="G835" s="326"/>
      <c r="H835" s="326"/>
      <c r="P835" s="318"/>
      <c r="Q835" s="318"/>
      <c r="R835" s="318"/>
      <c r="S835" s="318"/>
      <c r="T835" s="318"/>
      <c r="U835" s="318"/>
      <c r="V835" s="318"/>
      <c r="W835" s="318"/>
      <c r="X835" s="318"/>
      <c r="Y835" s="318"/>
      <c r="Z835" s="318"/>
      <c r="AA835" s="318"/>
      <c r="AB835" s="318"/>
      <c r="AC835" s="318"/>
      <c r="AD835" s="318"/>
    </row>
    <row r="836" spans="2:30" s="323" customFormat="1" ht="12" customHeight="1">
      <c r="B836" s="324"/>
      <c r="C836" s="325"/>
      <c r="D836" s="326"/>
      <c r="E836" s="326"/>
      <c r="F836" s="326"/>
      <c r="G836" s="326"/>
      <c r="H836" s="326"/>
      <c r="P836" s="318"/>
      <c r="Q836" s="318"/>
      <c r="R836" s="318"/>
      <c r="S836" s="318"/>
      <c r="T836" s="318"/>
      <c r="U836" s="318"/>
      <c r="V836" s="318"/>
      <c r="W836" s="318"/>
      <c r="X836" s="318"/>
      <c r="Y836" s="318"/>
      <c r="Z836" s="318"/>
      <c r="AA836" s="318"/>
      <c r="AB836" s="318"/>
      <c r="AC836" s="318"/>
      <c r="AD836" s="318"/>
    </row>
    <row r="837" spans="2:30" s="323" customFormat="1" ht="12" customHeight="1">
      <c r="B837" s="324"/>
      <c r="C837" s="325"/>
      <c r="D837" s="326"/>
      <c r="E837" s="326"/>
      <c r="F837" s="326"/>
      <c r="G837" s="326"/>
      <c r="H837" s="326"/>
      <c r="P837" s="318"/>
      <c r="Q837" s="318"/>
      <c r="R837" s="318"/>
      <c r="S837" s="318"/>
      <c r="T837" s="318"/>
      <c r="U837" s="318"/>
      <c r="V837" s="318"/>
      <c r="W837" s="318"/>
      <c r="X837" s="318"/>
      <c r="Y837" s="318"/>
      <c r="Z837" s="318"/>
      <c r="AA837" s="318"/>
      <c r="AB837" s="318"/>
      <c r="AC837" s="318"/>
      <c r="AD837" s="318"/>
    </row>
    <row r="838" spans="2:30" s="323" customFormat="1" ht="12" customHeight="1">
      <c r="B838" s="324"/>
      <c r="C838" s="325"/>
      <c r="D838" s="326"/>
      <c r="E838" s="326"/>
      <c r="F838" s="326"/>
      <c r="G838" s="326"/>
      <c r="H838" s="326"/>
      <c r="P838" s="318"/>
      <c r="Q838" s="318"/>
      <c r="R838" s="318"/>
      <c r="S838" s="318"/>
      <c r="T838" s="318"/>
      <c r="U838" s="318"/>
      <c r="V838" s="318"/>
      <c r="W838" s="318"/>
      <c r="X838" s="318"/>
      <c r="Y838" s="318"/>
      <c r="Z838" s="318"/>
      <c r="AA838" s="318"/>
      <c r="AB838" s="318"/>
      <c r="AC838" s="318"/>
      <c r="AD838" s="318"/>
    </row>
    <row r="839" spans="2:30" s="323" customFormat="1" ht="12" customHeight="1">
      <c r="B839" s="324"/>
      <c r="C839" s="325"/>
      <c r="D839" s="326"/>
      <c r="E839" s="326"/>
      <c r="F839" s="326"/>
      <c r="G839" s="326"/>
      <c r="H839" s="326"/>
      <c r="P839" s="318"/>
      <c r="Q839" s="318"/>
      <c r="R839" s="318"/>
      <c r="S839" s="318"/>
      <c r="T839" s="318"/>
      <c r="U839" s="318"/>
      <c r="V839" s="318"/>
      <c r="W839" s="318"/>
      <c r="X839" s="318"/>
      <c r="Y839" s="318"/>
      <c r="Z839" s="318"/>
      <c r="AA839" s="318"/>
      <c r="AB839" s="318"/>
      <c r="AC839" s="318"/>
      <c r="AD839" s="318"/>
    </row>
    <row r="840" spans="2:30" s="323" customFormat="1" ht="12" customHeight="1">
      <c r="B840" s="324"/>
      <c r="C840" s="325"/>
      <c r="D840" s="326"/>
      <c r="E840" s="326"/>
      <c r="F840" s="326"/>
      <c r="G840" s="326"/>
      <c r="H840" s="326"/>
      <c r="P840" s="318"/>
      <c r="Q840" s="318"/>
      <c r="R840" s="318"/>
      <c r="S840" s="318"/>
      <c r="T840" s="318"/>
      <c r="U840" s="318"/>
      <c r="V840" s="318"/>
      <c r="W840" s="318"/>
      <c r="X840" s="318"/>
      <c r="Y840" s="318"/>
      <c r="Z840" s="318"/>
      <c r="AA840" s="318"/>
      <c r="AB840" s="318"/>
      <c r="AC840" s="318"/>
      <c r="AD840" s="318"/>
    </row>
    <row r="841" spans="2:30" s="323" customFormat="1" ht="12" customHeight="1">
      <c r="B841" s="324"/>
      <c r="C841" s="325"/>
      <c r="D841" s="326"/>
      <c r="E841" s="326"/>
      <c r="F841" s="326"/>
      <c r="G841" s="326"/>
      <c r="H841" s="326"/>
      <c r="P841" s="318"/>
      <c r="Q841" s="318"/>
      <c r="R841" s="318"/>
      <c r="S841" s="318"/>
      <c r="T841" s="318"/>
      <c r="U841" s="318"/>
      <c r="V841" s="318"/>
      <c r="W841" s="318"/>
      <c r="X841" s="318"/>
      <c r="Y841" s="318"/>
      <c r="Z841" s="318"/>
      <c r="AA841" s="318"/>
      <c r="AB841" s="318"/>
      <c r="AC841" s="318"/>
      <c r="AD841" s="318"/>
    </row>
    <row r="842" spans="2:30" s="323" customFormat="1" ht="12" customHeight="1">
      <c r="B842" s="324"/>
      <c r="C842" s="325"/>
      <c r="D842" s="326"/>
      <c r="E842" s="326"/>
      <c r="F842" s="326"/>
      <c r="G842" s="326"/>
      <c r="H842" s="326"/>
      <c r="P842" s="318"/>
      <c r="Q842" s="318"/>
      <c r="R842" s="318"/>
      <c r="S842" s="318"/>
      <c r="T842" s="318"/>
      <c r="U842" s="318"/>
      <c r="V842" s="318"/>
      <c r="W842" s="318"/>
      <c r="X842" s="318"/>
      <c r="Y842" s="318"/>
      <c r="Z842" s="318"/>
      <c r="AA842" s="318"/>
      <c r="AB842" s="318"/>
      <c r="AC842" s="318"/>
      <c r="AD842" s="318"/>
    </row>
    <row r="843" spans="2:30" s="323" customFormat="1" ht="12" customHeight="1">
      <c r="B843" s="324"/>
      <c r="C843" s="325"/>
      <c r="D843" s="326"/>
      <c r="E843" s="326"/>
      <c r="F843" s="326"/>
      <c r="G843" s="326"/>
      <c r="H843" s="326"/>
      <c r="P843" s="318"/>
      <c r="Q843" s="318"/>
      <c r="R843" s="318"/>
      <c r="S843" s="318"/>
      <c r="T843" s="318"/>
      <c r="U843" s="318"/>
      <c r="V843" s="318"/>
      <c r="W843" s="318"/>
      <c r="X843" s="318"/>
      <c r="Y843" s="318"/>
      <c r="Z843" s="318"/>
      <c r="AA843" s="318"/>
      <c r="AB843" s="318"/>
      <c r="AC843" s="318"/>
      <c r="AD843" s="318"/>
    </row>
    <row r="844" spans="2:30" s="323" customFormat="1" ht="12" customHeight="1">
      <c r="B844" s="324"/>
      <c r="C844" s="325"/>
      <c r="D844" s="326"/>
      <c r="E844" s="326"/>
      <c r="F844" s="326"/>
      <c r="G844" s="326"/>
      <c r="H844" s="326"/>
      <c r="P844" s="318"/>
      <c r="Q844" s="318"/>
      <c r="R844" s="318"/>
      <c r="S844" s="318"/>
      <c r="T844" s="318"/>
      <c r="U844" s="318"/>
      <c r="V844" s="318"/>
      <c r="W844" s="318"/>
      <c r="X844" s="318"/>
      <c r="Y844" s="318"/>
      <c r="Z844" s="318"/>
      <c r="AA844" s="318"/>
      <c r="AB844" s="318"/>
      <c r="AC844" s="318"/>
      <c r="AD844" s="318"/>
    </row>
    <row r="845" spans="2:30" s="323" customFormat="1" ht="12" customHeight="1">
      <c r="B845" s="324"/>
      <c r="C845" s="325"/>
      <c r="D845" s="326"/>
      <c r="E845" s="326"/>
      <c r="F845" s="326"/>
      <c r="G845" s="326"/>
      <c r="H845" s="326"/>
      <c r="P845" s="318"/>
      <c r="Q845" s="318"/>
      <c r="R845" s="318"/>
      <c r="S845" s="318"/>
      <c r="T845" s="318"/>
      <c r="U845" s="318"/>
      <c r="V845" s="318"/>
      <c r="W845" s="318"/>
      <c r="X845" s="318"/>
      <c r="Y845" s="318"/>
      <c r="Z845" s="318"/>
      <c r="AA845" s="318"/>
      <c r="AB845" s="318"/>
      <c r="AC845" s="318"/>
      <c r="AD845" s="318"/>
    </row>
    <row r="846" spans="2:30" s="323" customFormat="1" ht="12" customHeight="1">
      <c r="B846" s="324"/>
      <c r="C846" s="325"/>
      <c r="D846" s="326"/>
      <c r="E846" s="326"/>
      <c r="F846" s="326"/>
      <c r="G846" s="326"/>
      <c r="H846" s="326"/>
      <c r="P846" s="318"/>
      <c r="Q846" s="318"/>
      <c r="R846" s="318"/>
      <c r="S846" s="318"/>
      <c r="T846" s="318"/>
      <c r="U846" s="318"/>
      <c r="V846" s="318"/>
      <c r="W846" s="318"/>
      <c r="X846" s="318"/>
      <c r="Y846" s="318"/>
      <c r="Z846" s="318"/>
      <c r="AA846" s="318"/>
      <c r="AB846" s="318"/>
      <c r="AC846" s="318"/>
      <c r="AD846" s="318"/>
    </row>
    <row r="847" spans="2:30" s="323" customFormat="1" ht="12" customHeight="1">
      <c r="B847" s="324"/>
      <c r="C847" s="325"/>
      <c r="D847" s="326"/>
      <c r="E847" s="326"/>
      <c r="F847" s="326"/>
      <c r="G847" s="326"/>
      <c r="H847" s="326"/>
      <c r="P847" s="318"/>
      <c r="Q847" s="318"/>
      <c r="R847" s="318"/>
      <c r="S847" s="318"/>
      <c r="T847" s="318"/>
      <c r="U847" s="318"/>
      <c r="V847" s="318"/>
      <c r="W847" s="318"/>
      <c r="X847" s="318"/>
      <c r="Y847" s="318"/>
      <c r="Z847" s="318"/>
      <c r="AA847" s="318"/>
      <c r="AB847" s="318"/>
      <c r="AC847" s="318"/>
      <c r="AD847" s="318"/>
    </row>
    <row r="848" spans="2:30" s="323" customFormat="1" ht="12" customHeight="1">
      <c r="B848" s="324"/>
      <c r="C848" s="325"/>
      <c r="D848" s="326"/>
      <c r="E848" s="326"/>
      <c r="F848" s="326"/>
      <c r="G848" s="326"/>
      <c r="H848" s="326"/>
      <c r="P848" s="318"/>
      <c r="Q848" s="318"/>
      <c r="R848" s="318"/>
      <c r="S848" s="318"/>
      <c r="T848" s="318"/>
      <c r="U848" s="318"/>
      <c r="V848" s="318"/>
      <c r="W848" s="318"/>
      <c r="X848" s="318"/>
      <c r="Y848" s="318"/>
      <c r="Z848" s="318"/>
      <c r="AA848" s="318"/>
      <c r="AB848" s="318"/>
      <c r="AC848" s="318"/>
      <c r="AD848" s="318"/>
    </row>
    <row r="849" spans="2:30" s="323" customFormat="1" ht="12" customHeight="1">
      <c r="B849" s="324"/>
      <c r="C849" s="325"/>
      <c r="D849" s="326"/>
      <c r="E849" s="326"/>
      <c r="F849" s="326"/>
      <c r="G849" s="326"/>
      <c r="H849" s="326"/>
      <c r="P849" s="318"/>
      <c r="Q849" s="318"/>
      <c r="R849" s="318"/>
      <c r="S849" s="318"/>
      <c r="T849" s="318"/>
      <c r="U849" s="318"/>
      <c r="V849" s="318"/>
      <c r="W849" s="318"/>
      <c r="X849" s="318"/>
      <c r="Y849" s="318"/>
      <c r="Z849" s="318"/>
      <c r="AA849" s="318"/>
      <c r="AB849" s="318"/>
      <c r="AC849" s="318"/>
      <c r="AD849" s="318"/>
    </row>
    <row r="850" spans="2:30" s="323" customFormat="1" ht="12" customHeight="1">
      <c r="B850" s="324"/>
      <c r="C850" s="325"/>
      <c r="D850" s="326"/>
      <c r="E850" s="326"/>
      <c r="F850" s="326"/>
      <c r="G850" s="326"/>
      <c r="H850" s="326"/>
      <c r="P850" s="318"/>
      <c r="Q850" s="318"/>
      <c r="R850" s="318"/>
      <c r="S850" s="318"/>
      <c r="T850" s="318"/>
      <c r="U850" s="318"/>
      <c r="V850" s="318"/>
      <c r="W850" s="318"/>
      <c r="X850" s="318"/>
      <c r="Y850" s="318"/>
      <c r="Z850" s="318"/>
      <c r="AA850" s="318"/>
      <c r="AB850" s="318"/>
      <c r="AC850" s="318"/>
      <c r="AD850" s="318"/>
    </row>
    <row r="851" spans="2:30" s="323" customFormat="1" ht="12" customHeight="1">
      <c r="B851" s="324"/>
      <c r="C851" s="325"/>
      <c r="D851" s="326"/>
      <c r="E851" s="326"/>
      <c r="F851" s="326"/>
      <c r="G851" s="326"/>
      <c r="H851" s="326"/>
      <c r="P851" s="318"/>
      <c r="Q851" s="318"/>
      <c r="R851" s="318"/>
      <c r="S851" s="318"/>
      <c r="T851" s="318"/>
      <c r="U851" s="318"/>
      <c r="V851" s="318"/>
      <c r="W851" s="318"/>
      <c r="X851" s="318"/>
      <c r="Y851" s="318"/>
      <c r="Z851" s="318"/>
      <c r="AA851" s="318"/>
      <c r="AB851" s="318"/>
      <c r="AC851" s="318"/>
      <c r="AD851" s="318"/>
    </row>
    <row r="852" spans="2:30" s="323" customFormat="1" ht="12" customHeight="1">
      <c r="B852" s="324"/>
      <c r="C852" s="325"/>
      <c r="D852" s="326"/>
      <c r="E852" s="326"/>
      <c r="F852" s="326"/>
      <c r="G852" s="326"/>
      <c r="H852" s="326"/>
      <c r="P852" s="318"/>
      <c r="Q852" s="318"/>
      <c r="R852" s="318"/>
      <c r="S852" s="318"/>
      <c r="T852" s="318"/>
      <c r="U852" s="318"/>
      <c r="V852" s="318"/>
      <c r="W852" s="318"/>
      <c r="X852" s="318"/>
      <c r="Y852" s="318"/>
      <c r="Z852" s="318"/>
      <c r="AA852" s="318"/>
      <c r="AB852" s="318"/>
      <c r="AC852" s="318"/>
      <c r="AD852" s="318"/>
    </row>
    <row r="853" spans="2:30" s="323" customFormat="1" ht="12" customHeight="1">
      <c r="B853" s="324"/>
      <c r="C853" s="325"/>
      <c r="D853" s="326"/>
      <c r="E853" s="326"/>
      <c r="F853" s="326"/>
      <c r="G853" s="326"/>
      <c r="H853" s="326"/>
      <c r="P853" s="318"/>
      <c r="Q853" s="318"/>
      <c r="R853" s="318"/>
      <c r="S853" s="318"/>
      <c r="T853" s="318"/>
      <c r="U853" s="318"/>
      <c r="V853" s="318"/>
      <c r="W853" s="318"/>
      <c r="X853" s="318"/>
      <c r="Y853" s="318"/>
      <c r="Z853" s="318"/>
      <c r="AA853" s="318"/>
      <c r="AB853" s="318"/>
      <c r="AC853" s="318"/>
      <c r="AD853" s="318"/>
    </row>
    <row r="854" spans="2:30" s="323" customFormat="1" ht="12" customHeight="1">
      <c r="B854" s="324"/>
      <c r="C854" s="325"/>
      <c r="D854" s="326"/>
      <c r="E854" s="326"/>
      <c r="F854" s="326"/>
      <c r="G854" s="326"/>
      <c r="H854" s="326"/>
      <c r="P854" s="318"/>
      <c r="Q854" s="318"/>
      <c r="R854" s="318"/>
      <c r="S854" s="318"/>
      <c r="T854" s="318"/>
      <c r="U854" s="318"/>
      <c r="V854" s="318"/>
      <c r="W854" s="318"/>
      <c r="X854" s="318"/>
      <c r="Y854" s="318"/>
      <c r="Z854" s="318"/>
      <c r="AA854" s="318"/>
      <c r="AB854" s="318"/>
      <c r="AC854" s="318"/>
      <c r="AD854" s="318"/>
    </row>
    <row r="855" spans="2:30" s="323" customFormat="1" ht="12" customHeight="1">
      <c r="B855" s="324"/>
      <c r="C855" s="325"/>
      <c r="D855" s="326"/>
      <c r="E855" s="326"/>
      <c r="F855" s="326"/>
      <c r="G855" s="326"/>
      <c r="H855" s="326"/>
      <c r="P855" s="318"/>
      <c r="Q855" s="318"/>
      <c r="R855" s="318"/>
      <c r="S855" s="318"/>
      <c r="T855" s="318"/>
      <c r="U855" s="318"/>
      <c r="V855" s="318"/>
      <c r="W855" s="318"/>
      <c r="X855" s="318"/>
      <c r="Y855" s="318"/>
      <c r="Z855" s="318"/>
      <c r="AA855" s="318"/>
      <c r="AB855" s="318"/>
      <c r="AC855" s="318"/>
      <c r="AD855" s="318"/>
    </row>
    <row r="856" spans="2:30" s="323" customFormat="1" ht="12" customHeight="1">
      <c r="B856" s="324"/>
      <c r="C856" s="325"/>
      <c r="D856" s="326"/>
      <c r="E856" s="326"/>
      <c r="F856" s="326"/>
      <c r="G856" s="326"/>
      <c r="H856" s="326"/>
      <c r="P856" s="318"/>
      <c r="Q856" s="318"/>
      <c r="R856" s="318"/>
      <c r="S856" s="318"/>
      <c r="T856" s="318"/>
      <c r="U856" s="318"/>
      <c r="V856" s="318"/>
      <c r="W856" s="318"/>
      <c r="X856" s="318"/>
      <c r="Y856" s="318"/>
      <c r="Z856" s="318"/>
      <c r="AA856" s="318"/>
      <c r="AB856" s="318"/>
      <c r="AC856" s="318"/>
      <c r="AD856" s="318"/>
    </row>
    <row r="857" spans="2:30" s="323" customFormat="1" ht="12" customHeight="1">
      <c r="B857" s="324"/>
      <c r="C857" s="325"/>
      <c r="D857" s="326"/>
      <c r="E857" s="326"/>
      <c r="F857" s="326"/>
      <c r="G857" s="326"/>
      <c r="H857" s="326"/>
      <c r="P857" s="318"/>
      <c r="Q857" s="318"/>
      <c r="R857" s="318"/>
      <c r="S857" s="318"/>
      <c r="T857" s="318"/>
      <c r="U857" s="318"/>
      <c r="V857" s="318"/>
      <c r="W857" s="318"/>
      <c r="X857" s="318"/>
      <c r="Y857" s="318"/>
      <c r="Z857" s="318"/>
      <c r="AA857" s="318"/>
      <c r="AB857" s="318"/>
      <c r="AC857" s="318"/>
      <c r="AD857" s="318"/>
    </row>
    <row r="858" spans="2:30" s="323" customFormat="1" ht="12" customHeight="1">
      <c r="B858" s="324"/>
      <c r="C858" s="325"/>
      <c r="D858" s="326"/>
      <c r="E858" s="326"/>
      <c r="F858" s="326"/>
      <c r="G858" s="326"/>
      <c r="H858" s="326"/>
      <c r="P858" s="318"/>
      <c r="Q858" s="318"/>
      <c r="R858" s="318"/>
      <c r="S858" s="318"/>
      <c r="T858" s="318"/>
      <c r="U858" s="318"/>
      <c r="V858" s="318"/>
      <c r="W858" s="318"/>
      <c r="X858" s="318"/>
      <c r="Y858" s="318"/>
      <c r="Z858" s="318"/>
      <c r="AA858" s="318"/>
      <c r="AB858" s="318"/>
      <c r="AC858" s="318"/>
      <c r="AD858" s="318"/>
    </row>
    <row r="859" spans="2:30" s="323" customFormat="1" ht="12" customHeight="1">
      <c r="B859" s="324"/>
      <c r="C859" s="325"/>
      <c r="D859" s="326"/>
      <c r="E859" s="326"/>
      <c r="F859" s="326"/>
      <c r="G859" s="326"/>
      <c r="H859" s="326"/>
      <c r="P859" s="318"/>
      <c r="Q859" s="318"/>
      <c r="R859" s="318"/>
      <c r="S859" s="318"/>
      <c r="T859" s="318"/>
      <c r="U859" s="318"/>
      <c r="V859" s="318"/>
      <c r="W859" s="318"/>
      <c r="X859" s="318"/>
      <c r="Y859" s="318"/>
      <c r="Z859" s="318"/>
      <c r="AA859" s="318"/>
      <c r="AB859" s="318"/>
      <c r="AC859" s="318"/>
      <c r="AD859" s="318"/>
    </row>
    <row r="860" spans="2:30" s="323" customFormat="1" ht="12" customHeight="1">
      <c r="B860" s="324"/>
      <c r="C860" s="325"/>
      <c r="D860" s="326"/>
      <c r="E860" s="326"/>
      <c r="F860" s="326"/>
      <c r="G860" s="326"/>
      <c r="H860" s="326"/>
      <c r="P860" s="318"/>
      <c r="Q860" s="318"/>
      <c r="R860" s="318"/>
      <c r="S860" s="318"/>
      <c r="T860" s="318"/>
      <c r="U860" s="318"/>
      <c r="V860" s="318"/>
      <c r="W860" s="318"/>
      <c r="X860" s="318"/>
      <c r="Y860" s="318"/>
      <c r="Z860" s="318"/>
      <c r="AA860" s="318"/>
      <c r="AB860" s="318"/>
      <c r="AC860" s="318"/>
      <c r="AD860" s="318"/>
    </row>
    <row r="861" spans="2:30" s="323" customFormat="1" ht="12" customHeight="1">
      <c r="B861" s="324"/>
      <c r="C861" s="325"/>
      <c r="D861" s="326"/>
      <c r="E861" s="326"/>
      <c r="F861" s="326"/>
      <c r="G861" s="326"/>
      <c r="H861" s="326"/>
      <c r="P861" s="318"/>
      <c r="Q861" s="318"/>
      <c r="R861" s="318"/>
      <c r="S861" s="318"/>
      <c r="T861" s="318"/>
      <c r="U861" s="318"/>
      <c r="V861" s="318"/>
      <c r="W861" s="318"/>
      <c r="X861" s="318"/>
      <c r="Y861" s="318"/>
      <c r="Z861" s="318"/>
      <c r="AA861" s="318"/>
      <c r="AB861" s="318"/>
      <c r="AC861" s="318"/>
      <c r="AD861" s="318"/>
    </row>
    <row r="862" spans="2:30" s="323" customFormat="1" ht="12" customHeight="1">
      <c r="B862" s="324"/>
      <c r="C862" s="325"/>
      <c r="D862" s="326"/>
      <c r="E862" s="326"/>
      <c r="F862" s="326"/>
      <c r="G862" s="326"/>
      <c r="H862" s="326"/>
      <c r="P862" s="318"/>
      <c r="Q862" s="318"/>
      <c r="R862" s="318"/>
      <c r="S862" s="318"/>
      <c r="T862" s="318"/>
      <c r="U862" s="318"/>
      <c r="V862" s="318"/>
      <c r="W862" s="318"/>
      <c r="X862" s="318"/>
      <c r="Y862" s="318"/>
      <c r="Z862" s="318"/>
      <c r="AA862" s="318"/>
      <c r="AB862" s="318"/>
      <c r="AC862" s="318"/>
      <c r="AD862" s="318"/>
    </row>
    <row r="863" spans="2:30" s="323" customFormat="1" ht="12" customHeight="1">
      <c r="B863" s="324"/>
      <c r="C863" s="325"/>
      <c r="D863" s="326"/>
      <c r="E863" s="326"/>
      <c r="F863" s="326"/>
      <c r="G863" s="326"/>
      <c r="H863" s="326"/>
      <c r="P863" s="318"/>
      <c r="Q863" s="318"/>
      <c r="R863" s="318"/>
      <c r="S863" s="318"/>
      <c r="T863" s="318"/>
      <c r="U863" s="318"/>
      <c r="V863" s="318"/>
      <c r="W863" s="318"/>
      <c r="X863" s="318"/>
      <c r="Y863" s="318"/>
      <c r="Z863" s="318"/>
      <c r="AA863" s="318"/>
      <c r="AB863" s="318"/>
      <c r="AC863" s="318"/>
      <c r="AD863" s="318"/>
    </row>
    <row r="864" spans="2:30" s="323" customFormat="1" ht="12" customHeight="1">
      <c r="B864" s="324"/>
      <c r="C864" s="325"/>
      <c r="D864" s="326"/>
      <c r="E864" s="326"/>
      <c r="F864" s="326"/>
      <c r="G864" s="326"/>
      <c r="H864" s="326"/>
      <c r="P864" s="318"/>
      <c r="Q864" s="318"/>
      <c r="R864" s="318"/>
      <c r="S864" s="318"/>
      <c r="T864" s="318"/>
      <c r="U864" s="318"/>
      <c r="V864" s="318"/>
      <c r="W864" s="318"/>
      <c r="X864" s="318"/>
      <c r="Y864" s="318"/>
      <c r="Z864" s="318"/>
      <c r="AA864" s="318"/>
      <c r="AB864" s="318"/>
      <c r="AC864" s="318"/>
      <c r="AD864" s="318"/>
    </row>
    <row r="865" spans="2:30" s="323" customFormat="1" ht="12" customHeight="1">
      <c r="B865" s="324"/>
      <c r="C865" s="325"/>
      <c r="D865" s="326"/>
      <c r="E865" s="326"/>
      <c r="F865" s="326"/>
      <c r="G865" s="326"/>
      <c r="H865" s="326"/>
      <c r="P865" s="318"/>
      <c r="Q865" s="318"/>
      <c r="R865" s="318"/>
      <c r="S865" s="318"/>
      <c r="T865" s="318"/>
      <c r="U865" s="318"/>
      <c r="V865" s="318"/>
      <c r="W865" s="318"/>
      <c r="X865" s="318"/>
      <c r="Y865" s="318"/>
      <c r="Z865" s="318"/>
      <c r="AA865" s="318"/>
      <c r="AB865" s="318"/>
      <c r="AC865" s="318"/>
      <c r="AD865" s="318"/>
    </row>
    <row r="866" spans="2:30" s="323" customFormat="1" ht="12" customHeight="1">
      <c r="B866" s="324"/>
      <c r="C866" s="325"/>
      <c r="D866" s="326"/>
      <c r="E866" s="326"/>
      <c r="F866" s="326"/>
      <c r="G866" s="326"/>
      <c r="H866" s="326"/>
      <c r="P866" s="318"/>
      <c r="Q866" s="318"/>
      <c r="R866" s="318"/>
      <c r="S866" s="318"/>
      <c r="T866" s="318"/>
      <c r="U866" s="318"/>
      <c r="V866" s="318"/>
      <c r="W866" s="318"/>
      <c r="X866" s="318"/>
      <c r="Y866" s="318"/>
      <c r="Z866" s="318"/>
      <c r="AA866" s="318"/>
      <c r="AB866" s="318"/>
      <c r="AC866" s="318"/>
      <c r="AD866" s="318"/>
    </row>
    <row r="867" spans="2:30" s="323" customFormat="1" ht="12" customHeight="1">
      <c r="B867" s="324"/>
      <c r="C867" s="325"/>
      <c r="D867" s="326"/>
      <c r="E867" s="326"/>
      <c r="F867" s="326"/>
      <c r="G867" s="326"/>
      <c r="H867" s="326"/>
      <c r="P867" s="318"/>
      <c r="Q867" s="318"/>
      <c r="R867" s="318"/>
      <c r="S867" s="318"/>
      <c r="T867" s="318"/>
      <c r="U867" s="318"/>
      <c r="V867" s="318"/>
      <c r="W867" s="318"/>
      <c r="X867" s="318"/>
      <c r="Y867" s="318"/>
      <c r="Z867" s="318"/>
      <c r="AA867" s="318"/>
      <c r="AB867" s="318"/>
      <c r="AC867" s="318"/>
      <c r="AD867" s="318"/>
    </row>
    <row r="868" spans="2:30" s="323" customFormat="1" ht="12" customHeight="1">
      <c r="B868" s="324"/>
      <c r="C868" s="325"/>
      <c r="D868" s="326"/>
      <c r="E868" s="326"/>
      <c r="F868" s="326"/>
      <c r="G868" s="326"/>
      <c r="H868" s="326"/>
      <c r="P868" s="318"/>
      <c r="Q868" s="318"/>
      <c r="R868" s="318"/>
      <c r="S868" s="318"/>
      <c r="T868" s="318"/>
      <c r="U868" s="318"/>
      <c r="V868" s="318"/>
      <c r="W868" s="318"/>
      <c r="X868" s="318"/>
      <c r="Y868" s="318"/>
      <c r="Z868" s="318"/>
      <c r="AA868" s="318"/>
      <c r="AB868" s="318"/>
      <c r="AC868" s="318"/>
      <c r="AD868" s="318"/>
    </row>
    <row r="869" spans="2:30" s="323" customFormat="1" ht="12" customHeight="1">
      <c r="B869" s="324"/>
      <c r="C869" s="325"/>
      <c r="D869" s="326"/>
      <c r="E869" s="326"/>
      <c r="F869" s="326"/>
      <c r="G869" s="326"/>
      <c r="H869" s="326"/>
      <c r="P869" s="318"/>
      <c r="Q869" s="318"/>
      <c r="R869" s="318"/>
      <c r="S869" s="318"/>
      <c r="T869" s="318"/>
      <c r="U869" s="318"/>
      <c r="V869" s="318"/>
      <c r="W869" s="318"/>
      <c r="X869" s="318"/>
      <c r="Y869" s="318"/>
      <c r="Z869" s="318"/>
      <c r="AA869" s="318"/>
      <c r="AB869" s="318"/>
      <c r="AC869" s="318"/>
      <c r="AD869" s="318"/>
    </row>
    <row r="870" spans="2:30" s="323" customFormat="1" ht="12" customHeight="1">
      <c r="B870" s="324"/>
      <c r="C870" s="325"/>
      <c r="D870" s="326"/>
      <c r="E870" s="326"/>
      <c r="F870" s="326"/>
      <c r="G870" s="326"/>
      <c r="H870" s="326"/>
      <c r="P870" s="318"/>
      <c r="Q870" s="318"/>
      <c r="R870" s="318"/>
      <c r="S870" s="318"/>
      <c r="T870" s="318"/>
      <c r="U870" s="318"/>
      <c r="V870" s="318"/>
      <c r="W870" s="318"/>
      <c r="X870" s="318"/>
      <c r="Y870" s="318"/>
      <c r="Z870" s="318"/>
      <c r="AA870" s="318"/>
      <c r="AB870" s="318"/>
      <c r="AC870" s="318"/>
      <c r="AD870" s="318"/>
    </row>
    <row r="871" spans="2:30" s="323" customFormat="1" ht="12" customHeight="1">
      <c r="B871" s="324"/>
      <c r="C871" s="325"/>
      <c r="D871" s="326"/>
      <c r="E871" s="326"/>
      <c r="F871" s="326"/>
      <c r="G871" s="326"/>
      <c r="H871" s="326"/>
      <c r="P871" s="318"/>
      <c r="Q871" s="318"/>
      <c r="R871" s="318"/>
      <c r="S871" s="318"/>
      <c r="T871" s="318"/>
      <c r="U871" s="318"/>
      <c r="V871" s="318"/>
      <c r="W871" s="318"/>
      <c r="X871" s="318"/>
      <c r="Y871" s="318"/>
      <c r="Z871" s="318"/>
      <c r="AA871" s="318"/>
      <c r="AB871" s="318"/>
      <c r="AC871" s="318"/>
      <c r="AD871" s="318"/>
    </row>
    <row r="872" spans="2:30" s="323" customFormat="1" ht="12" customHeight="1">
      <c r="B872" s="324"/>
      <c r="C872" s="325"/>
      <c r="D872" s="326"/>
      <c r="E872" s="326"/>
      <c r="F872" s="326"/>
      <c r="G872" s="326"/>
      <c r="H872" s="326"/>
      <c r="P872" s="318"/>
      <c r="Q872" s="318"/>
      <c r="R872" s="318"/>
      <c r="S872" s="318"/>
      <c r="T872" s="318"/>
      <c r="U872" s="318"/>
      <c r="V872" s="318"/>
      <c r="W872" s="318"/>
      <c r="X872" s="318"/>
      <c r="Y872" s="318"/>
      <c r="Z872" s="318"/>
      <c r="AA872" s="318"/>
      <c r="AB872" s="318"/>
      <c r="AC872" s="318"/>
      <c r="AD872" s="318"/>
    </row>
    <row r="873" spans="2:30" s="323" customFormat="1" ht="12" customHeight="1">
      <c r="B873" s="324"/>
      <c r="C873" s="325"/>
      <c r="D873" s="326"/>
      <c r="E873" s="326"/>
      <c r="F873" s="326"/>
      <c r="G873" s="326"/>
      <c r="H873" s="326"/>
      <c r="P873" s="318"/>
      <c r="Q873" s="318"/>
      <c r="R873" s="318"/>
      <c r="S873" s="318"/>
      <c r="T873" s="318"/>
      <c r="U873" s="318"/>
      <c r="V873" s="318"/>
      <c r="W873" s="318"/>
      <c r="X873" s="318"/>
      <c r="Y873" s="318"/>
      <c r="Z873" s="318"/>
      <c r="AA873" s="318"/>
      <c r="AB873" s="318"/>
      <c r="AC873" s="318"/>
      <c r="AD873" s="318"/>
    </row>
    <row r="874" spans="2:30" s="323" customFormat="1" ht="12" customHeight="1">
      <c r="B874" s="324"/>
      <c r="C874" s="325"/>
      <c r="D874" s="326"/>
      <c r="E874" s="326"/>
      <c r="F874" s="326"/>
      <c r="G874" s="326"/>
      <c r="H874" s="326"/>
      <c r="P874" s="318"/>
      <c r="Q874" s="318"/>
      <c r="R874" s="318"/>
      <c r="S874" s="318"/>
      <c r="T874" s="318"/>
      <c r="U874" s="318"/>
      <c r="V874" s="318"/>
      <c r="W874" s="318"/>
      <c r="X874" s="318"/>
      <c r="Y874" s="318"/>
      <c r="Z874" s="318"/>
      <c r="AA874" s="318"/>
      <c r="AB874" s="318"/>
      <c r="AC874" s="318"/>
      <c r="AD874" s="318"/>
    </row>
    <row r="875" spans="2:30" s="323" customFormat="1" ht="12" customHeight="1">
      <c r="B875" s="324"/>
      <c r="C875" s="325"/>
      <c r="D875" s="326"/>
      <c r="E875" s="326"/>
      <c r="F875" s="326"/>
      <c r="G875" s="326"/>
      <c r="H875" s="326"/>
      <c r="P875" s="318"/>
      <c r="Q875" s="318"/>
      <c r="R875" s="318"/>
      <c r="S875" s="318"/>
      <c r="T875" s="318"/>
      <c r="U875" s="318"/>
      <c r="V875" s="318"/>
      <c r="W875" s="318"/>
      <c r="X875" s="318"/>
      <c r="Y875" s="318"/>
      <c r="Z875" s="318"/>
      <c r="AA875" s="318"/>
      <c r="AB875" s="318"/>
      <c r="AC875" s="318"/>
      <c r="AD875" s="318"/>
    </row>
    <row r="876" spans="2:30" s="323" customFormat="1" ht="12" customHeight="1">
      <c r="B876" s="324"/>
      <c r="C876" s="325"/>
      <c r="D876" s="326"/>
      <c r="E876" s="326"/>
      <c r="F876" s="326"/>
      <c r="G876" s="326"/>
      <c r="H876" s="326"/>
      <c r="P876" s="318"/>
      <c r="Q876" s="318"/>
      <c r="R876" s="318"/>
      <c r="S876" s="318"/>
      <c r="T876" s="318"/>
      <c r="U876" s="318"/>
      <c r="V876" s="318"/>
      <c r="W876" s="318"/>
      <c r="X876" s="318"/>
      <c r="Y876" s="318"/>
      <c r="Z876" s="318"/>
      <c r="AA876" s="318"/>
      <c r="AB876" s="318"/>
      <c r="AC876" s="318"/>
      <c r="AD876" s="318"/>
    </row>
    <row r="877" spans="2:30" s="323" customFormat="1" ht="12" customHeight="1">
      <c r="B877" s="324"/>
      <c r="C877" s="325"/>
      <c r="D877" s="326"/>
      <c r="E877" s="326"/>
      <c r="F877" s="326"/>
      <c r="G877" s="326"/>
      <c r="H877" s="326"/>
      <c r="P877" s="318"/>
      <c r="Q877" s="318"/>
      <c r="R877" s="318"/>
      <c r="S877" s="318"/>
      <c r="T877" s="318"/>
      <c r="U877" s="318"/>
      <c r="V877" s="318"/>
      <c r="W877" s="318"/>
      <c r="X877" s="318"/>
      <c r="Y877" s="318"/>
      <c r="Z877" s="318"/>
      <c r="AA877" s="318"/>
      <c r="AB877" s="318"/>
      <c r="AC877" s="318"/>
      <c r="AD877" s="318"/>
    </row>
    <row r="878" spans="2:30" s="323" customFormat="1" ht="12" customHeight="1">
      <c r="B878" s="324"/>
      <c r="C878" s="325"/>
      <c r="D878" s="326"/>
      <c r="E878" s="326"/>
      <c r="F878" s="326"/>
      <c r="G878" s="326"/>
      <c r="H878" s="326"/>
      <c r="P878" s="318"/>
      <c r="Q878" s="318"/>
      <c r="R878" s="318"/>
      <c r="S878" s="318"/>
      <c r="T878" s="318"/>
      <c r="U878" s="318"/>
      <c r="V878" s="318"/>
      <c r="W878" s="318"/>
      <c r="X878" s="318"/>
      <c r="Y878" s="318"/>
      <c r="Z878" s="318"/>
      <c r="AA878" s="318"/>
      <c r="AB878" s="318"/>
      <c r="AC878" s="318"/>
      <c r="AD878" s="318"/>
    </row>
    <row r="879" spans="2:30" s="323" customFormat="1" ht="12" customHeight="1">
      <c r="B879" s="324"/>
      <c r="C879" s="325"/>
      <c r="D879" s="326"/>
      <c r="E879" s="326"/>
      <c r="F879" s="326"/>
      <c r="G879" s="326"/>
      <c r="H879" s="326"/>
      <c r="P879" s="318"/>
      <c r="Q879" s="318"/>
      <c r="R879" s="318"/>
      <c r="S879" s="318"/>
      <c r="T879" s="318"/>
      <c r="U879" s="318"/>
      <c r="V879" s="318"/>
      <c r="W879" s="318"/>
      <c r="X879" s="318"/>
      <c r="Y879" s="318"/>
      <c r="Z879" s="318"/>
      <c r="AA879" s="318"/>
      <c r="AB879" s="318"/>
      <c r="AC879" s="318"/>
      <c r="AD879" s="318"/>
    </row>
    <row r="880" spans="2:30" s="323" customFormat="1" ht="12" customHeight="1">
      <c r="B880" s="324"/>
      <c r="C880" s="325"/>
      <c r="D880" s="326"/>
      <c r="E880" s="326"/>
      <c r="F880" s="326"/>
      <c r="G880" s="326"/>
      <c r="H880" s="326"/>
      <c r="P880" s="318"/>
      <c r="Q880" s="318"/>
      <c r="R880" s="318"/>
      <c r="S880" s="318"/>
      <c r="T880" s="318"/>
      <c r="U880" s="318"/>
      <c r="V880" s="318"/>
      <c r="W880" s="318"/>
      <c r="X880" s="318"/>
      <c r="Y880" s="318"/>
      <c r="Z880" s="318"/>
      <c r="AA880" s="318"/>
      <c r="AB880" s="318"/>
      <c r="AC880" s="318"/>
      <c r="AD880" s="318"/>
    </row>
    <row r="881" spans="2:30" s="323" customFormat="1" ht="12" customHeight="1">
      <c r="B881" s="324"/>
      <c r="C881" s="325"/>
      <c r="D881" s="326"/>
      <c r="E881" s="326"/>
      <c r="F881" s="326"/>
      <c r="G881" s="326"/>
      <c r="H881" s="326"/>
      <c r="P881" s="318"/>
      <c r="Q881" s="318"/>
      <c r="R881" s="318"/>
      <c r="S881" s="318"/>
      <c r="T881" s="318"/>
      <c r="U881" s="318"/>
      <c r="V881" s="318"/>
      <c r="W881" s="318"/>
      <c r="X881" s="318"/>
      <c r="Y881" s="318"/>
      <c r="Z881" s="318"/>
      <c r="AA881" s="318"/>
      <c r="AB881" s="318"/>
      <c r="AC881" s="318"/>
      <c r="AD881" s="318"/>
    </row>
    <row r="882" spans="2:30" s="323" customFormat="1" ht="12" customHeight="1">
      <c r="B882" s="324"/>
      <c r="C882" s="325"/>
      <c r="D882" s="326"/>
      <c r="E882" s="326"/>
      <c r="F882" s="326"/>
      <c r="G882" s="326"/>
      <c r="H882" s="326"/>
      <c r="P882" s="318"/>
      <c r="Q882" s="318"/>
      <c r="R882" s="318"/>
      <c r="S882" s="318"/>
      <c r="T882" s="318"/>
      <c r="U882" s="318"/>
      <c r="V882" s="318"/>
      <c r="W882" s="318"/>
      <c r="X882" s="318"/>
      <c r="Y882" s="318"/>
      <c r="Z882" s="318"/>
      <c r="AA882" s="318"/>
      <c r="AB882" s="318"/>
      <c r="AC882" s="318"/>
      <c r="AD882" s="318"/>
    </row>
    <row r="883" spans="2:30" s="323" customFormat="1" ht="12" customHeight="1">
      <c r="B883" s="324"/>
      <c r="C883" s="325"/>
      <c r="D883" s="326"/>
      <c r="E883" s="326"/>
      <c r="F883" s="326"/>
      <c r="G883" s="326"/>
      <c r="H883" s="326"/>
      <c r="P883" s="318"/>
      <c r="Q883" s="318"/>
      <c r="R883" s="318"/>
      <c r="S883" s="318"/>
      <c r="T883" s="318"/>
      <c r="U883" s="318"/>
      <c r="V883" s="318"/>
      <c r="W883" s="318"/>
      <c r="X883" s="318"/>
      <c r="Y883" s="318"/>
      <c r="Z883" s="318"/>
      <c r="AA883" s="318"/>
      <c r="AB883" s="318"/>
      <c r="AC883" s="318"/>
      <c r="AD883" s="318"/>
    </row>
    <row r="884" spans="2:30" s="323" customFormat="1" ht="12" customHeight="1">
      <c r="B884" s="324"/>
      <c r="C884" s="325"/>
      <c r="D884" s="326"/>
      <c r="E884" s="326"/>
      <c r="F884" s="326"/>
      <c r="G884" s="326"/>
      <c r="H884" s="326"/>
      <c r="P884" s="318"/>
      <c r="Q884" s="318"/>
      <c r="R884" s="318"/>
      <c r="S884" s="318"/>
      <c r="T884" s="318"/>
      <c r="U884" s="318"/>
      <c r="V884" s="318"/>
      <c r="W884" s="318"/>
      <c r="X884" s="318"/>
      <c r="Y884" s="318"/>
      <c r="Z884" s="318"/>
      <c r="AA884" s="318"/>
      <c r="AB884" s="318"/>
      <c r="AC884" s="318"/>
      <c r="AD884" s="318"/>
    </row>
    <row r="885" spans="2:30" s="323" customFormat="1" ht="12" customHeight="1">
      <c r="B885" s="324"/>
      <c r="C885" s="325"/>
      <c r="D885" s="326"/>
      <c r="E885" s="326"/>
      <c r="F885" s="326"/>
      <c r="G885" s="326"/>
      <c r="H885" s="326"/>
      <c r="P885" s="318"/>
      <c r="Q885" s="318"/>
      <c r="R885" s="318"/>
      <c r="S885" s="318"/>
      <c r="T885" s="318"/>
      <c r="U885" s="318"/>
      <c r="V885" s="318"/>
      <c r="W885" s="318"/>
      <c r="X885" s="318"/>
      <c r="Y885" s="318"/>
      <c r="Z885" s="318"/>
      <c r="AA885" s="318"/>
      <c r="AB885" s="318"/>
      <c r="AC885" s="318"/>
      <c r="AD885" s="318"/>
    </row>
    <row r="886" spans="2:30" s="323" customFormat="1" ht="12" customHeight="1">
      <c r="B886" s="324"/>
      <c r="C886" s="325"/>
      <c r="D886" s="326"/>
      <c r="E886" s="326"/>
      <c r="F886" s="326"/>
      <c r="G886" s="326"/>
      <c r="H886" s="326"/>
      <c r="P886" s="318"/>
      <c r="Q886" s="318"/>
      <c r="R886" s="318"/>
      <c r="S886" s="318"/>
      <c r="T886" s="318"/>
      <c r="U886" s="318"/>
      <c r="V886" s="318"/>
      <c r="W886" s="318"/>
      <c r="X886" s="318"/>
      <c r="Y886" s="318"/>
      <c r="Z886" s="318"/>
      <c r="AA886" s="318"/>
      <c r="AB886" s="318"/>
      <c r="AC886" s="318"/>
      <c r="AD886" s="318"/>
    </row>
    <row r="887" spans="2:30" s="323" customFormat="1" ht="12" customHeight="1">
      <c r="B887" s="324"/>
      <c r="C887" s="325"/>
      <c r="D887" s="326"/>
      <c r="E887" s="326"/>
      <c r="F887" s="326"/>
      <c r="G887" s="326"/>
      <c r="H887" s="326"/>
      <c r="P887" s="318"/>
      <c r="Q887" s="318"/>
      <c r="R887" s="318"/>
      <c r="S887" s="318"/>
      <c r="T887" s="318"/>
      <c r="U887" s="318"/>
      <c r="V887" s="318"/>
      <c r="W887" s="318"/>
      <c r="X887" s="318"/>
      <c r="Y887" s="318"/>
      <c r="Z887" s="318"/>
      <c r="AA887" s="318"/>
      <c r="AB887" s="318"/>
      <c r="AC887" s="318"/>
      <c r="AD887" s="318"/>
    </row>
    <row r="888" spans="2:30" s="323" customFormat="1" ht="12" customHeight="1">
      <c r="B888" s="324"/>
      <c r="C888" s="325"/>
      <c r="D888" s="326"/>
      <c r="E888" s="326"/>
      <c r="F888" s="326"/>
      <c r="G888" s="326"/>
      <c r="H888" s="326"/>
      <c r="P888" s="318"/>
      <c r="Q888" s="318"/>
      <c r="R888" s="318"/>
      <c r="S888" s="318"/>
      <c r="T888" s="318"/>
      <c r="U888" s="318"/>
      <c r="V888" s="318"/>
      <c r="W888" s="318"/>
      <c r="X888" s="318"/>
      <c r="Y888" s="318"/>
      <c r="Z888" s="318"/>
      <c r="AA888" s="318"/>
      <c r="AB888" s="318"/>
      <c r="AC888" s="318"/>
      <c r="AD888" s="318"/>
    </row>
    <row r="889" spans="2:30" s="323" customFormat="1" ht="12" customHeight="1">
      <c r="B889" s="324"/>
      <c r="C889" s="325"/>
      <c r="D889" s="326"/>
      <c r="E889" s="326"/>
      <c r="F889" s="326"/>
      <c r="G889" s="326"/>
      <c r="H889" s="326"/>
      <c r="P889" s="318"/>
      <c r="Q889" s="318"/>
      <c r="R889" s="318"/>
      <c r="S889" s="318"/>
      <c r="T889" s="318"/>
      <c r="U889" s="318"/>
      <c r="V889" s="318"/>
      <c r="W889" s="318"/>
      <c r="X889" s="318"/>
      <c r="Y889" s="318"/>
      <c r="Z889" s="318"/>
      <c r="AA889" s="318"/>
      <c r="AB889" s="318"/>
      <c r="AC889" s="318"/>
      <c r="AD889" s="318"/>
    </row>
    <row r="890" spans="2:30" s="323" customFormat="1" ht="12" customHeight="1">
      <c r="B890" s="324"/>
      <c r="C890" s="325"/>
      <c r="D890" s="326"/>
      <c r="E890" s="326"/>
      <c r="F890" s="326"/>
      <c r="G890" s="326"/>
      <c r="H890" s="326"/>
      <c r="P890" s="318"/>
      <c r="Q890" s="318"/>
      <c r="R890" s="318"/>
      <c r="S890" s="318"/>
      <c r="T890" s="318"/>
      <c r="U890" s="318"/>
      <c r="V890" s="318"/>
      <c r="W890" s="318"/>
      <c r="X890" s="318"/>
      <c r="Y890" s="318"/>
      <c r="Z890" s="318"/>
      <c r="AA890" s="318"/>
      <c r="AB890" s="318"/>
      <c r="AC890" s="318"/>
      <c r="AD890" s="318"/>
    </row>
    <row r="891" spans="2:30" s="323" customFormat="1" ht="12" customHeight="1">
      <c r="B891" s="324"/>
      <c r="C891" s="325"/>
      <c r="D891" s="326"/>
      <c r="E891" s="326"/>
      <c r="F891" s="326"/>
      <c r="G891" s="326"/>
      <c r="H891" s="326"/>
      <c r="P891" s="318"/>
      <c r="Q891" s="318"/>
      <c r="R891" s="318"/>
      <c r="S891" s="318"/>
      <c r="T891" s="318"/>
      <c r="U891" s="318"/>
      <c r="V891" s="318"/>
      <c r="W891" s="318"/>
      <c r="X891" s="318"/>
      <c r="Y891" s="318"/>
      <c r="Z891" s="318"/>
      <c r="AA891" s="318"/>
      <c r="AB891" s="318"/>
      <c r="AC891" s="318"/>
      <c r="AD891" s="318"/>
    </row>
    <row r="892" spans="2:30" s="323" customFormat="1" ht="12" customHeight="1">
      <c r="B892" s="324"/>
      <c r="C892" s="325"/>
      <c r="D892" s="326"/>
      <c r="E892" s="326"/>
      <c r="F892" s="326"/>
      <c r="G892" s="326"/>
      <c r="H892" s="326"/>
      <c r="P892" s="318"/>
      <c r="Q892" s="318"/>
      <c r="R892" s="318"/>
      <c r="S892" s="318"/>
      <c r="T892" s="318"/>
      <c r="U892" s="318"/>
      <c r="V892" s="318"/>
      <c r="W892" s="318"/>
      <c r="X892" s="318"/>
      <c r="Y892" s="318"/>
      <c r="Z892" s="318"/>
      <c r="AA892" s="318"/>
      <c r="AB892" s="318"/>
      <c r="AC892" s="318"/>
      <c r="AD892" s="318"/>
    </row>
    <row r="893" spans="2:30" s="323" customFormat="1" ht="12" customHeight="1">
      <c r="B893" s="324"/>
      <c r="C893" s="325"/>
      <c r="D893" s="326"/>
      <c r="E893" s="326"/>
      <c r="F893" s="326"/>
      <c r="G893" s="326"/>
      <c r="H893" s="326"/>
      <c r="P893" s="318"/>
      <c r="Q893" s="318"/>
      <c r="R893" s="318"/>
      <c r="S893" s="318"/>
      <c r="T893" s="318"/>
      <c r="U893" s="318"/>
      <c r="V893" s="318"/>
      <c r="W893" s="318"/>
      <c r="X893" s="318"/>
      <c r="Y893" s="318"/>
      <c r="Z893" s="318"/>
      <c r="AA893" s="318"/>
      <c r="AB893" s="318"/>
      <c r="AC893" s="318"/>
      <c r="AD893" s="318"/>
    </row>
    <row r="894" spans="2:30" s="323" customFormat="1" ht="12" customHeight="1">
      <c r="B894" s="324"/>
      <c r="C894" s="325"/>
      <c r="D894" s="326"/>
      <c r="E894" s="326"/>
      <c r="F894" s="326"/>
      <c r="G894" s="326"/>
      <c r="H894" s="326"/>
      <c r="P894" s="318"/>
      <c r="Q894" s="318"/>
      <c r="R894" s="318"/>
      <c r="S894" s="318"/>
      <c r="T894" s="318"/>
      <c r="U894" s="318"/>
      <c r="V894" s="318"/>
      <c r="W894" s="318"/>
      <c r="X894" s="318"/>
      <c r="Y894" s="318"/>
      <c r="Z894" s="318"/>
      <c r="AA894" s="318"/>
      <c r="AB894" s="318"/>
      <c r="AC894" s="318"/>
      <c r="AD894" s="318"/>
    </row>
    <row r="895" spans="2:30" s="323" customFormat="1" ht="12" customHeight="1">
      <c r="B895" s="324"/>
      <c r="C895" s="325"/>
      <c r="D895" s="326"/>
      <c r="E895" s="326"/>
      <c r="F895" s="326"/>
      <c r="G895" s="326"/>
      <c r="H895" s="326"/>
      <c r="P895" s="318"/>
      <c r="Q895" s="318"/>
      <c r="R895" s="318"/>
      <c r="S895" s="318"/>
      <c r="T895" s="318"/>
      <c r="U895" s="318"/>
      <c r="V895" s="318"/>
      <c r="W895" s="318"/>
      <c r="X895" s="318"/>
      <c r="Y895" s="318"/>
      <c r="Z895" s="318"/>
      <c r="AA895" s="318"/>
      <c r="AB895" s="318"/>
      <c r="AC895" s="318"/>
      <c r="AD895" s="318"/>
    </row>
    <row r="896" spans="2:30" s="323" customFormat="1" ht="12" customHeight="1">
      <c r="B896" s="324"/>
      <c r="C896" s="325"/>
      <c r="D896" s="326"/>
      <c r="E896" s="326"/>
      <c r="F896" s="326"/>
      <c r="G896" s="326"/>
      <c r="H896" s="326"/>
      <c r="P896" s="318"/>
      <c r="Q896" s="318"/>
      <c r="R896" s="318"/>
      <c r="S896" s="318"/>
      <c r="T896" s="318"/>
      <c r="U896" s="318"/>
      <c r="V896" s="318"/>
      <c r="W896" s="318"/>
      <c r="X896" s="318"/>
      <c r="Y896" s="318"/>
      <c r="Z896" s="318"/>
      <c r="AA896" s="318"/>
      <c r="AB896" s="318"/>
      <c r="AC896" s="318"/>
      <c r="AD896" s="318"/>
    </row>
    <row r="897" spans="2:30" s="323" customFormat="1" ht="12" customHeight="1">
      <c r="B897" s="324"/>
      <c r="C897" s="325"/>
      <c r="D897" s="326"/>
      <c r="E897" s="326"/>
      <c r="F897" s="326"/>
      <c r="G897" s="326"/>
      <c r="H897" s="326"/>
      <c r="P897" s="318"/>
      <c r="Q897" s="318"/>
      <c r="R897" s="318"/>
      <c r="S897" s="318"/>
      <c r="T897" s="318"/>
      <c r="U897" s="318"/>
      <c r="V897" s="318"/>
      <c r="W897" s="318"/>
      <c r="X897" s="318"/>
      <c r="Y897" s="318"/>
      <c r="Z897" s="318"/>
      <c r="AA897" s="318"/>
      <c r="AB897" s="318"/>
      <c r="AC897" s="318"/>
      <c r="AD897" s="318"/>
    </row>
    <row r="898" spans="2:30" s="323" customFormat="1" ht="12" customHeight="1">
      <c r="B898" s="324"/>
      <c r="C898" s="325"/>
      <c r="D898" s="326"/>
      <c r="E898" s="326"/>
      <c r="F898" s="326"/>
      <c r="G898" s="326"/>
      <c r="H898" s="326"/>
      <c r="P898" s="318"/>
      <c r="Q898" s="318"/>
      <c r="R898" s="318"/>
      <c r="S898" s="318"/>
      <c r="T898" s="318"/>
      <c r="U898" s="318"/>
      <c r="V898" s="318"/>
      <c r="W898" s="318"/>
      <c r="X898" s="318"/>
      <c r="Y898" s="318"/>
      <c r="Z898" s="318"/>
      <c r="AA898" s="318"/>
      <c r="AB898" s="318"/>
      <c r="AC898" s="318"/>
      <c r="AD898" s="318"/>
    </row>
    <row r="899" spans="2:30" s="323" customFormat="1" ht="12" customHeight="1">
      <c r="B899" s="324"/>
      <c r="C899" s="325"/>
      <c r="D899" s="326"/>
      <c r="E899" s="326"/>
      <c r="F899" s="326"/>
      <c r="G899" s="326"/>
      <c r="H899" s="326"/>
      <c r="P899" s="318"/>
      <c r="Q899" s="318"/>
      <c r="R899" s="318"/>
      <c r="S899" s="318"/>
      <c r="T899" s="318"/>
      <c r="U899" s="318"/>
      <c r="V899" s="318"/>
      <c r="W899" s="318"/>
      <c r="X899" s="318"/>
      <c r="Y899" s="318"/>
      <c r="Z899" s="318"/>
      <c r="AA899" s="318"/>
      <c r="AB899" s="318"/>
      <c r="AC899" s="318"/>
      <c r="AD899" s="318"/>
    </row>
    <row r="900" spans="2:30" s="323" customFormat="1" ht="12" customHeight="1">
      <c r="B900" s="324"/>
      <c r="C900" s="325"/>
      <c r="D900" s="326"/>
      <c r="E900" s="326"/>
      <c r="F900" s="326"/>
      <c r="G900" s="326"/>
      <c r="H900" s="326"/>
      <c r="P900" s="318"/>
      <c r="Q900" s="318"/>
      <c r="R900" s="318"/>
      <c r="S900" s="318"/>
      <c r="T900" s="318"/>
      <c r="U900" s="318"/>
      <c r="V900" s="318"/>
      <c r="W900" s="318"/>
      <c r="X900" s="318"/>
      <c r="Y900" s="318"/>
      <c r="Z900" s="318"/>
      <c r="AA900" s="318"/>
      <c r="AB900" s="318"/>
      <c r="AC900" s="318"/>
      <c r="AD900" s="318"/>
    </row>
    <row r="901" spans="2:30" s="323" customFormat="1" ht="12" customHeight="1">
      <c r="B901" s="324"/>
      <c r="C901" s="325"/>
      <c r="D901" s="326"/>
      <c r="E901" s="326"/>
      <c r="F901" s="326"/>
      <c r="G901" s="326"/>
      <c r="H901" s="326"/>
      <c r="P901" s="318"/>
      <c r="Q901" s="318"/>
      <c r="R901" s="318"/>
      <c r="S901" s="318"/>
      <c r="T901" s="318"/>
      <c r="U901" s="318"/>
      <c r="V901" s="318"/>
      <c r="W901" s="318"/>
      <c r="X901" s="318"/>
      <c r="Y901" s="318"/>
      <c r="Z901" s="318"/>
      <c r="AA901" s="318"/>
      <c r="AB901" s="318"/>
      <c r="AC901" s="318"/>
      <c r="AD901" s="318"/>
    </row>
    <row r="902" spans="2:30" s="323" customFormat="1" ht="12" customHeight="1">
      <c r="B902" s="324"/>
      <c r="C902" s="325"/>
      <c r="D902" s="326"/>
      <c r="E902" s="326"/>
      <c r="F902" s="326"/>
      <c r="G902" s="326"/>
      <c r="H902" s="326"/>
      <c r="P902" s="318"/>
      <c r="Q902" s="318"/>
      <c r="R902" s="318"/>
      <c r="S902" s="318"/>
      <c r="T902" s="318"/>
      <c r="U902" s="318"/>
      <c r="V902" s="318"/>
      <c r="W902" s="318"/>
      <c r="X902" s="318"/>
      <c r="Y902" s="318"/>
      <c r="Z902" s="318"/>
      <c r="AA902" s="318"/>
      <c r="AB902" s="318"/>
      <c r="AC902" s="318"/>
      <c r="AD902" s="318"/>
    </row>
    <row r="903" spans="2:30" s="323" customFormat="1" ht="12" customHeight="1">
      <c r="B903" s="324"/>
      <c r="C903" s="325"/>
      <c r="D903" s="326"/>
      <c r="E903" s="326"/>
      <c r="F903" s="326"/>
      <c r="G903" s="326"/>
      <c r="H903" s="326"/>
      <c r="P903" s="318"/>
      <c r="Q903" s="318"/>
      <c r="R903" s="318"/>
      <c r="S903" s="318"/>
      <c r="T903" s="318"/>
      <c r="U903" s="318"/>
      <c r="V903" s="318"/>
      <c r="W903" s="318"/>
      <c r="X903" s="318"/>
      <c r="Y903" s="318"/>
      <c r="Z903" s="318"/>
      <c r="AA903" s="318"/>
      <c r="AB903" s="318"/>
      <c r="AC903" s="318"/>
      <c r="AD903" s="318"/>
    </row>
    <row r="904" spans="2:30" s="323" customFormat="1" ht="12" customHeight="1">
      <c r="B904" s="324"/>
      <c r="C904" s="325"/>
      <c r="D904" s="326"/>
      <c r="E904" s="326"/>
      <c r="F904" s="326"/>
      <c r="G904" s="326"/>
      <c r="H904" s="326"/>
      <c r="P904" s="318"/>
      <c r="Q904" s="318"/>
      <c r="R904" s="318"/>
      <c r="S904" s="318"/>
      <c r="T904" s="318"/>
      <c r="U904" s="318"/>
      <c r="V904" s="318"/>
      <c r="W904" s="318"/>
      <c r="X904" s="318"/>
      <c r="Y904" s="318"/>
      <c r="Z904" s="318"/>
      <c r="AA904" s="318"/>
      <c r="AB904" s="318"/>
      <c r="AC904" s="318"/>
      <c r="AD904" s="318"/>
    </row>
    <row r="905" spans="2:30" s="323" customFormat="1" ht="12" customHeight="1">
      <c r="B905" s="324"/>
      <c r="C905" s="325"/>
      <c r="D905" s="326"/>
      <c r="E905" s="326"/>
      <c r="F905" s="326"/>
      <c r="G905" s="326"/>
      <c r="H905" s="326"/>
      <c r="P905" s="318"/>
      <c r="Q905" s="318"/>
      <c r="R905" s="318"/>
      <c r="S905" s="318"/>
      <c r="T905" s="318"/>
      <c r="U905" s="318"/>
      <c r="V905" s="318"/>
      <c r="W905" s="318"/>
      <c r="X905" s="318"/>
      <c r="Y905" s="318"/>
      <c r="Z905" s="318"/>
      <c r="AA905" s="318"/>
      <c r="AB905" s="318"/>
      <c r="AC905" s="318"/>
      <c r="AD905" s="318"/>
    </row>
    <row r="906" spans="2:30" s="323" customFormat="1" ht="12" customHeight="1">
      <c r="B906" s="324"/>
      <c r="C906" s="325"/>
      <c r="D906" s="326"/>
      <c r="E906" s="326"/>
      <c r="F906" s="326"/>
      <c r="G906" s="326"/>
      <c r="H906" s="326"/>
      <c r="P906" s="318"/>
      <c r="Q906" s="318"/>
      <c r="R906" s="318"/>
      <c r="S906" s="318"/>
      <c r="T906" s="318"/>
      <c r="U906" s="318"/>
      <c r="V906" s="318"/>
      <c r="W906" s="318"/>
      <c r="X906" s="318"/>
      <c r="Y906" s="318"/>
      <c r="Z906" s="318"/>
      <c r="AA906" s="318"/>
      <c r="AB906" s="318"/>
      <c r="AC906" s="318"/>
      <c r="AD906" s="318"/>
    </row>
    <row r="907" spans="2:30" s="323" customFormat="1" ht="12" customHeight="1">
      <c r="B907" s="324"/>
      <c r="C907" s="325"/>
      <c r="D907" s="326"/>
      <c r="E907" s="326"/>
      <c r="F907" s="326"/>
      <c r="G907" s="326"/>
      <c r="H907" s="326"/>
      <c r="P907" s="318"/>
      <c r="Q907" s="318"/>
      <c r="R907" s="318"/>
      <c r="S907" s="318"/>
      <c r="T907" s="318"/>
      <c r="U907" s="318"/>
      <c r="V907" s="318"/>
      <c r="W907" s="318"/>
      <c r="X907" s="318"/>
      <c r="Y907" s="318"/>
      <c r="Z907" s="318"/>
      <c r="AA907" s="318"/>
      <c r="AB907" s="318"/>
      <c r="AC907" s="318"/>
      <c r="AD907" s="318"/>
    </row>
    <row r="908" spans="2:30" s="323" customFormat="1" ht="12" customHeight="1">
      <c r="B908" s="324"/>
      <c r="C908" s="325"/>
      <c r="D908" s="326"/>
      <c r="E908" s="326"/>
      <c r="F908" s="326"/>
      <c r="G908" s="326"/>
      <c r="H908" s="326"/>
      <c r="P908" s="318"/>
      <c r="Q908" s="318"/>
      <c r="R908" s="318"/>
      <c r="S908" s="318"/>
      <c r="T908" s="318"/>
      <c r="U908" s="318"/>
      <c r="V908" s="318"/>
      <c r="W908" s="318"/>
      <c r="X908" s="318"/>
      <c r="Y908" s="318"/>
      <c r="Z908" s="318"/>
      <c r="AA908" s="318"/>
      <c r="AB908" s="318"/>
      <c r="AC908" s="318"/>
      <c r="AD908" s="318"/>
    </row>
    <row r="909" spans="2:30" s="323" customFormat="1" ht="12" customHeight="1">
      <c r="B909" s="324"/>
      <c r="C909" s="325"/>
      <c r="D909" s="326"/>
      <c r="E909" s="326"/>
      <c r="F909" s="326"/>
      <c r="G909" s="326"/>
      <c r="H909" s="326"/>
      <c r="P909" s="318"/>
      <c r="Q909" s="318"/>
      <c r="R909" s="318"/>
      <c r="S909" s="318"/>
      <c r="T909" s="318"/>
      <c r="U909" s="318"/>
      <c r="V909" s="318"/>
      <c r="W909" s="318"/>
      <c r="X909" s="318"/>
      <c r="Y909" s="318"/>
      <c r="Z909" s="318"/>
      <c r="AA909" s="318"/>
      <c r="AB909" s="318"/>
      <c r="AC909" s="318"/>
      <c r="AD909" s="318"/>
    </row>
    <row r="910" spans="2:30" s="323" customFormat="1" ht="12" customHeight="1">
      <c r="B910" s="324"/>
      <c r="C910" s="325"/>
      <c r="D910" s="326"/>
      <c r="E910" s="326"/>
      <c r="F910" s="326"/>
      <c r="G910" s="326"/>
      <c r="H910" s="326"/>
      <c r="P910" s="318"/>
      <c r="Q910" s="318"/>
      <c r="R910" s="318"/>
      <c r="S910" s="318"/>
      <c r="T910" s="318"/>
      <c r="U910" s="318"/>
      <c r="V910" s="318"/>
      <c r="W910" s="318"/>
      <c r="X910" s="318"/>
      <c r="Y910" s="318"/>
      <c r="Z910" s="318"/>
      <c r="AA910" s="318"/>
      <c r="AB910" s="318"/>
      <c r="AC910" s="318"/>
      <c r="AD910" s="318"/>
    </row>
    <row r="911" spans="2:30" s="323" customFormat="1" ht="12" customHeight="1">
      <c r="B911" s="324"/>
      <c r="C911" s="325"/>
      <c r="D911" s="326"/>
      <c r="E911" s="326"/>
      <c r="F911" s="326"/>
      <c r="G911" s="326"/>
      <c r="H911" s="326"/>
      <c r="P911" s="318"/>
      <c r="Q911" s="318"/>
      <c r="R911" s="318"/>
      <c r="S911" s="318"/>
      <c r="T911" s="318"/>
      <c r="U911" s="318"/>
      <c r="V911" s="318"/>
      <c r="W911" s="318"/>
      <c r="X911" s="318"/>
      <c r="Y911" s="318"/>
      <c r="Z911" s="318"/>
      <c r="AA911" s="318"/>
      <c r="AB911" s="318"/>
      <c r="AC911" s="318"/>
      <c r="AD911" s="318"/>
    </row>
    <row r="912" spans="2:30" s="323" customFormat="1" ht="12" customHeight="1">
      <c r="B912" s="324"/>
      <c r="C912" s="325"/>
      <c r="D912" s="326"/>
      <c r="E912" s="326"/>
      <c r="F912" s="326"/>
      <c r="G912" s="326"/>
      <c r="H912" s="326"/>
      <c r="P912" s="318"/>
      <c r="Q912" s="318"/>
      <c r="R912" s="318"/>
      <c r="S912" s="318"/>
      <c r="T912" s="318"/>
      <c r="U912" s="318"/>
      <c r="V912" s="318"/>
      <c r="W912" s="318"/>
      <c r="X912" s="318"/>
      <c r="Y912" s="318"/>
      <c r="Z912" s="318"/>
      <c r="AA912" s="318"/>
      <c r="AB912" s="318"/>
      <c r="AC912" s="318"/>
      <c r="AD912" s="318"/>
    </row>
    <row r="913" spans="2:30" s="323" customFormat="1" ht="12" customHeight="1">
      <c r="B913" s="324"/>
      <c r="C913" s="325"/>
      <c r="D913" s="326"/>
      <c r="E913" s="326"/>
      <c r="F913" s="326"/>
      <c r="G913" s="326"/>
      <c r="H913" s="326"/>
      <c r="P913" s="318"/>
      <c r="Q913" s="318"/>
      <c r="R913" s="318"/>
      <c r="S913" s="318"/>
      <c r="T913" s="318"/>
      <c r="U913" s="318"/>
      <c r="V913" s="318"/>
      <c r="W913" s="318"/>
      <c r="X913" s="318"/>
      <c r="Y913" s="318"/>
      <c r="Z913" s="318"/>
      <c r="AA913" s="318"/>
      <c r="AB913" s="318"/>
      <c r="AC913" s="318"/>
      <c r="AD913" s="318"/>
    </row>
    <row r="914" spans="2:30" s="323" customFormat="1" ht="12" customHeight="1">
      <c r="B914" s="324"/>
      <c r="C914" s="325"/>
      <c r="D914" s="326"/>
      <c r="E914" s="326"/>
      <c r="F914" s="326"/>
      <c r="G914" s="326"/>
      <c r="H914" s="326"/>
      <c r="P914" s="318"/>
      <c r="Q914" s="318"/>
      <c r="R914" s="318"/>
      <c r="S914" s="318"/>
      <c r="T914" s="318"/>
      <c r="U914" s="318"/>
      <c r="V914" s="318"/>
      <c r="W914" s="318"/>
      <c r="X914" s="318"/>
      <c r="Y914" s="318"/>
      <c r="Z914" s="318"/>
      <c r="AA914" s="318"/>
      <c r="AB914" s="318"/>
      <c r="AC914" s="318"/>
      <c r="AD914" s="318"/>
    </row>
    <row r="915" spans="2:30" s="323" customFormat="1" ht="12" customHeight="1">
      <c r="B915" s="324"/>
      <c r="C915" s="325"/>
      <c r="D915" s="326"/>
      <c r="E915" s="326"/>
      <c r="F915" s="326"/>
      <c r="G915" s="326"/>
      <c r="H915" s="326"/>
      <c r="P915" s="318"/>
      <c r="Q915" s="318"/>
      <c r="R915" s="318"/>
      <c r="S915" s="318"/>
      <c r="T915" s="318"/>
      <c r="U915" s="318"/>
      <c r="V915" s="318"/>
      <c r="W915" s="318"/>
      <c r="X915" s="318"/>
      <c r="Y915" s="318"/>
      <c r="Z915" s="318"/>
      <c r="AA915" s="318"/>
      <c r="AB915" s="318"/>
      <c r="AC915" s="318"/>
      <c r="AD915" s="318"/>
    </row>
    <row r="916" spans="2:30" s="323" customFormat="1" ht="12" customHeight="1">
      <c r="B916" s="324"/>
      <c r="C916" s="325"/>
      <c r="D916" s="326"/>
      <c r="E916" s="326"/>
      <c r="F916" s="326"/>
      <c r="G916" s="326"/>
      <c r="H916" s="326"/>
      <c r="P916" s="318"/>
      <c r="Q916" s="318"/>
      <c r="R916" s="318"/>
      <c r="S916" s="318"/>
      <c r="T916" s="318"/>
      <c r="U916" s="318"/>
      <c r="V916" s="318"/>
      <c r="W916" s="318"/>
      <c r="X916" s="318"/>
      <c r="Y916" s="318"/>
      <c r="Z916" s="318"/>
      <c r="AA916" s="318"/>
      <c r="AB916" s="318"/>
      <c r="AC916" s="318"/>
      <c r="AD916" s="318"/>
    </row>
    <row r="917" spans="2:30" s="323" customFormat="1" ht="12" customHeight="1">
      <c r="B917" s="324"/>
      <c r="C917" s="325"/>
      <c r="D917" s="326"/>
      <c r="E917" s="326"/>
      <c r="F917" s="326"/>
      <c r="G917" s="326"/>
      <c r="H917" s="326"/>
      <c r="P917" s="318"/>
      <c r="Q917" s="318"/>
      <c r="R917" s="318"/>
      <c r="S917" s="318"/>
      <c r="T917" s="318"/>
      <c r="U917" s="318"/>
      <c r="V917" s="318"/>
      <c r="W917" s="318"/>
      <c r="X917" s="318"/>
      <c r="Y917" s="318"/>
      <c r="Z917" s="318"/>
      <c r="AA917" s="318"/>
      <c r="AB917" s="318"/>
      <c r="AC917" s="318"/>
      <c r="AD917" s="318"/>
    </row>
    <row r="918" spans="2:30" s="323" customFormat="1" ht="12" customHeight="1">
      <c r="B918" s="324"/>
      <c r="C918" s="325"/>
      <c r="D918" s="326"/>
      <c r="E918" s="326"/>
      <c r="F918" s="326"/>
      <c r="G918" s="326"/>
      <c r="H918" s="326"/>
      <c r="P918" s="318"/>
      <c r="Q918" s="318"/>
      <c r="R918" s="318"/>
      <c r="S918" s="318"/>
      <c r="T918" s="318"/>
      <c r="U918" s="318"/>
      <c r="V918" s="318"/>
      <c r="W918" s="318"/>
      <c r="X918" s="318"/>
      <c r="Y918" s="318"/>
      <c r="Z918" s="318"/>
      <c r="AA918" s="318"/>
      <c r="AB918" s="318"/>
      <c r="AC918" s="318"/>
      <c r="AD918" s="318"/>
    </row>
    <row r="919" spans="2:30" s="323" customFormat="1" ht="12" customHeight="1">
      <c r="B919" s="324"/>
      <c r="C919" s="325"/>
      <c r="D919" s="326"/>
      <c r="E919" s="326"/>
      <c r="F919" s="326"/>
      <c r="G919" s="326"/>
      <c r="H919" s="326"/>
      <c r="P919" s="318"/>
      <c r="Q919" s="318"/>
      <c r="R919" s="318"/>
      <c r="S919" s="318"/>
      <c r="T919" s="318"/>
      <c r="U919" s="318"/>
      <c r="V919" s="318"/>
      <c r="W919" s="318"/>
      <c r="X919" s="318"/>
      <c r="Y919" s="318"/>
      <c r="Z919" s="318"/>
      <c r="AA919" s="318"/>
      <c r="AB919" s="318"/>
      <c r="AC919" s="318"/>
      <c r="AD919" s="318"/>
    </row>
    <row r="920" spans="2:30" s="323" customFormat="1" ht="12" customHeight="1">
      <c r="B920" s="324"/>
      <c r="C920" s="325"/>
      <c r="D920" s="326"/>
      <c r="E920" s="326"/>
      <c r="F920" s="326"/>
      <c r="G920" s="326"/>
      <c r="H920" s="326"/>
      <c r="P920" s="318"/>
      <c r="Q920" s="318"/>
      <c r="R920" s="318"/>
      <c r="S920" s="318"/>
      <c r="T920" s="318"/>
      <c r="U920" s="318"/>
      <c r="V920" s="318"/>
      <c r="W920" s="318"/>
      <c r="X920" s="318"/>
      <c r="Y920" s="318"/>
      <c r="Z920" s="318"/>
      <c r="AA920" s="318"/>
      <c r="AB920" s="318"/>
      <c r="AC920" s="318"/>
      <c r="AD920" s="318"/>
    </row>
    <row r="921" spans="2:30" s="323" customFormat="1" ht="12" customHeight="1">
      <c r="B921" s="324"/>
      <c r="C921" s="325"/>
      <c r="D921" s="326"/>
      <c r="E921" s="326"/>
      <c r="F921" s="326"/>
      <c r="G921" s="326"/>
      <c r="H921" s="326"/>
      <c r="P921" s="318"/>
      <c r="Q921" s="318"/>
      <c r="R921" s="318"/>
      <c r="S921" s="318"/>
      <c r="T921" s="318"/>
      <c r="U921" s="318"/>
      <c r="V921" s="318"/>
      <c r="W921" s="318"/>
      <c r="X921" s="318"/>
      <c r="Y921" s="318"/>
      <c r="Z921" s="318"/>
      <c r="AA921" s="318"/>
      <c r="AB921" s="318"/>
      <c r="AC921" s="318"/>
      <c r="AD921" s="318"/>
    </row>
    <row r="922" spans="2:30" s="323" customFormat="1" ht="12" customHeight="1">
      <c r="B922" s="324"/>
      <c r="C922" s="325"/>
      <c r="D922" s="326"/>
      <c r="E922" s="326"/>
      <c r="F922" s="326"/>
      <c r="G922" s="326"/>
      <c r="H922" s="326"/>
      <c r="P922" s="318"/>
      <c r="Q922" s="318"/>
      <c r="R922" s="318"/>
      <c r="S922" s="318"/>
      <c r="T922" s="318"/>
      <c r="U922" s="318"/>
      <c r="V922" s="318"/>
      <c r="W922" s="318"/>
      <c r="X922" s="318"/>
      <c r="Y922" s="318"/>
      <c r="Z922" s="318"/>
      <c r="AA922" s="318"/>
      <c r="AB922" s="318"/>
      <c r="AC922" s="318"/>
      <c r="AD922" s="318"/>
    </row>
    <row r="923" spans="2:30" s="323" customFormat="1" ht="12" customHeight="1">
      <c r="B923" s="324"/>
      <c r="C923" s="325"/>
      <c r="D923" s="326"/>
      <c r="E923" s="326"/>
      <c r="F923" s="326"/>
      <c r="G923" s="326"/>
      <c r="H923" s="326"/>
      <c r="P923" s="318"/>
      <c r="Q923" s="318"/>
      <c r="R923" s="318"/>
      <c r="S923" s="318"/>
      <c r="T923" s="318"/>
      <c r="U923" s="318"/>
      <c r="V923" s="318"/>
      <c r="W923" s="318"/>
      <c r="X923" s="318"/>
      <c r="Y923" s="318"/>
      <c r="Z923" s="318"/>
      <c r="AA923" s="318"/>
      <c r="AB923" s="318"/>
      <c r="AC923" s="318"/>
      <c r="AD923" s="318"/>
    </row>
    <row r="924" spans="2:30" s="323" customFormat="1" ht="12" customHeight="1">
      <c r="B924" s="324"/>
      <c r="C924" s="325"/>
      <c r="D924" s="326"/>
      <c r="E924" s="326"/>
      <c r="F924" s="326"/>
      <c r="G924" s="326"/>
      <c r="H924" s="326"/>
      <c r="P924" s="318"/>
      <c r="Q924" s="318"/>
      <c r="R924" s="318"/>
      <c r="S924" s="318"/>
      <c r="T924" s="318"/>
      <c r="U924" s="318"/>
      <c r="V924" s="318"/>
      <c r="W924" s="318"/>
      <c r="X924" s="318"/>
      <c r="Y924" s="318"/>
      <c r="Z924" s="318"/>
      <c r="AA924" s="318"/>
      <c r="AB924" s="318"/>
      <c r="AC924" s="318"/>
      <c r="AD924" s="318"/>
    </row>
    <row r="925" spans="2:30" s="323" customFormat="1" ht="12" customHeight="1">
      <c r="B925" s="324"/>
      <c r="C925" s="325"/>
      <c r="D925" s="326"/>
      <c r="E925" s="326"/>
      <c r="F925" s="326"/>
      <c r="G925" s="326"/>
      <c r="H925" s="326"/>
      <c r="P925" s="318"/>
      <c r="Q925" s="318"/>
      <c r="R925" s="318"/>
      <c r="S925" s="318"/>
      <c r="T925" s="318"/>
      <c r="U925" s="318"/>
      <c r="V925" s="318"/>
      <c r="W925" s="318"/>
      <c r="X925" s="318"/>
      <c r="Y925" s="318"/>
      <c r="Z925" s="318"/>
      <c r="AA925" s="318"/>
      <c r="AB925" s="318"/>
      <c r="AC925" s="318"/>
      <c r="AD925" s="318"/>
    </row>
    <row r="926" spans="2:30" s="323" customFormat="1" ht="12" customHeight="1">
      <c r="B926" s="324"/>
      <c r="C926" s="325"/>
      <c r="D926" s="326"/>
      <c r="E926" s="326"/>
      <c r="F926" s="326"/>
      <c r="G926" s="326"/>
      <c r="H926" s="326"/>
      <c r="P926" s="318"/>
      <c r="Q926" s="318"/>
      <c r="R926" s="318"/>
      <c r="S926" s="318"/>
      <c r="T926" s="318"/>
      <c r="U926" s="318"/>
      <c r="V926" s="318"/>
      <c r="W926" s="318"/>
      <c r="X926" s="318"/>
      <c r="Y926" s="318"/>
      <c r="Z926" s="318"/>
      <c r="AA926" s="318"/>
      <c r="AB926" s="318"/>
      <c r="AC926" s="318"/>
      <c r="AD926" s="318"/>
    </row>
    <row r="927" spans="2:30" s="323" customFormat="1" ht="12" customHeight="1">
      <c r="B927" s="324"/>
      <c r="C927" s="325"/>
      <c r="D927" s="326"/>
      <c r="E927" s="326"/>
      <c r="F927" s="326"/>
      <c r="G927" s="326"/>
      <c r="H927" s="326"/>
      <c r="P927" s="318"/>
      <c r="Q927" s="318"/>
      <c r="R927" s="318"/>
      <c r="S927" s="318"/>
      <c r="T927" s="318"/>
      <c r="U927" s="318"/>
      <c r="V927" s="318"/>
      <c r="W927" s="318"/>
      <c r="X927" s="318"/>
      <c r="Y927" s="318"/>
      <c r="Z927" s="318"/>
      <c r="AA927" s="318"/>
      <c r="AB927" s="318"/>
      <c r="AC927" s="318"/>
      <c r="AD927" s="318"/>
    </row>
    <row r="928" spans="2:30" s="323" customFormat="1" ht="12" customHeight="1">
      <c r="B928" s="324"/>
      <c r="C928" s="325"/>
      <c r="D928" s="326"/>
      <c r="E928" s="326"/>
      <c r="F928" s="326"/>
      <c r="G928" s="326"/>
      <c r="H928" s="326"/>
      <c r="P928" s="318"/>
      <c r="Q928" s="318"/>
      <c r="R928" s="318"/>
      <c r="S928" s="318"/>
      <c r="T928" s="318"/>
      <c r="U928" s="318"/>
      <c r="V928" s="318"/>
      <c r="W928" s="318"/>
      <c r="X928" s="318"/>
      <c r="Y928" s="318"/>
      <c r="Z928" s="318"/>
      <c r="AA928" s="318"/>
      <c r="AB928" s="318"/>
      <c r="AC928" s="318"/>
      <c r="AD928" s="318"/>
    </row>
    <row r="929" spans="2:30" s="323" customFormat="1" ht="12" customHeight="1">
      <c r="B929" s="324"/>
      <c r="C929" s="325"/>
      <c r="D929" s="326"/>
      <c r="E929" s="326"/>
      <c r="F929" s="326"/>
      <c r="G929" s="326"/>
      <c r="H929" s="326"/>
      <c r="P929" s="318"/>
      <c r="Q929" s="318"/>
      <c r="R929" s="318"/>
      <c r="S929" s="318"/>
      <c r="T929" s="318"/>
      <c r="U929" s="318"/>
      <c r="V929" s="318"/>
      <c r="W929" s="318"/>
      <c r="X929" s="318"/>
      <c r="Y929" s="318"/>
      <c r="Z929" s="318"/>
      <c r="AA929" s="318"/>
      <c r="AB929" s="318"/>
      <c r="AC929" s="318"/>
      <c r="AD929" s="318"/>
    </row>
    <row r="930" spans="2:30" s="323" customFormat="1" ht="12" customHeight="1">
      <c r="B930" s="324"/>
      <c r="C930" s="325"/>
      <c r="D930" s="326"/>
      <c r="E930" s="326"/>
      <c r="F930" s="326"/>
      <c r="G930" s="326"/>
      <c r="H930" s="326"/>
      <c r="P930" s="318"/>
      <c r="Q930" s="318"/>
      <c r="R930" s="318"/>
      <c r="S930" s="318"/>
      <c r="T930" s="318"/>
      <c r="U930" s="318"/>
      <c r="V930" s="318"/>
      <c r="W930" s="318"/>
      <c r="X930" s="318"/>
      <c r="Y930" s="318"/>
      <c r="Z930" s="318"/>
      <c r="AA930" s="318"/>
      <c r="AB930" s="318"/>
      <c r="AC930" s="318"/>
      <c r="AD930" s="318"/>
    </row>
    <row r="931" spans="2:30" s="323" customFormat="1" ht="12" customHeight="1">
      <c r="B931" s="324"/>
      <c r="C931" s="325"/>
      <c r="D931" s="326"/>
      <c r="E931" s="326"/>
      <c r="F931" s="326"/>
      <c r="G931" s="326"/>
      <c r="H931" s="326"/>
      <c r="P931" s="318"/>
      <c r="Q931" s="318"/>
      <c r="R931" s="318"/>
      <c r="S931" s="318"/>
      <c r="T931" s="318"/>
      <c r="U931" s="318"/>
      <c r="V931" s="318"/>
      <c r="W931" s="318"/>
      <c r="X931" s="318"/>
      <c r="Y931" s="318"/>
      <c r="Z931" s="318"/>
      <c r="AA931" s="318"/>
      <c r="AB931" s="318"/>
      <c r="AC931" s="318"/>
      <c r="AD931" s="318"/>
    </row>
    <row r="932" spans="2:30" s="323" customFormat="1" ht="12" customHeight="1">
      <c r="B932" s="324"/>
      <c r="C932" s="325"/>
      <c r="D932" s="326"/>
      <c r="E932" s="326"/>
      <c r="F932" s="326"/>
      <c r="G932" s="326"/>
      <c r="H932" s="326"/>
      <c r="P932" s="318"/>
      <c r="Q932" s="318"/>
      <c r="R932" s="318"/>
      <c r="S932" s="318"/>
      <c r="T932" s="318"/>
      <c r="U932" s="318"/>
      <c r="V932" s="318"/>
      <c r="W932" s="318"/>
      <c r="X932" s="318"/>
      <c r="Y932" s="318"/>
      <c r="Z932" s="318"/>
      <c r="AA932" s="318"/>
      <c r="AB932" s="318"/>
      <c r="AC932" s="318"/>
      <c r="AD932" s="318"/>
    </row>
    <row r="933" spans="2:30" s="323" customFormat="1" ht="12" customHeight="1">
      <c r="B933" s="324"/>
      <c r="C933" s="325"/>
      <c r="D933" s="326"/>
      <c r="E933" s="326"/>
      <c r="F933" s="326"/>
      <c r="G933" s="326"/>
      <c r="H933" s="326"/>
      <c r="P933" s="318"/>
      <c r="Q933" s="318"/>
      <c r="R933" s="318"/>
      <c r="S933" s="318"/>
      <c r="T933" s="318"/>
      <c r="U933" s="318"/>
      <c r="V933" s="318"/>
      <c r="W933" s="318"/>
      <c r="X933" s="318"/>
      <c r="Y933" s="318"/>
      <c r="Z933" s="318"/>
      <c r="AA933" s="318"/>
      <c r="AB933" s="318"/>
      <c r="AC933" s="318"/>
      <c r="AD933" s="318"/>
    </row>
    <row r="934" spans="2:30" s="323" customFormat="1" ht="12" customHeight="1">
      <c r="B934" s="324"/>
      <c r="C934" s="325"/>
      <c r="D934" s="326"/>
      <c r="E934" s="326"/>
      <c r="F934" s="326"/>
      <c r="G934" s="326"/>
      <c r="H934" s="326"/>
      <c r="P934" s="318"/>
      <c r="Q934" s="318"/>
      <c r="R934" s="318"/>
      <c r="S934" s="318"/>
      <c r="T934" s="318"/>
      <c r="U934" s="318"/>
      <c r="V934" s="318"/>
      <c r="W934" s="318"/>
      <c r="X934" s="318"/>
      <c r="Y934" s="318"/>
      <c r="Z934" s="318"/>
      <c r="AA934" s="318"/>
      <c r="AB934" s="318"/>
      <c r="AC934" s="318"/>
      <c r="AD934" s="318"/>
    </row>
    <row r="935" spans="2:30" s="323" customFormat="1" ht="12" customHeight="1">
      <c r="B935" s="324"/>
      <c r="C935" s="325"/>
      <c r="D935" s="326"/>
      <c r="E935" s="326"/>
      <c r="F935" s="326"/>
      <c r="G935" s="326"/>
      <c r="H935" s="326"/>
      <c r="P935" s="318"/>
      <c r="Q935" s="318"/>
      <c r="R935" s="318"/>
      <c r="S935" s="318"/>
      <c r="T935" s="318"/>
      <c r="U935" s="318"/>
      <c r="V935" s="318"/>
      <c r="W935" s="318"/>
      <c r="X935" s="318"/>
      <c r="Y935" s="318"/>
      <c r="Z935" s="318"/>
      <c r="AA935" s="318"/>
      <c r="AB935" s="318"/>
      <c r="AC935" s="318"/>
      <c r="AD935" s="318"/>
    </row>
    <row r="936" spans="2:30" s="323" customFormat="1" ht="12" customHeight="1">
      <c r="B936" s="324"/>
      <c r="C936" s="325"/>
      <c r="D936" s="326"/>
      <c r="E936" s="326"/>
      <c r="F936" s="326"/>
      <c r="G936" s="326"/>
      <c r="H936" s="326"/>
      <c r="P936" s="318"/>
      <c r="Q936" s="318"/>
      <c r="R936" s="318"/>
      <c r="S936" s="318"/>
      <c r="T936" s="318"/>
      <c r="U936" s="318"/>
      <c r="V936" s="318"/>
      <c r="W936" s="318"/>
      <c r="X936" s="318"/>
      <c r="Y936" s="318"/>
      <c r="Z936" s="318"/>
      <c r="AA936" s="318"/>
      <c r="AB936" s="318"/>
      <c r="AC936" s="318"/>
      <c r="AD936" s="318"/>
    </row>
    <row r="937" spans="2:30" s="323" customFormat="1" ht="12" customHeight="1">
      <c r="B937" s="324"/>
      <c r="C937" s="325"/>
      <c r="D937" s="326"/>
      <c r="E937" s="326"/>
      <c r="F937" s="326"/>
      <c r="G937" s="326"/>
      <c r="H937" s="326"/>
      <c r="P937" s="318"/>
      <c r="Q937" s="318"/>
      <c r="R937" s="318"/>
      <c r="S937" s="318"/>
      <c r="T937" s="318"/>
      <c r="U937" s="318"/>
      <c r="V937" s="318"/>
      <c r="W937" s="318"/>
      <c r="X937" s="318"/>
      <c r="Y937" s="318"/>
      <c r="Z937" s="318"/>
      <c r="AA937" s="318"/>
      <c r="AB937" s="318"/>
      <c r="AC937" s="318"/>
      <c r="AD937" s="318"/>
    </row>
    <row r="938" spans="2:30" s="323" customFormat="1" ht="12" customHeight="1">
      <c r="B938" s="324"/>
      <c r="C938" s="325"/>
      <c r="D938" s="326"/>
      <c r="E938" s="326"/>
      <c r="F938" s="326"/>
      <c r="G938" s="326"/>
      <c r="H938" s="326"/>
      <c r="P938" s="318"/>
      <c r="Q938" s="318"/>
      <c r="R938" s="318"/>
      <c r="S938" s="318"/>
      <c r="T938" s="318"/>
      <c r="U938" s="318"/>
      <c r="V938" s="318"/>
      <c r="W938" s="318"/>
      <c r="X938" s="318"/>
      <c r="Y938" s="318"/>
      <c r="Z938" s="318"/>
      <c r="AA938" s="318"/>
      <c r="AB938" s="318"/>
      <c r="AC938" s="318"/>
      <c r="AD938" s="318"/>
    </row>
    <row r="939" spans="2:30" s="323" customFormat="1" ht="12" customHeight="1">
      <c r="B939" s="324"/>
      <c r="C939" s="325"/>
      <c r="D939" s="326"/>
      <c r="E939" s="326"/>
      <c r="F939" s="326"/>
      <c r="G939" s="326"/>
      <c r="H939" s="326"/>
      <c r="P939" s="318"/>
      <c r="Q939" s="318"/>
      <c r="R939" s="318"/>
      <c r="S939" s="318"/>
      <c r="T939" s="318"/>
      <c r="U939" s="318"/>
      <c r="V939" s="318"/>
      <c r="W939" s="318"/>
      <c r="X939" s="318"/>
      <c r="Y939" s="318"/>
      <c r="Z939" s="318"/>
      <c r="AA939" s="318"/>
      <c r="AB939" s="318"/>
      <c r="AC939" s="318"/>
      <c r="AD939" s="318"/>
    </row>
    <row r="940" spans="2:30" s="323" customFormat="1" ht="12" customHeight="1">
      <c r="B940" s="324"/>
      <c r="C940" s="325"/>
      <c r="D940" s="326"/>
      <c r="E940" s="326"/>
      <c r="F940" s="326"/>
      <c r="G940" s="326"/>
      <c r="H940" s="326"/>
      <c r="P940" s="318"/>
      <c r="Q940" s="318"/>
      <c r="R940" s="318"/>
      <c r="S940" s="318"/>
      <c r="T940" s="318"/>
      <c r="U940" s="318"/>
      <c r="V940" s="318"/>
      <c r="W940" s="318"/>
      <c r="X940" s="318"/>
      <c r="Y940" s="318"/>
      <c r="Z940" s="318"/>
      <c r="AA940" s="318"/>
      <c r="AB940" s="318"/>
      <c r="AC940" s="318"/>
      <c r="AD940" s="318"/>
    </row>
    <row r="941" spans="2:30" s="323" customFormat="1" ht="12" customHeight="1">
      <c r="B941" s="324"/>
      <c r="C941" s="325"/>
      <c r="D941" s="326"/>
      <c r="E941" s="326"/>
      <c r="F941" s="326"/>
      <c r="G941" s="326"/>
      <c r="H941" s="326"/>
      <c r="P941" s="318"/>
      <c r="Q941" s="318"/>
      <c r="R941" s="318"/>
      <c r="S941" s="318"/>
      <c r="T941" s="318"/>
      <c r="U941" s="318"/>
      <c r="V941" s="318"/>
      <c r="W941" s="318"/>
      <c r="X941" s="318"/>
      <c r="Y941" s="318"/>
      <c r="Z941" s="318"/>
      <c r="AA941" s="318"/>
      <c r="AB941" s="318"/>
      <c r="AC941" s="318"/>
      <c r="AD941" s="318"/>
    </row>
    <row r="942" spans="2:30" s="323" customFormat="1" ht="12" customHeight="1">
      <c r="B942" s="324"/>
      <c r="C942" s="325"/>
      <c r="D942" s="326"/>
      <c r="E942" s="326"/>
      <c r="F942" s="326"/>
      <c r="G942" s="326"/>
      <c r="H942" s="326"/>
      <c r="P942" s="318"/>
      <c r="Q942" s="318"/>
      <c r="R942" s="318"/>
      <c r="S942" s="318"/>
      <c r="T942" s="318"/>
      <c r="U942" s="318"/>
      <c r="V942" s="318"/>
      <c r="W942" s="318"/>
      <c r="X942" s="318"/>
      <c r="Y942" s="318"/>
      <c r="Z942" s="318"/>
      <c r="AA942" s="318"/>
      <c r="AB942" s="318"/>
      <c r="AC942" s="318"/>
      <c r="AD942" s="318"/>
    </row>
    <row r="943" spans="2:30" s="323" customFormat="1" ht="12" customHeight="1">
      <c r="B943" s="324"/>
      <c r="C943" s="325"/>
      <c r="D943" s="326"/>
      <c r="E943" s="326"/>
      <c r="F943" s="326"/>
      <c r="G943" s="326"/>
      <c r="H943" s="326"/>
      <c r="P943" s="318"/>
      <c r="Q943" s="318"/>
      <c r="R943" s="318"/>
      <c r="S943" s="318"/>
      <c r="T943" s="318"/>
      <c r="U943" s="318"/>
      <c r="V943" s="318"/>
      <c r="W943" s="318"/>
      <c r="X943" s="318"/>
      <c r="Y943" s="318"/>
      <c r="Z943" s="318"/>
      <c r="AA943" s="318"/>
      <c r="AB943" s="318"/>
      <c r="AC943" s="318"/>
      <c r="AD943" s="318"/>
    </row>
    <row r="944" spans="2:30" s="323" customFormat="1" ht="12" customHeight="1">
      <c r="B944" s="324"/>
      <c r="C944" s="325"/>
      <c r="D944" s="326"/>
      <c r="E944" s="326"/>
      <c r="F944" s="326"/>
      <c r="G944" s="326"/>
      <c r="H944" s="326"/>
      <c r="P944" s="318"/>
      <c r="Q944" s="318"/>
      <c r="R944" s="318"/>
      <c r="S944" s="318"/>
      <c r="T944" s="318"/>
      <c r="U944" s="318"/>
      <c r="V944" s="318"/>
      <c r="W944" s="318"/>
      <c r="X944" s="318"/>
      <c r="Y944" s="318"/>
      <c r="Z944" s="318"/>
      <c r="AA944" s="318"/>
      <c r="AB944" s="318"/>
      <c r="AC944" s="318"/>
      <c r="AD944" s="318"/>
    </row>
    <row r="945" spans="2:30" s="323" customFormat="1" ht="12" customHeight="1">
      <c r="B945" s="324"/>
      <c r="C945" s="325"/>
      <c r="D945" s="326"/>
      <c r="E945" s="326"/>
      <c r="F945" s="326"/>
      <c r="G945" s="326"/>
      <c r="H945" s="326"/>
      <c r="P945" s="318"/>
      <c r="Q945" s="318"/>
      <c r="R945" s="318"/>
      <c r="S945" s="318"/>
      <c r="T945" s="318"/>
      <c r="U945" s="318"/>
      <c r="V945" s="318"/>
      <c r="W945" s="318"/>
      <c r="X945" s="318"/>
      <c r="Y945" s="318"/>
      <c r="Z945" s="318"/>
      <c r="AA945" s="318"/>
      <c r="AB945" s="318"/>
      <c r="AC945" s="318"/>
      <c r="AD945" s="318"/>
    </row>
    <row r="946" spans="2:30" s="323" customFormat="1" ht="12" customHeight="1">
      <c r="B946" s="324"/>
      <c r="C946" s="325"/>
      <c r="D946" s="326"/>
      <c r="E946" s="326"/>
      <c r="F946" s="326"/>
      <c r="G946" s="326"/>
      <c r="H946" s="326"/>
      <c r="P946" s="318"/>
      <c r="Q946" s="318"/>
      <c r="R946" s="318"/>
      <c r="S946" s="318"/>
      <c r="T946" s="318"/>
      <c r="U946" s="318"/>
      <c r="V946" s="318"/>
      <c r="W946" s="318"/>
      <c r="X946" s="318"/>
      <c r="Y946" s="318"/>
      <c r="Z946" s="318"/>
      <c r="AA946" s="318"/>
      <c r="AB946" s="318"/>
      <c r="AC946" s="318"/>
      <c r="AD946" s="318"/>
    </row>
    <row r="947" spans="2:30" s="323" customFormat="1" ht="12" customHeight="1">
      <c r="B947" s="324"/>
      <c r="C947" s="325"/>
      <c r="D947" s="326"/>
      <c r="E947" s="326"/>
      <c r="F947" s="326"/>
      <c r="G947" s="326"/>
      <c r="H947" s="326"/>
      <c r="P947" s="318"/>
      <c r="Q947" s="318"/>
      <c r="R947" s="318"/>
      <c r="S947" s="318"/>
      <c r="T947" s="318"/>
      <c r="U947" s="318"/>
      <c r="V947" s="318"/>
      <c r="W947" s="318"/>
      <c r="X947" s="318"/>
      <c r="Y947" s="318"/>
      <c r="Z947" s="318"/>
      <c r="AA947" s="318"/>
      <c r="AB947" s="318"/>
      <c r="AC947" s="318"/>
      <c r="AD947" s="318"/>
    </row>
    <row r="948" spans="2:30" s="323" customFormat="1" ht="12" customHeight="1">
      <c r="B948" s="324"/>
      <c r="C948" s="325"/>
      <c r="D948" s="326"/>
      <c r="E948" s="326"/>
      <c r="F948" s="326"/>
      <c r="G948" s="326"/>
      <c r="H948" s="326"/>
      <c r="P948" s="318"/>
      <c r="Q948" s="318"/>
      <c r="R948" s="318"/>
      <c r="S948" s="318"/>
      <c r="T948" s="318"/>
      <c r="U948" s="318"/>
      <c r="V948" s="318"/>
      <c r="W948" s="318"/>
      <c r="X948" s="318"/>
      <c r="Y948" s="318"/>
      <c r="Z948" s="318"/>
      <c r="AA948" s="318"/>
      <c r="AB948" s="318"/>
      <c r="AC948" s="318"/>
      <c r="AD948" s="318"/>
    </row>
    <row r="949" spans="2:30" s="323" customFormat="1" ht="12" customHeight="1">
      <c r="B949" s="324"/>
      <c r="C949" s="325"/>
      <c r="D949" s="326"/>
      <c r="E949" s="326"/>
      <c r="F949" s="326"/>
      <c r="G949" s="326"/>
      <c r="H949" s="326"/>
      <c r="P949" s="318"/>
      <c r="Q949" s="318"/>
      <c r="R949" s="318"/>
      <c r="S949" s="318"/>
      <c r="T949" s="318"/>
      <c r="U949" s="318"/>
      <c r="V949" s="318"/>
      <c r="W949" s="318"/>
      <c r="X949" s="318"/>
      <c r="Y949" s="318"/>
      <c r="Z949" s="318"/>
      <c r="AA949" s="318"/>
      <c r="AB949" s="318"/>
      <c r="AC949" s="318"/>
      <c r="AD949" s="318"/>
    </row>
    <row r="950" spans="2:30" s="323" customFormat="1" ht="12" customHeight="1">
      <c r="B950" s="324"/>
      <c r="C950" s="325"/>
      <c r="D950" s="326"/>
      <c r="E950" s="326"/>
      <c r="F950" s="326"/>
      <c r="G950" s="326"/>
      <c r="H950" s="326"/>
      <c r="P950" s="318"/>
      <c r="Q950" s="318"/>
      <c r="R950" s="318"/>
      <c r="S950" s="318"/>
      <c r="T950" s="318"/>
      <c r="U950" s="318"/>
      <c r="V950" s="318"/>
      <c r="W950" s="318"/>
      <c r="X950" s="318"/>
      <c r="Y950" s="318"/>
      <c r="Z950" s="318"/>
      <c r="AA950" s="318"/>
      <c r="AB950" s="318"/>
      <c r="AC950" s="318"/>
      <c r="AD950" s="318"/>
    </row>
    <row r="951" spans="2:30" s="323" customFormat="1" ht="12" customHeight="1">
      <c r="B951" s="324"/>
      <c r="C951" s="325"/>
      <c r="D951" s="326"/>
      <c r="E951" s="326"/>
      <c r="F951" s="326"/>
      <c r="G951" s="326"/>
      <c r="H951" s="326"/>
      <c r="P951" s="318"/>
      <c r="Q951" s="318"/>
      <c r="R951" s="318"/>
      <c r="S951" s="318"/>
      <c r="T951" s="318"/>
      <c r="U951" s="318"/>
      <c r="V951" s="318"/>
      <c r="W951" s="318"/>
      <c r="X951" s="318"/>
      <c r="Y951" s="318"/>
      <c r="Z951" s="318"/>
      <c r="AA951" s="318"/>
      <c r="AB951" s="318"/>
      <c r="AC951" s="318"/>
      <c r="AD951" s="318"/>
    </row>
    <row r="952" spans="2:30" s="323" customFormat="1" ht="12" customHeight="1">
      <c r="B952" s="324"/>
      <c r="C952" s="325"/>
      <c r="D952" s="326"/>
      <c r="E952" s="326"/>
      <c r="F952" s="326"/>
      <c r="G952" s="326"/>
      <c r="H952" s="326"/>
      <c r="P952" s="318"/>
      <c r="Q952" s="318"/>
      <c r="R952" s="318"/>
      <c r="S952" s="318"/>
      <c r="T952" s="318"/>
      <c r="U952" s="318"/>
      <c r="V952" s="318"/>
      <c r="W952" s="318"/>
      <c r="X952" s="318"/>
      <c r="Y952" s="318"/>
      <c r="Z952" s="318"/>
      <c r="AA952" s="318"/>
      <c r="AB952" s="318"/>
      <c r="AC952" s="318"/>
      <c r="AD952" s="318"/>
    </row>
    <row r="953" spans="2:30" s="323" customFormat="1" ht="12" customHeight="1">
      <c r="B953" s="324"/>
      <c r="C953" s="325"/>
      <c r="D953" s="326"/>
      <c r="E953" s="326"/>
      <c r="F953" s="326"/>
      <c r="G953" s="326"/>
      <c r="H953" s="326"/>
      <c r="P953" s="318"/>
      <c r="Q953" s="318"/>
      <c r="R953" s="318"/>
      <c r="S953" s="318"/>
      <c r="T953" s="318"/>
      <c r="U953" s="318"/>
      <c r="V953" s="318"/>
      <c r="W953" s="318"/>
      <c r="X953" s="318"/>
      <c r="Y953" s="318"/>
      <c r="Z953" s="318"/>
      <c r="AA953" s="318"/>
      <c r="AB953" s="318"/>
      <c r="AC953" s="318"/>
      <c r="AD953" s="318"/>
    </row>
    <row r="954" spans="2:30" s="323" customFormat="1" ht="12" customHeight="1">
      <c r="B954" s="324"/>
      <c r="C954" s="325"/>
      <c r="D954" s="326"/>
      <c r="E954" s="326"/>
      <c r="F954" s="326"/>
      <c r="G954" s="326"/>
      <c r="H954" s="326"/>
      <c r="P954" s="318"/>
      <c r="Q954" s="318"/>
      <c r="R954" s="318"/>
      <c r="S954" s="318"/>
      <c r="T954" s="318"/>
      <c r="U954" s="318"/>
      <c r="V954" s="318"/>
      <c r="W954" s="318"/>
      <c r="X954" s="318"/>
      <c r="Y954" s="318"/>
      <c r="Z954" s="318"/>
      <c r="AA954" s="318"/>
      <c r="AB954" s="318"/>
      <c r="AC954" s="318"/>
      <c r="AD954" s="318"/>
    </row>
    <row r="955" spans="2:30" s="323" customFormat="1" ht="12" customHeight="1">
      <c r="B955" s="324"/>
      <c r="C955" s="325"/>
      <c r="D955" s="326"/>
      <c r="E955" s="326"/>
      <c r="F955" s="326"/>
      <c r="G955" s="326"/>
      <c r="H955" s="326"/>
      <c r="P955" s="318"/>
      <c r="Q955" s="318"/>
      <c r="R955" s="318"/>
      <c r="S955" s="318"/>
      <c r="T955" s="318"/>
      <c r="U955" s="318"/>
      <c r="V955" s="318"/>
      <c r="W955" s="318"/>
      <c r="X955" s="318"/>
      <c r="Y955" s="318"/>
      <c r="Z955" s="318"/>
      <c r="AA955" s="318"/>
      <c r="AB955" s="318"/>
      <c r="AC955" s="318"/>
      <c r="AD955" s="318"/>
    </row>
    <row r="956" spans="2:30" s="323" customFormat="1" ht="12" customHeight="1">
      <c r="B956" s="324"/>
      <c r="C956" s="325"/>
      <c r="D956" s="326"/>
      <c r="E956" s="326"/>
      <c r="F956" s="326"/>
      <c r="G956" s="326"/>
      <c r="H956" s="326"/>
      <c r="P956" s="318"/>
      <c r="Q956" s="318"/>
      <c r="R956" s="318"/>
      <c r="S956" s="318"/>
      <c r="T956" s="318"/>
      <c r="U956" s="318"/>
      <c r="V956" s="318"/>
      <c r="W956" s="318"/>
      <c r="X956" s="318"/>
      <c r="Y956" s="318"/>
      <c r="Z956" s="318"/>
      <c r="AA956" s="318"/>
      <c r="AB956" s="318"/>
      <c r="AC956" s="318"/>
      <c r="AD956" s="318"/>
    </row>
    <row r="957" spans="2:30" s="323" customFormat="1" ht="12" customHeight="1">
      <c r="B957" s="324"/>
      <c r="C957" s="325"/>
      <c r="D957" s="326"/>
      <c r="E957" s="326"/>
      <c r="F957" s="326"/>
      <c r="G957" s="326"/>
      <c r="H957" s="326"/>
      <c r="P957" s="318"/>
      <c r="Q957" s="318"/>
      <c r="R957" s="318"/>
      <c r="S957" s="318"/>
      <c r="T957" s="318"/>
      <c r="U957" s="318"/>
      <c r="V957" s="318"/>
      <c r="W957" s="318"/>
      <c r="X957" s="318"/>
      <c r="Y957" s="318"/>
      <c r="Z957" s="318"/>
      <c r="AA957" s="318"/>
      <c r="AB957" s="318"/>
      <c r="AC957" s="318"/>
      <c r="AD957" s="318"/>
    </row>
    <row r="958" spans="2:30" s="323" customFormat="1" ht="12" customHeight="1">
      <c r="B958" s="324"/>
      <c r="C958" s="325"/>
      <c r="D958" s="326"/>
      <c r="E958" s="326"/>
      <c r="F958" s="326"/>
      <c r="G958" s="326"/>
      <c r="H958" s="326"/>
      <c r="P958" s="318"/>
      <c r="Q958" s="318"/>
      <c r="R958" s="318"/>
      <c r="S958" s="318"/>
      <c r="T958" s="318"/>
      <c r="U958" s="318"/>
      <c r="V958" s="318"/>
      <c r="W958" s="318"/>
      <c r="X958" s="318"/>
      <c r="Y958" s="318"/>
      <c r="Z958" s="318"/>
      <c r="AA958" s="318"/>
      <c r="AB958" s="318"/>
      <c r="AC958" s="318"/>
      <c r="AD958" s="318"/>
    </row>
    <row r="959" spans="2:30" s="323" customFormat="1" ht="12" customHeight="1">
      <c r="B959" s="324"/>
      <c r="C959" s="325"/>
      <c r="D959" s="326"/>
      <c r="E959" s="326"/>
      <c r="F959" s="326"/>
      <c r="G959" s="326"/>
      <c r="H959" s="326"/>
      <c r="P959" s="318"/>
      <c r="Q959" s="318"/>
      <c r="R959" s="318"/>
      <c r="S959" s="318"/>
      <c r="T959" s="318"/>
      <c r="U959" s="318"/>
      <c r="V959" s="318"/>
      <c r="W959" s="318"/>
      <c r="X959" s="318"/>
      <c r="Y959" s="318"/>
      <c r="Z959" s="318"/>
      <c r="AA959" s="318"/>
      <c r="AB959" s="318"/>
      <c r="AC959" s="318"/>
      <c r="AD959" s="318"/>
    </row>
    <row r="960" spans="2:30" s="323" customFormat="1" ht="12" customHeight="1">
      <c r="B960" s="324"/>
      <c r="C960" s="325"/>
      <c r="D960" s="326"/>
      <c r="E960" s="326"/>
      <c r="F960" s="326"/>
      <c r="G960" s="326"/>
      <c r="H960" s="326"/>
      <c r="P960" s="318"/>
      <c r="Q960" s="318"/>
      <c r="R960" s="318"/>
      <c r="S960" s="318"/>
      <c r="T960" s="318"/>
      <c r="U960" s="318"/>
      <c r="V960" s="318"/>
      <c r="W960" s="318"/>
      <c r="X960" s="318"/>
      <c r="Y960" s="318"/>
      <c r="Z960" s="318"/>
      <c r="AA960" s="318"/>
      <c r="AB960" s="318"/>
      <c r="AC960" s="318"/>
      <c r="AD960" s="318"/>
    </row>
    <row r="961" spans="2:30" s="323" customFormat="1" ht="12" customHeight="1">
      <c r="B961" s="324"/>
      <c r="C961" s="325"/>
      <c r="D961" s="326"/>
      <c r="E961" s="326"/>
      <c r="F961" s="326"/>
      <c r="G961" s="326"/>
      <c r="H961" s="326"/>
      <c r="P961" s="318"/>
      <c r="Q961" s="318"/>
      <c r="R961" s="318"/>
      <c r="S961" s="318"/>
      <c r="T961" s="318"/>
      <c r="U961" s="318"/>
      <c r="V961" s="318"/>
      <c r="W961" s="318"/>
      <c r="X961" s="318"/>
      <c r="Y961" s="318"/>
      <c r="Z961" s="318"/>
      <c r="AA961" s="318"/>
      <c r="AB961" s="318"/>
      <c r="AC961" s="318"/>
      <c r="AD961" s="318"/>
    </row>
    <row r="962" spans="2:30" s="323" customFormat="1" ht="12" customHeight="1">
      <c r="B962" s="324"/>
      <c r="C962" s="325"/>
      <c r="D962" s="326"/>
      <c r="E962" s="326"/>
      <c r="F962" s="326"/>
      <c r="G962" s="326"/>
      <c r="H962" s="326"/>
      <c r="P962" s="318"/>
      <c r="Q962" s="318"/>
      <c r="R962" s="318"/>
      <c r="S962" s="318"/>
      <c r="T962" s="318"/>
      <c r="U962" s="318"/>
      <c r="V962" s="318"/>
      <c r="W962" s="318"/>
      <c r="X962" s="318"/>
      <c r="Y962" s="318"/>
      <c r="Z962" s="318"/>
      <c r="AA962" s="318"/>
      <c r="AB962" s="318"/>
      <c r="AC962" s="318"/>
      <c r="AD962" s="318"/>
    </row>
    <row r="963" spans="2:30" s="323" customFormat="1" ht="12" customHeight="1">
      <c r="B963" s="324"/>
      <c r="C963" s="325"/>
      <c r="D963" s="326"/>
      <c r="E963" s="326"/>
      <c r="F963" s="326"/>
      <c r="G963" s="326"/>
      <c r="H963" s="326"/>
      <c r="P963" s="318"/>
      <c r="Q963" s="318"/>
      <c r="R963" s="318"/>
      <c r="S963" s="318"/>
      <c r="T963" s="318"/>
      <c r="U963" s="318"/>
      <c r="V963" s="318"/>
      <c r="W963" s="318"/>
      <c r="X963" s="318"/>
      <c r="Y963" s="318"/>
      <c r="Z963" s="318"/>
      <c r="AA963" s="318"/>
      <c r="AB963" s="318"/>
      <c r="AC963" s="318"/>
      <c r="AD963" s="318"/>
    </row>
    <row r="964" spans="2:30" s="323" customFormat="1" ht="12" customHeight="1">
      <c r="B964" s="324"/>
      <c r="C964" s="325"/>
      <c r="D964" s="326"/>
      <c r="E964" s="326"/>
      <c r="F964" s="326"/>
      <c r="G964" s="326"/>
      <c r="H964" s="326"/>
      <c r="P964" s="318"/>
      <c r="Q964" s="318"/>
      <c r="R964" s="318"/>
      <c r="S964" s="318"/>
      <c r="T964" s="318"/>
      <c r="U964" s="318"/>
      <c r="V964" s="318"/>
      <c r="W964" s="318"/>
      <c r="X964" s="318"/>
      <c r="Y964" s="318"/>
      <c r="Z964" s="318"/>
      <c r="AA964" s="318"/>
      <c r="AB964" s="318"/>
      <c r="AC964" s="318"/>
      <c r="AD964" s="318"/>
    </row>
    <row r="965" spans="2:30" s="323" customFormat="1" ht="12" customHeight="1">
      <c r="B965" s="324"/>
      <c r="C965" s="325"/>
      <c r="D965" s="326"/>
      <c r="E965" s="326"/>
      <c r="F965" s="326"/>
      <c r="G965" s="326"/>
      <c r="H965" s="326"/>
      <c r="P965" s="318"/>
      <c r="Q965" s="318"/>
      <c r="R965" s="318"/>
      <c r="S965" s="318"/>
      <c r="T965" s="318"/>
      <c r="U965" s="318"/>
      <c r="V965" s="318"/>
      <c r="W965" s="318"/>
      <c r="X965" s="318"/>
      <c r="Y965" s="318"/>
      <c r="Z965" s="318"/>
      <c r="AA965" s="318"/>
      <c r="AB965" s="318"/>
      <c r="AC965" s="318"/>
      <c r="AD965" s="318"/>
    </row>
    <row r="966" spans="2:30" s="323" customFormat="1" ht="12" customHeight="1">
      <c r="B966" s="324"/>
      <c r="C966" s="325"/>
      <c r="D966" s="326"/>
      <c r="E966" s="326"/>
      <c r="F966" s="326"/>
      <c r="G966" s="326"/>
      <c r="H966" s="326"/>
      <c r="P966" s="318"/>
      <c r="Q966" s="318"/>
      <c r="R966" s="318"/>
      <c r="S966" s="318"/>
      <c r="T966" s="318"/>
      <c r="U966" s="318"/>
      <c r="V966" s="318"/>
      <c r="W966" s="318"/>
      <c r="X966" s="318"/>
      <c r="Y966" s="318"/>
      <c r="Z966" s="318"/>
      <c r="AA966" s="318"/>
      <c r="AB966" s="318"/>
      <c r="AC966" s="318"/>
      <c r="AD966" s="318"/>
    </row>
    <row r="967" spans="2:30" s="323" customFormat="1" ht="12" customHeight="1">
      <c r="B967" s="324"/>
      <c r="C967" s="325"/>
      <c r="D967" s="326"/>
      <c r="E967" s="326"/>
      <c r="F967" s="326"/>
      <c r="G967" s="326"/>
      <c r="H967" s="326"/>
      <c r="P967" s="318"/>
      <c r="Q967" s="318"/>
      <c r="R967" s="318"/>
      <c r="S967" s="318"/>
      <c r="T967" s="318"/>
      <c r="U967" s="318"/>
      <c r="V967" s="318"/>
      <c r="W967" s="318"/>
      <c r="X967" s="318"/>
      <c r="Y967" s="318"/>
      <c r="Z967" s="318"/>
      <c r="AA967" s="318"/>
      <c r="AB967" s="318"/>
      <c r="AC967" s="318"/>
      <c r="AD967" s="318"/>
    </row>
    <row r="968" spans="2:30" s="323" customFormat="1" ht="12" customHeight="1">
      <c r="B968" s="324"/>
      <c r="C968" s="325"/>
      <c r="D968" s="326"/>
      <c r="E968" s="326"/>
      <c r="F968" s="326"/>
      <c r="G968" s="326"/>
      <c r="H968" s="326"/>
      <c r="P968" s="318"/>
      <c r="Q968" s="318"/>
      <c r="R968" s="318"/>
      <c r="S968" s="318"/>
      <c r="T968" s="318"/>
      <c r="U968" s="318"/>
      <c r="V968" s="318"/>
      <c r="W968" s="318"/>
      <c r="X968" s="318"/>
      <c r="Y968" s="318"/>
      <c r="Z968" s="318"/>
      <c r="AA968" s="318"/>
      <c r="AB968" s="318"/>
      <c r="AC968" s="318"/>
      <c r="AD968" s="318"/>
    </row>
    <row r="969" spans="2:30" s="323" customFormat="1" ht="12" customHeight="1">
      <c r="B969" s="324"/>
      <c r="C969" s="325"/>
      <c r="D969" s="326"/>
      <c r="E969" s="326"/>
      <c r="F969" s="326"/>
      <c r="G969" s="326"/>
      <c r="H969" s="326"/>
      <c r="P969" s="318"/>
      <c r="Q969" s="318"/>
      <c r="R969" s="318"/>
      <c r="S969" s="318"/>
      <c r="T969" s="318"/>
      <c r="U969" s="318"/>
      <c r="V969" s="318"/>
      <c r="W969" s="318"/>
      <c r="X969" s="318"/>
      <c r="Y969" s="318"/>
      <c r="Z969" s="318"/>
      <c r="AA969" s="318"/>
      <c r="AB969" s="318"/>
      <c r="AC969" s="318"/>
      <c r="AD969" s="318"/>
    </row>
    <row r="970" spans="2:30" s="323" customFormat="1" ht="12" customHeight="1">
      <c r="B970" s="324"/>
      <c r="C970" s="325"/>
      <c r="D970" s="326"/>
      <c r="E970" s="326"/>
      <c r="F970" s="326"/>
      <c r="G970" s="326"/>
      <c r="H970" s="326"/>
      <c r="P970" s="318"/>
      <c r="Q970" s="318"/>
      <c r="R970" s="318"/>
      <c r="S970" s="318"/>
      <c r="T970" s="318"/>
      <c r="U970" s="318"/>
      <c r="V970" s="318"/>
      <c r="W970" s="318"/>
      <c r="X970" s="318"/>
      <c r="Y970" s="318"/>
      <c r="Z970" s="318"/>
      <c r="AA970" s="318"/>
      <c r="AB970" s="318"/>
      <c r="AC970" s="318"/>
      <c r="AD970" s="318"/>
    </row>
    <row r="971" spans="2:30" s="323" customFormat="1" ht="12" customHeight="1">
      <c r="B971" s="324"/>
      <c r="C971" s="325"/>
      <c r="D971" s="326"/>
      <c r="E971" s="326"/>
      <c r="F971" s="326"/>
      <c r="G971" s="326"/>
      <c r="H971" s="326"/>
      <c r="P971" s="318"/>
      <c r="Q971" s="318"/>
      <c r="R971" s="318"/>
      <c r="S971" s="318"/>
      <c r="T971" s="318"/>
      <c r="U971" s="318"/>
      <c r="V971" s="318"/>
      <c r="W971" s="318"/>
      <c r="X971" s="318"/>
      <c r="Y971" s="318"/>
      <c r="Z971" s="318"/>
      <c r="AA971" s="318"/>
      <c r="AB971" s="318"/>
      <c r="AC971" s="318"/>
      <c r="AD971" s="318"/>
    </row>
    <row r="972" spans="2:30" s="323" customFormat="1" ht="12" customHeight="1">
      <c r="B972" s="324"/>
      <c r="C972" s="325"/>
      <c r="D972" s="326"/>
      <c r="E972" s="326"/>
      <c r="F972" s="326"/>
      <c r="G972" s="326"/>
      <c r="H972" s="326"/>
      <c r="P972" s="318"/>
      <c r="Q972" s="318"/>
      <c r="R972" s="318"/>
      <c r="S972" s="318"/>
      <c r="T972" s="318"/>
      <c r="U972" s="318"/>
      <c r="V972" s="318"/>
      <c r="W972" s="318"/>
      <c r="X972" s="318"/>
      <c r="Y972" s="318"/>
      <c r="Z972" s="318"/>
      <c r="AA972" s="318"/>
      <c r="AB972" s="318"/>
      <c r="AC972" s="318"/>
      <c r="AD972" s="318"/>
    </row>
    <row r="973" spans="2:30" s="323" customFormat="1" ht="12" customHeight="1">
      <c r="B973" s="324"/>
      <c r="C973" s="325"/>
      <c r="D973" s="326"/>
      <c r="E973" s="326"/>
      <c r="F973" s="326"/>
      <c r="G973" s="326"/>
      <c r="H973" s="326"/>
      <c r="P973" s="318"/>
      <c r="Q973" s="318"/>
      <c r="R973" s="318"/>
      <c r="S973" s="318"/>
      <c r="T973" s="318"/>
      <c r="U973" s="318"/>
      <c r="V973" s="318"/>
      <c r="W973" s="318"/>
      <c r="X973" s="318"/>
      <c r="Y973" s="318"/>
      <c r="Z973" s="318"/>
      <c r="AA973" s="318"/>
      <c r="AB973" s="318"/>
      <c r="AC973" s="318"/>
      <c r="AD973" s="318"/>
    </row>
    <row r="974" spans="2:30" s="323" customFormat="1" ht="12" customHeight="1">
      <c r="B974" s="324"/>
      <c r="C974" s="325"/>
      <c r="D974" s="326"/>
      <c r="E974" s="326"/>
      <c r="F974" s="326"/>
      <c r="G974" s="326"/>
      <c r="H974" s="326"/>
      <c r="P974" s="318"/>
      <c r="Q974" s="318"/>
      <c r="R974" s="318"/>
      <c r="S974" s="318"/>
      <c r="T974" s="318"/>
      <c r="U974" s="318"/>
      <c r="V974" s="318"/>
      <c r="W974" s="318"/>
      <c r="X974" s="318"/>
      <c r="Y974" s="318"/>
      <c r="Z974" s="318"/>
      <c r="AA974" s="318"/>
      <c r="AB974" s="318"/>
      <c r="AC974" s="318"/>
      <c r="AD974" s="318"/>
    </row>
    <row r="975" spans="2:30" s="323" customFormat="1" ht="12" customHeight="1">
      <c r="B975" s="324"/>
      <c r="C975" s="325"/>
      <c r="D975" s="326"/>
      <c r="E975" s="326"/>
      <c r="F975" s="326"/>
      <c r="G975" s="326"/>
      <c r="H975" s="326"/>
      <c r="P975" s="318"/>
      <c r="Q975" s="318"/>
      <c r="R975" s="318"/>
      <c r="S975" s="318"/>
      <c r="T975" s="318"/>
      <c r="U975" s="318"/>
      <c r="V975" s="318"/>
      <c r="W975" s="318"/>
      <c r="X975" s="318"/>
      <c r="Y975" s="318"/>
      <c r="Z975" s="318"/>
      <c r="AA975" s="318"/>
      <c r="AB975" s="318"/>
      <c r="AC975" s="318"/>
      <c r="AD975" s="318"/>
    </row>
    <row r="976" spans="2:30" s="323" customFormat="1" ht="12" customHeight="1">
      <c r="B976" s="324"/>
      <c r="C976" s="325"/>
      <c r="D976" s="326"/>
      <c r="E976" s="326"/>
      <c r="F976" s="326"/>
      <c r="G976" s="326"/>
      <c r="H976" s="326"/>
      <c r="P976" s="318"/>
      <c r="Q976" s="318"/>
      <c r="R976" s="318"/>
      <c r="S976" s="318"/>
      <c r="T976" s="318"/>
      <c r="U976" s="318"/>
      <c r="V976" s="318"/>
      <c r="W976" s="318"/>
      <c r="X976" s="318"/>
      <c r="Y976" s="318"/>
      <c r="Z976" s="318"/>
      <c r="AA976" s="318"/>
      <c r="AB976" s="318"/>
      <c r="AC976" s="318"/>
      <c r="AD976" s="318"/>
    </row>
    <row r="977" spans="2:30" s="323" customFormat="1" ht="12" customHeight="1">
      <c r="B977" s="324"/>
      <c r="C977" s="325"/>
      <c r="D977" s="326"/>
      <c r="E977" s="326"/>
      <c r="F977" s="326"/>
      <c r="G977" s="326"/>
      <c r="H977" s="326"/>
      <c r="P977" s="318"/>
      <c r="Q977" s="318"/>
      <c r="R977" s="318"/>
      <c r="S977" s="318"/>
      <c r="T977" s="318"/>
      <c r="U977" s="318"/>
      <c r="V977" s="318"/>
      <c r="W977" s="318"/>
      <c r="X977" s="318"/>
      <c r="Y977" s="318"/>
      <c r="Z977" s="318"/>
      <c r="AA977" s="318"/>
      <c r="AB977" s="318"/>
      <c r="AC977" s="318"/>
      <c r="AD977" s="318"/>
    </row>
    <row r="978" spans="2:30" s="323" customFormat="1" ht="12" customHeight="1">
      <c r="B978" s="324"/>
      <c r="C978" s="325"/>
      <c r="D978" s="326"/>
      <c r="E978" s="326"/>
      <c r="F978" s="326"/>
      <c r="G978" s="326"/>
      <c r="H978" s="326"/>
      <c r="P978" s="318"/>
      <c r="Q978" s="318"/>
      <c r="R978" s="318"/>
      <c r="S978" s="318"/>
      <c r="T978" s="318"/>
      <c r="U978" s="318"/>
      <c r="V978" s="318"/>
      <c r="W978" s="318"/>
      <c r="X978" s="318"/>
      <c r="Y978" s="318"/>
      <c r="Z978" s="318"/>
      <c r="AA978" s="318"/>
      <c r="AB978" s="318"/>
      <c r="AC978" s="318"/>
      <c r="AD978" s="318"/>
    </row>
    <row r="979" spans="2:30" s="323" customFormat="1" ht="12" customHeight="1">
      <c r="B979" s="324"/>
      <c r="C979" s="325"/>
      <c r="D979" s="326"/>
      <c r="E979" s="326"/>
      <c r="F979" s="326"/>
      <c r="G979" s="326"/>
      <c r="H979" s="326"/>
      <c r="P979" s="318"/>
      <c r="Q979" s="318"/>
      <c r="R979" s="318"/>
      <c r="S979" s="318"/>
      <c r="T979" s="318"/>
      <c r="U979" s="318"/>
      <c r="V979" s="318"/>
      <c r="W979" s="318"/>
      <c r="X979" s="318"/>
      <c r="Y979" s="318"/>
      <c r="Z979" s="318"/>
      <c r="AA979" s="318"/>
      <c r="AB979" s="318"/>
      <c r="AC979" s="318"/>
      <c r="AD979" s="318"/>
    </row>
    <row r="980" spans="2:30" s="323" customFormat="1" ht="12" customHeight="1">
      <c r="B980" s="324"/>
      <c r="C980" s="325"/>
      <c r="D980" s="326"/>
      <c r="E980" s="326"/>
      <c r="F980" s="326"/>
      <c r="G980" s="326"/>
      <c r="H980" s="326"/>
      <c r="P980" s="318"/>
      <c r="Q980" s="318"/>
      <c r="R980" s="318"/>
      <c r="S980" s="318"/>
      <c r="T980" s="318"/>
      <c r="U980" s="318"/>
      <c r="V980" s="318"/>
      <c r="W980" s="318"/>
      <c r="X980" s="318"/>
      <c r="Y980" s="318"/>
      <c r="Z980" s="318"/>
      <c r="AA980" s="318"/>
      <c r="AB980" s="318"/>
      <c r="AC980" s="318"/>
      <c r="AD980" s="318"/>
    </row>
    <row r="981" spans="2:30" s="323" customFormat="1" ht="12" customHeight="1">
      <c r="B981" s="324"/>
      <c r="C981" s="325"/>
      <c r="D981" s="326"/>
      <c r="E981" s="326"/>
      <c r="F981" s="326"/>
      <c r="G981" s="326"/>
      <c r="H981" s="326"/>
      <c r="P981" s="318"/>
      <c r="Q981" s="318"/>
      <c r="R981" s="318"/>
      <c r="S981" s="318"/>
      <c r="T981" s="318"/>
      <c r="U981" s="318"/>
      <c r="V981" s="318"/>
      <c r="W981" s="318"/>
      <c r="X981" s="318"/>
      <c r="Y981" s="318"/>
      <c r="Z981" s="318"/>
      <c r="AA981" s="318"/>
      <c r="AB981" s="318"/>
      <c r="AC981" s="318"/>
      <c r="AD981" s="318"/>
    </row>
    <row r="982" spans="2:30" s="323" customFormat="1" ht="12" customHeight="1">
      <c r="B982" s="324"/>
      <c r="C982" s="325"/>
      <c r="D982" s="326"/>
      <c r="E982" s="326"/>
      <c r="F982" s="326"/>
      <c r="G982" s="326"/>
      <c r="H982" s="326"/>
      <c r="P982" s="318"/>
      <c r="Q982" s="318"/>
      <c r="R982" s="318"/>
      <c r="S982" s="318"/>
      <c r="T982" s="318"/>
      <c r="U982" s="318"/>
      <c r="V982" s="318"/>
      <c r="W982" s="318"/>
      <c r="X982" s="318"/>
      <c r="Y982" s="318"/>
      <c r="Z982" s="318"/>
      <c r="AA982" s="318"/>
      <c r="AB982" s="318"/>
      <c r="AC982" s="318"/>
      <c r="AD982" s="318"/>
    </row>
    <row r="983" spans="2:30" s="323" customFormat="1" ht="12" customHeight="1">
      <c r="B983" s="324"/>
      <c r="C983" s="325"/>
      <c r="D983" s="326"/>
      <c r="E983" s="326"/>
      <c r="F983" s="326"/>
      <c r="G983" s="326"/>
      <c r="H983" s="326"/>
      <c r="P983" s="318"/>
      <c r="Q983" s="318"/>
      <c r="R983" s="318"/>
      <c r="S983" s="318"/>
      <c r="T983" s="318"/>
      <c r="U983" s="318"/>
      <c r="V983" s="318"/>
      <c r="W983" s="318"/>
      <c r="X983" s="318"/>
      <c r="Y983" s="318"/>
      <c r="Z983" s="318"/>
      <c r="AA983" s="318"/>
      <c r="AB983" s="318"/>
      <c r="AC983" s="318"/>
      <c r="AD983" s="318"/>
    </row>
    <row r="984" spans="2:30" s="323" customFormat="1" ht="12" customHeight="1">
      <c r="B984" s="324"/>
      <c r="C984" s="325"/>
      <c r="D984" s="326"/>
      <c r="E984" s="326"/>
      <c r="F984" s="326"/>
      <c r="G984" s="326"/>
      <c r="H984" s="326"/>
      <c r="P984" s="318"/>
      <c r="Q984" s="318"/>
      <c r="R984" s="318"/>
      <c r="S984" s="318"/>
      <c r="T984" s="318"/>
      <c r="U984" s="318"/>
      <c r="V984" s="318"/>
      <c r="W984" s="318"/>
      <c r="X984" s="318"/>
      <c r="Y984" s="318"/>
      <c r="Z984" s="318"/>
      <c r="AA984" s="318"/>
      <c r="AB984" s="318"/>
      <c r="AC984" s="318"/>
      <c r="AD984" s="318"/>
    </row>
    <row r="985" spans="2:30" s="323" customFormat="1" ht="12" customHeight="1">
      <c r="B985" s="324"/>
      <c r="C985" s="325"/>
      <c r="D985" s="326"/>
      <c r="E985" s="326"/>
      <c r="F985" s="326"/>
      <c r="G985" s="326"/>
      <c r="H985" s="326"/>
      <c r="P985" s="318"/>
      <c r="Q985" s="318"/>
      <c r="R985" s="318"/>
      <c r="S985" s="318"/>
      <c r="T985" s="318"/>
      <c r="U985" s="318"/>
      <c r="V985" s="318"/>
      <c r="W985" s="318"/>
      <c r="X985" s="318"/>
      <c r="Y985" s="318"/>
      <c r="Z985" s="318"/>
      <c r="AA985" s="318"/>
      <c r="AB985" s="318"/>
      <c r="AC985" s="318"/>
      <c r="AD985" s="318"/>
    </row>
    <row r="986" spans="2:30" s="323" customFormat="1" ht="12" customHeight="1">
      <c r="B986" s="324"/>
      <c r="C986" s="325"/>
      <c r="D986" s="326"/>
      <c r="E986" s="326"/>
      <c r="F986" s="326"/>
      <c r="G986" s="326"/>
      <c r="H986" s="326"/>
      <c r="P986" s="318"/>
      <c r="Q986" s="318"/>
      <c r="R986" s="318"/>
      <c r="S986" s="318"/>
      <c r="T986" s="318"/>
      <c r="U986" s="318"/>
      <c r="V986" s="318"/>
      <c r="W986" s="318"/>
      <c r="X986" s="318"/>
      <c r="Y986" s="318"/>
      <c r="Z986" s="318"/>
      <c r="AA986" s="318"/>
      <c r="AB986" s="318"/>
      <c r="AC986" s="318"/>
      <c r="AD986" s="318"/>
    </row>
    <row r="987" spans="2:30" s="323" customFormat="1" ht="12" customHeight="1">
      <c r="B987" s="324"/>
      <c r="C987" s="325"/>
      <c r="D987" s="326"/>
      <c r="E987" s="326"/>
      <c r="F987" s="326"/>
      <c r="G987" s="326"/>
      <c r="H987" s="326"/>
      <c r="P987" s="318"/>
      <c r="Q987" s="318"/>
      <c r="R987" s="318"/>
      <c r="S987" s="318"/>
      <c r="T987" s="318"/>
      <c r="U987" s="318"/>
      <c r="V987" s="318"/>
      <c r="W987" s="318"/>
      <c r="X987" s="318"/>
      <c r="Y987" s="318"/>
      <c r="Z987" s="318"/>
      <c r="AA987" s="318"/>
      <c r="AB987" s="318"/>
      <c r="AC987" s="318"/>
      <c r="AD987" s="318"/>
    </row>
    <row r="988" spans="2:30" s="323" customFormat="1" ht="12" customHeight="1">
      <c r="B988" s="324"/>
      <c r="C988" s="325"/>
      <c r="D988" s="326"/>
      <c r="E988" s="326"/>
      <c r="F988" s="326"/>
      <c r="G988" s="326"/>
      <c r="H988" s="326"/>
      <c r="P988" s="318"/>
      <c r="Q988" s="318"/>
      <c r="R988" s="318"/>
      <c r="S988" s="318"/>
      <c r="T988" s="318"/>
      <c r="U988" s="318"/>
      <c r="V988" s="318"/>
      <c r="W988" s="318"/>
      <c r="X988" s="318"/>
      <c r="Y988" s="318"/>
      <c r="Z988" s="318"/>
      <c r="AA988" s="318"/>
      <c r="AB988" s="318"/>
      <c r="AC988" s="318"/>
      <c r="AD988" s="318"/>
    </row>
    <row r="989" spans="2:30" s="323" customFormat="1" ht="12" customHeight="1">
      <c r="B989" s="324"/>
      <c r="C989" s="325"/>
      <c r="D989" s="326"/>
      <c r="E989" s="326"/>
      <c r="F989" s="326"/>
      <c r="G989" s="326"/>
      <c r="H989" s="326"/>
      <c r="P989" s="318"/>
      <c r="Q989" s="318"/>
      <c r="R989" s="318"/>
      <c r="S989" s="318"/>
      <c r="T989" s="318"/>
      <c r="U989" s="318"/>
      <c r="V989" s="318"/>
      <c r="W989" s="318"/>
      <c r="X989" s="318"/>
      <c r="Y989" s="318"/>
      <c r="Z989" s="318"/>
      <c r="AA989" s="318"/>
      <c r="AB989" s="318"/>
      <c r="AC989" s="318"/>
      <c r="AD989" s="318"/>
    </row>
    <row r="990" spans="2:30" s="323" customFormat="1" ht="12" customHeight="1">
      <c r="B990" s="324"/>
      <c r="C990" s="325"/>
      <c r="D990" s="326"/>
      <c r="E990" s="326"/>
      <c r="F990" s="326"/>
      <c r="G990" s="326"/>
      <c r="H990" s="326"/>
      <c r="P990" s="318"/>
      <c r="Q990" s="318"/>
      <c r="R990" s="318"/>
      <c r="S990" s="318"/>
      <c r="T990" s="318"/>
      <c r="U990" s="318"/>
      <c r="V990" s="318"/>
      <c r="W990" s="318"/>
      <c r="X990" s="318"/>
      <c r="Y990" s="318"/>
      <c r="Z990" s="318"/>
      <c r="AA990" s="318"/>
      <c r="AB990" s="318"/>
      <c r="AC990" s="318"/>
      <c r="AD990" s="318"/>
    </row>
    <row r="991" spans="2:30" s="323" customFormat="1" ht="12" customHeight="1">
      <c r="B991" s="324"/>
      <c r="C991" s="325"/>
      <c r="D991" s="326"/>
      <c r="E991" s="326"/>
      <c r="F991" s="326"/>
      <c r="G991" s="326"/>
      <c r="H991" s="326"/>
      <c r="P991" s="318"/>
      <c r="Q991" s="318"/>
      <c r="R991" s="318"/>
      <c r="S991" s="318"/>
      <c r="T991" s="318"/>
      <c r="U991" s="318"/>
      <c r="V991" s="318"/>
      <c r="W991" s="318"/>
      <c r="X991" s="318"/>
      <c r="Y991" s="318"/>
      <c r="Z991" s="318"/>
      <c r="AA991" s="318"/>
      <c r="AB991" s="318"/>
      <c r="AC991" s="318"/>
      <c r="AD991" s="318"/>
    </row>
    <row r="992" spans="2:30" s="323" customFormat="1" ht="12" customHeight="1">
      <c r="B992" s="324"/>
      <c r="C992" s="325"/>
      <c r="D992" s="326"/>
      <c r="E992" s="326"/>
      <c r="F992" s="326"/>
      <c r="G992" s="326"/>
      <c r="H992" s="326"/>
      <c r="P992" s="318"/>
      <c r="Q992" s="318"/>
      <c r="R992" s="318"/>
      <c r="S992" s="318"/>
      <c r="T992" s="318"/>
      <c r="U992" s="318"/>
      <c r="V992" s="318"/>
      <c r="W992" s="318"/>
      <c r="X992" s="318"/>
      <c r="Y992" s="318"/>
      <c r="Z992" s="318"/>
      <c r="AA992" s="318"/>
      <c r="AB992" s="318"/>
      <c r="AC992" s="318"/>
      <c r="AD992" s="318"/>
    </row>
    <row r="993" spans="2:30" s="323" customFormat="1" ht="12" customHeight="1">
      <c r="B993" s="324"/>
      <c r="C993" s="325"/>
      <c r="D993" s="326"/>
      <c r="E993" s="326"/>
      <c r="F993" s="326"/>
      <c r="G993" s="326"/>
      <c r="H993" s="326"/>
      <c r="P993" s="318"/>
      <c r="Q993" s="318"/>
      <c r="R993" s="318"/>
      <c r="S993" s="318"/>
      <c r="T993" s="318"/>
      <c r="U993" s="318"/>
      <c r="V993" s="318"/>
      <c r="W993" s="318"/>
      <c r="X993" s="318"/>
      <c r="Y993" s="318"/>
      <c r="Z993" s="318"/>
      <c r="AA993" s="318"/>
      <c r="AB993" s="318"/>
      <c r="AC993" s="318"/>
      <c r="AD993" s="318"/>
    </row>
    <row r="994" spans="2:30" s="323" customFormat="1" ht="12" customHeight="1">
      <c r="B994" s="324"/>
      <c r="C994" s="325"/>
      <c r="D994" s="326"/>
      <c r="E994" s="326"/>
      <c r="F994" s="326"/>
      <c r="G994" s="326"/>
      <c r="H994" s="326"/>
      <c r="P994" s="318"/>
      <c r="Q994" s="318"/>
      <c r="R994" s="318"/>
      <c r="S994" s="318"/>
      <c r="T994" s="318"/>
      <c r="U994" s="318"/>
      <c r="V994" s="318"/>
      <c r="W994" s="318"/>
      <c r="X994" s="318"/>
      <c r="Y994" s="318"/>
      <c r="Z994" s="318"/>
      <c r="AA994" s="318"/>
      <c r="AB994" s="318"/>
      <c r="AC994" s="318"/>
      <c r="AD994" s="318"/>
    </row>
    <row r="995" spans="2:30" s="323" customFormat="1" ht="12" customHeight="1">
      <c r="B995" s="324"/>
      <c r="C995" s="325"/>
      <c r="D995" s="326"/>
      <c r="E995" s="326"/>
      <c r="F995" s="326"/>
      <c r="G995" s="326"/>
      <c r="H995" s="326"/>
      <c r="P995" s="318"/>
      <c r="Q995" s="318"/>
      <c r="R995" s="318"/>
      <c r="S995" s="318"/>
      <c r="T995" s="318"/>
      <c r="U995" s="318"/>
      <c r="V995" s="318"/>
      <c r="W995" s="318"/>
      <c r="X995" s="318"/>
      <c r="Y995" s="318"/>
      <c r="Z995" s="318"/>
      <c r="AA995" s="318"/>
      <c r="AB995" s="318"/>
      <c r="AC995" s="318"/>
      <c r="AD995" s="318"/>
    </row>
    <row r="996" spans="2:30" s="323" customFormat="1" ht="12" customHeight="1">
      <c r="B996" s="324"/>
      <c r="C996" s="325"/>
      <c r="D996" s="326"/>
      <c r="E996" s="326"/>
      <c r="F996" s="326"/>
      <c r="G996" s="326"/>
      <c r="H996" s="326"/>
      <c r="P996" s="318"/>
      <c r="Q996" s="318"/>
      <c r="R996" s="318"/>
      <c r="S996" s="318"/>
      <c r="T996" s="318"/>
      <c r="U996" s="318"/>
      <c r="V996" s="318"/>
      <c r="W996" s="318"/>
      <c r="X996" s="318"/>
      <c r="Y996" s="318"/>
      <c r="Z996" s="318"/>
      <c r="AA996" s="318"/>
      <c r="AB996" s="318"/>
      <c r="AC996" s="318"/>
      <c r="AD996" s="318"/>
    </row>
    <row r="997" spans="2:30" s="323" customFormat="1" ht="12" customHeight="1">
      <c r="B997" s="324"/>
      <c r="C997" s="325"/>
      <c r="D997" s="326"/>
      <c r="E997" s="326"/>
      <c r="F997" s="326"/>
      <c r="G997" s="326"/>
      <c r="H997" s="326"/>
      <c r="P997" s="318"/>
      <c r="Q997" s="318"/>
      <c r="R997" s="318"/>
      <c r="S997" s="318"/>
      <c r="T997" s="318"/>
      <c r="U997" s="318"/>
      <c r="V997" s="318"/>
      <c r="W997" s="318"/>
      <c r="X997" s="318"/>
      <c r="Y997" s="318"/>
      <c r="Z997" s="318"/>
      <c r="AA997" s="318"/>
      <c r="AB997" s="318"/>
      <c r="AC997" s="318"/>
      <c r="AD997" s="318"/>
    </row>
    <row r="998" spans="2:30" s="323" customFormat="1" ht="12" customHeight="1">
      <c r="B998" s="324"/>
      <c r="C998" s="325"/>
      <c r="D998" s="326"/>
      <c r="E998" s="326"/>
      <c r="F998" s="326"/>
      <c r="G998" s="326"/>
      <c r="H998" s="326"/>
      <c r="P998" s="318"/>
      <c r="Q998" s="318"/>
      <c r="R998" s="318"/>
      <c r="S998" s="318"/>
      <c r="T998" s="318"/>
      <c r="U998" s="318"/>
      <c r="V998" s="318"/>
      <c r="W998" s="318"/>
      <c r="X998" s="318"/>
      <c r="Y998" s="318"/>
      <c r="Z998" s="318"/>
      <c r="AA998" s="318"/>
      <c r="AB998" s="318"/>
      <c r="AC998" s="318"/>
      <c r="AD998" s="318"/>
    </row>
    <row r="999" spans="2:30" s="323" customFormat="1" ht="12" customHeight="1">
      <c r="B999" s="324"/>
      <c r="C999" s="325"/>
      <c r="D999" s="326"/>
      <c r="E999" s="326"/>
      <c r="F999" s="326"/>
      <c r="G999" s="326"/>
      <c r="H999" s="326"/>
      <c r="P999" s="318"/>
      <c r="Q999" s="318"/>
      <c r="R999" s="318"/>
      <c r="S999" s="318"/>
      <c r="T999" s="318"/>
      <c r="U999" s="318"/>
      <c r="V999" s="318"/>
      <c r="W999" s="318"/>
      <c r="X999" s="318"/>
      <c r="Y999" s="318"/>
      <c r="Z999" s="318"/>
      <c r="AA999" s="318"/>
      <c r="AB999" s="318"/>
      <c r="AC999" s="318"/>
      <c r="AD999" s="318"/>
    </row>
    <row r="1000" spans="2:30" s="323" customFormat="1" ht="12" customHeight="1">
      <c r="B1000" s="324"/>
      <c r="C1000" s="325"/>
      <c r="D1000" s="326"/>
      <c r="E1000" s="326"/>
      <c r="F1000" s="326"/>
      <c r="G1000" s="326"/>
      <c r="H1000" s="326"/>
      <c r="P1000" s="318"/>
      <c r="Q1000" s="318"/>
      <c r="R1000" s="318"/>
      <c r="S1000" s="318"/>
      <c r="T1000" s="318"/>
      <c r="U1000" s="318"/>
      <c r="V1000" s="318"/>
      <c r="W1000" s="318"/>
      <c r="X1000" s="318"/>
      <c r="Y1000" s="318"/>
      <c r="Z1000" s="318"/>
      <c r="AA1000" s="318"/>
      <c r="AB1000" s="318"/>
      <c r="AC1000" s="318"/>
      <c r="AD1000" s="318"/>
    </row>
    <row r="1001" spans="2:30" s="323" customFormat="1" ht="12" customHeight="1">
      <c r="B1001" s="324"/>
      <c r="C1001" s="325"/>
      <c r="D1001" s="326"/>
      <c r="E1001" s="326"/>
      <c r="F1001" s="326"/>
      <c r="G1001" s="326"/>
      <c r="H1001" s="326"/>
      <c r="P1001" s="318"/>
      <c r="Q1001" s="318"/>
      <c r="R1001" s="318"/>
      <c r="S1001" s="318"/>
      <c r="T1001" s="318"/>
      <c r="U1001" s="318"/>
      <c r="V1001" s="318"/>
      <c r="W1001" s="318"/>
      <c r="X1001" s="318"/>
      <c r="Y1001" s="318"/>
      <c r="Z1001" s="318"/>
      <c r="AA1001" s="318"/>
      <c r="AB1001" s="318"/>
      <c r="AC1001" s="318"/>
      <c r="AD1001" s="318"/>
    </row>
    <row r="1002" spans="2:30" s="323" customFormat="1" ht="12" customHeight="1">
      <c r="B1002" s="324"/>
      <c r="C1002" s="325"/>
      <c r="D1002" s="326"/>
      <c r="E1002" s="326"/>
      <c r="F1002" s="326"/>
      <c r="G1002" s="326"/>
      <c r="H1002" s="326"/>
      <c r="P1002" s="318"/>
      <c r="Q1002" s="318"/>
      <c r="R1002" s="318"/>
      <c r="S1002" s="318"/>
      <c r="T1002" s="318"/>
      <c r="U1002" s="318"/>
      <c r="V1002" s="318"/>
      <c r="W1002" s="318"/>
      <c r="X1002" s="318"/>
      <c r="Y1002" s="318"/>
      <c r="Z1002" s="318"/>
      <c r="AA1002" s="318"/>
      <c r="AB1002" s="318"/>
      <c r="AC1002" s="318"/>
      <c r="AD1002" s="318"/>
    </row>
    <row r="1003" spans="2:30" s="323" customFormat="1" ht="12" customHeight="1">
      <c r="B1003" s="324"/>
      <c r="C1003" s="325"/>
      <c r="D1003" s="326"/>
      <c r="E1003" s="326"/>
      <c r="F1003" s="326"/>
      <c r="G1003" s="326"/>
      <c r="H1003" s="326"/>
      <c r="P1003" s="318"/>
      <c r="Q1003" s="318"/>
      <c r="R1003" s="318"/>
      <c r="S1003" s="318"/>
      <c r="T1003" s="318"/>
      <c r="U1003" s="318"/>
      <c r="V1003" s="318"/>
      <c r="W1003" s="318"/>
      <c r="X1003" s="318"/>
      <c r="Y1003" s="318"/>
      <c r="Z1003" s="318"/>
      <c r="AA1003" s="318"/>
      <c r="AB1003" s="318"/>
      <c r="AC1003" s="318"/>
      <c r="AD1003" s="318"/>
    </row>
    <row r="1004" spans="2:30" s="323" customFormat="1" ht="12" customHeight="1">
      <c r="B1004" s="324"/>
      <c r="C1004" s="325"/>
      <c r="D1004" s="326"/>
      <c r="E1004" s="326"/>
      <c r="F1004" s="326"/>
      <c r="G1004" s="326"/>
      <c r="H1004" s="326"/>
      <c r="P1004" s="318"/>
      <c r="Q1004" s="318"/>
      <c r="R1004" s="318"/>
      <c r="S1004" s="318"/>
      <c r="T1004" s="318"/>
      <c r="U1004" s="318"/>
      <c r="V1004" s="318"/>
      <c r="W1004" s="318"/>
      <c r="X1004" s="318"/>
      <c r="Y1004" s="318"/>
      <c r="Z1004" s="318"/>
      <c r="AA1004" s="318"/>
      <c r="AB1004" s="318"/>
      <c r="AC1004" s="318"/>
      <c r="AD1004" s="318"/>
    </row>
    <row r="1005" spans="2:30" s="323" customFormat="1" ht="12" customHeight="1">
      <c r="B1005" s="324"/>
      <c r="C1005" s="325"/>
      <c r="D1005" s="326"/>
      <c r="E1005" s="326"/>
      <c r="F1005" s="326"/>
      <c r="G1005" s="326"/>
      <c r="H1005" s="326"/>
      <c r="P1005" s="318"/>
      <c r="Q1005" s="318"/>
      <c r="R1005" s="318"/>
      <c r="S1005" s="318"/>
      <c r="T1005" s="318"/>
      <c r="U1005" s="318"/>
      <c r="V1005" s="318"/>
      <c r="W1005" s="318"/>
      <c r="X1005" s="318"/>
      <c r="Y1005" s="318"/>
      <c r="Z1005" s="318"/>
      <c r="AA1005" s="318"/>
      <c r="AB1005" s="318"/>
      <c r="AC1005" s="318"/>
      <c r="AD1005" s="318"/>
    </row>
    <row r="1006" spans="2:30" s="323" customFormat="1" ht="12" customHeight="1">
      <c r="B1006" s="324"/>
      <c r="C1006" s="325"/>
      <c r="D1006" s="326"/>
      <c r="E1006" s="326"/>
      <c r="F1006" s="326"/>
      <c r="G1006" s="326"/>
      <c r="H1006" s="326"/>
      <c r="P1006" s="318"/>
      <c r="Q1006" s="318"/>
      <c r="R1006" s="318"/>
      <c r="S1006" s="318"/>
      <c r="T1006" s="318"/>
      <c r="U1006" s="318"/>
      <c r="V1006" s="318"/>
      <c r="W1006" s="318"/>
      <c r="X1006" s="318"/>
      <c r="Y1006" s="318"/>
      <c r="Z1006" s="318"/>
      <c r="AA1006" s="318"/>
      <c r="AB1006" s="318"/>
      <c r="AC1006" s="318"/>
      <c r="AD1006" s="318"/>
    </row>
    <row r="1007" spans="2:30" s="323" customFormat="1" ht="12" customHeight="1">
      <c r="B1007" s="324"/>
      <c r="C1007" s="325"/>
      <c r="D1007" s="326"/>
      <c r="E1007" s="326"/>
      <c r="F1007" s="326"/>
      <c r="G1007" s="326"/>
      <c r="H1007" s="326"/>
      <c r="P1007" s="318"/>
      <c r="Q1007" s="318"/>
      <c r="R1007" s="318"/>
      <c r="S1007" s="318"/>
      <c r="T1007" s="318"/>
      <c r="U1007" s="318"/>
      <c r="V1007" s="318"/>
      <c r="W1007" s="318"/>
      <c r="X1007" s="318"/>
      <c r="Y1007" s="318"/>
      <c r="Z1007" s="318"/>
      <c r="AA1007" s="318"/>
      <c r="AB1007" s="318"/>
      <c r="AC1007" s="318"/>
      <c r="AD1007" s="318"/>
    </row>
    <row r="1008" spans="2:30" s="323" customFormat="1" ht="12" customHeight="1">
      <c r="B1008" s="324"/>
      <c r="C1008" s="325"/>
      <c r="D1008" s="326"/>
      <c r="E1008" s="326"/>
      <c r="F1008" s="326"/>
      <c r="G1008" s="326"/>
      <c r="H1008" s="326"/>
      <c r="P1008" s="318"/>
      <c r="Q1008" s="318"/>
      <c r="R1008" s="318"/>
      <c r="S1008" s="318"/>
      <c r="T1008" s="318"/>
      <c r="U1008" s="318"/>
      <c r="V1008" s="318"/>
      <c r="W1008" s="318"/>
      <c r="X1008" s="318"/>
      <c r="Y1008" s="318"/>
      <c r="Z1008" s="318"/>
      <c r="AA1008" s="318"/>
      <c r="AB1008" s="318"/>
      <c r="AC1008" s="318"/>
      <c r="AD1008" s="318"/>
    </row>
    <row r="1009" spans="2:30" s="323" customFormat="1" ht="12" customHeight="1">
      <c r="B1009" s="324"/>
      <c r="C1009" s="325"/>
      <c r="D1009" s="326"/>
      <c r="E1009" s="326"/>
      <c r="F1009" s="326"/>
      <c r="G1009" s="326"/>
      <c r="H1009" s="326"/>
      <c r="P1009" s="318"/>
      <c r="Q1009" s="318"/>
      <c r="R1009" s="318"/>
      <c r="S1009" s="318"/>
      <c r="T1009" s="318"/>
      <c r="U1009" s="318"/>
      <c r="V1009" s="318"/>
      <c r="W1009" s="318"/>
      <c r="X1009" s="318"/>
      <c r="Y1009" s="318"/>
      <c r="Z1009" s="318"/>
      <c r="AA1009" s="318"/>
      <c r="AB1009" s="318"/>
      <c r="AC1009" s="318"/>
      <c r="AD1009" s="318"/>
    </row>
    <row r="1010" spans="2:30" s="323" customFormat="1" ht="12" customHeight="1">
      <c r="B1010" s="324"/>
      <c r="C1010" s="325"/>
      <c r="D1010" s="326"/>
      <c r="E1010" s="326"/>
      <c r="F1010" s="326"/>
      <c r="G1010" s="326"/>
      <c r="H1010" s="326"/>
      <c r="P1010" s="318"/>
      <c r="Q1010" s="318"/>
      <c r="R1010" s="318"/>
      <c r="S1010" s="318"/>
      <c r="T1010" s="318"/>
      <c r="U1010" s="318"/>
      <c r="V1010" s="318"/>
      <c r="W1010" s="318"/>
      <c r="X1010" s="318"/>
      <c r="Y1010" s="318"/>
      <c r="Z1010" s="318"/>
      <c r="AA1010" s="318"/>
      <c r="AB1010" s="318"/>
      <c r="AC1010" s="318"/>
      <c r="AD1010" s="318"/>
    </row>
    <row r="1011" spans="2:30" s="323" customFormat="1" ht="12" customHeight="1">
      <c r="B1011" s="324"/>
      <c r="C1011" s="325"/>
      <c r="D1011" s="326"/>
      <c r="E1011" s="326"/>
      <c r="F1011" s="326"/>
      <c r="G1011" s="326"/>
      <c r="H1011" s="326"/>
      <c r="P1011" s="318"/>
      <c r="Q1011" s="318"/>
      <c r="R1011" s="318"/>
      <c r="S1011" s="318"/>
      <c r="T1011" s="318"/>
      <c r="U1011" s="318"/>
      <c r="V1011" s="318"/>
      <c r="W1011" s="318"/>
      <c r="X1011" s="318"/>
      <c r="Y1011" s="318"/>
      <c r="Z1011" s="318"/>
      <c r="AA1011" s="318"/>
      <c r="AB1011" s="318"/>
      <c r="AC1011" s="318"/>
      <c r="AD1011" s="318"/>
    </row>
    <row r="1012" spans="2:30" s="323" customFormat="1" ht="12" customHeight="1">
      <c r="B1012" s="324"/>
      <c r="C1012" s="325"/>
      <c r="D1012" s="326"/>
      <c r="E1012" s="326"/>
      <c r="F1012" s="326"/>
      <c r="G1012" s="326"/>
      <c r="H1012" s="326"/>
      <c r="P1012" s="318"/>
      <c r="Q1012" s="318"/>
      <c r="R1012" s="318"/>
      <c r="S1012" s="318"/>
      <c r="T1012" s="318"/>
      <c r="U1012" s="318"/>
      <c r="V1012" s="318"/>
      <c r="W1012" s="318"/>
      <c r="X1012" s="318"/>
      <c r="Y1012" s="318"/>
      <c r="Z1012" s="318"/>
      <c r="AA1012" s="318"/>
      <c r="AB1012" s="318"/>
      <c r="AC1012" s="318"/>
      <c r="AD1012" s="318"/>
    </row>
    <row r="1013" spans="2:30" s="323" customFormat="1" ht="12" customHeight="1">
      <c r="B1013" s="324"/>
      <c r="C1013" s="325"/>
      <c r="D1013" s="326"/>
      <c r="E1013" s="326"/>
      <c r="F1013" s="326"/>
      <c r="G1013" s="326"/>
      <c r="H1013" s="326"/>
      <c r="P1013" s="318"/>
      <c r="Q1013" s="318"/>
      <c r="R1013" s="318"/>
      <c r="S1013" s="318"/>
      <c r="T1013" s="318"/>
      <c r="U1013" s="318"/>
      <c r="V1013" s="318"/>
      <c r="W1013" s="318"/>
      <c r="X1013" s="318"/>
      <c r="Y1013" s="318"/>
      <c r="Z1013" s="318"/>
      <c r="AA1013" s="318"/>
      <c r="AB1013" s="318"/>
      <c r="AC1013" s="318"/>
      <c r="AD1013" s="318"/>
    </row>
    <row r="1014" spans="2:30" s="323" customFormat="1" ht="12" customHeight="1">
      <c r="B1014" s="324"/>
      <c r="C1014" s="325"/>
      <c r="D1014" s="326"/>
      <c r="E1014" s="326"/>
      <c r="F1014" s="326"/>
      <c r="G1014" s="326"/>
      <c r="H1014" s="326"/>
      <c r="P1014" s="318"/>
      <c r="Q1014" s="318"/>
      <c r="R1014" s="318"/>
      <c r="S1014" s="318"/>
      <c r="T1014" s="318"/>
      <c r="U1014" s="318"/>
      <c r="V1014" s="318"/>
      <c r="W1014" s="318"/>
      <c r="X1014" s="318"/>
      <c r="Y1014" s="318"/>
      <c r="Z1014" s="318"/>
      <c r="AA1014" s="318"/>
      <c r="AB1014" s="318"/>
      <c r="AC1014" s="318"/>
      <c r="AD1014" s="318"/>
    </row>
    <row r="1015" spans="2:30" s="323" customFormat="1" ht="12" customHeight="1">
      <c r="B1015" s="324"/>
      <c r="C1015" s="325"/>
      <c r="D1015" s="326"/>
      <c r="E1015" s="326"/>
      <c r="F1015" s="326"/>
      <c r="G1015" s="326"/>
      <c r="H1015" s="326"/>
      <c r="P1015" s="318"/>
      <c r="Q1015" s="318"/>
      <c r="R1015" s="318"/>
      <c r="S1015" s="318"/>
      <c r="T1015" s="318"/>
      <c r="U1015" s="318"/>
      <c r="V1015" s="318"/>
      <c r="W1015" s="318"/>
      <c r="X1015" s="318"/>
      <c r="Y1015" s="318"/>
      <c r="Z1015" s="318"/>
      <c r="AA1015" s="318"/>
      <c r="AB1015" s="318"/>
      <c r="AC1015" s="318"/>
      <c r="AD1015" s="318"/>
    </row>
    <row r="1016" spans="2:30" s="323" customFormat="1" ht="12" customHeight="1">
      <c r="B1016" s="324"/>
      <c r="C1016" s="325"/>
      <c r="D1016" s="326"/>
      <c r="E1016" s="326"/>
      <c r="F1016" s="326"/>
      <c r="G1016" s="326"/>
      <c r="H1016" s="326"/>
      <c r="P1016" s="318"/>
      <c r="Q1016" s="318"/>
      <c r="R1016" s="318"/>
      <c r="S1016" s="318"/>
      <c r="T1016" s="318"/>
      <c r="U1016" s="318"/>
      <c r="V1016" s="318"/>
      <c r="W1016" s="318"/>
      <c r="X1016" s="318"/>
      <c r="Y1016" s="318"/>
      <c r="Z1016" s="318"/>
      <c r="AA1016" s="318"/>
      <c r="AB1016" s="318"/>
      <c r="AC1016" s="318"/>
      <c r="AD1016" s="318"/>
    </row>
    <row r="1017" spans="2:30" s="323" customFormat="1" ht="12" customHeight="1">
      <c r="B1017" s="324"/>
      <c r="C1017" s="325"/>
      <c r="D1017" s="326"/>
      <c r="E1017" s="326"/>
      <c r="F1017" s="326"/>
      <c r="G1017" s="326"/>
      <c r="H1017" s="326"/>
      <c r="P1017" s="318"/>
      <c r="Q1017" s="318"/>
      <c r="R1017" s="318"/>
      <c r="S1017" s="318"/>
      <c r="T1017" s="318"/>
      <c r="U1017" s="318"/>
      <c r="V1017" s="318"/>
      <c r="W1017" s="318"/>
      <c r="X1017" s="318"/>
      <c r="Y1017" s="318"/>
      <c r="Z1017" s="318"/>
      <c r="AA1017" s="318"/>
      <c r="AB1017" s="318"/>
      <c r="AC1017" s="318"/>
      <c r="AD1017" s="318"/>
    </row>
    <row r="1018" spans="2:30" s="323" customFormat="1" ht="12" customHeight="1">
      <c r="B1018" s="324"/>
      <c r="C1018" s="325"/>
      <c r="D1018" s="326"/>
      <c r="E1018" s="326"/>
      <c r="F1018" s="326"/>
      <c r="G1018" s="326"/>
      <c r="H1018" s="326"/>
      <c r="P1018" s="318"/>
      <c r="Q1018" s="318"/>
      <c r="R1018" s="318"/>
      <c r="S1018" s="318"/>
      <c r="T1018" s="318"/>
      <c r="U1018" s="318"/>
      <c r="V1018" s="318"/>
      <c r="W1018" s="318"/>
      <c r="X1018" s="318"/>
      <c r="Y1018" s="318"/>
      <c r="Z1018" s="318"/>
      <c r="AA1018" s="318"/>
      <c r="AB1018" s="318"/>
      <c r="AC1018" s="318"/>
      <c r="AD1018" s="318"/>
    </row>
    <row r="1019" spans="2:30" s="323" customFormat="1" ht="12" customHeight="1">
      <c r="B1019" s="324"/>
      <c r="C1019" s="325"/>
      <c r="D1019" s="326"/>
      <c r="E1019" s="326"/>
      <c r="F1019" s="326"/>
      <c r="G1019" s="326"/>
      <c r="H1019" s="326"/>
      <c r="P1019" s="318"/>
      <c r="Q1019" s="318"/>
      <c r="R1019" s="318"/>
      <c r="S1019" s="318"/>
      <c r="T1019" s="318"/>
      <c r="U1019" s="318"/>
      <c r="V1019" s="318"/>
      <c r="W1019" s="318"/>
      <c r="X1019" s="318"/>
      <c r="Y1019" s="318"/>
      <c r="Z1019" s="318"/>
      <c r="AA1019" s="318"/>
      <c r="AB1019" s="318"/>
      <c r="AC1019" s="318"/>
      <c r="AD1019" s="318"/>
    </row>
    <row r="1020" spans="2:30" s="323" customFormat="1" ht="12" customHeight="1">
      <c r="B1020" s="324"/>
      <c r="C1020" s="325"/>
      <c r="D1020" s="326"/>
      <c r="E1020" s="326"/>
      <c r="F1020" s="326"/>
      <c r="G1020" s="326"/>
      <c r="H1020" s="326"/>
      <c r="P1020" s="318"/>
      <c r="Q1020" s="318"/>
      <c r="R1020" s="318"/>
      <c r="S1020" s="318"/>
      <c r="T1020" s="318"/>
      <c r="U1020" s="318"/>
      <c r="V1020" s="318"/>
      <c r="W1020" s="318"/>
      <c r="X1020" s="318"/>
      <c r="Y1020" s="318"/>
      <c r="Z1020" s="318"/>
      <c r="AA1020" s="318"/>
      <c r="AB1020" s="318"/>
      <c r="AC1020" s="318"/>
      <c r="AD1020" s="318"/>
    </row>
    <row r="1021" spans="2:30" s="323" customFormat="1" ht="12" customHeight="1">
      <c r="B1021" s="324"/>
      <c r="C1021" s="325"/>
      <c r="D1021" s="326"/>
      <c r="E1021" s="326"/>
      <c r="F1021" s="326"/>
      <c r="G1021" s="326"/>
      <c r="H1021" s="326"/>
      <c r="P1021" s="318"/>
      <c r="Q1021" s="318"/>
      <c r="R1021" s="318"/>
      <c r="S1021" s="318"/>
      <c r="T1021" s="318"/>
      <c r="U1021" s="318"/>
      <c r="V1021" s="318"/>
      <c r="W1021" s="318"/>
      <c r="X1021" s="318"/>
      <c r="Y1021" s="318"/>
      <c r="Z1021" s="318"/>
      <c r="AA1021" s="318"/>
      <c r="AB1021" s="318"/>
      <c r="AC1021" s="318"/>
      <c r="AD1021" s="318"/>
    </row>
    <row r="1022" spans="2:30" s="323" customFormat="1" ht="12" customHeight="1">
      <c r="B1022" s="324"/>
      <c r="C1022" s="325"/>
      <c r="D1022" s="326"/>
      <c r="E1022" s="326"/>
      <c r="F1022" s="326"/>
      <c r="G1022" s="326"/>
      <c r="H1022" s="326"/>
      <c r="P1022" s="318"/>
      <c r="Q1022" s="318"/>
      <c r="R1022" s="318"/>
      <c r="S1022" s="318"/>
      <c r="T1022" s="318"/>
      <c r="U1022" s="318"/>
      <c r="V1022" s="318"/>
      <c r="W1022" s="318"/>
      <c r="X1022" s="318"/>
      <c r="Y1022" s="318"/>
      <c r="Z1022" s="318"/>
      <c r="AA1022" s="318"/>
      <c r="AB1022" s="318"/>
      <c r="AC1022" s="318"/>
      <c r="AD1022" s="318"/>
    </row>
    <row r="1023" spans="2:30" s="323" customFormat="1" ht="12" customHeight="1">
      <c r="B1023" s="324"/>
      <c r="C1023" s="325"/>
      <c r="D1023" s="326"/>
      <c r="E1023" s="326"/>
      <c r="F1023" s="326"/>
      <c r="G1023" s="326"/>
      <c r="H1023" s="326"/>
      <c r="P1023" s="318"/>
      <c r="Q1023" s="318"/>
      <c r="R1023" s="318"/>
      <c r="S1023" s="318"/>
      <c r="T1023" s="318"/>
      <c r="U1023" s="318"/>
      <c r="V1023" s="318"/>
      <c r="W1023" s="318"/>
      <c r="X1023" s="318"/>
      <c r="Y1023" s="318"/>
      <c r="Z1023" s="318"/>
      <c r="AA1023" s="318"/>
      <c r="AB1023" s="318"/>
      <c r="AC1023" s="318"/>
      <c r="AD1023" s="318"/>
    </row>
    <row r="1024" spans="2:30" s="323" customFormat="1" ht="12" customHeight="1">
      <c r="B1024" s="324"/>
      <c r="C1024" s="325"/>
      <c r="D1024" s="326"/>
      <c r="E1024" s="326"/>
      <c r="F1024" s="326"/>
      <c r="G1024" s="326"/>
      <c r="H1024" s="326"/>
      <c r="P1024" s="318"/>
      <c r="Q1024" s="318"/>
      <c r="R1024" s="318"/>
      <c r="S1024" s="318"/>
      <c r="T1024" s="318"/>
      <c r="U1024" s="318"/>
      <c r="V1024" s="318"/>
      <c r="W1024" s="318"/>
      <c r="X1024" s="318"/>
      <c r="Y1024" s="318"/>
      <c r="Z1024" s="318"/>
      <c r="AA1024" s="318"/>
      <c r="AB1024" s="318"/>
      <c r="AC1024" s="318"/>
      <c r="AD1024" s="318"/>
    </row>
    <row r="1025" spans="2:30" s="323" customFormat="1" ht="12" customHeight="1">
      <c r="B1025" s="324"/>
      <c r="C1025" s="325"/>
      <c r="D1025" s="326"/>
      <c r="E1025" s="326"/>
      <c r="F1025" s="326"/>
      <c r="G1025" s="326"/>
      <c r="H1025" s="326"/>
      <c r="P1025" s="318"/>
      <c r="Q1025" s="318"/>
      <c r="R1025" s="318"/>
      <c r="S1025" s="318"/>
      <c r="T1025" s="318"/>
      <c r="U1025" s="318"/>
      <c r="V1025" s="318"/>
      <c r="W1025" s="318"/>
      <c r="X1025" s="318"/>
      <c r="Y1025" s="318"/>
      <c r="Z1025" s="318"/>
      <c r="AA1025" s="318"/>
      <c r="AB1025" s="318"/>
      <c r="AC1025" s="318"/>
      <c r="AD1025" s="318"/>
    </row>
    <row r="1026" spans="2:30" s="323" customFormat="1" ht="12" customHeight="1">
      <c r="B1026" s="324"/>
      <c r="C1026" s="325"/>
      <c r="D1026" s="326"/>
      <c r="E1026" s="326"/>
      <c r="F1026" s="326"/>
      <c r="G1026" s="326"/>
      <c r="H1026" s="326"/>
      <c r="P1026" s="318"/>
      <c r="Q1026" s="318"/>
      <c r="R1026" s="318"/>
      <c r="S1026" s="318"/>
      <c r="T1026" s="318"/>
      <c r="U1026" s="318"/>
      <c r="V1026" s="318"/>
      <c r="W1026" s="318"/>
      <c r="X1026" s="318"/>
      <c r="Y1026" s="318"/>
      <c r="Z1026" s="318"/>
      <c r="AA1026" s="318"/>
      <c r="AB1026" s="318"/>
      <c r="AC1026" s="318"/>
      <c r="AD1026" s="318"/>
    </row>
    <row r="1027" spans="2:30" s="323" customFormat="1" ht="12" customHeight="1">
      <c r="B1027" s="324"/>
      <c r="C1027" s="325"/>
      <c r="D1027" s="326"/>
      <c r="E1027" s="326"/>
      <c r="F1027" s="326"/>
      <c r="G1027" s="326"/>
      <c r="H1027" s="326"/>
      <c r="P1027" s="318"/>
      <c r="Q1027" s="318"/>
      <c r="R1027" s="318"/>
      <c r="S1027" s="318"/>
      <c r="T1027" s="318"/>
      <c r="U1027" s="318"/>
      <c r="V1027" s="318"/>
      <c r="W1027" s="318"/>
      <c r="X1027" s="318"/>
      <c r="Y1027" s="318"/>
      <c r="Z1027" s="318"/>
      <c r="AA1027" s="318"/>
      <c r="AB1027" s="318"/>
      <c r="AC1027" s="318"/>
      <c r="AD1027" s="318"/>
    </row>
    <row r="1028" spans="2:30" s="323" customFormat="1" ht="12" customHeight="1">
      <c r="B1028" s="324"/>
      <c r="C1028" s="325"/>
      <c r="D1028" s="326"/>
      <c r="E1028" s="326"/>
      <c r="F1028" s="326"/>
      <c r="G1028" s="326"/>
      <c r="H1028" s="326"/>
      <c r="P1028" s="318"/>
      <c r="Q1028" s="318"/>
      <c r="R1028" s="318"/>
      <c r="S1028" s="318"/>
      <c r="T1028" s="318"/>
      <c r="U1028" s="318"/>
      <c r="V1028" s="318"/>
      <c r="W1028" s="318"/>
      <c r="X1028" s="318"/>
      <c r="Y1028" s="318"/>
      <c r="Z1028" s="318"/>
      <c r="AA1028" s="318"/>
      <c r="AB1028" s="318"/>
      <c r="AC1028" s="318"/>
      <c r="AD1028" s="318"/>
    </row>
    <row r="1029" spans="2:30" s="323" customFormat="1" ht="12" customHeight="1">
      <c r="B1029" s="324"/>
      <c r="C1029" s="325"/>
      <c r="D1029" s="326"/>
      <c r="E1029" s="326"/>
      <c r="F1029" s="326"/>
      <c r="G1029" s="326"/>
      <c r="H1029" s="326"/>
      <c r="P1029" s="318"/>
      <c r="Q1029" s="318"/>
      <c r="R1029" s="318"/>
      <c r="S1029" s="318"/>
      <c r="T1029" s="318"/>
      <c r="U1029" s="318"/>
      <c r="V1029" s="318"/>
      <c r="W1029" s="318"/>
      <c r="X1029" s="318"/>
      <c r="Y1029" s="318"/>
      <c r="Z1029" s="318"/>
      <c r="AA1029" s="318"/>
      <c r="AB1029" s="318"/>
      <c r="AC1029" s="318"/>
      <c r="AD1029" s="318"/>
    </row>
    <row r="1030" spans="2:30" s="323" customFormat="1" ht="12" customHeight="1">
      <c r="B1030" s="324"/>
      <c r="C1030" s="325"/>
      <c r="D1030" s="326"/>
      <c r="E1030" s="326"/>
      <c r="F1030" s="326"/>
      <c r="G1030" s="326"/>
      <c r="H1030" s="326"/>
      <c r="P1030" s="318"/>
      <c r="Q1030" s="318"/>
      <c r="R1030" s="318"/>
      <c r="S1030" s="318"/>
      <c r="T1030" s="318"/>
      <c r="U1030" s="318"/>
      <c r="V1030" s="318"/>
      <c r="W1030" s="318"/>
      <c r="X1030" s="318"/>
      <c r="Y1030" s="318"/>
      <c r="Z1030" s="318"/>
      <c r="AA1030" s="318"/>
      <c r="AB1030" s="318"/>
      <c r="AC1030" s="318"/>
      <c r="AD1030" s="318"/>
    </row>
    <row r="1031" spans="2:30" s="323" customFormat="1" ht="12" customHeight="1">
      <c r="B1031" s="324"/>
      <c r="C1031" s="325"/>
      <c r="D1031" s="326"/>
      <c r="E1031" s="326"/>
      <c r="F1031" s="326"/>
      <c r="G1031" s="326"/>
      <c r="H1031" s="326"/>
      <c r="P1031" s="318"/>
      <c r="Q1031" s="318"/>
      <c r="R1031" s="318"/>
      <c r="S1031" s="318"/>
      <c r="T1031" s="318"/>
      <c r="U1031" s="318"/>
      <c r="V1031" s="318"/>
      <c r="W1031" s="318"/>
      <c r="X1031" s="318"/>
      <c r="Y1031" s="318"/>
      <c r="Z1031" s="318"/>
      <c r="AA1031" s="318"/>
      <c r="AB1031" s="318"/>
      <c r="AC1031" s="318"/>
      <c r="AD1031" s="318"/>
    </row>
    <row r="1032" spans="2:30" s="323" customFormat="1" ht="12" customHeight="1">
      <c r="B1032" s="324"/>
      <c r="C1032" s="325"/>
      <c r="D1032" s="326"/>
      <c r="E1032" s="326"/>
      <c r="F1032" s="326"/>
      <c r="G1032" s="326"/>
      <c r="H1032" s="326"/>
      <c r="P1032" s="318"/>
      <c r="Q1032" s="318"/>
      <c r="R1032" s="318"/>
      <c r="S1032" s="318"/>
      <c r="T1032" s="318"/>
      <c r="U1032" s="318"/>
      <c r="V1032" s="318"/>
      <c r="W1032" s="318"/>
      <c r="X1032" s="318"/>
      <c r="Y1032" s="318"/>
      <c r="Z1032" s="318"/>
      <c r="AA1032" s="318"/>
      <c r="AB1032" s="318"/>
      <c r="AC1032" s="318"/>
      <c r="AD1032" s="318"/>
    </row>
    <row r="1033" spans="2:30" s="323" customFormat="1" ht="12" customHeight="1">
      <c r="B1033" s="324"/>
      <c r="C1033" s="325"/>
      <c r="D1033" s="326"/>
      <c r="E1033" s="326"/>
      <c r="F1033" s="326"/>
      <c r="G1033" s="326"/>
      <c r="H1033" s="326"/>
      <c r="P1033" s="318"/>
      <c r="Q1033" s="318"/>
      <c r="R1033" s="318"/>
      <c r="S1033" s="318"/>
      <c r="T1033" s="318"/>
      <c r="U1033" s="318"/>
      <c r="V1033" s="318"/>
      <c r="W1033" s="318"/>
      <c r="X1033" s="318"/>
      <c r="Y1033" s="318"/>
      <c r="Z1033" s="318"/>
      <c r="AA1033" s="318"/>
      <c r="AB1033" s="318"/>
      <c r="AC1033" s="318"/>
      <c r="AD1033" s="318"/>
    </row>
    <row r="1034" spans="2:30" s="323" customFormat="1" ht="12" customHeight="1">
      <c r="B1034" s="324"/>
      <c r="C1034" s="325"/>
      <c r="D1034" s="326"/>
      <c r="E1034" s="326"/>
      <c r="F1034" s="326"/>
      <c r="G1034" s="326"/>
      <c r="H1034" s="326"/>
      <c r="P1034" s="318"/>
      <c r="Q1034" s="318"/>
      <c r="R1034" s="318"/>
      <c r="S1034" s="318"/>
      <c r="T1034" s="318"/>
      <c r="U1034" s="318"/>
      <c r="V1034" s="318"/>
      <c r="W1034" s="318"/>
      <c r="X1034" s="318"/>
      <c r="Y1034" s="318"/>
      <c r="Z1034" s="318"/>
      <c r="AA1034" s="318"/>
      <c r="AB1034" s="318"/>
      <c r="AC1034" s="318"/>
      <c r="AD1034" s="318"/>
    </row>
    <row r="1035" spans="2:30" s="323" customFormat="1" ht="12" customHeight="1">
      <c r="B1035" s="324"/>
      <c r="C1035" s="325"/>
      <c r="D1035" s="326"/>
      <c r="E1035" s="326"/>
      <c r="F1035" s="326"/>
      <c r="G1035" s="326"/>
      <c r="H1035" s="326"/>
      <c r="P1035" s="318"/>
      <c r="Q1035" s="318"/>
      <c r="R1035" s="318"/>
      <c r="S1035" s="318"/>
      <c r="T1035" s="318"/>
      <c r="U1035" s="318"/>
      <c r="V1035" s="318"/>
      <c r="W1035" s="318"/>
      <c r="X1035" s="318"/>
      <c r="Y1035" s="318"/>
      <c r="Z1035" s="318"/>
      <c r="AA1035" s="318"/>
      <c r="AB1035" s="318"/>
      <c r="AC1035" s="318"/>
      <c r="AD1035" s="318"/>
    </row>
    <row r="1036" spans="2:30" s="323" customFormat="1" ht="12" customHeight="1">
      <c r="B1036" s="324"/>
      <c r="C1036" s="325"/>
      <c r="D1036" s="326"/>
      <c r="E1036" s="326"/>
      <c r="F1036" s="326"/>
      <c r="G1036" s="326"/>
      <c r="H1036" s="326"/>
      <c r="P1036" s="318"/>
      <c r="Q1036" s="318"/>
      <c r="R1036" s="318"/>
      <c r="S1036" s="318"/>
      <c r="T1036" s="318"/>
      <c r="U1036" s="318"/>
      <c r="V1036" s="318"/>
      <c r="W1036" s="318"/>
      <c r="X1036" s="318"/>
      <c r="Y1036" s="318"/>
      <c r="Z1036" s="318"/>
      <c r="AA1036" s="318"/>
      <c r="AB1036" s="318"/>
      <c r="AC1036" s="318"/>
      <c r="AD1036" s="318"/>
    </row>
    <row r="1037" spans="2:30" s="323" customFormat="1" ht="12" customHeight="1">
      <c r="B1037" s="324"/>
      <c r="C1037" s="325"/>
      <c r="D1037" s="326"/>
      <c r="E1037" s="326"/>
      <c r="F1037" s="326"/>
      <c r="G1037" s="326"/>
      <c r="H1037" s="326"/>
      <c r="P1037" s="318"/>
      <c r="Q1037" s="318"/>
      <c r="R1037" s="318"/>
      <c r="S1037" s="318"/>
      <c r="T1037" s="318"/>
      <c r="U1037" s="318"/>
      <c r="V1037" s="318"/>
      <c r="W1037" s="318"/>
      <c r="X1037" s="318"/>
      <c r="Y1037" s="318"/>
      <c r="Z1037" s="318"/>
      <c r="AA1037" s="318"/>
      <c r="AB1037" s="318"/>
      <c r="AC1037" s="318"/>
      <c r="AD1037" s="318"/>
    </row>
    <row r="1038" spans="2:30" s="323" customFormat="1" ht="12" customHeight="1">
      <c r="B1038" s="324"/>
      <c r="C1038" s="325"/>
      <c r="D1038" s="326"/>
      <c r="E1038" s="326"/>
      <c r="F1038" s="326"/>
      <c r="G1038" s="326"/>
      <c r="H1038" s="326"/>
      <c r="P1038" s="318"/>
      <c r="Q1038" s="318"/>
      <c r="R1038" s="318"/>
      <c r="S1038" s="318"/>
      <c r="T1038" s="318"/>
      <c r="U1038" s="318"/>
      <c r="V1038" s="318"/>
      <c r="W1038" s="318"/>
      <c r="X1038" s="318"/>
      <c r="Y1038" s="318"/>
      <c r="Z1038" s="318"/>
      <c r="AA1038" s="318"/>
      <c r="AB1038" s="318"/>
      <c r="AC1038" s="318"/>
      <c r="AD1038" s="318"/>
    </row>
    <row r="1039" spans="2:30" s="323" customFormat="1" ht="12" customHeight="1">
      <c r="B1039" s="324"/>
      <c r="C1039" s="325"/>
      <c r="D1039" s="326"/>
      <c r="E1039" s="326"/>
      <c r="F1039" s="326"/>
      <c r="G1039" s="326"/>
      <c r="H1039" s="326"/>
      <c r="P1039" s="318"/>
      <c r="Q1039" s="318"/>
      <c r="R1039" s="318"/>
      <c r="S1039" s="318"/>
      <c r="T1039" s="318"/>
      <c r="U1039" s="318"/>
      <c r="V1039" s="318"/>
      <c r="W1039" s="318"/>
      <c r="X1039" s="318"/>
      <c r="Y1039" s="318"/>
      <c r="Z1039" s="318"/>
      <c r="AA1039" s="318"/>
      <c r="AB1039" s="318"/>
      <c r="AC1039" s="318"/>
      <c r="AD1039" s="318"/>
    </row>
    <row r="1040" spans="2:30" s="323" customFormat="1" ht="12" customHeight="1">
      <c r="B1040" s="324"/>
      <c r="C1040" s="325"/>
      <c r="D1040" s="326"/>
      <c r="E1040" s="326"/>
      <c r="F1040" s="326"/>
      <c r="G1040" s="326"/>
      <c r="H1040" s="326"/>
      <c r="P1040" s="318"/>
      <c r="Q1040" s="318"/>
      <c r="R1040" s="318"/>
      <c r="S1040" s="318"/>
      <c r="T1040" s="318"/>
      <c r="U1040" s="318"/>
      <c r="V1040" s="318"/>
      <c r="W1040" s="318"/>
      <c r="X1040" s="318"/>
      <c r="Y1040" s="318"/>
      <c r="Z1040" s="318"/>
      <c r="AA1040" s="318"/>
      <c r="AB1040" s="318"/>
      <c r="AC1040" s="318"/>
      <c r="AD1040" s="318"/>
    </row>
    <row r="1041" spans="2:30" s="323" customFormat="1" ht="12" customHeight="1">
      <c r="B1041" s="324"/>
      <c r="C1041" s="325"/>
      <c r="D1041" s="326"/>
      <c r="E1041" s="326"/>
      <c r="F1041" s="326"/>
      <c r="G1041" s="326"/>
      <c r="H1041" s="326"/>
      <c r="P1041" s="318"/>
      <c r="Q1041" s="318"/>
      <c r="R1041" s="318"/>
      <c r="S1041" s="318"/>
      <c r="T1041" s="318"/>
      <c r="U1041" s="318"/>
      <c r="V1041" s="318"/>
      <c r="W1041" s="318"/>
      <c r="X1041" s="318"/>
      <c r="Y1041" s="318"/>
      <c r="Z1041" s="318"/>
      <c r="AA1041" s="318"/>
      <c r="AB1041" s="318"/>
      <c r="AC1041" s="318"/>
      <c r="AD1041" s="318"/>
    </row>
    <row r="1042" spans="2:30" s="323" customFormat="1" ht="12" customHeight="1">
      <c r="B1042" s="324"/>
      <c r="C1042" s="325"/>
      <c r="D1042" s="326"/>
      <c r="E1042" s="326"/>
      <c r="F1042" s="326"/>
      <c r="G1042" s="326"/>
      <c r="H1042" s="326"/>
      <c r="P1042" s="318"/>
      <c r="Q1042" s="318"/>
      <c r="R1042" s="318"/>
      <c r="S1042" s="318"/>
      <c r="T1042" s="318"/>
      <c r="U1042" s="318"/>
      <c r="V1042" s="318"/>
      <c r="W1042" s="318"/>
      <c r="X1042" s="318"/>
      <c r="Y1042" s="318"/>
      <c r="Z1042" s="318"/>
      <c r="AA1042" s="318"/>
      <c r="AB1042" s="318"/>
      <c r="AC1042" s="318"/>
      <c r="AD1042" s="318"/>
    </row>
    <row r="1043" spans="2:30" s="323" customFormat="1" ht="12" customHeight="1">
      <c r="B1043" s="324"/>
      <c r="C1043" s="325"/>
      <c r="D1043" s="326"/>
      <c r="E1043" s="326"/>
      <c r="F1043" s="326"/>
      <c r="G1043" s="326"/>
      <c r="H1043" s="326"/>
      <c r="P1043" s="318"/>
      <c r="Q1043" s="318"/>
      <c r="R1043" s="318"/>
      <c r="S1043" s="318"/>
      <c r="T1043" s="318"/>
      <c r="U1043" s="318"/>
      <c r="V1043" s="318"/>
      <c r="W1043" s="318"/>
      <c r="X1043" s="318"/>
      <c r="Y1043" s="318"/>
      <c r="Z1043" s="318"/>
      <c r="AA1043" s="318"/>
      <c r="AB1043" s="318"/>
      <c r="AC1043" s="318"/>
      <c r="AD1043" s="318"/>
    </row>
    <row r="1044" spans="2:30" s="323" customFormat="1" ht="12" customHeight="1">
      <c r="B1044" s="324"/>
      <c r="C1044" s="325"/>
      <c r="D1044" s="326"/>
      <c r="E1044" s="326"/>
      <c r="F1044" s="326"/>
      <c r="G1044" s="326"/>
      <c r="H1044" s="326"/>
      <c r="P1044" s="318"/>
      <c r="Q1044" s="318"/>
      <c r="R1044" s="318"/>
      <c r="S1044" s="318"/>
      <c r="T1044" s="318"/>
      <c r="U1044" s="318"/>
      <c r="V1044" s="318"/>
      <c r="W1044" s="318"/>
      <c r="X1044" s="318"/>
      <c r="Y1044" s="318"/>
      <c r="Z1044" s="318"/>
      <c r="AA1044" s="318"/>
      <c r="AB1044" s="318"/>
      <c r="AC1044" s="318"/>
      <c r="AD1044" s="318"/>
    </row>
    <row r="1045" spans="2:30" s="323" customFormat="1" ht="12" customHeight="1">
      <c r="B1045" s="324"/>
      <c r="C1045" s="325"/>
      <c r="D1045" s="326"/>
      <c r="E1045" s="326"/>
      <c r="F1045" s="326"/>
      <c r="G1045" s="326"/>
      <c r="H1045" s="326"/>
      <c r="P1045" s="318"/>
      <c r="Q1045" s="318"/>
      <c r="R1045" s="318"/>
      <c r="S1045" s="318"/>
      <c r="T1045" s="318"/>
      <c r="U1045" s="318"/>
      <c r="V1045" s="318"/>
      <c r="W1045" s="318"/>
      <c r="X1045" s="318"/>
      <c r="Y1045" s="318"/>
      <c r="Z1045" s="318"/>
      <c r="AA1045" s="318"/>
      <c r="AB1045" s="318"/>
      <c r="AC1045" s="318"/>
      <c r="AD1045" s="318"/>
    </row>
    <row r="1046" spans="2:30" s="323" customFormat="1" ht="12" customHeight="1">
      <c r="B1046" s="324"/>
      <c r="C1046" s="325"/>
      <c r="D1046" s="326"/>
      <c r="E1046" s="326"/>
      <c r="F1046" s="326"/>
      <c r="G1046" s="326"/>
      <c r="H1046" s="326"/>
      <c r="P1046" s="318"/>
      <c r="Q1046" s="318"/>
      <c r="R1046" s="318"/>
      <c r="S1046" s="318"/>
      <c r="T1046" s="318"/>
      <c r="U1046" s="318"/>
      <c r="V1046" s="318"/>
      <c r="W1046" s="318"/>
      <c r="X1046" s="318"/>
      <c r="Y1046" s="318"/>
      <c r="Z1046" s="318"/>
      <c r="AA1046" s="318"/>
      <c r="AB1046" s="318"/>
      <c r="AC1046" s="318"/>
      <c r="AD1046" s="318"/>
    </row>
    <row r="1047" spans="2:30" s="323" customFormat="1" ht="12" customHeight="1">
      <c r="B1047" s="324"/>
      <c r="C1047" s="325"/>
      <c r="D1047" s="326"/>
      <c r="E1047" s="326"/>
      <c r="F1047" s="326"/>
      <c r="G1047" s="326"/>
      <c r="H1047" s="326"/>
      <c r="P1047" s="318"/>
      <c r="Q1047" s="318"/>
      <c r="R1047" s="318"/>
      <c r="S1047" s="318"/>
      <c r="T1047" s="318"/>
      <c r="U1047" s="318"/>
      <c r="V1047" s="318"/>
      <c r="W1047" s="318"/>
      <c r="X1047" s="318"/>
      <c r="Y1047" s="318"/>
      <c r="Z1047" s="318"/>
      <c r="AA1047" s="318"/>
      <c r="AB1047" s="318"/>
      <c r="AC1047" s="318"/>
      <c r="AD1047" s="318"/>
    </row>
    <row r="1048" spans="2:30" s="323" customFormat="1" ht="12" customHeight="1">
      <c r="B1048" s="324"/>
      <c r="C1048" s="325"/>
      <c r="D1048" s="326"/>
      <c r="E1048" s="326"/>
      <c r="F1048" s="326"/>
      <c r="G1048" s="326"/>
      <c r="H1048" s="326"/>
      <c r="P1048" s="318"/>
      <c r="Q1048" s="318"/>
      <c r="R1048" s="318"/>
      <c r="S1048" s="318"/>
      <c r="T1048" s="318"/>
      <c r="U1048" s="318"/>
      <c r="V1048" s="318"/>
      <c r="W1048" s="318"/>
      <c r="X1048" s="318"/>
      <c r="Y1048" s="318"/>
      <c r="Z1048" s="318"/>
      <c r="AA1048" s="318"/>
      <c r="AB1048" s="318"/>
      <c r="AC1048" s="318"/>
      <c r="AD1048" s="318"/>
    </row>
    <row r="1049" spans="2:30" s="323" customFormat="1" ht="12" customHeight="1">
      <c r="B1049" s="324"/>
      <c r="C1049" s="325"/>
      <c r="D1049" s="326"/>
      <c r="E1049" s="326"/>
      <c r="F1049" s="326"/>
      <c r="G1049" s="326"/>
      <c r="H1049" s="326"/>
      <c r="P1049" s="318"/>
      <c r="Q1049" s="318"/>
      <c r="R1049" s="318"/>
      <c r="S1049" s="318"/>
      <c r="T1049" s="318"/>
      <c r="U1049" s="318"/>
      <c r="V1049" s="318"/>
      <c r="W1049" s="318"/>
      <c r="X1049" s="318"/>
      <c r="Y1049" s="318"/>
      <c r="Z1049" s="318"/>
      <c r="AA1049" s="318"/>
      <c r="AB1049" s="318"/>
      <c r="AC1049" s="318"/>
      <c r="AD1049" s="318"/>
    </row>
    <row r="1050" spans="2:30" s="323" customFormat="1" ht="12" customHeight="1">
      <c r="B1050" s="324"/>
      <c r="C1050" s="325"/>
      <c r="D1050" s="326"/>
      <c r="E1050" s="326"/>
      <c r="F1050" s="326"/>
      <c r="G1050" s="326"/>
      <c r="H1050" s="326"/>
      <c r="P1050" s="318"/>
      <c r="Q1050" s="318"/>
      <c r="R1050" s="318"/>
      <c r="S1050" s="318"/>
      <c r="T1050" s="318"/>
      <c r="U1050" s="318"/>
      <c r="V1050" s="318"/>
      <c r="W1050" s="318"/>
      <c r="X1050" s="318"/>
      <c r="Y1050" s="318"/>
      <c r="Z1050" s="318"/>
      <c r="AA1050" s="318"/>
      <c r="AB1050" s="318"/>
      <c r="AC1050" s="318"/>
      <c r="AD1050" s="318"/>
    </row>
    <row r="1051" spans="2:30" s="323" customFormat="1" ht="12" customHeight="1">
      <c r="B1051" s="324"/>
      <c r="C1051" s="325"/>
      <c r="D1051" s="326"/>
      <c r="E1051" s="326"/>
      <c r="F1051" s="326"/>
      <c r="G1051" s="326"/>
      <c r="H1051" s="326"/>
      <c r="P1051" s="318"/>
      <c r="Q1051" s="318"/>
      <c r="R1051" s="318"/>
      <c r="S1051" s="318"/>
      <c r="T1051" s="318"/>
      <c r="U1051" s="318"/>
      <c r="V1051" s="318"/>
      <c r="W1051" s="318"/>
      <c r="X1051" s="318"/>
      <c r="Y1051" s="318"/>
      <c r="Z1051" s="318"/>
      <c r="AA1051" s="318"/>
      <c r="AB1051" s="318"/>
      <c r="AC1051" s="318"/>
      <c r="AD1051" s="318"/>
    </row>
    <row r="1052" spans="2:30" s="323" customFormat="1" ht="12" customHeight="1">
      <c r="B1052" s="324"/>
      <c r="C1052" s="325"/>
      <c r="D1052" s="326"/>
      <c r="E1052" s="326"/>
      <c r="F1052" s="326"/>
      <c r="G1052" s="326"/>
      <c r="H1052" s="326"/>
      <c r="P1052" s="318"/>
      <c r="Q1052" s="318"/>
      <c r="R1052" s="318"/>
      <c r="S1052" s="318"/>
      <c r="T1052" s="318"/>
      <c r="U1052" s="318"/>
      <c r="V1052" s="318"/>
      <c r="W1052" s="318"/>
      <c r="X1052" s="318"/>
      <c r="Y1052" s="318"/>
      <c r="Z1052" s="318"/>
      <c r="AA1052" s="318"/>
      <c r="AB1052" s="318"/>
      <c r="AC1052" s="318"/>
      <c r="AD1052" s="318"/>
    </row>
    <row r="1053" spans="2:30" s="323" customFormat="1" ht="12" customHeight="1">
      <c r="B1053" s="324"/>
      <c r="C1053" s="325"/>
      <c r="D1053" s="326"/>
      <c r="E1053" s="326"/>
      <c r="F1053" s="326"/>
      <c r="G1053" s="326"/>
      <c r="H1053" s="326"/>
      <c r="P1053" s="318"/>
      <c r="Q1053" s="318"/>
      <c r="R1053" s="318"/>
      <c r="S1053" s="318"/>
      <c r="T1053" s="318"/>
      <c r="U1053" s="318"/>
      <c r="V1053" s="318"/>
      <c r="W1053" s="318"/>
      <c r="X1053" s="318"/>
      <c r="Y1053" s="318"/>
      <c r="Z1053" s="318"/>
      <c r="AA1053" s="318"/>
      <c r="AB1053" s="318"/>
      <c r="AC1053" s="318"/>
      <c r="AD1053" s="318"/>
    </row>
    <row r="1054" spans="2:30" s="323" customFormat="1" ht="12" customHeight="1">
      <c r="B1054" s="324"/>
      <c r="C1054" s="325"/>
      <c r="D1054" s="326"/>
      <c r="E1054" s="326"/>
      <c r="F1054" s="326"/>
      <c r="G1054" s="326"/>
      <c r="H1054" s="326"/>
      <c r="P1054" s="318"/>
      <c r="Q1054" s="318"/>
      <c r="R1054" s="318"/>
      <c r="S1054" s="318"/>
      <c r="T1054" s="318"/>
      <c r="U1054" s="318"/>
      <c r="V1054" s="318"/>
      <c r="W1054" s="318"/>
      <c r="X1054" s="318"/>
      <c r="Y1054" s="318"/>
      <c r="Z1054" s="318"/>
      <c r="AA1054" s="318"/>
      <c r="AB1054" s="318"/>
      <c r="AC1054" s="318"/>
      <c r="AD1054" s="318"/>
    </row>
    <row r="1055" spans="2:30" s="323" customFormat="1" ht="12" customHeight="1">
      <c r="B1055" s="324"/>
      <c r="C1055" s="325"/>
      <c r="D1055" s="326"/>
      <c r="E1055" s="326"/>
      <c r="F1055" s="326"/>
      <c r="G1055" s="326"/>
      <c r="H1055" s="326"/>
      <c r="P1055" s="318"/>
      <c r="Q1055" s="318"/>
      <c r="R1055" s="318"/>
      <c r="S1055" s="318"/>
      <c r="T1055" s="318"/>
      <c r="U1055" s="318"/>
      <c r="V1055" s="318"/>
      <c r="W1055" s="318"/>
      <c r="X1055" s="318"/>
      <c r="Y1055" s="318"/>
      <c r="Z1055" s="318"/>
      <c r="AA1055" s="318"/>
      <c r="AB1055" s="318"/>
      <c r="AC1055" s="318"/>
      <c r="AD1055" s="318"/>
    </row>
    <row r="1056" spans="2:30" s="323" customFormat="1" ht="12" customHeight="1">
      <c r="B1056" s="324"/>
      <c r="C1056" s="325"/>
      <c r="D1056" s="326"/>
      <c r="E1056" s="326"/>
      <c r="F1056" s="326"/>
      <c r="G1056" s="326"/>
      <c r="H1056" s="326"/>
      <c r="P1056" s="318"/>
      <c r="Q1056" s="318"/>
      <c r="R1056" s="318"/>
      <c r="S1056" s="318"/>
      <c r="T1056" s="318"/>
      <c r="U1056" s="318"/>
      <c r="V1056" s="318"/>
      <c r="W1056" s="318"/>
      <c r="X1056" s="318"/>
      <c r="Y1056" s="318"/>
      <c r="Z1056" s="318"/>
      <c r="AA1056" s="318"/>
      <c r="AB1056" s="318"/>
      <c r="AC1056" s="318"/>
      <c r="AD1056" s="318"/>
    </row>
    <row r="1057" spans="2:30" s="323" customFormat="1" ht="12" customHeight="1">
      <c r="B1057" s="324"/>
      <c r="C1057" s="325"/>
      <c r="D1057" s="326"/>
      <c r="E1057" s="326"/>
      <c r="F1057" s="326"/>
      <c r="G1057" s="326"/>
      <c r="H1057" s="326"/>
      <c r="P1057" s="318"/>
      <c r="Q1057" s="318"/>
      <c r="R1057" s="318"/>
      <c r="S1057" s="318"/>
      <c r="T1057" s="318"/>
      <c r="U1057" s="318"/>
      <c r="V1057" s="318"/>
      <c r="W1057" s="318"/>
      <c r="X1057" s="318"/>
      <c r="Y1057" s="318"/>
      <c r="Z1057" s="318"/>
      <c r="AA1057" s="318"/>
      <c r="AB1057" s="318"/>
      <c r="AC1057" s="318"/>
      <c r="AD1057" s="318"/>
    </row>
    <row r="1058" spans="2:30" s="323" customFormat="1" ht="12" customHeight="1">
      <c r="B1058" s="324"/>
      <c r="C1058" s="325"/>
      <c r="D1058" s="326"/>
      <c r="E1058" s="326"/>
      <c r="F1058" s="326"/>
      <c r="G1058" s="326"/>
      <c r="H1058" s="326"/>
      <c r="P1058" s="318"/>
      <c r="Q1058" s="318"/>
      <c r="R1058" s="318"/>
      <c r="S1058" s="318"/>
      <c r="T1058" s="318"/>
      <c r="U1058" s="318"/>
      <c r="V1058" s="318"/>
      <c r="W1058" s="318"/>
      <c r="X1058" s="318"/>
      <c r="Y1058" s="318"/>
      <c r="Z1058" s="318"/>
      <c r="AA1058" s="318"/>
      <c r="AB1058" s="318"/>
      <c r="AC1058" s="318"/>
      <c r="AD1058" s="318"/>
    </row>
    <row r="1059" spans="2:30" s="323" customFormat="1" ht="12" customHeight="1">
      <c r="B1059" s="324"/>
      <c r="C1059" s="325"/>
      <c r="D1059" s="326"/>
      <c r="E1059" s="326"/>
      <c r="F1059" s="326"/>
      <c r="G1059" s="326"/>
      <c r="H1059" s="326"/>
      <c r="P1059" s="318"/>
      <c r="Q1059" s="318"/>
      <c r="R1059" s="318"/>
      <c r="S1059" s="318"/>
      <c r="T1059" s="318"/>
      <c r="U1059" s="318"/>
      <c r="V1059" s="318"/>
      <c r="W1059" s="318"/>
      <c r="X1059" s="318"/>
      <c r="Y1059" s="318"/>
      <c r="Z1059" s="318"/>
      <c r="AA1059" s="318"/>
      <c r="AB1059" s="318"/>
      <c r="AC1059" s="318"/>
      <c r="AD1059" s="318"/>
    </row>
    <row r="1060" spans="2:30" s="323" customFormat="1" ht="12" customHeight="1">
      <c r="B1060" s="324"/>
      <c r="C1060" s="325"/>
      <c r="D1060" s="326"/>
      <c r="E1060" s="326"/>
      <c r="F1060" s="326"/>
      <c r="G1060" s="326"/>
      <c r="H1060" s="326"/>
      <c r="P1060" s="318"/>
      <c r="Q1060" s="318"/>
      <c r="R1060" s="318"/>
      <c r="S1060" s="318"/>
      <c r="T1060" s="318"/>
      <c r="U1060" s="318"/>
      <c r="V1060" s="318"/>
      <c r="W1060" s="318"/>
      <c r="X1060" s="318"/>
      <c r="Y1060" s="318"/>
      <c r="Z1060" s="318"/>
      <c r="AA1060" s="318"/>
      <c r="AB1060" s="318"/>
      <c r="AC1060" s="318"/>
      <c r="AD1060" s="318"/>
    </row>
    <row r="1061" spans="2:30" s="323" customFormat="1" ht="12" customHeight="1">
      <c r="B1061" s="324"/>
      <c r="C1061" s="325"/>
      <c r="D1061" s="326"/>
      <c r="E1061" s="326"/>
      <c r="F1061" s="326"/>
      <c r="G1061" s="326"/>
      <c r="H1061" s="326"/>
      <c r="P1061" s="318"/>
      <c r="Q1061" s="318"/>
      <c r="R1061" s="318"/>
      <c r="S1061" s="318"/>
      <c r="T1061" s="318"/>
      <c r="U1061" s="318"/>
      <c r="V1061" s="318"/>
      <c r="W1061" s="318"/>
      <c r="X1061" s="318"/>
      <c r="Y1061" s="318"/>
      <c r="Z1061" s="318"/>
      <c r="AA1061" s="318"/>
      <c r="AB1061" s="318"/>
      <c r="AC1061" s="318"/>
      <c r="AD1061" s="318"/>
    </row>
    <row r="1062" spans="2:30" s="323" customFormat="1" ht="12" customHeight="1">
      <c r="B1062" s="324"/>
      <c r="C1062" s="325"/>
      <c r="D1062" s="326"/>
      <c r="E1062" s="326"/>
      <c r="F1062" s="326"/>
      <c r="G1062" s="326"/>
      <c r="H1062" s="326"/>
      <c r="P1062" s="318"/>
      <c r="Q1062" s="318"/>
      <c r="R1062" s="318"/>
      <c r="S1062" s="318"/>
      <c r="T1062" s="318"/>
      <c r="U1062" s="318"/>
      <c r="V1062" s="318"/>
      <c r="W1062" s="318"/>
      <c r="X1062" s="318"/>
      <c r="Y1062" s="318"/>
      <c r="Z1062" s="318"/>
      <c r="AA1062" s="318"/>
      <c r="AB1062" s="318"/>
      <c r="AC1062" s="318"/>
      <c r="AD1062" s="318"/>
    </row>
    <row r="1063" spans="2:30" s="323" customFormat="1" ht="12" customHeight="1">
      <c r="B1063" s="324"/>
      <c r="C1063" s="325"/>
      <c r="D1063" s="326"/>
      <c r="E1063" s="326"/>
      <c r="F1063" s="326"/>
      <c r="G1063" s="326"/>
      <c r="H1063" s="326"/>
      <c r="P1063" s="318"/>
      <c r="Q1063" s="318"/>
      <c r="R1063" s="318"/>
      <c r="S1063" s="318"/>
      <c r="T1063" s="318"/>
      <c r="U1063" s="318"/>
      <c r="V1063" s="318"/>
      <c r="W1063" s="318"/>
      <c r="X1063" s="318"/>
      <c r="Y1063" s="318"/>
      <c r="Z1063" s="318"/>
      <c r="AA1063" s="318"/>
      <c r="AB1063" s="318"/>
      <c r="AC1063" s="318"/>
      <c r="AD1063" s="318"/>
    </row>
    <row r="1064" spans="2:30" s="323" customFormat="1" ht="12" customHeight="1">
      <c r="B1064" s="324"/>
      <c r="C1064" s="325"/>
      <c r="D1064" s="326"/>
      <c r="E1064" s="326"/>
      <c r="F1064" s="326"/>
      <c r="G1064" s="326"/>
      <c r="H1064" s="326"/>
      <c r="P1064" s="318"/>
      <c r="Q1064" s="318"/>
      <c r="R1064" s="318"/>
      <c r="S1064" s="318"/>
      <c r="T1064" s="318"/>
      <c r="U1064" s="318"/>
      <c r="V1064" s="318"/>
      <c r="W1064" s="318"/>
      <c r="X1064" s="318"/>
      <c r="Y1064" s="318"/>
      <c r="Z1064" s="318"/>
      <c r="AA1064" s="318"/>
      <c r="AB1064" s="318"/>
      <c r="AC1064" s="318"/>
      <c r="AD1064" s="318"/>
    </row>
    <row r="1065" spans="2:30" s="323" customFormat="1" ht="12" customHeight="1">
      <c r="B1065" s="324"/>
      <c r="C1065" s="325"/>
      <c r="D1065" s="326"/>
      <c r="E1065" s="326"/>
      <c r="F1065" s="326"/>
      <c r="G1065" s="326"/>
      <c r="H1065" s="326"/>
      <c r="P1065" s="318"/>
      <c r="Q1065" s="318"/>
      <c r="R1065" s="318"/>
      <c r="S1065" s="318"/>
      <c r="T1065" s="318"/>
      <c r="U1065" s="318"/>
      <c r="V1065" s="318"/>
      <c r="W1065" s="318"/>
      <c r="X1065" s="318"/>
      <c r="Y1065" s="318"/>
      <c r="Z1065" s="318"/>
      <c r="AA1065" s="318"/>
      <c r="AB1065" s="318"/>
      <c r="AC1065" s="318"/>
      <c r="AD1065" s="318"/>
    </row>
    <row r="1066" spans="2:30" s="323" customFormat="1" ht="12" customHeight="1">
      <c r="B1066" s="324"/>
      <c r="C1066" s="325"/>
      <c r="D1066" s="326"/>
      <c r="E1066" s="326"/>
      <c r="F1066" s="326"/>
      <c r="G1066" s="326"/>
      <c r="H1066" s="326"/>
      <c r="P1066" s="318"/>
      <c r="Q1066" s="318"/>
      <c r="R1066" s="318"/>
      <c r="S1066" s="318"/>
      <c r="T1066" s="318"/>
      <c r="U1066" s="318"/>
      <c r="V1066" s="318"/>
      <c r="W1066" s="318"/>
      <c r="X1066" s="318"/>
      <c r="Y1066" s="318"/>
      <c r="Z1066" s="318"/>
      <c r="AA1066" s="318"/>
      <c r="AB1066" s="318"/>
      <c r="AC1066" s="318"/>
      <c r="AD1066" s="318"/>
    </row>
    <row r="1067" spans="2:30" s="323" customFormat="1" ht="12" customHeight="1">
      <c r="B1067" s="324"/>
      <c r="C1067" s="325"/>
      <c r="D1067" s="326"/>
      <c r="E1067" s="326"/>
      <c r="F1067" s="326"/>
      <c r="G1067" s="326"/>
      <c r="H1067" s="326"/>
      <c r="P1067" s="318"/>
      <c r="Q1067" s="318"/>
      <c r="R1067" s="318"/>
      <c r="S1067" s="318"/>
      <c r="T1067" s="318"/>
      <c r="U1067" s="318"/>
      <c r="V1067" s="318"/>
      <c r="W1067" s="318"/>
      <c r="X1067" s="318"/>
      <c r="Y1067" s="318"/>
      <c r="Z1067" s="318"/>
      <c r="AA1067" s="318"/>
      <c r="AB1067" s="318"/>
      <c r="AC1067" s="318"/>
      <c r="AD1067" s="318"/>
    </row>
    <row r="1068" spans="2:30" s="323" customFormat="1" ht="12" customHeight="1">
      <c r="B1068" s="324"/>
      <c r="C1068" s="325"/>
      <c r="D1068" s="326"/>
      <c r="E1068" s="326"/>
      <c r="F1068" s="326"/>
      <c r="G1068" s="326"/>
      <c r="H1068" s="326"/>
      <c r="P1068" s="318"/>
      <c r="Q1068" s="318"/>
      <c r="R1068" s="318"/>
      <c r="S1068" s="318"/>
      <c r="T1068" s="318"/>
      <c r="U1068" s="318"/>
      <c r="V1068" s="318"/>
      <c r="W1068" s="318"/>
      <c r="X1068" s="318"/>
      <c r="Y1068" s="318"/>
      <c r="Z1068" s="318"/>
      <c r="AA1068" s="318"/>
      <c r="AB1068" s="318"/>
      <c r="AC1068" s="318"/>
      <c r="AD1068" s="318"/>
    </row>
    <row r="1069" spans="2:30" s="323" customFormat="1" ht="12" customHeight="1">
      <c r="B1069" s="324"/>
      <c r="C1069" s="325"/>
      <c r="D1069" s="326"/>
      <c r="E1069" s="326"/>
      <c r="F1069" s="326"/>
      <c r="G1069" s="326"/>
      <c r="H1069" s="326"/>
      <c r="P1069" s="318"/>
      <c r="Q1069" s="318"/>
      <c r="R1069" s="318"/>
      <c r="S1069" s="318"/>
      <c r="T1069" s="318"/>
      <c r="U1069" s="318"/>
      <c r="V1069" s="318"/>
      <c r="W1069" s="318"/>
      <c r="X1069" s="318"/>
      <c r="Y1069" s="318"/>
      <c r="Z1069" s="318"/>
      <c r="AA1069" s="318"/>
      <c r="AB1069" s="318"/>
      <c r="AC1069" s="318"/>
      <c r="AD1069" s="318"/>
    </row>
    <row r="1070" spans="2:30" s="323" customFormat="1" ht="12" customHeight="1">
      <c r="B1070" s="324"/>
      <c r="C1070" s="325"/>
      <c r="D1070" s="326"/>
      <c r="E1070" s="326"/>
      <c r="F1070" s="326"/>
      <c r="G1070" s="326"/>
      <c r="H1070" s="326"/>
      <c r="P1070" s="318"/>
      <c r="Q1070" s="318"/>
      <c r="R1070" s="318"/>
      <c r="S1070" s="318"/>
      <c r="T1070" s="318"/>
      <c r="U1070" s="318"/>
      <c r="V1070" s="318"/>
      <c r="W1070" s="318"/>
      <c r="X1070" s="318"/>
      <c r="Y1070" s="318"/>
      <c r="Z1070" s="318"/>
      <c r="AA1070" s="318"/>
      <c r="AB1070" s="318"/>
      <c r="AC1070" s="318"/>
      <c r="AD1070" s="318"/>
    </row>
    <row r="1071" spans="2:30" s="323" customFormat="1" ht="12" customHeight="1">
      <c r="B1071" s="324"/>
      <c r="C1071" s="325"/>
      <c r="D1071" s="326"/>
      <c r="E1071" s="326"/>
      <c r="F1071" s="326"/>
      <c r="G1071" s="326"/>
      <c r="H1071" s="326"/>
      <c r="P1071" s="318"/>
      <c r="Q1071" s="318"/>
      <c r="R1071" s="318"/>
      <c r="S1071" s="318"/>
      <c r="T1071" s="318"/>
      <c r="U1071" s="318"/>
      <c r="V1071" s="318"/>
      <c r="W1071" s="318"/>
      <c r="X1071" s="318"/>
      <c r="Y1071" s="318"/>
      <c r="Z1071" s="318"/>
      <c r="AA1071" s="318"/>
      <c r="AB1071" s="318"/>
      <c r="AC1071" s="318"/>
      <c r="AD1071" s="318"/>
    </row>
    <row r="1072" spans="2:30" s="323" customFormat="1" ht="12" customHeight="1">
      <c r="B1072" s="324"/>
      <c r="C1072" s="325"/>
      <c r="D1072" s="326"/>
      <c r="E1072" s="326"/>
      <c r="F1072" s="326"/>
      <c r="G1072" s="326"/>
      <c r="H1072" s="326"/>
      <c r="P1072" s="318"/>
      <c r="Q1072" s="318"/>
      <c r="R1072" s="318"/>
      <c r="S1072" s="318"/>
      <c r="T1072" s="318"/>
      <c r="U1072" s="318"/>
      <c r="V1072" s="318"/>
      <c r="W1072" s="318"/>
      <c r="X1072" s="318"/>
      <c r="Y1072" s="318"/>
      <c r="Z1072" s="318"/>
      <c r="AA1072" s="318"/>
      <c r="AB1072" s="318"/>
      <c r="AC1072" s="318"/>
      <c r="AD1072" s="318"/>
    </row>
    <row r="1073" spans="2:30" s="323" customFormat="1" ht="12" customHeight="1">
      <c r="B1073" s="324"/>
      <c r="C1073" s="325"/>
      <c r="D1073" s="326"/>
      <c r="E1073" s="326"/>
      <c r="F1073" s="326"/>
      <c r="G1073" s="326"/>
      <c r="H1073" s="326"/>
      <c r="P1073" s="318"/>
      <c r="Q1073" s="318"/>
      <c r="R1073" s="318"/>
      <c r="S1073" s="318"/>
      <c r="T1073" s="318"/>
      <c r="U1073" s="318"/>
      <c r="V1073" s="318"/>
      <c r="W1073" s="318"/>
      <c r="X1073" s="318"/>
      <c r="Y1073" s="318"/>
      <c r="Z1073" s="318"/>
      <c r="AA1073" s="318"/>
      <c r="AB1073" s="318"/>
      <c r="AC1073" s="318"/>
      <c r="AD1073" s="318"/>
    </row>
    <row r="1074" spans="2:30" s="323" customFormat="1" ht="12" customHeight="1">
      <c r="B1074" s="324"/>
      <c r="C1074" s="325"/>
      <c r="D1074" s="326"/>
      <c r="E1074" s="326"/>
      <c r="F1074" s="326"/>
      <c r="G1074" s="326"/>
      <c r="H1074" s="326"/>
      <c r="P1074" s="318"/>
      <c r="Q1074" s="318"/>
      <c r="R1074" s="318"/>
      <c r="S1074" s="318"/>
      <c r="T1074" s="318"/>
      <c r="U1074" s="318"/>
      <c r="V1074" s="318"/>
      <c r="W1074" s="318"/>
      <c r="X1074" s="318"/>
      <c r="Y1074" s="318"/>
      <c r="Z1074" s="318"/>
      <c r="AA1074" s="318"/>
      <c r="AB1074" s="318"/>
      <c r="AC1074" s="318"/>
      <c r="AD1074" s="318"/>
    </row>
    <row r="1075" spans="2:30" s="323" customFormat="1" ht="12" customHeight="1">
      <c r="B1075" s="324"/>
      <c r="C1075" s="325"/>
      <c r="D1075" s="326"/>
      <c r="E1075" s="326"/>
      <c r="F1075" s="326"/>
      <c r="G1075" s="326"/>
      <c r="H1075" s="326"/>
      <c r="P1075" s="318"/>
      <c r="Q1075" s="318"/>
      <c r="R1075" s="318"/>
      <c r="S1075" s="318"/>
      <c r="T1075" s="318"/>
      <c r="U1075" s="318"/>
      <c r="V1075" s="318"/>
      <c r="W1075" s="318"/>
      <c r="X1075" s="318"/>
      <c r="Y1075" s="318"/>
      <c r="Z1075" s="318"/>
      <c r="AA1075" s="318"/>
      <c r="AB1075" s="318"/>
      <c r="AC1075" s="318"/>
      <c r="AD1075" s="318"/>
    </row>
    <row r="1076" spans="2:30" s="323" customFormat="1" ht="12" customHeight="1">
      <c r="B1076" s="324"/>
      <c r="C1076" s="325"/>
      <c r="D1076" s="326"/>
      <c r="E1076" s="326"/>
      <c r="F1076" s="326"/>
      <c r="G1076" s="326"/>
      <c r="H1076" s="326"/>
      <c r="P1076" s="318"/>
      <c r="Q1076" s="318"/>
      <c r="R1076" s="318"/>
      <c r="S1076" s="318"/>
      <c r="T1076" s="318"/>
      <c r="U1076" s="318"/>
      <c r="V1076" s="318"/>
      <c r="W1076" s="318"/>
      <c r="X1076" s="318"/>
      <c r="Y1076" s="318"/>
      <c r="Z1076" s="318"/>
      <c r="AA1076" s="318"/>
      <c r="AB1076" s="318"/>
      <c r="AC1076" s="318"/>
      <c r="AD1076" s="318"/>
    </row>
    <row r="1077" spans="2:30" s="323" customFormat="1" ht="12" customHeight="1">
      <c r="B1077" s="324"/>
      <c r="C1077" s="325"/>
      <c r="D1077" s="326"/>
      <c r="E1077" s="326"/>
      <c r="F1077" s="326"/>
      <c r="G1077" s="326"/>
      <c r="H1077" s="326"/>
      <c r="P1077" s="318"/>
      <c r="Q1077" s="318"/>
      <c r="R1077" s="318"/>
      <c r="S1077" s="318"/>
      <c r="T1077" s="318"/>
      <c r="U1077" s="318"/>
      <c r="V1077" s="318"/>
      <c r="W1077" s="318"/>
      <c r="X1077" s="318"/>
      <c r="Y1077" s="318"/>
      <c r="Z1077" s="318"/>
      <c r="AA1077" s="318"/>
      <c r="AB1077" s="318"/>
      <c r="AC1077" s="318"/>
      <c r="AD1077" s="318"/>
    </row>
    <row r="1078" spans="2:30" s="323" customFormat="1" ht="12" customHeight="1">
      <c r="B1078" s="324"/>
      <c r="C1078" s="325"/>
      <c r="D1078" s="326"/>
      <c r="E1078" s="326"/>
      <c r="F1078" s="326"/>
      <c r="G1078" s="326"/>
      <c r="H1078" s="326"/>
      <c r="P1078" s="318"/>
      <c r="Q1078" s="318"/>
      <c r="R1078" s="318"/>
      <c r="S1078" s="318"/>
      <c r="T1078" s="318"/>
      <c r="U1078" s="318"/>
      <c r="V1078" s="318"/>
      <c r="W1078" s="318"/>
      <c r="X1078" s="318"/>
      <c r="Y1078" s="318"/>
      <c r="Z1078" s="318"/>
      <c r="AA1078" s="318"/>
      <c r="AB1078" s="318"/>
      <c r="AC1078" s="318"/>
      <c r="AD1078" s="318"/>
    </row>
    <row r="1079" spans="2:30" s="323" customFormat="1" ht="12" customHeight="1">
      <c r="B1079" s="324"/>
      <c r="C1079" s="325"/>
      <c r="D1079" s="326"/>
      <c r="E1079" s="326"/>
      <c r="F1079" s="326"/>
      <c r="G1079" s="326"/>
      <c r="H1079" s="326"/>
      <c r="P1079" s="318"/>
      <c r="Q1079" s="318"/>
      <c r="R1079" s="318"/>
      <c r="S1079" s="318"/>
      <c r="T1079" s="318"/>
      <c r="U1079" s="318"/>
      <c r="V1079" s="318"/>
      <c r="W1079" s="318"/>
      <c r="X1079" s="318"/>
      <c r="Y1079" s="318"/>
      <c r="Z1079" s="318"/>
      <c r="AA1079" s="318"/>
      <c r="AB1079" s="318"/>
      <c r="AC1079" s="318"/>
      <c r="AD1079" s="318"/>
    </row>
    <row r="1080" spans="2:30" s="323" customFormat="1" ht="12" customHeight="1">
      <c r="B1080" s="324"/>
      <c r="C1080" s="325"/>
      <c r="D1080" s="326"/>
      <c r="E1080" s="326"/>
      <c r="F1080" s="326"/>
      <c r="G1080" s="326"/>
      <c r="H1080" s="326"/>
      <c r="P1080" s="318"/>
      <c r="Q1080" s="318"/>
      <c r="R1080" s="318"/>
      <c r="S1080" s="318"/>
      <c r="T1080" s="318"/>
      <c r="U1080" s="318"/>
      <c r="V1080" s="318"/>
      <c r="W1080" s="318"/>
      <c r="X1080" s="318"/>
      <c r="Y1080" s="318"/>
      <c r="Z1080" s="318"/>
      <c r="AA1080" s="318"/>
      <c r="AB1080" s="318"/>
      <c r="AC1080" s="318"/>
      <c r="AD1080" s="318"/>
    </row>
    <row r="1081" spans="2:30" s="323" customFormat="1" ht="12" customHeight="1">
      <c r="B1081" s="324"/>
      <c r="C1081" s="325"/>
      <c r="D1081" s="326"/>
      <c r="E1081" s="326"/>
      <c r="F1081" s="326"/>
      <c r="G1081" s="326"/>
      <c r="H1081" s="326"/>
      <c r="P1081" s="318"/>
      <c r="Q1081" s="318"/>
      <c r="R1081" s="318"/>
      <c r="S1081" s="318"/>
      <c r="T1081" s="318"/>
      <c r="U1081" s="318"/>
      <c r="V1081" s="318"/>
      <c r="W1081" s="318"/>
      <c r="X1081" s="318"/>
      <c r="Y1081" s="318"/>
      <c r="Z1081" s="318"/>
      <c r="AA1081" s="318"/>
      <c r="AB1081" s="318"/>
      <c r="AC1081" s="318"/>
      <c r="AD1081" s="318"/>
    </row>
    <row r="1082" spans="2:30" s="323" customFormat="1" ht="12" customHeight="1">
      <c r="B1082" s="324"/>
      <c r="C1082" s="325"/>
      <c r="D1082" s="326"/>
      <c r="E1082" s="326"/>
      <c r="F1082" s="326"/>
      <c r="G1082" s="326"/>
      <c r="H1082" s="326"/>
      <c r="P1082" s="318"/>
      <c r="Q1082" s="318"/>
      <c r="R1082" s="318"/>
      <c r="S1082" s="318"/>
      <c r="T1082" s="318"/>
      <c r="U1082" s="318"/>
      <c r="V1082" s="318"/>
      <c r="W1082" s="318"/>
      <c r="X1082" s="318"/>
      <c r="Y1082" s="318"/>
      <c r="Z1082" s="318"/>
      <c r="AA1082" s="318"/>
      <c r="AB1082" s="318"/>
      <c r="AC1082" s="318"/>
      <c r="AD1082" s="318"/>
    </row>
    <row r="1083" spans="2:30" s="323" customFormat="1" ht="12" customHeight="1">
      <c r="B1083" s="324"/>
      <c r="C1083" s="325"/>
      <c r="D1083" s="326"/>
      <c r="E1083" s="326"/>
      <c r="F1083" s="326"/>
      <c r="G1083" s="326"/>
      <c r="H1083" s="326"/>
      <c r="P1083" s="318"/>
      <c r="Q1083" s="318"/>
      <c r="R1083" s="318"/>
      <c r="S1083" s="318"/>
      <c r="T1083" s="318"/>
      <c r="U1083" s="318"/>
      <c r="V1083" s="318"/>
      <c r="W1083" s="318"/>
      <c r="X1083" s="318"/>
      <c r="Y1083" s="318"/>
      <c r="Z1083" s="318"/>
      <c r="AA1083" s="318"/>
      <c r="AB1083" s="318"/>
      <c r="AC1083" s="318"/>
      <c r="AD1083" s="318"/>
    </row>
    <row r="1084" spans="2:30" s="323" customFormat="1" ht="12" customHeight="1">
      <c r="B1084" s="324"/>
      <c r="C1084" s="325"/>
      <c r="D1084" s="326"/>
      <c r="E1084" s="326"/>
      <c r="F1084" s="326"/>
      <c r="G1084" s="326"/>
      <c r="H1084" s="326"/>
      <c r="P1084" s="318"/>
      <c r="Q1084" s="318"/>
      <c r="R1084" s="318"/>
      <c r="S1084" s="318"/>
      <c r="T1084" s="318"/>
      <c r="U1084" s="318"/>
      <c r="V1084" s="318"/>
      <c r="W1084" s="318"/>
      <c r="X1084" s="318"/>
      <c r="Y1084" s="318"/>
      <c r="Z1084" s="318"/>
      <c r="AA1084" s="318"/>
      <c r="AB1084" s="318"/>
      <c r="AC1084" s="318"/>
      <c r="AD1084" s="318"/>
    </row>
    <row r="1085" spans="2:30" s="323" customFormat="1" ht="12" customHeight="1">
      <c r="B1085" s="324"/>
      <c r="C1085" s="325"/>
      <c r="D1085" s="326"/>
      <c r="E1085" s="326"/>
      <c r="F1085" s="326"/>
      <c r="G1085" s="326"/>
      <c r="H1085" s="326"/>
      <c r="P1085" s="318"/>
      <c r="Q1085" s="318"/>
      <c r="R1085" s="318"/>
      <c r="S1085" s="318"/>
      <c r="T1085" s="318"/>
      <c r="U1085" s="318"/>
      <c r="V1085" s="318"/>
      <c r="W1085" s="318"/>
      <c r="X1085" s="318"/>
      <c r="Y1085" s="318"/>
      <c r="Z1085" s="318"/>
      <c r="AA1085" s="318"/>
      <c r="AB1085" s="318"/>
      <c r="AC1085" s="318"/>
      <c r="AD1085" s="318"/>
    </row>
    <row r="1086" spans="2:30" s="323" customFormat="1" ht="12" customHeight="1">
      <c r="B1086" s="324"/>
      <c r="C1086" s="325"/>
      <c r="D1086" s="326"/>
      <c r="E1086" s="326"/>
      <c r="F1086" s="326"/>
      <c r="G1086" s="326"/>
      <c r="H1086" s="326"/>
      <c r="P1086" s="318"/>
      <c r="Q1086" s="318"/>
      <c r="R1086" s="318"/>
      <c r="S1086" s="318"/>
      <c r="T1086" s="318"/>
      <c r="U1086" s="318"/>
      <c r="V1086" s="318"/>
      <c r="W1086" s="318"/>
      <c r="X1086" s="318"/>
      <c r="Y1086" s="318"/>
      <c r="Z1086" s="318"/>
      <c r="AA1086" s="318"/>
      <c r="AB1086" s="318"/>
      <c r="AC1086" s="318"/>
      <c r="AD1086" s="318"/>
    </row>
    <row r="1087" spans="2:30" s="323" customFormat="1" ht="12" customHeight="1">
      <c r="B1087" s="324"/>
      <c r="C1087" s="325"/>
      <c r="D1087" s="326"/>
      <c r="E1087" s="326"/>
      <c r="F1087" s="326"/>
      <c r="G1087" s="326"/>
      <c r="H1087" s="326"/>
      <c r="P1087" s="318"/>
      <c r="Q1087" s="318"/>
      <c r="R1087" s="318"/>
      <c r="S1087" s="318"/>
      <c r="T1087" s="318"/>
      <c r="U1087" s="318"/>
      <c r="V1087" s="318"/>
      <c r="W1087" s="318"/>
      <c r="X1087" s="318"/>
      <c r="Y1087" s="318"/>
      <c r="Z1087" s="318"/>
      <c r="AA1087" s="318"/>
      <c r="AB1087" s="318"/>
      <c r="AC1087" s="318"/>
      <c r="AD1087" s="318"/>
    </row>
    <row r="1088" spans="2:30" s="323" customFormat="1" ht="12" customHeight="1">
      <c r="B1088" s="324"/>
      <c r="C1088" s="325"/>
      <c r="D1088" s="326"/>
      <c r="E1088" s="326"/>
      <c r="F1088" s="326"/>
      <c r="G1088" s="326"/>
      <c r="H1088" s="326"/>
      <c r="P1088" s="318"/>
      <c r="Q1088" s="318"/>
      <c r="R1088" s="318"/>
      <c r="S1088" s="318"/>
      <c r="T1088" s="318"/>
      <c r="U1088" s="318"/>
      <c r="V1088" s="318"/>
      <c r="W1088" s="318"/>
      <c r="X1088" s="318"/>
      <c r="Y1088" s="318"/>
      <c r="Z1088" s="318"/>
      <c r="AA1088" s="318"/>
      <c r="AB1088" s="318"/>
      <c r="AC1088" s="318"/>
      <c r="AD1088" s="318"/>
    </row>
    <row r="1089" spans="2:30" s="323" customFormat="1" ht="12" customHeight="1">
      <c r="B1089" s="324"/>
      <c r="C1089" s="325"/>
      <c r="D1089" s="326"/>
      <c r="E1089" s="326"/>
      <c r="F1089" s="326"/>
      <c r="G1089" s="326"/>
      <c r="H1089" s="326"/>
      <c r="P1089" s="318"/>
      <c r="Q1089" s="318"/>
      <c r="R1089" s="318"/>
      <c r="S1089" s="318"/>
      <c r="T1089" s="318"/>
      <c r="U1089" s="318"/>
      <c r="V1089" s="318"/>
      <c r="W1089" s="318"/>
      <c r="X1089" s="318"/>
      <c r="Y1089" s="318"/>
      <c r="Z1089" s="318"/>
      <c r="AA1089" s="318"/>
      <c r="AB1089" s="318"/>
      <c r="AC1089" s="318"/>
      <c r="AD1089" s="318"/>
    </row>
    <row r="1090" spans="2:30" s="323" customFormat="1" ht="12" customHeight="1">
      <c r="B1090" s="324"/>
      <c r="C1090" s="325"/>
      <c r="D1090" s="326"/>
      <c r="E1090" s="326"/>
      <c r="F1090" s="326"/>
      <c r="G1090" s="326"/>
      <c r="H1090" s="326"/>
      <c r="P1090" s="318"/>
      <c r="Q1090" s="318"/>
      <c r="R1090" s="318"/>
      <c r="S1090" s="318"/>
      <c r="T1090" s="318"/>
      <c r="U1090" s="318"/>
      <c r="V1090" s="318"/>
      <c r="W1090" s="318"/>
      <c r="X1090" s="318"/>
      <c r="Y1090" s="318"/>
      <c r="Z1090" s="318"/>
      <c r="AA1090" s="318"/>
      <c r="AB1090" s="318"/>
      <c r="AC1090" s="318"/>
      <c r="AD1090" s="318"/>
    </row>
    <row r="1091" spans="2:30" s="323" customFormat="1" ht="12" customHeight="1">
      <c r="B1091" s="324"/>
      <c r="C1091" s="325"/>
      <c r="D1091" s="326"/>
      <c r="E1091" s="326"/>
      <c r="F1091" s="326"/>
      <c r="G1091" s="326"/>
      <c r="H1091" s="326"/>
      <c r="P1091" s="318"/>
      <c r="Q1091" s="318"/>
      <c r="R1091" s="318"/>
      <c r="S1091" s="318"/>
      <c r="T1091" s="318"/>
      <c r="U1091" s="318"/>
      <c r="V1091" s="318"/>
      <c r="W1091" s="318"/>
      <c r="X1091" s="318"/>
      <c r="Y1091" s="318"/>
      <c r="Z1091" s="318"/>
      <c r="AA1091" s="318"/>
      <c r="AB1091" s="318"/>
      <c r="AC1091" s="318"/>
      <c r="AD1091" s="318"/>
    </row>
    <row r="1092" spans="2:30" s="323" customFormat="1" ht="12" customHeight="1">
      <c r="B1092" s="324"/>
      <c r="C1092" s="325"/>
      <c r="D1092" s="326"/>
      <c r="E1092" s="326"/>
      <c r="F1092" s="326"/>
      <c r="G1092" s="326"/>
      <c r="H1092" s="326"/>
      <c r="P1092" s="318"/>
      <c r="Q1092" s="318"/>
      <c r="R1092" s="318"/>
      <c r="S1092" s="318"/>
      <c r="T1092" s="318"/>
      <c r="U1092" s="318"/>
      <c r="V1092" s="318"/>
      <c r="W1092" s="318"/>
      <c r="X1092" s="318"/>
      <c r="Y1092" s="318"/>
      <c r="Z1092" s="318"/>
      <c r="AA1092" s="318"/>
      <c r="AB1092" s="318"/>
      <c r="AC1092" s="318"/>
      <c r="AD1092" s="318"/>
    </row>
    <row r="1093" spans="2:30" s="323" customFormat="1" ht="12" customHeight="1">
      <c r="B1093" s="324"/>
      <c r="C1093" s="325"/>
      <c r="D1093" s="326"/>
      <c r="E1093" s="326"/>
      <c r="F1093" s="326"/>
      <c r="G1093" s="326"/>
      <c r="H1093" s="326"/>
      <c r="P1093" s="318"/>
      <c r="Q1093" s="318"/>
      <c r="R1093" s="318"/>
      <c r="S1093" s="318"/>
      <c r="T1093" s="318"/>
      <c r="U1093" s="318"/>
      <c r="V1093" s="318"/>
      <c r="W1093" s="318"/>
      <c r="X1093" s="318"/>
      <c r="Y1093" s="318"/>
      <c r="Z1093" s="318"/>
      <c r="AA1093" s="318"/>
      <c r="AB1093" s="318"/>
      <c r="AC1093" s="318"/>
      <c r="AD1093" s="318"/>
    </row>
    <row r="1094" spans="2:30" s="323" customFormat="1" ht="12" customHeight="1">
      <c r="B1094" s="324"/>
      <c r="C1094" s="325"/>
      <c r="D1094" s="326"/>
      <c r="E1094" s="326"/>
      <c r="F1094" s="326"/>
      <c r="G1094" s="326"/>
      <c r="H1094" s="326"/>
      <c r="P1094" s="318"/>
      <c r="Q1094" s="318"/>
      <c r="R1094" s="318"/>
      <c r="S1094" s="318"/>
      <c r="T1094" s="318"/>
      <c r="U1094" s="318"/>
      <c r="V1094" s="318"/>
      <c r="W1094" s="318"/>
      <c r="X1094" s="318"/>
      <c r="Y1094" s="318"/>
      <c r="Z1094" s="318"/>
      <c r="AA1094" s="318"/>
      <c r="AB1094" s="318"/>
      <c r="AC1094" s="318"/>
      <c r="AD1094" s="318"/>
    </row>
    <row r="1095" spans="2:30" s="323" customFormat="1" ht="12" customHeight="1">
      <c r="B1095" s="324"/>
      <c r="C1095" s="325"/>
      <c r="D1095" s="326"/>
      <c r="E1095" s="326"/>
      <c r="F1095" s="326"/>
      <c r="G1095" s="326"/>
      <c r="H1095" s="326"/>
      <c r="P1095" s="318"/>
      <c r="Q1095" s="318"/>
      <c r="R1095" s="318"/>
      <c r="S1095" s="318"/>
      <c r="T1095" s="318"/>
      <c r="U1095" s="318"/>
      <c r="V1095" s="318"/>
      <c r="W1095" s="318"/>
      <c r="X1095" s="318"/>
      <c r="Y1095" s="318"/>
      <c r="Z1095" s="318"/>
      <c r="AA1095" s="318"/>
      <c r="AB1095" s="318"/>
      <c r="AC1095" s="318"/>
      <c r="AD1095" s="318"/>
    </row>
    <row r="1096" spans="2:30" s="323" customFormat="1" ht="12" customHeight="1">
      <c r="B1096" s="324"/>
      <c r="C1096" s="325"/>
      <c r="D1096" s="326"/>
      <c r="E1096" s="326"/>
      <c r="F1096" s="326"/>
      <c r="G1096" s="326"/>
      <c r="H1096" s="326"/>
      <c r="P1096" s="318"/>
      <c r="Q1096" s="318"/>
      <c r="R1096" s="318"/>
      <c r="S1096" s="318"/>
      <c r="T1096" s="318"/>
      <c r="U1096" s="318"/>
      <c r="V1096" s="318"/>
      <c r="W1096" s="318"/>
      <c r="X1096" s="318"/>
      <c r="Y1096" s="318"/>
      <c r="Z1096" s="318"/>
      <c r="AA1096" s="318"/>
      <c r="AB1096" s="318"/>
      <c r="AC1096" s="318"/>
      <c r="AD1096" s="318"/>
    </row>
    <row r="1097" spans="2:30" s="323" customFormat="1" ht="12" customHeight="1">
      <c r="B1097" s="324"/>
      <c r="C1097" s="325"/>
      <c r="D1097" s="326"/>
      <c r="E1097" s="326"/>
      <c r="F1097" s="326"/>
      <c r="G1097" s="326"/>
      <c r="H1097" s="326"/>
      <c r="P1097" s="318"/>
      <c r="Q1097" s="318"/>
      <c r="R1097" s="318"/>
      <c r="S1097" s="318"/>
      <c r="T1097" s="318"/>
      <c r="U1097" s="318"/>
      <c r="V1097" s="318"/>
      <c r="W1097" s="318"/>
      <c r="X1097" s="318"/>
      <c r="Y1097" s="318"/>
      <c r="Z1097" s="318"/>
      <c r="AA1097" s="318"/>
      <c r="AB1097" s="318"/>
      <c r="AC1097" s="318"/>
      <c r="AD1097" s="318"/>
    </row>
    <row r="1098" spans="2:30" s="323" customFormat="1" ht="12" customHeight="1">
      <c r="B1098" s="324"/>
      <c r="C1098" s="325"/>
      <c r="D1098" s="326"/>
      <c r="E1098" s="326"/>
      <c r="F1098" s="326"/>
      <c r="G1098" s="326"/>
      <c r="H1098" s="326"/>
      <c r="P1098" s="318"/>
      <c r="Q1098" s="318"/>
      <c r="R1098" s="318"/>
      <c r="S1098" s="318"/>
      <c r="T1098" s="318"/>
      <c r="U1098" s="318"/>
      <c r="V1098" s="318"/>
      <c r="W1098" s="318"/>
      <c r="X1098" s="318"/>
      <c r="Y1098" s="318"/>
      <c r="Z1098" s="318"/>
      <c r="AA1098" s="318"/>
      <c r="AB1098" s="318"/>
      <c r="AC1098" s="318"/>
      <c r="AD1098" s="318"/>
    </row>
    <row r="1099" spans="2:30" s="323" customFormat="1" ht="12" customHeight="1">
      <c r="B1099" s="324"/>
      <c r="C1099" s="325"/>
      <c r="D1099" s="326"/>
      <c r="E1099" s="326"/>
      <c r="F1099" s="326"/>
      <c r="G1099" s="326"/>
      <c r="H1099" s="326"/>
      <c r="P1099" s="318"/>
      <c r="Q1099" s="318"/>
      <c r="R1099" s="318"/>
      <c r="S1099" s="318"/>
      <c r="T1099" s="318"/>
      <c r="U1099" s="318"/>
      <c r="V1099" s="318"/>
      <c r="W1099" s="318"/>
      <c r="X1099" s="318"/>
      <c r="Y1099" s="318"/>
      <c r="Z1099" s="318"/>
      <c r="AA1099" s="318"/>
      <c r="AB1099" s="318"/>
      <c r="AC1099" s="318"/>
      <c r="AD1099" s="318"/>
    </row>
    <row r="1100" spans="2:30" s="323" customFormat="1" ht="12" customHeight="1">
      <c r="B1100" s="324"/>
      <c r="C1100" s="325"/>
      <c r="D1100" s="326"/>
      <c r="E1100" s="326"/>
      <c r="F1100" s="326"/>
      <c r="G1100" s="326"/>
      <c r="H1100" s="326"/>
      <c r="P1100" s="318"/>
      <c r="Q1100" s="318"/>
      <c r="R1100" s="318"/>
      <c r="S1100" s="318"/>
      <c r="T1100" s="318"/>
      <c r="U1100" s="318"/>
      <c r="V1100" s="318"/>
      <c r="W1100" s="318"/>
      <c r="X1100" s="318"/>
      <c r="Y1100" s="318"/>
      <c r="Z1100" s="318"/>
      <c r="AA1100" s="318"/>
      <c r="AB1100" s="318"/>
      <c r="AC1100" s="318"/>
      <c r="AD1100" s="318"/>
    </row>
    <row r="1101" spans="2:30" s="323" customFormat="1" ht="12" customHeight="1">
      <c r="B1101" s="324"/>
      <c r="C1101" s="325"/>
      <c r="D1101" s="326"/>
      <c r="E1101" s="326"/>
      <c r="F1101" s="326"/>
      <c r="G1101" s="326"/>
      <c r="H1101" s="326"/>
      <c r="P1101" s="318"/>
      <c r="Q1101" s="318"/>
      <c r="R1101" s="318"/>
      <c r="S1101" s="318"/>
      <c r="T1101" s="318"/>
      <c r="U1101" s="318"/>
      <c r="V1101" s="318"/>
      <c r="W1101" s="318"/>
      <c r="X1101" s="318"/>
      <c r="Y1101" s="318"/>
      <c r="Z1101" s="318"/>
      <c r="AA1101" s="318"/>
      <c r="AB1101" s="318"/>
      <c r="AC1101" s="318"/>
      <c r="AD1101" s="318"/>
    </row>
    <row r="1102" spans="2:30" s="323" customFormat="1" ht="12" customHeight="1">
      <c r="B1102" s="324"/>
      <c r="C1102" s="325"/>
      <c r="D1102" s="326"/>
      <c r="E1102" s="326"/>
      <c r="F1102" s="326"/>
      <c r="G1102" s="326"/>
      <c r="H1102" s="326"/>
      <c r="P1102" s="318"/>
      <c r="Q1102" s="318"/>
      <c r="R1102" s="318"/>
      <c r="S1102" s="318"/>
      <c r="T1102" s="318"/>
      <c r="U1102" s="318"/>
      <c r="V1102" s="318"/>
      <c r="W1102" s="318"/>
      <c r="X1102" s="318"/>
      <c r="Y1102" s="318"/>
      <c r="Z1102" s="318"/>
      <c r="AA1102" s="318"/>
      <c r="AB1102" s="318"/>
      <c r="AC1102" s="318"/>
      <c r="AD1102" s="318"/>
    </row>
    <row r="1103" spans="2:30" s="323" customFormat="1" ht="12" customHeight="1">
      <c r="B1103" s="324"/>
      <c r="C1103" s="325"/>
      <c r="D1103" s="326"/>
      <c r="E1103" s="326"/>
      <c r="F1103" s="326"/>
      <c r="G1103" s="326"/>
      <c r="H1103" s="326"/>
      <c r="P1103" s="318"/>
      <c r="Q1103" s="318"/>
      <c r="R1103" s="318"/>
      <c r="S1103" s="318"/>
      <c r="T1103" s="318"/>
      <c r="U1103" s="318"/>
      <c r="V1103" s="318"/>
      <c r="W1103" s="318"/>
      <c r="X1103" s="318"/>
      <c r="Y1103" s="318"/>
      <c r="Z1103" s="318"/>
      <c r="AA1103" s="318"/>
      <c r="AB1103" s="318"/>
      <c r="AC1103" s="318"/>
      <c r="AD1103" s="318"/>
    </row>
    <row r="1104" spans="2:30" s="323" customFormat="1" ht="12" customHeight="1">
      <c r="B1104" s="324"/>
      <c r="C1104" s="325"/>
      <c r="D1104" s="326"/>
      <c r="E1104" s="326"/>
      <c r="F1104" s="326"/>
      <c r="G1104" s="326"/>
      <c r="H1104" s="326"/>
      <c r="P1104" s="318"/>
      <c r="Q1104" s="318"/>
      <c r="R1104" s="318"/>
      <c r="S1104" s="318"/>
      <c r="T1104" s="318"/>
      <c r="U1104" s="318"/>
      <c r="V1104" s="318"/>
      <c r="W1104" s="318"/>
      <c r="X1104" s="318"/>
      <c r="Y1104" s="318"/>
      <c r="Z1104" s="318"/>
      <c r="AA1104" s="318"/>
      <c r="AB1104" s="318"/>
      <c r="AC1104" s="318"/>
      <c r="AD1104" s="318"/>
    </row>
    <row r="1105" spans="2:30" s="323" customFormat="1" ht="12" customHeight="1">
      <c r="B1105" s="324"/>
      <c r="C1105" s="325"/>
      <c r="D1105" s="326"/>
      <c r="E1105" s="326"/>
      <c r="F1105" s="326"/>
      <c r="G1105" s="326"/>
      <c r="H1105" s="326"/>
      <c r="P1105" s="318"/>
      <c r="Q1105" s="318"/>
      <c r="R1105" s="318"/>
      <c r="S1105" s="318"/>
      <c r="T1105" s="318"/>
      <c r="U1105" s="318"/>
      <c r="V1105" s="318"/>
      <c r="W1105" s="318"/>
      <c r="X1105" s="318"/>
      <c r="Y1105" s="318"/>
      <c r="Z1105" s="318"/>
      <c r="AA1105" s="318"/>
      <c r="AB1105" s="318"/>
      <c r="AC1105" s="318"/>
      <c r="AD1105" s="318"/>
    </row>
    <row r="1106" spans="2:30" s="323" customFormat="1" ht="12" customHeight="1">
      <c r="B1106" s="324"/>
      <c r="C1106" s="325"/>
      <c r="D1106" s="326"/>
      <c r="E1106" s="326"/>
      <c r="F1106" s="326"/>
      <c r="G1106" s="326"/>
      <c r="H1106" s="326"/>
      <c r="P1106" s="318"/>
      <c r="Q1106" s="318"/>
      <c r="R1106" s="318"/>
      <c r="S1106" s="318"/>
      <c r="T1106" s="318"/>
      <c r="U1106" s="318"/>
      <c r="V1106" s="318"/>
      <c r="W1106" s="318"/>
      <c r="X1106" s="318"/>
      <c r="Y1106" s="318"/>
      <c r="Z1106" s="318"/>
      <c r="AA1106" s="318"/>
      <c r="AB1106" s="318"/>
      <c r="AC1106" s="318"/>
      <c r="AD1106" s="318"/>
    </row>
    <row r="1107" spans="2:30" s="323" customFormat="1" ht="12" customHeight="1">
      <c r="B1107" s="324"/>
      <c r="C1107" s="325"/>
      <c r="D1107" s="326"/>
      <c r="E1107" s="326"/>
      <c r="F1107" s="326"/>
      <c r="G1107" s="326"/>
      <c r="H1107" s="326"/>
      <c r="P1107" s="318"/>
      <c r="Q1107" s="318"/>
      <c r="R1107" s="318"/>
      <c r="S1107" s="318"/>
      <c r="T1107" s="318"/>
      <c r="U1107" s="318"/>
      <c r="V1107" s="318"/>
      <c r="W1107" s="318"/>
      <c r="X1107" s="318"/>
      <c r="Y1107" s="318"/>
      <c r="Z1107" s="318"/>
      <c r="AA1107" s="318"/>
      <c r="AB1107" s="318"/>
      <c r="AC1107" s="318"/>
      <c r="AD1107" s="318"/>
    </row>
    <row r="1108" spans="2:30" s="323" customFormat="1" ht="12" customHeight="1">
      <c r="B1108" s="324"/>
      <c r="C1108" s="325"/>
      <c r="D1108" s="326"/>
      <c r="E1108" s="326"/>
      <c r="F1108" s="326"/>
      <c r="G1108" s="326"/>
      <c r="H1108" s="326"/>
      <c r="P1108" s="318"/>
      <c r="Q1108" s="318"/>
      <c r="R1108" s="318"/>
      <c r="S1108" s="318"/>
      <c r="T1108" s="318"/>
      <c r="U1108" s="318"/>
      <c r="V1108" s="318"/>
      <c r="W1108" s="318"/>
      <c r="X1108" s="318"/>
      <c r="Y1108" s="318"/>
      <c r="Z1108" s="318"/>
      <c r="AA1108" s="318"/>
      <c r="AB1108" s="318"/>
      <c r="AC1108" s="318"/>
      <c r="AD1108" s="318"/>
    </row>
    <row r="1109" spans="2:30" s="323" customFormat="1" ht="12" customHeight="1">
      <c r="B1109" s="324"/>
      <c r="C1109" s="325"/>
      <c r="D1109" s="326"/>
      <c r="E1109" s="326"/>
      <c r="F1109" s="326"/>
      <c r="G1109" s="326"/>
      <c r="H1109" s="326"/>
      <c r="P1109" s="318"/>
      <c r="Q1109" s="318"/>
      <c r="R1109" s="318"/>
      <c r="S1109" s="318"/>
      <c r="T1109" s="318"/>
      <c r="U1109" s="318"/>
      <c r="V1109" s="318"/>
      <c r="W1109" s="318"/>
      <c r="X1109" s="318"/>
      <c r="Y1109" s="318"/>
      <c r="Z1109" s="318"/>
      <c r="AA1109" s="318"/>
      <c r="AB1109" s="318"/>
      <c r="AC1109" s="318"/>
      <c r="AD1109" s="318"/>
    </row>
    <row r="1110" spans="2:30" s="323" customFormat="1" ht="12" customHeight="1">
      <c r="B1110" s="324"/>
      <c r="C1110" s="325"/>
      <c r="D1110" s="326"/>
      <c r="E1110" s="326"/>
      <c r="F1110" s="326"/>
      <c r="G1110" s="326"/>
      <c r="H1110" s="326"/>
      <c r="P1110" s="318"/>
      <c r="Q1110" s="318"/>
      <c r="R1110" s="318"/>
      <c r="S1110" s="318"/>
      <c r="T1110" s="318"/>
      <c r="U1110" s="318"/>
      <c r="V1110" s="318"/>
      <c r="W1110" s="318"/>
      <c r="X1110" s="318"/>
      <c r="Y1110" s="318"/>
      <c r="Z1110" s="318"/>
      <c r="AA1110" s="318"/>
      <c r="AB1110" s="318"/>
      <c r="AC1110" s="318"/>
      <c r="AD1110" s="318"/>
    </row>
    <row r="1111" spans="2:30" s="323" customFormat="1" ht="12" customHeight="1">
      <c r="B1111" s="324"/>
      <c r="C1111" s="325"/>
      <c r="D1111" s="326"/>
      <c r="E1111" s="326"/>
      <c r="F1111" s="326"/>
      <c r="G1111" s="326"/>
      <c r="H1111" s="326"/>
      <c r="P1111" s="318"/>
      <c r="Q1111" s="318"/>
      <c r="R1111" s="318"/>
      <c r="S1111" s="318"/>
      <c r="T1111" s="318"/>
      <c r="U1111" s="318"/>
      <c r="V1111" s="318"/>
      <c r="W1111" s="318"/>
      <c r="X1111" s="318"/>
      <c r="Y1111" s="318"/>
      <c r="Z1111" s="318"/>
      <c r="AA1111" s="318"/>
      <c r="AB1111" s="318"/>
      <c r="AC1111" s="318"/>
      <c r="AD1111" s="318"/>
    </row>
    <row r="1112" spans="2:30" s="323" customFormat="1" ht="12" customHeight="1">
      <c r="B1112" s="324"/>
      <c r="C1112" s="325"/>
      <c r="D1112" s="326"/>
      <c r="E1112" s="326"/>
      <c r="F1112" s="326"/>
      <c r="G1112" s="326"/>
      <c r="H1112" s="326"/>
      <c r="P1112" s="318"/>
      <c r="Q1112" s="318"/>
      <c r="R1112" s="318"/>
      <c r="S1112" s="318"/>
      <c r="T1112" s="318"/>
      <c r="U1112" s="318"/>
      <c r="V1112" s="318"/>
      <c r="W1112" s="318"/>
      <c r="X1112" s="318"/>
      <c r="Y1112" s="318"/>
      <c r="Z1112" s="318"/>
      <c r="AA1112" s="318"/>
      <c r="AB1112" s="318"/>
      <c r="AC1112" s="318"/>
      <c r="AD1112" s="318"/>
    </row>
    <row r="1113" spans="2:30" s="323" customFormat="1" ht="12" customHeight="1">
      <c r="B1113" s="324"/>
      <c r="C1113" s="325"/>
      <c r="D1113" s="326"/>
      <c r="E1113" s="326"/>
      <c r="F1113" s="326"/>
      <c r="G1113" s="326"/>
      <c r="H1113" s="326"/>
      <c r="P1113" s="318"/>
      <c r="Q1113" s="318"/>
      <c r="R1113" s="318"/>
      <c r="S1113" s="318"/>
      <c r="T1113" s="318"/>
      <c r="U1113" s="318"/>
      <c r="V1113" s="318"/>
      <c r="W1113" s="318"/>
      <c r="X1113" s="318"/>
      <c r="Y1113" s="318"/>
      <c r="Z1113" s="318"/>
      <c r="AA1113" s="318"/>
      <c r="AB1113" s="318"/>
      <c r="AC1113" s="318"/>
      <c r="AD1113" s="318"/>
    </row>
    <row r="1114" spans="2:30" s="323" customFormat="1" ht="12" customHeight="1">
      <c r="B1114" s="324"/>
      <c r="C1114" s="325"/>
      <c r="D1114" s="326"/>
      <c r="E1114" s="326"/>
      <c r="F1114" s="326"/>
      <c r="G1114" s="326"/>
      <c r="H1114" s="326"/>
      <c r="P1114" s="318"/>
      <c r="Q1114" s="318"/>
      <c r="R1114" s="318"/>
      <c r="S1114" s="318"/>
      <c r="T1114" s="318"/>
      <c r="U1114" s="318"/>
      <c r="V1114" s="318"/>
      <c r="W1114" s="318"/>
      <c r="X1114" s="318"/>
      <c r="Y1114" s="318"/>
      <c r="Z1114" s="318"/>
      <c r="AA1114" s="318"/>
      <c r="AB1114" s="318"/>
      <c r="AC1114" s="318"/>
      <c r="AD1114" s="318"/>
    </row>
    <row r="1115" spans="2:30" s="323" customFormat="1" ht="12" customHeight="1">
      <c r="B1115" s="324"/>
      <c r="C1115" s="325"/>
      <c r="D1115" s="326"/>
      <c r="E1115" s="326"/>
      <c r="F1115" s="326"/>
      <c r="G1115" s="326"/>
      <c r="H1115" s="326"/>
      <c r="P1115" s="318"/>
      <c r="Q1115" s="318"/>
      <c r="R1115" s="318"/>
      <c r="S1115" s="318"/>
      <c r="T1115" s="318"/>
      <c r="U1115" s="318"/>
      <c r="V1115" s="318"/>
      <c r="W1115" s="318"/>
      <c r="X1115" s="318"/>
      <c r="Y1115" s="318"/>
      <c r="Z1115" s="318"/>
      <c r="AA1115" s="318"/>
      <c r="AB1115" s="318"/>
      <c r="AC1115" s="318"/>
      <c r="AD1115" s="318"/>
    </row>
    <row r="1116" spans="2:30" s="323" customFormat="1" ht="12" customHeight="1">
      <c r="B1116" s="324"/>
      <c r="C1116" s="325"/>
      <c r="D1116" s="326"/>
      <c r="E1116" s="326"/>
      <c r="F1116" s="326"/>
      <c r="G1116" s="326"/>
      <c r="H1116" s="326"/>
      <c r="P1116" s="318"/>
      <c r="Q1116" s="318"/>
      <c r="R1116" s="318"/>
      <c r="S1116" s="318"/>
      <c r="T1116" s="318"/>
      <c r="U1116" s="318"/>
      <c r="V1116" s="318"/>
      <c r="W1116" s="318"/>
      <c r="X1116" s="318"/>
      <c r="Y1116" s="318"/>
      <c r="Z1116" s="318"/>
      <c r="AA1116" s="318"/>
      <c r="AB1116" s="318"/>
      <c r="AC1116" s="318"/>
      <c r="AD1116" s="318"/>
    </row>
    <row r="1117" spans="2:30" s="323" customFormat="1" ht="12" customHeight="1">
      <c r="B1117" s="324"/>
      <c r="C1117" s="325"/>
      <c r="D1117" s="326"/>
      <c r="E1117" s="326"/>
      <c r="F1117" s="326"/>
      <c r="G1117" s="326"/>
      <c r="H1117" s="326"/>
      <c r="P1117" s="318"/>
      <c r="Q1117" s="318"/>
      <c r="R1117" s="318"/>
      <c r="S1117" s="318"/>
      <c r="T1117" s="318"/>
      <c r="U1117" s="318"/>
      <c r="V1117" s="318"/>
      <c r="W1117" s="318"/>
      <c r="X1117" s="318"/>
      <c r="Y1117" s="318"/>
      <c r="Z1117" s="318"/>
      <c r="AA1117" s="318"/>
      <c r="AB1117" s="318"/>
      <c r="AC1117" s="318"/>
      <c r="AD1117" s="318"/>
    </row>
    <row r="1118" spans="2:30" s="323" customFormat="1" ht="12" customHeight="1">
      <c r="B1118" s="324"/>
      <c r="C1118" s="325"/>
      <c r="D1118" s="326"/>
      <c r="E1118" s="326"/>
      <c r="F1118" s="326"/>
      <c r="G1118" s="326"/>
      <c r="H1118" s="326"/>
      <c r="P1118" s="318"/>
      <c r="Q1118" s="318"/>
      <c r="R1118" s="318"/>
      <c r="S1118" s="318"/>
      <c r="T1118" s="318"/>
      <c r="U1118" s="318"/>
      <c r="V1118" s="318"/>
      <c r="W1118" s="318"/>
      <c r="X1118" s="318"/>
      <c r="Y1118" s="318"/>
      <c r="Z1118" s="318"/>
      <c r="AA1118" s="318"/>
      <c r="AB1118" s="318"/>
      <c r="AC1118" s="318"/>
      <c r="AD1118" s="318"/>
    </row>
    <row r="1119" spans="2:30" s="323" customFormat="1" ht="12" customHeight="1">
      <c r="B1119" s="324"/>
      <c r="C1119" s="325"/>
      <c r="D1119" s="326"/>
      <c r="E1119" s="326"/>
      <c r="F1119" s="326"/>
      <c r="G1119" s="326"/>
      <c r="H1119" s="326"/>
      <c r="P1119" s="318"/>
      <c r="Q1119" s="318"/>
      <c r="R1119" s="318"/>
      <c r="S1119" s="318"/>
      <c r="T1119" s="318"/>
      <c r="U1119" s="318"/>
      <c r="V1119" s="318"/>
      <c r="W1119" s="318"/>
      <c r="X1119" s="318"/>
      <c r="Y1119" s="318"/>
      <c r="Z1119" s="318"/>
      <c r="AA1119" s="318"/>
      <c r="AB1119" s="318"/>
      <c r="AC1119" s="318"/>
      <c r="AD1119" s="318"/>
    </row>
    <row r="1120" spans="2:30" s="323" customFormat="1" ht="12" customHeight="1">
      <c r="B1120" s="324"/>
      <c r="C1120" s="325"/>
      <c r="D1120" s="326"/>
      <c r="E1120" s="326"/>
      <c r="F1120" s="326"/>
      <c r="G1120" s="326"/>
      <c r="H1120" s="326"/>
      <c r="P1120" s="318"/>
      <c r="Q1120" s="318"/>
      <c r="R1120" s="318"/>
      <c r="S1120" s="318"/>
      <c r="T1120" s="318"/>
      <c r="U1120" s="318"/>
      <c r="V1120" s="318"/>
      <c r="W1120" s="318"/>
      <c r="X1120" s="318"/>
      <c r="Y1120" s="318"/>
      <c r="Z1120" s="318"/>
      <c r="AA1120" s="318"/>
      <c r="AB1120" s="318"/>
      <c r="AC1120" s="318"/>
      <c r="AD1120" s="318"/>
    </row>
    <row r="1121" spans="2:30" s="323" customFormat="1" ht="12" customHeight="1">
      <c r="B1121" s="324"/>
      <c r="C1121" s="325"/>
      <c r="D1121" s="326"/>
      <c r="E1121" s="326"/>
      <c r="F1121" s="326"/>
      <c r="G1121" s="326"/>
      <c r="H1121" s="326"/>
      <c r="P1121" s="318"/>
      <c r="Q1121" s="318"/>
      <c r="R1121" s="318"/>
      <c r="S1121" s="318"/>
      <c r="T1121" s="318"/>
      <c r="U1121" s="318"/>
      <c r="V1121" s="318"/>
      <c r="W1121" s="318"/>
      <c r="X1121" s="318"/>
      <c r="Y1121" s="318"/>
      <c r="Z1121" s="318"/>
      <c r="AA1121" s="318"/>
      <c r="AB1121" s="318"/>
      <c r="AC1121" s="318"/>
      <c r="AD1121" s="318"/>
    </row>
    <row r="1122" spans="2:30" s="323" customFormat="1" ht="12" customHeight="1">
      <c r="B1122" s="324"/>
      <c r="C1122" s="325"/>
      <c r="D1122" s="326"/>
      <c r="E1122" s="326"/>
      <c r="F1122" s="326"/>
      <c r="G1122" s="326"/>
      <c r="H1122" s="326"/>
      <c r="P1122" s="318"/>
      <c r="Q1122" s="318"/>
      <c r="R1122" s="318"/>
      <c r="S1122" s="318"/>
      <c r="T1122" s="318"/>
      <c r="U1122" s="318"/>
      <c r="V1122" s="318"/>
      <c r="W1122" s="318"/>
      <c r="X1122" s="318"/>
      <c r="Y1122" s="318"/>
      <c r="Z1122" s="318"/>
      <c r="AA1122" s="318"/>
      <c r="AB1122" s="318"/>
      <c r="AC1122" s="318"/>
      <c r="AD1122" s="318"/>
    </row>
    <row r="1123" spans="2:30" s="323" customFormat="1" ht="12" customHeight="1">
      <c r="B1123" s="324"/>
      <c r="C1123" s="325"/>
      <c r="D1123" s="326"/>
      <c r="E1123" s="326"/>
      <c r="F1123" s="326"/>
      <c r="G1123" s="326"/>
      <c r="H1123" s="326"/>
      <c r="P1123" s="318"/>
      <c r="Q1123" s="318"/>
      <c r="R1123" s="318"/>
      <c r="S1123" s="318"/>
      <c r="T1123" s="318"/>
      <c r="U1123" s="318"/>
      <c r="V1123" s="318"/>
      <c r="W1123" s="318"/>
      <c r="X1123" s="318"/>
      <c r="Y1123" s="318"/>
      <c r="Z1123" s="318"/>
      <c r="AA1123" s="318"/>
      <c r="AB1123" s="318"/>
      <c r="AC1123" s="318"/>
      <c r="AD1123" s="318"/>
    </row>
    <row r="1124" spans="2:30" s="323" customFormat="1" ht="12" customHeight="1">
      <c r="B1124" s="324"/>
      <c r="C1124" s="325"/>
      <c r="D1124" s="326"/>
      <c r="E1124" s="326"/>
      <c r="F1124" s="326"/>
      <c r="G1124" s="326"/>
      <c r="H1124" s="326"/>
      <c r="P1124" s="318"/>
      <c r="Q1124" s="318"/>
      <c r="R1124" s="318"/>
      <c r="S1124" s="318"/>
      <c r="T1124" s="318"/>
      <c r="U1124" s="318"/>
      <c r="V1124" s="318"/>
      <c r="W1124" s="318"/>
      <c r="X1124" s="318"/>
      <c r="Y1124" s="318"/>
      <c r="Z1124" s="318"/>
      <c r="AA1124" s="318"/>
      <c r="AB1124" s="318"/>
      <c r="AC1124" s="318"/>
      <c r="AD1124" s="318"/>
    </row>
    <row r="1125" spans="2:30" s="323" customFormat="1" ht="12" customHeight="1">
      <c r="B1125" s="324"/>
      <c r="C1125" s="325"/>
      <c r="D1125" s="326"/>
      <c r="E1125" s="326"/>
      <c r="F1125" s="326"/>
      <c r="G1125" s="326"/>
      <c r="H1125" s="326"/>
      <c r="P1125" s="318"/>
      <c r="Q1125" s="318"/>
      <c r="R1125" s="318"/>
      <c r="S1125" s="318"/>
      <c r="T1125" s="318"/>
      <c r="U1125" s="318"/>
      <c r="V1125" s="318"/>
      <c r="W1125" s="318"/>
      <c r="X1125" s="318"/>
      <c r="Y1125" s="318"/>
      <c r="Z1125" s="318"/>
      <c r="AA1125" s="318"/>
      <c r="AB1125" s="318"/>
      <c r="AC1125" s="318"/>
      <c r="AD1125" s="318"/>
    </row>
    <row r="1126" spans="2:30" s="323" customFormat="1" ht="12" customHeight="1">
      <c r="B1126" s="324"/>
      <c r="C1126" s="325"/>
      <c r="D1126" s="326"/>
      <c r="E1126" s="326"/>
      <c r="F1126" s="326"/>
      <c r="G1126" s="326"/>
      <c r="H1126" s="326"/>
      <c r="P1126" s="318"/>
      <c r="Q1126" s="318"/>
      <c r="R1126" s="318"/>
      <c r="S1126" s="318"/>
      <c r="T1126" s="318"/>
      <c r="U1126" s="318"/>
      <c r="V1126" s="318"/>
      <c r="W1126" s="318"/>
      <c r="X1126" s="318"/>
      <c r="Y1126" s="318"/>
      <c r="Z1126" s="318"/>
      <c r="AA1126" s="318"/>
      <c r="AB1126" s="318"/>
      <c r="AC1126" s="318"/>
      <c r="AD1126" s="318"/>
    </row>
    <row r="1127" spans="2:30" s="323" customFormat="1" ht="12" customHeight="1">
      <c r="B1127" s="324"/>
      <c r="C1127" s="325"/>
      <c r="D1127" s="326"/>
      <c r="E1127" s="326"/>
      <c r="F1127" s="326"/>
      <c r="G1127" s="326"/>
      <c r="H1127" s="326"/>
      <c r="P1127" s="318"/>
      <c r="Q1127" s="318"/>
      <c r="R1127" s="318"/>
      <c r="S1127" s="318"/>
      <c r="T1127" s="318"/>
      <c r="U1127" s="318"/>
      <c r="V1127" s="318"/>
      <c r="W1127" s="318"/>
      <c r="X1127" s="318"/>
      <c r="Y1127" s="318"/>
      <c r="Z1127" s="318"/>
      <c r="AA1127" s="318"/>
      <c r="AB1127" s="318"/>
      <c r="AC1127" s="318"/>
      <c r="AD1127" s="318"/>
    </row>
    <row r="1128" spans="2:30" s="323" customFormat="1" ht="12" customHeight="1">
      <c r="B1128" s="324"/>
      <c r="C1128" s="325"/>
      <c r="D1128" s="326"/>
      <c r="E1128" s="326"/>
      <c r="F1128" s="326"/>
      <c r="G1128" s="326"/>
      <c r="H1128" s="326"/>
      <c r="P1128" s="318"/>
      <c r="Q1128" s="318"/>
      <c r="R1128" s="318"/>
      <c r="S1128" s="318"/>
      <c r="T1128" s="318"/>
      <c r="U1128" s="318"/>
      <c r="V1128" s="318"/>
      <c r="W1128" s="318"/>
      <c r="X1128" s="318"/>
      <c r="Y1128" s="318"/>
      <c r="Z1128" s="318"/>
      <c r="AA1128" s="318"/>
      <c r="AB1128" s="318"/>
      <c r="AC1128" s="318"/>
      <c r="AD1128" s="318"/>
    </row>
    <row r="1129" spans="2:30" s="323" customFormat="1" ht="12" customHeight="1">
      <c r="B1129" s="324"/>
      <c r="C1129" s="325"/>
      <c r="D1129" s="326"/>
      <c r="E1129" s="326"/>
      <c r="F1129" s="326"/>
      <c r="G1129" s="326"/>
      <c r="H1129" s="326"/>
      <c r="P1129" s="318"/>
      <c r="Q1129" s="318"/>
      <c r="R1129" s="318"/>
      <c r="S1129" s="318"/>
      <c r="T1129" s="318"/>
      <c r="U1129" s="318"/>
      <c r="V1129" s="318"/>
      <c r="W1129" s="318"/>
      <c r="X1129" s="318"/>
      <c r="Y1129" s="318"/>
      <c r="Z1129" s="318"/>
      <c r="AA1129" s="318"/>
      <c r="AB1129" s="318"/>
      <c r="AC1129" s="318"/>
      <c r="AD1129" s="318"/>
    </row>
    <row r="1130" spans="2:30" s="323" customFormat="1" ht="12" customHeight="1">
      <c r="B1130" s="324"/>
      <c r="C1130" s="325"/>
      <c r="D1130" s="326"/>
      <c r="E1130" s="326"/>
      <c r="F1130" s="326"/>
      <c r="G1130" s="326"/>
      <c r="H1130" s="326"/>
      <c r="P1130" s="318"/>
      <c r="Q1130" s="318"/>
      <c r="R1130" s="318"/>
      <c r="S1130" s="318"/>
      <c r="T1130" s="318"/>
      <c r="U1130" s="318"/>
      <c r="V1130" s="318"/>
      <c r="W1130" s="318"/>
      <c r="X1130" s="318"/>
      <c r="Y1130" s="318"/>
      <c r="Z1130" s="318"/>
      <c r="AA1130" s="318"/>
      <c r="AB1130" s="318"/>
      <c r="AC1130" s="318"/>
      <c r="AD1130" s="318"/>
    </row>
    <row r="1131" spans="2:30" s="323" customFormat="1" ht="12" customHeight="1">
      <c r="B1131" s="324"/>
      <c r="C1131" s="325"/>
      <c r="D1131" s="326"/>
      <c r="E1131" s="326"/>
      <c r="F1131" s="326"/>
      <c r="G1131" s="326"/>
      <c r="H1131" s="326"/>
      <c r="P1131" s="318"/>
      <c r="Q1131" s="318"/>
      <c r="R1131" s="318"/>
      <c r="S1131" s="318"/>
      <c r="T1131" s="318"/>
      <c r="U1131" s="318"/>
      <c r="V1131" s="318"/>
      <c r="W1131" s="318"/>
      <c r="X1131" s="318"/>
      <c r="Y1131" s="318"/>
      <c r="Z1131" s="318"/>
      <c r="AA1131" s="318"/>
      <c r="AB1131" s="318"/>
      <c r="AC1131" s="318"/>
      <c r="AD1131" s="318"/>
    </row>
    <row r="1132" spans="2:30" s="323" customFormat="1" ht="12" customHeight="1">
      <c r="B1132" s="324"/>
      <c r="C1132" s="325"/>
      <c r="D1132" s="326"/>
      <c r="E1132" s="326"/>
      <c r="F1132" s="326"/>
      <c r="G1132" s="326"/>
      <c r="H1132" s="326"/>
      <c r="P1132" s="318"/>
      <c r="Q1132" s="318"/>
      <c r="R1132" s="318"/>
      <c r="S1132" s="318"/>
      <c r="T1132" s="318"/>
      <c r="U1132" s="318"/>
      <c r="V1132" s="318"/>
      <c r="W1132" s="318"/>
      <c r="X1132" s="318"/>
      <c r="Y1132" s="318"/>
      <c r="Z1132" s="318"/>
      <c r="AA1132" s="318"/>
      <c r="AB1132" s="318"/>
      <c r="AC1132" s="318"/>
      <c r="AD1132" s="318"/>
    </row>
    <row r="1133" spans="2:30" s="323" customFormat="1" ht="12" customHeight="1">
      <c r="B1133" s="324"/>
      <c r="C1133" s="325"/>
      <c r="D1133" s="326"/>
      <c r="E1133" s="326"/>
      <c r="F1133" s="326"/>
      <c r="G1133" s="326"/>
      <c r="H1133" s="326"/>
      <c r="P1133" s="318"/>
      <c r="Q1133" s="318"/>
      <c r="R1133" s="318"/>
      <c r="S1133" s="318"/>
      <c r="T1133" s="318"/>
      <c r="U1133" s="318"/>
      <c r="V1133" s="318"/>
      <c r="W1133" s="318"/>
      <c r="X1133" s="318"/>
      <c r="Y1133" s="318"/>
      <c r="Z1133" s="318"/>
      <c r="AA1133" s="318"/>
      <c r="AB1133" s="318"/>
      <c r="AC1133" s="318"/>
      <c r="AD1133" s="318"/>
    </row>
    <row r="1134" spans="2:30" s="323" customFormat="1" ht="12" customHeight="1">
      <c r="B1134" s="324"/>
      <c r="C1134" s="325"/>
      <c r="D1134" s="326"/>
      <c r="E1134" s="326"/>
      <c r="F1134" s="326"/>
      <c r="G1134" s="326"/>
      <c r="H1134" s="326"/>
      <c r="P1134" s="318"/>
      <c r="Q1134" s="318"/>
      <c r="R1134" s="318"/>
      <c r="S1134" s="318"/>
      <c r="T1134" s="318"/>
      <c r="U1134" s="318"/>
      <c r="V1134" s="318"/>
      <c r="W1134" s="318"/>
      <c r="X1134" s="318"/>
      <c r="Y1134" s="318"/>
      <c r="Z1134" s="318"/>
      <c r="AA1134" s="318"/>
      <c r="AB1134" s="318"/>
      <c r="AC1134" s="318"/>
      <c r="AD1134" s="318"/>
    </row>
    <row r="1135" spans="2:30" s="323" customFormat="1" ht="12" customHeight="1">
      <c r="B1135" s="324"/>
      <c r="C1135" s="325"/>
      <c r="D1135" s="326"/>
      <c r="E1135" s="326"/>
      <c r="F1135" s="326"/>
      <c r="G1135" s="326"/>
      <c r="H1135" s="326"/>
      <c r="P1135" s="318"/>
      <c r="Q1135" s="318"/>
      <c r="R1135" s="318"/>
      <c r="S1135" s="318"/>
      <c r="T1135" s="318"/>
      <c r="U1135" s="318"/>
      <c r="V1135" s="318"/>
      <c r="W1135" s="318"/>
      <c r="X1135" s="318"/>
      <c r="Y1135" s="318"/>
      <c r="Z1135" s="318"/>
      <c r="AA1135" s="318"/>
      <c r="AB1135" s="318"/>
      <c r="AC1135" s="318"/>
      <c r="AD1135" s="318"/>
    </row>
    <row r="1136" spans="2:30" s="323" customFormat="1" ht="12" customHeight="1">
      <c r="B1136" s="324"/>
      <c r="C1136" s="325"/>
      <c r="D1136" s="326"/>
      <c r="E1136" s="326"/>
      <c r="F1136" s="326"/>
      <c r="G1136" s="326"/>
      <c r="H1136" s="326"/>
      <c r="P1136" s="318"/>
      <c r="Q1136" s="318"/>
      <c r="R1136" s="318"/>
      <c r="S1136" s="318"/>
      <c r="T1136" s="318"/>
      <c r="U1136" s="318"/>
      <c r="V1136" s="318"/>
      <c r="W1136" s="318"/>
      <c r="X1136" s="318"/>
      <c r="Y1136" s="318"/>
      <c r="Z1136" s="318"/>
      <c r="AA1136" s="318"/>
      <c r="AB1136" s="318"/>
      <c r="AC1136" s="318"/>
      <c r="AD1136" s="318"/>
    </row>
    <row r="1137" spans="2:30" s="323" customFormat="1" ht="12" customHeight="1">
      <c r="B1137" s="324"/>
      <c r="C1137" s="325"/>
      <c r="D1137" s="326"/>
      <c r="E1137" s="326"/>
      <c r="F1137" s="326"/>
      <c r="G1137" s="326"/>
      <c r="H1137" s="326"/>
      <c r="P1137" s="318"/>
      <c r="Q1137" s="318"/>
      <c r="R1137" s="318"/>
      <c r="S1137" s="318"/>
      <c r="T1137" s="318"/>
      <c r="U1137" s="318"/>
      <c r="V1137" s="318"/>
      <c r="W1137" s="318"/>
      <c r="X1137" s="318"/>
      <c r="Y1137" s="318"/>
      <c r="Z1137" s="318"/>
      <c r="AA1137" s="318"/>
      <c r="AB1137" s="318"/>
      <c r="AC1137" s="318"/>
      <c r="AD1137" s="318"/>
    </row>
    <row r="1138" spans="2:30" s="323" customFormat="1" ht="12" customHeight="1">
      <c r="B1138" s="324"/>
      <c r="C1138" s="325"/>
      <c r="D1138" s="326"/>
      <c r="E1138" s="326"/>
      <c r="F1138" s="326"/>
      <c r="G1138" s="326"/>
      <c r="H1138" s="326"/>
      <c r="P1138" s="318"/>
      <c r="Q1138" s="318"/>
      <c r="R1138" s="318"/>
      <c r="S1138" s="318"/>
      <c r="T1138" s="318"/>
      <c r="U1138" s="318"/>
      <c r="V1138" s="318"/>
      <c r="W1138" s="318"/>
      <c r="X1138" s="318"/>
      <c r="Y1138" s="318"/>
      <c r="Z1138" s="318"/>
      <c r="AA1138" s="318"/>
      <c r="AB1138" s="318"/>
      <c r="AC1138" s="318"/>
      <c r="AD1138" s="318"/>
    </row>
    <row r="1139" spans="2:30" s="323" customFormat="1" ht="12" customHeight="1">
      <c r="B1139" s="324"/>
      <c r="C1139" s="325"/>
      <c r="D1139" s="326"/>
      <c r="E1139" s="326"/>
      <c r="F1139" s="326"/>
      <c r="G1139" s="326"/>
      <c r="H1139" s="326"/>
      <c r="P1139" s="318"/>
      <c r="Q1139" s="318"/>
      <c r="R1139" s="318"/>
      <c r="S1139" s="318"/>
      <c r="T1139" s="318"/>
      <c r="U1139" s="318"/>
      <c r="V1139" s="318"/>
      <c r="W1139" s="318"/>
      <c r="X1139" s="318"/>
      <c r="Y1139" s="318"/>
      <c r="Z1139" s="318"/>
      <c r="AA1139" s="318"/>
      <c r="AB1139" s="318"/>
      <c r="AC1139" s="318"/>
      <c r="AD1139" s="318"/>
    </row>
    <row r="1140" spans="2:30" s="323" customFormat="1" ht="12" customHeight="1">
      <c r="B1140" s="324"/>
      <c r="C1140" s="325"/>
      <c r="D1140" s="326"/>
      <c r="E1140" s="326"/>
      <c r="F1140" s="326"/>
      <c r="G1140" s="326"/>
      <c r="H1140" s="326"/>
      <c r="P1140" s="318"/>
      <c r="Q1140" s="318"/>
      <c r="R1140" s="318"/>
      <c r="S1140" s="318"/>
      <c r="T1140" s="318"/>
      <c r="U1140" s="318"/>
      <c r="V1140" s="318"/>
      <c r="W1140" s="318"/>
      <c r="X1140" s="318"/>
      <c r="Y1140" s="318"/>
      <c r="Z1140" s="318"/>
      <c r="AA1140" s="318"/>
      <c r="AB1140" s="318"/>
      <c r="AC1140" s="318"/>
      <c r="AD1140" s="318"/>
    </row>
    <row r="1141" spans="2:30" s="323" customFormat="1" ht="12" customHeight="1">
      <c r="B1141" s="324"/>
      <c r="C1141" s="325"/>
      <c r="D1141" s="326"/>
      <c r="E1141" s="326"/>
      <c r="F1141" s="326"/>
      <c r="G1141" s="326"/>
      <c r="H1141" s="326"/>
      <c r="P1141" s="318"/>
      <c r="Q1141" s="318"/>
      <c r="R1141" s="318"/>
      <c r="S1141" s="318"/>
      <c r="T1141" s="318"/>
      <c r="U1141" s="318"/>
      <c r="V1141" s="318"/>
      <c r="W1141" s="318"/>
      <c r="X1141" s="318"/>
      <c r="Y1141" s="318"/>
      <c r="Z1141" s="318"/>
      <c r="AA1141" s="318"/>
      <c r="AB1141" s="318"/>
      <c r="AC1141" s="318"/>
      <c r="AD1141" s="318"/>
    </row>
    <row r="1142" spans="2:30" s="323" customFormat="1" ht="12" customHeight="1">
      <c r="B1142" s="324"/>
      <c r="C1142" s="325"/>
      <c r="D1142" s="326"/>
      <c r="E1142" s="326"/>
      <c r="F1142" s="326"/>
      <c r="G1142" s="326"/>
      <c r="H1142" s="326"/>
      <c r="P1142" s="318"/>
      <c r="Q1142" s="318"/>
      <c r="R1142" s="318"/>
      <c r="S1142" s="318"/>
      <c r="T1142" s="318"/>
      <c r="U1142" s="318"/>
      <c r="V1142" s="318"/>
      <c r="W1142" s="318"/>
      <c r="X1142" s="318"/>
      <c r="Y1142" s="318"/>
      <c r="Z1142" s="318"/>
      <c r="AA1142" s="318"/>
      <c r="AB1142" s="318"/>
      <c r="AC1142" s="318"/>
      <c r="AD1142" s="318"/>
    </row>
    <row r="1143" spans="2:30" s="323" customFormat="1" ht="12" customHeight="1">
      <c r="B1143" s="324"/>
      <c r="C1143" s="325"/>
      <c r="D1143" s="326"/>
      <c r="E1143" s="326"/>
      <c r="F1143" s="326"/>
      <c r="G1143" s="326"/>
      <c r="H1143" s="326"/>
      <c r="P1143" s="318"/>
      <c r="Q1143" s="318"/>
      <c r="R1143" s="318"/>
      <c r="S1143" s="318"/>
      <c r="T1143" s="318"/>
      <c r="U1143" s="318"/>
      <c r="V1143" s="318"/>
      <c r="W1143" s="318"/>
      <c r="X1143" s="318"/>
      <c r="Y1143" s="318"/>
      <c r="Z1143" s="318"/>
      <c r="AA1143" s="318"/>
      <c r="AB1143" s="318"/>
      <c r="AC1143" s="318"/>
      <c r="AD1143" s="318"/>
    </row>
    <row r="1144" spans="2:30" s="323" customFormat="1" ht="12" customHeight="1">
      <c r="B1144" s="324"/>
      <c r="C1144" s="325"/>
      <c r="D1144" s="326"/>
      <c r="E1144" s="326"/>
      <c r="F1144" s="326"/>
      <c r="G1144" s="326"/>
      <c r="H1144" s="326"/>
      <c r="P1144" s="318"/>
      <c r="Q1144" s="318"/>
      <c r="R1144" s="318"/>
      <c r="S1144" s="318"/>
      <c r="T1144" s="318"/>
      <c r="U1144" s="318"/>
      <c r="V1144" s="318"/>
      <c r="W1144" s="318"/>
      <c r="X1144" s="318"/>
      <c r="Y1144" s="318"/>
      <c r="Z1144" s="318"/>
      <c r="AA1144" s="318"/>
      <c r="AB1144" s="318"/>
      <c r="AC1144" s="318"/>
      <c r="AD1144" s="318"/>
    </row>
    <row r="1145" spans="2:30" s="323" customFormat="1" ht="12" customHeight="1">
      <c r="B1145" s="324"/>
      <c r="C1145" s="325"/>
      <c r="D1145" s="326"/>
      <c r="E1145" s="326"/>
      <c r="F1145" s="326"/>
      <c r="G1145" s="326"/>
      <c r="H1145" s="326"/>
      <c r="P1145" s="318"/>
      <c r="Q1145" s="318"/>
      <c r="R1145" s="318"/>
      <c r="S1145" s="318"/>
      <c r="T1145" s="318"/>
      <c r="U1145" s="318"/>
      <c r="V1145" s="318"/>
      <c r="W1145" s="318"/>
      <c r="X1145" s="318"/>
      <c r="Y1145" s="318"/>
      <c r="Z1145" s="318"/>
      <c r="AA1145" s="318"/>
      <c r="AB1145" s="318"/>
      <c r="AC1145" s="318"/>
      <c r="AD1145" s="318"/>
    </row>
    <row r="1146" spans="2:30" s="323" customFormat="1" ht="12" customHeight="1">
      <c r="B1146" s="324"/>
      <c r="C1146" s="325"/>
      <c r="D1146" s="326"/>
      <c r="E1146" s="326"/>
      <c r="F1146" s="326"/>
      <c r="G1146" s="326"/>
      <c r="H1146" s="326"/>
      <c r="P1146" s="318"/>
      <c r="Q1146" s="318"/>
      <c r="R1146" s="318"/>
      <c r="S1146" s="318"/>
      <c r="T1146" s="318"/>
      <c r="U1146" s="318"/>
      <c r="V1146" s="318"/>
      <c r="W1146" s="318"/>
      <c r="X1146" s="318"/>
      <c r="Y1146" s="318"/>
      <c r="Z1146" s="318"/>
      <c r="AA1146" s="318"/>
      <c r="AB1146" s="318"/>
      <c r="AC1146" s="318"/>
      <c r="AD1146" s="318"/>
    </row>
    <row r="1147" spans="2:30" s="323" customFormat="1" ht="12" customHeight="1">
      <c r="B1147" s="324"/>
      <c r="C1147" s="325"/>
      <c r="D1147" s="326"/>
      <c r="E1147" s="326"/>
      <c r="F1147" s="326"/>
      <c r="G1147" s="326"/>
      <c r="H1147" s="326"/>
      <c r="P1147" s="318"/>
      <c r="Q1147" s="318"/>
      <c r="R1147" s="318"/>
      <c r="S1147" s="318"/>
      <c r="T1147" s="318"/>
      <c r="U1147" s="318"/>
      <c r="V1147" s="318"/>
      <c r="W1147" s="318"/>
      <c r="X1147" s="318"/>
      <c r="Y1147" s="318"/>
      <c r="Z1147" s="318"/>
      <c r="AA1147" s="318"/>
      <c r="AB1147" s="318"/>
      <c r="AC1147" s="318"/>
      <c r="AD1147" s="318"/>
    </row>
    <row r="1148" spans="2:30" s="323" customFormat="1" ht="12" customHeight="1">
      <c r="B1148" s="324"/>
      <c r="C1148" s="325"/>
      <c r="D1148" s="326"/>
      <c r="E1148" s="326"/>
      <c r="F1148" s="326"/>
      <c r="G1148" s="326"/>
      <c r="H1148" s="326"/>
      <c r="P1148" s="318"/>
      <c r="Q1148" s="318"/>
      <c r="R1148" s="318"/>
      <c r="S1148" s="318"/>
      <c r="T1148" s="318"/>
      <c r="U1148" s="318"/>
      <c r="V1148" s="318"/>
      <c r="W1148" s="318"/>
      <c r="X1148" s="318"/>
      <c r="Y1148" s="318"/>
      <c r="Z1148" s="318"/>
      <c r="AA1148" s="318"/>
      <c r="AB1148" s="318"/>
      <c r="AC1148" s="318"/>
      <c r="AD1148" s="318"/>
    </row>
    <row r="1149" spans="2:30" s="323" customFormat="1" ht="12" customHeight="1">
      <c r="B1149" s="324"/>
      <c r="C1149" s="325"/>
      <c r="D1149" s="326"/>
      <c r="E1149" s="326"/>
      <c r="F1149" s="326"/>
      <c r="G1149" s="326"/>
      <c r="H1149" s="326"/>
      <c r="P1149" s="318"/>
      <c r="Q1149" s="318"/>
      <c r="R1149" s="318"/>
      <c r="S1149" s="318"/>
      <c r="T1149" s="318"/>
      <c r="U1149" s="318"/>
      <c r="V1149" s="318"/>
      <c r="W1149" s="318"/>
      <c r="X1149" s="318"/>
      <c r="Y1149" s="318"/>
      <c r="Z1149" s="318"/>
      <c r="AA1149" s="318"/>
      <c r="AB1149" s="318"/>
      <c r="AC1149" s="318"/>
      <c r="AD1149" s="318"/>
    </row>
    <row r="1150" spans="2:30" s="323" customFormat="1" ht="12" customHeight="1">
      <c r="B1150" s="324"/>
      <c r="C1150" s="325"/>
      <c r="D1150" s="326"/>
      <c r="E1150" s="326"/>
      <c r="F1150" s="326"/>
      <c r="G1150" s="326"/>
      <c r="H1150" s="326"/>
      <c r="P1150" s="318"/>
      <c r="Q1150" s="318"/>
      <c r="R1150" s="318"/>
      <c r="S1150" s="318"/>
      <c r="T1150" s="318"/>
      <c r="U1150" s="318"/>
      <c r="V1150" s="318"/>
      <c r="W1150" s="318"/>
      <c r="X1150" s="318"/>
      <c r="Y1150" s="318"/>
      <c r="Z1150" s="318"/>
      <c r="AA1150" s="318"/>
      <c r="AB1150" s="318"/>
      <c r="AC1150" s="318"/>
      <c r="AD1150" s="318"/>
    </row>
    <row r="1151" spans="2:30" s="323" customFormat="1" ht="12" customHeight="1">
      <c r="B1151" s="324"/>
      <c r="C1151" s="325"/>
      <c r="D1151" s="326"/>
      <c r="E1151" s="326"/>
      <c r="F1151" s="326"/>
      <c r="G1151" s="326"/>
      <c r="H1151" s="326"/>
      <c r="P1151" s="318"/>
      <c r="Q1151" s="318"/>
      <c r="R1151" s="318"/>
      <c r="S1151" s="318"/>
      <c r="T1151" s="318"/>
      <c r="U1151" s="318"/>
      <c r="V1151" s="318"/>
      <c r="W1151" s="318"/>
      <c r="X1151" s="318"/>
      <c r="Y1151" s="318"/>
      <c r="Z1151" s="318"/>
      <c r="AA1151" s="318"/>
      <c r="AB1151" s="318"/>
      <c r="AC1151" s="318"/>
      <c r="AD1151" s="318"/>
    </row>
    <row r="1152" spans="2:30" s="323" customFormat="1" ht="12" customHeight="1">
      <c r="B1152" s="324"/>
      <c r="C1152" s="325"/>
      <c r="D1152" s="326"/>
      <c r="E1152" s="326"/>
      <c r="F1152" s="326"/>
      <c r="G1152" s="326"/>
      <c r="H1152" s="326"/>
      <c r="P1152" s="318"/>
      <c r="Q1152" s="318"/>
      <c r="R1152" s="318"/>
      <c r="S1152" s="318"/>
      <c r="T1152" s="318"/>
      <c r="U1152" s="318"/>
      <c r="V1152" s="318"/>
      <c r="W1152" s="318"/>
      <c r="X1152" s="318"/>
      <c r="Y1152" s="318"/>
      <c r="Z1152" s="318"/>
      <c r="AA1152" s="318"/>
      <c r="AB1152" s="318"/>
      <c r="AC1152" s="318"/>
      <c r="AD1152" s="318"/>
    </row>
    <row r="1153" spans="2:30" s="323" customFormat="1" ht="12" customHeight="1">
      <c r="B1153" s="324"/>
      <c r="C1153" s="325"/>
      <c r="D1153" s="326"/>
      <c r="E1153" s="326"/>
      <c r="F1153" s="326"/>
      <c r="G1153" s="326"/>
      <c r="H1153" s="326"/>
      <c r="P1153" s="318"/>
      <c r="Q1153" s="318"/>
      <c r="R1153" s="318"/>
      <c r="S1153" s="318"/>
      <c r="T1153" s="318"/>
      <c r="U1153" s="318"/>
      <c r="V1153" s="318"/>
      <c r="W1153" s="318"/>
      <c r="X1153" s="318"/>
      <c r="Y1153" s="318"/>
      <c r="Z1153" s="318"/>
      <c r="AA1153" s="318"/>
      <c r="AB1153" s="318"/>
      <c r="AC1153" s="318"/>
      <c r="AD1153" s="318"/>
    </row>
    <row r="1154" spans="2:30" s="323" customFormat="1" ht="12" customHeight="1">
      <c r="B1154" s="324"/>
      <c r="C1154" s="325"/>
      <c r="D1154" s="326"/>
      <c r="E1154" s="326"/>
      <c r="F1154" s="326"/>
      <c r="G1154" s="326"/>
      <c r="H1154" s="326"/>
      <c r="P1154" s="318"/>
      <c r="Q1154" s="318"/>
      <c r="R1154" s="318"/>
      <c r="S1154" s="318"/>
      <c r="T1154" s="318"/>
      <c r="U1154" s="318"/>
      <c r="V1154" s="318"/>
      <c r="W1154" s="318"/>
      <c r="X1154" s="318"/>
      <c r="Y1154" s="318"/>
      <c r="Z1154" s="318"/>
      <c r="AA1154" s="318"/>
      <c r="AB1154" s="318"/>
      <c r="AC1154" s="318"/>
      <c r="AD1154" s="318"/>
    </row>
    <row r="1155" spans="2:30" s="323" customFormat="1" ht="12" customHeight="1">
      <c r="B1155" s="324"/>
      <c r="C1155" s="325"/>
      <c r="D1155" s="326"/>
      <c r="E1155" s="326"/>
      <c r="F1155" s="326"/>
      <c r="G1155" s="326"/>
      <c r="H1155" s="326"/>
      <c r="P1155" s="318"/>
      <c r="Q1155" s="318"/>
      <c r="R1155" s="318"/>
      <c r="S1155" s="318"/>
      <c r="T1155" s="318"/>
      <c r="U1155" s="318"/>
      <c r="V1155" s="318"/>
      <c r="W1155" s="318"/>
      <c r="X1155" s="318"/>
      <c r="Y1155" s="318"/>
      <c r="Z1155" s="318"/>
      <c r="AA1155" s="318"/>
      <c r="AB1155" s="318"/>
      <c r="AC1155" s="318"/>
      <c r="AD1155" s="318"/>
    </row>
    <row r="1156" spans="2:30" s="323" customFormat="1" ht="12" customHeight="1">
      <c r="B1156" s="324"/>
      <c r="C1156" s="325"/>
      <c r="D1156" s="326"/>
      <c r="E1156" s="326"/>
      <c r="F1156" s="326"/>
      <c r="G1156" s="326"/>
      <c r="H1156" s="326"/>
      <c r="P1156" s="318"/>
      <c r="Q1156" s="318"/>
      <c r="R1156" s="318"/>
      <c r="S1156" s="318"/>
      <c r="T1156" s="318"/>
      <c r="U1156" s="318"/>
      <c r="V1156" s="318"/>
      <c r="W1156" s="318"/>
      <c r="X1156" s="318"/>
      <c r="Y1156" s="318"/>
      <c r="Z1156" s="318"/>
      <c r="AA1156" s="318"/>
      <c r="AB1156" s="318"/>
      <c r="AC1156" s="318"/>
      <c r="AD1156" s="318"/>
    </row>
    <row r="1157" spans="2:30" s="323" customFormat="1" ht="12" customHeight="1">
      <c r="B1157" s="324"/>
      <c r="C1157" s="325"/>
      <c r="D1157" s="326"/>
      <c r="E1157" s="326"/>
      <c r="F1157" s="326"/>
      <c r="G1157" s="326"/>
      <c r="H1157" s="326"/>
      <c r="P1157" s="318"/>
      <c r="Q1157" s="318"/>
      <c r="R1157" s="318"/>
      <c r="S1157" s="318"/>
      <c r="T1157" s="318"/>
      <c r="U1157" s="318"/>
      <c r="V1157" s="318"/>
      <c r="W1157" s="318"/>
      <c r="X1157" s="318"/>
      <c r="Y1157" s="318"/>
      <c r="Z1157" s="318"/>
      <c r="AA1157" s="318"/>
      <c r="AB1157" s="318"/>
      <c r="AC1157" s="318"/>
      <c r="AD1157" s="318"/>
    </row>
    <row r="1158" spans="2:30" s="323" customFormat="1" ht="12" customHeight="1">
      <c r="B1158" s="324"/>
      <c r="C1158" s="325"/>
      <c r="D1158" s="326"/>
      <c r="E1158" s="326"/>
      <c r="F1158" s="326"/>
      <c r="G1158" s="326"/>
      <c r="H1158" s="326"/>
      <c r="P1158" s="318"/>
      <c r="Q1158" s="318"/>
      <c r="R1158" s="318"/>
      <c r="S1158" s="318"/>
      <c r="T1158" s="318"/>
      <c r="U1158" s="318"/>
      <c r="V1158" s="318"/>
      <c r="W1158" s="318"/>
      <c r="X1158" s="318"/>
      <c r="Y1158" s="318"/>
      <c r="Z1158" s="318"/>
      <c r="AA1158" s="318"/>
      <c r="AB1158" s="318"/>
      <c r="AC1158" s="318"/>
      <c r="AD1158" s="318"/>
    </row>
    <row r="1159" spans="2:30" s="323" customFormat="1" ht="12" customHeight="1">
      <c r="B1159" s="324"/>
      <c r="C1159" s="325"/>
      <c r="D1159" s="326"/>
      <c r="E1159" s="326"/>
      <c r="F1159" s="326"/>
      <c r="G1159" s="326"/>
      <c r="H1159" s="326"/>
      <c r="P1159" s="318"/>
      <c r="Q1159" s="318"/>
      <c r="R1159" s="318"/>
      <c r="S1159" s="318"/>
      <c r="T1159" s="318"/>
      <c r="U1159" s="318"/>
      <c r="V1159" s="318"/>
      <c r="W1159" s="318"/>
      <c r="X1159" s="318"/>
      <c r="Y1159" s="318"/>
      <c r="Z1159" s="318"/>
      <c r="AA1159" s="318"/>
      <c r="AB1159" s="318"/>
      <c r="AC1159" s="318"/>
      <c r="AD1159" s="318"/>
    </row>
    <row r="1160" spans="2:30" s="323" customFormat="1" ht="12" customHeight="1">
      <c r="B1160" s="324"/>
      <c r="C1160" s="325"/>
      <c r="D1160" s="326"/>
      <c r="E1160" s="326"/>
      <c r="F1160" s="326"/>
      <c r="G1160" s="326"/>
      <c r="H1160" s="326"/>
      <c r="P1160" s="318"/>
      <c r="Q1160" s="318"/>
      <c r="R1160" s="318"/>
      <c r="S1160" s="318"/>
      <c r="T1160" s="318"/>
      <c r="U1160" s="318"/>
      <c r="V1160" s="318"/>
      <c r="W1160" s="318"/>
      <c r="X1160" s="318"/>
      <c r="Y1160" s="318"/>
      <c r="Z1160" s="318"/>
      <c r="AA1160" s="318"/>
      <c r="AB1160" s="318"/>
      <c r="AC1160" s="318"/>
      <c r="AD1160" s="318"/>
    </row>
    <row r="1161" spans="2:30" s="323" customFormat="1" ht="12" customHeight="1">
      <c r="B1161" s="324"/>
      <c r="C1161" s="325"/>
      <c r="D1161" s="326"/>
      <c r="E1161" s="326"/>
      <c r="F1161" s="326"/>
      <c r="G1161" s="326"/>
      <c r="H1161" s="326"/>
      <c r="P1161" s="318"/>
      <c r="Q1161" s="318"/>
      <c r="R1161" s="318"/>
      <c r="S1161" s="318"/>
      <c r="T1161" s="318"/>
      <c r="U1161" s="318"/>
      <c r="V1161" s="318"/>
      <c r="W1161" s="318"/>
      <c r="X1161" s="318"/>
      <c r="Y1161" s="318"/>
      <c r="Z1161" s="318"/>
      <c r="AA1161" s="318"/>
      <c r="AB1161" s="318"/>
      <c r="AC1161" s="318"/>
      <c r="AD1161" s="318"/>
    </row>
    <row r="1162" spans="2:30" s="323" customFormat="1" ht="12" customHeight="1">
      <c r="B1162" s="324"/>
      <c r="C1162" s="325"/>
      <c r="D1162" s="326"/>
      <c r="E1162" s="326"/>
      <c r="F1162" s="326"/>
      <c r="G1162" s="326"/>
      <c r="H1162" s="326"/>
      <c r="P1162" s="318"/>
      <c r="Q1162" s="318"/>
      <c r="R1162" s="318"/>
      <c r="S1162" s="318"/>
      <c r="T1162" s="318"/>
      <c r="U1162" s="318"/>
      <c r="V1162" s="318"/>
      <c r="W1162" s="318"/>
      <c r="X1162" s="318"/>
      <c r="Y1162" s="318"/>
      <c r="Z1162" s="318"/>
      <c r="AA1162" s="318"/>
      <c r="AB1162" s="318"/>
      <c r="AC1162" s="318"/>
      <c r="AD1162" s="318"/>
    </row>
    <row r="1163" spans="2:30" s="323" customFormat="1" ht="12" customHeight="1">
      <c r="B1163" s="324"/>
      <c r="C1163" s="325"/>
      <c r="D1163" s="326"/>
      <c r="E1163" s="326"/>
      <c r="F1163" s="326"/>
      <c r="G1163" s="326"/>
      <c r="H1163" s="326"/>
      <c r="P1163" s="318"/>
      <c r="Q1163" s="318"/>
      <c r="R1163" s="318"/>
      <c r="S1163" s="318"/>
      <c r="T1163" s="318"/>
      <c r="U1163" s="318"/>
      <c r="V1163" s="318"/>
      <c r="W1163" s="318"/>
      <c r="X1163" s="318"/>
      <c r="Y1163" s="318"/>
      <c r="Z1163" s="318"/>
      <c r="AA1163" s="318"/>
      <c r="AB1163" s="318"/>
      <c r="AC1163" s="318"/>
      <c r="AD1163" s="318"/>
    </row>
    <row r="1164" spans="2:30" s="323" customFormat="1" ht="12" customHeight="1">
      <c r="B1164" s="324"/>
      <c r="C1164" s="325"/>
      <c r="D1164" s="326"/>
      <c r="E1164" s="326"/>
      <c r="F1164" s="326"/>
      <c r="G1164" s="326"/>
      <c r="H1164" s="326"/>
      <c r="P1164" s="318"/>
      <c r="Q1164" s="318"/>
      <c r="R1164" s="318"/>
      <c r="S1164" s="318"/>
      <c r="T1164" s="318"/>
      <c r="U1164" s="318"/>
      <c r="V1164" s="318"/>
      <c r="W1164" s="318"/>
      <c r="X1164" s="318"/>
      <c r="Y1164" s="318"/>
      <c r="Z1164" s="318"/>
      <c r="AA1164" s="318"/>
      <c r="AB1164" s="318"/>
      <c r="AC1164" s="318"/>
      <c r="AD1164" s="318"/>
    </row>
    <row r="1165" spans="2:30" s="323" customFormat="1" ht="12" customHeight="1">
      <c r="B1165" s="324"/>
      <c r="C1165" s="325"/>
      <c r="D1165" s="326"/>
      <c r="E1165" s="326"/>
      <c r="F1165" s="326"/>
      <c r="G1165" s="326"/>
      <c r="H1165" s="326"/>
      <c r="P1165" s="318"/>
      <c r="Q1165" s="318"/>
      <c r="R1165" s="318"/>
      <c r="S1165" s="318"/>
      <c r="T1165" s="318"/>
      <c r="U1165" s="318"/>
      <c r="V1165" s="318"/>
      <c r="W1165" s="318"/>
      <c r="X1165" s="318"/>
      <c r="Y1165" s="318"/>
      <c r="Z1165" s="318"/>
      <c r="AA1165" s="318"/>
      <c r="AB1165" s="318"/>
      <c r="AC1165" s="318"/>
      <c r="AD1165" s="318"/>
    </row>
    <row r="1166" spans="2:30" s="323" customFormat="1" ht="12" customHeight="1">
      <c r="B1166" s="324"/>
      <c r="C1166" s="325"/>
      <c r="D1166" s="326"/>
      <c r="E1166" s="326"/>
      <c r="F1166" s="326"/>
      <c r="G1166" s="326"/>
      <c r="H1166" s="326"/>
      <c r="P1166" s="318"/>
      <c r="Q1166" s="318"/>
      <c r="R1166" s="318"/>
      <c r="S1166" s="318"/>
      <c r="T1166" s="318"/>
      <c r="U1166" s="318"/>
      <c r="V1166" s="318"/>
      <c r="W1166" s="318"/>
      <c r="X1166" s="318"/>
      <c r="Y1166" s="318"/>
      <c r="Z1166" s="318"/>
      <c r="AA1166" s="318"/>
      <c r="AB1166" s="318"/>
      <c r="AC1166" s="318"/>
      <c r="AD1166" s="318"/>
    </row>
    <row r="1167" spans="2:30" s="323" customFormat="1" ht="12" customHeight="1">
      <c r="B1167" s="324"/>
      <c r="C1167" s="325"/>
      <c r="D1167" s="326"/>
      <c r="E1167" s="326"/>
      <c r="F1167" s="326"/>
      <c r="G1167" s="326"/>
      <c r="H1167" s="326"/>
      <c r="P1167" s="318"/>
      <c r="Q1167" s="318"/>
      <c r="R1167" s="318"/>
      <c r="S1167" s="318"/>
      <c r="T1167" s="318"/>
      <c r="U1167" s="318"/>
      <c r="V1167" s="318"/>
      <c r="W1167" s="318"/>
      <c r="X1167" s="318"/>
      <c r="Y1167" s="318"/>
      <c r="Z1167" s="318"/>
      <c r="AA1167" s="318"/>
      <c r="AB1167" s="318"/>
      <c r="AC1167" s="318"/>
      <c r="AD1167" s="318"/>
    </row>
    <row r="1168" spans="2:30" s="323" customFormat="1" ht="12" customHeight="1">
      <c r="B1168" s="324"/>
      <c r="C1168" s="325"/>
      <c r="D1168" s="326"/>
      <c r="E1168" s="326"/>
      <c r="F1168" s="326"/>
      <c r="G1168" s="326"/>
      <c r="H1168" s="326"/>
      <c r="P1168" s="318"/>
      <c r="Q1168" s="318"/>
      <c r="R1168" s="318"/>
      <c r="S1168" s="318"/>
      <c r="T1168" s="318"/>
      <c r="U1168" s="318"/>
      <c r="V1168" s="318"/>
      <c r="W1168" s="318"/>
      <c r="X1168" s="318"/>
      <c r="Y1168" s="318"/>
      <c r="Z1168" s="318"/>
      <c r="AA1168" s="318"/>
      <c r="AB1168" s="318"/>
      <c r="AC1168" s="318"/>
      <c r="AD1168" s="318"/>
    </row>
    <row r="1169" spans="2:30" s="323" customFormat="1" ht="12" customHeight="1">
      <c r="B1169" s="324"/>
      <c r="C1169" s="325"/>
      <c r="D1169" s="326"/>
      <c r="E1169" s="326"/>
      <c r="F1169" s="326"/>
      <c r="G1169" s="326"/>
      <c r="H1169" s="326"/>
      <c r="P1169" s="318"/>
      <c r="Q1169" s="318"/>
      <c r="R1169" s="318"/>
      <c r="S1169" s="318"/>
      <c r="T1169" s="318"/>
      <c r="U1169" s="318"/>
      <c r="V1169" s="318"/>
      <c r="W1169" s="318"/>
      <c r="X1169" s="318"/>
      <c r="Y1169" s="318"/>
      <c r="Z1169" s="318"/>
      <c r="AA1169" s="318"/>
      <c r="AB1169" s="318"/>
      <c r="AC1169" s="318"/>
      <c r="AD1169" s="318"/>
    </row>
    <row r="1170" spans="2:30" s="323" customFormat="1" ht="12" customHeight="1">
      <c r="B1170" s="324"/>
      <c r="C1170" s="325"/>
      <c r="D1170" s="326"/>
      <c r="E1170" s="326"/>
      <c r="F1170" s="326"/>
      <c r="G1170" s="326"/>
      <c r="H1170" s="326"/>
      <c r="P1170" s="318"/>
      <c r="Q1170" s="318"/>
      <c r="R1170" s="318"/>
      <c r="S1170" s="318"/>
      <c r="T1170" s="318"/>
      <c r="U1170" s="318"/>
      <c r="V1170" s="318"/>
      <c r="W1170" s="318"/>
      <c r="X1170" s="318"/>
      <c r="Y1170" s="318"/>
      <c r="Z1170" s="318"/>
      <c r="AA1170" s="318"/>
      <c r="AB1170" s="318"/>
      <c r="AC1170" s="318"/>
      <c r="AD1170" s="318"/>
    </row>
    <row r="1171" spans="2:30" s="323" customFormat="1" ht="12" customHeight="1">
      <c r="B1171" s="324"/>
      <c r="C1171" s="325"/>
      <c r="D1171" s="326"/>
      <c r="E1171" s="326"/>
      <c r="F1171" s="326"/>
      <c r="G1171" s="326"/>
      <c r="H1171" s="326"/>
      <c r="P1171" s="318"/>
      <c r="Q1171" s="318"/>
      <c r="R1171" s="318"/>
      <c r="S1171" s="318"/>
      <c r="T1171" s="318"/>
      <c r="U1171" s="318"/>
      <c r="V1171" s="318"/>
      <c r="W1171" s="318"/>
      <c r="X1171" s="318"/>
      <c r="Y1171" s="318"/>
      <c r="Z1171" s="318"/>
      <c r="AA1171" s="318"/>
      <c r="AB1171" s="318"/>
      <c r="AC1171" s="318"/>
      <c r="AD1171" s="318"/>
    </row>
    <row r="1172" spans="2:30" s="323" customFormat="1" ht="12" customHeight="1">
      <c r="B1172" s="324"/>
      <c r="C1172" s="325"/>
      <c r="D1172" s="326"/>
      <c r="E1172" s="326"/>
      <c r="F1172" s="326"/>
      <c r="G1172" s="326"/>
      <c r="H1172" s="326"/>
      <c r="P1172" s="318"/>
      <c r="Q1172" s="318"/>
      <c r="R1172" s="318"/>
      <c r="S1172" s="318"/>
      <c r="T1172" s="318"/>
      <c r="U1172" s="318"/>
      <c r="V1172" s="318"/>
      <c r="W1172" s="318"/>
      <c r="X1172" s="318"/>
      <c r="Y1172" s="318"/>
      <c r="Z1172" s="318"/>
      <c r="AA1172" s="318"/>
      <c r="AB1172" s="318"/>
      <c r="AC1172" s="318"/>
      <c r="AD1172" s="318"/>
    </row>
    <row r="1173" spans="2:30" s="323" customFormat="1" ht="12" customHeight="1">
      <c r="B1173" s="324"/>
      <c r="C1173" s="325"/>
      <c r="D1173" s="326"/>
      <c r="E1173" s="326"/>
      <c r="F1173" s="326"/>
      <c r="G1173" s="326"/>
      <c r="H1173" s="326"/>
      <c r="P1173" s="318"/>
      <c r="Q1173" s="318"/>
      <c r="R1173" s="318"/>
      <c r="S1173" s="318"/>
      <c r="T1173" s="318"/>
      <c r="U1173" s="318"/>
      <c r="V1173" s="318"/>
      <c r="W1173" s="318"/>
      <c r="X1173" s="318"/>
      <c r="Y1173" s="318"/>
      <c r="Z1173" s="318"/>
      <c r="AA1173" s="318"/>
      <c r="AB1173" s="318"/>
      <c r="AC1173" s="318"/>
      <c r="AD1173" s="318"/>
    </row>
    <row r="1174" spans="2:30" s="323" customFormat="1" ht="12" customHeight="1">
      <c r="B1174" s="324"/>
      <c r="C1174" s="325"/>
      <c r="D1174" s="326"/>
      <c r="E1174" s="326"/>
      <c r="F1174" s="326"/>
      <c r="G1174" s="326"/>
      <c r="H1174" s="326"/>
      <c r="P1174" s="318"/>
      <c r="Q1174" s="318"/>
      <c r="R1174" s="318"/>
      <c r="S1174" s="318"/>
      <c r="T1174" s="318"/>
      <c r="U1174" s="318"/>
      <c r="V1174" s="318"/>
      <c r="W1174" s="318"/>
      <c r="X1174" s="318"/>
      <c r="Y1174" s="318"/>
      <c r="Z1174" s="318"/>
      <c r="AA1174" s="318"/>
      <c r="AB1174" s="318"/>
      <c r="AC1174" s="318"/>
      <c r="AD1174" s="318"/>
    </row>
    <row r="1175" spans="2:30" s="323" customFormat="1" ht="12" customHeight="1">
      <c r="B1175" s="324"/>
      <c r="C1175" s="325"/>
      <c r="D1175" s="326"/>
      <c r="E1175" s="326"/>
      <c r="F1175" s="326"/>
      <c r="G1175" s="326"/>
      <c r="H1175" s="326"/>
      <c r="P1175" s="318"/>
      <c r="Q1175" s="318"/>
      <c r="R1175" s="318"/>
      <c r="S1175" s="318"/>
      <c r="T1175" s="318"/>
      <c r="U1175" s="318"/>
      <c r="V1175" s="318"/>
      <c r="W1175" s="318"/>
      <c r="X1175" s="318"/>
      <c r="Y1175" s="318"/>
      <c r="Z1175" s="318"/>
      <c r="AA1175" s="318"/>
      <c r="AB1175" s="318"/>
      <c r="AC1175" s="318"/>
      <c r="AD1175" s="318"/>
    </row>
    <row r="1176" spans="2:30" s="323" customFormat="1" ht="12" customHeight="1">
      <c r="B1176" s="324"/>
      <c r="C1176" s="325"/>
      <c r="D1176" s="326"/>
      <c r="E1176" s="326"/>
      <c r="F1176" s="326"/>
      <c r="G1176" s="326"/>
      <c r="H1176" s="326"/>
      <c r="P1176" s="318"/>
      <c r="Q1176" s="318"/>
      <c r="R1176" s="318"/>
      <c r="S1176" s="318"/>
      <c r="T1176" s="318"/>
      <c r="U1176" s="318"/>
      <c r="V1176" s="318"/>
      <c r="W1176" s="318"/>
      <c r="X1176" s="318"/>
      <c r="Y1176" s="318"/>
      <c r="Z1176" s="318"/>
      <c r="AA1176" s="318"/>
      <c r="AB1176" s="318"/>
      <c r="AC1176" s="318"/>
      <c r="AD1176" s="318"/>
    </row>
    <row r="1177" spans="2:30" s="323" customFormat="1" ht="12" customHeight="1">
      <c r="B1177" s="324"/>
      <c r="C1177" s="325"/>
      <c r="D1177" s="326"/>
      <c r="E1177" s="326"/>
      <c r="F1177" s="326"/>
      <c r="G1177" s="326"/>
      <c r="H1177" s="326"/>
      <c r="P1177" s="318"/>
      <c r="Q1177" s="318"/>
      <c r="R1177" s="318"/>
      <c r="S1177" s="318"/>
      <c r="T1177" s="318"/>
      <c r="U1177" s="318"/>
      <c r="V1177" s="318"/>
      <c r="W1177" s="318"/>
      <c r="X1177" s="318"/>
      <c r="Y1177" s="318"/>
      <c r="Z1177" s="318"/>
      <c r="AA1177" s="318"/>
      <c r="AB1177" s="318"/>
      <c r="AC1177" s="318"/>
      <c r="AD1177" s="318"/>
    </row>
    <row r="1178" spans="2:30" s="323" customFormat="1" ht="12" customHeight="1">
      <c r="B1178" s="324"/>
      <c r="C1178" s="325"/>
      <c r="D1178" s="326"/>
      <c r="E1178" s="326"/>
      <c r="F1178" s="326"/>
      <c r="G1178" s="326"/>
      <c r="H1178" s="326"/>
      <c r="P1178" s="318"/>
      <c r="Q1178" s="318"/>
      <c r="R1178" s="318"/>
      <c r="S1178" s="318"/>
      <c r="T1178" s="318"/>
      <c r="U1178" s="318"/>
      <c r="V1178" s="318"/>
      <c r="W1178" s="318"/>
      <c r="X1178" s="318"/>
      <c r="Y1178" s="318"/>
      <c r="Z1178" s="318"/>
      <c r="AA1178" s="318"/>
      <c r="AB1178" s="318"/>
      <c r="AC1178" s="318"/>
      <c r="AD1178" s="318"/>
    </row>
    <row r="1179" spans="2:30" s="323" customFormat="1" ht="12" customHeight="1">
      <c r="B1179" s="324"/>
      <c r="C1179" s="325"/>
      <c r="D1179" s="326"/>
      <c r="E1179" s="326"/>
      <c r="F1179" s="326"/>
      <c r="G1179" s="326"/>
      <c r="H1179" s="326"/>
      <c r="P1179" s="318"/>
      <c r="Q1179" s="318"/>
      <c r="R1179" s="318"/>
      <c r="S1179" s="318"/>
      <c r="T1179" s="318"/>
      <c r="U1179" s="318"/>
      <c r="V1179" s="318"/>
      <c r="W1179" s="318"/>
      <c r="X1179" s="318"/>
      <c r="Y1179" s="318"/>
      <c r="Z1179" s="318"/>
      <c r="AA1179" s="318"/>
      <c r="AB1179" s="318"/>
      <c r="AC1179" s="318"/>
      <c r="AD1179" s="318"/>
    </row>
    <row r="1180" spans="2:30" s="323" customFormat="1" ht="12" customHeight="1">
      <c r="B1180" s="324"/>
      <c r="C1180" s="325"/>
      <c r="D1180" s="326"/>
      <c r="E1180" s="326"/>
      <c r="F1180" s="326"/>
      <c r="G1180" s="326"/>
      <c r="H1180" s="326"/>
      <c r="P1180" s="318"/>
      <c r="Q1180" s="318"/>
      <c r="R1180" s="318"/>
      <c r="S1180" s="318"/>
      <c r="T1180" s="318"/>
      <c r="U1180" s="318"/>
      <c r="V1180" s="318"/>
      <c r="W1180" s="318"/>
      <c r="X1180" s="318"/>
      <c r="Y1180" s="318"/>
      <c r="Z1180" s="318"/>
      <c r="AA1180" s="318"/>
      <c r="AB1180" s="318"/>
      <c r="AC1180" s="318"/>
      <c r="AD1180" s="318"/>
    </row>
    <row r="1181" spans="2:30" s="323" customFormat="1" ht="12" customHeight="1">
      <c r="B1181" s="324"/>
      <c r="C1181" s="325"/>
      <c r="D1181" s="326"/>
      <c r="E1181" s="326"/>
      <c r="F1181" s="326"/>
      <c r="G1181" s="326"/>
      <c r="H1181" s="326"/>
      <c r="P1181" s="318"/>
      <c r="Q1181" s="318"/>
      <c r="R1181" s="318"/>
      <c r="S1181" s="318"/>
      <c r="T1181" s="318"/>
      <c r="U1181" s="318"/>
      <c r="V1181" s="318"/>
      <c r="W1181" s="318"/>
      <c r="X1181" s="318"/>
      <c r="Y1181" s="318"/>
      <c r="Z1181" s="318"/>
      <c r="AA1181" s="318"/>
      <c r="AB1181" s="318"/>
      <c r="AC1181" s="318"/>
      <c r="AD1181" s="318"/>
    </row>
    <row r="1182" spans="2:30" s="323" customFormat="1" ht="12" customHeight="1">
      <c r="B1182" s="324"/>
      <c r="C1182" s="325"/>
      <c r="D1182" s="326"/>
      <c r="E1182" s="326"/>
      <c r="F1182" s="326"/>
      <c r="G1182" s="326"/>
      <c r="H1182" s="326"/>
      <c r="P1182" s="318"/>
      <c r="Q1182" s="318"/>
      <c r="R1182" s="318"/>
      <c r="S1182" s="318"/>
      <c r="T1182" s="318"/>
      <c r="U1182" s="318"/>
      <c r="V1182" s="318"/>
      <c r="W1182" s="318"/>
      <c r="X1182" s="318"/>
      <c r="Y1182" s="318"/>
      <c r="Z1182" s="318"/>
      <c r="AA1182" s="318"/>
      <c r="AB1182" s="318"/>
      <c r="AC1182" s="318"/>
      <c r="AD1182" s="318"/>
    </row>
    <row r="1183" spans="2:30" s="323" customFormat="1" ht="12" customHeight="1">
      <c r="B1183" s="324"/>
      <c r="C1183" s="325"/>
      <c r="D1183" s="326"/>
      <c r="E1183" s="326"/>
      <c r="F1183" s="326"/>
      <c r="G1183" s="326"/>
      <c r="H1183" s="326"/>
      <c r="P1183" s="318"/>
      <c r="Q1183" s="318"/>
      <c r="R1183" s="318"/>
      <c r="S1183" s="318"/>
      <c r="T1183" s="318"/>
      <c r="U1183" s="318"/>
      <c r="V1183" s="318"/>
      <c r="W1183" s="318"/>
      <c r="X1183" s="318"/>
      <c r="Y1183" s="318"/>
      <c r="Z1183" s="318"/>
      <c r="AA1183" s="318"/>
      <c r="AB1183" s="318"/>
      <c r="AC1183" s="318"/>
      <c r="AD1183" s="318"/>
    </row>
    <row r="1184" spans="2:30" s="323" customFormat="1" ht="12" customHeight="1">
      <c r="B1184" s="324"/>
      <c r="C1184" s="325"/>
      <c r="D1184" s="326"/>
      <c r="E1184" s="326"/>
      <c r="F1184" s="326"/>
      <c r="G1184" s="326"/>
      <c r="H1184" s="326"/>
      <c r="P1184" s="318"/>
      <c r="Q1184" s="318"/>
      <c r="R1184" s="318"/>
      <c r="S1184" s="318"/>
      <c r="T1184" s="318"/>
      <c r="U1184" s="318"/>
      <c r="V1184" s="318"/>
      <c r="W1184" s="318"/>
      <c r="X1184" s="318"/>
      <c r="Y1184" s="318"/>
      <c r="Z1184" s="318"/>
      <c r="AA1184" s="318"/>
      <c r="AB1184" s="318"/>
      <c r="AC1184" s="318"/>
      <c r="AD1184" s="318"/>
    </row>
    <row r="1185" spans="2:30" s="323" customFormat="1" ht="12" customHeight="1">
      <c r="B1185" s="324"/>
      <c r="C1185" s="325"/>
      <c r="D1185" s="326"/>
      <c r="E1185" s="326"/>
      <c r="F1185" s="326"/>
      <c r="G1185" s="326"/>
      <c r="H1185" s="326"/>
      <c r="P1185" s="318"/>
      <c r="Q1185" s="318"/>
      <c r="R1185" s="318"/>
      <c r="S1185" s="318"/>
      <c r="T1185" s="318"/>
      <c r="U1185" s="318"/>
      <c r="V1185" s="318"/>
      <c r="W1185" s="318"/>
      <c r="X1185" s="318"/>
      <c r="Y1185" s="318"/>
      <c r="Z1185" s="318"/>
      <c r="AA1185" s="318"/>
      <c r="AB1185" s="318"/>
      <c r="AC1185" s="318"/>
      <c r="AD1185" s="318"/>
    </row>
    <row r="1186" spans="2:30" s="323" customFormat="1" ht="12" customHeight="1">
      <c r="B1186" s="324"/>
      <c r="C1186" s="325"/>
      <c r="D1186" s="326"/>
      <c r="E1186" s="326"/>
      <c r="F1186" s="326"/>
      <c r="G1186" s="326"/>
      <c r="H1186" s="326"/>
      <c r="P1186" s="318"/>
      <c r="Q1186" s="318"/>
      <c r="R1186" s="318"/>
      <c r="S1186" s="318"/>
      <c r="T1186" s="318"/>
      <c r="U1186" s="318"/>
      <c r="V1186" s="318"/>
      <c r="W1186" s="318"/>
      <c r="X1186" s="318"/>
      <c r="Y1186" s="318"/>
      <c r="Z1186" s="318"/>
      <c r="AA1186" s="318"/>
      <c r="AB1186" s="318"/>
      <c r="AC1186" s="318"/>
      <c r="AD1186" s="318"/>
    </row>
    <row r="1187" spans="2:30" s="323" customFormat="1" ht="12" customHeight="1">
      <c r="B1187" s="324"/>
      <c r="C1187" s="325"/>
      <c r="D1187" s="326"/>
      <c r="E1187" s="326"/>
      <c r="F1187" s="326"/>
      <c r="G1187" s="326"/>
      <c r="H1187" s="326"/>
      <c r="P1187" s="318"/>
      <c r="Q1187" s="318"/>
      <c r="R1187" s="318"/>
      <c r="S1187" s="318"/>
      <c r="T1187" s="318"/>
      <c r="U1187" s="318"/>
      <c r="V1187" s="318"/>
      <c r="W1187" s="318"/>
      <c r="X1187" s="318"/>
      <c r="Y1187" s="318"/>
      <c r="Z1187" s="318"/>
      <c r="AA1187" s="318"/>
      <c r="AB1187" s="318"/>
      <c r="AC1187" s="318"/>
      <c r="AD1187" s="318"/>
    </row>
    <row r="1188" spans="2:30" s="323" customFormat="1" ht="12" customHeight="1">
      <c r="B1188" s="324"/>
      <c r="C1188" s="325"/>
      <c r="D1188" s="326"/>
      <c r="E1188" s="326"/>
      <c r="F1188" s="326"/>
      <c r="G1188" s="326"/>
      <c r="H1188" s="326"/>
      <c r="P1188" s="318"/>
      <c r="Q1188" s="318"/>
      <c r="R1188" s="318"/>
      <c r="S1188" s="318"/>
      <c r="T1188" s="318"/>
      <c r="U1188" s="318"/>
      <c r="V1188" s="318"/>
      <c r="W1188" s="318"/>
      <c r="X1188" s="318"/>
      <c r="Y1188" s="318"/>
      <c r="Z1188" s="318"/>
      <c r="AA1188" s="318"/>
      <c r="AB1188" s="318"/>
      <c r="AC1188" s="318"/>
      <c r="AD1188" s="318"/>
    </row>
    <row r="1189" spans="2:30" s="323" customFormat="1" ht="12" customHeight="1">
      <c r="B1189" s="324"/>
      <c r="C1189" s="325"/>
      <c r="D1189" s="326"/>
      <c r="E1189" s="326"/>
      <c r="F1189" s="326"/>
      <c r="G1189" s="326"/>
      <c r="H1189" s="326"/>
      <c r="P1189" s="318"/>
      <c r="Q1189" s="318"/>
      <c r="R1189" s="318"/>
      <c r="S1189" s="318"/>
      <c r="T1189" s="318"/>
      <c r="U1189" s="318"/>
      <c r="V1189" s="318"/>
      <c r="W1189" s="318"/>
      <c r="X1189" s="318"/>
      <c r="Y1189" s="318"/>
      <c r="Z1189" s="318"/>
      <c r="AA1189" s="318"/>
      <c r="AB1189" s="318"/>
      <c r="AC1189" s="318"/>
      <c r="AD1189" s="318"/>
    </row>
    <row r="1190" spans="2:30" s="323" customFormat="1" ht="12" customHeight="1">
      <c r="B1190" s="324"/>
      <c r="C1190" s="325"/>
      <c r="D1190" s="326"/>
      <c r="E1190" s="326"/>
      <c r="F1190" s="326"/>
      <c r="G1190" s="326"/>
      <c r="H1190" s="326"/>
      <c r="P1190" s="318"/>
      <c r="Q1190" s="318"/>
      <c r="R1190" s="318"/>
      <c r="S1190" s="318"/>
      <c r="T1190" s="318"/>
      <c r="U1190" s="318"/>
      <c r="V1190" s="318"/>
      <c r="W1190" s="318"/>
      <c r="X1190" s="318"/>
      <c r="Y1190" s="318"/>
      <c r="Z1190" s="318"/>
      <c r="AA1190" s="318"/>
      <c r="AB1190" s="318"/>
      <c r="AC1190" s="318"/>
      <c r="AD1190" s="318"/>
    </row>
    <row r="1191" spans="2:30" s="323" customFormat="1" ht="12" customHeight="1">
      <c r="B1191" s="324"/>
      <c r="C1191" s="325"/>
      <c r="D1191" s="326"/>
      <c r="E1191" s="326"/>
      <c r="F1191" s="326"/>
      <c r="G1191" s="326"/>
      <c r="H1191" s="326"/>
      <c r="P1191" s="318"/>
      <c r="Q1191" s="318"/>
      <c r="R1191" s="318"/>
      <c r="S1191" s="318"/>
      <c r="T1191" s="318"/>
      <c r="U1191" s="318"/>
      <c r="V1191" s="318"/>
      <c r="W1191" s="318"/>
      <c r="X1191" s="318"/>
      <c r="Y1191" s="318"/>
      <c r="Z1191" s="318"/>
      <c r="AA1191" s="318"/>
      <c r="AB1191" s="318"/>
      <c r="AC1191" s="318"/>
      <c r="AD1191" s="318"/>
    </row>
    <row r="1192" spans="2:30" s="323" customFormat="1" ht="12" customHeight="1">
      <c r="B1192" s="324"/>
      <c r="C1192" s="325"/>
      <c r="D1192" s="326"/>
      <c r="E1192" s="326"/>
      <c r="F1192" s="326"/>
      <c r="G1192" s="326"/>
      <c r="H1192" s="326"/>
      <c r="P1192" s="318"/>
      <c r="Q1192" s="318"/>
      <c r="R1192" s="318"/>
      <c r="S1192" s="318"/>
      <c r="T1192" s="318"/>
      <c r="U1192" s="318"/>
      <c r="V1192" s="318"/>
      <c r="W1192" s="318"/>
      <c r="X1192" s="318"/>
      <c r="Y1192" s="318"/>
      <c r="Z1192" s="318"/>
      <c r="AA1192" s="318"/>
      <c r="AB1192" s="318"/>
      <c r="AC1192" s="318"/>
      <c r="AD1192" s="318"/>
    </row>
    <row r="1193" spans="2:30" s="323" customFormat="1" ht="12" customHeight="1">
      <c r="B1193" s="324"/>
      <c r="C1193" s="325"/>
      <c r="D1193" s="326"/>
      <c r="E1193" s="326"/>
      <c r="F1193" s="326"/>
      <c r="G1193" s="326"/>
      <c r="H1193" s="326"/>
      <c r="P1193" s="318"/>
      <c r="Q1193" s="318"/>
      <c r="R1193" s="318"/>
      <c r="S1193" s="318"/>
      <c r="T1193" s="318"/>
      <c r="U1193" s="318"/>
      <c r="V1193" s="318"/>
      <c r="W1193" s="318"/>
      <c r="X1193" s="318"/>
      <c r="Y1193" s="318"/>
      <c r="Z1193" s="318"/>
      <c r="AA1193" s="318"/>
      <c r="AB1193" s="318"/>
      <c r="AC1193" s="318"/>
      <c r="AD1193" s="318"/>
    </row>
    <row r="1194" spans="2:30" s="323" customFormat="1" ht="12" customHeight="1">
      <c r="B1194" s="324"/>
      <c r="C1194" s="325"/>
      <c r="D1194" s="326"/>
      <c r="E1194" s="326"/>
      <c r="F1194" s="326"/>
      <c r="G1194" s="326"/>
      <c r="H1194" s="326"/>
      <c r="P1194" s="318"/>
      <c r="Q1194" s="318"/>
      <c r="R1194" s="318"/>
      <c r="S1194" s="318"/>
      <c r="T1194" s="318"/>
      <c r="U1194" s="318"/>
      <c r="V1194" s="318"/>
      <c r="W1194" s="318"/>
      <c r="X1194" s="318"/>
      <c r="Y1194" s="318"/>
      <c r="Z1194" s="318"/>
      <c r="AA1194" s="318"/>
      <c r="AB1194" s="318"/>
      <c r="AC1194" s="318"/>
      <c r="AD1194" s="318"/>
    </row>
    <row r="1195" spans="2:30" s="323" customFormat="1" ht="12" customHeight="1">
      <c r="B1195" s="324"/>
      <c r="C1195" s="325"/>
      <c r="D1195" s="326"/>
      <c r="E1195" s="326"/>
      <c r="F1195" s="326"/>
      <c r="G1195" s="326"/>
      <c r="H1195" s="326"/>
      <c r="P1195" s="318"/>
      <c r="Q1195" s="318"/>
      <c r="R1195" s="318"/>
      <c r="S1195" s="318"/>
      <c r="T1195" s="318"/>
      <c r="U1195" s="318"/>
      <c r="V1195" s="318"/>
      <c r="W1195" s="318"/>
      <c r="X1195" s="318"/>
      <c r="Y1195" s="318"/>
      <c r="Z1195" s="318"/>
      <c r="AA1195" s="318"/>
      <c r="AB1195" s="318"/>
      <c r="AC1195" s="318"/>
      <c r="AD1195" s="318"/>
    </row>
    <row r="1196" spans="2:30" s="323" customFormat="1" ht="12" customHeight="1">
      <c r="B1196" s="324"/>
      <c r="C1196" s="325"/>
      <c r="D1196" s="326"/>
      <c r="E1196" s="326"/>
      <c r="F1196" s="326"/>
      <c r="G1196" s="326"/>
      <c r="H1196" s="326"/>
      <c r="P1196" s="318"/>
      <c r="Q1196" s="318"/>
      <c r="R1196" s="318"/>
      <c r="S1196" s="318"/>
      <c r="T1196" s="318"/>
      <c r="U1196" s="318"/>
      <c r="V1196" s="318"/>
      <c r="W1196" s="318"/>
      <c r="X1196" s="318"/>
      <c r="Y1196" s="318"/>
      <c r="Z1196" s="318"/>
      <c r="AA1196" s="318"/>
      <c r="AB1196" s="318"/>
      <c r="AC1196" s="318"/>
      <c r="AD1196" s="318"/>
    </row>
    <row r="1197" spans="2:30" s="323" customFormat="1" ht="12" customHeight="1">
      <c r="B1197" s="324"/>
      <c r="C1197" s="325"/>
      <c r="D1197" s="326"/>
      <c r="E1197" s="326"/>
      <c r="F1197" s="326"/>
      <c r="G1197" s="326"/>
      <c r="H1197" s="326"/>
      <c r="P1197" s="318"/>
      <c r="Q1197" s="318"/>
      <c r="R1197" s="318"/>
      <c r="S1197" s="318"/>
      <c r="T1197" s="318"/>
      <c r="U1197" s="318"/>
      <c r="V1197" s="318"/>
      <c r="W1197" s="318"/>
      <c r="X1197" s="318"/>
      <c r="Y1197" s="318"/>
      <c r="Z1197" s="318"/>
      <c r="AA1197" s="318"/>
      <c r="AB1197" s="318"/>
      <c r="AC1197" s="318"/>
      <c r="AD1197" s="318"/>
    </row>
    <row r="1198" spans="2:30" s="323" customFormat="1" ht="12" customHeight="1">
      <c r="B1198" s="324"/>
      <c r="C1198" s="325"/>
      <c r="D1198" s="326"/>
      <c r="E1198" s="326"/>
      <c r="F1198" s="326"/>
      <c r="G1198" s="326"/>
      <c r="H1198" s="326"/>
      <c r="P1198" s="318"/>
      <c r="Q1198" s="318"/>
      <c r="R1198" s="318"/>
      <c r="S1198" s="318"/>
      <c r="T1198" s="318"/>
      <c r="U1198" s="318"/>
      <c r="V1198" s="318"/>
      <c r="W1198" s="318"/>
      <c r="X1198" s="318"/>
      <c r="Y1198" s="318"/>
      <c r="Z1198" s="318"/>
      <c r="AA1198" s="318"/>
      <c r="AB1198" s="318"/>
      <c r="AC1198" s="318"/>
      <c r="AD1198" s="318"/>
    </row>
    <row r="1199" spans="2:30" s="323" customFormat="1" ht="12" customHeight="1">
      <c r="B1199" s="324"/>
      <c r="C1199" s="325"/>
      <c r="D1199" s="326"/>
      <c r="E1199" s="326"/>
      <c r="F1199" s="326"/>
      <c r="G1199" s="326"/>
      <c r="H1199" s="326"/>
      <c r="P1199" s="318"/>
      <c r="Q1199" s="318"/>
      <c r="R1199" s="318"/>
      <c r="S1199" s="318"/>
      <c r="T1199" s="318"/>
      <c r="U1199" s="318"/>
      <c r="V1199" s="318"/>
      <c r="W1199" s="318"/>
      <c r="X1199" s="318"/>
      <c r="Y1199" s="318"/>
      <c r="Z1199" s="318"/>
      <c r="AA1199" s="318"/>
      <c r="AB1199" s="318"/>
      <c r="AC1199" s="318"/>
      <c r="AD1199" s="318"/>
    </row>
    <row r="1200" spans="2:30" s="323" customFormat="1" ht="12" customHeight="1">
      <c r="B1200" s="324"/>
      <c r="C1200" s="325"/>
      <c r="D1200" s="326"/>
      <c r="E1200" s="326"/>
      <c r="F1200" s="326"/>
      <c r="G1200" s="326"/>
      <c r="H1200" s="326"/>
      <c r="P1200" s="318"/>
      <c r="Q1200" s="318"/>
      <c r="R1200" s="318"/>
      <c r="S1200" s="318"/>
      <c r="T1200" s="318"/>
      <c r="U1200" s="318"/>
      <c r="V1200" s="318"/>
      <c r="W1200" s="318"/>
      <c r="X1200" s="318"/>
      <c r="Y1200" s="318"/>
      <c r="Z1200" s="318"/>
      <c r="AA1200" s="318"/>
      <c r="AB1200" s="318"/>
      <c r="AC1200" s="318"/>
      <c r="AD1200" s="318"/>
    </row>
    <row r="1201" spans="2:30" s="323" customFormat="1" ht="12" customHeight="1">
      <c r="B1201" s="324"/>
      <c r="C1201" s="325"/>
      <c r="D1201" s="326"/>
      <c r="E1201" s="326"/>
      <c r="F1201" s="326"/>
      <c r="G1201" s="326"/>
      <c r="H1201" s="326"/>
      <c r="P1201" s="318"/>
      <c r="Q1201" s="318"/>
      <c r="R1201" s="318"/>
      <c r="S1201" s="318"/>
      <c r="T1201" s="318"/>
      <c r="U1201" s="318"/>
      <c r="V1201" s="318"/>
      <c r="W1201" s="318"/>
      <c r="X1201" s="318"/>
      <c r="Y1201" s="318"/>
      <c r="Z1201" s="318"/>
      <c r="AA1201" s="318"/>
      <c r="AB1201" s="318"/>
      <c r="AC1201" s="318"/>
      <c r="AD1201" s="318"/>
    </row>
    <row r="1202" spans="2:30" s="323" customFormat="1" ht="12" customHeight="1">
      <c r="B1202" s="324"/>
      <c r="C1202" s="325"/>
      <c r="D1202" s="326"/>
      <c r="E1202" s="326"/>
      <c r="F1202" s="326"/>
      <c r="G1202" s="326"/>
      <c r="H1202" s="326"/>
      <c r="P1202" s="318"/>
      <c r="Q1202" s="318"/>
      <c r="R1202" s="318"/>
      <c r="S1202" s="318"/>
      <c r="T1202" s="318"/>
      <c r="U1202" s="318"/>
      <c r="V1202" s="318"/>
      <c r="W1202" s="318"/>
      <c r="X1202" s="318"/>
      <c r="Y1202" s="318"/>
      <c r="Z1202" s="318"/>
      <c r="AA1202" s="318"/>
      <c r="AB1202" s="318"/>
      <c r="AC1202" s="318"/>
      <c r="AD1202" s="318"/>
    </row>
    <row r="1203" spans="2:30" s="323" customFormat="1" ht="12" customHeight="1">
      <c r="B1203" s="324"/>
      <c r="C1203" s="325"/>
      <c r="D1203" s="326"/>
      <c r="E1203" s="326"/>
      <c r="F1203" s="326"/>
      <c r="G1203" s="326"/>
      <c r="H1203" s="326"/>
      <c r="P1203" s="318"/>
      <c r="Q1203" s="318"/>
      <c r="R1203" s="318"/>
      <c r="S1203" s="318"/>
      <c r="T1203" s="318"/>
      <c r="U1203" s="318"/>
      <c r="V1203" s="318"/>
      <c r="W1203" s="318"/>
      <c r="X1203" s="318"/>
      <c r="Y1203" s="318"/>
      <c r="Z1203" s="318"/>
      <c r="AA1203" s="318"/>
      <c r="AB1203" s="318"/>
      <c r="AC1203" s="318"/>
      <c r="AD1203" s="318"/>
    </row>
    <row r="1204" spans="2:30" s="323" customFormat="1" ht="12" customHeight="1">
      <c r="B1204" s="324"/>
      <c r="C1204" s="325"/>
      <c r="D1204" s="326"/>
      <c r="E1204" s="326"/>
      <c r="F1204" s="326"/>
      <c r="G1204" s="326"/>
      <c r="H1204" s="326"/>
      <c r="P1204" s="318"/>
      <c r="Q1204" s="318"/>
      <c r="R1204" s="318"/>
      <c r="S1204" s="318"/>
      <c r="T1204" s="318"/>
      <c r="U1204" s="318"/>
      <c r="V1204" s="318"/>
      <c r="W1204" s="318"/>
      <c r="X1204" s="318"/>
      <c r="Y1204" s="318"/>
      <c r="Z1204" s="318"/>
      <c r="AA1204" s="318"/>
      <c r="AB1204" s="318"/>
      <c r="AC1204" s="318"/>
      <c r="AD1204" s="318"/>
    </row>
    <row r="1205" spans="2:30" s="323" customFormat="1" ht="12" customHeight="1">
      <c r="B1205" s="324"/>
      <c r="C1205" s="325"/>
      <c r="D1205" s="326"/>
      <c r="E1205" s="326"/>
      <c r="F1205" s="326"/>
      <c r="G1205" s="326"/>
      <c r="H1205" s="326"/>
      <c r="P1205" s="318"/>
      <c r="Q1205" s="318"/>
      <c r="R1205" s="318"/>
      <c r="S1205" s="318"/>
      <c r="T1205" s="318"/>
      <c r="U1205" s="318"/>
      <c r="V1205" s="318"/>
      <c r="W1205" s="318"/>
      <c r="X1205" s="318"/>
      <c r="Y1205" s="318"/>
      <c r="Z1205" s="318"/>
      <c r="AA1205" s="318"/>
      <c r="AB1205" s="318"/>
      <c r="AC1205" s="318"/>
      <c r="AD1205" s="318"/>
    </row>
    <row r="1206" spans="2:30" s="323" customFormat="1" ht="12" customHeight="1">
      <c r="B1206" s="324"/>
      <c r="C1206" s="325"/>
      <c r="D1206" s="326"/>
      <c r="E1206" s="326"/>
      <c r="F1206" s="326"/>
      <c r="G1206" s="326"/>
      <c r="H1206" s="326"/>
      <c r="P1206" s="318"/>
      <c r="Q1206" s="318"/>
      <c r="R1206" s="318"/>
      <c r="S1206" s="318"/>
      <c r="T1206" s="318"/>
      <c r="U1206" s="318"/>
      <c r="V1206" s="318"/>
      <c r="W1206" s="318"/>
      <c r="X1206" s="318"/>
      <c r="Y1206" s="318"/>
      <c r="Z1206" s="318"/>
      <c r="AA1206" s="318"/>
      <c r="AB1206" s="318"/>
      <c r="AC1206" s="318"/>
      <c r="AD1206" s="318"/>
    </row>
    <row r="1207" spans="2:30" s="323" customFormat="1" ht="12" customHeight="1">
      <c r="B1207" s="324"/>
      <c r="C1207" s="325"/>
      <c r="D1207" s="326"/>
      <c r="E1207" s="326"/>
      <c r="F1207" s="326"/>
      <c r="G1207" s="326"/>
      <c r="H1207" s="326"/>
      <c r="P1207" s="318"/>
      <c r="Q1207" s="318"/>
      <c r="R1207" s="318"/>
      <c r="S1207" s="318"/>
      <c r="T1207" s="318"/>
      <c r="U1207" s="318"/>
      <c r="V1207" s="318"/>
      <c r="W1207" s="318"/>
      <c r="X1207" s="318"/>
      <c r="Y1207" s="318"/>
      <c r="Z1207" s="318"/>
      <c r="AA1207" s="318"/>
      <c r="AB1207" s="318"/>
      <c r="AC1207" s="318"/>
      <c r="AD1207" s="318"/>
    </row>
    <row r="1208" spans="2:30" s="323" customFormat="1" ht="12" customHeight="1">
      <c r="B1208" s="324"/>
      <c r="C1208" s="325"/>
      <c r="D1208" s="326"/>
      <c r="E1208" s="326"/>
      <c r="F1208" s="326"/>
      <c r="G1208" s="326"/>
      <c r="H1208" s="326"/>
      <c r="P1208" s="318"/>
      <c r="Q1208" s="318"/>
      <c r="R1208" s="318"/>
      <c r="S1208" s="318"/>
      <c r="T1208" s="318"/>
      <c r="U1208" s="318"/>
      <c r="V1208" s="318"/>
      <c r="W1208" s="318"/>
      <c r="X1208" s="318"/>
      <c r="Y1208" s="318"/>
      <c r="Z1208" s="318"/>
      <c r="AA1208" s="318"/>
      <c r="AB1208" s="318"/>
      <c r="AC1208" s="318"/>
      <c r="AD1208" s="318"/>
    </row>
    <row r="1209" spans="2:30" s="323" customFormat="1" ht="12" customHeight="1">
      <c r="B1209" s="324"/>
      <c r="C1209" s="325"/>
      <c r="D1209" s="326"/>
      <c r="E1209" s="326"/>
      <c r="F1209" s="326"/>
      <c r="G1209" s="326"/>
      <c r="H1209" s="326"/>
      <c r="P1209" s="318"/>
      <c r="Q1209" s="318"/>
      <c r="R1209" s="318"/>
      <c r="S1209" s="318"/>
      <c r="T1209" s="318"/>
      <c r="U1209" s="318"/>
      <c r="V1209" s="318"/>
      <c r="W1209" s="318"/>
      <c r="X1209" s="318"/>
      <c r="Y1209" s="318"/>
      <c r="Z1209" s="318"/>
      <c r="AA1209" s="318"/>
      <c r="AB1209" s="318"/>
      <c r="AC1209" s="318"/>
      <c r="AD1209" s="318"/>
    </row>
    <row r="1210" spans="2:30" s="323" customFormat="1" ht="12" customHeight="1">
      <c r="B1210" s="324"/>
      <c r="C1210" s="325"/>
      <c r="D1210" s="326"/>
      <c r="E1210" s="326"/>
      <c r="F1210" s="326"/>
      <c r="G1210" s="326"/>
      <c r="H1210" s="326"/>
      <c r="P1210" s="318"/>
      <c r="Q1210" s="318"/>
      <c r="R1210" s="318"/>
      <c r="S1210" s="318"/>
      <c r="T1210" s="318"/>
      <c r="U1210" s="318"/>
      <c r="V1210" s="318"/>
      <c r="W1210" s="318"/>
      <c r="X1210" s="318"/>
      <c r="Y1210" s="318"/>
      <c r="Z1210" s="318"/>
      <c r="AA1210" s="318"/>
      <c r="AB1210" s="318"/>
      <c r="AC1210" s="318"/>
      <c r="AD1210" s="318"/>
    </row>
    <row r="1211" spans="2:30" s="323" customFormat="1" ht="12" customHeight="1">
      <c r="B1211" s="324"/>
      <c r="C1211" s="325"/>
      <c r="D1211" s="326"/>
      <c r="E1211" s="326"/>
      <c r="F1211" s="326"/>
      <c r="G1211" s="326"/>
      <c r="H1211" s="326"/>
      <c r="P1211" s="318"/>
      <c r="Q1211" s="318"/>
      <c r="R1211" s="318"/>
      <c r="S1211" s="318"/>
      <c r="T1211" s="318"/>
      <c r="U1211" s="318"/>
      <c r="V1211" s="318"/>
      <c r="W1211" s="318"/>
      <c r="X1211" s="318"/>
      <c r="Y1211" s="318"/>
      <c r="Z1211" s="318"/>
      <c r="AA1211" s="318"/>
      <c r="AB1211" s="318"/>
      <c r="AC1211" s="318"/>
      <c r="AD1211" s="318"/>
    </row>
    <row r="1212" spans="2:30" s="323" customFormat="1" ht="12" customHeight="1">
      <c r="B1212" s="324"/>
      <c r="C1212" s="325"/>
      <c r="D1212" s="326"/>
      <c r="E1212" s="326"/>
      <c r="F1212" s="326"/>
      <c r="G1212" s="326"/>
      <c r="H1212" s="326"/>
      <c r="P1212" s="318"/>
      <c r="Q1212" s="318"/>
      <c r="R1212" s="318"/>
      <c r="S1212" s="318"/>
      <c r="T1212" s="318"/>
      <c r="U1212" s="318"/>
      <c r="V1212" s="318"/>
      <c r="W1212" s="318"/>
      <c r="X1212" s="318"/>
      <c r="Y1212" s="318"/>
      <c r="Z1212" s="318"/>
      <c r="AA1212" s="318"/>
      <c r="AB1212" s="318"/>
      <c r="AC1212" s="318"/>
      <c r="AD1212" s="318"/>
    </row>
    <row r="1213" spans="2:30" s="323" customFormat="1" ht="12" customHeight="1">
      <c r="B1213" s="324"/>
      <c r="C1213" s="325"/>
      <c r="D1213" s="326"/>
      <c r="E1213" s="326"/>
      <c r="F1213" s="326"/>
      <c r="G1213" s="326"/>
      <c r="H1213" s="326"/>
      <c r="P1213" s="318"/>
      <c r="Q1213" s="318"/>
      <c r="R1213" s="318"/>
      <c r="S1213" s="318"/>
      <c r="T1213" s="318"/>
      <c r="U1213" s="318"/>
      <c r="V1213" s="318"/>
      <c r="W1213" s="318"/>
      <c r="X1213" s="318"/>
      <c r="Y1213" s="318"/>
      <c r="Z1213" s="318"/>
      <c r="AA1213" s="318"/>
      <c r="AB1213" s="318"/>
      <c r="AC1213" s="318"/>
      <c r="AD1213" s="318"/>
    </row>
    <row r="1214" spans="2:30" s="323" customFormat="1" ht="12" customHeight="1">
      <c r="B1214" s="324"/>
      <c r="C1214" s="325"/>
      <c r="D1214" s="326"/>
      <c r="E1214" s="326"/>
      <c r="F1214" s="326"/>
      <c r="G1214" s="326"/>
      <c r="H1214" s="326"/>
      <c r="P1214" s="318"/>
      <c r="Q1214" s="318"/>
      <c r="R1214" s="318"/>
      <c r="S1214" s="318"/>
      <c r="T1214" s="318"/>
      <c r="U1214" s="318"/>
      <c r="V1214" s="318"/>
      <c r="W1214" s="318"/>
      <c r="X1214" s="318"/>
      <c r="Y1214" s="318"/>
      <c r="Z1214" s="318"/>
      <c r="AA1214" s="318"/>
      <c r="AB1214" s="318"/>
      <c r="AC1214" s="318"/>
      <c r="AD1214" s="318"/>
    </row>
    <row r="1215" spans="2:30" s="323" customFormat="1" ht="12" customHeight="1">
      <c r="B1215" s="324"/>
      <c r="C1215" s="325"/>
      <c r="D1215" s="326"/>
      <c r="E1215" s="326"/>
      <c r="F1215" s="326"/>
      <c r="G1215" s="326"/>
      <c r="H1215" s="326"/>
      <c r="P1215" s="318"/>
      <c r="Q1215" s="318"/>
      <c r="R1215" s="318"/>
      <c r="S1215" s="318"/>
      <c r="T1215" s="318"/>
      <c r="U1215" s="318"/>
      <c r="V1215" s="318"/>
      <c r="W1215" s="318"/>
      <c r="X1215" s="318"/>
      <c r="Y1215" s="318"/>
      <c r="Z1215" s="318"/>
      <c r="AA1215" s="318"/>
      <c r="AB1215" s="318"/>
      <c r="AC1215" s="318"/>
      <c r="AD1215" s="318"/>
    </row>
    <row r="1216" spans="2:30" s="323" customFormat="1" ht="12" customHeight="1">
      <c r="B1216" s="324"/>
      <c r="C1216" s="325"/>
      <c r="D1216" s="326"/>
      <c r="E1216" s="326"/>
      <c r="F1216" s="326"/>
      <c r="G1216" s="326"/>
      <c r="H1216" s="326"/>
      <c r="P1216" s="318"/>
      <c r="Q1216" s="318"/>
      <c r="R1216" s="318"/>
      <c r="S1216" s="318"/>
      <c r="T1216" s="318"/>
      <c r="U1216" s="318"/>
      <c r="V1216" s="318"/>
      <c r="W1216" s="318"/>
      <c r="X1216" s="318"/>
      <c r="Y1216" s="318"/>
      <c r="Z1216" s="318"/>
      <c r="AA1216" s="318"/>
      <c r="AB1216" s="318"/>
      <c r="AC1216" s="318"/>
      <c r="AD1216" s="318"/>
    </row>
    <row r="1217" spans="2:30" s="323" customFormat="1" ht="12" customHeight="1">
      <c r="B1217" s="324"/>
      <c r="C1217" s="325"/>
      <c r="D1217" s="326"/>
      <c r="E1217" s="326"/>
      <c r="F1217" s="326"/>
      <c r="G1217" s="326"/>
      <c r="H1217" s="326"/>
      <c r="P1217" s="318"/>
      <c r="Q1217" s="318"/>
      <c r="R1217" s="318"/>
      <c r="S1217" s="318"/>
      <c r="T1217" s="318"/>
      <c r="U1217" s="318"/>
      <c r="V1217" s="318"/>
      <c r="W1217" s="318"/>
      <c r="X1217" s="318"/>
      <c r="Y1217" s="318"/>
      <c r="Z1217" s="318"/>
      <c r="AA1217" s="318"/>
      <c r="AB1217" s="318"/>
      <c r="AC1217" s="318"/>
      <c r="AD1217" s="318"/>
    </row>
    <row r="1218" spans="2:30" s="323" customFormat="1" ht="12" customHeight="1">
      <c r="B1218" s="324"/>
      <c r="C1218" s="325"/>
      <c r="D1218" s="326"/>
      <c r="E1218" s="326"/>
      <c r="F1218" s="326"/>
      <c r="G1218" s="326"/>
      <c r="H1218" s="326"/>
      <c r="P1218" s="318"/>
      <c r="Q1218" s="318"/>
      <c r="R1218" s="318"/>
      <c r="S1218" s="318"/>
      <c r="T1218" s="318"/>
      <c r="U1218" s="318"/>
      <c r="V1218" s="318"/>
      <c r="W1218" s="318"/>
      <c r="X1218" s="318"/>
      <c r="Y1218" s="318"/>
      <c r="Z1218" s="318"/>
      <c r="AA1218" s="318"/>
      <c r="AB1218" s="318"/>
      <c r="AC1218" s="318"/>
      <c r="AD1218" s="318"/>
    </row>
    <row r="1219" spans="2:30" s="323" customFormat="1" ht="12" customHeight="1">
      <c r="B1219" s="324"/>
      <c r="C1219" s="325"/>
      <c r="D1219" s="326"/>
      <c r="E1219" s="326"/>
      <c r="F1219" s="326"/>
      <c r="G1219" s="326"/>
      <c r="H1219" s="326"/>
      <c r="P1219" s="318"/>
      <c r="Q1219" s="318"/>
      <c r="R1219" s="318"/>
      <c r="S1219" s="318"/>
      <c r="T1219" s="318"/>
      <c r="U1219" s="318"/>
      <c r="V1219" s="318"/>
      <c r="W1219" s="318"/>
      <c r="X1219" s="318"/>
      <c r="Y1219" s="318"/>
      <c r="Z1219" s="318"/>
      <c r="AA1219" s="318"/>
      <c r="AB1219" s="318"/>
      <c r="AC1219" s="318"/>
      <c r="AD1219" s="318"/>
    </row>
    <row r="1220" spans="2:30" s="323" customFormat="1" ht="12" customHeight="1">
      <c r="B1220" s="324"/>
      <c r="C1220" s="325"/>
      <c r="D1220" s="326"/>
      <c r="E1220" s="326"/>
      <c r="F1220" s="326"/>
      <c r="G1220" s="326"/>
      <c r="H1220" s="326"/>
      <c r="P1220" s="318"/>
      <c r="Q1220" s="318"/>
      <c r="R1220" s="318"/>
      <c r="S1220" s="318"/>
      <c r="T1220" s="318"/>
      <c r="U1220" s="318"/>
      <c r="V1220" s="318"/>
      <c r="W1220" s="318"/>
      <c r="X1220" s="318"/>
      <c r="Y1220" s="318"/>
      <c r="Z1220" s="318"/>
      <c r="AA1220" s="318"/>
      <c r="AB1220" s="318"/>
      <c r="AC1220" s="318"/>
      <c r="AD1220" s="318"/>
    </row>
    <row r="1221" spans="2:30" s="323" customFormat="1" ht="12" customHeight="1">
      <c r="B1221" s="324"/>
      <c r="C1221" s="325"/>
      <c r="D1221" s="326"/>
      <c r="E1221" s="326"/>
      <c r="F1221" s="326"/>
      <c r="G1221" s="326"/>
      <c r="H1221" s="326"/>
      <c r="P1221" s="318"/>
      <c r="Q1221" s="318"/>
      <c r="R1221" s="318"/>
      <c r="S1221" s="318"/>
      <c r="T1221" s="318"/>
      <c r="U1221" s="318"/>
      <c r="V1221" s="318"/>
      <c r="W1221" s="318"/>
      <c r="X1221" s="318"/>
      <c r="Y1221" s="318"/>
      <c r="Z1221" s="318"/>
      <c r="AA1221" s="318"/>
      <c r="AB1221" s="318"/>
      <c r="AC1221" s="318"/>
      <c r="AD1221" s="318"/>
    </row>
    <row r="1222" spans="2:30" s="323" customFormat="1" ht="12" customHeight="1">
      <c r="B1222" s="324"/>
      <c r="C1222" s="325"/>
      <c r="D1222" s="326"/>
      <c r="E1222" s="326"/>
      <c r="F1222" s="326"/>
      <c r="G1222" s="326"/>
      <c r="H1222" s="326"/>
      <c r="P1222" s="318"/>
      <c r="Q1222" s="318"/>
      <c r="R1222" s="318"/>
      <c r="S1222" s="318"/>
      <c r="T1222" s="318"/>
      <c r="U1222" s="318"/>
      <c r="V1222" s="318"/>
      <c r="W1222" s="318"/>
      <c r="X1222" s="318"/>
      <c r="Y1222" s="318"/>
      <c r="Z1222" s="318"/>
      <c r="AA1222" s="318"/>
      <c r="AB1222" s="318"/>
      <c r="AC1222" s="318"/>
      <c r="AD1222" s="318"/>
    </row>
    <row r="1223" spans="2:30" s="323" customFormat="1" ht="12" customHeight="1">
      <c r="B1223" s="324"/>
      <c r="C1223" s="325"/>
      <c r="D1223" s="326"/>
      <c r="E1223" s="326"/>
      <c r="F1223" s="326"/>
      <c r="G1223" s="326"/>
      <c r="H1223" s="326"/>
      <c r="P1223" s="318"/>
      <c r="Q1223" s="318"/>
      <c r="R1223" s="318"/>
      <c r="S1223" s="318"/>
      <c r="T1223" s="318"/>
      <c r="U1223" s="318"/>
      <c r="V1223" s="318"/>
      <c r="W1223" s="318"/>
      <c r="X1223" s="318"/>
      <c r="Y1223" s="318"/>
      <c r="Z1223" s="318"/>
      <c r="AA1223" s="318"/>
      <c r="AB1223" s="318"/>
      <c r="AC1223" s="318"/>
      <c r="AD1223" s="318"/>
    </row>
    <row r="1224" spans="2:30" s="323" customFormat="1" ht="12" customHeight="1">
      <c r="B1224" s="324"/>
      <c r="C1224" s="325"/>
      <c r="D1224" s="326"/>
      <c r="E1224" s="326"/>
      <c r="F1224" s="326"/>
      <c r="G1224" s="326"/>
      <c r="H1224" s="326"/>
      <c r="P1224" s="318"/>
      <c r="Q1224" s="318"/>
      <c r="R1224" s="318"/>
      <c r="S1224" s="318"/>
      <c r="T1224" s="318"/>
      <c r="U1224" s="318"/>
      <c r="V1224" s="318"/>
      <c r="W1224" s="318"/>
      <c r="X1224" s="318"/>
      <c r="Y1224" s="318"/>
      <c r="Z1224" s="318"/>
      <c r="AA1224" s="318"/>
      <c r="AB1224" s="318"/>
      <c r="AC1224" s="318"/>
      <c r="AD1224" s="318"/>
    </row>
    <row r="1225" spans="2:30" s="323" customFormat="1" ht="12" customHeight="1">
      <c r="B1225" s="324"/>
      <c r="C1225" s="325"/>
      <c r="D1225" s="326"/>
      <c r="E1225" s="326"/>
      <c r="F1225" s="326"/>
      <c r="G1225" s="326"/>
      <c r="H1225" s="326"/>
      <c r="P1225" s="318"/>
      <c r="Q1225" s="318"/>
      <c r="R1225" s="318"/>
      <c r="S1225" s="318"/>
      <c r="T1225" s="318"/>
      <c r="U1225" s="318"/>
      <c r="V1225" s="318"/>
      <c r="W1225" s="318"/>
      <c r="X1225" s="318"/>
      <c r="Y1225" s="318"/>
      <c r="Z1225" s="318"/>
      <c r="AA1225" s="318"/>
      <c r="AB1225" s="318"/>
      <c r="AC1225" s="318"/>
      <c r="AD1225" s="318"/>
    </row>
    <row r="1226" spans="2:30" s="323" customFormat="1" ht="12" customHeight="1">
      <c r="B1226" s="324"/>
      <c r="C1226" s="325"/>
      <c r="D1226" s="326"/>
      <c r="E1226" s="326"/>
      <c r="F1226" s="326"/>
      <c r="G1226" s="326"/>
      <c r="H1226" s="326"/>
      <c r="P1226" s="318"/>
      <c r="Q1226" s="318"/>
      <c r="R1226" s="318"/>
      <c r="S1226" s="318"/>
      <c r="T1226" s="318"/>
      <c r="U1226" s="318"/>
      <c r="V1226" s="318"/>
      <c r="W1226" s="318"/>
      <c r="X1226" s="318"/>
      <c r="Y1226" s="318"/>
      <c r="Z1226" s="318"/>
      <c r="AA1226" s="318"/>
      <c r="AB1226" s="318"/>
      <c r="AC1226" s="318"/>
      <c r="AD1226" s="318"/>
    </row>
    <row r="1227" spans="2:30" s="323" customFormat="1" ht="12" customHeight="1">
      <c r="B1227" s="324"/>
      <c r="C1227" s="325"/>
      <c r="D1227" s="326"/>
      <c r="E1227" s="326"/>
      <c r="F1227" s="326"/>
      <c r="G1227" s="326"/>
      <c r="H1227" s="326"/>
      <c r="P1227" s="318"/>
      <c r="Q1227" s="318"/>
      <c r="R1227" s="318"/>
      <c r="S1227" s="318"/>
      <c r="T1227" s="318"/>
      <c r="U1227" s="318"/>
      <c r="V1227" s="318"/>
      <c r="W1227" s="318"/>
      <c r="X1227" s="318"/>
      <c r="Y1227" s="318"/>
      <c r="Z1227" s="318"/>
      <c r="AA1227" s="318"/>
      <c r="AB1227" s="318"/>
      <c r="AC1227" s="318"/>
      <c r="AD1227" s="318"/>
    </row>
    <row r="1228" spans="2:30" s="323" customFormat="1" ht="12" customHeight="1">
      <c r="B1228" s="324"/>
      <c r="C1228" s="325"/>
      <c r="D1228" s="326"/>
      <c r="E1228" s="326"/>
      <c r="F1228" s="326"/>
      <c r="G1228" s="326"/>
      <c r="H1228" s="326"/>
      <c r="P1228" s="318"/>
      <c r="Q1228" s="318"/>
      <c r="R1228" s="318"/>
      <c r="S1228" s="318"/>
      <c r="T1228" s="318"/>
      <c r="U1228" s="318"/>
      <c r="V1228" s="318"/>
      <c r="W1228" s="318"/>
      <c r="X1228" s="318"/>
      <c r="Y1228" s="318"/>
      <c r="Z1228" s="318"/>
      <c r="AA1228" s="318"/>
      <c r="AB1228" s="318"/>
      <c r="AC1228" s="318"/>
      <c r="AD1228" s="318"/>
    </row>
    <row r="1229" spans="2:30" s="323" customFormat="1" ht="12" customHeight="1">
      <c r="B1229" s="324"/>
      <c r="C1229" s="325"/>
      <c r="D1229" s="326"/>
      <c r="E1229" s="326"/>
      <c r="F1229" s="326"/>
      <c r="G1229" s="326"/>
      <c r="H1229" s="326"/>
      <c r="P1229" s="318"/>
      <c r="Q1229" s="318"/>
      <c r="R1229" s="318"/>
      <c r="S1229" s="318"/>
      <c r="T1229" s="318"/>
      <c r="U1229" s="318"/>
      <c r="V1229" s="318"/>
      <c r="W1229" s="318"/>
      <c r="X1229" s="318"/>
      <c r="Y1229" s="318"/>
      <c r="Z1229" s="318"/>
      <c r="AA1229" s="318"/>
      <c r="AB1229" s="318"/>
      <c r="AC1229" s="318"/>
      <c r="AD1229" s="318"/>
    </row>
    <row r="1230" spans="2:30" s="323" customFormat="1" ht="12" customHeight="1">
      <c r="B1230" s="324"/>
      <c r="C1230" s="325"/>
      <c r="D1230" s="326"/>
      <c r="E1230" s="326"/>
      <c r="F1230" s="326"/>
      <c r="G1230" s="326"/>
      <c r="H1230" s="326"/>
      <c r="P1230" s="318"/>
      <c r="Q1230" s="318"/>
      <c r="R1230" s="318"/>
      <c r="S1230" s="318"/>
      <c r="T1230" s="318"/>
      <c r="U1230" s="318"/>
      <c r="V1230" s="318"/>
      <c r="W1230" s="318"/>
      <c r="X1230" s="318"/>
      <c r="Y1230" s="318"/>
      <c r="Z1230" s="318"/>
      <c r="AA1230" s="318"/>
      <c r="AB1230" s="318"/>
      <c r="AC1230" s="318"/>
      <c r="AD1230" s="318"/>
    </row>
    <row r="1231" spans="2:30" s="323" customFormat="1" ht="12" customHeight="1">
      <c r="B1231" s="324"/>
      <c r="C1231" s="325"/>
      <c r="D1231" s="326"/>
      <c r="E1231" s="326"/>
      <c r="F1231" s="326"/>
      <c r="G1231" s="326"/>
      <c r="H1231" s="326"/>
      <c r="P1231" s="318"/>
      <c r="Q1231" s="318"/>
      <c r="R1231" s="318"/>
      <c r="S1231" s="318"/>
      <c r="T1231" s="318"/>
      <c r="U1231" s="318"/>
      <c r="V1231" s="318"/>
      <c r="W1231" s="318"/>
      <c r="X1231" s="318"/>
      <c r="Y1231" s="318"/>
      <c r="Z1231" s="318"/>
      <c r="AA1231" s="318"/>
      <c r="AB1231" s="318"/>
      <c r="AC1231" s="318"/>
      <c r="AD1231" s="318"/>
    </row>
    <row r="1232" spans="2:30" s="323" customFormat="1" ht="12" customHeight="1">
      <c r="B1232" s="324"/>
      <c r="C1232" s="325"/>
      <c r="D1232" s="326"/>
      <c r="E1232" s="326"/>
      <c r="F1232" s="326"/>
      <c r="G1232" s="326"/>
      <c r="H1232" s="326"/>
      <c r="P1232" s="318"/>
      <c r="Q1232" s="318"/>
      <c r="R1232" s="318"/>
      <c r="S1232" s="318"/>
      <c r="T1232" s="318"/>
      <c r="U1232" s="318"/>
      <c r="V1232" s="318"/>
      <c r="W1232" s="318"/>
      <c r="X1232" s="318"/>
      <c r="Y1232" s="318"/>
      <c r="Z1232" s="318"/>
      <c r="AA1232" s="318"/>
      <c r="AB1232" s="318"/>
      <c r="AC1232" s="318"/>
      <c r="AD1232" s="318"/>
    </row>
    <row r="1233" spans="2:30" s="323" customFormat="1" ht="12" customHeight="1">
      <c r="B1233" s="324"/>
      <c r="C1233" s="325"/>
      <c r="D1233" s="326"/>
      <c r="E1233" s="326"/>
      <c r="F1233" s="326"/>
      <c r="G1233" s="326"/>
      <c r="H1233" s="326"/>
      <c r="P1233" s="318"/>
      <c r="Q1233" s="318"/>
      <c r="R1233" s="318"/>
      <c r="S1233" s="318"/>
      <c r="T1233" s="318"/>
      <c r="U1233" s="318"/>
      <c r="V1233" s="318"/>
      <c r="W1233" s="318"/>
      <c r="X1233" s="318"/>
      <c r="Y1233" s="318"/>
      <c r="Z1233" s="318"/>
      <c r="AA1233" s="318"/>
      <c r="AB1233" s="318"/>
      <c r="AC1233" s="318"/>
      <c r="AD1233" s="318"/>
    </row>
    <row r="1234" spans="2:30" s="323" customFormat="1" ht="12" customHeight="1">
      <c r="B1234" s="324"/>
      <c r="C1234" s="325"/>
      <c r="D1234" s="326"/>
      <c r="E1234" s="326"/>
      <c r="F1234" s="326"/>
      <c r="G1234" s="326"/>
      <c r="H1234" s="326"/>
      <c r="P1234" s="318"/>
      <c r="Q1234" s="318"/>
      <c r="R1234" s="318"/>
      <c r="S1234" s="318"/>
      <c r="T1234" s="318"/>
      <c r="U1234" s="318"/>
      <c r="V1234" s="318"/>
      <c r="W1234" s="318"/>
      <c r="X1234" s="318"/>
      <c r="Y1234" s="318"/>
      <c r="Z1234" s="318"/>
      <c r="AA1234" s="318"/>
      <c r="AB1234" s="318"/>
      <c r="AC1234" s="318"/>
      <c r="AD1234" s="318"/>
    </row>
    <row r="1235" spans="2:30" s="323" customFormat="1" ht="12" customHeight="1">
      <c r="B1235" s="324"/>
      <c r="C1235" s="325"/>
      <c r="D1235" s="326"/>
      <c r="E1235" s="326"/>
      <c r="F1235" s="326"/>
      <c r="G1235" s="326"/>
      <c r="H1235" s="326"/>
      <c r="P1235" s="318"/>
      <c r="Q1235" s="318"/>
      <c r="R1235" s="318"/>
      <c r="S1235" s="318"/>
      <c r="T1235" s="318"/>
      <c r="U1235" s="318"/>
      <c r="V1235" s="318"/>
      <c r="W1235" s="318"/>
      <c r="X1235" s="318"/>
      <c r="Y1235" s="318"/>
      <c r="Z1235" s="318"/>
      <c r="AA1235" s="318"/>
      <c r="AB1235" s="318"/>
      <c r="AC1235" s="318"/>
      <c r="AD1235" s="318"/>
    </row>
    <row r="1236" spans="2:30" s="323" customFormat="1" ht="12" customHeight="1">
      <c r="B1236" s="324"/>
      <c r="C1236" s="325"/>
      <c r="D1236" s="326"/>
      <c r="E1236" s="326"/>
      <c r="F1236" s="326"/>
      <c r="G1236" s="326"/>
      <c r="H1236" s="326"/>
      <c r="P1236" s="318"/>
      <c r="Q1236" s="318"/>
      <c r="R1236" s="318"/>
      <c r="S1236" s="318"/>
      <c r="T1236" s="318"/>
      <c r="U1236" s="318"/>
      <c r="V1236" s="318"/>
      <c r="W1236" s="318"/>
      <c r="X1236" s="318"/>
      <c r="Y1236" s="318"/>
      <c r="Z1236" s="318"/>
      <c r="AA1236" s="318"/>
      <c r="AB1236" s="318"/>
      <c r="AC1236" s="318"/>
      <c r="AD1236" s="318"/>
    </row>
    <row r="1237" spans="2:30" s="323" customFormat="1" ht="12" customHeight="1">
      <c r="B1237" s="324"/>
      <c r="C1237" s="325"/>
      <c r="D1237" s="326"/>
      <c r="E1237" s="326"/>
      <c r="F1237" s="326"/>
      <c r="G1237" s="326"/>
      <c r="H1237" s="326"/>
      <c r="P1237" s="318"/>
      <c r="Q1237" s="318"/>
      <c r="R1237" s="318"/>
      <c r="S1237" s="318"/>
      <c r="T1237" s="318"/>
      <c r="U1237" s="318"/>
      <c r="V1237" s="318"/>
      <c r="W1237" s="318"/>
      <c r="X1237" s="318"/>
      <c r="Y1237" s="318"/>
      <c r="Z1237" s="318"/>
      <c r="AA1237" s="318"/>
      <c r="AB1237" s="318"/>
      <c r="AC1237" s="318"/>
      <c r="AD1237" s="318"/>
    </row>
    <row r="1238" spans="2:30" s="323" customFormat="1" ht="12" customHeight="1">
      <c r="B1238" s="324"/>
      <c r="C1238" s="325"/>
      <c r="D1238" s="326"/>
      <c r="E1238" s="326"/>
      <c r="F1238" s="326"/>
      <c r="G1238" s="326"/>
      <c r="H1238" s="326"/>
      <c r="P1238" s="318"/>
      <c r="Q1238" s="318"/>
      <c r="R1238" s="318"/>
      <c r="S1238" s="318"/>
      <c r="T1238" s="318"/>
      <c r="U1238" s="318"/>
      <c r="V1238" s="318"/>
      <c r="W1238" s="318"/>
      <c r="X1238" s="318"/>
      <c r="Y1238" s="318"/>
      <c r="Z1238" s="318"/>
      <c r="AA1238" s="318"/>
      <c r="AB1238" s="318"/>
      <c r="AC1238" s="318"/>
      <c r="AD1238" s="318"/>
    </row>
    <row r="1239" spans="2:30" s="323" customFormat="1" ht="12" customHeight="1">
      <c r="B1239" s="324"/>
      <c r="C1239" s="325"/>
      <c r="D1239" s="326"/>
      <c r="E1239" s="326"/>
      <c r="F1239" s="326"/>
      <c r="G1239" s="326"/>
      <c r="H1239" s="326"/>
      <c r="P1239" s="318"/>
      <c r="Q1239" s="318"/>
      <c r="R1239" s="318"/>
      <c r="S1239" s="318"/>
      <c r="T1239" s="318"/>
      <c r="U1239" s="318"/>
      <c r="V1239" s="318"/>
      <c r="W1239" s="318"/>
      <c r="X1239" s="318"/>
      <c r="Y1239" s="318"/>
      <c r="Z1239" s="318"/>
      <c r="AA1239" s="318"/>
      <c r="AB1239" s="318"/>
      <c r="AC1239" s="318"/>
      <c r="AD1239" s="318"/>
    </row>
    <row r="1240" spans="2:30" s="323" customFormat="1" ht="12" customHeight="1">
      <c r="B1240" s="324"/>
      <c r="C1240" s="325"/>
      <c r="D1240" s="326"/>
      <c r="E1240" s="326"/>
      <c r="F1240" s="326"/>
      <c r="G1240" s="326"/>
      <c r="H1240" s="326"/>
      <c r="P1240" s="318"/>
      <c r="Q1240" s="318"/>
      <c r="R1240" s="318"/>
      <c r="S1240" s="318"/>
      <c r="T1240" s="318"/>
      <c r="U1240" s="318"/>
      <c r="V1240" s="318"/>
      <c r="W1240" s="318"/>
      <c r="X1240" s="318"/>
      <c r="Y1240" s="318"/>
      <c r="Z1240" s="318"/>
      <c r="AA1240" s="318"/>
      <c r="AB1240" s="318"/>
      <c r="AC1240" s="318"/>
      <c r="AD1240" s="318"/>
    </row>
    <row r="1241" spans="2:30" s="323" customFormat="1" ht="12" customHeight="1">
      <c r="B1241" s="324"/>
      <c r="C1241" s="325"/>
      <c r="D1241" s="326"/>
      <c r="E1241" s="326"/>
      <c r="F1241" s="326"/>
      <c r="G1241" s="326"/>
      <c r="H1241" s="326"/>
      <c r="P1241" s="318"/>
      <c r="Q1241" s="318"/>
      <c r="R1241" s="318"/>
      <c r="S1241" s="318"/>
      <c r="T1241" s="318"/>
      <c r="U1241" s="318"/>
      <c r="V1241" s="318"/>
      <c r="W1241" s="318"/>
      <c r="X1241" s="318"/>
      <c r="Y1241" s="318"/>
      <c r="Z1241" s="318"/>
      <c r="AA1241" s="318"/>
      <c r="AB1241" s="318"/>
      <c r="AC1241" s="318"/>
      <c r="AD1241" s="318"/>
    </row>
    <row r="1242" spans="2:30" s="323" customFormat="1" ht="12" customHeight="1">
      <c r="B1242" s="324"/>
      <c r="C1242" s="325"/>
      <c r="D1242" s="326"/>
      <c r="E1242" s="326"/>
      <c r="F1242" s="326"/>
      <c r="G1242" s="326"/>
      <c r="H1242" s="326"/>
      <c r="P1242" s="318"/>
      <c r="Q1242" s="318"/>
      <c r="R1242" s="318"/>
      <c r="S1242" s="318"/>
      <c r="T1242" s="318"/>
      <c r="U1242" s="318"/>
      <c r="V1242" s="318"/>
      <c r="W1242" s="318"/>
      <c r="X1242" s="318"/>
      <c r="Y1242" s="318"/>
      <c r="Z1242" s="318"/>
      <c r="AA1242" s="318"/>
      <c r="AB1242" s="318"/>
      <c r="AC1242" s="318"/>
      <c r="AD1242" s="318"/>
    </row>
    <row r="1243" spans="2:30" s="323" customFormat="1" ht="12" customHeight="1">
      <c r="B1243" s="324"/>
      <c r="C1243" s="325"/>
      <c r="D1243" s="326"/>
      <c r="E1243" s="326"/>
      <c r="F1243" s="326"/>
      <c r="G1243" s="326"/>
      <c r="H1243" s="326"/>
      <c r="P1243" s="318"/>
      <c r="Q1243" s="318"/>
      <c r="R1243" s="318"/>
      <c r="S1243" s="318"/>
      <c r="T1243" s="318"/>
      <c r="U1243" s="318"/>
      <c r="V1243" s="318"/>
      <c r="W1243" s="318"/>
      <c r="X1243" s="318"/>
      <c r="Y1243" s="318"/>
      <c r="Z1243" s="318"/>
      <c r="AA1243" s="318"/>
      <c r="AB1243" s="318"/>
      <c r="AC1243" s="318"/>
      <c r="AD1243" s="318"/>
    </row>
    <row r="1244" spans="2:30" s="323" customFormat="1" ht="12" customHeight="1">
      <c r="B1244" s="324"/>
      <c r="C1244" s="325"/>
      <c r="D1244" s="326"/>
      <c r="E1244" s="326"/>
      <c r="F1244" s="326"/>
      <c r="G1244" s="326"/>
      <c r="H1244" s="326"/>
      <c r="P1244" s="318"/>
      <c r="Q1244" s="318"/>
      <c r="R1244" s="318"/>
      <c r="S1244" s="318"/>
      <c r="T1244" s="318"/>
      <c r="U1244" s="318"/>
      <c r="V1244" s="318"/>
      <c r="W1244" s="318"/>
      <c r="X1244" s="318"/>
      <c r="Y1244" s="318"/>
      <c r="Z1244" s="318"/>
      <c r="AA1244" s="318"/>
      <c r="AB1244" s="318"/>
      <c r="AC1244" s="318"/>
      <c r="AD1244" s="318"/>
    </row>
    <row r="1245" spans="2:30" s="323" customFormat="1" ht="12" customHeight="1">
      <c r="B1245" s="324"/>
      <c r="C1245" s="325"/>
      <c r="D1245" s="326"/>
      <c r="E1245" s="326"/>
      <c r="F1245" s="326"/>
      <c r="G1245" s="326"/>
      <c r="H1245" s="326"/>
      <c r="P1245" s="318"/>
      <c r="Q1245" s="318"/>
      <c r="R1245" s="318"/>
      <c r="S1245" s="318"/>
      <c r="T1245" s="318"/>
      <c r="U1245" s="318"/>
      <c r="V1245" s="318"/>
      <c r="W1245" s="318"/>
      <c r="X1245" s="318"/>
      <c r="Y1245" s="318"/>
      <c r="Z1245" s="318"/>
      <c r="AA1245" s="318"/>
      <c r="AB1245" s="318"/>
      <c r="AC1245" s="318"/>
      <c r="AD1245" s="318"/>
    </row>
    <row r="1246" spans="2:30" s="323" customFormat="1" ht="12" customHeight="1">
      <c r="B1246" s="324"/>
      <c r="C1246" s="325"/>
      <c r="D1246" s="326"/>
      <c r="E1246" s="326"/>
      <c r="F1246" s="326"/>
      <c r="G1246" s="326"/>
      <c r="H1246" s="326"/>
      <c r="P1246" s="318"/>
      <c r="Q1246" s="318"/>
      <c r="R1246" s="318"/>
      <c r="S1246" s="318"/>
      <c r="T1246" s="318"/>
      <c r="U1246" s="318"/>
      <c r="V1246" s="318"/>
      <c r="W1246" s="318"/>
      <c r="X1246" s="318"/>
      <c r="Y1246" s="318"/>
      <c r="Z1246" s="318"/>
      <c r="AA1246" s="318"/>
      <c r="AB1246" s="318"/>
      <c r="AC1246" s="318"/>
      <c r="AD1246" s="318"/>
    </row>
    <row r="1247" spans="2:30" s="323" customFormat="1" ht="12" customHeight="1">
      <c r="B1247" s="324"/>
      <c r="C1247" s="325"/>
      <c r="D1247" s="326"/>
      <c r="E1247" s="326"/>
      <c r="F1247" s="326"/>
      <c r="G1247" s="326"/>
      <c r="H1247" s="326"/>
      <c r="P1247" s="318"/>
      <c r="Q1247" s="318"/>
      <c r="R1247" s="318"/>
      <c r="S1247" s="318"/>
      <c r="T1247" s="318"/>
      <c r="U1247" s="318"/>
      <c r="V1247" s="318"/>
      <c r="W1247" s="318"/>
      <c r="X1247" s="318"/>
      <c r="Y1247" s="318"/>
      <c r="Z1247" s="318"/>
      <c r="AA1247" s="318"/>
      <c r="AB1247" s="318"/>
      <c r="AC1247" s="318"/>
      <c r="AD1247" s="318"/>
    </row>
    <row r="1248" spans="2:30" s="323" customFormat="1" ht="12" customHeight="1">
      <c r="B1248" s="324"/>
      <c r="C1248" s="325"/>
      <c r="D1248" s="326"/>
      <c r="E1248" s="326"/>
      <c r="F1248" s="326"/>
      <c r="G1248" s="326"/>
      <c r="H1248" s="326"/>
      <c r="P1248" s="318"/>
      <c r="Q1248" s="318"/>
      <c r="R1248" s="318"/>
      <c r="S1248" s="318"/>
      <c r="T1248" s="318"/>
      <c r="U1248" s="318"/>
      <c r="V1248" s="318"/>
      <c r="W1248" s="318"/>
      <c r="X1248" s="318"/>
      <c r="Y1248" s="318"/>
      <c r="Z1248" s="318"/>
      <c r="AA1248" s="318"/>
      <c r="AB1248" s="318"/>
      <c r="AC1248" s="318"/>
      <c r="AD1248" s="318"/>
    </row>
    <row r="1249" spans="2:30" s="323" customFormat="1" ht="12" customHeight="1">
      <c r="B1249" s="324"/>
      <c r="C1249" s="325"/>
      <c r="D1249" s="326"/>
      <c r="E1249" s="326"/>
      <c r="F1249" s="326"/>
      <c r="G1249" s="326"/>
      <c r="H1249" s="326"/>
      <c r="P1249" s="318"/>
      <c r="Q1249" s="318"/>
      <c r="R1249" s="318"/>
      <c r="S1249" s="318"/>
      <c r="T1249" s="318"/>
      <c r="U1249" s="318"/>
      <c r="V1249" s="318"/>
      <c r="W1249" s="318"/>
      <c r="X1249" s="318"/>
      <c r="Y1249" s="318"/>
      <c r="Z1249" s="318"/>
      <c r="AA1249" s="318"/>
      <c r="AB1249" s="318"/>
      <c r="AC1249" s="318"/>
      <c r="AD1249" s="318"/>
    </row>
    <row r="1250" spans="2:30" s="323" customFormat="1" ht="12" customHeight="1">
      <c r="B1250" s="324"/>
      <c r="C1250" s="325"/>
      <c r="D1250" s="326"/>
      <c r="E1250" s="326"/>
      <c r="F1250" s="326"/>
      <c r="G1250" s="326"/>
      <c r="H1250" s="326"/>
      <c r="P1250" s="318"/>
      <c r="Q1250" s="318"/>
      <c r="R1250" s="318"/>
      <c r="S1250" s="318"/>
      <c r="T1250" s="318"/>
      <c r="U1250" s="318"/>
      <c r="V1250" s="318"/>
      <c r="W1250" s="318"/>
      <c r="X1250" s="318"/>
      <c r="Y1250" s="318"/>
      <c r="Z1250" s="318"/>
      <c r="AA1250" s="318"/>
      <c r="AB1250" s="318"/>
      <c r="AC1250" s="318"/>
      <c r="AD1250" s="318"/>
    </row>
    <row r="1251" spans="2:30" s="323" customFormat="1" ht="12" customHeight="1">
      <c r="B1251" s="324"/>
      <c r="C1251" s="325"/>
      <c r="D1251" s="326"/>
      <c r="E1251" s="326"/>
      <c r="F1251" s="326"/>
      <c r="G1251" s="326"/>
      <c r="H1251" s="326"/>
      <c r="P1251" s="318"/>
      <c r="Q1251" s="318"/>
      <c r="R1251" s="318"/>
      <c r="S1251" s="318"/>
      <c r="T1251" s="318"/>
      <c r="U1251" s="318"/>
      <c r="V1251" s="318"/>
      <c r="W1251" s="318"/>
      <c r="X1251" s="318"/>
      <c r="Y1251" s="318"/>
      <c r="Z1251" s="318"/>
      <c r="AA1251" s="318"/>
      <c r="AB1251" s="318"/>
      <c r="AC1251" s="318"/>
      <c r="AD1251" s="318"/>
    </row>
    <row r="1252" spans="2:30" s="323" customFormat="1" ht="12" customHeight="1">
      <c r="B1252" s="324"/>
      <c r="C1252" s="325"/>
      <c r="D1252" s="326"/>
      <c r="E1252" s="326"/>
      <c r="F1252" s="326"/>
      <c r="G1252" s="326"/>
      <c r="H1252" s="326"/>
      <c r="P1252" s="318"/>
      <c r="Q1252" s="318"/>
      <c r="R1252" s="318"/>
      <c r="S1252" s="318"/>
      <c r="T1252" s="318"/>
      <c r="U1252" s="318"/>
      <c r="V1252" s="318"/>
      <c r="W1252" s="318"/>
      <c r="X1252" s="318"/>
      <c r="Y1252" s="318"/>
      <c r="Z1252" s="318"/>
      <c r="AA1252" s="318"/>
      <c r="AB1252" s="318"/>
      <c r="AC1252" s="318"/>
      <c r="AD1252" s="318"/>
    </row>
    <row r="1253" spans="2:30" s="323" customFormat="1" ht="12" customHeight="1">
      <c r="B1253" s="324"/>
      <c r="C1253" s="325"/>
      <c r="D1253" s="326"/>
      <c r="E1253" s="326"/>
      <c r="F1253" s="326"/>
      <c r="G1253" s="326"/>
      <c r="H1253" s="326"/>
      <c r="P1253" s="318"/>
      <c r="Q1253" s="318"/>
      <c r="R1253" s="318"/>
      <c r="S1253" s="318"/>
      <c r="T1253" s="318"/>
      <c r="U1253" s="318"/>
      <c r="V1253" s="318"/>
      <c r="W1253" s="318"/>
      <c r="X1253" s="318"/>
      <c r="Y1253" s="318"/>
      <c r="Z1253" s="318"/>
      <c r="AA1253" s="318"/>
      <c r="AB1253" s="318"/>
      <c r="AC1253" s="318"/>
      <c r="AD1253" s="318"/>
    </row>
    <row r="1254" spans="2:30" s="323" customFormat="1" ht="12" customHeight="1">
      <c r="B1254" s="324"/>
      <c r="C1254" s="325"/>
      <c r="D1254" s="326"/>
      <c r="E1254" s="326"/>
      <c r="F1254" s="326"/>
      <c r="G1254" s="326"/>
      <c r="H1254" s="326"/>
      <c r="P1254" s="318"/>
      <c r="Q1254" s="318"/>
      <c r="R1254" s="318"/>
      <c r="S1254" s="318"/>
      <c r="T1254" s="318"/>
      <c r="U1254" s="318"/>
      <c r="V1254" s="318"/>
      <c r="W1254" s="318"/>
      <c r="X1254" s="318"/>
      <c r="Y1254" s="318"/>
      <c r="Z1254" s="318"/>
      <c r="AA1254" s="318"/>
      <c r="AB1254" s="318"/>
      <c r="AC1254" s="318"/>
      <c r="AD1254" s="318"/>
    </row>
    <row r="1255" spans="2:30" s="323" customFormat="1" ht="12" customHeight="1">
      <c r="B1255" s="324"/>
      <c r="C1255" s="325"/>
      <c r="D1255" s="326"/>
      <c r="E1255" s="326"/>
      <c r="F1255" s="326"/>
      <c r="G1255" s="326"/>
      <c r="H1255" s="326"/>
      <c r="P1255" s="318"/>
      <c r="Q1255" s="318"/>
      <c r="R1255" s="318"/>
      <c r="S1255" s="318"/>
      <c r="T1255" s="318"/>
      <c r="U1255" s="318"/>
      <c r="V1255" s="318"/>
      <c r="W1255" s="318"/>
      <c r="X1255" s="318"/>
      <c r="Y1255" s="318"/>
      <c r="Z1255" s="318"/>
      <c r="AA1255" s="318"/>
      <c r="AB1255" s="318"/>
      <c r="AC1255" s="318"/>
      <c r="AD1255" s="318"/>
    </row>
    <row r="1256" spans="2:30" s="323" customFormat="1" ht="12" customHeight="1">
      <c r="B1256" s="324"/>
      <c r="C1256" s="325"/>
      <c r="D1256" s="326"/>
      <c r="E1256" s="326"/>
      <c r="F1256" s="326"/>
      <c r="G1256" s="326"/>
      <c r="H1256" s="326"/>
      <c r="P1256" s="318"/>
      <c r="Q1256" s="318"/>
      <c r="R1256" s="318"/>
      <c r="S1256" s="318"/>
      <c r="T1256" s="318"/>
      <c r="U1256" s="318"/>
      <c r="V1256" s="318"/>
      <c r="W1256" s="318"/>
      <c r="X1256" s="318"/>
      <c r="Y1256" s="318"/>
      <c r="Z1256" s="318"/>
      <c r="AA1256" s="318"/>
      <c r="AB1256" s="318"/>
      <c r="AC1256" s="318"/>
      <c r="AD1256" s="318"/>
    </row>
    <row r="1257" spans="2:30" s="323" customFormat="1" ht="12" customHeight="1">
      <c r="B1257" s="324"/>
      <c r="C1257" s="325"/>
      <c r="D1257" s="326"/>
      <c r="E1257" s="326"/>
      <c r="F1257" s="326"/>
      <c r="G1257" s="326"/>
      <c r="H1257" s="326"/>
      <c r="P1257" s="318"/>
      <c r="Q1257" s="318"/>
      <c r="R1257" s="318"/>
      <c r="S1257" s="318"/>
      <c r="T1257" s="318"/>
      <c r="U1257" s="318"/>
      <c r="V1257" s="318"/>
      <c r="W1257" s="318"/>
      <c r="X1257" s="318"/>
      <c r="Y1257" s="318"/>
      <c r="Z1257" s="318"/>
      <c r="AA1257" s="318"/>
      <c r="AB1257" s="318"/>
      <c r="AC1257" s="318"/>
      <c r="AD1257" s="318"/>
    </row>
    <row r="1258" spans="2:30" s="323" customFormat="1" ht="12" customHeight="1">
      <c r="B1258" s="324"/>
      <c r="C1258" s="325"/>
      <c r="D1258" s="326"/>
      <c r="E1258" s="326"/>
      <c r="F1258" s="326"/>
      <c r="G1258" s="326"/>
      <c r="H1258" s="326"/>
      <c r="P1258" s="318"/>
      <c r="Q1258" s="318"/>
      <c r="R1258" s="318"/>
      <c r="S1258" s="318"/>
      <c r="T1258" s="318"/>
      <c r="U1258" s="318"/>
      <c r="V1258" s="318"/>
      <c r="W1258" s="318"/>
      <c r="X1258" s="318"/>
      <c r="Y1258" s="318"/>
      <c r="Z1258" s="318"/>
      <c r="AA1258" s="318"/>
      <c r="AB1258" s="318"/>
      <c r="AC1258" s="318"/>
      <c r="AD1258" s="318"/>
    </row>
    <row r="1259" spans="2:30" s="323" customFormat="1" ht="12" customHeight="1">
      <c r="B1259" s="324"/>
      <c r="C1259" s="325"/>
      <c r="D1259" s="326"/>
      <c r="E1259" s="326"/>
      <c r="F1259" s="326"/>
      <c r="G1259" s="326"/>
      <c r="H1259" s="326"/>
      <c r="P1259" s="318"/>
      <c r="Q1259" s="318"/>
      <c r="R1259" s="318"/>
      <c r="S1259" s="318"/>
      <c r="T1259" s="318"/>
      <c r="U1259" s="318"/>
      <c r="V1259" s="318"/>
      <c r="W1259" s="318"/>
      <c r="X1259" s="318"/>
      <c r="Y1259" s="318"/>
      <c r="Z1259" s="318"/>
      <c r="AA1259" s="318"/>
      <c r="AB1259" s="318"/>
      <c r="AC1259" s="318"/>
      <c r="AD1259" s="318"/>
    </row>
    <row r="1260" spans="2:30" s="323" customFormat="1" ht="12" customHeight="1">
      <c r="B1260" s="324"/>
      <c r="C1260" s="325"/>
      <c r="D1260" s="326"/>
      <c r="E1260" s="326"/>
      <c r="F1260" s="326"/>
      <c r="G1260" s="326"/>
      <c r="H1260" s="326"/>
      <c r="P1260" s="318"/>
      <c r="Q1260" s="318"/>
      <c r="R1260" s="318"/>
      <c r="S1260" s="318"/>
      <c r="T1260" s="318"/>
      <c r="U1260" s="318"/>
      <c r="V1260" s="318"/>
      <c r="W1260" s="318"/>
      <c r="X1260" s="318"/>
      <c r="Y1260" s="318"/>
      <c r="Z1260" s="318"/>
      <c r="AA1260" s="318"/>
      <c r="AB1260" s="318"/>
      <c r="AC1260" s="318"/>
      <c r="AD1260" s="318"/>
    </row>
    <row r="1261" spans="2:30" s="323" customFormat="1" ht="12" customHeight="1">
      <c r="B1261" s="324"/>
      <c r="C1261" s="325"/>
      <c r="D1261" s="326"/>
      <c r="E1261" s="326"/>
      <c r="F1261" s="326"/>
      <c r="G1261" s="326"/>
      <c r="H1261" s="326"/>
      <c r="P1261" s="318"/>
      <c r="Q1261" s="318"/>
      <c r="R1261" s="318"/>
      <c r="S1261" s="318"/>
      <c r="T1261" s="318"/>
      <c r="U1261" s="318"/>
      <c r="V1261" s="318"/>
      <c r="W1261" s="318"/>
      <c r="X1261" s="318"/>
      <c r="Y1261" s="318"/>
      <c r="Z1261" s="318"/>
      <c r="AA1261" s="318"/>
      <c r="AB1261" s="318"/>
      <c r="AC1261" s="318"/>
      <c r="AD1261" s="318"/>
    </row>
    <row r="1262" spans="2:30" s="323" customFormat="1" ht="12" customHeight="1">
      <c r="B1262" s="324"/>
      <c r="C1262" s="325"/>
      <c r="D1262" s="326"/>
      <c r="E1262" s="326"/>
      <c r="F1262" s="326"/>
      <c r="G1262" s="326"/>
      <c r="H1262" s="326"/>
      <c r="P1262" s="318"/>
      <c r="Q1262" s="318"/>
      <c r="R1262" s="318"/>
      <c r="S1262" s="318"/>
      <c r="T1262" s="318"/>
      <c r="U1262" s="318"/>
      <c r="V1262" s="318"/>
      <c r="W1262" s="318"/>
      <c r="X1262" s="318"/>
      <c r="Y1262" s="318"/>
      <c r="Z1262" s="318"/>
      <c r="AA1262" s="318"/>
      <c r="AB1262" s="318"/>
      <c r="AC1262" s="318"/>
      <c r="AD1262" s="318"/>
    </row>
    <row r="1263" spans="2:30" s="323" customFormat="1" ht="12" customHeight="1">
      <c r="B1263" s="324"/>
      <c r="C1263" s="325"/>
      <c r="D1263" s="326"/>
      <c r="E1263" s="326"/>
      <c r="F1263" s="326"/>
      <c r="G1263" s="326"/>
      <c r="H1263" s="326"/>
      <c r="P1263" s="318"/>
      <c r="Q1263" s="318"/>
      <c r="R1263" s="318"/>
      <c r="S1263" s="318"/>
      <c r="T1263" s="318"/>
      <c r="U1263" s="318"/>
      <c r="V1263" s="318"/>
      <c r="W1263" s="318"/>
      <c r="X1263" s="318"/>
      <c r="Y1263" s="318"/>
      <c r="Z1263" s="318"/>
      <c r="AA1263" s="318"/>
      <c r="AB1263" s="318"/>
      <c r="AC1263" s="318"/>
      <c r="AD1263" s="318"/>
    </row>
    <row r="1264" spans="2:30" s="323" customFormat="1" ht="12" customHeight="1">
      <c r="B1264" s="324"/>
      <c r="C1264" s="325"/>
      <c r="D1264" s="326"/>
      <c r="E1264" s="326"/>
      <c r="F1264" s="326"/>
      <c r="G1264" s="326"/>
      <c r="H1264" s="326"/>
      <c r="P1264" s="318"/>
      <c r="Q1264" s="318"/>
      <c r="R1264" s="318"/>
      <c r="S1264" s="318"/>
      <c r="T1264" s="318"/>
      <c r="U1264" s="318"/>
      <c r="V1264" s="318"/>
      <c r="W1264" s="318"/>
      <c r="X1264" s="318"/>
      <c r="Y1264" s="318"/>
      <c r="Z1264" s="318"/>
      <c r="AA1264" s="318"/>
      <c r="AB1264" s="318"/>
      <c r="AC1264" s="318"/>
      <c r="AD1264" s="318"/>
    </row>
    <row r="1265" spans="2:30" s="323" customFormat="1" ht="12" customHeight="1">
      <c r="B1265" s="324"/>
      <c r="C1265" s="325"/>
      <c r="D1265" s="326"/>
      <c r="E1265" s="326"/>
      <c r="F1265" s="326"/>
      <c r="G1265" s="326"/>
      <c r="H1265" s="326"/>
      <c r="P1265" s="318"/>
      <c r="Q1265" s="318"/>
      <c r="R1265" s="318"/>
      <c r="S1265" s="318"/>
      <c r="T1265" s="318"/>
      <c r="U1265" s="318"/>
      <c r="V1265" s="318"/>
      <c r="W1265" s="318"/>
      <c r="X1265" s="318"/>
      <c r="Y1265" s="318"/>
      <c r="Z1265" s="318"/>
      <c r="AA1265" s="318"/>
      <c r="AB1265" s="318"/>
      <c r="AC1265" s="318"/>
      <c r="AD1265" s="318"/>
    </row>
    <row r="1266" spans="2:30" s="323" customFormat="1" ht="12" customHeight="1">
      <c r="B1266" s="324"/>
      <c r="C1266" s="325"/>
      <c r="D1266" s="326"/>
      <c r="E1266" s="326"/>
      <c r="F1266" s="326"/>
      <c r="G1266" s="326"/>
      <c r="H1266" s="326"/>
      <c r="P1266" s="318"/>
      <c r="Q1266" s="318"/>
      <c r="R1266" s="318"/>
      <c r="S1266" s="318"/>
      <c r="T1266" s="318"/>
      <c r="U1266" s="318"/>
      <c r="V1266" s="318"/>
      <c r="W1266" s="318"/>
      <c r="X1266" s="318"/>
      <c r="Y1266" s="318"/>
      <c r="Z1266" s="318"/>
      <c r="AA1266" s="318"/>
      <c r="AB1266" s="318"/>
      <c r="AC1266" s="318"/>
      <c r="AD1266" s="318"/>
    </row>
    <row r="1267" spans="2:30" s="323" customFormat="1" ht="12" customHeight="1">
      <c r="B1267" s="324"/>
      <c r="C1267" s="325"/>
      <c r="D1267" s="326"/>
      <c r="E1267" s="326"/>
      <c r="F1267" s="326"/>
      <c r="G1267" s="326"/>
      <c r="H1267" s="326"/>
      <c r="P1267" s="318"/>
      <c r="Q1267" s="318"/>
      <c r="R1267" s="318"/>
      <c r="S1267" s="318"/>
      <c r="T1267" s="318"/>
      <c r="U1267" s="318"/>
      <c r="V1267" s="318"/>
      <c r="W1267" s="318"/>
      <c r="X1267" s="318"/>
      <c r="Y1267" s="318"/>
      <c r="Z1267" s="318"/>
      <c r="AA1267" s="318"/>
      <c r="AB1267" s="318"/>
      <c r="AC1267" s="318"/>
      <c r="AD1267" s="318"/>
    </row>
    <row r="1268" spans="2:30" s="323" customFormat="1" ht="12" customHeight="1">
      <c r="B1268" s="324"/>
      <c r="C1268" s="325"/>
      <c r="D1268" s="326"/>
      <c r="E1268" s="326"/>
      <c r="F1268" s="326"/>
      <c r="G1268" s="326"/>
      <c r="H1268" s="326"/>
      <c r="P1268" s="318"/>
      <c r="Q1268" s="318"/>
      <c r="R1268" s="318"/>
      <c r="S1268" s="318"/>
      <c r="T1268" s="318"/>
      <c r="U1268" s="318"/>
      <c r="V1268" s="318"/>
      <c r="W1268" s="318"/>
      <c r="X1268" s="318"/>
      <c r="Y1268" s="318"/>
      <c r="Z1268" s="318"/>
      <c r="AA1268" s="318"/>
      <c r="AB1268" s="318"/>
      <c r="AC1268" s="318"/>
      <c r="AD1268" s="318"/>
    </row>
    <row r="1269" spans="2:30" s="323" customFormat="1" ht="12" customHeight="1">
      <c r="B1269" s="324"/>
      <c r="C1269" s="325"/>
      <c r="D1269" s="326"/>
      <c r="E1269" s="326"/>
      <c r="F1269" s="326"/>
      <c r="G1269" s="326"/>
      <c r="H1269" s="326"/>
      <c r="P1269" s="318"/>
      <c r="Q1269" s="318"/>
      <c r="R1269" s="318"/>
      <c r="S1269" s="318"/>
      <c r="T1269" s="318"/>
      <c r="U1269" s="318"/>
      <c r="V1269" s="318"/>
      <c r="W1269" s="318"/>
      <c r="X1269" s="318"/>
      <c r="Y1269" s="318"/>
      <c r="Z1269" s="318"/>
      <c r="AA1269" s="318"/>
      <c r="AB1269" s="318"/>
      <c r="AC1269" s="318"/>
      <c r="AD1269" s="318"/>
    </row>
    <row r="1270" spans="2:30" s="323" customFormat="1" ht="12" customHeight="1">
      <c r="B1270" s="324"/>
      <c r="C1270" s="325"/>
      <c r="D1270" s="326"/>
      <c r="E1270" s="326"/>
      <c r="F1270" s="326"/>
      <c r="G1270" s="326"/>
      <c r="H1270" s="326"/>
      <c r="P1270" s="318"/>
      <c r="Q1270" s="318"/>
      <c r="R1270" s="318"/>
      <c r="S1270" s="318"/>
      <c r="T1270" s="318"/>
      <c r="U1270" s="318"/>
      <c r="V1270" s="318"/>
      <c r="W1270" s="318"/>
      <c r="X1270" s="318"/>
      <c r="Y1270" s="318"/>
      <c r="Z1270" s="318"/>
      <c r="AA1270" s="318"/>
      <c r="AB1270" s="318"/>
      <c r="AC1270" s="318"/>
      <c r="AD1270" s="318"/>
    </row>
    <row r="1271" spans="2:30" s="323" customFormat="1" ht="12" customHeight="1">
      <c r="B1271" s="324"/>
      <c r="C1271" s="325"/>
      <c r="D1271" s="326"/>
      <c r="E1271" s="326"/>
      <c r="F1271" s="326"/>
      <c r="G1271" s="326"/>
      <c r="H1271" s="326"/>
      <c r="P1271" s="318"/>
      <c r="Q1271" s="318"/>
      <c r="R1271" s="318"/>
      <c r="S1271" s="318"/>
      <c r="T1271" s="318"/>
      <c r="U1271" s="318"/>
      <c r="V1271" s="318"/>
      <c r="W1271" s="318"/>
      <c r="X1271" s="318"/>
      <c r="Y1271" s="318"/>
      <c r="Z1271" s="318"/>
      <c r="AA1271" s="318"/>
      <c r="AB1271" s="318"/>
      <c r="AC1271" s="318"/>
      <c r="AD1271" s="318"/>
    </row>
    <row r="1272" spans="2:30" s="323" customFormat="1" ht="12" customHeight="1">
      <c r="B1272" s="324"/>
      <c r="C1272" s="325"/>
      <c r="D1272" s="326"/>
      <c r="E1272" s="326"/>
      <c r="F1272" s="326"/>
      <c r="G1272" s="326"/>
      <c r="H1272" s="326"/>
      <c r="P1272" s="318"/>
      <c r="Q1272" s="318"/>
      <c r="R1272" s="318"/>
      <c r="S1272" s="318"/>
      <c r="T1272" s="318"/>
      <c r="U1272" s="318"/>
      <c r="V1272" s="318"/>
      <c r="W1272" s="318"/>
      <c r="X1272" s="318"/>
      <c r="Y1272" s="318"/>
      <c r="Z1272" s="318"/>
      <c r="AA1272" s="318"/>
      <c r="AB1272" s="318"/>
      <c r="AC1272" s="318"/>
      <c r="AD1272" s="318"/>
    </row>
    <row r="1273" spans="2:30" s="323" customFormat="1" ht="12" customHeight="1">
      <c r="B1273" s="324"/>
      <c r="C1273" s="325"/>
      <c r="D1273" s="326"/>
      <c r="E1273" s="326"/>
      <c r="F1273" s="326"/>
      <c r="G1273" s="326"/>
      <c r="H1273" s="326"/>
      <c r="P1273" s="318"/>
      <c r="Q1273" s="318"/>
      <c r="R1273" s="318"/>
      <c r="S1273" s="318"/>
      <c r="T1273" s="318"/>
      <c r="U1273" s="318"/>
      <c r="V1273" s="318"/>
      <c r="W1273" s="318"/>
      <c r="X1273" s="318"/>
      <c r="Y1273" s="318"/>
      <c r="Z1273" s="318"/>
      <c r="AA1273" s="318"/>
      <c r="AB1273" s="318"/>
      <c r="AC1273" s="318"/>
      <c r="AD1273" s="318"/>
    </row>
    <row r="1274" spans="2:30" s="323" customFormat="1" ht="12" customHeight="1">
      <c r="B1274" s="324"/>
      <c r="C1274" s="325"/>
      <c r="D1274" s="326"/>
      <c r="E1274" s="326"/>
      <c r="F1274" s="326"/>
      <c r="G1274" s="326"/>
      <c r="H1274" s="326"/>
      <c r="P1274" s="318"/>
      <c r="Q1274" s="318"/>
      <c r="R1274" s="318"/>
      <c r="S1274" s="318"/>
      <c r="T1274" s="318"/>
      <c r="U1274" s="318"/>
      <c r="V1274" s="318"/>
      <c r="W1274" s="318"/>
      <c r="X1274" s="318"/>
      <c r="Y1274" s="318"/>
      <c r="Z1274" s="318"/>
      <c r="AA1274" s="318"/>
      <c r="AB1274" s="318"/>
      <c r="AC1274" s="318"/>
      <c r="AD1274" s="318"/>
    </row>
    <row r="1275" spans="2:30" s="323" customFormat="1" ht="12" customHeight="1">
      <c r="B1275" s="324"/>
      <c r="C1275" s="325"/>
      <c r="D1275" s="326"/>
      <c r="E1275" s="326"/>
      <c r="F1275" s="326"/>
      <c r="G1275" s="326"/>
      <c r="H1275" s="326"/>
      <c r="P1275" s="318"/>
      <c r="Q1275" s="318"/>
      <c r="R1275" s="318"/>
      <c r="S1275" s="318"/>
      <c r="T1275" s="318"/>
      <c r="U1275" s="318"/>
      <c r="V1275" s="318"/>
      <c r="W1275" s="318"/>
      <c r="X1275" s="318"/>
      <c r="Y1275" s="318"/>
      <c r="Z1275" s="318"/>
      <c r="AA1275" s="318"/>
      <c r="AB1275" s="318"/>
      <c r="AC1275" s="318"/>
      <c r="AD1275" s="318"/>
    </row>
    <row r="1276" spans="2:30" s="323" customFormat="1" ht="12" customHeight="1">
      <c r="B1276" s="324"/>
      <c r="C1276" s="325"/>
      <c r="D1276" s="326"/>
      <c r="E1276" s="326"/>
      <c r="F1276" s="326"/>
      <c r="G1276" s="326"/>
      <c r="H1276" s="326"/>
      <c r="P1276" s="318"/>
      <c r="Q1276" s="318"/>
      <c r="R1276" s="318"/>
      <c r="S1276" s="318"/>
      <c r="T1276" s="318"/>
      <c r="U1276" s="318"/>
      <c r="V1276" s="318"/>
      <c r="W1276" s="318"/>
      <c r="X1276" s="318"/>
      <c r="Y1276" s="318"/>
      <c r="Z1276" s="318"/>
      <c r="AA1276" s="318"/>
      <c r="AB1276" s="318"/>
      <c r="AC1276" s="318"/>
      <c r="AD1276" s="318"/>
    </row>
    <row r="1277" spans="2:30" s="323" customFormat="1" ht="12" customHeight="1">
      <c r="B1277" s="324"/>
      <c r="C1277" s="325"/>
      <c r="D1277" s="326"/>
      <c r="E1277" s="326"/>
      <c r="F1277" s="326"/>
      <c r="G1277" s="326"/>
      <c r="H1277" s="326"/>
      <c r="P1277" s="318"/>
      <c r="Q1277" s="318"/>
      <c r="R1277" s="318"/>
      <c r="S1277" s="318"/>
      <c r="T1277" s="318"/>
      <c r="U1277" s="318"/>
      <c r="V1277" s="318"/>
      <c r="W1277" s="318"/>
      <c r="X1277" s="318"/>
      <c r="Y1277" s="318"/>
      <c r="Z1277" s="318"/>
      <c r="AA1277" s="318"/>
      <c r="AB1277" s="318"/>
      <c r="AC1277" s="318"/>
      <c r="AD1277" s="318"/>
    </row>
    <row r="1278" spans="2:30" s="323" customFormat="1" ht="12" customHeight="1">
      <c r="B1278" s="324"/>
      <c r="C1278" s="325"/>
      <c r="D1278" s="326"/>
      <c r="E1278" s="326"/>
      <c r="F1278" s="326"/>
      <c r="G1278" s="326"/>
      <c r="H1278" s="326"/>
      <c r="P1278" s="318"/>
      <c r="Q1278" s="318"/>
      <c r="R1278" s="318"/>
      <c r="S1278" s="318"/>
      <c r="T1278" s="318"/>
      <c r="U1278" s="318"/>
      <c r="V1278" s="318"/>
      <c r="W1278" s="318"/>
      <c r="X1278" s="318"/>
      <c r="Y1278" s="318"/>
      <c r="Z1278" s="318"/>
      <c r="AA1278" s="318"/>
      <c r="AB1278" s="318"/>
      <c r="AC1278" s="318"/>
      <c r="AD1278" s="318"/>
    </row>
    <row r="1279" spans="2:30" s="323" customFormat="1" ht="12" customHeight="1">
      <c r="B1279" s="324"/>
      <c r="C1279" s="325"/>
      <c r="D1279" s="326"/>
      <c r="E1279" s="326"/>
      <c r="F1279" s="326"/>
      <c r="G1279" s="326"/>
      <c r="H1279" s="326"/>
      <c r="P1279" s="318"/>
      <c r="Q1279" s="318"/>
      <c r="R1279" s="318"/>
      <c r="S1279" s="318"/>
      <c r="T1279" s="318"/>
      <c r="U1279" s="318"/>
      <c r="V1279" s="318"/>
      <c r="W1279" s="318"/>
      <c r="X1279" s="318"/>
      <c r="Y1279" s="318"/>
      <c r="Z1279" s="318"/>
      <c r="AA1279" s="318"/>
      <c r="AB1279" s="318"/>
      <c r="AC1279" s="318"/>
      <c r="AD1279" s="318"/>
    </row>
    <row r="1280" spans="2:30" s="323" customFormat="1" ht="12" customHeight="1">
      <c r="B1280" s="324"/>
      <c r="C1280" s="325"/>
      <c r="D1280" s="326"/>
      <c r="E1280" s="326"/>
      <c r="F1280" s="326"/>
      <c r="G1280" s="326"/>
      <c r="H1280" s="326"/>
      <c r="P1280" s="318"/>
      <c r="Q1280" s="318"/>
      <c r="R1280" s="318"/>
      <c r="S1280" s="318"/>
      <c r="T1280" s="318"/>
      <c r="U1280" s="318"/>
      <c r="V1280" s="318"/>
      <c r="W1280" s="318"/>
      <c r="X1280" s="318"/>
      <c r="Y1280" s="318"/>
      <c r="Z1280" s="318"/>
      <c r="AA1280" s="318"/>
      <c r="AB1280" s="318"/>
      <c r="AC1280" s="318"/>
      <c r="AD1280" s="318"/>
    </row>
    <row r="1281" spans="2:30" s="323" customFormat="1" ht="12" customHeight="1">
      <c r="B1281" s="324"/>
      <c r="C1281" s="325"/>
      <c r="D1281" s="326"/>
      <c r="E1281" s="326"/>
      <c r="F1281" s="326"/>
      <c r="G1281" s="326"/>
      <c r="H1281" s="326"/>
      <c r="P1281" s="318"/>
      <c r="Q1281" s="318"/>
      <c r="R1281" s="318"/>
      <c r="S1281" s="318"/>
      <c r="T1281" s="318"/>
      <c r="U1281" s="318"/>
      <c r="V1281" s="318"/>
      <c r="W1281" s="318"/>
      <c r="X1281" s="318"/>
      <c r="Y1281" s="318"/>
      <c r="Z1281" s="318"/>
      <c r="AA1281" s="318"/>
      <c r="AB1281" s="318"/>
      <c r="AC1281" s="318"/>
      <c r="AD1281" s="318"/>
    </row>
    <row r="1282" spans="2:30" s="323" customFormat="1" ht="12" customHeight="1">
      <c r="B1282" s="324"/>
      <c r="C1282" s="325"/>
      <c r="D1282" s="326"/>
      <c r="E1282" s="326"/>
      <c r="F1282" s="326"/>
      <c r="G1282" s="326"/>
      <c r="H1282" s="326"/>
      <c r="P1282" s="318"/>
      <c r="Q1282" s="318"/>
      <c r="R1282" s="318"/>
      <c r="S1282" s="318"/>
      <c r="T1282" s="318"/>
      <c r="U1282" s="318"/>
      <c r="V1282" s="318"/>
      <c r="W1282" s="318"/>
      <c r="X1282" s="318"/>
      <c r="Y1282" s="318"/>
      <c r="Z1282" s="318"/>
      <c r="AA1282" s="318"/>
      <c r="AB1282" s="318"/>
      <c r="AC1282" s="318"/>
      <c r="AD1282" s="318"/>
    </row>
    <row r="1283" spans="2:30" s="323" customFormat="1" ht="12" customHeight="1">
      <c r="B1283" s="324"/>
      <c r="C1283" s="325"/>
      <c r="D1283" s="326"/>
      <c r="E1283" s="326"/>
      <c r="F1283" s="326"/>
      <c r="G1283" s="326"/>
      <c r="H1283" s="326"/>
      <c r="P1283" s="318"/>
      <c r="Q1283" s="318"/>
      <c r="R1283" s="318"/>
      <c r="S1283" s="318"/>
      <c r="T1283" s="318"/>
      <c r="U1283" s="318"/>
      <c r="V1283" s="318"/>
      <c r="W1283" s="318"/>
      <c r="X1283" s="318"/>
      <c r="Y1283" s="318"/>
      <c r="Z1283" s="318"/>
      <c r="AA1283" s="318"/>
      <c r="AB1283" s="318"/>
      <c r="AC1283" s="318"/>
      <c r="AD1283" s="318"/>
    </row>
    <row r="1284" spans="2:30" s="323" customFormat="1" ht="12" customHeight="1">
      <c r="B1284" s="324"/>
      <c r="C1284" s="325"/>
      <c r="D1284" s="326"/>
      <c r="E1284" s="326"/>
      <c r="F1284" s="326"/>
      <c r="G1284" s="326"/>
      <c r="H1284" s="326"/>
      <c r="P1284" s="318"/>
      <c r="Q1284" s="318"/>
      <c r="R1284" s="318"/>
      <c r="S1284" s="318"/>
      <c r="T1284" s="318"/>
      <c r="U1284" s="318"/>
      <c r="V1284" s="318"/>
      <c r="W1284" s="318"/>
      <c r="X1284" s="318"/>
      <c r="Y1284" s="318"/>
      <c r="Z1284" s="318"/>
      <c r="AA1284" s="318"/>
      <c r="AB1284" s="318"/>
      <c r="AC1284" s="318"/>
      <c r="AD1284" s="318"/>
    </row>
    <row r="1285" spans="2:30" s="323" customFormat="1" ht="12" customHeight="1">
      <c r="B1285" s="324"/>
      <c r="C1285" s="325"/>
      <c r="D1285" s="326"/>
      <c r="E1285" s="326"/>
      <c r="F1285" s="326"/>
      <c r="G1285" s="326"/>
      <c r="H1285" s="326"/>
      <c r="P1285" s="318"/>
      <c r="Q1285" s="318"/>
      <c r="R1285" s="318"/>
      <c r="S1285" s="318"/>
      <c r="T1285" s="318"/>
      <c r="U1285" s="318"/>
      <c r="V1285" s="318"/>
      <c r="W1285" s="318"/>
      <c r="X1285" s="318"/>
      <c r="Y1285" s="318"/>
      <c r="Z1285" s="318"/>
      <c r="AA1285" s="318"/>
      <c r="AB1285" s="318"/>
      <c r="AC1285" s="318"/>
      <c r="AD1285" s="318"/>
    </row>
    <row r="1286" spans="2:30" s="323" customFormat="1" ht="12" customHeight="1">
      <c r="B1286" s="324"/>
      <c r="C1286" s="325"/>
      <c r="D1286" s="326"/>
      <c r="E1286" s="326"/>
      <c r="F1286" s="326"/>
      <c r="G1286" s="326"/>
      <c r="H1286" s="326"/>
      <c r="P1286" s="318"/>
      <c r="Q1286" s="318"/>
      <c r="R1286" s="318"/>
      <c r="S1286" s="318"/>
      <c r="T1286" s="318"/>
      <c r="U1286" s="318"/>
      <c r="V1286" s="318"/>
      <c r="W1286" s="318"/>
      <c r="X1286" s="318"/>
      <c r="Y1286" s="318"/>
      <c r="Z1286" s="318"/>
      <c r="AA1286" s="318"/>
      <c r="AB1286" s="318"/>
      <c r="AC1286" s="318"/>
      <c r="AD1286" s="318"/>
    </row>
    <row r="1287" spans="2:30" s="323" customFormat="1" ht="12" customHeight="1">
      <c r="B1287" s="324"/>
      <c r="C1287" s="325"/>
      <c r="D1287" s="326"/>
      <c r="E1287" s="326"/>
      <c r="F1287" s="326"/>
      <c r="G1287" s="326"/>
      <c r="H1287" s="326"/>
      <c r="P1287" s="318"/>
      <c r="Q1287" s="318"/>
      <c r="R1287" s="318"/>
      <c r="S1287" s="318"/>
      <c r="T1287" s="318"/>
      <c r="U1287" s="318"/>
      <c r="V1287" s="318"/>
      <c r="W1287" s="318"/>
      <c r="X1287" s="318"/>
      <c r="Y1287" s="318"/>
      <c r="Z1287" s="318"/>
      <c r="AA1287" s="318"/>
      <c r="AB1287" s="318"/>
      <c r="AC1287" s="318"/>
      <c r="AD1287" s="318"/>
    </row>
    <row r="1288" spans="2:30" s="323" customFormat="1" ht="12" customHeight="1">
      <c r="B1288" s="324"/>
      <c r="C1288" s="325"/>
      <c r="D1288" s="326"/>
      <c r="E1288" s="326"/>
      <c r="F1288" s="326"/>
      <c r="G1288" s="326"/>
      <c r="H1288" s="326"/>
      <c r="P1288" s="318"/>
      <c r="Q1288" s="318"/>
      <c r="R1288" s="318"/>
      <c r="S1288" s="318"/>
      <c r="T1288" s="318"/>
      <c r="U1288" s="318"/>
      <c r="V1288" s="318"/>
      <c r="W1288" s="318"/>
      <c r="X1288" s="318"/>
      <c r="Y1288" s="318"/>
      <c r="Z1288" s="318"/>
      <c r="AA1288" s="318"/>
      <c r="AB1288" s="318"/>
      <c r="AC1288" s="318"/>
      <c r="AD1288" s="318"/>
    </row>
    <row r="1289" spans="2:30" s="323" customFormat="1" ht="12" customHeight="1">
      <c r="B1289" s="324"/>
      <c r="C1289" s="325"/>
      <c r="D1289" s="326"/>
      <c r="E1289" s="326"/>
      <c r="F1289" s="326"/>
      <c r="G1289" s="326"/>
      <c r="H1289" s="326"/>
      <c r="P1289" s="318"/>
      <c r="Q1289" s="318"/>
      <c r="R1289" s="318"/>
      <c r="S1289" s="318"/>
      <c r="T1289" s="318"/>
      <c r="U1289" s="318"/>
      <c r="V1289" s="318"/>
      <c r="W1289" s="318"/>
      <c r="X1289" s="318"/>
      <c r="Y1289" s="318"/>
      <c r="Z1289" s="318"/>
      <c r="AA1289" s="318"/>
      <c r="AB1289" s="318"/>
      <c r="AC1289" s="318"/>
      <c r="AD1289" s="318"/>
    </row>
    <row r="1290" spans="2:30" s="323" customFormat="1" ht="12" customHeight="1">
      <c r="B1290" s="324"/>
      <c r="C1290" s="325"/>
      <c r="D1290" s="326"/>
      <c r="E1290" s="326"/>
      <c r="F1290" s="326"/>
      <c r="G1290" s="326"/>
      <c r="H1290" s="326"/>
      <c r="P1290" s="318"/>
      <c r="Q1290" s="318"/>
      <c r="R1290" s="318"/>
      <c r="S1290" s="318"/>
      <c r="T1290" s="318"/>
      <c r="U1290" s="318"/>
      <c r="V1290" s="318"/>
      <c r="W1290" s="318"/>
      <c r="X1290" s="318"/>
      <c r="Y1290" s="318"/>
      <c r="Z1290" s="318"/>
      <c r="AA1290" s="318"/>
      <c r="AB1290" s="318"/>
      <c r="AC1290" s="318"/>
      <c r="AD1290" s="318"/>
    </row>
    <row r="1291" spans="2:30" s="323" customFormat="1" ht="12" customHeight="1">
      <c r="B1291" s="324"/>
      <c r="C1291" s="325"/>
      <c r="D1291" s="326"/>
      <c r="E1291" s="326"/>
      <c r="F1291" s="326"/>
      <c r="G1291" s="326"/>
      <c r="H1291" s="326"/>
      <c r="P1291" s="318"/>
      <c r="Q1291" s="318"/>
      <c r="R1291" s="318"/>
      <c r="S1291" s="318"/>
      <c r="T1291" s="318"/>
      <c r="U1291" s="318"/>
      <c r="V1291" s="318"/>
      <c r="W1291" s="318"/>
      <c r="X1291" s="318"/>
      <c r="Y1291" s="318"/>
      <c r="Z1291" s="318"/>
      <c r="AA1291" s="318"/>
      <c r="AB1291" s="318"/>
      <c r="AC1291" s="318"/>
      <c r="AD1291" s="318"/>
    </row>
    <row r="1292" spans="2:30" s="323" customFormat="1" ht="12" customHeight="1">
      <c r="B1292" s="324"/>
      <c r="C1292" s="325"/>
      <c r="D1292" s="326"/>
      <c r="E1292" s="326"/>
      <c r="F1292" s="326"/>
      <c r="G1292" s="326"/>
      <c r="H1292" s="326"/>
      <c r="P1292" s="318"/>
      <c r="Q1292" s="318"/>
      <c r="R1292" s="318"/>
      <c r="S1292" s="318"/>
      <c r="T1292" s="318"/>
      <c r="U1292" s="318"/>
      <c r="V1292" s="318"/>
      <c r="W1292" s="318"/>
      <c r="X1292" s="318"/>
      <c r="Y1292" s="318"/>
      <c r="Z1292" s="318"/>
      <c r="AA1292" s="318"/>
      <c r="AB1292" s="318"/>
      <c r="AC1292" s="318"/>
      <c r="AD1292" s="318"/>
    </row>
    <row r="1293" spans="2:30" s="323" customFormat="1" ht="12" customHeight="1">
      <c r="B1293" s="324"/>
      <c r="C1293" s="325"/>
      <c r="D1293" s="326"/>
      <c r="E1293" s="326"/>
      <c r="F1293" s="326"/>
      <c r="G1293" s="326"/>
      <c r="H1293" s="326"/>
      <c r="P1293" s="318"/>
      <c r="Q1293" s="318"/>
      <c r="R1293" s="318"/>
      <c r="S1293" s="318"/>
      <c r="T1293" s="318"/>
      <c r="U1293" s="318"/>
      <c r="V1293" s="318"/>
      <c r="W1293" s="318"/>
      <c r="X1293" s="318"/>
      <c r="Y1293" s="318"/>
      <c r="Z1293" s="318"/>
      <c r="AA1293" s="318"/>
      <c r="AB1293" s="318"/>
      <c r="AC1293" s="318"/>
      <c r="AD1293" s="318"/>
    </row>
    <row r="1294" spans="2:30" s="323" customFormat="1" ht="12" customHeight="1">
      <c r="B1294" s="324"/>
      <c r="C1294" s="325"/>
      <c r="D1294" s="326"/>
      <c r="E1294" s="326"/>
      <c r="F1294" s="326"/>
      <c r="G1294" s="326"/>
      <c r="H1294" s="326"/>
      <c r="P1294" s="318"/>
      <c r="Q1294" s="318"/>
      <c r="R1294" s="318"/>
      <c r="S1294" s="318"/>
      <c r="T1294" s="318"/>
      <c r="U1294" s="318"/>
      <c r="V1294" s="318"/>
      <c r="W1294" s="318"/>
      <c r="X1294" s="318"/>
      <c r="Y1294" s="318"/>
      <c r="Z1294" s="318"/>
      <c r="AA1294" s="318"/>
      <c r="AB1294" s="318"/>
      <c r="AC1294" s="318"/>
      <c r="AD1294" s="318"/>
    </row>
    <row r="1295" spans="2:30" s="323" customFormat="1" ht="12" customHeight="1">
      <c r="B1295" s="324"/>
      <c r="C1295" s="325"/>
      <c r="D1295" s="326"/>
      <c r="E1295" s="326"/>
      <c r="F1295" s="326"/>
      <c r="G1295" s="326"/>
      <c r="H1295" s="326"/>
      <c r="P1295" s="318"/>
      <c r="Q1295" s="318"/>
      <c r="R1295" s="318"/>
      <c r="S1295" s="318"/>
      <c r="T1295" s="318"/>
      <c r="U1295" s="318"/>
      <c r="V1295" s="318"/>
      <c r="W1295" s="318"/>
      <c r="X1295" s="318"/>
      <c r="Y1295" s="318"/>
      <c r="Z1295" s="318"/>
      <c r="AA1295" s="318"/>
      <c r="AB1295" s="318"/>
      <c r="AC1295" s="318"/>
      <c r="AD1295" s="318"/>
    </row>
    <row r="1296" spans="2:30" s="323" customFormat="1" ht="12" customHeight="1">
      <c r="B1296" s="324"/>
      <c r="C1296" s="325"/>
      <c r="D1296" s="326"/>
      <c r="E1296" s="326"/>
      <c r="F1296" s="326"/>
      <c r="G1296" s="326"/>
      <c r="H1296" s="326"/>
      <c r="P1296" s="318"/>
      <c r="Q1296" s="318"/>
      <c r="R1296" s="318"/>
      <c r="S1296" s="318"/>
      <c r="T1296" s="318"/>
      <c r="U1296" s="318"/>
      <c r="V1296" s="318"/>
      <c r="W1296" s="318"/>
      <c r="X1296" s="318"/>
      <c r="Y1296" s="318"/>
      <c r="Z1296" s="318"/>
      <c r="AA1296" s="318"/>
      <c r="AB1296" s="318"/>
      <c r="AC1296" s="318"/>
      <c r="AD1296" s="318"/>
    </row>
    <row r="1297" spans="2:30" s="323" customFormat="1" ht="12" customHeight="1">
      <c r="B1297" s="324"/>
      <c r="C1297" s="325"/>
      <c r="D1297" s="326"/>
      <c r="E1297" s="326"/>
      <c r="F1297" s="326"/>
      <c r="G1297" s="326"/>
      <c r="H1297" s="326"/>
      <c r="P1297" s="318"/>
      <c r="Q1297" s="318"/>
      <c r="R1297" s="318"/>
      <c r="S1297" s="318"/>
      <c r="T1297" s="318"/>
      <c r="U1297" s="318"/>
      <c r="V1297" s="318"/>
      <c r="W1297" s="318"/>
      <c r="X1297" s="318"/>
      <c r="Y1297" s="318"/>
      <c r="Z1297" s="318"/>
      <c r="AA1297" s="318"/>
      <c r="AB1297" s="318"/>
      <c r="AC1297" s="318"/>
      <c r="AD1297" s="318"/>
    </row>
    <row r="1298" spans="2:30" s="323" customFormat="1" ht="12" customHeight="1">
      <c r="B1298" s="324"/>
      <c r="C1298" s="325"/>
      <c r="D1298" s="326"/>
      <c r="E1298" s="326"/>
      <c r="F1298" s="326"/>
      <c r="G1298" s="326"/>
      <c r="H1298" s="326"/>
      <c r="P1298" s="318"/>
      <c r="Q1298" s="318"/>
      <c r="R1298" s="318"/>
      <c r="S1298" s="318"/>
      <c r="T1298" s="318"/>
      <c r="U1298" s="318"/>
      <c r="V1298" s="318"/>
      <c r="W1298" s="318"/>
      <c r="X1298" s="318"/>
      <c r="Y1298" s="318"/>
      <c r="Z1298" s="318"/>
      <c r="AA1298" s="318"/>
      <c r="AB1298" s="318"/>
      <c r="AC1298" s="318"/>
      <c r="AD1298" s="318"/>
    </row>
    <row r="1299" spans="2:30" s="323" customFormat="1" ht="12" customHeight="1">
      <c r="B1299" s="324"/>
      <c r="C1299" s="325"/>
      <c r="D1299" s="326"/>
      <c r="E1299" s="326"/>
      <c r="F1299" s="326"/>
      <c r="G1299" s="326"/>
      <c r="H1299" s="326"/>
      <c r="P1299" s="318"/>
      <c r="Q1299" s="318"/>
      <c r="R1299" s="318"/>
      <c r="S1299" s="318"/>
      <c r="T1299" s="318"/>
      <c r="U1299" s="318"/>
      <c r="V1299" s="318"/>
      <c r="W1299" s="318"/>
      <c r="X1299" s="318"/>
      <c r="Y1299" s="318"/>
      <c r="Z1299" s="318"/>
      <c r="AA1299" s="318"/>
      <c r="AB1299" s="318"/>
      <c r="AC1299" s="318"/>
      <c r="AD1299" s="318"/>
    </row>
    <row r="1300" spans="2:30" s="323" customFormat="1" ht="12" customHeight="1">
      <c r="B1300" s="324"/>
      <c r="C1300" s="325"/>
      <c r="D1300" s="326"/>
      <c r="E1300" s="326"/>
      <c r="F1300" s="326"/>
      <c r="G1300" s="326"/>
      <c r="H1300" s="326"/>
      <c r="P1300" s="318"/>
      <c r="Q1300" s="318"/>
      <c r="R1300" s="318"/>
      <c r="S1300" s="318"/>
      <c r="T1300" s="318"/>
      <c r="U1300" s="318"/>
      <c r="V1300" s="318"/>
      <c r="W1300" s="318"/>
      <c r="X1300" s="318"/>
      <c r="Y1300" s="318"/>
      <c r="Z1300" s="318"/>
      <c r="AA1300" s="318"/>
      <c r="AB1300" s="318"/>
      <c r="AC1300" s="318"/>
      <c r="AD1300" s="318"/>
    </row>
    <row r="1301" spans="2:30" s="323" customFormat="1" ht="12" customHeight="1">
      <c r="B1301" s="324"/>
      <c r="C1301" s="325"/>
      <c r="D1301" s="326"/>
      <c r="E1301" s="326"/>
      <c r="F1301" s="326"/>
      <c r="G1301" s="326"/>
      <c r="H1301" s="326"/>
      <c r="P1301" s="318"/>
      <c r="Q1301" s="318"/>
      <c r="R1301" s="318"/>
      <c r="S1301" s="318"/>
      <c r="T1301" s="318"/>
      <c r="U1301" s="318"/>
      <c r="V1301" s="318"/>
      <c r="W1301" s="318"/>
      <c r="X1301" s="318"/>
      <c r="Y1301" s="318"/>
      <c r="Z1301" s="318"/>
      <c r="AA1301" s="318"/>
      <c r="AB1301" s="318"/>
      <c r="AC1301" s="318"/>
      <c r="AD1301" s="318"/>
    </row>
    <row r="1302" spans="2:30" s="323" customFormat="1" ht="12" customHeight="1">
      <c r="B1302" s="324"/>
      <c r="C1302" s="325"/>
      <c r="D1302" s="326"/>
      <c r="E1302" s="326"/>
      <c r="F1302" s="326"/>
      <c r="G1302" s="326"/>
      <c r="H1302" s="326"/>
      <c r="P1302" s="318"/>
      <c r="Q1302" s="318"/>
      <c r="R1302" s="318"/>
      <c r="S1302" s="318"/>
      <c r="T1302" s="318"/>
      <c r="U1302" s="318"/>
      <c r="V1302" s="318"/>
      <c r="W1302" s="318"/>
      <c r="X1302" s="318"/>
      <c r="Y1302" s="318"/>
      <c r="Z1302" s="318"/>
      <c r="AA1302" s="318"/>
      <c r="AB1302" s="318"/>
      <c r="AC1302" s="318"/>
      <c r="AD1302" s="318"/>
    </row>
    <row r="1303" spans="2:30" s="323" customFormat="1" ht="12" customHeight="1">
      <c r="B1303" s="324"/>
      <c r="C1303" s="325"/>
      <c r="D1303" s="326"/>
      <c r="E1303" s="326"/>
      <c r="F1303" s="326"/>
      <c r="G1303" s="326"/>
      <c r="H1303" s="326"/>
      <c r="P1303" s="318"/>
      <c r="Q1303" s="318"/>
      <c r="R1303" s="318"/>
      <c r="S1303" s="318"/>
      <c r="T1303" s="318"/>
      <c r="U1303" s="318"/>
      <c r="V1303" s="318"/>
      <c r="W1303" s="318"/>
      <c r="X1303" s="318"/>
      <c r="Y1303" s="318"/>
      <c r="Z1303" s="318"/>
      <c r="AA1303" s="318"/>
      <c r="AB1303" s="318"/>
      <c r="AC1303" s="318"/>
      <c r="AD1303" s="318"/>
    </row>
    <row r="1304" spans="2:30" s="323" customFormat="1" ht="12" customHeight="1">
      <c r="B1304" s="324"/>
      <c r="C1304" s="325"/>
      <c r="D1304" s="326"/>
      <c r="E1304" s="326"/>
      <c r="F1304" s="326"/>
      <c r="G1304" s="326"/>
      <c r="H1304" s="326"/>
      <c r="P1304" s="318"/>
      <c r="Q1304" s="318"/>
      <c r="R1304" s="318"/>
      <c r="S1304" s="318"/>
      <c r="T1304" s="318"/>
      <c r="U1304" s="318"/>
      <c r="V1304" s="318"/>
      <c r="W1304" s="318"/>
      <c r="X1304" s="318"/>
      <c r="Y1304" s="318"/>
      <c r="Z1304" s="318"/>
      <c r="AA1304" s="318"/>
      <c r="AB1304" s="318"/>
      <c r="AC1304" s="318"/>
      <c r="AD1304" s="318"/>
    </row>
    <row r="1305" spans="2:30" s="323" customFormat="1" ht="12" customHeight="1">
      <c r="B1305" s="324"/>
      <c r="C1305" s="325"/>
      <c r="D1305" s="326"/>
      <c r="E1305" s="326"/>
      <c r="F1305" s="326"/>
      <c r="G1305" s="326"/>
      <c r="H1305" s="326"/>
      <c r="P1305" s="318"/>
      <c r="Q1305" s="318"/>
      <c r="R1305" s="318"/>
      <c r="S1305" s="318"/>
      <c r="T1305" s="318"/>
      <c r="U1305" s="318"/>
      <c r="V1305" s="318"/>
      <c r="W1305" s="318"/>
      <c r="X1305" s="318"/>
      <c r="Y1305" s="318"/>
      <c r="Z1305" s="318"/>
      <c r="AA1305" s="318"/>
      <c r="AB1305" s="318"/>
      <c r="AC1305" s="318"/>
      <c r="AD1305" s="318"/>
    </row>
    <row r="1306" spans="2:30" s="323" customFormat="1" ht="12" customHeight="1">
      <c r="B1306" s="324"/>
      <c r="C1306" s="325"/>
      <c r="D1306" s="326"/>
      <c r="E1306" s="326"/>
      <c r="F1306" s="326"/>
      <c r="G1306" s="326"/>
      <c r="H1306" s="326"/>
      <c r="P1306" s="318"/>
      <c r="Q1306" s="318"/>
      <c r="R1306" s="318"/>
      <c r="S1306" s="318"/>
      <c r="T1306" s="318"/>
      <c r="U1306" s="318"/>
      <c r="V1306" s="318"/>
      <c r="W1306" s="318"/>
      <c r="X1306" s="318"/>
      <c r="Y1306" s="318"/>
      <c r="Z1306" s="318"/>
      <c r="AA1306" s="318"/>
      <c r="AB1306" s="318"/>
      <c r="AC1306" s="318"/>
      <c r="AD1306" s="318"/>
    </row>
    <row r="1307" spans="2:30" s="323" customFormat="1" ht="12" customHeight="1">
      <c r="B1307" s="324"/>
      <c r="C1307" s="325"/>
      <c r="D1307" s="326"/>
      <c r="E1307" s="326"/>
      <c r="F1307" s="326"/>
      <c r="G1307" s="326"/>
      <c r="H1307" s="326"/>
      <c r="P1307" s="318"/>
      <c r="Q1307" s="318"/>
      <c r="R1307" s="318"/>
      <c r="S1307" s="318"/>
      <c r="T1307" s="318"/>
      <c r="U1307" s="318"/>
      <c r="V1307" s="318"/>
      <c r="W1307" s="318"/>
      <c r="X1307" s="318"/>
      <c r="Y1307" s="318"/>
      <c r="Z1307" s="318"/>
      <c r="AA1307" s="318"/>
      <c r="AB1307" s="318"/>
      <c r="AC1307" s="318"/>
      <c r="AD1307" s="318"/>
    </row>
    <row r="1308" spans="2:30" s="323" customFormat="1" ht="12" customHeight="1">
      <c r="B1308" s="324"/>
      <c r="C1308" s="325"/>
      <c r="D1308" s="326"/>
      <c r="E1308" s="326"/>
      <c r="F1308" s="326"/>
      <c r="G1308" s="326"/>
      <c r="H1308" s="326"/>
      <c r="P1308" s="318"/>
      <c r="Q1308" s="318"/>
      <c r="R1308" s="318"/>
      <c r="S1308" s="318"/>
      <c r="T1308" s="318"/>
      <c r="U1308" s="318"/>
      <c r="V1308" s="318"/>
      <c r="W1308" s="318"/>
      <c r="X1308" s="318"/>
      <c r="Y1308" s="318"/>
      <c r="Z1308" s="318"/>
      <c r="AA1308" s="318"/>
      <c r="AB1308" s="318"/>
      <c r="AC1308" s="318"/>
      <c r="AD1308" s="318"/>
    </row>
    <row r="1309" spans="2:30" s="323" customFormat="1" ht="12" customHeight="1">
      <c r="B1309" s="324"/>
      <c r="C1309" s="325"/>
      <c r="D1309" s="326"/>
      <c r="E1309" s="326"/>
      <c r="F1309" s="326"/>
      <c r="G1309" s="326"/>
      <c r="H1309" s="326"/>
      <c r="P1309" s="318"/>
      <c r="Q1309" s="318"/>
      <c r="R1309" s="318"/>
      <c r="S1309" s="318"/>
      <c r="T1309" s="318"/>
      <c r="U1309" s="318"/>
      <c r="V1309" s="318"/>
      <c r="W1309" s="318"/>
      <c r="X1309" s="318"/>
      <c r="Y1309" s="318"/>
      <c r="Z1309" s="318"/>
      <c r="AA1309" s="318"/>
      <c r="AB1309" s="318"/>
      <c r="AC1309" s="318"/>
      <c r="AD1309" s="318"/>
    </row>
    <row r="1310" spans="2:30" s="323" customFormat="1" ht="12" customHeight="1">
      <c r="B1310" s="324"/>
      <c r="C1310" s="325"/>
      <c r="D1310" s="326"/>
      <c r="E1310" s="326"/>
      <c r="F1310" s="326"/>
      <c r="G1310" s="326"/>
      <c r="H1310" s="326"/>
      <c r="P1310" s="318"/>
      <c r="Q1310" s="318"/>
      <c r="R1310" s="318"/>
      <c r="S1310" s="318"/>
      <c r="T1310" s="318"/>
      <c r="U1310" s="318"/>
      <c r="V1310" s="318"/>
      <c r="W1310" s="318"/>
      <c r="X1310" s="318"/>
      <c r="Y1310" s="318"/>
      <c r="Z1310" s="318"/>
      <c r="AA1310" s="318"/>
      <c r="AB1310" s="318"/>
      <c r="AC1310" s="318"/>
      <c r="AD1310" s="318"/>
    </row>
    <row r="1311" spans="2:30" s="323" customFormat="1" ht="12" customHeight="1">
      <c r="B1311" s="324"/>
      <c r="C1311" s="325"/>
      <c r="D1311" s="326"/>
      <c r="E1311" s="326"/>
      <c r="F1311" s="326"/>
      <c r="G1311" s="326"/>
      <c r="H1311" s="326"/>
      <c r="P1311" s="318"/>
      <c r="Q1311" s="318"/>
      <c r="R1311" s="318"/>
      <c r="S1311" s="318"/>
      <c r="T1311" s="318"/>
      <c r="U1311" s="318"/>
      <c r="V1311" s="318"/>
      <c r="W1311" s="318"/>
      <c r="X1311" s="318"/>
      <c r="Y1311" s="318"/>
      <c r="Z1311" s="318"/>
      <c r="AA1311" s="318"/>
      <c r="AB1311" s="318"/>
      <c r="AC1311" s="318"/>
      <c r="AD1311" s="318"/>
    </row>
    <row r="1312" spans="2:30" s="323" customFormat="1" ht="12" customHeight="1">
      <c r="B1312" s="324"/>
      <c r="C1312" s="325"/>
      <c r="D1312" s="326"/>
      <c r="E1312" s="326"/>
      <c r="F1312" s="326"/>
      <c r="G1312" s="326"/>
      <c r="H1312" s="326"/>
      <c r="P1312" s="318"/>
      <c r="Q1312" s="318"/>
      <c r="R1312" s="318"/>
      <c r="S1312" s="318"/>
      <c r="T1312" s="318"/>
      <c r="U1312" s="318"/>
      <c r="V1312" s="318"/>
      <c r="W1312" s="318"/>
      <c r="X1312" s="318"/>
      <c r="Y1312" s="318"/>
      <c r="Z1312" s="318"/>
      <c r="AA1312" s="318"/>
      <c r="AB1312" s="318"/>
      <c r="AC1312" s="318"/>
      <c r="AD1312" s="318"/>
    </row>
    <row r="1313" spans="2:30" s="323" customFormat="1" ht="12" customHeight="1">
      <c r="B1313" s="324"/>
      <c r="C1313" s="325"/>
      <c r="D1313" s="326"/>
      <c r="E1313" s="326"/>
      <c r="F1313" s="326"/>
      <c r="G1313" s="326"/>
      <c r="H1313" s="326"/>
      <c r="P1313" s="318"/>
      <c r="Q1313" s="318"/>
      <c r="R1313" s="318"/>
      <c r="S1313" s="318"/>
      <c r="T1313" s="318"/>
      <c r="U1313" s="318"/>
      <c r="V1313" s="318"/>
      <c r="W1313" s="318"/>
      <c r="X1313" s="318"/>
      <c r="Y1313" s="318"/>
      <c r="Z1313" s="318"/>
      <c r="AA1313" s="318"/>
      <c r="AB1313" s="318"/>
      <c r="AC1313" s="318"/>
      <c r="AD1313" s="318"/>
    </row>
    <row r="1314" spans="2:30" s="323" customFormat="1" ht="12" customHeight="1">
      <c r="B1314" s="324"/>
      <c r="C1314" s="325"/>
      <c r="D1314" s="326"/>
      <c r="E1314" s="326"/>
      <c r="F1314" s="326"/>
      <c r="G1314" s="326"/>
      <c r="H1314" s="326"/>
      <c r="P1314" s="318"/>
      <c r="Q1314" s="318"/>
      <c r="R1314" s="318"/>
      <c r="S1314" s="318"/>
      <c r="T1314" s="318"/>
      <c r="U1314" s="318"/>
      <c r="V1314" s="318"/>
      <c r="W1314" s="318"/>
      <c r="X1314" s="318"/>
      <c r="Y1314" s="318"/>
      <c r="Z1314" s="318"/>
      <c r="AA1314" s="318"/>
      <c r="AB1314" s="318"/>
      <c r="AC1314" s="318"/>
      <c r="AD1314" s="318"/>
    </row>
    <row r="1315" spans="2:30" s="323" customFormat="1" ht="12" customHeight="1">
      <c r="B1315" s="324"/>
      <c r="C1315" s="325"/>
      <c r="D1315" s="326"/>
      <c r="E1315" s="326"/>
      <c r="F1315" s="326"/>
      <c r="G1315" s="326"/>
      <c r="H1315" s="326"/>
      <c r="P1315" s="318"/>
      <c r="Q1315" s="318"/>
      <c r="R1315" s="318"/>
      <c r="S1315" s="318"/>
      <c r="T1315" s="318"/>
      <c r="U1315" s="318"/>
      <c r="V1315" s="318"/>
      <c r="W1315" s="318"/>
      <c r="X1315" s="318"/>
      <c r="Y1315" s="318"/>
      <c r="Z1315" s="318"/>
      <c r="AA1315" s="318"/>
      <c r="AB1315" s="318"/>
      <c r="AC1315" s="318"/>
      <c r="AD1315" s="318"/>
    </row>
    <row r="1316" spans="2:30" s="323" customFormat="1" ht="12" customHeight="1">
      <c r="B1316" s="324"/>
      <c r="C1316" s="325"/>
      <c r="D1316" s="326"/>
      <c r="E1316" s="326"/>
      <c r="F1316" s="326"/>
      <c r="G1316" s="326"/>
      <c r="H1316" s="326"/>
      <c r="P1316" s="318"/>
      <c r="Q1316" s="318"/>
      <c r="R1316" s="318"/>
      <c r="S1316" s="318"/>
      <c r="T1316" s="318"/>
      <c r="U1316" s="318"/>
      <c r="V1316" s="318"/>
      <c r="W1316" s="318"/>
      <c r="X1316" s="318"/>
      <c r="Y1316" s="318"/>
      <c r="Z1316" s="318"/>
      <c r="AA1316" s="318"/>
      <c r="AB1316" s="318"/>
      <c r="AC1316" s="318"/>
      <c r="AD1316" s="318"/>
    </row>
    <row r="1317" spans="2:30" s="323" customFormat="1" ht="12" customHeight="1">
      <c r="B1317" s="324"/>
      <c r="C1317" s="325"/>
      <c r="D1317" s="326"/>
      <c r="E1317" s="326"/>
      <c r="F1317" s="326"/>
      <c r="G1317" s="326"/>
      <c r="H1317" s="326"/>
      <c r="P1317" s="318"/>
      <c r="Q1317" s="318"/>
      <c r="R1317" s="318"/>
      <c r="S1317" s="318"/>
      <c r="T1317" s="318"/>
      <c r="U1317" s="318"/>
      <c r="V1317" s="318"/>
      <c r="W1317" s="318"/>
      <c r="X1317" s="318"/>
      <c r="Y1317" s="318"/>
      <c r="Z1317" s="318"/>
      <c r="AA1317" s="318"/>
      <c r="AB1317" s="318"/>
      <c r="AC1317" s="318"/>
      <c r="AD1317" s="318"/>
    </row>
    <row r="1318" spans="2:30" s="323" customFormat="1" ht="12" customHeight="1">
      <c r="B1318" s="324"/>
      <c r="C1318" s="325"/>
      <c r="D1318" s="326"/>
      <c r="E1318" s="326"/>
      <c r="F1318" s="326"/>
      <c r="G1318" s="326"/>
      <c r="H1318" s="326"/>
      <c r="P1318" s="318"/>
      <c r="Q1318" s="318"/>
      <c r="R1318" s="318"/>
      <c r="S1318" s="318"/>
      <c r="T1318" s="318"/>
      <c r="U1318" s="318"/>
      <c r="V1318" s="318"/>
      <c r="W1318" s="318"/>
      <c r="X1318" s="318"/>
      <c r="Y1318" s="318"/>
      <c r="Z1318" s="318"/>
      <c r="AA1318" s="318"/>
      <c r="AB1318" s="318"/>
      <c r="AC1318" s="318"/>
      <c r="AD1318" s="318"/>
    </row>
    <row r="1319" spans="2:30" s="323" customFormat="1" ht="12" customHeight="1">
      <c r="B1319" s="324"/>
      <c r="C1319" s="325"/>
      <c r="D1319" s="326"/>
      <c r="E1319" s="326"/>
      <c r="F1319" s="326"/>
      <c r="G1319" s="326"/>
      <c r="H1319" s="326"/>
      <c r="P1319" s="318"/>
      <c r="Q1319" s="318"/>
      <c r="R1319" s="318"/>
      <c r="S1319" s="318"/>
      <c r="T1319" s="318"/>
      <c r="U1319" s="318"/>
      <c r="V1319" s="318"/>
      <c r="W1319" s="318"/>
      <c r="X1319" s="318"/>
      <c r="Y1319" s="318"/>
      <c r="Z1319" s="318"/>
      <c r="AA1319" s="318"/>
      <c r="AB1319" s="318"/>
      <c r="AC1319" s="318"/>
      <c r="AD1319" s="318"/>
    </row>
    <row r="1320" spans="2:30" s="323" customFormat="1" ht="12" customHeight="1">
      <c r="B1320" s="324"/>
      <c r="C1320" s="325"/>
      <c r="D1320" s="326"/>
      <c r="E1320" s="326"/>
      <c r="F1320" s="326"/>
      <c r="G1320" s="326"/>
      <c r="H1320" s="326"/>
      <c r="P1320" s="318"/>
      <c r="Q1320" s="318"/>
      <c r="R1320" s="318"/>
      <c r="S1320" s="318"/>
      <c r="T1320" s="318"/>
      <c r="U1320" s="318"/>
      <c r="V1320" s="318"/>
      <c r="W1320" s="318"/>
      <c r="X1320" s="318"/>
      <c r="Y1320" s="318"/>
      <c r="Z1320" s="318"/>
      <c r="AA1320" s="318"/>
      <c r="AB1320" s="318"/>
      <c r="AC1320" s="318"/>
      <c r="AD1320" s="318"/>
    </row>
    <row r="1321" spans="2:30" s="323" customFormat="1" ht="12" customHeight="1">
      <c r="B1321" s="324"/>
      <c r="C1321" s="325"/>
      <c r="D1321" s="326"/>
      <c r="E1321" s="326"/>
      <c r="F1321" s="326"/>
      <c r="G1321" s="326"/>
      <c r="H1321" s="326"/>
      <c r="P1321" s="318"/>
      <c r="Q1321" s="318"/>
      <c r="R1321" s="318"/>
      <c r="S1321" s="318"/>
      <c r="T1321" s="318"/>
      <c r="U1321" s="318"/>
      <c r="V1321" s="318"/>
      <c r="W1321" s="318"/>
      <c r="X1321" s="318"/>
      <c r="Y1321" s="318"/>
      <c r="Z1321" s="318"/>
      <c r="AA1321" s="318"/>
      <c r="AB1321" s="318"/>
      <c r="AC1321" s="318"/>
      <c r="AD1321" s="318"/>
    </row>
    <row r="1322" spans="2:30" s="323" customFormat="1" ht="12" customHeight="1">
      <c r="B1322" s="324"/>
      <c r="C1322" s="325"/>
      <c r="D1322" s="326"/>
      <c r="E1322" s="326"/>
      <c r="F1322" s="326"/>
      <c r="G1322" s="326"/>
      <c r="H1322" s="326"/>
      <c r="P1322" s="318"/>
      <c r="Q1322" s="318"/>
      <c r="R1322" s="318"/>
      <c r="S1322" s="318"/>
      <c r="T1322" s="318"/>
      <c r="U1322" s="318"/>
      <c r="V1322" s="318"/>
      <c r="W1322" s="318"/>
      <c r="X1322" s="318"/>
      <c r="Y1322" s="318"/>
      <c r="Z1322" s="318"/>
      <c r="AA1322" s="318"/>
      <c r="AB1322" s="318"/>
      <c r="AC1322" s="318"/>
      <c r="AD1322" s="318"/>
    </row>
    <row r="1323" spans="2:30" s="323" customFormat="1" ht="12" customHeight="1">
      <c r="B1323" s="324"/>
      <c r="C1323" s="325"/>
      <c r="D1323" s="326"/>
      <c r="E1323" s="326"/>
      <c r="F1323" s="326"/>
      <c r="G1323" s="326"/>
      <c r="H1323" s="326"/>
      <c r="P1323" s="318"/>
      <c r="Q1323" s="318"/>
      <c r="R1323" s="318"/>
      <c r="S1323" s="318"/>
      <c r="T1323" s="318"/>
      <c r="U1323" s="318"/>
      <c r="V1323" s="318"/>
      <c r="W1323" s="318"/>
      <c r="X1323" s="318"/>
      <c r="Y1323" s="318"/>
      <c r="Z1323" s="318"/>
      <c r="AA1323" s="318"/>
      <c r="AB1323" s="318"/>
      <c r="AC1323" s="318"/>
      <c r="AD1323" s="318"/>
    </row>
    <row r="1324" spans="2:30" s="323" customFormat="1" ht="12" customHeight="1">
      <c r="B1324" s="324"/>
      <c r="C1324" s="325"/>
      <c r="D1324" s="326"/>
      <c r="E1324" s="326"/>
      <c r="F1324" s="326"/>
      <c r="G1324" s="326"/>
      <c r="H1324" s="326"/>
      <c r="P1324" s="318"/>
      <c r="Q1324" s="318"/>
      <c r="R1324" s="318"/>
      <c r="S1324" s="318"/>
      <c r="T1324" s="318"/>
      <c r="U1324" s="318"/>
      <c r="V1324" s="318"/>
      <c r="W1324" s="318"/>
      <c r="X1324" s="318"/>
      <c r="Y1324" s="318"/>
      <c r="Z1324" s="318"/>
      <c r="AA1324" s="318"/>
      <c r="AB1324" s="318"/>
      <c r="AC1324" s="318"/>
      <c r="AD1324" s="318"/>
    </row>
    <row r="1325" spans="2:30" s="323" customFormat="1" ht="12" customHeight="1">
      <c r="B1325" s="324"/>
      <c r="C1325" s="325"/>
      <c r="D1325" s="326"/>
      <c r="E1325" s="326"/>
      <c r="F1325" s="326"/>
      <c r="G1325" s="326"/>
      <c r="H1325" s="326"/>
      <c r="P1325" s="318"/>
      <c r="Q1325" s="318"/>
      <c r="R1325" s="318"/>
      <c r="S1325" s="318"/>
      <c r="T1325" s="318"/>
      <c r="U1325" s="318"/>
      <c r="V1325" s="318"/>
      <c r="W1325" s="318"/>
      <c r="X1325" s="318"/>
      <c r="Y1325" s="318"/>
      <c r="Z1325" s="318"/>
      <c r="AA1325" s="318"/>
      <c r="AB1325" s="318"/>
      <c r="AC1325" s="318"/>
      <c r="AD1325" s="318"/>
    </row>
    <row r="1326" spans="2:30" s="323" customFormat="1" ht="12" customHeight="1">
      <c r="B1326" s="324"/>
      <c r="C1326" s="325"/>
      <c r="D1326" s="326"/>
      <c r="E1326" s="326"/>
      <c r="F1326" s="326"/>
      <c r="G1326" s="326"/>
      <c r="H1326" s="326"/>
      <c r="P1326" s="318"/>
      <c r="Q1326" s="318"/>
      <c r="R1326" s="318"/>
      <c r="S1326" s="318"/>
      <c r="T1326" s="318"/>
      <c r="U1326" s="318"/>
      <c r="V1326" s="318"/>
      <c r="W1326" s="318"/>
      <c r="X1326" s="318"/>
      <c r="Y1326" s="318"/>
      <c r="Z1326" s="318"/>
      <c r="AA1326" s="318"/>
      <c r="AB1326" s="318"/>
      <c r="AC1326" s="318"/>
      <c r="AD1326" s="318"/>
    </row>
    <row r="1327" spans="2:30" s="323" customFormat="1" ht="12" customHeight="1">
      <c r="B1327" s="324"/>
      <c r="C1327" s="325"/>
      <c r="D1327" s="326"/>
      <c r="E1327" s="326"/>
      <c r="F1327" s="326"/>
      <c r="G1327" s="326"/>
      <c r="H1327" s="326"/>
      <c r="P1327" s="318"/>
      <c r="Q1327" s="318"/>
      <c r="R1327" s="318"/>
      <c r="S1327" s="318"/>
      <c r="T1327" s="318"/>
      <c r="U1327" s="318"/>
      <c r="V1327" s="318"/>
      <c r="W1327" s="318"/>
      <c r="X1327" s="318"/>
      <c r="Y1327" s="318"/>
      <c r="Z1327" s="318"/>
      <c r="AA1327" s="318"/>
      <c r="AB1327" s="318"/>
      <c r="AC1327" s="318"/>
      <c r="AD1327" s="318"/>
    </row>
    <row r="1328" spans="2:30" s="323" customFormat="1" ht="12" customHeight="1">
      <c r="B1328" s="324"/>
      <c r="C1328" s="325"/>
      <c r="D1328" s="326"/>
      <c r="E1328" s="326"/>
      <c r="F1328" s="326"/>
      <c r="G1328" s="326"/>
      <c r="H1328" s="326"/>
      <c r="P1328" s="318"/>
      <c r="Q1328" s="318"/>
      <c r="R1328" s="318"/>
      <c r="S1328" s="318"/>
      <c r="T1328" s="318"/>
      <c r="U1328" s="318"/>
      <c r="V1328" s="318"/>
      <c r="W1328" s="318"/>
      <c r="X1328" s="318"/>
      <c r="Y1328" s="318"/>
      <c r="Z1328" s="318"/>
      <c r="AA1328" s="318"/>
      <c r="AB1328" s="318"/>
      <c r="AC1328" s="318"/>
      <c r="AD1328" s="318"/>
    </row>
    <row r="1329" spans="2:30" s="323" customFormat="1" ht="12" customHeight="1">
      <c r="B1329" s="324"/>
      <c r="C1329" s="325"/>
      <c r="D1329" s="326"/>
      <c r="E1329" s="326"/>
      <c r="F1329" s="326"/>
      <c r="G1329" s="326"/>
      <c r="H1329" s="326"/>
      <c r="P1329" s="318"/>
      <c r="Q1329" s="318"/>
      <c r="R1329" s="318"/>
      <c r="S1329" s="318"/>
      <c r="T1329" s="318"/>
      <c r="U1329" s="318"/>
      <c r="V1329" s="318"/>
      <c r="W1329" s="318"/>
      <c r="X1329" s="318"/>
      <c r="Y1329" s="318"/>
      <c r="Z1329" s="318"/>
      <c r="AA1329" s="318"/>
      <c r="AB1329" s="318"/>
      <c r="AC1329" s="318"/>
      <c r="AD1329" s="318"/>
    </row>
    <row r="1330" spans="2:30" s="323" customFormat="1" ht="12" customHeight="1">
      <c r="B1330" s="324"/>
      <c r="C1330" s="325"/>
      <c r="D1330" s="326"/>
      <c r="E1330" s="326"/>
      <c r="F1330" s="326"/>
      <c r="G1330" s="326"/>
      <c r="H1330" s="326"/>
      <c r="P1330" s="318"/>
      <c r="Q1330" s="318"/>
      <c r="R1330" s="318"/>
      <c r="S1330" s="318"/>
      <c r="T1330" s="318"/>
      <c r="U1330" s="318"/>
      <c r="V1330" s="318"/>
      <c r="W1330" s="318"/>
      <c r="X1330" s="318"/>
      <c r="Y1330" s="318"/>
      <c r="Z1330" s="318"/>
      <c r="AA1330" s="318"/>
      <c r="AB1330" s="318"/>
      <c r="AC1330" s="318"/>
      <c r="AD1330" s="318"/>
    </row>
    <row r="1331" spans="2:30" s="323" customFormat="1" ht="12" customHeight="1">
      <c r="B1331" s="324"/>
      <c r="C1331" s="325"/>
      <c r="D1331" s="326"/>
      <c r="E1331" s="326"/>
      <c r="F1331" s="326"/>
      <c r="G1331" s="326"/>
      <c r="H1331" s="326"/>
      <c r="P1331" s="318"/>
      <c r="Q1331" s="318"/>
      <c r="R1331" s="318"/>
      <c r="S1331" s="318"/>
      <c r="T1331" s="318"/>
      <c r="U1331" s="318"/>
      <c r="V1331" s="318"/>
      <c r="W1331" s="318"/>
      <c r="X1331" s="318"/>
      <c r="Y1331" s="318"/>
      <c r="Z1331" s="318"/>
      <c r="AA1331" s="318"/>
      <c r="AB1331" s="318"/>
      <c r="AC1331" s="318"/>
      <c r="AD1331" s="318"/>
    </row>
    <row r="1332" spans="2:30" s="323" customFormat="1" ht="12" customHeight="1">
      <c r="B1332" s="324"/>
      <c r="C1332" s="325"/>
      <c r="D1332" s="326"/>
      <c r="E1332" s="326"/>
      <c r="F1332" s="326"/>
      <c r="G1332" s="326"/>
      <c r="H1332" s="326"/>
      <c r="P1332" s="318"/>
      <c r="Q1332" s="318"/>
      <c r="R1332" s="318"/>
      <c r="S1332" s="318"/>
      <c r="T1332" s="318"/>
      <c r="U1332" s="318"/>
      <c r="V1332" s="318"/>
      <c r="W1332" s="318"/>
      <c r="X1332" s="318"/>
      <c r="Y1332" s="318"/>
      <c r="Z1332" s="318"/>
      <c r="AA1332" s="318"/>
      <c r="AB1332" s="318"/>
      <c r="AC1332" s="318"/>
      <c r="AD1332" s="318"/>
    </row>
    <row r="1333" spans="2:30" s="323" customFormat="1" ht="12" customHeight="1">
      <c r="B1333" s="324"/>
      <c r="C1333" s="325"/>
      <c r="D1333" s="326"/>
      <c r="E1333" s="326"/>
      <c r="F1333" s="326"/>
      <c r="G1333" s="326"/>
      <c r="H1333" s="326"/>
      <c r="P1333" s="318"/>
      <c r="Q1333" s="318"/>
      <c r="R1333" s="318"/>
      <c r="S1333" s="318"/>
      <c r="T1333" s="318"/>
      <c r="U1333" s="318"/>
      <c r="V1333" s="318"/>
      <c r="W1333" s="318"/>
      <c r="X1333" s="318"/>
      <c r="Y1333" s="318"/>
      <c r="Z1333" s="318"/>
      <c r="AA1333" s="318"/>
      <c r="AB1333" s="318"/>
      <c r="AC1333" s="318"/>
      <c r="AD1333" s="318"/>
    </row>
    <row r="1334" spans="2:30" s="323" customFormat="1" ht="12" customHeight="1">
      <c r="B1334" s="324"/>
      <c r="C1334" s="325"/>
      <c r="D1334" s="326"/>
      <c r="E1334" s="326"/>
      <c r="F1334" s="326"/>
      <c r="G1334" s="326"/>
      <c r="H1334" s="326"/>
      <c r="P1334" s="318"/>
      <c r="Q1334" s="318"/>
      <c r="R1334" s="318"/>
      <c r="S1334" s="318"/>
      <c r="T1334" s="318"/>
      <c r="U1334" s="318"/>
      <c r="V1334" s="318"/>
      <c r="W1334" s="318"/>
      <c r="X1334" s="318"/>
      <c r="Y1334" s="318"/>
      <c r="Z1334" s="318"/>
      <c r="AA1334" s="318"/>
      <c r="AB1334" s="318"/>
      <c r="AC1334" s="318"/>
      <c r="AD1334" s="318"/>
    </row>
    <row r="1335" spans="2:30" s="323" customFormat="1" ht="12" customHeight="1">
      <c r="B1335" s="324"/>
      <c r="C1335" s="325"/>
      <c r="D1335" s="326"/>
      <c r="E1335" s="326"/>
      <c r="F1335" s="326"/>
      <c r="G1335" s="326"/>
      <c r="H1335" s="326"/>
      <c r="P1335" s="318"/>
      <c r="Q1335" s="318"/>
      <c r="R1335" s="318"/>
      <c r="S1335" s="318"/>
      <c r="T1335" s="318"/>
      <c r="U1335" s="318"/>
      <c r="V1335" s="318"/>
      <c r="W1335" s="318"/>
      <c r="X1335" s="318"/>
      <c r="Y1335" s="318"/>
      <c r="Z1335" s="318"/>
      <c r="AA1335" s="318"/>
      <c r="AB1335" s="318"/>
      <c r="AC1335" s="318"/>
      <c r="AD1335" s="318"/>
    </row>
    <row r="1336" spans="2:30" s="323" customFormat="1" ht="12" customHeight="1">
      <c r="B1336" s="324"/>
      <c r="C1336" s="325"/>
      <c r="D1336" s="326"/>
      <c r="E1336" s="326"/>
      <c r="F1336" s="326"/>
      <c r="G1336" s="326"/>
      <c r="H1336" s="326"/>
      <c r="P1336" s="318"/>
      <c r="Q1336" s="318"/>
      <c r="R1336" s="318"/>
      <c r="S1336" s="318"/>
      <c r="T1336" s="318"/>
      <c r="U1336" s="318"/>
      <c r="V1336" s="318"/>
      <c r="W1336" s="318"/>
      <c r="X1336" s="318"/>
      <c r="Y1336" s="318"/>
      <c r="Z1336" s="318"/>
      <c r="AA1336" s="318"/>
      <c r="AB1336" s="318"/>
      <c r="AC1336" s="318"/>
      <c r="AD1336" s="318"/>
    </row>
    <row r="1337" spans="2:30" s="323" customFormat="1" ht="12" customHeight="1">
      <c r="B1337" s="324"/>
      <c r="C1337" s="325"/>
      <c r="D1337" s="326"/>
      <c r="E1337" s="326"/>
      <c r="F1337" s="326"/>
      <c r="G1337" s="326"/>
      <c r="H1337" s="326"/>
      <c r="P1337" s="318"/>
      <c r="Q1337" s="318"/>
      <c r="R1337" s="318"/>
      <c r="S1337" s="318"/>
      <c r="T1337" s="318"/>
      <c r="U1337" s="318"/>
      <c r="V1337" s="318"/>
      <c r="W1337" s="318"/>
      <c r="X1337" s="318"/>
      <c r="Y1337" s="318"/>
      <c r="Z1337" s="318"/>
      <c r="AA1337" s="318"/>
      <c r="AB1337" s="318"/>
      <c r="AC1337" s="318"/>
      <c r="AD1337" s="318"/>
    </row>
    <row r="1338" spans="2:30" s="323" customFormat="1" ht="12" customHeight="1">
      <c r="B1338" s="324"/>
      <c r="C1338" s="325"/>
      <c r="D1338" s="326"/>
      <c r="E1338" s="326"/>
      <c r="F1338" s="326"/>
      <c r="G1338" s="326"/>
      <c r="H1338" s="326"/>
      <c r="P1338" s="318"/>
      <c r="Q1338" s="318"/>
      <c r="R1338" s="318"/>
      <c r="S1338" s="318"/>
      <c r="T1338" s="318"/>
      <c r="U1338" s="318"/>
      <c r="V1338" s="318"/>
      <c r="W1338" s="318"/>
      <c r="X1338" s="318"/>
      <c r="Y1338" s="318"/>
      <c r="Z1338" s="318"/>
      <c r="AA1338" s="318"/>
      <c r="AB1338" s="318"/>
      <c r="AC1338" s="318"/>
      <c r="AD1338" s="318"/>
    </row>
    <row r="1339" spans="2:30" s="323" customFormat="1" ht="12" customHeight="1">
      <c r="B1339" s="324"/>
      <c r="C1339" s="325"/>
      <c r="D1339" s="326"/>
      <c r="E1339" s="326"/>
      <c r="F1339" s="326"/>
      <c r="G1339" s="326"/>
      <c r="H1339" s="326"/>
      <c r="P1339" s="318"/>
      <c r="Q1339" s="318"/>
      <c r="R1339" s="318"/>
      <c r="S1339" s="318"/>
      <c r="T1339" s="318"/>
      <c r="U1339" s="318"/>
      <c r="V1339" s="318"/>
      <c r="W1339" s="318"/>
      <c r="X1339" s="318"/>
      <c r="Y1339" s="318"/>
      <c r="Z1339" s="318"/>
      <c r="AA1339" s="318"/>
      <c r="AB1339" s="318"/>
      <c r="AC1339" s="318"/>
      <c r="AD1339" s="318"/>
    </row>
    <row r="1340" spans="2:30" s="323" customFormat="1" ht="12" customHeight="1">
      <c r="B1340" s="324"/>
      <c r="C1340" s="325"/>
      <c r="D1340" s="326"/>
      <c r="E1340" s="326"/>
      <c r="F1340" s="326"/>
      <c r="G1340" s="326"/>
      <c r="H1340" s="326"/>
      <c r="P1340" s="318"/>
      <c r="Q1340" s="318"/>
      <c r="R1340" s="318"/>
      <c r="S1340" s="318"/>
      <c r="T1340" s="318"/>
      <c r="U1340" s="318"/>
      <c r="V1340" s="318"/>
      <c r="W1340" s="318"/>
      <c r="X1340" s="318"/>
      <c r="Y1340" s="318"/>
      <c r="Z1340" s="318"/>
      <c r="AA1340" s="318"/>
      <c r="AB1340" s="318"/>
      <c r="AC1340" s="318"/>
      <c r="AD1340" s="318"/>
    </row>
    <row r="1341" spans="2:30" s="323" customFormat="1" ht="12" customHeight="1">
      <c r="B1341" s="324"/>
      <c r="C1341" s="325"/>
      <c r="D1341" s="326"/>
      <c r="E1341" s="326"/>
      <c r="F1341" s="326"/>
      <c r="G1341" s="326"/>
      <c r="H1341" s="326"/>
      <c r="P1341" s="318"/>
      <c r="Q1341" s="318"/>
      <c r="R1341" s="318"/>
      <c r="S1341" s="318"/>
      <c r="T1341" s="318"/>
      <c r="U1341" s="318"/>
      <c r="V1341" s="318"/>
      <c r="W1341" s="318"/>
      <c r="X1341" s="318"/>
      <c r="Y1341" s="318"/>
      <c r="Z1341" s="318"/>
      <c r="AA1341" s="318"/>
      <c r="AB1341" s="318"/>
      <c r="AC1341" s="318"/>
      <c r="AD1341" s="318"/>
    </row>
    <row r="1342" spans="2:30" s="323" customFormat="1" ht="12" customHeight="1">
      <c r="B1342" s="324"/>
      <c r="C1342" s="325"/>
      <c r="D1342" s="326"/>
      <c r="E1342" s="326"/>
      <c r="F1342" s="326"/>
      <c r="G1342" s="326"/>
      <c r="H1342" s="326"/>
      <c r="P1342" s="318"/>
      <c r="Q1342" s="318"/>
      <c r="R1342" s="318"/>
      <c r="S1342" s="318"/>
      <c r="T1342" s="318"/>
      <c r="U1342" s="318"/>
      <c r="V1342" s="318"/>
      <c r="W1342" s="318"/>
      <c r="X1342" s="318"/>
      <c r="Y1342" s="318"/>
      <c r="Z1342" s="318"/>
      <c r="AA1342" s="318"/>
      <c r="AB1342" s="318"/>
      <c r="AC1342" s="318"/>
      <c r="AD1342" s="318"/>
    </row>
    <row r="1343" spans="2:30" s="323" customFormat="1" ht="12" customHeight="1">
      <c r="B1343" s="324"/>
      <c r="C1343" s="325"/>
      <c r="D1343" s="326"/>
      <c r="E1343" s="326"/>
      <c r="F1343" s="326"/>
      <c r="G1343" s="326"/>
      <c r="H1343" s="326"/>
      <c r="P1343" s="318"/>
      <c r="Q1343" s="318"/>
      <c r="R1343" s="318"/>
      <c r="S1343" s="318"/>
      <c r="T1343" s="318"/>
      <c r="U1343" s="318"/>
      <c r="V1343" s="318"/>
      <c r="W1343" s="318"/>
      <c r="X1343" s="318"/>
      <c r="Y1343" s="318"/>
      <c r="Z1343" s="318"/>
      <c r="AA1343" s="318"/>
      <c r="AB1343" s="318"/>
      <c r="AC1343" s="318"/>
      <c r="AD1343" s="318"/>
    </row>
    <row r="1344" spans="2:30" s="323" customFormat="1" ht="12" customHeight="1">
      <c r="B1344" s="324"/>
      <c r="C1344" s="325"/>
      <c r="D1344" s="326"/>
      <c r="E1344" s="326"/>
      <c r="F1344" s="326"/>
      <c r="G1344" s="326"/>
      <c r="H1344" s="326"/>
      <c r="P1344" s="318"/>
      <c r="Q1344" s="318"/>
      <c r="R1344" s="318"/>
      <c r="S1344" s="318"/>
      <c r="T1344" s="318"/>
      <c r="U1344" s="318"/>
      <c r="V1344" s="318"/>
      <c r="W1344" s="318"/>
      <c r="X1344" s="318"/>
      <c r="Y1344" s="318"/>
      <c r="Z1344" s="318"/>
      <c r="AA1344" s="318"/>
      <c r="AB1344" s="318"/>
      <c r="AC1344" s="318"/>
      <c r="AD1344" s="318"/>
    </row>
    <row r="1345" spans="2:30" s="323" customFormat="1" ht="12" customHeight="1">
      <c r="B1345" s="324"/>
      <c r="C1345" s="325"/>
      <c r="D1345" s="326"/>
      <c r="E1345" s="326"/>
      <c r="F1345" s="326"/>
      <c r="G1345" s="326"/>
      <c r="H1345" s="326"/>
      <c r="P1345" s="318"/>
      <c r="Q1345" s="318"/>
      <c r="R1345" s="318"/>
      <c r="S1345" s="318"/>
      <c r="T1345" s="318"/>
      <c r="U1345" s="318"/>
      <c r="V1345" s="318"/>
      <c r="W1345" s="318"/>
      <c r="X1345" s="318"/>
      <c r="Y1345" s="318"/>
      <c r="Z1345" s="318"/>
      <c r="AA1345" s="318"/>
      <c r="AB1345" s="318"/>
      <c r="AC1345" s="318"/>
      <c r="AD1345" s="318"/>
    </row>
    <row r="1346" spans="2:30" s="323" customFormat="1" ht="12" customHeight="1">
      <c r="B1346" s="324"/>
      <c r="C1346" s="325"/>
      <c r="D1346" s="326"/>
      <c r="E1346" s="326"/>
      <c r="F1346" s="326"/>
      <c r="G1346" s="326"/>
      <c r="H1346" s="326"/>
      <c r="P1346" s="318"/>
      <c r="Q1346" s="318"/>
      <c r="R1346" s="318"/>
      <c r="S1346" s="318"/>
      <c r="T1346" s="318"/>
      <c r="U1346" s="318"/>
      <c r="V1346" s="318"/>
      <c r="W1346" s="318"/>
      <c r="X1346" s="318"/>
      <c r="Y1346" s="318"/>
      <c r="Z1346" s="318"/>
      <c r="AA1346" s="318"/>
      <c r="AB1346" s="318"/>
      <c r="AC1346" s="318"/>
      <c r="AD1346" s="318"/>
    </row>
    <row r="1347" spans="2:30" s="323" customFormat="1" ht="12" customHeight="1">
      <c r="B1347" s="324"/>
      <c r="C1347" s="325"/>
      <c r="D1347" s="326"/>
      <c r="E1347" s="326"/>
      <c r="F1347" s="326"/>
      <c r="G1347" s="326"/>
      <c r="H1347" s="326"/>
      <c r="P1347" s="318"/>
      <c r="Q1347" s="318"/>
      <c r="R1347" s="318"/>
      <c r="S1347" s="318"/>
      <c r="T1347" s="318"/>
      <c r="U1347" s="318"/>
      <c r="V1347" s="318"/>
      <c r="W1347" s="318"/>
      <c r="X1347" s="318"/>
      <c r="Y1347" s="318"/>
      <c r="Z1347" s="318"/>
      <c r="AA1347" s="318"/>
      <c r="AB1347" s="318"/>
      <c r="AC1347" s="318"/>
      <c r="AD1347" s="318"/>
    </row>
    <row r="1348" spans="2:30" s="323" customFormat="1" ht="12" customHeight="1">
      <c r="B1348" s="324"/>
      <c r="C1348" s="325"/>
      <c r="D1348" s="326"/>
      <c r="E1348" s="326"/>
      <c r="F1348" s="326"/>
      <c r="G1348" s="326"/>
      <c r="H1348" s="326"/>
      <c r="P1348" s="318"/>
      <c r="Q1348" s="318"/>
      <c r="R1348" s="318"/>
      <c r="S1348" s="318"/>
      <c r="T1348" s="318"/>
      <c r="U1348" s="318"/>
      <c r="V1348" s="318"/>
      <c r="W1348" s="318"/>
      <c r="X1348" s="318"/>
      <c r="Y1348" s="318"/>
      <c r="Z1348" s="318"/>
      <c r="AA1348" s="318"/>
      <c r="AB1348" s="318"/>
      <c r="AC1348" s="318"/>
      <c r="AD1348" s="318"/>
    </row>
    <row r="1349" spans="2:30" s="323" customFormat="1" ht="12" customHeight="1">
      <c r="B1349" s="324"/>
      <c r="C1349" s="325"/>
      <c r="D1349" s="326"/>
      <c r="E1349" s="326"/>
      <c r="F1349" s="326"/>
      <c r="G1349" s="326"/>
      <c r="H1349" s="326"/>
      <c r="P1349" s="318"/>
      <c r="Q1349" s="318"/>
      <c r="R1349" s="318"/>
      <c r="S1349" s="318"/>
      <c r="T1349" s="318"/>
      <c r="U1349" s="318"/>
      <c r="V1349" s="318"/>
      <c r="W1349" s="318"/>
      <c r="X1349" s="318"/>
      <c r="Y1349" s="318"/>
      <c r="Z1349" s="318"/>
      <c r="AA1349" s="318"/>
      <c r="AB1349" s="318"/>
      <c r="AC1349" s="318"/>
      <c r="AD1349" s="318"/>
    </row>
    <row r="1350" spans="2:30" s="323" customFormat="1" ht="12" customHeight="1">
      <c r="B1350" s="324"/>
      <c r="C1350" s="325"/>
      <c r="D1350" s="326"/>
      <c r="E1350" s="326"/>
      <c r="F1350" s="326"/>
      <c r="G1350" s="326"/>
      <c r="H1350" s="326"/>
      <c r="P1350" s="318"/>
      <c r="Q1350" s="318"/>
      <c r="R1350" s="318"/>
      <c r="S1350" s="318"/>
      <c r="T1350" s="318"/>
      <c r="U1350" s="318"/>
      <c r="V1350" s="318"/>
      <c r="W1350" s="318"/>
      <c r="X1350" s="318"/>
      <c r="Y1350" s="318"/>
      <c r="Z1350" s="318"/>
      <c r="AA1350" s="318"/>
      <c r="AB1350" s="318"/>
      <c r="AC1350" s="318"/>
      <c r="AD1350" s="318"/>
    </row>
    <row r="1351" spans="2:30" s="323" customFormat="1" ht="12" customHeight="1">
      <c r="B1351" s="324"/>
      <c r="C1351" s="325"/>
      <c r="D1351" s="326"/>
      <c r="E1351" s="326"/>
      <c r="F1351" s="326"/>
      <c r="G1351" s="326"/>
      <c r="H1351" s="326"/>
      <c r="P1351" s="318"/>
      <c r="Q1351" s="318"/>
      <c r="R1351" s="318"/>
      <c r="S1351" s="318"/>
      <c r="T1351" s="318"/>
      <c r="U1351" s="318"/>
      <c r="V1351" s="318"/>
      <c r="W1351" s="318"/>
      <c r="X1351" s="318"/>
      <c r="Y1351" s="318"/>
      <c r="Z1351" s="318"/>
      <c r="AA1351" s="318"/>
      <c r="AB1351" s="318"/>
      <c r="AC1351" s="318"/>
      <c r="AD1351" s="318"/>
    </row>
    <row r="1352" spans="2:30" s="323" customFormat="1" ht="12" customHeight="1">
      <c r="B1352" s="324"/>
      <c r="C1352" s="325"/>
      <c r="D1352" s="326"/>
      <c r="E1352" s="326"/>
      <c r="F1352" s="326"/>
      <c r="G1352" s="326"/>
      <c r="H1352" s="326"/>
      <c r="P1352" s="318"/>
      <c r="Q1352" s="318"/>
      <c r="R1352" s="318"/>
      <c r="S1352" s="318"/>
      <c r="T1352" s="318"/>
      <c r="U1352" s="318"/>
      <c r="V1352" s="318"/>
      <c r="W1352" s="318"/>
      <c r="X1352" s="318"/>
      <c r="Y1352" s="318"/>
      <c r="Z1352" s="318"/>
      <c r="AA1352" s="318"/>
      <c r="AB1352" s="318"/>
      <c r="AC1352" s="318"/>
      <c r="AD1352" s="318"/>
    </row>
    <row r="1353" spans="2:30" s="323" customFormat="1" ht="12" customHeight="1">
      <c r="B1353" s="324"/>
      <c r="C1353" s="325"/>
      <c r="D1353" s="326"/>
      <c r="E1353" s="326"/>
      <c r="F1353" s="326"/>
      <c r="G1353" s="326"/>
      <c r="H1353" s="326"/>
      <c r="P1353" s="318"/>
      <c r="Q1353" s="318"/>
      <c r="R1353" s="318"/>
      <c r="S1353" s="318"/>
      <c r="T1353" s="318"/>
      <c r="U1353" s="318"/>
      <c r="V1353" s="318"/>
      <c r="W1353" s="318"/>
      <c r="X1353" s="318"/>
      <c r="Y1353" s="318"/>
      <c r="Z1353" s="318"/>
      <c r="AA1353" s="318"/>
      <c r="AB1353" s="318"/>
      <c r="AC1353" s="318"/>
      <c r="AD1353" s="318"/>
    </row>
    <row r="1354" spans="2:30" s="323" customFormat="1" ht="12" customHeight="1">
      <c r="B1354" s="324"/>
      <c r="C1354" s="325"/>
      <c r="D1354" s="326"/>
      <c r="E1354" s="326"/>
      <c r="F1354" s="326"/>
      <c r="G1354" s="326"/>
      <c r="H1354" s="326"/>
      <c r="P1354" s="318"/>
      <c r="Q1354" s="318"/>
      <c r="R1354" s="318"/>
      <c r="S1354" s="318"/>
      <c r="T1354" s="318"/>
      <c r="U1354" s="318"/>
      <c r="V1354" s="318"/>
      <c r="W1354" s="318"/>
      <c r="X1354" s="318"/>
      <c r="Y1354" s="318"/>
      <c r="Z1354" s="318"/>
      <c r="AA1354" s="318"/>
      <c r="AB1354" s="318"/>
      <c r="AC1354" s="318"/>
      <c r="AD1354" s="318"/>
    </row>
    <row r="1355" spans="2:30" s="323" customFormat="1" ht="12" customHeight="1">
      <c r="B1355" s="324"/>
      <c r="C1355" s="325"/>
      <c r="D1355" s="326"/>
      <c r="E1355" s="326"/>
      <c r="F1355" s="326"/>
      <c r="G1355" s="326"/>
      <c r="H1355" s="326"/>
      <c r="P1355" s="318"/>
      <c r="Q1355" s="318"/>
      <c r="R1355" s="318"/>
      <c r="S1355" s="318"/>
      <c r="T1355" s="318"/>
      <c r="U1355" s="318"/>
      <c r="V1355" s="318"/>
      <c r="W1355" s="318"/>
      <c r="X1355" s="318"/>
      <c r="Y1355" s="318"/>
      <c r="Z1355" s="318"/>
      <c r="AA1355" s="318"/>
      <c r="AB1355" s="318"/>
      <c r="AC1355" s="318"/>
      <c r="AD1355" s="318"/>
    </row>
    <row r="1356" spans="2:30" s="323" customFormat="1" ht="12" customHeight="1">
      <c r="B1356" s="324"/>
      <c r="C1356" s="325"/>
      <c r="D1356" s="326"/>
      <c r="E1356" s="326"/>
      <c r="F1356" s="326"/>
      <c r="G1356" s="326"/>
      <c r="H1356" s="326"/>
      <c r="P1356" s="318"/>
      <c r="Q1356" s="318"/>
      <c r="R1356" s="318"/>
      <c r="S1356" s="318"/>
      <c r="T1356" s="318"/>
      <c r="U1356" s="318"/>
      <c r="V1356" s="318"/>
      <c r="W1356" s="318"/>
      <c r="X1356" s="318"/>
      <c r="Y1356" s="318"/>
      <c r="Z1356" s="318"/>
      <c r="AA1356" s="318"/>
      <c r="AB1356" s="318"/>
      <c r="AC1356" s="318"/>
      <c r="AD1356" s="318"/>
    </row>
    <row r="1357" spans="2:30" s="323" customFormat="1" ht="12" customHeight="1">
      <c r="B1357" s="324"/>
      <c r="C1357" s="325"/>
      <c r="D1357" s="326"/>
      <c r="E1357" s="326"/>
      <c r="F1357" s="326"/>
      <c r="G1357" s="326"/>
      <c r="H1357" s="326"/>
      <c r="P1357" s="318"/>
      <c r="Q1357" s="318"/>
      <c r="R1357" s="318"/>
      <c r="S1357" s="318"/>
      <c r="T1357" s="318"/>
      <c r="U1357" s="318"/>
      <c r="V1357" s="318"/>
      <c r="W1357" s="318"/>
      <c r="X1357" s="318"/>
      <c r="Y1357" s="318"/>
      <c r="Z1357" s="318"/>
      <c r="AA1357" s="318"/>
      <c r="AB1357" s="318"/>
      <c r="AC1357" s="318"/>
      <c r="AD1357" s="318"/>
    </row>
    <row r="1358" spans="2:30" s="323" customFormat="1" ht="12" customHeight="1">
      <c r="B1358" s="324"/>
      <c r="C1358" s="325"/>
      <c r="D1358" s="326"/>
      <c r="E1358" s="326"/>
      <c r="F1358" s="326"/>
      <c r="G1358" s="326"/>
      <c r="H1358" s="326"/>
      <c r="P1358" s="318"/>
      <c r="Q1358" s="318"/>
      <c r="R1358" s="318"/>
      <c r="S1358" s="318"/>
      <c r="T1358" s="318"/>
      <c r="U1358" s="318"/>
      <c r="V1358" s="318"/>
      <c r="W1358" s="318"/>
      <c r="X1358" s="318"/>
      <c r="Y1358" s="318"/>
      <c r="Z1358" s="318"/>
      <c r="AA1358" s="318"/>
      <c r="AB1358" s="318"/>
      <c r="AC1358" s="318"/>
      <c r="AD1358" s="318"/>
    </row>
    <row r="1359" spans="2:30" s="323" customFormat="1" ht="12" customHeight="1">
      <c r="B1359" s="324"/>
      <c r="C1359" s="325"/>
      <c r="D1359" s="326"/>
      <c r="E1359" s="326"/>
      <c r="F1359" s="326"/>
      <c r="G1359" s="326"/>
      <c r="H1359" s="326"/>
      <c r="P1359" s="318"/>
      <c r="Q1359" s="318"/>
      <c r="R1359" s="318"/>
      <c r="S1359" s="318"/>
      <c r="T1359" s="318"/>
      <c r="U1359" s="318"/>
      <c r="V1359" s="318"/>
      <c r="W1359" s="318"/>
      <c r="X1359" s="318"/>
      <c r="Y1359" s="318"/>
      <c r="Z1359" s="318"/>
      <c r="AA1359" s="318"/>
      <c r="AB1359" s="318"/>
      <c r="AC1359" s="318"/>
      <c r="AD1359" s="318"/>
    </row>
    <row r="1360" spans="2:30" s="323" customFormat="1" ht="12" customHeight="1">
      <c r="B1360" s="324"/>
      <c r="C1360" s="325"/>
      <c r="D1360" s="326"/>
      <c r="E1360" s="326"/>
      <c r="F1360" s="326"/>
      <c r="G1360" s="326"/>
      <c r="H1360" s="326"/>
      <c r="P1360" s="318"/>
      <c r="Q1360" s="318"/>
      <c r="R1360" s="318"/>
      <c r="S1360" s="318"/>
      <c r="T1360" s="318"/>
      <c r="U1360" s="318"/>
      <c r="V1360" s="318"/>
      <c r="W1360" s="318"/>
      <c r="X1360" s="318"/>
      <c r="Y1360" s="318"/>
      <c r="Z1360" s="318"/>
      <c r="AA1360" s="318"/>
      <c r="AB1360" s="318"/>
      <c r="AC1360" s="318"/>
      <c r="AD1360" s="318"/>
    </row>
    <row r="1361" spans="2:30" s="323" customFormat="1" ht="12" customHeight="1">
      <c r="B1361" s="324"/>
      <c r="C1361" s="325"/>
      <c r="D1361" s="326"/>
      <c r="E1361" s="326"/>
      <c r="F1361" s="326"/>
      <c r="G1361" s="326"/>
      <c r="H1361" s="326"/>
      <c r="P1361" s="318"/>
      <c r="Q1361" s="318"/>
      <c r="R1361" s="318"/>
      <c r="S1361" s="318"/>
      <c r="T1361" s="318"/>
      <c r="U1361" s="318"/>
      <c r="V1361" s="318"/>
      <c r="W1361" s="318"/>
      <c r="X1361" s="318"/>
      <c r="Y1361" s="318"/>
      <c r="Z1361" s="318"/>
      <c r="AA1361" s="318"/>
      <c r="AB1361" s="318"/>
      <c r="AC1361" s="318"/>
      <c r="AD1361" s="318"/>
    </row>
    <row r="1362" spans="2:30" s="323" customFormat="1" ht="12" customHeight="1">
      <c r="B1362" s="324"/>
      <c r="C1362" s="325"/>
      <c r="D1362" s="326"/>
      <c r="E1362" s="326"/>
      <c r="F1362" s="326"/>
      <c r="G1362" s="326"/>
      <c r="H1362" s="326"/>
      <c r="P1362" s="318"/>
      <c r="Q1362" s="318"/>
      <c r="R1362" s="318"/>
      <c r="S1362" s="318"/>
      <c r="T1362" s="318"/>
      <c r="U1362" s="318"/>
      <c r="V1362" s="318"/>
      <c r="W1362" s="318"/>
      <c r="X1362" s="318"/>
      <c r="Y1362" s="318"/>
      <c r="Z1362" s="318"/>
      <c r="AA1362" s="318"/>
      <c r="AB1362" s="318"/>
      <c r="AC1362" s="318"/>
      <c r="AD1362" s="318"/>
    </row>
    <row r="1363" spans="2:30" s="323" customFormat="1" ht="12" customHeight="1">
      <c r="B1363" s="324"/>
      <c r="C1363" s="325"/>
      <c r="D1363" s="326"/>
      <c r="E1363" s="326"/>
      <c r="F1363" s="326"/>
      <c r="G1363" s="326"/>
      <c r="H1363" s="326"/>
      <c r="P1363" s="318"/>
      <c r="Q1363" s="318"/>
      <c r="R1363" s="318"/>
      <c r="S1363" s="318"/>
      <c r="T1363" s="318"/>
      <c r="U1363" s="318"/>
      <c r="V1363" s="318"/>
      <c r="W1363" s="318"/>
      <c r="X1363" s="318"/>
      <c r="Y1363" s="318"/>
      <c r="Z1363" s="318"/>
      <c r="AA1363" s="318"/>
      <c r="AB1363" s="318"/>
      <c r="AC1363" s="318"/>
      <c r="AD1363" s="318"/>
    </row>
    <row r="1364" spans="2:30" s="323" customFormat="1" ht="12" customHeight="1">
      <c r="B1364" s="324"/>
      <c r="C1364" s="325"/>
      <c r="D1364" s="326"/>
      <c r="E1364" s="326"/>
      <c r="F1364" s="326"/>
      <c r="G1364" s="326"/>
      <c r="H1364" s="326"/>
      <c r="P1364" s="318"/>
      <c r="Q1364" s="318"/>
      <c r="R1364" s="318"/>
      <c r="S1364" s="318"/>
      <c r="T1364" s="318"/>
      <c r="U1364" s="318"/>
      <c r="V1364" s="318"/>
      <c r="W1364" s="318"/>
      <c r="X1364" s="318"/>
      <c r="Y1364" s="318"/>
      <c r="Z1364" s="318"/>
      <c r="AA1364" s="318"/>
      <c r="AB1364" s="318"/>
      <c r="AC1364" s="318"/>
      <c r="AD1364" s="318"/>
    </row>
    <row r="1365" spans="2:30" s="323" customFormat="1" ht="12" customHeight="1">
      <c r="B1365" s="324"/>
      <c r="C1365" s="325"/>
      <c r="D1365" s="326"/>
      <c r="E1365" s="326"/>
      <c r="F1365" s="326"/>
      <c r="G1365" s="326"/>
      <c r="H1365" s="326"/>
      <c r="P1365" s="318"/>
      <c r="Q1365" s="318"/>
      <c r="R1365" s="318"/>
      <c r="S1365" s="318"/>
      <c r="T1365" s="318"/>
      <c r="U1365" s="318"/>
      <c r="V1365" s="318"/>
      <c r="W1365" s="318"/>
      <c r="X1365" s="318"/>
      <c r="Y1365" s="318"/>
      <c r="Z1365" s="318"/>
      <c r="AA1365" s="318"/>
      <c r="AB1365" s="318"/>
      <c r="AC1365" s="318"/>
      <c r="AD1365" s="318"/>
    </row>
    <row r="1366" spans="2:30" s="323" customFormat="1" ht="12" customHeight="1">
      <c r="B1366" s="324"/>
      <c r="C1366" s="325"/>
      <c r="D1366" s="326"/>
      <c r="E1366" s="326"/>
      <c r="F1366" s="326"/>
      <c r="G1366" s="326"/>
      <c r="H1366" s="326"/>
      <c r="P1366" s="318"/>
      <c r="Q1366" s="318"/>
      <c r="R1366" s="318"/>
      <c r="S1366" s="318"/>
      <c r="T1366" s="318"/>
      <c r="U1366" s="318"/>
      <c r="V1366" s="318"/>
      <c r="W1366" s="318"/>
      <c r="X1366" s="318"/>
      <c r="Y1366" s="318"/>
      <c r="Z1366" s="318"/>
      <c r="AA1366" s="318"/>
      <c r="AB1366" s="318"/>
      <c r="AC1366" s="318"/>
      <c r="AD1366" s="318"/>
    </row>
    <row r="1367" spans="2:30" s="323" customFormat="1" ht="12" customHeight="1">
      <c r="B1367" s="324"/>
      <c r="C1367" s="325"/>
      <c r="D1367" s="326"/>
      <c r="E1367" s="326"/>
      <c r="F1367" s="326"/>
      <c r="G1367" s="326"/>
      <c r="H1367" s="326"/>
      <c r="P1367" s="318"/>
      <c r="Q1367" s="318"/>
      <c r="R1367" s="318"/>
      <c r="S1367" s="318"/>
      <c r="T1367" s="318"/>
      <c r="U1367" s="318"/>
      <c r="V1367" s="318"/>
      <c r="W1367" s="318"/>
      <c r="X1367" s="318"/>
      <c r="Y1367" s="318"/>
      <c r="Z1367" s="318"/>
      <c r="AA1367" s="318"/>
      <c r="AB1367" s="318"/>
      <c r="AC1367" s="318"/>
      <c r="AD1367" s="318"/>
    </row>
    <row r="1368" spans="2:30" s="323" customFormat="1" ht="12" customHeight="1">
      <c r="B1368" s="324"/>
      <c r="C1368" s="325"/>
      <c r="D1368" s="326"/>
      <c r="E1368" s="326"/>
      <c r="F1368" s="326"/>
      <c r="G1368" s="326"/>
      <c r="H1368" s="326"/>
      <c r="P1368" s="318"/>
      <c r="Q1368" s="318"/>
      <c r="R1368" s="318"/>
      <c r="S1368" s="318"/>
      <c r="T1368" s="318"/>
      <c r="U1368" s="318"/>
      <c r="V1368" s="318"/>
      <c r="W1368" s="318"/>
      <c r="X1368" s="318"/>
      <c r="Y1368" s="318"/>
      <c r="Z1368" s="318"/>
      <c r="AA1368" s="318"/>
      <c r="AB1368" s="318"/>
      <c r="AC1368" s="318"/>
      <c r="AD1368" s="318"/>
    </row>
    <row r="1369" spans="2:30" s="323" customFormat="1" ht="12" customHeight="1">
      <c r="B1369" s="324"/>
      <c r="C1369" s="325"/>
      <c r="D1369" s="326"/>
      <c r="E1369" s="326"/>
      <c r="F1369" s="326"/>
      <c r="G1369" s="326"/>
      <c r="H1369" s="326"/>
      <c r="P1369" s="318"/>
      <c r="Q1369" s="318"/>
      <c r="R1369" s="318"/>
      <c r="S1369" s="318"/>
      <c r="T1369" s="318"/>
      <c r="U1369" s="318"/>
      <c r="V1369" s="318"/>
      <c r="W1369" s="318"/>
      <c r="X1369" s="318"/>
      <c r="Y1369" s="318"/>
      <c r="Z1369" s="318"/>
      <c r="AA1369" s="318"/>
      <c r="AB1369" s="318"/>
      <c r="AC1369" s="318"/>
      <c r="AD1369" s="318"/>
    </row>
    <row r="1370" spans="2:30" s="323" customFormat="1" ht="12" customHeight="1">
      <c r="B1370" s="324"/>
      <c r="C1370" s="325"/>
      <c r="D1370" s="326"/>
      <c r="E1370" s="326"/>
      <c r="F1370" s="326"/>
      <c r="G1370" s="326"/>
      <c r="H1370" s="326"/>
      <c r="P1370" s="318"/>
      <c r="Q1370" s="318"/>
      <c r="R1370" s="318"/>
      <c r="S1370" s="318"/>
      <c r="T1370" s="318"/>
      <c r="U1370" s="318"/>
      <c r="V1370" s="318"/>
      <c r="W1370" s="318"/>
      <c r="X1370" s="318"/>
      <c r="Y1370" s="318"/>
      <c r="Z1370" s="318"/>
      <c r="AA1370" s="318"/>
      <c r="AB1370" s="318"/>
      <c r="AC1370" s="318"/>
      <c r="AD1370" s="318"/>
    </row>
    <row r="1371" spans="2:30" s="323" customFormat="1" ht="12" customHeight="1">
      <c r="B1371" s="324"/>
      <c r="C1371" s="325"/>
      <c r="D1371" s="326"/>
      <c r="E1371" s="326"/>
      <c r="F1371" s="326"/>
      <c r="G1371" s="326"/>
      <c r="H1371" s="326"/>
      <c r="P1371" s="318"/>
      <c r="Q1371" s="318"/>
      <c r="R1371" s="318"/>
      <c r="S1371" s="318"/>
      <c r="T1371" s="318"/>
      <c r="U1371" s="318"/>
      <c r="V1371" s="318"/>
      <c r="W1371" s="318"/>
      <c r="X1371" s="318"/>
      <c r="Y1371" s="318"/>
      <c r="Z1371" s="318"/>
      <c r="AA1371" s="318"/>
      <c r="AB1371" s="318"/>
      <c r="AC1371" s="318"/>
      <c r="AD1371" s="318"/>
    </row>
    <row r="1372" spans="2:30" s="323" customFormat="1" ht="12" customHeight="1">
      <c r="B1372" s="324"/>
      <c r="C1372" s="325"/>
      <c r="D1372" s="326"/>
      <c r="E1372" s="326"/>
      <c r="F1372" s="326"/>
      <c r="G1372" s="326"/>
      <c r="H1372" s="326"/>
      <c r="P1372" s="318"/>
      <c r="Q1372" s="318"/>
      <c r="R1372" s="318"/>
      <c r="S1372" s="318"/>
      <c r="T1372" s="318"/>
      <c r="U1372" s="318"/>
      <c r="V1372" s="318"/>
      <c r="W1372" s="318"/>
      <c r="X1372" s="318"/>
      <c r="Y1372" s="318"/>
      <c r="Z1372" s="318"/>
      <c r="AA1372" s="318"/>
      <c r="AB1372" s="318"/>
      <c r="AC1372" s="318"/>
      <c r="AD1372" s="318"/>
    </row>
    <row r="1373" spans="2:30" s="323" customFormat="1" ht="12" customHeight="1">
      <c r="B1373" s="324"/>
      <c r="C1373" s="325"/>
      <c r="D1373" s="326"/>
      <c r="E1373" s="326"/>
      <c r="F1373" s="326"/>
      <c r="G1373" s="326"/>
      <c r="H1373" s="326"/>
      <c r="P1373" s="318"/>
      <c r="Q1373" s="318"/>
      <c r="R1373" s="318"/>
      <c r="S1373" s="318"/>
      <c r="T1373" s="318"/>
      <c r="U1373" s="318"/>
      <c r="V1373" s="318"/>
      <c r="W1373" s="318"/>
      <c r="X1373" s="318"/>
      <c r="Y1373" s="318"/>
      <c r="Z1373" s="318"/>
      <c r="AA1373" s="318"/>
      <c r="AB1373" s="318"/>
      <c r="AC1373" s="318"/>
      <c r="AD1373" s="318"/>
    </row>
    <row r="1374" spans="2:30" s="323" customFormat="1" ht="12" customHeight="1">
      <c r="B1374" s="324"/>
      <c r="C1374" s="325"/>
      <c r="D1374" s="326"/>
      <c r="E1374" s="326"/>
      <c r="F1374" s="326"/>
      <c r="G1374" s="326"/>
      <c r="H1374" s="326"/>
      <c r="P1374" s="318"/>
      <c r="Q1374" s="318"/>
      <c r="R1374" s="318"/>
      <c r="S1374" s="318"/>
      <c r="T1374" s="318"/>
      <c r="U1374" s="318"/>
      <c r="V1374" s="318"/>
      <c r="W1374" s="318"/>
      <c r="X1374" s="318"/>
      <c r="Y1374" s="318"/>
      <c r="Z1374" s="318"/>
      <c r="AA1374" s="318"/>
      <c r="AB1374" s="318"/>
      <c r="AC1374" s="318"/>
      <c r="AD1374" s="318"/>
    </row>
    <row r="1375" spans="2:30" s="323" customFormat="1" ht="12" customHeight="1">
      <c r="B1375" s="324"/>
      <c r="C1375" s="325"/>
      <c r="D1375" s="326"/>
      <c r="E1375" s="326"/>
      <c r="F1375" s="326"/>
      <c r="G1375" s="326"/>
      <c r="H1375" s="326"/>
      <c r="P1375" s="318"/>
      <c r="Q1375" s="318"/>
      <c r="R1375" s="318"/>
      <c r="S1375" s="318"/>
      <c r="T1375" s="318"/>
      <c r="U1375" s="318"/>
      <c r="V1375" s="318"/>
      <c r="W1375" s="318"/>
      <c r="X1375" s="318"/>
      <c r="Y1375" s="318"/>
      <c r="Z1375" s="318"/>
      <c r="AA1375" s="318"/>
      <c r="AB1375" s="318"/>
      <c r="AC1375" s="318"/>
      <c r="AD1375" s="318"/>
    </row>
    <row r="1376" spans="2:30" s="323" customFormat="1" ht="12" customHeight="1">
      <c r="B1376" s="324"/>
      <c r="C1376" s="325"/>
      <c r="D1376" s="326"/>
      <c r="E1376" s="326"/>
      <c r="F1376" s="326"/>
      <c r="G1376" s="326"/>
      <c r="H1376" s="326"/>
      <c r="P1376" s="318"/>
      <c r="Q1376" s="318"/>
      <c r="R1376" s="318"/>
      <c r="S1376" s="318"/>
      <c r="T1376" s="318"/>
      <c r="U1376" s="318"/>
      <c r="V1376" s="318"/>
      <c r="W1376" s="318"/>
      <c r="X1376" s="318"/>
      <c r="Y1376" s="318"/>
      <c r="Z1376" s="318"/>
      <c r="AA1376" s="318"/>
      <c r="AB1376" s="318"/>
      <c r="AC1376" s="318"/>
      <c r="AD1376" s="318"/>
    </row>
    <row r="1377" spans="2:30" s="323" customFormat="1" ht="12" customHeight="1">
      <c r="B1377" s="324"/>
      <c r="C1377" s="325"/>
      <c r="D1377" s="326"/>
      <c r="E1377" s="326"/>
      <c r="F1377" s="326"/>
      <c r="G1377" s="326"/>
      <c r="H1377" s="326"/>
      <c r="P1377" s="318"/>
      <c r="Q1377" s="318"/>
      <c r="R1377" s="318"/>
      <c r="S1377" s="318"/>
      <c r="T1377" s="318"/>
      <c r="U1377" s="318"/>
      <c r="V1377" s="318"/>
      <c r="W1377" s="318"/>
      <c r="X1377" s="318"/>
      <c r="Y1377" s="318"/>
      <c r="Z1377" s="318"/>
      <c r="AA1377" s="318"/>
      <c r="AB1377" s="318"/>
      <c r="AC1377" s="318"/>
      <c r="AD1377" s="318"/>
    </row>
    <row r="1378" spans="2:30" s="323" customFormat="1" ht="12" customHeight="1">
      <c r="B1378" s="324"/>
      <c r="C1378" s="325"/>
      <c r="D1378" s="326"/>
      <c r="E1378" s="326"/>
      <c r="F1378" s="326"/>
      <c r="G1378" s="326"/>
      <c r="H1378" s="326"/>
      <c r="P1378" s="318"/>
      <c r="Q1378" s="318"/>
      <c r="R1378" s="318"/>
      <c r="S1378" s="318"/>
      <c r="T1378" s="318"/>
      <c r="U1378" s="318"/>
      <c r="V1378" s="318"/>
      <c r="W1378" s="318"/>
      <c r="X1378" s="318"/>
      <c r="Y1378" s="318"/>
      <c r="Z1378" s="318"/>
      <c r="AA1378" s="318"/>
      <c r="AB1378" s="318"/>
      <c r="AC1378" s="318"/>
      <c r="AD1378" s="318"/>
    </row>
    <row r="1379" spans="2:30" s="323" customFormat="1" ht="12" customHeight="1">
      <c r="B1379" s="324"/>
      <c r="C1379" s="325"/>
      <c r="D1379" s="326"/>
      <c r="E1379" s="326"/>
      <c r="F1379" s="326"/>
      <c r="G1379" s="326"/>
      <c r="H1379" s="326"/>
      <c r="P1379" s="318"/>
      <c r="Q1379" s="318"/>
      <c r="R1379" s="318"/>
      <c r="S1379" s="318"/>
      <c r="T1379" s="318"/>
      <c r="U1379" s="318"/>
      <c r="V1379" s="318"/>
      <c r="W1379" s="318"/>
      <c r="X1379" s="318"/>
      <c r="Y1379" s="318"/>
      <c r="Z1379" s="318"/>
      <c r="AA1379" s="318"/>
      <c r="AB1379" s="318"/>
      <c r="AC1379" s="318"/>
      <c r="AD1379" s="318"/>
    </row>
    <row r="1380" spans="2:30" s="323" customFormat="1" ht="12" customHeight="1">
      <c r="B1380" s="324"/>
      <c r="C1380" s="325"/>
      <c r="D1380" s="326"/>
      <c r="E1380" s="326"/>
      <c r="F1380" s="326"/>
      <c r="G1380" s="326"/>
      <c r="H1380" s="326"/>
      <c r="P1380" s="318"/>
      <c r="Q1380" s="318"/>
      <c r="R1380" s="318"/>
      <c r="S1380" s="318"/>
      <c r="T1380" s="318"/>
      <c r="U1380" s="318"/>
      <c r="V1380" s="318"/>
      <c r="W1380" s="318"/>
      <c r="X1380" s="318"/>
      <c r="Y1380" s="318"/>
      <c r="Z1380" s="318"/>
      <c r="AA1380" s="318"/>
      <c r="AB1380" s="318"/>
      <c r="AC1380" s="318"/>
      <c r="AD1380" s="318"/>
    </row>
    <row r="1381" spans="2:30" s="323" customFormat="1" ht="12" customHeight="1">
      <c r="B1381" s="324"/>
      <c r="C1381" s="325"/>
      <c r="D1381" s="326"/>
      <c r="E1381" s="326"/>
      <c r="F1381" s="326"/>
      <c r="G1381" s="326"/>
      <c r="H1381" s="326"/>
      <c r="P1381" s="318"/>
      <c r="Q1381" s="318"/>
      <c r="R1381" s="318"/>
      <c r="S1381" s="318"/>
      <c r="T1381" s="318"/>
      <c r="U1381" s="318"/>
      <c r="V1381" s="318"/>
      <c r="W1381" s="318"/>
      <c r="X1381" s="318"/>
      <c r="Y1381" s="318"/>
      <c r="Z1381" s="318"/>
      <c r="AA1381" s="318"/>
      <c r="AB1381" s="318"/>
      <c r="AC1381" s="318"/>
      <c r="AD1381" s="318"/>
    </row>
    <row r="1382" spans="2:30" s="323" customFormat="1" ht="12" customHeight="1">
      <c r="B1382" s="324"/>
      <c r="C1382" s="325"/>
      <c r="D1382" s="326"/>
      <c r="E1382" s="326"/>
      <c r="F1382" s="326"/>
      <c r="G1382" s="326"/>
      <c r="H1382" s="326"/>
      <c r="P1382" s="318"/>
      <c r="Q1382" s="318"/>
      <c r="R1382" s="318"/>
      <c r="S1382" s="318"/>
      <c r="T1382" s="318"/>
      <c r="U1382" s="318"/>
      <c r="V1382" s="318"/>
      <c r="W1382" s="318"/>
      <c r="X1382" s="318"/>
      <c r="Y1382" s="318"/>
      <c r="Z1382" s="318"/>
      <c r="AA1382" s="318"/>
      <c r="AB1382" s="318"/>
      <c r="AC1382" s="318"/>
      <c r="AD1382" s="318"/>
    </row>
    <row r="1383" spans="2:30" s="323" customFormat="1" ht="12" customHeight="1">
      <c r="B1383" s="324"/>
      <c r="C1383" s="325"/>
      <c r="D1383" s="326"/>
      <c r="E1383" s="326"/>
      <c r="F1383" s="326"/>
      <c r="G1383" s="326"/>
      <c r="H1383" s="326"/>
      <c r="P1383" s="318"/>
      <c r="Q1383" s="318"/>
      <c r="R1383" s="318"/>
      <c r="S1383" s="318"/>
      <c r="T1383" s="318"/>
      <c r="U1383" s="318"/>
      <c r="V1383" s="318"/>
      <c r="W1383" s="318"/>
      <c r="X1383" s="318"/>
      <c r="Y1383" s="318"/>
      <c r="Z1383" s="318"/>
      <c r="AA1383" s="318"/>
      <c r="AB1383" s="318"/>
      <c r="AC1383" s="318"/>
      <c r="AD1383" s="318"/>
    </row>
    <row r="1384" spans="2:30" s="323" customFormat="1" ht="12" customHeight="1">
      <c r="B1384" s="324"/>
      <c r="C1384" s="325"/>
      <c r="D1384" s="326"/>
      <c r="E1384" s="326"/>
      <c r="F1384" s="326"/>
      <c r="G1384" s="326"/>
      <c r="H1384" s="326"/>
      <c r="P1384" s="318"/>
      <c r="Q1384" s="318"/>
      <c r="R1384" s="318"/>
      <c r="S1384" s="318"/>
      <c r="T1384" s="318"/>
      <c r="U1384" s="318"/>
      <c r="V1384" s="318"/>
      <c r="W1384" s="318"/>
      <c r="X1384" s="318"/>
      <c r="Y1384" s="318"/>
      <c r="Z1384" s="318"/>
      <c r="AA1384" s="318"/>
      <c r="AB1384" s="318"/>
      <c r="AC1384" s="318"/>
      <c r="AD1384" s="318"/>
    </row>
    <row r="1385" spans="2:30" s="323" customFormat="1" ht="12" customHeight="1">
      <c r="B1385" s="324"/>
      <c r="C1385" s="325"/>
      <c r="D1385" s="326"/>
      <c r="E1385" s="326"/>
      <c r="F1385" s="326"/>
      <c r="G1385" s="326"/>
      <c r="H1385" s="326"/>
      <c r="P1385" s="318"/>
      <c r="Q1385" s="318"/>
      <c r="R1385" s="318"/>
      <c r="S1385" s="318"/>
      <c r="T1385" s="318"/>
      <c r="U1385" s="318"/>
      <c r="V1385" s="318"/>
      <c r="W1385" s="318"/>
      <c r="X1385" s="318"/>
      <c r="Y1385" s="318"/>
      <c r="Z1385" s="318"/>
      <c r="AA1385" s="318"/>
      <c r="AB1385" s="318"/>
      <c r="AC1385" s="318"/>
      <c r="AD1385" s="318"/>
    </row>
    <row r="1386" spans="2:30" s="323" customFormat="1" ht="12" customHeight="1">
      <c r="B1386" s="324"/>
      <c r="C1386" s="325"/>
      <c r="D1386" s="326"/>
      <c r="E1386" s="326"/>
      <c r="F1386" s="326"/>
      <c r="G1386" s="326"/>
      <c r="H1386" s="326"/>
      <c r="P1386" s="318"/>
      <c r="Q1386" s="318"/>
      <c r="R1386" s="318"/>
      <c r="S1386" s="318"/>
      <c r="T1386" s="318"/>
      <c r="U1386" s="318"/>
      <c r="V1386" s="318"/>
      <c r="W1386" s="318"/>
      <c r="X1386" s="318"/>
      <c r="Y1386" s="318"/>
      <c r="Z1386" s="318"/>
      <c r="AA1386" s="318"/>
      <c r="AB1386" s="318"/>
      <c r="AC1386" s="318"/>
      <c r="AD1386" s="318"/>
    </row>
    <row r="1387" spans="2:30" s="323" customFormat="1" ht="12" customHeight="1">
      <c r="B1387" s="324"/>
      <c r="C1387" s="325"/>
      <c r="D1387" s="326"/>
      <c r="E1387" s="326"/>
      <c r="F1387" s="326"/>
      <c r="G1387" s="326"/>
      <c r="H1387" s="326"/>
      <c r="P1387" s="318"/>
      <c r="Q1387" s="318"/>
      <c r="R1387" s="318"/>
      <c r="S1387" s="318"/>
      <c r="T1387" s="318"/>
      <c r="U1387" s="318"/>
      <c r="V1387" s="318"/>
      <c r="W1387" s="318"/>
      <c r="X1387" s="318"/>
      <c r="Y1387" s="318"/>
      <c r="Z1387" s="318"/>
      <c r="AA1387" s="318"/>
      <c r="AB1387" s="318"/>
      <c r="AC1387" s="318"/>
      <c r="AD1387" s="318"/>
    </row>
    <row r="1388" spans="2:30" s="323" customFormat="1" ht="12" customHeight="1">
      <c r="B1388" s="324"/>
      <c r="C1388" s="325"/>
      <c r="D1388" s="326"/>
      <c r="E1388" s="326"/>
      <c r="F1388" s="326"/>
      <c r="G1388" s="326"/>
      <c r="H1388" s="326"/>
      <c r="P1388" s="318"/>
      <c r="Q1388" s="318"/>
      <c r="R1388" s="318"/>
      <c r="S1388" s="318"/>
      <c r="T1388" s="318"/>
      <c r="U1388" s="318"/>
      <c r="V1388" s="318"/>
      <c r="W1388" s="318"/>
      <c r="X1388" s="318"/>
      <c r="Y1388" s="318"/>
      <c r="Z1388" s="318"/>
      <c r="AA1388" s="318"/>
      <c r="AB1388" s="318"/>
      <c r="AC1388" s="318"/>
      <c r="AD1388" s="318"/>
    </row>
    <row r="1389" spans="2:30" s="323" customFormat="1" ht="12" customHeight="1">
      <c r="B1389" s="324"/>
      <c r="C1389" s="325"/>
      <c r="D1389" s="326"/>
      <c r="E1389" s="326"/>
      <c r="F1389" s="326"/>
      <c r="G1389" s="326"/>
      <c r="H1389" s="326"/>
      <c r="P1389" s="318"/>
      <c r="Q1389" s="318"/>
      <c r="R1389" s="318"/>
      <c r="S1389" s="318"/>
      <c r="T1389" s="318"/>
      <c r="U1389" s="318"/>
      <c r="V1389" s="318"/>
      <c r="W1389" s="318"/>
      <c r="X1389" s="318"/>
      <c r="Y1389" s="318"/>
      <c r="Z1389" s="318"/>
      <c r="AA1389" s="318"/>
      <c r="AB1389" s="318"/>
      <c r="AC1389" s="318"/>
      <c r="AD1389" s="318"/>
    </row>
    <row r="1390" spans="2:30" s="323" customFormat="1" ht="12" customHeight="1">
      <c r="B1390" s="324"/>
      <c r="C1390" s="325"/>
      <c r="D1390" s="326"/>
      <c r="E1390" s="326"/>
      <c r="F1390" s="326"/>
      <c r="G1390" s="326"/>
      <c r="H1390" s="326"/>
      <c r="P1390" s="318"/>
      <c r="Q1390" s="318"/>
      <c r="R1390" s="318"/>
      <c r="S1390" s="318"/>
      <c r="T1390" s="318"/>
      <c r="U1390" s="318"/>
      <c r="V1390" s="318"/>
      <c r="W1390" s="318"/>
      <c r="X1390" s="318"/>
      <c r="Y1390" s="318"/>
      <c r="Z1390" s="318"/>
      <c r="AA1390" s="318"/>
      <c r="AB1390" s="318"/>
      <c r="AC1390" s="318"/>
      <c r="AD1390" s="318"/>
    </row>
    <row r="1391" spans="2:30" s="323" customFormat="1" ht="12" customHeight="1">
      <c r="B1391" s="324"/>
      <c r="C1391" s="325"/>
      <c r="D1391" s="326"/>
      <c r="E1391" s="326"/>
      <c r="F1391" s="326"/>
      <c r="G1391" s="326"/>
      <c r="H1391" s="326"/>
      <c r="P1391" s="318"/>
      <c r="Q1391" s="318"/>
      <c r="R1391" s="318"/>
      <c r="S1391" s="318"/>
      <c r="T1391" s="318"/>
      <c r="U1391" s="318"/>
      <c r="V1391" s="318"/>
      <c r="W1391" s="318"/>
      <c r="X1391" s="318"/>
      <c r="Y1391" s="318"/>
      <c r="Z1391" s="318"/>
      <c r="AA1391" s="318"/>
      <c r="AB1391" s="318"/>
      <c r="AC1391" s="318"/>
      <c r="AD1391" s="318"/>
    </row>
    <row r="1392" spans="2:30" s="323" customFormat="1" ht="12" customHeight="1">
      <c r="B1392" s="324"/>
      <c r="C1392" s="325"/>
      <c r="D1392" s="326"/>
      <c r="E1392" s="326"/>
      <c r="F1392" s="326"/>
      <c r="G1392" s="326"/>
      <c r="H1392" s="326"/>
      <c r="P1392" s="318"/>
      <c r="Q1392" s="318"/>
      <c r="R1392" s="318"/>
      <c r="S1392" s="318"/>
      <c r="T1392" s="318"/>
      <c r="U1392" s="318"/>
      <c r="V1392" s="318"/>
      <c r="W1392" s="318"/>
      <c r="X1392" s="318"/>
      <c r="Y1392" s="318"/>
      <c r="Z1392" s="318"/>
      <c r="AA1392" s="318"/>
      <c r="AB1392" s="318"/>
      <c r="AC1392" s="318"/>
      <c r="AD1392" s="318"/>
    </row>
    <row r="1393" spans="2:30" s="323" customFormat="1" ht="12" customHeight="1">
      <c r="B1393" s="324"/>
      <c r="C1393" s="325"/>
      <c r="D1393" s="326"/>
      <c r="E1393" s="326"/>
      <c r="F1393" s="326"/>
      <c r="G1393" s="326"/>
      <c r="H1393" s="326"/>
      <c r="P1393" s="318"/>
      <c r="Q1393" s="318"/>
      <c r="R1393" s="318"/>
      <c r="S1393" s="318"/>
      <c r="T1393" s="318"/>
      <c r="U1393" s="318"/>
      <c r="V1393" s="318"/>
      <c r="W1393" s="318"/>
      <c r="X1393" s="318"/>
      <c r="Y1393" s="318"/>
      <c r="Z1393" s="318"/>
      <c r="AA1393" s="318"/>
      <c r="AB1393" s="318"/>
      <c r="AC1393" s="318"/>
      <c r="AD1393" s="318"/>
    </row>
    <row r="1394" spans="2:30" s="323" customFormat="1" ht="12" customHeight="1">
      <c r="B1394" s="324"/>
      <c r="C1394" s="325"/>
      <c r="D1394" s="326"/>
      <c r="E1394" s="326"/>
      <c r="F1394" s="326"/>
      <c r="G1394" s="326"/>
      <c r="H1394" s="326"/>
      <c r="P1394" s="318"/>
      <c r="Q1394" s="318"/>
      <c r="R1394" s="318"/>
      <c r="S1394" s="318"/>
      <c r="T1394" s="318"/>
      <c r="U1394" s="318"/>
      <c r="V1394" s="318"/>
      <c r="W1394" s="318"/>
      <c r="X1394" s="318"/>
      <c r="Y1394" s="318"/>
      <c r="Z1394" s="318"/>
      <c r="AA1394" s="318"/>
      <c r="AB1394" s="318"/>
      <c r="AC1394" s="318"/>
      <c r="AD1394" s="318"/>
    </row>
    <row r="1395" spans="2:30" s="323" customFormat="1" ht="12" customHeight="1">
      <c r="B1395" s="324"/>
      <c r="C1395" s="325"/>
      <c r="D1395" s="326"/>
      <c r="E1395" s="326"/>
      <c r="F1395" s="326"/>
      <c r="G1395" s="326"/>
      <c r="H1395" s="326"/>
      <c r="P1395" s="318"/>
      <c r="Q1395" s="318"/>
      <c r="R1395" s="318"/>
      <c r="S1395" s="318"/>
      <c r="T1395" s="318"/>
      <c r="U1395" s="318"/>
      <c r="V1395" s="318"/>
      <c r="W1395" s="318"/>
      <c r="X1395" s="318"/>
      <c r="Y1395" s="318"/>
      <c r="Z1395" s="318"/>
      <c r="AA1395" s="318"/>
      <c r="AB1395" s="318"/>
      <c r="AC1395" s="318"/>
      <c r="AD1395" s="318"/>
    </row>
    <row r="1396" spans="2:30" s="323" customFormat="1" ht="12" customHeight="1">
      <c r="B1396" s="324"/>
      <c r="C1396" s="325"/>
      <c r="D1396" s="326"/>
      <c r="E1396" s="326"/>
      <c r="F1396" s="326"/>
      <c r="G1396" s="326"/>
      <c r="H1396" s="326"/>
      <c r="P1396" s="318"/>
      <c r="Q1396" s="318"/>
      <c r="R1396" s="318"/>
      <c r="S1396" s="318"/>
      <c r="T1396" s="318"/>
      <c r="U1396" s="318"/>
      <c r="V1396" s="318"/>
      <c r="W1396" s="318"/>
      <c r="X1396" s="318"/>
      <c r="Y1396" s="318"/>
      <c r="Z1396" s="318"/>
      <c r="AA1396" s="318"/>
      <c r="AB1396" s="318"/>
      <c r="AC1396" s="318"/>
      <c r="AD1396" s="318"/>
    </row>
    <row r="1397" spans="2:30" s="323" customFormat="1" ht="12" customHeight="1">
      <c r="B1397" s="324"/>
      <c r="C1397" s="325"/>
      <c r="D1397" s="326"/>
      <c r="E1397" s="326"/>
      <c r="F1397" s="326"/>
      <c r="G1397" s="326"/>
      <c r="H1397" s="326"/>
      <c r="P1397" s="318"/>
      <c r="Q1397" s="318"/>
      <c r="R1397" s="318"/>
      <c r="S1397" s="318"/>
      <c r="T1397" s="318"/>
      <c r="U1397" s="318"/>
      <c r="V1397" s="318"/>
      <c r="W1397" s="318"/>
      <c r="X1397" s="318"/>
      <c r="Y1397" s="318"/>
      <c r="Z1397" s="318"/>
      <c r="AA1397" s="318"/>
      <c r="AB1397" s="318"/>
      <c r="AC1397" s="318"/>
      <c r="AD1397" s="318"/>
    </row>
    <row r="1398" spans="2:30" s="323" customFormat="1" ht="12" customHeight="1">
      <c r="B1398" s="324"/>
      <c r="C1398" s="325"/>
      <c r="D1398" s="326"/>
      <c r="E1398" s="326"/>
      <c r="F1398" s="326"/>
      <c r="G1398" s="326"/>
      <c r="H1398" s="326"/>
      <c r="P1398" s="318"/>
      <c r="Q1398" s="318"/>
      <c r="R1398" s="318"/>
      <c r="S1398" s="318"/>
      <c r="T1398" s="318"/>
      <c r="U1398" s="318"/>
      <c r="V1398" s="318"/>
      <c r="W1398" s="318"/>
      <c r="X1398" s="318"/>
      <c r="Y1398" s="318"/>
      <c r="Z1398" s="318"/>
      <c r="AA1398" s="318"/>
      <c r="AB1398" s="318"/>
      <c r="AC1398" s="318"/>
      <c r="AD1398" s="318"/>
    </row>
    <row r="1399" spans="2:30" s="323" customFormat="1" ht="12" customHeight="1">
      <c r="B1399" s="324"/>
      <c r="C1399" s="325"/>
      <c r="D1399" s="326"/>
      <c r="E1399" s="326"/>
      <c r="F1399" s="326"/>
      <c r="G1399" s="326"/>
      <c r="H1399" s="326"/>
      <c r="P1399" s="318"/>
      <c r="Q1399" s="318"/>
      <c r="R1399" s="318"/>
      <c r="S1399" s="318"/>
      <c r="T1399" s="318"/>
      <c r="U1399" s="318"/>
      <c r="V1399" s="318"/>
      <c r="W1399" s="318"/>
      <c r="X1399" s="318"/>
      <c r="Y1399" s="318"/>
      <c r="Z1399" s="318"/>
      <c r="AA1399" s="318"/>
      <c r="AB1399" s="318"/>
      <c r="AC1399" s="318"/>
      <c r="AD1399" s="318"/>
    </row>
    <row r="1400" spans="2:30" s="323" customFormat="1" ht="12" customHeight="1">
      <c r="B1400" s="324"/>
      <c r="C1400" s="325"/>
      <c r="D1400" s="326"/>
      <c r="E1400" s="326"/>
      <c r="F1400" s="326"/>
      <c r="G1400" s="326"/>
      <c r="H1400" s="326"/>
      <c r="P1400" s="318"/>
      <c r="Q1400" s="318"/>
      <c r="R1400" s="318"/>
      <c r="S1400" s="318"/>
      <c r="T1400" s="318"/>
      <c r="U1400" s="318"/>
      <c r="V1400" s="318"/>
      <c r="W1400" s="318"/>
      <c r="X1400" s="318"/>
      <c r="Y1400" s="318"/>
      <c r="Z1400" s="318"/>
      <c r="AA1400" s="318"/>
      <c r="AB1400" s="318"/>
      <c r="AC1400" s="318"/>
      <c r="AD1400" s="318"/>
    </row>
    <row r="1401" spans="2:30" s="323" customFormat="1" ht="12" customHeight="1">
      <c r="B1401" s="324"/>
      <c r="C1401" s="325"/>
      <c r="D1401" s="326"/>
      <c r="E1401" s="326"/>
      <c r="F1401" s="326"/>
      <c r="G1401" s="326"/>
      <c r="H1401" s="326"/>
      <c r="P1401" s="318"/>
      <c r="Q1401" s="318"/>
      <c r="R1401" s="318"/>
      <c r="S1401" s="318"/>
      <c r="T1401" s="318"/>
      <c r="U1401" s="318"/>
      <c r="V1401" s="318"/>
      <c r="W1401" s="318"/>
      <c r="X1401" s="318"/>
      <c r="Y1401" s="318"/>
      <c r="Z1401" s="318"/>
      <c r="AA1401" s="318"/>
      <c r="AB1401" s="318"/>
      <c r="AC1401" s="318"/>
      <c r="AD1401" s="318"/>
    </row>
    <row r="1402" spans="2:30" s="323" customFormat="1" ht="12" customHeight="1">
      <c r="B1402" s="324"/>
      <c r="C1402" s="325"/>
      <c r="D1402" s="326"/>
      <c r="E1402" s="326"/>
      <c r="F1402" s="326"/>
      <c r="G1402" s="326"/>
      <c r="H1402" s="326"/>
      <c r="P1402" s="318"/>
      <c r="Q1402" s="318"/>
      <c r="R1402" s="318"/>
      <c r="S1402" s="318"/>
      <c r="T1402" s="318"/>
      <c r="U1402" s="318"/>
      <c r="V1402" s="318"/>
      <c r="W1402" s="318"/>
      <c r="X1402" s="318"/>
      <c r="Y1402" s="318"/>
      <c r="Z1402" s="318"/>
      <c r="AA1402" s="318"/>
      <c r="AB1402" s="318"/>
      <c r="AC1402" s="318"/>
      <c r="AD1402" s="318"/>
    </row>
    <row r="1403" spans="2:30" s="323" customFormat="1" ht="12" customHeight="1">
      <c r="B1403" s="324"/>
      <c r="C1403" s="325"/>
      <c r="D1403" s="326"/>
      <c r="E1403" s="326"/>
      <c r="F1403" s="326"/>
      <c r="G1403" s="326"/>
      <c r="H1403" s="326"/>
      <c r="P1403" s="318"/>
      <c r="Q1403" s="318"/>
      <c r="R1403" s="318"/>
      <c r="S1403" s="318"/>
      <c r="T1403" s="318"/>
      <c r="U1403" s="318"/>
      <c r="V1403" s="318"/>
      <c r="W1403" s="318"/>
      <c r="X1403" s="318"/>
      <c r="Y1403" s="318"/>
      <c r="Z1403" s="318"/>
      <c r="AA1403" s="318"/>
      <c r="AB1403" s="318"/>
      <c r="AC1403" s="318"/>
      <c r="AD1403" s="318"/>
    </row>
    <row r="1404" spans="2:30" s="323" customFormat="1" ht="12" customHeight="1">
      <c r="B1404" s="324"/>
      <c r="C1404" s="325"/>
      <c r="D1404" s="326"/>
      <c r="E1404" s="326"/>
      <c r="F1404" s="326"/>
      <c r="G1404" s="326"/>
      <c r="H1404" s="326"/>
      <c r="P1404" s="318"/>
      <c r="Q1404" s="318"/>
      <c r="R1404" s="318"/>
      <c r="S1404" s="318"/>
      <c r="T1404" s="318"/>
      <c r="U1404" s="318"/>
      <c r="V1404" s="318"/>
      <c r="W1404" s="318"/>
      <c r="X1404" s="318"/>
      <c r="Y1404" s="318"/>
      <c r="Z1404" s="318"/>
      <c r="AA1404" s="318"/>
      <c r="AB1404" s="318"/>
      <c r="AC1404" s="318"/>
      <c r="AD1404" s="318"/>
    </row>
    <row r="1405" spans="2:30" s="323" customFormat="1" ht="12" customHeight="1">
      <c r="B1405" s="324"/>
      <c r="C1405" s="325"/>
      <c r="D1405" s="326"/>
      <c r="E1405" s="326"/>
      <c r="F1405" s="326"/>
      <c r="G1405" s="326"/>
      <c r="H1405" s="326"/>
      <c r="P1405" s="318"/>
      <c r="Q1405" s="318"/>
      <c r="R1405" s="318"/>
      <c r="S1405" s="318"/>
      <c r="T1405" s="318"/>
      <c r="U1405" s="318"/>
      <c r="V1405" s="318"/>
      <c r="W1405" s="318"/>
      <c r="X1405" s="318"/>
      <c r="Y1405" s="318"/>
      <c r="Z1405" s="318"/>
      <c r="AA1405" s="318"/>
      <c r="AB1405" s="318"/>
      <c r="AC1405" s="318"/>
      <c r="AD1405" s="318"/>
    </row>
    <row r="1406" spans="2:30" s="323" customFormat="1" ht="12" customHeight="1">
      <c r="B1406" s="324"/>
      <c r="C1406" s="325"/>
      <c r="D1406" s="326"/>
      <c r="E1406" s="326"/>
      <c r="F1406" s="326"/>
      <c r="G1406" s="326"/>
      <c r="H1406" s="326"/>
      <c r="P1406" s="318"/>
      <c r="Q1406" s="318"/>
      <c r="R1406" s="318"/>
      <c r="S1406" s="318"/>
      <c r="T1406" s="318"/>
      <c r="U1406" s="318"/>
      <c r="V1406" s="318"/>
      <c r="W1406" s="318"/>
      <c r="X1406" s="318"/>
      <c r="Y1406" s="318"/>
      <c r="Z1406" s="318"/>
      <c r="AA1406" s="318"/>
      <c r="AB1406" s="318"/>
      <c r="AC1406" s="318"/>
      <c r="AD1406" s="318"/>
    </row>
    <row r="1407" spans="2:30" s="323" customFormat="1" ht="12" customHeight="1">
      <c r="B1407" s="324"/>
      <c r="C1407" s="325"/>
      <c r="D1407" s="326"/>
      <c r="E1407" s="326"/>
      <c r="F1407" s="326"/>
      <c r="G1407" s="326"/>
      <c r="H1407" s="326"/>
      <c r="P1407" s="318"/>
      <c r="Q1407" s="318"/>
      <c r="R1407" s="318"/>
      <c r="S1407" s="318"/>
      <c r="T1407" s="318"/>
      <c r="U1407" s="318"/>
      <c r="V1407" s="318"/>
      <c r="W1407" s="318"/>
      <c r="X1407" s="318"/>
      <c r="Y1407" s="318"/>
      <c r="Z1407" s="318"/>
      <c r="AA1407" s="318"/>
      <c r="AB1407" s="318"/>
      <c r="AC1407" s="318"/>
      <c r="AD1407" s="318"/>
    </row>
    <row r="1408" spans="2:30" s="323" customFormat="1" ht="12" customHeight="1">
      <c r="B1408" s="324"/>
      <c r="C1408" s="325"/>
      <c r="D1408" s="326"/>
      <c r="E1408" s="326"/>
      <c r="F1408" s="326"/>
      <c r="G1408" s="326"/>
      <c r="H1408" s="326"/>
      <c r="P1408" s="318"/>
      <c r="Q1408" s="318"/>
      <c r="R1408" s="318"/>
      <c r="S1408" s="318"/>
      <c r="T1408" s="318"/>
      <c r="U1408" s="318"/>
      <c r="V1408" s="318"/>
      <c r="W1408" s="318"/>
      <c r="X1408" s="318"/>
      <c r="Y1408" s="318"/>
      <c r="Z1408" s="318"/>
      <c r="AA1408" s="318"/>
      <c r="AB1408" s="318"/>
      <c r="AC1408" s="318"/>
      <c r="AD1408" s="318"/>
    </row>
    <row r="1409" spans="2:30" s="323" customFormat="1" ht="12" customHeight="1">
      <c r="B1409" s="324"/>
      <c r="C1409" s="325"/>
      <c r="D1409" s="326"/>
      <c r="E1409" s="326"/>
      <c r="F1409" s="326"/>
      <c r="G1409" s="326"/>
      <c r="H1409" s="326"/>
      <c r="P1409" s="318"/>
      <c r="Q1409" s="318"/>
      <c r="R1409" s="318"/>
      <c r="S1409" s="318"/>
      <c r="T1409" s="318"/>
      <c r="U1409" s="318"/>
      <c r="V1409" s="318"/>
      <c r="W1409" s="318"/>
      <c r="X1409" s="318"/>
      <c r="Y1409" s="318"/>
      <c r="Z1409" s="318"/>
      <c r="AA1409" s="318"/>
      <c r="AB1409" s="318"/>
      <c r="AC1409" s="318"/>
      <c r="AD1409" s="318"/>
    </row>
    <row r="1410" spans="2:30" s="323" customFormat="1" ht="12" customHeight="1">
      <c r="B1410" s="324"/>
      <c r="C1410" s="325"/>
      <c r="D1410" s="326"/>
      <c r="E1410" s="326"/>
      <c r="F1410" s="326"/>
      <c r="G1410" s="326"/>
      <c r="H1410" s="326"/>
      <c r="P1410" s="318"/>
      <c r="Q1410" s="318"/>
      <c r="R1410" s="318"/>
      <c r="S1410" s="318"/>
      <c r="T1410" s="318"/>
      <c r="U1410" s="318"/>
      <c r="V1410" s="318"/>
      <c r="W1410" s="318"/>
      <c r="X1410" s="318"/>
      <c r="Y1410" s="318"/>
      <c r="Z1410" s="318"/>
      <c r="AA1410" s="318"/>
      <c r="AB1410" s="318"/>
      <c r="AC1410" s="318"/>
      <c r="AD1410" s="318"/>
    </row>
    <row r="1411" spans="2:30" s="323" customFormat="1" ht="12" customHeight="1">
      <c r="B1411" s="324"/>
      <c r="C1411" s="325"/>
      <c r="D1411" s="326"/>
      <c r="E1411" s="326"/>
      <c r="F1411" s="326"/>
      <c r="G1411" s="326"/>
      <c r="H1411" s="326"/>
      <c r="P1411" s="318"/>
      <c r="Q1411" s="318"/>
      <c r="R1411" s="318"/>
      <c r="S1411" s="318"/>
      <c r="T1411" s="318"/>
      <c r="U1411" s="318"/>
      <c r="V1411" s="318"/>
      <c r="W1411" s="318"/>
      <c r="X1411" s="318"/>
      <c r="Y1411" s="318"/>
      <c r="Z1411" s="318"/>
      <c r="AA1411" s="318"/>
      <c r="AB1411" s="318"/>
      <c r="AC1411" s="318"/>
      <c r="AD1411" s="318"/>
    </row>
    <row r="1412" spans="2:30" s="323" customFormat="1" ht="12" customHeight="1">
      <c r="B1412" s="324"/>
      <c r="C1412" s="325"/>
      <c r="D1412" s="326"/>
      <c r="E1412" s="326"/>
      <c r="F1412" s="326"/>
      <c r="G1412" s="326"/>
      <c r="H1412" s="326"/>
      <c r="P1412" s="318"/>
      <c r="Q1412" s="318"/>
      <c r="R1412" s="318"/>
      <c r="S1412" s="318"/>
      <c r="T1412" s="318"/>
      <c r="U1412" s="318"/>
      <c r="V1412" s="318"/>
      <c r="W1412" s="318"/>
      <c r="X1412" s="318"/>
      <c r="Y1412" s="318"/>
      <c r="Z1412" s="318"/>
      <c r="AA1412" s="318"/>
      <c r="AB1412" s="318"/>
      <c r="AC1412" s="318"/>
      <c r="AD1412" s="318"/>
    </row>
    <row r="1413" spans="2:30" s="323" customFormat="1" ht="12" customHeight="1">
      <c r="B1413" s="324"/>
      <c r="C1413" s="325"/>
      <c r="D1413" s="326"/>
      <c r="E1413" s="326"/>
      <c r="F1413" s="326"/>
      <c r="G1413" s="326"/>
      <c r="H1413" s="326"/>
      <c r="P1413" s="318"/>
      <c r="Q1413" s="318"/>
      <c r="R1413" s="318"/>
      <c r="S1413" s="318"/>
      <c r="T1413" s="318"/>
      <c r="U1413" s="318"/>
      <c r="V1413" s="318"/>
      <c r="W1413" s="318"/>
      <c r="X1413" s="318"/>
      <c r="Y1413" s="318"/>
      <c r="Z1413" s="318"/>
      <c r="AA1413" s="318"/>
      <c r="AB1413" s="318"/>
      <c r="AC1413" s="318"/>
      <c r="AD1413" s="318"/>
    </row>
    <row r="1414" spans="2:30" s="323" customFormat="1" ht="12" customHeight="1">
      <c r="B1414" s="324"/>
      <c r="C1414" s="325"/>
      <c r="D1414" s="326"/>
      <c r="E1414" s="326"/>
      <c r="F1414" s="326"/>
      <c r="G1414" s="326"/>
      <c r="H1414" s="326"/>
      <c r="P1414" s="318"/>
      <c r="Q1414" s="318"/>
      <c r="R1414" s="318"/>
      <c r="S1414" s="318"/>
      <c r="T1414" s="318"/>
      <c r="U1414" s="318"/>
      <c r="V1414" s="318"/>
      <c r="W1414" s="318"/>
      <c r="X1414" s="318"/>
      <c r="Y1414" s="318"/>
      <c r="Z1414" s="318"/>
      <c r="AA1414" s="318"/>
      <c r="AB1414" s="318"/>
      <c r="AC1414" s="318"/>
      <c r="AD1414" s="318"/>
    </row>
    <row r="1415" spans="2:30" s="323" customFormat="1" ht="12" customHeight="1">
      <c r="B1415" s="324"/>
      <c r="C1415" s="325"/>
      <c r="D1415" s="326"/>
      <c r="E1415" s="326"/>
      <c r="F1415" s="326"/>
      <c r="G1415" s="326"/>
      <c r="H1415" s="326"/>
      <c r="P1415" s="318"/>
      <c r="Q1415" s="318"/>
      <c r="R1415" s="318"/>
      <c r="S1415" s="318"/>
      <c r="T1415" s="318"/>
      <c r="U1415" s="318"/>
      <c r="V1415" s="318"/>
      <c r="W1415" s="318"/>
      <c r="X1415" s="318"/>
      <c r="Y1415" s="318"/>
      <c r="Z1415" s="318"/>
      <c r="AA1415" s="318"/>
      <c r="AB1415" s="318"/>
      <c r="AC1415" s="318"/>
      <c r="AD1415" s="318"/>
    </row>
    <row r="1416" spans="2:30" s="323" customFormat="1" ht="12" customHeight="1">
      <c r="B1416" s="324"/>
      <c r="C1416" s="325"/>
      <c r="D1416" s="326"/>
      <c r="E1416" s="326"/>
      <c r="F1416" s="326"/>
      <c r="G1416" s="326"/>
      <c r="H1416" s="326"/>
      <c r="P1416" s="318"/>
      <c r="Q1416" s="318"/>
      <c r="R1416" s="318"/>
      <c r="S1416" s="318"/>
      <c r="T1416" s="318"/>
      <c r="U1416" s="318"/>
      <c r="V1416" s="318"/>
      <c r="W1416" s="318"/>
      <c r="X1416" s="318"/>
      <c r="Y1416" s="318"/>
      <c r="Z1416" s="318"/>
      <c r="AA1416" s="318"/>
      <c r="AB1416" s="318"/>
      <c r="AC1416" s="318"/>
      <c r="AD1416" s="318"/>
    </row>
    <row r="1417" spans="2:30" s="323" customFormat="1" ht="12" customHeight="1">
      <c r="B1417" s="324"/>
      <c r="C1417" s="325"/>
      <c r="D1417" s="326"/>
      <c r="E1417" s="326"/>
      <c r="F1417" s="326"/>
      <c r="G1417" s="326"/>
      <c r="H1417" s="326"/>
      <c r="P1417" s="318"/>
      <c r="Q1417" s="318"/>
      <c r="R1417" s="318"/>
      <c r="S1417" s="318"/>
      <c r="T1417" s="318"/>
      <c r="U1417" s="318"/>
      <c r="V1417" s="318"/>
      <c r="W1417" s="318"/>
      <c r="X1417" s="318"/>
      <c r="Y1417" s="318"/>
      <c r="Z1417" s="318"/>
      <c r="AA1417" s="318"/>
      <c r="AB1417" s="318"/>
      <c r="AC1417" s="318"/>
      <c r="AD1417" s="318"/>
    </row>
    <row r="1418" spans="2:30" s="323" customFormat="1" ht="12" customHeight="1">
      <c r="B1418" s="324"/>
      <c r="C1418" s="325"/>
      <c r="D1418" s="326"/>
      <c r="E1418" s="326"/>
      <c r="F1418" s="326"/>
      <c r="G1418" s="326"/>
      <c r="H1418" s="326"/>
      <c r="P1418" s="318"/>
      <c r="Q1418" s="318"/>
      <c r="R1418" s="318"/>
      <c r="S1418" s="318"/>
      <c r="T1418" s="318"/>
      <c r="U1418" s="318"/>
      <c r="V1418" s="318"/>
      <c r="W1418" s="318"/>
      <c r="X1418" s="318"/>
      <c r="Y1418" s="318"/>
      <c r="Z1418" s="318"/>
      <c r="AA1418" s="318"/>
      <c r="AB1418" s="318"/>
      <c r="AC1418" s="318"/>
      <c r="AD1418" s="318"/>
    </row>
    <row r="1419" spans="2:30" s="323" customFormat="1" ht="12" customHeight="1">
      <c r="B1419" s="324"/>
      <c r="C1419" s="325"/>
      <c r="D1419" s="326"/>
      <c r="E1419" s="326"/>
      <c r="F1419" s="326"/>
      <c r="G1419" s="326"/>
      <c r="H1419" s="326"/>
      <c r="P1419" s="318"/>
      <c r="Q1419" s="318"/>
      <c r="R1419" s="318"/>
      <c r="S1419" s="318"/>
      <c r="T1419" s="318"/>
      <c r="U1419" s="318"/>
      <c r="V1419" s="318"/>
      <c r="W1419" s="318"/>
      <c r="X1419" s="318"/>
      <c r="Y1419" s="318"/>
      <c r="Z1419" s="318"/>
      <c r="AA1419" s="318"/>
      <c r="AB1419" s="318"/>
      <c r="AC1419" s="318"/>
      <c r="AD1419" s="318"/>
    </row>
    <row r="1420" spans="2:30" s="323" customFormat="1" ht="12" customHeight="1">
      <c r="B1420" s="324"/>
      <c r="C1420" s="325"/>
      <c r="D1420" s="326"/>
      <c r="E1420" s="326"/>
      <c r="F1420" s="326"/>
      <c r="G1420" s="326"/>
      <c r="H1420" s="326"/>
      <c r="P1420" s="318"/>
      <c r="Q1420" s="318"/>
      <c r="R1420" s="318"/>
      <c r="S1420" s="318"/>
      <c r="T1420" s="318"/>
      <c r="U1420" s="318"/>
      <c r="V1420" s="318"/>
      <c r="W1420" s="318"/>
      <c r="X1420" s="318"/>
      <c r="Y1420" s="318"/>
      <c r="Z1420" s="318"/>
      <c r="AA1420" s="318"/>
      <c r="AB1420" s="318"/>
      <c r="AC1420" s="318"/>
      <c r="AD1420" s="318"/>
    </row>
    <row r="1421" spans="2:30" s="323" customFormat="1" ht="12" customHeight="1">
      <c r="B1421" s="324"/>
      <c r="C1421" s="325"/>
      <c r="D1421" s="326"/>
      <c r="E1421" s="326"/>
      <c r="F1421" s="326"/>
      <c r="G1421" s="326"/>
      <c r="H1421" s="326"/>
      <c r="P1421" s="318"/>
      <c r="Q1421" s="318"/>
      <c r="R1421" s="318"/>
      <c r="S1421" s="318"/>
      <c r="T1421" s="318"/>
      <c r="U1421" s="318"/>
      <c r="V1421" s="318"/>
      <c r="W1421" s="318"/>
      <c r="X1421" s="318"/>
      <c r="Y1421" s="318"/>
      <c r="Z1421" s="318"/>
      <c r="AA1421" s="318"/>
      <c r="AB1421" s="318"/>
      <c r="AC1421" s="318"/>
      <c r="AD1421" s="318"/>
    </row>
    <row r="1422" spans="2:30" s="323" customFormat="1" ht="12" customHeight="1">
      <c r="B1422" s="324"/>
      <c r="C1422" s="325"/>
      <c r="D1422" s="326"/>
      <c r="E1422" s="326"/>
      <c r="F1422" s="326"/>
      <c r="G1422" s="326"/>
      <c r="H1422" s="326"/>
      <c r="P1422" s="318"/>
      <c r="Q1422" s="318"/>
      <c r="R1422" s="318"/>
      <c r="S1422" s="318"/>
      <c r="T1422" s="318"/>
      <c r="U1422" s="318"/>
      <c r="V1422" s="318"/>
      <c r="W1422" s="318"/>
      <c r="X1422" s="318"/>
      <c r="Y1422" s="318"/>
      <c r="Z1422" s="318"/>
      <c r="AA1422" s="318"/>
      <c r="AB1422" s="318"/>
      <c r="AC1422" s="318"/>
      <c r="AD1422" s="318"/>
    </row>
    <row r="1423" spans="2:30" s="323" customFormat="1" ht="12" customHeight="1">
      <c r="B1423" s="324"/>
      <c r="C1423" s="325"/>
      <c r="D1423" s="326"/>
      <c r="E1423" s="326"/>
      <c r="F1423" s="326"/>
      <c r="G1423" s="326"/>
      <c r="H1423" s="326"/>
      <c r="P1423" s="318"/>
      <c r="Q1423" s="318"/>
      <c r="R1423" s="318"/>
      <c r="S1423" s="318"/>
      <c r="T1423" s="318"/>
      <c r="U1423" s="318"/>
      <c r="V1423" s="318"/>
      <c r="W1423" s="318"/>
      <c r="X1423" s="318"/>
      <c r="Y1423" s="318"/>
      <c r="Z1423" s="318"/>
      <c r="AA1423" s="318"/>
      <c r="AB1423" s="318"/>
      <c r="AC1423" s="318"/>
      <c r="AD1423" s="318"/>
    </row>
    <row r="1424" spans="2:30" s="323" customFormat="1" ht="12" customHeight="1">
      <c r="B1424" s="324"/>
      <c r="C1424" s="325"/>
      <c r="D1424" s="326"/>
      <c r="E1424" s="326"/>
      <c r="F1424" s="326"/>
      <c r="G1424" s="326"/>
      <c r="H1424" s="326"/>
      <c r="P1424" s="318"/>
      <c r="Q1424" s="318"/>
      <c r="R1424" s="318"/>
      <c r="S1424" s="318"/>
      <c r="T1424" s="318"/>
      <c r="U1424" s="318"/>
      <c r="V1424" s="318"/>
      <c r="W1424" s="318"/>
      <c r="X1424" s="318"/>
      <c r="Y1424" s="318"/>
      <c r="Z1424" s="318"/>
      <c r="AA1424" s="318"/>
      <c r="AB1424" s="318"/>
      <c r="AC1424" s="318"/>
      <c r="AD1424" s="318"/>
    </row>
    <row r="1425" spans="2:30" s="323" customFormat="1" ht="12" customHeight="1">
      <c r="B1425" s="324"/>
      <c r="C1425" s="325"/>
      <c r="D1425" s="326"/>
      <c r="E1425" s="326"/>
      <c r="F1425" s="326"/>
      <c r="G1425" s="326"/>
      <c r="H1425" s="326"/>
      <c r="P1425" s="318"/>
      <c r="Q1425" s="318"/>
      <c r="R1425" s="318"/>
      <c r="S1425" s="318"/>
      <c r="T1425" s="318"/>
      <c r="U1425" s="318"/>
      <c r="V1425" s="318"/>
      <c r="W1425" s="318"/>
      <c r="X1425" s="318"/>
      <c r="Y1425" s="318"/>
      <c r="Z1425" s="318"/>
      <c r="AA1425" s="318"/>
      <c r="AB1425" s="318"/>
      <c r="AC1425" s="318"/>
      <c r="AD1425" s="318"/>
    </row>
    <row r="1426" spans="2:30" s="323" customFormat="1" ht="12" customHeight="1">
      <c r="B1426" s="324"/>
      <c r="C1426" s="325"/>
      <c r="D1426" s="326"/>
      <c r="E1426" s="326"/>
      <c r="F1426" s="326"/>
      <c r="G1426" s="326"/>
      <c r="H1426" s="326"/>
      <c r="P1426" s="318"/>
      <c r="Q1426" s="318"/>
      <c r="R1426" s="318"/>
      <c r="S1426" s="318"/>
      <c r="T1426" s="318"/>
      <c r="U1426" s="318"/>
      <c r="V1426" s="318"/>
      <c r="W1426" s="318"/>
      <c r="X1426" s="318"/>
      <c r="Y1426" s="318"/>
      <c r="Z1426" s="318"/>
      <c r="AA1426" s="318"/>
      <c r="AB1426" s="318"/>
      <c r="AC1426" s="318"/>
      <c r="AD1426" s="318"/>
    </row>
    <row r="1427" spans="2:30" s="323" customFormat="1" ht="12" customHeight="1">
      <c r="B1427" s="324"/>
      <c r="C1427" s="325"/>
      <c r="D1427" s="326"/>
      <c r="E1427" s="326"/>
      <c r="F1427" s="326"/>
      <c r="G1427" s="326"/>
      <c r="H1427" s="326"/>
      <c r="P1427" s="318"/>
      <c r="Q1427" s="318"/>
      <c r="R1427" s="318"/>
      <c r="S1427" s="318"/>
      <c r="T1427" s="318"/>
      <c r="U1427" s="318"/>
      <c r="V1427" s="318"/>
      <c r="W1427" s="318"/>
      <c r="X1427" s="318"/>
      <c r="Y1427" s="318"/>
      <c r="Z1427" s="318"/>
      <c r="AA1427" s="318"/>
      <c r="AB1427" s="318"/>
      <c r="AC1427" s="318"/>
      <c r="AD1427" s="318"/>
    </row>
    <row r="1428" spans="2:30" s="323" customFormat="1" ht="12" customHeight="1">
      <c r="B1428" s="324"/>
      <c r="C1428" s="325"/>
      <c r="D1428" s="326"/>
      <c r="E1428" s="326"/>
      <c r="F1428" s="326"/>
      <c r="G1428" s="326"/>
      <c r="H1428" s="326"/>
      <c r="P1428" s="318"/>
      <c r="Q1428" s="318"/>
      <c r="R1428" s="318"/>
      <c r="S1428" s="318"/>
      <c r="T1428" s="318"/>
      <c r="U1428" s="318"/>
      <c r="V1428" s="318"/>
      <c r="W1428" s="318"/>
      <c r="X1428" s="318"/>
      <c r="Y1428" s="318"/>
      <c r="Z1428" s="318"/>
      <c r="AA1428" s="318"/>
      <c r="AB1428" s="318"/>
      <c r="AC1428" s="318"/>
      <c r="AD1428" s="318"/>
    </row>
    <row r="1429" spans="2:30" s="323" customFormat="1" ht="12" customHeight="1">
      <c r="B1429" s="324"/>
      <c r="C1429" s="325"/>
      <c r="D1429" s="326"/>
      <c r="E1429" s="326"/>
      <c r="F1429" s="326"/>
      <c r="G1429" s="326"/>
      <c r="H1429" s="326"/>
      <c r="P1429" s="318"/>
      <c r="Q1429" s="318"/>
      <c r="R1429" s="318"/>
      <c r="S1429" s="318"/>
      <c r="T1429" s="318"/>
      <c r="U1429" s="318"/>
      <c r="V1429" s="318"/>
      <c r="W1429" s="318"/>
      <c r="X1429" s="318"/>
      <c r="Y1429" s="318"/>
      <c r="Z1429" s="318"/>
      <c r="AA1429" s="318"/>
      <c r="AB1429" s="318"/>
      <c r="AC1429" s="318"/>
      <c r="AD1429" s="318"/>
    </row>
    <row r="1430" spans="2:30" s="323" customFormat="1" ht="12" customHeight="1">
      <c r="B1430" s="324"/>
      <c r="C1430" s="325"/>
      <c r="D1430" s="326"/>
      <c r="E1430" s="326"/>
      <c r="F1430" s="326"/>
      <c r="G1430" s="326"/>
      <c r="H1430" s="326"/>
      <c r="P1430" s="318"/>
      <c r="Q1430" s="318"/>
      <c r="R1430" s="318"/>
      <c r="S1430" s="318"/>
      <c r="T1430" s="318"/>
      <c r="U1430" s="318"/>
      <c r="V1430" s="318"/>
      <c r="W1430" s="318"/>
      <c r="X1430" s="318"/>
      <c r="Y1430" s="318"/>
      <c r="Z1430" s="318"/>
      <c r="AA1430" s="318"/>
      <c r="AB1430" s="318"/>
      <c r="AC1430" s="318"/>
      <c r="AD1430" s="318"/>
    </row>
    <row r="1431" spans="2:30" s="323" customFormat="1" ht="12" customHeight="1">
      <c r="B1431" s="324"/>
      <c r="C1431" s="325"/>
      <c r="D1431" s="326"/>
      <c r="E1431" s="326"/>
      <c r="F1431" s="326"/>
      <c r="G1431" s="326"/>
      <c r="H1431" s="326"/>
      <c r="P1431" s="318"/>
      <c r="Q1431" s="318"/>
      <c r="R1431" s="318"/>
      <c r="S1431" s="318"/>
      <c r="T1431" s="318"/>
      <c r="U1431" s="318"/>
      <c r="V1431" s="318"/>
      <c r="W1431" s="318"/>
      <c r="X1431" s="318"/>
      <c r="Y1431" s="318"/>
      <c r="Z1431" s="318"/>
      <c r="AA1431" s="318"/>
      <c r="AB1431" s="318"/>
      <c r="AC1431" s="318"/>
      <c r="AD1431" s="318"/>
    </row>
    <row r="1432" spans="2:30" s="323" customFormat="1" ht="12" customHeight="1">
      <c r="B1432" s="324"/>
      <c r="C1432" s="325"/>
      <c r="D1432" s="326"/>
      <c r="E1432" s="326"/>
      <c r="F1432" s="326"/>
      <c r="G1432" s="326"/>
      <c r="H1432" s="326"/>
      <c r="P1432" s="318"/>
      <c r="Q1432" s="318"/>
      <c r="R1432" s="318"/>
      <c r="S1432" s="318"/>
      <c r="T1432" s="318"/>
      <c r="U1432" s="318"/>
      <c r="V1432" s="318"/>
      <c r="W1432" s="318"/>
      <c r="X1432" s="318"/>
      <c r="Y1432" s="318"/>
      <c r="Z1432" s="318"/>
      <c r="AA1432" s="318"/>
      <c r="AB1432" s="318"/>
      <c r="AC1432" s="318"/>
      <c r="AD1432" s="318"/>
    </row>
    <row r="1433" spans="2:30" s="323" customFormat="1" ht="12" customHeight="1">
      <c r="B1433" s="324"/>
      <c r="C1433" s="325"/>
      <c r="D1433" s="326"/>
      <c r="E1433" s="326"/>
      <c r="F1433" s="326"/>
      <c r="G1433" s="326"/>
      <c r="H1433" s="326"/>
      <c r="P1433" s="318"/>
      <c r="Q1433" s="318"/>
      <c r="R1433" s="318"/>
      <c r="S1433" s="318"/>
      <c r="T1433" s="318"/>
      <c r="U1433" s="318"/>
      <c r="V1433" s="318"/>
      <c r="W1433" s="318"/>
      <c r="X1433" s="318"/>
      <c r="Y1433" s="318"/>
      <c r="Z1433" s="318"/>
      <c r="AA1433" s="318"/>
      <c r="AB1433" s="318"/>
      <c r="AC1433" s="318"/>
      <c r="AD1433" s="318"/>
    </row>
    <row r="1434" spans="2:30" s="323" customFormat="1" ht="12" customHeight="1">
      <c r="B1434" s="324"/>
      <c r="C1434" s="325"/>
      <c r="D1434" s="326"/>
      <c r="E1434" s="326"/>
      <c r="F1434" s="326"/>
      <c r="G1434" s="326"/>
      <c r="H1434" s="326"/>
      <c r="P1434" s="318"/>
      <c r="Q1434" s="318"/>
      <c r="R1434" s="318"/>
      <c r="S1434" s="318"/>
      <c r="T1434" s="318"/>
      <c r="U1434" s="318"/>
      <c r="V1434" s="318"/>
      <c r="W1434" s="318"/>
      <c r="X1434" s="318"/>
      <c r="Y1434" s="318"/>
      <c r="Z1434" s="318"/>
      <c r="AA1434" s="318"/>
      <c r="AB1434" s="318"/>
      <c r="AC1434" s="318"/>
      <c r="AD1434" s="318"/>
    </row>
    <row r="1435" spans="2:30" s="323" customFormat="1" ht="12" customHeight="1">
      <c r="B1435" s="324"/>
      <c r="C1435" s="325"/>
      <c r="D1435" s="326"/>
      <c r="E1435" s="326"/>
      <c r="F1435" s="326"/>
      <c r="G1435" s="326"/>
      <c r="H1435" s="326"/>
      <c r="P1435" s="318"/>
      <c r="Q1435" s="318"/>
      <c r="R1435" s="318"/>
      <c r="S1435" s="318"/>
      <c r="T1435" s="318"/>
      <c r="U1435" s="318"/>
      <c r="V1435" s="318"/>
      <c r="W1435" s="318"/>
      <c r="X1435" s="318"/>
      <c r="Y1435" s="318"/>
      <c r="Z1435" s="318"/>
      <c r="AA1435" s="318"/>
      <c r="AB1435" s="318"/>
      <c r="AC1435" s="318"/>
      <c r="AD1435" s="318"/>
    </row>
    <row r="1436" spans="2:30" s="323" customFormat="1" ht="12" customHeight="1">
      <c r="B1436" s="324"/>
      <c r="C1436" s="325"/>
      <c r="D1436" s="326"/>
      <c r="E1436" s="326"/>
      <c r="F1436" s="326"/>
      <c r="G1436" s="326"/>
      <c r="H1436" s="326"/>
      <c r="P1436" s="318"/>
      <c r="Q1436" s="318"/>
      <c r="R1436" s="318"/>
      <c r="S1436" s="318"/>
      <c r="T1436" s="318"/>
      <c r="U1436" s="318"/>
      <c r="V1436" s="318"/>
      <c r="W1436" s="318"/>
      <c r="X1436" s="318"/>
      <c r="Y1436" s="318"/>
      <c r="Z1436" s="318"/>
      <c r="AA1436" s="318"/>
      <c r="AB1436" s="318"/>
      <c r="AC1436" s="318"/>
      <c r="AD1436" s="318"/>
    </row>
    <row r="1437" spans="2:30" s="323" customFormat="1" ht="12" customHeight="1">
      <c r="B1437" s="324"/>
      <c r="C1437" s="325"/>
      <c r="D1437" s="326"/>
      <c r="E1437" s="326"/>
      <c r="F1437" s="326"/>
      <c r="G1437" s="326"/>
      <c r="H1437" s="326"/>
      <c r="P1437" s="318"/>
      <c r="Q1437" s="318"/>
      <c r="R1437" s="318"/>
      <c r="S1437" s="318"/>
      <c r="T1437" s="318"/>
      <c r="U1437" s="318"/>
      <c r="V1437" s="318"/>
      <c r="W1437" s="318"/>
      <c r="X1437" s="318"/>
      <c r="Y1437" s="318"/>
      <c r="Z1437" s="318"/>
      <c r="AA1437" s="318"/>
      <c r="AB1437" s="318"/>
      <c r="AC1437" s="318"/>
      <c r="AD1437" s="318"/>
    </row>
    <row r="1438" spans="2:30" s="323" customFormat="1" ht="12" customHeight="1">
      <c r="B1438" s="324"/>
      <c r="C1438" s="325"/>
      <c r="D1438" s="326"/>
      <c r="E1438" s="326"/>
      <c r="F1438" s="326"/>
      <c r="G1438" s="326"/>
      <c r="H1438" s="326"/>
      <c r="P1438" s="318"/>
      <c r="Q1438" s="318"/>
      <c r="R1438" s="318"/>
      <c r="S1438" s="318"/>
      <c r="T1438" s="318"/>
      <c r="U1438" s="318"/>
      <c r="V1438" s="318"/>
      <c r="W1438" s="318"/>
      <c r="X1438" s="318"/>
      <c r="Y1438" s="318"/>
      <c r="Z1438" s="318"/>
      <c r="AA1438" s="318"/>
      <c r="AB1438" s="318"/>
      <c r="AC1438" s="318"/>
      <c r="AD1438" s="318"/>
    </row>
    <row r="1439" spans="2:30" s="323" customFormat="1" ht="12" customHeight="1">
      <c r="B1439" s="324"/>
      <c r="C1439" s="325"/>
      <c r="D1439" s="326"/>
      <c r="E1439" s="326"/>
      <c r="F1439" s="326"/>
      <c r="G1439" s="326"/>
      <c r="H1439" s="326"/>
      <c r="P1439" s="318"/>
      <c r="Q1439" s="318"/>
      <c r="R1439" s="318"/>
      <c r="S1439" s="318"/>
      <c r="T1439" s="318"/>
      <c r="U1439" s="318"/>
      <c r="V1439" s="318"/>
      <c r="W1439" s="318"/>
      <c r="X1439" s="318"/>
      <c r="Y1439" s="318"/>
      <c r="Z1439" s="318"/>
      <c r="AA1439" s="318"/>
      <c r="AB1439" s="318"/>
      <c r="AC1439" s="318"/>
      <c r="AD1439" s="318"/>
    </row>
    <row r="1440" spans="2:30" s="323" customFormat="1" ht="12" customHeight="1">
      <c r="B1440" s="324"/>
      <c r="C1440" s="325"/>
      <c r="D1440" s="326"/>
      <c r="E1440" s="326"/>
      <c r="F1440" s="326"/>
      <c r="G1440" s="326"/>
      <c r="H1440" s="326"/>
      <c r="P1440" s="318"/>
      <c r="Q1440" s="318"/>
      <c r="R1440" s="318"/>
      <c r="S1440" s="318"/>
      <c r="T1440" s="318"/>
      <c r="U1440" s="318"/>
      <c r="V1440" s="318"/>
      <c r="W1440" s="318"/>
      <c r="X1440" s="318"/>
      <c r="Y1440" s="318"/>
      <c r="Z1440" s="318"/>
      <c r="AA1440" s="318"/>
      <c r="AB1440" s="318"/>
      <c r="AC1440" s="318"/>
      <c r="AD1440" s="318"/>
    </row>
    <row r="1441" spans="2:30" s="323" customFormat="1" ht="12" customHeight="1">
      <c r="B1441" s="324"/>
      <c r="C1441" s="325"/>
      <c r="D1441" s="326"/>
      <c r="E1441" s="326"/>
      <c r="F1441" s="326"/>
      <c r="G1441" s="326"/>
      <c r="H1441" s="326"/>
      <c r="P1441" s="318"/>
      <c r="Q1441" s="318"/>
      <c r="R1441" s="318"/>
      <c r="S1441" s="318"/>
      <c r="T1441" s="318"/>
      <c r="U1441" s="318"/>
      <c r="V1441" s="318"/>
      <c r="W1441" s="318"/>
      <c r="X1441" s="318"/>
      <c r="Y1441" s="318"/>
      <c r="Z1441" s="318"/>
      <c r="AA1441" s="318"/>
      <c r="AB1441" s="318"/>
      <c r="AC1441" s="318"/>
      <c r="AD1441" s="318"/>
    </row>
    <row r="1442" spans="2:30" s="323" customFormat="1" ht="12" customHeight="1">
      <c r="B1442" s="324"/>
      <c r="C1442" s="325"/>
      <c r="D1442" s="326"/>
      <c r="E1442" s="326"/>
      <c r="F1442" s="326"/>
      <c r="G1442" s="326"/>
      <c r="H1442" s="326"/>
      <c r="P1442" s="318"/>
      <c r="Q1442" s="318"/>
      <c r="R1442" s="318"/>
      <c r="S1442" s="318"/>
      <c r="T1442" s="318"/>
      <c r="U1442" s="318"/>
      <c r="V1442" s="318"/>
      <c r="W1442" s="318"/>
      <c r="X1442" s="318"/>
      <c r="Y1442" s="318"/>
      <c r="Z1442" s="318"/>
      <c r="AA1442" s="318"/>
      <c r="AB1442" s="318"/>
      <c r="AC1442" s="318"/>
      <c r="AD1442" s="318"/>
    </row>
    <row r="1443" spans="2:30" s="323" customFormat="1" ht="12" customHeight="1">
      <c r="B1443" s="324"/>
      <c r="C1443" s="325"/>
      <c r="D1443" s="326"/>
      <c r="E1443" s="326"/>
      <c r="F1443" s="326"/>
      <c r="G1443" s="326"/>
      <c r="H1443" s="326"/>
      <c r="P1443" s="318"/>
      <c r="Q1443" s="318"/>
      <c r="R1443" s="318"/>
      <c r="S1443" s="318"/>
      <c r="T1443" s="318"/>
      <c r="U1443" s="318"/>
      <c r="V1443" s="318"/>
      <c r="W1443" s="318"/>
      <c r="X1443" s="318"/>
      <c r="Y1443" s="318"/>
      <c r="Z1443" s="318"/>
      <c r="AA1443" s="318"/>
      <c r="AB1443" s="318"/>
      <c r="AC1443" s="318"/>
      <c r="AD1443" s="318"/>
    </row>
    <row r="1444" spans="2:30" s="323" customFormat="1" ht="12" customHeight="1">
      <c r="B1444" s="324"/>
      <c r="C1444" s="325"/>
      <c r="D1444" s="326"/>
      <c r="E1444" s="326"/>
      <c r="F1444" s="326"/>
      <c r="G1444" s="326"/>
      <c r="H1444" s="326"/>
      <c r="P1444" s="318"/>
      <c r="Q1444" s="318"/>
      <c r="R1444" s="318"/>
      <c r="S1444" s="318"/>
      <c r="T1444" s="318"/>
      <c r="U1444" s="318"/>
      <c r="V1444" s="318"/>
      <c r="W1444" s="318"/>
      <c r="X1444" s="318"/>
      <c r="Y1444" s="318"/>
      <c r="Z1444" s="318"/>
      <c r="AA1444" s="318"/>
      <c r="AB1444" s="318"/>
      <c r="AC1444" s="318"/>
      <c r="AD1444" s="318"/>
    </row>
    <row r="1445" spans="2:30" s="323" customFormat="1" ht="12" customHeight="1">
      <c r="B1445" s="324"/>
      <c r="C1445" s="325"/>
      <c r="D1445" s="326"/>
      <c r="E1445" s="326"/>
      <c r="F1445" s="326"/>
      <c r="G1445" s="326"/>
      <c r="H1445" s="326"/>
      <c r="P1445" s="318"/>
      <c r="Q1445" s="318"/>
      <c r="R1445" s="318"/>
      <c r="S1445" s="318"/>
      <c r="T1445" s="318"/>
      <c r="U1445" s="318"/>
      <c r="V1445" s="318"/>
      <c r="W1445" s="318"/>
      <c r="X1445" s="318"/>
      <c r="Y1445" s="318"/>
      <c r="Z1445" s="318"/>
      <c r="AA1445" s="318"/>
      <c r="AB1445" s="318"/>
      <c r="AC1445" s="318"/>
      <c r="AD1445" s="318"/>
    </row>
    <row r="1446" spans="2:30" s="323" customFormat="1" ht="12" customHeight="1">
      <c r="B1446" s="324"/>
      <c r="C1446" s="325"/>
      <c r="D1446" s="326"/>
      <c r="E1446" s="326"/>
      <c r="F1446" s="326"/>
      <c r="G1446" s="326"/>
      <c r="H1446" s="326"/>
      <c r="P1446" s="318"/>
      <c r="Q1446" s="318"/>
      <c r="R1446" s="318"/>
      <c r="S1446" s="318"/>
      <c r="T1446" s="318"/>
      <c r="U1446" s="318"/>
      <c r="V1446" s="318"/>
      <c r="W1446" s="318"/>
      <c r="X1446" s="318"/>
      <c r="Y1446" s="318"/>
      <c r="Z1446" s="318"/>
      <c r="AA1446" s="318"/>
      <c r="AB1446" s="318"/>
      <c r="AC1446" s="318"/>
      <c r="AD1446" s="318"/>
    </row>
    <row r="1447" spans="2:30" s="323" customFormat="1" ht="12" customHeight="1">
      <c r="B1447" s="324"/>
      <c r="C1447" s="325"/>
      <c r="D1447" s="326"/>
      <c r="E1447" s="326"/>
      <c r="F1447" s="326"/>
      <c r="G1447" s="326"/>
      <c r="H1447" s="326"/>
      <c r="P1447" s="318"/>
      <c r="Q1447" s="318"/>
      <c r="R1447" s="318"/>
      <c r="S1447" s="318"/>
      <c r="T1447" s="318"/>
      <c r="U1447" s="318"/>
      <c r="V1447" s="318"/>
      <c r="W1447" s="318"/>
      <c r="X1447" s="318"/>
      <c r="Y1447" s="318"/>
      <c r="Z1447" s="318"/>
      <c r="AA1447" s="318"/>
      <c r="AB1447" s="318"/>
      <c r="AC1447" s="318"/>
      <c r="AD1447" s="318"/>
    </row>
    <row r="1448" spans="2:30" s="323" customFormat="1" ht="12" customHeight="1">
      <c r="B1448" s="324"/>
      <c r="C1448" s="325"/>
      <c r="D1448" s="326"/>
      <c r="E1448" s="326"/>
      <c r="F1448" s="326"/>
      <c r="G1448" s="326"/>
      <c r="H1448" s="326"/>
      <c r="P1448" s="318"/>
      <c r="Q1448" s="318"/>
      <c r="R1448" s="318"/>
      <c r="S1448" s="318"/>
      <c r="T1448" s="318"/>
      <c r="U1448" s="318"/>
      <c r="V1448" s="318"/>
      <c r="W1448" s="318"/>
      <c r="X1448" s="318"/>
      <c r="Y1448" s="318"/>
      <c r="Z1448" s="318"/>
      <c r="AA1448" s="318"/>
      <c r="AB1448" s="318"/>
      <c r="AC1448" s="318"/>
      <c r="AD1448" s="318"/>
    </row>
    <row r="1449" spans="2:30" s="323" customFormat="1" ht="12" customHeight="1">
      <c r="B1449" s="324"/>
      <c r="C1449" s="325"/>
      <c r="D1449" s="326"/>
      <c r="E1449" s="326"/>
      <c r="F1449" s="326"/>
      <c r="G1449" s="326"/>
      <c r="H1449" s="326"/>
      <c r="P1449" s="318"/>
      <c r="Q1449" s="318"/>
      <c r="R1449" s="318"/>
      <c r="S1449" s="318"/>
      <c r="T1449" s="318"/>
      <c r="U1449" s="318"/>
      <c r="V1449" s="318"/>
      <c r="W1449" s="318"/>
      <c r="X1449" s="318"/>
      <c r="Y1449" s="318"/>
      <c r="Z1449" s="318"/>
      <c r="AA1449" s="318"/>
      <c r="AB1449" s="318"/>
      <c r="AC1449" s="318"/>
      <c r="AD1449" s="318"/>
    </row>
    <row r="1450" spans="2:30" s="323" customFormat="1" ht="12" customHeight="1">
      <c r="B1450" s="324"/>
      <c r="C1450" s="325"/>
      <c r="D1450" s="326"/>
      <c r="E1450" s="326"/>
      <c r="F1450" s="326"/>
      <c r="G1450" s="326"/>
      <c r="H1450" s="326"/>
      <c r="P1450" s="318"/>
      <c r="Q1450" s="318"/>
      <c r="R1450" s="318"/>
      <c r="S1450" s="318"/>
      <c r="T1450" s="318"/>
      <c r="U1450" s="318"/>
      <c r="V1450" s="318"/>
      <c r="W1450" s="318"/>
      <c r="X1450" s="318"/>
      <c r="Y1450" s="318"/>
      <c r="Z1450" s="318"/>
      <c r="AA1450" s="318"/>
      <c r="AB1450" s="318"/>
      <c r="AC1450" s="318"/>
      <c r="AD1450" s="318"/>
    </row>
    <row r="1451" spans="2:30" s="323" customFormat="1" ht="12" customHeight="1">
      <c r="B1451" s="324"/>
      <c r="C1451" s="325"/>
      <c r="D1451" s="326"/>
      <c r="E1451" s="326"/>
      <c r="F1451" s="326"/>
      <c r="G1451" s="326"/>
      <c r="H1451" s="326"/>
      <c r="P1451" s="318"/>
      <c r="Q1451" s="318"/>
      <c r="R1451" s="318"/>
      <c r="S1451" s="318"/>
      <c r="T1451" s="318"/>
      <c r="U1451" s="318"/>
      <c r="V1451" s="318"/>
      <c r="W1451" s="318"/>
      <c r="X1451" s="318"/>
      <c r="Y1451" s="318"/>
      <c r="Z1451" s="318"/>
      <c r="AA1451" s="318"/>
      <c r="AB1451" s="318"/>
      <c r="AC1451" s="318"/>
      <c r="AD1451" s="318"/>
    </row>
    <row r="1452" spans="2:30" s="323" customFormat="1" ht="12" customHeight="1">
      <c r="B1452" s="324"/>
      <c r="C1452" s="325"/>
      <c r="D1452" s="326"/>
      <c r="E1452" s="326"/>
      <c r="F1452" s="326"/>
      <c r="G1452" s="326"/>
      <c r="H1452" s="326"/>
      <c r="P1452" s="318"/>
      <c r="Q1452" s="318"/>
      <c r="R1452" s="318"/>
      <c r="S1452" s="318"/>
      <c r="T1452" s="318"/>
      <c r="U1452" s="318"/>
      <c r="V1452" s="318"/>
      <c r="W1452" s="318"/>
      <c r="X1452" s="318"/>
      <c r="Y1452" s="318"/>
      <c r="Z1452" s="318"/>
      <c r="AA1452" s="318"/>
      <c r="AB1452" s="318"/>
      <c r="AC1452" s="318"/>
      <c r="AD1452" s="318"/>
    </row>
    <row r="1453" spans="2:30" s="323" customFormat="1" ht="12" customHeight="1">
      <c r="B1453" s="324"/>
      <c r="C1453" s="325"/>
      <c r="D1453" s="326"/>
      <c r="E1453" s="326"/>
      <c r="F1453" s="326"/>
      <c r="G1453" s="326"/>
      <c r="H1453" s="326"/>
      <c r="P1453" s="318"/>
      <c r="Q1453" s="318"/>
      <c r="R1453" s="318"/>
      <c r="S1453" s="318"/>
      <c r="T1453" s="318"/>
      <c r="U1453" s="318"/>
      <c r="V1453" s="318"/>
      <c r="W1453" s="318"/>
      <c r="X1453" s="318"/>
      <c r="Y1453" s="318"/>
      <c r="Z1453" s="318"/>
      <c r="AA1453" s="318"/>
      <c r="AB1453" s="318"/>
      <c r="AC1453" s="318"/>
      <c r="AD1453" s="318"/>
    </row>
    <row r="1454" spans="2:30" s="323" customFormat="1" ht="12" customHeight="1">
      <c r="B1454" s="324"/>
      <c r="C1454" s="325"/>
      <c r="D1454" s="326"/>
      <c r="E1454" s="326"/>
      <c r="F1454" s="326"/>
      <c r="G1454" s="326"/>
      <c r="H1454" s="326"/>
      <c r="P1454" s="318"/>
      <c r="Q1454" s="318"/>
      <c r="R1454" s="318"/>
      <c r="S1454" s="318"/>
      <c r="T1454" s="318"/>
      <c r="U1454" s="318"/>
      <c r="V1454" s="318"/>
      <c r="W1454" s="318"/>
      <c r="X1454" s="318"/>
      <c r="Y1454" s="318"/>
      <c r="Z1454" s="318"/>
      <c r="AA1454" s="318"/>
      <c r="AB1454" s="318"/>
      <c r="AC1454" s="318"/>
      <c r="AD1454" s="318"/>
    </row>
    <row r="1455" spans="2:30" s="323" customFormat="1" ht="12" customHeight="1">
      <c r="B1455" s="324"/>
      <c r="C1455" s="325"/>
      <c r="D1455" s="326"/>
      <c r="E1455" s="326"/>
      <c r="F1455" s="326"/>
      <c r="G1455" s="326"/>
      <c r="H1455" s="326"/>
      <c r="P1455" s="318"/>
      <c r="Q1455" s="318"/>
      <c r="R1455" s="318"/>
      <c r="S1455" s="318"/>
      <c r="T1455" s="318"/>
      <c r="U1455" s="318"/>
      <c r="V1455" s="318"/>
      <c r="W1455" s="318"/>
      <c r="X1455" s="318"/>
      <c r="Y1455" s="318"/>
      <c r="Z1455" s="318"/>
      <c r="AA1455" s="318"/>
      <c r="AB1455" s="318"/>
      <c r="AC1455" s="318"/>
      <c r="AD1455" s="318"/>
    </row>
    <row r="1456" spans="2:30" s="323" customFormat="1" ht="12" customHeight="1">
      <c r="B1456" s="324"/>
      <c r="C1456" s="325"/>
      <c r="D1456" s="326"/>
      <c r="E1456" s="326"/>
      <c r="F1456" s="326"/>
      <c r="G1456" s="326"/>
      <c r="H1456" s="326"/>
      <c r="P1456" s="318"/>
      <c r="Q1456" s="318"/>
      <c r="R1456" s="318"/>
      <c r="S1456" s="318"/>
      <c r="T1456" s="318"/>
      <c r="U1456" s="318"/>
      <c r="V1456" s="318"/>
      <c r="W1456" s="318"/>
      <c r="X1456" s="318"/>
      <c r="Y1456" s="318"/>
      <c r="Z1456" s="318"/>
      <c r="AA1456" s="318"/>
      <c r="AB1456" s="318"/>
      <c r="AC1456" s="318"/>
      <c r="AD1456" s="318"/>
    </row>
    <row r="1457" spans="2:30" s="323" customFormat="1" ht="12" customHeight="1">
      <c r="B1457" s="324"/>
      <c r="C1457" s="325"/>
      <c r="D1457" s="326"/>
      <c r="E1457" s="326"/>
      <c r="F1457" s="326"/>
      <c r="G1457" s="326"/>
      <c r="H1457" s="326"/>
      <c r="P1457" s="318"/>
      <c r="Q1457" s="318"/>
      <c r="R1457" s="318"/>
      <c r="S1457" s="318"/>
      <c r="T1457" s="318"/>
      <c r="U1457" s="318"/>
      <c r="V1457" s="318"/>
      <c r="W1457" s="318"/>
      <c r="X1457" s="318"/>
      <c r="Y1457" s="318"/>
      <c r="Z1457" s="318"/>
      <c r="AA1457" s="318"/>
      <c r="AB1457" s="318"/>
      <c r="AC1457" s="318"/>
      <c r="AD1457" s="318"/>
    </row>
    <row r="1458" spans="2:30" s="323" customFormat="1" ht="12" customHeight="1">
      <c r="B1458" s="324"/>
      <c r="C1458" s="325"/>
      <c r="D1458" s="326"/>
      <c r="E1458" s="326"/>
      <c r="F1458" s="326"/>
      <c r="G1458" s="326"/>
      <c r="H1458" s="326"/>
      <c r="P1458" s="318"/>
      <c r="Q1458" s="318"/>
      <c r="R1458" s="318"/>
      <c r="S1458" s="318"/>
      <c r="T1458" s="318"/>
      <c r="U1458" s="318"/>
      <c r="V1458" s="318"/>
      <c r="W1458" s="318"/>
      <c r="X1458" s="318"/>
      <c r="Y1458" s="318"/>
      <c r="Z1458" s="318"/>
      <c r="AA1458" s="318"/>
      <c r="AB1458" s="318"/>
      <c r="AC1458" s="318"/>
      <c r="AD1458" s="318"/>
    </row>
    <row r="1459" spans="2:30" s="323" customFormat="1" ht="12" customHeight="1">
      <c r="B1459" s="324"/>
      <c r="C1459" s="325"/>
      <c r="D1459" s="326"/>
      <c r="E1459" s="326"/>
      <c r="F1459" s="326"/>
      <c r="G1459" s="326"/>
      <c r="H1459" s="326"/>
      <c r="P1459" s="318"/>
      <c r="Q1459" s="318"/>
      <c r="R1459" s="318"/>
      <c r="S1459" s="318"/>
      <c r="T1459" s="318"/>
      <c r="U1459" s="318"/>
      <c r="V1459" s="318"/>
      <c r="W1459" s="318"/>
      <c r="X1459" s="318"/>
      <c r="Y1459" s="318"/>
      <c r="Z1459" s="318"/>
      <c r="AA1459" s="318"/>
      <c r="AB1459" s="318"/>
      <c r="AC1459" s="318"/>
      <c r="AD1459" s="318"/>
    </row>
    <row r="1460" spans="2:30" s="323" customFormat="1" ht="12" customHeight="1">
      <c r="B1460" s="324"/>
      <c r="C1460" s="325"/>
      <c r="D1460" s="326"/>
      <c r="E1460" s="326"/>
      <c r="F1460" s="326"/>
      <c r="G1460" s="326"/>
      <c r="H1460" s="326"/>
      <c r="P1460" s="318"/>
      <c r="Q1460" s="318"/>
      <c r="R1460" s="318"/>
      <c r="S1460" s="318"/>
      <c r="T1460" s="318"/>
      <c r="U1460" s="318"/>
      <c r="V1460" s="318"/>
      <c r="W1460" s="318"/>
      <c r="X1460" s="318"/>
      <c r="Y1460" s="318"/>
      <c r="Z1460" s="318"/>
      <c r="AA1460" s="318"/>
      <c r="AB1460" s="318"/>
      <c r="AC1460" s="318"/>
      <c r="AD1460" s="318"/>
    </row>
    <row r="1461" spans="2:30" s="323" customFormat="1" ht="12" customHeight="1">
      <c r="B1461" s="324"/>
      <c r="C1461" s="325"/>
      <c r="D1461" s="326"/>
      <c r="E1461" s="326"/>
      <c r="F1461" s="326"/>
      <c r="G1461" s="326"/>
      <c r="H1461" s="326"/>
      <c r="P1461" s="318"/>
      <c r="Q1461" s="318"/>
      <c r="R1461" s="318"/>
      <c r="S1461" s="318"/>
      <c r="T1461" s="318"/>
      <c r="U1461" s="318"/>
      <c r="V1461" s="318"/>
      <c r="W1461" s="318"/>
      <c r="X1461" s="318"/>
      <c r="Y1461" s="318"/>
      <c r="Z1461" s="318"/>
      <c r="AA1461" s="318"/>
      <c r="AB1461" s="318"/>
      <c r="AC1461" s="318"/>
      <c r="AD1461" s="318"/>
    </row>
    <row r="1462" spans="2:30" s="323" customFormat="1" ht="12" customHeight="1">
      <c r="B1462" s="324"/>
      <c r="C1462" s="325"/>
      <c r="D1462" s="326"/>
      <c r="E1462" s="326"/>
      <c r="F1462" s="326"/>
      <c r="G1462" s="326"/>
      <c r="H1462" s="326"/>
      <c r="P1462" s="318"/>
      <c r="Q1462" s="318"/>
      <c r="R1462" s="318"/>
      <c r="S1462" s="318"/>
      <c r="T1462" s="318"/>
      <c r="U1462" s="318"/>
      <c r="V1462" s="318"/>
      <c r="W1462" s="318"/>
      <c r="X1462" s="318"/>
      <c r="Y1462" s="318"/>
      <c r="Z1462" s="318"/>
      <c r="AA1462" s="318"/>
      <c r="AB1462" s="318"/>
      <c r="AC1462" s="318"/>
      <c r="AD1462" s="318"/>
    </row>
    <row r="1463" spans="2:30" s="323" customFormat="1" ht="12" customHeight="1">
      <c r="B1463" s="324"/>
      <c r="C1463" s="325"/>
      <c r="D1463" s="326"/>
      <c r="E1463" s="326"/>
      <c r="F1463" s="326"/>
      <c r="G1463" s="326"/>
      <c r="H1463" s="326"/>
      <c r="P1463" s="318"/>
      <c r="Q1463" s="318"/>
      <c r="R1463" s="318"/>
      <c r="S1463" s="318"/>
      <c r="T1463" s="318"/>
      <c r="U1463" s="318"/>
      <c r="V1463" s="318"/>
      <c r="W1463" s="318"/>
      <c r="X1463" s="318"/>
      <c r="Y1463" s="318"/>
      <c r="Z1463" s="318"/>
      <c r="AA1463" s="318"/>
      <c r="AB1463" s="318"/>
      <c r="AC1463" s="318"/>
      <c r="AD1463" s="318"/>
    </row>
    <row r="1464" spans="2:30" s="323" customFormat="1" ht="12" customHeight="1">
      <c r="B1464" s="324"/>
      <c r="C1464" s="325"/>
      <c r="D1464" s="326"/>
      <c r="E1464" s="326"/>
      <c r="F1464" s="326"/>
      <c r="G1464" s="326"/>
      <c r="H1464" s="326"/>
      <c r="P1464" s="318"/>
      <c r="Q1464" s="318"/>
      <c r="R1464" s="318"/>
      <c r="S1464" s="318"/>
      <c r="T1464" s="318"/>
      <c r="U1464" s="318"/>
      <c r="V1464" s="318"/>
      <c r="W1464" s="318"/>
      <c r="X1464" s="318"/>
      <c r="Y1464" s="318"/>
      <c r="Z1464" s="318"/>
      <c r="AA1464" s="318"/>
      <c r="AB1464" s="318"/>
      <c r="AC1464" s="318"/>
      <c r="AD1464" s="318"/>
    </row>
    <row r="1465" spans="2:30" s="323" customFormat="1" ht="12" customHeight="1">
      <c r="B1465" s="324"/>
      <c r="C1465" s="325"/>
      <c r="D1465" s="326"/>
      <c r="E1465" s="326"/>
      <c r="F1465" s="326"/>
      <c r="G1465" s="326"/>
      <c r="H1465" s="326"/>
      <c r="P1465" s="318"/>
      <c r="Q1465" s="318"/>
      <c r="R1465" s="318"/>
      <c r="S1465" s="318"/>
      <c r="T1465" s="318"/>
      <c r="U1465" s="318"/>
      <c r="V1465" s="318"/>
      <c r="W1465" s="318"/>
      <c r="X1465" s="318"/>
      <c r="Y1465" s="318"/>
      <c r="Z1465" s="318"/>
      <c r="AA1465" s="318"/>
      <c r="AB1465" s="318"/>
      <c r="AC1465" s="318"/>
      <c r="AD1465" s="318"/>
    </row>
    <row r="1466" spans="2:30" s="323" customFormat="1" ht="12" customHeight="1">
      <c r="B1466" s="324"/>
      <c r="C1466" s="325"/>
      <c r="D1466" s="326"/>
      <c r="E1466" s="326"/>
      <c r="F1466" s="326"/>
      <c r="G1466" s="326"/>
      <c r="H1466" s="326"/>
      <c r="P1466" s="318"/>
      <c r="Q1466" s="318"/>
      <c r="R1466" s="318"/>
      <c r="S1466" s="318"/>
      <c r="T1466" s="318"/>
      <c r="U1466" s="318"/>
      <c r="V1466" s="318"/>
      <c r="W1466" s="318"/>
      <c r="X1466" s="318"/>
      <c r="Y1466" s="318"/>
      <c r="Z1466" s="318"/>
      <c r="AA1466" s="318"/>
      <c r="AB1466" s="318"/>
      <c r="AC1466" s="318"/>
      <c r="AD1466" s="318"/>
    </row>
    <row r="1467" spans="2:30" s="323" customFormat="1" ht="12" customHeight="1">
      <c r="B1467" s="324"/>
      <c r="C1467" s="325"/>
      <c r="D1467" s="326"/>
      <c r="E1467" s="326"/>
      <c r="F1467" s="326"/>
      <c r="G1467" s="326"/>
      <c r="H1467" s="326"/>
      <c r="P1467" s="318"/>
      <c r="Q1467" s="318"/>
      <c r="R1467" s="318"/>
      <c r="S1467" s="318"/>
      <c r="T1467" s="318"/>
      <c r="U1467" s="318"/>
      <c r="V1467" s="318"/>
      <c r="W1467" s="318"/>
      <c r="X1467" s="318"/>
      <c r="Y1467" s="318"/>
      <c r="Z1467" s="318"/>
      <c r="AA1467" s="318"/>
      <c r="AB1467" s="318"/>
      <c r="AC1467" s="318"/>
      <c r="AD1467" s="318"/>
    </row>
    <row r="1468" spans="2:30" s="323" customFormat="1" ht="12" customHeight="1">
      <c r="B1468" s="324"/>
      <c r="C1468" s="325"/>
      <c r="D1468" s="326"/>
      <c r="E1468" s="326"/>
      <c r="F1468" s="326"/>
      <c r="G1468" s="326"/>
      <c r="H1468" s="326"/>
      <c r="P1468" s="318"/>
      <c r="Q1468" s="318"/>
      <c r="R1468" s="318"/>
      <c r="S1468" s="318"/>
      <c r="T1468" s="318"/>
      <c r="U1468" s="318"/>
      <c r="V1468" s="318"/>
      <c r="W1468" s="318"/>
      <c r="X1468" s="318"/>
      <c r="Y1468" s="318"/>
      <c r="Z1468" s="318"/>
      <c r="AA1468" s="318"/>
      <c r="AB1468" s="318"/>
      <c r="AC1468" s="318"/>
      <c r="AD1468" s="318"/>
    </row>
    <row r="1469" spans="2:30" s="323" customFormat="1" ht="12" customHeight="1">
      <c r="B1469" s="324"/>
      <c r="C1469" s="325"/>
      <c r="D1469" s="326"/>
      <c r="E1469" s="326"/>
      <c r="F1469" s="326"/>
      <c r="G1469" s="326"/>
      <c r="H1469" s="326"/>
      <c r="P1469" s="318"/>
      <c r="Q1469" s="318"/>
      <c r="R1469" s="318"/>
      <c r="S1469" s="318"/>
      <c r="T1469" s="318"/>
      <c r="U1469" s="318"/>
      <c r="V1469" s="318"/>
      <c r="W1469" s="318"/>
      <c r="X1469" s="318"/>
      <c r="Y1469" s="318"/>
      <c r="Z1469" s="318"/>
      <c r="AA1469" s="318"/>
      <c r="AB1469" s="318"/>
      <c r="AC1469" s="318"/>
      <c r="AD1469" s="318"/>
    </row>
    <row r="1470" spans="2:30" s="323" customFormat="1" ht="12" customHeight="1">
      <c r="B1470" s="324"/>
      <c r="C1470" s="325"/>
      <c r="D1470" s="326"/>
      <c r="E1470" s="326"/>
      <c r="F1470" s="326"/>
      <c r="G1470" s="326"/>
      <c r="H1470" s="326"/>
      <c r="P1470" s="318"/>
      <c r="Q1470" s="318"/>
      <c r="R1470" s="318"/>
      <c r="S1470" s="318"/>
      <c r="T1470" s="318"/>
      <c r="U1470" s="318"/>
      <c r="V1470" s="318"/>
      <c r="W1470" s="318"/>
      <c r="X1470" s="318"/>
      <c r="Y1470" s="318"/>
      <c r="Z1470" s="318"/>
      <c r="AA1470" s="318"/>
      <c r="AB1470" s="318"/>
      <c r="AC1470" s="318"/>
      <c r="AD1470" s="318"/>
    </row>
    <row r="1471" spans="2:30" s="323" customFormat="1" ht="12" customHeight="1">
      <c r="B1471" s="324"/>
      <c r="C1471" s="325"/>
      <c r="D1471" s="326"/>
      <c r="E1471" s="326"/>
      <c r="F1471" s="326"/>
      <c r="G1471" s="326"/>
      <c r="H1471" s="326"/>
      <c r="P1471" s="318"/>
      <c r="Q1471" s="318"/>
      <c r="R1471" s="318"/>
      <c r="S1471" s="318"/>
      <c r="T1471" s="318"/>
      <c r="U1471" s="318"/>
      <c r="V1471" s="318"/>
      <c r="W1471" s="318"/>
      <c r="X1471" s="318"/>
      <c r="Y1471" s="318"/>
      <c r="Z1471" s="318"/>
      <c r="AA1471" s="318"/>
      <c r="AB1471" s="318"/>
      <c r="AC1471" s="318"/>
      <c r="AD1471" s="318"/>
    </row>
    <row r="1472" spans="2:30" s="323" customFormat="1" ht="12" customHeight="1">
      <c r="B1472" s="324"/>
      <c r="C1472" s="325"/>
      <c r="D1472" s="326"/>
      <c r="E1472" s="326"/>
      <c r="F1472" s="326"/>
      <c r="G1472" s="326"/>
      <c r="H1472" s="326"/>
      <c r="P1472" s="318"/>
      <c r="Q1472" s="318"/>
      <c r="R1472" s="318"/>
      <c r="S1472" s="318"/>
      <c r="T1472" s="318"/>
      <c r="U1472" s="318"/>
      <c r="V1472" s="318"/>
      <c r="W1472" s="318"/>
      <c r="X1472" s="318"/>
      <c r="Y1472" s="318"/>
      <c r="Z1472" s="318"/>
      <c r="AA1472" s="318"/>
      <c r="AB1472" s="318"/>
      <c r="AC1472" s="318"/>
      <c r="AD1472" s="318"/>
    </row>
    <row r="1473" spans="2:30" s="323" customFormat="1" ht="12" customHeight="1">
      <c r="B1473" s="324"/>
      <c r="C1473" s="325"/>
      <c r="D1473" s="326"/>
      <c r="E1473" s="326"/>
      <c r="F1473" s="326"/>
      <c r="G1473" s="326"/>
      <c r="H1473" s="326"/>
      <c r="P1473" s="318"/>
      <c r="Q1473" s="318"/>
      <c r="R1473" s="318"/>
      <c r="S1473" s="318"/>
      <c r="T1473" s="318"/>
      <c r="U1473" s="318"/>
      <c r="V1473" s="318"/>
      <c r="W1473" s="318"/>
      <c r="X1473" s="318"/>
      <c r="Y1473" s="318"/>
      <c r="Z1473" s="318"/>
      <c r="AA1473" s="318"/>
      <c r="AB1473" s="318"/>
      <c r="AC1473" s="318"/>
      <c r="AD1473" s="318"/>
    </row>
    <row r="1474" spans="2:30" s="323" customFormat="1" ht="12" customHeight="1">
      <c r="B1474" s="324"/>
      <c r="C1474" s="325"/>
      <c r="D1474" s="326"/>
      <c r="E1474" s="326"/>
      <c r="F1474" s="326"/>
      <c r="G1474" s="326"/>
      <c r="H1474" s="326"/>
      <c r="P1474" s="318"/>
      <c r="Q1474" s="318"/>
      <c r="R1474" s="318"/>
      <c r="S1474" s="318"/>
      <c r="T1474" s="318"/>
      <c r="U1474" s="318"/>
      <c r="V1474" s="318"/>
      <c r="W1474" s="318"/>
      <c r="X1474" s="318"/>
      <c r="Y1474" s="318"/>
      <c r="Z1474" s="318"/>
      <c r="AA1474" s="318"/>
      <c r="AB1474" s="318"/>
      <c r="AC1474" s="318"/>
      <c r="AD1474" s="318"/>
    </row>
    <row r="1475" spans="2:30" s="323" customFormat="1" ht="12" customHeight="1">
      <c r="B1475" s="324"/>
      <c r="C1475" s="325"/>
      <c r="D1475" s="326"/>
      <c r="E1475" s="326"/>
      <c r="F1475" s="326"/>
      <c r="G1475" s="326"/>
      <c r="H1475" s="326"/>
      <c r="P1475" s="318"/>
      <c r="Q1475" s="318"/>
      <c r="R1475" s="318"/>
      <c r="S1475" s="318"/>
      <c r="T1475" s="318"/>
      <c r="U1475" s="318"/>
      <c r="V1475" s="318"/>
      <c r="W1475" s="318"/>
      <c r="X1475" s="318"/>
      <c r="Y1475" s="318"/>
      <c r="Z1475" s="318"/>
      <c r="AA1475" s="318"/>
      <c r="AB1475" s="318"/>
      <c r="AC1475" s="318"/>
      <c r="AD1475" s="318"/>
    </row>
    <row r="1476" spans="2:30" s="323" customFormat="1" ht="12" customHeight="1">
      <c r="B1476" s="324"/>
      <c r="C1476" s="325"/>
      <c r="D1476" s="326"/>
      <c r="E1476" s="326"/>
      <c r="F1476" s="326"/>
      <c r="G1476" s="326"/>
      <c r="H1476" s="326"/>
      <c r="P1476" s="318"/>
      <c r="Q1476" s="318"/>
      <c r="R1476" s="318"/>
      <c r="S1476" s="318"/>
      <c r="T1476" s="318"/>
      <c r="U1476" s="318"/>
      <c r="V1476" s="318"/>
      <c r="W1476" s="318"/>
      <c r="X1476" s="318"/>
      <c r="Y1476" s="318"/>
      <c r="Z1476" s="318"/>
      <c r="AA1476" s="318"/>
      <c r="AB1476" s="318"/>
      <c r="AC1476" s="318"/>
      <c r="AD1476" s="318"/>
    </row>
    <row r="1477" spans="2:30" s="323" customFormat="1" ht="12" customHeight="1">
      <c r="B1477" s="324"/>
      <c r="C1477" s="325"/>
      <c r="D1477" s="326"/>
      <c r="E1477" s="326"/>
      <c r="F1477" s="326"/>
      <c r="G1477" s="326"/>
      <c r="H1477" s="326"/>
      <c r="P1477" s="318"/>
      <c r="Q1477" s="318"/>
      <c r="R1477" s="318"/>
      <c r="S1477" s="318"/>
      <c r="T1477" s="318"/>
      <c r="U1477" s="318"/>
      <c r="V1477" s="318"/>
      <c r="W1477" s="318"/>
      <c r="X1477" s="318"/>
      <c r="Y1477" s="318"/>
      <c r="Z1477" s="318"/>
      <c r="AA1477" s="318"/>
      <c r="AB1477" s="318"/>
      <c r="AC1477" s="318"/>
      <c r="AD1477" s="318"/>
    </row>
    <row r="1478" spans="2:30" s="323" customFormat="1" ht="12" customHeight="1">
      <c r="B1478" s="324"/>
      <c r="C1478" s="325"/>
      <c r="D1478" s="326"/>
      <c r="E1478" s="326"/>
      <c r="F1478" s="326"/>
      <c r="G1478" s="326"/>
      <c r="H1478" s="326"/>
      <c r="P1478" s="318"/>
      <c r="Q1478" s="318"/>
      <c r="R1478" s="318"/>
      <c r="S1478" s="318"/>
      <c r="T1478" s="318"/>
      <c r="U1478" s="318"/>
      <c r="V1478" s="318"/>
      <c r="W1478" s="318"/>
      <c r="X1478" s="318"/>
      <c r="Y1478" s="318"/>
      <c r="Z1478" s="318"/>
      <c r="AA1478" s="318"/>
      <c r="AB1478" s="318"/>
      <c r="AC1478" s="318"/>
      <c r="AD1478" s="318"/>
    </row>
    <row r="1479" spans="2:30" s="323" customFormat="1" ht="12" customHeight="1">
      <c r="B1479" s="324"/>
      <c r="C1479" s="325"/>
      <c r="D1479" s="326"/>
      <c r="E1479" s="326"/>
      <c r="F1479" s="326"/>
      <c r="G1479" s="326"/>
      <c r="H1479" s="326"/>
      <c r="P1479" s="318"/>
      <c r="Q1479" s="318"/>
      <c r="R1479" s="318"/>
      <c r="S1479" s="318"/>
      <c r="T1479" s="318"/>
      <c r="U1479" s="318"/>
      <c r="V1479" s="318"/>
      <c r="W1479" s="318"/>
      <c r="X1479" s="318"/>
      <c r="Y1479" s="318"/>
      <c r="Z1479" s="318"/>
      <c r="AA1479" s="318"/>
      <c r="AB1479" s="318"/>
      <c r="AC1479" s="318"/>
      <c r="AD1479" s="318"/>
    </row>
    <row r="1480" spans="2:30" s="323" customFormat="1" ht="12" customHeight="1">
      <c r="B1480" s="324"/>
      <c r="C1480" s="325"/>
      <c r="D1480" s="326"/>
      <c r="E1480" s="326"/>
      <c r="F1480" s="326"/>
      <c r="G1480" s="326"/>
      <c r="H1480" s="326"/>
      <c r="P1480" s="318"/>
      <c r="Q1480" s="318"/>
      <c r="R1480" s="318"/>
      <c r="S1480" s="318"/>
      <c r="T1480" s="318"/>
      <c r="U1480" s="318"/>
      <c r="V1480" s="318"/>
      <c r="W1480" s="318"/>
      <c r="X1480" s="318"/>
      <c r="Y1480" s="318"/>
      <c r="Z1480" s="318"/>
      <c r="AA1480" s="318"/>
      <c r="AB1480" s="318"/>
      <c r="AC1480" s="318"/>
      <c r="AD1480" s="318"/>
    </row>
    <row r="1481" spans="2:30" s="323" customFormat="1" ht="12" customHeight="1">
      <c r="B1481" s="324"/>
      <c r="C1481" s="325"/>
      <c r="D1481" s="326"/>
      <c r="E1481" s="326"/>
      <c r="F1481" s="326"/>
      <c r="G1481" s="326"/>
      <c r="H1481" s="326"/>
      <c r="P1481" s="318"/>
      <c r="Q1481" s="318"/>
      <c r="R1481" s="318"/>
      <c r="S1481" s="318"/>
      <c r="T1481" s="318"/>
      <c r="U1481" s="318"/>
      <c r="V1481" s="318"/>
      <c r="W1481" s="318"/>
      <c r="X1481" s="318"/>
      <c r="Y1481" s="318"/>
      <c r="Z1481" s="318"/>
      <c r="AA1481" s="318"/>
      <c r="AB1481" s="318"/>
      <c r="AC1481" s="318"/>
      <c r="AD1481" s="318"/>
    </row>
    <row r="1482" spans="2:30" s="323" customFormat="1" ht="12" customHeight="1">
      <c r="B1482" s="324"/>
      <c r="C1482" s="325"/>
      <c r="D1482" s="326"/>
      <c r="E1482" s="326"/>
      <c r="F1482" s="326"/>
      <c r="G1482" s="326"/>
      <c r="H1482" s="326"/>
      <c r="P1482" s="318"/>
      <c r="Q1482" s="318"/>
      <c r="R1482" s="318"/>
      <c r="S1482" s="318"/>
      <c r="T1482" s="318"/>
      <c r="U1482" s="318"/>
      <c r="V1482" s="318"/>
      <c r="W1482" s="318"/>
      <c r="X1482" s="318"/>
      <c r="Y1482" s="318"/>
      <c r="Z1482" s="318"/>
      <c r="AA1482" s="318"/>
      <c r="AB1482" s="318"/>
      <c r="AC1482" s="318"/>
      <c r="AD1482" s="318"/>
    </row>
    <row r="1483" spans="2:30" s="323" customFormat="1" ht="12" customHeight="1">
      <c r="B1483" s="324"/>
      <c r="C1483" s="325"/>
      <c r="D1483" s="326"/>
      <c r="E1483" s="326"/>
      <c r="F1483" s="326"/>
      <c r="G1483" s="326"/>
      <c r="H1483" s="326"/>
      <c r="P1483" s="318"/>
      <c r="Q1483" s="318"/>
      <c r="R1483" s="318"/>
      <c r="S1483" s="318"/>
      <c r="T1483" s="318"/>
      <c r="U1483" s="318"/>
      <c r="V1483" s="318"/>
      <c r="W1483" s="318"/>
      <c r="X1483" s="318"/>
      <c r="Y1483" s="318"/>
      <c r="Z1483" s="318"/>
      <c r="AA1483" s="318"/>
      <c r="AB1483" s="318"/>
      <c r="AC1483" s="318"/>
      <c r="AD1483" s="318"/>
    </row>
    <row r="1484" spans="2:30" s="323" customFormat="1" ht="12" customHeight="1">
      <c r="B1484" s="324"/>
      <c r="C1484" s="325"/>
      <c r="D1484" s="326"/>
      <c r="E1484" s="326"/>
      <c r="F1484" s="326"/>
      <c r="G1484" s="326"/>
      <c r="H1484" s="326"/>
      <c r="P1484" s="318"/>
      <c r="Q1484" s="318"/>
      <c r="R1484" s="318"/>
      <c r="S1484" s="318"/>
      <c r="T1484" s="318"/>
      <c r="U1484" s="318"/>
      <c r="V1484" s="318"/>
      <c r="W1484" s="318"/>
      <c r="X1484" s="318"/>
      <c r="Y1484" s="318"/>
      <c r="Z1484" s="318"/>
      <c r="AA1484" s="318"/>
      <c r="AB1484" s="318"/>
      <c r="AC1484" s="318"/>
      <c r="AD1484" s="318"/>
    </row>
    <row r="1485" spans="2:30" s="323" customFormat="1" ht="12" customHeight="1">
      <c r="B1485" s="324"/>
      <c r="C1485" s="325"/>
      <c r="D1485" s="326"/>
      <c r="E1485" s="326"/>
      <c r="F1485" s="326"/>
      <c r="G1485" s="326"/>
      <c r="H1485" s="326"/>
      <c r="P1485" s="318"/>
      <c r="Q1485" s="318"/>
      <c r="R1485" s="318"/>
      <c r="S1485" s="318"/>
      <c r="T1485" s="318"/>
      <c r="U1485" s="318"/>
      <c r="V1485" s="318"/>
      <c r="W1485" s="318"/>
      <c r="X1485" s="318"/>
      <c r="Y1485" s="318"/>
      <c r="Z1485" s="318"/>
      <c r="AA1485" s="318"/>
      <c r="AB1485" s="318"/>
      <c r="AC1485" s="318"/>
      <c r="AD1485" s="318"/>
    </row>
    <row r="1486" spans="2:30" s="323" customFormat="1" ht="12" customHeight="1">
      <c r="B1486" s="324"/>
      <c r="C1486" s="325"/>
      <c r="D1486" s="326"/>
      <c r="E1486" s="326"/>
      <c r="F1486" s="326"/>
      <c r="G1486" s="326"/>
      <c r="H1486" s="326"/>
      <c r="P1486" s="318"/>
      <c r="Q1486" s="318"/>
      <c r="R1486" s="318"/>
      <c r="S1486" s="318"/>
      <c r="T1486" s="318"/>
      <c r="U1486" s="318"/>
      <c r="V1486" s="318"/>
      <c r="W1486" s="318"/>
      <c r="X1486" s="318"/>
      <c r="Y1486" s="318"/>
      <c r="Z1486" s="318"/>
      <c r="AA1486" s="318"/>
      <c r="AB1486" s="318"/>
      <c r="AC1486" s="318"/>
      <c r="AD1486" s="318"/>
    </row>
    <row r="1487" spans="2:30" s="323" customFormat="1" ht="12" customHeight="1">
      <c r="B1487" s="324"/>
      <c r="C1487" s="325"/>
      <c r="D1487" s="326"/>
      <c r="E1487" s="326"/>
      <c r="F1487" s="326"/>
      <c r="G1487" s="326"/>
      <c r="H1487" s="326"/>
      <c r="P1487" s="318"/>
      <c r="Q1487" s="318"/>
      <c r="R1487" s="318"/>
      <c r="S1487" s="318"/>
      <c r="T1487" s="318"/>
      <c r="U1487" s="318"/>
      <c r="V1487" s="318"/>
      <c r="W1487" s="318"/>
      <c r="X1487" s="318"/>
      <c r="Y1487" s="318"/>
      <c r="Z1487" s="318"/>
      <c r="AA1487" s="318"/>
      <c r="AB1487" s="318"/>
      <c r="AC1487" s="318"/>
      <c r="AD1487" s="318"/>
    </row>
    <row r="1488" spans="2:30" s="323" customFormat="1" ht="12" customHeight="1">
      <c r="B1488" s="324"/>
      <c r="C1488" s="325"/>
      <c r="D1488" s="326"/>
      <c r="E1488" s="326"/>
      <c r="F1488" s="326"/>
      <c r="G1488" s="326"/>
      <c r="H1488" s="326"/>
      <c r="P1488" s="318"/>
      <c r="Q1488" s="318"/>
      <c r="R1488" s="318"/>
      <c r="S1488" s="318"/>
      <c r="T1488" s="318"/>
      <c r="U1488" s="318"/>
      <c r="V1488" s="318"/>
      <c r="W1488" s="318"/>
      <c r="X1488" s="318"/>
      <c r="Y1488" s="318"/>
      <c r="Z1488" s="318"/>
      <c r="AA1488" s="318"/>
      <c r="AB1488" s="318"/>
      <c r="AC1488" s="318"/>
      <c r="AD1488" s="318"/>
    </row>
    <row r="1489" spans="2:30" s="323" customFormat="1" ht="12" customHeight="1">
      <c r="B1489" s="324"/>
      <c r="C1489" s="325"/>
      <c r="D1489" s="326"/>
      <c r="E1489" s="326"/>
      <c r="F1489" s="326"/>
      <c r="G1489" s="326"/>
      <c r="H1489" s="326"/>
      <c r="P1489" s="318"/>
      <c r="Q1489" s="318"/>
      <c r="R1489" s="318"/>
      <c r="S1489" s="318"/>
      <c r="T1489" s="318"/>
      <c r="U1489" s="318"/>
      <c r="V1489" s="318"/>
      <c r="W1489" s="318"/>
      <c r="X1489" s="318"/>
      <c r="Y1489" s="318"/>
      <c r="Z1489" s="318"/>
      <c r="AA1489" s="318"/>
      <c r="AB1489" s="318"/>
      <c r="AC1489" s="318"/>
      <c r="AD1489" s="318"/>
    </row>
    <row r="1490" spans="2:30" s="323" customFormat="1" ht="12" customHeight="1">
      <c r="B1490" s="324"/>
      <c r="C1490" s="325"/>
      <c r="D1490" s="326"/>
      <c r="E1490" s="326"/>
      <c r="F1490" s="326"/>
      <c r="G1490" s="326"/>
      <c r="H1490" s="326"/>
      <c r="P1490" s="318"/>
      <c r="Q1490" s="318"/>
      <c r="R1490" s="318"/>
      <c r="S1490" s="318"/>
      <c r="T1490" s="318"/>
      <c r="U1490" s="318"/>
      <c r="V1490" s="318"/>
      <c r="W1490" s="318"/>
      <c r="X1490" s="318"/>
      <c r="Y1490" s="318"/>
      <c r="Z1490" s="318"/>
      <c r="AA1490" s="318"/>
      <c r="AB1490" s="318"/>
      <c r="AC1490" s="318"/>
      <c r="AD1490" s="318"/>
    </row>
    <row r="1491" spans="2:30" s="323" customFormat="1" ht="12" customHeight="1">
      <c r="B1491" s="324"/>
      <c r="C1491" s="325"/>
      <c r="D1491" s="326"/>
      <c r="E1491" s="326"/>
      <c r="F1491" s="326"/>
      <c r="G1491" s="326"/>
      <c r="H1491" s="326"/>
      <c r="P1491" s="318"/>
      <c r="Q1491" s="318"/>
      <c r="R1491" s="318"/>
      <c r="S1491" s="318"/>
      <c r="T1491" s="318"/>
      <c r="U1491" s="318"/>
      <c r="V1491" s="318"/>
      <c r="W1491" s="318"/>
      <c r="X1491" s="318"/>
      <c r="Y1491" s="318"/>
      <c r="Z1491" s="318"/>
      <c r="AA1491" s="318"/>
      <c r="AB1491" s="318"/>
      <c r="AC1491" s="318"/>
      <c r="AD1491" s="318"/>
    </row>
    <row r="1492" spans="2:30" s="323" customFormat="1" ht="12" customHeight="1">
      <c r="B1492" s="324"/>
      <c r="C1492" s="325"/>
      <c r="D1492" s="326"/>
      <c r="E1492" s="326"/>
      <c r="F1492" s="326"/>
      <c r="G1492" s="326"/>
      <c r="H1492" s="326"/>
      <c r="P1492" s="318"/>
      <c r="Q1492" s="318"/>
      <c r="R1492" s="318"/>
      <c r="S1492" s="318"/>
      <c r="T1492" s="318"/>
      <c r="U1492" s="318"/>
      <c r="V1492" s="318"/>
      <c r="W1492" s="318"/>
      <c r="X1492" s="318"/>
      <c r="Y1492" s="318"/>
      <c r="Z1492" s="318"/>
      <c r="AA1492" s="318"/>
      <c r="AB1492" s="318"/>
      <c r="AC1492" s="318"/>
      <c r="AD1492" s="318"/>
    </row>
    <row r="1493" spans="2:30" s="323" customFormat="1" ht="12" customHeight="1">
      <c r="B1493" s="324"/>
      <c r="C1493" s="325"/>
      <c r="D1493" s="326"/>
      <c r="E1493" s="326"/>
      <c r="F1493" s="326"/>
      <c r="G1493" s="326"/>
      <c r="H1493" s="326"/>
      <c r="P1493" s="318"/>
      <c r="Q1493" s="318"/>
      <c r="R1493" s="318"/>
      <c r="S1493" s="318"/>
      <c r="T1493" s="318"/>
      <c r="U1493" s="318"/>
      <c r="V1493" s="318"/>
      <c r="W1493" s="318"/>
      <c r="X1493" s="318"/>
      <c r="Y1493" s="318"/>
      <c r="Z1493" s="318"/>
      <c r="AA1493" s="318"/>
      <c r="AB1493" s="318"/>
      <c r="AC1493" s="318"/>
      <c r="AD1493" s="318"/>
    </row>
    <row r="1494" spans="2:30" s="323" customFormat="1" ht="12" customHeight="1">
      <c r="B1494" s="324"/>
      <c r="C1494" s="325"/>
      <c r="D1494" s="326"/>
      <c r="E1494" s="326"/>
      <c r="F1494" s="326"/>
      <c r="G1494" s="326"/>
      <c r="H1494" s="326"/>
      <c r="P1494" s="318"/>
      <c r="Q1494" s="318"/>
      <c r="R1494" s="318"/>
      <c r="S1494" s="318"/>
      <c r="T1494" s="318"/>
      <c r="U1494" s="318"/>
      <c r="V1494" s="318"/>
      <c r="W1494" s="318"/>
      <c r="X1494" s="318"/>
      <c r="Y1494" s="318"/>
      <c r="Z1494" s="318"/>
      <c r="AA1494" s="318"/>
      <c r="AB1494" s="318"/>
      <c r="AC1494" s="318"/>
      <c r="AD1494" s="318"/>
    </row>
    <row r="1495" spans="2:30" s="323" customFormat="1" ht="12" customHeight="1">
      <c r="B1495" s="324"/>
      <c r="C1495" s="325"/>
      <c r="D1495" s="326"/>
      <c r="E1495" s="326"/>
      <c r="F1495" s="326"/>
      <c r="G1495" s="326"/>
      <c r="H1495" s="326"/>
      <c r="P1495" s="318"/>
      <c r="Q1495" s="318"/>
      <c r="R1495" s="318"/>
      <c r="S1495" s="318"/>
      <c r="T1495" s="318"/>
      <c r="U1495" s="318"/>
      <c r="V1495" s="318"/>
      <c r="W1495" s="318"/>
      <c r="X1495" s="318"/>
      <c r="Y1495" s="318"/>
      <c r="Z1495" s="318"/>
      <c r="AA1495" s="318"/>
      <c r="AB1495" s="318"/>
      <c r="AC1495" s="318"/>
      <c r="AD1495" s="318"/>
    </row>
    <row r="1496" spans="2:30" s="323" customFormat="1" ht="12" customHeight="1">
      <c r="B1496" s="324"/>
      <c r="C1496" s="325"/>
      <c r="D1496" s="326"/>
      <c r="E1496" s="326"/>
      <c r="F1496" s="326"/>
      <c r="G1496" s="326"/>
      <c r="H1496" s="326"/>
      <c r="P1496" s="318"/>
      <c r="Q1496" s="318"/>
      <c r="R1496" s="318"/>
      <c r="S1496" s="318"/>
      <c r="T1496" s="318"/>
      <c r="U1496" s="318"/>
      <c r="V1496" s="318"/>
      <c r="W1496" s="318"/>
      <c r="X1496" s="318"/>
      <c r="Y1496" s="318"/>
      <c r="Z1496" s="318"/>
      <c r="AA1496" s="318"/>
      <c r="AB1496" s="318"/>
      <c r="AC1496" s="318"/>
      <c r="AD1496" s="318"/>
    </row>
    <row r="1497" spans="2:30" s="323" customFormat="1" ht="12" customHeight="1">
      <c r="B1497" s="324"/>
      <c r="C1497" s="325"/>
      <c r="D1497" s="326"/>
      <c r="E1497" s="326"/>
      <c r="F1497" s="326"/>
      <c r="G1497" s="326"/>
      <c r="H1497" s="326"/>
      <c r="P1497" s="318"/>
      <c r="Q1497" s="318"/>
      <c r="R1497" s="318"/>
      <c r="S1497" s="318"/>
      <c r="T1497" s="318"/>
      <c r="U1497" s="318"/>
      <c r="V1497" s="318"/>
      <c r="W1497" s="318"/>
      <c r="X1497" s="318"/>
      <c r="Y1497" s="318"/>
      <c r="Z1497" s="318"/>
      <c r="AA1497" s="318"/>
      <c r="AB1497" s="318"/>
      <c r="AC1497" s="318"/>
      <c r="AD1497" s="318"/>
    </row>
    <row r="1498" spans="2:30" s="323" customFormat="1" ht="12" customHeight="1">
      <c r="B1498" s="324"/>
      <c r="C1498" s="325"/>
      <c r="D1498" s="326"/>
      <c r="E1498" s="326"/>
      <c r="F1498" s="326"/>
      <c r="G1498" s="326"/>
      <c r="H1498" s="326"/>
      <c r="P1498" s="318"/>
      <c r="Q1498" s="318"/>
      <c r="R1498" s="318"/>
      <c r="S1498" s="318"/>
      <c r="T1498" s="318"/>
      <c r="U1498" s="318"/>
      <c r="V1498" s="318"/>
      <c r="W1498" s="318"/>
      <c r="X1498" s="318"/>
      <c r="Y1498" s="318"/>
      <c r="Z1498" s="318"/>
      <c r="AA1498" s="318"/>
      <c r="AB1498" s="318"/>
      <c r="AC1498" s="318"/>
      <c r="AD1498" s="318"/>
    </row>
    <row r="1499" spans="2:30" s="323" customFormat="1" ht="12" customHeight="1">
      <c r="B1499" s="324"/>
      <c r="C1499" s="325"/>
      <c r="D1499" s="326"/>
      <c r="E1499" s="326"/>
      <c r="F1499" s="326"/>
      <c r="G1499" s="326"/>
      <c r="H1499" s="326"/>
      <c r="P1499" s="318"/>
      <c r="Q1499" s="318"/>
      <c r="R1499" s="318"/>
      <c r="S1499" s="318"/>
      <c r="T1499" s="318"/>
      <c r="U1499" s="318"/>
      <c r="V1499" s="318"/>
      <c r="W1499" s="318"/>
      <c r="X1499" s="318"/>
      <c r="Y1499" s="318"/>
      <c r="Z1499" s="318"/>
      <c r="AA1499" s="318"/>
      <c r="AB1499" s="318"/>
      <c r="AC1499" s="318"/>
      <c r="AD1499" s="318"/>
    </row>
    <row r="1500" spans="2:30" s="323" customFormat="1" ht="12" customHeight="1">
      <c r="B1500" s="324"/>
      <c r="C1500" s="325"/>
      <c r="D1500" s="326"/>
      <c r="E1500" s="326"/>
      <c r="F1500" s="326"/>
      <c r="G1500" s="326"/>
      <c r="H1500" s="326"/>
      <c r="P1500" s="318"/>
      <c r="Q1500" s="318"/>
      <c r="R1500" s="318"/>
      <c r="S1500" s="318"/>
      <c r="T1500" s="318"/>
      <c r="U1500" s="318"/>
      <c r="V1500" s="318"/>
      <c r="W1500" s="318"/>
      <c r="X1500" s="318"/>
      <c r="Y1500" s="318"/>
      <c r="Z1500" s="318"/>
      <c r="AA1500" s="318"/>
      <c r="AB1500" s="318"/>
      <c r="AC1500" s="318"/>
      <c r="AD1500" s="318"/>
    </row>
    <row r="1501" spans="2:30" s="323" customFormat="1" ht="12" customHeight="1">
      <c r="B1501" s="324"/>
      <c r="C1501" s="325"/>
      <c r="D1501" s="326"/>
      <c r="E1501" s="326"/>
      <c r="F1501" s="326"/>
      <c r="G1501" s="326"/>
      <c r="H1501" s="326"/>
      <c r="P1501" s="318"/>
      <c r="Q1501" s="318"/>
      <c r="R1501" s="318"/>
      <c r="S1501" s="318"/>
      <c r="T1501" s="318"/>
      <c r="U1501" s="318"/>
      <c r="V1501" s="318"/>
      <c r="W1501" s="318"/>
      <c r="X1501" s="318"/>
      <c r="Y1501" s="318"/>
      <c r="Z1501" s="318"/>
      <c r="AA1501" s="318"/>
      <c r="AB1501" s="318"/>
      <c r="AC1501" s="318"/>
      <c r="AD1501" s="318"/>
    </row>
    <row r="1502" spans="2:30" s="323" customFormat="1" ht="12" customHeight="1">
      <c r="B1502" s="324"/>
      <c r="C1502" s="325"/>
      <c r="D1502" s="326"/>
      <c r="E1502" s="326"/>
      <c r="F1502" s="326"/>
      <c r="G1502" s="326"/>
      <c r="H1502" s="326"/>
      <c r="P1502" s="318"/>
      <c r="Q1502" s="318"/>
      <c r="R1502" s="318"/>
      <c r="S1502" s="318"/>
      <c r="T1502" s="318"/>
      <c r="U1502" s="318"/>
      <c r="V1502" s="318"/>
      <c r="W1502" s="318"/>
      <c r="X1502" s="318"/>
      <c r="Y1502" s="318"/>
      <c r="Z1502" s="318"/>
      <c r="AA1502" s="318"/>
      <c r="AB1502" s="318"/>
      <c r="AC1502" s="318"/>
      <c r="AD1502" s="318"/>
    </row>
    <row r="1503" spans="2:30" s="323" customFormat="1" ht="12" customHeight="1">
      <c r="B1503" s="324"/>
      <c r="C1503" s="325"/>
      <c r="D1503" s="326"/>
      <c r="E1503" s="326"/>
      <c r="F1503" s="326"/>
      <c r="G1503" s="326"/>
      <c r="H1503" s="326"/>
      <c r="P1503" s="318"/>
      <c r="Q1503" s="318"/>
      <c r="R1503" s="318"/>
      <c r="S1503" s="318"/>
      <c r="T1503" s="318"/>
      <c r="U1503" s="318"/>
      <c r="V1503" s="318"/>
      <c r="W1503" s="318"/>
      <c r="X1503" s="318"/>
      <c r="Y1503" s="318"/>
      <c r="Z1503" s="318"/>
      <c r="AA1503" s="318"/>
      <c r="AB1503" s="318"/>
      <c r="AC1503" s="318"/>
      <c r="AD1503" s="318"/>
    </row>
    <row r="1504" spans="2:30" s="323" customFormat="1" ht="12" customHeight="1">
      <c r="B1504" s="324"/>
      <c r="C1504" s="325"/>
      <c r="D1504" s="326"/>
      <c r="E1504" s="326"/>
      <c r="F1504" s="326"/>
      <c r="G1504" s="326"/>
      <c r="H1504" s="326"/>
      <c r="P1504" s="318"/>
      <c r="Q1504" s="318"/>
      <c r="R1504" s="318"/>
      <c r="S1504" s="318"/>
      <c r="T1504" s="318"/>
      <c r="U1504" s="318"/>
      <c r="V1504" s="318"/>
      <c r="W1504" s="318"/>
      <c r="X1504" s="318"/>
      <c r="Y1504" s="318"/>
      <c r="Z1504" s="318"/>
      <c r="AA1504" s="318"/>
      <c r="AB1504" s="318"/>
      <c r="AC1504" s="318"/>
      <c r="AD1504" s="318"/>
    </row>
    <row r="1505" spans="2:30" s="323" customFormat="1" ht="12" customHeight="1">
      <c r="B1505" s="324"/>
      <c r="C1505" s="325"/>
      <c r="D1505" s="326"/>
      <c r="E1505" s="326"/>
      <c r="F1505" s="326"/>
      <c r="G1505" s="326"/>
      <c r="H1505" s="326"/>
      <c r="P1505" s="318"/>
      <c r="Q1505" s="318"/>
      <c r="R1505" s="318"/>
      <c r="S1505" s="318"/>
      <c r="T1505" s="318"/>
      <c r="U1505" s="318"/>
      <c r="V1505" s="318"/>
      <c r="W1505" s="318"/>
      <c r="X1505" s="318"/>
      <c r="Y1505" s="318"/>
      <c r="Z1505" s="318"/>
      <c r="AA1505" s="318"/>
      <c r="AB1505" s="318"/>
      <c r="AC1505" s="318"/>
      <c r="AD1505" s="318"/>
    </row>
    <row r="1506" spans="2:30" s="323" customFormat="1" ht="12" customHeight="1">
      <c r="B1506" s="324"/>
      <c r="C1506" s="325"/>
      <c r="D1506" s="326"/>
      <c r="E1506" s="326"/>
      <c r="F1506" s="326"/>
      <c r="G1506" s="326"/>
      <c r="H1506" s="326"/>
      <c r="P1506" s="318"/>
      <c r="Q1506" s="318"/>
      <c r="R1506" s="318"/>
      <c r="S1506" s="318"/>
      <c r="T1506" s="318"/>
      <c r="U1506" s="318"/>
      <c r="V1506" s="318"/>
      <c r="W1506" s="318"/>
      <c r="X1506" s="318"/>
      <c r="Y1506" s="318"/>
      <c r="Z1506" s="318"/>
      <c r="AA1506" s="318"/>
      <c r="AB1506" s="318"/>
      <c r="AC1506" s="318"/>
      <c r="AD1506" s="318"/>
    </row>
    <row r="1507" spans="2:30" s="323" customFormat="1" ht="12" customHeight="1">
      <c r="B1507" s="324"/>
      <c r="C1507" s="325"/>
      <c r="D1507" s="326"/>
      <c r="E1507" s="326"/>
      <c r="F1507" s="326"/>
      <c r="G1507" s="326"/>
      <c r="H1507" s="326"/>
      <c r="P1507" s="318"/>
      <c r="Q1507" s="318"/>
      <c r="R1507" s="318"/>
      <c r="S1507" s="318"/>
      <c r="T1507" s="318"/>
      <c r="U1507" s="318"/>
      <c r="V1507" s="318"/>
      <c r="W1507" s="318"/>
      <c r="X1507" s="318"/>
      <c r="Y1507" s="318"/>
      <c r="Z1507" s="318"/>
      <c r="AA1507" s="318"/>
      <c r="AB1507" s="318"/>
      <c r="AC1507" s="318"/>
      <c r="AD1507" s="318"/>
    </row>
    <row r="1508" spans="2:30" s="323" customFormat="1" ht="12" customHeight="1">
      <c r="B1508" s="324"/>
      <c r="C1508" s="325"/>
      <c r="D1508" s="326"/>
      <c r="E1508" s="326"/>
      <c r="F1508" s="326"/>
      <c r="G1508" s="326"/>
      <c r="H1508" s="326"/>
      <c r="P1508" s="318"/>
      <c r="Q1508" s="318"/>
      <c r="R1508" s="318"/>
      <c r="S1508" s="318"/>
      <c r="T1508" s="318"/>
      <c r="U1508" s="318"/>
      <c r="V1508" s="318"/>
      <c r="W1508" s="318"/>
      <c r="X1508" s="318"/>
      <c r="Y1508" s="318"/>
      <c r="Z1508" s="318"/>
      <c r="AA1508" s="318"/>
      <c r="AB1508" s="318"/>
      <c r="AC1508" s="318"/>
      <c r="AD1508" s="318"/>
    </row>
    <row r="1509" spans="2:30" s="323" customFormat="1" ht="12" customHeight="1">
      <c r="B1509" s="324"/>
      <c r="C1509" s="325"/>
      <c r="D1509" s="326"/>
      <c r="E1509" s="326"/>
      <c r="F1509" s="326"/>
      <c r="G1509" s="326"/>
      <c r="H1509" s="326"/>
      <c r="P1509" s="318"/>
      <c r="Q1509" s="318"/>
      <c r="R1509" s="318"/>
      <c r="S1509" s="318"/>
      <c r="T1509" s="318"/>
      <c r="U1509" s="318"/>
      <c r="V1509" s="318"/>
      <c r="W1509" s="318"/>
      <c r="X1509" s="318"/>
      <c r="Y1509" s="318"/>
      <c r="Z1509" s="318"/>
      <c r="AA1509" s="318"/>
      <c r="AB1509" s="318"/>
      <c r="AC1509" s="318"/>
      <c r="AD1509" s="318"/>
    </row>
    <row r="1510" spans="2:30" s="323" customFormat="1" ht="12" customHeight="1">
      <c r="B1510" s="324"/>
      <c r="C1510" s="325"/>
      <c r="D1510" s="326"/>
      <c r="E1510" s="326"/>
      <c r="F1510" s="326"/>
      <c r="G1510" s="326"/>
      <c r="H1510" s="326"/>
      <c r="P1510" s="318"/>
      <c r="Q1510" s="318"/>
      <c r="R1510" s="318"/>
      <c r="S1510" s="318"/>
      <c r="T1510" s="318"/>
      <c r="U1510" s="318"/>
      <c r="V1510" s="318"/>
      <c r="W1510" s="318"/>
      <c r="X1510" s="318"/>
      <c r="Y1510" s="318"/>
      <c r="Z1510" s="318"/>
      <c r="AA1510" s="318"/>
      <c r="AB1510" s="318"/>
      <c r="AC1510" s="318"/>
      <c r="AD1510" s="318"/>
    </row>
    <row r="1511" spans="2:30" s="323" customFormat="1" ht="12" customHeight="1">
      <c r="B1511" s="324"/>
      <c r="C1511" s="325"/>
      <c r="D1511" s="326"/>
      <c r="E1511" s="326"/>
      <c r="F1511" s="326"/>
      <c r="G1511" s="326"/>
      <c r="H1511" s="326"/>
      <c r="P1511" s="318"/>
      <c r="Q1511" s="318"/>
      <c r="R1511" s="318"/>
      <c r="S1511" s="318"/>
      <c r="T1511" s="318"/>
      <c r="U1511" s="318"/>
      <c r="V1511" s="318"/>
      <c r="W1511" s="318"/>
      <c r="X1511" s="318"/>
      <c r="Y1511" s="318"/>
      <c r="Z1511" s="318"/>
      <c r="AA1511" s="318"/>
      <c r="AB1511" s="318"/>
      <c r="AC1511" s="318"/>
      <c r="AD1511" s="318"/>
    </row>
    <row r="1512" spans="2:30" s="323" customFormat="1" ht="12" customHeight="1">
      <c r="B1512" s="324"/>
      <c r="C1512" s="325"/>
      <c r="D1512" s="326"/>
      <c r="E1512" s="326"/>
      <c r="F1512" s="326"/>
      <c r="G1512" s="326"/>
      <c r="H1512" s="326"/>
      <c r="P1512" s="318"/>
      <c r="Q1512" s="318"/>
      <c r="R1512" s="318"/>
      <c r="S1512" s="318"/>
      <c r="T1512" s="318"/>
      <c r="U1512" s="318"/>
      <c r="V1512" s="318"/>
      <c r="W1512" s="318"/>
      <c r="X1512" s="318"/>
      <c r="Y1512" s="318"/>
      <c r="Z1512" s="318"/>
      <c r="AA1512" s="318"/>
      <c r="AB1512" s="318"/>
      <c r="AC1512" s="318"/>
      <c r="AD1512" s="318"/>
    </row>
    <row r="1513" spans="2:30" s="323" customFormat="1" ht="12" customHeight="1">
      <c r="B1513" s="324"/>
      <c r="C1513" s="325"/>
      <c r="D1513" s="326"/>
      <c r="E1513" s="326"/>
      <c r="F1513" s="326"/>
      <c r="G1513" s="326"/>
      <c r="H1513" s="326"/>
      <c r="P1513" s="318"/>
      <c r="Q1513" s="318"/>
      <c r="R1513" s="318"/>
      <c r="S1513" s="318"/>
      <c r="T1513" s="318"/>
      <c r="U1513" s="318"/>
      <c r="V1513" s="318"/>
      <c r="W1513" s="318"/>
      <c r="X1513" s="318"/>
      <c r="Y1513" s="318"/>
      <c r="Z1513" s="318"/>
      <c r="AA1513" s="318"/>
      <c r="AB1513" s="318"/>
      <c r="AC1513" s="318"/>
      <c r="AD1513" s="318"/>
    </row>
    <row r="1514" spans="2:30" s="323" customFormat="1" ht="12" customHeight="1">
      <c r="B1514" s="324"/>
      <c r="C1514" s="325"/>
      <c r="D1514" s="326"/>
      <c r="E1514" s="326"/>
      <c r="F1514" s="326"/>
      <c r="G1514" s="326"/>
      <c r="H1514" s="326"/>
      <c r="P1514" s="318"/>
      <c r="Q1514" s="318"/>
      <c r="R1514" s="318"/>
      <c r="S1514" s="318"/>
      <c r="T1514" s="318"/>
      <c r="U1514" s="318"/>
      <c r="V1514" s="318"/>
      <c r="W1514" s="318"/>
      <c r="X1514" s="318"/>
      <c r="Y1514" s="318"/>
      <c r="Z1514" s="318"/>
      <c r="AA1514" s="318"/>
      <c r="AB1514" s="318"/>
      <c r="AC1514" s="318"/>
      <c r="AD1514" s="318"/>
    </row>
    <row r="1515" spans="2:30" s="323" customFormat="1" ht="12" customHeight="1">
      <c r="B1515" s="324"/>
      <c r="C1515" s="325"/>
      <c r="D1515" s="326"/>
      <c r="E1515" s="326"/>
      <c r="F1515" s="326"/>
      <c r="G1515" s="326"/>
      <c r="H1515" s="326"/>
      <c r="P1515" s="318"/>
      <c r="Q1515" s="318"/>
      <c r="R1515" s="318"/>
      <c r="S1515" s="318"/>
      <c r="T1515" s="318"/>
      <c r="U1515" s="318"/>
      <c r="V1515" s="318"/>
      <c r="W1515" s="318"/>
      <c r="X1515" s="318"/>
      <c r="Y1515" s="318"/>
      <c r="Z1515" s="318"/>
      <c r="AA1515" s="318"/>
      <c r="AB1515" s="318"/>
      <c r="AC1515" s="318"/>
      <c r="AD1515" s="318"/>
    </row>
    <row r="1516" spans="2:30" s="323" customFormat="1" ht="12" customHeight="1">
      <c r="B1516" s="324"/>
      <c r="C1516" s="325"/>
      <c r="D1516" s="326"/>
      <c r="E1516" s="326"/>
      <c r="F1516" s="326"/>
      <c r="G1516" s="326"/>
      <c r="H1516" s="326"/>
      <c r="P1516" s="318"/>
      <c r="Q1516" s="318"/>
      <c r="R1516" s="318"/>
      <c r="S1516" s="318"/>
      <c r="T1516" s="318"/>
      <c r="U1516" s="318"/>
      <c r="V1516" s="318"/>
      <c r="W1516" s="318"/>
      <c r="X1516" s="318"/>
      <c r="Y1516" s="318"/>
      <c r="Z1516" s="318"/>
      <c r="AA1516" s="318"/>
      <c r="AB1516" s="318"/>
      <c r="AC1516" s="318"/>
      <c r="AD1516" s="318"/>
    </row>
    <row r="1517" spans="2:30" s="323" customFormat="1" ht="12" customHeight="1">
      <c r="B1517" s="324"/>
      <c r="C1517" s="325"/>
      <c r="D1517" s="326"/>
      <c r="E1517" s="326"/>
      <c r="F1517" s="326"/>
      <c r="G1517" s="326"/>
      <c r="H1517" s="326"/>
      <c r="P1517" s="318"/>
      <c r="Q1517" s="318"/>
      <c r="R1517" s="318"/>
      <c r="S1517" s="318"/>
      <c r="T1517" s="318"/>
      <c r="U1517" s="318"/>
      <c r="V1517" s="318"/>
      <c r="W1517" s="318"/>
      <c r="X1517" s="318"/>
      <c r="Y1517" s="318"/>
      <c r="Z1517" s="318"/>
      <c r="AA1517" s="318"/>
      <c r="AB1517" s="318"/>
      <c r="AC1517" s="318"/>
      <c r="AD1517" s="318"/>
    </row>
    <row r="1518" spans="2:30" s="323" customFormat="1" ht="12" customHeight="1">
      <c r="B1518" s="324"/>
      <c r="C1518" s="325"/>
      <c r="D1518" s="326"/>
      <c r="E1518" s="326"/>
      <c r="F1518" s="326"/>
      <c r="G1518" s="326"/>
      <c r="H1518" s="326"/>
      <c r="P1518" s="318"/>
      <c r="Q1518" s="318"/>
      <c r="R1518" s="318"/>
      <c r="S1518" s="318"/>
      <c r="T1518" s="318"/>
      <c r="U1518" s="318"/>
      <c r="V1518" s="318"/>
      <c r="W1518" s="318"/>
      <c r="X1518" s="318"/>
      <c r="Y1518" s="318"/>
      <c r="Z1518" s="318"/>
      <c r="AA1518" s="318"/>
      <c r="AB1518" s="318"/>
      <c r="AC1518" s="318"/>
      <c r="AD1518" s="318"/>
    </row>
    <row r="1519" spans="2:30" s="323" customFormat="1" ht="12" customHeight="1">
      <c r="B1519" s="324"/>
      <c r="C1519" s="325"/>
      <c r="D1519" s="326"/>
      <c r="E1519" s="326"/>
      <c r="F1519" s="326"/>
      <c r="G1519" s="326"/>
      <c r="H1519" s="326"/>
      <c r="P1519" s="318"/>
      <c r="Q1519" s="318"/>
      <c r="R1519" s="318"/>
      <c r="S1519" s="318"/>
      <c r="T1519" s="318"/>
      <c r="U1519" s="318"/>
      <c r="V1519" s="318"/>
      <c r="W1519" s="318"/>
      <c r="X1519" s="318"/>
      <c r="Y1519" s="318"/>
      <c r="Z1519" s="318"/>
      <c r="AA1519" s="318"/>
      <c r="AB1519" s="318"/>
      <c r="AC1519" s="318"/>
      <c r="AD1519" s="318"/>
    </row>
    <row r="1520" spans="2:30" s="323" customFormat="1" ht="12" customHeight="1">
      <c r="B1520" s="324"/>
      <c r="C1520" s="325"/>
      <c r="D1520" s="326"/>
      <c r="E1520" s="326"/>
      <c r="F1520" s="326"/>
      <c r="G1520" s="326"/>
      <c r="H1520" s="326"/>
      <c r="P1520" s="318"/>
      <c r="Q1520" s="318"/>
      <c r="R1520" s="318"/>
      <c r="S1520" s="318"/>
      <c r="T1520" s="318"/>
      <c r="U1520" s="318"/>
      <c r="V1520" s="318"/>
      <c r="W1520" s="318"/>
      <c r="X1520" s="318"/>
      <c r="Y1520" s="318"/>
      <c r="Z1520" s="318"/>
      <c r="AA1520" s="318"/>
      <c r="AB1520" s="318"/>
      <c r="AC1520" s="318"/>
      <c r="AD1520" s="318"/>
    </row>
    <row r="1521" spans="2:30" s="323" customFormat="1" ht="12" customHeight="1">
      <c r="B1521" s="324"/>
      <c r="C1521" s="325"/>
      <c r="D1521" s="326"/>
      <c r="E1521" s="326"/>
      <c r="F1521" s="326"/>
      <c r="G1521" s="326"/>
      <c r="H1521" s="326"/>
      <c r="P1521" s="318"/>
      <c r="Q1521" s="318"/>
      <c r="R1521" s="318"/>
      <c r="S1521" s="318"/>
      <c r="T1521" s="318"/>
      <c r="U1521" s="318"/>
      <c r="V1521" s="318"/>
      <c r="W1521" s="318"/>
      <c r="X1521" s="318"/>
      <c r="Y1521" s="318"/>
      <c r="Z1521" s="318"/>
      <c r="AA1521" s="318"/>
      <c r="AB1521" s="318"/>
      <c r="AC1521" s="318"/>
      <c r="AD1521" s="318"/>
    </row>
    <row r="1522" spans="2:30" s="323" customFormat="1" ht="12" customHeight="1">
      <c r="B1522" s="324"/>
      <c r="C1522" s="325"/>
      <c r="D1522" s="326"/>
      <c r="E1522" s="326"/>
      <c r="F1522" s="326"/>
      <c r="G1522" s="326"/>
      <c r="H1522" s="326"/>
      <c r="P1522" s="318"/>
      <c r="Q1522" s="318"/>
      <c r="R1522" s="318"/>
      <c r="S1522" s="318"/>
      <c r="T1522" s="318"/>
      <c r="U1522" s="318"/>
      <c r="V1522" s="318"/>
      <c r="W1522" s="318"/>
      <c r="X1522" s="318"/>
      <c r="Y1522" s="318"/>
      <c r="Z1522" s="318"/>
      <c r="AA1522" s="318"/>
      <c r="AB1522" s="318"/>
      <c r="AC1522" s="318"/>
      <c r="AD1522" s="318"/>
    </row>
    <row r="1523" spans="2:30" s="323" customFormat="1" ht="12" customHeight="1">
      <c r="B1523" s="324"/>
      <c r="C1523" s="325"/>
      <c r="D1523" s="326"/>
      <c r="E1523" s="326"/>
      <c r="F1523" s="326"/>
      <c r="G1523" s="326"/>
      <c r="H1523" s="326"/>
      <c r="P1523" s="318"/>
      <c r="Q1523" s="318"/>
      <c r="R1523" s="318"/>
      <c r="S1523" s="318"/>
      <c r="T1523" s="318"/>
      <c r="U1523" s="318"/>
      <c r="V1523" s="318"/>
      <c r="W1523" s="318"/>
      <c r="X1523" s="318"/>
      <c r="Y1523" s="318"/>
      <c r="Z1523" s="318"/>
      <c r="AA1523" s="318"/>
      <c r="AB1523" s="318"/>
      <c r="AC1523" s="318"/>
      <c r="AD1523" s="318"/>
    </row>
    <row r="1524" spans="2:30" s="323" customFormat="1" ht="12" customHeight="1">
      <c r="B1524" s="324"/>
      <c r="C1524" s="325"/>
      <c r="D1524" s="326"/>
      <c r="E1524" s="326"/>
      <c r="F1524" s="326"/>
      <c r="G1524" s="326"/>
      <c r="H1524" s="326"/>
      <c r="P1524" s="318"/>
      <c r="Q1524" s="318"/>
      <c r="R1524" s="318"/>
      <c r="S1524" s="318"/>
      <c r="T1524" s="318"/>
      <c r="U1524" s="318"/>
      <c r="V1524" s="318"/>
      <c r="W1524" s="318"/>
      <c r="X1524" s="318"/>
      <c r="Y1524" s="318"/>
      <c r="Z1524" s="318"/>
      <c r="AA1524" s="318"/>
      <c r="AB1524" s="318"/>
      <c r="AC1524" s="318"/>
      <c r="AD1524" s="318"/>
    </row>
    <row r="1525" spans="2:30" s="323" customFormat="1" ht="12" customHeight="1">
      <c r="B1525" s="324"/>
      <c r="C1525" s="325"/>
      <c r="D1525" s="326"/>
      <c r="E1525" s="326"/>
      <c r="F1525" s="326"/>
      <c r="G1525" s="326"/>
      <c r="H1525" s="326"/>
      <c r="P1525" s="318"/>
      <c r="Q1525" s="318"/>
      <c r="R1525" s="318"/>
      <c r="S1525" s="318"/>
      <c r="T1525" s="318"/>
      <c r="U1525" s="318"/>
      <c r="V1525" s="318"/>
      <c r="W1525" s="318"/>
      <c r="X1525" s="318"/>
      <c r="Y1525" s="318"/>
      <c r="Z1525" s="318"/>
      <c r="AA1525" s="318"/>
      <c r="AB1525" s="318"/>
      <c r="AC1525" s="318"/>
      <c r="AD1525" s="318"/>
    </row>
    <row r="1526" spans="2:30" s="323" customFormat="1" ht="12" customHeight="1">
      <c r="B1526" s="324"/>
      <c r="C1526" s="325"/>
      <c r="D1526" s="326"/>
      <c r="E1526" s="326"/>
      <c r="F1526" s="326"/>
      <c r="G1526" s="326"/>
      <c r="H1526" s="326"/>
      <c r="P1526" s="318"/>
      <c r="Q1526" s="318"/>
      <c r="R1526" s="318"/>
      <c r="S1526" s="318"/>
      <c r="T1526" s="318"/>
      <c r="U1526" s="318"/>
      <c r="V1526" s="318"/>
      <c r="W1526" s="318"/>
      <c r="X1526" s="318"/>
      <c r="Y1526" s="318"/>
      <c r="Z1526" s="318"/>
      <c r="AA1526" s="318"/>
      <c r="AB1526" s="318"/>
      <c r="AC1526" s="318"/>
      <c r="AD1526" s="318"/>
    </row>
    <row r="1527" spans="2:30" s="323" customFormat="1" ht="12" customHeight="1">
      <c r="B1527" s="324"/>
      <c r="C1527" s="325"/>
      <c r="D1527" s="326"/>
      <c r="E1527" s="326"/>
      <c r="F1527" s="326"/>
      <c r="G1527" s="326"/>
      <c r="H1527" s="326"/>
      <c r="P1527" s="318"/>
      <c r="Q1527" s="318"/>
      <c r="R1527" s="318"/>
      <c r="S1527" s="318"/>
      <c r="T1527" s="318"/>
      <c r="U1527" s="318"/>
      <c r="V1527" s="318"/>
      <c r="W1527" s="318"/>
      <c r="X1527" s="318"/>
      <c r="Y1527" s="318"/>
      <c r="Z1527" s="318"/>
      <c r="AA1527" s="318"/>
      <c r="AB1527" s="318"/>
      <c r="AC1527" s="318"/>
      <c r="AD1527" s="318"/>
    </row>
    <row r="1528" spans="2:30" s="323" customFormat="1" ht="12" customHeight="1">
      <c r="B1528" s="324"/>
      <c r="C1528" s="325"/>
      <c r="D1528" s="326"/>
      <c r="E1528" s="326"/>
      <c r="F1528" s="326"/>
      <c r="G1528" s="326"/>
      <c r="H1528" s="326"/>
      <c r="P1528" s="318"/>
      <c r="Q1528" s="318"/>
      <c r="R1528" s="318"/>
      <c r="S1528" s="318"/>
      <c r="T1528" s="318"/>
      <c r="U1528" s="318"/>
      <c r="V1528" s="318"/>
      <c r="W1528" s="318"/>
      <c r="X1528" s="318"/>
      <c r="Y1528" s="318"/>
      <c r="Z1528" s="318"/>
      <c r="AA1528" s="318"/>
      <c r="AB1528" s="318"/>
      <c r="AC1528" s="318"/>
      <c r="AD1528" s="318"/>
    </row>
    <row r="1529" spans="2:30" s="323" customFormat="1" ht="12" customHeight="1">
      <c r="B1529" s="324"/>
      <c r="C1529" s="325"/>
      <c r="D1529" s="326"/>
      <c r="E1529" s="326"/>
      <c r="F1529" s="326"/>
      <c r="G1529" s="326"/>
      <c r="H1529" s="326"/>
      <c r="P1529" s="318"/>
      <c r="Q1529" s="318"/>
      <c r="R1529" s="318"/>
      <c r="S1529" s="318"/>
      <c r="T1529" s="318"/>
      <c r="U1529" s="318"/>
      <c r="V1529" s="318"/>
      <c r="W1529" s="318"/>
      <c r="X1529" s="318"/>
      <c r="Y1529" s="318"/>
      <c r="Z1529" s="318"/>
      <c r="AA1529" s="318"/>
      <c r="AB1529" s="318"/>
      <c r="AC1529" s="318"/>
      <c r="AD1529" s="318"/>
    </row>
    <row r="1530" spans="2:30" s="323" customFormat="1" ht="12" customHeight="1">
      <c r="B1530" s="324"/>
      <c r="C1530" s="325"/>
      <c r="D1530" s="326"/>
      <c r="E1530" s="326"/>
      <c r="F1530" s="326"/>
      <c r="G1530" s="326"/>
      <c r="H1530" s="326"/>
      <c r="P1530" s="318"/>
      <c r="Q1530" s="318"/>
      <c r="R1530" s="318"/>
      <c r="S1530" s="318"/>
      <c r="T1530" s="318"/>
      <c r="U1530" s="318"/>
      <c r="V1530" s="318"/>
      <c r="W1530" s="318"/>
      <c r="X1530" s="318"/>
      <c r="Y1530" s="318"/>
      <c r="Z1530" s="318"/>
      <c r="AA1530" s="318"/>
      <c r="AB1530" s="318"/>
      <c r="AC1530" s="318"/>
      <c r="AD1530" s="318"/>
    </row>
    <row r="1531" spans="2:30" s="323" customFormat="1" ht="12" customHeight="1">
      <c r="B1531" s="324"/>
      <c r="C1531" s="325"/>
      <c r="D1531" s="326"/>
      <c r="E1531" s="326"/>
      <c r="F1531" s="326"/>
      <c r="G1531" s="326"/>
      <c r="H1531" s="326"/>
      <c r="P1531" s="318"/>
      <c r="Q1531" s="318"/>
      <c r="R1531" s="318"/>
      <c r="S1531" s="318"/>
      <c r="T1531" s="318"/>
      <c r="U1531" s="318"/>
      <c r="V1531" s="318"/>
      <c r="W1531" s="318"/>
      <c r="X1531" s="318"/>
      <c r="Y1531" s="318"/>
      <c r="Z1531" s="318"/>
      <c r="AA1531" s="318"/>
      <c r="AB1531" s="318"/>
      <c r="AC1531" s="318"/>
      <c r="AD1531" s="318"/>
    </row>
    <row r="1532" spans="2:30" s="323" customFormat="1" ht="12" customHeight="1">
      <c r="B1532" s="324"/>
      <c r="C1532" s="325"/>
      <c r="D1532" s="326"/>
      <c r="E1532" s="326"/>
      <c r="F1532" s="326"/>
      <c r="G1532" s="326"/>
      <c r="H1532" s="326"/>
      <c r="P1532" s="318"/>
      <c r="Q1532" s="318"/>
      <c r="R1532" s="318"/>
      <c r="S1532" s="318"/>
      <c r="T1532" s="318"/>
      <c r="U1532" s="318"/>
      <c r="V1532" s="318"/>
      <c r="W1532" s="318"/>
      <c r="X1532" s="318"/>
      <c r="Y1532" s="318"/>
      <c r="Z1532" s="318"/>
      <c r="AA1532" s="318"/>
      <c r="AB1532" s="318"/>
      <c r="AC1532" s="318"/>
      <c r="AD1532" s="318"/>
    </row>
    <row r="1533" spans="2:30" s="323" customFormat="1" ht="12" customHeight="1">
      <c r="B1533" s="324"/>
      <c r="C1533" s="325"/>
      <c r="D1533" s="326"/>
      <c r="E1533" s="326"/>
      <c r="F1533" s="326"/>
      <c r="G1533" s="326"/>
      <c r="H1533" s="326"/>
      <c r="P1533" s="318"/>
      <c r="Q1533" s="318"/>
      <c r="R1533" s="318"/>
      <c r="S1533" s="318"/>
      <c r="T1533" s="318"/>
      <c r="U1533" s="318"/>
      <c r="V1533" s="318"/>
      <c r="W1533" s="318"/>
      <c r="X1533" s="318"/>
      <c r="Y1533" s="318"/>
      <c r="Z1533" s="318"/>
      <c r="AA1533" s="318"/>
      <c r="AB1533" s="318"/>
      <c r="AC1533" s="318"/>
      <c r="AD1533" s="318"/>
    </row>
    <row r="1534" spans="2:30" s="323" customFormat="1" ht="12" customHeight="1">
      <c r="B1534" s="324"/>
      <c r="C1534" s="325"/>
      <c r="D1534" s="326"/>
      <c r="E1534" s="326"/>
      <c r="F1534" s="326"/>
      <c r="G1534" s="326"/>
      <c r="H1534" s="326"/>
      <c r="P1534" s="318"/>
      <c r="Q1534" s="318"/>
      <c r="R1534" s="318"/>
      <c r="S1534" s="318"/>
      <c r="T1534" s="318"/>
      <c r="U1534" s="318"/>
      <c r="V1534" s="318"/>
      <c r="W1534" s="318"/>
      <c r="X1534" s="318"/>
      <c r="Y1534" s="318"/>
      <c r="Z1534" s="318"/>
      <c r="AA1534" s="318"/>
      <c r="AB1534" s="318"/>
      <c r="AC1534" s="318"/>
      <c r="AD1534" s="318"/>
    </row>
    <row r="1535" spans="2:30" s="323" customFormat="1" ht="12" customHeight="1">
      <c r="B1535" s="324"/>
      <c r="C1535" s="325"/>
      <c r="D1535" s="326"/>
      <c r="E1535" s="326"/>
      <c r="F1535" s="326"/>
      <c r="G1535" s="326"/>
      <c r="H1535" s="326"/>
      <c r="P1535" s="318"/>
      <c r="Q1535" s="318"/>
      <c r="R1535" s="318"/>
      <c r="S1535" s="318"/>
      <c r="T1535" s="318"/>
      <c r="U1535" s="318"/>
      <c r="V1535" s="318"/>
      <c r="W1535" s="318"/>
      <c r="X1535" s="318"/>
      <c r="Y1535" s="318"/>
      <c r="Z1535" s="318"/>
      <c r="AA1535" s="318"/>
      <c r="AB1535" s="318"/>
      <c r="AC1535" s="318"/>
      <c r="AD1535" s="318"/>
    </row>
    <row r="1536" spans="2:30" s="323" customFormat="1" ht="12" customHeight="1">
      <c r="B1536" s="324"/>
      <c r="C1536" s="325"/>
      <c r="D1536" s="326"/>
      <c r="E1536" s="326"/>
      <c r="F1536" s="326"/>
      <c r="G1536" s="326"/>
      <c r="H1536" s="326"/>
      <c r="P1536" s="318"/>
      <c r="Q1536" s="318"/>
      <c r="R1536" s="318"/>
      <c r="S1536" s="318"/>
      <c r="T1536" s="318"/>
      <c r="U1536" s="318"/>
      <c r="V1536" s="318"/>
      <c r="W1536" s="318"/>
      <c r="X1536" s="318"/>
      <c r="Y1536" s="318"/>
      <c r="Z1536" s="318"/>
      <c r="AA1536" s="318"/>
      <c r="AB1536" s="318"/>
      <c r="AC1536" s="318"/>
      <c r="AD1536" s="318"/>
    </row>
    <row r="1537" spans="2:30" s="323" customFormat="1" ht="12" customHeight="1">
      <c r="B1537" s="324"/>
      <c r="C1537" s="325"/>
      <c r="D1537" s="326"/>
      <c r="E1537" s="326"/>
      <c r="F1537" s="326"/>
      <c r="G1537" s="326"/>
      <c r="H1537" s="326"/>
      <c r="P1537" s="318"/>
      <c r="Q1537" s="318"/>
      <c r="R1537" s="318"/>
      <c r="S1537" s="318"/>
      <c r="T1537" s="318"/>
      <c r="U1537" s="318"/>
      <c r="V1537" s="318"/>
      <c r="W1537" s="318"/>
      <c r="X1537" s="318"/>
      <c r="Y1537" s="318"/>
      <c r="Z1537" s="318"/>
      <c r="AA1537" s="318"/>
      <c r="AB1537" s="318"/>
      <c r="AC1537" s="318"/>
      <c r="AD1537" s="318"/>
    </row>
    <row r="1538" spans="2:30" s="323" customFormat="1" ht="12" customHeight="1">
      <c r="B1538" s="324"/>
      <c r="C1538" s="325"/>
      <c r="D1538" s="326"/>
      <c r="E1538" s="326"/>
      <c r="F1538" s="326"/>
      <c r="G1538" s="326"/>
      <c r="H1538" s="326"/>
      <c r="P1538" s="318"/>
      <c r="Q1538" s="318"/>
      <c r="R1538" s="318"/>
      <c r="S1538" s="318"/>
      <c r="T1538" s="318"/>
      <c r="U1538" s="318"/>
      <c r="V1538" s="318"/>
      <c r="W1538" s="318"/>
      <c r="X1538" s="318"/>
      <c r="Y1538" s="318"/>
      <c r="Z1538" s="318"/>
      <c r="AA1538" s="318"/>
      <c r="AB1538" s="318"/>
      <c r="AC1538" s="318"/>
      <c r="AD1538" s="318"/>
    </row>
    <row r="1539" spans="2:30" s="323" customFormat="1" ht="12" customHeight="1">
      <c r="B1539" s="324"/>
      <c r="C1539" s="325"/>
      <c r="D1539" s="326"/>
      <c r="E1539" s="326"/>
      <c r="F1539" s="326"/>
      <c r="G1539" s="326"/>
      <c r="H1539" s="326"/>
      <c r="P1539" s="318"/>
      <c r="Q1539" s="318"/>
      <c r="R1539" s="318"/>
      <c r="S1539" s="318"/>
      <c r="T1539" s="318"/>
      <c r="U1539" s="318"/>
      <c r="V1539" s="318"/>
      <c r="W1539" s="318"/>
      <c r="X1539" s="318"/>
      <c r="Y1539" s="318"/>
      <c r="Z1539" s="318"/>
      <c r="AA1539" s="318"/>
      <c r="AB1539" s="318"/>
      <c r="AC1539" s="318"/>
      <c r="AD1539" s="318"/>
    </row>
    <row r="1540" spans="2:30" s="323" customFormat="1" ht="12" customHeight="1">
      <c r="B1540" s="324"/>
      <c r="C1540" s="325"/>
      <c r="D1540" s="326"/>
      <c r="E1540" s="326"/>
      <c r="F1540" s="326"/>
      <c r="G1540" s="326"/>
      <c r="H1540" s="326"/>
      <c r="P1540" s="318"/>
      <c r="Q1540" s="318"/>
      <c r="R1540" s="318"/>
      <c r="S1540" s="318"/>
      <c r="T1540" s="318"/>
      <c r="U1540" s="318"/>
      <c r="V1540" s="318"/>
      <c r="W1540" s="318"/>
      <c r="X1540" s="318"/>
      <c r="Y1540" s="318"/>
      <c r="Z1540" s="318"/>
      <c r="AA1540" s="318"/>
      <c r="AB1540" s="318"/>
      <c r="AC1540" s="318"/>
      <c r="AD1540" s="318"/>
    </row>
    <row r="1541" spans="2:30" s="323" customFormat="1" ht="12" customHeight="1">
      <c r="B1541" s="324"/>
      <c r="C1541" s="325"/>
      <c r="D1541" s="326"/>
      <c r="E1541" s="326"/>
      <c r="F1541" s="326"/>
      <c r="G1541" s="326"/>
      <c r="H1541" s="326"/>
      <c r="P1541" s="318"/>
      <c r="Q1541" s="318"/>
      <c r="R1541" s="318"/>
      <c r="S1541" s="318"/>
      <c r="T1541" s="318"/>
      <c r="U1541" s="318"/>
      <c r="V1541" s="318"/>
      <c r="W1541" s="318"/>
      <c r="X1541" s="318"/>
      <c r="Y1541" s="318"/>
      <c r="Z1541" s="318"/>
      <c r="AA1541" s="318"/>
      <c r="AB1541" s="318"/>
      <c r="AC1541" s="318"/>
      <c r="AD1541" s="318"/>
    </row>
    <row r="1542" spans="2:30" s="323" customFormat="1" ht="12" customHeight="1">
      <c r="B1542" s="324"/>
      <c r="C1542" s="325"/>
      <c r="D1542" s="326"/>
      <c r="E1542" s="326"/>
      <c r="F1542" s="326"/>
      <c r="G1542" s="326"/>
      <c r="H1542" s="326"/>
      <c r="P1542" s="318"/>
      <c r="Q1542" s="318"/>
      <c r="R1542" s="318"/>
      <c r="S1542" s="318"/>
      <c r="T1542" s="318"/>
      <c r="U1542" s="318"/>
      <c r="V1542" s="318"/>
      <c r="W1542" s="318"/>
      <c r="X1542" s="318"/>
      <c r="Y1542" s="318"/>
      <c r="Z1542" s="318"/>
      <c r="AA1542" s="318"/>
      <c r="AB1542" s="318"/>
      <c r="AC1542" s="318"/>
      <c r="AD1542" s="318"/>
    </row>
    <row r="1543" spans="2:30" s="323" customFormat="1" ht="12" customHeight="1">
      <c r="B1543" s="324"/>
      <c r="C1543" s="325"/>
      <c r="D1543" s="326"/>
      <c r="E1543" s="326"/>
      <c r="F1543" s="326"/>
      <c r="G1543" s="326"/>
      <c r="H1543" s="326"/>
      <c r="P1543" s="318"/>
      <c r="Q1543" s="318"/>
      <c r="R1543" s="318"/>
      <c r="S1543" s="318"/>
      <c r="T1543" s="318"/>
      <c r="U1543" s="318"/>
      <c r="V1543" s="318"/>
      <c r="W1543" s="318"/>
      <c r="X1543" s="318"/>
      <c r="Y1543" s="318"/>
      <c r="Z1543" s="318"/>
      <c r="AA1543" s="318"/>
      <c r="AB1543" s="318"/>
      <c r="AC1543" s="318"/>
      <c r="AD1543" s="318"/>
    </row>
    <row r="1544" spans="2:30" s="323" customFormat="1" ht="12" customHeight="1">
      <c r="B1544" s="324"/>
      <c r="C1544" s="325"/>
      <c r="D1544" s="326"/>
      <c r="E1544" s="326"/>
      <c r="F1544" s="326"/>
      <c r="G1544" s="326"/>
      <c r="H1544" s="326"/>
      <c r="P1544" s="318"/>
      <c r="Q1544" s="318"/>
      <c r="R1544" s="318"/>
      <c r="S1544" s="318"/>
      <c r="T1544" s="318"/>
      <c r="U1544" s="318"/>
      <c r="V1544" s="318"/>
      <c r="W1544" s="318"/>
      <c r="X1544" s="318"/>
      <c r="Y1544" s="318"/>
      <c r="Z1544" s="318"/>
      <c r="AA1544" s="318"/>
      <c r="AB1544" s="318"/>
      <c r="AC1544" s="318"/>
      <c r="AD1544" s="318"/>
    </row>
    <row r="1545" spans="2:30" s="323" customFormat="1" ht="12" customHeight="1">
      <c r="B1545" s="324"/>
      <c r="C1545" s="325"/>
      <c r="D1545" s="326"/>
      <c r="E1545" s="326"/>
      <c r="F1545" s="326"/>
      <c r="G1545" s="326"/>
      <c r="H1545" s="326"/>
      <c r="P1545" s="318"/>
      <c r="Q1545" s="318"/>
      <c r="R1545" s="318"/>
      <c r="S1545" s="318"/>
      <c r="T1545" s="318"/>
      <c r="U1545" s="318"/>
      <c r="V1545" s="318"/>
      <c r="W1545" s="318"/>
      <c r="X1545" s="318"/>
      <c r="Y1545" s="318"/>
      <c r="Z1545" s="318"/>
      <c r="AA1545" s="318"/>
      <c r="AB1545" s="318"/>
      <c r="AC1545" s="318"/>
      <c r="AD1545" s="318"/>
    </row>
    <row r="1546" spans="2:30" s="323" customFormat="1" ht="12" customHeight="1">
      <c r="B1546" s="324"/>
      <c r="C1546" s="325"/>
      <c r="D1546" s="326"/>
      <c r="E1546" s="326"/>
      <c r="F1546" s="326"/>
      <c r="G1546" s="326"/>
      <c r="H1546" s="326"/>
      <c r="P1546" s="318"/>
      <c r="Q1546" s="318"/>
      <c r="R1546" s="318"/>
      <c r="S1546" s="318"/>
      <c r="T1546" s="318"/>
      <c r="U1546" s="318"/>
      <c r="V1546" s="318"/>
      <c r="W1546" s="318"/>
      <c r="X1546" s="318"/>
      <c r="Y1546" s="318"/>
      <c r="Z1546" s="318"/>
      <c r="AA1546" s="318"/>
      <c r="AB1546" s="318"/>
      <c r="AC1546" s="318"/>
      <c r="AD1546" s="318"/>
    </row>
    <row r="1547" spans="2:30" s="323" customFormat="1" ht="12" customHeight="1">
      <c r="B1547" s="324"/>
      <c r="C1547" s="325"/>
      <c r="D1547" s="326"/>
      <c r="E1547" s="326"/>
      <c r="F1547" s="326"/>
      <c r="G1547" s="326"/>
      <c r="H1547" s="326"/>
      <c r="P1547" s="318"/>
      <c r="Q1547" s="318"/>
      <c r="R1547" s="318"/>
      <c r="S1547" s="318"/>
      <c r="T1547" s="318"/>
      <c r="U1547" s="318"/>
      <c r="V1547" s="318"/>
      <c r="W1547" s="318"/>
      <c r="X1547" s="318"/>
      <c r="Y1547" s="318"/>
      <c r="Z1547" s="318"/>
      <c r="AA1547" s="318"/>
      <c r="AB1547" s="318"/>
      <c r="AC1547" s="318"/>
      <c r="AD1547" s="318"/>
    </row>
    <row r="1548" spans="2:30" s="323" customFormat="1" ht="12" customHeight="1">
      <c r="B1548" s="324"/>
      <c r="C1548" s="325"/>
      <c r="D1548" s="326"/>
      <c r="E1548" s="326"/>
      <c r="F1548" s="326"/>
      <c r="G1548" s="326"/>
      <c r="H1548" s="326"/>
      <c r="P1548" s="318"/>
      <c r="Q1548" s="318"/>
      <c r="R1548" s="318"/>
      <c r="S1548" s="318"/>
      <c r="T1548" s="318"/>
      <c r="U1548" s="318"/>
      <c r="V1548" s="318"/>
      <c r="W1548" s="318"/>
      <c r="X1548" s="318"/>
      <c r="Y1548" s="318"/>
      <c r="Z1548" s="318"/>
      <c r="AA1548" s="318"/>
      <c r="AB1548" s="318"/>
      <c r="AC1548" s="318"/>
      <c r="AD1548" s="318"/>
    </row>
    <row r="1549" spans="2:30" s="323" customFormat="1" ht="12" customHeight="1">
      <c r="B1549" s="324"/>
      <c r="C1549" s="325"/>
      <c r="D1549" s="326"/>
      <c r="E1549" s="326"/>
      <c r="F1549" s="326"/>
      <c r="G1549" s="326"/>
      <c r="H1549" s="326"/>
      <c r="P1549" s="318"/>
      <c r="Q1549" s="318"/>
      <c r="R1549" s="318"/>
      <c r="S1549" s="318"/>
      <c r="T1549" s="318"/>
      <c r="U1549" s="318"/>
      <c r="V1549" s="318"/>
      <c r="W1549" s="318"/>
      <c r="X1549" s="318"/>
      <c r="Y1549" s="318"/>
      <c r="Z1549" s="318"/>
      <c r="AA1549" s="318"/>
      <c r="AB1549" s="318"/>
      <c r="AC1549" s="318"/>
      <c r="AD1549" s="318"/>
    </row>
    <row r="1550" spans="2:30" s="323" customFormat="1" ht="12" customHeight="1">
      <c r="B1550" s="324"/>
      <c r="C1550" s="325"/>
      <c r="D1550" s="326"/>
      <c r="E1550" s="326"/>
      <c r="F1550" s="326"/>
      <c r="G1550" s="326"/>
      <c r="H1550" s="326"/>
      <c r="P1550" s="318"/>
      <c r="Q1550" s="318"/>
      <c r="R1550" s="318"/>
      <c r="S1550" s="318"/>
      <c r="T1550" s="318"/>
      <c r="U1550" s="318"/>
      <c r="V1550" s="318"/>
      <c r="W1550" s="318"/>
      <c r="X1550" s="318"/>
      <c r="Y1550" s="318"/>
      <c r="Z1550" s="318"/>
      <c r="AA1550" s="318"/>
      <c r="AB1550" s="318"/>
      <c r="AC1550" s="318"/>
      <c r="AD1550" s="318"/>
    </row>
    <row r="1551" spans="2:30" s="323" customFormat="1" ht="12" customHeight="1">
      <c r="B1551" s="324"/>
      <c r="C1551" s="325"/>
      <c r="D1551" s="326"/>
      <c r="E1551" s="326"/>
      <c r="F1551" s="326"/>
      <c r="G1551" s="326"/>
      <c r="H1551" s="326"/>
      <c r="P1551" s="318"/>
      <c r="Q1551" s="318"/>
      <c r="R1551" s="318"/>
      <c r="S1551" s="318"/>
      <c r="T1551" s="318"/>
      <c r="U1551" s="318"/>
      <c r="V1551" s="318"/>
      <c r="W1551" s="318"/>
      <c r="X1551" s="318"/>
      <c r="Y1551" s="318"/>
      <c r="Z1551" s="318"/>
      <c r="AA1551" s="318"/>
      <c r="AB1551" s="318"/>
      <c r="AC1551" s="318"/>
      <c r="AD1551" s="318"/>
    </row>
    <row r="1552" spans="2:30" s="323" customFormat="1" ht="12" customHeight="1">
      <c r="B1552" s="324"/>
      <c r="C1552" s="325"/>
      <c r="D1552" s="326"/>
      <c r="E1552" s="326"/>
      <c r="F1552" s="326"/>
      <c r="G1552" s="326"/>
      <c r="H1552" s="326"/>
      <c r="P1552" s="318"/>
      <c r="Q1552" s="318"/>
      <c r="R1552" s="318"/>
      <c r="S1552" s="318"/>
      <c r="T1552" s="318"/>
      <c r="U1552" s="318"/>
      <c r="V1552" s="318"/>
      <c r="W1552" s="318"/>
      <c r="X1552" s="318"/>
      <c r="Y1552" s="318"/>
      <c r="Z1552" s="318"/>
      <c r="AA1552" s="318"/>
      <c r="AB1552" s="318"/>
      <c r="AC1552" s="318"/>
      <c r="AD1552" s="318"/>
    </row>
    <row r="1553" spans="2:30" s="323" customFormat="1" ht="12" customHeight="1">
      <c r="B1553" s="324"/>
      <c r="C1553" s="325"/>
      <c r="D1553" s="326"/>
      <c r="E1553" s="326"/>
      <c r="F1553" s="326"/>
      <c r="G1553" s="326"/>
      <c r="H1553" s="326"/>
      <c r="P1553" s="318"/>
      <c r="Q1553" s="318"/>
      <c r="R1553" s="318"/>
      <c r="S1553" s="318"/>
      <c r="T1553" s="318"/>
      <c r="U1553" s="318"/>
      <c r="V1553" s="318"/>
      <c r="W1553" s="318"/>
      <c r="X1553" s="318"/>
      <c r="Y1553" s="318"/>
      <c r="Z1553" s="318"/>
      <c r="AA1553" s="318"/>
      <c r="AB1553" s="318"/>
      <c r="AC1553" s="318"/>
      <c r="AD1553" s="318"/>
    </row>
    <row r="1554" spans="2:30" s="323" customFormat="1" ht="12" customHeight="1">
      <c r="B1554" s="324"/>
      <c r="C1554" s="325"/>
      <c r="D1554" s="326"/>
      <c r="E1554" s="326"/>
      <c r="F1554" s="326"/>
      <c r="G1554" s="326"/>
      <c r="H1554" s="326"/>
      <c r="P1554" s="318"/>
      <c r="Q1554" s="318"/>
      <c r="R1554" s="318"/>
      <c r="S1554" s="318"/>
      <c r="T1554" s="318"/>
      <c r="U1554" s="318"/>
      <c r="V1554" s="318"/>
      <c r="W1554" s="318"/>
      <c r="X1554" s="318"/>
      <c r="Y1554" s="318"/>
      <c r="Z1554" s="318"/>
      <c r="AA1554" s="318"/>
      <c r="AB1554" s="318"/>
      <c r="AC1554" s="318"/>
      <c r="AD1554" s="318"/>
    </row>
    <row r="1555" spans="2:30" s="323" customFormat="1" ht="12" customHeight="1">
      <c r="B1555" s="324"/>
      <c r="C1555" s="325"/>
      <c r="D1555" s="326"/>
      <c r="E1555" s="326"/>
      <c r="F1555" s="326"/>
      <c r="G1555" s="326"/>
      <c r="H1555" s="326"/>
      <c r="P1555" s="318"/>
      <c r="Q1555" s="318"/>
      <c r="R1555" s="318"/>
      <c r="S1555" s="318"/>
      <c r="T1555" s="318"/>
      <c r="U1555" s="318"/>
      <c r="V1555" s="318"/>
      <c r="W1555" s="318"/>
      <c r="X1555" s="318"/>
      <c r="Y1555" s="318"/>
      <c r="Z1555" s="318"/>
      <c r="AA1555" s="318"/>
      <c r="AB1555" s="318"/>
      <c r="AC1555" s="318"/>
      <c r="AD1555" s="318"/>
    </row>
    <row r="1556" spans="2:30" s="323" customFormat="1" ht="12" customHeight="1">
      <c r="B1556" s="324"/>
      <c r="C1556" s="325"/>
      <c r="D1556" s="326"/>
      <c r="E1556" s="326"/>
      <c r="F1556" s="326"/>
      <c r="G1556" s="326"/>
      <c r="H1556" s="326"/>
      <c r="P1556" s="318"/>
      <c r="Q1556" s="318"/>
      <c r="R1556" s="318"/>
      <c r="S1556" s="318"/>
      <c r="T1556" s="318"/>
      <c r="U1556" s="318"/>
      <c r="V1556" s="318"/>
      <c r="W1556" s="318"/>
      <c r="X1556" s="318"/>
      <c r="Y1556" s="318"/>
      <c r="Z1556" s="318"/>
      <c r="AA1556" s="318"/>
      <c r="AB1556" s="318"/>
      <c r="AC1556" s="318"/>
      <c r="AD1556" s="318"/>
    </row>
    <row r="1557" spans="2:30" s="323" customFormat="1" ht="12" customHeight="1">
      <c r="B1557" s="324"/>
      <c r="C1557" s="325"/>
      <c r="D1557" s="326"/>
      <c r="E1557" s="326"/>
      <c r="F1557" s="326"/>
      <c r="G1557" s="326"/>
      <c r="H1557" s="326"/>
      <c r="P1557" s="318"/>
      <c r="Q1557" s="318"/>
      <c r="R1557" s="318"/>
      <c r="S1557" s="318"/>
      <c r="T1557" s="318"/>
      <c r="U1557" s="318"/>
      <c r="V1557" s="318"/>
      <c r="W1557" s="318"/>
      <c r="X1557" s="318"/>
      <c r="Y1557" s="318"/>
      <c r="Z1557" s="318"/>
      <c r="AA1557" s="318"/>
      <c r="AB1557" s="318"/>
      <c r="AC1557" s="318"/>
      <c r="AD1557" s="318"/>
    </row>
    <row r="1558" spans="2:30" s="323" customFormat="1" ht="12" customHeight="1">
      <c r="B1558" s="324"/>
      <c r="C1558" s="325"/>
      <c r="D1558" s="326"/>
      <c r="E1558" s="326"/>
      <c r="F1558" s="326"/>
      <c r="G1558" s="326"/>
      <c r="H1558" s="326"/>
      <c r="P1558" s="318"/>
      <c r="Q1558" s="318"/>
      <c r="R1558" s="318"/>
      <c r="S1558" s="318"/>
      <c r="T1558" s="318"/>
      <c r="U1558" s="318"/>
      <c r="V1558" s="318"/>
      <c r="W1558" s="318"/>
      <c r="X1558" s="318"/>
      <c r="Y1558" s="318"/>
      <c r="Z1558" s="318"/>
      <c r="AA1558" s="318"/>
      <c r="AB1558" s="318"/>
      <c r="AC1558" s="318"/>
      <c r="AD1558" s="318"/>
    </row>
    <row r="1559" spans="2:30" s="323" customFormat="1" ht="12" customHeight="1">
      <c r="B1559" s="324"/>
      <c r="C1559" s="325"/>
      <c r="D1559" s="326"/>
      <c r="E1559" s="326"/>
      <c r="F1559" s="326"/>
      <c r="G1559" s="326"/>
      <c r="H1559" s="326"/>
      <c r="P1559" s="318"/>
      <c r="Q1559" s="318"/>
      <c r="R1559" s="318"/>
      <c r="S1559" s="318"/>
      <c r="T1559" s="318"/>
      <c r="U1559" s="318"/>
      <c r="V1559" s="318"/>
      <c r="W1559" s="318"/>
      <c r="X1559" s="318"/>
      <c r="Y1559" s="318"/>
      <c r="Z1559" s="318"/>
      <c r="AA1559" s="318"/>
      <c r="AB1559" s="318"/>
      <c r="AC1559" s="318"/>
      <c r="AD1559" s="318"/>
    </row>
    <row r="1560" spans="2:30" s="323" customFormat="1" ht="12" customHeight="1">
      <c r="B1560" s="324"/>
      <c r="C1560" s="325"/>
      <c r="D1560" s="326"/>
      <c r="E1560" s="326"/>
      <c r="F1560" s="326"/>
      <c r="G1560" s="326"/>
      <c r="H1560" s="326"/>
      <c r="P1560" s="318"/>
      <c r="Q1560" s="318"/>
      <c r="R1560" s="318"/>
      <c r="S1560" s="318"/>
      <c r="T1560" s="318"/>
      <c r="U1560" s="318"/>
      <c r="V1560" s="318"/>
      <c r="W1560" s="318"/>
      <c r="X1560" s="318"/>
      <c r="Y1560" s="318"/>
      <c r="Z1560" s="318"/>
      <c r="AA1560" s="318"/>
      <c r="AB1560" s="318"/>
      <c r="AC1560" s="318"/>
      <c r="AD1560" s="318"/>
    </row>
    <row r="1561" spans="2:30" s="323" customFormat="1" ht="12" customHeight="1">
      <c r="B1561" s="324"/>
      <c r="C1561" s="325"/>
      <c r="D1561" s="326"/>
      <c r="E1561" s="326"/>
      <c r="F1561" s="326"/>
      <c r="G1561" s="326"/>
      <c r="H1561" s="326"/>
      <c r="P1561" s="318"/>
      <c r="Q1561" s="318"/>
      <c r="R1561" s="318"/>
      <c r="S1561" s="318"/>
      <c r="T1561" s="318"/>
      <c r="U1561" s="318"/>
      <c r="V1561" s="318"/>
      <c r="W1561" s="318"/>
      <c r="X1561" s="318"/>
      <c r="Y1561" s="318"/>
      <c r="Z1561" s="318"/>
      <c r="AA1561" s="318"/>
      <c r="AB1561" s="318"/>
      <c r="AC1561" s="318"/>
      <c r="AD1561" s="318"/>
    </row>
    <row r="1562" spans="2:30" s="323" customFormat="1" ht="12" customHeight="1">
      <c r="B1562" s="324"/>
      <c r="C1562" s="325"/>
      <c r="D1562" s="326"/>
      <c r="E1562" s="326"/>
      <c r="F1562" s="326"/>
      <c r="G1562" s="326"/>
      <c r="H1562" s="326"/>
      <c r="P1562" s="318"/>
      <c r="Q1562" s="318"/>
      <c r="R1562" s="318"/>
      <c r="S1562" s="318"/>
      <c r="T1562" s="318"/>
      <c r="U1562" s="318"/>
      <c r="V1562" s="318"/>
      <c r="W1562" s="318"/>
      <c r="X1562" s="318"/>
      <c r="Y1562" s="318"/>
      <c r="Z1562" s="318"/>
      <c r="AA1562" s="318"/>
      <c r="AB1562" s="318"/>
      <c r="AC1562" s="318"/>
      <c r="AD1562" s="318"/>
    </row>
    <row r="1563" spans="2:30" s="323" customFormat="1" ht="12" customHeight="1">
      <c r="B1563" s="324"/>
      <c r="C1563" s="325"/>
      <c r="D1563" s="326"/>
      <c r="E1563" s="326"/>
      <c r="F1563" s="326"/>
      <c r="G1563" s="326"/>
      <c r="H1563" s="326"/>
      <c r="P1563" s="318"/>
      <c r="Q1563" s="318"/>
      <c r="R1563" s="318"/>
      <c r="S1563" s="318"/>
      <c r="T1563" s="318"/>
      <c r="U1563" s="318"/>
      <c r="V1563" s="318"/>
      <c r="W1563" s="318"/>
      <c r="X1563" s="318"/>
      <c r="Y1563" s="318"/>
      <c r="Z1563" s="318"/>
      <c r="AA1563" s="318"/>
      <c r="AB1563" s="318"/>
      <c r="AC1563" s="318"/>
      <c r="AD1563" s="318"/>
    </row>
    <row r="1564" spans="2:30" s="323" customFormat="1" ht="12" customHeight="1">
      <c r="B1564" s="324"/>
      <c r="C1564" s="325"/>
      <c r="D1564" s="326"/>
      <c r="E1564" s="326"/>
      <c r="F1564" s="326"/>
      <c r="G1564" s="326"/>
      <c r="H1564" s="326"/>
      <c r="P1564" s="318"/>
      <c r="Q1564" s="318"/>
      <c r="R1564" s="318"/>
      <c r="S1564" s="318"/>
      <c r="T1564" s="318"/>
      <c r="U1564" s="318"/>
      <c r="V1564" s="318"/>
      <c r="W1564" s="318"/>
      <c r="X1564" s="318"/>
      <c r="Y1564" s="318"/>
      <c r="Z1564" s="318"/>
      <c r="AA1564" s="318"/>
      <c r="AB1564" s="318"/>
      <c r="AC1564" s="318"/>
      <c r="AD1564" s="318"/>
    </row>
    <row r="1565" spans="2:30" s="323" customFormat="1" ht="12" customHeight="1">
      <c r="B1565" s="324"/>
      <c r="C1565" s="325"/>
      <c r="D1565" s="326"/>
      <c r="E1565" s="326"/>
      <c r="F1565" s="326"/>
      <c r="G1565" s="326"/>
      <c r="H1565" s="326"/>
      <c r="P1565" s="318"/>
      <c r="Q1565" s="318"/>
      <c r="R1565" s="318"/>
      <c r="S1565" s="318"/>
      <c r="T1565" s="318"/>
      <c r="U1565" s="318"/>
      <c r="V1565" s="318"/>
      <c r="W1565" s="318"/>
      <c r="X1565" s="318"/>
      <c r="Y1565" s="318"/>
      <c r="Z1565" s="318"/>
      <c r="AA1565" s="318"/>
      <c r="AB1565" s="318"/>
      <c r="AC1565" s="318"/>
      <c r="AD1565" s="318"/>
    </row>
    <row r="1566" spans="2:30" s="323" customFormat="1" ht="12" customHeight="1">
      <c r="B1566" s="324"/>
      <c r="C1566" s="325"/>
      <c r="D1566" s="326"/>
      <c r="E1566" s="326"/>
      <c r="F1566" s="326"/>
      <c r="G1566" s="326"/>
      <c r="H1566" s="326"/>
      <c r="P1566" s="318"/>
      <c r="Q1566" s="318"/>
      <c r="R1566" s="318"/>
      <c r="S1566" s="318"/>
      <c r="T1566" s="318"/>
      <c r="U1566" s="318"/>
      <c r="V1566" s="318"/>
      <c r="W1566" s="318"/>
      <c r="X1566" s="318"/>
      <c r="Y1566" s="318"/>
      <c r="Z1566" s="318"/>
      <c r="AA1566" s="318"/>
      <c r="AB1566" s="318"/>
      <c r="AC1566" s="318"/>
      <c r="AD1566" s="318"/>
    </row>
    <row r="1567" spans="2:30" s="323" customFormat="1" ht="12" customHeight="1">
      <c r="B1567" s="324"/>
      <c r="C1567" s="325"/>
      <c r="D1567" s="326"/>
      <c r="E1567" s="326"/>
      <c r="F1567" s="326"/>
      <c r="G1567" s="326"/>
      <c r="H1567" s="326"/>
      <c r="P1567" s="318"/>
      <c r="Q1567" s="318"/>
      <c r="R1567" s="318"/>
      <c r="S1567" s="318"/>
      <c r="T1567" s="318"/>
      <c r="U1567" s="318"/>
      <c r="V1567" s="318"/>
      <c r="W1567" s="318"/>
      <c r="X1567" s="318"/>
      <c r="Y1567" s="318"/>
      <c r="Z1567" s="318"/>
      <c r="AA1567" s="318"/>
      <c r="AB1567" s="318"/>
      <c r="AC1567" s="318"/>
      <c r="AD1567" s="318"/>
    </row>
    <row r="1568" spans="2:30" s="323" customFormat="1" ht="12" customHeight="1">
      <c r="B1568" s="324"/>
      <c r="C1568" s="325"/>
      <c r="D1568" s="326"/>
      <c r="E1568" s="326"/>
      <c r="F1568" s="326"/>
      <c r="G1568" s="326"/>
      <c r="H1568" s="326"/>
      <c r="P1568" s="318"/>
      <c r="Q1568" s="318"/>
      <c r="R1568" s="318"/>
      <c r="S1568" s="318"/>
      <c r="T1568" s="318"/>
      <c r="U1568" s="318"/>
      <c r="V1568" s="318"/>
      <c r="W1568" s="318"/>
      <c r="X1568" s="318"/>
      <c r="Y1568" s="318"/>
      <c r="Z1568" s="318"/>
      <c r="AA1568" s="318"/>
      <c r="AB1568" s="318"/>
      <c r="AC1568" s="318"/>
      <c r="AD1568" s="318"/>
    </row>
    <row r="1569" spans="2:30" s="323" customFormat="1" ht="12" customHeight="1">
      <c r="B1569" s="324"/>
      <c r="C1569" s="325"/>
      <c r="D1569" s="326"/>
      <c r="E1569" s="326"/>
      <c r="F1569" s="326"/>
      <c r="G1569" s="326"/>
      <c r="H1569" s="326"/>
      <c r="P1569" s="318"/>
      <c r="Q1569" s="318"/>
      <c r="R1569" s="318"/>
      <c r="S1569" s="318"/>
      <c r="T1569" s="318"/>
      <c r="U1569" s="318"/>
      <c r="V1569" s="318"/>
      <c r="W1569" s="318"/>
      <c r="X1569" s="318"/>
      <c r="Y1569" s="318"/>
      <c r="Z1569" s="318"/>
      <c r="AA1569" s="318"/>
      <c r="AB1569" s="318"/>
      <c r="AC1569" s="318"/>
      <c r="AD1569" s="318"/>
    </row>
    <row r="1570" spans="2:30" s="323" customFormat="1" ht="12" customHeight="1">
      <c r="B1570" s="324"/>
      <c r="C1570" s="325"/>
      <c r="D1570" s="326"/>
      <c r="E1570" s="326"/>
      <c r="F1570" s="326"/>
      <c r="G1570" s="326"/>
      <c r="H1570" s="326"/>
      <c r="P1570" s="318"/>
      <c r="Q1570" s="318"/>
      <c r="R1570" s="318"/>
      <c r="S1570" s="318"/>
      <c r="T1570" s="318"/>
      <c r="U1570" s="318"/>
      <c r="V1570" s="318"/>
      <c r="W1570" s="318"/>
      <c r="X1570" s="318"/>
      <c r="Y1570" s="318"/>
      <c r="Z1570" s="318"/>
      <c r="AA1570" s="318"/>
      <c r="AB1570" s="318"/>
      <c r="AC1570" s="318"/>
      <c r="AD1570" s="318"/>
    </row>
    <row r="1571" spans="2:30" s="323" customFormat="1" ht="12" customHeight="1">
      <c r="B1571" s="324"/>
      <c r="C1571" s="325"/>
      <c r="D1571" s="326"/>
      <c r="E1571" s="326"/>
      <c r="F1571" s="326"/>
      <c r="G1571" s="326"/>
      <c r="H1571" s="326"/>
      <c r="P1571" s="318"/>
      <c r="Q1571" s="318"/>
      <c r="R1571" s="318"/>
      <c r="S1571" s="318"/>
      <c r="T1571" s="318"/>
      <c r="U1571" s="318"/>
      <c r="V1571" s="318"/>
      <c r="W1571" s="318"/>
      <c r="X1571" s="318"/>
      <c r="Y1571" s="318"/>
      <c r="Z1571" s="318"/>
      <c r="AA1571" s="318"/>
      <c r="AB1571" s="318"/>
      <c r="AC1571" s="318"/>
      <c r="AD1571" s="318"/>
    </row>
    <row r="1572" spans="2:30" s="323" customFormat="1" ht="12" customHeight="1">
      <c r="B1572" s="324"/>
      <c r="C1572" s="325"/>
      <c r="D1572" s="326"/>
      <c r="E1572" s="326"/>
      <c r="F1572" s="326"/>
      <c r="G1572" s="326"/>
      <c r="H1572" s="326"/>
      <c r="P1572" s="318"/>
      <c r="Q1572" s="318"/>
      <c r="R1572" s="318"/>
      <c r="S1572" s="318"/>
      <c r="T1572" s="318"/>
      <c r="U1572" s="318"/>
      <c r="V1572" s="318"/>
      <c r="W1572" s="318"/>
      <c r="X1572" s="318"/>
      <c r="Y1572" s="318"/>
      <c r="Z1572" s="318"/>
      <c r="AA1572" s="318"/>
      <c r="AB1572" s="318"/>
      <c r="AC1572" s="318"/>
      <c r="AD1572" s="318"/>
    </row>
    <row r="1573" spans="2:30" s="323" customFormat="1" ht="12" customHeight="1">
      <c r="B1573" s="324"/>
      <c r="C1573" s="325"/>
      <c r="D1573" s="326"/>
      <c r="E1573" s="326"/>
      <c r="F1573" s="326"/>
      <c r="G1573" s="326"/>
      <c r="H1573" s="326"/>
      <c r="P1573" s="318"/>
      <c r="Q1573" s="318"/>
      <c r="R1573" s="318"/>
      <c r="S1573" s="318"/>
      <c r="T1573" s="318"/>
      <c r="U1573" s="318"/>
      <c r="V1573" s="318"/>
      <c r="W1573" s="318"/>
      <c r="X1573" s="318"/>
      <c r="Y1573" s="318"/>
      <c r="Z1573" s="318"/>
      <c r="AA1573" s="318"/>
      <c r="AB1573" s="318"/>
      <c r="AC1573" s="318"/>
      <c r="AD1573" s="318"/>
    </row>
    <row r="1574" spans="2:30" s="323" customFormat="1" ht="12" customHeight="1">
      <c r="B1574" s="324"/>
      <c r="C1574" s="325"/>
      <c r="D1574" s="326"/>
      <c r="E1574" s="326"/>
      <c r="F1574" s="326"/>
      <c r="G1574" s="326"/>
      <c r="H1574" s="326"/>
      <c r="P1574" s="318"/>
      <c r="Q1574" s="318"/>
      <c r="R1574" s="318"/>
      <c r="S1574" s="318"/>
      <c r="T1574" s="318"/>
      <c r="U1574" s="318"/>
      <c r="V1574" s="318"/>
      <c r="W1574" s="318"/>
      <c r="X1574" s="318"/>
      <c r="Y1574" s="318"/>
      <c r="Z1574" s="318"/>
      <c r="AA1574" s="318"/>
      <c r="AB1574" s="318"/>
      <c r="AC1574" s="318"/>
      <c r="AD1574" s="318"/>
    </row>
    <row r="1575" spans="2:30" s="323" customFormat="1" ht="12" customHeight="1">
      <c r="B1575" s="324"/>
      <c r="C1575" s="325"/>
      <c r="D1575" s="326"/>
      <c r="E1575" s="326"/>
      <c r="F1575" s="326"/>
      <c r="G1575" s="326"/>
      <c r="H1575" s="326"/>
      <c r="P1575" s="318"/>
      <c r="Q1575" s="318"/>
      <c r="R1575" s="318"/>
      <c r="S1575" s="318"/>
      <c r="T1575" s="318"/>
      <c r="U1575" s="318"/>
      <c r="V1575" s="318"/>
      <c r="W1575" s="318"/>
      <c r="X1575" s="318"/>
      <c r="Y1575" s="318"/>
      <c r="Z1575" s="318"/>
      <c r="AA1575" s="318"/>
      <c r="AB1575" s="318"/>
      <c r="AC1575" s="318"/>
      <c r="AD1575" s="318"/>
    </row>
    <row r="1576" spans="2:30" s="323" customFormat="1" ht="12" customHeight="1">
      <c r="B1576" s="324"/>
      <c r="C1576" s="325"/>
      <c r="D1576" s="326"/>
      <c r="E1576" s="326"/>
      <c r="F1576" s="326"/>
      <c r="G1576" s="326"/>
      <c r="H1576" s="326"/>
      <c r="P1576" s="318"/>
      <c r="Q1576" s="318"/>
      <c r="R1576" s="318"/>
      <c r="S1576" s="318"/>
      <c r="T1576" s="318"/>
      <c r="U1576" s="318"/>
      <c r="V1576" s="318"/>
      <c r="W1576" s="318"/>
      <c r="X1576" s="318"/>
      <c r="Y1576" s="318"/>
      <c r="Z1576" s="318"/>
      <c r="AA1576" s="318"/>
      <c r="AB1576" s="318"/>
      <c r="AC1576" s="318"/>
      <c r="AD1576" s="318"/>
    </row>
    <row r="1577" spans="2:30" s="323" customFormat="1" ht="12" customHeight="1">
      <c r="B1577" s="324"/>
      <c r="C1577" s="325"/>
      <c r="D1577" s="326"/>
      <c r="E1577" s="326"/>
      <c r="F1577" s="326"/>
      <c r="G1577" s="326"/>
      <c r="H1577" s="326"/>
      <c r="P1577" s="318"/>
      <c r="Q1577" s="318"/>
      <c r="R1577" s="318"/>
      <c r="S1577" s="318"/>
      <c r="T1577" s="318"/>
      <c r="U1577" s="318"/>
      <c r="V1577" s="318"/>
      <c r="W1577" s="318"/>
      <c r="X1577" s="318"/>
      <c r="Y1577" s="318"/>
      <c r="Z1577" s="318"/>
      <c r="AA1577" s="318"/>
      <c r="AB1577" s="318"/>
      <c r="AC1577" s="318"/>
      <c r="AD1577" s="318"/>
    </row>
    <row r="1578" spans="2:30" s="323" customFormat="1" ht="12" customHeight="1">
      <c r="B1578" s="324"/>
      <c r="C1578" s="325"/>
      <c r="D1578" s="326"/>
      <c r="E1578" s="326"/>
      <c r="F1578" s="326"/>
      <c r="G1578" s="326"/>
      <c r="H1578" s="326"/>
      <c r="P1578" s="318"/>
      <c r="Q1578" s="318"/>
      <c r="R1578" s="318"/>
      <c r="S1578" s="318"/>
      <c r="T1578" s="318"/>
      <c r="U1578" s="318"/>
      <c r="V1578" s="318"/>
      <c r="W1578" s="318"/>
      <c r="X1578" s="318"/>
      <c r="Y1578" s="318"/>
      <c r="Z1578" s="318"/>
      <c r="AA1578" s="318"/>
      <c r="AB1578" s="318"/>
      <c r="AC1578" s="318"/>
      <c r="AD1578" s="318"/>
    </row>
    <row r="1579" spans="2:30" s="323" customFormat="1" ht="12" customHeight="1">
      <c r="B1579" s="324"/>
      <c r="C1579" s="325"/>
      <c r="D1579" s="326"/>
      <c r="E1579" s="326"/>
      <c r="F1579" s="326"/>
      <c r="G1579" s="326"/>
      <c r="H1579" s="326"/>
      <c r="P1579" s="318"/>
      <c r="Q1579" s="318"/>
      <c r="R1579" s="318"/>
      <c r="S1579" s="318"/>
      <c r="T1579" s="318"/>
      <c r="U1579" s="318"/>
      <c r="V1579" s="318"/>
      <c r="W1579" s="318"/>
      <c r="X1579" s="318"/>
      <c r="Y1579" s="318"/>
      <c r="Z1579" s="318"/>
      <c r="AA1579" s="318"/>
      <c r="AB1579" s="318"/>
      <c r="AC1579" s="318"/>
      <c r="AD1579" s="318"/>
    </row>
    <row r="1580" spans="2:30" s="323" customFormat="1" ht="12" customHeight="1">
      <c r="B1580" s="324"/>
      <c r="C1580" s="325"/>
      <c r="D1580" s="326"/>
      <c r="E1580" s="326"/>
      <c r="F1580" s="326"/>
      <c r="G1580" s="326"/>
      <c r="H1580" s="326"/>
      <c r="P1580" s="318"/>
      <c r="Q1580" s="318"/>
      <c r="R1580" s="318"/>
      <c r="S1580" s="318"/>
      <c r="T1580" s="318"/>
      <c r="U1580" s="318"/>
      <c r="V1580" s="318"/>
      <c r="W1580" s="318"/>
      <c r="X1580" s="318"/>
      <c r="Y1580" s="318"/>
      <c r="Z1580" s="318"/>
      <c r="AA1580" s="318"/>
      <c r="AB1580" s="318"/>
      <c r="AC1580" s="318"/>
      <c r="AD1580" s="318"/>
    </row>
    <row r="1581" spans="2:30" s="323" customFormat="1" ht="12" customHeight="1">
      <c r="B1581" s="324"/>
      <c r="C1581" s="325"/>
      <c r="D1581" s="326"/>
      <c r="E1581" s="326"/>
      <c r="F1581" s="326"/>
      <c r="G1581" s="326"/>
      <c r="H1581" s="326"/>
      <c r="P1581" s="318"/>
      <c r="Q1581" s="318"/>
      <c r="R1581" s="318"/>
      <c r="S1581" s="318"/>
      <c r="T1581" s="318"/>
      <c r="U1581" s="318"/>
      <c r="V1581" s="318"/>
      <c r="W1581" s="318"/>
      <c r="X1581" s="318"/>
      <c r="Y1581" s="318"/>
      <c r="Z1581" s="318"/>
      <c r="AA1581" s="318"/>
      <c r="AB1581" s="318"/>
      <c r="AC1581" s="318"/>
      <c r="AD1581" s="318"/>
    </row>
    <row r="1582" spans="2:30" s="323" customFormat="1" ht="12" customHeight="1">
      <c r="B1582" s="324"/>
      <c r="C1582" s="325"/>
      <c r="D1582" s="326"/>
      <c r="E1582" s="326"/>
      <c r="F1582" s="326"/>
      <c r="G1582" s="326"/>
      <c r="H1582" s="326"/>
      <c r="P1582" s="318"/>
      <c r="Q1582" s="318"/>
      <c r="R1582" s="318"/>
      <c r="S1582" s="318"/>
      <c r="T1582" s="318"/>
      <c r="U1582" s="318"/>
      <c r="V1582" s="318"/>
      <c r="W1582" s="318"/>
      <c r="X1582" s="318"/>
      <c r="Y1582" s="318"/>
      <c r="Z1582" s="318"/>
      <c r="AA1582" s="318"/>
      <c r="AB1582" s="318"/>
      <c r="AC1582" s="318"/>
      <c r="AD1582" s="318"/>
    </row>
    <row r="1583" spans="2:30" s="323" customFormat="1" ht="12" customHeight="1">
      <c r="B1583" s="324"/>
      <c r="C1583" s="325"/>
      <c r="D1583" s="326"/>
      <c r="E1583" s="326"/>
      <c r="F1583" s="326"/>
      <c r="G1583" s="326"/>
      <c r="H1583" s="326"/>
      <c r="P1583" s="318"/>
      <c r="Q1583" s="318"/>
      <c r="R1583" s="318"/>
      <c r="S1583" s="318"/>
      <c r="T1583" s="318"/>
      <c r="U1583" s="318"/>
      <c r="V1583" s="318"/>
      <c r="W1583" s="318"/>
      <c r="X1583" s="318"/>
      <c r="Y1583" s="318"/>
      <c r="Z1583" s="318"/>
      <c r="AA1583" s="318"/>
      <c r="AB1583" s="318"/>
      <c r="AC1583" s="318"/>
      <c r="AD1583" s="318"/>
    </row>
    <row r="1584" spans="2:30" s="323" customFormat="1" ht="12" customHeight="1">
      <c r="B1584" s="324"/>
      <c r="C1584" s="325"/>
      <c r="D1584" s="326"/>
      <c r="E1584" s="326"/>
      <c r="F1584" s="326"/>
      <c r="G1584" s="326"/>
      <c r="H1584" s="326"/>
      <c r="P1584" s="318"/>
      <c r="Q1584" s="318"/>
      <c r="R1584" s="318"/>
      <c r="S1584" s="318"/>
      <c r="T1584" s="318"/>
      <c r="U1584" s="318"/>
      <c r="V1584" s="318"/>
      <c r="W1584" s="318"/>
      <c r="X1584" s="318"/>
      <c r="Y1584" s="318"/>
      <c r="Z1584" s="318"/>
      <c r="AA1584" s="318"/>
      <c r="AB1584" s="318"/>
      <c r="AC1584" s="318"/>
      <c r="AD1584" s="318"/>
    </row>
    <row r="1585" spans="2:30" s="323" customFormat="1" ht="12" customHeight="1">
      <c r="B1585" s="324"/>
      <c r="C1585" s="325"/>
      <c r="D1585" s="326"/>
      <c r="E1585" s="326"/>
      <c r="F1585" s="326"/>
      <c r="G1585" s="326"/>
      <c r="H1585" s="326"/>
      <c r="P1585" s="318"/>
      <c r="Q1585" s="318"/>
      <c r="R1585" s="318"/>
      <c r="S1585" s="318"/>
      <c r="T1585" s="318"/>
      <c r="U1585" s="318"/>
      <c r="V1585" s="318"/>
      <c r="W1585" s="318"/>
      <c r="X1585" s="318"/>
      <c r="Y1585" s="318"/>
      <c r="Z1585" s="318"/>
      <c r="AA1585" s="318"/>
      <c r="AB1585" s="318"/>
      <c r="AC1585" s="318"/>
      <c r="AD1585" s="318"/>
    </row>
    <row r="1586" spans="2:30" s="323" customFormat="1" ht="12" customHeight="1">
      <c r="B1586" s="324"/>
      <c r="C1586" s="325"/>
      <c r="D1586" s="326"/>
      <c r="E1586" s="326"/>
      <c r="F1586" s="326"/>
      <c r="G1586" s="326"/>
      <c r="H1586" s="326"/>
      <c r="P1586" s="318"/>
      <c r="Q1586" s="318"/>
      <c r="R1586" s="318"/>
      <c r="S1586" s="318"/>
      <c r="T1586" s="318"/>
      <c r="U1586" s="318"/>
      <c r="V1586" s="318"/>
      <c r="W1586" s="318"/>
      <c r="X1586" s="318"/>
      <c r="Y1586" s="318"/>
      <c r="Z1586" s="318"/>
      <c r="AA1586" s="318"/>
      <c r="AB1586" s="318"/>
      <c r="AC1586" s="318"/>
      <c r="AD1586" s="318"/>
    </row>
    <row r="1587" spans="2:30" s="323" customFormat="1" ht="12" customHeight="1">
      <c r="B1587" s="324"/>
      <c r="C1587" s="325"/>
      <c r="D1587" s="326"/>
      <c r="E1587" s="326"/>
      <c r="F1587" s="326"/>
      <c r="G1587" s="326"/>
      <c r="H1587" s="326"/>
      <c r="P1587" s="318"/>
      <c r="Q1587" s="318"/>
      <c r="R1587" s="318"/>
      <c r="S1587" s="318"/>
      <c r="T1587" s="318"/>
      <c r="U1587" s="318"/>
      <c r="V1587" s="318"/>
      <c r="W1587" s="318"/>
      <c r="X1587" s="318"/>
      <c r="Y1587" s="318"/>
      <c r="Z1587" s="318"/>
      <c r="AA1587" s="318"/>
      <c r="AB1587" s="318"/>
      <c r="AC1587" s="318"/>
      <c r="AD1587" s="318"/>
    </row>
    <row r="1588" spans="2:30" s="323" customFormat="1" ht="12" customHeight="1">
      <c r="B1588" s="324"/>
      <c r="C1588" s="325"/>
      <c r="D1588" s="326"/>
      <c r="E1588" s="326"/>
      <c r="F1588" s="326"/>
      <c r="G1588" s="326"/>
      <c r="H1588" s="326"/>
      <c r="P1588" s="318"/>
      <c r="Q1588" s="318"/>
      <c r="R1588" s="318"/>
      <c r="S1588" s="318"/>
      <c r="T1588" s="318"/>
      <c r="U1588" s="318"/>
      <c r="V1588" s="318"/>
      <c r="W1588" s="318"/>
      <c r="X1588" s="318"/>
      <c r="Y1588" s="318"/>
      <c r="Z1588" s="318"/>
      <c r="AA1588" s="318"/>
      <c r="AB1588" s="318"/>
      <c r="AC1588" s="318"/>
      <c r="AD1588" s="318"/>
    </row>
    <row r="1589" spans="2:30" s="323" customFormat="1" ht="12" customHeight="1">
      <c r="B1589" s="324"/>
      <c r="C1589" s="325"/>
      <c r="D1589" s="326"/>
      <c r="E1589" s="326"/>
      <c r="F1589" s="326"/>
      <c r="G1589" s="326"/>
      <c r="H1589" s="326"/>
      <c r="P1589" s="318"/>
      <c r="Q1589" s="318"/>
      <c r="R1589" s="318"/>
      <c r="S1589" s="318"/>
      <c r="T1589" s="318"/>
      <c r="U1589" s="318"/>
      <c r="V1589" s="318"/>
      <c r="W1589" s="318"/>
      <c r="X1589" s="318"/>
      <c r="Y1589" s="318"/>
      <c r="Z1589" s="318"/>
      <c r="AA1589" s="318"/>
      <c r="AB1589" s="318"/>
      <c r="AC1589" s="318"/>
      <c r="AD1589" s="318"/>
    </row>
    <row r="1590" spans="2:30" s="323" customFormat="1" ht="12" customHeight="1">
      <c r="B1590" s="324"/>
      <c r="C1590" s="325"/>
      <c r="D1590" s="326"/>
      <c r="E1590" s="326"/>
      <c r="F1590" s="326"/>
      <c r="G1590" s="326"/>
      <c r="H1590" s="326"/>
      <c r="P1590" s="318"/>
      <c r="Q1590" s="318"/>
      <c r="R1590" s="318"/>
      <c r="S1590" s="318"/>
      <c r="T1590" s="318"/>
      <c r="U1590" s="318"/>
      <c r="V1590" s="318"/>
      <c r="W1590" s="318"/>
      <c r="X1590" s="318"/>
      <c r="Y1590" s="318"/>
      <c r="Z1590" s="318"/>
      <c r="AA1590" s="318"/>
      <c r="AB1590" s="318"/>
      <c r="AC1590" s="318"/>
      <c r="AD1590" s="318"/>
    </row>
    <row r="1591" spans="2:30" s="323" customFormat="1" ht="12" customHeight="1">
      <c r="B1591" s="324"/>
      <c r="C1591" s="325"/>
      <c r="D1591" s="326"/>
      <c r="E1591" s="326"/>
      <c r="F1591" s="326"/>
      <c r="G1591" s="326"/>
      <c r="H1591" s="326"/>
      <c r="P1591" s="318"/>
      <c r="Q1591" s="318"/>
      <c r="R1591" s="318"/>
      <c r="S1591" s="318"/>
      <c r="T1591" s="318"/>
      <c r="U1591" s="318"/>
      <c r="V1591" s="318"/>
      <c r="W1591" s="318"/>
      <c r="X1591" s="318"/>
      <c r="Y1591" s="318"/>
      <c r="Z1591" s="318"/>
      <c r="AA1591" s="318"/>
      <c r="AB1591" s="318"/>
      <c r="AC1591" s="318"/>
      <c r="AD1591" s="318"/>
    </row>
    <row r="1592" spans="2:30" s="323" customFormat="1" ht="12" customHeight="1">
      <c r="B1592" s="324"/>
      <c r="C1592" s="325"/>
      <c r="D1592" s="326"/>
      <c r="E1592" s="326"/>
      <c r="F1592" s="326"/>
      <c r="G1592" s="326"/>
      <c r="H1592" s="326"/>
      <c r="P1592" s="318"/>
      <c r="Q1592" s="318"/>
      <c r="R1592" s="318"/>
      <c r="S1592" s="318"/>
      <c r="T1592" s="318"/>
      <c r="U1592" s="318"/>
      <c r="V1592" s="318"/>
      <c r="W1592" s="318"/>
      <c r="X1592" s="318"/>
      <c r="Y1592" s="318"/>
      <c r="Z1592" s="318"/>
      <c r="AA1592" s="318"/>
      <c r="AB1592" s="318"/>
      <c r="AC1592" s="318"/>
      <c r="AD1592" s="318"/>
    </row>
    <row r="1593" spans="2:30" s="323" customFormat="1" ht="12" customHeight="1">
      <c r="B1593" s="324"/>
      <c r="C1593" s="325"/>
      <c r="D1593" s="326"/>
      <c r="E1593" s="326"/>
      <c r="F1593" s="326"/>
      <c r="G1593" s="326"/>
      <c r="H1593" s="326"/>
      <c r="P1593" s="318"/>
      <c r="Q1593" s="318"/>
      <c r="R1593" s="318"/>
      <c r="S1593" s="318"/>
      <c r="T1593" s="318"/>
      <c r="U1593" s="318"/>
      <c r="V1593" s="318"/>
      <c r="W1593" s="318"/>
      <c r="X1593" s="318"/>
      <c r="Y1593" s="318"/>
      <c r="Z1593" s="318"/>
      <c r="AA1593" s="318"/>
      <c r="AB1593" s="318"/>
      <c r="AC1593" s="318"/>
      <c r="AD1593" s="318"/>
    </row>
    <row r="1594" spans="2:30" s="323" customFormat="1" ht="12" customHeight="1">
      <c r="B1594" s="324"/>
      <c r="C1594" s="325"/>
      <c r="D1594" s="326"/>
      <c r="E1594" s="326"/>
      <c r="F1594" s="326"/>
      <c r="G1594" s="326"/>
      <c r="H1594" s="326"/>
      <c r="P1594" s="318"/>
      <c r="Q1594" s="318"/>
      <c r="R1594" s="318"/>
      <c r="S1594" s="318"/>
      <c r="T1594" s="318"/>
      <c r="U1594" s="318"/>
      <c r="V1594" s="318"/>
      <c r="W1594" s="318"/>
      <c r="X1594" s="318"/>
      <c r="Y1594" s="318"/>
      <c r="Z1594" s="318"/>
      <c r="AA1594" s="318"/>
      <c r="AB1594" s="318"/>
      <c r="AC1594" s="318"/>
      <c r="AD1594" s="318"/>
    </row>
    <row r="1595" spans="2:30" s="323" customFormat="1" ht="12" customHeight="1">
      <c r="B1595" s="324"/>
      <c r="C1595" s="325"/>
      <c r="D1595" s="326"/>
      <c r="E1595" s="326"/>
      <c r="F1595" s="326"/>
      <c r="G1595" s="326"/>
      <c r="H1595" s="326"/>
      <c r="P1595" s="318"/>
      <c r="Q1595" s="318"/>
      <c r="R1595" s="318"/>
      <c r="S1595" s="318"/>
      <c r="T1595" s="318"/>
      <c r="U1595" s="318"/>
      <c r="V1595" s="318"/>
      <c r="W1595" s="318"/>
      <c r="X1595" s="318"/>
      <c r="Y1595" s="318"/>
      <c r="Z1595" s="318"/>
      <c r="AA1595" s="318"/>
      <c r="AB1595" s="318"/>
      <c r="AC1595" s="318"/>
      <c r="AD1595" s="318"/>
    </row>
    <row r="1596" spans="2:30" s="323" customFormat="1" ht="12" customHeight="1">
      <c r="B1596" s="324"/>
      <c r="C1596" s="325"/>
      <c r="D1596" s="326"/>
      <c r="E1596" s="326"/>
      <c r="F1596" s="326"/>
      <c r="G1596" s="326"/>
      <c r="H1596" s="326"/>
      <c r="P1596" s="318"/>
      <c r="Q1596" s="318"/>
      <c r="R1596" s="318"/>
      <c r="S1596" s="318"/>
      <c r="T1596" s="318"/>
      <c r="U1596" s="318"/>
      <c r="V1596" s="318"/>
      <c r="W1596" s="318"/>
      <c r="X1596" s="318"/>
      <c r="Y1596" s="318"/>
      <c r="Z1596" s="318"/>
      <c r="AA1596" s="318"/>
      <c r="AB1596" s="318"/>
      <c r="AC1596" s="318"/>
      <c r="AD1596" s="318"/>
    </row>
    <row r="1597" spans="2:30" s="323" customFormat="1" ht="12" customHeight="1">
      <c r="B1597" s="324"/>
      <c r="C1597" s="325"/>
      <c r="D1597" s="326"/>
      <c r="E1597" s="326"/>
      <c r="F1597" s="326"/>
      <c r="G1597" s="326"/>
      <c r="H1597" s="326"/>
      <c r="P1597" s="318"/>
      <c r="Q1597" s="318"/>
      <c r="R1597" s="318"/>
      <c r="S1597" s="318"/>
      <c r="T1597" s="318"/>
      <c r="U1597" s="318"/>
      <c r="V1597" s="318"/>
      <c r="W1597" s="318"/>
      <c r="X1597" s="318"/>
      <c r="Y1597" s="318"/>
      <c r="Z1597" s="318"/>
      <c r="AA1597" s="318"/>
      <c r="AB1597" s="318"/>
      <c r="AC1597" s="318"/>
      <c r="AD1597" s="318"/>
    </row>
    <row r="1598" spans="2:30" s="323" customFormat="1" ht="12" customHeight="1">
      <c r="B1598" s="324"/>
      <c r="C1598" s="325"/>
      <c r="D1598" s="326"/>
      <c r="E1598" s="326"/>
      <c r="F1598" s="326"/>
      <c r="G1598" s="326"/>
      <c r="H1598" s="326"/>
      <c r="P1598" s="318"/>
      <c r="Q1598" s="318"/>
      <c r="R1598" s="318"/>
      <c r="S1598" s="318"/>
      <c r="T1598" s="318"/>
      <c r="U1598" s="318"/>
      <c r="V1598" s="318"/>
      <c r="W1598" s="318"/>
      <c r="X1598" s="318"/>
      <c r="Y1598" s="318"/>
      <c r="Z1598" s="318"/>
      <c r="AA1598" s="318"/>
      <c r="AB1598" s="318"/>
      <c r="AC1598" s="318"/>
      <c r="AD1598" s="318"/>
    </row>
    <row r="1599" spans="2:30" s="323" customFormat="1" ht="12" customHeight="1">
      <c r="B1599" s="324"/>
      <c r="C1599" s="325"/>
      <c r="D1599" s="326"/>
      <c r="E1599" s="326"/>
      <c r="F1599" s="326"/>
      <c r="G1599" s="326"/>
      <c r="H1599" s="326"/>
      <c r="P1599" s="318"/>
      <c r="Q1599" s="318"/>
      <c r="R1599" s="318"/>
      <c r="S1599" s="318"/>
      <c r="T1599" s="318"/>
      <c r="U1599" s="318"/>
      <c r="V1599" s="318"/>
      <c r="W1599" s="318"/>
      <c r="X1599" s="318"/>
      <c r="Y1599" s="318"/>
      <c r="Z1599" s="318"/>
      <c r="AA1599" s="318"/>
      <c r="AB1599" s="318"/>
      <c r="AC1599" s="318"/>
      <c r="AD1599" s="318"/>
    </row>
    <row r="1600" spans="2:30" s="323" customFormat="1" ht="12" customHeight="1">
      <c r="B1600" s="324"/>
      <c r="C1600" s="325"/>
      <c r="D1600" s="326"/>
      <c r="E1600" s="326"/>
      <c r="F1600" s="326"/>
      <c r="G1600" s="326"/>
      <c r="H1600" s="326"/>
      <c r="P1600" s="318"/>
      <c r="Q1600" s="318"/>
      <c r="R1600" s="318"/>
      <c r="S1600" s="318"/>
      <c r="T1600" s="318"/>
      <c r="U1600" s="318"/>
      <c r="V1600" s="318"/>
      <c r="W1600" s="318"/>
      <c r="X1600" s="318"/>
      <c r="Y1600" s="318"/>
      <c r="Z1600" s="318"/>
      <c r="AA1600" s="318"/>
      <c r="AB1600" s="318"/>
      <c r="AC1600" s="318"/>
      <c r="AD1600" s="318"/>
    </row>
    <row r="1601" spans="2:30" s="323" customFormat="1" ht="12" customHeight="1">
      <c r="B1601" s="324"/>
      <c r="C1601" s="325"/>
      <c r="D1601" s="326"/>
      <c r="E1601" s="326"/>
      <c r="F1601" s="326"/>
      <c r="G1601" s="326"/>
      <c r="H1601" s="326"/>
      <c r="P1601" s="318"/>
      <c r="Q1601" s="318"/>
      <c r="R1601" s="318"/>
      <c r="S1601" s="318"/>
      <c r="T1601" s="318"/>
      <c r="U1601" s="318"/>
      <c r="V1601" s="318"/>
      <c r="W1601" s="318"/>
      <c r="X1601" s="318"/>
      <c r="Y1601" s="318"/>
      <c r="Z1601" s="318"/>
      <c r="AA1601" s="318"/>
      <c r="AB1601" s="318"/>
      <c r="AC1601" s="318"/>
      <c r="AD1601" s="318"/>
    </row>
    <row r="1602" spans="2:30" s="323" customFormat="1" ht="12" customHeight="1">
      <c r="B1602" s="324"/>
      <c r="C1602" s="325"/>
      <c r="D1602" s="326"/>
      <c r="E1602" s="326"/>
      <c r="F1602" s="326"/>
      <c r="G1602" s="326"/>
      <c r="H1602" s="326"/>
      <c r="P1602" s="318"/>
      <c r="Q1602" s="318"/>
      <c r="R1602" s="318"/>
      <c r="S1602" s="318"/>
      <c r="T1602" s="318"/>
      <c r="U1602" s="318"/>
      <c r="V1602" s="318"/>
      <c r="W1602" s="318"/>
      <c r="X1602" s="318"/>
      <c r="Y1602" s="318"/>
      <c r="Z1602" s="318"/>
      <c r="AA1602" s="318"/>
      <c r="AB1602" s="318"/>
      <c r="AC1602" s="318"/>
      <c r="AD1602" s="318"/>
    </row>
    <row r="1603" spans="2:30" s="323" customFormat="1" ht="12" customHeight="1">
      <c r="B1603" s="324"/>
      <c r="C1603" s="325"/>
      <c r="D1603" s="326"/>
      <c r="E1603" s="326"/>
      <c r="F1603" s="326"/>
      <c r="G1603" s="326"/>
      <c r="H1603" s="326"/>
      <c r="P1603" s="318"/>
      <c r="Q1603" s="318"/>
      <c r="R1603" s="318"/>
      <c r="S1603" s="318"/>
      <c r="T1603" s="318"/>
      <c r="U1603" s="318"/>
      <c r="V1603" s="318"/>
      <c r="W1603" s="318"/>
      <c r="X1603" s="318"/>
      <c r="Y1603" s="318"/>
      <c r="Z1603" s="318"/>
      <c r="AA1603" s="318"/>
      <c r="AB1603" s="318"/>
      <c r="AC1603" s="318"/>
      <c r="AD1603" s="318"/>
    </row>
    <row r="1604" spans="2:30" s="323" customFormat="1" ht="12" customHeight="1">
      <c r="B1604" s="324"/>
      <c r="C1604" s="325"/>
      <c r="D1604" s="326"/>
      <c r="E1604" s="326"/>
      <c r="F1604" s="326"/>
      <c r="G1604" s="326"/>
      <c r="H1604" s="326"/>
      <c r="P1604" s="318"/>
      <c r="Q1604" s="318"/>
      <c r="R1604" s="318"/>
      <c r="S1604" s="318"/>
      <c r="T1604" s="318"/>
      <c r="U1604" s="318"/>
      <c r="V1604" s="318"/>
      <c r="W1604" s="318"/>
      <c r="X1604" s="318"/>
      <c r="Y1604" s="318"/>
      <c r="Z1604" s="318"/>
      <c r="AA1604" s="318"/>
      <c r="AB1604" s="318"/>
      <c r="AC1604" s="318"/>
      <c r="AD1604" s="318"/>
    </row>
    <row r="1605" spans="2:30" s="323" customFormat="1" ht="12" customHeight="1">
      <c r="B1605" s="324"/>
      <c r="C1605" s="325"/>
      <c r="D1605" s="326"/>
      <c r="E1605" s="326"/>
      <c r="F1605" s="326"/>
      <c r="G1605" s="326"/>
      <c r="H1605" s="326"/>
      <c r="P1605" s="318"/>
      <c r="Q1605" s="318"/>
      <c r="R1605" s="318"/>
      <c r="S1605" s="318"/>
      <c r="T1605" s="318"/>
      <c r="U1605" s="318"/>
      <c r="V1605" s="318"/>
      <c r="W1605" s="318"/>
      <c r="X1605" s="318"/>
      <c r="Y1605" s="318"/>
      <c r="Z1605" s="318"/>
      <c r="AA1605" s="318"/>
      <c r="AB1605" s="318"/>
      <c r="AC1605" s="318"/>
      <c r="AD1605" s="318"/>
    </row>
    <row r="1606" spans="2:30" s="323" customFormat="1" ht="12" customHeight="1">
      <c r="B1606" s="324"/>
      <c r="C1606" s="325"/>
      <c r="D1606" s="326"/>
      <c r="E1606" s="326"/>
      <c r="F1606" s="326"/>
      <c r="G1606" s="326"/>
      <c r="H1606" s="326"/>
      <c r="P1606" s="318"/>
      <c r="Q1606" s="318"/>
      <c r="R1606" s="318"/>
      <c r="S1606" s="318"/>
      <c r="T1606" s="318"/>
      <c r="U1606" s="318"/>
      <c r="V1606" s="318"/>
      <c r="W1606" s="318"/>
      <c r="X1606" s="318"/>
      <c r="Y1606" s="318"/>
      <c r="Z1606" s="318"/>
      <c r="AA1606" s="318"/>
      <c r="AB1606" s="318"/>
      <c r="AC1606" s="318"/>
      <c r="AD1606" s="318"/>
    </row>
    <row r="1607" spans="2:30" s="323" customFormat="1" ht="12" customHeight="1">
      <c r="B1607" s="324"/>
      <c r="C1607" s="325"/>
      <c r="D1607" s="326"/>
      <c r="E1607" s="326"/>
      <c r="F1607" s="326"/>
      <c r="G1607" s="326"/>
      <c r="H1607" s="326"/>
      <c r="P1607" s="318"/>
      <c r="Q1607" s="318"/>
      <c r="R1607" s="318"/>
      <c r="S1607" s="318"/>
      <c r="T1607" s="318"/>
      <c r="U1607" s="318"/>
      <c r="V1607" s="318"/>
      <c r="W1607" s="318"/>
      <c r="X1607" s="318"/>
      <c r="Y1607" s="318"/>
      <c r="Z1607" s="318"/>
      <c r="AA1607" s="318"/>
      <c r="AB1607" s="318"/>
      <c r="AC1607" s="318"/>
      <c r="AD1607" s="318"/>
    </row>
    <row r="1608" spans="2:30" s="323" customFormat="1" ht="12" customHeight="1">
      <c r="B1608" s="324"/>
      <c r="C1608" s="325"/>
      <c r="D1608" s="326"/>
      <c r="E1608" s="326"/>
      <c r="F1608" s="326"/>
      <c r="G1608" s="326"/>
      <c r="H1608" s="326"/>
      <c r="P1608" s="318"/>
      <c r="Q1608" s="318"/>
      <c r="R1608" s="318"/>
      <c r="S1608" s="318"/>
      <c r="T1608" s="318"/>
      <c r="U1608" s="318"/>
      <c r="V1608" s="318"/>
      <c r="W1608" s="318"/>
      <c r="X1608" s="318"/>
      <c r="Y1608" s="318"/>
      <c r="Z1608" s="318"/>
      <c r="AA1608" s="318"/>
      <c r="AB1608" s="318"/>
      <c r="AC1608" s="318"/>
      <c r="AD1608" s="318"/>
    </row>
    <row r="1609" spans="2:30" s="323" customFormat="1" ht="12" customHeight="1">
      <c r="B1609" s="324"/>
      <c r="C1609" s="325"/>
      <c r="D1609" s="326"/>
      <c r="E1609" s="326"/>
      <c r="F1609" s="326"/>
      <c r="G1609" s="326"/>
      <c r="H1609" s="326"/>
      <c r="P1609" s="318"/>
      <c r="Q1609" s="318"/>
      <c r="R1609" s="318"/>
      <c r="S1609" s="318"/>
      <c r="T1609" s="318"/>
      <c r="U1609" s="318"/>
      <c r="V1609" s="318"/>
      <c r="W1609" s="318"/>
      <c r="X1609" s="318"/>
      <c r="Y1609" s="318"/>
      <c r="Z1609" s="318"/>
      <c r="AA1609" s="318"/>
      <c r="AB1609" s="318"/>
      <c r="AC1609" s="318"/>
      <c r="AD1609" s="318"/>
    </row>
    <row r="1610" spans="2:30" s="323" customFormat="1" ht="12" customHeight="1">
      <c r="B1610" s="324"/>
      <c r="C1610" s="325"/>
      <c r="D1610" s="326"/>
      <c r="E1610" s="326"/>
      <c r="F1610" s="326"/>
      <c r="G1610" s="326"/>
      <c r="H1610" s="326"/>
      <c r="P1610" s="318"/>
      <c r="Q1610" s="318"/>
      <c r="R1610" s="318"/>
      <c r="S1610" s="318"/>
      <c r="T1610" s="318"/>
      <c r="U1610" s="318"/>
      <c r="V1610" s="318"/>
      <c r="W1610" s="318"/>
      <c r="X1610" s="318"/>
      <c r="Y1610" s="318"/>
      <c r="Z1610" s="318"/>
      <c r="AA1610" s="318"/>
      <c r="AB1610" s="318"/>
      <c r="AC1610" s="318"/>
      <c r="AD1610" s="318"/>
    </row>
    <row r="1611" spans="2:30" s="323" customFormat="1" ht="12" customHeight="1">
      <c r="B1611" s="324"/>
      <c r="C1611" s="325"/>
      <c r="D1611" s="326"/>
      <c r="E1611" s="326"/>
      <c r="F1611" s="326"/>
      <c r="G1611" s="326"/>
      <c r="H1611" s="326"/>
      <c r="P1611" s="318"/>
      <c r="Q1611" s="318"/>
      <c r="R1611" s="318"/>
      <c r="S1611" s="318"/>
      <c r="T1611" s="318"/>
      <c r="U1611" s="318"/>
      <c r="V1611" s="318"/>
      <c r="W1611" s="318"/>
      <c r="X1611" s="318"/>
      <c r="Y1611" s="318"/>
      <c r="Z1611" s="318"/>
      <c r="AA1611" s="318"/>
      <c r="AB1611" s="318"/>
      <c r="AC1611" s="318"/>
      <c r="AD1611" s="318"/>
    </row>
    <row r="1612" spans="2:30" s="323" customFormat="1" ht="12" customHeight="1">
      <c r="B1612" s="324"/>
      <c r="C1612" s="325"/>
      <c r="D1612" s="326"/>
      <c r="E1612" s="326"/>
      <c r="F1612" s="326"/>
      <c r="G1612" s="326"/>
      <c r="H1612" s="326"/>
      <c r="P1612" s="318"/>
      <c r="Q1612" s="318"/>
      <c r="R1612" s="318"/>
      <c r="S1612" s="318"/>
      <c r="T1612" s="318"/>
      <c r="U1612" s="318"/>
      <c r="V1612" s="318"/>
      <c r="W1612" s="318"/>
      <c r="X1612" s="318"/>
      <c r="Y1612" s="318"/>
      <c r="Z1612" s="318"/>
      <c r="AA1612" s="318"/>
      <c r="AB1612" s="318"/>
      <c r="AC1612" s="318"/>
      <c r="AD1612" s="318"/>
    </row>
    <row r="1613" spans="2:30" s="323" customFormat="1" ht="12" customHeight="1">
      <c r="B1613" s="324"/>
      <c r="C1613" s="325"/>
      <c r="D1613" s="326"/>
      <c r="E1613" s="326"/>
      <c r="F1613" s="326"/>
      <c r="G1613" s="326"/>
      <c r="H1613" s="326"/>
      <c r="P1613" s="318"/>
      <c r="Q1613" s="318"/>
      <c r="R1613" s="318"/>
      <c r="S1613" s="318"/>
      <c r="T1613" s="318"/>
      <c r="U1613" s="318"/>
      <c r="V1613" s="318"/>
      <c r="W1613" s="318"/>
      <c r="X1613" s="318"/>
      <c r="Y1613" s="318"/>
      <c r="Z1613" s="318"/>
      <c r="AA1613" s="318"/>
      <c r="AB1613" s="318"/>
      <c r="AC1613" s="318"/>
      <c r="AD1613" s="318"/>
    </row>
    <row r="1614" spans="2:30" s="323" customFormat="1" ht="12" customHeight="1">
      <c r="B1614" s="324"/>
      <c r="C1614" s="325"/>
      <c r="D1614" s="326"/>
      <c r="E1614" s="326"/>
      <c r="F1614" s="326"/>
      <c r="G1614" s="326"/>
      <c r="H1614" s="326"/>
      <c r="P1614" s="318"/>
      <c r="Q1614" s="318"/>
      <c r="R1614" s="318"/>
      <c r="S1614" s="318"/>
      <c r="T1614" s="318"/>
      <c r="U1614" s="318"/>
      <c r="V1614" s="318"/>
      <c r="W1614" s="318"/>
      <c r="X1614" s="318"/>
      <c r="Y1614" s="318"/>
      <c r="Z1614" s="318"/>
      <c r="AA1614" s="318"/>
      <c r="AB1614" s="318"/>
      <c r="AC1614" s="318"/>
      <c r="AD1614" s="318"/>
    </row>
    <row r="1615" spans="2:30" s="323" customFormat="1" ht="12" customHeight="1">
      <c r="B1615" s="324"/>
      <c r="C1615" s="325"/>
      <c r="D1615" s="326"/>
      <c r="E1615" s="326"/>
      <c r="F1615" s="326"/>
      <c r="G1615" s="326"/>
      <c r="H1615" s="326"/>
      <c r="P1615" s="318"/>
      <c r="Q1615" s="318"/>
      <c r="R1615" s="318"/>
      <c r="S1615" s="318"/>
      <c r="T1615" s="318"/>
      <c r="U1615" s="318"/>
      <c r="V1615" s="318"/>
      <c r="W1615" s="318"/>
      <c r="X1615" s="318"/>
      <c r="Y1615" s="318"/>
      <c r="Z1615" s="318"/>
      <c r="AA1615" s="318"/>
      <c r="AB1615" s="318"/>
      <c r="AC1615" s="318"/>
      <c r="AD1615" s="318"/>
    </row>
    <row r="1616" spans="2:30" s="323" customFormat="1" ht="12" customHeight="1">
      <c r="B1616" s="324"/>
      <c r="C1616" s="325"/>
      <c r="D1616" s="326"/>
      <c r="E1616" s="326"/>
      <c r="F1616" s="326"/>
      <c r="G1616" s="326"/>
      <c r="H1616" s="326"/>
      <c r="P1616" s="318"/>
      <c r="Q1616" s="318"/>
      <c r="R1616" s="318"/>
      <c r="S1616" s="318"/>
      <c r="T1616" s="318"/>
      <c r="U1616" s="318"/>
      <c r="V1616" s="318"/>
      <c r="W1616" s="318"/>
      <c r="X1616" s="318"/>
      <c r="Y1616" s="318"/>
      <c r="Z1616" s="318"/>
      <c r="AA1616" s="318"/>
      <c r="AB1616" s="318"/>
      <c r="AC1616" s="318"/>
      <c r="AD1616" s="318"/>
    </row>
    <row r="1617" spans="2:30" s="323" customFormat="1" ht="12" customHeight="1">
      <c r="B1617" s="324"/>
      <c r="C1617" s="325"/>
      <c r="D1617" s="326"/>
      <c r="E1617" s="326"/>
      <c r="F1617" s="326"/>
      <c r="G1617" s="326"/>
      <c r="H1617" s="326"/>
      <c r="P1617" s="318"/>
      <c r="Q1617" s="318"/>
      <c r="R1617" s="318"/>
      <c r="S1617" s="318"/>
      <c r="T1617" s="318"/>
      <c r="U1617" s="318"/>
      <c r="V1617" s="318"/>
      <c r="W1617" s="318"/>
      <c r="X1617" s="318"/>
      <c r="Y1617" s="318"/>
      <c r="Z1617" s="318"/>
      <c r="AA1617" s="318"/>
      <c r="AB1617" s="318"/>
      <c r="AC1617" s="318"/>
      <c r="AD1617" s="318"/>
    </row>
    <row r="1618" spans="2:30" s="323" customFormat="1" ht="12" customHeight="1">
      <c r="B1618" s="324"/>
      <c r="C1618" s="325"/>
      <c r="D1618" s="326"/>
      <c r="E1618" s="326"/>
      <c r="F1618" s="326"/>
      <c r="G1618" s="326"/>
      <c r="H1618" s="326"/>
      <c r="P1618" s="318"/>
      <c r="Q1618" s="318"/>
      <c r="R1618" s="318"/>
      <c r="S1618" s="318"/>
      <c r="T1618" s="318"/>
      <c r="U1618" s="318"/>
      <c r="V1618" s="318"/>
      <c r="W1618" s="318"/>
      <c r="X1618" s="318"/>
      <c r="Y1618" s="318"/>
      <c r="Z1618" s="318"/>
      <c r="AA1618" s="318"/>
      <c r="AB1618" s="318"/>
      <c r="AC1618" s="318"/>
      <c r="AD1618" s="318"/>
    </row>
    <row r="1619" spans="2:30" s="323" customFormat="1" ht="12" customHeight="1">
      <c r="B1619" s="324"/>
      <c r="C1619" s="325"/>
      <c r="D1619" s="326"/>
      <c r="E1619" s="326"/>
      <c r="F1619" s="326"/>
      <c r="G1619" s="326"/>
      <c r="H1619" s="326"/>
      <c r="P1619" s="318"/>
      <c r="Q1619" s="318"/>
      <c r="R1619" s="318"/>
      <c r="S1619" s="318"/>
      <c r="T1619" s="318"/>
      <c r="U1619" s="318"/>
      <c r="V1619" s="318"/>
      <c r="W1619" s="318"/>
      <c r="X1619" s="318"/>
      <c r="Y1619" s="318"/>
      <c r="Z1619" s="318"/>
      <c r="AA1619" s="318"/>
      <c r="AB1619" s="318"/>
      <c r="AC1619" s="318"/>
      <c r="AD1619" s="318"/>
    </row>
    <row r="1620" spans="2:30" s="323" customFormat="1" ht="12" customHeight="1">
      <c r="B1620" s="324"/>
      <c r="C1620" s="325"/>
      <c r="D1620" s="326"/>
      <c r="E1620" s="326"/>
      <c r="F1620" s="326"/>
      <c r="G1620" s="326"/>
      <c r="H1620" s="326"/>
      <c r="P1620" s="318"/>
      <c r="Q1620" s="318"/>
      <c r="R1620" s="318"/>
      <c r="S1620" s="318"/>
      <c r="T1620" s="318"/>
      <c r="U1620" s="318"/>
      <c r="V1620" s="318"/>
      <c r="W1620" s="318"/>
      <c r="X1620" s="318"/>
      <c r="Y1620" s="318"/>
      <c r="Z1620" s="318"/>
      <c r="AA1620" s="318"/>
      <c r="AB1620" s="318"/>
      <c r="AC1620" s="318"/>
      <c r="AD1620" s="318"/>
    </row>
    <row r="1621" spans="2:30" s="323" customFormat="1" ht="12" customHeight="1">
      <c r="B1621" s="324"/>
      <c r="C1621" s="325"/>
      <c r="D1621" s="326"/>
      <c r="E1621" s="326"/>
      <c r="F1621" s="326"/>
      <c r="G1621" s="326"/>
      <c r="H1621" s="326"/>
      <c r="P1621" s="318"/>
      <c r="Q1621" s="318"/>
      <c r="R1621" s="318"/>
      <c r="S1621" s="318"/>
      <c r="T1621" s="318"/>
      <c r="U1621" s="318"/>
      <c r="V1621" s="318"/>
      <c r="W1621" s="318"/>
      <c r="X1621" s="318"/>
      <c r="Y1621" s="318"/>
      <c r="Z1621" s="318"/>
      <c r="AA1621" s="318"/>
      <c r="AB1621" s="318"/>
      <c r="AC1621" s="318"/>
      <c r="AD1621" s="318"/>
    </row>
    <row r="1622" spans="2:30" s="323" customFormat="1" ht="12" customHeight="1">
      <c r="B1622" s="324"/>
      <c r="C1622" s="325"/>
      <c r="D1622" s="326"/>
      <c r="E1622" s="326"/>
      <c r="F1622" s="326"/>
      <c r="G1622" s="326"/>
      <c r="H1622" s="326"/>
      <c r="P1622" s="318"/>
      <c r="Q1622" s="318"/>
      <c r="R1622" s="318"/>
      <c r="S1622" s="318"/>
      <c r="T1622" s="318"/>
      <c r="U1622" s="318"/>
      <c r="V1622" s="318"/>
      <c r="W1622" s="318"/>
      <c r="X1622" s="318"/>
      <c r="Y1622" s="318"/>
      <c r="Z1622" s="318"/>
      <c r="AA1622" s="318"/>
      <c r="AB1622" s="318"/>
      <c r="AC1622" s="318"/>
      <c r="AD1622" s="318"/>
    </row>
    <row r="1623" spans="2:30" s="323" customFormat="1" ht="12" customHeight="1">
      <c r="B1623" s="324"/>
      <c r="C1623" s="325"/>
      <c r="D1623" s="326"/>
      <c r="E1623" s="326"/>
      <c r="F1623" s="326"/>
      <c r="G1623" s="326"/>
      <c r="H1623" s="326"/>
      <c r="P1623" s="318"/>
      <c r="Q1623" s="318"/>
      <c r="R1623" s="318"/>
      <c r="S1623" s="318"/>
      <c r="T1623" s="318"/>
      <c r="U1623" s="318"/>
      <c r="V1623" s="318"/>
      <c r="W1623" s="318"/>
      <c r="X1623" s="318"/>
      <c r="Y1623" s="318"/>
      <c r="Z1623" s="318"/>
      <c r="AA1623" s="318"/>
      <c r="AB1623" s="318"/>
      <c r="AC1623" s="318"/>
      <c r="AD1623" s="318"/>
    </row>
    <row r="1624" spans="2:30" s="323" customFormat="1" ht="12" customHeight="1">
      <c r="B1624" s="324"/>
      <c r="C1624" s="325"/>
      <c r="D1624" s="326"/>
      <c r="E1624" s="326"/>
      <c r="F1624" s="326"/>
      <c r="G1624" s="326"/>
      <c r="H1624" s="326"/>
      <c r="P1624" s="318"/>
      <c r="Q1624" s="318"/>
      <c r="R1624" s="318"/>
      <c r="S1624" s="318"/>
      <c r="T1624" s="318"/>
      <c r="U1624" s="318"/>
      <c r="V1624" s="318"/>
      <c r="W1624" s="318"/>
      <c r="X1624" s="318"/>
      <c r="Y1624" s="318"/>
      <c r="Z1624" s="318"/>
      <c r="AA1624" s="318"/>
      <c r="AB1624" s="318"/>
      <c r="AC1624" s="318"/>
      <c r="AD1624" s="318"/>
    </row>
    <row r="1625" spans="2:30" s="323" customFormat="1" ht="12" customHeight="1">
      <c r="B1625" s="324"/>
      <c r="C1625" s="325"/>
      <c r="D1625" s="326"/>
      <c r="E1625" s="326"/>
      <c r="F1625" s="326"/>
      <c r="G1625" s="326"/>
      <c r="H1625" s="326"/>
      <c r="P1625" s="318"/>
      <c r="Q1625" s="318"/>
      <c r="R1625" s="318"/>
      <c r="S1625" s="318"/>
      <c r="T1625" s="318"/>
      <c r="U1625" s="318"/>
      <c r="V1625" s="318"/>
      <c r="W1625" s="318"/>
      <c r="X1625" s="318"/>
      <c r="Y1625" s="318"/>
      <c r="Z1625" s="318"/>
      <c r="AA1625" s="318"/>
      <c r="AB1625" s="318"/>
      <c r="AC1625" s="318"/>
      <c r="AD1625" s="318"/>
    </row>
    <row r="1626" spans="2:30" s="323" customFormat="1" ht="12" customHeight="1">
      <c r="B1626" s="324"/>
      <c r="C1626" s="325"/>
      <c r="D1626" s="326"/>
      <c r="E1626" s="326"/>
      <c r="F1626" s="326"/>
      <c r="G1626" s="326"/>
      <c r="H1626" s="326"/>
      <c r="P1626" s="318"/>
      <c r="Q1626" s="318"/>
      <c r="R1626" s="318"/>
      <c r="S1626" s="318"/>
      <c r="T1626" s="318"/>
      <c r="U1626" s="318"/>
      <c r="V1626" s="318"/>
      <c r="W1626" s="318"/>
      <c r="X1626" s="318"/>
      <c r="Y1626" s="318"/>
      <c r="Z1626" s="318"/>
      <c r="AA1626" s="318"/>
      <c r="AB1626" s="318"/>
      <c r="AC1626" s="318"/>
      <c r="AD1626" s="318"/>
    </row>
    <row r="1627" spans="2:30" s="323" customFormat="1" ht="12" customHeight="1">
      <c r="B1627" s="324"/>
      <c r="C1627" s="325"/>
      <c r="D1627" s="326"/>
      <c r="E1627" s="326"/>
      <c r="F1627" s="326"/>
      <c r="G1627" s="326"/>
      <c r="H1627" s="326"/>
      <c r="P1627" s="318"/>
      <c r="Q1627" s="318"/>
      <c r="R1627" s="318"/>
      <c r="S1627" s="318"/>
      <c r="T1627" s="318"/>
      <c r="U1627" s="318"/>
      <c r="V1627" s="318"/>
      <c r="W1627" s="318"/>
      <c r="X1627" s="318"/>
      <c r="Y1627" s="318"/>
      <c r="Z1627" s="318"/>
      <c r="AA1627" s="318"/>
      <c r="AB1627" s="318"/>
      <c r="AC1627" s="318"/>
      <c r="AD1627" s="318"/>
    </row>
    <row r="1628" spans="2:30" s="323" customFormat="1" ht="12" customHeight="1">
      <c r="B1628" s="324"/>
      <c r="C1628" s="325"/>
      <c r="D1628" s="326"/>
      <c r="E1628" s="326"/>
      <c r="F1628" s="326"/>
      <c r="G1628" s="326"/>
      <c r="H1628" s="326"/>
      <c r="P1628" s="318"/>
      <c r="Q1628" s="318"/>
      <c r="R1628" s="318"/>
      <c r="S1628" s="318"/>
      <c r="T1628" s="318"/>
      <c r="U1628" s="318"/>
      <c r="V1628" s="318"/>
      <c r="W1628" s="318"/>
      <c r="X1628" s="318"/>
      <c r="Y1628" s="318"/>
      <c r="Z1628" s="318"/>
      <c r="AA1628" s="318"/>
      <c r="AB1628" s="318"/>
      <c r="AC1628" s="318"/>
      <c r="AD1628" s="318"/>
    </row>
    <row r="1629" spans="2:30" s="323" customFormat="1" ht="12" customHeight="1">
      <c r="B1629" s="324"/>
      <c r="C1629" s="325"/>
      <c r="D1629" s="326"/>
      <c r="E1629" s="326"/>
      <c r="F1629" s="326"/>
      <c r="G1629" s="326"/>
      <c r="H1629" s="326"/>
      <c r="P1629" s="318"/>
      <c r="Q1629" s="318"/>
      <c r="R1629" s="318"/>
      <c r="S1629" s="318"/>
      <c r="T1629" s="318"/>
      <c r="U1629" s="318"/>
      <c r="V1629" s="318"/>
      <c r="W1629" s="318"/>
      <c r="X1629" s="318"/>
      <c r="Y1629" s="318"/>
      <c r="Z1629" s="318"/>
      <c r="AA1629" s="318"/>
      <c r="AB1629" s="318"/>
      <c r="AC1629" s="318"/>
      <c r="AD1629" s="318"/>
    </row>
    <row r="1630" spans="2:30" s="323" customFormat="1" ht="12" customHeight="1">
      <c r="B1630" s="324"/>
      <c r="C1630" s="325"/>
      <c r="D1630" s="326"/>
      <c r="E1630" s="326"/>
      <c r="F1630" s="326"/>
      <c r="G1630" s="326"/>
      <c r="H1630" s="326"/>
      <c r="P1630" s="318"/>
      <c r="Q1630" s="318"/>
      <c r="R1630" s="318"/>
      <c r="S1630" s="318"/>
      <c r="T1630" s="318"/>
      <c r="U1630" s="318"/>
      <c r="V1630" s="318"/>
      <c r="W1630" s="318"/>
      <c r="X1630" s="318"/>
      <c r="Y1630" s="318"/>
      <c r="Z1630" s="318"/>
      <c r="AA1630" s="318"/>
      <c r="AB1630" s="318"/>
      <c r="AC1630" s="318"/>
      <c r="AD1630" s="318"/>
    </row>
    <row r="1631" spans="2:30" s="323" customFormat="1" ht="12" customHeight="1">
      <c r="B1631" s="324"/>
      <c r="C1631" s="325"/>
      <c r="D1631" s="326"/>
      <c r="E1631" s="326"/>
      <c r="F1631" s="326"/>
      <c r="G1631" s="326"/>
      <c r="H1631" s="326"/>
      <c r="P1631" s="318"/>
      <c r="Q1631" s="318"/>
      <c r="R1631" s="318"/>
      <c r="S1631" s="318"/>
      <c r="T1631" s="318"/>
      <c r="U1631" s="318"/>
      <c r="V1631" s="318"/>
      <c r="W1631" s="318"/>
      <c r="X1631" s="318"/>
      <c r="Y1631" s="318"/>
      <c r="Z1631" s="318"/>
      <c r="AA1631" s="318"/>
      <c r="AB1631" s="318"/>
      <c r="AC1631" s="318"/>
      <c r="AD1631" s="318"/>
    </row>
    <row r="1632" spans="2:30" s="323" customFormat="1" ht="12" customHeight="1">
      <c r="B1632" s="324"/>
      <c r="C1632" s="325"/>
      <c r="D1632" s="326"/>
      <c r="E1632" s="326"/>
      <c r="F1632" s="326"/>
      <c r="G1632" s="326"/>
      <c r="H1632" s="326"/>
      <c r="P1632" s="318"/>
      <c r="Q1632" s="318"/>
      <c r="R1632" s="318"/>
      <c r="S1632" s="318"/>
      <c r="T1632" s="318"/>
      <c r="U1632" s="318"/>
      <c r="V1632" s="318"/>
      <c r="W1632" s="318"/>
      <c r="X1632" s="318"/>
      <c r="Y1632" s="318"/>
      <c r="Z1632" s="318"/>
      <c r="AA1632" s="318"/>
      <c r="AB1632" s="318"/>
      <c r="AC1632" s="318"/>
      <c r="AD1632" s="318"/>
    </row>
    <row r="1633" spans="2:30" s="323" customFormat="1" ht="12" customHeight="1">
      <c r="B1633" s="324"/>
      <c r="C1633" s="325"/>
      <c r="D1633" s="326"/>
      <c r="E1633" s="326"/>
      <c r="F1633" s="326"/>
      <c r="G1633" s="326"/>
      <c r="H1633" s="326"/>
      <c r="P1633" s="318"/>
      <c r="Q1633" s="318"/>
      <c r="R1633" s="318"/>
      <c r="S1633" s="318"/>
      <c r="T1633" s="318"/>
      <c r="U1633" s="318"/>
      <c r="V1633" s="318"/>
      <c r="W1633" s="318"/>
      <c r="X1633" s="318"/>
      <c r="Y1633" s="318"/>
      <c r="Z1633" s="318"/>
      <c r="AA1633" s="318"/>
      <c r="AB1633" s="318"/>
      <c r="AC1633" s="318"/>
      <c r="AD1633" s="318"/>
    </row>
    <row r="1634" spans="2:30" s="323" customFormat="1" ht="12" customHeight="1">
      <c r="B1634" s="324"/>
      <c r="C1634" s="325"/>
      <c r="D1634" s="326"/>
      <c r="E1634" s="326"/>
      <c r="F1634" s="326"/>
      <c r="G1634" s="326"/>
      <c r="H1634" s="326"/>
      <c r="P1634" s="318"/>
      <c r="Q1634" s="318"/>
      <c r="R1634" s="318"/>
      <c r="S1634" s="318"/>
      <c r="T1634" s="318"/>
      <c r="U1634" s="318"/>
      <c r="V1634" s="318"/>
      <c r="W1634" s="318"/>
      <c r="X1634" s="318"/>
      <c r="Y1634" s="318"/>
      <c r="Z1634" s="318"/>
      <c r="AA1634" s="318"/>
      <c r="AB1634" s="318"/>
      <c r="AC1634" s="318"/>
      <c r="AD1634" s="318"/>
    </row>
    <row r="1635" spans="2:30" s="323" customFormat="1" ht="12" customHeight="1">
      <c r="B1635" s="324"/>
      <c r="C1635" s="325"/>
      <c r="D1635" s="326"/>
      <c r="E1635" s="326"/>
      <c r="F1635" s="326"/>
      <c r="G1635" s="326"/>
      <c r="H1635" s="326"/>
      <c r="P1635" s="318"/>
      <c r="Q1635" s="318"/>
      <c r="R1635" s="318"/>
      <c r="S1635" s="318"/>
      <c r="T1635" s="318"/>
      <c r="U1635" s="318"/>
      <c r="V1635" s="318"/>
      <c r="W1635" s="318"/>
      <c r="X1635" s="318"/>
      <c r="Y1635" s="318"/>
      <c r="Z1635" s="318"/>
      <c r="AA1635" s="318"/>
      <c r="AB1635" s="318"/>
      <c r="AC1635" s="318"/>
      <c r="AD1635" s="318"/>
    </row>
    <row r="1636" spans="2:30" s="323" customFormat="1" ht="12" customHeight="1">
      <c r="B1636" s="324"/>
      <c r="C1636" s="325"/>
      <c r="D1636" s="326"/>
      <c r="E1636" s="326"/>
      <c r="F1636" s="326"/>
      <c r="G1636" s="326"/>
      <c r="H1636" s="326"/>
      <c r="P1636" s="318"/>
      <c r="Q1636" s="318"/>
      <c r="R1636" s="318"/>
      <c r="S1636" s="318"/>
      <c r="T1636" s="318"/>
      <c r="U1636" s="318"/>
      <c r="V1636" s="318"/>
      <c r="W1636" s="318"/>
      <c r="X1636" s="318"/>
      <c r="Y1636" s="318"/>
      <c r="Z1636" s="318"/>
      <c r="AA1636" s="318"/>
      <c r="AB1636" s="318"/>
      <c r="AC1636" s="318"/>
      <c r="AD1636" s="318"/>
    </row>
    <row r="1637" spans="2:30" s="323" customFormat="1" ht="12" customHeight="1">
      <c r="B1637" s="324"/>
      <c r="C1637" s="325"/>
      <c r="D1637" s="326"/>
      <c r="E1637" s="326"/>
      <c r="F1637" s="326"/>
      <c r="G1637" s="326"/>
      <c r="H1637" s="326"/>
      <c r="P1637" s="318"/>
      <c r="Q1637" s="318"/>
      <c r="R1637" s="318"/>
      <c r="S1637" s="318"/>
      <c r="T1637" s="318"/>
      <c r="U1637" s="318"/>
      <c r="V1637" s="318"/>
      <c r="W1637" s="318"/>
      <c r="X1637" s="318"/>
      <c r="Y1637" s="318"/>
      <c r="Z1637" s="318"/>
      <c r="AA1637" s="318"/>
      <c r="AB1637" s="318"/>
      <c r="AC1637" s="318"/>
      <c r="AD1637" s="318"/>
    </row>
    <row r="1638" spans="2:30" s="323" customFormat="1" ht="12" customHeight="1">
      <c r="B1638" s="324"/>
      <c r="C1638" s="325"/>
      <c r="D1638" s="326"/>
      <c r="E1638" s="326"/>
      <c r="F1638" s="326"/>
      <c r="G1638" s="326"/>
      <c r="H1638" s="326"/>
      <c r="P1638" s="318"/>
      <c r="Q1638" s="318"/>
      <c r="R1638" s="318"/>
      <c r="S1638" s="318"/>
      <c r="T1638" s="318"/>
      <c r="U1638" s="318"/>
      <c r="V1638" s="318"/>
      <c r="W1638" s="318"/>
      <c r="X1638" s="318"/>
      <c r="Y1638" s="318"/>
      <c r="Z1638" s="318"/>
      <c r="AA1638" s="318"/>
      <c r="AB1638" s="318"/>
      <c r="AC1638" s="318"/>
      <c r="AD1638" s="318"/>
    </row>
    <row r="1639" spans="2:30" s="323" customFormat="1" ht="12" customHeight="1">
      <c r="B1639" s="324"/>
      <c r="C1639" s="325"/>
      <c r="D1639" s="326"/>
      <c r="E1639" s="326"/>
      <c r="F1639" s="326"/>
      <c r="G1639" s="326"/>
      <c r="H1639" s="326"/>
      <c r="P1639" s="318"/>
      <c r="Q1639" s="318"/>
      <c r="R1639" s="318"/>
      <c r="S1639" s="318"/>
      <c r="T1639" s="318"/>
      <c r="U1639" s="318"/>
      <c r="V1639" s="318"/>
      <c r="W1639" s="318"/>
      <c r="X1639" s="318"/>
      <c r="Y1639" s="318"/>
      <c r="Z1639" s="318"/>
      <c r="AA1639" s="318"/>
      <c r="AB1639" s="318"/>
      <c r="AC1639" s="318"/>
      <c r="AD1639" s="318"/>
    </row>
    <row r="1640" spans="2:30" s="323" customFormat="1" ht="12" customHeight="1">
      <c r="B1640" s="324"/>
      <c r="C1640" s="325"/>
      <c r="D1640" s="326"/>
      <c r="E1640" s="326"/>
      <c r="F1640" s="326"/>
      <c r="G1640" s="326"/>
      <c r="H1640" s="326"/>
      <c r="P1640" s="318"/>
      <c r="Q1640" s="318"/>
      <c r="R1640" s="318"/>
      <c r="S1640" s="318"/>
      <c r="T1640" s="318"/>
      <c r="U1640" s="318"/>
      <c r="V1640" s="318"/>
      <c r="W1640" s="318"/>
      <c r="X1640" s="318"/>
      <c r="Y1640" s="318"/>
      <c r="Z1640" s="318"/>
      <c r="AA1640" s="318"/>
      <c r="AB1640" s="318"/>
      <c r="AC1640" s="318"/>
      <c r="AD1640" s="318"/>
    </row>
    <row r="1641" spans="2:30" s="323" customFormat="1" ht="12" customHeight="1">
      <c r="B1641" s="324"/>
      <c r="C1641" s="325"/>
      <c r="D1641" s="326"/>
      <c r="E1641" s="326"/>
      <c r="F1641" s="326"/>
      <c r="G1641" s="326"/>
      <c r="H1641" s="326"/>
      <c r="P1641" s="318"/>
      <c r="Q1641" s="318"/>
      <c r="R1641" s="318"/>
      <c r="S1641" s="318"/>
      <c r="T1641" s="318"/>
      <c r="U1641" s="318"/>
      <c r="V1641" s="318"/>
      <c r="W1641" s="318"/>
      <c r="X1641" s="318"/>
      <c r="Y1641" s="318"/>
      <c r="Z1641" s="318"/>
      <c r="AA1641" s="318"/>
      <c r="AB1641" s="318"/>
      <c r="AC1641" s="318"/>
      <c r="AD1641" s="318"/>
    </row>
    <row r="1642" spans="2:30" s="323" customFormat="1" ht="12" customHeight="1">
      <c r="B1642" s="324"/>
      <c r="C1642" s="325"/>
      <c r="D1642" s="326"/>
      <c r="E1642" s="326"/>
      <c r="F1642" s="326"/>
      <c r="G1642" s="326"/>
      <c r="H1642" s="326"/>
      <c r="P1642" s="318"/>
      <c r="Q1642" s="318"/>
      <c r="R1642" s="318"/>
      <c r="S1642" s="318"/>
      <c r="T1642" s="318"/>
      <c r="U1642" s="318"/>
      <c r="V1642" s="318"/>
      <c r="W1642" s="318"/>
      <c r="X1642" s="318"/>
      <c r="Y1642" s="318"/>
      <c r="Z1642" s="318"/>
      <c r="AA1642" s="318"/>
      <c r="AB1642" s="318"/>
      <c r="AC1642" s="318"/>
      <c r="AD1642" s="318"/>
    </row>
    <row r="1643" spans="2:30" s="323" customFormat="1" ht="12" customHeight="1">
      <c r="B1643" s="324"/>
      <c r="C1643" s="325"/>
      <c r="D1643" s="326"/>
      <c r="E1643" s="326"/>
      <c r="F1643" s="326"/>
      <c r="G1643" s="326"/>
      <c r="H1643" s="326"/>
      <c r="P1643" s="318"/>
      <c r="Q1643" s="318"/>
      <c r="R1643" s="318"/>
      <c r="S1643" s="318"/>
      <c r="T1643" s="318"/>
      <c r="U1643" s="318"/>
      <c r="V1643" s="318"/>
      <c r="W1643" s="318"/>
      <c r="X1643" s="318"/>
      <c r="Y1643" s="318"/>
      <c r="Z1643" s="318"/>
      <c r="AA1643" s="318"/>
      <c r="AB1643" s="318"/>
      <c r="AC1643" s="318"/>
      <c r="AD1643" s="318"/>
    </row>
    <row r="1644" spans="2:30" s="323" customFormat="1" ht="12" customHeight="1">
      <c r="B1644" s="324"/>
      <c r="C1644" s="325"/>
      <c r="D1644" s="326"/>
      <c r="E1644" s="326"/>
      <c r="F1644" s="326"/>
      <c r="G1644" s="326"/>
      <c r="H1644" s="326"/>
      <c r="P1644" s="318"/>
      <c r="Q1644" s="318"/>
      <c r="R1644" s="318"/>
      <c r="S1644" s="318"/>
      <c r="T1644" s="318"/>
      <c r="U1644" s="318"/>
      <c r="V1644" s="318"/>
      <c r="W1644" s="318"/>
      <c r="X1644" s="318"/>
      <c r="Y1644" s="318"/>
      <c r="Z1644" s="318"/>
      <c r="AA1644" s="318"/>
      <c r="AB1644" s="318"/>
      <c r="AC1644" s="318"/>
      <c r="AD1644" s="318"/>
    </row>
    <row r="1645" spans="2:30" s="323" customFormat="1" ht="12" customHeight="1">
      <c r="B1645" s="324"/>
      <c r="C1645" s="325"/>
      <c r="D1645" s="326"/>
      <c r="E1645" s="326"/>
      <c r="F1645" s="326"/>
      <c r="G1645" s="326"/>
      <c r="H1645" s="326"/>
      <c r="P1645" s="318"/>
      <c r="Q1645" s="318"/>
      <c r="R1645" s="318"/>
      <c r="S1645" s="318"/>
      <c r="T1645" s="318"/>
      <c r="U1645" s="318"/>
      <c r="V1645" s="318"/>
      <c r="W1645" s="318"/>
      <c r="X1645" s="318"/>
      <c r="Y1645" s="318"/>
      <c r="Z1645" s="318"/>
      <c r="AA1645" s="318"/>
      <c r="AB1645" s="318"/>
      <c r="AC1645" s="318"/>
      <c r="AD1645" s="318"/>
    </row>
    <row r="1646" spans="2:30" s="323" customFormat="1" ht="12" customHeight="1">
      <c r="B1646" s="324"/>
      <c r="C1646" s="325"/>
      <c r="D1646" s="326"/>
      <c r="E1646" s="326"/>
      <c r="F1646" s="326"/>
      <c r="G1646" s="326"/>
      <c r="H1646" s="326"/>
      <c r="P1646" s="318"/>
      <c r="Q1646" s="318"/>
      <c r="R1646" s="318"/>
      <c r="S1646" s="318"/>
      <c r="T1646" s="318"/>
      <c r="U1646" s="318"/>
      <c r="V1646" s="318"/>
      <c r="W1646" s="318"/>
      <c r="X1646" s="318"/>
      <c r="Y1646" s="318"/>
      <c r="Z1646" s="318"/>
      <c r="AA1646" s="318"/>
      <c r="AB1646" s="318"/>
      <c r="AC1646" s="318"/>
      <c r="AD1646" s="318"/>
    </row>
    <row r="1647" spans="2:30" s="323" customFormat="1" ht="12" customHeight="1">
      <c r="B1647" s="324"/>
      <c r="C1647" s="325"/>
      <c r="D1647" s="326"/>
      <c r="E1647" s="326"/>
      <c r="F1647" s="326"/>
      <c r="G1647" s="326"/>
      <c r="H1647" s="326"/>
      <c r="P1647" s="318"/>
      <c r="Q1647" s="318"/>
      <c r="R1647" s="318"/>
      <c r="S1647" s="318"/>
      <c r="T1647" s="318"/>
      <c r="U1647" s="318"/>
      <c r="V1647" s="318"/>
      <c r="W1647" s="318"/>
      <c r="X1647" s="318"/>
      <c r="Y1647" s="318"/>
      <c r="Z1647" s="318"/>
      <c r="AA1647" s="318"/>
      <c r="AB1647" s="318"/>
      <c r="AC1647" s="318"/>
      <c r="AD1647" s="318"/>
    </row>
    <row r="1648" spans="2:30" s="323" customFormat="1" ht="12" customHeight="1">
      <c r="B1648" s="324"/>
      <c r="C1648" s="325"/>
      <c r="D1648" s="326"/>
      <c r="E1648" s="326"/>
      <c r="F1648" s="326"/>
      <c r="G1648" s="326"/>
      <c r="H1648" s="326"/>
      <c r="P1648" s="318"/>
      <c r="Q1648" s="318"/>
      <c r="R1648" s="318"/>
      <c r="S1648" s="318"/>
      <c r="T1648" s="318"/>
      <c r="U1648" s="318"/>
      <c r="V1648" s="318"/>
      <c r="W1648" s="318"/>
      <c r="X1648" s="318"/>
      <c r="Y1648" s="318"/>
      <c r="Z1648" s="318"/>
      <c r="AA1648" s="318"/>
      <c r="AB1648" s="318"/>
      <c r="AC1648" s="318"/>
      <c r="AD1648" s="318"/>
    </row>
    <row r="1649" spans="2:30" s="323" customFormat="1" ht="12" customHeight="1">
      <c r="B1649" s="324"/>
      <c r="C1649" s="325"/>
      <c r="D1649" s="326"/>
      <c r="E1649" s="326"/>
      <c r="F1649" s="326"/>
      <c r="G1649" s="326"/>
      <c r="H1649" s="326"/>
      <c r="P1649" s="318"/>
      <c r="Q1649" s="318"/>
      <c r="R1649" s="318"/>
      <c r="S1649" s="318"/>
      <c r="T1649" s="318"/>
      <c r="U1649" s="318"/>
      <c r="V1649" s="318"/>
      <c r="W1649" s="318"/>
      <c r="X1649" s="318"/>
      <c r="Y1649" s="318"/>
      <c r="Z1649" s="318"/>
      <c r="AA1649" s="318"/>
      <c r="AB1649" s="318"/>
      <c r="AC1649" s="318"/>
      <c r="AD1649" s="318"/>
    </row>
    <row r="1650" spans="2:30" s="323" customFormat="1" ht="12" customHeight="1">
      <c r="B1650" s="324"/>
      <c r="C1650" s="325"/>
      <c r="D1650" s="326"/>
      <c r="E1650" s="326"/>
      <c r="F1650" s="326"/>
      <c r="G1650" s="326"/>
      <c r="H1650" s="326"/>
      <c r="P1650" s="318"/>
      <c r="Q1650" s="318"/>
      <c r="R1650" s="318"/>
      <c r="S1650" s="318"/>
      <c r="T1650" s="318"/>
      <c r="U1650" s="318"/>
      <c r="V1650" s="318"/>
      <c r="W1650" s="318"/>
      <c r="X1650" s="318"/>
      <c r="Y1650" s="318"/>
      <c r="Z1650" s="318"/>
      <c r="AA1650" s="318"/>
      <c r="AB1650" s="318"/>
      <c r="AC1650" s="318"/>
      <c r="AD1650" s="318"/>
    </row>
    <row r="1651" spans="2:30" s="323" customFormat="1" ht="12" customHeight="1">
      <c r="B1651" s="324"/>
      <c r="C1651" s="325"/>
      <c r="D1651" s="326"/>
      <c r="E1651" s="326"/>
      <c r="F1651" s="326"/>
      <c r="G1651" s="326"/>
      <c r="H1651" s="326"/>
      <c r="P1651" s="318"/>
      <c r="Q1651" s="318"/>
      <c r="R1651" s="318"/>
      <c r="S1651" s="318"/>
      <c r="T1651" s="318"/>
      <c r="U1651" s="318"/>
      <c r="V1651" s="318"/>
      <c r="W1651" s="318"/>
      <c r="X1651" s="318"/>
      <c r="Y1651" s="318"/>
      <c r="Z1651" s="318"/>
      <c r="AA1651" s="318"/>
      <c r="AB1651" s="318"/>
      <c r="AC1651" s="318"/>
      <c r="AD1651" s="318"/>
    </row>
    <row r="1652" spans="2:30" s="323" customFormat="1" ht="12" customHeight="1">
      <c r="B1652" s="324"/>
      <c r="C1652" s="325"/>
      <c r="D1652" s="326"/>
      <c r="E1652" s="326"/>
      <c r="F1652" s="326"/>
      <c r="G1652" s="326"/>
      <c r="H1652" s="326"/>
      <c r="P1652" s="318"/>
      <c r="Q1652" s="318"/>
      <c r="R1652" s="318"/>
      <c r="S1652" s="318"/>
      <c r="T1652" s="318"/>
      <c r="U1652" s="318"/>
      <c r="V1652" s="318"/>
      <c r="W1652" s="318"/>
      <c r="X1652" s="318"/>
      <c r="Y1652" s="318"/>
      <c r="Z1652" s="318"/>
      <c r="AA1652" s="318"/>
      <c r="AB1652" s="318"/>
      <c r="AC1652" s="318"/>
      <c r="AD1652" s="318"/>
    </row>
    <row r="1653" spans="2:30" s="323" customFormat="1" ht="12" customHeight="1">
      <c r="B1653" s="324"/>
      <c r="C1653" s="325"/>
      <c r="D1653" s="326"/>
      <c r="E1653" s="326"/>
      <c r="F1653" s="326"/>
      <c r="G1653" s="326"/>
      <c r="H1653" s="326"/>
      <c r="P1653" s="318"/>
      <c r="Q1653" s="318"/>
      <c r="R1653" s="318"/>
      <c r="S1653" s="318"/>
      <c r="T1653" s="318"/>
      <c r="U1653" s="318"/>
      <c r="V1653" s="318"/>
      <c r="W1653" s="318"/>
      <c r="X1653" s="318"/>
      <c r="Y1653" s="318"/>
      <c r="Z1653" s="318"/>
      <c r="AA1653" s="318"/>
      <c r="AB1653" s="318"/>
      <c r="AC1653" s="318"/>
      <c r="AD1653" s="318"/>
    </row>
    <row r="1654" spans="2:30" s="323" customFormat="1" ht="12" customHeight="1">
      <c r="B1654" s="324"/>
      <c r="C1654" s="325"/>
      <c r="D1654" s="326"/>
      <c r="E1654" s="326"/>
      <c r="F1654" s="326"/>
      <c r="G1654" s="326"/>
      <c r="H1654" s="326"/>
      <c r="P1654" s="318"/>
      <c r="Q1654" s="318"/>
      <c r="R1654" s="318"/>
      <c r="S1654" s="318"/>
      <c r="T1654" s="318"/>
      <c r="U1654" s="318"/>
      <c r="V1654" s="318"/>
      <c r="W1654" s="318"/>
      <c r="X1654" s="318"/>
      <c r="Y1654" s="318"/>
      <c r="Z1654" s="318"/>
      <c r="AA1654" s="318"/>
      <c r="AB1654" s="318"/>
      <c r="AC1654" s="318"/>
      <c r="AD1654" s="318"/>
    </row>
    <row r="1655" spans="2:30" s="323" customFormat="1" ht="12" customHeight="1">
      <c r="B1655" s="324"/>
      <c r="C1655" s="325"/>
      <c r="D1655" s="326"/>
      <c r="E1655" s="326"/>
      <c r="F1655" s="326"/>
      <c r="G1655" s="326"/>
      <c r="H1655" s="326"/>
      <c r="P1655" s="318"/>
      <c r="Q1655" s="318"/>
      <c r="R1655" s="318"/>
      <c r="S1655" s="318"/>
      <c r="T1655" s="318"/>
      <c r="U1655" s="318"/>
      <c r="V1655" s="318"/>
      <c r="W1655" s="318"/>
      <c r="X1655" s="318"/>
      <c r="Y1655" s="318"/>
      <c r="Z1655" s="318"/>
      <c r="AA1655" s="318"/>
      <c r="AB1655" s="318"/>
      <c r="AC1655" s="318"/>
      <c r="AD1655" s="318"/>
    </row>
    <row r="1656" spans="2:30" s="323" customFormat="1" ht="12" customHeight="1">
      <c r="B1656" s="324"/>
      <c r="C1656" s="325"/>
      <c r="D1656" s="326"/>
      <c r="E1656" s="326"/>
      <c r="F1656" s="326"/>
      <c r="G1656" s="326"/>
      <c r="H1656" s="326"/>
      <c r="P1656" s="318"/>
      <c r="Q1656" s="318"/>
      <c r="R1656" s="318"/>
      <c r="S1656" s="318"/>
      <c r="T1656" s="318"/>
      <c r="U1656" s="318"/>
      <c r="V1656" s="318"/>
      <c r="W1656" s="318"/>
      <c r="X1656" s="318"/>
      <c r="Y1656" s="318"/>
      <c r="Z1656" s="318"/>
      <c r="AA1656" s="318"/>
      <c r="AB1656" s="318"/>
      <c r="AC1656" s="318"/>
      <c r="AD1656" s="318"/>
    </row>
    <row r="1657" spans="2:30" s="323" customFormat="1" ht="12" customHeight="1">
      <c r="B1657" s="324"/>
      <c r="C1657" s="325"/>
      <c r="D1657" s="326"/>
      <c r="E1657" s="326"/>
      <c r="F1657" s="326"/>
      <c r="G1657" s="326"/>
      <c r="H1657" s="326"/>
      <c r="P1657" s="318"/>
      <c r="Q1657" s="318"/>
      <c r="R1657" s="318"/>
      <c r="S1657" s="318"/>
      <c r="T1657" s="318"/>
      <c r="U1657" s="318"/>
      <c r="V1657" s="318"/>
      <c r="W1657" s="318"/>
      <c r="X1657" s="318"/>
      <c r="Y1657" s="318"/>
      <c r="Z1657" s="318"/>
      <c r="AA1657" s="318"/>
      <c r="AB1657" s="318"/>
      <c r="AC1657" s="318"/>
      <c r="AD1657" s="318"/>
    </row>
    <row r="1658" spans="2:30" s="323" customFormat="1" ht="12" customHeight="1">
      <c r="B1658" s="324"/>
      <c r="C1658" s="325"/>
      <c r="D1658" s="326"/>
      <c r="E1658" s="326"/>
      <c r="F1658" s="326"/>
      <c r="G1658" s="326"/>
      <c r="H1658" s="326"/>
      <c r="P1658" s="318"/>
      <c r="Q1658" s="318"/>
      <c r="R1658" s="318"/>
      <c r="S1658" s="318"/>
      <c r="T1658" s="318"/>
      <c r="U1658" s="318"/>
      <c r="V1658" s="318"/>
      <c r="W1658" s="318"/>
      <c r="X1658" s="318"/>
      <c r="Y1658" s="318"/>
      <c r="Z1658" s="318"/>
      <c r="AA1658" s="318"/>
      <c r="AB1658" s="318"/>
      <c r="AC1658" s="318"/>
      <c r="AD1658" s="318"/>
    </row>
    <row r="1659" spans="2:30" s="323" customFormat="1" ht="12" customHeight="1">
      <c r="B1659" s="324"/>
      <c r="C1659" s="325"/>
      <c r="D1659" s="326"/>
      <c r="E1659" s="326"/>
      <c r="F1659" s="326"/>
      <c r="G1659" s="326"/>
      <c r="H1659" s="326"/>
      <c r="P1659" s="318"/>
      <c r="Q1659" s="318"/>
      <c r="R1659" s="318"/>
      <c r="S1659" s="318"/>
      <c r="T1659" s="318"/>
      <c r="U1659" s="318"/>
      <c r="V1659" s="318"/>
      <c r="W1659" s="318"/>
      <c r="X1659" s="318"/>
      <c r="Y1659" s="318"/>
      <c r="Z1659" s="318"/>
      <c r="AA1659" s="318"/>
      <c r="AB1659" s="318"/>
      <c r="AC1659" s="318"/>
      <c r="AD1659" s="318"/>
    </row>
    <row r="1660" spans="2:30" s="323" customFormat="1" ht="12" customHeight="1">
      <c r="B1660" s="324"/>
      <c r="C1660" s="325"/>
      <c r="D1660" s="326"/>
      <c r="E1660" s="326"/>
      <c r="F1660" s="326"/>
      <c r="G1660" s="326"/>
      <c r="H1660" s="326"/>
      <c r="P1660" s="318"/>
      <c r="Q1660" s="318"/>
      <c r="R1660" s="318"/>
      <c r="S1660" s="318"/>
      <c r="T1660" s="318"/>
      <c r="U1660" s="318"/>
      <c r="V1660" s="318"/>
      <c r="W1660" s="318"/>
      <c r="X1660" s="318"/>
      <c r="Y1660" s="318"/>
      <c r="Z1660" s="318"/>
      <c r="AA1660" s="318"/>
      <c r="AB1660" s="318"/>
      <c r="AC1660" s="318"/>
      <c r="AD1660" s="318"/>
    </row>
    <row r="1661" spans="2:30" s="323" customFormat="1" ht="12" customHeight="1">
      <c r="B1661" s="324"/>
      <c r="C1661" s="325"/>
      <c r="D1661" s="326"/>
      <c r="E1661" s="326"/>
      <c r="F1661" s="326"/>
      <c r="G1661" s="326"/>
      <c r="H1661" s="326"/>
      <c r="P1661" s="318"/>
      <c r="Q1661" s="318"/>
      <c r="R1661" s="318"/>
      <c r="S1661" s="318"/>
      <c r="T1661" s="318"/>
      <c r="U1661" s="318"/>
      <c r="V1661" s="318"/>
      <c r="W1661" s="318"/>
      <c r="X1661" s="318"/>
      <c r="Y1661" s="318"/>
      <c r="Z1661" s="318"/>
      <c r="AA1661" s="318"/>
      <c r="AB1661" s="318"/>
      <c r="AC1661" s="318"/>
      <c r="AD1661" s="318"/>
    </row>
    <row r="1662" spans="2:30" s="323" customFormat="1" ht="12" customHeight="1">
      <c r="B1662" s="324"/>
      <c r="C1662" s="325"/>
      <c r="D1662" s="326"/>
      <c r="E1662" s="326"/>
      <c r="F1662" s="326"/>
      <c r="G1662" s="326"/>
      <c r="H1662" s="326"/>
      <c r="P1662" s="318"/>
      <c r="Q1662" s="318"/>
      <c r="R1662" s="318"/>
      <c r="S1662" s="318"/>
      <c r="T1662" s="318"/>
      <c r="U1662" s="318"/>
      <c r="V1662" s="318"/>
      <c r="W1662" s="318"/>
      <c r="X1662" s="318"/>
      <c r="Y1662" s="318"/>
      <c r="Z1662" s="318"/>
      <c r="AA1662" s="318"/>
      <c r="AB1662" s="318"/>
      <c r="AC1662" s="318"/>
      <c r="AD1662" s="318"/>
    </row>
    <row r="1663" spans="2:30" s="323" customFormat="1" ht="12" customHeight="1">
      <c r="B1663" s="324"/>
      <c r="C1663" s="325"/>
      <c r="D1663" s="326"/>
      <c r="E1663" s="326"/>
      <c r="F1663" s="326"/>
      <c r="G1663" s="326"/>
      <c r="H1663" s="326"/>
      <c r="P1663" s="318"/>
      <c r="Q1663" s="318"/>
      <c r="R1663" s="318"/>
      <c r="S1663" s="318"/>
      <c r="T1663" s="318"/>
      <c r="U1663" s="318"/>
      <c r="V1663" s="318"/>
      <c r="W1663" s="318"/>
      <c r="X1663" s="318"/>
      <c r="Y1663" s="318"/>
      <c r="Z1663" s="318"/>
      <c r="AA1663" s="318"/>
      <c r="AB1663" s="318"/>
      <c r="AC1663" s="318"/>
      <c r="AD1663" s="318"/>
    </row>
    <row r="1664" spans="2:30" s="323" customFormat="1" ht="12" customHeight="1">
      <c r="B1664" s="324"/>
      <c r="C1664" s="325"/>
      <c r="D1664" s="326"/>
      <c r="E1664" s="326"/>
      <c r="F1664" s="326"/>
      <c r="G1664" s="326"/>
      <c r="H1664" s="326"/>
      <c r="P1664" s="318"/>
      <c r="Q1664" s="318"/>
      <c r="R1664" s="318"/>
      <c r="S1664" s="318"/>
      <c r="T1664" s="318"/>
      <c r="U1664" s="318"/>
      <c r="V1664" s="318"/>
      <c r="W1664" s="318"/>
      <c r="X1664" s="318"/>
      <c r="Y1664" s="318"/>
      <c r="Z1664" s="318"/>
      <c r="AA1664" s="318"/>
      <c r="AB1664" s="318"/>
      <c r="AC1664" s="318"/>
      <c r="AD1664" s="318"/>
    </row>
    <row r="1665" spans="2:30" s="323" customFormat="1" ht="12" customHeight="1">
      <c r="B1665" s="324"/>
      <c r="C1665" s="325"/>
      <c r="D1665" s="326"/>
      <c r="E1665" s="326"/>
      <c r="F1665" s="326"/>
      <c r="G1665" s="326"/>
      <c r="H1665" s="326"/>
      <c r="P1665" s="318"/>
      <c r="Q1665" s="318"/>
      <c r="R1665" s="318"/>
      <c r="S1665" s="318"/>
      <c r="T1665" s="318"/>
      <c r="U1665" s="318"/>
      <c r="V1665" s="318"/>
      <c r="W1665" s="318"/>
      <c r="X1665" s="318"/>
      <c r="Y1665" s="318"/>
      <c r="Z1665" s="318"/>
      <c r="AA1665" s="318"/>
      <c r="AB1665" s="318"/>
      <c r="AC1665" s="318"/>
      <c r="AD1665" s="318"/>
    </row>
    <row r="1666" spans="2:30" s="323" customFormat="1" ht="12" customHeight="1">
      <c r="B1666" s="324"/>
      <c r="C1666" s="325"/>
      <c r="D1666" s="326"/>
      <c r="E1666" s="326"/>
      <c r="F1666" s="326"/>
      <c r="G1666" s="326"/>
      <c r="H1666" s="326"/>
      <c r="P1666" s="318"/>
      <c r="Q1666" s="318"/>
      <c r="R1666" s="318"/>
      <c r="S1666" s="318"/>
      <c r="T1666" s="318"/>
      <c r="U1666" s="318"/>
      <c r="V1666" s="318"/>
      <c r="W1666" s="318"/>
      <c r="X1666" s="318"/>
      <c r="Y1666" s="318"/>
      <c r="Z1666" s="318"/>
      <c r="AA1666" s="318"/>
      <c r="AB1666" s="318"/>
      <c r="AC1666" s="318"/>
      <c r="AD1666" s="318"/>
    </row>
    <row r="1667" spans="2:30" s="323" customFormat="1" ht="12" customHeight="1">
      <c r="B1667" s="324"/>
      <c r="C1667" s="325"/>
      <c r="D1667" s="326"/>
      <c r="E1667" s="326"/>
      <c r="F1667" s="326"/>
      <c r="G1667" s="326"/>
      <c r="H1667" s="326"/>
      <c r="P1667" s="318"/>
      <c r="Q1667" s="318"/>
      <c r="R1667" s="318"/>
      <c r="S1667" s="318"/>
      <c r="T1667" s="318"/>
      <c r="U1667" s="318"/>
      <c r="V1667" s="318"/>
      <c r="W1667" s="318"/>
      <c r="X1667" s="318"/>
      <c r="Y1667" s="318"/>
      <c r="Z1667" s="318"/>
      <c r="AA1667" s="318"/>
      <c r="AB1667" s="318"/>
      <c r="AC1667" s="318"/>
      <c r="AD1667" s="318"/>
    </row>
    <row r="1668" spans="2:30" s="323" customFormat="1" ht="12" customHeight="1">
      <c r="B1668" s="324"/>
      <c r="C1668" s="325"/>
      <c r="D1668" s="326"/>
      <c r="E1668" s="326"/>
      <c r="F1668" s="326"/>
      <c r="G1668" s="326"/>
      <c r="H1668" s="326"/>
      <c r="P1668" s="318"/>
      <c r="Q1668" s="318"/>
      <c r="R1668" s="318"/>
      <c r="S1668" s="318"/>
      <c r="T1668" s="318"/>
      <c r="U1668" s="318"/>
      <c r="V1668" s="318"/>
      <c r="W1668" s="318"/>
      <c r="X1668" s="318"/>
      <c r="Y1668" s="318"/>
      <c r="Z1668" s="318"/>
      <c r="AA1668" s="318"/>
      <c r="AB1668" s="318"/>
      <c r="AC1668" s="318"/>
      <c r="AD1668" s="318"/>
    </row>
    <row r="1669" spans="2:30" s="323" customFormat="1" ht="12" customHeight="1">
      <c r="B1669" s="324"/>
      <c r="C1669" s="325"/>
      <c r="D1669" s="326"/>
      <c r="E1669" s="326"/>
      <c r="F1669" s="326"/>
      <c r="G1669" s="326"/>
      <c r="H1669" s="326"/>
      <c r="P1669" s="318"/>
      <c r="Q1669" s="318"/>
      <c r="R1669" s="318"/>
      <c r="S1669" s="318"/>
      <c r="T1669" s="318"/>
      <c r="U1669" s="318"/>
      <c r="V1669" s="318"/>
      <c r="W1669" s="318"/>
      <c r="X1669" s="318"/>
      <c r="Y1669" s="318"/>
      <c r="Z1669" s="318"/>
      <c r="AA1669" s="318"/>
      <c r="AB1669" s="318"/>
      <c r="AC1669" s="318"/>
      <c r="AD1669" s="318"/>
    </row>
    <row r="1670" spans="2:30" s="323" customFormat="1" ht="12" customHeight="1">
      <c r="B1670" s="324"/>
      <c r="C1670" s="325"/>
      <c r="D1670" s="326"/>
      <c r="E1670" s="326"/>
      <c r="F1670" s="326"/>
      <c r="G1670" s="326"/>
      <c r="H1670" s="326"/>
      <c r="P1670" s="318"/>
      <c r="Q1670" s="318"/>
      <c r="R1670" s="318"/>
      <c r="S1670" s="318"/>
      <c r="T1670" s="318"/>
      <c r="U1670" s="318"/>
      <c r="V1670" s="318"/>
      <c r="W1670" s="318"/>
      <c r="X1670" s="318"/>
      <c r="Y1670" s="318"/>
      <c r="Z1670" s="318"/>
      <c r="AA1670" s="318"/>
      <c r="AB1670" s="318"/>
      <c r="AC1670" s="318"/>
      <c r="AD1670" s="318"/>
    </row>
    <row r="1671" spans="2:30" s="323" customFormat="1" ht="12" customHeight="1">
      <c r="B1671" s="324"/>
      <c r="C1671" s="325"/>
      <c r="D1671" s="326"/>
      <c r="E1671" s="326"/>
      <c r="F1671" s="326"/>
      <c r="G1671" s="326"/>
      <c r="H1671" s="326"/>
      <c r="P1671" s="318"/>
      <c r="Q1671" s="318"/>
      <c r="R1671" s="318"/>
      <c r="S1671" s="318"/>
      <c r="T1671" s="318"/>
      <c r="U1671" s="318"/>
      <c r="V1671" s="318"/>
      <c r="W1671" s="318"/>
      <c r="X1671" s="318"/>
      <c r="Y1671" s="318"/>
      <c r="Z1671" s="318"/>
      <c r="AA1671" s="318"/>
      <c r="AB1671" s="318"/>
      <c r="AC1671" s="318"/>
      <c r="AD1671" s="318"/>
    </row>
    <row r="1672" spans="2:30" s="323" customFormat="1" ht="12" customHeight="1">
      <c r="B1672" s="324"/>
      <c r="C1672" s="325"/>
      <c r="D1672" s="326"/>
      <c r="E1672" s="326"/>
      <c r="F1672" s="326"/>
      <c r="G1672" s="326"/>
      <c r="H1672" s="326"/>
      <c r="P1672" s="318"/>
      <c r="Q1672" s="318"/>
      <c r="R1672" s="318"/>
      <c r="S1672" s="318"/>
      <c r="T1672" s="318"/>
      <c r="U1672" s="318"/>
      <c r="V1672" s="318"/>
      <c r="W1672" s="318"/>
      <c r="X1672" s="318"/>
      <c r="Y1672" s="318"/>
      <c r="Z1672" s="318"/>
      <c r="AA1672" s="318"/>
      <c r="AB1672" s="318"/>
      <c r="AC1672" s="318"/>
      <c r="AD1672" s="318"/>
    </row>
    <row r="1673" spans="2:30" s="323" customFormat="1" ht="12" customHeight="1">
      <c r="B1673" s="324"/>
      <c r="C1673" s="325"/>
      <c r="D1673" s="326"/>
      <c r="E1673" s="326"/>
      <c r="F1673" s="326"/>
      <c r="G1673" s="326"/>
      <c r="H1673" s="326"/>
      <c r="P1673" s="318"/>
      <c r="Q1673" s="318"/>
      <c r="R1673" s="318"/>
      <c r="S1673" s="318"/>
      <c r="T1673" s="318"/>
      <c r="U1673" s="318"/>
      <c r="V1673" s="318"/>
      <c r="W1673" s="318"/>
      <c r="X1673" s="318"/>
      <c r="Y1673" s="318"/>
      <c r="Z1673" s="318"/>
      <c r="AA1673" s="318"/>
      <c r="AB1673" s="318"/>
      <c r="AC1673" s="318"/>
      <c r="AD1673" s="318"/>
    </row>
    <row r="1674" spans="2:30" s="323" customFormat="1" ht="12" customHeight="1">
      <c r="B1674" s="324"/>
      <c r="C1674" s="325"/>
      <c r="D1674" s="326"/>
      <c r="E1674" s="326"/>
      <c r="F1674" s="326"/>
      <c r="G1674" s="326"/>
      <c r="H1674" s="326"/>
      <c r="P1674" s="318"/>
      <c r="Q1674" s="318"/>
      <c r="R1674" s="318"/>
      <c r="S1674" s="318"/>
      <c r="T1674" s="318"/>
      <c r="U1674" s="318"/>
      <c r="V1674" s="318"/>
      <c r="W1674" s="318"/>
      <c r="X1674" s="318"/>
      <c r="Y1674" s="318"/>
      <c r="Z1674" s="318"/>
      <c r="AA1674" s="318"/>
      <c r="AB1674" s="318"/>
      <c r="AC1674" s="318"/>
      <c r="AD1674" s="318"/>
    </row>
    <row r="1675" spans="2:30" s="323" customFormat="1" ht="12" customHeight="1">
      <c r="B1675" s="324"/>
      <c r="C1675" s="325"/>
      <c r="D1675" s="326"/>
      <c r="E1675" s="326"/>
      <c r="F1675" s="326"/>
      <c r="G1675" s="326"/>
      <c r="H1675" s="326"/>
      <c r="P1675" s="318"/>
      <c r="Q1675" s="318"/>
      <c r="R1675" s="318"/>
      <c r="S1675" s="318"/>
      <c r="T1675" s="318"/>
      <c r="U1675" s="318"/>
      <c r="V1675" s="318"/>
      <c r="W1675" s="318"/>
      <c r="X1675" s="318"/>
      <c r="Y1675" s="318"/>
      <c r="Z1675" s="318"/>
      <c r="AA1675" s="318"/>
      <c r="AB1675" s="318"/>
      <c r="AC1675" s="318"/>
      <c r="AD1675" s="318"/>
    </row>
    <row r="1676" spans="2:30" s="323" customFormat="1" ht="12" customHeight="1">
      <c r="B1676" s="324"/>
      <c r="C1676" s="325"/>
      <c r="D1676" s="326"/>
      <c r="E1676" s="326"/>
      <c r="F1676" s="326"/>
      <c r="G1676" s="326"/>
      <c r="H1676" s="326"/>
      <c r="P1676" s="318"/>
      <c r="Q1676" s="318"/>
      <c r="R1676" s="318"/>
      <c r="S1676" s="318"/>
      <c r="T1676" s="318"/>
      <c r="U1676" s="318"/>
      <c r="V1676" s="318"/>
      <c r="W1676" s="318"/>
      <c r="X1676" s="318"/>
      <c r="Y1676" s="318"/>
      <c r="Z1676" s="318"/>
      <c r="AA1676" s="318"/>
      <c r="AB1676" s="318"/>
      <c r="AC1676" s="318"/>
      <c r="AD1676" s="318"/>
    </row>
    <row r="1677" spans="2:30" s="323" customFormat="1" ht="12" customHeight="1">
      <c r="B1677" s="324"/>
      <c r="C1677" s="325"/>
      <c r="D1677" s="326"/>
      <c r="E1677" s="326"/>
      <c r="F1677" s="326"/>
      <c r="G1677" s="326"/>
      <c r="H1677" s="326"/>
      <c r="P1677" s="318"/>
      <c r="Q1677" s="318"/>
      <c r="R1677" s="318"/>
      <c r="S1677" s="318"/>
      <c r="T1677" s="318"/>
      <c r="U1677" s="318"/>
      <c r="V1677" s="318"/>
      <c r="W1677" s="318"/>
      <c r="X1677" s="318"/>
      <c r="Y1677" s="318"/>
      <c r="Z1677" s="318"/>
      <c r="AA1677" s="318"/>
      <c r="AB1677" s="318"/>
      <c r="AC1677" s="318"/>
      <c r="AD1677" s="318"/>
    </row>
    <row r="1678" spans="2:30" s="323" customFormat="1" ht="12" customHeight="1">
      <c r="B1678" s="324"/>
      <c r="C1678" s="325"/>
      <c r="D1678" s="326"/>
      <c r="E1678" s="326"/>
      <c r="F1678" s="326"/>
      <c r="G1678" s="326"/>
      <c r="H1678" s="326"/>
      <c r="P1678" s="318"/>
      <c r="Q1678" s="318"/>
      <c r="R1678" s="318"/>
      <c r="S1678" s="318"/>
      <c r="T1678" s="318"/>
      <c r="U1678" s="318"/>
      <c r="V1678" s="318"/>
      <c r="W1678" s="318"/>
      <c r="X1678" s="318"/>
      <c r="Y1678" s="318"/>
      <c r="Z1678" s="318"/>
      <c r="AA1678" s="318"/>
      <c r="AB1678" s="318"/>
      <c r="AC1678" s="318"/>
      <c r="AD1678" s="318"/>
    </row>
    <row r="1679" spans="2:30" s="323" customFormat="1" ht="12" customHeight="1">
      <c r="B1679" s="324"/>
      <c r="C1679" s="325"/>
      <c r="D1679" s="326"/>
      <c r="E1679" s="326"/>
      <c r="F1679" s="326"/>
      <c r="G1679" s="326"/>
      <c r="H1679" s="326"/>
      <c r="P1679" s="318"/>
      <c r="Q1679" s="318"/>
      <c r="R1679" s="318"/>
      <c r="S1679" s="318"/>
      <c r="T1679" s="318"/>
      <c r="U1679" s="318"/>
      <c r="V1679" s="318"/>
      <c r="W1679" s="318"/>
      <c r="X1679" s="318"/>
      <c r="Y1679" s="318"/>
      <c r="Z1679" s="318"/>
      <c r="AA1679" s="318"/>
      <c r="AB1679" s="318"/>
      <c r="AC1679" s="318"/>
      <c r="AD1679" s="318"/>
    </row>
    <row r="1680" spans="2:30" s="323" customFormat="1" ht="12" customHeight="1">
      <c r="B1680" s="324"/>
      <c r="C1680" s="325"/>
      <c r="D1680" s="326"/>
      <c r="E1680" s="326"/>
      <c r="F1680" s="326"/>
      <c r="G1680" s="326"/>
      <c r="H1680" s="326"/>
      <c r="P1680" s="318"/>
      <c r="Q1680" s="318"/>
      <c r="R1680" s="318"/>
      <c r="S1680" s="318"/>
      <c r="T1680" s="318"/>
      <c r="U1680" s="318"/>
      <c r="V1680" s="318"/>
      <c r="W1680" s="318"/>
      <c r="X1680" s="318"/>
      <c r="Y1680" s="318"/>
      <c r="Z1680" s="318"/>
      <c r="AA1680" s="318"/>
      <c r="AB1680" s="318"/>
      <c r="AC1680" s="318"/>
      <c r="AD1680" s="318"/>
    </row>
    <row r="1681" spans="2:30" s="323" customFormat="1" ht="12" customHeight="1">
      <c r="B1681" s="324"/>
      <c r="C1681" s="325"/>
      <c r="D1681" s="326"/>
      <c r="E1681" s="326"/>
      <c r="F1681" s="326"/>
      <c r="G1681" s="326"/>
      <c r="H1681" s="326"/>
      <c r="P1681" s="318"/>
      <c r="Q1681" s="318"/>
      <c r="R1681" s="318"/>
      <c r="S1681" s="318"/>
      <c r="T1681" s="318"/>
      <c r="U1681" s="318"/>
      <c r="V1681" s="318"/>
      <c r="W1681" s="318"/>
      <c r="X1681" s="318"/>
      <c r="Y1681" s="318"/>
      <c r="Z1681" s="318"/>
      <c r="AA1681" s="318"/>
      <c r="AB1681" s="318"/>
      <c r="AC1681" s="318"/>
      <c r="AD1681" s="318"/>
    </row>
    <row r="1682" spans="2:30" s="323" customFormat="1" ht="12" customHeight="1">
      <c r="B1682" s="324"/>
      <c r="C1682" s="325"/>
      <c r="D1682" s="326"/>
      <c r="E1682" s="326"/>
      <c r="F1682" s="326"/>
      <c r="G1682" s="326"/>
      <c r="H1682" s="326"/>
      <c r="P1682" s="318"/>
      <c r="Q1682" s="318"/>
      <c r="R1682" s="318"/>
      <c r="S1682" s="318"/>
      <c r="T1682" s="318"/>
      <c r="U1682" s="318"/>
      <c r="V1682" s="318"/>
      <c r="W1682" s="318"/>
      <c r="X1682" s="318"/>
      <c r="Y1682" s="318"/>
      <c r="Z1682" s="318"/>
      <c r="AA1682" s="318"/>
      <c r="AB1682" s="318"/>
      <c r="AC1682" s="318"/>
      <c r="AD1682" s="318"/>
    </row>
    <row r="1683" spans="2:30" s="323" customFormat="1" ht="12" customHeight="1">
      <c r="B1683" s="324"/>
      <c r="C1683" s="325"/>
      <c r="D1683" s="326"/>
      <c r="E1683" s="326"/>
      <c r="F1683" s="326"/>
      <c r="G1683" s="326"/>
      <c r="H1683" s="326"/>
      <c r="P1683" s="318"/>
      <c r="Q1683" s="318"/>
      <c r="R1683" s="318"/>
      <c r="S1683" s="318"/>
      <c r="T1683" s="318"/>
      <c r="U1683" s="318"/>
      <c r="V1683" s="318"/>
      <c r="W1683" s="318"/>
      <c r="X1683" s="318"/>
      <c r="Y1683" s="318"/>
      <c r="Z1683" s="318"/>
      <c r="AA1683" s="318"/>
      <c r="AB1683" s="318"/>
      <c r="AC1683" s="318"/>
      <c r="AD1683" s="318"/>
    </row>
    <row r="1684" spans="2:30" s="323" customFormat="1" ht="12" customHeight="1">
      <c r="B1684" s="324"/>
      <c r="C1684" s="325"/>
      <c r="D1684" s="326"/>
      <c r="E1684" s="326"/>
      <c r="F1684" s="326"/>
      <c r="G1684" s="326"/>
      <c r="H1684" s="326"/>
      <c r="P1684" s="318"/>
      <c r="Q1684" s="318"/>
      <c r="R1684" s="318"/>
      <c r="S1684" s="318"/>
      <c r="T1684" s="318"/>
      <c r="U1684" s="318"/>
      <c r="V1684" s="318"/>
      <c r="W1684" s="318"/>
      <c r="X1684" s="318"/>
      <c r="Y1684" s="318"/>
      <c r="Z1684" s="318"/>
      <c r="AA1684" s="318"/>
      <c r="AB1684" s="318"/>
      <c r="AC1684" s="318"/>
      <c r="AD1684" s="318"/>
    </row>
    <row r="1685" spans="2:30" s="323" customFormat="1" ht="12" customHeight="1">
      <c r="B1685" s="324"/>
      <c r="C1685" s="325"/>
      <c r="D1685" s="326"/>
      <c r="E1685" s="326"/>
      <c r="F1685" s="326"/>
      <c r="G1685" s="326"/>
      <c r="H1685" s="326"/>
      <c r="P1685" s="318"/>
      <c r="Q1685" s="318"/>
      <c r="R1685" s="318"/>
      <c r="S1685" s="318"/>
      <c r="T1685" s="318"/>
      <c r="U1685" s="318"/>
      <c r="V1685" s="318"/>
      <c r="W1685" s="318"/>
      <c r="X1685" s="318"/>
      <c r="Y1685" s="318"/>
      <c r="Z1685" s="318"/>
      <c r="AA1685" s="318"/>
      <c r="AB1685" s="318"/>
      <c r="AC1685" s="318"/>
      <c r="AD1685" s="318"/>
    </row>
    <row r="1686" spans="2:30" s="323" customFormat="1" ht="12" customHeight="1">
      <c r="B1686" s="324"/>
      <c r="C1686" s="325"/>
      <c r="D1686" s="326"/>
      <c r="E1686" s="326"/>
      <c r="F1686" s="326"/>
      <c r="G1686" s="326"/>
      <c r="H1686" s="326"/>
      <c r="P1686" s="318"/>
      <c r="Q1686" s="318"/>
      <c r="R1686" s="318"/>
      <c r="S1686" s="318"/>
      <c r="T1686" s="318"/>
      <c r="U1686" s="318"/>
      <c r="V1686" s="318"/>
      <c r="W1686" s="318"/>
      <c r="X1686" s="318"/>
      <c r="Y1686" s="318"/>
      <c r="Z1686" s="318"/>
      <c r="AA1686" s="318"/>
      <c r="AB1686" s="318"/>
      <c r="AC1686" s="318"/>
      <c r="AD1686" s="318"/>
    </row>
    <row r="1687" spans="2:30" s="323" customFormat="1" ht="12" customHeight="1">
      <c r="B1687" s="324"/>
      <c r="C1687" s="325"/>
      <c r="D1687" s="326"/>
      <c r="E1687" s="326"/>
      <c r="F1687" s="326"/>
      <c r="G1687" s="326"/>
      <c r="H1687" s="326"/>
      <c r="P1687" s="318"/>
      <c r="Q1687" s="318"/>
      <c r="R1687" s="318"/>
      <c r="S1687" s="318"/>
      <c r="T1687" s="318"/>
      <c r="U1687" s="318"/>
      <c r="V1687" s="318"/>
      <c r="W1687" s="318"/>
      <c r="X1687" s="318"/>
      <c r="Y1687" s="318"/>
      <c r="Z1687" s="318"/>
      <c r="AA1687" s="318"/>
      <c r="AB1687" s="318"/>
      <c r="AC1687" s="318"/>
      <c r="AD1687" s="318"/>
    </row>
    <row r="1688" spans="2:30" s="323" customFormat="1" ht="12" customHeight="1">
      <c r="B1688" s="324"/>
      <c r="C1688" s="325"/>
      <c r="D1688" s="326"/>
      <c r="E1688" s="326"/>
      <c r="F1688" s="326"/>
      <c r="G1688" s="326"/>
      <c r="H1688" s="326"/>
      <c r="P1688" s="318"/>
      <c r="Q1688" s="318"/>
      <c r="R1688" s="318"/>
      <c r="S1688" s="318"/>
      <c r="T1688" s="318"/>
      <c r="U1688" s="318"/>
      <c r="V1688" s="318"/>
      <c r="W1688" s="318"/>
      <c r="X1688" s="318"/>
      <c r="Y1688" s="318"/>
      <c r="Z1688" s="318"/>
      <c r="AA1688" s="318"/>
      <c r="AB1688" s="318"/>
      <c r="AC1688" s="318"/>
      <c r="AD1688" s="318"/>
    </row>
    <row r="1689" spans="2:30" s="323" customFormat="1" ht="12" customHeight="1">
      <c r="B1689" s="324"/>
      <c r="C1689" s="325"/>
      <c r="D1689" s="326"/>
      <c r="E1689" s="326"/>
      <c r="F1689" s="326"/>
      <c r="G1689" s="326"/>
      <c r="H1689" s="326"/>
      <c r="P1689" s="318"/>
      <c r="Q1689" s="318"/>
      <c r="R1689" s="318"/>
      <c r="S1689" s="318"/>
      <c r="T1689" s="318"/>
      <c r="U1689" s="318"/>
      <c r="V1689" s="318"/>
      <c r="W1689" s="318"/>
      <c r="X1689" s="318"/>
      <c r="Y1689" s="318"/>
      <c r="Z1689" s="318"/>
      <c r="AA1689" s="318"/>
      <c r="AB1689" s="318"/>
      <c r="AC1689" s="318"/>
      <c r="AD1689" s="318"/>
    </row>
    <row r="1690" spans="2:30" s="323" customFormat="1" ht="12" customHeight="1">
      <c r="B1690" s="324"/>
      <c r="C1690" s="325"/>
      <c r="D1690" s="326"/>
      <c r="E1690" s="326"/>
      <c r="F1690" s="326"/>
      <c r="G1690" s="326"/>
      <c r="H1690" s="326"/>
      <c r="P1690" s="318"/>
      <c r="Q1690" s="318"/>
      <c r="R1690" s="318"/>
      <c r="S1690" s="318"/>
      <c r="T1690" s="318"/>
      <c r="U1690" s="318"/>
      <c r="V1690" s="318"/>
      <c r="W1690" s="318"/>
      <c r="X1690" s="318"/>
      <c r="Y1690" s="318"/>
      <c r="Z1690" s="318"/>
      <c r="AA1690" s="318"/>
      <c r="AB1690" s="318"/>
      <c r="AC1690" s="318"/>
      <c r="AD1690" s="318"/>
    </row>
    <row r="1691" spans="2:30" s="323" customFormat="1" ht="12" customHeight="1">
      <c r="B1691" s="324"/>
      <c r="C1691" s="325"/>
      <c r="D1691" s="326"/>
      <c r="E1691" s="326"/>
      <c r="F1691" s="326"/>
      <c r="G1691" s="326"/>
      <c r="H1691" s="326"/>
      <c r="P1691" s="318"/>
      <c r="Q1691" s="318"/>
      <c r="R1691" s="318"/>
      <c r="S1691" s="318"/>
      <c r="T1691" s="318"/>
      <c r="U1691" s="318"/>
      <c r="V1691" s="318"/>
      <c r="W1691" s="318"/>
      <c r="X1691" s="318"/>
      <c r="Y1691" s="318"/>
      <c r="Z1691" s="318"/>
      <c r="AA1691" s="318"/>
      <c r="AB1691" s="318"/>
      <c r="AC1691" s="318"/>
      <c r="AD1691" s="318"/>
    </row>
    <row r="1692" spans="2:30" s="323" customFormat="1" ht="12" customHeight="1">
      <c r="B1692" s="324"/>
      <c r="C1692" s="325"/>
      <c r="D1692" s="326"/>
      <c r="E1692" s="326"/>
      <c r="F1692" s="326"/>
      <c r="G1692" s="326"/>
      <c r="H1692" s="326"/>
      <c r="P1692" s="318"/>
      <c r="Q1692" s="318"/>
      <c r="R1692" s="318"/>
      <c r="S1692" s="318"/>
      <c r="T1692" s="318"/>
      <c r="U1692" s="318"/>
      <c r="V1692" s="318"/>
      <c r="W1692" s="318"/>
      <c r="X1692" s="318"/>
      <c r="Y1692" s="318"/>
      <c r="Z1692" s="318"/>
      <c r="AA1692" s="318"/>
      <c r="AB1692" s="318"/>
      <c r="AC1692" s="318"/>
      <c r="AD1692" s="318"/>
    </row>
    <row r="1693" spans="2:30" s="323" customFormat="1" ht="12" customHeight="1">
      <c r="B1693" s="324"/>
      <c r="C1693" s="325"/>
      <c r="D1693" s="326"/>
      <c r="E1693" s="326"/>
      <c r="F1693" s="326"/>
      <c r="G1693" s="326"/>
      <c r="H1693" s="326"/>
      <c r="P1693" s="318"/>
      <c r="Q1693" s="318"/>
      <c r="R1693" s="318"/>
      <c r="S1693" s="318"/>
      <c r="T1693" s="318"/>
      <c r="U1693" s="318"/>
      <c r="V1693" s="318"/>
      <c r="W1693" s="318"/>
      <c r="X1693" s="318"/>
      <c r="Y1693" s="318"/>
      <c r="Z1693" s="318"/>
      <c r="AA1693" s="318"/>
      <c r="AB1693" s="318"/>
      <c r="AC1693" s="318"/>
      <c r="AD1693" s="318"/>
    </row>
    <row r="1694" spans="2:30" s="323" customFormat="1" ht="12" customHeight="1">
      <c r="B1694" s="324"/>
      <c r="C1694" s="325"/>
      <c r="D1694" s="326"/>
      <c r="E1694" s="326"/>
      <c r="F1694" s="326"/>
      <c r="G1694" s="326"/>
      <c r="H1694" s="326"/>
      <c r="P1694" s="318"/>
      <c r="Q1694" s="318"/>
      <c r="R1694" s="318"/>
      <c r="S1694" s="318"/>
      <c r="T1694" s="318"/>
      <c r="U1694" s="318"/>
      <c r="V1694" s="318"/>
      <c r="W1694" s="318"/>
      <c r="X1694" s="318"/>
      <c r="Y1694" s="318"/>
      <c r="Z1694" s="318"/>
      <c r="AA1694" s="318"/>
      <c r="AB1694" s="318"/>
      <c r="AC1694" s="318"/>
      <c r="AD1694" s="318"/>
    </row>
    <row r="1695" spans="2:30" s="323" customFormat="1" ht="12" customHeight="1">
      <c r="B1695" s="324"/>
      <c r="C1695" s="325"/>
      <c r="D1695" s="326"/>
      <c r="E1695" s="326"/>
      <c r="F1695" s="326"/>
      <c r="G1695" s="326"/>
      <c r="H1695" s="326"/>
      <c r="P1695" s="318"/>
      <c r="Q1695" s="318"/>
      <c r="R1695" s="318"/>
      <c r="S1695" s="318"/>
      <c r="T1695" s="318"/>
      <c r="U1695" s="318"/>
      <c r="V1695" s="318"/>
      <c r="W1695" s="318"/>
      <c r="X1695" s="318"/>
      <c r="Y1695" s="318"/>
      <c r="Z1695" s="318"/>
      <c r="AA1695" s="318"/>
      <c r="AB1695" s="318"/>
      <c r="AC1695" s="318"/>
      <c r="AD1695" s="318"/>
    </row>
    <row r="1696" spans="2:30" s="323" customFormat="1" ht="12" customHeight="1">
      <c r="B1696" s="324"/>
      <c r="C1696" s="325"/>
      <c r="D1696" s="326"/>
      <c r="E1696" s="326"/>
      <c r="F1696" s="326"/>
      <c r="G1696" s="326"/>
      <c r="H1696" s="326"/>
      <c r="P1696" s="318"/>
      <c r="Q1696" s="318"/>
      <c r="R1696" s="318"/>
      <c r="S1696" s="318"/>
      <c r="T1696" s="318"/>
      <c r="U1696" s="318"/>
      <c r="V1696" s="318"/>
      <c r="W1696" s="318"/>
      <c r="X1696" s="318"/>
      <c r="Y1696" s="318"/>
      <c r="Z1696" s="318"/>
      <c r="AA1696" s="318"/>
      <c r="AB1696" s="318"/>
      <c r="AC1696" s="318"/>
      <c r="AD1696" s="318"/>
    </row>
    <row r="1697" spans="2:30" s="323" customFormat="1" ht="12" customHeight="1">
      <c r="B1697" s="324"/>
      <c r="C1697" s="325"/>
      <c r="D1697" s="326"/>
      <c r="E1697" s="326"/>
      <c r="F1697" s="326"/>
      <c r="G1697" s="326"/>
      <c r="H1697" s="326"/>
      <c r="P1697" s="318"/>
      <c r="Q1697" s="318"/>
      <c r="R1697" s="318"/>
      <c r="S1697" s="318"/>
      <c r="T1697" s="318"/>
      <c r="U1697" s="318"/>
      <c r="V1697" s="318"/>
      <c r="W1697" s="318"/>
      <c r="X1697" s="318"/>
      <c r="Y1697" s="318"/>
      <c r="Z1697" s="318"/>
      <c r="AA1697" s="318"/>
      <c r="AB1697" s="318"/>
      <c r="AC1697" s="318"/>
      <c r="AD1697" s="318"/>
    </row>
    <row r="1698" spans="2:30" s="323" customFormat="1" ht="12" customHeight="1">
      <c r="B1698" s="324"/>
      <c r="C1698" s="325"/>
      <c r="D1698" s="326"/>
      <c r="E1698" s="326"/>
      <c r="F1698" s="326"/>
      <c r="G1698" s="326"/>
      <c r="H1698" s="326"/>
      <c r="P1698" s="318"/>
      <c r="Q1698" s="318"/>
      <c r="R1698" s="318"/>
      <c r="S1698" s="318"/>
      <c r="T1698" s="318"/>
      <c r="U1698" s="318"/>
      <c r="V1698" s="318"/>
      <c r="W1698" s="318"/>
      <c r="X1698" s="318"/>
      <c r="Y1698" s="318"/>
      <c r="Z1698" s="318"/>
      <c r="AA1698" s="318"/>
      <c r="AB1698" s="318"/>
      <c r="AC1698" s="318"/>
      <c r="AD1698" s="318"/>
    </row>
    <row r="1699" spans="2:30" s="323" customFormat="1" ht="12" customHeight="1">
      <c r="B1699" s="324"/>
      <c r="C1699" s="325"/>
      <c r="D1699" s="326"/>
      <c r="E1699" s="326"/>
      <c r="F1699" s="326"/>
      <c r="G1699" s="326"/>
      <c r="H1699" s="326"/>
      <c r="P1699" s="318"/>
      <c r="Q1699" s="318"/>
      <c r="R1699" s="318"/>
      <c r="S1699" s="318"/>
      <c r="T1699" s="318"/>
      <c r="U1699" s="318"/>
      <c r="V1699" s="318"/>
      <c r="W1699" s="318"/>
      <c r="X1699" s="318"/>
      <c r="Y1699" s="318"/>
      <c r="Z1699" s="318"/>
      <c r="AA1699" s="318"/>
      <c r="AB1699" s="318"/>
      <c r="AC1699" s="318"/>
      <c r="AD1699" s="318"/>
    </row>
    <row r="1700" spans="2:30" s="323" customFormat="1" ht="12" customHeight="1">
      <c r="B1700" s="324"/>
      <c r="C1700" s="325"/>
      <c r="D1700" s="326"/>
      <c r="E1700" s="326"/>
      <c r="F1700" s="326"/>
      <c r="G1700" s="326"/>
      <c r="H1700" s="326"/>
      <c r="P1700" s="318"/>
      <c r="Q1700" s="318"/>
      <c r="R1700" s="318"/>
      <c r="S1700" s="318"/>
      <c r="T1700" s="318"/>
      <c r="U1700" s="318"/>
      <c r="V1700" s="318"/>
      <c r="W1700" s="318"/>
      <c r="X1700" s="318"/>
      <c r="Y1700" s="318"/>
      <c r="Z1700" s="318"/>
      <c r="AA1700" s="318"/>
      <c r="AB1700" s="318"/>
      <c r="AC1700" s="318"/>
      <c r="AD1700" s="318"/>
    </row>
    <row r="1701" spans="2:30" s="323" customFormat="1" ht="12" customHeight="1">
      <c r="B1701" s="324"/>
      <c r="C1701" s="325"/>
      <c r="D1701" s="326"/>
      <c r="E1701" s="326"/>
      <c r="F1701" s="326"/>
      <c r="G1701" s="326"/>
      <c r="H1701" s="326"/>
      <c r="P1701" s="318"/>
      <c r="Q1701" s="318"/>
      <c r="R1701" s="318"/>
      <c r="S1701" s="318"/>
      <c r="T1701" s="318"/>
      <c r="U1701" s="318"/>
      <c r="V1701" s="318"/>
      <c r="W1701" s="318"/>
      <c r="X1701" s="318"/>
      <c r="Y1701" s="318"/>
      <c r="Z1701" s="318"/>
      <c r="AA1701" s="318"/>
      <c r="AB1701" s="318"/>
      <c r="AC1701" s="318"/>
      <c r="AD1701" s="318"/>
    </row>
    <row r="1702" spans="2:30" s="323" customFormat="1" ht="12" customHeight="1">
      <c r="B1702" s="324"/>
      <c r="C1702" s="325"/>
      <c r="D1702" s="326"/>
      <c r="E1702" s="326"/>
      <c r="F1702" s="326"/>
      <c r="G1702" s="326"/>
      <c r="H1702" s="326"/>
      <c r="P1702" s="318"/>
      <c r="Q1702" s="318"/>
      <c r="R1702" s="318"/>
      <c r="S1702" s="318"/>
      <c r="T1702" s="318"/>
      <c r="U1702" s="318"/>
      <c r="V1702" s="318"/>
      <c r="W1702" s="318"/>
      <c r="X1702" s="318"/>
      <c r="Y1702" s="318"/>
      <c r="Z1702" s="318"/>
      <c r="AA1702" s="318"/>
      <c r="AB1702" s="318"/>
      <c r="AC1702" s="318"/>
      <c r="AD1702" s="318"/>
    </row>
    <row r="1703" spans="2:30" s="323" customFormat="1" ht="12" customHeight="1">
      <c r="B1703" s="324"/>
      <c r="C1703" s="325"/>
      <c r="D1703" s="326"/>
      <c r="E1703" s="326"/>
      <c r="F1703" s="326"/>
      <c r="G1703" s="326"/>
      <c r="H1703" s="326"/>
      <c r="P1703" s="318"/>
      <c r="Q1703" s="318"/>
      <c r="R1703" s="318"/>
      <c r="S1703" s="318"/>
      <c r="T1703" s="318"/>
      <c r="U1703" s="318"/>
      <c r="V1703" s="318"/>
      <c r="W1703" s="318"/>
      <c r="X1703" s="318"/>
      <c r="Y1703" s="318"/>
      <c r="Z1703" s="318"/>
      <c r="AA1703" s="318"/>
      <c r="AB1703" s="318"/>
      <c r="AC1703" s="318"/>
      <c r="AD1703" s="318"/>
    </row>
    <row r="1704" spans="2:30" s="323" customFormat="1" ht="12" customHeight="1">
      <c r="B1704" s="324"/>
      <c r="C1704" s="325"/>
      <c r="D1704" s="326"/>
      <c r="E1704" s="326"/>
      <c r="F1704" s="326"/>
      <c r="G1704" s="326"/>
      <c r="H1704" s="326"/>
      <c r="P1704" s="318"/>
      <c r="Q1704" s="318"/>
      <c r="R1704" s="318"/>
      <c r="S1704" s="318"/>
      <c r="T1704" s="318"/>
      <c r="U1704" s="318"/>
      <c r="V1704" s="318"/>
      <c r="W1704" s="318"/>
      <c r="X1704" s="318"/>
      <c r="Y1704" s="318"/>
      <c r="Z1704" s="318"/>
      <c r="AA1704" s="318"/>
      <c r="AB1704" s="318"/>
      <c r="AC1704" s="318"/>
      <c r="AD1704" s="318"/>
    </row>
    <row r="1705" spans="2:30" s="323" customFormat="1" ht="12" customHeight="1">
      <c r="B1705" s="324"/>
      <c r="C1705" s="325"/>
      <c r="D1705" s="326"/>
      <c r="E1705" s="326"/>
      <c r="F1705" s="326"/>
      <c r="G1705" s="326"/>
      <c r="H1705" s="326"/>
      <c r="P1705" s="318"/>
      <c r="Q1705" s="318"/>
      <c r="R1705" s="318"/>
      <c r="S1705" s="318"/>
      <c r="T1705" s="318"/>
      <c r="U1705" s="318"/>
      <c r="V1705" s="318"/>
      <c r="W1705" s="318"/>
      <c r="X1705" s="318"/>
      <c r="Y1705" s="318"/>
      <c r="Z1705" s="318"/>
      <c r="AA1705" s="318"/>
      <c r="AB1705" s="318"/>
      <c r="AC1705" s="318"/>
      <c r="AD1705" s="318"/>
    </row>
    <row r="1706" spans="2:30" s="323" customFormat="1" ht="12" customHeight="1">
      <c r="B1706" s="324"/>
      <c r="C1706" s="325"/>
      <c r="D1706" s="326"/>
      <c r="E1706" s="326"/>
      <c r="F1706" s="326"/>
      <c r="G1706" s="326"/>
      <c r="H1706" s="326"/>
      <c r="P1706" s="318"/>
      <c r="Q1706" s="318"/>
      <c r="R1706" s="318"/>
      <c r="S1706" s="318"/>
      <c r="T1706" s="318"/>
      <c r="U1706" s="318"/>
      <c r="V1706" s="318"/>
      <c r="W1706" s="318"/>
      <c r="X1706" s="318"/>
      <c r="Y1706" s="318"/>
      <c r="Z1706" s="318"/>
      <c r="AA1706" s="318"/>
      <c r="AB1706" s="318"/>
      <c r="AC1706" s="318"/>
      <c r="AD1706" s="318"/>
    </row>
    <row r="1707" spans="2:30" s="323" customFormat="1" ht="12" customHeight="1">
      <c r="B1707" s="324"/>
      <c r="C1707" s="325"/>
      <c r="D1707" s="326"/>
      <c r="E1707" s="326"/>
      <c r="F1707" s="326"/>
      <c r="G1707" s="326"/>
      <c r="H1707" s="326"/>
      <c r="P1707" s="318"/>
      <c r="Q1707" s="318"/>
      <c r="R1707" s="318"/>
      <c r="S1707" s="318"/>
      <c r="T1707" s="318"/>
      <c r="U1707" s="318"/>
      <c r="V1707" s="318"/>
      <c r="W1707" s="318"/>
      <c r="X1707" s="318"/>
      <c r="Y1707" s="318"/>
      <c r="Z1707" s="318"/>
      <c r="AA1707" s="318"/>
      <c r="AB1707" s="318"/>
      <c r="AC1707" s="318"/>
      <c r="AD1707" s="318"/>
    </row>
    <row r="1708" spans="2:30" s="323" customFormat="1" ht="12" customHeight="1">
      <c r="B1708" s="324"/>
      <c r="C1708" s="325"/>
      <c r="D1708" s="326"/>
      <c r="E1708" s="326"/>
      <c r="F1708" s="326"/>
      <c r="G1708" s="326"/>
      <c r="H1708" s="326"/>
      <c r="P1708" s="318"/>
      <c r="Q1708" s="318"/>
      <c r="R1708" s="318"/>
      <c r="S1708" s="318"/>
      <c r="T1708" s="318"/>
      <c r="U1708" s="318"/>
      <c r="V1708" s="318"/>
      <c r="W1708" s="318"/>
      <c r="X1708" s="318"/>
      <c r="Y1708" s="318"/>
      <c r="Z1708" s="318"/>
      <c r="AA1708" s="318"/>
      <c r="AB1708" s="318"/>
      <c r="AC1708" s="318"/>
      <c r="AD1708" s="318"/>
    </row>
    <row r="1709" spans="2:30" s="323" customFormat="1" ht="12" customHeight="1">
      <c r="B1709" s="324"/>
      <c r="C1709" s="325"/>
      <c r="D1709" s="326"/>
      <c r="E1709" s="326"/>
      <c r="F1709" s="326"/>
      <c r="G1709" s="326"/>
      <c r="H1709" s="326"/>
      <c r="P1709" s="318"/>
      <c r="Q1709" s="318"/>
      <c r="R1709" s="318"/>
      <c r="S1709" s="318"/>
      <c r="T1709" s="318"/>
      <c r="U1709" s="318"/>
      <c r="V1709" s="318"/>
      <c r="W1709" s="318"/>
      <c r="X1709" s="318"/>
      <c r="Y1709" s="318"/>
      <c r="Z1709" s="318"/>
      <c r="AA1709" s="318"/>
      <c r="AB1709" s="318"/>
      <c r="AC1709" s="318"/>
      <c r="AD1709" s="318"/>
    </row>
    <row r="1710" spans="2:30" s="323" customFormat="1" ht="12" customHeight="1">
      <c r="B1710" s="324"/>
      <c r="C1710" s="325"/>
      <c r="D1710" s="326"/>
      <c r="E1710" s="326"/>
      <c r="F1710" s="326"/>
      <c r="G1710" s="326"/>
      <c r="H1710" s="326"/>
      <c r="P1710" s="318"/>
      <c r="Q1710" s="318"/>
      <c r="R1710" s="318"/>
      <c r="S1710" s="318"/>
      <c r="T1710" s="318"/>
      <c r="U1710" s="318"/>
      <c r="V1710" s="318"/>
      <c r="W1710" s="318"/>
      <c r="X1710" s="318"/>
      <c r="Y1710" s="318"/>
      <c r="Z1710" s="318"/>
      <c r="AA1710" s="318"/>
      <c r="AB1710" s="318"/>
      <c r="AC1710" s="318"/>
      <c r="AD1710" s="318"/>
    </row>
    <row r="1711" spans="2:30" s="323" customFormat="1" ht="12" customHeight="1">
      <c r="B1711" s="324"/>
      <c r="C1711" s="325"/>
      <c r="D1711" s="326"/>
      <c r="E1711" s="326"/>
      <c r="F1711" s="326"/>
      <c r="G1711" s="326"/>
      <c r="H1711" s="326"/>
      <c r="P1711" s="318"/>
      <c r="Q1711" s="318"/>
      <c r="R1711" s="318"/>
      <c r="S1711" s="318"/>
      <c r="T1711" s="318"/>
      <c r="U1711" s="318"/>
      <c r="V1711" s="318"/>
      <c r="W1711" s="318"/>
      <c r="X1711" s="318"/>
      <c r="Y1711" s="318"/>
      <c r="Z1711" s="318"/>
      <c r="AA1711" s="318"/>
      <c r="AB1711" s="318"/>
      <c r="AC1711" s="318"/>
      <c r="AD1711" s="318"/>
    </row>
    <row r="1712" spans="2:30" s="323" customFormat="1" ht="12" customHeight="1">
      <c r="B1712" s="324"/>
      <c r="C1712" s="325"/>
      <c r="D1712" s="326"/>
      <c r="E1712" s="326"/>
      <c r="F1712" s="326"/>
      <c r="G1712" s="326"/>
      <c r="H1712" s="326"/>
      <c r="P1712" s="318"/>
      <c r="Q1712" s="318"/>
      <c r="R1712" s="318"/>
      <c r="S1712" s="318"/>
      <c r="T1712" s="318"/>
      <c r="U1712" s="318"/>
      <c r="V1712" s="318"/>
      <c r="W1712" s="318"/>
      <c r="X1712" s="318"/>
      <c r="Y1712" s="318"/>
      <c r="Z1712" s="318"/>
      <c r="AA1712" s="318"/>
      <c r="AB1712" s="318"/>
      <c r="AC1712" s="318"/>
      <c r="AD1712" s="318"/>
    </row>
    <row r="1713" spans="2:30" s="323" customFormat="1" ht="12" customHeight="1">
      <c r="B1713" s="324"/>
      <c r="C1713" s="325"/>
      <c r="D1713" s="326"/>
      <c r="E1713" s="326"/>
      <c r="F1713" s="326"/>
      <c r="G1713" s="326"/>
      <c r="H1713" s="326"/>
      <c r="P1713" s="318"/>
      <c r="Q1713" s="318"/>
      <c r="R1713" s="318"/>
      <c r="S1713" s="318"/>
      <c r="T1713" s="318"/>
      <c r="U1713" s="318"/>
      <c r="V1713" s="318"/>
      <c r="W1713" s="318"/>
      <c r="X1713" s="318"/>
      <c r="Y1713" s="318"/>
      <c r="Z1713" s="318"/>
      <c r="AA1713" s="318"/>
      <c r="AB1713" s="318"/>
      <c r="AC1713" s="318"/>
      <c r="AD1713" s="318"/>
    </row>
    <row r="1714" spans="2:30" s="323" customFormat="1" ht="12" customHeight="1">
      <c r="B1714" s="324"/>
      <c r="C1714" s="325"/>
      <c r="D1714" s="326"/>
      <c r="E1714" s="326"/>
      <c r="F1714" s="326"/>
      <c r="G1714" s="326"/>
      <c r="H1714" s="326"/>
      <c r="P1714" s="318"/>
      <c r="Q1714" s="318"/>
      <c r="R1714" s="318"/>
      <c r="S1714" s="318"/>
      <c r="T1714" s="318"/>
      <c r="U1714" s="318"/>
      <c r="V1714" s="318"/>
      <c r="W1714" s="318"/>
      <c r="X1714" s="318"/>
      <c r="Y1714" s="318"/>
      <c r="Z1714" s="318"/>
      <c r="AA1714" s="318"/>
      <c r="AB1714" s="318"/>
      <c r="AC1714" s="318"/>
      <c r="AD1714" s="318"/>
    </row>
    <row r="1715" spans="2:30" s="323" customFormat="1" ht="12" customHeight="1">
      <c r="B1715" s="324"/>
      <c r="C1715" s="325"/>
      <c r="D1715" s="326"/>
      <c r="E1715" s="326"/>
      <c r="F1715" s="326"/>
      <c r="G1715" s="326"/>
      <c r="H1715" s="326"/>
      <c r="P1715" s="318"/>
      <c r="Q1715" s="318"/>
      <c r="R1715" s="318"/>
      <c r="S1715" s="318"/>
      <c r="T1715" s="318"/>
      <c r="U1715" s="318"/>
      <c r="V1715" s="318"/>
      <c r="W1715" s="318"/>
      <c r="X1715" s="318"/>
      <c r="Y1715" s="318"/>
      <c r="Z1715" s="318"/>
      <c r="AA1715" s="318"/>
      <c r="AB1715" s="318"/>
      <c r="AC1715" s="318"/>
      <c r="AD1715" s="318"/>
    </row>
    <row r="1716" spans="2:30" s="323" customFormat="1" ht="12" customHeight="1">
      <c r="B1716" s="324"/>
      <c r="C1716" s="325"/>
      <c r="D1716" s="326"/>
      <c r="E1716" s="326"/>
      <c r="F1716" s="326"/>
      <c r="G1716" s="326"/>
      <c r="H1716" s="326"/>
      <c r="P1716" s="318"/>
      <c r="Q1716" s="318"/>
      <c r="R1716" s="318"/>
      <c r="S1716" s="318"/>
      <c r="T1716" s="318"/>
      <c r="U1716" s="318"/>
      <c r="V1716" s="318"/>
      <c r="W1716" s="318"/>
      <c r="X1716" s="318"/>
      <c r="Y1716" s="318"/>
      <c r="Z1716" s="318"/>
      <c r="AA1716" s="318"/>
      <c r="AB1716" s="318"/>
      <c r="AC1716" s="318"/>
      <c r="AD1716" s="318"/>
    </row>
    <row r="1717" spans="2:30" s="323" customFormat="1" ht="12" customHeight="1">
      <c r="B1717" s="324"/>
      <c r="C1717" s="325"/>
      <c r="D1717" s="326"/>
      <c r="E1717" s="326"/>
      <c r="F1717" s="326"/>
      <c r="G1717" s="326"/>
      <c r="H1717" s="326"/>
      <c r="P1717" s="318"/>
      <c r="Q1717" s="318"/>
      <c r="R1717" s="318"/>
      <c r="S1717" s="318"/>
      <c r="T1717" s="318"/>
      <c r="U1717" s="318"/>
      <c r="V1717" s="318"/>
      <c r="W1717" s="318"/>
      <c r="X1717" s="318"/>
      <c r="Y1717" s="318"/>
      <c r="Z1717" s="318"/>
      <c r="AA1717" s="318"/>
      <c r="AB1717" s="318"/>
      <c r="AC1717" s="318"/>
      <c r="AD1717" s="318"/>
    </row>
    <row r="1718" spans="2:30" s="323" customFormat="1" ht="12" customHeight="1">
      <c r="B1718" s="324"/>
      <c r="C1718" s="325"/>
      <c r="D1718" s="326"/>
      <c r="E1718" s="326"/>
      <c r="F1718" s="326"/>
      <c r="G1718" s="326"/>
      <c r="H1718" s="326"/>
      <c r="P1718" s="318"/>
      <c r="Q1718" s="318"/>
      <c r="R1718" s="318"/>
      <c r="S1718" s="318"/>
      <c r="T1718" s="318"/>
      <c r="U1718" s="318"/>
      <c r="V1718" s="318"/>
      <c r="W1718" s="318"/>
      <c r="X1718" s="318"/>
      <c r="Y1718" s="318"/>
      <c r="Z1718" s="318"/>
      <c r="AA1718" s="318"/>
      <c r="AB1718" s="318"/>
      <c r="AC1718" s="318"/>
      <c r="AD1718" s="318"/>
    </row>
    <row r="1719" spans="2:30" s="323" customFormat="1" ht="12" customHeight="1">
      <c r="B1719" s="324"/>
      <c r="C1719" s="325"/>
      <c r="D1719" s="326"/>
      <c r="E1719" s="326"/>
      <c r="F1719" s="326"/>
      <c r="G1719" s="326"/>
      <c r="H1719" s="326"/>
      <c r="P1719" s="318"/>
      <c r="Q1719" s="318"/>
      <c r="R1719" s="318"/>
      <c r="S1719" s="318"/>
      <c r="T1719" s="318"/>
      <c r="U1719" s="318"/>
      <c r="V1719" s="318"/>
      <c r="W1719" s="318"/>
      <c r="X1719" s="318"/>
      <c r="Y1719" s="318"/>
      <c r="Z1719" s="318"/>
      <c r="AA1719" s="318"/>
      <c r="AB1719" s="318"/>
      <c r="AC1719" s="318"/>
      <c r="AD1719" s="318"/>
    </row>
    <row r="1720" spans="2:30" s="323" customFormat="1" ht="12" customHeight="1">
      <c r="B1720" s="324"/>
      <c r="C1720" s="325"/>
      <c r="D1720" s="326"/>
      <c r="E1720" s="326"/>
      <c r="F1720" s="326"/>
      <c r="G1720" s="326"/>
      <c r="H1720" s="326"/>
      <c r="P1720" s="318"/>
      <c r="Q1720" s="318"/>
      <c r="R1720" s="318"/>
      <c r="S1720" s="318"/>
      <c r="T1720" s="318"/>
      <c r="U1720" s="318"/>
      <c r="V1720" s="318"/>
      <c r="W1720" s="318"/>
      <c r="X1720" s="318"/>
      <c r="Y1720" s="318"/>
      <c r="Z1720" s="318"/>
      <c r="AA1720" s="318"/>
      <c r="AB1720" s="318"/>
      <c r="AC1720" s="318"/>
      <c r="AD1720" s="318"/>
    </row>
    <row r="1721" spans="2:30" s="323" customFormat="1" ht="12" customHeight="1">
      <c r="B1721" s="324"/>
      <c r="C1721" s="325"/>
      <c r="D1721" s="326"/>
      <c r="E1721" s="326"/>
      <c r="F1721" s="326"/>
      <c r="G1721" s="326"/>
      <c r="H1721" s="326"/>
      <c r="P1721" s="318"/>
      <c r="Q1721" s="318"/>
      <c r="R1721" s="318"/>
      <c r="S1721" s="318"/>
      <c r="T1721" s="318"/>
      <c r="U1721" s="318"/>
      <c r="V1721" s="318"/>
      <c r="W1721" s="318"/>
      <c r="X1721" s="318"/>
      <c r="Y1721" s="318"/>
      <c r="Z1721" s="318"/>
      <c r="AA1721" s="318"/>
      <c r="AB1721" s="318"/>
      <c r="AC1721" s="318"/>
      <c r="AD1721" s="318"/>
    </row>
    <row r="1722" spans="2:30" s="323" customFormat="1" ht="12" customHeight="1">
      <c r="B1722" s="324"/>
      <c r="C1722" s="325"/>
      <c r="D1722" s="326"/>
      <c r="E1722" s="326"/>
      <c r="F1722" s="326"/>
      <c r="G1722" s="326"/>
      <c r="H1722" s="326"/>
      <c r="P1722" s="318"/>
      <c r="Q1722" s="318"/>
      <c r="R1722" s="318"/>
      <c r="S1722" s="318"/>
      <c r="T1722" s="318"/>
      <c r="U1722" s="318"/>
      <c r="V1722" s="318"/>
      <c r="W1722" s="318"/>
      <c r="X1722" s="318"/>
      <c r="Y1722" s="318"/>
      <c r="Z1722" s="318"/>
      <c r="AA1722" s="318"/>
      <c r="AB1722" s="318"/>
      <c r="AC1722" s="318"/>
      <c r="AD1722" s="318"/>
    </row>
    <row r="1723" spans="2:30" s="323" customFormat="1" ht="12" customHeight="1">
      <c r="B1723" s="324"/>
      <c r="C1723" s="325"/>
      <c r="D1723" s="326"/>
      <c r="E1723" s="326"/>
      <c r="F1723" s="326"/>
      <c r="G1723" s="326"/>
      <c r="H1723" s="326"/>
      <c r="P1723" s="318"/>
      <c r="Q1723" s="318"/>
      <c r="R1723" s="318"/>
      <c r="S1723" s="318"/>
      <c r="T1723" s="318"/>
      <c r="U1723" s="318"/>
      <c r="V1723" s="318"/>
      <c r="W1723" s="318"/>
      <c r="X1723" s="318"/>
      <c r="Y1723" s="318"/>
      <c r="Z1723" s="318"/>
      <c r="AA1723" s="318"/>
      <c r="AB1723" s="318"/>
      <c r="AC1723" s="318"/>
      <c r="AD1723" s="318"/>
    </row>
    <row r="1724" spans="2:30" s="323" customFormat="1" ht="12" customHeight="1">
      <c r="B1724" s="324"/>
      <c r="C1724" s="325"/>
      <c r="D1724" s="326"/>
      <c r="E1724" s="326"/>
      <c r="F1724" s="326"/>
      <c r="G1724" s="326"/>
      <c r="H1724" s="326"/>
      <c r="P1724" s="318"/>
      <c r="Q1724" s="318"/>
      <c r="R1724" s="318"/>
      <c r="S1724" s="318"/>
      <c r="T1724" s="318"/>
      <c r="U1724" s="318"/>
      <c r="V1724" s="318"/>
      <c r="W1724" s="318"/>
      <c r="X1724" s="318"/>
      <c r="Y1724" s="318"/>
      <c r="Z1724" s="318"/>
      <c r="AA1724" s="318"/>
      <c r="AB1724" s="318"/>
      <c r="AC1724" s="318"/>
      <c r="AD1724" s="318"/>
    </row>
    <row r="1725" spans="2:30" s="323" customFormat="1" ht="12" customHeight="1">
      <c r="B1725" s="324"/>
      <c r="C1725" s="325"/>
      <c r="D1725" s="326"/>
      <c r="E1725" s="326"/>
      <c r="F1725" s="326"/>
      <c r="G1725" s="326"/>
      <c r="H1725" s="326"/>
      <c r="P1725" s="318"/>
      <c r="Q1725" s="318"/>
      <c r="R1725" s="318"/>
      <c r="S1725" s="318"/>
      <c r="T1725" s="318"/>
      <c r="U1725" s="318"/>
      <c r="V1725" s="318"/>
      <c r="W1725" s="318"/>
      <c r="X1725" s="318"/>
      <c r="Y1725" s="318"/>
      <c r="Z1725" s="318"/>
      <c r="AA1725" s="318"/>
      <c r="AB1725" s="318"/>
      <c r="AC1725" s="318"/>
      <c r="AD1725" s="318"/>
    </row>
    <row r="1726" spans="2:30" s="323" customFormat="1" ht="12" customHeight="1">
      <c r="B1726" s="324"/>
      <c r="C1726" s="325"/>
      <c r="D1726" s="326"/>
      <c r="E1726" s="326"/>
      <c r="F1726" s="326"/>
      <c r="G1726" s="326"/>
      <c r="H1726" s="326"/>
      <c r="P1726" s="318"/>
      <c r="Q1726" s="318"/>
      <c r="R1726" s="318"/>
      <c r="S1726" s="318"/>
      <c r="T1726" s="318"/>
      <c r="U1726" s="318"/>
      <c r="V1726" s="318"/>
      <c r="W1726" s="318"/>
      <c r="X1726" s="318"/>
      <c r="Y1726" s="318"/>
      <c r="Z1726" s="318"/>
      <c r="AA1726" s="318"/>
      <c r="AB1726" s="318"/>
      <c r="AC1726" s="318"/>
      <c r="AD1726" s="318"/>
    </row>
    <row r="1727" spans="2:30" s="323" customFormat="1" ht="12" customHeight="1">
      <c r="B1727" s="324"/>
      <c r="C1727" s="325"/>
      <c r="D1727" s="326"/>
      <c r="E1727" s="326"/>
      <c r="F1727" s="326"/>
      <c r="G1727" s="326"/>
      <c r="H1727" s="326"/>
      <c r="P1727" s="318"/>
      <c r="Q1727" s="318"/>
      <c r="R1727" s="318"/>
      <c r="S1727" s="318"/>
      <c r="T1727" s="318"/>
      <c r="U1727" s="318"/>
      <c r="V1727" s="318"/>
      <c r="W1727" s="318"/>
      <c r="X1727" s="318"/>
      <c r="Y1727" s="318"/>
      <c r="Z1727" s="318"/>
      <c r="AA1727" s="318"/>
      <c r="AB1727" s="318"/>
      <c r="AC1727" s="318"/>
      <c r="AD1727" s="318"/>
    </row>
    <row r="1728" spans="2:30" s="323" customFormat="1" ht="12" customHeight="1">
      <c r="B1728" s="324"/>
      <c r="C1728" s="325"/>
      <c r="D1728" s="326"/>
      <c r="E1728" s="326"/>
      <c r="F1728" s="326"/>
      <c r="G1728" s="326"/>
      <c r="H1728" s="326"/>
      <c r="P1728" s="318"/>
      <c r="Q1728" s="318"/>
      <c r="R1728" s="318"/>
      <c r="S1728" s="318"/>
      <c r="T1728" s="318"/>
      <c r="U1728" s="318"/>
      <c r="V1728" s="318"/>
      <c r="W1728" s="318"/>
      <c r="X1728" s="318"/>
      <c r="Y1728" s="318"/>
      <c r="Z1728" s="318"/>
      <c r="AA1728" s="318"/>
      <c r="AB1728" s="318"/>
      <c r="AC1728" s="318"/>
      <c r="AD1728" s="318"/>
    </row>
    <row r="1729" spans="2:30" s="323" customFormat="1" ht="12" customHeight="1">
      <c r="B1729" s="324"/>
      <c r="C1729" s="325"/>
      <c r="D1729" s="326"/>
      <c r="E1729" s="326"/>
      <c r="F1729" s="326"/>
      <c r="G1729" s="326"/>
      <c r="H1729" s="326"/>
      <c r="P1729" s="318"/>
      <c r="Q1729" s="318"/>
      <c r="R1729" s="318"/>
      <c r="S1729" s="318"/>
      <c r="T1729" s="318"/>
      <c r="U1729" s="318"/>
      <c r="V1729" s="318"/>
      <c r="W1729" s="318"/>
      <c r="X1729" s="318"/>
      <c r="Y1729" s="318"/>
      <c r="Z1729" s="318"/>
      <c r="AA1729" s="318"/>
      <c r="AB1729" s="318"/>
      <c r="AC1729" s="318"/>
      <c r="AD1729" s="318"/>
    </row>
    <row r="1730" spans="2:30" s="323" customFormat="1" ht="12" customHeight="1">
      <c r="B1730" s="324"/>
      <c r="C1730" s="325"/>
      <c r="D1730" s="326"/>
      <c r="E1730" s="326"/>
      <c r="F1730" s="326"/>
      <c r="G1730" s="326"/>
      <c r="H1730" s="326"/>
      <c r="P1730" s="318"/>
      <c r="Q1730" s="318"/>
      <c r="R1730" s="318"/>
      <c r="S1730" s="318"/>
      <c r="T1730" s="318"/>
      <c r="U1730" s="318"/>
      <c r="V1730" s="318"/>
      <c r="W1730" s="318"/>
      <c r="X1730" s="318"/>
      <c r="Y1730" s="318"/>
      <c r="Z1730" s="318"/>
      <c r="AA1730" s="318"/>
      <c r="AB1730" s="318"/>
      <c r="AC1730" s="318"/>
      <c r="AD1730" s="318"/>
    </row>
    <row r="1731" spans="2:30" s="323" customFormat="1" ht="12" customHeight="1">
      <c r="B1731" s="324"/>
      <c r="C1731" s="325"/>
      <c r="D1731" s="326"/>
      <c r="E1731" s="326"/>
      <c r="F1731" s="326"/>
      <c r="G1731" s="326"/>
      <c r="H1731" s="326"/>
      <c r="P1731" s="318"/>
      <c r="Q1731" s="318"/>
      <c r="R1731" s="318"/>
      <c r="S1731" s="318"/>
      <c r="T1731" s="318"/>
      <c r="U1731" s="318"/>
      <c r="V1731" s="318"/>
      <c r="W1731" s="318"/>
      <c r="X1731" s="318"/>
      <c r="Y1731" s="318"/>
      <c r="Z1731" s="318"/>
      <c r="AA1731" s="318"/>
      <c r="AB1731" s="318"/>
      <c r="AC1731" s="318"/>
      <c r="AD1731" s="318"/>
    </row>
    <row r="1732" spans="2:30" s="323" customFormat="1" ht="12" customHeight="1">
      <c r="B1732" s="324"/>
      <c r="C1732" s="325"/>
      <c r="D1732" s="326"/>
      <c r="E1732" s="326"/>
      <c r="F1732" s="326"/>
      <c r="G1732" s="326"/>
      <c r="H1732" s="326"/>
      <c r="P1732" s="318"/>
      <c r="Q1732" s="318"/>
      <c r="R1732" s="318"/>
      <c r="S1732" s="318"/>
      <c r="T1732" s="318"/>
      <c r="U1732" s="318"/>
      <c r="V1732" s="318"/>
      <c r="W1732" s="318"/>
      <c r="X1732" s="318"/>
      <c r="Y1732" s="318"/>
      <c r="Z1732" s="318"/>
      <c r="AA1732" s="318"/>
      <c r="AB1732" s="318"/>
      <c r="AC1732" s="318"/>
      <c r="AD1732" s="318"/>
    </row>
    <row r="1733" spans="2:30" s="323" customFormat="1" ht="12" customHeight="1">
      <c r="B1733" s="324"/>
      <c r="C1733" s="325"/>
      <c r="D1733" s="326"/>
      <c r="E1733" s="326"/>
      <c r="F1733" s="326"/>
      <c r="G1733" s="326"/>
      <c r="H1733" s="326"/>
      <c r="P1733" s="318"/>
      <c r="Q1733" s="318"/>
      <c r="R1733" s="318"/>
      <c r="S1733" s="318"/>
      <c r="T1733" s="318"/>
      <c r="U1733" s="318"/>
      <c r="V1733" s="318"/>
      <c r="W1733" s="318"/>
      <c r="X1733" s="318"/>
      <c r="Y1733" s="318"/>
      <c r="Z1733" s="318"/>
      <c r="AA1733" s="318"/>
      <c r="AB1733" s="318"/>
      <c r="AC1733" s="318"/>
      <c r="AD1733" s="318"/>
    </row>
    <row r="1734" spans="2:30" s="323" customFormat="1" ht="12" customHeight="1">
      <c r="B1734" s="324"/>
      <c r="C1734" s="325"/>
      <c r="D1734" s="326"/>
      <c r="E1734" s="326"/>
      <c r="F1734" s="326"/>
      <c r="G1734" s="326"/>
      <c r="H1734" s="326"/>
      <c r="P1734" s="318"/>
      <c r="Q1734" s="318"/>
      <c r="R1734" s="318"/>
      <c r="S1734" s="318"/>
      <c r="T1734" s="318"/>
      <c r="U1734" s="318"/>
      <c r="V1734" s="318"/>
      <c r="W1734" s="318"/>
      <c r="X1734" s="318"/>
      <c r="Y1734" s="318"/>
      <c r="Z1734" s="318"/>
      <c r="AA1734" s="318"/>
      <c r="AB1734" s="318"/>
      <c r="AC1734" s="318"/>
      <c r="AD1734" s="318"/>
    </row>
    <row r="1735" spans="2:30" s="323" customFormat="1" ht="12" customHeight="1">
      <c r="B1735" s="324"/>
      <c r="C1735" s="325"/>
      <c r="D1735" s="326"/>
      <c r="E1735" s="326"/>
      <c r="F1735" s="326"/>
      <c r="G1735" s="326"/>
      <c r="H1735" s="326"/>
      <c r="P1735" s="318"/>
      <c r="Q1735" s="318"/>
      <c r="R1735" s="318"/>
      <c r="S1735" s="318"/>
      <c r="T1735" s="318"/>
      <c r="U1735" s="318"/>
      <c r="V1735" s="318"/>
      <c r="W1735" s="318"/>
      <c r="X1735" s="318"/>
      <c r="Y1735" s="318"/>
      <c r="Z1735" s="318"/>
      <c r="AA1735" s="318"/>
      <c r="AB1735" s="318"/>
      <c r="AC1735" s="318"/>
      <c r="AD1735" s="318"/>
    </row>
    <row r="1736" spans="2:30" s="323" customFormat="1" ht="12" customHeight="1">
      <c r="B1736" s="324"/>
      <c r="C1736" s="325"/>
      <c r="D1736" s="326"/>
      <c r="E1736" s="326"/>
      <c r="F1736" s="326"/>
      <c r="G1736" s="326"/>
      <c r="H1736" s="326"/>
      <c r="P1736" s="318"/>
      <c r="Q1736" s="318"/>
      <c r="R1736" s="318"/>
      <c r="S1736" s="318"/>
      <c r="T1736" s="318"/>
      <c r="U1736" s="318"/>
      <c r="V1736" s="318"/>
      <c r="W1736" s="318"/>
      <c r="X1736" s="318"/>
      <c r="Y1736" s="318"/>
      <c r="Z1736" s="318"/>
      <c r="AA1736" s="318"/>
      <c r="AB1736" s="318"/>
      <c r="AC1736" s="318"/>
      <c r="AD1736" s="318"/>
    </row>
    <row r="1737" spans="2:30" s="323" customFormat="1" ht="12" customHeight="1">
      <c r="B1737" s="324"/>
      <c r="C1737" s="325"/>
      <c r="D1737" s="326"/>
      <c r="E1737" s="326"/>
      <c r="F1737" s="326"/>
      <c r="G1737" s="326"/>
      <c r="H1737" s="326"/>
      <c r="P1737" s="318"/>
      <c r="Q1737" s="318"/>
      <c r="R1737" s="318"/>
      <c r="S1737" s="318"/>
      <c r="T1737" s="318"/>
      <c r="U1737" s="318"/>
      <c r="V1737" s="318"/>
      <c r="W1737" s="318"/>
      <c r="X1737" s="318"/>
      <c r="Y1737" s="318"/>
      <c r="Z1737" s="318"/>
      <c r="AA1737" s="318"/>
      <c r="AB1737" s="318"/>
      <c r="AC1737" s="318"/>
      <c r="AD1737" s="318"/>
    </row>
    <row r="1738" spans="2:30" s="323" customFormat="1" ht="12" customHeight="1">
      <c r="B1738" s="324"/>
      <c r="C1738" s="325"/>
      <c r="D1738" s="326"/>
      <c r="E1738" s="326"/>
      <c r="F1738" s="326"/>
      <c r="G1738" s="326"/>
      <c r="H1738" s="326"/>
      <c r="P1738" s="318"/>
      <c r="Q1738" s="318"/>
      <c r="R1738" s="318"/>
      <c r="S1738" s="318"/>
      <c r="T1738" s="318"/>
      <c r="U1738" s="318"/>
      <c r="V1738" s="318"/>
      <c r="W1738" s="318"/>
      <c r="X1738" s="318"/>
      <c r="Y1738" s="318"/>
      <c r="Z1738" s="318"/>
      <c r="AA1738" s="318"/>
      <c r="AB1738" s="318"/>
      <c r="AC1738" s="318"/>
      <c r="AD1738" s="318"/>
    </row>
    <row r="1739" spans="2:30" s="323" customFormat="1" ht="12" customHeight="1">
      <c r="B1739" s="324"/>
      <c r="C1739" s="325"/>
      <c r="D1739" s="326"/>
      <c r="E1739" s="326"/>
      <c r="F1739" s="326"/>
      <c r="G1739" s="326"/>
      <c r="H1739" s="326"/>
      <c r="P1739" s="318"/>
      <c r="Q1739" s="318"/>
      <c r="R1739" s="318"/>
      <c r="S1739" s="318"/>
      <c r="T1739" s="318"/>
      <c r="U1739" s="318"/>
      <c r="V1739" s="318"/>
      <c r="W1739" s="318"/>
      <c r="X1739" s="318"/>
      <c r="Y1739" s="318"/>
      <c r="Z1739" s="318"/>
      <c r="AA1739" s="318"/>
      <c r="AB1739" s="318"/>
      <c r="AC1739" s="318"/>
      <c r="AD1739" s="318"/>
    </row>
    <row r="1740" spans="2:30" s="323" customFormat="1" ht="12" customHeight="1">
      <c r="B1740" s="324"/>
      <c r="C1740" s="325"/>
      <c r="D1740" s="326"/>
      <c r="E1740" s="326"/>
      <c r="F1740" s="326"/>
      <c r="G1740" s="326"/>
      <c r="H1740" s="326"/>
      <c r="P1740" s="318"/>
      <c r="Q1740" s="318"/>
      <c r="R1740" s="318"/>
      <c r="S1740" s="318"/>
      <c r="T1740" s="318"/>
      <c r="U1740" s="318"/>
      <c r="V1740" s="318"/>
      <c r="W1740" s="318"/>
      <c r="X1740" s="318"/>
      <c r="Y1740" s="318"/>
      <c r="Z1740" s="318"/>
      <c r="AA1740" s="318"/>
      <c r="AB1740" s="318"/>
      <c r="AC1740" s="318"/>
      <c r="AD1740" s="318"/>
    </row>
    <row r="1741" spans="2:30" s="323" customFormat="1" ht="12" customHeight="1">
      <c r="B1741" s="324"/>
      <c r="C1741" s="325"/>
      <c r="D1741" s="326"/>
      <c r="E1741" s="326"/>
      <c r="F1741" s="326"/>
      <c r="G1741" s="326"/>
      <c r="H1741" s="326"/>
      <c r="P1741" s="318"/>
      <c r="Q1741" s="318"/>
      <c r="R1741" s="318"/>
      <c r="S1741" s="318"/>
      <c r="T1741" s="318"/>
      <c r="U1741" s="318"/>
      <c r="V1741" s="318"/>
      <c r="W1741" s="318"/>
      <c r="X1741" s="318"/>
      <c r="Y1741" s="318"/>
      <c r="Z1741" s="318"/>
      <c r="AA1741" s="318"/>
      <c r="AB1741" s="318"/>
      <c r="AC1741" s="318"/>
      <c r="AD1741" s="318"/>
    </row>
    <row r="1742" spans="2:30" s="323" customFormat="1" ht="12" customHeight="1">
      <c r="B1742" s="324"/>
      <c r="C1742" s="325"/>
      <c r="D1742" s="326"/>
      <c r="E1742" s="326"/>
      <c r="F1742" s="326"/>
      <c r="G1742" s="326"/>
      <c r="H1742" s="326"/>
      <c r="P1742" s="318"/>
      <c r="Q1742" s="318"/>
      <c r="R1742" s="318"/>
      <c r="S1742" s="318"/>
      <c r="T1742" s="318"/>
      <c r="U1742" s="318"/>
      <c r="V1742" s="318"/>
      <c r="W1742" s="318"/>
      <c r="X1742" s="318"/>
      <c r="Y1742" s="318"/>
      <c r="Z1742" s="318"/>
      <c r="AA1742" s="318"/>
      <c r="AB1742" s="318"/>
      <c r="AC1742" s="318"/>
      <c r="AD1742" s="318"/>
    </row>
    <row r="1743" spans="2:30" s="323" customFormat="1" ht="12" customHeight="1">
      <c r="B1743" s="324"/>
      <c r="C1743" s="325"/>
      <c r="D1743" s="326"/>
      <c r="E1743" s="326"/>
      <c r="F1743" s="326"/>
      <c r="G1743" s="326"/>
      <c r="H1743" s="326"/>
      <c r="P1743" s="318"/>
      <c r="Q1743" s="318"/>
      <c r="R1743" s="318"/>
      <c r="S1743" s="318"/>
      <c r="T1743" s="318"/>
      <c r="U1743" s="318"/>
      <c r="V1743" s="318"/>
      <c r="W1743" s="318"/>
      <c r="X1743" s="318"/>
      <c r="Y1743" s="318"/>
      <c r="Z1743" s="318"/>
      <c r="AA1743" s="318"/>
      <c r="AB1743" s="318"/>
      <c r="AC1743" s="318"/>
      <c r="AD1743" s="318"/>
    </row>
    <row r="1744" spans="2:30" s="323" customFormat="1" ht="12" customHeight="1">
      <c r="B1744" s="324"/>
      <c r="C1744" s="325"/>
      <c r="D1744" s="326"/>
      <c r="E1744" s="326"/>
      <c r="F1744" s="326"/>
      <c r="G1744" s="326"/>
      <c r="H1744" s="326"/>
      <c r="P1744" s="318"/>
      <c r="Q1744" s="318"/>
      <c r="R1744" s="318"/>
      <c r="S1744" s="318"/>
      <c r="T1744" s="318"/>
      <c r="U1744" s="318"/>
      <c r="V1744" s="318"/>
      <c r="W1744" s="318"/>
      <c r="X1744" s="318"/>
      <c r="Y1744" s="318"/>
      <c r="Z1744" s="318"/>
      <c r="AA1744" s="318"/>
      <c r="AB1744" s="318"/>
      <c r="AC1744" s="318"/>
      <c r="AD1744" s="318"/>
    </row>
    <row r="1745" spans="2:30" s="323" customFormat="1" ht="12" customHeight="1">
      <c r="B1745" s="324"/>
      <c r="C1745" s="325"/>
      <c r="D1745" s="326"/>
      <c r="E1745" s="326"/>
      <c r="F1745" s="326"/>
      <c r="G1745" s="326"/>
      <c r="H1745" s="326"/>
      <c r="P1745" s="318"/>
      <c r="Q1745" s="318"/>
      <c r="R1745" s="318"/>
      <c r="S1745" s="318"/>
      <c r="T1745" s="318"/>
      <c r="U1745" s="318"/>
      <c r="V1745" s="318"/>
      <c r="W1745" s="318"/>
      <c r="X1745" s="318"/>
      <c r="Y1745" s="318"/>
      <c r="Z1745" s="318"/>
      <c r="AA1745" s="318"/>
      <c r="AB1745" s="318"/>
      <c r="AC1745" s="318"/>
      <c r="AD1745" s="318"/>
    </row>
    <row r="1746" spans="2:30" s="323" customFormat="1" ht="12" customHeight="1">
      <c r="B1746" s="324"/>
      <c r="C1746" s="325"/>
      <c r="D1746" s="326"/>
      <c r="E1746" s="326"/>
      <c r="F1746" s="326"/>
      <c r="G1746" s="326"/>
      <c r="H1746" s="326"/>
      <c r="P1746" s="318"/>
      <c r="Q1746" s="318"/>
      <c r="R1746" s="318"/>
      <c r="S1746" s="318"/>
      <c r="T1746" s="318"/>
      <c r="U1746" s="318"/>
      <c r="V1746" s="318"/>
      <c r="W1746" s="318"/>
      <c r="X1746" s="318"/>
      <c r="Y1746" s="318"/>
      <c r="Z1746" s="318"/>
      <c r="AA1746" s="318"/>
      <c r="AB1746" s="318"/>
      <c r="AC1746" s="318"/>
      <c r="AD1746" s="318"/>
    </row>
    <row r="1747" spans="2:30" s="323" customFormat="1" ht="12" customHeight="1">
      <c r="B1747" s="324"/>
      <c r="C1747" s="325"/>
      <c r="D1747" s="326"/>
      <c r="E1747" s="326"/>
      <c r="F1747" s="326"/>
      <c r="G1747" s="326"/>
      <c r="H1747" s="326"/>
      <c r="P1747" s="318"/>
      <c r="Q1747" s="318"/>
      <c r="R1747" s="318"/>
      <c r="S1747" s="318"/>
      <c r="T1747" s="318"/>
      <c r="U1747" s="318"/>
      <c r="V1747" s="318"/>
      <c r="W1747" s="318"/>
      <c r="X1747" s="318"/>
      <c r="Y1747" s="318"/>
      <c r="Z1747" s="318"/>
      <c r="AA1747" s="318"/>
      <c r="AB1747" s="318"/>
      <c r="AC1747" s="318"/>
      <c r="AD1747" s="318"/>
    </row>
    <row r="1748" spans="2:30" s="323" customFormat="1" ht="12" customHeight="1">
      <c r="B1748" s="324"/>
      <c r="C1748" s="325"/>
      <c r="D1748" s="326"/>
      <c r="E1748" s="326"/>
      <c r="F1748" s="326"/>
      <c r="G1748" s="326"/>
      <c r="H1748" s="326"/>
      <c r="P1748" s="318"/>
      <c r="Q1748" s="318"/>
      <c r="R1748" s="318"/>
      <c r="S1748" s="318"/>
      <c r="T1748" s="318"/>
      <c r="U1748" s="318"/>
      <c r="V1748" s="318"/>
      <c r="W1748" s="318"/>
      <c r="X1748" s="318"/>
      <c r="Y1748" s="318"/>
      <c r="Z1748" s="318"/>
      <c r="AA1748" s="318"/>
      <c r="AB1748" s="318"/>
      <c r="AC1748" s="318"/>
      <c r="AD1748" s="318"/>
    </row>
    <row r="1749" spans="2:30" s="323" customFormat="1" ht="12" customHeight="1">
      <c r="B1749" s="324"/>
      <c r="C1749" s="325"/>
      <c r="D1749" s="326"/>
      <c r="E1749" s="326"/>
      <c r="F1749" s="326"/>
      <c r="G1749" s="326"/>
      <c r="H1749" s="326"/>
      <c r="P1749" s="318"/>
      <c r="Q1749" s="318"/>
      <c r="R1749" s="318"/>
      <c r="S1749" s="318"/>
      <c r="T1749" s="318"/>
      <c r="U1749" s="318"/>
      <c r="V1749" s="318"/>
      <c r="W1749" s="318"/>
      <c r="X1749" s="318"/>
      <c r="Y1749" s="318"/>
      <c r="Z1749" s="318"/>
      <c r="AA1749" s="318"/>
      <c r="AB1749" s="318"/>
      <c r="AC1749" s="318"/>
      <c r="AD1749" s="318"/>
    </row>
    <row r="1750" spans="2:30" s="323" customFormat="1" ht="12" customHeight="1">
      <c r="B1750" s="324"/>
      <c r="C1750" s="325"/>
      <c r="D1750" s="326"/>
      <c r="E1750" s="326"/>
      <c r="F1750" s="326"/>
      <c r="G1750" s="326"/>
      <c r="H1750" s="326"/>
      <c r="P1750" s="318"/>
      <c r="Q1750" s="318"/>
      <c r="R1750" s="318"/>
      <c r="S1750" s="318"/>
      <c r="T1750" s="318"/>
      <c r="U1750" s="318"/>
      <c r="V1750" s="318"/>
      <c r="W1750" s="318"/>
      <c r="X1750" s="318"/>
      <c r="Y1750" s="318"/>
      <c r="Z1750" s="318"/>
      <c r="AA1750" s="318"/>
      <c r="AB1750" s="318"/>
      <c r="AC1750" s="318"/>
      <c r="AD1750" s="318"/>
    </row>
    <row r="1751" spans="2:30" s="323" customFormat="1" ht="12" customHeight="1">
      <c r="B1751" s="324"/>
      <c r="C1751" s="325"/>
      <c r="D1751" s="326"/>
      <c r="E1751" s="326"/>
      <c r="F1751" s="326"/>
      <c r="G1751" s="326"/>
      <c r="H1751" s="326"/>
      <c r="P1751" s="318"/>
      <c r="Q1751" s="318"/>
      <c r="R1751" s="318"/>
      <c r="S1751" s="318"/>
      <c r="T1751" s="318"/>
      <c r="U1751" s="318"/>
      <c r="V1751" s="318"/>
      <c r="W1751" s="318"/>
      <c r="X1751" s="318"/>
      <c r="Y1751" s="318"/>
      <c r="Z1751" s="318"/>
      <c r="AA1751" s="318"/>
      <c r="AB1751" s="318"/>
      <c r="AC1751" s="318"/>
      <c r="AD1751" s="318"/>
    </row>
    <row r="1752" spans="2:30" s="323" customFormat="1" ht="12" customHeight="1">
      <c r="B1752" s="324"/>
      <c r="C1752" s="325"/>
      <c r="D1752" s="326"/>
      <c r="E1752" s="326"/>
      <c r="F1752" s="326"/>
      <c r="G1752" s="326"/>
      <c r="H1752" s="326"/>
      <c r="P1752" s="318"/>
      <c r="Q1752" s="318"/>
      <c r="R1752" s="318"/>
      <c r="S1752" s="318"/>
      <c r="T1752" s="318"/>
      <c r="U1752" s="318"/>
      <c r="V1752" s="318"/>
      <c r="W1752" s="318"/>
      <c r="X1752" s="318"/>
      <c r="Y1752" s="318"/>
      <c r="Z1752" s="318"/>
      <c r="AA1752" s="318"/>
      <c r="AB1752" s="318"/>
      <c r="AC1752" s="318"/>
      <c r="AD1752" s="318"/>
    </row>
    <row r="1753" spans="2:30" s="323" customFormat="1" ht="12" customHeight="1">
      <c r="B1753" s="324"/>
      <c r="C1753" s="325"/>
      <c r="D1753" s="326"/>
      <c r="E1753" s="326"/>
      <c r="F1753" s="326"/>
      <c r="G1753" s="326"/>
      <c r="H1753" s="326"/>
      <c r="P1753" s="318"/>
      <c r="Q1753" s="318"/>
      <c r="R1753" s="318"/>
      <c r="S1753" s="318"/>
      <c r="T1753" s="318"/>
      <c r="U1753" s="318"/>
      <c r="V1753" s="318"/>
      <c r="W1753" s="318"/>
      <c r="X1753" s="318"/>
      <c r="Y1753" s="318"/>
      <c r="Z1753" s="318"/>
      <c r="AA1753" s="318"/>
      <c r="AB1753" s="318"/>
      <c r="AC1753" s="318"/>
      <c r="AD1753" s="318"/>
    </row>
    <row r="1754" spans="2:30" s="323" customFormat="1" ht="12" customHeight="1">
      <c r="B1754" s="324"/>
      <c r="C1754" s="325"/>
      <c r="D1754" s="326"/>
      <c r="E1754" s="326"/>
      <c r="F1754" s="326"/>
      <c r="G1754" s="326"/>
      <c r="H1754" s="326"/>
      <c r="P1754" s="318"/>
      <c r="Q1754" s="318"/>
      <c r="R1754" s="318"/>
      <c r="S1754" s="318"/>
      <c r="T1754" s="318"/>
      <c r="U1754" s="318"/>
      <c r="V1754" s="318"/>
      <c r="W1754" s="318"/>
      <c r="X1754" s="318"/>
      <c r="Y1754" s="318"/>
      <c r="Z1754" s="318"/>
      <c r="AA1754" s="318"/>
      <c r="AB1754" s="318"/>
      <c r="AC1754" s="318"/>
      <c r="AD1754" s="318"/>
    </row>
    <row r="1755" spans="2:30" s="323" customFormat="1" ht="12" customHeight="1">
      <c r="B1755" s="324"/>
      <c r="C1755" s="325"/>
      <c r="D1755" s="326"/>
      <c r="E1755" s="326"/>
      <c r="F1755" s="326"/>
      <c r="G1755" s="326"/>
      <c r="H1755" s="326"/>
      <c r="P1755" s="318"/>
      <c r="Q1755" s="318"/>
      <c r="R1755" s="318"/>
      <c r="S1755" s="318"/>
      <c r="T1755" s="318"/>
      <c r="U1755" s="318"/>
      <c r="V1755" s="318"/>
      <c r="W1755" s="318"/>
      <c r="X1755" s="318"/>
      <c r="Y1755" s="318"/>
      <c r="Z1755" s="318"/>
      <c r="AA1755" s="318"/>
      <c r="AB1755" s="318"/>
      <c r="AC1755" s="318"/>
      <c r="AD1755" s="318"/>
    </row>
    <row r="1756" spans="2:30" s="323" customFormat="1" ht="12" customHeight="1">
      <c r="B1756" s="324"/>
      <c r="C1756" s="325"/>
      <c r="D1756" s="326"/>
      <c r="E1756" s="326"/>
      <c r="F1756" s="326"/>
      <c r="G1756" s="326"/>
      <c r="H1756" s="326"/>
      <c r="P1756" s="318"/>
      <c r="Q1756" s="318"/>
      <c r="R1756" s="318"/>
      <c r="S1756" s="318"/>
      <c r="T1756" s="318"/>
      <c r="U1756" s="318"/>
      <c r="V1756" s="318"/>
      <c r="W1756" s="318"/>
      <c r="X1756" s="318"/>
      <c r="Y1756" s="318"/>
      <c r="Z1756" s="318"/>
      <c r="AA1756" s="318"/>
      <c r="AB1756" s="318"/>
      <c r="AC1756" s="318"/>
      <c r="AD1756" s="318"/>
    </row>
    <row r="1757" spans="2:30" s="323" customFormat="1" ht="12" customHeight="1">
      <c r="B1757" s="324"/>
      <c r="C1757" s="325"/>
      <c r="D1757" s="326"/>
      <c r="E1757" s="326"/>
      <c r="F1757" s="326"/>
      <c r="G1757" s="326"/>
      <c r="H1757" s="326"/>
      <c r="P1757" s="318"/>
      <c r="Q1757" s="318"/>
      <c r="R1757" s="318"/>
      <c r="S1757" s="318"/>
      <c r="T1757" s="318"/>
      <c r="U1757" s="318"/>
      <c r="V1757" s="318"/>
      <c r="W1757" s="318"/>
      <c r="X1757" s="318"/>
      <c r="Y1757" s="318"/>
      <c r="Z1757" s="318"/>
      <c r="AA1757" s="318"/>
      <c r="AB1757" s="318"/>
      <c r="AC1757" s="318"/>
      <c r="AD1757" s="318"/>
    </row>
    <row r="1758" spans="2:30" s="323" customFormat="1" ht="12" customHeight="1">
      <c r="B1758" s="324"/>
      <c r="C1758" s="325"/>
      <c r="D1758" s="326"/>
      <c r="E1758" s="326"/>
      <c r="F1758" s="326"/>
      <c r="G1758" s="326"/>
      <c r="H1758" s="326"/>
      <c r="P1758" s="318"/>
      <c r="Q1758" s="318"/>
      <c r="R1758" s="318"/>
      <c r="S1758" s="318"/>
      <c r="T1758" s="318"/>
      <c r="U1758" s="318"/>
      <c r="V1758" s="318"/>
      <c r="W1758" s="318"/>
      <c r="X1758" s="318"/>
      <c r="Y1758" s="318"/>
      <c r="Z1758" s="318"/>
      <c r="AA1758" s="318"/>
      <c r="AB1758" s="318"/>
      <c r="AC1758" s="318"/>
      <c r="AD1758" s="318"/>
    </row>
    <row r="1759" spans="2:30" s="323" customFormat="1" ht="12" customHeight="1">
      <c r="B1759" s="324"/>
      <c r="C1759" s="325"/>
      <c r="D1759" s="326"/>
      <c r="E1759" s="326"/>
      <c r="F1759" s="326"/>
      <c r="G1759" s="326"/>
      <c r="H1759" s="326"/>
      <c r="P1759" s="318"/>
      <c r="Q1759" s="318"/>
      <c r="R1759" s="318"/>
      <c r="S1759" s="318"/>
      <c r="T1759" s="318"/>
      <c r="U1759" s="318"/>
      <c r="V1759" s="318"/>
      <c r="W1759" s="318"/>
      <c r="X1759" s="318"/>
      <c r="Y1759" s="318"/>
      <c r="Z1759" s="318"/>
      <c r="AA1759" s="318"/>
      <c r="AB1759" s="318"/>
      <c r="AC1759" s="318"/>
      <c r="AD1759" s="318"/>
    </row>
    <row r="1760" spans="2:30" s="323" customFormat="1" ht="12" customHeight="1">
      <c r="B1760" s="324"/>
      <c r="C1760" s="325"/>
      <c r="D1760" s="326"/>
      <c r="E1760" s="326"/>
      <c r="F1760" s="326"/>
      <c r="G1760" s="326"/>
      <c r="H1760" s="326"/>
      <c r="P1760" s="318"/>
      <c r="Q1760" s="318"/>
      <c r="R1760" s="318"/>
      <c r="S1760" s="318"/>
      <c r="T1760" s="318"/>
      <c r="U1760" s="318"/>
      <c r="V1760" s="318"/>
      <c r="W1760" s="318"/>
      <c r="X1760" s="318"/>
      <c r="Y1760" s="318"/>
      <c r="Z1760" s="318"/>
      <c r="AA1760" s="318"/>
      <c r="AB1760" s="318"/>
      <c r="AC1760" s="318"/>
      <c r="AD1760" s="318"/>
    </row>
    <row r="1761" spans="2:30" s="323" customFormat="1" ht="12" customHeight="1">
      <c r="B1761" s="324"/>
      <c r="C1761" s="325"/>
      <c r="D1761" s="326"/>
      <c r="E1761" s="326"/>
      <c r="F1761" s="326"/>
      <c r="G1761" s="326"/>
      <c r="H1761" s="326"/>
      <c r="P1761" s="318"/>
      <c r="Q1761" s="318"/>
      <c r="R1761" s="318"/>
      <c r="S1761" s="318"/>
      <c r="T1761" s="318"/>
      <c r="U1761" s="318"/>
      <c r="V1761" s="318"/>
      <c r="W1761" s="318"/>
      <c r="X1761" s="318"/>
      <c r="Y1761" s="318"/>
      <c r="Z1761" s="318"/>
      <c r="AA1761" s="318"/>
      <c r="AB1761" s="318"/>
      <c r="AC1761" s="318"/>
      <c r="AD1761" s="318"/>
    </row>
    <row r="1762" spans="2:30" s="323" customFormat="1" ht="12" customHeight="1">
      <c r="B1762" s="324"/>
      <c r="C1762" s="325"/>
      <c r="D1762" s="326"/>
      <c r="E1762" s="326"/>
      <c r="F1762" s="326"/>
      <c r="G1762" s="326"/>
      <c r="H1762" s="326"/>
      <c r="P1762" s="318"/>
      <c r="Q1762" s="318"/>
      <c r="R1762" s="318"/>
      <c r="S1762" s="318"/>
      <c r="T1762" s="318"/>
      <c r="U1762" s="318"/>
      <c r="V1762" s="318"/>
      <c r="W1762" s="318"/>
      <c r="X1762" s="318"/>
      <c r="Y1762" s="318"/>
      <c r="Z1762" s="318"/>
      <c r="AA1762" s="318"/>
      <c r="AB1762" s="318"/>
      <c r="AC1762" s="318"/>
      <c r="AD1762" s="318"/>
    </row>
    <row r="1763" spans="2:30" s="323" customFormat="1" ht="12" customHeight="1">
      <c r="B1763" s="324"/>
      <c r="C1763" s="325"/>
      <c r="D1763" s="326"/>
      <c r="E1763" s="326"/>
      <c r="F1763" s="326"/>
      <c r="G1763" s="326"/>
      <c r="H1763" s="326"/>
      <c r="P1763" s="318"/>
      <c r="Q1763" s="318"/>
      <c r="R1763" s="318"/>
      <c r="S1763" s="318"/>
      <c r="T1763" s="318"/>
      <c r="U1763" s="318"/>
      <c r="V1763" s="318"/>
      <c r="W1763" s="318"/>
      <c r="X1763" s="318"/>
      <c r="Y1763" s="318"/>
      <c r="Z1763" s="318"/>
      <c r="AA1763" s="318"/>
      <c r="AB1763" s="318"/>
      <c r="AC1763" s="318"/>
      <c r="AD1763" s="318"/>
    </row>
    <row r="1764" spans="2:30" s="323" customFormat="1" ht="12" customHeight="1">
      <c r="B1764" s="324"/>
      <c r="C1764" s="325"/>
      <c r="D1764" s="326"/>
      <c r="E1764" s="326"/>
      <c r="F1764" s="326"/>
      <c r="G1764" s="326"/>
      <c r="H1764" s="326"/>
      <c r="P1764" s="318"/>
      <c r="Q1764" s="318"/>
      <c r="R1764" s="318"/>
      <c r="S1764" s="318"/>
      <c r="T1764" s="318"/>
      <c r="U1764" s="318"/>
      <c r="V1764" s="318"/>
      <c r="W1764" s="318"/>
      <c r="X1764" s="318"/>
      <c r="Y1764" s="318"/>
      <c r="Z1764" s="318"/>
      <c r="AA1764" s="318"/>
      <c r="AB1764" s="318"/>
      <c r="AC1764" s="318"/>
      <c r="AD1764" s="318"/>
    </row>
    <row r="1765" spans="2:30" s="323" customFormat="1" ht="12" customHeight="1">
      <c r="B1765" s="324"/>
      <c r="C1765" s="325"/>
      <c r="D1765" s="326"/>
      <c r="E1765" s="326"/>
      <c r="F1765" s="326"/>
      <c r="G1765" s="326"/>
      <c r="H1765" s="326"/>
      <c r="P1765" s="318"/>
      <c r="Q1765" s="318"/>
      <c r="R1765" s="318"/>
      <c r="S1765" s="318"/>
      <c r="T1765" s="318"/>
      <c r="U1765" s="318"/>
      <c r="V1765" s="318"/>
      <c r="W1765" s="318"/>
      <c r="X1765" s="318"/>
      <c r="Y1765" s="318"/>
      <c r="Z1765" s="318"/>
      <c r="AA1765" s="318"/>
      <c r="AB1765" s="318"/>
      <c r="AC1765" s="318"/>
      <c r="AD1765" s="318"/>
    </row>
    <row r="1766" spans="2:30" s="323" customFormat="1" ht="12" customHeight="1">
      <c r="B1766" s="324"/>
      <c r="C1766" s="325"/>
      <c r="D1766" s="326"/>
      <c r="E1766" s="326"/>
      <c r="F1766" s="326"/>
      <c r="G1766" s="326"/>
      <c r="H1766" s="326"/>
      <c r="P1766" s="318"/>
      <c r="Q1766" s="318"/>
      <c r="R1766" s="318"/>
      <c r="S1766" s="318"/>
      <c r="T1766" s="318"/>
      <c r="U1766" s="318"/>
      <c r="V1766" s="318"/>
      <c r="W1766" s="318"/>
      <c r="X1766" s="318"/>
      <c r="Y1766" s="318"/>
      <c r="Z1766" s="318"/>
      <c r="AA1766" s="318"/>
      <c r="AB1766" s="318"/>
      <c r="AC1766" s="318"/>
      <c r="AD1766" s="318"/>
    </row>
    <row r="1767" spans="2:30" s="323" customFormat="1" ht="12" customHeight="1">
      <c r="B1767" s="324"/>
      <c r="C1767" s="325"/>
      <c r="D1767" s="326"/>
      <c r="E1767" s="326"/>
      <c r="F1767" s="326"/>
      <c r="G1767" s="326"/>
      <c r="H1767" s="326"/>
      <c r="P1767" s="318"/>
      <c r="Q1767" s="318"/>
      <c r="R1767" s="318"/>
      <c r="S1767" s="318"/>
      <c r="T1767" s="318"/>
      <c r="U1767" s="318"/>
      <c r="V1767" s="318"/>
      <c r="W1767" s="318"/>
      <c r="X1767" s="318"/>
      <c r="Y1767" s="318"/>
      <c r="Z1767" s="318"/>
      <c r="AA1767" s="318"/>
      <c r="AB1767" s="318"/>
      <c r="AC1767" s="318"/>
      <c r="AD1767" s="318"/>
    </row>
    <row r="1768" spans="2:30" s="323" customFormat="1" ht="12" customHeight="1">
      <c r="B1768" s="324"/>
      <c r="C1768" s="325"/>
      <c r="D1768" s="326"/>
      <c r="E1768" s="326"/>
      <c r="F1768" s="326"/>
      <c r="G1768" s="326"/>
      <c r="H1768" s="326"/>
      <c r="P1768" s="318"/>
      <c r="Q1768" s="318"/>
      <c r="R1768" s="318"/>
      <c r="S1768" s="318"/>
      <c r="T1768" s="318"/>
      <c r="U1768" s="318"/>
      <c r="V1768" s="318"/>
      <c r="W1768" s="318"/>
      <c r="X1768" s="318"/>
      <c r="Y1768" s="318"/>
      <c r="Z1768" s="318"/>
      <c r="AA1768" s="318"/>
      <c r="AB1768" s="318"/>
      <c r="AC1768" s="318"/>
      <c r="AD1768" s="318"/>
    </row>
    <row r="1769" spans="2:30" s="323" customFormat="1" ht="12" customHeight="1">
      <c r="B1769" s="324"/>
      <c r="C1769" s="325"/>
      <c r="D1769" s="326"/>
      <c r="E1769" s="326"/>
      <c r="F1769" s="326"/>
      <c r="G1769" s="326"/>
      <c r="H1769" s="326"/>
      <c r="P1769" s="318"/>
      <c r="Q1769" s="318"/>
      <c r="R1769" s="318"/>
      <c r="S1769" s="318"/>
      <c r="T1769" s="318"/>
      <c r="U1769" s="318"/>
      <c r="V1769" s="318"/>
      <c r="W1769" s="318"/>
      <c r="X1769" s="318"/>
      <c r="Y1769" s="318"/>
      <c r="Z1769" s="318"/>
      <c r="AA1769" s="318"/>
      <c r="AB1769" s="318"/>
      <c r="AC1769" s="318"/>
      <c r="AD1769" s="318"/>
    </row>
    <row r="1770" spans="2:30" s="323" customFormat="1" ht="12" customHeight="1">
      <c r="B1770" s="324"/>
      <c r="C1770" s="325"/>
      <c r="D1770" s="326"/>
      <c r="E1770" s="326"/>
      <c r="F1770" s="326"/>
      <c r="G1770" s="326"/>
      <c r="H1770" s="326"/>
      <c r="P1770" s="318"/>
      <c r="Q1770" s="318"/>
      <c r="R1770" s="318"/>
      <c r="S1770" s="318"/>
      <c r="T1770" s="318"/>
      <c r="U1770" s="318"/>
      <c r="V1770" s="318"/>
      <c r="W1770" s="318"/>
      <c r="X1770" s="318"/>
      <c r="Y1770" s="318"/>
      <c r="Z1770" s="318"/>
      <c r="AA1770" s="318"/>
      <c r="AB1770" s="318"/>
      <c r="AC1770" s="318"/>
      <c r="AD1770" s="318"/>
    </row>
    <row r="1771" spans="2:30" s="323" customFormat="1" ht="12" customHeight="1">
      <c r="B1771" s="324"/>
      <c r="C1771" s="325"/>
      <c r="D1771" s="326"/>
      <c r="E1771" s="326"/>
      <c r="F1771" s="326"/>
      <c r="G1771" s="326"/>
      <c r="H1771" s="326"/>
      <c r="P1771" s="318"/>
      <c r="Q1771" s="318"/>
      <c r="R1771" s="318"/>
      <c r="S1771" s="318"/>
      <c r="T1771" s="318"/>
      <c r="U1771" s="318"/>
      <c r="V1771" s="318"/>
      <c r="W1771" s="318"/>
      <c r="X1771" s="318"/>
      <c r="Y1771" s="318"/>
      <c r="Z1771" s="318"/>
      <c r="AA1771" s="318"/>
      <c r="AB1771" s="318"/>
      <c r="AC1771" s="318"/>
      <c r="AD1771" s="318"/>
    </row>
    <row r="1772" spans="2:30" s="323" customFormat="1" ht="12" customHeight="1">
      <c r="B1772" s="324"/>
      <c r="C1772" s="325"/>
      <c r="D1772" s="326"/>
      <c r="E1772" s="326"/>
      <c r="F1772" s="326"/>
      <c r="G1772" s="326"/>
      <c r="H1772" s="326"/>
      <c r="P1772" s="318"/>
      <c r="Q1772" s="318"/>
      <c r="R1772" s="318"/>
      <c r="S1772" s="318"/>
      <c r="T1772" s="318"/>
      <c r="U1772" s="318"/>
      <c r="V1772" s="318"/>
      <c r="W1772" s="318"/>
      <c r="X1772" s="318"/>
      <c r="Y1772" s="318"/>
      <c r="Z1772" s="318"/>
      <c r="AA1772" s="318"/>
      <c r="AB1772" s="318"/>
      <c r="AC1772" s="318"/>
      <c r="AD1772" s="318"/>
    </row>
    <row r="1773" spans="2:30" s="323" customFormat="1" ht="12" customHeight="1">
      <c r="B1773" s="324"/>
      <c r="C1773" s="325"/>
      <c r="D1773" s="326"/>
      <c r="E1773" s="326"/>
      <c r="F1773" s="326"/>
      <c r="G1773" s="326"/>
      <c r="H1773" s="326"/>
      <c r="P1773" s="318"/>
      <c r="Q1773" s="318"/>
      <c r="R1773" s="318"/>
      <c r="S1773" s="318"/>
      <c r="T1773" s="318"/>
      <c r="U1773" s="318"/>
      <c r="V1773" s="318"/>
      <c r="W1773" s="318"/>
      <c r="X1773" s="318"/>
      <c r="Y1773" s="318"/>
      <c r="Z1773" s="318"/>
      <c r="AA1773" s="318"/>
      <c r="AB1773" s="318"/>
      <c r="AC1773" s="318"/>
      <c r="AD1773" s="318"/>
    </row>
    <row r="1774" spans="2:30" s="323" customFormat="1" ht="12" customHeight="1">
      <c r="B1774" s="324"/>
      <c r="C1774" s="325"/>
      <c r="D1774" s="326"/>
      <c r="E1774" s="326"/>
      <c r="F1774" s="326"/>
      <c r="G1774" s="326"/>
      <c r="H1774" s="326"/>
      <c r="P1774" s="318"/>
      <c r="Q1774" s="318"/>
      <c r="R1774" s="318"/>
      <c r="S1774" s="318"/>
      <c r="T1774" s="318"/>
      <c r="U1774" s="318"/>
      <c r="V1774" s="318"/>
      <c r="W1774" s="318"/>
      <c r="X1774" s="318"/>
      <c r="Y1774" s="318"/>
      <c r="Z1774" s="318"/>
      <c r="AA1774" s="318"/>
      <c r="AB1774" s="318"/>
      <c r="AC1774" s="318"/>
      <c r="AD1774" s="318"/>
    </row>
    <row r="1775" spans="2:30" s="323" customFormat="1" ht="12" customHeight="1">
      <c r="B1775" s="324"/>
      <c r="C1775" s="325"/>
      <c r="D1775" s="326"/>
      <c r="E1775" s="326"/>
      <c r="F1775" s="326"/>
      <c r="G1775" s="326"/>
      <c r="H1775" s="326"/>
      <c r="P1775" s="318"/>
      <c r="Q1775" s="318"/>
      <c r="R1775" s="318"/>
      <c r="S1775" s="318"/>
      <c r="T1775" s="318"/>
      <c r="U1775" s="318"/>
      <c r="V1775" s="318"/>
      <c r="W1775" s="318"/>
      <c r="X1775" s="318"/>
      <c r="Y1775" s="318"/>
      <c r="Z1775" s="318"/>
      <c r="AA1775" s="318"/>
      <c r="AB1775" s="318"/>
      <c r="AC1775" s="318"/>
      <c r="AD1775" s="318"/>
    </row>
    <row r="1776" spans="2:30" s="323" customFormat="1" ht="12" customHeight="1">
      <c r="B1776" s="324"/>
      <c r="C1776" s="325"/>
      <c r="D1776" s="326"/>
      <c r="E1776" s="326"/>
      <c r="F1776" s="326"/>
      <c r="G1776" s="326"/>
      <c r="H1776" s="326"/>
      <c r="P1776" s="318"/>
      <c r="Q1776" s="318"/>
      <c r="R1776" s="318"/>
      <c r="S1776" s="318"/>
      <c r="T1776" s="318"/>
      <c r="U1776" s="318"/>
      <c r="V1776" s="318"/>
      <c r="W1776" s="318"/>
      <c r="X1776" s="318"/>
      <c r="Y1776" s="318"/>
      <c r="Z1776" s="318"/>
      <c r="AA1776" s="318"/>
      <c r="AB1776" s="318"/>
      <c r="AC1776" s="318"/>
      <c r="AD1776" s="318"/>
    </row>
    <row r="1777" spans="2:30" s="323" customFormat="1" ht="12" customHeight="1">
      <c r="B1777" s="324"/>
      <c r="C1777" s="325"/>
      <c r="D1777" s="326"/>
      <c r="E1777" s="326"/>
      <c r="F1777" s="326"/>
      <c r="G1777" s="326"/>
      <c r="H1777" s="326"/>
      <c r="P1777" s="318"/>
      <c r="Q1777" s="318"/>
      <c r="R1777" s="318"/>
      <c r="S1777" s="318"/>
      <c r="T1777" s="318"/>
      <c r="U1777" s="318"/>
      <c r="V1777" s="318"/>
      <c r="W1777" s="318"/>
      <c r="X1777" s="318"/>
      <c r="Y1777" s="318"/>
      <c r="Z1777" s="318"/>
      <c r="AA1777" s="318"/>
      <c r="AB1777" s="318"/>
      <c r="AC1777" s="318"/>
      <c r="AD1777" s="318"/>
    </row>
    <row r="1778" spans="2:30" s="323" customFormat="1" ht="12" customHeight="1">
      <c r="B1778" s="324"/>
      <c r="C1778" s="325"/>
      <c r="D1778" s="326"/>
      <c r="E1778" s="326"/>
      <c r="F1778" s="326"/>
      <c r="G1778" s="326"/>
      <c r="H1778" s="326"/>
      <c r="P1778" s="318"/>
      <c r="Q1778" s="318"/>
      <c r="R1778" s="318"/>
      <c r="S1778" s="318"/>
      <c r="T1778" s="318"/>
      <c r="U1778" s="318"/>
      <c r="V1778" s="318"/>
      <c r="W1778" s="318"/>
      <c r="X1778" s="318"/>
      <c r="Y1778" s="318"/>
      <c r="Z1778" s="318"/>
      <c r="AA1778" s="318"/>
      <c r="AB1778" s="318"/>
      <c r="AC1778" s="318"/>
      <c r="AD1778" s="318"/>
    </row>
    <row r="1779" spans="2:30" s="323" customFormat="1" ht="12" customHeight="1">
      <c r="B1779" s="324"/>
      <c r="C1779" s="325"/>
      <c r="D1779" s="326"/>
      <c r="E1779" s="326"/>
      <c r="F1779" s="326"/>
      <c r="G1779" s="326"/>
      <c r="H1779" s="326"/>
      <c r="P1779" s="318"/>
      <c r="Q1779" s="318"/>
      <c r="R1779" s="318"/>
      <c r="S1779" s="318"/>
      <c r="T1779" s="318"/>
      <c r="U1779" s="318"/>
      <c r="V1779" s="318"/>
      <c r="W1779" s="318"/>
      <c r="X1779" s="318"/>
      <c r="Y1779" s="318"/>
      <c r="Z1779" s="318"/>
      <c r="AA1779" s="318"/>
      <c r="AB1779" s="318"/>
      <c r="AC1779" s="318"/>
      <c r="AD1779" s="318"/>
    </row>
    <row r="1780" spans="2:30" s="323" customFormat="1" ht="12" customHeight="1">
      <c r="B1780" s="324"/>
      <c r="C1780" s="325"/>
      <c r="D1780" s="326"/>
      <c r="E1780" s="326"/>
      <c r="F1780" s="326"/>
      <c r="G1780" s="326"/>
      <c r="H1780" s="326"/>
      <c r="P1780" s="318"/>
      <c r="Q1780" s="318"/>
      <c r="R1780" s="318"/>
      <c r="S1780" s="318"/>
      <c r="T1780" s="318"/>
      <c r="U1780" s="318"/>
      <c r="V1780" s="318"/>
      <c r="W1780" s="318"/>
      <c r="X1780" s="318"/>
      <c r="Y1780" s="318"/>
      <c r="Z1780" s="318"/>
      <c r="AA1780" s="318"/>
      <c r="AB1780" s="318"/>
      <c r="AC1780" s="318"/>
      <c r="AD1780" s="318"/>
    </row>
    <row r="1781" spans="2:30" s="323" customFormat="1" ht="12" customHeight="1">
      <c r="B1781" s="324"/>
      <c r="C1781" s="325"/>
      <c r="D1781" s="326"/>
      <c r="E1781" s="326"/>
      <c r="F1781" s="326"/>
      <c r="G1781" s="326"/>
      <c r="H1781" s="326"/>
      <c r="P1781" s="318"/>
      <c r="Q1781" s="318"/>
      <c r="R1781" s="318"/>
      <c r="S1781" s="318"/>
      <c r="T1781" s="318"/>
      <c r="U1781" s="318"/>
      <c r="V1781" s="318"/>
      <c r="W1781" s="318"/>
      <c r="X1781" s="318"/>
      <c r="Y1781" s="318"/>
      <c r="Z1781" s="318"/>
      <c r="AA1781" s="318"/>
      <c r="AB1781" s="318"/>
      <c r="AC1781" s="318"/>
      <c r="AD1781" s="318"/>
    </row>
    <row r="1782" spans="2:30" s="323" customFormat="1" ht="12" customHeight="1">
      <c r="B1782" s="324"/>
      <c r="C1782" s="325"/>
      <c r="D1782" s="326"/>
      <c r="E1782" s="326"/>
      <c r="F1782" s="326"/>
      <c r="G1782" s="326"/>
      <c r="H1782" s="326"/>
      <c r="P1782" s="318"/>
      <c r="Q1782" s="318"/>
      <c r="R1782" s="318"/>
      <c r="S1782" s="318"/>
      <c r="T1782" s="318"/>
      <c r="U1782" s="318"/>
      <c r="V1782" s="318"/>
      <c r="W1782" s="318"/>
      <c r="X1782" s="318"/>
      <c r="Y1782" s="318"/>
      <c r="Z1782" s="318"/>
      <c r="AA1782" s="318"/>
      <c r="AB1782" s="318"/>
      <c r="AC1782" s="318"/>
      <c r="AD1782" s="318"/>
    </row>
    <row r="1783" spans="2:30" s="323" customFormat="1" ht="12" customHeight="1">
      <c r="B1783" s="324"/>
      <c r="C1783" s="325"/>
      <c r="D1783" s="326"/>
      <c r="E1783" s="326"/>
      <c r="F1783" s="326"/>
      <c r="G1783" s="326"/>
      <c r="H1783" s="326"/>
      <c r="P1783" s="318"/>
      <c r="Q1783" s="318"/>
      <c r="R1783" s="318"/>
      <c r="S1783" s="318"/>
      <c r="T1783" s="318"/>
      <c r="U1783" s="318"/>
      <c r="V1783" s="318"/>
      <c r="W1783" s="318"/>
      <c r="X1783" s="318"/>
      <c r="Y1783" s="318"/>
      <c r="Z1783" s="318"/>
      <c r="AA1783" s="318"/>
      <c r="AB1783" s="318"/>
      <c r="AC1783" s="318"/>
      <c r="AD1783" s="318"/>
    </row>
    <row r="1784" spans="2:30" s="323" customFormat="1" ht="12" customHeight="1">
      <c r="B1784" s="324"/>
      <c r="C1784" s="325"/>
      <c r="D1784" s="326"/>
      <c r="E1784" s="326"/>
      <c r="F1784" s="326"/>
      <c r="G1784" s="326"/>
      <c r="H1784" s="326"/>
      <c r="P1784" s="318"/>
      <c r="Q1784" s="318"/>
      <c r="R1784" s="318"/>
      <c r="S1784" s="318"/>
      <c r="T1784" s="318"/>
      <c r="U1784" s="318"/>
      <c r="V1784" s="318"/>
      <c r="W1784" s="318"/>
      <c r="X1784" s="318"/>
      <c r="Y1784" s="318"/>
      <c r="Z1784" s="318"/>
      <c r="AA1784" s="318"/>
      <c r="AB1784" s="318"/>
      <c r="AC1784" s="318"/>
      <c r="AD1784" s="318"/>
    </row>
    <row r="1785" spans="2:30" s="323" customFormat="1" ht="12" customHeight="1">
      <c r="B1785" s="324"/>
      <c r="C1785" s="325"/>
      <c r="D1785" s="326"/>
      <c r="E1785" s="326"/>
      <c r="F1785" s="326"/>
      <c r="G1785" s="326"/>
      <c r="H1785" s="326"/>
      <c r="P1785" s="318"/>
      <c r="Q1785" s="318"/>
      <c r="R1785" s="318"/>
      <c r="S1785" s="318"/>
      <c r="T1785" s="318"/>
      <c r="U1785" s="318"/>
      <c r="V1785" s="318"/>
      <c r="W1785" s="318"/>
      <c r="X1785" s="318"/>
      <c r="Y1785" s="318"/>
      <c r="Z1785" s="318"/>
      <c r="AA1785" s="318"/>
      <c r="AB1785" s="318"/>
      <c r="AC1785" s="318"/>
      <c r="AD1785" s="318"/>
    </row>
    <row r="1786" spans="2:30" s="323" customFormat="1" ht="12" customHeight="1">
      <c r="B1786" s="324"/>
      <c r="C1786" s="325"/>
      <c r="D1786" s="326"/>
      <c r="E1786" s="326"/>
      <c r="F1786" s="326"/>
      <c r="G1786" s="326"/>
      <c r="H1786" s="326"/>
      <c r="P1786" s="318"/>
      <c r="Q1786" s="318"/>
      <c r="R1786" s="318"/>
      <c r="S1786" s="318"/>
      <c r="T1786" s="318"/>
      <c r="U1786" s="318"/>
      <c r="V1786" s="318"/>
      <c r="W1786" s="318"/>
      <c r="X1786" s="318"/>
      <c r="Y1786" s="318"/>
      <c r="Z1786" s="318"/>
      <c r="AA1786" s="318"/>
      <c r="AB1786" s="318"/>
      <c r="AC1786" s="318"/>
      <c r="AD1786" s="318"/>
    </row>
    <row r="1787" spans="2:30" s="323" customFormat="1" ht="12" customHeight="1">
      <c r="B1787" s="324"/>
      <c r="C1787" s="325"/>
      <c r="D1787" s="326"/>
      <c r="E1787" s="326"/>
      <c r="F1787" s="326"/>
      <c r="G1787" s="326"/>
      <c r="H1787" s="326"/>
      <c r="P1787" s="318"/>
      <c r="Q1787" s="318"/>
      <c r="R1787" s="318"/>
      <c r="S1787" s="318"/>
      <c r="T1787" s="318"/>
      <c r="U1787" s="318"/>
      <c r="V1787" s="318"/>
      <c r="W1787" s="318"/>
      <c r="X1787" s="318"/>
      <c r="Y1787" s="318"/>
      <c r="Z1787" s="318"/>
      <c r="AA1787" s="318"/>
      <c r="AB1787" s="318"/>
      <c r="AC1787" s="318"/>
      <c r="AD1787" s="318"/>
    </row>
    <row r="1788" spans="2:30" s="323" customFormat="1" ht="12" customHeight="1">
      <c r="B1788" s="324"/>
      <c r="C1788" s="325"/>
      <c r="D1788" s="326"/>
      <c r="E1788" s="326"/>
      <c r="F1788" s="326"/>
      <c r="G1788" s="326"/>
      <c r="H1788" s="326"/>
      <c r="P1788" s="318"/>
      <c r="Q1788" s="318"/>
      <c r="R1788" s="318"/>
      <c r="S1788" s="318"/>
      <c r="T1788" s="318"/>
      <c r="U1788" s="318"/>
      <c r="V1788" s="318"/>
      <c r="W1788" s="318"/>
      <c r="X1788" s="318"/>
      <c r="Y1788" s="318"/>
      <c r="Z1788" s="318"/>
      <c r="AA1788" s="318"/>
      <c r="AB1788" s="318"/>
      <c r="AC1788" s="318"/>
      <c r="AD1788" s="318"/>
    </row>
    <row r="1789" spans="2:30" s="323" customFormat="1" ht="12" customHeight="1">
      <c r="B1789" s="324"/>
      <c r="C1789" s="325"/>
      <c r="D1789" s="326"/>
      <c r="E1789" s="326"/>
      <c r="F1789" s="326"/>
      <c r="G1789" s="326"/>
      <c r="H1789" s="326"/>
      <c r="P1789" s="318"/>
      <c r="Q1789" s="318"/>
      <c r="R1789" s="318"/>
      <c r="S1789" s="318"/>
      <c r="T1789" s="318"/>
      <c r="U1789" s="318"/>
      <c r="V1789" s="318"/>
      <c r="W1789" s="318"/>
      <c r="X1789" s="318"/>
      <c r="Y1789" s="318"/>
      <c r="Z1789" s="318"/>
      <c r="AA1789" s="318"/>
      <c r="AB1789" s="318"/>
      <c r="AC1789" s="318"/>
      <c r="AD1789" s="318"/>
    </row>
    <row r="1790" spans="2:30" s="323" customFormat="1" ht="12" customHeight="1">
      <c r="B1790" s="324"/>
      <c r="C1790" s="325"/>
      <c r="D1790" s="326"/>
      <c r="E1790" s="326"/>
      <c r="F1790" s="326"/>
      <c r="G1790" s="326"/>
      <c r="H1790" s="326"/>
      <c r="P1790" s="318"/>
      <c r="Q1790" s="318"/>
      <c r="R1790" s="318"/>
      <c r="S1790" s="318"/>
      <c r="T1790" s="318"/>
      <c r="U1790" s="318"/>
      <c r="V1790" s="318"/>
      <c r="W1790" s="318"/>
      <c r="X1790" s="318"/>
      <c r="Y1790" s="318"/>
      <c r="Z1790" s="318"/>
      <c r="AA1790" s="318"/>
      <c r="AB1790" s="318"/>
      <c r="AC1790" s="318"/>
      <c r="AD1790" s="318"/>
    </row>
    <row r="1791" spans="2:30" s="323" customFormat="1" ht="12" customHeight="1">
      <c r="B1791" s="324"/>
      <c r="C1791" s="325"/>
      <c r="D1791" s="326"/>
      <c r="E1791" s="326"/>
      <c r="F1791" s="326"/>
      <c r="G1791" s="326"/>
      <c r="H1791" s="326"/>
      <c r="P1791" s="318"/>
      <c r="Q1791" s="318"/>
      <c r="R1791" s="318"/>
      <c r="S1791" s="318"/>
      <c r="T1791" s="318"/>
      <c r="U1791" s="318"/>
      <c r="V1791" s="318"/>
      <c r="W1791" s="318"/>
      <c r="X1791" s="318"/>
      <c r="Y1791" s="318"/>
      <c r="Z1791" s="318"/>
      <c r="AA1791" s="318"/>
      <c r="AB1791" s="318"/>
      <c r="AC1791" s="318"/>
      <c r="AD1791" s="318"/>
    </row>
    <row r="1792" spans="2:30" s="323" customFormat="1" ht="12" customHeight="1">
      <c r="B1792" s="324"/>
      <c r="C1792" s="325"/>
      <c r="D1792" s="326"/>
      <c r="E1792" s="326"/>
      <c r="F1792" s="326"/>
      <c r="G1792" s="326"/>
      <c r="H1792" s="326"/>
      <c r="P1792" s="318"/>
      <c r="Q1792" s="318"/>
      <c r="R1792" s="318"/>
      <c r="S1792" s="318"/>
      <c r="T1792" s="318"/>
      <c r="U1792" s="318"/>
      <c r="V1792" s="318"/>
      <c r="W1792" s="318"/>
      <c r="X1792" s="318"/>
      <c r="Y1792" s="318"/>
      <c r="Z1792" s="318"/>
      <c r="AA1792" s="318"/>
      <c r="AB1792" s="318"/>
      <c r="AC1792" s="318"/>
      <c r="AD1792" s="318"/>
    </row>
    <row r="1793" spans="2:30" s="323" customFormat="1" ht="12" customHeight="1">
      <c r="B1793" s="324"/>
      <c r="C1793" s="325"/>
      <c r="D1793" s="326"/>
      <c r="E1793" s="326"/>
      <c r="F1793" s="326"/>
      <c r="G1793" s="326"/>
      <c r="H1793" s="326"/>
      <c r="P1793" s="318"/>
      <c r="Q1793" s="318"/>
      <c r="R1793" s="318"/>
      <c r="S1793" s="318"/>
      <c r="T1793" s="318"/>
      <c r="U1793" s="318"/>
      <c r="V1793" s="318"/>
      <c r="W1793" s="318"/>
      <c r="X1793" s="318"/>
      <c r="Y1793" s="318"/>
      <c r="Z1793" s="318"/>
      <c r="AA1793" s="318"/>
      <c r="AB1793" s="318"/>
      <c r="AC1793" s="318"/>
      <c r="AD1793" s="318"/>
    </row>
    <row r="1794" spans="2:30" s="323" customFormat="1" ht="12" customHeight="1">
      <c r="B1794" s="324"/>
      <c r="C1794" s="325"/>
      <c r="D1794" s="326"/>
      <c r="E1794" s="326"/>
      <c r="F1794" s="326"/>
      <c r="G1794" s="326"/>
      <c r="H1794" s="326"/>
      <c r="P1794" s="318"/>
      <c r="Q1794" s="318"/>
      <c r="R1794" s="318"/>
      <c r="S1794" s="318"/>
      <c r="T1794" s="318"/>
      <c r="U1794" s="318"/>
      <c r="V1794" s="318"/>
      <c r="W1794" s="318"/>
      <c r="X1794" s="318"/>
      <c r="Y1794" s="318"/>
      <c r="Z1794" s="318"/>
      <c r="AA1794" s="318"/>
      <c r="AB1794" s="318"/>
      <c r="AC1794" s="318"/>
      <c r="AD1794" s="318"/>
    </row>
    <row r="1795" spans="2:30" s="323" customFormat="1" ht="12" customHeight="1">
      <c r="B1795" s="324"/>
      <c r="C1795" s="325"/>
      <c r="D1795" s="326"/>
      <c r="E1795" s="326"/>
      <c r="F1795" s="326"/>
      <c r="G1795" s="326"/>
      <c r="H1795" s="326"/>
      <c r="P1795" s="318"/>
      <c r="Q1795" s="318"/>
      <c r="R1795" s="318"/>
      <c r="S1795" s="318"/>
      <c r="T1795" s="318"/>
      <c r="U1795" s="318"/>
      <c r="V1795" s="318"/>
      <c r="W1795" s="318"/>
      <c r="X1795" s="318"/>
      <c r="Y1795" s="318"/>
      <c r="Z1795" s="318"/>
      <c r="AA1795" s="318"/>
      <c r="AB1795" s="318"/>
      <c r="AC1795" s="318"/>
      <c r="AD1795" s="318"/>
    </row>
    <row r="1796" spans="2:30" s="323" customFormat="1" ht="12" customHeight="1">
      <c r="B1796" s="324"/>
      <c r="C1796" s="325"/>
      <c r="D1796" s="326"/>
      <c r="E1796" s="326"/>
      <c r="F1796" s="326"/>
      <c r="G1796" s="326"/>
      <c r="H1796" s="326"/>
      <c r="P1796" s="318"/>
      <c r="Q1796" s="318"/>
      <c r="R1796" s="318"/>
      <c r="S1796" s="318"/>
      <c r="T1796" s="318"/>
      <c r="U1796" s="318"/>
      <c r="V1796" s="318"/>
      <c r="W1796" s="318"/>
      <c r="X1796" s="318"/>
      <c r="Y1796" s="318"/>
      <c r="Z1796" s="318"/>
      <c r="AA1796" s="318"/>
      <c r="AB1796" s="318"/>
      <c r="AC1796" s="318"/>
      <c r="AD1796" s="318"/>
    </row>
    <row r="1797" spans="2:30" s="323" customFormat="1" ht="12" customHeight="1">
      <c r="B1797" s="324"/>
      <c r="C1797" s="325"/>
      <c r="D1797" s="326"/>
      <c r="E1797" s="326"/>
      <c r="F1797" s="326"/>
      <c r="G1797" s="326"/>
      <c r="H1797" s="326"/>
      <c r="P1797" s="318"/>
      <c r="Q1797" s="318"/>
      <c r="R1797" s="318"/>
      <c r="S1797" s="318"/>
      <c r="T1797" s="318"/>
      <c r="U1797" s="318"/>
      <c r="V1797" s="318"/>
      <c r="W1797" s="318"/>
      <c r="X1797" s="318"/>
      <c r="Y1797" s="318"/>
      <c r="Z1797" s="318"/>
      <c r="AA1797" s="318"/>
      <c r="AB1797" s="318"/>
      <c r="AC1797" s="318"/>
      <c r="AD1797" s="318"/>
    </row>
    <row r="1798" spans="2:30" s="323" customFormat="1" ht="12" customHeight="1">
      <c r="B1798" s="324"/>
      <c r="C1798" s="325"/>
      <c r="D1798" s="326"/>
      <c r="E1798" s="326"/>
      <c r="F1798" s="326"/>
      <c r="G1798" s="326"/>
      <c r="H1798" s="326"/>
      <c r="P1798" s="318"/>
      <c r="Q1798" s="318"/>
      <c r="R1798" s="318"/>
      <c r="S1798" s="318"/>
      <c r="T1798" s="318"/>
      <c r="U1798" s="318"/>
      <c r="V1798" s="318"/>
      <c r="W1798" s="318"/>
      <c r="X1798" s="318"/>
      <c r="Y1798" s="318"/>
      <c r="Z1798" s="318"/>
      <c r="AA1798" s="318"/>
      <c r="AB1798" s="318"/>
      <c r="AC1798" s="318"/>
      <c r="AD1798" s="318"/>
    </row>
    <row r="1799" spans="2:30" s="323" customFormat="1" ht="12" customHeight="1">
      <c r="B1799" s="324"/>
      <c r="C1799" s="325"/>
      <c r="D1799" s="326"/>
      <c r="E1799" s="326"/>
      <c r="F1799" s="326"/>
      <c r="G1799" s="326"/>
      <c r="H1799" s="326"/>
      <c r="P1799" s="318"/>
      <c r="Q1799" s="318"/>
      <c r="R1799" s="318"/>
      <c r="S1799" s="318"/>
      <c r="T1799" s="318"/>
      <c r="U1799" s="318"/>
      <c r="V1799" s="318"/>
      <c r="W1799" s="318"/>
      <c r="X1799" s="318"/>
      <c r="Y1799" s="318"/>
      <c r="Z1799" s="318"/>
      <c r="AA1799" s="318"/>
      <c r="AB1799" s="318"/>
      <c r="AC1799" s="318"/>
      <c r="AD1799" s="318"/>
    </row>
    <row r="1800" spans="2:30" s="323" customFormat="1" ht="12" customHeight="1">
      <c r="B1800" s="324"/>
      <c r="C1800" s="325"/>
      <c r="D1800" s="326"/>
      <c r="E1800" s="326"/>
      <c r="F1800" s="326"/>
      <c r="G1800" s="326"/>
      <c r="H1800" s="326"/>
      <c r="P1800" s="318"/>
      <c r="Q1800" s="318"/>
      <c r="R1800" s="318"/>
      <c r="S1800" s="318"/>
      <c r="T1800" s="318"/>
      <c r="U1800" s="318"/>
      <c r="V1800" s="318"/>
      <c r="W1800" s="318"/>
      <c r="X1800" s="318"/>
      <c r="Y1800" s="318"/>
      <c r="Z1800" s="318"/>
      <c r="AA1800" s="318"/>
      <c r="AB1800" s="318"/>
      <c r="AC1800" s="318"/>
      <c r="AD1800" s="318"/>
    </row>
    <row r="1801" spans="2:30" s="323" customFormat="1" ht="12" customHeight="1">
      <c r="B1801" s="324"/>
      <c r="C1801" s="325"/>
      <c r="D1801" s="326"/>
      <c r="E1801" s="326"/>
      <c r="F1801" s="326"/>
      <c r="G1801" s="326"/>
      <c r="H1801" s="326"/>
      <c r="P1801" s="318"/>
      <c r="Q1801" s="318"/>
      <c r="R1801" s="318"/>
      <c r="S1801" s="318"/>
      <c r="T1801" s="318"/>
      <c r="U1801" s="318"/>
      <c r="V1801" s="318"/>
      <c r="W1801" s="318"/>
      <c r="X1801" s="318"/>
      <c r="Y1801" s="318"/>
      <c r="Z1801" s="318"/>
      <c r="AA1801" s="318"/>
      <c r="AB1801" s="318"/>
      <c r="AC1801" s="318"/>
      <c r="AD1801" s="318"/>
    </row>
    <row r="1802" spans="2:30" s="323" customFormat="1" ht="12" customHeight="1">
      <c r="B1802" s="324"/>
      <c r="C1802" s="325"/>
      <c r="D1802" s="326"/>
      <c r="E1802" s="326"/>
      <c r="F1802" s="326"/>
      <c r="G1802" s="326"/>
      <c r="H1802" s="326"/>
      <c r="P1802" s="318"/>
      <c r="Q1802" s="318"/>
      <c r="R1802" s="318"/>
      <c r="S1802" s="318"/>
      <c r="T1802" s="318"/>
      <c r="U1802" s="318"/>
      <c r="V1802" s="318"/>
      <c r="W1802" s="318"/>
      <c r="X1802" s="318"/>
      <c r="Y1802" s="318"/>
      <c r="Z1802" s="318"/>
      <c r="AA1802" s="318"/>
      <c r="AB1802" s="318"/>
      <c r="AC1802" s="318"/>
      <c r="AD1802" s="318"/>
    </row>
    <row r="1803" spans="2:30" s="323" customFormat="1" ht="12" customHeight="1">
      <c r="B1803" s="324"/>
      <c r="C1803" s="325"/>
      <c r="D1803" s="326"/>
      <c r="E1803" s="326"/>
      <c r="F1803" s="326"/>
      <c r="G1803" s="326"/>
      <c r="H1803" s="326"/>
      <c r="P1803" s="318"/>
      <c r="Q1803" s="318"/>
      <c r="R1803" s="318"/>
      <c r="S1803" s="318"/>
      <c r="T1803" s="318"/>
      <c r="U1803" s="318"/>
      <c r="V1803" s="318"/>
      <c r="W1803" s="318"/>
      <c r="X1803" s="318"/>
      <c r="Y1803" s="318"/>
      <c r="Z1803" s="318"/>
      <c r="AA1803" s="318"/>
      <c r="AB1803" s="318"/>
      <c r="AC1803" s="318"/>
      <c r="AD1803" s="318"/>
    </row>
    <row r="1804" spans="2:30" s="323" customFormat="1" ht="12" customHeight="1">
      <c r="B1804" s="324"/>
      <c r="C1804" s="325"/>
      <c r="D1804" s="326"/>
      <c r="E1804" s="326"/>
      <c r="F1804" s="326"/>
      <c r="G1804" s="326"/>
      <c r="H1804" s="326"/>
      <c r="P1804" s="318"/>
      <c r="Q1804" s="318"/>
      <c r="R1804" s="318"/>
      <c r="S1804" s="318"/>
      <c r="T1804" s="318"/>
      <c r="U1804" s="318"/>
      <c r="V1804" s="318"/>
      <c r="W1804" s="318"/>
      <c r="X1804" s="318"/>
      <c r="Y1804" s="318"/>
      <c r="Z1804" s="318"/>
      <c r="AA1804" s="318"/>
      <c r="AB1804" s="318"/>
      <c r="AC1804" s="318"/>
      <c r="AD1804" s="318"/>
    </row>
    <row r="1805" spans="2:30" s="323" customFormat="1" ht="12" customHeight="1">
      <c r="B1805" s="324"/>
      <c r="C1805" s="325"/>
      <c r="D1805" s="326"/>
      <c r="E1805" s="326"/>
      <c r="F1805" s="326"/>
      <c r="G1805" s="326"/>
      <c r="H1805" s="326"/>
      <c r="P1805" s="318"/>
      <c r="Q1805" s="318"/>
      <c r="R1805" s="318"/>
      <c r="S1805" s="318"/>
      <c r="T1805" s="318"/>
      <c r="U1805" s="318"/>
      <c r="V1805" s="318"/>
      <c r="W1805" s="318"/>
      <c r="X1805" s="318"/>
      <c r="Y1805" s="318"/>
      <c r="Z1805" s="318"/>
      <c r="AA1805" s="318"/>
      <c r="AB1805" s="318"/>
      <c r="AC1805" s="318"/>
      <c r="AD1805" s="318"/>
    </row>
    <row r="1806" spans="2:30" s="323" customFormat="1" ht="12" customHeight="1">
      <c r="B1806" s="324"/>
      <c r="C1806" s="325"/>
      <c r="D1806" s="326"/>
      <c r="E1806" s="326"/>
      <c r="F1806" s="326"/>
      <c r="G1806" s="326"/>
      <c r="H1806" s="326"/>
      <c r="P1806" s="318"/>
      <c r="Q1806" s="318"/>
      <c r="R1806" s="318"/>
      <c r="S1806" s="318"/>
      <c r="T1806" s="318"/>
      <c r="U1806" s="318"/>
      <c r="V1806" s="318"/>
      <c r="W1806" s="318"/>
      <c r="X1806" s="318"/>
      <c r="Y1806" s="318"/>
      <c r="Z1806" s="318"/>
      <c r="AA1806" s="318"/>
      <c r="AB1806" s="318"/>
      <c r="AC1806" s="318"/>
      <c r="AD1806" s="318"/>
    </row>
    <row r="1807" spans="2:30" s="323" customFormat="1" ht="12" customHeight="1">
      <c r="B1807" s="324"/>
      <c r="C1807" s="325"/>
      <c r="D1807" s="326"/>
      <c r="E1807" s="326"/>
      <c r="F1807" s="326"/>
      <c r="G1807" s="326"/>
      <c r="H1807" s="326"/>
      <c r="P1807" s="318"/>
      <c r="Q1807" s="318"/>
      <c r="R1807" s="318"/>
      <c r="S1807" s="318"/>
      <c r="T1807" s="318"/>
      <c r="U1807" s="318"/>
      <c r="V1807" s="318"/>
      <c r="W1807" s="318"/>
      <c r="X1807" s="318"/>
      <c r="Y1807" s="318"/>
      <c r="Z1807" s="318"/>
      <c r="AA1807" s="318"/>
      <c r="AB1807" s="318"/>
      <c r="AC1807" s="318"/>
      <c r="AD1807" s="318"/>
    </row>
    <row r="1808" spans="2:30" s="323" customFormat="1" ht="12" customHeight="1">
      <c r="B1808" s="324"/>
      <c r="C1808" s="325"/>
      <c r="D1808" s="326"/>
      <c r="E1808" s="326"/>
      <c r="F1808" s="326"/>
      <c r="G1808" s="326"/>
      <c r="H1808" s="326"/>
      <c r="P1808" s="318"/>
      <c r="Q1808" s="318"/>
      <c r="R1808" s="318"/>
      <c r="S1808" s="318"/>
      <c r="T1808" s="318"/>
      <c r="U1808" s="318"/>
      <c r="V1808" s="318"/>
      <c r="W1808" s="318"/>
      <c r="X1808" s="318"/>
      <c r="Y1808" s="318"/>
      <c r="Z1808" s="318"/>
      <c r="AA1808" s="318"/>
      <c r="AB1808" s="318"/>
      <c r="AC1808" s="318"/>
      <c r="AD1808" s="318"/>
    </row>
    <row r="1809" spans="2:30" s="323" customFormat="1" ht="12" customHeight="1">
      <c r="B1809" s="324"/>
      <c r="C1809" s="325"/>
      <c r="D1809" s="326"/>
      <c r="E1809" s="326"/>
      <c r="F1809" s="326"/>
      <c r="G1809" s="326"/>
      <c r="H1809" s="326"/>
      <c r="P1809" s="318"/>
      <c r="Q1809" s="318"/>
      <c r="R1809" s="318"/>
      <c r="S1809" s="318"/>
      <c r="T1809" s="318"/>
      <c r="U1809" s="318"/>
      <c r="V1809" s="318"/>
      <c r="W1809" s="318"/>
      <c r="X1809" s="318"/>
      <c r="Y1809" s="318"/>
      <c r="Z1809" s="318"/>
      <c r="AA1809" s="318"/>
      <c r="AB1809" s="318"/>
      <c r="AC1809" s="318"/>
      <c r="AD1809" s="318"/>
    </row>
    <row r="1810" spans="2:30" s="323" customFormat="1" ht="12" customHeight="1">
      <c r="B1810" s="324"/>
      <c r="C1810" s="325"/>
      <c r="D1810" s="326"/>
      <c r="E1810" s="326"/>
      <c r="F1810" s="326"/>
      <c r="G1810" s="326"/>
      <c r="H1810" s="326"/>
      <c r="P1810" s="318"/>
      <c r="Q1810" s="318"/>
      <c r="R1810" s="318"/>
      <c r="S1810" s="318"/>
      <c r="T1810" s="318"/>
      <c r="U1810" s="318"/>
      <c r="V1810" s="318"/>
      <c r="W1810" s="318"/>
      <c r="X1810" s="318"/>
      <c r="Y1810" s="318"/>
      <c r="Z1810" s="318"/>
      <c r="AA1810" s="318"/>
      <c r="AB1810" s="318"/>
      <c r="AC1810" s="318"/>
      <c r="AD1810" s="318"/>
    </row>
    <row r="1811" spans="2:30" s="323" customFormat="1" ht="12" customHeight="1">
      <c r="B1811" s="324"/>
      <c r="C1811" s="325"/>
      <c r="D1811" s="326"/>
      <c r="E1811" s="326"/>
      <c r="F1811" s="326"/>
      <c r="G1811" s="326"/>
      <c r="H1811" s="326"/>
      <c r="P1811" s="318"/>
      <c r="Q1811" s="318"/>
      <c r="R1811" s="318"/>
      <c r="S1811" s="318"/>
      <c r="T1811" s="318"/>
      <c r="U1811" s="318"/>
      <c r="V1811" s="318"/>
      <c r="W1811" s="318"/>
      <c r="X1811" s="318"/>
      <c r="Y1811" s="318"/>
      <c r="Z1811" s="318"/>
      <c r="AA1811" s="318"/>
      <c r="AB1811" s="318"/>
      <c r="AC1811" s="318"/>
      <c r="AD1811" s="318"/>
    </row>
    <row r="1812" spans="2:30" s="323" customFormat="1" ht="12" customHeight="1">
      <c r="B1812" s="324"/>
      <c r="C1812" s="325"/>
      <c r="D1812" s="326"/>
      <c r="E1812" s="326"/>
      <c r="F1812" s="326"/>
      <c r="G1812" s="326"/>
      <c r="H1812" s="326"/>
      <c r="P1812" s="318"/>
      <c r="Q1812" s="318"/>
      <c r="R1812" s="318"/>
      <c r="S1812" s="318"/>
      <c r="T1812" s="318"/>
      <c r="U1812" s="318"/>
      <c r="V1812" s="318"/>
      <c r="W1812" s="318"/>
      <c r="X1812" s="318"/>
      <c r="Y1812" s="318"/>
      <c r="Z1812" s="318"/>
      <c r="AA1812" s="318"/>
      <c r="AB1812" s="318"/>
      <c r="AC1812" s="318"/>
      <c r="AD1812" s="318"/>
    </row>
    <row r="1813" spans="2:30" s="323" customFormat="1" ht="12" customHeight="1">
      <c r="B1813" s="324"/>
      <c r="C1813" s="325"/>
      <c r="D1813" s="326"/>
      <c r="E1813" s="326"/>
      <c r="F1813" s="326"/>
      <c r="G1813" s="326"/>
      <c r="H1813" s="326"/>
      <c r="P1813" s="318"/>
      <c r="Q1813" s="318"/>
      <c r="R1813" s="318"/>
      <c r="S1813" s="318"/>
      <c r="T1813" s="318"/>
      <c r="U1813" s="318"/>
      <c r="V1813" s="318"/>
      <c r="W1813" s="318"/>
      <c r="X1813" s="318"/>
      <c r="Y1813" s="318"/>
      <c r="Z1813" s="318"/>
      <c r="AA1813" s="318"/>
      <c r="AB1813" s="318"/>
      <c r="AC1813" s="318"/>
      <c r="AD1813" s="318"/>
    </row>
    <row r="1814" spans="2:30" s="323" customFormat="1" ht="12" customHeight="1">
      <c r="B1814" s="324"/>
      <c r="C1814" s="325"/>
      <c r="D1814" s="326"/>
      <c r="E1814" s="326"/>
      <c r="F1814" s="326"/>
      <c r="G1814" s="326"/>
      <c r="H1814" s="326"/>
      <c r="P1814" s="318"/>
      <c r="Q1814" s="318"/>
      <c r="R1814" s="318"/>
      <c r="S1814" s="318"/>
      <c r="T1814" s="318"/>
      <c r="U1814" s="318"/>
      <c r="V1814" s="318"/>
      <c r="W1814" s="318"/>
      <c r="X1814" s="318"/>
      <c r="Y1814" s="318"/>
      <c r="Z1814" s="318"/>
      <c r="AA1814" s="318"/>
      <c r="AB1814" s="318"/>
      <c r="AC1814" s="318"/>
      <c r="AD1814" s="318"/>
    </row>
    <row r="1815" spans="2:30" s="323" customFormat="1" ht="12" customHeight="1">
      <c r="B1815" s="324"/>
      <c r="C1815" s="325"/>
      <c r="D1815" s="326"/>
      <c r="E1815" s="326"/>
      <c r="F1815" s="326"/>
      <c r="G1815" s="326"/>
      <c r="H1815" s="326"/>
      <c r="P1815" s="318"/>
      <c r="Q1815" s="318"/>
      <c r="R1815" s="318"/>
      <c r="S1815" s="318"/>
      <c r="T1815" s="318"/>
      <c r="U1815" s="318"/>
      <c r="V1815" s="318"/>
      <c r="W1815" s="318"/>
      <c r="X1815" s="318"/>
      <c r="Y1815" s="318"/>
      <c r="Z1815" s="318"/>
      <c r="AA1815" s="318"/>
      <c r="AB1815" s="318"/>
      <c r="AC1815" s="318"/>
      <c r="AD1815" s="318"/>
    </row>
    <row r="1816" spans="2:30" s="323" customFormat="1" ht="12" customHeight="1">
      <c r="B1816" s="324"/>
      <c r="C1816" s="325"/>
      <c r="D1816" s="326"/>
      <c r="E1816" s="326"/>
      <c r="F1816" s="326"/>
      <c r="G1816" s="326"/>
      <c r="H1816" s="326"/>
      <c r="P1816" s="318"/>
      <c r="Q1816" s="318"/>
      <c r="R1816" s="318"/>
      <c r="S1816" s="318"/>
      <c r="T1816" s="318"/>
      <c r="U1816" s="318"/>
      <c r="V1816" s="318"/>
      <c r="W1816" s="318"/>
      <c r="X1816" s="318"/>
      <c r="Y1816" s="318"/>
      <c r="Z1816" s="318"/>
      <c r="AA1816" s="318"/>
      <c r="AB1816" s="318"/>
      <c r="AC1816" s="318"/>
      <c r="AD1816" s="318"/>
    </row>
    <row r="1817" spans="2:30" s="323" customFormat="1" ht="12" customHeight="1">
      <c r="B1817" s="324"/>
      <c r="C1817" s="325"/>
      <c r="D1817" s="326"/>
      <c r="E1817" s="326"/>
      <c r="F1817" s="326"/>
      <c r="G1817" s="326"/>
      <c r="H1817" s="326"/>
      <c r="P1817" s="318"/>
      <c r="Q1817" s="318"/>
      <c r="R1817" s="318"/>
      <c r="S1817" s="318"/>
      <c r="T1817" s="318"/>
      <c r="U1817" s="318"/>
      <c r="V1817" s="318"/>
      <c r="W1817" s="318"/>
      <c r="X1817" s="318"/>
      <c r="Y1817" s="318"/>
      <c r="Z1817" s="318"/>
      <c r="AA1817" s="318"/>
      <c r="AB1817" s="318"/>
      <c r="AC1817" s="318"/>
      <c r="AD1817" s="318"/>
    </row>
    <row r="1818" spans="2:30" s="323" customFormat="1" ht="12" customHeight="1">
      <c r="B1818" s="324"/>
      <c r="C1818" s="325"/>
      <c r="D1818" s="326"/>
      <c r="E1818" s="326"/>
      <c r="F1818" s="326"/>
      <c r="G1818" s="326"/>
      <c r="H1818" s="326"/>
      <c r="P1818" s="318"/>
      <c r="Q1818" s="318"/>
      <c r="R1818" s="318"/>
      <c r="S1818" s="318"/>
      <c r="T1818" s="318"/>
      <c r="U1818" s="318"/>
      <c r="V1818" s="318"/>
      <c r="W1818" s="318"/>
      <c r="X1818" s="318"/>
      <c r="Y1818" s="318"/>
      <c r="Z1818" s="318"/>
      <c r="AA1818" s="318"/>
      <c r="AB1818" s="318"/>
      <c r="AC1818" s="318"/>
      <c r="AD1818" s="318"/>
    </row>
    <row r="1819" spans="2:30" s="323" customFormat="1" ht="12" customHeight="1">
      <c r="B1819" s="324"/>
      <c r="C1819" s="325"/>
      <c r="D1819" s="326"/>
      <c r="E1819" s="326"/>
      <c r="F1819" s="326"/>
      <c r="G1819" s="326"/>
      <c r="H1819" s="326"/>
      <c r="P1819" s="318"/>
      <c r="Q1819" s="318"/>
      <c r="R1819" s="318"/>
      <c r="S1819" s="318"/>
      <c r="T1819" s="318"/>
      <c r="U1819" s="318"/>
      <c r="V1819" s="318"/>
      <c r="W1819" s="318"/>
      <c r="X1819" s="318"/>
      <c r="Y1819" s="318"/>
      <c r="Z1819" s="318"/>
      <c r="AA1819" s="318"/>
      <c r="AB1819" s="318"/>
      <c r="AC1819" s="318"/>
      <c r="AD1819" s="318"/>
    </row>
    <row r="1820" spans="2:30" s="323" customFormat="1" ht="12" customHeight="1">
      <c r="B1820" s="324"/>
      <c r="C1820" s="325"/>
      <c r="D1820" s="326"/>
      <c r="E1820" s="326"/>
      <c r="F1820" s="326"/>
      <c r="G1820" s="326"/>
      <c r="H1820" s="326"/>
      <c r="P1820" s="318"/>
      <c r="Q1820" s="318"/>
      <c r="R1820" s="318"/>
      <c r="S1820" s="318"/>
      <c r="T1820" s="318"/>
      <c r="U1820" s="318"/>
      <c r="V1820" s="318"/>
      <c r="W1820" s="318"/>
      <c r="X1820" s="318"/>
      <c r="Y1820" s="318"/>
      <c r="Z1820" s="318"/>
      <c r="AA1820" s="318"/>
      <c r="AB1820" s="318"/>
      <c r="AC1820" s="318"/>
      <c r="AD1820" s="318"/>
    </row>
    <row r="1821" spans="2:30" s="323" customFormat="1" ht="12" customHeight="1">
      <c r="B1821" s="324"/>
      <c r="C1821" s="325"/>
      <c r="D1821" s="326"/>
      <c r="E1821" s="326"/>
      <c r="F1821" s="326"/>
      <c r="G1821" s="326"/>
      <c r="H1821" s="326"/>
      <c r="P1821" s="318"/>
      <c r="Q1821" s="318"/>
      <c r="R1821" s="318"/>
      <c r="S1821" s="318"/>
      <c r="T1821" s="318"/>
      <c r="U1821" s="318"/>
      <c r="V1821" s="318"/>
      <c r="W1821" s="318"/>
      <c r="X1821" s="318"/>
      <c r="Y1821" s="318"/>
      <c r="Z1821" s="318"/>
      <c r="AA1821" s="318"/>
      <c r="AB1821" s="318"/>
      <c r="AC1821" s="318"/>
      <c r="AD1821" s="318"/>
    </row>
    <row r="1822" spans="2:30" s="323" customFormat="1" ht="12" customHeight="1">
      <c r="B1822" s="324"/>
      <c r="C1822" s="325"/>
      <c r="D1822" s="326"/>
      <c r="E1822" s="326"/>
      <c r="F1822" s="326"/>
      <c r="G1822" s="326"/>
      <c r="H1822" s="326"/>
      <c r="P1822" s="318"/>
      <c r="Q1822" s="318"/>
      <c r="R1822" s="318"/>
      <c r="S1822" s="318"/>
      <c r="T1822" s="318"/>
      <c r="U1822" s="318"/>
      <c r="V1822" s="318"/>
      <c r="W1822" s="318"/>
      <c r="X1822" s="318"/>
      <c r="Y1822" s="318"/>
      <c r="Z1822" s="318"/>
      <c r="AA1822" s="318"/>
      <c r="AB1822" s="318"/>
      <c r="AC1822" s="318"/>
      <c r="AD1822" s="318"/>
    </row>
    <row r="1823" spans="2:30" s="323" customFormat="1" ht="12" customHeight="1">
      <c r="B1823" s="324"/>
      <c r="C1823" s="325"/>
      <c r="D1823" s="326"/>
      <c r="E1823" s="326"/>
      <c r="F1823" s="326"/>
      <c r="G1823" s="326"/>
      <c r="H1823" s="326"/>
      <c r="P1823" s="318"/>
      <c r="Q1823" s="318"/>
      <c r="R1823" s="318"/>
      <c r="S1823" s="318"/>
      <c r="T1823" s="318"/>
      <c r="U1823" s="318"/>
      <c r="V1823" s="318"/>
      <c r="W1823" s="318"/>
      <c r="X1823" s="318"/>
      <c r="Y1823" s="318"/>
      <c r="Z1823" s="318"/>
      <c r="AA1823" s="318"/>
      <c r="AB1823" s="318"/>
      <c r="AC1823" s="318"/>
      <c r="AD1823" s="318"/>
    </row>
    <row r="1824" spans="2:30" s="323" customFormat="1" ht="12" customHeight="1">
      <c r="B1824" s="324"/>
      <c r="C1824" s="325"/>
      <c r="D1824" s="326"/>
      <c r="E1824" s="326"/>
      <c r="F1824" s="326"/>
      <c r="G1824" s="326"/>
      <c r="H1824" s="326"/>
      <c r="P1824" s="318"/>
      <c r="Q1824" s="318"/>
      <c r="R1824" s="318"/>
      <c r="S1824" s="318"/>
      <c r="T1824" s="318"/>
      <c r="U1824" s="318"/>
      <c r="V1824" s="318"/>
      <c r="W1824" s="318"/>
      <c r="X1824" s="318"/>
      <c r="Y1824" s="318"/>
      <c r="Z1824" s="318"/>
      <c r="AA1824" s="318"/>
      <c r="AB1824" s="318"/>
      <c r="AC1824" s="318"/>
      <c r="AD1824" s="318"/>
    </row>
    <row r="1825" spans="2:30" s="323" customFormat="1" ht="12" customHeight="1">
      <c r="B1825" s="324"/>
      <c r="C1825" s="325"/>
      <c r="D1825" s="326"/>
      <c r="E1825" s="326"/>
      <c r="F1825" s="326"/>
      <c r="G1825" s="326"/>
      <c r="H1825" s="326"/>
      <c r="P1825" s="318"/>
      <c r="Q1825" s="318"/>
      <c r="R1825" s="318"/>
      <c r="S1825" s="318"/>
      <c r="T1825" s="318"/>
      <c r="U1825" s="318"/>
      <c r="V1825" s="318"/>
      <c r="W1825" s="318"/>
      <c r="X1825" s="318"/>
      <c r="Y1825" s="318"/>
      <c r="Z1825" s="318"/>
      <c r="AA1825" s="318"/>
      <c r="AB1825" s="318"/>
      <c r="AC1825" s="318"/>
      <c r="AD1825" s="318"/>
    </row>
    <row r="1826" spans="2:30" s="323" customFormat="1" ht="12" customHeight="1">
      <c r="B1826" s="324"/>
      <c r="C1826" s="325"/>
      <c r="D1826" s="326"/>
      <c r="E1826" s="326"/>
      <c r="F1826" s="326"/>
      <c r="G1826" s="326"/>
      <c r="H1826" s="326"/>
      <c r="P1826" s="318"/>
      <c r="Q1826" s="318"/>
      <c r="R1826" s="318"/>
      <c r="S1826" s="318"/>
      <c r="T1826" s="318"/>
      <c r="U1826" s="318"/>
      <c r="V1826" s="318"/>
      <c r="W1826" s="318"/>
      <c r="X1826" s="318"/>
      <c r="Y1826" s="318"/>
      <c r="Z1826" s="318"/>
      <c r="AA1826" s="318"/>
      <c r="AB1826" s="318"/>
      <c r="AC1826" s="318"/>
      <c r="AD1826" s="318"/>
    </row>
    <row r="1827" spans="2:30" s="323" customFormat="1" ht="12" customHeight="1">
      <c r="B1827" s="324"/>
      <c r="C1827" s="325"/>
      <c r="D1827" s="326"/>
      <c r="E1827" s="326"/>
      <c r="F1827" s="326"/>
      <c r="G1827" s="326"/>
      <c r="H1827" s="326"/>
      <c r="P1827" s="318"/>
      <c r="Q1827" s="318"/>
      <c r="R1827" s="318"/>
      <c r="S1827" s="318"/>
      <c r="T1827" s="318"/>
      <c r="U1827" s="318"/>
      <c r="V1827" s="318"/>
      <c r="W1827" s="318"/>
      <c r="X1827" s="318"/>
      <c r="Y1827" s="318"/>
      <c r="Z1827" s="318"/>
      <c r="AA1827" s="318"/>
      <c r="AB1827" s="318"/>
      <c r="AC1827" s="318"/>
      <c r="AD1827" s="318"/>
    </row>
    <row r="1828" spans="2:30" s="323" customFormat="1" ht="12" customHeight="1">
      <c r="B1828" s="324"/>
      <c r="C1828" s="325"/>
      <c r="D1828" s="326"/>
      <c r="E1828" s="326"/>
      <c r="F1828" s="326"/>
      <c r="G1828" s="326"/>
      <c r="H1828" s="326"/>
      <c r="P1828" s="318"/>
      <c r="Q1828" s="318"/>
      <c r="R1828" s="318"/>
      <c r="S1828" s="318"/>
      <c r="T1828" s="318"/>
      <c r="U1828" s="318"/>
      <c r="V1828" s="318"/>
      <c r="W1828" s="318"/>
      <c r="X1828" s="318"/>
      <c r="Y1828" s="318"/>
      <c r="Z1828" s="318"/>
      <c r="AA1828" s="318"/>
      <c r="AB1828" s="318"/>
      <c r="AC1828" s="318"/>
      <c r="AD1828" s="318"/>
    </row>
    <row r="1829" spans="2:30" s="323" customFormat="1" ht="12" customHeight="1">
      <c r="B1829" s="324"/>
      <c r="C1829" s="325"/>
      <c r="D1829" s="326"/>
      <c r="E1829" s="326"/>
      <c r="F1829" s="326"/>
      <c r="G1829" s="326"/>
      <c r="H1829" s="326"/>
      <c r="P1829" s="318"/>
      <c r="Q1829" s="318"/>
      <c r="R1829" s="318"/>
      <c r="S1829" s="318"/>
      <c r="T1829" s="318"/>
      <c r="U1829" s="318"/>
      <c r="V1829" s="318"/>
      <c r="W1829" s="318"/>
      <c r="X1829" s="318"/>
      <c r="Y1829" s="318"/>
      <c r="Z1829" s="318"/>
      <c r="AA1829" s="318"/>
      <c r="AB1829" s="318"/>
      <c r="AC1829" s="318"/>
      <c r="AD1829" s="318"/>
    </row>
    <row r="1830" spans="2:30" s="323" customFormat="1" ht="12" customHeight="1">
      <c r="B1830" s="324"/>
      <c r="C1830" s="325"/>
      <c r="D1830" s="326"/>
      <c r="E1830" s="326"/>
      <c r="F1830" s="326"/>
      <c r="G1830" s="326"/>
      <c r="H1830" s="326"/>
      <c r="P1830" s="318"/>
      <c r="Q1830" s="318"/>
      <c r="R1830" s="318"/>
      <c r="S1830" s="318"/>
      <c r="T1830" s="318"/>
      <c r="U1830" s="318"/>
      <c r="V1830" s="318"/>
      <c r="W1830" s="318"/>
      <c r="X1830" s="318"/>
      <c r="Y1830" s="318"/>
      <c r="Z1830" s="318"/>
      <c r="AA1830" s="318"/>
      <c r="AB1830" s="318"/>
      <c r="AC1830" s="318"/>
      <c r="AD1830" s="318"/>
    </row>
    <row r="1831" spans="2:30" s="323" customFormat="1" ht="12" customHeight="1">
      <c r="B1831" s="324"/>
      <c r="C1831" s="325"/>
      <c r="D1831" s="326"/>
      <c r="E1831" s="326"/>
      <c r="F1831" s="326"/>
      <c r="G1831" s="326"/>
      <c r="H1831" s="326"/>
      <c r="P1831" s="318"/>
      <c r="Q1831" s="318"/>
      <c r="R1831" s="318"/>
      <c r="S1831" s="318"/>
      <c r="T1831" s="318"/>
      <c r="U1831" s="318"/>
      <c r="V1831" s="318"/>
      <c r="W1831" s="318"/>
      <c r="X1831" s="318"/>
      <c r="Y1831" s="318"/>
      <c r="Z1831" s="318"/>
      <c r="AA1831" s="318"/>
      <c r="AB1831" s="318"/>
      <c r="AC1831" s="318"/>
      <c r="AD1831" s="318"/>
    </row>
    <row r="1832" spans="2:30" s="323" customFormat="1" ht="12" customHeight="1">
      <c r="B1832" s="324"/>
      <c r="C1832" s="325"/>
      <c r="D1832" s="326"/>
      <c r="E1832" s="326"/>
      <c r="F1832" s="326"/>
      <c r="G1832" s="326"/>
      <c r="H1832" s="326"/>
      <c r="P1832" s="318"/>
      <c r="Q1832" s="318"/>
      <c r="R1832" s="318"/>
      <c r="S1832" s="318"/>
      <c r="T1832" s="318"/>
      <c r="U1832" s="318"/>
      <c r="V1832" s="318"/>
      <c r="W1832" s="318"/>
      <c r="X1832" s="318"/>
      <c r="Y1832" s="318"/>
      <c r="Z1832" s="318"/>
      <c r="AA1832" s="318"/>
      <c r="AB1832" s="318"/>
      <c r="AC1832" s="318"/>
      <c r="AD1832" s="318"/>
    </row>
    <row r="1833" spans="2:30" s="323" customFormat="1" ht="12" customHeight="1">
      <c r="B1833" s="324"/>
      <c r="C1833" s="325"/>
      <c r="D1833" s="326"/>
      <c r="E1833" s="326"/>
      <c r="F1833" s="326"/>
      <c r="G1833" s="326"/>
      <c r="H1833" s="326"/>
      <c r="P1833" s="318"/>
      <c r="Q1833" s="318"/>
      <c r="R1833" s="318"/>
      <c r="S1833" s="318"/>
      <c r="T1833" s="318"/>
      <c r="U1833" s="318"/>
      <c r="V1833" s="318"/>
      <c r="W1833" s="318"/>
      <c r="X1833" s="318"/>
      <c r="Y1833" s="318"/>
      <c r="Z1833" s="318"/>
      <c r="AA1833" s="318"/>
      <c r="AB1833" s="318"/>
      <c r="AC1833" s="318"/>
      <c r="AD1833" s="318"/>
    </row>
    <row r="1834" spans="2:30" s="323" customFormat="1" ht="12" customHeight="1">
      <c r="B1834" s="324"/>
      <c r="C1834" s="325"/>
      <c r="D1834" s="326"/>
      <c r="E1834" s="326"/>
      <c r="F1834" s="326"/>
      <c r="G1834" s="326"/>
      <c r="H1834" s="326"/>
      <c r="P1834" s="318"/>
      <c r="Q1834" s="318"/>
      <c r="R1834" s="318"/>
      <c r="S1834" s="318"/>
      <c r="T1834" s="318"/>
      <c r="U1834" s="318"/>
      <c r="V1834" s="318"/>
      <c r="W1834" s="318"/>
      <c r="X1834" s="318"/>
      <c r="Y1834" s="318"/>
      <c r="Z1834" s="318"/>
      <c r="AA1834" s="318"/>
      <c r="AB1834" s="318"/>
      <c r="AC1834" s="318"/>
      <c r="AD1834" s="318"/>
    </row>
    <row r="1835" spans="2:30" s="323" customFormat="1" ht="12" customHeight="1">
      <c r="B1835" s="324"/>
      <c r="C1835" s="325"/>
      <c r="D1835" s="326"/>
      <c r="E1835" s="326"/>
      <c r="F1835" s="326"/>
      <c r="G1835" s="326"/>
      <c r="H1835" s="326"/>
      <c r="P1835" s="318"/>
      <c r="Q1835" s="318"/>
      <c r="R1835" s="318"/>
      <c r="S1835" s="318"/>
      <c r="T1835" s="318"/>
      <c r="U1835" s="318"/>
      <c r="V1835" s="318"/>
      <c r="W1835" s="318"/>
      <c r="X1835" s="318"/>
      <c r="Y1835" s="318"/>
      <c r="Z1835" s="318"/>
      <c r="AA1835" s="318"/>
      <c r="AB1835" s="318"/>
      <c r="AC1835" s="318"/>
      <c r="AD1835" s="318"/>
    </row>
    <row r="1836" spans="2:30" s="323" customFormat="1" ht="12" customHeight="1">
      <c r="B1836" s="324"/>
      <c r="C1836" s="325"/>
      <c r="D1836" s="326"/>
      <c r="E1836" s="326"/>
      <c r="F1836" s="326"/>
      <c r="G1836" s="326"/>
      <c r="H1836" s="326"/>
      <c r="P1836" s="318"/>
      <c r="Q1836" s="318"/>
      <c r="R1836" s="318"/>
      <c r="S1836" s="318"/>
      <c r="T1836" s="318"/>
      <c r="U1836" s="318"/>
      <c r="V1836" s="318"/>
      <c r="W1836" s="318"/>
      <c r="X1836" s="318"/>
      <c r="Y1836" s="318"/>
      <c r="Z1836" s="318"/>
      <c r="AA1836" s="318"/>
      <c r="AB1836" s="318"/>
      <c r="AC1836" s="318"/>
      <c r="AD1836" s="318"/>
    </row>
    <row r="1837" spans="2:30" s="323" customFormat="1" ht="12" customHeight="1">
      <c r="B1837" s="324"/>
      <c r="C1837" s="325"/>
      <c r="D1837" s="326"/>
      <c r="E1837" s="326"/>
      <c r="F1837" s="326"/>
      <c r="G1837" s="326"/>
      <c r="H1837" s="326"/>
      <c r="P1837" s="318"/>
      <c r="Q1837" s="318"/>
      <c r="R1837" s="318"/>
      <c r="S1837" s="318"/>
      <c r="T1837" s="318"/>
      <c r="U1837" s="318"/>
      <c r="V1837" s="318"/>
      <c r="W1837" s="318"/>
      <c r="X1837" s="318"/>
      <c r="Y1837" s="318"/>
      <c r="Z1837" s="318"/>
      <c r="AA1837" s="318"/>
      <c r="AB1837" s="318"/>
      <c r="AC1837" s="318"/>
      <c r="AD1837" s="318"/>
    </row>
    <row r="1838" spans="2:30" s="323" customFormat="1" ht="12" customHeight="1">
      <c r="B1838" s="324"/>
      <c r="C1838" s="325"/>
      <c r="D1838" s="326"/>
      <c r="E1838" s="326"/>
      <c r="F1838" s="326"/>
      <c r="G1838" s="326"/>
      <c r="H1838" s="326"/>
      <c r="P1838" s="318"/>
      <c r="Q1838" s="318"/>
      <c r="R1838" s="318"/>
      <c r="S1838" s="318"/>
      <c r="T1838" s="318"/>
      <c r="U1838" s="318"/>
      <c r="V1838" s="318"/>
      <c r="W1838" s="318"/>
      <c r="X1838" s="318"/>
      <c r="Y1838" s="318"/>
      <c r="Z1838" s="318"/>
      <c r="AA1838" s="318"/>
      <c r="AB1838" s="318"/>
      <c r="AC1838" s="318"/>
      <c r="AD1838" s="318"/>
    </row>
    <row r="1839" spans="2:30" s="323" customFormat="1" ht="12" customHeight="1">
      <c r="B1839" s="324"/>
      <c r="C1839" s="325"/>
      <c r="D1839" s="326"/>
      <c r="E1839" s="326"/>
      <c r="F1839" s="326"/>
      <c r="G1839" s="326"/>
      <c r="H1839" s="326"/>
      <c r="P1839" s="318"/>
      <c r="Q1839" s="318"/>
      <c r="R1839" s="318"/>
      <c r="S1839" s="318"/>
      <c r="T1839" s="318"/>
      <c r="U1839" s="318"/>
      <c r="V1839" s="318"/>
      <c r="W1839" s="318"/>
      <c r="X1839" s="318"/>
      <c r="Y1839" s="318"/>
      <c r="Z1839" s="318"/>
      <c r="AA1839" s="318"/>
      <c r="AB1839" s="318"/>
      <c r="AC1839" s="318"/>
      <c r="AD1839" s="318"/>
    </row>
    <row r="1840" spans="2:30" s="323" customFormat="1" ht="12" customHeight="1">
      <c r="B1840" s="324"/>
      <c r="C1840" s="325"/>
      <c r="D1840" s="326"/>
      <c r="E1840" s="326"/>
      <c r="F1840" s="326"/>
      <c r="G1840" s="326"/>
      <c r="H1840" s="326"/>
      <c r="P1840" s="318"/>
      <c r="Q1840" s="318"/>
      <c r="R1840" s="318"/>
      <c r="S1840" s="318"/>
      <c r="T1840" s="318"/>
      <c r="U1840" s="318"/>
      <c r="V1840" s="318"/>
      <c r="W1840" s="318"/>
      <c r="X1840" s="318"/>
      <c r="Y1840" s="318"/>
      <c r="Z1840" s="318"/>
      <c r="AA1840" s="318"/>
      <c r="AB1840" s="318"/>
      <c r="AC1840" s="318"/>
      <c r="AD1840" s="318"/>
    </row>
    <row r="1841" spans="2:30" s="323" customFormat="1" ht="12" customHeight="1">
      <c r="B1841" s="324"/>
      <c r="C1841" s="325"/>
      <c r="D1841" s="326"/>
      <c r="E1841" s="326"/>
      <c r="F1841" s="326"/>
      <c r="G1841" s="326"/>
      <c r="H1841" s="326"/>
      <c r="P1841" s="318"/>
      <c r="Q1841" s="318"/>
      <c r="R1841" s="318"/>
      <c r="S1841" s="318"/>
      <c r="T1841" s="318"/>
      <c r="U1841" s="318"/>
      <c r="V1841" s="318"/>
      <c r="W1841" s="318"/>
      <c r="X1841" s="318"/>
      <c r="Y1841" s="318"/>
      <c r="Z1841" s="318"/>
      <c r="AA1841" s="318"/>
      <c r="AB1841" s="318"/>
      <c r="AC1841" s="318"/>
      <c r="AD1841" s="318"/>
    </row>
    <row r="1842" spans="2:30" s="323" customFormat="1" ht="12" customHeight="1">
      <c r="B1842" s="324"/>
      <c r="C1842" s="325"/>
      <c r="D1842" s="326"/>
      <c r="E1842" s="326"/>
      <c r="F1842" s="326"/>
      <c r="G1842" s="326"/>
      <c r="H1842" s="326"/>
      <c r="P1842" s="318"/>
      <c r="Q1842" s="318"/>
      <c r="R1842" s="318"/>
      <c r="S1842" s="318"/>
      <c r="T1842" s="318"/>
      <c r="U1842" s="318"/>
      <c r="V1842" s="318"/>
      <c r="W1842" s="318"/>
      <c r="X1842" s="318"/>
      <c r="Y1842" s="318"/>
      <c r="Z1842" s="318"/>
      <c r="AA1842" s="318"/>
      <c r="AB1842" s="318"/>
      <c r="AC1842" s="318"/>
      <c r="AD1842" s="318"/>
    </row>
    <row r="1843" spans="2:30" s="323" customFormat="1" ht="12" customHeight="1">
      <c r="B1843" s="324"/>
      <c r="C1843" s="325"/>
      <c r="D1843" s="326"/>
      <c r="E1843" s="326"/>
      <c r="F1843" s="326"/>
      <c r="G1843" s="326"/>
      <c r="H1843" s="326"/>
      <c r="P1843" s="318"/>
      <c r="Q1843" s="318"/>
      <c r="R1843" s="318"/>
      <c r="S1843" s="318"/>
      <c r="T1843" s="318"/>
      <c r="U1843" s="318"/>
      <c r="V1843" s="318"/>
      <c r="W1843" s="318"/>
      <c r="X1843" s="318"/>
      <c r="Y1843" s="318"/>
      <c r="Z1843" s="318"/>
      <c r="AA1843" s="318"/>
      <c r="AB1843" s="318"/>
      <c r="AC1843" s="318"/>
      <c r="AD1843" s="318"/>
    </row>
    <row r="1844" spans="2:30" s="323" customFormat="1" ht="12" customHeight="1">
      <c r="B1844" s="324"/>
      <c r="C1844" s="325"/>
      <c r="D1844" s="326"/>
      <c r="E1844" s="326"/>
      <c r="F1844" s="326"/>
      <c r="G1844" s="326"/>
      <c r="H1844" s="326"/>
      <c r="P1844" s="318"/>
      <c r="Q1844" s="318"/>
      <c r="R1844" s="318"/>
      <c r="S1844" s="318"/>
      <c r="T1844" s="318"/>
      <c r="U1844" s="318"/>
      <c r="V1844" s="318"/>
      <c r="W1844" s="318"/>
      <c r="X1844" s="318"/>
      <c r="Y1844" s="318"/>
      <c r="Z1844" s="318"/>
      <c r="AA1844" s="318"/>
      <c r="AB1844" s="318"/>
      <c r="AC1844" s="318"/>
      <c r="AD1844" s="318"/>
    </row>
    <row r="1845" spans="2:30" s="323" customFormat="1" ht="12" customHeight="1">
      <c r="B1845" s="324"/>
      <c r="C1845" s="325"/>
      <c r="D1845" s="326"/>
      <c r="E1845" s="326"/>
      <c r="F1845" s="326"/>
      <c r="G1845" s="326"/>
      <c r="H1845" s="326"/>
      <c r="P1845" s="318"/>
      <c r="Q1845" s="318"/>
      <c r="R1845" s="318"/>
      <c r="S1845" s="318"/>
      <c r="T1845" s="318"/>
      <c r="U1845" s="318"/>
      <c r="V1845" s="318"/>
      <c r="W1845" s="318"/>
      <c r="X1845" s="318"/>
      <c r="Y1845" s="318"/>
      <c r="Z1845" s="318"/>
      <c r="AA1845" s="318"/>
      <c r="AB1845" s="318"/>
      <c r="AC1845" s="318"/>
      <c r="AD1845" s="318"/>
    </row>
    <row r="1846" spans="2:30" s="323" customFormat="1" ht="12" customHeight="1">
      <c r="B1846" s="324"/>
      <c r="C1846" s="325"/>
      <c r="D1846" s="326"/>
      <c r="E1846" s="326"/>
      <c r="F1846" s="326"/>
      <c r="G1846" s="326"/>
      <c r="H1846" s="326"/>
      <c r="P1846" s="318"/>
      <c r="Q1846" s="318"/>
      <c r="R1846" s="318"/>
      <c r="S1846" s="318"/>
      <c r="T1846" s="318"/>
      <c r="U1846" s="318"/>
      <c r="V1846" s="318"/>
      <c r="W1846" s="318"/>
      <c r="X1846" s="318"/>
      <c r="Y1846" s="318"/>
      <c r="Z1846" s="318"/>
      <c r="AA1846" s="318"/>
      <c r="AB1846" s="318"/>
      <c r="AC1846" s="318"/>
      <c r="AD1846" s="318"/>
    </row>
    <row r="1847" spans="2:30" s="323" customFormat="1" ht="12" customHeight="1">
      <c r="B1847" s="324"/>
      <c r="C1847" s="325"/>
      <c r="D1847" s="326"/>
      <c r="E1847" s="326"/>
      <c r="F1847" s="326"/>
      <c r="G1847" s="326"/>
      <c r="H1847" s="326"/>
      <c r="P1847" s="318"/>
      <c r="Q1847" s="318"/>
      <c r="R1847" s="318"/>
      <c r="S1847" s="318"/>
      <c r="T1847" s="318"/>
      <c r="U1847" s="318"/>
      <c r="V1847" s="318"/>
      <c r="W1847" s="318"/>
      <c r="X1847" s="318"/>
      <c r="Y1847" s="318"/>
      <c r="Z1847" s="318"/>
      <c r="AA1847" s="318"/>
      <c r="AB1847" s="318"/>
      <c r="AC1847" s="318"/>
      <c r="AD1847" s="318"/>
    </row>
    <row r="1848" spans="2:30" s="323" customFormat="1" ht="12" customHeight="1">
      <c r="B1848" s="324"/>
      <c r="C1848" s="325"/>
      <c r="D1848" s="326"/>
      <c r="E1848" s="326"/>
      <c r="F1848" s="326"/>
      <c r="G1848" s="326"/>
      <c r="H1848" s="326"/>
      <c r="P1848" s="318"/>
      <c r="Q1848" s="318"/>
      <c r="R1848" s="318"/>
      <c r="S1848" s="318"/>
      <c r="T1848" s="318"/>
      <c r="U1848" s="318"/>
      <c r="V1848" s="318"/>
      <c r="W1848" s="318"/>
      <c r="X1848" s="318"/>
      <c r="Y1848" s="318"/>
      <c r="Z1848" s="318"/>
      <c r="AA1848" s="318"/>
      <c r="AB1848" s="318"/>
      <c r="AC1848" s="318"/>
      <c r="AD1848" s="318"/>
    </row>
    <row r="1849" spans="2:30" s="323" customFormat="1" ht="12" customHeight="1">
      <c r="B1849" s="324"/>
      <c r="C1849" s="325"/>
      <c r="D1849" s="326"/>
      <c r="E1849" s="326"/>
      <c r="F1849" s="326"/>
      <c r="G1849" s="326"/>
      <c r="H1849" s="326"/>
      <c r="P1849" s="318"/>
      <c r="Q1849" s="318"/>
      <c r="R1849" s="318"/>
      <c r="S1849" s="318"/>
      <c r="T1849" s="318"/>
      <c r="U1849" s="318"/>
      <c r="V1849" s="318"/>
      <c r="W1849" s="318"/>
      <c r="X1849" s="318"/>
      <c r="Y1849" s="318"/>
      <c r="Z1849" s="318"/>
      <c r="AA1849" s="318"/>
      <c r="AB1849" s="318"/>
      <c r="AC1849" s="318"/>
      <c r="AD1849" s="318"/>
    </row>
    <row r="1850" spans="2:30" s="323" customFormat="1" ht="12" customHeight="1">
      <c r="B1850" s="324"/>
      <c r="C1850" s="325"/>
      <c r="D1850" s="326"/>
      <c r="E1850" s="326"/>
      <c r="F1850" s="326"/>
      <c r="G1850" s="326"/>
      <c r="H1850" s="326"/>
      <c r="P1850" s="318"/>
      <c r="Q1850" s="318"/>
      <c r="R1850" s="318"/>
      <c r="S1850" s="318"/>
      <c r="T1850" s="318"/>
      <c r="U1850" s="318"/>
      <c r="V1850" s="318"/>
      <c r="W1850" s="318"/>
      <c r="X1850" s="318"/>
      <c r="Y1850" s="318"/>
      <c r="Z1850" s="318"/>
      <c r="AA1850" s="318"/>
      <c r="AB1850" s="318"/>
      <c r="AC1850" s="318"/>
      <c r="AD1850" s="318"/>
    </row>
    <row r="1851" spans="2:30" s="323" customFormat="1" ht="12" customHeight="1">
      <c r="B1851" s="324"/>
      <c r="C1851" s="325"/>
      <c r="D1851" s="326"/>
      <c r="E1851" s="326"/>
      <c r="F1851" s="326"/>
      <c r="G1851" s="326"/>
      <c r="H1851" s="326"/>
      <c r="P1851" s="318"/>
      <c r="Q1851" s="318"/>
      <c r="R1851" s="318"/>
      <c r="S1851" s="318"/>
      <c r="T1851" s="318"/>
      <c r="U1851" s="318"/>
      <c r="V1851" s="318"/>
      <c r="W1851" s="318"/>
      <c r="X1851" s="318"/>
      <c r="Y1851" s="318"/>
      <c r="Z1851" s="318"/>
      <c r="AA1851" s="318"/>
      <c r="AB1851" s="318"/>
      <c r="AC1851" s="318"/>
      <c r="AD1851" s="318"/>
    </row>
    <row r="1852" spans="2:30" s="323" customFormat="1" ht="12" customHeight="1">
      <c r="B1852" s="324"/>
      <c r="C1852" s="325"/>
      <c r="D1852" s="326"/>
      <c r="E1852" s="326"/>
      <c r="F1852" s="326"/>
      <c r="G1852" s="326"/>
      <c r="H1852" s="326"/>
      <c r="P1852" s="318"/>
      <c r="Q1852" s="318"/>
      <c r="R1852" s="318"/>
      <c r="S1852" s="318"/>
      <c r="T1852" s="318"/>
      <c r="U1852" s="318"/>
      <c r="V1852" s="318"/>
      <c r="W1852" s="318"/>
      <c r="X1852" s="318"/>
      <c r="Y1852" s="318"/>
      <c r="Z1852" s="318"/>
      <c r="AA1852" s="318"/>
      <c r="AB1852" s="318"/>
      <c r="AC1852" s="318"/>
      <c r="AD1852" s="318"/>
    </row>
    <row r="1853" spans="2:30" s="323" customFormat="1" ht="12" customHeight="1">
      <c r="B1853" s="324"/>
      <c r="C1853" s="325"/>
      <c r="D1853" s="326"/>
      <c r="E1853" s="326"/>
      <c r="F1853" s="326"/>
      <c r="G1853" s="326"/>
      <c r="H1853" s="326"/>
      <c r="P1853" s="318"/>
      <c r="Q1853" s="318"/>
      <c r="R1853" s="318"/>
      <c r="S1853" s="318"/>
      <c r="T1853" s="318"/>
      <c r="U1853" s="318"/>
      <c r="V1853" s="318"/>
      <c r="W1853" s="318"/>
      <c r="X1853" s="318"/>
      <c r="Y1853" s="318"/>
      <c r="Z1853" s="318"/>
      <c r="AA1853" s="318"/>
      <c r="AB1853" s="318"/>
      <c r="AC1853" s="318"/>
      <c r="AD1853" s="318"/>
    </row>
    <row r="1854" spans="2:30" s="323" customFormat="1" ht="12" customHeight="1">
      <c r="B1854" s="324"/>
      <c r="C1854" s="325"/>
      <c r="D1854" s="326"/>
      <c r="E1854" s="326"/>
      <c r="F1854" s="326"/>
      <c r="G1854" s="326"/>
      <c r="H1854" s="326"/>
      <c r="P1854" s="318"/>
      <c r="Q1854" s="318"/>
      <c r="R1854" s="318"/>
      <c r="S1854" s="318"/>
      <c r="T1854" s="318"/>
      <c r="U1854" s="318"/>
      <c r="V1854" s="318"/>
      <c r="W1854" s="318"/>
      <c r="X1854" s="318"/>
      <c r="Y1854" s="318"/>
      <c r="Z1854" s="318"/>
      <c r="AA1854" s="318"/>
      <c r="AB1854" s="318"/>
      <c r="AC1854" s="318"/>
      <c r="AD1854" s="318"/>
    </row>
    <row r="1855" spans="2:30" s="323" customFormat="1" ht="12" customHeight="1">
      <c r="B1855" s="324"/>
      <c r="C1855" s="325"/>
      <c r="D1855" s="326"/>
      <c r="E1855" s="326"/>
      <c r="F1855" s="326"/>
      <c r="G1855" s="326"/>
      <c r="H1855" s="326"/>
      <c r="P1855" s="318"/>
      <c r="Q1855" s="318"/>
      <c r="R1855" s="318"/>
      <c r="S1855" s="318"/>
      <c r="T1855" s="318"/>
      <c r="U1855" s="318"/>
      <c r="V1855" s="318"/>
      <c r="W1855" s="318"/>
      <c r="X1855" s="318"/>
      <c r="Y1855" s="318"/>
      <c r="Z1855" s="318"/>
      <c r="AA1855" s="318"/>
      <c r="AB1855" s="318"/>
      <c r="AC1855" s="318"/>
      <c r="AD1855" s="318"/>
    </row>
    <row r="1856" spans="2:30" s="323" customFormat="1" ht="12" customHeight="1">
      <c r="B1856" s="324"/>
      <c r="C1856" s="325"/>
      <c r="D1856" s="326"/>
      <c r="E1856" s="326"/>
      <c r="F1856" s="326"/>
      <c r="G1856" s="326"/>
      <c r="H1856" s="326"/>
      <c r="P1856" s="318"/>
      <c r="Q1856" s="318"/>
      <c r="R1856" s="318"/>
      <c r="S1856" s="318"/>
      <c r="T1856" s="318"/>
      <c r="U1856" s="318"/>
      <c r="V1856" s="318"/>
      <c r="W1856" s="318"/>
      <c r="X1856" s="318"/>
      <c r="Y1856" s="318"/>
      <c r="Z1856" s="318"/>
      <c r="AA1856" s="318"/>
      <c r="AB1856" s="318"/>
      <c r="AC1856" s="318"/>
      <c r="AD1856" s="318"/>
    </row>
    <row r="1857" spans="2:30" s="323" customFormat="1" ht="12" customHeight="1">
      <c r="B1857" s="324"/>
      <c r="C1857" s="325"/>
      <c r="D1857" s="326"/>
      <c r="E1857" s="326"/>
      <c r="F1857" s="326"/>
      <c r="G1857" s="326"/>
      <c r="H1857" s="326"/>
      <c r="P1857" s="318"/>
      <c r="Q1857" s="318"/>
      <c r="R1857" s="318"/>
      <c r="S1857" s="318"/>
      <c r="T1857" s="318"/>
      <c r="U1857" s="318"/>
      <c r="V1857" s="318"/>
      <c r="W1857" s="318"/>
      <c r="X1857" s="318"/>
      <c r="Y1857" s="318"/>
      <c r="Z1857" s="318"/>
      <c r="AA1857" s="318"/>
      <c r="AB1857" s="318"/>
      <c r="AC1857" s="318"/>
      <c r="AD1857" s="318"/>
    </row>
    <row r="1858" spans="2:30" s="323" customFormat="1" ht="12" customHeight="1">
      <c r="B1858" s="324"/>
      <c r="C1858" s="325"/>
      <c r="D1858" s="326"/>
      <c r="E1858" s="326"/>
      <c r="F1858" s="326"/>
      <c r="G1858" s="326"/>
      <c r="H1858" s="326"/>
      <c r="P1858" s="318"/>
      <c r="Q1858" s="318"/>
      <c r="R1858" s="318"/>
      <c r="S1858" s="318"/>
      <c r="T1858" s="318"/>
      <c r="U1858" s="318"/>
      <c r="V1858" s="318"/>
      <c r="W1858" s="318"/>
      <c r="X1858" s="318"/>
      <c r="Y1858" s="318"/>
      <c r="Z1858" s="318"/>
      <c r="AA1858" s="318"/>
      <c r="AB1858" s="318"/>
      <c r="AC1858" s="318"/>
      <c r="AD1858" s="318"/>
    </row>
    <row r="1859" spans="2:30" s="323" customFormat="1" ht="12" customHeight="1">
      <c r="B1859" s="324"/>
      <c r="C1859" s="325"/>
      <c r="D1859" s="326"/>
      <c r="E1859" s="326"/>
      <c r="F1859" s="326"/>
      <c r="G1859" s="326"/>
      <c r="H1859" s="326"/>
      <c r="P1859" s="318"/>
      <c r="Q1859" s="318"/>
      <c r="R1859" s="318"/>
      <c r="S1859" s="318"/>
      <c r="T1859" s="318"/>
      <c r="U1859" s="318"/>
      <c r="V1859" s="318"/>
      <c r="W1859" s="318"/>
      <c r="X1859" s="318"/>
      <c r="Y1859" s="318"/>
      <c r="Z1859" s="318"/>
      <c r="AA1859" s="318"/>
      <c r="AB1859" s="318"/>
      <c r="AC1859" s="318"/>
      <c r="AD1859" s="318"/>
    </row>
    <row r="1860" spans="2:30" s="323" customFormat="1" ht="12" customHeight="1">
      <c r="B1860" s="324"/>
      <c r="C1860" s="325"/>
      <c r="D1860" s="326"/>
      <c r="E1860" s="326"/>
      <c r="F1860" s="326"/>
      <c r="G1860" s="326"/>
      <c r="H1860" s="326"/>
      <c r="P1860" s="318"/>
      <c r="Q1860" s="318"/>
      <c r="R1860" s="318"/>
      <c r="S1860" s="318"/>
      <c r="T1860" s="318"/>
      <c r="U1860" s="318"/>
      <c r="V1860" s="318"/>
      <c r="W1860" s="318"/>
      <c r="X1860" s="318"/>
      <c r="Y1860" s="318"/>
      <c r="Z1860" s="318"/>
      <c r="AA1860" s="318"/>
      <c r="AB1860" s="318"/>
      <c r="AC1860" s="318"/>
      <c r="AD1860" s="318"/>
    </row>
    <row r="1861" spans="2:30" s="323" customFormat="1" ht="12" customHeight="1">
      <c r="B1861" s="324"/>
      <c r="C1861" s="325"/>
      <c r="D1861" s="326"/>
      <c r="E1861" s="326"/>
      <c r="F1861" s="326"/>
      <c r="G1861" s="326"/>
      <c r="H1861" s="326"/>
      <c r="P1861" s="318"/>
      <c r="Q1861" s="318"/>
      <c r="R1861" s="318"/>
      <c r="S1861" s="318"/>
      <c r="T1861" s="318"/>
      <c r="U1861" s="318"/>
      <c r="V1861" s="318"/>
      <c r="W1861" s="318"/>
      <c r="X1861" s="318"/>
      <c r="Y1861" s="318"/>
      <c r="Z1861" s="318"/>
      <c r="AA1861" s="318"/>
      <c r="AB1861" s="318"/>
      <c r="AC1861" s="318"/>
      <c r="AD1861" s="318"/>
    </row>
    <row r="1862" spans="2:30" s="323" customFormat="1" ht="12" customHeight="1">
      <c r="B1862" s="324"/>
      <c r="C1862" s="325"/>
      <c r="D1862" s="326"/>
      <c r="E1862" s="326"/>
      <c r="F1862" s="326"/>
      <c r="G1862" s="326"/>
      <c r="H1862" s="326"/>
      <c r="P1862" s="318"/>
      <c r="Q1862" s="318"/>
      <c r="R1862" s="318"/>
      <c r="S1862" s="318"/>
      <c r="T1862" s="318"/>
      <c r="U1862" s="318"/>
      <c r="V1862" s="318"/>
      <c r="W1862" s="318"/>
      <c r="X1862" s="318"/>
      <c r="Y1862" s="318"/>
      <c r="Z1862" s="318"/>
      <c r="AA1862" s="318"/>
      <c r="AB1862" s="318"/>
      <c r="AC1862" s="318"/>
      <c r="AD1862" s="318"/>
    </row>
    <row r="1863" spans="2:30" s="323" customFormat="1" ht="12" customHeight="1">
      <c r="B1863" s="324"/>
      <c r="C1863" s="325"/>
      <c r="D1863" s="326"/>
      <c r="E1863" s="326"/>
      <c r="F1863" s="326"/>
      <c r="G1863" s="326"/>
      <c r="H1863" s="326"/>
      <c r="P1863" s="318"/>
      <c r="Q1863" s="318"/>
      <c r="R1863" s="318"/>
      <c r="S1863" s="318"/>
      <c r="T1863" s="318"/>
      <c r="U1863" s="318"/>
      <c r="V1863" s="318"/>
      <c r="W1863" s="318"/>
      <c r="X1863" s="318"/>
      <c r="Y1863" s="318"/>
      <c r="Z1863" s="318"/>
      <c r="AA1863" s="318"/>
      <c r="AB1863" s="318"/>
      <c r="AC1863" s="318"/>
      <c r="AD1863" s="318"/>
    </row>
    <row r="1864" spans="2:30" s="323" customFormat="1" ht="12" customHeight="1">
      <c r="B1864" s="324"/>
      <c r="C1864" s="325"/>
      <c r="D1864" s="326"/>
      <c r="E1864" s="326"/>
      <c r="F1864" s="326"/>
      <c r="G1864" s="326"/>
      <c r="H1864" s="326"/>
      <c r="P1864" s="318"/>
      <c r="Q1864" s="318"/>
      <c r="R1864" s="318"/>
      <c r="S1864" s="318"/>
      <c r="T1864" s="318"/>
      <c r="U1864" s="318"/>
      <c r="V1864" s="318"/>
      <c r="W1864" s="318"/>
      <c r="X1864" s="318"/>
      <c r="Y1864" s="318"/>
      <c r="Z1864" s="318"/>
      <c r="AA1864" s="318"/>
      <c r="AB1864" s="318"/>
      <c r="AC1864" s="318"/>
      <c r="AD1864" s="318"/>
    </row>
    <row r="1865" spans="2:30" s="323" customFormat="1" ht="12" customHeight="1">
      <c r="B1865" s="324"/>
      <c r="C1865" s="325"/>
      <c r="D1865" s="326"/>
      <c r="E1865" s="326"/>
      <c r="F1865" s="326"/>
      <c r="G1865" s="326"/>
      <c r="H1865" s="326"/>
      <c r="P1865" s="318"/>
      <c r="Q1865" s="318"/>
      <c r="R1865" s="318"/>
      <c r="S1865" s="318"/>
      <c r="T1865" s="318"/>
      <c r="U1865" s="318"/>
      <c r="V1865" s="318"/>
      <c r="W1865" s="318"/>
      <c r="X1865" s="318"/>
      <c r="Y1865" s="318"/>
      <c r="Z1865" s="318"/>
      <c r="AA1865" s="318"/>
      <c r="AB1865" s="318"/>
      <c r="AC1865" s="318"/>
      <c r="AD1865" s="318"/>
    </row>
    <row r="1866" spans="2:30" s="323" customFormat="1" ht="12" customHeight="1">
      <c r="B1866" s="324"/>
      <c r="C1866" s="325"/>
      <c r="D1866" s="326"/>
      <c r="E1866" s="326"/>
      <c r="F1866" s="326"/>
      <c r="G1866" s="326"/>
      <c r="H1866" s="326"/>
      <c r="P1866" s="318"/>
      <c r="Q1866" s="318"/>
      <c r="R1866" s="318"/>
      <c r="S1866" s="318"/>
      <c r="T1866" s="318"/>
      <c r="U1866" s="318"/>
      <c r="V1866" s="318"/>
      <c r="W1866" s="318"/>
      <c r="X1866" s="318"/>
      <c r="Y1866" s="318"/>
      <c r="Z1866" s="318"/>
      <c r="AA1866" s="318"/>
      <c r="AB1866" s="318"/>
      <c r="AC1866" s="318"/>
      <c r="AD1866" s="318"/>
    </row>
    <row r="1867" spans="2:30" s="323" customFormat="1" ht="12" customHeight="1">
      <c r="B1867" s="324"/>
      <c r="C1867" s="325"/>
      <c r="D1867" s="326"/>
      <c r="E1867" s="326"/>
      <c r="F1867" s="326"/>
      <c r="G1867" s="326"/>
      <c r="H1867" s="326"/>
      <c r="P1867" s="318"/>
      <c r="Q1867" s="318"/>
      <c r="R1867" s="318"/>
      <c r="S1867" s="318"/>
      <c r="T1867" s="318"/>
      <c r="U1867" s="318"/>
      <c r="V1867" s="318"/>
      <c r="W1867" s="318"/>
      <c r="X1867" s="318"/>
      <c r="Y1867" s="318"/>
      <c r="Z1867" s="318"/>
      <c r="AA1867" s="318"/>
      <c r="AB1867" s="318"/>
      <c r="AC1867" s="318"/>
      <c r="AD1867" s="318"/>
    </row>
    <row r="1868" spans="2:30" s="323" customFormat="1" ht="12" customHeight="1">
      <c r="B1868" s="324"/>
      <c r="C1868" s="325"/>
      <c r="D1868" s="326"/>
      <c r="E1868" s="326"/>
      <c r="F1868" s="326"/>
      <c r="G1868" s="326"/>
      <c r="H1868" s="326"/>
      <c r="P1868" s="318"/>
      <c r="Q1868" s="318"/>
      <c r="R1868" s="318"/>
      <c r="S1868" s="318"/>
      <c r="T1868" s="318"/>
      <c r="U1868" s="318"/>
      <c r="V1868" s="318"/>
      <c r="W1868" s="318"/>
      <c r="X1868" s="318"/>
      <c r="Y1868" s="318"/>
      <c r="Z1868" s="318"/>
      <c r="AA1868" s="318"/>
      <c r="AB1868" s="318"/>
      <c r="AC1868" s="318"/>
      <c r="AD1868" s="318"/>
    </row>
    <row r="1869" spans="2:30" s="323" customFormat="1" ht="12" customHeight="1">
      <c r="B1869" s="324"/>
      <c r="C1869" s="325"/>
      <c r="D1869" s="326"/>
      <c r="E1869" s="326"/>
      <c r="F1869" s="326"/>
      <c r="G1869" s="326"/>
      <c r="H1869" s="326"/>
      <c r="P1869" s="318"/>
      <c r="Q1869" s="318"/>
      <c r="R1869" s="318"/>
      <c r="S1869" s="318"/>
      <c r="T1869" s="318"/>
      <c r="U1869" s="318"/>
      <c r="V1869" s="318"/>
      <c r="W1869" s="318"/>
      <c r="X1869" s="318"/>
      <c r="Y1869" s="318"/>
      <c r="Z1869" s="318"/>
      <c r="AA1869" s="318"/>
      <c r="AB1869" s="318"/>
      <c r="AC1869" s="318"/>
      <c r="AD1869" s="318"/>
    </row>
    <row r="1870" spans="2:30" s="323" customFormat="1" ht="12" customHeight="1">
      <c r="B1870" s="324"/>
      <c r="C1870" s="325"/>
      <c r="D1870" s="326"/>
      <c r="E1870" s="326"/>
      <c r="F1870" s="326"/>
      <c r="G1870" s="326"/>
      <c r="H1870" s="326"/>
      <c r="P1870" s="318"/>
      <c r="Q1870" s="318"/>
      <c r="R1870" s="318"/>
      <c r="S1870" s="318"/>
      <c r="T1870" s="318"/>
      <c r="U1870" s="318"/>
      <c r="V1870" s="318"/>
      <c r="W1870" s="318"/>
      <c r="X1870" s="318"/>
      <c r="Y1870" s="318"/>
      <c r="Z1870" s="318"/>
      <c r="AA1870" s="318"/>
      <c r="AB1870" s="318"/>
      <c r="AC1870" s="318"/>
      <c r="AD1870" s="318"/>
    </row>
    <row r="1871" spans="2:30" s="323" customFormat="1" ht="12" customHeight="1">
      <c r="B1871" s="324"/>
      <c r="C1871" s="325"/>
      <c r="D1871" s="326"/>
      <c r="E1871" s="326"/>
      <c r="F1871" s="326"/>
      <c r="G1871" s="326"/>
      <c r="H1871" s="326"/>
      <c r="P1871" s="318"/>
      <c r="Q1871" s="318"/>
      <c r="R1871" s="318"/>
      <c r="S1871" s="318"/>
      <c r="T1871" s="318"/>
      <c r="U1871" s="318"/>
      <c r="V1871" s="318"/>
      <c r="W1871" s="318"/>
      <c r="X1871" s="318"/>
      <c r="Y1871" s="318"/>
      <c r="Z1871" s="318"/>
      <c r="AA1871" s="318"/>
      <c r="AB1871" s="318"/>
      <c r="AC1871" s="318"/>
      <c r="AD1871" s="318"/>
    </row>
    <row r="1872" spans="2:30" s="323" customFormat="1" ht="12" customHeight="1">
      <c r="B1872" s="324"/>
      <c r="C1872" s="325"/>
      <c r="D1872" s="326"/>
      <c r="E1872" s="326"/>
      <c r="F1872" s="326"/>
      <c r="G1872" s="326"/>
      <c r="H1872" s="326"/>
      <c r="P1872" s="318"/>
      <c r="Q1872" s="318"/>
      <c r="R1872" s="318"/>
      <c r="S1872" s="318"/>
      <c r="T1872" s="318"/>
      <c r="U1872" s="318"/>
      <c r="V1872" s="318"/>
      <c r="W1872" s="318"/>
      <c r="X1872" s="318"/>
      <c r="Y1872" s="318"/>
      <c r="Z1872" s="318"/>
      <c r="AA1872" s="318"/>
      <c r="AB1872" s="318"/>
      <c r="AC1872" s="318"/>
      <c r="AD1872" s="318"/>
    </row>
    <row r="1873" spans="2:30" s="323" customFormat="1" ht="12" customHeight="1">
      <c r="B1873" s="324"/>
      <c r="C1873" s="325"/>
      <c r="D1873" s="326"/>
      <c r="E1873" s="326"/>
      <c r="F1873" s="326"/>
      <c r="G1873" s="326"/>
      <c r="H1873" s="326"/>
      <c r="P1873" s="318"/>
      <c r="Q1873" s="318"/>
      <c r="R1873" s="318"/>
      <c r="S1873" s="318"/>
      <c r="T1873" s="318"/>
      <c r="U1873" s="318"/>
      <c r="V1873" s="318"/>
      <c r="W1873" s="318"/>
      <c r="X1873" s="318"/>
      <c r="Y1873" s="318"/>
      <c r="Z1873" s="318"/>
      <c r="AA1873" s="318"/>
      <c r="AB1873" s="318"/>
      <c r="AC1873" s="318"/>
      <c r="AD1873" s="318"/>
    </row>
    <row r="1874" spans="2:30" s="323" customFormat="1" ht="12" customHeight="1">
      <c r="B1874" s="324"/>
      <c r="C1874" s="325"/>
      <c r="D1874" s="326"/>
      <c r="E1874" s="326"/>
      <c r="F1874" s="326"/>
      <c r="G1874" s="326"/>
      <c r="H1874" s="326"/>
      <c r="P1874" s="318"/>
      <c r="Q1874" s="318"/>
      <c r="R1874" s="318"/>
      <c r="S1874" s="318"/>
      <c r="T1874" s="318"/>
      <c r="U1874" s="318"/>
      <c r="V1874" s="318"/>
      <c r="W1874" s="318"/>
      <c r="X1874" s="318"/>
      <c r="Y1874" s="318"/>
      <c r="Z1874" s="318"/>
      <c r="AA1874" s="318"/>
      <c r="AB1874" s="318"/>
      <c r="AC1874" s="318"/>
      <c r="AD1874" s="318"/>
    </row>
    <row r="1875" spans="2:30" s="323" customFormat="1" ht="12" customHeight="1">
      <c r="B1875" s="324"/>
      <c r="C1875" s="325"/>
      <c r="D1875" s="326"/>
      <c r="E1875" s="326"/>
      <c r="F1875" s="326"/>
      <c r="G1875" s="326"/>
      <c r="H1875" s="326"/>
      <c r="P1875" s="318"/>
      <c r="Q1875" s="318"/>
      <c r="R1875" s="318"/>
      <c r="S1875" s="318"/>
      <c r="T1875" s="318"/>
      <c r="U1875" s="318"/>
      <c r="V1875" s="318"/>
      <c r="W1875" s="318"/>
      <c r="X1875" s="318"/>
      <c r="Y1875" s="318"/>
      <c r="Z1875" s="318"/>
      <c r="AA1875" s="318"/>
      <c r="AB1875" s="318"/>
      <c r="AC1875" s="318"/>
      <c r="AD1875" s="318"/>
    </row>
    <row r="1876" spans="2:30" s="323" customFormat="1" ht="12" customHeight="1">
      <c r="B1876" s="324"/>
      <c r="C1876" s="325"/>
      <c r="D1876" s="326"/>
      <c r="E1876" s="326"/>
      <c r="F1876" s="326"/>
      <c r="G1876" s="326"/>
      <c r="H1876" s="326"/>
      <c r="P1876" s="318"/>
      <c r="Q1876" s="318"/>
      <c r="R1876" s="318"/>
      <c r="S1876" s="318"/>
      <c r="T1876" s="318"/>
      <c r="U1876" s="318"/>
      <c r="V1876" s="318"/>
      <c r="W1876" s="318"/>
      <c r="X1876" s="318"/>
      <c r="Y1876" s="318"/>
      <c r="Z1876" s="318"/>
      <c r="AA1876" s="318"/>
      <c r="AB1876" s="318"/>
      <c r="AC1876" s="318"/>
      <c r="AD1876" s="318"/>
    </row>
    <row r="1877" spans="2:30" s="323" customFormat="1" ht="12" customHeight="1">
      <c r="B1877" s="324"/>
      <c r="C1877" s="325"/>
      <c r="D1877" s="326"/>
      <c r="E1877" s="326"/>
      <c r="F1877" s="326"/>
      <c r="G1877" s="326"/>
      <c r="H1877" s="326"/>
      <c r="P1877" s="318"/>
      <c r="Q1877" s="318"/>
      <c r="R1877" s="318"/>
      <c r="S1877" s="318"/>
      <c r="T1877" s="318"/>
      <c r="U1877" s="318"/>
      <c r="V1877" s="318"/>
      <c r="W1877" s="318"/>
      <c r="X1877" s="318"/>
      <c r="Y1877" s="318"/>
      <c r="Z1877" s="318"/>
      <c r="AA1877" s="318"/>
      <c r="AB1877" s="318"/>
      <c r="AC1877" s="318"/>
      <c r="AD1877" s="318"/>
    </row>
    <row r="1878" spans="2:30" s="323" customFormat="1" ht="12" customHeight="1">
      <c r="B1878" s="324"/>
      <c r="C1878" s="325"/>
      <c r="D1878" s="326"/>
      <c r="E1878" s="326"/>
      <c r="F1878" s="326"/>
      <c r="G1878" s="326"/>
      <c r="H1878" s="326"/>
      <c r="P1878" s="318"/>
      <c r="Q1878" s="318"/>
      <c r="R1878" s="318"/>
      <c r="S1878" s="318"/>
      <c r="T1878" s="318"/>
      <c r="U1878" s="318"/>
      <c r="V1878" s="318"/>
      <c r="W1878" s="318"/>
      <c r="X1878" s="318"/>
      <c r="Y1878" s="318"/>
      <c r="Z1878" s="318"/>
      <c r="AA1878" s="318"/>
      <c r="AB1878" s="318"/>
      <c r="AC1878" s="318"/>
      <c r="AD1878" s="318"/>
    </row>
    <row r="1879" spans="2:30" s="323" customFormat="1" ht="12" customHeight="1">
      <c r="B1879" s="324"/>
      <c r="C1879" s="325"/>
      <c r="D1879" s="326"/>
      <c r="E1879" s="326"/>
      <c r="F1879" s="326"/>
      <c r="G1879" s="326"/>
      <c r="H1879" s="326"/>
      <c r="P1879" s="318"/>
      <c r="Q1879" s="318"/>
      <c r="R1879" s="318"/>
      <c r="S1879" s="318"/>
      <c r="T1879" s="318"/>
      <c r="U1879" s="318"/>
      <c r="V1879" s="318"/>
      <c r="W1879" s="318"/>
      <c r="X1879" s="318"/>
      <c r="Y1879" s="318"/>
      <c r="Z1879" s="318"/>
      <c r="AA1879" s="318"/>
      <c r="AB1879" s="318"/>
      <c r="AC1879" s="318"/>
      <c r="AD1879" s="318"/>
    </row>
    <row r="1880" spans="2:30" s="323" customFormat="1" ht="12" customHeight="1">
      <c r="B1880" s="324"/>
      <c r="C1880" s="325"/>
      <c r="D1880" s="326"/>
      <c r="E1880" s="326"/>
      <c r="F1880" s="326"/>
      <c r="G1880" s="326"/>
      <c r="H1880" s="326"/>
      <c r="P1880" s="318"/>
      <c r="Q1880" s="318"/>
      <c r="R1880" s="318"/>
      <c r="S1880" s="318"/>
      <c r="T1880" s="318"/>
      <c r="U1880" s="318"/>
      <c r="V1880" s="318"/>
      <c r="W1880" s="318"/>
      <c r="X1880" s="318"/>
      <c r="Y1880" s="318"/>
      <c r="Z1880" s="318"/>
      <c r="AA1880" s="318"/>
      <c r="AB1880" s="318"/>
      <c r="AC1880" s="318"/>
      <c r="AD1880" s="318"/>
    </row>
    <row r="1881" spans="2:30" s="323" customFormat="1" ht="12" customHeight="1">
      <c r="B1881" s="324"/>
      <c r="C1881" s="325"/>
      <c r="D1881" s="326"/>
      <c r="E1881" s="326"/>
      <c r="F1881" s="326"/>
      <c r="G1881" s="326"/>
      <c r="H1881" s="326"/>
      <c r="P1881" s="318"/>
      <c r="Q1881" s="318"/>
      <c r="R1881" s="318"/>
      <c r="S1881" s="318"/>
      <c r="T1881" s="318"/>
      <c r="U1881" s="318"/>
      <c r="V1881" s="318"/>
      <c r="W1881" s="318"/>
      <c r="X1881" s="318"/>
      <c r="Y1881" s="318"/>
      <c r="Z1881" s="318"/>
      <c r="AA1881" s="318"/>
      <c r="AB1881" s="318"/>
      <c r="AC1881" s="318"/>
      <c r="AD1881" s="318"/>
    </row>
    <row r="1882" spans="2:30" s="323" customFormat="1" ht="12" customHeight="1">
      <c r="B1882" s="324"/>
      <c r="C1882" s="325"/>
      <c r="D1882" s="326"/>
      <c r="E1882" s="326"/>
      <c r="F1882" s="326"/>
      <c r="G1882" s="326"/>
      <c r="H1882" s="326"/>
      <c r="P1882" s="318"/>
      <c r="Q1882" s="318"/>
      <c r="R1882" s="318"/>
      <c r="S1882" s="318"/>
      <c r="T1882" s="318"/>
      <c r="U1882" s="318"/>
      <c r="V1882" s="318"/>
      <c r="W1882" s="318"/>
      <c r="X1882" s="318"/>
      <c r="Y1882" s="318"/>
      <c r="Z1882" s="318"/>
      <c r="AA1882" s="318"/>
      <c r="AB1882" s="318"/>
      <c r="AC1882" s="318"/>
      <c r="AD1882" s="318"/>
    </row>
    <row r="1883" spans="2:30" s="323" customFormat="1" ht="12" customHeight="1">
      <c r="B1883" s="324"/>
      <c r="C1883" s="325"/>
      <c r="D1883" s="326"/>
      <c r="E1883" s="326"/>
      <c r="F1883" s="326"/>
      <c r="G1883" s="326"/>
      <c r="H1883" s="326"/>
      <c r="P1883" s="318"/>
      <c r="Q1883" s="318"/>
      <c r="R1883" s="318"/>
      <c r="S1883" s="318"/>
      <c r="T1883" s="318"/>
      <c r="U1883" s="318"/>
      <c r="V1883" s="318"/>
      <c r="W1883" s="318"/>
      <c r="X1883" s="318"/>
      <c r="Y1883" s="318"/>
      <c r="Z1883" s="318"/>
      <c r="AA1883" s="318"/>
      <c r="AB1883" s="318"/>
      <c r="AC1883" s="318"/>
      <c r="AD1883" s="318"/>
    </row>
    <row r="1884" spans="2:30" s="323" customFormat="1" ht="12" customHeight="1">
      <c r="B1884" s="324"/>
      <c r="C1884" s="325"/>
      <c r="D1884" s="326"/>
      <c r="E1884" s="326"/>
      <c r="F1884" s="326"/>
      <c r="G1884" s="326"/>
      <c r="H1884" s="326"/>
      <c r="P1884" s="318"/>
      <c r="Q1884" s="318"/>
      <c r="R1884" s="318"/>
      <c r="S1884" s="318"/>
      <c r="T1884" s="318"/>
      <c r="U1884" s="318"/>
      <c r="V1884" s="318"/>
      <c r="W1884" s="318"/>
      <c r="X1884" s="318"/>
      <c r="Y1884" s="318"/>
      <c r="Z1884" s="318"/>
      <c r="AA1884" s="318"/>
      <c r="AB1884" s="318"/>
      <c r="AC1884" s="318"/>
      <c r="AD1884" s="318"/>
    </row>
    <row r="1885" spans="2:30" s="323" customFormat="1" ht="12" customHeight="1">
      <c r="B1885" s="324"/>
      <c r="C1885" s="325"/>
      <c r="D1885" s="326"/>
      <c r="E1885" s="326"/>
      <c r="F1885" s="326"/>
      <c r="G1885" s="326"/>
      <c r="H1885" s="326"/>
      <c r="P1885" s="318"/>
      <c r="Q1885" s="318"/>
      <c r="R1885" s="318"/>
      <c r="S1885" s="318"/>
      <c r="T1885" s="318"/>
      <c r="U1885" s="318"/>
      <c r="V1885" s="318"/>
      <c r="W1885" s="318"/>
      <c r="X1885" s="318"/>
      <c r="Y1885" s="318"/>
      <c r="Z1885" s="318"/>
      <c r="AA1885" s="318"/>
      <c r="AB1885" s="318"/>
      <c r="AC1885" s="318"/>
      <c r="AD1885" s="318"/>
    </row>
    <row r="1886" spans="2:30" s="323" customFormat="1" ht="12" customHeight="1">
      <c r="B1886" s="324"/>
      <c r="C1886" s="325"/>
      <c r="D1886" s="326"/>
      <c r="E1886" s="326"/>
      <c r="F1886" s="326"/>
      <c r="G1886" s="326"/>
      <c r="H1886" s="326"/>
      <c r="P1886" s="318"/>
      <c r="Q1886" s="318"/>
      <c r="R1886" s="318"/>
      <c r="S1886" s="318"/>
      <c r="T1886" s="318"/>
      <c r="U1886" s="318"/>
      <c r="V1886" s="318"/>
      <c r="W1886" s="318"/>
      <c r="X1886" s="318"/>
      <c r="Y1886" s="318"/>
      <c r="Z1886" s="318"/>
      <c r="AA1886" s="318"/>
      <c r="AB1886" s="318"/>
      <c r="AC1886" s="318"/>
      <c r="AD1886" s="318"/>
    </row>
    <row r="1887" spans="2:30" s="323" customFormat="1" ht="12" customHeight="1">
      <c r="B1887" s="324"/>
      <c r="C1887" s="325"/>
      <c r="D1887" s="326"/>
      <c r="E1887" s="326"/>
      <c r="F1887" s="326"/>
      <c r="G1887" s="326"/>
      <c r="H1887" s="326"/>
      <c r="P1887" s="318"/>
      <c r="Q1887" s="318"/>
      <c r="R1887" s="318"/>
      <c r="S1887" s="318"/>
      <c r="T1887" s="318"/>
      <c r="U1887" s="318"/>
      <c r="V1887" s="318"/>
      <c r="W1887" s="318"/>
      <c r="X1887" s="318"/>
      <c r="Y1887" s="318"/>
      <c r="Z1887" s="318"/>
      <c r="AA1887" s="318"/>
      <c r="AB1887" s="318"/>
      <c r="AC1887" s="318"/>
      <c r="AD1887" s="318"/>
    </row>
    <row r="1888" spans="2:30" s="323" customFormat="1" ht="12" customHeight="1">
      <c r="B1888" s="324"/>
      <c r="C1888" s="325"/>
      <c r="D1888" s="326"/>
      <c r="E1888" s="326"/>
      <c r="F1888" s="326"/>
      <c r="G1888" s="326"/>
      <c r="H1888" s="326"/>
      <c r="P1888" s="318"/>
      <c r="Q1888" s="318"/>
      <c r="R1888" s="318"/>
      <c r="S1888" s="318"/>
      <c r="T1888" s="318"/>
      <c r="U1888" s="318"/>
      <c r="V1888" s="318"/>
      <c r="W1888" s="318"/>
      <c r="X1888" s="318"/>
      <c r="Y1888" s="318"/>
      <c r="Z1888" s="318"/>
      <c r="AA1888" s="318"/>
      <c r="AB1888" s="318"/>
      <c r="AC1888" s="318"/>
      <c r="AD1888" s="318"/>
    </row>
    <row r="1889" spans="2:30" s="323" customFormat="1" ht="12" customHeight="1">
      <c r="B1889" s="324"/>
      <c r="C1889" s="325"/>
      <c r="D1889" s="326"/>
      <c r="E1889" s="326"/>
      <c r="F1889" s="326"/>
      <c r="G1889" s="326"/>
      <c r="H1889" s="326"/>
      <c r="P1889" s="318"/>
      <c r="Q1889" s="318"/>
      <c r="R1889" s="318"/>
      <c r="S1889" s="318"/>
      <c r="T1889" s="318"/>
      <c r="U1889" s="318"/>
      <c r="V1889" s="318"/>
      <c r="W1889" s="318"/>
      <c r="X1889" s="318"/>
      <c r="Y1889" s="318"/>
      <c r="Z1889" s="318"/>
      <c r="AA1889" s="318"/>
      <c r="AB1889" s="318"/>
      <c r="AC1889" s="318"/>
      <c r="AD1889" s="318"/>
    </row>
    <row r="1890" spans="2:30" s="323" customFormat="1" ht="12" customHeight="1">
      <c r="B1890" s="324"/>
      <c r="C1890" s="325"/>
      <c r="D1890" s="326"/>
      <c r="E1890" s="326"/>
      <c r="F1890" s="326"/>
      <c r="G1890" s="326"/>
      <c r="H1890" s="326"/>
      <c r="P1890" s="318"/>
      <c r="Q1890" s="318"/>
      <c r="R1890" s="318"/>
      <c r="S1890" s="318"/>
      <c r="T1890" s="318"/>
      <c r="U1890" s="318"/>
      <c r="V1890" s="318"/>
      <c r="W1890" s="318"/>
      <c r="X1890" s="318"/>
      <c r="Y1890" s="318"/>
      <c r="Z1890" s="318"/>
      <c r="AA1890" s="318"/>
      <c r="AB1890" s="318"/>
      <c r="AC1890" s="318"/>
      <c r="AD1890" s="318"/>
    </row>
    <row r="1891" spans="2:30" s="323" customFormat="1" ht="12" customHeight="1">
      <c r="B1891" s="324"/>
      <c r="C1891" s="325"/>
      <c r="D1891" s="326"/>
      <c r="E1891" s="326"/>
      <c r="F1891" s="326"/>
      <c r="G1891" s="326"/>
      <c r="H1891" s="326"/>
      <c r="P1891" s="318"/>
      <c r="Q1891" s="318"/>
      <c r="R1891" s="318"/>
      <c r="S1891" s="318"/>
      <c r="T1891" s="318"/>
      <c r="U1891" s="318"/>
      <c r="V1891" s="318"/>
      <c r="W1891" s="318"/>
      <c r="X1891" s="318"/>
      <c r="Y1891" s="318"/>
      <c r="Z1891" s="318"/>
      <c r="AA1891" s="318"/>
      <c r="AB1891" s="318"/>
      <c r="AC1891" s="318"/>
      <c r="AD1891" s="318"/>
    </row>
    <row r="1892" spans="2:30" s="323" customFormat="1" ht="12" customHeight="1">
      <c r="B1892" s="324"/>
      <c r="C1892" s="325"/>
      <c r="D1892" s="326"/>
      <c r="E1892" s="326"/>
      <c r="F1892" s="326"/>
      <c r="G1892" s="326"/>
      <c r="H1892" s="326"/>
      <c r="P1892" s="318"/>
      <c r="Q1892" s="318"/>
      <c r="R1892" s="318"/>
      <c r="S1892" s="318"/>
      <c r="T1892" s="318"/>
      <c r="U1892" s="318"/>
      <c r="V1892" s="318"/>
      <c r="W1892" s="318"/>
      <c r="X1892" s="318"/>
      <c r="Y1892" s="318"/>
      <c r="Z1892" s="318"/>
      <c r="AA1892" s="318"/>
      <c r="AB1892" s="318"/>
      <c r="AC1892" s="318"/>
      <c r="AD1892" s="318"/>
    </row>
    <row r="1893" spans="2:30" s="323" customFormat="1" ht="12" customHeight="1">
      <c r="B1893" s="324"/>
      <c r="C1893" s="325"/>
      <c r="D1893" s="326"/>
      <c r="E1893" s="326"/>
      <c r="F1893" s="326"/>
      <c r="G1893" s="326"/>
      <c r="H1893" s="326"/>
      <c r="P1893" s="318"/>
      <c r="Q1893" s="318"/>
      <c r="R1893" s="318"/>
      <c r="S1893" s="318"/>
      <c r="T1893" s="318"/>
      <c r="U1893" s="318"/>
      <c r="V1893" s="318"/>
      <c r="W1893" s="318"/>
      <c r="X1893" s="318"/>
      <c r="Y1893" s="318"/>
      <c r="Z1893" s="318"/>
      <c r="AA1893" s="318"/>
      <c r="AB1893" s="318"/>
      <c r="AC1893" s="318"/>
      <c r="AD1893" s="318"/>
    </row>
    <row r="1894" spans="2:30" s="323" customFormat="1" ht="12" customHeight="1">
      <c r="B1894" s="324"/>
      <c r="C1894" s="325"/>
      <c r="D1894" s="326"/>
      <c r="E1894" s="326"/>
      <c r="F1894" s="326"/>
      <c r="G1894" s="326"/>
      <c r="H1894" s="326"/>
      <c r="P1894" s="318"/>
      <c r="Q1894" s="318"/>
      <c r="R1894" s="318"/>
      <c r="S1894" s="318"/>
      <c r="T1894" s="318"/>
      <c r="U1894" s="318"/>
      <c r="V1894" s="318"/>
      <c r="W1894" s="318"/>
      <c r="X1894" s="318"/>
      <c r="Y1894" s="318"/>
      <c r="Z1894" s="318"/>
      <c r="AA1894" s="318"/>
      <c r="AB1894" s="318"/>
      <c r="AC1894" s="318"/>
      <c r="AD1894" s="318"/>
    </row>
    <row r="1895" spans="2:30" s="323" customFormat="1" ht="12" customHeight="1">
      <c r="B1895" s="324"/>
      <c r="C1895" s="325"/>
      <c r="D1895" s="326"/>
      <c r="E1895" s="326"/>
      <c r="F1895" s="326"/>
      <c r="G1895" s="326"/>
      <c r="H1895" s="326"/>
      <c r="P1895" s="318"/>
      <c r="Q1895" s="318"/>
      <c r="R1895" s="318"/>
      <c r="S1895" s="318"/>
      <c r="T1895" s="318"/>
      <c r="U1895" s="318"/>
      <c r="V1895" s="318"/>
      <c r="W1895" s="318"/>
      <c r="X1895" s="318"/>
      <c r="Y1895" s="318"/>
      <c r="Z1895" s="318"/>
      <c r="AA1895" s="318"/>
      <c r="AB1895" s="318"/>
      <c r="AC1895" s="318"/>
      <c r="AD1895" s="318"/>
    </row>
    <row r="1896" spans="2:30" s="323" customFormat="1" ht="12" customHeight="1">
      <c r="B1896" s="324"/>
      <c r="C1896" s="325"/>
      <c r="D1896" s="326"/>
      <c r="E1896" s="326"/>
      <c r="F1896" s="326"/>
      <c r="G1896" s="326"/>
      <c r="H1896" s="326"/>
      <c r="P1896" s="318"/>
      <c r="Q1896" s="318"/>
      <c r="R1896" s="318"/>
      <c r="S1896" s="318"/>
      <c r="T1896" s="318"/>
      <c r="U1896" s="318"/>
      <c r="V1896" s="318"/>
      <c r="W1896" s="318"/>
      <c r="X1896" s="318"/>
      <c r="Y1896" s="318"/>
      <c r="Z1896" s="318"/>
      <c r="AA1896" s="318"/>
      <c r="AB1896" s="318"/>
      <c r="AC1896" s="318"/>
      <c r="AD1896" s="318"/>
    </row>
    <row r="1897" spans="2:30" s="323" customFormat="1" ht="12" customHeight="1">
      <c r="B1897" s="324"/>
      <c r="C1897" s="325"/>
      <c r="D1897" s="326"/>
      <c r="E1897" s="326"/>
      <c r="F1897" s="326"/>
      <c r="G1897" s="326"/>
      <c r="H1897" s="326"/>
      <c r="P1897" s="318"/>
      <c r="Q1897" s="318"/>
      <c r="R1897" s="318"/>
      <c r="S1897" s="318"/>
      <c r="T1897" s="318"/>
      <c r="U1897" s="318"/>
      <c r="V1897" s="318"/>
      <c r="W1897" s="318"/>
      <c r="X1897" s="318"/>
      <c r="Y1897" s="318"/>
      <c r="Z1897" s="318"/>
      <c r="AA1897" s="318"/>
      <c r="AB1897" s="318"/>
      <c r="AC1897" s="318"/>
      <c r="AD1897" s="318"/>
    </row>
    <row r="1898" spans="2:30" s="323" customFormat="1" ht="12" customHeight="1">
      <c r="B1898" s="324"/>
      <c r="C1898" s="325"/>
      <c r="D1898" s="326"/>
      <c r="E1898" s="326"/>
      <c r="F1898" s="326"/>
      <c r="G1898" s="326"/>
      <c r="H1898" s="326"/>
      <c r="P1898" s="318"/>
      <c r="Q1898" s="318"/>
      <c r="R1898" s="318"/>
      <c r="S1898" s="318"/>
      <c r="T1898" s="318"/>
      <c r="U1898" s="318"/>
      <c r="V1898" s="318"/>
      <c r="W1898" s="318"/>
      <c r="X1898" s="318"/>
      <c r="Y1898" s="318"/>
      <c r="Z1898" s="318"/>
      <c r="AA1898" s="318"/>
      <c r="AB1898" s="318"/>
      <c r="AC1898" s="318"/>
      <c r="AD1898" s="318"/>
    </row>
    <row r="1899" spans="2:30" s="323" customFormat="1" ht="12" customHeight="1">
      <c r="B1899" s="324"/>
      <c r="C1899" s="325"/>
      <c r="D1899" s="326"/>
      <c r="E1899" s="326"/>
      <c r="F1899" s="326"/>
      <c r="G1899" s="326"/>
      <c r="H1899" s="326"/>
      <c r="P1899" s="318"/>
      <c r="Q1899" s="318"/>
      <c r="R1899" s="318"/>
      <c r="S1899" s="318"/>
      <c r="T1899" s="318"/>
      <c r="U1899" s="318"/>
      <c r="V1899" s="318"/>
      <c r="W1899" s="318"/>
      <c r="X1899" s="318"/>
      <c r="Y1899" s="318"/>
      <c r="Z1899" s="318"/>
      <c r="AA1899" s="318"/>
      <c r="AB1899" s="318"/>
      <c r="AC1899" s="318"/>
      <c r="AD1899" s="318"/>
    </row>
    <row r="1900" spans="2:30" s="323" customFormat="1" ht="12" customHeight="1">
      <c r="B1900" s="324"/>
      <c r="C1900" s="325"/>
      <c r="D1900" s="326"/>
      <c r="E1900" s="326"/>
      <c r="F1900" s="326"/>
      <c r="G1900" s="326"/>
      <c r="H1900" s="326"/>
      <c r="P1900" s="318"/>
      <c r="Q1900" s="318"/>
      <c r="R1900" s="318"/>
      <c r="S1900" s="318"/>
      <c r="T1900" s="318"/>
      <c r="U1900" s="318"/>
      <c r="V1900" s="318"/>
      <c r="W1900" s="318"/>
      <c r="X1900" s="318"/>
      <c r="Y1900" s="318"/>
      <c r="Z1900" s="318"/>
      <c r="AA1900" s="318"/>
      <c r="AB1900" s="318"/>
      <c r="AC1900" s="318"/>
      <c r="AD1900" s="318"/>
    </row>
    <row r="1901" spans="2:30" s="323" customFormat="1" ht="12" customHeight="1">
      <c r="B1901" s="324"/>
      <c r="C1901" s="325"/>
      <c r="D1901" s="326"/>
      <c r="E1901" s="326"/>
      <c r="F1901" s="326"/>
      <c r="G1901" s="326"/>
      <c r="H1901" s="326"/>
      <c r="P1901" s="318"/>
      <c r="Q1901" s="318"/>
      <c r="R1901" s="318"/>
      <c r="S1901" s="318"/>
      <c r="T1901" s="318"/>
      <c r="U1901" s="318"/>
      <c r="V1901" s="318"/>
      <c r="W1901" s="318"/>
      <c r="X1901" s="318"/>
      <c r="Y1901" s="318"/>
      <c r="Z1901" s="318"/>
      <c r="AA1901" s="318"/>
      <c r="AB1901" s="318"/>
      <c r="AC1901" s="318"/>
      <c r="AD1901" s="318"/>
    </row>
    <row r="1902" spans="2:30" s="323" customFormat="1" ht="12" customHeight="1">
      <c r="B1902" s="324"/>
      <c r="C1902" s="325"/>
      <c r="D1902" s="326"/>
      <c r="E1902" s="326"/>
      <c r="F1902" s="326"/>
      <c r="G1902" s="326"/>
      <c r="H1902" s="326"/>
      <c r="P1902" s="318"/>
      <c r="Q1902" s="318"/>
      <c r="R1902" s="318"/>
      <c r="S1902" s="318"/>
      <c r="T1902" s="318"/>
      <c r="U1902" s="318"/>
      <c r="V1902" s="318"/>
      <c r="W1902" s="318"/>
      <c r="X1902" s="318"/>
      <c r="Y1902" s="318"/>
      <c r="Z1902" s="318"/>
      <c r="AA1902" s="318"/>
      <c r="AB1902" s="318"/>
      <c r="AC1902" s="318"/>
      <c r="AD1902" s="318"/>
    </row>
    <row r="1903" spans="2:30" s="323" customFormat="1" ht="12" customHeight="1">
      <c r="B1903" s="324"/>
      <c r="C1903" s="325"/>
      <c r="D1903" s="326"/>
      <c r="E1903" s="326"/>
      <c r="F1903" s="326"/>
      <c r="G1903" s="326"/>
      <c r="H1903" s="326"/>
      <c r="P1903" s="318"/>
      <c r="Q1903" s="318"/>
      <c r="R1903" s="318"/>
      <c r="S1903" s="318"/>
      <c r="T1903" s="318"/>
      <c r="U1903" s="318"/>
      <c r="V1903" s="318"/>
      <c r="W1903" s="318"/>
      <c r="X1903" s="318"/>
      <c r="Y1903" s="318"/>
      <c r="Z1903" s="318"/>
      <c r="AA1903" s="318"/>
      <c r="AB1903" s="318"/>
      <c r="AC1903" s="318"/>
      <c r="AD1903" s="318"/>
    </row>
    <row r="1904" spans="2:30" s="323" customFormat="1" ht="12" customHeight="1">
      <c r="B1904" s="324"/>
      <c r="C1904" s="325"/>
      <c r="D1904" s="326"/>
      <c r="E1904" s="326"/>
      <c r="F1904" s="326"/>
      <c r="G1904" s="326"/>
      <c r="H1904" s="326"/>
      <c r="P1904" s="318"/>
      <c r="Q1904" s="318"/>
      <c r="R1904" s="318"/>
      <c r="S1904" s="318"/>
      <c r="T1904" s="318"/>
      <c r="U1904" s="318"/>
      <c r="V1904" s="318"/>
      <c r="W1904" s="318"/>
      <c r="X1904" s="318"/>
      <c r="Y1904" s="318"/>
      <c r="Z1904" s="318"/>
      <c r="AA1904" s="318"/>
      <c r="AB1904" s="318"/>
      <c r="AC1904" s="318"/>
      <c r="AD1904" s="318"/>
    </row>
    <row r="1905" spans="2:30" s="323" customFormat="1" ht="12" customHeight="1">
      <c r="B1905" s="324"/>
      <c r="C1905" s="325"/>
      <c r="D1905" s="326"/>
      <c r="E1905" s="326"/>
      <c r="F1905" s="326"/>
      <c r="G1905" s="326"/>
      <c r="H1905" s="326"/>
      <c r="P1905" s="318"/>
      <c r="Q1905" s="318"/>
      <c r="R1905" s="318"/>
      <c r="S1905" s="318"/>
      <c r="T1905" s="318"/>
      <c r="U1905" s="318"/>
      <c r="V1905" s="318"/>
      <c r="W1905" s="318"/>
      <c r="X1905" s="318"/>
      <c r="Y1905" s="318"/>
      <c r="Z1905" s="318"/>
      <c r="AA1905" s="318"/>
      <c r="AB1905" s="318"/>
      <c r="AC1905" s="318"/>
      <c r="AD1905" s="318"/>
    </row>
    <row r="1906" spans="2:30" s="323" customFormat="1" ht="12" customHeight="1">
      <c r="B1906" s="324"/>
      <c r="C1906" s="325"/>
      <c r="D1906" s="326"/>
      <c r="E1906" s="326"/>
      <c r="F1906" s="326"/>
      <c r="G1906" s="326"/>
      <c r="H1906" s="326"/>
      <c r="P1906" s="318"/>
      <c r="Q1906" s="318"/>
      <c r="R1906" s="318"/>
      <c r="S1906" s="318"/>
      <c r="T1906" s="318"/>
      <c r="U1906" s="318"/>
      <c r="V1906" s="318"/>
      <c r="W1906" s="318"/>
      <c r="X1906" s="318"/>
      <c r="Y1906" s="318"/>
      <c r="Z1906" s="318"/>
      <c r="AA1906" s="318"/>
      <c r="AB1906" s="318"/>
      <c r="AC1906" s="318"/>
      <c r="AD1906" s="318"/>
    </row>
    <row r="1907" spans="2:30" s="323" customFormat="1" ht="12" customHeight="1">
      <c r="B1907" s="324"/>
      <c r="C1907" s="325"/>
      <c r="D1907" s="326"/>
      <c r="E1907" s="326"/>
      <c r="F1907" s="326"/>
      <c r="G1907" s="326"/>
      <c r="H1907" s="326"/>
      <c r="P1907" s="318"/>
      <c r="Q1907" s="318"/>
      <c r="R1907" s="318"/>
      <c r="S1907" s="318"/>
      <c r="T1907" s="318"/>
      <c r="U1907" s="318"/>
      <c r="V1907" s="318"/>
      <c r="W1907" s="318"/>
      <c r="X1907" s="318"/>
      <c r="Y1907" s="318"/>
      <c r="Z1907" s="318"/>
      <c r="AA1907" s="318"/>
      <c r="AB1907" s="318"/>
      <c r="AC1907" s="318"/>
      <c r="AD1907" s="318"/>
    </row>
    <row r="1908" spans="2:30" s="323" customFormat="1" ht="12" customHeight="1">
      <c r="B1908" s="324"/>
      <c r="C1908" s="325"/>
      <c r="D1908" s="326"/>
      <c r="E1908" s="326"/>
      <c r="F1908" s="326"/>
      <c r="G1908" s="326"/>
      <c r="H1908" s="326"/>
      <c r="P1908" s="318"/>
      <c r="Q1908" s="318"/>
      <c r="R1908" s="318"/>
      <c r="S1908" s="318"/>
      <c r="T1908" s="318"/>
      <c r="U1908" s="318"/>
      <c r="V1908" s="318"/>
      <c r="W1908" s="318"/>
      <c r="X1908" s="318"/>
      <c r="Y1908" s="318"/>
      <c r="Z1908" s="318"/>
      <c r="AA1908" s="318"/>
      <c r="AB1908" s="318"/>
      <c r="AC1908" s="318"/>
      <c r="AD1908" s="318"/>
    </row>
    <row r="1909" spans="2:30" s="323" customFormat="1" ht="12" customHeight="1">
      <c r="B1909" s="324"/>
      <c r="C1909" s="325"/>
      <c r="D1909" s="326"/>
      <c r="E1909" s="326"/>
      <c r="F1909" s="326"/>
      <c r="G1909" s="326"/>
      <c r="H1909" s="326"/>
      <c r="P1909" s="318"/>
      <c r="Q1909" s="318"/>
      <c r="R1909" s="318"/>
      <c r="S1909" s="318"/>
      <c r="T1909" s="318"/>
      <c r="U1909" s="318"/>
      <c r="V1909" s="318"/>
      <c r="W1909" s="318"/>
      <c r="X1909" s="318"/>
      <c r="Y1909" s="318"/>
      <c r="Z1909" s="318"/>
      <c r="AA1909" s="318"/>
      <c r="AB1909" s="318"/>
      <c r="AC1909" s="318"/>
      <c r="AD1909" s="318"/>
    </row>
    <row r="1910" spans="2:30" s="323" customFormat="1" ht="12" customHeight="1">
      <c r="B1910" s="324"/>
      <c r="C1910" s="325"/>
      <c r="D1910" s="326"/>
      <c r="E1910" s="326"/>
      <c r="F1910" s="326"/>
      <c r="G1910" s="326"/>
      <c r="H1910" s="326"/>
      <c r="P1910" s="318"/>
      <c r="Q1910" s="318"/>
      <c r="R1910" s="318"/>
      <c r="S1910" s="318"/>
      <c r="T1910" s="318"/>
      <c r="U1910" s="318"/>
      <c r="V1910" s="318"/>
      <c r="W1910" s="318"/>
      <c r="X1910" s="318"/>
      <c r="Y1910" s="318"/>
      <c r="Z1910" s="318"/>
      <c r="AA1910" s="318"/>
      <c r="AB1910" s="318"/>
      <c r="AC1910" s="318"/>
      <c r="AD1910" s="318"/>
    </row>
    <row r="1911" spans="2:30" s="323" customFormat="1" ht="12" customHeight="1">
      <c r="B1911" s="324"/>
      <c r="C1911" s="325"/>
      <c r="D1911" s="326"/>
      <c r="E1911" s="326"/>
      <c r="F1911" s="326"/>
      <c r="G1911" s="326"/>
      <c r="H1911" s="326"/>
      <c r="P1911" s="318"/>
      <c r="Q1911" s="318"/>
      <c r="R1911" s="318"/>
      <c r="S1911" s="318"/>
      <c r="T1911" s="318"/>
      <c r="U1911" s="318"/>
      <c r="V1911" s="318"/>
      <c r="W1911" s="318"/>
      <c r="X1911" s="318"/>
      <c r="Y1911" s="318"/>
      <c r="Z1911" s="318"/>
      <c r="AA1911" s="318"/>
      <c r="AB1911" s="318"/>
      <c r="AC1911" s="318"/>
      <c r="AD1911" s="318"/>
    </row>
    <row r="1912" spans="2:30" s="323" customFormat="1" ht="12" customHeight="1">
      <c r="B1912" s="324"/>
      <c r="C1912" s="325"/>
      <c r="D1912" s="326"/>
      <c r="E1912" s="326"/>
      <c r="F1912" s="326"/>
      <c r="G1912" s="326"/>
      <c r="H1912" s="326"/>
      <c r="P1912" s="318"/>
      <c r="Q1912" s="318"/>
      <c r="R1912" s="318"/>
      <c r="S1912" s="318"/>
      <c r="T1912" s="318"/>
      <c r="U1912" s="318"/>
      <c r="V1912" s="318"/>
      <c r="W1912" s="318"/>
      <c r="X1912" s="318"/>
      <c r="Y1912" s="318"/>
      <c r="Z1912" s="318"/>
      <c r="AA1912" s="318"/>
      <c r="AB1912" s="318"/>
      <c r="AC1912" s="318"/>
      <c r="AD1912" s="318"/>
    </row>
    <row r="1913" spans="2:30" s="323" customFormat="1" ht="12" customHeight="1">
      <c r="B1913" s="324"/>
      <c r="C1913" s="325"/>
      <c r="D1913" s="326"/>
      <c r="E1913" s="326"/>
      <c r="F1913" s="326"/>
      <c r="G1913" s="326"/>
      <c r="H1913" s="326"/>
      <c r="P1913" s="318"/>
      <c r="Q1913" s="318"/>
      <c r="R1913" s="318"/>
      <c r="S1913" s="318"/>
      <c r="T1913" s="318"/>
      <c r="U1913" s="318"/>
      <c r="V1913" s="318"/>
      <c r="W1913" s="318"/>
      <c r="X1913" s="318"/>
      <c r="Y1913" s="318"/>
      <c r="Z1913" s="318"/>
      <c r="AA1913" s="318"/>
      <c r="AB1913" s="318"/>
      <c r="AC1913" s="318"/>
      <c r="AD1913" s="318"/>
    </row>
    <row r="1914" spans="2:30" s="323" customFormat="1" ht="12" customHeight="1">
      <c r="B1914" s="324"/>
      <c r="C1914" s="325"/>
      <c r="D1914" s="326"/>
      <c r="E1914" s="326"/>
      <c r="F1914" s="326"/>
      <c r="G1914" s="326"/>
      <c r="H1914" s="326"/>
      <c r="P1914" s="318"/>
      <c r="Q1914" s="318"/>
      <c r="R1914" s="318"/>
      <c r="S1914" s="318"/>
      <c r="T1914" s="318"/>
      <c r="U1914" s="318"/>
      <c r="V1914" s="318"/>
      <c r="W1914" s="318"/>
      <c r="X1914" s="318"/>
      <c r="Y1914" s="318"/>
      <c r="Z1914" s="318"/>
      <c r="AA1914" s="318"/>
      <c r="AB1914" s="318"/>
      <c r="AC1914" s="318"/>
      <c r="AD1914" s="318"/>
    </row>
    <row r="1915" spans="2:30" s="323" customFormat="1" ht="12" customHeight="1">
      <c r="B1915" s="324"/>
      <c r="C1915" s="325"/>
      <c r="D1915" s="326"/>
      <c r="E1915" s="326"/>
      <c r="F1915" s="326"/>
      <c r="G1915" s="326"/>
      <c r="H1915" s="326"/>
      <c r="P1915" s="318"/>
      <c r="Q1915" s="318"/>
      <c r="R1915" s="318"/>
      <c r="S1915" s="318"/>
      <c r="T1915" s="318"/>
      <c r="U1915" s="318"/>
      <c r="V1915" s="318"/>
      <c r="W1915" s="318"/>
      <c r="X1915" s="318"/>
      <c r="Y1915" s="318"/>
      <c r="Z1915" s="318"/>
      <c r="AA1915" s="318"/>
      <c r="AB1915" s="318"/>
      <c r="AC1915" s="318"/>
      <c r="AD1915" s="318"/>
    </row>
    <row r="1916" spans="2:30" s="323" customFormat="1" ht="12" customHeight="1">
      <c r="B1916" s="324"/>
      <c r="C1916" s="325"/>
      <c r="D1916" s="326"/>
      <c r="E1916" s="326"/>
      <c r="F1916" s="326"/>
      <c r="G1916" s="326"/>
      <c r="H1916" s="326"/>
      <c r="P1916" s="318"/>
      <c r="Q1916" s="318"/>
      <c r="R1916" s="318"/>
      <c r="S1916" s="318"/>
      <c r="T1916" s="318"/>
      <c r="U1916" s="318"/>
      <c r="V1916" s="318"/>
      <c r="W1916" s="318"/>
      <c r="X1916" s="318"/>
      <c r="Y1916" s="318"/>
      <c r="Z1916" s="318"/>
      <c r="AA1916" s="318"/>
      <c r="AB1916" s="318"/>
      <c r="AC1916" s="318"/>
      <c r="AD1916" s="318"/>
    </row>
    <row r="1917" spans="2:30" s="323" customFormat="1" ht="12" customHeight="1">
      <c r="B1917" s="324"/>
      <c r="C1917" s="325"/>
      <c r="D1917" s="326"/>
      <c r="E1917" s="326"/>
      <c r="F1917" s="326"/>
      <c r="G1917" s="326"/>
      <c r="H1917" s="326"/>
      <c r="P1917" s="318"/>
      <c r="Q1917" s="318"/>
      <c r="R1917" s="318"/>
      <c r="S1917" s="318"/>
      <c r="T1917" s="318"/>
      <c r="U1917" s="318"/>
      <c r="V1917" s="318"/>
      <c r="W1917" s="318"/>
      <c r="X1917" s="318"/>
      <c r="Y1917" s="318"/>
      <c r="Z1917" s="318"/>
      <c r="AA1917" s="318"/>
      <c r="AB1917" s="318"/>
      <c r="AC1917" s="318"/>
      <c r="AD1917" s="318"/>
    </row>
    <row r="1918" spans="2:30" s="323" customFormat="1" ht="12" customHeight="1">
      <c r="B1918" s="324"/>
      <c r="C1918" s="325"/>
      <c r="D1918" s="326"/>
      <c r="E1918" s="326"/>
      <c r="F1918" s="326"/>
      <c r="G1918" s="326"/>
      <c r="H1918" s="326"/>
      <c r="P1918" s="318"/>
      <c r="Q1918" s="318"/>
      <c r="R1918" s="318"/>
      <c r="S1918" s="318"/>
      <c r="T1918" s="318"/>
      <c r="U1918" s="318"/>
      <c r="V1918" s="318"/>
      <c r="W1918" s="318"/>
      <c r="X1918" s="318"/>
      <c r="Y1918" s="318"/>
      <c r="Z1918" s="318"/>
      <c r="AA1918" s="318"/>
      <c r="AB1918" s="318"/>
      <c r="AC1918" s="318"/>
      <c r="AD1918" s="318"/>
    </row>
    <row r="1919" spans="2:30" s="323" customFormat="1" ht="12" customHeight="1">
      <c r="B1919" s="324"/>
      <c r="C1919" s="325"/>
      <c r="D1919" s="326"/>
      <c r="E1919" s="326"/>
      <c r="F1919" s="326"/>
      <c r="G1919" s="326"/>
      <c r="H1919" s="326"/>
      <c r="P1919" s="318"/>
      <c r="Q1919" s="318"/>
      <c r="R1919" s="318"/>
      <c r="S1919" s="318"/>
      <c r="T1919" s="318"/>
      <c r="U1919" s="318"/>
      <c r="V1919" s="318"/>
      <c r="W1919" s="318"/>
      <c r="X1919" s="318"/>
      <c r="Y1919" s="318"/>
      <c r="Z1919" s="318"/>
      <c r="AA1919" s="318"/>
      <c r="AB1919" s="318"/>
      <c r="AC1919" s="318"/>
      <c r="AD1919" s="318"/>
    </row>
    <row r="1920" spans="2:30" s="323" customFormat="1" ht="12" customHeight="1">
      <c r="B1920" s="324"/>
      <c r="C1920" s="325"/>
      <c r="D1920" s="326"/>
      <c r="E1920" s="326"/>
      <c r="F1920" s="326"/>
      <c r="G1920" s="326"/>
      <c r="H1920" s="326"/>
      <c r="P1920" s="318"/>
      <c r="Q1920" s="318"/>
      <c r="R1920" s="318"/>
      <c r="S1920" s="318"/>
      <c r="T1920" s="318"/>
      <c r="U1920" s="318"/>
      <c r="V1920" s="318"/>
      <c r="W1920" s="318"/>
      <c r="X1920" s="318"/>
      <c r="Y1920" s="318"/>
      <c r="Z1920" s="318"/>
      <c r="AA1920" s="318"/>
      <c r="AB1920" s="318"/>
      <c r="AC1920" s="318"/>
      <c r="AD1920" s="318"/>
    </row>
    <row r="1921" spans="2:30" s="323" customFormat="1" ht="12" customHeight="1">
      <c r="B1921" s="324"/>
      <c r="C1921" s="325"/>
      <c r="D1921" s="326"/>
      <c r="E1921" s="326"/>
      <c r="F1921" s="326"/>
      <c r="G1921" s="326"/>
      <c r="H1921" s="326"/>
      <c r="P1921" s="318"/>
      <c r="Q1921" s="318"/>
      <c r="R1921" s="318"/>
      <c r="S1921" s="318"/>
      <c r="T1921" s="318"/>
      <c r="U1921" s="318"/>
      <c r="V1921" s="318"/>
      <c r="W1921" s="318"/>
      <c r="X1921" s="318"/>
      <c r="Y1921" s="318"/>
      <c r="Z1921" s="318"/>
      <c r="AA1921" s="318"/>
      <c r="AB1921" s="318"/>
      <c r="AC1921" s="318"/>
      <c r="AD1921" s="318"/>
    </row>
    <row r="1922" spans="2:30" s="323" customFormat="1" ht="12" customHeight="1">
      <c r="B1922" s="324"/>
      <c r="C1922" s="325"/>
      <c r="D1922" s="326"/>
      <c r="E1922" s="326"/>
      <c r="F1922" s="326"/>
      <c r="G1922" s="326"/>
      <c r="H1922" s="326"/>
      <c r="P1922" s="318"/>
      <c r="Q1922" s="318"/>
      <c r="R1922" s="318"/>
      <c r="S1922" s="318"/>
      <c r="T1922" s="318"/>
      <c r="U1922" s="318"/>
      <c r="V1922" s="318"/>
      <c r="W1922" s="318"/>
      <c r="X1922" s="318"/>
      <c r="Y1922" s="318"/>
      <c r="Z1922" s="318"/>
      <c r="AA1922" s="318"/>
      <c r="AB1922" s="318"/>
      <c r="AC1922" s="318"/>
      <c r="AD1922" s="318"/>
    </row>
    <row r="1923" spans="2:30" s="323" customFormat="1" ht="12" customHeight="1">
      <c r="B1923" s="324"/>
      <c r="C1923" s="325"/>
      <c r="D1923" s="326"/>
      <c r="E1923" s="326"/>
      <c r="F1923" s="326"/>
      <c r="G1923" s="326"/>
      <c r="H1923" s="326"/>
      <c r="P1923" s="318"/>
      <c r="Q1923" s="318"/>
      <c r="R1923" s="318"/>
      <c r="S1923" s="318"/>
      <c r="T1923" s="318"/>
      <c r="U1923" s="318"/>
      <c r="V1923" s="318"/>
      <c r="W1923" s="318"/>
      <c r="X1923" s="318"/>
      <c r="Y1923" s="318"/>
      <c r="Z1923" s="318"/>
      <c r="AA1923" s="318"/>
      <c r="AB1923" s="318"/>
      <c r="AC1923" s="318"/>
      <c r="AD1923" s="318"/>
    </row>
    <row r="1924" spans="2:30" s="323" customFormat="1" ht="12" customHeight="1">
      <c r="B1924" s="324"/>
      <c r="C1924" s="325"/>
      <c r="D1924" s="326"/>
      <c r="E1924" s="326"/>
      <c r="F1924" s="326"/>
      <c r="G1924" s="326"/>
      <c r="H1924" s="326"/>
      <c r="P1924" s="318"/>
      <c r="Q1924" s="318"/>
      <c r="R1924" s="318"/>
      <c r="S1924" s="318"/>
      <c r="T1924" s="318"/>
      <c r="U1924" s="318"/>
      <c r="V1924" s="318"/>
      <c r="W1924" s="318"/>
      <c r="X1924" s="318"/>
      <c r="Y1924" s="318"/>
      <c r="Z1924" s="318"/>
      <c r="AA1924" s="318"/>
      <c r="AB1924" s="318"/>
      <c r="AC1924" s="318"/>
      <c r="AD1924" s="318"/>
    </row>
    <row r="1925" spans="2:30" s="323" customFormat="1" ht="12" customHeight="1">
      <c r="B1925" s="324"/>
      <c r="C1925" s="325"/>
      <c r="D1925" s="326"/>
      <c r="E1925" s="326"/>
      <c r="F1925" s="326"/>
      <c r="G1925" s="326"/>
      <c r="H1925" s="326"/>
      <c r="P1925" s="318"/>
      <c r="Q1925" s="318"/>
      <c r="R1925" s="318"/>
      <c r="S1925" s="318"/>
      <c r="T1925" s="318"/>
      <c r="U1925" s="318"/>
      <c r="V1925" s="318"/>
      <c r="W1925" s="318"/>
      <c r="X1925" s="318"/>
      <c r="Y1925" s="318"/>
      <c r="Z1925" s="318"/>
      <c r="AA1925" s="318"/>
      <c r="AB1925" s="318"/>
      <c r="AC1925" s="318"/>
      <c r="AD1925" s="318"/>
    </row>
    <row r="1926" spans="2:30" s="323" customFormat="1" ht="12" customHeight="1">
      <c r="B1926" s="324"/>
      <c r="C1926" s="325"/>
      <c r="D1926" s="326"/>
      <c r="E1926" s="326"/>
      <c r="F1926" s="326"/>
      <c r="G1926" s="326"/>
      <c r="H1926" s="326"/>
      <c r="P1926" s="318"/>
      <c r="Q1926" s="318"/>
      <c r="R1926" s="318"/>
      <c r="S1926" s="318"/>
      <c r="T1926" s="318"/>
      <c r="U1926" s="318"/>
      <c r="V1926" s="318"/>
      <c r="W1926" s="318"/>
      <c r="X1926" s="318"/>
      <c r="Y1926" s="318"/>
      <c r="Z1926" s="318"/>
      <c r="AA1926" s="318"/>
      <c r="AB1926" s="318"/>
      <c r="AC1926" s="318"/>
      <c r="AD1926" s="318"/>
    </row>
    <row r="1927" spans="2:30" s="323" customFormat="1" ht="12" customHeight="1">
      <c r="B1927" s="324"/>
      <c r="C1927" s="325"/>
      <c r="D1927" s="326"/>
      <c r="E1927" s="326"/>
      <c r="F1927" s="326"/>
      <c r="G1927" s="326"/>
      <c r="H1927" s="326"/>
      <c r="P1927" s="318"/>
      <c r="Q1927" s="318"/>
      <c r="R1927" s="318"/>
      <c r="S1927" s="318"/>
      <c r="T1927" s="318"/>
      <c r="U1927" s="318"/>
      <c r="V1927" s="318"/>
      <c r="W1927" s="318"/>
      <c r="X1927" s="318"/>
      <c r="Y1927" s="318"/>
      <c r="Z1927" s="318"/>
      <c r="AA1927" s="318"/>
      <c r="AB1927" s="318"/>
      <c r="AC1927" s="318"/>
      <c r="AD1927" s="318"/>
    </row>
    <row r="1928" spans="2:30" s="323" customFormat="1" ht="12" customHeight="1">
      <c r="B1928" s="324"/>
      <c r="C1928" s="325"/>
      <c r="D1928" s="326"/>
      <c r="E1928" s="326"/>
      <c r="F1928" s="326"/>
      <c r="G1928" s="326"/>
      <c r="H1928" s="326"/>
      <c r="P1928" s="318"/>
      <c r="Q1928" s="318"/>
      <c r="R1928" s="318"/>
      <c r="S1928" s="318"/>
      <c r="T1928" s="318"/>
      <c r="U1928" s="318"/>
      <c r="V1928" s="318"/>
      <c r="W1928" s="318"/>
      <c r="X1928" s="318"/>
      <c r="Y1928" s="318"/>
      <c r="Z1928" s="318"/>
      <c r="AA1928" s="318"/>
      <c r="AB1928" s="318"/>
      <c r="AC1928" s="318"/>
      <c r="AD1928" s="318"/>
    </row>
    <row r="1929" spans="2:30" s="323" customFormat="1" ht="12" customHeight="1">
      <c r="B1929" s="324"/>
      <c r="C1929" s="325"/>
      <c r="D1929" s="326"/>
      <c r="E1929" s="326"/>
      <c r="F1929" s="326"/>
      <c r="G1929" s="326"/>
      <c r="H1929" s="326"/>
      <c r="P1929" s="318"/>
      <c r="Q1929" s="318"/>
      <c r="R1929" s="318"/>
      <c r="S1929" s="318"/>
      <c r="T1929" s="318"/>
      <c r="U1929" s="318"/>
      <c r="V1929" s="318"/>
      <c r="W1929" s="318"/>
      <c r="X1929" s="318"/>
      <c r="Y1929" s="318"/>
      <c r="Z1929" s="318"/>
      <c r="AA1929" s="318"/>
      <c r="AB1929" s="318"/>
      <c r="AC1929" s="318"/>
      <c r="AD1929" s="318"/>
    </row>
    <row r="1930" spans="2:30" s="323" customFormat="1" ht="12" customHeight="1">
      <c r="B1930" s="324"/>
      <c r="C1930" s="325"/>
      <c r="D1930" s="326"/>
      <c r="E1930" s="326"/>
      <c r="F1930" s="326"/>
      <c r="G1930" s="326"/>
      <c r="H1930" s="326"/>
      <c r="P1930" s="318"/>
      <c r="Q1930" s="318"/>
      <c r="R1930" s="318"/>
      <c r="S1930" s="318"/>
      <c r="T1930" s="318"/>
      <c r="U1930" s="318"/>
      <c r="V1930" s="318"/>
      <c r="W1930" s="318"/>
      <c r="X1930" s="318"/>
      <c r="Y1930" s="318"/>
      <c r="Z1930" s="318"/>
      <c r="AA1930" s="318"/>
      <c r="AB1930" s="318"/>
      <c r="AC1930" s="318"/>
      <c r="AD1930" s="318"/>
    </row>
    <row r="1931" spans="2:30" s="323" customFormat="1" ht="12" customHeight="1">
      <c r="B1931" s="324"/>
      <c r="C1931" s="325"/>
      <c r="D1931" s="326"/>
      <c r="E1931" s="326"/>
      <c r="F1931" s="326"/>
      <c r="G1931" s="326"/>
      <c r="H1931" s="326"/>
      <c r="P1931" s="318"/>
      <c r="Q1931" s="318"/>
      <c r="R1931" s="318"/>
      <c r="S1931" s="318"/>
      <c r="T1931" s="318"/>
      <c r="U1931" s="318"/>
      <c r="V1931" s="318"/>
      <c r="W1931" s="318"/>
      <c r="X1931" s="318"/>
      <c r="Y1931" s="318"/>
      <c r="Z1931" s="318"/>
      <c r="AA1931" s="318"/>
      <c r="AB1931" s="318"/>
      <c r="AC1931" s="318"/>
      <c r="AD1931" s="318"/>
    </row>
    <row r="1932" spans="2:30" s="323" customFormat="1" ht="12" customHeight="1">
      <c r="B1932" s="324"/>
      <c r="C1932" s="325"/>
      <c r="D1932" s="326"/>
      <c r="E1932" s="326"/>
      <c r="F1932" s="326"/>
      <c r="G1932" s="326"/>
      <c r="H1932" s="326"/>
      <c r="P1932" s="318"/>
      <c r="Q1932" s="318"/>
      <c r="R1932" s="318"/>
      <c r="S1932" s="318"/>
      <c r="T1932" s="318"/>
      <c r="U1932" s="318"/>
      <c r="V1932" s="318"/>
      <c r="W1932" s="318"/>
      <c r="X1932" s="318"/>
      <c r="Y1932" s="318"/>
      <c r="Z1932" s="318"/>
      <c r="AA1932" s="318"/>
      <c r="AB1932" s="318"/>
      <c r="AC1932" s="318"/>
      <c r="AD1932" s="318"/>
    </row>
    <row r="1933" spans="2:30" s="323" customFormat="1" ht="12" customHeight="1">
      <c r="B1933" s="324"/>
      <c r="C1933" s="325"/>
      <c r="D1933" s="326"/>
      <c r="E1933" s="326"/>
      <c r="F1933" s="326"/>
      <c r="G1933" s="326"/>
      <c r="H1933" s="326"/>
      <c r="P1933" s="318"/>
      <c r="Q1933" s="318"/>
      <c r="R1933" s="318"/>
      <c r="S1933" s="318"/>
      <c r="T1933" s="318"/>
      <c r="U1933" s="318"/>
      <c r="V1933" s="318"/>
      <c r="W1933" s="318"/>
      <c r="X1933" s="318"/>
      <c r="Y1933" s="318"/>
      <c r="Z1933" s="318"/>
      <c r="AA1933" s="318"/>
      <c r="AB1933" s="318"/>
      <c r="AC1933" s="318"/>
      <c r="AD1933" s="318"/>
    </row>
    <row r="1934" spans="2:30" s="323" customFormat="1" ht="12" customHeight="1">
      <c r="B1934" s="324"/>
      <c r="C1934" s="325"/>
      <c r="D1934" s="326"/>
      <c r="E1934" s="326"/>
      <c r="F1934" s="326"/>
      <c r="G1934" s="326"/>
      <c r="H1934" s="326"/>
      <c r="P1934" s="318"/>
      <c r="Q1934" s="318"/>
      <c r="R1934" s="318"/>
      <c r="S1934" s="318"/>
      <c r="T1934" s="318"/>
      <c r="U1934" s="318"/>
      <c r="V1934" s="318"/>
      <c r="W1934" s="318"/>
      <c r="X1934" s="318"/>
      <c r="Y1934" s="318"/>
      <c r="Z1934" s="318"/>
      <c r="AA1934" s="318"/>
      <c r="AB1934" s="318"/>
      <c r="AC1934" s="318"/>
      <c r="AD1934" s="318"/>
    </row>
    <row r="1935" spans="2:30" s="323" customFormat="1" ht="12" customHeight="1">
      <c r="B1935" s="324"/>
      <c r="C1935" s="325"/>
      <c r="D1935" s="326"/>
      <c r="E1935" s="326"/>
      <c r="F1935" s="326"/>
      <c r="G1935" s="326"/>
      <c r="H1935" s="326"/>
      <c r="P1935" s="318"/>
      <c r="Q1935" s="318"/>
      <c r="R1935" s="318"/>
      <c r="S1935" s="318"/>
      <c r="T1935" s="318"/>
      <c r="U1935" s="318"/>
      <c r="V1935" s="318"/>
      <c r="W1935" s="318"/>
      <c r="X1935" s="318"/>
      <c r="Y1935" s="318"/>
      <c r="Z1935" s="318"/>
      <c r="AA1935" s="318"/>
      <c r="AB1935" s="318"/>
      <c r="AC1935" s="318"/>
      <c r="AD1935" s="318"/>
    </row>
    <row r="1936" spans="2:30" s="323" customFormat="1" ht="12" customHeight="1">
      <c r="B1936" s="324"/>
      <c r="C1936" s="325"/>
      <c r="D1936" s="326"/>
      <c r="E1936" s="326"/>
      <c r="F1936" s="326"/>
      <c r="G1936" s="326"/>
      <c r="H1936" s="326"/>
      <c r="P1936" s="318"/>
      <c r="Q1936" s="318"/>
      <c r="R1936" s="318"/>
      <c r="S1936" s="318"/>
      <c r="T1936" s="318"/>
      <c r="U1936" s="318"/>
      <c r="V1936" s="318"/>
      <c r="W1936" s="318"/>
      <c r="X1936" s="318"/>
      <c r="Y1936" s="318"/>
      <c r="Z1936" s="318"/>
      <c r="AA1936" s="318"/>
      <c r="AB1936" s="318"/>
      <c r="AC1936" s="318"/>
      <c r="AD1936" s="318"/>
    </row>
    <row r="1937" spans="2:30" s="323" customFormat="1" ht="12" customHeight="1">
      <c r="B1937" s="324"/>
      <c r="C1937" s="325"/>
      <c r="D1937" s="326"/>
      <c r="E1937" s="326"/>
      <c r="F1937" s="326"/>
      <c r="G1937" s="326"/>
      <c r="H1937" s="326"/>
      <c r="P1937" s="318"/>
      <c r="Q1937" s="318"/>
      <c r="R1937" s="318"/>
      <c r="S1937" s="318"/>
      <c r="T1937" s="318"/>
      <c r="U1937" s="318"/>
      <c r="V1937" s="318"/>
      <c r="W1937" s="318"/>
      <c r="X1937" s="318"/>
      <c r="Y1937" s="318"/>
      <c r="Z1937" s="318"/>
      <c r="AA1937" s="318"/>
      <c r="AB1937" s="318"/>
      <c r="AC1937" s="318"/>
      <c r="AD1937" s="318"/>
    </row>
    <row r="1938" spans="2:30" s="323" customFormat="1" ht="12" customHeight="1">
      <c r="B1938" s="324"/>
      <c r="C1938" s="325"/>
      <c r="D1938" s="326"/>
      <c r="E1938" s="326"/>
      <c r="F1938" s="326"/>
      <c r="G1938" s="326"/>
      <c r="H1938" s="326"/>
      <c r="P1938" s="318"/>
      <c r="Q1938" s="318"/>
      <c r="R1938" s="318"/>
      <c r="S1938" s="318"/>
      <c r="T1938" s="318"/>
      <c r="U1938" s="318"/>
      <c r="V1938" s="318"/>
      <c r="W1938" s="318"/>
      <c r="X1938" s="318"/>
      <c r="Y1938" s="318"/>
      <c r="Z1938" s="318"/>
      <c r="AA1938" s="318"/>
      <c r="AB1938" s="318"/>
      <c r="AC1938" s="318"/>
      <c r="AD1938" s="318"/>
    </row>
    <row r="1939" spans="2:30" s="323" customFormat="1" ht="12" customHeight="1">
      <c r="B1939" s="324"/>
      <c r="C1939" s="325"/>
      <c r="D1939" s="326"/>
      <c r="E1939" s="326"/>
      <c r="F1939" s="326"/>
      <c r="G1939" s="326"/>
      <c r="H1939" s="326"/>
      <c r="P1939" s="318"/>
      <c r="Q1939" s="318"/>
      <c r="R1939" s="318"/>
      <c r="S1939" s="318"/>
      <c r="T1939" s="318"/>
      <c r="U1939" s="318"/>
      <c r="V1939" s="318"/>
      <c r="W1939" s="318"/>
      <c r="X1939" s="318"/>
      <c r="Y1939" s="318"/>
      <c r="Z1939" s="318"/>
      <c r="AA1939" s="318"/>
      <c r="AB1939" s="318"/>
      <c r="AC1939" s="318"/>
      <c r="AD1939" s="318"/>
    </row>
    <row r="1940" spans="2:30" s="323" customFormat="1" ht="12" customHeight="1">
      <c r="B1940" s="324"/>
      <c r="C1940" s="325"/>
      <c r="D1940" s="326"/>
      <c r="E1940" s="326"/>
      <c r="F1940" s="326"/>
      <c r="G1940" s="326"/>
      <c r="H1940" s="326"/>
      <c r="P1940" s="318"/>
      <c r="Q1940" s="318"/>
      <c r="R1940" s="318"/>
      <c r="S1940" s="318"/>
      <c r="T1940" s="318"/>
      <c r="U1940" s="318"/>
      <c r="V1940" s="318"/>
      <c r="W1940" s="318"/>
      <c r="X1940" s="318"/>
      <c r="Y1940" s="318"/>
      <c r="Z1940" s="318"/>
      <c r="AA1940" s="318"/>
      <c r="AB1940" s="318"/>
      <c r="AC1940" s="318"/>
      <c r="AD1940" s="318"/>
    </row>
    <row r="1941" spans="2:30" s="323" customFormat="1" ht="12" customHeight="1">
      <c r="B1941" s="324"/>
      <c r="C1941" s="325"/>
      <c r="D1941" s="326"/>
      <c r="E1941" s="326"/>
      <c r="F1941" s="326"/>
      <c r="G1941" s="326"/>
      <c r="H1941" s="326"/>
      <c r="P1941" s="318"/>
      <c r="Q1941" s="318"/>
      <c r="R1941" s="318"/>
      <c r="S1941" s="318"/>
      <c r="T1941" s="318"/>
      <c r="U1941" s="318"/>
      <c r="V1941" s="318"/>
      <c r="W1941" s="318"/>
      <c r="X1941" s="318"/>
      <c r="Y1941" s="318"/>
      <c r="Z1941" s="318"/>
      <c r="AA1941" s="318"/>
      <c r="AB1941" s="318"/>
      <c r="AC1941" s="318"/>
      <c r="AD1941" s="318"/>
    </row>
    <row r="1942" spans="2:30" s="323" customFormat="1" ht="12" customHeight="1">
      <c r="B1942" s="324"/>
      <c r="C1942" s="325"/>
      <c r="D1942" s="326"/>
      <c r="E1942" s="326"/>
      <c r="F1942" s="326"/>
      <c r="G1942" s="326"/>
      <c r="H1942" s="326"/>
      <c r="P1942" s="318"/>
      <c r="Q1942" s="318"/>
      <c r="R1942" s="318"/>
      <c r="S1942" s="318"/>
      <c r="T1942" s="318"/>
      <c r="U1942" s="318"/>
      <c r="V1942" s="318"/>
      <c r="W1942" s="318"/>
      <c r="X1942" s="318"/>
      <c r="Y1942" s="318"/>
      <c r="Z1942" s="318"/>
      <c r="AA1942" s="318"/>
      <c r="AB1942" s="318"/>
      <c r="AC1942" s="318"/>
      <c r="AD1942" s="318"/>
    </row>
    <row r="1943" spans="2:30" s="323" customFormat="1" ht="12" customHeight="1">
      <c r="B1943" s="324"/>
      <c r="C1943" s="325"/>
      <c r="D1943" s="326"/>
      <c r="E1943" s="326"/>
      <c r="F1943" s="326"/>
      <c r="G1943" s="326"/>
      <c r="H1943" s="326"/>
      <c r="P1943" s="318"/>
      <c r="Q1943" s="318"/>
      <c r="R1943" s="318"/>
      <c r="S1943" s="318"/>
      <c r="T1943" s="318"/>
      <c r="U1943" s="318"/>
      <c r="V1943" s="318"/>
      <c r="W1943" s="318"/>
      <c r="X1943" s="318"/>
      <c r="Y1943" s="318"/>
      <c r="Z1943" s="318"/>
      <c r="AA1943" s="318"/>
      <c r="AB1943" s="318"/>
      <c r="AC1943" s="318"/>
      <c r="AD1943" s="318"/>
    </row>
    <row r="1944" spans="2:30" s="323" customFormat="1" ht="12" customHeight="1">
      <c r="B1944" s="324"/>
      <c r="C1944" s="325"/>
      <c r="D1944" s="326"/>
      <c r="E1944" s="326"/>
      <c r="F1944" s="326"/>
      <c r="G1944" s="326"/>
      <c r="H1944" s="326"/>
      <c r="P1944" s="318"/>
      <c r="Q1944" s="318"/>
      <c r="R1944" s="318"/>
      <c r="S1944" s="318"/>
      <c r="T1944" s="318"/>
      <c r="U1944" s="318"/>
      <c r="V1944" s="318"/>
      <c r="W1944" s="318"/>
      <c r="X1944" s="318"/>
      <c r="Y1944" s="318"/>
      <c r="Z1944" s="318"/>
      <c r="AA1944" s="318"/>
      <c r="AB1944" s="318"/>
      <c r="AC1944" s="318"/>
      <c r="AD1944" s="318"/>
    </row>
    <row r="1945" spans="2:30" s="323" customFormat="1" ht="12" customHeight="1">
      <c r="B1945" s="324"/>
      <c r="C1945" s="325"/>
      <c r="D1945" s="326"/>
      <c r="E1945" s="326"/>
      <c r="F1945" s="326"/>
      <c r="G1945" s="326"/>
      <c r="H1945" s="326"/>
      <c r="P1945" s="318"/>
      <c r="Q1945" s="318"/>
      <c r="R1945" s="318"/>
      <c r="S1945" s="318"/>
      <c r="T1945" s="318"/>
      <c r="U1945" s="318"/>
      <c r="V1945" s="318"/>
      <c r="W1945" s="318"/>
      <c r="X1945" s="318"/>
      <c r="Y1945" s="318"/>
      <c r="Z1945" s="318"/>
      <c r="AA1945" s="318"/>
      <c r="AB1945" s="318"/>
      <c r="AC1945" s="318"/>
      <c r="AD1945" s="318"/>
    </row>
    <row r="1946" spans="2:30" s="323" customFormat="1" ht="12" customHeight="1">
      <c r="B1946" s="324"/>
      <c r="C1946" s="325"/>
      <c r="D1946" s="326"/>
      <c r="E1946" s="326"/>
      <c r="F1946" s="326"/>
      <c r="G1946" s="326"/>
      <c r="H1946" s="326"/>
      <c r="P1946" s="318"/>
      <c r="Q1946" s="318"/>
      <c r="R1946" s="318"/>
      <c r="S1946" s="318"/>
      <c r="T1946" s="318"/>
      <c r="U1946" s="318"/>
      <c r="V1946" s="318"/>
      <c r="W1946" s="318"/>
      <c r="X1946" s="318"/>
      <c r="Y1946" s="318"/>
      <c r="Z1946" s="318"/>
      <c r="AA1946" s="318"/>
      <c r="AB1946" s="318"/>
      <c r="AC1946" s="318"/>
      <c r="AD1946" s="318"/>
    </row>
    <row r="1947" spans="2:30" s="323" customFormat="1" ht="12" customHeight="1">
      <c r="B1947" s="324"/>
      <c r="C1947" s="325"/>
      <c r="D1947" s="326"/>
      <c r="E1947" s="326"/>
      <c r="F1947" s="326"/>
      <c r="G1947" s="326"/>
      <c r="H1947" s="326"/>
      <c r="P1947" s="318"/>
      <c r="Q1947" s="318"/>
      <c r="R1947" s="318"/>
      <c r="S1947" s="318"/>
      <c r="T1947" s="318"/>
      <c r="U1947" s="318"/>
      <c r="V1947" s="318"/>
      <c r="W1947" s="318"/>
      <c r="X1947" s="318"/>
      <c r="Y1947" s="318"/>
      <c r="Z1947" s="318"/>
      <c r="AA1947" s="318"/>
      <c r="AB1947" s="318"/>
      <c r="AC1947" s="318"/>
      <c r="AD1947" s="318"/>
    </row>
    <row r="1948" spans="2:30" s="323" customFormat="1" ht="12" customHeight="1">
      <c r="B1948" s="324"/>
      <c r="C1948" s="325"/>
      <c r="D1948" s="326"/>
      <c r="E1948" s="326"/>
      <c r="F1948" s="326"/>
      <c r="G1948" s="326"/>
      <c r="H1948" s="326"/>
      <c r="P1948" s="318"/>
      <c r="Q1948" s="318"/>
      <c r="R1948" s="318"/>
      <c r="S1948" s="318"/>
      <c r="T1948" s="318"/>
      <c r="U1948" s="318"/>
      <c r="V1948" s="318"/>
      <c r="W1948" s="318"/>
      <c r="X1948" s="318"/>
      <c r="Y1948" s="318"/>
      <c r="Z1948" s="318"/>
      <c r="AA1948" s="318"/>
      <c r="AB1948" s="318"/>
      <c r="AC1948" s="318"/>
      <c r="AD1948" s="318"/>
    </row>
    <row r="1949" spans="2:30" s="323" customFormat="1" ht="12" customHeight="1">
      <c r="B1949" s="324"/>
      <c r="C1949" s="325"/>
      <c r="D1949" s="326"/>
      <c r="E1949" s="326"/>
      <c r="F1949" s="326"/>
      <c r="G1949" s="326"/>
      <c r="H1949" s="326"/>
      <c r="P1949" s="318"/>
      <c r="Q1949" s="318"/>
      <c r="R1949" s="318"/>
      <c r="S1949" s="318"/>
      <c r="T1949" s="318"/>
      <c r="U1949" s="318"/>
      <c r="V1949" s="318"/>
      <c r="W1949" s="318"/>
      <c r="X1949" s="318"/>
      <c r="Y1949" s="318"/>
      <c r="Z1949" s="318"/>
      <c r="AA1949" s="318"/>
      <c r="AB1949" s="318"/>
      <c r="AC1949" s="318"/>
      <c r="AD1949" s="318"/>
    </row>
    <row r="1950" spans="2:30" s="323" customFormat="1" ht="12" customHeight="1">
      <c r="B1950" s="324"/>
      <c r="C1950" s="325"/>
      <c r="D1950" s="326"/>
      <c r="E1950" s="326"/>
      <c r="F1950" s="326"/>
      <c r="G1950" s="326"/>
      <c r="H1950" s="326"/>
      <c r="P1950" s="318"/>
      <c r="Q1950" s="318"/>
      <c r="R1950" s="318"/>
      <c r="S1950" s="318"/>
      <c r="T1950" s="318"/>
      <c r="U1950" s="318"/>
      <c r="V1950" s="318"/>
      <c r="W1950" s="318"/>
      <c r="X1950" s="318"/>
      <c r="Y1950" s="318"/>
      <c r="Z1950" s="318"/>
      <c r="AA1950" s="318"/>
      <c r="AB1950" s="318"/>
      <c r="AC1950" s="318"/>
      <c r="AD1950" s="318"/>
    </row>
    <row r="1951" spans="2:30" s="323" customFormat="1" ht="12" customHeight="1">
      <c r="B1951" s="324"/>
      <c r="C1951" s="325"/>
      <c r="D1951" s="326"/>
      <c r="E1951" s="326"/>
      <c r="F1951" s="326"/>
      <c r="G1951" s="326"/>
      <c r="H1951" s="326"/>
      <c r="P1951" s="318"/>
      <c r="Q1951" s="318"/>
      <c r="R1951" s="318"/>
      <c r="S1951" s="318"/>
      <c r="T1951" s="318"/>
      <c r="U1951" s="318"/>
      <c r="V1951" s="318"/>
      <c r="W1951" s="318"/>
      <c r="X1951" s="318"/>
      <c r="Y1951" s="318"/>
      <c r="Z1951" s="318"/>
      <c r="AA1951" s="318"/>
      <c r="AB1951" s="318"/>
      <c r="AC1951" s="318"/>
      <c r="AD1951" s="318"/>
    </row>
    <row r="1952" spans="2:30" s="323" customFormat="1" ht="12" customHeight="1">
      <c r="B1952" s="324"/>
      <c r="C1952" s="325"/>
      <c r="D1952" s="326"/>
      <c r="E1952" s="326"/>
      <c r="F1952" s="326"/>
      <c r="G1952" s="326"/>
      <c r="H1952" s="326"/>
      <c r="P1952" s="318"/>
      <c r="Q1952" s="318"/>
      <c r="R1952" s="318"/>
      <c r="S1952" s="318"/>
      <c r="T1952" s="318"/>
      <c r="U1952" s="318"/>
      <c r="V1952" s="318"/>
      <c r="W1952" s="318"/>
      <c r="X1952" s="318"/>
      <c r="Y1952" s="318"/>
      <c r="Z1952" s="318"/>
      <c r="AA1952" s="318"/>
      <c r="AB1952" s="318"/>
      <c r="AC1952" s="318"/>
      <c r="AD1952" s="318"/>
    </row>
    <row r="1953" spans="2:30" s="323" customFormat="1" ht="12" customHeight="1">
      <c r="B1953" s="324"/>
      <c r="C1953" s="325"/>
      <c r="D1953" s="326"/>
      <c r="E1953" s="326"/>
      <c r="F1953" s="326"/>
      <c r="G1953" s="326"/>
      <c r="H1953" s="326"/>
      <c r="P1953" s="318"/>
      <c r="Q1953" s="318"/>
      <c r="R1953" s="318"/>
      <c r="S1953" s="318"/>
      <c r="T1953" s="318"/>
      <c r="U1953" s="318"/>
      <c r="V1953" s="318"/>
      <c r="W1953" s="318"/>
      <c r="X1953" s="318"/>
      <c r="Y1953" s="318"/>
      <c r="Z1953" s="318"/>
      <c r="AA1953" s="318"/>
      <c r="AB1953" s="318"/>
      <c r="AC1953" s="318"/>
      <c r="AD1953" s="318"/>
    </row>
    <row r="1954" spans="2:30" s="323" customFormat="1" ht="12" customHeight="1">
      <c r="B1954" s="324"/>
      <c r="C1954" s="325"/>
      <c r="D1954" s="326"/>
      <c r="E1954" s="326"/>
      <c r="F1954" s="326"/>
      <c r="G1954" s="326"/>
      <c r="H1954" s="326"/>
      <c r="P1954" s="318"/>
      <c r="Q1954" s="318"/>
      <c r="R1954" s="318"/>
      <c r="S1954" s="318"/>
      <c r="T1954" s="318"/>
      <c r="U1954" s="318"/>
      <c r="V1954" s="318"/>
      <c r="W1954" s="318"/>
      <c r="X1954" s="318"/>
      <c r="Y1954" s="318"/>
      <c r="Z1954" s="318"/>
      <c r="AA1954" s="318"/>
      <c r="AB1954" s="318"/>
      <c r="AC1954" s="318"/>
      <c r="AD1954" s="318"/>
    </row>
    <row r="1955" spans="2:30" s="323" customFormat="1" ht="12" customHeight="1">
      <c r="B1955" s="324"/>
      <c r="C1955" s="325"/>
      <c r="D1955" s="326"/>
      <c r="E1955" s="326"/>
      <c r="F1955" s="326"/>
      <c r="G1955" s="326"/>
      <c r="H1955" s="326"/>
      <c r="P1955" s="318"/>
      <c r="Q1955" s="318"/>
      <c r="R1955" s="318"/>
      <c r="S1955" s="318"/>
      <c r="T1955" s="318"/>
      <c r="U1955" s="318"/>
      <c r="V1955" s="318"/>
      <c r="W1955" s="318"/>
      <c r="X1955" s="318"/>
      <c r="Y1955" s="318"/>
      <c r="Z1955" s="318"/>
      <c r="AA1955" s="318"/>
      <c r="AB1955" s="318"/>
      <c r="AC1955" s="318"/>
      <c r="AD1955" s="318"/>
    </row>
    <row r="1956" spans="2:30" s="323" customFormat="1" ht="12" customHeight="1">
      <c r="B1956" s="324"/>
      <c r="C1956" s="325"/>
      <c r="D1956" s="326"/>
      <c r="E1956" s="326"/>
      <c r="F1956" s="326"/>
      <c r="G1956" s="326"/>
      <c r="H1956" s="326"/>
      <c r="P1956" s="318"/>
      <c r="Q1956" s="318"/>
      <c r="R1956" s="318"/>
      <c r="S1956" s="318"/>
      <c r="T1956" s="318"/>
      <c r="U1956" s="318"/>
      <c r="V1956" s="318"/>
      <c r="W1956" s="318"/>
      <c r="X1956" s="318"/>
      <c r="Y1956" s="318"/>
      <c r="Z1956" s="318"/>
      <c r="AA1956" s="318"/>
      <c r="AB1956" s="318"/>
      <c r="AC1956" s="318"/>
      <c r="AD1956" s="318"/>
    </row>
    <row r="1957" spans="2:30" s="323" customFormat="1" ht="12" customHeight="1">
      <c r="B1957" s="324"/>
      <c r="C1957" s="325"/>
      <c r="D1957" s="326"/>
      <c r="E1957" s="326"/>
      <c r="F1957" s="326"/>
      <c r="G1957" s="326"/>
      <c r="H1957" s="326"/>
      <c r="P1957" s="318"/>
      <c r="Q1957" s="318"/>
      <c r="R1957" s="318"/>
      <c r="S1957" s="318"/>
      <c r="T1957" s="318"/>
      <c r="U1957" s="318"/>
      <c r="V1957" s="318"/>
      <c r="W1957" s="318"/>
      <c r="X1957" s="318"/>
      <c r="Y1957" s="318"/>
      <c r="Z1957" s="318"/>
      <c r="AA1957" s="318"/>
      <c r="AB1957" s="318"/>
      <c r="AC1957" s="318"/>
      <c r="AD1957" s="318"/>
    </row>
    <row r="1958" spans="2:30" s="323" customFormat="1" ht="12" customHeight="1">
      <c r="B1958" s="324"/>
      <c r="C1958" s="325"/>
      <c r="D1958" s="326"/>
      <c r="E1958" s="326"/>
      <c r="F1958" s="326"/>
      <c r="G1958" s="326"/>
      <c r="H1958" s="326"/>
      <c r="P1958" s="318"/>
      <c r="Q1958" s="318"/>
      <c r="R1958" s="318"/>
      <c r="S1958" s="318"/>
      <c r="T1958" s="318"/>
      <c r="U1958" s="318"/>
      <c r="V1958" s="318"/>
      <c r="W1958" s="318"/>
      <c r="X1958" s="318"/>
      <c r="Y1958" s="318"/>
      <c r="Z1958" s="318"/>
      <c r="AA1958" s="318"/>
      <c r="AB1958" s="318"/>
      <c r="AC1958" s="318"/>
      <c r="AD1958" s="318"/>
    </row>
    <row r="1959" spans="2:30" s="323" customFormat="1" ht="12" customHeight="1">
      <c r="B1959" s="324"/>
      <c r="C1959" s="325"/>
      <c r="D1959" s="326"/>
      <c r="E1959" s="326"/>
      <c r="F1959" s="326"/>
      <c r="G1959" s="326"/>
      <c r="H1959" s="326"/>
      <c r="P1959" s="318"/>
      <c r="Q1959" s="318"/>
      <c r="R1959" s="318"/>
      <c r="S1959" s="318"/>
      <c r="T1959" s="318"/>
      <c r="U1959" s="318"/>
      <c r="V1959" s="318"/>
      <c r="W1959" s="318"/>
      <c r="X1959" s="318"/>
      <c r="Y1959" s="318"/>
      <c r="Z1959" s="318"/>
      <c r="AA1959" s="318"/>
      <c r="AB1959" s="318"/>
      <c r="AC1959" s="318"/>
      <c r="AD1959" s="318"/>
    </row>
    <row r="1960" spans="2:30" s="323" customFormat="1" ht="12" customHeight="1">
      <c r="B1960" s="324"/>
      <c r="C1960" s="325"/>
      <c r="D1960" s="326"/>
      <c r="E1960" s="326"/>
      <c r="F1960" s="326"/>
      <c r="G1960" s="326"/>
      <c r="H1960" s="326"/>
      <c r="P1960" s="318"/>
      <c r="Q1960" s="318"/>
      <c r="R1960" s="318"/>
      <c r="S1960" s="318"/>
      <c r="T1960" s="318"/>
      <c r="U1960" s="318"/>
      <c r="V1960" s="318"/>
      <c r="W1960" s="318"/>
      <c r="X1960" s="318"/>
      <c r="Y1960" s="318"/>
      <c r="Z1960" s="318"/>
      <c r="AA1960" s="318"/>
      <c r="AB1960" s="318"/>
      <c r="AC1960" s="318"/>
      <c r="AD1960" s="318"/>
    </row>
    <row r="1961" spans="2:30" s="323" customFormat="1" ht="12" customHeight="1">
      <c r="B1961" s="324"/>
      <c r="C1961" s="325"/>
      <c r="D1961" s="326"/>
      <c r="E1961" s="326"/>
      <c r="F1961" s="326"/>
      <c r="G1961" s="326"/>
      <c r="H1961" s="326"/>
      <c r="P1961" s="318"/>
      <c r="Q1961" s="318"/>
      <c r="R1961" s="318"/>
      <c r="S1961" s="318"/>
      <c r="T1961" s="318"/>
      <c r="U1961" s="318"/>
      <c r="V1961" s="318"/>
      <c r="W1961" s="318"/>
      <c r="X1961" s="318"/>
      <c r="Y1961" s="318"/>
      <c r="Z1961" s="318"/>
      <c r="AA1961" s="318"/>
      <c r="AB1961" s="318"/>
      <c r="AC1961" s="318"/>
      <c r="AD1961" s="318"/>
    </row>
    <row r="1962" spans="2:30" s="323" customFormat="1" ht="12" customHeight="1">
      <c r="B1962" s="324"/>
      <c r="C1962" s="325"/>
      <c r="D1962" s="326"/>
      <c r="E1962" s="326"/>
      <c r="F1962" s="326"/>
      <c r="G1962" s="326"/>
      <c r="H1962" s="326"/>
      <c r="P1962" s="318"/>
      <c r="Q1962" s="318"/>
      <c r="R1962" s="318"/>
      <c r="S1962" s="318"/>
      <c r="T1962" s="318"/>
      <c r="U1962" s="318"/>
      <c r="V1962" s="318"/>
      <c r="W1962" s="318"/>
      <c r="X1962" s="318"/>
      <c r="Y1962" s="318"/>
      <c r="Z1962" s="318"/>
      <c r="AA1962" s="318"/>
      <c r="AB1962" s="318"/>
      <c r="AC1962" s="318"/>
      <c r="AD1962" s="318"/>
    </row>
    <row r="1963" spans="2:30" s="323" customFormat="1" ht="12" customHeight="1">
      <c r="B1963" s="324"/>
      <c r="C1963" s="325"/>
      <c r="D1963" s="326"/>
      <c r="E1963" s="326"/>
      <c r="F1963" s="326"/>
      <c r="G1963" s="326"/>
      <c r="H1963" s="326"/>
      <c r="P1963" s="318"/>
      <c r="Q1963" s="318"/>
      <c r="R1963" s="318"/>
      <c r="S1963" s="318"/>
      <c r="T1963" s="318"/>
      <c r="U1963" s="318"/>
      <c r="V1963" s="318"/>
      <c r="W1963" s="318"/>
      <c r="X1963" s="318"/>
      <c r="Y1963" s="318"/>
      <c r="Z1963" s="318"/>
      <c r="AA1963" s="318"/>
      <c r="AB1963" s="318"/>
      <c r="AC1963" s="318"/>
      <c r="AD1963" s="318"/>
    </row>
    <row r="1964" spans="2:30" s="323" customFormat="1" ht="12" customHeight="1">
      <c r="B1964" s="324"/>
      <c r="C1964" s="325"/>
      <c r="D1964" s="326"/>
      <c r="E1964" s="326"/>
      <c r="F1964" s="326"/>
      <c r="G1964" s="326"/>
      <c r="H1964" s="326"/>
      <c r="P1964" s="318"/>
      <c r="Q1964" s="318"/>
      <c r="R1964" s="318"/>
      <c r="S1964" s="318"/>
      <c r="T1964" s="318"/>
      <c r="U1964" s="318"/>
      <c r="V1964" s="318"/>
      <c r="W1964" s="318"/>
      <c r="X1964" s="318"/>
      <c r="Y1964" s="318"/>
      <c r="Z1964" s="318"/>
      <c r="AA1964" s="318"/>
      <c r="AB1964" s="318"/>
      <c r="AC1964" s="318"/>
      <c r="AD1964" s="318"/>
    </row>
    <row r="1965" spans="2:30" s="323" customFormat="1" ht="12" customHeight="1">
      <c r="B1965" s="324"/>
      <c r="C1965" s="325"/>
      <c r="D1965" s="326"/>
      <c r="E1965" s="326"/>
      <c r="F1965" s="326"/>
      <c r="G1965" s="326"/>
      <c r="H1965" s="326"/>
      <c r="P1965" s="318"/>
      <c r="Q1965" s="318"/>
      <c r="R1965" s="318"/>
      <c r="S1965" s="318"/>
      <c r="T1965" s="318"/>
      <c r="U1965" s="318"/>
      <c r="V1965" s="318"/>
      <c r="W1965" s="318"/>
      <c r="X1965" s="318"/>
      <c r="Y1965" s="318"/>
      <c r="Z1965" s="318"/>
      <c r="AA1965" s="318"/>
      <c r="AB1965" s="318"/>
      <c r="AC1965" s="318"/>
      <c r="AD1965" s="318"/>
    </row>
    <row r="1966" spans="2:30" s="323" customFormat="1" ht="12" customHeight="1">
      <c r="B1966" s="324"/>
      <c r="C1966" s="325"/>
      <c r="D1966" s="326"/>
      <c r="E1966" s="326"/>
      <c r="F1966" s="326"/>
      <c r="G1966" s="326"/>
      <c r="H1966" s="326"/>
      <c r="P1966" s="318"/>
      <c r="Q1966" s="318"/>
      <c r="R1966" s="318"/>
      <c r="S1966" s="318"/>
      <c r="T1966" s="318"/>
      <c r="U1966" s="318"/>
      <c r="V1966" s="318"/>
      <c r="W1966" s="318"/>
      <c r="X1966" s="318"/>
      <c r="Y1966" s="318"/>
      <c r="Z1966" s="318"/>
      <c r="AA1966" s="318"/>
      <c r="AB1966" s="318"/>
      <c r="AC1966" s="318"/>
      <c r="AD1966" s="318"/>
    </row>
    <row r="1967" spans="2:30" s="323" customFormat="1" ht="12" customHeight="1">
      <c r="B1967" s="324"/>
      <c r="C1967" s="325"/>
      <c r="D1967" s="326"/>
      <c r="E1967" s="326"/>
      <c r="F1967" s="326"/>
      <c r="G1967" s="326"/>
      <c r="H1967" s="326"/>
      <c r="P1967" s="318"/>
      <c r="Q1967" s="318"/>
      <c r="R1967" s="318"/>
      <c r="S1967" s="318"/>
      <c r="T1967" s="318"/>
      <c r="U1967" s="318"/>
      <c r="V1967" s="318"/>
      <c r="W1967" s="318"/>
      <c r="X1967" s="318"/>
      <c r="Y1967" s="318"/>
      <c r="Z1967" s="318"/>
      <c r="AA1967" s="318"/>
      <c r="AB1967" s="318"/>
      <c r="AC1967" s="318"/>
      <c r="AD1967" s="318"/>
    </row>
    <row r="1968" spans="2:30" s="323" customFormat="1" ht="12" customHeight="1">
      <c r="B1968" s="324"/>
      <c r="C1968" s="325"/>
      <c r="D1968" s="326"/>
      <c r="E1968" s="326"/>
      <c r="F1968" s="326"/>
      <c r="G1968" s="326"/>
      <c r="H1968" s="326"/>
      <c r="P1968" s="318"/>
      <c r="Q1968" s="318"/>
      <c r="R1968" s="318"/>
      <c r="S1968" s="318"/>
      <c r="T1968" s="318"/>
      <c r="U1968" s="318"/>
      <c r="V1968" s="318"/>
      <c r="W1968" s="318"/>
      <c r="X1968" s="318"/>
      <c r="Y1968" s="318"/>
      <c r="Z1968" s="318"/>
      <c r="AA1968" s="318"/>
      <c r="AB1968" s="318"/>
      <c r="AC1968" s="318"/>
      <c r="AD1968" s="318"/>
    </row>
    <row r="1969" spans="2:30" s="323" customFormat="1" ht="12" customHeight="1">
      <c r="B1969" s="324"/>
      <c r="C1969" s="325"/>
      <c r="D1969" s="326"/>
      <c r="E1969" s="326"/>
      <c r="F1969" s="326"/>
      <c r="G1969" s="326"/>
      <c r="H1969" s="326"/>
      <c r="P1969" s="318"/>
      <c r="Q1969" s="318"/>
      <c r="R1969" s="318"/>
      <c r="S1969" s="318"/>
      <c r="T1969" s="318"/>
      <c r="U1969" s="318"/>
      <c r="V1969" s="318"/>
      <c r="W1969" s="318"/>
      <c r="X1969" s="318"/>
      <c r="Y1969" s="318"/>
      <c r="Z1969" s="318"/>
      <c r="AA1969" s="318"/>
      <c r="AB1969" s="318"/>
      <c r="AC1969" s="318"/>
      <c r="AD1969" s="318"/>
    </row>
    <row r="1970" spans="2:30" s="323" customFormat="1" ht="12" customHeight="1">
      <c r="B1970" s="324"/>
      <c r="C1970" s="325"/>
      <c r="D1970" s="326"/>
      <c r="E1970" s="326"/>
      <c r="F1970" s="326"/>
      <c r="G1970" s="326"/>
      <c r="H1970" s="326"/>
      <c r="P1970" s="318"/>
      <c r="Q1970" s="318"/>
      <c r="R1970" s="318"/>
      <c r="S1970" s="318"/>
      <c r="T1970" s="318"/>
      <c r="U1970" s="318"/>
      <c r="V1970" s="318"/>
      <c r="W1970" s="318"/>
      <c r="X1970" s="318"/>
      <c r="Y1970" s="318"/>
      <c r="Z1970" s="318"/>
      <c r="AA1970" s="318"/>
      <c r="AB1970" s="318"/>
      <c r="AC1970" s="318"/>
      <c r="AD1970" s="318"/>
    </row>
    <row r="1971" spans="2:30" s="323" customFormat="1" ht="12" customHeight="1">
      <c r="B1971" s="324"/>
      <c r="C1971" s="325"/>
      <c r="D1971" s="326"/>
      <c r="E1971" s="326"/>
      <c r="F1971" s="326"/>
      <c r="G1971" s="326"/>
      <c r="H1971" s="326"/>
      <c r="P1971" s="318"/>
      <c r="Q1971" s="318"/>
      <c r="R1971" s="318"/>
      <c r="S1971" s="318"/>
      <c r="T1971" s="318"/>
      <c r="U1971" s="318"/>
      <c r="V1971" s="318"/>
      <c r="W1971" s="318"/>
      <c r="X1971" s="318"/>
      <c r="Y1971" s="318"/>
      <c r="Z1971" s="318"/>
      <c r="AA1971" s="318"/>
      <c r="AB1971" s="318"/>
      <c r="AC1971" s="318"/>
      <c r="AD1971" s="318"/>
    </row>
    <row r="1972" spans="2:30" s="323" customFormat="1" ht="12" customHeight="1">
      <c r="B1972" s="324"/>
      <c r="C1972" s="325"/>
      <c r="D1972" s="326"/>
      <c r="E1972" s="326"/>
      <c r="F1972" s="326"/>
      <c r="G1972" s="326"/>
      <c r="H1972" s="326"/>
      <c r="P1972" s="318"/>
      <c r="Q1972" s="318"/>
      <c r="R1972" s="318"/>
      <c r="S1972" s="318"/>
      <c r="T1972" s="318"/>
      <c r="U1972" s="318"/>
      <c r="V1972" s="318"/>
      <c r="W1972" s="318"/>
      <c r="X1972" s="318"/>
      <c r="Y1972" s="318"/>
      <c r="Z1972" s="318"/>
      <c r="AA1972" s="318"/>
      <c r="AB1972" s="318"/>
      <c r="AC1972" s="318"/>
      <c r="AD1972" s="318"/>
    </row>
    <row r="1973" spans="2:30" s="323" customFormat="1" ht="12" customHeight="1">
      <c r="B1973" s="324"/>
      <c r="C1973" s="325"/>
      <c r="D1973" s="326"/>
      <c r="E1973" s="326"/>
      <c r="F1973" s="326"/>
      <c r="G1973" s="326"/>
      <c r="H1973" s="326"/>
      <c r="P1973" s="318"/>
      <c r="Q1973" s="318"/>
      <c r="R1973" s="318"/>
      <c r="S1973" s="318"/>
      <c r="T1973" s="318"/>
      <c r="U1973" s="318"/>
      <c r="V1973" s="318"/>
      <c r="W1973" s="318"/>
      <c r="X1973" s="318"/>
      <c r="Y1973" s="318"/>
      <c r="Z1973" s="318"/>
      <c r="AA1973" s="318"/>
      <c r="AB1973" s="318"/>
      <c r="AC1973" s="318"/>
      <c r="AD1973" s="318"/>
    </row>
    <row r="1974" spans="2:30" s="323" customFormat="1" ht="12" customHeight="1">
      <c r="B1974" s="324"/>
      <c r="C1974" s="325"/>
      <c r="D1974" s="326"/>
      <c r="E1974" s="326"/>
      <c r="F1974" s="326"/>
      <c r="G1974" s="326"/>
      <c r="H1974" s="326"/>
      <c r="P1974" s="318"/>
      <c r="Q1974" s="318"/>
      <c r="R1974" s="318"/>
      <c r="S1974" s="318"/>
      <c r="T1974" s="318"/>
      <c r="U1974" s="318"/>
      <c r="V1974" s="318"/>
      <c r="W1974" s="318"/>
      <c r="X1974" s="318"/>
      <c r="Y1974" s="318"/>
      <c r="Z1974" s="318"/>
      <c r="AA1974" s="318"/>
      <c r="AB1974" s="318"/>
      <c r="AC1974" s="318"/>
      <c r="AD1974" s="318"/>
    </row>
    <row r="1975" spans="2:30" s="323" customFormat="1" ht="12" customHeight="1">
      <c r="B1975" s="324"/>
      <c r="C1975" s="325"/>
      <c r="D1975" s="326"/>
      <c r="E1975" s="326"/>
      <c r="F1975" s="326"/>
      <c r="G1975" s="326"/>
      <c r="H1975" s="326"/>
      <c r="P1975" s="318"/>
      <c r="Q1975" s="318"/>
      <c r="R1975" s="318"/>
      <c r="S1975" s="318"/>
      <c r="T1975" s="318"/>
      <c r="U1975" s="318"/>
      <c r="V1975" s="318"/>
      <c r="W1975" s="318"/>
      <c r="X1975" s="318"/>
      <c r="Y1975" s="318"/>
      <c r="Z1975" s="318"/>
      <c r="AA1975" s="318"/>
      <c r="AB1975" s="318"/>
      <c r="AC1975" s="318"/>
      <c r="AD1975" s="318"/>
    </row>
    <row r="1976" spans="2:30" s="323" customFormat="1" ht="12" customHeight="1">
      <c r="B1976" s="324"/>
      <c r="C1976" s="325"/>
      <c r="D1976" s="326"/>
      <c r="E1976" s="326"/>
      <c r="F1976" s="326"/>
      <c r="G1976" s="326"/>
      <c r="H1976" s="326"/>
      <c r="P1976" s="318"/>
      <c r="Q1976" s="318"/>
      <c r="R1976" s="318"/>
      <c r="S1976" s="318"/>
      <c r="T1976" s="318"/>
      <c r="U1976" s="318"/>
      <c r="V1976" s="318"/>
      <c r="W1976" s="318"/>
      <c r="X1976" s="318"/>
      <c r="Y1976" s="318"/>
      <c r="Z1976" s="318"/>
      <c r="AA1976" s="318"/>
      <c r="AB1976" s="318"/>
      <c r="AC1976" s="318"/>
      <c r="AD1976" s="318"/>
    </row>
    <row r="1977" spans="2:30" s="323" customFormat="1" ht="12" customHeight="1">
      <c r="B1977" s="324"/>
      <c r="C1977" s="325"/>
      <c r="D1977" s="326"/>
      <c r="E1977" s="326"/>
      <c r="F1977" s="326"/>
      <c r="G1977" s="326"/>
      <c r="H1977" s="326"/>
      <c r="P1977" s="318"/>
      <c r="Q1977" s="318"/>
      <c r="R1977" s="318"/>
      <c r="S1977" s="318"/>
      <c r="T1977" s="318"/>
      <c r="U1977" s="318"/>
      <c r="V1977" s="318"/>
      <c r="W1977" s="318"/>
      <c r="X1977" s="318"/>
      <c r="Y1977" s="318"/>
      <c r="Z1977" s="318"/>
      <c r="AA1977" s="318"/>
      <c r="AB1977" s="318"/>
      <c r="AC1977" s="318"/>
      <c r="AD1977" s="318"/>
    </row>
    <row r="1978" spans="2:30" s="323" customFormat="1" ht="12" customHeight="1">
      <c r="B1978" s="324"/>
      <c r="C1978" s="325"/>
      <c r="D1978" s="326"/>
      <c r="E1978" s="326"/>
      <c r="F1978" s="326"/>
      <c r="G1978" s="326"/>
      <c r="H1978" s="326"/>
      <c r="P1978" s="318"/>
      <c r="Q1978" s="318"/>
      <c r="R1978" s="318"/>
      <c r="S1978" s="318"/>
      <c r="T1978" s="318"/>
      <c r="U1978" s="318"/>
      <c r="V1978" s="318"/>
      <c r="W1978" s="318"/>
      <c r="X1978" s="318"/>
      <c r="Y1978" s="318"/>
      <c r="Z1978" s="318"/>
      <c r="AA1978" s="318"/>
      <c r="AB1978" s="318"/>
      <c r="AC1978" s="318"/>
      <c r="AD1978" s="318"/>
    </row>
    <row r="1979" spans="2:30" s="323" customFormat="1" ht="12" customHeight="1">
      <c r="B1979" s="324"/>
      <c r="C1979" s="325"/>
      <c r="D1979" s="326"/>
      <c r="E1979" s="326"/>
      <c r="F1979" s="326"/>
      <c r="G1979" s="326"/>
      <c r="H1979" s="326"/>
      <c r="P1979" s="318"/>
      <c r="Q1979" s="318"/>
      <c r="R1979" s="318"/>
      <c r="S1979" s="318"/>
      <c r="T1979" s="318"/>
      <c r="U1979" s="318"/>
      <c r="V1979" s="318"/>
      <c r="W1979" s="318"/>
      <c r="X1979" s="318"/>
      <c r="Y1979" s="318"/>
      <c r="Z1979" s="318"/>
      <c r="AA1979" s="318"/>
      <c r="AB1979" s="318"/>
      <c r="AC1979" s="318"/>
      <c r="AD1979" s="318"/>
    </row>
    <row r="1980" spans="2:30" s="323" customFormat="1" ht="12" customHeight="1">
      <c r="B1980" s="324"/>
      <c r="C1980" s="325"/>
      <c r="D1980" s="326"/>
      <c r="E1980" s="326"/>
      <c r="F1980" s="326"/>
      <c r="G1980" s="326"/>
      <c r="H1980" s="326"/>
      <c r="P1980" s="318"/>
      <c r="Q1980" s="318"/>
      <c r="R1980" s="318"/>
      <c r="S1980" s="318"/>
      <c r="T1980" s="318"/>
      <c r="U1980" s="318"/>
      <c r="V1980" s="318"/>
      <c r="W1980" s="318"/>
      <c r="X1980" s="318"/>
      <c r="Y1980" s="318"/>
      <c r="Z1980" s="318"/>
      <c r="AA1980" s="318"/>
      <c r="AB1980" s="318"/>
      <c r="AC1980" s="318"/>
      <c r="AD1980" s="318"/>
    </row>
    <row r="1981" spans="2:30" s="323" customFormat="1" ht="12" customHeight="1">
      <c r="B1981" s="324"/>
      <c r="C1981" s="325"/>
      <c r="D1981" s="326"/>
      <c r="E1981" s="326"/>
      <c r="F1981" s="326"/>
      <c r="G1981" s="326"/>
      <c r="H1981" s="326"/>
      <c r="P1981" s="318"/>
      <c r="Q1981" s="318"/>
      <c r="R1981" s="318"/>
      <c r="S1981" s="318"/>
      <c r="T1981" s="318"/>
      <c r="U1981" s="318"/>
      <c r="V1981" s="318"/>
      <c r="W1981" s="318"/>
      <c r="X1981" s="318"/>
      <c r="Y1981" s="318"/>
      <c r="Z1981" s="318"/>
      <c r="AA1981" s="318"/>
      <c r="AB1981" s="318"/>
      <c r="AC1981" s="318"/>
      <c r="AD1981" s="318"/>
    </row>
    <row r="1982" spans="2:30" s="323" customFormat="1" ht="12" customHeight="1">
      <c r="B1982" s="324"/>
      <c r="C1982" s="325"/>
      <c r="D1982" s="326"/>
      <c r="E1982" s="326"/>
      <c r="F1982" s="326"/>
      <c r="G1982" s="326"/>
      <c r="H1982" s="326"/>
      <c r="P1982" s="318"/>
      <c r="Q1982" s="318"/>
      <c r="R1982" s="318"/>
      <c r="S1982" s="318"/>
      <c r="T1982" s="318"/>
      <c r="U1982" s="318"/>
      <c r="V1982" s="318"/>
      <c r="W1982" s="318"/>
      <c r="X1982" s="318"/>
      <c r="Y1982" s="318"/>
      <c r="Z1982" s="318"/>
      <c r="AA1982" s="318"/>
      <c r="AB1982" s="318"/>
      <c r="AC1982" s="318"/>
      <c r="AD1982" s="318"/>
    </row>
    <row r="1983" spans="2:30" s="323" customFormat="1" ht="12" customHeight="1">
      <c r="B1983" s="324"/>
      <c r="C1983" s="325"/>
      <c r="D1983" s="326"/>
      <c r="E1983" s="326"/>
      <c r="F1983" s="326"/>
      <c r="G1983" s="326"/>
      <c r="H1983" s="326"/>
      <c r="P1983" s="318"/>
      <c r="Q1983" s="318"/>
      <c r="R1983" s="318"/>
      <c r="S1983" s="318"/>
      <c r="T1983" s="318"/>
      <c r="U1983" s="318"/>
      <c r="V1983" s="318"/>
      <c r="W1983" s="318"/>
      <c r="X1983" s="318"/>
      <c r="Y1983" s="318"/>
      <c r="Z1983" s="318"/>
      <c r="AA1983" s="318"/>
      <c r="AB1983" s="318"/>
      <c r="AC1983" s="318"/>
      <c r="AD1983" s="318"/>
    </row>
    <row r="1984" spans="2:30" s="323" customFormat="1" ht="12" customHeight="1">
      <c r="B1984" s="324"/>
      <c r="C1984" s="325"/>
      <c r="D1984" s="326"/>
      <c r="E1984" s="326"/>
      <c r="F1984" s="326"/>
      <c r="G1984" s="326"/>
      <c r="H1984" s="326"/>
      <c r="P1984" s="318"/>
      <c r="Q1984" s="318"/>
      <c r="R1984" s="318"/>
      <c r="S1984" s="318"/>
      <c r="T1984" s="318"/>
      <c r="U1984" s="318"/>
      <c r="V1984" s="318"/>
      <c r="W1984" s="318"/>
      <c r="X1984" s="318"/>
      <c r="Y1984" s="318"/>
      <c r="Z1984" s="318"/>
      <c r="AA1984" s="318"/>
      <c r="AB1984" s="318"/>
      <c r="AC1984" s="318"/>
      <c r="AD1984" s="318"/>
    </row>
    <row r="1985" spans="2:30" s="323" customFormat="1" ht="12" customHeight="1">
      <c r="B1985" s="324"/>
      <c r="C1985" s="325"/>
      <c r="D1985" s="326"/>
      <c r="E1985" s="326"/>
      <c r="F1985" s="326"/>
      <c r="G1985" s="326"/>
      <c r="H1985" s="326"/>
      <c r="P1985" s="318"/>
      <c r="Q1985" s="318"/>
      <c r="R1985" s="318"/>
      <c r="S1985" s="318"/>
      <c r="T1985" s="318"/>
      <c r="U1985" s="318"/>
      <c r="V1985" s="318"/>
      <c r="W1985" s="318"/>
      <c r="X1985" s="318"/>
      <c r="Y1985" s="318"/>
      <c r="Z1985" s="318"/>
      <c r="AA1985" s="318"/>
      <c r="AB1985" s="318"/>
      <c r="AC1985" s="318"/>
      <c r="AD1985" s="318"/>
    </row>
    <row r="1986" spans="2:30" s="323" customFormat="1" ht="12" customHeight="1">
      <c r="B1986" s="324"/>
      <c r="C1986" s="325"/>
      <c r="D1986" s="326"/>
      <c r="E1986" s="326"/>
      <c r="F1986" s="326"/>
      <c r="G1986" s="326"/>
      <c r="H1986" s="326"/>
      <c r="P1986" s="318"/>
      <c r="Q1986" s="318"/>
      <c r="R1986" s="318"/>
      <c r="S1986" s="318"/>
      <c r="T1986" s="318"/>
      <c r="U1986" s="318"/>
      <c r="V1986" s="318"/>
      <c r="W1986" s="318"/>
      <c r="X1986" s="318"/>
      <c r="Y1986" s="318"/>
      <c r="Z1986" s="318"/>
      <c r="AA1986" s="318"/>
      <c r="AB1986" s="318"/>
      <c r="AC1986" s="318"/>
      <c r="AD1986" s="318"/>
    </row>
    <row r="1987" spans="2:30" s="323" customFormat="1" ht="12" customHeight="1">
      <c r="B1987" s="324"/>
      <c r="C1987" s="325"/>
      <c r="D1987" s="326"/>
      <c r="E1987" s="326"/>
      <c r="F1987" s="326"/>
      <c r="G1987" s="326"/>
      <c r="H1987" s="326"/>
      <c r="P1987" s="318"/>
      <c r="Q1987" s="318"/>
      <c r="R1987" s="318"/>
      <c r="S1987" s="318"/>
      <c r="T1987" s="318"/>
      <c r="U1987" s="318"/>
      <c r="V1987" s="318"/>
      <c r="W1987" s="318"/>
      <c r="X1987" s="318"/>
      <c r="Y1987" s="318"/>
      <c r="Z1987" s="318"/>
      <c r="AA1987" s="318"/>
      <c r="AB1987" s="318"/>
      <c r="AC1987" s="318"/>
      <c r="AD1987" s="318"/>
    </row>
    <row r="1988" spans="2:30" s="323" customFormat="1" ht="12" customHeight="1">
      <c r="B1988" s="324"/>
      <c r="C1988" s="325"/>
      <c r="D1988" s="326"/>
      <c r="E1988" s="326"/>
      <c r="F1988" s="326"/>
      <c r="G1988" s="326"/>
      <c r="H1988" s="326"/>
      <c r="P1988" s="318"/>
      <c r="Q1988" s="318"/>
      <c r="R1988" s="318"/>
      <c r="S1988" s="318"/>
      <c r="T1988" s="318"/>
      <c r="U1988" s="318"/>
      <c r="V1988" s="318"/>
      <c r="W1988" s="318"/>
      <c r="X1988" s="318"/>
      <c r="Y1988" s="318"/>
      <c r="Z1988" s="318"/>
      <c r="AA1988" s="318"/>
      <c r="AB1988" s="318"/>
      <c r="AC1988" s="318"/>
      <c r="AD1988" s="318"/>
    </row>
    <row r="1989" spans="2:30" s="323" customFormat="1" ht="12" customHeight="1">
      <c r="B1989" s="324"/>
      <c r="C1989" s="325"/>
      <c r="D1989" s="326"/>
      <c r="E1989" s="326"/>
      <c r="F1989" s="326"/>
      <c r="G1989" s="326"/>
      <c r="H1989" s="326"/>
      <c r="P1989" s="318"/>
      <c r="Q1989" s="318"/>
      <c r="R1989" s="318"/>
      <c r="S1989" s="318"/>
      <c r="T1989" s="318"/>
      <c r="U1989" s="318"/>
      <c r="V1989" s="318"/>
      <c r="W1989" s="318"/>
      <c r="X1989" s="318"/>
      <c r="Y1989" s="318"/>
      <c r="Z1989" s="318"/>
      <c r="AA1989" s="318"/>
      <c r="AB1989" s="318"/>
      <c r="AC1989" s="318"/>
      <c r="AD1989" s="318"/>
    </row>
    <row r="1990" spans="2:30" s="323" customFormat="1" ht="12" customHeight="1">
      <c r="B1990" s="324"/>
      <c r="C1990" s="325"/>
      <c r="D1990" s="326"/>
      <c r="E1990" s="326"/>
      <c r="F1990" s="326"/>
      <c r="G1990" s="326"/>
      <c r="H1990" s="326"/>
      <c r="P1990" s="318"/>
      <c r="Q1990" s="318"/>
      <c r="R1990" s="318"/>
      <c r="S1990" s="318"/>
      <c r="T1990" s="318"/>
      <c r="U1990" s="318"/>
      <c r="V1990" s="318"/>
      <c r="W1990" s="318"/>
      <c r="X1990" s="318"/>
      <c r="Y1990" s="318"/>
      <c r="Z1990" s="318"/>
      <c r="AA1990" s="318"/>
      <c r="AB1990" s="318"/>
      <c r="AC1990" s="318"/>
      <c r="AD1990" s="318"/>
    </row>
    <row r="1991" spans="2:30" s="323" customFormat="1" ht="12" customHeight="1">
      <c r="B1991" s="324"/>
      <c r="C1991" s="325"/>
      <c r="D1991" s="326"/>
      <c r="E1991" s="326"/>
      <c r="F1991" s="326"/>
      <c r="G1991" s="326"/>
      <c r="H1991" s="326"/>
      <c r="P1991" s="318"/>
      <c r="Q1991" s="318"/>
      <c r="R1991" s="318"/>
      <c r="S1991" s="318"/>
      <c r="T1991" s="318"/>
      <c r="U1991" s="318"/>
      <c r="V1991" s="318"/>
      <c r="W1991" s="318"/>
      <c r="X1991" s="318"/>
      <c r="Y1991" s="318"/>
      <c r="Z1991" s="318"/>
      <c r="AA1991" s="318"/>
      <c r="AB1991" s="318"/>
      <c r="AC1991" s="318"/>
      <c r="AD1991" s="318"/>
    </row>
    <row r="1992" spans="2:30" s="323" customFormat="1" ht="12" customHeight="1">
      <c r="B1992" s="324"/>
      <c r="C1992" s="325"/>
      <c r="D1992" s="326"/>
      <c r="E1992" s="326"/>
      <c r="F1992" s="326"/>
      <c r="G1992" s="326"/>
      <c r="H1992" s="326"/>
      <c r="P1992" s="318"/>
      <c r="Q1992" s="318"/>
      <c r="R1992" s="318"/>
      <c r="S1992" s="318"/>
      <c r="T1992" s="318"/>
      <c r="U1992" s="318"/>
      <c r="V1992" s="318"/>
      <c r="W1992" s="318"/>
      <c r="X1992" s="318"/>
      <c r="Y1992" s="318"/>
      <c r="Z1992" s="318"/>
      <c r="AA1992" s="318"/>
      <c r="AB1992" s="318"/>
      <c r="AC1992" s="318"/>
      <c r="AD1992" s="318"/>
    </row>
    <row r="1993" spans="2:30" s="323" customFormat="1" ht="12" customHeight="1">
      <c r="B1993" s="324"/>
      <c r="C1993" s="325"/>
      <c r="D1993" s="326"/>
      <c r="E1993" s="326"/>
      <c r="F1993" s="326"/>
      <c r="G1993" s="326"/>
      <c r="H1993" s="326"/>
      <c r="P1993" s="318"/>
      <c r="Q1993" s="318"/>
      <c r="R1993" s="318"/>
      <c r="S1993" s="318"/>
      <c r="T1993" s="318"/>
      <c r="U1993" s="318"/>
      <c r="V1993" s="318"/>
      <c r="W1993" s="318"/>
      <c r="X1993" s="318"/>
      <c r="Y1993" s="318"/>
      <c r="Z1993" s="318"/>
      <c r="AA1993" s="318"/>
      <c r="AB1993" s="318"/>
      <c r="AC1993" s="318"/>
      <c r="AD1993" s="318"/>
    </row>
    <row r="1994" spans="2:30" s="323" customFormat="1" ht="12" customHeight="1">
      <c r="B1994" s="324"/>
      <c r="C1994" s="325"/>
      <c r="D1994" s="326"/>
      <c r="E1994" s="326"/>
      <c r="F1994" s="326"/>
      <c r="G1994" s="326"/>
      <c r="H1994" s="326"/>
      <c r="P1994" s="318"/>
      <c r="Q1994" s="318"/>
      <c r="R1994" s="318"/>
      <c r="S1994" s="318"/>
      <c r="T1994" s="318"/>
      <c r="U1994" s="318"/>
      <c r="V1994" s="318"/>
      <c r="W1994" s="318"/>
      <c r="X1994" s="318"/>
      <c r="Y1994" s="318"/>
      <c r="Z1994" s="318"/>
      <c r="AA1994" s="318"/>
      <c r="AB1994" s="318"/>
      <c r="AC1994" s="318"/>
      <c r="AD1994" s="318"/>
    </row>
    <row r="1995" spans="2:30" s="323" customFormat="1" ht="12" customHeight="1">
      <c r="B1995" s="324"/>
      <c r="C1995" s="325"/>
      <c r="D1995" s="326"/>
      <c r="E1995" s="326"/>
      <c r="F1995" s="326"/>
      <c r="G1995" s="326"/>
      <c r="H1995" s="326"/>
      <c r="P1995" s="318"/>
      <c r="Q1995" s="318"/>
      <c r="R1995" s="318"/>
      <c r="S1995" s="318"/>
      <c r="T1995" s="318"/>
      <c r="U1995" s="318"/>
      <c r="V1995" s="318"/>
      <c r="W1995" s="318"/>
      <c r="X1995" s="318"/>
      <c r="Y1995" s="318"/>
      <c r="Z1995" s="318"/>
      <c r="AA1995" s="318"/>
      <c r="AB1995" s="318"/>
      <c r="AC1995" s="318"/>
      <c r="AD1995" s="318"/>
    </row>
    <row r="1996" spans="2:30" s="323" customFormat="1" ht="12" customHeight="1">
      <c r="B1996" s="324"/>
      <c r="C1996" s="325"/>
      <c r="D1996" s="326"/>
      <c r="E1996" s="326"/>
      <c r="F1996" s="326"/>
      <c r="G1996" s="326"/>
      <c r="H1996" s="326"/>
      <c r="P1996" s="318"/>
      <c r="Q1996" s="318"/>
      <c r="R1996" s="318"/>
      <c r="S1996" s="318"/>
      <c r="T1996" s="318"/>
      <c r="U1996" s="318"/>
      <c r="V1996" s="318"/>
      <c r="W1996" s="318"/>
      <c r="X1996" s="318"/>
      <c r="Y1996" s="318"/>
      <c r="Z1996" s="318"/>
      <c r="AA1996" s="318"/>
      <c r="AB1996" s="318"/>
      <c r="AC1996" s="318"/>
      <c r="AD1996" s="318"/>
    </row>
    <row r="1997" spans="2:30" s="323" customFormat="1" ht="12" customHeight="1">
      <c r="B1997" s="324"/>
      <c r="C1997" s="325"/>
      <c r="D1997" s="326"/>
      <c r="E1997" s="326"/>
      <c r="F1997" s="326"/>
      <c r="G1997" s="326"/>
      <c r="H1997" s="326"/>
      <c r="P1997" s="318"/>
      <c r="Q1997" s="318"/>
      <c r="R1997" s="318"/>
      <c r="S1997" s="318"/>
      <c r="T1997" s="318"/>
      <c r="U1997" s="318"/>
      <c r="V1997" s="318"/>
      <c r="W1997" s="318"/>
      <c r="X1997" s="318"/>
      <c r="Y1997" s="318"/>
      <c r="Z1997" s="318"/>
      <c r="AA1997" s="318"/>
      <c r="AB1997" s="318"/>
      <c r="AC1997" s="318"/>
      <c r="AD1997" s="318"/>
    </row>
    <row r="1998" spans="2:30" s="323" customFormat="1" ht="12" customHeight="1">
      <c r="B1998" s="324"/>
      <c r="C1998" s="325"/>
      <c r="D1998" s="326"/>
      <c r="E1998" s="326"/>
      <c r="F1998" s="326"/>
      <c r="G1998" s="326"/>
      <c r="H1998" s="326"/>
      <c r="P1998" s="318"/>
      <c r="Q1998" s="318"/>
      <c r="R1998" s="318"/>
      <c r="S1998" s="318"/>
      <c r="T1998" s="318"/>
      <c r="U1998" s="318"/>
      <c r="V1998" s="318"/>
      <c r="W1998" s="318"/>
      <c r="X1998" s="318"/>
      <c r="Y1998" s="318"/>
      <c r="Z1998" s="318"/>
      <c r="AA1998" s="318"/>
      <c r="AB1998" s="318"/>
      <c r="AC1998" s="318"/>
      <c r="AD1998" s="318"/>
    </row>
    <row r="1999" spans="2:30" s="323" customFormat="1" ht="12" customHeight="1">
      <c r="B1999" s="324"/>
      <c r="C1999" s="325"/>
      <c r="D1999" s="326"/>
      <c r="E1999" s="326"/>
      <c r="F1999" s="326"/>
      <c r="G1999" s="326"/>
      <c r="H1999" s="326"/>
      <c r="P1999" s="318"/>
      <c r="Q1999" s="318"/>
      <c r="R1999" s="318"/>
      <c r="S1999" s="318"/>
      <c r="T1999" s="318"/>
      <c r="U1999" s="318"/>
      <c r="V1999" s="318"/>
      <c r="W1999" s="318"/>
      <c r="X1999" s="318"/>
      <c r="Y1999" s="318"/>
      <c r="Z1999" s="318"/>
      <c r="AA1999" s="318"/>
      <c r="AB1999" s="318"/>
      <c r="AC1999" s="318"/>
      <c r="AD1999" s="318"/>
    </row>
    <row r="2000" spans="2:30" s="323" customFormat="1" ht="12" customHeight="1">
      <c r="B2000" s="324"/>
      <c r="C2000" s="325"/>
      <c r="D2000" s="326"/>
      <c r="E2000" s="326"/>
      <c r="F2000" s="326"/>
      <c r="G2000" s="326"/>
      <c r="H2000" s="326"/>
      <c r="P2000" s="318"/>
      <c r="Q2000" s="318"/>
      <c r="R2000" s="318"/>
      <c r="S2000" s="318"/>
      <c r="T2000" s="318"/>
      <c r="U2000" s="318"/>
      <c r="V2000" s="318"/>
      <c r="W2000" s="318"/>
      <c r="X2000" s="318"/>
      <c r="Y2000" s="318"/>
      <c r="Z2000" s="318"/>
      <c r="AA2000" s="318"/>
      <c r="AB2000" s="318"/>
      <c r="AC2000" s="318"/>
      <c r="AD2000" s="318"/>
    </row>
    <row r="2001" spans="2:30" s="323" customFormat="1" ht="12" customHeight="1">
      <c r="B2001" s="324"/>
      <c r="C2001" s="325"/>
      <c r="D2001" s="326"/>
      <c r="E2001" s="326"/>
      <c r="F2001" s="326"/>
      <c r="G2001" s="326"/>
      <c r="H2001" s="326"/>
      <c r="P2001" s="318"/>
      <c r="Q2001" s="318"/>
      <c r="R2001" s="318"/>
      <c r="S2001" s="318"/>
      <c r="T2001" s="318"/>
      <c r="U2001" s="318"/>
      <c r="V2001" s="318"/>
      <c r="W2001" s="318"/>
      <c r="X2001" s="318"/>
      <c r="Y2001" s="318"/>
      <c r="Z2001" s="318"/>
      <c r="AA2001" s="318"/>
      <c r="AB2001" s="318"/>
      <c r="AC2001" s="318"/>
      <c r="AD2001" s="318"/>
    </row>
    <row r="2002" spans="2:30" s="323" customFormat="1" ht="12" customHeight="1">
      <c r="B2002" s="324"/>
      <c r="C2002" s="325"/>
      <c r="D2002" s="326"/>
      <c r="E2002" s="326"/>
      <c r="F2002" s="326"/>
      <c r="G2002" s="326"/>
      <c r="H2002" s="326"/>
      <c r="P2002" s="318"/>
      <c r="Q2002" s="318"/>
      <c r="R2002" s="318"/>
      <c r="S2002" s="318"/>
      <c r="T2002" s="318"/>
      <c r="U2002" s="318"/>
      <c r="V2002" s="318"/>
      <c r="W2002" s="318"/>
      <c r="X2002" s="318"/>
      <c r="Y2002" s="318"/>
      <c r="Z2002" s="318"/>
      <c r="AA2002" s="318"/>
      <c r="AB2002" s="318"/>
      <c r="AC2002" s="318"/>
      <c r="AD2002" s="318"/>
    </row>
    <row r="2003" spans="2:30" s="323" customFormat="1" ht="12" customHeight="1">
      <c r="B2003" s="324"/>
      <c r="C2003" s="325"/>
      <c r="D2003" s="326"/>
      <c r="E2003" s="326"/>
      <c r="F2003" s="326"/>
      <c r="G2003" s="326"/>
      <c r="H2003" s="326"/>
      <c r="P2003" s="318"/>
      <c r="Q2003" s="318"/>
      <c r="R2003" s="318"/>
      <c r="S2003" s="318"/>
      <c r="T2003" s="318"/>
      <c r="U2003" s="318"/>
      <c r="V2003" s="318"/>
      <c r="W2003" s="318"/>
      <c r="X2003" s="318"/>
      <c r="Y2003" s="318"/>
      <c r="Z2003" s="318"/>
      <c r="AA2003" s="318"/>
      <c r="AB2003" s="318"/>
      <c r="AC2003" s="318"/>
      <c r="AD2003" s="318"/>
    </row>
    <row r="2004" spans="2:30" s="323" customFormat="1" ht="12" customHeight="1">
      <c r="B2004" s="324"/>
      <c r="C2004" s="325"/>
      <c r="D2004" s="326"/>
      <c r="E2004" s="326"/>
      <c r="F2004" s="326"/>
      <c r="G2004" s="326"/>
      <c r="H2004" s="326"/>
      <c r="P2004" s="318"/>
      <c r="Q2004" s="318"/>
      <c r="R2004" s="318"/>
      <c r="S2004" s="318"/>
      <c r="T2004" s="318"/>
      <c r="U2004" s="318"/>
      <c r="V2004" s="318"/>
      <c r="W2004" s="318"/>
      <c r="X2004" s="318"/>
      <c r="Y2004" s="318"/>
      <c r="Z2004" s="318"/>
      <c r="AA2004" s="318"/>
      <c r="AB2004" s="318"/>
      <c r="AC2004" s="318"/>
      <c r="AD2004" s="318"/>
    </row>
    <row r="2005" spans="2:30" s="323" customFormat="1" ht="12" customHeight="1">
      <c r="B2005" s="324"/>
      <c r="C2005" s="325"/>
      <c r="D2005" s="326"/>
      <c r="E2005" s="326"/>
      <c r="F2005" s="326"/>
      <c r="G2005" s="326"/>
      <c r="H2005" s="326"/>
      <c r="P2005" s="318"/>
      <c r="Q2005" s="318"/>
      <c r="R2005" s="318"/>
      <c r="S2005" s="318"/>
      <c r="T2005" s="318"/>
      <c r="U2005" s="318"/>
      <c r="V2005" s="318"/>
      <c r="W2005" s="318"/>
      <c r="X2005" s="318"/>
      <c r="Y2005" s="318"/>
      <c r="Z2005" s="318"/>
      <c r="AA2005" s="318"/>
      <c r="AB2005" s="318"/>
      <c r="AC2005" s="318"/>
      <c r="AD2005" s="318"/>
    </row>
    <row r="2006" spans="2:30" s="323" customFormat="1" ht="12" customHeight="1">
      <c r="B2006" s="324"/>
      <c r="C2006" s="325"/>
      <c r="D2006" s="326"/>
      <c r="E2006" s="326"/>
      <c r="F2006" s="326"/>
      <c r="G2006" s="326"/>
      <c r="H2006" s="326"/>
      <c r="P2006" s="318"/>
      <c r="Q2006" s="318"/>
      <c r="R2006" s="318"/>
      <c r="S2006" s="318"/>
      <c r="T2006" s="318"/>
      <c r="U2006" s="318"/>
      <c r="V2006" s="318"/>
      <c r="W2006" s="318"/>
      <c r="X2006" s="318"/>
      <c r="Y2006" s="318"/>
      <c r="Z2006" s="318"/>
      <c r="AA2006" s="318"/>
      <c r="AB2006" s="318"/>
      <c r="AC2006" s="318"/>
      <c r="AD2006" s="318"/>
    </row>
    <row r="2007" spans="2:30" s="323" customFormat="1" ht="12" customHeight="1">
      <c r="B2007" s="324"/>
      <c r="C2007" s="325"/>
      <c r="D2007" s="326"/>
      <c r="E2007" s="326"/>
      <c r="F2007" s="326"/>
      <c r="G2007" s="326"/>
      <c r="H2007" s="326"/>
      <c r="P2007" s="318"/>
      <c r="Q2007" s="318"/>
      <c r="R2007" s="318"/>
      <c r="S2007" s="318"/>
      <c r="T2007" s="318"/>
      <c r="U2007" s="318"/>
      <c r="V2007" s="318"/>
      <c r="W2007" s="318"/>
      <c r="X2007" s="318"/>
      <c r="Y2007" s="318"/>
      <c r="Z2007" s="318"/>
      <c r="AA2007" s="318"/>
      <c r="AB2007" s="318"/>
      <c r="AC2007" s="318"/>
      <c r="AD2007" s="318"/>
    </row>
    <row r="2008" spans="2:30" s="323" customFormat="1" ht="12" customHeight="1">
      <c r="B2008" s="324"/>
      <c r="C2008" s="325"/>
      <c r="D2008" s="326"/>
      <c r="E2008" s="326"/>
      <c r="F2008" s="326"/>
      <c r="G2008" s="326"/>
      <c r="H2008" s="326"/>
      <c r="P2008" s="318"/>
      <c r="Q2008" s="318"/>
      <c r="R2008" s="318"/>
      <c r="S2008" s="318"/>
      <c r="T2008" s="318"/>
      <c r="U2008" s="318"/>
      <c r="V2008" s="318"/>
      <c r="W2008" s="318"/>
      <c r="X2008" s="318"/>
      <c r="Y2008" s="318"/>
      <c r="Z2008" s="318"/>
      <c r="AA2008" s="318"/>
      <c r="AB2008" s="318"/>
      <c r="AC2008" s="318"/>
      <c r="AD2008" s="318"/>
    </row>
    <row r="2009" spans="2:30" s="323" customFormat="1" ht="12" customHeight="1">
      <c r="B2009" s="324"/>
      <c r="C2009" s="325"/>
      <c r="D2009" s="326"/>
      <c r="E2009" s="326"/>
      <c r="F2009" s="326"/>
      <c r="G2009" s="326"/>
      <c r="H2009" s="326"/>
      <c r="P2009" s="318"/>
      <c r="Q2009" s="318"/>
      <c r="R2009" s="318"/>
      <c r="S2009" s="318"/>
      <c r="T2009" s="318"/>
      <c r="U2009" s="318"/>
      <c r="V2009" s="318"/>
      <c r="W2009" s="318"/>
      <c r="X2009" s="318"/>
      <c r="Y2009" s="318"/>
      <c r="Z2009" s="318"/>
      <c r="AA2009" s="318"/>
      <c r="AB2009" s="318"/>
      <c r="AC2009" s="318"/>
      <c r="AD2009" s="318"/>
    </row>
    <row r="2010" spans="2:30" s="323" customFormat="1" ht="12" customHeight="1">
      <c r="B2010" s="324"/>
      <c r="C2010" s="325"/>
      <c r="D2010" s="326"/>
      <c r="E2010" s="326"/>
      <c r="F2010" s="326"/>
      <c r="G2010" s="326"/>
      <c r="H2010" s="326"/>
      <c r="P2010" s="318"/>
      <c r="Q2010" s="318"/>
      <c r="R2010" s="318"/>
      <c r="S2010" s="318"/>
      <c r="T2010" s="318"/>
      <c r="U2010" s="318"/>
      <c r="V2010" s="318"/>
      <c r="W2010" s="318"/>
      <c r="X2010" s="318"/>
      <c r="Y2010" s="318"/>
      <c r="Z2010" s="318"/>
      <c r="AA2010" s="318"/>
      <c r="AB2010" s="318"/>
      <c r="AC2010" s="318"/>
      <c r="AD2010" s="318"/>
    </row>
    <row r="2011" spans="2:30" s="323" customFormat="1" ht="12" customHeight="1">
      <c r="B2011" s="324"/>
      <c r="C2011" s="325"/>
      <c r="D2011" s="326"/>
      <c r="E2011" s="326"/>
      <c r="F2011" s="326"/>
      <c r="G2011" s="326"/>
      <c r="H2011" s="326"/>
      <c r="P2011" s="318"/>
      <c r="Q2011" s="318"/>
      <c r="R2011" s="318"/>
      <c r="S2011" s="318"/>
      <c r="T2011" s="318"/>
      <c r="U2011" s="318"/>
      <c r="V2011" s="318"/>
      <c r="W2011" s="318"/>
      <c r="X2011" s="318"/>
      <c r="Y2011" s="318"/>
      <c r="Z2011" s="318"/>
      <c r="AA2011" s="318"/>
      <c r="AB2011" s="318"/>
      <c r="AC2011" s="318"/>
      <c r="AD2011" s="318"/>
    </row>
    <row r="2012" spans="2:30" s="323" customFormat="1" ht="12" customHeight="1">
      <c r="B2012" s="324"/>
      <c r="C2012" s="325"/>
      <c r="D2012" s="326"/>
      <c r="E2012" s="326"/>
      <c r="F2012" s="326"/>
      <c r="G2012" s="326"/>
      <c r="H2012" s="326"/>
      <c r="P2012" s="318"/>
      <c r="Q2012" s="318"/>
      <c r="R2012" s="318"/>
      <c r="S2012" s="318"/>
      <c r="T2012" s="318"/>
      <c r="U2012" s="318"/>
      <c r="V2012" s="318"/>
      <c r="W2012" s="318"/>
      <c r="X2012" s="318"/>
      <c r="Y2012" s="318"/>
      <c r="Z2012" s="318"/>
      <c r="AA2012" s="318"/>
      <c r="AB2012" s="318"/>
      <c r="AC2012" s="318"/>
      <c r="AD2012" s="318"/>
    </row>
    <row r="2013" spans="2:30" s="323" customFormat="1" ht="12" customHeight="1">
      <c r="B2013" s="324"/>
      <c r="C2013" s="325"/>
      <c r="D2013" s="326"/>
      <c r="E2013" s="326"/>
      <c r="F2013" s="326"/>
      <c r="G2013" s="326"/>
      <c r="H2013" s="326"/>
      <c r="P2013" s="318"/>
      <c r="Q2013" s="318"/>
      <c r="R2013" s="318"/>
      <c r="S2013" s="318"/>
      <c r="T2013" s="318"/>
      <c r="U2013" s="318"/>
      <c r="V2013" s="318"/>
      <c r="W2013" s="318"/>
      <c r="X2013" s="318"/>
      <c r="Y2013" s="318"/>
      <c r="Z2013" s="318"/>
      <c r="AA2013" s="318"/>
      <c r="AB2013" s="318"/>
      <c r="AC2013" s="318"/>
      <c r="AD2013" s="318"/>
    </row>
    <row r="2014" spans="2:30" s="323" customFormat="1" ht="12" customHeight="1">
      <c r="B2014" s="324"/>
      <c r="C2014" s="325"/>
      <c r="D2014" s="326"/>
      <c r="E2014" s="326"/>
      <c r="F2014" s="326"/>
      <c r="G2014" s="326"/>
      <c r="H2014" s="326"/>
      <c r="P2014" s="318"/>
      <c r="Q2014" s="318"/>
      <c r="R2014" s="318"/>
      <c r="S2014" s="318"/>
      <c r="T2014" s="318"/>
      <c r="U2014" s="318"/>
      <c r="V2014" s="318"/>
      <c r="W2014" s="318"/>
      <c r="X2014" s="318"/>
      <c r="Y2014" s="318"/>
      <c r="Z2014" s="318"/>
      <c r="AA2014" s="318"/>
      <c r="AB2014" s="318"/>
      <c r="AC2014" s="318"/>
      <c r="AD2014" s="318"/>
    </row>
    <row r="2015" spans="2:30" s="323" customFormat="1" ht="12" customHeight="1">
      <c r="B2015" s="324"/>
      <c r="C2015" s="325"/>
      <c r="D2015" s="326"/>
      <c r="E2015" s="326"/>
      <c r="F2015" s="326"/>
      <c r="G2015" s="326"/>
      <c r="H2015" s="326"/>
      <c r="P2015" s="318"/>
      <c r="Q2015" s="318"/>
      <c r="R2015" s="318"/>
      <c r="S2015" s="318"/>
      <c r="T2015" s="318"/>
      <c r="U2015" s="318"/>
      <c r="V2015" s="318"/>
      <c r="W2015" s="318"/>
      <c r="X2015" s="318"/>
      <c r="Y2015" s="318"/>
      <c r="Z2015" s="318"/>
      <c r="AA2015" s="318"/>
      <c r="AB2015" s="318"/>
      <c r="AC2015" s="318"/>
      <c r="AD2015" s="318"/>
    </row>
    <row r="2016" spans="2:30" s="323" customFormat="1" ht="12" customHeight="1">
      <c r="B2016" s="324"/>
      <c r="C2016" s="325"/>
      <c r="D2016" s="326"/>
      <c r="E2016" s="326"/>
      <c r="F2016" s="326"/>
      <c r="G2016" s="326"/>
      <c r="H2016" s="326"/>
      <c r="P2016" s="318"/>
      <c r="Q2016" s="318"/>
      <c r="R2016" s="318"/>
      <c r="S2016" s="318"/>
      <c r="T2016" s="318"/>
      <c r="U2016" s="318"/>
      <c r="V2016" s="318"/>
      <c r="W2016" s="318"/>
      <c r="X2016" s="318"/>
      <c r="Y2016" s="318"/>
      <c r="Z2016" s="318"/>
      <c r="AA2016" s="318"/>
      <c r="AB2016" s="318"/>
      <c r="AC2016" s="318"/>
      <c r="AD2016" s="318"/>
    </row>
    <row r="2017" spans="2:30" s="323" customFormat="1" ht="12" customHeight="1">
      <c r="B2017" s="324"/>
      <c r="C2017" s="325"/>
      <c r="D2017" s="326"/>
      <c r="E2017" s="326"/>
      <c r="F2017" s="326"/>
      <c r="G2017" s="326"/>
      <c r="H2017" s="326"/>
      <c r="P2017" s="318"/>
      <c r="Q2017" s="318"/>
      <c r="R2017" s="318"/>
      <c r="S2017" s="318"/>
      <c r="T2017" s="318"/>
      <c r="U2017" s="318"/>
      <c r="V2017" s="318"/>
      <c r="W2017" s="318"/>
      <c r="X2017" s="318"/>
      <c r="Y2017" s="318"/>
      <c r="Z2017" s="318"/>
      <c r="AA2017" s="318"/>
      <c r="AB2017" s="318"/>
      <c r="AC2017" s="318"/>
      <c r="AD2017" s="318"/>
    </row>
    <row r="2018" spans="2:30" s="323" customFormat="1" ht="12" customHeight="1">
      <c r="B2018" s="324"/>
      <c r="C2018" s="325"/>
      <c r="D2018" s="326"/>
      <c r="E2018" s="326"/>
      <c r="F2018" s="326"/>
      <c r="G2018" s="326"/>
      <c r="H2018" s="326"/>
      <c r="P2018" s="318"/>
      <c r="Q2018" s="318"/>
      <c r="R2018" s="318"/>
      <c r="S2018" s="318"/>
      <c r="T2018" s="318"/>
      <c r="U2018" s="318"/>
      <c r="V2018" s="318"/>
      <c r="W2018" s="318"/>
      <c r="X2018" s="318"/>
      <c r="Y2018" s="318"/>
      <c r="Z2018" s="318"/>
      <c r="AA2018" s="318"/>
      <c r="AB2018" s="318"/>
      <c r="AC2018" s="318"/>
      <c r="AD2018" s="318"/>
    </row>
    <row r="2019" spans="2:30" s="323" customFormat="1" ht="12" customHeight="1">
      <c r="B2019" s="324"/>
      <c r="C2019" s="325"/>
      <c r="D2019" s="326"/>
      <c r="E2019" s="326"/>
      <c r="F2019" s="326"/>
      <c r="G2019" s="326"/>
      <c r="H2019" s="326"/>
      <c r="P2019" s="318"/>
      <c r="Q2019" s="318"/>
      <c r="R2019" s="318"/>
      <c r="S2019" s="318"/>
      <c r="T2019" s="318"/>
      <c r="U2019" s="318"/>
      <c r="V2019" s="318"/>
      <c r="W2019" s="318"/>
      <c r="X2019" s="318"/>
      <c r="Y2019" s="318"/>
      <c r="Z2019" s="318"/>
      <c r="AA2019" s="318"/>
      <c r="AB2019" s="318"/>
      <c r="AC2019" s="318"/>
      <c r="AD2019" s="318"/>
    </row>
    <row r="2020" spans="2:30" s="323" customFormat="1" ht="12" customHeight="1">
      <c r="B2020" s="324"/>
      <c r="C2020" s="325"/>
      <c r="D2020" s="326"/>
      <c r="E2020" s="326"/>
      <c r="F2020" s="326"/>
      <c r="G2020" s="326"/>
      <c r="H2020" s="326"/>
      <c r="P2020" s="318"/>
      <c r="Q2020" s="318"/>
      <c r="R2020" s="318"/>
      <c r="S2020" s="318"/>
      <c r="T2020" s="318"/>
      <c r="U2020" s="318"/>
      <c r="V2020" s="318"/>
      <c r="W2020" s="318"/>
      <c r="X2020" s="318"/>
      <c r="Y2020" s="318"/>
      <c r="Z2020" s="318"/>
      <c r="AA2020" s="318"/>
      <c r="AB2020" s="318"/>
      <c r="AC2020" s="318"/>
      <c r="AD2020" s="318"/>
    </row>
    <row r="2021" spans="2:30" s="323" customFormat="1" ht="12" customHeight="1">
      <c r="B2021" s="324"/>
      <c r="C2021" s="325"/>
      <c r="D2021" s="326"/>
      <c r="E2021" s="326"/>
      <c r="F2021" s="326"/>
      <c r="G2021" s="326"/>
      <c r="H2021" s="326"/>
      <c r="P2021" s="318"/>
      <c r="Q2021" s="318"/>
      <c r="R2021" s="318"/>
      <c r="S2021" s="318"/>
      <c r="T2021" s="318"/>
      <c r="U2021" s="318"/>
      <c r="V2021" s="318"/>
      <c r="W2021" s="318"/>
      <c r="X2021" s="318"/>
      <c r="Y2021" s="318"/>
      <c r="Z2021" s="318"/>
      <c r="AA2021" s="318"/>
      <c r="AB2021" s="318"/>
      <c r="AC2021" s="318"/>
      <c r="AD2021" s="318"/>
    </row>
    <row r="2022" spans="2:30" s="323" customFormat="1" ht="12" customHeight="1">
      <c r="B2022" s="324"/>
      <c r="C2022" s="325"/>
      <c r="D2022" s="326"/>
      <c r="E2022" s="326"/>
      <c r="F2022" s="326"/>
      <c r="G2022" s="326"/>
      <c r="H2022" s="326"/>
      <c r="P2022" s="318"/>
      <c r="Q2022" s="318"/>
      <c r="R2022" s="318"/>
      <c r="S2022" s="318"/>
      <c r="T2022" s="318"/>
      <c r="U2022" s="318"/>
      <c r="V2022" s="318"/>
      <c r="W2022" s="318"/>
      <c r="X2022" s="318"/>
      <c r="Y2022" s="318"/>
      <c r="Z2022" s="318"/>
      <c r="AA2022" s="318"/>
      <c r="AB2022" s="318"/>
      <c r="AC2022" s="318"/>
      <c r="AD2022" s="318"/>
    </row>
    <row r="2023" spans="2:30" s="323" customFormat="1" ht="12" customHeight="1">
      <c r="B2023" s="324"/>
      <c r="C2023" s="325"/>
      <c r="D2023" s="326"/>
      <c r="E2023" s="326"/>
      <c r="F2023" s="326"/>
      <c r="G2023" s="326"/>
      <c r="H2023" s="326"/>
      <c r="P2023" s="318"/>
      <c r="Q2023" s="318"/>
      <c r="R2023" s="318"/>
      <c r="S2023" s="318"/>
      <c r="T2023" s="318"/>
      <c r="U2023" s="318"/>
      <c r="V2023" s="318"/>
      <c r="W2023" s="318"/>
      <c r="X2023" s="318"/>
      <c r="Y2023" s="318"/>
      <c r="Z2023" s="318"/>
      <c r="AA2023" s="318"/>
      <c r="AB2023" s="318"/>
      <c r="AC2023" s="318"/>
      <c r="AD2023" s="318"/>
    </row>
    <row r="2024" spans="2:30" s="323" customFormat="1" ht="12" customHeight="1">
      <c r="B2024" s="324"/>
      <c r="C2024" s="325"/>
      <c r="D2024" s="326"/>
      <c r="E2024" s="326"/>
      <c r="F2024" s="326"/>
      <c r="G2024" s="326"/>
      <c r="H2024" s="326"/>
      <c r="P2024" s="318"/>
      <c r="Q2024" s="318"/>
      <c r="R2024" s="318"/>
      <c r="S2024" s="318"/>
      <c r="T2024" s="318"/>
      <c r="U2024" s="318"/>
      <c r="V2024" s="318"/>
      <c r="W2024" s="318"/>
      <c r="X2024" s="318"/>
      <c r="Y2024" s="318"/>
      <c r="Z2024" s="318"/>
      <c r="AA2024" s="318"/>
      <c r="AB2024" s="318"/>
      <c r="AC2024" s="318"/>
      <c r="AD2024" s="318"/>
    </row>
    <row r="2025" spans="2:30" s="323" customFormat="1" ht="12" customHeight="1">
      <c r="B2025" s="324"/>
      <c r="C2025" s="325"/>
      <c r="D2025" s="326"/>
      <c r="E2025" s="326"/>
      <c r="F2025" s="326"/>
      <c r="G2025" s="326"/>
      <c r="H2025" s="326"/>
      <c r="P2025" s="318"/>
      <c r="Q2025" s="318"/>
      <c r="R2025" s="318"/>
      <c r="S2025" s="318"/>
      <c r="T2025" s="318"/>
      <c r="U2025" s="318"/>
      <c r="V2025" s="318"/>
      <c r="W2025" s="318"/>
      <c r="X2025" s="318"/>
      <c r="Y2025" s="318"/>
      <c r="Z2025" s="318"/>
      <c r="AA2025" s="318"/>
      <c r="AB2025" s="318"/>
      <c r="AC2025" s="318"/>
      <c r="AD2025" s="318"/>
    </row>
    <row r="2026" spans="2:30" s="323" customFormat="1" ht="12" customHeight="1">
      <c r="B2026" s="324"/>
      <c r="C2026" s="325"/>
      <c r="D2026" s="326"/>
      <c r="E2026" s="326"/>
      <c r="F2026" s="326"/>
      <c r="G2026" s="326"/>
      <c r="H2026" s="326"/>
      <c r="P2026" s="318"/>
      <c r="Q2026" s="318"/>
      <c r="R2026" s="318"/>
      <c r="S2026" s="318"/>
      <c r="T2026" s="318"/>
      <c r="U2026" s="318"/>
      <c r="V2026" s="318"/>
      <c r="W2026" s="318"/>
      <c r="X2026" s="318"/>
      <c r="Y2026" s="318"/>
      <c r="Z2026" s="318"/>
      <c r="AA2026" s="318"/>
      <c r="AB2026" s="318"/>
      <c r="AC2026" s="318"/>
      <c r="AD2026" s="318"/>
    </row>
    <row r="2027" spans="2:30" s="323" customFormat="1" ht="12" customHeight="1">
      <c r="B2027" s="324"/>
      <c r="C2027" s="325"/>
      <c r="D2027" s="326"/>
      <c r="E2027" s="326"/>
      <c r="F2027" s="326"/>
      <c r="G2027" s="326"/>
      <c r="H2027" s="326"/>
      <c r="P2027" s="318"/>
      <c r="Q2027" s="318"/>
      <c r="R2027" s="318"/>
      <c r="S2027" s="318"/>
      <c r="T2027" s="318"/>
      <c r="U2027" s="318"/>
      <c r="V2027" s="318"/>
      <c r="W2027" s="318"/>
      <c r="X2027" s="318"/>
      <c r="Y2027" s="318"/>
      <c r="Z2027" s="318"/>
      <c r="AA2027" s="318"/>
      <c r="AB2027" s="318"/>
      <c r="AC2027" s="318"/>
      <c r="AD2027" s="318"/>
    </row>
    <row r="2028" spans="2:30" s="323" customFormat="1" ht="12" customHeight="1">
      <c r="B2028" s="324"/>
      <c r="C2028" s="325"/>
      <c r="D2028" s="326"/>
      <c r="E2028" s="326"/>
      <c r="F2028" s="326"/>
      <c r="G2028" s="326"/>
      <c r="H2028" s="326"/>
      <c r="P2028" s="318"/>
      <c r="Q2028" s="318"/>
      <c r="R2028" s="318"/>
      <c r="S2028" s="318"/>
      <c r="T2028" s="318"/>
      <c r="U2028" s="318"/>
      <c r="V2028" s="318"/>
      <c r="W2028" s="318"/>
      <c r="X2028" s="318"/>
      <c r="Y2028" s="318"/>
      <c r="Z2028" s="318"/>
      <c r="AA2028" s="318"/>
      <c r="AB2028" s="318"/>
      <c r="AC2028" s="318"/>
      <c r="AD2028" s="318"/>
    </row>
    <row r="2029" spans="2:30" s="323" customFormat="1" ht="12" customHeight="1">
      <c r="B2029" s="324"/>
      <c r="C2029" s="325"/>
      <c r="D2029" s="326"/>
      <c r="E2029" s="326"/>
      <c r="F2029" s="326"/>
      <c r="G2029" s="326"/>
      <c r="H2029" s="326"/>
      <c r="P2029" s="318"/>
      <c r="Q2029" s="318"/>
      <c r="R2029" s="318"/>
      <c r="S2029" s="318"/>
      <c r="T2029" s="318"/>
      <c r="U2029" s="318"/>
      <c r="V2029" s="318"/>
      <c r="W2029" s="318"/>
      <c r="X2029" s="318"/>
      <c r="Y2029" s="318"/>
      <c r="Z2029" s="318"/>
      <c r="AA2029" s="318"/>
      <c r="AB2029" s="318"/>
      <c r="AC2029" s="318"/>
      <c r="AD2029" s="318"/>
    </row>
    <row r="2030" spans="2:30" s="323" customFormat="1" ht="12" customHeight="1">
      <c r="B2030" s="324"/>
      <c r="C2030" s="325"/>
      <c r="D2030" s="326"/>
      <c r="E2030" s="326"/>
      <c r="F2030" s="326"/>
      <c r="G2030" s="326"/>
      <c r="H2030" s="326"/>
      <c r="P2030" s="318"/>
      <c r="Q2030" s="318"/>
      <c r="R2030" s="318"/>
      <c r="S2030" s="318"/>
      <c r="T2030" s="318"/>
      <c r="U2030" s="318"/>
      <c r="V2030" s="318"/>
      <c r="W2030" s="318"/>
      <c r="X2030" s="318"/>
      <c r="Y2030" s="318"/>
      <c r="Z2030" s="318"/>
      <c r="AA2030" s="318"/>
      <c r="AB2030" s="318"/>
      <c r="AC2030" s="318"/>
      <c r="AD2030" s="318"/>
    </row>
    <row r="2031" spans="2:30" s="323" customFormat="1" ht="12" customHeight="1">
      <c r="B2031" s="324"/>
      <c r="C2031" s="325"/>
      <c r="D2031" s="326"/>
      <c r="E2031" s="326"/>
      <c r="F2031" s="326"/>
      <c r="G2031" s="326"/>
      <c r="H2031" s="326"/>
      <c r="P2031" s="318"/>
      <c r="Q2031" s="318"/>
      <c r="R2031" s="318"/>
      <c r="S2031" s="318"/>
      <c r="T2031" s="318"/>
      <c r="U2031" s="318"/>
      <c r="V2031" s="318"/>
      <c r="W2031" s="318"/>
      <c r="X2031" s="318"/>
      <c r="Y2031" s="318"/>
      <c r="Z2031" s="318"/>
      <c r="AA2031" s="318"/>
      <c r="AB2031" s="318"/>
      <c r="AC2031" s="318"/>
      <c r="AD2031" s="318"/>
    </row>
    <row r="2032" spans="2:30" s="323" customFormat="1" ht="12" customHeight="1">
      <c r="B2032" s="324"/>
      <c r="C2032" s="325"/>
      <c r="D2032" s="326"/>
      <c r="E2032" s="326"/>
      <c r="F2032" s="326"/>
      <c r="G2032" s="326"/>
      <c r="H2032" s="326"/>
      <c r="P2032" s="318"/>
      <c r="Q2032" s="318"/>
      <c r="R2032" s="318"/>
      <c r="S2032" s="318"/>
      <c r="T2032" s="318"/>
      <c r="U2032" s="318"/>
      <c r="V2032" s="318"/>
      <c r="W2032" s="318"/>
      <c r="X2032" s="318"/>
      <c r="Y2032" s="318"/>
      <c r="Z2032" s="318"/>
      <c r="AA2032" s="318"/>
      <c r="AB2032" s="318"/>
      <c r="AC2032" s="318"/>
      <c r="AD2032" s="318"/>
    </row>
    <row r="2033" spans="2:30" s="323" customFormat="1" ht="12" customHeight="1">
      <c r="B2033" s="324"/>
      <c r="C2033" s="325"/>
      <c r="D2033" s="326"/>
      <c r="E2033" s="326"/>
      <c r="F2033" s="326"/>
      <c r="G2033" s="326"/>
      <c r="H2033" s="326"/>
      <c r="P2033" s="318"/>
      <c r="Q2033" s="318"/>
      <c r="R2033" s="318"/>
      <c r="S2033" s="318"/>
      <c r="T2033" s="318"/>
      <c r="U2033" s="318"/>
      <c r="V2033" s="318"/>
      <c r="W2033" s="318"/>
      <c r="X2033" s="318"/>
      <c r="Y2033" s="318"/>
      <c r="Z2033" s="318"/>
      <c r="AA2033" s="318"/>
      <c r="AB2033" s="318"/>
      <c r="AC2033" s="318"/>
      <c r="AD2033" s="318"/>
    </row>
    <row r="2034" spans="2:30" s="323" customFormat="1" ht="12" customHeight="1">
      <c r="B2034" s="324"/>
      <c r="C2034" s="325"/>
      <c r="D2034" s="326"/>
      <c r="E2034" s="326"/>
      <c r="F2034" s="326"/>
      <c r="G2034" s="326"/>
      <c r="H2034" s="326"/>
      <c r="P2034" s="318"/>
      <c r="Q2034" s="318"/>
      <c r="R2034" s="318"/>
      <c r="S2034" s="318"/>
      <c r="T2034" s="318"/>
      <c r="U2034" s="318"/>
      <c r="V2034" s="318"/>
      <c r="W2034" s="318"/>
      <c r="X2034" s="318"/>
      <c r="Y2034" s="318"/>
      <c r="Z2034" s="318"/>
      <c r="AA2034" s="318"/>
      <c r="AB2034" s="318"/>
      <c r="AC2034" s="318"/>
      <c r="AD2034" s="318"/>
    </row>
    <row r="2035" spans="2:30" s="323" customFormat="1" ht="12" customHeight="1">
      <c r="B2035" s="324"/>
      <c r="C2035" s="325"/>
      <c r="D2035" s="326"/>
      <c r="E2035" s="326"/>
      <c r="F2035" s="326"/>
      <c r="G2035" s="326"/>
      <c r="H2035" s="326"/>
      <c r="P2035" s="318"/>
      <c r="Q2035" s="318"/>
      <c r="R2035" s="318"/>
      <c r="S2035" s="318"/>
      <c r="T2035" s="318"/>
      <c r="U2035" s="318"/>
      <c r="V2035" s="318"/>
      <c r="W2035" s="318"/>
      <c r="X2035" s="318"/>
      <c r="Y2035" s="318"/>
      <c r="Z2035" s="318"/>
      <c r="AA2035" s="318"/>
      <c r="AB2035" s="318"/>
      <c r="AC2035" s="318"/>
      <c r="AD2035" s="318"/>
    </row>
    <row r="2036" spans="2:30" s="323" customFormat="1" ht="12" customHeight="1">
      <c r="B2036" s="324"/>
      <c r="C2036" s="325"/>
      <c r="D2036" s="326"/>
      <c r="E2036" s="326"/>
      <c r="F2036" s="326"/>
      <c r="G2036" s="326"/>
      <c r="H2036" s="326"/>
      <c r="P2036" s="318"/>
      <c r="Q2036" s="318"/>
      <c r="R2036" s="318"/>
      <c r="S2036" s="318"/>
      <c r="T2036" s="318"/>
      <c r="U2036" s="318"/>
      <c r="V2036" s="318"/>
      <c r="W2036" s="318"/>
      <c r="X2036" s="318"/>
      <c r="Y2036" s="318"/>
      <c r="Z2036" s="318"/>
      <c r="AA2036" s="318"/>
      <c r="AB2036" s="318"/>
      <c r="AC2036" s="318"/>
      <c r="AD2036" s="318"/>
    </row>
    <row r="2037" spans="2:30" s="323" customFormat="1" ht="12" customHeight="1">
      <c r="B2037" s="324"/>
      <c r="C2037" s="325"/>
      <c r="D2037" s="326"/>
      <c r="E2037" s="326"/>
      <c r="F2037" s="326"/>
      <c r="G2037" s="326"/>
      <c r="H2037" s="326"/>
      <c r="P2037" s="318"/>
      <c r="Q2037" s="318"/>
      <c r="R2037" s="318"/>
      <c r="S2037" s="318"/>
      <c r="T2037" s="318"/>
      <c r="U2037" s="318"/>
      <c r="V2037" s="318"/>
      <c r="W2037" s="318"/>
      <c r="X2037" s="318"/>
      <c r="Y2037" s="318"/>
      <c r="Z2037" s="318"/>
      <c r="AA2037" s="318"/>
      <c r="AB2037" s="318"/>
      <c r="AC2037" s="318"/>
      <c r="AD2037" s="318"/>
    </row>
    <row r="2038" spans="2:30" s="323" customFormat="1" ht="12" customHeight="1">
      <c r="B2038" s="324"/>
      <c r="C2038" s="325"/>
      <c r="D2038" s="326"/>
      <c r="E2038" s="326"/>
      <c r="F2038" s="326"/>
      <c r="G2038" s="326"/>
      <c r="H2038" s="326"/>
      <c r="P2038" s="318"/>
      <c r="Q2038" s="318"/>
      <c r="R2038" s="318"/>
      <c r="S2038" s="318"/>
      <c r="T2038" s="318"/>
      <c r="U2038" s="318"/>
      <c r="V2038" s="318"/>
      <c r="W2038" s="318"/>
      <c r="X2038" s="318"/>
      <c r="Y2038" s="318"/>
      <c r="Z2038" s="318"/>
      <c r="AA2038" s="318"/>
      <c r="AB2038" s="318"/>
      <c r="AC2038" s="318"/>
      <c r="AD2038" s="318"/>
    </row>
    <row r="2039" spans="2:30" s="323" customFormat="1" ht="12" customHeight="1">
      <c r="B2039" s="324"/>
      <c r="C2039" s="325"/>
      <c r="D2039" s="326"/>
      <c r="E2039" s="326"/>
      <c r="F2039" s="326"/>
      <c r="G2039" s="326"/>
      <c r="H2039" s="326"/>
      <c r="P2039" s="318"/>
      <c r="Q2039" s="318"/>
      <c r="R2039" s="318"/>
      <c r="S2039" s="318"/>
      <c r="T2039" s="318"/>
      <c r="U2039" s="318"/>
      <c r="V2039" s="318"/>
      <c r="W2039" s="318"/>
      <c r="X2039" s="318"/>
      <c r="Y2039" s="318"/>
      <c r="Z2039" s="318"/>
      <c r="AA2039" s="318"/>
      <c r="AB2039" s="318"/>
      <c r="AC2039" s="318"/>
      <c r="AD2039" s="318"/>
    </row>
    <row r="2040" spans="2:30" s="323" customFormat="1" ht="12" customHeight="1">
      <c r="B2040" s="324"/>
      <c r="C2040" s="325"/>
      <c r="D2040" s="326"/>
      <c r="E2040" s="326"/>
      <c r="F2040" s="326"/>
      <c r="G2040" s="326"/>
      <c r="H2040" s="326"/>
      <c r="P2040" s="318"/>
      <c r="Q2040" s="318"/>
      <c r="R2040" s="318"/>
      <c r="S2040" s="318"/>
      <c r="T2040" s="318"/>
      <c r="U2040" s="318"/>
      <c r="V2040" s="318"/>
      <c r="W2040" s="318"/>
      <c r="X2040" s="318"/>
      <c r="Y2040" s="318"/>
      <c r="Z2040" s="318"/>
      <c r="AA2040" s="318"/>
      <c r="AB2040" s="318"/>
      <c r="AC2040" s="318"/>
      <c r="AD2040" s="318"/>
    </row>
    <row r="2041" spans="2:30" s="323" customFormat="1" ht="12" customHeight="1">
      <c r="B2041" s="324"/>
      <c r="C2041" s="325"/>
      <c r="D2041" s="326"/>
      <c r="E2041" s="326"/>
      <c r="F2041" s="326"/>
      <c r="G2041" s="326"/>
      <c r="H2041" s="326"/>
      <c r="P2041" s="318"/>
      <c r="Q2041" s="318"/>
      <c r="R2041" s="318"/>
      <c r="S2041" s="318"/>
      <c r="T2041" s="318"/>
      <c r="U2041" s="318"/>
      <c r="V2041" s="318"/>
      <c r="W2041" s="318"/>
      <c r="X2041" s="318"/>
      <c r="Y2041" s="318"/>
      <c r="Z2041" s="318"/>
      <c r="AA2041" s="318"/>
      <c r="AB2041" s="318"/>
      <c r="AC2041" s="318"/>
      <c r="AD2041" s="318"/>
    </row>
    <row r="2042" spans="2:30" s="323" customFormat="1" ht="12" customHeight="1">
      <c r="B2042" s="324"/>
      <c r="C2042" s="325"/>
      <c r="D2042" s="326"/>
      <c r="E2042" s="326"/>
      <c r="F2042" s="326"/>
      <c r="G2042" s="326"/>
      <c r="H2042" s="326"/>
      <c r="P2042" s="318"/>
      <c r="Q2042" s="318"/>
      <c r="R2042" s="318"/>
      <c r="S2042" s="318"/>
      <c r="T2042" s="318"/>
      <c r="U2042" s="318"/>
      <c r="V2042" s="318"/>
      <c r="W2042" s="318"/>
      <c r="X2042" s="318"/>
      <c r="Y2042" s="318"/>
      <c r="Z2042" s="318"/>
      <c r="AA2042" s="318"/>
      <c r="AB2042" s="318"/>
      <c r="AC2042" s="318"/>
      <c r="AD2042" s="318"/>
    </row>
    <row r="2043" spans="2:30" s="323" customFormat="1" ht="12" customHeight="1">
      <c r="B2043" s="324"/>
      <c r="C2043" s="325"/>
      <c r="D2043" s="326"/>
      <c r="E2043" s="326"/>
      <c r="F2043" s="326"/>
      <c r="G2043" s="326"/>
      <c r="H2043" s="326"/>
      <c r="P2043" s="318"/>
      <c r="Q2043" s="318"/>
      <c r="R2043" s="318"/>
      <c r="S2043" s="318"/>
      <c r="T2043" s="318"/>
      <c r="U2043" s="318"/>
      <c r="V2043" s="318"/>
      <c r="W2043" s="318"/>
      <c r="X2043" s="318"/>
      <c r="Y2043" s="318"/>
      <c r="Z2043" s="318"/>
      <c r="AA2043" s="318"/>
      <c r="AB2043" s="318"/>
      <c r="AC2043" s="318"/>
      <c r="AD2043" s="318"/>
    </row>
    <row r="2044" spans="2:30" s="323" customFormat="1" ht="12" customHeight="1">
      <c r="B2044" s="324"/>
      <c r="C2044" s="325"/>
      <c r="D2044" s="326"/>
      <c r="E2044" s="326"/>
      <c r="F2044" s="326"/>
      <c r="G2044" s="326"/>
      <c r="H2044" s="326"/>
      <c r="P2044" s="318"/>
      <c r="Q2044" s="318"/>
      <c r="R2044" s="318"/>
      <c r="S2044" s="318"/>
      <c r="T2044" s="318"/>
      <c r="U2044" s="318"/>
      <c r="V2044" s="318"/>
      <c r="W2044" s="318"/>
      <c r="X2044" s="318"/>
      <c r="Y2044" s="318"/>
      <c r="Z2044" s="318"/>
      <c r="AA2044" s="318"/>
      <c r="AB2044" s="318"/>
      <c r="AC2044" s="318"/>
      <c r="AD2044" s="318"/>
    </row>
    <row r="2045" spans="2:30" s="323" customFormat="1" ht="12" customHeight="1">
      <c r="B2045" s="324"/>
      <c r="C2045" s="325"/>
      <c r="D2045" s="326"/>
      <c r="E2045" s="326"/>
      <c r="F2045" s="326"/>
      <c r="G2045" s="326"/>
      <c r="H2045" s="326"/>
      <c r="P2045" s="318"/>
      <c r="Q2045" s="318"/>
      <c r="R2045" s="318"/>
      <c r="S2045" s="318"/>
      <c r="T2045" s="318"/>
      <c r="U2045" s="318"/>
      <c r="V2045" s="318"/>
      <c r="W2045" s="318"/>
      <c r="X2045" s="318"/>
      <c r="Y2045" s="318"/>
      <c r="Z2045" s="318"/>
      <c r="AA2045" s="318"/>
      <c r="AB2045" s="318"/>
      <c r="AC2045" s="318"/>
      <c r="AD2045" s="318"/>
    </row>
    <row r="2046" spans="2:30" s="323" customFormat="1" ht="12" customHeight="1">
      <c r="B2046" s="324"/>
      <c r="C2046" s="325"/>
      <c r="D2046" s="326"/>
      <c r="E2046" s="326"/>
      <c r="F2046" s="326"/>
      <c r="G2046" s="326"/>
      <c r="H2046" s="326"/>
      <c r="P2046" s="318"/>
      <c r="Q2046" s="318"/>
      <c r="R2046" s="318"/>
      <c r="S2046" s="318"/>
      <c r="T2046" s="318"/>
      <c r="U2046" s="318"/>
      <c r="V2046" s="318"/>
      <c r="W2046" s="318"/>
      <c r="X2046" s="318"/>
      <c r="Y2046" s="318"/>
      <c r="Z2046" s="318"/>
      <c r="AA2046" s="318"/>
      <c r="AB2046" s="318"/>
      <c r="AC2046" s="318"/>
      <c r="AD2046" s="318"/>
    </row>
    <row r="2047" spans="2:30" s="323" customFormat="1" ht="12" customHeight="1">
      <c r="B2047" s="324"/>
      <c r="C2047" s="325"/>
      <c r="D2047" s="326"/>
      <c r="E2047" s="326"/>
      <c r="F2047" s="326"/>
      <c r="G2047" s="326"/>
      <c r="H2047" s="326"/>
      <c r="P2047" s="318"/>
      <c r="Q2047" s="318"/>
      <c r="R2047" s="318"/>
      <c r="S2047" s="318"/>
      <c r="T2047" s="318"/>
      <c r="U2047" s="318"/>
      <c r="V2047" s="318"/>
      <c r="W2047" s="318"/>
      <c r="X2047" s="318"/>
      <c r="Y2047" s="318"/>
      <c r="Z2047" s="318"/>
      <c r="AA2047" s="318"/>
      <c r="AB2047" s="318"/>
      <c r="AC2047" s="318"/>
      <c r="AD2047" s="318"/>
    </row>
    <row r="2048" spans="2:30" s="323" customFormat="1" ht="12" customHeight="1">
      <c r="B2048" s="324"/>
      <c r="C2048" s="325"/>
      <c r="D2048" s="326"/>
      <c r="E2048" s="326"/>
      <c r="F2048" s="326"/>
      <c r="G2048" s="326"/>
      <c r="H2048" s="326"/>
      <c r="P2048" s="318"/>
      <c r="Q2048" s="318"/>
      <c r="R2048" s="318"/>
      <c r="S2048" s="318"/>
      <c r="T2048" s="318"/>
      <c r="U2048" s="318"/>
      <c r="V2048" s="318"/>
      <c r="W2048" s="318"/>
      <c r="X2048" s="318"/>
      <c r="Y2048" s="318"/>
      <c r="Z2048" s="318"/>
      <c r="AA2048" s="318"/>
      <c r="AB2048" s="318"/>
      <c r="AC2048" s="318"/>
      <c r="AD2048" s="318"/>
    </row>
    <row r="2049" spans="2:30" s="323" customFormat="1" ht="12" customHeight="1">
      <c r="B2049" s="324"/>
      <c r="C2049" s="325"/>
      <c r="D2049" s="326"/>
      <c r="E2049" s="326"/>
      <c r="F2049" s="326"/>
      <c r="G2049" s="326"/>
      <c r="H2049" s="326"/>
      <c r="P2049" s="318"/>
      <c r="Q2049" s="318"/>
      <c r="R2049" s="318"/>
      <c r="S2049" s="318"/>
      <c r="T2049" s="318"/>
      <c r="U2049" s="318"/>
      <c r="V2049" s="318"/>
      <c r="W2049" s="318"/>
      <c r="X2049" s="318"/>
      <c r="Y2049" s="318"/>
      <c r="Z2049" s="318"/>
      <c r="AA2049" s="318"/>
      <c r="AB2049" s="318"/>
      <c r="AC2049" s="318"/>
      <c r="AD2049" s="318"/>
    </row>
    <row r="2050" spans="2:30" s="323" customFormat="1" ht="12" customHeight="1">
      <c r="B2050" s="324"/>
      <c r="C2050" s="325"/>
      <c r="D2050" s="326"/>
      <c r="E2050" s="326"/>
      <c r="F2050" s="326"/>
      <c r="G2050" s="326"/>
      <c r="H2050" s="326"/>
      <c r="P2050" s="318"/>
      <c r="Q2050" s="318"/>
      <c r="R2050" s="318"/>
      <c r="S2050" s="318"/>
      <c r="T2050" s="318"/>
      <c r="U2050" s="318"/>
      <c r="V2050" s="318"/>
      <c r="W2050" s="318"/>
      <c r="X2050" s="318"/>
      <c r="Y2050" s="318"/>
      <c r="Z2050" s="318"/>
      <c r="AA2050" s="318"/>
      <c r="AB2050" s="318"/>
      <c r="AC2050" s="318"/>
      <c r="AD2050" s="318"/>
    </row>
    <row r="2051" spans="2:30" s="323" customFormat="1" ht="12" customHeight="1">
      <c r="B2051" s="324"/>
      <c r="C2051" s="325"/>
      <c r="D2051" s="326"/>
      <c r="E2051" s="326"/>
      <c r="F2051" s="326"/>
      <c r="G2051" s="326"/>
      <c r="H2051" s="326"/>
      <c r="P2051" s="318"/>
      <c r="Q2051" s="318"/>
      <c r="R2051" s="318"/>
      <c r="S2051" s="318"/>
      <c r="T2051" s="318"/>
      <c r="U2051" s="318"/>
      <c r="V2051" s="318"/>
      <c r="W2051" s="318"/>
      <c r="X2051" s="318"/>
      <c r="Y2051" s="318"/>
      <c r="Z2051" s="318"/>
      <c r="AA2051" s="318"/>
      <c r="AB2051" s="318"/>
      <c r="AC2051" s="318"/>
      <c r="AD2051" s="318"/>
    </row>
    <row r="2052" spans="2:30" s="323" customFormat="1" ht="12" customHeight="1">
      <c r="B2052" s="324"/>
      <c r="C2052" s="325"/>
      <c r="D2052" s="326"/>
      <c r="E2052" s="326"/>
      <c r="F2052" s="326"/>
      <c r="G2052" s="326"/>
      <c r="H2052" s="326"/>
      <c r="P2052" s="318"/>
      <c r="Q2052" s="318"/>
      <c r="R2052" s="318"/>
      <c r="S2052" s="318"/>
      <c r="T2052" s="318"/>
      <c r="U2052" s="318"/>
      <c r="V2052" s="318"/>
      <c r="W2052" s="318"/>
      <c r="X2052" s="318"/>
      <c r="Y2052" s="318"/>
      <c r="Z2052" s="318"/>
      <c r="AA2052" s="318"/>
      <c r="AB2052" s="318"/>
      <c r="AC2052" s="318"/>
      <c r="AD2052" s="318"/>
    </row>
    <row r="2053" spans="2:30" s="323" customFormat="1" ht="12" customHeight="1">
      <c r="B2053" s="324"/>
      <c r="C2053" s="325"/>
      <c r="D2053" s="326"/>
      <c r="E2053" s="326"/>
      <c r="F2053" s="326"/>
      <c r="G2053" s="326"/>
      <c r="H2053" s="326"/>
      <c r="P2053" s="318"/>
      <c r="Q2053" s="318"/>
      <c r="R2053" s="318"/>
      <c r="S2053" s="318"/>
      <c r="T2053" s="318"/>
      <c r="U2053" s="318"/>
      <c r="V2053" s="318"/>
      <c r="W2053" s="318"/>
      <c r="X2053" s="318"/>
      <c r="Y2053" s="318"/>
      <c r="Z2053" s="318"/>
      <c r="AA2053" s="318"/>
      <c r="AB2053" s="318"/>
      <c r="AC2053" s="318"/>
      <c r="AD2053" s="318"/>
    </row>
    <row r="2054" spans="2:30" s="323" customFormat="1" ht="12" customHeight="1">
      <c r="B2054" s="324"/>
      <c r="C2054" s="325"/>
      <c r="D2054" s="326"/>
      <c r="E2054" s="326"/>
      <c r="F2054" s="326"/>
      <c r="G2054" s="326"/>
      <c r="H2054" s="326"/>
      <c r="P2054" s="318"/>
      <c r="Q2054" s="318"/>
      <c r="R2054" s="318"/>
      <c r="S2054" s="318"/>
      <c r="T2054" s="318"/>
      <c r="U2054" s="318"/>
      <c r="V2054" s="318"/>
      <c r="W2054" s="318"/>
      <c r="X2054" s="318"/>
      <c r="Y2054" s="318"/>
      <c r="Z2054" s="318"/>
      <c r="AA2054" s="318"/>
      <c r="AB2054" s="318"/>
      <c r="AC2054" s="318"/>
      <c r="AD2054" s="318"/>
    </row>
    <row r="2055" spans="2:30" s="323" customFormat="1" ht="12" customHeight="1">
      <c r="B2055" s="324"/>
      <c r="C2055" s="325"/>
      <c r="D2055" s="326"/>
      <c r="E2055" s="326"/>
      <c r="F2055" s="326"/>
      <c r="G2055" s="326"/>
      <c r="H2055" s="326"/>
      <c r="P2055" s="318"/>
      <c r="Q2055" s="318"/>
      <c r="R2055" s="318"/>
      <c r="S2055" s="318"/>
      <c r="T2055" s="318"/>
      <c r="U2055" s="318"/>
      <c r="V2055" s="318"/>
      <c r="W2055" s="318"/>
      <c r="X2055" s="318"/>
      <c r="Y2055" s="318"/>
      <c r="Z2055" s="318"/>
      <c r="AA2055" s="318"/>
      <c r="AB2055" s="318"/>
      <c r="AC2055" s="318"/>
      <c r="AD2055" s="318"/>
    </row>
    <row r="2056" spans="2:30" s="323" customFormat="1" ht="12" customHeight="1">
      <c r="B2056" s="324"/>
      <c r="C2056" s="325"/>
      <c r="D2056" s="326"/>
      <c r="E2056" s="326"/>
      <c r="F2056" s="326"/>
      <c r="G2056" s="326"/>
      <c r="H2056" s="326"/>
      <c r="P2056" s="318"/>
      <c r="Q2056" s="318"/>
      <c r="R2056" s="318"/>
      <c r="S2056" s="318"/>
      <c r="T2056" s="318"/>
      <c r="U2056" s="318"/>
      <c r="V2056" s="318"/>
      <c r="W2056" s="318"/>
      <c r="X2056" s="318"/>
      <c r="Y2056" s="318"/>
      <c r="Z2056" s="318"/>
      <c r="AA2056" s="318"/>
      <c r="AB2056" s="318"/>
      <c r="AC2056" s="318"/>
      <c r="AD2056" s="318"/>
    </row>
    <row r="2057" spans="2:30" s="323" customFormat="1" ht="12" customHeight="1">
      <c r="B2057" s="324"/>
      <c r="C2057" s="325"/>
      <c r="D2057" s="326"/>
      <c r="E2057" s="326"/>
      <c r="F2057" s="326"/>
      <c r="G2057" s="326"/>
      <c r="H2057" s="326"/>
      <c r="P2057" s="318"/>
      <c r="Q2057" s="318"/>
      <c r="R2057" s="318"/>
      <c r="S2057" s="318"/>
      <c r="T2057" s="318"/>
      <c r="U2057" s="318"/>
      <c r="V2057" s="318"/>
      <c r="W2057" s="318"/>
      <c r="X2057" s="318"/>
      <c r="Y2057" s="318"/>
      <c r="Z2057" s="318"/>
      <c r="AA2057" s="318"/>
      <c r="AB2057" s="318"/>
      <c r="AC2057" s="318"/>
      <c r="AD2057" s="318"/>
    </row>
    <row r="2058" spans="2:30" s="323" customFormat="1" ht="12" customHeight="1">
      <c r="B2058" s="324"/>
      <c r="C2058" s="325"/>
      <c r="D2058" s="326"/>
      <c r="E2058" s="326"/>
      <c r="F2058" s="326"/>
      <c r="G2058" s="326"/>
      <c r="H2058" s="326"/>
      <c r="P2058" s="318"/>
      <c r="Q2058" s="318"/>
      <c r="R2058" s="318"/>
      <c r="S2058" s="318"/>
      <c r="T2058" s="318"/>
      <c r="U2058" s="318"/>
      <c r="V2058" s="318"/>
      <c r="W2058" s="318"/>
      <c r="X2058" s="318"/>
      <c r="Y2058" s="318"/>
      <c r="Z2058" s="318"/>
      <c r="AA2058" s="318"/>
      <c r="AB2058" s="318"/>
      <c r="AC2058" s="318"/>
      <c r="AD2058" s="318"/>
    </row>
    <row r="2059" spans="2:30" s="323" customFormat="1" ht="12" customHeight="1">
      <c r="B2059" s="324"/>
      <c r="C2059" s="325"/>
      <c r="D2059" s="326"/>
      <c r="E2059" s="326"/>
      <c r="F2059" s="326"/>
      <c r="G2059" s="326"/>
      <c r="H2059" s="326"/>
      <c r="P2059" s="318"/>
      <c r="Q2059" s="318"/>
      <c r="R2059" s="318"/>
      <c r="S2059" s="318"/>
      <c r="T2059" s="318"/>
      <c r="U2059" s="318"/>
      <c r="V2059" s="318"/>
      <c r="W2059" s="318"/>
      <c r="X2059" s="318"/>
      <c r="Y2059" s="318"/>
      <c r="Z2059" s="318"/>
      <c r="AA2059" s="318"/>
      <c r="AB2059" s="318"/>
      <c r="AC2059" s="318"/>
      <c r="AD2059" s="318"/>
    </row>
    <row r="2060" spans="2:30" s="323" customFormat="1" ht="12" customHeight="1">
      <c r="B2060" s="324"/>
      <c r="C2060" s="325"/>
      <c r="D2060" s="326"/>
      <c r="E2060" s="326"/>
      <c r="F2060" s="326"/>
      <c r="G2060" s="326"/>
      <c r="H2060" s="326"/>
      <c r="P2060" s="318"/>
      <c r="Q2060" s="318"/>
      <c r="R2060" s="318"/>
      <c r="S2060" s="318"/>
      <c r="T2060" s="318"/>
      <c r="U2060" s="318"/>
      <c r="V2060" s="318"/>
      <c r="W2060" s="318"/>
      <c r="X2060" s="318"/>
      <c r="Y2060" s="318"/>
      <c r="Z2060" s="318"/>
      <c r="AA2060" s="318"/>
      <c r="AB2060" s="318"/>
      <c r="AC2060" s="318"/>
      <c r="AD2060" s="318"/>
    </row>
    <row r="2061" spans="2:30" s="323" customFormat="1" ht="12" customHeight="1">
      <c r="B2061" s="324"/>
      <c r="C2061" s="325"/>
      <c r="D2061" s="326"/>
      <c r="E2061" s="326"/>
      <c r="F2061" s="326"/>
      <c r="G2061" s="326"/>
      <c r="H2061" s="326"/>
      <c r="P2061" s="318"/>
      <c r="Q2061" s="318"/>
      <c r="R2061" s="318"/>
      <c r="S2061" s="318"/>
      <c r="T2061" s="318"/>
      <c r="U2061" s="318"/>
      <c r="V2061" s="318"/>
      <c r="W2061" s="318"/>
      <c r="X2061" s="318"/>
      <c r="Y2061" s="318"/>
      <c r="Z2061" s="318"/>
      <c r="AA2061" s="318"/>
      <c r="AB2061" s="318"/>
      <c r="AC2061" s="318"/>
      <c r="AD2061" s="318"/>
    </row>
    <row r="2062" spans="2:30" s="323" customFormat="1" ht="12" customHeight="1">
      <c r="B2062" s="324"/>
      <c r="C2062" s="325"/>
      <c r="D2062" s="326"/>
      <c r="E2062" s="326"/>
      <c r="F2062" s="326"/>
      <c r="G2062" s="326"/>
      <c r="H2062" s="326"/>
      <c r="P2062" s="318"/>
      <c r="Q2062" s="318"/>
      <c r="R2062" s="318"/>
      <c r="S2062" s="318"/>
      <c r="T2062" s="318"/>
      <c r="U2062" s="318"/>
      <c r="V2062" s="318"/>
      <c r="W2062" s="318"/>
      <c r="X2062" s="318"/>
      <c r="Y2062" s="318"/>
      <c r="Z2062" s="318"/>
      <c r="AA2062" s="318"/>
      <c r="AB2062" s="318"/>
      <c r="AC2062" s="318"/>
      <c r="AD2062" s="318"/>
    </row>
    <row r="2063" spans="2:30" s="323" customFormat="1" ht="12" customHeight="1">
      <c r="B2063" s="324"/>
      <c r="C2063" s="325"/>
      <c r="D2063" s="326"/>
      <c r="E2063" s="326"/>
      <c r="F2063" s="326"/>
      <c r="G2063" s="326"/>
      <c r="H2063" s="326"/>
      <c r="P2063" s="318"/>
      <c r="Q2063" s="318"/>
      <c r="R2063" s="318"/>
      <c r="S2063" s="318"/>
      <c r="T2063" s="318"/>
      <c r="U2063" s="318"/>
      <c r="V2063" s="318"/>
      <c r="W2063" s="318"/>
      <c r="X2063" s="318"/>
      <c r="Y2063" s="318"/>
      <c r="Z2063" s="318"/>
      <c r="AA2063" s="318"/>
      <c r="AB2063" s="318"/>
      <c r="AC2063" s="318"/>
      <c r="AD2063" s="318"/>
    </row>
    <row r="2064" spans="2:30" s="323" customFormat="1" ht="12" customHeight="1">
      <c r="B2064" s="324"/>
      <c r="C2064" s="325"/>
      <c r="D2064" s="326"/>
      <c r="E2064" s="326"/>
      <c r="F2064" s="326"/>
      <c r="G2064" s="326"/>
      <c r="H2064" s="326"/>
      <c r="P2064" s="318"/>
      <c r="Q2064" s="318"/>
      <c r="R2064" s="318"/>
      <c r="S2064" s="318"/>
      <c r="T2064" s="318"/>
      <c r="U2064" s="318"/>
      <c r="V2064" s="318"/>
      <c r="W2064" s="318"/>
      <c r="X2064" s="318"/>
      <c r="Y2064" s="318"/>
      <c r="Z2064" s="318"/>
      <c r="AA2064" s="318"/>
      <c r="AB2064" s="318"/>
      <c r="AC2064" s="318"/>
      <c r="AD2064" s="318"/>
    </row>
    <row r="2065" spans="2:30" s="323" customFormat="1" ht="12" customHeight="1">
      <c r="B2065" s="324"/>
      <c r="C2065" s="325"/>
      <c r="D2065" s="326"/>
      <c r="E2065" s="326"/>
      <c r="F2065" s="326"/>
      <c r="G2065" s="326"/>
      <c r="H2065" s="326"/>
      <c r="P2065" s="318"/>
      <c r="Q2065" s="318"/>
      <c r="R2065" s="318"/>
      <c r="S2065" s="318"/>
      <c r="T2065" s="318"/>
      <c r="U2065" s="318"/>
      <c r="V2065" s="318"/>
      <c r="W2065" s="318"/>
      <c r="X2065" s="318"/>
      <c r="Y2065" s="318"/>
      <c r="Z2065" s="318"/>
      <c r="AA2065" s="318"/>
      <c r="AB2065" s="318"/>
      <c r="AC2065" s="318"/>
      <c r="AD2065" s="318"/>
    </row>
    <row r="2066" spans="2:30" s="323" customFormat="1" ht="12" customHeight="1">
      <c r="B2066" s="324"/>
      <c r="C2066" s="325"/>
      <c r="D2066" s="326"/>
      <c r="E2066" s="326"/>
      <c r="F2066" s="326"/>
      <c r="G2066" s="326"/>
      <c r="H2066" s="326"/>
      <c r="P2066" s="318"/>
      <c r="Q2066" s="318"/>
      <c r="R2066" s="318"/>
      <c r="S2066" s="318"/>
      <c r="T2066" s="318"/>
      <c r="U2066" s="318"/>
      <c r="V2066" s="318"/>
      <c r="W2066" s="318"/>
      <c r="X2066" s="318"/>
      <c r="Y2066" s="318"/>
      <c r="Z2066" s="318"/>
      <c r="AA2066" s="318"/>
      <c r="AB2066" s="318"/>
      <c r="AC2066" s="318"/>
      <c r="AD2066" s="318"/>
    </row>
    <row r="2067" spans="2:30" s="323" customFormat="1" ht="12" customHeight="1">
      <c r="B2067" s="324"/>
      <c r="C2067" s="325"/>
      <c r="D2067" s="326"/>
      <c r="E2067" s="326"/>
      <c r="F2067" s="326"/>
      <c r="G2067" s="326"/>
      <c r="H2067" s="326"/>
      <c r="P2067" s="318"/>
      <c r="Q2067" s="318"/>
      <c r="R2067" s="318"/>
      <c r="S2067" s="318"/>
      <c r="T2067" s="318"/>
      <c r="U2067" s="318"/>
      <c r="V2067" s="318"/>
      <c r="W2067" s="318"/>
      <c r="X2067" s="318"/>
      <c r="Y2067" s="318"/>
      <c r="Z2067" s="318"/>
      <c r="AA2067" s="318"/>
      <c r="AB2067" s="318"/>
      <c r="AC2067" s="318"/>
      <c r="AD2067" s="318"/>
    </row>
    <row r="2068" spans="2:30" s="323" customFormat="1" ht="12" customHeight="1">
      <c r="B2068" s="324"/>
      <c r="C2068" s="325"/>
      <c r="D2068" s="326"/>
      <c r="E2068" s="326"/>
      <c r="F2068" s="326"/>
      <c r="G2068" s="326"/>
      <c r="H2068" s="326"/>
      <c r="P2068" s="318"/>
      <c r="Q2068" s="318"/>
      <c r="R2068" s="318"/>
      <c r="S2068" s="318"/>
      <c r="T2068" s="318"/>
      <c r="U2068" s="318"/>
      <c r="V2068" s="318"/>
      <c r="W2068" s="318"/>
      <c r="X2068" s="318"/>
      <c r="Y2068" s="318"/>
      <c r="Z2068" s="318"/>
      <c r="AA2068" s="318"/>
      <c r="AB2068" s="318"/>
      <c r="AC2068" s="318"/>
      <c r="AD2068" s="318"/>
    </row>
    <row r="2069" spans="2:30" s="323" customFormat="1" ht="12" customHeight="1">
      <c r="B2069" s="324"/>
      <c r="C2069" s="325"/>
      <c r="D2069" s="326"/>
      <c r="E2069" s="326"/>
      <c r="F2069" s="326"/>
      <c r="G2069" s="326"/>
      <c r="H2069" s="326"/>
      <c r="P2069" s="318"/>
      <c r="Q2069" s="318"/>
      <c r="R2069" s="318"/>
      <c r="S2069" s="318"/>
      <c r="T2069" s="318"/>
      <c r="U2069" s="318"/>
      <c r="V2069" s="318"/>
      <c r="W2069" s="318"/>
      <c r="X2069" s="318"/>
      <c r="Y2069" s="318"/>
      <c r="Z2069" s="318"/>
      <c r="AA2069" s="318"/>
      <c r="AB2069" s="318"/>
      <c r="AC2069" s="318"/>
      <c r="AD2069" s="318"/>
    </row>
    <row r="2070" spans="2:30" s="323" customFormat="1" ht="12" customHeight="1">
      <c r="B2070" s="324"/>
      <c r="C2070" s="325"/>
      <c r="D2070" s="326"/>
      <c r="E2070" s="326"/>
      <c r="F2070" s="326"/>
      <c r="G2070" s="326"/>
      <c r="H2070" s="326"/>
      <c r="P2070" s="318"/>
      <c r="Q2070" s="318"/>
      <c r="R2070" s="318"/>
      <c r="S2070" s="318"/>
      <c r="T2070" s="318"/>
      <c r="U2070" s="318"/>
      <c r="V2070" s="318"/>
      <c r="W2070" s="318"/>
      <c r="X2070" s="318"/>
      <c r="Y2070" s="318"/>
      <c r="Z2070" s="318"/>
      <c r="AA2070" s="318"/>
      <c r="AB2070" s="318"/>
      <c r="AC2070" s="318"/>
      <c r="AD2070" s="318"/>
    </row>
    <row r="2071" spans="2:30" s="323" customFormat="1" ht="12" customHeight="1">
      <c r="B2071" s="324"/>
      <c r="C2071" s="325"/>
      <c r="D2071" s="326"/>
      <c r="E2071" s="326"/>
      <c r="F2071" s="326"/>
      <c r="G2071" s="326"/>
      <c r="H2071" s="326"/>
      <c r="P2071" s="318"/>
      <c r="Q2071" s="318"/>
      <c r="R2071" s="318"/>
      <c r="S2071" s="318"/>
      <c r="T2071" s="318"/>
      <c r="U2071" s="318"/>
      <c r="V2071" s="318"/>
      <c r="W2071" s="318"/>
      <c r="X2071" s="318"/>
      <c r="Y2071" s="318"/>
      <c r="Z2071" s="318"/>
      <c r="AA2071" s="318"/>
      <c r="AB2071" s="318"/>
      <c r="AC2071" s="318"/>
      <c r="AD2071" s="318"/>
    </row>
    <row r="2072" spans="2:30" s="323" customFormat="1" ht="12" customHeight="1">
      <c r="B2072" s="324"/>
      <c r="C2072" s="325"/>
      <c r="D2072" s="326"/>
      <c r="E2072" s="326"/>
      <c r="F2072" s="326"/>
      <c r="G2072" s="326"/>
      <c r="H2072" s="326"/>
      <c r="P2072" s="318"/>
      <c r="Q2072" s="318"/>
      <c r="R2072" s="318"/>
      <c r="S2072" s="318"/>
      <c r="T2072" s="318"/>
      <c r="U2072" s="318"/>
      <c r="V2072" s="318"/>
      <c r="W2072" s="318"/>
      <c r="X2072" s="318"/>
      <c r="Y2072" s="318"/>
      <c r="Z2072" s="318"/>
      <c r="AA2072" s="318"/>
      <c r="AB2072" s="318"/>
      <c r="AC2072" s="318"/>
      <c r="AD2072" s="318"/>
    </row>
    <row r="2073" spans="2:30" s="323" customFormat="1" ht="12" customHeight="1">
      <c r="B2073" s="324"/>
      <c r="C2073" s="325"/>
      <c r="D2073" s="326"/>
      <c r="E2073" s="326"/>
      <c r="F2073" s="326"/>
      <c r="G2073" s="326"/>
      <c r="H2073" s="326"/>
      <c r="P2073" s="318"/>
      <c r="Q2073" s="318"/>
      <c r="R2073" s="318"/>
      <c r="S2073" s="318"/>
      <c r="T2073" s="318"/>
      <c r="U2073" s="318"/>
      <c r="V2073" s="318"/>
      <c r="W2073" s="318"/>
      <c r="X2073" s="318"/>
      <c r="Y2073" s="318"/>
      <c r="Z2073" s="318"/>
      <c r="AA2073" s="318"/>
      <c r="AB2073" s="318"/>
      <c r="AC2073" s="318"/>
      <c r="AD2073" s="318"/>
    </row>
    <row r="2074" spans="2:30" s="323" customFormat="1" ht="12" customHeight="1">
      <c r="B2074" s="324"/>
      <c r="C2074" s="325"/>
      <c r="D2074" s="326"/>
      <c r="E2074" s="326"/>
      <c r="F2074" s="326"/>
      <c r="G2074" s="326"/>
      <c r="H2074" s="326"/>
      <c r="P2074" s="318"/>
      <c r="Q2074" s="318"/>
      <c r="R2074" s="318"/>
      <c r="S2074" s="318"/>
      <c r="T2074" s="318"/>
      <c r="U2074" s="318"/>
      <c r="V2074" s="318"/>
      <c r="W2074" s="318"/>
      <c r="X2074" s="318"/>
      <c r="Y2074" s="318"/>
      <c r="Z2074" s="318"/>
      <c r="AA2074" s="318"/>
      <c r="AB2074" s="318"/>
      <c r="AC2074" s="318"/>
      <c r="AD2074" s="318"/>
    </row>
    <row r="2075" spans="2:30" s="323" customFormat="1" ht="12" customHeight="1">
      <c r="B2075" s="324"/>
      <c r="C2075" s="325"/>
      <c r="D2075" s="326"/>
      <c r="E2075" s="326"/>
      <c r="F2075" s="326"/>
      <c r="G2075" s="326"/>
      <c r="H2075" s="326"/>
      <c r="P2075" s="318"/>
      <c r="Q2075" s="318"/>
      <c r="R2075" s="318"/>
      <c r="S2075" s="318"/>
      <c r="T2075" s="318"/>
      <c r="U2075" s="318"/>
      <c r="V2075" s="318"/>
      <c r="W2075" s="318"/>
      <c r="X2075" s="318"/>
      <c r="Y2075" s="318"/>
      <c r="Z2075" s="318"/>
      <c r="AA2075" s="318"/>
      <c r="AB2075" s="318"/>
      <c r="AC2075" s="318"/>
      <c r="AD2075" s="318"/>
    </row>
    <row r="2076" spans="2:30" s="323" customFormat="1" ht="12" customHeight="1">
      <c r="B2076" s="324"/>
      <c r="C2076" s="325"/>
      <c r="D2076" s="326"/>
      <c r="E2076" s="326"/>
      <c r="F2076" s="326"/>
      <c r="G2076" s="326"/>
      <c r="H2076" s="326"/>
      <c r="P2076" s="318"/>
      <c r="Q2076" s="318"/>
      <c r="R2076" s="318"/>
      <c r="S2076" s="318"/>
      <c r="T2076" s="318"/>
      <c r="U2076" s="318"/>
      <c r="V2076" s="318"/>
      <c r="W2076" s="318"/>
      <c r="X2076" s="318"/>
      <c r="Y2076" s="318"/>
      <c r="Z2076" s="318"/>
      <c r="AA2076" s="318"/>
      <c r="AB2076" s="318"/>
      <c r="AC2076" s="318"/>
      <c r="AD2076" s="318"/>
    </row>
    <row r="2077" spans="2:30" s="323" customFormat="1" ht="12" customHeight="1">
      <c r="B2077" s="324"/>
      <c r="C2077" s="325"/>
      <c r="D2077" s="326"/>
      <c r="E2077" s="326"/>
      <c r="F2077" s="326"/>
      <c r="G2077" s="326"/>
      <c r="H2077" s="326"/>
      <c r="P2077" s="318"/>
      <c r="Q2077" s="318"/>
      <c r="R2077" s="318"/>
      <c r="S2077" s="318"/>
      <c r="T2077" s="318"/>
      <c r="U2077" s="318"/>
      <c r="V2077" s="318"/>
      <c r="W2077" s="318"/>
      <c r="X2077" s="318"/>
      <c r="Y2077" s="318"/>
      <c r="Z2077" s="318"/>
      <c r="AA2077" s="318"/>
      <c r="AB2077" s="318"/>
      <c r="AC2077" s="318"/>
      <c r="AD2077" s="318"/>
    </row>
    <row r="2078" spans="2:30" s="323" customFormat="1" ht="12" customHeight="1">
      <c r="B2078" s="324"/>
      <c r="C2078" s="325"/>
      <c r="D2078" s="326"/>
      <c r="E2078" s="326"/>
      <c r="F2078" s="326"/>
      <c r="G2078" s="326"/>
      <c r="H2078" s="326"/>
      <c r="P2078" s="318"/>
      <c r="Q2078" s="318"/>
      <c r="R2078" s="318"/>
      <c r="S2078" s="318"/>
      <c r="T2078" s="318"/>
      <c r="U2078" s="318"/>
      <c r="V2078" s="318"/>
      <c r="W2078" s="318"/>
      <c r="X2078" s="318"/>
      <c r="Y2078" s="318"/>
      <c r="Z2078" s="318"/>
      <c r="AA2078" s="318"/>
      <c r="AB2078" s="318"/>
      <c r="AC2078" s="318"/>
      <c r="AD2078" s="318"/>
    </row>
    <row r="2079" spans="2:30" s="323" customFormat="1" ht="12" customHeight="1">
      <c r="B2079" s="324"/>
      <c r="C2079" s="325"/>
      <c r="D2079" s="326"/>
      <c r="E2079" s="326"/>
      <c r="F2079" s="326"/>
      <c r="G2079" s="326"/>
      <c r="H2079" s="326"/>
      <c r="P2079" s="318"/>
      <c r="Q2079" s="318"/>
      <c r="R2079" s="318"/>
      <c r="S2079" s="318"/>
      <c r="T2079" s="318"/>
      <c r="U2079" s="318"/>
      <c r="V2079" s="318"/>
      <c r="W2079" s="318"/>
      <c r="X2079" s="318"/>
      <c r="Y2079" s="318"/>
      <c r="Z2079" s="318"/>
      <c r="AA2079" s="318"/>
      <c r="AB2079" s="318"/>
      <c r="AC2079" s="318"/>
      <c r="AD2079" s="318"/>
    </row>
    <row r="2080" spans="2:30" s="323" customFormat="1" ht="12" customHeight="1">
      <c r="B2080" s="324"/>
      <c r="C2080" s="325"/>
      <c r="D2080" s="326"/>
      <c r="E2080" s="326"/>
      <c r="F2080" s="326"/>
      <c r="G2080" s="326"/>
      <c r="H2080" s="326"/>
      <c r="P2080" s="318"/>
      <c r="Q2080" s="318"/>
      <c r="R2080" s="318"/>
      <c r="S2080" s="318"/>
      <c r="T2080" s="318"/>
      <c r="U2080" s="318"/>
      <c r="V2080" s="318"/>
      <c r="W2080" s="318"/>
      <c r="X2080" s="318"/>
      <c r="Y2080" s="318"/>
      <c r="Z2080" s="318"/>
      <c r="AA2080" s="318"/>
      <c r="AB2080" s="318"/>
      <c r="AC2080" s="318"/>
      <c r="AD2080" s="318"/>
    </row>
    <row r="2081" spans="2:30" s="323" customFormat="1" ht="12" customHeight="1">
      <c r="B2081" s="324"/>
      <c r="C2081" s="325"/>
      <c r="D2081" s="326"/>
      <c r="E2081" s="326"/>
      <c r="F2081" s="326"/>
      <c r="G2081" s="326"/>
      <c r="H2081" s="326"/>
      <c r="P2081" s="318"/>
      <c r="Q2081" s="318"/>
      <c r="R2081" s="318"/>
      <c r="S2081" s="318"/>
      <c r="T2081" s="318"/>
      <c r="U2081" s="318"/>
      <c r="V2081" s="318"/>
      <c r="W2081" s="318"/>
      <c r="X2081" s="318"/>
      <c r="Y2081" s="318"/>
      <c r="Z2081" s="318"/>
      <c r="AA2081" s="318"/>
      <c r="AB2081" s="318"/>
      <c r="AC2081" s="318"/>
      <c r="AD2081" s="318"/>
    </row>
    <row r="2082" spans="2:30" s="323" customFormat="1" ht="12" customHeight="1">
      <c r="B2082" s="324"/>
      <c r="C2082" s="325"/>
      <c r="D2082" s="326"/>
      <c r="E2082" s="326"/>
      <c r="F2082" s="326"/>
      <c r="G2082" s="326"/>
      <c r="H2082" s="326"/>
      <c r="P2082" s="318"/>
      <c r="Q2082" s="318"/>
      <c r="R2082" s="318"/>
      <c r="S2082" s="318"/>
      <c r="T2082" s="318"/>
      <c r="U2082" s="318"/>
      <c r="V2082" s="318"/>
      <c r="W2082" s="318"/>
      <c r="X2082" s="318"/>
      <c r="Y2082" s="318"/>
      <c r="Z2082" s="318"/>
      <c r="AA2082" s="318"/>
      <c r="AB2082" s="318"/>
      <c r="AC2082" s="318"/>
      <c r="AD2082" s="318"/>
    </row>
    <row r="2083" spans="2:30" s="323" customFormat="1" ht="12" customHeight="1">
      <c r="B2083" s="324"/>
      <c r="C2083" s="325"/>
      <c r="D2083" s="326"/>
      <c r="E2083" s="326"/>
      <c r="F2083" s="326"/>
      <c r="G2083" s="326"/>
      <c r="H2083" s="326"/>
      <c r="P2083" s="318"/>
      <c r="Q2083" s="318"/>
      <c r="R2083" s="318"/>
      <c r="S2083" s="318"/>
      <c r="T2083" s="318"/>
      <c r="U2083" s="318"/>
      <c r="V2083" s="318"/>
      <c r="W2083" s="318"/>
      <c r="X2083" s="318"/>
      <c r="Y2083" s="318"/>
      <c r="Z2083" s="318"/>
      <c r="AA2083" s="318"/>
      <c r="AB2083" s="318"/>
      <c r="AC2083" s="318"/>
      <c r="AD2083" s="318"/>
    </row>
    <row r="2084" spans="2:30" s="323" customFormat="1" ht="12" customHeight="1">
      <c r="B2084" s="324"/>
      <c r="C2084" s="325"/>
      <c r="D2084" s="326"/>
      <c r="E2084" s="326"/>
      <c r="F2084" s="326"/>
      <c r="G2084" s="326"/>
      <c r="H2084" s="326"/>
      <c r="P2084" s="318"/>
      <c r="Q2084" s="318"/>
      <c r="R2084" s="318"/>
      <c r="S2084" s="318"/>
      <c r="T2084" s="318"/>
      <c r="U2084" s="318"/>
      <c r="V2084" s="318"/>
      <c r="W2084" s="318"/>
      <c r="X2084" s="318"/>
      <c r="Y2084" s="318"/>
      <c r="Z2084" s="318"/>
      <c r="AA2084" s="318"/>
      <c r="AB2084" s="318"/>
      <c r="AC2084" s="318"/>
      <c r="AD2084" s="318"/>
    </row>
    <row r="2085" spans="2:30" s="323" customFormat="1" ht="12" customHeight="1">
      <c r="B2085" s="324"/>
      <c r="C2085" s="325"/>
      <c r="D2085" s="326"/>
      <c r="E2085" s="326"/>
      <c r="F2085" s="326"/>
      <c r="G2085" s="326"/>
      <c r="H2085" s="326"/>
      <c r="P2085" s="318"/>
      <c r="Q2085" s="318"/>
      <c r="R2085" s="318"/>
      <c r="S2085" s="318"/>
      <c r="T2085" s="318"/>
      <c r="U2085" s="318"/>
      <c r="V2085" s="318"/>
      <c r="W2085" s="318"/>
      <c r="X2085" s="318"/>
      <c r="Y2085" s="318"/>
      <c r="Z2085" s="318"/>
      <c r="AA2085" s="318"/>
      <c r="AB2085" s="318"/>
      <c r="AC2085" s="318"/>
      <c r="AD2085" s="318"/>
    </row>
    <row r="2086" spans="2:30" s="323" customFormat="1" ht="12" customHeight="1">
      <c r="B2086" s="324"/>
      <c r="C2086" s="325"/>
      <c r="D2086" s="326"/>
      <c r="E2086" s="326"/>
      <c r="F2086" s="326"/>
      <c r="G2086" s="326"/>
      <c r="H2086" s="326"/>
      <c r="P2086" s="318"/>
      <c r="Q2086" s="318"/>
      <c r="R2086" s="318"/>
      <c r="S2086" s="318"/>
      <c r="T2086" s="318"/>
      <c r="U2086" s="318"/>
      <c r="V2086" s="318"/>
      <c r="W2086" s="318"/>
      <c r="X2086" s="318"/>
      <c r="Y2086" s="318"/>
      <c r="Z2086" s="318"/>
      <c r="AA2086" s="318"/>
      <c r="AB2086" s="318"/>
      <c r="AC2086" s="318"/>
      <c r="AD2086" s="318"/>
    </row>
    <row r="2087" spans="2:30" s="323" customFormat="1" ht="12" customHeight="1">
      <c r="B2087" s="324"/>
      <c r="C2087" s="325"/>
      <c r="D2087" s="326"/>
      <c r="E2087" s="326"/>
      <c r="F2087" s="326"/>
      <c r="G2087" s="326"/>
      <c r="H2087" s="326"/>
      <c r="P2087" s="318"/>
      <c r="Q2087" s="318"/>
      <c r="R2087" s="318"/>
      <c r="S2087" s="318"/>
      <c r="T2087" s="318"/>
      <c r="U2087" s="318"/>
      <c r="V2087" s="318"/>
      <c r="W2087" s="318"/>
      <c r="X2087" s="318"/>
      <c r="Y2087" s="318"/>
      <c r="Z2087" s="318"/>
      <c r="AA2087" s="318"/>
      <c r="AB2087" s="318"/>
      <c r="AC2087" s="318"/>
      <c r="AD2087" s="318"/>
    </row>
    <row r="2088" spans="2:30" s="323" customFormat="1" ht="12" customHeight="1">
      <c r="B2088" s="324"/>
      <c r="C2088" s="325"/>
      <c r="D2088" s="326"/>
      <c r="E2088" s="326"/>
      <c r="F2088" s="326"/>
      <c r="G2088" s="326"/>
      <c r="H2088" s="326"/>
      <c r="P2088" s="318"/>
      <c r="Q2088" s="318"/>
      <c r="R2088" s="318"/>
      <c r="S2088" s="318"/>
      <c r="T2088" s="318"/>
      <c r="U2088" s="318"/>
      <c r="V2088" s="318"/>
      <c r="W2088" s="318"/>
      <c r="X2088" s="318"/>
      <c r="Y2088" s="318"/>
      <c r="Z2088" s="318"/>
      <c r="AA2088" s="318"/>
      <c r="AB2088" s="318"/>
      <c r="AC2088" s="318"/>
      <c r="AD2088" s="318"/>
    </row>
    <row r="2089" spans="2:30" s="323" customFormat="1" ht="12" customHeight="1">
      <c r="B2089" s="324"/>
      <c r="C2089" s="325"/>
      <c r="D2089" s="326"/>
      <c r="E2089" s="326"/>
      <c r="F2089" s="326"/>
      <c r="G2089" s="326"/>
      <c r="H2089" s="326"/>
      <c r="P2089" s="318"/>
      <c r="Q2089" s="318"/>
      <c r="R2089" s="318"/>
      <c r="S2089" s="318"/>
      <c r="T2089" s="318"/>
      <c r="U2089" s="318"/>
      <c r="V2089" s="318"/>
      <c r="W2089" s="318"/>
      <c r="X2089" s="318"/>
      <c r="Y2089" s="318"/>
      <c r="Z2089" s="318"/>
      <c r="AA2089" s="318"/>
      <c r="AB2089" s="318"/>
      <c r="AC2089" s="318"/>
      <c r="AD2089" s="318"/>
    </row>
    <row r="2090" spans="2:30" s="323" customFormat="1" ht="12" customHeight="1">
      <c r="B2090" s="324"/>
      <c r="C2090" s="325"/>
      <c r="D2090" s="326"/>
      <c r="E2090" s="326"/>
      <c r="F2090" s="326"/>
      <c r="G2090" s="326"/>
      <c r="H2090" s="326"/>
      <c r="P2090" s="318"/>
      <c r="Q2090" s="318"/>
      <c r="R2090" s="318"/>
      <c r="S2090" s="318"/>
      <c r="T2090" s="318"/>
      <c r="U2090" s="318"/>
      <c r="V2090" s="318"/>
      <c r="W2090" s="318"/>
      <c r="X2090" s="318"/>
      <c r="Y2090" s="318"/>
      <c r="Z2090" s="318"/>
      <c r="AA2090" s="318"/>
      <c r="AB2090" s="318"/>
      <c r="AC2090" s="318"/>
      <c r="AD2090" s="318"/>
    </row>
    <row r="2091" spans="2:30" s="323" customFormat="1" ht="12" customHeight="1">
      <c r="B2091" s="324"/>
      <c r="C2091" s="325"/>
      <c r="D2091" s="326"/>
      <c r="E2091" s="326"/>
      <c r="F2091" s="326"/>
      <c r="G2091" s="326"/>
      <c r="H2091" s="326"/>
      <c r="P2091" s="318"/>
      <c r="Q2091" s="318"/>
      <c r="R2091" s="318"/>
      <c r="S2091" s="318"/>
      <c r="T2091" s="318"/>
      <c r="U2091" s="318"/>
      <c r="V2091" s="318"/>
      <c r="W2091" s="318"/>
      <c r="X2091" s="318"/>
      <c r="Y2091" s="318"/>
      <c r="Z2091" s="318"/>
      <c r="AA2091" s="318"/>
      <c r="AB2091" s="318"/>
      <c r="AC2091" s="318"/>
      <c r="AD2091" s="318"/>
    </row>
    <row r="2092" spans="2:30" s="323" customFormat="1" ht="12" customHeight="1">
      <c r="B2092" s="324"/>
      <c r="C2092" s="325"/>
      <c r="D2092" s="326"/>
      <c r="E2092" s="326"/>
      <c r="F2092" s="326"/>
      <c r="G2092" s="326"/>
      <c r="H2092" s="326"/>
      <c r="P2092" s="318"/>
      <c r="Q2092" s="318"/>
      <c r="R2092" s="318"/>
      <c r="S2092" s="318"/>
      <c r="T2092" s="318"/>
      <c r="U2092" s="318"/>
      <c r="V2092" s="318"/>
      <c r="W2092" s="318"/>
      <c r="X2092" s="318"/>
      <c r="Y2092" s="318"/>
      <c r="Z2092" s="318"/>
      <c r="AA2092" s="318"/>
      <c r="AB2092" s="318"/>
      <c r="AC2092" s="318"/>
      <c r="AD2092" s="318"/>
    </row>
    <row r="2093" spans="2:30" s="323" customFormat="1" ht="12" customHeight="1">
      <c r="B2093" s="324"/>
      <c r="C2093" s="325"/>
      <c r="D2093" s="326"/>
      <c r="E2093" s="326"/>
      <c r="F2093" s="326"/>
      <c r="G2093" s="326"/>
      <c r="H2093" s="326"/>
      <c r="P2093" s="318"/>
      <c r="Q2093" s="318"/>
      <c r="R2093" s="318"/>
      <c r="S2093" s="318"/>
      <c r="T2093" s="318"/>
      <c r="U2093" s="318"/>
      <c r="V2093" s="318"/>
      <c r="W2093" s="318"/>
      <c r="X2093" s="318"/>
      <c r="Y2093" s="318"/>
      <c r="Z2093" s="318"/>
      <c r="AA2093" s="318"/>
      <c r="AB2093" s="318"/>
      <c r="AC2093" s="318"/>
      <c r="AD2093" s="318"/>
    </row>
    <row r="2094" spans="2:30" s="323" customFormat="1" ht="12" customHeight="1">
      <c r="B2094" s="324"/>
      <c r="C2094" s="325"/>
      <c r="D2094" s="326"/>
      <c r="E2094" s="326"/>
      <c r="F2094" s="326"/>
      <c r="G2094" s="326"/>
      <c r="H2094" s="326"/>
      <c r="P2094" s="318"/>
      <c r="Q2094" s="318"/>
      <c r="R2094" s="318"/>
      <c r="S2094" s="318"/>
      <c r="T2094" s="318"/>
      <c r="U2094" s="318"/>
      <c r="V2094" s="318"/>
      <c r="W2094" s="318"/>
      <c r="X2094" s="318"/>
      <c r="Y2094" s="318"/>
      <c r="Z2094" s="318"/>
      <c r="AA2094" s="318"/>
      <c r="AB2094" s="318"/>
      <c r="AC2094" s="318"/>
      <c r="AD2094" s="318"/>
    </row>
    <row r="2095" spans="2:30" s="323" customFormat="1" ht="12" customHeight="1">
      <c r="B2095" s="324"/>
      <c r="C2095" s="325"/>
      <c r="D2095" s="326"/>
      <c r="E2095" s="326"/>
      <c r="F2095" s="326"/>
      <c r="G2095" s="326"/>
      <c r="H2095" s="326"/>
      <c r="P2095" s="318"/>
      <c r="Q2095" s="318"/>
      <c r="R2095" s="318"/>
      <c r="S2095" s="318"/>
      <c r="T2095" s="318"/>
      <c r="U2095" s="318"/>
      <c r="V2095" s="318"/>
      <c r="W2095" s="318"/>
      <c r="X2095" s="318"/>
      <c r="Y2095" s="318"/>
      <c r="Z2095" s="318"/>
      <c r="AA2095" s="318"/>
      <c r="AB2095" s="318"/>
      <c r="AC2095" s="318"/>
      <c r="AD2095" s="318"/>
    </row>
    <row r="2096" spans="2:30" s="323" customFormat="1" ht="12" customHeight="1">
      <c r="B2096" s="324"/>
      <c r="C2096" s="325"/>
      <c r="D2096" s="326"/>
      <c r="E2096" s="326"/>
      <c r="F2096" s="326"/>
      <c r="G2096" s="326"/>
      <c r="H2096" s="326"/>
      <c r="P2096" s="318"/>
      <c r="Q2096" s="318"/>
      <c r="R2096" s="318"/>
      <c r="S2096" s="318"/>
      <c r="T2096" s="318"/>
      <c r="U2096" s="318"/>
      <c r="V2096" s="318"/>
      <c r="W2096" s="318"/>
      <c r="X2096" s="318"/>
      <c r="Y2096" s="318"/>
      <c r="Z2096" s="318"/>
      <c r="AA2096" s="318"/>
      <c r="AB2096" s="318"/>
      <c r="AC2096" s="318"/>
      <c r="AD2096" s="318"/>
    </row>
    <row r="2097" spans="2:30" s="323" customFormat="1" ht="12" customHeight="1">
      <c r="B2097" s="324"/>
      <c r="C2097" s="325"/>
      <c r="D2097" s="326"/>
      <c r="E2097" s="326"/>
      <c r="F2097" s="326"/>
      <c r="G2097" s="326"/>
      <c r="H2097" s="326"/>
      <c r="P2097" s="318"/>
      <c r="Q2097" s="318"/>
      <c r="R2097" s="318"/>
      <c r="S2097" s="318"/>
      <c r="T2097" s="318"/>
      <c r="U2097" s="318"/>
      <c r="V2097" s="318"/>
      <c r="W2097" s="318"/>
      <c r="X2097" s="318"/>
      <c r="Y2097" s="318"/>
      <c r="Z2097" s="318"/>
      <c r="AA2097" s="318"/>
      <c r="AB2097" s="318"/>
      <c r="AC2097" s="318"/>
      <c r="AD2097" s="318"/>
    </row>
    <row r="2098" spans="2:30" s="323" customFormat="1" ht="12" customHeight="1">
      <c r="B2098" s="324"/>
      <c r="C2098" s="325"/>
      <c r="D2098" s="326"/>
      <c r="E2098" s="326"/>
      <c r="F2098" s="326"/>
      <c r="G2098" s="326"/>
      <c r="H2098" s="326"/>
      <c r="P2098" s="318"/>
      <c r="Q2098" s="318"/>
      <c r="R2098" s="318"/>
      <c r="S2098" s="318"/>
      <c r="T2098" s="318"/>
      <c r="U2098" s="318"/>
      <c r="V2098" s="318"/>
      <c r="W2098" s="318"/>
      <c r="X2098" s="318"/>
      <c r="Y2098" s="318"/>
      <c r="Z2098" s="318"/>
      <c r="AA2098" s="318"/>
      <c r="AB2098" s="318"/>
      <c r="AC2098" s="318"/>
      <c r="AD2098" s="318"/>
    </row>
    <row r="2099" spans="2:30" s="323" customFormat="1" ht="12" customHeight="1">
      <c r="B2099" s="324"/>
      <c r="C2099" s="325"/>
      <c r="D2099" s="326"/>
      <c r="E2099" s="326"/>
      <c r="F2099" s="326"/>
      <c r="G2099" s="326"/>
      <c r="H2099" s="326"/>
      <c r="P2099" s="318"/>
      <c r="Q2099" s="318"/>
      <c r="R2099" s="318"/>
      <c r="S2099" s="318"/>
      <c r="T2099" s="318"/>
      <c r="U2099" s="318"/>
      <c r="V2099" s="318"/>
      <c r="W2099" s="318"/>
      <c r="X2099" s="318"/>
      <c r="Y2099" s="318"/>
      <c r="Z2099" s="318"/>
      <c r="AA2099" s="318"/>
      <c r="AB2099" s="318"/>
      <c r="AC2099" s="318"/>
      <c r="AD2099" s="318"/>
    </row>
    <row r="2100" spans="2:30" s="323" customFormat="1" ht="12" customHeight="1">
      <c r="B2100" s="324"/>
      <c r="C2100" s="325"/>
      <c r="D2100" s="326"/>
      <c r="E2100" s="326"/>
      <c r="F2100" s="326"/>
      <c r="G2100" s="326"/>
      <c r="H2100" s="326"/>
      <c r="P2100" s="318"/>
      <c r="Q2100" s="318"/>
      <c r="R2100" s="318"/>
      <c r="S2100" s="318"/>
      <c r="T2100" s="318"/>
      <c r="U2100" s="318"/>
      <c r="V2100" s="318"/>
      <c r="W2100" s="318"/>
      <c r="X2100" s="318"/>
      <c r="Y2100" s="318"/>
      <c r="Z2100" s="318"/>
      <c r="AA2100" s="318"/>
      <c r="AB2100" s="318"/>
      <c r="AC2100" s="318"/>
      <c r="AD2100" s="318"/>
    </row>
    <row r="2101" spans="2:30" s="323" customFormat="1" ht="12" customHeight="1">
      <c r="B2101" s="324"/>
      <c r="C2101" s="325"/>
      <c r="D2101" s="326"/>
      <c r="E2101" s="326"/>
      <c r="F2101" s="326"/>
      <c r="G2101" s="326"/>
      <c r="H2101" s="326"/>
      <c r="P2101" s="318"/>
      <c r="Q2101" s="318"/>
      <c r="R2101" s="318"/>
      <c r="S2101" s="318"/>
      <c r="T2101" s="318"/>
      <c r="U2101" s="318"/>
      <c r="V2101" s="318"/>
      <c r="W2101" s="318"/>
      <c r="X2101" s="318"/>
      <c r="Y2101" s="318"/>
      <c r="Z2101" s="318"/>
      <c r="AA2101" s="318"/>
      <c r="AB2101" s="318"/>
      <c r="AC2101" s="318"/>
      <c r="AD2101" s="318"/>
    </row>
    <row r="2102" spans="2:30" s="323" customFormat="1" ht="12" customHeight="1">
      <c r="B2102" s="324"/>
      <c r="C2102" s="325"/>
      <c r="D2102" s="326"/>
      <c r="E2102" s="326"/>
      <c r="F2102" s="326"/>
      <c r="G2102" s="326"/>
      <c r="H2102" s="326"/>
      <c r="P2102" s="318"/>
      <c r="Q2102" s="318"/>
      <c r="R2102" s="318"/>
      <c r="S2102" s="318"/>
      <c r="T2102" s="318"/>
      <c r="U2102" s="318"/>
      <c r="V2102" s="318"/>
      <c r="W2102" s="318"/>
      <c r="X2102" s="318"/>
      <c r="Y2102" s="318"/>
      <c r="Z2102" s="318"/>
      <c r="AA2102" s="318"/>
      <c r="AB2102" s="318"/>
      <c r="AC2102" s="318"/>
      <c r="AD2102" s="318"/>
    </row>
    <row r="2103" spans="2:30" s="323" customFormat="1" ht="12" customHeight="1">
      <c r="B2103" s="324"/>
      <c r="C2103" s="325"/>
      <c r="D2103" s="326"/>
      <c r="E2103" s="326"/>
      <c r="F2103" s="326"/>
      <c r="G2103" s="326"/>
      <c r="H2103" s="326"/>
      <c r="P2103" s="318"/>
      <c r="Q2103" s="318"/>
      <c r="R2103" s="318"/>
      <c r="S2103" s="318"/>
      <c r="T2103" s="318"/>
      <c r="U2103" s="318"/>
      <c r="V2103" s="318"/>
      <c r="W2103" s="318"/>
      <c r="X2103" s="318"/>
      <c r="Y2103" s="318"/>
      <c r="Z2103" s="318"/>
      <c r="AA2103" s="318"/>
      <c r="AB2103" s="318"/>
      <c r="AC2103" s="318"/>
      <c r="AD2103" s="318"/>
    </row>
    <row r="2104" spans="2:30" s="323" customFormat="1" ht="12" customHeight="1">
      <c r="B2104" s="324"/>
      <c r="C2104" s="325"/>
      <c r="D2104" s="326"/>
      <c r="E2104" s="326"/>
      <c r="F2104" s="326"/>
      <c r="G2104" s="326"/>
      <c r="H2104" s="326"/>
      <c r="P2104" s="318"/>
      <c r="Q2104" s="318"/>
      <c r="R2104" s="318"/>
      <c r="S2104" s="318"/>
      <c r="T2104" s="318"/>
      <c r="U2104" s="318"/>
      <c r="V2104" s="318"/>
      <c r="W2104" s="318"/>
      <c r="X2104" s="318"/>
      <c r="Y2104" s="318"/>
      <c r="Z2104" s="318"/>
      <c r="AA2104" s="318"/>
      <c r="AB2104" s="318"/>
      <c r="AC2104" s="318"/>
      <c r="AD2104" s="318"/>
    </row>
    <row r="2105" spans="2:30" s="323" customFormat="1" ht="12" customHeight="1">
      <c r="B2105" s="324"/>
      <c r="C2105" s="325"/>
      <c r="D2105" s="326"/>
      <c r="E2105" s="326"/>
      <c r="F2105" s="326"/>
      <c r="G2105" s="326"/>
      <c r="H2105" s="326"/>
      <c r="P2105" s="318"/>
      <c r="Q2105" s="318"/>
      <c r="R2105" s="318"/>
      <c r="S2105" s="318"/>
      <c r="T2105" s="318"/>
      <c r="U2105" s="318"/>
      <c r="V2105" s="318"/>
      <c r="W2105" s="318"/>
      <c r="X2105" s="318"/>
      <c r="Y2105" s="318"/>
      <c r="Z2105" s="318"/>
      <c r="AA2105" s="318"/>
      <c r="AB2105" s="318"/>
      <c r="AC2105" s="318"/>
      <c r="AD2105" s="318"/>
    </row>
    <row r="2106" spans="2:30" s="323" customFormat="1" ht="12" customHeight="1">
      <c r="B2106" s="324"/>
      <c r="C2106" s="325"/>
      <c r="D2106" s="326"/>
      <c r="E2106" s="326"/>
      <c r="F2106" s="326"/>
      <c r="G2106" s="326"/>
      <c r="H2106" s="326"/>
      <c r="P2106" s="318"/>
      <c r="Q2106" s="318"/>
      <c r="R2106" s="318"/>
      <c r="S2106" s="318"/>
      <c r="T2106" s="318"/>
      <c r="U2106" s="318"/>
      <c r="V2106" s="318"/>
      <c r="W2106" s="318"/>
      <c r="X2106" s="318"/>
      <c r="Y2106" s="318"/>
      <c r="Z2106" s="318"/>
      <c r="AA2106" s="318"/>
      <c r="AB2106" s="318"/>
      <c r="AC2106" s="318"/>
      <c r="AD2106" s="318"/>
    </row>
    <row r="2107" spans="2:30" s="323" customFormat="1" ht="12" customHeight="1">
      <c r="B2107" s="324"/>
      <c r="C2107" s="325"/>
      <c r="D2107" s="326"/>
      <c r="E2107" s="326"/>
      <c r="F2107" s="326"/>
      <c r="G2107" s="326"/>
      <c r="H2107" s="326"/>
      <c r="P2107" s="318"/>
      <c r="Q2107" s="318"/>
      <c r="R2107" s="318"/>
      <c r="S2107" s="318"/>
      <c r="T2107" s="318"/>
      <c r="U2107" s="318"/>
      <c r="V2107" s="318"/>
      <c r="W2107" s="318"/>
      <c r="X2107" s="318"/>
      <c r="Y2107" s="318"/>
      <c r="Z2107" s="318"/>
      <c r="AA2107" s="318"/>
      <c r="AB2107" s="318"/>
      <c r="AC2107" s="318"/>
      <c r="AD2107" s="318"/>
    </row>
    <row r="2108" spans="2:30" s="323" customFormat="1" ht="12" customHeight="1">
      <c r="B2108" s="324"/>
      <c r="C2108" s="325"/>
      <c r="D2108" s="326"/>
      <c r="E2108" s="326"/>
      <c r="F2108" s="326"/>
      <c r="G2108" s="326"/>
      <c r="H2108" s="326"/>
      <c r="P2108" s="318"/>
      <c r="Q2108" s="318"/>
      <c r="R2108" s="318"/>
      <c r="S2108" s="318"/>
      <c r="T2108" s="318"/>
      <c r="U2108" s="318"/>
      <c r="V2108" s="318"/>
      <c r="W2108" s="318"/>
      <c r="X2108" s="318"/>
      <c r="Y2108" s="318"/>
      <c r="Z2108" s="318"/>
      <c r="AA2108" s="318"/>
      <c r="AB2108" s="318"/>
      <c r="AC2108" s="318"/>
      <c r="AD2108" s="318"/>
    </row>
    <row r="2109" spans="2:30" s="323" customFormat="1" ht="12" customHeight="1">
      <c r="B2109" s="324"/>
      <c r="C2109" s="325"/>
      <c r="D2109" s="326"/>
      <c r="E2109" s="326"/>
      <c r="F2109" s="326"/>
      <c r="G2109" s="326"/>
      <c r="H2109" s="326"/>
      <c r="P2109" s="318"/>
      <c r="Q2109" s="318"/>
      <c r="R2109" s="318"/>
      <c r="S2109" s="318"/>
      <c r="T2109" s="318"/>
      <c r="U2109" s="318"/>
      <c r="V2109" s="318"/>
      <c r="W2109" s="318"/>
      <c r="X2109" s="318"/>
      <c r="Y2109" s="318"/>
      <c r="Z2109" s="318"/>
      <c r="AA2109" s="318"/>
      <c r="AB2109" s="318"/>
      <c r="AC2109" s="318"/>
      <c r="AD2109" s="318"/>
    </row>
    <row r="2110" spans="2:30" s="323" customFormat="1" ht="12" customHeight="1">
      <c r="B2110" s="324"/>
      <c r="C2110" s="325"/>
      <c r="D2110" s="326"/>
      <c r="E2110" s="326"/>
      <c r="F2110" s="326"/>
      <c r="G2110" s="326"/>
      <c r="H2110" s="326"/>
      <c r="P2110" s="318"/>
      <c r="Q2110" s="318"/>
      <c r="R2110" s="318"/>
      <c r="S2110" s="318"/>
      <c r="T2110" s="318"/>
      <c r="U2110" s="318"/>
      <c r="V2110" s="318"/>
      <c r="W2110" s="318"/>
      <c r="X2110" s="318"/>
      <c r="Y2110" s="318"/>
      <c r="Z2110" s="318"/>
      <c r="AA2110" s="318"/>
      <c r="AB2110" s="318"/>
      <c r="AC2110" s="318"/>
      <c r="AD2110" s="318"/>
    </row>
    <row r="2111" spans="2:30" s="323" customFormat="1" ht="12" customHeight="1">
      <c r="B2111" s="324"/>
      <c r="C2111" s="325"/>
      <c r="D2111" s="326"/>
      <c r="E2111" s="326"/>
      <c r="F2111" s="326"/>
      <c r="G2111" s="326"/>
      <c r="H2111" s="326"/>
      <c r="P2111" s="318"/>
      <c r="Q2111" s="318"/>
      <c r="R2111" s="318"/>
      <c r="S2111" s="318"/>
      <c r="T2111" s="318"/>
      <c r="U2111" s="318"/>
      <c r="V2111" s="318"/>
      <c r="W2111" s="318"/>
      <c r="X2111" s="318"/>
      <c r="Y2111" s="318"/>
      <c r="Z2111" s="318"/>
      <c r="AA2111" s="318"/>
      <c r="AB2111" s="318"/>
      <c r="AC2111" s="318"/>
      <c r="AD2111" s="318"/>
    </row>
    <row r="2112" spans="2:30" s="323" customFormat="1" ht="12" customHeight="1">
      <c r="B2112" s="324"/>
      <c r="C2112" s="325"/>
      <c r="D2112" s="326"/>
      <c r="E2112" s="326"/>
      <c r="F2112" s="326"/>
      <c r="G2112" s="326"/>
      <c r="H2112" s="326"/>
      <c r="P2112" s="318"/>
      <c r="Q2112" s="318"/>
      <c r="R2112" s="318"/>
      <c r="S2112" s="318"/>
      <c r="T2112" s="318"/>
      <c r="U2112" s="318"/>
      <c r="V2112" s="318"/>
      <c r="W2112" s="318"/>
      <c r="X2112" s="318"/>
      <c r="Y2112" s="318"/>
      <c r="Z2112" s="318"/>
      <c r="AA2112" s="318"/>
      <c r="AB2112" s="318"/>
      <c r="AC2112" s="318"/>
      <c r="AD2112" s="318"/>
    </row>
    <row r="2113" spans="2:30" s="323" customFormat="1" ht="12" customHeight="1">
      <c r="B2113" s="324"/>
      <c r="C2113" s="325"/>
      <c r="D2113" s="326"/>
      <c r="E2113" s="326"/>
      <c r="F2113" s="326"/>
      <c r="G2113" s="326"/>
      <c r="H2113" s="326"/>
      <c r="P2113" s="318"/>
      <c r="Q2113" s="318"/>
      <c r="R2113" s="318"/>
      <c r="S2113" s="318"/>
      <c r="T2113" s="318"/>
      <c r="U2113" s="318"/>
      <c r="V2113" s="318"/>
      <c r="W2113" s="318"/>
      <c r="X2113" s="318"/>
      <c r="Y2113" s="318"/>
      <c r="Z2113" s="318"/>
      <c r="AA2113" s="318"/>
      <c r="AB2113" s="318"/>
      <c r="AC2113" s="318"/>
      <c r="AD2113" s="318"/>
    </row>
    <row r="2114" spans="2:30" s="323" customFormat="1" ht="12" customHeight="1">
      <c r="B2114" s="324"/>
      <c r="C2114" s="325"/>
      <c r="D2114" s="326"/>
      <c r="E2114" s="326"/>
      <c r="F2114" s="326"/>
      <c r="G2114" s="326"/>
      <c r="H2114" s="326"/>
      <c r="P2114" s="318"/>
      <c r="Q2114" s="318"/>
      <c r="R2114" s="318"/>
      <c r="S2114" s="318"/>
      <c r="T2114" s="318"/>
      <c r="U2114" s="318"/>
      <c r="V2114" s="318"/>
      <c r="W2114" s="318"/>
      <c r="X2114" s="318"/>
      <c r="Y2114" s="318"/>
      <c r="Z2114" s="318"/>
      <c r="AA2114" s="318"/>
      <c r="AB2114" s="318"/>
      <c r="AC2114" s="318"/>
      <c r="AD2114" s="318"/>
    </row>
    <row r="2115" spans="2:30" s="323" customFormat="1" ht="12" customHeight="1">
      <c r="B2115" s="324"/>
      <c r="C2115" s="325"/>
      <c r="D2115" s="326"/>
      <c r="E2115" s="326"/>
      <c r="F2115" s="326"/>
      <c r="G2115" s="326"/>
      <c r="H2115" s="326"/>
      <c r="P2115" s="318"/>
      <c r="Q2115" s="318"/>
      <c r="R2115" s="318"/>
      <c r="S2115" s="318"/>
      <c r="T2115" s="318"/>
      <c r="U2115" s="318"/>
      <c r="V2115" s="318"/>
      <c r="W2115" s="318"/>
      <c r="X2115" s="318"/>
      <c r="Y2115" s="318"/>
      <c r="Z2115" s="318"/>
      <c r="AA2115" s="318"/>
      <c r="AB2115" s="318"/>
      <c r="AC2115" s="318"/>
      <c r="AD2115" s="318"/>
    </row>
    <row r="2116" spans="2:30" s="323" customFormat="1" ht="12" customHeight="1">
      <c r="B2116" s="324"/>
      <c r="C2116" s="325"/>
      <c r="D2116" s="326"/>
      <c r="E2116" s="326"/>
      <c r="F2116" s="326"/>
      <c r="G2116" s="326"/>
      <c r="H2116" s="326"/>
      <c r="P2116" s="318"/>
      <c r="Q2116" s="318"/>
      <c r="R2116" s="318"/>
      <c r="S2116" s="318"/>
      <c r="T2116" s="318"/>
      <c r="U2116" s="318"/>
      <c r="V2116" s="318"/>
      <c r="W2116" s="318"/>
      <c r="X2116" s="318"/>
      <c r="Y2116" s="318"/>
      <c r="Z2116" s="318"/>
      <c r="AA2116" s="318"/>
      <c r="AB2116" s="318"/>
      <c r="AC2116" s="318"/>
      <c r="AD2116" s="318"/>
    </row>
    <row r="2117" spans="2:30" s="323" customFormat="1" ht="12" customHeight="1">
      <c r="B2117" s="324"/>
      <c r="C2117" s="325"/>
      <c r="D2117" s="326"/>
      <c r="E2117" s="326"/>
      <c r="F2117" s="326"/>
      <c r="G2117" s="326"/>
      <c r="H2117" s="326"/>
      <c r="P2117" s="318"/>
      <c r="Q2117" s="318"/>
      <c r="R2117" s="318"/>
      <c r="S2117" s="318"/>
      <c r="T2117" s="318"/>
      <c r="U2117" s="318"/>
      <c r="V2117" s="318"/>
      <c r="W2117" s="318"/>
      <c r="X2117" s="318"/>
      <c r="Y2117" s="318"/>
      <c r="Z2117" s="318"/>
      <c r="AA2117" s="318"/>
      <c r="AB2117" s="318"/>
      <c r="AC2117" s="318"/>
      <c r="AD2117" s="318"/>
    </row>
    <row r="2118" spans="2:30" s="323" customFormat="1" ht="12" customHeight="1">
      <c r="B2118" s="324"/>
      <c r="C2118" s="325"/>
      <c r="D2118" s="326"/>
      <c r="E2118" s="326"/>
      <c r="F2118" s="326"/>
      <c r="G2118" s="326"/>
      <c r="H2118" s="326"/>
      <c r="P2118" s="318"/>
      <c r="Q2118" s="318"/>
      <c r="R2118" s="318"/>
      <c r="S2118" s="318"/>
      <c r="T2118" s="318"/>
      <c r="U2118" s="318"/>
      <c r="V2118" s="318"/>
      <c r="W2118" s="318"/>
      <c r="X2118" s="318"/>
      <c r="Y2118" s="318"/>
      <c r="Z2118" s="318"/>
      <c r="AA2118" s="318"/>
      <c r="AB2118" s="318"/>
      <c r="AC2118" s="318"/>
      <c r="AD2118" s="318"/>
    </row>
    <row r="2119" spans="2:30" s="323" customFormat="1" ht="12" customHeight="1">
      <c r="B2119" s="324"/>
      <c r="C2119" s="325"/>
      <c r="D2119" s="326"/>
      <c r="E2119" s="326"/>
      <c r="F2119" s="326"/>
      <c r="G2119" s="326"/>
      <c r="H2119" s="326"/>
      <c r="P2119" s="318"/>
      <c r="Q2119" s="318"/>
      <c r="R2119" s="318"/>
      <c r="S2119" s="318"/>
      <c r="T2119" s="318"/>
      <c r="U2119" s="318"/>
      <c r="V2119" s="318"/>
      <c r="W2119" s="318"/>
      <c r="X2119" s="318"/>
      <c r="Y2119" s="318"/>
      <c r="Z2119" s="318"/>
      <c r="AA2119" s="318"/>
      <c r="AB2119" s="318"/>
      <c r="AC2119" s="318"/>
      <c r="AD2119" s="318"/>
    </row>
    <row r="2120" spans="2:30" s="323" customFormat="1" ht="12" customHeight="1">
      <c r="B2120" s="324"/>
      <c r="C2120" s="325"/>
      <c r="D2120" s="326"/>
      <c r="E2120" s="326"/>
      <c r="F2120" s="326"/>
      <c r="G2120" s="326"/>
      <c r="H2120" s="326"/>
      <c r="P2120" s="318"/>
      <c r="Q2120" s="318"/>
      <c r="R2120" s="318"/>
      <c r="S2120" s="318"/>
      <c r="T2120" s="318"/>
      <c r="U2120" s="318"/>
      <c r="V2120" s="318"/>
      <c r="W2120" s="318"/>
      <c r="X2120" s="318"/>
      <c r="Y2120" s="318"/>
      <c r="Z2120" s="318"/>
      <c r="AA2120" s="318"/>
      <c r="AB2120" s="318"/>
      <c r="AC2120" s="318"/>
      <c r="AD2120" s="318"/>
    </row>
    <row r="2121" spans="2:30" s="323" customFormat="1" ht="12" customHeight="1">
      <c r="B2121" s="324"/>
      <c r="C2121" s="325"/>
      <c r="D2121" s="326"/>
      <c r="E2121" s="326"/>
      <c r="F2121" s="326"/>
      <c r="G2121" s="326"/>
      <c r="H2121" s="326"/>
      <c r="P2121" s="318"/>
      <c r="Q2121" s="318"/>
      <c r="R2121" s="318"/>
      <c r="S2121" s="318"/>
      <c r="T2121" s="318"/>
      <c r="U2121" s="318"/>
      <c r="V2121" s="318"/>
      <c r="W2121" s="318"/>
      <c r="X2121" s="318"/>
      <c r="Y2121" s="318"/>
      <c r="Z2121" s="318"/>
      <c r="AA2121" s="318"/>
      <c r="AB2121" s="318"/>
      <c r="AC2121" s="318"/>
      <c r="AD2121" s="318"/>
    </row>
    <row r="2122" spans="2:30" s="323" customFormat="1" ht="12" customHeight="1">
      <c r="B2122" s="324"/>
      <c r="C2122" s="325"/>
      <c r="D2122" s="326"/>
      <c r="E2122" s="326"/>
      <c r="F2122" s="326"/>
      <c r="G2122" s="326"/>
      <c r="H2122" s="326"/>
      <c r="P2122" s="318"/>
      <c r="Q2122" s="318"/>
      <c r="R2122" s="318"/>
      <c r="S2122" s="318"/>
      <c r="T2122" s="318"/>
      <c r="U2122" s="318"/>
      <c r="V2122" s="318"/>
      <c r="W2122" s="318"/>
      <c r="X2122" s="318"/>
      <c r="Y2122" s="318"/>
      <c r="Z2122" s="318"/>
      <c r="AA2122" s="318"/>
      <c r="AB2122" s="318"/>
      <c r="AC2122" s="318"/>
      <c r="AD2122" s="318"/>
    </row>
    <row r="2123" spans="2:30" s="323" customFormat="1" ht="12" customHeight="1">
      <c r="B2123" s="324"/>
      <c r="C2123" s="325"/>
      <c r="D2123" s="326"/>
      <c r="E2123" s="326"/>
      <c r="F2123" s="326"/>
      <c r="G2123" s="326"/>
      <c r="H2123" s="326"/>
      <c r="P2123" s="318"/>
      <c r="Q2123" s="318"/>
      <c r="R2123" s="318"/>
      <c r="S2123" s="318"/>
      <c r="T2123" s="318"/>
      <c r="U2123" s="318"/>
      <c r="V2123" s="318"/>
      <c r="W2123" s="318"/>
      <c r="X2123" s="318"/>
      <c r="Y2123" s="318"/>
      <c r="Z2123" s="318"/>
      <c r="AA2123" s="318"/>
      <c r="AB2123" s="318"/>
      <c r="AC2123" s="318"/>
      <c r="AD2123" s="318"/>
    </row>
    <row r="2124" spans="2:30" s="323" customFormat="1" ht="12" customHeight="1">
      <c r="B2124" s="324"/>
      <c r="C2124" s="325"/>
      <c r="D2124" s="326"/>
      <c r="E2124" s="326"/>
      <c r="F2124" s="326"/>
      <c r="G2124" s="326"/>
      <c r="H2124" s="326"/>
      <c r="P2124" s="318"/>
      <c r="Q2124" s="318"/>
      <c r="R2124" s="318"/>
      <c r="S2124" s="318"/>
      <c r="T2124" s="318"/>
      <c r="U2124" s="318"/>
      <c r="V2124" s="318"/>
      <c r="W2124" s="318"/>
      <c r="X2124" s="318"/>
      <c r="Y2124" s="318"/>
      <c r="Z2124" s="318"/>
      <c r="AA2124" s="318"/>
      <c r="AB2124" s="318"/>
      <c r="AC2124" s="318"/>
      <c r="AD2124" s="318"/>
    </row>
    <row r="2125" spans="2:30" s="323" customFormat="1" ht="12" customHeight="1">
      <c r="B2125" s="324"/>
      <c r="C2125" s="325"/>
      <c r="D2125" s="326"/>
      <c r="E2125" s="326"/>
      <c r="F2125" s="326"/>
      <c r="G2125" s="326"/>
      <c r="H2125" s="326"/>
      <c r="P2125" s="318"/>
      <c r="Q2125" s="318"/>
      <c r="R2125" s="318"/>
      <c r="S2125" s="318"/>
      <c r="T2125" s="318"/>
      <c r="U2125" s="318"/>
      <c r="V2125" s="318"/>
      <c r="W2125" s="318"/>
      <c r="X2125" s="318"/>
      <c r="Y2125" s="318"/>
      <c r="Z2125" s="318"/>
      <c r="AA2125" s="318"/>
      <c r="AB2125" s="318"/>
      <c r="AC2125" s="318"/>
      <c r="AD2125" s="318"/>
    </row>
    <row r="2126" spans="2:30" s="323" customFormat="1" ht="12" customHeight="1">
      <c r="B2126" s="324"/>
      <c r="C2126" s="325"/>
      <c r="D2126" s="326"/>
      <c r="E2126" s="326"/>
      <c r="F2126" s="326"/>
      <c r="G2126" s="326"/>
      <c r="H2126" s="326"/>
      <c r="P2126" s="318"/>
      <c r="Q2126" s="318"/>
      <c r="R2126" s="318"/>
      <c r="S2126" s="318"/>
      <c r="T2126" s="318"/>
      <c r="U2126" s="318"/>
      <c r="V2126" s="318"/>
      <c r="W2126" s="318"/>
      <c r="X2126" s="318"/>
      <c r="Y2126" s="318"/>
      <c r="Z2126" s="318"/>
      <c r="AA2126" s="318"/>
      <c r="AB2126" s="318"/>
      <c r="AC2126" s="318"/>
      <c r="AD2126" s="318"/>
    </row>
    <row r="2127" spans="2:30" s="323" customFormat="1" ht="12" customHeight="1">
      <c r="B2127" s="324"/>
      <c r="C2127" s="325"/>
      <c r="D2127" s="326"/>
      <c r="E2127" s="326"/>
      <c r="F2127" s="326"/>
      <c r="G2127" s="326"/>
      <c r="H2127" s="326"/>
      <c r="P2127" s="318"/>
      <c r="Q2127" s="318"/>
      <c r="R2127" s="318"/>
      <c r="S2127" s="318"/>
      <c r="T2127" s="318"/>
      <c r="U2127" s="318"/>
      <c r="V2127" s="318"/>
      <c r="W2127" s="318"/>
      <c r="X2127" s="318"/>
      <c r="Y2127" s="318"/>
      <c r="Z2127" s="318"/>
      <c r="AA2127" s="318"/>
      <c r="AB2127" s="318"/>
      <c r="AC2127" s="318"/>
      <c r="AD2127" s="318"/>
    </row>
    <row r="2128" spans="2:30" s="323" customFormat="1" ht="12" customHeight="1">
      <c r="B2128" s="324"/>
      <c r="C2128" s="325"/>
      <c r="D2128" s="326"/>
      <c r="E2128" s="326"/>
      <c r="F2128" s="326"/>
      <c r="G2128" s="326"/>
      <c r="H2128" s="326"/>
      <c r="P2128" s="318"/>
      <c r="Q2128" s="318"/>
      <c r="R2128" s="318"/>
      <c r="S2128" s="318"/>
      <c r="T2128" s="318"/>
      <c r="U2128" s="318"/>
      <c r="V2128" s="318"/>
      <c r="W2128" s="318"/>
      <c r="X2128" s="318"/>
      <c r="Y2128" s="318"/>
      <c r="Z2128" s="318"/>
      <c r="AA2128" s="318"/>
      <c r="AB2128" s="318"/>
      <c r="AC2128" s="318"/>
      <c r="AD2128" s="318"/>
    </row>
    <row r="2129" spans="2:30" s="323" customFormat="1" ht="12" customHeight="1">
      <c r="B2129" s="324"/>
      <c r="C2129" s="325"/>
      <c r="D2129" s="326"/>
      <c r="E2129" s="326"/>
      <c r="F2129" s="326"/>
      <c r="G2129" s="326"/>
      <c r="H2129" s="326"/>
      <c r="P2129" s="318"/>
      <c r="Q2129" s="318"/>
      <c r="R2129" s="318"/>
      <c r="S2129" s="318"/>
      <c r="T2129" s="318"/>
      <c r="U2129" s="318"/>
      <c r="V2129" s="318"/>
      <c r="W2129" s="318"/>
      <c r="X2129" s="318"/>
      <c r="Y2129" s="318"/>
      <c r="Z2129" s="318"/>
      <c r="AA2129" s="318"/>
      <c r="AB2129" s="318"/>
      <c r="AC2129" s="318"/>
      <c r="AD2129" s="318"/>
    </row>
    <row r="2130" spans="2:30" s="323" customFormat="1" ht="12" customHeight="1">
      <c r="B2130" s="324"/>
      <c r="C2130" s="325"/>
      <c r="D2130" s="326"/>
      <c r="E2130" s="326"/>
      <c r="F2130" s="326"/>
      <c r="G2130" s="326"/>
      <c r="H2130" s="326"/>
      <c r="P2130" s="318"/>
      <c r="Q2130" s="318"/>
      <c r="R2130" s="318"/>
      <c r="S2130" s="318"/>
      <c r="T2130" s="318"/>
      <c r="U2130" s="318"/>
      <c r="V2130" s="318"/>
      <c r="W2130" s="318"/>
      <c r="X2130" s="318"/>
      <c r="Y2130" s="318"/>
      <c r="Z2130" s="318"/>
      <c r="AA2130" s="318"/>
      <c r="AB2130" s="318"/>
      <c r="AC2130" s="318"/>
      <c r="AD2130" s="318"/>
    </row>
    <row r="2131" spans="2:30" s="323" customFormat="1" ht="12" customHeight="1">
      <c r="B2131" s="324"/>
      <c r="C2131" s="325"/>
      <c r="D2131" s="326"/>
      <c r="E2131" s="326"/>
      <c r="F2131" s="326"/>
      <c r="G2131" s="326"/>
      <c r="H2131" s="326"/>
      <c r="P2131" s="318"/>
      <c r="Q2131" s="318"/>
      <c r="R2131" s="318"/>
      <c r="S2131" s="318"/>
      <c r="T2131" s="318"/>
      <c r="U2131" s="318"/>
      <c r="V2131" s="318"/>
      <c r="W2131" s="318"/>
      <c r="X2131" s="318"/>
      <c r="Y2131" s="318"/>
      <c r="Z2131" s="318"/>
      <c r="AA2131" s="318"/>
      <c r="AB2131" s="318"/>
      <c r="AC2131" s="318"/>
      <c r="AD2131" s="318"/>
    </row>
    <row r="2132" spans="2:30" s="323" customFormat="1" ht="12" customHeight="1">
      <c r="B2132" s="324"/>
      <c r="C2132" s="325"/>
      <c r="D2132" s="326"/>
      <c r="E2132" s="326"/>
      <c r="F2132" s="326"/>
      <c r="G2132" s="326"/>
      <c r="H2132" s="326"/>
      <c r="P2132" s="318"/>
      <c r="Q2132" s="318"/>
      <c r="R2132" s="318"/>
      <c r="S2132" s="318"/>
      <c r="T2132" s="318"/>
      <c r="U2132" s="318"/>
      <c r="V2132" s="318"/>
      <c r="W2132" s="318"/>
      <c r="X2132" s="318"/>
      <c r="Y2132" s="318"/>
      <c r="Z2132" s="318"/>
      <c r="AA2132" s="318"/>
      <c r="AB2132" s="318"/>
      <c r="AC2132" s="318"/>
      <c r="AD2132" s="318"/>
    </row>
    <row r="2133" spans="2:30" s="323" customFormat="1" ht="12" customHeight="1">
      <c r="B2133" s="324"/>
      <c r="C2133" s="325"/>
      <c r="D2133" s="326"/>
      <c r="E2133" s="326"/>
      <c r="F2133" s="326"/>
      <c r="G2133" s="326"/>
      <c r="H2133" s="326"/>
      <c r="P2133" s="318"/>
      <c r="Q2133" s="318"/>
      <c r="R2133" s="318"/>
      <c r="S2133" s="318"/>
      <c r="T2133" s="318"/>
      <c r="U2133" s="318"/>
      <c r="V2133" s="318"/>
      <c r="W2133" s="318"/>
      <c r="X2133" s="318"/>
      <c r="Y2133" s="318"/>
      <c r="Z2133" s="318"/>
      <c r="AA2133" s="318"/>
      <c r="AB2133" s="318"/>
      <c r="AC2133" s="318"/>
      <c r="AD2133" s="318"/>
    </row>
    <row r="2134" spans="2:30" s="323" customFormat="1" ht="12" customHeight="1">
      <c r="B2134" s="324"/>
      <c r="C2134" s="325"/>
      <c r="D2134" s="326"/>
      <c r="E2134" s="326"/>
      <c r="F2134" s="326"/>
      <c r="G2134" s="326"/>
      <c r="H2134" s="326"/>
      <c r="P2134" s="318"/>
      <c r="Q2134" s="318"/>
      <c r="R2134" s="318"/>
      <c r="S2134" s="318"/>
      <c r="T2134" s="318"/>
      <c r="U2134" s="318"/>
      <c r="V2134" s="318"/>
      <c r="W2134" s="318"/>
      <c r="X2134" s="318"/>
      <c r="Y2134" s="318"/>
      <c r="Z2134" s="318"/>
      <c r="AA2134" s="318"/>
      <c r="AB2134" s="318"/>
      <c r="AC2134" s="318"/>
      <c r="AD2134" s="318"/>
    </row>
    <row r="2135" spans="2:30" s="323" customFormat="1" ht="12" customHeight="1">
      <c r="B2135" s="324"/>
      <c r="C2135" s="325"/>
      <c r="D2135" s="326"/>
      <c r="E2135" s="326"/>
      <c r="F2135" s="326"/>
      <c r="G2135" s="326"/>
      <c r="H2135" s="326"/>
      <c r="P2135" s="318"/>
      <c r="Q2135" s="318"/>
      <c r="R2135" s="318"/>
      <c r="S2135" s="318"/>
      <c r="T2135" s="318"/>
      <c r="U2135" s="318"/>
      <c r="V2135" s="318"/>
      <c r="W2135" s="318"/>
      <c r="X2135" s="318"/>
      <c r="Y2135" s="318"/>
      <c r="Z2135" s="318"/>
      <c r="AA2135" s="318"/>
      <c r="AB2135" s="318"/>
      <c r="AC2135" s="318"/>
      <c r="AD2135" s="318"/>
    </row>
    <row r="2136" spans="2:30" s="323" customFormat="1" ht="12" customHeight="1">
      <c r="B2136" s="324"/>
      <c r="C2136" s="325"/>
      <c r="D2136" s="326"/>
      <c r="E2136" s="326"/>
      <c r="F2136" s="326"/>
      <c r="G2136" s="326"/>
      <c r="H2136" s="326"/>
      <c r="P2136" s="318"/>
      <c r="Q2136" s="318"/>
      <c r="R2136" s="318"/>
      <c r="S2136" s="318"/>
      <c r="T2136" s="318"/>
      <c r="U2136" s="318"/>
      <c r="V2136" s="318"/>
      <c r="W2136" s="318"/>
      <c r="X2136" s="318"/>
      <c r="Y2136" s="318"/>
      <c r="Z2136" s="318"/>
      <c r="AA2136" s="318"/>
      <c r="AB2136" s="318"/>
      <c r="AC2136" s="318"/>
      <c r="AD2136" s="318"/>
    </row>
    <row r="2137" spans="2:30" s="323" customFormat="1" ht="12" customHeight="1">
      <c r="B2137" s="324"/>
      <c r="C2137" s="325"/>
      <c r="D2137" s="326"/>
      <c r="E2137" s="326"/>
      <c r="F2137" s="326"/>
      <c r="G2137" s="326"/>
      <c r="H2137" s="326"/>
      <c r="P2137" s="318"/>
      <c r="Q2137" s="318"/>
      <c r="R2137" s="318"/>
      <c r="S2137" s="318"/>
      <c r="T2137" s="318"/>
      <c r="U2137" s="318"/>
      <c r="V2137" s="318"/>
      <c r="W2137" s="318"/>
      <c r="X2137" s="318"/>
      <c r="Y2137" s="318"/>
      <c r="Z2137" s="318"/>
      <c r="AA2137" s="318"/>
      <c r="AB2137" s="318"/>
      <c r="AC2137" s="318"/>
      <c r="AD2137" s="318"/>
    </row>
    <row r="2138" spans="2:30" s="323" customFormat="1" ht="12" customHeight="1">
      <c r="B2138" s="324"/>
      <c r="C2138" s="325"/>
      <c r="D2138" s="326"/>
      <c r="E2138" s="326"/>
      <c r="F2138" s="326"/>
      <c r="G2138" s="326"/>
      <c r="H2138" s="326"/>
      <c r="P2138" s="318"/>
      <c r="Q2138" s="318"/>
      <c r="R2138" s="318"/>
      <c r="S2138" s="318"/>
      <c r="T2138" s="318"/>
      <c r="U2138" s="318"/>
      <c r="V2138" s="318"/>
      <c r="W2138" s="318"/>
      <c r="X2138" s="318"/>
      <c r="Y2138" s="318"/>
      <c r="Z2138" s="318"/>
      <c r="AA2138" s="318"/>
      <c r="AB2138" s="318"/>
      <c r="AC2138" s="318"/>
      <c r="AD2138" s="318"/>
    </row>
    <row r="2139" spans="2:30" s="323" customFormat="1" ht="12" customHeight="1">
      <c r="B2139" s="324"/>
      <c r="C2139" s="325"/>
      <c r="D2139" s="326"/>
      <c r="E2139" s="326"/>
      <c r="F2139" s="326"/>
      <c r="G2139" s="326"/>
      <c r="H2139" s="326"/>
      <c r="P2139" s="318"/>
      <c r="Q2139" s="318"/>
      <c r="R2139" s="318"/>
      <c r="S2139" s="318"/>
      <c r="T2139" s="318"/>
      <c r="U2139" s="318"/>
      <c r="V2139" s="318"/>
      <c r="W2139" s="318"/>
      <c r="X2139" s="318"/>
      <c r="Y2139" s="318"/>
      <c r="Z2139" s="318"/>
      <c r="AA2139" s="318"/>
      <c r="AB2139" s="318"/>
      <c r="AC2139" s="318"/>
      <c r="AD2139" s="318"/>
    </row>
    <row r="2140" spans="2:30" s="323" customFormat="1" ht="12" customHeight="1">
      <c r="B2140" s="324"/>
      <c r="C2140" s="325"/>
      <c r="D2140" s="326"/>
      <c r="E2140" s="326"/>
      <c r="F2140" s="326"/>
      <c r="G2140" s="326"/>
      <c r="H2140" s="326"/>
      <c r="P2140" s="318"/>
      <c r="Q2140" s="318"/>
      <c r="R2140" s="318"/>
      <c r="S2140" s="318"/>
      <c r="T2140" s="318"/>
      <c r="U2140" s="318"/>
      <c r="V2140" s="318"/>
      <c r="W2140" s="318"/>
      <c r="X2140" s="318"/>
      <c r="Y2140" s="318"/>
      <c r="Z2140" s="318"/>
      <c r="AA2140" s="318"/>
      <c r="AB2140" s="318"/>
      <c r="AC2140" s="318"/>
      <c r="AD2140" s="318"/>
    </row>
    <row r="2141" spans="2:30" s="323" customFormat="1" ht="12" customHeight="1">
      <c r="B2141" s="324"/>
      <c r="C2141" s="325"/>
      <c r="D2141" s="326"/>
      <c r="E2141" s="326"/>
      <c r="F2141" s="326"/>
      <c r="G2141" s="326"/>
      <c r="H2141" s="326"/>
      <c r="P2141" s="318"/>
      <c r="Q2141" s="318"/>
      <c r="R2141" s="318"/>
      <c r="S2141" s="318"/>
      <c r="T2141" s="318"/>
      <c r="U2141" s="318"/>
      <c r="V2141" s="318"/>
      <c r="W2141" s="318"/>
      <c r="X2141" s="318"/>
      <c r="Y2141" s="318"/>
      <c r="Z2141" s="318"/>
      <c r="AA2141" s="318"/>
      <c r="AB2141" s="318"/>
      <c r="AC2141" s="318"/>
      <c r="AD2141" s="318"/>
    </row>
    <row r="2142" spans="2:30" s="323" customFormat="1" ht="12" customHeight="1">
      <c r="B2142" s="324"/>
      <c r="C2142" s="325"/>
      <c r="D2142" s="326"/>
      <c r="E2142" s="326"/>
      <c r="F2142" s="326"/>
      <c r="G2142" s="326"/>
      <c r="H2142" s="326"/>
      <c r="P2142" s="318"/>
      <c r="Q2142" s="318"/>
      <c r="R2142" s="318"/>
      <c r="S2142" s="318"/>
      <c r="T2142" s="318"/>
      <c r="U2142" s="318"/>
      <c r="V2142" s="318"/>
      <c r="W2142" s="318"/>
      <c r="X2142" s="318"/>
      <c r="Y2142" s="318"/>
      <c r="Z2142" s="318"/>
      <c r="AA2142" s="318"/>
      <c r="AB2142" s="318"/>
      <c r="AC2142" s="318"/>
      <c r="AD2142" s="318"/>
    </row>
    <row r="2143" spans="2:30" s="323" customFormat="1" ht="12" customHeight="1">
      <c r="B2143" s="324"/>
      <c r="C2143" s="325"/>
      <c r="D2143" s="326"/>
      <c r="E2143" s="326"/>
      <c r="F2143" s="326"/>
      <c r="G2143" s="326"/>
      <c r="H2143" s="326"/>
      <c r="P2143" s="318"/>
      <c r="Q2143" s="318"/>
      <c r="R2143" s="318"/>
      <c r="S2143" s="318"/>
      <c r="T2143" s="318"/>
      <c r="U2143" s="318"/>
      <c r="V2143" s="318"/>
      <c r="W2143" s="318"/>
      <c r="X2143" s="318"/>
      <c r="Y2143" s="318"/>
      <c r="Z2143" s="318"/>
      <c r="AA2143" s="318"/>
      <c r="AB2143" s="318"/>
      <c r="AC2143" s="318"/>
      <c r="AD2143" s="318"/>
    </row>
    <row r="2144" spans="2:30" s="323" customFormat="1" ht="12" customHeight="1">
      <c r="B2144" s="324"/>
      <c r="C2144" s="325"/>
      <c r="D2144" s="326"/>
      <c r="E2144" s="326"/>
      <c r="F2144" s="326"/>
      <c r="G2144" s="326"/>
      <c r="H2144" s="326"/>
      <c r="P2144" s="318"/>
      <c r="Q2144" s="318"/>
      <c r="R2144" s="318"/>
      <c r="S2144" s="318"/>
      <c r="T2144" s="318"/>
      <c r="U2144" s="318"/>
      <c r="V2144" s="318"/>
      <c r="W2144" s="318"/>
      <c r="X2144" s="318"/>
      <c r="Y2144" s="318"/>
      <c r="Z2144" s="318"/>
      <c r="AA2144" s="318"/>
      <c r="AB2144" s="318"/>
      <c r="AC2144" s="318"/>
      <c r="AD2144" s="318"/>
    </row>
    <row r="2145" spans="2:30" s="323" customFormat="1" ht="12" customHeight="1">
      <c r="B2145" s="324"/>
      <c r="C2145" s="325"/>
      <c r="D2145" s="326"/>
      <c r="E2145" s="326"/>
      <c r="F2145" s="326"/>
      <c r="G2145" s="326"/>
      <c r="H2145" s="326"/>
      <c r="P2145" s="318"/>
      <c r="Q2145" s="318"/>
      <c r="R2145" s="318"/>
      <c r="S2145" s="318"/>
      <c r="T2145" s="318"/>
      <c r="U2145" s="318"/>
      <c r="V2145" s="318"/>
      <c r="W2145" s="318"/>
      <c r="X2145" s="318"/>
      <c r="Y2145" s="318"/>
      <c r="Z2145" s="318"/>
      <c r="AA2145" s="318"/>
      <c r="AB2145" s="318"/>
      <c r="AC2145" s="318"/>
      <c r="AD2145" s="318"/>
    </row>
    <row r="2146" spans="2:30" s="323" customFormat="1" ht="12" customHeight="1">
      <c r="B2146" s="324"/>
      <c r="C2146" s="325"/>
      <c r="D2146" s="326"/>
      <c r="E2146" s="326"/>
      <c r="F2146" s="326"/>
      <c r="G2146" s="326"/>
      <c r="H2146" s="326"/>
      <c r="P2146" s="318"/>
      <c r="Q2146" s="318"/>
      <c r="R2146" s="318"/>
      <c r="S2146" s="318"/>
      <c r="T2146" s="318"/>
      <c r="U2146" s="318"/>
      <c r="V2146" s="318"/>
      <c r="W2146" s="318"/>
      <c r="X2146" s="318"/>
      <c r="Y2146" s="318"/>
      <c r="Z2146" s="318"/>
      <c r="AA2146" s="318"/>
      <c r="AB2146" s="318"/>
      <c r="AC2146" s="318"/>
      <c r="AD2146" s="318"/>
    </row>
    <row r="2147" spans="2:30" s="323" customFormat="1" ht="12" customHeight="1">
      <c r="B2147" s="324"/>
      <c r="C2147" s="325"/>
      <c r="D2147" s="326"/>
      <c r="E2147" s="326"/>
      <c r="F2147" s="326"/>
      <c r="G2147" s="326"/>
      <c r="H2147" s="326"/>
      <c r="P2147" s="318"/>
      <c r="Q2147" s="318"/>
      <c r="R2147" s="318"/>
      <c r="S2147" s="318"/>
      <c r="T2147" s="318"/>
      <c r="U2147" s="318"/>
      <c r="V2147" s="318"/>
      <c r="W2147" s="318"/>
      <c r="X2147" s="318"/>
      <c r="Y2147" s="318"/>
      <c r="Z2147" s="318"/>
      <c r="AA2147" s="318"/>
      <c r="AB2147" s="318"/>
      <c r="AC2147" s="318"/>
      <c r="AD2147" s="318"/>
    </row>
    <row r="2148" spans="2:30" s="323" customFormat="1" ht="12" customHeight="1">
      <c r="B2148" s="324"/>
      <c r="C2148" s="325"/>
      <c r="D2148" s="326"/>
      <c r="E2148" s="326"/>
      <c r="F2148" s="326"/>
      <c r="G2148" s="326"/>
      <c r="H2148" s="326"/>
      <c r="P2148" s="318"/>
      <c r="Q2148" s="318"/>
      <c r="R2148" s="318"/>
      <c r="S2148" s="318"/>
      <c r="T2148" s="318"/>
      <c r="U2148" s="318"/>
      <c r="V2148" s="318"/>
      <c r="W2148" s="318"/>
      <c r="X2148" s="318"/>
      <c r="Y2148" s="318"/>
      <c r="Z2148" s="318"/>
      <c r="AA2148" s="318"/>
      <c r="AB2148" s="318"/>
      <c r="AC2148" s="318"/>
      <c r="AD2148" s="318"/>
    </row>
    <row r="2149" spans="2:30" s="323" customFormat="1" ht="12" customHeight="1">
      <c r="B2149" s="324"/>
      <c r="C2149" s="325"/>
      <c r="D2149" s="326"/>
      <c r="E2149" s="326"/>
      <c r="F2149" s="326"/>
      <c r="G2149" s="326"/>
      <c r="H2149" s="326"/>
      <c r="P2149" s="318"/>
      <c r="Q2149" s="318"/>
      <c r="R2149" s="318"/>
      <c r="S2149" s="318"/>
      <c r="T2149" s="318"/>
      <c r="U2149" s="318"/>
      <c r="V2149" s="318"/>
      <c r="W2149" s="318"/>
      <c r="X2149" s="318"/>
      <c r="Y2149" s="318"/>
      <c r="Z2149" s="318"/>
      <c r="AA2149" s="318"/>
      <c r="AB2149" s="318"/>
      <c r="AC2149" s="318"/>
      <c r="AD2149" s="318"/>
    </row>
    <row r="2150" spans="2:30" s="323" customFormat="1" ht="12" customHeight="1">
      <c r="B2150" s="324"/>
      <c r="C2150" s="325"/>
      <c r="D2150" s="326"/>
      <c r="E2150" s="326"/>
      <c r="F2150" s="326"/>
      <c r="G2150" s="326"/>
      <c r="H2150" s="326"/>
      <c r="P2150" s="318"/>
      <c r="Q2150" s="318"/>
      <c r="R2150" s="318"/>
      <c r="S2150" s="318"/>
      <c r="T2150" s="318"/>
      <c r="U2150" s="318"/>
      <c r="V2150" s="318"/>
      <c r="W2150" s="318"/>
      <c r="X2150" s="318"/>
      <c r="Y2150" s="318"/>
      <c r="Z2150" s="318"/>
      <c r="AA2150" s="318"/>
      <c r="AB2150" s="318"/>
      <c r="AC2150" s="318"/>
      <c r="AD2150" s="318"/>
    </row>
    <row r="2151" spans="2:30" s="323" customFormat="1" ht="12" customHeight="1">
      <c r="B2151" s="324"/>
      <c r="C2151" s="325"/>
      <c r="D2151" s="326"/>
      <c r="E2151" s="326"/>
      <c r="F2151" s="326"/>
      <c r="G2151" s="326"/>
      <c r="H2151" s="326"/>
      <c r="P2151" s="318"/>
      <c r="Q2151" s="318"/>
      <c r="R2151" s="318"/>
      <c r="S2151" s="318"/>
      <c r="T2151" s="318"/>
      <c r="U2151" s="318"/>
      <c r="V2151" s="318"/>
      <c r="W2151" s="318"/>
      <c r="X2151" s="318"/>
      <c r="Y2151" s="318"/>
      <c r="Z2151" s="318"/>
      <c r="AA2151" s="318"/>
      <c r="AB2151" s="318"/>
      <c r="AC2151" s="318"/>
      <c r="AD2151" s="318"/>
    </row>
    <row r="2152" spans="2:30" s="323" customFormat="1" ht="12" customHeight="1">
      <c r="B2152" s="324"/>
      <c r="C2152" s="325"/>
      <c r="D2152" s="326"/>
      <c r="E2152" s="326"/>
      <c r="F2152" s="326"/>
      <c r="G2152" s="326"/>
      <c r="H2152" s="326"/>
      <c r="P2152" s="318"/>
      <c r="Q2152" s="318"/>
      <c r="R2152" s="318"/>
      <c r="S2152" s="318"/>
      <c r="T2152" s="318"/>
      <c r="U2152" s="318"/>
      <c r="V2152" s="318"/>
      <c r="W2152" s="318"/>
      <c r="X2152" s="318"/>
      <c r="Y2152" s="318"/>
      <c r="Z2152" s="318"/>
      <c r="AA2152" s="318"/>
      <c r="AB2152" s="318"/>
      <c r="AC2152" s="318"/>
      <c r="AD2152" s="318"/>
    </row>
    <row r="2153" spans="2:30" s="323" customFormat="1" ht="12" customHeight="1">
      <c r="B2153" s="324"/>
      <c r="C2153" s="325"/>
      <c r="D2153" s="326"/>
      <c r="E2153" s="326"/>
      <c r="F2153" s="326"/>
      <c r="G2153" s="326"/>
      <c r="H2153" s="326"/>
      <c r="P2153" s="318"/>
      <c r="Q2153" s="318"/>
      <c r="R2153" s="318"/>
      <c r="S2153" s="318"/>
      <c r="T2153" s="318"/>
      <c r="U2153" s="318"/>
      <c r="V2153" s="318"/>
      <c r="W2153" s="318"/>
      <c r="X2153" s="318"/>
      <c r="Y2153" s="318"/>
      <c r="Z2153" s="318"/>
      <c r="AA2153" s="318"/>
      <c r="AB2153" s="318"/>
      <c r="AC2153" s="318"/>
      <c r="AD2153" s="318"/>
    </row>
    <row r="2154" spans="2:30" s="323" customFormat="1" ht="12" customHeight="1">
      <c r="B2154" s="324"/>
      <c r="C2154" s="325"/>
      <c r="D2154" s="326"/>
      <c r="E2154" s="326"/>
      <c r="F2154" s="326"/>
      <c r="G2154" s="326"/>
      <c r="H2154" s="326"/>
      <c r="P2154" s="318"/>
      <c r="Q2154" s="318"/>
      <c r="R2154" s="318"/>
      <c r="S2154" s="318"/>
      <c r="T2154" s="318"/>
      <c r="U2154" s="318"/>
      <c r="V2154" s="318"/>
      <c r="W2154" s="318"/>
      <c r="X2154" s="318"/>
      <c r="Y2154" s="318"/>
      <c r="Z2154" s="318"/>
      <c r="AA2154" s="318"/>
      <c r="AB2154" s="318"/>
      <c r="AC2154" s="318"/>
      <c r="AD2154" s="318"/>
    </row>
    <row r="2155" spans="2:30" s="323" customFormat="1" ht="12" customHeight="1">
      <c r="B2155" s="324"/>
      <c r="C2155" s="325"/>
      <c r="D2155" s="326"/>
      <c r="E2155" s="326"/>
      <c r="F2155" s="326"/>
      <c r="G2155" s="326"/>
      <c r="H2155" s="326"/>
      <c r="P2155" s="318"/>
      <c r="Q2155" s="318"/>
      <c r="R2155" s="318"/>
      <c r="S2155" s="318"/>
      <c r="T2155" s="318"/>
      <c r="U2155" s="318"/>
      <c r="V2155" s="318"/>
      <c r="W2155" s="318"/>
      <c r="X2155" s="318"/>
      <c r="Y2155" s="318"/>
      <c r="Z2155" s="318"/>
      <c r="AA2155" s="318"/>
      <c r="AB2155" s="318"/>
      <c r="AC2155" s="318"/>
      <c r="AD2155" s="318"/>
    </row>
    <row r="2156" spans="2:30" s="323" customFormat="1" ht="12" customHeight="1">
      <c r="B2156" s="324"/>
      <c r="C2156" s="325"/>
      <c r="D2156" s="326"/>
      <c r="E2156" s="326"/>
      <c r="F2156" s="326"/>
      <c r="G2156" s="326"/>
      <c r="H2156" s="326"/>
      <c r="P2156" s="318"/>
      <c r="Q2156" s="318"/>
      <c r="R2156" s="318"/>
      <c r="S2156" s="318"/>
      <c r="T2156" s="318"/>
      <c r="U2156" s="318"/>
      <c r="V2156" s="318"/>
      <c r="W2156" s="318"/>
      <c r="X2156" s="318"/>
      <c r="Y2156" s="318"/>
      <c r="Z2156" s="318"/>
      <c r="AA2156" s="318"/>
      <c r="AB2156" s="318"/>
      <c r="AC2156" s="318"/>
      <c r="AD2156" s="318"/>
    </row>
    <row r="2157" spans="2:30" s="323" customFormat="1" ht="12" customHeight="1">
      <c r="B2157" s="324"/>
      <c r="C2157" s="325"/>
      <c r="D2157" s="326"/>
      <c r="E2157" s="326"/>
      <c r="F2157" s="326"/>
      <c r="G2157" s="326"/>
      <c r="H2157" s="326"/>
      <c r="P2157" s="318"/>
      <c r="Q2157" s="318"/>
      <c r="R2157" s="318"/>
      <c r="S2157" s="318"/>
      <c r="T2157" s="318"/>
      <c r="U2157" s="318"/>
      <c r="V2157" s="318"/>
      <c r="W2157" s="318"/>
      <c r="X2157" s="318"/>
      <c r="Y2157" s="318"/>
      <c r="Z2157" s="318"/>
      <c r="AA2157" s="318"/>
      <c r="AB2157" s="318"/>
      <c r="AC2157" s="318"/>
      <c r="AD2157" s="318"/>
    </row>
    <row r="2158" spans="2:30" s="323" customFormat="1" ht="12" customHeight="1">
      <c r="B2158" s="324"/>
      <c r="C2158" s="325"/>
      <c r="D2158" s="326"/>
      <c r="E2158" s="326"/>
      <c r="F2158" s="326"/>
      <c r="G2158" s="326"/>
      <c r="H2158" s="326"/>
      <c r="P2158" s="318"/>
      <c r="Q2158" s="318"/>
      <c r="R2158" s="318"/>
      <c r="S2158" s="318"/>
      <c r="T2158" s="318"/>
      <c r="U2158" s="318"/>
      <c r="V2158" s="318"/>
      <c r="W2158" s="318"/>
      <c r="X2158" s="318"/>
      <c r="Y2158" s="318"/>
      <c r="Z2158" s="318"/>
      <c r="AA2158" s="318"/>
      <c r="AB2158" s="318"/>
      <c r="AC2158" s="318"/>
      <c r="AD2158" s="318"/>
    </row>
    <row r="2159" spans="2:30" s="323" customFormat="1" ht="12" customHeight="1">
      <c r="B2159" s="324"/>
      <c r="C2159" s="325"/>
      <c r="D2159" s="326"/>
      <c r="E2159" s="326"/>
      <c r="F2159" s="326"/>
      <c r="G2159" s="326"/>
      <c r="H2159" s="326"/>
      <c r="P2159" s="318"/>
      <c r="Q2159" s="318"/>
      <c r="R2159" s="318"/>
      <c r="S2159" s="318"/>
      <c r="T2159" s="318"/>
      <c r="U2159" s="318"/>
      <c r="V2159" s="318"/>
      <c r="W2159" s="318"/>
      <c r="X2159" s="318"/>
      <c r="Y2159" s="318"/>
      <c r="Z2159" s="318"/>
      <c r="AA2159" s="318"/>
      <c r="AB2159" s="318"/>
      <c r="AC2159" s="318"/>
      <c r="AD2159" s="318"/>
    </row>
    <row r="2160" spans="2:30" s="323" customFormat="1" ht="12" customHeight="1">
      <c r="B2160" s="324"/>
      <c r="C2160" s="325"/>
      <c r="D2160" s="326"/>
      <c r="E2160" s="326"/>
      <c r="F2160" s="326"/>
      <c r="G2160" s="326"/>
      <c r="H2160" s="326"/>
      <c r="P2160" s="318"/>
      <c r="Q2160" s="318"/>
      <c r="R2160" s="318"/>
      <c r="S2160" s="318"/>
      <c r="T2160" s="318"/>
      <c r="U2160" s="318"/>
      <c r="V2160" s="318"/>
      <c r="W2160" s="318"/>
      <c r="X2160" s="318"/>
      <c r="Y2160" s="318"/>
      <c r="Z2160" s="318"/>
      <c r="AA2160" s="318"/>
      <c r="AB2160" s="318"/>
      <c r="AC2160" s="318"/>
      <c r="AD2160" s="318"/>
    </row>
    <row r="2161" spans="2:30" s="323" customFormat="1" ht="12" customHeight="1">
      <c r="B2161" s="324"/>
      <c r="C2161" s="325"/>
      <c r="D2161" s="326"/>
      <c r="E2161" s="326"/>
      <c r="F2161" s="326"/>
      <c r="G2161" s="326"/>
      <c r="H2161" s="326"/>
      <c r="P2161" s="318"/>
      <c r="Q2161" s="318"/>
      <c r="R2161" s="318"/>
      <c r="S2161" s="318"/>
      <c r="T2161" s="318"/>
      <c r="U2161" s="318"/>
      <c r="V2161" s="318"/>
      <c r="W2161" s="318"/>
      <c r="X2161" s="318"/>
      <c r="Y2161" s="318"/>
      <c r="Z2161" s="318"/>
      <c r="AA2161" s="318"/>
      <c r="AB2161" s="318"/>
      <c r="AC2161" s="318"/>
      <c r="AD2161" s="318"/>
    </row>
    <row r="2162" spans="2:30" s="323" customFormat="1" ht="12" customHeight="1">
      <c r="B2162" s="324"/>
      <c r="C2162" s="325"/>
      <c r="D2162" s="326"/>
      <c r="E2162" s="326"/>
      <c r="F2162" s="326"/>
      <c r="G2162" s="326"/>
      <c r="H2162" s="326"/>
      <c r="P2162" s="318"/>
      <c r="Q2162" s="318"/>
      <c r="R2162" s="318"/>
      <c r="S2162" s="318"/>
      <c r="T2162" s="318"/>
      <c r="U2162" s="318"/>
      <c r="V2162" s="318"/>
      <c r="W2162" s="318"/>
      <c r="X2162" s="318"/>
      <c r="Y2162" s="318"/>
      <c r="Z2162" s="318"/>
      <c r="AA2162" s="318"/>
      <c r="AB2162" s="318"/>
      <c r="AC2162" s="318"/>
      <c r="AD2162" s="318"/>
    </row>
    <row r="2163" spans="2:30" s="323" customFormat="1" ht="12" customHeight="1">
      <c r="B2163" s="324"/>
      <c r="C2163" s="325"/>
      <c r="D2163" s="326"/>
      <c r="E2163" s="326"/>
      <c r="F2163" s="326"/>
      <c r="G2163" s="326"/>
      <c r="H2163" s="326"/>
      <c r="P2163" s="318"/>
      <c r="Q2163" s="318"/>
      <c r="R2163" s="318"/>
      <c r="S2163" s="318"/>
      <c r="T2163" s="318"/>
      <c r="U2163" s="318"/>
      <c r="V2163" s="318"/>
      <c r="W2163" s="318"/>
      <c r="X2163" s="318"/>
      <c r="Y2163" s="318"/>
      <c r="Z2163" s="318"/>
      <c r="AA2163" s="318"/>
      <c r="AB2163" s="318"/>
      <c r="AC2163" s="318"/>
      <c r="AD2163" s="318"/>
    </row>
    <row r="2164" spans="2:30" s="323" customFormat="1" ht="12" customHeight="1">
      <c r="B2164" s="324"/>
      <c r="C2164" s="325"/>
      <c r="D2164" s="326"/>
      <c r="E2164" s="326"/>
      <c r="F2164" s="326"/>
      <c r="G2164" s="326"/>
      <c r="H2164" s="326"/>
      <c r="P2164" s="318"/>
      <c r="Q2164" s="318"/>
      <c r="R2164" s="318"/>
      <c r="S2164" s="318"/>
      <c r="T2164" s="318"/>
      <c r="U2164" s="318"/>
      <c r="V2164" s="318"/>
      <c r="W2164" s="318"/>
      <c r="X2164" s="318"/>
      <c r="Y2164" s="318"/>
      <c r="Z2164" s="318"/>
      <c r="AA2164" s="318"/>
      <c r="AB2164" s="318"/>
      <c r="AC2164" s="318"/>
      <c r="AD2164" s="318"/>
    </row>
    <row r="2165" spans="2:30" s="323" customFormat="1" ht="12" customHeight="1">
      <c r="B2165" s="324"/>
      <c r="C2165" s="325"/>
      <c r="D2165" s="326"/>
      <c r="E2165" s="326"/>
      <c r="F2165" s="326"/>
      <c r="G2165" s="326"/>
      <c r="H2165" s="326"/>
      <c r="P2165" s="318"/>
      <c r="Q2165" s="318"/>
      <c r="R2165" s="318"/>
      <c r="S2165" s="318"/>
      <c r="T2165" s="318"/>
      <c r="U2165" s="318"/>
      <c r="V2165" s="318"/>
      <c r="W2165" s="318"/>
      <c r="X2165" s="318"/>
      <c r="Y2165" s="318"/>
      <c r="Z2165" s="318"/>
      <c r="AA2165" s="318"/>
      <c r="AB2165" s="318"/>
      <c r="AC2165" s="318"/>
      <c r="AD2165" s="318"/>
    </row>
    <row r="2166" spans="2:30" s="323" customFormat="1" ht="12" customHeight="1">
      <c r="B2166" s="324"/>
      <c r="C2166" s="325"/>
      <c r="D2166" s="326"/>
      <c r="E2166" s="326"/>
      <c r="F2166" s="326"/>
      <c r="G2166" s="326"/>
      <c r="H2166" s="326"/>
      <c r="P2166" s="318"/>
      <c r="Q2166" s="318"/>
      <c r="R2166" s="318"/>
      <c r="S2166" s="318"/>
      <c r="T2166" s="318"/>
      <c r="U2166" s="318"/>
      <c r="V2166" s="318"/>
      <c r="W2166" s="318"/>
      <c r="X2166" s="318"/>
      <c r="Y2166" s="318"/>
      <c r="Z2166" s="318"/>
      <c r="AA2166" s="318"/>
      <c r="AB2166" s="318"/>
      <c r="AC2166" s="318"/>
      <c r="AD2166" s="318"/>
    </row>
    <row r="2167" spans="2:30" s="323" customFormat="1" ht="12" customHeight="1">
      <c r="B2167" s="324"/>
      <c r="C2167" s="325"/>
      <c r="D2167" s="326"/>
      <c r="E2167" s="326"/>
      <c r="F2167" s="326"/>
      <c r="G2167" s="326"/>
      <c r="H2167" s="326"/>
      <c r="P2167" s="318"/>
      <c r="Q2167" s="318"/>
      <c r="R2167" s="318"/>
      <c r="S2167" s="318"/>
      <c r="T2167" s="318"/>
      <c r="U2167" s="318"/>
      <c r="V2167" s="318"/>
      <c r="W2167" s="318"/>
      <c r="X2167" s="318"/>
      <c r="Y2167" s="318"/>
      <c r="Z2167" s="318"/>
      <c r="AA2167" s="318"/>
      <c r="AB2167" s="318"/>
      <c r="AC2167" s="318"/>
      <c r="AD2167" s="318"/>
    </row>
    <row r="2168" spans="2:30" s="323" customFormat="1" ht="12" customHeight="1">
      <c r="B2168" s="324"/>
      <c r="C2168" s="325"/>
      <c r="D2168" s="326"/>
      <c r="E2168" s="326"/>
      <c r="F2168" s="326"/>
      <c r="G2168" s="326"/>
      <c r="H2168" s="326"/>
      <c r="P2168" s="318"/>
      <c r="Q2168" s="318"/>
      <c r="R2168" s="318"/>
      <c r="S2168" s="318"/>
      <c r="T2168" s="318"/>
      <c r="U2168" s="318"/>
      <c r="V2168" s="318"/>
      <c r="W2168" s="318"/>
      <c r="X2168" s="318"/>
      <c r="Y2168" s="318"/>
      <c r="Z2168" s="318"/>
      <c r="AA2168" s="318"/>
      <c r="AB2168" s="318"/>
      <c r="AC2168" s="318"/>
      <c r="AD2168" s="318"/>
    </row>
    <row r="2169" spans="2:30" s="323" customFormat="1" ht="12" customHeight="1">
      <c r="B2169" s="324"/>
      <c r="C2169" s="325"/>
      <c r="D2169" s="326"/>
      <c r="E2169" s="326"/>
      <c r="F2169" s="326"/>
      <c r="G2169" s="326"/>
      <c r="H2169" s="326"/>
      <c r="P2169" s="318"/>
      <c r="Q2169" s="318"/>
      <c r="R2169" s="318"/>
      <c r="S2169" s="318"/>
      <c r="T2169" s="318"/>
      <c r="U2169" s="318"/>
      <c r="V2169" s="318"/>
      <c r="W2169" s="318"/>
      <c r="X2169" s="318"/>
      <c r="Y2169" s="318"/>
      <c r="Z2169" s="318"/>
      <c r="AA2169" s="318"/>
      <c r="AB2169" s="318"/>
      <c r="AC2169" s="318"/>
      <c r="AD2169" s="318"/>
    </row>
    <row r="2170" spans="2:30" s="323" customFormat="1" ht="12" customHeight="1">
      <c r="B2170" s="324"/>
      <c r="C2170" s="325"/>
      <c r="D2170" s="326"/>
      <c r="E2170" s="326"/>
      <c r="F2170" s="326"/>
      <c r="G2170" s="326"/>
      <c r="H2170" s="326"/>
      <c r="P2170" s="318"/>
      <c r="Q2170" s="318"/>
      <c r="R2170" s="318"/>
      <c r="S2170" s="318"/>
      <c r="T2170" s="318"/>
      <c r="U2170" s="318"/>
      <c r="V2170" s="318"/>
      <c r="W2170" s="318"/>
      <c r="X2170" s="318"/>
      <c r="Y2170" s="318"/>
      <c r="Z2170" s="318"/>
      <c r="AA2170" s="318"/>
      <c r="AB2170" s="318"/>
      <c r="AC2170" s="318"/>
      <c r="AD2170" s="318"/>
    </row>
    <row r="2171" spans="2:30" s="323" customFormat="1" ht="12" customHeight="1">
      <c r="B2171" s="324"/>
      <c r="C2171" s="325"/>
      <c r="D2171" s="326"/>
      <c r="E2171" s="326"/>
      <c r="F2171" s="326"/>
      <c r="G2171" s="326"/>
      <c r="H2171" s="326"/>
      <c r="P2171" s="318"/>
      <c r="Q2171" s="318"/>
      <c r="R2171" s="318"/>
      <c r="S2171" s="318"/>
      <c r="T2171" s="318"/>
      <c r="U2171" s="318"/>
      <c r="V2171" s="318"/>
      <c r="W2171" s="318"/>
      <c r="X2171" s="318"/>
      <c r="Y2171" s="318"/>
      <c r="Z2171" s="318"/>
      <c r="AA2171" s="318"/>
      <c r="AB2171" s="318"/>
      <c r="AC2171" s="318"/>
      <c r="AD2171" s="318"/>
    </row>
    <row r="2172" spans="2:30" s="323" customFormat="1" ht="12" customHeight="1">
      <c r="B2172" s="324"/>
      <c r="C2172" s="325"/>
      <c r="D2172" s="326"/>
      <c r="E2172" s="326"/>
      <c r="F2172" s="326"/>
      <c r="G2172" s="326"/>
      <c r="H2172" s="326"/>
      <c r="P2172" s="318"/>
      <c r="Q2172" s="318"/>
      <c r="R2172" s="318"/>
      <c r="S2172" s="318"/>
      <c r="T2172" s="318"/>
      <c r="U2172" s="318"/>
      <c r="V2172" s="318"/>
      <c r="W2172" s="318"/>
      <c r="X2172" s="318"/>
      <c r="Y2172" s="318"/>
      <c r="Z2172" s="318"/>
      <c r="AA2172" s="318"/>
      <c r="AB2172" s="318"/>
      <c r="AC2172" s="318"/>
      <c r="AD2172" s="318"/>
    </row>
    <row r="2173" spans="2:30" s="323" customFormat="1" ht="12" customHeight="1">
      <c r="B2173" s="324"/>
      <c r="C2173" s="325"/>
      <c r="D2173" s="326"/>
      <c r="E2173" s="326"/>
      <c r="F2173" s="326"/>
      <c r="G2173" s="326"/>
      <c r="H2173" s="326"/>
      <c r="P2173" s="318"/>
      <c r="Q2173" s="318"/>
      <c r="R2173" s="318"/>
      <c r="S2173" s="318"/>
      <c r="T2173" s="318"/>
      <c r="U2173" s="318"/>
      <c r="V2173" s="318"/>
      <c r="W2173" s="318"/>
      <c r="X2173" s="318"/>
      <c r="Y2173" s="318"/>
      <c r="Z2173" s="318"/>
      <c r="AA2173" s="318"/>
      <c r="AB2173" s="318"/>
      <c r="AC2173" s="318"/>
      <c r="AD2173" s="318"/>
    </row>
    <row r="2174" spans="2:30" s="323" customFormat="1" ht="12" customHeight="1">
      <c r="B2174" s="324"/>
      <c r="C2174" s="325"/>
      <c r="D2174" s="326"/>
      <c r="E2174" s="326"/>
      <c r="F2174" s="326"/>
      <c r="G2174" s="326"/>
      <c r="H2174" s="326"/>
      <c r="P2174" s="318"/>
      <c r="Q2174" s="318"/>
      <c r="R2174" s="318"/>
      <c r="S2174" s="318"/>
      <c r="T2174" s="318"/>
      <c r="U2174" s="318"/>
      <c r="V2174" s="318"/>
      <c r="W2174" s="318"/>
      <c r="X2174" s="318"/>
      <c r="Y2174" s="318"/>
      <c r="Z2174" s="318"/>
      <c r="AA2174" s="318"/>
      <c r="AB2174" s="318"/>
      <c r="AC2174" s="318"/>
      <c r="AD2174" s="318"/>
    </row>
    <row r="2175" spans="2:30" s="323" customFormat="1" ht="12" customHeight="1">
      <c r="B2175" s="324"/>
      <c r="C2175" s="325"/>
      <c r="D2175" s="326"/>
      <c r="E2175" s="326"/>
      <c r="F2175" s="326"/>
      <c r="G2175" s="326"/>
      <c r="H2175" s="326"/>
      <c r="P2175" s="318"/>
      <c r="Q2175" s="318"/>
      <c r="R2175" s="318"/>
      <c r="S2175" s="318"/>
      <c r="T2175" s="318"/>
      <c r="U2175" s="318"/>
      <c r="V2175" s="318"/>
      <c r="W2175" s="318"/>
      <c r="X2175" s="318"/>
      <c r="Y2175" s="318"/>
      <c r="Z2175" s="318"/>
      <c r="AA2175" s="318"/>
      <c r="AB2175" s="318"/>
      <c r="AC2175" s="318"/>
      <c r="AD2175" s="318"/>
    </row>
    <row r="2176" spans="2:30" s="323" customFormat="1" ht="12" customHeight="1">
      <c r="B2176" s="324"/>
      <c r="C2176" s="325"/>
      <c r="D2176" s="326"/>
      <c r="E2176" s="326"/>
      <c r="F2176" s="326"/>
      <c r="G2176" s="326"/>
      <c r="H2176" s="326"/>
      <c r="P2176" s="318"/>
      <c r="Q2176" s="318"/>
      <c r="R2176" s="318"/>
      <c r="S2176" s="318"/>
      <c r="T2176" s="318"/>
      <c r="U2176" s="318"/>
      <c r="V2176" s="318"/>
      <c r="W2176" s="318"/>
      <c r="X2176" s="318"/>
      <c r="Y2176" s="318"/>
      <c r="Z2176" s="318"/>
      <c r="AA2176" s="318"/>
      <c r="AB2176" s="318"/>
      <c r="AC2176" s="318"/>
      <c r="AD2176" s="318"/>
    </row>
    <row r="2177" spans="2:30" s="323" customFormat="1" ht="12" customHeight="1">
      <c r="B2177" s="324"/>
      <c r="C2177" s="325"/>
      <c r="D2177" s="326"/>
      <c r="E2177" s="326"/>
      <c r="F2177" s="326"/>
      <c r="G2177" s="326"/>
      <c r="H2177" s="326"/>
      <c r="P2177" s="318"/>
      <c r="Q2177" s="318"/>
      <c r="R2177" s="318"/>
      <c r="S2177" s="318"/>
      <c r="T2177" s="318"/>
      <c r="U2177" s="318"/>
      <c r="V2177" s="318"/>
      <c r="W2177" s="318"/>
      <c r="X2177" s="318"/>
      <c r="Y2177" s="318"/>
      <c r="Z2177" s="318"/>
      <c r="AA2177" s="318"/>
      <c r="AB2177" s="318"/>
      <c r="AC2177" s="318"/>
      <c r="AD2177" s="318"/>
    </row>
    <row r="2178" spans="2:30" s="323" customFormat="1" ht="12" customHeight="1">
      <c r="B2178" s="324"/>
      <c r="C2178" s="325"/>
      <c r="D2178" s="326"/>
      <c r="E2178" s="326"/>
      <c r="F2178" s="326"/>
      <c r="G2178" s="326"/>
      <c r="H2178" s="326"/>
      <c r="P2178" s="318"/>
      <c r="Q2178" s="318"/>
      <c r="R2178" s="318"/>
      <c r="S2178" s="318"/>
      <c r="T2178" s="318"/>
      <c r="U2178" s="318"/>
      <c r="V2178" s="318"/>
      <c r="W2178" s="318"/>
      <c r="X2178" s="318"/>
      <c r="Y2178" s="318"/>
      <c r="Z2178" s="318"/>
      <c r="AA2178" s="318"/>
      <c r="AB2178" s="318"/>
      <c r="AC2178" s="318"/>
      <c r="AD2178" s="318"/>
    </row>
    <row r="2179" spans="2:30" s="323" customFormat="1" ht="12" customHeight="1">
      <c r="B2179" s="324"/>
      <c r="C2179" s="325"/>
      <c r="D2179" s="326"/>
      <c r="E2179" s="326"/>
      <c r="F2179" s="326"/>
      <c r="G2179" s="326"/>
      <c r="H2179" s="326"/>
      <c r="P2179" s="318"/>
      <c r="Q2179" s="318"/>
      <c r="R2179" s="318"/>
      <c r="S2179" s="318"/>
      <c r="T2179" s="318"/>
      <c r="U2179" s="318"/>
      <c r="V2179" s="318"/>
      <c r="W2179" s="318"/>
      <c r="X2179" s="318"/>
      <c r="Y2179" s="318"/>
      <c r="Z2179" s="318"/>
      <c r="AA2179" s="318"/>
      <c r="AB2179" s="318"/>
      <c r="AC2179" s="318"/>
      <c r="AD2179" s="318"/>
    </row>
    <row r="2180" spans="2:30" s="323" customFormat="1" ht="12" customHeight="1">
      <c r="B2180" s="324"/>
      <c r="C2180" s="325"/>
      <c r="D2180" s="326"/>
      <c r="E2180" s="326"/>
      <c r="F2180" s="326"/>
      <c r="G2180" s="326"/>
      <c r="H2180" s="326"/>
      <c r="P2180" s="318"/>
      <c r="Q2180" s="318"/>
      <c r="R2180" s="318"/>
      <c r="S2180" s="318"/>
      <c r="T2180" s="318"/>
      <c r="U2180" s="318"/>
      <c r="V2180" s="318"/>
      <c r="W2180" s="318"/>
      <c r="X2180" s="318"/>
      <c r="Y2180" s="318"/>
      <c r="Z2180" s="318"/>
      <c r="AA2180" s="318"/>
      <c r="AB2180" s="318"/>
      <c r="AC2180" s="318"/>
      <c r="AD2180" s="318"/>
    </row>
    <row r="2181" spans="2:30" s="323" customFormat="1" ht="12" customHeight="1">
      <c r="B2181" s="324"/>
      <c r="C2181" s="325"/>
      <c r="D2181" s="326"/>
      <c r="E2181" s="326"/>
      <c r="F2181" s="326"/>
      <c r="G2181" s="326"/>
      <c r="H2181" s="326"/>
      <c r="P2181" s="318"/>
      <c r="Q2181" s="318"/>
      <c r="R2181" s="318"/>
      <c r="S2181" s="318"/>
      <c r="T2181" s="318"/>
      <c r="U2181" s="318"/>
      <c r="V2181" s="318"/>
      <c r="W2181" s="318"/>
      <c r="X2181" s="318"/>
      <c r="Y2181" s="318"/>
      <c r="Z2181" s="318"/>
      <c r="AA2181" s="318"/>
      <c r="AB2181" s="318"/>
      <c r="AC2181" s="318"/>
      <c r="AD2181" s="318"/>
    </row>
    <row r="2182" spans="2:30" s="323" customFormat="1" ht="12" customHeight="1">
      <c r="B2182" s="324"/>
      <c r="C2182" s="325"/>
      <c r="D2182" s="326"/>
      <c r="E2182" s="326"/>
      <c r="F2182" s="326"/>
      <c r="G2182" s="326"/>
      <c r="H2182" s="326"/>
      <c r="P2182" s="318"/>
      <c r="Q2182" s="318"/>
      <c r="R2182" s="318"/>
      <c r="S2182" s="318"/>
      <c r="T2182" s="318"/>
      <c r="U2182" s="318"/>
      <c r="V2182" s="318"/>
      <c r="W2182" s="318"/>
      <c r="X2182" s="318"/>
      <c r="Y2182" s="318"/>
      <c r="Z2182" s="318"/>
      <c r="AA2182" s="318"/>
      <c r="AB2182" s="318"/>
      <c r="AC2182" s="318"/>
      <c r="AD2182" s="318"/>
    </row>
    <row r="2183" spans="2:30" s="323" customFormat="1" ht="12" customHeight="1">
      <c r="B2183" s="324"/>
      <c r="C2183" s="325"/>
      <c r="D2183" s="326"/>
      <c r="E2183" s="326"/>
      <c r="F2183" s="326"/>
      <c r="G2183" s="326"/>
      <c r="H2183" s="326"/>
      <c r="P2183" s="318"/>
      <c r="Q2183" s="318"/>
      <c r="R2183" s="318"/>
      <c r="S2183" s="318"/>
      <c r="T2183" s="318"/>
      <c r="U2183" s="318"/>
      <c r="V2183" s="318"/>
      <c r="W2183" s="318"/>
      <c r="X2183" s="318"/>
      <c r="Y2183" s="318"/>
      <c r="Z2183" s="318"/>
      <c r="AA2183" s="318"/>
      <c r="AB2183" s="318"/>
      <c r="AC2183" s="318"/>
      <c r="AD2183" s="318"/>
    </row>
    <row r="2184" spans="2:30" s="323" customFormat="1" ht="12" customHeight="1">
      <c r="B2184" s="324"/>
      <c r="C2184" s="325"/>
      <c r="D2184" s="326"/>
      <c r="E2184" s="326"/>
      <c r="F2184" s="326"/>
      <c r="G2184" s="326"/>
      <c r="H2184" s="326"/>
      <c r="P2184" s="318"/>
      <c r="Q2184" s="318"/>
      <c r="R2184" s="318"/>
      <c r="S2184" s="318"/>
      <c r="T2184" s="318"/>
      <c r="U2184" s="318"/>
      <c r="V2184" s="318"/>
      <c r="W2184" s="318"/>
      <c r="X2184" s="318"/>
      <c r="Y2184" s="318"/>
      <c r="Z2184" s="318"/>
      <c r="AA2184" s="318"/>
      <c r="AB2184" s="318"/>
      <c r="AC2184" s="318"/>
      <c r="AD2184" s="318"/>
    </row>
    <row r="2185" spans="2:30" s="323" customFormat="1" ht="12" customHeight="1">
      <c r="B2185" s="324"/>
      <c r="C2185" s="325"/>
      <c r="D2185" s="326"/>
      <c r="E2185" s="326"/>
      <c r="F2185" s="326"/>
      <c r="G2185" s="326"/>
      <c r="H2185" s="326"/>
      <c r="P2185" s="318"/>
      <c r="Q2185" s="318"/>
      <c r="R2185" s="318"/>
      <c r="S2185" s="318"/>
      <c r="T2185" s="318"/>
      <c r="U2185" s="318"/>
      <c r="V2185" s="318"/>
      <c r="W2185" s="318"/>
      <c r="X2185" s="318"/>
      <c r="Y2185" s="318"/>
      <c r="Z2185" s="318"/>
      <c r="AA2185" s="318"/>
      <c r="AB2185" s="318"/>
      <c r="AC2185" s="318"/>
      <c r="AD2185" s="318"/>
    </row>
    <row r="2186" spans="2:30" s="323" customFormat="1" ht="12" customHeight="1">
      <c r="B2186" s="324"/>
      <c r="C2186" s="325"/>
      <c r="D2186" s="326"/>
      <c r="E2186" s="326"/>
      <c r="F2186" s="326"/>
      <c r="G2186" s="326"/>
      <c r="H2186" s="326"/>
      <c r="P2186" s="318"/>
      <c r="Q2186" s="318"/>
      <c r="R2186" s="318"/>
      <c r="S2186" s="318"/>
      <c r="T2186" s="318"/>
      <c r="U2186" s="318"/>
      <c r="V2186" s="318"/>
      <c r="W2186" s="318"/>
      <c r="X2186" s="318"/>
      <c r="Y2186" s="318"/>
      <c r="Z2186" s="318"/>
      <c r="AA2186" s="318"/>
      <c r="AB2186" s="318"/>
      <c r="AC2186" s="318"/>
      <c r="AD2186" s="318"/>
    </row>
    <row r="2187" spans="2:30" s="323" customFormat="1" ht="12" customHeight="1">
      <c r="B2187" s="324"/>
      <c r="C2187" s="325"/>
      <c r="D2187" s="326"/>
      <c r="E2187" s="326"/>
      <c r="F2187" s="326"/>
      <c r="G2187" s="326"/>
      <c r="H2187" s="326"/>
      <c r="P2187" s="318"/>
      <c r="Q2187" s="318"/>
      <c r="R2187" s="318"/>
      <c r="S2187" s="318"/>
      <c r="T2187" s="318"/>
      <c r="U2187" s="318"/>
      <c r="V2187" s="318"/>
      <c r="W2187" s="318"/>
      <c r="X2187" s="318"/>
      <c r="Y2187" s="318"/>
      <c r="Z2187" s="318"/>
      <c r="AA2187" s="318"/>
      <c r="AB2187" s="318"/>
      <c r="AC2187" s="318"/>
      <c r="AD2187" s="318"/>
    </row>
    <row r="2188" spans="2:30" s="323" customFormat="1" ht="12" customHeight="1">
      <c r="B2188" s="324"/>
      <c r="C2188" s="325"/>
      <c r="D2188" s="326"/>
      <c r="E2188" s="326"/>
      <c r="F2188" s="326"/>
      <c r="G2188" s="326"/>
      <c r="H2188" s="326"/>
      <c r="P2188" s="318"/>
      <c r="Q2188" s="318"/>
      <c r="R2188" s="318"/>
      <c r="S2188" s="318"/>
      <c r="T2188" s="318"/>
      <c r="U2188" s="318"/>
      <c r="V2188" s="318"/>
      <c r="W2188" s="318"/>
      <c r="X2188" s="318"/>
      <c r="Y2188" s="318"/>
      <c r="Z2188" s="318"/>
      <c r="AA2188" s="318"/>
      <c r="AB2188" s="318"/>
      <c r="AC2188" s="318"/>
      <c r="AD2188" s="318"/>
    </row>
    <row r="2189" spans="2:30" s="323" customFormat="1" ht="12" customHeight="1">
      <c r="B2189" s="324"/>
      <c r="C2189" s="325"/>
      <c r="D2189" s="326"/>
      <c r="E2189" s="326"/>
      <c r="F2189" s="326"/>
      <c r="G2189" s="326"/>
      <c r="H2189" s="326"/>
      <c r="P2189" s="318"/>
      <c r="Q2189" s="318"/>
      <c r="R2189" s="318"/>
      <c r="S2189" s="318"/>
      <c r="T2189" s="318"/>
      <c r="U2189" s="318"/>
      <c r="V2189" s="318"/>
      <c r="W2189" s="318"/>
      <c r="X2189" s="318"/>
      <c r="Y2189" s="318"/>
      <c r="Z2189" s="318"/>
      <c r="AA2189" s="318"/>
      <c r="AB2189" s="318"/>
      <c r="AC2189" s="318"/>
      <c r="AD2189" s="318"/>
    </row>
    <row r="2190" spans="2:30" s="323" customFormat="1" ht="12" customHeight="1">
      <c r="B2190" s="324"/>
      <c r="C2190" s="325"/>
      <c r="D2190" s="326"/>
      <c r="E2190" s="326"/>
      <c r="F2190" s="326"/>
      <c r="G2190" s="326"/>
      <c r="H2190" s="326"/>
      <c r="P2190" s="318"/>
      <c r="Q2190" s="318"/>
      <c r="R2190" s="318"/>
      <c r="S2190" s="318"/>
      <c r="T2190" s="318"/>
      <c r="U2190" s="318"/>
      <c r="V2190" s="318"/>
      <c r="W2190" s="318"/>
      <c r="X2190" s="318"/>
      <c r="Y2190" s="318"/>
      <c r="Z2190" s="318"/>
      <c r="AA2190" s="318"/>
      <c r="AB2190" s="318"/>
      <c r="AC2190" s="318"/>
      <c r="AD2190" s="318"/>
    </row>
    <row r="2191" spans="2:30" s="323" customFormat="1" ht="12" customHeight="1">
      <c r="B2191" s="324"/>
      <c r="C2191" s="325"/>
      <c r="D2191" s="326"/>
      <c r="E2191" s="326"/>
      <c r="F2191" s="326"/>
      <c r="G2191" s="326"/>
      <c r="H2191" s="326"/>
      <c r="P2191" s="318"/>
      <c r="Q2191" s="318"/>
      <c r="R2191" s="318"/>
      <c r="S2191" s="318"/>
      <c r="T2191" s="318"/>
      <c r="U2191" s="318"/>
      <c r="V2191" s="318"/>
      <c r="W2191" s="318"/>
      <c r="X2191" s="318"/>
      <c r="Y2191" s="318"/>
      <c r="Z2191" s="318"/>
      <c r="AA2191" s="318"/>
      <c r="AB2191" s="318"/>
      <c r="AC2191" s="318"/>
      <c r="AD2191" s="318"/>
    </row>
    <row r="2192" spans="2:30" s="323" customFormat="1" ht="12" customHeight="1">
      <c r="B2192" s="324"/>
      <c r="C2192" s="325"/>
      <c r="D2192" s="326"/>
      <c r="E2192" s="326"/>
      <c r="F2192" s="326"/>
      <c r="G2192" s="326"/>
      <c r="H2192" s="326"/>
      <c r="P2192" s="318"/>
      <c r="Q2192" s="318"/>
      <c r="R2192" s="318"/>
      <c r="S2192" s="318"/>
      <c r="T2192" s="318"/>
      <c r="U2192" s="318"/>
      <c r="V2192" s="318"/>
      <c r="W2192" s="318"/>
      <c r="X2192" s="318"/>
      <c r="Y2192" s="318"/>
      <c r="Z2192" s="318"/>
      <c r="AA2192" s="318"/>
      <c r="AB2192" s="318"/>
      <c r="AC2192" s="318"/>
      <c r="AD2192" s="318"/>
    </row>
    <row r="2193" spans="2:30" s="323" customFormat="1" ht="12" customHeight="1">
      <c r="B2193" s="324"/>
      <c r="C2193" s="325"/>
      <c r="D2193" s="326"/>
      <c r="E2193" s="326"/>
      <c r="F2193" s="326"/>
      <c r="G2193" s="326"/>
      <c r="H2193" s="326"/>
      <c r="P2193" s="318"/>
      <c r="Q2193" s="318"/>
      <c r="R2193" s="318"/>
      <c r="S2193" s="318"/>
      <c r="T2193" s="318"/>
      <c r="U2193" s="318"/>
      <c r="V2193" s="318"/>
      <c r="W2193" s="318"/>
      <c r="X2193" s="318"/>
      <c r="Y2193" s="318"/>
      <c r="Z2193" s="318"/>
      <c r="AA2193" s="318"/>
      <c r="AB2193" s="318"/>
      <c r="AC2193" s="318"/>
      <c r="AD2193" s="318"/>
    </row>
    <row r="2194" spans="2:30" s="323" customFormat="1" ht="12" customHeight="1">
      <c r="B2194" s="324"/>
      <c r="C2194" s="325"/>
      <c r="D2194" s="326"/>
      <c r="E2194" s="326"/>
      <c r="F2194" s="326"/>
      <c r="G2194" s="326"/>
      <c r="H2194" s="326"/>
      <c r="P2194" s="318"/>
      <c r="Q2194" s="318"/>
      <c r="R2194" s="318"/>
      <c r="S2194" s="318"/>
      <c r="T2194" s="318"/>
      <c r="U2194" s="318"/>
      <c r="V2194" s="318"/>
      <c r="W2194" s="318"/>
      <c r="X2194" s="318"/>
      <c r="Y2194" s="318"/>
      <c r="Z2194" s="318"/>
      <c r="AA2194" s="318"/>
      <c r="AB2194" s="318"/>
      <c r="AC2194" s="318"/>
      <c r="AD2194" s="318"/>
    </row>
    <row r="2195" spans="2:30" s="323" customFormat="1" ht="12" customHeight="1">
      <c r="B2195" s="324"/>
      <c r="C2195" s="325"/>
      <c r="D2195" s="326"/>
      <c r="E2195" s="326"/>
      <c r="F2195" s="326"/>
      <c r="G2195" s="326"/>
      <c r="H2195" s="326"/>
      <c r="P2195" s="318"/>
      <c r="Q2195" s="318"/>
      <c r="R2195" s="318"/>
      <c r="S2195" s="318"/>
      <c r="T2195" s="318"/>
      <c r="U2195" s="318"/>
      <c r="V2195" s="318"/>
      <c r="W2195" s="318"/>
      <c r="X2195" s="318"/>
      <c r="Y2195" s="318"/>
      <c r="Z2195" s="318"/>
      <c r="AA2195" s="318"/>
      <c r="AB2195" s="318"/>
      <c r="AC2195" s="318"/>
      <c r="AD2195" s="318"/>
    </row>
    <row r="2196" spans="2:30" s="323" customFormat="1" ht="12" customHeight="1">
      <c r="B2196" s="324"/>
      <c r="C2196" s="325"/>
      <c r="D2196" s="326"/>
      <c r="E2196" s="326"/>
      <c r="F2196" s="326"/>
      <c r="G2196" s="326"/>
      <c r="H2196" s="326"/>
      <c r="P2196" s="318"/>
      <c r="Q2196" s="318"/>
      <c r="R2196" s="318"/>
      <c r="S2196" s="318"/>
      <c r="T2196" s="318"/>
      <c r="U2196" s="318"/>
      <c r="V2196" s="318"/>
      <c r="W2196" s="318"/>
      <c r="X2196" s="318"/>
      <c r="Y2196" s="318"/>
      <c r="Z2196" s="318"/>
      <c r="AA2196" s="318"/>
      <c r="AB2196" s="318"/>
      <c r="AC2196" s="318"/>
      <c r="AD2196" s="318"/>
    </row>
    <row r="2197" spans="2:30" s="323" customFormat="1" ht="12" customHeight="1">
      <c r="B2197" s="324"/>
      <c r="C2197" s="325"/>
      <c r="D2197" s="326"/>
      <c r="E2197" s="326"/>
      <c r="F2197" s="326"/>
      <c r="G2197" s="326"/>
      <c r="H2197" s="326"/>
      <c r="P2197" s="318"/>
      <c r="Q2197" s="318"/>
      <c r="R2197" s="318"/>
      <c r="S2197" s="318"/>
      <c r="T2197" s="318"/>
      <c r="U2197" s="318"/>
      <c r="V2197" s="318"/>
      <c r="W2197" s="318"/>
      <c r="X2197" s="318"/>
      <c r="Y2197" s="318"/>
      <c r="Z2197" s="318"/>
      <c r="AA2197" s="318"/>
      <c r="AB2197" s="318"/>
      <c r="AC2197" s="318"/>
      <c r="AD2197" s="318"/>
    </row>
    <row r="2198" spans="2:30" s="323" customFormat="1" ht="12" customHeight="1">
      <c r="B2198" s="324"/>
      <c r="C2198" s="325"/>
      <c r="D2198" s="326"/>
      <c r="E2198" s="326"/>
      <c r="F2198" s="326"/>
      <c r="G2198" s="326"/>
      <c r="H2198" s="326"/>
      <c r="P2198" s="318"/>
      <c r="Q2198" s="318"/>
      <c r="R2198" s="318"/>
      <c r="S2198" s="318"/>
      <c r="T2198" s="318"/>
      <c r="U2198" s="318"/>
      <c r="V2198" s="318"/>
      <c r="W2198" s="318"/>
      <c r="X2198" s="318"/>
      <c r="Y2198" s="318"/>
      <c r="Z2198" s="318"/>
      <c r="AA2198" s="318"/>
      <c r="AB2198" s="318"/>
      <c r="AC2198" s="318"/>
      <c r="AD2198" s="318"/>
    </row>
    <row r="2199" spans="2:30" s="323" customFormat="1" ht="12" customHeight="1">
      <c r="B2199" s="324"/>
      <c r="C2199" s="325"/>
      <c r="D2199" s="326"/>
      <c r="E2199" s="326"/>
      <c r="F2199" s="326"/>
      <c r="G2199" s="326"/>
      <c r="H2199" s="326"/>
      <c r="P2199" s="318"/>
      <c r="Q2199" s="318"/>
      <c r="R2199" s="318"/>
      <c r="S2199" s="318"/>
      <c r="T2199" s="318"/>
      <c r="U2199" s="318"/>
      <c r="V2199" s="318"/>
      <c r="W2199" s="318"/>
      <c r="X2199" s="318"/>
      <c r="Y2199" s="318"/>
      <c r="Z2199" s="318"/>
      <c r="AA2199" s="318"/>
      <c r="AB2199" s="318"/>
      <c r="AC2199" s="318"/>
      <c r="AD2199" s="318"/>
    </row>
    <row r="2200" spans="2:30" s="323" customFormat="1" ht="12" customHeight="1">
      <c r="B2200" s="324"/>
      <c r="C2200" s="325"/>
      <c r="D2200" s="326"/>
      <c r="E2200" s="326"/>
      <c r="F2200" s="326"/>
      <c r="G2200" s="326"/>
      <c r="H2200" s="326"/>
      <c r="P2200" s="318"/>
      <c r="Q2200" s="318"/>
      <c r="R2200" s="318"/>
      <c r="S2200" s="318"/>
      <c r="T2200" s="318"/>
      <c r="U2200" s="318"/>
      <c r="V2200" s="318"/>
      <c r="W2200" s="318"/>
      <c r="X2200" s="318"/>
      <c r="Y2200" s="318"/>
      <c r="Z2200" s="318"/>
      <c r="AA2200" s="318"/>
      <c r="AB2200" s="318"/>
      <c r="AC2200" s="318"/>
      <c r="AD2200" s="318"/>
    </row>
    <row r="2201" spans="2:30" s="323" customFormat="1" ht="12" customHeight="1">
      <c r="B2201" s="324"/>
      <c r="C2201" s="325"/>
      <c r="D2201" s="326"/>
      <c r="E2201" s="326"/>
      <c r="F2201" s="326"/>
      <c r="G2201" s="326"/>
      <c r="H2201" s="326"/>
      <c r="P2201" s="318"/>
      <c r="Q2201" s="318"/>
      <c r="R2201" s="318"/>
      <c r="S2201" s="318"/>
      <c r="T2201" s="318"/>
      <c r="U2201" s="318"/>
      <c r="V2201" s="318"/>
      <c r="W2201" s="318"/>
      <c r="X2201" s="318"/>
      <c r="Y2201" s="318"/>
      <c r="Z2201" s="318"/>
      <c r="AA2201" s="318"/>
      <c r="AB2201" s="318"/>
      <c r="AC2201" s="318"/>
      <c r="AD2201" s="318"/>
    </row>
    <row r="2202" spans="2:30" s="323" customFormat="1" ht="12" customHeight="1">
      <c r="B2202" s="324"/>
      <c r="C2202" s="325"/>
      <c r="D2202" s="326"/>
      <c r="E2202" s="326"/>
      <c r="F2202" s="326"/>
      <c r="G2202" s="326"/>
      <c r="H2202" s="326"/>
      <c r="P2202" s="318"/>
      <c r="Q2202" s="318"/>
      <c r="R2202" s="318"/>
      <c r="S2202" s="318"/>
      <c r="T2202" s="318"/>
      <c r="U2202" s="318"/>
      <c r="V2202" s="318"/>
      <c r="W2202" s="318"/>
      <c r="X2202" s="318"/>
      <c r="Y2202" s="318"/>
      <c r="Z2202" s="318"/>
      <c r="AA2202" s="318"/>
      <c r="AB2202" s="318"/>
      <c r="AC2202" s="318"/>
      <c r="AD2202" s="318"/>
    </row>
    <row r="2203" spans="2:30" s="323" customFormat="1" ht="12" customHeight="1">
      <c r="B2203" s="324"/>
      <c r="C2203" s="325"/>
      <c r="D2203" s="326"/>
      <c r="E2203" s="326"/>
      <c r="F2203" s="326"/>
      <c r="G2203" s="326"/>
      <c r="H2203" s="326"/>
      <c r="P2203" s="318"/>
      <c r="Q2203" s="318"/>
      <c r="R2203" s="318"/>
      <c r="S2203" s="318"/>
      <c r="T2203" s="318"/>
      <c r="U2203" s="318"/>
      <c r="V2203" s="318"/>
      <c r="W2203" s="318"/>
      <c r="X2203" s="318"/>
      <c r="Y2203" s="318"/>
      <c r="Z2203" s="318"/>
      <c r="AA2203" s="318"/>
      <c r="AB2203" s="318"/>
      <c r="AC2203" s="318"/>
      <c r="AD2203" s="318"/>
    </row>
    <row r="2204" spans="2:30" s="323" customFormat="1" ht="12" customHeight="1">
      <c r="B2204" s="324"/>
      <c r="C2204" s="325"/>
      <c r="D2204" s="326"/>
      <c r="E2204" s="326"/>
      <c r="F2204" s="326"/>
      <c r="G2204" s="326"/>
      <c r="H2204" s="326"/>
      <c r="P2204" s="318"/>
      <c r="Q2204" s="318"/>
      <c r="R2204" s="318"/>
      <c r="S2204" s="318"/>
      <c r="T2204" s="318"/>
      <c r="U2204" s="318"/>
      <c r="V2204" s="318"/>
      <c r="W2204" s="318"/>
      <c r="X2204" s="318"/>
      <c r="Y2204" s="318"/>
      <c r="Z2204" s="318"/>
      <c r="AA2204" s="318"/>
      <c r="AB2204" s="318"/>
      <c r="AC2204" s="318"/>
      <c r="AD2204" s="318"/>
    </row>
    <row r="2205" spans="2:30" s="323" customFormat="1" ht="12" customHeight="1">
      <c r="B2205" s="324"/>
      <c r="C2205" s="325"/>
      <c r="D2205" s="326"/>
      <c r="E2205" s="326"/>
      <c r="F2205" s="326"/>
      <c r="G2205" s="326"/>
      <c r="H2205" s="326"/>
      <c r="P2205" s="318"/>
      <c r="Q2205" s="318"/>
      <c r="R2205" s="318"/>
      <c r="S2205" s="318"/>
      <c r="T2205" s="318"/>
      <c r="U2205" s="318"/>
      <c r="V2205" s="318"/>
      <c r="W2205" s="318"/>
      <c r="X2205" s="318"/>
      <c r="Y2205" s="318"/>
      <c r="Z2205" s="318"/>
      <c r="AA2205" s="318"/>
      <c r="AB2205" s="318"/>
      <c r="AC2205" s="318"/>
      <c r="AD2205" s="318"/>
    </row>
    <row r="2206" spans="2:30" s="323" customFormat="1" ht="12" customHeight="1">
      <c r="B2206" s="324"/>
      <c r="C2206" s="325"/>
      <c r="D2206" s="326"/>
      <c r="E2206" s="326"/>
      <c r="F2206" s="326"/>
      <c r="G2206" s="326"/>
      <c r="H2206" s="326"/>
      <c r="P2206" s="318"/>
      <c r="Q2206" s="318"/>
      <c r="R2206" s="318"/>
      <c r="S2206" s="318"/>
      <c r="T2206" s="318"/>
      <c r="U2206" s="318"/>
      <c r="V2206" s="318"/>
      <c r="W2206" s="318"/>
      <c r="X2206" s="318"/>
      <c r="Y2206" s="318"/>
      <c r="Z2206" s="318"/>
      <c r="AA2206" s="318"/>
      <c r="AB2206" s="318"/>
      <c r="AC2206" s="318"/>
      <c r="AD2206" s="318"/>
    </row>
    <row r="2207" spans="2:30" s="323" customFormat="1" ht="12" customHeight="1">
      <c r="B2207" s="324"/>
      <c r="C2207" s="325"/>
      <c r="D2207" s="326"/>
      <c r="E2207" s="326"/>
      <c r="F2207" s="326"/>
      <c r="G2207" s="326"/>
      <c r="H2207" s="326"/>
      <c r="P2207" s="318"/>
      <c r="Q2207" s="318"/>
      <c r="R2207" s="318"/>
      <c r="S2207" s="318"/>
      <c r="T2207" s="318"/>
      <c r="U2207" s="318"/>
      <c r="V2207" s="318"/>
      <c r="W2207" s="318"/>
      <c r="X2207" s="318"/>
      <c r="Y2207" s="318"/>
      <c r="Z2207" s="318"/>
      <c r="AA2207" s="318"/>
      <c r="AB2207" s="318"/>
      <c r="AC2207" s="318"/>
      <c r="AD2207" s="318"/>
    </row>
    <row r="2208" spans="2:30" s="323" customFormat="1" ht="12" customHeight="1">
      <c r="B2208" s="324"/>
      <c r="C2208" s="325"/>
      <c r="D2208" s="326"/>
      <c r="E2208" s="326"/>
      <c r="F2208" s="326"/>
      <c r="G2208" s="326"/>
      <c r="H2208" s="326"/>
      <c r="P2208" s="318"/>
      <c r="Q2208" s="318"/>
      <c r="R2208" s="318"/>
      <c r="S2208" s="318"/>
      <c r="T2208" s="318"/>
      <c r="U2208" s="318"/>
      <c r="V2208" s="318"/>
      <c r="W2208" s="318"/>
      <c r="X2208" s="318"/>
      <c r="Y2208" s="318"/>
      <c r="Z2208" s="318"/>
      <c r="AA2208" s="318"/>
      <c r="AB2208" s="318"/>
      <c r="AC2208" s="318"/>
      <c r="AD2208" s="318"/>
    </row>
    <row r="2209" spans="2:30" s="323" customFormat="1" ht="12" customHeight="1">
      <c r="B2209" s="324"/>
      <c r="C2209" s="325"/>
      <c r="D2209" s="326"/>
      <c r="E2209" s="326"/>
      <c r="F2209" s="326"/>
      <c r="G2209" s="326"/>
      <c r="H2209" s="326"/>
      <c r="P2209" s="318"/>
      <c r="Q2209" s="318"/>
      <c r="R2209" s="318"/>
      <c r="S2209" s="318"/>
      <c r="T2209" s="318"/>
      <c r="U2209" s="318"/>
      <c r="V2209" s="318"/>
      <c r="W2209" s="318"/>
      <c r="X2209" s="318"/>
      <c r="Y2209" s="318"/>
      <c r="Z2209" s="318"/>
      <c r="AA2209" s="318"/>
      <c r="AB2209" s="318"/>
      <c r="AC2209" s="318"/>
      <c r="AD2209" s="318"/>
    </row>
    <row r="2210" spans="2:30" s="323" customFormat="1" ht="12" customHeight="1">
      <c r="B2210" s="324"/>
      <c r="C2210" s="325"/>
      <c r="D2210" s="326"/>
      <c r="E2210" s="326"/>
      <c r="F2210" s="326"/>
      <c r="G2210" s="326"/>
      <c r="H2210" s="326"/>
      <c r="P2210" s="318"/>
      <c r="Q2210" s="318"/>
      <c r="R2210" s="318"/>
      <c r="S2210" s="318"/>
      <c r="T2210" s="318"/>
      <c r="U2210" s="318"/>
      <c r="V2210" s="318"/>
      <c r="W2210" s="318"/>
      <c r="X2210" s="318"/>
      <c r="Y2210" s="318"/>
      <c r="Z2210" s="318"/>
      <c r="AA2210" s="318"/>
      <c r="AB2210" s="318"/>
      <c r="AC2210" s="318"/>
      <c r="AD2210" s="318"/>
    </row>
    <row r="2211" spans="2:30" s="323" customFormat="1" ht="12" customHeight="1">
      <c r="B2211" s="324"/>
      <c r="C2211" s="325"/>
      <c r="D2211" s="326"/>
      <c r="E2211" s="326"/>
      <c r="F2211" s="326"/>
      <c r="G2211" s="326"/>
      <c r="H2211" s="326"/>
      <c r="P2211" s="318"/>
      <c r="Q2211" s="318"/>
      <c r="R2211" s="318"/>
      <c r="S2211" s="318"/>
      <c r="T2211" s="318"/>
      <c r="U2211" s="318"/>
      <c r="V2211" s="318"/>
      <c r="W2211" s="318"/>
      <c r="X2211" s="318"/>
      <c r="Y2211" s="318"/>
      <c r="Z2211" s="318"/>
      <c r="AA2211" s="318"/>
      <c r="AB2211" s="318"/>
      <c r="AC2211" s="318"/>
      <c r="AD2211" s="318"/>
    </row>
    <row r="2212" spans="2:30" s="323" customFormat="1" ht="12" customHeight="1">
      <c r="B2212" s="324"/>
      <c r="C2212" s="325"/>
      <c r="D2212" s="326"/>
      <c r="E2212" s="326"/>
      <c r="F2212" s="326"/>
      <c r="G2212" s="326"/>
      <c r="H2212" s="326"/>
      <c r="P2212" s="318"/>
      <c r="Q2212" s="318"/>
      <c r="R2212" s="318"/>
      <c r="S2212" s="318"/>
      <c r="T2212" s="318"/>
      <c r="U2212" s="318"/>
      <c r="V2212" s="318"/>
      <c r="W2212" s="318"/>
      <c r="X2212" s="318"/>
      <c r="Y2212" s="318"/>
      <c r="Z2212" s="318"/>
      <c r="AA2212" s="318"/>
      <c r="AB2212" s="318"/>
      <c r="AC2212" s="318"/>
      <c r="AD2212" s="318"/>
    </row>
    <row r="2213" spans="2:30" s="323" customFormat="1" ht="12" customHeight="1">
      <c r="B2213" s="324"/>
      <c r="C2213" s="325"/>
      <c r="D2213" s="326"/>
      <c r="E2213" s="326"/>
      <c r="F2213" s="326"/>
      <c r="G2213" s="326"/>
      <c r="H2213" s="326"/>
      <c r="P2213" s="318"/>
      <c r="Q2213" s="318"/>
      <c r="R2213" s="318"/>
      <c r="S2213" s="318"/>
      <c r="T2213" s="318"/>
      <c r="U2213" s="318"/>
      <c r="V2213" s="318"/>
      <c r="W2213" s="318"/>
      <c r="X2213" s="318"/>
      <c r="Y2213" s="318"/>
      <c r="Z2213" s="318"/>
      <c r="AA2213" s="318"/>
      <c r="AB2213" s="318"/>
      <c r="AC2213" s="318"/>
      <c r="AD2213" s="318"/>
    </row>
    <row r="2214" spans="2:30" s="323" customFormat="1" ht="12" customHeight="1">
      <c r="B2214" s="324"/>
      <c r="C2214" s="325"/>
      <c r="D2214" s="326"/>
      <c r="E2214" s="326"/>
      <c r="F2214" s="326"/>
      <c r="G2214" s="326"/>
      <c r="H2214" s="326"/>
      <c r="P2214" s="318"/>
      <c r="Q2214" s="318"/>
      <c r="R2214" s="318"/>
      <c r="S2214" s="318"/>
      <c r="T2214" s="318"/>
      <c r="U2214" s="318"/>
      <c r="V2214" s="318"/>
      <c r="W2214" s="318"/>
      <c r="X2214" s="318"/>
      <c r="Y2214" s="318"/>
      <c r="Z2214" s="318"/>
      <c r="AA2214" s="318"/>
      <c r="AB2214" s="318"/>
      <c r="AC2214" s="318"/>
      <c r="AD2214" s="318"/>
    </row>
    <row r="2215" spans="2:30" s="323" customFormat="1" ht="12" customHeight="1">
      <c r="B2215" s="324"/>
      <c r="C2215" s="325"/>
      <c r="D2215" s="326"/>
      <c r="E2215" s="326"/>
      <c r="F2215" s="326"/>
      <c r="G2215" s="326"/>
      <c r="H2215" s="326"/>
      <c r="P2215" s="318"/>
      <c r="Q2215" s="318"/>
      <c r="R2215" s="318"/>
      <c r="S2215" s="318"/>
      <c r="T2215" s="318"/>
      <c r="U2215" s="318"/>
      <c r="V2215" s="318"/>
      <c r="W2215" s="318"/>
      <c r="X2215" s="318"/>
      <c r="Y2215" s="318"/>
      <c r="Z2215" s="318"/>
      <c r="AA2215" s="318"/>
      <c r="AB2215" s="318"/>
      <c r="AC2215" s="318"/>
      <c r="AD2215" s="318"/>
    </row>
    <row r="2216" spans="2:30" s="323" customFormat="1" ht="12" customHeight="1">
      <c r="B2216" s="324"/>
      <c r="C2216" s="325"/>
      <c r="D2216" s="326"/>
      <c r="E2216" s="326"/>
      <c r="F2216" s="326"/>
      <c r="G2216" s="326"/>
      <c r="H2216" s="326"/>
      <c r="P2216" s="318"/>
      <c r="Q2216" s="318"/>
      <c r="R2216" s="318"/>
      <c r="S2216" s="318"/>
      <c r="T2216" s="318"/>
      <c r="U2216" s="318"/>
      <c r="V2216" s="318"/>
      <c r="W2216" s="318"/>
      <c r="X2216" s="318"/>
      <c r="Y2216" s="318"/>
      <c r="Z2216" s="318"/>
      <c r="AA2216" s="318"/>
      <c r="AB2216" s="318"/>
      <c r="AC2216" s="318"/>
      <c r="AD2216" s="318"/>
    </row>
    <row r="2217" spans="2:30" s="323" customFormat="1" ht="12" customHeight="1">
      <c r="B2217" s="324"/>
      <c r="C2217" s="325"/>
      <c r="D2217" s="326"/>
      <c r="E2217" s="326"/>
      <c r="F2217" s="326"/>
      <c r="G2217" s="326"/>
      <c r="H2217" s="326"/>
      <c r="P2217" s="318"/>
      <c r="Q2217" s="318"/>
      <c r="R2217" s="318"/>
      <c r="S2217" s="318"/>
      <c r="T2217" s="318"/>
      <c r="U2217" s="318"/>
      <c r="V2217" s="318"/>
      <c r="W2217" s="318"/>
      <c r="X2217" s="318"/>
      <c r="Y2217" s="318"/>
      <c r="Z2217" s="318"/>
      <c r="AA2217" s="318"/>
      <c r="AB2217" s="318"/>
      <c r="AC2217" s="318"/>
      <c r="AD2217" s="318"/>
    </row>
    <row r="2218" spans="2:30" s="323" customFormat="1" ht="12" customHeight="1">
      <c r="B2218" s="324"/>
      <c r="C2218" s="325"/>
      <c r="D2218" s="326"/>
      <c r="E2218" s="326"/>
      <c r="F2218" s="326"/>
      <c r="G2218" s="326"/>
      <c r="H2218" s="326"/>
      <c r="P2218" s="318"/>
      <c r="Q2218" s="318"/>
      <c r="R2218" s="318"/>
      <c r="S2218" s="318"/>
      <c r="T2218" s="318"/>
      <c r="U2218" s="318"/>
      <c r="V2218" s="318"/>
      <c r="W2218" s="318"/>
      <c r="X2218" s="318"/>
      <c r="Y2218" s="318"/>
      <c r="Z2218" s="318"/>
      <c r="AA2218" s="318"/>
      <c r="AB2218" s="318"/>
      <c r="AC2218" s="318"/>
      <c r="AD2218" s="318"/>
    </row>
    <row r="2219" spans="2:30" s="323" customFormat="1" ht="12" customHeight="1">
      <c r="B2219" s="324"/>
      <c r="C2219" s="325"/>
      <c r="D2219" s="326"/>
      <c r="E2219" s="326"/>
      <c r="F2219" s="326"/>
      <c r="G2219" s="326"/>
      <c r="H2219" s="326"/>
      <c r="P2219" s="318"/>
      <c r="Q2219" s="318"/>
      <c r="R2219" s="318"/>
      <c r="S2219" s="318"/>
      <c r="T2219" s="318"/>
      <c r="U2219" s="318"/>
      <c r="V2219" s="318"/>
      <c r="W2219" s="318"/>
      <c r="X2219" s="318"/>
      <c r="Y2219" s="318"/>
      <c r="Z2219" s="318"/>
      <c r="AA2219" s="318"/>
      <c r="AB2219" s="318"/>
      <c r="AC2219" s="318"/>
      <c r="AD2219" s="318"/>
    </row>
    <row r="2220" spans="2:30" s="323" customFormat="1" ht="12" customHeight="1">
      <c r="B2220" s="324"/>
      <c r="C2220" s="325"/>
      <c r="D2220" s="326"/>
      <c r="E2220" s="326"/>
      <c r="F2220" s="326"/>
      <c r="G2220" s="326"/>
      <c r="H2220" s="326"/>
      <c r="P2220" s="318"/>
      <c r="Q2220" s="318"/>
      <c r="R2220" s="318"/>
      <c r="S2220" s="318"/>
      <c r="T2220" s="318"/>
      <c r="U2220" s="318"/>
      <c r="V2220" s="318"/>
      <c r="W2220" s="318"/>
      <c r="X2220" s="318"/>
      <c r="Y2220" s="318"/>
      <c r="Z2220" s="318"/>
      <c r="AA2220" s="318"/>
      <c r="AB2220" s="318"/>
      <c r="AC2220" s="318"/>
      <c r="AD2220" s="318"/>
    </row>
    <row r="2221" spans="2:30" s="323" customFormat="1" ht="12" customHeight="1">
      <c r="B2221" s="324"/>
      <c r="C2221" s="325"/>
      <c r="D2221" s="326"/>
      <c r="E2221" s="326"/>
      <c r="F2221" s="326"/>
      <c r="G2221" s="326"/>
      <c r="H2221" s="326"/>
      <c r="P2221" s="318"/>
      <c r="Q2221" s="318"/>
      <c r="R2221" s="318"/>
      <c r="S2221" s="318"/>
      <c r="T2221" s="318"/>
      <c r="U2221" s="318"/>
      <c r="V2221" s="318"/>
      <c r="W2221" s="318"/>
      <c r="X2221" s="318"/>
      <c r="Y2221" s="318"/>
      <c r="Z2221" s="318"/>
      <c r="AA2221" s="318"/>
      <c r="AB2221" s="318"/>
      <c r="AC2221" s="318"/>
      <c r="AD2221" s="318"/>
    </row>
    <row r="2222" spans="2:30" s="323" customFormat="1" ht="12" customHeight="1">
      <c r="B2222" s="324"/>
      <c r="C2222" s="325"/>
      <c r="D2222" s="326"/>
      <c r="E2222" s="326"/>
      <c r="F2222" s="326"/>
      <c r="G2222" s="326"/>
      <c r="H2222" s="326"/>
      <c r="P2222" s="318"/>
      <c r="Q2222" s="318"/>
      <c r="R2222" s="318"/>
      <c r="S2222" s="318"/>
      <c r="T2222" s="318"/>
      <c r="U2222" s="318"/>
      <c r="V2222" s="318"/>
      <c r="W2222" s="318"/>
      <c r="X2222" s="318"/>
      <c r="Y2222" s="318"/>
      <c r="Z2222" s="318"/>
      <c r="AA2222" s="318"/>
      <c r="AB2222" s="318"/>
      <c r="AC2222" s="318"/>
      <c r="AD2222" s="318"/>
    </row>
    <row r="2223" spans="2:30" s="323" customFormat="1" ht="12" customHeight="1">
      <c r="B2223" s="324"/>
      <c r="C2223" s="325"/>
      <c r="D2223" s="326"/>
      <c r="E2223" s="326"/>
      <c r="F2223" s="326"/>
      <c r="G2223" s="326"/>
      <c r="H2223" s="326"/>
      <c r="P2223" s="318"/>
      <c r="Q2223" s="318"/>
      <c r="R2223" s="318"/>
      <c r="S2223" s="318"/>
      <c r="T2223" s="318"/>
      <c r="U2223" s="318"/>
      <c r="V2223" s="318"/>
      <c r="W2223" s="318"/>
      <c r="X2223" s="318"/>
      <c r="Y2223" s="318"/>
      <c r="Z2223" s="318"/>
      <c r="AA2223" s="318"/>
      <c r="AB2223" s="318"/>
      <c r="AC2223" s="318"/>
      <c r="AD2223" s="318"/>
    </row>
    <row r="2224" spans="2:30" s="323" customFormat="1" ht="12" customHeight="1">
      <c r="B2224" s="324"/>
      <c r="C2224" s="325"/>
      <c r="D2224" s="326"/>
      <c r="E2224" s="326"/>
      <c r="F2224" s="326"/>
      <c r="G2224" s="326"/>
      <c r="H2224" s="326"/>
      <c r="P2224" s="318"/>
      <c r="Q2224" s="318"/>
      <c r="R2224" s="318"/>
      <c r="S2224" s="318"/>
      <c r="T2224" s="318"/>
      <c r="U2224" s="318"/>
      <c r="V2224" s="318"/>
      <c r="W2224" s="318"/>
      <c r="X2224" s="318"/>
      <c r="Y2224" s="318"/>
      <c r="Z2224" s="318"/>
      <c r="AA2224" s="318"/>
      <c r="AB2224" s="318"/>
      <c r="AC2224" s="318"/>
      <c r="AD2224" s="318"/>
    </row>
    <row r="2225" spans="2:30" s="323" customFormat="1" ht="12" customHeight="1">
      <c r="B2225" s="324"/>
      <c r="C2225" s="325"/>
      <c r="D2225" s="326"/>
      <c r="E2225" s="326"/>
      <c r="F2225" s="326"/>
      <c r="G2225" s="326"/>
      <c r="H2225" s="326"/>
      <c r="P2225" s="318"/>
      <c r="Q2225" s="318"/>
      <c r="R2225" s="318"/>
      <c r="S2225" s="318"/>
      <c r="T2225" s="318"/>
      <c r="U2225" s="318"/>
      <c r="V2225" s="318"/>
      <c r="W2225" s="318"/>
      <c r="X2225" s="318"/>
      <c r="Y2225" s="318"/>
      <c r="Z2225" s="318"/>
      <c r="AA2225" s="318"/>
      <c r="AB2225" s="318"/>
      <c r="AC2225" s="318"/>
      <c r="AD2225" s="318"/>
    </row>
    <row r="2226" spans="2:30" s="323" customFormat="1" ht="12" customHeight="1">
      <c r="B2226" s="324"/>
      <c r="C2226" s="325"/>
      <c r="D2226" s="326"/>
      <c r="E2226" s="326"/>
      <c r="F2226" s="326"/>
      <c r="G2226" s="326"/>
      <c r="H2226" s="326"/>
      <c r="P2226" s="318"/>
      <c r="Q2226" s="318"/>
      <c r="R2226" s="318"/>
      <c r="S2226" s="318"/>
      <c r="T2226" s="318"/>
      <c r="U2226" s="318"/>
      <c r="V2226" s="318"/>
      <c r="W2226" s="318"/>
      <c r="X2226" s="318"/>
      <c r="Y2226" s="318"/>
      <c r="Z2226" s="318"/>
      <c r="AA2226" s="318"/>
      <c r="AB2226" s="318"/>
      <c r="AC2226" s="318"/>
      <c r="AD2226" s="318"/>
    </row>
    <row r="2227" spans="2:30" s="323" customFormat="1" ht="12" customHeight="1">
      <c r="B2227" s="324"/>
      <c r="C2227" s="325"/>
      <c r="D2227" s="326"/>
      <c r="E2227" s="326"/>
      <c r="F2227" s="326"/>
      <c r="G2227" s="326"/>
      <c r="H2227" s="326"/>
      <c r="P2227" s="318"/>
      <c r="Q2227" s="318"/>
      <c r="R2227" s="318"/>
      <c r="S2227" s="318"/>
      <c r="T2227" s="318"/>
      <c r="U2227" s="318"/>
      <c r="V2227" s="318"/>
      <c r="W2227" s="318"/>
      <c r="X2227" s="318"/>
      <c r="Y2227" s="318"/>
      <c r="Z2227" s="318"/>
      <c r="AA2227" s="318"/>
      <c r="AB2227" s="318"/>
      <c r="AC2227" s="318"/>
      <c r="AD2227" s="318"/>
    </row>
    <row r="2228" spans="2:30" s="323" customFormat="1" ht="12" customHeight="1">
      <c r="B2228" s="324"/>
      <c r="C2228" s="325"/>
      <c r="D2228" s="326"/>
      <c r="E2228" s="326"/>
      <c r="F2228" s="326"/>
      <c r="G2228" s="326"/>
      <c r="H2228" s="326"/>
      <c r="P2228" s="318"/>
      <c r="Q2228" s="318"/>
      <c r="R2228" s="318"/>
      <c r="S2228" s="318"/>
      <c r="T2228" s="318"/>
      <c r="U2228" s="318"/>
      <c r="V2228" s="318"/>
      <c r="W2228" s="318"/>
      <c r="X2228" s="318"/>
      <c r="Y2228" s="318"/>
      <c r="Z2228" s="318"/>
      <c r="AA2228" s="318"/>
      <c r="AB2228" s="318"/>
      <c r="AC2228" s="318"/>
      <c r="AD2228" s="318"/>
    </row>
    <row r="2229" spans="2:30" s="323" customFormat="1" ht="12" customHeight="1">
      <c r="B2229" s="324"/>
      <c r="C2229" s="325"/>
      <c r="D2229" s="326"/>
      <c r="E2229" s="326"/>
      <c r="F2229" s="326"/>
      <c r="G2229" s="326"/>
      <c r="H2229" s="326"/>
      <c r="P2229" s="318"/>
      <c r="Q2229" s="318"/>
      <c r="R2229" s="318"/>
      <c r="S2229" s="318"/>
      <c r="T2229" s="318"/>
      <c r="U2229" s="318"/>
      <c r="V2229" s="318"/>
      <c r="W2229" s="318"/>
      <c r="X2229" s="318"/>
      <c r="Y2229" s="318"/>
      <c r="Z2229" s="318"/>
      <c r="AA2229" s="318"/>
      <c r="AB2229" s="318"/>
      <c r="AC2229" s="318"/>
      <c r="AD2229" s="318"/>
    </row>
    <row r="2230" spans="2:30" s="323" customFormat="1" ht="12" customHeight="1">
      <c r="B2230" s="324"/>
      <c r="C2230" s="325"/>
      <c r="D2230" s="326"/>
      <c r="E2230" s="326"/>
      <c r="F2230" s="326"/>
      <c r="G2230" s="326"/>
      <c r="H2230" s="326"/>
      <c r="P2230" s="318"/>
      <c r="Q2230" s="318"/>
      <c r="R2230" s="318"/>
      <c r="S2230" s="318"/>
      <c r="T2230" s="318"/>
      <c r="U2230" s="318"/>
      <c r="V2230" s="318"/>
      <c r="W2230" s="318"/>
      <c r="X2230" s="318"/>
      <c r="Y2230" s="318"/>
      <c r="Z2230" s="318"/>
      <c r="AA2230" s="318"/>
      <c r="AB2230" s="318"/>
      <c r="AC2230" s="318"/>
      <c r="AD2230" s="318"/>
    </row>
    <row r="2231" spans="2:30" s="323" customFormat="1" ht="12" customHeight="1">
      <c r="B2231" s="324"/>
      <c r="C2231" s="325"/>
      <c r="D2231" s="326"/>
      <c r="E2231" s="326"/>
      <c r="F2231" s="326"/>
      <c r="G2231" s="326"/>
      <c r="H2231" s="326"/>
      <c r="P2231" s="318"/>
      <c r="Q2231" s="318"/>
      <c r="R2231" s="318"/>
      <c r="S2231" s="318"/>
      <c r="T2231" s="318"/>
      <c r="U2231" s="318"/>
      <c r="V2231" s="318"/>
      <c r="W2231" s="318"/>
      <c r="X2231" s="318"/>
      <c r="Y2231" s="318"/>
      <c r="Z2231" s="318"/>
      <c r="AA2231" s="318"/>
      <c r="AB2231" s="318"/>
      <c r="AC2231" s="318"/>
      <c r="AD2231" s="318"/>
    </row>
    <row r="2232" spans="2:30" s="323" customFormat="1" ht="12" customHeight="1">
      <c r="B2232" s="324"/>
      <c r="C2232" s="325"/>
      <c r="D2232" s="326"/>
      <c r="E2232" s="326"/>
      <c r="F2232" s="326"/>
      <c r="G2232" s="326"/>
      <c r="H2232" s="326"/>
      <c r="P2232" s="318"/>
      <c r="Q2232" s="318"/>
      <c r="R2232" s="318"/>
      <c r="S2232" s="318"/>
      <c r="T2232" s="318"/>
      <c r="U2232" s="318"/>
      <c r="V2232" s="318"/>
      <c r="W2232" s="318"/>
      <c r="X2232" s="318"/>
      <c r="Y2232" s="318"/>
      <c r="Z2232" s="318"/>
      <c r="AA2232" s="318"/>
      <c r="AB2232" s="318"/>
      <c r="AC2232" s="318"/>
      <c r="AD2232" s="318"/>
    </row>
    <row r="2233" spans="2:30" s="323" customFormat="1" ht="12" customHeight="1">
      <c r="B2233" s="324"/>
      <c r="C2233" s="325"/>
      <c r="D2233" s="326"/>
      <c r="E2233" s="326"/>
      <c r="F2233" s="326"/>
      <c r="G2233" s="326"/>
      <c r="H2233" s="326"/>
      <c r="P2233" s="318"/>
      <c r="Q2233" s="318"/>
      <c r="R2233" s="318"/>
      <c r="S2233" s="318"/>
      <c r="T2233" s="318"/>
      <c r="U2233" s="318"/>
      <c r="V2233" s="318"/>
      <c r="W2233" s="318"/>
      <c r="X2233" s="318"/>
      <c r="Y2233" s="318"/>
      <c r="Z2233" s="318"/>
      <c r="AA2233" s="318"/>
      <c r="AB2233" s="318"/>
      <c r="AC2233" s="318"/>
      <c r="AD2233" s="318"/>
    </row>
    <row r="2234" spans="2:30" s="323" customFormat="1" ht="12" customHeight="1">
      <c r="B2234" s="324"/>
      <c r="C2234" s="325"/>
      <c r="D2234" s="326"/>
      <c r="E2234" s="326"/>
      <c r="F2234" s="326"/>
      <c r="G2234" s="326"/>
      <c r="H2234" s="326"/>
      <c r="P2234" s="318"/>
      <c r="Q2234" s="318"/>
      <c r="R2234" s="318"/>
      <c r="S2234" s="318"/>
      <c r="T2234" s="318"/>
      <c r="U2234" s="318"/>
      <c r="V2234" s="318"/>
      <c r="W2234" s="318"/>
      <c r="X2234" s="318"/>
      <c r="Y2234" s="318"/>
      <c r="Z2234" s="318"/>
      <c r="AA2234" s="318"/>
      <c r="AB2234" s="318"/>
      <c r="AC2234" s="318"/>
      <c r="AD2234" s="318"/>
    </row>
    <row r="2235" spans="2:30" s="323" customFormat="1" ht="12" customHeight="1">
      <c r="B2235" s="324"/>
      <c r="C2235" s="325"/>
      <c r="D2235" s="326"/>
      <c r="E2235" s="326"/>
      <c r="F2235" s="326"/>
      <c r="G2235" s="326"/>
      <c r="H2235" s="326"/>
      <c r="P2235" s="318"/>
      <c r="Q2235" s="318"/>
      <c r="R2235" s="318"/>
      <c r="S2235" s="318"/>
      <c r="T2235" s="318"/>
      <c r="U2235" s="318"/>
      <c r="V2235" s="318"/>
      <c r="W2235" s="318"/>
      <c r="X2235" s="318"/>
      <c r="Y2235" s="318"/>
      <c r="Z2235" s="318"/>
      <c r="AA2235" s="318"/>
      <c r="AB2235" s="318"/>
      <c r="AC2235" s="318"/>
      <c r="AD2235" s="318"/>
    </row>
    <row r="2236" spans="2:30" s="323" customFormat="1" ht="12" customHeight="1">
      <c r="B2236" s="324"/>
      <c r="C2236" s="325"/>
      <c r="D2236" s="326"/>
      <c r="E2236" s="326"/>
      <c r="F2236" s="326"/>
      <c r="G2236" s="326"/>
      <c r="H2236" s="326"/>
      <c r="P2236" s="318"/>
      <c r="Q2236" s="318"/>
      <c r="R2236" s="318"/>
      <c r="S2236" s="318"/>
      <c r="T2236" s="318"/>
      <c r="U2236" s="318"/>
      <c r="V2236" s="318"/>
      <c r="W2236" s="318"/>
      <c r="X2236" s="318"/>
      <c r="Y2236" s="318"/>
      <c r="Z2236" s="318"/>
      <c r="AA2236" s="318"/>
      <c r="AB2236" s="318"/>
      <c r="AC2236" s="318"/>
      <c r="AD2236" s="318"/>
    </row>
    <row r="2237" spans="2:30" s="323" customFormat="1" ht="12" customHeight="1">
      <c r="B2237" s="324"/>
      <c r="C2237" s="325"/>
      <c r="D2237" s="326"/>
      <c r="E2237" s="326"/>
      <c r="F2237" s="326"/>
      <c r="G2237" s="326"/>
      <c r="H2237" s="326"/>
      <c r="P2237" s="318"/>
      <c r="Q2237" s="318"/>
      <c r="R2237" s="318"/>
      <c r="S2237" s="318"/>
      <c r="T2237" s="318"/>
      <c r="U2237" s="318"/>
      <c r="V2237" s="318"/>
      <c r="W2237" s="318"/>
      <c r="X2237" s="318"/>
      <c r="Y2237" s="318"/>
      <c r="Z2237" s="318"/>
      <c r="AA2237" s="318"/>
      <c r="AB2237" s="318"/>
      <c r="AC2237" s="318"/>
      <c r="AD2237" s="318"/>
    </row>
    <row r="2238" spans="2:30" s="323" customFormat="1" ht="12" customHeight="1">
      <c r="B2238" s="324"/>
      <c r="C2238" s="325"/>
      <c r="D2238" s="326"/>
      <c r="E2238" s="326"/>
      <c r="F2238" s="326"/>
      <c r="G2238" s="326"/>
      <c r="H2238" s="326"/>
      <c r="P2238" s="318"/>
      <c r="Q2238" s="318"/>
      <c r="R2238" s="318"/>
      <c r="S2238" s="318"/>
      <c r="T2238" s="318"/>
      <c r="U2238" s="318"/>
      <c r="V2238" s="318"/>
      <c r="W2238" s="318"/>
      <c r="X2238" s="318"/>
      <c r="Y2238" s="318"/>
      <c r="Z2238" s="318"/>
      <c r="AA2238" s="318"/>
      <c r="AB2238" s="318"/>
      <c r="AC2238" s="318"/>
      <c r="AD2238" s="318"/>
    </row>
    <row r="2239" spans="2:30" s="323" customFormat="1" ht="12" customHeight="1">
      <c r="B2239" s="324"/>
      <c r="C2239" s="325"/>
      <c r="D2239" s="326"/>
      <c r="E2239" s="326"/>
      <c r="F2239" s="326"/>
      <c r="G2239" s="326"/>
      <c r="H2239" s="326"/>
      <c r="P2239" s="318"/>
      <c r="Q2239" s="318"/>
      <c r="R2239" s="318"/>
      <c r="S2239" s="318"/>
      <c r="T2239" s="318"/>
      <c r="U2239" s="318"/>
      <c r="V2239" s="318"/>
      <c r="W2239" s="318"/>
      <c r="X2239" s="318"/>
      <c r="Y2239" s="318"/>
      <c r="Z2239" s="318"/>
      <c r="AA2239" s="318"/>
      <c r="AB2239" s="318"/>
      <c r="AC2239" s="318"/>
      <c r="AD2239" s="318"/>
    </row>
    <row r="2240" spans="2:30" s="323" customFormat="1" ht="12" customHeight="1">
      <c r="B2240" s="324"/>
      <c r="C2240" s="325"/>
      <c r="D2240" s="326"/>
      <c r="E2240" s="326"/>
      <c r="F2240" s="326"/>
      <c r="G2240" s="326"/>
      <c r="H2240" s="326"/>
      <c r="P2240" s="318"/>
      <c r="Q2240" s="318"/>
      <c r="R2240" s="318"/>
      <c r="S2240" s="318"/>
      <c r="T2240" s="318"/>
      <c r="U2240" s="318"/>
      <c r="V2240" s="318"/>
      <c r="W2240" s="318"/>
      <c r="X2240" s="318"/>
      <c r="Y2240" s="318"/>
      <c r="Z2240" s="318"/>
      <c r="AA2240" s="318"/>
      <c r="AB2240" s="318"/>
      <c r="AC2240" s="318"/>
      <c r="AD2240" s="318"/>
    </row>
    <row r="2241" spans="2:30" s="323" customFormat="1" ht="12" customHeight="1">
      <c r="B2241" s="324"/>
      <c r="C2241" s="325"/>
      <c r="D2241" s="326"/>
      <c r="E2241" s="326"/>
      <c r="F2241" s="326"/>
      <c r="G2241" s="326"/>
      <c r="H2241" s="326"/>
      <c r="P2241" s="318"/>
      <c r="Q2241" s="318"/>
      <c r="R2241" s="318"/>
      <c r="S2241" s="318"/>
      <c r="T2241" s="318"/>
      <c r="U2241" s="318"/>
      <c r="V2241" s="318"/>
      <c r="W2241" s="318"/>
      <c r="X2241" s="318"/>
      <c r="Y2241" s="318"/>
      <c r="Z2241" s="318"/>
      <c r="AA2241" s="318"/>
      <c r="AB2241" s="318"/>
      <c r="AC2241" s="318"/>
      <c r="AD2241" s="318"/>
    </row>
    <row r="2242" spans="2:30" s="323" customFormat="1" ht="12" customHeight="1">
      <c r="B2242" s="324"/>
      <c r="C2242" s="325"/>
      <c r="D2242" s="326"/>
      <c r="E2242" s="326"/>
      <c r="F2242" s="326"/>
      <c r="G2242" s="326"/>
      <c r="H2242" s="326"/>
      <c r="P2242" s="318"/>
      <c r="Q2242" s="318"/>
      <c r="R2242" s="318"/>
      <c r="S2242" s="318"/>
      <c r="T2242" s="318"/>
      <c r="U2242" s="318"/>
      <c r="V2242" s="318"/>
      <c r="W2242" s="318"/>
      <c r="X2242" s="318"/>
      <c r="Y2242" s="318"/>
      <c r="Z2242" s="318"/>
      <c r="AA2242" s="318"/>
      <c r="AB2242" s="318"/>
      <c r="AC2242" s="318"/>
      <c r="AD2242" s="318"/>
    </row>
    <row r="2243" spans="2:30" s="323" customFormat="1" ht="12" customHeight="1">
      <c r="B2243" s="324"/>
      <c r="C2243" s="325"/>
      <c r="D2243" s="326"/>
      <c r="E2243" s="326"/>
      <c r="F2243" s="326"/>
      <c r="G2243" s="326"/>
      <c r="H2243" s="326"/>
      <c r="P2243" s="318"/>
      <c r="Q2243" s="318"/>
      <c r="R2243" s="318"/>
      <c r="S2243" s="318"/>
      <c r="T2243" s="318"/>
      <c r="U2243" s="318"/>
      <c r="V2243" s="318"/>
      <c r="W2243" s="318"/>
      <c r="X2243" s="318"/>
      <c r="Y2243" s="318"/>
      <c r="Z2243" s="318"/>
      <c r="AA2243" s="318"/>
      <c r="AB2243" s="318"/>
      <c r="AC2243" s="318"/>
      <c r="AD2243" s="318"/>
    </row>
    <row r="2244" spans="2:30" s="323" customFormat="1" ht="12" customHeight="1">
      <c r="B2244" s="324"/>
      <c r="C2244" s="325"/>
      <c r="D2244" s="326"/>
      <c r="E2244" s="326"/>
      <c r="F2244" s="326"/>
      <c r="G2244" s="326"/>
      <c r="H2244" s="326"/>
      <c r="P2244" s="318"/>
      <c r="Q2244" s="318"/>
      <c r="R2244" s="318"/>
      <c r="S2244" s="318"/>
      <c r="T2244" s="318"/>
      <c r="U2244" s="318"/>
      <c r="V2244" s="318"/>
      <c r="W2244" s="318"/>
      <c r="X2244" s="318"/>
      <c r="Y2244" s="318"/>
      <c r="Z2244" s="318"/>
      <c r="AA2244" s="318"/>
      <c r="AB2244" s="318"/>
      <c r="AC2244" s="318"/>
      <c r="AD2244" s="318"/>
    </row>
    <row r="2245" spans="2:30" s="323" customFormat="1" ht="12" customHeight="1">
      <c r="B2245" s="324"/>
      <c r="C2245" s="325"/>
      <c r="D2245" s="326"/>
      <c r="E2245" s="326"/>
      <c r="F2245" s="326"/>
      <c r="G2245" s="326"/>
      <c r="H2245" s="326"/>
      <c r="P2245" s="318"/>
      <c r="Q2245" s="318"/>
      <c r="R2245" s="318"/>
      <c r="S2245" s="318"/>
      <c r="T2245" s="318"/>
      <c r="U2245" s="318"/>
      <c r="V2245" s="318"/>
      <c r="W2245" s="318"/>
      <c r="X2245" s="318"/>
      <c r="Y2245" s="318"/>
      <c r="Z2245" s="318"/>
      <c r="AA2245" s="318"/>
      <c r="AB2245" s="318"/>
      <c r="AC2245" s="318"/>
      <c r="AD2245" s="318"/>
    </row>
    <row r="2246" spans="2:30" s="323" customFormat="1" ht="12" customHeight="1">
      <c r="B2246" s="324"/>
      <c r="C2246" s="325"/>
      <c r="D2246" s="326"/>
      <c r="E2246" s="326"/>
      <c r="F2246" s="326"/>
      <c r="G2246" s="326"/>
      <c r="H2246" s="326"/>
      <c r="P2246" s="318"/>
      <c r="Q2246" s="318"/>
      <c r="R2246" s="318"/>
      <c r="S2246" s="318"/>
      <c r="T2246" s="318"/>
      <c r="U2246" s="318"/>
      <c r="V2246" s="318"/>
      <c r="W2246" s="318"/>
      <c r="X2246" s="318"/>
      <c r="Y2246" s="318"/>
      <c r="Z2246" s="318"/>
      <c r="AA2246" s="318"/>
      <c r="AB2246" s="318"/>
      <c r="AC2246" s="318"/>
      <c r="AD2246" s="318"/>
    </row>
    <row r="2247" spans="2:30" s="323" customFormat="1" ht="12" customHeight="1">
      <c r="B2247" s="324"/>
      <c r="C2247" s="325"/>
      <c r="D2247" s="326"/>
      <c r="E2247" s="326"/>
      <c r="F2247" s="326"/>
      <c r="G2247" s="326"/>
      <c r="H2247" s="326"/>
      <c r="P2247" s="318"/>
      <c r="Q2247" s="318"/>
      <c r="R2247" s="318"/>
      <c r="S2247" s="318"/>
      <c r="T2247" s="318"/>
      <c r="U2247" s="318"/>
      <c r="V2247" s="318"/>
      <c r="W2247" s="318"/>
      <c r="X2247" s="318"/>
      <c r="Y2247" s="318"/>
      <c r="Z2247" s="318"/>
      <c r="AA2247" s="318"/>
      <c r="AB2247" s="318"/>
      <c r="AC2247" s="318"/>
      <c r="AD2247" s="318"/>
    </row>
    <row r="2248" spans="2:30" s="323" customFormat="1" ht="12" customHeight="1">
      <c r="B2248" s="324"/>
      <c r="C2248" s="325"/>
      <c r="D2248" s="326"/>
      <c r="E2248" s="326"/>
      <c r="F2248" s="326"/>
      <c r="G2248" s="326"/>
      <c r="H2248" s="326"/>
      <c r="P2248" s="318"/>
      <c r="Q2248" s="318"/>
      <c r="R2248" s="318"/>
      <c r="S2248" s="318"/>
      <c r="T2248" s="318"/>
      <c r="U2248" s="318"/>
      <c r="V2248" s="318"/>
      <c r="W2248" s="318"/>
      <c r="X2248" s="318"/>
      <c r="Y2248" s="318"/>
      <c r="Z2248" s="318"/>
      <c r="AA2248" s="318"/>
      <c r="AB2248" s="318"/>
      <c r="AC2248" s="318"/>
      <c r="AD2248" s="318"/>
    </row>
    <row r="2249" spans="2:30" s="323" customFormat="1" ht="12" customHeight="1">
      <c r="B2249" s="324"/>
      <c r="C2249" s="325"/>
      <c r="D2249" s="326"/>
      <c r="E2249" s="326"/>
      <c r="F2249" s="326"/>
      <c r="G2249" s="326"/>
      <c r="H2249" s="326"/>
      <c r="P2249" s="318"/>
      <c r="Q2249" s="318"/>
      <c r="R2249" s="318"/>
      <c r="S2249" s="318"/>
      <c r="T2249" s="318"/>
      <c r="U2249" s="318"/>
      <c r="V2249" s="318"/>
      <c r="W2249" s="318"/>
      <c r="X2249" s="318"/>
      <c r="Y2249" s="318"/>
      <c r="Z2249" s="318"/>
      <c r="AA2249" s="318"/>
      <c r="AB2249" s="318"/>
      <c r="AC2249" s="318"/>
      <c r="AD2249" s="318"/>
    </row>
    <row r="2250" spans="2:30" s="323" customFormat="1" ht="12" customHeight="1">
      <c r="B2250" s="324"/>
      <c r="C2250" s="325"/>
      <c r="D2250" s="326"/>
      <c r="E2250" s="326"/>
      <c r="F2250" s="326"/>
      <c r="G2250" s="326"/>
      <c r="H2250" s="326"/>
      <c r="P2250" s="318"/>
      <c r="Q2250" s="318"/>
      <c r="R2250" s="318"/>
      <c r="S2250" s="318"/>
      <c r="T2250" s="318"/>
      <c r="U2250" s="318"/>
      <c r="V2250" s="318"/>
      <c r="W2250" s="318"/>
      <c r="X2250" s="318"/>
      <c r="Y2250" s="318"/>
      <c r="Z2250" s="318"/>
      <c r="AA2250" s="318"/>
      <c r="AB2250" s="318"/>
      <c r="AC2250" s="318"/>
      <c r="AD2250" s="318"/>
    </row>
    <row r="2251" spans="2:30" s="323" customFormat="1" ht="12" customHeight="1">
      <c r="B2251" s="324"/>
      <c r="C2251" s="325"/>
      <c r="D2251" s="326"/>
      <c r="E2251" s="326"/>
      <c r="F2251" s="326"/>
      <c r="G2251" s="326"/>
      <c r="H2251" s="326"/>
      <c r="P2251" s="318"/>
      <c r="Q2251" s="318"/>
      <c r="R2251" s="318"/>
      <c r="S2251" s="318"/>
      <c r="T2251" s="318"/>
      <c r="U2251" s="318"/>
      <c r="V2251" s="318"/>
      <c r="W2251" s="318"/>
      <c r="X2251" s="318"/>
      <c r="Y2251" s="318"/>
      <c r="Z2251" s="318"/>
      <c r="AA2251" s="318"/>
      <c r="AB2251" s="318"/>
      <c r="AC2251" s="318"/>
      <c r="AD2251" s="318"/>
    </row>
    <row r="2252" spans="2:30" s="323" customFormat="1" ht="12" customHeight="1">
      <c r="B2252" s="324"/>
      <c r="C2252" s="325"/>
      <c r="D2252" s="326"/>
      <c r="E2252" s="326"/>
      <c r="F2252" s="326"/>
      <c r="G2252" s="326"/>
      <c r="H2252" s="326"/>
      <c r="P2252" s="318"/>
      <c r="Q2252" s="318"/>
      <c r="R2252" s="318"/>
      <c r="S2252" s="318"/>
      <c r="T2252" s="318"/>
      <c r="U2252" s="318"/>
      <c r="V2252" s="318"/>
      <c r="W2252" s="318"/>
      <c r="X2252" s="318"/>
      <c r="Y2252" s="318"/>
      <c r="Z2252" s="318"/>
      <c r="AA2252" s="318"/>
      <c r="AB2252" s="318"/>
      <c r="AC2252" s="318"/>
      <c r="AD2252" s="318"/>
    </row>
    <row r="2253" spans="2:30" s="323" customFormat="1" ht="12" customHeight="1">
      <c r="B2253" s="324"/>
      <c r="C2253" s="325"/>
      <c r="D2253" s="326"/>
      <c r="E2253" s="326"/>
      <c r="F2253" s="326"/>
      <c r="G2253" s="326"/>
      <c r="H2253" s="326"/>
      <c r="P2253" s="318"/>
      <c r="Q2253" s="318"/>
      <c r="R2253" s="318"/>
      <c r="S2253" s="318"/>
      <c r="T2253" s="318"/>
      <c r="U2253" s="318"/>
      <c r="V2253" s="318"/>
      <c r="W2253" s="318"/>
      <c r="X2253" s="318"/>
      <c r="Y2253" s="318"/>
      <c r="Z2253" s="318"/>
      <c r="AA2253" s="318"/>
      <c r="AB2253" s="318"/>
      <c r="AC2253" s="318"/>
      <c r="AD2253" s="318"/>
    </row>
    <row r="2254" spans="2:30" s="323" customFormat="1" ht="12" customHeight="1">
      <c r="B2254" s="324"/>
      <c r="C2254" s="325"/>
      <c r="D2254" s="326"/>
      <c r="E2254" s="326"/>
      <c r="F2254" s="326"/>
      <c r="G2254" s="326"/>
      <c r="H2254" s="326"/>
      <c r="P2254" s="318"/>
      <c r="Q2254" s="318"/>
      <c r="R2254" s="318"/>
      <c r="S2254" s="318"/>
      <c r="T2254" s="318"/>
      <c r="U2254" s="318"/>
      <c r="V2254" s="318"/>
      <c r="W2254" s="318"/>
      <c r="X2254" s="318"/>
      <c r="Y2254" s="318"/>
      <c r="Z2254" s="318"/>
      <c r="AA2254" s="318"/>
      <c r="AB2254" s="318"/>
      <c r="AC2254" s="318"/>
      <c r="AD2254" s="318"/>
    </row>
    <row r="2255" spans="2:30" s="323" customFormat="1" ht="12" customHeight="1">
      <c r="B2255" s="324"/>
      <c r="C2255" s="325"/>
      <c r="D2255" s="326"/>
      <c r="E2255" s="326"/>
      <c r="F2255" s="326"/>
      <c r="G2255" s="326"/>
      <c r="H2255" s="326"/>
      <c r="P2255" s="318"/>
      <c r="Q2255" s="318"/>
      <c r="R2255" s="318"/>
      <c r="S2255" s="318"/>
      <c r="T2255" s="318"/>
      <c r="U2255" s="318"/>
      <c r="V2255" s="318"/>
      <c r="W2255" s="318"/>
      <c r="X2255" s="318"/>
      <c r="Y2255" s="318"/>
      <c r="Z2255" s="318"/>
      <c r="AA2255" s="318"/>
      <c r="AB2255" s="318"/>
      <c r="AC2255" s="318"/>
      <c r="AD2255" s="318"/>
    </row>
    <row r="2256" spans="2:30" s="323" customFormat="1" ht="12" customHeight="1">
      <c r="B2256" s="324"/>
      <c r="C2256" s="325"/>
      <c r="D2256" s="326"/>
      <c r="E2256" s="326"/>
      <c r="F2256" s="326"/>
      <c r="G2256" s="326"/>
      <c r="H2256" s="326"/>
      <c r="P2256" s="318"/>
      <c r="Q2256" s="318"/>
      <c r="R2256" s="318"/>
      <c r="S2256" s="318"/>
      <c r="T2256" s="318"/>
      <c r="U2256" s="318"/>
      <c r="V2256" s="318"/>
      <c r="W2256" s="318"/>
      <c r="X2256" s="318"/>
      <c r="Y2256" s="318"/>
      <c r="Z2256" s="318"/>
      <c r="AA2256" s="318"/>
      <c r="AB2256" s="318"/>
      <c r="AC2256" s="318"/>
      <c r="AD2256" s="318"/>
    </row>
    <row r="2257" spans="2:30" s="323" customFormat="1" ht="12" customHeight="1">
      <c r="B2257" s="324"/>
      <c r="C2257" s="325"/>
      <c r="D2257" s="326"/>
      <c r="E2257" s="326"/>
      <c r="F2257" s="326"/>
      <c r="G2257" s="326"/>
      <c r="H2257" s="326"/>
      <c r="P2257" s="318"/>
      <c r="Q2257" s="318"/>
      <c r="R2257" s="318"/>
      <c r="S2257" s="318"/>
      <c r="T2257" s="318"/>
      <c r="U2257" s="318"/>
      <c r="V2257" s="318"/>
      <c r="W2257" s="318"/>
      <c r="X2257" s="318"/>
      <c r="Y2257" s="318"/>
      <c r="Z2257" s="318"/>
      <c r="AA2257" s="318"/>
      <c r="AB2257" s="318"/>
      <c r="AC2257" s="318"/>
      <c r="AD2257" s="318"/>
    </row>
    <row r="2258" spans="2:30" s="323" customFormat="1" ht="12" customHeight="1">
      <c r="B2258" s="324"/>
      <c r="C2258" s="325"/>
      <c r="D2258" s="326"/>
      <c r="E2258" s="326"/>
      <c r="F2258" s="326"/>
      <c r="G2258" s="326"/>
      <c r="H2258" s="326"/>
      <c r="P2258" s="318"/>
      <c r="Q2258" s="318"/>
      <c r="R2258" s="318"/>
      <c r="S2258" s="318"/>
      <c r="T2258" s="318"/>
      <c r="U2258" s="318"/>
      <c r="V2258" s="318"/>
      <c r="W2258" s="318"/>
      <c r="X2258" s="318"/>
      <c r="Y2258" s="318"/>
      <c r="Z2258" s="318"/>
      <c r="AA2258" s="318"/>
      <c r="AB2258" s="318"/>
      <c r="AC2258" s="318"/>
      <c r="AD2258" s="318"/>
    </row>
    <row r="2259" spans="2:30" s="323" customFormat="1" ht="12" customHeight="1">
      <c r="B2259" s="324"/>
      <c r="C2259" s="325"/>
      <c r="D2259" s="326"/>
      <c r="E2259" s="326"/>
      <c r="F2259" s="326"/>
      <c r="G2259" s="326"/>
      <c r="H2259" s="326"/>
      <c r="P2259" s="318"/>
      <c r="Q2259" s="318"/>
      <c r="R2259" s="318"/>
      <c r="S2259" s="318"/>
      <c r="T2259" s="318"/>
      <c r="U2259" s="318"/>
      <c r="V2259" s="318"/>
      <c r="W2259" s="318"/>
      <c r="X2259" s="318"/>
      <c r="Y2259" s="318"/>
      <c r="Z2259" s="318"/>
      <c r="AA2259" s="318"/>
      <c r="AB2259" s="318"/>
      <c r="AC2259" s="318"/>
      <c r="AD2259" s="318"/>
    </row>
    <row r="2260" spans="2:30" s="323" customFormat="1" ht="12" customHeight="1">
      <c r="B2260" s="324"/>
      <c r="C2260" s="325"/>
      <c r="D2260" s="326"/>
      <c r="E2260" s="326"/>
      <c r="F2260" s="326"/>
      <c r="G2260" s="326"/>
      <c r="H2260" s="326"/>
      <c r="P2260" s="318"/>
      <c r="Q2260" s="318"/>
      <c r="R2260" s="318"/>
      <c r="S2260" s="318"/>
      <c r="T2260" s="318"/>
      <c r="U2260" s="318"/>
      <c r="V2260" s="318"/>
      <c r="W2260" s="318"/>
      <c r="X2260" s="318"/>
      <c r="Y2260" s="318"/>
      <c r="Z2260" s="318"/>
      <c r="AA2260" s="318"/>
      <c r="AB2260" s="318"/>
      <c r="AC2260" s="318"/>
      <c r="AD2260" s="318"/>
    </row>
    <row r="2261" spans="2:30" s="323" customFormat="1" ht="12" customHeight="1">
      <c r="B2261" s="324"/>
      <c r="C2261" s="325"/>
      <c r="D2261" s="326"/>
      <c r="E2261" s="326"/>
      <c r="F2261" s="326"/>
      <c r="G2261" s="326"/>
      <c r="H2261" s="326"/>
      <c r="P2261" s="318"/>
      <c r="Q2261" s="318"/>
      <c r="R2261" s="318"/>
      <c r="S2261" s="318"/>
      <c r="T2261" s="318"/>
      <c r="U2261" s="318"/>
      <c r="V2261" s="318"/>
      <c r="W2261" s="318"/>
      <c r="X2261" s="318"/>
      <c r="Y2261" s="318"/>
      <c r="Z2261" s="318"/>
      <c r="AA2261" s="318"/>
      <c r="AB2261" s="318"/>
      <c r="AC2261" s="318"/>
      <c r="AD2261" s="318"/>
    </row>
    <row r="2262" spans="2:30" s="323" customFormat="1" ht="12" customHeight="1">
      <c r="B2262" s="324"/>
      <c r="C2262" s="325"/>
      <c r="D2262" s="326"/>
      <c r="E2262" s="326"/>
      <c r="F2262" s="326"/>
      <c r="G2262" s="326"/>
      <c r="H2262" s="326"/>
      <c r="P2262" s="318"/>
      <c r="Q2262" s="318"/>
      <c r="R2262" s="318"/>
      <c r="S2262" s="318"/>
      <c r="T2262" s="318"/>
      <c r="U2262" s="318"/>
      <c r="V2262" s="318"/>
      <c r="W2262" s="318"/>
      <c r="X2262" s="318"/>
      <c r="Y2262" s="318"/>
      <c r="Z2262" s="318"/>
      <c r="AA2262" s="318"/>
      <c r="AB2262" s="318"/>
      <c r="AC2262" s="318"/>
      <c r="AD2262" s="318"/>
    </row>
    <row r="2263" spans="2:30" s="323" customFormat="1" ht="12" customHeight="1">
      <c r="B2263" s="324"/>
      <c r="C2263" s="325"/>
      <c r="D2263" s="326"/>
      <c r="E2263" s="326"/>
      <c r="F2263" s="326"/>
      <c r="G2263" s="326"/>
      <c r="H2263" s="326"/>
      <c r="P2263" s="318"/>
      <c r="Q2263" s="318"/>
      <c r="R2263" s="318"/>
      <c r="S2263" s="318"/>
      <c r="T2263" s="318"/>
      <c r="U2263" s="318"/>
      <c r="V2263" s="318"/>
      <c r="W2263" s="318"/>
      <c r="X2263" s="318"/>
      <c r="Y2263" s="318"/>
      <c r="Z2263" s="318"/>
      <c r="AA2263" s="318"/>
      <c r="AB2263" s="318"/>
      <c r="AC2263" s="318"/>
      <c r="AD2263" s="318"/>
    </row>
    <row r="2264" spans="2:30" s="323" customFormat="1" ht="12" customHeight="1">
      <c r="B2264" s="324"/>
      <c r="C2264" s="325"/>
      <c r="D2264" s="326"/>
      <c r="E2264" s="326"/>
      <c r="F2264" s="326"/>
      <c r="G2264" s="326"/>
      <c r="H2264" s="326"/>
      <c r="P2264" s="318"/>
      <c r="Q2264" s="318"/>
      <c r="R2264" s="318"/>
      <c r="S2264" s="318"/>
      <c r="T2264" s="318"/>
      <c r="U2264" s="318"/>
      <c r="V2264" s="318"/>
      <c r="W2264" s="318"/>
      <c r="X2264" s="318"/>
      <c r="Y2264" s="318"/>
      <c r="Z2264" s="318"/>
      <c r="AA2264" s="318"/>
      <c r="AB2264" s="318"/>
      <c r="AC2264" s="318"/>
      <c r="AD2264" s="318"/>
    </row>
    <row r="2265" spans="2:30" s="323" customFormat="1" ht="12" customHeight="1">
      <c r="B2265" s="324"/>
      <c r="C2265" s="325"/>
      <c r="D2265" s="326"/>
      <c r="E2265" s="326"/>
      <c r="F2265" s="326"/>
      <c r="G2265" s="326"/>
      <c r="H2265" s="326"/>
      <c r="P2265" s="318"/>
      <c r="Q2265" s="318"/>
      <c r="R2265" s="318"/>
      <c r="S2265" s="318"/>
      <c r="T2265" s="318"/>
      <c r="U2265" s="318"/>
      <c r="V2265" s="318"/>
      <c r="W2265" s="318"/>
      <c r="X2265" s="318"/>
      <c r="Y2265" s="318"/>
      <c r="Z2265" s="318"/>
      <c r="AA2265" s="318"/>
      <c r="AB2265" s="318"/>
      <c r="AC2265" s="318"/>
      <c r="AD2265" s="318"/>
    </row>
    <row r="2266" spans="2:30" s="323" customFormat="1" ht="12" customHeight="1">
      <c r="B2266" s="324"/>
      <c r="C2266" s="325"/>
      <c r="D2266" s="326"/>
      <c r="E2266" s="326"/>
      <c r="F2266" s="326"/>
      <c r="G2266" s="326"/>
      <c r="H2266" s="326"/>
      <c r="P2266" s="318"/>
      <c r="Q2266" s="318"/>
      <c r="R2266" s="318"/>
      <c r="S2266" s="318"/>
      <c r="T2266" s="318"/>
      <c r="U2266" s="318"/>
      <c r="V2266" s="318"/>
      <c r="W2266" s="318"/>
      <c r="X2266" s="318"/>
      <c r="Y2266" s="318"/>
      <c r="Z2266" s="318"/>
      <c r="AA2266" s="318"/>
      <c r="AB2266" s="318"/>
      <c r="AC2266" s="318"/>
      <c r="AD2266" s="318"/>
    </row>
    <row r="2267" spans="2:30" s="323" customFormat="1" ht="12" customHeight="1">
      <c r="B2267" s="324"/>
      <c r="C2267" s="325"/>
      <c r="D2267" s="326"/>
      <c r="E2267" s="326"/>
      <c r="F2267" s="326"/>
      <c r="G2267" s="326"/>
      <c r="H2267" s="326"/>
      <c r="P2267" s="318"/>
      <c r="Q2267" s="318"/>
      <c r="R2267" s="318"/>
      <c r="S2267" s="318"/>
      <c r="T2267" s="318"/>
      <c r="U2267" s="318"/>
      <c r="V2267" s="318"/>
      <c r="W2267" s="318"/>
      <c r="X2267" s="318"/>
      <c r="Y2267" s="318"/>
      <c r="Z2267" s="318"/>
      <c r="AA2267" s="318"/>
      <c r="AB2267" s="318"/>
      <c r="AC2267" s="318"/>
      <c r="AD2267" s="318"/>
    </row>
    <row r="2268" spans="2:30" s="323" customFormat="1" ht="12" customHeight="1">
      <c r="B2268" s="324"/>
      <c r="C2268" s="325"/>
      <c r="D2268" s="326"/>
      <c r="E2268" s="326"/>
      <c r="F2268" s="326"/>
      <c r="G2268" s="326"/>
      <c r="H2268" s="326"/>
      <c r="P2268" s="318"/>
      <c r="Q2268" s="318"/>
      <c r="R2268" s="318"/>
      <c r="S2268" s="318"/>
      <c r="T2268" s="318"/>
      <c r="U2268" s="318"/>
      <c r="V2268" s="318"/>
      <c r="W2268" s="318"/>
      <c r="X2268" s="318"/>
      <c r="Y2268" s="318"/>
      <c r="Z2268" s="318"/>
      <c r="AA2268" s="318"/>
      <c r="AB2268" s="318"/>
      <c r="AC2268" s="318"/>
      <c r="AD2268" s="318"/>
    </row>
    <row r="2269" spans="2:30" s="323" customFormat="1" ht="12" customHeight="1">
      <c r="B2269" s="324"/>
      <c r="C2269" s="325"/>
      <c r="D2269" s="326"/>
      <c r="E2269" s="326"/>
      <c r="F2269" s="326"/>
      <c r="G2269" s="326"/>
      <c r="H2269" s="326"/>
      <c r="P2269" s="318"/>
      <c r="Q2269" s="318"/>
      <c r="R2269" s="318"/>
      <c r="S2269" s="318"/>
      <c r="T2269" s="318"/>
      <c r="U2269" s="318"/>
      <c r="V2269" s="318"/>
      <c r="W2269" s="318"/>
      <c r="X2269" s="318"/>
      <c r="Y2269" s="318"/>
      <c r="Z2269" s="318"/>
      <c r="AA2269" s="318"/>
      <c r="AB2269" s="318"/>
      <c r="AC2269" s="318"/>
      <c r="AD2269" s="318"/>
    </row>
    <row r="2270" spans="2:30" s="323" customFormat="1" ht="12" customHeight="1">
      <c r="B2270" s="324"/>
      <c r="C2270" s="325"/>
      <c r="D2270" s="326"/>
      <c r="E2270" s="326"/>
      <c r="F2270" s="326"/>
      <c r="G2270" s="326"/>
      <c r="H2270" s="326"/>
      <c r="P2270" s="318"/>
      <c r="Q2270" s="318"/>
      <c r="R2270" s="318"/>
      <c r="S2270" s="318"/>
      <c r="T2270" s="318"/>
      <c r="U2270" s="318"/>
      <c r="V2270" s="318"/>
      <c r="W2270" s="318"/>
      <c r="X2270" s="318"/>
      <c r="Y2270" s="318"/>
      <c r="Z2270" s="318"/>
      <c r="AA2270" s="318"/>
      <c r="AB2270" s="318"/>
      <c r="AC2270" s="318"/>
      <c r="AD2270" s="318"/>
    </row>
    <row r="2271" spans="2:30" s="323" customFormat="1" ht="12" customHeight="1">
      <c r="B2271" s="324"/>
      <c r="C2271" s="325"/>
      <c r="D2271" s="326"/>
      <c r="E2271" s="326"/>
      <c r="F2271" s="326"/>
      <c r="G2271" s="326"/>
      <c r="H2271" s="326"/>
      <c r="P2271" s="318"/>
      <c r="Q2271" s="318"/>
      <c r="R2271" s="318"/>
      <c r="S2271" s="318"/>
      <c r="T2271" s="318"/>
      <c r="U2271" s="318"/>
      <c r="V2271" s="318"/>
      <c r="W2271" s="318"/>
      <c r="X2271" s="318"/>
      <c r="Y2271" s="318"/>
      <c r="Z2271" s="318"/>
      <c r="AA2271" s="318"/>
      <c r="AB2271" s="318"/>
      <c r="AC2271" s="318"/>
      <c r="AD2271" s="318"/>
    </row>
    <row r="2272" spans="2:30" s="323" customFormat="1" ht="12" customHeight="1">
      <c r="B2272" s="324"/>
      <c r="C2272" s="325"/>
      <c r="D2272" s="326"/>
      <c r="E2272" s="326"/>
      <c r="F2272" s="326"/>
      <c r="G2272" s="326"/>
      <c r="H2272" s="326"/>
      <c r="P2272" s="318"/>
      <c r="Q2272" s="318"/>
      <c r="R2272" s="318"/>
      <c r="S2272" s="318"/>
      <c r="T2272" s="318"/>
      <c r="U2272" s="318"/>
      <c r="V2272" s="318"/>
      <c r="W2272" s="318"/>
      <c r="X2272" s="318"/>
      <c r="Y2272" s="318"/>
      <c r="Z2272" s="318"/>
      <c r="AA2272" s="318"/>
      <c r="AB2272" s="318"/>
      <c r="AC2272" s="318"/>
      <c r="AD2272" s="318"/>
    </row>
    <row r="2273" spans="2:30" s="323" customFormat="1" ht="12" customHeight="1">
      <c r="B2273" s="324"/>
      <c r="C2273" s="325"/>
      <c r="D2273" s="326"/>
      <c r="E2273" s="326"/>
      <c r="F2273" s="326"/>
      <c r="G2273" s="326"/>
      <c r="H2273" s="326"/>
      <c r="P2273" s="318"/>
      <c r="Q2273" s="318"/>
      <c r="R2273" s="318"/>
      <c r="S2273" s="318"/>
      <c r="T2273" s="318"/>
      <c r="U2273" s="318"/>
      <c r="V2273" s="318"/>
      <c r="W2273" s="318"/>
      <c r="X2273" s="318"/>
      <c r="Y2273" s="318"/>
      <c r="Z2273" s="318"/>
      <c r="AA2273" s="318"/>
      <c r="AB2273" s="318"/>
      <c r="AC2273" s="318"/>
      <c r="AD2273" s="318"/>
    </row>
    <row r="2274" spans="2:30" s="323" customFormat="1" ht="12" customHeight="1">
      <c r="B2274" s="324"/>
      <c r="C2274" s="325"/>
      <c r="D2274" s="326"/>
      <c r="E2274" s="326"/>
      <c r="F2274" s="326"/>
      <c r="G2274" s="326"/>
      <c r="H2274" s="326"/>
      <c r="P2274" s="318"/>
      <c r="Q2274" s="318"/>
      <c r="R2274" s="318"/>
      <c r="S2274" s="318"/>
      <c r="T2274" s="318"/>
      <c r="U2274" s="318"/>
      <c r="V2274" s="318"/>
      <c r="W2274" s="318"/>
      <c r="X2274" s="318"/>
      <c r="Y2274" s="318"/>
      <c r="Z2274" s="318"/>
      <c r="AA2274" s="318"/>
      <c r="AB2274" s="318"/>
      <c r="AC2274" s="318"/>
      <c r="AD2274" s="318"/>
    </row>
    <row r="2275" spans="2:30" s="323" customFormat="1" ht="12" customHeight="1">
      <c r="B2275" s="324"/>
      <c r="C2275" s="325"/>
      <c r="D2275" s="326"/>
      <c r="E2275" s="326"/>
      <c r="F2275" s="326"/>
      <c r="G2275" s="326"/>
      <c r="H2275" s="326"/>
      <c r="P2275" s="318"/>
      <c r="Q2275" s="318"/>
      <c r="R2275" s="318"/>
      <c r="S2275" s="318"/>
      <c r="T2275" s="318"/>
      <c r="U2275" s="318"/>
      <c r="V2275" s="318"/>
      <c r="W2275" s="318"/>
      <c r="X2275" s="318"/>
      <c r="Y2275" s="318"/>
      <c r="Z2275" s="318"/>
      <c r="AA2275" s="318"/>
      <c r="AB2275" s="318"/>
      <c r="AC2275" s="318"/>
      <c r="AD2275" s="318"/>
    </row>
    <row r="2276" spans="2:30" s="323" customFormat="1" ht="12" customHeight="1">
      <c r="B2276" s="324"/>
      <c r="C2276" s="325"/>
      <c r="D2276" s="326"/>
      <c r="E2276" s="326"/>
      <c r="F2276" s="326"/>
      <c r="G2276" s="326"/>
      <c r="H2276" s="326"/>
      <c r="P2276" s="318"/>
      <c r="Q2276" s="318"/>
      <c r="R2276" s="318"/>
      <c r="S2276" s="318"/>
      <c r="T2276" s="318"/>
      <c r="U2276" s="318"/>
      <c r="V2276" s="318"/>
      <c r="W2276" s="318"/>
      <c r="X2276" s="318"/>
      <c r="Y2276" s="318"/>
      <c r="Z2276" s="318"/>
      <c r="AA2276" s="318"/>
      <c r="AB2276" s="318"/>
      <c r="AC2276" s="318"/>
      <c r="AD2276" s="318"/>
    </row>
    <row r="2277" spans="2:30" s="323" customFormat="1" ht="12" customHeight="1">
      <c r="B2277" s="324"/>
      <c r="C2277" s="325"/>
      <c r="D2277" s="326"/>
      <c r="E2277" s="326"/>
      <c r="F2277" s="326"/>
      <c r="G2277" s="326"/>
      <c r="H2277" s="326"/>
      <c r="P2277" s="318"/>
      <c r="Q2277" s="318"/>
      <c r="R2277" s="318"/>
      <c r="S2277" s="318"/>
      <c r="T2277" s="318"/>
      <c r="U2277" s="318"/>
      <c r="V2277" s="318"/>
      <c r="W2277" s="318"/>
      <c r="X2277" s="318"/>
      <c r="Y2277" s="318"/>
      <c r="Z2277" s="318"/>
      <c r="AA2277" s="318"/>
      <c r="AB2277" s="318"/>
      <c r="AC2277" s="318"/>
      <c r="AD2277" s="318"/>
    </row>
    <row r="2278" spans="2:30" s="323" customFormat="1" ht="12" customHeight="1">
      <c r="B2278" s="324"/>
      <c r="C2278" s="325"/>
      <c r="D2278" s="326"/>
      <c r="E2278" s="326"/>
      <c r="F2278" s="326"/>
      <c r="G2278" s="326"/>
      <c r="H2278" s="326"/>
      <c r="P2278" s="318"/>
      <c r="Q2278" s="318"/>
      <c r="R2278" s="318"/>
      <c r="S2278" s="318"/>
      <c r="T2278" s="318"/>
      <c r="U2278" s="318"/>
      <c r="V2278" s="318"/>
      <c r="W2278" s="318"/>
      <c r="X2278" s="318"/>
      <c r="Y2278" s="318"/>
      <c r="Z2278" s="318"/>
      <c r="AA2278" s="318"/>
      <c r="AB2278" s="318"/>
      <c r="AC2278" s="318"/>
      <c r="AD2278" s="318"/>
    </row>
    <row r="2279" spans="2:30" s="323" customFormat="1" ht="12" customHeight="1">
      <c r="B2279" s="324"/>
      <c r="C2279" s="325"/>
      <c r="D2279" s="326"/>
      <c r="E2279" s="326"/>
      <c r="F2279" s="326"/>
      <c r="G2279" s="326"/>
      <c r="H2279" s="326"/>
      <c r="P2279" s="318"/>
      <c r="Q2279" s="318"/>
      <c r="R2279" s="318"/>
      <c r="S2279" s="318"/>
      <c r="T2279" s="318"/>
      <c r="U2279" s="318"/>
      <c r="V2279" s="318"/>
      <c r="W2279" s="318"/>
      <c r="X2279" s="318"/>
      <c r="Y2279" s="318"/>
      <c r="Z2279" s="318"/>
      <c r="AA2279" s="318"/>
      <c r="AB2279" s="318"/>
      <c r="AC2279" s="318"/>
      <c r="AD2279" s="318"/>
    </row>
    <row r="2280" spans="2:30" s="323" customFormat="1" ht="12" customHeight="1">
      <c r="B2280" s="324"/>
      <c r="C2280" s="325"/>
      <c r="D2280" s="326"/>
      <c r="E2280" s="326"/>
      <c r="F2280" s="326"/>
      <c r="G2280" s="326"/>
      <c r="H2280" s="326"/>
      <c r="P2280" s="318"/>
      <c r="Q2280" s="318"/>
      <c r="R2280" s="318"/>
      <c r="S2280" s="318"/>
      <c r="T2280" s="318"/>
      <c r="U2280" s="318"/>
      <c r="V2280" s="318"/>
      <c r="W2280" s="318"/>
      <c r="X2280" s="318"/>
      <c r="Y2280" s="318"/>
      <c r="Z2280" s="318"/>
      <c r="AA2280" s="318"/>
      <c r="AB2280" s="318"/>
      <c r="AC2280" s="318"/>
      <c r="AD2280" s="318"/>
    </row>
    <row r="2281" spans="2:30" s="323" customFormat="1" ht="12" customHeight="1">
      <c r="B2281" s="324"/>
      <c r="C2281" s="325"/>
      <c r="D2281" s="326"/>
      <c r="E2281" s="326"/>
      <c r="F2281" s="326"/>
      <c r="G2281" s="326"/>
      <c r="H2281" s="326"/>
      <c r="P2281" s="318"/>
      <c r="Q2281" s="318"/>
      <c r="R2281" s="318"/>
      <c r="S2281" s="318"/>
      <c r="T2281" s="318"/>
      <c r="U2281" s="318"/>
      <c r="V2281" s="318"/>
      <c r="W2281" s="318"/>
      <c r="X2281" s="318"/>
      <c r="Y2281" s="318"/>
      <c r="Z2281" s="318"/>
      <c r="AA2281" s="318"/>
      <c r="AB2281" s="318"/>
      <c r="AC2281" s="318"/>
      <c r="AD2281" s="318"/>
    </row>
    <row r="2282" spans="2:30" s="323" customFormat="1" ht="12" customHeight="1">
      <c r="B2282" s="324"/>
      <c r="C2282" s="325"/>
      <c r="D2282" s="326"/>
      <c r="E2282" s="326"/>
      <c r="F2282" s="326"/>
      <c r="G2282" s="326"/>
      <c r="H2282" s="326"/>
      <c r="P2282" s="318"/>
      <c r="Q2282" s="318"/>
      <c r="R2282" s="318"/>
      <c r="S2282" s="318"/>
      <c r="T2282" s="318"/>
      <c r="U2282" s="318"/>
      <c r="V2282" s="318"/>
      <c r="W2282" s="318"/>
      <c r="X2282" s="318"/>
      <c r="Y2282" s="318"/>
      <c r="Z2282" s="318"/>
      <c r="AA2282" s="318"/>
      <c r="AB2282" s="318"/>
      <c r="AC2282" s="318"/>
      <c r="AD2282" s="318"/>
    </row>
    <row r="2283" spans="2:30" s="323" customFormat="1" ht="12" customHeight="1">
      <c r="B2283" s="324"/>
      <c r="C2283" s="325"/>
      <c r="D2283" s="326"/>
      <c r="E2283" s="326"/>
      <c r="F2283" s="326"/>
      <c r="G2283" s="326"/>
      <c r="H2283" s="326"/>
      <c r="P2283" s="318"/>
      <c r="Q2283" s="318"/>
      <c r="R2283" s="318"/>
      <c r="S2283" s="318"/>
      <c r="T2283" s="318"/>
      <c r="U2283" s="318"/>
      <c r="V2283" s="318"/>
      <c r="W2283" s="318"/>
      <c r="X2283" s="318"/>
      <c r="Y2283" s="318"/>
      <c r="Z2283" s="318"/>
      <c r="AA2283" s="318"/>
      <c r="AB2283" s="318"/>
      <c r="AC2283" s="318"/>
      <c r="AD2283" s="318"/>
    </row>
    <row r="2284" spans="2:30" s="323" customFormat="1" ht="12" customHeight="1">
      <c r="B2284" s="324"/>
      <c r="C2284" s="325"/>
      <c r="D2284" s="326"/>
      <c r="E2284" s="326"/>
      <c r="F2284" s="326"/>
      <c r="G2284" s="326"/>
      <c r="H2284" s="326"/>
      <c r="P2284" s="318"/>
      <c r="Q2284" s="318"/>
      <c r="R2284" s="318"/>
      <c r="S2284" s="318"/>
      <c r="T2284" s="318"/>
      <c r="U2284" s="318"/>
      <c r="V2284" s="318"/>
      <c r="W2284" s="318"/>
      <c r="X2284" s="318"/>
      <c r="Y2284" s="318"/>
      <c r="Z2284" s="318"/>
      <c r="AA2284" s="318"/>
      <c r="AB2284" s="318"/>
      <c r="AC2284" s="318"/>
      <c r="AD2284" s="318"/>
    </row>
    <row r="2285" spans="2:30" s="323" customFormat="1" ht="12" customHeight="1">
      <c r="B2285" s="324"/>
      <c r="C2285" s="325"/>
      <c r="D2285" s="326"/>
      <c r="E2285" s="326"/>
      <c r="F2285" s="326"/>
      <c r="G2285" s="326"/>
      <c r="H2285" s="326"/>
      <c r="P2285" s="318"/>
      <c r="Q2285" s="318"/>
      <c r="R2285" s="318"/>
      <c r="S2285" s="318"/>
      <c r="T2285" s="318"/>
      <c r="U2285" s="318"/>
      <c r="V2285" s="318"/>
      <c r="W2285" s="318"/>
      <c r="X2285" s="318"/>
      <c r="Y2285" s="318"/>
      <c r="Z2285" s="318"/>
      <c r="AA2285" s="318"/>
      <c r="AB2285" s="318"/>
      <c r="AC2285" s="318"/>
      <c r="AD2285" s="318"/>
    </row>
    <row r="2286" spans="2:30" s="323" customFormat="1" ht="12" customHeight="1">
      <c r="B2286" s="324"/>
      <c r="C2286" s="325"/>
      <c r="D2286" s="326"/>
      <c r="E2286" s="326"/>
      <c r="F2286" s="326"/>
      <c r="G2286" s="326"/>
      <c r="H2286" s="326"/>
      <c r="P2286" s="318"/>
      <c r="Q2286" s="318"/>
      <c r="R2286" s="318"/>
      <c r="S2286" s="318"/>
      <c r="T2286" s="318"/>
      <c r="U2286" s="318"/>
      <c r="V2286" s="318"/>
      <c r="W2286" s="318"/>
      <c r="X2286" s="318"/>
      <c r="Y2286" s="318"/>
      <c r="Z2286" s="318"/>
      <c r="AA2286" s="318"/>
      <c r="AB2286" s="318"/>
      <c r="AC2286" s="318"/>
      <c r="AD2286" s="318"/>
    </row>
    <row r="2287" spans="2:30" s="323" customFormat="1" ht="12" customHeight="1">
      <c r="B2287" s="324"/>
      <c r="C2287" s="325"/>
      <c r="D2287" s="326"/>
      <c r="E2287" s="326"/>
      <c r="F2287" s="326"/>
      <c r="G2287" s="326"/>
      <c r="H2287" s="326"/>
      <c r="P2287" s="318"/>
      <c r="Q2287" s="318"/>
      <c r="R2287" s="318"/>
      <c r="S2287" s="318"/>
      <c r="T2287" s="318"/>
      <c r="U2287" s="318"/>
      <c r="V2287" s="318"/>
      <c r="W2287" s="318"/>
      <c r="X2287" s="318"/>
      <c r="Y2287" s="318"/>
      <c r="Z2287" s="318"/>
      <c r="AA2287" s="318"/>
      <c r="AB2287" s="318"/>
      <c r="AC2287" s="318"/>
      <c r="AD2287" s="318"/>
    </row>
    <row r="2288" spans="2:30" s="323" customFormat="1" ht="12" customHeight="1">
      <c r="B2288" s="324"/>
      <c r="C2288" s="325"/>
      <c r="D2288" s="326"/>
      <c r="E2288" s="326"/>
      <c r="F2288" s="326"/>
      <c r="G2288" s="326"/>
      <c r="H2288" s="326"/>
      <c r="P2288" s="318"/>
      <c r="Q2288" s="318"/>
      <c r="R2288" s="318"/>
      <c r="S2288" s="318"/>
      <c r="T2288" s="318"/>
      <c r="U2288" s="318"/>
      <c r="V2288" s="318"/>
      <c r="W2288" s="318"/>
      <c r="X2288" s="318"/>
      <c r="Y2288" s="318"/>
      <c r="Z2288" s="318"/>
      <c r="AA2288" s="318"/>
      <c r="AB2288" s="318"/>
      <c r="AC2288" s="318"/>
      <c r="AD2288" s="318"/>
    </row>
    <row r="2289" spans="2:30" s="323" customFormat="1" ht="12" customHeight="1">
      <c r="B2289" s="324"/>
      <c r="C2289" s="325"/>
      <c r="D2289" s="326"/>
      <c r="E2289" s="326"/>
      <c r="F2289" s="326"/>
      <c r="G2289" s="326"/>
      <c r="H2289" s="326"/>
      <c r="P2289" s="318"/>
      <c r="Q2289" s="318"/>
      <c r="R2289" s="318"/>
      <c r="S2289" s="318"/>
      <c r="T2289" s="318"/>
      <c r="U2289" s="318"/>
      <c r="V2289" s="318"/>
      <c r="W2289" s="318"/>
      <c r="X2289" s="318"/>
      <c r="Y2289" s="318"/>
      <c r="Z2289" s="318"/>
      <c r="AA2289" s="318"/>
      <c r="AB2289" s="318"/>
      <c r="AC2289" s="318"/>
      <c r="AD2289" s="318"/>
    </row>
    <row r="2290" spans="2:30" s="323" customFormat="1" ht="12" customHeight="1">
      <c r="B2290" s="324"/>
      <c r="C2290" s="325"/>
      <c r="D2290" s="326"/>
      <c r="E2290" s="326"/>
      <c r="F2290" s="326"/>
      <c r="G2290" s="326"/>
      <c r="H2290" s="326"/>
      <c r="P2290" s="318"/>
      <c r="Q2290" s="318"/>
      <c r="R2290" s="318"/>
      <c r="S2290" s="318"/>
      <c r="T2290" s="318"/>
      <c r="U2290" s="318"/>
      <c r="V2290" s="318"/>
      <c r="W2290" s="318"/>
      <c r="X2290" s="318"/>
      <c r="Y2290" s="318"/>
      <c r="Z2290" s="318"/>
      <c r="AA2290" s="318"/>
      <c r="AB2290" s="318"/>
      <c r="AC2290" s="318"/>
      <c r="AD2290" s="318"/>
    </row>
    <row r="2291" spans="2:30" s="323" customFormat="1" ht="12" customHeight="1">
      <c r="B2291" s="324"/>
      <c r="C2291" s="325"/>
      <c r="D2291" s="326"/>
      <c r="E2291" s="326"/>
      <c r="F2291" s="326"/>
      <c r="G2291" s="326"/>
      <c r="H2291" s="326"/>
      <c r="P2291" s="318"/>
      <c r="Q2291" s="318"/>
      <c r="R2291" s="318"/>
      <c r="S2291" s="318"/>
      <c r="T2291" s="318"/>
      <c r="U2291" s="318"/>
      <c r="V2291" s="318"/>
      <c r="W2291" s="318"/>
      <c r="X2291" s="318"/>
      <c r="Y2291" s="318"/>
      <c r="Z2291" s="318"/>
      <c r="AA2291" s="318"/>
      <c r="AB2291" s="318"/>
      <c r="AC2291" s="318"/>
      <c r="AD2291" s="318"/>
    </row>
    <row r="2292" spans="2:30" s="323" customFormat="1" ht="12" customHeight="1">
      <c r="B2292" s="324"/>
      <c r="C2292" s="325"/>
      <c r="D2292" s="326"/>
      <c r="E2292" s="326"/>
      <c r="F2292" s="326"/>
      <c r="G2292" s="326"/>
      <c r="H2292" s="326"/>
      <c r="P2292" s="318"/>
      <c r="Q2292" s="318"/>
      <c r="R2292" s="318"/>
      <c r="S2292" s="318"/>
      <c r="T2292" s="318"/>
      <c r="U2292" s="318"/>
      <c r="V2292" s="318"/>
      <c r="W2292" s="318"/>
      <c r="X2292" s="318"/>
      <c r="Y2292" s="318"/>
      <c r="Z2292" s="318"/>
      <c r="AA2292" s="318"/>
      <c r="AB2292" s="318"/>
      <c r="AC2292" s="318"/>
      <c r="AD2292" s="318"/>
    </row>
    <row r="2293" spans="2:30" s="323" customFormat="1" ht="12" customHeight="1">
      <c r="B2293" s="324"/>
      <c r="C2293" s="325"/>
      <c r="D2293" s="326"/>
      <c r="E2293" s="326"/>
      <c r="F2293" s="326"/>
      <c r="G2293" s="326"/>
      <c r="H2293" s="326"/>
      <c r="P2293" s="318"/>
      <c r="Q2293" s="318"/>
      <c r="R2293" s="318"/>
      <c r="S2293" s="318"/>
      <c r="T2293" s="318"/>
      <c r="U2293" s="318"/>
      <c r="V2293" s="318"/>
      <c r="W2293" s="318"/>
      <c r="X2293" s="318"/>
      <c r="Y2293" s="318"/>
      <c r="Z2293" s="318"/>
      <c r="AA2293" s="318"/>
      <c r="AB2293" s="318"/>
      <c r="AC2293" s="318"/>
      <c r="AD2293" s="318"/>
    </row>
    <row r="2294" spans="2:30" s="323" customFormat="1" ht="12" customHeight="1">
      <c r="B2294" s="324"/>
      <c r="C2294" s="325"/>
      <c r="D2294" s="326"/>
      <c r="E2294" s="326"/>
      <c r="F2294" s="326"/>
      <c r="G2294" s="326"/>
      <c r="H2294" s="326"/>
      <c r="P2294" s="318"/>
      <c r="Q2294" s="318"/>
      <c r="R2294" s="318"/>
      <c r="S2294" s="318"/>
      <c r="T2294" s="318"/>
      <c r="U2294" s="318"/>
      <c r="V2294" s="318"/>
      <c r="W2294" s="318"/>
      <c r="X2294" s="318"/>
      <c r="Y2294" s="318"/>
      <c r="Z2294" s="318"/>
      <c r="AA2294" s="318"/>
      <c r="AB2294" s="318"/>
      <c r="AC2294" s="318"/>
      <c r="AD2294" s="318"/>
    </row>
    <row r="2295" spans="2:30" s="323" customFormat="1" ht="12" customHeight="1">
      <c r="B2295" s="324"/>
      <c r="C2295" s="325"/>
      <c r="D2295" s="326"/>
      <c r="E2295" s="326"/>
      <c r="F2295" s="326"/>
      <c r="G2295" s="326"/>
      <c r="H2295" s="326"/>
      <c r="P2295" s="318"/>
      <c r="Q2295" s="318"/>
      <c r="R2295" s="318"/>
      <c r="S2295" s="318"/>
      <c r="T2295" s="318"/>
      <c r="U2295" s="318"/>
      <c r="V2295" s="318"/>
      <c r="W2295" s="318"/>
      <c r="X2295" s="318"/>
      <c r="Y2295" s="318"/>
      <c r="Z2295" s="318"/>
      <c r="AA2295" s="318"/>
      <c r="AB2295" s="318"/>
      <c r="AC2295" s="318"/>
      <c r="AD2295" s="318"/>
    </row>
    <row r="2296" spans="2:30" s="323" customFormat="1" ht="12" customHeight="1">
      <c r="B2296" s="324"/>
      <c r="C2296" s="325"/>
      <c r="D2296" s="326"/>
      <c r="E2296" s="326"/>
      <c r="F2296" s="326"/>
      <c r="G2296" s="326"/>
      <c r="H2296" s="326"/>
      <c r="P2296" s="318"/>
      <c r="Q2296" s="318"/>
      <c r="R2296" s="318"/>
      <c r="S2296" s="318"/>
      <c r="T2296" s="318"/>
      <c r="U2296" s="318"/>
      <c r="V2296" s="318"/>
      <c r="W2296" s="318"/>
      <c r="X2296" s="318"/>
      <c r="Y2296" s="318"/>
      <c r="Z2296" s="318"/>
      <c r="AA2296" s="318"/>
      <c r="AB2296" s="318"/>
      <c r="AC2296" s="318"/>
      <c r="AD2296" s="318"/>
    </row>
    <row r="2297" spans="2:30" s="323" customFormat="1" ht="12" customHeight="1">
      <c r="B2297" s="324"/>
      <c r="C2297" s="325"/>
      <c r="D2297" s="326"/>
      <c r="E2297" s="326"/>
      <c r="F2297" s="326"/>
      <c r="G2297" s="326"/>
      <c r="H2297" s="326"/>
      <c r="P2297" s="318"/>
      <c r="Q2297" s="318"/>
      <c r="R2297" s="318"/>
      <c r="S2297" s="318"/>
      <c r="T2297" s="318"/>
      <c r="U2297" s="318"/>
      <c r="V2297" s="318"/>
      <c r="W2297" s="318"/>
      <c r="X2297" s="318"/>
      <c r="Y2297" s="318"/>
      <c r="Z2297" s="318"/>
      <c r="AA2297" s="318"/>
      <c r="AB2297" s="318"/>
      <c r="AC2297" s="318"/>
      <c r="AD2297" s="318"/>
    </row>
    <row r="2298" spans="2:30" s="323" customFormat="1" ht="12" customHeight="1">
      <c r="B2298" s="324"/>
      <c r="C2298" s="325"/>
      <c r="D2298" s="326"/>
      <c r="E2298" s="326"/>
      <c r="F2298" s="326"/>
      <c r="G2298" s="326"/>
      <c r="H2298" s="326"/>
      <c r="P2298" s="318"/>
      <c r="Q2298" s="318"/>
      <c r="R2298" s="318"/>
      <c r="S2298" s="318"/>
      <c r="T2298" s="318"/>
      <c r="U2298" s="318"/>
      <c r="V2298" s="318"/>
      <c r="W2298" s="318"/>
      <c r="X2298" s="318"/>
      <c r="Y2298" s="318"/>
      <c r="Z2298" s="318"/>
      <c r="AA2298" s="318"/>
      <c r="AB2298" s="318"/>
      <c r="AC2298" s="318"/>
      <c r="AD2298" s="318"/>
    </row>
    <row r="2299" spans="2:30" s="323" customFormat="1" ht="12" customHeight="1">
      <c r="B2299" s="324"/>
      <c r="C2299" s="325"/>
      <c r="D2299" s="326"/>
      <c r="E2299" s="326"/>
      <c r="F2299" s="326"/>
      <c r="G2299" s="326"/>
      <c r="H2299" s="326"/>
      <c r="P2299" s="318"/>
      <c r="Q2299" s="318"/>
      <c r="R2299" s="318"/>
      <c r="S2299" s="318"/>
      <c r="T2299" s="318"/>
      <c r="U2299" s="318"/>
      <c r="V2299" s="318"/>
      <c r="W2299" s="318"/>
      <c r="X2299" s="318"/>
      <c r="Y2299" s="318"/>
      <c r="Z2299" s="318"/>
      <c r="AA2299" s="318"/>
      <c r="AB2299" s="318"/>
      <c r="AC2299" s="318"/>
      <c r="AD2299" s="318"/>
    </row>
    <row r="2300" spans="2:30" s="323" customFormat="1" ht="12" customHeight="1">
      <c r="B2300" s="324"/>
      <c r="C2300" s="325"/>
      <c r="D2300" s="326"/>
      <c r="E2300" s="326"/>
      <c r="F2300" s="326"/>
      <c r="G2300" s="326"/>
      <c r="H2300" s="326"/>
      <c r="P2300" s="318"/>
      <c r="Q2300" s="318"/>
      <c r="R2300" s="318"/>
      <c r="S2300" s="318"/>
      <c r="T2300" s="318"/>
      <c r="U2300" s="318"/>
      <c r="V2300" s="318"/>
      <c r="W2300" s="318"/>
      <c r="X2300" s="318"/>
      <c r="Y2300" s="318"/>
      <c r="Z2300" s="318"/>
      <c r="AA2300" s="318"/>
      <c r="AB2300" s="318"/>
      <c r="AC2300" s="318"/>
      <c r="AD2300" s="318"/>
    </row>
    <row r="2301" spans="2:30" s="323" customFormat="1" ht="12" customHeight="1">
      <c r="B2301" s="324"/>
      <c r="C2301" s="325"/>
      <c r="D2301" s="326"/>
      <c r="E2301" s="326"/>
      <c r="F2301" s="326"/>
      <c r="G2301" s="326"/>
      <c r="H2301" s="326"/>
      <c r="P2301" s="318"/>
      <c r="Q2301" s="318"/>
      <c r="R2301" s="318"/>
      <c r="S2301" s="318"/>
      <c r="T2301" s="318"/>
      <c r="U2301" s="318"/>
      <c r="V2301" s="318"/>
      <c r="W2301" s="318"/>
      <c r="X2301" s="318"/>
      <c r="Y2301" s="318"/>
      <c r="Z2301" s="318"/>
      <c r="AA2301" s="318"/>
      <c r="AB2301" s="318"/>
      <c r="AC2301" s="318"/>
      <c r="AD2301" s="318"/>
    </row>
    <row r="2302" spans="2:30" s="323" customFormat="1" ht="12" customHeight="1">
      <c r="B2302" s="324"/>
      <c r="C2302" s="325"/>
      <c r="D2302" s="326"/>
      <c r="E2302" s="326"/>
      <c r="F2302" s="326"/>
      <c r="G2302" s="326"/>
      <c r="H2302" s="326"/>
      <c r="P2302" s="318"/>
      <c r="Q2302" s="318"/>
      <c r="R2302" s="318"/>
      <c r="S2302" s="318"/>
      <c r="T2302" s="318"/>
      <c r="U2302" s="318"/>
      <c r="V2302" s="318"/>
      <c r="W2302" s="318"/>
      <c r="X2302" s="318"/>
      <c r="Y2302" s="318"/>
      <c r="Z2302" s="318"/>
      <c r="AA2302" s="318"/>
      <c r="AB2302" s="318"/>
      <c r="AC2302" s="318"/>
      <c r="AD2302" s="318"/>
    </row>
    <row r="2303" spans="2:30" s="323" customFormat="1" ht="12" customHeight="1">
      <c r="B2303" s="324"/>
      <c r="C2303" s="325"/>
      <c r="D2303" s="326"/>
      <c r="E2303" s="326"/>
      <c r="F2303" s="326"/>
      <c r="G2303" s="326"/>
      <c r="H2303" s="326"/>
      <c r="P2303" s="318"/>
      <c r="Q2303" s="318"/>
      <c r="R2303" s="318"/>
      <c r="S2303" s="318"/>
      <c r="T2303" s="318"/>
      <c r="U2303" s="318"/>
      <c r="V2303" s="318"/>
      <c r="W2303" s="318"/>
      <c r="X2303" s="318"/>
      <c r="Y2303" s="318"/>
      <c r="Z2303" s="318"/>
      <c r="AA2303" s="318"/>
      <c r="AB2303" s="318"/>
      <c r="AC2303" s="318"/>
      <c r="AD2303" s="318"/>
    </row>
    <row r="2304" spans="2:30" s="323" customFormat="1" ht="12" customHeight="1">
      <c r="B2304" s="324"/>
      <c r="C2304" s="325"/>
      <c r="D2304" s="326"/>
      <c r="E2304" s="326"/>
      <c r="F2304" s="326"/>
      <c r="G2304" s="326"/>
      <c r="H2304" s="326"/>
      <c r="P2304" s="318"/>
      <c r="Q2304" s="318"/>
      <c r="R2304" s="318"/>
      <c r="S2304" s="318"/>
      <c r="T2304" s="318"/>
      <c r="U2304" s="318"/>
      <c r="V2304" s="318"/>
      <c r="W2304" s="318"/>
      <c r="X2304" s="318"/>
      <c r="Y2304" s="318"/>
      <c r="Z2304" s="318"/>
      <c r="AA2304" s="318"/>
      <c r="AB2304" s="318"/>
      <c r="AC2304" s="318"/>
      <c r="AD2304" s="318"/>
    </row>
    <row r="2305" spans="2:30" s="323" customFormat="1" ht="12" customHeight="1">
      <c r="B2305" s="324"/>
      <c r="C2305" s="325"/>
      <c r="D2305" s="326"/>
      <c r="E2305" s="326"/>
      <c r="F2305" s="326"/>
      <c r="G2305" s="326"/>
      <c r="H2305" s="326"/>
      <c r="P2305" s="318"/>
      <c r="Q2305" s="318"/>
      <c r="R2305" s="318"/>
      <c r="S2305" s="318"/>
      <c r="T2305" s="318"/>
      <c r="U2305" s="318"/>
      <c r="V2305" s="318"/>
      <c r="W2305" s="318"/>
      <c r="X2305" s="318"/>
      <c r="Y2305" s="318"/>
      <c r="Z2305" s="318"/>
      <c r="AA2305" s="318"/>
      <c r="AB2305" s="318"/>
      <c r="AC2305" s="318"/>
      <c r="AD2305" s="318"/>
    </row>
    <row r="2306" spans="2:30" s="323" customFormat="1" ht="12" customHeight="1">
      <c r="B2306" s="324"/>
      <c r="C2306" s="325"/>
      <c r="D2306" s="326"/>
      <c r="E2306" s="326"/>
      <c r="F2306" s="326"/>
      <c r="G2306" s="326"/>
      <c r="H2306" s="326"/>
      <c r="P2306" s="318"/>
      <c r="Q2306" s="318"/>
      <c r="R2306" s="318"/>
      <c r="S2306" s="318"/>
      <c r="T2306" s="318"/>
      <c r="U2306" s="318"/>
      <c r="V2306" s="318"/>
      <c r="W2306" s="318"/>
      <c r="X2306" s="318"/>
      <c r="Y2306" s="318"/>
      <c r="Z2306" s="318"/>
      <c r="AA2306" s="318"/>
      <c r="AB2306" s="318"/>
      <c r="AC2306" s="318"/>
      <c r="AD2306" s="318"/>
    </row>
    <row r="2307" spans="2:30" s="323" customFormat="1" ht="12" customHeight="1">
      <c r="B2307" s="324"/>
      <c r="C2307" s="325"/>
      <c r="D2307" s="326"/>
      <c r="E2307" s="326"/>
      <c r="F2307" s="326"/>
      <c r="G2307" s="326"/>
      <c r="H2307" s="326"/>
      <c r="P2307" s="318"/>
      <c r="Q2307" s="318"/>
      <c r="R2307" s="318"/>
      <c r="S2307" s="318"/>
      <c r="T2307" s="318"/>
      <c r="U2307" s="318"/>
      <c r="V2307" s="318"/>
      <c r="W2307" s="318"/>
      <c r="X2307" s="318"/>
      <c r="Y2307" s="318"/>
      <c r="Z2307" s="318"/>
      <c r="AA2307" s="318"/>
      <c r="AB2307" s="318"/>
      <c r="AC2307" s="318"/>
      <c r="AD2307" s="318"/>
    </row>
    <row r="2308" spans="2:30" s="323" customFormat="1" ht="12" customHeight="1">
      <c r="B2308" s="324"/>
      <c r="C2308" s="325"/>
      <c r="D2308" s="326"/>
      <c r="E2308" s="326"/>
      <c r="F2308" s="326"/>
      <c r="G2308" s="326"/>
      <c r="H2308" s="326"/>
      <c r="P2308" s="318"/>
      <c r="Q2308" s="318"/>
      <c r="R2308" s="318"/>
      <c r="S2308" s="318"/>
      <c r="T2308" s="318"/>
      <c r="U2308" s="318"/>
      <c r="V2308" s="318"/>
      <c r="W2308" s="318"/>
      <c r="X2308" s="318"/>
      <c r="Y2308" s="318"/>
      <c r="Z2308" s="318"/>
      <c r="AA2308" s="318"/>
      <c r="AB2308" s="318"/>
      <c r="AC2308" s="318"/>
      <c r="AD2308" s="318"/>
    </row>
    <row r="2309" spans="2:30" s="323" customFormat="1" ht="12" customHeight="1">
      <c r="B2309" s="324"/>
      <c r="C2309" s="325"/>
      <c r="D2309" s="326"/>
      <c r="E2309" s="326"/>
      <c r="F2309" s="326"/>
      <c r="G2309" s="326"/>
      <c r="H2309" s="326"/>
      <c r="P2309" s="318"/>
      <c r="Q2309" s="318"/>
      <c r="R2309" s="318"/>
      <c r="S2309" s="318"/>
      <c r="T2309" s="318"/>
      <c r="U2309" s="318"/>
      <c r="V2309" s="318"/>
      <c r="W2309" s="318"/>
      <c r="X2309" s="318"/>
      <c r="Y2309" s="318"/>
      <c r="Z2309" s="318"/>
      <c r="AA2309" s="318"/>
      <c r="AB2309" s="318"/>
      <c r="AC2309" s="318"/>
      <c r="AD2309" s="318"/>
    </row>
    <row r="2310" spans="2:30" s="323" customFormat="1" ht="12" customHeight="1">
      <c r="B2310" s="324"/>
      <c r="C2310" s="325"/>
      <c r="D2310" s="326"/>
      <c r="E2310" s="326"/>
      <c r="F2310" s="326"/>
      <c r="G2310" s="326"/>
      <c r="H2310" s="326"/>
      <c r="P2310" s="318"/>
      <c r="Q2310" s="318"/>
      <c r="R2310" s="318"/>
      <c r="S2310" s="318"/>
      <c r="T2310" s="318"/>
      <c r="U2310" s="318"/>
      <c r="V2310" s="318"/>
      <c r="W2310" s="318"/>
      <c r="X2310" s="318"/>
      <c r="Y2310" s="318"/>
      <c r="Z2310" s="318"/>
      <c r="AA2310" s="318"/>
      <c r="AB2310" s="318"/>
      <c r="AC2310" s="318"/>
      <c r="AD2310" s="318"/>
    </row>
    <row r="2311" spans="2:30" s="323" customFormat="1" ht="12" customHeight="1">
      <c r="B2311" s="324"/>
      <c r="C2311" s="325"/>
      <c r="D2311" s="326"/>
      <c r="E2311" s="326"/>
      <c r="F2311" s="326"/>
      <c r="G2311" s="326"/>
      <c r="H2311" s="326"/>
      <c r="P2311" s="318"/>
      <c r="Q2311" s="318"/>
      <c r="R2311" s="318"/>
      <c r="S2311" s="318"/>
      <c r="T2311" s="318"/>
      <c r="U2311" s="318"/>
      <c r="V2311" s="318"/>
      <c r="W2311" s="318"/>
      <c r="X2311" s="318"/>
      <c r="Y2311" s="318"/>
      <c r="Z2311" s="318"/>
      <c r="AA2311" s="318"/>
      <c r="AB2311" s="318"/>
      <c r="AC2311" s="318"/>
      <c r="AD2311" s="318"/>
    </row>
    <row r="2312" spans="2:30" s="323" customFormat="1" ht="12" customHeight="1">
      <c r="B2312" s="324"/>
      <c r="C2312" s="325"/>
      <c r="D2312" s="326"/>
      <c r="E2312" s="326"/>
      <c r="F2312" s="326"/>
      <c r="G2312" s="326"/>
      <c r="H2312" s="326"/>
      <c r="P2312" s="318"/>
      <c r="Q2312" s="318"/>
      <c r="R2312" s="318"/>
      <c r="S2312" s="318"/>
      <c r="T2312" s="318"/>
      <c r="U2312" s="318"/>
      <c r="V2312" s="318"/>
      <c r="W2312" s="318"/>
      <c r="X2312" s="318"/>
      <c r="Y2312" s="318"/>
      <c r="Z2312" s="318"/>
      <c r="AA2312" s="318"/>
      <c r="AB2312" s="318"/>
      <c r="AC2312" s="318"/>
      <c r="AD2312" s="318"/>
    </row>
    <row r="2313" spans="2:30" s="323" customFormat="1" ht="12" customHeight="1">
      <c r="B2313" s="324"/>
      <c r="C2313" s="325"/>
      <c r="D2313" s="326"/>
      <c r="E2313" s="326"/>
      <c r="F2313" s="326"/>
      <c r="G2313" s="326"/>
      <c r="H2313" s="326"/>
      <c r="P2313" s="318"/>
      <c r="Q2313" s="318"/>
      <c r="R2313" s="318"/>
      <c r="S2313" s="318"/>
      <c r="T2313" s="318"/>
      <c r="U2313" s="318"/>
      <c r="V2313" s="318"/>
      <c r="W2313" s="318"/>
      <c r="X2313" s="318"/>
      <c r="Y2313" s="318"/>
      <c r="Z2313" s="318"/>
      <c r="AA2313" s="318"/>
      <c r="AB2313" s="318"/>
      <c r="AC2313" s="318"/>
      <c r="AD2313" s="318"/>
    </row>
    <row r="2314" spans="2:30" s="323" customFormat="1" ht="12" customHeight="1">
      <c r="B2314" s="324"/>
      <c r="C2314" s="325"/>
      <c r="D2314" s="326"/>
      <c r="E2314" s="326"/>
      <c r="F2314" s="326"/>
      <c r="G2314" s="326"/>
      <c r="H2314" s="326"/>
      <c r="P2314" s="318"/>
      <c r="Q2314" s="318"/>
      <c r="R2314" s="318"/>
      <c r="S2314" s="318"/>
      <c r="T2314" s="318"/>
      <c r="U2314" s="318"/>
      <c r="V2314" s="318"/>
      <c r="W2314" s="318"/>
      <c r="X2314" s="318"/>
      <c r="Y2314" s="318"/>
      <c r="Z2314" s="318"/>
      <c r="AA2314" s="318"/>
      <c r="AB2314" s="318"/>
      <c r="AC2314" s="318"/>
      <c r="AD2314" s="318"/>
    </row>
    <row r="2315" spans="2:30" s="323" customFormat="1" ht="12" customHeight="1">
      <c r="B2315" s="324"/>
      <c r="C2315" s="325"/>
      <c r="D2315" s="326"/>
      <c r="E2315" s="326"/>
      <c r="F2315" s="326"/>
      <c r="G2315" s="326"/>
      <c r="H2315" s="326"/>
      <c r="P2315" s="318"/>
      <c r="Q2315" s="318"/>
      <c r="R2315" s="318"/>
      <c r="S2315" s="318"/>
      <c r="T2315" s="318"/>
      <c r="U2315" s="318"/>
      <c r="V2315" s="318"/>
      <c r="W2315" s="318"/>
      <c r="X2315" s="318"/>
      <c r="Y2315" s="318"/>
      <c r="Z2315" s="318"/>
      <c r="AA2315" s="318"/>
      <c r="AB2315" s="318"/>
      <c r="AC2315" s="318"/>
      <c r="AD2315" s="318"/>
    </row>
    <row r="2316" spans="2:30" s="323" customFormat="1" ht="12" customHeight="1">
      <c r="B2316" s="324"/>
      <c r="C2316" s="325"/>
      <c r="D2316" s="326"/>
      <c r="E2316" s="326"/>
      <c r="F2316" s="326"/>
      <c r="G2316" s="326"/>
      <c r="H2316" s="326"/>
      <c r="P2316" s="318"/>
      <c r="Q2316" s="318"/>
      <c r="R2316" s="318"/>
      <c r="S2316" s="318"/>
      <c r="T2316" s="318"/>
      <c r="U2316" s="318"/>
      <c r="V2316" s="318"/>
      <c r="W2316" s="318"/>
      <c r="X2316" s="318"/>
      <c r="Y2316" s="318"/>
      <c r="Z2316" s="318"/>
      <c r="AA2316" s="318"/>
      <c r="AB2316" s="318"/>
      <c r="AC2316" s="318"/>
      <c r="AD2316" s="318"/>
    </row>
    <row r="2317" spans="2:30" s="323" customFormat="1" ht="12" customHeight="1">
      <c r="B2317" s="324"/>
      <c r="C2317" s="325"/>
      <c r="D2317" s="326"/>
      <c r="E2317" s="326"/>
      <c r="F2317" s="326"/>
      <c r="G2317" s="326"/>
      <c r="H2317" s="326"/>
      <c r="P2317" s="318"/>
      <c r="Q2317" s="318"/>
      <c r="R2317" s="318"/>
      <c r="S2317" s="318"/>
      <c r="T2317" s="318"/>
      <c r="U2317" s="318"/>
      <c r="V2317" s="318"/>
      <c r="W2317" s="318"/>
      <c r="X2317" s="318"/>
      <c r="Y2317" s="318"/>
      <c r="Z2317" s="318"/>
      <c r="AA2317" s="318"/>
      <c r="AB2317" s="318"/>
      <c r="AC2317" s="318"/>
      <c r="AD2317" s="318"/>
    </row>
    <row r="2318" spans="2:30" s="323" customFormat="1" ht="12" customHeight="1">
      <c r="B2318" s="324"/>
      <c r="C2318" s="325"/>
      <c r="D2318" s="326"/>
      <c r="E2318" s="326"/>
      <c r="F2318" s="326"/>
      <c r="G2318" s="326"/>
      <c r="H2318" s="326"/>
      <c r="P2318" s="318"/>
      <c r="Q2318" s="318"/>
      <c r="R2318" s="318"/>
      <c r="S2318" s="318"/>
      <c r="T2318" s="318"/>
      <c r="U2318" s="318"/>
      <c r="V2318" s="318"/>
      <c r="W2318" s="318"/>
      <c r="X2318" s="318"/>
      <c r="Y2318" s="318"/>
      <c r="Z2318" s="318"/>
      <c r="AA2318" s="318"/>
      <c r="AB2318" s="318"/>
      <c r="AC2318" s="318"/>
      <c r="AD2318" s="318"/>
    </row>
    <row r="2319" spans="2:30" s="323" customFormat="1" ht="12" customHeight="1">
      <c r="B2319" s="324"/>
      <c r="C2319" s="325"/>
      <c r="D2319" s="326"/>
      <c r="E2319" s="326"/>
      <c r="F2319" s="326"/>
      <c r="G2319" s="326"/>
      <c r="H2319" s="326"/>
      <c r="P2319" s="318"/>
      <c r="Q2319" s="318"/>
      <c r="R2319" s="318"/>
      <c r="S2319" s="318"/>
      <c r="T2319" s="318"/>
      <c r="U2319" s="318"/>
      <c r="V2319" s="318"/>
      <c r="W2319" s="318"/>
      <c r="X2319" s="318"/>
      <c r="Y2319" s="318"/>
      <c r="Z2319" s="318"/>
      <c r="AA2319" s="318"/>
      <c r="AB2319" s="318"/>
      <c r="AC2319" s="318"/>
      <c r="AD2319" s="318"/>
    </row>
    <row r="2320" spans="2:30" s="323" customFormat="1" ht="12" customHeight="1">
      <c r="B2320" s="324"/>
      <c r="C2320" s="325"/>
      <c r="D2320" s="326"/>
      <c r="E2320" s="326"/>
      <c r="F2320" s="326"/>
      <c r="G2320" s="326"/>
      <c r="H2320" s="326"/>
      <c r="P2320" s="318"/>
      <c r="Q2320" s="318"/>
      <c r="R2320" s="318"/>
      <c r="S2320" s="318"/>
      <c r="T2320" s="318"/>
      <c r="U2320" s="318"/>
      <c r="V2320" s="318"/>
      <c r="W2320" s="318"/>
      <c r="X2320" s="318"/>
      <c r="Y2320" s="318"/>
      <c r="Z2320" s="318"/>
      <c r="AA2320" s="318"/>
      <c r="AB2320" s="318"/>
      <c r="AC2320" s="318"/>
      <c r="AD2320" s="318"/>
    </row>
    <row r="2321" spans="2:30" s="323" customFormat="1" ht="12" customHeight="1">
      <c r="B2321" s="324"/>
      <c r="C2321" s="325"/>
      <c r="D2321" s="326"/>
      <c r="E2321" s="326"/>
      <c r="F2321" s="326"/>
      <c r="G2321" s="326"/>
      <c r="H2321" s="326"/>
      <c r="P2321" s="318"/>
      <c r="Q2321" s="318"/>
      <c r="R2321" s="318"/>
      <c r="S2321" s="318"/>
      <c r="T2321" s="318"/>
      <c r="U2321" s="318"/>
      <c r="V2321" s="318"/>
      <c r="W2321" s="318"/>
      <c r="X2321" s="318"/>
      <c r="Y2321" s="318"/>
      <c r="Z2321" s="318"/>
      <c r="AA2321" s="318"/>
      <c r="AB2321" s="318"/>
      <c r="AC2321" s="318"/>
      <c r="AD2321" s="318"/>
    </row>
    <row r="2322" spans="2:30" s="323" customFormat="1" ht="12" customHeight="1">
      <c r="B2322" s="324"/>
      <c r="C2322" s="325"/>
      <c r="D2322" s="326"/>
      <c r="E2322" s="326"/>
      <c r="F2322" s="326"/>
      <c r="G2322" s="326"/>
      <c r="H2322" s="326"/>
      <c r="P2322" s="318"/>
      <c r="Q2322" s="318"/>
      <c r="R2322" s="318"/>
      <c r="S2322" s="318"/>
      <c r="T2322" s="318"/>
      <c r="U2322" s="318"/>
      <c r="V2322" s="318"/>
      <c r="W2322" s="318"/>
      <c r="X2322" s="318"/>
      <c r="Y2322" s="318"/>
      <c r="Z2322" s="318"/>
      <c r="AA2322" s="318"/>
      <c r="AB2322" s="318"/>
      <c r="AC2322" s="318"/>
      <c r="AD2322" s="318"/>
    </row>
    <row r="2323" spans="2:30" s="323" customFormat="1" ht="12" customHeight="1">
      <c r="B2323" s="324"/>
      <c r="C2323" s="325"/>
      <c r="D2323" s="326"/>
      <c r="E2323" s="326"/>
      <c r="F2323" s="326"/>
      <c r="G2323" s="326"/>
      <c r="H2323" s="326"/>
      <c r="P2323" s="318"/>
      <c r="Q2323" s="318"/>
      <c r="R2323" s="318"/>
      <c r="S2323" s="318"/>
      <c r="T2323" s="318"/>
      <c r="U2323" s="318"/>
      <c r="V2323" s="318"/>
      <c r="W2323" s="318"/>
      <c r="X2323" s="318"/>
      <c r="Y2323" s="318"/>
      <c r="Z2323" s="318"/>
      <c r="AA2323" s="318"/>
      <c r="AB2323" s="318"/>
      <c r="AC2323" s="318"/>
      <c r="AD2323" s="318"/>
    </row>
    <row r="2324" spans="2:30" s="323" customFormat="1" ht="12" customHeight="1">
      <c r="B2324" s="324"/>
      <c r="C2324" s="325"/>
      <c r="D2324" s="326"/>
      <c r="E2324" s="326"/>
      <c r="F2324" s="326"/>
      <c r="G2324" s="326"/>
      <c r="H2324" s="326"/>
      <c r="P2324" s="318"/>
      <c r="Q2324" s="318"/>
      <c r="R2324" s="318"/>
      <c r="S2324" s="318"/>
      <c r="T2324" s="318"/>
      <c r="U2324" s="318"/>
      <c r="V2324" s="318"/>
      <c r="W2324" s="318"/>
      <c r="X2324" s="318"/>
      <c r="Y2324" s="318"/>
      <c r="Z2324" s="318"/>
      <c r="AA2324" s="318"/>
      <c r="AB2324" s="318"/>
      <c r="AC2324" s="318"/>
      <c r="AD2324" s="318"/>
    </row>
    <row r="2325" spans="2:30" s="323" customFormat="1" ht="12" customHeight="1">
      <c r="B2325" s="324"/>
      <c r="C2325" s="325"/>
      <c r="D2325" s="326"/>
      <c r="E2325" s="326"/>
      <c r="F2325" s="326"/>
      <c r="G2325" s="326"/>
      <c r="H2325" s="326"/>
      <c r="P2325" s="318"/>
      <c r="Q2325" s="318"/>
      <c r="R2325" s="318"/>
      <c r="S2325" s="318"/>
      <c r="T2325" s="318"/>
      <c r="U2325" s="318"/>
      <c r="V2325" s="318"/>
      <c r="W2325" s="318"/>
      <c r="X2325" s="318"/>
      <c r="Y2325" s="318"/>
      <c r="Z2325" s="318"/>
      <c r="AA2325" s="318"/>
      <c r="AB2325" s="318"/>
      <c r="AC2325" s="318"/>
      <c r="AD2325" s="318"/>
    </row>
    <row r="2326" spans="2:30" s="323" customFormat="1" ht="12" customHeight="1">
      <c r="B2326" s="324"/>
      <c r="C2326" s="325"/>
      <c r="D2326" s="326"/>
      <c r="E2326" s="326"/>
      <c r="F2326" s="326"/>
      <c r="G2326" s="326"/>
      <c r="H2326" s="326"/>
      <c r="P2326" s="318"/>
      <c r="Q2326" s="318"/>
      <c r="R2326" s="318"/>
      <c r="S2326" s="318"/>
      <c r="T2326" s="318"/>
      <c r="U2326" s="318"/>
      <c r="V2326" s="318"/>
      <c r="W2326" s="318"/>
      <c r="X2326" s="318"/>
      <c r="Y2326" s="318"/>
      <c r="Z2326" s="318"/>
      <c r="AA2326" s="318"/>
      <c r="AB2326" s="318"/>
      <c r="AC2326" s="318"/>
      <c r="AD2326" s="318"/>
    </row>
    <row r="2327" spans="2:30" s="323" customFormat="1" ht="12" customHeight="1">
      <c r="B2327" s="324"/>
      <c r="C2327" s="325"/>
      <c r="D2327" s="326"/>
      <c r="E2327" s="326"/>
      <c r="F2327" s="326"/>
      <c r="G2327" s="326"/>
      <c r="H2327" s="326"/>
      <c r="P2327" s="318"/>
      <c r="Q2327" s="318"/>
      <c r="R2327" s="318"/>
      <c r="S2327" s="318"/>
      <c r="T2327" s="318"/>
      <c r="U2327" s="318"/>
      <c r="V2327" s="318"/>
      <c r="W2327" s="318"/>
      <c r="X2327" s="318"/>
      <c r="Y2327" s="318"/>
      <c r="Z2327" s="318"/>
      <c r="AA2327" s="318"/>
      <c r="AB2327" s="318"/>
      <c r="AC2327" s="318"/>
      <c r="AD2327" s="318"/>
    </row>
    <row r="2328" spans="2:30" s="323" customFormat="1" ht="12" customHeight="1">
      <c r="B2328" s="324"/>
      <c r="C2328" s="325"/>
      <c r="D2328" s="326"/>
      <c r="E2328" s="326"/>
      <c r="F2328" s="326"/>
      <c r="G2328" s="326"/>
      <c r="H2328" s="326"/>
      <c r="P2328" s="318"/>
      <c r="Q2328" s="318"/>
      <c r="R2328" s="318"/>
      <c r="S2328" s="318"/>
      <c r="T2328" s="318"/>
      <c r="U2328" s="318"/>
      <c r="V2328" s="318"/>
      <c r="W2328" s="318"/>
      <c r="X2328" s="318"/>
      <c r="Y2328" s="318"/>
      <c r="Z2328" s="318"/>
      <c r="AA2328" s="318"/>
      <c r="AB2328" s="318"/>
      <c r="AC2328" s="318"/>
      <c r="AD2328" s="318"/>
    </row>
    <row r="2329" spans="2:30" s="323" customFormat="1" ht="12" customHeight="1">
      <c r="B2329" s="324"/>
      <c r="C2329" s="325"/>
      <c r="D2329" s="326"/>
      <c r="E2329" s="326"/>
      <c r="F2329" s="326"/>
      <c r="G2329" s="326"/>
      <c r="H2329" s="326"/>
      <c r="P2329" s="318"/>
      <c r="Q2329" s="318"/>
      <c r="R2329" s="318"/>
      <c r="S2329" s="318"/>
      <c r="T2329" s="318"/>
      <c r="U2329" s="318"/>
      <c r="V2329" s="318"/>
      <c r="W2329" s="318"/>
      <c r="X2329" s="318"/>
      <c r="Y2329" s="318"/>
      <c r="Z2329" s="318"/>
      <c r="AA2329" s="318"/>
      <c r="AB2329" s="318"/>
      <c r="AC2329" s="318"/>
      <c r="AD2329" s="318"/>
    </row>
    <row r="2330" spans="2:30" s="323" customFormat="1" ht="12" customHeight="1">
      <c r="B2330" s="324"/>
      <c r="C2330" s="325"/>
      <c r="D2330" s="326"/>
      <c r="E2330" s="326"/>
      <c r="F2330" s="326"/>
      <c r="G2330" s="326"/>
      <c r="H2330" s="326"/>
      <c r="P2330" s="318"/>
      <c r="Q2330" s="318"/>
      <c r="R2330" s="318"/>
      <c r="S2330" s="318"/>
      <c r="T2330" s="318"/>
      <c r="U2330" s="318"/>
      <c r="V2330" s="318"/>
      <c r="W2330" s="318"/>
      <c r="X2330" s="318"/>
      <c r="Y2330" s="318"/>
      <c r="Z2330" s="318"/>
      <c r="AA2330" s="318"/>
      <c r="AB2330" s="318"/>
      <c r="AC2330" s="318"/>
      <c r="AD2330" s="318"/>
    </row>
    <row r="2331" spans="2:30" s="323" customFormat="1" ht="12" customHeight="1">
      <c r="B2331" s="324"/>
      <c r="C2331" s="325"/>
      <c r="D2331" s="326"/>
      <c r="E2331" s="326"/>
      <c r="F2331" s="326"/>
      <c r="G2331" s="326"/>
      <c r="H2331" s="326"/>
      <c r="P2331" s="318"/>
      <c r="Q2331" s="318"/>
      <c r="R2331" s="318"/>
      <c r="S2331" s="318"/>
      <c r="T2331" s="318"/>
      <c r="U2331" s="318"/>
      <c r="V2331" s="318"/>
      <c r="W2331" s="318"/>
      <c r="X2331" s="318"/>
      <c r="Y2331" s="318"/>
      <c r="Z2331" s="318"/>
      <c r="AA2331" s="318"/>
      <c r="AB2331" s="318"/>
      <c r="AC2331" s="318"/>
      <c r="AD2331" s="318"/>
    </row>
    <row r="2332" spans="2:30" s="323" customFormat="1" ht="12" customHeight="1">
      <c r="B2332" s="324"/>
      <c r="C2332" s="325"/>
      <c r="D2332" s="326"/>
      <c r="E2332" s="326"/>
      <c r="F2332" s="326"/>
      <c r="G2332" s="326"/>
      <c r="H2332" s="326"/>
      <c r="P2332" s="318"/>
      <c r="Q2332" s="318"/>
      <c r="R2332" s="318"/>
      <c r="S2332" s="318"/>
      <c r="T2332" s="318"/>
      <c r="U2332" s="318"/>
      <c r="V2332" s="318"/>
      <c r="W2332" s="318"/>
      <c r="X2332" s="318"/>
      <c r="Y2332" s="318"/>
      <c r="Z2332" s="318"/>
      <c r="AA2332" s="318"/>
      <c r="AB2332" s="318"/>
      <c r="AC2332" s="318"/>
      <c r="AD2332" s="318"/>
    </row>
    <row r="2333" spans="2:30" s="323" customFormat="1" ht="12" customHeight="1">
      <c r="B2333" s="324"/>
      <c r="C2333" s="325"/>
      <c r="D2333" s="326"/>
      <c r="E2333" s="326"/>
      <c r="F2333" s="326"/>
      <c r="G2333" s="326"/>
      <c r="H2333" s="326"/>
      <c r="P2333" s="318"/>
      <c r="Q2333" s="318"/>
      <c r="R2333" s="318"/>
      <c r="S2333" s="318"/>
      <c r="T2333" s="318"/>
      <c r="U2333" s="318"/>
      <c r="V2333" s="318"/>
      <c r="W2333" s="318"/>
      <c r="X2333" s="318"/>
      <c r="Y2333" s="318"/>
      <c r="Z2333" s="318"/>
      <c r="AA2333" s="318"/>
      <c r="AB2333" s="318"/>
      <c r="AC2333" s="318"/>
      <c r="AD2333" s="318"/>
    </row>
    <row r="2334" spans="2:30" s="323" customFormat="1" ht="12" customHeight="1">
      <c r="B2334" s="324"/>
      <c r="C2334" s="325"/>
      <c r="D2334" s="326"/>
      <c r="E2334" s="326"/>
      <c r="F2334" s="326"/>
      <c r="G2334" s="326"/>
      <c r="H2334" s="326"/>
      <c r="P2334" s="318"/>
      <c r="Q2334" s="318"/>
      <c r="R2334" s="318"/>
      <c r="S2334" s="318"/>
      <c r="T2334" s="318"/>
      <c r="U2334" s="318"/>
      <c r="V2334" s="318"/>
      <c r="W2334" s="318"/>
      <c r="X2334" s="318"/>
      <c r="Y2334" s="318"/>
      <c r="Z2334" s="318"/>
      <c r="AA2334" s="318"/>
      <c r="AB2334" s="318"/>
      <c r="AC2334" s="318"/>
      <c r="AD2334" s="318"/>
    </row>
    <row r="2335" spans="2:30" s="323" customFormat="1" ht="12" customHeight="1">
      <c r="B2335" s="324"/>
      <c r="C2335" s="325"/>
      <c r="D2335" s="326"/>
      <c r="E2335" s="326"/>
      <c r="F2335" s="326"/>
      <c r="G2335" s="326"/>
      <c r="H2335" s="326"/>
      <c r="P2335" s="318"/>
      <c r="Q2335" s="318"/>
      <c r="R2335" s="318"/>
      <c r="S2335" s="318"/>
      <c r="T2335" s="318"/>
      <c r="U2335" s="318"/>
      <c r="V2335" s="318"/>
      <c r="W2335" s="318"/>
      <c r="X2335" s="318"/>
      <c r="Y2335" s="318"/>
      <c r="Z2335" s="318"/>
      <c r="AA2335" s="318"/>
      <c r="AB2335" s="318"/>
      <c r="AC2335" s="318"/>
      <c r="AD2335" s="318"/>
    </row>
    <row r="2336" spans="2:30" s="323" customFormat="1" ht="12" customHeight="1">
      <c r="B2336" s="324"/>
      <c r="C2336" s="325"/>
      <c r="D2336" s="326"/>
      <c r="E2336" s="326"/>
      <c r="F2336" s="326"/>
      <c r="G2336" s="326"/>
      <c r="H2336" s="326"/>
      <c r="P2336" s="318"/>
      <c r="Q2336" s="318"/>
      <c r="R2336" s="318"/>
      <c r="S2336" s="318"/>
      <c r="T2336" s="318"/>
      <c r="U2336" s="318"/>
      <c r="V2336" s="318"/>
      <c r="W2336" s="318"/>
      <c r="X2336" s="318"/>
      <c r="Y2336" s="318"/>
      <c r="Z2336" s="318"/>
      <c r="AA2336" s="318"/>
      <c r="AB2336" s="318"/>
      <c r="AC2336" s="318"/>
      <c r="AD2336" s="318"/>
    </row>
    <row r="2337" spans="2:30" s="323" customFormat="1" ht="12" customHeight="1">
      <c r="B2337" s="324"/>
      <c r="C2337" s="325"/>
      <c r="D2337" s="326"/>
      <c r="E2337" s="326"/>
      <c r="F2337" s="326"/>
      <c r="G2337" s="326"/>
      <c r="H2337" s="326"/>
      <c r="P2337" s="318"/>
      <c r="Q2337" s="318"/>
      <c r="R2337" s="318"/>
      <c r="S2337" s="318"/>
      <c r="T2337" s="318"/>
      <c r="U2337" s="318"/>
      <c r="V2337" s="318"/>
      <c r="W2337" s="318"/>
      <c r="X2337" s="318"/>
      <c r="Y2337" s="318"/>
      <c r="Z2337" s="318"/>
      <c r="AA2337" s="318"/>
      <c r="AB2337" s="318"/>
      <c r="AC2337" s="318"/>
      <c r="AD2337" s="318"/>
    </row>
    <row r="2338" spans="2:30" s="323" customFormat="1" ht="12" customHeight="1">
      <c r="B2338" s="324"/>
      <c r="C2338" s="325"/>
      <c r="D2338" s="326"/>
      <c r="E2338" s="326"/>
      <c r="F2338" s="326"/>
      <c r="G2338" s="326"/>
      <c r="H2338" s="326"/>
      <c r="P2338" s="318"/>
      <c r="Q2338" s="318"/>
      <c r="R2338" s="318"/>
      <c r="S2338" s="318"/>
      <c r="T2338" s="318"/>
      <c r="U2338" s="318"/>
      <c r="V2338" s="318"/>
      <c r="W2338" s="318"/>
      <c r="X2338" s="318"/>
      <c r="Y2338" s="318"/>
      <c r="Z2338" s="318"/>
      <c r="AA2338" s="318"/>
      <c r="AB2338" s="318"/>
      <c r="AC2338" s="318"/>
      <c r="AD2338" s="318"/>
    </row>
    <row r="2339" spans="2:30" s="323" customFormat="1" ht="12" customHeight="1">
      <c r="B2339" s="324"/>
      <c r="C2339" s="325"/>
      <c r="D2339" s="326"/>
      <c r="E2339" s="326"/>
      <c r="F2339" s="326"/>
      <c r="G2339" s="326"/>
      <c r="H2339" s="326"/>
      <c r="P2339" s="318"/>
      <c r="Q2339" s="318"/>
      <c r="R2339" s="318"/>
      <c r="S2339" s="318"/>
      <c r="T2339" s="318"/>
      <c r="U2339" s="318"/>
      <c r="V2339" s="318"/>
      <c r="W2339" s="318"/>
      <c r="X2339" s="318"/>
      <c r="Y2339" s="318"/>
      <c r="Z2339" s="318"/>
      <c r="AA2339" s="318"/>
      <c r="AB2339" s="318"/>
      <c r="AC2339" s="318"/>
      <c r="AD2339" s="318"/>
    </row>
    <row r="2340" spans="2:30" s="323" customFormat="1" ht="12" customHeight="1">
      <c r="B2340" s="324"/>
      <c r="C2340" s="325"/>
      <c r="D2340" s="326"/>
      <c r="E2340" s="326"/>
      <c r="F2340" s="326"/>
      <c r="G2340" s="326"/>
      <c r="H2340" s="326"/>
      <c r="P2340" s="318"/>
      <c r="Q2340" s="318"/>
      <c r="R2340" s="318"/>
      <c r="S2340" s="318"/>
      <c r="T2340" s="318"/>
      <c r="U2340" s="318"/>
      <c r="V2340" s="318"/>
      <c r="W2340" s="318"/>
      <c r="X2340" s="318"/>
      <c r="Y2340" s="318"/>
      <c r="Z2340" s="318"/>
      <c r="AA2340" s="318"/>
      <c r="AB2340" s="318"/>
      <c r="AC2340" s="318"/>
      <c r="AD2340" s="318"/>
    </row>
    <row r="2341" spans="2:30" s="323" customFormat="1" ht="12" customHeight="1">
      <c r="B2341" s="324"/>
      <c r="C2341" s="325"/>
      <c r="D2341" s="326"/>
      <c r="E2341" s="326"/>
      <c r="F2341" s="326"/>
      <c r="G2341" s="326"/>
      <c r="H2341" s="326"/>
      <c r="P2341" s="318"/>
      <c r="Q2341" s="318"/>
      <c r="R2341" s="318"/>
      <c r="S2341" s="318"/>
      <c r="T2341" s="318"/>
      <c r="U2341" s="318"/>
      <c r="V2341" s="318"/>
      <c r="W2341" s="318"/>
      <c r="X2341" s="318"/>
      <c r="Y2341" s="318"/>
      <c r="Z2341" s="318"/>
      <c r="AA2341" s="318"/>
      <c r="AB2341" s="318"/>
      <c r="AC2341" s="318"/>
      <c r="AD2341" s="318"/>
    </row>
    <row r="2342" spans="2:30" s="323" customFormat="1" ht="12" customHeight="1">
      <c r="B2342" s="324"/>
      <c r="C2342" s="325"/>
      <c r="D2342" s="326"/>
      <c r="E2342" s="326"/>
      <c r="F2342" s="326"/>
      <c r="G2342" s="326"/>
      <c r="H2342" s="326"/>
      <c r="P2342" s="318"/>
      <c r="Q2342" s="318"/>
      <c r="R2342" s="318"/>
      <c r="S2342" s="318"/>
      <c r="T2342" s="318"/>
      <c r="U2342" s="318"/>
      <c r="V2342" s="318"/>
      <c r="W2342" s="318"/>
      <c r="X2342" s="318"/>
      <c r="Y2342" s="318"/>
      <c r="Z2342" s="318"/>
      <c r="AA2342" s="318"/>
      <c r="AB2342" s="318"/>
      <c r="AC2342" s="318"/>
      <c r="AD2342" s="318"/>
    </row>
    <row r="2343" spans="2:30" s="323" customFormat="1" ht="12" customHeight="1">
      <c r="B2343" s="324"/>
      <c r="C2343" s="325"/>
      <c r="D2343" s="326"/>
      <c r="E2343" s="326"/>
      <c r="F2343" s="326"/>
      <c r="G2343" s="326"/>
      <c r="H2343" s="326"/>
      <c r="P2343" s="318"/>
      <c r="Q2343" s="318"/>
      <c r="R2343" s="318"/>
      <c r="S2343" s="318"/>
      <c r="T2343" s="318"/>
      <c r="U2343" s="318"/>
      <c r="V2343" s="318"/>
      <c r="W2343" s="318"/>
      <c r="X2343" s="318"/>
      <c r="Y2343" s="318"/>
      <c r="Z2343" s="318"/>
      <c r="AA2343" s="318"/>
      <c r="AB2343" s="318"/>
      <c r="AC2343" s="318"/>
      <c r="AD2343" s="318"/>
    </row>
    <row r="2344" spans="2:30" s="323" customFormat="1" ht="12" customHeight="1">
      <c r="B2344" s="324"/>
      <c r="C2344" s="325"/>
      <c r="D2344" s="326"/>
      <c r="E2344" s="326"/>
      <c r="F2344" s="326"/>
      <c r="G2344" s="326"/>
      <c r="H2344" s="326"/>
      <c r="P2344" s="318"/>
      <c r="Q2344" s="318"/>
      <c r="R2344" s="318"/>
      <c r="S2344" s="318"/>
      <c r="T2344" s="318"/>
      <c r="U2344" s="318"/>
      <c r="V2344" s="318"/>
      <c r="W2344" s="318"/>
      <c r="X2344" s="318"/>
      <c r="Y2344" s="318"/>
      <c r="Z2344" s="318"/>
      <c r="AA2344" s="318"/>
      <c r="AB2344" s="318"/>
      <c r="AC2344" s="318"/>
      <c r="AD2344" s="318"/>
    </row>
    <row r="2345" spans="2:30" s="323" customFormat="1" ht="12" customHeight="1">
      <c r="B2345" s="324"/>
      <c r="C2345" s="325"/>
      <c r="D2345" s="326"/>
      <c r="E2345" s="326"/>
      <c r="F2345" s="326"/>
      <c r="G2345" s="326"/>
      <c r="H2345" s="326"/>
      <c r="P2345" s="318"/>
      <c r="Q2345" s="318"/>
      <c r="R2345" s="318"/>
      <c r="S2345" s="318"/>
      <c r="T2345" s="318"/>
      <c r="U2345" s="318"/>
      <c r="V2345" s="318"/>
      <c r="W2345" s="318"/>
      <c r="X2345" s="318"/>
      <c r="Y2345" s="318"/>
      <c r="Z2345" s="318"/>
      <c r="AA2345" s="318"/>
      <c r="AB2345" s="318"/>
      <c r="AC2345" s="318"/>
      <c r="AD2345" s="318"/>
    </row>
    <row r="2346" spans="2:30" s="323" customFormat="1" ht="12" customHeight="1">
      <c r="B2346" s="324"/>
      <c r="C2346" s="325"/>
      <c r="D2346" s="326"/>
      <c r="E2346" s="326"/>
      <c r="F2346" s="326"/>
      <c r="G2346" s="326"/>
      <c r="H2346" s="326"/>
      <c r="P2346" s="318"/>
      <c r="Q2346" s="318"/>
      <c r="R2346" s="318"/>
      <c r="S2346" s="318"/>
      <c r="T2346" s="318"/>
      <c r="U2346" s="318"/>
      <c r="V2346" s="318"/>
      <c r="W2346" s="318"/>
      <c r="X2346" s="318"/>
      <c r="Y2346" s="318"/>
      <c r="Z2346" s="318"/>
      <c r="AA2346" s="318"/>
      <c r="AB2346" s="318"/>
      <c r="AC2346" s="318"/>
      <c r="AD2346" s="318"/>
    </row>
    <row r="2347" spans="2:30" s="323" customFormat="1" ht="12" customHeight="1">
      <c r="B2347" s="324"/>
      <c r="C2347" s="325"/>
      <c r="D2347" s="326"/>
      <c r="E2347" s="326"/>
      <c r="F2347" s="326"/>
      <c r="G2347" s="326"/>
      <c r="H2347" s="326"/>
      <c r="P2347" s="318"/>
      <c r="Q2347" s="318"/>
      <c r="R2347" s="318"/>
      <c r="S2347" s="318"/>
      <c r="T2347" s="318"/>
      <c r="U2347" s="318"/>
      <c r="V2347" s="318"/>
      <c r="W2347" s="318"/>
      <c r="X2347" s="318"/>
      <c r="Y2347" s="318"/>
      <c r="Z2347" s="318"/>
      <c r="AA2347" s="318"/>
      <c r="AB2347" s="318"/>
      <c r="AC2347" s="318"/>
      <c r="AD2347" s="318"/>
    </row>
    <row r="2348" spans="2:30" s="323" customFormat="1" ht="12" customHeight="1">
      <c r="B2348" s="324"/>
      <c r="C2348" s="325"/>
      <c r="D2348" s="326"/>
      <c r="E2348" s="326"/>
      <c r="F2348" s="326"/>
      <c r="G2348" s="326"/>
      <c r="H2348" s="326"/>
      <c r="P2348" s="318"/>
      <c r="Q2348" s="318"/>
      <c r="R2348" s="318"/>
      <c r="S2348" s="318"/>
      <c r="T2348" s="318"/>
      <c r="U2348" s="318"/>
      <c r="V2348" s="318"/>
      <c r="W2348" s="318"/>
      <c r="X2348" s="318"/>
      <c r="Y2348" s="318"/>
      <c r="Z2348" s="318"/>
      <c r="AA2348" s="318"/>
      <c r="AB2348" s="318"/>
      <c r="AC2348" s="318"/>
      <c r="AD2348" s="318"/>
    </row>
    <row r="2349" spans="2:30" s="323" customFormat="1" ht="12" customHeight="1">
      <c r="B2349" s="324"/>
      <c r="C2349" s="325"/>
      <c r="D2349" s="326"/>
      <c r="E2349" s="326"/>
      <c r="F2349" s="326"/>
      <c r="G2349" s="326"/>
      <c r="H2349" s="326"/>
      <c r="P2349" s="318"/>
      <c r="Q2349" s="318"/>
      <c r="R2349" s="318"/>
      <c r="S2349" s="318"/>
      <c r="T2349" s="318"/>
      <c r="U2349" s="318"/>
      <c r="V2349" s="318"/>
      <c r="W2349" s="318"/>
      <c r="X2349" s="318"/>
      <c r="Y2349" s="318"/>
      <c r="Z2349" s="318"/>
      <c r="AA2349" s="318"/>
      <c r="AB2349" s="318"/>
      <c r="AC2349" s="318"/>
      <c r="AD2349" s="318"/>
    </row>
    <row r="2350" spans="2:30" s="323" customFormat="1" ht="12" customHeight="1">
      <c r="B2350" s="324"/>
      <c r="C2350" s="325"/>
      <c r="D2350" s="326"/>
      <c r="E2350" s="326"/>
      <c r="F2350" s="326"/>
      <c r="G2350" s="326"/>
      <c r="H2350" s="326"/>
      <c r="P2350" s="318"/>
      <c r="Q2350" s="318"/>
      <c r="R2350" s="318"/>
      <c r="S2350" s="318"/>
      <c r="T2350" s="318"/>
      <c r="U2350" s="318"/>
      <c r="V2350" s="318"/>
      <c r="W2350" s="318"/>
      <c r="X2350" s="318"/>
      <c r="Y2350" s="318"/>
      <c r="Z2350" s="318"/>
      <c r="AA2350" s="318"/>
      <c r="AB2350" s="318"/>
      <c r="AC2350" s="318"/>
      <c r="AD2350" s="318"/>
    </row>
    <row r="2351" spans="2:30" s="323" customFormat="1" ht="12" customHeight="1">
      <c r="B2351" s="324"/>
      <c r="C2351" s="325"/>
      <c r="D2351" s="326"/>
      <c r="E2351" s="326"/>
      <c r="F2351" s="326"/>
      <c r="G2351" s="326"/>
      <c r="H2351" s="326"/>
      <c r="P2351" s="318"/>
      <c r="Q2351" s="318"/>
      <c r="R2351" s="318"/>
      <c r="S2351" s="318"/>
      <c r="T2351" s="318"/>
      <c r="U2351" s="318"/>
      <c r="V2351" s="318"/>
      <c r="W2351" s="318"/>
      <c r="X2351" s="318"/>
      <c r="Y2351" s="318"/>
      <c r="Z2351" s="318"/>
      <c r="AA2351" s="318"/>
      <c r="AB2351" s="318"/>
      <c r="AC2351" s="318"/>
      <c r="AD2351" s="318"/>
    </row>
    <row r="2352" spans="2:30" s="323" customFormat="1" ht="12" customHeight="1">
      <c r="B2352" s="324"/>
      <c r="C2352" s="325"/>
      <c r="D2352" s="326"/>
      <c r="E2352" s="326"/>
      <c r="F2352" s="326"/>
      <c r="G2352" s="326"/>
      <c r="H2352" s="326"/>
      <c r="P2352" s="318"/>
      <c r="Q2352" s="318"/>
      <c r="R2352" s="318"/>
      <c r="S2352" s="318"/>
      <c r="T2352" s="318"/>
      <c r="U2352" s="318"/>
      <c r="V2352" s="318"/>
      <c r="W2352" s="318"/>
      <c r="X2352" s="318"/>
      <c r="Y2352" s="318"/>
      <c r="Z2352" s="318"/>
      <c r="AA2352" s="318"/>
      <c r="AB2352" s="318"/>
      <c r="AC2352" s="318"/>
      <c r="AD2352" s="318"/>
    </row>
    <row r="2353" spans="2:30" s="323" customFormat="1" ht="12" customHeight="1">
      <c r="B2353" s="324"/>
      <c r="C2353" s="325"/>
      <c r="D2353" s="326"/>
      <c r="E2353" s="326"/>
      <c r="F2353" s="326"/>
      <c r="G2353" s="326"/>
      <c r="H2353" s="326"/>
      <c r="P2353" s="318"/>
      <c r="Q2353" s="318"/>
      <c r="R2353" s="318"/>
      <c r="S2353" s="318"/>
      <c r="T2353" s="318"/>
      <c r="U2353" s="318"/>
      <c r="V2353" s="318"/>
      <c r="W2353" s="318"/>
      <c r="X2353" s="318"/>
      <c r="Y2353" s="318"/>
      <c r="Z2353" s="318"/>
      <c r="AA2353" s="318"/>
      <c r="AB2353" s="318"/>
      <c r="AC2353" s="318"/>
      <c r="AD2353" s="318"/>
    </row>
    <row r="2354" spans="2:30" s="323" customFormat="1" ht="12" customHeight="1">
      <c r="B2354" s="324"/>
      <c r="C2354" s="325"/>
      <c r="D2354" s="326"/>
      <c r="E2354" s="326"/>
      <c r="F2354" s="326"/>
      <c r="G2354" s="326"/>
      <c r="H2354" s="326"/>
      <c r="P2354" s="318"/>
      <c r="Q2354" s="318"/>
      <c r="R2354" s="318"/>
      <c r="S2354" s="318"/>
      <c r="T2354" s="318"/>
      <c r="U2354" s="318"/>
      <c r="V2354" s="318"/>
      <c r="W2354" s="318"/>
      <c r="X2354" s="318"/>
      <c r="Y2354" s="318"/>
      <c r="Z2354" s="318"/>
      <c r="AA2354" s="318"/>
      <c r="AB2354" s="318"/>
      <c r="AC2354" s="318"/>
      <c r="AD2354" s="318"/>
    </row>
    <row r="2355" spans="2:30" s="323" customFormat="1" ht="12" customHeight="1">
      <c r="B2355" s="324"/>
      <c r="C2355" s="325"/>
      <c r="D2355" s="326"/>
      <c r="E2355" s="326"/>
      <c r="F2355" s="326"/>
      <c r="G2355" s="326"/>
      <c r="H2355" s="326"/>
      <c r="P2355" s="318"/>
      <c r="Q2355" s="318"/>
      <c r="R2355" s="318"/>
      <c r="S2355" s="318"/>
      <c r="T2355" s="318"/>
      <c r="U2355" s="318"/>
      <c r="V2355" s="318"/>
      <c r="W2355" s="318"/>
      <c r="X2355" s="318"/>
      <c r="Y2355" s="318"/>
      <c r="Z2355" s="318"/>
      <c r="AA2355" s="318"/>
      <c r="AB2355" s="318"/>
      <c r="AC2355" s="318"/>
      <c r="AD2355" s="318"/>
    </row>
    <row r="2356" spans="2:30" s="323" customFormat="1" ht="12" customHeight="1">
      <c r="B2356" s="324"/>
      <c r="C2356" s="325"/>
      <c r="D2356" s="326"/>
      <c r="E2356" s="326"/>
      <c r="F2356" s="326"/>
      <c r="G2356" s="326"/>
      <c r="H2356" s="326"/>
      <c r="P2356" s="318"/>
      <c r="Q2356" s="318"/>
      <c r="R2356" s="318"/>
      <c r="S2356" s="318"/>
      <c r="T2356" s="318"/>
      <c r="U2356" s="318"/>
      <c r="V2356" s="318"/>
      <c r="W2356" s="318"/>
      <c r="X2356" s="318"/>
      <c r="Y2356" s="318"/>
      <c r="Z2356" s="318"/>
      <c r="AA2356" s="318"/>
      <c r="AB2356" s="318"/>
      <c r="AC2356" s="318"/>
      <c r="AD2356" s="318"/>
    </row>
    <row r="2357" spans="2:30" s="323" customFormat="1" ht="12" customHeight="1">
      <c r="B2357" s="324"/>
      <c r="C2357" s="325"/>
      <c r="D2357" s="326"/>
      <c r="E2357" s="326"/>
      <c r="F2357" s="326"/>
      <c r="G2357" s="326"/>
      <c r="H2357" s="326"/>
      <c r="P2357" s="318"/>
      <c r="Q2357" s="318"/>
      <c r="R2357" s="318"/>
      <c r="S2357" s="318"/>
      <c r="T2357" s="318"/>
      <c r="U2357" s="318"/>
      <c r="V2357" s="318"/>
      <c r="W2357" s="318"/>
      <c r="X2357" s="318"/>
      <c r="Y2357" s="318"/>
      <c r="Z2357" s="318"/>
      <c r="AA2357" s="318"/>
      <c r="AB2357" s="318"/>
      <c r="AC2357" s="318"/>
      <c r="AD2357" s="318"/>
    </row>
    <row r="2358" spans="2:30" s="323" customFormat="1" ht="12" customHeight="1">
      <c r="B2358" s="324"/>
      <c r="C2358" s="325"/>
      <c r="D2358" s="326"/>
      <c r="E2358" s="326"/>
      <c r="F2358" s="326"/>
      <c r="G2358" s="326"/>
      <c r="H2358" s="326"/>
      <c r="P2358" s="318"/>
      <c r="Q2358" s="318"/>
      <c r="R2358" s="318"/>
      <c r="S2358" s="318"/>
      <c r="T2358" s="318"/>
      <c r="U2358" s="318"/>
      <c r="V2358" s="318"/>
      <c r="W2358" s="318"/>
      <c r="X2358" s="318"/>
      <c r="Y2358" s="318"/>
      <c r="Z2358" s="318"/>
      <c r="AA2358" s="318"/>
      <c r="AB2358" s="318"/>
      <c r="AC2358" s="318"/>
      <c r="AD2358" s="318"/>
    </row>
    <row r="2359" spans="2:30" s="323" customFormat="1" ht="12" customHeight="1">
      <c r="B2359" s="324"/>
      <c r="C2359" s="325"/>
      <c r="D2359" s="326"/>
      <c r="E2359" s="326"/>
      <c r="F2359" s="326"/>
      <c r="G2359" s="326"/>
      <c r="H2359" s="326"/>
      <c r="P2359" s="318"/>
      <c r="Q2359" s="318"/>
      <c r="R2359" s="318"/>
      <c r="S2359" s="318"/>
      <c r="T2359" s="318"/>
      <c r="U2359" s="318"/>
      <c r="V2359" s="318"/>
      <c r="W2359" s="318"/>
      <c r="X2359" s="318"/>
      <c r="Y2359" s="318"/>
      <c r="Z2359" s="318"/>
      <c r="AA2359" s="318"/>
      <c r="AB2359" s="318"/>
      <c r="AC2359" s="318"/>
      <c r="AD2359" s="318"/>
    </row>
    <row r="2360" spans="2:30" s="323" customFormat="1" ht="12" customHeight="1">
      <c r="B2360" s="324"/>
      <c r="C2360" s="325"/>
      <c r="D2360" s="326"/>
      <c r="E2360" s="326"/>
      <c r="F2360" s="326"/>
      <c r="G2360" s="326"/>
      <c r="H2360" s="326"/>
      <c r="P2360" s="318"/>
      <c r="Q2360" s="318"/>
      <c r="R2360" s="318"/>
      <c r="S2360" s="318"/>
      <c r="T2360" s="318"/>
      <c r="U2360" s="318"/>
      <c r="V2360" s="318"/>
      <c r="W2360" s="318"/>
      <c r="X2360" s="318"/>
      <c r="Y2360" s="318"/>
      <c r="Z2360" s="318"/>
      <c r="AA2360" s="318"/>
      <c r="AB2360" s="318"/>
      <c r="AC2360" s="318"/>
      <c r="AD2360" s="318"/>
    </row>
    <row r="2361" spans="2:30" s="323" customFormat="1" ht="12" customHeight="1">
      <c r="B2361" s="324"/>
      <c r="C2361" s="325"/>
      <c r="D2361" s="326"/>
      <c r="E2361" s="326"/>
      <c r="F2361" s="326"/>
      <c r="G2361" s="326"/>
      <c r="H2361" s="326"/>
      <c r="P2361" s="318"/>
      <c r="Q2361" s="318"/>
      <c r="R2361" s="318"/>
      <c r="S2361" s="318"/>
      <c r="T2361" s="318"/>
      <c r="U2361" s="318"/>
      <c r="V2361" s="318"/>
      <c r="W2361" s="318"/>
      <c r="X2361" s="318"/>
      <c r="Y2361" s="318"/>
      <c r="Z2361" s="318"/>
      <c r="AA2361" s="318"/>
      <c r="AB2361" s="318"/>
      <c r="AC2361" s="318"/>
      <c r="AD2361" s="318"/>
    </row>
    <row r="2362" spans="2:30" s="323" customFormat="1" ht="12" customHeight="1">
      <c r="B2362" s="324"/>
      <c r="C2362" s="325"/>
      <c r="D2362" s="326"/>
      <c r="E2362" s="326"/>
      <c r="F2362" s="326"/>
      <c r="G2362" s="326"/>
      <c r="H2362" s="326"/>
      <c r="P2362" s="318"/>
      <c r="Q2362" s="318"/>
      <c r="R2362" s="318"/>
      <c r="S2362" s="318"/>
      <c r="T2362" s="318"/>
      <c r="U2362" s="318"/>
      <c r="V2362" s="318"/>
      <c r="W2362" s="318"/>
      <c r="X2362" s="318"/>
      <c r="Y2362" s="318"/>
      <c r="Z2362" s="318"/>
      <c r="AA2362" s="318"/>
      <c r="AB2362" s="318"/>
      <c r="AC2362" s="318"/>
      <c r="AD2362" s="318"/>
    </row>
    <row r="2363" spans="2:30" s="323" customFormat="1" ht="12" customHeight="1">
      <c r="B2363" s="324"/>
      <c r="C2363" s="325"/>
      <c r="D2363" s="326"/>
      <c r="E2363" s="326"/>
      <c r="F2363" s="326"/>
      <c r="G2363" s="326"/>
      <c r="H2363" s="326"/>
      <c r="P2363" s="318"/>
      <c r="Q2363" s="318"/>
      <c r="R2363" s="318"/>
      <c r="S2363" s="318"/>
      <c r="T2363" s="318"/>
      <c r="U2363" s="318"/>
      <c r="V2363" s="318"/>
      <c r="W2363" s="318"/>
      <c r="X2363" s="318"/>
      <c r="Y2363" s="318"/>
      <c r="Z2363" s="318"/>
      <c r="AA2363" s="318"/>
      <c r="AB2363" s="318"/>
      <c r="AC2363" s="318"/>
      <c r="AD2363" s="318"/>
    </row>
    <row r="2364" spans="2:30" s="323" customFormat="1" ht="12" customHeight="1">
      <c r="B2364" s="324"/>
      <c r="C2364" s="325"/>
      <c r="D2364" s="326"/>
      <c r="E2364" s="326"/>
      <c r="F2364" s="326"/>
      <c r="G2364" s="326"/>
      <c r="H2364" s="326"/>
      <c r="P2364" s="318"/>
      <c r="Q2364" s="318"/>
      <c r="R2364" s="318"/>
      <c r="S2364" s="318"/>
      <c r="T2364" s="318"/>
      <c r="U2364" s="318"/>
      <c r="V2364" s="318"/>
      <c r="W2364" s="318"/>
      <c r="X2364" s="318"/>
      <c r="Y2364" s="318"/>
      <c r="Z2364" s="318"/>
      <c r="AA2364" s="318"/>
      <c r="AB2364" s="318"/>
      <c r="AC2364" s="318"/>
      <c r="AD2364" s="318"/>
    </row>
    <row r="2365" spans="2:30" s="323" customFormat="1" ht="12" customHeight="1">
      <c r="B2365" s="324"/>
      <c r="C2365" s="325"/>
      <c r="D2365" s="326"/>
      <c r="E2365" s="326"/>
      <c r="F2365" s="326"/>
      <c r="G2365" s="326"/>
      <c r="H2365" s="326"/>
      <c r="P2365" s="318"/>
      <c r="Q2365" s="318"/>
      <c r="R2365" s="318"/>
      <c r="S2365" s="318"/>
      <c r="T2365" s="318"/>
      <c r="U2365" s="318"/>
      <c r="V2365" s="318"/>
      <c r="W2365" s="318"/>
      <c r="X2365" s="318"/>
      <c r="Y2365" s="318"/>
      <c r="Z2365" s="318"/>
      <c r="AA2365" s="318"/>
      <c r="AB2365" s="318"/>
      <c r="AC2365" s="318"/>
      <c r="AD2365" s="318"/>
    </row>
    <row r="2366" spans="2:30" s="323" customFormat="1" ht="12" customHeight="1">
      <c r="B2366" s="324"/>
      <c r="C2366" s="325"/>
      <c r="D2366" s="326"/>
      <c r="E2366" s="326"/>
      <c r="F2366" s="326"/>
      <c r="G2366" s="326"/>
      <c r="H2366" s="326"/>
      <c r="P2366" s="318"/>
      <c r="Q2366" s="318"/>
      <c r="R2366" s="318"/>
      <c r="S2366" s="318"/>
      <c r="T2366" s="318"/>
      <c r="U2366" s="318"/>
      <c r="V2366" s="318"/>
      <c r="W2366" s="318"/>
      <c r="X2366" s="318"/>
      <c r="Y2366" s="318"/>
      <c r="Z2366" s="318"/>
      <c r="AA2366" s="318"/>
      <c r="AB2366" s="318"/>
      <c r="AC2366" s="318"/>
      <c r="AD2366" s="318"/>
    </row>
    <row r="2367" spans="2:30" s="323" customFormat="1" ht="12" customHeight="1">
      <c r="B2367" s="324"/>
      <c r="C2367" s="325"/>
      <c r="D2367" s="326"/>
      <c r="E2367" s="326"/>
      <c r="F2367" s="326"/>
      <c r="G2367" s="326"/>
      <c r="H2367" s="326"/>
      <c r="P2367" s="318"/>
      <c r="Q2367" s="318"/>
      <c r="R2367" s="318"/>
      <c r="S2367" s="318"/>
      <c r="T2367" s="318"/>
      <c r="U2367" s="318"/>
      <c r="V2367" s="318"/>
      <c r="W2367" s="318"/>
      <c r="X2367" s="318"/>
      <c r="Y2367" s="318"/>
      <c r="Z2367" s="318"/>
      <c r="AA2367" s="318"/>
      <c r="AB2367" s="318"/>
      <c r="AC2367" s="318"/>
      <c r="AD2367" s="318"/>
    </row>
    <row r="2368" spans="2:30" s="323" customFormat="1" ht="12" customHeight="1">
      <c r="B2368" s="324"/>
      <c r="C2368" s="325"/>
      <c r="D2368" s="326"/>
      <c r="E2368" s="326"/>
      <c r="F2368" s="326"/>
      <c r="G2368" s="326"/>
      <c r="H2368" s="326"/>
      <c r="P2368" s="318"/>
      <c r="Q2368" s="318"/>
      <c r="R2368" s="318"/>
      <c r="S2368" s="318"/>
      <c r="T2368" s="318"/>
      <c r="U2368" s="318"/>
      <c r="V2368" s="318"/>
      <c r="W2368" s="318"/>
      <c r="X2368" s="318"/>
      <c r="Y2368" s="318"/>
      <c r="Z2368" s="318"/>
      <c r="AA2368" s="318"/>
      <c r="AB2368" s="318"/>
      <c r="AC2368" s="318"/>
      <c r="AD2368" s="318"/>
    </row>
    <row r="2369" spans="2:30" s="323" customFormat="1" ht="12" customHeight="1">
      <c r="B2369" s="324"/>
      <c r="C2369" s="325"/>
      <c r="D2369" s="326"/>
      <c r="E2369" s="326"/>
      <c r="F2369" s="326"/>
      <c r="G2369" s="326"/>
      <c r="H2369" s="326"/>
      <c r="P2369" s="318"/>
      <c r="Q2369" s="318"/>
      <c r="R2369" s="318"/>
      <c r="S2369" s="318"/>
      <c r="T2369" s="318"/>
      <c r="U2369" s="318"/>
      <c r="V2369" s="318"/>
      <c r="W2369" s="318"/>
      <c r="X2369" s="318"/>
      <c r="Y2369" s="318"/>
      <c r="Z2369" s="318"/>
      <c r="AA2369" s="318"/>
      <c r="AB2369" s="318"/>
      <c r="AC2369" s="318"/>
      <c r="AD2369" s="318"/>
    </row>
    <row r="2370" spans="2:30" s="323" customFormat="1" ht="12" customHeight="1">
      <c r="B2370" s="324"/>
      <c r="C2370" s="325"/>
      <c r="D2370" s="326"/>
      <c r="E2370" s="326"/>
      <c r="F2370" s="326"/>
      <c r="G2370" s="326"/>
      <c r="H2370" s="326"/>
      <c r="P2370" s="318"/>
      <c r="Q2370" s="318"/>
      <c r="R2370" s="318"/>
      <c r="S2370" s="318"/>
      <c r="T2370" s="318"/>
      <c r="U2370" s="318"/>
      <c r="V2370" s="318"/>
      <c r="W2370" s="318"/>
      <c r="X2370" s="318"/>
      <c r="Y2370" s="318"/>
      <c r="Z2370" s="318"/>
      <c r="AA2370" s="318"/>
      <c r="AB2370" s="318"/>
      <c r="AC2370" s="318"/>
      <c r="AD2370" s="318"/>
    </row>
    <row r="2371" spans="2:30" s="323" customFormat="1" ht="12" customHeight="1">
      <c r="B2371" s="324"/>
      <c r="C2371" s="325"/>
      <c r="D2371" s="326"/>
      <c r="E2371" s="326"/>
      <c r="F2371" s="326"/>
      <c r="G2371" s="326"/>
      <c r="H2371" s="326"/>
      <c r="P2371" s="318"/>
      <c r="Q2371" s="318"/>
      <c r="R2371" s="318"/>
      <c r="S2371" s="318"/>
      <c r="T2371" s="318"/>
      <c r="U2371" s="318"/>
      <c r="V2371" s="318"/>
      <c r="W2371" s="318"/>
      <c r="X2371" s="318"/>
      <c r="Y2371" s="318"/>
      <c r="Z2371" s="318"/>
      <c r="AA2371" s="318"/>
      <c r="AB2371" s="318"/>
      <c r="AC2371" s="318"/>
      <c r="AD2371" s="318"/>
    </row>
    <row r="2372" spans="2:30" s="323" customFormat="1" ht="12" customHeight="1">
      <c r="B2372" s="324"/>
      <c r="C2372" s="325"/>
      <c r="D2372" s="326"/>
      <c r="E2372" s="326"/>
      <c r="F2372" s="326"/>
      <c r="G2372" s="326"/>
      <c r="H2372" s="326"/>
      <c r="P2372" s="318"/>
      <c r="Q2372" s="318"/>
      <c r="R2372" s="318"/>
      <c r="S2372" s="318"/>
      <c r="T2372" s="318"/>
      <c r="U2372" s="318"/>
      <c r="V2372" s="318"/>
      <c r="W2372" s="318"/>
      <c r="X2372" s="318"/>
      <c r="Y2372" s="318"/>
      <c r="Z2372" s="318"/>
      <c r="AA2372" s="318"/>
      <c r="AB2372" s="318"/>
      <c r="AC2372" s="318"/>
      <c r="AD2372" s="318"/>
    </row>
    <row r="2373" spans="2:30" s="323" customFormat="1" ht="12" customHeight="1">
      <c r="B2373" s="324"/>
      <c r="C2373" s="325"/>
      <c r="D2373" s="326"/>
      <c r="E2373" s="326"/>
      <c r="F2373" s="326"/>
      <c r="G2373" s="326"/>
      <c r="H2373" s="326"/>
      <c r="P2373" s="318"/>
      <c r="Q2373" s="318"/>
      <c r="R2373" s="318"/>
      <c r="S2373" s="318"/>
      <c r="T2373" s="318"/>
      <c r="U2373" s="318"/>
      <c r="V2373" s="318"/>
      <c r="W2373" s="318"/>
      <c r="X2373" s="318"/>
      <c r="Y2373" s="318"/>
      <c r="Z2373" s="318"/>
      <c r="AA2373" s="318"/>
      <c r="AB2373" s="318"/>
      <c r="AC2373" s="318"/>
      <c r="AD2373" s="318"/>
    </row>
    <row r="2374" spans="2:30" s="323" customFormat="1" ht="12" customHeight="1">
      <c r="B2374" s="324"/>
      <c r="C2374" s="325"/>
      <c r="D2374" s="326"/>
      <c r="E2374" s="326"/>
      <c r="F2374" s="326"/>
      <c r="G2374" s="326"/>
      <c r="H2374" s="326"/>
      <c r="P2374" s="318"/>
      <c r="Q2374" s="318"/>
      <c r="R2374" s="318"/>
      <c r="S2374" s="318"/>
      <c r="T2374" s="318"/>
      <c r="U2374" s="318"/>
      <c r="V2374" s="318"/>
      <c r="W2374" s="318"/>
      <c r="X2374" s="318"/>
      <c r="Y2374" s="318"/>
      <c r="Z2374" s="318"/>
      <c r="AA2374" s="318"/>
      <c r="AB2374" s="318"/>
      <c r="AC2374" s="318"/>
      <c r="AD2374" s="318"/>
    </row>
    <row r="2375" spans="2:30" s="323" customFormat="1" ht="12" customHeight="1">
      <c r="B2375" s="324"/>
      <c r="C2375" s="325"/>
      <c r="D2375" s="326"/>
      <c r="E2375" s="326"/>
      <c r="F2375" s="326"/>
      <c r="G2375" s="326"/>
      <c r="H2375" s="326"/>
      <c r="P2375" s="318"/>
      <c r="Q2375" s="318"/>
      <c r="R2375" s="318"/>
      <c r="S2375" s="318"/>
      <c r="T2375" s="318"/>
      <c r="U2375" s="318"/>
      <c r="V2375" s="318"/>
      <c r="W2375" s="318"/>
      <c r="X2375" s="318"/>
      <c r="Y2375" s="318"/>
      <c r="Z2375" s="318"/>
      <c r="AA2375" s="318"/>
      <c r="AB2375" s="318"/>
      <c r="AC2375" s="318"/>
      <c r="AD2375" s="318"/>
    </row>
    <row r="2376" spans="2:30" s="323" customFormat="1" ht="12" customHeight="1">
      <c r="B2376" s="324"/>
      <c r="C2376" s="325"/>
      <c r="D2376" s="326"/>
      <c r="E2376" s="326"/>
      <c r="F2376" s="326"/>
      <c r="G2376" s="326"/>
      <c r="H2376" s="326"/>
      <c r="P2376" s="318"/>
      <c r="Q2376" s="318"/>
      <c r="R2376" s="318"/>
      <c r="S2376" s="318"/>
      <c r="T2376" s="318"/>
      <c r="U2376" s="318"/>
      <c r="V2376" s="318"/>
      <c r="W2376" s="318"/>
      <c r="X2376" s="318"/>
      <c r="Y2376" s="318"/>
      <c r="Z2376" s="318"/>
      <c r="AA2376" s="318"/>
      <c r="AB2376" s="318"/>
      <c r="AC2376" s="318"/>
      <c r="AD2376" s="318"/>
    </row>
    <row r="2377" spans="2:30" s="323" customFormat="1" ht="12" customHeight="1">
      <c r="B2377" s="324"/>
      <c r="C2377" s="325"/>
      <c r="D2377" s="326"/>
      <c r="E2377" s="326"/>
      <c r="F2377" s="326"/>
      <c r="G2377" s="326"/>
      <c r="H2377" s="326"/>
      <c r="P2377" s="318"/>
      <c r="Q2377" s="318"/>
      <c r="R2377" s="318"/>
      <c r="S2377" s="318"/>
      <c r="T2377" s="318"/>
      <c r="U2377" s="318"/>
      <c r="V2377" s="318"/>
      <c r="W2377" s="318"/>
      <c r="X2377" s="318"/>
      <c r="Y2377" s="318"/>
      <c r="Z2377" s="318"/>
      <c r="AA2377" s="318"/>
      <c r="AB2377" s="318"/>
      <c r="AC2377" s="318"/>
      <c r="AD2377" s="318"/>
    </row>
    <row r="2378" spans="2:30" s="323" customFormat="1" ht="12" customHeight="1">
      <c r="B2378" s="324"/>
      <c r="C2378" s="325"/>
      <c r="D2378" s="326"/>
      <c r="E2378" s="326"/>
      <c r="F2378" s="326"/>
      <c r="G2378" s="326"/>
      <c r="H2378" s="326"/>
      <c r="P2378" s="318"/>
      <c r="Q2378" s="318"/>
      <c r="R2378" s="318"/>
      <c r="S2378" s="318"/>
      <c r="T2378" s="318"/>
      <c r="U2378" s="318"/>
      <c r="V2378" s="318"/>
      <c r="W2378" s="318"/>
      <c r="X2378" s="318"/>
      <c r="Y2378" s="318"/>
      <c r="Z2378" s="318"/>
      <c r="AA2378" s="318"/>
      <c r="AB2378" s="318"/>
      <c r="AC2378" s="318"/>
      <c r="AD2378" s="318"/>
    </row>
    <row r="2379" spans="2:30" s="323" customFormat="1" ht="12" customHeight="1">
      <c r="B2379" s="324"/>
      <c r="C2379" s="325"/>
      <c r="D2379" s="326"/>
      <c r="E2379" s="326"/>
      <c r="F2379" s="326"/>
      <c r="G2379" s="326"/>
      <c r="H2379" s="326"/>
      <c r="P2379" s="318"/>
      <c r="Q2379" s="318"/>
      <c r="R2379" s="318"/>
      <c r="S2379" s="318"/>
      <c r="T2379" s="318"/>
      <c r="U2379" s="318"/>
      <c r="V2379" s="318"/>
      <c r="W2379" s="318"/>
      <c r="X2379" s="318"/>
      <c r="Y2379" s="318"/>
      <c r="Z2379" s="318"/>
      <c r="AA2379" s="318"/>
      <c r="AB2379" s="318"/>
      <c r="AC2379" s="318"/>
      <c r="AD2379" s="318"/>
    </row>
    <row r="2380" spans="2:30" s="323" customFormat="1" ht="12" customHeight="1">
      <c r="B2380" s="324"/>
      <c r="C2380" s="325"/>
      <c r="D2380" s="326"/>
      <c r="E2380" s="326"/>
      <c r="F2380" s="326"/>
      <c r="G2380" s="326"/>
      <c r="H2380" s="326"/>
      <c r="P2380" s="318"/>
      <c r="Q2380" s="318"/>
      <c r="R2380" s="318"/>
      <c r="S2380" s="318"/>
      <c r="T2380" s="318"/>
      <c r="U2380" s="318"/>
      <c r="V2380" s="318"/>
      <c r="W2380" s="318"/>
      <c r="X2380" s="318"/>
      <c r="Y2380" s="318"/>
      <c r="Z2380" s="318"/>
      <c r="AA2380" s="318"/>
      <c r="AB2380" s="318"/>
      <c r="AC2380" s="318"/>
      <c r="AD2380" s="318"/>
    </row>
    <row r="2381" spans="2:30" s="323" customFormat="1" ht="12" customHeight="1">
      <c r="B2381" s="324"/>
      <c r="C2381" s="325"/>
      <c r="D2381" s="326"/>
      <c r="E2381" s="326"/>
      <c r="F2381" s="326"/>
      <c r="G2381" s="326"/>
      <c r="H2381" s="326"/>
      <c r="P2381" s="318"/>
      <c r="Q2381" s="318"/>
      <c r="R2381" s="318"/>
      <c r="S2381" s="318"/>
      <c r="T2381" s="318"/>
      <c r="U2381" s="318"/>
      <c r="V2381" s="318"/>
      <c r="W2381" s="318"/>
      <c r="X2381" s="318"/>
      <c r="Y2381" s="318"/>
      <c r="Z2381" s="318"/>
      <c r="AA2381" s="318"/>
      <c r="AB2381" s="318"/>
      <c r="AC2381" s="318"/>
      <c r="AD2381" s="318"/>
    </row>
    <row r="2382" spans="2:30" s="323" customFormat="1" ht="12" customHeight="1">
      <c r="B2382" s="324"/>
      <c r="C2382" s="325"/>
      <c r="D2382" s="326"/>
      <c r="E2382" s="326"/>
      <c r="F2382" s="326"/>
      <c r="G2382" s="326"/>
      <c r="H2382" s="326"/>
      <c r="P2382" s="318"/>
      <c r="Q2382" s="318"/>
      <c r="R2382" s="318"/>
      <c r="S2382" s="318"/>
      <c r="T2382" s="318"/>
      <c r="U2382" s="318"/>
      <c r="V2382" s="318"/>
      <c r="W2382" s="318"/>
      <c r="X2382" s="318"/>
      <c r="Y2382" s="318"/>
      <c r="Z2382" s="318"/>
      <c r="AA2382" s="318"/>
      <c r="AB2382" s="318"/>
      <c r="AC2382" s="318"/>
      <c r="AD2382" s="318"/>
    </row>
    <row r="2383" spans="2:30" s="323" customFormat="1" ht="12" customHeight="1">
      <c r="B2383" s="324"/>
      <c r="C2383" s="325"/>
      <c r="D2383" s="326"/>
      <c r="E2383" s="326"/>
      <c r="F2383" s="326"/>
      <c r="G2383" s="326"/>
      <c r="H2383" s="326"/>
      <c r="P2383" s="318"/>
      <c r="Q2383" s="318"/>
      <c r="R2383" s="318"/>
      <c r="S2383" s="318"/>
      <c r="T2383" s="318"/>
      <c r="U2383" s="318"/>
      <c r="V2383" s="318"/>
      <c r="W2383" s="318"/>
      <c r="X2383" s="318"/>
      <c r="Y2383" s="318"/>
      <c r="Z2383" s="318"/>
      <c r="AA2383" s="318"/>
      <c r="AB2383" s="318"/>
      <c r="AC2383" s="318"/>
      <c r="AD2383" s="318"/>
    </row>
    <row r="2384" spans="2:30" s="323" customFormat="1" ht="12" customHeight="1">
      <c r="B2384" s="324"/>
      <c r="C2384" s="325"/>
      <c r="D2384" s="326"/>
      <c r="E2384" s="326"/>
      <c r="F2384" s="326"/>
      <c r="G2384" s="326"/>
      <c r="H2384" s="326"/>
      <c r="P2384" s="318"/>
      <c r="Q2384" s="318"/>
      <c r="R2384" s="318"/>
      <c r="S2384" s="318"/>
      <c r="T2384" s="318"/>
      <c r="U2384" s="318"/>
      <c r="V2384" s="318"/>
      <c r="W2384" s="318"/>
      <c r="X2384" s="318"/>
      <c r="Y2384" s="318"/>
      <c r="Z2384" s="318"/>
      <c r="AA2384" s="318"/>
      <c r="AB2384" s="318"/>
      <c r="AC2384" s="318"/>
      <c r="AD2384" s="318"/>
    </row>
    <row r="2385" spans="2:30" s="323" customFormat="1" ht="12" customHeight="1">
      <c r="B2385" s="324"/>
      <c r="C2385" s="325"/>
      <c r="D2385" s="326"/>
      <c r="E2385" s="326"/>
      <c r="F2385" s="326"/>
      <c r="G2385" s="326"/>
      <c r="H2385" s="326"/>
      <c r="P2385" s="318"/>
      <c r="Q2385" s="318"/>
      <c r="R2385" s="318"/>
      <c r="S2385" s="318"/>
      <c r="T2385" s="318"/>
      <c r="U2385" s="318"/>
      <c r="V2385" s="318"/>
      <c r="W2385" s="318"/>
      <c r="X2385" s="318"/>
      <c r="Y2385" s="318"/>
      <c r="Z2385" s="318"/>
      <c r="AA2385" s="318"/>
      <c r="AB2385" s="318"/>
      <c r="AC2385" s="318"/>
      <c r="AD2385" s="318"/>
    </row>
    <row r="2386" spans="2:30" s="323" customFormat="1" ht="12" customHeight="1">
      <c r="B2386" s="324"/>
      <c r="C2386" s="325"/>
      <c r="D2386" s="326"/>
      <c r="E2386" s="326"/>
      <c r="F2386" s="326"/>
      <c r="G2386" s="326"/>
      <c r="H2386" s="326"/>
      <c r="P2386" s="318"/>
      <c r="Q2386" s="318"/>
      <c r="R2386" s="318"/>
      <c r="S2386" s="318"/>
      <c r="T2386" s="318"/>
      <c r="U2386" s="318"/>
      <c r="V2386" s="318"/>
      <c r="W2386" s="318"/>
      <c r="X2386" s="318"/>
      <c r="Y2386" s="318"/>
      <c r="Z2386" s="318"/>
      <c r="AA2386" s="318"/>
      <c r="AB2386" s="318"/>
      <c r="AC2386" s="318"/>
      <c r="AD2386" s="318"/>
    </row>
    <row r="2387" spans="2:30" s="323" customFormat="1" ht="12" customHeight="1">
      <c r="B2387" s="324"/>
      <c r="C2387" s="325"/>
      <c r="D2387" s="326"/>
      <c r="E2387" s="326"/>
      <c r="F2387" s="326"/>
      <c r="G2387" s="326"/>
      <c r="H2387" s="326"/>
      <c r="P2387" s="318"/>
      <c r="Q2387" s="318"/>
      <c r="R2387" s="318"/>
      <c r="S2387" s="318"/>
      <c r="T2387" s="318"/>
      <c r="U2387" s="318"/>
      <c r="V2387" s="318"/>
      <c r="W2387" s="318"/>
      <c r="X2387" s="318"/>
      <c r="Y2387" s="318"/>
      <c r="Z2387" s="318"/>
      <c r="AA2387" s="318"/>
      <c r="AB2387" s="318"/>
      <c r="AC2387" s="318"/>
      <c r="AD2387" s="318"/>
    </row>
    <row r="2388" spans="2:30" s="323" customFormat="1" ht="12" customHeight="1">
      <c r="B2388" s="324"/>
      <c r="C2388" s="325"/>
      <c r="D2388" s="326"/>
      <c r="E2388" s="326"/>
      <c r="F2388" s="326"/>
      <c r="G2388" s="326"/>
      <c r="H2388" s="326"/>
      <c r="P2388" s="318"/>
      <c r="Q2388" s="318"/>
      <c r="R2388" s="318"/>
      <c r="S2388" s="318"/>
      <c r="T2388" s="318"/>
      <c r="U2388" s="318"/>
      <c r="V2388" s="318"/>
      <c r="W2388" s="318"/>
      <c r="X2388" s="318"/>
      <c r="Y2388" s="318"/>
      <c r="Z2388" s="318"/>
      <c r="AA2388" s="318"/>
      <c r="AB2388" s="318"/>
      <c r="AC2388" s="318"/>
      <c r="AD2388" s="318"/>
    </row>
    <row r="2389" spans="2:30" s="323" customFormat="1" ht="12" customHeight="1">
      <c r="B2389" s="324"/>
      <c r="C2389" s="325"/>
      <c r="D2389" s="326"/>
      <c r="E2389" s="326"/>
      <c r="F2389" s="326"/>
      <c r="G2389" s="326"/>
      <c r="H2389" s="326"/>
      <c r="P2389" s="318"/>
      <c r="Q2389" s="318"/>
      <c r="R2389" s="318"/>
      <c r="S2389" s="318"/>
      <c r="T2389" s="318"/>
      <c r="U2389" s="318"/>
      <c r="V2389" s="318"/>
      <c r="W2389" s="318"/>
      <c r="X2389" s="318"/>
      <c r="Y2389" s="318"/>
      <c r="Z2389" s="318"/>
      <c r="AA2389" s="318"/>
      <c r="AB2389" s="318"/>
      <c r="AC2389" s="318"/>
      <c r="AD2389" s="318"/>
    </row>
    <row r="2390" spans="2:30" s="323" customFormat="1" ht="12" customHeight="1">
      <c r="B2390" s="324"/>
      <c r="C2390" s="325"/>
      <c r="D2390" s="326"/>
      <c r="E2390" s="326"/>
      <c r="F2390" s="326"/>
      <c r="G2390" s="326"/>
      <c r="H2390" s="326"/>
      <c r="P2390" s="318"/>
      <c r="Q2390" s="318"/>
      <c r="R2390" s="318"/>
      <c r="S2390" s="318"/>
      <c r="T2390" s="318"/>
      <c r="U2390" s="318"/>
      <c r="V2390" s="318"/>
      <c r="W2390" s="318"/>
      <c r="X2390" s="318"/>
      <c r="Y2390" s="318"/>
      <c r="Z2390" s="318"/>
      <c r="AA2390" s="318"/>
      <c r="AB2390" s="318"/>
      <c r="AC2390" s="318"/>
      <c r="AD2390" s="318"/>
    </row>
    <row r="2391" spans="2:30" s="323" customFormat="1" ht="12" customHeight="1">
      <c r="B2391" s="324"/>
      <c r="C2391" s="325"/>
      <c r="D2391" s="326"/>
      <c r="E2391" s="326"/>
      <c r="F2391" s="326"/>
      <c r="G2391" s="326"/>
      <c r="H2391" s="326"/>
      <c r="P2391" s="318"/>
      <c r="Q2391" s="318"/>
      <c r="R2391" s="318"/>
      <c r="S2391" s="318"/>
      <c r="T2391" s="318"/>
      <c r="U2391" s="318"/>
      <c r="V2391" s="318"/>
      <c r="W2391" s="318"/>
      <c r="X2391" s="318"/>
      <c r="Y2391" s="318"/>
      <c r="Z2391" s="318"/>
      <c r="AA2391" s="318"/>
      <c r="AB2391" s="318"/>
      <c r="AC2391" s="318"/>
      <c r="AD2391" s="318"/>
    </row>
    <row r="2392" spans="2:30" s="323" customFormat="1" ht="12" customHeight="1">
      <c r="B2392" s="324"/>
      <c r="C2392" s="325"/>
      <c r="D2392" s="326"/>
      <c r="E2392" s="326"/>
      <c r="F2392" s="326"/>
      <c r="G2392" s="326"/>
      <c r="H2392" s="326"/>
      <c r="P2392" s="318"/>
      <c r="Q2392" s="318"/>
      <c r="R2392" s="318"/>
      <c r="S2392" s="318"/>
      <c r="T2392" s="318"/>
      <c r="U2392" s="318"/>
      <c r="V2392" s="318"/>
      <c r="W2392" s="318"/>
      <c r="X2392" s="318"/>
      <c r="Y2392" s="318"/>
      <c r="Z2392" s="318"/>
      <c r="AA2392" s="318"/>
      <c r="AB2392" s="318"/>
      <c r="AC2392" s="318"/>
      <c r="AD2392" s="318"/>
    </row>
    <row r="2393" spans="2:30" s="323" customFormat="1" ht="12" customHeight="1">
      <c r="B2393" s="324"/>
      <c r="C2393" s="325"/>
      <c r="D2393" s="326"/>
      <c r="E2393" s="326"/>
      <c r="F2393" s="326"/>
      <c r="G2393" s="326"/>
      <c r="H2393" s="326"/>
      <c r="P2393" s="318"/>
      <c r="Q2393" s="318"/>
      <c r="R2393" s="318"/>
      <c r="S2393" s="318"/>
      <c r="T2393" s="318"/>
      <c r="U2393" s="318"/>
      <c r="V2393" s="318"/>
      <c r="W2393" s="318"/>
      <c r="X2393" s="318"/>
      <c r="Y2393" s="318"/>
      <c r="Z2393" s="318"/>
      <c r="AA2393" s="318"/>
      <c r="AB2393" s="318"/>
      <c r="AC2393" s="318"/>
      <c r="AD2393" s="318"/>
    </row>
    <row r="2394" spans="2:30" s="323" customFormat="1" ht="12" customHeight="1">
      <c r="B2394" s="324"/>
      <c r="C2394" s="325"/>
      <c r="D2394" s="326"/>
      <c r="E2394" s="326"/>
      <c r="F2394" s="326"/>
      <c r="G2394" s="326"/>
      <c r="H2394" s="326"/>
      <c r="P2394" s="318"/>
      <c r="Q2394" s="318"/>
      <c r="R2394" s="318"/>
      <c r="S2394" s="318"/>
      <c r="T2394" s="318"/>
      <c r="U2394" s="318"/>
      <c r="V2394" s="318"/>
      <c r="W2394" s="318"/>
      <c r="X2394" s="318"/>
      <c r="Y2394" s="318"/>
      <c r="Z2394" s="318"/>
      <c r="AA2394" s="318"/>
      <c r="AB2394" s="318"/>
      <c r="AC2394" s="318"/>
      <c r="AD2394" s="318"/>
    </row>
    <row r="2395" spans="2:30" s="323" customFormat="1" ht="12" customHeight="1">
      <c r="B2395" s="324"/>
      <c r="C2395" s="325"/>
      <c r="D2395" s="326"/>
      <c r="E2395" s="326"/>
      <c r="F2395" s="326"/>
      <c r="G2395" s="326"/>
      <c r="H2395" s="326"/>
      <c r="P2395" s="318"/>
      <c r="Q2395" s="318"/>
      <c r="R2395" s="318"/>
      <c r="S2395" s="318"/>
      <c r="T2395" s="318"/>
      <c r="U2395" s="318"/>
      <c r="V2395" s="318"/>
      <c r="W2395" s="318"/>
      <c r="X2395" s="318"/>
      <c r="Y2395" s="318"/>
      <c r="Z2395" s="318"/>
      <c r="AA2395" s="318"/>
      <c r="AB2395" s="318"/>
      <c r="AC2395" s="318"/>
      <c r="AD2395" s="318"/>
    </row>
    <row r="2396" spans="2:30" s="323" customFormat="1" ht="12" customHeight="1">
      <c r="B2396" s="324"/>
      <c r="C2396" s="325"/>
      <c r="D2396" s="326"/>
      <c r="E2396" s="326"/>
      <c r="F2396" s="326"/>
      <c r="G2396" s="326"/>
      <c r="H2396" s="326"/>
      <c r="P2396" s="318"/>
      <c r="Q2396" s="318"/>
      <c r="R2396" s="318"/>
      <c r="S2396" s="318"/>
      <c r="T2396" s="318"/>
      <c r="U2396" s="318"/>
      <c r="V2396" s="318"/>
      <c r="W2396" s="318"/>
      <c r="X2396" s="318"/>
      <c r="Y2396" s="318"/>
      <c r="Z2396" s="318"/>
      <c r="AA2396" s="318"/>
      <c r="AB2396" s="318"/>
      <c r="AC2396" s="318"/>
      <c r="AD2396" s="318"/>
    </row>
    <row r="2397" spans="2:30" s="323" customFormat="1" ht="12" customHeight="1">
      <c r="B2397" s="324"/>
      <c r="C2397" s="325"/>
      <c r="D2397" s="326"/>
      <c r="E2397" s="326"/>
      <c r="F2397" s="326"/>
      <c r="G2397" s="326"/>
      <c r="H2397" s="326"/>
      <c r="P2397" s="318"/>
      <c r="Q2397" s="318"/>
      <c r="R2397" s="318"/>
      <c r="S2397" s="318"/>
      <c r="T2397" s="318"/>
      <c r="U2397" s="318"/>
      <c r="V2397" s="318"/>
      <c r="W2397" s="318"/>
      <c r="X2397" s="318"/>
      <c r="Y2397" s="318"/>
      <c r="Z2397" s="318"/>
      <c r="AA2397" s="318"/>
      <c r="AB2397" s="318"/>
      <c r="AC2397" s="318"/>
      <c r="AD2397" s="318"/>
    </row>
    <row r="2398" spans="2:30" s="323" customFormat="1" ht="12" customHeight="1">
      <c r="B2398" s="324"/>
      <c r="C2398" s="325"/>
      <c r="D2398" s="326"/>
      <c r="E2398" s="326"/>
      <c r="F2398" s="326"/>
      <c r="G2398" s="326"/>
      <c r="H2398" s="326"/>
      <c r="P2398" s="318"/>
      <c r="Q2398" s="318"/>
      <c r="R2398" s="318"/>
      <c r="S2398" s="318"/>
      <c r="T2398" s="318"/>
      <c r="U2398" s="318"/>
      <c r="V2398" s="318"/>
      <c r="W2398" s="318"/>
      <c r="X2398" s="318"/>
      <c r="Y2398" s="318"/>
      <c r="Z2398" s="318"/>
      <c r="AA2398" s="318"/>
      <c r="AB2398" s="318"/>
      <c r="AC2398" s="318"/>
      <c r="AD2398" s="318"/>
    </row>
    <row r="2399" spans="2:30" s="323" customFormat="1" ht="12" customHeight="1">
      <c r="B2399" s="324"/>
      <c r="C2399" s="325"/>
      <c r="D2399" s="326"/>
      <c r="E2399" s="326"/>
      <c r="F2399" s="326"/>
      <c r="G2399" s="326"/>
      <c r="H2399" s="326"/>
      <c r="P2399" s="318"/>
      <c r="Q2399" s="318"/>
      <c r="R2399" s="318"/>
      <c r="S2399" s="318"/>
      <c r="T2399" s="318"/>
      <c r="U2399" s="318"/>
      <c r="V2399" s="318"/>
      <c r="W2399" s="318"/>
      <c r="X2399" s="318"/>
      <c r="Y2399" s="318"/>
      <c r="Z2399" s="318"/>
      <c r="AA2399" s="318"/>
      <c r="AB2399" s="318"/>
      <c r="AC2399" s="318"/>
      <c r="AD2399" s="318"/>
    </row>
    <row r="2400" spans="2:30" s="323" customFormat="1" ht="12" customHeight="1">
      <c r="B2400" s="324"/>
      <c r="C2400" s="325"/>
      <c r="D2400" s="326"/>
      <c r="E2400" s="326"/>
      <c r="F2400" s="326"/>
      <c r="G2400" s="326"/>
      <c r="H2400" s="326"/>
      <c r="P2400" s="318"/>
      <c r="Q2400" s="318"/>
      <c r="R2400" s="318"/>
      <c r="S2400" s="318"/>
      <c r="T2400" s="318"/>
      <c r="U2400" s="318"/>
      <c r="V2400" s="318"/>
      <c r="W2400" s="318"/>
      <c r="X2400" s="318"/>
      <c r="Y2400" s="318"/>
      <c r="Z2400" s="318"/>
      <c r="AA2400" s="318"/>
      <c r="AB2400" s="318"/>
      <c r="AC2400" s="318"/>
      <c r="AD2400" s="318"/>
    </row>
    <row r="2401" spans="2:30" s="323" customFormat="1" ht="12" customHeight="1">
      <c r="B2401" s="324"/>
      <c r="C2401" s="325"/>
      <c r="D2401" s="326"/>
      <c r="E2401" s="326"/>
      <c r="F2401" s="326"/>
      <c r="G2401" s="326"/>
      <c r="H2401" s="326"/>
      <c r="P2401" s="318"/>
      <c r="Q2401" s="318"/>
      <c r="R2401" s="318"/>
      <c r="S2401" s="318"/>
      <c r="T2401" s="318"/>
      <c r="U2401" s="318"/>
      <c r="V2401" s="318"/>
      <c r="W2401" s="318"/>
      <c r="X2401" s="318"/>
      <c r="Y2401" s="318"/>
      <c r="Z2401" s="318"/>
      <c r="AA2401" s="318"/>
      <c r="AB2401" s="318"/>
      <c r="AC2401" s="318"/>
      <c r="AD2401" s="318"/>
    </row>
    <row r="2402" spans="2:30" s="323" customFormat="1" ht="12" customHeight="1">
      <c r="B2402" s="324"/>
      <c r="C2402" s="325"/>
      <c r="D2402" s="326"/>
      <c r="E2402" s="326"/>
      <c r="F2402" s="326"/>
      <c r="G2402" s="326"/>
      <c r="H2402" s="326"/>
      <c r="P2402" s="318"/>
      <c r="Q2402" s="318"/>
      <c r="R2402" s="318"/>
      <c r="S2402" s="318"/>
      <c r="T2402" s="318"/>
      <c r="U2402" s="318"/>
      <c r="V2402" s="318"/>
      <c r="W2402" s="318"/>
      <c r="X2402" s="318"/>
      <c r="Y2402" s="318"/>
      <c r="Z2402" s="318"/>
      <c r="AA2402" s="318"/>
      <c r="AB2402" s="318"/>
      <c r="AC2402" s="318"/>
      <c r="AD2402" s="318"/>
    </row>
    <row r="2403" spans="2:30" s="323" customFormat="1" ht="12" customHeight="1">
      <c r="B2403" s="324"/>
      <c r="C2403" s="325"/>
      <c r="D2403" s="326"/>
      <c r="E2403" s="326"/>
      <c r="F2403" s="326"/>
      <c r="G2403" s="326"/>
      <c r="H2403" s="326"/>
      <c r="P2403" s="318"/>
      <c r="Q2403" s="318"/>
      <c r="R2403" s="318"/>
      <c r="S2403" s="318"/>
      <c r="T2403" s="318"/>
      <c r="U2403" s="318"/>
      <c r="V2403" s="318"/>
      <c r="W2403" s="318"/>
      <c r="X2403" s="318"/>
      <c r="Y2403" s="318"/>
      <c r="Z2403" s="318"/>
      <c r="AA2403" s="318"/>
      <c r="AB2403" s="318"/>
      <c r="AC2403" s="318"/>
      <c r="AD2403" s="318"/>
    </row>
    <row r="2404" spans="2:30" s="323" customFormat="1" ht="12" customHeight="1">
      <c r="B2404" s="324"/>
      <c r="C2404" s="325"/>
      <c r="D2404" s="326"/>
      <c r="E2404" s="326"/>
      <c r="F2404" s="326"/>
      <c r="G2404" s="326"/>
      <c r="H2404" s="326"/>
      <c r="P2404" s="318"/>
      <c r="Q2404" s="318"/>
      <c r="R2404" s="318"/>
      <c r="S2404" s="318"/>
      <c r="T2404" s="318"/>
      <c r="U2404" s="318"/>
      <c r="V2404" s="318"/>
      <c r="W2404" s="318"/>
      <c r="X2404" s="318"/>
      <c r="Y2404" s="318"/>
      <c r="Z2404" s="318"/>
      <c r="AA2404" s="318"/>
      <c r="AB2404" s="318"/>
      <c r="AC2404" s="318"/>
      <c r="AD2404" s="318"/>
    </row>
    <row r="2405" spans="2:30" s="323" customFormat="1" ht="12" customHeight="1">
      <c r="B2405" s="324"/>
      <c r="C2405" s="325"/>
      <c r="D2405" s="326"/>
      <c r="E2405" s="326"/>
      <c r="F2405" s="326"/>
      <c r="G2405" s="326"/>
      <c r="H2405" s="326"/>
      <c r="P2405" s="318"/>
      <c r="Q2405" s="318"/>
      <c r="R2405" s="318"/>
      <c r="S2405" s="318"/>
      <c r="T2405" s="318"/>
      <c r="U2405" s="318"/>
      <c r="V2405" s="318"/>
      <c r="W2405" s="318"/>
      <c r="X2405" s="318"/>
      <c r="Y2405" s="318"/>
      <c r="Z2405" s="318"/>
      <c r="AA2405" s="318"/>
      <c r="AB2405" s="318"/>
      <c r="AC2405" s="318"/>
      <c r="AD2405" s="318"/>
    </row>
    <row r="2406" spans="2:30" s="323" customFormat="1" ht="12" customHeight="1">
      <c r="B2406" s="324"/>
      <c r="C2406" s="325"/>
      <c r="D2406" s="326"/>
      <c r="E2406" s="326"/>
      <c r="F2406" s="326"/>
      <c r="G2406" s="326"/>
      <c r="H2406" s="326"/>
      <c r="P2406" s="318"/>
      <c r="Q2406" s="318"/>
      <c r="R2406" s="318"/>
      <c r="S2406" s="318"/>
      <c r="T2406" s="318"/>
      <c r="U2406" s="318"/>
      <c r="V2406" s="318"/>
      <c r="W2406" s="318"/>
      <c r="X2406" s="318"/>
      <c r="Y2406" s="318"/>
      <c r="Z2406" s="318"/>
      <c r="AA2406" s="318"/>
      <c r="AB2406" s="318"/>
      <c r="AC2406" s="318"/>
      <c r="AD2406" s="318"/>
    </row>
    <row r="2407" spans="2:30" s="323" customFormat="1" ht="12" customHeight="1">
      <c r="B2407" s="324"/>
      <c r="C2407" s="325"/>
      <c r="D2407" s="326"/>
      <c r="E2407" s="326"/>
      <c r="F2407" s="326"/>
      <c r="G2407" s="326"/>
      <c r="H2407" s="326"/>
      <c r="P2407" s="318"/>
      <c r="Q2407" s="318"/>
      <c r="R2407" s="318"/>
      <c r="S2407" s="318"/>
      <c r="T2407" s="318"/>
      <c r="U2407" s="318"/>
      <c r="V2407" s="318"/>
      <c r="W2407" s="318"/>
      <c r="X2407" s="318"/>
      <c r="Y2407" s="318"/>
      <c r="Z2407" s="318"/>
      <c r="AA2407" s="318"/>
      <c r="AB2407" s="318"/>
      <c r="AC2407" s="318"/>
      <c r="AD2407" s="318"/>
    </row>
    <row r="2408" spans="2:30" s="323" customFormat="1" ht="12" customHeight="1">
      <c r="B2408" s="324"/>
      <c r="C2408" s="325"/>
      <c r="D2408" s="326"/>
      <c r="E2408" s="326"/>
      <c r="F2408" s="326"/>
      <c r="G2408" s="326"/>
      <c r="H2408" s="326"/>
      <c r="P2408" s="318"/>
      <c r="Q2408" s="318"/>
      <c r="R2408" s="318"/>
      <c r="S2408" s="318"/>
      <c r="T2408" s="318"/>
      <c r="U2408" s="318"/>
      <c r="V2408" s="318"/>
      <c r="W2408" s="318"/>
      <c r="X2408" s="318"/>
      <c r="Y2408" s="318"/>
      <c r="Z2408" s="318"/>
      <c r="AA2408" s="318"/>
      <c r="AB2408" s="318"/>
      <c r="AC2408" s="318"/>
      <c r="AD2408" s="318"/>
    </row>
    <row r="2409" spans="2:30" s="323" customFormat="1" ht="12" customHeight="1">
      <c r="B2409" s="324"/>
      <c r="C2409" s="325"/>
      <c r="D2409" s="326"/>
      <c r="E2409" s="326"/>
      <c r="F2409" s="326"/>
      <c r="G2409" s="326"/>
      <c r="H2409" s="326"/>
      <c r="P2409" s="318"/>
      <c r="Q2409" s="318"/>
      <c r="R2409" s="318"/>
      <c r="S2409" s="318"/>
      <c r="T2409" s="318"/>
      <c r="U2409" s="318"/>
      <c r="V2409" s="318"/>
      <c r="W2409" s="318"/>
      <c r="X2409" s="318"/>
      <c r="Y2409" s="318"/>
      <c r="Z2409" s="318"/>
      <c r="AA2409" s="318"/>
      <c r="AB2409" s="318"/>
      <c r="AC2409" s="318"/>
      <c r="AD2409" s="318"/>
    </row>
    <row r="2410" spans="2:30" s="323" customFormat="1" ht="12" customHeight="1">
      <c r="B2410" s="324"/>
      <c r="C2410" s="325"/>
      <c r="D2410" s="326"/>
      <c r="E2410" s="326"/>
      <c r="F2410" s="326"/>
      <c r="G2410" s="326"/>
      <c r="H2410" s="326"/>
      <c r="P2410" s="318"/>
      <c r="Q2410" s="318"/>
      <c r="R2410" s="318"/>
      <c r="S2410" s="318"/>
      <c r="T2410" s="318"/>
      <c r="U2410" s="318"/>
      <c r="V2410" s="318"/>
      <c r="W2410" s="318"/>
      <c r="X2410" s="318"/>
      <c r="Y2410" s="318"/>
      <c r="Z2410" s="318"/>
      <c r="AA2410" s="318"/>
      <c r="AB2410" s="318"/>
      <c r="AC2410" s="318"/>
      <c r="AD2410" s="318"/>
    </row>
    <row r="2411" spans="2:30" s="323" customFormat="1" ht="12" customHeight="1">
      <c r="B2411" s="324"/>
      <c r="C2411" s="325"/>
      <c r="D2411" s="326"/>
      <c r="E2411" s="326"/>
      <c r="F2411" s="326"/>
      <c r="G2411" s="326"/>
      <c r="H2411" s="326"/>
      <c r="P2411" s="318"/>
      <c r="Q2411" s="318"/>
      <c r="R2411" s="318"/>
      <c r="S2411" s="318"/>
      <c r="T2411" s="318"/>
      <c r="U2411" s="318"/>
      <c r="V2411" s="318"/>
      <c r="W2411" s="318"/>
      <c r="X2411" s="318"/>
      <c r="Y2411" s="318"/>
      <c r="Z2411" s="318"/>
      <c r="AA2411" s="318"/>
      <c r="AB2411" s="318"/>
      <c r="AC2411" s="318"/>
      <c r="AD2411" s="318"/>
    </row>
    <row r="2412" spans="2:30" s="323" customFormat="1" ht="12" customHeight="1">
      <c r="B2412" s="324"/>
      <c r="C2412" s="325"/>
      <c r="D2412" s="326"/>
      <c r="E2412" s="326"/>
      <c r="F2412" s="326"/>
      <c r="G2412" s="326"/>
      <c r="H2412" s="326"/>
      <c r="P2412" s="318"/>
      <c r="Q2412" s="318"/>
      <c r="R2412" s="318"/>
      <c r="S2412" s="318"/>
      <c r="T2412" s="318"/>
      <c r="U2412" s="318"/>
      <c r="V2412" s="318"/>
      <c r="W2412" s="318"/>
      <c r="X2412" s="318"/>
      <c r="Y2412" s="318"/>
      <c r="Z2412" s="318"/>
      <c r="AA2412" s="318"/>
      <c r="AB2412" s="318"/>
      <c r="AC2412" s="318"/>
      <c r="AD2412" s="318"/>
    </row>
    <row r="2413" spans="2:30" s="323" customFormat="1" ht="12" customHeight="1">
      <c r="B2413" s="324"/>
      <c r="C2413" s="325"/>
      <c r="D2413" s="326"/>
      <c r="E2413" s="326"/>
      <c r="F2413" s="326"/>
      <c r="G2413" s="326"/>
      <c r="H2413" s="326"/>
      <c r="P2413" s="318"/>
      <c r="Q2413" s="318"/>
      <c r="R2413" s="318"/>
      <c r="S2413" s="318"/>
      <c r="T2413" s="318"/>
      <c r="U2413" s="318"/>
      <c r="V2413" s="318"/>
      <c r="W2413" s="318"/>
      <c r="X2413" s="318"/>
      <c r="Y2413" s="318"/>
      <c r="Z2413" s="318"/>
      <c r="AA2413" s="318"/>
      <c r="AB2413" s="318"/>
      <c r="AC2413" s="318"/>
      <c r="AD2413" s="318"/>
    </row>
    <row r="2414" spans="2:30" s="323" customFormat="1" ht="12" customHeight="1">
      <c r="B2414" s="324"/>
      <c r="C2414" s="325"/>
      <c r="D2414" s="326"/>
      <c r="E2414" s="326"/>
      <c r="F2414" s="326"/>
      <c r="G2414" s="326"/>
      <c r="H2414" s="326"/>
      <c r="P2414" s="318"/>
      <c r="Q2414" s="318"/>
      <c r="R2414" s="318"/>
      <c r="S2414" s="318"/>
      <c r="T2414" s="318"/>
      <c r="U2414" s="318"/>
      <c r="V2414" s="318"/>
      <c r="W2414" s="318"/>
      <c r="X2414" s="318"/>
      <c r="Y2414" s="318"/>
      <c r="Z2414" s="318"/>
      <c r="AA2414" s="318"/>
      <c r="AB2414" s="318"/>
      <c r="AC2414" s="318"/>
      <c r="AD2414" s="318"/>
    </row>
    <row r="2415" spans="2:30" s="323" customFormat="1" ht="12" customHeight="1">
      <c r="B2415" s="324"/>
      <c r="C2415" s="325"/>
      <c r="D2415" s="326"/>
      <c r="E2415" s="326"/>
      <c r="F2415" s="326"/>
      <c r="G2415" s="326"/>
      <c r="H2415" s="326"/>
      <c r="P2415" s="318"/>
      <c r="Q2415" s="318"/>
      <c r="R2415" s="318"/>
      <c r="S2415" s="318"/>
      <c r="T2415" s="318"/>
      <c r="U2415" s="318"/>
      <c r="V2415" s="318"/>
      <c r="W2415" s="318"/>
      <c r="X2415" s="318"/>
      <c r="Y2415" s="318"/>
      <c r="Z2415" s="318"/>
      <c r="AA2415" s="318"/>
      <c r="AB2415" s="318"/>
      <c r="AC2415" s="318"/>
      <c r="AD2415" s="318"/>
    </row>
    <row r="2416" spans="2:30" s="323" customFormat="1" ht="12" customHeight="1">
      <c r="B2416" s="324"/>
      <c r="C2416" s="325"/>
      <c r="D2416" s="326"/>
      <c r="E2416" s="326"/>
      <c r="F2416" s="326"/>
      <c r="G2416" s="326"/>
      <c r="H2416" s="326"/>
      <c r="P2416" s="318"/>
      <c r="Q2416" s="318"/>
      <c r="R2416" s="318"/>
      <c r="S2416" s="318"/>
      <c r="T2416" s="318"/>
      <c r="U2416" s="318"/>
      <c r="V2416" s="318"/>
      <c r="W2416" s="318"/>
      <c r="X2416" s="318"/>
      <c r="Y2416" s="318"/>
      <c r="Z2416" s="318"/>
      <c r="AA2416" s="318"/>
      <c r="AB2416" s="318"/>
      <c r="AC2416" s="318"/>
      <c r="AD2416" s="318"/>
    </row>
    <row r="2417" spans="2:30" s="323" customFormat="1" ht="12" customHeight="1">
      <c r="B2417" s="324"/>
      <c r="C2417" s="325"/>
      <c r="D2417" s="326"/>
      <c r="E2417" s="326"/>
      <c r="F2417" s="326"/>
      <c r="G2417" s="326"/>
      <c r="H2417" s="326"/>
      <c r="P2417" s="318"/>
      <c r="Q2417" s="318"/>
      <c r="R2417" s="318"/>
      <c r="S2417" s="318"/>
      <c r="T2417" s="318"/>
      <c r="U2417" s="318"/>
      <c r="V2417" s="318"/>
      <c r="W2417" s="318"/>
      <c r="X2417" s="318"/>
      <c r="Y2417" s="318"/>
      <c r="Z2417" s="318"/>
      <c r="AA2417" s="318"/>
      <c r="AB2417" s="318"/>
      <c r="AC2417" s="318"/>
      <c r="AD2417" s="318"/>
    </row>
    <row r="2418" spans="2:30" s="323" customFormat="1" ht="12" customHeight="1">
      <c r="B2418" s="324"/>
      <c r="C2418" s="325"/>
      <c r="D2418" s="326"/>
      <c r="E2418" s="326"/>
      <c r="F2418" s="326"/>
      <c r="G2418" s="326"/>
      <c r="H2418" s="326"/>
      <c r="P2418" s="318"/>
      <c r="Q2418" s="318"/>
      <c r="R2418" s="318"/>
      <c r="S2418" s="318"/>
      <c r="T2418" s="318"/>
      <c r="U2418" s="318"/>
      <c r="V2418" s="318"/>
      <c r="W2418" s="318"/>
      <c r="X2418" s="318"/>
      <c r="Y2418" s="318"/>
      <c r="Z2418" s="318"/>
      <c r="AA2418" s="318"/>
      <c r="AB2418" s="318"/>
      <c r="AC2418" s="318"/>
      <c r="AD2418" s="318"/>
    </row>
    <row r="2419" spans="2:30" s="323" customFormat="1" ht="12" customHeight="1">
      <c r="B2419" s="324"/>
      <c r="C2419" s="325"/>
      <c r="D2419" s="326"/>
      <c r="E2419" s="326"/>
      <c r="F2419" s="326"/>
      <c r="G2419" s="326"/>
      <c r="H2419" s="326"/>
      <c r="P2419" s="318"/>
      <c r="Q2419" s="318"/>
      <c r="R2419" s="318"/>
      <c r="S2419" s="318"/>
      <c r="T2419" s="318"/>
      <c r="U2419" s="318"/>
      <c r="V2419" s="318"/>
      <c r="W2419" s="318"/>
      <c r="X2419" s="318"/>
      <c r="Y2419" s="318"/>
      <c r="Z2419" s="318"/>
      <c r="AA2419" s="318"/>
      <c r="AB2419" s="318"/>
      <c r="AC2419" s="318"/>
      <c r="AD2419" s="318"/>
    </row>
    <row r="2420" spans="2:30" s="323" customFormat="1" ht="12" customHeight="1">
      <c r="B2420" s="324"/>
      <c r="C2420" s="325"/>
      <c r="D2420" s="326"/>
      <c r="E2420" s="326"/>
      <c r="F2420" s="326"/>
      <c r="G2420" s="326"/>
      <c r="H2420" s="326"/>
      <c r="P2420" s="318"/>
      <c r="Q2420" s="318"/>
      <c r="R2420" s="318"/>
      <c r="S2420" s="318"/>
      <c r="T2420" s="318"/>
      <c r="U2420" s="318"/>
      <c r="V2420" s="318"/>
      <c r="W2420" s="318"/>
      <c r="X2420" s="318"/>
      <c r="Y2420" s="318"/>
      <c r="Z2420" s="318"/>
      <c r="AA2420" s="318"/>
      <c r="AB2420" s="318"/>
      <c r="AC2420" s="318"/>
      <c r="AD2420" s="318"/>
    </row>
    <row r="2421" spans="2:30" s="323" customFormat="1" ht="12" customHeight="1">
      <c r="B2421" s="324"/>
      <c r="C2421" s="325"/>
      <c r="D2421" s="326"/>
      <c r="E2421" s="326"/>
      <c r="F2421" s="326"/>
      <c r="G2421" s="326"/>
      <c r="H2421" s="326"/>
      <c r="P2421" s="318"/>
      <c r="Q2421" s="318"/>
      <c r="R2421" s="318"/>
      <c r="S2421" s="318"/>
      <c r="T2421" s="318"/>
      <c r="U2421" s="318"/>
      <c r="V2421" s="318"/>
      <c r="W2421" s="318"/>
      <c r="X2421" s="318"/>
      <c r="Y2421" s="318"/>
      <c r="Z2421" s="318"/>
      <c r="AA2421" s="318"/>
      <c r="AB2421" s="318"/>
      <c r="AC2421" s="318"/>
      <c r="AD2421" s="318"/>
    </row>
    <row r="2422" spans="2:30" s="323" customFormat="1" ht="12" customHeight="1">
      <c r="B2422" s="324"/>
      <c r="C2422" s="325"/>
      <c r="D2422" s="326"/>
      <c r="E2422" s="326"/>
      <c r="F2422" s="326"/>
      <c r="G2422" s="326"/>
      <c r="H2422" s="326"/>
      <c r="P2422" s="318"/>
      <c r="Q2422" s="318"/>
      <c r="R2422" s="318"/>
      <c r="S2422" s="318"/>
      <c r="T2422" s="318"/>
      <c r="U2422" s="318"/>
      <c r="V2422" s="318"/>
      <c r="W2422" s="318"/>
      <c r="X2422" s="318"/>
      <c r="Y2422" s="318"/>
      <c r="Z2422" s="318"/>
      <c r="AA2422" s="318"/>
      <c r="AB2422" s="318"/>
      <c r="AC2422" s="318"/>
      <c r="AD2422" s="318"/>
    </row>
    <row r="2423" spans="2:30" s="323" customFormat="1" ht="12" customHeight="1">
      <c r="B2423" s="324"/>
      <c r="C2423" s="325"/>
      <c r="D2423" s="326"/>
      <c r="E2423" s="326"/>
      <c r="F2423" s="326"/>
      <c r="G2423" s="326"/>
      <c r="H2423" s="326"/>
      <c r="P2423" s="318"/>
      <c r="Q2423" s="318"/>
      <c r="R2423" s="318"/>
      <c r="S2423" s="318"/>
      <c r="T2423" s="318"/>
      <c r="U2423" s="318"/>
      <c r="V2423" s="318"/>
      <c r="W2423" s="318"/>
      <c r="X2423" s="318"/>
      <c r="Y2423" s="318"/>
      <c r="Z2423" s="318"/>
      <c r="AA2423" s="318"/>
      <c r="AB2423" s="318"/>
      <c r="AC2423" s="318"/>
      <c r="AD2423" s="318"/>
    </row>
    <row r="2424" spans="2:30" s="323" customFormat="1" ht="12" customHeight="1">
      <c r="B2424" s="324"/>
      <c r="C2424" s="325"/>
      <c r="D2424" s="326"/>
      <c r="E2424" s="326"/>
      <c r="F2424" s="326"/>
      <c r="G2424" s="326"/>
      <c r="H2424" s="326"/>
      <c r="P2424" s="318"/>
      <c r="Q2424" s="318"/>
      <c r="R2424" s="318"/>
      <c r="S2424" s="318"/>
      <c r="T2424" s="318"/>
      <c r="U2424" s="318"/>
      <c r="V2424" s="318"/>
      <c r="W2424" s="318"/>
      <c r="X2424" s="318"/>
      <c r="Y2424" s="318"/>
      <c r="Z2424" s="318"/>
      <c r="AA2424" s="318"/>
      <c r="AB2424" s="318"/>
      <c r="AC2424" s="318"/>
      <c r="AD2424" s="318"/>
    </row>
    <row r="2425" spans="2:30" s="323" customFormat="1" ht="12" customHeight="1">
      <c r="B2425" s="324"/>
      <c r="C2425" s="325"/>
      <c r="D2425" s="326"/>
      <c r="E2425" s="326"/>
      <c r="F2425" s="326"/>
      <c r="G2425" s="326"/>
      <c r="H2425" s="326"/>
      <c r="P2425" s="318"/>
      <c r="Q2425" s="318"/>
      <c r="R2425" s="318"/>
      <c r="S2425" s="318"/>
      <c r="T2425" s="318"/>
      <c r="U2425" s="318"/>
      <c r="V2425" s="318"/>
      <c r="W2425" s="318"/>
      <c r="X2425" s="318"/>
      <c r="Y2425" s="318"/>
      <c r="Z2425" s="318"/>
      <c r="AA2425" s="318"/>
      <c r="AB2425" s="318"/>
      <c r="AC2425" s="318"/>
      <c r="AD2425" s="318"/>
    </row>
    <row r="2426" spans="2:30" s="323" customFormat="1" ht="12" customHeight="1">
      <c r="B2426" s="324"/>
      <c r="C2426" s="325"/>
      <c r="D2426" s="326"/>
      <c r="E2426" s="326"/>
      <c r="F2426" s="326"/>
      <c r="G2426" s="326"/>
      <c r="H2426" s="326"/>
      <c r="P2426" s="318"/>
      <c r="Q2426" s="318"/>
      <c r="R2426" s="318"/>
      <c r="S2426" s="318"/>
      <c r="T2426" s="318"/>
      <c r="U2426" s="318"/>
      <c r="V2426" s="318"/>
      <c r="W2426" s="318"/>
      <c r="X2426" s="318"/>
      <c r="Y2426" s="318"/>
      <c r="Z2426" s="318"/>
      <c r="AA2426" s="318"/>
      <c r="AB2426" s="318"/>
      <c r="AC2426" s="318"/>
      <c r="AD2426" s="318"/>
    </row>
    <row r="2427" spans="2:30" s="323" customFormat="1" ht="12" customHeight="1">
      <c r="B2427" s="324"/>
      <c r="C2427" s="325"/>
      <c r="D2427" s="326"/>
      <c r="E2427" s="326"/>
      <c r="F2427" s="326"/>
      <c r="G2427" s="326"/>
      <c r="H2427" s="326"/>
      <c r="P2427" s="318"/>
      <c r="Q2427" s="318"/>
      <c r="R2427" s="318"/>
      <c r="S2427" s="318"/>
      <c r="T2427" s="318"/>
      <c r="U2427" s="318"/>
      <c r="V2427" s="318"/>
      <c r="W2427" s="318"/>
      <c r="X2427" s="318"/>
      <c r="Y2427" s="318"/>
      <c r="Z2427" s="318"/>
      <c r="AA2427" s="318"/>
      <c r="AB2427" s="318"/>
      <c r="AC2427" s="318"/>
      <c r="AD2427" s="318"/>
    </row>
    <row r="2428" spans="2:30" s="323" customFormat="1" ht="12" customHeight="1">
      <c r="B2428" s="324"/>
      <c r="C2428" s="325"/>
      <c r="D2428" s="326"/>
      <c r="E2428" s="326"/>
      <c r="F2428" s="326"/>
      <c r="G2428" s="326"/>
      <c r="H2428" s="326"/>
      <c r="P2428" s="318"/>
      <c r="Q2428" s="318"/>
      <c r="R2428" s="318"/>
      <c r="S2428" s="318"/>
      <c r="T2428" s="318"/>
      <c r="U2428" s="318"/>
      <c r="V2428" s="318"/>
      <c r="W2428" s="318"/>
      <c r="X2428" s="318"/>
      <c r="Y2428" s="318"/>
      <c r="Z2428" s="318"/>
      <c r="AA2428" s="318"/>
      <c r="AB2428" s="318"/>
      <c r="AC2428" s="318"/>
      <c r="AD2428" s="318"/>
    </row>
    <row r="2429" spans="2:30" s="323" customFormat="1" ht="12" customHeight="1">
      <c r="B2429" s="324"/>
      <c r="C2429" s="325"/>
      <c r="D2429" s="326"/>
      <c r="E2429" s="326"/>
      <c r="F2429" s="326"/>
      <c r="G2429" s="326"/>
      <c r="H2429" s="326"/>
      <c r="P2429" s="318"/>
      <c r="Q2429" s="318"/>
      <c r="R2429" s="318"/>
      <c r="S2429" s="318"/>
      <c r="T2429" s="318"/>
      <c r="U2429" s="318"/>
      <c r="V2429" s="318"/>
      <c r="W2429" s="318"/>
      <c r="X2429" s="318"/>
      <c r="Y2429" s="318"/>
      <c r="Z2429" s="318"/>
      <c r="AA2429" s="318"/>
      <c r="AB2429" s="318"/>
      <c r="AC2429" s="318"/>
      <c r="AD2429" s="318"/>
    </row>
    <row r="2430" spans="2:30" s="323" customFormat="1" ht="12" customHeight="1">
      <c r="B2430" s="324"/>
      <c r="C2430" s="325"/>
      <c r="D2430" s="326"/>
      <c r="E2430" s="326"/>
      <c r="F2430" s="326"/>
      <c r="G2430" s="326"/>
      <c r="H2430" s="326"/>
      <c r="P2430" s="318"/>
      <c r="Q2430" s="318"/>
      <c r="R2430" s="318"/>
      <c r="S2430" s="318"/>
      <c r="T2430" s="318"/>
      <c r="U2430" s="318"/>
      <c r="V2430" s="318"/>
      <c r="W2430" s="318"/>
      <c r="X2430" s="318"/>
      <c r="Y2430" s="318"/>
      <c r="Z2430" s="318"/>
      <c r="AA2430" s="318"/>
      <c r="AB2430" s="318"/>
      <c r="AC2430" s="318"/>
      <c r="AD2430" s="318"/>
    </row>
    <row r="2431" spans="2:30" s="323" customFormat="1" ht="12" customHeight="1">
      <c r="B2431" s="324"/>
      <c r="C2431" s="325"/>
      <c r="D2431" s="326"/>
      <c r="E2431" s="326"/>
      <c r="F2431" s="326"/>
      <c r="G2431" s="326"/>
      <c r="H2431" s="326"/>
      <c r="P2431" s="318"/>
      <c r="Q2431" s="318"/>
      <c r="R2431" s="318"/>
      <c r="S2431" s="318"/>
      <c r="T2431" s="318"/>
      <c r="U2431" s="318"/>
      <c r="V2431" s="318"/>
      <c r="W2431" s="318"/>
      <c r="X2431" s="318"/>
      <c r="Y2431" s="318"/>
      <c r="Z2431" s="318"/>
      <c r="AA2431" s="318"/>
      <c r="AB2431" s="318"/>
      <c r="AC2431" s="318"/>
      <c r="AD2431" s="318"/>
    </row>
    <row r="2432" spans="2:30" s="323" customFormat="1" ht="12" customHeight="1">
      <c r="B2432" s="324"/>
      <c r="C2432" s="325"/>
      <c r="D2432" s="326"/>
      <c r="E2432" s="326"/>
      <c r="F2432" s="326"/>
      <c r="G2432" s="326"/>
      <c r="H2432" s="326"/>
      <c r="P2432" s="318"/>
      <c r="Q2432" s="318"/>
      <c r="R2432" s="318"/>
      <c r="S2432" s="318"/>
      <c r="T2432" s="318"/>
      <c r="U2432" s="318"/>
      <c r="V2432" s="318"/>
      <c r="W2432" s="318"/>
      <c r="X2432" s="318"/>
      <c r="Y2432" s="318"/>
      <c r="Z2432" s="318"/>
      <c r="AA2432" s="318"/>
      <c r="AB2432" s="318"/>
      <c r="AC2432" s="318"/>
      <c r="AD2432" s="318"/>
    </row>
    <row r="2433" spans="2:30" s="323" customFormat="1" ht="12" customHeight="1">
      <c r="B2433" s="324"/>
      <c r="C2433" s="325"/>
      <c r="D2433" s="326"/>
      <c r="E2433" s="326"/>
      <c r="F2433" s="326"/>
      <c r="G2433" s="326"/>
      <c r="H2433" s="326"/>
      <c r="P2433" s="318"/>
      <c r="Q2433" s="318"/>
      <c r="R2433" s="318"/>
      <c r="S2433" s="318"/>
      <c r="T2433" s="318"/>
      <c r="U2433" s="318"/>
      <c r="V2433" s="318"/>
      <c r="W2433" s="318"/>
      <c r="X2433" s="318"/>
      <c r="Y2433" s="318"/>
      <c r="Z2433" s="318"/>
      <c r="AA2433" s="318"/>
      <c r="AB2433" s="318"/>
      <c r="AC2433" s="318"/>
      <c r="AD2433" s="318"/>
    </row>
    <row r="2434" spans="2:30" s="323" customFormat="1" ht="12" customHeight="1">
      <c r="B2434" s="324"/>
      <c r="C2434" s="325"/>
      <c r="D2434" s="326"/>
      <c r="E2434" s="326"/>
      <c r="F2434" s="326"/>
      <c r="G2434" s="326"/>
      <c r="H2434" s="326"/>
      <c r="P2434" s="318"/>
      <c r="Q2434" s="318"/>
      <c r="R2434" s="318"/>
      <c r="S2434" s="318"/>
      <c r="T2434" s="318"/>
      <c r="U2434" s="318"/>
      <c r="V2434" s="318"/>
      <c r="W2434" s="318"/>
      <c r="X2434" s="318"/>
      <c r="Y2434" s="318"/>
      <c r="Z2434" s="318"/>
      <c r="AA2434" s="318"/>
      <c r="AB2434" s="318"/>
      <c r="AC2434" s="318"/>
      <c r="AD2434" s="318"/>
    </row>
    <row r="2435" spans="2:30" s="323" customFormat="1" ht="12" customHeight="1">
      <c r="B2435" s="324"/>
      <c r="C2435" s="325"/>
      <c r="D2435" s="326"/>
      <c r="E2435" s="326"/>
      <c r="F2435" s="326"/>
      <c r="G2435" s="326"/>
      <c r="H2435" s="326"/>
      <c r="P2435" s="318"/>
      <c r="Q2435" s="318"/>
      <c r="R2435" s="318"/>
      <c r="S2435" s="318"/>
      <c r="T2435" s="318"/>
      <c r="U2435" s="318"/>
      <c r="V2435" s="318"/>
      <c r="W2435" s="318"/>
      <c r="X2435" s="318"/>
      <c r="Y2435" s="318"/>
      <c r="Z2435" s="318"/>
      <c r="AA2435" s="318"/>
      <c r="AB2435" s="318"/>
      <c r="AC2435" s="318"/>
      <c r="AD2435" s="318"/>
    </row>
    <row r="2436" spans="2:30" s="323" customFormat="1" ht="12" customHeight="1">
      <c r="B2436" s="324"/>
      <c r="C2436" s="325"/>
      <c r="D2436" s="326"/>
      <c r="E2436" s="326"/>
      <c r="F2436" s="326"/>
      <c r="G2436" s="326"/>
      <c r="H2436" s="326"/>
      <c r="P2436" s="318"/>
      <c r="Q2436" s="318"/>
      <c r="R2436" s="318"/>
      <c r="S2436" s="318"/>
      <c r="T2436" s="318"/>
      <c r="U2436" s="318"/>
      <c r="V2436" s="318"/>
      <c r="W2436" s="318"/>
      <c r="X2436" s="318"/>
      <c r="Y2436" s="318"/>
      <c r="Z2436" s="318"/>
      <c r="AA2436" s="318"/>
      <c r="AB2436" s="318"/>
      <c r="AC2436" s="318"/>
      <c r="AD2436" s="318"/>
    </row>
    <row r="2437" spans="2:30" s="323" customFormat="1" ht="12" customHeight="1">
      <c r="B2437" s="324"/>
      <c r="C2437" s="325"/>
      <c r="D2437" s="326"/>
      <c r="E2437" s="326"/>
      <c r="F2437" s="326"/>
      <c r="G2437" s="326"/>
      <c r="H2437" s="326"/>
      <c r="P2437" s="318"/>
      <c r="Q2437" s="318"/>
      <c r="R2437" s="318"/>
      <c r="S2437" s="318"/>
      <c r="T2437" s="318"/>
      <c r="U2437" s="318"/>
      <c r="V2437" s="318"/>
      <c r="W2437" s="318"/>
      <c r="X2437" s="318"/>
      <c r="Y2437" s="318"/>
      <c r="Z2437" s="318"/>
      <c r="AA2437" s="318"/>
      <c r="AB2437" s="318"/>
      <c r="AC2437" s="318"/>
      <c r="AD2437" s="318"/>
    </row>
    <row r="2438" spans="2:30" s="323" customFormat="1" ht="12" customHeight="1">
      <c r="B2438" s="324"/>
      <c r="C2438" s="325"/>
      <c r="D2438" s="326"/>
      <c r="E2438" s="326"/>
      <c r="F2438" s="326"/>
      <c r="G2438" s="326"/>
      <c r="H2438" s="326"/>
      <c r="P2438" s="318"/>
      <c r="Q2438" s="318"/>
      <c r="R2438" s="318"/>
      <c r="S2438" s="318"/>
      <c r="T2438" s="318"/>
      <c r="U2438" s="318"/>
      <c r="V2438" s="318"/>
      <c r="W2438" s="318"/>
      <c r="X2438" s="318"/>
      <c r="Y2438" s="318"/>
      <c r="Z2438" s="318"/>
      <c r="AA2438" s="318"/>
      <c r="AB2438" s="318"/>
      <c r="AC2438" s="318"/>
      <c r="AD2438" s="318"/>
    </row>
    <row r="2439" spans="2:30" s="323" customFormat="1" ht="12" customHeight="1">
      <c r="B2439" s="324"/>
      <c r="C2439" s="325"/>
      <c r="D2439" s="326"/>
      <c r="E2439" s="326"/>
      <c r="F2439" s="326"/>
      <c r="G2439" s="326"/>
      <c r="H2439" s="326"/>
      <c r="P2439" s="318"/>
      <c r="Q2439" s="318"/>
      <c r="R2439" s="318"/>
      <c r="S2439" s="318"/>
      <c r="T2439" s="318"/>
      <c r="U2439" s="318"/>
      <c r="V2439" s="318"/>
      <c r="W2439" s="318"/>
      <c r="X2439" s="318"/>
      <c r="Y2439" s="318"/>
      <c r="Z2439" s="318"/>
      <c r="AA2439" s="318"/>
      <c r="AB2439" s="318"/>
      <c r="AC2439" s="318"/>
      <c r="AD2439" s="318"/>
    </row>
    <row r="2440" spans="2:30" s="323" customFormat="1" ht="12" customHeight="1">
      <c r="B2440" s="324"/>
      <c r="C2440" s="325"/>
      <c r="D2440" s="326"/>
      <c r="E2440" s="326"/>
      <c r="F2440" s="326"/>
      <c r="G2440" s="326"/>
      <c r="H2440" s="326"/>
      <c r="P2440" s="318"/>
      <c r="Q2440" s="318"/>
      <c r="R2440" s="318"/>
      <c r="S2440" s="318"/>
      <c r="T2440" s="318"/>
      <c r="U2440" s="318"/>
      <c r="V2440" s="318"/>
      <c r="W2440" s="318"/>
      <c r="X2440" s="318"/>
      <c r="Y2440" s="318"/>
      <c r="Z2440" s="318"/>
      <c r="AA2440" s="318"/>
      <c r="AB2440" s="318"/>
      <c r="AC2440" s="318"/>
      <c r="AD2440" s="318"/>
    </row>
    <row r="2441" spans="2:30" s="323" customFormat="1" ht="12" customHeight="1">
      <c r="B2441" s="324"/>
      <c r="C2441" s="325"/>
      <c r="D2441" s="326"/>
      <c r="E2441" s="326"/>
      <c r="F2441" s="326"/>
      <c r="G2441" s="326"/>
      <c r="H2441" s="326"/>
      <c r="P2441" s="318"/>
      <c r="Q2441" s="318"/>
      <c r="R2441" s="318"/>
      <c r="S2441" s="318"/>
      <c r="T2441" s="318"/>
      <c r="U2441" s="318"/>
      <c r="V2441" s="318"/>
      <c r="W2441" s="318"/>
      <c r="X2441" s="318"/>
      <c r="Y2441" s="318"/>
      <c r="Z2441" s="318"/>
      <c r="AA2441" s="318"/>
      <c r="AB2441" s="318"/>
      <c r="AC2441" s="318"/>
      <c r="AD2441" s="318"/>
    </row>
    <row r="2442" spans="2:30" s="323" customFormat="1" ht="12" customHeight="1">
      <c r="B2442" s="324"/>
      <c r="C2442" s="325"/>
      <c r="D2442" s="326"/>
      <c r="E2442" s="326"/>
      <c r="F2442" s="326"/>
      <c r="G2442" s="326"/>
      <c r="H2442" s="326"/>
      <c r="P2442" s="318"/>
      <c r="Q2442" s="318"/>
      <c r="R2442" s="318"/>
      <c r="S2442" s="318"/>
      <c r="T2442" s="318"/>
      <c r="U2442" s="318"/>
      <c r="V2442" s="318"/>
      <c r="W2442" s="318"/>
      <c r="X2442" s="318"/>
      <c r="Y2442" s="318"/>
      <c r="Z2442" s="318"/>
      <c r="AA2442" s="318"/>
      <c r="AB2442" s="318"/>
      <c r="AC2442" s="318"/>
      <c r="AD2442" s="318"/>
    </row>
    <row r="2443" spans="2:30" s="323" customFormat="1" ht="12" customHeight="1">
      <c r="B2443" s="324"/>
      <c r="C2443" s="325"/>
      <c r="D2443" s="326"/>
      <c r="E2443" s="326"/>
      <c r="F2443" s="326"/>
      <c r="G2443" s="326"/>
      <c r="H2443" s="326"/>
      <c r="P2443" s="318"/>
      <c r="Q2443" s="318"/>
      <c r="R2443" s="318"/>
      <c r="S2443" s="318"/>
      <c r="T2443" s="318"/>
      <c r="U2443" s="318"/>
      <c r="V2443" s="318"/>
      <c r="W2443" s="318"/>
      <c r="X2443" s="318"/>
      <c r="Y2443" s="318"/>
      <c r="Z2443" s="318"/>
      <c r="AA2443" s="318"/>
      <c r="AB2443" s="318"/>
      <c r="AC2443" s="318"/>
      <c r="AD2443" s="318"/>
    </row>
    <row r="2444" spans="2:30" s="323" customFormat="1" ht="12" customHeight="1">
      <c r="B2444" s="324"/>
      <c r="C2444" s="325"/>
      <c r="D2444" s="326"/>
      <c r="E2444" s="326"/>
      <c r="F2444" s="326"/>
      <c r="G2444" s="326"/>
      <c r="H2444" s="326"/>
      <c r="P2444" s="318"/>
      <c r="Q2444" s="318"/>
      <c r="R2444" s="318"/>
      <c r="S2444" s="318"/>
      <c r="T2444" s="318"/>
      <c r="U2444" s="318"/>
      <c r="V2444" s="318"/>
      <c r="W2444" s="318"/>
      <c r="X2444" s="318"/>
      <c r="Y2444" s="318"/>
      <c r="Z2444" s="318"/>
      <c r="AA2444" s="318"/>
      <c r="AB2444" s="318"/>
      <c r="AC2444" s="318"/>
      <c r="AD2444" s="318"/>
    </row>
    <row r="2445" spans="2:30" s="323" customFormat="1" ht="12" customHeight="1">
      <c r="B2445" s="324"/>
      <c r="C2445" s="325"/>
      <c r="D2445" s="326"/>
      <c r="E2445" s="326"/>
      <c r="F2445" s="326"/>
      <c r="G2445" s="326"/>
      <c r="H2445" s="326"/>
      <c r="P2445" s="318"/>
      <c r="Q2445" s="318"/>
      <c r="R2445" s="318"/>
      <c r="S2445" s="318"/>
      <c r="T2445" s="318"/>
      <c r="U2445" s="318"/>
      <c r="V2445" s="318"/>
      <c r="W2445" s="318"/>
      <c r="X2445" s="318"/>
      <c r="Y2445" s="318"/>
      <c r="Z2445" s="318"/>
      <c r="AA2445" s="318"/>
      <c r="AB2445" s="318"/>
      <c r="AC2445" s="318"/>
      <c r="AD2445" s="318"/>
    </row>
    <row r="2446" spans="2:30" s="323" customFormat="1" ht="12" customHeight="1">
      <c r="B2446" s="324"/>
      <c r="C2446" s="325"/>
      <c r="D2446" s="326"/>
      <c r="E2446" s="326"/>
      <c r="F2446" s="326"/>
      <c r="G2446" s="326"/>
      <c r="H2446" s="326"/>
      <c r="P2446" s="318"/>
      <c r="Q2446" s="318"/>
      <c r="R2446" s="318"/>
      <c r="S2446" s="318"/>
      <c r="T2446" s="318"/>
      <c r="U2446" s="318"/>
      <c r="V2446" s="318"/>
      <c r="W2446" s="318"/>
      <c r="X2446" s="318"/>
      <c r="Y2446" s="318"/>
      <c r="Z2446" s="318"/>
      <c r="AA2446" s="318"/>
      <c r="AB2446" s="318"/>
      <c r="AC2446" s="318"/>
      <c r="AD2446" s="318"/>
    </row>
    <row r="2447" spans="2:30" s="323" customFormat="1" ht="12" customHeight="1">
      <c r="B2447" s="324"/>
      <c r="C2447" s="325"/>
      <c r="D2447" s="326"/>
      <c r="E2447" s="326"/>
      <c r="F2447" s="326"/>
      <c r="G2447" s="326"/>
      <c r="H2447" s="326"/>
      <c r="P2447" s="318"/>
      <c r="Q2447" s="318"/>
      <c r="R2447" s="318"/>
      <c r="S2447" s="318"/>
      <c r="T2447" s="318"/>
      <c r="U2447" s="318"/>
      <c r="V2447" s="318"/>
      <c r="W2447" s="318"/>
      <c r="X2447" s="318"/>
      <c r="Y2447" s="318"/>
      <c r="Z2447" s="318"/>
      <c r="AA2447" s="318"/>
      <c r="AB2447" s="318"/>
      <c r="AC2447" s="318"/>
      <c r="AD2447" s="318"/>
    </row>
    <row r="2448" spans="2:30" s="323" customFormat="1" ht="12" customHeight="1">
      <c r="B2448" s="324"/>
      <c r="C2448" s="325"/>
      <c r="D2448" s="326"/>
      <c r="E2448" s="326"/>
      <c r="F2448" s="326"/>
      <c r="G2448" s="326"/>
      <c r="H2448" s="326"/>
      <c r="P2448" s="318"/>
      <c r="Q2448" s="318"/>
      <c r="R2448" s="318"/>
      <c r="S2448" s="318"/>
      <c r="T2448" s="318"/>
      <c r="U2448" s="318"/>
      <c r="V2448" s="318"/>
      <c r="W2448" s="318"/>
      <c r="X2448" s="318"/>
      <c r="Y2448" s="318"/>
      <c r="Z2448" s="318"/>
      <c r="AA2448" s="318"/>
      <c r="AB2448" s="318"/>
      <c r="AC2448" s="318"/>
      <c r="AD2448" s="318"/>
    </row>
    <row r="2449" spans="2:30" s="323" customFormat="1" ht="12" customHeight="1">
      <c r="B2449" s="324"/>
      <c r="C2449" s="325"/>
      <c r="D2449" s="326"/>
      <c r="E2449" s="326"/>
      <c r="F2449" s="326"/>
      <c r="G2449" s="326"/>
      <c r="H2449" s="326"/>
      <c r="P2449" s="318"/>
      <c r="Q2449" s="318"/>
      <c r="R2449" s="318"/>
      <c r="S2449" s="318"/>
      <c r="T2449" s="318"/>
      <c r="U2449" s="318"/>
      <c r="V2449" s="318"/>
      <c r="W2449" s="318"/>
      <c r="X2449" s="318"/>
      <c r="Y2449" s="318"/>
      <c r="Z2449" s="318"/>
      <c r="AA2449" s="318"/>
      <c r="AB2449" s="318"/>
      <c r="AC2449" s="318"/>
      <c r="AD2449" s="318"/>
    </row>
    <row r="2450" spans="2:30" s="323" customFormat="1" ht="12" customHeight="1">
      <c r="B2450" s="324"/>
      <c r="C2450" s="325"/>
      <c r="D2450" s="326"/>
      <c r="E2450" s="326"/>
      <c r="F2450" s="326"/>
      <c r="G2450" s="326"/>
      <c r="H2450" s="326"/>
      <c r="P2450" s="318"/>
      <c r="Q2450" s="318"/>
      <c r="R2450" s="318"/>
      <c r="S2450" s="318"/>
      <c r="T2450" s="318"/>
      <c r="U2450" s="318"/>
      <c r="V2450" s="318"/>
      <c r="W2450" s="318"/>
      <c r="X2450" s="318"/>
      <c r="Y2450" s="318"/>
      <c r="Z2450" s="318"/>
      <c r="AA2450" s="318"/>
      <c r="AB2450" s="318"/>
      <c r="AC2450" s="318"/>
      <c r="AD2450" s="318"/>
    </row>
    <row r="2451" spans="2:30" s="323" customFormat="1" ht="12" customHeight="1">
      <c r="B2451" s="324"/>
      <c r="C2451" s="325"/>
      <c r="D2451" s="326"/>
      <c r="E2451" s="326"/>
      <c r="F2451" s="326"/>
      <c r="G2451" s="326"/>
      <c r="H2451" s="326"/>
      <c r="P2451" s="318"/>
      <c r="Q2451" s="318"/>
      <c r="R2451" s="318"/>
      <c r="S2451" s="318"/>
      <c r="T2451" s="318"/>
      <c r="U2451" s="318"/>
      <c r="V2451" s="318"/>
      <c r="W2451" s="318"/>
      <c r="X2451" s="318"/>
      <c r="Y2451" s="318"/>
      <c r="Z2451" s="318"/>
      <c r="AA2451" s="318"/>
      <c r="AB2451" s="318"/>
      <c r="AC2451" s="318"/>
      <c r="AD2451" s="318"/>
    </row>
    <row r="2452" spans="2:30" s="323" customFormat="1" ht="12" customHeight="1">
      <c r="B2452" s="324"/>
      <c r="C2452" s="325"/>
      <c r="D2452" s="326"/>
      <c r="E2452" s="326"/>
      <c r="F2452" s="326"/>
      <c r="G2452" s="326"/>
      <c r="H2452" s="326"/>
      <c r="P2452" s="318"/>
      <c r="Q2452" s="318"/>
      <c r="R2452" s="318"/>
      <c r="S2452" s="318"/>
      <c r="T2452" s="318"/>
      <c r="U2452" s="318"/>
      <c r="V2452" s="318"/>
      <c r="W2452" s="318"/>
      <c r="X2452" s="318"/>
      <c r="Y2452" s="318"/>
      <c r="Z2452" s="318"/>
      <c r="AA2452" s="318"/>
      <c r="AB2452" s="318"/>
      <c r="AC2452" s="318"/>
      <c r="AD2452" s="318"/>
    </row>
    <row r="2453" spans="2:30" s="323" customFormat="1" ht="12" customHeight="1">
      <c r="B2453" s="324"/>
      <c r="C2453" s="325"/>
      <c r="D2453" s="326"/>
      <c r="E2453" s="326"/>
      <c r="F2453" s="326"/>
      <c r="G2453" s="326"/>
      <c r="H2453" s="326"/>
      <c r="P2453" s="318"/>
      <c r="Q2453" s="318"/>
      <c r="R2453" s="318"/>
      <c r="S2453" s="318"/>
      <c r="T2453" s="318"/>
      <c r="U2453" s="318"/>
      <c r="V2453" s="318"/>
      <c r="W2453" s="318"/>
      <c r="X2453" s="318"/>
      <c r="Y2453" s="318"/>
      <c r="Z2453" s="318"/>
      <c r="AA2453" s="318"/>
      <c r="AB2453" s="318"/>
      <c r="AC2453" s="318"/>
      <c r="AD2453" s="318"/>
    </row>
    <row r="2454" spans="2:30" s="323" customFormat="1" ht="12" customHeight="1">
      <c r="B2454" s="324"/>
      <c r="C2454" s="325"/>
      <c r="D2454" s="326"/>
      <c r="E2454" s="326"/>
      <c r="F2454" s="326"/>
      <c r="G2454" s="326"/>
      <c r="H2454" s="326"/>
      <c r="P2454" s="318"/>
      <c r="Q2454" s="318"/>
      <c r="R2454" s="318"/>
      <c r="S2454" s="318"/>
      <c r="T2454" s="318"/>
      <c r="U2454" s="318"/>
      <c r="V2454" s="318"/>
      <c r="W2454" s="318"/>
      <c r="X2454" s="318"/>
      <c r="Y2454" s="318"/>
      <c r="Z2454" s="318"/>
      <c r="AA2454" s="318"/>
      <c r="AB2454" s="318"/>
      <c r="AC2454" s="318"/>
      <c r="AD2454" s="318"/>
    </row>
    <row r="2455" spans="2:30" s="323" customFormat="1" ht="12" customHeight="1">
      <c r="B2455" s="324"/>
      <c r="C2455" s="325"/>
      <c r="D2455" s="326"/>
      <c r="E2455" s="326"/>
      <c r="F2455" s="326"/>
      <c r="G2455" s="326"/>
      <c r="H2455" s="326"/>
      <c r="P2455" s="318"/>
      <c r="Q2455" s="318"/>
      <c r="R2455" s="318"/>
      <c r="S2455" s="318"/>
      <c r="T2455" s="318"/>
      <c r="U2455" s="318"/>
      <c r="V2455" s="318"/>
      <c r="W2455" s="318"/>
      <c r="X2455" s="318"/>
      <c r="Y2455" s="318"/>
      <c r="Z2455" s="318"/>
      <c r="AA2455" s="318"/>
      <c r="AB2455" s="318"/>
      <c r="AC2455" s="318"/>
      <c r="AD2455" s="318"/>
    </row>
    <row r="2456" spans="2:30" s="323" customFormat="1" ht="12" customHeight="1">
      <c r="B2456" s="324"/>
      <c r="C2456" s="325"/>
      <c r="D2456" s="326"/>
      <c r="E2456" s="326"/>
      <c r="F2456" s="326"/>
      <c r="G2456" s="326"/>
      <c r="H2456" s="326"/>
      <c r="P2456" s="318"/>
      <c r="Q2456" s="318"/>
      <c r="R2456" s="318"/>
      <c r="S2456" s="318"/>
      <c r="T2456" s="318"/>
      <c r="U2456" s="318"/>
      <c r="V2456" s="318"/>
      <c r="W2456" s="318"/>
      <c r="X2456" s="318"/>
      <c r="Y2456" s="318"/>
      <c r="Z2456" s="318"/>
      <c r="AA2456" s="318"/>
      <c r="AB2456" s="318"/>
      <c r="AC2456" s="318"/>
      <c r="AD2456" s="318"/>
    </row>
    <row r="2457" spans="2:30" s="323" customFormat="1" ht="12" customHeight="1">
      <c r="B2457" s="324"/>
      <c r="C2457" s="325"/>
      <c r="D2457" s="326"/>
      <c r="E2457" s="326"/>
      <c r="F2457" s="326"/>
      <c r="G2457" s="326"/>
      <c r="H2457" s="326"/>
      <c r="P2457" s="318"/>
      <c r="Q2457" s="318"/>
      <c r="R2457" s="318"/>
      <c r="S2457" s="318"/>
      <c r="T2457" s="318"/>
      <c r="U2457" s="318"/>
      <c r="V2457" s="318"/>
      <c r="W2457" s="318"/>
      <c r="X2457" s="318"/>
      <c r="Y2457" s="318"/>
      <c r="Z2457" s="318"/>
      <c r="AA2457" s="318"/>
      <c r="AB2457" s="318"/>
      <c r="AC2457" s="318"/>
      <c r="AD2457" s="318"/>
    </row>
    <row r="2458" spans="2:30" s="323" customFormat="1" ht="12" customHeight="1">
      <c r="B2458" s="324"/>
      <c r="C2458" s="325"/>
      <c r="D2458" s="326"/>
      <c r="E2458" s="326"/>
      <c r="F2458" s="326"/>
      <c r="G2458" s="326"/>
      <c r="H2458" s="326"/>
      <c r="P2458" s="318"/>
      <c r="Q2458" s="318"/>
      <c r="R2458" s="318"/>
      <c r="S2458" s="318"/>
      <c r="T2458" s="318"/>
      <c r="U2458" s="318"/>
      <c r="V2458" s="318"/>
      <c r="W2458" s="318"/>
      <c r="X2458" s="318"/>
      <c r="Y2458" s="318"/>
      <c r="Z2458" s="318"/>
      <c r="AA2458" s="318"/>
      <c r="AB2458" s="318"/>
      <c r="AC2458" s="318"/>
      <c r="AD2458" s="318"/>
    </row>
    <row r="2459" spans="2:30" s="323" customFormat="1" ht="12" customHeight="1">
      <c r="B2459" s="324"/>
      <c r="C2459" s="325"/>
      <c r="D2459" s="326"/>
      <c r="E2459" s="326"/>
      <c r="F2459" s="326"/>
      <c r="G2459" s="326"/>
      <c r="H2459" s="326"/>
      <c r="P2459" s="318"/>
      <c r="Q2459" s="318"/>
      <c r="R2459" s="318"/>
      <c r="S2459" s="318"/>
      <c r="T2459" s="318"/>
      <c r="U2459" s="318"/>
      <c r="V2459" s="318"/>
      <c r="W2459" s="318"/>
      <c r="X2459" s="318"/>
      <c r="Y2459" s="318"/>
      <c r="Z2459" s="318"/>
      <c r="AA2459" s="318"/>
      <c r="AB2459" s="318"/>
      <c r="AC2459" s="318"/>
      <c r="AD2459" s="318"/>
    </row>
    <row r="2460" spans="2:30" s="323" customFormat="1" ht="12" customHeight="1">
      <c r="B2460" s="324"/>
      <c r="C2460" s="325"/>
      <c r="D2460" s="326"/>
      <c r="E2460" s="326"/>
      <c r="F2460" s="326"/>
      <c r="G2460" s="326"/>
      <c r="H2460" s="326"/>
      <c r="P2460" s="318"/>
      <c r="Q2460" s="318"/>
      <c r="R2460" s="318"/>
      <c r="S2460" s="318"/>
      <c r="T2460" s="318"/>
      <c r="U2460" s="318"/>
      <c r="V2460" s="318"/>
      <c r="W2460" s="318"/>
      <c r="X2460" s="318"/>
      <c r="Y2460" s="318"/>
      <c r="Z2460" s="318"/>
      <c r="AA2460" s="318"/>
      <c r="AB2460" s="318"/>
      <c r="AC2460" s="318"/>
      <c r="AD2460" s="318"/>
    </row>
    <row r="2461" spans="2:30" s="323" customFormat="1" ht="12" customHeight="1">
      <c r="B2461" s="324"/>
      <c r="C2461" s="325"/>
      <c r="D2461" s="326"/>
      <c r="E2461" s="326"/>
      <c r="F2461" s="326"/>
      <c r="G2461" s="326"/>
      <c r="H2461" s="326"/>
      <c r="P2461" s="318"/>
      <c r="Q2461" s="318"/>
      <c r="R2461" s="318"/>
      <c r="S2461" s="318"/>
      <c r="T2461" s="318"/>
      <c r="U2461" s="318"/>
      <c r="V2461" s="318"/>
      <c r="W2461" s="318"/>
      <c r="X2461" s="318"/>
      <c r="Y2461" s="318"/>
      <c r="Z2461" s="318"/>
      <c r="AA2461" s="318"/>
      <c r="AB2461" s="318"/>
      <c r="AC2461" s="318"/>
      <c r="AD2461" s="318"/>
    </row>
    <row r="2462" spans="2:30" s="323" customFormat="1" ht="12" customHeight="1">
      <c r="B2462" s="324"/>
      <c r="C2462" s="325"/>
      <c r="D2462" s="326"/>
      <c r="E2462" s="326"/>
      <c r="F2462" s="326"/>
      <c r="G2462" s="326"/>
      <c r="H2462" s="326"/>
      <c r="P2462" s="318"/>
      <c r="Q2462" s="318"/>
      <c r="R2462" s="318"/>
      <c r="S2462" s="318"/>
      <c r="T2462" s="318"/>
      <c r="U2462" s="318"/>
      <c r="V2462" s="318"/>
      <c r="W2462" s="318"/>
      <c r="X2462" s="318"/>
      <c r="Y2462" s="318"/>
      <c r="Z2462" s="318"/>
      <c r="AA2462" s="318"/>
      <c r="AB2462" s="318"/>
      <c r="AC2462" s="318"/>
      <c r="AD2462" s="318"/>
    </row>
    <row r="2463" spans="2:30" s="323" customFormat="1" ht="12" customHeight="1">
      <c r="B2463" s="324"/>
      <c r="C2463" s="325"/>
      <c r="D2463" s="326"/>
      <c r="E2463" s="326"/>
      <c r="F2463" s="326"/>
      <c r="G2463" s="326"/>
      <c r="H2463" s="326"/>
      <c r="P2463" s="318"/>
      <c r="Q2463" s="318"/>
      <c r="R2463" s="318"/>
      <c r="S2463" s="318"/>
      <c r="T2463" s="318"/>
      <c r="U2463" s="318"/>
      <c r="V2463" s="318"/>
      <c r="W2463" s="318"/>
      <c r="X2463" s="318"/>
      <c r="Y2463" s="318"/>
      <c r="Z2463" s="318"/>
      <c r="AA2463" s="318"/>
      <c r="AB2463" s="318"/>
      <c r="AC2463" s="318"/>
      <c r="AD2463" s="318"/>
    </row>
    <row r="2464" spans="2:30" s="323" customFormat="1" ht="12" customHeight="1">
      <c r="B2464" s="324"/>
      <c r="C2464" s="325"/>
      <c r="D2464" s="326"/>
      <c r="E2464" s="326"/>
      <c r="F2464" s="326"/>
      <c r="G2464" s="326"/>
      <c r="H2464" s="326"/>
      <c r="P2464" s="318"/>
      <c r="Q2464" s="318"/>
      <c r="R2464" s="318"/>
      <c r="S2464" s="318"/>
      <c r="T2464" s="318"/>
      <c r="U2464" s="318"/>
      <c r="V2464" s="318"/>
      <c r="W2464" s="318"/>
      <c r="X2464" s="318"/>
      <c r="Y2464" s="318"/>
      <c r="Z2464" s="318"/>
      <c r="AA2464" s="318"/>
      <c r="AB2464" s="318"/>
      <c r="AC2464" s="318"/>
      <c r="AD2464" s="318"/>
    </row>
    <row r="2465" spans="2:30" s="323" customFormat="1" ht="12" customHeight="1">
      <c r="B2465" s="324"/>
      <c r="C2465" s="325"/>
      <c r="D2465" s="326"/>
      <c r="E2465" s="326"/>
      <c r="F2465" s="326"/>
      <c r="G2465" s="326"/>
      <c r="H2465" s="326"/>
      <c r="P2465" s="318"/>
      <c r="Q2465" s="318"/>
      <c r="R2465" s="318"/>
      <c r="S2465" s="318"/>
      <c r="T2465" s="318"/>
      <c r="U2465" s="318"/>
      <c r="V2465" s="318"/>
      <c r="W2465" s="318"/>
      <c r="X2465" s="318"/>
      <c r="Y2465" s="318"/>
      <c r="Z2465" s="318"/>
      <c r="AA2465" s="318"/>
      <c r="AB2465" s="318"/>
      <c r="AC2465" s="318"/>
      <c r="AD2465" s="318"/>
    </row>
    <row r="2466" spans="2:30" s="323" customFormat="1" ht="12" customHeight="1">
      <c r="B2466" s="324"/>
      <c r="C2466" s="325"/>
      <c r="D2466" s="326"/>
      <c r="E2466" s="326"/>
      <c r="F2466" s="326"/>
      <c r="G2466" s="326"/>
      <c r="H2466" s="326"/>
      <c r="P2466" s="318"/>
      <c r="Q2466" s="318"/>
      <c r="R2466" s="318"/>
      <c r="S2466" s="318"/>
      <c r="T2466" s="318"/>
      <c r="U2466" s="318"/>
      <c r="V2466" s="318"/>
      <c r="W2466" s="318"/>
      <c r="X2466" s="318"/>
      <c r="Y2466" s="318"/>
      <c r="Z2466" s="318"/>
      <c r="AA2466" s="318"/>
      <c r="AB2466" s="318"/>
      <c r="AC2466" s="318"/>
      <c r="AD2466" s="318"/>
    </row>
    <row r="2467" spans="2:30" s="323" customFormat="1" ht="12" customHeight="1">
      <c r="B2467" s="324"/>
      <c r="C2467" s="325"/>
      <c r="D2467" s="326"/>
      <c r="E2467" s="326"/>
      <c r="F2467" s="326"/>
      <c r="G2467" s="326"/>
      <c r="H2467" s="326"/>
      <c r="P2467" s="318"/>
      <c r="Q2467" s="318"/>
      <c r="R2467" s="318"/>
      <c r="S2467" s="318"/>
      <c r="T2467" s="318"/>
      <c r="U2467" s="318"/>
      <c r="V2467" s="318"/>
      <c r="W2467" s="318"/>
      <c r="X2467" s="318"/>
      <c r="Y2467" s="318"/>
      <c r="Z2467" s="318"/>
      <c r="AA2467" s="318"/>
      <c r="AB2467" s="318"/>
      <c r="AC2467" s="318"/>
      <c r="AD2467" s="318"/>
    </row>
    <row r="2468" spans="2:30" s="323" customFormat="1" ht="12" customHeight="1">
      <c r="B2468" s="324"/>
      <c r="C2468" s="325"/>
      <c r="D2468" s="326"/>
      <c r="E2468" s="326"/>
      <c r="F2468" s="326"/>
      <c r="G2468" s="326"/>
      <c r="H2468" s="326"/>
      <c r="P2468" s="318"/>
      <c r="Q2468" s="318"/>
      <c r="R2468" s="318"/>
      <c r="S2468" s="318"/>
      <c r="T2468" s="318"/>
      <c r="U2468" s="318"/>
      <c r="V2468" s="318"/>
      <c r="W2468" s="318"/>
      <c r="X2468" s="318"/>
      <c r="Y2468" s="318"/>
      <c r="Z2468" s="318"/>
      <c r="AA2468" s="318"/>
      <c r="AB2468" s="318"/>
      <c r="AC2468" s="318"/>
      <c r="AD2468" s="318"/>
    </row>
    <row r="2469" spans="2:30" s="323" customFormat="1" ht="12" customHeight="1">
      <c r="B2469" s="324"/>
      <c r="C2469" s="325"/>
      <c r="D2469" s="326"/>
      <c r="E2469" s="326"/>
      <c r="F2469" s="326"/>
      <c r="G2469" s="326"/>
      <c r="H2469" s="326"/>
      <c r="P2469" s="318"/>
      <c r="Q2469" s="318"/>
      <c r="R2469" s="318"/>
      <c r="S2469" s="318"/>
      <c r="T2469" s="318"/>
      <c r="U2469" s="318"/>
      <c r="V2469" s="318"/>
      <c r="W2469" s="318"/>
      <c r="X2469" s="318"/>
      <c r="Y2469" s="318"/>
      <c r="Z2469" s="318"/>
      <c r="AA2469" s="318"/>
      <c r="AB2469" s="318"/>
      <c r="AC2469" s="318"/>
      <c r="AD2469" s="318"/>
    </row>
    <row r="2470" spans="2:30" s="323" customFormat="1" ht="12" customHeight="1">
      <c r="B2470" s="324"/>
      <c r="C2470" s="325"/>
      <c r="D2470" s="326"/>
      <c r="E2470" s="326"/>
      <c r="F2470" s="326"/>
      <c r="G2470" s="326"/>
      <c r="H2470" s="326"/>
      <c r="P2470" s="318"/>
      <c r="Q2470" s="318"/>
      <c r="R2470" s="318"/>
      <c r="S2470" s="318"/>
      <c r="T2470" s="318"/>
      <c r="U2470" s="318"/>
      <c r="V2470" s="318"/>
      <c r="W2470" s="318"/>
      <c r="X2470" s="318"/>
      <c r="Y2470" s="318"/>
      <c r="Z2470" s="318"/>
      <c r="AA2470" s="318"/>
      <c r="AB2470" s="318"/>
      <c r="AC2470" s="318"/>
      <c r="AD2470" s="318"/>
    </row>
    <row r="2471" spans="2:30" s="323" customFormat="1" ht="12" customHeight="1">
      <c r="B2471" s="324"/>
      <c r="C2471" s="325"/>
      <c r="D2471" s="326"/>
      <c r="E2471" s="326"/>
      <c r="F2471" s="326"/>
      <c r="G2471" s="326"/>
      <c r="H2471" s="326"/>
      <c r="P2471" s="318"/>
      <c r="Q2471" s="318"/>
      <c r="R2471" s="318"/>
      <c r="S2471" s="318"/>
      <c r="T2471" s="318"/>
      <c r="U2471" s="318"/>
      <c r="V2471" s="318"/>
      <c r="W2471" s="318"/>
      <c r="X2471" s="318"/>
      <c r="Y2471" s="318"/>
      <c r="Z2471" s="318"/>
      <c r="AA2471" s="318"/>
      <c r="AB2471" s="318"/>
      <c r="AC2471" s="318"/>
      <c r="AD2471" s="318"/>
    </row>
    <row r="2472" spans="2:30" s="323" customFormat="1" ht="12" customHeight="1">
      <c r="B2472" s="324"/>
      <c r="C2472" s="325"/>
      <c r="D2472" s="326"/>
      <c r="E2472" s="326"/>
      <c r="F2472" s="326"/>
      <c r="G2472" s="326"/>
      <c r="H2472" s="326"/>
      <c r="P2472" s="318"/>
      <c r="Q2472" s="318"/>
      <c r="R2472" s="318"/>
      <c r="S2472" s="318"/>
      <c r="T2472" s="318"/>
      <c r="U2472" s="318"/>
      <c r="V2472" s="318"/>
      <c r="W2472" s="318"/>
      <c r="X2472" s="318"/>
      <c r="Y2472" s="318"/>
      <c r="Z2472" s="318"/>
      <c r="AA2472" s="318"/>
      <c r="AB2472" s="318"/>
      <c r="AC2472" s="318"/>
      <c r="AD2472" s="318"/>
    </row>
    <row r="2473" spans="2:30" s="323" customFormat="1" ht="12" customHeight="1">
      <c r="B2473" s="324"/>
      <c r="C2473" s="325"/>
      <c r="D2473" s="326"/>
      <c r="E2473" s="326"/>
      <c r="F2473" s="326"/>
      <c r="G2473" s="326"/>
      <c r="H2473" s="326"/>
      <c r="P2473" s="318"/>
      <c r="Q2473" s="318"/>
      <c r="R2473" s="318"/>
      <c r="S2473" s="318"/>
      <c r="T2473" s="318"/>
      <c r="U2473" s="318"/>
      <c r="V2473" s="318"/>
      <c r="W2473" s="318"/>
      <c r="X2473" s="318"/>
      <c r="Y2473" s="318"/>
      <c r="Z2473" s="318"/>
      <c r="AA2473" s="318"/>
      <c r="AB2473" s="318"/>
      <c r="AC2473" s="318"/>
      <c r="AD2473" s="318"/>
    </row>
    <row r="2474" spans="2:30" s="323" customFormat="1" ht="12" customHeight="1">
      <c r="B2474" s="324"/>
      <c r="C2474" s="325"/>
      <c r="D2474" s="326"/>
      <c r="E2474" s="326"/>
      <c r="F2474" s="326"/>
      <c r="G2474" s="326"/>
      <c r="H2474" s="326"/>
      <c r="P2474" s="318"/>
      <c r="Q2474" s="318"/>
      <c r="R2474" s="318"/>
      <c r="S2474" s="318"/>
      <c r="T2474" s="318"/>
      <c r="U2474" s="318"/>
      <c r="V2474" s="318"/>
      <c r="W2474" s="318"/>
      <c r="X2474" s="318"/>
      <c r="Y2474" s="318"/>
      <c r="Z2474" s="318"/>
      <c r="AA2474" s="318"/>
      <c r="AB2474" s="318"/>
      <c r="AC2474" s="318"/>
      <c r="AD2474" s="318"/>
    </row>
    <row r="2475" spans="2:30" s="323" customFormat="1" ht="12" customHeight="1">
      <c r="B2475" s="324"/>
      <c r="C2475" s="325"/>
      <c r="D2475" s="326"/>
      <c r="E2475" s="326"/>
      <c r="F2475" s="326"/>
      <c r="G2475" s="326"/>
      <c r="H2475" s="326"/>
      <c r="P2475" s="318"/>
      <c r="Q2475" s="318"/>
      <c r="R2475" s="318"/>
      <c r="S2475" s="318"/>
      <c r="T2475" s="318"/>
      <c r="U2475" s="318"/>
      <c r="V2475" s="318"/>
      <c r="W2475" s="318"/>
      <c r="X2475" s="318"/>
      <c r="Y2475" s="318"/>
      <c r="Z2475" s="318"/>
      <c r="AA2475" s="318"/>
      <c r="AB2475" s="318"/>
      <c r="AC2475" s="318"/>
      <c r="AD2475" s="318"/>
    </row>
    <row r="2476" spans="2:30" s="323" customFormat="1" ht="12" customHeight="1">
      <c r="B2476" s="324"/>
      <c r="C2476" s="325"/>
      <c r="D2476" s="326"/>
      <c r="E2476" s="326"/>
      <c r="F2476" s="326"/>
      <c r="G2476" s="326"/>
      <c r="H2476" s="326"/>
      <c r="P2476" s="318"/>
      <c r="Q2476" s="318"/>
      <c r="R2476" s="318"/>
      <c r="S2476" s="318"/>
      <c r="T2476" s="318"/>
      <c r="U2476" s="318"/>
      <c r="V2476" s="318"/>
      <c r="W2476" s="318"/>
      <c r="X2476" s="318"/>
      <c r="Y2476" s="318"/>
      <c r="Z2476" s="318"/>
      <c r="AA2476" s="318"/>
      <c r="AB2476" s="318"/>
      <c r="AC2476" s="318"/>
      <c r="AD2476" s="318"/>
    </row>
    <row r="2477" spans="2:30" s="323" customFormat="1" ht="12" customHeight="1">
      <c r="B2477" s="324"/>
      <c r="C2477" s="325"/>
      <c r="D2477" s="326"/>
      <c r="E2477" s="326"/>
      <c r="F2477" s="326"/>
      <c r="G2477" s="326"/>
      <c r="H2477" s="326"/>
      <c r="P2477" s="318"/>
      <c r="Q2477" s="318"/>
      <c r="R2477" s="318"/>
      <c r="S2477" s="318"/>
      <c r="T2477" s="318"/>
      <c r="U2477" s="318"/>
      <c r="V2477" s="318"/>
      <c r="W2477" s="318"/>
      <c r="X2477" s="318"/>
      <c r="Y2477" s="318"/>
      <c r="Z2477" s="318"/>
      <c r="AA2477" s="318"/>
      <c r="AB2477" s="318"/>
      <c r="AC2477" s="318"/>
      <c r="AD2477" s="318"/>
    </row>
    <row r="2478" spans="2:30" s="323" customFormat="1" ht="12" customHeight="1">
      <c r="B2478" s="324"/>
      <c r="C2478" s="325"/>
      <c r="D2478" s="326"/>
      <c r="E2478" s="326"/>
      <c r="F2478" s="326"/>
      <c r="G2478" s="326"/>
      <c r="H2478" s="326"/>
      <c r="P2478" s="318"/>
      <c r="Q2478" s="318"/>
      <c r="R2478" s="318"/>
      <c r="S2478" s="318"/>
      <c r="T2478" s="318"/>
      <c r="U2478" s="318"/>
      <c r="V2478" s="318"/>
      <c r="W2478" s="318"/>
      <c r="X2478" s="318"/>
      <c r="Y2478" s="318"/>
      <c r="Z2478" s="318"/>
      <c r="AA2478" s="318"/>
      <c r="AB2478" s="318"/>
      <c r="AC2478" s="318"/>
      <c r="AD2478" s="318"/>
    </row>
    <row r="2479" spans="2:30" s="323" customFormat="1" ht="12" customHeight="1">
      <c r="B2479" s="324"/>
      <c r="C2479" s="325"/>
      <c r="D2479" s="326"/>
      <c r="E2479" s="326"/>
      <c r="F2479" s="326"/>
      <c r="G2479" s="326"/>
      <c r="H2479" s="326"/>
      <c r="P2479" s="318"/>
      <c r="Q2479" s="318"/>
      <c r="R2479" s="318"/>
      <c r="S2479" s="318"/>
      <c r="T2479" s="318"/>
      <c r="U2479" s="318"/>
      <c r="V2479" s="318"/>
      <c r="W2479" s="318"/>
      <c r="X2479" s="318"/>
      <c r="Y2479" s="318"/>
      <c r="Z2479" s="318"/>
      <c r="AA2479" s="318"/>
      <c r="AB2479" s="318"/>
      <c r="AC2479" s="318"/>
      <c r="AD2479" s="318"/>
    </row>
    <row r="2480" spans="2:30" s="323" customFormat="1" ht="12" customHeight="1">
      <c r="B2480" s="324"/>
      <c r="C2480" s="325"/>
      <c r="D2480" s="326"/>
      <c r="E2480" s="326"/>
      <c r="F2480" s="326"/>
      <c r="G2480" s="326"/>
      <c r="H2480" s="326"/>
      <c r="P2480" s="318"/>
      <c r="Q2480" s="318"/>
      <c r="R2480" s="318"/>
      <c r="S2480" s="318"/>
      <c r="T2480" s="318"/>
      <c r="U2480" s="318"/>
      <c r="V2480" s="318"/>
      <c r="W2480" s="318"/>
      <c r="X2480" s="318"/>
      <c r="Y2480" s="318"/>
      <c r="Z2480" s="318"/>
      <c r="AA2480" s="318"/>
      <c r="AB2480" s="318"/>
      <c r="AC2480" s="318"/>
      <c r="AD2480" s="318"/>
    </row>
    <row r="2481" spans="2:30" s="323" customFormat="1" ht="12" customHeight="1">
      <c r="B2481" s="324"/>
      <c r="C2481" s="325"/>
      <c r="D2481" s="326"/>
      <c r="E2481" s="326"/>
      <c r="F2481" s="326"/>
      <c r="G2481" s="326"/>
      <c r="H2481" s="326"/>
      <c r="P2481" s="318"/>
      <c r="Q2481" s="318"/>
      <c r="R2481" s="318"/>
      <c r="S2481" s="318"/>
      <c r="T2481" s="318"/>
      <c r="U2481" s="318"/>
      <c r="V2481" s="318"/>
      <c r="W2481" s="318"/>
      <c r="X2481" s="318"/>
      <c r="Y2481" s="318"/>
      <c r="Z2481" s="318"/>
      <c r="AA2481" s="318"/>
      <c r="AB2481" s="318"/>
      <c r="AC2481" s="318"/>
      <c r="AD2481" s="318"/>
    </row>
    <row r="2482" spans="2:30" s="323" customFormat="1" ht="12" customHeight="1">
      <c r="B2482" s="324"/>
      <c r="C2482" s="325"/>
      <c r="D2482" s="326"/>
      <c r="E2482" s="326"/>
      <c r="F2482" s="326"/>
      <c r="G2482" s="326"/>
      <c r="H2482" s="326"/>
      <c r="P2482" s="318"/>
      <c r="Q2482" s="318"/>
      <c r="R2482" s="318"/>
      <c r="S2482" s="318"/>
      <c r="T2482" s="318"/>
      <c r="U2482" s="318"/>
      <c r="V2482" s="318"/>
      <c r="W2482" s="318"/>
      <c r="X2482" s="318"/>
      <c r="Y2482" s="318"/>
      <c r="Z2482" s="318"/>
      <c r="AA2482" s="318"/>
      <c r="AB2482" s="318"/>
      <c r="AC2482" s="318"/>
      <c r="AD2482" s="318"/>
    </row>
    <row r="2483" spans="2:30" s="323" customFormat="1" ht="12" customHeight="1">
      <c r="B2483" s="324"/>
      <c r="C2483" s="325"/>
      <c r="D2483" s="326"/>
      <c r="E2483" s="326"/>
      <c r="F2483" s="326"/>
      <c r="G2483" s="326"/>
      <c r="H2483" s="326"/>
      <c r="P2483" s="318"/>
      <c r="Q2483" s="318"/>
      <c r="R2483" s="318"/>
      <c r="S2483" s="318"/>
      <c r="T2483" s="318"/>
      <c r="U2483" s="318"/>
      <c r="V2483" s="318"/>
      <c r="W2483" s="318"/>
      <c r="X2483" s="318"/>
      <c r="Y2483" s="318"/>
      <c r="Z2483" s="318"/>
      <c r="AA2483" s="318"/>
      <c r="AB2483" s="318"/>
      <c r="AC2483" s="318"/>
      <c r="AD2483" s="318"/>
    </row>
    <row r="2484" spans="2:30" s="323" customFormat="1" ht="12" customHeight="1">
      <c r="B2484" s="324"/>
      <c r="C2484" s="325"/>
      <c r="D2484" s="326"/>
      <c r="E2484" s="326"/>
      <c r="F2484" s="326"/>
      <c r="G2484" s="326"/>
      <c r="H2484" s="326"/>
      <c r="P2484" s="318"/>
      <c r="Q2484" s="318"/>
      <c r="R2484" s="318"/>
      <c r="S2484" s="318"/>
      <c r="T2484" s="318"/>
      <c r="U2484" s="318"/>
      <c r="V2484" s="318"/>
      <c r="W2484" s="318"/>
      <c r="X2484" s="318"/>
      <c r="Y2484" s="318"/>
      <c r="Z2484" s="318"/>
      <c r="AA2484" s="318"/>
      <c r="AB2484" s="318"/>
      <c r="AC2484" s="318"/>
      <c r="AD2484" s="318"/>
    </row>
    <row r="2485" spans="2:30" s="323" customFormat="1" ht="12" customHeight="1">
      <c r="B2485" s="324"/>
      <c r="C2485" s="325"/>
      <c r="D2485" s="326"/>
      <c r="E2485" s="326"/>
      <c r="F2485" s="326"/>
      <c r="G2485" s="326"/>
      <c r="H2485" s="326"/>
      <c r="P2485" s="318"/>
      <c r="Q2485" s="318"/>
      <c r="R2485" s="318"/>
      <c r="S2485" s="318"/>
      <c r="T2485" s="318"/>
      <c r="U2485" s="318"/>
      <c r="V2485" s="318"/>
      <c r="W2485" s="318"/>
      <c r="X2485" s="318"/>
      <c r="Y2485" s="318"/>
      <c r="Z2485" s="318"/>
      <c r="AA2485" s="318"/>
      <c r="AB2485" s="318"/>
      <c r="AC2485" s="318"/>
      <c r="AD2485" s="318"/>
    </row>
    <row r="2486" spans="2:30" s="323" customFormat="1" ht="12" customHeight="1">
      <c r="B2486" s="324"/>
      <c r="C2486" s="325"/>
      <c r="D2486" s="326"/>
      <c r="E2486" s="326"/>
      <c r="F2486" s="326"/>
      <c r="G2486" s="326"/>
      <c r="H2486" s="326"/>
      <c r="P2486" s="318"/>
      <c r="Q2486" s="318"/>
      <c r="R2486" s="318"/>
      <c r="S2486" s="318"/>
      <c r="T2486" s="318"/>
      <c r="U2486" s="318"/>
      <c r="V2486" s="318"/>
      <c r="W2486" s="318"/>
      <c r="X2486" s="318"/>
      <c r="Y2486" s="318"/>
      <c r="Z2486" s="318"/>
      <c r="AA2486" s="318"/>
      <c r="AB2486" s="318"/>
      <c r="AC2486" s="318"/>
      <c r="AD2486" s="318"/>
    </row>
    <row r="2487" spans="2:30" s="323" customFormat="1" ht="12" customHeight="1">
      <c r="B2487" s="324"/>
      <c r="C2487" s="325"/>
      <c r="D2487" s="326"/>
      <c r="E2487" s="326"/>
      <c r="F2487" s="326"/>
      <c r="G2487" s="326"/>
      <c r="H2487" s="326"/>
      <c r="P2487" s="318"/>
      <c r="Q2487" s="318"/>
      <c r="R2487" s="318"/>
      <c r="S2487" s="318"/>
      <c r="T2487" s="318"/>
      <c r="U2487" s="318"/>
      <c r="V2487" s="318"/>
      <c r="W2487" s="318"/>
      <c r="X2487" s="318"/>
      <c r="Y2487" s="318"/>
      <c r="Z2487" s="318"/>
      <c r="AA2487" s="318"/>
      <c r="AB2487" s="318"/>
      <c r="AC2487" s="318"/>
      <c r="AD2487" s="318"/>
    </row>
    <row r="2488" spans="2:30" s="323" customFormat="1" ht="12" customHeight="1">
      <c r="B2488" s="324"/>
      <c r="C2488" s="325"/>
      <c r="D2488" s="326"/>
      <c r="E2488" s="326"/>
      <c r="F2488" s="326"/>
      <c r="G2488" s="326"/>
      <c r="H2488" s="326"/>
      <c r="P2488" s="318"/>
      <c r="Q2488" s="318"/>
      <c r="R2488" s="318"/>
      <c r="S2488" s="318"/>
      <c r="T2488" s="318"/>
      <c r="U2488" s="318"/>
      <c r="V2488" s="318"/>
      <c r="W2488" s="318"/>
      <c r="X2488" s="318"/>
      <c r="Y2488" s="318"/>
      <c r="Z2488" s="318"/>
      <c r="AA2488" s="318"/>
      <c r="AB2488" s="318"/>
      <c r="AC2488" s="318"/>
      <c r="AD2488" s="318"/>
    </row>
    <row r="2489" spans="2:30" s="323" customFormat="1" ht="12" customHeight="1">
      <c r="B2489" s="324"/>
      <c r="C2489" s="325"/>
      <c r="D2489" s="326"/>
      <c r="E2489" s="326"/>
      <c r="F2489" s="326"/>
      <c r="G2489" s="326"/>
      <c r="H2489" s="326"/>
      <c r="P2489" s="318"/>
      <c r="Q2489" s="318"/>
      <c r="R2489" s="318"/>
      <c r="S2489" s="318"/>
      <c r="T2489" s="318"/>
      <c r="U2489" s="318"/>
      <c r="V2489" s="318"/>
      <c r="W2489" s="318"/>
      <c r="X2489" s="318"/>
      <c r="Y2489" s="318"/>
      <c r="Z2489" s="318"/>
      <c r="AA2489" s="318"/>
      <c r="AB2489" s="318"/>
      <c r="AC2489" s="318"/>
      <c r="AD2489" s="318"/>
    </row>
    <row r="2490" spans="2:30" s="323" customFormat="1" ht="12" customHeight="1">
      <c r="B2490" s="324"/>
      <c r="C2490" s="325"/>
      <c r="D2490" s="326"/>
      <c r="E2490" s="326"/>
      <c r="F2490" s="326"/>
      <c r="G2490" s="326"/>
      <c r="H2490" s="326"/>
      <c r="P2490" s="318"/>
      <c r="Q2490" s="318"/>
      <c r="R2490" s="318"/>
      <c r="S2490" s="318"/>
      <c r="T2490" s="318"/>
      <c r="U2490" s="318"/>
      <c r="V2490" s="318"/>
      <c r="W2490" s="318"/>
      <c r="X2490" s="318"/>
      <c r="Y2490" s="318"/>
      <c r="Z2490" s="318"/>
      <c r="AA2490" s="318"/>
      <c r="AB2490" s="318"/>
      <c r="AC2490" s="318"/>
      <c r="AD2490" s="318"/>
    </row>
    <row r="2491" spans="2:30" s="323" customFormat="1" ht="12" customHeight="1">
      <c r="B2491" s="324"/>
      <c r="C2491" s="325"/>
      <c r="D2491" s="326"/>
      <c r="E2491" s="326"/>
      <c r="F2491" s="326"/>
      <c r="G2491" s="326"/>
      <c r="H2491" s="326"/>
      <c r="P2491" s="318"/>
      <c r="Q2491" s="318"/>
      <c r="R2491" s="318"/>
      <c r="S2491" s="318"/>
      <c r="T2491" s="318"/>
      <c r="U2491" s="318"/>
      <c r="V2491" s="318"/>
      <c r="W2491" s="318"/>
      <c r="X2491" s="318"/>
      <c r="Y2491" s="318"/>
      <c r="Z2491" s="318"/>
      <c r="AA2491" s="318"/>
      <c r="AB2491" s="318"/>
      <c r="AC2491" s="318"/>
      <c r="AD2491" s="318"/>
    </row>
    <row r="2492" spans="2:30" s="323" customFormat="1" ht="12" customHeight="1">
      <c r="B2492" s="324"/>
      <c r="C2492" s="325"/>
      <c r="D2492" s="326"/>
      <c r="E2492" s="326"/>
      <c r="F2492" s="326"/>
      <c r="G2492" s="326"/>
      <c r="H2492" s="326"/>
      <c r="P2492" s="318"/>
      <c r="Q2492" s="318"/>
      <c r="R2492" s="318"/>
      <c r="S2492" s="318"/>
      <c r="T2492" s="318"/>
      <c r="U2492" s="318"/>
      <c r="V2492" s="318"/>
      <c r="W2492" s="318"/>
      <c r="X2492" s="318"/>
      <c r="Y2492" s="318"/>
      <c r="Z2492" s="318"/>
      <c r="AA2492" s="318"/>
      <c r="AB2492" s="318"/>
      <c r="AC2492" s="318"/>
      <c r="AD2492" s="318"/>
    </row>
    <row r="2493" spans="2:30" s="323" customFormat="1" ht="12" customHeight="1">
      <c r="B2493" s="324"/>
      <c r="C2493" s="325"/>
      <c r="D2493" s="326"/>
      <c r="E2493" s="326"/>
      <c r="F2493" s="326"/>
      <c r="G2493" s="326"/>
      <c r="H2493" s="326"/>
      <c r="P2493" s="318"/>
      <c r="Q2493" s="318"/>
      <c r="R2493" s="318"/>
      <c r="S2493" s="318"/>
      <c r="T2493" s="318"/>
      <c r="U2493" s="318"/>
      <c r="V2493" s="318"/>
      <c r="W2493" s="318"/>
      <c r="X2493" s="318"/>
      <c r="Y2493" s="318"/>
      <c r="Z2493" s="318"/>
      <c r="AA2493" s="318"/>
      <c r="AB2493" s="318"/>
      <c r="AC2493" s="318"/>
      <c r="AD2493" s="318"/>
    </row>
    <row r="2494" spans="2:30" s="323" customFormat="1" ht="12" customHeight="1">
      <c r="B2494" s="324"/>
      <c r="C2494" s="325"/>
      <c r="D2494" s="326"/>
      <c r="E2494" s="326"/>
      <c r="F2494" s="326"/>
      <c r="G2494" s="326"/>
      <c r="H2494" s="326"/>
      <c r="P2494" s="318"/>
      <c r="Q2494" s="318"/>
      <c r="R2494" s="318"/>
      <c r="S2494" s="318"/>
      <c r="T2494" s="318"/>
      <c r="U2494" s="318"/>
      <c r="V2494" s="318"/>
      <c r="W2494" s="318"/>
      <c r="X2494" s="318"/>
      <c r="Y2494" s="318"/>
      <c r="Z2494" s="318"/>
      <c r="AA2494" s="318"/>
      <c r="AB2494" s="318"/>
      <c r="AC2494" s="318"/>
      <c r="AD2494" s="318"/>
    </row>
    <row r="2495" spans="2:30" s="323" customFormat="1" ht="12" customHeight="1">
      <c r="B2495" s="324"/>
      <c r="C2495" s="325"/>
      <c r="D2495" s="326"/>
      <c r="E2495" s="326"/>
      <c r="F2495" s="326"/>
      <c r="G2495" s="326"/>
      <c r="H2495" s="326"/>
      <c r="P2495" s="318"/>
      <c r="Q2495" s="318"/>
      <c r="R2495" s="318"/>
      <c r="S2495" s="318"/>
      <c r="T2495" s="318"/>
      <c r="U2495" s="318"/>
      <c r="V2495" s="318"/>
      <c r="W2495" s="318"/>
      <c r="X2495" s="318"/>
      <c r="Y2495" s="318"/>
      <c r="Z2495" s="318"/>
      <c r="AA2495" s="318"/>
      <c r="AB2495" s="318"/>
      <c r="AC2495" s="318"/>
      <c r="AD2495" s="318"/>
    </row>
    <row r="2496" spans="2:30" s="323" customFormat="1" ht="12" customHeight="1">
      <c r="B2496" s="324"/>
      <c r="C2496" s="325"/>
      <c r="D2496" s="326"/>
      <c r="E2496" s="326"/>
      <c r="F2496" s="326"/>
      <c r="G2496" s="326"/>
      <c r="H2496" s="326"/>
      <c r="P2496" s="318"/>
      <c r="Q2496" s="318"/>
      <c r="R2496" s="318"/>
      <c r="S2496" s="318"/>
      <c r="T2496" s="318"/>
      <c r="U2496" s="318"/>
      <c r="V2496" s="318"/>
      <c r="W2496" s="318"/>
      <c r="X2496" s="318"/>
      <c r="Y2496" s="318"/>
      <c r="Z2496" s="318"/>
      <c r="AA2496" s="318"/>
      <c r="AB2496" s="318"/>
      <c r="AC2496" s="318"/>
      <c r="AD2496" s="318"/>
    </row>
    <row r="2497" spans="2:30" s="323" customFormat="1" ht="12" customHeight="1">
      <c r="B2497" s="324"/>
      <c r="C2497" s="325"/>
      <c r="D2497" s="326"/>
      <c r="E2497" s="326"/>
      <c r="F2497" s="326"/>
      <c r="G2497" s="326"/>
      <c r="H2497" s="326"/>
      <c r="P2497" s="318"/>
      <c r="Q2497" s="318"/>
      <c r="R2497" s="318"/>
      <c r="S2497" s="318"/>
      <c r="T2497" s="318"/>
      <c r="U2497" s="318"/>
      <c r="V2497" s="318"/>
      <c r="W2497" s="318"/>
      <c r="X2497" s="318"/>
      <c r="Y2497" s="318"/>
      <c r="Z2497" s="318"/>
      <c r="AA2497" s="318"/>
      <c r="AB2497" s="318"/>
      <c r="AC2497" s="318"/>
      <c r="AD2497" s="318"/>
    </row>
    <row r="2498" spans="2:30" s="323" customFormat="1" ht="12" customHeight="1">
      <c r="B2498" s="324"/>
      <c r="C2498" s="325"/>
      <c r="D2498" s="326"/>
      <c r="E2498" s="326"/>
      <c r="F2498" s="326"/>
      <c r="G2498" s="326"/>
      <c r="H2498" s="326"/>
      <c r="P2498" s="318"/>
      <c r="Q2498" s="318"/>
      <c r="R2498" s="318"/>
      <c r="S2498" s="318"/>
      <c r="T2498" s="318"/>
      <c r="U2498" s="318"/>
      <c r="V2498" s="318"/>
      <c r="W2498" s="318"/>
      <c r="X2498" s="318"/>
      <c r="Y2498" s="318"/>
      <c r="Z2498" s="318"/>
      <c r="AA2498" s="318"/>
      <c r="AB2498" s="318"/>
      <c r="AC2498" s="318"/>
      <c r="AD2498" s="318"/>
    </row>
    <row r="2499" spans="2:30" s="323" customFormat="1" ht="12" customHeight="1">
      <c r="B2499" s="324"/>
      <c r="C2499" s="325"/>
      <c r="D2499" s="326"/>
      <c r="E2499" s="326"/>
      <c r="F2499" s="326"/>
      <c r="G2499" s="326"/>
      <c r="H2499" s="326"/>
      <c r="P2499" s="318"/>
      <c r="Q2499" s="318"/>
      <c r="R2499" s="318"/>
      <c r="S2499" s="318"/>
      <c r="T2499" s="318"/>
      <c r="U2499" s="318"/>
      <c r="V2499" s="318"/>
      <c r="W2499" s="318"/>
      <c r="X2499" s="318"/>
      <c r="Y2499" s="318"/>
      <c r="Z2499" s="318"/>
      <c r="AA2499" s="318"/>
      <c r="AB2499" s="318"/>
      <c r="AC2499" s="318"/>
      <c r="AD2499" s="318"/>
    </row>
    <row r="2500" spans="2:30" s="323" customFormat="1" ht="12" customHeight="1">
      <c r="B2500" s="324"/>
      <c r="C2500" s="325"/>
      <c r="D2500" s="326"/>
      <c r="E2500" s="326"/>
      <c r="F2500" s="326"/>
      <c r="G2500" s="326"/>
      <c r="H2500" s="326"/>
      <c r="P2500" s="318"/>
      <c r="Q2500" s="318"/>
      <c r="R2500" s="318"/>
      <c r="S2500" s="318"/>
      <c r="T2500" s="318"/>
      <c r="U2500" s="318"/>
      <c r="V2500" s="318"/>
      <c r="W2500" s="318"/>
      <c r="X2500" s="318"/>
      <c r="Y2500" s="318"/>
      <c r="Z2500" s="318"/>
      <c r="AA2500" s="318"/>
      <c r="AB2500" s="318"/>
      <c r="AC2500" s="318"/>
      <c r="AD2500" s="318"/>
    </row>
    <row r="2501" spans="2:30" s="323" customFormat="1" ht="12" customHeight="1">
      <c r="B2501" s="324"/>
      <c r="C2501" s="325"/>
      <c r="D2501" s="326"/>
      <c r="E2501" s="326"/>
      <c r="F2501" s="326"/>
      <c r="G2501" s="326"/>
      <c r="H2501" s="326"/>
      <c r="P2501" s="318"/>
      <c r="Q2501" s="318"/>
      <c r="R2501" s="318"/>
      <c r="S2501" s="318"/>
      <c r="T2501" s="318"/>
      <c r="U2501" s="318"/>
      <c r="V2501" s="318"/>
      <c r="W2501" s="318"/>
      <c r="X2501" s="318"/>
      <c r="Y2501" s="318"/>
      <c r="Z2501" s="318"/>
      <c r="AA2501" s="318"/>
      <c r="AB2501" s="318"/>
      <c r="AC2501" s="318"/>
      <c r="AD2501" s="318"/>
    </row>
    <row r="2502" spans="2:30" s="323" customFormat="1" ht="12" customHeight="1">
      <c r="B2502" s="324"/>
      <c r="C2502" s="325"/>
      <c r="D2502" s="326"/>
      <c r="E2502" s="326"/>
      <c r="F2502" s="326"/>
      <c r="G2502" s="326"/>
      <c r="H2502" s="326"/>
      <c r="P2502" s="318"/>
      <c r="Q2502" s="318"/>
      <c r="R2502" s="318"/>
      <c r="S2502" s="318"/>
      <c r="T2502" s="318"/>
      <c r="U2502" s="318"/>
      <c r="V2502" s="318"/>
      <c r="W2502" s="318"/>
      <c r="X2502" s="318"/>
      <c r="Y2502" s="318"/>
      <c r="Z2502" s="318"/>
      <c r="AA2502" s="318"/>
      <c r="AB2502" s="318"/>
      <c r="AC2502" s="318"/>
      <c r="AD2502" s="318"/>
    </row>
    <row r="2503" spans="2:30" s="323" customFormat="1" ht="12" customHeight="1">
      <c r="B2503" s="324"/>
      <c r="C2503" s="325"/>
      <c r="D2503" s="326"/>
      <c r="E2503" s="326"/>
      <c r="F2503" s="326"/>
      <c r="G2503" s="326"/>
      <c r="H2503" s="326"/>
      <c r="P2503" s="318"/>
      <c r="Q2503" s="318"/>
      <c r="R2503" s="318"/>
      <c r="S2503" s="318"/>
      <c r="T2503" s="318"/>
      <c r="U2503" s="318"/>
      <c r="V2503" s="318"/>
      <c r="W2503" s="318"/>
      <c r="X2503" s="318"/>
      <c r="Y2503" s="318"/>
      <c r="Z2503" s="318"/>
      <c r="AA2503" s="318"/>
      <c r="AB2503" s="318"/>
      <c r="AC2503" s="318"/>
      <c r="AD2503" s="318"/>
    </row>
    <row r="2504" spans="2:30" s="323" customFormat="1" ht="12" customHeight="1">
      <c r="B2504" s="324"/>
      <c r="C2504" s="325"/>
      <c r="D2504" s="326"/>
      <c r="E2504" s="326"/>
      <c r="F2504" s="326"/>
      <c r="G2504" s="326"/>
      <c r="H2504" s="326"/>
      <c r="P2504" s="318"/>
      <c r="Q2504" s="318"/>
      <c r="R2504" s="318"/>
      <c r="S2504" s="318"/>
      <c r="T2504" s="318"/>
      <c r="U2504" s="318"/>
      <c r="V2504" s="318"/>
      <c r="W2504" s="318"/>
      <c r="X2504" s="318"/>
      <c r="Y2504" s="318"/>
      <c r="Z2504" s="318"/>
      <c r="AA2504" s="318"/>
      <c r="AB2504" s="318"/>
      <c r="AC2504" s="318"/>
      <c r="AD2504" s="318"/>
    </row>
    <row r="2505" spans="2:30" s="323" customFormat="1" ht="12" customHeight="1">
      <c r="B2505" s="324"/>
      <c r="C2505" s="325"/>
      <c r="D2505" s="326"/>
      <c r="E2505" s="326"/>
      <c r="F2505" s="326"/>
      <c r="G2505" s="326"/>
      <c r="H2505" s="326"/>
      <c r="P2505" s="318"/>
      <c r="Q2505" s="318"/>
      <c r="R2505" s="318"/>
      <c r="S2505" s="318"/>
      <c r="T2505" s="318"/>
      <c r="U2505" s="318"/>
      <c r="V2505" s="318"/>
      <c r="W2505" s="318"/>
      <c r="X2505" s="318"/>
      <c r="Y2505" s="318"/>
      <c r="Z2505" s="318"/>
      <c r="AA2505" s="318"/>
      <c r="AB2505" s="318"/>
      <c r="AC2505" s="318"/>
      <c r="AD2505" s="318"/>
    </row>
    <row r="2506" spans="2:30" s="323" customFormat="1" ht="12" customHeight="1">
      <c r="B2506" s="324"/>
      <c r="C2506" s="325"/>
      <c r="D2506" s="326"/>
      <c r="E2506" s="326"/>
      <c r="F2506" s="326"/>
      <c r="G2506" s="326"/>
      <c r="H2506" s="326"/>
      <c r="P2506" s="318"/>
      <c r="Q2506" s="318"/>
      <c r="R2506" s="318"/>
      <c r="S2506" s="318"/>
      <c r="T2506" s="318"/>
      <c r="U2506" s="318"/>
      <c r="V2506" s="318"/>
      <c r="W2506" s="318"/>
      <c r="X2506" s="318"/>
      <c r="Y2506" s="318"/>
      <c r="Z2506" s="318"/>
      <c r="AA2506" s="318"/>
      <c r="AB2506" s="318"/>
      <c r="AC2506" s="318"/>
      <c r="AD2506" s="318"/>
    </row>
    <row r="2507" spans="2:30" s="323" customFormat="1" ht="12" customHeight="1">
      <c r="B2507" s="324"/>
      <c r="C2507" s="325"/>
      <c r="D2507" s="326"/>
      <c r="E2507" s="326"/>
      <c r="F2507" s="326"/>
      <c r="G2507" s="326"/>
      <c r="H2507" s="326"/>
      <c r="P2507" s="318"/>
      <c r="Q2507" s="318"/>
      <c r="R2507" s="318"/>
      <c r="S2507" s="318"/>
      <c r="T2507" s="318"/>
      <c r="U2507" s="318"/>
      <c r="V2507" s="318"/>
      <c r="W2507" s="318"/>
      <c r="X2507" s="318"/>
      <c r="Y2507" s="318"/>
      <c r="Z2507" s="318"/>
      <c r="AA2507" s="318"/>
      <c r="AB2507" s="318"/>
      <c r="AC2507" s="318"/>
      <c r="AD2507" s="318"/>
    </row>
    <row r="2508" spans="2:30" s="323" customFormat="1" ht="12" customHeight="1">
      <c r="B2508" s="324"/>
      <c r="C2508" s="325"/>
      <c r="D2508" s="326"/>
      <c r="E2508" s="326"/>
      <c r="F2508" s="326"/>
      <c r="G2508" s="326"/>
      <c r="H2508" s="326"/>
      <c r="P2508" s="318"/>
      <c r="Q2508" s="318"/>
      <c r="R2508" s="318"/>
      <c r="S2508" s="318"/>
      <c r="T2508" s="318"/>
      <c r="U2508" s="318"/>
      <c r="V2508" s="318"/>
      <c r="W2508" s="318"/>
      <c r="X2508" s="318"/>
      <c r="Y2508" s="318"/>
      <c r="Z2508" s="318"/>
      <c r="AA2508" s="318"/>
      <c r="AB2508" s="318"/>
      <c r="AC2508" s="318"/>
      <c r="AD2508" s="318"/>
    </row>
    <row r="2509" spans="2:30" s="323" customFormat="1" ht="12" customHeight="1">
      <c r="B2509" s="324"/>
      <c r="C2509" s="325"/>
      <c r="D2509" s="326"/>
      <c r="E2509" s="326"/>
      <c r="F2509" s="326"/>
      <c r="G2509" s="326"/>
      <c r="H2509" s="326"/>
      <c r="P2509" s="318"/>
      <c r="Q2509" s="318"/>
      <c r="R2509" s="318"/>
      <c r="S2509" s="318"/>
      <c r="T2509" s="318"/>
      <c r="U2509" s="318"/>
      <c r="V2509" s="318"/>
      <c r="W2509" s="318"/>
      <c r="X2509" s="318"/>
      <c r="Y2509" s="318"/>
      <c r="Z2509" s="318"/>
      <c r="AA2509" s="318"/>
      <c r="AB2509" s="318"/>
      <c r="AC2509" s="318"/>
      <c r="AD2509" s="318"/>
    </row>
    <row r="2510" spans="2:30" s="323" customFormat="1" ht="12" customHeight="1">
      <c r="B2510" s="324"/>
      <c r="C2510" s="325"/>
      <c r="D2510" s="326"/>
      <c r="E2510" s="326"/>
      <c r="F2510" s="326"/>
      <c r="G2510" s="326"/>
      <c r="H2510" s="326"/>
      <c r="P2510" s="318"/>
      <c r="Q2510" s="318"/>
      <c r="R2510" s="318"/>
      <c r="S2510" s="318"/>
      <c r="T2510" s="318"/>
      <c r="U2510" s="318"/>
      <c r="V2510" s="318"/>
      <c r="W2510" s="318"/>
      <c r="X2510" s="318"/>
      <c r="Y2510" s="318"/>
      <c r="Z2510" s="318"/>
      <c r="AA2510" s="318"/>
      <c r="AB2510" s="318"/>
      <c r="AC2510" s="318"/>
      <c r="AD2510" s="318"/>
    </row>
    <row r="2511" spans="2:30" s="323" customFormat="1" ht="12" customHeight="1">
      <c r="B2511" s="324"/>
      <c r="C2511" s="325"/>
      <c r="D2511" s="326"/>
      <c r="E2511" s="326"/>
      <c r="F2511" s="326"/>
      <c r="G2511" s="326"/>
      <c r="H2511" s="326"/>
      <c r="P2511" s="318"/>
      <c r="Q2511" s="318"/>
      <c r="R2511" s="318"/>
      <c r="S2511" s="318"/>
      <c r="T2511" s="318"/>
      <c r="U2511" s="318"/>
      <c r="V2511" s="318"/>
      <c r="W2511" s="318"/>
      <c r="X2511" s="318"/>
      <c r="Y2511" s="318"/>
      <c r="Z2511" s="318"/>
      <c r="AA2511" s="318"/>
      <c r="AB2511" s="318"/>
      <c r="AC2511" s="318"/>
      <c r="AD2511" s="318"/>
    </row>
    <row r="2512" spans="2:30" s="323" customFormat="1" ht="12" customHeight="1">
      <c r="B2512" s="324"/>
      <c r="C2512" s="325"/>
      <c r="D2512" s="326"/>
      <c r="E2512" s="326"/>
      <c r="F2512" s="326"/>
      <c r="G2512" s="326"/>
      <c r="H2512" s="326"/>
      <c r="P2512" s="318"/>
      <c r="Q2512" s="318"/>
      <c r="R2512" s="318"/>
      <c r="S2512" s="318"/>
      <c r="T2512" s="318"/>
      <c r="U2512" s="318"/>
      <c r="V2512" s="318"/>
      <c r="W2512" s="318"/>
      <c r="X2512" s="318"/>
      <c r="Y2512" s="318"/>
      <c r="Z2512" s="318"/>
      <c r="AA2512" s="318"/>
      <c r="AB2512" s="318"/>
      <c r="AC2512" s="318"/>
      <c r="AD2512" s="318"/>
    </row>
    <row r="2513" spans="2:30" s="323" customFormat="1" ht="12" customHeight="1">
      <c r="B2513" s="324"/>
      <c r="C2513" s="325"/>
      <c r="D2513" s="326"/>
      <c r="E2513" s="326"/>
      <c r="F2513" s="326"/>
      <c r="G2513" s="326"/>
      <c r="H2513" s="326"/>
      <c r="P2513" s="318"/>
      <c r="Q2513" s="318"/>
      <c r="R2513" s="318"/>
      <c r="S2513" s="318"/>
      <c r="T2513" s="318"/>
      <c r="U2513" s="318"/>
      <c r="V2513" s="318"/>
      <c r="W2513" s="318"/>
      <c r="X2513" s="318"/>
      <c r="Y2513" s="318"/>
      <c r="Z2513" s="318"/>
      <c r="AA2513" s="318"/>
      <c r="AB2513" s="318"/>
      <c r="AC2513" s="318"/>
      <c r="AD2513" s="318"/>
    </row>
    <row r="2514" spans="2:30" s="323" customFormat="1" ht="12" customHeight="1">
      <c r="B2514" s="324"/>
      <c r="C2514" s="325"/>
      <c r="D2514" s="326"/>
      <c r="E2514" s="326"/>
      <c r="F2514" s="326"/>
      <c r="G2514" s="326"/>
      <c r="H2514" s="326"/>
      <c r="P2514" s="318"/>
      <c r="Q2514" s="318"/>
      <c r="R2514" s="318"/>
      <c r="S2514" s="318"/>
      <c r="T2514" s="318"/>
      <c r="U2514" s="318"/>
      <c r="V2514" s="318"/>
      <c r="W2514" s="318"/>
      <c r="X2514" s="318"/>
      <c r="Y2514" s="318"/>
      <c r="Z2514" s="318"/>
      <c r="AA2514" s="318"/>
      <c r="AB2514" s="318"/>
      <c r="AC2514" s="318"/>
      <c r="AD2514" s="318"/>
    </row>
    <row r="2515" spans="2:30" s="323" customFormat="1" ht="12" customHeight="1">
      <c r="B2515" s="324"/>
      <c r="C2515" s="325"/>
      <c r="D2515" s="326"/>
      <c r="E2515" s="326"/>
      <c r="F2515" s="326"/>
      <c r="G2515" s="326"/>
      <c r="H2515" s="326"/>
      <c r="P2515" s="318"/>
      <c r="Q2515" s="318"/>
      <c r="R2515" s="318"/>
      <c r="S2515" s="318"/>
      <c r="T2515" s="318"/>
      <c r="U2515" s="318"/>
      <c r="V2515" s="318"/>
      <c r="W2515" s="318"/>
      <c r="X2515" s="318"/>
      <c r="Y2515" s="318"/>
      <c r="Z2515" s="318"/>
      <c r="AA2515" s="318"/>
      <c r="AB2515" s="318"/>
      <c r="AC2515" s="318"/>
      <c r="AD2515" s="318"/>
    </row>
    <row r="2516" spans="2:30" s="323" customFormat="1" ht="12" customHeight="1">
      <c r="B2516" s="324"/>
      <c r="C2516" s="325"/>
      <c r="D2516" s="326"/>
      <c r="E2516" s="326"/>
      <c r="F2516" s="326"/>
      <c r="G2516" s="326"/>
      <c r="H2516" s="326"/>
      <c r="P2516" s="318"/>
      <c r="Q2516" s="318"/>
      <c r="R2516" s="318"/>
      <c r="S2516" s="318"/>
      <c r="T2516" s="318"/>
      <c r="U2516" s="318"/>
      <c r="V2516" s="318"/>
      <c r="W2516" s="318"/>
      <c r="X2516" s="318"/>
      <c r="Y2516" s="318"/>
      <c r="Z2516" s="318"/>
      <c r="AA2516" s="318"/>
      <c r="AB2516" s="318"/>
      <c r="AC2516" s="318"/>
      <c r="AD2516" s="318"/>
    </row>
    <row r="2517" spans="2:30" s="323" customFormat="1" ht="12" customHeight="1">
      <c r="B2517" s="324"/>
      <c r="C2517" s="325"/>
      <c r="D2517" s="326"/>
      <c r="E2517" s="326"/>
      <c r="F2517" s="326"/>
      <c r="G2517" s="326"/>
      <c r="H2517" s="326"/>
      <c r="P2517" s="318"/>
      <c r="Q2517" s="318"/>
      <c r="R2517" s="318"/>
      <c r="S2517" s="318"/>
      <c r="T2517" s="318"/>
      <c r="U2517" s="318"/>
      <c r="V2517" s="318"/>
      <c r="W2517" s="318"/>
      <c r="X2517" s="318"/>
      <c r="Y2517" s="318"/>
      <c r="Z2517" s="318"/>
      <c r="AA2517" s="318"/>
      <c r="AB2517" s="318"/>
      <c r="AC2517" s="318"/>
      <c r="AD2517" s="318"/>
    </row>
    <row r="2518" spans="2:30" s="323" customFormat="1" ht="12" customHeight="1">
      <c r="B2518" s="324"/>
      <c r="C2518" s="325"/>
      <c r="D2518" s="326"/>
      <c r="E2518" s="326"/>
      <c r="F2518" s="326"/>
      <c r="G2518" s="326"/>
      <c r="H2518" s="326"/>
      <c r="P2518" s="318"/>
      <c r="Q2518" s="318"/>
      <c r="R2518" s="318"/>
      <c r="S2518" s="318"/>
      <c r="T2518" s="318"/>
      <c r="U2518" s="318"/>
      <c r="V2518" s="318"/>
      <c r="W2518" s="318"/>
      <c r="X2518" s="318"/>
      <c r="Y2518" s="318"/>
      <c r="Z2518" s="318"/>
      <c r="AA2518" s="318"/>
      <c r="AB2518" s="318"/>
      <c r="AC2518" s="318"/>
      <c r="AD2518" s="318"/>
    </row>
    <row r="2519" spans="2:30" s="323" customFormat="1" ht="12" customHeight="1">
      <c r="B2519" s="324"/>
      <c r="C2519" s="325"/>
      <c r="D2519" s="326"/>
      <c r="E2519" s="326"/>
      <c r="F2519" s="326"/>
      <c r="G2519" s="326"/>
      <c r="H2519" s="326"/>
      <c r="P2519" s="318"/>
      <c r="Q2519" s="318"/>
      <c r="R2519" s="318"/>
      <c r="S2519" s="318"/>
      <c r="T2519" s="318"/>
      <c r="U2519" s="318"/>
      <c r="V2519" s="318"/>
      <c r="W2519" s="318"/>
      <c r="X2519" s="318"/>
      <c r="Y2519" s="318"/>
      <c r="Z2519" s="318"/>
      <c r="AA2519" s="318"/>
      <c r="AB2519" s="318"/>
      <c r="AC2519" s="318"/>
      <c r="AD2519" s="318"/>
    </row>
    <row r="2520" spans="2:30" s="323" customFormat="1" ht="12" customHeight="1">
      <c r="B2520" s="324"/>
      <c r="C2520" s="325"/>
      <c r="D2520" s="326"/>
      <c r="E2520" s="326"/>
      <c r="F2520" s="326"/>
      <c r="G2520" s="326"/>
      <c r="H2520" s="326"/>
      <c r="P2520" s="318"/>
      <c r="Q2520" s="318"/>
      <c r="R2520" s="318"/>
      <c r="S2520" s="318"/>
      <c r="T2520" s="318"/>
      <c r="U2520" s="318"/>
      <c r="V2520" s="318"/>
      <c r="W2520" s="318"/>
      <c r="X2520" s="318"/>
      <c r="Y2520" s="318"/>
      <c r="Z2520" s="318"/>
      <c r="AA2520" s="318"/>
      <c r="AB2520" s="318"/>
      <c r="AC2520" s="318"/>
      <c r="AD2520" s="318"/>
    </row>
    <row r="2521" spans="2:30" s="323" customFormat="1" ht="12" customHeight="1">
      <c r="B2521" s="324"/>
      <c r="C2521" s="325"/>
      <c r="D2521" s="326"/>
      <c r="E2521" s="326"/>
      <c r="F2521" s="326"/>
      <c r="G2521" s="326"/>
      <c r="H2521" s="326"/>
      <c r="P2521" s="318"/>
      <c r="Q2521" s="318"/>
      <c r="R2521" s="318"/>
      <c r="S2521" s="318"/>
      <c r="T2521" s="318"/>
      <c r="U2521" s="318"/>
      <c r="V2521" s="318"/>
      <c r="W2521" s="318"/>
      <c r="X2521" s="318"/>
      <c r="Y2521" s="318"/>
      <c r="Z2521" s="318"/>
      <c r="AA2521" s="318"/>
      <c r="AB2521" s="318"/>
      <c r="AC2521" s="318"/>
      <c r="AD2521" s="318"/>
    </row>
    <row r="2522" spans="2:30" s="323" customFormat="1" ht="12" customHeight="1">
      <c r="B2522" s="324"/>
      <c r="C2522" s="325"/>
      <c r="D2522" s="326"/>
      <c r="E2522" s="326"/>
      <c r="F2522" s="326"/>
      <c r="G2522" s="326"/>
      <c r="H2522" s="326"/>
      <c r="P2522" s="318"/>
      <c r="Q2522" s="318"/>
      <c r="R2522" s="318"/>
      <c r="S2522" s="318"/>
      <c r="T2522" s="318"/>
      <c r="U2522" s="318"/>
      <c r="V2522" s="318"/>
      <c r="W2522" s="318"/>
      <c r="X2522" s="318"/>
      <c r="Y2522" s="318"/>
      <c r="Z2522" s="318"/>
      <c r="AA2522" s="318"/>
      <c r="AB2522" s="318"/>
      <c r="AC2522" s="318"/>
      <c r="AD2522" s="318"/>
    </row>
    <row r="2523" spans="2:30" s="323" customFormat="1" ht="12" customHeight="1">
      <c r="B2523" s="324"/>
      <c r="C2523" s="325"/>
      <c r="D2523" s="326"/>
      <c r="E2523" s="326"/>
      <c r="F2523" s="326"/>
      <c r="G2523" s="326"/>
      <c r="H2523" s="326"/>
      <c r="P2523" s="318"/>
      <c r="Q2523" s="318"/>
      <c r="R2523" s="318"/>
      <c r="S2523" s="318"/>
      <c r="T2523" s="318"/>
      <c r="U2523" s="318"/>
      <c r="V2523" s="318"/>
      <c r="W2523" s="318"/>
      <c r="X2523" s="318"/>
      <c r="Y2523" s="318"/>
      <c r="Z2523" s="318"/>
      <c r="AA2523" s="318"/>
      <c r="AB2523" s="318"/>
      <c r="AC2523" s="318"/>
      <c r="AD2523" s="318"/>
    </row>
    <row r="2524" spans="2:30" s="323" customFormat="1" ht="12" customHeight="1">
      <c r="B2524" s="324"/>
      <c r="C2524" s="325"/>
      <c r="D2524" s="326"/>
      <c r="E2524" s="326"/>
      <c r="F2524" s="326"/>
      <c r="G2524" s="326"/>
      <c r="H2524" s="326"/>
      <c r="P2524" s="318"/>
      <c r="Q2524" s="318"/>
      <c r="R2524" s="318"/>
      <c r="S2524" s="318"/>
      <c r="T2524" s="318"/>
      <c r="U2524" s="318"/>
      <c r="V2524" s="318"/>
      <c r="W2524" s="318"/>
      <c r="X2524" s="318"/>
      <c r="Y2524" s="318"/>
      <c r="Z2524" s="318"/>
      <c r="AA2524" s="318"/>
      <c r="AB2524" s="318"/>
      <c r="AC2524" s="318"/>
      <c r="AD2524" s="318"/>
    </row>
    <row r="2525" spans="2:30" s="323" customFormat="1" ht="12" customHeight="1">
      <c r="B2525" s="324"/>
      <c r="C2525" s="325"/>
      <c r="D2525" s="326"/>
      <c r="E2525" s="326"/>
      <c r="F2525" s="326"/>
      <c r="G2525" s="326"/>
      <c r="H2525" s="326"/>
      <c r="P2525" s="318"/>
      <c r="Q2525" s="318"/>
      <c r="R2525" s="318"/>
      <c r="S2525" s="318"/>
      <c r="T2525" s="318"/>
      <c r="U2525" s="318"/>
      <c r="V2525" s="318"/>
      <c r="W2525" s="318"/>
      <c r="X2525" s="318"/>
      <c r="Y2525" s="318"/>
      <c r="Z2525" s="318"/>
      <c r="AA2525" s="318"/>
      <c r="AB2525" s="318"/>
      <c r="AC2525" s="318"/>
      <c r="AD2525" s="318"/>
    </row>
    <row r="2526" spans="2:30" s="323" customFormat="1" ht="12" customHeight="1">
      <c r="B2526" s="324"/>
      <c r="C2526" s="325"/>
      <c r="D2526" s="326"/>
      <c r="E2526" s="326"/>
      <c r="F2526" s="326"/>
      <c r="G2526" s="326"/>
      <c r="H2526" s="326"/>
      <c r="P2526" s="318"/>
      <c r="Q2526" s="318"/>
      <c r="R2526" s="318"/>
      <c r="S2526" s="318"/>
      <c r="T2526" s="318"/>
      <c r="U2526" s="318"/>
      <c r="V2526" s="318"/>
      <c r="W2526" s="318"/>
      <c r="X2526" s="318"/>
      <c r="Y2526" s="318"/>
      <c r="Z2526" s="318"/>
      <c r="AA2526" s="318"/>
      <c r="AB2526" s="318"/>
      <c r="AC2526" s="318"/>
      <c r="AD2526" s="318"/>
    </row>
    <row r="2527" spans="2:30" s="323" customFormat="1" ht="12" customHeight="1">
      <c r="B2527" s="324"/>
      <c r="C2527" s="325"/>
      <c r="D2527" s="326"/>
      <c r="E2527" s="326"/>
      <c r="F2527" s="326"/>
      <c r="G2527" s="326"/>
      <c r="H2527" s="326"/>
      <c r="P2527" s="318"/>
      <c r="Q2527" s="318"/>
      <c r="R2527" s="318"/>
      <c r="S2527" s="318"/>
      <c r="T2527" s="318"/>
      <c r="U2527" s="318"/>
      <c r="V2527" s="318"/>
      <c r="W2527" s="318"/>
      <c r="X2527" s="318"/>
      <c r="Y2527" s="318"/>
      <c r="Z2527" s="318"/>
      <c r="AA2527" s="318"/>
      <c r="AB2527" s="318"/>
      <c r="AC2527" s="318"/>
      <c r="AD2527" s="318"/>
    </row>
    <row r="2528" spans="2:30" s="323" customFormat="1" ht="12" customHeight="1">
      <c r="B2528" s="324"/>
      <c r="C2528" s="325"/>
      <c r="D2528" s="326"/>
      <c r="E2528" s="326"/>
      <c r="F2528" s="326"/>
      <c r="G2528" s="326"/>
      <c r="H2528" s="326"/>
      <c r="P2528" s="318"/>
      <c r="Q2528" s="318"/>
      <c r="R2528" s="318"/>
      <c r="S2528" s="318"/>
      <c r="T2528" s="318"/>
      <c r="U2528" s="318"/>
      <c r="V2528" s="318"/>
      <c r="W2528" s="318"/>
      <c r="X2528" s="318"/>
      <c r="Y2528" s="318"/>
      <c r="Z2528" s="318"/>
      <c r="AA2528" s="318"/>
      <c r="AB2528" s="318"/>
      <c r="AC2528" s="318"/>
      <c r="AD2528" s="318"/>
    </row>
    <row r="2529" spans="2:30" s="323" customFormat="1" ht="12" customHeight="1">
      <c r="B2529" s="324"/>
      <c r="C2529" s="325"/>
      <c r="D2529" s="326"/>
      <c r="E2529" s="326"/>
      <c r="F2529" s="326"/>
      <c r="G2529" s="326"/>
      <c r="H2529" s="326"/>
      <c r="P2529" s="318"/>
      <c r="Q2529" s="318"/>
      <c r="R2529" s="318"/>
      <c r="S2529" s="318"/>
      <c r="T2529" s="318"/>
      <c r="U2529" s="318"/>
      <c r="V2529" s="318"/>
      <c r="W2529" s="318"/>
      <c r="X2529" s="318"/>
      <c r="Y2529" s="318"/>
      <c r="Z2529" s="318"/>
      <c r="AA2529" s="318"/>
      <c r="AB2529" s="318"/>
      <c r="AC2529" s="318"/>
      <c r="AD2529" s="318"/>
    </row>
    <row r="2530" spans="2:30" s="323" customFormat="1" ht="12" customHeight="1">
      <c r="B2530" s="324"/>
      <c r="C2530" s="325"/>
      <c r="D2530" s="326"/>
      <c r="E2530" s="326"/>
      <c r="F2530" s="326"/>
      <c r="G2530" s="326"/>
      <c r="H2530" s="326"/>
      <c r="P2530" s="318"/>
      <c r="Q2530" s="318"/>
      <c r="R2530" s="318"/>
      <c r="S2530" s="318"/>
      <c r="T2530" s="318"/>
      <c r="U2530" s="318"/>
      <c r="V2530" s="318"/>
      <c r="W2530" s="318"/>
      <c r="X2530" s="318"/>
      <c r="Y2530" s="318"/>
      <c r="Z2530" s="318"/>
      <c r="AA2530" s="318"/>
      <c r="AB2530" s="318"/>
      <c r="AC2530" s="318"/>
      <c r="AD2530" s="318"/>
    </row>
    <row r="2531" spans="2:30" s="323" customFormat="1" ht="12" customHeight="1">
      <c r="B2531" s="324"/>
      <c r="C2531" s="325"/>
      <c r="D2531" s="326"/>
      <c r="E2531" s="326"/>
      <c r="F2531" s="326"/>
      <c r="G2531" s="326"/>
      <c r="H2531" s="326"/>
      <c r="P2531" s="318"/>
      <c r="Q2531" s="318"/>
      <c r="R2531" s="318"/>
      <c r="S2531" s="318"/>
      <c r="T2531" s="318"/>
      <c r="U2531" s="318"/>
      <c r="V2531" s="318"/>
      <c r="W2531" s="318"/>
      <c r="X2531" s="318"/>
      <c r="Y2531" s="318"/>
      <c r="Z2531" s="318"/>
      <c r="AA2531" s="318"/>
      <c r="AB2531" s="318"/>
      <c r="AC2531" s="318"/>
      <c r="AD2531" s="318"/>
    </row>
    <row r="2532" spans="2:30" s="323" customFormat="1" ht="12" customHeight="1">
      <c r="B2532" s="324"/>
      <c r="C2532" s="325"/>
      <c r="D2532" s="326"/>
      <c r="E2532" s="326"/>
      <c r="F2532" s="326"/>
      <c r="G2532" s="326"/>
      <c r="H2532" s="326"/>
      <c r="P2532" s="318"/>
      <c r="Q2532" s="318"/>
      <c r="R2532" s="318"/>
      <c r="S2532" s="318"/>
      <c r="T2532" s="318"/>
      <c r="U2532" s="318"/>
      <c r="V2532" s="318"/>
      <c r="W2532" s="318"/>
      <c r="X2532" s="318"/>
      <c r="Y2532" s="318"/>
      <c r="Z2532" s="318"/>
      <c r="AA2532" s="318"/>
      <c r="AB2532" s="318"/>
      <c r="AC2532" s="318"/>
      <c r="AD2532" s="318"/>
    </row>
    <row r="2533" spans="2:30" s="323" customFormat="1" ht="12" customHeight="1">
      <c r="B2533" s="324"/>
      <c r="C2533" s="325"/>
      <c r="D2533" s="326"/>
      <c r="E2533" s="326"/>
      <c r="F2533" s="326"/>
      <c r="G2533" s="326"/>
      <c r="H2533" s="326"/>
      <c r="P2533" s="318"/>
      <c r="Q2533" s="318"/>
      <c r="R2533" s="318"/>
      <c r="S2533" s="318"/>
      <c r="T2533" s="318"/>
      <c r="U2533" s="318"/>
      <c r="V2533" s="318"/>
      <c r="W2533" s="318"/>
      <c r="X2533" s="318"/>
      <c r="Y2533" s="318"/>
      <c r="Z2533" s="318"/>
      <c r="AA2533" s="318"/>
      <c r="AB2533" s="318"/>
      <c r="AC2533" s="318"/>
      <c r="AD2533" s="318"/>
    </row>
    <row r="2534" spans="2:30" s="323" customFormat="1" ht="12" customHeight="1">
      <c r="B2534" s="324"/>
      <c r="C2534" s="325"/>
      <c r="D2534" s="326"/>
      <c r="E2534" s="326"/>
      <c r="F2534" s="326"/>
      <c r="G2534" s="326"/>
      <c r="H2534" s="326"/>
      <c r="P2534" s="318"/>
      <c r="Q2534" s="318"/>
      <c r="R2534" s="318"/>
      <c r="S2534" s="318"/>
      <c r="T2534" s="318"/>
      <c r="U2534" s="318"/>
      <c r="V2534" s="318"/>
      <c r="W2534" s="318"/>
      <c r="X2534" s="318"/>
      <c r="Y2534" s="318"/>
      <c r="Z2534" s="318"/>
      <c r="AA2534" s="318"/>
      <c r="AB2534" s="318"/>
      <c r="AC2534" s="318"/>
      <c r="AD2534" s="318"/>
    </row>
    <row r="2535" spans="2:30" s="323" customFormat="1" ht="12" customHeight="1">
      <c r="B2535" s="324"/>
      <c r="C2535" s="325"/>
      <c r="D2535" s="326"/>
      <c r="E2535" s="326"/>
      <c r="F2535" s="326"/>
      <c r="G2535" s="326"/>
      <c r="H2535" s="326"/>
      <c r="P2535" s="318"/>
      <c r="Q2535" s="318"/>
      <c r="R2535" s="318"/>
      <c r="S2535" s="318"/>
      <c r="T2535" s="318"/>
      <c r="U2535" s="318"/>
      <c r="V2535" s="318"/>
      <c r="W2535" s="318"/>
      <c r="X2535" s="318"/>
      <c r="Y2535" s="318"/>
      <c r="Z2535" s="318"/>
      <c r="AA2535" s="318"/>
      <c r="AB2535" s="318"/>
      <c r="AC2535" s="318"/>
      <c r="AD2535" s="318"/>
    </row>
    <row r="2536" spans="2:30" s="323" customFormat="1" ht="12" customHeight="1">
      <c r="B2536" s="324"/>
      <c r="C2536" s="325"/>
      <c r="D2536" s="326"/>
      <c r="E2536" s="326"/>
      <c r="F2536" s="326"/>
      <c r="G2536" s="326"/>
      <c r="H2536" s="326"/>
      <c r="P2536" s="318"/>
      <c r="Q2536" s="318"/>
      <c r="R2536" s="318"/>
      <c r="S2536" s="318"/>
      <c r="T2536" s="318"/>
      <c r="U2536" s="318"/>
      <c r="V2536" s="318"/>
      <c r="W2536" s="318"/>
      <c r="X2536" s="318"/>
      <c r="Y2536" s="318"/>
      <c r="Z2536" s="318"/>
      <c r="AA2536" s="318"/>
      <c r="AB2536" s="318"/>
      <c r="AC2536" s="318"/>
      <c r="AD2536" s="318"/>
    </row>
    <row r="2537" spans="2:30" s="323" customFormat="1" ht="12" customHeight="1">
      <c r="B2537" s="324"/>
      <c r="C2537" s="325"/>
      <c r="D2537" s="326"/>
      <c r="E2537" s="326"/>
      <c r="F2537" s="326"/>
      <c r="G2537" s="326"/>
      <c r="H2537" s="326"/>
      <c r="P2537" s="318"/>
      <c r="Q2537" s="318"/>
      <c r="R2537" s="318"/>
      <c r="S2537" s="318"/>
      <c r="T2537" s="318"/>
      <c r="U2537" s="318"/>
      <c r="V2537" s="318"/>
      <c r="W2537" s="318"/>
      <c r="X2537" s="318"/>
      <c r="Y2537" s="318"/>
      <c r="Z2537" s="318"/>
      <c r="AA2537" s="318"/>
      <c r="AB2537" s="318"/>
      <c r="AC2537" s="318"/>
      <c r="AD2537" s="318"/>
    </row>
    <row r="2538" spans="2:30" s="323" customFormat="1" ht="12" customHeight="1">
      <c r="B2538" s="324"/>
      <c r="C2538" s="325"/>
      <c r="D2538" s="326"/>
      <c r="E2538" s="326"/>
      <c r="F2538" s="326"/>
      <c r="G2538" s="326"/>
      <c r="H2538" s="326"/>
      <c r="P2538" s="318"/>
      <c r="Q2538" s="318"/>
      <c r="R2538" s="318"/>
      <c r="S2538" s="318"/>
      <c r="T2538" s="318"/>
      <c r="U2538" s="318"/>
      <c r="V2538" s="318"/>
      <c r="W2538" s="318"/>
      <c r="X2538" s="318"/>
      <c r="Y2538" s="318"/>
      <c r="Z2538" s="318"/>
      <c r="AA2538" s="318"/>
      <c r="AB2538" s="318"/>
      <c r="AC2538" s="318"/>
      <c r="AD2538" s="318"/>
    </row>
    <row r="2539" spans="2:30" s="323" customFormat="1" ht="12" customHeight="1">
      <c r="B2539" s="324"/>
      <c r="C2539" s="325"/>
      <c r="D2539" s="326"/>
      <c r="E2539" s="326"/>
      <c r="F2539" s="326"/>
      <c r="G2539" s="326"/>
      <c r="H2539" s="326"/>
      <c r="P2539" s="318"/>
      <c r="Q2539" s="318"/>
      <c r="R2539" s="318"/>
      <c r="S2539" s="318"/>
      <c r="T2539" s="318"/>
      <c r="U2539" s="318"/>
      <c r="V2539" s="318"/>
      <c r="W2539" s="318"/>
      <c r="X2539" s="318"/>
      <c r="Y2539" s="318"/>
      <c r="Z2539" s="318"/>
      <c r="AA2539" s="318"/>
      <c r="AB2539" s="318"/>
      <c r="AC2539" s="318"/>
      <c r="AD2539" s="318"/>
    </row>
    <row r="2540" spans="2:30" s="323" customFormat="1" ht="12" customHeight="1">
      <c r="B2540" s="324"/>
      <c r="C2540" s="325"/>
      <c r="D2540" s="326"/>
      <c r="E2540" s="326"/>
      <c r="F2540" s="326"/>
      <c r="G2540" s="326"/>
      <c r="H2540" s="326"/>
      <c r="P2540" s="318"/>
      <c r="Q2540" s="318"/>
      <c r="R2540" s="318"/>
      <c r="S2540" s="318"/>
      <c r="T2540" s="318"/>
      <c r="U2540" s="318"/>
      <c r="V2540" s="318"/>
      <c r="W2540" s="318"/>
      <c r="X2540" s="318"/>
      <c r="Y2540" s="318"/>
      <c r="Z2540" s="318"/>
      <c r="AA2540" s="318"/>
      <c r="AB2540" s="318"/>
      <c r="AC2540" s="318"/>
      <c r="AD2540" s="318"/>
    </row>
    <row r="2541" spans="2:30" s="323" customFormat="1" ht="12" customHeight="1">
      <c r="B2541" s="324"/>
      <c r="C2541" s="325"/>
      <c r="D2541" s="326"/>
      <c r="E2541" s="326"/>
      <c r="F2541" s="326"/>
      <c r="G2541" s="326"/>
      <c r="H2541" s="326"/>
      <c r="P2541" s="318"/>
      <c r="Q2541" s="318"/>
      <c r="R2541" s="318"/>
      <c r="S2541" s="318"/>
      <c r="T2541" s="318"/>
      <c r="U2541" s="318"/>
      <c r="V2541" s="318"/>
      <c r="W2541" s="318"/>
      <c r="X2541" s="318"/>
      <c r="Y2541" s="318"/>
      <c r="Z2541" s="318"/>
      <c r="AA2541" s="318"/>
      <c r="AB2541" s="318"/>
      <c r="AC2541" s="318"/>
      <c r="AD2541" s="318"/>
    </row>
    <row r="2542" spans="2:30" s="323" customFormat="1" ht="12" customHeight="1">
      <c r="B2542" s="324"/>
      <c r="C2542" s="325"/>
      <c r="D2542" s="326"/>
      <c r="E2542" s="326"/>
      <c r="F2542" s="326"/>
      <c r="G2542" s="326"/>
      <c r="H2542" s="326"/>
      <c r="P2542" s="318"/>
      <c r="Q2542" s="318"/>
      <c r="R2542" s="318"/>
      <c r="S2542" s="318"/>
      <c r="T2542" s="318"/>
      <c r="U2542" s="318"/>
      <c r="V2542" s="318"/>
      <c r="W2542" s="318"/>
      <c r="X2542" s="318"/>
      <c r="Y2542" s="318"/>
      <c r="Z2542" s="318"/>
      <c r="AA2542" s="318"/>
      <c r="AB2542" s="318"/>
      <c r="AC2542" s="318"/>
      <c r="AD2542" s="318"/>
    </row>
    <row r="2543" spans="2:30" s="323" customFormat="1" ht="12" customHeight="1">
      <c r="B2543" s="324"/>
      <c r="C2543" s="325"/>
      <c r="D2543" s="326"/>
      <c r="E2543" s="326"/>
      <c r="F2543" s="326"/>
      <c r="G2543" s="326"/>
      <c r="H2543" s="326"/>
      <c r="P2543" s="318"/>
      <c r="Q2543" s="318"/>
      <c r="R2543" s="318"/>
      <c r="S2543" s="318"/>
      <c r="T2543" s="318"/>
      <c r="U2543" s="318"/>
      <c r="V2543" s="318"/>
      <c r="W2543" s="318"/>
      <c r="X2543" s="318"/>
      <c r="Y2543" s="318"/>
      <c r="Z2543" s="318"/>
      <c r="AA2543" s="318"/>
      <c r="AB2543" s="318"/>
      <c r="AC2543" s="318"/>
      <c r="AD2543" s="318"/>
    </row>
    <row r="2544" spans="2:30" s="323" customFormat="1" ht="12" customHeight="1">
      <c r="B2544" s="324"/>
      <c r="C2544" s="325"/>
      <c r="D2544" s="326"/>
      <c r="E2544" s="326"/>
      <c r="F2544" s="326"/>
      <c r="G2544" s="326"/>
      <c r="H2544" s="326"/>
      <c r="P2544" s="318"/>
      <c r="Q2544" s="318"/>
      <c r="R2544" s="318"/>
      <c r="S2544" s="318"/>
      <c r="T2544" s="318"/>
      <c r="U2544" s="318"/>
      <c r="V2544" s="318"/>
      <c r="W2544" s="318"/>
      <c r="X2544" s="318"/>
      <c r="Y2544" s="318"/>
      <c r="Z2544" s="318"/>
      <c r="AA2544" s="318"/>
      <c r="AB2544" s="318"/>
      <c r="AC2544" s="318"/>
      <c r="AD2544" s="318"/>
    </row>
    <row r="2545" spans="2:30" s="323" customFormat="1" ht="12" customHeight="1">
      <c r="B2545" s="324"/>
      <c r="C2545" s="325"/>
      <c r="D2545" s="326"/>
      <c r="E2545" s="326"/>
      <c r="F2545" s="326"/>
      <c r="G2545" s="326"/>
      <c r="H2545" s="326"/>
      <c r="P2545" s="318"/>
      <c r="Q2545" s="318"/>
      <c r="R2545" s="318"/>
      <c r="S2545" s="318"/>
      <c r="T2545" s="318"/>
      <c r="U2545" s="318"/>
      <c r="V2545" s="318"/>
      <c r="W2545" s="318"/>
      <c r="X2545" s="318"/>
      <c r="Y2545" s="318"/>
      <c r="Z2545" s="318"/>
      <c r="AA2545" s="318"/>
      <c r="AB2545" s="318"/>
      <c r="AC2545" s="318"/>
      <c r="AD2545" s="318"/>
    </row>
    <row r="2546" spans="2:30" s="323" customFormat="1" ht="12" customHeight="1">
      <c r="B2546" s="324"/>
      <c r="C2546" s="325"/>
      <c r="D2546" s="326"/>
      <c r="E2546" s="326"/>
      <c r="F2546" s="326"/>
      <c r="G2546" s="326"/>
      <c r="H2546" s="326"/>
      <c r="P2546" s="318"/>
      <c r="Q2546" s="318"/>
      <c r="R2546" s="318"/>
      <c r="S2546" s="318"/>
      <c r="T2546" s="318"/>
      <c r="U2546" s="318"/>
      <c r="V2546" s="318"/>
      <c r="W2546" s="318"/>
      <c r="X2546" s="318"/>
      <c r="Y2546" s="318"/>
      <c r="Z2546" s="318"/>
      <c r="AA2546" s="318"/>
      <c r="AB2546" s="318"/>
      <c r="AC2546" s="318"/>
      <c r="AD2546" s="318"/>
    </row>
    <row r="2547" spans="2:30" s="323" customFormat="1" ht="12" customHeight="1">
      <c r="B2547" s="324"/>
      <c r="C2547" s="325"/>
      <c r="D2547" s="326"/>
      <c r="E2547" s="326"/>
      <c r="F2547" s="326"/>
      <c r="G2547" s="326"/>
      <c r="H2547" s="326"/>
      <c r="P2547" s="318"/>
      <c r="Q2547" s="318"/>
      <c r="R2547" s="318"/>
      <c r="S2547" s="318"/>
      <c r="T2547" s="318"/>
      <c r="U2547" s="318"/>
      <c r="V2547" s="318"/>
      <c r="W2547" s="318"/>
      <c r="X2547" s="318"/>
      <c r="Y2547" s="318"/>
      <c r="Z2547" s="318"/>
      <c r="AA2547" s="318"/>
      <c r="AB2547" s="318"/>
      <c r="AC2547" s="318"/>
      <c r="AD2547" s="318"/>
    </row>
    <row r="2548" spans="2:30" s="323" customFormat="1" ht="12" customHeight="1">
      <c r="B2548" s="324"/>
      <c r="C2548" s="325"/>
      <c r="D2548" s="326"/>
      <c r="E2548" s="326"/>
      <c r="F2548" s="326"/>
      <c r="G2548" s="326"/>
      <c r="H2548" s="326"/>
      <c r="P2548" s="318"/>
      <c r="Q2548" s="318"/>
      <c r="R2548" s="318"/>
      <c r="S2548" s="318"/>
      <c r="T2548" s="318"/>
      <c r="U2548" s="318"/>
      <c r="V2548" s="318"/>
      <c r="W2548" s="318"/>
      <c r="X2548" s="318"/>
      <c r="Y2548" s="318"/>
      <c r="Z2548" s="318"/>
      <c r="AA2548" s="318"/>
      <c r="AB2548" s="318"/>
      <c r="AC2548" s="318"/>
      <c r="AD2548" s="318"/>
    </row>
    <row r="2549" spans="2:30" s="323" customFormat="1" ht="12" customHeight="1">
      <c r="B2549" s="324"/>
      <c r="C2549" s="325"/>
      <c r="D2549" s="326"/>
      <c r="E2549" s="326"/>
      <c r="F2549" s="326"/>
      <c r="G2549" s="326"/>
      <c r="H2549" s="326"/>
      <c r="P2549" s="318"/>
      <c r="Q2549" s="318"/>
      <c r="R2549" s="318"/>
      <c r="S2549" s="318"/>
      <c r="T2549" s="318"/>
      <c r="U2549" s="318"/>
      <c r="V2549" s="318"/>
      <c r="W2549" s="318"/>
      <c r="X2549" s="318"/>
      <c r="Y2549" s="318"/>
      <c r="Z2549" s="318"/>
      <c r="AA2549" s="318"/>
      <c r="AB2549" s="318"/>
      <c r="AC2549" s="318"/>
      <c r="AD2549" s="318"/>
    </row>
    <row r="2550" spans="2:30" s="323" customFormat="1" ht="12" customHeight="1">
      <c r="B2550" s="324"/>
      <c r="C2550" s="325"/>
      <c r="D2550" s="326"/>
      <c r="E2550" s="326"/>
      <c r="F2550" s="326"/>
      <c r="G2550" s="326"/>
      <c r="H2550" s="326"/>
      <c r="P2550" s="318"/>
      <c r="Q2550" s="318"/>
      <c r="R2550" s="318"/>
      <c r="S2550" s="318"/>
      <c r="T2550" s="318"/>
      <c r="U2550" s="318"/>
      <c r="V2550" s="318"/>
      <c r="W2550" s="318"/>
      <c r="X2550" s="318"/>
      <c r="Y2550" s="318"/>
      <c r="Z2550" s="318"/>
      <c r="AA2550" s="318"/>
      <c r="AB2550" s="318"/>
      <c r="AC2550" s="318"/>
      <c r="AD2550" s="318"/>
    </row>
    <row r="2551" spans="2:30" s="323" customFormat="1" ht="12" customHeight="1">
      <c r="B2551" s="324"/>
      <c r="C2551" s="325"/>
      <c r="D2551" s="326"/>
      <c r="E2551" s="326"/>
      <c r="F2551" s="326"/>
      <c r="G2551" s="326"/>
      <c r="H2551" s="326"/>
      <c r="P2551" s="318"/>
      <c r="Q2551" s="318"/>
      <c r="R2551" s="318"/>
      <c r="S2551" s="318"/>
      <c r="T2551" s="318"/>
      <c r="U2551" s="318"/>
      <c r="V2551" s="318"/>
      <c r="W2551" s="318"/>
      <c r="X2551" s="318"/>
      <c r="Y2551" s="318"/>
      <c r="Z2551" s="318"/>
      <c r="AA2551" s="318"/>
      <c r="AB2551" s="318"/>
      <c r="AC2551" s="318"/>
      <c r="AD2551" s="318"/>
    </row>
    <row r="2552" spans="2:30" s="323" customFormat="1" ht="12" customHeight="1">
      <c r="B2552" s="324"/>
      <c r="C2552" s="325"/>
      <c r="D2552" s="326"/>
      <c r="E2552" s="326"/>
      <c r="F2552" s="326"/>
      <c r="G2552" s="326"/>
      <c r="H2552" s="326"/>
      <c r="P2552" s="318"/>
      <c r="Q2552" s="318"/>
      <c r="R2552" s="318"/>
      <c r="S2552" s="318"/>
      <c r="T2552" s="318"/>
      <c r="U2552" s="318"/>
      <c r="V2552" s="318"/>
      <c r="W2552" s="318"/>
      <c r="X2552" s="318"/>
      <c r="Y2552" s="318"/>
      <c r="Z2552" s="318"/>
      <c r="AA2552" s="318"/>
      <c r="AB2552" s="318"/>
      <c r="AC2552" s="318"/>
      <c r="AD2552" s="318"/>
    </row>
    <row r="2553" spans="2:30" s="323" customFormat="1" ht="12" customHeight="1">
      <c r="B2553" s="324"/>
      <c r="C2553" s="325"/>
      <c r="D2553" s="326"/>
      <c r="E2553" s="326"/>
      <c r="F2553" s="326"/>
      <c r="G2553" s="326"/>
      <c r="H2553" s="326"/>
      <c r="P2553" s="318"/>
      <c r="Q2553" s="318"/>
      <c r="R2553" s="318"/>
      <c r="S2553" s="318"/>
      <c r="T2553" s="318"/>
      <c r="U2553" s="318"/>
      <c r="V2553" s="318"/>
      <c r="W2553" s="318"/>
      <c r="X2553" s="318"/>
      <c r="Y2553" s="318"/>
      <c r="Z2553" s="318"/>
      <c r="AA2553" s="318"/>
      <c r="AB2553" s="318"/>
      <c r="AC2553" s="318"/>
      <c r="AD2553" s="318"/>
    </row>
    <row r="2554" spans="2:30" s="323" customFormat="1" ht="12" customHeight="1">
      <c r="B2554" s="324"/>
      <c r="C2554" s="325"/>
      <c r="D2554" s="326"/>
      <c r="E2554" s="326"/>
      <c r="F2554" s="326"/>
      <c r="G2554" s="326"/>
      <c r="H2554" s="326"/>
      <c r="P2554" s="318"/>
      <c r="Q2554" s="318"/>
      <c r="R2554" s="318"/>
      <c r="S2554" s="318"/>
      <c r="T2554" s="318"/>
      <c r="U2554" s="318"/>
      <c r="V2554" s="318"/>
      <c r="W2554" s="318"/>
      <c r="X2554" s="318"/>
      <c r="Y2554" s="318"/>
      <c r="Z2554" s="318"/>
      <c r="AA2554" s="318"/>
      <c r="AB2554" s="318"/>
      <c r="AC2554" s="318"/>
      <c r="AD2554" s="318"/>
    </row>
    <row r="2555" spans="2:30" s="323" customFormat="1" ht="12" customHeight="1">
      <c r="B2555" s="324"/>
      <c r="C2555" s="325"/>
      <c r="D2555" s="326"/>
      <c r="E2555" s="326"/>
      <c r="F2555" s="326"/>
      <c r="G2555" s="326"/>
      <c r="H2555" s="326"/>
      <c r="P2555" s="318"/>
      <c r="Q2555" s="318"/>
      <c r="R2555" s="318"/>
      <c r="S2555" s="318"/>
      <c r="T2555" s="318"/>
      <c r="U2555" s="318"/>
      <c r="V2555" s="318"/>
      <c r="W2555" s="318"/>
      <c r="X2555" s="318"/>
      <c r="Y2555" s="318"/>
      <c r="Z2555" s="318"/>
      <c r="AA2555" s="318"/>
      <c r="AB2555" s="318"/>
      <c r="AC2555" s="318"/>
      <c r="AD2555" s="318"/>
    </row>
    <row r="2556" spans="2:30" s="323" customFormat="1" ht="12" customHeight="1">
      <c r="B2556" s="324"/>
      <c r="C2556" s="325"/>
      <c r="D2556" s="326"/>
      <c r="E2556" s="326"/>
      <c r="F2556" s="326"/>
      <c r="G2556" s="326"/>
      <c r="H2556" s="326"/>
      <c r="P2556" s="318"/>
      <c r="Q2556" s="318"/>
      <c r="R2556" s="318"/>
      <c r="S2556" s="318"/>
      <c r="T2556" s="318"/>
      <c r="U2556" s="318"/>
      <c r="V2556" s="318"/>
      <c r="W2556" s="318"/>
      <c r="X2556" s="318"/>
      <c r="Y2556" s="318"/>
      <c r="Z2556" s="318"/>
      <c r="AA2556" s="318"/>
      <c r="AB2556" s="318"/>
      <c r="AC2556" s="318"/>
      <c r="AD2556" s="318"/>
    </row>
    <row r="2557" spans="2:30" s="323" customFormat="1" ht="12" customHeight="1">
      <c r="B2557" s="324"/>
      <c r="C2557" s="325"/>
      <c r="D2557" s="326"/>
      <c r="E2557" s="326"/>
      <c r="F2557" s="326"/>
      <c r="G2557" s="326"/>
      <c r="H2557" s="326"/>
      <c r="P2557" s="318"/>
      <c r="Q2557" s="318"/>
      <c r="R2557" s="318"/>
      <c r="S2557" s="318"/>
      <c r="T2557" s="318"/>
      <c r="U2557" s="318"/>
      <c r="V2557" s="318"/>
      <c r="W2557" s="318"/>
      <c r="X2557" s="318"/>
      <c r="Y2557" s="318"/>
      <c r="Z2557" s="318"/>
      <c r="AA2557" s="318"/>
      <c r="AB2557" s="318"/>
      <c r="AC2557" s="318"/>
      <c r="AD2557" s="318"/>
    </row>
    <row r="2558" spans="2:30" s="323" customFormat="1" ht="12" customHeight="1">
      <c r="B2558" s="324"/>
      <c r="C2558" s="325"/>
      <c r="D2558" s="326"/>
      <c r="E2558" s="326"/>
      <c r="F2558" s="326"/>
      <c r="G2558" s="326"/>
      <c r="H2558" s="326"/>
      <c r="P2558" s="318"/>
      <c r="Q2558" s="318"/>
      <c r="R2558" s="318"/>
      <c r="S2558" s="318"/>
      <c r="T2558" s="318"/>
      <c r="U2558" s="318"/>
      <c r="V2558" s="318"/>
      <c r="W2558" s="318"/>
      <c r="X2558" s="318"/>
      <c r="Y2558" s="318"/>
      <c r="Z2558" s="318"/>
      <c r="AA2558" s="318"/>
      <c r="AB2558" s="318"/>
      <c r="AC2558" s="318"/>
      <c r="AD2558" s="318"/>
    </row>
    <row r="2559" spans="2:30" s="323" customFormat="1" ht="12" customHeight="1">
      <c r="B2559" s="324"/>
      <c r="C2559" s="325"/>
      <c r="D2559" s="326"/>
      <c r="E2559" s="326"/>
      <c r="F2559" s="326"/>
      <c r="G2559" s="326"/>
      <c r="H2559" s="326"/>
      <c r="P2559" s="318"/>
      <c r="Q2559" s="318"/>
      <c r="R2559" s="318"/>
      <c r="S2559" s="318"/>
      <c r="T2559" s="318"/>
      <c r="U2559" s="318"/>
      <c r="V2559" s="318"/>
      <c r="W2559" s="318"/>
      <c r="X2559" s="318"/>
      <c r="Y2559" s="318"/>
      <c r="Z2559" s="318"/>
      <c r="AA2559" s="318"/>
      <c r="AB2559" s="318"/>
      <c r="AC2559" s="318"/>
      <c r="AD2559" s="318"/>
    </row>
    <row r="2560" spans="2:30" s="323" customFormat="1" ht="12" customHeight="1">
      <c r="B2560" s="324"/>
      <c r="C2560" s="325"/>
      <c r="D2560" s="326"/>
      <c r="E2560" s="326"/>
      <c r="F2560" s="326"/>
      <c r="G2560" s="326"/>
      <c r="H2560" s="326"/>
      <c r="P2560" s="318"/>
      <c r="Q2560" s="318"/>
      <c r="R2560" s="318"/>
      <c r="S2560" s="318"/>
      <c r="T2560" s="318"/>
      <c r="U2560" s="318"/>
      <c r="V2560" s="318"/>
      <c r="W2560" s="318"/>
      <c r="X2560" s="318"/>
      <c r="Y2560" s="318"/>
      <c r="Z2560" s="318"/>
      <c r="AA2560" s="318"/>
      <c r="AB2560" s="318"/>
      <c r="AC2560" s="318"/>
      <c r="AD2560" s="318"/>
    </row>
    <row r="2561" spans="2:30" s="323" customFormat="1" ht="12" customHeight="1">
      <c r="B2561" s="324"/>
      <c r="C2561" s="325"/>
      <c r="D2561" s="326"/>
      <c r="E2561" s="326"/>
      <c r="F2561" s="326"/>
      <c r="G2561" s="326"/>
      <c r="H2561" s="326"/>
      <c r="P2561" s="318"/>
      <c r="Q2561" s="318"/>
      <c r="R2561" s="318"/>
      <c r="S2561" s="318"/>
      <c r="T2561" s="318"/>
      <c r="U2561" s="318"/>
      <c r="V2561" s="318"/>
      <c r="W2561" s="318"/>
      <c r="X2561" s="318"/>
      <c r="Y2561" s="318"/>
      <c r="Z2561" s="318"/>
      <c r="AA2561" s="318"/>
      <c r="AB2561" s="318"/>
      <c r="AC2561" s="318"/>
      <c r="AD2561" s="318"/>
    </row>
    <row r="2562" spans="2:30" s="323" customFormat="1" ht="12" customHeight="1">
      <c r="B2562" s="324"/>
      <c r="C2562" s="325"/>
      <c r="D2562" s="326"/>
      <c r="E2562" s="326"/>
      <c r="F2562" s="326"/>
      <c r="G2562" s="326"/>
      <c r="H2562" s="326"/>
      <c r="P2562" s="318"/>
      <c r="Q2562" s="318"/>
      <c r="R2562" s="318"/>
      <c r="S2562" s="318"/>
      <c r="T2562" s="318"/>
      <c r="U2562" s="318"/>
      <c r="V2562" s="318"/>
      <c r="W2562" s="318"/>
      <c r="X2562" s="318"/>
      <c r="Y2562" s="318"/>
      <c r="Z2562" s="318"/>
      <c r="AA2562" s="318"/>
      <c r="AB2562" s="318"/>
      <c r="AC2562" s="318"/>
      <c r="AD2562" s="318"/>
    </row>
    <row r="2563" spans="2:30" s="323" customFormat="1" ht="12" customHeight="1">
      <c r="B2563" s="324"/>
      <c r="C2563" s="325"/>
      <c r="D2563" s="326"/>
      <c r="E2563" s="326"/>
      <c r="F2563" s="326"/>
      <c r="G2563" s="326"/>
      <c r="H2563" s="326"/>
      <c r="P2563" s="318"/>
      <c r="Q2563" s="318"/>
      <c r="R2563" s="318"/>
      <c r="S2563" s="318"/>
      <c r="T2563" s="318"/>
      <c r="U2563" s="318"/>
      <c r="V2563" s="318"/>
      <c r="W2563" s="318"/>
      <c r="X2563" s="318"/>
      <c r="Y2563" s="318"/>
      <c r="Z2563" s="318"/>
      <c r="AA2563" s="318"/>
      <c r="AB2563" s="318"/>
      <c r="AC2563" s="318"/>
      <c r="AD2563" s="318"/>
    </row>
    <row r="2564" spans="2:30" s="323" customFormat="1" ht="12" customHeight="1">
      <c r="B2564" s="324"/>
      <c r="C2564" s="325"/>
      <c r="D2564" s="326"/>
      <c r="E2564" s="326"/>
      <c r="F2564" s="326"/>
      <c r="G2564" s="326"/>
      <c r="H2564" s="326"/>
      <c r="P2564" s="318"/>
      <c r="Q2564" s="318"/>
      <c r="R2564" s="318"/>
      <c r="S2564" s="318"/>
      <c r="T2564" s="318"/>
      <c r="U2564" s="318"/>
      <c r="V2564" s="318"/>
      <c r="W2564" s="318"/>
      <c r="X2564" s="318"/>
      <c r="Y2564" s="318"/>
      <c r="Z2564" s="318"/>
      <c r="AA2564" s="318"/>
      <c r="AB2564" s="318"/>
      <c r="AC2564" s="318"/>
      <c r="AD2564" s="318"/>
    </row>
    <row r="2565" spans="2:30" s="323" customFormat="1" ht="12" customHeight="1">
      <c r="B2565" s="324"/>
      <c r="C2565" s="325"/>
      <c r="D2565" s="326"/>
      <c r="E2565" s="326"/>
      <c r="F2565" s="326"/>
      <c r="G2565" s="326"/>
      <c r="H2565" s="326"/>
      <c r="P2565" s="318"/>
      <c r="Q2565" s="318"/>
      <c r="R2565" s="318"/>
      <c r="S2565" s="318"/>
      <c r="T2565" s="318"/>
      <c r="U2565" s="318"/>
      <c r="V2565" s="318"/>
      <c r="W2565" s="318"/>
      <c r="X2565" s="318"/>
      <c r="Y2565" s="318"/>
      <c r="Z2565" s="318"/>
      <c r="AA2565" s="318"/>
      <c r="AB2565" s="318"/>
      <c r="AC2565" s="318"/>
      <c r="AD2565" s="318"/>
    </row>
    <row r="2566" spans="2:30" s="323" customFormat="1" ht="12" customHeight="1">
      <c r="B2566" s="324"/>
      <c r="C2566" s="325"/>
      <c r="D2566" s="326"/>
      <c r="E2566" s="326"/>
      <c r="F2566" s="326"/>
      <c r="G2566" s="326"/>
      <c r="H2566" s="326"/>
      <c r="P2566" s="318"/>
      <c r="Q2566" s="318"/>
      <c r="R2566" s="318"/>
      <c r="S2566" s="318"/>
      <c r="T2566" s="318"/>
      <c r="U2566" s="318"/>
      <c r="V2566" s="318"/>
      <c r="W2566" s="318"/>
      <c r="X2566" s="318"/>
      <c r="Y2566" s="318"/>
      <c r="Z2566" s="318"/>
      <c r="AA2566" s="318"/>
      <c r="AB2566" s="318"/>
      <c r="AC2566" s="318"/>
      <c r="AD2566" s="318"/>
    </row>
    <row r="2567" spans="2:30" s="323" customFormat="1" ht="12" customHeight="1">
      <c r="B2567" s="324"/>
      <c r="C2567" s="325"/>
      <c r="D2567" s="326"/>
      <c r="E2567" s="326"/>
      <c r="F2567" s="326"/>
      <c r="G2567" s="326"/>
      <c r="H2567" s="326"/>
      <c r="P2567" s="318"/>
      <c r="Q2567" s="318"/>
      <c r="R2567" s="318"/>
      <c r="S2567" s="318"/>
      <c r="T2567" s="318"/>
      <c r="U2567" s="318"/>
      <c r="V2567" s="318"/>
      <c r="W2567" s="318"/>
      <c r="X2567" s="318"/>
      <c r="Y2567" s="318"/>
      <c r="Z2567" s="318"/>
      <c r="AA2567" s="318"/>
      <c r="AB2567" s="318"/>
      <c r="AC2567" s="318"/>
      <c r="AD2567" s="318"/>
    </row>
    <row r="2568" spans="2:30" s="323" customFormat="1" ht="12" customHeight="1">
      <c r="B2568" s="324"/>
      <c r="C2568" s="325"/>
      <c r="D2568" s="326"/>
      <c r="E2568" s="326"/>
      <c r="F2568" s="326"/>
      <c r="G2568" s="326"/>
      <c r="H2568" s="326"/>
      <c r="P2568" s="318"/>
      <c r="Q2568" s="318"/>
      <c r="R2568" s="318"/>
      <c r="S2568" s="318"/>
      <c r="T2568" s="318"/>
      <c r="U2568" s="318"/>
      <c r="V2568" s="318"/>
      <c r="W2568" s="318"/>
      <c r="X2568" s="318"/>
      <c r="Y2568" s="318"/>
      <c r="Z2568" s="318"/>
      <c r="AA2568" s="318"/>
      <c r="AB2568" s="318"/>
      <c r="AC2568" s="318"/>
      <c r="AD2568" s="318"/>
    </row>
    <row r="2569" spans="2:30" s="323" customFormat="1" ht="12" customHeight="1">
      <c r="B2569" s="324"/>
      <c r="C2569" s="325"/>
      <c r="D2569" s="326"/>
      <c r="E2569" s="326"/>
      <c r="F2569" s="326"/>
      <c r="G2569" s="326"/>
      <c r="H2569" s="326"/>
      <c r="P2569" s="318"/>
      <c r="Q2569" s="318"/>
      <c r="R2569" s="318"/>
      <c r="S2569" s="318"/>
      <c r="T2569" s="318"/>
      <c r="U2569" s="318"/>
      <c r="V2569" s="318"/>
      <c r="W2569" s="318"/>
      <c r="X2569" s="318"/>
      <c r="Y2569" s="318"/>
      <c r="Z2569" s="318"/>
      <c r="AA2569" s="318"/>
      <c r="AB2569" s="318"/>
      <c r="AC2569" s="318"/>
      <c r="AD2569" s="318"/>
    </row>
    <row r="2570" spans="2:30" s="323" customFormat="1" ht="12" customHeight="1">
      <c r="B2570" s="324"/>
      <c r="C2570" s="325"/>
      <c r="D2570" s="326"/>
      <c r="E2570" s="326"/>
      <c r="F2570" s="326"/>
      <c r="G2570" s="326"/>
      <c r="H2570" s="326"/>
      <c r="P2570" s="318"/>
      <c r="Q2570" s="318"/>
      <c r="R2570" s="318"/>
      <c r="S2570" s="318"/>
      <c r="T2570" s="318"/>
      <c r="U2570" s="318"/>
      <c r="V2570" s="318"/>
      <c r="W2570" s="318"/>
      <c r="X2570" s="318"/>
      <c r="Y2570" s="318"/>
      <c r="Z2570" s="318"/>
      <c r="AA2570" s="318"/>
      <c r="AB2570" s="318"/>
      <c r="AC2570" s="318"/>
      <c r="AD2570" s="318"/>
    </row>
    <row r="2571" spans="2:30" s="323" customFormat="1" ht="12" customHeight="1">
      <c r="B2571" s="324"/>
      <c r="C2571" s="325"/>
      <c r="D2571" s="326"/>
      <c r="E2571" s="326"/>
      <c r="F2571" s="326"/>
      <c r="G2571" s="326"/>
      <c r="H2571" s="326"/>
      <c r="P2571" s="318"/>
      <c r="Q2571" s="318"/>
      <c r="R2571" s="318"/>
      <c r="S2571" s="318"/>
      <c r="T2571" s="318"/>
      <c r="U2571" s="318"/>
      <c r="V2571" s="318"/>
      <c r="W2571" s="318"/>
      <c r="X2571" s="318"/>
      <c r="Y2571" s="318"/>
      <c r="Z2571" s="318"/>
      <c r="AA2571" s="318"/>
      <c r="AB2571" s="318"/>
      <c r="AC2571" s="318"/>
      <c r="AD2571" s="318"/>
    </row>
    <row r="2572" spans="2:30" s="323" customFormat="1" ht="12" customHeight="1">
      <c r="B2572" s="324"/>
      <c r="C2572" s="325"/>
      <c r="D2572" s="326"/>
      <c r="E2572" s="326"/>
      <c r="F2572" s="326"/>
      <c r="G2572" s="326"/>
      <c r="H2572" s="326"/>
      <c r="P2572" s="318"/>
      <c r="Q2572" s="318"/>
      <c r="R2572" s="318"/>
      <c r="S2572" s="318"/>
      <c r="T2572" s="318"/>
      <c r="U2572" s="318"/>
      <c r="V2572" s="318"/>
      <c r="W2572" s="318"/>
      <c r="X2572" s="318"/>
      <c r="Y2572" s="318"/>
      <c r="Z2572" s="318"/>
      <c r="AA2572" s="318"/>
      <c r="AB2572" s="318"/>
      <c r="AC2572" s="318"/>
      <c r="AD2572" s="318"/>
    </row>
    <row r="2573" spans="2:30" s="323" customFormat="1" ht="12" customHeight="1">
      <c r="B2573" s="324"/>
      <c r="C2573" s="325"/>
      <c r="D2573" s="326"/>
      <c r="E2573" s="326"/>
      <c r="F2573" s="326"/>
      <c r="G2573" s="326"/>
      <c r="H2573" s="326"/>
      <c r="P2573" s="318"/>
      <c r="Q2573" s="318"/>
      <c r="R2573" s="318"/>
      <c r="S2573" s="318"/>
      <c r="T2573" s="318"/>
      <c r="U2573" s="318"/>
      <c r="V2573" s="318"/>
      <c r="W2573" s="318"/>
      <c r="X2573" s="318"/>
      <c r="Y2573" s="318"/>
      <c r="Z2573" s="318"/>
      <c r="AA2573" s="318"/>
      <c r="AB2573" s="318"/>
      <c r="AC2573" s="318"/>
      <c r="AD2573" s="318"/>
    </row>
    <row r="2574" spans="2:30" s="323" customFormat="1" ht="12" customHeight="1">
      <c r="B2574" s="324"/>
      <c r="C2574" s="325"/>
      <c r="D2574" s="326"/>
      <c r="E2574" s="326"/>
      <c r="F2574" s="326"/>
      <c r="G2574" s="326"/>
      <c r="H2574" s="326"/>
      <c r="P2574" s="318"/>
      <c r="Q2574" s="318"/>
      <c r="R2574" s="318"/>
      <c r="S2574" s="318"/>
      <c r="T2574" s="318"/>
      <c r="U2574" s="318"/>
      <c r="V2574" s="318"/>
      <c r="W2574" s="318"/>
      <c r="X2574" s="318"/>
      <c r="Y2574" s="318"/>
      <c r="Z2574" s="318"/>
      <c r="AA2574" s="318"/>
      <c r="AB2574" s="318"/>
      <c r="AC2574" s="318"/>
      <c r="AD2574" s="318"/>
    </row>
    <row r="2575" spans="2:30" s="323" customFormat="1" ht="12" customHeight="1">
      <c r="B2575" s="324"/>
      <c r="C2575" s="325"/>
      <c r="D2575" s="326"/>
      <c r="E2575" s="326"/>
      <c r="F2575" s="326"/>
      <c r="G2575" s="326"/>
      <c r="H2575" s="326"/>
      <c r="P2575" s="318"/>
      <c r="Q2575" s="318"/>
      <c r="R2575" s="318"/>
      <c r="S2575" s="318"/>
      <c r="T2575" s="318"/>
      <c r="U2575" s="318"/>
      <c r="V2575" s="318"/>
      <c r="W2575" s="318"/>
      <c r="X2575" s="318"/>
      <c r="Y2575" s="318"/>
      <c r="Z2575" s="318"/>
      <c r="AA2575" s="318"/>
      <c r="AB2575" s="318"/>
      <c r="AC2575" s="318"/>
      <c r="AD2575" s="318"/>
    </row>
    <row r="2576" spans="2:30" s="323" customFormat="1" ht="12" customHeight="1">
      <c r="B2576" s="324"/>
      <c r="C2576" s="325"/>
      <c r="D2576" s="326"/>
      <c r="E2576" s="326"/>
      <c r="F2576" s="326"/>
      <c r="G2576" s="326"/>
      <c r="H2576" s="326"/>
      <c r="P2576" s="318"/>
      <c r="Q2576" s="318"/>
      <c r="R2576" s="318"/>
      <c r="S2576" s="318"/>
      <c r="T2576" s="318"/>
      <c r="U2576" s="318"/>
      <c r="V2576" s="318"/>
      <c r="W2576" s="318"/>
      <c r="X2576" s="318"/>
      <c r="Y2576" s="318"/>
      <c r="Z2576" s="318"/>
      <c r="AA2576" s="318"/>
      <c r="AB2576" s="318"/>
      <c r="AC2576" s="318"/>
      <c r="AD2576" s="318"/>
    </row>
    <row r="2577" spans="2:30" s="323" customFormat="1" ht="12" customHeight="1">
      <c r="B2577" s="324"/>
      <c r="C2577" s="325"/>
      <c r="D2577" s="326"/>
      <c r="E2577" s="326"/>
      <c r="F2577" s="326"/>
      <c r="G2577" s="326"/>
      <c r="H2577" s="326"/>
      <c r="P2577" s="318"/>
      <c r="Q2577" s="318"/>
      <c r="R2577" s="318"/>
      <c r="S2577" s="318"/>
      <c r="T2577" s="318"/>
      <c r="U2577" s="318"/>
      <c r="V2577" s="318"/>
      <c r="W2577" s="318"/>
      <c r="X2577" s="318"/>
      <c r="Y2577" s="318"/>
      <c r="Z2577" s="318"/>
      <c r="AA2577" s="318"/>
      <c r="AB2577" s="318"/>
      <c r="AC2577" s="318"/>
      <c r="AD2577" s="318"/>
    </row>
    <row r="2578" spans="2:30" s="323" customFormat="1" ht="12" customHeight="1">
      <c r="B2578" s="324"/>
      <c r="C2578" s="325"/>
      <c r="D2578" s="326"/>
      <c r="E2578" s="326"/>
      <c r="F2578" s="326"/>
      <c r="G2578" s="326"/>
      <c r="H2578" s="326"/>
      <c r="P2578" s="318"/>
      <c r="Q2578" s="318"/>
      <c r="R2578" s="318"/>
      <c r="S2578" s="318"/>
      <c r="T2578" s="318"/>
      <c r="U2578" s="318"/>
      <c r="V2578" s="318"/>
      <c r="W2578" s="318"/>
      <c r="X2578" s="318"/>
      <c r="Y2578" s="318"/>
      <c r="Z2578" s="318"/>
      <c r="AA2578" s="318"/>
      <c r="AB2578" s="318"/>
      <c r="AC2578" s="318"/>
      <c r="AD2578" s="318"/>
    </row>
    <row r="2579" spans="2:30" s="323" customFormat="1" ht="12" customHeight="1">
      <c r="B2579" s="324"/>
      <c r="C2579" s="325"/>
      <c r="D2579" s="326"/>
      <c r="E2579" s="326"/>
      <c r="F2579" s="326"/>
      <c r="G2579" s="326"/>
      <c r="H2579" s="326"/>
      <c r="P2579" s="318"/>
      <c r="Q2579" s="318"/>
      <c r="R2579" s="318"/>
      <c r="S2579" s="318"/>
      <c r="T2579" s="318"/>
      <c r="U2579" s="318"/>
      <c r="V2579" s="318"/>
      <c r="W2579" s="318"/>
      <c r="X2579" s="318"/>
      <c r="Y2579" s="318"/>
      <c r="Z2579" s="318"/>
      <c r="AA2579" s="318"/>
      <c r="AB2579" s="318"/>
      <c r="AC2579" s="318"/>
      <c r="AD2579" s="318"/>
    </row>
    <row r="2580" spans="2:30" s="323" customFormat="1" ht="12" customHeight="1">
      <c r="B2580" s="324"/>
      <c r="C2580" s="325"/>
      <c r="D2580" s="326"/>
      <c r="E2580" s="326"/>
      <c r="F2580" s="326"/>
      <c r="G2580" s="326"/>
      <c r="H2580" s="326"/>
      <c r="P2580" s="318"/>
      <c r="Q2580" s="318"/>
      <c r="R2580" s="318"/>
      <c r="S2580" s="318"/>
      <c r="T2580" s="318"/>
      <c r="U2580" s="318"/>
      <c r="V2580" s="318"/>
      <c r="W2580" s="318"/>
      <c r="X2580" s="318"/>
      <c r="Y2580" s="318"/>
      <c r="Z2580" s="318"/>
      <c r="AA2580" s="318"/>
      <c r="AB2580" s="318"/>
      <c r="AC2580" s="318"/>
      <c r="AD2580" s="318"/>
    </row>
    <row r="2581" spans="2:30" s="323" customFormat="1" ht="12" customHeight="1">
      <c r="B2581" s="324"/>
      <c r="C2581" s="325"/>
      <c r="D2581" s="326"/>
      <c r="E2581" s="326"/>
      <c r="F2581" s="326"/>
      <c r="G2581" s="326"/>
      <c r="H2581" s="326"/>
      <c r="P2581" s="318"/>
      <c r="Q2581" s="318"/>
      <c r="R2581" s="318"/>
      <c r="S2581" s="318"/>
      <c r="T2581" s="318"/>
      <c r="U2581" s="318"/>
      <c r="V2581" s="318"/>
      <c r="W2581" s="318"/>
      <c r="X2581" s="318"/>
      <c r="Y2581" s="318"/>
      <c r="Z2581" s="318"/>
      <c r="AA2581" s="318"/>
      <c r="AB2581" s="318"/>
      <c r="AC2581" s="318"/>
      <c r="AD2581" s="318"/>
    </row>
    <row r="2582" spans="2:30" s="323" customFormat="1" ht="12" customHeight="1">
      <c r="B2582" s="324"/>
      <c r="C2582" s="325"/>
      <c r="D2582" s="326"/>
      <c r="E2582" s="326"/>
      <c r="F2582" s="326"/>
      <c r="G2582" s="326"/>
      <c r="H2582" s="326"/>
      <c r="P2582" s="318"/>
      <c r="Q2582" s="318"/>
      <c r="R2582" s="318"/>
      <c r="S2582" s="318"/>
      <c r="T2582" s="318"/>
      <c r="U2582" s="318"/>
      <c r="V2582" s="318"/>
      <c r="W2582" s="318"/>
      <c r="X2582" s="318"/>
      <c r="Y2582" s="318"/>
      <c r="Z2582" s="318"/>
      <c r="AA2582" s="318"/>
      <c r="AB2582" s="318"/>
      <c r="AC2582" s="318"/>
      <c r="AD2582" s="318"/>
    </row>
    <row r="2583" spans="2:30" s="323" customFormat="1" ht="12" customHeight="1">
      <c r="B2583" s="324"/>
      <c r="C2583" s="325"/>
      <c r="D2583" s="326"/>
      <c r="E2583" s="326"/>
      <c r="F2583" s="326"/>
      <c r="G2583" s="326"/>
      <c r="H2583" s="326"/>
      <c r="P2583" s="318"/>
      <c r="Q2583" s="318"/>
      <c r="R2583" s="318"/>
      <c r="S2583" s="318"/>
      <c r="T2583" s="318"/>
      <c r="U2583" s="318"/>
      <c r="V2583" s="318"/>
      <c r="W2583" s="318"/>
      <c r="X2583" s="318"/>
      <c r="Y2583" s="318"/>
      <c r="Z2583" s="318"/>
      <c r="AA2583" s="318"/>
      <c r="AB2583" s="318"/>
      <c r="AC2583" s="318"/>
      <c r="AD2583" s="318"/>
    </row>
    <row r="2584" spans="2:30" s="323" customFormat="1" ht="12" customHeight="1">
      <c r="B2584" s="324"/>
      <c r="C2584" s="325"/>
      <c r="D2584" s="326"/>
      <c r="E2584" s="326"/>
      <c r="F2584" s="326"/>
      <c r="G2584" s="326"/>
      <c r="H2584" s="326"/>
      <c r="P2584" s="318"/>
      <c r="Q2584" s="318"/>
      <c r="R2584" s="318"/>
      <c r="S2584" s="318"/>
      <c r="T2584" s="318"/>
      <c r="U2584" s="318"/>
      <c r="V2584" s="318"/>
      <c r="W2584" s="318"/>
      <c r="X2584" s="318"/>
      <c r="Y2584" s="318"/>
      <c r="Z2584" s="318"/>
      <c r="AA2584" s="318"/>
      <c r="AB2584" s="318"/>
      <c r="AC2584" s="318"/>
      <c r="AD2584" s="318"/>
    </row>
    <row r="2585" spans="2:30" s="323" customFormat="1" ht="12" customHeight="1">
      <c r="B2585" s="324"/>
      <c r="C2585" s="325"/>
      <c r="D2585" s="326"/>
      <c r="E2585" s="326"/>
      <c r="F2585" s="326"/>
      <c r="G2585" s="326"/>
      <c r="H2585" s="326"/>
      <c r="P2585" s="318"/>
      <c r="Q2585" s="318"/>
      <c r="R2585" s="318"/>
      <c r="S2585" s="318"/>
      <c r="T2585" s="318"/>
      <c r="U2585" s="318"/>
      <c r="V2585" s="318"/>
      <c r="W2585" s="318"/>
      <c r="X2585" s="318"/>
      <c r="Y2585" s="318"/>
      <c r="Z2585" s="318"/>
      <c r="AA2585" s="318"/>
      <c r="AB2585" s="318"/>
      <c r="AC2585" s="318"/>
      <c r="AD2585" s="318"/>
    </row>
    <row r="2586" spans="2:30" s="323" customFormat="1" ht="12" customHeight="1">
      <c r="B2586" s="324"/>
      <c r="C2586" s="325"/>
      <c r="D2586" s="326"/>
      <c r="E2586" s="326"/>
      <c r="F2586" s="326"/>
      <c r="G2586" s="326"/>
      <c r="H2586" s="326"/>
      <c r="P2586" s="318"/>
      <c r="Q2586" s="318"/>
      <c r="R2586" s="318"/>
      <c r="S2586" s="318"/>
      <c r="T2586" s="318"/>
      <c r="U2586" s="318"/>
      <c r="V2586" s="318"/>
      <c r="W2586" s="318"/>
      <c r="X2586" s="318"/>
      <c r="Y2586" s="318"/>
      <c r="Z2586" s="318"/>
      <c r="AA2586" s="318"/>
      <c r="AB2586" s="318"/>
      <c r="AC2586" s="318"/>
      <c r="AD2586" s="318"/>
    </row>
    <row r="2587" spans="2:30" s="323" customFormat="1" ht="12" customHeight="1">
      <c r="B2587" s="324"/>
      <c r="C2587" s="325"/>
      <c r="D2587" s="326"/>
      <c r="E2587" s="326"/>
      <c r="F2587" s="326"/>
      <c r="G2587" s="326"/>
      <c r="H2587" s="326"/>
      <c r="P2587" s="318"/>
      <c r="Q2587" s="318"/>
      <c r="R2587" s="318"/>
      <c r="S2587" s="318"/>
      <c r="T2587" s="318"/>
      <c r="U2587" s="318"/>
      <c r="V2587" s="318"/>
      <c r="W2587" s="318"/>
      <c r="X2587" s="318"/>
      <c r="Y2587" s="318"/>
      <c r="Z2587" s="318"/>
      <c r="AA2587" s="318"/>
      <c r="AB2587" s="318"/>
      <c r="AC2587" s="318"/>
      <c r="AD2587" s="318"/>
    </row>
    <row r="2588" spans="2:30" s="323" customFormat="1" ht="12" customHeight="1">
      <c r="B2588" s="324"/>
      <c r="C2588" s="325"/>
      <c r="D2588" s="326"/>
      <c r="E2588" s="326"/>
      <c r="F2588" s="326"/>
      <c r="G2588" s="326"/>
      <c r="H2588" s="326"/>
      <c r="P2588" s="318"/>
      <c r="Q2588" s="318"/>
      <c r="R2588" s="318"/>
      <c r="S2588" s="318"/>
      <c r="T2588" s="318"/>
      <c r="U2588" s="318"/>
      <c r="V2588" s="318"/>
      <c r="W2588" s="318"/>
      <c r="X2588" s="318"/>
      <c r="Y2588" s="318"/>
      <c r="Z2588" s="318"/>
      <c r="AA2588" s="318"/>
      <c r="AB2588" s="318"/>
      <c r="AC2588" s="318"/>
      <c r="AD2588" s="318"/>
    </row>
    <row r="2589" spans="2:30" s="323" customFormat="1" ht="12" customHeight="1">
      <c r="B2589" s="324"/>
      <c r="C2589" s="325"/>
      <c r="D2589" s="326"/>
      <c r="E2589" s="326"/>
      <c r="F2589" s="326"/>
      <c r="G2589" s="326"/>
      <c r="H2589" s="326"/>
      <c r="P2589" s="318"/>
      <c r="Q2589" s="318"/>
      <c r="R2589" s="318"/>
      <c r="S2589" s="318"/>
      <c r="T2589" s="318"/>
      <c r="U2589" s="318"/>
      <c r="V2589" s="318"/>
      <c r="W2589" s="318"/>
      <c r="X2589" s="318"/>
      <c r="Y2589" s="318"/>
      <c r="Z2589" s="318"/>
      <c r="AA2589" s="318"/>
      <c r="AB2589" s="318"/>
      <c r="AC2589" s="318"/>
      <c r="AD2589" s="318"/>
    </row>
    <row r="2590" spans="2:30" s="323" customFormat="1" ht="12" customHeight="1">
      <c r="B2590" s="324"/>
      <c r="C2590" s="325"/>
      <c r="D2590" s="326"/>
      <c r="E2590" s="326"/>
      <c r="F2590" s="326"/>
      <c r="G2590" s="326"/>
      <c r="H2590" s="326"/>
      <c r="P2590" s="318"/>
      <c r="Q2590" s="318"/>
      <c r="R2590" s="318"/>
      <c r="S2590" s="318"/>
      <c r="T2590" s="318"/>
      <c r="U2590" s="318"/>
      <c r="V2590" s="318"/>
      <c r="W2590" s="318"/>
      <c r="X2590" s="318"/>
      <c r="Y2590" s="318"/>
      <c r="Z2590" s="318"/>
      <c r="AA2590" s="318"/>
      <c r="AB2590" s="318"/>
      <c r="AC2590" s="318"/>
      <c r="AD2590" s="318"/>
    </row>
    <row r="2591" spans="2:30" s="323" customFormat="1" ht="12" customHeight="1">
      <c r="B2591" s="324"/>
      <c r="C2591" s="325"/>
      <c r="D2591" s="326"/>
      <c r="E2591" s="326"/>
      <c r="F2591" s="326"/>
      <c r="G2591" s="326"/>
      <c r="H2591" s="326"/>
      <c r="P2591" s="318"/>
      <c r="Q2591" s="318"/>
      <c r="R2591" s="318"/>
      <c r="S2591" s="318"/>
      <c r="T2591" s="318"/>
      <c r="U2591" s="318"/>
      <c r="V2591" s="318"/>
      <c r="W2591" s="318"/>
      <c r="X2591" s="318"/>
      <c r="Y2591" s="318"/>
      <c r="Z2591" s="318"/>
      <c r="AA2591" s="318"/>
      <c r="AB2591" s="318"/>
      <c r="AC2591" s="318"/>
      <c r="AD2591" s="318"/>
    </row>
    <row r="2592" spans="2:30" s="323" customFormat="1" ht="12" customHeight="1">
      <c r="B2592" s="324"/>
      <c r="C2592" s="325"/>
      <c r="D2592" s="326"/>
      <c r="E2592" s="326"/>
      <c r="F2592" s="326"/>
      <c r="G2592" s="326"/>
      <c r="H2592" s="326"/>
      <c r="P2592" s="318"/>
      <c r="Q2592" s="318"/>
      <c r="R2592" s="318"/>
      <c r="S2592" s="318"/>
      <c r="T2592" s="318"/>
      <c r="U2592" s="318"/>
      <c r="V2592" s="318"/>
      <c r="W2592" s="318"/>
      <c r="X2592" s="318"/>
      <c r="Y2592" s="318"/>
      <c r="Z2592" s="318"/>
      <c r="AA2592" s="318"/>
      <c r="AB2592" s="318"/>
      <c r="AC2592" s="318"/>
      <c r="AD2592" s="318"/>
    </row>
    <row r="2593" spans="2:30" s="323" customFormat="1" ht="12" customHeight="1">
      <c r="B2593" s="324"/>
      <c r="C2593" s="325"/>
      <c r="D2593" s="326"/>
      <c r="E2593" s="326"/>
      <c r="F2593" s="326"/>
      <c r="G2593" s="326"/>
      <c r="H2593" s="326"/>
      <c r="P2593" s="318"/>
      <c r="Q2593" s="318"/>
      <c r="R2593" s="318"/>
      <c r="S2593" s="318"/>
      <c r="T2593" s="318"/>
      <c r="U2593" s="318"/>
      <c r="V2593" s="318"/>
      <c r="W2593" s="318"/>
      <c r="X2593" s="318"/>
      <c r="Y2593" s="318"/>
      <c r="Z2593" s="318"/>
      <c r="AA2593" s="318"/>
      <c r="AB2593" s="318"/>
      <c r="AC2593" s="318"/>
      <c r="AD2593" s="318"/>
    </row>
    <row r="2594" spans="2:30" s="323" customFormat="1" ht="12" customHeight="1">
      <c r="B2594" s="324"/>
      <c r="C2594" s="325"/>
      <c r="D2594" s="326"/>
      <c r="E2594" s="326"/>
      <c r="F2594" s="326"/>
      <c r="G2594" s="326"/>
      <c r="H2594" s="326"/>
      <c r="P2594" s="318"/>
      <c r="Q2594" s="318"/>
      <c r="R2594" s="318"/>
      <c r="S2594" s="318"/>
      <c r="T2594" s="318"/>
      <c r="U2594" s="318"/>
      <c r="V2594" s="318"/>
      <c r="W2594" s="318"/>
      <c r="X2594" s="318"/>
      <c r="Y2594" s="318"/>
      <c r="Z2594" s="318"/>
      <c r="AA2594" s="318"/>
      <c r="AB2594" s="318"/>
      <c r="AC2594" s="318"/>
      <c r="AD2594" s="318"/>
    </row>
    <row r="2595" spans="2:30" s="323" customFormat="1" ht="12" customHeight="1">
      <c r="B2595" s="324"/>
      <c r="C2595" s="325"/>
      <c r="D2595" s="326"/>
      <c r="E2595" s="326"/>
      <c r="F2595" s="326"/>
      <c r="G2595" s="326"/>
      <c r="H2595" s="326"/>
      <c r="P2595" s="318"/>
      <c r="Q2595" s="318"/>
      <c r="R2595" s="318"/>
      <c r="S2595" s="318"/>
      <c r="T2595" s="318"/>
      <c r="U2595" s="318"/>
      <c r="V2595" s="318"/>
      <c r="W2595" s="318"/>
      <c r="X2595" s="318"/>
      <c r="Y2595" s="318"/>
      <c r="Z2595" s="318"/>
      <c r="AA2595" s="318"/>
      <c r="AB2595" s="318"/>
      <c r="AC2595" s="318"/>
      <c r="AD2595" s="318"/>
    </row>
    <row r="2596" spans="2:30" s="323" customFormat="1" ht="12" customHeight="1">
      <c r="B2596" s="324"/>
      <c r="C2596" s="325"/>
      <c r="D2596" s="326"/>
      <c r="E2596" s="326"/>
      <c r="F2596" s="326"/>
      <c r="G2596" s="326"/>
      <c r="H2596" s="326"/>
      <c r="P2596" s="318"/>
      <c r="Q2596" s="318"/>
      <c r="R2596" s="318"/>
      <c r="S2596" s="318"/>
      <c r="T2596" s="318"/>
      <c r="U2596" s="318"/>
      <c r="V2596" s="318"/>
      <c r="W2596" s="318"/>
      <c r="X2596" s="318"/>
      <c r="Y2596" s="318"/>
      <c r="Z2596" s="318"/>
      <c r="AA2596" s="318"/>
      <c r="AB2596" s="318"/>
      <c r="AC2596" s="318"/>
      <c r="AD2596" s="318"/>
    </row>
    <row r="2597" spans="2:30" s="323" customFormat="1" ht="12" customHeight="1">
      <c r="B2597" s="324"/>
      <c r="C2597" s="325"/>
      <c r="D2597" s="326"/>
      <c r="E2597" s="326"/>
      <c r="F2597" s="326"/>
      <c r="G2597" s="326"/>
      <c r="H2597" s="326"/>
      <c r="P2597" s="318"/>
      <c r="Q2597" s="318"/>
      <c r="R2597" s="318"/>
      <c r="S2597" s="318"/>
      <c r="T2597" s="318"/>
      <c r="U2597" s="318"/>
      <c r="V2597" s="318"/>
      <c r="W2597" s="318"/>
      <c r="X2597" s="318"/>
      <c r="Y2597" s="318"/>
      <c r="Z2597" s="318"/>
      <c r="AA2597" s="318"/>
      <c r="AB2597" s="318"/>
      <c r="AC2597" s="318"/>
      <c r="AD2597" s="318"/>
    </row>
    <row r="2598" spans="2:30" s="323" customFormat="1" ht="12" customHeight="1">
      <c r="B2598" s="324"/>
      <c r="C2598" s="325"/>
      <c r="D2598" s="326"/>
      <c r="E2598" s="326"/>
      <c r="F2598" s="326"/>
      <c r="G2598" s="326"/>
      <c r="H2598" s="326"/>
      <c r="P2598" s="318"/>
      <c r="Q2598" s="318"/>
      <c r="R2598" s="318"/>
      <c r="S2598" s="318"/>
      <c r="T2598" s="318"/>
      <c r="U2598" s="318"/>
      <c r="V2598" s="318"/>
      <c r="W2598" s="318"/>
      <c r="X2598" s="318"/>
      <c r="Y2598" s="318"/>
      <c r="Z2598" s="318"/>
      <c r="AA2598" s="318"/>
      <c r="AB2598" s="318"/>
      <c r="AC2598" s="318"/>
      <c r="AD2598" s="318"/>
    </row>
    <row r="2599" spans="2:30" s="323" customFormat="1" ht="12" customHeight="1">
      <c r="B2599" s="324"/>
      <c r="C2599" s="325"/>
      <c r="D2599" s="326"/>
      <c r="E2599" s="326"/>
      <c r="F2599" s="326"/>
      <c r="G2599" s="326"/>
      <c r="H2599" s="326"/>
      <c r="P2599" s="318"/>
      <c r="Q2599" s="318"/>
      <c r="R2599" s="318"/>
      <c r="S2599" s="318"/>
      <c r="T2599" s="318"/>
      <c r="U2599" s="318"/>
      <c r="V2599" s="318"/>
      <c r="W2599" s="318"/>
      <c r="X2599" s="318"/>
      <c r="Y2599" s="318"/>
      <c r="Z2599" s="318"/>
      <c r="AA2599" s="318"/>
      <c r="AB2599" s="318"/>
      <c r="AC2599" s="318"/>
      <c r="AD2599" s="318"/>
    </row>
    <row r="2600" spans="2:30" s="323" customFormat="1" ht="12" customHeight="1">
      <c r="B2600" s="324"/>
      <c r="C2600" s="325"/>
      <c r="D2600" s="326"/>
      <c r="E2600" s="326"/>
      <c r="F2600" s="326"/>
      <c r="G2600" s="326"/>
      <c r="H2600" s="326"/>
      <c r="P2600" s="318"/>
      <c r="Q2600" s="318"/>
      <c r="R2600" s="318"/>
      <c r="S2600" s="318"/>
      <c r="T2600" s="318"/>
      <c r="U2600" s="318"/>
      <c r="V2600" s="318"/>
      <c r="W2600" s="318"/>
      <c r="X2600" s="318"/>
      <c r="Y2600" s="318"/>
      <c r="Z2600" s="318"/>
      <c r="AA2600" s="318"/>
      <c r="AB2600" s="318"/>
      <c r="AC2600" s="318"/>
      <c r="AD2600" s="318"/>
    </row>
    <row r="2601" spans="2:30" s="323" customFormat="1" ht="12" customHeight="1">
      <c r="B2601" s="324"/>
      <c r="C2601" s="325"/>
      <c r="D2601" s="326"/>
      <c r="E2601" s="326"/>
      <c r="F2601" s="326"/>
      <c r="G2601" s="326"/>
      <c r="H2601" s="326"/>
      <c r="P2601" s="318"/>
      <c r="Q2601" s="318"/>
      <c r="R2601" s="318"/>
      <c r="S2601" s="318"/>
      <c r="T2601" s="318"/>
      <c r="U2601" s="318"/>
      <c r="V2601" s="318"/>
      <c r="W2601" s="318"/>
      <c r="X2601" s="318"/>
      <c r="Y2601" s="318"/>
      <c r="Z2601" s="318"/>
      <c r="AA2601" s="318"/>
      <c r="AB2601" s="318"/>
      <c r="AC2601" s="318"/>
      <c r="AD2601" s="318"/>
    </row>
    <row r="2602" spans="2:30" s="323" customFormat="1" ht="12" customHeight="1">
      <c r="B2602" s="324"/>
      <c r="C2602" s="325"/>
      <c r="D2602" s="326"/>
      <c r="E2602" s="326"/>
      <c r="F2602" s="326"/>
      <c r="G2602" s="326"/>
      <c r="H2602" s="326"/>
      <c r="P2602" s="318"/>
      <c r="Q2602" s="318"/>
      <c r="R2602" s="318"/>
      <c r="S2602" s="318"/>
      <c r="T2602" s="318"/>
      <c r="U2602" s="318"/>
      <c r="V2602" s="318"/>
      <c r="W2602" s="318"/>
      <c r="X2602" s="318"/>
      <c r="Y2602" s="318"/>
      <c r="Z2602" s="318"/>
      <c r="AA2602" s="318"/>
      <c r="AB2602" s="318"/>
      <c r="AC2602" s="318"/>
      <c r="AD2602" s="318"/>
    </row>
    <row r="2603" spans="2:30" s="323" customFormat="1" ht="12" customHeight="1">
      <c r="B2603" s="324"/>
      <c r="C2603" s="325"/>
      <c r="D2603" s="326"/>
      <c r="E2603" s="326"/>
      <c r="F2603" s="326"/>
      <c r="G2603" s="326"/>
      <c r="H2603" s="326"/>
      <c r="P2603" s="318"/>
      <c r="Q2603" s="318"/>
      <c r="R2603" s="318"/>
      <c r="S2603" s="318"/>
      <c r="T2603" s="318"/>
      <c r="U2603" s="318"/>
      <c r="V2603" s="318"/>
      <c r="W2603" s="318"/>
      <c r="X2603" s="318"/>
      <c r="Y2603" s="318"/>
      <c r="Z2603" s="318"/>
      <c r="AA2603" s="318"/>
      <c r="AB2603" s="318"/>
      <c r="AC2603" s="318"/>
      <c r="AD2603" s="318"/>
    </row>
    <row r="2604" spans="2:30" s="323" customFormat="1" ht="12" customHeight="1">
      <c r="B2604" s="324"/>
      <c r="C2604" s="325"/>
      <c r="D2604" s="326"/>
      <c r="E2604" s="326"/>
      <c r="F2604" s="326"/>
      <c r="G2604" s="326"/>
      <c r="H2604" s="326"/>
      <c r="P2604" s="318"/>
      <c r="Q2604" s="318"/>
      <c r="R2604" s="318"/>
      <c r="S2604" s="318"/>
      <c r="T2604" s="318"/>
      <c r="U2604" s="318"/>
      <c r="V2604" s="318"/>
      <c r="W2604" s="318"/>
      <c r="X2604" s="318"/>
      <c r="Y2604" s="318"/>
      <c r="Z2604" s="318"/>
      <c r="AA2604" s="318"/>
      <c r="AB2604" s="318"/>
      <c r="AC2604" s="318"/>
      <c r="AD2604" s="318"/>
    </row>
    <row r="2605" spans="2:30" s="323" customFormat="1" ht="12" customHeight="1">
      <c r="B2605" s="324"/>
      <c r="C2605" s="325"/>
      <c r="D2605" s="326"/>
      <c r="E2605" s="326"/>
      <c r="F2605" s="326"/>
      <c r="G2605" s="326"/>
      <c r="H2605" s="326"/>
      <c r="P2605" s="318"/>
      <c r="Q2605" s="318"/>
      <c r="R2605" s="318"/>
      <c r="S2605" s="318"/>
      <c r="T2605" s="318"/>
      <c r="U2605" s="318"/>
      <c r="V2605" s="318"/>
      <c r="W2605" s="318"/>
      <c r="X2605" s="318"/>
      <c r="Y2605" s="318"/>
      <c r="Z2605" s="318"/>
      <c r="AA2605" s="318"/>
      <c r="AB2605" s="318"/>
      <c r="AC2605" s="318"/>
      <c r="AD2605" s="318"/>
    </row>
    <row r="2606" spans="2:30" s="323" customFormat="1" ht="12" customHeight="1">
      <c r="B2606" s="324"/>
      <c r="C2606" s="325"/>
      <c r="D2606" s="326"/>
      <c r="E2606" s="326"/>
      <c r="F2606" s="326"/>
      <c r="G2606" s="326"/>
      <c r="H2606" s="326"/>
      <c r="P2606" s="318"/>
      <c r="Q2606" s="318"/>
      <c r="R2606" s="318"/>
      <c r="S2606" s="318"/>
      <c r="T2606" s="318"/>
      <c r="U2606" s="318"/>
      <c r="V2606" s="318"/>
      <c r="W2606" s="318"/>
      <c r="X2606" s="318"/>
      <c r="Y2606" s="318"/>
      <c r="Z2606" s="318"/>
      <c r="AA2606" s="318"/>
      <c r="AB2606" s="318"/>
      <c r="AC2606" s="318"/>
      <c r="AD2606" s="318"/>
    </row>
    <row r="2607" spans="2:30" s="323" customFormat="1" ht="12" customHeight="1">
      <c r="B2607" s="324"/>
      <c r="C2607" s="325"/>
      <c r="D2607" s="326"/>
      <c r="E2607" s="326"/>
      <c r="F2607" s="326"/>
      <c r="G2607" s="326"/>
      <c r="H2607" s="326"/>
      <c r="P2607" s="318"/>
      <c r="Q2607" s="318"/>
      <c r="R2607" s="318"/>
      <c r="S2607" s="318"/>
      <c r="T2607" s="318"/>
      <c r="U2607" s="318"/>
      <c r="V2607" s="318"/>
      <c r="W2607" s="318"/>
      <c r="X2607" s="318"/>
      <c r="Y2607" s="318"/>
      <c r="Z2607" s="318"/>
      <c r="AA2607" s="318"/>
      <c r="AB2607" s="318"/>
      <c r="AC2607" s="318"/>
      <c r="AD2607" s="318"/>
    </row>
    <row r="2608" spans="2:30" s="323" customFormat="1" ht="12" customHeight="1">
      <c r="B2608" s="324"/>
      <c r="C2608" s="325"/>
      <c r="D2608" s="326"/>
      <c r="E2608" s="326"/>
      <c r="F2608" s="326"/>
      <c r="G2608" s="326"/>
      <c r="H2608" s="326"/>
      <c r="P2608" s="318"/>
      <c r="Q2608" s="318"/>
      <c r="R2608" s="318"/>
      <c r="S2608" s="318"/>
      <c r="T2608" s="318"/>
      <c r="U2608" s="318"/>
      <c r="V2608" s="318"/>
      <c r="W2608" s="318"/>
      <c r="X2608" s="318"/>
      <c r="Y2608" s="318"/>
      <c r="Z2608" s="318"/>
      <c r="AA2608" s="318"/>
      <c r="AB2608" s="318"/>
      <c r="AC2608" s="318"/>
      <c r="AD2608" s="318"/>
    </row>
    <row r="2609" spans="2:30" s="323" customFormat="1" ht="12" customHeight="1">
      <c r="B2609" s="324"/>
      <c r="C2609" s="325"/>
      <c r="D2609" s="326"/>
      <c r="E2609" s="326"/>
      <c r="F2609" s="326"/>
      <c r="G2609" s="326"/>
      <c r="H2609" s="326"/>
      <c r="P2609" s="318"/>
      <c r="Q2609" s="318"/>
      <c r="R2609" s="318"/>
      <c r="S2609" s="318"/>
      <c r="T2609" s="318"/>
      <c r="U2609" s="318"/>
      <c r="V2609" s="318"/>
      <c r="W2609" s="318"/>
      <c r="X2609" s="318"/>
      <c r="Y2609" s="318"/>
      <c r="Z2609" s="318"/>
      <c r="AA2609" s="318"/>
      <c r="AB2609" s="318"/>
      <c r="AC2609" s="318"/>
      <c r="AD2609" s="318"/>
    </row>
    <row r="2610" spans="2:30" s="323" customFormat="1" ht="12" customHeight="1">
      <c r="B2610" s="324"/>
      <c r="C2610" s="325"/>
      <c r="D2610" s="326"/>
      <c r="E2610" s="326"/>
      <c r="F2610" s="326"/>
      <c r="G2610" s="326"/>
      <c r="H2610" s="326"/>
      <c r="P2610" s="318"/>
      <c r="Q2610" s="318"/>
      <c r="R2610" s="318"/>
      <c r="S2610" s="318"/>
      <c r="T2610" s="318"/>
      <c r="U2610" s="318"/>
      <c r="V2610" s="318"/>
      <c r="W2610" s="318"/>
      <c r="X2610" s="318"/>
      <c r="Y2610" s="318"/>
      <c r="Z2610" s="318"/>
      <c r="AA2610" s="318"/>
      <c r="AB2610" s="318"/>
      <c r="AC2610" s="318"/>
      <c r="AD2610" s="318"/>
    </row>
    <row r="2611" spans="2:30" s="323" customFormat="1" ht="12" customHeight="1">
      <c r="B2611" s="324"/>
      <c r="C2611" s="325"/>
      <c r="D2611" s="326"/>
      <c r="E2611" s="326"/>
      <c r="F2611" s="326"/>
      <c r="G2611" s="326"/>
      <c r="H2611" s="326"/>
      <c r="P2611" s="318"/>
      <c r="Q2611" s="318"/>
      <c r="R2611" s="318"/>
      <c r="S2611" s="318"/>
      <c r="T2611" s="318"/>
      <c r="U2611" s="318"/>
      <c r="V2611" s="318"/>
      <c r="W2611" s="318"/>
      <c r="X2611" s="318"/>
      <c r="Y2611" s="318"/>
      <c r="Z2611" s="318"/>
      <c r="AA2611" s="318"/>
      <c r="AB2611" s="318"/>
      <c r="AC2611" s="318"/>
      <c r="AD2611" s="318"/>
    </row>
    <row r="2612" spans="2:30" s="323" customFormat="1" ht="12" customHeight="1">
      <c r="B2612" s="324"/>
      <c r="C2612" s="325"/>
      <c r="D2612" s="326"/>
      <c r="E2612" s="326"/>
      <c r="F2612" s="326"/>
      <c r="G2612" s="326"/>
      <c r="H2612" s="326"/>
      <c r="P2612" s="318"/>
      <c r="Q2612" s="318"/>
      <c r="R2612" s="318"/>
      <c r="S2612" s="318"/>
      <c r="T2612" s="318"/>
      <c r="U2612" s="318"/>
      <c r="V2612" s="318"/>
      <c r="W2612" s="318"/>
      <c r="X2612" s="318"/>
      <c r="Y2612" s="318"/>
      <c r="Z2612" s="318"/>
      <c r="AA2612" s="318"/>
      <c r="AB2612" s="318"/>
      <c r="AC2612" s="318"/>
      <c r="AD2612" s="318"/>
    </row>
    <row r="2613" spans="2:30" s="323" customFormat="1" ht="12" customHeight="1">
      <c r="B2613" s="324"/>
      <c r="C2613" s="325"/>
      <c r="D2613" s="326"/>
      <c r="E2613" s="326"/>
      <c r="F2613" s="326"/>
      <c r="G2613" s="326"/>
      <c r="H2613" s="326"/>
      <c r="P2613" s="318"/>
      <c r="Q2613" s="318"/>
      <c r="R2613" s="318"/>
      <c r="S2613" s="318"/>
      <c r="T2613" s="318"/>
      <c r="U2613" s="318"/>
      <c r="V2613" s="318"/>
      <c r="W2613" s="318"/>
      <c r="X2613" s="318"/>
      <c r="Y2613" s="318"/>
      <c r="Z2613" s="318"/>
      <c r="AA2613" s="318"/>
      <c r="AB2613" s="318"/>
      <c r="AC2613" s="318"/>
      <c r="AD2613" s="318"/>
    </row>
    <row r="2614" spans="2:30" s="323" customFormat="1" ht="12" customHeight="1">
      <c r="B2614" s="324"/>
      <c r="C2614" s="325"/>
      <c r="D2614" s="326"/>
      <c r="E2614" s="326"/>
      <c r="F2614" s="326"/>
      <c r="G2614" s="326"/>
      <c r="H2614" s="326"/>
      <c r="P2614" s="318"/>
      <c r="Q2614" s="318"/>
      <c r="R2614" s="318"/>
      <c r="S2614" s="318"/>
      <c r="T2614" s="318"/>
      <c r="U2614" s="318"/>
      <c r="V2614" s="318"/>
      <c r="W2614" s="318"/>
      <c r="X2614" s="318"/>
      <c r="Y2614" s="318"/>
      <c r="Z2614" s="318"/>
      <c r="AA2614" s="318"/>
      <c r="AB2614" s="318"/>
      <c r="AC2614" s="318"/>
      <c r="AD2614" s="318"/>
    </row>
    <row r="2615" spans="2:30" s="323" customFormat="1" ht="12" customHeight="1">
      <c r="B2615" s="324"/>
      <c r="C2615" s="325"/>
      <c r="D2615" s="326"/>
      <c r="E2615" s="326"/>
      <c r="F2615" s="326"/>
      <c r="G2615" s="326"/>
      <c r="H2615" s="326"/>
      <c r="P2615" s="318"/>
      <c r="Q2615" s="318"/>
      <c r="R2615" s="318"/>
      <c r="S2615" s="318"/>
      <c r="T2615" s="318"/>
      <c r="U2615" s="318"/>
      <c r="V2615" s="318"/>
      <c r="W2615" s="318"/>
      <c r="X2615" s="318"/>
      <c r="Y2615" s="318"/>
      <c r="Z2615" s="318"/>
      <c r="AA2615" s="318"/>
      <c r="AB2615" s="318"/>
      <c r="AC2615" s="318"/>
      <c r="AD2615" s="318"/>
    </row>
    <row r="2616" spans="2:30" s="323" customFormat="1" ht="12" customHeight="1">
      <c r="B2616" s="324"/>
      <c r="C2616" s="325"/>
      <c r="D2616" s="326"/>
      <c r="E2616" s="326"/>
      <c r="F2616" s="326"/>
      <c r="G2616" s="326"/>
      <c r="H2616" s="326"/>
      <c r="P2616" s="318"/>
      <c r="Q2616" s="318"/>
      <c r="R2616" s="318"/>
      <c r="S2616" s="318"/>
      <c r="T2616" s="318"/>
      <c r="U2616" s="318"/>
      <c r="V2616" s="318"/>
      <c r="W2616" s="318"/>
      <c r="X2616" s="318"/>
      <c r="Y2616" s="318"/>
      <c r="Z2616" s="318"/>
      <c r="AA2616" s="318"/>
      <c r="AB2616" s="318"/>
      <c r="AC2616" s="318"/>
      <c r="AD2616" s="318"/>
    </row>
    <row r="2617" spans="2:30" s="323" customFormat="1" ht="12" customHeight="1">
      <c r="B2617" s="324"/>
      <c r="C2617" s="325"/>
      <c r="D2617" s="326"/>
      <c r="E2617" s="326"/>
      <c r="F2617" s="326"/>
      <c r="G2617" s="326"/>
      <c r="H2617" s="326"/>
      <c r="P2617" s="318"/>
      <c r="Q2617" s="318"/>
      <c r="R2617" s="318"/>
      <c r="S2617" s="318"/>
      <c r="T2617" s="318"/>
      <c r="U2617" s="318"/>
      <c r="V2617" s="318"/>
      <c r="W2617" s="318"/>
      <c r="X2617" s="318"/>
      <c r="Y2617" s="318"/>
      <c r="Z2617" s="318"/>
      <c r="AA2617" s="318"/>
      <c r="AB2617" s="318"/>
      <c r="AC2617" s="318"/>
      <c r="AD2617" s="318"/>
    </row>
    <row r="2618" spans="2:30" s="323" customFormat="1" ht="12" customHeight="1">
      <c r="B2618" s="324"/>
      <c r="C2618" s="325"/>
      <c r="D2618" s="326"/>
      <c r="E2618" s="326"/>
      <c r="F2618" s="326"/>
      <c r="G2618" s="326"/>
      <c r="H2618" s="326"/>
      <c r="P2618" s="318"/>
      <c r="Q2618" s="318"/>
      <c r="R2618" s="318"/>
      <c r="S2618" s="318"/>
      <c r="T2618" s="318"/>
      <c r="U2618" s="318"/>
      <c r="V2618" s="318"/>
      <c r="W2618" s="318"/>
      <c r="X2618" s="318"/>
      <c r="Y2618" s="318"/>
      <c r="Z2618" s="318"/>
      <c r="AA2618" s="318"/>
      <c r="AB2618" s="318"/>
      <c r="AC2618" s="318"/>
      <c r="AD2618" s="318"/>
    </row>
    <row r="2619" spans="2:30" s="323" customFormat="1" ht="12" customHeight="1">
      <c r="B2619" s="324"/>
      <c r="C2619" s="325"/>
      <c r="D2619" s="326"/>
      <c r="E2619" s="326"/>
      <c r="F2619" s="326"/>
      <c r="G2619" s="326"/>
      <c r="H2619" s="326"/>
      <c r="P2619" s="318"/>
      <c r="Q2619" s="318"/>
      <c r="R2619" s="318"/>
      <c r="S2619" s="318"/>
      <c r="T2619" s="318"/>
      <c r="U2619" s="318"/>
      <c r="V2619" s="318"/>
      <c r="W2619" s="318"/>
      <c r="X2619" s="318"/>
      <c r="Y2619" s="318"/>
      <c r="Z2619" s="318"/>
      <c r="AA2619" s="318"/>
      <c r="AB2619" s="318"/>
      <c r="AC2619" s="318"/>
      <c r="AD2619" s="318"/>
    </row>
    <row r="2620" spans="2:30" s="323" customFormat="1" ht="12" customHeight="1">
      <c r="B2620" s="324"/>
      <c r="C2620" s="325"/>
      <c r="D2620" s="326"/>
      <c r="E2620" s="326"/>
      <c r="F2620" s="326"/>
      <c r="G2620" s="326"/>
      <c r="H2620" s="326"/>
      <c r="P2620" s="318"/>
      <c r="Q2620" s="318"/>
      <c r="R2620" s="318"/>
      <c r="S2620" s="318"/>
      <c r="T2620" s="318"/>
      <c r="U2620" s="318"/>
      <c r="V2620" s="318"/>
      <c r="W2620" s="318"/>
      <c r="X2620" s="318"/>
      <c r="Y2620" s="318"/>
      <c r="Z2620" s="318"/>
      <c r="AA2620" s="318"/>
      <c r="AB2620" s="318"/>
      <c r="AC2620" s="318"/>
      <c r="AD2620" s="318"/>
    </row>
    <row r="2621" spans="2:30" s="323" customFormat="1" ht="12" customHeight="1">
      <c r="B2621" s="324"/>
      <c r="C2621" s="325"/>
      <c r="D2621" s="326"/>
      <c r="E2621" s="326"/>
      <c r="F2621" s="326"/>
      <c r="G2621" s="326"/>
      <c r="H2621" s="326"/>
      <c r="P2621" s="318"/>
      <c r="Q2621" s="318"/>
      <c r="R2621" s="318"/>
      <c r="S2621" s="318"/>
      <c r="T2621" s="318"/>
      <c r="U2621" s="318"/>
      <c r="V2621" s="318"/>
      <c r="W2621" s="318"/>
      <c r="X2621" s="318"/>
      <c r="Y2621" s="318"/>
      <c r="Z2621" s="318"/>
      <c r="AA2621" s="318"/>
      <c r="AB2621" s="318"/>
      <c r="AC2621" s="318"/>
      <c r="AD2621" s="318"/>
    </row>
    <row r="2622" spans="2:30" s="323" customFormat="1" ht="12" customHeight="1">
      <c r="B2622" s="324"/>
      <c r="C2622" s="325"/>
      <c r="D2622" s="326"/>
      <c r="E2622" s="326"/>
      <c r="F2622" s="326"/>
      <c r="G2622" s="326"/>
      <c r="H2622" s="326"/>
      <c r="P2622" s="318"/>
      <c r="Q2622" s="318"/>
      <c r="R2622" s="318"/>
      <c r="S2622" s="318"/>
      <c r="T2622" s="318"/>
      <c r="U2622" s="318"/>
      <c r="V2622" s="318"/>
      <c r="W2622" s="318"/>
      <c r="X2622" s="318"/>
      <c r="Y2622" s="318"/>
      <c r="Z2622" s="318"/>
      <c r="AA2622" s="318"/>
      <c r="AB2622" s="318"/>
      <c r="AC2622" s="318"/>
      <c r="AD2622" s="318"/>
    </row>
    <row r="2623" spans="2:30" s="323" customFormat="1" ht="12" customHeight="1">
      <c r="B2623" s="324"/>
      <c r="C2623" s="325"/>
      <c r="D2623" s="326"/>
      <c r="E2623" s="326"/>
      <c r="F2623" s="326"/>
      <c r="G2623" s="326"/>
      <c r="H2623" s="326"/>
      <c r="P2623" s="318"/>
      <c r="Q2623" s="318"/>
      <c r="R2623" s="318"/>
      <c r="S2623" s="318"/>
      <c r="T2623" s="318"/>
      <c r="U2623" s="318"/>
      <c r="V2623" s="318"/>
      <c r="W2623" s="318"/>
      <c r="X2623" s="318"/>
      <c r="Y2623" s="318"/>
      <c r="Z2623" s="318"/>
      <c r="AA2623" s="318"/>
      <c r="AB2623" s="318"/>
      <c r="AC2623" s="318"/>
      <c r="AD2623" s="318"/>
    </row>
    <row r="2624" spans="2:30" s="323" customFormat="1" ht="12" customHeight="1">
      <c r="B2624" s="324"/>
      <c r="C2624" s="325"/>
      <c r="D2624" s="326"/>
      <c r="E2624" s="326"/>
      <c r="F2624" s="326"/>
      <c r="G2624" s="326"/>
      <c r="H2624" s="326"/>
      <c r="P2624" s="318"/>
      <c r="Q2624" s="318"/>
      <c r="R2624" s="318"/>
      <c r="S2624" s="318"/>
      <c r="T2624" s="318"/>
      <c r="U2624" s="318"/>
      <c r="V2624" s="318"/>
      <c r="W2624" s="318"/>
      <c r="X2624" s="318"/>
      <c r="Y2624" s="318"/>
      <c r="Z2624" s="318"/>
      <c r="AA2624" s="318"/>
      <c r="AB2624" s="318"/>
      <c r="AC2624" s="318"/>
      <c r="AD2624" s="318"/>
    </row>
    <row r="2625" spans="2:30" s="323" customFormat="1" ht="12" customHeight="1">
      <c r="B2625" s="324"/>
      <c r="C2625" s="325"/>
      <c r="D2625" s="326"/>
      <c r="E2625" s="326"/>
      <c r="F2625" s="326"/>
      <c r="G2625" s="326"/>
      <c r="H2625" s="326"/>
      <c r="P2625" s="318"/>
      <c r="Q2625" s="318"/>
      <c r="R2625" s="318"/>
      <c r="S2625" s="318"/>
      <c r="T2625" s="318"/>
      <c r="U2625" s="318"/>
      <c r="V2625" s="318"/>
      <c r="W2625" s="318"/>
      <c r="X2625" s="318"/>
      <c r="Y2625" s="318"/>
      <c r="Z2625" s="318"/>
      <c r="AA2625" s="318"/>
      <c r="AB2625" s="318"/>
      <c r="AC2625" s="318"/>
      <c r="AD2625" s="318"/>
    </row>
    <row r="2626" spans="2:30" s="323" customFormat="1" ht="12" customHeight="1">
      <c r="B2626" s="324"/>
      <c r="C2626" s="325"/>
      <c r="D2626" s="326"/>
      <c r="E2626" s="326"/>
      <c r="F2626" s="326"/>
      <c r="G2626" s="326"/>
      <c r="H2626" s="326"/>
      <c r="P2626" s="318"/>
      <c r="Q2626" s="318"/>
      <c r="R2626" s="318"/>
      <c r="S2626" s="318"/>
      <c r="T2626" s="318"/>
      <c r="U2626" s="318"/>
      <c r="V2626" s="318"/>
      <c r="W2626" s="318"/>
      <c r="X2626" s="318"/>
      <c r="Y2626" s="318"/>
      <c r="Z2626" s="318"/>
      <c r="AA2626" s="318"/>
      <c r="AB2626" s="318"/>
      <c r="AC2626" s="318"/>
      <c r="AD2626" s="318"/>
    </row>
    <row r="2627" spans="2:30" s="323" customFormat="1" ht="12" customHeight="1">
      <c r="B2627" s="324"/>
      <c r="C2627" s="325"/>
      <c r="D2627" s="326"/>
      <c r="E2627" s="326"/>
      <c r="F2627" s="326"/>
      <c r="G2627" s="326"/>
      <c r="H2627" s="326"/>
      <c r="P2627" s="318"/>
      <c r="Q2627" s="318"/>
      <c r="R2627" s="318"/>
      <c r="S2627" s="318"/>
      <c r="T2627" s="318"/>
      <c r="U2627" s="318"/>
      <c r="V2627" s="318"/>
      <c r="W2627" s="318"/>
      <c r="X2627" s="318"/>
      <c r="Y2627" s="318"/>
      <c r="Z2627" s="318"/>
      <c r="AA2627" s="318"/>
      <c r="AB2627" s="318"/>
      <c r="AC2627" s="318"/>
      <c r="AD2627" s="318"/>
    </row>
    <row r="2628" spans="2:30" s="323" customFormat="1" ht="12" customHeight="1">
      <c r="B2628" s="324"/>
      <c r="C2628" s="325"/>
      <c r="D2628" s="326"/>
      <c r="E2628" s="326"/>
      <c r="F2628" s="326"/>
      <c r="G2628" s="326"/>
      <c r="H2628" s="326"/>
      <c r="P2628" s="318"/>
      <c r="Q2628" s="318"/>
      <c r="R2628" s="318"/>
      <c r="S2628" s="318"/>
      <c r="T2628" s="318"/>
      <c r="U2628" s="318"/>
      <c r="V2628" s="318"/>
      <c r="W2628" s="318"/>
      <c r="X2628" s="318"/>
      <c r="Y2628" s="318"/>
      <c r="Z2628" s="318"/>
      <c r="AA2628" s="318"/>
      <c r="AB2628" s="318"/>
      <c r="AC2628" s="318"/>
      <c r="AD2628" s="318"/>
    </row>
    <row r="2629" spans="2:30" s="323" customFormat="1" ht="12" customHeight="1">
      <c r="B2629" s="324"/>
      <c r="C2629" s="325"/>
      <c r="D2629" s="326"/>
      <c r="E2629" s="326"/>
      <c r="F2629" s="326"/>
      <c r="G2629" s="326"/>
      <c r="H2629" s="326"/>
      <c r="P2629" s="318"/>
      <c r="Q2629" s="318"/>
      <c r="R2629" s="318"/>
      <c r="S2629" s="318"/>
      <c r="T2629" s="318"/>
      <c r="U2629" s="318"/>
      <c r="V2629" s="318"/>
      <c r="W2629" s="318"/>
      <c r="X2629" s="318"/>
      <c r="Y2629" s="318"/>
      <c r="Z2629" s="318"/>
      <c r="AA2629" s="318"/>
      <c r="AB2629" s="318"/>
      <c r="AC2629" s="318"/>
      <c r="AD2629" s="318"/>
    </row>
    <row r="2630" spans="2:30" s="323" customFormat="1" ht="12" customHeight="1">
      <c r="B2630" s="324"/>
      <c r="C2630" s="325"/>
      <c r="D2630" s="326"/>
      <c r="E2630" s="326"/>
      <c r="F2630" s="326"/>
      <c r="G2630" s="326"/>
      <c r="H2630" s="326"/>
      <c r="P2630" s="318"/>
      <c r="Q2630" s="318"/>
      <c r="R2630" s="318"/>
      <c r="S2630" s="318"/>
      <c r="T2630" s="318"/>
      <c r="U2630" s="318"/>
      <c r="V2630" s="318"/>
      <c r="W2630" s="318"/>
      <c r="X2630" s="318"/>
      <c r="Y2630" s="318"/>
      <c r="Z2630" s="318"/>
      <c r="AA2630" s="318"/>
      <c r="AB2630" s="318"/>
      <c r="AC2630" s="318"/>
      <c r="AD2630" s="318"/>
    </row>
    <row r="2631" spans="2:30" s="323" customFormat="1" ht="12" customHeight="1">
      <c r="B2631" s="324"/>
      <c r="C2631" s="325"/>
      <c r="D2631" s="326"/>
      <c r="E2631" s="326"/>
      <c r="F2631" s="326"/>
      <c r="G2631" s="326"/>
      <c r="H2631" s="326"/>
      <c r="P2631" s="318"/>
      <c r="Q2631" s="318"/>
      <c r="R2631" s="318"/>
      <c r="S2631" s="318"/>
      <c r="T2631" s="318"/>
      <c r="U2631" s="318"/>
      <c r="V2631" s="318"/>
      <c r="W2631" s="318"/>
      <c r="X2631" s="318"/>
      <c r="Y2631" s="318"/>
      <c r="Z2631" s="318"/>
      <c r="AA2631" s="318"/>
      <c r="AB2631" s="318"/>
      <c r="AC2631" s="318"/>
      <c r="AD2631" s="318"/>
    </row>
    <row r="2632" spans="2:30" s="323" customFormat="1" ht="12" customHeight="1">
      <c r="B2632" s="324"/>
      <c r="C2632" s="325"/>
      <c r="D2632" s="326"/>
      <c r="E2632" s="326"/>
      <c r="F2632" s="326"/>
      <c r="G2632" s="326"/>
      <c r="H2632" s="326"/>
      <c r="P2632" s="318"/>
      <c r="Q2632" s="318"/>
      <c r="R2632" s="318"/>
      <c r="S2632" s="318"/>
      <c r="T2632" s="318"/>
      <c r="U2632" s="318"/>
      <c r="V2632" s="318"/>
      <c r="W2632" s="318"/>
      <c r="X2632" s="318"/>
      <c r="Y2632" s="318"/>
      <c r="Z2632" s="318"/>
      <c r="AA2632" s="318"/>
      <c r="AB2632" s="318"/>
      <c r="AC2632" s="318"/>
      <c r="AD2632" s="318"/>
    </row>
    <row r="2633" spans="2:30" s="323" customFormat="1" ht="12" customHeight="1">
      <c r="B2633" s="324"/>
      <c r="C2633" s="325"/>
      <c r="D2633" s="326"/>
      <c r="E2633" s="326"/>
      <c r="F2633" s="326"/>
      <c r="G2633" s="326"/>
      <c r="H2633" s="326"/>
      <c r="P2633" s="318"/>
      <c r="Q2633" s="318"/>
      <c r="R2633" s="318"/>
      <c r="S2633" s="318"/>
      <c r="T2633" s="318"/>
      <c r="U2633" s="318"/>
      <c r="V2633" s="318"/>
      <c r="W2633" s="318"/>
      <c r="X2633" s="318"/>
      <c r="Y2633" s="318"/>
      <c r="Z2633" s="318"/>
      <c r="AA2633" s="318"/>
      <c r="AB2633" s="318"/>
      <c r="AC2633" s="318"/>
      <c r="AD2633" s="318"/>
    </row>
    <row r="2634" spans="2:30" s="323" customFormat="1" ht="12" customHeight="1">
      <c r="B2634" s="324"/>
      <c r="C2634" s="325"/>
      <c r="D2634" s="326"/>
      <c r="E2634" s="326"/>
      <c r="F2634" s="326"/>
      <c r="G2634" s="326"/>
      <c r="H2634" s="326"/>
      <c r="P2634" s="318"/>
      <c r="Q2634" s="318"/>
      <c r="R2634" s="318"/>
      <c r="S2634" s="318"/>
      <c r="T2634" s="318"/>
      <c r="U2634" s="318"/>
      <c r="V2634" s="318"/>
      <c r="W2634" s="318"/>
      <c r="X2634" s="318"/>
      <c r="Y2634" s="318"/>
      <c r="Z2634" s="318"/>
      <c r="AA2634" s="318"/>
      <c r="AB2634" s="318"/>
      <c r="AC2634" s="318"/>
      <c r="AD2634" s="318"/>
    </row>
    <row r="2635" spans="2:30" s="323" customFormat="1" ht="12" customHeight="1">
      <c r="B2635" s="324"/>
      <c r="C2635" s="325"/>
      <c r="D2635" s="326"/>
      <c r="E2635" s="326"/>
      <c r="F2635" s="326"/>
      <c r="G2635" s="326"/>
      <c r="H2635" s="326"/>
      <c r="P2635" s="318"/>
      <c r="Q2635" s="318"/>
      <c r="R2635" s="318"/>
      <c r="S2635" s="318"/>
      <c r="T2635" s="318"/>
      <c r="U2635" s="318"/>
      <c r="V2635" s="318"/>
      <c r="W2635" s="318"/>
      <c r="X2635" s="318"/>
      <c r="Y2635" s="318"/>
      <c r="Z2635" s="318"/>
      <c r="AA2635" s="318"/>
      <c r="AB2635" s="318"/>
      <c r="AC2635" s="318"/>
      <c r="AD2635" s="318"/>
    </row>
    <row r="2636" spans="2:30" s="323" customFormat="1" ht="12" customHeight="1">
      <c r="B2636" s="324"/>
      <c r="C2636" s="325"/>
      <c r="D2636" s="326"/>
      <c r="E2636" s="326"/>
      <c r="F2636" s="326"/>
      <c r="G2636" s="326"/>
      <c r="H2636" s="326"/>
      <c r="P2636" s="318"/>
      <c r="Q2636" s="318"/>
      <c r="R2636" s="318"/>
      <c r="S2636" s="318"/>
      <c r="T2636" s="318"/>
      <c r="U2636" s="318"/>
      <c r="V2636" s="318"/>
      <c r="W2636" s="318"/>
      <c r="X2636" s="318"/>
      <c r="Y2636" s="318"/>
      <c r="Z2636" s="318"/>
      <c r="AA2636" s="318"/>
      <c r="AB2636" s="318"/>
      <c r="AC2636" s="318"/>
      <c r="AD2636" s="318"/>
    </row>
    <row r="2637" spans="2:30" s="323" customFormat="1" ht="12" customHeight="1">
      <c r="B2637" s="324"/>
      <c r="C2637" s="325"/>
      <c r="D2637" s="326"/>
      <c r="E2637" s="326"/>
      <c r="F2637" s="326"/>
      <c r="G2637" s="326"/>
      <c r="H2637" s="326"/>
      <c r="P2637" s="318"/>
      <c r="Q2637" s="318"/>
      <c r="R2637" s="318"/>
      <c r="S2637" s="318"/>
      <c r="T2637" s="318"/>
      <c r="U2637" s="318"/>
      <c r="V2637" s="318"/>
      <c r="W2637" s="318"/>
      <c r="X2637" s="318"/>
      <c r="Y2637" s="318"/>
      <c r="Z2637" s="318"/>
      <c r="AA2637" s="318"/>
      <c r="AB2637" s="318"/>
      <c r="AC2637" s="318"/>
      <c r="AD2637" s="318"/>
    </row>
    <row r="2638" spans="2:30" s="323" customFormat="1" ht="12" customHeight="1">
      <c r="B2638" s="324"/>
      <c r="C2638" s="325"/>
      <c r="D2638" s="326"/>
      <c r="E2638" s="326"/>
      <c r="F2638" s="326"/>
      <c r="G2638" s="326"/>
      <c r="H2638" s="326"/>
      <c r="P2638" s="318"/>
      <c r="Q2638" s="318"/>
      <c r="R2638" s="318"/>
      <c r="S2638" s="318"/>
      <c r="T2638" s="318"/>
      <c r="U2638" s="318"/>
      <c r="V2638" s="318"/>
      <c r="W2638" s="318"/>
      <c r="X2638" s="318"/>
      <c r="Y2638" s="318"/>
      <c r="Z2638" s="318"/>
      <c r="AA2638" s="318"/>
      <c r="AB2638" s="318"/>
      <c r="AC2638" s="318"/>
      <c r="AD2638" s="318"/>
    </row>
    <row r="2639" spans="2:30" s="323" customFormat="1" ht="12" customHeight="1">
      <c r="B2639" s="324"/>
      <c r="C2639" s="325"/>
      <c r="D2639" s="326"/>
      <c r="E2639" s="326"/>
      <c r="F2639" s="326"/>
      <c r="G2639" s="326"/>
      <c r="H2639" s="326"/>
      <c r="P2639" s="318"/>
      <c r="Q2639" s="318"/>
      <c r="R2639" s="318"/>
      <c r="S2639" s="318"/>
      <c r="T2639" s="318"/>
      <c r="U2639" s="318"/>
      <c r="V2639" s="318"/>
      <c r="W2639" s="318"/>
      <c r="X2639" s="318"/>
      <c r="Y2639" s="318"/>
      <c r="Z2639" s="318"/>
      <c r="AA2639" s="318"/>
      <c r="AB2639" s="318"/>
      <c r="AC2639" s="318"/>
      <c r="AD2639" s="318"/>
    </row>
    <row r="2640" spans="2:30" s="323" customFormat="1" ht="12" customHeight="1">
      <c r="B2640" s="324"/>
      <c r="C2640" s="325"/>
      <c r="D2640" s="326"/>
      <c r="E2640" s="326"/>
      <c r="F2640" s="326"/>
      <c r="G2640" s="326"/>
      <c r="H2640" s="326"/>
      <c r="P2640" s="318"/>
      <c r="Q2640" s="318"/>
      <c r="R2640" s="318"/>
      <c r="S2640" s="318"/>
      <c r="T2640" s="318"/>
      <c r="U2640" s="318"/>
      <c r="V2640" s="318"/>
      <c r="W2640" s="318"/>
      <c r="X2640" s="318"/>
      <c r="Y2640" s="318"/>
      <c r="Z2640" s="318"/>
      <c r="AA2640" s="318"/>
      <c r="AB2640" s="318"/>
      <c r="AC2640" s="318"/>
      <c r="AD2640" s="318"/>
    </row>
    <row r="2641" spans="2:30" s="323" customFormat="1" ht="12" customHeight="1">
      <c r="B2641" s="324"/>
      <c r="C2641" s="325"/>
      <c r="D2641" s="326"/>
      <c r="E2641" s="326"/>
      <c r="F2641" s="326"/>
      <c r="G2641" s="326"/>
      <c r="H2641" s="326"/>
      <c r="P2641" s="318"/>
      <c r="Q2641" s="318"/>
      <c r="R2641" s="318"/>
      <c r="S2641" s="318"/>
      <c r="T2641" s="318"/>
      <c r="U2641" s="318"/>
      <c r="V2641" s="318"/>
      <c r="W2641" s="318"/>
      <c r="X2641" s="318"/>
      <c r="Y2641" s="318"/>
      <c r="Z2641" s="318"/>
      <c r="AA2641" s="318"/>
      <c r="AB2641" s="318"/>
      <c r="AC2641" s="318"/>
      <c r="AD2641" s="318"/>
    </row>
    <row r="2642" spans="2:30" s="323" customFormat="1" ht="12" customHeight="1">
      <c r="B2642" s="324"/>
      <c r="C2642" s="325"/>
      <c r="D2642" s="326"/>
      <c r="E2642" s="326"/>
      <c r="F2642" s="326"/>
      <c r="G2642" s="326"/>
      <c r="H2642" s="326"/>
      <c r="P2642" s="318"/>
      <c r="Q2642" s="318"/>
      <c r="R2642" s="318"/>
      <c r="S2642" s="318"/>
      <c r="T2642" s="318"/>
      <c r="U2642" s="318"/>
      <c r="V2642" s="318"/>
      <c r="W2642" s="318"/>
      <c r="X2642" s="318"/>
      <c r="Y2642" s="318"/>
      <c r="Z2642" s="318"/>
      <c r="AA2642" s="318"/>
      <c r="AB2642" s="318"/>
      <c r="AC2642" s="318"/>
      <c r="AD2642" s="318"/>
    </row>
    <row r="2643" spans="2:30" s="323" customFormat="1" ht="12" customHeight="1">
      <c r="B2643" s="324"/>
      <c r="C2643" s="325"/>
      <c r="D2643" s="326"/>
      <c r="E2643" s="326"/>
      <c r="F2643" s="326"/>
      <c r="G2643" s="326"/>
      <c r="H2643" s="326"/>
      <c r="P2643" s="318"/>
      <c r="Q2643" s="318"/>
      <c r="R2643" s="318"/>
      <c r="S2643" s="318"/>
      <c r="T2643" s="318"/>
      <c r="U2643" s="318"/>
      <c r="V2643" s="318"/>
      <c r="W2643" s="318"/>
      <c r="X2643" s="318"/>
      <c r="Y2643" s="318"/>
      <c r="Z2643" s="318"/>
      <c r="AA2643" s="318"/>
      <c r="AB2643" s="318"/>
      <c r="AC2643" s="318"/>
      <c r="AD2643" s="318"/>
    </row>
    <row r="2644" spans="2:30" s="323" customFormat="1" ht="12" customHeight="1">
      <c r="B2644" s="324"/>
      <c r="C2644" s="325"/>
      <c r="D2644" s="326"/>
      <c r="E2644" s="326"/>
      <c r="F2644" s="326"/>
      <c r="G2644" s="326"/>
      <c r="H2644" s="326"/>
      <c r="P2644" s="318"/>
      <c r="Q2644" s="318"/>
      <c r="R2644" s="318"/>
      <c r="S2644" s="318"/>
      <c r="T2644" s="318"/>
      <c r="U2644" s="318"/>
      <c r="V2644" s="318"/>
      <c r="W2644" s="318"/>
      <c r="X2644" s="318"/>
      <c r="Y2644" s="318"/>
      <c r="Z2644" s="318"/>
      <c r="AA2644" s="318"/>
      <c r="AB2644" s="318"/>
      <c r="AC2644" s="318"/>
      <c r="AD2644" s="318"/>
    </row>
    <row r="2645" spans="2:30" s="323" customFormat="1" ht="12" customHeight="1">
      <c r="B2645" s="324"/>
      <c r="C2645" s="325"/>
      <c r="D2645" s="326"/>
      <c r="E2645" s="326"/>
      <c r="F2645" s="326"/>
      <c r="G2645" s="326"/>
      <c r="H2645" s="326"/>
      <c r="P2645" s="318"/>
      <c r="Q2645" s="318"/>
      <c r="R2645" s="318"/>
      <c r="S2645" s="318"/>
      <c r="T2645" s="318"/>
      <c r="U2645" s="318"/>
      <c r="V2645" s="318"/>
      <c r="W2645" s="318"/>
      <c r="X2645" s="318"/>
      <c r="Y2645" s="318"/>
      <c r="Z2645" s="318"/>
      <c r="AA2645" s="318"/>
      <c r="AB2645" s="318"/>
      <c r="AC2645" s="318"/>
      <c r="AD2645" s="318"/>
    </row>
    <row r="2646" spans="2:30" s="323" customFormat="1" ht="12" customHeight="1">
      <c r="B2646" s="324"/>
      <c r="C2646" s="325"/>
      <c r="D2646" s="326"/>
      <c r="E2646" s="326"/>
      <c r="F2646" s="326"/>
      <c r="G2646" s="326"/>
      <c r="H2646" s="326"/>
      <c r="P2646" s="318"/>
      <c r="Q2646" s="318"/>
      <c r="R2646" s="318"/>
      <c r="S2646" s="318"/>
      <c r="T2646" s="318"/>
      <c r="U2646" s="318"/>
      <c r="V2646" s="318"/>
      <c r="W2646" s="318"/>
      <c r="X2646" s="318"/>
      <c r="Y2646" s="318"/>
      <c r="Z2646" s="318"/>
      <c r="AA2646" s="318"/>
      <c r="AB2646" s="318"/>
      <c r="AC2646" s="318"/>
      <c r="AD2646" s="318"/>
    </row>
    <row r="2647" spans="2:30" s="323" customFormat="1" ht="12" customHeight="1">
      <c r="B2647" s="324"/>
      <c r="C2647" s="325"/>
      <c r="D2647" s="326"/>
      <c r="E2647" s="326"/>
      <c r="F2647" s="326"/>
      <c r="G2647" s="326"/>
      <c r="H2647" s="326"/>
      <c r="P2647" s="318"/>
      <c r="Q2647" s="318"/>
      <c r="R2647" s="318"/>
      <c r="S2647" s="318"/>
      <c r="T2647" s="318"/>
      <c r="U2647" s="318"/>
      <c r="V2647" s="318"/>
      <c r="W2647" s="318"/>
      <c r="X2647" s="318"/>
      <c r="Y2647" s="318"/>
      <c r="Z2647" s="318"/>
      <c r="AA2647" s="318"/>
      <c r="AB2647" s="318"/>
      <c r="AC2647" s="318"/>
      <c r="AD2647" s="318"/>
    </row>
    <row r="2648" spans="2:30" s="323" customFormat="1" ht="12" customHeight="1">
      <c r="B2648" s="324"/>
      <c r="C2648" s="325"/>
      <c r="D2648" s="326"/>
      <c r="E2648" s="326"/>
      <c r="F2648" s="326"/>
      <c r="G2648" s="326"/>
      <c r="H2648" s="326"/>
      <c r="P2648" s="318"/>
      <c r="Q2648" s="318"/>
      <c r="R2648" s="318"/>
      <c r="S2648" s="318"/>
      <c r="T2648" s="318"/>
      <c r="U2648" s="318"/>
      <c r="V2648" s="318"/>
      <c r="W2648" s="318"/>
      <c r="X2648" s="318"/>
      <c r="Y2648" s="318"/>
      <c r="Z2648" s="318"/>
      <c r="AA2648" s="318"/>
      <c r="AB2648" s="318"/>
      <c r="AC2648" s="318"/>
      <c r="AD2648" s="318"/>
    </row>
    <row r="2649" spans="2:30" s="323" customFormat="1" ht="12" customHeight="1">
      <c r="B2649" s="324"/>
      <c r="C2649" s="325"/>
      <c r="D2649" s="326"/>
      <c r="E2649" s="326"/>
      <c r="F2649" s="326"/>
      <c r="G2649" s="326"/>
      <c r="H2649" s="326"/>
      <c r="P2649" s="318"/>
      <c r="Q2649" s="318"/>
      <c r="R2649" s="318"/>
      <c r="S2649" s="318"/>
      <c r="T2649" s="318"/>
      <c r="U2649" s="318"/>
      <c r="V2649" s="318"/>
      <c r="W2649" s="318"/>
      <c r="X2649" s="318"/>
      <c r="Y2649" s="318"/>
      <c r="Z2649" s="318"/>
      <c r="AA2649" s="318"/>
      <c r="AB2649" s="318"/>
      <c r="AC2649" s="318"/>
      <c r="AD2649" s="318"/>
    </row>
    <row r="2650" spans="2:30" s="323" customFormat="1" ht="12" customHeight="1">
      <c r="B2650" s="324"/>
      <c r="C2650" s="325"/>
      <c r="D2650" s="326"/>
      <c r="E2650" s="326"/>
      <c r="F2650" s="326"/>
      <c r="G2650" s="326"/>
      <c r="H2650" s="326"/>
      <c r="P2650" s="318"/>
      <c r="Q2650" s="318"/>
      <c r="R2650" s="318"/>
      <c r="S2650" s="318"/>
      <c r="T2650" s="318"/>
      <c r="U2650" s="318"/>
      <c r="V2650" s="318"/>
      <c r="W2650" s="318"/>
      <c r="X2650" s="318"/>
      <c r="Y2650" s="318"/>
      <c r="Z2650" s="318"/>
      <c r="AA2650" s="318"/>
      <c r="AB2650" s="318"/>
      <c r="AC2650" s="318"/>
      <c r="AD2650" s="318"/>
    </row>
    <row r="2651" spans="2:30" s="323" customFormat="1" ht="12" customHeight="1">
      <c r="B2651" s="324"/>
      <c r="C2651" s="325"/>
      <c r="D2651" s="326"/>
      <c r="E2651" s="326"/>
      <c r="F2651" s="326"/>
      <c r="G2651" s="326"/>
      <c r="H2651" s="326"/>
      <c r="P2651" s="318"/>
      <c r="Q2651" s="318"/>
      <c r="R2651" s="318"/>
      <c r="S2651" s="318"/>
      <c r="T2651" s="318"/>
      <c r="U2651" s="318"/>
      <c r="V2651" s="318"/>
      <c r="W2651" s="318"/>
      <c r="X2651" s="318"/>
      <c r="Y2651" s="318"/>
      <c r="Z2651" s="318"/>
      <c r="AA2651" s="318"/>
      <c r="AB2651" s="318"/>
      <c r="AC2651" s="318"/>
      <c r="AD2651" s="318"/>
    </row>
    <row r="2652" spans="2:30" s="323" customFormat="1" ht="12" customHeight="1">
      <c r="B2652" s="324"/>
      <c r="C2652" s="325"/>
      <c r="D2652" s="326"/>
      <c r="E2652" s="326"/>
      <c r="F2652" s="326"/>
      <c r="G2652" s="326"/>
      <c r="H2652" s="326"/>
      <c r="P2652" s="318"/>
      <c r="Q2652" s="318"/>
      <c r="R2652" s="318"/>
      <c r="S2652" s="318"/>
      <c r="T2652" s="318"/>
      <c r="U2652" s="318"/>
      <c r="V2652" s="318"/>
      <c r="W2652" s="318"/>
      <c r="X2652" s="318"/>
      <c r="Y2652" s="318"/>
      <c r="Z2652" s="318"/>
      <c r="AA2652" s="318"/>
      <c r="AB2652" s="318"/>
      <c r="AC2652" s="318"/>
      <c r="AD2652" s="318"/>
    </row>
    <row r="2653" spans="2:30" s="323" customFormat="1" ht="12" customHeight="1">
      <c r="B2653" s="324"/>
      <c r="C2653" s="325"/>
      <c r="D2653" s="326"/>
      <c r="E2653" s="326"/>
      <c r="F2653" s="326"/>
      <c r="G2653" s="326"/>
      <c r="H2653" s="326"/>
      <c r="P2653" s="318"/>
      <c r="Q2653" s="318"/>
      <c r="R2653" s="318"/>
      <c r="S2653" s="318"/>
      <c r="T2653" s="318"/>
      <c r="U2653" s="318"/>
      <c r="V2653" s="318"/>
      <c r="W2653" s="318"/>
      <c r="X2653" s="318"/>
      <c r="Y2653" s="318"/>
      <c r="Z2653" s="318"/>
      <c r="AA2653" s="318"/>
      <c r="AB2653" s="318"/>
      <c r="AC2653" s="318"/>
      <c r="AD2653" s="318"/>
    </row>
    <row r="2654" spans="2:30" s="323" customFormat="1" ht="12" customHeight="1">
      <c r="B2654" s="324"/>
      <c r="C2654" s="325"/>
      <c r="D2654" s="326"/>
      <c r="E2654" s="326"/>
      <c r="F2654" s="326"/>
      <c r="G2654" s="326"/>
      <c r="H2654" s="326"/>
      <c r="P2654" s="318"/>
      <c r="Q2654" s="318"/>
      <c r="R2654" s="318"/>
      <c r="S2654" s="318"/>
      <c r="T2654" s="318"/>
      <c r="U2654" s="318"/>
      <c r="V2654" s="318"/>
      <c r="W2654" s="318"/>
      <c r="X2654" s="318"/>
      <c r="Y2654" s="318"/>
      <c r="Z2654" s="318"/>
      <c r="AA2654" s="318"/>
      <c r="AB2654" s="318"/>
      <c r="AC2654" s="318"/>
      <c r="AD2654" s="318"/>
    </row>
    <row r="2655" spans="2:30" s="323" customFormat="1" ht="12" customHeight="1">
      <c r="B2655" s="324"/>
      <c r="C2655" s="325"/>
      <c r="D2655" s="326"/>
      <c r="E2655" s="326"/>
      <c r="F2655" s="326"/>
      <c r="G2655" s="326"/>
      <c r="H2655" s="326"/>
      <c r="P2655" s="318"/>
      <c r="Q2655" s="318"/>
      <c r="R2655" s="318"/>
      <c r="S2655" s="318"/>
      <c r="T2655" s="318"/>
      <c r="U2655" s="318"/>
      <c r="V2655" s="318"/>
      <c r="W2655" s="318"/>
      <c r="X2655" s="318"/>
      <c r="Y2655" s="318"/>
      <c r="Z2655" s="318"/>
      <c r="AA2655" s="318"/>
      <c r="AB2655" s="318"/>
      <c r="AC2655" s="318"/>
      <c r="AD2655" s="318"/>
    </row>
    <row r="2656" spans="2:30" s="323" customFormat="1" ht="12" customHeight="1">
      <c r="B2656" s="324"/>
      <c r="C2656" s="325"/>
      <c r="D2656" s="326"/>
      <c r="E2656" s="326"/>
      <c r="F2656" s="326"/>
      <c r="G2656" s="326"/>
      <c r="H2656" s="326"/>
      <c r="P2656" s="318"/>
      <c r="Q2656" s="318"/>
      <c r="R2656" s="318"/>
      <c r="S2656" s="318"/>
      <c r="T2656" s="318"/>
      <c r="U2656" s="318"/>
      <c r="V2656" s="318"/>
      <c r="W2656" s="318"/>
      <c r="X2656" s="318"/>
      <c r="Y2656" s="318"/>
      <c r="Z2656" s="318"/>
      <c r="AA2656" s="318"/>
      <c r="AB2656" s="318"/>
      <c r="AC2656" s="318"/>
      <c r="AD2656" s="318"/>
    </row>
    <row r="2657" spans="2:30" s="323" customFormat="1" ht="12" customHeight="1">
      <c r="B2657" s="324"/>
      <c r="C2657" s="325"/>
      <c r="D2657" s="326"/>
      <c r="E2657" s="326"/>
      <c r="F2657" s="326"/>
      <c r="G2657" s="326"/>
      <c r="H2657" s="326"/>
      <c r="P2657" s="318"/>
      <c r="Q2657" s="318"/>
      <c r="R2657" s="318"/>
      <c r="S2657" s="318"/>
      <c r="T2657" s="318"/>
      <c r="U2657" s="318"/>
      <c r="V2657" s="318"/>
      <c r="W2657" s="318"/>
      <c r="X2657" s="318"/>
      <c r="Y2657" s="318"/>
      <c r="Z2657" s="318"/>
      <c r="AA2657" s="318"/>
      <c r="AB2657" s="318"/>
      <c r="AC2657" s="318"/>
      <c r="AD2657" s="318"/>
    </row>
    <row r="2658" spans="2:30" s="323" customFormat="1" ht="12" customHeight="1">
      <c r="B2658" s="324"/>
      <c r="C2658" s="325"/>
      <c r="D2658" s="326"/>
      <c r="E2658" s="326"/>
      <c r="F2658" s="326"/>
      <c r="G2658" s="326"/>
      <c r="H2658" s="326"/>
      <c r="P2658" s="318"/>
      <c r="Q2658" s="318"/>
      <c r="R2658" s="318"/>
      <c r="S2658" s="318"/>
      <c r="T2658" s="318"/>
      <c r="U2658" s="318"/>
      <c r="V2658" s="318"/>
      <c r="W2658" s="318"/>
      <c r="X2658" s="318"/>
      <c r="Y2658" s="318"/>
      <c r="Z2658" s="318"/>
      <c r="AA2658" s="318"/>
      <c r="AB2658" s="318"/>
      <c r="AC2658" s="318"/>
      <c r="AD2658" s="318"/>
    </row>
    <row r="2659" spans="2:30" s="323" customFormat="1" ht="12" customHeight="1">
      <c r="B2659" s="324"/>
      <c r="C2659" s="325"/>
      <c r="D2659" s="326"/>
      <c r="E2659" s="326"/>
      <c r="F2659" s="326"/>
      <c r="G2659" s="326"/>
      <c r="H2659" s="326"/>
      <c r="P2659" s="318"/>
      <c r="Q2659" s="318"/>
      <c r="R2659" s="318"/>
      <c r="S2659" s="318"/>
      <c r="T2659" s="318"/>
      <c r="U2659" s="318"/>
      <c r="V2659" s="318"/>
      <c r="W2659" s="318"/>
      <c r="X2659" s="318"/>
      <c r="Y2659" s="318"/>
      <c r="Z2659" s="318"/>
      <c r="AA2659" s="318"/>
      <c r="AB2659" s="318"/>
      <c r="AC2659" s="318"/>
      <c r="AD2659" s="318"/>
    </row>
    <row r="2660" spans="2:30" s="323" customFormat="1" ht="12" customHeight="1">
      <c r="B2660" s="324"/>
      <c r="C2660" s="325"/>
      <c r="D2660" s="326"/>
      <c r="E2660" s="326"/>
      <c r="F2660" s="326"/>
      <c r="G2660" s="326"/>
      <c r="H2660" s="326"/>
      <c r="P2660" s="318"/>
      <c r="Q2660" s="318"/>
      <c r="R2660" s="318"/>
      <c r="S2660" s="318"/>
      <c r="T2660" s="318"/>
      <c r="U2660" s="318"/>
      <c r="V2660" s="318"/>
      <c r="W2660" s="318"/>
      <c r="X2660" s="318"/>
      <c r="Y2660" s="318"/>
      <c r="Z2660" s="318"/>
      <c r="AA2660" s="318"/>
      <c r="AB2660" s="318"/>
      <c r="AC2660" s="318"/>
      <c r="AD2660" s="318"/>
    </row>
    <row r="2661" spans="2:30" s="323" customFormat="1" ht="12" customHeight="1">
      <c r="B2661" s="324"/>
      <c r="C2661" s="325"/>
      <c r="D2661" s="326"/>
      <c r="E2661" s="326"/>
      <c r="F2661" s="326"/>
      <c r="G2661" s="326"/>
      <c r="H2661" s="326"/>
      <c r="P2661" s="318"/>
      <c r="Q2661" s="318"/>
      <c r="R2661" s="318"/>
      <c r="S2661" s="318"/>
      <c r="T2661" s="318"/>
      <c r="U2661" s="318"/>
      <c r="V2661" s="318"/>
      <c r="W2661" s="318"/>
      <c r="X2661" s="318"/>
      <c r="Y2661" s="318"/>
      <c r="Z2661" s="318"/>
      <c r="AA2661" s="318"/>
      <c r="AB2661" s="318"/>
      <c r="AC2661" s="318"/>
      <c r="AD2661" s="318"/>
    </row>
    <row r="2662" spans="2:30" s="323" customFormat="1" ht="12" customHeight="1">
      <c r="B2662" s="324"/>
      <c r="C2662" s="325"/>
      <c r="D2662" s="326"/>
      <c r="E2662" s="326"/>
      <c r="F2662" s="326"/>
      <c r="G2662" s="326"/>
      <c r="H2662" s="326"/>
      <c r="P2662" s="318"/>
      <c r="Q2662" s="318"/>
      <c r="R2662" s="318"/>
      <c r="S2662" s="318"/>
      <c r="T2662" s="318"/>
      <c r="U2662" s="318"/>
      <c r="V2662" s="318"/>
      <c r="W2662" s="318"/>
      <c r="X2662" s="318"/>
      <c r="Y2662" s="318"/>
      <c r="Z2662" s="318"/>
      <c r="AA2662" s="318"/>
      <c r="AB2662" s="318"/>
      <c r="AC2662" s="318"/>
      <c r="AD2662" s="318"/>
    </row>
    <row r="2663" spans="2:30" s="323" customFormat="1" ht="12" customHeight="1">
      <c r="B2663" s="324"/>
      <c r="C2663" s="325"/>
      <c r="D2663" s="326"/>
      <c r="E2663" s="326"/>
      <c r="F2663" s="326"/>
      <c r="G2663" s="326"/>
      <c r="H2663" s="326"/>
      <c r="P2663" s="318"/>
      <c r="Q2663" s="318"/>
      <c r="R2663" s="318"/>
      <c r="S2663" s="318"/>
      <c r="T2663" s="318"/>
      <c r="U2663" s="318"/>
      <c r="V2663" s="318"/>
      <c r="W2663" s="318"/>
      <c r="X2663" s="318"/>
      <c r="Y2663" s="318"/>
      <c r="Z2663" s="318"/>
      <c r="AA2663" s="318"/>
      <c r="AB2663" s="318"/>
      <c r="AC2663" s="318"/>
      <c r="AD2663" s="318"/>
    </row>
    <row r="2664" spans="2:30" s="323" customFormat="1" ht="12" customHeight="1">
      <c r="B2664" s="324"/>
      <c r="C2664" s="325"/>
      <c r="D2664" s="326"/>
      <c r="E2664" s="326"/>
      <c r="F2664" s="326"/>
      <c r="G2664" s="326"/>
      <c r="H2664" s="326"/>
      <c r="P2664" s="318"/>
      <c r="Q2664" s="318"/>
      <c r="R2664" s="318"/>
      <c r="S2664" s="318"/>
      <c r="T2664" s="318"/>
      <c r="U2664" s="318"/>
      <c r="V2664" s="318"/>
      <c r="W2664" s="318"/>
      <c r="X2664" s="318"/>
      <c r="Y2664" s="318"/>
      <c r="Z2664" s="318"/>
      <c r="AA2664" s="318"/>
      <c r="AB2664" s="318"/>
      <c r="AC2664" s="318"/>
      <c r="AD2664" s="318"/>
    </row>
    <row r="2665" spans="2:30" s="323" customFormat="1" ht="12" customHeight="1">
      <c r="B2665" s="324"/>
      <c r="C2665" s="325"/>
      <c r="D2665" s="326"/>
      <c r="E2665" s="326"/>
      <c r="F2665" s="326"/>
      <c r="G2665" s="326"/>
      <c r="H2665" s="326"/>
      <c r="P2665" s="318"/>
      <c r="Q2665" s="318"/>
      <c r="R2665" s="318"/>
      <c r="S2665" s="318"/>
      <c r="T2665" s="318"/>
      <c r="U2665" s="318"/>
      <c r="V2665" s="318"/>
      <c r="W2665" s="318"/>
      <c r="X2665" s="318"/>
      <c r="Y2665" s="318"/>
      <c r="Z2665" s="318"/>
      <c r="AA2665" s="318"/>
      <c r="AB2665" s="318"/>
      <c r="AC2665" s="318"/>
      <c r="AD2665" s="318"/>
    </row>
    <row r="2666" spans="2:30" s="323" customFormat="1" ht="12" customHeight="1">
      <c r="B2666" s="324"/>
      <c r="C2666" s="325"/>
      <c r="D2666" s="326"/>
      <c r="E2666" s="326"/>
      <c r="F2666" s="326"/>
      <c r="G2666" s="326"/>
      <c r="H2666" s="326"/>
      <c r="P2666" s="318"/>
      <c r="Q2666" s="318"/>
      <c r="R2666" s="318"/>
      <c r="S2666" s="318"/>
      <c r="T2666" s="318"/>
      <c r="U2666" s="318"/>
      <c r="V2666" s="318"/>
      <c r="W2666" s="318"/>
      <c r="X2666" s="318"/>
      <c r="Y2666" s="318"/>
      <c r="Z2666" s="318"/>
      <c r="AA2666" s="318"/>
      <c r="AB2666" s="318"/>
      <c r="AC2666" s="318"/>
      <c r="AD2666" s="318"/>
    </row>
    <row r="2667" spans="2:30" s="323" customFormat="1" ht="12" customHeight="1">
      <c r="B2667" s="324"/>
      <c r="C2667" s="325"/>
      <c r="D2667" s="326"/>
      <c r="E2667" s="326"/>
      <c r="F2667" s="326"/>
      <c r="G2667" s="326"/>
      <c r="H2667" s="326"/>
      <c r="P2667" s="318"/>
      <c r="Q2667" s="318"/>
      <c r="R2667" s="318"/>
      <c r="S2667" s="318"/>
      <c r="T2667" s="318"/>
      <c r="U2667" s="318"/>
      <c r="V2667" s="318"/>
      <c r="W2667" s="318"/>
      <c r="X2667" s="318"/>
      <c r="Y2667" s="318"/>
      <c r="Z2667" s="318"/>
      <c r="AA2667" s="318"/>
      <c r="AB2667" s="318"/>
      <c r="AC2667" s="318"/>
      <c r="AD2667" s="318"/>
    </row>
    <row r="2668" spans="2:30" s="323" customFormat="1" ht="12" customHeight="1">
      <c r="B2668" s="324"/>
      <c r="C2668" s="325"/>
      <c r="D2668" s="326"/>
      <c r="E2668" s="326"/>
      <c r="F2668" s="326"/>
      <c r="G2668" s="326"/>
      <c r="H2668" s="326"/>
      <c r="P2668" s="318"/>
      <c r="Q2668" s="318"/>
      <c r="R2668" s="318"/>
      <c r="S2668" s="318"/>
      <c r="T2668" s="318"/>
      <c r="U2668" s="318"/>
      <c r="V2668" s="318"/>
      <c r="W2668" s="318"/>
      <c r="X2668" s="318"/>
      <c r="Y2668" s="318"/>
      <c r="Z2668" s="318"/>
      <c r="AA2668" s="318"/>
      <c r="AB2668" s="318"/>
      <c r="AC2668" s="318"/>
      <c r="AD2668" s="318"/>
    </row>
    <row r="2669" spans="2:30" s="323" customFormat="1" ht="12" customHeight="1">
      <c r="B2669" s="324"/>
      <c r="C2669" s="325"/>
      <c r="D2669" s="326"/>
      <c r="E2669" s="326"/>
      <c r="F2669" s="326"/>
      <c r="G2669" s="326"/>
      <c r="H2669" s="326"/>
      <c r="P2669" s="318"/>
      <c r="Q2669" s="318"/>
      <c r="R2669" s="318"/>
      <c r="S2669" s="318"/>
      <c r="T2669" s="318"/>
      <c r="U2669" s="318"/>
      <c r="V2669" s="318"/>
      <c r="W2669" s="318"/>
      <c r="X2669" s="318"/>
      <c r="Y2669" s="318"/>
      <c r="Z2669" s="318"/>
      <c r="AA2669" s="318"/>
      <c r="AB2669" s="318"/>
      <c r="AC2669" s="318"/>
      <c r="AD2669" s="318"/>
    </row>
    <row r="2670" spans="2:30" s="323" customFormat="1" ht="12" customHeight="1">
      <c r="B2670" s="324"/>
      <c r="C2670" s="325"/>
      <c r="D2670" s="326"/>
      <c r="E2670" s="326"/>
      <c r="F2670" s="326"/>
      <c r="G2670" s="326"/>
      <c r="H2670" s="326"/>
      <c r="P2670" s="318"/>
      <c r="Q2670" s="318"/>
      <c r="R2670" s="318"/>
      <c r="S2670" s="318"/>
      <c r="T2670" s="318"/>
      <c r="U2670" s="318"/>
      <c r="V2670" s="318"/>
      <c r="W2670" s="318"/>
      <c r="X2670" s="318"/>
      <c r="Y2670" s="318"/>
      <c r="Z2670" s="318"/>
      <c r="AA2670" s="318"/>
      <c r="AB2670" s="318"/>
      <c r="AC2670" s="318"/>
      <c r="AD2670" s="318"/>
    </row>
    <row r="2671" spans="2:30" s="323" customFormat="1" ht="12" customHeight="1">
      <c r="B2671" s="324"/>
      <c r="C2671" s="325"/>
      <c r="D2671" s="326"/>
      <c r="E2671" s="326"/>
      <c r="F2671" s="326"/>
      <c r="G2671" s="326"/>
      <c r="H2671" s="326"/>
      <c r="P2671" s="318"/>
      <c r="Q2671" s="318"/>
      <c r="R2671" s="318"/>
      <c r="S2671" s="318"/>
      <c r="T2671" s="318"/>
      <c r="U2671" s="318"/>
      <c r="V2671" s="318"/>
      <c r="W2671" s="318"/>
      <c r="X2671" s="318"/>
      <c r="Y2671" s="318"/>
      <c r="Z2671" s="318"/>
      <c r="AA2671" s="318"/>
      <c r="AB2671" s="318"/>
      <c r="AC2671" s="318"/>
      <c r="AD2671" s="318"/>
    </row>
    <row r="2672" spans="2:30" s="323" customFormat="1" ht="12" customHeight="1">
      <c r="B2672" s="324"/>
      <c r="C2672" s="325"/>
      <c r="D2672" s="326"/>
      <c r="E2672" s="326"/>
      <c r="F2672" s="326"/>
      <c r="G2672" s="326"/>
      <c r="H2672" s="326"/>
      <c r="P2672" s="318"/>
      <c r="Q2672" s="318"/>
      <c r="R2672" s="318"/>
      <c r="S2672" s="318"/>
      <c r="T2672" s="318"/>
      <c r="U2672" s="318"/>
      <c r="V2672" s="318"/>
      <c r="W2672" s="318"/>
      <c r="X2672" s="318"/>
      <c r="Y2672" s="318"/>
      <c r="Z2672" s="318"/>
      <c r="AA2672" s="318"/>
      <c r="AB2672" s="318"/>
      <c r="AC2672" s="318"/>
      <c r="AD2672" s="318"/>
    </row>
    <row r="2673" spans="2:30" s="323" customFormat="1" ht="12" customHeight="1">
      <c r="B2673" s="324"/>
      <c r="C2673" s="325"/>
      <c r="D2673" s="326"/>
      <c r="E2673" s="326"/>
      <c r="F2673" s="326"/>
      <c r="G2673" s="326"/>
      <c r="H2673" s="326"/>
      <c r="P2673" s="318"/>
      <c r="Q2673" s="318"/>
      <c r="R2673" s="318"/>
      <c r="S2673" s="318"/>
      <c r="T2673" s="318"/>
      <c r="U2673" s="318"/>
      <c r="V2673" s="318"/>
      <c r="W2673" s="318"/>
      <c r="X2673" s="318"/>
      <c r="Y2673" s="318"/>
      <c r="Z2673" s="318"/>
      <c r="AA2673" s="318"/>
      <c r="AB2673" s="318"/>
      <c r="AC2673" s="318"/>
      <c r="AD2673" s="318"/>
    </row>
    <row r="2674" spans="2:30" s="323" customFormat="1" ht="12" customHeight="1">
      <c r="B2674" s="324"/>
      <c r="C2674" s="325"/>
      <c r="D2674" s="326"/>
      <c r="E2674" s="326"/>
      <c r="F2674" s="326"/>
      <c r="G2674" s="326"/>
      <c r="H2674" s="326"/>
      <c r="P2674" s="318"/>
      <c r="Q2674" s="318"/>
      <c r="R2674" s="318"/>
      <c r="S2674" s="318"/>
      <c r="T2674" s="318"/>
      <c r="U2674" s="318"/>
      <c r="V2674" s="318"/>
      <c r="W2674" s="318"/>
      <c r="X2674" s="318"/>
      <c r="Y2674" s="318"/>
      <c r="Z2674" s="318"/>
      <c r="AA2674" s="318"/>
      <c r="AB2674" s="318"/>
      <c r="AC2674" s="318"/>
      <c r="AD2674" s="318"/>
    </row>
    <row r="2675" spans="2:30" s="323" customFormat="1" ht="12" customHeight="1">
      <c r="B2675" s="324"/>
      <c r="C2675" s="325"/>
      <c r="D2675" s="326"/>
      <c r="E2675" s="326"/>
      <c r="F2675" s="326"/>
      <c r="G2675" s="326"/>
      <c r="H2675" s="326"/>
      <c r="P2675" s="318"/>
      <c r="Q2675" s="318"/>
      <c r="R2675" s="318"/>
      <c r="S2675" s="318"/>
      <c r="T2675" s="318"/>
      <c r="U2675" s="318"/>
      <c r="V2675" s="318"/>
      <c r="W2675" s="318"/>
      <c r="X2675" s="318"/>
      <c r="Y2675" s="318"/>
      <c r="Z2675" s="318"/>
      <c r="AA2675" s="318"/>
      <c r="AB2675" s="318"/>
      <c r="AC2675" s="318"/>
      <c r="AD2675" s="318"/>
    </row>
    <row r="2676" spans="2:30" s="323" customFormat="1" ht="12" customHeight="1">
      <c r="B2676" s="324"/>
      <c r="C2676" s="325"/>
      <c r="D2676" s="326"/>
      <c r="E2676" s="326"/>
      <c r="F2676" s="326"/>
      <c r="G2676" s="326"/>
      <c r="H2676" s="326"/>
      <c r="P2676" s="318"/>
      <c r="Q2676" s="318"/>
      <c r="R2676" s="318"/>
      <c r="S2676" s="318"/>
      <c r="T2676" s="318"/>
      <c r="U2676" s="318"/>
      <c r="V2676" s="318"/>
      <c r="W2676" s="318"/>
      <c r="X2676" s="318"/>
      <c r="Y2676" s="318"/>
      <c r="Z2676" s="318"/>
      <c r="AA2676" s="318"/>
      <c r="AB2676" s="318"/>
      <c r="AC2676" s="318"/>
      <c r="AD2676" s="318"/>
    </row>
    <row r="2677" spans="2:30" s="323" customFormat="1" ht="12" customHeight="1">
      <c r="B2677" s="324"/>
      <c r="C2677" s="325"/>
      <c r="D2677" s="326"/>
      <c r="E2677" s="326"/>
      <c r="F2677" s="326"/>
      <c r="G2677" s="326"/>
      <c r="H2677" s="326"/>
      <c r="P2677" s="318"/>
      <c r="Q2677" s="318"/>
      <c r="R2677" s="318"/>
      <c r="S2677" s="318"/>
      <c r="T2677" s="318"/>
      <c r="U2677" s="318"/>
      <c r="V2677" s="318"/>
      <c r="W2677" s="318"/>
      <c r="X2677" s="318"/>
      <c r="Y2677" s="318"/>
      <c r="Z2677" s="318"/>
      <c r="AA2677" s="318"/>
      <c r="AB2677" s="318"/>
      <c r="AC2677" s="318"/>
      <c r="AD2677" s="318"/>
    </row>
    <row r="2678" spans="2:30" s="323" customFormat="1" ht="12" customHeight="1">
      <c r="B2678" s="324"/>
      <c r="C2678" s="325"/>
      <c r="D2678" s="326"/>
      <c r="E2678" s="326"/>
      <c r="F2678" s="326"/>
      <c r="G2678" s="326"/>
      <c r="H2678" s="326"/>
      <c r="P2678" s="318"/>
      <c r="Q2678" s="318"/>
      <c r="R2678" s="318"/>
      <c r="S2678" s="318"/>
      <c r="T2678" s="318"/>
      <c r="U2678" s="318"/>
      <c r="V2678" s="318"/>
      <c r="W2678" s="318"/>
      <c r="X2678" s="318"/>
      <c r="Y2678" s="318"/>
      <c r="Z2678" s="318"/>
      <c r="AA2678" s="318"/>
      <c r="AB2678" s="318"/>
      <c r="AC2678" s="318"/>
      <c r="AD2678" s="318"/>
    </row>
    <row r="2679" spans="2:30" s="323" customFormat="1" ht="12" customHeight="1">
      <c r="B2679" s="324"/>
      <c r="C2679" s="325"/>
      <c r="D2679" s="326"/>
      <c r="E2679" s="326"/>
      <c r="F2679" s="326"/>
      <c r="G2679" s="326"/>
      <c r="H2679" s="326"/>
      <c r="P2679" s="318"/>
      <c r="Q2679" s="318"/>
      <c r="R2679" s="318"/>
      <c r="S2679" s="318"/>
      <c r="T2679" s="318"/>
      <c r="U2679" s="318"/>
      <c r="V2679" s="318"/>
      <c r="W2679" s="318"/>
      <c r="X2679" s="318"/>
      <c r="Y2679" s="318"/>
      <c r="Z2679" s="318"/>
      <c r="AA2679" s="318"/>
      <c r="AB2679" s="318"/>
      <c r="AC2679" s="318"/>
      <c r="AD2679" s="318"/>
    </row>
    <row r="2680" spans="2:30" s="323" customFormat="1" ht="12" customHeight="1">
      <c r="B2680" s="324"/>
      <c r="C2680" s="325"/>
      <c r="D2680" s="326"/>
      <c r="E2680" s="326"/>
      <c r="F2680" s="326"/>
      <c r="G2680" s="326"/>
      <c r="H2680" s="326"/>
      <c r="P2680" s="318"/>
      <c r="Q2680" s="318"/>
      <c r="R2680" s="318"/>
      <c r="S2680" s="318"/>
      <c r="T2680" s="318"/>
      <c r="U2680" s="318"/>
      <c r="V2680" s="318"/>
      <c r="W2680" s="318"/>
      <c r="X2680" s="318"/>
      <c r="Y2680" s="318"/>
      <c r="Z2680" s="318"/>
      <c r="AA2680" s="318"/>
      <c r="AB2680" s="318"/>
      <c r="AC2680" s="318"/>
      <c r="AD2680" s="318"/>
    </row>
    <row r="2681" spans="2:30" s="323" customFormat="1" ht="12" customHeight="1">
      <c r="B2681" s="324"/>
      <c r="C2681" s="325"/>
      <c r="D2681" s="326"/>
      <c r="E2681" s="326"/>
      <c r="F2681" s="326"/>
      <c r="G2681" s="326"/>
      <c r="H2681" s="326"/>
      <c r="P2681" s="318"/>
      <c r="Q2681" s="318"/>
      <c r="R2681" s="318"/>
      <c r="S2681" s="318"/>
      <c r="T2681" s="318"/>
      <c r="U2681" s="318"/>
      <c r="V2681" s="318"/>
      <c r="W2681" s="318"/>
      <c r="X2681" s="318"/>
      <c r="Y2681" s="318"/>
      <c r="Z2681" s="318"/>
      <c r="AA2681" s="318"/>
      <c r="AB2681" s="318"/>
      <c r="AC2681" s="318"/>
      <c r="AD2681" s="318"/>
    </row>
    <row r="2682" spans="2:30" s="323" customFormat="1" ht="12" customHeight="1">
      <c r="B2682" s="324"/>
      <c r="C2682" s="325"/>
      <c r="D2682" s="326"/>
      <c r="E2682" s="326"/>
      <c r="F2682" s="326"/>
      <c r="G2682" s="326"/>
      <c r="H2682" s="326"/>
      <c r="P2682" s="318"/>
      <c r="Q2682" s="318"/>
      <c r="R2682" s="318"/>
      <c r="S2682" s="318"/>
      <c r="T2682" s="318"/>
      <c r="U2682" s="318"/>
      <c r="V2682" s="318"/>
      <c r="W2682" s="318"/>
      <c r="X2682" s="318"/>
      <c r="Y2682" s="318"/>
      <c r="Z2682" s="318"/>
      <c r="AA2682" s="318"/>
      <c r="AB2682" s="318"/>
      <c r="AC2682" s="318"/>
      <c r="AD2682" s="318"/>
    </row>
    <row r="2683" spans="2:30" s="323" customFormat="1" ht="12" customHeight="1">
      <c r="B2683" s="324"/>
      <c r="C2683" s="325"/>
      <c r="D2683" s="326"/>
      <c r="E2683" s="326"/>
      <c r="F2683" s="326"/>
      <c r="G2683" s="326"/>
      <c r="H2683" s="326"/>
      <c r="P2683" s="318"/>
      <c r="Q2683" s="318"/>
      <c r="R2683" s="318"/>
      <c r="S2683" s="318"/>
      <c r="T2683" s="318"/>
      <c r="U2683" s="318"/>
      <c r="V2683" s="318"/>
      <c r="W2683" s="318"/>
      <c r="X2683" s="318"/>
      <c r="Y2683" s="318"/>
      <c r="Z2683" s="318"/>
      <c r="AA2683" s="318"/>
      <c r="AB2683" s="318"/>
      <c r="AC2683" s="318"/>
      <c r="AD2683" s="318"/>
    </row>
    <row r="2684" spans="2:30" s="323" customFormat="1" ht="12" customHeight="1">
      <c r="B2684" s="324"/>
      <c r="C2684" s="325"/>
      <c r="D2684" s="326"/>
      <c r="E2684" s="326"/>
      <c r="F2684" s="326"/>
      <c r="G2684" s="326"/>
      <c r="H2684" s="326"/>
      <c r="P2684" s="318"/>
      <c r="Q2684" s="318"/>
      <c r="R2684" s="318"/>
      <c r="S2684" s="318"/>
      <c r="T2684" s="318"/>
      <c r="U2684" s="318"/>
      <c r="V2684" s="318"/>
      <c r="W2684" s="318"/>
      <c r="X2684" s="318"/>
      <c r="Y2684" s="318"/>
      <c r="Z2684" s="318"/>
      <c r="AA2684" s="318"/>
      <c r="AB2684" s="318"/>
      <c r="AC2684" s="318"/>
      <c r="AD2684" s="318"/>
    </row>
    <row r="2685" spans="2:30" s="323" customFormat="1" ht="12" customHeight="1">
      <c r="B2685" s="324"/>
      <c r="C2685" s="325"/>
      <c r="D2685" s="326"/>
      <c r="E2685" s="326"/>
      <c r="F2685" s="326"/>
      <c r="G2685" s="326"/>
      <c r="H2685" s="326"/>
      <c r="P2685" s="318"/>
      <c r="Q2685" s="318"/>
      <c r="R2685" s="318"/>
      <c r="S2685" s="318"/>
      <c r="T2685" s="318"/>
      <c r="U2685" s="318"/>
      <c r="V2685" s="318"/>
      <c r="W2685" s="318"/>
      <c r="X2685" s="318"/>
      <c r="Y2685" s="318"/>
      <c r="Z2685" s="318"/>
      <c r="AA2685" s="318"/>
      <c r="AB2685" s="318"/>
      <c r="AC2685" s="318"/>
      <c r="AD2685" s="318"/>
    </row>
    <row r="2686" spans="2:30" s="323" customFormat="1" ht="12" customHeight="1">
      <c r="B2686" s="324"/>
      <c r="C2686" s="325"/>
      <c r="D2686" s="326"/>
      <c r="E2686" s="326"/>
      <c r="F2686" s="326"/>
      <c r="G2686" s="326"/>
      <c r="H2686" s="326"/>
      <c r="P2686" s="318"/>
      <c r="Q2686" s="318"/>
      <c r="R2686" s="318"/>
      <c r="S2686" s="318"/>
      <c r="T2686" s="318"/>
      <c r="U2686" s="318"/>
      <c r="V2686" s="318"/>
      <c r="W2686" s="318"/>
      <c r="X2686" s="318"/>
      <c r="Y2686" s="318"/>
      <c r="Z2686" s="318"/>
      <c r="AA2686" s="318"/>
      <c r="AB2686" s="318"/>
      <c r="AC2686" s="318"/>
      <c r="AD2686" s="318"/>
    </row>
    <row r="2687" spans="2:30" s="323" customFormat="1" ht="12" customHeight="1">
      <c r="B2687" s="324"/>
      <c r="C2687" s="325"/>
      <c r="D2687" s="326"/>
      <c r="E2687" s="326"/>
      <c r="F2687" s="326"/>
      <c r="G2687" s="326"/>
      <c r="H2687" s="326"/>
      <c r="P2687" s="318"/>
      <c r="Q2687" s="318"/>
      <c r="R2687" s="318"/>
      <c r="S2687" s="318"/>
      <c r="T2687" s="318"/>
      <c r="U2687" s="318"/>
      <c r="V2687" s="318"/>
      <c r="W2687" s="318"/>
      <c r="X2687" s="318"/>
      <c r="Y2687" s="318"/>
      <c r="Z2687" s="318"/>
      <c r="AA2687" s="318"/>
      <c r="AB2687" s="318"/>
      <c r="AC2687" s="318"/>
      <c r="AD2687" s="318"/>
    </row>
    <row r="2688" spans="2:30" s="323" customFormat="1" ht="12" customHeight="1">
      <c r="B2688" s="324"/>
      <c r="C2688" s="325"/>
      <c r="D2688" s="326"/>
      <c r="E2688" s="326"/>
      <c r="F2688" s="326"/>
      <c r="G2688" s="326"/>
      <c r="H2688" s="326"/>
      <c r="P2688" s="318"/>
      <c r="Q2688" s="318"/>
      <c r="R2688" s="318"/>
      <c r="S2688" s="318"/>
      <c r="T2688" s="318"/>
      <c r="U2688" s="318"/>
      <c r="V2688" s="318"/>
      <c r="W2688" s="318"/>
      <c r="X2688" s="318"/>
      <c r="Y2688" s="318"/>
      <c r="Z2688" s="318"/>
      <c r="AA2688" s="318"/>
      <c r="AB2688" s="318"/>
      <c r="AC2688" s="318"/>
      <c r="AD2688" s="318"/>
    </row>
    <row r="2689" spans="2:30" s="323" customFormat="1" ht="12" customHeight="1">
      <c r="B2689" s="324"/>
      <c r="C2689" s="325"/>
      <c r="D2689" s="326"/>
      <c r="E2689" s="326"/>
      <c r="F2689" s="326"/>
      <c r="G2689" s="326"/>
      <c r="H2689" s="326"/>
      <c r="P2689" s="318"/>
      <c r="Q2689" s="318"/>
      <c r="R2689" s="318"/>
      <c r="S2689" s="318"/>
      <c r="T2689" s="318"/>
      <c r="U2689" s="318"/>
      <c r="V2689" s="318"/>
      <c r="W2689" s="318"/>
      <c r="X2689" s="318"/>
      <c r="Y2689" s="318"/>
      <c r="Z2689" s="318"/>
      <c r="AA2689" s="318"/>
      <c r="AB2689" s="318"/>
      <c r="AC2689" s="318"/>
      <c r="AD2689" s="318"/>
    </row>
    <row r="2690" spans="2:30" s="323" customFormat="1" ht="12" customHeight="1">
      <c r="B2690" s="324"/>
      <c r="C2690" s="325"/>
      <c r="D2690" s="326"/>
      <c r="E2690" s="326"/>
      <c r="F2690" s="326"/>
      <c r="G2690" s="326"/>
      <c r="H2690" s="326"/>
      <c r="P2690" s="318"/>
      <c r="Q2690" s="318"/>
      <c r="R2690" s="318"/>
      <c r="S2690" s="318"/>
      <c r="T2690" s="318"/>
      <c r="U2690" s="318"/>
      <c r="V2690" s="318"/>
      <c r="W2690" s="318"/>
      <c r="X2690" s="318"/>
      <c r="Y2690" s="318"/>
      <c r="Z2690" s="318"/>
      <c r="AA2690" s="318"/>
      <c r="AB2690" s="318"/>
      <c r="AC2690" s="318"/>
      <c r="AD2690" s="318"/>
    </row>
    <row r="2691" spans="2:30" s="323" customFormat="1" ht="12" customHeight="1">
      <c r="B2691" s="324"/>
      <c r="C2691" s="325"/>
      <c r="D2691" s="326"/>
      <c r="E2691" s="326"/>
      <c r="F2691" s="326"/>
      <c r="G2691" s="326"/>
      <c r="H2691" s="326"/>
      <c r="P2691" s="318"/>
      <c r="Q2691" s="318"/>
      <c r="R2691" s="318"/>
      <c r="S2691" s="318"/>
      <c r="T2691" s="318"/>
      <c r="U2691" s="318"/>
      <c r="V2691" s="318"/>
      <c r="W2691" s="318"/>
      <c r="X2691" s="318"/>
      <c r="Y2691" s="318"/>
      <c r="Z2691" s="318"/>
      <c r="AA2691" s="318"/>
      <c r="AB2691" s="318"/>
      <c r="AC2691" s="318"/>
      <c r="AD2691" s="318"/>
    </row>
    <row r="2692" spans="2:30" s="323" customFormat="1" ht="12" customHeight="1">
      <c r="B2692" s="324"/>
      <c r="C2692" s="325"/>
      <c r="D2692" s="326"/>
      <c r="E2692" s="326"/>
      <c r="F2692" s="326"/>
      <c r="G2692" s="326"/>
      <c r="H2692" s="326"/>
      <c r="P2692" s="318"/>
      <c r="Q2692" s="318"/>
      <c r="R2692" s="318"/>
      <c r="S2692" s="318"/>
      <c r="T2692" s="318"/>
      <c r="U2692" s="318"/>
      <c r="V2692" s="318"/>
      <c r="W2692" s="318"/>
      <c r="X2692" s="318"/>
      <c r="Y2692" s="318"/>
      <c r="Z2692" s="318"/>
      <c r="AA2692" s="318"/>
      <c r="AB2692" s="318"/>
      <c r="AC2692" s="318"/>
      <c r="AD2692" s="318"/>
    </row>
    <row r="2693" spans="2:30" s="323" customFormat="1" ht="12" customHeight="1">
      <c r="B2693" s="324"/>
      <c r="C2693" s="325"/>
      <c r="D2693" s="326"/>
      <c r="E2693" s="326"/>
      <c r="F2693" s="326"/>
      <c r="G2693" s="326"/>
      <c r="H2693" s="326"/>
      <c r="P2693" s="318"/>
      <c r="Q2693" s="318"/>
      <c r="R2693" s="318"/>
      <c r="S2693" s="318"/>
      <c r="T2693" s="318"/>
      <c r="U2693" s="318"/>
      <c r="V2693" s="318"/>
      <c r="W2693" s="318"/>
      <c r="X2693" s="318"/>
      <c r="Y2693" s="318"/>
      <c r="Z2693" s="318"/>
      <c r="AA2693" s="318"/>
      <c r="AB2693" s="318"/>
      <c r="AC2693" s="318"/>
      <c r="AD2693" s="318"/>
    </row>
    <row r="2694" spans="2:30" s="323" customFormat="1" ht="12" customHeight="1">
      <c r="B2694" s="324"/>
      <c r="C2694" s="325"/>
      <c r="D2694" s="326"/>
      <c r="E2694" s="326"/>
      <c r="F2694" s="326"/>
      <c r="G2694" s="326"/>
      <c r="H2694" s="326"/>
      <c r="P2694" s="318"/>
      <c r="Q2694" s="318"/>
      <c r="R2694" s="318"/>
      <c r="S2694" s="318"/>
      <c r="T2694" s="318"/>
      <c r="U2694" s="318"/>
      <c r="V2694" s="318"/>
      <c r="W2694" s="318"/>
      <c r="X2694" s="318"/>
      <c r="Y2694" s="318"/>
      <c r="Z2694" s="318"/>
      <c r="AA2694" s="318"/>
      <c r="AB2694" s="318"/>
      <c r="AC2694" s="318"/>
      <c r="AD2694" s="318"/>
    </row>
    <row r="2695" spans="2:30" s="323" customFormat="1" ht="12" customHeight="1">
      <c r="B2695" s="324"/>
      <c r="C2695" s="325"/>
      <c r="D2695" s="326"/>
      <c r="E2695" s="326"/>
      <c r="F2695" s="326"/>
      <c r="G2695" s="326"/>
      <c r="H2695" s="326"/>
      <c r="P2695" s="318"/>
      <c r="Q2695" s="318"/>
      <c r="R2695" s="318"/>
      <c r="S2695" s="318"/>
      <c r="T2695" s="318"/>
      <c r="U2695" s="318"/>
      <c r="V2695" s="318"/>
      <c r="W2695" s="318"/>
      <c r="X2695" s="318"/>
      <c r="Y2695" s="318"/>
      <c r="Z2695" s="318"/>
      <c r="AA2695" s="318"/>
      <c r="AB2695" s="318"/>
      <c r="AC2695" s="318"/>
      <c r="AD2695" s="318"/>
    </row>
    <row r="2696" spans="2:30" s="323" customFormat="1" ht="12" customHeight="1">
      <c r="B2696" s="324"/>
      <c r="C2696" s="325"/>
      <c r="D2696" s="326"/>
      <c r="E2696" s="326"/>
      <c r="F2696" s="326"/>
      <c r="G2696" s="326"/>
      <c r="H2696" s="326"/>
      <c r="P2696" s="318"/>
      <c r="Q2696" s="318"/>
      <c r="R2696" s="318"/>
      <c r="S2696" s="318"/>
      <c r="T2696" s="318"/>
      <c r="U2696" s="318"/>
      <c r="V2696" s="318"/>
      <c r="W2696" s="318"/>
      <c r="X2696" s="318"/>
      <c r="Y2696" s="318"/>
      <c r="Z2696" s="318"/>
      <c r="AA2696" s="318"/>
      <c r="AB2696" s="318"/>
      <c r="AC2696" s="318"/>
      <c r="AD2696" s="318"/>
    </row>
    <row r="2697" spans="2:30" s="323" customFormat="1" ht="12" customHeight="1">
      <c r="B2697" s="324"/>
      <c r="C2697" s="325"/>
      <c r="D2697" s="326"/>
      <c r="E2697" s="326"/>
      <c r="F2697" s="326"/>
      <c r="G2697" s="326"/>
      <c r="H2697" s="326"/>
      <c r="P2697" s="318"/>
      <c r="Q2697" s="318"/>
      <c r="R2697" s="318"/>
      <c r="S2697" s="318"/>
      <c r="T2697" s="318"/>
      <c r="U2697" s="318"/>
      <c r="V2697" s="318"/>
      <c r="W2697" s="318"/>
      <c r="X2697" s="318"/>
      <c r="Y2697" s="318"/>
      <c r="Z2697" s="318"/>
      <c r="AA2697" s="318"/>
      <c r="AB2697" s="318"/>
      <c r="AC2697" s="318"/>
      <c r="AD2697" s="318"/>
    </row>
    <row r="2698" spans="2:30" s="323" customFormat="1" ht="12" customHeight="1">
      <c r="B2698" s="324"/>
      <c r="C2698" s="325"/>
      <c r="D2698" s="326"/>
      <c r="E2698" s="326"/>
      <c r="F2698" s="326"/>
      <c r="G2698" s="326"/>
      <c r="H2698" s="326"/>
      <c r="P2698" s="318"/>
      <c r="Q2698" s="318"/>
      <c r="R2698" s="318"/>
      <c r="S2698" s="318"/>
      <c r="T2698" s="318"/>
      <c r="U2698" s="318"/>
      <c r="V2698" s="318"/>
      <c r="W2698" s="318"/>
      <c r="X2698" s="318"/>
      <c r="Y2698" s="318"/>
      <c r="Z2698" s="318"/>
      <c r="AA2698" s="318"/>
      <c r="AB2698" s="318"/>
      <c r="AC2698" s="318"/>
      <c r="AD2698" s="318"/>
    </row>
    <row r="2699" spans="2:30" s="323" customFormat="1" ht="12" customHeight="1">
      <c r="B2699" s="324"/>
      <c r="C2699" s="325"/>
      <c r="D2699" s="326"/>
      <c r="E2699" s="326"/>
      <c r="F2699" s="326"/>
      <c r="G2699" s="326"/>
      <c r="H2699" s="326"/>
      <c r="P2699" s="318"/>
      <c r="Q2699" s="318"/>
      <c r="R2699" s="318"/>
      <c r="S2699" s="318"/>
      <c r="T2699" s="318"/>
      <c r="U2699" s="318"/>
      <c r="V2699" s="318"/>
      <c r="W2699" s="318"/>
      <c r="X2699" s="318"/>
      <c r="Y2699" s="318"/>
      <c r="Z2699" s="318"/>
      <c r="AA2699" s="318"/>
      <c r="AB2699" s="318"/>
      <c r="AC2699" s="318"/>
      <c r="AD2699" s="318"/>
    </row>
    <row r="2700" spans="2:30" s="323" customFormat="1" ht="12" customHeight="1">
      <c r="B2700" s="324"/>
      <c r="C2700" s="325"/>
      <c r="D2700" s="326"/>
      <c r="E2700" s="326"/>
      <c r="F2700" s="326"/>
      <c r="G2700" s="326"/>
      <c r="H2700" s="326"/>
      <c r="P2700" s="318"/>
      <c r="Q2700" s="318"/>
      <c r="R2700" s="318"/>
      <c r="S2700" s="318"/>
      <c r="T2700" s="318"/>
      <c r="U2700" s="318"/>
      <c r="V2700" s="318"/>
      <c r="W2700" s="318"/>
      <c r="X2700" s="318"/>
      <c r="Y2700" s="318"/>
      <c r="Z2700" s="318"/>
      <c r="AA2700" s="318"/>
      <c r="AB2700" s="318"/>
      <c r="AC2700" s="318"/>
      <c r="AD2700" s="318"/>
    </row>
    <row r="2701" spans="2:30" s="323" customFormat="1" ht="12" customHeight="1">
      <c r="B2701" s="324"/>
      <c r="C2701" s="325"/>
      <c r="D2701" s="326"/>
      <c r="E2701" s="326"/>
      <c r="F2701" s="326"/>
      <c r="G2701" s="326"/>
      <c r="H2701" s="326"/>
      <c r="P2701" s="318"/>
      <c r="Q2701" s="318"/>
      <c r="R2701" s="318"/>
      <c r="S2701" s="318"/>
      <c r="T2701" s="318"/>
      <c r="U2701" s="318"/>
      <c r="V2701" s="318"/>
      <c r="W2701" s="318"/>
      <c r="X2701" s="318"/>
      <c r="Y2701" s="318"/>
      <c r="Z2701" s="318"/>
      <c r="AA2701" s="318"/>
      <c r="AB2701" s="318"/>
      <c r="AC2701" s="318"/>
      <c r="AD2701" s="318"/>
    </row>
    <row r="2702" spans="2:30" s="323" customFormat="1" ht="12" customHeight="1">
      <c r="B2702" s="324"/>
      <c r="C2702" s="325"/>
      <c r="D2702" s="326"/>
      <c r="E2702" s="326"/>
      <c r="F2702" s="326"/>
      <c r="G2702" s="326"/>
      <c r="H2702" s="326"/>
      <c r="P2702" s="318"/>
      <c r="Q2702" s="318"/>
      <c r="R2702" s="318"/>
      <c r="S2702" s="318"/>
      <c r="T2702" s="318"/>
      <c r="U2702" s="318"/>
      <c r="V2702" s="318"/>
      <c r="W2702" s="318"/>
      <c r="X2702" s="318"/>
      <c r="Y2702" s="318"/>
      <c r="Z2702" s="318"/>
      <c r="AA2702" s="318"/>
      <c r="AB2702" s="318"/>
      <c r="AC2702" s="318"/>
      <c r="AD2702" s="318"/>
    </row>
    <row r="2703" spans="2:30" s="323" customFormat="1" ht="12" customHeight="1">
      <c r="B2703" s="324"/>
      <c r="C2703" s="325"/>
      <c r="D2703" s="326"/>
      <c r="E2703" s="326"/>
      <c r="F2703" s="326"/>
      <c r="G2703" s="326"/>
      <c r="H2703" s="326"/>
      <c r="P2703" s="318"/>
      <c r="Q2703" s="318"/>
      <c r="R2703" s="318"/>
      <c r="S2703" s="318"/>
      <c r="T2703" s="318"/>
      <c r="U2703" s="318"/>
      <c r="V2703" s="318"/>
      <c r="W2703" s="318"/>
      <c r="X2703" s="318"/>
      <c r="Y2703" s="318"/>
      <c r="Z2703" s="318"/>
      <c r="AA2703" s="318"/>
      <c r="AB2703" s="318"/>
      <c r="AC2703" s="318"/>
      <c r="AD2703" s="318"/>
    </row>
    <row r="2704" spans="2:30" s="323" customFormat="1" ht="12" customHeight="1">
      <c r="B2704" s="324"/>
      <c r="C2704" s="325"/>
      <c r="D2704" s="326"/>
      <c r="E2704" s="326"/>
      <c r="F2704" s="326"/>
      <c r="G2704" s="326"/>
      <c r="H2704" s="326"/>
      <c r="P2704" s="318"/>
      <c r="Q2704" s="318"/>
      <c r="R2704" s="318"/>
      <c r="S2704" s="318"/>
      <c r="T2704" s="318"/>
      <c r="U2704" s="318"/>
      <c r="V2704" s="318"/>
      <c r="W2704" s="318"/>
      <c r="X2704" s="318"/>
      <c r="Y2704" s="318"/>
      <c r="Z2704" s="318"/>
      <c r="AA2704" s="318"/>
      <c r="AB2704" s="318"/>
      <c r="AC2704" s="318"/>
      <c r="AD2704" s="318"/>
    </row>
    <row r="2705" spans="2:30" s="323" customFormat="1" ht="12" customHeight="1">
      <c r="B2705" s="324"/>
      <c r="C2705" s="325"/>
      <c r="D2705" s="326"/>
      <c r="E2705" s="326"/>
      <c r="F2705" s="326"/>
      <c r="G2705" s="326"/>
      <c r="H2705" s="326"/>
      <c r="P2705" s="318"/>
      <c r="Q2705" s="318"/>
      <c r="R2705" s="318"/>
      <c r="S2705" s="318"/>
      <c r="T2705" s="318"/>
      <c r="U2705" s="318"/>
      <c r="V2705" s="318"/>
      <c r="W2705" s="318"/>
      <c r="X2705" s="318"/>
      <c r="Y2705" s="318"/>
      <c r="Z2705" s="318"/>
      <c r="AA2705" s="318"/>
      <c r="AB2705" s="318"/>
      <c r="AC2705" s="318"/>
      <c r="AD2705" s="318"/>
    </row>
    <row r="2706" spans="2:30" s="323" customFormat="1" ht="12" customHeight="1">
      <c r="B2706" s="324"/>
      <c r="C2706" s="325"/>
      <c r="D2706" s="326"/>
      <c r="E2706" s="326"/>
      <c r="F2706" s="326"/>
      <c r="G2706" s="326"/>
      <c r="H2706" s="326"/>
      <c r="P2706" s="318"/>
      <c r="Q2706" s="318"/>
      <c r="R2706" s="318"/>
      <c r="S2706" s="318"/>
      <c r="T2706" s="318"/>
      <c r="U2706" s="318"/>
      <c r="V2706" s="318"/>
      <c r="W2706" s="318"/>
      <c r="X2706" s="318"/>
      <c r="Y2706" s="318"/>
      <c r="Z2706" s="318"/>
      <c r="AA2706" s="318"/>
      <c r="AB2706" s="318"/>
      <c r="AC2706" s="318"/>
      <c r="AD2706" s="318"/>
    </row>
    <row r="2707" spans="2:30" s="323" customFormat="1" ht="12" customHeight="1">
      <c r="B2707" s="324"/>
      <c r="C2707" s="325"/>
      <c r="D2707" s="326"/>
      <c r="E2707" s="326"/>
      <c r="F2707" s="326"/>
      <c r="G2707" s="326"/>
      <c r="H2707" s="326"/>
      <c r="P2707" s="318"/>
      <c r="Q2707" s="318"/>
      <c r="R2707" s="318"/>
      <c r="S2707" s="318"/>
      <c r="T2707" s="318"/>
      <c r="U2707" s="318"/>
      <c r="V2707" s="318"/>
      <c r="W2707" s="318"/>
      <c r="X2707" s="318"/>
      <c r="Y2707" s="318"/>
      <c r="Z2707" s="318"/>
      <c r="AA2707" s="318"/>
      <c r="AB2707" s="318"/>
      <c r="AC2707" s="318"/>
      <c r="AD2707" s="318"/>
    </row>
    <row r="2708" spans="2:30" s="323" customFormat="1" ht="12" customHeight="1">
      <c r="B2708" s="324"/>
      <c r="C2708" s="325"/>
      <c r="D2708" s="326"/>
      <c r="E2708" s="326"/>
      <c r="F2708" s="326"/>
      <c r="G2708" s="326"/>
      <c r="H2708" s="326"/>
      <c r="P2708" s="318"/>
      <c r="Q2708" s="318"/>
      <c r="R2708" s="318"/>
      <c r="S2708" s="318"/>
      <c r="T2708" s="318"/>
      <c r="U2708" s="318"/>
      <c r="V2708" s="318"/>
      <c r="W2708" s="318"/>
      <c r="X2708" s="318"/>
      <c r="Y2708" s="318"/>
      <c r="Z2708" s="318"/>
      <c r="AA2708" s="318"/>
      <c r="AB2708" s="318"/>
      <c r="AC2708" s="318"/>
      <c r="AD2708" s="318"/>
    </row>
    <row r="2709" spans="2:30" s="323" customFormat="1" ht="12" customHeight="1">
      <c r="B2709" s="324"/>
      <c r="C2709" s="325"/>
      <c r="D2709" s="326"/>
      <c r="E2709" s="326"/>
      <c r="F2709" s="326"/>
      <c r="G2709" s="326"/>
      <c r="H2709" s="326"/>
      <c r="P2709" s="318"/>
      <c r="Q2709" s="318"/>
      <c r="R2709" s="318"/>
      <c r="S2709" s="318"/>
      <c r="T2709" s="318"/>
      <c r="U2709" s="318"/>
      <c r="V2709" s="318"/>
      <c r="W2709" s="318"/>
      <c r="X2709" s="318"/>
      <c r="Y2709" s="318"/>
      <c r="Z2709" s="318"/>
      <c r="AA2709" s="318"/>
      <c r="AB2709" s="318"/>
      <c r="AC2709" s="318"/>
      <c r="AD2709" s="318"/>
    </row>
    <row r="2710" spans="2:30" s="323" customFormat="1" ht="12" customHeight="1">
      <c r="B2710" s="324"/>
      <c r="C2710" s="325"/>
      <c r="D2710" s="326"/>
      <c r="E2710" s="326"/>
      <c r="F2710" s="326"/>
      <c r="G2710" s="326"/>
      <c r="H2710" s="326"/>
      <c r="P2710" s="318"/>
      <c r="Q2710" s="318"/>
      <c r="R2710" s="318"/>
      <c r="S2710" s="318"/>
      <c r="T2710" s="318"/>
      <c r="U2710" s="318"/>
      <c r="V2710" s="318"/>
      <c r="W2710" s="318"/>
      <c r="X2710" s="318"/>
      <c r="Y2710" s="318"/>
      <c r="Z2710" s="318"/>
      <c r="AA2710" s="318"/>
      <c r="AB2710" s="318"/>
      <c r="AC2710" s="318"/>
      <c r="AD2710" s="318"/>
    </row>
    <row r="2711" spans="2:30" s="323" customFormat="1" ht="12" customHeight="1">
      <c r="B2711" s="324"/>
      <c r="C2711" s="325"/>
      <c r="D2711" s="326"/>
      <c r="E2711" s="326"/>
      <c r="F2711" s="326"/>
      <c r="G2711" s="326"/>
      <c r="H2711" s="326"/>
      <c r="P2711" s="318"/>
      <c r="Q2711" s="318"/>
      <c r="R2711" s="318"/>
      <c r="S2711" s="318"/>
      <c r="T2711" s="318"/>
      <c r="U2711" s="318"/>
      <c r="V2711" s="318"/>
      <c r="W2711" s="318"/>
      <c r="X2711" s="318"/>
      <c r="Y2711" s="318"/>
      <c r="Z2711" s="318"/>
      <c r="AA2711" s="318"/>
      <c r="AB2711" s="318"/>
      <c r="AC2711" s="318"/>
      <c r="AD2711" s="318"/>
    </row>
    <row r="2712" spans="2:30" s="323" customFormat="1" ht="12" customHeight="1">
      <c r="B2712" s="324"/>
      <c r="C2712" s="325"/>
      <c r="D2712" s="326"/>
      <c r="E2712" s="326"/>
      <c r="F2712" s="326"/>
      <c r="G2712" s="326"/>
      <c r="H2712" s="326"/>
      <c r="P2712" s="318"/>
      <c r="Q2712" s="318"/>
      <c r="R2712" s="318"/>
      <c r="S2712" s="318"/>
      <c r="T2712" s="318"/>
      <c r="U2712" s="318"/>
      <c r="V2712" s="318"/>
      <c r="W2712" s="318"/>
      <c r="X2712" s="318"/>
      <c r="Y2712" s="318"/>
      <c r="Z2712" s="318"/>
      <c r="AA2712" s="318"/>
      <c r="AB2712" s="318"/>
      <c r="AC2712" s="318"/>
      <c r="AD2712" s="318"/>
    </row>
    <row r="2713" spans="2:30" s="323" customFormat="1" ht="12" customHeight="1">
      <c r="B2713" s="324"/>
      <c r="C2713" s="325"/>
      <c r="D2713" s="326"/>
      <c r="E2713" s="326"/>
      <c r="F2713" s="326"/>
      <c r="G2713" s="326"/>
      <c r="H2713" s="326"/>
      <c r="P2713" s="318"/>
      <c r="Q2713" s="318"/>
      <c r="R2713" s="318"/>
      <c r="S2713" s="318"/>
      <c r="T2713" s="318"/>
      <c r="U2713" s="318"/>
      <c r="V2713" s="318"/>
      <c r="W2713" s="318"/>
      <c r="X2713" s="318"/>
      <c r="Y2713" s="318"/>
      <c r="Z2713" s="318"/>
      <c r="AA2713" s="318"/>
      <c r="AB2713" s="318"/>
      <c r="AC2713" s="318"/>
      <c r="AD2713" s="318"/>
    </row>
    <row r="2714" spans="2:30" s="323" customFormat="1" ht="12" customHeight="1">
      <c r="B2714" s="324"/>
      <c r="C2714" s="325"/>
      <c r="D2714" s="326"/>
      <c r="E2714" s="326"/>
      <c r="F2714" s="326"/>
      <c r="G2714" s="326"/>
      <c r="H2714" s="326"/>
      <c r="P2714" s="318"/>
      <c r="Q2714" s="318"/>
      <c r="R2714" s="318"/>
      <c r="S2714" s="318"/>
      <c r="T2714" s="318"/>
      <c r="U2714" s="318"/>
      <c r="V2714" s="318"/>
      <c r="W2714" s="318"/>
      <c r="X2714" s="318"/>
      <c r="Y2714" s="318"/>
      <c r="Z2714" s="318"/>
      <c r="AA2714" s="318"/>
      <c r="AB2714" s="318"/>
      <c r="AC2714" s="318"/>
      <c r="AD2714" s="318"/>
    </row>
    <row r="2715" spans="2:30" s="323" customFormat="1" ht="12" customHeight="1">
      <c r="B2715" s="324"/>
      <c r="C2715" s="325"/>
      <c r="D2715" s="326"/>
      <c r="E2715" s="326"/>
      <c r="F2715" s="326"/>
      <c r="G2715" s="326"/>
      <c r="H2715" s="326"/>
      <c r="P2715" s="318"/>
      <c r="Q2715" s="318"/>
      <c r="R2715" s="318"/>
      <c r="S2715" s="318"/>
      <c r="T2715" s="318"/>
      <c r="U2715" s="318"/>
      <c r="V2715" s="318"/>
      <c r="W2715" s="318"/>
      <c r="X2715" s="318"/>
      <c r="Y2715" s="318"/>
      <c r="Z2715" s="318"/>
      <c r="AA2715" s="318"/>
      <c r="AB2715" s="318"/>
      <c r="AC2715" s="318"/>
      <c r="AD2715" s="318"/>
    </row>
    <row r="2716" spans="2:30" s="323" customFormat="1" ht="12" customHeight="1">
      <c r="B2716" s="324"/>
      <c r="C2716" s="325"/>
      <c r="D2716" s="326"/>
      <c r="E2716" s="326"/>
      <c r="F2716" s="326"/>
      <c r="G2716" s="326"/>
      <c r="H2716" s="326"/>
      <c r="P2716" s="318"/>
      <c r="Q2716" s="318"/>
      <c r="R2716" s="318"/>
      <c r="S2716" s="318"/>
      <c r="T2716" s="318"/>
      <c r="U2716" s="318"/>
      <c r="V2716" s="318"/>
      <c r="W2716" s="318"/>
      <c r="X2716" s="318"/>
      <c r="Y2716" s="318"/>
      <c r="Z2716" s="318"/>
      <c r="AA2716" s="318"/>
      <c r="AB2716" s="318"/>
      <c r="AC2716" s="318"/>
      <c r="AD2716" s="318"/>
    </row>
    <row r="2717" spans="2:30" s="323" customFormat="1" ht="12" customHeight="1">
      <c r="B2717" s="324"/>
      <c r="C2717" s="325"/>
      <c r="D2717" s="326"/>
      <c r="E2717" s="326"/>
      <c r="F2717" s="326"/>
      <c r="G2717" s="326"/>
      <c r="H2717" s="326"/>
      <c r="P2717" s="318"/>
      <c r="Q2717" s="318"/>
      <c r="R2717" s="318"/>
      <c r="S2717" s="318"/>
      <c r="T2717" s="318"/>
      <c r="U2717" s="318"/>
      <c r="V2717" s="318"/>
      <c r="W2717" s="318"/>
      <c r="X2717" s="318"/>
      <c r="Y2717" s="318"/>
      <c r="Z2717" s="318"/>
      <c r="AA2717" s="318"/>
      <c r="AB2717" s="318"/>
      <c r="AC2717" s="318"/>
      <c r="AD2717" s="318"/>
    </row>
    <row r="2718" spans="2:30" s="323" customFormat="1" ht="12" customHeight="1">
      <c r="B2718" s="324"/>
      <c r="C2718" s="325"/>
      <c r="D2718" s="326"/>
      <c r="E2718" s="326"/>
      <c r="F2718" s="326"/>
      <c r="G2718" s="326"/>
      <c r="H2718" s="326"/>
      <c r="P2718" s="318"/>
      <c r="Q2718" s="318"/>
      <c r="R2718" s="318"/>
      <c r="S2718" s="318"/>
      <c r="T2718" s="318"/>
      <c r="U2718" s="318"/>
      <c r="V2718" s="318"/>
      <c r="W2718" s="318"/>
      <c r="X2718" s="318"/>
      <c r="Y2718" s="318"/>
      <c r="Z2718" s="318"/>
      <c r="AA2718" s="318"/>
      <c r="AB2718" s="318"/>
      <c r="AC2718" s="318"/>
      <c r="AD2718" s="318"/>
    </row>
    <row r="2719" spans="2:30" s="323" customFormat="1" ht="12" customHeight="1">
      <c r="B2719" s="324"/>
      <c r="C2719" s="325"/>
      <c r="D2719" s="326"/>
      <c r="E2719" s="326"/>
      <c r="F2719" s="326"/>
      <c r="G2719" s="326"/>
      <c r="H2719" s="326"/>
      <c r="P2719" s="318"/>
      <c r="Q2719" s="318"/>
      <c r="R2719" s="318"/>
      <c r="S2719" s="318"/>
      <c r="T2719" s="318"/>
      <c r="U2719" s="318"/>
      <c r="V2719" s="318"/>
      <c r="W2719" s="318"/>
      <c r="X2719" s="318"/>
      <c r="Y2719" s="318"/>
      <c r="Z2719" s="318"/>
      <c r="AA2719" s="318"/>
      <c r="AB2719" s="318"/>
      <c r="AC2719" s="318"/>
      <c r="AD2719" s="318"/>
    </row>
    <row r="2720" spans="2:30" s="323" customFormat="1" ht="12" customHeight="1">
      <c r="B2720" s="324"/>
      <c r="C2720" s="325"/>
      <c r="D2720" s="326"/>
      <c r="E2720" s="326"/>
      <c r="F2720" s="326"/>
      <c r="G2720" s="326"/>
      <c r="H2720" s="326"/>
      <c r="P2720" s="318"/>
      <c r="Q2720" s="318"/>
      <c r="R2720" s="318"/>
      <c r="S2720" s="318"/>
      <c r="T2720" s="318"/>
      <c r="U2720" s="318"/>
      <c r="V2720" s="318"/>
      <c r="W2720" s="318"/>
      <c r="X2720" s="318"/>
      <c r="Y2720" s="318"/>
      <c r="Z2720" s="318"/>
      <c r="AA2720" s="318"/>
      <c r="AB2720" s="318"/>
      <c r="AC2720" s="318"/>
      <c r="AD2720" s="318"/>
    </row>
    <row r="2721" spans="2:30" s="323" customFormat="1" ht="12" customHeight="1">
      <c r="B2721" s="324"/>
      <c r="C2721" s="325"/>
      <c r="D2721" s="326"/>
      <c r="E2721" s="326"/>
      <c r="F2721" s="326"/>
      <c r="G2721" s="326"/>
      <c r="H2721" s="326"/>
      <c r="P2721" s="318"/>
      <c r="Q2721" s="318"/>
      <c r="R2721" s="318"/>
      <c r="S2721" s="318"/>
      <c r="T2721" s="318"/>
      <c r="U2721" s="318"/>
      <c r="V2721" s="318"/>
      <c r="W2721" s="318"/>
      <c r="X2721" s="318"/>
      <c r="Y2721" s="318"/>
      <c r="Z2721" s="318"/>
      <c r="AA2721" s="318"/>
      <c r="AB2721" s="318"/>
      <c r="AC2721" s="318"/>
      <c r="AD2721" s="318"/>
    </row>
    <row r="2722" spans="2:30" s="323" customFormat="1" ht="12" customHeight="1">
      <c r="B2722" s="324"/>
      <c r="C2722" s="325"/>
      <c r="D2722" s="326"/>
      <c r="E2722" s="326"/>
      <c r="F2722" s="326"/>
      <c r="G2722" s="326"/>
      <c r="H2722" s="326"/>
      <c r="P2722" s="318"/>
      <c r="Q2722" s="318"/>
      <c r="R2722" s="318"/>
      <c r="S2722" s="318"/>
      <c r="T2722" s="318"/>
      <c r="U2722" s="318"/>
      <c r="V2722" s="318"/>
      <c r="W2722" s="318"/>
      <c r="X2722" s="318"/>
      <c r="Y2722" s="318"/>
      <c r="Z2722" s="318"/>
      <c r="AA2722" s="318"/>
      <c r="AB2722" s="318"/>
      <c r="AC2722" s="318"/>
      <c r="AD2722" s="318"/>
    </row>
    <row r="2723" spans="2:30" s="323" customFormat="1" ht="12" customHeight="1">
      <c r="B2723" s="324"/>
      <c r="C2723" s="325"/>
      <c r="D2723" s="326"/>
      <c r="E2723" s="326"/>
      <c r="F2723" s="326"/>
      <c r="G2723" s="326"/>
      <c r="H2723" s="326"/>
      <c r="P2723" s="318"/>
      <c r="Q2723" s="318"/>
      <c r="R2723" s="318"/>
      <c r="S2723" s="318"/>
      <c r="T2723" s="318"/>
      <c r="U2723" s="318"/>
      <c r="V2723" s="318"/>
      <c r="W2723" s="318"/>
      <c r="X2723" s="318"/>
      <c r="Y2723" s="318"/>
      <c r="Z2723" s="318"/>
      <c r="AA2723" s="318"/>
      <c r="AB2723" s="318"/>
      <c r="AC2723" s="318"/>
      <c r="AD2723" s="318"/>
    </row>
    <row r="2724" spans="2:30" s="323" customFormat="1" ht="12" customHeight="1">
      <c r="B2724" s="324"/>
      <c r="C2724" s="325"/>
      <c r="D2724" s="326"/>
      <c r="E2724" s="326"/>
      <c r="F2724" s="326"/>
      <c r="G2724" s="326"/>
      <c r="H2724" s="326"/>
      <c r="P2724" s="318"/>
      <c r="Q2724" s="318"/>
      <c r="R2724" s="318"/>
      <c r="S2724" s="318"/>
      <c r="T2724" s="318"/>
      <c r="U2724" s="318"/>
      <c r="V2724" s="318"/>
      <c r="W2724" s="318"/>
      <c r="X2724" s="318"/>
      <c r="Y2724" s="318"/>
      <c r="Z2724" s="318"/>
      <c r="AA2724" s="318"/>
      <c r="AB2724" s="318"/>
      <c r="AC2724" s="318"/>
      <c r="AD2724" s="318"/>
    </row>
    <row r="2725" spans="2:30" s="323" customFormat="1" ht="12" customHeight="1">
      <c r="B2725" s="324"/>
      <c r="C2725" s="325"/>
      <c r="D2725" s="326"/>
      <c r="E2725" s="326"/>
      <c r="F2725" s="326"/>
      <c r="G2725" s="326"/>
      <c r="H2725" s="326"/>
      <c r="P2725" s="318"/>
      <c r="Q2725" s="318"/>
      <c r="R2725" s="318"/>
      <c r="S2725" s="318"/>
      <c r="T2725" s="318"/>
      <c r="U2725" s="318"/>
      <c r="V2725" s="318"/>
      <c r="W2725" s="318"/>
      <c r="X2725" s="318"/>
      <c r="Y2725" s="318"/>
      <c r="Z2725" s="318"/>
      <c r="AA2725" s="318"/>
      <c r="AB2725" s="318"/>
      <c r="AC2725" s="318"/>
      <c r="AD2725" s="318"/>
    </row>
    <row r="2726" spans="2:30" s="323" customFormat="1" ht="12" customHeight="1">
      <c r="B2726" s="324"/>
      <c r="C2726" s="325"/>
      <c r="D2726" s="326"/>
      <c r="E2726" s="326"/>
      <c r="F2726" s="326"/>
      <c r="G2726" s="326"/>
      <c r="H2726" s="326"/>
      <c r="P2726" s="318"/>
      <c r="Q2726" s="318"/>
      <c r="R2726" s="318"/>
      <c r="S2726" s="318"/>
      <c r="T2726" s="318"/>
      <c r="U2726" s="318"/>
      <c r="V2726" s="318"/>
      <c r="W2726" s="318"/>
      <c r="X2726" s="318"/>
      <c r="Y2726" s="318"/>
      <c r="Z2726" s="318"/>
      <c r="AA2726" s="318"/>
      <c r="AB2726" s="318"/>
      <c r="AC2726" s="318"/>
      <c r="AD2726" s="318"/>
    </row>
    <row r="2727" spans="2:30" s="323" customFormat="1" ht="12" customHeight="1">
      <c r="B2727" s="324"/>
      <c r="C2727" s="325"/>
      <c r="D2727" s="326"/>
      <c r="E2727" s="326"/>
      <c r="F2727" s="326"/>
      <c r="G2727" s="326"/>
      <c r="H2727" s="326"/>
      <c r="P2727" s="318"/>
      <c r="Q2727" s="318"/>
      <c r="R2727" s="318"/>
      <c r="S2727" s="318"/>
      <c r="T2727" s="318"/>
      <c r="U2727" s="318"/>
      <c r="V2727" s="318"/>
      <c r="W2727" s="318"/>
      <c r="X2727" s="318"/>
      <c r="Y2727" s="318"/>
      <c r="Z2727" s="318"/>
      <c r="AA2727" s="318"/>
      <c r="AB2727" s="318"/>
      <c r="AC2727" s="318"/>
      <c r="AD2727" s="318"/>
    </row>
    <row r="2728" spans="2:30" s="323" customFormat="1" ht="12" customHeight="1">
      <c r="B2728" s="324"/>
      <c r="C2728" s="325"/>
      <c r="D2728" s="326"/>
      <c r="E2728" s="326"/>
      <c r="F2728" s="326"/>
      <c r="G2728" s="326"/>
      <c r="H2728" s="326"/>
      <c r="P2728" s="318"/>
      <c r="Q2728" s="318"/>
      <c r="R2728" s="318"/>
      <c r="S2728" s="318"/>
      <c r="T2728" s="318"/>
      <c r="U2728" s="318"/>
      <c r="V2728" s="318"/>
      <c r="W2728" s="318"/>
      <c r="X2728" s="318"/>
      <c r="Y2728" s="318"/>
      <c r="Z2728" s="318"/>
      <c r="AA2728" s="318"/>
      <c r="AB2728" s="318"/>
      <c r="AC2728" s="318"/>
      <c r="AD2728" s="318"/>
    </row>
    <row r="2729" spans="2:30" s="323" customFormat="1" ht="12" customHeight="1">
      <c r="B2729" s="324"/>
      <c r="C2729" s="325"/>
      <c r="D2729" s="326"/>
      <c r="E2729" s="326"/>
      <c r="F2729" s="326"/>
      <c r="G2729" s="326"/>
      <c r="H2729" s="326"/>
      <c r="P2729" s="318"/>
      <c r="Q2729" s="318"/>
      <c r="R2729" s="318"/>
      <c r="S2729" s="318"/>
      <c r="T2729" s="318"/>
      <c r="U2729" s="318"/>
      <c r="V2729" s="318"/>
      <c r="W2729" s="318"/>
      <c r="X2729" s="318"/>
      <c r="Y2729" s="318"/>
      <c r="Z2729" s="318"/>
      <c r="AA2729" s="318"/>
      <c r="AB2729" s="318"/>
      <c r="AC2729" s="318"/>
      <c r="AD2729" s="318"/>
    </row>
    <row r="2730" spans="2:30" s="323" customFormat="1" ht="12" customHeight="1">
      <c r="B2730" s="324"/>
      <c r="C2730" s="325"/>
      <c r="D2730" s="326"/>
      <c r="E2730" s="326"/>
      <c r="F2730" s="326"/>
      <c r="G2730" s="326"/>
      <c r="H2730" s="326"/>
      <c r="P2730" s="318"/>
      <c r="Q2730" s="318"/>
      <c r="R2730" s="318"/>
      <c r="S2730" s="318"/>
      <c r="T2730" s="318"/>
      <c r="U2730" s="318"/>
      <c r="V2730" s="318"/>
      <c r="W2730" s="318"/>
      <c r="X2730" s="318"/>
      <c r="Y2730" s="318"/>
      <c r="Z2730" s="318"/>
      <c r="AA2730" s="318"/>
      <c r="AB2730" s="318"/>
      <c r="AC2730" s="318"/>
      <c r="AD2730" s="318"/>
    </row>
    <row r="2731" spans="2:30" s="323" customFormat="1" ht="12" customHeight="1">
      <c r="B2731" s="324"/>
      <c r="C2731" s="325"/>
      <c r="D2731" s="326"/>
      <c r="E2731" s="326"/>
      <c r="F2731" s="326"/>
      <c r="G2731" s="326"/>
      <c r="H2731" s="326"/>
      <c r="P2731" s="318"/>
      <c r="Q2731" s="318"/>
      <c r="R2731" s="318"/>
      <c r="S2731" s="318"/>
      <c r="T2731" s="318"/>
      <c r="U2731" s="318"/>
      <c r="V2731" s="318"/>
      <c r="W2731" s="318"/>
      <c r="X2731" s="318"/>
      <c r="Y2731" s="318"/>
      <c r="Z2731" s="318"/>
      <c r="AA2731" s="318"/>
      <c r="AB2731" s="318"/>
      <c r="AC2731" s="318"/>
      <c r="AD2731" s="318"/>
    </row>
    <row r="2732" spans="2:30" s="323" customFormat="1" ht="12" customHeight="1">
      <c r="B2732" s="324"/>
      <c r="C2732" s="325"/>
      <c r="D2732" s="326"/>
      <c r="E2732" s="326"/>
      <c r="F2732" s="326"/>
      <c r="G2732" s="326"/>
      <c r="H2732" s="326"/>
      <c r="P2732" s="318"/>
      <c r="Q2732" s="318"/>
      <c r="R2732" s="318"/>
      <c r="S2732" s="318"/>
      <c r="T2732" s="318"/>
      <c r="U2732" s="318"/>
      <c r="V2732" s="318"/>
      <c r="W2732" s="318"/>
      <c r="X2732" s="318"/>
      <c r="Y2732" s="318"/>
      <c r="Z2732" s="318"/>
      <c r="AA2732" s="318"/>
      <c r="AB2732" s="318"/>
      <c r="AC2732" s="318"/>
      <c r="AD2732" s="318"/>
    </row>
    <row r="2733" spans="2:30" s="323" customFormat="1" ht="12" customHeight="1">
      <c r="B2733" s="324"/>
      <c r="C2733" s="325"/>
      <c r="D2733" s="326"/>
      <c r="E2733" s="326"/>
      <c r="F2733" s="326"/>
      <c r="G2733" s="326"/>
      <c r="H2733" s="326"/>
      <c r="P2733" s="318"/>
      <c r="Q2733" s="318"/>
      <c r="R2733" s="318"/>
      <c r="S2733" s="318"/>
      <c r="T2733" s="318"/>
      <c r="U2733" s="318"/>
      <c r="V2733" s="318"/>
      <c r="W2733" s="318"/>
      <c r="X2733" s="318"/>
      <c r="Y2733" s="318"/>
      <c r="Z2733" s="318"/>
      <c r="AA2733" s="318"/>
      <c r="AB2733" s="318"/>
      <c r="AC2733" s="318"/>
      <c r="AD2733" s="318"/>
    </row>
    <row r="2734" spans="2:30" s="323" customFormat="1" ht="12" customHeight="1">
      <c r="B2734" s="324"/>
      <c r="C2734" s="325"/>
      <c r="D2734" s="326"/>
      <c r="E2734" s="326"/>
      <c r="F2734" s="326"/>
      <c r="G2734" s="326"/>
      <c r="H2734" s="326"/>
      <c r="P2734" s="318"/>
      <c r="Q2734" s="318"/>
      <c r="R2734" s="318"/>
      <c r="S2734" s="318"/>
      <c r="T2734" s="318"/>
      <c r="U2734" s="318"/>
      <c r="V2734" s="318"/>
      <c r="W2734" s="318"/>
      <c r="X2734" s="318"/>
      <c r="Y2734" s="318"/>
      <c r="Z2734" s="318"/>
      <c r="AA2734" s="318"/>
      <c r="AB2734" s="318"/>
      <c r="AC2734" s="318"/>
      <c r="AD2734" s="318"/>
    </row>
    <row r="2735" spans="2:30" s="323" customFormat="1" ht="12" customHeight="1">
      <c r="B2735" s="324"/>
      <c r="C2735" s="325"/>
      <c r="D2735" s="326"/>
      <c r="E2735" s="326"/>
      <c r="F2735" s="326"/>
      <c r="G2735" s="326"/>
      <c r="H2735" s="326"/>
      <c r="P2735" s="318"/>
      <c r="Q2735" s="318"/>
      <c r="R2735" s="318"/>
      <c r="S2735" s="318"/>
      <c r="T2735" s="318"/>
      <c r="U2735" s="318"/>
      <c r="V2735" s="318"/>
      <c r="W2735" s="318"/>
      <c r="X2735" s="318"/>
      <c r="Y2735" s="318"/>
      <c r="Z2735" s="318"/>
      <c r="AA2735" s="318"/>
      <c r="AB2735" s="318"/>
      <c r="AC2735" s="318"/>
      <c r="AD2735" s="318"/>
    </row>
    <row r="2736" spans="2:30" s="323" customFormat="1" ht="12" customHeight="1">
      <c r="B2736" s="324"/>
      <c r="C2736" s="325"/>
      <c r="D2736" s="326"/>
      <c r="E2736" s="326"/>
      <c r="F2736" s="326"/>
      <c r="G2736" s="326"/>
      <c r="H2736" s="326"/>
      <c r="P2736" s="318"/>
      <c r="Q2736" s="318"/>
      <c r="R2736" s="318"/>
      <c r="S2736" s="318"/>
      <c r="T2736" s="318"/>
      <c r="U2736" s="318"/>
      <c r="V2736" s="318"/>
      <c r="W2736" s="318"/>
      <c r="X2736" s="318"/>
      <c r="Y2736" s="318"/>
      <c r="Z2736" s="318"/>
      <c r="AA2736" s="318"/>
      <c r="AB2736" s="318"/>
      <c r="AC2736" s="318"/>
      <c r="AD2736" s="318"/>
    </row>
    <row r="2737" spans="2:30" s="323" customFormat="1" ht="12" customHeight="1">
      <c r="B2737" s="324"/>
      <c r="C2737" s="325"/>
      <c r="D2737" s="326"/>
      <c r="E2737" s="326"/>
      <c r="F2737" s="326"/>
      <c r="G2737" s="326"/>
      <c r="H2737" s="326"/>
      <c r="P2737" s="318"/>
      <c r="Q2737" s="318"/>
      <c r="R2737" s="318"/>
      <c r="S2737" s="318"/>
      <c r="T2737" s="318"/>
      <c r="U2737" s="318"/>
      <c r="V2737" s="318"/>
      <c r="W2737" s="318"/>
      <c r="X2737" s="318"/>
      <c r="Y2737" s="318"/>
      <c r="Z2737" s="318"/>
      <c r="AA2737" s="318"/>
      <c r="AB2737" s="318"/>
      <c r="AC2737" s="318"/>
      <c r="AD2737" s="318"/>
    </row>
    <row r="2738" spans="2:30" s="323" customFormat="1" ht="12" customHeight="1">
      <c r="B2738" s="324"/>
      <c r="C2738" s="325"/>
      <c r="D2738" s="326"/>
      <c r="E2738" s="326"/>
      <c r="F2738" s="326"/>
      <c r="G2738" s="326"/>
      <c r="H2738" s="326"/>
      <c r="P2738" s="318"/>
      <c r="Q2738" s="318"/>
      <c r="R2738" s="318"/>
      <c r="S2738" s="318"/>
      <c r="T2738" s="318"/>
      <c r="U2738" s="318"/>
      <c r="V2738" s="318"/>
      <c r="W2738" s="318"/>
      <c r="X2738" s="318"/>
      <c r="Y2738" s="318"/>
      <c r="Z2738" s="318"/>
      <c r="AA2738" s="318"/>
      <c r="AB2738" s="318"/>
      <c r="AC2738" s="318"/>
      <c r="AD2738" s="318"/>
    </row>
    <row r="2739" spans="2:30" s="323" customFormat="1" ht="12" customHeight="1">
      <c r="B2739" s="324"/>
      <c r="C2739" s="325"/>
      <c r="D2739" s="326"/>
      <c r="E2739" s="326"/>
      <c r="F2739" s="326"/>
      <c r="G2739" s="326"/>
      <c r="H2739" s="326"/>
      <c r="P2739" s="318"/>
      <c r="Q2739" s="318"/>
      <c r="R2739" s="318"/>
      <c r="S2739" s="318"/>
      <c r="T2739" s="318"/>
      <c r="U2739" s="318"/>
      <c r="V2739" s="318"/>
      <c r="W2739" s="318"/>
      <c r="X2739" s="318"/>
      <c r="Y2739" s="318"/>
      <c r="Z2739" s="318"/>
      <c r="AA2739" s="318"/>
      <c r="AB2739" s="318"/>
      <c r="AC2739" s="318"/>
      <c r="AD2739" s="318"/>
    </row>
    <row r="2740" spans="2:30" s="323" customFormat="1" ht="12" customHeight="1">
      <c r="B2740" s="324"/>
      <c r="C2740" s="325"/>
      <c r="D2740" s="326"/>
      <c r="E2740" s="326"/>
      <c r="F2740" s="326"/>
      <c r="G2740" s="326"/>
      <c r="H2740" s="326"/>
      <c r="P2740" s="318"/>
      <c r="Q2740" s="318"/>
      <c r="R2740" s="318"/>
      <c r="S2740" s="318"/>
      <c r="T2740" s="318"/>
      <c r="U2740" s="318"/>
      <c r="V2740" s="318"/>
      <c r="W2740" s="318"/>
      <c r="X2740" s="318"/>
      <c r="Y2740" s="318"/>
      <c r="Z2740" s="318"/>
      <c r="AA2740" s="318"/>
      <c r="AB2740" s="318"/>
      <c r="AC2740" s="318"/>
      <c r="AD2740" s="318"/>
    </row>
    <row r="2741" spans="2:30" s="323" customFormat="1" ht="12" customHeight="1">
      <c r="B2741" s="324"/>
      <c r="C2741" s="325"/>
      <c r="D2741" s="326"/>
      <c r="E2741" s="326"/>
      <c r="F2741" s="326"/>
      <c r="G2741" s="326"/>
      <c r="H2741" s="326"/>
      <c r="P2741" s="318"/>
      <c r="Q2741" s="318"/>
      <c r="R2741" s="318"/>
      <c r="S2741" s="318"/>
      <c r="T2741" s="318"/>
      <c r="U2741" s="318"/>
      <c r="V2741" s="318"/>
      <c r="W2741" s="318"/>
      <c r="X2741" s="318"/>
      <c r="Y2741" s="318"/>
      <c r="Z2741" s="318"/>
      <c r="AA2741" s="318"/>
      <c r="AB2741" s="318"/>
      <c r="AC2741" s="318"/>
      <c r="AD2741" s="318"/>
    </row>
    <row r="2742" spans="2:30" s="323" customFormat="1" ht="12" customHeight="1">
      <c r="B2742" s="324"/>
      <c r="C2742" s="325"/>
      <c r="D2742" s="326"/>
      <c r="E2742" s="326"/>
      <c r="F2742" s="326"/>
      <c r="G2742" s="326"/>
      <c r="H2742" s="326"/>
      <c r="P2742" s="318"/>
      <c r="Q2742" s="318"/>
      <c r="R2742" s="318"/>
      <c r="S2742" s="318"/>
      <c r="T2742" s="318"/>
      <c r="U2742" s="318"/>
      <c r="V2742" s="318"/>
      <c r="W2742" s="318"/>
      <c r="X2742" s="318"/>
      <c r="Y2742" s="318"/>
      <c r="Z2742" s="318"/>
      <c r="AA2742" s="318"/>
      <c r="AB2742" s="318"/>
      <c r="AC2742" s="318"/>
      <c r="AD2742" s="318"/>
    </row>
    <row r="2743" spans="2:30" s="323" customFormat="1" ht="12" customHeight="1">
      <c r="B2743" s="324"/>
      <c r="C2743" s="325"/>
      <c r="D2743" s="326"/>
      <c r="E2743" s="326"/>
      <c r="F2743" s="326"/>
      <c r="G2743" s="326"/>
      <c r="H2743" s="326"/>
      <c r="P2743" s="318"/>
      <c r="Q2743" s="318"/>
      <c r="R2743" s="318"/>
      <c r="S2743" s="318"/>
      <c r="T2743" s="318"/>
      <c r="U2743" s="318"/>
      <c r="V2743" s="318"/>
      <c r="W2743" s="318"/>
      <c r="X2743" s="318"/>
      <c r="Y2743" s="318"/>
      <c r="Z2743" s="318"/>
      <c r="AA2743" s="318"/>
      <c r="AB2743" s="318"/>
      <c r="AC2743" s="318"/>
      <c r="AD2743" s="318"/>
    </row>
    <row r="2744" spans="2:30" s="323" customFormat="1" ht="12" customHeight="1">
      <c r="B2744" s="324"/>
      <c r="C2744" s="325"/>
      <c r="D2744" s="326"/>
      <c r="E2744" s="326"/>
      <c r="F2744" s="326"/>
      <c r="G2744" s="326"/>
      <c r="H2744" s="326"/>
      <c r="P2744" s="318"/>
      <c r="Q2744" s="318"/>
      <c r="R2744" s="318"/>
      <c r="S2744" s="318"/>
      <c r="T2744" s="318"/>
      <c r="U2744" s="318"/>
      <c r="V2744" s="318"/>
      <c r="W2744" s="318"/>
      <c r="X2744" s="318"/>
      <c r="Y2744" s="318"/>
      <c r="Z2744" s="318"/>
      <c r="AA2744" s="318"/>
      <c r="AB2744" s="318"/>
      <c r="AC2744" s="318"/>
      <c r="AD2744" s="318"/>
    </row>
    <row r="2745" spans="2:30" s="323" customFormat="1" ht="12" customHeight="1">
      <c r="B2745" s="324"/>
      <c r="C2745" s="325"/>
      <c r="D2745" s="326"/>
      <c r="E2745" s="326"/>
      <c r="F2745" s="326"/>
      <c r="G2745" s="326"/>
      <c r="H2745" s="326"/>
      <c r="P2745" s="318"/>
      <c r="Q2745" s="318"/>
      <c r="R2745" s="318"/>
      <c r="S2745" s="318"/>
      <c r="T2745" s="318"/>
      <c r="U2745" s="318"/>
      <c r="V2745" s="318"/>
      <c r="W2745" s="318"/>
      <c r="X2745" s="318"/>
      <c r="Y2745" s="318"/>
      <c r="Z2745" s="318"/>
      <c r="AA2745" s="318"/>
      <c r="AB2745" s="318"/>
      <c r="AC2745" s="318"/>
      <c r="AD2745" s="318"/>
    </row>
    <row r="2746" spans="2:30" s="323" customFormat="1" ht="12" customHeight="1">
      <c r="B2746" s="324"/>
      <c r="C2746" s="325"/>
      <c r="D2746" s="326"/>
      <c r="E2746" s="326"/>
      <c r="F2746" s="326"/>
      <c r="G2746" s="326"/>
      <c r="H2746" s="326"/>
      <c r="P2746" s="318"/>
      <c r="Q2746" s="318"/>
      <c r="R2746" s="318"/>
      <c r="S2746" s="318"/>
      <c r="T2746" s="318"/>
      <c r="U2746" s="318"/>
      <c r="V2746" s="318"/>
      <c r="W2746" s="318"/>
      <c r="X2746" s="318"/>
      <c r="Y2746" s="318"/>
      <c r="Z2746" s="318"/>
      <c r="AA2746" s="318"/>
      <c r="AB2746" s="318"/>
      <c r="AC2746" s="318"/>
      <c r="AD2746" s="318"/>
    </row>
    <row r="2747" spans="2:30" s="323" customFormat="1" ht="12" customHeight="1">
      <c r="B2747" s="324"/>
      <c r="C2747" s="325"/>
      <c r="D2747" s="326"/>
      <c r="E2747" s="326"/>
      <c r="F2747" s="326"/>
      <c r="G2747" s="326"/>
      <c r="H2747" s="326"/>
      <c r="P2747" s="318"/>
      <c r="Q2747" s="318"/>
      <c r="R2747" s="318"/>
      <c r="S2747" s="318"/>
      <c r="T2747" s="318"/>
      <c r="U2747" s="318"/>
      <c r="V2747" s="318"/>
      <c r="W2747" s="318"/>
      <c r="X2747" s="318"/>
      <c r="Y2747" s="318"/>
      <c r="Z2747" s="318"/>
      <c r="AA2747" s="318"/>
      <c r="AB2747" s="318"/>
      <c r="AC2747" s="318"/>
      <c r="AD2747" s="318"/>
    </row>
    <row r="2748" spans="2:30" s="323" customFormat="1" ht="12" customHeight="1">
      <c r="B2748" s="324"/>
      <c r="C2748" s="325"/>
      <c r="D2748" s="326"/>
      <c r="E2748" s="326"/>
      <c r="F2748" s="326"/>
      <c r="G2748" s="326"/>
      <c r="H2748" s="326"/>
      <c r="P2748" s="318"/>
      <c r="Q2748" s="318"/>
      <c r="R2748" s="318"/>
      <c r="S2748" s="318"/>
      <c r="T2748" s="318"/>
      <c r="U2748" s="318"/>
      <c r="V2748" s="318"/>
      <c r="W2748" s="318"/>
      <c r="X2748" s="318"/>
      <c r="Y2748" s="318"/>
      <c r="Z2748" s="318"/>
      <c r="AA2748" s="318"/>
      <c r="AB2748" s="318"/>
      <c r="AC2748" s="318"/>
      <c r="AD2748" s="318"/>
    </row>
    <row r="2749" spans="2:30" s="323" customFormat="1" ht="12" customHeight="1">
      <c r="B2749" s="324"/>
      <c r="C2749" s="325"/>
      <c r="D2749" s="326"/>
      <c r="E2749" s="326"/>
      <c r="F2749" s="326"/>
      <c r="G2749" s="326"/>
      <c r="H2749" s="326"/>
      <c r="P2749" s="318"/>
      <c r="Q2749" s="318"/>
      <c r="R2749" s="318"/>
      <c r="S2749" s="318"/>
      <c r="T2749" s="318"/>
      <c r="U2749" s="318"/>
      <c r="V2749" s="318"/>
      <c r="W2749" s="318"/>
      <c r="X2749" s="318"/>
      <c r="Y2749" s="318"/>
      <c r="Z2749" s="318"/>
      <c r="AA2749" s="318"/>
      <c r="AB2749" s="318"/>
      <c r="AC2749" s="318"/>
      <c r="AD2749" s="318"/>
    </row>
    <row r="2750" spans="2:30" s="323" customFormat="1" ht="12" customHeight="1">
      <c r="B2750" s="324"/>
      <c r="C2750" s="325"/>
      <c r="D2750" s="326"/>
      <c r="E2750" s="326"/>
      <c r="F2750" s="326"/>
      <c r="G2750" s="326"/>
      <c r="H2750" s="326"/>
      <c r="P2750" s="318"/>
      <c r="Q2750" s="318"/>
      <c r="R2750" s="318"/>
      <c r="S2750" s="318"/>
      <c r="T2750" s="318"/>
      <c r="U2750" s="318"/>
      <c r="V2750" s="318"/>
      <c r="W2750" s="318"/>
      <c r="X2750" s="318"/>
      <c r="Y2750" s="318"/>
      <c r="Z2750" s="318"/>
      <c r="AA2750" s="318"/>
      <c r="AB2750" s="318"/>
      <c r="AC2750" s="318"/>
      <c r="AD2750" s="318"/>
    </row>
    <row r="2751" spans="2:30" s="323" customFormat="1" ht="12" customHeight="1">
      <c r="B2751" s="324"/>
      <c r="C2751" s="325"/>
      <c r="D2751" s="326"/>
      <c r="E2751" s="326"/>
      <c r="F2751" s="326"/>
      <c r="G2751" s="326"/>
      <c r="H2751" s="326"/>
      <c r="P2751" s="318"/>
      <c r="Q2751" s="318"/>
      <c r="R2751" s="318"/>
      <c r="S2751" s="318"/>
      <c r="T2751" s="318"/>
      <c r="U2751" s="318"/>
      <c r="V2751" s="318"/>
      <c r="W2751" s="318"/>
      <c r="X2751" s="318"/>
      <c r="Y2751" s="318"/>
      <c r="Z2751" s="318"/>
      <c r="AA2751" s="318"/>
      <c r="AB2751" s="318"/>
      <c r="AC2751" s="318"/>
      <c r="AD2751" s="318"/>
    </row>
    <row r="2752" spans="2:30" s="323" customFormat="1" ht="12" customHeight="1">
      <c r="B2752" s="324"/>
      <c r="C2752" s="325"/>
      <c r="D2752" s="326"/>
      <c r="E2752" s="326"/>
      <c r="F2752" s="326"/>
      <c r="G2752" s="326"/>
      <c r="H2752" s="326"/>
      <c r="P2752" s="318"/>
      <c r="Q2752" s="318"/>
      <c r="R2752" s="318"/>
      <c r="S2752" s="318"/>
      <c r="T2752" s="318"/>
      <c r="U2752" s="318"/>
      <c r="V2752" s="318"/>
      <c r="W2752" s="318"/>
      <c r="X2752" s="318"/>
      <c r="Y2752" s="318"/>
      <c r="Z2752" s="318"/>
      <c r="AA2752" s="318"/>
      <c r="AB2752" s="318"/>
      <c r="AC2752" s="318"/>
      <c r="AD2752" s="318"/>
    </row>
    <row r="2753" spans="2:30" s="323" customFormat="1" ht="12" customHeight="1">
      <c r="B2753" s="324"/>
      <c r="C2753" s="325"/>
      <c r="D2753" s="326"/>
      <c r="E2753" s="326"/>
      <c r="F2753" s="326"/>
      <c r="G2753" s="326"/>
      <c r="H2753" s="326"/>
      <c r="P2753" s="318"/>
      <c r="Q2753" s="318"/>
      <c r="R2753" s="318"/>
      <c r="S2753" s="318"/>
      <c r="T2753" s="318"/>
      <c r="U2753" s="318"/>
      <c r="V2753" s="318"/>
      <c r="W2753" s="318"/>
      <c r="X2753" s="318"/>
      <c r="Y2753" s="318"/>
      <c r="Z2753" s="318"/>
      <c r="AA2753" s="318"/>
      <c r="AB2753" s="318"/>
      <c r="AC2753" s="318"/>
      <c r="AD2753" s="318"/>
    </row>
    <row r="2754" spans="2:30" s="323" customFormat="1" ht="12" customHeight="1">
      <c r="B2754" s="324"/>
      <c r="C2754" s="325"/>
      <c r="D2754" s="326"/>
      <c r="E2754" s="326"/>
      <c r="F2754" s="326"/>
      <c r="G2754" s="326"/>
      <c r="H2754" s="326"/>
      <c r="P2754" s="318"/>
      <c r="Q2754" s="318"/>
      <c r="R2754" s="318"/>
      <c r="S2754" s="318"/>
      <c r="T2754" s="318"/>
      <c r="U2754" s="318"/>
      <c r="V2754" s="318"/>
      <c r="W2754" s="318"/>
      <c r="X2754" s="318"/>
      <c r="Y2754" s="318"/>
      <c r="Z2754" s="318"/>
      <c r="AA2754" s="318"/>
      <c r="AB2754" s="318"/>
      <c r="AC2754" s="318"/>
      <c r="AD2754" s="318"/>
    </row>
    <row r="2755" spans="2:30" s="323" customFormat="1" ht="12" customHeight="1">
      <c r="B2755" s="324"/>
      <c r="C2755" s="325"/>
      <c r="D2755" s="326"/>
      <c r="E2755" s="326"/>
      <c r="F2755" s="326"/>
      <c r="G2755" s="326"/>
      <c r="H2755" s="326"/>
      <c r="P2755" s="318"/>
      <c r="Q2755" s="318"/>
      <c r="R2755" s="318"/>
      <c r="S2755" s="318"/>
      <c r="T2755" s="318"/>
      <c r="U2755" s="318"/>
      <c r="V2755" s="318"/>
      <c r="W2755" s="318"/>
      <c r="X2755" s="318"/>
      <c r="Y2755" s="318"/>
      <c r="Z2755" s="318"/>
      <c r="AA2755" s="318"/>
      <c r="AB2755" s="318"/>
      <c r="AC2755" s="318"/>
      <c r="AD2755" s="318"/>
    </row>
    <row r="2756" spans="2:30" s="323" customFormat="1" ht="12" customHeight="1">
      <c r="B2756" s="324"/>
      <c r="C2756" s="325"/>
      <c r="D2756" s="326"/>
      <c r="E2756" s="326"/>
      <c r="F2756" s="326"/>
      <c r="G2756" s="326"/>
      <c r="H2756" s="326"/>
      <c r="P2756" s="318"/>
      <c r="Q2756" s="318"/>
      <c r="R2756" s="318"/>
      <c r="S2756" s="318"/>
      <c r="T2756" s="318"/>
      <c r="U2756" s="318"/>
      <c r="V2756" s="318"/>
      <c r="W2756" s="318"/>
      <c r="X2756" s="318"/>
      <c r="Y2756" s="318"/>
      <c r="Z2756" s="318"/>
      <c r="AA2756" s="318"/>
      <c r="AB2756" s="318"/>
      <c r="AC2756" s="318"/>
      <c r="AD2756" s="318"/>
    </row>
    <row r="2757" spans="2:30" s="323" customFormat="1" ht="12" customHeight="1">
      <c r="B2757" s="324"/>
      <c r="C2757" s="325"/>
      <c r="D2757" s="326"/>
      <c r="E2757" s="326"/>
      <c r="F2757" s="326"/>
      <c r="G2757" s="326"/>
      <c r="H2757" s="326"/>
      <c r="P2757" s="318"/>
      <c r="Q2757" s="318"/>
      <c r="R2757" s="318"/>
      <c r="S2757" s="318"/>
      <c r="T2757" s="318"/>
      <c r="U2757" s="318"/>
      <c r="V2757" s="318"/>
      <c r="W2757" s="318"/>
      <c r="X2757" s="318"/>
      <c r="Y2757" s="318"/>
      <c r="Z2757" s="318"/>
      <c r="AA2757" s="318"/>
      <c r="AB2757" s="318"/>
      <c r="AC2757" s="318"/>
      <c r="AD2757" s="318"/>
    </row>
    <row r="2758" spans="2:30" s="323" customFormat="1" ht="12" customHeight="1">
      <c r="B2758" s="324"/>
      <c r="C2758" s="325"/>
      <c r="D2758" s="326"/>
      <c r="E2758" s="326"/>
      <c r="F2758" s="326"/>
      <c r="G2758" s="326"/>
      <c r="H2758" s="326"/>
      <c r="P2758" s="318"/>
      <c r="Q2758" s="318"/>
      <c r="R2758" s="318"/>
      <c r="S2758" s="318"/>
      <c r="T2758" s="318"/>
      <c r="U2758" s="318"/>
      <c r="V2758" s="318"/>
      <c r="W2758" s="318"/>
      <c r="X2758" s="318"/>
      <c r="Y2758" s="318"/>
      <c r="Z2758" s="318"/>
      <c r="AA2758" s="318"/>
      <c r="AB2758" s="318"/>
      <c r="AC2758" s="318"/>
      <c r="AD2758" s="318"/>
    </row>
    <row r="2759" spans="2:30" s="323" customFormat="1" ht="12" customHeight="1">
      <c r="B2759" s="324"/>
      <c r="C2759" s="325"/>
      <c r="D2759" s="326"/>
      <c r="E2759" s="326"/>
      <c r="F2759" s="326"/>
      <c r="G2759" s="326"/>
      <c r="H2759" s="326"/>
      <c r="P2759" s="318"/>
      <c r="Q2759" s="318"/>
      <c r="R2759" s="318"/>
      <c r="S2759" s="318"/>
      <c r="T2759" s="318"/>
      <c r="U2759" s="318"/>
      <c r="V2759" s="318"/>
      <c r="W2759" s="318"/>
      <c r="X2759" s="318"/>
      <c r="Y2759" s="318"/>
      <c r="Z2759" s="318"/>
      <c r="AA2759" s="318"/>
      <c r="AB2759" s="318"/>
      <c r="AC2759" s="318"/>
      <c r="AD2759" s="318"/>
    </row>
    <row r="2760" spans="2:30" s="323" customFormat="1" ht="12" customHeight="1">
      <c r="B2760" s="324"/>
      <c r="C2760" s="325"/>
      <c r="D2760" s="326"/>
      <c r="E2760" s="326"/>
      <c r="F2760" s="326"/>
      <c r="G2760" s="326"/>
      <c r="H2760" s="326"/>
      <c r="P2760" s="318"/>
      <c r="Q2760" s="318"/>
      <c r="R2760" s="318"/>
      <c r="S2760" s="318"/>
      <c r="T2760" s="318"/>
      <c r="U2760" s="318"/>
      <c r="V2760" s="318"/>
      <c r="W2760" s="318"/>
      <c r="X2760" s="318"/>
      <c r="Y2760" s="318"/>
      <c r="Z2760" s="318"/>
      <c r="AA2760" s="318"/>
      <c r="AB2760" s="318"/>
      <c r="AC2760" s="318"/>
      <c r="AD2760" s="318"/>
    </row>
    <row r="2761" spans="2:30" s="323" customFormat="1" ht="12" customHeight="1">
      <c r="B2761" s="324"/>
      <c r="C2761" s="325"/>
      <c r="D2761" s="326"/>
      <c r="E2761" s="326"/>
      <c r="F2761" s="326"/>
      <c r="G2761" s="326"/>
      <c r="H2761" s="326"/>
      <c r="P2761" s="318"/>
      <c r="Q2761" s="318"/>
      <c r="R2761" s="318"/>
      <c r="S2761" s="318"/>
      <c r="T2761" s="318"/>
      <c r="U2761" s="318"/>
      <c r="V2761" s="318"/>
      <c r="W2761" s="318"/>
      <c r="X2761" s="318"/>
      <c r="Y2761" s="318"/>
      <c r="Z2761" s="318"/>
      <c r="AA2761" s="318"/>
      <c r="AB2761" s="318"/>
      <c r="AC2761" s="318"/>
      <c r="AD2761" s="318"/>
    </row>
    <row r="2762" spans="2:30" s="323" customFormat="1" ht="12" customHeight="1">
      <c r="B2762" s="324"/>
      <c r="C2762" s="325"/>
      <c r="D2762" s="326"/>
      <c r="E2762" s="326"/>
      <c r="F2762" s="326"/>
      <c r="G2762" s="326"/>
      <c r="H2762" s="326"/>
      <c r="P2762" s="318"/>
      <c r="Q2762" s="318"/>
      <c r="R2762" s="318"/>
      <c r="S2762" s="318"/>
      <c r="T2762" s="318"/>
      <c r="U2762" s="318"/>
      <c r="V2762" s="318"/>
      <c r="W2762" s="318"/>
      <c r="X2762" s="318"/>
      <c r="Y2762" s="318"/>
      <c r="Z2762" s="318"/>
      <c r="AA2762" s="318"/>
      <c r="AB2762" s="318"/>
      <c r="AC2762" s="318"/>
      <c r="AD2762" s="318"/>
    </row>
    <row r="2763" spans="2:30" s="323" customFormat="1" ht="12" customHeight="1">
      <c r="B2763" s="324"/>
      <c r="C2763" s="325"/>
      <c r="D2763" s="326"/>
      <c r="E2763" s="326"/>
      <c r="F2763" s="326"/>
      <c r="G2763" s="326"/>
      <c r="H2763" s="326"/>
      <c r="P2763" s="318"/>
      <c r="Q2763" s="318"/>
      <c r="R2763" s="318"/>
      <c r="S2763" s="318"/>
      <c r="T2763" s="318"/>
      <c r="U2763" s="318"/>
      <c r="V2763" s="318"/>
      <c r="W2763" s="318"/>
      <c r="X2763" s="318"/>
      <c r="Y2763" s="318"/>
      <c r="Z2763" s="318"/>
      <c r="AA2763" s="318"/>
      <c r="AB2763" s="318"/>
      <c r="AC2763" s="318"/>
      <c r="AD2763" s="318"/>
    </row>
    <row r="2764" spans="2:30" s="323" customFormat="1" ht="12" customHeight="1">
      <c r="B2764" s="324"/>
      <c r="C2764" s="325"/>
      <c r="D2764" s="326"/>
      <c r="E2764" s="326"/>
      <c r="F2764" s="326"/>
      <c r="G2764" s="326"/>
      <c r="H2764" s="326"/>
      <c r="P2764" s="318"/>
      <c r="Q2764" s="318"/>
      <c r="R2764" s="318"/>
      <c r="S2764" s="318"/>
      <c r="T2764" s="318"/>
      <c r="U2764" s="318"/>
      <c r="V2764" s="318"/>
      <c r="W2764" s="318"/>
      <c r="X2764" s="318"/>
      <c r="Y2764" s="318"/>
      <c r="Z2764" s="318"/>
      <c r="AA2764" s="318"/>
      <c r="AB2764" s="318"/>
      <c r="AC2764" s="318"/>
      <c r="AD2764" s="318"/>
    </row>
    <row r="2765" spans="2:30" s="323" customFormat="1" ht="12" customHeight="1">
      <c r="B2765" s="324"/>
      <c r="C2765" s="325"/>
      <c r="D2765" s="326"/>
      <c r="E2765" s="326"/>
      <c r="F2765" s="326"/>
      <c r="G2765" s="326"/>
      <c r="H2765" s="326"/>
      <c r="P2765" s="318"/>
      <c r="Q2765" s="318"/>
      <c r="R2765" s="318"/>
      <c r="S2765" s="318"/>
      <c r="T2765" s="318"/>
      <c r="U2765" s="318"/>
      <c r="V2765" s="318"/>
      <c r="W2765" s="318"/>
      <c r="X2765" s="318"/>
      <c r="Y2765" s="318"/>
      <c r="Z2765" s="318"/>
      <c r="AA2765" s="318"/>
      <c r="AB2765" s="318"/>
      <c r="AC2765" s="318"/>
      <c r="AD2765" s="318"/>
    </row>
    <row r="2766" spans="2:30" s="323" customFormat="1" ht="12" customHeight="1">
      <c r="B2766" s="324"/>
      <c r="C2766" s="325"/>
      <c r="D2766" s="326"/>
      <c r="E2766" s="326"/>
      <c r="F2766" s="326"/>
      <c r="G2766" s="326"/>
      <c r="H2766" s="326"/>
      <c r="P2766" s="318"/>
      <c r="Q2766" s="318"/>
      <c r="R2766" s="318"/>
      <c r="S2766" s="318"/>
      <c r="T2766" s="318"/>
      <c r="U2766" s="318"/>
      <c r="V2766" s="318"/>
      <c r="W2766" s="318"/>
      <c r="X2766" s="318"/>
      <c r="Y2766" s="318"/>
      <c r="Z2766" s="318"/>
      <c r="AA2766" s="318"/>
      <c r="AB2766" s="318"/>
      <c r="AC2766" s="318"/>
      <c r="AD2766" s="318"/>
    </row>
    <row r="2767" spans="2:30" s="323" customFormat="1" ht="12" customHeight="1">
      <c r="B2767" s="324"/>
      <c r="C2767" s="325"/>
      <c r="D2767" s="326"/>
      <c r="E2767" s="326"/>
      <c r="F2767" s="326"/>
      <c r="G2767" s="326"/>
      <c r="H2767" s="326"/>
      <c r="P2767" s="318"/>
      <c r="Q2767" s="318"/>
      <c r="R2767" s="318"/>
      <c r="S2767" s="318"/>
      <c r="T2767" s="318"/>
      <c r="U2767" s="318"/>
      <c r="V2767" s="318"/>
      <c r="W2767" s="318"/>
      <c r="X2767" s="318"/>
      <c r="Y2767" s="318"/>
      <c r="Z2767" s="318"/>
      <c r="AA2767" s="318"/>
      <c r="AB2767" s="318"/>
      <c r="AC2767" s="318"/>
      <c r="AD2767" s="318"/>
    </row>
    <row r="2768" spans="2:30" s="323" customFormat="1" ht="12" customHeight="1">
      <c r="B2768" s="324"/>
      <c r="C2768" s="325"/>
      <c r="D2768" s="326"/>
      <c r="E2768" s="326"/>
      <c r="F2768" s="326"/>
      <c r="G2768" s="326"/>
      <c r="H2768" s="326"/>
      <c r="P2768" s="318"/>
      <c r="Q2768" s="318"/>
      <c r="R2768" s="318"/>
      <c r="S2768" s="318"/>
      <c r="T2768" s="318"/>
      <c r="U2768" s="318"/>
      <c r="V2768" s="318"/>
      <c r="W2768" s="318"/>
      <c r="X2768" s="318"/>
      <c r="Y2768" s="318"/>
      <c r="Z2768" s="318"/>
      <c r="AA2768" s="318"/>
      <c r="AB2768" s="318"/>
      <c r="AC2768" s="318"/>
      <c r="AD2768" s="318"/>
    </row>
    <row r="2769" spans="2:30" s="323" customFormat="1" ht="12" customHeight="1">
      <c r="B2769" s="324"/>
      <c r="C2769" s="325"/>
      <c r="D2769" s="326"/>
      <c r="E2769" s="326"/>
      <c r="F2769" s="326"/>
      <c r="G2769" s="326"/>
      <c r="H2769" s="326"/>
      <c r="P2769" s="318"/>
      <c r="Q2769" s="318"/>
      <c r="R2769" s="318"/>
      <c r="S2769" s="318"/>
      <c r="T2769" s="318"/>
      <c r="U2769" s="318"/>
      <c r="V2769" s="318"/>
      <c r="W2769" s="318"/>
      <c r="X2769" s="318"/>
      <c r="Y2769" s="318"/>
      <c r="Z2769" s="318"/>
      <c r="AA2769" s="318"/>
      <c r="AB2769" s="318"/>
      <c r="AC2769" s="318"/>
      <c r="AD2769" s="318"/>
    </row>
    <row r="2770" spans="2:30" s="323" customFormat="1" ht="12" customHeight="1">
      <c r="B2770" s="324"/>
      <c r="C2770" s="325"/>
      <c r="D2770" s="326"/>
      <c r="E2770" s="326"/>
      <c r="F2770" s="326"/>
      <c r="G2770" s="326"/>
      <c r="H2770" s="326"/>
      <c r="P2770" s="318"/>
      <c r="Q2770" s="318"/>
      <c r="R2770" s="318"/>
      <c r="S2770" s="318"/>
      <c r="T2770" s="318"/>
      <c r="U2770" s="318"/>
      <c r="V2770" s="318"/>
      <c r="W2770" s="318"/>
      <c r="X2770" s="318"/>
      <c r="Y2770" s="318"/>
      <c r="Z2770" s="318"/>
      <c r="AA2770" s="318"/>
      <c r="AB2770" s="318"/>
      <c r="AC2770" s="318"/>
      <c r="AD2770" s="318"/>
    </row>
    <row r="2771" spans="2:30" s="323" customFormat="1" ht="12" customHeight="1">
      <c r="B2771" s="324"/>
      <c r="C2771" s="325"/>
      <c r="D2771" s="326"/>
      <c r="E2771" s="326"/>
      <c r="F2771" s="326"/>
      <c r="G2771" s="326"/>
      <c r="H2771" s="326"/>
      <c r="P2771" s="318"/>
      <c r="Q2771" s="318"/>
      <c r="R2771" s="318"/>
      <c r="S2771" s="318"/>
      <c r="T2771" s="318"/>
      <c r="U2771" s="318"/>
      <c r="V2771" s="318"/>
      <c r="W2771" s="318"/>
      <c r="X2771" s="318"/>
      <c r="Y2771" s="318"/>
      <c r="Z2771" s="318"/>
      <c r="AA2771" s="318"/>
      <c r="AB2771" s="318"/>
      <c r="AC2771" s="318"/>
      <c r="AD2771" s="318"/>
    </row>
    <row r="2772" spans="2:30" s="323" customFormat="1" ht="12" customHeight="1">
      <c r="B2772" s="324"/>
      <c r="C2772" s="325"/>
      <c r="D2772" s="326"/>
      <c r="E2772" s="326"/>
      <c r="F2772" s="326"/>
      <c r="G2772" s="326"/>
      <c r="H2772" s="326"/>
      <c r="P2772" s="318"/>
      <c r="Q2772" s="318"/>
      <c r="R2772" s="318"/>
      <c r="S2772" s="318"/>
      <c r="T2772" s="318"/>
      <c r="U2772" s="318"/>
      <c r="V2772" s="318"/>
      <c r="W2772" s="318"/>
      <c r="X2772" s="318"/>
      <c r="Y2772" s="318"/>
      <c r="Z2772" s="318"/>
      <c r="AA2772" s="318"/>
      <c r="AB2772" s="318"/>
      <c r="AC2772" s="318"/>
      <c r="AD2772" s="318"/>
    </row>
    <row r="2773" spans="2:30" s="323" customFormat="1" ht="12" customHeight="1">
      <c r="B2773" s="324"/>
      <c r="C2773" s="325"/>
      <c r="D2773" s="326"/>
      <c r="E2773" s="326"/>
      <c r="F2773" s="326"/>
      <c r="G2773" s="326"/>
      <c r="H2773" s="326"/>
      <c r="P2773" s="318"/>
      <c r="Q2773" s="318"/>
      <c r="R2773" s="318"/>
      <c r="S2773" s="318"/>
      <c r="T2773" s="318"/>
      <c r="U2773" s="318"/>
      <c r="V2773" s="318"/>
      <c r="W2773" s="318"/>
      <c r="X2773" s="318"/>
      <c r="Y2773" s="318"/>
      <c r="Z2773" s="318"/>
      <c r="AA2773" s="318"/>
      <c r="AB2773" s="318"/>
      <c r="AC2773" s="318"/>
      <c r="AD2773" s="318"/>
    </row>
    <row r="2774" spans="2:30" s="323" customFormat="1" ht="12" customHeight="1">
      <c r="B2774" s="324"/>
      <c r="C2774" s="325"/>
      <c r="D2774" s="326"/>
      <c r="E2774" s="326"/>
      <c r="F2774" s="326"/>
      <c r="G2774" s="326"/>
      <c r="H2774" s="326"/>
      <c r="P2774" s="318"/>
      <c r="Q2774" s="318"/>
      <c r="R2774" s="318"/>
      <c r="S2774" s="318"/>
      <c r="T2774" s="318"/>
      <c r="U2774" s="318"/>
      <c r="V2774" s="318"/>
      <c r="W2774" s="318"/>
      <c r="X2774" s="318"/>
      <c r="Y2774" s="318"/>
      <c r="Z2774" s="318"/>
      <c r="AA2774" s="318"/>
      <c r="AB2774" s="318"/>
      <c r="AC2774" s="318"/>
      <c r="AD2774" s="318"/>
    </row>
    <row r="2775" spans="2:30" s="323" customFormat="1" ht="12" customHeight="1">
      <c r="B2775" s="324"/>
      <c r="C2775" s="325"/>
      <c r="D2775" s="326"/>
      <c r="E2775" s="326"/>
      <c r="F2775" s="326"/>
      <c r="G2775" s="326"/>
      <c r="H2775" s="326"/>
      <c r="P2775" s="318"/>
      <c r="Q2775" s="318"/>
      <c r="R2775" s="318"/>
      <c r="S2775" s="318"/>
      <c r="T2775" s="318"/>
      <c r="U2775" s="318"/>
      <c r="V2775" s="318"/>
      <c r="W2775" s="318"/>
      <c r="X2775" s="318"/>
      <c r="Y2775" s="318"/>
      <c r="Z2775" s="318"/>
      <c r="AA2775" s="318"/>
      <c r="AB2775" s="318"/>
      <c r="AC2775" s="318"/>
      <c r="AD2775" s="318"/>
    </row>
    <row r="2776" spans="2:30" s="323" customFormat="1" ht="12" customHeight="1">
      <c r="B2776" s="324"/>
      <c r="C2776" s="325"/>
      <c r="D2776" s="326"/>
      <c r="E2776" s="326"/>
      <c r="F2776" s="326"/>
      <c r="G2776" s="326"/>
      <c r="H2776" s="326"/>
      <c r="P2776" s="318"/>
      <c r="Q2776" s="318"/>
      <c r="R2776" s="318"/>
      <c r="S2776" s="318"/>
      <c r="T2776" s="318"/>
      <c r="U2776" s="318"/>
      <c r="V2776" s="318"/>
      <c r="W2776" s="318"/>
      <c r="X2776" s="318"/>
      <c r="Y2776" s="318"/>
      <c r="Z2776" s="318"/>
      <c r="AA2776" s="318"/>
      <c r="AB2776" s="318"/>
      <c r="AC2776" s="318"/>
      <c r="AD2776" s="318"/>
    </row>
    <row r="2777" spans="2:30" s="323" customFormat="1" ht="12" customHeight="1">
      <c r="B2777" s="324"/>
      <c r="C2777" s="325"/>
      <c r="D2777" s="326"/>
      <c r="E2777" s="326"/>
      <c r="F2777" s="326"/>
      <c r="G2777" s="326"/>
      <c r="H2777" s="326"/>
      <c r="P2777" s="318"/>
      <c r="Q2777" s="318"/>
      <c r="R2777" s="318"/>
      <c r="S2777" s="318"/>
      <c r="T2777" s="318"/>
      <c r="U2777" s="318"/>
      <c r="V2777" s="318"/>
      <c r="W2777" s="318"/>
      <c r="X2777" s="318"/>
      <c r="Y2777" s="318"/>
      <c r="Z2777" s="318"/>
      <c r="AA2777" s="318"/>
      <c r="AB2777" s="318"/>
      <c r="AC2777" s="318"/>
      <c r="AD2777" s="318"/>
    </row>
    <row r="2778" spans="2:30" s="323" customFormat="1" ht="12" customHeight="1">
      <c r="B2778" s="324"/>
      <c r="C2778" s="325"/>
      <c r="D2778" s="326"/>
      <c r="E2778" s="326"/>
      <c r="F2778" s="326"/>
      <c r="G2778" s="326"/>
      <c r="H2778" s="326"/>
      <c r="P2778" s="318"/>
      <c r="Q2778" s="318"/>
      <c r="R2778" s="318"/>
      <c r="S2778" s="318"/>
      <c r="T2778" s="318"/>
      <c r="U2778" s="318"/>
      <c r="V2778" s="318"/>
      <c r="W2778" s="318"/>
      <c r="X2778" s="318"/>
      <c r="Y2778" s="318"/>
      <c r="Z2778" s="318"/>
      <c r="AA2778" s="318"/>
      <c r="AB2778" s="318"/>
      <c r="AC2778" s="318"/>
      <c r="AD2778" s="318"/>
    </row>
    <row r="2779" spans="2:30" s="323" customFormat="1" ht="12" customHeight="1">
      <c r="B2779" s="324"/>
      <c r="C2779" s="325"/>
      <c r="D2779" s="326"/>
      <c r="E2779" s="326"/>
      <c r="F2779" s="326"/>
      <c r="G2779" s="326"/>
      <c r="H2779" s="326"/>
      <c r="P2779" s="318"/>
      <c r="Q2779" s="318"/>
      <c r="R2779" s="318"/>
      <c r="S2779" s="318"/>
      <c r="T2779" s="318"/>
      <c r="U2779" s="318"/>
      <c r="V2779" s="318"/>
      <c r="W2779" s="318"/>
      <c r="X2779" s="318"/>
      <c r="Y2779" s="318"/>
      <c r="Z2779" s="318"/>
      <c r="AA2779" s="318"/>
      <c r="AB2779" s="318"/>
      <c r="AC2779" s="318"/>
      <c r="AD2779" s="318"/>
    </row>
    <row r="2780" spans="2:30" s="323" customFormat="1" ht="12" customHeight="1">
      <c r="B2780" s="324"/>
      <c r="C2780" s="325"/>
      <c r="D2780" s="326"/>
      <c r="E2780" s="326"/>
      <c r="F2780" s="326"/>
      <c r="G2780" s="326"/>
      <c r="H2780" s="326"/>
      <c r="P2780" s="318"/>
      <c r="Q2780" s="318"/>
      <c r="R2780" s="318"/>
      <c r="S2780" s="318"/>
      <c r="T2780" s="318"/>
      <c r="U2780" s="318"/>
      <c r="V2780" s="318"/>
      <c r="W2780" s="318"/>
      <c r="X2780" s="318"/>
      <c r="Y2780" s="318"/>
      <c r="Z2780" s="318"/>
      <c r="AA2780" s="318"/>
      <c r="AB2780" s="318"/>
      <c r="AC2780" s="318"/>
      <c r="AD2780" s="318"/>
    </row>
    <row r="2781" spans="2:30" s="323" customFormat="1" ht="12" customHeight="1">
      <c r="B2781" s="324"/>
      <c r="C2781" s="325"/>
      <c r="D2781" s="326"/>
      <c r="E2781" s="326"/>
      <c r="F2781" s="326"/>
      <c r="G2781" s="326"/>
      <c r="H2781" s="326"/>
      <c r="P2781" s="318"/>
      <c r="Q2781" s="318"/>
      <c r="R2781" s="318"/>
      <c r="S2781" s="318"/>
      <c r="T2781" s="318"/>
      <c r="U2781" s="318"/>
      <c r="V2781" s="318"/>
      <c r="W2781" s="318"/>
      <c r="X2781" s="318"/>
      <c r="Y2781" s="318"/>
      <c r="Z2781" s="318"/>
      <c r="AA2781" s="318"/>
      <c r="AB2781" s="318"/>
      <c r="AC2781" s="318"/>
      <c r="AD2781" s="318"/>
    </row>
    <row r="2782" spans="2:30" s="323" customFormat="1" ht="12" customHeight="1">
      <c r="B2782" s="324"/>
      <c r="C2782" s="325"/>
      <c r="D2782" s="326"/>
      <c r="E2782" s="326"/>
      <c r="F2782" s="326"/>
      <c r="G2782" s="326"/>
      <c r="H2782" s="326"/>
      <c r="P2782" s="318"/>
      <c r="Q2782" s="318"/>
      <c r="R2782" s="318"/>
      <c r="S2782" s="318"/>
      <c r="T2782" s="318"/>
      <c r="U2782" s="318"/>
      <c r="V2782" s="318"/>
      <c r="W2782" s="318"/>
      <c r="X2782" s="318"/>
      <c r="Y2782" s="318"/>
      <c r="Z2782" s="318"/>
      <c r="AA2782" s="318"/>
      <c r="AB2782" s="318"/>
      <c r="AC2782" s="318"/>
      <c r="AD2782" s="318"/>
    </row>
    <row r="2783" spans="2:30" s="323" customFormat="1" ht="12" customHeight="1">
      <c r="B2783" s="324"/>
      <c r="C2783" s="325"/>
      <c r="D2783" s="326"/>
      <c r="E2783" s="326"/>
      <c r="F2783" s="326"/>
      <c r="G2783" s="326"/>
      <c r="H2783" s="326"/>
      <c r="P2783" s="318"/>
      <c r="Q2783" s="318"/>
      <c r="R2783" s="318"/>
      <c r="S2783" s="318"/>
      <c r="T2783" s="318"/>
      <c r="U2783" s="318"/>
      <c r="V2783" s="318"/>
      <c r="W2783" s="318"/>
      <c r="X2783" s="318"/>
      <c r="Y2783" s="318"/>
      <c r="Z2783" s="318"/>
      <c r="AA2783" s="318"/>
      <c r="AB2783" s="318"/>
      <c r="AC2783" s="318"/>
      <c r="AD2783" s="318"/>
    </row>
    <row r="2784" spans="2:30" s="323" customFormat="1" ht="12" customHeight="1">
      <c r="B2784" s="324"/>
      <c r="C2784" s="325"/>
      <c r="D2784" s="326"/>
      <c r="E2784" s="326"/>
      <c r="F2784" s="326"/>
      <c r="G2784" s="326"/>
      <c r="H2784" s="326"/>
      <c r="P2784" s="318"/>
      <c r="Q2784" s="318"/>
      <c r="R2784" s="318"/>
      <c r="S2784" s="318"/>
      <c r="T2784" s="318"/>
      <c r="U2784" s="318"/>
      <c r="V2784" s="318"/>
      <c r="W2784" s="318"/>
      <c r="X2784" s="318"/>
      <c r="Y2784" s="318"/>
      <c r="Z2784" s="318"/>
      <c r="AA2784" s="318"/>
      <c r="AB2784" s="318"/>
      <c r="AC2784" s="318"/>
      <c r="AD2784" s="318"/>
    </row>
    <row r="2785" spans="2:30" s="323" customFormat="1" ht="12" customHeight="1">
      <c r="B2785" s="324"/>
      <c r="C2785" s="325"/>
      <c r="D2785" s="326"/>
      <c r="E2785" s="326"/>
      <c r="F2785" s="326"/>
      <c r="G2785" s="326"/>
      <c r="H2785" s="326"/>
      <c r="P2785" s="318"/>
      <c r="Q2785" s="318"/>
      <c r="R2785" s="318"/>
      <c r="S2785" s="318"/>
      <c r="T2785" s="318"/>
      <c r="U2785" s="318"/>
      <c r="V2785" s="318"/>
      <c r="W2785" s="318"/>
      <c r="X2785" s="318"/>
      <c r="Y2785" s="318"/>
      <c r="Z2785" s="318"/>
      <c r="AA2785" s="318"/>
      <c r="AB2785" s="318"/>
      <c r="AC2785" s="318"/>
      <c r="AD2785" s="318"/>
    </row>
    <row r="2786" spans="2:30" s="323" customFormat="1" ht="12" customHeight="1">
      <c r="B2786" s="324"/>
      <c r="C2786" s="325"/>
      <c r="D2786" s="326"/>
      <c r="E2786" s="326"/>
      <c r="F2786" s="326"/>
      <c r="G2786" s="326"/>
      <c r="H2786" s="326"/>
      <c r="P2786" s="318"/>
      <c r="Q2786" s="318"/>
      <c r="R2786" s="318"/>
      <c r="S2786" s="318"/>
      <c r="T2786" s="318"/>
      <c r="U2786" s="318"/>
      <c r="V2786" s="318"/>
      <c r="W2786" s="318"/>
      <c r="X2786" s="318"/>
      <c r="Y2786" s="318"/>
      <c r="Z2786" s="318"/>
      <c r="AA2786" s="318"/>
      <c r="AB2786" s="318"/>
      <c r="AC2786" s="318"/>
      <c r="AD2786" s="318"/>
    </row>
    <row r="2787" spans="2:30" s="323" customFormat="1" ht="12" customHeight="1">
      <c r="B2787" s="324"/>
      <c r="C2787" s="325"/>
      <c r="D2787" s="326"/>
      <c r="E2787" s="326"/>
      <c r="F2787" s="326"/>
      <c r="G2787" s="326"/>
      <c r="H2787" s="326"/>
      <c r="P2787" s="318"/>
      <c r="Q2787" s="318"/>
      <c r="R2787" s="318"/>
      <c r="S2787" s="318"/>
      <c r="T2787" s="318"/>
      <c r="U2787" s="318"/>
      <c r="V2787" s="318"/>
      <c r="W2787" s="318"/>
      <c r="X2787" s="318"/>
      <c r="Y2787" s="318"/>
      <c r="Z2787" s="318"/>
      <c r="AA2787" s="318"/>
      <c r="AB2787" s="318"/>
      <c r="AC2787" s="318"/>
      <c r="AD2787" s="318"/>
    </row>
    <row r="2788" spans="2:30" s="323" customFormat="1" ht="12" customHeight="1">
      <c r="B2788" s="324"/>
      <c r="C2788" s="325"/>
      <c r="D2788" s="326"/>
      <c r="E2788" s="326"/>
      <c r="F2788" s="326"/>
      <c r="G2788" s="326"/>
      <c r="H2788" s="326"/>
      <c r="P2788" s="318"/>
      <c r="Q2788" s="318"/>
      <c r="R2788" s="318"/>
      <c r="S2788" s="318"/>
      <c r="T2788" s="318"/>
      <c r="U2788" s="318"/>
      <c r="V2788" s="318"/>
      <c r="W2788" s="318"/>
      <c r="X2788" s="318"/>
      <c r="Y2788" s="318"/>
      <c r="Z2788" s="318"/>
      <c r="AA2788" s="318"/>
      <c r="AB2788" s="318"/>
      <c r="AC2788" s="318"/>
      <c r="AD2788" s="318"/>
    </row>
    <row r="2789" spans="2:30" s="323" customFormat="1" ht="12" customHeight="1">
      <c r="B2789" s="324"/>
      <c r="C2789" s="325"/>
      <c r="D2789" s="326"/>
      <c r="E2789" s="326"/>
      <c r="F2789" s="326"/>
      <c r="G2789" s="326"/>
      <c r="H2789" s="326"/>
      <c r="P2789" s="318"/>
      <c r="Q2789" s="318"/>
      <c r="R2789" s="318"/>
      <c r="S2789" s="318"/>
      <c r="T2789" s="318"/>
      <c r="U2789" s="318"/>
      <c r="V2789" s="318"/>
      <c r="W2789" s="318"/>
      <c r="X2789" s="318"/>
      <c r="Y2789" s="318"/>
      <c r="Z2789" s="318"/>
      <c r="AA2789" s="318"/>
      <c r="AB2789" s="318"/>
      <c r="AC2789" s="318"/>
      <c r="AD2789" s="318"/>
    </row>
    <row r="2790" spans="2:30" s="323" customFormat="1" ht="12" customHeight="1">
      <c r="B2790" s="324"/>
      <c r="C2790" s="325"/>
      <c r="D2790" s="326"/>
      <c r="E2790" s="326"/>
      <c r="F2790" s="326"/>
      <c r="G2790" s="326"/>
      <c r="H2790" s="326"/>
      <c r="P2790" s="318"/>
      <c r="Q2790" s="318"/>
      <c r="R2790" s="318"/>
      <c r="S2790" s="318"/>
      <c r="T2790" s="318"/>
      <c r="U2790" s="318"/>
      <c r="V2790" s="318"/>
      <c r="W2790" s="318"/>
      <c r="X2790" s="318"/>
      <c r="Y2790" s="318"/>
      <c r="Z2790" s="318"/>
      <c r="AA2790" s="318"/>
      <c r="AB2790" s="318"/>
      <c r="AC2790" s="318"/>
      <c r="AD2790" s="318"/>
    </row>
    <row r="2791" spans="2:30" s="323" customFormat="1" ht="12" customHeight="1">
      <c r="B2791" s="324"/>
      <c r="C2791" s="325"/>
      <c r="D2791" s="326"/>
      <c r="E2791" s="326"/>
      <c r="F2791" s="326"/>
      <c r="G2791" s="326"/>
      <c r="H2791" s="326"/>
      <c r="P2791" s="318"/>
      <c r="Q2791" s="318"/>
      <c r="R2791" s="318"/>
      <c r="S2791" s="318"/>
      <c r="T2791" s="318"/>
      <c r="U2791" s="318"/>
      <c r="V2791" s="318"/>
      <c r="W2791" s="318"/>
      <c r="X2791" s="318"/>
      <c r="Y2791" s="318"/>
      <c r="Z2791" s="318"/>
      <c r="AA2791" s="318"/>
      <c r="AB2791" s="318"/>
      <c r="AC2791" s="318"/>
      <c r="AD2791" s="318"/>
    </row>
    <row r="2792" spans="2:30" s="323" customFormat="1" ht="12" customHeight="1">
      <c r="B2792" s="324"/>
      <c r="C2792" s="325"/>
      <c r="D2792" s="326"/>
      <c r="E2792" s="326"/>
      <c r="F2792" s="326"/>
      <c r="G2792" s="326"/>
      <c r="H2792" s="326"/>
      <c r="P2792" s="318"/>
      <c r="Q2792" s="318"/>
      <c r="R2792" s="318"/>
      <c r="S2792" s="318"/>
      <c r="T2792" s="318"/>
      <c r="U2792" s="318"/>
      <c r="V2792" s="318"/>
      <c r="W2792" s="318"/>
      <c r="X2792" s="318"/>
      <c r="Y2792" s="318"/>
      <c r="Z2792" s="318"/>
      <c r="AA2792" s="318"/>
      <c r="AB2792" s="318"/>
      <c r="AC2792" s="318"/>
      <c r="AD2792" s="318"/>
    </row>
    <row r="2793" spans="2:30" s="323" customFormat="1" ht="12" customHeight="1">
      <c r="B2793" s="324"/>
      <c r="C2793" s="325"/>
      <c r="D2793" s="326"/>
      <c r="E2793" s="326"/>
      <c r="F2793" s="326"/>
      <c r="G2793" s="326"/>
      <c r="H2793" s="326"/>
      <c r="P2793" s="318"/>
      <c r="Q2793" s="318"/>
      <c r="R2793" s="318"/>
      <c r="S2793" s="318"/>
      <c r="T2793" s="318"/>
      <c r="U2793" s="318"/>
      <c r="V2793" s="318"/>
      <c r="W2793" s="318"/>
      <c r="X2793" s="318"/>
      <c r="Y2793" s="318"/>
      <c r="Z2793" s="318"/>
      <c r="AA2793" s="318"/>
      <c r="AB2793" s="318"/>
      <c r="AC2793" s="318"/>
      <c r="AD2793" s="318"/>
    </row>
    <row r="2794" spans="2:30" s="323" customFormat="1" ht="12" customHeight="1">
      <c r="B2794" s="324"/>
      <c r="C2794" s="325"/>
      <c r="D2794" s="326"/>
      <c r="E2794" s="326"/>
      <c r="F2794" s="326"/>
      <c r="G2794" s="326"/>
      <c r="H2794" s="326"/>
      <c r="P2794" s="318"/>
      <c r="Q2794" s="318"/>
      <c r="R2794" s="318"/>
      <c r="S2794" s="318"/>
      <c r="T2794" s="318"/>
      <c r="U2794" s="318"/>
      <c r="V2794" s="318"/>
      <c r="W2794" s="318"/>
      <c r="X2794" s="318"/>
      <c r="Y2794" s="318"/>
      <c r="Z2794" s="318"/>
      <c r="AA2794" s="318"/>
      <c r="AB2794" s="318"/>
      <c r="AC2794" s="318"/>
      <c r="AD2794" s="318"/>
    </row>
    <row r="2795" spans="2:30" s="323" customFormat="1" ht="12" customHeight="1">
      <c r="B2795" s="324"/>
      <c r="C2795" s="325"/>
      <c r="D2795" s="326"/>
      <c r="E2795" s="326"/>
      <c r="F2795" s="326"/>
      <c r="G2795" s="326"/>
      <c r="H2795" s="326"/>
      <c r="P2795" s="318"/>
      <c r="Q2795" s="318"/>
      <c r="R2795" s="318"/>
      <c r="S2795" s="318"/>
      <c r="T2795" s="318"/>
      <c r="U2795" s="318"/>
      <c r="V2795" s="318"/>
      <c r="W2795" s="318"/>
      <c r="X2795" s="318"/>
      <c r="Y2795" s="318"/>
      <c r="Z2795" s="318"/>
      <c r="AA2795" s="318"/>
      <c r="AB2795" s="318"/>
      <c r="AC2795" s="318"/>
      <c r="AD2795" s="318"/>
    </row>
    <row r="2796" spans="2:30" s="323" customFormat="1" ht="12" customHeight="1">
      <c r="B2796" s="324"/>
      <c r="C2796" s="325"/>
      <c r="D2796" s="326"/>
      <c r="E2796" s="326"/>
      <c r="F2796" s="326"/>
      <c r="G2796" s="326"/>
      <c r="H2796" s="326"/>
      <c r="P2796" s="318"/>
      <c r="Q2796" s="318"/>
      <c r="R2796" s="318"/>
      <c r="S2796" s="318"/>
      <c r="T2796" s="318"/>
      <c r="U2796" s="318"/>
      <c r="V2796" s="318"/>
      <c r="W2796" s="318"/>
      <c r="X2796" s="318"/>
      <c r="Y2796" s="318"/>
      <c r="Z2796" s="318"/>
      <c r="AA2796" s="318"/>
      <c r="AB2796" s="318"/>
      <c r="AC2796" s="318"/>
      <c r="AD2796" s="318"/>
    </row>
    <row r="2797" spans="2:30" s="323" customFormat="1" ht="12" customHeight="1">
      <c r="B2797" s="324"/>
      <c r="C2797" s="325"/>
      <c r="D2797" s="326"/>
      <c r="E2797" s="326"/>
      <c r="F2797" s="326"/>
      <c r="G2797" s="326"/>
      <c r="H2797" s="326"/>
      <c r="P2797" s="318"/>
      <c r="Q2797" s="318"/>
      <c r="R2797" s="318"/>
      <c r="S2797" s="318"/>
      <c r="T2797" s="318"/>
      <c r="U2797" s="318"/>
      <c r="V2797" s="318"/>
      <c r="W2797" s="318"/>
      <c r="X2797" s="318"/>
      <c r="Y2797" s="318"/>
      <c r="Z2797" s="318"/>
      <c r="AA2797" s="318"/>
      <c r="AB2797" s="318"/>
      <c r="AC2797" s="318"/>
      <c r="AD2797" s="318"/>
    </row>
    <row r="2798" spans="2:30" s="323" customFormat="1" ht="12" customHeight="1">
      <c r="B2798" s="324"/>
      <c r="C2798" s="325"/>
      <c r="D2798" s="326"/>
      <c r="E2798" s="326"/>
      <c r="F2798" s="326"/>
      <c r="G2798" s="326"/>
      <c r="H2798" s="326"/>
      <c r="P2798" s="318"/>
      <c r="Q2798" s="318"/>
      <c r="R2798" s="318"/>
      <c r="S2798" s="318"/>
      <c r="T2798" s="318"/>
      <c r="U2798" s="318"/>
      <c r="V2798" s="318"/>
      <c r="W2798" s="318"/>
      <c r="X2798" s="318"/>
      <c r="Y2798" s="318"/>
      <c r="Z2798" s="318"/>
      <c r="AA2798" s="318"/>
      <c r="AB2798" s="318"/>
      <c r="AC2798" s="318"/>
      <c r="AD2798" s="318"/>
    </row>
    <row r="2799" spans="2:30" s="323" customFormat="1" ht="12" customHeight="1">
      <c r="B2799" s="324"/>
      <c r="C2799" s="325"/>
      <c r="D2799" s="326"/>
      <c r="E2799" s="326"/>
      <c r="F2799" s="326"/>
      <c r="G2799" s="326"/>
      <c r="H2799" s="326"/>
      <c r="P2799" s="318"/>
      <c r="Q2799" s="318"/>
      <c r="R2799" s="318"/>
      <c r="S2799" s="318"/>
      <c r="T2799" s="318"/>
      <c r="U2799" s="318"/>
      <c r="V2799" s="318"/>
      <c r="W2799" s="318"/>
      <c r="X2799" s="318"/>
      <c r="Y2799" s="318"/>
      <c r="Z2799" s="318"/>
      <c r="AA2799" s="318"/>
      <c r="AB2799" s="318"/>
      <c r="AC2799" s="318"/>
      <c r="AD2799" s="318"/>
    </row>
    <row r="2800" spans="2:30" s="323" customFormat="1" ht="12" customHeight="1">
      <c r="B2800" s="324"/>
      <c r="C2800" s="325"/>
      <c r="D2800" s="326"/>
      <c r="E2800" s="326"/>
      <c r="F2800" s="326"/>
      <c r="G2800" s="326"/>
      <c r="H2800" s="326"/>
      <c r="P2800" s="318"/>
      <c r="Q2800" s="318"/>
      <c r="R2800" s="318"/>
      <c r="S2800" s="318"/>
      <c r="T2800" s="318"/>
      <c r="U2800" s="318"/>
      <c r="V2800" s="318"/>
      <c r="W2800" s="318"/>
      <c r="X2800" s="318"/>
      <c r="Y2800" s="318"/>
      <c r="Z2800" s="318"/>
      <c r="AA2800" s="318"/>
      <c r="AB2800" s="318"/>
      <c r="AC2800" s="318"/>
      <c r="AD2800" s="318"/>
    </row>
    <row r="2801" spans="2:30" s="323" customFormat="1" ht="12" customHeight="1">
      <c r="B2801" s="324"/>
      <c r="C2801" s="325"/>
      <c r="D2801" s="326"/>
      <c r="E2801" s="326"/>
      <c r="F2801" s="326"/>
      <c r="G2801" s="326"/>
      <c r="H2801" s="326"/>
      <c r="P2801" s="318"/>
      <c r="Q2801" s="318"/>
      <c r="R2801" s="318"/>
      <c r="S2801" s="318"/>
      <c r="T2801" s="318"/>
      <c r="U2801" s="318"/>
      <c r="V2801" s="318"/>
      <c r="W2801" s="318"/>
      <c r="X2801" s="318"/>
      <c r="Y2801" s="318"/>
      <c r="Z2801" s="318"/>
      <c r="AA2801" s="318"/>
      <c r="AB2801" s="318"/>
      <c r="AC2801" s="318"/>
      <c r="AD2801" s="318"/>
    </row>
    <row r="2802" spans="2:30" s="323" customFormat="1" ht="12" customHeight="1">
      <c r="B2802" s="324"/>
      <c r="C2802" s="325"/>
      <c r="D2802" s="326"/>
      <c r="E2802" s="326"/>
      <c r="F2802" s="326"/>
      <c r="G2802" s="326"/>
      <c r="H2802" s="326"/>
      <c r="P2802" s="318"/>
      <c r="Q2802" s="318"/>
      <c r="R2802" s="318"/>
      <c r="S2802" s="318"/>
      <c r="T2802" s="318"/>
      <c r="U2802" s="318"/>
      <c r="V2802" s="318"/>
      <c r="W2802" s="318"/>
      <c r="X2802" s="318"/>
      <c r="Y2802" s="318"/>
      <c r="Z2802" s="318"/>
      <c r="AA2802" s="318"/>
      <c r="AB2802" s="318"/>
      <c r="AC2802" s="318"/>
      <c r="AD2802" s="318"/>
    </row>
    <row r="2803" spans="2:30" s="323" customFormat="1" ht="12" customHeight="1">
      <c r="B2803" s="324"/>
      <c r="C2803" s="325"/>
      <c r="D2803" s="326"/>
      <c r="E2803" s="326"/>
      <c r="F2803" s="326"/>
      <c r="G2803" s="326"/>
      <c r="H2803" s="326"/>
      <c r="P2803" s="318"/>
      <c r="Q2803" s="318"/>
      <c r="R2803" s="318"/>
      <c r="S2803" s="318"/>
      <c r="T2803" s="318"/>
      <c r="U2803" s="318"/>
      <c r="V2803" s="318"/>
      <c r="W2803" s="318"/>
      <c r="X2803" s="318"/>
      <c r="Y2803" s="318"/>
      <c r="Z2803" s="318"/>
      <c r="AA2803" s="318"/>
      <c r="AB2803" s="318"/>
      <c r="AC2803" s="318"/>
      <c r="AD2803" s="318"/>
    </row>
    <row r="2804" spans="2:30" s="323" customFormat="1" ht="12" customHeight="1">
      <c r="B2804" s="324"/>
      <c r="C2804" s="325"/>
      <c r="D2804" s="326"/>
      <c r="E2804" s="326"/>
      <c r="F2804" s="326"/>
      <c r="G2804" s="326"/>
      <c r="H2804" s="326"/>
      <c r="P2804" s="318"/>
      <c r="Q2804" s="318"/>
      <c r="R2804" s="318"/>
      <c r="S2804" s="318"/>
      <c r="T2804" s="318"/>
      <c r="U2804" s="318"/>
      <c r="V2804" s="318"/>
      <c r="W2804" s="318"/>
      <c r="X2804" s="318"/>
      <c r="Y2804" s="318"/>
      <c r="Z2804" s="318"/>
      <c r="AA2804" s="318"/>
      <c r="AB2804" s="318"/>
      <c r="AC2804" s="318"/>
      <c r="AD2804" s="318"/>
    </row>
    <row r="2805" spans="2:30" s="323" customFormat="1" ht="12" customHeight="1">
      <c r="B2805" s="324"/>
      <c r="C2805" s="325"/>
      <c r="D2805" s="326"/>
      <c r="E2805" s="326"/>
      <c r="F2805" s="326"/>
      <c r="G2805" s="326"/>
      <c r="H2805" s="326"/>
      <c r="P2805" s="318"/>
      <c r="Q2805" s="318"/>
      <c r="R2805" s="318"/>
      <c r="S2805" s="318"/>
      <c r="T2805" s="318"/>
      <c r="U2805" s="318"/>
      <c r="V2805" s="318"/>
      <c r="W2805" s="318"/>
      <c r="X2805" s="318"/>
      <c r="Y2805" s="318"/>
      <c r="Z2805" s="318"/>
      <c r="AA2805" s="318"/>
      <c r="AB2805" s="318"/>
      <c r="AC2805" s="318"/>
      <c r="AD2805" s="318"/>
    </row>
    <row r="2806" spans="2:30" s="323" customFormat="1" ht="12" customHeight="1">
      <c r="B2806" s="324"/>
      <c r="C2806" s="325"/>
      <c r="D2806" s="326"/>
      <c r="E2806" s="326"/>
      <c r="F2806" s="326"/>
      <c r="G2806" s="326"/>
      <c r="H2806" s="326"/>
      <c r="P2806" s="318"/>
      <c r="Q2806" s="318"/>
      <c r="R2806" s="318"/>
      <c r="S2806" s="318"/>
      <c r="T2806" s="318"/>
      <c r="U2806" s="318"/>
      <c r="V2806" s="318"/>
      <c r="W2806" s="318"/>
      <c r="X2806" s="318"/>
      <c r="Y2806" s="318"/>
      <c r="Z2806" s="318"/>
      <c r="AA2806" s="318"/>
      <c r="AB2806" s="318"/>
      <c r="AC2806" s="318"/>
      <c r="AD2806" s="318"/>
    </row>
    <row r="2807" spans="2:30" s="323" customFormat="1" ht="12" customHeight="1">
      <c r="B2807" s="324"/>
      <c r="C2807" s="325"/>
      <c r="D2807" s="326"/>
      <c r="E2807" s="326"/>
      <c r="F2807" s="326"/>
      <c r="G2807" s="326"/>
      <c r="H2807" s="326"/>
      <c r="P2807" s="318"/>
      <c r="Q2807" s="318"/>
      <c r="R2807" s="318"/>
      <c r="S2807" s="318"/>
      <c r="T2807" s="318"/>
      <c r="U2807" s="318"/>
      <c r="V2807" s="318"/>
      <c r="W2807" s="318"/>
      <c r="X2807" s="318"/>
      <c r="Y2807" s="318"/>
      <c r="Z2807" s="318"/>
      <c r="AA2807" s="318"/>
      <c r="AB2807" s="318"/>
      <c r="AC2807" s="318"/>
      <c r="AD2807" s="318"/>
    </row>
    <row r="2808" spans="2:30" s="323" customFormat="1" ht="12" customHeight="1">
      <c r="B2808" s="324"/>
      <c r="C2808" s="325"/>
      <c r="D2808" s="326"/>
      <c r="E2808" s="326"/>
      <c r="F2808" s="326"/>
      <c r="G2808" s="326"/>
      <c r="H2808" s="326"/>
      <c r="P2808" s="318"/>
      <c r="Q2808" s="318"/>
      <c r="R2808" s="318"/>
      <c r="S2808" s="318"/>
      <c r="T2808" s="318"/>
      <c r="U2808" s="318"/>
      <c r="V2808" s="318"/>
      <c r="W2808" s="318"/>
      <c r="X2808" s="318"/>
      <c r="Y2808" s="318"/>
      <c r="Z2808" s="318"/>
      <c r="AA2808" s="318"/>
      <c r="AB2808" s="318"/>
      <c r="AC2808" s="318"/>
      <c r="AD2808" s="318"/>
    </row>
    <row r="2809" spans="2:30" s="323" customFormat="1" ht="12" customHeight="1">
      <c r="B2809" s="324"/>
      <c r="C2809" s="325"/>
      <c r="D2809" s="326"/>
      <c r="E2809" s="326"/>
      <c r="F2809" s="326"/>
      <c r="G2809" s="326"/>
      <c r="H2809" s="326"/>
      <c r="P2809" s="318"/>
      <c r="Q2809" s="318"/>
      <c r="R2809" s="318"/>
      <c r="S2809" s="318"/>
      <c r="T2809" s="318"/>
      <c r="U2809" s="318"/>
      <c r="V2809" s="318"/>
      <c r="W2809" s="318"/>
      <c r="X2809" s="318"/>
      <c r="Y2809" s="318"/>
      <c r="Z2809" s="318"/>
      <c r="AA2809" s="318"/>
      <c r="AB2809" s="318"/>
      <c r="AC2809" s="318"/>
      <c r="AD2809" s="318"/>
    </row>
    <row r="2810" spans="2:30" s="323" customFormat="1" ht="12" customHeight="1">
      <c r="B2810" s="324"/>
      <c r="C2810" s="325"/>
      <c r="D2810" s="326"/>
      <c r="E2810" s="326"/>
      <c r="F2810" s="326"/>
      <c r="G2810" s="326"/>
      <c r="H2810" s="326"/>
      <c r="P2810" s="318"/>
      <c r="Q2810" s="318"/>
      <c r="R2810" s="318"/>
      <c r="S2810" s="318"/>
      <c r="T2810" s="318"/>
      <c r="U2810" s="318"/>
      <c r="V2810" s="318"/>
      <c r="W2810" s="318"/>
      <c r="X2810" s="318"/>
      <c r="Y2810" s="318"/>
      <c r="Z2810" s="318"/>
      <c r="AA2810" s="318"/>
      <c r="AB2810" s="318"/>
      <c r="AC2810" s="318"/>
      <c r="AD2810" s="318"/>
    </row>
    <row r="2811" spans="2:30" s="323" customFormat="1" ht="12" customHeight="1">
      <c r="B2811" s="324"/>
      <c r="C2811" s="325"/>
      <c r="D2811" s="326"/>
      <c r="E2811" s="326"/>
      <c r="F2811" s="326"/>
      <c r="G2811" s="326"/>
      <c r="H2811" s="326"/>
      <c r="P2811" s="318"/>
      <c r="Q2811" s="318"/>
      <c r="R2811" s="318"/>
      <c r="S2811" s="318"/>
      <c r="T2811" s="318"/>
      <c r="U2811" s="318"/>
      <c r="V2811" s="318"/>
      <c r="W2811" s="318"/>
      <c r="X2811" s="318"/>
      <c r="Y2811" s="318"/>
      <c r="Z2811" s="318"/>
      <c r="AA2811" s="318"/>
      <c r="AB2811" s="318"/>
      <c r="AC2811" s="318"/>
      <c r="AD2811" s="318"/>
    </row>
    <row r="2812" spans="2:30" s="323" customFormat="1" ht="12" customHeight="1">
      <c r="B2812" s="324"/>
      <c r="C2812" s="325"/>
      <c r="D2812" s="326"/>
      <c r="E2812" s="326"/>
      <c r="F2812" s="326"/>
      <c r="G2812" s="326"/>
      <c r="H2812" s="326"/>
      <c r="P2812" s="318"/>
      <c r="Q2812" s="318"/>
      <c r="R2812" s="318"/>
      <c r="S2812" s="318"/>
      <c r="T2812" s="318"/>
      <c r="U2812" s="318"/>
      <c r="V2812" s="318"/>
      <c r="W2812" s="318"/>
      <c r="X2812" s="318"/>
      <c r="Y2812" s="318"/>
      <c r="Z2812" s="318"/>
      <c r="AA2812" s="318"/>
      <c r="AB2812" s="318"/>
      <c r="AC2812" s="318"/>
      <c r="AD2812" s="318"/>
    </row>
    <row r="2813" spans="2:30" s="323" customFormat="1" ht="12" customHeight="1">
      <c r="B2813" s="324"/>
      <c r="C2813" s="325"/>
      <c r="D2813" s="326"/>
      <c r="E2813" s="326"/>
      <c r="F2813" s="326"/>
      <c r="G2813" s="326"/>
      <c r="H2813" s="326"/>
      <c r="P2813" s="318"/>
      <c r="Q2813" s="318"/>
      <c r="R2813" s="318"/>
      <c r="S2813" s="318"/>
      <c r="T2813" s="318"/>
      <c r="U2813" s="318"/>
      <c r="V2813" s="318"/>
      <c r="W2813" s="318"/>
      <c r="X2813" s="318"/>
      <c r="Y2813" s="318"/>
      <c r="Z2813" s="318"/>
      <c r="AA2813" s="318"/>
      <c r="AB2813" s="318"/>
      <c r="AC2813" s="318"/>
      <c r="AD2813" s="318"/>
    </row>
    <row r="2814" spans="2:30" s="323" customFormat="1" ht="12" customHeight="1">
      <c r="B2814" s="324"/>
      <c r="C2814" s="325"/>
      <c r="D2814" s="326"/>
      <c r="E2814" s="326"/>
      <c r="F2814" s="326"/>
      <c r="G2814" s="326"/>
      <c r="H2814" s="326"/>
      <c r="P2814" s="318"/>
      <c r="Q2814" s="318"/>
      <c r="R2814" s="318"/>
      <c r="S2814" s="318"/>
      <c r="T2814" s="318"/>
      <c r="U2814" s="318"/>
      <c r="V2814" s="318"/>
      <c r="W2814" s="318"/>
      <c r="X2814" s="318"/>
      <c r="Y2814" s="318"/>
      <c r="Z2814" s="318"/>
      <c r="AA2814" s="318"/>
      <c r="AB2814" s="318"/>
      <c r="AC2814" s="318"/>
      <c r="AD2814" s="318"/>
    </row>
    <row r="2815" spans="2:30" s="323" customFormat="1" ht="12" customHeight="1">
      <c r="B2815" s="324"/>
      <c r="C2815" s="325"/>
      <c r="D2815" s="326"/>
      <c r="E2815" s="326"/>
      <c r="F2815" s="326"/>
      <c r="G2815" s="326"/>
      <c r="H2815" s="326"/>
      <c r="P2815" s="318"/>
      <c r="Q2815" s="318"/>
      <c r="R2815" s="318"/>
      <c r="S2815" s="318"/>
      <c r="T2815" s="318"/>
      <c r="U2815" s="318"/>
      <c r="V2815" s="318"/>
      <c r="W2815" s="318"/>
      <c r="X2815" s="318"/>
      <c r="Y2815" s="318"/>
      <c r="Z2815" s="318"/>
      <c r="AA2815" s="318"/>
      <c r="AB2815" s="318"/>
      <c r="AC2815" s="318"/>
      <c r="AD2815" s="318"/>
    </row>
    <row r="2816" spans="2:30" s="323" customFormat="1" ht="12" customHeight="1">
      <c r="B2816" s="324"/>
      <c r="C2816" s="325"/>
      <c r="D2816" s="326"/>
      <c r="E2816" s="326"/>
      <c r="F2816" s="326"/>
      <c r="G2816" s="326"/>
      <c r="H2816" s="326"/>
      <c r="P2816" s="318"/>
      <c r="Q2816" s="318"/>
      <c r="R2816" s="318"/>
      <c r="S2816" s="318"/>
      <c r="T2816" s="318"/>
      <c r="U2816" s="318"/>
      <c r="V2816" s="318"/>
      <c r="W2816" s="318"/>
      <c r="X2816" s="318"/>
      <c r="Y2816" s="318"/>
      <c r="Z2816" s="318"/>
      <c r="AA2816" s="318"/>
      <c r="AB2816" s="318"/>
      <c r="AC2816" s="318"/>
      <c r="AD2816" s="318"/>
    </row>
    <row r="2817" spans="2:30" s="323" customFormat="1" ht="12" customHeight="1">
      <c r="B2817" s="324"/>
      <c r="C2817" s="325"/>
      <c r="D2817" s="326"/>
      <c r="E2817" s="326"/>
      <c r="F2817" s="326"/>
      <c r="G2817" s="326"/>
      <c r="H2817" s="326"/>
      <c r="P2817" s="318"/>
      <c r="Q2817" s="318"/>
      <c r="R2817" s="318"/>
      <c r="S2817" s="318"/>
      <c r="T2817" s="318"/>
      <c r="U2817" s="318"/>
      <c r="V2817" s="318"/>
      <c r="W2817" s="318"/>
      <c r="X2817" s="318"/>
      <c r="Y2817" s="318"/>
      <c r="Z2817" s="318"/>
      <c r="AA2817" s="318"/>
      <c r="AB2817" s="318"/>
      <c r="AC2817" s="318"/>
      <c r="AD2817" s="318"/>
    </row>
    <row r="2818" spans="2:30" s="323" customFormat="1" ht="12" customHeight="1">
      <c r="B2818" s="324"/>
      <c r="C2818" s="325"/>
      <c r="D2818" s="326"/>
      <c r="E2818" s="326"/>
      <c r="F2818" s="326"/>
      <c r="G2818" s="326"/>
      <c r="H2818" s="326"/>
      <c r="P2818" s="318"/>
      <c r="Q2818" s="318"/>
      <c r="R2818" s="318"/>
      <c r="S2818" s="318"/>
      <c r="T2818" s="318"/>
      <c r="U2818" s="318"/>
      <c r="V2818" s="318"/>
      <c r="W2818" s="318"/>
      <c r="X2818" s="318"/>
      <c r="Y2818" s="318"/>
      <c r="Z2818" s="318"/>
      <c r="AA2818" s="318"/>
      <c r="AB2818" s="318"/>
      <c r="AC2818" s="318"/>
      <c r="AD2818" s="318"/>
    </row>
    <row r="2819" spans="2:30" s="323" customFormat="1" ht="12" customHeight="1">
      <c r="B2819" s="324"/>
      <c r="C2819" s="325"/>
      <c r="D2819" s="326"/>
      <c r="E2819" s="326"/>
      <c r="F2819" s="326"/>
      <c r="G2819" s="326"/>
      <c r="H2819" s="326"/>
      <c r="P2819" s="318"/>
      <c r="Q2819" s="318"/>
      <c r="R2819" s="318"/>
      <c r="S2819" s="318"/>
      <c r="T2819" s="318"/>
      <c r="U2819" s="318"/>
      <c r="V2819" s="318"/>
      <c r="W2819" s="318"/>
      <c r="X2819" s="318"/>
      <c r="Y2819" s="318"/>
      <c r="Z2819" s="318"/>
      <c r="AA2819" s="318"/>
      <c r="AB2819" s="318"/>
      <c r="AC2819" s="318"/>
      <c r="AD2819" s="318"/>
    </row>
    <row r="2820" spans="2:30" s="323" customFormat="1" ht="12" customHeight="1">
      <c r="B2820" s="324"/>
      <c r="C2820" s="325"/>
      <c r="D2820" s="326"/>
      <c r="E2820" s="326"/>
      <c r="F2820" s="326"/>
      <c r="G2820" s="326"/>
      <c r="H2820" s="326"/>
      <c r="P2820" s="318"/>
      <c r="Q2820" s="318"/>
      <c r="R2820" s="318"/>
      <c r="S2820" s="318"/>
      <c r="T2820" s="318"/>
      <c r="U2820" s="318"/>
      <c r="V2820" s="318"/>
      <c r="W2820" s="318"/>
      <c r="X2820" s="318"/>
      <c r="Y2820" s="318"/>
      <c r="Z2820" s="318"/>
      <c r="AA2820" s="318"/>
      <c r="AB2820" s="318"/>
      <c r="AC2820" s="318"/>
      <c r="AD2820" s="318"/>
    </row>
    <row r="2821" spans="2:30" s="323" customFormat="1" ht="12" customHeight="1">
      <c r="B2821" s="324"/>
      <c r="C2821" s="325"/>
      <c r="D2821" s="326"/>
      <c r="E2821" s="326"/>
      <c r="F2821" s="326"/>
      <c r="G2821" s="326"/>
      <c r="H2821" s="326"/>
      <c r="P2821" s="318"/>
      <c r="Q2821" s="318"/>
      <c r="R2821" s="318"/>
      <c r="S2821" s="318"/>
      <c r="T2821" s="318"/>
      <c r="U2821" s="318"/>
      <c r="V2821" s="318"/>
      <c r="W2821" s="318"/>
      <c r="X2821" s="318"/>
      <c r="Y2821" s="318"/>
      <c r="Z2821" s="318"/>
      <c r="AA2821" s="318"/>
      <c r="AB2821" s="318"/>
      <c r="AC2821" s="318"/>
      <c r="AD2821" s="318"/>
    </row>
    <row r="2822" spans="2:30" s="323" customFormat="1" ht="12" customHeight="1">
      <c r="B2822" s="324"/>
      <c r="C2822" s="325"/>
      <c r="D2822" s="326"/>
      <c r="E2822" s="326"/>
      <c r="F2822" s="326"/>
      <c r="G2822" s="326"/>
      <c r="H2822" s="326"/>
      <c r="P2822" s="318"/>
      <c r="Q2822" s="318"/>
      <c r="R2822" s="318"/>
      <c r="S2822" s="318"/>
      <c r="T2822" s="318"/>
      <c r="U2822" s="318"/>
      <c r="V2822" s="318"/>
      <c r="W2822" s="318"/>
      <c r="X2822" s="318"/>
      <c r="Y2822" s="318"/>
      <c r="Z2822" s="318"/>
      <c r="AA2822" s="318"/>
      <c r="AB2822" s="318"/>
      <c r="AC2822" s="318"/>
      <c r="AD2822" s="318"/>
    </row>
    <row r="2823" spans="2:30" s="323" customFormat="1" ht="12" customHeight="1">
      <c r="B2823" s="324"/>
      <c r="C2823" s="325"/>
      <c r="D2823" s="326"/>
      <c r="E2823" s="326"/>
      <c r="F2823" s="326"/>
      <c r="G2823" s="326"/>
      <c r="H2823" s="326"/>
      <c r="P2823" s="318"/>
      <c r="Q2823" s="318"/>
      <c r="R2823" s="318"/>
      <c r="S2823" s="318"/>
      <c r="T2823" s="318"/>
      <c r="U2823" s="318"/>
      <c r="V2823" s="318"/>
      <c r="W2823" s="318"/>
      <c r="X2823" s="318"/>
      <c r="Y2823" s="318"/>
      <c r="Z2823" s="318"/>
      <c r="AA2823" s="318"/>
      <c r="AB2823" s="318"/>
      <c r="AC2823" s="318"/>
      <c r="AD2823" s="318"/>
    </row>
    <row r="2824" spans="2:30" s="323" customFormat="1" ht="12" customHeight="1">
      <c r="B2824" s="324"/>
      <c r="C2824" s="325"/>
      <c r="D2824" s="326"/>
      <c r="E2824" s="326"/>
      <c r="F2824" s="326"/>
      <c r="G2824" s="326"/>
      <c r="H2824" s="326"/>
      <c r="P2824" s="318"/>
      <c r="Q2824" s="318"/>
      <c r="R2824" s="318"/>
      <c r="S2824" s="318"/>
      <c r="T2824" s="318"/>
      <c r="U2824" s="318"/>
      <c r="V2824" s="318"/>
      <c r="W2824" s="318"/>
      <c r="X2824" s="318"/>
      <c r="Y2824" s="318"/>
      <c r="Z2824" s="318"/>
      <c r="AA2824" s="318"/>
      <c r="AB2824" s="318"/>
      <c r="AC2824" s="318"/>
      <c r="AD2824" s="318"/>
    </row>
    <row r="2825" spans="2:30" s="323" customFormat="1" ht="12" customHeight="1">
      <c r="B2825" s="324"/>
      <c r="C2825" s="325"/>
      <c r="D2825" s="326"/>
      <c r="E2825" s="326"/>
      <c r="F2825" s="326"/>
      <c r="G2825" s="326"/>
      <c r="H2825" s="326"/>
      <c r="P2825" s="318"/>
      <c r="Q2825" s="318"/>
      <c r="R2825" s="318"/>
      <c r="S2825" s="318"/>
      <c r="T2825" s="318"/>
      <c r="U2825" s="318"/>
      <c r="V2825" s="318"/>
      <c r="W2825" s="318"/>
      <c r="X2825" s="318"/>
      <c r="Y2825" s="318"/>
      <c r="Z2825" s="318"/>
      <c r="AA2825" s="318"/>
      <c r="AB2825" s="318"/>
      <c r="AC2825" s="318"/>
      <c r="AD2825" s="318"/>
    </row>
    <row r="2826" spans="2:30" s="323" customFormat="1" ht="12" customHeight="1">
      <c r="B2826" s="324"/>
      <c r="C2826" s="325"/>
      <c r="D2826" s="326"/>
      <c r="E2826" s="326"/>
      <c r="F2826" s="326"/>
      <c r="G2826" s="326"/>
      <c r="H2826" s="326"/>
      <c r="P2826" s="318"/>
      <c r="Q2826" s="318"/>
      <c r="R2826" s="318"/>
      <c r="S2826" s="318"/>
      <c r="T2826" s="318"/>
      <c r="U2826" s="318"/>
      <c r="V2826" s="318"/>
      <c r="W2826" s="318"/>
      <c r="X2826" s="318"/>
      <c r="Y2826" s="318"/>
      <c r="Z2826" s="318"/>
      <c r="AA2826" s="318"/>
      <c r="AB2826" s="318"/>
      <c r="AC2826" s="318"/>
      <c r="AD2826" s="318"/>
    </row>
    <row r="2827" spans="2:30" s="323" customFormat="1" ht="12" customHeight="1">
      <c r="B2827" s="324"/>
      <c r="C2827" s="325"/>
      <c r="D2827" s="326"/>
      <c r="E2827" s="326"/>
      <c r="F2827" s="326"/>
      <c r="G2827" s="326"/>
      <c r="H2827" s="326"/>
      <c r="P2827" s="318"/>
      <c r="Q2827" s="318"/>
      <c r="R2827" s="318"/>
      <c r="S2827" s="318"/>
      <c r="T2827" s="318"/>
      <c r="U2827" s="318"/>
      <c r="V2827" s="318"/>
      <c r="W2827" s="318"/>
      <c r="X2827" s="318"/>
      <c r="Y2827" s="318"/>
      <c r="Z2827" s="318"/>
      <c r="AA2827" s="318"/>
      <c r="AB2827" s="318"/>
      <c r="AC2827" s="318"/>
      <c r="AD2827" s="318"/>
    </row>
    <row r="2828" spans="2:30" s="323" customFormat="1" ht="12" customHeight="1">
      <c r="B2828" s="324"/>
      <c r="C2828" s="325"/>
      <c r="D2828" s="326"/>
      <c r="E2828" s="326"/>
      <c r="F2828" s="326"/>
      <c r="G2828" s="326"/>
      <c r="H2828" s="326"/>
      <c r="P2828" s="318"/>
      <c r="Q2828" s="318"/>
      <c r="R2828" s="318"/>
      <c r="S2828" s="318"/>
      <c r="T2828" s="318"/>
      <c r="U2828" s="318"/>
      <c r="V2828" s="318"/>
      <c r="W2828" s="318"/>
      <c r="X2828" s="318"/>
      <c r="Y2828" s="318"/>
      <c r="Z2828" s="318"/>
      <c r="AA2828" s="318"/>
      <c r="AB2828" s="318"/>
      <c r="AC2828" s="318"/>
      <c r="AD2828" s="318"/>
    </row>
    <row r="2829" spans="2:30" s="323" customFormat="1" ht="12" customHeight="1">
      <c r="B2829" s="324"/>
      <c r="C2829" s="325"/>
      <c r="D2829" s="326"/>
      <c r="E2829" s="326"/>
      <c r="F2829" s="326"/>
      <c r="G2829" s="326"/>
      <c r="H2829" s="326"/>
      <c r="P2829" s="318"/>
      <c r="Q2829" s="318"/>
      <c r="R2829" s="318"/>
      <c r="S2829" s="318"/>
      <c r="T2829" s="318"/>
      <c r="U2829" s="318"/>
      <c r="V2829" s="318"/>
      <c r="W2829" s="318"/>
      <c r="X2829" s="318"/>
      <c r="Y2829" s="318"/>
      <c r="Z2829" s="318"/>
      <c r="AA2829" s="318"/>
      <c r="AB2829" s="318"/>
      <c r="AC2829" s="318"/>
      <c r="AD2829" s="318"/>
    </row>
    <row r="2830" spans="2:30" s="323" customFormat="1" ht="12" customHeight="1">
      <c r="B2830" s="324"/>
      <c r="C2830" s="325"/>
      <c r="D2830" s="326"/>
      <c r="E2830" s="326"/>
      <c r="F2830" s="326"/>
      <c r="G2830" s="326"/>
      <c r="H2830" s="326"/>
      <c r="P2830" s="318"/>
      <c r="Q2830" s="318"/>
      <c r="R2830" s="318"/>
      <c r="S2830" s="318"/>
      <c r="T2830" s="318"/>
      <c r="U2830" s="318"/>
      <c r="V2830" s="318"/>
      <c r="W2830" s="318"/>
      <c r="X2830" s="318"/>
      <c r="Y2830" s="318"/>
      <c r="Z2830" s="318"/>
      <c r="AA2830" s="318"/>
      <c r="AB2830" s="318"/>
      <c r="AC2830" s="318"/>
      <c r="AD2830" s="318"/>
    </row>
    <row r="2831" spans="2:30" s="323" customFormat="1" ht="12" customHeight="1">
      <c r="B2831" s="324"/>
      <c r="C2831" s="325"/>
      <c r="D2831" s="326"/>
      <c r="E2831" s="326"/>
      <c r="F2831" s="326"/>
      <c r="G2831" s="326"/>
      <c r="H2831" s="326"/>
      <c r="P2831" s="318"/>
      <c r="Q2831" s="318"/>
      <c r="R2831" s="318"/>
      <c r="S2831" s="318"/>
      <c r="T2831" s="318"/>
      <c r="U2831" s="318"/>
      <c r="V2831" s="318"/>
      <c r="W2831" s="318"/>
      <c r="X2831" s="318"/>
      <c r="Y2831" s="318"/>
      <c r="Z2831" s="318"/>
      <c r="AA2831" s="318"/>
      <c r="AB2831" s="318"/>
      <c r="AC2831" s="318"/>
      <c r="AD2831" s="318"/>
    </row>
    <row r="2832" spans="2:30" s="323" customFormat="1" ht="12" customHeight="1">
      <c r="B2832" s="324"/>
      <c r="C2832" s="325"/>
      <c r="D2832" s="326"/>
      <c r="E2832" s="326"/>
      <c r="F2832" s="326"/>
      <c r="G2832" s="326"/>
      <c r="H2832" s="326"/>
      <c r="P2832" s="318"/>
      <c r="Q2832" s="318"/>
      <c r="R2832" s="318"/>
      <c r="S2832" s="318"/>
      <c r="T2832" s="318"/>
      <c r="U2832" s="318"/>
      <c r="V2832" s="318"/>
      <c r="W2832" s="318"/>
      <c r="X2832" s="318"/>
      <c r="Y2832" s="318"/>
      <c r="Z2832" s="318"/>
      <c r="AA2832" s="318"/>
      <c r="AB2832" s="318"/>
      <c r="AC2832" s="318"/>
      <c r="AD2832" s="318"/>
    </row>
    <row r="2833" spans="2:30" s="323" customFormat="1" ht="12" customHeight="1">
      <c r="B2833" s="324"/>
      <c r="C2833" s="325"/>
      <c r="D2833" s="326"/>
      <c r="E2833" s="326"/>
      <c r="F2833" s="326"/>
      <c r="G2833" s="326"/>
      <c r="H2833" s="326"/>
      <c r="P2833" s="318"/>
      <c r="Q2833" s="318"/>
      <c r="R2833" s="318"/>
      <c r="S2833" s="318"/>
      <c r="T2833" s="318"/>
      <c r="U2833" s="318"/>
      <c r="V2833" s="318"/>
      <c r="W2833" s="318"/>
      <c r="X2833" s="318"/>
      <c r="Y2833" s="318"/>
      <c r="Z2833" s="318"/>
      <c r="AA2833" s="318"/>
      <c r="AB2833" s="318"/>
      <c r="AC2833" s="318"/>
      <c r="AD2833" s="318"/>
    </row>
    <row r="2834" spans="2:30" s="323" customFormat="1" ht="12" customHeight="1">
      <c r="B2834" s="324"/>
      <c r="C2834" s="325"/>
      <c r="D2834" s="326"/>
      <c r="E2834" s="326"/>
      <c r="F2834" s="326"/>
      <c r="G2834" s="326"/>
      <c r="H2834" s="326"/>
      <c r="P2834" s="318"/>
      <c r="Q2834" s="318"/>
      <c r="R2834" s="318"/>
      <c r="S2834" s="318"/>
      <c r="T2834" s="318"/>
      <c r="U2834" s="318"/>
      <c r="V2834" s="318"/>
      <c r="W2834" s="318"/>
      <c r="X2834" s="318"/>
      <c r="Y2834" s="318"/>
      <c r="Z2834" s="318"/>
      <c r="AA2834" s="318"/>
      <c r="AB2834" s="318"/>
      <c r="AC2834" s="318"/>
      <c r="AD2834" s="318"/>
    </row>
    <row r="2835" spans="2:30" s="323" customFormat="1" ht="12" customHeight="1">
      <c r="B2835" s="324"/>
      <c r="C2835" s="325"/>
      <c r="D2835" s="326"/>
      <c r="E2835" s="326"/>
      <c r="F2835" s="326"/>
      <c r="G2835" s="326"/>
      <c r="H2835" s="326"/>
      <c r="P2835" s="318"/>
      <c r="Q2835" s="318"/>
      <c r="R2835" s="318"/>
      <c r="S2835" s="318"/>
      <c r="T2835" s="318"/>
      <c r="U2835" s="318"/>
      <c r="V2835" s="318"/>
      <c r="W2835" s="318"/>
      <c r="X2835" s="318"/>
      <c r="Y2835" s="318"/>
      <c r="Z2835" s="318"/>
      <c r="AA2835" s="318"/>
      <c r="AB2835" s="318"/>
      <c r="AC2835" s="318"/>
      <c r="AD2835" s="318"/>
    </row>
    <row r="2836" spans="2:30" s="323" customFormat="1" ht="12" customHeight="1">
      <c r="B2836" s="324"/>
      <c r="C2836" s="325"/>
      <c r="D2836" s="326"/>
      <c r="E2836" s="326"/>
      <c r="F2836" s="326"/>
      <c r="G2836" s="326"/>
      <c r="H2836" s="326"/>
      <c r="P2836" s="318"/>
      <c r="Q2836" s="318"/>
      <c r="R2836" s="318"/>
      <c r="S2836" s="318"/>
      <c r="T2836" s="318"/>
      <c r="U2836" s="318"/>
      <c r="V2836" s="318"/>
      <c r="W2836" s="318"/>
      <c r="X2836" s="318"/>
      <c r="Y2836" s="318"/>
      <c r="Z2836" s="318"/>
      <c r="AA2836" s="318"/>
      <c r="AB2836" s="318"/>
      <c r="AC2836" s="318"/>
      <c r="AD2836" s="318"/>
    </row>
    <row r="2837" spans="2:30" s="323" customFormat="1" ht="12" customHeight="1">
      <c r="B2837" s="324"/>
      <c r="C2837" s="325"/>
      <c r="D2837" s="326"/>
      <c r="E2837" s="326"/>
      <c r="F2837" s="326"/>
      <c r="G2837" s="326"/>
      <c r="H2837" s="326"/>
      <c r="P2837" s="318"/>
      <c r="Q2837" s="318"/>
      <c r="R2837" s="318"/>
      <c r="S2837" s="318"/>
      <c r="T2837" s="318"/>
      <c r="U2837" s="318"/>
      <c r="V2837" s="318"/>
      <c r="W2837" s="318"/>
      <c r="X2837" s="318"/>
      <c r="Y2837" s="318"/>
      <c r="Z2837" s="318"/>
      <c r="AA2837" s="318"/>
      <c r="AB2837" s="318"/>
      <c r="AC2837" s="318"/>
      <c r="AD2837" s="318"/>
    </row>
    <row r="2838" spans="2:30" s="323" customFormat="1" ht="12" customHeight="1">
      <c r="B2838" s="324"/>
      <c r="C2838" s="325"/>
      <c r="D2838" s="326"/>
      <c r="E2838" s="326"/>
      <c r="F2838" s="326"/>
      <c r="G2838" s="326"/>
      <c r="H2838" s="326"/>
      <c r="P2838" s="318"/>
      <c r="Q2838" s="318"/>
      <c r="R2838" s="318"/>
      <c r="S2838" s="318"/>
      <c r="T2838" s="318"/>
      <c r="U2838" s="318"/>
      <c r="V2838" s="318"/>
      <c r="W2838" s="318"/>
      <c r="X2838" s="318"/>
      <c r="Y2838" s="318"/>
      <c r="Z2838" s="318"/>
      <c r="AA2838" s="318"/>
      <c r="AB2838" s="318"/>
      <c r="AC2838" s="318"/>
      <c r="AD2838" s="318"/>
    </row>
    <row r="2839" spans="2:30" s="323" customFormat="1" ht="12" customHeight="1">
      <c r="B2839" s="324"/>
      <c r="C2839" s="325"/>
      <c r="D2839" s="326"/>
      <c r="E2839" s="326"/>
      <c r="F2839" s="326"/>
      <c r="G2839" s="326"/>
      <c r="H2839" s="326"/>
      <c r="P2839" s="318"/>
      <c r="Q2839" s="318"/>
      <c r="R2839" s="318"/>
      <c r="S2839" s="318"/>
      <c r="T2839" s="318"/>
      <c r="U2839" s="318"/>
      <c r="V2839" s="318"/>
      <c r="W2839" s="318"/>
      <c r="X2839" s="318"/>
      <c r="Y2839" s="318"/>
      <c r="Z2839" s="318"/>
      <c r="AA2839" s="318"/>
      <c r="AB2839" s="318"/>
      <c r="AC2839" s="318"/>
      <c r="AD2839" s="318"/>
    </row>
    <row r="2840" spans="2:30" s="323" customFormat="1" ht="12" customHeight="1">
      <c r="B2840" s="324"/>
      <c r="C2840" s="325"/>
      <c r="D2840" s="326"/>
      <c r="E2840" s="326"/>
      <c r="F2840" s="326"/>
      <c r="G2840" s="326"/>
      <c r="H2840" s="326"/>
      <c r="P2840" s="318"/>
      <c r="Q2840" s="318"/>
      <c r="R2840" s="318"/>
      <c r="S2840" s="318"/>
      <c r="T2840" s="318"/>
      <c r="U2840" s="318"/>
      <c r="V2840" s="318"/>
      <c r="W2840" s="318"/>
      <c r="X2840" s="318"/>
      <c r="Y2840" s="318"/>
      <c r="Z2840" s="318"/>
      <c r="AA2840" s="318"/>
      <c r="AB2840" s="318"/>
      <c r="AC2840" s="318"/>
      <c r="AD2840" s="318"/>
    </row>
    <row r="2841" spans="2:30" s="323" customFormat="1" ht="12" customHeight="1">
      <c r="B2841" s="324"/>
      <c r="C2841" s="325"/>
      <c r="D2841" s="326"/>
      <c r="E2841" s="326"/>
      <c r="F2841" s="326"/>
      <c r="G2841" s="326"/>
      <c r="H2841" s="326"/>
      <c r="P2841" s="318"/>
      <c r="Q2841" s="318"/>
      <c r="R2841" s="318"/>
      <c r="S2841" s="318"/>
      <c r="T2841" s="318"/>
      <c r="U2841" s="318"/>
      <c r="V2841" s="318"/>
      <c r="W2841" s="318"/>
      <c r="X2841" s="318"/>
      <c r="Y2841" s="318"/>
      <c r="Z2841" s="318"/>
      <c r="AA2841" s="318"/>
      <c r="AB2841" s="318"/>
      <c r="AC2841" s="318"/>
      <c r="AD2841" s="318"/>
    </row>
    <row r="2842" spans="2:30" s="323" customFormat="1" ht="12" customHeight="1">
      <c r="B2842" s="324"/>
      <c r="C2842" s="325"/>
      <c r="D2842" s="326"/>
      <c r="E2842" s="326"/>
      <c r="F2842" s="326"/>
      <c r="G2842" s="326"/>
      <c r="H2842" s="326"/>
      <c r="P2842" s="318"/>
      <c r="Q2842" s="318"/>
      <c r="R2842" s="318"/>
      <c r="S2842" s="318"/>
      <c r="T2842" s="318"/>
      <c r="U2842" s="318"/>
      <c r="V2842" s="318"/>
      <c r="W2842" s="318"/>
      <c r="X2842" s="318"/>
      <c r="Y2842" s="318"/>
      <c r="Z2842" s="318"/>
      <c r="AA2842" s="318"/>
      <c r="AB2842" s="318"/>
      <c r="AC2842" s="318"/>
      <c r="AD2842" s="318"/>
    </row>
    <row r="2843" spans="2:30" s="323" customFormat="1" ht="12" customHeight="1">
      <c r="B2843" s="324"/>
      <c r="C2843" s="325"/>
      <c r="D2843" s="326"/>
      <c r="E2843" s="326"/>
      <c r="F2843" s="326"/>
      <c r="G2843" s="326"/>
      <c r="H2843" s="326"/>
      <c r="P2843" s="318"/>
      <c r="Q2843" s="318"/>
      <c r="R2843" s="318"/>
      <c r="S2843" s="318"/>
      <c r="T2843" s="318"/>
      <c r="U2843" s="318"/>
      <c r="V2843" s="318"/>
      <c r="W2843" s="318"/>
      <c r="X2843" s="318"/>
      <c r="Y2843" s="318"/>
      <c r="Z2843" s="318"/>
      <c r="AA2843" s="318"/>
      <c r="AB2843" s="318"/>
      <c r="AC2843" s="318"/>
      <c r="AD2843" s="318"/>
    </row>
    <row r="2844" spans="2:30" s="323" customFormat="1" ht="12" customHeight="1">
      <c r="B2844" s="324"/>
      <c r="C2844" s="325"/>
      <c r="D2844" s="326"/>
      <c r="E2844" s="326"/>
      <c r="F2844" s="326"/>
      <c r="G2844" s="326"/>
      <c r="H2844" s="326"/>
      <c r="P2844" s="318"/>
      <c r="Q2844" s="318"/>
      <c r="R2844" s="318"/>
      <c r="S2844" s="318"/>
      <c r="T2844" s="318"/>
      <c r="U2844" s="318"/>
      <c r="V2844" s="318"/>
      <c r="W2844" s="318"/>
      <c r="X2844" s="318"/>
      <c r="Y2844" s="318"/>
      <c r="Z2844" s="318"/>
      <c r="AA2844" s="318"/>
      <c r="AB2844" s="318"/>
      <c r="AC2844" s="318"/>
      <c r="AD2844" s="318"/>
    </row>
    <row r="2845" spans="2:30" s="323" customFormat="1" ht="12" customHeight="1">
      <c r="B2845" s="324"/>
      <c r="C2845" s="325"/>
      <c r="D2845" s="326"/>
      <c r="E2845" s="326"/>
      <c r="F2845" s="326"/>
      <c r="G2845" s="326"/>
      <c r="H2845" s="326"/>
      <c r="P2845" s="318"/>
      <c r="Q2845" s="318"/>
      <c r="R2845" s="318"/>
      <c r="S2845" s="318"/>
      <c r="T2845" s="318"/>
      <c r="U2845" s="318"/>
      <c r="V2845" s="318"/>
      <c r="W2845" s="318"/>
      <c r="X2845" s="318"/>
      <c r="Y2845" s="318"/>
      <c r="Z2845" s="318"/>
      <c r="AA2845" s="318"/>
      <c r="AB2845" s="318"/>
      <c r="AC2845" s="318"/>
      <c r="AD2845" s="318"/>
    </row>
    <row r="2846" spans="2:30" s="323" customFormat="1" ht="12" customHeight="1">
      <c r="B2846" s="324"/>
      <c r="C2846" s="325"/>
      <c r="D2846" s="326"/>
      <c r="E2846" s="326"/>
      <c r="F2846" s="326"/>
      <c r="G2846" s="326"/>
      <c r="H2846" s="326"/>
      <c r="P2846" s="318"/>
      <c r="Q2846" s="318"/>
      <c r="R2846" s="318"/>
      <c r="S2846" s="318"/>
      <c r="T2846" s="318"/>
      <c r="U2846" s="318"/>
      <c r="V2846" s="318"/>
      <c r="W2846" s="318"/>
      <c r="X2846" s="318"/>
      <c r="Y2846" s="318"/>
      <c r="Z2846" s="318"/>
      <c r="AA2846" s="318"/>
      <c r="AB2846" s="318"/>
      <c r="AC2846" s="318"/>
      <c r="AD2846" s="318"/>
    </row>
    <row r="2847" spans="2:30" s="323" customFormat="1" ht="12" customHeight="1">
      <c r="B2847" s="324"/>
      <c r="C2847" s="325"/>
      <c r="D2847" s="326"/>
      <c r="E2847" s="326"/>
      <c r="F2847" s="326"/>
      <c r="G2847" s="326"/>
      <c r="H2847" s="326"/>
      <c r="P2847" s="318"/>
      <c r="Q2847" s="318"/>
      <c r="R2847" s="318"/>
      <c r="S2847" s="318"/>
      <c r="T2847" s="318"/>
      <c r="U2847" s="318"/>
      <c r="V2847" s="318"/>
      <c r="W2847" s="318"/>
      <c r="X2847" s="318"/>
      <c r="Y2847" s="318"/>
      <c r="Z2847" s="318"/>
      <c r="AA2847" s="318"/>
      <c r="AB2847" s="318"/>
      <c r="AC2847" s="318"/>
      <c r="AD2847" s="318"/>
    </row>
    <row r="2848" spans="2:30" s="323" customFormat="1" ht="12" customHeight="1">
      <c r="B2848" s="324"/>
      <c r="C2848" s="325"/>
      <c r="D2848" s="326"/>
      <c r="E2848" s="326"/>
      <c r="F2848" s="326"/>
      <c r="G2848" s="326"/>
      <c r="H2848" s="326"/>
      <c r="P2848" s="318"/>
      <c r="Q2848" s="318"/>
      <c r="R2848" s="318"/>
      <c r="S2848" s="318"/>
      <c r="T2848" s="318"/>
      <c r="U2848" s="318"/>
      <c r="V2848" s="318"/>
      <c r="W2848" s="318"/>
      <c r="X2848" s="318"/>
      <c r="Y2848" s="318"/>
      <c r="Z2848" s="318"/>
      <c r="AA2848" s="318"/>
      <c r="AB2848" s="318"/>
      <c r="AC2848" s="318"/>
      <c r="AD2848" s="318"/>
    </row>
    <row r="2849" spans="2:30" s="323" customFormat="1" ht="12" customHeight="1">
      <c r="B2849" s="324"/>
      <c r="C2849" s="325"/>
      <c r="D2849" s="326"/>
      <c r="E2849" s="326"/>
      <c r="F2849" s="326"/>
      <c r="G2849" s="326"/>
      <c r="H2849" s="326"/>
      <c r="P2849" s="318"/>
      <c r="Q2849" s="318"/>
      <c r="R2849" s="318"/>
      <c r="S2849" s="318"/>
      <c r="T2849" s="318"/>
      <c r="U2849" s="318"/>
      <c r="V2849" s="318"/>
      <c r="W2849" s="318"/>
      <c r="X2849" s="318"/>
      <c r="Y2849" s="318"/>
      <c r="Z2849" s="318"/>
      <c r="AA2849" s="318"/>
      <c r="AB2849" s="318"/>
      <c r="AC2849" s="318"/>
      <c r="AD2849" s="318"/>
    </row>
    <row r="2850" spans="2:30" s="323" customFormat="1" ht="12" customHeight="1">
      <c r="B2850" s="324"/>
      <c r="C2850" s="325"/>
      <c r="D2850" s="326"/>
      <c r="E2850" s="326"/>
      <c r="F2850" s="326"/>
      <c r="G2850" s="326"/>
      <c r="H2850" s="326"/>
      <c r="P2850" s="318"/>
      <c r="Q2850" s="318"/>
      <c r="R2850" s="318"/>
      <c r="S2850" s="318"/>
      <c r="T2850" s="318"/>
      <c r="U2850" s="318"/>
      <c r="V2850" s="318"/>
      <c r="W2850" s="318"/>
      <c r="X2850" s="318"/>
      <c r="Y2850" s="318"/>
      <c r="Z2850" s="318"/>
      <c r="AA2850" s="318"/>
      <c r="AB2850" s="318"/>
      <c r="AC2850" s="318"/>
      <c r="AD2850" s="318"/>
    </row>
    <row r="2851" spans="2:30" s="323" customFormat="1" ht="12" customHeight="1">
      <c r="B2851" s="324"/>
      <c r="C2851" s="325"/>
      <c r="D2851" s="326"/>
      <c r="E2851" s="326"/>
      <c r="F2851" s="326"/>
      <c r="G2851" s="326"/>
      <c r="H2851" s="326"/>
      <c r="P2851" s="318"/>
      <c r="Q2851" s="318"/>
      <c r="R2851" s="318"/>
      <c r="S2851" s="318"/>
      <c r="T2851" s="318"/>
      <c r="U2851" s="318"/>
      <c r="V2851" s="318"/>
      <c r="W2851" s="318"/>
      <c r="X2851" s="318"/>
      <c r="Y2851" s="318"/>
      <c r="Z2851" s="318"/>
      <c r="AA2851" s="318"/>
      <c r="AB2851" s="318"/>
      <c r="AC2851" s="318"/>
      <c r="AD2851" s="318"/>
    </row>
    <row r="2852" spans="2:30" s="323" customFormat="1" ht="12" customHeight="1">
      <c r="B2852" s="324"/>
      <c r="C2852" s="325"/>
      <c r="D2852" s="326"/>
      <c r="E2852" s="326"/>
      <c r="F2852" s="326"/>
      <c r="G2852" s="326"/>
      <c r="H2852" s="326"/>
      <c r="P2852" s="318"/>
      <c r="Q2852" s="318"/>
      <c r="R2852" s="318"/>
      <c r="S2852" s="318"/>
      <c r="T2852" s="318"/>
      <c r="U2852" s="318"/>
      <c r="V2852" s="318"/>
      <c r="W2852" s="318"/>
      <c r="X2852" s="318"/>
      <c r="Y2852" s="318"/>
      <c r="Z2852" s="318"/>
      <c r="AA2852" s="318"/>
      <c r="AB2852" s="318"/>
      <c r="AC2852" s="318"/>
      <c r="AD2852" s="318"/>
    </row>
    <row r="2853" spans="2:30" s="323" customFormat="1" ht="12" customHeight="1">
      <c r="B2853" s="324"/>
      <c r="C2853" s="325"/>
      <c r="D2853" s="326"/>
      <c r="E2853" s="326"/>
      <c r="F2853" s="326"/>
      <c r="G2853" s="326"/>
      <c r="H2853" s="326"/>
      <c r="P2853" s="318"/>
      <c r="Q2853" s="318"/>
      <c r="R2853" s="318"/>
      <c r="S2853" s="318"/>
      <c r="T2853" s="318"/>
      <c r="U2853" s="318"/>
      <c r="V2853" s="318"/>
      <c r="W2853" s="318"/>
      <c r="X2853" s="318"/>
      <c r="Y2853" s="318"/>
      <c r="Z2853" s="318"/>
      <c r="AA2853" s="318"/>
      <c r="AB2853" s="318"/>
      <c r="AC2853" s="318"/>
      <c r="AD2853" s="318"/>
    </row>
    <row r="2854" spans="2:30" s="323" customFormat="1" ht="12" customHeight="1">
      <c r="B2854" s="324"/>
      <c r="C2854" s="325"/>
      <c r="D2854" s="326"/>
      <c r="E2854" s="326"/>
      <c r="F2854" s="326"/>
      <c r="G2854" s="326"/>
      <c r="H2854" s="326"/>
      <c r="P2854" s="318"/>
      <c r="Q2854" s="318"/>
      <c r="R2854" s="318"/>
      <c r="S2854" s="318"/>
      <c r="T2854" s="318"/>
      <c r="U2854" s="318"/>
      <c r="V2854" s="318"/>
      <c r="W2854" s="318"/>
      <c r="X2854" s="318"/>
      <c r="Y2854" s="318"/>
      <c r="Z2854" s="318"/>
      <c r="AA2854" s="318"/>
      <c r="AB2854" s="318"/>
      <c r="AC2854" s="318"/>
      <c r="AD2854" s="318"/>
    </row>
    <row r="2855" spans="2:30" s="323" customFormat="1" ht="12" customHeight="1">
      <c r="B2855" s="324"/>
      <c r="C2855" s="325"/>
      <c r="D2855" s="326"/>
      <c r="E2855" s="326"/>
      <c r="F2855" s="326"/>
      <c r="G2855" s="326"/>
      <c r="H2855" s="326"/>
      <c r="P2855" s="318"/>
      <c r="Q2855" s="318"/>
      <c r="R2855" s="318"/>
      <c r="S2855" s="318"/>
      <c r="T2855" s="318"/>
      <c r="U2855" s="318"/>
      <c r="V2855" s="318"/>
      <c r="W2855" s="318"/>
      <c r="X2855" s="318"/>
      <c r="Y2855" s="318"/>
      <c r="Z2855" s="318"/>
      <c r="AA2855" s="318"/>
      <c r="AB2855" s="318"/>
      <c r="AC2855" s="318"/>
      <c r="AD2855" s="318"/>
    </row>
    <row r="2856" spans="2:30" s="323" customFormat="1" ht="12" customHeight="1">
      <c r="B2856" s="324"/>
      <c r="C2856" s="325"/>
      <c r="D2856" s="326"/>
      <c r="E2856" s="326"/>
      <c r="F2856" s="326"/>
      <c r="G2856" s="326"/>
      <c r="H2856" s="326"/>
      <c r="P2856" s="318"/>
      <c r="Q2856" s="318"/>
      <c r="R2856" s="318"/>
      <c r="S2856" s="318"/>
      <c r="T2856" s="318"/>
      <c r="U2856" s="318"/>
      <c r="V2856" s="318"/>
      <c r="W2856" s="318"/>
      <c r="X2856" s="318"/>
      <c r="Y2856" s="318"/>
      <c r="Z2856" s="318"/>
      <c r="AA2856" s="318"/>
      <c r="AB2856" s="318"/>
      <c r="AC2856" s="318"/>
      <c r="AD2856" s="318"/>
    </row>
    <row r="2857" spans="2:30" s="323" customFormat="1" ht="12" customHeight="1">
      <c r="B2857" s="324"/>
      <c r="C2857" s="325"/>
      <c r="D2857" s="326"/>
      <c r="E2857" s="326"/>
      <c r="F2857" s="326"/>
      <c r="G2857" s="326"/>
      <c r="H2857" s="326"/>
      <c r="P2857" s="318"/>
      <c r="Q2857" s="318"/>
      <c r="R2857" s="318"/>
      <c r="S2857" s="318"/>
      <c r="T2857" s="318"/>
      <c r="U2857" s="318"/>
      <c r="V2857" s="318"/>
      <c r="W2857" s="318"/>
      <c r="X2857" s="318"/>
      <c r="Y2857" s="318"/>
      <c r="Z2857" s="318"/>
      <c r="AA2857" s="318"/>
      <c r="AB2857" s="318"/>
      <c r="AC2857" s="318"/>
      <c r="AD2857" s="318"/>
    </row>
    <row r="2858" spans="2:30" s="323" customFormat="1" ht="12" customHeight="1">
      <c r="B2858" s="324"/>
      <c r="C2858" s="325"/>
      <c r="D2858" s="326"/>
      <c r="E2858" s="326"/>
      <c r="F2858" s="326"/>
      <c r="G2858" s="326"/>
      <c r="H2858" s="326"/>
      <c r="P2858" s="318"/>
      <c r="Q2858" s="318"/>
      <c r="R2858" s="318"/>
      <c r="S2858" s="318"/>
      <c r="T2858" s="318"/>
      <c r="U2858" s="318"/>
      <c r="V2858" s="318"/>
      <c r="W2858" s="318"/>
      <c r="X2858" s="318"/>
      <c r="Y2858" s="318"/>
      <c r="Z2858" s="318"/>
      <c r="AA2858" s="318"/>
      <c r="AB2858" s="318"/>
      <c r="AC2858" s="318"/>
      <c r="AD2858" s="318"/>
    </row>
    <row r="2859" spans="2:30" s="323" customFormat="1" ht="12" customHeight="1">
      <c r="B2859" s="324"/>
      <c r="C2859" s="325"/>
      <c r="D2859" s="326"/>
      <c r="E2859" s="326"/>
      <c r="F2859" s="326"/>
      <c r="G2859" s="326"/>
      <c r="H2859" s="326"/>
      <c r="P2859" s="318"/>
      <c r="Q2859" s="318"/>
      <c r="R2859" s="318"/>
      <c r="S2859" s="318"/>
      <c r="T2859" s="318"/>
      <c r="U2859" s="318"/>
      <c r="V2859" s="318"/>
      <c r="W2859" s="318"/>
      <c r="X2859" s="318"/>
      <c r="Y2859" s="318"/>
      <c r="Z2859" s="318"/>
      <c r="AA2859" s="318"/>
      <c r="AB2859" s="318"/>
      <c r="AC2859" s="318"/>
      <c r="AD2859" s="318"/>
    </row>
    <row r="2860" spans="2:30" s="323" customFormat="1" ht="12" customHeight="1">
      <c r="B2860" s="324"/>
      <c r="C2860" s="325"/>
      <c r="D2860" s="326"/>
      <c r="E2860" s="326"/>
      <c r="F2860" s="326"/>
      <c r="G2860" s="326"/>
      <c r="H2860" s="326"/>
      <c r="P2860" s="318"/>
      <c r="Q2860" s="318"/>
      <c r="R2860" s="318"/>
      <c r="S2860" s="318"/>
      <c r="T2860" s="318"/>
      <c r="U2860" s="318"/>
      <c r="V2860" s="318"/>
      <c r="W2860" s="318"/>
      <c r="X2860" s="318"/>
      <c r="Y2860" s="318"/>
      <c r="Z2860" s="318"/>
      <c r="AA2860" s="318"/>
      <c r="AB2860" s="318"/>
      <c r="AC2860" s="318"/>
      <c r="AD2860" s="318"/>
    </row>
    <row r="2861" spans="2:30" s="323" customFormat="1" ht="12" customHeight="1">
      <c r="B2861" s="324"/>
      <c r="C2861" s="325"/>
      <c r="D2861" s="326"/>
      <c r="E2861" s="326"/>
      <c r="F2861" s="326"/>
      <c r="G2861" s="326"/>
      <c r="H2861" s="326"/>
      <c r="P2861" s="318"/>
      <c r="Q2861" s="318"/>
      <c r="R2861" s="318"/>
      <c r="S2861" s="318"/>
      <c r="T2861" s="318"/>
      <c r="U2861" s="318"/>
      <c r="V2861" s="318"/>
      <c r="W2861" s="318"/>
      <c r="X2861" s="318"/>
      <c r="Y2861" s="318"/>
      <c r="Z2861" s="318"/>
      <c r="AA2861" s="318"/>
      <c r="AB2861" s="318"/>
      <c r="AC2861" s="318"/>
      <c r="AD2861" s="318"/>
    </row>
    <row r="2862" spans="2:30" s="323" customFormat="1" ht="12" customHeight="1">
      <c r="B2862" s="324"/>
      <c r="C2862" s="325"/>
      <c r="D2862" s="326"/>
      <c r="E2862" s="326"/>
      <c r="F2862" s="326"/>
      <c r="G2862" s="326"/>
      <c r="H2862" s="326"/>
      <c r="P2862" s="318"/>
      <c r="Q2862" s="318"/>
      <c r="R2862" s="318"/>
      <c r="S2862" s="318"/>
      <c r="T2862" s="318"/>
      <c r="U2862" s="318"/>
      <c r="V2862" s="318"/>
      <c r="W2862" s="318"/>
      <c r="X2862" s="318"/>
      <c r="Y2862" s="318"/>
      <c r="Z2862" s="318"/>
      <c r="AA2862" s="318"/>
      <c r="AB2862" s="318"/>
      <c r="AC2862" s="318"/>
      <c r="AD2862" s="318"/>
    </row>
    <row r="2863" spans="2:30" s="323" customFormat="1" ht="12" customHeight="1">
      <c r="B2863" s="324"/>
      <c r="C2863" s="325"/>
      <c r="D2863" s="326"/>
      <c r="E2863" s="326"/>
      <c r="F2863" s="326"/>
      <c r="G2863" s="326"/>
      <c r="H2863" s="326"/>
      <c r="P2863" s="318"/>
      <c r="Q2863" s="318"/>
      <c r="R2863" s="318"/>
      <c r="S2863" s="318"/>
      <c r="T2863" s="318"/>
      <c r="U2863" s="318"/>
      <c r="V2863" s="318"/>
      <c r="W2863" s="318"/>
      <c r="X2863" s="318"/>
      <c r="Y2863" s="318"/>
      <c r="Z2863" s="318"/>
      <c r="AA2863" s="318"/>
      <c r="AB2863" s="318"/>
      <c r="AC2863" s="318"/>
      <c r="AD2863" s="318"/>
    </row>
    <row r="2864" spans="2:30" s="323" customFormat="1" ht="12" customHeight="1">
      <c r="B2864" s="324"/>
      <c r="C2864" s="325"/>
      <c r="D2864" s="326"/>
      <c r="E2864" s="326"/>
      <c r="F2864" s="326"/>
      <c r="G2864" s="326"/>
      <c r="H2864" s="326"/>
      <c r="P2864" s="318"/>
      <c r="Q2864" s="318"/>
      <c r="R2864" s="318"/>
      <c r="S2864" s="318"/>
      <c r="T2864" s="318"/>
      <c r="U2864" s="318"/>
      <c r="V2864" s="318"/>
      <c r="W2864" s="318"/>
      <c r="X2864" s="318"/>
      <c r="Y2864" s="318"/>
      <c r="Z2864" s="318"/>
      <c r="AA2864" s="318"/>
      <c r="AB2864" s="318"/>
      <c r="AC2864" s="318"/>
      <c r="AD2864" s="318"/>
    </row>
    <row r="2865" spans="2:30" s="323" customFormat="1" ht="12" customHeight="1">
      <c r="B2865" s="324"/>
      <c r="C2865" s="325"/>
      <c r="D2865" s="326"/>
      <c r="E2865" s="326"/>
      <c r="F2865" s="326"/>
      <c r="G2865" s="326"/>
      <c r="H2865" s="326"/>
      <c r="P2865" s="318"/>
      <c r="Q2865" s="318"/>
      <c r="R2865" s="318"/>
      <c r="S2865" s="318"/>
      <c r="T2865" s="318"/>
      <c r="U2865" s="318"/>
      <c r="V2865" s="318"/>
      <c r="W2865" s="318"/>
      <c r="X2865" s="318"/>
      <c r="Y2865" s="318"/>
      <c r="Z2865" s="318"/>
      <c r="AA2865" s="318"/>
      <c r="AB2865" s="318"/>
      <c r="AC2865" s="318"/>
      <c r="AD2865" s="318"/>
    </row>
    <row r="2866" spans="2:30" s="323" customFormat="1" ht="12" customHeight="1">
      <c r="B2866" s="324"/>
      <c r="C2866" s="325"/>
      <c r="D2866" s="326"/>
      <c r="E2866" s="326"/>
      <c r="F2866" s="326"/>
      <c r="G2866" s="326"/>
      <c r="H2866" s="326"/>
      <c r="P2866" s="318"/>
      <c r="Q2866" s="318"/>
      <c r="R2866" s="318"/>
      <c r="S2866" s="318"/>
      <c r="T2866" s="318"/>
      <c r="U2866" s="318"/>
      <c r="V2866" s="318"/>
      <c r="W2866" s="318"/>
      <c r="X2866" s="318"/>
      <c r="Y2866" s="318"/>
      <c r="Z2866" s="318"/>
      <c r="AA2866" s="318"/>
      <c r="AB2866" s="318"/>
      <c r="AC2866" s="318"/>
      <c r="AD2866" s="318"/>
    </row>
    <row r="2867" spans="2:30" s="323" customFormat="1" ht="12" customHeight="1">
      <c r="B2867" s="324"/>
      <c r="C2867" s="325"/>
      <c r="D2867" s="326"/>
      <c r="E2867" s="326"/>
      <c r="F2867" s="326"/>
      <c r="G2867" s="326"/>
      <c r="H2867" s="326"/>
      <c r="P2867" s="318"/>
      <c r="Q2867" s="318"/>
      <c r="R2867" s="318"/>
      <c r="S2867" s="318"/>
      <c r="T2867" s="318"/>
      <c r="U2867" s="318"/>
      <c r="V2867" s="318"/>
      <c r="W2867" s="318"/>
      <c r="X2867" s="318"/>
      <c r="Y2867" s="318"/>
      <c r="Z2867" s="318"/>
      <c r="AA2867" s="318"/>
      <c r="AB2867" s="318"/>
      <c r="AC2867" s="318"/>
      <c r="AD2867" s="318"/>
    </row>
    <row r="2868" spans="2:30" s="323" customFormat="1" ht="12" customHeight="1">
      <c r="B2868" s="324"/>
      <c r="C2868" s="325"/>
      <c r="D2868" s="326"/>
      <c r="E2868" s="326"/>
      <c r="F2868" s="326"/>
      <c r="G2868" s="326"/>
      <c r="H2868" s="326"/>
      <c r="P2868" s="318"/>
      <c r="Q2868" s="318"/>
      <c r="R2868" s="318"/>
      <c r="S2868" s="318"/>
      <c r="T2868" s="318"/>
      <c r="U2868" s="318"/>
      <c r="V2868" s="318"/>
      <c r="W2868" s="318"/>
      <c r="X2868" s="318"/>
      <c r="Y2868" s="318"/>
      <c r="Z2868" s="318"/>
      <c r="AA2868" s="318"/>
      <c r="AB2868" s="318"/>
      <c r="AC2868" s="318"/>
      <c r="AD2868" s="318"/>
    </row>
    <row r="2869" spans="2:30" s="323" customFormat="1" ht="12" customHeight="1">
      <c r="B2869" s="324"/>
      <c r="C2869" s="325"/>
      <c r="D2869" s="326"/>
      <c r="E2869" s="326"/>
      <c r="F2869" s="326"/>
      <c r="G2869" s="326"/>
      <c r="H2869" s="326"/>
      <c r="P2869" s="318"/>
      <c r="Q2869" s="318"/>
      <c r="R2869" s="318"/>
      <c r="S2869" s="318"/>
      <c r="T2869" s="318"/>
      <c r="U2869" s="318"/>
      <c r="V2869" s="318"/>
      <c r="W2869" s="318"/>
      <c r="X2869" s="318"/>
      <c r="Y2869" s="318"/>
      <c r="Z2869" s="318"/>
      <c r="AA2869" s="318"/>
      <c r="AB2869" s="318"/>
      <c r="AC2869" s="318"/>
      <c r="AD2869" s="318"/>
    </row>
    <row r="2870" spans="2:30" s="323" customFormat="1" ht="12" customHeight="1">
      <c r="B2870" s="324"/>
      <c r="C2870" s="325"/>
      <c r="D2870" s="326"/>
      <c r="E2870" s="326"/>
      <c r="F2870" s="326"/>
      <c r="G2870" s="326"/>
      <c r="H2870" s="326"/>
      <c r="P2870" s="318"/>
      <c r="Q2870" s="318"/>
      <c r="R2870" s="318"/>
      <c r="S2870" s="318"/>
      <c r="T2870" s="318"/>
      <c r="U2870" s="318"/>
      <c r="V2870" s="318"/>
      <c r="W2870" s="318"/>
      <c r="X2870" s="318"/>
      <c r="Y2870" s="318"/>
      <c r="Z2870" s="318"/>
      <c r="AA2870" s="318"/>
      <c r="AB2870" s="318"/>
      <c r="AC2870" s="318"/>
      <c r="AD2870" s="318"/>
    </row>
    <row r="2871" spans="2:30" s="323" customFormat="1" ht="12" customHeight="1">
      <c r="B2871" s="324"/>
      <c r="C2871" s="325"/>
      <c r="D2871" s="326"/>
      <c r="E2871" s="326"/>
      <c r="F2871" s="326"/>
      <c r="G2871" s="326"/>
      <c r="H2871" s="326"/>
      <c r="P2871" s="318"/>
      <c r="Q2871" s="318"/>
      <c r="R2871" s="318"/>
      <c r="S2871" s="318"/>
      <c r="T2871" s="318"/>
      <c r="U2871" s="318"/>
      <c r="V2871" s="318"/>
      <c r="W2871" s="318"/>
      <c r="X2871" s="318"/>
      <c r="Y2871" s="318"/>
      <c r="Z2871" s="318"/>
      <c r="AA2871" s="318"/>
      <c r="AB2871" s="318"/>
      <c r="AC2871" s="318"/>
      <c r="AD2871" s="318"/>
    </row>
    <row r="2872" spans="2:30" s="323" customFormat="1" ht="12" customHeight="1">
      <c r="B2872" s="324"/>
      <c r="C2872" s="325"/>
      <c r="D2872" s="326"/>
      <c r="E2872" s="326"/>
      <c r="F2872" s="326"/>
      <c r="G2872" s="326"/>
      <c r="H2872" s="326"/>
      <c r="P2872" s="318"/>
      <c r="Q2872" s="318"/>
      <c r="R2872" s="318"/>
      <c r="S2872" s="318"/>
      <c r="T2872" s="318"/>
      <c r="U2872" s="318"/>
      <c r="V2872" s="318"/>
      <c r="W2872" s="318"/>
      <c r="X2872" s="318"/>
      <c r="Y2872" s="318"/>
      <c r="Z2872" s="318"/>
      <c r="AA2872" s="318"/>
      <c r="AB2872" s="318"/>
      <c r="AC2872" s="318"/>
      <c r="AD2872" s="318"/>
    </row>
    <row r="2873" spans="2:30" s="323" customFormat="1" ht="12" customHeight="1">
      <c r="B2873" s="324"/>
      <c r="C2873" s="325"/>
      <c r="D2873" s="326"/>
      <c r="E2873" s="326"/>
      <c r="F2873" s="326"/>
      <c r="G2873" s="326"/>
      <c r="H2873" s="326"/>
      <c r="P2873" s="318"/>
      <c r="Q2873" s="318"/>
      <c r="R2873" s="318"/>
      <c r="S2873" s="318"/>
      <c r="T2873" s="318"/>
      <c r="U2873" s="318"/>
      <c r="V2873" s="318"/>
      <c r="W2873" s="318"/>
      <c r="X2873" s="318"/>
      <c r="Y2873" s="318"/>
      <c r="Z2873" s="318"/>
      <c r="AA2873" s="318"/>
      <c r="AB2873" s="318"/>
      <c r="AC2873" s="318"/>
      <c r="AD2873" s="318"/>
    </row>
    <row r="2874" spans="2:30" s="323" customFormat="1" ht="12" customHeight="1">
      <c r="B2874" s="324"/>
      <c r="C2874" s="325"/>
      <c r="D2874" s="326"/>
      <c r="E2874" s="326"/>
      <c r="F2874" s="326"/>
      <c r="G2874" s="326"/>
      <c r="H2874" s="326"/>
      <c r="P2874" s="318"/>
      <c r="Q2874" s="318"/>
      <c r="R2874" s="318"/>
      <c r="S2874" s="318"/>
      <c r="T2874" s="318"/>
      <c r="U2874" s="318"/>
      <c r="V2874" s="318"/>
      <c r="W2874" s="318"/>
      <c r="X2874" s="318"/>
      <c r="Y2874" s="318"/>
      <c r="Z2874" s="318"/>
      <c r="AA2874" s="318"/>
      <c r="AB2874" s="318"/>
      <c r="AC2874" s="318"/>
      <c r="AD2874" s="318"/>
    </row>
    <row r="2875" spans="2:30" s="323" customFormat="1" ht="12" customHeight="1">
      <c r="B2875" s="324"/>
      <c r="C2875" s="325"/>
      <c r="D2875" s="326"/>
      <c r="E2875" s="326"/>
      <c r="F2875" s="326"/>
      <c r="G2875" s="326"/>
      <c r="H2875" s="326"/>
      <c r="P2875" s="318"/>
      <c r="Q2875" s="318"/>
      <c r="R2875" s="318"/>
      <c r="S2875" s="318"/>
      <c r="T2875" s="318"/>
      <c r="U2875" s="318"/>
      <c r="V2875" s="318"/>
      <c r="W2875" s="318"/>
      <c r="X2875" s="318"/>
      <c r="Y2875" s="318"/>
      <c r="Z2875" s="318"/>
      <c r="AA2875" s="318"/>
      <c r="AB2875" s="318"/>
      <c r="AC2875" s="318"/>
      <c r="AD2875" s="318"/>
    </row>
    <row r="2876" spans="2:30" s="323" customFormat="1" ht="12" customHeight="1">
      <c r="B2876" s="324"/>
      <c r="C2876" s="325"/>
      <c r="D2876" s="326"/>
      <c r="E2876" s="326"/>
      <c r="F2876" s="326"/>
      <c r="G2876" s="326"/>
      <c r="H2876" s="326"/>
      <c r="P2876" s="318"/>
      <c r="Q2876" s="318"/>
      <c r="R2876" s="318"/>
      <c r="S2876" s="318"/>
      <c r="T2876" s="318"/>
      <c r="U2876" s="318"/>
      <c r="V2876" s="318"/>
      <c r="W2876" s="318"/>
      <c r="X2876" s="318"/>
      <c r="Y2876" s="318"/>
      <c r="Z2876" s="318"/>
      <c r="AA2876" s="318"/>
      <c r="AB2876" s="318"/>
      <c r="AC2876" s="318"/>
      <c r="AD2876" s="318"/>
    </row>
    <row r="2877" spans="2:30" s="323" customFormat="1" ht="12" customHeight="1">
      <c r="B2877" s="324"/>
      <c r="C2877" s="325"/>
      <c r="D2877" s="326"/>
      <c r="E2877" s="326"/>
      <c r="F2877" s="326"/>
      <c r="G2877" s="326"/>
      <c r="H2877" s="326"/>
      <c r="P2877" s="318"/>
      <c r="Q2877" s="318"/>
      <c r="R2877" s="318"/>
      <c r="S2877" s="318"/>
      <c r="T2877" s="318"/>
      <c r="U2877" s="318"/>
      <c r="V2877" s="318"/>
      <c r="W2877" s="318"/>
      <c r="X2877" s="318"/>
      <c r="Y2877" s="318"/>
      <c r="Z2877" s="318"/>
      <c r="AA2877" s="318"/>
      <c r="AB2877" s="318"/>
      <c r="AC2877" s="318"/>
      <c r="AD2877" s="318"/>
    </row>
    <row r="2878" spans="2:30" s="323" customFormat="1" ht="12" customHeight="1">
      <c r="B2878" s="324"/>
      <c r="C2878" s="325"/>
      <c r="D2878" s="326"/>
      <c r="E2878" s="326"/>
      <c r="F2878" s="326"/>
      <c r="G2878" s="326"/>
      <c r="H2878" s="326"/>
      <c r="P2878" s="318"/>
      <c r="Q2878" s="318"/>
      <c r="R2878" s="318"/>
      <c r="S2878" s="318"/>
      <c r="T2878" s="318"/>
      <c r="U2878" s="318"/>
      <c r="V2878" s="318"/>
      <c r="W2878" s="318"/>
      <c r="X2878" s="318"/>
      <c r="Y2878" s="318"/>
      <c r="Z2878" s="318"/>
      <c r="AA2878" s="318"/>
      <c r="AB2878" s="318"/>
      <c r="AC2878" s="318"/>
      <c r="AD2878" s="318"/>
    </row>
    <row r="2879" spans="2:30" s="323" customFormat="1" ht="12" customHeight="1">
      <c r="B2879" s="324"/>
      <c r="C2879" s="325"/>
      <c r="D2879" s="326"/>
      <c r="E2879" s="326"/>
      <c r="F2879" s="326"/>
      <c r="G2879" s="326"/>
      <c r="H2879" s="326"/>
      <c r="P2879" s="318"/>
      <c r="Q2879" s="318"/>
      <c r="R2879" s="318"/>
      <c r="S2879" s="318"/>
      <c r="T2879" s="318"/>
      <c r="U2879" s="318"/>
      <c r="V2879" s="318"/>
      <c r="W2879" s="318"/>
      <c r="X2879" s="318"/>
      <c r="Y2879" s="318"/>
      <c r="Z2879" s="318"/>
      <c r="AA2879" s="318"/>
      <c r="AB2879" s="318"/>
      <c r="AC2879" s="318"/>
      <c r="AD2879" s="318"/>
    </row>
    <row r="2880" spans="2:30" s="323" customFormat="1" ht="12" customHeight="1">
      <c r="B2880" s="324"/>
      <c r="C2880" s="325"/>
      <c r="D2880" s="326"/>
      <c r="E2880" s="326"/>
      <c r="F2880" s="326"/>
      <c r="G2880" s="326"/>
      <c r="H2880" s="326"/>
      <c r="P2880" s="318"/>
      <c r="Q2880" s="318"/>
      <c r="R2880" s="318"/>
      <c r="S2880" s="318"/>
      <c r="T2880" s="318"/>
      <c r="U2880" s="318"/>
      <c r="V2880" s="318"/>
      <c r="W2880" s="318"/>
      <c r="X2880" s="318"/>
      <c r="Y2880" s="318"/>
      <c r="Z2880" s="318"/>
      <c r="AA2880" s="318"/>
      <c r="AB2880" s="318"/>
      <c r="AC2880" s="318"/>
      <c r="AD2880" s="318"/>
    </row>
    <row r="2881" spans="2:30" s="323" customFormat="1" ht="12" customHeight="1">
      <c r="B2881" s="324"/>
      <c r="C2881" s="325"/>
      <c r="D2881" s="326"/>
      <c r="E2881" s="326"/>
      <c r="F2881" s="326"/>
      <c r="G2881" s="326"/>
      <c r="H2881" s="326"/>
      <c r="P2881" s="318"/>
      <c r="Q2881" s="318"/>
      <c r="R2881" s="318"/>
      <c r="S2881" s="318"/>
      <c r="T2881" s="318"/>
      <c r="U2881" s="318"/>
      <c r="V2881" s="318"/>
      <c r="W2881" s="318"/>
      <c r="X2881" s="318"/>
      <c r="Y2881" s="318"/>
      <c r="Z2881" s="318"/>
      <c r="AA2881" s="318"/>
      <c r="AB2881" s="318"/>
      <c r="AC2881" s="318"/>
      <c r="AD2881" s="318"/>
    </row>
    <row r="2882" spans="2:30" s="323" customFormat="1" ht="12" customHeight="1">
      <c r="B2882" s="324"/>
      <c r="C2882" s="325"/>
      <c r="D2882" s="326"/>
      <c r="E2882" s="326"/>
      <c r="F2882" s="326"/>
      <c r="G2882" s="326"/>
      <c r="H2882" s="326"/>
      <c r="P2882" s="318"/>
      <c r="Q2882" s="318"/>
      <c r="R2882" s="318"/>
      <c r="S2882" s="318"/>
      <c r="T2882" s="318"/>
      <c r="U2882" s="318"/>
      <c r="V2882" s="318"/>
      <c r="W2882" s="318"/>
      <c r="X2882" s="318"/>
      <c r="Y2882" s="318"/>
      <c r="Z2882" s="318"/>
      <c r="AA2882" s="318"/>
      <c r="AB2882" s="318"/>
      <c r="AC2882" s="318"/>
      <c r="AD2882" s="318"/>
    </row>
    <row r="2883" spans="2:30" s="323" customFormat="1" ht="12" customHeight="1">
      <c r="B2883" s="324"/>
      <c r="C2883" s="325"/>
      <c r="D2883" s="326"/>
      <c r="E2883" s="326"/>
      <c r="F2883" s="326"/>
      <c r="G2883" s="326"/>
      <c r="H2883" s="326"/>
      <c r="P2883" s="318"/>
      <c r="Q2883" s="318"/>
      <c r="R2883" s="318"/>
      <c r="S2883" s="318"/>
      <c r="T2883" s="318"/>
      <c r="U2883" s="318"/>
      <c r="V2883" s="318"/>
      <c r="W2883" s="318"/>
      <c r="X2883" s="318"/>
      <c r="Y2883" s="318"/>
      <c r="Z2883" s="318"/>
      <c r="AA2883" s="318"/>
      <c r="AB2883" s="318"/>
      <c r="AC2883" s="318"/>
      <c r="AD2883" s="318"/>
    </row>
    <row r="2884" spans="2:30" s="323" customFormat="1" ht="12" customHeight="1">
      <c r="B2884" s="324"/>
      <c r="C2884" s="325"/>
      <c r="D2884" s="326"/>
      <c r="E2884" s="326"/>
      <c r="F2884" s="326"/>
      <c r="G2884" s="326"/>
      <c r="H2884" s="326"/>
      <c r="P2884" s="318"/>
      <c r="Q2884" s="318"/>
      <c r="R2884" s="318"/>
      <c r="S2884" s="318"/>
      <c r="T2884" s="318"/>
      <c r="U2884" s="318"/>
      <c r="V2884" s="318"/>
      <c r="W2884" s="318"/>
      <c r="X2884" s="318"/>
      <c r="Y2884" s="318"/>
      <c r="Z2884" s="318"/>
      <c r="AA2884" s="318"/>
      <c r="AB2884" s="318"/>
      <c r="AC2884" s="318"/>
      <c r="AD2884" s="318"/>
    </row>
    <row r="2885" spans="2:30" s="323" customFormat="1" ht="12" customHeight="1">
      <c r="B2885" s="324"/>
      <c r="C2885" s="325"/>
      <c r="D2885" s="326"/>
      <c r="E2885" s="326"/>
      <c r="F2885" s="326"/>
      <c r="G2885" s="326"/>
      <c r="H2885" s="326"/>
      <c r="P2885" s="318"/>
      <c r="Q2885" s="318"/>
      <c r="R2885" s="318"/>
      <c r="S2885" s="318"/>
      <c r="T2885" s="318"/>
      <c r="U2885" s="318"/>
      <c r="V2885" s="318"/>
      <c r="W2885" s="318"/>
      <c r="X2885" s="318"/>
      <c r="Y2885" s="318"/>
      <c r="Z2885" s="318"/>
      <c r="AA2885" s="318"/>
      <c r="AB2885" s="318"/>
      <c r="AC2885" s="318"/>
      <c r="AD2885" s="318"/>
    </row>
    <row r="2886" spans="2:30" s="323" customFormat="1" ht="12" customHeight="1">
      <c r="B2886" s="324"/>
      <c r="C2886" s="325"/>
      <c r="D2886" s="326"/>
      <c r="E2886" s="326"/>
      <c r="F2886" s="326"/>
      <c r="G2886" s="326"/>
      <c r="H2886" s="326"/>
      <c r="P2886" s="318"/>
      <c r="Q2886" s="318"/>
      <c r="R2886" s="318"/>
      <c r="S2886" s="318"/>
      <c r="T2886" s="318"/>
      <c r="U2886" s="318"/>
      <c r="V2886" s="318"/>
      <c r="W2886" s="318"/>
      <c r="X2886" s="318"/>
      <c r="Y2886" s="318"/>
      <c r="Z2886" s="318"/>
      <c r="AA2886" s="318"/>
      <c r="AB2886" s="318"/>
      <c r="AC2886" s="318"/>
      <c r="AD2886" s="318"/>
    </row>
    <row r="2887" spans="2:30" s="323" customFormat="1" ht="12" customHeight="1">
      <c r="B2887" s="324"/>
      <c r="C2887" s="325"/>
      <c r="D2887" s="326"/>
      <c r="E2887" s="326"/>
      <c r="F2887" s="326"/>
      <c r="G2887" s="326"/>
      <c r="H2887" s="326"/>
      <c r="P2887" s="318"/>
      <c r="Q2887" s="318"/>
      <c r="R2887" s="318"/>
      <c r="S2887" s="318"/>
      <c r="T2887" s="318"/>
      <c r="U2887" s="318"/>
      <c r="V2887" s="318"/>
      <c r="W2887" s="318"/>
      <c r="X2887" s="318"/>
      <c r="Y2887" s="318"/>
      <c r="Z2887" s="318"/>
      <c r="AA2887" s="318"/>
      <c r="AB2887" s="318"/>
      <c r="AC2887" s="318"/>
      <c r="AD2887" s="318"/>
    </row>
    <row r="2888" spans="2:30" s="323" customFormat="1" ht="12" customHeight="1">
      <c r="B2888" s="324"/>
      <c r="C2888" s="325"/>
      <c r="D2888" s="326"/>
      <c r="E2888" s="326"/>
      <c r="F2888" s="326"/>
      <c r="G2888" s="326"/>
      <c r="H2888" s="326"/>
      <c r="P2888" s="318"/>
      <c r="Q2888" s="318"/>
      <c r="R2888" s="318"/>
      <c r="S2888" s="318"/>
      <c r="T2888" s="318"/>
      <c r="U2888" s="318"/>
      <c r="V2888" s="318"/>
      <c r="W2888" s="318"/>
      <c r="X2888" s="318"/>
      <c r="Y2888" s="318"/>
      <c r="Z2888" s="318"/>
      <c r="AA2888" s="318"/>
      <c r="AB2888" s="318"/>
      <c r="AC2888" s="318"/>
      <c r="AD2888" s="318"/>
    </row>
    <row r="2889" spans="2:30" s="323" customFormat="1" ht="12" customHeight="1">
      <c r="B2889" s="324"/>
      <c r="C2889" s="325"/>
      <c r="D2889" s="326"/>
      <c r="E2889" s="326"/>
      <c r="F2889" s="326"/>
      <c r="G2889" s="326"/>
      <c r="H2889" s="326"/>
      <c r="P2889" s="318"/>
      <c r="Q2889" s="318"/>
      <c r="R2889" s="318"/>
      <c r="S2889" s="318"/>
      <c r="T2889" s="318"/>
      <c r="U2889" s="318"/>
      <c r="V2889" s="318"/>
      <c r="W2889" s="318"/>
      <c r="X2889" s="318"/>
      <c r="Y2889" s="318"/>
      <c r="Z2889" s="318"/>
      <c r="AA2889" s="318"/>
      <c r="AB2889" s="318"/>
      <c r="AC2889" s="318"/>
      <c r="AD2889" s="318"/>
    </row>
    <row r="2890" spans="2:30" s="323" customFormat="1" ht="12" customHeight="1">
      <c r="B2890" s="324"/>
      <c r="C2890" s="325"/>
      <c r="D2890" s="326"/>
      <c r="E2890" s="326"/>
      <c r="F2890" s="326"/>
      <c r="G2890" s="326"/>
      <c r="H2890" s="326"/>
      <c r="P2890" s="318"/>
      <c r="Q2890" s="318"/>
      <c r="R2890" s="318"/>
      <c r="S2890" s="318"/>
      <c r="T2890" s="318"/>
      <c r="U2890" s="318"/>
      <c r="V2890" s="318"/>
      <c r="W2890" s="318"/>
      <c r="X2890" s="318"/>
      <c r="Y2890" s="318"/>
      <c r="Z2890" s="318"/>
      <c r="AA2890" s="318"/>
      <c r="AB2890" s="318"/>
      <c r="AC2890" s="318"/>
      <c r="AD2890" s="318"/>
    </row>
    <row r="2891" spans="2:30" s="323" customFormat="1" ht="12" customHeight="1">
      <c r="B2891" s="324"/>
      <c r="C2891" s="325"/>
      <c r="D2891" s="326"/>
      <c r="E2891" s="326"/>
      <c r="F2891" s="326"/>
      <c r="G2891" s="326"/>
      <c r="H2891" s="326"/>
      <c r="P2891" s="318"/>
      <c r="Q2891" s="318"/>
      <c r="R2891" s="318"/>
      <c r="S2891" s="318"/>
      <c r="T2891" s="318"/>
      <c r="U2891" s="318"/>
      <c r="V2891" s="318"/>
      <c r="W2891" s="318"/>
      <c r="X2891" s="318"/>
      <c r="Y2891" s="318"/>
      <c r="Z2891" s="318"/>
      <c r="AA2891" s="318"/>
      <c r="AB2891" s="318"/>
      <c r="AC2891" s="318"/>
      <c r="AD2891" s="318"/>
    </row>
    <row r="2892" spans="2:30" s="323" customFormat="1" ht="12" customHeight="1">
      <c r="B2892" s="324"/>
      <c r="C2892" s="325"/>
      <c r="D2892" s="326"/>
      <c r="E2892" s="326"/>
      <c r="F2892" s="326"/>
      <c r="G2892" s="326"/>
      <c r="H2892" s="326"/>
      <c r="P2892" s="318"/>
      <c r="Q2892" s="318"/>
      <c r="R2892" s="318"/>
      <c r="S2892" s="318"/>
      <c r="T2892" s="318"/>
      <c r="U2892" s="318"/>
      <c r="V2892" s="318"/>
      <c r="W2892" s="318"/>
      <c r="X2892" s="318"/>
      <c r="Y2892" s="318"/>
      <c r="Z2892" s="318"/>
      <c r="AA2892" s="318"/>
      <c r="AB2892" s="318"/>
      <c r="AC2892" s="318"/>
      <c r="AD2892" s="318"/>
    </row>
    <row r="2893" spans="2:30" s="323" customFormat="1" ht="12" customHeight="1">
      <c r="B2893" s="324"/>
      <c r="C2893" s="325"/>
      <c r="D2893" s="326"/>
      <c r="E2893" s="326"/>
      <c r="F2893" s="326"/>
      <c r="G2893" s="326"/>
      <c r="H2893" s="326"/>
      <c r="P2893" s="318"/>
      <c r="Q2893" s="318"/>
      <c r="R2893" s="318"/>
      <c r="S2893" s="318"/>
      <c r="T2893" s="318"/>
      <c r="U2893" s="318"/>
      <c r="V2893" s="318"/>
      <c r="W2893" s="318"/>
      <c r="X2893" s="318"/>
      <c r="Y2893" s="318"/>
      <c r="Z2893" s="318"/>
      <c r="AA2893" s="318"/>
      <c r="AB2893" s="318"/>
      <c r="AC2893" s="318"/>
      <c r="AD2893" s="318"/>
    </row>
    <row r="2894" spans="2:30" s="323" customFormat="1" ht="12" customHeight="1">
      <c r="B2894" s="324"/>
      <c r="C2894" s="325"/>
      <c r="D2894" s="326"/>
      <c r="E2894" s="326"/>
      <c r="F2894" s="326"/>
      <c r="G2894" s="326"/>
      <c r="H2894" s="326"/>
      <c r="P2894" s="318"/>
      <c r="Q2894" s="318"/>
      <c r="R2894" s="318"/>
      <c r="S2894" s="318"/>
      <c r="T2894" s="318"/>
      <c r="U2894" s="318"/>
      <c r="V2894" s="318"/>
      <c r="W2894" s="318"/>
      <c r="X2894" s="318"/>
      <c r="Y2894" s="318"/>
      <c r="Z2894" s="318"/>
      <c r="AA2894" s="318"/>
      <c r="AB2894" s="318"/>
      <c r="AC2894" s="318"/>
      <c r="AD2894" s="318"/>
    </row>
    <row r="2895" spans="2:30" s="323" customFormat="1" ht="12" customHeight="1">
      <c r="B2895" s="324"/>
      <c r="C2895" s="325"/>
      <c r="D2895" s="326"/>
      <c r="E2895" s="326"/>
      <c r="F2895" s="326"/>
      <c r="G2895" s="326"/>
      <c r="H2895" s="326"/>
      <c r="P2895" s="318"/>
      <c r="Q2895" s="318"/>
      <c r="R2895" s="318"/>
      <c r="S2895" s="318"/>
      <c r="T2895" s="318"/>
      <c r="U2895" s="318"/>
      <c r="V2895" s="318"/>
      <c r="W2895" s="318"/>
      <c r="X2895" s="318"/>
      <c r="Y2895" s="318"/>
      <c r="Z2895" s="318"/>
      <c r="AA2895" s="318"/>
      <c r="AB2895" s="318"/>
      <c r="AC2895" s="318"/>
      <c r="AD2895" s="318"/>
    </row>
    <row r="2896" spans="2:30" s="323" customFormat="1" ht="12" customHeight="1">
      <c r="B2896" s="324"/>
      <c r="C2896" s="325"/>
      <c r="D2896" s="326"/>
      <c r="E2896" s="326"/>
      <c r="F2896" s="326"/>
      <c r="G2896" s="326"/>
      <c r="H2896" s="326"/>
      <c r="P2896" s="318"/>
      <c r="Q2896" s="318"/>
      <c r="R2896" s="318"/>
      <c r="S2896" s="318"/>
      <c r="T2896" s="318"/>
      <c r="U2896" s="318"/>
      <c r="V2896" s="318"/>
      <c r="W2896" s="318"/>
      <c r="X2896" s="318"/>
      <c r="Y2896" s="318"/>
      <c r="Z2896" s="318"/>
      <c r="AA2896" s="318"/>
      <c r="AB2896" s="318"/>
      <c r="AC2896" s="318"/>
      <c r="AD2896" s="318"/>
    </row>
    <row r="2897" spans="2:30" s="323" customFormat="1" ht="12" customHeight="1">
      <c r="B2897" s="324"/>
      <c r="C2897" s="325"/>
      <c r="D2897" s="326"/>
      <c r="E2897" s="326"/>
      <c r="F2897" s="326"/>
      <c r="G2897" s="326"/>
      <c r="H2897" s="326"/>
      <c r="P2897" s="318"/>
      <c r="Q2897" s="318"/>
      <c r="R2897" s="318"/>
      <c r="S2897" s="318"/>
      <c r="T2897" s="318"/>
      <c r="U2897" s="318"/>
      <c r="V2897" s="318"/>
      <c r="W2897" s="318"/>
      <c r="X2897" s="318"/>
      <c r="Y2897" s="318"/>
      <c r="Z2897" s="318"/>
      <c r="AA2897" s="318"/>
      <c r="AB2897" s="318"/>
      <c r="AC2897" s="318"/>
      <c r="AD2897" s="318"/>
    </row>
    <row r="2898" spans="2:30" s="323" customFormat="1" ht="12" customHeight="1">
      <c r="B2898" s="324"/>
      <c r="C2898" s="325"/>
      <c r="D2898" s="326"/>
      <c r="E2898" s="326"/>
      <c r="F2898" s="326"/>
      <c r="G2898" s="326"/>
      <c r="H2898" s="326"/>
      <c r="P2898" s="318"/>
      <c r="Q2898" s="318"/>
      <c r="R2898" s="318"/>
      <c r="S2898" s="318"/>
      <c r="T2898" s="318"/>
      <c r="U2898" s="318"/>
      <c r="V2898" s="318"/>
      <c r="W2898" s="318"/>
      <c r="X2898" s="318"/>
      <c r="Y2898" s="318"/>
      <c r="Z2898" s="318"/>
      <c r="AA2898" s="318"/>
      <c r="AB2898" s="318"/>
      <c r="AC2898" s="318"/>
      <c r="AD2898" s="318"/>
    </row>
    <row r="2899" spans="2:30" s="323" customFormat="1" ht="12" customHeight="1">
      <c r="B2899" s="324"/>
      <c r="C2899" s="325"/>
      <c r="D2899" s="326"/>
      <c r="E2899" s="326"/>
      <c r="F2899" s="326"/>
      <c r="G2899" s="326"/>
      <c r="H2899" s="326"/>
      <c r="P2899" s="318"/>
      <c r="Q2899" s="318"/>
      <c r="R2899" s="318"/>
      <c r="S2899" s="318"/>
      <c r="T2899" s="318"/>
      <c r="U2899" s="318"/>
      <c r="V2899" s="318"/>
      <c r="W2899" s="318"/>
      <c r="X2899" s="318"/>
      <c r="Y2899" s="318"/>
      <c r="Z2899" s="318"/>
      <c r="AA2899" s="318"/>
      <c r="AB2899" s="318"/>
      <c r="AC2899" s="318"/>
      <c r="AD2899" s="318"/>
    </row>
    <row r="2900" spans="2:30" s="323" customFormat="1" ht="12" customHeight="1">
      <c r="B2900" s="324"/>
      <c r="C2900" s="325"/>
      <c r="D2900" s="326"/>
      <c r="E2900" s="326"/>
      <c r="F2900" s="326"/>
      <c r="G2900" s="326"/>
      <c r="H2900" s="326"/>
      <c r="P2900" s="318"/>
      <c r="Q2900" s="318"/>
      <c r="R2900" s="318"/>
      <c r="S2900" s="318"/>
      <c r="T2900" s="318"/>
      <c r="U2900" s="318"/>
      <c r="V2900" s="318"/>
      <c r="W2900" s="318"/>
      <c r="X2900" s="318"/>
      <c r="Y2900" s="318"/>
      <c r="Z2900" s="318"/>
      <c r="AA2900" s="318"/>
      <c r="AB2900" s="318"/>
      <c r="AC2900" s="318"/>
      <c r="AD2900" s="318"/>
    </row>
    <row r="2901" spans="2:30" s="323" customFormat="1" ht="12" customHeight="1">
      <c r="B2901" s="324"/>
      <c r="C2901" s="325"/>
      <c r="D2901" s="326"/>
      <c r="E2901" s="326"/>
      <c r="F2901" s="326"/>
      <c r="G2901" s="326"/>
      <c r="H2901" s="326"/>
      <c r="P2901" s="318"/>
      <c r="Q2901" s="318"/>
      <c r="R2901" s="318"/>
      <c r="S2901" s="318"/>
      <c r="T2901" s="318"/>
      <c r="U2901" s="318"/>
      <c r="V2901" s="318"/>
      <c r="W2901" s="318"/>
      <c r="X2901" s="318"/>
      <c r="Y2901" s="318"/>
      <c r="Z2901" s="318"/>
      <c r="AA2901" s="318"/>
      <c r="AB2901" s="318"/>
      <c r="AC2901" s="318"/>
      <c r="AD2901" s="318"/>
    </row>
    <row r="2902" spans="2:30" s="323" customFormat="1" ht="12" customHeight="1">
      <c r="B2902" s="324"/>
      <c r="C2902" s="325"/>
      <c r="D2902" s="326"/>
      <c r="E2902" s="326"/>
      <c r="F2902" s="326"/>
      <c r="G2902" s="326"/>
      <c r="H2902" s="326"/>
      <c r="P2902" s="318"/>
      <c r="Q2902" s="318"/>
      <c r="R2902" s="318"/>
      <c r="S2902" s="318"/>
      <c r="T2902" s="318"/>
      <c r="U2902" s="318"/>
      <c r="V2902" s="318"/>
      <c r="W2902" s="318"/>
      <c r="X2902" s="318"/>
      <c r="Y2902" s="318"/>
      <c r="Z2902" s="318"/>
      <c r="AA2902" s="318"/>
      <c r="AB2902" s="318"/>
      <c r="AC2902" s="318"/>
      <c r="AD2902" s="318"/>
    </row>
    <row r="2903" spans="2:30" s="323" customFormat="1" ht="12" customHeight="1">
      <c r="B2903" s="324"/>
      <c r="C2903" s="325"/>
      <c r="D2903" s="326"/>
      <c r="E2903" s="326"/>
      <c r="F2903" s="326"/>
      <c r="G2903" s="326"/>
      <c r="H2903" s="326"/>
      <c r="P2903" s="318"/>
      <c r="Q2903" s="318"/>
      <c r="R2903" s="318"/>
      <c r="S2903" s="318"/>
      <c r="T2903" s="318"/>
      <c r="U2903" s="318"/>
      <c r="V2903" s="318"/>
      <c r="W2903" s="318"/>
      <c r="X2903" s="318"/>
      <c r="Y2903" s="318"/>
      <c r="Z2903" s="318"/>
      <c r="AA2903" s="318"/>
      <c r="AB2903" s="318"/>
      <c r="AC2903" s="318"/>
      <c r="AD2903" s="318"/>
    </row>
    <row r="2904" spans="2:30" s="323" customFormat="1" ht="12" customHeight="1">
      <c r="B2904" s="324"/>
      <c r="C2904" s="325"/>
      <c r="D2904" s="326"/>
      <c r="E2904" s="326"/>
      <c r="F2904" s="326"/>
      <c r="G2904" s="326"/>
      <c r="H2904" s="326"/>
      <c r="P2904" s="318"/>
      <c r="Q2904" s="318"/>
      <c r="R2904" s="318"/>
      <c r="S2904" s="318"/>
      <c r="T2904" s="318"/>
      <c r="U2904" s="318"/>
      <c r="V2904" s="318"/>
      <c r="W2904" s="318"/>
      <c r="X2904" s="318"/>
      <c r="Y2904" s="318"/>
      <c r="Z2904" s="318"/>
      <c r="AA2904" s="318"/>
      <c r="AB2904" s="318"/>
      <c r="AC2904" s="318"/>
      <c r="AD2904" s="318"/>
    </row>
    <row r="2905" spans="2:30" s="323" customFormat="1" ht="12" customHeight="1">
      <c r="B2905" s="324"/>
      <c r="C2905" s="325"/>
      <c r="D2905" s="326"/>
      <c r="E2905" s="326"/>
      <c r="F2905" s="326"/>
      <c r="G2905" s="326"/>
      <c r="H2905" s="326"/>
      <c r="P2905" s="318"/>
      <c r="Q2905" s="318"/>
      <c r="R2905" s="318"/>
      <c r="S2905" s="318"/>
      <c r="T2905" s="318"/>
      <c r="U2905" s="318"/>
      <c r="V2905" s="318"/>
      <c r="W2905" s="318"/>
      <c r="X2905" s="318"/>
      <c r="Y2905" s="318"/>
      <c r="Z2905" s="318"/>
      <c r="AA2905" s="318"/>
      <c r="AB2905" s="318"/>
      <c r="AC2905" s="318"/>
      <c r="AD2905" s="318"/>
    </row>
    <row r="2906" spans="2:30" s="323" customFormat="1" ht="12" customHeight="1">
      <c r="B2906" s="324"/>
      <c r="C2906" s="325"/>
      <c r="D2906" s="326"/>
      <c r="E2906" s="326"/>
      <c r="F2906" s="326"/>
      <c r="G2906" s="326"/>
      <c r="H2906" s="326"/>
      <c r="P2906" s="318"/>
      <c r="Q2906" s="318"/>
      <c r="R2906" s="318"/>
      <c r="S2906" s="318"/>
      <c r="T2906" s="318"/>
      <c r="U2906" s="318"/>
      <c r="V2906" s="318"/>
      <c r="W2906" s="318"/>
      <c r="X2906" s="318"/>
      <c r="Y2906" s="318"/>
      <c r="Z2906" s="318"/>
      <c r="AA2906" s="318"/>
      <c r="AB2906" s="318"/>
      <c r="AC2906" s="318"/>
      <c r="AD2906" s="318"/>
    </row>
    <row r="2907" spans="2:30" s="323" customFormat="1" ht="12" customHeight="1">
      <c r="B2907" s="324"/>
      <c r="C2907" s="325"/>
      <c r="D2907" s="326"/>
      <c r="E2907" s="326"/>
      <c r="F2907" s="326"/>
      <c r="G2907" s="326"/>
      <c r="H2907" s="326"/>
      <c r="P2907" s="318"/>
      <c r="Q2907" s="318"/>
      <c r="R2907" s="318"/>
      <c r="S2907" s="318"/>
      <c r="T2907" s="318"/>
      <c r="U2907" s="318"/>
      <c r="V2907" s="318"/>
      <c r="W2907" s="318"/>
      <c r="X2907" s="318"/>
      <c r="Y2907" s="318"/>
      <c r="Z2907" s="318"/>
      <c r="AA2907" s="318"/>
      <c r="AB2907" s="318"/>
      <c r="AC2907" s="318"/>
      <c r="AD2907" s="318"/>
    </row>
    <row r="2908" spans="2:30" s="323" customFormat="1" ht="12" customHeight="1">
      <c r="B2908" s="324"/>
      <c r="C2908" s="325"/>
      <c r="D2908" s="326"/>
      <c r="E2908" s="326"/>
      <c r="F2908" s="326"/>
      <c r="G2908" s="326"/>
      <c r="H2908" s="326"/>
      <c r="P2908" s="318"/>
      <c r="Q2908" s="318"/>
      <c r="R2908" s="318"/>
      <c r="S2908" s="318"/>
      <c r="T2908" s="318"/>
      <c r="U2908" s="318"/>
      <c r="V2908" s="318"/>
      <c r="W2908" s="318"/>
      <c r="X2908" s="318"/>
      <c r="Y2908" s="318"/>
      <c r="Z2908" s="318"/>
      <c r="AA2908" s="318"/>
      <c r="AB2908" s="318"/>
      <c r="AC2908" s="318"/>
      <c r="AD2908" s="318"/>
    </row>
    <row r="2909" spans="2:30" s="323" customFormat="1" ht="12" customHeight="1">
      <c r="B2909" s="324"/>
      <c r="C2909" s="325"/>
      <c r="D2909" s="326"/>
      <c r="E2909" s="326"/>
      <c r="F2909" s="326"/>
      <c r="G2909" s="326"/>
      <c r="H2909" s="326"/>
      <c r="P2909" s="318"/>
      <c r="Q2909" s="318"/>
      <c r="R2909" s="318"/>
      <c r="S2909" s="318"/>
      <c r="T2909" s="318"/>
      <c r="U2909" s="318"/>
      <c r="V2909" s="318"/>
      <c r="W2909" s="318"/>
      <c r="X2909" s="318"/>
      <c r="Y2909" s="318"/>
      <c r="Z2909" s="318"/>
      <c r="AA2909" s="318"/>
      <c r="AB2909" s="318"/>
      <c r="AC2909" s="318"/>
      <c r="AD2909" s="318"/>
    </row>
    <row r="2910" spans="2:30" s="323" customFormat="1" ht="12" customHeight="1">
      <c r="B2910" s="324"/>
      <c r="C2910" s="325"/>
      <c r="D2910" s="326"/>
      <c r="E2910" s="326"/>
      <c r="F2910" s="326"/>
      <c r="G2910" s="326"/>
      <c r="H2910" s="326"/>
      <c r="P2910" s="318"/>
      <c r="Q2910" s="318"/>
      <c r="R2910" s="318"/>
      <c r="S2910" s="318"/>
      <c r="T2910" s="318"/>
      <c r="U2910" s="318"/>
      <c r="V2910" s="318"/>
      <c r="W2910" s="318"/>
      <c r="X2910" s="318"/>
      <c r="Y2910" s="318"/>
      <c r="Z2910" s="318"/>
      <c r="AA2910" s="318"/>
      <c r="AB2910" s="318"/>
      <c r="AC2910" s="318"/>
      <c r="AD2910" s="318"/>
    </row>
    <row r="2911" spans="2:30" s="323" customFormat="1" ht="12" customHeight="1">
      <c r="B2911" s="324"/>
      <c r="C2911" s="325"/>
      <c r="D2911" s="326"/>
      <c r="E2911" s="326"/>
      <c r="F2911" s="326"/>
      <c r="G2911" s="326"/>
      <c r="H2911" s="326"/>
      <c r="P2911" s="318"/>
      <c r="Q2911" s="318"/>
      <c r="R2911" s="318"/>
      <c r="S2911" s="318"/>
      <c r="T2911" s="318"/>
      <c r="U2911" s="318"/>
      <c r="V2911" s="318"/>
      <c r="W2911" s="318"/>
      <c r="X2911" s="318"/>
      <c r="Y2911" s="318"/>
      <c r="Z2911" s="318"/>
      <c r="AA2911" s="318"/>
      <c r="AB2911" s="318"/>
      <c r="AC2911" s="318"/>
      <c r="AD2911" s="318"/>
    </row>
    <row r="2912" spans="2:30" s="323" customFormat="1" ht="12" customHeight="1">
      <c r="B2912" s="324"/>
      <c r="C2912" s="325"/>
      <c r="D2912" s="326"/>
      <c r="E2912" s="326"/>
      <c r="F2912" s="326"/>
      <c r="G2912" s="326"/>
      <c r="H2912" s="326"/>
      <c r="P2912" s="318"/>
      <c r="Q2912" s="318"/>
      <c r="R2912" s="318"/>
      <c r="S2912" s="318"/>
      <c r="T2912" s="318"/>
      <c r="U2912" s="318"/>
      <c r="V2912" s="318"/>
      <c r="W2912" s="318"/>
      <c r="X2912" s="318"/>
      <c r="Y2912" s="318"/>
      <c r="Z2912" s="318"/>
      <c r="AA2912" s="318"/>
      <c r="AB2912" s="318"/>
      <c r="AC2912" s="318"/>
      <c r="AD2912" s="318"/>
    </row>
    <row r="2913" spans="2:30" s="323" customFormat="1" ht="12" customHeight="1">
      <c r="B2913" s="324"/>
      <c r="C2913" s="325"/>
      <c r="D2913" s="326"/>
      <c r="E2913" s="326"/>
      <c r="F2913" s="326"/>
      <c r="G2913" s="326"/>
      <c r="H2913" s="326"/>
      <c r="P2913" s="318"/>
      <c r="Q2913" s="318"/>
      <c r="R2913" s="318"/>
      <c r="S2913" s="318"/>
      <c r="T2913" s="318"/>
      <c r="U2913" s="318"/>
      <c r="V2913" s="318"/>
      <c r="W2913" s="318"/>
      <c r="X2913" s="318"/>
      <c r="Y2913" s="318"/>
      <c r="Z2913" s="318"/>
      <c r="AA2913" s="318"/>
      <c r="AB2913" s="318"/>
      <c r="AC2913" s="318"/>
      <c r="AD2913" s="318"/>
    </row>
    <row r="2914" spans="2:30" s="323" customFormat="1" ht="12" customHeight="1">
      <c r="B2914" s="324"/>
      <c r="C2914" s="325"/>
      <c r="D2914" s="326"/>
      <c r="E2914" s="326"/>
      <c r="F2914" s="326"/>
      <c r="G2914" s="326"/>
      <c r="H2914" s="326"/>
      <c r="P2914" s="318"/>
      <c r="Q2914" s="318"/>
      <c r="R2914" s="318"/>
      <c r="S2914" s="318"/>
      <c r="T2914" s="318"/>
      <c r="U2914" s="318"/>
      <c r="V2914" s="318"/>
      <c r="W2914" s="318"/>
      <c r="X2914" s="318"/>
      <c r="Y2914" s="318"/>
      <c r="Z2914" s="318"/>
      <c r="AA2914" s="318"/>
      <c r="AB2914" s="318"/>
      <c r="AC2914" s="318"/>
      <c r="AD2914" s="318"/>
    </row>
    <row r="2915" spans="2:30" s="323" customFormat="1" ht="12" customHeight="1">
      <c r="B2915" s="324"/>
      <c r="C2915" s="325"/>
      <c r="D2915" s="326"/>
      <c r="E2915" s="326"/>
      <c r="F2915" s="326"/>
      <c r="G2915" s="326"/>
      <c r="H2915" s="326"/>
      <c r="P2915" s="318"/>
      <c r="Q2915" s="318"/>
      <c r="R2915" s="318"/>
      <c r="S2915" s="318"/>
      <c r="T2915" s="318"/>
      <c r="U2915" s="318"/>
      <c r="V2915" s="318"/>
      <c r="W2915" s="318"/>
      <c r="X2915" s="318"/>
      <c r="Y2915" s="318"/>
      <c r="Z2915" s="318"/>
      <c r="AA2915" s="318"/>
      <c r="AB2915" s="318"/>
      <c r="AC2915" s="318"/>
      <c r="AD2915" s="318"/>
    </row>
    <row r="2916" spans="2:30" s="323" customFormat="1" ht="12" customHeight="1">
      <c r="B2916" s="324"/>
      <c r="C2916" s="325"/>
      <c r="D2916" s="326"/>
      <c r="E2916" s="326"/>
      <c r="F2916" s="326"/>
      <c r="G2916" s="326"/>
      <c r="H2916" s="326"/>
      <c r="P2916" s="318"/>
      <c r="Q2916" s="318"/>
      <c r="R2916" s="318"/>
      <c r="S2916" s="318"/>
      <c r="T2916" s="318"/>
      <c r="U2916" s="318"/>
      <c r="V2916" s="318"/>
      <c r="W2916" s="318"/>
      <c r="X2916" s="318"/>
      <c r="Y2916" s="318"/>
      <c r="Z2916" s="318"/>
      <c r="AA2916" s="318"/>
      <c r="AB2916" s="318"/>
      <c r="AC2916" s="318"/>
      <c r="AD2916" s="318"/>
    </row>
    <row r="2917" spans="2:30" s="323" customFormat="1" ht="12" customHeight="1">
      <c r="B2917" s="324"/>
      <c r="C2917" s="325"/>
      <c r="D2917" s="326"/>
      <c r="E2917" s="326"/>
      <c r="F2917" s="326"/>
      <c r="G2917" s="326"/>
      <c r="H2917" s="326"/>
      <c r="P2917" s="318"/>
      <c r="Q2917" s="318"/>
      <c r="R2917" s="318"/>
      <c r="S2917" s="318"/>
      <c r="T2917" s="318"/>
      <c r="U2917" s="318"/>
      <c r="V2917" s="318"/>
      <c r="W2917" s="318"/>
      <c r="X2917" s="318"/>
      <c r="Y2917" s="318"/>
      <c r="Z2917" s="318"/>
      <c r="AA2917" s="318"/>
      <c r="AB2917" s="318"/>
      <c r="AC2917" s="318"/>
      <c r="AD2917" s="318"/>
    </row>
    <row r="2918" spans="2:30" s="323" customFormat="1" ht="12" customHeight="1">
      <c r="B2918" s="324"/>
      <c r="C2918" s="325"/>
      <c r="D2918" s="326"/>
      <c r="E2918" s="326"/>
      <c r="F2918" s="326"/>
      <c r="G2918" s="326"/>
      <c r="H2918" s="326"/>
      <c r="P2918" s="318"/>
      <c r="Q2918" s="318"/>
      <c r="R2918" s="318"/>
      <c r="S2918" s="318"/>
      <c r="T2918" s="318"/>
      <c r="U2918" s="318"/>
      <c r="V2918" s="318"/>
      <c r="W2918" s="318"/>
      <c r="X2918" s="318"/>
      <c r="Y2918" s="318"/>
      <c r="Z2918" s="318"/>
      <c r="AA2918" s="318"/>
      <c r="AB2918" s="318"/>
      <c r="AC2918" s="318"/>
      <c r="AD2918" s="318"/>
    </row>
    <row r="2919" spans="2:30" s="323" customFormat="1" ht="12" customHeight="1">
      <c r="B2919" s="324"/>
      <c r="C2919" s="325"/>
      <c r="D2919" s="326"/>
      <c r="E2919" s="326"/>
      <c r="F2919" s="326"/>
      <c r="G2919" s="326"/>
      <c r="H2919" s="326"/>
      <c r="P2919" s="318"/>
      <c r="Q2919" s="318"/>
      <c r="R2919" s="318"/>
      <c r="S2919" s="318"/>
      <c r="T2919" s="318"/>
      <c r="U2919" s="318"/>
      <c r="V2919" s="318"/>
      <c r="W2919" s="318"/>
      <c r="X2919" s="318"/>
      <c r="Y2919" s="318"/>
      <c r="Z2919" s="318"/>
      <c r="AA2919" s="318"/>
      <c r="AB2919" s="318"/>
      <c r="AC2919" s="318"/>
      <c r="AD2919" s="318"/>
    </row>
    <row r="2920" spans="2:30" s="323" customFormat="1" ht="12" customHeight="1">
      <c r="B2920" s="324"/>
      <c r="C2920" s="325"/>
      <c r="D2920" s="326"/>
      <c r="E2920" s="326"/>
      <c r="F2920" s="326"/>
      <c r="G2920" s="326"/>
      <c r="H2920" s="326"/>
      <c r="P2920" s="318"/>
      <c r="Q2920" s="318"/>
      <c r="R2920" s="318"/>
      <c r="S2920" s="318"/>
      <c r="T2920" s="318"/>
      <c r="U2920" s="318"/>
      <c r="V2920" s="318"/>
      <c r="W2920" s="318"/>
      <c r="X2920" s="318"/>
      <c r="Y2920" s="318"/>
      <c r="Z2920" s="318"/>
      <c r="AA2920" s="318"/>
      <c r="AB2920" s="318"/>
      <c r="AC2920" s="318"/>
      <c r="AD2920" s="318"/>
    </row>
    <row r="2921" spans="2:30" s="323" customFormat="1" ht="12" customHeight="1">
      <c r="B2921" s="324"/>
      <c r="C2921" s="325"/>
      <c r="D2921" s="326"/>
      <c r="E2921" s="326"/>
      <c r="F2921" s="326"/>
      <c r="G2921" s="326"/>
      <c r="H2921" s="326"/>
      <c r="P2921" s="318"/>
      <c r="Q2921" s="318"/>
      <c r="R2921" s="318"/>
      <c r="S2921" s="318"/>
      <c r="T2921" s="318"/>
      <c r="U2921" s="318"/>
      <c r="V2921" s="318"/>
      <c r="W2921" s="318"/>
      <c r="X2921" s="318"/>
      <c r="Y2921" s="318"/>
      <c r="Z2921" s="318"/>
      <c r="AA2921" s="318"/>
      <c r="AB2921" s="318"/>
      <c r="AC2921" s="318"/>
      <c r="AD2921" s="318"/>
    </row>
    <row r="2922" spans="2:30" s="323" customFormat="1" ht="12" customHeight="1">
      <c r="B2922" s="324"/>
      <c r="C2922" s="325"/>
      <c r="D2922" s="326"/>
      <c r="E2922" s="326"/>
      <c r="F2922" s="326"/>
      <c r="G2922" s="326"/>
      <c r="H2922" s="326"/>
      <c r="P2922" s="318"/>
      <c r="Q2922" s="318"/>
      <c r="R2922" s="318"/>
      <c r="S2922" s="318"/>
      <c r="T2922" s="318"/>
      <c r="U2922" s="318"/>
      <c r="V2922" s="318"/>
      <c r="W2922" s="318"/>
      <c r="X2922" s="318"/>
      <c r="Y2922" s="318"/>
      <c r="Z2922" s="318"/>
      <c r="AA2922" s="318"/>
      <c r="AB2922" s="318"/>
      <c r="AC2922" s="318"/>
      <c r="AD2922" s="318"/>
    </row>
    <row r="2923" spans="2:30" s="323" customFormat="1" ht="12" customHeight="1">
      <c r="B2923" s="324"/>
      <c r="C2923" s="325"/>
      <c r="D2923" s="326"/>
      <c r="E2923" s="326"/>
      <c r="F2923" s="326"/>
      <c r="G2923" s="326"/>
      <c r="H2923" s="326"/>
      <c r="P2923" s="318"/>
      <c r="Q2923" s="318"/>
      <c r="R2923" s="318"/>
      <c r="S2923" s="318"/>
      <c r="T2923" s="318"/>
      <c r="U2923" s="318"/>
      <c r="V2923" s="318"/>
      <c r="W2923" s="318"/>
      <c r="X2923" s="318"/>
      <c r="Y2923" s="318"/>
      <c r="Z2923" s="318"/>
      <c r="AA2923" s="318"/>
      <c r="AB2923" s="318"/>
      <c r="AC2923" s="318"/>
      <c r="AD2923" s="318"/>
    </row>
    <row r="2924" spans="2:30" s="323" customFormat="1" ht="12" customHeight="1">
      <c r="B2924" s="324"/>
      <c r="C2924" s="325"/>
      <c r="D2924" s="326"/>
      <c r="E2924" s="326"/>
      <c r="F2924" s="326"/>
      <c r="G2924" s="326"/>
      <c r="H2924" s="326"/>
      <c r="P2924" s="318"/>
      <c r="Q2924" s="318"/>
      <c r="R2924" s="318"/>
      <c r="S2924" s="318"/>
      <c r="T2924" s="318"/>
      <c r="U2924" s="318"/>
      <c r="V2924" s="318"/>
      <c r="W2924" s="318"/>
      <c r="X2924" s="318"/>
      <c r="Y2924" s="318"/>
      <c r="Z2924" s="318"/>
      <c r="AA2924" s="318"/>
      <c r="AB2924" s="318"/>
      <c r="AC2924" s="318"/>
      <c r="AD2924" s="318"/>
    </row>
    <row r="2925" spans="2:30" s="323" customFormat="1" ht="12" customHeight="1">
      <c r="B2925" s="324"/>
      <c r="C2925" s="325"/>
      <c r="D2925" s="326"/>
      <c r="E2925" s="326"/>
      <c r="F2925" s="326"/>
      <c r="G2925" s="326"/>
      <c r="H2925" s="326"/>
      <c r="P2925" s="318"/>
      <c r="Q2925" s="318"/>
      <c r="R2925" s="318"/>
      <c r="S2925" s="318"/>
      <c r="T2925" s="318"/>
      <c r="U2925" s="318"/>
      <c r="V2925" s="318"/>
      <c r="W2925" s="318"/>
      <c r="X2925" s="318"/>
      <c r="Y2925" s="318"/>
      <c r="Z2925" s="318"/>
      <c r="AA2925" s="318"/>
      <c r="AB2925" s="318"/>
      <c r="AC2925" s="318"/>
      <c r="AD2925" s="318"/>
    </row>
    <row r="2926" spans="2:30" s="323" customFormat="1" ht="12" customHeight="1">
      <c r="B2926" s="324"/>
      <c r="C2926" s="325"/>
      <c r="D2926" s="326"/>
      <c r="E2926" s="326"/>
      <c r="F2926" s="326"/>
      <c r="G2926" s="326"/>
      <c r="H2926" s="326"/>
      <c r="P2926" s="318"/>
      <c r="Q2926" s="318"/>
      <c r="R2926" s="318"/>
      <c r="S2926" s="318"/>
      <c r="T2926" s="318"/>
      <c r="U2926" s="318"/>
      <c r="V2926" s="318"/>
      <c r="W2926" s="318"/>
      <c r="X2926" s="318"/>
      <c r="Y2926" s="318"/>
      <c r="Z2926" s="318"/>
      <c r="AA2926" s="318"/>
      <c r="AB2926" s="318"/>
      <c r="AC2926" s="318"/>
      <c r="AD2926" s="318"/>
    </row>
    <row r="2927" spans="2:30" s="323" customFormat="1" ht="12" customHeight="1">
      <c r="B2927" s="324"/>
      <c r="C2927" s="325"/>
      <c r="D2927" s="326"/>
      <c r="E2927" s="326"/>
      <c r="F2927" s="326"/>
      <c r="G2927" s="326"/>
      <c r="H2927" s="326"/>
      <c r="P2927" s="318"/>
      <c r="Q2927" s="318"/>
      <c r="R2927" s="318"/>
      <c r="S2927" s="318"/>
      <c r="T2927" s="318"/>
      <c r="U2927" s="318"/>
      <c r="V2927" s="318"/>
      <c r="W2927" s="318"/>
      <c r="X2927" s="318"/>
      <c r="Y2927" s="318"/>
      <c r="Z2927" s="318"/>
      <c r="AA2927" s="318"/>
      <c r="AB2927" s="318"/>
      <c r="AC2927" s="318"/>
      <c r="AD2927" s="318"/>
    </row>
    <row r="2928" spans="2:30" s="323" customFormat="1" ht="12" customHeight="1">
      <c r="B2928" s="324"/>
      <c r="C2928" s="325"/>
      <c r="D2928" s="326"/>
      <c r="E2928" s="326"/>
      <c r="F2928" s="326"/>
      <c r="G2928" s="326"/>
      <c r="H2928" s="326"/>
      <c r="P2928" s="318"/>
      <c r="Q2928" s="318"/>
      <c r="R2928" s="318"/>
      <c r="S2928" s="318"/>
      <c r="T2928" s="318"/>
      <c r="U2928" s="318"/>
      <c r="V2928" s="318"/>
      <c r="W2928" s="318"/>
      <c r="X2928" s="318"/>
      <c r="Y2928" s="318"/>
      <c r="Z2928" s="318"/>
      <c r="AA2928" s="318"/>
      <c r="AB2928" s="318"/>
      <c r="AC2928" s="318"/>
      <c r="AD2928" s="318"/>
    </row>
    <row r="2929" spans="2:30" s="323" customFormat="1" ht="12" customHeight="1">
      <c r="B2929" s="324"/>
      <c r="C2929" s="325"/>
      <c r="D2929" s="326"/>
      <c r="E2929" s="326"/>
      <c r="F2929" s="326"/>
      <c r="G2929" s="326"/>
      <c r="H2929" s="326"/>
      <c r="P2929" s="318"/>
      <c r="Q2929" s="318"/>
      <c r="R2929" s="318"/>
      <c r="S2929" s="318"/>
      <c r="T2929" s="318"/>
      <c r="U2929" s="318"/>
      <c r="V2929" s="318"/>
      <c r="W2929" s="318"/>
      <c r="X2929" s="318"/>
      <c r="Y2929" s="318"/>
      <c r="Z2929" s="318"/>
      <c r="AA2929" s="318"/>
      <c r="AB2929" s="318"/>
      <c r="AC2929" s="318"/>
      <c r="AD2929" s="318"/>
    </row>
    <row r="2930" spans="2:30" s="323" customFormat="1" ht="12" customHeight="1">
      <c r="B2930" s="324"/>
      <c r="C2930" s="325"/>
      <c r="D2930" s="326"/>
      <c r="E2930" s="326"/>
      <c r="F2930" s="326"/>
      <c r="G2930" s="326"/>
      <c r="H2930" s="326"/>
      <c r="P2930" s="318"/>
      <c r="Q2930" s="318"/>
      <c r="R2930" s="318"/>
      <c r="S2930" s="318"/>
      <c r="T2930" s="318"/>
      <c r="U2930" s="318"/>
      <c r="V2930" s="318"/>
      <c r="W2930" s="318"/>
      <c r="X2930" s="318"/>
      <c r="Y2930" s="318"/>
      <c r="Z2930" s="318"/>
      <c r="AA2930" s="318"/>
      <c r="AB2930" s="318"/>
      <c r="AC2930" s="318"/>
      <c r="AD2930" s="318"/>
    </row>
    <row r="2931" spans="2:30" s="323" customFormat="1" ht="12" customHeight="1">
      <c r="B2931" s="324"/>
      <c r="C2931" s="325"/>
      <c r="D2931" s="326"/>
      <c r="E2931" s="326"/>
      <c r="F2931" s="326"/>
      <c r="G2931" s="326"/>
      <c r="H2931" s="326"/>
      <c r="P2931" s="318"/>
      <c r="Q2931" s="318"/>
      <c r="R2931" s="318"/>
      <c r="S2931" s="318"/>
      <c r="T2931" s="318"/>
      <c r="U2931" s="318"/>
      <c r="V2931" s="318"/>
      <c r="W2931" s="318"/>
      <c r="X2931" s="318"/>
      <c r="Y2931" s="318"/>
      <c r="Z2931" s="318"/>
      <c r="AA2931" s="318"/>
      <c r="AB2931" s="318"/>
      <c r="AC2931" s="318"/>
      <c r="AD2931" s="318"/>
    </row>
    <row r="2932" spans="2:30" s="323" customFormat="1" ht="12" customHeight="1">
      <c r="B2932" s="324"/>
      <c r="C2932" s="325"/>
      <c r="D2932" s="326"/>
      <c r="E2932" s="326"/>
      <c r="F2932" s="326"/>
      <c r="G2932" s="326"/>
      <c r="H2932" s="326"/>
      <c r="P2932" s="318"/>
      <c r="Q2932" s="318"/>
      <c r="R2932" s="318"/>
      <c r="S2932" s="318"/>
      <c r="T2932" s="318"/>
      <c r="U2932" s="318"/>
      <c r="V2932" s="318"/>
      <c r="W2932" s="318"/>
      <c r="X2932" s="318"/>
      <c r="Y2932" s="318"/>
      <c r="Z2932" s="318"/>
      <c r="AA2932" s="318"/>
      <c r="AB2932" s="318"/>
      <c r="AC2932" s="318"/>
      <c r="AD2932" s="318"/>
    </row>
    <row r="2933" spans="2:30" s="323" customFormat="1" ht="12" customHeight="1">
      <c r="B2933" s="324"/>
      <c r="C2933" s="325"/>
      <c r="D2933" s="326"/>
      <c r="E2933" s="326"/>
      <c r="F2933" s="326"/>
      <c r="G2933" s="326"/>
      <c r="H2933" s="326"/>
      <c r="P2933" s="318"/>
      <c r="Q2933" s="318"/>
      <c r="R2933" s="318"/>
      <c r="S2933" s="318"/>
      <c r="T2933" s="318"/>
      <c r="U2933" s="318"/>
      <c r="V2933" s="318"/>
      <c r="W2933" s="318"/>
      <c r="X2933" s="318"/>
      <c r="Y2933" s="318"/>
      <c r="Z2933" s="318"/>
      <c r="AA2933" s="318"/>
      <c r="AB2933" s="318"/>
      <c r="AC2933" s="318"/>
      <c r="AD2933" s="318"/>
    </row>
    <row r="2934" spans="2:30" s="323" customFormat="1" ht="12" customHeight="1">
      <c r="B2934" s="324"/>
      <c r="C2934" s="325"/>
      <c r="D2934" s="326"/>
      <c r="E2934" s="326"/>
      <c r="F2934" s="326"/>
      <c r="G2934" s="326"/>
      <c r="H2934" s="326"/>
      <c r="P2934" s="318"/>
      <c r="Q2934" s="318"/>
      <c r="R2934" s="318"/>
      <c r="S2934" s="318"/>
      <c r="T2934" s="318"/>
      <c r="U2934" s="318"/>
      <c r="V2934" s="318"/>
      <c r="W2934" s="318"/>
      <c r="X2934" s="318"/>
      <c r="Y2934" s="318"/>
      <c r="Z2934" s="318"/>
      <c r="AA2934" s="318"/>
      <c r="AB2934" s="318"/>
      <c r="AC2934" s="318"/>
      <c r="AD2934" s="318"/>
    </row>
    <row r="2935" spans="2:30" s="323" customFormat="1" ht="12" customHeight="1">
      <c r="B2935" s="324"/>
      <c r="C2935" s="325"/>
      <c r="D2935" s="326"/>
      <c r="E2935" s="326"/>
      <c r="F2935" s="326"/>
      <c r="G2935" s="326"/>
      <c r="H2935" s="326"/>
      <c r="P2935" s="318"/>
      <c r="Q2935" s="318"/>
      <c r="R2935" s="318"/>
      <c r="S2935" s="318"/>
      <c r="T2935" s="318"/>
      <c r="U2935" s="318"/>
      <c r="V2935" s="318"/>
      <c r="W2935" s="318"/>
      <c r="X2935" s="318"/>
      <c r="Y2935" s="318"/>
      <c r="Z2935" s="318"/>
      <c r="AA2935" s="318"/>
      <c r="AB2935" s="318"/>
      <c r="AC2935" s="318"/>
      <c r="AD2935" s="318"/>
    </row>
    <row r="2936" spans="2:30" s="323" customFormat="1" ht="12" customHeight="1">
      <c r="B2936" s="324"/>
      <c r="C2936" s="325"/>
      <c r="D2936" s="326"/>
      <c r="E2936" s="326"/>
      <c r="F2936" s="326"/>
      <c r="G2936" s="326"/>
      <c r="H2936" s="326"/>
      <c r="P2936" s="318"/>
      <c r="Q2936" s="318"/>
      <c r="R2936" s="318"/>
      <c r="S2936" s="318"/>
      <c r="T2936" s="318"/>
      <c r="U2936" s="318"/>
      <c r="V2936" s="318"/>
      <c r="W2936" s="318"/>
      <c r="X2936" s="318"/>
      <c r="Y2936" s="318"/>
      <c r="Z2936" s="318"/>
      <c r="AA2936" s="318"/>
      <c r="AB2936" s="318"/>
      <c r="AC2936" s="318"/>
      <c r="AD2936" s="318"/>
    </row>
    <row r="2937" spans="2:30" s="323" customFormat="1" ht="12" customHeight="1">
      <c r="B2937" s="324"/>
      <c r="C2937" s="325"/>
      <c r="D2937" s="326"/>
      <c r="E2937" s="326"/>
      <c r="F2937" s="326"/>
      <c r="G2937" s="326"/>
      <c r="H2937" s="326"/>
      <c r="P2937" s="318"/>
      <c r="Q2937" s="318"/>
      <c r="R2937" s="318"/>
      <c r="S2937" s="318"/>
      <c r="T2937" s="318"/>
      <c r="U2937" s="318"/>
      <c r="V2937" s="318"/>
      <c r="W2937" s="318"/>
      <c r="X2937" s="318"/>
      <c r="Y2937" s="318"/>
      <c r="Z2937" s="318"/>
      <c r="AA2937" s="318"/>
      <c r="AB2937" s="318"/>
      <c r="AC2937" s="318"/>
      <c r="AD2937" s="318"/>
    </row>
    <row r="2938" spans="2:30" s="323" customFormat="1" ht="12" customHeight="1">
      <c r="B2938" s="324"/>
      <c r="C2938" s="325"/>
      <c r="D2938" s="326"/>
      <c r="E2938" s="326"/>
      <c r="F2938" s="326"/>
      <c r="G2938" s="326"/>
      <c r="H2938" s="326"/>
      <c r="P2938" s="318"/>
      <c r="Q2938" s="318"/>
      <c r="R2938" s="318"/>
      <c r="S2938" s="318"/>
      <c r="T2938" s="318"/>
      <c r="U2938" s="318"/>
      <c r="V2938" s="318"/>
      <c r="W2938" s="318"/>
      <c r="X2938" s="318"/>
      <c r="Y2938" s="318"/>
      <c r="Z2938" s="318"/>
      <c r="AA2938" s="318"/>
      <c r="AB2938" s="318"/>
      <c r="AC2938" s="318"/>
      <c r="AD2938" s="318"/>
    </row>
    <row r="2939" spans="2:30" s="323" customFormat="1" ht="12" customHeight="1">
      <c r="B2939" s="324"/>
      <c r="C2939" s="325"/>
      <c r="D2939" s="326"/>
      <c r="E2939" s="326"/>
      <c r="F2939" s="326"/>
      <c r="G2939" s="326"/>
      <c r="H2939" s="326"/>
      <c r="P2939" s="318"/>
      <c r="Q2939" s="318"/>
      <c r="R2939" s="318"/>
      <c r="S2939" s="318"/>
      <c r="T2939" s="318"/>
      <c r="U2939" s="318"/>
      <c r="V2939" s="318"/>
      <c r="W2939" s="318"/>
      <c r="X2939" s="318"/>
      <c r="Y2939" s="318"/>
      <c r="Z2939" s="318"/>
      <c r="AA2939" s="318"/>
      <c r="AB2939" s="318"/>
      <c r="AC2939" s="318"/>
      <c r="AD2939" s="318"/>
    </row>
    <row r="2940" spans="2:30" s="323" customFormat="1" ht="12" customHeight="1">
      <c r="B2940" s="324"/>
      <c r="C2940" s="325"/>
      <c r="D2940" s="326"/>
      <c r="E2940" s="326"/>
      <c r="F2940" s="326"/>
      <c r="G2940" s="326"/>
      <c r="H2940" s="326"/>
      <c r="P2940" s="318"/>
      <c r="Q2940" s="318"/>
      <c r="R2940" s="318"/>
      <c r="S2940" s="318"/>
      <c r="T2940" s="318"/>
      <c r="U2940" s="318"/>
      <c r="V2940" s="318"/>
      <c r="W2940" s="318"/>
      <c r="X2940" s="318"/>
      <c r="Y2940" s="318"/>
      <c r="Z2940" s="318"/>
      <c r="AA2940" s="318"/>
      <c r="AB2940" s="318"/>
      <c r="AC2940" s="318"/>
      <c r="AD2940" s="318"/>
    </row>
    <row r="2941" spans="2:30" s="323" customFormat="1" ht="12" customHeight="1">
      <c r="B2941" s="324"/>
      <c r="C2941" s="325"/>
      <c r="D2941" s="326"/>
      <c r="E2941" s="326"/>
      <c r="F2941" s="326"/>
      <c r="G2941" s="326"/>
      <c r="H2941" s="326"/>
      <c r="P2941" s="318"/>
      <c r="Q2941" s="318"/>
      <c r="R2941" s="318"/>
      <c r="S2941" s="318"/>
      <c r="T2941" s="318"/>
      <c r="U2941" s="318"/>
      <c r="V2941" s="318"/>
      <c r="W2941" s="318"/>
      <c r="X2941" s="318"/>
      <c r="Y2941" s="318"/>
      <c r="Z2941" s="318"/>
      <c r="AA2941" s="318"/>
      <c r="AB2941" s="318"/>
      <c r="AC2941" s="318"/>
      <c r="AD2941" s="318"/>
    </row>
    <row r="2942" spans="2:30" s="323" customFormat="1" ht="12" customHeight="1">
      <c r="B2942" s="324"/>
      <c r="C2942" s="325"/>
      <c r="D2942" s="326"/>
      <c r="E2942" s="326"/>
      <c r="F2942" s="326"/>
      <c r="G2942" s="326"/>
      <c r="H2942" s="326"/>
      <c r="P2942" s="318"/>
      <c r="Q2942" s="318"/>
      <c r="R2942" s="318"/>
      <c r="S2942" s="318"/>
      <c r="T2942" s="318"/>
      <c r="U2942" s="318"/>
      <c r="V2942" s="318"/>
      <c r="W2942" s="318"/>
      <c r="X2942" s="318"/>
      <c r="Y2942" s="318"/>
      <c r="Z2942" s="318"/>
      <c r="AA2942" s="318"/>
      <c r="AB2942" s="318"/>
      <c r="AC2942" s="318"/>
      <c r="AD2942" s="318"/>
    </row>
    <row r="2943" spans="2:30" s="323" customFormat="1" ht="12" customHeight="1">
      <c r="B2943" s="324"/>
      <c r="C2943" s="325"/>
      <c r="D2943" s="326"/>
      <c r="E2943" s="326"/>
      <c r="F2943" s="326"/>
      <c r="G2943" s="326"/>
      <c r="H2943" s="326"/>
      <c r="P2943" s="318"/>
      <c r="Q2943" s="318"/>
      <c r="R2943" s="318"/>
      <c r="S2943" s="318"/>
      <c r="T2943" s="318"/>
      <c r="U2943" s="318"/>
      <c r="V2943" s="318"/>
      <c r="W2943" s="318"/>
      <c r="X2943" s="318"/>
      <c r="Y2943" s="318"/>
      <c r="Z2943" s="318"/>
      <c r="AA2943" s="318"/>
      <c r="AB2943" s="318"/>
      <c r="AC2943" s="318"/>
      <c r="AD2943" s="318"/>
    </row>
    <row r="2944" spans="2:30" s="323" customFormat="1" ht="12" customHeight="1">
      <c r="B2944" s="324"/>
      <c r="C2944" s="325"/>
      <c r="D2944" s="326"/>
      <c r="E2944" s="326"/>
      <c r="F2944" s="326"/>
      <c r="G2944" s="326"/>
      <c r="H2944" s="326"/>
      <c r="P2944" s="318"/>
      <c r="Q2944" s="318"/>
      <c r="R2944" s="318"/>
      <c r="S2944" s="318"/>
      <c r="T2944" s="318"/>
      <c r="U2944" s="318"/>
      <c r="V2944" s="318"/>
      <c r="W2944" s="318"/>
      <c r="X2944" s="318"/>
      <c r="Y2944" s="318"/>
      <c r="Z2944" s="318"/>
      <c r="AA2944" s="318"/>
      <c r="AB2944" s="318"/>
      <c r="AC2944" s="318"/>
      <c r="AD2944" s="318"/>
    </row>
    <row r="2945" spans="2:30" s="323" customFormat="1" ht="12" customHeight="1">
      <c r="B2945" s="324"/>
      <c r="C2945" s="325"/>
      <c r="D2945" s="326"/>
      <c r="E2945" s="326"/>
      <c r="F2945" s="326"/>
      <c r="G2945" s="326"/>
      <c r="H2945" s="326"/>
      <c r="P2945" s="318"/>
      <c r="Q2945" s="318"/>
      <c r="R2945" s="318"/>
      <c r="S2945" s="318"/>
      <c r="T2945" s="318"/>
      <c r="U2945" s="318"/>
      <c r="V2945" s="318"/>
      <c r="W2945" s="318"/>
      <c r="X2945" s="318"/>
      <c r="Y2945" s="318"/>
      <c r="Z2945" s="318"/>
      <c r="AA2945" s="318"/>
      <c r="AB2945" s="318"/>
      <c r="AC2945" s="318"/>
      <c r="AD2945" s="318"/>
    </row>
    <row r="2946" spans="2:30" s="323" customFormat="1" ht="12" customHeight="1">
      <c r="B2946" s="324"/>
      <c r="C2946" s="325"/>
      <c r="D2946" s="326"/>
      <c r="E2946" s="326"/>
      <c r="F2946" s="326"/>
      <c r="G2946" s="326"/>
      <c r="H2946" s="326"/>
      <c r="P2946" s="318"/>
      <c r="Q2946" s="318"/>
      <c r="R2946" s="318"/>
      <c r="S2946" s="318"/>
      <c r="T2946" s="318"/>
      <c r="U2946" s="318"/>
      <c r="V2946" s="318"/>
      <c r="W2946" s="318"/>
      <c r="X2946" s="318"/>
      <c r="Y2946" s="318"/>
      <c r="Z2946" s="318"/>
      <c r="AA2946" s="318"/>
      <c r="AB2946" s="318"/>
      <c r="AC2946" s="318"/>
      <c r="AD2946" s="318"/>
    </row>
    <row r="2947" spans="2:30" s="323" customFormat="1" ht="12" customHeight="1">
      <c r="B2947" s="324"/>
      <c r="C2947" s="325"/>
      <c r="D2947" s="326"/>
      <c r="E2947" s="326"/>
      <c r="F2947" s="326"/>
      <c r="G2947" s="326"/>
      <c r="H2947" s="326"/>
      <c r="P2947" s="318"/>
      <c r="Q2947" s="318"/>
      <c r="R2947" s="318"/>
      <c r="S2947" s="318"/>
      <c r="T2947" s="318"/>
      <c r="U2947" s="318"/>
      <c r="V2947" s="318"/>
      <c r="W2947" s="318"/>
      <c r="X2947" s="318"/>
      <c r="Y2947" s="318"/>
      <c r="Z2947" s="318"/>
      <c r="AA2947" s="318"/>
      <c r="AB2947" s="318"/>
      <c r="AC2947" s="318"/>
      <c r="AD2947" s="318"/>
    </row>
    <row r="2948" spans="2:30" s="323" customFormat="1" ht="12" customHeight="1">
      <c r="B2948" s="324"/>
      <c r="C2948" s="325"/>
      <c r="D2948" s="326"/>
      <c r="E2948" s="326"/>
      <c r="F2948" s="326"/>
      <c r="G2948" s="326"/>
      <c r="H2948" s="326"/>
      <c r="P2948" s="318"/>
      <c r="Q2948" s="318"/>
      <c r="R2948" s="318"/>
      <c r="S2948" s="318"/>
      <c r="T2948" s="318"/>
      <c r="U2948" s="318"/>
      <c r="V2948" s="318"/>
      <c r="W2948" s="318"/>
      <c r="X2948" s="318"/>
      <c r="Y2948" s="318"/>
      <c r="Z2948" s="318"/>
      <c r="AA2948" s="318"/>
      <c r="AB2948" s="318"/>
      <c r="AC2948" s="318"/>
      <c r="AD2948" s="318"/>
    </row>
    <row r="2949" spans="2:30" s="323" customFormat="1" ht="12" customHeight="1">
      <c r="B2949" s="324"/>
      <c r="C2949" s="325"/>
      <c r="D2949" s="326"/>
      <c r="E2949" s="326"/>
      <c r="F2949" s="326"/>
      <c r="G2949" s="326"/>
      <c r="H2949" s="326"/>
      <c r="P2949" s="318"/>
      <c r="Q2949" s="318"/>
      <c r="R2949" s="318"/>
      <c r="S2949" s="318"/>
      <c r="T2949" s="318"/>
      <c r="U2949" s="318"/>
      <c r="V2949" s="318"/>
      <c r="W2949" s="318"/>
      <c r="X2949" s="318"/>
      <c r="Y2949" s="318"/>
      <c r="Z2949" s="318"/>
      <c r="AA2949" s="318"/>
      <c r="AB2949" s="318"/>
      <c r="AC2949" s="318"/>
      <c r="AD2949" s="318"/>
    </row>
    <row r="2950" spans="2:30" s="323" customFormat="1" ht="12" customHeight="1">
      <c r="B2950" s="324"/>
      <c r="C2950" s="325"/>
      <c r="D2950" s="326"/>
      <c r="E2950" s="326"/>
      <c r="F2950" s="326"/>
      <c r="G2950" s="326"/>
      <c r="H2950" s="326"/>
      <c r="P2950" s="318"/>
      <c r="Q2950" s="318"/>
      <c r="R2950" s="318"/>
      <c r="S2950" s="318"/>
      <c r="T2950" s="318"/>
      <c r="U2950" s="318"/>
      <c r="V2950" s="318"/>
      <c r="W2950" s="318"/>
      <c r="X2950" s="318"/>
      <c r="Y2950" s="318"/>
      <c r="Z2950" s="318"/>
      <c r="AA2950" s="318"/>
      <c r="AB2950" s="318"/>
      <c r="AC2950" s="318"/>
      <c r="AD2950" s="318"/>
    </row>
    <row r="2951" spans="2:30" s="323" customFormat="1" ht="12" customHeight="1">
      <c r="B2951" s="324"/>
      <c r="C2951" s="325"/>
      <c r="D2951" s="326"/>
      <c r="E2951" s="326"/>
      <c r="F2951" s="326"/>
      <c r="G2951" s="326"/>
      <c r="H2951" s="326"/>
      <c r="P2951" s="318"/>
      <c r="Q2951" s="318"/>
      <c r="R2951" s="318"/>
      <c r="S2951" s="318"/>
      <c r="T2951" s="318"/>
      <c r="U2951" s="318"/>
      <c r="V2951" s="318"/>
      <c r="W2951" s="318"/>
      <c r="X2951" s="318"/>
      <c r="Y2951" s="318"/>
      <c r="Z2951" s="318"/>
      <c r="AA2951" s="318"/>
      <c r="AB2951" s="318"/>
      <c r="AC2951" s="318"/>
      <c r="AD2951" s="318"/>
    </row>
    <row r="2952" spans="2:30" s="323" customFormat="1" ht="12" customHeight="1">
      <c r="B2952" s="324"/>
      <c r="C2952" s="325"/>
      <c r="D2952" s="326"/>
      <c r="E2952" s="326"/>
      <c r="F2952" s="326"/>
      <c r="G2952" s="326"/>
      <c r="H2952" s="326"/>
      <c r="P2952" s="318"/>
      <c r="Q2952" s="318"/>
      <c r="R2952" s="318"/>
      <c r="S2952" s="318"/>
      <c r="T2952" s="318"/>
      <c r="U2952" s="318"/>
      <c r="V2952" s="318"/>
      <c r="W2952" s="318"/>
      <c r="X2952" s="318"/>
      <c r="Y2952" s="318"/>
      <c r="Z2952" s="318"/>
      <c r="AA2952" s="318"/>
      <c r="AB2952" s="318"/>
      <c r="AC2952" s="318"/>
      <c r="AD2952" s="318"/>
    </row>
    <row r="2953" spans="2:30" s="323" customFormat="1" ht="12" customHeight="1">
      <c r="B2953" s="324"/>
      <c r="C2953" s="325"/>
      <c r="D2953" s="326"/>
      <c r="E2953" s="326"/>
      <c r="F2953" s="326"/>
      <c r="G2953" s="326"/>
      <c r="H2953" s="326"/>
      <c r="P2953" s="318"/>
      <c r="Q2953" s="318"/>
      <c r="R2953" s="318"/>
      <c r="S2953" s="318"/>
      <c r="T2953" s="318"/>
      <c r="U2953" s="318"/>
      <c r="V2953" s="318"/>
      <c r="W2953" s="318"/>
      <c r="X2953" s="318"/>
      <c r="Y2953" s="318"/>
      <c r="Z2953" s="318"/>
      <c r="AA2953" s="318"/>
      <c r="AB2953" s="318"/>
      <c r="AC2953" s="318"/>
      <c r="AD2953" s="318"/>
    </row>
    <row r="2954" spans="2:30" s="323" customFormat="1" ht="12" customHeight="1">
      <c r="B2954" s="324"/>
      <c r="C2954" s="325"/>
      <c r="D2954" s="326"/>
      <c r="E2954" s="326"/>
      <c r="F2954" s="326"/>
      <c r="G2954" s="326"/>
      <c r="H2954" s="326"/>
      <c r="P2954" s="318"/>
      <c r="Q2954" s="318"/>
      <c r="R2954" s="318"/>
      <c r="S2954" s="318"/>
      <c r="T2954" s="318"/>
      <c r="U2954" s="318"/>
      <c r="V2954" s="318"/>
      <c r="W2954" s="318"/>
      <c r="X2954" s="318"/>
      <c r="Y2954" s="318"/>
      <c r="Z2954" s="318"/>
      <c r="AA2954" s="318"/>
      <c r="AB2954" s="318"/>
      <c r="AC2954" s="318"/>
      <c r="AD2954" s="318"/>
    </row>
    <row r="2955" spans="2:30" s="323" customFormat="1" ht="12" customHeight="1">
      <c r="B2955" s="324"/>
      <c r="C2955" s="325"/>
      <c r="D2955" s="326"/>
      <c r="E2955" s="326"/>
      <c r="F2955" s="326"/>
      <c r="G2955" s="326"/>
      <c r="H2955" s="326"/>
      <c r="P2955" s="318"/>
      <c r="Q2955" s="318"/>
      <c r="R2955" s="318"/>
      <c r="S2955" s="318"/>
      <c r="T2955" s="318"/>
      <c r="U2955" s="318"/>
      <c r="V2955" s="318"/>
      <c r="W2955" s="318"/>
      <c r="X2955" s="318"/>
      <c r="Y2955" s="318"/>
      <c r="Z2955" s="318"/>
      <c r="AA2955" s="318"/>
      <c r="AB2955" s="318"/>
      <c r="AC2955" s="318"/>
      <c r="AD2955" s="318"/>
    </row>
    <row r="2956" spans="2:30" s="323" customFormat="1" ht="12" customHeight="1">
      <c r="B2956" s="324"/>
      <c r="C2956" s="325"/>
      <c r="D2956" s="326"/>
      <c r="E2956" s="326"/>
      <c r="F2956" s="326"/>
      <c r="G2956" s="326"/>
      <c r="H2956" s="326"/>
      <c r="P2956" s="318"/>
      <c r="Q2956" s="318"/>
      <c r="R2956" s="318"/>
      <c r="S2956" s="318"/>
      <c r="T2956" s="318"/>
      <c r="U2956" s="318"/>
      <c r="V2956" s="318"/>
      <c r="W2956" s="318"/>
      <c r="X2956" s="318"/>
      <c r="Y2956" s="318"/>
      <c r="Z2956" s="318"/>
      <c r="AA2956" s="318"/>
      <c r="AB2956" s="318"/>
      <c r="AC2956" s="318"/>
      <c r="AD2956" s="318"/>
    </row>
    <row r="2957" spans="2:30" s="323" customFormat="1" ht="12" customHeight="1">
      <c r="B2957" s="324"/>
      <c r="C2957" s="325"/>
      <c r="D2957" s="326"/>
      <c r="E2957" s="326"/>
      <c r="F2957" s="326"/>
      <c r="G2957" s="326"/>
      <c r="H2957" s="326"/>
      <c r="P2957" s="318"/>
      <c r="Q2957" s="318"/>
      <c r="R2957" s="318"/>
      <c r="S2957" s="318"/>
      <c r="T2957" s="318"/>
      <c r="U2957" s="318"/>
      <c r="V2957" s="318"/>
      <c r="W2957" s="318"/>
      <c r="X2957" s="318"/>
      <c r="Y2957" s="318"/>
      <c r="Z2957" s="318"/>
      <c r="AA2957" s="318"/>
      <c r="AB2957" s="318"/>
      <c r="AC2957" s="318"/>
      <c r="AD2957" s="318"/>
    </row>
    <row r="2958" spans="2:30" s="323" customFormat="1" ht="12" customHeight="1">
      <c r="B2958" s="324"/>
      <c r="C2958" s="325"/>
      <c r="D2958" s="326"/>
      <c r="E2958" s="326"/>
      <c r="F2958" s="326"/>
      <c r="G2958" s="326"/>
      <c r="H2958" s="326"/>
      <c r="P2958" s="318"/>
      <c r="Q2958" s="318"/>
      <c r="R2958" s="318"/>
      <c r="S2958" s="318"/>
      <c r="T2958" s="318"/>
      <c r="U2958" s="318"/>
      <c r="V2958" s="318"/>
      <c r="W2958" s="318"/>
      <c r="X2958" s="318"/>
      <c r="Y2958" s="318"/>
      <c r="Z2958" s="318"/>
      <c r="AA2958" s="318"/>
      <c r="AB2958" s="318"/>
      <c r="AC2958" s="318"/>
      <c r="AD2958" s="318"/>
    </row>
    <row r="2959" spans="2:30" s="323" customFormat="1" ht="12" customHeight="1">
      <c r="B2959" s="324"/>
      <c r="C2959" s="325"/>
      <c r="D2959" s="326"/>
      <c r="E2959" s="326"/>
      <c r="F2959" s="326"/>
      <c r="G2959" s="326"/>
      <c r="H2959" s="326"/>
      <c r="P2959" s="318"/>
      <c r="Q2959" s="318"/>
      <c r="R2959" s="318"/>
      <c r="S2959" s="318"/>
      <c r="T2959" s="318"/>
      <c r="U2959" s="318"/>
      <c r="V2959" s="318"/>
      <c r="W2959" s="318"/>
      <c r="X2959" s="318"/>
      <c r="Y2959" s="318"/>
      <c r="Z2959" s="318"/>
      <c r="AA2959" s="318"/>
      <c r="AB2959" s="318"/>
      <c r="AC2959" s="318"/>
      <c r="AD2959" s="318"/>
    </row>
    <row r="2960" spans="2:30" s="323" customFormat="1" ht="12" customHeight="1">
      <c r="B2960" s="324"/>
      <c r="C2960" s="325"/>
      <c r="D2960" s="326"/>
      <c r="E2960" s="326"/>
      <c r="F2960" s="326"/>
      <c r="G2960" s="326"/>
      <c r="H2960" s="326"/>
      <c r="P2960" s="318"/>
      <c r="Q2960" s="318"/>
      <c r="R2960" s="318"/>
      <c r="S2960" s="318"/>
      <c r="T2960" s="318"/>
      <c r="U2960" s="318"/>
      <c r="V2960" s="318"/>
      <c r="W2960" s="318"/>
      <c r="X2960" s="318"/>
      <c r="Y2960" s="318"/>
      <c r="Z2960" s="318"/>
      <c r="AA2960" s="318"/>
      <c r="AB2960" s="318"/>
      <c r="AC2960" s="318"/>
      <c r="AD2960" s="318"/>
    </row>
    <row r="2961" spans="2:30" s="323" customFormat="1" ht="12" customHeight="1">
      <c r="B2961" s="324"/>
      <c r="C2961" s="325"/>
      <c r="D2961" s="326"/>
      <c r="E2961" s="326"/>
      <c r="F2961" s="326"/>
      <c r="G2961" s="326"/>
      <c r="H2961" s="326"/>
      <c r="P2961" s="318"/>
      <c r="Q2961" s="318"/>
      <c r="R2961" s="318"/>
      <c r="S2961" s="318"/>
      <c r="T2961" s="318"/>
      <c r="U2961" s="318"/>
      <c r="V2961" s="318"/>
      <c r="W2961" s="318"/>
      <c r="X2961" s="318"/>
      <c r="Y2961" s="318"/>
      <c r="Z2961" s="318"/>
      <c r="AA2961" s="318"/>
      <c r="AB2961" s="318"/>
      <c r="AC2961" s="318"/>
      <c r="AD2961" s="318"/>
    </row>
    <row r="2962" spans="2:30" s="323" customFormat="1" ht="12" customHeight="1">
      <c r="B2962" s="324"/>
      <c r="C2962" s="325"/>
      <c r="D2962" s="326"/>
      <c r="E2962" s="326"/>
      <c r="F2962" s="326"/>
      <c r="G2962" s="326"/>
      <c r="H2962" s="326"/>
      <c r="P2962" s="318"/>
      <c r="Q2962" s="318"/>
      <c r="R2962" s="318"/>
      <c r="S2962" s="318"/>
      <c r="T2962" s="318"/>
      <c r="U2962" s="318"/>
      <c r="V2962" s="318"/>
      <c r="W2962" s="318"/>
      <c r="X2962" s="318"/>
      <c r="Y2962" s="318"/>
      <c r="Z2962" s="318"/>
      <c r="AA2962" s="318"/>
      <c r="AB2962" s="318"/>
      <c r="AC2962" s="318"/>
      <c r="AD2962" s="318"/>
    </row>
    <row r="2963" spans="2:30" s="323" customFormat="1" ht="12" customHeight="1">
      <c r="B2963" s="324"/>
      <c r="C2963" s="325"/>
      <c r="D2963" s="326"/>
      <c r="E2963" s="326"/>
      <c r="F2963" s="326"/>
      <c r="G2963" s="326"/>
      <c r="H2963" s="326"/>
      <c r="P2963" s="318"/>
      <c r="Q2963" s="318"/>
      <c r="R2963" s="318"/>
      <c r="S2963" s="318"/>
      <c r="T2963" s="318"/>
      <c r="U2963" s="318"/>
      <c r="V2963" s="318"/>
      <c r="W2963" s="318"/>
      <c r="X2963" s="318"/>
      <c r="Y2963" s="318"/>
      <c r="Z2963" s="318"/>
      <c r="AA2963" s="318"/>
      <c r="AB2963" s="318"/>
      <c r="AC2963" s="318"/>
      <c r="AD2963" s="318"/>
    </row>
    <row r="2964" spans="2:30" s="323" customFormat="1" ht="12" customHeight="1">
      <c r="B2964" s="324"/>
      <c r="C2964" s="325"/>
      <c r="D2964" s="326"/>
      <c r="E2964" s="326"/>
      <c r="F2964" s="326"/>
      <c r="G2964" s="326"/>
      <c r="H2964" s="326"/>
      <c r="P2964" s="318"/>
      <c r="Q2964" s="318"/>
      <c r="R2964" s="318"/>
      <c r="S2964" s="318"/>
      <c r="T2964" s="318"/>
      <c r="U2964" s="318"/>
      <c r="V2964" s="318"/>
      <c r="W2964" s="318"/>
      <c r="X2964" s="318"/>
      <c r="Y2964" s="318"/>
      <c r="Z2964" s="318"/>
      <c r="AA2964" s="318"/>
      <c r="AB2964" s="318"/>
      <c r="AC2964" s="318"/>
      <c r="AD2964" s="318"/>
    </row>
    <row r="2965" spans="2:30" s="323" customFormat="1" ht="12" customHeight="1">
      <c r="B2965" s="324"/>
      <c r="C2965" s="325"/>
      <c r="D2965" s="326"/>
      <c r="E2965" s="326"/>
      <c r="F2965" s="326"/>
      <c r="G2965" s="326"/>
      <c r="H2965" s="326"/>
      <c r="P2965" s="318"/>
      <c r="Q2965" s="318"/>
      <c r="R2965" s="318"/>
      <c r="S2965" s="318"/>
      <c r="T2965" s="318"/>
      <c r="U2965" s="318"/>
      <c r="V2965" s="318"/>
      <c r="W2965" s="318"/>
      <c r="X2965" s="318"/>
      <c r="Y2965" s="318"/>
      <c r="Z2965" s="318"/>
      <c r="AA2965" s="318"/>
      <c r="AB2965" s="318"/>
      <c r="AC2965" s="318"/>
      <c r="AD2965" s="318"/>
    </row>
    <row r="2966" spans="2:30" s="323" customFormat="1" ht="12" customHeight="1">
      <c r="B2966" s="324"/>
      <c r="C2966" s="325"/>
      <c r="D2966" s="326"/>
      <c r="E2966" s="326"/>
      <c r="F2966" s="326"/>
      <c r="G2966" s="326"/>
      <c r="H2966" s="326"/>
      <c r="P2966" s="318"/>
      <c r="Q2966" s="318"/>
      <c r="R2966" s="318"/>
      <c r="S2966" s="318"/>
      <c r="T2966" s="318"/>
      <c r="U2966" s="318"/>
      <c r="V2966" s="318"/>
      <c r="W2966" s="318"/>
      <c r="X2966" s="318"/>
      <c r="Y2966" s="318"/>
      <c r="Z2966" s="318"/>
      <c r="AA2966" s="318"/>
      <c r="AB2966" s="318"/>
      <c r="AC2966" s="318"/>
      <c r="AD2966" s="318"/>
    </row>
    <row r="2967" spans="2:30" s="323" customFormat="1" ht="12" customHeight="1">
      <c r="B2967" s="324"/>
      <c r="C2967" s="325"/>
      <c r="D2967" s="326"/>
      <c r="E2967" s="326"/>
      <c r="F2967" s="326"/>
      <c r="G2967" s="326"/>
      <c r="H2967" s="326"/>
      <c r="P2967" s="318"/>
      <c r="Q2967" s="318"/>
      <c r="R2967" s="318"/>
      <c r="S2967" s="318"/>
      <c r="T2967" s="318"/>
      <c r="U2967" s="318"/>
      <c r="V2967" s="318"/>
      <c r="W2967" s="318"/>
      <c r="X2967" s="318"/>
      <c r="Y2967" s="318"/>
      <c r="Z2967" s="318"/>
      <c r="AA2967" s="318"/>
      <c r="AB2967" s="318"/>
      <c r="AC2967" s="318"/>
      <c r="AD2967" s="318"/>
    </row>
    <row r="2968" spans="2:30" s="323" customFormat="1" ht="12" customHeight="1">
      <c r="B2968" s="324"/>
      <c r="C2968" s="325"/>
      <c r="D2968" s="326"/>
      <c r="E2968" s="326"/>
      <c r="F2968" s="326"/>
      <c r="G2968" s="326"/>
      <c r="H2968" s="326"/>
      <c r="P2968" s="318"/>
      <c r="Q2968" s="318"/>
      <c r="R2968" s="318"/>
      <c r="S2968" s="318"/>
      <c r="T2968" s="318"/>
      <c r="U2968" s="318"/>
      <c r="V2968" s="318"/>
      <c r="W2968" s="318"/>
      <c r="X2968" s="318"/>
      <c r="Y2968" s="318"/>
      <c r="Z2968" s="318"/>
      <c r="AA2968" s="318"/>
      <c r="AB2968" s="318"/>
      <c r="AC2968" s="318"/>
      <c r="AD2968" s="318"/>
    </row>
    <row r="2969" spans="2:30" s="323" customFormat="1" ht="12" customHeight="1">
      <c r="B2969" s="324"/>
      <c r="C2969" s="325"/>
      <c r="D2969" s="326"/>
      <c r="E2969" s="326"/>
      <c r="F2969" s="326"/>
      <c r="G2969" s="326"/>
      <c r="H2969" s="326"/>
      <c r="P2969" s="318"/>
      <c r="Q2969" s="318"/>
      <c r="R2969" s="318"/>
      <c r="S2969" s="318"/>
      <c r="T2969" s="318"/>
      <c r="U2969" s="318"/>
      <c r="V2969" s="318"/>
      <c r="W2969" s="318"/>
      <c r="X2969" s="318"/>
      <c r="Y2969" s="318"/>
      <c r="Z2969" s="318"/>
      <c r="AA2969" s="318"/>
      <c r="AB2969" s="318"/>
      <c r="AC2969" s="318"/>
      <c r="AD2969" s="318"/>
    </row>
    <row r="2970" spans="2:30" s="323" customFormat="1" ht="12" customHeight="1">
      <c r="B2970" s="324"/>
      <c r="C2970" s="325"/>
      <c r="D2970" s="326"/>
      <c r="E2970" s="326"/>
      <c r="F2970" s="326"/>
      <c r="G2970" s="326"/>
      <c r="H2970" s="326"/>
      <c r="P2970" s="318"/>
      <c r="Q2970" s="318"/>
      <c r="R2970" s="318"/>
      <c r="S2970" s="318"/>
      <c r="T2970" s="318"/>
      <c r="U2970" s="318"/>
      <c r="V2970" s="318"/>
      <c r="W2970" s="318"/>
      <c r="X2970" s="318"/>
      <c r="Y2970" s="318"/>
      <c r="Z2970" s="318"/>
      <c r="AA2970" s="318"/>
      <c r="AB2970" s="318"/>
      <c r="AC2970" s="318"/>
      <c r="AD2970" s="318"/>
    </row>
    <row r="2971" spans="2:30" s="323" customFormat="1" ht="12" customHeight="1">
      <c r="B2971" s="324"/>
      <c r="C2971" s="325"/>
      <c r="D2971" s="326"/>
      <c r="E2971" s="326"/>
      <c r="F2971" s="326"/>
      <c r="G2971" s="326"/>
      <c r="H2971" s="326"/>
      <c r="P2971" s="318"/>
      <c r="Q2971" s="318"/>
      <c r="R2971" s="318"/>
      <c r="S2971" s="318"/>
      <c r="T2971" s="318"/>
      <c r="U2971" s="318"/>
      <c r="V2971" s="318"/>
      <c r="W2971" s="318"/>
      <c r="X2971" s="318"/>
      <c r="Y2971" s="318"/>
      <c r="Z2971" s="318"/>
      <c r="AA2971" s="318"/>
      <c r="AB2971" s="318"/>
      <c r="AC2971" s="318"/>
      <c r="AD2971" s="318"/>
    </row>
    <row r="2972" spans="2:30" s="323" customFormat="1" ht="12" customHeight="1">
      <c r="B2972" s="324"/>
      <c r="C2972" s="325"/>
      <c r="D2972" s="326"/>
      <c r="E2972" s="326"/>
      <c r="F2972" s="326"/>
      <c r="G2972" s="326"/>
      <c r="H2972" s="326"/>
      <c r="P2972" s="318"/>
      <c r="Q2972" s="318"/>
      <c r="R2972" s="318"/>
      <c r="S2972" s="318"/>
      <c r="T2972" s="318"/>
      <c r="U2972" s="318"/>
      <c r="V2972" s="318"/>
      <c r="W2972" s="318"/>
      <c r="X2972" s="318"/>
      <c r="Y2972" s="318"/>
      <c r="Z2972" s="318"/>
      <c r="AA2972" s="318"/>
      <c r="AB2972" s="318"/>
      <c r="AC2972" s="318"/>
      <c r="AD2972" s="318"/>
    </row>
    <row r="2973" spans="2:30" s="323" customFormat="1" ht="12" customHeight="1">
      <c r="B2973" s="324"/>
      <c r="C2973" s="325"/>
      <c r="D2973" s="326"/>
      <c r="E2973" s="326"/>
      <c r="F2973" s="326"/>
      <c r="G2973" s="326"/>
      <c r="H2973" s="326"/>
      <c r="P2973" s="318"/>
      <c r="Q2973" s="318"/>
      <c r="R2973" s="318"/>
      <c r="S2973" s="318"/>
      <c r="T2973" s="318"/>
      <c r="U2973" s="318"/>
      <c r="V2973" s="318"/>
      <c r="W2973" s="318"/>
      <c r="X2973" s="318"/>
      <c r="Y2973" s="318"/>
      <c r="Z2973" s="318"/>
      <c r="AA2973" s="318"/>
      <c r="AB2973" s="318"/>
      <c r="AC2973" s="318"/>
      <c r="AD2973" s="318"/>
    </row>
    <row r="2974" spans="2:30" s="323" customFormat="1" ht="12" customHeight="1">
      <c r="B2974" s="324"/>
      <c r="C2974" s="325"/>
      <c r="D2974" s="326"/>
      <c r="E2974" s="326"/>
      <c r="F2974" s="326"/>
      <c r="G2974" s="326"/>
      <c r="H2974" s="326"/>
      <c r="P2974" s="318"/>
      <c r="Q2974" s="318"/>
      <c r="R2974" s="318"/>
      <c r="S2974" s="318"/>
      <c r="T2974" s="318"/>
      <c r="U2974" s="318"/>
      <c r="V2974" s="318"/>
      <c r="W2974" s="318"/>
      <c r="X2974" s="318"/>
      <c r="Y2974" s="318"/>
      <c r="Z2974" s="318"/>
      <c r="AA2974" s="318"/>
      <c r="AB2974" s="318"/>
      <c r="AC2974" s="318"/>
      <c r="AD2974" s="318"/>
    </row>
    <row r="2975" spans="2:30" s="323" customFormat="1" ht="12" customHeight="1">
      <c r="B2975" s="324"/>
      <c r="C2975" s="325"/>
      <c r="D2975" s="326"/>
      <c r="E2975" s="326"/>
      <c r="F2975" s="326"/>
      <c r="G2975" s="326"/>
      <c r="H2975" s="326"/>
      <c r="P2975" s="318"/>
      <c r="Q2975" s="318"/>
      <c r="R2975" s="318"/>
      <c r="S2975" s="318"/>
      <c r="T2975" s="318"/>
      <c r="U2975" s="318"/>
      <c r="V2975" s="318"/>
      <c r="W2975" s="318"/>
      <c r="X2975" s="318"/>
      <c r="Y2975" s="318"/>
      <c r="Z2975" s="318"/>
      <c r="AA2975" s="318"/>
      <c r="AB2975" s="318"/>
      <c r="AC2975" s="318"/>
      <c r="AD2975" s="318"/>
    </row>
    <row r="2976" spans="2:30" s="323" customFormat="1" ht="12" customHeight="1">
      <c r="B2976" s="324"/>
      <c r="C2976" s="325"/>
      <c r="D2976" s="326"/>
      <c r="E2976" s="326"/>
      <c r="F2976" s="326"/>
      <c r="G2976" s="326"/>
      <c r="H2976" s="326"/>
      <c r="P2976" s="318"/>
      <c r="Q2976" s="318"/>
      <c r="R2976" s="318"/>
      <c r="S2976" s="318"/>
      <c r="T2976" s="318"/>
      <c r="U2976" s="318"/>
      <c r="V2976" s="318"/>
      <c r="W2976" s="318"/>
      <c r="X2976" s="318"/>
      <c r="Y2976" s="318"/>
      <c r="Z2976" s="318"/>
      <c r="AA2976" s="318"/>
      <c r="AB2976" s="318"/>
      <c r="AC2976" s="318"/>
      <c r="AD2976" s="318"/>
    </row>
    <row r="2977" spans="2:30" s="323" customFormat="1" ht="12" customHeight="1">
      <c r="B2977" s="324"/>
      <c r="C2977" s="325"/>
      <c r="D2977" s="326"/>
      <c r="E2977" s="326"/>
      <c r="F2977" s="326"/>
      <c r="G2977" s="326"/>
      <c r="H2977" s="326"/>
      <c r="P2977" s="318"/>
      <c r="Q2977" s="318"/>
      <c r="R2977" s="318"/>
      <c r="S2977" s="318"/>
      <c r="T2977" s="318"/>
      <c r="U2977" s="318"/>
      <c r="V2977" s="318"/>
      <c r="W2977" s="318"/>
      <c r="X2977" s="318"/>
      <c r="Y2977" s="318"/>
      <c r="Z2977" s="318"/>
      <c r="AA2977" s="318"/>
      <c r="AB2977" s="318"/>
      <c r="AC2977" s="318"/>
      <c r="AD2977" s="318"/>
    </row>
    <row r="2978" spans="2:30" s="323" customFormat="1" ht="12" customHeight="1">
      <c r="B2978" s="324"/>
      <c r="C2978" s="325"/>
      <c r="D2978" s="326"/>
      <c r="E2978" s="326"/>
      <c r="F2978" s="326"/>
      <c r="G2978" s="326"/>
      <c r="H2978" s="326"/>
      <c r="P2978" s="318"/>
      <c r="Q2978" s="318"/>
      <c r="R2978" s="318"/>
      <c r="S2978" s="318"/>
      <c r="T2978" s="318"/>
      <c r="U2978" s="318"/>
      <c r="V2978" s="318"/>
      <c r="W2978" s="318"/>
      <c r="X2978" s="318"/>
      <c r="Y2978" s="318"/>
      <c r="Z2978" s="318"/>
      <c r="AA2978" s="318"/>
      <c r="AB2978" s="318"/>
      <c r="AC2978" s="318"/>
      <c r="AD2978" s="318"/>
    </row>
    <row r="2979" spans="2:30" s="323" customFormat="1" ht="12" customHeight="1">
      <c r="B2979" s="324"/>
      <c r="C2979" s="325"/>
      <c r="D2979" s="326"/>
      <c r="E2979" s="326"/>
      <c r="F2979" s="326"/>
      <c r="G2979" s="326"/>
      <c r="H2979" s="326"/>
      <c r="P2979" s="318"/>
      <c r="Q2979" s="318"/>
      <c r="R2979" s="318"/>
      <c r="S2979" s="318"/>
      <c r="T2979" s="318"/>
      <c r="U2979" s="318"/>
      <c r="V2979" s="318"/>
      <c r="W2979" s="318"/>
      <c r="X2979" s="318"/>
      <c r="Y2979" s="318"/>
      <c r="Z2979" s="318"/>
      <c r="AA2979" s="318"/>
      <c r="AB2979" s="318"/>
      <c r="AC2979" s="318"/>
      <c r="AD2979" s="318"/>
    </row>
    <row r="2980" spans="2:30" s="323" customFormat="1" ht="12" customHeight="1">
      <c r="B2980" s="324"/>
      <c r="C2980" s="325"/>
      <c r="D2980" s="326"/>
      <c r="E2980" s="326"/>
      <c r="F2980" s="326"/>
      <c r="G2980" s="326"/>
      <c r="H2980" s="326"/>
      <c r="P2980" s="318"/>
      <c r="Q2980" s="318"/>
      <c r="R2980" s="318"/>
      <c r="S2980" s="318"/>
      <c r="T2980" s="318"/>
      <c r="U2980" s="318"/>
      <c r="V2980" s="318"/>
      <c r="W2980" s="318"/>
      <c r="X2980" s="318"/>
      <c r="Y2980" s="318"/>
      <c r="Z2980" s="318"/>
      <c r="AA2980" s="318"/>
      <c r="AB2980" s="318"/>
      <c r="AC2980" s="318"/>
      <c r="AD2980" s="318"/>
    </row>
    <row r="2981" spans="2:30" s="323" customFormat="1" ht="12" customHeight="1">
      <c r="B2981" s="324"/>
      <c r="C2981" s="325"/>
      <c r="D2981" s="326"/>
      <c r="E2981" s="326"/>
      <c r="F2981" s="326"/>
      <c r="G2981" s="326"/>
      <c r="H2981" s="326"/>
      <c r="P2981" s="318"/>
      <c r="Q2981" s="318"/>
      <c r="R2981" s="318"/>
      <c r="S2981" s="318"/>
      <c r="T2981" s="318"/>
      <c r="U2981" s="318"/>
      <c r="V2981" s="318"/>
      <c r="W2981" s="318"/>
      <c r="X2981" s="318"/>
      <c r="Y2981" s="318"/>
      <c r="Z2981" s="318"/>
      <c r="AA2981" s="318"/>
      <c r="AB2981" s="318"/>
      <c r="AC2981" s="318"/>
      <c r="AD2981" s="318"/>
    </row>
    <row r="2982" spans="2:30" s="323" customFormat="1" ht="12" customHeight="1">
      <c r="B2982" s="324"/>
      <c r="C2982" s="325"/>
      <c r="D2982" s="326"/>
      <c r="E2982" s="326"/>
      <c r="F2982" s="326"/>
      <c r="G2982" s="326"/>
      <c r="H2982" s="326"/>
      <c r="P2982" s="318"/>
      <c r="Q2982" s="318"/>
      <c r="R2982" s="318"/>
      <c r="S2982" s="318"/>
      <c r="T2982" s="318"/>
      <c r="U2982" s="318"/>
      <c r="V2982" s="318"/>
      <c r="W2982" s="318"/>
      <c r="X2982" s="318"/>
      <c r="Y2982" s="318"/>
      <c r="Z2982" s="318"/>
      <c r="AA2982" s="318"/>
      <c r="AB2982" s="318"/>
      <c r="AC2982" s="318"/>
      <c r="AD2982" s="318"/>
    </row>
    <row r="2983" spans="2:30" s="323" customFormat="1" ht="12" customHeight="1">
      <c r="B2983" s="324"/>
      <c r="C2983" s="325"/>
      <c r="D2983" s="326"/>
      <c r="E2983" s="326"/>
      <c r="F2983" s="326"/>
      <c r="G2983" s="326"/>
      <c r="H2983" s="326"/>
      <c r="P2983" s="318"/>
      <c r="Q2983" s="318"/>
      <c r="R2983" s="318"/>
      <c r="S2983" s="318"/>
      <c r="T2983" s="318"/>
      <c r="U2983" s="318"/>
      <c r="V2983" s="318"/>
      <c r="W2983" s="318"/>
      <c r="X2983" s="318"/>
      <c r="Y2983" s="318"/>
      <c r="Z2983" s="318"/>
      <c r="AA2983" s="318"/>
      <c r="AB2983" s="318"/>
      <c r="AC2983" s="318"/>
      <c r="AD2983" s="318"/>
    </row>
    <row r="2984" spans="2:30" s="323" customFormat="1" ht="12" customHeight="1">
      <c r="B2984" s="324"/>
      <c r="C2984" s="325"/>
      <c r="D2984" s="326"/>
      <c r="E2984" s="326"/>
      <c r="F2984" s="326"/>
      <c r="G2984" s="326"/>
      <c r="H2984" s="326"/>
      <c r="P2984" s="318"/>
      <c r="Q2984" s="318"/>
      <c r="R2984" s="318"/>
      <c r="S2984" s="318"/>
      <c r="T2984" s="318"/>
      <c r="U2984" s="318"/>
      <c r="V2984" s="318"/>
      <c r="W2984" s="318"/>
      <c r="X2984" s="318"/>
      <c r="Y2984" s="318"/>
      <c r="Z2984" s="318"/>
      <c r="AA2984" s="318"/>
      <c r="AB2984" s="318"/>
      <c r="AC2984" s="318"/>
      <c r="AD2984" s="318"/>
    </row>
    <row r="2985" spans="2:30" s="323" customFormat="1" ht="12" customHeight="1">
      <c r="B2985" s="324"/>
      <c r="C2985" s="325"/>
      <c r="D2985" s="326"/>
      <c r="E2985" s="326"/>
      <c r="F2985" s="326"/>
      <c r="G2985" s="326"/>
      <c r="H2985" s="326"/>
      <c r="P2985" s="318"/>
      <c r="Q2985" s="318"/>
      <c r="R2985" s="318"/>
      <c r="S2985" s="318"/>
      <c r="T2985" s="318"/>
      <c r="U2985" s="318"/>
      <c r="V2985" s="318"/>
      <c r="W2985" s="318"/>
      <c r="X2985" s="318"/>
      <c r="Y2985" s="318"/>
      <c r="Z2985" s="318"/>
      <c r="AA2985" s="318"/>
      <c r="AB2985" s="318"/>
      <c r="AC2985" s="318"/>
      <c r="AD2985" s="318"/>
    </row>
    <row r="2986" spans="2:30" s="323" customFormat="1" ht="12" customHeight="1">
      <c r="B2986" s="324"/>
      <c r="C2986" s="325"/>
      <c r="D2986" s="326"/>
      <c r="E2986" s="326"/>
      <c r="F2986" s="326"/>
      <c r="G2986" s="326"/>
      <c r="H2986" s="326"/>
      <c r="P2986" s="318"/>
      <c r="Q2986" s="318"/>
      <c r="R2986" s="318"/>
      <c r="S2986" s="318"/>
      <c r="T2986" s="318"/>
      <c r="U2986" s="318"/>
      <c r="V2986" s="318"/>
      <c r="W2986" s="318"/>
      <c r="X2986" s="318"/>
      <c r="Y2986" s="318"/>
      <c r="Z2986" s="318"/>
      <c r="AA2986" s="318"/>
      <c r="AB2986" s="318"/>
      <c r="AC2986" s="318"/>
      <c r="AD2986" s="318"/>
    </row>
    <row r="2987" spans="2:30" s="323" customFormat="1" ht="12" customHeight="1">
      <c r="B2987" s="324"/>
      <c r="C2987" s="325"/>
      <c r="D2987" s="326"/>
      <c r="E2987" s="326"/>
      <c r="F2987" s="326"/>
      <c r="G2987" s="326"/>
      <c r="H2987" s="326"/>
      <c r="P2987" s="318"/>
      <c r="Q2987" s="318"/>
      <c r="R2987" s="318"/>
      <c r="S2987" s="318"/>
      <c r="T2987" s="318"/>
      <c r="U2987" s="318"/>
      <c r="V2987" s="318"/>
      <c r="W2987" s="318"/>
      <c r="X2987" s="318"/>
      <c r="Y2987" s="318"/>
      <c r="Z2987" s="318"/>
      <c r="AA2987" s="318"/>
      <c r="AB2987" s="318"/>
      <c r="AC2987" s="318"/>
      <c r="AD2987" s="318"/>
    </row>
    <row r="2988" spans="2:30" s="323" customFormat="1" ht="12" customHeight="1">
      <c r="B2988" s="324"/>
      <c r="C2988" s="325"/>
      <c r="D2988" s="326"/>
      <c r="E2988" s="326"/>
      <c r="F2988" s="326"/>
      <c r="G2988" s="326"/>
      <c r="H2988" s="326"/>
      <c r="P2988" s="318"/>
      <c r="Q2988" s="318"/>
      <c r="R2988" s="318"/>
      <c r="S2988" s="318"/>
      <c r="T2988" s="318"/>
      <c r="U2988" s="318"/>
      <c r="V2988" s="318"/>
      <c r="W2988" s="318"/>
      <c r="X2988" s="318"/>
      <c r="Y2988" s="318"/>
      <c r="Z2988" s="318"/>
      <c r="AA2988" s="318"/>
      <c r="AB2988" s="318"/>
      <c r="AC2988" s="318"/>
      <c r="AD2988" s="318"/>
    </row>
    <row r="2989" spans="2:30" s="323" customFormat="1" ht="12" customHeight="1">
      <c r="B2989" s="324"/>
      <c r="C2989" s="325"/>
      <c r="D2989" s="326"/>
      <c r="E2989" s="326"/>
      <c r="F2989" s="326"/>
      <c r="G2989" s="326"/>
      <c r="H2989" s="326"/>
      <c r="P2989" s="318"/>
      <c r="Q2989" s="318"/>
      <c r="R2989" s="318"/>
      <c r="S2989" s="318"/>
      <c r="T2989" s="318"/>
      <c r="U2989" s="318"/>
      <c r="V2989" s="318"/>
      <c r="W2989" s="318"/>
      <c r="X2989" s="318"/>
      <c r="Y2989" s="318"/>
      <c r="Z2989" s="318"/>
      <c r="AA2989" s="318"/>
      <c r="AB2989" s="318"/>
      <c r="AC2989" s="318"/>
      <c r="AD2989" s="318"/>
    </row>
    <row r="2990" spans="2:30" s="323" customFormat="1" ht="12" customHeight="1">
      <c r="B2990" s="324"/>
      <c r="C2990" s="325"/>
      <c r="D2990" s="326"/>
      <c r="E2990" s="326"/>
      <c r="F2990" s="326"/>
      <c r="G2990" s="326"/>
      <c r="H2990" s="326"/>
      <c r="P2990" s="318"/>
      <c r="Q2990" s="318"/>
      <c r="R2990" s="318"/>
      <c r="S2990" s="318"/>
      <c r="T2990" s="318"/>
      <c r="U2990" s="318"/>
      <c r="V2990" s="318"/>
      <c r="W2990" s="318"/>
      <c r="X2990" s="318"/>
      <c r="Y2990" s="318"/>
      <c r="Z2990" s="318"/>
      <c r="AA2990" s="318"/>
      <c r="AB2990" s="318"/>
      <c r="AC2990" s="318"/>
      <c r="AD2990" s="318"/>
    </row>
    <row r="2991" spans="2:30" s="323" customFormat="1" ht="12" customHeight="1">
      <c r="B2991" s="324"/>
      <c r="C2991" s="325"/>
      <c r="D2991" s="326"/>
      <c r="E2991" s="326"/>
      <c r="F2991" s="326"/>
      <c r="G2991" s="326"/>
      <c r="H2991" s="326"/>
      <c r="P2991" s="318"/>
      <c r="Q2991" s="318"/>
      <c r="R2991" s="318"/>
      <c r="S2991" s="318"/>
      <c r="T2991" s="318"/>
      <c r="U2991" s="318"/>
      <c r="V2991" s="318"/>
      <c r="W2991" s="318"/>
      <c r="X2991" s="318"/>
      <c r="Y2991" s="318"/>
      <c r="Z2991" s="318"/>
      <c r="AA2991" s="318"/>
      <c r="AB2991" s="318"/>
      <c r="AC2991" s="318"/>
      <c r="AD2991" s="318"/>
    </row>
    <row r="2992" spans="2:30" s="323" customFormat="1" ht="12" customHeight="1">
      <c r="B2992" s="324"/>
      <c r="C2992" s="325"/>
      <c r="D2992" s="326"/>
      <c r="E2992" s="326"/>
      <c r="F2992" s="326"/>
      <c r="G2992" s="326"/>
      <c r="H2992" s="326"/>
      <c r="P2992" s="318"/>
      <c r="Q2992" s="318"/>
      <c r="R2992" s="318"/>
      <c r="S2992" s="318"/>
      <c r="T2992" s="318"/>
      <c r="U2992" s="318"/>
      <c r="V2992" s="318"/>
      <c r="W2992" s="318"/>
      <c r="X2992" s="318"/>
      <c r="Y2992" s="318"/>
      <c r="Z2992" s="318"/>
      <c r="AA2992" s="318"/>
      <c r="AB2992" s="318"/>
      <c r="AC2992" s="318"/>
      <c r="AD2992" s="318"/>
    </row>
    <row r="2993" spans="2:30" s="323" customFormat="1" ht="12" customHeight="1">
      <c r="B2993" s="324"/>
      <c r="C2993" s="325"/>
      <c r="D2993" s="326"/>
      <c r="E2993" s="326"/>
      <c r="F2993" s="326"/>
      <c r="G2993" s="326"/>
      <c r="H2993" s="326"/>
      <c r="P2993" s="318"/>
      <c r="Q2993" s="318"/>
      <c r="R2993" s="318"/>
      <c r="S2993" s="318"/>
      <c r="T2993" s="318"/>
      <c r="U2993" s="318"/>
      <c r="V2993" s="318"/>
      <c r="W2993" s="318"/>
      <c r="X2993" s="318"/>
      <c r="Y2993" s="318"/>
      <c r="Z2993" s="318"/>
      <c r="AA2993" s="318"/>
      <c r="AB2993" s="318"/>
      <c r="AC2993" s="318"/>
      <c r="AD2993" s="318"/>
    </row>
    <row r="2994" spans="2:30" s="323" customFormat="1" ht="12" customHeight="1">
      <c r="B2994" s="324"/>
      <c r="C2994" s="325"/>
      <c r="D2994" s="326"/>
      <c r="E2994" s="326"/>
      <c r="F2994" s="326"/>
      <c r="G2994" s="326"/>
      <c r="H2994" s="326"/>
      <c r="P2994" s="318"/>
      <c r="Q2994" s="318"/>
      <c r="R2994" s="318"/>
      <c r="S2994" s="318"/>
      <c r="T2994" s="318"/>
      <c r="U2994" s="318"/>
      <c r="V2994" s="318"/>
      <c r="W2994" s="318"/>
      <c r="X2994" s="318"/>
      <c r="Y2994" s="318"/>
      <c r="Z2994" s="318"/>
      <c r="AA2994" s="318"/>
      <c r="AB2994" s="318"/>
      <c r="AC2994" s="318"/>
      <c r="AD2994" s="318"/>
    </row>
    <row r="2995" spans="2:30" s="323" customFormat="1" ht="12" customHeight="1">
      <c r="B2995" s="324"/>
      <c r="C2995" s="325"/>
      <c r="D2995" s="326"/>
      <c r="E2995" s="326"/>
      <c r="F2995" s="326"/>
      <c r="G2995" s="326"/>
      <c r="H2995" s="326"/>
      <c r="P2995" s="318"/>
      <c r="Q2995" s="318"/>
      <c r="R2995" s="318"/>
      <c r="S2995" s="318"/>
      <c r="T2995" s="318"/>
      <c r="U2995" s="318"/>
      <c r="V2995" s="318"/>
      <c r="W2995" s="318"/>
      <c r="X2995" s="318"/>
      <c r="Y2995" s="318"/>
      <c r="Z2995" s="318"/>
      <c r="AA2995" s="318"/>
      <c r="AB2995" s="318"/>
      <c r="AC2995" s="318"/>
      <c r="AD2995" s="318"/>
    </row>
    <row r="2996" spans="2:30" s="323" customFormat="1" ht="12" customHeight="1">
      <c r="B2996" s="324"/>
      <c r="C2996" s="325"/>
      <c r="D2996" s="326"/>
      <c r="E2996" s="326"/>
      <c r="F2996" s="326"/>
      <c r="G2996" s="326"/>
      <c r="H2996" s="326"/>
      <c r="P2996" s="318"/>
      <c r="Q2996" s="318"/>
      <c r="R2996" s="318"/>
      <c r="S2996" s="318"/>
      <c r="T2996" s="318"/>
      <c r="U2996" s="318"/>
      <c r="V2996" s="318"/>
      <c r="W2996" s="318"/>
      <c r="X2996" s="318"/>
      <c r="Y2996" s="318"/>
      <c r="Z2996" s="318"/>
      <c r="AA2996" s="318"/>
      <c r="AB2996" s="318"/>
      <c r="AC2996" s="318"/>
      <c r="AD2996" s="318"/>
    </row>
    <row r="2997" spans="2:30" s="323" customFormat="1" ht="12" customHeight="1">
      <c r="B2997" s="324"/>
      <c r="C2997" s="325"/>
      <c r="D2997" s="326"/>
      <c r="E2997" s="326"/>
      <c r="F2997" s="326"/>
      <c r="G2997" s="326"/>
      <c r="H2997" s="326"/>
      <c r="P2997" s="318"/>
      <c r="Q2997" s="318"/>
      <c r="R2997" s="318"/>
      <c r="S2997" s="318"/>
      <c r="T2997" s="318"/>
      <c r="U2997" s="318"/>
      <c r="V2997" s="318"/>
      <c r="W2997" s="318"/>
      <c r="X2997" s="318"/>
      <c r="Y2997" s="318"/>
      <c r="Z2997" s="318"/>
      <c r="AA2997" s="318"/>
      <c r="AB2997" s="318"/>
      <c r="AC2997" s="318"/>
      <c r="AD2997" s="318"/>
    </row>
    <row r="2998" spans="2:30" s="323" customFormat="1" ht="12" customHeight="1">
      <c r="B2998" s="324"/>
      <c r="C2998" s="325"/>
      <c r="D2998" s="326"/>
      <c r="E2998" s="326"/>
      <c r="F2998" s="326"/>
      <c r="G2998" s="326"/>
      <c r="H2998" s="326"/>
      <c r="P2998" s="318"/>
      <c r="Q2998" s="318"/>
      <c r="R2998" s="318"/>
      <c r="S2998" s="318"/>
      <c r="T2998" s="318"/>
      <c r="U2998" s="318"/>
      <c r="V2998" s="318"/>
      <c r="W2998" s="318"/>
      <c r="X2998" s="318"/>
      <c r="Y2998" s="318"/>
      <c r="Z2998" s="318"/>
      <c r="AA2998" s="318"/>
      <c r="AB2998" s="318"/>
      <c r="AC2998" s="318"/>
      <c r="AD2998" s="318"/>
    </row>
    <row r="2999" spans="2:30" s="323" customFormat="1" ht="12" customHeight="1">
      <c r="B2999" s="324"/>
      <c r="C2999" s="325"/>
      <c r="D2999" s="326"/>
      <c r="E2999" s="326"/>
      <c r="F2999" s="326"/>
      <c r="G2999" s="326"/>
      <c r="H2999" s="326"/>
      <c r="P2999" s="318"/>
      <c r="Q2999" s="318"/>
      <c r="R2999" s="318"/>
      <c r="S2999" s="318"/>
      <c r="T2999" s="318"/>
      <c r="U2999" s="318"/>
      <c r="V2999" s="318"/>
      <c r="W2999" s="318"/>
      <c r="X2999" s="318"/>
      <c r="Y2999" s="318"/>
      <c r="Z2999" s="318"/>
      <c r="AA2999" s="318"/>
      <c r="AB2999" s="318"/>
      <c r="AC2999" s="318"/>
      <c r="AD2999" s="318"/>
    </row>
    <row r="3000" spans="2:30" s="323" customFormat="1" ht="12" customHeight="1">
      <c r="B3000" s="324"/>
      <c r="C3000" s="325"/>
      <c r="D3000" s="326"/>
      <c r="E3000" s="326"/>
      <c r="F3000" s="326"/>
      <c r="G3000" s="326"/>
      <c r="H3000" s="326"/>
      <c r="P3000" s="318"/>
      <c r="Q3000" s="318"/>
      <c r="R3000" s="318"/>
      <c r="S3000" s="318"/>
      <c r="T3000" s="318"/>
      <c r="U3000" s="318"/>
      <c r="V3000" s="318"/>
      <c r="W3000" s="318"/>
      <c r="X3000" s="318"/>
      <c r="Y3000" s="318"/>
      <c r="Z3000" s="318"/>
      <c r="AA3000" s="318"/>
      <c r="AB3000" s="318"/>
      <c r="AC3000" s="318"/>
      <c r="AD3000" s="318"/>
    </row>
    <row r="3001" spans="2:30" s="323" customFormat="1" ht="12" customHeight="1">
      <c r="B3001" s="324"/>
      <c r="C3001" s="325"/>
      <c r="D3001" s="326"/>
      <c r="E3001" s="326"/>
      <c r="F3001" s="326"/>
      <c r="G3001" s="326"/>
      <c r="H3001" s="326"/>
      <c r="P3001" s="318"/>
      <c r="Q3001" s="318"/>
      <c r="R3001" s="318"/>
      <c r="S3001" s="318"/>
      <c r="T3001" s="318"/>
      <c r="U3001" s="318"/>
      <c r="V3001" s="318"/>
      <c r="W3001" s="318"/>
      <c r="X3001" s="318"/>
      <c r="Y3001" s="318"/>
      <c r="Z3001" s="318"/>
      <c r="AA3001" s="318"/>
      <c r="AB3001" s="318"/>
      <c r="AC3001" s="318"/>
      <c r="AD3001" s="318"/>
    </row>
    <row r="3002" spans="2:30" s="323" customFormat="1" ht="12" customHeight="1">
      <c r="B3002" s="324"/>
      <c r="C3002" s="325"/>
      <c r="D3002" s="326"/>
      <c r="E3002" s="326"/>
      <c r="F3002" s="326"/>
      <c r="G3002" s="326"/>
      <c r="H3002" s="326"/>
      <c r="P3002" s="318"/>
      <c r="Q3002" s="318"/>
      <c r="R3002" s="318"/>
      <c r="S3002" s="318"/>
      <c r="T3002" s="318"/>
      <c r="U3002" s="318"/>
      <c r="V3002" s="318"/>
      <c r="W3002" s="318"/>
      <c r="X3002" s="318"/>
      <c r="Y3002" s="318"/>
      <c r="Z3002" s="318"/>
      <c r="AA3002" s="318"/>
      <c r="AB3002" s="318"/>
      <c r="AC3002" s="318"/>
      <c r="AD3002" s="318"/>
    </row>
    <row r="3003" spans="2:30" s="323" customFormat="1" ht="12" customHeight="1">
      <c r="B3003" s="324"/>
      <c r="C3003" s="325"/>
      <c r="D3003" s="326"/>
      <c r="E3003" s="326"/>
      <c r="F3003" s="326"/>
      <c r="G3003" s="326"/>
      <c r="H3003" s="326"/>
      <c r="P3003" s="318"/>
      <c r="Q3003" s="318"/>
      <c r="R3003" s="318"/>
      <c r="S3003" s="318"/>
      <c r="T3003" s="318"/>
      <c r="U3003" s="318"/>
      <c r="V3003" s="318"/>
      <c r="W3003" s="318"/>
      <c r="X3003" s="318"/>
      <c r="Y3003" s="318"/>
      <c r="Z3003" s="318"/>
      <c r="AA3003" s="318"/>
      <c r="AB3003" s="318"/>
      <c r="AC3003" s="318"/>
      <c r="AD3003" s="318"/>
    </row>
    <row r="3004" spans="2:30" s="323" customFormat="1" ht="12" customHeight="1">
      <c r="B3004" s="324"/>
      <c r="C3004" s="325"/>
      <c r="D3004" s="326"/>
      <c r="E3004" s="326"/>
      <c r="F3004" s="326"/>
      <c r="G3004" s="326"/>
      <c r="H3004" s="326"/>
      <c r="P3004" s="318"/>
      <c r="Q3004" s="318"/>
      <c r="R3004" s="318"/>
      <c r="S3004" s="318"/>
      <c r="T3004" s="318"/>
      <c r="U3004" s="318"/>
      <c r="V3004" s="318"/>
      <c r="W3004" s="318"/>
      <c r="X3004" s="318"/>
      <c r="Y3004" s="318"/>
      <c r="Z3004" s="318"/>
      <c r="AA3004" s="318"/>
      <c r="AB3004" s="318"/>
      <c r="AC3004" s="318"/>
      <c r="AD3004" s="318"/>
    </row>
    <row r="3005" spans="2:30" s="323" customFormat="1" ht="12" customHeight="1">
      <c r="B3005" s="324"/>
      <c r="C3005" s="325"/>
      <c r="D3005" s="326"/>
      <c r="E3005" s="326"/>
      <c r="F3005" s="326"/>
      <c r="G3005" s="326"/>
      <c r="H3005" s="326"/>
      <c r="P3005" s="318"/>
      <c r="Q3005" s="318"/>
      <c r="R3005" s="318"/>
      <c r="S3005" s="318"/>
      <c r="T3005" s="318"/>
      <c r="U3005" s="318"/>
      <c r="V3005" s="318"/>
      <c r="W3005" s="318"/>
      <c r="X3005" s="318"/>
      <c r="Y3005" s="318"/>
      <c r="Z3005" s="318"/>
      <c r="AA3005" s="318"/>
      <c r="AB3005" s="318"/>
      <c r="AC3005" s="318"/>
      <c r="AD3005" s="318"/>
    </row>
    <row r="3006" spans="2:30" s="323" customFormat="1" ht="12" customHeight="1">
      <c r="B3006" s="324"/>
      <c r="C3006" s="325"/>
      <c r="D3006" s="326"/>
      <c r="E3006" s="326"/>
      <c r="F3006" s="326"/>
      <c r="G3006" s="326"/>
      <c r="H3006" s="326"/>
      <c r="P3006" s="318"/>
      <c r="Q3006" s="318"/>
      <c r="R3006" s="318"/>
      <c r="S3006" s="318"/>
      <c r="T3006" s="318"/>
      <c r="U3006" s="318"/>
      <c r="V3006" s="318"/>
      <c r="W3006" s="318"/>
      <c r="X3006" s="318"/>
      <c r="Y3006" s="318"/>
      <c r="Z3006" s="318"/>
      <c r="AA3006" s="318"/>
      <c r="AB3006" s="318"/>
      <c r="AC3006" s="318"/>
      <c r="AD3006" s="318"/>
    </row>
    <row r="3007" spans="2:30" s="323" customFormat="1" ht="12" customHeight="1">
      <c r="B3007" s="324"/>
      <c r="C3007" s="325"/>
      <c r="D3007" s="326"/>
      <c r="E3007" s="326"/>
      <c r="F3007" s="326"/>
      <c r="G3007" s="326"/>
      <c r="H3007" s="326"/>
      <c r="P3007" s="318"/>
      <c r="Q3007" s="318"/>
      <c r="R3007" s="318"/>
      <c r="S3007" s="318"/>
      <c r="T3007" s="318"/>
      <c r="U3007" s="318"/>
      <c r="V3007" s="318"/>
      <c r="W3007" s="318"/>
      <c r="X3007" s="318"/>
      <c r="Y3007" s="318"/>
      <c r="Z3007" s="318"/>
      <c r="AA3007" s="318"/>
      <c r="AB3007" s="318"/>
      <c r="AC3007" s="318"/>
      <c r="AD3007" s="318"/>
    </row>
    <row r="3008" spans="2:30" s="323" customFormat="1" ht="12" customHeight="1">
      <c r="B3008" s="324"/>
      <c r="C3008" s="325"/>
      <c r="D3008" s="326"/>
      <c r="E3008" s="326"/>
      <c r="F3008" s="326"/>
      <c r="G3008" s="326"/>
      <c r="H3008" s="326"/>
      <c r="P3008" s="318"/>
      <c r="Q3008" s="318"/>
      <c r="R3008" s="318"/>
      <c r="S3008" s="318"/>
      <c r="T3008" s="318"/>
      <c r="U3008" s="318"/>
      <c r="V3008" s="318"/>
      <c r="W3008" s="318"/>
      <c r="X3008" s="318"/>
      <c r="Y3008" s="318"/>
      <c r="Z3008" s="318"/>
      <c r="AA3008" s="318"/>
      <c r="AB3008" s="318"/>
      <c r="AC3008" s="318"/>
      <c r="AD3008" s="318"/>
    </row>
    <row r="3009" spans="2:30" s="323" customFormat="1" ht="12" customHeight="1">
      <c r="B3009" s="324"/>
      <c r="C3009" s="325"/>
      <c r="D3009" s="326"/>
      <c r="E3009" s="326"/>
      <c r="F3009" s="326"/>
      <c r="G3009" s="326"/>
      <c r="H3009" s="326"/>
      <c r="P3009" s="318"/>
      <c r="Q3009" s="318"/>
      <c r="R3009" s="318"/>
      <c r="S3009" s="318"/>
      <c r="T3009" s="318"/>
      <c r="U3009" s="318"/>
      <c r="V3009" s="318"/>
      <c r="W3009" s="318"/>
      <c r="X3009" s="318"/>
      <c r="Y3009" s="318"/>
      <c r="Z3009" s="318"/>
      <c r="AA3009" s="318"/>
      <c r="AB3009" s="318"/>
      <c r="AC3009" s="318"/>
      <c r="AD3009" s="318"/>
    </row>
    <row r="3010" spans="2:30" s="323" customFormat="1" ht="12" customHeight="1">
      <c r="B3010" s="324"/>
      <c r="C3010" s="325"/>
      <c r="D3010" s="326"/>
      <c r="E3010" s="326"/>
      <c r="F3010" s="326"/>
      <c r="G3010" s="326"/>
      <c r="H3010" s="326"/>
      <c r="P3010" s="318"/>
      <c r="Q3010" s="318"/>
      <c r="R3010" s="318"/>
      <c r="S3010" s="318"/>
      <c r="T3010" s="318"/>
      <c r="U3010" s="318"/>
      <c r="V3010" s="318"/>
      <c r="W3010" s="318"/>
      <c r="X3010" s="318"/>
      <c r="Y3010" s="318"/>
      <c r="Z3010" s="318"/>
      <c r="AA3010" s="318"/>
      <c r="AB3010" s="318"/>
      <c r="AC3010" s="318"/>
      <c r="AD3010" s="318"/>
    </row>
    <row r="3011" spans="2:30" s="323" customFormat="1" ht="12" customHeight="1">
      <c r="B3011" s="324"/>
      <c r="C3011" s="325"/>
      <c r="D3011" s="326"/>
      <c r="E3011" s="326"/>
      <c r="F3011" s="326"/>
      <c r="G3011" s="326"/>
      <c r="H3011" s="326"/>
      <c r="P3011" s="318"/>
      <c r="Q3011" s="318"/>
      <c r="R3011" s="318"/>
      <c r="S3011" s="318"/>
      <c r="T3011" s="318"/>
      <c r="U3011" s="318"/>
      <c r="V3011" s="318"/>
      <c r="W3011" s="318"/>
      <c r="X3011" s="318"/>
      <c r="Y3011" s="318"/>
      <c r="Z3011" s="318"/>
      <c r="AA3011" s="318"/>
      <c r="AB3011" s="318"/>
      <c r="AC3011" s="318"/>
      <c r="AD3011" s="318"/>
    </row>
    <row r="3012" spans="2:30" s="323" customFormat="1" ht="12" customHeight="1">
      <c r="B3012" s="324"/>
      <c r="C3012" s="325"/>
      <c r="D3012" s="326"/>
      <c r="E3012" s="326"/>
      <c r="F3012" s="326"/>
      <c r="G3012" s="326"/>
      <c r="H3012" s="326"/>
      <c r="P3012" s="318"/>
      <c r="Q3012" s="318"/>
      <c r="R3012" s="318"/>
      <c r="S3012" s="318"/>
      <c r="T3012" s="318"/>
      <c r="U3012" s="318"/>
      <c r="V3012" s="318"/>
      <c r="W3012" s="318"/>
      <c r="X3012" s="318"/>
      <c r="Y3012" s="318"/>
      <c r="Z3012" s="318"/>
      <c r="AA3012" s="318"/>
      <c r="AB3012" s="318"/>
      <c r="AC3012" s="318"/>
      <c r="AD3012" s="318"/>
    </row>
    <row r="3013" spans="2:30" s="323" customFormat="1" ht="12" customHeight="1">
      <c r="B3013" s="324"/>
      <c r="C3013" s="325"/>
      <c r="D3013" s="326"/>
      <c r="E3013" s="326"/>
      <c r="F3013" s="326"/>
      <c r="G3013" s="326"/>
      <c r="H3013" s="326"/>
      <c r="P3013" s="318"/>
      <c r="Q3013" s="318"/>
      <c r="R3013" s="318"/>
      <c r="S3013" s="318"/>
      <c r="T3013" s="318"/>
      <c r="U3013" s="318"/>
      <c r="V3013" s="318"/>
      <c r="W3013" s="318"/>
      <c r="X3013" s="318"/>
      <c r="Y3013" s="318"/>
      <c r="Z3013" s="318"/>
      <c r="AA3013" s="318"/>
      <c r="AB3013" s="318"/>
      <c r="AC3013" s="318"/>
      <c r="AD3013" s="318"/>
    </row>
    <row r="3014" spans="2:30" s="323" customFormat="1" ht="12" customHeight="1">
      <c r="B3014" s="324"/>
      <c r="C3014" s="325"/>
      <c r="D3014" s="326"/>
      <c r="E3014" s="326"/>
      <c r="F3014" s="326"/>
      <c r="G3014" s="326"/>
      <c r="H3014" s="326"/>
      <c r="P3014" s="318"/>
      <c r="Q3014" s="318"/>
      <c r="R3014" s="318"/>
      <c r="S3014" s="318"/>
      <c r="T3014" s="318"/>
      <c r="U3014" s="318"/>
      <c r="V3014" s="318"/>
      <c r="W3014" s="318"/>
      <c r="X3014" s="318"/>
      <c r="Y3014" s="318"/>
      <c r="Z3014" s="318"/>
      <c r="AA3014" s="318"/>
      <c r="AB3014" s="318"/>
      <c r="AC3014" s="318"/>
      <c r="AD3014" s="318"/>
    </row>
    <row r="3015" spans="2:30" s="323" customFormat="1" ht="12" customHeight="1">
      <c r="B3015" s="324"/>
      <c r="C3015" s="325"/>
      <c r="D3015" s="326"/>
      <c r="E3015" s="326"/>
      <c r="F3015" s="326"/>
      <c r="G3015" s="326"/>
      <c r="H3015" s="326"/>
      <c r="P3015" s="318"/>
      <c r="Q3015" s="318"/>
      <c r="R3015" s="318"/>
      <c r="S3015" s="318"/>
      <c r="T3015" s="318"/>
      <c r="U3015" s="318"/>
      <c r="V3015" s="318"/>
      <c r="W3015" s="318"/>
      <c r="X3015" s="318"/>
      <c r="Y3015" s="318"/>
      <c r="Z3015" s="318"/>
      <c r="AA3015" s="318"/>
      <c r="AB3015" s="318"/>
      <c r="AC3015" s="318"/>
      <c r="AD3015" s="318"/>
    </row>
    <row r="3016" spans="2:30" s="323" customFormat="1" ht="12" customHeight="1">
      <c r="B3016" s="324"/>
      <c r="C3016" s="325"/>
      <c r="D3016" s="326"/>
      <c r="E3016" s="326"/>
      <c r="F3016" s="326"/>
      <c r="G3016" s="326"/>
      <c r="H3016" s="326"/>
      <c r="P3016" s="318"/>
      <c r="Q3016" s="318"/>
      <c r="R3016" s="318"/>
      <c r="S3016" s="318"/>
      <c r="T3016" s="318"/>
      <c r="U3016" s="318"/>
      <c r="V3016" s="318"/>
      <c r="W3016" s="318"/>
      <c r="X3016" s="318"/>
      <c r="Y3016" s="318"/>
      <c r="Z3016" s="318"/>
      <c r="AA3016" s="318"/>
      <c r="AB3016" s="318"/>
      <c r="AC3016" s="318"/>
      <c r="AD3016" s="318"/>
    </row>
    <row r="3017" spans="2:30" s="323" customFormat="1" ht="12" customHeight="1">
      <c r="B3017" s="324"/>
      <c r="C3017" s="325"/>
      <c r="D3017" s="326"/>
      <c r="E3017" s="326"/>
      <c r="F3017" s="326"/>
      <c r="G3017" s="326"/>
      <c r="H3017" s="326"/>
      <c r="P3017" s="318"/>
      <c r="Q3017" s="318"/>
      <c r="R3017" s="318"/>
      <c r="S3017" s="318"/>
      <c r="T3017" s="318"/>
      <c r="U3017" s="318"/>
      <c r="V3017" s="318"/>
      <c r="W3017" s="318"/>
      <c r="X3017" s="318"/>
      <c r="Y3017" s="318"/>
      <c r="Z3017" s="318"/>
      <c r="AA3017" s="318"/>
      <c r="AB3017" s="318"/>
      <c r="AC3017" s="318"/>
      <c r="AD3017" s="318"/>
    </row>
    <row r="3018" spans="2:30" s="323" customFormat="1" ht="12" customHeight="1">
      <c r="B3018" s="324"/>
      <c r="C3018" s="325"/>
      <c r="D3018" s="326"/>
      <c r="E3018" s="326"/>
      <c r="F3018" s="326"/>
      <c r="G3018" s="326"/>
      <c r="H3018" s="326"/>
      <c r="P3018" s="318"/>
      <c r="Q3018" s="318"/>
      <c r="R3018" s="318"/>
      <c r="S3018" s="318"/>
      <c r="T3018" s="318"/>
      <c r="U3018" s="318"/>
      <c r="V3018" s="318"/>
      <c r="W3018" s="318"/>
      <c r="X3018" s="318"/>
      <c r="Y3018" s="318"/>
      <c r="Z3018" s="318"/>
      <c r="AA3018" s="318"/>
      <c r="AB3018" s="318"/>
      <c r="AC3018" s="318"/>
      <c r="AD3018" s="318"/>
    </row>
    <row r="3019" spans="2:30" s="323" customFormat="1" ht="12" customHeight="1">
      <c r="B3019" s="324"/>
      <c r="C3019" s="325"/>
      <c r="D3019" s="326"/>
      <c r="E3019" s="326"/>
      <c r="F3019" s="326"/>
      <c r="G3019" s="326"/>
      <c r="H3019" s="326"/>
      <c r="P3019" s="318"/>
      <c r="Q3019" s="318"/>
      <c r="R3019" s="318"/>
      <c r="S3019" s="318"/>
      <c r="T3019" s="318"/>
      <c r="U3019" s="318"/>
      <c r="V3019" s="318"/>
      <c r="W3019" s="318"/>
      <c r="X3019" s="318"/>
      <c r="Y3019" s="318"/>
      <c r="Z3019" s="318"/>
      <c r="AA3019" s="318"/>
      <c r="AB3019" s="318"/>
      <c r="AC3019" s="318"/>
      <c r="AD3019" s="318"/>
    </row>
    <row r="3020" spans="2:30" s="323" customFormat="1" ht="12" customHeight="1">
      <c r="B3020" s="324"/>
      <c r="C3020" s="325"/>
      <c r="D3020" s="326"/>
      <c r="E3020" s="326"/>
      <c r="F3020" s="326"/>
      <c r="G3020" s="326"/>
      <c r="H3020" s="326"/>
      <c r="P3020" s="318"/>
      <c r="Q3020" s="318"/>
      <c r="R3020" s="318"/>
      <c r="S3020" s="318"/>
      <c r="T3020" s="318"/>
      <c r="U3020" s="318"/>
      <c r="V3020" s="318"/>
      <c r="W3020" s="318"/>
      <c r="X3020" s="318"/>
      <c r="Y3020" s="318"/>
      <c r="Z3020" s="318"/>
      <c r="AA3020" s="318"/>
      <c r="AB3020" s="318"/>
      <c r="AC3020" s="318"/>
      <c r="AD3020" s="318"/>
    </row>
    <row r="3021" spans="2:30" s="323" customFormat="1" ht="12" customHeight="1">
      <c r="B3021" s="324"/>
      <c r="C3021" s="325"/>
      <c r="D3021" s="326"/>
      <c r="E3021" s="326"/>
      <c r="F3021" s="326"/>
      <c r="G3021" s="326"/>
      <c r="H3021" s="326"/>
      <c r="P3021" s="318"/>
      <c r="Q3021" s="318"/>
      <c r="R3021" s="318"/>
      <c r="S3021" s="318"/>
      <c r="T3021" s="318"/>
      <c r="U3021" s="318"/>
      <c r="V3021" s="318"/>
      <c r="W3021" s="318"/>
      <c r="X3021" s="318"/>
      <c r="Y3021" s="318"/>
      <c r="Z3021" s="318"/>
      <c r="AA3021" s="318"/>
      <c r="AB3021" s="318"/>
      <c r="AC3021" s="318"/>
      <c r="AD3021" s="318"/>
    </row>
    <row r="3022" spans="2:30" s="323" customFormat="1" ht="12" customHeight="1">
      <c r="B3022" s="324"/>
      <c r="C3022" s="325"/>
      <c r="D3022" s="326"/>
      <c r="E3022" s="326"/>
      <c r="F3022" s="326"/>
      <c r="G3022" s="326"/>
      <c r="H3022" s="326"/>
      <c r="P3022" s="318"/>
      <c r="Q3022" s="318"/>
      <c r="R3022" s="318"/>
      <c r="S3022" s="318"/>
      <c r="T3022" s="318"/>
      <c r="U3022" s="318"/>
      <c r="V3022" s="318"/>
      <c r="W3022" s="318"/>
      <c r="X3022" s="318"/>
      <c r="Y3022" s="318"/>
      <c r="Z3022" s="318"/>
      <c r="AA3022" s="318"/>
      <c r="AB3022" s="318"/>
      <c r="AC3022" s="318"/>
      <c r="AD3022" s="318"/>
    </row>
    <row r="3023" spans="2:30" s="323" customFormat="1" ht="12" customHeight="1">
      <c r="B3023" s="324"/>
      <c r="C3023" s="325"/>
      <c r="D3023" s="326"/>
      <c r="E3023" s="326"/>
      <c r="F3023" s="326"/>
      <c r="G3023" s="326"/>
      <c r="H3023" s="326"/>
      <c r="P3023" s="318"/>
      <c r="Q3023" s="318"/>
      <c r="R3023" s="318"/>
      <c r="S3023" s="318"/>
      <c r="T3023" s="318"/>
      <c r="U3023" s="318"/>
      <c r="V3023" s="318"/>
      <c r="W3023" s="318"/>
      <c r="X3023" s="318"/>
      <c r="Y3023" s="318"/>
      <c r="Z3023" s="318"/>
      <c r="AA3023" s="318"/>
      <c r="AB3023" s="318"/>
      <c r="AC3023" s="318"/>
      <c r="AD3023" s="318"/>
    </row>
    <row r="3024" spans="2:30" s="323" customFormat="1" ht="12" customHeight="1">
      <c r="B3024" s="324"/>
      <c r="C3024" s="325"/>
      <c r="D3024" s="326"/>
      <c r="E3024" s="326"/>
      <c r="F3024" s="326"/>
      <c r="G3024" s="326"/>
      <c r="H3024" s="326"/>
      <c r="P3024" s="318"/>
      <c r="Q3024" s="318"/>
      <c r="R3024" s="318"/>
      <c r="S3024" s="318"/>
      <c r="T3024" s="318"/>
      <c r="U3024" s="318"/>
      <c r="V3024" s="318"/>
      <c r="W3024" s="318"/>
      <c r="X3024" s="318"/>
      <c r="Y3024" s="318"/>
      <c r="Z3024" s="318"/>
      <c r="AA3024" s="318"/>
      <c r="AB3024" s="318"/>
      <c r="AC3024" s="318"/>
      <c r="AD3024" s="318"/>
    </row>
    <row r="3025" spans="2:30" s="323" customFormat="1" ht="12" customHeight="1">
      <c r="B3025" s="324"/>
      <c r="C3025" s="325"/>
      <c r="D3025" s="326"/>
      <c r="E3025" s="326"/>
      <c r="F3025" s="326"/>
      <c r="G3025" s="326"/>
      <c r="H3025" s="326"/>
      <c r="P3025" s="318"/>
      <c r="Q3025" s="318"/>
      <c r="R3025" s="318"/>
      <c r="S3025" s="318"/>
      <c r="T3025" s="318"/>
      <c r="U3025" s="318"/>
      <c r="V3025" s="318"/>
      <c r="W3025" s="318"/>
      <c r="X3025" s="318"/>
      <c r="Y3025" s="318"/>
      <c r="Z3025" s="318"/>
      <c r="AA3025" s="318"/>
      <c r="AB3025" s="318"/>
      <c r="AC3025" s="318"/>
      <c r="AD3025" s="318"/>
    </row>
    <row r="3026" spans="2:30" s="323" customFormat="1" ht="12" customHeight="1">
      <c r="B3026" s="324"/>
      <c r="C3026" s="325"/>
      <c r="D3026" s="326"/>
      <c r="E3026" s="326"/>
      <c r="F3026" s="326"/>
      <c r="G3026" s="326"/>
      <c r="H3026" s="326"/>
      <c r="P3026" s="318"/>
      <c r="Q3026" s="318"/>
      <c r="R3026" s="318"/>
      <c r="S3026" s="318"/>
      <c r="T3026" s="318"/>
      <c r="U3026" s="318"/>
      <c r="V3026" s="318"/>
      <c r="W3026" s="318"/>
      <c r="X3026" s="318"/>
      <c r="Y3026" s="318"/>
      <c r="Z3026" s="318"/>
      <c r="AA3026" s="318"/>
      <c r="AB3026" s="318"/>
      <c r="AC3026" s="318"/>
      <c r="AD3026" s="318"/>
    </row>
    <row r="3027" spans="2:30" s="323" customFormat="1" ht="12" customHeight="1">
      <c r="B3027" s="324"/>
      <c r="C3027" s="325"/>
      <c r="D3027" s="326"/>
      <c r="E3027" s="326"/>
      <c r="F3027" s="326"/>
      <c r="G3027" s="326"/>
      <c r="H3027" s="326"/>
      <c r="P3027" s="318"/>
      <c r="Q3027" s="318"/>
      <c r="R3027" s="318"/>
      <c r="S3027" s="318"/>
      <c r="T3027" s="318"/>
      <c r="U3027" s="318"/>
      <c r="V3027" s="318"/>
      <c r="W3027" s="318"/>
      <c r="X3027" s="318"/>
      <c r="Y3027" s="318"/>
      <c r="Z3027" s="318"/>
      <c r="AA3027" s="318"/>
      <c r="AB3027" s="318"/>
      <c r="AC3027" s="318"/>
      <c r="AD3027" s="318"/>
    </row>
    <row r="3028" spans="2:30" s="323" customFormat="1" ht="12" customHeight="1">
      <c r="B3028" s="324"/>
      <c r="C3028" s="325"/>
      <c r="D3028" s="326"/>
      <c r="E3028" s="326"/>
      <c r="F3028" s="326"/>
      <c r="G3028" s="326"/>
      <c r="H3028" s="326"/>
      <c r="P3028" s="318"/>
      <c r="Q3028" s="318"/>
      <c r="R3028" s="318"/>
      <c r="S3028" s="318"/>
      <c r="T3028" s="318"/>
      <c r="U3028" s="318"/>
      <c r="V3028" s="318"/>
      <c r="W3028" s="318"/>
      <c r="X3028" s="318"/>
      <c r="Y3028" s="318"/>
      <c r="Z3028" s="318"/>
      <c r="AA3028" s="318"/>
      <c r="AB3028" s="318"/>
      <c r="AC3028" s="318"/>
      <c r="AD3028" s="318"/>
    </row>
    <row r="3029" spans="2:30" s="323" customFormat="1" ht="12" customHeight="1">
      <c r="B3029" s="324"/>
      <c r="C3029" s="325"/>
      <c r="D3029" s="326"/>
      <c r="E3029" s="326"/>
      <c r="F3029" s="326"/>
      <c r="G3029" s="326"/>
      <c r="H3029" s="326"/>
      <c r="P3029" s="318"/>
      <c r="Q3029" s="318"/>
      <c r="R3029" s="318"/>
      <c r="S3029" s="318"/>
      <c r="T3029" s="318"/>
      <c r="U3029" s="318"/>
      <c r="V3029" s="318"/>
      <c r="W3029" s="318"/>
      <c r="X3029" s="318"/>
      <c r="Y3029" s="318"/>
      <c r="Z3029" s="318"/>
      <c r="AA3029" s="318"/>
      <c r="AB3029" s="318"/>
      <c r="AC3029" s="318"/>
      <c r="AD3029" s="318"/>
    </row>
    <row r="3030" spans="2:30" s="323" customFormat="1" ht="12" customHeight="1">
      <c r="B3030" s="324"/>
      <c r="C3030" s="325"/>
      <c r="D3030" s="326"/>
      <c r="E3030" s="326"/>
      <c r="F3030" s="326"/>
      <c r="G3030" s="326"/>
      <c r="H3030" s="326"/>
      <c r="P3030" s="318"/>
      <c r="Q3030" s="318"/>
      <c r="R3030" s="318"/>
      <c r="S3030" s="318"/>
      <c r="T3030" s="318"/>
      <c r="U3030" s="318"/>
      <c r="V3030" s="318"/>
      <c r="W3030" s="318"/>
      <c r="X3030" s="318"/>
      <c r="Y3030" s="318"/>
      <c r="Z3030" s="318"/>
      <c r="AA3030" s="318"/>
      <c r="AB3030" s="318"/>
      <c r="AC3030" s="318"/>
      <c r="AD3030" s="318"/>
    </row>
    <row r="3031" spans="2:30" s="323" customFormat="1" ht="12" customHeight="1">
      <c r="B3031" s="324"/>
      <c r="C3031" s="325"/>
      <c r="D3031" s="326"/>
      <c r="E3031" s="326"/>
      <c r="F3031" s="326"/>
      <c r="G3031" s="326"/>
      <c r="H3031" s="326"/>
      <c r="P3031" s="318"/>
      <c r="Q3031" s="318"/>
      <c r="R3031" s="318"/>
      <c r="S3031" s="318"/>
      <c r="T3031" s="318"/>
      <c r="U3031" s="318"/>
      <c r="V3031" s="318"/>
      <c r="W3031" s="318"/>
      <c r="X3031" s="318"/>
      <c r="Y3031" s="318"/>
      <c r="Z3031" s="318"/>
      <c r="AA3031" s="318"/>
      <c r="AB3031" s="318"/>
      <c r="AC3031" s="318"/>
      <c r="AD3031" s="318"/>
    </row>
    <row r="3032" spans="2:30" s="323" customFormat="1" ht="12" customHeight="1">
      <c r="B3032" s="324"/>
      <c r="C3032" s="325"/>
      <c r="D3032" s="326"/>
      <c r="E3032" s="326"/>
      <c r="F3032" s="326"/>
      <c r="G3032" s="326"/>
      <c r="H3032" s="326"/>
      <c r="P3032" s="318"/>
      <c r="Q3032" s="318"/>
      <c r="R3032" s="318"/>
      <c r="S3032" s="318"/>
      <c r="T3032" s="318"/>
      <c r="U3032" s="318"/>
      <c r="V3032" s="318"/>
      <c r="W3032" s="318"/>
      <c r="X3032" s="318"/>
      <c r="Y3032" s="318"/>
      <c r="Z3032" s="318"/>
      <c r="AA3032" s="318"/>
      <c r="AB3032" s="318"/>
      <c r="AC3032" s="318"/>
      <c r="AD3032" s="318"/>
    </row>
    <row r="3033" spans="2:30" s="323" customFormat="1" ht="12" customHeight="1">
      <c r="B3033" s="324"/>
      <c r="C3033" s="325"/>
      <c r="D3033" s="326"/>
      <c r="E3033" s="326"/>
      <c r="F3033" s="326"/>
      <c r="G3033" s="326"/>
      <c r="H3033" s="326"/>
      <c r="P3033" s="318"/>
      <c r="Q3033" s="318"/>
      <c r="R3033" s="318"/>
      <c r="S3033" s="318"/>
      <c r="T3033" s="318"/>
      <c r="U3033" s="318"/>
      <c r="V3033" s="318"/>
      <c r="W3033" s="318"/>
      <c r="X3033" s="318"/>
      <c r="Y3033" s="318"/>
      <c r="Z3033" s="318"/>
      <c r="AA3033" s="318"/>
      <c r="AB3033" s="318"/>
      <c r="AC3033" s="318"/>
      <c r="AD3033" s="318"/>
    </row>
    <row r="3034" spans="2:30" s="323" customFormat="1" ht="12" customHeight="1">
      <c r="B3034" s="324"/>
      <c r="C3034" s="325"/>
      <c r="D3034" s="326"/>
      <c r="E3034" s="326"/>
      <c r="F3034" s="326"/>
      <c r="G3034" s="326"/>
      <c r="H3034" s="326"/>
      <c r="P3034" s="318"/>
      <c r="Q3034" s="318"/>
      <c r="R3034" s="318"/>
      <c r="S3034" s="318"/>
      <c r="T3034" s="318"/>
      <c r="U3034" s="318"/>
      <c r="V3034" s="318"/>
      <c r="W3034" s="318"/>
      <c r="X3034" s="318"/>
      <c r="Y3034" s="318"/>
      <c r="Z3034" s="318"/>
      <c r="AA3034" s="318"/>
      <c r="AB3034" s="318"/>
      <c r="AC3034" s="318"/>
      <c r="AD3034" s="318"/>
    </row>
    <row r="3035" spans="2:30" s="323" customFormat="1" ht="12" customHeight="1">
      <c r="B3035" s="324"/>
      <c r="C3035" s="325"/>
      <c r="D3035" s="326"/>
      <c r="E3035" s="326"/>
      <c r="F3035" s="326"/>
      <c r="G3035" s="326"/>
      <c r="H3035" s="326"/>
      <c r="P3035" s="318"/>
      <c r="Q3035" s="318"/>
      <c r="R3035" s="318"/>
      <c r="S3035" s="318"/>
      <c r="T3035" s="318"/>
      <c r="U3035" s="318"/>
      <c r="V3035" s="318"/>
      <c r="W3035" s="318"/>
      <c r="X3035" s="318"/>
      <c r="Y3035" s="318"/>
      <c r="Z3035" s="318"/>
      <c r="AA3035" s="318"/>
      <c r="AB3035" s="318"/>
      <c r="AC3035" s="318"/>
      <c r="AD3035" s="318"/>
    </row>
    <row r="3036" spans="2:30" s="323" customFormat="1" ht="12" customHeight="1">
      <c r="B3036" s="324"/>
      <c r="C3036" s="325"/>
      <c r="D3036" s="326"/>
      <c r="E3036" s="326"/>
      <c r="F3036" s="326"/>
      <c r="G3036" s="326"/>
      <c r="H3036" s="326"/>
      <c r="P3036" s="318"/>
      <c r="Q3036" s="318"/>
      <c r="R3036" s="318"/>
      <c r="S3036" s="318"/>
      <c r="T3036" s="318"/>
      <c r="U3036" s="318"/>
      <c r="V3036" s="318"/>
      <c r="W3036" s="318"/>
      <c r="X3036" s="318"/>
      <c r="Y3036" s="318"/>
      <c r="Z3036" s="318"/>
      <c r="AA3036" s="318"/>
      <c r="AB3036" s="318"/>
      <c r="AC3036" s="318"/>
      <c r="AD3036" s="318"/>
    </row>
    <row r="3037" spans="2:30" s="323" customFormat="1" ht="12" customHeight="1">
      <c r="B3037" s="324"/>
      <c r="C3037" s="325"/>
      <c r="D3037" s="326"/>
      <c r="E3037" s="326"/>
      <c r="F3037" s="326"/>
      <c r="G3037" s="326"/>
      <c r="H3037" s="326"/>
      <c r="P3037" s="318"/>
      <c r="Q3037" s="318"/>
      <c r="R3037" s="318"/>
      <c r="S3037" s="318"/>
      <c r="T3037" s="318"/>
      <c r="U3037" s="318"/>
      <c r="V3037" s="318"/>
      <c r="W3037" s="318"/>
      <c r="X3037" s="318"/>
      <c r="Y3037" s="318"/>
      <c r="Z3037" s="318"/>
      <c r="AA3037" s="318"/>
      <c r="AB3037" s="318"/>
      <c r="AC3037" s="318"/>
      <c r="AD3037" s="318"/>
    </row>
    <row r="3038" spans="2:30" s="323" customFormat="1" ht="12" customHeight="1">
      <c r="B3038" s="324"/>
      <c r="C3038" s="325"/>
      <c r="D3038" s="326"/>
      <c r="E3038" s="326"/>
      <c r="F3038" s="326"/>
      <c r="G3038" s="326"/>
      <c r="H3038" s="326"/>
      <c r="P3038" s="318"/>
      <c r="Q3038" s="318"/>
      <c r="R3038" s="318"/>
      <c r="S3038" s="318"/>
      <c r="T3038" s="318"/>
      <c r="U3038" s="318"/>
      <c r="V3038" s="318"/>
      <c r="W3038" s="318"/>
      <c r="X3038" s="318"/>
      <c r="Y3038" s="318"/>
      <c r="Z3038" s="318"/>
      <c r="AA3038" s="318"/>
      <c r="AB3038" s="318"/>
      <c r="AC3038" s="318"/>
      <c r="AD3038" s="318"/>
    </row>
    <row r="3039" spans="2:30" s="323" customFormat="1" ht="12" customHeight="1">
      <c r="B3039" s="324"/>
      <c r="C3039" s="325"/>
      <c r="D3039" s="326"/>
      <c r="E3039" s="326"/>
      <c r="F3039" s="326"/>
      <c r="G3039" s="326"/>
      <c r="H3039" s="326"/>
      <c r="P3039" s="318"/>
      <c r="Q3039" s="318"/>
      <c r="R3039" s="318"/>
      <c r="S3039" s="318"/>
      <c r="T3039" s="318"/>
      <c r="U3039" s="318"/>
      <c r="V3039" s="318"/>
      <c r="W3039" s="318"/>
      <c r="X3039" s="318"/>
      <c r="Y3039" s="318"/>
      <c r="Z3039" s="318"/>
      <c r="AA3039" s="318"/>
      <c r="AB3039" s="318"/>
      <c r="AC3039" s="318"/>
      <c r="AD3039" s="318"/>
    </row>
    <row r="3040" spans="2:30" s="323" customFormat="1" ht="12" customHeight="1">
      <c r="B3040" s="324"/>
      <c r="C3040" s="325"/>
      <c r="D3040" s="326"/>
      <c r="E3040" s="326"/>
      <c r="F3040" s="326"/>
      <c r="G3040" s="326"/>
      <c r="H3040" s="326"/>
      <c r="P3040" s="318"/>
      <c r="Q3040" s="318"/>
      <c r="R3040" s="318"/>
      <c r="S3040" s="318"/>
      <c r="T3040" s="318"/>
      <c r="U3040" s="318"/>
      <c r="V3040" s="318"/>
      <c r="W3040" s="318"/>
      <c r="X3040" s="318"/>
      <c r="Y3040" s="318"/>
      <c r="Z3040" s="318"/>
      <c r="AA3040" s="318"/>
      <c r="AB3040" s="318"/>
      <c r="AC3040" s="318"/>
      <c r="AD3040" s="318"/>
    </row>
    <row r="3041" spans="2:30" s="323" customFormat="1" ht="12" customHeight="1">
      <c r="B3041" s="324"/>
      <c r="C3041" s="325"/>
      <c r="D3041" s="326"/>
      <c r="E3041" s="326"/>
      <c r="F3041" s="326"/>
      <c r="G3041" s="326"/>
      <c r="H3041" s="326"/>
      <c r="P3041" s="318"/>
      <c r="Q3041" s="318"/>
      <c r="R3041" s="318"/>
      <c r="S3041" s="318"/>
      <c r="T3041" s="318"/>
      <c r="U3041" s="318"/>
      <c r="V3041" s="318"/>
      <c r="W3041" s="318"/>
      <c r="X3041" s="318"/>
      <c r="Y3041" s="318"/>
      <c r="Z3041" s="318"/>
      <c r="AA3041" s="318"/>
      <c r="AB3041" s="318"/>
      <c r="AC3041" s="318"/>
      <c r="AD3041" s="318"/>
    </row>
    <row r="3042" spans="2:30" s="323" customFormat="1" ht="12" customHeight="1">
      <c r="B3042" s="324"/>
      <c r="C3042" s="325"/>
      <c r="D3042" s="326"/>
      <c r="E3042" s="326"/>
      <c r="F3042" s="326"/>
      <c r="G3042" s="326"/>
      <c r="H3042" s="326"/>
      <c r="P3042" s="318"/>
      <c r="Q3042" s="318"/>
      <c r="R3042" s="318"/>
      <c r="S3042" s="318"/>
      <c r="T3042" s="318"/>
      <c r="U3042" s="318"/>
      <c r="V3042" s="318"/>
      <c r="W3042" s="318"/>
      <c r="X3042" s="318"/>
      <c r="Y3042" s="318"/>
      <c r="Z3042" s="318"/>
      <c r="AA3042" s="318"/>
      <c r="AB3042" s="318"/>
      <c r="AC3042" s="318"/>
      <c r="AD3042" s="318"/>
    </row>
    <row r="3043" spans="2:30" s="323" customFormat="1" ht="12" customHeight="1">
      <c r="B3043" s="324"/>
      <c r="C3043" s="325"/>
      <c r="D3043" s="326"/>
      <c r="E3043" s="326"/>
      <c r="F3043" s="326"/>
      <c r="G3043" s="326"/>
      <c r="H3043" s="326"/>
      <c r="P3043" s="318"/>
      <c r="Q3043" s="318"/>
      <c r="R3043" s="318"/>
      <c r="S3043" s="318"/>
      <c r="T3043" s="318"/>
      <c r="U3043" s="318"/>
      <c r="V3043" s="318"/>
      <c r="W3043" s="318"/>
      <c r="X3043" s="318"/>
      <c r="Y3043" s="318"/>
      <c r="Z3043" s="318"/>
      <c r="AA3043" s="318"/>
      <c r="AB3043" s="318"/>
      <c r="AC3043" s="318"/>
      <c r="AD3043" s="318"/>
    </row>
    <row r="3044" spans="2:30" s="323" customFormat="1" ht="12" customHeight="1">
      <c r="B3044" s="324"/>
      <c r="C3044" s="325"/>
      <c r="D3044" s="326"/>
      <c r="E3044" s="326"/>
      <c r="F3044" s="326"/>
      <c r="G3044" s="326"/>
      <c r="H3044" s="326"/>
      <c r="P3044" s="318"/>
      <c r="Q3044" s="318"/>
      <c r="R3044" s="318"/>
      <c r="S3044" s="318"/>
      <c r="T3044" s="318"/>
      <c r="U3044" s="318"/>
      <c r="V3044" s="318"/>
      <c r="W3044" s="318"/>
      <c r="X3044" s="318"/>
      <c r="Y3044" s="318"/>
      <c r="Z3044" s="318"/>
      <c r="AA3044" s="318"/>
      <c r="AB3044" s="318"/>
      <c r="AC3044" s="318"/>
      <c r="AD3044" s="318"/>
    </row>
    <row r="3045" spans="2:30" s="323" customFormat="1" ht="12" customHeight="1">
      <c r="B3045" s="324"/>
      <c r="C3045" s="325"/>
      <c r="D3045" s="326"/>
      <c r="E3045" s="326"/>
      <c r="F3045" s="326"/>
      <c r="G3045" s="326"/>
      <c r="H3045" s="326"/>
      <c r="P3045" s="318"/>
      <c r="Q3045" s="318"/>
      <c r="R3045" s="318"/>
      <c r="S3045" s="318"/>
      <c r="T3045" s="318"/>
      <c r="U3045" s="318"/>
      <c r="V3045" s="318"/>
      <c r="W3045" s="318"/>
      <c r="X3045" s="318"/>
      <c r="Y3045" s="318"/>
      <c r="Z3045" s="318"/>
      <c r="AA3045" s="318"/>
      <c r="AB3045" s="318"/>
      <c r="AC3045" s="318"/>
      <c r="AD3045" s="318"/>
    </row>
    <row r="3046" spans="2:30" s="323" customFormat="1" ht="12" customHeight="1">
      <c r="B3046" s="324"/>
      <c r="C3046" s="325"/>
      <c r="D3046" s="326"/>
      <c r="E3046" s="326"/>
      <c r="F3046" s="326"/>
      <c r="G3046" s="326"/>
      <c r="H3046" s="326"/>
      <c r="P3046" s="318"/>
      <c r="Q3046" s="318"/>
      <c r="R3046" s="318"/>
      <c r="S3046" s="318"/>
      <c r="T3046" s="318"/>
      <c r="U3046" s="318"/>
      <c r="V3046" s="318"/>
      <c r="W3046" s="318"/>
      <c r="X3046" s="318"/>
      <c r="Y3046" s="318"/>
      <c r="Z3046" s="318"/>
      <c r="AA3046" s="318"/>
      <c r="AB3046" s="318"/>
      <c r="AC3046" s="318"/>
      <c r="AD3046" s="318"/>
    </row>
    <row r="3047" spans="2:30" s="323" customFormat="1" ht="12" customHeight="1">
      <c r="B3047" s="324"/>
      <c r="C3047" s="325"/>
      <c r="D3047" s="326"/>
      <c r="E3047" s="326"/>
      <c r="F3047" s="326"/>
      <c r="G3047" s="326"/>
      <c r="H3047" s="326"/>
      <c r="P3047" s="318"/>
      <c r="Q3047" s="318"/>
      <c r="R3047" s="318"/>
      <c r="S3047" s="318"/>
      <c r="T3047" s="318"/>
      <c r="U3047" s="318"/>
      <c r="V3047" s="318"/>
      <c r="W3047" s="318"/>
      <c r="X3047" s="318"/>
      <c r="Y3047" s="318"/>
      <c r="Z3047" s="318"/>
      <c r="AA3047" s="318"/>
      <c r="AB3047" s="318"/>
      <c r="AC3047" s="318"/>
      <c r="AD3047" s="318"/>
    </row>
    <row r="3048" spans="2:30" s="323" customFormat="1" ht="12" customHeight="1">
      <c r="B3048" s="324"/>
      <c r="C3048" s="325"/>
      <c r="D3048" s="326"/>
      <c r="E3048" s="326"/>
      <c r="F3048" s="326"/>
      <c r="G3048" s="326"/>
      <c r="H3048" s="326"/>
      <c r="P3048" s="318"/>
      <c r="Q3048" s="318"/>
      <c r="R3048" s="318"/>
      <c r="S3048" s="318"/>
      <c r="T3048" s="318"/>
      <c r="U3048" s="318"/>
      <c r="V3048" s="318"/>
      <c r="W3048" s="318"/>
      <c r="X3048" s="318"/>
      <c r="Y3048" s="318"/>
      <c r="Z3048" s="318"/>
      <c r="AA3048" s="318"/>
      <c r="AB3048" s="318"/>
      <c r="AC3048" s="318"/>
      <c r="AD3048" s="318"/>
    </row>
    <row r="3049" spans="2:30" s="323" customFormat="1" ht="12" customHeight="1">
      <c r="B3049" s="324"/>
      <c r="C3049" s="325"/>
      <c r="D3049" s="326"/>
      <c r="E3049" s="326"/>
      <c r="F3049" s="326"/>
      <c r="G3049" s="326"/>
      <c r="H3049" s="326"/>
      <c r="P3049" s="318"/>
      <c r="Q3049" s="318"/>
      <c r="R3049" s="318"/>
      <c r="S3049" s="318"/>
      <c r="T3049" s="318"/>
      <c r="U3049" s="318"/>
      <c r="V3049" s="318"/>
      <c r="W3049" s="318"/>
      <c r="X3049" s="318"/>
      <c r="Y3049" s="318"/>
      <c r="Z3049" s="318"/>
      <c r="AA3049" s="318"/>
      <c r="AB3049" s="318"/>
      <c r="AC3049" s="318"/>
      <c r="AD3049" s="318"/>
    </row>
    <row r="3050" spans="2:30" s="323" customFormat="1" ht="12" customHeight="1">
      <c r="B3050" s="324"/>
      <c r="C3050" s="325"/>
      <c r="D3050" s="326"/>
      <c r="E3050" s="326"/>
      <c r="F3050" s="326"/>
      <c r="G3050" s="326"/>
      <c r="H3050" s="326"/>
      <c r="P3050" s="318"/>
      <c r="Q3050" s="318"/>
      <c r="R3050" s="318"/>
      <c r="S3050" s="318"/>
      <c r="T3050" s="318"/>
      <c r="U3050" s="318"/>
      <c r="V3050" s="318"/>
      <c r="W3050" s="318"/>
      <c r="X3050" s="318"/>
      <c r="Y3050" s="318"/>
      <c r="Z3050" s="318"/>
      <c r="AA3050" s="318"/>
      <c r="AB3050" s="318"/>
      <c r="AC3050" s="318"/>
      <c r="AD3050" s="318"/>
    </row>
    <row r="3051" spans="2:30" s="323" customFormat="1" ht="12" customHeight="1">
      <c r="B3051" s="324"/>
      <c r="C3051" s="325"/>
      <c r="D3051" s="326"/>
      <c r="E3051" s="326"/>
      <c r="F3051" s="326"/>
      <c r="G3051" s="326"/>
      <c r="H3051" s="326"/>
      <c r="P3051" s="318"/>
      <c r="Q3051" s="318"/>
      <c r="R3051" s="318"/>
      <c r="S3051" s="318"/>
      <c r="T3051" s="318"/>
      <c r="U3051" s="318"/>
      <c r="V3051" s="318"/>
      <c r="W3051" s="318"/>
      <c r="X3051" s="318"/>
      <c r="Y3051" s="318"/>
      <c r="Z3051" s="318"/>
      <c r="AA3051" s="318"/>
      <c r="AB3051" s="318"/>
      <c r="AC3051" s="318"/>
      <c r="AD3051" s="318"/>
    </row>
    <row r="3052" spans="2:30" s="323" customFormat="1" ht="12" customHeight="1">
      <c r="B3052" s="324"/>
      <c r="C3052" s="325"/>
      <c r="D3052" s="326"/>
      <c r="E3052" s="326"/>
      <c r="F3052" s="326"/>
      <c r="G3052" s="326"/>
      <c r="H3052" s="326"/>
      <c r="P3052" s="318"/>
      <c r="Q3052" s="318"/>
      <c r="R3052" s="318"/>
      <c r="S3052" s="318"/>
      <c r="T3052" s="318"/>
      <c r="U3052" s="318"/>
      <c r="V3052" s="318"/>
      <c r="W3052" s="318"/>
      <c r="X3052" s="318"/>
      <c r="Y3052" s="318"/>
      <c r="Z3052" s="318"/>
      <c r="AA3052" s="318"/>
      <c r="AB3052" s="318"/>
      <c r="AC3052" s="318"/>
      <c r="AD3052" s="318"/>
    </row>
    <row r="3053" spans="2:30" s="323" customFormat="1" ht="12" customHeight="1">
      <c r="B3053" s="324"/>
      <c r="C3053" s="325"/>
      <c r="D3053" s="326"/>
      <c r="E3053" s="326"/>
      <c r="F3053" s="326"/>
      <c r="G3053" s="326"/>
      <c r="H3053" s="326"/>
      <c r="P3053" s="318"/>
      <c r="Q3053" s="318"/>
      <c r="R3053" s="318"/>
      <c r="S3053" s="318"/>
      <c r="T3053" s="318"/>
      <c r="U3053" s="318"/>
      <c r="V3053" s="318"/>
      <c r="W3053" s="318"/>
      <c r="X3053" s="318"/>
      <c r="Y3053" s="318"/>
      <c r="Z3053" s="318"/>
      <c r="AA3053" s="318"/>
      <c r="AB3053" s="318"/>
      <c r="AC3053" s="318"/>
      <c r="AD3053" s="318"/>
    </row>
    <row r="3054" spans="2:30" s="323" customFormat="1" ht="12" customHeight="1">
      <c r="B3054" s="324"/>
      <c r="C3054" s="325"/>
      <c r="D3054" s="326"/>
      <c r="E3054" s="326"/>
      <c r="F3054" s="326"/>
      <c r="G3054" s="326"/>
      <c r="H3054" s="326"/>
      <c r="P3054" s="318"/>
      <c r="Q3054" s="318"/>
      <c r="R3054" s="318"/>
      <c r="S3054" s="318"/>
      <c r="T3054" s="318"/>
      <c r="U3054" s="318"/>
      <c r="V3054" s="318"/>
      <c r="W3054" s="318"/>
      <c r="X3054" s="318"/>
      <c r="Y3054" s="318"/>
      <c r="Z3054" s="318"/>
      <c r="AA3054" s="318"/>
      <c r="AB3054" s="318"/>
      <c r="AC3054" s="318"/>
      <c r="AD3054" s="318"/>
    </row>
    <row r="3055" spans="2:30" s="323" customFormat="1" ht="12" customHeight="1">
      <c r="B3055" s="324"/>
      <c r="C3055" s="325"/>
      <c r="D3055" s="326"/>
      <c r="E3055" s="326"/>
      <c r="F3055" s="326"/>
      <c r="G3055" s="326"/>
      <c r="H3055" s="326"/>
      <c r="P3055" s="318"/>
      <c r="Q3055" s="318"/>
      <c r="R3055" s="318"/>
      <c r="S3055" s="318"/>
      <c r="T3055" s="318"/>
      <c r="U3055" s="318"/>
      <c r="V3055" s="318"/>
      <c r="W3055" s="318"/>
      <c r="X3055" s="318"/>
      <c r="Y3055" s="318"/>
      <c r="Z3055" s="318"/>
      <c r="AA3055" s="318"/>
      <c r="AB3055" s="318"/>
      <c r="AC3055" s="318"/>
      <c r="AD3055" s="318"/>
    </row>
    <row r="3056" spans="2:30" s="323" customFormat="1" ht="12" customHeight="1">
      <c r="B3056" s="324"/>
      <c r="C3056" s="325"/>
      <c r="D3056" s="326"/>
      <c r="E3056" s="326"/>
      <c r="F3056" s="326"/>
      <c r="G3056" s="326"/>
      <c r="H3056" s="326"/>
      <c r="P3056" s="318"/>
      <c r="Q3056" s="318"/>
      <c r="R3056" s="318"/>
      <c r="S3056" s="318"/>
      <c r="T3056" s="318"/>
      <c r="U3056" s="318"/>
      <c r="V3056" s="318"/>
      <c r="W3056" s="318"/>
      <c r="X3056" s="318"/>
      <c r="Y3056" s="318"/>
      <c r="Z3056" s="318"/>
      <c r="AA3056" s="318"/>
      <c r="AB3056" s="318"/>
      <c r="AC3056" s="318"/>
      <c r="AD3056" s="318"/>
    </row>
    <row r="3057" spans="2:30" s="323" customFormat="1" ht="12" customHeight="1">
      <c r="B3057" s="324"/>
      <c r="C3057" s="325"/>
      <c r="D3057" s="326"/>
      <c r="E3057" s="326"/>
      <c r="F3057" s="326"/>
      <c r="G3057" s="326"/>
      <c r="H3057" s="326"/>
      <c r="P3057" s="318"/>
      <c r="Q3057" s="318"/>
      <c r="R3057" s="318"/>
      <c r="S3057" s="318"/>
      <c r="T3057" s="318"/>
      <c r="U3057" s="318"/>
      <c r="V3057" s="318"/>
      <c r="W3057" s="318"/>
      <c r="X3057" s="318"/>
      <c r="Y3057" s="318"/>
      <c r="Z3057" s="318"/>
      <c r="AA3057" s="318"/>
      <c r="AB3057" s="318"/>
      <c r="AC3057" s="318"/>
      <c r="AD3057" s="318"/>
    </row>
    <row r="3058" spans="2:30" s="323" customFormat="1" ht="12" customHeight="1">
      <c r="B3058" s="324"/>
      <c r="C3058" s="325"/>
      <c r="D3058" s="326"/>
      <c r="E3058" s="326"/>
      <c r="F3058" s="326"/>
      <c r="G3058" s="326"/>
      <c r="H3058" s="326"/>
      <c r="P3058" s="318"/>
      <c r="Q3058" s="318"/>
      <c r="R3058" s="318"/>
      <c r="S3058" s="318"/>
      <c r="T3058" s="318"/>
      <c r="U3058" s="318"/>
      <c r="V3058" s="318"/>
      <c r="W3058" s="318"/>
      <c r="X3058" s="318"/>
      <c r="Y3058" s="318"/>
      <c r="Z3058" s="318"/>
      <c r="AA3058" s="318"/>
      <c r="AB3058" s="318"/>
      <c r="AC3058" s="318"/>
      <c r="AD3058" s="318"/>
    </row>
    <row r="3059" spans="2:30" s="323" customFormat="1" ht="12" customHeight="1">
      <c r="B3059" s="324"/>
      <c r="C3059" s="325"/>
      <c r="D3059" s="326"/>
      <c r="E3059" s="326"/>
      <c r="F3059" s="326"/>
      <c r="G3059" s="326"/>
      <c r="H3059" s="326"/>
      <c r="P3059" s="318"/>
      <c r="Q3059" s="318"/>
      <c r="R3059" s="318"/>
      <c r="S3059" s="318"/>
      <c r="T3059" s="318"/>
      <c r="U3059" s="318"/>
      <c r="V3059" s="318"/>
      <c r="W3059" s="318"/>
      <c r="X3059" s="318"/>
      <c r="Y3059" s="318"/>
      <c r="Z3059" s="318"/>
      <c r="AA3059" s="318"/>
      <c r="AB3059" s="318"/>
      <c r="AC3059" s="318"/>
      <c r="AD3059" s="318"/>
    </row>
    <row r="3060" spans="2:30" s="323" customFormat="1" ht="12" customHeight="1">
      <c r="B3060" s="324"/>
      <c r="C3060" s="325"/>
      <c r="D3060" s="326"/>
      <c r="E3060" s="326"/>
      <c r="F3060" s="326"/>
      <c r="G3060" s="326"/>
      <c r="H3060" s="326"/>
      <c r="P3060" s="318"/>
      <c r="Q3060" s="318"/>
      <c r="R3060" s="318"/>
      <c r="S3060" s="318"/>
      <c r="T3060" s="318"/>
      <c r="U3060" s="318"/>
      <c r="V3060" s="318"/>
      <c r="W3060" s="318"/>
      <c r="X3060" s="318"/>
      <c r="Y3060" s="318"/>
      <c r="Z3060" s="318"/>
      <c r="AA3060" s="318"/>
      <c r="AB3060" s="318"/>
      <c r="AC3060" s="318"/>
      <c r="AD3060" s="318"/>
    </row>
    <row r="3061" spans="2:30" s="323" customFormat="1" ht="12" customHeight="1">
      <c r="B3061" s="324"/>
      <c r="C3061" s="325"/>
      <c r="D3061" s="326"/>
      <c r="E3061" s="326"/>
      <c r="F3061" s="326"/>
      <c r="G3061" s="326"/>
      <c r="H3061" s="326"/>
      <c r="P3061" s="318"/>
      <c r="Q3061" s="318"/>
      <c r="R3061" s="318"/>
      <c r="S3061" s="318"/>
      <c r="T3061" s="318"/>
      <c r="U3061" s="318"/>
      <c r="V3061" s="318"/>
      <c r="W3061" s="318"/>
      <c r="X3061" s="318"/>
      <c r="Y3061" s="318"/>
      <c r="Z3061" s="318"/>
      <c r="AA3061" s="318"/>
      <c r="AB3061" s="318"/>
      <c r="AC3061" s="318"/>
      <c r="AD3061" s="318"/>
    </row>
    <row r="3062" spans="2:30" s="323" customFormat="1" ht="12" customHeight="1">
      <c r="B3062" s="324"/>
      <c r="C3062" s="325"/>
      <c r="D3062" s="326"/>
      <c r="E3062" s="326"/>
      <c r="F3062" s="326"/>
      <c r="G3062" s="326"/>
      <c r="H3062" s="326"/>
      <c r="P3062" s="318"/>
      <c r="Q3062" s="318"/>
      <c r="R3062" s="318"/>
      <c r="S3062" s="318"/>
      <c r="T3062" s="318"/>
      <c r="U3062" s="318"/>
      <c r="V3062" s="318"/>
      <c r="W3062" s="318"/>
      <c r="X3062" s="318"/>
      <c r="Y3062" s="318"/>
      <c r="Z3062" s="318"/>
      <c r="AA3062" s="318"/>
      <c r="AB3062" s="318"/>
      <c r="AC3062" s="318"/>
      <c r="AD3062" s="318"/>
    </row>
    <row r="3063" spans="2:30" s="323" customFormat="1" ht="12" customHeight="1">
      <c r="B3063" s="324"/>
      <c r="C3063" s="325"/>
      <c r="D3063" s="326"/>
      <c r="E3063" s="326"/>
      <c r="F3063" s="326"/>
      <c r="G3063" s="326"/>
      <c r="H3063" s="326"/>
      <c r="P3063" s="318"/>
      <c r="Q3063" s="318"/>
      <c r="R3063" s="318"/>
      <c r="S3063" s="318"/>
      <c r="T3063" s="318"/>
      <c r="U3063" s="318"/>
      <c r="V3063" s="318"/>
      <c r="W3063" s="318"/>
      <c r="X3063" s="318"/>
      <c r="Y3063" s="318"/>
      <c r="Z3063" s="318"/>
      <c r="AA3063" s="318"/>
      <c r="AB3063" s="318"/>
      <c r="AC3063" s="318"/>
      <c r="AD3063" s="318"/>
    </row>
    <row r="3064" spans="2:30" s="323" customFormat="1" ht="12" customHeight="1">
      <c r="B3064" s="324"/>
      <c r="C3064" s="325"/>
      <c r="D3064" s="326"/>
      <c r="E3064" s="326"/>
      <c r="F3064" s="326"/>
      <c r="G3064" s="326"/>
      <c r="H3064" s="326"/>
      <c r="P3064" s="318"/>
      <c r="Q3064" s="318"/>
      <c r="R3064" s="318"/>
      <c r="S3064" s="318"/>
      <c r="T3064" s="318"/>
      <c r="U3064" s="318"/>
      <c r="V3064" s="318"/>
      <c r="W3064" s="318"/>
      <c r="X3064" s="318"/>
      <c r="Y3064" s="318"/>
      <c r="Z3064" s="318"/>
      <c r="AA3064" s="318"/>
      <c r="AB3064" s="318"/>
      <c r="AC3064" s="318"/>
      <c r="AD3064" s="318"/>
    </row>
    <row r="3065" spans="2:30" s="323" customFormat="1" ht="12" customHeight="1">
      <c r="B3065" s="324"/>
      <c r="C3065" s="325"/>
      <c r="D3065" s="326"/>
      <c r="E3065" s="326"/>
      <c r="F3065" s="326"/>
      <c r="G3065" s="326"/>
      <c r="H3065" s="326"/>
      <c r="P3065" s="318"/>
      <c r="Q3065" s="318"/>
      <c r="R3065" s="318"/>
      <c r="S3065" s="318"/>
      <c r="T3065" s="318"/>
      <c r="U3065" s="318"/>
      <c r="V3065" s="318"/>
      <c r="W3065" s="318"/>
      <c r="X3065" s="318"/>
      <c r="Y3065" s="318"/>
      <c r="Z3065" s="318"/>
      <c r="AA3065" s="318"/>
      <c r="AB3065" s="318"/>
      <c r="AC3065" s="318"/>
      <c r="AD3065" s="318"/>
    </row>
    <row r="3066" spans="2:30" s="323" customFormat="1" ht="12" customHeight="1">
      <c r="B3066" s="324"/>
      <c r="C3066" s="325"/>
      <c r="D3066" s="326"/>
      <c r="E3066" s="326"/>
      <c r="F3066" s="326"/>
      <c r="G3066" s="326"/>
      <c r="H3066" s="326"/>
      <c r="P3066" s="318"/>
      <c r="Q3066" s="318"/>
      <c r="R3066" s="318"/>
      <c r="S3066" s="318"/>
      <c r="T3066" s="318"/>
      <c r="U3066" s="318"/>
      <c r="V3066" s="318"/>
      <c r="W3066" s="318"/>
      <c r="X3066" s="318"/>
      <c r="Y3066" s="318"/>
      <c r="Z3066" s="318"/>
      <c r="AA3066" s="318"/>
      <c r="AB3066" s="318"/>
      <c r="AC3066" s="318"/>
      <c r="AD3066" s="318"/>
    </row>
    <row r="3067" spans="2:30" s="323" customFormat="1" ht="12" customHeight="1">
      <c r="B3067" s="324"/>
      <c r="C3067" s="325"/>
      <c r="D3067" s="326"/>
      <c r="E3067" s="326"/>
      <c r="F3067" s="326"/>
      <c r="G3067" s="326"/>
      <c r="H3067" s="326"/>
      <c r="P3067" s="318"/>
      <c r="Q3067" s="318"/>
      <c r="R3067" s="318"/>
      <c r="S3067" s="318"/>
      <c r="T3067" s="318"/>
      <c r="U3067" s="318"/>
      <c r="V3067" s="318"/>
      <c r="W3067" s="318"/>
      <c r="X3067" s="318"/>
      <c r="Y3067" s="318"/>
      <c r="Z3067" s="318"/>
      <c r="AA3067" s="318"/>
      <c r="AB3067" s="318"/>
      <c r="AC3067" s="318"/>
      <c r="AD3067" s="318"/>
    </row>
    <row r="3068" spans="2:30" s="323" customFormat="1" ht="12" customHeight="1">
      <c r="B3068" s="324"/>
      <c r="C3068" s="325"/>
      <c r="D3068" s="326"/>
      <c r="E3068" s="326"/>
      <c r="F3068" s="326"/>
      <c r="G3068" s="326"/>
      <c r="H3068" s="326"/>
      <c r="P3068" s="318"/>
      <c r="Q3068" s="318"/>
      <c r="R3068" s="318"/>
      <c r="S3068" s="318"/>
      <c r="T3068" s="318"/>
      <c r="U3068" s="318"/>
      <c r="V3068" s="318"/>
      <c r="W3068" s="318"/>
      <c r="X3068" s="318"/>
      <c r="Y3068" s="318"/>
      <c r="Z3068" s="318"/>
      <c r="AA3068" s="318"/>
      <c r="AB3068" s="318"/>
      <c r="AC3068" s="318"/>
      <c r="AD3068" s="318"/>
    </row>
    <row r="3069" spans="2:30" s="323" customFormat="1" ht="12" customHeight="1">
      <c r="B3069" s="324"/>
      <c r="C3069" s="325"/>
      <c r="D3069" s="326"/>
      <c r="E3069" s="326"/>
      <c r="F3069" s="326"/>
      <c r="G3069" s="326"/>
      <c r="H3069" s="326"/>
      <c r="P3069" s="318"/>
      <c r="Q3069" s="318"/>
      <c r="R3069" s="318"/>
      <c r="S3069" s="318"/>
      <c r="T3069" s="318"/>
      <c r="U3069" s="318"/>
      <c r="V3069" s="318"/>
      <c r="W3069" s="318"/>
      <c r="X3069" s="318"/>
      <c r="Y3069" s="318"/>
      <c r="Z3069" s="318"/>
      <c r="AA3069" s="318"/>
      <c r="AB3069" s="318"/>
      <c r="AC3069" s="318"/>
      <c r="AD3069" s="318"/>
    </row>
    <row r="3070" spans="2:30" s="323" customFormat="1" ht="12" customHeight="1">
      <c r="B3070" s="324"/>
      <c r="C3070" s="325"/>
      <c r="D3070" s="326"/>
      <c r="E3070" s="326"/>
      <c r="F3070" s="326"/>
      <c r="G3070" s="326"/>
      <c r="H3070" s="326"/>
      <c r="P3070" s="318"/>
      <c r="Q3070" s="318"/>
      <c r="R3070" s="318"/>
      <c r="S3070" s="318"/>
      <c r="T3070" s="318"/>
      <c r="U3070" s="318"/>
      <c r="V3070" s="318"/>
      <c r="W3070" s="318"/>
      <c r="X3070" s="318"/>
      <c r="Y3070" s="318"/>
      <c r="Z3070" s="318"/>
      <c r="AA3070" s="318"/>
      <c r="AB3070" s="318"/>
      <c r="AC3070" s="318"/>
      <c r="AD3070" s="318"/>
    </row>
    <row r="3071" spans="2:30" s="323" customFormat="1" ht="12" customHeight="1">
      <c r="B3071" s="324"/>
      <c r="C3071" s="325"/>
      <c r="D3071" s="326"/>
      <c r="E3071" s="326"/>
      <c r="F3071" s="326"/>
      <c r="G3071" s="326"/>
      <c r="H3071" s="326"/>
      <c r="P3071" s="318"/>
      <c r="Q3071" s="318"/>
      <c r="R3071" s="318"/>
      <c r="S3071" s="318"/>
      <c r="T3071" s="318"/>
      <c r="U3071" s="318"/>
      <c r="V3071" s="318"/>
      <c r="W3071" s="318"/>
      <c r="X3071" s="318"/>
      <c r="Y3071" s="318"/>
      <c r="Z3071" s="318"/>
      <c r="AA3071" s="318"/>
      <c r="AB3071" s="318"/>
      <c r="AC3071" s="318"/>
      <c r="AD3071" s="318"/>
    </row>
    <row r="3072" spans="2:30" s="323" customFormat="1" ht="12" customHeight="1">
      <c r="B3072" s="324"/>
      <c r="C3072" s="325"/>
      <c r="D3072" s="326"/>
      <c r="E3072" s="326"/>
      <c r="F3072" s="326"/>
      <c r="G3072" s="326"/>
      <c r="H3072" s="326"/>
      <c r="P3072" s="318"/>
      <c r="Q3072" s="318"/>
      <c r="R3072" s="318"/>
      <c r="S3072" s="318"/>
      <c r="T3072" s="318"/>
      <c r="U3072" s="318"/>
      <c r="V3072" s="318"/>
      <c r="W3072" s="318"/>
      <c r="X3072" s="318"/>
      <c r="Y3072" s="318"/>
      <c r="Z3072" s="318"/>
      <c r="AA3072" s="318"/>
      <c r="AB3072" s="318"/>
      <c r="AC3072" s="318"/>
      <c r="AD3072" s="318"/>
    </row>
    <row r="3073" spans="2:30" s="323" customFormat="1" ht="12" customHeight="1">
      <c r="B3073" s="324"/>
      <c r="C3073" s="325"/>
      <c r="D3073" s="326"/>
      <c r="E3073" s="326"/>
      <c r="F3073" s="326"/>
      <c r="G3073" s="326"/>
      <c r="H3073" s="326"/>
      <c r="P3073" s="318"/>
      <c r="Q3073" s="318"/>
      <c r="R3073" s="318"/>
      <c r="S3073" s="318"/>
      <c r="T3073" s="318"/>
      <c r="U3073" s="318"/>
      <c r="V3073" s="318"/>
      <c r="W3073" s="318"/>
      <c r="X3073" s="318"/>
      <c r="Y3073" s="318"/>
      <c r="Z3073" s="318"/>
      <c r="AA3073" s="318"/>
      <c r="AB3073" s="318"/>
      <c r="AC3073" s="318"/>
      <c r="AD3073" s="318"/>
    </row>
    <row r="3074" spans="2:30" s="323" customFormat="1" ht="12" customHeight="1">
      <c r="B3074" s="324"/>
      <c r="C3074" s="325"/>
      <c r="D3074" s="326"/>
      <c r="E3074" s="326"/>
      <c r="F3074" s="326"/>
      <c r="G3074" s="326"/>
      <c r="H3074" s="326"/>
      <c r="P3074" s="318"/>
      <c r="Q3074" s="318"/>
      <c r="R3074" s="318"/>
      <c r="S3074" s="318"/>
      <c r="T3074" s="318"/>
      <c r="U3074" s="318"/>
      <c r="V3074" s="318"/>
      <c r="W3074" s="318"/>
      <c r="X3074" s="318"/>
      <c r="Y3074" s="318"/>
      <c r="Z3074" s="318"/>
      <c r="AA3074" s="318"/>
      <c r="AB3074" s="318"/>
      <c r="AC3074" s="318"/>
      <c r="AD3074" s="318"/>
    </row>
    <row r="3075" spans="2:30" s="323" customFormat="1" ht="12" customHeight="1">
      <c r="B3075" s="324"/>
      <c r="C3075" s="325"/>
      <c r="D3075" s="326"/>
      <c r="E3075" s="326"/>
      <c r="F3075" s="326"/>
      <c r="G3075" s="326"/>
      <c r="H3075" s="326"/>
      <c r="P3075" s="318"/>
      <c r="Q3075" s="318"/>
      <c r="R3075" s="318"/>
      <c r="S3075" s="318"/>
      <c r="T3075" s="318"/>
      <c r="U3075" s="318"/>
      <c r="V3075" s="318"/>
      <c r="W3075" s="318"/>
      <c r="X3075" s="318"/>
      <c r="Y3075" s="318"/>
      <c r="Z3075" s="318"/>
      <c r="AA3075" s="318"/>
      <c r="AB3075" s="318"/>
      <c r="AC3075" s="318"/>
      <c r="AD3075" s="318"/>
    </row>
    <row r="3076" spans="2:30" s="323" customFormat="1" ht="12" customHeight="1">
      <c r="B3076" s="324"/>
      <c r="C3076" s="325"/>
      <c r="D3076" s="326"/>
      <c r="E3076" s="326"/>
      <c r="F3076" s="326"/>
      <c r="G3076" s="326"/>
      <c r="H3076" s="326"/>
      <c r="P3076" s="318"/>
      <c r="Q3076" s="318"/>
      <c r="R3076" s="318"/>
      <c r="S3076" s="318"/>
      <c r="T3076" s="318"/>
      <c r="U3076" s="318"/>
      <c r="V3076" s="318"/>
      <c r="W3076" s="318"/>
      <c r="X3076" s="318"/>
      <c r="Y3076" s="318"/>
      <c r="Z3076" s="318"/>
      <c r="AA3076" s="318"/>
      <c r="AB3076" s="318"/>
      <c r="AC3076" s="318"/>
      <c r="AD3076" s="318"/>
    </row>
    <row r="3077" spans="2:30" s="323" customFormat="1" ht="12" customHeight="1">
      <c r="B3077" s="324"/>
      <c r="C3077" s="325"/>
      <c r="D3077" s="326"/>
      <c r="E3077" s="326"/>
      <c r="F3077" s="326"/>
      <c r="G3077" s="326"/>
      <c r="H3077" s="326"/>
      <c r="P3077" s="318"/>
      <c r="Q3077" s="318"/>
      <c r="R3077" s="318"/>
      <c r="S3077" s="318"/>
      <c r="T3077" s="318"/>
      <c r="U3077" s="318"/>
      <c r="V3077" s="318"/>
      <c r="W3077" s="318"/>
      <c r="X3077" s="318"/>
      <c r="Y3077" s="318"/>
      <c r="Z3077" s="318"/>
      <c r="AA3077" s="318"/>
      <c r="AB3077" s="318"/>
      <c r="AC3077" s="318"/>
      <c r="AD3077" s="318"/>
    </row>
    <row r="3078" spans="2:30" s="323" customFormat="1" ht="12" customHeight="1">
      <c r="B3078" s="324"/>
      <c r="C3078" s="325"/>
      <c r="D3078" s="326"/>
      <c r="E3078" s="326"/>
      <c r="F3078" s="326"/>
      <c r="G3078" s="326"/>
      <c r="H3078" s="326"/>
      <c r="P3078" s="318"/>
      <c r="Q3078" s="318"/>
      <c r="R3078" s="318"/>
      <c r="S3078" s="318"/>
      <c r="T3078" s="318"/>
      <c r="U3078" s="318"/>
      <c r="V3078" s="318"/>
      <c r="W3078" s="318"/>
      <c r="X3078" s="318"/>
      <c r="Y3078" s="318"/>
      <c r="Z3078" s="318"/>
      <c r="AA3078" s="318"/>
      <c r="AB3078" s="318"/>
      <c r="AC3078" s="318"/>
      <c r="AD3078" s="318"/>
    </row>
    <row r="3079" spans="2:30" s="323" customFormat="1" ht="12" customHeight="1">
      <c r="B3079" s="324"/>
      <c r="C3079" s="325"/>
      <c r="D3079" s="326"/>
      <c r="E3079" s="326"/>
      <c r="F3079" s="326"/>
      <c r="G3079" s="326"/>
      <c r="H3079" s="326"/>
      <c r="P3079" s="318"/>
      <c r="Q3079" s="318"/>
      <c r="R3079" s="318"/>
      <c r="S3079" s="318"/>
      <c r="T3079" s="318"/>
      <c r="U3079" s="318"/>
      <c r="V3079" s="318"/>
      <c r="W3079" s="318"/>
      <c r="X3079" s="318"/>
      <c r="Y3079" s="318"/>
      <c r="Z3079" s="318"/>
      <c r="AA3079" s="318"/>
      <c r="AB3079" s="318"/>
      <c r="AC3079" s="318"/>
      <c r="AD3079" s="318"/>
    </row>
    <row r="3080" spans="2:30" s="323" customFormat="1" ht="12" customHeight="1">
      <c r="B3080" s="324"/>
      <c r="C3080" s="325"/>
      <c r="D3080" s="326"/>
      <c r="E3080" s="326"/>
      <c r="F3080" s="326"/>
      <c r="G3080" s="326"/>
      <c r="H3080" s="326"/>
      <c r="P3080" s="318"/>
      <c r="Q3080" s="318"/>
      <c r="R3080" s="318"/>
      <c r="S3080" s="318"/>
      <c r="T3080" s="318"/>
      <c r="U3080" s="318"/>
      <c r="V3080" s="318"/>
      <c r="W3080" s="318"/>
      <c r="X3080" s="318"/>
      <c r="Y3080" s="318"/>
      <c r="Z3080" s="318"/>
      <c r="AA3080" s="318"/>
      <c r="AB3080" s="318"/>
      <c r="AC3080" s="318"/>
      <c r="AD3080" s="318"/>
    </row>
    <row r="3081" spans="2:30" s="323" customFormat="1" ht="12" customHeight="1">
      <c r="B3081" s="324"/>
      <c r="C3081" s="325"/>
      <c r="D3081" s="326"/>
      <c r="E3081" s="326"/>
      <c r="F3081" s="326"/>
      <c r="G3081" s="326"/>
      <c r="H3081" s="326"/>
      <c r="P3081" s="318"/>
      <c r="Q3081" s="318"/>
      <c r="R3081" s="318"/>
      <c r="S3081" s="318"/>
      <c r="T3081" s="318"/>
      <c r="U3081" s="318"/>
      <c r="V3081" s="318"/>
      <c r="W3081" s="318"/>
      <c r="X3081" s="318"/>
      <c r="Y3081" s="318"/>
      <c r="Z3081" s="318"/>
      <c r="AA3081" s="318"/>
      <c r="AB3081" s="318"/>
      <c r="AC3081" s="318"/>
      <c r="AD3081" s="318"/>
    </row>
    <row r="3082" spans="2:30" s="323" customFormat="1" ht="12" customHeight="1">
      <c r="B3082" s="324"/>
      <c r="C3082" s="325"/>
      <c r="D3082" s="326"/>
      <c r="E3082" s="326"/>
      <c r="F3082" s="326"/>
      <c r="G3082" s="326"/>
      <c r="H3082" s="326"/>
      <c r="P3082" s="318"/>
      <c r="Q3082" s="318"/>
      <c r="R3082" s="318"/>
      <c r="S3082" s="318"/>
      <c r="T3082" s="318"/>
      <c r="U3082" s="318"/>
      <c r="V3082" s="318"/>
      <c r="W3082" s="318"/>
      <c r="X3082" s="318"/>
      <c r="Y3082" s="318"/>
      <c r="Z3082" s="318"/>
      <c r="AA3082" s="318"/>
      <c r="AB3082" s="318"/>
      <c r="AC3082" s="318"/>
      <c r="AD3082" s="318"/>
    </row>
    <row r="3083" spans="2:30" s="323" customFormat="1" ht="12" customHeight="1">
      <c r="B3083" s="324"/>
      <c r="C3083" s="325"/>
      <c r="D3083" s="326"/>
      <c r="E3083" s="326"/>
      <c r="F3083" s="326"/>
      <c r="G3083" s="326"/>
      <c r="H3083" s="326"/>
      <c r="P3083" s="318"/>
      <c r="Q3083" s="318"/>
      <c r="R3083" s="318"/>
      <c r="S3083" s="318"/>
      <c r="T3083" s="318"/>
      <c r="U3083" s="318"/>
      <c r="V3083" s="318"/>
      <c r="W3083" s="318"/>
      <c r="X3083" s="318"/>
      <c r="Y3083" s="318"/>
      <c r="Z3083" s="318"/>
      <c r="AA3083" s="318"/>
      <c r="AB3083" s="318"/>
      <c r="AC3083" s="318"/>
      <c r="AD3083" s="318"/>
    </row>
    <row r="3084" spans="2:30" s="323" customFormat="1" ht="12" customHeight="1">
      <c r="B3084" s="324"/>
      <c r="C3084" s="325"/>
      <c r="D3084" s="326"/>
      <c r="E3084" s="326"/>
      <c r="F3084" s="326"/>
      <c r="G3084" s="326"/>
      <c r="H3084" s="326"/>
      <c r="P3084" s="318"/>
      <c r="Q3084" s="318"/>
      <c r="R3084" s="318"/>
      <c r="S3084" s="318"/>
      <c r="T3084" s="318"/>
      <c r="U3084" s="318"/>
      <c r="V3084" s="318"/>
      <c r="W3084" s="318"/>
      <c r="X3084" s="318"/>
      <c r="Y3084" s="318"/>
      <c r="Z3084" s="318"/>
      <c r="AA3084" s="318"/>
      <c r="AB3084" s="318"/>
      <c r="AC3084" s="318"/>
      <c r="AD3084" s="318"/>
    </row>
    <row r="3085" spans="2:30" s="323" customFormat="1" ht="12" customHeight="1">
      <c r="B3085" s="324"/>
      <c r="C3085" s="325"/>
      <c r="D3085" s="326"/>
      <c r="E3085" s="326"/>
      <c r="F3085" s="326"/>
      <c r="G3085" s="326"/>
      <c r="H3085" s="326"/>
      <c r="P3085" s="318"/>
      <c r="Q3085" s="318"/>
      <c r="R3085" s="318"/>
      <c r="S3085" s="318"/>
      <c r="T3085" s="318"/>
      <c r="U3085" s="318"/>
      <c r="V3085" s="318"/>
      <c r="W3085" s="318"/>
      <c r="X3085" s="318"/>
      <c r="Y3085" s="318"/>
      <c r="Z3085" s="318"/>
      <c r="AA3085" s="318"/>
      <c r="AB3085" s="318"/>
      <c r="AC3085" s="318"/>
      <c r="AD3085" s="318"/>
    </row>
    <row r="3086" spans="2:30" s="323" customFormat="1" ht="12" customHeight="1">
      <c r="B3086" s="324"/>
      <c r="C3086" s="325"/>
      <c r="D3086" s="326"/>
      <c r="E3086" s="326"/>
      <c r="F3086" s="326"/>
      <c r="G3086" s="326"/>
      <c r="H3086" s="326"/>
      <c r="P3086" s="318"/>
      <c r="Q3086" s="318"/>
      <c r="R3086" s="318"/>
      <c r="S3086" s="318"/>
      <c r="T3086" s="318"/>
      <c r="U3086" s="318"/>
      <c r="V3086" s="318"/>
      <c r="W3086" s="318"/>
      <c r="X3086" s="318"/>
      <c r="Y3086" s="318"/>
      <c r="Z3086" s="318"/>
      <c r="AA3086" s="318"/>
      <c r="AB3086" s="318"/>
      <c r="AC3086" s="318"/>
      <c r="AD3086" s="318"/>
    </row>
    <row r="3087" spans="2:30" s="323" customFormat="1" ht="12" customHeight="1">
      <c r="B3087" s="324"/>
      <c r="C3087" s="325"/>
      <c r="D3087" s="326"/>
      <c r="E3087" s="326"/>
      <c r="F3087" s="326"/>
      <c r="G3087" s="326"/>
      <c r="H3087" s="326"/>
      <c r="P3087" s="318"/>
      <c r="Q3087" s="318"/>
      <c r="R3087" s="318"/>
      <c r="S3087" s="318"/>
      <c r="T3087" s="318"/>
      <c r="U3087" s="318"/>
      <c r="V3087" s="318"/>
      <c r="W3087" s="318"/>
      <c r="X3087" s="318"/>
      <c r="Y3087" s="318"/>
      <c r="Z3087" s="318"/>
      <c r="AA3087" s="318"/>
      <c r="AB3087" s="318"/>
      <c r="AC3087" s="318"/>
      <c r="AD3087" s="318"/>
    </row>
    <row r="3088" spans="2:30" s="323" customFormat="1" ht="12" customHeight="1">
      <c r="B3088" s="324"/>
      <c r="C3088" s="325"/>
      <c r="D3088" s="326"/>
      <c r="E3088" s="326"/>
      <c r="F3088" s="326"/>
      <c r="G3088" s="326"/>
      <c r="H3088" s="326"/>
      <c r="P3088" s="318"/>
      <c r="Q3088" s="318"/>
      <c r="R3088" s="318"/>
      <c r="S3088" s="318"/>
      <c r="T3088" s="318"/>
      <c r="U3088" s="318"/>
      <c r="V3088" s="318"/>
      <c r="W3088" s="318"/>
      <c r="X3088" s="318"/>
      <c r="Y3088" s="318"/>
      <c r="Z3088" s="318"/>
      <c r="AA3088" s="318"/>
      <c r="AB3088" s="318"/>
      <c r="AC3088" s="318"/>
      <c r="AD3088" s="318"/>
    </row>
    <row r="3089" spans="2:30" s="323" customFormat="1" ht="12" customHeight="1">
      <c r="B3089" s="324"/>
      <c r="C3089" s="325"/>
      <c r="D3089" s="326"/>
      <c r="E3089" s="326"/>
      <c r="F3089" s="326"/>
      <c r="G3089" s="326"/>
      <c r="H3089" s="326"/>
      <c r="P3089" s="318"/>
      <c r="Q3089" s="318"/>
      <c r="R3089" s="318"/>
      <c r="S3089" s="318"/>
      <c r="T3089" s="318"/>
      <c r="U3089" s="318"/>
      <c r="V3089" s="318"/>
      <c r="W3089" s="318"/>
      <c r="X3089" s="318"/>
      <c r="Y3089" s="318"/>
      <c r="Z3089" s="318"/>
      <c r="AA3089" s="318"/>
      <c r="AB3089" s="318"/>
      <c r="AC3089" s="318"/>
      <c r="AD3089" s="318"/>
    </row>
    <row r="3090" spans="2:30" s="323" customFormat="1" ht="12" customHeight="1">
      <c r="B3090" s="324"/>
      <c r="C3090" s="325"/>
      <c r="D3090" s="326"/>
      <c r="E3090" s="326"/>
      <c r="F3090" s="326"/>
      <c r="G3090" s="326"/>
      <c r="H3090" s="326"/>
      <c r="P3090" s="318"/>
      <c r="Q3090" s="318"/>
      <c r="R3090" s="318"/>
      <c r="S3090" s="318"/>
      <c r="T3090" s="318"/>
      <c r="U3090" s="318"/>
      <c r="V3090" s="318"/>
      <c r="W3090" s="318"/>
      <c r="X3090" s="318"/>
      <c r="Y3090" s="318"/>
      <c r="Z3090" s="318"/>
      <c r="AA3090" s="318"/>
      <c r="AB3090" s="318"/>
      <c r="AC3090" s="318"/>
      <c r="AD3090" s="318"/>
    </row>
    <row r="3091" spans="2:30" s="323" customFormat="1" ht="12" customHeight="1">
      <c r="B3091" s="324"/>
      <c r="C3091" s="325"/>
      <c r="D3091" s="326"/>
      <c r="E3091" s="326"/>
      <c r="F3091" s="326"/>
      <c r="G3091" s="326"/>
      <c r="H3091" s="326"/>
      <c r="P3091" s="318"/>
      <c r="Q3091" s="318"/>
      <c r="R3091" s="318"/>
      <c r="S3091" s="318"/>
      <c r="T3091" s="318"/>
      <c r="U3091" s="318"/>
      <c r="V3091" s="318"/>
      <c r="W3091" s="318"/>
      <c r="X3091" s="318"/>
      <c r="Y3091" s="318"/>
      <c r="Z3091" s="318"/>
      <c r="AA3091" s="318"/>
      <c r="AB3091" s="318"/>
      <c r="AC3091" s="318"/>
      <c r="AD3091" s="318"/>
    </row>
    <row r="3092" spans="2:30" s="323" customFormat="1" ht="12" customHeight="1">
      <c r="B3092" s="324"/>
      <c r="C3092" s="325"/>
      <c r="D3092" s="326"/>
      <c r="E3092" s="326"/>
      <c r="F3092" s="326"/>
      <c r="G3092" s="326"/>
      <c r="H3092" s="326"/>
      <c r="P3092" s="318"/>
      <c r="Q3092" s="318"/>
      <c r="R3092" s="318"/>
      <c r="S3092" s="318"/>
      <c r="T3092" s="318"/>
      <c r="U3092" s="318"/>
      <c r="V3092" s="318"/>
      <c r="W3092" s="318"/>
      <c r="X3092" s="318"/>
      <c r="Y3092" s="318"/>
      <c r="Z3092" s="318"/>
      <c r="AA3092" s="318"/>
      <c r="AB3092" s="318"/>
      <c r="AC3092" s="318"/>
      <c r="AD3092" s="318"/>
    </row>
    <row r="3093" spans="2:30" s="323" customFormat="1" ht="12" customHeight="1">
      <c r="B3093" s="324"/>
      <c r="C3093" s="325"/>
      <c r="D3093" s="326"/>
      <c r="E3093" s="326"/>
      <c r="F3093" s="326"/>
      <c r="G3093" s="326"/>
      <c r="H3093" s="326"/>
      <c r="P3093" s="318"/>
      <c r="Q3093" s="318"/>
      <c r="R3093" s="318"/>
      <c r="S3093" s="318"/>
      <c r="T3093" s="318"/>
      <c r="U3093" s="318"/>
      <c r="V3093" s="318"/>
      <c r="W3093" s="318"/>
      <c r="X3093" s="318"/>
      <c r="Y3093" s="318"/>
      <c r="Z3093" s="318"/>
      <c r="AA3093" s="318"/>
      <c r="AB3093" s="318"/>
      <c r="AC3093" s="318"/>
      <c r="AD3093" s="318"/>
    </row>
    <row r="3094" spans="2:30" s="323" customFormat="1" ht="12" customHeight="1">
      <c r="B3094" s="324"/>
      <c r="C3094" s="325"/>
      <c r="D3094" s="326"/>
      <c r="E3094" s="326"/>
      <c r="F3094" s="326"/>
      <c r="G3094" s="326"/>
      <c r="H3094" s="326"/>
      <c r="P3094" s="318"/>
      <c r="Q3094" s="318"/>
      <c r="R3094" s="318"/>
      <c r="S3094" s="318"/>
      <c r="T3094" s="318"/>
      <c r="U3094" s="318"/>
      <c r="V3094" s="318"/>
      <c r="W3094" s="318"/>
      <c r="X3094" s="318"/>
      <c r="Y3094" s="318"/>
      <c r="Z3094" s="318"/>
      <c r="AA3094" s="318"/>
      <c r="AB3094" s="318"/>
      <c r="AC3094" s="318"/>
      <c r="AD3094" s="318"/>
    </row>
    <row r="3095" spans="2:30" s="323" customFormat="1" ht="12" customHeight="1">
      <c r="B3095" s="324"/>
      <c r="C3095" s="325"/>
      <c r="D3095" s="326"/>
      <c r="E3095" s="326"/>
      <c r="F3095" s="326"/>
      <c r="G3095" s="326"/>
      <c r="H3095" s="326"/>
      <c r="P3095" s="318"/>
      <c r="Q3095" s="318"/>
      <c r="R3095" s="318"/>
      <c r="S3095" s="318"/>
      <c r="T3095" s="318"/>
      <c r="U3095" s="318"/>
      <c r="V3095" s="318"/>
      <c r="W3095" s="318"/>
      <c r="X3095" s="318"/>
      <c r="Y3095" s="318"/>
      <c r="Z3095" s="318"/>
      <c r="AA3095" s="318"/>
      <c r="AB3095" s="318"/>
      <c r="AC3095" s="318"/>
      <c r="AD3095" s="318"/>
    </row>
    <row r="3096" spans="2:30" s="323" customFormat="1" ht="12" customHeight="1">
      <c r="B3096" s="324"/>
      <c r="C3096" s="325"/>
      <c r="D3096" s="326"/>
      <c r="E3096" s="326"/>
      <c r="F3096" s="326"/>
      <c r="G3096" s="326"/>
      <c r="H3096" s="326"/>
      <c r="P3096" s="318"/>
      <c r="Q3096" s="318"/>
      <c r="R3096" s="318"/>
      <c r="S3096" s="318"/>
      <c r="T3096" s="318"/>
      <c r="U3096" s="318"/>
      <c r="V3096" s="318"/>
      <c r="W3096" s="318"/>
      <c r="X3096" s="318"/>
      <c r="Y3096" s="318"/>
      <c r="Z3096" s="318"/>
      <c r="AA3096" s="318"/>
      <c r="AB3096" s="318"/>
      <c r="AC3096" s="318"/>
      <c r="AD3096" s="318"/>
    </row>
    <row r="3097" spans="2:30" s="323" customFormat="1" ht="12" customHeight="1">
      <c r="B3097" s="324"/>
      <c r="C3097" s="325"/>
      <c r="D3097" s="326"/>
      <c r="E3097" s="326"/>
      <c r="F3097" s="326"/>
      <c r="G3097" s="326"/>
      <c r="H3097" s="326"/>
      <c r="P3097" s="318"/>
      <c r="Q3097" s="318"/>
      <c r="R3097" s="318"/>
      <c r="S3097" s="318"/>
      <c r="T3097" s="318"/>
      <c r="U3097" s="318"/>
      <c r="V3097" s="318"/>
      <c r="W3097" s="318"/>
      <c r="X3097" s="318"/>
      <c r="Y3097" s="318"/>
      <c r="Z3097" s="318"/>
      <c r="AA3097" s="318"/>
      <c r="AB3097" s="318"/>
      <c r="AC3097" s="318"/>
      <c r="AD3097" s="318"/>
    </row>
    <row r="3098" spans="2:30" s="323" customFormat="1" ht="12" customHeight="1">
      <c r="B3098" s="324"/>
      <c r="C3098" s="325"/>
      <c r="D3098" s="326"/>
      <c r="E3098" s="326"/>
      <c r="F3098" s="326"/>
      <c r="G3098" s="326"/>
      <c r="H3098" s="326"/>
      <c r="P3098" s="318"/>
      <c r="Q3098" s="318"/>
      <c r="R3098" s="318"/>
      <c r="S3098" s="318"/>
      <c r="T3098" s="318"/>
      <c r="U3098" s="318"/>
      <c r="V3098" s="318"/>
      <c r="W3098" s="318"/>
      <c r="X3098" s="318"/>
      <c r="Y3098" s="318"/>
      <c r="Z3098" s="318"/>
      <c r="AA3098" s="318"/>
      <c r="AB3098" s="318"/>
      <c r="AC3098" s="318"/>
      <c r="AD3098" s="318"/>
    </row>
    <row r="3099" spans="2:30" s="323" customFormat="1" ht="12" customHeight="1">
      <c r="B3099" s="324"/>
      <c r="C3099" s="325"/>
      <c r="D3099" s="326"/>
      <c r="E3099" s="326"/>
      <c r="F3099" s="326"/>
      <c r="G3099" s="326"/>
      <c r="H3099" s="326"/>
      <c r="P3099" s="318"/>
      <c r="Q3099" s="318"/>
      <c r="R3099" s="318"/>
      <c r="S3099" s="318"/>
      <c r="T3099" s="318"/>
      <c r="U3099" s="318"/>
      <c r="V3099" s="318"/>
      <c r="W3099" s="318"/>
      <c r="X3099" s="318"/>
      <c r="Y3099" s="318"/>
      <c r="Z3099" s="318"/>
      <c r="AA3099" s="318"/>
      <c r="AB3099" s="318"/>
      <c r="AC3099" s="318"/>
      <c r="AD3099" s="318"/>
    </row>
    <row r="3100" spans="2:30" s="323" customFormat="1" ht="12" customHeight="1">
      <c r="B3100" s="324"/>
      <c r="C3100" s="325"/>
      <c r="D3100" s="326"/>
      <c r="E3100" s="326"/>
      <c r="F3100" s="326"/>
      <c r="G3100" s="326"/>
      <c r="H3100" s="326"/>
      <c r="P3100" s="318"/>
      <c r="Q3100" s="318"/>
      <c r="R3100" s="318"/>
      <c r="S3100" s="318"/>
      <c r="T3100" s="318"/>
      <c r="U3100" s="318"/>
      <c r="V3100" s="318"/>
      <c r="W3100" s="318"/>
      <c r="X3100" s="318"/>
      <c r="Y3100" s="318"/>
      <c r="Z3100" s="318"/>
      <c r="AA3100" s="318"/>
      <c r="AB3100" s="318"/>
      <c r="AC3100" s="318"/>
      <c r="AD3100" s="318"/>
    </row>
    <row r="3101" spans="2:30" s="323" customFormat="1" ht="12" customHeight="1">
      <c r="B3101" s="324"/>
      <c r="C3101" s="325"/>
      <c r="D3101" s="326"/>
      <c r="E3101" s="326"/>
      <c r="F3101" s="326"/>
      <c r="G3101" s="326"/>
      <c r="H3101" s="326"/>
      <c r="P3101" s="318"/>
      <c r="Q3101" s="318"/>
      <c r="R3101" s="318"/>
      <c r="S3101" s="318"/>
      <c r="T3101" s="318"/>
      <c r="U3101" s="318"/>
      <c r="V3101" s="318"/>
      <c r="W3101" s="318"/>
      <c r="X3101" s="318"/>
      <c r="Y3101" s="318"/>
      <c r="Z3101" s="318"/>
      <c r="AA3101" s="318"/>
      <c r="AB3101" s="318"/>
      <c r="AC3101" s="318"/>
      <c r="AD3101" s="318"/>
    </row>
    <row r="3102" spans="2:30" s="323" customFormat="1" ht="12" customHeight="1">
      <c r="B3102" s="324"/>
      <c r="C3102" s="325"/>
      <c r="D3102" s="326"/>
      <c r="E3102" s="326"/>
      <c r="F3102" s="326"/>
      <c r="G3102" s="326"/>
      <c r="H3102" s="326"/>
      <c r="P3102" s="318"/>
      <c r="Q3102" s="318"/>
      <c r="R3102" s="318"/>
      <c r="S3102" s="318"/>
      <c r="T3102" s="318"/>
      <c r="U3102" s="318"/>
      <c r="V3102" s="318"/>
      <c r="W3102" s="318"/>
      <c r="X3102" s="318"/>
      <c r="Y3102" s="318"/>
      <c r="Z3102" s="318"/>
      <c r="AA3102" s="318"/>
      <c r="AB3102" s="318"/>
      <c r="AC3102" s="318"/>
      <c r="AD3102" s="318"/>
    </row>
    <row r="3103" spans="2:30" s="323" customFormat="1" ht="12" customHeight="1">
      <c r="B3103" s="324"/>
      <c r="C3103" s="325"/>
      <c r="D3103" s="326"/>
      <c r="E3103" s="326"/>
      <c r="F3103" s="326"/>
      <c r="G3103" s="326"/>
      <c r="H3103" s="326"/>
      <c r="P3103" s="318"/>
      <c r="Q3103" s="318"/>
      <c r="R3103" s="318"/>
      <c r="S3103" s="318"/>
      <c r="T3103" s="318"/>
      <c r="U3103" s="318"/>
      <c r="V3103" s="318"/>
      <c r="W3103" s="318"/>
      <c r="X3103" s="318"/>
      <c r="Y3103" s="318"/>
      <c r="Z3103" s="318"/>
      <c r="AA3103" s="318"/>
      <c r="AB3103" s="318"/>
      <c r="AC3103" s="318"/>
      <c r="AD3103" s="318"/>
    </row>
    <row r="3104" spans="2:30" s="323" customFormat="1" ht="12" customHeight="1">
      <c r="B3104" s="324"/>
      <c r="C3104" s="325"/>
      <c r="D3104" s="326"/>
      <c r="E3104" s="326"/>
      <c r="F3104" s="326"/>
      <c r="G3104" s="326"/>
      <c r="H3104" s="326"/>
      <c r="P3104" s="318"/>
      <c r="Q3104" s="318"/>
      <c r="R3104" s="318"/>
      <c r="S3104" s="318"/>
      <c r="T3104" s="318"/>
      <c r="U3104" s="318"/>
      <c r="V3104" s="318"/>
      <c r="W3104" s="318"/>
      <c r="X3104" s="318"/>
      <c r="Y3104" s="318"/>
      <c r="Z3104" s="318"/>
      <c r="AA3104" s="318"/>
      <c r="AB3104" s="318"/>
      <c r="AC3104" s="318"/>
      <c r="AD3104" s="318"/>
    </row>
    <row r="3105" spans="2:30" s="323" customFormat="1" ht="12" customHeight="1">
      <c r="B3105" s="324"/>
      <c r="C3105" s="325"/>
      <c r="D3105" s="326"/>
      <c r="E3105" s="326"/>
      <c r="F3105" s="326"/>
      <c r="G3105" s="326"/>
      <c r="H3105" s="326"/>
      <c r="P3105" s="318"/>
      <c r="Q3105" s="318"/>
      <c r="R3105" s="318"/>
      <c r="S3105" s="318"/>
      <c r="T3105" s="318"/>
      <c r="U3105" s="318"/>
      <c r="V3105" s="318"/>
      <c r="W3105" s="318"/>
      <c r="X3105" s="318"/>
      <c r="Y3105" s="318"/>
      <c r="Z3105" s="318"/>
      <c r="AA3105" s="318"/>
      <c r="AB3105" s="318"/>
      <c r="AC3105" s="318"/>
      <c r="AD3105" s="318"/>
    </row>
    <row r="3106" spans="2:30" s="323" customFormat="1" ht="12" customHeight="1">
      <c r="B3106" s="324"/>
      <c r="C3106" s="325"/>
      <c r="D3106" s="326"/>
      <c r="E3106" s="326"/>
      <c r="F3106" s="326"/>
      <c r="G3106" s="326"/>
      <c r="H3106" s="326"/>
      <c r="P3106" s="318"/>
      <c r="Q3106" s="318"/>
      <c r="R3106" s="318"/>
      <c r="S3106" s="318"/>
      <c r="T3106" s="318"/>
      <c r="U3106" s="318"/>
      <c r="V3106" s="318"/>
      <c r="W3106" s="318"/>
      <c r="X3106" s="318"/>
      <c r="Y3106" s="318"/>
      <c r="Z3106" s="318"/>
      <c r="AA3106" s="318"/>
      <c r="AB3106" s="318"/>
      <c r="AC3106" s="318"/>
      <c r="AD3106" s="318"/>
    </row>
    <row r="3107" spans="2:30" s="323" customFormat="1" ht="12" customHeight="1">
      <c r="B3107" s="324"/>
      <c r="C3107" s="325"/>
      <c r="D3107" s="326"/>
      <c r="E3107" s="326"/>
      <c r="F3107" s="326"/>
      <c r="G3107" s="326"/>
      <c r="H3107" s="326"/>
      <c r="P3107" s="318"/>
      <c r="Q3107" s="318"/>
      <c r="R3107" s="318"/>
      <c r="S3107" s="318"/>
      <c r="T3107" s="318"/>
      <c r="U3107" s="318"/>
      <c r="V3107" s="318"/>
      <c r="W3107" s="318"/>
      <c r="X3107" s="318"/>
      <c r="Y3107" s="318"/>
      <c r="Z3107" s="318"/>
      <c r="AA3107" s="318"/>
      <c r="AB3107" s="318"/>
      <c r="AC3107" s="318"/>
      <c r="AD3107" s="318"/>
    </row>
    <row r="3108" spans="2:30" s="323" customFormat="1" ht="12" customHeight="1">
      <c r="B3108" s="324"/>
      <c r="C3108" s="325"/>
      <c r="D3108" s="326"/>
      <c r="E3108" s="326"/>
      <c r="F3108" s="326"/>
      <c r="G3108" s="326"/>
      <c r="H3108" s="326"/>
      <c r="P3108" s="318"/>
      <c r="Q3108" s="318"/>
      <c r="R3108" s="318"/>
      <c r="S3108" s="318"/>
      <c r="T3108" s="318"/>
      <c r="U3108" s="318"/>
      <c r="V3108" s="318"/>
      <c r="W3108" s="318"/>
      <c r="X3108" s="318"/>
      <c r="Y3108" s="318"/>
      <c r="Z3108" s="318"/>
      <c r="AA3108" s="318"/>
      <c r="AB3108" s="318"/>
      <c r="AC3108" s="318"/>
      <c r="AD3108" s="318"/>
    </row>
    <row r="3109" spans="2:30" s="323" customFormat="1" ht="12" customHeight="1">
      <c r="B3109" s="324"/>
      <c r="C3109" s="325"/>
      <c r="D3109" s="326"/>
      <c r="E3109" s="326"/>
      <c r="F3109" s="326"/>
      <c r="G3109" s="326"/>
      <c r="H3109" s="326"/>
      <c r="P3109" s="318"/>
      <c r="Q3109" s="318"/>
      <c r="R3109" s="318"/>
      <c r="S3109" s="318"/>
      <c r="T3109" s="318"/>
      <c r="U3109" s="318"/>
      <c r="V3109" s="318"/>
      <c r="W3109" s="318"/>
      <c r="X3109" s="318"/>
      <c r="Y3109" s="318"/>
      <c r="Z3109" s="318"/>
      <c r="AA3109" s="318"/>
      <c r="AB3109" s="318"/>
      <c r="AC3109" s="318"/>
      <c r="AD3109" s="318"/>
    </row>
    <row r="3110" spans="2:30" s="323" customFormat="1" ht="12" customHeight="1">
      <c r="B3110" s="324"/>
      <c r="C3110" s="325"/>
      <c r="D3110" s="326"/>
      <c r="E3110" s="326"/>
      <c r="F3110" s="326"/>
      <c r="G3110" s="326"/>
      <c r="H3110" s="326"/>
      <c r="P3110" s="318"/>
      <c r="Q3110" s="318"/>
      <c r="R3110" s="318"/>
      <c r="S3110" s="318"/>
      <c r="T3110" s="318"/>
      <c r="U3110" s="318"/>
      <c r="V3110" s="318"/>
      <c r="W3110" s="318"/>
      <c r="X3110" s="318"/>
      <c r="Y3110" s="318"/>
      <c r="Z3110" s="318"/>
      <c r="AA3110" s="318"/>
      <c r="AB3110" s="318"/>
      <c r="AC3110" s="318"/>
      <c r="AD3110" s="318"/>
    </row>
    <row r="3111" spans="2:30" s="323" customFormat="1" ht="12" customHeight="1">
      <c r="B3111" s="324"/>
      <c r="C3111" s="325"/>
      <c r="D3111" s="326"/>
      <c r="E3111" s="326"/>
      <c r="F3111" s="326"/>
      <c r="G3111" s="326"/>
      <c r="H3111" s="326"/>
      <c r="P3111" s="318"/>
      <c r="Q3111" s="318"/>
      <c r="R3111" s="318"/>
      <c r="S3111" s="318"/>
      <c r="T3111" s="318"/>
      <c r="U3111" s="318"/>
      <c r="V3111" s="318"/>
      <c r="W3111" s="318"/>
      <c r="X3111" s="318"/>
      <c r="Y3111" s="318"/>
      <c r="Z3111" s="318"/>
      <c r="AA3111" s="318"/>
      <c r="AB3111" s="318"/>
      <c r="AC3111" s="318"/>
      <c r="AD3111" s="318"/>
    </row>
    <row r="3112" spans="2:30" s="323" customFormat="1" ht="12" customHeight="1">
      <c r="B3112" s="324"/>
      <c r="C3112" s="325"/>
      <c r="D3112" s="326"/>
      <c r="E3112" s="326"/>
      <c r="F3112" s="326"/>
      <c r="G3112" s="326"/>
      <c r="H3112" s="326"/>
      <c r="P3112" s="318"/>
      <c r="Q3112" s="318"/>
      <c r="R3112" s="318"/>
      <c r="S3112" s="318"/>
      <c r="T3112" s="318"/>
      <c r="U3112" s="318"/>
      <c r="V3112" s="318"/>
      <c r="W3112" s="318"/>
      <c r="X3112" s="318"/>
      <c r="Y3112" s="318"/>
      <c r="Z3112" s="318"/>
      <c r="AA3112" s="318"/>
      <c r="AB3112" s="318"/>
      <c r="AC3112" s="318"/>
      <c r="AD3112" s="318"/>
    </row>
    <row r="3113" spans="2:30" s="323" customFormat="1" ht="12" customHeight="1">
      <c r="B3113" s="324"/>
      <c r="C3113" s="325"/>
      <c r="D3113" s="326"/>
      <c r="E3113" s="326"/>
      <c r="F3113" s="326"/>
      <c r="G3113" s="326"/>
      <c r="H3113" s="326"/>
      <c r="P3113" s="318"/>
      <c r="Q3113" s="318"/>
      <c r="R3113" s="318"/>
      <c r="S3113" s="318"/>
      <c r="T3113" s="318"/>
      <c r="U3113" s="318"/>
      <c r="V3113" s="318"/>
      <c r="W3113" s="318"/>
      <c r="X3113" s="318"/>
      <c r="Y3113" s="318"/>
      <c r="Z3113" s="318"/>
      <c r="AA3113" s="318"/>
      <c r="AB3113" s="318"/>
      <c r="AC3113" s="318"/>
      <c r="AD3113" s="318"/>
    </row>
    <row r="3114" spans="2:30" s="323" customFormat="1" ht="12" customHeight="1">
      <c r="B3114" s="324"/>
      <c r="C3114" s="325"/>
      <c r="D3114" s="326"/>
      <c r="E3114" s="326"/>
      <c r="F3114" s="326"/>
      <c r="G3114" s="326"/>
      <c r="H3114" s="326"/>
      <c r="P3114" s="318"/>
      <c r="Q3114" s="318"/>
      <c r="R3114" s="318"/>
      <c r="S3114" s="318"/>
      <c r="T3114" s="318"/>
      <c r="U3114" s="318"/>
      <c r="V3114" s="318"/>
      <c r="W3114" s="318"/>
      <c r="X3114" s="318"/>
      <c r="Y3114" s="318"/>
      <c r="Z3114" s="318"/>
      <c r="AA3114" s="318"/>
      <c r="AB3114" s="318"/>
      <c r="AC3114" s="318"/>
      <c r="AD3114" s="318"/>
    </row>
    <row r="3115" spans="2:30" s="323" customFormat="1" ht="12" customHeight="1">
      <c r="B3115" s="324"/>
      <c r="C3115" s="325"/>
      <c r="D3115" s="326"/>
      <c r="E3115" s="326"/>
      <c r="F3115" s="326"/>
      <c r="G3115" s="326"/>
      <c r="H3115" s="326"/>
      <c r="P3115" s="318"/>
      <c r="Q3115" s="318"/>
      <c r="R3115" s="318"/>
      <c r="S3115" s="318"/>
      <c r="T3115" s="318"/>
      <c r="U3115" s="318"/>
      <c r="V3115" s="318"/>
      <c r="W3115" s="318"/>
      <c r="X3115" s="318"/>
      <c r="Y3115" s="318"/>
      <c r="Z3115" s="318"/>
      <c r="AA3115" s="318"/>
      <c r="AB3115" s="318"/>
      <c r="AC3115" s="318"/>
      <c r="AD3115" s="318"/>
    </row>
    <row r="3116" spans="2:30" s="323" customFormat="1" ht="12" customHeight="1">
      <c r="B3116" s="324"/>
      <c r="C3116" s="325"/>
      <c r="D3116" s="326"/>
      <c r="E3116" s="326"/>
      <c r="F3116" s="326"/>
      <c r="G3116" s="326"/>
      <c r="H3116" s="326"/>
      <c r="P3116" s="318"/>
      <c r="Q3116" s="318"/>
      <c r="R3116" s="318"/>
      <c r="S3116" s="318"/>
      <c r="T3116" s="318"/>
      <c r="U3116" s="318"/>
      <c r="V3116" s="318"/>
      <c r="W3116" s="318"/>
      <c r="X3116" s="318"/>
      <c r="Y3116" s="318"/>
      <c r="Z3116" s="318"/>
      <c r="AA3116" s="318"/>
      <c r="AB3116" s="318"/>
      <c r="AC3116" s="318"/>
      <c r="AD3116" s="318"/>
    </row>
    <row r="3117" spans="2:30" s="323" customFormat="1" ht="12" customHeight="1">
      <c r="B3117" s="324"/>
      <c r="C3117" s="325"/>
      <c r="D3117" s="326"/>
      <c r="E3117" s="326"/>
      <c r="F3117" s="326"/>
      <c r="G3117" s="326"/>
      <c r="H3117" s="326"/>
      <c r="P3117" s="318"/>
      <c r="Q3117" s="318"/>
      <c r="R3117" s="318"/>
      <c r="S3117" s="318"/>
      <c r="T3117" s="318"/>
      <c r="U3117" s="318"/>
      <c r="V3117" s="318"/>
      <c r="W3117" s="318"/>
      <c r="X3117" s="318"/>
      <c r="Y3117" s="318"/>
      <c r="Z3117" s="318"/>
      <c r="AA3117" s="318"/>
      <c r="AB3117" s="318"/>
      <c r="AC3117" s="318"/>
      <c r="AD3117" s="318"/>
    </row>
    <row r="3118" spans="2:30" s="323" customFormat="1" ht="12" customHeight="1">
      <c r="B3118" s="324"/>
      <c r="C3118" s="325"/>
      <c r="D3118" s="326"/>
      <c r="E3118" s="326"/>
      <c r="F3118" s="326"/>
      <c r="G3118" s="326"/>
      <c r="H3118" s="326"/>
      <c r="P3118" s="318"/>
      <c r="Q3118" s="318"/>
      <c r="R3118" s="318"/>
      <c r="S3118" s="318"/>
      <c r="T3118" s="318"/>
      <c r="U3118" s="318"/>
      <c r="V3118" s="318"/>
      <c r="W3118" s="318"/>
      <c r="X3118" s="318"/>
      <c r="Y3118" s="318"/>
      <c r="Z3118" s="318"/>
      <c r="AA3118" s="318"/>
      <c r="AB3118" s="318"/>
      <c r="AC3118" s="318"/>
      <c r="AD3118" s="318"/>
    </row>
    <row r="3119" spans="2:30" s="323" customFormat="1" ht="12" customHeight="1">
      <c r="B3119" s="324"/>
      <c r="C3119" s="325"/>
      <c r="D3119" s="326"/>
      <c r="E3119" s="326"/>
      <c r="F3119" s="326"/>
      <c r="G3119" s="326"/>
      <c r="H3119" s="326"/>
      <c r="P3119" s="318"/>
      <c r="Q3119" s="318"/>
      <c r="R3119" s="318"/>
      <c r="S3119" s="318"/>
      <c r="T3119" s="318"/>
      <c r="U3119" s="318"/>
      <c r="V3119" s="318"/>
      <c r="W3119" s="318"/>
      <c r="X3119" s="318"/>
      <c r="Y3119" s="318"/>
      <c r="Z3119" s="318"/>
      <c r="AA3119" s="318"/>
      <c r="AB3119" s="318"/>
      <c r="AC3119" s="318"/>
      <c r="AD3119" s="318"/>
    </row>
    <row r="3120" spans="2:30" s="323" customFormat="1" ht="12" customHeight="1">
      <c r="B3120" s="324"/>
      <c r="C3120" s="325"/>
      <c r="D3120" s="326"/>
      <c r="E3120" s="326"/>
      <c r="F3120" s="326"/>
      <c r="G3120" s="326"/>
      <c r="H3120" s="326"/>
      <c r="P3120" s="318"/>
      <c r="Q3120" s="318"/>
      <c r="R3120" s="318"/>
      <c r="S3120" s="318"/>
      <c r="T3120" s="318"/>
      <c r="U3120" s="318"/>
      <c r="V3120" s="318"/>
      <c r="W3120" s="318"/>
      <c r="X3120" s="318"/>
      <c r="Y3120" s="318"/>
      <c r="Z3120" s="318"/>
      <c r="AA3120" s="318"/>
      <c r="AB3120" s="318"/>
      <c r="AC3120" s="318"/>
      <c r="AD3120" s="318"/>
    </row>
    <row r="3121" spans="2:30" s="323" customFormat="1" ht="12" customHeight="1">
      <c r="B3121" s="324"/>
      <c r="C3121" s="325"/>
      <c r="D3121" s="326"/>
      <c r="E3121" s="326"/>
      <c r="F3121" s="326"/>
      <c r="G3121" s="326"/>
      <c r="H3121" s="326"/>
      <c r="P3121" s="318"/>
      <c r="Q3121" s="318"/>
      <c r="R3121" s="318"/>
      <c r="S3121" s="318"/>
      <c r="T3121" s="318"/>
      <c r="U3121" s="318"/>
      <c r="V3121" s="318"/>
      <c r="W3121" s="318"/>
      <c r="X3121" s="318"/>
      <c r="Y3121" s="318"/>
      <c r="Z3121" s="318"/>
      <c r="AA3121" s="318"/>
      <c r="AB3121" s="318"/>
      <c r="AC3121" s="318"/>
      <c r="AD3121" s="318"/>
    </row>
    <row r="3122" spans="2:30" s="323" customFormat="1" ht="12" customHeight="1">
      <c r="B3122" s="324"/>
      <c r="C3122" s="325"/>
      <c r="D3122" s="326"/>
      <c r="E3122" s="326"/>
      <c r="F3122" s="326"/>
      <c r="G3122" s="326"/>
      <c r="H3122" s="326"/>
      <c r="P3122" s="318"/>
      <c r="Q3122" s="318"/>
      <c r="R3122" s="318"/>
      <c r="S3122" s="318"/>
      <c r="T3122" s="318"/>
      <c r="U3122" s="318"/>
      <c r="V3122" s="318"/>
      <c r="W3122" s="318"/>
      <c r="X3122" s="318"/>
      <c r="Y3122" s="318"/>
      <c r="Z3122" s="318"/>
      <c r="AA3122" s="318"/>
      <c r="AB3122" s="318"/>
      <c r="AC3122" s="318"/>
      <c r="AD3122" s="318"/>
    </row>
    <row r="3123" spans="2:30" s="323" customFormat="1" ht="12" customHeight="1">
      <c r="B3123" s="324"/>
      <c r="C3123" s="325"/>
      <c r="D3123" s="326"/>
      <c r="E3123" s="326"/>
      <c r="F3123" s="326"/>
      <c r="G3123" s="326"/>
      <c r="H3123" s="326"/>
      <c r="P3123" s="318"/>
      <c r="Q3123" s="318"/>
      <c r="R3123" s="318"/>
      <c r="S3123" s="318"/>
      <c r="T3123" s="318"/>
      <c r="U3123" s="318"/>
      <c r="V3123" s="318"/>
      <c r="W3123" s="318"/>
      <c r="X3123" s="318"/>
      <c r="Y3123" s="318"/>
      <c r="Z3123" s="318"/>
      <c r="AA3123" s="318"/>
      <c r="AB3123" s="318"/>
      <c r="AC3123" s="318"/>
      <c r="AD3123" s="318"/>
    </row>
    <row r="3124" spans="2:30" s="323" customFormat="1" ht="12" customHeight="1">
      <c r="B3124" s="324"/>
      <c r="C3124" s="325"/>
      <c r="D3124" s="326"/>
      <c r="E3124" s="326"/>
      <c r="F3124" s="326"/>
      <c r="G3124" s="326"/>
      <c r="H3124" s="326"/>
      <c r="P3124" s="318"/>
      <c r="Q3124" s="318"/>
      <c r="R3124" s="318"/>
      <c r="S3124" s="318"/>
      <c r="T3124" s="318"/>
      <c r="U3124" s="318"/>
      <c r="V3124" s="318"/>
      <c r="W3124" s="318"/>
      <c r="X3124" s="318"/>
      <c r="Y3124" s="318"/>
      <c r="Z3124" s="318"/>
      <c r="AA3124" s="318"/>
      <c r="AB3124" s="318"/>
      <c r="AC3124" s="318"/>
      <c r="AD3124" s="318"/>
    </row>
    <row r="3125" spans="2:30" s="323" customFormat="1" ht="12" customHeight="1">
      <c r="B3125" s="324"/>
      <c r="C3125" s="325"/>
      <c r="D3125" s="326"/>
      <c r="E3125" s="326"/>
      <c r="F3125" s="326"/>
      <c r="G3125" s="326"/>
      <c r="H3125" s="326"/>
      <c r="P3125" s="318"/>
      <c r="Q3125" s="318"/>
      <c r="R3125" s="318"/>
      <c r="S3125" s="318"/>
      <c r="T3125" s="318"/>
      <c r="U3125" s="318"/>
      <c r="V3125" s="318"/>
      <c r="W3125" s="318"/>
      <c r="X3125" s="318"/>
      <c r="Y3125" s="318"/>
      <c r="Z3125" s="318"/>
      <c r="AA3125" s="318"/>
      <c r="AB3125" s="318"/>
      <c r="AC3125" s="318"/>
      <c r="AD3125" s="318"/>
    </row>
    <row r="3126" spans="2:30" s="323" customFormat="1" ht="12" customHeight="1">
      <c r="B3126" s="324"/>
      <c r="C3126" s="325"/>
      <c r="D3126" s="326"/>
      <c r="E3126" s="326"/>
      <c r="F3126" s="326"/>
      <c r="G3126" s="326"/>
      <c r="H3126" s="326"/>
      <c r="P3126" s="318"/>
      <c r="Q3126" s="318"/>
      <c r="R3126" s="318"/>
      <c r="S3126" s="318"/>
      <c r="T3126" s="318"/>
      <c r="U3126" s="318"/>
      <c r="V3126" s="318"/>
      <c r="W3126" s="318"/>
      <c r="X3126" s="318"/>
      <c r="Y3126" s="318"/>
      <c r="Z3126" s="318"/>
      <c r="AA3126" s="318"/>
      <c r="AB3126" s="318"/>
      <c r="AC3126" s="318"/>
      <c r="AD3126" s="318"/>
    </row>
    <row r="3127" spans="2:30" s="323" customFormat="1" ht="12" customHeight="1">
      <c r="B3127" s="324"/>
      <c r="C3127" s="325"/>
      <c r="D3127" s="326"/>
      <c r="E3127" s="326"/>
      <c r="F3127" s="326"/>
      <c r="G3127" s="326"/>
      <c r="H3127" s="326"/>
      <c r="P3127" s="318"/>
      <c r="Q3127" s="318"/>
      <c r="R3127" s="318"/>
      <c r="S3127" s="318"/>
      <c r="T3127" s="318"/>
      <c r="U3127" s="318"/>
      <c r="V3127" s="318"/>
      <c r="W3127" s="318"/>
      <c r="X3127" s="318"/>
      <c r="Y3127" s="318"/>
      <c r="Z3127" s="318"/>
      <c r="AA3127" s="318"/>
      <c r="AB3127" s="318"/>
      <c r="AC3127" s="318"/>
      <c r="AD3127" s="318"/>
    </row>
    <row r="3128" spans="2:30" s="323" customFormat="1" ht="12" customHeight="1">
      <c r="B3128" s="324"/>
      <c r="C3128" s="325"/>
      <c r="D3128" s="326"/>
      <c r="E3128" s="326"/>
      <c r="F3128" s="326"/>
      <c r="G3128" s="326"/>
      <c r="H3128" s="326"/>
      <c r="P3128" s="318"/>
      <c r="Q3128" s="318"/>
      <c r="R3128" s="318"/>
      <c r="S3128" s="318"/>
      <c r="T3128" s="318"/>
      <c r="U3128" s="318"/>
      <c r="V3128" s="318"/>
      <c r="W3128" s="318"/>
      <c r="X3128" s="318"/>
      <c r="Y3128" s="318"/>
      <c r="Z3128" s="318"/>
      <c r="AA3128" s="318"/>
      <c r="AB3128" s="318"/>
      <c r="AC3128" s="318"/>
      <c r="AD3128" s="318"/>
    </row>
    <row r="3129" spans="2:30" s="323" customFormat="1" ht="12" customHeight="1">
      <c r="B3129" s="324"/>
      <c r="C3129" s="325"/>
      <c r="D3129" s="326"/>
      <c r="E3129" s="326"/>
      <c r="F3129" s="326"/>
      <c r="G3129" s="326"/>
      <c r="H3129" s="326"/>
      <c r="P3129" s="318"/>
      <c r="Q3129" s="318"/>
      <c r="R3129" s="318"/>
      <c r="S3129" s="318"/>
      <c r="T3129" s="318"/>
      <c r="U3129" s="318"/>
      <c r="V3129" s="318"/>
      <c r="W3129" s="318"/>
      <c r="X3129" s="318"/>
      <c r="Y3129" s="318"/>
      <c r="Z3129" s="318"/>
      <c r="AA3129" s="318"/>
      <c r="AB3129" s="318"/>
      <c r="AC3129" s="318"/>
      <c r="AD3129" s="318"/>
    </row>
    <row r="3130" spans="2:30" s="323" customFormat="1" ht="12" customHeight="1">
      <c r="B3130" s="324"/>
      <c r="C3130" s="325"/>
      <c r="D3130" s="326"/>
      <c r="E3130" s="326"/>
      <c r="F3130" s="326"/>
      <c r="G3130" s="326"/>
      <c r="H3130" s="326"/>
      <c r="P3130" s="318"/>
      <c r="Q3130" s="318"/>
      <c r="R3130" s="318"/>
      <c r="S3130" s="318"/>
      <c r="T3130" s="318"/>
      <c r="U3130" s="318"/>
      <c r="V3130" s="318"/>
      <c r="W3130" s="318"/>
      <c r="X3130" s="318"/>
      <c r="Y3130" s="318"/>
      <c r="Z3130" s="318"/>
      <c r="AA3130" s="318"/>
      <c r="AB3130" s="318"/>
      <c r="AC3130" s="318"/>
      <c r="AD3130" s="318"/>
    </row>
    <row r="3131" spans="2:30" s="323" customFormat="1" ht="12" customHeight="1">
      <c r="B3131" s="324"/>
      <c r="C3131" s="325"/>
      <c r="D3131" s="326"/>
      <c r="E3131" s="326"/>
      <c r="F3131" s="326"/>
      <c r="G3131" s="326"/>
      <c r="H3131" s="326"/>
      <c r="P3131" s="318"/>
      <c r="Q3131" s="318"/>
      <c r="R3131" s="318"/>
      <c r="S3131" s="318"/>
      <c r="T3131" s="318"/>
      <c r="U3131" s="318"/>
      <c r="V3131" s="318"/>
      <c r="W3131" s="318"/>
      <c r="X3131" s="318"/>
      <c r="Y3131" s="318"/>
      <c r="Z3131" s="318"/>
      <c r="AA3131" s="318"/>
      <c r="AB3131" s="318"/>
      <c r="AC3131" s="318"/>
      <c r="AD3131" s="318"/>
    </row>
    <row r="3132" spans="2:30" s="323" customFormat="1" ht="12" customHeight="1">
      <c r="B3132" s="324"/>
      <c r="C3132" s="325"/>
      <c r="D3132" s="326"/>
      <c r="E3132" s="326"/>
      <c r="F3132" s="326"/>
      <c r="G3132" s="326"/>
      <c r="H3132" s="326"/>
      <c r="P3132" s="318"/>
      <c r="Q3132" s="318"/>
      <c r="R3132" s="318"/>
      <c r="S3132" s="318"/>
      <c r="T3132" s="318"/>
      <c r="U3132" s="318"/>
      <c r="V3132" s="318"/>
      <c r="W3132" s="318"/>
      <c r="X3132" s="318"/>
      <c r="Y3132" s="318"/>
      <c r="Z3132" s="318"/>
      <c r="AA3132" s="318"/>
      <c r="AB3132" s="318"/>
      <c r="AC3132" s="318"/>
      <c r="AD3132" s="318"/>
    </row>
    <row r="3133" spans="2:30" s="323" customFormat="1" ht="12" customHeight="1">
      <c r="B3133" s="324"/>
      <c r="C3133" s="325"/>
      <c r="D3133" s="326"/>
      <c r="E3133" s="326"/>
      <c r="F3133" s="326"/>
      <c r="G3133" s="326"/>
      <c r="H3133" s="326"/>
      <c r="P3133" s="318"/>
      <c r="Q3133" s="318"/>
      <c r="R3133" s="318"/>
      <c r="S3133" s="318"/>
      <c r="T3133" s="318"/>
      <c r="U3133" s="318"/>
      <c r="V3133" s="318"/>
      <c r="W3133" s="318"/>
      <c r="X3133" s="318"/>
      <c r="Y3133" s="318"/>
      <c r="Z3133" s="318"/>
      <c r="AA3133" s="318"/>
      <c r="AB3133" s="318"/>
      <c r="AC3133" s="318"/>
      <c r="AD3133" s="318"/>
    </row>
    <row r="3134" spans="2:30" s="323" customFormat="1" ht="12" customHeight="1">
      <c r="B3134" s="324"/>
      <c r="C3134" s="325"/>
      <c r="D3134" s="326"/>
      <c r="E3134" s="326"/>
      <c r="F3134" s="326"/>
      <c r="G3134" s="326"/>
      <c r="H3134" s="326"/>
      <c r="P3134" s="318"/>
      <c r="Q3134" s="318"/>
      <c r="R3134" s="318"/>
      <c r="S3134" s="318"/>
      <c r="T3134" s="318"/>
      <c r="U3134" s="318"/>
      <c r="V3134" s="318"/>
      <c r="W3134" s="318"/>
      <c r="X3134" s="318"/>
      <c r="Y3134" s="318"/>
      <c r="Z3134" s="318"/>
      <c r="AA3134" s="318"/>
      <c r="AB3134" s="318"/>
      <c r="AC3134" s="318"/>
      <c r="AD3134" s="318"/>
    </row>
    <row r="3135" spans="2:30" s="323" customFormat="1" ht="12" customHeight="1">
      <c r="B3135" s="324"/>
      <c r="C3135" s="325"/>
      <c r="D3135" s="326"/>
      <c r="E3135" s="326"/>
      <c r="F3135" s="326"/>
      <c r="G3135" s="326"/>
      <c r="H3135" s="326"/>
      <c r="P3135" s="318"/>
      <c r="Q3135" s="318"/>
      <c r="R3135" s="318"/>
      <c r="S3135" s="318"/>
      <c r="T3135" s="318"/>
      <c r="U3135" s="318"/>
      <c r="V3135" s="318"/>
      <c r="W3135" s="318"/>
      <c r="X3135" s="318"/>
      <c r="Y3135" s="318"/>
      <c r="Z3135" s="318"/>
      <c r="AA3135" s="318"/>
      <c r="AB3135" s="318"/>
      <c r="AC3135" s="318"/>
      <c r="AD3135" s="318"/>
    </row>
    <row r="3136" spans="2:30" s="323" customFormat="1" ht="12" customHeight="1">
      <c r="B3136" s="324"/>
      <c r="C3136" s="325"/>
      <c r="D3136" s="326"/>
      <c r="E3136" s="326"/>
      <c r="F3136" s="326"/>
      <c r="G3136" s="326"/>
      <c r="H3136" s="326"/>
      <c r="P3136" s="318"/>
      <c r="Q3136" s="318"/>
      <c r="R3136" s="318"/>
      <c r="S3136" s="318"/>
      <c r="T3136" s="318"/>
      <c r="U3136" s="318"/>
      <c r="V3136" s="318"/>
      <c r="W3136" s="318"/>
      <c r="X3136" s="318"/>
      <c r="Y3136" s="318"/>
      <c r="Z3136" s="318"/>
      <c r="AA3136" s="318"/>
      <c r="AB3136" s="318"/>
      <c r="AC3136" s="318"/>
      <c r="AD3136" s="318"/>
    </row>
    <row r="3137" spans="2:30" s="323" customFormat="1" ht="12" customHeight="1">
      <c r="B3137" s="324"/>
      <c r="C3137" s="325"/>
      <c r="D3137" s="326"/>
      <c r="E3137" s="326"/>
      <c r="F3137" s="326"/>
      <c r="G3137" s="326"/>
      <c r="H3137" s="326"/>
      <c r="P3137" s="318"/>
      <c r="Q3137" s="318"/>
      <c r="R3137" s="318"/>
      <c r="S3137" s="318"/>
      <c r="T3137" s="318"/>
      <c r="U3137" s="318"/>
      <c r="V3137" s="318"/>
      <c r="W3137" s="318"/>
      <c r="X3137" s="318"/>
      <c r="Y3137" s="318"/>
      <c r="Z3137" s="318"/>
      <c r="AA3137" s="318"/>
      <c r="AB3137" s="318"/>
      <c r="AC3137" s="318"/>
      <c r="AD3137" s="318"/>
    </row>
    <row r="3138" spans="2:30" s="323" customFormat="1" ht="12" customHeight="1">
      <c r="B3138" s="324"/>
      <c r="C3138" s="325"/>
      <c r="D3138" s="326"/>
      <c r="E3138" s="326"/>
      <c r="F3138" s="326"/>
      <c r="G3138" s="326"/>
      <c r="H3138" s="326"/>
      <c r="P3138" s="318"/>
      <c r="Q3138" s="318"/>
      <c r="R3138" s="318"/>
      <c r="S3138" s="318"/>
      <c r="T3138" s="318"/>
      <c r="U3138" s="318"/>
      <c r="V3138" s="318"/>
      <c r="W3138" s="318"/>
      <c r="X3138" s="318"/>
      <c r="Y3138" s="318"/>
      <c r="Z3138" s="318"/>
      <c r="AA3138" s="318"/>
      <c r="AB3138" s="318"/>
      <c r="AC3138" s="318"/>
      <c r="AD3138" s="318"/>
    </row>
    <row r="3139" spans="2:30" s="323" customFormat="1" ht="12" customHeight="1">
      <c r="B3139" s="324"/>
      <c r="C3139" s="325"/>
      <c r="D3139" s="326"/>
      <c r="E3139" s="326"/>
      <c r="F3139" s="326"/>
      <c r="G3139" s="326"/>
      <c r="H3139" s="326"/>
      <c r="P3139" s="318"/>
      <c r="Q3139" s="318"/>
      <c r="R3139" s="318"/>
      <c r="S3139" s="318"/>
      <c r="T3139" s="318"/>
      <c r="U3139" s="318"/>
      <c r="V3139" s="318"/>
      <c r="W3139" s="318"/>
      <c r="X3139" s="318"/>
      <c r="Y3139" s="318"/>
      <c r="Z3139" s="318"/>
      <c r="AA3139" s="318"/>
      <c r="AB3139" s="318"/>
      <c r="AC3139" s="318"/>
      <c r="AD3139" s="318"/>
    </row>
    <row r="3140" spans="2:30" s="323" customFormat="1" ht="12" customHeight="1">
      <c r="B3140" s="324"/>
      <c r="C3140" s="325"/>
      <c r="D3140" s="326"/>
      <c r="E3140" s="326"/>
      <c r="F3140" s="326"/>
      <c r="G3140" s="326"/>
      <c r="H3140" s="326"/>
      <c r="P3140" s="318"/>
      <c r="Q3140" s="318"/>
      <c r="R3140" s="318"/>
      <c r="S3140" s="318"/>
      <c r="T3140" s="318"/>
      <c r="U3140" s="318"/>
      <c r="V3140" s="318"/>
      <c r="W3140" s="318"/>
      <c r="X3140" s="318"/>
      <c r="Y3140" s="318"/>
      <c r="Z3140" s="318"/>
      <c r="AA3140" s="318"/>
      <c r="AB3140" s="318"/>
      <c r="AC3140" s="318"/>
      <c r="AD3140" s="318"/>
    </row>
    <row r="3141" spans="2:30" s="323" customFormat="1" ht="12" customHeight="1">
      <c r="B3141" s="324"/>
      <c r="C3141" s="325"/>
      <c r="D3141" s="326"/>
      <c r="E3141" s="326"/>
      <c r="F3141" s="326"/>
      <c r="G3141" s="326"/>
      <c r="H3141" s="326"/>
      <c r="P3141" s="318"/>
      <c r="Q3141" s="318"/>
      <c r="R3141" s="318"/>
      <c r="S3141" s="318"/>
      <c r="T3141" s="318"/>
      <c r="U3141" s="318"/>
      <c r="V3141" s="318"/>
      <c r="W3141" s="318"/>
      <c r="X3141" s="318"/>
      <c r="Y3141" s="318"/>
      <c r="Z3141" s="318"/>
      <c r="AA3141" s="318"/>
      <c r="AB3141" s="318"/>
      <c r="AC3141" s="318"/>
      <c r="AD3141" s="318"/>
    </row>
    <row r="3142" spans="2:30" s="323" customFormat="1" ht="12" customHeight="1">
      <c r="B3142" s="324"/>
      <c r="C3142" s="325"/>
      <c r="D3142" s="326"/>
      <c r="E3142" s="326"/>
      <c r="F3142" s="326"/>
      <c r="G3142" s="326"/>
      <c r="H3142" s="326"/>
      <c r="P3142" s="318"/>
      <c r="Q3142" s="318"/>
      <c r="R3142" s="318"/>
      <c r="S3142" s="318"/>
      <c r="T3142" s="318"/>
      <c r="U3142" s="318"/>
      <c r="V3142" s="318"/>
      <c r="W3142" s="318"/>
      <c r="X3142" s="318"/>
      <c r="Y3142" s="318"/>
      <c r="Z3142" s="318"/>
      <c r="AA3142" s="318"/>
      <c r="AB3142" s="318"/>
      <c r="AC3142" s="318"/>
      <c r="AD3142" s="318"/>
    </row>
    <row r="3143" spans="2:30" s="323" customFormat="1" ht="12" customHeight="1">
      <c r="B3143" s="324"/>
      <c r="C3143" s="325"/>
      <c r="D3143" s="326"/>
      <c r="E3143" s="326"/>
      <c r="F3143" s="326"/>
      <c r="G3143" s="326"/>
      <c r="H3143" s="326"/>
      <c r="P3143" s="318"/>
      <c r="Q3143" s="318"/>
      <c r="R3143" s="318"/>
      <c r="S3143" s="318"/>
      <c r="T3143" s="318"/>
      <c r="U3143" s="318"/>
      <c r="V3143" s="318"/>
      <c r="W3143" s="318"/>
      <c r="X3143" s="318"/>
      <c r="Y3143" s="318"/>
      <c r="Z3143" s="318"/>
      <c r="AA3143" s="318"/>
      <c r="AB3143" s="318"/>
      <c r="AC3143" s="318"/>
      <c r="AD3143" s="318"/>
    </row>
    <row r="3144" spans="2:30" s="323" customFormat="1" ht="12" customHeight="1">
      <c r="B3144" s="324"/>
      <c r="C3144" s="325"/>
      <c r="D3144" s="326"/>
      <c r="E3144" s="326"/>
      <c r="F3144" s="326"/>
      <c r="G3144" s="326"/>
      <c r="H3144" s="326"/>
      <c r="P3144" s="318"/>
      <c r="Q3144" s="318"/>
      <c r="R3144" s="318"/>
      <c r="S3144" s="318"/>
      <c r="T3144" s="318"/>
      <c r="U3144" s="318"/>
      <c r="V3144" s="318"/>
      <c r="W3144" s="318"/>
      <c r="X3144" s="318"/>
      <c r="Y3144" s="318"/>
      <c r="Z3144" s="318"/>
      <c r="AA3144" s="318"/>
      <c r="AB3144" s="318"/>
      <c r="AC3144" s="318"/>
      <c r="AD3144" s="318"/>
    </row>
    <row r="3145" spans="2:30" s="323" customFormat="1" ht="12" customHeight="1">
      <c r="B3145" s="324"/>
      <c r="C3145" s="325"/>
      <c r="D3145" s="326"/>
      <c r="E3145" s="326"/>
      <c r="F3145" s="326"/>
      <c r="G3145" s="326"/>
      <c r="H3145" s="326"/>
      <c r="P3145" s="318"/>
      <c r="Q3145" s="318"/>
      <c r="R3145" s="318"/>
      <c r="S3145" s="318"/>
      <c r="T3145" s="318"/>
      <c r="U3145" s="318"/>
      <c r="V3145" s="318"/>
      <c r="W3145" s="318"/>
      <c r="X3145" s="318"/>
      <c r="Y3145" s="318"/>
      <c r="Z3145" s="318"/>
      <c r="AA3145" s="318"/>
      <c r="AB3145" s="318"/>
      <c r="AC3145" s="318"/>
      <c r="AD3145" s="318"/>
    </row>
    <row r="3146" spans="2:30" s="323" customFormat="1" ht="12" customHeight="1">
      <c r="B3146" s="324"/>
      <c r="C3146" s="325"/>
      <c r="D3146" s="326"/>
      <c r="E3146" s="326"/>
      <c r="F3146" s="326"/>
      <c r="G3146" s="326"/>
      <c r="H3146" s="326"/>
      <c r="P3146" s="318"/>
      <c r="Q3146" s="318"/>
      <c r="R3146" s="318"/>
      <c r="S3146" s="318"/>
      <c r="T3146" s="318"/>
      <c r="U3146" s="318"/>
      <c r="V3146" s="318"/>
      <c r="W3146" s="318"/>
      <c r="X3146" s="318"/>
      <c r="Y3146" s="318"/>
      <c r="Z3146" s="318"/>
      <c r="AA3146" s="318"/>
      <c r="AB3146" s="318"/>
      <c r="AC3146" s="318"/>
      <c r="AD3146" s="318"/>
    </row>
    <row r="3147" spans="2:30" s="323" customFormat="1" ht="12" customHeight="1">
      <c r="B3147" s="324"/>
      <c r="C3147" s="325"/>
      <c r="D3147" s="326"/>
      <c r="E3147" s="326"/>
      <c r="F3147" s="326"/>
      <c r="G3147" s="326"/>
      <c r="H3147" s="326"/>
      <c r="P3147" s="318"/>
      <c r="Q3147" s="318"/>
      <c r="R3147" s="318"/>
      <c r="S3147" s="318"/>
      <c r="T3147" s="318"/>
      <c r="U3147" s="318"/>
      <c r="V3147" s="318"/>
      <c r="W3147" s="318"/>
      <c r="X3147" s="318"/>
      <c r="Y3147" s="318"/>
      <c r="Z3147" s="318"/>
      <c r="AA3147" s="318"/>
      <c r="AB3147" s="318"/>
      <c r="AC3147" s="318"/>
      <c r="AD3147" s="318"/>
    </row>
    <row r="3148" spans="2:30" s="323" customFormat="1" ht="12" customHeight="1">
      <c r="B3148" s="324"/>
      <c r="C3148" s="325"/>
      <c r="D3148" s="326"/>
      <c r="E3148" s="326"/>
      <c r="F3148" s="326"/>
      <c r="G3148" s="326"/>
      <c r="H3148" s="326"/>
      <c r="P3148" s="318"/>
      <c r="Q3148" s="318"/>
      <c r="R3148" s="318"/>
      <c r="S3148" s="318"/>
      <c r="T3148" s="318"/>
      <c r="U3148" s="318"/>
      <c r="V3148" s="318"/>
      <c r="W3148" s="318"/>
      <c r="X3148" s="318"/>
      <c r="Y3148" s="318"/>
      <c r="Z3148" s="318"/>
      <c r="AA3148" s="318"/>
      <c r="AB3148" s="318"/>
      <c r="AC3148" s="318"/>
      <c r="AD3148" s="318"/>
    </row>
    <row r="3149" spans="2:30" s="323" customFormat="1" ht="12" customHeight="1">
      <c r="B3149" s="324"/>
      <c r="C3149" s="325"/>
      <c r="D3149" s="326"/>
      <c r="E3149" s="326"/>
      <c r="F3149" s="326"/>
      <c r="G3149" s="326"/>
      <c r="H3149" s="326"/>
      <c r="P3149" s="318"/>
      <c r="Q3149" s="318"/>
      <c r="R3149" s="318"/>
      <c r="S3149" s="318"/>
      <c r="T3149" s="318"/>
      <c r="U3149" s="318"/>
      <c r="V3149" s="318"/>
      <c r="W3149" s="318"/>
      <c r="X3149" s="318"/>
      <c r="Y3149" s="318"/>
      <c r="Z3149" s="318"/>
      <c r="AA3149" s="318"/>
      <c r="AB3149" s="318"/>
      <c r="AC3149" s="318"/>
      <c r="AD3149" s="318"/>
    </row>
    <row r="3150" spans="2:30" s="323" customFormat="1" ht="12" customHeight="1">
      <c r="B3150" s="324"/>
      <c r="C3150" s="325"/>
      <c r="D3150" s="326"/>
      <c r="E3150" s="326"/>
      <c r="F3150" s="326"/>
      <c r="G3150" s="326"/>
      <c r="H3150" s="326"/>
      <c r="P3150" s="318"/>
      <c r="Q3150" s="318"/>
      <c r="R3150" s="318"/>
      <c r="S3150" s="318"/>
      <c r="T3150" s="318"/>
      <c r="U3150" s="318"/>
      <c r="V3150" s="318"/>
      <c r="W3150" s="318"/>
      <c r="X3150" s="318"/>
      <c r="Y3150" s="318"/>
      <c r="Z3150" s="318"/>
      <c r="AA3150" s="318"/>
      <c r="AB3150" s="318"/>
      <c r="AC3150" s="318"/>
      <c r="AD3150" s="318"/>
    </row>
    <row r="3151" spans="2:30" s="323" customFormat="1" ht="12" customHeight="1">
      <c r="B3151" s="324"/>
      <c r="C3151" s="325"/>
      <c r="D3151" s="326"/>
      <c r="E3151" s="326"/>
      <c r="F3151" s="326"/>
      <c r="G3151" s="326"/>
      <c r="H3151" s="326"/>
      <c r="P3151" s="318"/>
      <c r="Q3151" s="318"/>
      <c r="R3151" s="318"/>
      <c r="S3151" s="318"/>
      <c r="T3151" s="318"/>
      <c r="U3151" s="318"/>
      <c r="V3151" s="318"/>
      <c r="W3151" s="318"/>
      <c r="X3151" s="318"/>
      <c r="Y3151" s="318"/>
      <c r="Z3151" s="318"/>
      <c r="AA3151" s="318"/>
      <c r="AB3151" s="318"/>
      <c r="AC3151" s="318"/>
      <c r="AD3151" s="318"/>
    </row>
    <row r="3152" spans="2:30" s="323" customFormat="1" ht="12" customHeight="1">
      <c r="B3152" s="324"/>
      <c r="C3152" s="325"/>
      <c r="D3152" s="326"/>
      <c r="E3152" s="326"/>
      <c r="F3152" s="326"/>
      <c r="G3152" s="326"/>
      <c r="H3152" s="326"/>
      <c r="P3152" s="318"/>
      <c r="Q3152" s="318"/>
      <c r="R3152" s="318"/>
      <c r="S3152" s="318"/>
      <c r="T3152" s="318"/>
      <c r="U3152" s="318"/>
      <c r="V3152" s="318"/>
      <c r="W3152" s="318"/>
      <c r="X3152" s="318"/>
      <c r="Y3152" s="318"/>
      <c r="Z3152" s="318"/>
      <c r="AA3152" s="318"/>
      <c r="AB3152" s="318"/>
      <c r="AC3152" s="318"/>
      <c r="AD3152" s="318"/>
    </row>
    <row r="3153" spans="2:30" s="323" customFormat="1" ht="12" customHeight="1">
      <c r="B3153" s="324"/>
      <c r="C3153" s="325"/>
      <c r="D3153" s="326"/>
      <c r="E3153" s="326"/>
      <c r="F3153" s="326"/>
      <c r="G3153" s="326"/>
      <c r="H3153" s="326"/>
      <c r="P3153" s="318"/>
      <c r="Q3153" s="318"/>
      <c r="R3153" s="318"/>
      <c r="S3153" s="318"/>
      <c r="T3153" s="318"/>
      <c r="U3153" s="318"/>
      <c r="V3153" s="318"/>
      <c r="W3153" s="318"/>
      <c r="X3153" s="318"/>
      <c r="Y3153" s="318"/>
      <c r="Z3153" s="318"/>
      <c r="AA3153" s="318"/>
      <c r="AB3153" s="318"/>
      <c r="AC3153" s="318"/>
      <c r="AD3153" s="318"/>
    </row>
    <row r="3154" spans="2:30" s="323" customFormat="1" ht="12" customHeight="1">
      <c r="B3154" s="324"/>
      <c r="C3154" s="325"/>
      <c r="D3154" s="326"/>
      <c r="E3154" s="326"/>
      <c r="F3154" s="326"/>
      <c r="G3154" s="326"/>
      <c r="H3154" s="326"/>
      <c r="P3154" s="318"/>
      <c r="Q3154" s="318"/>
      <c r="R3154" s="318"/>
      <c r="S3154" s="318"/>
      <c r="T3154" s="318"/>
      <c r="U3154" s="318"/>
      <c r="V3154" s="318"/>
      <c r="W3154" s="318"/>
      <c r="X3154" s="318"/>
      <c r="Y3154" s="318"/>
      <c r="Z3154" s="318"/>
      <c r="AA3154" s="318"/>
      <c r="AB3154" s="318"/>
      <c r="AC3154" s="318"/>
      <c r="AD3154" s="318"/>
    </row>
    <row r="3155" spans="2:30" s="323" customFormat="1" ht="12" customHeight="1">
      <c r="B3155" s="324"/>
      <c r="C3155" s="325"/>
      <c r="D3155" s="326"/>
      <c r="E3155" s="326"/>
      <c r="F3155" s="326"/>
      <c r="G3155" s="326"/>
      <c r="H3155" s="326"/>
      <c r="P3155" s="318"/>
      <c r="Q3155" s="318"/>
      <c r="R3155" s="318"/>
      <c r="S3155" s="318"/>
      <c r="T3155" s="318"/>
      <c r="U3155" s="318"/>
      <c r="V3155" s="318"/>
      <c r="W3155" s="318"/>
      <c r="X3155" s="318"/>
      <c r="Y3155" s="318"/>
      <c r="Z3155" s="318"/>
      <c r="AA3155" s="318"/>
      <c r="AB3155" s="318"/>
      <c r="AC3155" s="318"/>
      <c r="AD3155" s="318"/>
    </row>
    <row r="3156" spans="2:30" s="323" customFormat="1" ht="12" customHeight="1">
      <c r="B3156" s="324"/>
      <c r="C3156" s="325"/>
      <c r="D3156" s="326"/>
      <c r="E3156" s="326"/>
      <c r="F3156" s="326"/>
      <c r="G3156" s="326"/>
      <c r="H3156" s="326"/>
      <c r="P3156" s="318"/>
      <c r="Q3156" s="318"/>
      <c r="R3156" s="318"/>
      <c r="S3156" s="318"/>
      <c r="T3156" s="318"/>
      <c r="U3156" s="318"/>
      <c r="V3156" s="318"/>
      <c r="W3156" s="318"/>
      <c r="X3156" s="318"/>
      <c r="Y3156" s="318"/>
      <c r="Z3156" s="318"/>
      <c r="AA3156" s="318"/>
      <c r="AB3156" s="318"/>
      <c r="AC3156" s="318"/>
      <c r="AD3156" s="318"/>
    </row>
    <row r="3157" spans="2:30" s="323" customFormat="1" ht="12" customHeight="1">
      <c r="B3157" s="324"/>
      <c r="C3157" s="325"/>
      <c r="D3157" s="326"/>
      <c r="E3157" s="326"/>
      <c r="F3157" s="326"/>
      <c r="G3157" s="326"/>
      <c r="H3157" s="326"/>
      <c r="P3157" s="318"/>
      <c r="Q3157" s="318"/>
      <c r="R3157" s="318"/>
      <c r="S3157" s="318"/>
      <c r="T3157" s="318"/>
      <c r="U3157" s="318"/>
      <c r="V3157" s="318"/>
      <c r="W3157" s="318"/>
      <c r="X3157" s="318"/>
      <c r="Y3157" s="318"/>
      <c r="Z3157" s="318"/>
      <c r="AA3157" s="318"/>
      <c r="AB3157" s="318"/>
      <c r="AC3157" s="318"/>
      <c r="AD3157" s="318"/>
    </row>
    <row r="3158" spans="2:30" s="323" customFormat="1" ht="12" customHeight="1">
      <c r="B3158" s="324"/>
      <c r="C3158" s="325"/>
      <c r="D3158" s="326"/>
      <c r="E3158" s="326"/>
      <c r="F3158" s="326"/>
      <c r="G3158" s="326"/>
      <c r="H3158" s="326"/>
      <c r="P3158" s="318"/>
      <c r="Q3158" s="318"/>
      <c r="R3158" s="318"/>
      <c r="S3158" s="318"/>
      <c r="T3158" s="318"/>
      <c r="U3158" s="318"/>
      <c r="V3158" s="318"/>
      <c r="W3158" s="318"/>
      <c r="X3158" s="318"/>
      <c r="Y3158" s="318"/>
      <c r="Z3158" s="318"/>
      <c r="AA3158" s="318"/>
      <c r="AB3158" s="318"/>
      <c r="AC3158" s="318"/>
      <c r="AD3158" s="318"/>
    </row>
    <row r="3159" spans="2:30" s="323" customFormat="1" ht="12" customHeight="1">
      <c r="B3159" s="324"/>
      <c r="C3159" s="325"/>
      <c r="D3159" s="326"/>
      <c r="E3159" s="326"/>
      <c r="F3159" s="326"/>
      <c r="G3159" s="326"/>
      <c r="H3159" s="326"/>
      <c r="P3159" s="318"/>
      <c r="Q3159" s="318"/>
      <c r="R3159" s="318"/>
      <c r="S3159" s="318"/>
      <c r="T3159" s="318"/>
      <c r="U3159" s="318"/>
      <c r="V3159" s="318"/>
      <c r="W3159" s="318"/>
      <c r="X3159" s="318"/>
      <c r="Y3159" s="318"/>
      <c r="Z3159" s="318"/>
      <c r="AA3159" s="318"/>
      <c r="AB3159" s="318"/>
      <c r="AC3159" s="318"/>
      <c r="AD3159" s="318"/>
    </row>
    <row r="3160" spans="2:30" s="323" customFormat="1" ht="12" customHeight="1">
      <c r="B3160" s="324"/>
      <c r="C3160" s="325"/>
      <c r="D3160" s="326"/>
      <c r="E3160" s="326"/>
      <c r="F3160" s="326"/>
      <c r="G3160" s="326"/>
      <c r="H3160" s="326"/>
      <c r="P3160" s="318"/>
      <c r="Q3160" s="318"/>
      <c r="R3160" s="318"/>
      <c r="S3160" s="318"/>
      <c r="T3160" s="318"/>
      <c r="U3160" s="318"/>
      <c r="V3160" s="318"/>
      <c r="W3160" s="318"/>
      <c r="X3160" s="318"/>
      <c r="Y3160" s="318"/>
      <c r="Z3160" s="318"/>
      <c r="AA3160" s="318"/>
      <c r="AB3160" s="318"/>
      <c r="AC3160" s="318"/>
      <c r="AD3160" s="318"/>
    </row>
    <row r="3161" spans="2:30" s="323" customFormat="1" ht="12" customHeight="1">
      <c r="B3161" s="324"/>
      <c r="C3161" s="325"/>
      <c r="D3161" s="326"/>
      <c r="E3161" s="326"/>
      <c r="F3161" s="326"/>
      <c r="G3161" s="326"/>
      <c r="H3161" s="326"/>
      <c r="P3161" s="318"/>
      <c r="Q3161" s="318"/>
      <c r="R3161" s="318"/>
      <c r="S3161" s="318"/>
      <c r="T3161" s="318"/>
      <c r="U3161" s="318"/>
      <c r="V3161" s="318"/>
      <c r="W3161" s="318"/>
      <c r="X3161" s="318"/>
      <c r="Y3161" s="318"/>
      <c r="Z3161" s="318"/>
      <c r="AA3161" s="318"/>
      <c r="AB3161" s="318"/>
      <c r="AC3161" s="318"/>
      <c r="AD3161" s="318"/>
    </row>
    <row r="3162" spans="2:30" s="323" customFormat="1" ht="12" customHeight="1">
      <c r="B3162" s="324"/>
      <c r="C3162" s="325"/>
      <c r="D3162" s="326"/>
      <c r="E3162" s="326"/>
      <c r="F3162" s="326"/>
      <c r="G3162" s="326"/>
      <c r="H3162" s="326"/>
      <c r="P3162" s="318"/>
      <c r="Q3162" s="318"/>
      <c r="R3162" s="318"/>
      <c r="S3162" s="318"/>
      <c r="T3162" s="318"/>
      <c r="U3162" s="318"/>
      <c r="V3162" s="318"/>
      <c r="W3162" s="318"/>
      <c r="X3162" s="318"/>
      <c r="Y3162" s="318"/>
      <c r="Z3162" s="318"/>
      <c r="AA3162" s="318"/>
      <c r="AB3162" s="318"/>
      <c r="AC3162" s="318"/>
      <c r="AD3162" s="318"/>
    </row>
    <row r="3163" spans="2:30" s="323" customFormat="1" ht="12" customHeight="1">
      <c r="B3163" s="324"/>
      <c r="C3163" s="325"/>
      <c r="D3163" s="326"/>
      <c r="E3163" s="326"/>
      <c r="F3163" s="326"/>
      <c r="G3163" s="326"/>
      <c r="H3163" s="326"/>
      <c r="P3163" s="318"/>
      <c r="Q3163" s="318"/>
      <c r="R3163" s="318"/>
      <c r="S3163" s="318"/>
      <c r="T3163" s="318"/>
      <c r="U3163" s="318"/>
      <c r="V3163" s="318"/>
      <c r="W3163" s="318"/>
      <c r="X3163" s="318"/>
      <c r="Y3163" s="318"/>
      <c r="Z3163" s="318"/>
      <c r="AA3163" s="318"/>
      <c r="AB3163" s="318"/>
      <c r="AC3163" s="318"/>
      <c r="AD3163" s="318"/>
    </row>
    <row r="3164" spans="2:30" s="323" customFormat="1" ht="12" customHeight="1">
      <c r="B3164" s="324"/>
      <c r="C3164" s="325"/>
      <c r="D3164" s="326"/>
      <c r="E3164" s="326"/>
      <c r="F3164" s="326"/>
      <c r="G3164" s="326"/>
      <c r="H3164" s="326"/>
      <c r="P3164" s="318"/>
      <c r="Q3164" s="318"/>
      <c r="R3164" s="318"/>
      <c r="S3164" s="318"/>
      <c r="T3164" s="318"/>
      <c r="U3164" s="318"/>
      <c r="V3164" s="318"/>
      <c r="W3164" s="318"/>
      <c r="X3164" s="318"/>
      <c r="Y3164" s="318"/>
      <c r="Z3164" s="318"/>
      <c r="AA3164" s="318"/>
      <c r="AB3164" s="318"/>
      <c r="AC3164" s="318"/>
      <c r="AD3164" s="318"/>
    </row>
    <row r="3165" spans="2:30" s="323" customFormat="1" ht="12" customHeight="1">
      <c r="B3165" s="324"/>
      <c r="C3165" s="325"/>
      <c r="D3165" s="326"/>
      <c r="E3165" s="326"/>
      <c r="F3165" s="326"/>
      <c r="G3165" s="326"/>
      <c r="H3165" s="326"/>
      <c r="P3165" s="318"/>
      <c r="Q3165" s="318"/>
      <c r="R3165" s="318"/>
      <c r="S3165" s="318"/>
      <c r="T3165" s="318"/>
      <c r="U3165" s="318"/>
      <c r="V3165" s="318"/>
      <c r="W3165" s="318"/>
      <c r="X3165" s="318"/>
      <c r="Y3165" s="318"/>
      <c r="Z3165" s="318"/>
      <c r="AA3165" s="318"/>
      <c r="AB3165" s="318"/>
      <c r="AC3165" s="318"/>
      <c r="AD3165" s="318"/>
    </row>
    <row r="3166" spans="2:30" s="323" customFormat="1" ht="12" customHeight="1">
      <c r="B3166" s="324"/>
      <c r="C3166" s="325"/>
      <c r="D3166" s="326"/>
      <c r="E3166" s="326"/>
      <c r="F3166" s="326"/>
      <c r="G3166" s="326"/>
      <c r="H3166" s="326"/>
      <c r="P3166" s="318"/>
      <c r="Q3166" s="318"/>
      <c r="R3166" s="318"/>
      <c r="S3166" s="318"/>
      <c r="T3166" s="318"/>
      <c r="U3166" s="318"/>
      <c r="V3166" s="318"/>
      <c r="W3166" s="318"/>
      <c r="X3166" s="318"/>
      <c r="Y3166" s="318"/>
      <c r="Z3166" s="318"/>
      <c r="AA3166" s="318"/>
      <c r="AB3166" s="318"/>
      <c r="AC3166" s="318"/>
      <c r="AD3166" s="318"/>
    </row>
    <row r="3167" spans="2:30" s="323" customFormat="1" ht="12" customHeight="1">
      <c r="B3167" s="324"/>
      <c r="C3167" s="325"/>
      <c r="D3167" s="326"/>
      <c r="E3167" s="326"/>
      <c r="F3167" s="326"/>
      <c r="G3167" s="326"/>
      <c r="H3167" s="326"/>
      <c r="P3167" s="318"/>
      <c r="Q3167" s="318"/>
      <c r="R3167" s="318"/>
      <c r="S3167" s="318"/>
      <c r="T3167" s="318"/>
      <c r="U3167" s="318"/>
      <c r="V3167" s="318"/>
      <c r="W3167" s="318"/>
      <c r="X3167" s="318"/>
      <c r="Y3167" s="318"/>
      <c r="Z3167" s="318"/>
      <c r="AA3167" s="318"/>
      <c r="AB3167" s="318"/>
      <c r="AC3167" s="318"/>
      <c r="AD3167" s="318"/>
    </row>
    <row r="3168" spans="2:30" s="323" customFormat="1" ht="12" customHeight="1">
      <c r="B3168" s="324"/>
      <c r="C3168" s="325"/>
      <c r="D3168" s="326"/>
      <c r="E3168" s="326"/>
      <c r="F3168" s="326"/>
      <c r="G3168" s="326"/>
      <c r="H3168" s="326"/>
      <c r="P3168" s="318"/>
      <c r="Q3168" s="318"/>
      <c r="R3168" s="318"/>
      <c r="S3168" s="318"/>
      <c r="T3168" s="318"/>
      <c r="U3168" s="318"/>
      <c r="V3168" s="318"/>
      <c r="W3168" s="318"/>
      <c r="X3168" s="318"/>
      <c r="Y3168" s="318"/>
      <c r="Z3168" s="318"/>
      <c r="AA3168" s="318"/>
      <c r="AB3168" s="318"/>
      <c r="AC3168" s="318"/>
      <c r="AD3168" s="318"/>
    </row>
    <row r="3169" spans="2:30" s="323" customFormat="1" ht="12" customHeight="1">
      <c r="B3169" s="324"/>
      <c r="C3169" s="325"/>
      <c r="D3169" s="326"/>
      <c r="E3169" s="326"/>
      <c r="F3169" s="326"/>
      <c r="G3169" s="326"/>
      <c r="H3169" s="326"/>
      <c r="P3169" s="318"/>
      <c r="Q3169" s="318"/>
      <c r="R3169" s="318"/>
      <c r="S3169" s="318"/>
      <c r="T3169" s="318"/>
      <c r="U3169" s="318"/>
      <c r="V3169" s="318"/>
      <c r="W3169" s="318"/>
      <c r="X3169" s="318"/>
      <c r="Y3169" s="318"/>
      <c r="Z3169" s="318"/>
      <c r="AA3169" s="318"/>
      <c r="AB3169" s="318"/>
      <c r="AC3169" s="318"/>
      <c r="AD3169" s="318"/>
    </row>
    <row r="3170" spans="2:30" s="323" customFormat="1" ht="12" customHeight="1">
      <c r="B3170" s="324"/>
      <c r="C3170" s="325"/>
      <c r="D3170" s="326"/>
      <c r="E3170" s="326"/>
      <c r="F3170" s="326"/>
      <c r="G3170" s="326"/>
      <c r="H3170" s="326"/>
      <c r="P3170" s="318"/>
      <c r="Q3170" s="318"/>
      <c r="R3170" s="318"/>
      <c r="S3170" s="318"/>
      <c r="T3170" s="318"/>
      <c r="U3170" s="318"/>
      <c r="V3170" s="318"/>
      <c r="W3170" s="318"/>
      <c r="X3170" s="318"/>
      <c r="Y3170" s="318"/>
      <c r="Z3170" s="318"/>
      <c r="AA3170" s="318"/>
      <c r="AB3170" s="318"/>
      <c r="AC3170" s="318"/>
      <c r="AD3170" s="318"/>
    </row>
    <row r="3171" spans="2:30" s="323" customFormat="1" ht="12" customHeight="1">
      <c r="B3171" s="324"/>
      <c r="C3171" s="325"/>
      <c r="D3171" s="326"/>
      <c r="E3171" s="326"/>
      <c r="F3171" s="326"/>
      <c r="G3171" s="326"/>
      <c r="H3171" s="326"/>
      <c r="P3171" s="318"/>
      <c r="Q3171" s="318"/>
      <c r="R3171" s="318"/>
      <c r="S3171" s="318"/>
      <c r="T3171" s="318"/>
      <c r="U3171" s="318"/>
      <c r="V3171" s="318"/>
      <c r="W3171" s="318"/>
      <c r="X3171" s="318"/>
      <c r="Y3171" s="318"/>
      <c r="Z3171" s="318"/>
      <c r="AA3171" s="318"/>
      <c r="AB3171" s="318"/>
      <c r="AC3171" s="318"/>
      <c r="AD3171" s="318"/>
    </row>
    <row r="3172" spans="2:30" s="323" customFormat="1" ht="12" customHeight="1">
      <c r="B3172" s="324"/>
      <c r="C3172" s="325"/>
      <c r="D3172" s="326"/>
      <c r="E3172" s="326"/>
      <c r="F3172" s="326"/>
      <c r="G3172" s="326"/>
      <c r="H3172" s="326"/>
      <c r="P3172" s="318"/>
      <c r="Q3172" s="318"/>
      <c r="R3172" s="318"/>
      <c r="S3172" s="318"/>
      <c r="T3172" s="318"/>
      <c r="U3172" s="318"/>
      <c r="V3172" s="318"/>
      <c r="W3172" s="318"/>
      <c r="X3172" s="318"/>
      <c r="Y3172" s="318"/>
      <c r="Z3172" s="318"/>
      <c r="AA3172" s="318"/>
      <c r="AB3172" s="318"/>
      <c r="AC3172" s="318"/>
      <c r="AD3172" s="318"/>
    </row>
    <row r="3173" spans="2:30" s="323" customFormat="1" ht="12" customHeight="1">
      <c r="B3173" s="324"/>
      <c r="C3173" s="325"/>
      <c r="D3173" s="326"/>
      <c r="E3173" s="326"/>
      <c r="F3173" s="326"/>
      <c r="G3173" s="326"/>
      <c r="H3173" s="326"/>
      <c r="P3173" s="318"/>
      <c r="Q3173" s="318"/>
      <c r="R3173" s="318"/>
      <c r="S3173" s="318"/>
      <c r="T3173" s="318"/>
      <c r="U3173" s="318"/>
      <c r="V3173" s="318"/>
      <c r="W3173" s="318"/>
      <c r="X3173" s="318"/>
      <c r="Y3173" s="318"/>
      <c r="Z3173" s="318"/>
      <c r="AA3173" s="318"/>
      <c r="AB3173" s="318"/>
      <c r="AC3173" s="318"/>
      <c r="AD3173" s="318"/>
    </row>
    <row r="3174" spans="2:30" s="323" customFormat="1" ht="12" customHeight="1">
      <c r="B3174" s="324"/>
      <c r="C3174" s="325"/>
      <c r="D3174" s="326"/>
      <c r="E3174" s="326"/>
      <c r="F3174" s="326"/>
      <c r="G3174" s="326"/>
      <c r="H3174" s="326"/>
      <c r="P3174" s="318"/>
      <c r="Q3174" s="318"/>
      <c r="R3174" s="318"/>
      <c r="S3174" s="318"/>
      <c r="T3174" s="318"/>
      <c r="U3174" s="318"/>
      <c r="V3174" s="318"/>
      <c r="W3174" s="318"/>
      <c r="X3174" s="318"/>
      <c r="Y3174" s="318"/>
      <c r="Z3174" s="318"/>
      <c r="AA3174" s="318"/>
      <c r="AB3174" s="318"/>
      <c r="AC3174" s="318"/>
      <c r="AD3174" s="318"/>
    </row>
    <row r="3175" spans="2:30" s="323" customFormat="1" ht="12" customHeight="1">
      <c r="B3175" s="324"/>
      <c r="C3175" s="325"/>
      <c r="D3175" s="326"/>
      <c r="E3175" s="326"/>
      <c r="F3175" s="326"/>
      <c r="G3175" s="326"/>
      <c r="H3175" s="326"/>
      <c r="P3175" s="318"/>
      <c r="Q3175" s="318"/>
      <c r="R3175" s="318"/>
      <c r="S3175" s="318"/>
      <c r="T3175" s="318"/>
      <c r="U3175" s="318"/>
      <c r="V3175" s="318"/>
      <c r="W3175" s="318"/>
      <c r="X3175" s="318"/>
      <c r="Y3175" s="318"/>
      <c r="Z3175" s="318"/>
      <c r="AA3175" s="318"/>
      <c r="AB3175" s="318"/>
      <c r="AC3175" s="318"/>
      <c r="AD3175" s="318"/>
    </row>
    <row r="3176" spans="2:30" s="323" customFormat="1" ht="12" customHeight="1">
      <c r="B3176" s="324"/>
      <c r="C3176" s="325"/>
      <c r="D3176" s="326"/>
      <c r="E3176" s="326"/>
      <c r="F3176" s="326"/>
      <c r="G3176" s="326"/>
      <c r="H3176" s="326"/>
      <c r="P3176" s="318"/>
      <c r="Q3176" s="318"/>
      <c r="R3176" s="318"/>
      <c r="S3176" s="318"/>
      <c r="T3176" s="318"/>
      <c r="U3176" s="318"/>
      <c r="V3176" s="318"/>
      <c r="W3176" s="318"/>
      <c r="X3176" s="318"/>
      <c r="Y3176" s="318"/>
      <c r="Z3176" s="318"/>
      <c r="AA3176" s="318"/>
      <c r="AB3176" s="318"/>
      <c r="AC3176" s="318"/>
      <c r="AD3176" s="318"/>
    </row>
    <row r="3177" spans="2:30" s="323" customFormat="1" ht="12" customHeight="1">
      <c r="B3177" s="324"/>
      <c r="C3177" s="325"/>
      <c r="D3177" s="326"/>
      <c r="E3177" s="326"/>
      <c r="F3177" s="326"/>
      <c r="G3177" s="326"/>
      <c r="H3177" s="326"/>
      <c r="P3177" s="318"/>
      <c r="Q3177" s="318"/>
      <c r="R3177" s="318"/>
      <c r="S3177" s="318"/>
      <c r="T3177" s="318"/>
      <c r="U3177" s="318"/>
      <c r="V3177" s="318"/>
      <c r="W3177" s="318"/>
      <c r="X3177" s="318"/>
      <c r="Y3177" s="318"/>
      <c r="Z3177" s="318"/>
      <c r="AA3177" s="318"/>
      <c r="AB3177" s="318"/>
      <c r="AC3177" s="318"/>
      <c r="AD3177" s="318"/>
    </row>
    <row r="3178" spans="2:30" s="323" customFormat="1" ht="12" customHeight="1">
      <c r="B3178" s="324"/>
      <c r="C3178" s="325"/>
      <c r="D3178" s="326"/>
      <c r="E3178" s="326"/>
      <c r="F3178" s="326"/>
      <c r="G3178" s="326"/>
      <c r="H3178" s="326"/>
      <c r="P3178" s="318"/>
      <c r="Q3178" s="318"/>
      <c r="R3178" s="318"/>
      <c r="S3178" s="318"/>
      <c r="T3178" s="318"/>
      <c r="U3178" s="318"/>
      <c r="V3178" s="318"/>
      <c r="W3178" s="318"/>
      <c r="X3178" s="318"/>
      <c r="Y3178" s="318"/>
      <c r="Z3178" s="318"/>
      <c r="AA3178" s="318"/>
      <c r="AB3178" s="318"/>
      <c r="AC3178" s="318"/>
      <c r="AD3178" s="318"/>
    </row>
    <row r="3179" spans="2:30" s="323" customFormat="1" ht="12" customHeight="1">
      <c r="B3179" s="324"/>
      <c r="C3179" s="325"/>
      <c r="D3179" s="326"/>
      <c r="E3179" s="326"/>
      <c r="F3179" s="326"/>
      <c r="G3179" s="326"/>
      <c r="H3179" s="326"/>
      <c r="P3179" s="318"/>
      <c r="Q3179" s="318"/>
      <c r="R3179" s="318"/>
      <c r="S3179" s="318"/>
      <c r="T3179" s="318"/>
      <c r="U3179" s="318"/>
      <c r="V3179" s="318"/>
      <c r="W3179" s="318"/>
      <c r="X3179" s="318"/>
      <c r="Y3179" s="318"/>
      <c r="Z3179" s="318"/>
      <c r="AA3179" s="318"/>
      <c r="AB3179" s="318"/>
      <c r="AC3179" s="318"/>
      <c r="AD3179" s="318"/>
    </row>
    <row r="3180" spans="2:30" s="323" customFormat="1" ht="12" customHeight="1">
      <c r="B3180" s="324"/>
      <c r="C3180" s="325"/>
      <c r="D3180" s="326"/>
      <c r="E3180" s="326"/>
      <c r="F3180" s="326"/>
      <c r="G3180" s="326"/>
      <c r="H3180" s="326"/>
      <c r="P3180" s="318"/>
      <c r="Q3180" s="318"/>
      <c r="R3180" s="318"/>
      <c r="S3180" s="318"/>
      <c r="T3180" s="318"/>
      <c r="U3180" s="318"/>
      <c r="V3180" s="318"/>
      <c r="W3180" s="318"/>
      <c r="X3180" s="318"/>
      <c r="Y3180" s="318"/>
      <c r="Z3180" s="318"/>
      <c r="AA3180" s="318"/>
      <c r="AB3180" s="318"/>
      <c r="AC3180" s="318"/>
      <c r="AD3180" s="318"/>
    </row>
    <row r="3181" spans="2:30" s="323" customFormat="1" ht="12" customHeight="1">
      <c r="B3181" s="324"/>
      <c r="C3181" s="325"/>
      <c r="D3181" s="326"/>
      <c r="E3181" s="326"/>
      <c r="F3181" s="326"/>
      <c r="G3181" s="326"/>
      <c r="H3181" s="326"/>
      <c r="P3181" s="318"/>
      <c r="Q3181" s="318"/>
      <c r="R3181" s="318"/>
      <c r="S3181" s="318"/>
      <c r="T3181" s="318"/>
      <c r="U3181" s="318"/>
      <c r="V3181" s="318"/>
      <c r="W3181" s="318"/>
      <c r="X3181" s="318"/>
      <c r="Y3181" s="318"/>
      <c r="Z3181" s="318"/>
      <c r="AA3181" s="318"/>
      <c r="AB3181" s="318"/>
      <c r="AC3181" s="318"/>
      <c r="AD3181" s="318"/>
    </row>
    <row r="3182" spans="2:30" s="323" customFormat="1" ht="12" customHeight="1">
      <c r="B3182" s="324"/>
      <c r="C3182" s="325"/>
      <c r="D3182" s="326"/>
      <c r="E3182" s="326"/>
      <c r="F3182" s="326"/>
      <c r="G3182" s="326"/>
      <c r="H3182" s="326"/>
      <c r="P3182" s="318"/>
      <c r="Q3182" s="318"/>
      <c r="R3182" s="318"/>
      <c r="S3182" s="318"/>
      <c r="T3182" s="318"/>
      <c r="U3182" s="318"/>
      <c r="V3182" s="318"/>
      <c r="W3182" s="318"/>
      <c r="X3182" s="318"/>
      <c r="Y3182" s="318"/>
      <c r="Z3182" s="318"/>
      <c r="AA3182" s="318"/>
      <c r="AB3182" s="318"/>
      <c r="AC3182" s="318"/>
      <c r="AD3182" s="318"/>
    </row>
    <row r="3183" spans="2:30" s="323" customFormat="1" ht="12" customHeight="1">
      <c r="B3183" s="324"/>
      <c r="C3183" s="325"/>
      <c r="D3183" s="326"/>
      <c r="E3183" s="326"/>
      <c r="F3183" s="326"/>
      <c r="G3183" s="326"/>
      <c r="H3183" s="326"/>
      <c r="P3183" s="318"/>
      <c r="Q3183" s="318"/>
      <c r="R3183" s="318"/>
      <c r="S3183" s="318"/>
      <c r="T3183" s="318"/>
      <c r="U3183" s="318"/>
      <c r="V3183" s="318"/>
      <c r="W3183" s="318"/>
      <c r="X3183" s="318"/>
      <c r="Y3183" s="318"/>
      <c r="Z3183" s="318"/>
      <c r="AA3183" s="318"/>
      <c r="AB3183" s="318"/>
      <c r="AC3183" s="318"/>
      <c r="AD3183" s="318"/>
    </row>
    <row r="3184" spans="2:30" s="323" customFormat="1" ht="12" customHeight="1">
      <c r="B3184" s="324"/>
      <c r="C3184" s="325"/>
      <c r="D3184" s="326"/>
      <c r="E3184" s="326"/>
      <c r="F3184" s="326"/>
      <c r="G3184" s="326"/>
      <c r="H3184" s="326"/>
      <c r="P3184" s="318"/>
      <c r="Q3184" s="318"/>
      <c r="R3184" s="318"/>
      <c r="S3184" s="318"/>
      <c r="T3184" s="318"/>
      <c r="U3184" s="318"/>
      <c r="V3184" s="318"/>
      <c r="W3184" s="318"/>
      <c r="X3184" s="318"/>
      <c r="Y3184" s="318"/>
      <c r="Z3184" s="318"/>
      <c r="AA3184" s="318"/>
      <c r="AB3184" s="318"/>
      <c r="AC3184" s="318"/>
      <c r="AD3184" s="318"/>
    </row>
    <row r="3185" spans="2:30" s="323" customFormat="1" ht="12" customHeight="1">
      <c r="B3185" s="324"/>
      <c r="C3185" s="325"/>
      <c r="D3185" s="326"/>
      <c r="E3185" s="326"/>
      <c r="F3185" s="326"/>
      <c r="G3185" s="326"/>
      <c r="H3185" s="326"/>
      <c r="P3185" s="318"/>
      <c r="Q3185" s="318"/>
      <c r="R3185" s="318"/>
      <c r="S3185" s="318"/>
      <c r="T3185" s="318"/>
      <c r="U3185" s="318"/>
      <c r="V3185" s="318"/>
      <c r="W3185" s="318"/>
      <c r="X3185" s="318"/>
      <c r="Y3185" s="318"/>
      <c r="Z3185" s="318"/>
      <c r="AA3185" s="318"/>
      <c r="AB3185" s="318"/>
      <c r="AC3185" s="318"/>
      <c r="AD3185" s="318"/>
    </row>
    <row r="3186" spans="2:30" s="323" customFormat="1" ht="12" customHeight="1">
      <c r="B3186" s="324"/>
      <c r="C3186" s="325"/>
      <c r="D3186" s="326"/>
      <c r="E3186" s="326"/>
      <c r="F3186" s="326"/>
      <c r="G3186" s="326"/>
      <c r="H3186" s="326"/>
      <c r="P3186" s="318"/>
      <c r="Q3186" s="318"/>
      <c r="R3186" s="318"/>
      <c r="S3186" s="318"/>
      <c r="T3186" s="318"/>
      <c r="U3186" s="318"/>
      <c r="V3186" s="318"/>
      <c r="W3186" s="318"/>
      <c r="X3186" s="318"/>
      <c r="Y3186" s="318"/>
      <c r="Z3186" s="318"/>
      <c r="AA3186" s="318"/>
      <c r="AB3186" s="318"/>
      <c r="AC3186" s="318"/>
      <c r="AD3186" s="318"/>
    </row>
    <row r="3187" spans="2:30" s="323" customFormat="1" ht="12" customHeight="1">
      <c r="B3187" s="324"/>
      <c r="C3187" s="325"/>
      <c r="D3187" s="326"/>
      <c r="E3187" s="326"/>
      <c r="F3187" s="326"/>
      <c r="G3187" s="326"/>
      <c r="H3187" s="326"/>
      <c r="P3187" s="318"/>
      <c r="Q3187" s="318"/>
      <c r="R3187" s="318"/>
      <c r="S3187" s="318"/>
      <c r="T3187" s="318"/>
      <c r="U3187" s="318"/>
      <c r="V3187" s="318"/>
      <c r="W3187" s="318"/>
      <c r="X3187" s="318"/>
      <c r="Y3187" s="318"/>
      <c r="Z3187" s="318"/>
      <c r="AA3187" s="318"/>
      <c r="AB3187" s="318"/>
      <c r="AC3187" s="318"/>
      <c r="AD3187" s="318"/>
    </row>
    <row r="3188" spans="2:30" s="323" customFormat="1" ht="12" customHeight="1">
      <c r="B3188" s="324"/>
      <c r="C3188" s="325"/>
      <c r="D3188" s="326"/>
      <c r="E3188" s="326"/>
      <c r="F3188" s="326"/>
      <c r="G3188" s="326"/>
      <c r="H3188" s="326"/>
      <c r="P3188" s="318"/>
      <c r="Q3188" s="318"/>
      <c r="R3188" s="318"/>
      <c r="S3188" s="318"/>
      <c r="T3188" s="318"/>
      <c r="U3188" s="318"/>
      <c r="V3188" s="318"/>
      <c r="W3188" s="318"/>
      <c r="X3188" s="318"/>
      <c r="Y3188" s="318"/>
      <c r="Z3188" s="318"/>
      <c r="AA3188" s="318"/>
      <c r="AB3188" s="318"/>
      <c r="AC3188" s="318"/>
      <c r="AD3188" s="318"/>
    </row>
    <row r="3189" spans="2:30" s="323" customFormat="1" ht="12" customHeight="1">
      <c r="B3189" s="324"/>
      <c r="C3189" s="325"/>
      <c r="D3189" s="326"/>
      <c r="E3189" s="326"/>
      <c r="F3189" s="326"/>
      <c r="G3189" s="326"/>
      <c r="H3189" s="326"/>
      <c r="P3189" s="318"/>
      <c r="Q3189" s="318"/>
      <c r="R3189" s="318"/>
      <c r="S3189" s="318"/>
      <c r="T3189" s="318"/>
      <c r="U3189" s="318"/>
      <c r="V3189" s="318"/>
      <c r="W3189" s="318"/>
      <c r="X3189" s="318"/>
      <c r="Y3189" s="318"/>
      <c r="Z3189" s="318"/>
      <c r="AA3189" s="318"/>
      <c r="AB3189" s="318"/>
      <c r="AC3189" s="318"/>
      <c r="AD3189" s="318"/>
    </row>
    <row r="3190" spans="2:30" s="323" customFormat="1" ht="12" customHeight="1">
      <c r="B3190" s="324"/>
      <c r="C3190" s="325"/>
      <c r="D3190" s="326"/>
      <c r="E3190" s="326"/>
      <c r="F3190" s="326"/>
      <c r="G3190" s="326"/>
      <c r="H3190" s="326"/>
      <c r="P3190" s="318"/>
      <c r="Q3190" s="318"/>
      <c r="R3190" s="318"/>
      <c r="S3190" s="318"/>
      <c r="T3190" s="318"/>
      <c r="U3190" s="318"/>
      <c r="V3190" s="318"/>
      <c r="W3190" s="318"/>
      <c r="X3190" s="318"/>
      <c r="Y3190" s="318"/>
      <c r="Z3190" s="318"/>
      <c r="AA3190" s="318"/>
      <c r="AB3190" s="318"/>
      <c r="AC3190" s="318"/>
      <c r="AD3190" s="318"/>
    </row>
    <row r="3191" spans="2:30" s="323" customFormat="1" ht="12" customHeight="1">
      <c r="B3191" s="324"/>
      <c r="C3191" s="325"/>
      <c r="D3191" s="326"/>
      <c r="E3191" s="326"/>
      <c r="F3191" s="326"/>
      <c r="G3191" s="326"/>
      <c r="H3191" s="326"/>
      <c r="P3191" s="318"/>
      <c r="Q3191" s="318"/>
      <c r="R3191" s="318"/>
      <c r="S3191" s="318"/>
      <c r="T3191" s="318"/>
      <c r="U3191" s="318"/>
      <c r="V3191" s="318"/>
      <c r="W3191" s="318"/>
      <c r="X3191" s="318"/>
      <c r="Y3191" s="318"/>
      <c r="Z3191" s="318"/>
      <c r="AA3191" s="318"/>
      <c r="AB3191" s="318"/>
      <c r="AC3191" s="318"/>
      <c r="AD3191" s="318"/>
    </row>
    <row r="3192" spans="2:30" s="323" customFormat="1" ht="12" customHeight="1">
      <c r="B3192" s="324"/>
      <c r="C3192" s="325"/>
      <c r="D3192" s="326"/>
      <c r="E3192" s="326"/>
      <c r="F3192" s="326"/>
      <c r="G3192" s="326"/>
      <c r="H3192" s="326"/>
      <c r="P3192" s="318"/>
      <c r="Q3192" s="318"/>
      <c r="R3192" s="318"/>
      <c r="S3192" s="318"/>
      <c r="T3192" s="318"/>
      <c r="U3192" s="318"/>
      <c r="V3192" s="318"/>
      <c r="W3192" s="318"/>
      <c r="X3192" s="318"/>
      <c r="Y3192" s="318"/>
      <c r="Z3192" s="318"/>
      <c r="AA3192" s="318"/>
      <c r="AB3192" s="318"/>
      <c r="AC3192" s="318"/>
      <c r="AD3192" s="318"/>
    </row>
    <row r="3193" spans="2:30" s="323" customFormat="1" ht="12" customHeight="1">
      <c r="B3193" s="324"/>
      <c r="C3193" s="325"/>
      <c r="D3193" s="326"/>
      <c r="E3193" s="326"/>
      <c r="F3193" s="326"/>
      <c r="G3193" s="326"/>
      <c r="H3193" s="326"/>
      <c r="P3193" s="318"/>
      <c r="Q3193" s="318"/>
      <c r="R3193" s="318"/>
      <c r="S3193" s="318"/>
      <c r="T3193" s="318"/>
      <c r="U3193" s="318"/>
      <c r="V3193" s="318"/>
      <c r="W3193" s="318"/>
      <c r="X3193" s="318"/>
      <c r="Y3193" s="318"/>
      <c r="Z3193" s="318"/>
      <c r="AA3193" s="318"/>
      <c r="AB3193" s="318"/>
      <c r="AC3193" s="318"/>
      <c r="AD3193" s="318"/>
    </row>
    <row r="3194" spans="2:30" s="323" customFormat="1" ht="12" customHeight="1">
      <c r="B3194" s="324"/>
      <c r="C3194" s="325"/>
      <c r="D3194" s="326"/>
      <c r="E3194" s="326"/>
      <c r="F3194" s="326"/>
      <c r="G3194" s="326"/>
      <c r="H3194" s="326"/>
      <c r="P3194" s="318"/>
      <c r="Q3194" s="318"/>
      <c r="R3194" s="318"/>
      <c r="S3194" s="318"/>
      <c r="T3194" s="318"/>
      <c r="U3194" s="318"/>
      <c r="V3194" s="318"/>
      <c r="W3194" s="318"/>
      <c r="X3194" s="318"/>
      <c r="Y3194" s="318"/>
      <c r="Z3194" s="318"/>
      <c r="AA3194" s="318"/>
      <c r="AB3194" s="318"/>
      <c r="AC3194" s="318"/>
      <c r="AD3194" s="318"/>
    </row>
    <row r="3195" spans="2:30" s="323" customFormat="1" ht="12" customHeight="1">
      <c r="B3195" s="324"/>
      <c r="C3195" s="325"/>
      <c r="D3195" s="326"/>
      <c r="E3195" s="326"/>
      <c r="F3195" s="326"/>
      <c r="G3195" s="326"/>
      <c r="H3195" s="326"/>
      <c r="P3195" s="318"/>
      <c r="Q3195" s="318"/>
      <c r="R3195" s="318"/>
      <c r="S3195" s="318"/>
      <c r="T3195" s="318"/>
      <c r="U3195" s="318"/>
      <c r="V3195" s="318"/>
      <c r="W3195" s="318"/>
      <c r="X3195" s="318"/>
      <c r="Y3195" s="318"/>
      <c r="Z3195" s="318"/>
      <c r="AA3195" s="318"/>
      <c r="AB3195" s="318"/>
      <c r="AC3195" s="318"/>
      <c r="AD3195" s="318"/>
    </row>
    <row r="3196" spans="2:30" s="323" customFormat="1" ht="12" customHeight="1">
      <c r="B3196" s="324"/>
      <c r="C3196" s="325"/>
      <c r="D3196" s="326"/>
      <c r="E3196" s="326"/>
      <c r="F3196" s="326"/>
      <c r="G3196" s="326"/>
      <c r="H3196" s="326"/>
      <c r="P3196" s="318"/>
      <c r="Q3196" s="318"/>
      <c r="R3196" s="318"/>
      <c r="S3196" s="318"/>
      <c r="T3196" s="318"/>
      <c r="U3196" s="318"/>
      <c r="V3196" s="318"/>
      <c r="W3196" s="318"/>
      <c r="X3196" s="318"/>
      <c r="Y3196" s="318"/>
      <c r="Z3196" s="318"/>
      <c r="AA3196" s="318"/>
      <c r="AB3196" s="318"/>
      <c r="AC3196" s="318"/>
      <c r="AD3196" s="318"/>
    </row>
    <row r="3197" spans="2:30" s="323" customFormat="1" ht="12" customHeight="1">
      <c r="B3197" s="324"/>
      <c r="C3197" s="325"/>
      <c r="D3197" s="326"/>
      <c r="E3197" s="326"/>
      <c r="F3197" s="326"/>
      <c r="G3197" s="326"/>
      <c r="H3197" s="326"/>
      <c r="P3197" s="318"/>
      <c r="Q3197" s="318"/>
      <c r="R3197" s="318"/>
      <c r="S3197" s="318"/>
      <c r="T3197" s="318"/>
      <c r="U3197" s="318"/>
      <c r="V3197" s="318"/>
      <c r="W3197" s="318"/>
      <c r="X3197" s="318"/>
      <c r="Y3197" s="318"/>
      <c r="Z3197" s="318"/>
      <c r="AA3197" s="318"/>
      <c r="AB3197" s="318"/>
      <c r="AC3197" s="318"/>
      <c r="AD3197" s="318"/>
    </row>
    <row r="3198" spans="2:30" s="323" customFormat="1" ht="12" customHeight="1">
      <c r="B3198" s="324"/>
      <c r="C3198" s="325"/>
      <c r="D3198" s="326"/>
      <c r="E3198" s="326"/>
      <c r="F3198" s="326"/>
      <c r="G3198" s="326"/>
      <c r="H3198" s="326"/>
      <c r="P3198" s="318"/>
      <c r="Q3198" s="318"/>
      <c r="R3198" s="318"/>
      <c r="S3198" s="318"/>
      <c r="T3198" s="318"/>
      <c r="U3198" s="318"/>
      <c r="V3198" s="318"/>
      <c r="W3198" s="318"/>
      <c r="X3198" s="318"/>
      <c r="Y3198" s="318"/>
      <c r="Z3198" s="318"/>
      <c r="AA3198" s="318"/>
      <c r="AB3198" s="318"/>
      <c r="AC3198" s="318"/>
      <c r="AD3198" s="318"/>
    </row>
    <row r="3199" spans="2:30" s="323" customFormat="1" ht="12" customHeight="1">
      <c r="B3199" s="324"/>
      <c r="C3199" s="325"/>
      <c r="D3199" s="326"/>
      <c r="E3199" s="326"/>
      <c r="F3199" s="326"/>
      <c r="G3199" s="326"/>
      <c r="H3199" s="326"/>
      <c r="P3199" s="318"/>
      <c r="Q3199" s="318"/>
      <c r="R3199" s="318"/>
      <c r="S3199" s="318"/>
      <c r="T3199" s="318"/>
      <c r="U3199" s="318"/>
      <c r="V3199" s="318"/>
      <c r="W3199" s="318"/>
      <c r="X3199" s="318"/>
      <c r="Y3199" s="318"/>
      <c r="Z3199" s="318"/>
      <c r="AA3199" s="318"/>
      <c r="AB3199" s="318"/>
      <c r="AC3199" s="318"/>
      <c r="AD3199" s="318"/>
    </row>
    <row r="3200" spans="2:30" s="323" customFormat="1" ht="12" customHeight="1">
      <c r="B3200" s="324"/>
      <c r="C3200" s="325"/>
      <c r="D3200" s="326"/>
      <c r="E3200" s="326"/>
      <c r="F3200" s="326"/>
      <c r="G3200" s="326"/>
      <c r="H3200" s="326"/>
      <c r="P3200" s="318"/>
      <c r="Q3200" s="318"/>
      <c r="R3200" s="318"/>
      <c r="S3200" s="318"/>
      <c r="T3200" s="318"/>
      <c r="U3200" s="318"/>
      <c r="V3200" s="318"/>
      <c r="W3200" s="318"/>
      <c r="X3200" s="318"/>
      <c r="Y3200" s="318"/>
      <c r="Z3200" s="318"/>
      <c r="AA3200" s="318"/>
      <c r="AB3200" s="318"/>
      <c r="AC3200" s="318"/>
      <c r="AD3200" s="318"/>
    </row>
    <row r="3201" spans="2:30" s="323" customFormat="1" ht="12" customHeight="1">
      <c r="B3201" s="324"/>
      <c r="C3201" s="325"/>
      <c r="D3201" s="326"/>
      <c r="E3201" s="326"/>
      <c r="F3201" s="326"/>
      <c r="G3201" s="326"/>
      <c r="H3201" s="326"/>
      <c r="P3201" s="318"/>
      <c r="Q3201" s="318"/>
      <c r="R3201" s="318"/>
      <c r="S3201" s="318"/>
      <c r="T3201" s="318"/>
      <c r="U3201" s="318"/>
      <c r="V3201" s="318"/>
      <c r="W3201" s="318"/>
      <c r="X3201" s="318"/>
      <c r="Y3201" s="318"/>
      <c r="Z3201" s="318"/>
      <c r="AA3201" s="318"/>
      <c r="AB3201" s="318"/>
      <c r="AC3201" s="318"/>
      <c r="AD3201" s="318"/>
    </row>
    <row r="3202" spans="2:30" s="323" customFormat="1" ht="12" customHeight="1">
      <c r="B3202" s="324"/>
      <c r="C3202" s="325"/>
      <c r="D3202" s="326"/>
      <c r="E3202" s="326"/>
      <c r="F3202" s="326"/>
      <c r="G3202" s="326"/>
      <c r="H3202" s="326"/>
      <c r="P3202" s="318"/>
      <c r="Q3202" s="318"/>
      <c r="R3202" s="318"/>
      <c r="S3202" s="318"/>
      <c r="T3202" s="318"/>
      <c r="U3202" s="318"/>
      <c r="V3202" s="318"/>
      <c r="W3202" s="318"/>
      <c r="X3202" s="318"/>
      <c r="Y3202" s="318"/>
      <c r="Z3202" s="318"/>
      <c r="AA3202" s="318"/>
      <c r="AB3202" s="318"/>
      <c r="AC3202" s="318"/>
      <c r="AD3202" s="318"/>
    </row>
    <row r="3203" spans="2:30" s="323" customFormat="1" ht="12" customHeight="1">
      <c r="B3203" s="324"/>
      <c r="C3203" s="325"/>
      <c r="D3203" s="326"/>
      <c r="E3203" s="326"/>
      <c r="F3203" s="326"/>
      <c r="G3203" s="326"/>
      <c r="H3203" s="326"/>
      <c r="P3203" s="318"/>
      <c r="Q3203" s="318"/>
      <c r="R3203" s="318"/>
      <c r="S3203" s="318"/>
      <c r="T3203" s="318"/>
      <c r="U3203" s="318"/>
      <c r="V3203" s="318"/>
      <c r="W3203" s="318"/>
      <c r="X3203" s="318"/>
      <c r="Y3203" s="318"/>
      <c r="Z3203" s="318"/>
      <c r="AA3203" s="318"/>
      <c r="AB3203" s="318"/>
      <c r="AC3203" s="318"/>
      <c r="AD3203" s="318"/>
    </row>
    <row r="3204" spans="2:30" s="323" customFormat="1" ht="12" customHeight="1">
      <c r="B3204" s="324"/>
      <c r="C3204" s="325"/>
      <c r="D3204" s="326"/>
      <c r="E3204" s="326"/>
      <c r="F3204" s="326"/>
      <c r="G3204" s="326"/>
      <c r="H3204" s="326"/>
      <c r="P3204" s="318"/>
      <c r="Q3204" s="318"/>
      <c r="R3204" s="318"/>
      <c r="S3204" s="318"/>
      <c r="T3204" s="318"/>
      <c r="U3204" s="318"/>
      <c r="V3204" s="318"/>
      <c r="W3204" s="318"/>
      <c r="X3204" s="318"/>
      <c r="Y3204" s="318"/>
      <c r="Z3204" s="318"/>
      <c r="AA3204" s="318"/>
      <c r="AB3204" s="318"/>
      <c r="AC3204" s="318"/>
      <c r="AD3204" s="318"/>
    </row>
    <row r="3205" spans="2:30" s="323" customFormat="1" ht="12" customHeight="1">
      <c r="B3205" s="324"/>
      <c r="C3205" s="325"/>
      <c r="D3205" s="326"/>
      <c r="E3205" s="326"/>
      <c r="F3205" s="326"/>
      <c r="G3205" s="326"/>
      <c r="H3205" s="326"/>
      <c r="P3205" s="318"/>
      <c r="Q3205" s="318"/>
      <c r="R3205" s="318"/>
      <c r="S3205" s="318"/>
      <c r="T3205" s="318"/>
      <c r="U3205" s="318"/>
      <c r="V3205" s="318"/>
      <c r="W3205" s="318"/>
      <c r="X3205" s="318"/>
      <c r="Y3205" s="318"/>
      <c r="Z3205" s="318"/>
      <c r="AA3205" s="318"/>
      <c r="AB3205" s="318"/>
      <c r="AC3205" s="318"/>
      <c r="AD3205" s="318"/>
    </row>
    <row r="3206" spans="2:30" s="323" customFormat="1" ht="12" customHeight="1">
      <c r="B3206" s="324"/>
      <c r="C3206" s="325"/>
      <c r="D3206" s="326"/>
      <c r="E3206" s="326"/>
      <c r="F3206" s="326"/>
      <c r="G3206" s="326"/>
      <c r="H3206" s="326"/>
      <c r="P3206" s="318"/>
      <c r="Q3206" s="318"/>
      <c r="R3206" s="318"/>
      <c r="S3206" s="318"/>
      <c r="T3206" s="318"/>
      <c r="U3206" s="318"/>
      <c r="V3206" s="318"/>
      <c r="W3206" s="318"/>
      <c r="X3206" s="318"/>
      <c r="Y3206" s="318"/>
      <c r="Z3206" s="318"/>
      <c r="AA3206" s="318"/>
      <c r="AB3206" s="318"/>
      <c r="AC3206" s="318"/>
      <c r="AD3206" s="318"/>
    </row>
    <row r="3207" spans="2:30" s="323" customFormat="1" ht="12" customHeight="1">
      <c r="B3207" s="324"/>
      <c r="C3207" s="325"/>
      <c r="D3207" s="326"/>
      <c r="E3207" s="326"/>
      <c r="F3207" s="326"/>
      <c r="G3207" s="326"/>
      <c r="H3207" s="326"/>
      <c r="P3207" s="318"/>
      <c r="Q3207" s="318"/>
      <c r="R3207" s="318"/>
      <c r="S3207" s="318"/>
      <c r="T3207" s="318"/>
      <c r="U3207" s="318"/>
      <c r="V3207" s="318"/>
      <c r="W3207" s="318"/>
      <c r="X3207" s="318"/>
      <c r="Y3207" s="318"/>
      <c r="Z3207" s="318"/>
      <c r="AA3207" s="318"/>
      <c r="AB3207" s="318"/>
      <c r="AC3207" s="318"/>
      <c r="AD3207" s="318"/>
    </row>
    <row r="3208" spans="2:30" s="323" customFormat="1" ht="12" customHeight="1">
      <c r="B3208" s="324"/>
      <c r="C3208" s="325"/>
      <c r="D3208" s="326"/>
      <c r="E3208" s="326"/>
      <c r="F3208" s="326"/>
      <c r="G3208" s="326"/>
      <c r="H3208" s="326"/>
      <c r="P3208" s="318"/>
      <c r="Q3208" s="318"/>
      <c r="R3208" s="318"/>
      <c r="S3208" s="318"/>
      <c r="T3208" s="318"/>
      <c r="U3208" s="318"/>
      <c r="V3208" s="318"/>
      <c r="W3208" s="318"/>
      <c r="X3208" s="318"/>
      <c r="Y3208" s="318"/>
      <c r="Z3208" s="318"/>
      <c r="AA3208" s="318"/>
      <c r="AB3208" s="318"/>
      <c r="AC3208" s="318"/>
      <c r="AD3208" s="318"/>
    </row>
    <row r="3209" spans="2:30" s="323" customFormat="1" ht="12" customHeight="1">
      <c r="B3209" s="324"/>
      <c r="C3209" s="325"/>
      <c r="D3209" s="326"/>
      <c r="E3209" s="326"/>
      <c r="F3209" s="326"/>
      <c r="G3209" s="326"/>
      <c r="H3209" s="326"/>
      <c r="P3209" s="318"/>
      <c r="Q3209" s="318"/>
      <c r="R3209" s="318"/>
      <c r="S3209" s="318"/>
      <c r="T3209" s="318"/>
      <c r="U3209" s="318"/>
      <c r="V3209" s="318"/>
      <c r="W3209" s="318"/>
      <c r="X3209" s="318"/>
      <c r="Y3209" s="318"/>
      <c r="Z3209" s="318"/>
      <c r="AA3209" s="318"/>
      <c r="AB3209" s="318"/>
      <c r="AC3209" s="318"/>
      <c r="AD3209" s="318"/>
    </row>
    <row r="3210" spans="2:30" s="323" customFormat="1" ht="12" customHeight="1">
      <c r="B3210" s="324"/>
      <c r="C3210" s="325"/>
      <c r="D3210" s="326"/>
      <c r="E3210" s="326"/>
      <c r="F3210" s="326"/>
      <c r="G3210" s="326"/>
      <c r="H3210" s="326"/>
      <c r="P3210" s="318"/>
      <c r="Q3210" s="318"/>
      <c r="R3210" s="318"/>
      <c r="S3210" s="318"/>
      <c r="T3210" s="318"/>
      <c r="U3210" s="318"/>
      <c r="V3210" s="318"/>
      <c r="W3210" s="318"/>
      <c r="X3210" s="318"/>
      <c r="Y3210" s="318"/>
      <c r="Z3210" s="318"/>
      <c r="AA3210" s="318"/>
      <c r="AB3210" s="318"/>
      <c r="AC3210" s="318"/>
      <c r="AD3210" s="318"/>
    </row>
    <row r="3211" spans="2:30" s="323" customFormat="1" ht="12" customHeight="1">
      <c r="B3211" s="324"/>
      <c r="C3211" s="325"/>
      <c r="D3211" s="326"/>
      <c r="E3211" s="326"/>
      <c r="F3211" s="326"/>
      <c r="G3211" s="326"/>
      <c r="H3211" s="326"/>
      <c r="P3211" s="318"/>
      <c r="Q3211" s="318"/>
      <c r="R3211" s="318"/>
      <c r="S3211" s="318"/>
      <c r="T3211" s="318"/>
      <c r="U3211" s="318"/>
      <c r="V3211" s="318"/>
      <c r="W3211" s="318"/>
      <c r="X3211" s="318"/>
      <c r="Y3211" s="318"/>
      <c r="Z3211" s="318"/>
      <c r="AA3211" s="318"/>
      <c r="AB3211" s="318"/>
      <c r="AC3211" s="318"/>
      <c r="AD3211" s="318"/>
    </row>
    <row r="3212" spans="2:30" s="323" customFormat="1" ht="12" customHeight="1">
      <c r="B3212" s="324"/>
      <c r="C3212" s="325"/>
      <c r="D3212" s="326"/>
      <c r="E3212" s="326"/>
      <c r="F3212" s="326"/>
      <c r="G3212" s="326"/>
      <c r="H3212" s="326"/>
      <c r="P3212" s="318"/>
      <c r="Q3212" s="318"/>
      <c r="R3212" s="318"/>
      <c r="S3212" s="318"/>
      <c r="T3212" s="318"/>
      <c r="U3212" s="318"/>
      <c r="V3212" s="318"/>
      <c r="W3212" s="318"/>
      <c r="X3212" s="318"/>
      <c r="Y3212" s="318"/>
      <c r="Z3212" s="318"/>
      <c r="AA3212" s="318"/>
      <c r="AB3212" s="318"/>
      <c r="AC3212" s="318"/>
      <c r="AD3212" s="318"/>
    </row>
    <row r="3213" spans="2:30" s="323" customFormat="1" ht="12" customHeight="1">
      <c r="B3213" s="324"/>
      <c r="C3213" s="325"/>
      <c r="D3213" s="326"/>
      <c r="E3213" s="326"/>
      <c r="F3213" s="326"/>
      <c r="G3213" s="326"/>
      <c r="H3213" s="326"/>
      <c r="P3213" s="318"/>
      <c r="Q3213" s="318"/>
      <c r="R3213" s="318"/>
      <c r="S3213" s="318"/>
      <c r="T3213" s="318"/>
      <c r="U3213" s="318"/>
      <c r="V3213" s="318"/>
      <c r="W3213" s="318"/>
      <c r="X3213" s="318"/>
      <c r="Y3213" s="318"/>
      <c r="Z3213" s="318"/>
      <c r="AA3213" s="318"/>
      <c r="AB3213" s="318"/>
      <c r="AC3213" s="318"/>
      <c r="AD3213" s="318"/>
    </row>
    <row r="3214" spans="2:30" s="323" customFormat="1" ht="12" customHeight="1">
      <c r="B3214" s="324"/>
      <c r="C3214" s="325"/>
      <c r="D3214" s="326"/>
      <c r="E3214" s="326"/>
      <c r="F3214" s="326"/>
      <c r="G3214" s="326"/>
      <c r="H3214" s="326"/>
      <c r="P3214" s="318"/>
      <c r="Q3214" s="318"/>
      <c r="R3214" s="318"/>
      <c r="S3214" s="318"/>
      <c r="T3214" s="318"/>
      <c r="U3214" s="318"/>
      <c r="V3214" s="318"/>
      <c r="W3214" s="318"/>
      <c r="X3214" s="318"/>
      <c r="Y3214" s="318"/>
      <c r="Z3214" s="318"/>
      <c r="AA3214" s="318"/>
      <c r="AB3214" s="318"/>
      <c r="AC3214" s="318"/>
      <c r="AD3214" s="318"/>
    </row>
    <row r="3215" spans="2:30" s="323" customFormat="1" ht="12" customHeight="1">
      <c r="B3215" s="324"/>
      <c r="C3215" s="325"/>
      <c r="D3215" s="326"/>
      <c r="E3215" s="326"/>
      <c r="F3215" s="326"/>
      <c r="G3215" s="326"/>
      <c r="H3215" s="326"/>
      <c r="P3215" s="318"/>
      <c r="Q3215" s="318"/>
      <c r="R3215" s="318"/>
      <c r="S3215" s="318"/>
      <c r="T3215" s="318"/>
      <c r="U3215" s="318"/>
      <c r="V3215" s="318"/>
      <c r="W3215" s="318"/>
      <c r="X3215" s="318"/>
      <c r="Y3215" s="318"/>
      <c r="Z3215" s="318"/>
      <c r="AA3215" s="318"/>
      <c r="AB3215" s="318"/>
      <c r="AC3215" s="318"/>
      <c r="AD3215" s="318"/>
    </row>
    <row r="3216" spans="2:30" s="323" customFormat="1" ht="12" customHeight="1">
      <c r="B3216" s="324"/>
      <c r="C3216" s="325"/>
      <c r="D3216" s="326"/>
      <c r="E3216" s="326"/>
      <c r="F3216" s="326"/>
      <c r="G3216" s="326"/>
      <c r="H3216" s="326"/>
      <c r="P3216" s="318"/>
      <c r="Q3216" s="318"/>
      <c r="R3216" s="318"/>
      <c r="S3216" s="318"/>
      <c r="T3216" s="318"/>
      <c r="U3216" s="318"/>
      <c r="V3216" s="318"/>
      <c r="W3216" s="318"/>
      <c r="X3216" s="318"/>
      <c r="Y3216" s="318"/>
      <c r="Z3216" s="318"/>
      <c r="AA3216" s="318"/>
      <c r="AB3216" s="318"/>
      <c r="AC3216" s="318"/>
      <c r="AD3216" s="318"/>
    </row>
    <row r="3217" spans="2:30" s="323" customFormat="1" ht="12" customHeight="1">
      <c r="B3217" s="324"/>
      <c r="C3217" s="325"/>
      <c r="D3217" s="326"/>
      <c r="E3217" s="326"/>
      <c r="F3217" s="326"/>
      <c r="G3217" s="326"/>
      <c r="H3217" s="326"/>
      <c r="P3217" s="318"/>
      <c r="Q3217" s="318"/>
      <c r="R3217" s="318"/>
      <c r="S3217" s="318"/>
      <c r="T3217" s="318"/>
      <c r="U3217" s="318"/>
      <c r="V3217" s="318"/>
      <c r="W3217" s="318"/>
      <c r="X3217" s="318"/>
      <c r="Y3217" s="318"/>
      <c r="Z3217" s="318"/>
      <c r="AA3217" s="318"/>
      <c r="AB3217" s="318"/>
      <c r="AC3217" s="318"/>
      <c r="AD3217" s="318"/>
    </row>
    <row r="3218" spans="2:30" s="323" customFormat="1" ht="12" customHeight="1">
      <c r="B3218" s="324"/>
      <c r="C3218" s="325"/>
      <c r="D3218" s="326"/>
      <c r="E3218" s="326"/>
      <c r="F3218" s="326"/>
      <c r="G3218" s="326"/>
      <c r="H3218" s="326"/>
      <c r="P3218" s="318"/>
      <c r="Q3218" s="318"/>
      <c r="R3218" s="318"/>
      <c r="S3218" s="318"/>
      <c r="T3218" s="318"/>
      <c r="U3218" s="318"/>
      <c r="V3218" s="318"/>
      <c r="W3218" s="318"/>
      <c r="X3218" s="318"/>
      <c r="Y3218" s="318"/>
      <c r="Z3218" s="318"/>
      <c r="AA3218" s="318"/>
      <c r="AB3218" s="318"/>
      <c r="AC3218" s="318"/>
      <c r="AD3218" s="318"/>
    </row>
    <row r="3219" spans="2:30" s="323" customFormat="1" ht="12" customHeight="1">
      <c r="B3219" s="324"/>
      <c r="C3219" s="325"/>
      <c r="D3219" s="326"/>
      <c r="E3219" s="326"/>
      <c r="F3219" s="326"/>
      <c r="G3219" s="326"/>
      <c r="H3219" s="326"/>
      <c r="P3219" s="318"/>
      <c r="Q3219" s="318"/>
      <c r="R3219" s="318"/>
      <c r="S3219" s="318"/>
      <c r="T3219" s="318"/>
      <c r="U3219" s="318"/>
      <c r="V3219" s="318"/>
      <c r="W3219" s="318"/>
      <c r="X3219" s="318"/>
      <c r="Y3219" s="318"/>
      <c r="Z3219" s="318"/>
      <c r="AA3219" s="318"/>
      <c r="AB3219" s="318"/>
      <c r="AC3219" s="318"/>
      <c r="AD3219" s="318"/>
    </row>
    <row r="3220" spans="2:30" s="323" customFormat="1" ht="12" customHeight="1">
      <c r="B3220" s="324"/>
      <c r="C3220" s="325"/>
      <c r="D3220" s="326"/>
      <c r="E3220" s="326"/>
      <c r="F3220" s="326"/>
      <c r="G3220" s="326"/>
      <c r="H3220" s="326"/>
      <c r="P3220" s="318"/>
      <c r="Q3220" s="318"/>
      <c r="R3220" s="318"/>
      <c r="S3220" s="318"/>
      <c r="T3220" s="318"/>
      <c r="U3220" s="318"/>
      <c r="V3220" s="318"/>
      <c r="W3220" s="318"/>
      <c r="X3220" s="318"/>
      <c r="Y3220" s="318"/>
      <c r="Z3220" s="318"/>
      <c r="AA3220" s="318"/>
      <c r="AB3220" s="318"/>
      <c r="AC3220" s="318"/>
      <c r="AD3220" s="318"/>
    </row>
    <row r="3221" spans="2:30" s="323" customFormat="1" ht="12" customHeight="1">
      <c r="B3221" s="324"/>
      <c r="C3221" s="325"/>
      <c r="D3221" s="326"/>
      <c r="E3221" s="326"/>
      <c r="F3221" s="326"/>
      <c r="G3221" s="326"/>
      <c r="H3221" s="326"/>
      <c r="P3221" s="318"/>
      <c r="Q3221" s="318"/>
      <c r="R3221" s="318"/>
      <c r="S3221" s="318"/>
      <c r="T3221" s="318"/>
      <c r="U3221" s="318"/>
      <c r="V3221" s="318"/>
      <c r="W3221" s="318"/>
      <c r="X3221" s="318"/>
      <c r="Y3221" s="318"/>
      <c r="Z3221" s="318"/>
      <c r="AA3221" s="318"/>
      <c r="AB3221" s="318"/>
      <c r="AC3221" s="318"/>
      <c r="AD3221" s="318"/>
    </row>
    <row r="3222" spans="2:30" s="323" customFormat="1" ht="12" customHeight="1">
      <c r="B3222" s="324"/>
      <c r="C3222" s="325"/>
      <c r="D3222" s="326"/>
      <c r="E3222" s="326"/>
      <c r="F3222" s="326"/>
      <c r="G3222" s="326"/>
      <c r="H3222" s="326"/>
      <c r="P3222" s="318"/>
      <c r="Q3222" s="318"/>
      <c r="R3222" s="318"/>
      <c r="S3222" s="318"/>
      <c r="T3222" s="318"/>
      <c r="U3222" s="318"/>
      <c r="V3222" s="318"/>
      <c r="W3222" s="318"/>
      <c r="X3222" s="318"/>
      <c r="Y3222" s="318"/>
      <c r="Z3222" s="318"/>
      <c r="AA3222" s="318"/>
      <c r="AB3222" s="318"/>
      <c r="AC3222" s="318"/>
      <c r="AD3222" s="318"/>
    </row>
    <row r="3223" spans="2:30" s="323" customFormat="1" ht="12" customHeight="1">
      <c r="B3223" s="324"/>
      <c r="C3223" s="325"/>
      <c r="D3223" s="326"/>
      <c r="E3223" s="326"/>
      <c r="F3223" s="326"/>
      <c r="G3223" s="326"/>
      <c r="H3223" s="326"/>
      <c r="P3223" s="318"/>
      <c r="Q3223" s="318"/>
      <c r="R3223" s="318"/>
      <c r="S3223" s="318"/>
      <c r="T3223" s="318"/>
      <c r="U3223" s="318"/>
      <c r="V3223" s="318"/>
      <c r="W3223" s="318"/>
      <c r="X3223" s="318"/>
      <c r="Y3223" s="318"/>
      <c r="Z3223" s="318"/>
      <c r="AA3223" s="318"/>
      <c r="AB3223" s="318"/>
      <c r="AC3223" s="318"/>
      <c r="AD3223" s="318"/>
    </row>
    <row r="3224" spans="2:30" s="323" customFormat="1" ht="12" customHeight="1">
      <c r="B3224" s="324"/>
      <c r="C3224" s="325"/>
      <c r="D3224" s="326"/>
      <c r="E3224" s="326"/>
      <c r="F3224" s="326"/>
      <c r="G3224" s="326"/>
      <c r="H3224" s="326"/>
      <c r="P3224" s="318"/>
      <c r="Q3224" s="318"/>
      <c r="R3224" s="318"/>
      <c r="S3224" s="318"/>
      <c r="T3224" s="318"/>
      <c r="U3224" s="318"/>
      <c r="V3224" s="318"/>
      <c r="W3224" s="318"/>
      <c r="X3224" s="318"/>
      <c r="Y3224" s="318"/>
      <c r="Z3224" s="318"/>
      <c r="AA3224" s="318"/>
      <c r="AB3224" s="318"/>
      <c r="AC3224" s="318"/>
      <c r="AD3224" s="318"/>
    </row>
    <row r="3225" spans="2:30" s="323" customFormat="1" ht="12" customHeight="1">
      <c r="B3225" s="324"/>
      <c r="C3225" s="325"/>
      <c r="D3225" s="326"/>
      <c r="E3225" s="326"/>
      <c r="F3225" s="326"/>
      <c r="G3225" s="326"/>
      <c r="H3225" s="326"/>
      <c r="P3225" s="318"/>
      <c r="Q3225" s="318"/>
      <c r="R3225" s="318"/>
      <c r="S3225" s="318"/>
      <c r="T3225" s="318"/>
      <c r="U3225" s="318"/>
      <c r="V3225" s="318"/>
      <c r="W3225" s="318"/>
      <c r="X3225" s="318"/>
      <c r="Y3225" s="318"/>
      <c r="Z3225" s="318"/>
      <c r="AA3225" s="318"/>
      <c r="AB3225" s="318"/>
      <c r="AC3225" s="318"/>
      <c r="AD3225" s="318"/>
    </row>
    <row r="3226" spans="2:30" s="323" customFormat="1" ht="12" customHeight="1">
      <c r="B3226" s="324"/>
      <c r="C3226" s="325"/>
      <c r="D3226" s="326"/>
      <c r="E3226" s="326"/>
      <c r="F3226" s="326"/>
      <c r="G3226" s="326"/>
      <c r="H3226" s="326"/>
      <c r="P3226" s="318"/>
      <c r="Q3226" s="318"/>
      <c r="R3226" s="318"/>
      <c r="S3226" s="318"/>
      <c r="T3226" s="318"/>
      <c r="U3226" s="318"/>
      <c r="V3226" s="318"/>
      <c r="W3226" s="318"/>
      <c r="X3226" s="318"/>
      <c r="Y3226" s="318"/>
      <c r="Z3226" s="318"/>
      <c r="AA3226" s="318"/>
      <c r="AB3226" s="318"/>
      <c r="AC3226" s="318"/>
      <c r="AD3226" s="318"/>
    </row>
    <row r="3227" spans="2:30" s="323" customFormat="1" ht="12" customHeight="1">
      <c r="B3227" s="324"/>
      <c r="C3227" s="325"/>
      <c r="D3227" s="326"/>
      <c r="E3227" s="326"/>
      <c r="F3227" s="326"/>
      <c r="G3227" s="326"/>
      <c r="H3227" s="326"/>
      <c r="P3227" s="318"/>
      <c r="Q3227" s="318"/>
      <c r="R3227" s="318"/>
      <c r="S3227" s="318"/>
      <c r="T3227" s="318"/>
      <c r="U3227" s="318"/>
      <c r="V3227" s="318"/>
      <c r="W3227" s="318"/>
      <c r="X3227" s="318"/>
      <c r="Y3227" s="318"/>
      <c r="Z3227" s="318"/>
      <c r="AA3227" s="318"/>
      <c r="AB3227" s="318"/>
      <c r="AC3227" s="318"/>
      <c r="AD3227" s="318"/>
    </row>
    <row r="3228" spans="2:30" s="323" customFormat="1" ht="12" customHeight="1">
      <c r="B3228" s="324"/>
      <c r="C3228" s="325"/>
      <c r="D3228" s="326"/>
      <c r="E3228" s="326"/>
      <c r="F3228" s="326"/>
      <c r="G3228" s="326"/>
      <c r="H3228" s="326"/>
      <c r="P3228" s="318"/>
      <c r="Q3228" s="318"/>
      <c r="R3228" s="318"/>
      <c r="S3228" s="318"/>
      <c r="T3228" s="318"/>
      <c r="U3228" s="318"/>
      <c r="V3228" s="318"/>
      <c r="W3228" s="318"/>
      <c r="X3228" s="318"/>
      <c r="Y3228" s="318"/>
      <c r="Z3228" s="318"/>
      <c r="AA3228" s="318"/>
      <c r="AB3228" s="318"/>
      <c r="AC3228" s="318"/>
      <c r="AD3228" s="318"/>
    </row>
    <row r="3229" spans="2:30" s="323" customFormat="1" ht="12" customHeight="1">
      <c r="B3229" s="324"/>
      <c r="C3229" s="325"/>
      <c r="D3229" s="326"/>
      <c r="E3229" s="326"/>
      <c r="F3229" s="326"/>
      <c r="G3229" s="326"/>
      <c r="H3229" s="326"/>
      <c r="P3229" s="318"/>
      <c r="Q3229" s="318"/>
      <c r="R3229" s="318"/>
      <c r="S3229" s="318"/>
      <c r="T3229" s="318"/>
      <c r="U3229" s="318"/>
      <c r="V3229" s="318"/>
      <c r="W3229" s="318"/>
      <c r="X3229" s="318"/>
      <c r="Y3229" s="318"/>
      <c r="Z3229" s="318"/>
      <c r="AA3229" s="318"/>
      <c r="AB3229" s="318"/>
      <c r="AC3229" s="318"/>
      <c r="AD3229" s="318"/>
    </row>
    <row r="3230" spans="2:30" s="323" customFormat="1" ht="12" customHeight="1">
      <c r="B3230" s="324"/>
      <c r="C3230" s="325"/>
      <c r="D3230" s="326"/>
      <c r="E3230" s="326"/>
      <c r="F3230" s="326"/>
      <c r="G3230" s="326"/>
      <c r="H3230" s="326"/>
      <c r="P3230" s="318"/>
      <c r="Q3230" s="318"/>
      <c r="R3230" s="318"/>
      <c r="S3230" s="318"/>
      <c r="T3230" s="318"/>
      <c r="U3230" s="318"/>
      <c r="V3230" s="318"/>
      <c r="W3230" s="318"/>
      <c r="X3230" s="318"/>
      <c r="Y3230" s="318"/>
      <c r="Z3230" s="318"/>
      <c r="AA3230" s="318"/>
      <c r="AB3230" s="318"/>
      <c r="AC3230" s="318"/>
      <c r="AD3230" s="318"/>
    </row>
    <row r="3231" spans="2:30" s="323" customFormat="1" ht="12" customHeight="1">
      <c r="B3231" s="324"/>
      <c r="C3231" s="325"/>
      <c r="D3231" s="326"/>
      <c r="E3231" s="326"/>
      <c r="F3231" s="326"/>
      <c r="G3231" s="326"/>
      <c r="H3231" s="326"/>
      <c r="P3231" s="318"/>
      <c r="Q3231" s="318"/>
      <c r="R3231" s="318"/>
      <c r="S3231" s="318"/>
      <c r="T3231" s="318"/>
      <c r="U3231" s="318"/>
      <c r="V3231" s="318"/>
      <c r="W3231" s="318"/>
      <c r="X3231" s="318"/>
      <c r="Y3231" s="318"/>
      <c r="Z3231" s="318"/>
      <c r="AA3231" s="318"/>
      <c r="AB3231" s="318"/>
      <c r="AC3231" s="318"/>
      <c r="AD3231" s="318"/>
    </row>
    <row r="3232" spans="2:30" s="323" customFormat="1" ht="12" customHeight="1">
      <c r="B3232" s="324"/>
      <c r="C3232" s="325"/>
      <c r="D3232" s="326"/>
      <c r="E3232" s="326"/>
      <c r="F3232" s="326"/>
      <c r="G3232" s="326"/>
      <c r="H3232" s="326"/>
      <c r="P3232" s="318"/>
      <c r="Q3232" s="318"/>
      <c r="R3232" s="318"/>
      <c r="S3232" s="318"/>
      <c r="T3232" s="318"/>
      <c r="U3232" s="318"/>
      <c r="V3232" s="318"/>
      <c r="W3232" s="318"/>
      <c r="X3232" s="318"/>
      <c r="Y3232" s="318"/>
      <c r="Z3232" s="318"/>
      <c r="AA3232" s="318"/>
      <c r="AB3232" s="318"/>
      <c r="AC3232" s="318"/>
      <c r="AD3232" s="318"/>
    </row>
    <row r="3233" spans="2:30" s="323" customFormat="1" ht="12" customHeight="1">
      <c r="B3233" s="324"/>
      <c r="C3233" s="325"/>
      <c r="D3233" s="326"/>
      <c r="E3233" s="326"/>
      <c r="F3233" s="326"/>
      <c r="G3233" s="326"/>
      <c r="H3233" s="326"/>
      <c r="P3233" s="318"/>
      <c r="Q3233" s="318"/>
      <c r="R3233" s="318"/>
      <c r="S3233" s="318"/>
      <c r="T3233" s="318"/>
      <c r="U3233" s="318"/>
      <c r="V3233" s="318"/>
      <c r="W3233" s="318"/>
      <c r="X3233" s="318"/>
      <c r="Y3233" s="318"/>
      <c r="Z3233" s="318"/>
      <c r="AA3233" s="318"/>
      <c r="AB3233" s="318"/>
      <c r="AC3233" s="318"/>
      <c r="AD3233" s="318"/>
    </row>
    <row r="3234" spans="2:30" s="323" customFormat="1" ht="12" customHeight="1">
      <c r="B3234" s="324"/>
      <c r="C3234" s="325"/>
      <c r="D3234" s="326"/>
      <c r="E3234" s="326"/>
      <c r="F3234" s="326"/>
      <c r="G3234" s="326"/>
      <c r="H3234" s="326"/>
      <c r="P3234" s="318"/>
      <c r="Q3234" s="318"/>
      <c r="R3234" s="318"/>
      <c r="S3234" s="318"/>
      <c r="T3234" s="318"/>
      <c r="U3234" s="318"/>
      <c r="V3234" s="318"/>
      <c r="W3234" s="318"/>
      <c r="X3234" s="318"/>
      <c r="Y3234" s="318"/>
      <c r="Z3234" s="318"/>
      <c r="AA3234" s="318"/>
      <c r="AB3234" s="318"/>
      <c r="AC3234" s="318"/>
      <c r="AD3234" s="318"/>
    </row>
    <row r="3235" spans="2:30" s="323" customFormat="1" ht="12" customHeight="1">
      <c r="B3235" s="324"/>
      <c r="C3235" s="325"/>
      <c r="D3235" s="326"/>
      <c r="E3235" s="326"/>
      <c r="F3235" s="326"/>
      <c r="G3235" s="326"/>
      <c r="H3235" s="326"/>
      <c r="P3235" s="318"/>
      <c r="Q3235" s="318"/>
      <c r="R3235" s="318"/>
      <c r="S3235" s="318"/>
      <c r="T3235" s="318"/>
      <c r="U3235" s="318"/>
      <c r="V3235" s="318"/>
      <c r="W3235" s="318"/>
      <c r="X3235" s="318"/>
      <c r="Y3235" s="318"/>
      <c r="Z3235" s="318"/>
      <c r="AA3235" s="318"/>
      <c r="AB3235" s="318"/>
      <c r="AC3235" s="318"/>
      <c r="AD3235" s="318"/>
    </row>
    <row r="3236" spans="2:30" s="323" customFormat="1" ht="12" customHeight="1">
      <c r="B3236" s="324"/>
      <c r="C3236" s="325"/>
      <c r="D3236" s="326"/>
      <c r="E3236" s="326"/>
      <c r="F3236" s="326"/>
      <c r="G3236" s="326"/>
      <c r="H3236" s="326"/>
      <c r="P3236" s="318"/>
      <c r="Q3236" s="318"/>
      <c r="R3236" s="318"/>
      <c r="S3236" s="318"/>
      <c r="T3236" s="318"/>
      <c r="U3236" s="318"/>
      <c r="V3236" s="318"/>
      <c r="W3236" s="318"/>
      <c r="X3236" s="318"/>
      <c r="Y3236" s="318"/>
      <c r="Z3236" s="318"/>
      <c r="AA3236" s="318"/>
      <c r="AB3236" s="318"/>
      <c r="AC3236" s="318"/>
      <c r="AD3236" s="318"/>
    </row>
    <row r="3237" spans="2:30" s="323" customFormat="1" ht="12" customHeight="1">
      <c r="B3237" s="324"/>
      <c r="C3237" s="325"/>
      <c r="D3237" s="326"/>
      <c r="E3237" s="326"/>
      <c r="F3237" s="326"/>
      <c r="G3237" s="326"/>
      <c r="H3237" s="326"/>
      <c r="P3237" s="318"/>
      <c r="Q3237" s="318"/>
      <c r="R3237" s="318"/>
      <c r="S3237" s="318"/>
      <c r="T3237" s="318"/>
      <c r="U3237" s="318"/>
      <c r="V3237" s="318"/>
      <c r="W3237" s="318"/>
      <c r="X3237" s="318"/>
      <c r="Y3237" s="318"/>
      <c r="Z3237" s="318"/>
      <c r="AA3237" s="318"/>
      <c r="AB3237" s="318"/>
      <c r="AC3237" s="318"/>
      <c r="AD3237" s="318"/>
    </row>
    <row r="3238" spans="2:30" s="323" customFormat="1" ht="12" customHeight="1">
      <c r="B3238" s="324"/>
      <c r="C3238" s="325"/>
      <c r="D3238" s="326"/>
      <c r="E3238" s="326"/>
      <c r="F3238" s="326"/>
      <c r="G3238" s="326"/>
      <c r="H3238" s="326"/>
      <c r="P3238" s="318"/>
      <c r="Q3238" s="318"/>
      <c r="R3238" s="318"/>
      <c r="S3238" s="318"/>
      <c r="T3238" s="318"/>
      <c r="U3238" s="318"/>
      <c r="V3238" s="318"/>
      <c r="W3238" s="318"/>
      <c r="X3238" s="318"/>
      <c r="Y3238" s="318"/>
      <c r="Z3238" s="318"/>
      <c r="AA3238" s="318"/>
      <c r="AB3238" s="318"/>
      <c r="AC3238" s="318"/>
      <c r="AD3238" s="318"/>
    </row>
    <row r="3239" spans="2:30" s="323" customFormat="1" ht="12" customHeight="1">
      <c r="B3239" s="324"/>
      <c r="C3239" s="325"/>
      <c r="D3239" s="326"/>
      <c r="E3239" s="326"/>
      <c r="F3239" s="326"/>
      <c r="G3239" s="326"/>
      <c r="H3239" s="326"/>
      <c r="P3239" s="318"/>
      <c r="Q3239" s="318"/>
      <c r="R3239" s="318"/>
      <c r="S3239" s="318"/>
      <c r="T3239" s="318"/>
      <c r="U3239" s="318"/>
      <c r="V3239" s="318"/>
      <c r="W3239" s="318"/>
      <c r="X3239" s="318"/>
      <c r="Y3239" s="318"/>
      <c r="Z3239" s="318"/>
      <c r="AA3239" s="318"/>
      <c r="AB3239" s="318"/>
      <c r="AC3239" s="318"/>
      <c r="AD3239" s="318"/>
    </row>
    <row r="3240" spans="2:30" s="323" customFormat="1" ht="12" customHeight="1">
      <c r="B3240" s="324"/>
      <c r="C3240" s="325"/>
      <c r="D3240" s="326"/>
      <c r="E3240" s="326"/>
      <c r="F3240" s="326"/>
      <c r="G3240" s="326"/>
      <c r="H3240" s="326"/>
      <c r="P3240" s="318"/>
      <c r="Q3240" s="318"/>
      <c r="R3240" s="318"/>
      <c r="S3240" s="318"/>
      <c r="T3240" s="318"/>
      <c r="U3240" s="318"/>
      <c r="V3240" s="318"/>
      <c r="W3240" s="318"/>
      <c r="X3240" s="318"/>
      <c r="Y3240" s="318"/>
      <c r="Z3240" s="318"/>
      <c r="AA3240" s="318"/>
      <c r="AB3240" s="318"/>
      <c r="AC3240" s="318"/>
      <c r="AD3240" s="318"/>
    </row>
    <row r="3241" spans="2:30" s="323" customFormat="1" ht="12" customHeight="1">
      <c r="B3241" s="324"/>
      <c r="C3241" s="325"/>
      <c r="D3241" s="326"/>
      <c r="E3241" s="326"/>
      <c r="F3241" s="326"/>
      <c r="G3241" s="326"/>
      <c r="H3241" s="326"/>
      <c r="P3241" s="318"/>
      <c r="Q3241" s="318"/>
      <c r="R3241" s="318"/>
      <c r="S3241" s="318"/>
      <c r="T3241" s="318"/>
      <c r="U3241" s="318"/>
      <c r="V3241" s="318"/>
      <c r="W3241" s="318"/>
      <c r="X3241" s="318"/>
      <c r="Y3241" s="318"/>
      <c r="Z3241" s="318"/>
      <c r="AA3241" s="318"/>
      <c r="AB3241" s="318"/>
      <c r="AC3241" s="318"/>
      <c r="AD3241" s="318"/>
    </row>
    <row r="3242" spans="2:30" s="323" customFormat="1" ht="12" customHeight="1">
      <c r="B3242" s="324"/>
      <c r="C3242" s="325"/>
      <c r="D3242" s="326"/>
      <c r="E3242" s="326"/>
      <c r="F3242" s="326"/>
      <c r="G3242" s="326"/>
      <c r="H3242" s="326"/>
      <c r="P3242" s="318"/>
      <c r="Q3242" s="318"/>
      <c r="R3242" s="318"/>
      <c r="S3242" s="318"/>
      <c r="T3242" s="318"/>
      <c r="U3242" s="318"/>
      <c r="V3242" s="318"/>
      <c r="W3242" s="318"/>
      <c r="X3242" s="318"/>
      <c r="Y3242" s="318"/>
      <c r="Z3242" s="318"/>
      <c r="AA3242" s="318"/>
      <c r="AB3242" s="318"/>
      <c r="AC3242" s="318"/>
      <c r="AD3242" s="318"/>
    </row>
    <row r="3243" spans="2:30" s="323" customFormat="1" ht="12" customHeight="1">
      <c r="B3243" s="324"/>
      <c r="C3243" s="325"/>
      <c r="D3243" s="326"/>
      <c r="E3243" s="326"/>
      <c r="F3243" s="326"/>
      <c r="G3243" s="326"/>
      <c r="H3243" s="326"/>
      <c r="P3243" s="318"/>
      <c r="Q3243" s="318"/>
      <c r="R3243" s="318"/>
      <c r="S3243" s="318"/>
      <c r="T3243" s="318"/>
      <c r="U3243" s="318"/>
      <c r="V3243" s="318"/>
      <c r="W3243" s="318"/>
      <c r="X3243" s="318"/>
      <c r="Y3243" s="318"/>
      <c r="Z3243" s="318"/>
      <c r="AA3243" s="318"/>
      <c r="AB3243" s="318"/>
      <c r="AC3243" s="318"/>
      <c r="AD3243" s="318"/>
    </row>
    <row r="3244" spans="2:30" s="323" customFormat="1" ht="12" customHeight="1">
      <c r="B3244" s="324"/>
      <c r="C3244" s="325"/>
      <c r="D3244" s="326"/>
      <c r="E3244" s="326"/>
      <c r="F3244" s="326"/>
      <c r="G3244" s="326"/>
      <c r="H3244" s="326"/>
      <c r="P3244" s="318"/>
      <c r="Q3244" s="318"/>
      <c r="R3244" s="318"/>
      <c r="S3244" s="318"/>
      <c r="T3244" s="318"/>
      <c r="U3244" s="318"/>
      <c r="V3244" s="318"/>
      <c r="W3244" s="318"/>
      <c r="X3244" s="318"/>
      <c r="Y3244" s="318"/>
      <c r="Z3244" s="318"/>
      <c r="AA3244" s="318"/>
      <c r="AB3244" s="318"/>
      <c r="AC3244" s="318"/>
      <c r="AD3244" s="318"/>
    </row>
    <row r="3245" spans="2:30" s="323" customFormat="1" ht="12" customHeight="1">
      <c r="B3245" s="324"/>
      <c r="C3245" s="325"/>
      <c r="D3245" s="326"/>
      <c r="E3245" s="326"/>
      <c r="F3245" s="326"/>
      <c r="G3245" s="326"/>
      <c r="H3245" s="326"/>
      <c r="P3245" s="318"/>
      <c r="Q3245" s="318"/>
      <c r="R3245" s="318"/>
      <c r="S3245" s="318"/>
      <c r="T3245" s="318"/>
      <c r="U3245" s="318"/>
      <c r="V3245" s="318"/>
      <c r="W3245" s="318"/>
      <c r="X3245" s="318"/>
      <c r="Y3245" s="318"/>
      <c r="Z3245" s="318"/>
      <c r="AA3245" s="318"/>
      <c r="AB3245" s="318"/>
      <c r="AC3245" s="318"/>
      <c r="AD3245" s="318"/>
    </row>
    <row r="3246" spans="2:30" s="323" customFormat="1" ht="12" customHeight="1">
      <c r="B3246" s="324"/>
      <c r="C3246" s="325"/>
      <c r="D3246" s="326"/>
      <c r="E3246" s="326"/>
      <c r="F3246" s="326"/>
      <c r="G3246" s="326"/>
      <c r="H3246" s="326"/>
      <c r="P3246" s="318"/>
      <c r="Q3246" s="318"/>
      <c r="R3246" s="318"/>
      <c r="S3246" s="318"/>
      <c r="T3246" s="318"/>
      <c r="U3246" s="318"/>
      <c r="V3246" s="318"/>
      <c r="W3246" s="318"/>
      <c r="X3246" s="318"/>
      <c r="Y3246" s="318"/>
      <c r="Z3246" s="318"/>
      <c r="AA3246" s="318"/>
      <c r="AB3246" s="318"/>
      <c r="AC3246" s="318"/>
      <c r="AD3246" s="318"/>
    </row>
    <row r="3247" spans="2:30" s="323" customFormat="1" ht="12" customHeight="1">
      <c r="B3247" s="324"/>
      <c r="C3247" s="325"/>
      <c r="D3247" s="326"/>
      <c r="E3247" s="326"/>
      <c r="F3247" s="326"/>
      <c r="G3247" s="326"/>
      <c r="H3247" s="326"/>
      <c r="P3247" s="318"/>
      <c r="Q3247" s="318"/>
      <c r="R3247" s="318"/>
      <c r="S3247" s="318"/>
      <c r="T3247" s="318"/>
      <c r="U3247" s="318"/>
      <c r="V3247" s="318"/>
      <c r="W3247" s="318"/>
      <c r="X3247" s="318"/>
      <c r="Y3247" s="318"/>
      <c r="Z3247" s="318"/>
      <c r="AA3247" s="318"/>
      <c r="AB3247" s="318"/>
      <c r="AC3247" s="318"/>
      <c r="AD3247" s="318"/>
    </row>
    <row r="3248" spans="2:30" s="323" customFormat="1" ht="12" customHeight="1">
      <c r="B3248" s="324"/>
      <c r="C3248" s="325"/>
      <c r="D3248" s="326"/>
      <c r="E3248" s="326"/>
      <c r="F3248" s="326"/>
      <c r="G3248" s="326"/>
      <c r="H3248" s="326"/>
      <c r="P3248" s="318"/>
      <c r="Q3248" s="318"/>
      <c r="R3248" s="318"/>
      <c r="S3248" s="318"/>
      <c r="T3248" s="318"/>
      <c r="U3248" s="318"/>
      <c r="V3248" s="318"/>
      <c r="W3248" s="318"/>
      <c r="X3248" s="318"/>
      <c r="Y3248" s="318"/>
      <c r="Z3248" s="318"/>
      <c r="AA3248" s="318"/>
      <c r="AB3248" s="318"/>
      <c r="AC3248" s="318"/>
      <c r="AD3248" s="318"/>
    </row>
    <row r="3249" spans="2:30" s="323" customFormat="1" ht="12" customHeight="1">
      <c r="B3249" s="324"/>
      <c r="C3249" s="325"/>
      <c r="D3249" s="326"/>
      <c r="E3249" s="326"/>
      <c r="F3249" s="326"/>
      <c r="G3249" s="326"/>
      <c r="H3249" s="326"/>
      <c r="P3249" s="318"/>
      <c r="Q3249" s="318"/>
      <c r="R3249" s="318"/>
      <c r="S3249" s="318"/>
      <c r="T3249" s="318"/>
      <c r="U3249" s="318"/>
      <c r="V3249" s="318"/>
      <c r="W3249" s="318"/>
      <c r="X3249" s="318"/>
      <c r="Y3249" s="318"/>
      <c r="Z3249" s="318"/>
      <c r="AA3249" s="318"/>
      <c r="AB3249" s="318"/>
      <c r="AC3249" s="318"/>
      <c r="AD3249" s="318"/>
    </row>
    <row r="3250" spans="2:30" s="323" customFormat="1" ht="12" customHeight="1">
      <c r="B3250" s="324"/>
      <c r="C3250" s="325"/>
      <c r="D3250" s="326"/>
      <c r="E3250" s="326"/>
      <c r="F3250" s="326"/>
      <c r="G3250" s="326"/>
      <c r="H3250" s="326"/>
      <c r="P3250" s="318"/>
      <c r="Q3250" s="318"/>
      <c r="R3250" s="318"/>
      <c r="S3250" s="318"/>
      <c r="T3250" s="318"/>
      <c r="U3250" s="318"/>
      <c r="V3250" s="318"/>
      <c r="W3250" s="318"/>
      <c r="X3250" s="318"/>
      <c r="Y3250" s="318"/>
      <c r="Z3250" s="318"/>
      <c r="AA3250" s="318"/>
      <c r="AB3250" s="318"/>
      <c r="AC3250" s="318"/>
      <c r="AD3250" s="318"/>
    </row>
    <row r="3251" spans="2:30" s="323" customFormat="1" ht="12" customHeight="1">
      <c r="B3251" s="324"/>
      <c r="C3251" s="325"/>
      <c r="D3251" s="326"/>
      <c r="E3251" s="326"/>
      <c r="F3251" s="326"/>
      <c r="G3251" s="326"/>
      <c r="H3251" s="326"/>
      <c r="P3251" s="318"/>
      <c r="Q3251" s="318"/>
      <c r="R3251" s="318"/>
      <c r="S3251" s="318"/>
      <c r="T3251" s="318"/>
      <c r="U3251" s="318"/>
      <c r="V3251" s="318"/>
      <c r="W3251" s="318"/>
      <c r="X3251" s="318"/>
      <c r="Y3251" s="318"/>
      <c r="Z3251" s="318"/>
      <c r="AA3251" s="318"/>
      <c r="AB3251" s="318"/>
      <c r="AC3251" s="318"/>
      <c r="AD3251" s="318"/>
    </row>
    <row r="3252" spans="2:30" s="323" customFormat="1" ht="12" customHeight="1">
      <c r="B3252" s="324"/>
      <c r="C3252" s="325"/>
      <c r="D3252" s="326"/>
      <c r="E3252" s="326"/>
      <c r="F3252" s="326"/>
      <c r="G3252" s="326"/>
      <c r="H3252" s="326"/>
      <c r="P3252" s="318"/>
      <c r="Q3252" s="318"/>
      <c r="R3252" s="318"/>
      <c r="S3252" s="318"/>
      <c r="T3252" s="318"/>
      <c r="U3252" s="318"/>
      <c r="V3252" s="318"/>
      <c r="W3252" s="318"/>
      <c r="X3252" s="318"/>
      <c r="Y3252" s="318"/>
      <c r="Z3252" s="318"/>
      <c r="AA3252" s="318"/>
      <c r="AB3252" s="318"/>
      <c r="AC3252" s="318"/>
      <c r="AD3252" s="318"/>
    </row>
    <row r="3253" spans="2:30" s="323" customFormat="1" ht="12" customHeight="1">
      <c r="B3253" s="324"/>
      <c r="C3253" s="325"/>
      <c r="D3253" s="326"/>
      <c r="E3253" s="326"/>
      <c r="F3253" s="326"/>
      <c r="G3253" s="326"/>
      <c r="H3253" s="326"/>
      <c r="P3253" s="318"/>
      <c r="Q3253" s="318"/>
      <c r="R3253" s="318"/>
      <c r="S3253" s="318"/>
      <c r="T3253" s="318"/>
      <c r="U3253" s="318"/>
      <c r="V3253" s="318"/>
      <c r="W3253" s="318"/>
      <c r="X3253" s="318"/>
      <c r="Y3253" s="318"/>
      <c r="Z3253" s="318"/>
      <c r="AA3253" s="318"/>
      <c r="AB3253" s="318"/>
      <c r="AC3253" s="318"/>
      <c r="AD3253" s="318"/>
    </row>
    <row r="3254" spans="2:30" s="323" customFormat="1" ht="12" customHeight="1">
      <c r="B3254" s="324"/>
      <c r="C3254" s="325"/>
      <c r="D3254" s="326"/>
      <c r="E3254" s="326"/>
      <c r="F3254" s="326"/>
      <c r="G3254" s="326"/>
      <c r="H3254" s="326"/>
      <c r="P3254" s="318"/>
      <c r="Q3254" s="318"/>
      <c r="R3254" s="318"/>
      <c r="S3254" s="318"/>
      <c r="T3254" s="318"/>
      <c r="U3254" s="318"/>
      <c r="V3254" s="318"/>
      <c r="W3254" s="318"/>
      <c r="X3254" s="318"/>
      <c r="Y3254" s="318"/>
      <c r="Z3254" s="318"/>
      <c r="AA3254" s="318"/>
      <c r="AB3254" s="318"/>
      <c r="AC3254" s="318"/>
      <c r="AD3254" s="318"/>
    </row>
    <row r="3255" spans="2:30" s="323" customFormat="1" ht="12" customHeight="1">
      <c r="B3255" s="324"/>
      <c r="C3255" s="325"/>
      <c r="D3255" s="326"/>
      <c r="E3255" s="326"/>
      <c r="F3255" s="326"/>
      <c r="G3255" s="326"/>
      <c r="H3255" s="326"/>
      <c r="P3255" s="318"/>
      <c r="Q3255" s="318"/>
      <c r="R3255" s="318"/>
      <c r="S3255" s="318"/>
      <c r="T3255" s="318"/>
      <c r="U3255" s="318"/>
      <c r="V3255" s="318"/>
      <c r="W3255" s="318"/>
      <c r="X3255" s="318"/>
      <c r="Y3255" s="318"/>
      <c r="Z3255" s="318"/>
      <c r="AA3255" s="318"/>
      <c r="AB3255" s="318"/>
      <c r="AC3255" s="318"/>
      <c r="AD3255" s="318"/>
    </row>
    <row r="3256" spans="2:30" s="323" customFormat="1" ht="12" customHeight="1">
      <c r="B3256" s="324"/>
      <c r="C3256" s="325"/>
      <c r="D3256" s="326"/>
      <c r="E3256" s="326"/>
      <c r="F3256" s="326"/>
      <c r="G3256" s="326"/>
      <c r="H3256" s="326"/>
      <c r="P3256" s="318"/>
      <c r="Q3256" s="318"/>
      <c r="R3256" s="318"/>
      <c r="S3256" s="318"/>
      <c r="T3256" s="318"/>
      <c r="U3256" s="318"/>
      <c r="V3256" s="318"/>
      <c r="W3256" s="318"/>
      <c r="X3256" s="318"/>
      <c r="Y3256" s="318"/>
      <c r="Z3256" s="318"/>
      <c r="AA3256" s="318"/>
      <c r="AB3256" s="318"/>
      <c r="AC3256" s="318"/>
      <c r="AD3256" s="318"/>
    </row>
    <row r="3257" spans="2:30" s="323" customFormat="1" ht="12" customHeight="1">
      <c r="B3257" s="324"/>
      <c r="C3257" s="325"/>
      <c r="D3257" s="326"/>
      <c r="E3257" s="326"/>
      <c r="F3257" s="326"/>
      <c r="G3257" s="326"/>
      <c r="H3257" s="326"/>
      <c r="P3257" s="318"/>
      <c r="Q3257" s="318"/>
      <c r="R3257" s="318"/>
      <c r="S3257" s="318"/>
      <c r="T3257" s="318"/>
      <c r="U3257" s="318"/>
      <c r="V3257" s="318"/>
      <c r="W3257" s="318"/>
      <c r="X3257" s="318"/>
      <c r="Y3257" s="318"/>
      <c r="Z3257" s="318"/>
      <c r="AA3257" s="318"/>
      <c r="AB3257" s="318"/>
      <c r="AC3257" s="318"/>
      <c r="AD3257" s="318"/>
    </row>
    <row r="3258" spans="2:30" s="323" customFormat="1" ht="12" customHeight="1">
      <c r="B3258" s="324"/>
      <c r="C3258" s="325"/>
      <c r="D3258" s="326"/>
      <c r="E3258" s="326"/>
      <c r="F3258" s="326"/>
      <c r="G3258" s="326"/>
      <c r="H3258" s="326"/>
      <c r="P3258" s="318"/>
      <c r="Q3258" s="318"/>
      <c r="R3258" s="318"/>
      <c r="S3258" s="318"/>
      <c r="T3258" s="318"/>
      <c r="U3258" s="318"/>
      <c r="V3258" s="318"/>
      <c r="W3258" s="318"/>
      <c r="X3258" s="318"/>
      <c r="Y3258" s="318"/>
      <c r="Z3258" s="318"/>
      <c r="AA3258" s="318"/>
      <c r="AB3258" s="318"/>
      <c r="AC3258" s="318"/>
      <c r="AD3258" s="318"/>
    </row>
    <row r="3259" spans="2:30" s="323" customFormat="1" ht="12" customHeight="1">
      <c r="B3259" s="324"/>
      <c r="C3259" s="325"/>
      <c r="D3259" s="326"/>
      <c r="E3259" s="326"/>
      <c r="F3259" s="326"/>
      <c r="G3259" s="326"/>
      <c r="H3259" s="326"/>
      <c r="P3259" s="318"/>
      <c r="Q3259" s="318"/>
      <c r="R3259" s="318"/>
      <c r="S3259" s="318"/>
      <c r="T3259" s="318"/>
      <c r="U3259" s="318"/>
      <c r="V3259" s="318"/>
      <c r="W3259" s="318"/>
      <c r="X3259" s="318"/>
      <c r="Y3259" s="318"/>
      <c r="Z3259" s="318"/>
      <c r="AA3259" s="318"/>
      <c r="AB3259" s="318"/>
      <c r="AC3259" s="318"/>
      <c r="AD3259" s="318"/>
    </row>
    <row r="3260" spans="2:30" s="323" customFormat="1" ht="12" customHeight="1">
      <c r="B3260" s="324"/>
      <c r="C3260" s="325"/>
      <c r="D3260" s="326"/>
      <c r="E3260" s="326"/>
      <c r="F3260" s="326"/>
      <c r="G3260" s="326"/>
      <c r="H3260" s="326"/>
      <c r="P3260" s="318"/>
      <c r="Q3260" s="318"/>
      <c r="R3260" s="318"/>
      <c r="S3260" s="318"/>
      <c r="T3260" s="318"/>
      <c r="U3260" s="318"/>
      <c r="V3260" s="318"/>
      <c r="W3260" s="318"/>
      <c r="X3260" s="318"/>
      <c r="Y3260" s="318"/>
      <c r="Z3260" s="318"/>
      <c r="AA3260" s="318"/>
      <c r="AB3260" s="318"/>
      <c r="AC3260" s="318"/>
      <c r="AD3260" s="318"/>
    </row>
    <row r="3261" spans="2:30" s="323" customFormat="1" ht="12" customHeight="1">
      <c r="B3261" s="324"/>
      <c r="C3261" s="325"/>
      <c r="D3261" s="326"/>
      <c r="E3261" s="326"/>
      <c r="F3261" s="326"/>
      <c r="G3261" s="326"/>
      <c r="H3261" s="326"/>
      <c r="P3261" s="318"/>
      <c r="Q3261" s="318"/>
      <c r="R3261" s="318"/>
      <c r="S3261" s="318"/>
      <c r="T3261" s="318"/>
      <c r="U3261" s="318"/>
      <c r="V3261" s="318"/>
      <c r="W3261" s="318"/>
      <c r="X3261" s="318"/>
      <c r="Y3261" s="318"/>
      <c r="Z3261" s="318"/>
      <c r="AA3261" s="318"/>
      <c r="AB3261" s="318"/>
      <c r="AC3261" s="318"/>
      <c r="AD3261" s="318"/>
    </row>
    <row r="3262" spans="2:30" s="323" customFormat="1" ht="12" customHeight="1">
      <c r="B3262" s="324"/>
      <c r="C3262" s="325"/>
      <c r="D3262" s="326"/>
      <c r="E3262" s="326"/>
      <c r="F3262" s="326"/>
      <c r="G3262" s="326"/>
      <c r="H3262" s="326"/>
      <c r="P3262" s="318"/>
      <c r="Q3262" s="318"/>
      <c r="R3262" s="318"/>
      <c r="S3262" s="318"/>
      <c r="T3262" s="318"/>
      <c r="U3262" s="318"/>
      <c r="V3262" s="318"/>
      <c r="W3262" s="318"/>
      <c r="X3262" s="318"/>
      <c r="Y3262" s="318"/>
      <c r="Z3262" s="318"/>
      <c r="AA3262" s="318"/>
      <c r="AB3262" s="318"/>
      <c r="AC3262" s="318"/>
      <c r="AD3262" s="318"/>
    </row>
    <row r="3263" spans="2:30" s="323" customFormat="1" ht="12" customHeight="1">
      <c r="B3263" s="324"/>
      <c r="C3263" s="325"/>
      <c r="D3263" s="326"/>
      <c r="E3263" s="326"/>
      <c r="F3263" s="326"/>
      <c r="G3263" s="326"/>
      <c r="H3263" s="326"/>
      <c r="P3263" s="318"/>
      <c r="Q3263" s="318"/>
      <c r="R3263" s="318"/>
      <c r="S3263" s="318"/>
      <c r="T3263" s="318"/>
      <c r="U3263" s="318"/>
      <c r="V3263" s="318"/>
      <c r="W3263" s="318"/>
      <c r="X3263" s="318"/>
      <c r="Y3263" s="318"/>
      <c r="Z3263" s="318"/>
      <c r="AA3263" s="318"/>
      <c r="AB3263" s="318"/>
      <c r="AC3263" s="318"/>
      <c r="AD3263" s="318"/>
    </row>
    <row r="3264" spans="2:30" s="323" customFormat="1" ht="12" customHeight="1">
      <c r="B3264" s="324"/>
      <c r="C3264" s="325"/>
      <c r="D3264" s="326"/>
      <c r="E3264" s="326"/>
      <c r="F3264" s="326"/>
      <c r="G3264" s="326"/>
      <c r="H3264" s="326"/>
      <c r="P3264" s="318"/>
      <c r="Q3264" s="318"/>
      <c r="R3264" s="318"/>
      <c r="S3264" s="318"/>
      <c r="T3264" s="318"/>
      <c r="U3264" s="318"/>
      <c r="V3264" s="318"/>
      <c r="W3264" s="318"/>
      <c r="X3264" s="318"/>
      <c r="Y3264" s="318"/>
      <c r="Z3264" s="318"/>
      <c r="AA3264" s="318"/>
      <c r="AB3264" s="318"/>
      <c r="AC3264" s="318"/>
      <c r="AD3264" s="318"/>
    </row>
    <row r="3265" spans="2:30" s="323" customFormat="1" ht="12" customHeight="1">
      <c r="B3265" s="324"/>
      <c r="C3265" s="325"/>
      <c r="D3265" s="326"/>
      <c r="E3265" s="326"/>
      <c r="F3265" s="326"/>
      <c r="G3265" s="326"/>
      <c r="H3265" s="326"/>
      <c r="P3265" s="318"/>
      <c r="Q3265" s="318"/>
      <c r="R3265" s="318"/>
      <c r="S3265" s="318"/>
      <c r="T3265" s="318"/>
      <c r="U3265" s="318"/>
      <c r="V3265" s="318"/>
      <c r="W3265" s="318"/>
      <c r="X3265" s="318"/>
      <c r="Y3265" s="318"/>
      <c r="Z3265" s="318"/>
      <c r="AA3265" s="318"/>
      <c r="AB3265" s="318"/>
      <c r="AC3265" s="318"/>
      <c r="AD3265" s="318"/>
    </row>
    <row r="3266" spans="2:30" s="323" customFormat="1" ht="12" customHeight="1">
      <c r="B3266" s="324"/>
      <c r="C3266" s="325"/>
      <c r="D3266" s="326"/>
      <c r="E3266" s="326"/>
      <c r="F3266" s="326"/>
      <c r="G3266" s="326"/>
      <c r="H3266" s="326"/>
      <c r="P3266" s="318"/>
      <c r="Q3266" s="318"/>
      <c r="R3266" s="318"/>
      <c r="S3266" s="318"/>
      <c r="T3266" s="318"/>
      <c r="U3266" s="318"/>
      <c r="V3266" s="318"/>
      <c r="W3266" s="318"/>
      <c r="X3266" s="318"/>
      <c r="Y3266" s="318"/>
      <c r="Z3266" s="318"/>
      <c r="AA3266" s="318"/>
      <c r="AB3266" s="318"/>
      <c r="AC3266" s="318"/>
      <c r="AD3266" s="318"/>
    </row>
    <row r="3267" spans="2:30" s="323" customFormat="1" ht="12" customHeight="1">
      <c r="B3267" s="324"/>
      <c r="C3267" s="325"/>
      <c r="D3267" s="326"/>
      <c r="E3267" s="326"/>
      <c r="F3267" s="326"/>
      <c r="G3267" s="326"/>
      <c r="H3267" s="326"/>
      <c r="P3267" s="318"/>
      <c r="Q3267" s="318"/>
      <c r="R3267" s="318"/>
      <c r="S3267" s="318"/>
      <c r="T3267" s="318"/>
      <c r="U3267" s="318"/>
      <c r="V3267" s="318"/>
      <c r="W3267" s="318"/>
      <c r="X3267" s="318"/>
      <c r="Y3267" s="318"/>
      <c r="Z3267" s="318"/>
      <c r="AA3267" s="318"/>
      <c r="AB3267" s="318"/>
      <c r="AC3267" s="318"/>
      <c r="AD3267" s="318"/>
    </row>
    <row r="3268" spans="2:30" s="323" customFormat="1" ht="12" customHeight="1">
      <c r="B3268" s="324"/>
      <c r="C3268" s="325"/>
      <c r="D3268" s="326"/>
      <c r="E3268" s="326"/>
      <c r="F3268" s="326"/>
      <c r="G3268" s="326"/>
      <c r="H3268" s="326"/>
      <c r="P3268" s="318"/>
      <c r="Q3268" s="318"/>
      <c r="R3268" s="318"/>
      <c r="S3268" s="318"/>
      <c r="T3268" s="318"/>
      <c r="U3268" s="318"/>
      <c r="V3268" s="318"/>
      <c r="W3268" s="318"/>
      <c r="X3268" s="318"/>
      <c r="Y3268" s="318"/>
      <c r="Z3268" s="318"/>
      <c r="AA3268" s="318"/>
      <c r="AB3268" s="318"/>
      <c r="AC3268" s="318"/>
      <c r="AD3268" s="318"/>
    </row>
    <row r="3269" spans="2:30" s="323" customFormat="1" ht="12" customHeight="1">
      <c r="B3269" s="324"/>
      <c r="C3269" s="325"/>
      <c r="D3269" s="326"/>
      <c r="E3269" s="326"/>
      <c r="F3269" s="326"/>
      <c r="G3269" s="326"/>
      <c r="H3269" s="326"/>
      <c r="P3269" s="318"/>
      <c r="Q3269" s="318"/>
      <c r="R3269" s="318"/>
      <c r="S3269" s="318"/>
      <c r="T3269" s="318"/>
      <c r="U3269" s="318"/>
      <c r="V3269" s="318"/>
      <c r="W3269" s="318"/>
      <c r="X3269" s="318"/>
      <c r="Y3269" s="318"/>
      <c r="Z3269" s="318"/>
      <c r="AA3269" s="318"/>
      <c r="AB3269" s="318"/>
      <c r="AC3269" s="318"/>
      <c r="AD3269" s="318"/>
    </row>
    <row r="3270" spans="2:30" s="323" customFormat="1" ht="12" customHeight="1">
      <c r="B3270" s="324"/>
      <c r="C3270" s="325"/>
      <c r="D3270" s="326"/>
      <c r="E3270" s="326"/>
      <c r="F3270" s="326"/>
      <c r="G3270" s="326"/>
      <c r="H3270" s="326"/>
      <c r="P3270" s="318"/>
      <c r="Q3270" s="318"/>
      <c r="R3270" s="318"/>
      <c r="S3270" s="318"/>
      <c r="T3270" s="318"/>
      <c r="U3270" s="318"/>
      <c r="V3270" s="318"/>
      <c r="W3270" s="318"/>
      <c r="X3270" s="318"/>
      <c r="Y3270" s="318"/>
      <c r="Z3270" s="318"/>
      <c r="AA3270" s="318"/>
      <c r="AB3270" s="318"/>
      <c r="AC3270" s="318"/>
      <c r="AD3270" s="318"/>
    </row>
    <row r="3271" spans="2:30" s="323" customFormat="1" ht="12" customHeight="1">
      <c r="B3271" s="324"/>
      <c r="C3271" s="325"/>
      <c r="D3271" s="326"/>
      <c r="E3271" s="326"/>
      <c r="F3271" s="326"/>
      <c r="G3271" s="326"/>
      <c r="H3271" s="326"/>
      <c r="P3271" s="318"/>
      <c r="Q3271" s="318"/>
      <c r="R3271" s="318"/>
      <c r="S3271" s="318"/>
      <c r="T3271" s="318"/>
      <c r="U3271" s="318"/>
      <c r="V3271" s="318"/>
      <c r="W3271" s="318"/>
      <c r="X3271" s="318"/>
      <c r="Y3271" s="318"/>
      <c r="Z3271" s="318"/>
      <c r="AA3271" s="318"/>
      <c r="AB3271" s="318"/>
      <c r="AC3271" s="318"/>
      <c r="AD3271" s="318"/>
    </row>
    <row r="3272" spans="2:30" s="323" customFormat="1" ht="12" customHeight="1">
      <c r="B3272" s="324"/>
      <c r="C3272" s="325"/>
      <c r="D3272" s="326"/>
      <c r="E3272" s="326"/>
      <c r="F3272" s="326"/>
      <c r="G3272" s="326"/>
      <c r="H3272" s="326"/>
      <c r="P3272" s="318"/>
      <c r="Q3272" s="318"/>
      <c r="R3272" s="318"/>
      <c r="S3272" s="318"/>
      <c r="T3272" s="318"/>
      <c r="U3272" s="318"/>
      <c r="V3272" s="318"/>
      <c r="W3272" s="318"/>
      <c r="X3272" s="318"/>
      <c r="Y3272" s="318"/>
      <c r="Z3272" s="318"/>
      <c r="AA3272" s="318"/>
      <c r="AB3272" s="318"/>
      <c r="AC3272" s="318"/>
      <c r="AD3272" s="318"/>
    </row>
    <row r="3273" spans="2:30" s="323" customFormat="1" ht="12" customHeight="1">
      <c r="B3273" s="324"/>
      <c r="C3273" s="325"/>
      <c r="D3273" s="326"/>
      <c r="E3273" s="326"/>
      <c r="F3273" s="326"/>
      <c r="G3273" s="326"/>
      <c r="H3273" s="326"/>
      <c r="P3273" s="318"/>
      <c r="Q3273" s="318"/>
      <c r="R3273" s="318"/>
      <c r="S3273" s="318"/>
      <c r="T3273" s="318"/>
      <c r="U3273" s="318"/>
      <c r="V3273" s="318"/>
      <c r="W3273" s="318"/>
      <c r="X3273" s="318"/>
      <c r="Y3273" s="318"/>
      <c r="Z3273" s="318"/>
      <c r="AA3273" s="318"/>
      <c r="AB3273" s="318"/>
      <c r="AC3273" s="318"/>
      <c r="AD3273" s="318"/>
    </row>
    <row r="3274" spans="2:30" s="323" customFormat="1" ht="12" customHeight="1">
      <c r="B3274" s="324"/>
      <c r="C3274" s="325"/>
      <c r="D3274" s="326"/>
      <c r="E3274" s="326"/>
      <c r="F3274" s="326"/>
      <c r="G3274" s="326"/>
      <c r="H3274" s="326"/>
      <c r="P3274" s="318"/>
      <c r="Q3274" s="318"/>
      <c r="R3274" s="318"/>
      <c r="S3274" s="318"/>
      <c r="T3274" s="318"/>
      <c r="U3274" s="318"/>
      <c r="V3274" s="318"/>
      <c r="W3274" s="318"/>
      <c r="X3274" s="318"/>
      <c r="Y3274" s="318"/>
      <c r="Z3274" s="318"/>
      <c r="AA3274" s="318"/>
      <c r="AB3274" s="318"/>
      <c r="AC3274" s="318"/>
      <c r="AD3274" s="318"/>
    </row>
    <row r="3275" spans="2:30" s="323" customFormat="1" ht="12" customHeight="1">
      <c r="B3275" s="324"/>
      <c r="C3275" s="325"/>
      <c r="D3275" s="326"/>
      <c r="E3275" s="326"/>
      <c r="F3275" s="326"/>
      <c r="G3275" s="326"/>
      <c r="H3275" s="326"/>
      <c r="P3275" s="318"/>
      <c r="Q3275" s="318"/>
      <c r="R3275" s="318"/>
      <c r="S3275" s="318"/>
      <c r="T3275" s="318"/>
      <c r="U3275" s="318"/>
      <c r="V3275" s="318"/>
      <c r="W3275" s="318"/>
      <c r="X3275" s="318"/>
      <c r="Y3275" s="318"/>
      <c r="Z3275" s="318"/>
      <c r="AA3275" s="318"/>
      <c r="AB3275" s="318"/>
      <c r="AC3275" s="318"/>
      <c r="AD3275" s="318"/>
    </row>
    <row r="3276" spans="2:30" s="323" customFormat="1" ht="12" customHeight="1">
      <c r="B3276" s="324"/>
      <c r="C3276" s="325"/>
      <c r="D3276" s="326"/>
      <c r="E3276" s="326"/>
      <c r="F3276" s="326"/>
      <c r="G3276" s="326"/>
      <c r="H3276" s="326"/>
      <c r="P3276" s="318"/>
      <c r="Q3276" s="318"/>
      <c r="R3276" s="318"/>
      <c r="S3276" s="318"/>
      <c r="T3276" s="318"/>
      <c r="U3276" s="318"/>
      <c r="V3276" s="318"/>
      <c r="W3276" s="318"/>
      <c r="X3276" s="318"/>
      <c r="Y3276" s="318"/>
      <c r="Z3276" s="318"/>
      <c r="AA3276" s="318"/>
      <c r="AB3276" s="318"/>
      <c r="AC3276" s="318"/>
      <c r="AD3276" s="318"/>
    </row>
    <row r="3277" spans="2:30" s="323" customFormat="1" ht="12" customHeight="1">
      <c r="B3277" s="324"/>
      <c r="C3277" s="325"/>
      <c r="D3277" s="326"/>
      <c r="E3277" s="326"/>
      <c r="F3277" s="326"/>
      <c r="G3277" s="326"/>
      <c r="H3277" s="326"/>
      <c r="P3277" s="318"/>
      <c r="Q3277" s="318"/>
      <c r="R3277" s="318"/>
      <c r="S3277" s="318"/>
      <c r="T3277" s="318"/>
      <c r="U3277" s="318"/>
      <c r="V3277" s="318"/>
      <c r="W3277" s="318"/>
      <c r="X3277" s="318"/>
      <c r="Y3277" s="318"/>
      <c r="Z3277" s="318"/>
      <c r="AA3277" s="318"/>
      <c r="AB3277" s="318"/>
      <c r="AC3277" s="318"/>
      <c r="AD3277" s="318"/>
    </row>
    <row r="3278" spans="2:30" s="323" customFormat="1" ht="12" customHeight="1">
      <c r="B3278" s="324"/>
      <c r="C3278" s="325"/>
      <c r="D3278" s="326"/>
      <c r="E3278" s="326"/>
      <c r="F3278" s="326"/>
      <c r="G3278" s="326"/>
      <c r="H3278" s="326"/>
      <c r="P3278" s="318"/>
      <c r="Q3278" s="318"/>
      <c r="R3278" s="318"/>
      <c r="S3278" s="318"/>
      <c r="T3278" s="318"/>
      <c r="U3278" s="318"/>
      <c r="V3278" s="318"/>
      <c r="W3278" s="318"/>
      <c r="X3278" s="318"/>
      <c r="Y3278" s="318"/>
      <c r="Z3278" s="318"/>
      <c r="AA3278" s="318"/>
      <c r="AB3278" s="318"/>
      <c r="AC3278" s="318"/>
      <c r="AD3278" s="318"/>
    </row>
    <row r="3279" spans="2:30" s="323" customFormat="1" ht="12" customHeight="1">
      <c r="B3279" s="324"/>
      <c r="C3279" s="325"/>
      <c r="D3279" s="326"/>
      <c r="E3279" s="326"/>
      <c r="F3279" s="326"/>
      <c r="G3279" s="326"/>
      <c r="H3279" s="326"/>
      <c r="P3279" s="318"/>
      <c r="Q3279" s="318"/>
      <c r="R3279" s="318"/>
      <c r="S3279" s="318"/>
      <c r="T3279" s="318"/>
      <c r="U3279" s="318"/>
      <c r="V3279" s="318"/>
      <c r="W3279" s="318"/>
      <c r="X3279" s="318"/>
      <c r="Y3279" s="318"/>
      <c r="Z3279" s="318"/>
      <c r="AA3279" s="318"/>
      <c r="AB3279" s="318"/>
      <c r="AC3279" s="318"/>
      <c r="AD3279" s="318"/>
    </row>
    <row r="3280" spans="2:30" s="323" customFormat="1" ht="12" customHeight="1">
      <c r="B3280" s="324"/>
      <c r="C3280" s="325"/>
      <c r="D3280" s="326"/>
      <c r="E3280" s="326"/>
      <c r="F3280" s="326"/>
      <c r="G3280" s="326"/>
      <c r="H3280" s="326"/>
      <c r="P3280" s="318"/>
      <c r="Q3280" s="318"/>
      <c r="R3280" s="318"/>
      <c r="S3280" s="318"/>
      <c r="T3280" s="318"/>
      <c r="U3280" s="318"/>
      <c r="V3280" s="318"/>
      <c r="W3280" s="318"/>
      <c r="X3280" s="318"/>
      <c r="Y3280" s="318"/>
      <c r="Z3280" s="318"/>
      <c r="AA3280" s="318"/>
      <c r="AB3280" s="318"/>
      <c r="AC3280" s="318"/>
      <c r="AD3280" s="318"/>
    </row>
    <row r="3281" spans="2:30" s="323" customFormat="1" ht="12" customHeight="1">
      <c r="B3281" s="324"/>
      <c r="C3281" s="325"/>
      <c r="D3281" s="326"/>
      <c r="E3281" s="326"/>
      <c r="F3281" s="326"/>
      <c r="G3281" s="326"/>
      <c r="H3281" s="326"/>
      <c r="P3281" s="318"/>
      <c r="Q3281" s="318"/>
      <c r="R3281" s="318"/>
      <c r="S3281" s="318"/>
      <c r="T3281" s="318"/>
      <c r="U3281" s="318"/>
      <c r="V3281" s="318"/>
      <c r="W3281" s="318"/>
      <c r="X3281" s="318"/>
      <c r="Y3281" s="318"/>
      <c r="Z3281" s="318"/>
      <c r="AA3281" s="318"/>
      <c r="AB3281" s="318"/>
      <c r="AC3281" s="318"/>
      <c r="AD3281" s="318"/>
    </row>
    <row r="3282" spans="2:30" s="323" customFormat="1" ht="12" customHeight="1">
      <c r="B3282" s="324"/>
      <c r="C3282" s="325"/>
      <c r="D3282" s="326"/>
      <c r="E3282" s="326"/>
      <c r="F3282" s="326"/>
      <c r="G3282" s="326"/>
      <c r="H3282" s="326"/>
      <c r="P3282" s="318"/>
      <c r="Q3282" s="318"/>
      <c r="R3282" s="318"/>
      <c r="S3282" s="318"/>
      <c r="T3282" s="318"/>
      <c r="U3282" s="318"/>
      <c r="V3282" s="318"/>
      <c r="W3282" s="318"/>
      <c r="X3282" s="318"/>
      <c r="Y3282" s="318"/>
      <c r="Z3282" s="318"/>
      <c r="AA3282" s="318"/>
      <c r="AB3282" s="318"/>
      <c r="AC3282" s="318"/>
      <c r="AD3282" s="318"/>
    </row>
    <row r="3283" spans="2:30" s="323" customFormat="1" ht="12" customHeight="1">
      <c r="B3283" s="324"/>
      <c r="C3283" s="325"/>
      <c r="D3283" s="326"/>
      <c r="E3283" s="326"/>
      <c r="F3283" s="326"/>
      <c r="G3283" s="326"/>
      <c r="H3283" s="326"/>
      <c r="P3283" s="318"/>
      <c r="Q3283" s="318"/>
      <c r="R3283" s="318"/>
      <c r="S3283" s="318"/>
      <c r="T3283" s="318"/>
      <c r="U3283" s="318"/>
      <c r="V3283" s="318"/>
      <c r="W3283" s="318"/>
      <c r="X3283" s="318"/>
      <c r="Y3283" s="318"/>
      <c r="Z3283" s="318"/>
      <c r="AA3283" s="318"/>
      <c r="AB3283" s="318"/>
      <c r="AC3283" s="318"/>
      <c r="AD3283" s="318"/>
    </row>
    <row r="3284" spans="2:30" s="323" customFormat="1" ht="12" customHeight="1">
      <c r="B3284" s="324"/>
      <c r="C3284" s="325"/>
      <c r="D3284" s="326"/>
      <c r="E3284" s="326"/>
      <c r="F3284" s="326"/>
      <c r="G3284" s="326"/>
      <c r="H3284" s="326"/>
      <c r="P3284" s="318"/>
      <c r="Q3284" s="318"/>
      <c r="R3284" s="318"/>
      <c r="S3284" s="318"/>
      <c r="T3284" s="318"/>
      <c r="U3284" s="318"/>
      <c r="V3284" s="318"/>
      <c r="W3284" s="318"/>
      <c r="X3284" s="318"/>
      <c r="Y3284" s="318"/>
      <c r="Z3284" s="318"/>
      <c r="AA3284" s="318"/>
      <c r="AB3284" s="318"/>
      <c r="AC3284" s="318"/>
      <c r="AD3284" s="318"/>
    </row>
    <row r="3285" spans="2:30" s="323" customFormat="1" ht="12" customHeight="1">
      <c r="B3285" s="324"/>
      <c r="C3285" s="325"/>
      <c r="D3285" s="326"/>
      <c r="E3285" s="326"/>
      <c r="F3285" s="326"/>
      <c r="G3285" s="326"/>
      <c r="H3285" s="326"/>
      <c r="P3285" s="318"/>
      <c r="Q3285" s="318"/>
      <c r="R3285" s="318"/>
      <c r="S3285" s="318"/>
      <c r="T3285" s="318"/>
      <c r="U3285" s="318"/>
      <c r="V3285" s="318"/>
      <c r="W3285" s="318"/>
      <c r="X3285" s="318"/>
      <c r="Y3285" s="318"/>
      <c r="Z3285" s="318"/>
      <c r="AA3285" s="318"/>
      <c r="AB3285" s="318"/>
      <c r="AC3285" s="318"/>
      <c r="AD3285" s="318"/>
    </row>
    <row r="3286" spans="2:30" s="323" customFormat="1" ht="12" customHeight="1">
      <c r="B3286" s="324"/>
      <c r="C3286" s="325"/>
      <c r="D3286" s="326"/>
      <c r="E3286" s="326"/>
      <c r="F3286" s="326"/>
      <c r="G3286" s="326"/>
      <c r="H3286" s="326"/>
      <c r="P3286" s="318"/>
      <c r="Q3286" s="318"/>
      <c r="R3286" s="318"/>
      <c r="S3286" s="318"/>
      <c r="T3286" s="318"/>
      <c r="U3286" s="318"/>
      <c r="V3286" s="318"/>
      <c r="W3286" s="318"/>
      <c r="X3286" s="318"/>
      <c r="Y3286" s="318"/>
      <c r="Z3286" s="318"/>
      <c r="AA3286" s="318"/>
      <c r="AB3286" s="318"/>
      <c r="AC3286" s="318"/>
      <c r="AD3286" s="318"/>
    </row>
    <row r="3287" spans="2:30" s="323" customFormat="1" ht="12" customHeight="1">
      <c r="B3287" s="324"/>
      <c r="C3287" s="325"/>
      <c r="D3287" s="326"/>
      <c r="E3287" s="326"/>
      <c r="F3287" s="326"/>
      <c r="G3287" s="326"/>
      <c r="H3287" s="326"/>
      <c r="P3287" s="318"/>
      <c r="Q3287" s="318"/>
      <c r="R3287" s="318"/>
      <c r="S3287" s="318"/>
      <c r="T3287" s="318"/>
      <c r="U3287" s="318"/>
      <c r="V3287" s="318"/>
      <c r="W3287" s="318"/>
      <c r="X3287" s="318"/>
      <c r="Y3287" s="318"/>
      <c r="Z3287" s="318"/>
      <c r="AA3287" s="318"/>
      <c r="AB3287" s="318"/>
      <c r="AC3287" s="318"/>
      <c r="AD3287" s="318"/>
    </row>
    <row r="3288" spans="2:30" s="323" customFormat="1" ht="12" customHeight="1">
      <c r="B3288" s="324"/>
      <c r="C3288" s="325"/>
      <c r="D3288" s="326"/>
      <c r="E3288" s="326"/>
      <c r="F3288" s="326"/>
      <c r="G3288" s="326"/>
      <c r="H3288" s="326"/>
      <c r="P3288" s="318"/>
      <c r="Q3288" s="318"/>
      <c r="R3288" s="318"/>
      <c r="S3288" s="318"/>
      <c r="T3288" s="318"/>
      <c r="U3288" s="318"/>
      <c r="V3288" s="318"/>
      <c r="W3288" s="318"/>
      <c r="X3288" s="318"/>
      <c r="Y3288" s="318"/>
      <c r="Z3288" s="318"/>
      <c r="AA3288" s="318"/>
      <c r="AB3288" s="318"/>
      <c r="AC3288" s="318"/>
      <c r="AD3288" s="318"/>
    </row>
    <row r="3289" spans="2:30" s="323" customFormat="1" ht="12" customHeight="1">
      <c r="B3289" s="324"/>
      <c r="C3289" s="325"/>
      <c r="D3289" s="326"/>
      <c r="E3289" s="326"/>
      <c r="F3289" s="326"/>
      <c r="G3289" s="326"/>
      <c r="H3289" s="326"/>
      <c r="P3289" s="318"/>
      <c r="Q3289" s="318"/>
      <c r="R3289" s="318"/>
      <c r="S3289" s="318"/>
      <c r="T3289" s="318"/>
      <c r="U3289" s="318"/>
      <c r="V3289" s="318"/>
      <c r="W3289" s="318"/>
      <c r="X3289" s="318"/>
      <c r="Y3289" s="318"/>
      <c r="Z3289" s="318"/>
      <c r="AA3289" s="318"/>
      <c r="AB3289" s="318"/>
      <c r="AC3289" s="318"/>
      <c r="AD3289" s="318"/>
    </row>
    <row r="3290" spans="2:30" s="323" customFormat="1" ht="12" customHeight="1">
      <c r="B3290" s="324"/>
      <c r="C3290" s="325"/>
      <c r="D3290" s="326"/>
      <c r="E3290" s="326"/>
      <c r="F3290" s="326"/>
      <c r="G3290" s="326"/>
      <c r="H3290" s="326"/>
      <c r="P3290" s="318"/>
      <c r="Q3290" s="318"/>
      <c r="R3290" s="318"/>
      <c r="S3290" s="318"/>
      <c r="T3290" s="318"/>
      <c r="U3290" s="318"/>
      <c r="V3290" s="318"/>
      <c r="W3290" s="318"/>
      <c r="X3290" s="318"/>
      <c r="Y3290" s="318"/>
      <c r="Z3290" s="318"/>
      <c r="AA3290" s="318"/>
      <c r="AB3290" s="318"/>
      <c r="AC3290" s="318"/>
      <c r="AD3290" s="318"/>
    </row>
    <row r="3291" spans="2:30" s="323" customFormat="1" ht="12" customHeight="1">
      <c r="B3291" s="324"/>
      <c r="C3291" s="325"/>
      <c r="D3291" s="326"/>
      <c r="E3291" s="326"/>
      <c r="F3291" s="326"/>
      <c r="G3291" s="326"/>
      <c r="H3291" s="326"/>
      <c r="P3291" s="318"/>
      <c r="Q3291" s="318"/>
      <c r="R3291" s="318"/>
      <c r="S3291" s="318"/>
      <c r="T3291" s="318"/>
      <c r="U3291" s="318"/>
      <c r="V3291" s="318"/>
      <c r="W3291" s="318"/>
      <c r="X3291" s="318"/>
      <c r="Y3291" s="318"/>
      <c r="Z3291" s="318"/>
      <c r="AA3291" s="318"/>
      <c r="AB3291" s="318"/>
      <c r="AC3291" s="318"/>
      <c r="AD3291" s="318"/>
    </row>
    <row r="3292" spans="2:30" s="323" customFormat="1" ht="12" customHeight="1">
      <c r="B3292" s="324"/>
      <c r="C3292" s="325"/>
      <c r="D3292" s="326"/>
      <c r="E3292" s="326"/>
      <c r="F3292" s="326"/>
      <c r="G3292" s="326"/>
      <c r="H3292" s="326"/>
      <c r="P3292" s="318"/>
      <c r="Q3292" s="318"/>
      <c r="R3292" s="318"/>
      <c r="S3292" s="318"/>
      <c r="T3292" s="318"/>
      <c r="U3292" s="318"/>
      <c r="V3292" s="318"/>
      <c r="W3292" s="318"/>
      <c r="X3292" s="318"/>
      <c r="Y3292" s="318"/>
      <c r="Z3292" s="318"/>
      <c r="AA3292" s="318"/>
      <c r="AB3292" s="318"/>
      <c r="AC3292" s="318"/>
      <c r="AD3292" s="318"/>
    </row>
    <row r="3293" spans="2:30" s="323" customFormat="1" ht="12" customHeight="1">
      <c r="B3293" s="324"/>
      <c r="C3293" s="325"/>
      <c r="D3293" s="326"/>
      <c r="E3293" s="326"/>
      <c r="F3293" s="326"/>
      <c r="G3293" s="326"/>
      <c r="H3293" s="326"/>
      <c r="P3293" s="318"/>
      <c r="Q3293" s="318"/>
      <c r="R3293" s="318"/>
      <c r="S3293" s="318"/>
      <c r="T3293" s="318"/>
      <c r="U3293" s="318"/>
      <c r="V3293" s="318"/>
      <c r="W3293" s="318"/>
      <c r="X3293" s="318"/>
      <c r="Y3293" s="318"/>
      <c r="Z3293" s="318"/>
      <c r="AA3293" s="318"/>
      <c r="AB3293" s="318"/>
      <c r="AC3293" s="318"/>
      <c r="AD3293" s="318"/>
    </row>
    <row r="3294" spans="2:30" s="323" customFormat="1" ht="12" customHeight="1">
      <c r="B3294" s="324"/>
      <c r="C3294" s="325"/>
      <c r="D3294" s="326"/>
      <c r="E3294" s="326"/>
      <c r="F3294" s="326"/>
      <c r="G3294" s="326"/>
      <c r="H3294" s="326"/>
      <c r="P3294" s="318"/>
      <c r="Q3294" s="318"/>
      <c r="R3294" s="318"/>
      <c r="S3294" s="318"/>
      <c r="T3294" s="318"/>
      <c r="U3294" s="318"/>
      <c r="V3294" s="318"/>
      <c r="W3294" s="318"/>
      <c r="X3294" s="318"/>
      <c r="Y3294" s="318"/>
      <c r="Z3294" s="318"/>
      <c r="AA3294" s="318"/>
      <c r="AB3294" s="318"/>
      <c r="AC3294" s="318"/>
      <c r="AD3294" s="318"/>
    </row>
    <row r="3295" spans="2:30" s="323" customFormat="1" ht="12" customHeight="1">
      <c r="B3295" s="324"/>
      <c r="C3295" s="325"/>
      <c r="D3295" s="326"/>
      <c r="E3295" s="326"/>
      <c r="F3295" s="326"/>
      <c r="G3295" s="326"/>
      <c r="H3295" s="326"/>
      <c r="P3295" s="318"/>
      <c r="Q3295" s="318"/>
      <c r="R3295" s="318"/>
      <c r="S3295" s="318"/>
      <c r="T3295" s="318"/>
      <c r="U3295" s="318"/>
      <c r="V3295" s="318"/>
      <c r="W3295" s="318"/>
      <c r="X3295" s="318"/>
      <c r="Y3295" s="318"/>
      <c r="Z3295" s="318"/>
      <c r="AA3295" s="318"/>
      <c r="AB3295" s="318"/>
      <c r="AC3295" s="318"/>
      <c r="AD3295" s="318"/>
    </row>
    <row r="3296" spans="2:30" s="323" customFormat="1" ht="12" customHeight="1">
      <c r="B3296" s="324"/>
      <c r="C3296" s="325"/>
      <c r="D3296" s="326"/>
      <c r="E3296" s="326"/>
      <c r="F3296" s="326"/>
      <c r="G3296" s="326"/>
      <c r="H3296" s="326"/>
      <c r="P3296" s="318"/>
      <c r="Q3296" s="318"/>
      <c r="R3296" s="318"/>
      <c r="S3296" s="318"/>
      <c r="T3296" s="318"/>
      <c r="U3296" s="318"/>
      <c r="V3296" s="318"/>
      <c r="W3296" s="318"/>
      <c r="X3296" s="318"/>
      <c r="Y3296" s="318"/>
      <c r="Z3296" s="318"/>
      <c r="AA3296" s="318"/>
      <c r="AB3296" s="318"/>
      <c r="AC3296" s="318"/>
      <c r="AD3296" s="318"/>
    </row>
    <row r="3297" spans="2:30" s="323" customFormat="1" ht="12" customHeight="1">
      <c r="B3297" s="324"/>
      <c r="C3297" s="325"/>
      <c r="D3297" s="326"/>
      <c r="E3297" s="326"/>
      <c r="F3297" s="326"/>
      <c r="G3297" s="326"/>
      <c r="H3297" s="326"/>
      <c r="P3297" s="318"/>
      <c r="Q3297" s="318"/>
      <c r="R3297" s="318"/>
      <c r="S3297" s="318"/>
      <c r="T3297" s="318"/>
      <c r="U3297" s="318"/>
      <c r="V3297" s="318"/>
      <c r="W3297" s="318"/>
      <c r="X3297" s="318"/>
      <c r="Y3297" s="318"/>
      <c r="Z3297" s="318"/>
      <c r="AA3297" s="318"/>
      <c r="AB3297" s="318"/>
      <c r="AC3297" s="318"/>
      <c r="AD3297" s="318"/>
    </row>
    <row r="3298" spans="2:30" s="323" customFormat="1" ht="12" customHeight="1">
      <c r="B3298" s="324"/>
      <c r="C3298" s="325"/>
      <c r="D3298" s="326"/>
      <c r="E3298" s="326"/>
      <c r="F3298" s="326"/>
      <c r="G3298" s="326"/>
      <c r="H3298" s="326"/>
      <c r="P3298" s="318"/>
      <c r="Q3298" s="318"/>
      <c r="R3298" s="318"/>
      <c r="S3298" s="318"/>
      <c r="T3298" s="318"/>
      <c r="U3298" s="318"/>
      <c r="V3298" s="318"/>
      <c r="W3298" s="318"/>
      <c r="X3298" s="318"/>
      <c r="Y3298" s="318"/>
      <c r="Z3298" s="318"/>
      <c r="AA3298" s="318"/>
      <c r="AB3298" s="318"/>
      <c r="AC3298" s="318"/>
      <c r="AD3298" s="318"/>
    </row>
    <row r="3299" spans="2:30" s="323" customFormat="1" ht="12" customHeight="1">
      <c r="B3299" s="324"/>
      <c r="C3299" s="325"/>
      <c r="D3299" s="326"/>
      <c r="E3299" s="326"/>
      <c r="F3299" s="326"/>
      <c r="G3299" s="326"/>
      <c r="H3299" s="326"/>
      <c r="P3299" s="318"/>
      <c r="Q3299" s="318"/>
      <c r="R3299" s="318"/>
      <c r="S3299" s="318"/>
      <c r="T3299" s="318"/>
      <c r="U3299" s="318"/>
      <c r="V3299" s="318"/>
      <c r="W3299" s="318"/>
      <c r="X3299" s="318"/>
      <c r="Y3299" s="318"/>
      <c r="Z3299" s="318"/>
      <c r="AA3299" s="318"/>
      <c r="AB3299" s="318"/>
      <c r="AC3299" s="318"/>
      <c r="AD3299" s="318"/>
    </row>
    <row r="3300" spans="2:30" s="323" customFormat="1" ht="12" customHeight="1">
      <c r="B3300" s="324"/>
      <c r="C3300" s="325"/>
      <c r="D3300" s="326"/>
      <c r="E3300" s="326"/>
      <c r="F3300" s="326"/>
      <c r="G3300" s="326"/>
      <c r="H3300" s="326"/>
      <c r="P3300" s="318"/>
      <c r="Q3300" s="318"/>
      <c r="R3300" s="318"/>
      <c r="S3300" s="318"/>
      <c r="T3300" s="318"/>
      <c r="U3300" s="318"/>
      <c r="V3300" s="318"/>
      <c r="W3300" s="318"/>
      <c r="X3300" s="318"/>
      <c r="Y3300" s="318"/>
      <c r="Z3300" s="318"/>
      <c r="AA3300" s="318"/>
      <c r="AB3300" s="318"/>
      <c r="AC3300" s="318"/>
      <c r="AD3300" s="318"/>
    </row>
    <row r="3301" spans="2:30" s="323" customFormat="1" ht="12" customHeight="1">
      <c r="B3301" s="324"/>
      <c r="C3301" s="325"/>
      <c r="D3301" s="326"/>
      <c r="E3301" s="326"/>
      <c r="F3301" s="326"/>
      <c r="G3301" s="326"/>
      <c r="H3301" s="326"/>
      <c r="P3301" s="318"/>
      <c r="Q3301" s="318"/>
      <c r="R3301" s="318"/>
      <c r="S3301" s="318"/>
      <c r="T3301" s="318"/>
      <c r="U3301" s="318"/>
      <c r="V3301" s="318"/>
      <c r="W3301" s="318"/>
      <c r="X3301" s="318"/>
      <c r="Y3301" s="318"/>
      <c r="Z3301" s="318"/>
      <c r="AA3301" s="318"/>
      <c r="AB3301" s="318"/>
      <c r="AC3301" s="318"/>
      <c r="AD3301" s="318"/>
    </row>
    <row r="3302" spans="2:30" s="323" customFormat="1" ht="12" customHeight="1">
      <c r="B3302" s="324"/>
      <c r="C3302" s="325"/>
      <c r="D3302" s="326"/>
      <c r="E3302" s="326"/>
      <c r="F3302" s="326"/>
      <c r="G3302" s="326"/>
      <c r="H3302" s="326"/>
      <c r="P3302" s="318"/>
      <c r="Q3302" s="318"/>
      <c r="R3302" s="318"/>
      <c r="S3302" s="318"/>
      <c r="T3302" s="318"/>
      <c r="U3302" s="318"/>
      <c r="V3302" s="318"/>
      <c r="W3302" s="318"/>
      <c r="X3302" s="318"/>
      <c r="Y3302" s="318"/>
      <c r="Z3302" s="318"/>
      <c r="AA3302" s="318"/>
      <c r="AB3302" s="318"/>
      <c r="AC3302" s="318"/>
      <c r="AD3302" s="318"/>
    </row>
    <row r="3303" spans="2:30" s="323" customFormat="1" ht="12" customHeight="1">
      <c r="B3303" s="324"/>
      <c r="C3303" s="325"/>
      <c r="D3303" s="326"/>
      <c r="E3303" s="326"/>
      <c r="F3303" s="326"/>
      <c r="G3303" s="326"/>
      <c r="H3303" s="326"/>
      <c r="P3303" s="318"/>
      <c r="Q3303" s="318"/>
      <c r="R3303" s="318"/>
      <c r="S3303" s="318"/>
      <c r="T3303" s="318"/>
      <c r="U3303" s="318"/>
      <c r="V3303" s="318"/>
      <c r="W3303" s="318"/>
      <c r="X3303" s="318"/>
      <c r="Y3303" s="318"/>
      <c r="Z3303" s="318"/>
      <c r="AA3303" s="318"/>
      <c r="AB3303" s="318"/>
      <c r="AC3303" s="318"/>
      <c r="AD3303" s="318"/>
    </row>
    <row r="3304" spans="2:30" s="323" customFormat="1" ht="12" customHeight="1">
      <c r="B3304" s="324"/>
      <c r="C3304" s="325"/>
      <c r="D3304" s="326"/>
      <c r="E3304" s="326"/>
      <c r="F3304" s="326"/>
      <c r="G3304" s="326"/>
      <c r="H3304" s="326"/>
      <c r="P3304" s="318"/>
      <c r="Q3304" s="318"/>
      <c r="R3304" s="318"/>
      <c r="S3304" s="318"/>
      <c r="T3304" s="318"/>
      <c r="U3304" s="318"/>
      <c r="V3304" s="318"/>
      <c r="W3304" s="318"/>
      <c r="X3304" s="318"/>
      <c r="Y3304" s="318"/>
      <c r="Z3304" s="318"/>
      <c r="AA3304" s="318"/>
      <c r="AB3304" s="318"/>
      <c r="AC3304" s="318"/>
      <c r="AD3304" s="318"/>
    </row>
    <row r="3305" spans="2:30" s="323" customFormat="1" ht="12" customHeight="1">
      <c r="B3305" s="324"/>
      <c r="C3305" s="325"/>
      <c r="D3305" s="326"/>
      <c r="E3305" s="326"/>
      <c r="F3305" s="326"/>
      <c r="G3305" s="326"/>
      <c r="H3305" s="326"/>
      <c r="P3305" s="318"/>
      <c r="Q3305" s="318"/>
      <c r="R3305" s="318"/>
      <c r="S3305" s="318"/>
      <c r="T3305" s="318"/>
      <c r="U3305" s="318"/>
      <c r="V3305" s="318"/>
      <c r="W3305" s="318"/>
      <c r="X3305" s="318"/>
      <c r="Y3305" s="318"/>
      <c r="Z3305" s="318"/>
      <c r="AA3305" s="318"/>
      <c r="AB3305" s="318"/>
      <c r="AC3305" s="318"/>
      <c r="AD3305" s="318"/>
    </row>
    <row r="3306" spans="2:30" s="323" customFormat="1" ht="12" customHeight="1">
      <c r="B3306" s="324"/>
      <c r="C3306" s="325"/>
      <c r="D3306" s="326"/>
      <c r="E3306" s="326"/>
      <c r="F3306" s="326"/>
      <c r="G3306" s="326"/>
      <c r="H3306" s="326"/>
      <c r="P3306" s="318"/>
      <c r="Q3306" s="318"/>
      <c r="R3306" s="318"/>
      <c r="S3306" s="318"/>
      <c r="T3306" s="318"/>
      <c r="U3306" s="318"/>
      <c r="V3306" s="318"/>
      <c r="W3306" s="318"/>
      <c r="X3306" s="318"/>
      <c r="Y3306" s="318"/>
      <c r="Z3306" s="318"/>
      <c r="AA3306" s="318"/>
      <c r="AB3306" s="318"/>
      <c r="AC3306" s="318"/>
      <c r="AD3306" s="318"/>
    </row>
    <row r="3307" spans="2:30" s="323" customFormat="1" ht="12" customHeight="1">
      <c r="B3307" s="324"/>
      <c r="C3307" s="325"/>
      <c r="D3307" s="326"/>
      <c r="E3307" s="326"/>
      <c r="F3307" s="326"/>
      <c r="G3307" s="326"/>
      <c r="H3307" s="326"/>
      <c r="P3307" s="318"/>
      <c r="Q3307" s="318"/>
      <c r="R3307" s="318"/>
      <c r="S3307" s="318"/>
      <c r="T3307" s="318"/>
      <c r="U3307" s="318"/>
      <c r="V3307" s="318"/>
      <c r="W3307" s="318"/>
      <c r="X3307" s="318"/>
      <c r="Y3307" s="318"/>
      <c r="Z3307" s="318"/>
      <c r="AA3307" s="318"/>
      <c r="AB3307" s="318"/>
      <c r="AC3307" s="318"/>
      <c r="AD3307" s="318"/>
    </row>
    <row r="3308" spans="2:30" s="323" customFormat="1" ht="12" customHeight="1">
      <c r="B3308" s="324"/>
      <c r="C3308" s="325"/>
      <c r="D3308" s="326"/>
      <c r="E3308" s="326"/>
      <c r="F3308" s="326"/>
      <c r="G3308" s="326"/>
      <c r="H3308" s="326"/>
      <c r="P3308" s="318"/>
      <c r="Q3308" s="318"/>
      <c r="R3308" s="318"/>
      <c r="S3308" s="318"/>
      <c r="T3308" s="318"/>
      <c r="U3308" s="318"/>
      <c r="V3308" s="318"/>
      <c r="W3308" s="318"/>
      <c r="X3308" s="318"/>
      <c r="Y3308" s="318"/>
      <c r="Z3308" s="318"/>
      <c r="AA3308" s="318"/>
      <c r="AB3308" s="318"/>
      <c r="AC3308" s="318"/>
      <c r="AD3308" s="318"/>
    </row>
    <row r="3309" spans="2:30" s="323" customFormat="1" ht="12" customHeight="1">
      <c r="B3309" s="324"/>
      <c r="C3309" s="325"/>
      <c r="D3309" s="326"/>
      <c r="E3309" s="326"/>
      <c r="F3309" s="326"/>
      <c r="G3309" s="326"/>
      <c r="H3309" s="326"/>
      <c r="P3309" s="318"/>
      <c r="Q3309" s="318"/>
      <c r="R3309" s="318"/>
      <c r="S3309" s="318"/>
      <c r="T3309" s="318"/>
      <c r="U3309" s="318"/>
      <c r="V3309" s="318"/>
      <c r="W3309" s="318"/>
      <c r="X3309" s="318"/>
      <c r="Y3309" s="318"/>
      <c r="Z3309" s="318"/>
      <c r="AA3309" s="318"/>
      <c r="AB3309" s="318"/>
      <c r="AC3309" s="318"/>
      <c r="AD3309" s="318"/>
    </row>
    <row r="3310" spans="2:30" s="323" customFormat="1" ht="12" customHeight="1">
      <c r="B3310" s="324"/>
      <c r="C3310" s="325"/>
      <c r="D3310" s="326"/>
      <c r="E3310" s="326"/>
      <c r="F3310" s="326"/>
      <c r="G3310" s="326"/>
      <c r="H3310" s="326"/>
      <c r="P3310" s="318"/>
      <c r="Q3310" s="318"/>
      <c r="R3310" s="318"/>
      <c r="S3310" s="318"/>
      <c r="T3310" s="318"/>
      <c r="U3310" s="318"/>
      <c r="V3310" s="318"/>
      <c r="W3310" s="318"/>
      <c r="X3310" s="318"/>
      <c r="Y3310" s="318"/>
      <c r="Z3310" s="318"/>
      <c r="AA3310" s="318"/>
      <c r="AB3310" s="318"/>
      <c r="AC3310" s="318"/>
      <c r="AD3310" s="318"/>
    </row>
    <row r="3311" spans="2:30" s="323" customFormat="1" ht="12" customHeight="1">
      <c r="B3311" s="324"/>
      <c r="C3311" s="325"/>
      <c r="D3311" s="326"/>
      <c r="E3311" s="326"/>
      <c r="F3311" s="326"/>
      <c r="G3311" s="326"/>
      <c r="H3311" s="326"/>
      <c r="P3311" s="318"/>
      <c r="Q3311" s="318"/>
      <c r="R3311" s="318"/>
      <c r="S3311" s="318"/>
      <c r="T3311" s="318"/>
      <c r="U3311" s="318"/>
      <c r="V3311" s="318"/>
      <c r="W3311" s="318"/>
      <c r="X3311" s="318"/>
      <c r="Y3311" s="318"/>
      <c r="Z3311" s="318"/>
      <c r="AA3311" s="318"/>
      <c r="AB3311" s="318"/>
      <c r="AC3311" s="318"/>
      <c r="AD3311" s="318"/>
    </row>
    <row r="3312" spans="2:30" s="323" customFormat="1" ht="12" customHeight="1">
      <c r="B3312" s="324"/>
      <c r="C3312" s="325"/>
      <c r="D3312" s="326"/>
      <c r="E3312" s="326"/>
      <c r="F3312" s="326"/>
      <c r="G3312" s="326"/>
      <c r="H3312" s="326"/>
      <c r="P3312" s="318"/>
      <c r="Q3312" s="318"/>
      <c r="R3312" s="318"/>
      <c r="S3312" s="318"/>
      <c r="T3312" s="318"/>
      <c r="U3312" s="318"/>
      <c r="V3312" s="318"/>
      <c r="W3312" s="318"/>
      <c r="X3312" s="318"/>
      <c r="Y3312" s="318"/>
      <c r="Z3312" s="318"/>
      <c r="AA3312" s="318"/>
      <c r="AB3312" s="318"/>
      <c r="AC3312" s="318"/>
      <c r="AD3312" s="318"/>
    </row>
    <row r="3313" spans="2:30" s="323" customFormat="1" ht="12" customHeight="1">
      <c r="B3313" s="324"/>
      <c r="C3313" s="325"/>
      <c r="D3313" s="326"/>
      <c r="E3313" s="326"/>
      <c r="F3313" s="326"/>
      <c r="G3313" s="326"/>
      <c r="H3313" s="326"/>
      <c r="P3313" s="318"/>
      <c r="Q3313" s="318"/>
      <c r="R3313" s="318"/>
      <c r="S3313" s="318"/>
      <c r="T3313" s="318"/>
      <c r="U3313" s="318"/>
      <c r="V3313" s="318"/>
      <c r="W3313" s="318"/>
      <c r="X3313" s="318"/>
      <c r="Y3313" s="318"/>
      <c r="Z3313" s="318"/>
      <c r="AA3313" s="318"/>
      <c r="AB3313" s="318"/>
      <c r="AC3313" s="318"/>
      <c r="AD3313" s="318"/>
    </row>
    <row r="3314" spans="2:30" s="323" customFormat="1" ht="12" customHeight="1">
      <c r="B3314" s="324"/>
      <c r="C3314" s="325"/>
      <c r="D3314" s="326"/>
      <c r="E3314" s="326"/>
      <c r="F3314" s="326"/>
      <c r="G3314" s="326"/>
      <c r="H3314" s="326"/>
      <c r="P3314" s="318"/>
      <c r="Q3314" s="318"/>
      <c r="R3314" s="318"/>
      <c r="S3314" s="318"/>
      <c r="T3314" s="318"/>
      <c r="U3314" s="318"/>
      <c r="V3314" s="318"/>
      <c r="W3314" s="318"/>
      <c r="X3314" s="318"/>
      <c r="Y3314" s="318"/>
      <c r="Z3314" s="318"/>
      <c r="AA3314" s="318"/>
      <c r="AB3314" s="318"/>
      <c r="AC3314" s="318"/>
      <c r="AD3314" s="318"/>
    </row>
    <row r="3315" spans="2:30" s="323" customFormat="1" ht="12" customHeight="1">
      <c r="B3315" s="324"/>
      <c r="C3315" s="325"/>
      <c r="D3315" s="326"/>
      <c r="E3315" s="326"/>
      <c r="F3315" s="326"/>
      <c r="G3315" s="326"/>
      <c r="H3315" s="326"/>
      <c r="P3315" s="318"/>
      <c r="Q3315" s="318"/>
      <c r="R3315" s="318"/>
      <c r="S3315" s="318"/>
      <c r="T3315" s="318"/>
      <c r="U3315" s="318"/>
      <c r="V3315" s="318"/>
      <c r="W3315" s="318"/>
      <c r="X3315" s="318"/>
      <c r="Y3315" s="318"/>
      <c r="Z3315" s="318"/>
      <c r="AA3315" s="318"/>
      <c r="AB3315" s="318"/>
      <c r="AC3315" s="318"/>
      <c r="AD3315" s="318"/>
    </row>
    <row r="3316" spans="2:30" s="323" customFormat="1" ht="12" customHeight="1">
      <c r="B3316" s="324"/>
      <c r="C3316" s="325"/>
      <c r="D3316" s="326"/>
      <c r="E3316" s="326"/>
      <c r="F3316" s="326"/>
      <c r="G3316" s="326"/>
      <c r="H3316" s="326"/>
      <c r="P3316" s="318"/>
      <c r="Q3316" s="318"/>
      <c r="R3316" s="318"/>
      <c r="S3316" s="318"/>
      <c r="T3316" s="318"/>
      <c r="U3316" s="318"/>
      <c r="V3316" s="318"/>
      <c r="W3316" s="318"/>
      <c r="X3316" s="318"/>
      <c r="Y3316" s="318"/>
      <c r="Z3316" s="318"/>
      <c r="AA3316" s="318"/>
      <c r="AB3316" s="318"/>
      <c r="AC3316" s="318"/>
      <c r="AD3316" s="318"/>
    </row>
    <row r="3317" spans="2:30" s="323" customFormat="1" ht="12" customHeight="1">
      <c r="B3317" s="324"/>
      <c r="C3317" s="325"/>
      <c r="D3317" s="326"/>
      <c r="E3317" s="326"/>
      <c r="F3317" s="326"/>
      <c r="G3317" s="326"/>
      <c r="H3317" s="326"/>
      <c r="P3317" s="318"/>
      <c r="Q3317" s="318"/>
      <c r="R3317" s="318"/>
      <c r="S3317" s="318"/>
      <c r="T3317" s="318"/>
      <c r="U3317" s="318"/>
      <c r="V3317" s="318"/>
      <c r="W3317" s="318"/>
      <c r="X3317" s="318"/>
      <c r="Y3317" s="318"/>
      <c r="Z3317" s="318"/>
      <c r="AA3317" s="318"/>
      <c r="AB3317" s="318"/>
      <c r="AC3317" s="318"/>
      <c r="AD3317" s="318"/>
    </row>
    <row r="3318" spans="2:30" s="323" customFormat="1" ht="12" customHeight="1">
      <c r="B3318" s="324"/>
      <c r="C3318" s="325"/>
      <c r="D3318" s="326"/>
      <c r="E3318" s="326"/>
      <c r="F3318" s="326"/>
      <c r="G3318" s="326"/>
      <c r="H3318" s="326"/>
      <c r="P3318" s="318"/>
      <c r="Q3318" s="318"/>
      <c r="R3318" s="318"/>
      <c r="S3318" s="318"/>
      <c r="T3318" s="318"/>
      <c r="U3318" s="318"/>
      <c r="V3318" s="318"/>
      <c r="W3318" s="318"/>
      <c r="X3318" s="318"/>
      <c r="Y3318" s="318"/>
      <c r="Z3318" s="318"/>
      <c r="AA3318" s="318"/>
      <c r="AB3318" s="318"/>
      <c r="AC3318" s="318"/>
      <c r="AD3318" s="318"/>
    </row>
    <row r="3319" spans="2:30" s="323" customFormat="1" ht="12" customHeight="1">
      <c r="B3319" s="324"/>
      <c r="C3319" s="325"/>
      <c r="D3319" s="326"/>
      <c r="E3319" s="326"/>
      <c r="F3319" s="326"/>
      <c r="G3319" s="326"/>
      <c r="H3319" s="326"/>
      <c r="P3319" s="318"/>
      <c r="Q3319" s="318"/>
      <c r="R3319" s="318"/>
      <c r="S3319" s="318"/>
      <c r="T3319" s="318"/>
      <c r="U3319" s="318"/>
      <c r="V3319" s="318"/>
      <c r="W3319" s="318"/>
      <c r="X3319" s="318"/>
      <c r="Y3319" s="318"/>
      <c r="Z3319" s="318"/>
      <c r="AA3319" s="318"/>
      <c r="AB3319" s="318"/>
      <c r="AC3319" s="318"/>
      <c r="AD3319" s="318"/>
    </row>
    <row r="3320" spans="2:30" s="323" customFormat="1" ht="12" customHeight="1">
      <c r="B3320" s="324"/>
      <c r="C3320" s="325"/>
      <c r="D3320" s="326"/>
      <c r="E3320" s="326"/>
      <c r="F3320" s="326"/>
      <c r="G3320" s="326"/>
      <c r="H3320" s="326"/>
      <c r="P3320" s="318"/>
      <c r="Q3320" s="318"/>
      <c r="R3320" s="318"/>
      <c r="S3320" s="318"/>
      <c r="T3320" s="318"/>
      <c r="U3320" s="318"/>
      <c r="V3320" s="318"/>
      <c r="W3320" s="318"/>
      <c r="X3320" s="318"/>
      <c r="Y3320" s="318"/>
      <c r="Z3320" s="318"/>
      <c r="AA3320" s="318"/>
      <c r="AB3320" s="318"/>
      <c r="AC3320" s="318"/>
      <c r="AD3320" s="318"/>
    </row>
    <row r="3321" spans="2:30" s="323" customFormat="1" ht="12" customHeight="1">
      <c r="B3321" s="324"/>
      <c r="C3321" s="325"/>
      <c r="D3321" s="326"/>
      <c r="E3321" s="326"/>
      <c r="F3321" s="326"/>
      <c r="G3321" s="326"/>
      <c r="H3321" s="326"/>
      <c r="P3321" s="318"/>
      <c r="Q3321" s="318"/>
      <c r="R3321" s="318"/>
      <c r="S3321" s="318"/>
      <c r="T3321" s="318"/>
      <c r="U3321" s="318"/>
      <c r="V3321" s="318"/>
      <c r="W3321" s="318"/>
      <c r="X3321" s="318"/>
      <c r="Y3321" s="318"/>
      <c r="Z3321" s="318"/>
      <c r="AA3321" s="318"/>
      <c r="AB3321" s="318"/>
      <c r="AC3321" s="318"/>
      <c r="AD3321" s="318"/>
    </row>
    <row r="3322" spans="2:30" s="323" customFormat="1" ht="12" customHeight="1">
      <c r="B3322" s="324"/>
      <c r="C3322" s="325"/>
      <c r="D3322" s="326"/>
      <c r="E3322" s="326"/>
      <c r="F3322" s="326"/>
      <c r="G3322" s="326"/>
      <c r="H3322" s="326"/>
      <c r="P3322" s="318"/>
      <c r="Q3322" s="318"/>
      <c r="R3322" s="318"/>
      <c r="S3322" s="318"/>
      <c r="T3322" s="318"/>
      <c r="U3322" s="318"/>
      <c r="V3322" s="318"/>
      <c r="W3322" s="318"/>
      <c r="X3322" s="318"/>
      <c r="Y3322" s="318"/>
      <c r="Z3322" s="318"/>
      <c r="AA3322" s="318"/>
      <c r="AB3322" s="318"/>
      <c r="AC3322" s="318"/>
      <c r="AD3322" s="318"/>
    </row>
    <row r="3323" spans="2:30" s="323" customFormat="1" ht="12" customHeight="1">
      <c r="B3323" s="324"/>
      <c r="C3323" s="325"/>
      <c r="D3323" s="326"/>
      <c r="E3323" s="326"/>
      <c r="F3323" s="326"/>
      <c r="G3323" s="326"/>
      <c r="H3323" s="326"/>
      <c r="P3323" s="318"/>
      <c r="Q3323" s="318"/>
      <c r="R3323" s="318"/>
      <c r="S3323" s="318"/>
      <c r="T3323" s="318"/>
      <c r="U3323" s="318"/>
      <c r="V3323" s="318"/>
      <c r="W3323" s="318"/>
      <c r="X3323" s="318"/>
      <c r="Y3323" s="318"/>
      <c r="Z3323" s="318"/>
      <c r="AA3323" s="318"/>
      <c r="AB3323" s="318"/>
      <c r="AC3323" s="318"/>
      <c r="AD3323" s="318"/>
    </row>
    <row r="3324" spans="2:30" s="323" customFormat="1" ht="12" customHeight="1">
      <c r="B3324" s="324"/>
      <c r="C3324" s="325"/>
      <c r="D3324" s="326"/>
      <c r="E3324" s="326"/>
      <c r="F3324" s="326"/>
      <c r="G3324" s="326"/>
      <c r="H3324" s="326"/>
      <c r="P3324" s="318"/>
      <c r="Q3324" s="318"/>
      <c r="R3324" s="318"/>
      <c r="S3324" s="318"/>
      <c r="T3324" s="318"/>
      <c r="U3324" s="318"/>
      <c r="V3324" s="318"/>
      <c r="W3324" s="318"/>
      <c r="X3324" s="318"/>
      <c r="Y3324" s="318"/>
      <c r="Z3324" s="318"/>
      <c r="AA3324" s="318"/>
      <c r="AB3324" s="318"/>
      <c r="AC3324" s="318"/>
      <c r="AD3324" s="318"/>
    </row>
    <row r="3325" spans="2:30" s="323" customFormat="1" ht="12" customHeight="1">
      <c r="B3325" s="324"/>
      <c r="C3325" s="325"/>
      <c r="D3325" s="326"/>
      <c r="E3325" s="326"/>
      <c r="F3325" s="326"/>
      <c r="G3325" s="326"/>
      <c r="H3325" s="326"/>
      <c r="P3325" s="318"/>
      <c r="Q3325" s="318"/>
      <c r="R3325" s="318"/>
      <c r="S3325" s="318"/>
      <c r="T3325" s="318"/>
      <c r="U3325" s="318"/>
      <c r="V3325" s="318"/>
      <c r="W3325" s="318"/>
      <c r="X3325" s="318"/>
      <c r="Y3325" s="318"/>
      <c r="Z3325" s="318"/>
      <c r="AA3325" s="318"/>
      <c r="AB3325" s="318"/>
      <c r="AC3325" s="318"/>
      <c r="AD3325" s="318"/>
    </row>
    <row r="3326" spans="2:30" s="323" customFormat="1" ht="12" customHeight="1">
      <c r="B3326" s="324"/>
      <c r="C3326" s="325"/>
      <c r="D3326" s="326"/>
      <c r="E3326" s="326"/>
      <c r="F3326" s="326"/>
      <c r="G3326" s="326"/>
      <c r="H3326" s="326"/>
      <c r="P3326" s="318"/>
      <c r="Q3326" s="318"/>
      <c r="R3326" s="318"/>
      <c r="S3326" s="318"/>
      <c r="T3326" s="318"/>
      <c r="U3326" s="318"/>
      <c r="V3326" s="318"/>
      <c r="W3326" s="318"/>
      <c r="X3326" s="318"/>
      <c r="Y3326" s="318"/>
      <c r="Z3326" s="318"/>
      <c r="AA3326" s="318"/>
      <c r="AB3326" s="318"/>
      <c r="AC3326" s="318"/>
      <c r="AD3326" s="318"/>
    </row>
    <row r="3327" spans="2:30" s="323" customFormat="1" ht="12" customHeight="1">
      <c r="B3327" s="324"/>
      <c r="C3327" s="325"/>
      <c r="D3327" s="326"/>
      <c r="E3327" s="326"/>
      <c r="F3327" s="326"/>
      <c r="G3327" s="326"/>
      <c r="H3327" s="326"/>
      <c r="P3327" s="318"/>
      <c r="Q3327" s="318"/>
      <c r="R3327" s="318"/>
      <c r="S3327" s="318"/>
      <c r="T3327" s="318"/>
      <c r="U3327" s="318"/>
      <c r="V3327" s="318"/>
      <c r="W3327" s="318"/>
      <c r="X3327" s="318"/>
      <c r="Y3327" s="318"/>
      <c r="Z3327" s="318"/>
      <c r="AA3327" s="318"/>
      <c r="AB3327" s="318"/>
      <c r="AC3327" s="318"/>
      <c r="AD3327" s="318"/>
    </row>
    <row r="3328" spans="2:30" s="323" customFormat="1" ht="12" customHeight="1">
      <c r="B3328" s="324"/>
      <c r="C3328" s="325"/>
      <c r="D3328" s="326"/>
      <c r="E3328" s="326"/>
      <c r="F3328" s="326"/>
      <c r="G3328" s="326"/>
      <c r="H3328" s="326"/>
      <c r="P3328" s="318"/>
      <c r="Q3328" s="318"/>
      <c r="R3328" s="318"/>
      <c r="S3328" s="318"/>
      <c r="T3328" s="318"/>
      <c r="U3328" s="318"/>
      <c r="V3328" s="318"/>
      <c r="W3328" s="318"/>
      <c r="X3328" s="318"/>
      <c r="Y3328" s="318"/>
      <c r="Z3328" s="318"/>
      <c r="AA3328" s="318"/>
      <c r="AB3328" s="318"/>
      <c r="AC3328" s="318"/>
      <c r="AD3328" s="318"/>
    </row>
    <row r="3329" spans="2:30" s="323" customFormat="1" ht="12" customHeight="1">
      <c r="B3329" s="324"/>
      <c r="C3329" s="325"/>
      <c r="D3329" s="326"/>
      <c r="E3329" s="326"/>
      <c r="F3329" s="326"/>
      <c r="G3329" s="326"/>
      <c r="H3329" s="326"/>
      <c r="P3329" s="318"/>
      <c r="Q3329" s="318"/>
      <c r="R3329" s="318"/>
      <c r="S3329" s="318"/>
      <c r="T3329" s="318"/>
      <c r="U3329" s="318"/>
      <c r="V3329" s="318"/>
      <c r="W3329" s="318"/>
      <c r="X3329" s="318"/>
      <c r="Y3329" s="318"/>
      <c r="Z3329" s="318"/>
      <c r="AA3329" s="318"/>
      <c r="AB3329" s="318"/>
      <c r="AC3329" s="318"/>
      <c r="AD3329" s="318"/>
    </row>
    <row r="3330" spans="2:30" s="323" customFormat="1" ht="12" customHeight="1">
      <c r="B3330" s="324"/>
      <c r="C3330" s="325"/>
      <c r="D3330" s="326"/>
      <c r="E3330" s="326"/>
      <c r="F3330" s="326"/>
      <c r="G3330" s="326"/>
      <c r="H3330" s="326"/>
      <c r="P3330" s="318"/>
      <c r="Q3330" s="318"/>
      <c r="R3330" s="318"/>
      <c r="S3330" s="318"/>
      <c r="T3330" s="318"/>
      <c r="U3330" s="318"/>
      <c r="V3330" s="318"/>
      <c r="W3330" s="318"/>
      <c r="X3330" s="318"/>
      <c r="Y3330" s="318"/>
      <c r="Z3330" s="318"/>
      <c r="AA3330" s="318"/>
      <c r="AB3330" s="318"/>
      <c r="AC3330" s="318"/>
      <c r="AD3330" s="318"/>
    </row>
    <row r="3331" spans="2:30" s="323" customFormat="1" ht="12" customHeight="1">
      <c r="B3331" s="324"/>
      <c r="C3331" s="325"/>
      <c r="D3331" s="326"/>
      <c r="E3331" s="326"/>
      <c r="F3331" s="326"/>
      <c r="G3331" s="326"/>
      <c r="H3331" s="326"/>
      <c r="P3331" s="318"/>
      <c r="Q3331" s="318"/>
      <c r="R3331" s="318"/>
      <c r="S3331" s="318"/>
      <c r="T3331" s="318"/>
      <c r="U3331" s="318"/>
      <c r="V3331" s="318"/>
      <c r="W3331" s="318"/>
      <c r="X3331" s="318"/>
      <c r="Y3331" s="318"/>
      <c r="Z3331" s="318"/>
      <c r="AA3331" s="318"/>
      <c r="AB3331" s="318"/>
      <c r="AC3331" s="318"/>
      <c r="AD3331" s="318"/>
    </row>
    <row r="3332" spans="2:30" s="323" customFormat="1" ht="12" customHeight="1">
      <c r="B3332" s="324"/>
      <c r="C3332" s="325"/>
      <c r="D3332" s="326"/>
      <c r="E3332" s="326"/>
      <c r="F3332" s="326"/>
      <c r="G3332" s="326"/>
      <c r="H3332" s="326"/>
      <c r="P3332" s="318"/>
      <c r="Q3332" s="318"/>
      <c r="R3332" s="318"/>
      <c r="S3332" s="318"/>
      <c r="T3332" s="318"/>
      <c r="U3332" s="318"/>
      <c r="V3332" s="318"/>
      <c r="W3332" s="318"/>
      <c r="X3332" s="318"/>
      <c r="Y3332" s="318"/>
      <c r="Z3332" s="318"/>
      <c r="AA3332" s="318"/>
      <c r="AB3332" s="318"/>
      <c r="AC3332" s="318"/>
      <c r="AD3332" s="318"/>
    </row>
    <row r="3333" spans="2:30" s="323" customFormat="1" ht="12" customHeight="1">
      <c r="B3333" s="324"/>
      <c r="C3333" s="325"/>
      <c r="D3333" s="326"/>
      <c r="E3333" s="326"/>
      <c r="F3333" s="326"/>
      <c r="G3333" s="326"/>
      <c r="H3333" s="326"/>
      <c r="P3333" s="318"/>
      <c r="Q3333" s="318"/>
      <c r="R3333" s="318"/>
      <c r="S3333" s="318"/>
      <c r="T3333" s="318"/>
      <c r="U3333" s="318"/>
      <c r="V3333" s="318"/>
      <c r="W3333" s="318"/>
      <c r="X3333" s="318"/>
      <c r="Y3333" s="318"/>
      <c r="Z3333" s="318"/>
      <c r="AA3333" s="318"/>
      <c r="AB3333" s="318"/>
      <c r="AC3333" s="318"/>
      <c r="AD3333" s="318"/>
    </row>
    <row r="3334" spans="2:30" s="323" customFormat="1" ht="12" customHeight="1">
      <c r="B3334" s="324"/>
      <c r="C3334" s="325"/>
      <c r="D3334" s="326"/>
      <c r="E3334" s="326"/>
      <c r="F3334" s="326"/>
      <c r="G3334" s="326"/>
      <c r="H3334" s="326"/>
      <c r="P3334" s="318"/>
      <c r="Q3334" s="318"/>
      <c r="R3334" s="318"/>
      <c r="S3334" s="318"/>
      <c r="T3334" s="318"/>
      <c r="U3334" s="318"/>
      <c r="V3334" s="318"/>
      <c r="W3334" s="318"/>
      <c r="X3334" s="318"/>
      <c r="Y3334" s="318"/>
      <c r="Z3334" s="318"/>
      <c r="AA3334" s="318"/>
      <c r="AB3334" s="318"/>
      <c r="AC3334" s="318"/>
      <c r="AD3334" s="318"/>
    </row>
    <row r="3335" spans="2:30" s="323" customFormat="1" ht="12" customHeight="1">
      <c r="B3335" s="324"/>
      <c r="C3335" s="325"/>
      <c r="D3335" s="326"/>
      <c r="E3335" s="326"/>
      <c r="F3335" s="326"/>
      <c r="G3335" s="326"/>
      <c r="H3335" s="326"/>
      <c r="P3335" s="318"/>
      <c r="Q3335" s="318"/>
      <c r="R3335" s="318"/>
      <c r="S3335" s="318"/>
      <c r="T3335" s="318"/>
      <c r="U3335" s="318"/>
      <c r="V3335" s="318"/>
      <c r="W3335" s="318"/>
      <c r="X3335" s="318"/>
      <c r="Y3335" s="318"/>
      <c r="Z3335" s="318"/>
      <c r="AA3335" s="318"/>
      <c r="AB3335" s="318"/>
      <c r="AC3335" s="318"/>
      <c r="AD3335" s="318"/>
    </row>
    <row r="3336" spans="2:30" s="323" customFormat="1" ht="12" customHeight="1">
      <c r="B3336" s="324"/>
      <c r="C3336" s="325"/>
      <c r="D3336" s="326"/>
      <c r="E3336" s="326"/>
      <c r="F3336" s="326"/>
      <c r="G3336" s="326"/>
      <c r="H3336" s="326"/>
      <c r="P3336" s="318"/>
      <c r="Q3336" s="318"/>
      <c r="R3336" s="318"/>
      <c r="S3336" s="318"/>
      <c r="T3336" s="318"/>
      <c r="U3336" s="318"/>
      <c r="V3336" s="318"/>
      <c r="W3336" s="318"/>
      <c r="X3336" s="318"/>
      <c r="Y3336" s="318"/>
      <c r="Z3336" s="318"/>
      <c r="AA3336" s="318"/>
      <c r="AB3336" s="318"/>
      <c r="AC3336" s="318"/>
      <c r="AD3336" s="318"/>
    </row>
    <row r="3337" spans="2:30" s="323" customFormat="1" ht="12" customHeight="1">
      <c r="B3337" s="324"/>
      <c r="C3337" s="325"/>
      <c r="D3337" s="326"/>
      <c r="E3337" s="326"/>
      <c r="F3337" s="326"/>
      <c r="G3337" s="326"/>
      <c r="H3337" s="326"/>
      <c r="P3337" s="318"/>
      <c r="Q3337" s="318"/>
      <c r="R3337" s="318"/>
      <c r="S3337" s="318"/>
      <c r="T3337" s="318"/>
      <c r="U3337" s="318"/>
      <c r="V3337" s="318"/>
      <c r="W3337" s="318"/>
      <c r="X3337" s="318"/>
      <c r="Y3337" s="318"/>
      <c r="Z3337" s="318"/>
      <c r="AA3337" s="318"/>
      <c r="AB3337" s="318"/>
      <c r="AC3337" s="318"/>
      <c r="AD3337" s="318"/>
    </row>
    <row r="3338" spans="2:30" s="323" customFormat="1" ht="12" customHeight="1">
      <c r="B3338" s="324"/>
      <c r="C3338" s="325"/>
      <c r="D3338" s="326"/>
      <c r="E3338" s="326"/>
      <c r="F3338" s="326"/>
      <c r="G3338" s="326"/>
      <c r="H3338" s="326"/>
      <c r="P3338" s="318"/>
      <c r="Q3338" s="318"/>
      <c r="R3338" s="318"/>
      <c r="S3338" s="318"/>
      <c r="T3338" s="318"/>
      <c r="U3338" s="318"/>
      <c r="V3338" s="318"/>
      <c r="W3338" s="318"/>
      <c r="X3338" s="318"/>
      <c r="Y3338" s="318"/>
      <c r="Z3338" s="318"/>
      <c r="AA3338" s="318"/>
      <c r="AB3338" s="318"/>
      <c r="AC3338" s="318"/>
      <c r="AD3338" s="318"/>
    </row>
    <row r="3339" spans="2:30" s="323" customFormat="1" ht="12" customHeight="1">
      <c r="B3339" s="324"/>
      <c r="C3339" s="325"/>
      <c r="D3339" s="326"/>
      <c r="E3339" s="326"/>
      <c r="F3339" s="326"/>
      <c r="G3339" s="326"/>
      <c r="H3339" s="326"/>
      <c r="P3339" s="318"/>
      <c r="Q3339" s="318"/>
      <c r="R3339" s="318"/>
      <c r="S3339" s="318"/>
      <c r="T3339" s="318"/>
      <c r="U3339" s="318"/>
      <c r="V3339" s="318"/>
      <c r="W3339" s="318"/>
      <c r="X3339" s="318"/>
      <c r="Y3339" s="318"/>
      <c r="Z3339" s="318"/>
      <c r="AA3339" s="318"/>
      <c r="AB3339" s="318"/>
      <c r="AC3339" s="318"/>
      <c r="AD3339" s="318"/>
    </row>
    <row r="3340" spans="2:30" s="323" customFormat="1" ht="12" customHeight="1">
      <c r="B3340" s="324"/>
      <c r="C3340" s="325"/>
      <c r="D3340" s="326"/>
      <c r="E3340" s="326"/>
      <c r="F3340" s="326"/>
      <c r="G3340" s="326"/>
      <c r="H3340" s="326"/>
      <c r="P3340" s="318"/>
      <c r="Q3340" s="318"/>
      <c r="R3340" s="318"/>
      <c r="S3340" s="318"/>
      <c r="T3340" s="318"/>
      <c r="U3340" s="318"/>
      <c r="V3340" s="318"/>
      <c r="W3340" s="318"/>
      <c r="X3340" s="318"/>
      <c r="Y3340" s="318"/>
      <c r="Z3340" s="318"/>
      <c r="AA3340" s="318"/>
      <c r="AB3340" s="318"/>
      <c r="AC3340" s="318"/>
      <c r="AD3340" s="318"/>
    </row>
    <row r="3341" spans="2:30" s="323" customFormat="1" ht="12" customHeight="1">
      <c r="B3341" s="324"/>
      <c r="C3341" s="325"/>
      <c r="D3341" s="326"/>
      <c r="E3341" s="326"/>
      <c r="F3341" s="326"/>
      <c r="G3341" s="326"/>
      <c r="H3341" s="326"/>
      <c r="P3341" s="318"/>
      <c r="Q3341" s="318"/>
      <c r="R3341" s="318"/>
      <c r="S3341" s="318"/>
      <c r="T3341" s="318"/>
      <c r="U3341" s="318"/>
      <c r="V3341" s="318"/>
      <c r="W3341" s="318"/>
      <c r="X3341" s="318"/>
      <c r="Y3341" s="318"/>
      <c r="Z3341" s="318"/>
      <c r="AA3341" s="318"/>
      <c r="AB3341" s="318"/>
      <c r="AC3341" s="318"/>
      <c r="AD3341" s="318"/>
    </row>
    <row r="3342" spans="2:30" s="323" customFormat="1" ht="12" customHeight="1">
      <c r="B3342" s="324"/>
      <c r="C3342" s="325"/>
      <c r="D3342" s="326"/>
      <c r="E3342" s="326"/>
      <c r="F3342" s="326"/>
      <c r="G3342" s="326"/>
      <c r="H3342" s="326"/>
      <c r="P3342" s="318"/>
      <c r="Q3342" s="318"/>
      <c r="R3342" s="318"/>
      <c r="S3342" s="318"/>
      <c r="T3342" s="318"/>
      <c r="U3342" s="318"/>
      <c r="V3342" s="318"/>
      <c r="W3342" s="318"/>
      <c r="X3342" s="318"/>
      <c r="Y3342" s="318"/>
      <c r="Z3342" s="318"/>
      <c r="AA3342" s="318"/>
      <c r="AB3342" s="318"/>
      <c r="AC3342" s="318"/>
      <c r="AD3342" s="318"/>
    </row>
    <row r="3343" spans="2:30" s="323" customFormat="1" ht="12" customHeight="1">
      <c r="B3343" s="324"/>
      <c r="C3343" s="325"/>
      <c r="D3343" s="326"/>
      <c r="E3343" s="326"/>
      <c r="F3343" s="326"/>
      <c r="G3343" s="326"/>
      <c r="H3343" s="326"/>
      <c r="P3343" s="318"/>
      <c r="Q3343" s="318"/>
      <c r="R3343" s="318"/>
      <c r="S3343" s="318"/>
      <c r="T3343" s="318"/>
      <c r="U3343" s="318"/>
      <c r="V3343" s="318"/>
      <c r="W3343" s="318"/>
      <c r="X3343" s="318"/>
      <c r="Y3343" s="318"/>
      <c r="Z3343" s="318"/>
      <c r="AA3343" s="318"/>
      <c r="AB3343" s="318"/>
      <c r="AC3343" s="318"/>
      <c r="AD3343" s="318"/>
    </row>
    <row r="3344" spans="2:30" s="323" customFormat="1" ht="12" customHeight="1">
      <c r="B3344" s="324"/>
      <c r="C3344" s="325"/>
      <c r="D3344" s="326"/>
      <c r="E3344" s="326"/>
      <c r="F3344" s="326"/>
      <c r="G3344" s="326"/>
      <c r="H3344" s="326"/>
      <c r="P3344" s="318"/>
      <c r="Q3344" s="318"/>
      <c r="R3344" s="318"/>
      <c r="S3344" s="318"/>
      <c r="T3344" s="318"/>
      <c r="U3344" s="318"/>
      <c r="V3344" s="318"/>
      <c r="W3344" s="318"/>
      <c r="X3344" s="318"/>
      <c r="Y3344" s="318"/>
      <c r="Z3344" s="318"/>
      <c r="AA3344" s="318"/>
      <c r="AB3344" s="318"/>
      <c r="AC3344" s="318"/>
      <c r="AD3344" s="318"/>
    </row>
    <row r="3345" spans="2:30" s="323" customFormat="1" ht="12" customHeight="1">
      <c r="B3345" s="324"/>
      <c r="C3345" s="325"/>
      <c r="D3345" s="326"/>
      <c r="E3345" s="326"/>
      <c r="F3345" s="326"/>
      <c r="G3345" s="326"/>
      <c r="H3345" s="326"/>
      <c r="P3345" s="318"/>
      <c r="Q3345" s="318"/>
      <c r="R3345" s="318"/>
      <c r="S3345" s="318"/>
      <c r="T3345" s="318"/>
      <c r="U3345" s="318"/>
      <c r="V3345" s="318"/>
      <c r="W3345" s="318"/>
      <c r="X3345" s="318"/>
      <c r="Y3345" s="318"/>
      <c r="Z3345" s="318"/>
      <c r="AA3345" s="318"/>
      <c r="AB3345" s="318"/>
      <c r="AC3345" s="318"/>
      <c r="AD3345" s="318"/>
    </row>
    <row r="3346" spans="2:30" s="323" customFormat="1" ht="12" customHeight="1">
      <c r="B3346" s="324"/>
      <c r="C3346" s="325"/>
      <c r="D3346" s="326"/>
      <c r="E3346" s="326"/>
      <c r="F3346" s="326"/>
      <c r="G3346" s="326"/>
      <c r="H3346" s="326"/>
      <c r="P3346" s="318"/>
      <c r="Q3346" s="318"/>
      <c r="R3346" s="318"/>
      <c r="S3346" s="318"/>
      <c r="T3346" s="318"/>
      <c r="U3346" s="318"/>
      <c r="V3346" s="318"/>
      <c r="W3346" s="318"/>
      <c r="X3346" s="318"/>
      <c r="Y3346" s="318"/>
      <c r="Z3346" s="318"/>
      <c r="AA3346" s="318"/>
      <c r="AB3346" s="318"/>
      <c r="AC3346" s="318"/>
      <c r="AD3346" s="318"/>
    </row>
    <row r="3347" spans="2:30" s="323" customFormat="1" ht="12" customHeight="1">
      <c r="B3347" s="324"/>
      <c r="C3347" s="325"/>
      <c r="D3347" s="326"/>
      <c r="E3347" s="326"/>
      <c r="F3347" s="326"/>
      <c r="G3347" s="326"/>
      <c r="H3347" s="326"/>
      <c r="P3347" s="318"/>
      <c r="Q3347" s="318"/>
      <c r="R3347" s="318"/>
      <c r="S3347" s="318"/>
      <c r="T3347" s="318"/>
      <c r="U3347" s="318"/>
      <c r="V3347" s="318"/>
      <c r="W3347" s="318"/>
      <c r="X3347" s="318"/>
      <c r="Y3347" s="318"/>
      <c r="Z3347" s="318"/>
      <c r="AA3347" s="318"/>
      <c r="AB3347" s="318"/>
      <c r="AC3347" s="318"/>
      <c r="AD3347" s="318"/>
    </row>
    <row r="3348" spans="2:30" s="323" customFormat="1" ht="12" customHeight="1">
      <c r="B3348" s="324"/>
      <c r="C3348" s="325"/>
      <c r="D3348" s="326"/>
      <c r="E3348" s="326"/>
      <c r="F3348" s="326"/>
      <c r="G3348" s="326"/>
      <c r="H3348" s="326"/>
      <c r="P3348" s="318"/>
      <c r="Q3348" s="318"/>
      <c r="R3348" s="318"/>
      <c r="S3348" s="318"/>
      <c r="T3348" s="318"/>
      <c r="U3348" s="318"/>
      <c r="V3348" s="318"/>
      <c r="W3348" s="318"/>
      <c r="X3348" s="318"/>
      <c r="Y3348" s="318"/>
      <c r="Z3348" s="318"/>
      <c r="AA3348" s="318"/>
      <c r="AB3348" s="318"/>
      <c r="AC3348" s="318"/>
      <c r="AD3348" s="318"/>
    </row>
    <row r="3349" spans="2:30" s="323" customFormat="1" ht="12" customHeight="1">
      <c r="B3349" s="324"/>
      <c r="C3349" s="325"/>
      <c r="D3349" s="326"/>
      <c r="E3349" s="326"/>
      <c r="F3349" s="326"/>
      <c r="G3349" s="326"/>
      <c r="H3349" s="326"/>
      <c r="P3349" s="318"/>
      <c r="Q3349" s="318"/>
      <c r="R3349" s="318"/>
      <c r="S3349" s="318"/>
      <c r="T3349" s="318"/>
      <c r="U3349" s="318"/>
      <c r="V3349" s="318"/>
      <c r="W3349" s="318"/>
      <c r="X3349" s="318"/>
      <c r="Y3349" s="318"/>
      <c r="Z3349" s="318"/>
      <c r="AA3349" s="318"/>
      <c r="AB3349" s="318"/>
      <c r="AC3349" s="318"/>
      <c r="AD3349" s="318"/>
    </row>
    <row r="3350" spans="2:30" s="323" customFormat="1" ht="12" customHeight="1">
      <c r="B3350" s="324"/>
      <c r="C3350" s="325"/>
      <c r="D3350" s="326"/>
      <c r="E3350" s="326"/>
      <c r="F3350" s="326"/>
      <c r="G3350" s="326"/>
      <c r="H3350" s="326"/>
      <c r="P3350" s="318"/>
      <c r="Q3350" s="318"/>
      <c r="R3350" s="318"/>
      <c r="S3350" s="318"/>
      <c r="T3350" s="318"/>
      <c r="U3350" s="318"/>
      <c r="V3350" s="318"/>
      <c r="W3350" s="318"/>
      <c r="X3350" s="318"/>
      <c r="Y3350" s="318"/>
      <c r="Z3350" s="318"/>
      <c r="AA3350" s="318"/>
      <c r="AB3350" s="318"/>
      <c r="AC3350" s="318"/>
      <c r="AD3350" s="318"/>
    </row>
    <row r="3351" spans="2:30" s="323" customFormat="1" ht="12" customHeight="1">
      <c r="B3351" s="324"/>
      <c r="C3351" s="325"/>
      <c r="D3351" s="326"/>
      <c r="E3351" s="326"/>
      <c r="F3351" s="326"/>
      <c r="G3351" s="326"/>
      <c r="H3351" s="326"/>
      <c r="P3351" s="318"/>
      <c r="Q3351" s="318"/>
      <c r="R3351" s="318"/>
      <c r="S3351" s="318"/>
      <c r="T3351" s="318"/>
      <c r="U3351" s="318"/>
      <c r="V3351" s="318"/>
      <c r="W3351" s="318"/>
      <c r="X3351" s="318"/>
      <c r="Y3351" s="318"/>
      <c r="Z3351" s="318"/>
      <c r="AA3351" s="318"/>
      <c r="AB3351" s="318"/>
      <c r="AC3351" s="318"/>
      <c r="AD3351" s="318"/>
    </row>
    <row r="3352" spans="2:30" s="323" customFormat="1" ht="12" customHeight="1">
      <c r="B3352" s="324"/>
      <c r="C3352" s="325"/>
      <c r="D3352" s="326"/>
      <c r="E3352" s="326"/>
      <c r="F3352" s="326"/>
      <c r="G3352" s="326"/>
      <c r="H3352" s="326"/>
      <c r="P3352" s="318"/>
      <c r="Q3352" s="318"/>
      <c r="R3352" s="318"/>
      <c r="S3352" s="318"/>
      <c r="T3352" s="318"/>
      <c r="U3352" s="318"/>
      <c r="V3352" s="318"/>
      <c r="W3352" s="318"/>
      <c r="X3352" s="318"/>
      <c r="Y3352" s="318"/>
      <c r="Z3352" s="318"/>
      <c r="AA3352" s="318"/>
      <c r="AB3352" s="318"/>
      <c r="AC3352" s="318"/>
      <c r="AD3352" s="318"/>
    </row>
    <row r="3353" spans="2:30" s="323" customFormat="1" ht="12" customHeight="1">
      <c r="B3353" s="324"/>
      <c r="C3353" s="325"/>
      <c r="D3353" s="326"/>
      <c r="E3353" s="326"/>
      <c r="F3353" s="326"/>
      <c r="G3353" s="326"/>
      <c r="H3353" s="326"/>
      <c r="P3353" s="318"/>
      <c r="Q3353" s="318"/>
      <c r="R3353" s="318"/>
      <c r="S3353" s="318"/>
      <c r="T3353" s="318"/>
      <c r="U3353" s="318"/>
      <c r="V3353" s="318"/>
      <c r="W3353" s="318"/>
      <c r="X3353" s="318"/>
      <c r="Y3353" s="318"/>
      <c r="Z3353" s="318"/>
      <c r="AA3353" s="318"/>
      <c r="AB3353" s="318"/>
      <c r="AC3353" s="318"/>
      <c r="AD3353" s="318"/>
    </row>
    <row r="3354" spans="2:30" s="323" customFormat="1" ht="12" customHeight="1">
      <c r="B3354" s="324"/>
      <c r="C3354" s="325"/>
      <c r="D3354" s="326"/>
      <c r="E3354" s="326"/>
      <c r="F3354" s="326"/>
      <c r="G3354" s="326"/>
      <c r="H3354" s="326"/>
      <c r="P3354" s="318"/>
      <c r="Q3354" s="318"/>
      <c r="R3354" s="318"/>
      <c r="S3354" s="318"/>
      <c r="T3354" s="318"/>
      <c r="U3354" s="318"/>
      <c r="V3354" s="318"/>
      <c r="W3354" s="318"/>
      <c r="X3354" s="318"/>
      <c r="Y3354" s="318"/>
      <c r="Z3354" s="318"/>
      <c r="AA3354" s="318"/>
      <c r="AB3354" s="318"/>
      <c r="AC3354" s="318"/>
      <c r="AD3354" s="318"/>
    </row>
    <row r="3355" spans="2:30" s="323" customFormat="1" ht="12" customHeight="1">
      <c r="B3355" s="324"/>
      <c r="C3355" s="325"/>
      <c r="D3355" s="326"/>
      <c r="E3355" s="326"/>
      <c r="F3355" s="326"/>
      <c r="G3355" s="326"/>
      <c r="H3355" s="326"/>
      <c r="P3355" s="318"/>
      <c r="Q3355" s="318"/>
      <c r="R3355" s="318"/>
      <c r="S3355" s="318"/>
      <c r="T3355" s="318"/>
      <c r="U3355" s="318"/>
      <c r="V3355" s="318"/>
      <c r="W3355" s="318"/>
      <c r="X3355" s="318"/>
      <c r="Y3355" s="318"/>
      <c r="Z3355" s="318"/>
      <c r="AA3355" s="318"/>
      <c r="AB3355" s="318"/>
      <c r="AC3355" s="318"/>
      <c r="AD3355" s="318"/>
    </row>
    <row r="3356" spans="2:30" s="323" customFormat="1" ht="12" customHeight="1">
      <c r="B3356" s="324"/>
      <c r="C3356" s="325"/>
      <c r="D3356" s="326"/>
      <c r="E3356" s="326"/>
      <c r="F3356" s="326"/>
      <c r="G3356" s="326"/>
      <c r="H3356" s="326"/>
      <c r="P3356" s="318"/>
      <c r="Q3356" s="318"/>
      <c r="R3356" s="318"/>
      <c r="S3356" s="318"/>
      <c r="T3356" s="318"/>
      <c r="U3356" s="318"/>
      <c r="V3356" s="318"/>
      <c r="W3356" s="318"/>
      <c r="X3356" s="318"/>
      <c r="Y3356" s="318"/>
      <c r="Z3356" s="318"/>
      <c r="AA3356" s="318"/>
      <c r="AB3356" s="318"/>
      <c r="AC3356" s="318"/>
      <c r="AD3356" s="318"/>
    </row>
    <row r="3357" spans="2:30" s="323" customFormat="1" ht="12" customHeight="1">
      <c r="B3357" s="324"/>
      <c r="C3357" s="325"/>
      <c r="D3357" s="326"/>
      <c r="E3357" s="326"/>
      <c r="F3357" s="326"/>
      <c r="G3357" s="326"/>
      <c r="H3357" s="326"/>
      <c r="P3357" s="318"/>
      <c r="Q3357" s="318"/>
      <c r="R3357" s="318"/>
      <c r="S3357" s="318"/>
      <c r="T3357" s="318"/>
      <c r="U3357" s="318"/>
      <c r="V3357" s="318"/>
      <c r="W3357" s="318"/>
      <c r="X3357" s="318"/>
      <c r="Y3357" s="318"/>
      <c r="Z3357" s="318"/>
      <c r="AA3357" s="318"/>
      <c r="AB3357" s="318"/>
      <c r="AC3357" s="318"/>
      <c r="AD3357" s="318"/>
    </row>
    <row r="3358" spans="2:30" s="323" customFormat="1" ht="12" customHeight="1">
      <c r="B3358" s="324"/>
      <c r="C3358" s="325"/>
      <c r="D3358" s="326"/>
      <c r="E3358" s="326"/>
      <c r="F3358" s="326"/>
      <c r="G3358" s="326"/>
      <c r="H3358" s="326"/>
      <c r="P3358" s="318"/>
      <c r="Q3358" s="318"/>
      <c r="R3358" s="318"/>
      <c r="S3358" s="318"/>
      <c r="T3358" s="318"/>
      <c r="U3358" s="318"/>
      <c r="V3358" s="318"/>
      <c r="W3358" s="318"/>
      <c r="X3358" s="318"/>
      <c r="Y3358" s="318"/>
      <c r="Z3358" s="318"/>
      <c r="AA3358" s="318"/>
      <c r="AB3358" s="318"/>
      <c r="AC3358" s="318"/>
      <c r="AD3358" s="318"/>
    </row>
    <row r="3359" spans="2:30" s="323" customFormat="1" ht="12" customHeight="1">
      <c r="B3359" s="324"/>
      <c r="C3359" s="325"/>
      <c r="D3359" s="326"/>
      <c r="E3359" s="326"/>
      <c r="F3359" s="326"/>
      <c r="G3359" s="326"/>
      <c r="H3359" s="326"/>
      <c r="P3359" s="318"/>
      <c r="Q3359" s="318"/>
      <c r="R3359" s="318"/>
      <c r="S3359" s="318"/>
      <c r="T3359" s="318"/>
      <c r="U3359" s="318"/>
      <c r="V3359" s="318"/>
      <c r="W3359" s="318"/>
      <c r="X3359" s="318"/>
      <c r="Y3359" s="318"/>
      <c r="Z3359" s="318"/>
      <c r="AA3359" s="318"/>
      <c r="AB3359" s="318"/>
      <c r="AC3359" s="318"/>
      <c r="AD3359" s="318"/>
    </row>
    <row r="3360" spans="2:30" s="323" customFormat="1" ht="12" customHeight="1">
      <c r="B3360" s="324"/>
      <c r="C3360" s="325"/>
      <c r="D3360" s="326"/>
      <c r="E3360" s="326"/>
      <c r="F3360" s="326"/>
      <c r="G3360" s="326"/>
      <c r="H3360" s="326"/>
      <c r="P3360" s="318"/>
      <c r="Q3360" s="318"/>
      <c r="R3360" s="318"/>
      <c r="S3360" s="318"/>
      <c r="T3360" s="318"/>
      <c r="U3360" s="318"/>
      <c r="V3360" s="318"/>
      <c r="W3360" s="318"/>
      <c r="X3360" s="318"/>
      <c r="Y3360" s="318"/>
      <c r="Z3360" s="318"/>
      <c r="AA3360" s="318"/>
      <c r="AB3360" s="318"/>
      <c r="AC3360" s="318"/>
      <c r="AD3360" s="318"/>
    </row>
    <row r="3361" spans="2:30" s="323" customFormat="1" ht="12" customHeight="1">
      <c r="B3361" s="324"/>
      <c r="C3361" s="325"/>
      <c r="D3361" s="326"/>
      <c r="E3361" s="326"/>
      <c r="F3361" s="326"/>
      <c r="G3361" s="326"/>
      <c r="H3361" s="326"/>
      <c r="P3361" s="318"/>
      <c r="Q3361" s="318"/>
      <c r="R3361" s="318"/>
      <c r="S3361" s="318"/>
      <c r="T3361" s="318"/>
      <c r="U3361" s="318"/>
      <c r="V3361" s="318"/>
      <c r="W3361" s="318"/>
      <c r="X3361" s="318"/>
      <c r="Y3361" s="318"/>
      <c r="Z3361" s="318"/>
      <c r="AA3361" s="318"/>
      <c r="AB3361" s="318"/>
      <c r="AC3361" s="318"/>
      <c r="AD3361" s="318"/>
    </row>
    <row r="3362" spans="2:30" s="323" customFormat="1" ht="12" customHeight="1">
      <c r="B3362" s="324"/>
      <c r="C3362" s="325"/>
      <c r="D3362" s="326"/>
      <c r="E3362" s="326"/>
      <c r="F3362" s="326"/>
      <c r="G3362" s="326"/>
      <c r="H3362" s="326"/>
      <c r="P3362" s="318"/>
      <c r="Q3362" s="318"/>
      <c r="R3362" s="318"/>
      <c r="S3362" s="318"/>
      <c r="T3362" s="318"/>
      <c r="U3362" s="318"/>
      <c r="V3362" s="318"/>
      <c r="W3362" s="318"/>
      <c r="X3362" s="318"/>
      <c r="Y3362" s="318"/>
      <c r="Z3362" s="318"/>
      <c r="AA3362" s="318"/>
      <c r="AB3362" s="318"/>
      <c r="AC3362" s="318"/>
      <c r="AD3362" s="318"/>
    </row>
    <row r="3363" spans="2:30" s="323" customFormat="1" ht="12" customHeight="1">
      <c r="B3363" s="324"/>
      <c r="C3363" s="325"/>
      <c r="D3363" s="326"/>
      <c r="E3363" s="326"/>
      <c r="F3363" s="326"/>
      <c r="G3363" s="326"/>
      <c r="H3363" s="326"/>
      <c r="P3363" s="318"/>
      <c r="Q3363" s="318"/>
      <c r="R3363" s="318"/>
      <c r="S3363" s="318"/>
      <c r="T3363" s="318"/>
      <c r="U3363" s="318"/>
      <c r="V3363" s="318"/>
      <c r="W3363" s="318"/>
      <c r="X3363" s="318"/>
      <c r="Y3363" s="318"/>
      <c r="Z3363" s="318"/>
      <c r="AA3363" s="318"/>
      <c r="AB3363" s="318"/>
      <c r="AC3363" s="318"/>
      <c r="AD3363" s="318"/>
    </row>
    <row r="3364" spans="2:30" s="323" customFormat="1" ht="12" customHeight="1">
      <c r="B3364" s="324"/>
      <c r="C3364" s="325"/>
      <c r="D3364" s="326"/>
      <c r="E3364" s="326"/>
      <c r="F3364" s="326"/>
      <c r="G3364" s="326"/>
      <c r="H3364" s="326"/>
      <c r="P3364" s="318"/>
      <c r="Q3364" s="318"/>
      <c r="R3364" s="318"/>
      <c r="S3364" s="318"/>
      <c r="T3364" s="318"/>
      <c r="U3364" s="318"/>
      <c r="V3364" s="318"/>
      <c r="W3364" s="318"/>
      <c r="X3364" s="318"/>
      <c r="Y3364" s="318"/>
      <c r="Z3364" s="318"/>
      <c r="AA3364" s="318"/>
      <c r="AB3364" s="318"/>
      <c r="AC3364" s="318"/>
      <c r="AD3364" s="318"/>
    </row>
    <row r="3365" spans="2:30" s="323" customFormat="1" ht="12" customHeight="1">
      <c r="B3365" s="324"/>
      <c r="C3365" s="325"/>
      <c r="D3365" s="326"/>
      <c r="E3365" s="326"/>
      <c r="F3365" s="326"/>
      <c r="G3365" s="326"/>
      <c r="H3365" s="326"/>
      <c r="P3365" s="318"/>
      <c r="Q3365" s="318"/>
      <c r="R3365" s="318"/>
      <c r="S3365" s="318"/>
      <c r="T3365" s="318"/>
      <c r="U3365" s="318"/>
      <c r="V3365" s="318"/>
      <c r="W3365" s="318"/>
      <c r="X3365" s="318"/>
      <c r="Y3365" s="318"/>
      <c r="Z3365" s="318"/>
      <c r="AA3365" s="318"/>
      <c r="AB3365" s="318"/>
      <c r="AC3365" s="318"/>
      <c r="AD3365" s="318"/>
    </row>
    <row r="3366" spans="2:30" s="323" customFormat="1" ht="12" customHeight="1">
      <c r="B3366" s="324"/>
      <c r="C3366" s="325"/>
      <c r="D3366" s="326"/>
      <c r="E3366" s="326"/>
      <c r="F3366" s="326"/>
      <c r="G3366" s="326"/>
      <c r="H3366" s="326"/>
      <c r="P3366" s="318"/>
      <c r="Q3366" s="318"/>
      <c r="R3366" s="318"/>
      <c r="S3366" s="318"/>
      <c r="T3366" s="318"/>
      <c r="U3366" s="318"/>
      <c r="V3366" s="318"/>
      <c r="W3366" s="318"/>
      <c r="X3366" s="318"/>
      <c r="Y3366" s="318"/>
      <c r="Z3366" s="318"/>
      <c r="AA3366" s="318"/>
      <c r="AB3366" s="318"/>
      <c r="AC3366" s="318"/>
      <c r="AD3366" s="318"/>
    </row>
    <row r="3367" spans="2:30" s="323" customFormat="1" ht="12" customHeight="1">
      <c r="B3367" s="324"/>
      <c r="C3367" s="325"/>
      <c r="D3367" s="326"/>
      <c r="E3367" s="326"/>
      <c r="F3367" s="326"/>
      <c r="G3367" s="326"/>
      <c r="H3367" s="326"/>
      <c r="P3367" s="318"/>
      <c r="Q3367" s="318"/>
      <c r="R3367" s="318"/>
      <c r="S3367" s="318"/>
      <c r="T3367" s="318"/>
      <c r="U3367" s="318"/>
      <c r="V3367" s="318"/>
      <c r="W3367" s="318"/>
      <c r="X3367" s="318"/>
      <c r="Y3367" s="318"/>
      <c r="Z3367" s="318"/>
      <c r="AA3367" s="318"/>
      <c r="AB3367" s="318"/>
      <c r="AC3367" s="318"/>
      <c r="AD3367" s="318"/>
    </row>
    <row r="3368" spans="2:30" s="323" customFormat="1" ht="12" customHeight="1">
      <c r="B3368" s="324"/>
      <c r="C3368" s="325"/>
      <c r="D3368" s="326"/>
      <c r="E3368" s="326"/>
      <c r="F3368" s="326"/>
      <c r="G3368" s="326"/>
      <c r="H3368" s="326"/>
      <c r="P3368" s="318"/>
      <c r="Q3368" s="318"/>
      <c r="R3368" s="318"/>
      <c r="S3368" s="318"/>
      <c r="T3368" s="318"/>
      <c r="U3368" s="318"/>
      <c r="V3368" s="318"/>
      <c r="W3368" s="318"/>
      <c r="X3368" s="318"/>
      <c r="Y3368" s="318"/>
      <c r="Z3368" s="318"/>
      <c r="AA3368" s="318"/>
      <c r="AB3368" s="318"/>
      <c r="AC3368" s="318"/>
      <c r="AD3368" s="318"/>
    </row>
    <row r="3369" spans="2:30" s="323" customFormat="1" ht="12" customHeight="1">
      <c r="B3369" s="324"/>
      <c r="C3369" s="325"/>
      <c r="D3369" s="326"/>
      <c r="E3369" s="326"/>
      <c r="F3369" s="326"/>
      <c r="G3369" s="326"/>
      <c r="H3369" s="326"/>
      <c r="P3369" s="318"/>
      <c r="Q3369" s="318"/>
      <c r="R3369" s="318"/>
      <c r="S3369" s="318"/>
      <c r="T3369" s="318"/>
      <c r="U3369" s="318"/>
      <c r="V3369" s="318"/>
      <c r="W3369" s="318"/>
      <c r="X3369" s="318"/>
      <c r="Y3369" s="318"/>
      <c r="Z3369" s="318"/>
      <c r="AA3369" s="318"/>
      <c r="AB3369" s="318"/>
      <c r="AC3369" s="318"/>
      <c r="AD3369" s="318"/>
    </row>
    <row r="3370" spans="2:30" s="323" customFormat="1" ht="12" customHeight="1">
      <c r="B3370" s="324"/>
      <c r="C3370" s="325"/>
      <c r="D3370" s="326"/>
      <c r="E3370" s="326"/>
      <c r="F3370" s="326"/>
      <c r="G3370" s="326"/>
      <c r="H3370" s="326"/>
      <c r="P3370" s="318"/>
      <c r="Q3370" s="318"/>
      <c r="R3370" s="318"/>
      <c r="S3370" s="318"/>
      <c r="T3370" s="318"/>
      <c r="U3370" s="318"/>
      <c r="V3370" s="318"/>
      <c r="W3370" s="318"/>
      <c r="X3370" s="318"/>
      <c r="Y3370" s="318"/>
      <c r="Z3370" s="318"/>
      <c r="AA3370" s="318"/>
      <c r="AB3370" s="318"/>
      <c r="AC3370" s="318"/>
      <c r="AD3370" s="318"/>
    </row>
    <row r="3371" spans="2:30" s="323" customFormat="1" ht="12" customHeight="1">
      <c r="B3371" s="324"/>
      <c r="C3371" s="325"/>
      <c r="D3371" s="326"/>
      <c r="E3371" s="326"/>
      <c r="F3371" s="326"/>
      <c r="G3371" s="326"/>
      <c r="H3371" s="326"/>
      <c r="P3371" s="318"/>
      <c r="Q3371" s="318"/>
      <c r="R3371" s="318"/>
      <c r="S3371" s="318"/>
      <c r="T3371" s="318"/>
      <c r="U3371" s="318"/>
      <c r="V3371" s="318"/>
      <c r="W3371" s="318"/>
      <c r="X3371" s="318"/>
      <c r="Y3371" s="318"/>
      <c r="Z3371" s="318"/>
      <c r="AA3371" s="318"/>
      <c r="AB3371" s="318"/>
      <c r="AC3371" s="318"/>
      <c r="AD3371" s="318"/>
    </row>
    <row r="3372" spans="2:30" s="323" customFormat="1" ht="12" customHeight="1">
      <c r="B3372" s="324"/>
      <c r="C3372" s="325"/>
      <c r="D3372" s="326"/>
      <c r="E3372" s="326"/>
      <c r="F3372" s="326"/>
      <c r="G3372" s="326"/>
      <c r="H3372" s="326"/>
      <c r="P3372" s="318"/>
      <c r="Q3372" s="318"/>
      <c r="R3372" s="318"/>
      <c r="S3372" s="318"/>
      <c r="T3372" s="318"/>
      <c r="U3372" s="318"/>
      <c r="V3372" s="318"/>
      <c r="W3372" s="318"/>
      <c r="X3372" s="318"/>
      <c r="Y3372" s="318"/>
      <c r="Z3372" s="318"/>
      <c r="AA3372" s="318"/>
      <c r="AB3372" s="318"/>
      <c r="AC3372" s="318"/>
      <c r="AD3372" s="318"/>
    </row>
    <row r="3373" spans="2:30" s="323" customFormat="1" ht="12" customHeight="1">
      <c r="B3373" s="324"/>
      <c r="C3373" s="325"/>
      <c r="D3373" s="326"/>
      <c r="E3373" s="326"/>
      <c r="F3373" s="326"/>
      <c r="G3373" s="326"/>
      <c r="H3373" s="326"/>
      <c r="P3373" s="318"/>
      <c r="Q3373" s="318"/>
      <c r="R3373" s="318"/>
      <c r="S3373" s="318"/>
      <c r="T3373" s="318"/>
      <c r="U3373" s="318"/>
      <c r="V3373" s="318"/>
      <c r="W3373" s="318"/>
      <c r="X3373" s="318"/>
      <c r="Y3373" s="318"/>
      <c r="Z3373" s="318"/>
      <c r="AA3373" s="318"/>
      <c r="AB3373" s="318"/>
      <c r="AC3373" s="318"/>
      <c r="AD3373" s="318"/>
    </row>
    <row r="3374" spans="2:30" s="323" customFormat="1" ht="12" customHeight="1">
      <c r="B3374" s="324"/>
      <c r="C3374" s="325"/>
      <c r="D3374" s="326"/>
      <c r="E3374" s="326"/>
      <c r="F3374" s="326"/>
      <c r="G3374" s="326"/>
      <c r="H3374" s="326"/>
      <c r="P3374" s="318"/>
      <c r="Q3374" s="318"/>
      <c r="R3374" s="318"/>
      <c r="S3374" s="318"/>
      <c r="T3374" s="318"/>
      <c r="U3374" s="318"/>
      <c r="V3374" s="318"/>
      <c r="W3374" s="318"/>
      <c r="X3374" s="318"/>
      <c r="Y3374" s="318"/>
      <c r="Z3374" s="318"/>
      <c r="AA3374" s="318"/>
      <c r="AB3374" s="318"/>
      <c r="AC3374" s="318"/>
      <c r="AD3374" s="318"/>
    </row>
    <row r="3375" spans="2:30" s="323" customFormat="1" ht="12" customHeight="1">
      <c r="B3375" s="324"/>
      <c r="C3375" s="325"/>
      <c r="D3375" s="326"/>
      <c r="E3375" s="326"/>
      <c r="F3375" s="326"/>
      <c r="G3375" s="326"/>
      <c r="H3375" s="326"/>
      <c r="P3375" s="318"/>
      <c r="Q3375" s="318"/>
      <c r="R3375" s="318"/>
      <c r="S3375" s="318"/>
      <c r="T3375" s="318"/>
      <c r="U3375" s="318"/>
      <c r="V3375" s="318"/>
      <c r="W3375" s="318"/>
      <c r="X3375" s="318"/>
      <c r="Y3375" s="318"/>
      <c r="Z3375" s="318"/>
      <c r="AA3375" s="318"/>
      <c r="AB3375" s="318"/>
      <c r="AC3375" s="318"/>
      <c r="AD3375" s="318"/>
    </row>
    <row r="3376" spans="2:30" s="323" customFormat="1" ht="12" customHeight="1">
      <c r="B3376" s="324"/>
      <c r="C3376" s="325"/>
      <c r="D3376" s="326"/>
      <c r="E3376" s="326"/>
      <c r="F3376" s="326"/>
      <c r="G3376" s="326"/>
      <c r="H3376" s="326"/>
      <c r="P3376" s="318"/>
      <c r="Q3376" s="318"/>
      <c r="R3376" s="318"/>
      <c r="S3376" s="318"/>
      <c r="T3376" s="318"/>
      <c r="U3376" s="318"/>
      <c r="V3376" s="318"/>
      <c r="W3376" s="318"/>
      <c r="X3376" s="318"/>
      <c r="Y3376" s="318"/>
      <c r="Z3376" s="318"/>
      <c r="AA3376" s="318"/>
      <c r="AB3376" s="318"/>
      <c r="AC3376" s="318"/>
      <c r="AD3376" s="318"/>
    </row>
    <row r="3377" spans="2:30" s="323" customFormat="1" ht="12" customHeight="1">
      <c r="B3377" s="324"/>
      <c r="C3377" s="325"/>
      <c r="D3377" s="326"/>
      <c r="E3377" s="326"/>
      <c r="F3377" s="326"/>
      <c r="G3377" s="326"/>
      <c r="H3377" s="326"/>
      <c r="P3377" s="318"/>
      <c r="Q3377" s="318"/>
      <c r="R3377" s="318"/>
      <c r="S3377" s="318"/>
      <c r="T3377" s="318"/>
      <c r="U3377" s="318"/>
      <c r="V3377" s="318"/>
      <c r="W3377" s="318"/>
      <c r="X3377" s="318"/>
      <c r="Y3377" s="318"/>
      <c r="Z3377" s="318"/>
      <c r="AA3377" s="318"/>
      <c r="AB3377" s="318"/>
      <c r="AC3377" s="318"/>
      <c r="AD3377" s="318"/>
    </row>
    <row r="3378" spans="2:30" s="323" customFormat="1" ht="12" customHeight="1">
      <c r="B3378" s="324"/>
      <c r="C3378" s="325"/>
      <c r="D3378" s="326"/>
      <c r="E3378" s="326"/>
      <c r="F3378" s="326"/>
      <c r="G3378" s="326"/>
      <c r="H3378" s="326"/>
      <c r="P3378" s="318"/>
      <c r="Q3378" s="318"/>
      <c r="R3378" s="318"/>
      <c r="S3378" s="318"/>
      <c r="T3378" s="318"/>
      <c r="U3378" s="318"/>
      <c r="V3378" s="318"/>
      <c r="W3378" s="318"/>
      <c r="X3378" s="318"/>
      <c r="Y3378" s="318"/>
      <c r="Z3378" s="318"/>
      <c r="AA3378" s="318"/>
      <c r="AB3378" s="318"/>
      <c r="AC3378" s="318"/>
      <c r="AD3378" s="318"/>
    </row>
    <row r="3379" spans="2:30" s="323" customFormat="1" ht="12" customHeight="1">
      <c r="B3379" s="324"/>
      <c r="C3379" s="325"/>
      <c r="D3379" s="326"/>
      <c r="E3379" s="326"/>
      <c r="F3379" s="326"/>
      <c r="G3379" s="326"/>
      <c r="H3379" s="326"/>
      <c r="P3379" s="318"/>
      <c r="Q3379" s="318"/>
      <c r="R3379" s="318"/>
      <c r="S3379" s="318"/>
      <c r="T3379" s="318"/>
      <c r="U3379" s="318"/>
      <c r="V3379" s="318"/>
      <c r="W3379" s="318"/>
      <c r="X3379" s="318"/>
      <c r="Y3379" s="318"/>
      <c r="Z3379" s="318"/>
      <c r="AA3379" s="318"/>
      <c r="AB3379" s="318"/>
      <c r="AC3379" s="318"/>
      <c r="AD3379" s="318"/>
    </row>
    <row r="3380" spans="2:30" s="323" customFormat="1" ht="12" customHeight="1">
      <c r="B3380" s="324"/>
      <c r="C3380" s="325"/>
      <c r="D3380" s="326"/>
      <c r="E3380" s="326"/>
      <c r="F3380" s="326"/>
      <c r="G3380" s="326"/>
      <c r="H3380" s="326"/>
      <c r="P3380" s="318"/>
      <c r="Q3380" s="318"/>
      <c r="R3380" s="318"/>
      <c r="S3380" s="318"/>
      <c r="T3380" s="318"/>
      <c r="U3380" s="318"/>
      <c r="V3380" s="318"/>
      <c r="W3380" s="318"/>
      <c r="X3380" s="318"/>
      <c r="Y3380" s="318"/>
      <c r="Z3380" s="318"/>
      <c r="AA3380" s="318"/>
      <c r="AB3380" s="318"/>
      <c r="AC3380" s="318"/>
      <c r="AD3380" s="318"/>
    </row>
    <row r="3381" spans="2:30" s="323" customFormat="1" ht="12" customHeight="1">
      <c r="B3381" s="324"/>
      <c r="C3381" s="325"/>
      <c r="D3381" s="326"/>
      <c r="E3381" s="326"/>
      <c r="F3381" s="326"/>
      <c r="G3381" s="326"/>
      <c r="H3381" s="326"/>
      <c r="P3381" s="318"/>
      <c r="Q3381" s="318"/>
      <c r="R3381" s="318"/>
      <c r="S3381" s="318"/>
      <c r="T3381" s="318"/>
      <c r="U3381" s="318"/>
      <c r="V3381" s="318"/>
      <c r="W3381" s="318"/>
      <c r="X3381" s="318"/>
      <c r="Y3381" s="318"/>
      <c r="Z3381" s="318"/>
      <c r="AA3381" s="318"/>
      <c r="AB3381" s="318"/>
      <c r="AC3381" s="318"/>
      <c r="AD3381" s="318"/>
    </row>
    <row r="3382" spans="2:30" s="323" customFormat="1" ht="12" customHeight="1">
      <c r="B3382" s="324"/>
      <c r="C3382" s="325"/>
      <c r="D3382" s="326"/>
      <c r="E3382" s="326"/>
      <c r="F3382" s="326"/>
      <c r="G3382" s="326"/>
      <c r="H3382" s="326"/>
      <c r="P3382" s="318"/>
      <c r="Q3382" s="318"/>
      <c r="R3382" s="318"/>
      <c r="S3382" s="318"/>
      <c r="T3382" s="318"/>
      <c r="U3382" s="318"/>
      <c r="V3382" s="318"/>
      <c r="W3382" s="318"/>
      <c r="X3382" s="318"/>
      <c r="Y3382" s="318"/>
      <c r="Z3382" s="318"/>
      <c r="AA3382" s="318"/>
      <c r="AB3382" s="318"/>
      <c r="AC3382" s="318"/>
      <c r="AD3382" s="318"/>
    </row>
    <row r="3383" spans="2:30" s="323" customFormat="1" ht="12" customHeight="1">
      <c r="B3383" s="324"/>
      <c r="C3383" s="325"/>
      <c r="D3383" s="326"/>
      <c r="E3383" s="326"/>
      <c r="F3383" s="326"/>
      <c r="G3383" s="326"/>
      <c r="H3383" s="326"/>
      <c r="P3383" s="318"/>
      <c r="Q3383" s="318"/>
      <c r="R3383" s="318"/>
      <c r="S3383" s="318"/>
      <c r="T3383" s="318"/>
      <c r="U3383" s="318"/>
      <c r="V3383" s="318"/>
      <c r="W3383" s="318"/>
      <c r="X3383" s="318"/>
      <c r="Y3383" s="318"/>
      <c r="Z3383" s="318"/>
      <c r="AA3383" s="318"/>
      <c r="AB3383" s="318"/>
      <c r="AC3383" s="318"/>
      <c r="AD3383" s="318"/>
    </row>
    <row r="3384" spans="2:30" s="323" customFormat="1" ht="12" customHeight="1">
      <c r="B3384" s="324"/>
      <c r="C3384" s="325"/>
      <c r="D3384" s="326"/>
      <c r="E3384" s="326"/>
      <c r="F3384" s="326"/>
      <c r="G3384" s="326"/>
      <c r="H3384" s="326"/>
      <c r="P3384" s="318"/>
      <c r="Q3384" s="318"/>
      <c r="R3384" s="318"/>
      <c r="S3384" s="318"/>
      <c r="T3384" s="318"/>
      <c r="U3384" s="318"/>
      <c r="V3384" s="318"/>
      <c r="W3384" s="318"/>
      <c r="X3384" s="318"/>
      <c r="Y3384" s="318"/>
      <c r="Z3384" s="318"/>
      <c r="AA3384" s="318"/>
      <c r="AB3384" s="318"/>
      <c r="AC3384" s="318"/>
      <c r="AD3384" s="318"/>
    </row>
    <row r="3385" spans="2:30" s="323" customFormat="1" ht="12" customHeight="1">
      <c r="B3385" s="324"/>
      <c r="C3385" s="325"/>
      <c r="D3385" s="326"/>
      <c r="E3385" s="326"/>
      <c r="F3385" s="326"/>
      <c r="G3385" s="326"/>
      <c r="H3385" s="326"/>
      <c r="P3385" s="318"/>
      <c r="Q3385" s="318"/>
      <c r="R3385" s="318"/>
      <c r="S3385" s="318"/>
      <c r="T3385" s="318"/>
      <c r="U3385" s="318"/>
      <c r="V3385" s="318"/>
      <c r="W3385" s="318"/>
      <c r="X3385" s="318"/>
      <c r="Y3385" s="318"/>
      <c r="Z3385" s="318"/>
      <c r="AA3385" s="318"/>
      <c r="AB3385" s="318"/>
      <c r="AC3385" s="318"/>
      <c r="AD3385" s="318"/>
    </row>
    <row r="3386" spans="2:30" s="323" customFormat="1" ht="12" customHeight="1">
      <c r="B3386" s="324"/>
      <c r="C3386" s="325"/>
      <c r="D3386" s="326"/>
      <c r="E3386" s="326"/>
      <c r="F3386" s="326"/>
      <c r="G3386" s="326"/>
      <c r="H3386" s="326"/>
      <c r="P3386" s="318"/>
      <c r="Q3386" s="318"/>
      <c r="R3386" s="318"/>
      <c r="S3386" s="318"/>
      <c r="T3386" s="318"/>
      <c r="U3386" s="318"/>
      <c r="V3386" s="318"/>
      <c r="W3386" s="318"/>
      <c r="X3386" s="318"/>
      <c r="Y3386" s="318"/>
      <c r="Z3386" s="318"/>
      <c r="AA3386" s="318"/>
      <c r="AB3386" s="318"/>
      <c r="AC3386" s="318"/>
      <c r="AD3386" s="318"/>
    </row>
    <row r="3387" spans="2:30" s="323" customFormat="1" ht="12" customHeight="1">
      <c r="B3387" s="324"/>
      <c r="C3387" s="325"/>
      <c r="D3387" s="326"/>
      <c r="E3387" s="326"/>
      <c r="F3387" s="326"/>
      <c r="G3387" s="326"/>
      <c r="H3387" s="326"/>
      <c r="P3387" s="318"/>
      <c r="Q3387" s="318"/>
      <c r="R3387" s="318"/>
      <c r="S3387" s="318"/>
      <c r="T3387" s="318"/>
      <c r="U3387" s="318"/>
      <c r="V3387" s="318"/>
      <c r="W3387" s="318"/>
      <c r="X3387" s="318"/>
      <c r="Y3387" s="318"/>
      <c r="Z3387" s="318"/>
      <c r="AA3387" s="318"/>
      <c r="AB3387" s="318"/>
      <c r="AC3387" s="318"/>
      <c r="AD3387" s="318"/>
    </row>
    <row r="3388" spans="2:30" s="323" customFormat="1" ht="12" customHeight="1">
      <c r="B3388" s="324"/>
      <c r="C3388" s="325"/>
      <c r="D3388" s="326"/>
      <c r="E3388" s="326"/>
      <c r="F3388" s="326"/>
      <c r="G3388" s="326"/>
      <c r="H3388" s="326"/>
      <c r="P3388" s="318"/>
      <c r="Q3388" s="318"/>
      <c r="R3388" s="318"/>
      <c r="S3388" s="318"/>
      <c r="T3388" s="318"/>
      <c r="U3388" s="318"/>
      <c r="V3388" s="318"/>
      <c r="W3388" s="318"/>
      <c r="X3388" s="318"/>
      <c r="Y3388" s="318"/>
      <c r="Z3388" s="318"/>
      <c r="AA3388" s="318"/>
      <c r="AB3388" s="318"/>
      <c r="AC3388" s="318"/>
      <c r="AD3388" s="318"/>
    </row>
    <row r="3389" spans="2:30" s="323" customFormat="1" ht="12" customHeight="1">
      <c r="B3389" s="324"/>
      <c r="C3389" s="325"/>
      <c r="D3389" s="326"/>
      <c r="E3389" s="326"/>
      <c r="F3389" s="326"/>
      <c r="G3389" s="326"/>
      <c r="H3389" s="326"/>
      <c r="P3389" s="318"/>
      <c r="Q3389" s="318"/>
      <c r="R3389" s="318"/>
      <c r="S3389" s="318"/>
      <c r="T3389" s="318"/>
      <c r="U3389" s="318"/>
      <c r="V3389" s="318"/>
      <c r="W3389" s="318"/>
      <c r="X3389" s="318"/>
      <c r="Y3389" s="318"/>
      <c r="Z3389" s="318"/>
      <c r="AA3389" s="318"/>
      <c r="AB3389" s="318"/>
      <c r="AC3389" s="318"/>
      <c r="AD3389" s="318"/>
    </row>
    <row r="3390" spans="2:30" s="323" customFormat="1" ht="12" customHeight="1">
      <c r="B3390" s="324"/>
      <c r="C3390" s="325"/>
      <c r="D3390" s="326"/>
      <c r="E3390" s="326"/>
      <c r="F3390" s="326"/>
      <c r="G3390" s="326"/>
      <c r="H3390" s="326"/>
      <c r="P3390" s="318"/>
      <c r="Q3390" s="318"/>
      <c r="R3390" s="318"/>
      <c r="S3390" s="318"/>
      <c r="T3390" s="318"/>
      <c r="U3390" s="318"/>
      <c r="V3390" s="318"/>
      <c r="W3390" s="318"/>
      <c r="X3390" s="318"/>
      <c r="Y3390" s="318"/>
      <c r="Z3390" s="318"/>
      <c r="AA3390" s="318"/>
      <c r="AB3390" s="318"/>
      <c r="AC3390" s="318"/>
      <c r="AD3390" s="318"/>
    </row>
    <row r="3391" spans="2:30" s="323" customFormat="1" ht="12" customHeight="1">
      <c r="B3391" s="324"/>
      <c r="C3391" s="325"/>
      <c r="D3391" s="326"/>
      <c r="E3391" s="326"/>
      <c r="F3391" s="326"/>
      <c r="G3391" s="326"/>
      <c r="H3391" s="326"/>
      <c r="P3391" s="318"/>
      <c r="Q3391" s="318"/>
      <c r="R3391" s="318"/>
      <c r="S3391" s="318"/>
      <c r="T3391" s="318"/>
      <c r="U3391" s="318"/>
      <c r="V3391" s="318"/>
      <c r="W3391" s="318"/>
      <c r="X3391" s="318"/>
      <c r="Y3391" s="318"/>
      <c r="Z3391" s="318"/>
      <c r="AA3391" s="318"/>
      <c r="AB3391" s="318"/>
      <c r="AC3391" s="318"/>
      <c r="AD3391" s="318"/>
    </row>
    <row r="3392" spans="2:30" s="323" customFormat="1" ht="12" customHeight="1">
      <c r="B3392" s="324"/>
      <c r="C3392" s="325"/>
      <c r="D3392" s="326"/>
      <c r="E3392" s="326"/>
      <c r="F3392" s="326"/>
      <c r="G3392" s="326"/>
      <c r="H3392" s="326"/>
      <c r="P3392" s="318"/>
      <c r="Q3392" s="318"/>
      <c r="R3392" s="318"/>
      <c r="S3392" s="318"/>
      <c r="T3392" s="318"/>
      <c r="U3392" s="318"/>
      <c r="V3392" s="318"/>
      <c r="W3392" s="318"/>
      <c r="X3392" s="318"/>
      <c r="Y3392" s="318"/>
      <c r="Z3392" s="318"/>
      <c r="AA3392" s="318"/>
      <c r="AB3392" s="318"/>
      <c r="AC3392" s="318"/>
      <c r="AD3392" s="318"/>
    </row>
    <row r="3393" spans="2:30" s="323" customFormat="1" ht="12" customHeight="1">
      <c r="B3393" s="324"/>
      <c r="C3393" s="325"/>
      <c r="D3393" s="326"/>
      <c r="E3393" s="326"/>
      <c r="F3393" s="326"/>
      <c r="G3393" s="326"/>
      <c r="H3393" s="326"/>
      <c r="P3393" s="318"/>
      <c r="Q3393" s="318"/>
      <c r="R3393" s="318"/>
      <c r="S3393" s="318"/>
      <c r="T3393" s="318"/>
      <c r="U3393" s="318"/>
      <c r="V3393" s="318"/>
      <c r="W3393" s="318"/>
      <c r="X3393" s="318"/>
      <c r="Y3393" s="318"/>
      <c r="Z3393" s="318"/>
      <c r="AA3393" s="318"/>
      <c r="AB3393" s="318"/>
      <c r="AC3393" s="318"/>
      <c r="AD3393" s="318"/>
    </row>
    <row r="3394" spans="2:30" s="323" customFormat="1" ht="12" customHeight="1">
      <c r="B3394" s="324"/>
      <c r="C3394" s="325"/>
      <c r="D3394" s="326"/>
      <c r="E3394" s="326"/>
      <c r="F3394" s="326"/>
      <c r="G3394" s="326"/>
      <c r="H3394" s="326"/>
      <c r="P3394" s="318"/>
      <c r="Q3394" s="318"/>
      <c r="R3394" s="318"/>
      <c r="S3394" s="318"/>
      <c r="T3394" s="318"/>
      <c r="U3394" s="318"/>
      <c r="V3394" s="318"/>
      <c r="W3394" s="318"/>
      <c r="X3394" s="318"/>
      <c r="Y3394" s="318"/>
      <c r="Z3394" s="318"/>
      <c r="AA3394" s="318"/>
      <c r="AB3394" s="318"/>
      <c r="AC3394" s="318"/>
      <c r="AD3394" s="318"/>
    </row>
    <row r="3395" spans="2:30" s="323" customFormat="1" ht="12" customHeight="1">
      <c r="B3395" s="324"/>
      <c r="C3395" s="325"/>
      <c r="D3395" s="326"/>
      <c r="E3395" s="326"/>
      <c r="F3395" s="326"/>
      <c r="G3395" s="326"/>
      <c r="H3395" s="326"/>
      <c r="P3395" s="318"/>
      <c r="Q3395" s="318"/>
      <c r="R3395" s="318"/>
      <c r="S3395" s="318"/>
      <c r="T3395" s="318"/>
      <c r="U3395" s="318"/>
      <c r="V3395" s="318"/>
      <c r="W3395" s="318"/>
      <c r="X3395" s="318"/>
      <c r="Y3395" s="318"/>
      <c r="Z3395" s="318"/>
      <c r="AA3395" s="318"/>
      <c r="AB3395" s="318"/>
      <c r="AC3395" s="318"/>
      <c r="AD3395" s="318"/>
    </row>
    <row r="3396" spans="2:30" s="323" customFormat="1" ht="12" customHeight="1">
      <c r="B3396" s="324"/>
      <c r="C3396" s="325"/>
      <c r="D3396" s="326"/>
      <c r="E3396" s="326"/>
      <c r="F3396" s="326"/>
      <c r="G3396" s="326"/>
      <c r="H3396" s="326"/>
      <c r="P3396" s="318"/>
      <c r="Q3396" s="318"/>
      <c r="R3396" s="318"/>
      <c r="S3396" s="318"/>
      <c r="T3396" s="318"/>
      <c r="U3396" s="318"/>
      <c r="V3396" s="318"/>
      <c r="W3396" s="318"/>
      <c r="X3396" s="318"/>
      <c r="Y3396" s="318"/>
      <c r="Z3396" s="318"/>
      <c r="AA3396" s="318"/>
      <c r="AB3396" s="318"/>
      <c r="AC3396" s="318"/>
      <c r="AD3396" s="318"/>
    </row>
    <row r="3397" spans="2:30" s="323" customFormat="1" ht="12" customHeight="1">
      <c r="B3397" s="324"/>
      <c r="C3397" s="325"/>
      <c r="D3397" s="326"/>
      <c r="E3397" s="326"/>
      <c r="F3397" s="326"/>
      <c r="G3397" s="326"/>
      <c r="H3397" s="326"/>
      <c r="P3397" s="318"/>
      <c r="Q3397" s="318"/>
      <c r="R3397" s="318"/>
      <c r="S3397" s="318"/>
      <c r="T3397" s="318"/>
      <c r="U3397" s="318"/>
      <c r="V3397" s="318"/>
      <c r="W3397" s="318"/>
      <c r="X3397" s="318"/>
      <c r="Y3397" s="318"/>
      <c r="Z3397" s="318"/>
      <c r="AA3397" s="318"/>
      <c r="AB3397" s="318"/>
      <c r="AC3397" s="318"/>
      <c r="AD3397" s="318"/>
    </row>
    <row r="3398" spans="2:30" s="323" customFormat="1" ht="12" customHeight="1">
      <c r="B3398" s="324"/>
      <c r="C3398" s="325"/>
      <c r="D3398" s="326"/>
      <c r="E3398" s="326"/>
      <c r="F3398" s="326"/>
      <c r="G3398" s="326"/>
      <c r="H3398" s="326"/>
      <c r="P3398" s="318"/>
      <c r="Q3398" s="318"/>
      <c r="R3398" s="318"/>
      <c r="S3398" s="318"/>
      <c r="T3398" s="318"/>
      <c r="U3398" s="318"/>
      <c r="V3398" s="318"/>
      <c r="W3398" s="318"/>
      <c r="X3398" s="318"/>
      <c r="Y3398" s="318"/>
      <c r="Z3398" s="318"/>
      <c r="AA3398" s="318"/>
      <c r="AB3398" s="318"/>
      <c r="AC3398" s="318"/>
      <c r="AD3398" s="318"/>
    </row>
    <row r="3399" spans="2:30" s="323" customFormat="1" ht="12" customHeight="1">
      <c r="B3399" s="324"/>
      <c r="C3399" s="325"/>
      <c r="D3399" s="326"/>
      <c r="E3399" s="326"/>
      <c r="F3399" s="326"/>
      <c r="G3399" s="326"/>
      <c r="H3399" s="326"/>
      <c r="P3399" s="318"/>
      <c r="Q3399" s="318"/>
      <c r="R3399" s="318"/>
      <c r="S3399" s="318"/>
      <c r="T3399" s="318"/>
      <c r="U3399" s="318"/>
      <c r="V3399" s="318"/>
      <c r="W3399" s="318"/>
      <c r="X3399" s="318"/>
      <c r="Y3399" s="318"/>
      <c r="Z3399" s="318"/>
      <c r="AA3399" s="318"/>
      <c r="AB3399" s="318"/>
      <c r="AC3399" s="318"/>
      <c r="AD3399" s="318"/>
    </row>
    <row r="3400" spans="2:30" s="323" customFormat="1" ht="12" customHeight="1">
      <c r="B3400" s="324"/>
      <c r="C3400" s="325"/>
      <c r="D3400" s="326"/>
      <c r="E3400" s="326"/>
      <c r="F3400" s="326"/>
      <c r="G3400" s="326"/>
      <c r="H3400" s="326"/>
      <c r="P3400" s="318"/>
      <c r="Q3400" s="318"/>
      <c r="R3400" s="318"/>
      <c r="S3400" s="318"/>
      <c r="T3400" s="318"/>
      <c r="U3400" s="318"/>
      <c r="V3400" s="318"/>
      <c r="W3400" s="318"/>
      <c r="X3400" s="318"/>
      <c r="Y3400" s="318"/>
      <c r="Z3400" s="318"/>
      <c r="AA3400" s="318"/>
      <c r="AB3400" s="318"/>
      <c r="AC3400" s="318"/>
      <c r="AD3400" s="318"/>
    </row>
    <row r="3401" spans="2:30" s="323" customFormat="1" ht="12" customHeight="1">
      <c r="B3401" s="324"/>
      <c r="C3401" s="325"/>
      <c r="D3401" s="326"/>
      <c r="E3401" s="326"/>
      <c r="F3401" s="326"/>
      <c r="G3401" s="326"/>
      <c r="H3401" s="326"/>
      <c r="P3401" s="318"/>
      <c r="Q3401" s="318"/>
      <c r="R3401" s="318"/>
      <c r="S3401" s="318"/>
      <c r="T3401" s="318"/>
      <c r="U3401" s="318"/>
      <c r="V3401" s="318"/>
      <c r="W3401" s="318"/>
      <c r="X3401" s="318"/>
      <c r="Y3401" s="318"/>
      <c r="Z3401" s="318"/>
      <c r="AA3401" s="318"/>
      <c r="AB3401" s="318"/>
      <c r="AC3401" s="318"/>
      <c r="AD3401" s="318"/>
    </row>
    <row r="3402" spans="2:30" s="323" customFormat="1" ht="12" customHeight="1">
      <c r="B3402" s="324"/>
      <c r="C3402" s="325"/>
      <c r="D3402" s="326"/>
      <c r="E3402" s="326"/>
      <c r="F3402" s="326"/>
      <c r="G3402" s="326"/>
      <c r="H3402" s="326"/>
      <c r="P3402" s="318"/>
      <c r="Q3402" s="318"/>
      <c r="R3402" s="318"/>
      <c r="S3402" s="318"/>
      <c r="T3402" s="318"/>
      <c r="U3402" s="318"/>
      <c r="V3402" s="318"/>
      <c r="W3402" s="318"/>
      <c r="X3402" s="318"/>
      <c r="Y3402" s="318"/>
      <c r="Z3402" s="318"/>
      <c r="AA3402" s="318"/>
      <c r="AB3402" s="318"/>
      <c r="AC3402" s="318"/>
      <c r="AD3402" s="318"/>
    </row>
    <row r="3403" spans="2:30" s="323" customFormat="1" ht="12" customHeight="1">
      <c r="B3403" s="324"/>
      <c r="C3403" s="325"/>
      <c r="D3403" s="326"/>
      <c r="E3403" s="326"/>
      <c r="F3403" s="326"/>
      <c r="G3403" s="326"/>
      <c r="H3403" s="326"/>
      <c r="P3403" s="318"/>
      <c r="Q3403" s="318"/>
      <c r="R3403" s="318"/>
      <c r="S3403" s="318"/>
      <c r="T3403" s="318"/>
      <c r="U3403" s="318"/>
      <c r="V3403" s="318"/>
      <c r="W3403" s="318"/>
      <c r="X3403" s="318"/>
      <c r="Y3403" s="318"/>
      <c r="Z3403" s="318"/>
      <c r="AA3403" s="318"/>
      <c r="AB3403" s="318"/>
      <c r="AC3403" s="318"/>
      <c r="AD3403" s="318"/>
    </row>
    <row r="3404" spans="2:30" s="323" customFormat="1" ht="12" customHeight="1">
      <c r="B3404" s="324"/>
      <c r="C3404" s="325"/>
      <c r="D3404" s="326"/>
      <c r="E3404" s="326"/>
      <c r="F3404" s="326"/>
      <c r="G3404" s="326"/>
      <c r="H3404" s="326"/>
      <c r="P3404" s="318"/>
      <c r="Q3404" s="318"/>
      <c r="R3404" s="318"/>
      <c r="S3404" s="318"/>
      <c r="T3404" s="318"/>
      <c r="U3404" s="318"/>
      <c r="V3404" s="318"/>
      <c r="W3404" s="318"/>
      <c r="X3404" s="318"/>
      <c r="Y3404" s="318"/>
      <c r="Z3404" s="318"/>
      <c r="AA3404" s="318"/>
      <c r="AB3404" s="318"/>
      <c r="AC3404" s="318"/>
      <c r="AD3404" s="318"/>
    </row>
    <row r="3405" spans="2:30" s="323" customFormat="1" ht="12" customHeight="1">
      <c r="B3405" s="324"/>
      <c r="C3405" s="325"/>
      <c r="D3405" s="326"/>
      <c r="E3405" s="326"/>
      <c r="F3405" s="326"/>
      <c r="G3405" s="326"/>
      <c r="H3405" s="326"/>
      <c r="P3405" s="318"/>
      <c r="Q3405" s="318"/>
      <c r="R3405" s="318"/>
      <c r="S3405" s="318"/>
      <c r="T3405" s="318"/>
      <c r="U3405" s="318"/>
      <c r="V3405" s="318"/>
      <c r="W3405" s="318"/>
      <c r="X3405" s="318"/>
      <c r="Y3405" s="318"/>
      <c r="Z3405" s="318"/>
      <c r="AA3405" s="318"/>
      <c r="AB3405" s="318"/>
      <c r="AC3405" s="318"/>
      <c r="AD3405" s="318"/>
    </row>
    <row r="3406" spans="2:30" s="323" customFormat="1" ht="12" customHeight="1">
      <c r="B3406" s="324"/>
      <c r="C3406" s="325"/>
      <c r="D3406" s="326"/>
      <c r="E3406" s="326"/>
      <c r="F3406" s="326"/>
      <c r="G3406" s="326"/>
      <c r="H3406" s="326"/>
      <c r="P3406" s="318"/>
      <c r="Q3406" s="318"/>
      <c r="R3406" s="318"/>
      <c r="S3406" s="318"/>
      <c r="T3406" s="318"/>
      <c r="U3406" s="318"/>
      <c r="V3406" s="318"/>
      <c r="W3406" s="318"/>
      <c r="X3406" s="318"/>
      <c r="Y3406" s="318"/>
      <c r="Z3406" s="318"/>
      <c r="AA3406" s="318"/>
      <c r="AB3406" s="318"/>
      <c r="AC3406" s="318"/>
      <c r="AD3406" s="318"/>
    </row>
    <row r="3407" spans="2:30" s="323" customFormat="1" ht="12" customHeight="1">
      <c r="B3407" s="324"/>
      <c r="C3407" s="325"/>
      <c r="D3407" s="326"/>
      <c r="E3407" s="326"/>
      <c r="F3407" s="326"/>
      <c r="G3407" s="326"/>
      <c r="H3407" s="326"/>
      <c r="P3407" s="318"/>
      <c r="Q3407" s="318"/>
      <c r="R3407" s="318"/>
      <c r="S3407" s="318"/>
      <c r="T3407" s="318"/>
      <c r="U3407" s="318"/>
      <c r="V3407" s="318"/>
      <c r="W3407" s="318"/>
      <c r="X3407" s="318"/>
      <c r="Y3407" s="318"/>
      <c r="Z3407" s="318"/>
      <c r="AA3407" s="318"/>
      <c r="AB3407" s="318"/>
      <c r="AC3407" s="318"/>
      <c r="AD3407" s="318"/>
    </row>
    <row r="3408" spans="2:30" s="323" customFormat="1" ht="12" customHeight="1">
      <c r="B3408" s="324"/>
      <c r="C3408" s="325"/>
      <c r="D3408" s="326"/>
      <c r="E3408" s="326"/>
      <c r="F3408" s="326"/>
      <c r="G3408" s="326"/>
      <c r="H3408" s="326"/>
      <c r="P3408" s="318"/>
      <c r="Q3408" s="318"/>
      <c r="R3408" s="318"/>
      <c r="S3408" s="318"/>
      <c r="T3408" s="318"/>
      <c r="U3408" s="318"/>
      <c r="V3408" s="318"/>
      <c r="W3408" s="318"/>
      <c r="X3408" s="318"/>
      <c r="Y3408" s="318"/>
      <c r="Z3408" s="318"/>
      <c r="AA3408" s="318"/>
      <c r="AB3408" s="318"/>
      <c r="AC3408" s="318"/>
      <c r="AD3408" s="318"/>
    </row>
    <row r="3409" spans="2:30" s="323" customFormat="1" ht="12" customHeight="1">
      <c r="B3409" s="324"/>
      <c r="C3409" s="325"/>
      <c r="D3409" s="326"/>
      <c r="E3409" s="326"/>
      <c r="F3409" s="326"/>
      <c r="G3409" s="326"/>
      <c r="H3409" s="326"/>
      <c r="P3409" s="318"/>
      <c r="Q3409" s="318"/>
      <c r="R3409" s="318"/>
      <c r="S3409" s="318"/>
      <c r="T3409" s="318"/>
      <c r="U3409" s="318"/>
      <c r="V3409" s="318"/>
      <c r="W3409" s="318"/>
      <c r="X3409" s="318"/>
      <c r="Y3409" s="318"/>
      <c r="Z3409" s="318"/>
      <c r="AA3409" s="318"/>
      <c r="AB3409" s="318"/>
      <c r="AC3409" s="318"/>
      <c r="AD3409" s="318"/>
    </row>
    <row r="3410" spans="2:30" s="323" customFormat="1" ht="12" customHeight="1">
      <c r="B3410" s="324"/>
      <c r="C3410" s="325"/>
      <c r="D3410" s="326"/>
      <c r="E3410" s="326"/>
      <c r="F3410" s="326"/>
      <c r="G3410" s="326"/>
      <c r="H3410" s="326"/>
      <c r="P3410" s="318"/>
      <c r="Q3410" s="318"/>
      <c r="R3410" s="318"/>
      <c r="S3410" s="318"/>
      <c r="T3410" s="318"/>
      <c r="U3410" s="318"/>
      <c r="V3410" s="318"/>
      <c r="W3410" s="318"/>
      <c r="X3410" s="318"/>
      <c r="Y3410" s="318"/>
      <c r="Z3410" s="318"/>
      <c r="AA3410" s="318"/>
      <c r="AB3410" s="318"/>
      <c r="AC3410" s="318"/>
      <c r="AD3410" s="318"/>
    </row>
    <row r="3411" spans="2:30" s="323" customFormat="1" ht="12" customHeight="1">
      <c r="B3411" s="324"/>
      <c r="C3411" s="325"/>
      <c r="D3411" s="326"/>
      <c r="E3411" s="326"/>
      <c r="F3411" s="326"/>
      <c r="G3411" s="326"/>
      <c r="H3411" s="326"/>
      <c r="P3411" s="318"/>
      <c r="Q3411" s="318"/>
      <c r="R3411" s="318"/>
      <c r="S3411" s="318"/>
      <c r="T3411" s="318"/>
      <c r="U3411" s="318"/>
      <c r="V3411" s="318"/>
      <c r="W3411" s="318"/>
      <c r="X3411" s="318"/>
      <c r="Y3411" s="318"/>
      <c r="Z3411" s="318"/>
      <c r="AA3411" s="318"/>
      <c r="AB3411" s="318"/>
      <c r="AC3411" s="318"/>
      <c r="AD3411" s="318"/>
    </row>
    <row r="3412" spans="2:30" s="323" customFormat="1" ht="12" customHeight="1">
      <c r="B3412" s="324"/>
      <c r="C3412" s="325"/>
      <c r="D3412" s="326"/>
      <c r="E3412" s="326"/>
      <c r="F3412" s="326"/>
      <c r="G3412" s="326"/>
      <c r="H3412" s="326"/>
      <c r="P3412" s="318"/>
      <c r="Q3412" s="318"/>
      <c r="R3412" s="318"/>
      <c r="S3412" s="318"/>
      <c r="T3412" s="318"/>
      <c r="U3412" s="318"/>
      <c r="V3412" s="318"/>
      <c r="W3412" s="318"/>
      <c r="X3412" s="318"/>
      <c r="Y3412" s="318"/>
      <c r="Z3412" s="318"/>
      <c r="AA3412" s="318"/>
      <c r="AB3412" s="318"/>
      <c r="AC3412" s="318"/>
      <c r="AD3412" s="318"/>
    </row>
    <row r="3413" spans="2:30" s="323" customFormat="1" ht="12" customHeight="1">
      <c r="B3413" s="324"/>
      <c r="C3413" s="325"/>
      <c r="D3413" s="326"/>
      <c r="E3413" s="326"/>
      <c r="F3413" s="326"/>
      <c r="G3413" s="326"/>
      <c r="H3413" s="326"/>
      <c r="P3413" s="318"/>
      <c r="Q3413" s="318"/>
      <c r="R3413" s="318"/>
      <c r="S3413" s="318"/>
      <c r="T3413" s="318"/>
      <c r="U3413" s="318"/>
      <c r="V3413" s="318"/>
      <c r="W3413" s="318"/>
      <c r="X3413" s="318"/>
      <c r="Y3413" s="318"/>
      <c r="Z3413" s="318"/>
      <c r="AA3413" s="318"/>
      <c r="AB3413" s="318"/>
      <c r="AC3413" s="318"/>
      <c r="AD3413" s="318"/>
    </row>
    <row r="3414" spans="2:30" s="323" customFormat="1" ht="12" customHeight="1">
      <c r="B3414" s="324"/>
      <c r="C3414" s="325"/>
      <c r="D3414" s="326"/>
      <c r="E3414" s="326"/>
      <c r="F3414" s="326"/>
      <c r="G3414" s="326"/>
      <c r="H3414" s="326"/>
      <c r="P3414" s="318"/>
      <c r="Q3414" s="318"/>
      <c r="R3414" s="318"/>
      <c r="S3414" s="318"/>
      <c r="T3414" s="318"/>
      <c r="U3414" s="318"/>
      <c r="V3414" s="318"/>
      <c r="W3414" s="318"/>
      <c r="X3414" s="318"/>
      <c r="Y3414" s="318"/>
      <c r="Z3414" s="318"/>
      <c r="AA3414" s="318"/>
      <c r="AB3414" s="318"/>
      <c r="AC3414" s="318"/>
      <c r="AD3414" s="318"/>
    </row>
    <row r="3415" spans="2:30" s="323" customFormat="1" ht="12" customHeight="1">
      <c r="B3415" s="324"/>
      <c r="C3415" s="325"/>
      <c r="D3415" s="326"/>
      <c r="E3415" s="326"/>
      <c r="F3415" s="326"/>
      <c r="G3415" s="326"/>
      <c r="H3415" s="326"/>
      <c r="P3415" s="318"/>
      <c r="Q3415" s="318"/>
      <c r="R3415" s="318"/>
      <c r="S3415" s="318"/>
      <c r="T3415" s="318"/>
      <c r="U3415" s="318"/>
      <c r="V3415" s="318"/>
      <c r="W3415" s="318"/>
      <c r="X3415" s="318"/>
      <c r="Y3415" s="318"/>
      <c r="Z3415" s="318"/>
      <c r="AA3415" s="318"/>
      <c r="AB3415" s="318"/>
      <c r="AC3415" s="318"/>
      <c r="AD3415" s="318"/>
    </row>
    <row r="3416" spans="2:30" s="323" customFormat="1" ht="12" customHeight="1">
      <c r="B3416" s="324"/>
      <c r="C3416" s="325"/>
      <c r="D3416" s="326"/>
      <c r="E3416" s="326"/>
      <c r="F3416" s="326"/>
      <c r="G3416" s="326"/>
      <c r="H3416" s="326"/>
      <c r="P3416" s="318"/>
      <c r="Q3416" s="318"/>
      <c r="R3416" s="318"/>
      <c r="S3416" s="318"/>
      <c r="T3416" s="318"/>
      <c r="U3416" s="318"/>
      <c r="V3416" s="318"/>
      <c r="W3416" s="318"/>
      <c r="X3416" s="318"/>
      <c r="Y3416" s="318"/>
      <c r="Z3416" s="318"/>
      <c r="AA3416" s="318"/>
      <c r="AB3416" s="318"/>
      <c r="AC3416" s="318"/>
      <c r="AD3416" s="318"/>
    </row>
    <row r="3417" spans="2:30" s="323" customFormat="1" ht="12" customHeight="1">
      <c r="B3417" s="324"/>
      <c r="C3417" s="325"/>
      <c r="D3417" s="326"/>
      <c r="E3417" s="326"/>
      <c r="F3417" s="326"/>
      <c r="G3417" s="326"/>
      <c r="H3417" s="326"/>
      <c r="P3417" s="318"/>
      <c r="Q3417" s="318"/>
      <c r="R3417" s="318"/>
      <c r="S3417" s="318"/>
      <c r="T3417" s="318"/>
      <c r="U3417" s="318"/>
      <c r="V3417" s="318"/>
      <c r="W3417" s="318"/>
      <c r="X3417" s="318"/>
      <c r="Y3417" s="318"/>
      <c r="Z3417" s="318"/>
      <c r="AA3417" s="318"/>
      <c r="AB3417" s="318"/>
      <c r="AC3417" s="318"/>
      <c r="AD3417" s="318"/>
    </row>
    <row r="3418" spans="2:30" s="323" customFormat="1" ht="12" customHeight="1">
      <c r="B3418" s="324"/>
      <c r="C3418" s="325"/>
      <c r="D3418" s="326"/>
      <c r="E3418" s="326"/>
      <c r="F3418" s="326"/>
      <c r="G3418" s="326"/>
      <c r="H3418" s="326"/>
      <c r="P3418" s="318"/>
      <c r="Q3418" s="318"/>
      <c r="R3418" s="318"/>
      <c r="S3418" s="318"/>
      <c r="T3418" s="318"/>
      <c r="U3418" s="318"/>
      <c r="V3418" s="318"/>
      <c r="W3418" s="318"/>
      <c r="X3418" s="318"/>
      <c r="Y3418" s="318"/>
      <c r="Z3418" s="318"/>
      <c r="AA3418" s="318"/>
      <c r="AB3418" s="318"/>
      <c r="AC3418" s="318"/>
      <c r="AD3418" s="318"/>
    </row>
    <row r="3419" spans="2:30" s="323" customFormat="1" ht="12" customHeight="1">
      <c r="B3419" s="324"/>
      <c r="C3419" s="325"/>
      <c r="D3419" s="326"/>
      <c r="E3419" s="326"/>
      <c r="F3419" s="326"/>
      <c r="G3419" s="326"/>
      <c r="H3419" s="326"/>
      <c r="P3419" s="318"/>
      <c r="Q3419" s="318"/>
      <c r="R3419" s="318"/>
      <c r="S3419" s="318"/>
      <c r="T3419" s="318"/>
      <c r="U3419" s="318"/>
      <c r="V3419" s="318"/>
      <c r="W3419" s="318"/>
      <c r="X3419" s="318"/>
      <c r="Y3419" s="318"/>
      <c r="Z3419" s="318"/>
      <c r="AA3419" s="318"/>
      <c r="AB3419" s="318"/>
      <c r="AC3419" s="318"/>
      <c r="AD3419" s="318"/>
    </row>
    <row r="3420" spans="2:30" s="323" customFormat="1" ht="12" customHeight="1">
      <c r="B3420" s="324"/>
      <c r="C3420" s="325"/>
      <c r="D3420" s="326"/>
      <c r="E3420" s="326"/>
      <c r="F3420" s="326"/>
      <c r="G3420" s="326"/>
      <c r="H3420" s="326"/>
      <c r="P3420" s="318"/>
      <c r="Q3420" s="318"/>
      <c r="R3420" s="318"/>
      <c r="S3420" s="318"/>
      <c r="T3420" s="318"/>
      <c r="U3420" s="318"/>
      <c r="V3420" s="318"/>
      <c r="W3420" s="318"/>
      <c r="X3420" s="318"/>
      <c r="Y3420" s="318"/>
      <c r="Z3420" s="318"/>
      <c r="AA3420" s="318"/>
      <c r="AB3420" s="318"/>
      <c r="AC3420" s="318"/>
      <c r="AD3420" s="318"/>
    </row>
    <row r="3421" spans="2:30" s="323" customFormat="1" ht="12" customHeight="1">
      <c r="B3421" s="324"/>
      <c r="C3421" s="325"/>
      <c r="D3421" s="326"/>
      <c r="E3421" s="326"/>
      <c r="F3421" s="326"/>
      <c r="G3421" s="326"/>
      <c r="H3421" s="326"/>
      <c r="P3421" s="318"/>
      <c r="Q3421" s="318"/>
      <c r="R3421" s="318"/>
      <c r="S3421" s="318"/>
      <c r="T3421" s="318"/>
      <c r="U3421" s="318"/>
      <c r="V3421" s="318"/>
      <c r="W3421" s="318"/>
      <c r="X3421" s="318"/>
      <c r="Y3421" s="318"/>
      <c r="Z3421" s="318"/>
      <c r="AA3421" s="318"/>
      <c r="AB3421" s="318"/>
      <c r="AC3421" s="318"/>
      <c r="AD3421" s="318"/>
    </row>
    <row r="3422" spans="2:30" s="323" customFormat="1" ht="12" customHeight="1">
      <c r="B3422" s="324"/>
      <c r="C3422" s="325"/>
      <c r="D3422" s="326"/>
      <c r="E3422" s="326"/>
      <c r="F3422" s="326"/>
      <c r="G3422" s="326"/>
      <c r="H3422" s="326"/>
      <c r="P3422" s="318"/>
      <c r="Q3422" s="318"/>
      <c r="R3422" s="318"/>
      <c r="S3422" s="318"/>
      <c r="T3422" s="318"/>
      <c r="U3422" s="318"/>
      <c r="V3422" s="318"/>
      <c r="W3422" s="318"/>
      <c r="X3422" s="318"/>
      <c r="Y3422" s="318"/>
      <c r="Z3422" s="318"/>
      <c r="AA3422" s="318"/>
      <c r="AB3422" s="318"/>
      <c r="AC3422" s="318"/>
      <c r="AD3422" s="318"/>
    </row>
    <row r="3423" spans="2:30" s="323" customFormat="1" ht="12" customHeight="1">
      <c r="B3423" s="324"/>
      <c r="C3423" s="325"/>
      <c r="D3423" s="326"/>
      <c r="E3423" s="326"/>
      <c r="F3423" s="326"/>
      <c r="G3423" s="326"/>
      <c r="H3423" s="326"/>
      <c r="P3423" s="318"/>
      <c r="Q3423" s="318"/>
      <c r="R3423" s="318"/>
      <c r="S3423" s="318"/>
      <c r="T3423" s="318"/>
      <c r="U3423" s="318"/>
      <c r="V3423" s="318"/>
      <c r="W3423" s="318"/>
      <c r="X3423" s="318"/>
      <c r="Y3423" s="318"/>
      <c r="Z3423" s="318"/>
      <c r="AA3423" s="318"/>
      <c r="AB3423" s="318"/>
      <c r="AC3423" s="318"/>
      <c r="AD3423" s="318"/>
    </row>
    <row r="3424" spans="2:30" s="323" customFormat="1" ht="12" customHeight="1">
      <c r="B3424" s="324"/>
      <c r="C3424" s="325"/>
      <c r="D3424" s="326"/>
      <c r="E3424" s="326"/>
      <c r="F3424" s="326"/>
      <c r="G3424" s="326"/>
      <c r="H3424" s="326"/>
      <c r="P3424" s="318"/>
      <c r="Q3424" s="318"/>
      <c r="R3424" s="318"/>
      <c r="S3424" s="318"/>
      <c r="T3424" s="318"/>
      <c r="U3424" s="318"/>
      <c r="V3424" s="318"/>
      <c r="W3424" s="318"/>
      <c r="X3424" s="318"/>
      <c r="Y3424" s="318"/>
      <c r="Z3424" s="318"/>
      <c r="AA3424" s="318"/>
      <c r="AB3424" s="318"/>
      <c r="AC3424" s="318"/>
      <c r="AD3424" s="318"/>
    </row>
    <row r="3425" spans="2:30" s="323" customFormat="1" ht="12" customHeight="1">
      <c r="B3425" s="324"/>
      <c r="C3425" s="325"/>
      <c r="D3425" s="326"/>
      <c r="E3425" s="326"/>
      <c r="F3425" s="326"/>
      <c r="G3425" s="326"/>
      <c r="H3425" s="326"/>
      <c r="P3425" s="318"/>
      <c r="Q3425" s="318"/>
      <c r="R3425" s="318"/>
      <c r="S3425" s="318"/>
      <c r="T3425" s="318"/>
      <c r="U3425" s="318"/>
      <c r="V3425" s="318"/>
      <c r="W3425" s="318"/>
      <c r="X3425" s="318"/>
      <c r="Y3425" s="318"/>
      <c r="Z3425" s="318"/>
      <c r="AA3425" s="318"/>
      <c r="AB3425" s="318"/>
      <c r="AC3425" s="318"/>
      <c r="AD3425" s="318"/>
    </row>
    <row r="3426" spans="2:30" s="323" customFormat="1" ht="12" customHeight="1">
      <c r="B3426" s="324"/>
      <c r="C3426" s="325"/>
      <c r="D3426" s="326"/>
      <c r="E3426" s="326"/>
      <c r="F3426" s="326"/>
      <c r="G3426" s="326"/>
      <c r="H3426" s="326"/>
      <c r="P3426" s="318"/>
      <c r="Q3426" s="318"/>
      <c r="R3426" s="318"/>
      <c r="S3426" s="318"/>
      <c r="T3426" s="318"/>
      <c r="U3426" s="318"/>
      <c r="V3426" s="318"/>
      <c r="W3426" s="318"/>
      <c r="X3426" s="318"/>
      <c r="Y3426" s="318"/>
      <c r="Z3426" s="318"/>
      <c r="AA3426" s="318"/>
      <c r="AB3426" s="318"/>
      <c r="AC3426" s="318"/>
      <c r="AD3426" s="318"/>
    </row>
    <row r="3427" spans="2:30" s="323" customFormat="1" ht="12" customHeight="1">
      <c r="B3427" s="324"/>
      <c r="C3427" s="325"/>
      <c r="D3427" s="326"/>
      <c r="E3427" s="326"/>
      <c r="F3427" s="326"/>
      <c r="G3427" s="326"/>
      <c r="H3427" s="326"/>
      <c r="P3427" s="318"/>
      <c r="Q3427" s="318"/>
      <c r="R3427" s="318"/>
      <c r="S3427" s="318"/>
      <c r="T3427" s="318"/>
      <c r="U3427" s="318"/>
      <c r="V3427" s="318"/>
      <c r="W3427" s="318"/>
      <c r="X3427" s="318"/>
      <c r="Y3427" s="318"/>
      <c r="Z3427" s="318"/>
      <c r="AA3427" s="318"/>
      <c r="AB3427" s="318"/>
      <c r="AC3427" s="318"/>
      <c r="AD3427" s="318"/>
    </row>
    <row r="3428" spans="2:30" s="323" customFormat="1" ht="12" customHeight="1">
      <c r="B3428" s="324"/>
      <c r="C3428" s="325"/>
      <c r="D3428" s="326"/>
      <c r="E3428" s="326"/>
      <c r="F3428" s="326"/>
      <c r="G3428" s="326"/>
      <c r="H3428" s="326"/>
      <c r="P3428" s="318"/>
      <c r="Q3428" s="318"/>
      <c r="R3428" s="318"/>
      <c r="S3428" s="318"/>
      <c r="T3428" s="318"/>
      <c r="U3428" s="318"/>
      <c r="V3428" s="318"/>
      <c r="W3428" s="318"/>
      <c r="X3428" s="318"/>
      <c r="Y3428" s="318"/>
      <c r="Z3428" s="318"/>
      <c r="AA3428" s="318"/>
      <c r="AB3428" s="318"/>
      <c r="AC3428" s="318"/>
      <c r="AD3428" s="318"/>
    </row>
    <row r="3429" spans="2:30" s="323" customFormat="1" ht="12" customHeight="1">
      <c r="B3429" s="324"/>
      <c r="C3429" s="325"/>
      <c r="D3429" s="326"/>
      <c r="E3429" s="326"/>
      <c r="F3429" s="326"/>
      <c r="G3429" s="326"/>
      <c r="H3429" s="326"/>
      <c r="P3429" s="318"/>
      <c r="Q3429" s="318"/>
      <c r="R3429" s="318"/>
      <c r="S3429" s="318"/>
      <c r="T3429" s="318"/>
      <c r="U3429" s="318"/>
      <c r="V3429" s="318"/>
      <c r="W3429" s="318"/>
      <c r="X3429" s="318"/>
      <c r="Y3429" s="318"/>
      <c r="Z3429" s="318"/>
      <c r="AA3429" s="318"/>
      <c r="AB3429" s="318"/>
      <c r="AC3429" s="318"/>
      <c r="AD3429" s="318"/>
    </row>
    <row r="3430" spans="2:30" s="323" customFormat="1" ht="12" customHeight="1">
      <c r="B3430" s="324"/>
      <c r="C3430" s="325"/>
      <c r="D3430" s="326"/>
      <c r="E3430" s="326"/>
      <c r="F3430" s="326"/>
      <c r="G3430" s="326"/>
      <c r="H3430" s="326"/>
      <c r="P3430" s="318"/>
      <c r="Q3430" s="318"/>
      <c r="R3430" s="318"/>
      <c r="S3430" s="318"/>
      <c r="T3430" s="318"/>
      <c r="U3430" s="318"/>
      <c r="V3430" s="318"/>
      <c r="W3430" s="318"/>
      <c r="X3430" s="318"/>
      <c r="Y3430" s="318"/>
      <c r="Z3430" s="318"/>
      <c r="AA3430" s="318"/>
      <c r="AB3430" s="318"/>
      <c r="AC3430" s="318"/>
      <c r="AD3430" s="318"/>
    </row>
    <row r="3431" spans="2:30" s="323" customFormat="1" ht="12" customHeight="1">
      <c r="B3431" s="324"/>
      <c r="C3431" s="325"/>
      <c r="D3431" s="326"/>
      <c r="E3431" s="326"/>
      <c r="F3431" s="326"/>
      <c r="G3431" s="326"/>
      <c r="H3431" s="326"/>
      <c r="P3431" s="318"/>
      <c r="Q3431" s="318"/>
      <c r="R3431" s="318"/>
      <c r="S3431" s="318"/>
      <c r="T3431" s="318"/>
      <c r="U3431" s="318"/>
      <c r="V3431" s="318"/>
      <c r="W3431" s="318"/>
      <c r="X3431" s="318"/>
      <c r="Y3431" s="318"/>
      <c r="Z3431" s="318"/>
      <c r="AA3431" s="318"/>
      <c r="AB3431" s="318"/>
      <c r="AC3431" s="318"/>
      <c r="AD3431" s="318"/>
    </row>
    <row r="3432" spans="2:30" s="323" customFormat="1" ht="12" customHeight="1">
      <c r="B3432" s="324"/>
      <c r="C3432" s="325"/>
      <c r="D3432" s="326"/>
      <c r="E3432" s="326"/>
      <c r="F3432" s="326"/>
      <c r="G3432" s="326"/>
      <c r="H3432" s="326"/>
      <c r="P3432" s="318"/>
      <c r="Q3432" s="318"/>
      <c r="R3432" s="318"/>
      <c r="S3432" s="318"/>
      <c r="T3432" s="318"/>
      <c r="U3432" s="318"/>
      <c r="V3432" s="318"/>
      <c r="W3432" s="318"/>
      <c r="X3432" s="318"/>
      <c r="Y3432" s="318"/>
      <c r="Z3432" s="318"/>
      <c r="AA3432" s="318"/>
      <c r="AB3432" s="318"/>
      <c r="AC3432" s="318"/>
      <c r="AD3432" s="318"/>
    </row>
    <row r="3433" spans="2:30" s="323" customFormat="1" ht="12" customHeight="1">
      <c r="B3433" s="324"/>
      <c r="C3433" s="325"/>
      <c r="D3433" s="326"/>
      <c r="E3433" s="326"/>
      <c r="F3433" s="326"/>
      <c r="G3433" s="326"/>
      <c r="H3433" s="326"/>
      <c r="P3433" s="318"/>
      <c r="Q3433" s="318"/>
      <c r="R3433" s="318"/>
      <c r="S3433" s="318"/>
      <c r="T3433" s="318"/>
      <c r="U3433" s="318"/>
      <c r="V3433" s="318"/>
      <c r="W3433" s="318"/>
      <c r="X3433" s="318"/>
      <c r="Y3433" s="318"/>
      <c r="Z3433" s="318"/>
      <c r="AA3433" s="318"/>
      <c r="AB3433" s="318"/>
      <c r="AC3433" s="318"/>
      <c r="AD3433" s="318"/>
    </row>
    <row r="3434" spans="2:30" s="323" customFormat="1" ht="12" customHeight="1">
      <c r="B3434" s="324"/>
      <c r="C3434" s="325"/>
      <c r="D3434" s="326"/>
      <c r="E3434" s="326"/>
      <c r="F3434" s="326"/>
      <c r="G3434" s="326"/>
      <c r="H3434" s="326"/>
      <c r="P3434" s="318"/>
      <c r="Q3434" s="318"/>
      <c r="R3434" s="318"/>
      <c r="S3434" s="318"/>
      <c r="T3434" s="318"/>
      <c r="U3434" s="318"/>
      <c r="V3434" s="318"/>
      <c r="W3434" s="318"/>
      <c r="X3434" s="318"/>
      <c r="Y3434" s="318"/>
      <c r="Z3434" s="318"/>
      <c r="AA3434" s="318"/>
      <c r="AB3434" s="318"/>
      <c r="AC3434" s="318"/>
      <c r="AD3434" s="318"/>
    </row>
    <row r="3435" spans="2:30" s="323" customFormat="1" ht="12" customHeight="1">
      <c r="B3435" s="324"/>
      <c r="C3435" s="325"/>
      <c r="D3435" s="326"/>
      <c r="E3435" s="326"/>
      <c r="F3435" s="326"/>
      <c r="G3435" s="326"/>
      <c r="H3435" s="326"/>
      <c r="P3435" s="318"/>
      <c r="Q3435" s="318"/>
      <c r="R3435" s="318"/>
      <c r="S3435" s="318"/>
      <c r="T3435" s="318"/>
      <c r="U3435" s="318"/>
      <c r="V3435" s="318"/>
      <c r="W3435" s="318"/>
      <c r="X3435" s="318"/>
      <c r="Y3435" s="318"/>
      <c r="Z3435" s="318"/>
      <c r="AA3435" s="318"/>
      <c r="AB3435" s="318"/>
      <c r="AC3435" s="318"/>
      <c r="AD3435" s="318"/>
    </row>
    <row r="3436" spans="2:30" s="323" customFormat="1" ht="12" customHeight="1">
      <c r="B3436" s="324"/>
      <c r="C3436" s="325"/>
      <c r="D3436" s="326"/>
      <c r="E3436" s="326"/>
      <c r="F3436" s="326"/>
      <c r="G3436" s="326"/>
      <c r="H3436" s="326"/>
      <c r="P3436" s="318"/>
      <c r="Q3436" s="318"/>
      <c r="R3436" s="318"/>
      <c r="S3436" s="318"/>
      <c r="T3436" s="318"/>
      <c r="U3436" s="318"/>
      <c r="V3436" s="318"/>
      <c r="W3436" s="318"/>
      <c r="X3436" s="318"/>
      <c r="Y3436" s="318"/>
      <c r="Z3436" s="318"/>
      <c r="AA3436" s="318"/>
      <c r="AB3436" s="318"/>
      <c r="AC3436" s="318"/>
      <c r="AD3436" s="318"/>
    </row>
    <row r="3437" spans="2:30" s="323" customFormat="1" ht="12" customHeight="1">
      <c r="B3437" s="324"/>
      <c r="C3437" s="325"/>
      <c r="D3437" s="326"/>
      <c r="E3437" s="326"/>
      <c r="F3437" s="326"/>
      <c r="G3437" s="326"/>
      <c r="H3437" s="326"/>
      <c r="P3437" s="318"/>
      <c r="Q3437" s="318"/>
      <c r="R3437" s="318"/>
      <c r="S3437" s="318"/>
      <c r="T3437" s="318"/>
      <c r="U3437" s="318"/>
      <c r="V3437" s="318"/>
      <c r="W3437" s="318"/>
      <c r="X3437" s="318"/>
      <c r="Y3437" s="318"/>
      <c r="Z3437" s="318"/>
      <c r="AA3437" s="318"/>
      <c r="AB3437" s="318"/>
      <c r="AC3437" s="318"/>
      <c r="AD3437" s="318"/>
    </row>
    <row r="3438" spans="2:30" s="323" customFormat="1" ht="12" customHeight="1">
      <c r="B3438" s="324"/>
      <c r="C3438" s="325"/>
      <c r="D3438" s="326"/>
      <c r="E3438" s="326"/>
      <c r="F3438" s="326"/>
      <c r="G3438" s="326"/>
      <c r="H3438" s="326"/>
      <c r="P3438" s="318"/>
      <c r="Q3438" s="318"/>
      <c r="R3438" s="318"/>
      <c r="S3438" s="318"/>
      <c r="T3438" s="318"/>
      <c r="U3438" s="318"/>
      <c r="V3438" s="318"/>
      <c r="W3438" s="318"/>
      <c r="X3438" s="318"/>
      <c r="Y3438" s="318"/>
      <c r="Z3438" s="318"/>
      <c r="AA3438" s="318"/>
      <c r="AB3438" s="318"/>
      <c r="AC3438" s="318"/>
      <c r="AD3438" s="318"/>
    </row>
    <row r="3439" spans="2:30" s="323" customFormat="1" ht="12" customHeight="1">
      <c r="B3439" s="324"/>
      <c r="C3439" s="325"/>
      <c r="D3439" s="326"/>
      <c r="E3439" s="326"/>
      <c r="F3439" s="326"/>
      <c r="G3439" s="326"/>
      <c r="H3439" s="326"/>
      <c r="P3439" s="318"/>
      <c r="Q3439" s="318"/>
      <c r="R3439" s="318"/>
      <c r="S3439" s="318"/>
      <c r="T3439" s="318"/>
      <c r="U3439" s="318"/>
      <c r="V3439" s="318"/>
      <c r="W3439" s="318"/>
      <c r="X3439" s="318"/>
      <c r="Y3439" s="318"/>
      <c r="Z3439" s="318"/>
      <c r="AA3439" s="318"/>
      <c r="AB3439" s="318"/>
      <c r="AC3439" s="318"/>
      <c r="AD3439" s="318"/>
    </row>
    <row r="3440" spans="2:30" s="323" customFormat="1" ht="12" customHeight="1">
      <c r="B3440" s="324"/>
      <c r="C3440" s="325"/>
      <c r="D3440" s="326"/>
      <c r="E3440" s="326"/>
      <c r="F3440" s="326"/>
      <c r="G3440" s="326"/>
      <c r="H3440" s="326"/>
      <c r="P3440" s="318"/>
      <c r="Q3440" s="318"/>
      <c r="R3440" s="318"/>
      <c r="S3440" s="318"/>
      <c r="T3440" s="318"/>
      <c r="U3440" s="318"/>
      <c r="V3440" s="318"/>
      <c r="W3440" s="318"/>
      <c r="X3440" s="318"/>
      <c r="Y3440" s="318"/>
      <c r="Z3440" s="318"/>
      <c r="AA3440" s="318"/>
      <c r="AB3440" s="318"/>
      <c r="AC3440" s="318"/>
      <c r="AD3440" s="318"/>
    </row>
    <row r="3441" spans="2:30" s="323" customFormat="1" ht="12" customHeight="1">
      <c r="B3441" s="324"/>
      <c r="C3441" s="325"/>
      <c r="D3441" s="326"/>
      <c r="E3441" s="326"/>
      <c r="F3441" s="326"/>
      <c r="G3441" s="326"/>
      <c r="H3441" s="326"/>
      <c r="P3441" s="318"/>
      <c r="Q3441" s="318"/>
      <c r="R3441" s="318"/>
      <c r="S3441" s="318"/>
      <c r="T3441" s="318"/>
      <c r="U3441" s="318"/>
      <c r="V3441" s="318"/>
      <c r="W3441" s="318"/>
      <c r="X3441" s="318"/>
      <c r="Y3441" s="318"/>
      <c r="Z3441" s="318"/>
      <c r="AA3441" s="318"/>
      <c r="AB3441" s="318"/>
      <c r="AC3441" s="318"/>
      <c r="AD3441" s="318"/>
    </row>
    <row r="3442" spans="2:30" s="323" customFormat="1" ht="12" customHeight="1">
      <c r="B3442" s="324"/>
      <c r="C3442" s="325"/>
      <c r="D3442" s="326"/>
      <c r="E3442" s="326"/>
      <c r="F3442" s="326"/>
      <c r="G3442" s="326"/>
      <c r="H3442" s="326"/>
      <c r="P3442" s="318"/>
      <c r="Q3442" s="318"/>
      <c r="R3442" s="318"/>
      <c r="S3442" s="318"/>
      <c r="T3442" s="318"/>
      <c r="U3442" s="318"/>
      <c r="V3442" s="318"/>
      <c r="W3442" s="318"/>
      <c r="X3442" s="318"/>
      <c r="Y3442" s="318"/>
      <c r="Z3442" s="318"/>
      <c r="AA3442" s="318"/>
      <c r="AB3442" s="318"/>
      <c r="AC3442" s="318"/>
      <c r="AD3442" s="318"/>
    </row>
    <row r="3443" spans="2:30" s="323" customFormat="1" ht="12" customHeight="1">
      <c r="B3443" s="324"/>
      <c r="C3443" s="325"/>
      <c r="D3443" s="326"/>
      <c r="E3443" s="326"/>
      <c r="F3443" s="326"/>
      <c r="G3443" s="326"/>
      <c r="H3443" s="326"/>
      <c r="P3443" s="318"/>
      <c r="Q3443" s="318"/>
      <c r="R3443" s="318"/>
      <c r="S3443" s="318"/>
      <c r="T3443" s="318"/>
      <c r="U3443" s="318"/>
      <c r="V3443" s="318"/>
      <c r="W3443" s="318"/>
      <c r="X3443" s="318"/>
      <c r="Y3443" s="318"/>
      <c r="Z3443" s="318"/>
      <c r="AA3443" s="318"/>
      <c r="AB3443" s="318"/>
      <c r="AC3443" s="318"/>
      <c r="AD3443" s="318"/>
    </row>
    <row r="3444" spans="2:30" s="323" customFormat="1" ht="12" customHeight="1">
      <c r="B3444" s="324"/>
      <c r="C3444" s="325"/>
      <c r="D3444" s="326"/>
      <c r="E3444" s="326"/>
      <c r="F3444" s="326"/>
      <c r="G3444" s="326"/>
      <c r="H3444" s="326"/>
      <c r="P3444" s="318"/>
      <c r="Q3444" s="318"/>
      <c r="R3444" s="318"/>
      <c r="S3444" s="318"/>
      <c r="T3444" s="318"/>
      <c r="U3444" s="318"/>
      <c r="V3444" s="318"/>
      <c r="W3444" s="318"/>
      <c r="X3444" s="318"/>
      <c r="Y3444" s="318"/>
      <c r="Z3444" s="318"/>
      <c r="AA3444" s="318"/>
      <c r="AB3444" s="318"/>
      <c r="AC3444" s="318"/>
      <c r="AD3444" s="318"/>
    </row>
    <row r="3445" spans="2:30" s="323" customFormat="1" ht="12" customHeight="1">
      <c r="B3445" s="324"/>
      <c r="C3445" s="325"/>
      <c r="D3445" s="326"/>
      <c r="E3445" s="326"/>
      <c r="F3445" s="326"/>
      <c r="G3445" s="326"/>
      <c r="H3445" s="326"/>
      <c r="P3445" s="318"/>
      <c r="Q3445" s="318"/>
      <c r="R3445" s="318"/>
      <c r="S3445" s="318"/>
      <c r="T3445" s="318"/>
      <c r="U3445" s="318"/>
      <c r="V3445" s="318"/>
      <c r="W3445" s="318"/>
      <c r="X3445" s="318"/>
      <c r="Y3445" s="318"/>
      <c r="Z3445" s="318"/>
      <c r="AA3445" s="318"/>
      <c r="AB3445" s="318"/>
      <c r="AC3445" s="318"/>
      <c r="AD3445" s="318"/>
    </row>
    <row r="3446" spans="2:30" s="323" customFormat="1" ht="12" customHeight="1">
      <c r="B3446" s="324"/>
      <c r="C3446" s="325"/>
      <c r="D3446" s="326"/>
      <c r="E3446" s="326"/>
      <c r="F3446" s="326"/>
      <c r="G3446" s="326"/>
      <c r="H3446" s="326"/>
      <c r="P3446" s="318"/>
      <c r="Q3446" s="318"/>
      <c r="R3446" s="318"/>
      <c r="S3446" s="318"/>
      <c r="T3446" s="318"/>
      <c r="U3446" s="318"/>
      <c r="V3446" s="318"/>
      <c r="W3446" s="318"/>
      <c r="X3446" s="318"/>
      <c r="Y3446" s="318"/>
      <c r="Z3446" s="318"/>
      <c r="AA3446" s="318"/>
      <c r="AB3446" s="318"/>
      <c r="AC3446" s="318"/>
      <c r="AD3446" s="318"/>
    </row>
    <row r="3447" spans="2:30" s="323" customFormat="1" ht="12" customHeight="1">
      <c r="B3447" s="324"/>
      <c r="C3447" s="325"/>
      <c r="D3447" s="326"/>
      <c r="E3447" s="326"/>
      <c r="F3447" s="326"/>
      <c r="G3447" s="326"/>
      <c r="H3447" s="326"/>
      <c r="P3447" s="318"/>
      <c r="Q3447" s="318"/>
      <c r="R3447" s="318"/>
      <c r="S3447" s="318"/>
      <c r="T3447" s="318"/>
      <c r="U3447" s="318"/>
      <c r="V3447" s="318"/>
      <c r="W3447" s="318"/>
      <c r="X3447" s="318"/>
      <c r="Y3447" s="318"/>
      <c r="Z3447" s="318"/>
      <c r="AA3447" s="318"/>
      <c r="AB3447" s="318"/>
      <c r="AC3447" s="318"/>
      <c r="AD3447" s="318"/>
    </row>
    <row r="3448" spans="2:30" s="323" customFormat="1" ht="12" customHeight="1">
      <c r="B3448" s="324"/>
      <c r="C3448" s="325"/>
      <c r="D3448" s="326"/>
      <c r="E3448" s="326"/>
      <c r="F3448" s="326"/>
      <c r="G3448" s="326"/>
      <c r="H3448" s="326"/>
      <c r="P3448" s="318"/>
      <c r="Q3448" s="318"/>
      <c r="R3448" s="318"/>
      <c r="S3448" s="318"/>
      <c r="T3448" s="318"/>
      <c r="U3448" s="318"/>
      <c r="V3448" s="318"/>
      <c r="W3448" s="318"/>
      <c r="X3448" s="318"/>
      <c r="Y3448" s="318"/>
      <c r="Z3448" s="318"/>
      <c r="AA3448" s="318"/>
      <c r="AB3448" s="318"/>
      <c r="AC3448" s="318"/>
      <c r="AD3448" s="318"/>
    </row>
    <row r="3449" spans="2:30" s="323" customFormat="1" ht="12" customHeight="1">
      <c r="B3449" s="324"/>
      <c r="C3449" s="325"/>
      <c r="D3449" s="326"/>
      <c r="E3449" s="326"/>
      <c r="F3449" s="326"/>
      <c r="G3449" s="326"/>
      <c r="H3449" s="326"/>
      <c r="P3449" s="318"/>
      <c r="Q3449" s="318"/>
      <c r="R3449" s="318"/>
      <c r="S3449" s="318"/>
      <c r="T3449" s="318"/>
      <c r="U3449" s="318"/>
      <c r="V3449" s="318"/>
      <c r="W3449" s="318"/>
      <c r="X3449" s="318"/>
      <c r="Y3449" s="318"/>
      <c r="Z3449" s="318"/>
      <c r="AA3449" s="318"/>
      <c r="AB3449" s="318"/>
      <c r="AC3449" s="318"/>
      <c r="AD3449" s="318"/>
    </row>
    <row r="3450" spans="2:30" s="323" customFormat="1" ht="12" customHeight="1">
      <c r="B3450" s="324"/>
      <c r="C3450" s="325"/>
      <c r="D3450" s="326"/>
      <c r="E3450" s="326"/>
      <c r="F3450" s="326"/>
      <c r="G3450" s="326"/>
      <c r="H3450" s="326"/>
      <c r="P3450" s="318"/>
      <c r="Q3450" s="318"/>
      <c r="R3450" s="318"/>
      <c r="S3450" s="318"/>
      <c r="T3450" s="318"/>
      <c r="U3450" s="318"/>
      <c r="V3450" s="318"/>
      <c r="W3450" s="318"/>
      <c r="X3450" s="318"/>
      <c r="Y3450" s="318"/>
      <c r="Z3450" s="318"/>
      <c r="AA3450" s="318"/>
      <c r="AB3450" s="318"/>
      <c r="AC3450" s="318"/>
      <c r="AD3450" s="318"/>
    </row>
    <row r="3451" spans="2:30" s="323" customFormat="1" ht="12" customHeight="1">
      <c r="B3451" s="324"/>
      <c r="C3451" s="325"/>
      <c r="D3451" s="326"/>
      <c r="E3451" s="326"/>
      <c r="F3451" s="326"/>
      <c r="G3451" s="326"/>
      <c r="H3451" s="326"/>
      <c r="P3451" s="318"/>
      <c r="Q3451" s="318"/>
      <c r="R3451" s="318"/>
      <c r="S3451" s="318"/>
      <c r="T3451" s="318"/>
      <c r="U3451" s="318"/>
      <c r="V3451" s="318"/>
      <c r="W3451" s="318"/>
      <c r="X3451" s="318"/>
      <c r="Y3451" s="318"/>
      <c r="Z3451" s="318"/>
      <c r="AA3451" s="318"/>
      <c r="AB3451" s="318"/>
      <c r="AC3451" s="318"/>
      <c r="AD3451" s="318"/>
    </row>
    <row r="3452" spans="2:30" s="323" customFormat="1" ht="12" customHeight="1">
      <c r="B3452" s="324"/>
      <c r="C3452" s="325"/>
      <c r="D3452" s="326"/>
      <c r="E3452" s="326"/>
      <c r="F3452" s="326"/>
      <c r="G3452" s="326"/>
      <c r="H3452" s="326"/>
      <c r="P3452" s="318"/>
      <c r="Q3452" s="318"/>
      <c r="R3452" s="318"/>
      <c r="S3452" s="318"/>
      <c r="T3452" s="318"/>
      <c r="U3452" s="318"/>
      <c r="V3452" s="318"/>
      <c r="W3452" s="318"/>
      <c r="X3452" s="318"/>
      <c r="Y3452" s="318"/>
      <c r="Z3452" s="318"/>
      <c r="AA3452" s="318"/>
      <c r="AB3452" s="318"/>
      <c r="AC3452" s="318"/>
      <c r="AD3452" s="318"/>
    </row>
    <row r="3453" spans="2:30" s="323" customFormat="1" ht="12" customHeight="1">
      <c r="B3453" s="324"/>
      <c r="C3453" s="325"/>
      <c r="D3453" s="326"/>
      <c r="E3453" s="326"/>
      <c r="F3453" s="326"/>
      <c r="G3453" s="326"/>
      <c r="H3453" s="326"/>
      <c r="P3453" s="318"/>
      <c r="Q3453" s="318"/>
      <c r="R3453" s="318"/>
      <c r="S3453" s="318"/>
      <c r="T3453" s="318"/>
      <c r="U3453" s="318"/>
      <c r="V3453" s="318"/>
      <c r="W3453" s="318"/>
      <c r="X3453" s="318"/>
      <c r="Y3453" s="318"/>
      <c r="Z3453" s="318"/>
      <c r="AA3453" s="318"/>
      <c r="AB3453" s="318"/>
      <c r="AC3453" s="318"/>
      <c r="AD3453" s="318"/>
    </row>
    <row r="3454" spans="2:30" s="323" customFormat="1" ht="12" customHeight="1">
      <c r="B3454" s="324"/>
      <c r="C3454" s="325"/>
      <c r="D3454" s="326"/>
      <c r="E3454" s="326"/>
      <c r="F3454" s="326"/>
      <c r="G3454" s="326"/>
      <c r="H3454" s="326"/>
      <c r="P3454" s="318"/>
      <c r="Q3454" s="318"/>
      <c r="R3454" s="318"/>
      <c r="S3454" s="318"/>
      <c r="T3454" s="318"/>
      <c r="U3454" s="318"/>
      <c r="V3454" s="318"/>
      <c r="W3454" s="318"/>
      <c r="X3454" s="318"/>
      <c r="Y3454" s="318"/>
      <c r="Z3454" s="318"/>
      <c r="AA3454" s="318"/>
      <c r="AB3454" s="318"/>
      <c r="AC3454" s="318"/>
      <c r="AD3454" s="318"/>
    </row>
    <row r="3455" spans="2:30" s="323" customFormat="1" ht="12" customHeight="1">
      <c r="B3455" s="324"/>
      <c r="C3455" s="325"/>
      <c r="D3455" s="326"/>
      <c r="E3455" s="326"/>
      <c r="F3455" s="326"/>
      <c r="G3455" s="326"/>
      <c r="H3455" s="326"/>
      <c r="P3455" s="318"/>
      <c r="Q3455" s="318"/>
      <c r="R3455" s="318"/>
      <c r="S3455" s="318"/>
      <c r="T3455" s="318"/>
      <c r="U3455" s="318"/>
      <c r="V3455" s="318"/>
      <c r="W3455" s="318"/>
      <c r="X3455" s="318"/>
      <c r="Y3455" s="318"/>
      <c r="Z3455" s="318"/>
      <c r="AA3455" s="318"/>
      <c r="AB3455" s="318"/>
      <c r="AC3455" s="318"/>
      <c r="AD3455" s="318"/>
    </row>
    <row r="3456" spans="2:30" s="323" customFormat="1" ht="12" customHeight="1">
      <c r="B3456" s="324"/>
      <c r="C3456" s="325"/>
      <c r="D3456" s="326"/>
      <c r="E3456" s="326"/>
      <c r="F3456" s="326"/>
      <c r="G3456" s="326"/>
      <c r="H3456" s="326"/>
      <c r="P3456" s="318"/>
      <c r="Q3456" s="318"/>
      <c r="R3456" s="318"/>
      <c r="S3456" s="318"/>
      <c r="T3456" s="318"/>
      <c r="U3456" s="318"/>
      <c r="V3456" s="318"/>
      <c r="W3456" s="318"/>
      <c r="X3456" s="318"/>
      <c r="Y3456" s="318"/>
      <c r="Z3456" s="318"/>
      <c r="AA3456" s="318"/>
      <c r="AB3456" s="318"/>
      <c r="AC3456" s="318"/>
      <c r="AD3456" s="318"/>
    </row>
    <row r="3457" spans="2:30" s="323" customFormat="1" ht="12" customHeight="1">
      <c r="B3457" s="324"/>
      <c r="C3457" s="325"/>
      <c r="D3457" s="326"/>
      <c r="E3457" s="326"/>
      <c r="F3457" s="326"/>
      <c r="G3457" s="326"/>
      <c r="H3457" s="326"/>
      <c r="P3457" s="318"/>
      <c r="Q3457" s="318"/>
      <c r="R3457" s="318"/>
      <c r="S3457" s="318"/>
      <c r="T3457" s="318"/>
      <c r="U3457" s="318"/>
      <c r="V3457" s="318"/>
      <c r="W3457" s="318"/>
      <c r="X3457" s="318"/>
      <c r="Y3457" s="318"/>
      <c r="Z3457" s="318"/>
      <c r="AA3457" s="318"/>
      <c r="AB3457" s="318"/>
      <c r="AC3457" s="318"/>
      <c r="AD3457" s="318"/>
    </row>
    <row r="3458" spans="2:30" s="323" customFormat="1" ht="12" customHeight="1">
      <c r="B3458" s="324"/>
      <c r="C3458" s="325"/>
      <c r="D3458" s="326"/>
      <c r="E3458" s="326"/>
      <c r="F3458" s="326"/>
      <c r="G3458" s="326"/>
      <c r="H3458" s="326"/>
      <c r="P3458" s="318"/>
      <c r="Q3458" s="318"/>
      <c r="R3458" s="318"/>
      <c r="S3458" s="318"/>
      <c r="T3458" s="318"/>
      <c r="U3458" s="318"/>
      <c r="V3458" s="318"/>
      <c r="W3458" s="318"/>
      <c r="X3458" s="318"/>
      <c r="Y3458" s="318"/>
      <c r="Z3458" s="318"/>
      <c r="AA3458" s="318"/>
      <c r="AB3458" s="318"/>
      <c r="AC3458" s="318"/>
      <c r="AD3458" s="318"/>
    </row>
    <row r="3459" spans="2:30" s="323" customFormat="1" ht="12" customHeight="1">
      <c r="B3459" s="324"/>
      <c r="C3459" s="325"/>
      <c r="D3459" s="326"/>
      <c r="E3459" s="326"/>
      <c r="F3459" s="326"/>
      <c r="G3459" s="326"/>
      <c r="H3459" s="326"/>
      <c r="P3459" s="318"/>
      <c r="Q3459" s="318"/>
      <c r="R3459" s="318"/>
      <c r="S3459" s="318"/>
      <c r="T3459" s="318"/>
      <c r="U3459" s="318"/>
      <c r="V3459" s="318"/>
      <c r="W3459" s="318"/>
      <c r="X3459" s="318"/>
      <c r="Y3459" s="318"/>
      <c r="Z3459" s="318"/>
      <c r="AA3459" s="318"/>
      <c r="AB3459" s="318"/>
      <c r="AC3459" s="318"/>
      <c r="AD3459" s="318"/>
    </row>
    <row r="3460" spans="2:30" s="323" customFormat="1" ht="12" customHeight="1">
      <c r="B3460" s="324"/>
      <c r="C3460" s="325"/>
      <c r="D3460" s="326"/>
      <c r="E3460" s="326"/>
      <c r="F3460" s="326"/>
      <c r="G3460" s="326"/>
      <c r="H3460" s="326"/>
      <c r="P3460" s="318"/>
      <c r="Q3460" s="318"/>
      <c r="R3460" s="318"/>
      <c r="S3460" s="318"/>
      <c r="T3460" s="318"/>
      <c r="U3460" s="318"/>
      <c r="V3460" s="318"/>
      <c r="W3460" s="318"/>
      <c r="X3460" s="318"/>
      <c r="Y3460" s="318"/>
      <c r="Z3460" s="318"/>
      <c r="AA3460" s="318"/>
      <c r="AB3460" s="318"/>
      <c r="AC3460" s="318"/>
      <c r="AD3460" s="318"/>
    </row>
    <row r="3461" spans="2:30" s="323" customFormat="1" ht="12" customHeight="1">
      <c r="B3461" s="324"/>
      <c r="C3461" s="325"/>
      <c r="D3461" s="326"/>
      <c r="E3461" s="326"/>
      <c r="F3461" s="326"/>
      <c r="G3461" s="326"/>
      <c r="H3461" s="326"/>
      <c r="P3461" s="318"/>
      <c r="Q3461" s="318"/>
      <c r="R3461" s="318"/>
      <c r="S3461" s="318"/>
      <c r="T3461" s="318"/>
      <c r="U3461" s="318"/>
      <c r="V3461" s="318"/>
      <c r="W3461" s="318"/>
      <c r="X3461" s="318"/>
      <c r="Y3461" s="318"/>
      <c r="Z3461" s="318"/>
      <c r="AA3461" s="318"/>
      <c r="AB3461" s="318"/>
      <c r="AC3461" s="318"/>
      <c r="AD3461" s="318"/>
    </row>
    <row r="3462" spans="2:30" s="323" customFormat="1" ht="12" customHeight="1">
      <c r="B3462" s="324"/>
      <c r="C3462" s="325"/>
      <c r="D3462" s="326"/>
      <c r="E3462" s="326"/>
      <c r="F3462" s="326"/>
      <c r="G3462" s="326"/>
      <c r="H3462" s="326"/>
      <c r="P3462" s="318"/>
      <c r="Q3462" s="318"/>
      <c r="R3462" s="318"/>
      <c r="S3462" s="318"/>
      <c r="T3462" s="318"/>
      <c r="U3462" s="318"/>
      <c r="V3462" s="318"/>
      <c r="W3462" s="318"/>
      <c r="X3462" s="318"/>
      <c r="Y3462" s="318"/>
      <c r="Z3462" s="318"/>
      <c r="AA3462" s="318"/>
      <c r="AB3462" s="318"/>
      <c r="AC3462" s="318"/>
      <c r="AD3462" s="318"/>
    </row>
    <row r="3463" spans="2:30" s="323" customFormat="1" ht="12" customHeight="1">
      <c r="B3463" s="324"/>
      <c r="C3463" s="325"/>
      <c r="D3463" s="326"/>
      <c r="E3463" s="326"/>
      <c r="F3463" s="326"/>
      <c r="G3463" s="326"/>
      <c r="H3463" s="326"/>
      <c r="P3463" s="318"/>
      <c r="Q3463" s="318"/>
      <c r="R3463" s="318"/>
      <c r="S3463" s="318"/>
      <c r="T3463" s="318"/>
      <c r="U3463" s="318"/>
      <c r="V3463" s="318"/>
      <c r="W3463" s="318"/>
      <c r="X3463" s="318"/>
      <c r="Y3463" s="318"/>
      <c r="Z3463" s="318"/>
      <c r="AA3463" s="318"/>
      <c r="AB3463" s="318"/>
      <c r="AC3463" s="318"/>
      <c r="AD3463" s="318"/>
    </row>
    <row r="3464" spans="2:30" s="323" customFormat="1" ht="12" customHeight="1">
      <c r="B3464" s="324"/>
      <c r="C3464" s="325"/>
      <c r="D3464" s="326"/>
      <c r="E3464" s="326"/>
      <c r="F3464" s="326"/>
      <c r="G3464" s="326"/>
      <c r="H3464" s="326"/>
      <c r="P3464" s="318"/>
      <c r="Q3464" s="318"/>
      <c r="R3464" s="318"/>
      <c r="S3464" s="318"/>
      <c r="T3464" s="318"/>
      <c r="U3464" s="318"/>
      <c r="V3464" s="318"/>
      <c r="W3464" s="318"/>
      <c r="X3464" s="318"/>
      <c r="Y3464" s="318"/>
      <c r="Z3464" s="318"/>
      <c r="AA3464" s="318"/>
      <c r="AB3464" s="318"/>
      <c r="AC3464" s="318"/>
      <c r="AD3464" s="318"/>
    </row>
    <row r="3465" spans="2:30" s="323" customFormat="1" ht="12" customHeight="1">
      <c r="B3465" s="324"/>
      <c r="C3465" s="325"/>
      <c r="D3465" s="326"/>
      <c r="E3465" s="326"/>
      <c r="F3465" s="326"/>
      <c r="G3465" s="326"/>
      <c r="H3465" s="326"/>
      <c r="P3465" s="318"/>
      <c r="Q3465" s="318"/>
      <c r="R3465" s="318"/>
      <c r="S3465" s="318"/>
      <c r="T3465" s="318"/>
      <c r="U3465" s="318"/>
      <c r="V3465" s="318"/>
      <c r="W3465" s="318"/>
      <c r="X3465" s="318"/>
      <c r="Y3465" s="318"/>
      <c r="Z3465" s="318"/>
      <c r="AA3465" s="318"/>
      <c r="AB3465" s="318"/>
      <c r="AC3465" s="318"/>
      <c r="AD3465" s="318"/>
    </row>
    <row r="3466" spans="2:30" s="323" customFormat="1" ht="12" customHeight="1">
      <c r="B3466" s="324"/>
      <c r="C3466" s="325"/>
      <c r="D3466" s="326"/>
      <c r="E3466" s="326"/>
      <c r="F3466" s="326"/>
      <c r="G3466" s="326"/>
      <c r="H3466" s="326"/>
      <c r="P3466" s="318"/>
      <c r="Q3466" s="318"/>
      <c r="R3466" s="318"/>
      <c r="S3466" s="318"/>
      <c r="T3466" s="318"/>
      <c r="U3466" s="318"/>
      <c r="V3466" s="318"/>
      <c r="W3466" s="318"/>
      <c r="X3466" s="318"/>
      <c r="Y3466" s="318"/>
      <c r="Z3466" s="318"/>
      <c r="AA3466" s="318"/>
      <c r="AB3466" s="318"/>
      <c r="AC3466" s="318"/>
      <c r="AD3466" s="318"/>
    </row>
    <row r="3467" spans="2:30" s="323" customFormat="1" ht="12" customHeight="1">
      <c r="B3467" s="324"/>
      <c r="C3467" s="325"/>
      <c r="D3467" s="326"/>
      <c r="E3467" s="326"/>
      <c r="F3467" s="326"/>
      <c r="G3467" s="326"/>
      <c r="H3467" s="326"/>
      <c r="P3467" s="318"/>
      <c r="Q3467" s="318"/>
      <c r="R3467" s="318"/>
      <c r="S3467" s="318"/>
      <c r="T3467" s="318"/>
      <c r="U3467" s="318"/>
      <c r="V3467" s="318"/>
      <c r="W3467" s="318"/>
      <c r="X3467" s="318"/>
      <c r="Y3467" s="318"/>
      <c r="Z3467" s="318"/>
      <c r="AA3467" s="318"/>
      <c r="AB3467" s="318"/>
      <c r="AC3467" s="318"/>
      <c r="AD3467" s="318"/>
    </row>
    <row r="3468" spans="2:30" s="323" customFormat="1" ht="12" customHeight="1">
      <c r="B3468" s="324"/>
      <c r="C3468" s="325"/>
      <c r="D3468" s="326"/>
      <c r="E3468" s="326"/>
      <c r="F3468" s="326"/>
      <c r="G3468" s="326"/>
      <c r="H3468" s="326"/>
      <c r="P3468" s="318"/>
      <c r="Q3468" s="318"/>
      <c r="R3468" s="318"/>
      <c r="S3468" s="318"/>
      <c r="T3468" s="318"/>
      <c r="U3468" s="318"/>
      <c r="V3468" s="318"/>
      <c r="W3468" s="318"/>
      <c r="X3468" s="318"/>
      <c r="Y3468" s="318"/>
      <c r="Z3468" s="318"/>
      <c r="AA3468" s="318"/>
      <c r="AB3468" s="318"/>
      <c r="AC3468" s="318"/>
      <c r="AD3468" s="318"/>
    </row>
    <row r="3469" spans="2:30" s="323" customFormat="1" ht="12" customHeight="1">
      <c r="B3469" s="324"/>
      <c r="C3469" s="325"/>
      <c r="D3469" s="326"/>
      <c r="E3469" s="326"/>
      <c r="F3469" s="326"/>
      <c r="G3469" s="326"/>
      <c r="H3469" s="326"/>
      <c r="P3469" s="318"/>
      <c r="Q3469" s="318"/>
      <c r="R3469" s="318"/>
      <c r="S3469" s="318"/>
      <c r="T3469" s="318"/>
      <c r="U3469" s="318"/>
      <c r="V3469" s="318"/>
      <c r="W3469" s="318"/>
      <c r="X3469" s="318"/>
      <c r="Y3469" s="318"/>
      <c r="Z3469" s="318"/>
      <c r="AA3469" s="318"/>
      <c r="AB3469" s="318"/>
      <c r="AC3469" s="318"/>
      <c r="AD3469" s="318"/>
    </row>
    <row r="3470" spans="2:30" s="323" customFormat="1" ht="12" customHeight="1">
      <c r="B3470" s="324"/>
      <c r="C3470" s="325"/>
      <c r="D3470" s="326"/>
      <c r="E3470" s="326"/>
      <c r="F3470" s="326"/>
      <c r="G3470" s="326"/>
      <c r="H3470" s="326"/>
      <c r="P3470" s="318"/>
      <c r="Q3470" s="318"/>
      <c r="R3470" s="318"/>
      <c r="S3470" s="318"/>
      <c r="T3470" s="318"/>
      <c r="U3470" s="318"/>
      <c r="V3470" s="318"/>
      <c r="W3470" s="318"/>
      <c r="X3470" s="318"/>
      <c r="Y3470" s="318"/>
      <c r="Z3470" s="318"/>
      <c r="AA3470" s="318"/>
      <c r="AB3470" s="318"/>
      <c r="AC3470" s="318"/>
      <c r="AD3470" s="318"/>
    </row>
    <row r="3471" spans="2:30" s="323" customFormat="1" ht="12" customHeight="1">
      <c r="B3471" s="324"/>
      <c r="C3471" s="325"/>
      <c r="D3471" s="326"/>
      <c r="E3471" s="326"/>
      <c r="F3471" s="326"/>
      <c r="G3471" s="326"/>
      <c r="H3471" s="326"/>
      <c r="P3471" s="318"/>
      <c r="Q3471" s="318"/>
      <c r="R3471" s="318"/>
      <c r="S3471" s="318"/>
      <c r="T3471" s="318"/>
      <c r="U3471" s="318"/>
      <c r="V3471" s="318"/>
      <c r="W3471" s="318"/>
      <c r="X3471" s="318"/>
      <c r="Y3471" s="318"/>
      <c r="Z3471" s="318"/>
      <c r="AA3471" s="318"/>
      <c r="AB3471" s="318"/>
      <c r="AC3471" s="318"/>
      <c r="AD3471" s="318"/>
    </row>
    <row r="3472" spans="2:30" s="323" customFormat="1" ht="12" customHeight="1">
      <c r="B3472" s="324"/>
      <c r="C3472" s="325"/>
      <c r="D3472" s="326"/>
      <c r="E3472" s="326"/>
      <c r="F3472" s="326"/>
      <c r="G3472" s="326"/>
      <c r="H3472" s="326"/>
      <c r="P3472" s="318"/>
      <c r="Q3472" s="318"/>
      <c r="R3472" s="318"/>
      <c r="S3472" s="318"/>
      <c r="T3472" s="318"/>
      <c r="U3472" s="318"/>
      <c r="V3472" s="318"/>
      <c r="W3472" s="318"/>
      <c r="X3472" s="318"/>
      <c r="Y3472" s="318"/>
      <c r="Z3472" s="318"/>
      <c r="AA3472" s="318"/>
      <c r="AB3472" s="318"/>
      <c r="AC3472" s="318"/>
      <c r="AD3472" s="318"/>
    </row>
    <row r="3473" spans="2:30" s="323" customFormat="1" ht="12" customHeight="1">
      <c r="B3473" s="324"/>
      <c r="C3473" s="325"/>
      <c r="D3473" s="326"/>
      <c r="E3473" s="326"/>
      <c r="F3473" s="326"/>
      <c r="G3473" s="326"/>
      <c r="H3473" s="326"/>
      <c r="P3473" s="318"/>
      <c r="Q3473" s="318"/>
      <c r="R3473" s="318"/>
      <c r="S3473" s="318"/>
      <c r="T3473" s="318"/>
      <c r="U3473" s="318"/>
      <c r="V3473" s="318"/>
      <c r="W3473" s="318"/>
      <c r="X3473" s="318"/>
      <c r="Y3473" s="318"/>
      <c r="Z3473" s="318"/>
      <c r="AA3473" s="318"/>
      <c r="AB3473" s="318"/>
      <c r="AC3473" s="318"/>
      <c r="AD3473" s="318"/>
    </row>
    <row r="3474" spans="2:30" s="323" customFormat="1" ht="12" customHeight="1">
      <c r="B3474" s="324"/>
      <c r="C3474" s="325"/>
      <c r="D3474" s="326"/>
      <c r="E3474" s="326"/>
      <c r="F3474" s="326"/>
      <c r="G3474" s="326"/>
      <c r="H3474" s="326"/>
      <c r="P3474" s="318"/>
      <c r="Q3474" s="318"/>
      <c r="R3474" s="318"/>
      <c r="S3474" s="318"/>
      <c r="T3474" s="318"/>
      <c r="U3474" s="318"/>
      <c r="V3474" s="318"/>
      <c r="W3474" s="318"/>
      <c r="X3474" s="318"/>
      <c r="Y3474" s="318"/>
      <c r="Z3474" s="318"/>
      <c r="AA3474" s="318"/>
      <c r="AB3474" s="318"/>
      <c r="AC3474" s="318"/>
      <c r="AD3474" s="318"/>
    </row>
    <row r="3475" spans="2:30" s="323" customFormat="1" ht="12" customHeight="1">
      <c r="B3475" s="324"/>
      <c r="C3475" s="325"/>
      <c r="D3475" s="326"/>
      <c r="E3475" s="326"/>
      <c r="F3475" s="326"/>
      <c r="G3475" s="326"/>
      <c r="H3475" s="326"/>
      <c r="P3475" s="318"/>
      <c r="Q3475" s="318"/>
      <c r="R3475" s="318"/>
      <c r="S3475" s="318"/>
      <c r="T3475" s="318"/>
      <c r="U3475" s="318"/>
      <c r="V3475" s="318"/>
      <c r="W3475" s="318"/>
      <c r="X3475" s="318"/>
      <c r="Y3475" s="318"/>
      <c r="Z3475" s="318"/>
      <c r="AA3475" s="318"/>
      <c r="AB3475" s="318"/>
      <c r="AC3475" s="318"/>
      <c r="AD3475" s="318"/>
    </row>
    <row r="3476" spans="2:30" s="323" customFormat="1" ht="12" customHeight="1">
      <c r="B3476" s="324"/>
      <c r="C3476" s="325"/>
      <c r="D3476" s="326"/>
      <c r="E3476" s="326"/>
      <c r="F3476" s="326"/>
      <c r="G3476" s="326"/>
      <c r="H3476" s="326"/>
      <c r="P3476" s="318"/>
      <c r="Q3476" s="318"/>
      <c r="R3476" s="318"/>
      <c r="S3476" s="318"/>
      <c r="T3476" s="318"/>
      <c r="U3476" s="318"/>
      <c r="V3476" s="318"/>
      <c r="W3476" s="318"/>
      <c r="X3476" s="318"/>
      <c r="Y3476" s="318"/>
      <c r="Z3476" s="318"/>
      <c r="AA3476" s="318"/>
      <c r="AB3476" s="318"/>
      <c r="AC3476" s="318"/>
      <c r="AD3476" s="318"/>
    </row>
    <row r="3477" spans="2:30" s="323" customFormat="1" ht="12" customHeight="1">
      <c r="B3477" s="324"/>
      <c r="C3477" s="325"/>
      <c r="D3477" s="326"/>
      <c r="E3477" s="326"/>
      <c r="F3477" s="326"/>
      <c r="G3477" s="326"/>
      <c r="H3477" s="326"/>
      <c r="P3477" s="318"/>
      <c r="Q3477" s="318"/>
      <c r="R3477" s="318"/>
      <c r="S3477" s="318"/>
      <c r="T3477" s="318"/>
      <c r="U3477" s="318"/>
      <c r="V3477" s="318"/>
      <c r="W3477" s="318"/>
      <c r="X3477" s="318"/>
      <c r="Y3477" s="318"/>
      <c r="Z3477" s="318"/>
      <c r="AA3477" s="318"/>
      <c r="AB3477" s="318"/>
      <c r="AC3477" s="318"/>
      <c r="AD3477" s="318"/>
    </row>
    <row r="3478" spans="2:30" s="323" customFormat="1" ht="12" customHeight="1">
      <c r="B3478" s="324"/>
      <c r="C3478" s="325"/>
      <c r="D3478" s="326"/>
      <c r="E3478" s="326"/>
      <c r="F3478" s="326"/>
      <c r="G3478" s="326"/>
      <c r="H3478" s="326"/>
      <c r="P3478" s="318"/>
      <c r="Q3478" s="318"/>
      <c r="R3478" s="318"/>
      <c r="S3478" s="318"/>
      <c r="T3478" s="318"/>
      <c r="U3478" s="318"/>
      <c r="V3478" s="318"/>
      <c r="W3478" s="318"/>
      <c r="X3478" s="318"/>
      <c r="Y3478" s="318"/>
      <c r="Z3478" s="318"/>
      <c r="AA3478" s="318"/>
      <c r="AB3478" s="318"/>
      <c r="AC3478" s="318"/>
      <c r="AD3478" s="318"/>
    </row>
    <row r="3479" spans="2:30" s="323" customFormat="1" ht="12" customHeight="1">
      <c r="B3479" s="324"/>
      <c r="C3479" s="325"/>
      <c r="D3479" s="326"/>
      <c r="E3479" s="326"/>
      <c r="F3479" s="326"/>
      <c r="G3479" s="326"/>
      <c r="H3479" s="326"/>
      <c r="P3479" s="318"/>
      <c r="Q3479" s="318"/>
      <c r="R3479" s="318"/>
      <c r="S3479" s="318"/>
      <c r="T3479" s="318"/>
      <c r="U3479" s="318"/>
      <c r="V3479" s="318"/>
      <c r="W3479" s="318"/>
      <c r="X3479" s="318"/>
      <c r="Y3479" s="318"/>
      <c r="Z3479" s="318"/>
      <c r="AA3479" s="318"/>
      <c r="AB3479" s="318"/>
      <c r="AC3479" s="318"/>
      <c r="AD3479" s="318"/>
    </row>
    <row r="3480" spans="2:30" s="323" customFormat="1" ht="12" customHeight="1">
      <c r="B3480" s="324"/>
      <c r="C3480" s="325"/>
      <c r="D3480" s="326"/>
      <c r="E3480" s="326"/>
      <c r="F3480" s="326"/>
      <c r="G3480" s="326"/>
      <c r="H3480" s="326"/>
      <c r="P3480" s="318"/>
      <c r="Q3480" s="318"/>
      <c r="R3480" s="318"/>
      <c r="S3480" s="318"/>
      <c r="T3480" s="318"/>
      <c r="U3480" s="318"/>
      <c r="V3480" s="318"/>
      <c r="W3480" s="318"/>
      <c r="X3480" s="318"/>
      <c r="Y3480" s="318"/>
      <c r="Z3480" s="318"/>
      <c r="AA3480" s="318"/>
      <c r="AB3480" s="318"/>
      <c r="AC3480" s="318"/>
      <c r="AD3480" s="318"/>
    </row>
    <row r="3481" spans="2:30" s="323" customFormat="1" ht="12" customHeight="1">
      <c r="B3481" s="324"/>
      <c r="C3481" s="325"/>
      <c r="D3481" s="326"/>
      <c r="E3481" s="326"/>
      <c r="F3481" s="326"/>
      <c r="G3481" s="326"/>
      <c r="H3481" s="326"/>
      <c r="P3481" s="318"/>
      <c r="Q3481" s="318"/>
      <c r="R3481" s="318"/>
      <c r="S3481" s="318"/>
      <c r="T3481" s="318"/>
      <c r="U3481" s="318"/>
      <c r="V3481" s="318"/>
      <c r="W3481" s="318"/>
      <c r="X3481" s="318"/>
      <c r="Y3481" s="318"/>
      <c r="Z3481" s="318"/>
      <c r="AA3481" s="318"/>
      <c r="AB3481" s="318"/>
      <c r="AC3481" s="318"/>
      <c r="AD3481" s="318"/>
    </row>
    <row r="3482" spans="2:30" s="323" customFormat="1" ht="12" customHeight="1">
      <c r="B3482" s="324"/>
      <c r="C3482" s="325"/>
      <c r="D3482" s="326"/>
      <c r="E3482" s="326"/>
      <c r="F3482" s="326"/>
      <c r="G3482" s="326"/>
      <c r="H3482" s="326"/>
      <c r="P3482" s="318"/>
      <c r="Q3482" s="318"/>
      <c r="R3482" s="318"/>
      <c r="S3482" s="318"/>
      <c r="T3482" s="318"/>
      <c r="U3482" s="318"/>
      <c r="V3482" s="318"/>
      <c r="W3482" s="318"/>
      <c r="X3482" s="318"/>
      <c r="Y3482" s="318"/>
      <c r="Z3482" s="318"/>
      <c r="AA3482" s="318"/>
      <c r="AB3482" s="318"/>
      <c r="AC3482" s="318"/>
      <c r="AD3482" s="318"/>
    </row>
    <row r="3483" spans="2:30" s="323" customFormat="1" ht="12" customHeight="1">
      <c r="B3483" s="324"/>
      <c r="C3483" s="325"/>
      <c r="D3483" s="326"/>
      <c r="E3483" s="326"/>
      <c r="F3483" s="326"/>
      <c r="G3483" s="326"/>
      <c r="H3483" s="326"/>
      <c r="P3483" s="318"/>
      <c r="Q3483" s="318"/>
      <c r="R3483" s="318"/>
      <c r="S3483" s="318"/>
      <c r="T3483" s="318"/>
      <c r="U3483" s="318"/>
      <c r="V3483" s="318"/>
      <c r="W3483" s="318"/>
      <c r="X3483" s="318"/>
      <c r="Y3483" s="318"/>
      <c r="Z3483" s="318"/>
      <c r="AA3483" s="318"/>
      <c r="AB3483" s="318"/>
      <c r="AC3483" s="318"/>
      <c r="AD3483" s="318"/>
    </row>
    <row r="3484" spans="2:30" s="323" customFormat="1" ht="12" customHeight="1">
      <c r="B3484" s="324"/>
      <c r="C3484" s="325"/>
      <c r="D3484" s="326"/>
      <c r="E3484" s="326"/>
      <c r="F3484" s="326"/>
      <c r="G3484" s="326"/>
      <c r="H3484" s="326"/>
      <c r="P3484" s="318"/>
      <c r="Q3484" s="318"/>
      <c r="R3484" s="318"/>
      <c r="S3484" s="318"/>
      <c r="T3484" s="318"/>
      <c r="U3484" s="318"/>
      <c r="V3484" s="318"/>
      <c r="W3484" s="318"/>
      <c r="X3484" s="318"/>
      <c r="Y3484" s="318"/>
      <c r="Z3484" s="318"/>
      <c r="AA3484" s="318"/>
      <c r="AB3484" s="318"/>
      <c r="AC3484" s="318"/>
      <c r="AD3484" s="318"/>
    </row>
    <row r="3485" spans="2:30" s="323" customFormat="1" ht="12" customHeight="1">
      <c r="B3485" s="324"/>
      <c r="C3485" s="325"/>
      <c r="D3485" s="326"/>
      <c r="E3485" s="326"/>
      <c r="F3485" s="326"/>
      <c r="G3485" s="326"/>
      <c r="H3485" s="326"/>
      <c r="P3485" s="318"/>
      <c r="Q3485" s="318"/>
      <c r="R3485" s="318"/>
      <c r="S3485" s="318"/>
      <c r="T3485" s="318"/>
      <c r="U3485" s="318"/>
      <c r="V3485" s="318"/>
      <c r="W3485" s="318"/>
      <c r="X3485" s="318"/>
      <c r="Y3485" s="318"/>
      <c r="Z3485" s="318"/>
      <c r="AA3485" s="318"/>
      <c r="AB3485" s="318"/>
      <c r="AC3485" s="318"/>
      <c r="AD3485" s="318"/>
    </row>
    <row r="3486" spans="2:30" s="323" customFormat="1" ht="12" customHeight="1">
      <c r="B3486" s="324"/>
      <c r="C3486" s="325"/>
      <c r="D3486" s="326"/>
      <c r="E3486" s="326"/>
      <c r="F3486" s="326"/>
      <c r="G3486" s="326"/>
      <c r="H3486" s="326"/>
      <c r="P3486" s="318"/>
      <c r="Q3486" s="318"/>
      <c r="R3486" s="318"/>
      <c r="S3486" s="318"/>
      <c r="T3486" s="318"/>
      <c r="U3486" s="318"/>
      <c r="V3486" s="318"/>
      <c r="W3486" s="318"/>
      <c r="X3486" s="318"/>
      <c r="Y3486" s="318"/>
      <c r="Z3486" s="318"/>
      <c r="AA3486" s="318"/>
      <c r="AB3486" s="318"/>
      <c r="AC3486" s="318"/>
      <c r="AD3486" s="318"/>
    </row>
    <row r="3487" spans="2:30" s="323" customFormat="1" ht="12" customHeight="1">
      <c r="B3487" s="324"/>
      <c r="C3487" s="325"/>
      <c r="D3487" s="326"/>
      <c r="E3487" s="326"/>
      <c r="F3487" s="326"/>
      <c r="G3487" s="326"/>
      <c r="H3487" s="326"/>
      <c r="P3487" s="318"/>
      <c r="Q3487" s="318"/>
      <c r="R3487" s="318"/>
      <c r="S3487" s="318"/>
      <c r="T3487" s="318"/>
      <c r="U3487" s="318"/>
      <c r="V3487" s="318"/>
      <c r="W3487" s="318"/>
      <c r="X3487" s="318"/>
      <c r="Y3487" s="318"/>
      <c r="Z3487" s="318"/>
      <c r="AA3487" s="318"/>
      <c r="AB3487" s="318"/>
      <c r="AC3487" s="318"/>
      <c r="AD3487" s="318"/>
    </row>
    <row r="3488" spans="2:30" s="323" customFormat="1" ht="12" customHeight="1">
      <c r="B3488" s="324"/>
      <c r="C3488" s="325"/>
      <c r="D3488" s="326"/>
      <c r="E3488" s="326"/>
      <c r="F3488" s="326"/>
      <c r="G3488" s="326"/>
      <c r="H3488" s="326"/>
      <c r="P3488" s="318"/>
      <c r="Q3488" s="318"/>
      <c r="R3488" s="318"/>
      <c r="S3488" s="318"/>
      <c r="T3488" s="318"/>
      <c r="U3488" s="318"/>
      <c r="V3488" s="318"/>
      <c r="W3488" s="318"/>
      <c r="X3488" s="318"/>
      <c r="Y3488" s="318"/>
      <c r="Z3488" s="318"/>
      <c r="AA3488" s="318"/>
      <c r="AB3488" s="318"/>
      <c r="AC3488" s="318"/>
      <c r="AD3488" s="318"/>
    </row>
    <row r="3489" spans="2:30" s="323" customFormat="1" ht="12" customHeight="1">
      <c r="B3489" s="324"/>
      <c r="C3489" s="325"/>
      <c r="D3489" s="326"/>
      <c r="E3489" s="326"/>
      <c r="F3489" s="326"/>
      <c r="G3489" s="326"/>
      <c r="H3489" s="326"/>
      <c r="P3489" s="318"/>
      <c r="Q3489" s="318"/>
      <c r="R3489" s="318"/>
      <c r="S3489" s="318"/>
      <c r="T3489" s="318"/>
      <c r="U3489" s="318"/>
      <c r="V3489" s="318"/>
      <c r="W3489" s="318"/>
      <c r="X3489" s="318"/>
      <c r="Y3489" s="318"/>
      <c r="Z3489" s="318"/>
      <c r="AA3489" s="318"/>
      <c r="AB3489" s="318"/>
      <c r="AC3489" s="318"/>
      <c r="AD3489" s="318"/>
    </row>
    <row r="3490" spans="2:30" s="323" customFormat="1" ht="12" customHeight="1">
      <c r="B3490" s="324"/>
      <c r="C3490" s="325"/>
      <c r="D3490" s="326"/>
      <c r="E3490" s="326"/>
      <c r="F3490" s="326"/>
      <c r="G3490" s="326"/>
      <c r="H3490" s="326"/>
      <c r="P3490" s="318"/>
      <c r="Q3490" s="318"/>
      <c r="R3490" s="318"/>
      <c r="S3490" s="318"/>
      <c r="T3490" s="318"/>
      <c r="U3490" s="318"/>
      <c r="V3490" s="318"/>
      <c r="W3490" s="318"/>
      <c r="X3490" s="318"/>
      <c r="Y3490" s="318"/>
      <c r="Z3490" s="318"/>
      <c r="AA3490" s="318"/>
      <c r="AB3490" s="318"/>
      <c r="AC3490" s="318"/>
      <c r="AD3490" s="318"/>
    </row>
    <row r="3491" spans="2:30" s="323" customFormat="1" ht="12" customHeight="1">
      <c r="B3491" s="324"/>
      <c r="C3491" s="325"/>
      <c r="D3491" s="326"/>
      <c r="E3491" s="326"/>
      <c r="F3491" s="326"/>
      <c r="G3491" s="326"/>
      <c r="H3491" s="326"/>
      <c r="P3491" s="318"/>
      <c r="Q3491" s="318"/>
      <c r="R3491" s="318"/>
      <c r="S3491" s="318"/>
      <c r="T3491" s="318"/>
      <c r="U3491" s="318"/>
      <c r="V3491" s="318"/>
      <c r="W3491" s="318"/>
      <c r="X3491" s="318"/>
      <c r="Y3491" s="318"/>
      <c r="Z3491" s="318"/>
      <c r="AA3491" s="318"/>
      <c r="AB3491" s="318"/>
      <c r="AC3491" s="318"/>
      <c r="AD3491" s="318"/>
    </row>
    <row r="3492" spans="2:30" s="323" customFormat="1" ht="12" customHeight="1">
      <c r="B3492" s="324"/>
      <c r="C3492" s="325"/>
      <c r="D3492" s="326"/>
      <c r="E3492" s="326"/>
      <c r="F3492" s="326"/>
      <c r="G3492" s="326"/>
      <c r="H3492" s="326"/>
      <c r="P3492" s="318"/>
      <c r="Q3492" s="318"/>
      <c r="R3492" s="318"/>
      <c r="S3492" s="318"/>
      <c r="T3492" s="318"/>
      <c r="U3492" s="318"/>
      <c r="V3492" s="318"/>
      <c r="W3492" s="318"/>
      <c r="X3492" s="318"/>
      <c r="Y3492" s="318"/>
      <c r="Z3492" s="318"/>
      <c r="AA3492" s="318"/>
      <c r="AB3492" s="318"/>
      <c r="AC3492" s="318"/>
      <c r="AD3492" s="318"/>
    </row>
    <row r="3493" spans="2:30" s="323" customFormat="1" ht="12" customHeight="1">
      <c r="B3493" s="324"/>
      <c r="C3493" s="325"/>
      <c r="D3493" s="326"/>
      <c r="E3493" s="326"/>
      <c r="F3493" s="326"/>
      <c r="G3493" s="326"/>
      <c r="H3493" s="326"/>
      <c r="P3493" s="318"/>
      <c r="Q3493" s="318"/>
      <c r="R3493" s="318"/>
      <c r="S3493" s="318"/>
      <c r="T3493" s="318"/>
      <c r="U3493" s="318"/>
      <c r="V3493" s="318"/>
      <c r="W3493" s="318"/>
      <c r="X3493" s="318"/>
      <c r="Y3493" s="318"/>
      <c r="Z3493" s="318"/>
      <c r="AA3493" s="318"/>
      <c r="AB3493" s="318"/>
      <c r="AC3493" s="318"/>
      <c r="AD3493" s="318"/>
    </row>
    <row r="3494" spans="2:30" s="323" customFormat="1" ht="12" customHeight="1">
      <c r="B3494" s="324"/>
      <c r="C3494" s="325"/>
      <c r="D3494" s="326"/>
      <c r="E3494" s="326"/>
      <c r="F3494" s="326"/>
      <c r="G3494" s="326"/>
      <c r="H3494" s="326"/>
      <c r="P3494" s="318"/>
      <c r="Q3494" s="318"/>
      <c r="R3494" s="318"/>
      <c r="S3494" s="318"/>
      <c r="T3494" s="318"/>
      <c r="U3494" s="318"/>
      <c r="V3494" s="318"/>
      <c r="W3494" s="318"/>
      <c r="X3494" s="318"/>
      <c r="Y3494" s="318"/>
      <c r="Z3494" s="318"/>
      <c r="AA3494" s="318"/>
      <c r="AB3494" s="318"/>
      <c r="AC3494" s="318"/>
      <c r="AD3494" s="318"/>
    </row>
    <row r="3495" spans="2:30" s="323" customFormat="1" ht="12" customHeight="1">
      <c r="B3495" s="324"/>
      <c r="C3495" s="325"/>
      <c r="D3495" s="326"/>
      <c r="E3495" s="326"/>
      <c r="F3495" s="326"/>
      <c r="G3495" s="326"/>
      <c r="H3495" s="326"/>
      <c r="P3495" s="318"/>
      <c r="Q3495" s="318"/>
      <c r="R3495" s="318"/>
      <c r="S3495" s="318"/>
      <c r="T3495" s="318"/>
      <c r="U3495" s="318"/>
      <c r="V3495" s="318"/>
      <c r="W3495" s="318"/>
      <c r="X3495" s="318"/>
      <c r="Y3495" s="318"/>
      <c r="Z3495" s="318"/>
      <c r="AA3495" s="318"/>
      <c r="AB3495" s="318"/>
      <c r="AC3495" s="318"/>
      <c r="AD3495" s="318"/>
    </row>
    <row r="3496" spans="2:30" s="323" customFormat="1" ht="12" customHeight="1">
      <c r="B3496" s="324"/>
      <c r="C3496" s="325"/>
      <c r="D3496" s="326"/>
      <c r="E3496" s="326"/>
      <c r="F3496" s="326"/>
      <c r="G3496" s="326"/>
      <c r="H3496" s="326"/>
      <c r="P3496" s="318"/>
      <c r="Q3496" s="318"/>
      <c r="R3496" s="318"/>
      <c r="S3496" s="318"/>
      <c r="T3496" s="318"/>
      <c r="U3496" s="318"/>
      <c r="V3496" s="318"/>
      <c r="W3496" s="318"/>
      <c r="X3496" s="318"/>
      <c r="Y3496" s="318"/>
      <c r="Z3496" s="318"/>
      <c r="AA3496" s="318"/>
      <c r="AB3496" s="318"/>
      <c r="AC3496" s="318"/>
      <c r="AD3496" s="318"/>
    </row>
    <row r="3497" spans="2:30" s="323" customFormat="1" ht="12" customHeight="1">
      <c r="B3497" s="324"/>
      <c r="C3497" s="325"/>
      <c r="D3497" s="326"/>
      <c r="E3497" s="326"/>
      <c r="F3497" s="326"/>
      <c r="G3497" s="326"/>
      <c r="H3497" s="326"/>
      <c r="P3497" s="318"/>
      <c r="Q3497" s="318"/>
      <c r="R3497" s="318"/>
      <c r="S3497" s="318"/>
      <c r="T3497" s="318"/>
      <c r="U3497" s="318"/>
      <c r="V3497" s="318"/>
      <c r="W3497" s="318"/>
      <c r="X3497" s="318"/>
      <c r="Y3497" s="318"/>
      <c r="Z3497" s="318"/>
      <c r="AA3497" s="318"/>
      <c r="AB3497" s="318"/>
      <c r="AC3497" s="318"/>
      <c r="AD3497" s="318"/>
    </row>
    <row r="3498" spans="2:30" s="323" customFormat="1" ht="12" customHeight="1">
      <c r="B3498" s="324"/>
      <c r="C3498" s="325"/>
      <c r="D3498" s="326"/>
      <c r="E3498" s="326"/>
      <c r="F3498" s="326"/>
      <c r="G3498" s="326"/>
      <c r="H3498" s="326"/>
      <c r="P3498" s="318"/>
      <c r="Q3498" s="318"/>
      <c r="R3498" s="318"/>
      <c r="S3498" s="318"/>
      <c r="T3498" s="318"/>
      <c r="U3498" s="318"/>
      <c r="V3498" s="318"/>
      <c r="W3498" s="318"/>
      <c r="X3498" s="318"/>
      <c r="Y3498" s="318"/>
      <c r="Z3498" s="318"/>
      <c r="AA3498" s="318"/>
      <c r="AB3498" s="318"/>
      <c r="AC3498" s="318"/>
      <c r="AD3498" s="318"/>
    </row>
    <row r="3499" spans="2:30" s="323" customFormat="1" ht="12" customHeight="1">
      <c r="B3499" s="324"/>
      <c r="C3499" s="325"/>
      <c r="D3499" s="326"/>
      <c r="E3499" s="326"/>
      <c r="F3499" s="326"/>
      <c r="G3499" s="326"/>
      <c r="H3499" s="326"/>
      <c r="P3499" s="318"/>
      <c r="Q3499" s="318"/>
      <c r="R3499" s="318"/>
      <c r="S3499" s="318"/>
      <c r="T3499" s="318"/>
      <c r="U3499" s="318"/>
      <c r="V3499" s="318"/>
      <c r="W3499" s="318"/>
      <c r="X3499" s="318"/>
      <c r="Y3499" s="318"/>
      <c r="Z3499" s="318"/>
      <c r="AA3499" s="318"/>
      <c r="AB3499" s="318"/>
      <c r="AC3499" s="318"/>
      <c r="AD3499" s="318"/>
    </row>
    <row r="3500" spans="2:30" s="323" customFormat="1" ht="12" customHeight="1">
      <c r="B3500" s="324"/>
      <c r="C3500" s="325"/>
      <c r="D3500" s="326"/>
      <c r="E3500" s="326"/>
      <c r="F3500" s="326"/>
      <c r="G3500" s="326"/>
      <c r="H3500" s="326"/>
      <c r="P3500" s="318"/>
      <c r="Q3500" s="318"/>
      <c r="R3500" s="318"/>
      <c r="S3500" s="318"/>
      <c r="T3500" s="318"/>
      <c r="U3500" s="318"/>
      <c r="V3500" s="318"/>
      <c r="W3500" s="318"/>
      <c r="X3500" s="318"/>
      <c r="Y3500" s="318"/>
      <c r="Z3500" s="318"/>
      <c r="AA3500" s="318"/>
      <c r="AB3500" s="318"/>
      <c r="AC3500" s="318"/>
      <c r="AD3500" s="318"/>
    </row>
    <row r="3501" spans="2:30" s="323" customFormat="1" ht="12" customHeight="1">
      <c r="B3501" s="324"/>
      <c r="C3501" s="325"/>
      <c r="D3501" s="326"/>
      <c r="E3501" s="326"/>
      <c r="F3501" s="326"/>
      <c r="G3501" s="326"/>
      <c r="H3501" s="326"/>
      <c r="P3501" s="318"/>
      <c r="Q3501" s="318"/>
      <c r="R3501" s="318"/>
      <c r="S3501" s="318"/>
      <c r="T3501" s="318"/>
      <c r="U3501" s="318"/>
      <c r="V3501" s="318"/>
      <c r="W3501" s="318"/>
      <c r="X3501" s="318"/>
      <c r="Y3501" s="318"/>
      <c r="Z3501" s="318"/>
      <c r="AA3501" s="318"/>
      <c r="AB3501" s="318"/>
      <c r="AC3501" s="318"/>
      <c r="AD3501" s="318"/>
    </row>
    <row r="3502" spans="2:30" s="323" customFormat="1" ht="12" customHeight="1">
      <c r="B3502" s="324"/>
      <c r="C3502" s="325"/>
      <c r="D3502" s="326"/>
      <c r="E3502" s="326"/>
      <c r="F3502" s="326"/>
      <c r="G3502" s="326"/>
      <c r="H3502" s="326"/>
      <c r="P3502" s="318"/>
      <c r="Q3502" s="318"/>
      <c r="R3502" s="318"/>
      <c r="S3502" s="318"/>
      <c r="T3502" s="318"/>
      <c r="U3502" s="318"/>
      <c r="V3502" s="318"/>
      <c r="W3502" s="318"/>
      <c r="X3502" s="318"/>
      <c r="Y3502" s="318"/>
      <c r="Z3502" s="318"/>
      <c r="AA3502" s="318"/>
      <c r="AB3502" s="318"/>
      <c r="AC3502" s="318"/>
      <c r="AD3502" s="318"/>
    </row>
    <row r="3503" spans="2:30" s="323" customFormat="1" ht="12" customHeight="1">
      <c r="B3503" s="324"/>
      <c r="C3503" s="325"/>
      <c r="D3503" s="326"/>
      <c r="E3503" s="326"/>
      <c r="F3503" s="326"/>
      <c r="G3503" s="326"/>
      <c r="H3503" s="326"/>
      <c r="P3503" s="318"/>
      <c r="Q3503" s="318"/>
      <c r="R3503" s="318"/>
      <c r="S3503" s="318"/>
      <c r="T3503" s="318"/>
      <c r="U3503" s="318"/>
      <c r="V3503" s="318"/>
      <c r="W3503" s="318"/>
      <c r="X3503" s="318"/>
      <c r="Y3503" s="318"/>
      <c r="Z3503" s="318"/>
      <c r="AA3503" s="318"/>
      <c r="AB3503" s="318"/>
      <c r="AC3503" s="318"/>
      <c r="AD3503" s="318"/>
    </row>
    <row r="3504" spans="2:30" s="323" customFormat="1" ht="12" customHeight="1">
      <c r="B3504" s="324"/>
      <c r="C3504" s="325"/>
      <c r="D3504" s="326"/>
      <c r="E3504" s="326"/>
      <c r="F3504" s="326"/>
      <c r="G3504" s="326"/>
      <c r="H3504" s="326"/>
      <c r="P3504" s="318"/>
      <c r="Q3504" s="318"/>
      <c r="R3504" s="318"/>
      <c r="S3504" s="318"/>
      <c r="T3504" s="318"/>
      <c r="U3504" s="318"/>
      <c r="V3504" s="318"/>
      <c r="W3504" s="318"/>
      <c r="X3504" s="318"/>
      <c r="Y3504" s="318"/>
      <c r="Z3504" s="318"/>
      <c r="AA3504" s="318"/>
      <c r="AB3504" s="318"/>
      <c r="AC3504" s="318"/>
      <c r="AD3504" s="318"/>
    </row>
    <row r="3505" spans="2:30" s="323" customFormat="1" ht="12" customHeight="1">
      <c r="B3505" s="324"/>
      <c r="C3505" s="325"/>
      <c r="D3505" s="326"/>
      <c r="E3505" s="326"/>
      <c r="F3505" s="326"/>
      <c r="G3505" s="326"/>
      <c r="H3505" s="326"/>
      <c r="P3505" s="318"/>
      <c r="Q3505" s="318"/>
      <c r="R3505" s="318"/>
      <c r="S3505" s="318"/>
      <c r="T3505" s="318"/>
      <c r="U3505" s="318"/>
      <c r="V3505" s="318"/>
      <c r="W3505" s="318"/>
      <c r="X3505" s="318"/>
      <c r="Y3505" s="318"/>
      <c r="Z3505" s="318"/>
      <c r="AA3505" s="318"/>
      <c r="AB3505" s="318"/>
      <c r="AC3505" s="318"/>
      <c r="AD3505" s="318"/>
    </row>
    <row r="3506" spans="2:30" s="323" customFormat="1" ht="12" customHeight="1">
      <c r="B3506" s="324"/>
      <c r="C3506" s="325"/>
      <c r="D3506" s="326"/>
      <c r="E3506" s="326"/>
      <c r="F3506" s="326"/>
      <c r="G3506" s="326"/>
      <c r="H3506" s="326"/>
      <c r="P3506" s="318"/>
      <c r="Q3506" s="318"/>
      <c r="R3506" s="318"/>
      <c r="S3506" s="318"/>
      <c r="T3506" s="318"/>
      <c r="U3506" s="318"/>
      <c r="V3506" s="318"/>
      <c r="W3506" s="318"/>
      <c r="X3506" s="318"/>
      <c r="Y3506" s="318"/>
      <c r="Z3506" s="318"/>
      <c r="AA3506" s="318"/>
      <c r="AB3506" s="318"/>
      <c r="AC3506" s="318"/>
      <c r="AD3506" s="318"/>
    </row>
    <row r="3507" spans="2:30" s="323" customFormat="1" ht="12" customHeight="1">
      <c r="B3507" s="324"/>
      <c r="C3507" s="325"/>
      <c r="D3507" s="326"/>
      <c r="E3507" s="326"/>
      <c r="F3507" s="326"/>
      <c r="G3507" s="326"/>
      <c r="H3507" s="326"/>
      <c r="P3507" s="318"/>
      <c r="Q3507" s="318"/>
      <c r="R3507" s="318"/>
      <c r="S3507" s="318"/>
      <c r="T3507" s="318"/>
      <c r="U3507" s="318"/>
      <c r="V3507" s="318"/>
      <c r="W3507" s="318"/>
      <c r="X3507" s="318"/>
      <c r="Y3507" s="318"/>
      <c r="Z3507" s="318"/>
      <c r="AA3507" s="318"/>
      <c r="AB3507" s="318"/>
      <c r="AC3507" s="318"/>
      <c r="AD3507" s="318"/>
    </row>
    <row r="3508" spans="2:30" s="323" customFormat="1" ht="12" customHeight="1">
      <c r="B3508" s="324"/>
      <c r="C3508" s="325"/>
      <c r="D3508" s="326"/>
      <c r="E3508" s="326"/>
      <c r="F3508" s="326"/>
      <c r="G3508" s="326"/>
      <c r="H3508" s="326"/>
      <c r="P3508" s="318"/>
      <c r="Q3508" s="318"/>
      <c r="R3508" s="318"/>
      <c r="S3508" s="318"/>
      <c r="T3508" s="318"/>
      <c r="U3508" s="318"/>
      <c r="V3508" s="318"/>
      <c r="W3508" s="318"/>
      <c r="X3508" s="318"/>
      <c r="Y3508" s="318"/>
      <c r="Z3508" s="318"/>
      <c r="AA3508" s="318"/>
      <c r="AB3508" s="318"/>
      <c r="AC3508" s="318"/>
      <c r="AD3508" s="318"/>
    </row>
    <row r="3509" spans="2:30" s="323" customFormat="1" ht="12" customHeight="1">
      <c r="B3509" s="324"/>
      <c r="C3509" s="325"/>
      <c r="D3509" s="326"/>
      <c r="E3509" s="326"/>
      <c r="F3509" s="326"/>
      <c r="G3509" s="326"/>
      <c r="H3509" s="326"/>
      <c r="P3509" s="318"/>
      <c r="Q3509" s="318"/>
      <c r="R3509" s="318"/>
      <c r="S3509" s="318"/>
      <c r="T3509" s="318"/>
      <c r="U3509" s="318"/>
      <c r="V3509" s="318"/>
      <c r="W3509" s="318"/>
      <c r="X3509" s="318"/>
      <c r="Y3509" s="318"/>
      <c r="Z3509" s="318"/>
      <c r="AA3509" s="318"/>
      <c r="AB3509" s="318"/>
      <c r="AC3509" s="318"/>
      <c r="AD3509" s="318"/>
    </row>
    <row r="3510" spans="2:30" s="323" customFormat="1" ht="12" customHeight="1">
      <c r="B3510" s="324"/>
      <c r="C3510" s="325"/>
      <c r="D3510" s="326"/>
      <c r="E3510" s="326"/>
      <c r="F3510" s="326"/>
      <c r="G3510" s="326"/>
      <c r="H3510" s="326"/>
      <c r="P3510" s="318"/>
      <c r="Q3510" s="318"/>
      <c r="R3510" s="318"/>
      <c r="S3510" s="318"/>
      <c r="T3510" s="318"/>
      <c r="U3510" s="318"/>
      <c r="V3510" s="318"/>
      <c r="W3510" s="318"/>
      <c r="X3510" s="318"/>
      <c r="Y3510" s="318"/>
      <c r="Z3510" s="318"/>
      <c r="AA3510" s="318"/>
      <c r="AB3510" s="318"/>
      <c r="AC3510" s="318"/>
      <c r="AD3510" s="318"/>
    </row>
    <row r="3511" spans="2:30" s="323" customFormat="1" ht="12" customHeight="1">
      <c r="B3511" s="324"/>
      <c r="C3511" s="325"/>
      <c r="D3511" s="326"/>
      <c r="E3511" s="326"/>
      <c r="F3511" s="326"/>
      <c r="G3511" s="326"/>
      <c r="H3511" s="326"/>
      <c r="P3511" s="318"/>
      <c r="Q3511" s="318"/>
      <c r="R3511" s="318"/>
      <c r="S3511" s="318"/>
      <c r="T3511" s="318"/>
      <c r="U3511" s="318"/>
      <c r="V3511" s="318"/>
      <c r="W3511" s="318"/>
      <c r="X3511" s="318"/>
      <c r="Y3511" s="318"/>
      <c r="Z3511" s="318"/>
      <c r="AA3511" s="318"/>
      <c r="AB3511" s="318"/>
      <c r="AC3511" s="318"/>
      <c r="AD3511" s="318"/>
    </row>
    <row r="3512" spans="2:30" s="323" customFormat="1" ht="12" customHeight="1">
      <c r="B3512" s="324"/>
      <c r="C3512" s="325"/>
      <c r="D3512" s="326"/>
      <c r="E3512" s="326"/>
      <c r="F3512" s="326"/>
      <c r="G3512" s="326"/>
      <c r="H3512" s="326"/>
      <c r="P3512" s="318"/>
      <c r="Q3512" s="318"/>
      <c r="R3512" s="318"/>
      <c r="S3512" s="318"/>
      <c r="T3512" s="318"/>
      <c r="U3512" s="318"/>
      <c r="V3512" s="318"/>
      <c r="W3512" s="318"/>
      <c r="X3512" s="318"/>
      <c r="Y3512" s="318"/>
      <c r="Z3512" s="318"/>
      <c r="AA3512" s="318"/>
      <c r="AB3512" s="318"/>
      <c r="AC3512" s="318"/>
      <c r="AD3512" s="318"/>
    </row>
    <row r="3513" spans="2:30" s="323" customFormat="1" ht="12" customHeight="1">
      <c r="B3513" s="324"/>
      <c r="C3513" s="325"/>
      <c r="D3513" s="326"/>
      <c r="E3513" s="326"/>
      <c r="F3513" s="326"/>
      <c r="G3513" s="326"/>
      <c r="H3513" s="326"/>
      <c r="P3513" s="318"/>
      <c r="Q3513" s="318"/>
      <c r="R3513" s="318"/>
      <c r="S3513" s="318"/>
      <c r="T3513" s="318"/>
      <c r="U3513" s="318"/>
      <c r="V3513" s="318"/>
      <c r="W3513" s="318"/>
      <c r="X3513" s="318"/>
      <c r="Y3513" s="318"/>
      <c r="Z3513" s="318"/>
      <c r="AA3513" s="318"/>
      <c r="AB3513" s="318"/>
      <c r="AC3513" s="318"/>
      <c r="AD3513" s="318"/>
    </row>
    <row r="3514" spans="2:30" s="323" customFormat="1" ht="12" customHeight="1">
      <c r="B3514" s="324"/>
      <c r="C3514" s="325"/>
      <c r="D3514" s="326"/>
      <c r="E3514" s="326"/>
      <c r="F3514" s="326"/>
      <c r="G3514" s="326"/>
      <c r="H3514" s="326"/>
      <c r="P3514" s="318"/>
      <c r="Q3514" s="318"/>
      <c r="R3514" s="318"/>
      <c r="S3514" s="318"/>
      <c r="T3514" s="318"/>
      <c r="U3514" s="318"/>
      <c r="V3514" s="318"/>
      <c r="W3514" s="318"/>
      <c r="X3514" s="318"/>
      <c r="Y3514" s="318"/>
      <c r="Z3514" s="318"/>
      <c r="AA3514" s="318"/>
      <c r="AB3514" s="318"/>
      <c r="AC3514" s="318"/>
      <c r="AD3514" s="318"/>
    </row>
    <row r="3515" spans="2:30" s="323" customFormat="1" ht="12" customHeight="1">
      <c r="B3515" s="324"/>
      <c r="C3515" s="325"/>
      <c r="D3515" s="326"/>
      <c r="E3515" s="326"/>
      <c r="F3515" s="326"/>
      <c r="G3515" s="326"/>
      <c r="H3515" s="326"/>
      <c r="P3515" s="318"/>
      <c r="Q3515" s="318"/>
      <c r="R3515" s="318"/>
      <c r="S3515" s="318"/>
      <c r="T3515" s="318"/>
      <c r="U3515" s="318"/>
      <c r="V3515" s="318"/>
      <c r="W3515" s="318"/>
      <c r="X3515" s="318"/>
      <c r="Y3515" s="318"/>
      <c r="Z3515" s="318"/>
      <c r="AA3515" s="318"/>
      <c r="AB3515" s="318"/>
      <c r="AC3515" s="318"/>
      <c r="AD3515" s="318"/>
    </row>
    <row r="3516" spans="2:30" s="323" customFormat="1" ht="12" customHeight="1">
      <c r="B3516" s="324"/>
      <c r="C3516" s="325"/>
      <c r="D3516" s="326"/>
      <c r="E3516" s="326"/>
      <c r="F3516" s="326"/>
      <c r="G3516" s="326"/>
      <c r="H3516" s="326"/>
      <c r="P3516" s="318"/>
      <c r="Q3516" s="318"/>
      <c r="R3516" s="318"/>
      <c r="S3516" s="318"/>
      <c r="T3516" s="318"/>
      <c r="U3516" s="318"/>
      <c r="V3516" s="318"/>
      <c r="W3516" s="318"/>
      <c r="X3516" s="318"/>
      <c r="Y3516" s="318"/>
      <c r="Z3516" s="318"/>
      <c r="AA3516" s="318"/>
      <c r="AB3516" s="318"/>
      <c r="AC3516" s="318"/>
      <c r="AD3516" s="318"/>
    </row>
    <row r="3517" spans="2:30" s="323" customFormat="1" ht="12" customHeight="1">
      <c r="B3517" s="324"/>
      <c r="C3517" s="325"/>
      <c r="D3517" s="326"/>
      <c r="E3517" s="326"/>
      <c r="F3517" s="326"/>
      <c r="G3517" s="326"/>
      <c r="H3517" s="326"/>
      <c r="P3517" s="318"/>
      <c r="Q3517" s="318"/>
      <c r="R3517" s="318"/>
      <c r="S3517" s="318"/>
      <c r="T3517" s="318"/>
      <c r="U3517" s="318"/>
      <c r="V3517" s="318"/>
      <c r="W3517" s="318"/>
      <c r="X3517" s="318"/>
      <c r="Y3517" s="318"/>
      <c r="Z3517" s="318"/>
      <c r="AA3517" s="318"/>
      <c r="AB3517" s="318"/>
      <c r="AC3517" s="318"/>
      <c r="AD3517" s="318"/>
    </row>
    <row r="3518" spans="2:30" s="323" customFormat="1" ht="12" customHeight="1">
      <c r="B3518" s="324"/>
      <c r="C3518" s="325"/>
      <c r="D3518" s="326"/>
      <c r="E3518" s="326"/>
      <c r="F3518" s="326"/>
      <c r="G3518" s="326"/>
      <c r="H3518" s="326"/>
      <c r="P3518" s="318"/>
      <c r="Q3518" s="318"/>
      <c r="R3518" s="318"/>
      <c r="S3518" s="318"/>
      <c r="T3518" s="318"/>
      <c r="U3518" s="318"/>
      <c r="V3518" s="318"/>
      <c r="W3518" s="318"/>
      <c r="X3518" s="318"/>
      <c r="Y3518" s="318"/>
      <c r="Z3518" s="318"/>
      <c r="AA3518" s="318"/>
      <c r="AB3518" s="318"/>
      <c r="AC3518" s="318"/>
      <c r="AD3518" s="318"/>
    </row>
    <row r="3519" spans="2:30" s="323" customFormat="1" ht="12" customHeight="1">
      <c r="B3519" s="324"/>
      <c r="C3519" s="325"/>
      <c r="D3519" s="326"/>
      <c r="E3519" s="326"/>
      <c r="F3519" s="326"/>
      <c r="G3519" s="326"/>
      <c r="H3519" s="326"/>
      <c r="P3519" s="318"/>
      <c r="Q3519" s="318"/>
      <c r="R3519" s="318"/>
      <c r="S3519" s="318"/>
      <c r="T3519" s="318"/>
      <c r="U3519" s="318"/>
      <c r="V3519" s="318"/>
      <c r="W3519" s="318"/>
      <c r="X3519" s="318"/>
      <c r="Y3519" s="318"/>
      <c r="Z3519" s="318"/>
      <c r="AA3519" s="318"/>
      <c r="AB3519" s="318"/>
      <c r="AC3519" s="318"/>
      <c r="AD3519" s="318"/>
    </row>
    <row r="3520" spans="2:30" s="323" customFormat="1" ht="12" customHeight="1">
      <c r="B3520" s="324"/>
      <c r="C3520" s="325"/>
      <c r="D3520" s="326"/>
      <c r="E3520" s="326"/>
      <c r="F3520" s="326"/>
      <c r="G3520" s="326"/>
      <c r="H3520" s="326"/>
      <c r="P3520" s="318"/>
      <c r="Q3520" s="318"/>
      <c r="R3520" s="318"/>
      <c r="S3520" s="318"/>
      <c r="T3520" s="318"/>
      <c r="U3520" s="318"/>
      <c r="V3520" s="318"/>
      <c r="W3520" s="318"/>
      <c r="X3520" s="318"/>
      <c r="Y3520" s="318"/>
      <c r="Z3520" s="318"/>
      <c r="AA3520" s="318"/>
      <c r="AB3520" s="318"/>
      <c r="AC3520" s="318"/>
      <c r="AD3520" s="318"/>
    </row>
    <row r="3521" spans="2:30" s="323" customFormat="1" ht="12" customHeight="1">
      <c r="B3521" s="324"/>
      <c r="C3521" s="325"/>
      <c r="D3521" s="326"/>
      <c r="E3521" s="326"/>
      <c r="F3521" s="326"/>
      <c r="G3521" s="326"/>
      <c r="H3521" s="326"/>
      <c r="P3521" s="318"/>
      <c r="Q3521" s="318"/>
      <c r="R3521" s="318"/>
      <c r="S3521" s="318"/>
      <c r="T3521" s="318"/>
      <c r="U3521" s="318"/>
      <c r="V3521" s="318"/>
      <c r="W3521" s="318"/>
      <c r="X3521" s="318"/>
      <c r="Y3521" s="318"/>
      <c r="Z3521" s="318"/>
      <c r="AA3521" s="318"/>
      <c r="AB3521" s="318"/>
      <c r="AC3521" s="318"/>
      <c r="AD3521" s="318"/>
    </row>
    <row r="3522" spans="2:30" s="323" customFormat="1" ht="12" customHeight="1">
      <c r="B3522" s="324"/>
      <c r="C3522" s="325"/>
      <c r="D3522" s="326"/>
      <c r="E3522" s="326"/>
      <c r="F3522" s="326"/>
      <c r="G3522" s="326"/>
      <c r="H3522" s="326"/>
      <c r="P3522" s="318"/>
      <c r="Q3522" s="318"/>
      <c r="R3522" s="318"/>
      <c r="S3522" s="318"/>
      <c r="T3522" s="318"/>
      <c r="U3522" s="318"/>
      <c r="V3522" s="318"/>
      <c r="W3522" s="318"/>
      <c r="X3522" s="318"/>
      <c r="Y3522" s="318"/>
      <c r="Z3522" s="318"/>
      <c r="AA3522" s="318"/>
      <c r="AB3522" s="318"/>
      <c r="AC3522" s="318"/>
      <c r="AD3522" s="318"/>
    </row>
    <row r="3523" spans="2:30" s="323" customFormat="1" ht="12" customHeight="1">
      <c r="B3523" s="324"/>
      <c r="C3523" s="325"/>
      <c r="D3523" s="326"/>
      <c r="E3523" s="326"/>
      <c r="F3523" s="326"/>
      <c r="G3523" s="326"/>
      <c r="H3523" s="326"/>
      <c r="P3523" s="318"/>
      <c r="Q3523" s="318"/>
      <c r="R3523" s="318"/>
      <c r="S3523" s="318"/>
      <c r="T3523" s="318"/>
      <c r="U3523" s="318"/>
      <c r="V3523" s="318"/>
      <c r="W3523" s="318"/>
      <c r="X3523" s="318"/>
      <c r="Y3523" s="318"/>
      <c r="Z3523" s="318"/>
      <c r="AA3523" s="318"/>
      <c r="AB3523" s="318"/>
      <c r="AC3523" s="318"/>
      <c r="AD3523" s="318"/>
    </row>
    <row r="3524" spans="2:30" s="323" customFormat="1" ht="12" customHeight="1">
      <c r="B3524" s="324"/>
      <c r="C3524" s="325"/>
      <c r="D3524" s="326"/>
      <c r="E3524" s="326"/>
      <c r="F3524" s="326"/>
      <c r="G3524" s="326"/>
      <c r="H3524" s="326"/>
      <c r="P3524" s="318"/>
      <c r="Q3524" s="318"/>
      <c r="R3524" s="318"/>
      <c r="S3524" s="318"/>
      <c r="T3524" s="318"/>
      <c r="U3524" s="318"/>
      <c r="V3524" s="318"/>
      <c r="W3524" s="318"/>
      <c r="X3524" s="318"/>
      <c r="Y3524" s="318"/>
      <c r="Z3524" s="318"/>
      <c r="AA3524" s="318"/>
      <c r="AB3524" s="318"/>
      <c r="AC3524" s="318"/>
      <c r="AD3524" s="318"/>
    </row>
    <row r="3525" spans="2:30" s="323" customFormat="1" ht="12" customHeight="1">
      <c r="B3525" s="324"/>
      <c r="C3525" s="325"/>
      <c r="D3525" s="326"/>
      <c r="E3525" s="326"/>
      <c r="F3525" s="326"/>
      <c r="G3525" s="326"/>
      <c r="H3525" s="326"/>
      <c r="P3525" s="318"/>
      <c r="Q3525" s="318"/>
      <c r="R3525" s="318"/>
      <c r="S3525" s="318"/>
      <c r="T3525" s="318"/>
      <c r="U3525" s="318"/>
      <c r="V3525" s="318"/>
      <c r="W3525" s="318"/>
      <c r="X3525" s="318"/>
      <c r="Y3525" s="318"/>
      <c r="Z3525" s="318"/>
      <c r="AA3525" s="318"/>
      <c r="AB3525" s="318"/>
      <c r="AC3525" s="318"/>
      <c r="AD3525" s="318"/>
    </row>
    <row r="3526" spans="2:30" s="323" customFormat="1" ht="12" customHeight="1">
      <c r="B3526" s="324"/>
      <c r="C3526" s="325"/>
      <c r="D3526" s="326"/>
      <c r="E3526" s="326"/>
      <c r="F3526" s="326"/>
      <c r="G3526" s="326"/>
      <c r="H3526" s="326"/>
      <c r="P3526" s="318"/>
      <c r="Q3526" s="318"/>
      <c r="R3526" s="318"/>
      <c r="S3526" s="318"/>
      <c r="T3526" s="318"/>
      <c r="U3526" s="318"/>
      <c r="V3526" s="318"/>
      <c r="W3526" s="318"/>
      <c r="X3526" s="318"/>
      <c r="Y3526" s="318"/>
      <c r="Z3526" s="318"/>
      <c r="AA3526" s="318"/>
      <c r="AB3526" s="318"/>
      <c r="AC3526" s="318"/>
      <c r="AD3526" s="318"/>
    </row>
    <row r="3527" spans="2:30" s="323" customFormat="1" ht="12" customHeight="1">
      <c r="B3527" s="324"/>
      <c r="C3527" s="325"/>
      <c r="D3527" s="326"/>
      <c r="E3527" s="326"/>
      <c r="F3527" s="326"/>
      <c r="G3527" s="326"/>
      <c r="H3527" s="326"/>
      <c r="P3527" s="318"/>
      <c r="Q3527" s="318"/>
      <c r="R3527" s="318"/>
      <c r="S3527" s="318"/>
      <c r="T3527" s="318"/>
      <c r="U3527" s="318"/>
      <c r="V3527" s="318"/>
      <c r="W3527" s="318"/>
      <c r="X3527" s="318"/>
      <c r="Y3527" s="318"/>
      <c r="Z3527" s="318"/>
      <c r="AA3527" s="318"/>
      <c r="AB3527" s="318"/>
      <c r="AC3527" s="318"/>
      <c r="AD3527" s="318"/>
    </row>
    <row r="3528" spans="2:30" s="323" customFormat="1" ht="12" customHeight="1">
      <c r="B3528" s="324"/>
      <c r="C3528" s="325"/>
      <c r="D3528" s="326"/>
      <c r="E3528" s="326"/>
      <c r="F3528" s="326"/>
      <c r="G3528" s="326"/>
      <c r="H3528" s="326"/>
      <c r="P3528" s="318"/>
      <c r="Q3528" s="318"/>
      <c r="R3528" s="318"/>
      <c r="S3528" s="318"/>
      <c r="T3528" s="318"/>
      <c r="U3528" s="318"/>
      <c r="V3528" s="318"/>
      <c r="W3528" s="318"/>
      <c r="X3528" s="318"/>
      <c r="Y3528" s="318"/>
      <c r="Z3528" s="318"/>
      <c r="AA3528" s="318"/>
      <c r="AB3528" s="318"/>
      <c r="AC3528" s="318"/>
      <c r="AD3528" s="318"/>
    </row>
    <row r="3529" spans="2:30" s="323" customFormat="1" ht="12" customHeight="1">
      <c r="B3529" s="324"/>
      <c r="C3529" s="325"/>
      <c r="D3529" s="326"/>
      <c r="E3529" s="326"/>
      <c r="F3529" s="326"/>
      <c r="G3529" s="326"/>
      <c r="H3529" s="326"/>
      <c r="P3529" s="318"/>
      <c r="Q3529" s="318"/>
      <c r="R3529" s="318"/>
      <c r="S3529" s="318"/>
      <c r="T3529" s="318"/>
      <c r="U3529" s="318"/>
      <c r="V3529" s="318"/>
      <c r="W3529" s="318"/>
      <c r="X3529" s="318"/>
      <c r="Y3529" s="318"/>
      <c r="Z3529" s="318"/>
      <c r="AA3529" s="318"/>
      <c r="AB3529" s="318"/>
      <c r="AC3529" s="318"/>
      <c r="AD3529" s="318"/>
    </row>
    <row r="3530" spans="2:30" s="323" customFormat="1" ht="12" customHeight="1">
      <c r="B3530" s="324"/>
      <c r="C3530" s="325"/>
      <c r="D3530" s="326"/>
      <c r="E3530" s="326"/>
      <c r="F3530" s="326"/>
      <c r="G3530" s="326"/>
      <c r="H3530" s="326"/>
      <c r="P3530" s="318"/>
      <c r="Q3530" s="318"/>
      <c r="R3530" s="318"/>
      <c r="S3530" s="318"/>
      <c r="T3530" s="318"/>
      <c r="U3530" s="318"/>
      <c r="V3530" s="318"/>
      <c r="W3530" s="318"/>
      <c r="X3530" s="318"/>
      <c r="Y3530" s="318"/>
      <c r="Z3530" s="318"/>
      <c r="AA3530" s="318"/>
      <c r="AB3530" s="318"/>
      <c r="AC3530" s="318"/>
      <c r="AD3530" s="318"/>
    </row>
    <row r="3531" spans="2:30" s="323" customFormat="1" ht="12" customHeight="1">
      <c r="B3531" s="324"/>
      <c r="C3531" s="325"/>
      <c r="D3531" s="326"/>
      <c r="E3531" s="326"/>
      <c r="F3531" s="326"/>
      <c r="G3531" s="326"/>
      <c r="H3531" s="326"/>
      <c r="P3531" s="318"/>
      <c r="Q3531" s="318"/>
      <c r="R3531" s="318"/>
      <c r="S3531" s="318"/>
      <c r="T3531" s="318"/>
      <c r="U3531" s="318"/>
      <c r="V3531" s="318"/>
      <c r="W3531" s="318"/>
      <c r="X3531" s="318"/>
      <c r="Y3531" s="318"/>
      <c r="Z3531" s="318"/>
      <c r="AA3531" s="318"/>
      <c r="AB3531" s="318"/>
      <c r="AC3531" s="318"/>
      <c r="AD3531" s="318"/>
    </row>
    <row r="3532" spans="2:30" s="323" customFormat="1" ht="12" customHeight="1">
      <c r="B3532" s="324"/>
      <c r="C3532" s="325"/>
      <c r="D3532" s="326"/>
      <c r="E3532" s="326"/>
      <c r="F3532" s="326"/>
      <c r="G3532" s="326"/>
      <c r="H3532" s="326"/>
      <c r="P3532" s="318"/>
      <c r="Q3532" s="318"/>
      <c r="R3532" s="318"/>
      <c r="S3532" s="318"/>
      <c r="T3532" s="318"/>
      <c r="U3532" s="318"/>
      <c r="V3532" s="318"/>
      <c r="W3532" s="318"/>
      <c r="X3532" s="318"/>
      <c r="Y3532" s="318"/>
      <c r="Z3532" s="318"/>
      <c r="AA3532" s="318"/>
      <c r="AB3532" s="318"/>
      <c r="AC3532" s="318"/>
      <c r="AD3532" s="318"/>
    </row>
    <row r="3533" spans="2:30" s="323" customFormat="1" ht="12" customHeight="1">
      <c r="B3533" s="324"/>
      <c r="C3533" s="325"/>
      <c r="D3533" s="326"/>
      <c r="E3533" s="326"/>
      <c r="F3533" s="326"/>
      <c r="G3533" s="326"/>
      <c r="H3533" s="326"/>
      <c r="P3533" s="318"/>
      <c r="Q3533" s="318"/>
      <c r="R3533" s="318"/>
      <c r="S3533" s="318"/>
      <c r="T3533" s="318"/>
      <c r="U3533" s="318"/>
      <c r="V3533" s="318"/>
      <c r="W3533" s="318"/>
      <c r="X3533" s="318"/>
      <c r="Y3533" s="318"/>
      <c r="Z3533" s="318"/>
      <c r="AA3533" s="318"/>
      <c r="AB3533" s="318"/>
      <c r="AC3533" s="318"/>
      <c r="AD3533" s="318"/>
    </row>
    <row r="3534" spans="2:30" s="323" customFormat="1" ht="12" customHeight="1">
      <c r="B3534" s="324"/>
      <c r="C3534" s="325"/>
      <c r="D3534" s="326"/>
      <c r="E3534" s="326"/>
      <c r="F3534" s="326"/>
      <c r="G3534" s="326"/>
      <c r="H3534" s="326"/>
      <c r="P3534" s="318"/>
      <c r="Q3534" s="318"/>
      <c r="R3534" s="318"/>
      <c r="S3534" s="318"/>
      <c r="T3534" s="318"/>
      <c r="U3534" s="318"/>
      <c r="V3534" s="318"/>
      <c r="W3534" s="318"/>
      <c r="X3534" s="318"/>
      <c r="Y3534" s="318"/>
      <c r="Z3534" s="318"/>
      <c r="AA3534" s="318"/>
      <c r="AB3534" s="318"/>
      <c r="AC3534" s="318"/>
      <c r="AD3534" s="318"/>
    </row>
    <row r="3535" spans="2:30" s="323" customFormat="1" ht="12" customHeight="1">
      <c r="B3535" s="324"/>
      <c r="C3535" s="325"/>
      <c r="D3535" s="326"/>
      <c r="E3535" s="326"/>
      <c r="F3535" s="326"/>
      <c r="G3535" s="326"/>
      <c r="H3535" s="326"/>
      <c r="P3535" s="318"/>
      <c r="Q3535" s="318"/>
      <c r="R3535" s="318"/>
      <c r="S3535" s="318"/>
      <c r="T3535" s="318"/>
      <c r="U3535" s="318"/>
      <c r="V3535" s="318"/>
      <c r="W3535" s="318"/>
      <c r="X3535" s="318"/>
      <c r="Y3535" s="318"/>
      <c r="Z3535" s="318"/>
      <c r="AA3535" s="318"/>
      <c r="AB3535" s="318"/>
      <c r="AC3535" s="318"/>
      <c r="AD3535" s="318"/>
    </row>
    <row r="3536" spans="2:30" s="323" customFormat="1" ht="12" customHeight="1">
      <c r="B3536" s="324"/>
      <c r="C3536" s="325"/>
      <c r="D3536" s="326"/>
      <c r="E3536" s="326"/>
      <c r="F3536" s="326"/>
      <c r="G3536" s="326"/>
      <c r="H3536" s="326"/>
      <c r="P3536" s="318"/>
      <c r="Q3536" s="318"/>
      <c r="R3536" s="318"/>
      <c r="S3536" s="318"/>
      <c r="T3536" s="318"/>
      <c r="U3536" s="318"/>
      <c r="V3536" s="318"/>
      <c r="W3536" s="318"/>
      <c r="X3536" s="318"/>
      <c r="Y3536" s="318"/>
      <c r="Z3536" s="318"/>
      <c r="AA3536" s="318"/>
      <c r="AB3536" s="318"/>
      <c r="AC3536" s="318"/>
      <c r="AD3536" s="318"/>
    </row>
    <row r="3537" spans="2:30" s="323" customFormat="1" ht="12" customHeight="1">
      <c r="B3537" s="324"/>
      <c r="C3537" s="325"/>
      <c r="D3537" s="326"/>
      <c r="E3537" s="326"/>
      <c r="F3537" s="326"/>
      <c r="G3537" s="326"/>
      <c r="H3537" s="326"/>
      <c r="P3537" s="318"/>
      <c r="Q3537" s="318"/>
      <c r="R3537" s="318"/>
      <c r="S3537" s="318"/>
      <c r="T3537" s="318"/>
      <c r="U3537" s="318"/>
      <c r="V3537" s="318"/>
      <c r="W3537" s="318"/>
      <c r="X3537" s="318"/>
      <c r="Y3537" s="318"/>
      <c r="Z3537" s="318"/>
      <c r="AA3537" s="318"/>
      <c r="AB3537" s="318"/>
      <c r="AC3537" s="318"/>
      <c r="AD3537" s="318"/>
    </row>
    <row r="3538" spans="2:30" s="323" customFormat="1" ht="12" customHeight="1">
      <c r="B3538" s="324"/>
      <c r="C3538" s="325"/>
      <c r="D3538" s="326"/>
      <c r="E3538" s="326"/>
      <c r="F3538" s="326"/>
      <c r="G3538" s="326"/>
      <c r="H3538" s="326"/>
      <c r="P3538" s="318"/>
      <c r="Q3538" s="318"/>
      <c r="R3538" s="318"/>
      <c r="S3538" s="318"/>
      <c r="T3538" s="318"/>
      <c r="U3538" s="318"/>
      <c r="V3538" s="318"/>
      <c r="W3538" s="318"/>
      <c r="X3538" s="318"/>
      <c r="Y3538" s="318"/>
      <c r="Z3538" s="318"/>
      <c r="AA3538" s="318"/>
      <c r="AB3538" s="318"/>
      <c r="AC3538" s="318"/>
      <c r="AD3538" s="318"/>
    </row>
    <row r="3539" spans="2:30" s="323" customFormat="1" ht="12" customHeight="1">
      <c r="B3539" s="324"/>
      <c r="C3539" s="325"/>
      <c r="D3539" s="326"/>
      <c r="E3539" s="326"/>
      <c r="F3539" s="326"/>
      <c r="G3539" s="326"/>
      <c r="H3539" s="326"/>
      <c r="P3539" s="318"/>
      <c r="Q3539" s="318"/>
      <c r="R3539" s="318"/>
      <c r="S3539" s="318"/>
      <c r="T3539" s="318"/>
      <c r="U3539" s="318"/>
      <c r="V3539" s="318"/>
      <c r="W3539" s="318"/>
      <c r="X3539" s="318"/>
      <c r="Y3539" s="318"/>
      <c r="Z3539" s="318"/>
      <c r="AA3539" s="318"/>
      <c r="AB3539" s="318"/>
      <c r="AC3539" s="318"/>
      <c r="AD3539" s="318"/>
    </row>
    <row r="3540" spans="2:30" s="323" customFormat="1" ht="12" customHeight="1">
      <c r="B3540" s="324"/>
      <c r="C3540" s="325"/>
      <c r="D3540" s="326"/>
      <c r="E3540" s="326"/>
      <c r="F3540" s="326"/>
      <c r="G3540" s="326"/>
      <c r="H3540" s="326"/>
      <c r="P3540" s="318"/>
      <c r="Q3540" s="318"/>
      <c r="R3540" s="318"/>
      <c r="S3540" s="318"/>
      <c r="T3540" s="318"/>
      <c r="U3540" s="318"/>
      <c r="V3540" s="318"/>
      <c r="W3540" s="318"/>
      <c r="X3540" s="318"/>
      <c r="Y3540" s="318"/>
      <c r="Z3540" s="318"/>
      <c r="AA3540" s="318"/>
      <c r="AB3540" s="318"/>
      <c r="AC3540" s="318"/>
      <c r="AD3540" s="318"/>
    </row>
    <row r="3541" spans="2:30" s="323" customFormat="1" ht="12" customHeight="1">
      <c r="B3541" s="324"/>
      <c r="C3541" s="325"/>
      <c r="D3541" s="326"/>
      <c r="E3541" s="326"/>
      <c r="F3541" s="326"/>
      <c r="G3541" s="326"/>
      <c r="H3541" s="326"/>
      <c r="P3541" s="318"/>
      <c r="Q3541" s="318"/>
      <c r="R3541" s="318"/>
      <c r="S3541" s="318"/>
      <c r="T3541" s="318"/>
      <c r="U3541" s="318"/>
      <c r="V3541" s="318"/>
      <c r="W3541" s="318"/>
      <c r="X3541" s="318"/>
      <c r="Y3541" s="318"/>
      <c r="Z3541" s="318"/>
      <c r="AA3541" s="318"/>
      <c r="AB3541" s="318"/>
      <c r="AC3541" s="318"/>
      <c r="AD3541" s="318"/>
    </row>
    <row r="3542" spans="2:30" s="323" customFormat="1" ht="12" customHeight="1">
      <c r="B3542" s="324"/>
      <c r="C3542" s="325"/>
      <c r="D3542" s="326"/>
      <c r="E3542" s="326"/>
      <c r="F3542" s="326"/>
      <c r="G3542" s="326"/>
      <c r="H3542" s="326"/>
      <c r="P3542" s="318"/>
      <c r="Q3542" s="318"/>
      <c r="R3542" s="318"/>
      <c r="S3542" s="318"/>
      <c r="T3542" s="318"/>
      <c r="U3542" s="318"/>
      <c r="V3542" s="318"/>
      <c r="W3542" s="318"/>
      <c r="X3542" s="318"/>
      <c r="Y3542" s="318"/>
      <c r="Z3542" s="318"/>
      <c r="AA3542" s="318"/>
      <c r="AB3542" s="318"/>
      <c r="AC3542" s="318"/>
      <c r="AD3542" s="318"/>
    </row>
    <row r="3543" spans="2:30" s="323" customFormat="1" ht="12" customHeight="1">
      <c r="B3543" s="324"/>
      <c r="C3543" s="325"/>
      <c r="D3543" s="326"/>
      <c r="E3543" s="326"/>
      <c r="F3543" s="326"/>
      <c r="G3543" s="326"/>
      <c r="H3543" s="326"/>
      <c r="P3543" s="318"/>
      <c r="Q3543" s="318"/>
      <c r="R3543" s="318"/>
      <c r="S3543" s="318"/>
      <c r="T3543" s="318"/>
      <c r="U3543" s="318"/>
      <c r="V3543" s="318"/>
      <c r="W3543" s="318"/>
      <c r="X3543" s="318"/>
      <c r="Y3543" s="318"/>
      <c r="Z3543" s="318"/>
      <c r="AA3543" s="318"/>
      <c r="AB3543" s="318"/>
      <c r="AC3543" s="318"/>
      <c r="AD3543" s="318"/>
    </row>
    <row r="3544" spans="2:30" s="323" customFormat="1" ht="12" customHeight="1">
      <c r="B3544" s="324"/>
      <c r="C3544" s="325"/>
      <c r="D3544" s="326"/>
      <c r="E3544" s="326"/>
      <c r="F3544" s="326"/>
      <c r="G3544" s="326"/>
      <c r="H3544" s="326"/>
      <c r="P3544" s="318"/>
      <c r="Q3544" s="318"/>
      <c r="R3544" s="318"/>
      <c r="S3544" s="318"/>
      <c r="T3544" s="318"/>
      <c r="U3544" s="318"/>
      <c r="V3544" s="318"/>
      <c r="W3544" s="318"/>
      <c r="X3544" s="318"/>
      <c r="Y3544" s="318"/>
      <c r="Z3544" s="318"/>
      <c r="AA3544" s="318"/>
      <c r="AB3544" s="318"/>
      <c r="AC3544" s="318"/>
      <c r="AD3544" s="318"/>
    </row>
    <row r="3545" spans="2:30" s="323" customFormat="1" ht="12" customHeight="1">
      <c r="B3545" s="324"/>
      <c r="C3545" s="325"/>
      <c r="D3545" s="326"/>
      <c r="E3545" s="326"/>
      <c r="F3545" s="326"/>
      <c r="G3545" s="326"/>
      <c r="H3545" s="326"/>
      <c r="P3545" s="318"/>
      <c r="Q3545" s="318"/>
      <c r="R3545" s="318"/>
      <c r="S3545" s="318"/>
      <c r="T3545" s="318"/>
      <c r="U3545" s="318"/>
      <c r="V3545" s="318"/>
      <c r="W3545" s="318"/>
      <c r="X3545" s="318"/>
      <c r="Y3545" s="318"/>
      <c r="Z3545" s="318"/>
      <c r="AA3545" s="318"/>
      <c r="AB3545" s="318"/>
      <c r="AC3545" s="318"/>
      <c r="AD3545" s="318"/>
    </row>
    <row r="3546" spans="2:30" s="323" customFormat="1" ht="12" customHeight="1">
      <c r="B3546" s="324"/>
      <c r="C3546" s="325"/>
      <c r="D3546" s="326"/>
      <c r="E3546" s="326"/>
      <c r="F3546" s="326"/>
      <c r="G3546" s="326"/>
      <c r="H3546" s="326"/>
      <c r="P3546" s="318"/>
      <c r="Q3546" s="318"/>
      <c r="R3546" s="318"/>
      <c r="S3546" s="318"/>
      <c r="T3546" s="318"/>
      <c r="U3546" s="318"/>
      <c r="V3546" s="318"/>
      <c r="W3546" s="318"/>
      <c r="X3546" s="318"/>
      <c r="Y3546" s="318"/>
      <c r="Z3546" s="318"/>
      <c r="AA3546" s="318"/>
      <c r="AB3546" s="318"/>
      <c r="AC3546" s="318"/>
      <c r="AD3546" s="318"/>
    </row>
    <row r="3547" spans="2:30" s="323" customFormat="1" ht="12" customHeight="1">
      <c r="B3547" s="324"/>
      <c r="C3547" s="325"/>
      <c r="D3547" s="326"/>
      <c r="E3547" s="326"/>
      <c r="F3547" s="326"/>
      <c r="G3547" s="326"/>
      <c r="H3547" s="326"/>
      <c r="P3547" s="318"/>
      <c r="Q3547" s="318"/>
      <c r="R3547" s="318"/>
      <c r="S3547" s="318"/>
      <c r="T3547" s="318"/>
      <c r="U3547" s="318"/>
      <c r="V3547" s="318"/>
      <c r="W3547" s="318"/>
      <c r="X3547" s="318"/>
      <c r="Y3547" s="318"/>
      <c r="Z3547" s="318"/>
      <c r="AA3547" s="318"/>
      <c r="AB3547" s="318"/>
      <c r="AC3547" s="318"/>
      <c r="AD3547" s="318"/>
    </row>
    <row r="3548" spans="2:30" s="323" customFormat="1" ht="12" customHeight="1">
      <c r="B3548" s="324"/>
      <c r="C3548" s="325"/>
      <c r="D3548" s="326"/>
      <c r="E3548" s="326"/>
      <c r="F3548" s="326"/>
      <c r="G3548" s="326"/>
      <c r="H3548" s="326"/>
      <c r="P3548" s="318"/>
      <c r="Q3548" s="318"/>
      <c r="R3548" s="318"/>
      <c r="S3548" s="318"/>
      <c r="T3548" s="318"/>
      <c r="U3548" s="318"/>
      <c r="V3548" s="318"/>
      <c r="W3548" s="318"/>
      <c r="X3548" s="318"/>
      <c r="Y3548" s="318"/>
      <c r="Z3548" s="318"/>
      <c r="AA3548" s="318"/>
      <c r="AB3548" s="318"/>
      <c r="AC3548" s="318"/>
      <c r="AD3548" s="318"/>
    </row>
    <row r="3549" spans="2:30" s="323" customFormat="1" ht="12" customHeight="1">
      <c r="B3549" s="324"/>
      <c r="C3549" s="325"/>
      <c r="D3549" s="326"/>
      <c r="E3549" s="326"/>
      <c r="F3549" s="326"/>
      <c r="G3549" s="326"/>
      <c r="H3549" s="326"/>
      <c r="P3549" s="318"/>
      <c r="Q3549" s="318"/>
      <c r="R3549" s="318"/>
      <c r="S3549" s="318"/>
      <c r="T3549" s="318"/>
      <c r="U3549" s="318"/>
      <c r="V3549" s="318"/>
      <c r="W3549" s="318"/>
      <c r="X3549" s="318"/>
      <c r="Y3549" s="318"/>
      <c r="Z3549" s="318"/>
      <c r="AA3549" s="318"/>
      <c r="AB3549" s="318"/>
      <c r="AC3549" s="318"/>
      <c r="AD3549" s="318"/>
    </row>
    <row r="3550" spans="2:30" s="323" customFormat="1" ht="12" customHeight="1">
      <c r="B3550" s="324"/>
      <c r="C3550" s="325"/>
      <c r="D3550" s="326"/>
      <c r="E3550" s="326"/>
      <c r="F3550" s="326"/>
      <c r="G3550" s="326"/>
      <c r="H3550" s="326"/>
      <c r="P3550" s="318"/>
      <c r="Q3550" s="318"/>
      <c r="R3550" s="318"/>
      <c r="S3550" s="318"/>
      <c r="T3550" s="318"/>
      <c r="U3550" s="318"/>
      <c r="V3550" s="318"/>
      <c r="W3550" s="318"/>
      <c r="X3550" s="318"/>
      <c r="Y3550" s="318"/>
      <c r="Z3550" s="318"/>
      <c r="AA3550" s="318"/>
      <c r="AB3550" s="318"/>
      <c r="AC3550" s="318"/>
      <c r="AD3550" s="318"/>
    </row>
    <row r="3551" spans="2:30" s="323" customFormat="1" ht="12" customHeight="1">
      <c r="B3551" s="324"/>
      <c r="C3551" s="325"/>
      <c r="D3551" s="326"/>
      <c r="E3551" s="326"/>
      <c r="F3551" s="326"/>
      <c r="G3551" s="326"/>
      <c r="H3551" s="326"/>
      <c r="P3551" s="318"/>
      <c r="Q3551" s="318"/>
      <c r="R3551" s="318"/>
      <c r="S3551" s="318"/>
      <c r="T3551" s="318"/>
      <c r="U3551" s="318"/>
      <c r="V3551" s="318"/>
      <c r="W3551" s="318"/>
      <c r="X3551" s="318"/>
      <c r="Y3551" s="318"/>
      <c r="Z3551" s="318"/>
      <c r="AA3551" s="318"/>
      <c r="AB3551" s="318"/>
      <c r="AC3551" s="318"/>
      <c r="AD3551" s="318"/>
    </row>
    <row r="3552" spans="2:30" s="323" customFormat="1" ht="12" customHeight="1">
      <c r="B3552" s="324"/>
      <c r="C3552" s="325"/>
      <c r="D3552" s="326"/>
      <c r="E3552" s="326"/>
      <c r="F3552" s="326"/>
      <c r="G3552" s="326"/>
      <c r="H3552" s="326"/>
      <c r="P3552" s="318"/>
      <c r="Q3552" s="318"/>
      <c r="R3552" s="318"/>
      <c r="S3552" s="318"/>
      <c r="T3552" s="318"/>
      <c r="U3552" s="318"/>
      <c r="V3552" s="318"/>
      <c r="W3552" s="318"/>
      <c r="X3552" s="318"/>
      <c r="Y3552" s="318"/>
      <c r="Z3552" s="318"/>
      <c r="AA3552" s="318"/>
      <c r="AB3552" s="318"/>
      <c r="AC3552" s="318"/>
      <c r="AD3552" s="318"/>
    </row>
    <row r="3553" spans="2:30" s="323" customFormat="1" ht="12" customHeight="1">
      <c r="B3553" s="324"/>
      <c r="C3553" s="325"/>
      <c r="D3553" s="326"/>
      <c r="E3553" s="326"/>
      <c r="F3553" s="326"/>
      <c r="G3553" s="326"/>
      <c r="H3553" s="326"/>
      <c r="P3553" s="318"/>
      <c r="Q3553" s="318"/>
      <c r="R3553" s="318"/>
      <c r="S3553" s="318"/>
      <c r="T3553" s="318"/>
      <c r="U3553" s="318"/>
      <c r="V3553" s="318"/>
      <c r="W3553" s="318"/>
      <c r="X3553" s="318"/>
      <c r="Y3553" s="318"/>
      <c r="Z3553" s="318"/>
      <c r="AA3553" s="318"/>
      <c r="AB3553" s="318"/>
      <c r="AC3553" s="318"/>
      <c r="AD3553" s="318"/>
    </row>
    <row r="3554" spans="2:30" s="323" customFormat="1" ht="12" customHeight="1">
      <c r="B3554" s="324"/>
      <c r="C3554" s="325"/>
      <c r="D3554" s="326"/>
      <c r="E3554" s="326"/>
      <c r="F3554" s="326"/>
      <c r="G3554" s="326"/>
      <c r="H3554" s="326"/>
      <c r="P3554" s="318"/>
      <c r="Q3554" s="318"/>
      <c r="R3554" s="318"/>
      <c r="S3554" s="318"/>
      <c r="T3554" s="318"/>
      <c r="U3554" s="318"/>
      <c r="V3554" s="318"/>
      <c r="W3554" s="318"/>
      <c r="X3554" s="318"/>
      <c r="Y3554" s="318"/>
      <c r="Z3554" s="318"/>
      <c r="AA3554" s="318"/>
      <c r="AB3554" s="318"/>
      <c r="AC3554" s="318"/>
      <c r="AD3554" s="318"/>
    </row>
    <row r="3555" spans="2:30" s="323" customFormat="1" ht="12" customHeight="1">
      <c r="B3555" s="324"/>
      <c r="C3555" s="325"/>
      <c r="D3555" s="326"/>
      <c r="E3555" s="326"/>
      <c r="F3555" s="326"/>
      <c r="G3555" s="326"/>
      <c r="H3555" s="326"/>
      <c r="P3555" s="318"/>
      <c r="Q3555" s="318"/>
      <c r="R3555" s="318"/>
      <c r="S3555" s="318"/>
      <c r="T3555" s="318"/>
      <c r="U3555" s="318"/>
      <c r="V3555" s="318"/>
      <c r="W3555" s="318"/>
      <c r="X3555" s="318"/>
      <c r="Y3555" s="318"/>
      <c r="Z3555" s="318"/>
      <c r="AA3555" s="318"/>
      <c r="AB3555" s="318"/>
      <c r="AC3555" s="318"/>
      <c r="AD3555" s="318"/>
    </row>
    <row r="3556" spans="2:30" s="323" customFormat="1" ht="12" customHeight="1">
      <c r="B3556" s="324"/>
      <c r="C3556" s="325"/>
      <c r="D3556" s="326"/>
      <c r="E3556" s="326"/>
      <c r="F3556" s="326"/>
      <c r="G3556" s="326"/>
      <c r="H3556" s="326"/>
      <c r="P3556" s="318"/>
      <c r="Q3556" s="318"/>
      <c r="R3556" s="318"/>
      <c r="S3556" s="318"/>
      <c r="T3556" s="318"/>
      <c r="U3556" s="318"/>
      <c r="V3556" s="318"/>
      <c r="W3556" s="318"/>
      <c r="X3556" s="318"/>
      <c r="Y3556" s="318"/>
      <c r="Z3556" s="318"/>
      <c r="AA3556" s="318"/>
      <c r="AB3556" s="318"/>
      <c r="AC3556" s="318"/>
      <c r="AD3556" s="318"/>
    </row>
    <row r="3557" spans="2:30" s="323" customFormat="1" ht="12" customHeight="1">
      <c r="B3557" s="324"/>
      <c r="C3557" s="325"/>
      <c r="D3557" s="326"/>
      <c r="E3557" s="326"/>
      <c r="F3557" s="326"/>
      <c r="G3557" s="326"/>
      <c r="H3557" s="326"/>
      <c r="P3557" s="318"/>
      <c r="Q3557" s="318"/>
      <c r="R3557" s="318"/>
      <c r="S3557" s="318"/>
      <c r="T3557" s="318"/>
      <c r="U3557" s="318"/>
      <c r="V3557" s="318"/>
      <c r="W3557" s="318"/>
      <c r="X3557" s="318"/>
      <c r="Y3557" s="318"/>
      <c r="Z3557" s="318"/>
      <c r="AA3557" s="318"/>
      <c r="AB3557" s="318"/>
      <c r="AC3557" s="318"/>
      <c r="AD3557" s="318"/>
    </row>
    <row r="3558" spans="2:30" s="323" customFormat="1" ht="12" customHeight="1">
      <c r="B3558" s="324"/>
      <c r="C3558" s="325"/>
      <c r="D3558" s="326"/>
      <c r="E3558" s="326"/>
      <c r="F3558" s="326"/>
      <c r="G3558" s="326"/>
      <c r="H3558" s="326"/>
      <c r="P3558" s="318"/>
      <c r="Q3558" s="318"/>
      <c r="R3558" s="318"/>
      <c r="S3558" s="318"/>
      <c r="T3558" s="318"/>
      <c r="U3558" s="318"/>
      <c r="V3558" s="318"/>
      <c r="W3558" s="318"/>
      <c r="X3558" s="318"/>
      <c r="Y3558" s="318"/>
      <c r="Z3558" s="318"/>
      <c r="AA3558" s="318"/>
      <c r="AB3558" s="318"/>
      <c r="AC3558" s="318"/>
      <c r="AD3558" s="318"/>
    </row>
    <row r="3559" spans="2:30" s="323" customFormat="1" ht="12" customHeight="1">
      <c r="B3559" s="324"/>
      <c r="C3559" s="325"/>
      <c r="D3559" s="326"/>
      <c r="E3559" s="326"/>
      <c r="F3559" s="326"/>
      <c r="G3559" s="326"/>
      <c r="H3559" s="326"/>
      <c r="P3559" s="318"/>
      <c r="Q3559" s="318"/>
      <c r="R3559" s="318"/>
      <c r="S3559" s="318"/>
      <c r="T3559" s="318"/>
      <c r="U3559" s="318"/>
      <c r="V3559" s="318"/>
      <c r="W3559" s="318"/>
      <c r="X3559" s="318"/>
      <c r="Y3559" s="318"/>
      <c r="Z3559" s="318"/>
      <c r="AA3559" s="318"/>
      <c r="AB3559" s="318"/>
      <c r="AC3559" s="318"/>
      <c r="AD3559" s="318"/>
    </row>
    <row r="3560" spans="2:30" s="323" customFormat="1" ht="12" customHeight="1">
      <c r="B3560" s="324"/>
      <c r="C3560" s="325"/>
      <c r="D3560" s="326"/>
      <c r="E3560" s="326"/>
      <c r="F3560" s="326"/>
      <c r="G3560" s="326"/>
      <c r="H3560" s="326"/>
      <c r="P3560" s="318"/>
      <c r="Q3560" s="318"/>
      <c r="R3560" s="318"/>
      <c r="S3560" s="318"/>
      <c r="T3560" s="318"/>
      <c r="U3560" s="318"/>
      <c r="V3560" s="318"/>
      <c r="W3560" s="318"/>
      <c r="X3560" s="318"/>
      <c r="Y3560" s="318"/>
      <c r="Z3560" s="318"/>
      <c r="AA3560" s="318"/>
      <c r="AB3560" s="318"/>
      <c r="AC3560" s="318"/>
      <c r="AD3560" s="318"/>
    </row>
    <row r="3561" spans="2:30" s="323" customFormat="1" ht="12" customHeight="1">
      <c r="B3561" s="324"/>
      <c r="C3561" s="325"/>
      <c r="D3561" s="326"/>
      <c r="E3561" s="326"/>
      <c r="F3561" s="326"/>
      <c r="G3561" s="326"/>
      <c r="H3561" s="326"/>
      <c r="P3561" s="318"/>
      <c r="Q3561" s="318"/>
      <c r="R3561" s="318"/>
      <c r="S3561" s="318"/>
      <c r="T3561" s="318"/>
      <c r="U3561" s="318"/>
      <c r="V3561" s="318"/>
      <c r="W3561" s="318"/>
      <c r="X3561" s="318"/>
      <c r="Y3561" s="318"/>
      <c r="Z3561" s="318"/>
      <c r="AA3561" s="318"/>
      <c r="AB3561" s="318"/>
      <c r="AC3561" s="318"/>
      <c r="AD3561" s="318"/>
    </row>
    <row r="3562" spans="2:30" s="323" customFormat="1" ht="12" customHeight="1">
      <c r="B3562" s="324"/>
      <c r="C3562" s="325"/>
      <c r="D3562" s="326"/>
      <c r="E3562" s="326"/>
      <c r="F3562" s="326"/>
      <c r="G3562" s="326"/>
      <c r="H3562" s="326"/>
      <c r="P3562" s="318"/>
      <c r="Q3562" s="318"/>
      <c r="R3562" s="318"/>
      <c r="S3562" s="318"/>
      <c r="T3562" s="318"/>
      <c r="U3562" s="318"/>
      <c r="V3562" s="318"/>
      <c r="W3562" s="318"/>
      <c r="X3562" s="318"/>
      <c r="Y3562" s="318"/>
      <c r="Z3562" s="318"/>
      <c r="AA3562" s="318"/>
      <c r="AB3562" s="318"/>
      <c r="AC3562" s="318"/>
      <c r="AD3562" s="318"/>
    </row>
    <row r="3563" spans="2:30" s="323" customFormat="1" ht="12" customHeight="1">
      <c r="B3563" s="324"/>
      <c r="C3563" s="325"/>
      <c r="D3563" s="326"/>
      <c r="E3563" s="326"/>
      <c r="F3563" s="326"/>
      <c r="G3563" s="326"/>
      <c r="H3563" s="326"/>
      <c r="P3563" s="318"/>
      <c r="Q3563" s="318"/>
      <c r="R3563" s="318"/>
      <c r="S3563" s="318"/>
      <c r="T3563" s="318"/>
      <c r="U3563" s="318"/>
      <c r="V3563" s="318"/>
      <c r="W3563" s="318"/>
      <c r="X3563" s="318"/>
      <c r="Y3563" s="318"/>
      <c r="Z3563" s="318"/>
      <c r="AA3563" s="318"/>
      <c r="AB3563" s="318"/>
      <c r="AC3563" s="318"/>
      <c r="AD3563" s="318"/>
    </row>
    <row r="3564" spans="2:30" s="323" customFormat="1" ht="12" customHeight="1">
      <c r="B3564" s="324"/>
      <c r="C3564" s="325"/>
      <c r="D3564" s="326"/>
      <c r="E3564" s="326"/>
      <c r="F3564" s="326"/>
      <c r="G3564" s="326"/>
      <c r="H3564" s="326"/>
      <c r="P3564" s="318"/>
      <c r="Q3564" s="318"/>
      <c r="R3564" s="318"/>
      <c r="S3564" s="318"/>
      <c r="T3564" s="318"/>
      <c r="U3564" s="318"/>
      <c r="V3564" s="318"/>
      <c r="W3564" s="318"/>
      <c r="X3564" s="318"/>
      <c r="Y3564" s="318"/>
      <c r="Z3564" s="318"/>
      <c r="AA3564" s="318"/>
      <c r="AB3564" s="318"/>
      <c r="AC3564" s="318"/>
      <c r="AD3564" s="318"/>
    </row>
    <row r="3565" spans="2:30" s="323" customFormat="1" ht="12" customHeight="1">
      <c r="B3565" s="324"/>
      <c r="C3565" s="325"/>
      <c r="D3565" s="326"/>
      <c r="E3565" s="326"/>
      <c r="F3565" s="326"/>
      <c r="G3565" s="326"/>
      <c r="H3565" s="326"/>
      <c r="P3565" s="318"/>
      <c r="Q3565" s="318"/>
      <c r="R3565" s="318"/>
      <c r="S3565" s="318"/>
      <c r="T3565" s="318"/>
      <c r="U3565" s="318"/>
      <c r="V3565" s="318"/>
      <c r="W3565" s="318"/>
      <c r="X3565" s="318"/>
      <c r="Y3565" s="318"/>
      <c r="Z3565" s="318"/>
      <c r="AA3565" s="318"/>
      <c r="AB3565" s="318"/>
      <c r="AC3565" s="318"/>
      <c r="AD3565" s="318"/>
    </row>
    <row r="3566" spans="2:30" s="323" customFormat="1" ht="12" customHeight="1">
      <c r="B3566" s="324"/>
      <c r="C3566" s="325"/>
      <c r="D3566" s="326"/>
      <c r="E3566" s="326"/>
      <c r="F3566" s="326"/>
      <c r="G3566" s="326"/>
      <c r="H3566" s="326"/>
      <c r="P3566" s="318"/>
      <c r="Q3566" s="318"/>
      <c r="R3566" s="318"/>
      <c r="S3566" s="318"/>
      <c r="T3566" s="318"/>
      <c r="U3566" s="318"/>
      <c r="V3566" s="318"/>
      <c r="W3566" s="318"/>
      <c r="X3566" s="318"/>
      <c r="Y3566" s="318"/>
      <c r="Z3566" s="318"/>
      <c r="AA3566" s="318"/>
      <c r="AB3566" s="318"/>
      <c r="AC3566" s="318"/>
      <c r="AD3566" s="318"/>
    </row>
    <row r="3567" spans="2:30" s="323" customFormat="1" ht="12" customHeight="1">
      <c r="B3567" s="324"/>
      <c r="C3567" s="325"/>
      <c r="D3567" s="326"/>
      <c r="E3567" s="326"/>
      <c r="F3567" s="326"/>
      <c r="G3567" s="326"/>
      <c r="H3567" s="326"/>
      <c r="P3567" s="318"/>
      <c r="Q3567" s="318"/>
      <c r="R3567" s="318"/>
      <c r="S3567" s="318"/>
      <c r="T3567" s="318"/>
      <c r="U3567" s="318"/>
      <c r="V3567" s="318"/>
      <c r="W3567" s="318"/>
      <c r="X3567" s="318"/>
      <c r="Y3567" s="318"/>
      <c r="Z3567" s="318"/>
      <c r="AA3567" s="318"/>
      <c r="AB3567" s="318"/>
      <c r="AC3567" s="318"/>
      <c r="AD3567" s="318"/>
    </row>
    <row r="3568" spans="2:30" s="323" customFormat="1" ht="12" customHeight="1">
      <c r="B3568" s="324"/>
      <c r="C3568" s="325"/>
      <c r="D3568" s="326"/>
      <c r="E3568" s="326"/>
      <c r="F3568" s="326"/>
      <c r="G3568" s="326"/>
      <c r="H3568" s="326"/>
      <c r="P3568" s="318"/>
      <c r="Q3568" s="318"/>
      <c r="R3568" s="318"/>
      <c r="S3568" s="318"/>
      <c r="T3568" s="318"/>
      <c r="U3568" s="318"/>
      <c r="V3568" s="318"/>
      <c r="W3568" s="318"/>
      <c r="X3568" s="318"/>
      <c r="Y3568" s="318"/>
      <c r="Z3568" s="318"/>
      <c r="AA3568" s="318"/>
      <c r="AB3568" s="318"/>
      <c r="AC3568" s="318"/>
      <c r="AD3568" s="318"/>
    </row>
    <row r="3569" spans="2:30" s="323" customFormat="1" ht="12" customHeight="1">
      <c r="B3569" s="324"/>
      <c r="C3569" s="325"/>
      <c r="D3569" s="326"/>
      <c r="E3569" s="326"/>
      <c r="F3569" s="326"/>
      <c r="G3569" s="326"/>
      <c r="H3569" s="326"/>
      <c r="P3569" s="318"/>
      <c r="Q3569" s="318"/>
      <c r="R3569" s="318"/>
      <c r="S3569" s="318"/>
      <c r="T3569" s="318"/>
      <c r="U3569" s="318"/>
      <c r="V3569" s="318"/>
      <c r="W3569" s="318"/>
      <c r="X3569" s="318"/>
      <c r="Y3569" s="318"/>
      <c r="Z3569" s="318"/>
      <c r="AA3569" s="318"/>
      <c r="AB3569" s="318"/>
      <c r="AC3569" s="318"/>
      <c r="AD3569" s="318"/>
    </row>
    <row r="3570" spans="2:30" s="323" customFormat="1" ht="12" customHeight="1">
      <c r="B3570" s="324"/>
      <c r="C3570" s="325"/>
      <c r="D3570" s="326"/>
      <c r="E3570" s="326"/>
      <c r="F3570" s="326"/>
      <c r="G3570" s="326"/>
      <c r="H3570" s="326"/>
      <c r="P3570" s="318"/>
      <c r="Q3570" s="318"/>
      <c r="R3570" s="318"/>
      <c r="S3570" s="318"/>
      <c r="T3570" s="318"/>
      <c r="U3570" s="318"/>
      <c r="V3570" s="318"/>
      <c r="W3570" s="318"/>
      <c r="X3570" s="318"/>
      <c r="Y3570" s="318"/>
      <c r="Z3570" s="318"/>
      <c r="AA3570" s="318"/>
      <c r="AB3570" s="318"/>
      <c r="AC3570" s="318"/>
      <c r="AD3570" s="318"/>
    </row>
    <row r="3571" spans="2:30" s="323" customFormat="1" ht="12" customHeight="1">
      <c r="B3571" s="324"/>
      <c r="C3571" s="325"/>
      <c r="D3571" s="326"/>
      <c r="E3571" s="326"/>
      <c r="F3571" s="326"/>
      <c r="G3571" s="326"/>
      <c r="H3571" s="326"/>
      <c r="P3571" s="318"/>
      <c r="Q3571" s="318"/>
      <c r="R3571" s="318"/>
      <c r="S3571" s="318"/>
      <c r="T3571" s="318"/>
      <c r="U3571" s="318"/>
      <c r="V3571" s="318"/>
      <c r="W3571" s="318"/>
      <c r="X3571" s="318"/>
      <c r="Y3571" s="318"/>
      <c r="Z3571" s="318"/>
      <c r="AA3571" s="318"/>
      <c r="AB3571" s="318"/>
      <c r="AC3571" s="318"/>
      <c r="AD3571" s="318"/>
    </row>
    <row r="3572" spans="2:30" s="323" customFormat="1" ht="12" customHeight="1">
      <c r="B3572" s="324"/>
      <c r="C3572" s="325"/>
      <c r="D3572" s="326"/>
      <c r="E3572" s="326"/>
      <c r="F3572" s="326"/>
      <c r="G3572" s="326"/>
      <c r="H3572" s="326"/>
      <c r="P3572" s="318"/>
      <c r="Q3572" s="318"/>
      <c r="R3572" s="318"/>
      <c r="S3572" s="318"/>
      <c r="T3572" s="318"/>
      <c r="U3572" s="318"/>
      <c r="V3572" s="318"/>
      <c r="W3572" s="318"/>
      <c r="X3572" s="318"/>
      <c r="Y3572" s="318"/>
      <c r="Z3572" s="318"/>
      <c r="AA3572" s="318"/>
      <c r="AB3572" s="318"/>
      <c r="AC3572" s="318"/>
      <c r="AD3572" s="318"/>
    </row>
    <row r="3573" spans="2:30" s="323" customFormat="1" ht="12" customHeight="1">
      <c r="B3573" s="324"/>
      <c r="C3573" s="325"/>
      <c r="D3573" s="326"/>
      <c r="E3573" s="326"/>
      <c r="F3573" s="326"/>
      <c r="G3573" s="326"/>
      <c r="H3573" s="326"/>
      <c r="P3573" s="318"/>
      <c r="Q3573" s="318"/>
      <c r="R3573" s="318"/>
      <c r="S3573" s="318"/>
      <c r="T3573" s="318"/>
      <c r="U3573" s="318"/>
      <c r="V3573" s="318"/>
      <c r="W3573" s="318"/>
      <c r="X3573" s="318"/>
      <c r="Y3573" s="318"/>
      <c r="Z3573" s="318"/>
      <c r="AA3573" s="318"/>
      <c r="AB3573" s="318"/>
      <c r="AC3573" s="318"/>
      <c r="AD3573" s="318"/>
    </row>
    <row r="3574" spans="2:30" s="323" customFormat="1" ht="12" customHeight="1">
      <c r="B3574" s="324"/>
      <c r="C3574" s="325"/>
      <c r="D3574" s="326"/>
      <c r="E3574" s="326"/>
      <c r="F3574" s="326"/>
      <c r="G3574" s="326"/>
      <c r="H3574" s="326"/>
      <c r="P3574" s="318"/>
      <c r="Q3574" s="318"/>
      <c r="R3574" s="318"/>
      <c r="S3574" s="318"/>
      <c r="T3574" s="318"/>
      <c r="U3574" s="318"/>
      <c r="V3574" s="318"/>
      <c r="W3574" s="318"/>
      <c r="X3574" s="318"/>
      <c r="Y3574" s="318"/>
      <c r="Z3574" s="318"/>
      <c r="AA3574" s="318"/>
      <c r="AB3574" s="318"/>
      <c r="AC3574" s="318"/>
      <c r="AD3574" s="318"/>
    </row>
    <row r="3575" spans="2:30" s="323" customFormat="1" ht="12" customHeight="1">
      <c r="B3575" s="324"/>
      <c r="C3575" s="325"/>
      <c r="D3575" s="326"/>
      <c r="E3575" s="326"/>
      <c r="F3575" s="326"/>
      <c r="G3575" s="326"/>
      <c r="H3575" s="326"/>
      <c r="P3575" s="318"/>
      <c r="Q3575" s="318"/>
      <c r="R3575" s="318"/>
      <c r="S3575" s="318"/>
      <c r="T3575" s="318"/>
      <c r="U3575" s="318"/>
      <c r="V3575" s="318"/>
      <c r="W3575" s="318"/>
      <c r="X3575" s="318"/>
      <c r="Y3575" s="318"/>
      <c r="Z3575" s="318"/>
      <c r="AA3575" s="318"/>
      <c r="AB3575" s="318"/>
      <c r="AC3575" s="318"/>
      <c r="AD3575" s="318"/>
    </row>
    <row r="3576" spans="2:30" s="323" customFormat="1" ht="12" customHeight="1">
      <c r="B3576" s="324"/>
      <c r="C3576" s="325"/>
      <c r="D3576" s="326"/>
      <c r="E3576" s="326"/>
      <c r="F3576" s="326"/>
      <c r="G3576" s="326"/>
      <c r="H3576" s="326"/>
      <c r="P3576" s="318"/>
      <c r="Q3576" s="318"/>
      <c r="R3576" s="318"/>
      <c r="S3576" s="318"/>
      <c r="T3576" s="318"/>
      <c r="U3576" s="318"/>
      <c r="V3576" s="318"/>
      <c r="W3576" s="318"/>
      <c r="X3576" s="318"/>
      <c r="Y3576" s="318"/>
      <c r="Z3576" s="318"/>
      <c r="AA3576" s="318"/>
      <c r="AB3576" s="318"/>
      <c r="AC3576" s="318"/>
      <c r="AD3576" s="318"/>
    </row>
    <row r="3577" spans="2:30" s="323" customFormat="1" ht="12" customHeight="1">
      <c r="B3577" s="324"/>
      <c r="C3577" s="325"/>
      <c r="D3577" s="326"/>
      <c r="E3577" s="326"/>
      <c r="F3577" s="326"/>
      <c r="G3577" s="326"/>
      <c r="H3577" s="326"/>
      <c r="P3577" s="318"/>
      <c r="Q3577" s="318"/>
      <c r="R3577" s="318"/>
      <c r="S3577" s="318"/>
      <c r="T3577" s="318"/>
      <c r="U3577" s="318"/>
      <c r="V3577" s="318"/>
      <c r="W3577" s="318"/>
      <c r="X3577" s="318"/>
      <c r="Y3577" s="318"/>
      <c r="Z3577" s="318"/>
      <c r="AA3577" s="318"/>
      <c r="AB3577" s="318"/>
      <c r="AC3577" s="318"/>
      <c r="AD3577" s="318"/>
    </row>
    <row r="3578" spans="2:30" s="323" customFormat="1" ht="12" customHeight="1">
      <c r="B3578" s="324"/>
      <c r="C3578" s="325"/>
      <c r="D3578" s="326"/>
      <c r="E3578" s="326"/>
      <c r="F3578" s="326"/>
      <c r="G3578" s="326"/>
      <c r="H3578" s="326"/>
      <c r="P3578" s="318"/>
      <c r="Q3578" s="318"/>
      <c r="R3578" s="318"/>
      <c r="S3578" s="318"/>
      <c r="T3578" s="318"/>
      <c r="U3578" s="318"/>
      <c r="V3578" s="318"/>
      <c r="W3578" s="318"/>
      <c r="X3578" s="318"/>
      <c r="Y3578" s="318"/>
      <c r="Z3578" s="318"/>
      <c r="AA3578" s="318"/>
      <c r="AB3578" s="318"/>
      <c r="AC3578" s="318"/>
      <c r="AD3578" s="318"/>
    </row>
    <row r="3579" spans="2:30" s="323" customFormat="1" ht="12" customHeight="1">
      <c r="B3579" s="324"/>
      <c r="C3579" s="325"/>
      <c r="D3579" s="326"/>
      <c r="E3579" s="326"/>
      <c r="F3579" s="326"/>
      <c r="G3579" s="326"/>
      <c r="H3579" s="326"/>
      <c r="P3579" s="318"/>
      <c r="Q3579" s="318"/>
      <c r="R3579" s="318"/>
      <c r="S3579" s="318"/>
      <c r="T3579" s="318"/>
      <c r="U3579" s="318"/>
      <c r="V3579" s="318"/>
      <c r="W3579" s="318"/>
      <c r="X3579" s="318"/>
      <c r="Y3579" s="318"/>
      <c r="Z3579" s="318"/>
      <c r="AA3579" s="318"/>
      <c r="AB3579" s="318"/>
      <c r="AC3579" s="318"/>
      <c r="AD3579" s="318"/>
    </row>
    <row r="3580" spans="2:30" s="323" customFormat="1" ht="12" customHeight="1">
      <c r="B3580" s="324"/>
      <c r="C3580" s="325"/>
      <c r="D3580" s="326"/>
      <c r="E3580" s="326"/>
      <c r="F3580" s="326"/>
      <c r="G3580" s="326"/>
      <c r="H3580" s="326"/>
      <c r="P3580" s="318"/>
      <c r="Q3580" s="318"/>
      <c r="R3580" s="318"/>
      <c r="S3580" s="318"/>
      <c r="T3580" s="318"/>
      <c r="U3580" s="318"/>
      <c r="V3580" s="318"/>
      <c r="W3580" s="318"/>
      <c r="X3580" s="318"/>
      <c r="Y3580" s="318"/>
      <c r="Z3580" s="318"/>
      <c r="AA3580" s="318"/>
      <c r="AB3580" s="318"/>
      <c r="AC3580" s="318"/>
      <c r="AD3580" s="318"/>
    </row>
    <row r="3581" spans="2:30" s="323" customFormat="1" ht="12" customHeight="1">
      <c r="B3581" s="324"/>
      <c r="C3581" s="325"/>
      <c r="D3581" s="326"/>
      <c r="E3581" s="326"/>
      <c r="F3581" s="326"/>
      <c r="G3581" s="326"/>
      <c r="H3581" s="326"/>
      <c r="P3581" s="318"/>
      <c r="Q3581" s="318"/>
      <c r="R3581" s="318"/>
      <c r="S3581" s="318"/>
      <c r="T3581" s="318"/>
      <c r="U3581" s="318"/>
      <c r="V3581" s="318"/>
      <c r="W3581" s="318"/>
      <c r="X3581" s="318"/>
      <c r="Y3581" s="318"/>
      <c r="Z3581" s="318"/>
      <c r="AA3581" s="318"/>
      <c r="AB3581" s="318"/>
      <c r="AC3581" s="318"/>
      <c r="AD3581" s="318"/>
    </row>
    <row r="3582" spans="2:30" s="323" customFormat="1" ht="12" customHeight="1">
      <c r="B3582" s="324"/>
      <c r="C3582" s="325"/>
      <c r="D3582" s="326"/>
      <c r="E3582" s="326"/>
      <c r="F3582" s="326"/>
      <c r="G3582" s="326"/>
      <c r="H3582" s="326"/>
      <c r="P3582" s="318"/>
      <c r="Q3582" s="318"/>
      <c r="R3582" s="318"/>
      <c r="S3582" s="318"/>
      <c r="T3582" s="318"/>
      <c r="U3582" s="318"/>
      <c r="V3582" s="318"/>
      <c r="W3582" s="318"/>
      <c r="X3582" s="318"/>
      <c r="Y3582" s="318"/>
      <c r="Z3582" s="318"/>
      <c r="AA3582" s="318"/>
      <c r="AB3582" s="318"/>
      <c r="AC3582" s="318"/>
      <c r="AD3582" s="318"/>
    </row>
    <row r="3583" spans="2:30" s="323" customFormat="1" ht="12" customHeight="1">
      <c r="B3583" s="324"/>
      <c r="C3583" s="325"/>
      <c r="D3583" s="326"/>
      <c r="E3583" s="326"/>
      <c r="F3583" s="326"/>
      <c r="G3583" s="326"/>
      <c r="H3583" s="326"/>
      <c r="P3583" s="318"/>
      <c r="Q3583" s="318"/>
      <c r="R3583" s="318"/>
      <c r="S3583" s="318"/>
      <c r="T3583" s="318"/>
      <c r="U3583" s="318"/>
      <c r="V3583" s="318"/>
      <c r="W3583" s="318"/>
      <c r="X3583" s="318"/>
      <c r="Y3583" s="318"/>
      <c r="Z3583" s="318"/>
      <c r="AA3583" s="318"/>
      <c r="AB3583" s="318"/>
      <c r="AC3583" s="318"/>
      <c r="AD3583" s="318"/>
    </row>
    <row r="3584" spans="2:30" s="323" customFormat="1" ht="12" customHeight="1">
      <c r="B3584" s="324"/>
      <c r="C3584" s="325"/>
      <c r="D3584" s="326"/>
      <c r="E3584" s="326"/>
      <c r="F3584" s="326"/>
      <c r="G3584" s="326"/>
      <c r="H3584" s="326"/>
      <c r="P3584" s="318"/>
      <c r="Q3584" s="318"/>
      <c r="R3584" s="318"/>
      <c r="S3584" s="318"/>
      <c r="T3584" s="318"/>
      <c r="U3584" s="318"/>
      <c r="V3584" s="318"/>
      <c r="W3584" s="318"/>
      <c r="X3584" s="318"/>
      <c r="Y3584" s="318"/>
      <c r="Z3584" s="318"/>
      <c r="AA3584" s="318"/>
      <c r="AB3584" s="318"/>
      <c r="AC3584" s="318"/>
      <c r="AD3584" s="318"/>
    </row>
    <row r="3585" spans="2:30" s="323" customFormat="1" ht="12" customHeight="1">
      <c r="B3585" s="324"/>
      <c r="C3585" s="325"/>
      <c r="D3585" s="326"/>
      <c r="E3585" s="326"/>
      <c r="F3585" s="326"/>
      <c r="G3585" s="326"/>
      <c r="H3585" s="326"/>
      <c r="P3585" s="318"/>
      <c r="Q3585" s="318"/>
      <c r="R3585" s="318"/>
      <c r="S3585" s="318"/>
      <c r="T3585" s="318"/>
      <c r="U3585" s="318"/>
      <c r="V3585" s="318"/>
      <c r="W3585" s="318"/>
      <c r="X3585" s="318"/>
      <c r="Y3585" s="318"/>
      <c r="Z3585" s="318"/>
      <c r="AA3585" s="318"/>
      <c r="AB3585" s="318"/>
      <c r="AC3585" s="318"/>
      <c r="AD3585" s="318"/>
    </row>
    <row r="3586" spans="2:30" s="323" customFormat="1" ht="12" customHeight="1">
      <c r="B3586" s="324"/>
      <c r="C3586" s="325"/>
      <c r="D3586" s="326"/>
      <c r="E3586" s="326"/>
      <c r="F3586" s="326"/>
      <c r="G3586" s="326"/>
      <c r="H3586" s="326"/>
      <c r="P3586" s="318"/>
      <c r="Q3586" s="318"/>
      <c r="R3586" s="318"/>
      <c r="S3586" s="318"/>
      <c r="T3586" s="318"/>
      <c r="U3586" s="318"/>
      <c r="V3586" s="318"/>
      <c r="W3586" s="318"/>
      <c r="X3586" s="318"/>
      <c r="Y3586" s="318"/>
      <c r="Z3586" s="318"/>
      <c r="AA3586" s="318"/>
      <c r="AB3586" s="318"/>
      <c r="AC3586" s="318"/>
      <c r="AD3586" s="318"/>
    </row>
    <row r="3587" spans="2:30" s="323" customFormat="1" ht="12" customHeight="1">
      <c r="B3587" s="324"/>
      <c r="C3587" s="325"/>
      <c r="D3587" s="326"/>
      <c r="E3587" s="326"/>
      <c r="F3587" s="326"/>
      <c r="G3587" s="326"/>
      <c r="H3587" s="326"/>
      <c r="P3587" s="318"/>
      <c r="Q3587" s="318"/>
      <c r="R3587" s="318"/>
      <c r="S3587" s="318"/>
      <c r="T3587" s="318"/>
      <c r="U3587" s="318"/>
      <c r="V3587" s="318"/>
      <c r="W3587" s="318"/>
      <c r="X3587" s="318"/>
      <c r="Y3587" s="318"/>
      <c r="Z3587" s="318"/>
      <c r="AA3587" s="318"/>
      <c r="AB3587" s="318"/>
      <c r="AC3587" s="318"/>
      <c r="AD3587" s="318"/>
    </row>
    <row r="3588" spans="2:30" s="323" customFormat="1" ht="12" customHeight="1">
      <c r="B3588" s="324"/>
      <c r="C3588" s="325"/>
      <c r="D3588" s="326"/>
      <c r="E3588" s="326"/>
      <c r="F3588" s="326"/>
      <c r="G3588" s="326"/>
      <c r="H3588" s="326"/>
      <c r="P3588" s="318"/>
      <c r="Q3588" s="318"/>
      <c r="R3588" s="318"/>
      <c r="S3588" s="318"/>
      <c r="T3588" s="318"/>
      <c r="U3588" s="318"/>
      <c r="V3588" s="318"/>
      <c r="W3588" s="318"/>
      <c r="X3588" s="318"/>
      <c r="Y3588" s="318"/>
      <c r="Z3588" s="318"/>
      <c r="AA3588" s="318"/>
      <c r="AB3588" s="318"/>
      <c r="AC3588" s="318"/>
      <c r="AD3588" s="318"/>
    </row>
    <row r="3589" spans="2:30" s="323" customFormat="1" ht="12" customHeight="1">
      <c r="B3589" s="324"/>
      <c r="C3589" s="325"/>
      <c r="D3589" s="326"/>
      <c r="E3589" s="326"/>
      <c r="F3589" s="326"/>
      <c r="G3589" s="326"/>
      <c r="H3589" s="326"/>
      <c r="P3589" s="318"/>
      <c r="Q3589" s="318"/>
      <c r="R3589" s="318"/>
      <c r="S3589" s="318"/>
      <c r="T3589" s="318"/>
      <c r="U3589" s="318"/>
      <c r="V3589" s="318"/>
      <c r="W3589" s="318"/>
      <c r="X3589" s="318"/>
      <c r="Y3589" s="318"/>
      <c r="Z3589" s="318"/>
      <c r="AA3589" s="318"/>
      <c r="AB3589" s="318"/>
      <c r="AC3589" s="318"/>
      <c r="AD3589" s="318"/>
    </row>
    <row r="3590" spans="2:30" s="323" customFormat="1" ht="12" customHeight="1">
      <c r="B3590" s="324"/>
      <c r="C3590" s="325"/>
      <c r="D3590" s="326"/>
      <c r="E3590" s="326"/>
      <c r="F3590" s="326"/>
      <c r="G3590" s="326"/>
      <c r="H3590" s="326"/>
      <c r="P3590" s="318"/>
      <c r="Q3590" s="318"/>
      <c r="R3590" s="318"/>
      <c r="S3590" s="318"/>
      <c r="T3590" s="318"/>
      <c r="U3590" s="318"/>
      <c r="V3590" s="318"/>
      <c r="W3590" s="318"/>
      <c r="X3590" s="318"/>
      <c r="Y3590" s="318"/>
      <c r="Z3590" s="318"/>
      <c r="AA3590" s="318"/>
      <c r="AB3590" s="318"/>
      <c r="AC3590" s="318"/>
      <c r="AD3590" s="318"/>
    </row>
    <row r="3591" spans="2:30" s="323" customFormat="1" ht="12" customHeight="1">
      <c r="B3591" s="324"/>
      <c r="C3591" s="325"/>
      <c r="D3591" s="326"/>
      <c r="E3591" s="326"/>
      <c r="F3591" s="326"/>
      <c r="G3591" s="326"/>
      <c r="H3591" s="326"/>
      <c r="P3591" s="318"/>
      <c r="Q3591" s="318"/>
      <c r="R3591" s="318"/>
      <c r="S3591" s="318"/>
      <c r="T3591" s="318"/>
      <c r="U3591" s="318"/>
      <c r="V3591" s="318"/>
      <c r="W3591" s="318"/>
      <c r="X3591" s="318"/>
      <c r="Y3591" s="318"/>
      <c r="Z3591" s="318"/>
      <c r="AA3591" s="318"/>
      <c r="AB3591" s="318"/>
      <c r="AC3591" s="318"/>
      <c r="AD3591" s="318"/>
    </row>
    <row r="3592" spans="2:30" s="323" customFormat="1" ht="12" customHeight="1">
      <c r="B3592" s="324"/>
      <c r="C3592" s="325"/>
      <c r="D3592" s="326"/>
      <c r="E3592" s="326"/>
      <c r="F3592" s="326"/>
      <c r="G3592" s="326"/>
      <c r="H3592" s="326"/>
      <c r="P3592" s="318"/>
      <c r="Q3592" s="318"/>
      <c r="R3592" s="318"/>
      <c r="S3592" s="318"/>
      <c r="T3592" s="318"/>
      <c r="U3592" s="318"/>
      <c r="V3592" s="318"/>
      <c r="W3592" s="318"/>
      <c r="X3592" s="318"/>
      <c r="Y3592" s="318"/>
      <c r="Z3592" s="318"/>
      <c r="AA3592" s="318"/>
      <c r="AB3592" s="318"/>
      <c r="AC3592" s="318"/>
      <c r="AD3592" s="318"/>
    </row>
    <row r="3593" spans="2:30" s="323" customFormat="1" ht="12" customHeight="1">
      <c r="B3593" s="324"/>
      <c r="C3593" s="325"/>
      <c r="D3593" s="326"/>
      <c r="E3593" s="326"/>
      <c r="F3593" s="326"/>
      <c r="G3593" s="326"/>
      <c r="H3593" s="326"/>
      <c r="P3593" s="318"/>
      <c r="Q3593" s="318"/>
      <c r="R3593" s="318"/>
      <c r="S3593" s="318"/>
      <c r="T3593" s="318"/>
      <c r="U3593" s="318"/>
      <c r="V3593" s="318"/>
      <c r="W3593" s="318"/>
      <c r="X3593" s="318"/>
      <c r="Y3593" s="318"/>
      <c r="Z3593" s="318"/>
      <c r="AA3593" s="318"/>
      <c r="AB3593" s="318"/>
      <c r="AC3593" s="318"/>
      <c r="AD3593" s="318"/>
    </row>
    <row r="3594" spans="2:30" s="323" customFormat="1" ht="12" customHeight="1">
      <c r="B3594" s="324"/>
      <c r="C3594" s="325"/>
      <c r="D3594" s="326"/>
      <c r="E3594" s="326"/>
      <c r="F3594" s="326"/>
      <c r="G3594" s="326"/>
      <c r="H3594" s="326"/>
      <c r="P3594" s="318"/>
      <c r="Q3594" s="318"/>
      <c r="R3594" s="318"/>
      <c r="S3594" s="318"/>
      <c r="T3594" s="318"/>
      <c r="U3594" s="318"/>
      <c r="V3594" s="318"/>
      <c r="W3594" s="318"/>
      <c r="X3594" s="318"/>
      <c r="Y3594" s="318"/>
      <c r="Z3594" s="318"/>
      <c r="AA3594" s="318"/>
      <c r="AB3594" s="318"/>
      <c r="AC3594" s="318"/>
      <c r="AD3594" s="318"/>
    </row>
    <row r="3595" spans="2:30" s="323" customFormat="1" ht="12" customHeight="1">
      <c r="B3595" s="324"/>
      <c r="C3595" s="325"/>
      <c r="D3595" s="326"/>
      <c r="E3595" s="326"/>
      <c r="F3595" s="326"/>
      <c r="G3595" s="326"/>
      <c r="H3595" s="326"/>
      <c r="P3595" s="318"/>
      <c r="Q3595" s="318"/>
      <c r="R3595" s="318"/>
      <c r="S3595" s="318"/>
      <c r="T3595" s="318"/>
      <c r="U3595" s="318"/>
      <c r="V3595" s="318"/>
      <c r="W3595" s="318"/>
      <c r="X3595" s="318"/>
      <c r="Y3595" s="318"/>
      <c r="Z3595" s="318"/>
      <c r="AA3595" s="318"/>
      <c r="AB3595" s="318"/>
      <c r="AC3595" s="318"/>
      <c r="AD3595" s="318"/>
    </row>
    <row r="3596" spans="2:30" s="323" customFormat="1" ht="12" customHeight="1">
      <c r="B3596" s="324"/>
      <c r="C3596" s="325"/>
      <c r="D3596" s="326"/>
      <c r="E3596" s="326"/>
      <c r="F3596" s="326"/>
      <c r="G3596" s="326"/>
      <c r="H3596" s="326"/>
      <c r="P3596" s="318"/>
      <c r="Q3596" s="318"/>
      <c r="R3596" s="318"/>
      <c r="S3596" s="318"/>
      <c r="T3596" s="318"/>
      <c r="U3596" s="318"/>
      <c r="V3596" s="318"/>
      <c r="W3596" s="318"/>
      <c r="X3596" s="318"/>
      <c r="Y3596" s="318"/>
      <c r="Z3596" s="318"/>
      <c r="AA3596" s="318"/>
      <c r="AB3596" s="318"/>
      <c r="AC3596" s="318"/>
      <c r="AD3596" s="318"/>
    </row>
    <row r="3597" spans="2:30" s="323" customFormat="1" ht="12" customHeight="1">
      <c r="B3597" s="324"/>
      <c r="C3597" s="325"/>
      <c r="D3597" s="326"/>
      <c r="E3597" s="326"/>
      <c r="F3597" s="326"/>
      <c r="G3597" s="326"/>
      <c r="H3597" s="326"/>
      <c r="P3597" s="318"/>
      <c r="Q3597" s="318"/>
      <c r="R3597" s="318"/>
      <c r="S3597" s="318"/>
      <c r="T3597" s="318"/>
      <c r="U3597" s="318"/>
      <c r="V3597" s="318"/>
      <c r="W3597" s="318"/>
      <c r="X3597" s="318"/>
      <c r="Y3597" s="318"/>
      <c r="Z3597" s="318"/>
      <c r="AA3597" s="318"/>
      <c r="AB3597" s="318"/>
      <c r="AC3597" s="318"/>
      <c r="AD3597" s="318"/>
    </row>
    <row r="3598" spans="2:30" s="323" customFormat="1" ht="12" customHeight="1">
      <c r="B3598" s="324"/>
      <c r="C3598" s="325"/>
      <c r="D3598" s="326"/>
      <c r="E3598" s="326"/>
      <c r="F3598" s="326"/>
      <c r="G3598" s="326"/>
      <c r="H3598" s="326"/>
      <c r="P3598" s="318"/>
      <c r="Q3598" s="318"/>
      <c r="R3598" s="318"/>
      <c r="S3598" s="318"/>
      <c r="T3598" s="318"/>
      <c r="U3598" s="318"/>
      <c r="V3598" s="318"/>
      <c r="W3598" s="318"/>
      <c r="X3598" s="318"/>
      <c r="Y3598" s="318"/>
      <c r="Z3598" s="318"/>
      <c r="AA3598" s="318"/>
      <c r="AB3598" s="318"/>
      <c r="AC3598" s="318"/>
      <c r="AD3598" s="318"/>
    </row>
    <row r="3599" spans="2:30" s="323" customFormat="1" ht="12" customHeight="1">
      <c r="B3599" s="324"/>
      <c r="C3599" s="325"/>
      <c r="D3599" s="326"/>
      <c r="E3599" s="326"/>
      <c r="F3599" s="326"/>
      <c r="G3599" s="326"/>
      <c r="H3599" s="326"/>
      <c r="P3599" s="318"/>
      <c r="Q3599" s="318"/>
      <c r="R3599" s="318"/>
      <c r="S3599" s="318"/>
      <c r="T3599" s="318"/>
      <c r="U3599" s="318"/>
      <c r="V3599" s="318"/>
      <c r="W3599" s="318"/>
      <c r="X3599" s="318"/>
      <c r="Y3599" s="318"/>
      <c r="Z3599" s="318"/>
      <c r="AA3599" s="318"/>
      <c r="AB3599" s="318"/>
      <c r="AC3599" s="318"/>
      <c r="AD3599" s="318"/>
    </row>
    <row r="3600" spans="2:30" s="323" customFormat="1" ht="12" customHeight="1">
      <c r="B3600" s="324"/>
      <c r="C3600" s="325"/>
      <c r="D3600" s="326"/>
      <c r="E3600" s="326"/>
      <c r="F3600" s="326"/>
      <c r="G3600" s="326"/>
      <c r="H3600" s="326"/>
      <c r="P3600" s="318"/>
      <c r="Q3600" s="318"/>
      <c r="R3600" s="318"/>
      <c r="S3600" s="318"/>
      <c r="T3600" s="318"/>
      <c r="U3600" s="318"/>
      <c r="V3600" s="318"/>
      <c r="W3600" s="318"/>
      <c r="X3600" s="318"/>
      <c r="Y3600" s="318"/>
      <c r="Z3600" s="318"/>
      <c r="AA3600" s="318"/>
      <c r="AB3600" s="318"/>
      <c r="AC3600" s="318"/>
      <c r="AD3600" s="318"/>
    </row>
    <row r="3601" spans="2:30" s="323" customFormat="1" ht="12" customHeight="1">
      <c r="B3601" s="324"/>
      <c r="C3601" s="325"/>
      <c r="D3601" s="326"/>
      <c r="E3601" s="326"/>
      <c r="F3601" s="326"/>
      <c r="G3601" s="326"/>
      <c r="H3601" s="326"/>
      <c r="P3601" s="318"/>
      <c r="Q3601" s="318"/>
      <c r="R3601" s="318"/>
      <c r="S3601" s="318"/>
      <c r="T3601" s="318"/>
      <c r="U3601" s="318"/>
      <c r="V3601" s="318"/>
      <c r="W3601" s="318"/>
      <c r="X3601" s="318"/>
      <c r="Y3601" s="318"/>
      <c r="Z3601" s="318"/>
      <c r="AA3601" s="318"/>
      <c r="AB3601" s="318"/>
      <c r="AC3601" s="318"/>
      <c r="AD3601" s="318"/>
    </row>
    <row r="3602" spans="2:30" s="323" customFormat="1" ht="12" customHeight="1">
      <c r="B3602" s="324"/>
      <c r="C3602" s="325"/>
      <c r="D3602" s="326"/>
      <c r="E3602" s="326"/>
      <c r="F3602" s="326"/>
      <c r="G3602" s="326"/>
      <c r="H3602" s="326"/>
      <c r="P3602" s="318"/>
      <c r="Q3602" s="318"/>
      <c r="R3602" s="318"/>
      <c r="S3602" s="318"/>
      <c r="T3602" s="318"/>
      <c r="U3602" s="318"/>
      <c r="V3602" s="318"/>
      <c r="W3602" s="318"/>
      <c r="X3602" s="318"/>
      <c r="Y3602" s="318"/>
      <c r="Z3602" s="318"/>
      <c r="AA3602" s="318"/>
      <c r="AB3602" s="318"/>
      <c r="AC3602" s="318"/>
      <c r="AD3602" s="318"/>
    </row>
    <row r="3603" spans="2:30" s="323" customFormat="1" ht="12" customHeight="1">
      <c r="B3603" s="324"/>
      <c r="C3603" s="325"/>
      <c r="D3603" s="326"/>
      <c r="E3603" s="326"/>
      <c r="F3603" s="326"/>
      <c r="G3603" s="326"/>
      <c r="H3603" s="326"/>
      <c r="P3603" s="318"/>
      <c r="Q3603" s="318"/>
      <c r="R3603" s="318"/>
      <c r="S3603" s="318"/>
      <c r="T3603" s="318"/>
      <c r="U3603" s="318"/>
      <c r="V3603" s="318"/>
      <c r="W3603" s="318"/>
      <c r="X3603" s="318"/>
      <c r="Y3603" s="318"/>
      <c r="Z3603" s="318"/>
      <c r="AA3603" s="318"/>
      <c r="AB3603" s="318"/>
      <c r="AC3603" s="318"/>
      <c r="AD3603" s="318"/>
    </row>
    <row r="3604" spans="2:30" s="323" customFormat="1" ht="12" customHeight="1">
      <c r="B3604" s="324"/>
      <c r="C3604" s="325"/>
      <c r="D3604" s="326"/>
      <c r="E3604" s="326"/>
      <c r="F3604" s="326"/>
      <c r="G3604" s="326"/>
      <c r="H3604" s="326"/>
      <c r="P3604" s="318"/>
      <c r="Q3604" s="318"/>
      <c r="R3604" s="318"/>
      <c r="S3604" s="318"/>
      <c r="T3604" s="318"/>
      <c r="U3604" s="318"/>
      <c r="V3604" s="318"/>
      <c r="W3604" s="318"/>
      <c r="X3604" s="318"/>
      <c r="Y3604" s="318"/>
      <c r="Z3604" s="318"/>
      <c r="AA3604" s="318"/>
      <c r="AB3604" s="318"/>
      <c r="AC3604" s="318"/>
      <c r="AD3604" s="318"/>
    </row>
    <row r="3605" spans="2:30" s="323" customFormat="1" ht="12" customHeight="1">
      <c r="B3605" s="324"/>
      <c r="C3605" s="325"/>
      <c r="D3605" s="326"/>
      <c r="E3605" s="326"/>
      <c r="F3605" s="326"/>
      <c r="G3605" s="326"/>
      <c r="H3605" s="326"/>
      <c r="P3605" s="318"/>
      <c r="Q3605" s="318"/>
      <c r="R3605" s="318"/>
      <c r="S3605" s="318"/>
      <c r="T3605" s="318"/>
      <c r="U3605" s="318"/>
      <c r="V3605" s="318"/>
      <c r="W3605" s="318"/>
      <c r="X3605" s="318"/>
      <c r="Y3605" s="318"/>
      <c r="Z3605" s="318"/>
      <c r="AA3605" s="318"/>
      <c r="AB3605" s="318"/>
      <c r="AC3605" s="318"/>
      <c r="AD3605" s="318"/>
    </row>
    <row r="3606" spans="2:30" s="323" customFormat="1" ht="12" customHeight="1">
      <c r="B3606" s="324"/>
      <c r="C3606" s="325"/>
      <c r="D3606" s="326"/>
      <c r="E3606" s="326"/>
      <c r="F3606" s="326"/>
      <c r="G3606" s="326"/>
      <c r="H3606" s="326"/>
      <c r="P3606" s="318"/>
      <c r="Q3606" s="318"/>
      <c r="R3606" s="318"/>
      <c r="S3606" s="318"/>
      <c r="T3606" s="318"/>
      <c r="U3606" s="318"/>
      <c r="V3606" s="318"/>
      <c r="W3606" s="318"/>
      <c r="X3606" s="318"/>
      <c r="Y3606" s="318"/>
      <c r="Z3606" s="318"/>
      <c r="AA3606" s="318"/>
      <c r="AB3606" s="318"/>
      <c r="AC3606" s="318"/>
      <c r="AD3606" s="318"/>
    </row>
    <row r="3607" spans="2:30" s="323" customFormat="1" ht="12" customHeight="1">
      <c r="B3607" s="324"/>
      <c r="C3607" s="325"/>
      <c r="D3607" s="326"/>
      <c r="E3607" s="326"/>
      <c r="F3607" s="326"/>
      <c r="G3607" s="326"/>
      <c r="H3607" s="326"/>
      <c r="P3607" s="318"/>
      <c r="Q3607" s="318"/>
      <c r="R3607" s="318"/>
      <c r="S3607" s="318"/>
      <c r="T3607" s="318"/>
      <c r="U3607" s="318"/>
      <c r="V3607" s="318"/>
      <c r="W3607" s="318"/>
      <c r="X3607" s="318"/>
      <c r="Y3607" s="318"/>
      <c r="Z3607" s="318"/>
      <c r="AA3607" s="318"/>
      <c r="AB3607" s="318"/>
      <c r="AC3607" s="318"/>
      <c r="AD3607" s="318"/>
    </row>
    <row r="3608" spans="2:30" s="323" customFormat="1" ht="12" customHeight="1">
      <c r="B3608" s="324"/>
      <c r="C3608" s="325"/>
      <c r="D3608" s="326"/>
      <c r="E3608" s="326"/>
      <c r="F3608" s="326"/>
      <c r="G3608" s="326"/>
      <c r="H3608" s="326"/>
      <c r="P3608" s="318"/>
      <c r="Q3608" s="318"/>
      <c r="R3608" s="318"/>
      <c r="S3608" s="318"/>
      <c r="T3608" s="318"/>
      <c r="U3608" s="318"/>
      <c r="V3608" s="318"/>
      <c r="W3608" s="318"/>
      <c r="X3608" s="318"/>
      <c r="Y3608" s="318"/>
      <c r="Z3608" s="318"/>
      <c r="AA3608" s="318"/>
      <c r="AB3608" s="318"/>
      <c r="AC3608" s="318"/>
      <c r="AD3608" s="318"/>
    </row>
    <row r="3609" spans="2:30" s="323" customFormat="1" ht="12" customHeight="1">
      <c r="B3609" s="324"/>
      <c r="C3609" s="325"/>
      <c r="D3609" s="326"/>
      <c r="E3609" s="326"/>
      <c r="F3609" s="326"/>
      <c r="G3609" s="326"/>
      <c r="H3609" s="326"/>
      <c r="P3609" s="318"/>
      <c r="Q3609" s="318"/>
      <c r="R3609" s="318"/>
      <c r="S3609" s="318"/>
      <c r="T3609" s="318"/>
      <c r="U3609" s="318"/>
      <c r="V3609" s="318"/>
      <c r="W3609" s="318"/>
      <c r="X3609" s="318"/>
      <c r="Y3609" s="318"/>
      <c r="Z3609" s="318"/>
      <c r="AA3609" s="318"/>
      <c r="AB3609" s="318"/>
      <c r="AC3609" s="318"/>
      <c r="AD3609" s="318"/>
    </row>
    <row r="3610" spans="2:30" s="323" customFormat="1" ht="12" customHeight="1">
      <c r="B3610" s="324"/>
      <c r="C3610" s="325"/>
      <c r="D3610" s="326"/>
      <c r="E3610" s="326"/>
      <c r="F3610" s="326"/>
      <c r="G3610" s="326"/>
      <c r="H3610" s="326"/>
      <c r="P3610" s="318"/>
      <c r="Q3610" s="318"/>
      <c r="R3610" s="318"/>
      <c r="S3610" s="318"/>
      <c r="T3610" s="318"/>
      <c r="U3610" s="318"/>
      <c r="V3610" s="318"/>
      <c r="W3610" s="318"/>
      <c r="X3610" s="318"/>
      <c r="Y3610" s="318"/>
      <c r="Z3610" s="318"/>
      <c r="AA3610" s="318"/>
      <c r="AB3610" s="318"/>
      <c r="AC3610" s="318"/>
      <c r="AD3610" s="318"/>
    </row>
    <row r="3611" spans="2:30" s="323" customFormat="1" ht="12" customHeight="1">
      <c r="B3611" s="324"/>
      <c r="C3611" s="325"/>
      <c r="D3611" s="326"/>
      <c r="E3611" s="326"/>
      <c r="F3611" s="326"/>
      <c r="G3611" s="326"/>
      <c r="H3611" s="326"/>
      <c r="P3611" s="318"/>
      <c r="Q3611" s="318"/>
      <c r="R3611" s="318"/>
      <c r="S3611" s="318"/>
      <c r="T3611" s="318"/>
      <c r="U3611" s="318"/>
      <c r="V3611" s="318"/>
      <c r="W3611" s="318"/>
      <c r="X3611" s="318"/>
      <c r="Y3611" s="318"/>
      <c r="Z3611" s="318"/>
      <c r="AA3611" s="318"/>
      <c r="AB3611" s="318"/>
      <c r="AC3611" s="318"/>
      <c r="AD3611" s="318"/>
    </row>
    <row r="3612" spans="2:30" s="323" customFormat="1" ht="12" customHeight="1">
      <c r="B3612" s="324"/>
      <c r="C3612" s="325"/>
      <c r="D3612" s="326"/>
      <c r="E3612" s="326"/>
      <c r="F3612" s="326"/>
      <c r="G3612" s="326"/>
      <c r="H3612" s="326"/>
      <c r="P3612" s="318"/>
      <c r="Q3612" s="318"/>
      <c r="R3612" s="318"/>
      <c r="S3612" s="318"/>
      <c r="T3612" s="318"/>
      <c r="U3612" s="318"/>
      <c r="V3612" s="318"/>
      <c r="W3612" s="318"/>
      <c r="X3612" s="318"/>
      <c r="Y3612" s="318"/>
      <c r="Z3612" s="318"/>
      <c r="AA3612" s="318"/>
      <c r="AB3612" s="318"/>
      <c r="AC3612" s="318"/>
      <c r="AD3612" s="318"/>
    </row>
    <row r="3613" spans="2:30" s="323" customFormat="1" ht="12" customHeight="1">
      <c r="B3613" s="324"/>
      <c r="C3613" s="325"/>
      <c r="D3613" s="326"/>
      <c r="E3613" s="326"/>
      <c r="F3613" s="326"/>
      <c r="G3613" s="326"/>
      <c r="H3613" s="326"/>
      <c r="P3613" s="318"/>
      <c r="Q3613" s="318"/>
      <c r="R3613" s="318"/>
      <c r="S3613" s="318"/>
      <c r="T3613" s="318"/>
      <c r="U3613" s="318"/>
      <c r="V3613" s="318"/>
      <c r="W3613" s="318"/>
      <c r="X3613" s="318"/>
      <c r="Y3613" s="318"/>
      <c r="Z3613" s="318"/>
      <c r="AA3613" s="318"/>
      <c r="AB3613" s="318"/>
      <c r="AC3613" s="318"/>
      <c r="AD3613" s="318"/>
    </row>
    <row r="3614" spans="2:30" s="323" customFormat="1" ht="12" customHeight="1">
      <c r="B3614" s="324"/>
      <c r="C3614" s="325"/>
      <c r="D3614" s="326"/>
      <c r="E3614" s="326"/>
      <c r="F3614" s="326"/>
      <c r="G3614" s="326"/>
      <c r="H3614" s="326"/>
      <c r="P3614" s="318"/>
      <c r="Q3614" s="318"/>
      <c r="R3614" s="318"/>
      <c r="S3614" s="318"/>
      <c r="T3614" s="318"/>
      <c r="U3614" s="318"/>
      <c r="V3614" s="318"/>
      <c r="W3614" s="318"/>
      <c r="X3614" s="318"/>
      <c r="Y3614" s="318"/>
      <c r="Z3614" s="318"/>
      <c r="AA3614" s="318"/>
      <c r="AB3614" s="318"/>
      <c r="AC3614" s="318"/>
      <c r="AD3614" s="318"/>
    </row>
    <row r="3615" spans="2:30" s="323" customFormat="1" ht="12" customHeight="1">
      <c r="B3615" s="324"/>
      <c r="C3615" s="325"/>
      <c r="D3615" s="326"/>
      <c r="E3615" s="326"/>
      <c r="F3615" s="326"/>
      <c r="G3615" s="326"/>
      <c r="H3615" s="326"/>
      <c r="P3615" s="318"/>
      <c r="Q3615" s="318"/>
      <c r="R3615" s="318"/>
      <c r="S3615" s="318"/>
      <c r="T3615" s="318"/>
      <c r="U3615" s="318"/>
      <c r="V3615" s="318"/>
      <c r="W3615" s="318"/>
      <c r="X3615" s="318"/>
      <c r="Y3615" s="318"/>
      <c r="Z3615" s="318"/>
      <c r="AA3615" s="318"/>
      <c r="AB3615" s="318"/>
      <c r="AC3615" s="318"/>
      <c r="AD3615" s="318"/>
    </row>
    <row r="3616" spans="2:30" s="323" customFormat="1" ht="12" customHeight="1">
      <c r="B3616" s="324"/>
      <c r="C3616" s="325"/>
      <c r="D3616" s="326"/>
      <c r="E3616" s="326"/>
      <c r="F3616" s="326"/>
      <c r="G3616" s="326"/>
      <c r="H3616" s="326"/>
      <c r="P3616" s="318"/>
      <c r="Q3616" s="318"/>
      <c r="R3616" s="318"/>
      <c r="S3616" s="318"/>
      <c r="T3616" s="318"/>
      <c r="U3616" s="318"/>
      <c r="V3616" s="318"/>
      <c r="W3616" s="318"/>
      <c r="X3616" s="318"/>
      <c r="Y3616" s="318"/>
      <c r="Z3616" s="318"/>
      <c r="AA3616" s="318"/>
      <c r="AB3616" s="318"/>
      <c r="AC3616" s="318"/>
      <c r="AD3616" s="318"/>
    </row>
    <row r="3617" spans="2:30" s="323" customFormat="1" ht="12" customHeight="1">
      <c r="B3617" s="324"/>
      <c r="C3617" s="325"/>
      <c r="D3617" s="326"/>
      <c r="E3617" s="326"/>
      <c r="F3617" s="326"/>
      <c r="G3617" s="326"/>
      <c r="H3617" s="326"/>
      <c r="P3617" s="318"/>
      <c r="Q3617" s="318"/>
      <c r="R3617" s="318"/>
      <c r="S3617" s="318"/>
      <c r="T3617" s="318"/>
      <c r="U3617" s="318"/>
      <c r="V3617" s="318"/>
      <c r="W3617" s="318"/>
      <c r="X3617" s="318"/>
      <c r="Y3617" s="318"/>
      <c r="Z3617" s="318"/>
      <c r="AA3617" s="318"/>
      <c r="AB3617" s="318"/>
      <c r="AC3617" s="318"/>
      <c r="AD3617" s="318"/>
    </row>
    <row r="3618" spans="2:30" s="323" customFormat="1" ht="12" customHeight="1">
      <c r="B3618" s="324"/>
      <c r="C3618" s="325"/>
      <c r="D3618" s="326"/>
      <c r="E3618" s="326"/>
      <c r="F3618" s="326"/>
      <c r="G3618" s="326"/>
      <c r="H3618" s="326"/>
      <c r="P3618" s="318"/>
      <c r="Q3618" s="318"/>
      <c r="R3618" s="318"/>
      <c r="S3618" s="318"/>
      <c r="T3618" s="318"/>
      <c r="U3618" s="318"/>
      <c r="V3618" s="318"/>
      <c r="W3618" s="318"/>
      <c r="X3618" s="318"/>
      <c r="Y3618" s="318"/>
      <c r="Z3618" s="318"/>
      <c r="AA3618" s="318"/>
      <c r="AB3618" s="318"/>
      <c r="AC3618" s="318"/>
      <c r="AD3618" s="318"/>
    </row>
    <row r="3619" spans="2:30" s="323" customFormat="1" ht="12" customHeight="1">
      <c r="B3619" s="324"/>
      <c r="C3619" s="325"/>
      <c r="D3619" s="326"/>
      <c r="E3619" s="326"/>
      <c r="F3619" s="326"/>
      <c r="G3619" s="326"/>
      <c r="H3619" s="326"/>
      <c r="P3619" s="318"/>
      <c r="Q3619" s="318"/>
      <c r="R3619" s="318"/>
      <c r="S3619" s="318"/>
      <c r="T3619" s="318"/>
      <c r="U3619" s="318"/>
      <c r="V3619" s="318"/>
      <c r="W3619" s="318"/>
      <c r="X3619" s="318"/>
      <c r="Y3619" s="318"/>
      <c r="Z3619" s="318"/>
      <c r="AA3619" s="318"/>
      <c r="AB3619" s="318"/>
      <c r="AC3619" s="318"/>
      <c r="AD3619" s="318"/>
    </row>
    <row r="3620" spans="2:30" s="323" customFormat="1" ht="12" customHeight="1">
      <c r="B3620" s="324"/>
      <c r="C3620" s="325"/>
      <c r="D3620" s="326"/>
      <c r="E3620" s="326"/>
      <c r="F3620" s="326"/>
      <c r="G3620" s="326"/>
      <c r="H3620" s="326"/>
      <c r="P3620" s="318"/>
      <c r="Q3620" s="318"/>
      <c r="R3620" s="318"/>
      <c r="S3620" s="318"/>
      <c r="T3620" s="318"/>
      <c r="U3620" s="318"/>
      <c r="V3620" s="318"/>
      <c r="W3620" s="318"/>
      <c r="X3620" s="318"/>
      <c r="Y3620" s="318"/>
      <c r="Z3620" s="318"/>
      <c r="AA3620" s="318"/>
      <c r="AB3620" s="318"/>
      <c r="AC3620" s="318"/>
      <c r="AD3620" s="318"/>
    </row>
    <row r="3621" spans="2:30" s="323" customFormat="1" ht="12" customHeight="1">
      <c r="B3621" s="324"/>
      <c r="C3621" s="325"/>
      <c r="D3621" s="326"/>
      <c r="E3621" s="326"/>
      <c r="F3621" s="326"/>
      <c r="G3621" s="326"/>
      <c r="H3621" s="326"/>
      <c r="P3621" s="318"/>
      <c r="Q3621" s="318"/>
      <c r="R3621" s="318"/>
      <c r="S3621" s="318"/>
      <c r="T3621" s="318"/>
      <c r="U3621" s="318"/>
      <c r="V3621" s="318"/>
      <c r="W3621" s="318"/>
      <c r="X3621" s="318"/>
      <c r="Y3621" s="318"/>
      <c r="Z3621" s="318"/>
      <c r="AA3621" s="318"/>
      <c r="AB3621" s="318"/>
      <c r="AC3621" s="318"/>
      <c r="AD3621" s="318"/>
    </row>
    <row r="3622" spans="2:30" s="323" customFormat="1" ht="12" customHeight="1">
      <c r="B3622" s="324"/>
      <c r="C3622" s="325"/>
      <c r="D3622" s="326"/>
      <c r="E3622" s="326"/>
      <c r="F3622" s="326"/>
      <c r="G3622" s="326"/>
      <c r="H3622" s="326"/>
      <c r="P3622" s="318"/>
      <c r="Q3622" s="318"/>
      <c r="R3622" s="318"/>
      <c r="S3622" s="318"/>
      <c r="T3622" s="318"/>
      <c r="U3622" s="318"/>
      <c r="V3622" s="318"/>
      <c r="W3622" s="318"/>
      <c r="X3622" s="318"/>
      <c r="Y3622" s="318"/>
      <c r="Z3622" s="318"/>
      <c r="AA3622" s="318"/>
      <c r="AB3622" s="318"/>
      <c r="AC3622" s="318"/>
      <c r="AD3622" s="318"/>
    </row>
    <row r="3623" spans="2:30" s="323" customFormat="1" ht="12" customHeight="1">
      <c r="B3623" s="324"/>
      <c r="C3623" s="325"/>
      <c r="D3623" s="326"/>
      <c r="E3623" s="326"/>
      <c r="F3623" s="326"/>
      <c r="G3623" s="326"/>
      <c r="H3623" s="326"/>
      <c r="P3623" s="318"/>
      <c r="Q3623" s="318"/>
      <c r="R3623" s="318"/>
      <c r="S3623" s="318"/>
      <c r="T3623" s="318"/>
      <c r="U3623" s="318"/>
      <c r="V3623" s="318"/>
      <c r="W3623" s="318"/>
      <c r="X3623" s="318"/>
      <c r="Y3623" s="318"/>
      <c r="Z3623" s="318"/>
      <c r="AA3623" s="318"/>
      <c r="AB3623" s="318"/>
      <c r="AC3623" s="318"/>
      <c r="AD3623" s="318"/>
    </row>
    <row r="3624" spans="2:30" s="323" customFormat="1" ht="12" customHeight="1">
      <c r="B3624" s="324"/>
      <c r="C3624" s="325"/>
      <c r="D3624" s="326"/>
      <c r="E3624" s="326"/>
      <c r="F3624" s="326"/>
      <c r="G3624" s="326"/>
      <c r="H3624" s="326"/>
      <c r="P3624" s="318"/>
      <c r="Q3624" s="318"/>
      <c r="R3624" s="318"/>
      <c r="S3624" s="318"/>
      <c r="T3624" s="318"/>
      <c r="U3624" s="318"/>
      <c r="V3624" s="318"/>
      <c r="W3624" s="318"/>
      <c r="X3624" s="318"/>
      <c r="Y3624" s="318"/>
      <c r="Z3624" s="318"/>
      <c r="AA3624" s="318"/>
      <c r="AB3624" s="318"/>
      <c r="AC3624" s="318"/>
      <c r="AD3624" s="318"/>
    </row>
    <row r="3625" spans="2:30" s="323" customFormat="1" ht="12" customHeight="1">
      <c r="B3625" s="324"/>
      <c r="C3625" s="325"/>
      <c r="D3625" s="326"/>
      <c r="E3625" s="326"/>
      <c r="F3625" s="326"/>
      <c r="G3625" s="326"/>
      <c r="H3625" s="326"/>
      <c r="P3625" s="318"/>
      <c r="Q3625" s="318"/>
      <c r="R3625" s="318"/>
      <c r="S3625" s="318"/>
      <c r="T3625" s="318"/>
      <c r="U3625" s="318"/>
      <c r="V3625" s="318"/>
      <c r="W3625" s="318"/>
      <c r="X3625" s="318"/>
      <c r="Y3625" s="318"/>
      <c r="Z3625" s="318"/>
      <c r="AA3625" s="318"/>
      <c r="AB3625" s="318"/>
      <c r="AC3625" s="318"/>
      <c r="AD3625" s="318"/>
    </row>
    <row r="3626" spans="2:30" s="323" customFormat="1" ht="12" customHeight="1">
      <c r="B3626" s="324"/>
      <c r="C3626" s="325"/>
      <c r="D3626" s="326"/>
      <c r="E3626" s="326"/>
      <c r="F3626" s="326"/>
      <c r="G3626" s="326"/>
      <c r="H3626" s="326"/>
      <c r="P3626" s="318"/>
      <c r="Q3626" s="318"/>
      <c r="R3626" s="318"/>
      <c r="S3626" s="318"/>
      <c r="T3626" s="318"/>
      <c r="U3626" s="318"/>
      <c r="V3626" s="318"/>
      <c r="W3626" s="318"/>
      <c r="X3626" s="318"/>
      <c r="Y3626" s="318"/>
      <c r="Z3626" s="318"/>
      <c r="AA3626" s="318"/>
      <c r="AB3626" s="318"/>
      <c r="AC3626" s="318"/>
      <c r="AD3626" s="318"/>
    </row>
    <row r="3627" spans="2:30" s="323" customFormat="1" ht="12" customHeight="1">
      <c r="B3627" s="324"/>
      <c r="C3627" s="325"/>
      <c r="D3627" s="326"/>
      <c r="E3627" s="326"/>
      <c r="F3627" s="326"/>
      <c r="G3627" s="326"/>
      <c r="H3627" s="326"/>
      <c r="P3627" s="318"/>
      <c r="Q3627" s="318"/>
      <c r="R3627" s="318"/>
      <c r="S3627" s="318"/>
      <c r="T3627" s="318"/>
      <c r="U3627" s="318"/>
      <c r="V3627" s="318"/>
      <c r="W3627" s="318"/>
      <c r="X3627" s="318"/>
      <c r="Y3627" s="318"/>
      <c r="Z3627" s="318"/>
      <c r="AA3627" s="318"/>
      <c r="AB3627" s="318"/>
      <c r="AC3627" s="318"/>
      <c r="AD3627" s="318"/>
    </row>
    <row r="3628" spans="2:30" s="323" customFormat="1" ht="12" customHeight="1">
      <c r="B3628" s="324"/>
      <c r="C3628" s="325"/>
      <c r="D3628" s="326"/>
      <c r="E3628" s="326"/>
      <c r="F3628" s="326"/>
      <c r="G3628" s="326"/>
      <c r="H3628" s="326"/>
      <c r="P3628" s="318"/>
      <c r="Q3628" s="318"/>
      <c r="R3628" s="318"/>
      <c r="S3628" s="318"/>
      <c r="T3628" s="318"/>
      <c r="U3628" s="318"/>
      <c r="V3628" s="318"/>
      <c r="W3628" s="318"/>
      <c r="X3628" s="318"/>
      <c r="Y3628" s="318"/>
      <c r="Z3628" s="318"/>
      <c r="AA3628" s="318"/>
      <c r="AB3628" s="318"/>
      <c r="AC3628" s="318"/>
      <c r="AD3628" s="318"/>
    </row>
    <row r="3629" spans="2:30" s="323" customFormat="1" ht="12" customHeight="1">
      <c r="B3629" s="324"/>
      <c r="C3629" s="325"/>
      <c r="D3629" s="326"/>
      <c r="E3629" s="326"/>
      <c r="F3629" s="326"/>
      <c r="G3629" s="326"/>
      <c r="H3629" s="326"/>
      <c r="P3629" s="318"/>
      <c r="Q3629" s="318"/>
      <c r="R3629" s="318"/>
      <c r="S3629" s="318"/>
      <c r="T3629" s="318"/>
      <c r="U3629" s="318"/>
      <c r="V3629" s="318"/>
      <c r="W3629" s="318"/>
      <c r="X3629" s="318"/>
      <c r="Y3629" s="318"/>
      <c r="Z3629" s="318"/>
      <c r="AA3629" s="318"/>
      <c r="AB3629" s="318"/>
      <c r="AC3629" s="318"/>
      <c r="AD3629" s="318"/>
    </row>
    <row r="3630" spans="2:30" s="323" customFormat="1" ht="12" customHeight="1">
      <c r="B3630" s="324"/>
      <c r="C3630" s="325"/>
      <c r="D3630" s="326"/>
      <c r="E3630" s="326"/>
      <c r="F3630" s="326"/>
      <c r="G3630" s="326"/>
      <c r="H3630" s="326"/>
      <c r="P3630" s="318"/>
      <c r="Q3630" s="318"/>
      <c r="R3630" s="318"/>
      <c r="S3630" s="318"/>
      <c r="T3630" s="318"/>
      <c r="U3630" s="318"/>
      <c r="V3630" s="318"/>
      <c r="W3630" s="318"/>
      <c r="X3630" s="318"/>
      <c r="Y3630" s="318"/>
      <c r="Z3630" s="318"/>
      <c r="AA3630" s="318"/>
      <c r="AB3630" s="318"/>
      <c r="AC3630" s="318"/>
      <c r="AD3630" s="318"/>
    </row>
    <row r="3631" spans="2:30" s="323" customFormat="1" ht="12" customHeight="1">
      <c r="B3631" s="324"/>
      <c r="C3631" s="325"/>
      <c r="D3631" s="326"/>
      <c r="E3631" s="326"/>
      <c r="F3631" s="326"/>
      <c r="G3631" s="326"/>
      <c r="H3631" s="326"/>
      <c r="P3631" s="318"/>
      <c r="Q3631" s="318"/>
      <c r="R3631" s="318"/>
      <c r="S3631" s="318"/>
      <c r="T3631" s="318"/>
      <c r="U3631" s="318"/>
      <c r="V3631" s="318"/>
      <c r="W3631" s="318"/>
      <c r="X3631" s="318"/>
      <c r="Y3631" s="318"/>
      <c r="Z3631" s="318"/>
      <c r="AA3631" s="318"/>
      <c r="AB3631" s="318"/>
      <c r="AC3631" s="318"/>
      <c r="AD3631" s="318"/>
    </row>
    <row r="3632" spans="2:30" s="323" customFormat="1" ht="12" customHeight="1">
      <c r="B3632" s="324"/>
      <c r="C3632" s="325"/>
      <c r="D3632" s="326"/>
      <c r="E3632" s="326"/>
      <c r="F3632" s="326"/>
      <c r="G3632" s="326"/>
      <c r="H3632" s="326"/>
      <c r="P3632" s="318"/>
      <c r="Q3632" s="318"/>
      <c r="R3632" s="318"/>
      <c r="S3632" s="318"/>
      <c r="T3632" s="318"/>
      <c r="U3632" s="318"/>
      <c r="V3632" s="318"/>
      <c r="W3632" s="318"/>
      <c r="X3632" s="318"/>
      <c r="Y3632" s="318"/>
      <c r="Z3632" s="318"/>
      <c r="AA3632" s="318"/>
      <c r="AB3632" s="318"/>
      <c r="AC3632" s="318"/>
      <c r="AD3632" s="318"/>
    </row>
    <row r="3633" spans="2:30" s="323" customFormat="1" ht="12" customHeight="1">
      <c r="B3633" s="324"/>
      <c r="C3633" s="325"/>
      <c r="D3633" s="326"/>
      <c r="E3633" s="326"/>
      <c r="F3633" s="326"/>
      <c r="G3633" s="326"/>
      <c r="H3633" s="326"/>
      <c r="P3633" s="318"/>
      <c r="Q3633" s="318"/>
      <c r="R3633" s="318"/>
      <c r="S3633" s="318"/>
      <c r="T3633" s="318"/>
      <c r="U3633" s="318"/>
      <c r="V3633" s="318"/>
      <c r="W3633" s="318"/>
      <c r="X3633" s="318"/>
      <c r="Y3633" s="318"/>
      <c r="Z3633" s="318"/>
      <c r="AA3633" s="318"/>
      <c r="AB3633" s="318"/>
      <c r="AC3633" s="318"/>
      <c r="AD3633" s="318"/>
    </row>
    <row r="3634" spans="2:30" s="323" customFormat="1" ht="12" customHeight="1">
      <c r="B3634" s="324"/>
      <c r="C3634" s="325"/>
      <c r="D3634" s="326"/>
      <c r="E3634" s="326"/>
      <c r="F3634" s="326"/>
      <c r="G3634" s="326"/>
      <c r="H3634" s="326"/>
      <c r="P3634" s="318"/>
      <c r="Q3634" s="318"/>
      <c r="R3634" s="318"/>
      <c r="S3634" s="318"/>
      <c r="T3634" s="318"/>
      <c r="U3634" s="318"/>
      <c r="V3634" s="318"/>
      <c r="W3634" s="318"/>
      <c r="X3634" s="318"/>
      <c r="Y3634" s="318"/>
      <c r="Z3634" s="318"/>
      <c r="AA3634" s="318"/>
      <c r="AB3634" s="318"/>
      <c r="AC3634" s="318"/>
      <c r="AD3634" s="318"/>
    </row>
    <row r="3635" spans="2:30" s="323" customFormat="1" ht="12" customHeight="1">
      <c r="B3635" s="324"/>
      <c r="C3635" s="325"/>
      <c r="D3635" s="326"/>
      <c r="E3635" s="326"/>
      <c r="F3635" s="326"/>
      <c r="G3635" s="326"/>
      <c r="H3635" s="326"/>
      <c r="P3635" s="318"/>
      <c r="Q3635" s="318"/>
      <c r="R3635" s="318"/>
      <c r="S3635" s="318"/>
      <c r="T3635" s="318"/>
      <c r="U3635" s="318"/>
      <c r="V3635" s="318"/>
      <c r="W3635" s="318"/>
      <c r="X3635" s="318"/>
      <c r="Y3635" s="318"/>
      <c r="Z3635" s="318"/>
      <c r="AA3635" s="318"/>
      <c r="AB3635" s="318"/>
      <c r="AC3635" s="318"/>
      <c r="AD3635" s="318"/>
    </row>
    <row r="3636" spans="2:30" s="323" customFormat="1" ht="12" customHeight="1">
      <c r="B3636" s="324"/>
      <c r="C3636" s="325"/>
      <c r="D3636" s="326"/>
      <c r="E3636" s="326"/>
      <c r="F3636" s="326"/>
      <c r="G3636" s="326"/>
      <c r="H3636" s="326"/>
      <c r="P3636" s="318"/>
      <c r="Q3636" s="318"/>
      <c r="R3636" s="318"/>
      <c r="S3636" s="318"/>
      <c r="T3636" s="318"/>
      <c r="U3636" s="318"/>
      <c r="V3636" s="318"/>
      <c r="W3636" s="318"/>
      <c r="X3636" s="318"/>
      <c r="Y3636" s="318"/>
      <c r="Z3636" s="318"/>
      <c r="AA3636" s="318"/>
      <c r="AB3636" s="318"/>
      <c r="AC3636" s="318"/>
      <c r="AD3636" s="318"/>
    </row>
    <row r="3637" spans="2:30" s="323" customFormat="1" ht="12" customHeight="1">
      <c r="B3637" s="324"/>
      <c r="C3637" s="325"/>
      <c r="D3637" s="326"/>
      <c r="E3637" s="326"/>
      <c r="F3637" s="326"/>
      <c r="G3637" s="326"/>
      <c r="H3637" s="326"/>
      <c r="P3637" s="318"/>
      <c r="Q3637" s="318"/>
      <c r="R3637" s="318"/>
      <c r="S3637" s="318"/>
      <c r="T3637" s="318"/>
      <c r="U3637" s="318"/>
      <c r="V3637" s="318"/>
      <c r="W3637" s="318"/>
      <c r="X3637" s="318"/>
      <c r="Y3637" s="318"/>
      <c r="Z3637" s="318"/>
      <c r="AA3637" s="318"/>
      <c r="AB3637" s="318"/>
      <c r="AC3637" s="318"/>
      <c r="AD3637" s="318"/>
    </row>
    <row r="3638" spans="2:30" s="323" customFormat="1" ht="12" customHeight="1">
      <c r="B3638" s="324"/>
      <c r="C3638" s="325"/>
      <c r="D3638" s="326"/>
      <c r="E3638" s="326"/>
      <c r="F3638" s="326"/>
      <c r="G3638" s="326"/>
      <c r="H3638" s="326"/>
      <c r="P3638" s="318"/>
      <c r="Q3638" s="318"/>
      <c r="R3638" s="318"/>
      <c r="S3638" s="318"/>
      <c r="T3638" s="318"/>
      <c r="U3638" s="318"/>
      <c r="V3638" s="318"/>
      <c r="W3638" s="318"/>
      <c r="X3638" s="318"/>
      <c r="Y3638" s="318"/>
      <c r="Z3638" s="318"/>
      <c r="AA3638" s="318"/>
      <c r="AB3638" s="318"/>
      <c r="AC3638" s="318"/>
      <c r="AD3638" s="318"/>
    </row>
    <row r="3639" spans="2:30" s="323" customFormat="1" ht="12" customHeight="1">
      <c r="B3639" s="324"/>
      <c r="C3639" s="325"/>
      <c r="D3639" s="326"/>
      <c r="E3639" s="326"/>
      <c r="F3639" s="326"/>
      <c r="G3639" s="326"/>
      <c r="H3639" s="326"/>
      <c r="P3639" s="318"/>
      <c r="Q3639" s="318"/>
      <c r="R3639" s="318"/>
      <c r="S3639" s="318"/>
      <c r="T3639" s="318"/>
      <c r="U3639" s="318"/>
      <c r="V3639" s="318"/>
      <c r="W3639" s="318"/>
      <c r="X3639" s="318"/>
      <c r="Y3639" s="318"/>
      <c r="Z3639" s="318"/>
      <c r="AA3639" s="318"/>
      <c r="AB3639" s="318"/>
      <c r="AC3639" s="318"/>
      <c r="AD3639" s="318"/>
    </row>
    <row r="3640" spans="2:30" s="323" customFormat="1" ht="12" customHeight="1">
      <c r="B3640" s="324"/>
      <c r="C3640" s="325"/>
      <c r="D3640" s="326"/>
      <c r="E3640" s="326"/>
      <c r="F3640" s="326"/>
      <c r="G3640" s="326"/>
      <c r="H3640" s="326"/>
      <c r="P3640" s="318"/>
      <c r="Q3640" s="318"/>
      <c r="R3640" s="318"/>
      <c r="S3640" s="318"/>
      <c r="T3640" s="318"/>
      <c r="U3640" s="318"/>
      <c r="V3640" s="318"/>
      <c r="W3640" s="318"/>
      <c r="X3640" s="318"/>
      <c r="Y3640" s="318"/>
      <c r="Z3640" s="318"/>
      <c r="AA3640" s="318"/>
      <c r="AB3640" s="318"/>
      <c r="AC3640" s="318"/>
      <c r="AD3640" s="318"/>
    </row>
    <row r="3641" spans="2:30" s="323" customFormat="1" ht="12" customHeight="1">
      <c r="B3641" s="324"/>
      <c r="C3641" s="325"/>
      <c r="D3641" s="326"/>
      <c r="E3641" s="326"/>
      <c r="F3641" s="326"/>
      <c r="G3641" s="326"/>
      <c r="H3641" s="326"/>
      <c r="P3641" s="318"/>
      <c r="Q3641" s="318"/>
      <c r="R3641" s="318"/>
      <c r="S3641" s="318"/>
      <c r="T3641" s="318"/>
      <c r="U3641" s="318"/>
      <c r="V3641" s="318"/>
      <c r="W3641" s="318"/>
      <c r="X3641" s="318"/>
      <c r="Y3641" s="318"/>
      <c r="Z3641" s="318"/>
      <c r="AA3641" s="318"/>
      <c r="AB3641" s="318"/>
      <c r="AC3641" s="318"/>
      <c r="AD3641" s="318"/>
    </row>
    <row r="3642" spans="2:30" s="323" customFormat="1" ht="12" customHeight="1">
      <c r="B3642" s="324"/>
      <c r="C3642" s="325"/>
      <c r="D3642" s="326"/>
      <c r="E3642" s="326"/>
      <c r="F3642" s="326"/>
      <c r="G3642" s="326"/>
      <c r="H3642" s="326"/>
      <c r="P3642" s="318"/>
      <c r="Q3642" s="318"/>
      <c r="R3642" s="318"/>
      <c r="S3642" s="318"/>
      <c r="T3642" s="318"/>
      <c r="U3642" s="318"/>
      <c r="V3642" s="318"/>
      <c r="W3642" s="318"/>
      <c r="X3642" s="318"/>
      <c r="Y3642" s="318"/>
      <c r="Z3642" s="318"/>
      <c r="AA3642" s="318"/>
      <c r="AB3642" s="318"/>
      <c r="AC3642" s="318"/>
      <c r="AD3642" s="318"/>
    </row>
    <row r="3643" spans="2:30" s="323" customFormat="1" ht="12" customHeight="1">
      <c r="B3643" s="324"/>
      <c r="C3643" s="325"/>
      <c r="D3643" s="326"/>
      <c r="E3643" s="326"/>
      <c r="F3643" s="326"/>
      <c r="G3643" s="326"/>
      <c r="H3643" s="326"/>
      <c r="P3643" s="318"/>
      <c r="Q3643" s="318"/>
      <c r="R3643" s="318"/>
      <c r="S3643" s="318"/>
      <c r="T3643" s="318"/>
      <c r="U3643" s="318"/>
      <c r="V3643" s="318"/>
      <c r="W3643" s="318"/>
      <c r="X3643" s="318"/>
      <c r="Y3643" s="318"/>
      <c r="Z3643" s="318"/>
      <c r="AA3643" s="318"/>
      <c r="AB3643" s="318"/>
      <c r="AC3643" s="318"/>
      <c r="AD3643" s="318"/>
    </row>
    <row r="3644" spans="2:30" s="323" customFormat="1" ht="12" customHeight="1">
      <c r="B3644" s="324"/>
      <c r="C3644" s="325"/>
      <c r="D3644" s="326"/>
      <c r="E3644" s="326"/>
      <c r="F3644" s="326"/>
      <c r="G3644" s="326"/>
      <c r="H3644" s="326"/>
      <c r="P3644" s="318"/>
      <c r="Q3644" s="318"/>
      <c r="R3644" s="318"/>
      <c r="S3644" s="318"/>
      <c r="T3644" s="318"/>
      <c r="U3644" s="318"/>
      <c r="V3644" s="318"/>
      <c r="W3644" s="318"/>
      <c r="X3644" s="318"/>
      <c r="Y3644" s="318"/>
      <c r="Z3644" s="318"/>
      <c r="AA3644" s="318"/>
      <c r="AB3644" s="318"/>
      <c r="AC3644" s="318"/>
      <c r="AD3644" s="318"/>
    </row>
    <row r="3645" spans="2:30" s="323" customFormat="1" ht="12" customHeight="1">
      <c r="B3645" s="324"/>
      <c r="C3645" s="325"/>
      <c r="D3645" s="326"/>
      <c r="E3645" s="326"/>
      <c r="F3645" s="326"/>
      <c r="G3645" s="326"/>
      <c r="H3645" s="326"/>
      <c r="P3645" s="318"/>
      <c r="Q3645" s="318"/>
      <c r="R3645" s="318"/>
      <c r="S3645" s="318"/>
      <c r="T3645" s="318"/>
      <c r="U3645" s="318"/>
      <c r="V3645" s="318"/>
      <c r="W3645" s="318"/>
      <c r="X3645" s="318"/>
      <c r="Y3645" s="318"/>
      <c r="Z3645" s="318"/>
      <c r="AA3645" s="318"/>
      <c r="AB3645" s="318"/>
      <c r="AC3645" s="318"/>
      <c r="AD3645" s="318"/>
    </row>
    <row r="3646" spans="2:30" s="323" customFormat="1" ht="12" customHeight="1">
      <c r="B3646" s="324"/>
      <c r="C3646" s="325"/>
      <c r="D3646" s="326"/>
      <c r="E3646" s="326"/>
      <c r="F3646" s="326"/>
      <c r="G3646" s="326"/>
      <c r="H3646" s="326"/>
      <c r="P3646" s="318"/>
      <c r="Q3646" s="318"/>
      <c r="R3646" s="318"/>
      <c r="S3646" s="318"/>
      <c r="T3646" s="318"/>
      <c r="U3646" s="318"/>
      <c r="V3646" s="318"/>
      <c r="W3646" s="318"/>
      <c r="X3646" s="318"/>
      <c r="Y3646" s="318"/>
      <c r="Z3646" s="318"/>
      <c r="AA3646" s="318"/>
      <c r="AB3646" s="318"/>
      <c r="AC3646" s="318"/>
      <c r="AD3646" s="318"/>
    </row>
    <row r="3647" spans="2:30" s="323" customFormat="1" ht="12" customHeight="1">
      <c r="B3647" s="324"/>
      <c r="C3647" s="325"/>
      <c r="D3647" s="326"/>
      <c r="E3647" s="326"/>
      <c r="F3647" s="326"/>
      <c r="G3647" s="326"/>
      <c r="H3647" s="326"/>
      <c r="P3647" s="318"/>
      <c r="Q3647" s="318"/>
      <c r="R3647" s="318"/>
      <c r="S3647" s="318"/>
      <c r="T3647" s="318"/>
      <c r="U3647" s="318"/>
      <c r="V3647" s="318"/>
      <c r="W3647" s="318"/>
      <c r="X3647" s="318"/>
      <c r="Y3647" s="318"/>
      <c r="Z3647" s="318"/>
      <c r="AA3647" s="318"/>
      <c r="AB3647" s="318"/>
      <c r="AC3647" s="318"/>
      <c r="AD3647" s="318"/>
    </row>
    <row r="3648" spans="2:30" s="323" customFormat="1" ht="12" customHeight="1">
      <c r="B3648" s="324"/>
      <c r="C3648" s="325"/>
      <c r="D3648" s="326"/>
      <c r="E3648" s="326"/>
      <c r="F3648" s="326"/>
      <c r="G3648" s="326"/>
      <c r="H3648" s="326"/>
      <c r="P3648" s="318"/>
      <c r="Q3648" s="318"/>
      <c r="R3648" s="318"/>
      <c r="S3648" s="318"/>
      <c r="T3648" s="318"/>
      <c r="U3648" s="318"/>
      <c r="V3648" s="318"/>
      <c r="W3648" s="318"/>
      <c r="X3648" s="318"/>
      <c r="Y3648" s="318"/>
      <c r="Z3648" s="318"/>
      <c r="AA3648" s="318"/>
      <c r="AB3648" s="318"/>
      <c r="AC3648" s="318"/>
      <c r="AD3648" s="318"/>
    </row>
    <row r="3649" spans="2:30" s="323" customFormat="1" ht="12" customHeight="1">
      <c r="B3649" s="324"/>
      <c r="C3649" s="325"/>
      <c r="D3649" s="326"/>
      <c r="E3649" s="326"/>
      <c r="F3649" s="326"/>
      <c r="G3649" s="326"/>
      <c r="H3649" s="326"/>
      <c r="P3649" s="318"/>
      <c r="Q3649" s="318"/>
      <c r="R3649" s="318"/>
      <c r="S3649" s="318"/>
      <c r="T3649" s="318"/>
      <c r="U3649" s="318"/>
      <c r="V3649" s="318"/>
      <c r="W3649" s="318"/>
      <c r="X3649" s="318"/>
      <c r="Y3649" s="318"/>
      <c r="Z3649" s="318"/>
      <c r="AA3649" s="318"/>
      <c r="AB3649" s="318"/>
      <c r="AC3649" s="318"/>
      <c r="AD3649" s="318"/>
    </row>
    <row r="3650" spans="2:30" s="323" customFormat="1" ht="12" customHeight="1">
      <c r="B3650" s="324"/>
      <c r="C3650" s="325"/>
      <c r="D3650" s="326"/>
      <c r="E3650" s="326"/>
      <c r="F3650" s="326"/>
      <c r="G3650" s="326"/>
      <c r="H3650" s="326"/>
      <c r="P3650" s="318"/>
      <c r="Q3650" s="318"/>
      <c r="R3650" s="318"/>
      <c r="S3650" s="318"/>
      <c r="T3650" s="318"/>
      <c r="U3650" s="318"/>
      <c r="V3650" s="318"/>
      <c r="W3650" s="318"/>
      <c r="X3650" s="318"/>
      <c r="Y3650" s="318"/>
      <c r="Z3650" s="318"/>
      <c r="AA3650" s="318"/>
      <c r="AB3650" s="318"/>
      <c r="AC3650" s="318"/>
      <c r="AD3650" s="318"/>
    </row>
    <row r="3651" spans="2:30" s="323" customFormat="1" ht="12" customHeight="1">
      <c r="B3651" s="324"/>
      <c r="C3651" s="325"/>
      <c r="D3651" s="326"/>
      <c r="E3651" s="326"/>
      <c r="F3651" s="326"/>
      <c r="G3651" s="326"/>
      <c r="H3651" s="326"/>
      <c r="P3651" s="318"/>
      <c r="Q3651" s="318"/>
      <c r="R3651" s="318"/>
      <c r="S3651" s="318"/>
      <c r="T3651" s="318"/>
      <c r="U3651" s="318"/>
      <c r="V3651" s="318"/>
      <c r="W3651" s="318"/>
      <c r="X3651" s="318"/>
      <c r="Y3651" s="318"/>
      <c r="Z3651" s="318"/>
      <c r="AA3651" s="318"/>
      <c r="AB3651" s="318"/>
      <c r="AC3651" s="318"/>
      <c r="AD3651" s="318"/>
    </row>
    <row r="3652" spans="2:30" s="323" customFormat="1" ht="12" customHeight="1">
      <c r="B3652" s="324"/>
      <c r="C3652" s="325"/>
      <c r="D3652" s="326"/>
      <c r="E3652" s="326"/>
      <c r="F3652" s="326"/>
      <c r="G3652" s="326"/>
      <c r="H3652" s="326"/>
      <c r="P3652" s="318"/>
      <c r="Q3652" s="318"/>
      <c r="R3652" s="318"/>
      <c r="S3652" s="318"/>
      <c r="T3652" s="318"/>
      <c r="U3652" s="318"/>
      <c r="V3652" s="318"/>
      <c r="W3652" s="318"/>
      <c r="X3652" s="318"/>
      <c r="Y3652" s="318"/>
      <c r="Z3652" s="318"/>
      <c r="AA3652" s="318"/>
      <c r="AB3652" s="318"/>
      <c r="AC3652" s="318"/>
      <c r="AD3652" s="318"/>
    </row>
    <row r="3653" spans="2:30" s="323" customFormat="1" ht="12" customHeight="1">
      <c r="B3653" s="324"/>
      <c r="C3653" s="325"/>
      <c r="D3653" s="326"/>
      <c r="E3653" s="326"/>
      <c r="F3653" s="326"/>
      <c r="G3653" s="326"/>
      <c r="H3653" s="326"/>
      <c r="P3653" s="318"/>
      <c r="Q3653" s="318"/>
      <c r="R3653" s="318"/>
      <c r="S3653" s="318"/>
      <c r="T3653" s="318"/>
      <c r="U3653" s="318"/>
      <c r="V3653" s="318"/>
      <c r="W3653" s="318"/>
      <c r="X3653" s="318"/>
      <c r="Y3653" s="318"/>
      <c r="Z3653" s="318"/>
      <c r="AA3653" s="318"/>
      <c r="AB3653" s="318"/>
      <c r="AC3653" s="318"/>
      <c r="AD3653" s="318"/>
    </row>
    <row r="3654" spans="2:30" s="323" customFormat="1" ht="12" customHeight="1">
      <c r="B3654" s="324"/>
      <c r="C3654" s="325"/>
      <c r="D3654" s="326"/>
      <c r="E3654" s="326"/>
      <c r="F3654" s="326"/>
      <c r="G3654" s="326"/>
      <c r="H3654" s="326"/>
      <c r="P3654" s="318"/>
      <c r="Q3654" s="318"/>
      <c r="R3654" s="318"/>
      <c r="S3654" s="318"/>
      <c r="T3654" s="318"/>
      <c r="U3654" s="318"/>
      <c r="V3654" s="318"/>
      <c r="W3654" s="318"/>
      <c r="X3654" s="318"/>
      <c r="Y3654" s="318"/>
      <c r="Z3654" s="318"/>
      <c r="AA3654" s="318"/>
      <c r="AB3654" s="318"/>
      <c r="AC3654" s="318"/>
      <c r="AD3654" s="318"/>
    </row>
    <row r="3655" spans="2:30" s="323" customFormat="1" ht="12" customHeight="1">
      <c r="B3655" s="324"/>
      <c r="C3655" s="325"/>
      <c r="D3655" s="326"/>
      <c r="E3655" s="326"/>
      <c r="F3655" s="326"/>
      <c r="G3655" s="326"/>
      <c r="H3655" s="326"/>
      <c r="P3655" s="318"/>
      <c r="Q3655" s="318"/>
      <c r="R3655" s="318"/>
      <c r="S3655" s="318"/>
      <c r="T3655" s="318"/>
      <c r="U3655" s="318"/>
      <c r="V3655" s="318"/>
      <c r="W3655" s="318"/>
      <c r="X3655" s="318"/>
      <c r="Y3655" s="318"/>
      <c r="Z3655" s="318"/>
      <c r="AA3655" s="318"/>
      <c r="AB3655" s="318"/>
      <c r="AC3655" s="318"/>
      <c r="AD3655" s="318"/>
    </row>
    <row r="3656" spans="2:30" s="323" customFormat="1" ht="12" customHeight="1">
      <c r="B3656" s="324"/>
      <c r="C3656" s="325"/>
      <c r="D3656" s="326"/>
      <c r="E3656" s="326"/>
      <c r="F3656" s="326"/>
      <c r="G3656" s="326"/>
      <c r="H3656" s="326"/>
      <c r="P3656" s="318"/>
      <c r="Q3656" s="318"/>
      <c r="R3656" s="318"/>
      <c r="S3656" s="318"/>
      <c r="T3656" s="318"/>
      <c r="U3656" s="318"/>
      <c r="V3656" s="318"/>
      <c r="W3656" s="318"/>
      <c r="X3656" s="318"/>
      <c r="Y3656" s="318"/>
      <c r="Z3656" s="318"/>
      <c r="AA3656" s="318"/>
      <c r="AB3656" s="318"/>
      <c r="AC3656" s="318"/>
      <c r="AD3656" s="318"/>
    </row>
    <row r="3657" spans="2:30" s="323" customFormat="1" ht="12" customHeight="1">
      <c r="B3657" s="324"/>
      <c r="C3657" s="325"/>
      <c r="D3657" s="326"/>
      <c r="E3657" s="326"/>
      <c r="F3657" s="326"/>
      <c r="G3657" s="326"/>
      <c r="H3657" s="326"/>
      <c r="P3657" s="318"/>
      <c r="Q3657" s="318"/>
      <c r="R3657" s="318"/>
      <c r="S3657" s="318"/>
      <c r="T3657" s="318"/>
      <c r="U3657" s="318"/>
      <c r="V3657" s="318"/>
      <c r="W3657" s="318"/>
      <c r="X3657" s="318"/>
      <c r="Y3657" s="318"/>
      <c r="Z3657" s="318"/>
      <c r="AA3657" s="318"/>
      <c r="AB3657" s="318"/>
      <c r="AC3657" s="318"/>
      <c r="AD3657" s="318"/>
    </row>
    <row r="3658" spans="2:30" s="323" customFormat="1" ht="12" customHeight="1">
      <c r="B3658" s="324"/>
      <c r="C3658" s="325"/>
      <c r="D3658" s="326"/>
      <c r="E3658" s="326"/>
      <c r="F3658" s="326"/>
      <c r="G3658" s="326"/>
      <c r="H3658" s="326"/>
      <c r="P3658" s="318"/>
      <c r="Q3658" s="318"/>
      <c r="R3658" s="318"/>
      <c r="S3658" s="318"/>
      <c r="T3658" s="318"/>
      <c r="U3658" s="318"/>
      <c r="V3658" s="318"/>
      <c r="W3658" s="318"/>
      <c r="X3658" s="318"/>
      <c r="Y3658" s="318"/>
      <c r="Z3658" s="318"/>
      <c r="AA3658" s="318"/>
      <c r="AB3658" s="318"/>
      <c r="AC3658" s="318"/>
      <c r="AD3658" s="318"/>
    </row>
    <row r="3659" spans="2:30" s="323" customFormat="1" ht="12" customHeight="1">
      <c r="B3659" s="324"/>
      <c r="C3659" s="325"/>
      <c r="D3659" s="326"/>
      <c r="E3659" s="326"/>
      <c r="F3659" s="326"/>
      <c r="G3659" s="326"/>
      <c r="H3659" s="326"/>
      <c r="P3659" s="318"/>
      <c r="Q3659" s="318"/>
      <c r="R3659" s="318"/>
      <c r="S3659" s="318"/>
      <c r="T3659" s="318"/>
      <c r="U3659" s="318"/>
      <c r="V3659" s="318"/>
      <c r="W3659" s="318"/>
      <c r="X3659" s="318"/>
      <c r="Y3659" s="318"/>
      <c r="Z3659" s="318"/>
      <c r="AA3659" s="318"/>
      <c r="AB3659" s="318"/>
      <c r="AC3659" s="318"/>
      <c r="AD3659" s="318"/>
    </row>
    <row r="3660" spans="2:30" s="323" customFormat="1" ht="12" customHeight="1">
      <c r="B3660" s="324"/>
      <c r="C3660" s="325"/>
      <c r="D3660" s="326"/>
      <c r="E3660" s="326"/>
      <c r="F3660" s="326"/>
      <c r="G3660" s="326"/>
      <c r="H3660" s="326"/>
      <c r="P3660" s="318"/>
      <c r="Q3660" s="318"/>
      <c r="R3660" s="318"/>
      <c r="S3660" s="318"/>
      <c r="T3660" s="318"/>
      <c r="U3660" s="318"/>
      <c r="V3660" s="318"/>
      <c r="W3660" s="318"/>
      <c r="X3660" s="318"/>
      <c r="Y3660" s="318"/>
      <c r="Z3660" s="318"/>
      <c r="AA3660" s="318"/>
      <c r="AB3660" s="318"/>
      <c r="AC3660" s="318"/>
      <c r="AD3660" s="318"/>
    </row>
    <row r="3661" spans="2:30" s="323" customFormat="1" ht="12" customHeight="1">
      <c r="B3661" s="324"/>
      <c r="C3661" s="325"/>
      <c r="D3661" s="326"/>
      <c r="E3661" s="326"/>
      <c r="F3661" s="326"/>
      <c r="G3661" s="326"/>
      <c r="H3661" s="326"/>
      <c r="P3661" s="318"/>
      <c r="Q3661" s="318"/>
      <c r="R3661" s="318"/>
      <c r="S3661" s="318"/>
      <c r="T3661" s="318"/>
      <c r="U3661" s="318"/>
      <c r="V3661" s="318"/>
      <c r="W3661" s="318"/>
      <c r="X3661" s="318"/>
      <c r="Y3661" s="318"/>
      <c r="Z3661" s="318"/>
      <c r="AA3661" s="318"/>
      <c r="AB3661" s="318"/>
      <c r="AC3661" s="318"/>
      <c r="AD3661" s="318"/>
    </row>
    <row r="3662" spans="2:30" s="323" customFormat="1" ht="12" customHeight="1">
      <c r="B3662" s="324"/>
      <c r="C3662" s="325"/>
      <c r="D3662" s="326"/>
      <c r="E3662" s="326"/>
      <c r="F3662" s="326"/>
      <c r="G3662" s="326"/>
      <c r="H3662" s="326"/>
      <c r="P3662" s="318"/>
      <c r="Q3662" s="318"/>
      <c r="R3662" s="318"/>
      <c r="S3662" s="318"/>
      <c r="T3662" s="318"/>
      <c r="U3662" s="318"/>
      <c r="V3662" s="318"/>
      <c r="W3662" s="318"/>
      <c r="X3662" s="318"/>
      <c r="Y3662" s="318"/>
      <c r="Z3662" s="318"/>
      <c r="AA3662" s="318"/>
      <c r="AB3662" s="318"/>
      <c r="AC3662" s="318"/>
      <c r="AD3662" s="318"/>
    </row>
    <row r="3663" spans="2:30" s="323" customFormat="1" ht="12" customHeight="1">
      <c r="B3663" s="324"/>
      <c r="C3663" s="325"/>
      <c r="D3663" s="326"/>
      <c r="E3663" s="326"/>
      <c r="F3663" s="326"/>
      <c r="G3663" s="326"/>
      <c r="H3663" s="326"/>
      <c r="P3663" s="318"/>
      <c r="Q3663" s="318"/>
      <c r="R3663" s="318"/>
      <c r="S3663" s="318"/>
      <c r="T3663" s="318"/>
      <c r="U3663" s="318"/>
      <c r="V3663" s="318"/>
      <c r="W3663" s="318"/>
      <c r="X3663" s="318"/>
      <c r="Y3663" s="318"/>
      <c r="Z3663" s="318"/>
      <c r="AA3663" s="318"/>
      <c r="AB3663" s="318"/>
      <c r="AC3663" s="318"/>
      <c r="AD3663" s="318"/>
    </row>
    <row r="3664" spans="2:30" s="323" customFormat="1" ht="12" customHeight="1">
      <c r="B3664" s="324"/>
      <c r="C3664" s="325"/>
      <c r="D3664" s="326"/>
      <c r="E3664" s="326"/>
      <c r="F3664" s="326"/>
      <c r="G3664" s="326"/>
      <c r="H3664" s="326"/>
      <c r="P3664" s="318"/>
      <c r="Q3664" s="318"/>
      <c r="R3664" s="318"/>
      <c r="S3664" s="318"/>
      <c r="T3664" s="318"/>
      <c r="U3664" s="318"/>
      <c r="V3664" s="318"/>
      <c r="W3664" s="318"/>
      <c r="X3664" s="318"/>
      <c r="Y3664" s="318"/>
      <c r="Z3664" s="318"/>
      <c r="AA3664" s="318"/>
      <c r="AB3664" s="318"/>
      <c r="AC3664" s="318"/>
      <c r="AD3664" s="318"/>
    </row>
    <row r="3665" spans="2:30" s="323" customFormat="1" ht="12" customHeight="1">
      <c r="B3665" s="324"/>
      <c r="C3665" s="325"/>
      <c r="D3665" s="326"/>
      <c r="E3665" s="326"/>
      <c r="F3665" s="326"/>
      <c r="G3665" s="326"/>
      <c r="H3665" s="326"/>
      <c r="P3665" s="318"/>
      <c r="Q3665" s="318"/>
      <c r="R3665" s="318"/>
      <c r="S3665" s="318"/>
      <c r="T3665" s="318"/>
      <c r="U3665" s="318"/>
      <c r="V3665" s="318"/>
      <c r="W3665" s="318"/>
      <c r="X3665" s="318"/>
      <c r="Y3665" s="318"/>
      <c r="Z3665" s="318"/>
      <c r="AA3665" s="318"/>
      <c r="AB3665" s="318"/>
      <c r="AC3665" s="318"/>
      <c r="AD3665" s="318"/>
    </row>
    <row r="3666" spans="2:30" s="323" customFormat="1" ht="12" customHeight="1">
      <c r="B3666" s="324"/>
      <c r="C3666" s="325"/>
      <c r="D3666" s="326"/>
      <c r="E3666" s="326"/>
      <c r="F3666" s="326"/>
      <c r="G3666" s="326"/>
      <c r="H3666" s="326"/>
      <c r="P3666" s="318"/>
      <c r="Q3666" s="318"/>
      <c r="R3666" s="318"/>
      <c r="S3666" s="318"/>
      <c r="T3666" s="318"/>
      <c r="U3666" s="318"/>
      <c r="V3666" s="318"/>
      <c r="W3666" s="318"/>
      <c r="X3666" s="318"/>
      <c r="Y3666" s="318"/>
      <c r="Z3666" s="318"/>
      <c r="AA3666" s="318"/>
      <c r="AB3666" s="318"/>
      <c r="AC3666" s="318"/>
      <c r="AD3666" s="318"/>
    </row>
    <row r="3667" spans="2:30" s="323" customFormat="1" ht="12" customHeight="1">
      <c r="B3667" s="324"/>
      <c r="C3667" s="325"/>
      <c r="D3667" s="326"/>
      <c r="E3667" s="326"/>
      <c r="F3667" s="326"/>
      <c r="G3667" s="326"/>
      <c r="H3667" s="326"/>
      <c r="P3667" s="318"/>
      <c r="Q3667" s="318"/>
      <c r="R3667" s="318"/>
      <c r="S3667" s="318"/>
      <c r="T3667" s="318"/>
      <c r="U3667" s="318"/>
      <c r="V3667" s="318"/>
      <c r="W3667" s="318"/>
      <c r="X3667" s="318"/>
      <c r="Y3667" s="318"/>
      <c r="Z3667" s="318"/>
      <c r="AA3667" s="318"/>
      <c r="AB3667" s="318"/>
      <c r="AC3667" s="318"/>
      <c r="AD3667" s="318"/>
    </row>
    <row r="3668" spans="2:30" s="323" customFormat="1" ht="12" customHeight="1">
      <c r="B3668" s="324"/>
      <c r="C3668" s="325"/>
      <c r="D3668" s="326"/>
      <c r="E3668" s="326"/>
      <c r="F3668" s="326"/>
      <c r="G3668" s="326"/>
      <c r="H3668" s="326"/>
      <c r="P3668" s="318"/>
      <c r="Q3668" s="318"/>
      <c r="R3668" s="318"/>
      <c r="S3668" s="318"/>
      <c r="T3668" s="318"/>
      <c r="U3668" s="318"/>
      <c r="V3668" s="318"/>
      <c r="W3668" s="318"/>
      <c r="X3668" s="318"/>
      <c r="Y3668" s="318"/>
      <c r="Z3668" s="318"/>
      <c r="AA3668" s="318"/>
      <c r="AB3668" s="318"/>
      <c r="AC3668" s="318"/>
      <c r="AD3668" s="318"/>
    </row>
    <row r="3669" spans="2:30" s="323" customFormat="1" ht="12" customHeight="1">
      <c r="B3669" s="324"/>
      <c r="C3669" s="325"/>
      <c r="D3669" s="326"/>
      <c r="E3669" s="326"/>
      <c r="F3669" s="326"/>
      <c r="G3669" s="326"/>
      <c r="H3669" s="326"/>
      <c r="P3669" s="318"/>
      <c r="Q3669" s="318"/>
      <c r="R3669" s="318"/>
      <c r="S3669" s="318"/>
      <c r="T3669" s="318"/>
      <c r="U3669" s="318"/>
      <c r="V3669" s="318"/>
      <c r="W3669" s="318"/>
      <c r="X3669" s="318"/>
      <c r="Y3669" s="318"/>
      <c r="Z3669" s="318"/>
      <c r="AA3669" s="318"/>
      <c r="AB3669" s="318"/>
      <c r="AC3669" s="318"/>
      <c r="AD3669" s="318"/>
    </row>
    <row r="3670" spans="2:30" s="323" customFormat="1" ht="12" customHeight="1">
      <c r="B3670" s="324"/>
      <c r="C3670" s="325"/>
      <c r="D3670" s="326"/>
      <c r="E3670" s="326"/>
      <c r="F3670" s="326"/>
      <c r="G3670" s="326"/>
      <c r="H3670" s="326"/>
      <c r="P3670" s="318"/>
      <c r="Q3670" s="318"/>
      <c r="R3670" s="318"/>
      <c r="S3670" s="318"/>
      <c r="T3670" s="318"/>
      <c r="U3670" s="318"/>
      <c r="V3670" s="318"/>
      <c r="W3670" s="318"/>
      <c r="X3670" s="318"/>
      <c r="Y3670" s="318"/>
      <c r="Z3670" s="318"/>
      <c r="AA3670" s="318"/>
      <c r="AB3670" s="318"/>
      <c r="AC3670" s="318"/>
      <c r="AD3670" s="318"/>
    </row>
    <row r="3671" spans="2:30" s="323" customFormat="1" ht="12" customHeight="1">
      <c r="B3671" s="324"/>
      <c r="C3671" s="325"/>
      <c r="D3671" s="326"/>
      <c r="E3671" s="326"/>
      <c r="F3671" s="326"/>
      <c r="G3671" s="326"/>
      <c r="H3671" s="326"/>
      <c r="P3671" s="318"/>
      <c r="Q3671" s="318"/>
      <c r="R3671" s="318"/>
      <c r="S3671" s="318"/>
      <c r="T3671" s="318"/>
      <c r="U3671" s="318"/>
      <c r="V3671" s="318"/>
      <c r="W3671" s="318"/>
      <c r="X3671" s="318"/>
      <c r="Y3671" s="318"/>
      <c r="Z3671" s="318"/>
      <c r="AA3671" s="318"/>
      <c r="AB3671" s="318"/>
      <c r="AC3671" s="318"/>
      <c r="AD3671" s="318"/>
    </row>
    <row r="3672" spans="2:30" s="323" customFormat="1" ht="12" customHeight="1">
      <c r="B3672" s="324"/>
      <c r="C3672" s="325"/>
      <c r="D3672" s="326"/>
      <c r="E3672" s="326"/>
      <c r="F3672" s="326"/>
      <c r="G3672" s="326"/>
      <c r="H3672" s="326"/>
      <c r="P3672" s="318"/>
      <c r="Q3672" s="318"/>
      <c r="R3672" s="318"/>
      <c r="S3672" s="318"/>
      <c r="T3672" s="318"/>
      <c r="U3672" s="318"/>
      <c r="V3672" s="318"/>
      <c r="W3672" s="318"/>
      <c r="X3672" s="318"/>
      <c r="Y3672" s="318"/>
      <c r="Z3672" s="318"/>
      <c r="AA3672" s="318"/>
      <c r="AB3672" s="318"/>
      <c r="AC3672" s="318"/>
      <c r="AD3672" s="318"/>
    </row>
    <row r="3673" spans="2:30" s="323" customFormat="1" ht="12" customHeight="1">
      <c r="B3673" s="324"/>
      <c r="C3673" s="325"/>
      <c r="D3673" s="326"/>
      <c r="E3673" s="326"/>
      <c r="F3673" s="326"/>
      <c r="G3673" s="326"/>
      <c r="H3673" s="326"/>
      <c r="P3673" s="318"/>
      <c r="Q3673" s="318"/>
      <c r="R3673" s="318"/>
      <c r="S3673" s="318"/>
      <c r="T3673" s="318"/>
      <c r="U3673" s="318"/>
      <c r="V3673" s="318"/>
      <c r="W3673" s="318"/>
      <c r="X3673" s="318"/>
      <c r="Y3673" s="318"/>
      <c r="Z3673" s="318"/>
      <c r="AA3673" s="318"/>
      <c r="AB3673" s="318"/>
      <c r="AC3673" s="318"/>
      <c r="AD3673" s="318"/>
    </row>
    <row r="3674" spans="2:30" s="323" customFormat="1" ht="12" customHeight="1">
      <c r="B3674" s="324"/>
      <c r="C3674" s="325"/>
      <c r="D3674" s="326"/>
      <c r="E3674" s="326"/>
      <c r="F3674" s="326"/>
      <c r="G3674" s="326"/>
      <c r="H3674" s="326"/>
      <c r="P3674" s="318"/>
      <c r="Q3674" s="318"/>
      <c r="R3674" s="318"/>
      <c r="S3674" s="318"/>
      <c r="T3674" s="318"/>
      <c r="U3674" s="318"/>
      <c r="V3674" s="318"/>
      <c r="W3674" s="318"/>
      <c r="X3674" s="318"/>
      <c r="Y3674" s="318"/>
      <c r="Z3674" s="318"/>
      <c r="AA3674" s="318"/>
      <c r="AB3674" s="318"/>
      <c r="AC3674" s="318"/>
      <c r="AD3674" s="318"/>
    </row>
    <row r="3675" spans="2:30" s="323" customFormat="1" ht="12" customHeight="1">
      <c r="B3675" s="324"/>
      <c r="C3675" s="325"/>
      <c r="D3675" s="326"/>
      <c r="E3675" s="326"/>
      <c r="F3675" s="326"/>
      <c r="G3675" s="326"/>
      <c r="H3675" s="326"/>
      <c r="P3675" s="318"/>
      <c r="Q3675" s="318"/>
      <c r="R3675" s="318"/>
      <c r="S3675" s="318"/>
      <c r="T3675" s="318"/>
      <c r="U3675" s="318"/>
      <c r="V3675" s="318"/>
      <c r="W3675" s="318"/>
      <c r="X3675" s="318"/>
      <c r="Y3675" s="318"/>
      <c r="Z3675" s="318"/>
      <c r="AA3675" s="318"/>
      <c r="AB3675" s="318"/>
      <c r="AC3675" s="318"/>
      <c r="AD3675" s="318"/>
    </row>
    <row r="3676" spans="2:30" s="323" customFormat="1" ht="12" customHeight="1">
      <c r="B3676" s="324"/>
      <c r="C3676" s="325"/>
      <c r="D3676" s="326"/>
      <c r="E3676" s="326"/>
      <c r="F3676" s="326"/>
      <c r="G3676" s="326"/>
      <c r="H3676" s="326"/>
      <c r="P3676" s="318"/>
      <c r="Q3676" s="318"/>
      <c r="R3676" s="318"/>
      <c r="S3676" s="318"/>
      <c r="T3676" s="318"/>
      <c r="U3676" s="318"/>
      <c r="V3676" s="318"/>
      <c r="W3676" s="318"/>
      <c r="X3676" s="318"/>
      <c r="Y3676" s="318"/>
      <c r="Z3676" s="318"/>
      <c r="AA3676" s="318"/>
      <c r="AB3676" s="318"/>
      <c r="AC3676" s="318"/>
      <c r="AD3676" s="318"/>
    </row>
    <row r="3677" spans="2:30" s="323" customFormat="1" ht="12" customHeight="1">
      <c r="B3677" s="324"/>
      <c r="C3677" s="325"/>
      <c r="D3677" s="326"/>
      <c r="E3677" s="326"/>
      <c r="F3677" s="326"/>
      <c r="G3677" s="326"/>
      <c r="H3677" s="326"/>
      <c r="P3677" s="318"/>
      <c r="Q3677" s="318"/>
      <c r="R3677" s="318"/>
      <c r="S3677" s="318"/>
      <c r="T3677" s="318"/>
      <c r="U3677" s="318"/>
      <c r="V3677" s="318"/>
      <c r="W3677" s="318"/>
      <c r="X3677" s="318"/>
      <c r="Y3677" s="318"/>
      <c r="Z3677" s="318"/>
      <c r="AA3677" s="318"/>
      <c r="AB3677" s="318"/>
      <c r="AC3677" s="318"/>
      <c r="AD3677" s="318"/>
    </row>
    <row r="3678" spans="2:30" s="323" customFormat="1" ht="12" customHeight="1">
      <c r="B3678" s="324"/>
      <c r="C3678" s="325"/>
      <c r="D3678" s="326"/>
      <c r="E3678" s="326"/>
      <c r="F3678" s="326"/>
      <c r="G3678" s="326"/>
      <c r="H3678" s="326"/>
      <c r="P3678" s="318"/>
      <c r="Q3678" s="318"/>
      <c r="R3678" s="318"/>
      <c r="S3678" s="318"/>
      <c r="T3678" s="318"/>
      <c r="U3678" s="318"/>
      <c r="V3678" s="318"/>
      <c r="W3678" s="318"/>
      <c r="X3678" s="318"/>
      <c r="Y3678" s="318"/>
      <c r="Z3678" s="318"/>
      <c r="AA3678" s="318"/>
      <c r="AB3678" s="318"/>
      <c r="AC3678" s="318"/>
      <c r="AD3678" s="318"/>
    </row>
    <row r="3679" spans="2:30" s="323" customFormat="1" ht="12" customHeight="1">
      <c r="B3679" s="324"/>
      <c r="C3679" s="325"/>
      <c r="D3679" s="326"/>
      <c r="E3679" s="326"/>
      <c r="F3679" s="326"/>
      <c r="G3679" s="326"/>
      <c r="H3679" s="326"/>
      <c r="P3679" s="318"/>
      <c r="Q3679" s="318"/>
      <c r="R3679" s="318"/>
      <c r="S3679" s="318"/>
      <c r="T3679" s="318"/>
      <c r="U3679" s="318"/>
      <c r="V3679" s="318"/>
      <c r="W3679" s="318"/>
      <c r="X3679" s="318"/>
      <c r="Y3679" s="318"/>
      <c r="Z3679" s="318"/>
      <c r="AA3679" s="318"/>
      <c r="AB3679" s="318"/>
      <c r="AC3679" s="318"/>
      <c r="AD3679" s="318"/>
    </row>
    <row r="3680" spans="2:30" s="323" customFormat="1" ht="12" customHeight="1">
      <c r="B3680" s="324"/>
      <c r="C3680" s="325"/>
      <c r="D3680" s="326"/>
      <c r="E3680" s="326"/>
      <c r="F3680" s="326"/>
      <c r="G3680" s="326"/>
      <c r="H3680" s="326"/>
      <c r="P3680" s="318"/>
      <c r="Q3680" s="318"/>
      <c r="R3680" s="318"/>
      <c r="S3680" s="318"/>
      <c r="T3680" s="318"/>
      <c r="U3680" s="318"/>
      <c r="V3680" s="318"/>
      <c r="W3680" s="318"/>
      <c r="X3680" s="318"/>
      <c r="Y3680" s="318"/>
      <c r="Z3680" s="318"/>
      <c r="AA3680" s="318"/>
      <c r="AB3680" s="318"/>
      <c r="AC3680" s="318"/>
      <c r="AD3680" s="318"/>
    </row>
    <row r="3681" spans="2:30" s="323" customFormat="1" ht="12" customHeight="1">
      <c r="B3681" s="324"/>
      <c r="C3681" s="325"/>
      <c r="D3681" s="326"/>
      <c r="E3681" s="326"/>
      <c r="F3681" s="326"/>
      <c r="G3681" s="326"/>
      <c r="H3681" s="326"/>
      <c r="P3681" s="318"/>
      <c r="Q3681" s="318"/>
      <c r="R3681" s="318"/>
      <c r="S3681" s="318"/>
      <c r="T3681" s="318"/>
      <c r="U3681" s="318"/>
      <c r="V3681" s="318"/>
      <c r="W3681" s="318"/>
      <c r="X3681" s="318"/>
      <c r="Y3681" s="318"/>
      <c r="Z3681" s="318"/>
      <c r="AA3681" s="318"/>
      <c r="AB3681" s="318"/>
      <c r="AC3681" s="318"/>
      <c r="AD3681" s="318"/>
    </row>
    <row r="3682" spans="2:30" s="323" customFormat="1" ht="12" customHeight="1">
      <c r="B3682" s="324"/>
      <c r="C3682" s="325"/>
      <c r="D3682" s="326"/>
      <c r="E3682" s="326"/>
      <c r="F3682" s="326"/>
      <c r="G3682" s="326"/>
      <c r="H3682" s="326"/>
      <c r="P3682" s="318"/>
      <c r="Q3682" s="318"/>
      <c r="R3682" s="318"/>
      <c r="S3682" s="318"/>
      <c r="T3682" s="318"/>
      <c r="U3682" s="318"/>
      <c r="V3682" s="318"/>
      <c r="W3682" s="318"/>
      <c r="X3682" s="318"/>
      <c r="Y3682" s="318"/>
      <c r="Z3682" s="318"/>
      <c r="AA3682" s="318"/>
      <c r="AB3682" s="318"/>
      <c r="AC3682" s="318"/>
      <c r="AD3682" s="318"/>
    </row>
    <row r="3683" spans="2:30" s="323" customFormat="1" ht="12" customHeight="1">
      <c r="B3683" s="324"/>
      <c r="C3683" s="325"/>
      <c r="D3683" s="326"/>
      <c r="E3683" s="326"/>
      <c r="F3683" s="326"/>
      <c r="G3683" s="326"/>
      <c r="H3683" s="326"/>
      <c r="P3683" s="318"/>
      <c r="Q3683" s="318"/>
      <c r="R3683" s="318"/>
      <c r="S3683" s="318"/>
      <c r="T3683" s="318"/>
      <c r="U3683" s="318"/>
      <c r="V3683" s="318"/>
      <c r="W3683" s="318"/>
      <c r="X3683" s="318"/>
      <c r="Y3683" s="318"/>
      <c r="Z3683" s="318"/>
      <c r="AA3683" s="318"/>
      <c r="AB3683" s="318"/>
      <c r="AC3683" s="318"/>
      <c r="AD3683" s="318"/>
    </row>
    <row r="3684" spans="2:30" s="323" customFormat="1" ht="12" customHeight="1">
      <c r="B3684" s="324"/>
      <c r="C3684" s="325"/>
      <c r="D3684" s="326"/>
      <c r="E3684" s="326"/>
      <c r="F3684" s="326"/>
      <c r="G3684" s="326"/>
      <c r="H3684" s="326"/>
      <c r="P3684" s="318"/>
      <c r="Q3684" s="318"/>
      <c r="R3684" s="318"/>
      <c r="S3684" s="318"/>
      <c r="T3684" s="318"/>
      <c r="U3684" s="318"/>
      <c r="V3684" s="318"/>
      <c r="W3684" s="318"/>
      <c r="X3684" s="318"/>
      <c r="Y3684" s="318"/>
      <c r="Z3684" s="318"/>
      <c r="AA3684" s="318"/>
      <c r="AB3684" s="318"/>
      <c r="AC3684" s="318"/>
      <c r="AD3684" s="318"/>
    </row>
    <row r="3685" spans="2:30" s="323" customFormat="1" ht="12" customHeight="1">
      <c r="B3685" s="324"/>
      <c r="C3685" s="325"/>
      <c r="D3685" s="326"/>
      <c r="E3685" s="326"/>
      <c r="F3685" s="326"/>
      <c r="G3685" s="326"/>
      <c r="H3685" s="326"/>
      <c r="P3685" s="318"/>
      <c r="Q3685" s="318"/>
      <c r="R3685" s="318"/>
      <c r="S3685" s="318"/>
      <c r="T3685" s="318"/>
      <c r="U3685" s="318"/>
      <c r="V3685" s="318"/>
      <c r="W3685" s="318"/>
      <c r="X3685" s="318"/>
      <c r="Y3685" s="318"/>
      <c r="Z3685" s="318"/>
      <c r="AA3685" s="318"/>
      <c r="AB3685" s="318"/>
      <c r="AC3685" s="318"/>
      <c r="AD3685" s="318"/>
    </row>
    <row r="3686" spans="2:30" s="323" customFormat="1" ht="12" customHeight="1">
      <c r="B3686" s="324"/>
      <c r="C3686" s="325"/>
      <c r="D3686" s="326"/>
      <c r="E3686" s="326"/>
      <c r="F3686" s="326"/>
      <c r="G3686" s="326"/>
      <c r="H3686" s="326"/>
      <c r="P3686" s="318"/>
      <c r="Q3686" s="318"/>
      <c r="R3686" s="318"/>
      <c r="S3686" s="318"/>
      <c r="T3686" s="318"/>
      <c r="U3686" s="318"/>
      <c r="V3686" s="318"/>
      <c r="W3686" s="318"/>
      <c r="X3686" s="318"/>
      <c r="Y3686" s="318"/>
      <c r="Z3686" s="318"/>
      <c r="AA3686" s="318"/>
      <c r="AB3686" s="318"/>
      <c r="AC3686" s="318"/>
      <c r="AD3686" s="318"/>
    </row>
    <row r="3687" spans="2:30" s="323" customFormat="1" ht="12" customHeight="1">
      <c r="B3687" s="324"/>
      <c r="C3687" s="325"/>
      <c r="D3687" s="326"/>
      <c r="E3687" s="326"/>
      <c r="F3687" s="326"/>
      <c r="G3687" s="326"/>
      <c r="H3687" s="326"/>
      <c r="P3687" s="318"/>
      <c r="Q3687" s="318"/>
      <c r="R3687" s="318"/>
      <c r="S3687" s="318"/>
      <c r="T3687" s="318"/>
      <c r="U3687" s="318"/>
      <c r="V3687" s="318"/>
      <c r="W3687" s="318"/>
      <c r="X3687" s="318"/>
      <c r="Y3687" s="318"/>
      <c r="Z3687" s="318"/>
      <c r="AA3687" s="318"/>
      <c r="AB3687" s="318"/>
      <c r="AC3687" s="318"/>
      <c r="AD3687" s="318"/>
    </row>
    <row r="3688" spans="2:30" s="323" customFormat="1" ht="12" customHeight="1">
      <c r="B3688" s="324"/>
      <c r="C3688" s="325"/>
      <c r="D3688" s="326"/>
      <c r="E3688" s="326"/>
      <c r="F3688" s="326"/>
      <c r="G3688" s="326"/>
      <c r="H3688" s="326"/>
      <c r="P3688" s="318"/>
      <c r="Q3688" s="318"/>
      <c r="R3688" s="318"/>
      <c r="S3688" s="318"/>
      <c r="T3688" s="318"/>
      <c r="U3688" s="318"/>
      <c r="V3688" s="318"/>
      <c r="W3688" s="318"/>
      <c r="X3688" s="318"/>
      <c r="Y3688" s="318"/>
      <c r="Z3688" s="318"/>
      <c r="AA3688" s="318"/>
      <c r="AB3688" s="318"/>
      <c r="AC3688" s="318"/>
      <c r="AD3688" s="318"/>
    </row>
    <row r="3689" spans="2:30" s="323" customFormat="1" ht="12" customHeight="1">
      <c r="B3689" s="324"/>
      <c r="C3689" s="325"/>
      <c r="D3689" s="326"/>
      <c r="E3689" s="326"/>
      <c r="F3689" s="326"/>
      <c r="G3689" s="326"/>
      <c r="H3689" s="326"/>
      <c r="P3689" s="318"/>
      <c r="Q3689" s="318"/>
      <c r="R3689" s="318"/>
      <c r="S3689" s="318"/>
      <c r="T3689" s="318"/>
      <c r="U3689" s="318"/>
      <c r="V3689" s="318"/>
      <c r="W3689" s="318"/>
      <c r="X3689" s="318"/>
      <c r="Y3689" s="318"/>
      <c r="Z3689" s="318"/>
      <c r="AA3689" s="318"/>
      <c r="AB3689" s="318"/>
      <c r="AC3689" s="318"/>
      <c r="AD3689" s="318"/>
    </row>
    <row r="3690" spans="2:30" s="323" customFormat="1" ht="12" customHeight="1">
      <c r="B3690" s="324"/>
      <c r="C3690" s="325"/>
      <c r="D3690" s="326"/>
      <c r="E3690" s="326"/>
      <c r="F3690" s="326"/>
      <c r="G3690" s="326"/>
      <c r="H3690" s="326"/>
      <c r="P3690" s="318"/>
      <c r="Q3690" s="318"/>
      <c r="R3690" s="318"/>
      <c r="S3690" s="318"/>
      <c r="T3690" s="318"/>
      <c r="U3690" s="318"/>
      <c r="V3690" s="318"/>
      <c r="W3690" s="318"/>
      <c r="X3690" s="318"/>
      <c r="Y3690" s="318"/>
      <c r="Z3690" s="318"/>
      <c r="AA3690" s="318"/>
      <c r="AB3690" s="318"/>
      <c r="AC3690" s="318"/>
      <c r="AD3690" s="318"/>
    </row>
    <row r="3691" spans="2:30" s="323" customFormat="1" ht="12" customHeight="1">
      <c r="B3691" s="324"/>
      <c r="C3691" s="325"/>
      <c r="D3691" s="326"/>
      <c r="E3691" s="326"/>
      <c r="F3691" s="326"/>
      <c r="G3691" s="326"/>
      <c r="H3691" s="326"/>
      <c r="P3691" s="318"/>
      <c r="Q3691" s="318"/>
      <c r="R3691" s="318"/>
      <c r="S3691" s="318"/>
      <c r="T3691" s="318"/>
      <c r="U3691" s="318"/>
      <c r="V3691" s="318"/>
      <c r="W3691" s="318"/>
      <c r="X3691" s="318"/>
      <c r="Y3691" s="318"/>
      <c r="Z3691" s="318"/>
      <c r="AA3691" s="318"/>
      <c r="AB3691" s="318"/>
      <c r="AC3691" s="318"/>
      <c r="AD3691" s="318"/>
    </row>
    <row r="3692" spans="2:30" s="323" customFormat="1" ht="12" customHeight="1">
      <c r="B3692" s="324"/>
      <c r="C3692" s="325"/>
      <c r="D3692" s="326"/>
      <c r="E3692" s="326"/>
      <c r="F3692" s="326"/>
      <c r="G3692" s="326"/>
      <c r="H3692" s="326"/>
      <c r="P3692" s="318"/>
      <c r="Q3692" s="318"/>
      <c r="R3692" s="318"/>
      <c r="S3692" s="318"/>
      <c r="T3692" s="318"/>
      <c r="U3692" s="318"/>
      <c r="V3692" s="318"/>
      <c r="W3692" s="318"/>
      <c r="X3692" s="318"/>
      <c r="Y3692" s="318"/>
      <c r="Z3692" s="318"/>
      <c r="AA3692" s="318"/>
      <c r="AB3692" s="318"/>
      <c r="AC3692" s="318"/>
      <c r="AD3692" s="318"/>
    </row>
    <row r="3693" spans="2:30" s="323" customFormat="1" ht="12" customHeight="1">
      <c r="B3693" s="324"/>
      <c r="C3693" s="325"/>
      <c r="D3693" s="326"/>
      <c r="E3693" s="326"/>
      <c r="F3693" s="326"/>
      <c r="G3693" s="326"/>
      <c r="H3693" s="326"/>
      <c r="P3693" s="318"/>
      <c r="Q3693" s="318"/>
      <c r="R3693" s="318"/>
      <c r="S3693" s="318"/>
      <c r="T3693" s="318"/>
      <c r="U3693" s="318"/>
      <c r="V3693" s="318"/>
      <c r="W3693" s="318"/>
      <c r="X3693" s="318"/>
      <c r="Y3693" s="318"/>
      <c r="Z3693" s="318"/>
      <c r="AA3693" s="318"/>
      <c r="AB3693" s="318"/>
      <c r="AC3693" s="318"/>
      <c r="AD3693" s="318"/>
    </row>
    <row r="3694" spans="2:30" s="323" customFormat="1" ht="12" customHeight="1">
      <c r="B3694" s="324"/>
      <c r="C3694" s="325"/>
      <c r="D3694" s="326"/>
      <c r="E3694" s="326"/>
      <c r="F3694" s="326"/>
      <c r="G3694" s="326"/>
      <c r="H3694" s="326"/>
      <c r="P3694" s="318"/>
      <c r="Q3694" s="318"/>
      <c r="R3694" s="318"/>
      <c r="S3694" s="318"/>
      <c r="T3694" s="318"/>
      <c r="U3694" s="318"/>
      <c r="V3694" s="318"/>
      <c r="W3694" s="318"/>
      <c r="X3694" s="318"/>
      <c r="Y3694" s="318"/>
      <c r="Z3694" s="318"/>
      <c r="AA3694" s="318"/>
      <c r="AB3694" s="318"/>
      <c r="AC3694" s="318"/>
      <c r="AD3694" s="318"/>
    </row>
    <row r="3695" spans="2:30" s="323" customFormat="1" ht="12" customHeight="1">
      <c r="B3695" s="324"/>
      <c r="C3695" s="325"/>
      <c r="D3695" s="326"/>
      <c r="E3695" s="326"/>
      <c r="F3695" s="326"/>
      <c r="G3695" s="326"/>
      <c r="H3695" s="326"/>
      <c r="P3695" s="318"/>
      <c r="Q3695" s="318"/>
      <c r="R3695" s="318"/>
      <c r="S3695" s="318"/>
      <c r="T3695" s="318"/>
      <c r="U3695" s="318"/>
      <c r="V3695" s="318"/>
      <c r="W3695" s="318"/>
      <c r="X3695" s="318"/>
      <c r="Y3695" s="318"/>
      <c r="Z3695" s="318"/>
      <c r="AA3695" s="318"/>
      <c r="AB3695" s="318"/>
      <c r="AC3695" s="318"/>
      <c r="AD3695" s="318"/>
    </row>
    <row r="3696" spans="2:30" s="323" customFormat="1" ht="12" customHeight="1">
      <c r="B3696" s="324"/>
      <c r="C3696" s="325"/>
      <c r="D3696" s="326"/>
      <c r="E3696" s="326"/>
      <c r="F3696" s="326"/>
      <c r="G3696" s="326"/>
      <c r="H3696" s="326"/>
      <c r="P3696" s="318"/>
      <c r="Q3696" s="318"/>
      <c r="R3696" s="318"/>
      <c r="S3696" s="318"/>
      <c r="T3696" s="318"/>
      <c r="U3696" s="318"/>
      <c r="V3696" s="318"/>
      <c r="W3696" s="318"/>
      <c r="X3696" s="318"/>
      <c r="Y3696" s="318"/>
      <c r="Z3696" s="318"/>
      <c r="AA3696" s="318"/>
      <c r="AB3696" s="318"/>
      <c r="AC3696" s="318"/>
      <c r="AD3696" s="318"/>
    </row>
    <row r="3697" spans="2:30" s="323" customFormat="1" ht="12" customHeight="1">
      <c r="B3697" s="324"/>
      <c r="C3697" s="325"/>
      <c r="D3697" s="326"/>
      <c r="E3697" s="326"/>
      <c r="F3697" s="326"/>
      <c r="G3697" s="326"/>
      <c r="H3697" s="326"/>
      <c r="P3697" s="318"/>
      <c r="Q3697" s="318"/>
      <c r="R3697" s="318"/>
      <c r="S3697" s="318"/>
      <c r="T3697" s="318"/>
      <c r="U3697" s="318"/>
      <c r="V3697" s="318"/>
      <c r="W3697" s="318"/>
      <c r="X3697" s="318"/>
      <c r="Y3697" s="318"/>
      <c r="Z3697" s="318"/>
      <c r="AA3697" s="318"/>
      <c r="AB3697" s="318"/>
      <c r="AC3697" s="318"/>
      <c r="AD3697" s="318"/>
    </row>
    <row r="3698" spans="2:30" s="323" customFormat="1" ht="12" customHeight="1">
      <c r="B3698" s="324"/>
      <c r="C3698" s="325"/>
      <c r="D3698" s="326"/>
      <c r="E3698" s="326"/>
      <c r="F3698" s="326"/>
      <c r="G3698" s="326"/>
      <c r="H3698" s="326"/>
      <c r="P3698" s="318"/>
      <c r="Q3698" s="318"/>
      <c r="R3698" s="318"/>
      <c r="S3698" s="318"/>
      <c r="T3698" s="318"/>
      <c r="U3698" s="318"/>
      <c r="V3698" s="318"/>
      <c r="W3698" s="318"/>
      <c r="X3698" s="318"/>
      <c r="Y3698" s="318"/>
      <c r="Z3698" s="318"/>
      <c r="AA3698" s="318"/>
      <c r="AB3698" s="318"/>
      <c r="AC3698" s="318"/>
      <c r="AD3698" s="318"/>
    </row>
    <row r="3699" spans="2:30" s="323" customFormat="1" ht="12" customHeight="1">
      <c r="B3699" s="324"/>
      <c r="C3699" s="325"/>
      <c r="D3699" s="326"/>
      <c r="E3699" s="326"/>
      <c r="F3699" s="326"/>
      <c r="G3699" s="326"/>
      <c r="H3699" s="326"/>
      <c r="P3699" s="318"/>
      <c r="Q3699" s="318"/>
      <c r="R3699" s="318"/>
      <c r="S3699" s="318"/>
      <c r="T3699" s="318"/>
      <c r="U3699" s="318"/>
      <c r="V3699" s="318"/>
      <c r="W3699" s="318"/>
      <c r="X3699" s="318"/>
      <c r="Y3699" s="318"/>
      <c r="Z3699" s="318"/>
      <c r="AA3699" s="318"/>
      <c r="AB3699" s="318"/>
      <c r="AC3699" s="318"/>
      <c r="AD3699" s="318"/>
    </row>
    <row r="3700" spans="2:30" s="323" customFormat="1" ht="12" customHeight="1">
      <c r="B3700" s="324"/>
      <c r="C3700" s="325"/>
      <c r="D3700" s="326"/>
      <c r="E3700" s="326"/>
      <c r="F3700" s="326"/>
      <c r="G3700" s="326"/>
      <c r="H3700" s="326"/>
      <c r="P3700" s="318"/>
      <c r="Q3700" s="318"/>
      <c r="R3700" s="318"/>
      <c r="S3700" s="318"/>
      <c r="T3700" s="318"/>
      <c r="U3700" s="318"/>
      <c r="V3700" s="318"/>
      <c r="W3700" s="318"/>
      <c r="X3700" s="318"/>
      <c r="Y3700" s="318"/>
      <c r="Z3700" s="318"/>
      <c r="AA3700" s="318"/>
      <c r="AB3700" s="318"/>
      <c r="AC3700" s="318"/>
      <c r="AD3700" s="318"/>
    </row>
    <row r="3701" spans="2:30" s="323" customFormat="1" ht="12" customHeight="1">
      <c r="B3701" s="324"/>
      <c r="C3701" s="325"/>
      <c r="D3701" s="326"/>
      <c r="E3701" s="326"/>
      <c r="F3701" s="326"/>
      <c r="G3701" s="326"/>
      <c r="H3701" s="326"/>
      <c r="P3701" s="318"/>
      <c r="Q3701" s="318"/>
      <c r="R3701" s="318"/>
      <c r="S3701" s="318"/>
      <c r="T3701" s="318"/>
      <c r="U3701" s="318"/>
      <c r="V3701" s="318"/>
      <c r="W3701" s="318"/>
      <c r="X3701" s="318"/>
      <c r="Y3701" s="318"/>
      <c r="Z3701" s="318"/>
      <c r="AA3701" s="318"/>
      <c r="AB3701" s="318"/>
      <c r="AC3701" s="318"/>
      <c r="AD3701" s="318"/>
    </row>
    <row r="3702" spans="2:30" s="323" customFormat="1" ht="12" customHeight="1">
      <c r="B3702" s="324"/>
      <c r="C3702" s="325"/>
      <c r="D3702" s="326"/>
      <c r="E3702" s="326"/>
      <c r="F3702" s="326"/>
      <c r="G3702" s="326"/>
      <c r="H3702" s="326"/>
      <c r="P3702" s="318"/>
      <c r="Q3702" s="318"/>
      <c r="R3702" s="318"/>
      <c r="S3702" s="318"/>
      <c r="T3702" s="318"/>
      <c r="U3702" s="318"/>
      <c r="V3702" s="318"/>
      <c r="W3702" s="318"/>
      <c r="X3702" s="318"/>
      <c r="Y3702" s="318"/>
      <c r="Z3702" s="318"/>
      <c r="AA3702" s="318"/>
      <c r="AB3702" s="318"/>
      <c r="AC3702" s="318"/>
      <c r="AD3702" s="318"/>
    </row>
    <row r="3703" spans="2:30" s="323" customFormat="1" ht="12" customHeight="1">
      <c r="B3703" s="324"/>
      <c r="C3703" s="325"/>
      <c r="D3703" s="326"/>
      <c r="E3703" s="326"/>
      <c r="F3703" s="326"/>
      <c r="G3703" s="326"/>
      <c r="H3703" s="326"/>
      <c r="P3703" s="318"/>
      <c r="Q3703" s="318"/>
      <c r="R3703" s="318"/>
      <c r="S3703" s="318"/>
      <c r="T3703" s="318"/>
      <c r="U3703" s="318"/>
      <c r="V3703" s="318"/>
      <c r="W3703" s="318"/>
      <c r="X3703" s="318"/>
      <c r="Y3703" s="318"/>
      <c r="Z3703" s="318"/>
      <c r="AA3703" s="318"/>
      <c r="AB3703" s="318"/>
      <c r="AC3703" s="318"/>
      <c r="AD3703" s="318"/>
    </row>
    <row r="3704" spans="2:30" s="323" customFormat="1" ht="12" customHeight="1">
      <c r="B3704" s="324"/>
      <c r="C3704" s="325"/>
      <c r="D3704" s="326"/>
      <c r="E3704" s="326"/>
      <c r="F3704" s="326"/>
      <c r="G3704" s="326"/>
      <c r="H3704" s="326"/>
      <c r="P3704" s="318"/>
      <c r="Q3704" s="318"/>
      <c r="R3704" s="318"/>
      <c r="S3704" s="318"/>
      <c r="T3704" s="318"/>
      <c r="U3704" s="318"/>
      <c r="V3704" s="318"/>
      <c r="W3704" s="318"/>
      <c r="X3704" s="318"/>
      <c r="Y3704" s="318"/>
      <c r="Z3704" s="318"/>
      <c r="AA3704" s="318"/>
      <c r="AB3704" s="318"/>
      <c r="AC3704" s="318"/>
      <c r="AD3704" s="318"/>
    </row>
    <row r="3705" spans="2:30" s="323" customFormat="1" ht="12" customHeight="1">
      <c r="B3705" s="324"/>
      <c r="C3705" s="325"/>
      <c r="D3705" s="326"/>
      <c r="E3705" s="326"/>
      <c r="F3705" s="326"/>
      <c r="G3705" s="326"/>
      <c r="H3705" s="326"/>
      <c r="P3705" s="318"/>
      <c r="Q3705" s="318"/>
      <c r="R3705" s="318"/>
      <c r="S3705" s="318"/>
      <c r="T3705" s="318"/>
      <c r="U3705" s="318"/>
      <c r="V3705" s="318"/>
      <c r="W3705" s="318"/>
      <c r="X3705" s="318"/>
      <c r="Y3705" s="318"/>
      <c r="Z3705" s="318"/>
      <c r="AA3705" s="318"/>
      <c r="AB3705" s="318"/>
      <c r="AC3705" s="318"/>
      <c r="AD3705" s="318"/>
    </row>
    <row r="3706" spans="2:30" s="323" customFormat="1" ht="12" customHeight="1">
      <c r="B3706" s="324"/>
      <c r="C3706" s="325"/>
      <c r="D3706" s="326"/>
      <c r="E3706" s="326"/>
      <c r="F3706" s="326"/>
      <c r="G3706" s="326"/>
      <c r="H3706" s="326"/>
      <c r="P3706" s="318"/>
      <c r="Q3706" s="318"/>
      <c r="R3706" s="318"/>
      <c r="S3706" s="318"/>
      <c r="T3706" s="318"/>
      <c r="U3706" s="318"/>
      <c r="V3706" s="318"/>
      <c r="W3706" s="318"/>
      <c r="X3706" s="318"/>
      <c r="Y3706" s="318"/>
      <c r="Z3706" s="318"/>
      <c r="AA3706" s="318"/>
      <c r="AB3706" s="318"/>
      <c r="AC3706" s="318"/>
      <c r="AD3706" s="318"/>
    </row>
    <row r="3707" spans="2:30" s="323" customFormat="1" ht="12" customHeight="1">
      <c r="B3707" s="324"/>
      <c r="C3707" s="325"/>
      <c r="D3707" s="326"/>
      <c r="E3707" s="326"/>
      <c r="F3707" s="326"/>
      <c r="G3707" s="326"/>
      <c r="H3707" s="326"/>
      <c r="P3707" s="318"/>
      <c r="Q3707" s="318"/>
      <c r="R3707" s="318"/>
      <c r="S3707" s="318"/>
      <c r="T3707" s="318"/>
      <c r="U3707" s="318"/>
      <c r="V3707" s="318"/>
      <c r="W3707" s="318"/>
      <c r="X3707" s="318"/>
      <c r="Y3707" s="318"/>
      <c r="Z3707" s="318"/>
      <c r="AA3707" s="318"/>
      <c r="AB3707" s="318"/>
      <c r="AC3707" s="318"/>
      <c r="AD3707" s="318"/>
    </row>
    <row r="3708" spans="2:30" s="323" customFormat="1" ht="12" customHeight="1">
      <c r="B3708" s="324"/>
      <c r="C3708" s="325"/>
      <c r="D3708" s="326"/>
      <c r="E3708" s="326"/>
      <c r="F3708" s="326"/>
      <c r="G3708" s="326"/>
      <c r="H3708" s="326"/>
      <c r="P3708" s="318"/>
      <c r="Q3708" s="318"/>
      <c r="R3708" s="318"/>
      <c r="S3708" s="318"/>
      <c r="T3708" s="318"/>
      <c r="U3708" s="318"/>
      <c r="V3708" s="318"/>
      <c r="W3708" s="318"/>
      <c r="X3708" s="318"/>
      <c r="Y3708" s="318"/>
      <c r="Z3708" s="318"/>
      <c r="AA3708" s="318"/>
      <c r="AB3708" s="318"/>
      <c r="AC3708" s="318"/>
      <c r="AD3708" s="318"/>
    </row>
    <row r="3709" spans="2:30" s="323" customFormat="1" ht="12" customHeight="1">
      <c r="B3709" s="324"/>
      <c r="C3709" s="325"/>
      <c r="D3709" s="326"/>
      <c r="E3709" s="326"/>
      <c r="F3709" s="326"/>
      <c r="G3709" s="326"/>
      <c r="H3709" s="326"/>
      <c r="P3709" s="318"/>
      <c r="Q3709" s="318"/>
      <c r="R3709" s="318"/>
      <c r="S3709" s="318"/>
      <c r="T3709" s="318"/>
      <c r="U3709" s="318"/>
      <c r="V3709" s="318"/>
      <c r="W3709" s="318"/>
      <c r="X3709" s="318"/>
      <c r="Y3709" s="318"/>
      <c r="Z3709" s="318"/>
      <c r="AA3709" s="318"/>
      <c r="AB3709" s="318"/>
      <c r="AC3709" s="318"/>
      <c r="AD3709" s="318"/>
    </row>
    <row r="3710" spans="2:30" s="323" customFormat="1" ht="12" customHeight="1">
      <c r="B3710" s="324"/>
      <c r="C3710" s="325"/>
      <c r="D3710" s="326"/>
      <c r="E3710" s="326"/>
      <c r="F3710" s="326"/>
      <c r="G3710" s="326"/>
      <c r="H3710" s="326"/>
      <c r="P3710" s="318"/>
      <c r="Q3710" s="318"/>
      <c r="R3710" s="318"/>
      <c r="S3710" s="318"/>
      <c r="T3710" s="318"/>
      <c r="U3710" s="318"/>
      <c r="V3710" s="318"/>
      <c r="W3710" s="318"/>
      <c r="X3710" s="318"/>
      <c r="Y3710" s="318"/>
      <c r="Z3710" s="318"/>
      <c r="AA3710" s="318"/>
      <c r="AB3710" s="318"/>
      <c r="AC3710" s="318"/>
      <c r="AD3710" s="318"/>
    </row>
    <row r="3711" spans="2:30" s="323" customFormat="1" ht="12" customHeight="1">
      <c r="B3711" s="324"/>
      <c r="C3711" s="325"/>
      <c r="D3711" s="326"/>
      <c r="E3711" s="326"/>
      <c r="F3711" s="326"/>
      <c r="G3711" s="326"/>
      <c r="H3711" s="326"/>
      <c r="P3711" s="318"/>
      <c r="Q3711" s="318"/>
      <c r="R3711" s="318"/>
      <c r="S3711" s="318"/>
      <c r="T3711" s="318"/>
      <c r="U3711" s="318"/>
      <c r="V3711" s="318"/>
      <c r="W3711" s="318"/>
      <c r="X3711" s="318"/>
      <c r="Y3711" s="318"/>
      <c r="Z3711" s="318"/>
      <c r="AA3711" s="318"/>
      <c r="AB3711" s="318"/>
      <c r="AC3711" s="318"/>
      <c r="AD3711" s="318"/>
    </row>
    <row r="3712" spans="2:30" s="323" customFormat="1" ht="12" customHeight="1">
      <c r="B3712" s="324"/>
      <c r="C3712" s="325"/>
      <c r="D3712" s="326"/>
      <c r="E3712" s="326"/>
      <c r="F3712" s="326"/>
      <c r="G3712" s="326"/>
      <c r="H3712" s="326"/>
      <c r="P3712" s="318"/>
      <c r="Q3712" s="318"/>
      <c r="R3712" s="318"/>
      <c r="S3712" s="318"/>
      <c r="T3712" s="318"/>
      <c r="U3712" s="318"/>
      <c r="V3712" s="318"/>
      <c r="W3712" s="318"/>
      <c r="X3712" s="318"/>
      <c r="Y3712" s="318"/>
      <c r="Z3712" s="318"/>
      <c r="AA3712" s="318"/>
      <c r="AB3712" s="318"/>
      <c r="AC3712" s="318"/>
      <c r="AD3712" s="318"/>
    </row>
    <row r="3713" spans="2:30" s="323" customFormat="1" ht="12" customHeight="1">
      <c r="B3713" s="324"/>
      <c r="C3713" s="325"/>
      <c r="D3713" s="326"/>
      <c r="E3713" s="326"/>
      <c r="F3713" s="326"/>
      <c r="G3713" s="326"/>
      <c r="H3713" s="326"/>
      <c r="P3713" s="318"/>
      <c r="Q3713" s="318"/>
      <c r="R3713" s="318"/>
      <c r="S3713" s="318"/>
      <c r="T3713" s="318"/>
      <c r="U3713" s="318"/>
      <c r="V3713" s="318"/>
      <c r="W3713" s="318"/>
      <c r="X3713" s="318"/>
      <c r="Y3713" s="318"/>
      <c r="Z3713" s="318"/>
      <c r="AA3713" s="318"/>
      <c r="AB3713" s="318"/>
      <c r="AC3713" s="318"/>
      <c r="AD3713" s="318"/>
    </row>
    <row r="3714" spans="2:30" s="323" customFormat="1" ht="12" customHeight="1">
      <c r="B3714" s="324"/>
      <c r="C3714" s="325"/>
      <c r="D3714" s="326"/>
      <c r="E3714" s="326"/>
      <c r="F3714" s="326"/>
      <c r="G3714" s="326"/>
      <c r="H3714" s="326"/>
      <c r="P3714" s="318"/>
      <c r="Q3714" s="318"/>
      <c r="R3714" s="318"/>
      <c r="S3714" s="318"/>
      <c r="T3714" s="318"/>
      <c r="U3714" s="318"/>
      <c r="V3714" s="318"/>
      <c r="W3714" s="318"/>
      <c r="X3714" s="318"/>
      <c r="Y3714" s="318"/>
      <c r="Z3714" s="318"/>
      <c r="AA3714" s="318"/>
      <c r="AB3714" s="318"/>
      <c r="AC3714" s="318"/>
      <c r="AD3714" s="318"/>
    </row>
    <row r="3715" spans="2:30" s="323" customFormat="1" ht="12" customHeight="1">
      <c r="B3715" s="324"/>
      <c r="C3715" s="325"/>
      <c r="D3715" s="326"/>
      <c r="E3715" s="326"/>
      <c r="F3715" s="326"/>
      <c r="G3715" s="326"/>
      <c r="H3715" s="326"/>
      <c r="P3715" s="318"/>
      <c r="Q3715" s="318"/>
      <c r="R3715" s="318"/>
      <c r="S3715" s="318"/>
      <c r="T3715" s="318"/>
      <c r="U3715" s="318"/>
      <c r="V3715" s="318"/>
      <c r="W3715" s="318"/>
      <c r="X3715" s="318"/>
      <c r="Y3715" s="318"/>
      <c r="Z3715" s="318"/>
      <c r="AA3715" s="318"/>
      <c r="AB3715" s="318"/>
      <c r="AC3715" s="318"/>
      <c r="AD3715" s="318"/>
    </row>
    <row r="3716" spans="2:30" s="323" customFormat="1" ht="12" customHeight="1">
      <c r="B3716" s="324"/>
      <c r="C3716" s="325"/>
      <c r="D3716" s="326"/>
      <c r="E3716" s="326"/>
      <c r="F3716" s="326"/>
      <c r="G3716" s="326"/>
      <c r="H3716" s="326"/>
      <c r="P3716" s="318"/>
      <c r="Q3716" s="318"/>
      <c r="R3716" s="318"/>
      <c r="S3716" s="318"/>
      <c r="T3716" s="318"/>
      <c r="U3716" s="318"/>
      <c r="V3716" s="318"/>
      <c r="W3716" s="318"/>
      <c r="X3716" s="318"/>
      <c r="Y3716" s="318"/>
      <c r="Z3716" s="318"/>
      <c r="AA3716" s="318"/>
      <c r="AB3716" s="318"/>
      <c r="AC3716" s="318"/>
      <c r="AD3716" s="318"/>
    </row>
    <row r="3717" spans="2:30" s="323" customFormat="1" ht="12" customHeight="1">
      <c r="B3717" s="324"/>
      <c r="C3717" s="325"/>
      <c r="D3717" s="326"/>
      <c r="E3717" s="326"/>
      <c r="F3717" s="326"/>
      <c r="G3717" s="326"/>
      <c r="H3717" s="326"/>
      <c r="P3717" s="318"/>
      <c r="Q3717" s="318"/>
      <c r="R3717" s="318"/>
      <c r="S3717" s="318"/>
      <c r="T3717" s="318"/>
      <c r="U3717" s="318"/>
      <c r="V3717" s="318"/>
      <c r="W3717" s="318"/>
      <c r="X3717" s="318"/>
      <c r="Y3717" s="318"/>
      <c r="Z3717" s="318"/>
      <c r="AA3717" s="318"/>
      <c r="AB3717" s="318"/>
      <c r="AC3717" s="318"/>
      <c r="AD3717" s="318"/>
    </row>
    <row r="3718" spans="2:30" s="323" customFormat="1" ht="12" customHeight="1">
      <c r="B3718" s="324"/>
      <c r="C3718" s="325"/>
      <c r="D3718" s="326"/>
      <c r="E3718" s="326"/>
      <c r="F3718" s="326"/>
      <c r="G3718" s="326"/>
      <c r="H3718" s="326"/>
      <c r="P3718" s="318"/>
      <c r="Q3718" s="318"/>
      <c r="R3718" s="318"/>
      <c r="S3718" s="318"/>
      <c r="T3718" s="318"/>
      <c r="U3718" s="318"/>
      <c r="V3718" s="318"/>
      <c r="W3718" s="318"/>
      <c r="X3718" s="318"/>
      <c r="Y3718" s="318"/>
      <c r="Z3718" s="318"/>
      <c r="AA3718" s="318"/>
      <c r="AB3718" s="318"/>
      <c r="AC3718" s="318"/>
      <c r="AD3718" s="318"/>
    </row>
    <row r="3719" spans="2:30" s="323" customFormat="1" ht="12" customHeight="1">
      <c r="B3719" s="324"/>
      <c r="C3719" s="325"/>
      <c r="D3719" s="326"/>
      <c r="E3719" s="326"/>
      <c r="F3719" s="326"/>
      <c r="G3719" s="326"/>
      <c r="H3719" s="326"/>
      <c r="P3719" s="318"/>
      <c r="Q3719" s="318"/>
      <c r="R3719" s="318"/>
      <c r="S3719" s="318"/>
      <c r="T3719" s="318"/>
      <c r="U3719" s="318"/>
      <c r="V3719" s="318"/>
      <c r="W3719" s="318"/>
      <c r="X3719" s="318"/>
      <c r="Y3719" s="318"/>
      <c r="Z3719" s="318"/>
      <c r="AA3719" s="318"/>
      <c r="AB3719" s="318"/>
      <c r="AC3719" s="318"/>
      <c r="AD3719" s="318"/>
    </row>
    <row r="3720" spans="2:30" s="323" customFormat="1" ht="12" customHeight="1">
      <c r="B3720" s="324"/>
      <c r="C3720" s="325"/>
      <c r="D3720" s="326"/>
      <c r="E3720" s="326"/>
      <c r="F3720" s="326"/>
      <c r="G3720" s="326"/>
      <c r="H3720" s="326"/>
      <c r="P3720" s="318"/>
      <c r="Q3720" s="318"/>
      <c r="R3720" s="318"/>
      <c r="S3720" s="318"/>
      <c r="T3720" s="318"/>
      <c r="U3720" s="318"/>
      <c r="V3720" s="318"/>
      <c r="W3720" s="318"/>
      <c r="X3720" s="318"/>
      <c r="Y3720" s="318"/>
      <c r="Z3720" s="318"/>
      <c r="AA3720" s="318"/>
      <c r="AB3720" s="318"/>
      <c r="AC3720" s="318"/>
      <c r="AD3720" s="318"/>
    </row>
    <row r="3721" spans="2:30" s="323" customFormat="1" ht="12" customHeight="1">
      <c r="B3721" s="324"/>
      <c r="C3721" s="325"/>
      <c r="D3721" s="326"/>
      <c r="E3721" s="326"/>
      <c r="F3721" s="326"/>
      <c r="G3721" s="326"/>
      <c r="H3721" s="326"/>
      <c r="P3721" s="318"/>
      <c r="Q3721" s="318"/>
      <c r="R3721" s="318"/>
      <c r="S3721" s="318"/>
      <c r="T3721" s="318"/>
      <c r="U3721" s="318"/>
      <c r="V3721" s="318"/>
      <c r="W3721" s="318"/>
      <c r="X3721" s="318"/>
      <c r="Y3721" s="318"/>
      <c r="Z3721" s="318"/>
      <c r="AA3721" s="318"/>
      <c r="AB3721" s="318"/>
      <c r="AC3721" s="318"/>
      <c r="AD3721" s="318"/>
    </row>
    <row r="3722" spans="2:30" s="323" customFormat="1" ht="12" customHeight="1">
      <c r="B3722" s="324"/>
      <c r="C3722" s="325"/>
      <c r="D3722" s="326"/>
      <c r="E3722" s="326"/>
      <c r="F3722" s="326"/>
      <c r="G3722" s="326"/>
      <c r="H3722" s="326"/>
      <c r="P3722" s="318"/>
      <c r="Q3722" s="318"/>
      <c r="R3722" s="318"/>
      <c r="S3722" s="318"/>
      <c r="T3722" s="318"/>
      <c r="U3722" s="318"/>
      <c r="V3722" s="318"/>
      <c r="W3722" s="318"/>
      <c r="X3722" s="318"/>
      <c r="Y3722" s="318"/>
      <c r="Z3722" s="318"/>
      <c r="AA3722" s="318"/>
      <c r="AB3722" s="318"/>
      <c r="AC3722" s="318"/>
      <c r="AD3722" s="318"/>
    </row>
    <row r="3723" spans="2:30" s="323" customFormat="1" ht="12" customHeight="1">
      <c r="B3723" s="324"/>
      <c r="C3723" s="325"/>
      <c r="D3723" s="326"/>
      <c r="E3723" s="326"/>
      <c r="F3723" s="326"/>
      <c r="G3723" s="326"/>
      <c r="H3723" s="326"/>
      <c r="P3723" s="318"/>
      <c r="Q3723" s="318"/>
      <c r="R3723" s="318"/>
      <c r="S3723" s="318"/>
      <c r="T3723" s="318"/>
      <c r="U3723" s="318"/>
      <c r="V3723" s="318"/>
      <c r="W3723" s="318"/>
      <c r="X3723" s="318"/>
      <c r="Y3723" s="318"/>
      <c r="Z3723" s="318"/>
      <c r="AA3723" s="318"/>
      <c r="AB3723" s="318"/>
      <c r="AC3723" s="318"/>
      <c r="AD3723" s="318"/>
    </row>
    <row r="3724" spans="2:30" s="323" customFormat="1" ht="12" customHeight="1">
      <c r="B3724" s="324"/>
      <c r="C3724" s="325"/>
      <c r="D3724" s="326"/>
      <c r="E3724" s="326"/>
      <c r="F3724" s="326"/>
      <c r="G3724" s="326"/>
      <c r="H3724" s="326"/>
      <c r="P3724" s="318"/>
      <c r="Q3724" s="318"/>
      <c r="R3724" s="318"/>
      <c r="S3724" s="318"/>
      <c r="T3724" s="318"/>
      <c r="U3724" s="318"/>
      <c r="V3724" s="318"/>
      <c r="W3724" s="318"/>
      <c r="X3724" s="318"/>
      <c r="Y3724" s="318"/>
      <c r="Z3724" s="318"/>
      <c r="AA3724" s="318"/>
      <c r="AB3724" s="318"/>
      <c r="AC3724" s="318"/>
      <c r="AD3724" s="318"/>
    </row>
    <row r="3725" spans="2:30" s="323" customFormat="1" ht="12" customHeight="1">
      <c r="B3725" s="324"/>
      <c r="C3725" s="325"/>
      <c r="D3725" s="326"/>
      <c r="E3725" s="326"/>
      <c r="F3725" s="326"/>
      <c r="G3725" s="326"/>
      <c r="H3725" s="326"/>
      <c r="P3725" s="318"/>
      <c r="Q3725" s="318"/>
      <c r="R3725" s="318"/>
      <c r="S3725" s="318"/>
      <c r="T3725" s="318"/>
      <c r="U3725" s="318"/>
      <c r="V3725" s="318"/>
      <c r="W3725" s="318"/>
      <c r="X3725" s="318"/>
      <c r="Y3725" s="318"/>
      <c r="Z3725" s="318"/>
      <c r="AA3725" s="318"/>
      <c r="AB3725" s="318"/>
      <c r="AC3725" s="318"/>
      <c r="AD3725" s="318"/>
    </row>
    <row r="3726" spans="2:30" s="323" customFormat="1" ht="12" customHeight="1">
      <c r="B3726" s="324"/>
      <c r="C3726" s="325"/>
      <c r="D3726" s="326"/>
      <c r="E3726" s="326"/>
      <c r="F3726" s="326"/>
      <c r="G3726" s="326"/>
      <c r="H3726" s="326"/>
      <c r="P3726" s="318"/>
      <c r="Q3726" s="318"/>
      <c r="R3726" s="318"/>
      <c r="S3726" s="318"/>
      <c r="T3726" s="318"/>
      <c r="U3726" s="318"/>
      <c r="V3726" s="318"/>
      <c r="W3726" s="318"/>
      <c r="X3726" s="318"/>
      <c r="Y3726" s="318"/>
      <c r="Z3726" s="318"/>
      <c r="AA3726" s="318"/>
      <c r="AB3726" s="318"/>
      <c r="AC3726" s="318"/>
      <c r="AD3726" s="318"/>
    </row>
    <row r="3727" spans="2:30" s="323" customFormat="1" ht="12" customHeight="1">
      <c r="B3727" s="324"/>
      <c r="C3727" s="325"/>
      <c r="D3727" s="326"/>
      <c r="E3727" s="326"/>
      <c r="F3727" s="326"/>
      <c r="G3727" s="326"/>
      <c r="H3727" s="326"/>
      <c r="P3727" s="318"/>
      <c r="Q3727" s="318"/>
      <c r="R3727" s="318"/>
      <c r="S3727" s="318"/>
      <c r="T3727" s="318"/>
      <c r="U3727" s="318"/>
      <c r="V3727" s="318"/>
      <c r="W3727" s="318"/>
      <c r="X3727" s="318"/>
      <c r="Y3727" s="318"/>
      <c r="Z3727" s="318"/>
      <c r="AA3727" s="318"/>
      <c r="AB3727" s="318"/>
      <c r="AC3727" s="318"/>
      <c r="AD3727" s="318"/>
    </row>
    <row r="3728" spans="2:30" s="323" customFormat="1" ht="12" customHeight="1">
      <c r="B3728" s="324"/>
      <c r="C3728" s="325"/>
      <c r="D3728" s="326"/>
      <c r="E3728" s="326"/>
      <c r="F3728" s="326"/>
      <c r="G3728" s="326"/>
      <c r="H3728" s="326"/>
      <c r="P3728" s="318"/>
      <c r="Q3728" s="318"/>
      <c r="R3728" s="318"/>
      <c r="S3728" s="318"/>
      <c r="T3728" s="318"/>
      <c r="U3728" s="318"/>
      <c r="V3728" s="318"/>
      <c r="W3728" s="318"/>
      <c r="X3728" s="318"/>
      <c r="Y3728" s="318"/>
      <c r="Z3728" s="318"/>
      <c r="AA3728" s="318"/>
      <c r="AB3728" s="318"/>
      <c r="AC3728" s="318"/>
      <c r="AD3728" s="318"/>
    </row>
    <row r="3729" spans="2:30" s="323" customFormat="1" ht="12" customHeight="1">
      <c r="B3729" s="324"/>
      <c r="C3729" s="325"/>
      <c r="D3729" s="326"/>
      <c r="E3729" s="326"/>
      <c r="F3729" s="326"/>
      <c r="G3729" s="326"/>
      <c r="H3729" s="326"/>
      <c r="P3729" s="318"/>
      <c r="Q3729" s="318"/>
      <c r="R3729" s="318"/>
      <c r="S3729" s="318"/>
      <c r="T3729" s="318"/>
      <c r="U3729" s="318"/>
      <c r="V3729" s="318"/>
      <c r="W3729" s="318"/>
      <c r="X3729" s="318"/>
      <c r="Y3729" s="318"/>
      <c r="Z3729" s="318"/>
      <c r="AA3729" s="318"/>
      <c r="AB3729" s="318"/>
      <c r="AC3729" s="318"/>
      <c r="AD3729" s="318"/>
    </row>
    <row r="3730" spans="2:30" s="323" customFormat="1" ht="12" customHeight="1">
      <c r="B3730" s="324"/>
      <c r="C3730" s="325"/>
      <c r="D3730" s="326"/>
      <c r="E3730" s="326"/>
      <c r="F3730" s="326"/>
      <c r="G3730" s="326"/>
      <c r="H3730" s="326"/>
      <c r="P3730" s="318"/>
      <c r="Q3730" s="318"/>
      <c r="R3730" s="318"/>
      <c r="S3730" s="318"/>
      <c r="T3730" s="318"/>
      <c r="U3730" s="318"/>
      <c r="V3730" s="318"/>
      <c r="W3730" s="318"/>
      <c r="X3730" s="318"/>
      <c r="Y3730" s="318"/>
      <c r="Z3730" s="318"/>
      <c r="AA3730" s="318"/>
      <c r="AB3730" s="318"/>
      <c r="AC3730" s="318"/>
      <c r="AD3730" s="318"/>
    </row>
    <row r="3731" spans="2:30" s="323" customFormat="1" ht="12" customHeight="1">
      <c r="B3731" s="324"/>
      <c r="C3731" s="325"/>
      <c r="D3731" s="326"/>
      <c r="E3731" s="326"/>
      <c r="F3731" s="326"/>
      <c r="G3731" s="326"/>
      <c r="H3731" s="326"/>
      <c r="P3731" s="318"/>
      <c r="Q3731" s="318"/>
      <c r="R3731" s="318"/>
      <c r="S3731" s="318"/>
      <c r="T3731" s="318"/>
      <c r="U3731" s="318"/>
      <c r="V3731" s="318"/>
      <c r="W3731" s="318"/>
      <c r="X3731" s="318"/>
      <c r="Y3731" s="318"/>
      <c r="Z3731" s="318"/>
      <c r="AA3731" s="318"/>
      <c r="AB3731" s="318"/>
      <c r="AC3731" s="318"/>
      <c r="AD3731" s="318"/>
    </row>
    <row r="3732" spans="2:30" s="323" customFormat="1" ht="12" customHeight="1">
      <c r="B3732" s="324"/>
      <c r="C3732" s="325"/>
      <c r="D3732" s="326"/>
      <c r="E3732" s="326"/>
      <c r="F3732" s="326"/>
      <c r="G3732" s="326"/>
      <c r="H3732" s="326"/>
      <c r="P3732" s="318"/>
      <c r="Q3732" s="318"/>
      <c r="R3732" s="318"/>
      <c r="S3732" s="318"/>
      <c r="T3732" s="318"/>
      <c r="U3732" s="318"/>
      <c r="V3732" s="318"/>
      <c r="W3732" s="318"/>
      <c r="X3732" s="318"/>
      <c r="Y3732" s="318"/>
      <c r="Z3732" s="318"/>
      <c r="AA3732" s="318"/>
      <c r="AB3732" s="318"/>
      <c r="AC3732" s="318"/>
      <c r="AD3732" s="318"/>
    </row>
    <row r="3733" spans="2:30" s="323" customFormat="1" ht="12" customHeight="1">
      <c r="B3733" s="324"/>
      <c r="C3733" s="325"/>
      <c r="D3733" s="326"/>
      <c r="E3733" s="326"/>
      <c r="F3733" s="326"/>
      <c r="G3733" s="326"/>
      <c r="H3733" s="326"/>
      <c r="P3733" s="318"/>
      <c r="Q3733" s="318"/>
      <c r="R3733" s="318"/>
      <c r="S3733" s="318"/>
      <c r="T3733" s="318"/>
      <c r="U3733" s="318"/>
      <c r="V3733" s="318"/>
      <c r="W3733" s="318"/>
      <c r="X3733" s="318"/>
      <c r="Y3733" s="318"/>
      <c r="Z3733" s="318"/>
      <c r="AA3733" s="318"/>
      <c r="AB3733" s="318"/>
      <c r="AC3733" s="318"/>
      <c r="AD3733" s="318"/>
    </row>
    <row r="3734" spans="2:30" s="323" customFormat="1" ht="12" customHeight="1">
      <c r="B3734" s="324"/>
      <c r="C3734" s="325"/>
      <c r="D3734" s="326"/>
      <c r="E3734" s="326"/>
      <c r="F3734" s="326"/>
      <c r="G3734" s="326"/>
      <c r="H3734" s="326"/>
      <c r="P3734" s="318"/>
      <c r="Q3734" s="318"/>
      <c r="R3734" s="318"/>
      <c r="S3734" s="318"/>
      <c r="T3734" s="318"/>
      <c r="U3734" s="318"/>
      <c r="V3734" s="318"/>
      <c r="W3734" s="318"/>
      <c r="X3734" s="318"/>
      <c r="Y3734" s="318"/>
      <c r="Z3734" s="318"/>
      <c r="AA3734" s="318"/>
      <c r="AB3734" s="318"/>
      <c r="AC3734" s="318"/>
      <c r="AD3734" s="318"/>
    </row>
    <row r="3735" spans="2:30" s="323" customFormat="1" ht="12" customHeight="1">
      <c r="B3735" s="324"/>
      <c r="C3735" s="325"/>
      <c r="D3735" s="326"/>
      <c r="E3735" s="326"/>
      <c r="F3735" s="326"/>
      <c r="G3735" s="326"/>
      <c r="H3735" s="326"/>
      <c r="P3735" s="318"/>
      <c r="Q3735" s="318"/>
      <c r="R3735" s="318"/>
      <c r="S3735" s="318"/>
      <c r="T3735" s="318"/>
      <c r="U3735" s="318"/>
      <c r="V3735" s="318"/>
      <c r="W3735" s="318"/>
      <c r="X3735" s="318"/>
      <c r="Y3735" s="318"/>
      <c r="Z3735" s="318"/>
      <c r="AA3735" s="318"/>
      <c r="AB3735" s="318"/>
      <c r="AC3735" s="318"/>
      <c r="AD3735" s="318"/>
    </row>
    <row r="3736" spans="2:30" s="323" customFormat="1" ht="12" customHeight="1">
      <c r="B3736" s="324"/>
      <c r="C3736" s="325"/>
      <c r="D3736" s="326"/>
      <c r="E3736" s="326"/>
      <c r="F3736" s="326"/>
      <c r="G3736" s="326"/>
      <c r="H3736" s="326"/>
      <c r="P3736" s="318"/>
      <c r="Q3736" s="318"/>
      <c r="R3736" s="318"/>
      <c r="S3736" s="318"/>
      <c r="T3736" s="318"/>
      <c r="U3736" s="318"/>
      <c r="V3736" s="318"/>
      <c r="W3736" s="318"/>
      <c r="X3736" s="318"/>
      <c r="Y3736" s="318"/>
      <c r="Z3736" s="318"/>
      <c r="AA3736" s="318"/>
      <c r="AB3736" s="318"/>
      <c r="AC3736" s="318"/>
      <c r="AD3736" s="318"/>
    </row>
    <row r="3737" spans="2:30" s="323" customFormat="1" ht="12" customHeight="1">
      <c r="B3737" s="324"/>
      <c r="C3737" s="325"/>
      <c r="D3737" s="326"/>
      <c r="E3737" s="326"/>
      <c r="F3737" s="326"/>
      <c r="G3737" s="326"/>
      <c r="H3737" s="326"/>
      <c r="P3737" s="318"/>
      <c r="Q3737" s="318"/>
      <c r="R3737" s="318"/>
      <c r="S3737" s="318"/>
      <c r="T3737" s="318"/>
      <c r="U3737" s="318"/>
      <c r="V3737" s="318"/>
      <c r="W3737" s="318"/>
      <c r="X3737" s="318"/>
      <c r="Y3737" s="318"/>
      <c r="Z3737" s="318"/>
      <c r="AA3737" s="318"/>
      <c r="AB3737" s="318"/>
      <c r="AC3737" s="318"/>
      <c r="AD3737" s="318"/>
    </row>
    <row r="3738" spans="2:30" s="323" customFormat="1" ht="12" customHeight="1">
      <c r="B3738" s="324"/>
      <c r="C3738" s="325"/>
      <c r="D3738" s="326"/>
      <c r="E3738" s="326"/>
      <c r="F3738" s="326"/>
      <c r="G3738" s="326"/>
      <c r="H3738" s="326"/>
      <c r="P3738" s="318"/>
      <c r="Q3738" s="318"/>
      <c r="R3738" s="318"/>
      <c r="S3738" s="318"/>
      <c r="T3738" s="318"/>
      <c r="U3738" s="318"/>
      <c r="V3738" s="318"/>
      <c r="W3738" s="318"/>
      <c r="X3738" s="318"/>
      <c r="Y3738" s="318"/>
      <c r="Z3738" s="318"/>
      <c r="AA3738" s="318"/>
      <c r="AB3738" s="318"/>
      <c r="AC3738" s="318"/>
      <c r="AD3738" s="318"/>
    </row>
    <row r="3739" spans="2:30" s="323" customFormat="1" ht="12" customHeight="1">
      <c r="B3739" s="324"/>
      <c r="C3739" s="325"/>
      <c r="D3739" s="326"/>
      <c r="E3739" s="326"/>
      <c r="F3739" s="326"/>
      <c r="G3739" s="326"/>
      <c r="H3739" s="326"/>
      <c r="P3739" s="318"/>
      <c r="Q3739" s="318"/>
      <c r="R3739" s="318"/>
      <c r="S3739" s="318"/>
      <c r="T3739" s="318"/>
      <c r="U3739" s="318"/>
      <c r="V3739" s="318"/>
      <c r="W3739" s="318"/>
      <c r="X3739" s="318"/>
      <c r="Y3739" s="318"/>
      <c r="Z3739" s="318"/>
      <c r="AA3739" s="318"/>
      <c r="AB3739" s="318"/>
      <c r="AC3739" s="318"/>
      <c r="AD3739" s="318"/>
    </row>
    <row r="3740" spans="2:30" s="323" customFormat="1" ht="12" customHeight="1">
      <c r="B3740" s="324"/>
      <c r="C3740" s="325"/>
      <c r="D3740" s="326"/>
      <c r="E3740" s="326"/>
      <c r="F3740" s="326"/>
      <c r="G3740" s="326"/>
      <c r="H3740" s="326"/>
      <c r="P3740" s="318"/>
      <c r="Q3740" s="318"/>
      <c r="R3740" s="318"/>
      <c r="S3740" s="318"/>
      <c r="T3740" s="318"/>
      <c r="U3740" s="318"/>
      <c r="V3740" s="318"/>
      <c r="W3740" s="318"/>
      <c r="X3740" s="318"/>
      <c r="Y3740" s="318"/>
      <c r="Z3740" s="318"/>
      <c r="AA3740" s="318"/>
      <c r="AB3740" s="318"/>
      <c r="AC3740" s="318"/>
      <c r="AD3740" s="318"/>
    </row>
    <row r="3741" spans="2:30" s="323" customFormat="1" ht="12" customHeight="1">
      <c r="B3741" s="324"/>
      <c r="C3741" s="325"/>
      <c r="D3741" s="326"/>
      <c r="E3741" s="326"/>
      <c r="F3741" s="326"/>
      <c r="G3741" s="326"/>
      <c r="H3741" s="326"/>
      <c r="P3741" s="318"/>
      <c r="Q3741" s="318"/>
      <c r="R3741" s="318"/>
      <c r="S3741" s="318"/>
      <c r="T3741" s="318"/>
      <c r="U3741" s="318"/>
      <c r="V3741" s="318"/>
      <c r="W3741" s="318"/>
      <c r="X3741" s="318"/>
      <c r="Y3741" s="318"/>
      <c r="Z3741" s="318"/>
      <c r="AA3741" s="318"/>
      <c r="AB3741" s="318"/>
      <c r="AC3741" s="318"/>
      <c r="AD3741" s="318"/>
    </row>
    <row r="3742" spans="2:30" s="323" customFormat="1" ht="12" customHeight="1">
      <c r="B3742" s="324"/>
      <c r="C3742" s="325"/>
      <c r="D3742" s="326"/>
      <c r="E3742" s="326"/>
      <c r="F3742" s="326"/>
      <c r="G3742" s="326"/>
      <c r="H3742" s="326"/>
      <c r="P3742" s="318"/>
      <c r="Q3742" s="318"/>
      <c r="R3742" s="318"/>
      <c r="S3742" s="318"/>
      <c r="T3742" s="318"/>
      <c r="U3742" s="318"/>
      <c r="V3742" s="318"/>
      <c r="W3742" s="318"/>
      <c r="X3742" s="318"/>
      <c r="Y3742" s="318"/>
      <c r="Z3742" s="318"/>
      <c r="AA3742" s="318"/>
      <c r="AB3742" s="318"/>
      <c r="AC3742" s="318"/>
      <c r="AD3742" s="318"/>
    </row>
    <row r="3743" spans="2:30" s="323" customFormat="1" ht="12" customHeight="1">
      <c r="B3743" s="324"/>
      <c r="C3743" s="325"/>
      <c r="D3743" s="326"/>
      <c r="E3743" s="326"/>
      <c r="F3743" s="326"/>
      <c r="G3743" s="326"/>
      <c r="H3743" s="326"/>
      <c r="P3743" s="318"/>
      <c r="Q3743" s="318"/>
      <c r="R3743" s="318"/>
      <c r="S3743" s="318"/>
      <c r="T3743" s="318"/>
      <c r="U3743" s="318"/>
      <c r="V3743" s="318"/>
      <c r="W3743" s="318"/>
      <c r="X3743" s="318"/>
      <c r="Y3743" s="318"/>
      <c r="Z3743" s="318"/>
      <c r="AA3743" s="318"/>
      <c r="AB3743" s="318"/>
      <c r="AC3743" s="318"/>
      <c r="AD3743" s="318"/>
    </row>
    <row r="3744" spans="2:30" s="323" customFormat="1" ht="12" customHeight="1">
      <c r="B3744" s="324"/>
      <c r="C3744" s="325"/>
      <c r="D3744" s="326"/>
      <c r="E3744" s="326"/>
      <c r="F3744" s="326"/>
      <c r="G3744" s="326"/>
      <c r="H3744" s="326"/>
      <c r="P3744" s="318"/>
      <c r="Q3744" s="318"/>
      <c r="R3744" s="318"/>
      <c r="S3744" s="318"/>
      <c r="T3744" s="318"/>
      <c r="U3744" s="318"/>
      <c r="V3744" s="318"/>
      <c r="W3744" s="318"/>
      <c r="X3744" s="318"/>
      <c r="Y3744" s="318"/>
      <c r="Z3744" s="318"/>
      <c r="AA3744" s="318"/>
      <c r="AB3744" s="318"/>
      <c r="AC3744" s="318"/>
      <c r="AD3744" s="318"/>
    </row>
    <row r="3745" spans="2:30" s="323" customFormat="1" ht="12" customHeight="1">
      <c r="B3745" s="324"/>
      <c r="C3745" s="325"/>
      <c r="D3745" s="326"/>
      <c r="E3745" s="326"/>
      <c r="F3745" s="326"/>
      <c r="G3745" s="326"/>
      <c r="H3745" s="326"/>
      <c r="P3745" s="318"/>
      <c r="Q3745" s="318"/>
      <c r="R3745" s="318"/>
      <c r="S3745" s="318"/>
      <c r="T3745" s="318"/>
      <c r="U3745" s="318"/>
      <c r="V3745" s="318"/>
      <c r="W3745" s="318"/>
      <c r="X3745" s="318"/>
      <c r="Y3745" s="318"/>
      <c r="Z3745" s="318"/>
      <c r="AA3745" s="318"/>
      <c r="AB3745" s="318"/>
      <c r="AC3745" s="318"/>
      <c r="AD3745" s="318"/>
    </row>
    <row r="3746" spans="2:30" s="323" customFormat="1" ht="12" customHeight="1">
      <c r="B3746" s="324"/>
      <c r="C3746" s="325"/>
      <c r="D3746" s="326"/>
      <c r="E3746" s="326"/>
      <c r="F3746" s="326"/>
      <c r="G3746" s="326"/>
      <c r="H3746" s="326"/>
      <c r="P3746" s="318"/>
      <c r="Q3746" s="318"/>
      <c r="R3746" s="318"/>
      <c r="S3746" s="318"/>
      <c r="T3746" s="318"/>
      <c r="U3746" s="318"/>
      <c r="V3746" s="318"/>
      <c r="W3746" s="318"/>
      <c r="X3746" s="318"/>
      <c r="Y3746" s="318"/>
      <c r="Z3746" s="318"/>
      <c r="AA3746" s="318"/>
      <c r="AB3746" s="318"/>
      <c r="AC3746" s="318"/>
      <c r="AD3746" s="318"/>
    </row>
    <row r="3747" spans="2:30" s="323" customFormat="1" ht="12" customHeight="1">
      <c r="B3747" s="324"/>
      <c r="C3747" s="325"/>
      <c r="D3747" s="326"/>
      <c r="E3747" s="326"/>
      <c r="F3747" s="326"/>
      <c r="G3747" s="326"/>
      <c r="H3747" s="326"/>
      <c r="P3747" s="318"/>
      <c r="Q3747" s="318"/>
      <c r="R3747" s="318"/>
      <c r="S3747" s="318"/>
      <c r="T3747" s="318"/>
      <c r="U3747" s="318"/>
      <c r="V3747" s="318"/>
      <c r="W3747" s="318"/>
      <c r="X3747" s="318"/>
      <c r="Y3747" s="318"/>
      <c r="Z3747" s="318"/>
      <c r="AA3747" s="318"/>
      <c r="AB3747" s="318"/>
      <c r="AC3747" s="318"/>
      <c r="AD3747" s="318"/>
    </row>
    <row r="3748" spans="2:30" s="323" customFormat="1" ht="12" customHeight="1">
      <c r="B3748" s="324"/>
      <c r="C3748" s="325"/>
      <c r="D3748" s="326"/>
      <c r="E3748" s="326"/>
      <c r="F3748" s="326"/>
      <c r="G3748" s="326"/>
      <c r="H3748" s="326"/>
      <c r="P3748" s="318"/>
      <c r="Q3748" s="318"/>
      <c r="R3748" s="318"/>
      <c r="S3748" s="318"/>
      <c r="T3748" s="318"/>
      <c r="U3748" s="318"/>
      <c r="V3748" s="318"/>
      <c r="W3748" s="318"/>
      <c r="X3748" s="318"/>
      <c r="Y3748" s="318"/>
      <c r="Z3748" s="318"/>
      <c r="AA3748" s="318"/>
      <c r="AB3748" s="318"/>
      <c r="AC3748" s="318"/>
      <c r="AD3748" s="318"/>
    </row>
    <row r="3749" spans="2:30" s="323" customFormat="1" ht="12" customHeight="1">
      <c r="B3749" s="324"/>
      <c r="C3749" s="325"/>
      <c r="D3749" s="326"/>
      <c r="E3749" s="326"/>
      <c r="F3749" s="326"/>
      <c r="G3749" s="326"/>
      <c r="H3749" s="326"/>
      <c r="P3749" s="318"/>
      <c r="Q3749" s="318"/>
      <c r="R3749" s="318"/>
      <c r="S3749" s="318"/>
      <c r="T3749" s="318"/>
      <c r="U3749" s="318"/>
      <c r="V3749" s="318"/>
      <c r="W3749" s="318"/>
      <c r="X3749" s="318"/>
      <c r="Y3749" s="318"/>
      <c r="Z3749" s="318"/>
      <c r="AA3749" s="318"/>
      <c r="AB3749" s="318"/>
      <c r="AC3749" s="318"/>
      <c r="AD3749" s="318"/>
    </row>
    <row r="3750" spans="2:30" s="323" customFormat="1" ht="12" customHeight="1">
      <c r="B3750" s="324"/>
      <c r="C3750" s="325"/>
      <c r="D3750" s="326"/>
      <c r="E3750" s="326"/>
      <c r="F3750" s="326"/>
      <c r="G3750" s="326"/>
      <c r="H3750" s="326"/>
      <c r="P3750" s="318"/>
      <c r="Q3750" s="318"/>
      <c r="R3750" s="318"/>
      <c r="S3750" s="318"/>
      <c r="T3750" s="318"/>
      <c r="U3750" s="318"/>
      <c r="V3750" s="318"/>
      <c r="W3750" s="318"/>
      <c r="X3750" s="318"/>
      <c r="Y3750" s="318"/>
      <c r="Z3750" s="318"/>
      <c r="AA3750" s="318"/>
      <c r="AB3750" s="318"/>
      <c r="AC3750" s="318"/>
      <c r="AD3750" s="318"/>
    </row>
    <row r="3751" spans="2:30" s="323" customFormat="1" ht="12" customHeight="1">
      <c r="B3751" s="324"/>
      <c r="C3751" s="325"/>
      <c r="D3751" s="326"/>
      <c r="E3751" s="326"/>
      <c r="F3751" s="326"/>
      <c r="G3751" s="326"/>
      <c r="H3751" s="326"/>
      <c r="P3751" s="318"/>
      <c r="Q3751" s="318"/>
      <c r="R3751" s="318"/>
      <c r="S3751" s="318"/>
      <c r="T3751" s="318"/>
      <c r="U3751" s="318"/>
      <c r="V3751" s="318"/>
      <c r="W3751" s="318"/>
      <c r="X3751" s="318"/>
      <c r="Y3751" s="318"/>
      <c r="Z3751" s="318"/>
      <c r="AA3751" s="318"/>
      <c r="AB3751" s="318"/>
      <c r="AC3751" s="318"/>
      <c r="AD3751" s="318"/>
    </row>
    <row r="3752" spans="2:30" s="323" customFormat="1" ht="12" customHeight="1">
      <c r="B3752" s="324"/>
      <c r="C3752" s="325"/>
      <c r="D3752" s="326"/>
      <c r="E3752" s="326"/>
      <c r="F3752" s="326"/>
      <c r="G3752" s="326"/>
      <c r="H3752" s="326"/>
      <c r="P3752" s="318"/>
      <c r="Q3752" s="318"/>
      <c r="R3752" s="318"/>
      <c r="S3752" s="318"/>
      <c r="T3752" s="318"/>
      <c r="U3752" s="318"/>
      <c r="V3752" s="318"/>
      <c r="W3752" s="318"/>
      <c r="X3752" s="318"/>
      <c r="Y3752" s="318"/>
      <c r="Z3752" s="318"/>
      <c r="AA3752" s="318"/>
      <c r="AB3752" s="318"/>
      <c r="AC3752" s="318"/>
      <c r="AD3752" s="318"/>
    </row>
    <row r="3753" spans="2:30" s="323" customFormat="1" ht="12" customHeight="1">
      <c r="B3753" s="324"/>
      <c r="C3753" s="325"/>
      <c r="D3753" s="326"/>
      <c r="E3753" s="326"/>
      <c r="F3753" s="326"/>
      <c r="G3753" s="326"/>
      <c r="H3753" s="326"/>
      <c r="P3753" s="318"/>
      <c r="Q3753" s="318"/>
      <c r="R3753" s="318"/>
      <c r="S3753" s="318"/>
      <c r="T3753" s="318"/>
      <c r="U3753" s="318"/>
      <c r="V3753" s="318"/>
      <c r="W3753" s="318"/>
      <c r="X3753" s="318"/>
      <c r="Y3753" s="318"/>
      <c r="Z3753" s="318"/>
      <c r="AA3753" s="318"/>
      <c r="AB3753" s="318"/>
      <c r="AC3753" s="318"/>
      <c r="AD3753" s="318"/>
    </row>
    <row r="3754" spans="2:30" s="323" customFormat="1" ht="12" customHeight="1">
      <c r="B3754" s="324"/>
      <c r="C3754" s="325"/>
      <c r="D3754" s="326"/>
      <c r="E3754" s="326"/>
      <c r="F3754" s="326"/>
      <c r="G3754" s="326"/>
      <c r="H3754" s="326"/>
      <c r="P3754" s="318"/>
      <c r="Q3754" s="318"/>
      <c r="R3754" s="318"/>
      <c r="S3754" s="318"/>
      <c r="T3754" s="318"/>
      <c r="U3754" s="318"/>
      <c r="V3754" s="318"/>
      <c r="W3754" s="318"/>
      <c r="X3754" s="318"/>
      <c r="Y3754" s="318"/>
      <c r="Z3754" s="318"/>
      <c r="AA3754" s="318"/>
      <c r="AB3754" s="318"/>
      <c r="AC3754" s="318"/>
      <c r="AD3754" s="318"/>
    </row>
    <row r="3755" spans="2:30" s="323" customFormat="1" ht="12" customHeight="1">
      <c r="B3755" s="324"/>
      <c r="C3755" s="325"/>
      <c r="D3755" s="326"/>
      <c r="E3755" s="326"/>
      <c r="F3755" s="326"/>
      <c r="G3755" s="326"/>
      <c r="H3755" s="326"/>
      <c r="P3755" s="318"/>
      <c r="Q3755" s="318"/>
      <c r="R3755" s="318"/>
      <c r="S3755" s="318"/>
      <c r="T3755" s="318"/>
      <c r="U3755" s="318"/>
      <c r="V3755" s="318"/>
      <c r="W3755" s="318"/>
      <c r="X3755" s="318"/>
      <c r="Y3755" s="318"/>
      <c r="Z3755" s="318"/>
      <c r="AA3755" s="318"/>
      <c r="AB3755" s="318"/>
      <c r="AC3755" s="318"/>
      <c r="AD3755" s="318"/>
    </row>
    <row r="3756" spans="2:30" s="323" customFormat="1" ht="12" customHeight="1">
      <c r="B3756" s="324"/>
      <c r="C3756" s="325"/>
      <c r="D3756" s="326"/>
      <c r="E3756" s="326"/>
      <c r="F3756" s="326"/>
      <c r="G3756" s="326"/>
      <c r="H3756" s="326"/>
      <c r="P3756" s="318"/>
      <c r="Q3756" s="318"/>
      <c r="R3756" s="318"/>
      <c r="S3756" s="318"/>
      <c r="T3756" s="318"/>
      <c r="U3756" s="318"/>
      <c r="V3756" s="318"/>
      <c r="W3756" s="318"/>
      <c r="X3756" s="318"/>
      <c r="Y3756" s="318"/>
      <c r="Z3756" s="318"/>
      <c r="AA3756" s="318"/>
      <c r="AB3756" s="318"/>
      <c r="AC3756" s="318"/>
      <c r="AD3756" s="318"/>
    </row>
    <row r="3757" spans="2:30" s="323" customFormat="1" ht="12" customHeight="1">
      <c r="B3757" s="324"/>
      <c r="C3757" s="325"/>
      <c r="D3757" s="326"/>
      <c r="E3757" s="326"/>
      <c r="F3757" s="326"/>
      <c r="G3757" s="326"/>
      <c r="H3757" s="326"/>
      <c r="P3757" s="318"/>
      <c r="Q3757" s="318"/>
      <c r="R3757" s="318"/>
      <c r="S3757" s="318"/>
      <c r="T3757" s="318"/>
      <c r="U3757" s="318"/>
      <c r="V3757" s="318"/>
      <c r="W3757" s="318"/>
      <c r="X3757" s="318"/>
      <c r="Y3757" s="318"/>
      <c r="Z3757" s="318"/>
      <c r="AA3757" s="318"/>
      <c r="AB3757" s="318"/>
      <c r="AC3757" s="318"/>
      <c r="AD3757" s="318"/>
    </row>
    <row r="3758" spans="2:30" s="323" customFormat="1" ht="12" customHeight="1">
      <c r="B3758" s="324"/>
      <c r="C3758" s="325"/>
      <c r="D3758" s="326"/>
      <c r="E3758" s="326"/>
      <c r="F3758" s="326"/>
      <c r="G3758" s="326"/>
      <c r="H3758" s="326"/>
      <c r="P3758" s="318"/>
      <c r="Q3758" s="318"/>
      <c r="R3758" s="318"/>
      <c r="S3758" s="318"/>
      <c r="T3758" s="318"/>
      <c r="U3758" s="318"/>
      <c r="V3758" s="318"/>
      <c r="W3758" s="318"/>
      <c r="X3758" s="318"/>
      <c r="Y3758" s="318"/>
      <c r="Z3758" s="318"/>
      <c r="AA3758" s="318"/>
      <c r="AB3758" s="318"/>
      <c r="AC3758" s="318"/>
      <c r="AD3758" s="318"/>
    </row>
    <row r="3759" spans="2:30" s="323" customFormat="1" ht="12" customHeight="1">
      <c r="B3759" s="324"/>
      <c r="C3759" s="325"/>
      <c r="D3759" s="326"/>
      <c r="E3759" s="326"/>
      <c r="F3759" s="326"/>
      <c r="G3759" s="326"/>
      <c r="H3759" s="326"/>
      <c r="P3759" s="318"/>
      <c r="Q3759" s="318"/>
      <c r="R3759" s="318"/>
      <c r="S3759" s="318"/>
      <c r="T3759" s="318"/>
      <c r="U3759" s="318"/>
      <c r="V3759" s="318"/>
      <c r="W3759" s="318"/>
      <c r="X3759" s="318"/>
      <c r="Y3759" s="318"/>
      <c r="Z3759" s="318"/>
      <c r="AA3759" s="318"/>
      <c r="AB3759" s="318"/>
      <c r="AC3759" s="318"/>
      <c r="AD3759" s="318"/>
    </row>
    <row r="3760" spans="2:30" s="323" customFormat="1" ht="12" customHeight="1">
      <c r="B3760" s="324"/>
      <c r="C3760" s="325"/>
      <c r="D3760" s="326"/>
      <c r="E3760" s="326"/>
      <c r="F3760" s="326"/>
      <c r="G3760" s="326"/>
      <c r="H3760" s="326"/>
      <c r="P3760" s="318"/>
      <c r="Q3760" s="318"/>
      <c r="R3760" s="318"/>
      <c r="S3760" s="318"/>
      <c r="T3760" s="318"/>
      <c r="U3760" s="318"/>
      <c r="V3760" s="318"/>
      <c r="W3760" s="318"/>
      <c r="X3760" s="318"/>
      <c r="Y3760" s="318"/>
      <c r="Z3760" s="318"/>
      <c r="AA3760" s="318"/>
      <c r="AB3760" s="318"/>
      <c r="AC3760" s="318"/>
      <c r="AD3760" s="318"/>
    </row>
    <row r="3761" spans="2:30" s="323" customFormat="1" ht="12" customHeight="1">
      <c r="B3761" s="324"/>
      <c r="C3761" s="325"/>
      <c r="D3761" s="326"/>
      <c r="E3761" s="326"/>
      <c r="F3761" s="326"/>
      <c r="G3761" s="326"/>
      <c r="H3761" s="326"/>
      <c r="P3761" s="318"/>
      <c r="Q3761" s="318"/>
      <c r="R3761" s="318"/>
      <c r="S3761" s="318"/>
      <c r="T3761" s="318"/>
      <c r="U3761" s="318"/>
      <c r="V3761" s="318"/>
      <c r="W3761" s="318"/>
      <c r="X3761" s="318"/>
      <c r="Y3761" s="318"/>
      <c r="Z3761" s="318"/>
      <c r="AA3761" s="318"/>
      <c r="AB3761" s="318"/>
      <c r="AC3761" s="318"/>
      <c r="AD3761" s="318"/>
    </row>
    <row r="3762" spans="2:30" s="323" customFormat="1" ht="12" customHeight="1">
      <c r="B3762" s="324"/>
      <c r="C3762" s="325"/>
      <c r="D3762" s="326"/>
      <c r="E3762" s="326"/>
      <c r="F3762" s="326"/>
      <c r="G3762" s="326"/>
      <c r="H3762" s="326"/>
      <c r="P3762" s="318"/>
      <c r="Q3762" s="318"/>
      <c r="R3762" s="318"/>
      <c r="S3762" s="318"/>
      <c r="T3762" s="318"/>
      <c r="U3762" s="318"/>
      <c r="V3762" s="318"/>
      <c r="W3762" s="318"/>
      <c r="X3762" s="318"/>
      <c r="Y3762" s="318"/>
      <c r="Z3762" s="318"/>
      <c r="AA3762" s="318"/>
      <c r="AB3762" s="318"/>
      <c r="AC3762" s="318"/>
      <c r="AD3762" s="318"/>
    </row>
    <row r="3763" spans="2:30" s="323" customFormat="1" ht="12" customHeight="1">
      <c r="B3763" s="324"/>
      <c r="C3763" s="325"/>
      <c r="D3763" s="326"/>
      <c r="E3763" s="326"/>
      <c r="F3763" s="326"/>
      <c r="G3763" s="326"/>
      <c r="H3763" s="326"/>
      <c r="P3763" s="318"/>
      <c r="Q3763" s="318"/>
      <c r="R3763" s="318"/>
      <c r="S3763" s="318"/>
      <c r="T3763" s="318"/>
      <c r="U3763" s="318"/>
      <c r="V3763" s="318"/>
      <c r="W3763" s="318"/>
      <c r="X3763" s="318"/>
      <c r="Y3763" s="318"/>
      <c r="Z3763" s="318"/>
      <c r="AA3763" s="318"/>
      <c r="AB3763" s="318"/>
      <c r="AC3763" s="318"/>
      <c r="AD3763" s="318"/>
    </row>
    <row r="3764" spans="2:30" s="323" customFormat="1" ht="12" customHeight="1">
      <c r="B3764" s="324"/>
      <c r="C3764" s="325"/>
      <c r="D3764" s="326"/>
      <c r="E3764" s="326"/>
      <c r="F3764" s="326"/>
      <c r="G3764" s="326"/>
      <c r="H3764" s="326"/>
      <c r="P3764" s="318"/>
      <c r="Q3764" s="318"/>
      <c r="R3764" s="318"/>
      <c r="S3764" s="318"/>
      <c r="T3764" s="318"/>
      <c r="U3764" s="318"/>
      <c r="V3764" s="318"/>
      <c r="W3764" s="318"/>
      <c r="X3764" s="318"/>
      <c r="Y3764" s="318"/>
      <c r="Z3764" s="318"/>
      <c r="AA3764" s="318"/>
      <c r="AB3764" s="318"/>
      <c r="AC3764" s="318"/>
      <c r="AD3764" s="318"/>
    </row>
    <row r="3765" spans="2:30" s="323" customFormat="1" ht="12" customHeight="1">
      <c r="B3765" s="324"/>
      <c r="C3765" s="325"/>
      <c r="D3765" s="326"/>
      <c r="E3765" s="326"/>
      <c r="F3765" s="326"/>
      <c r="G3765" s="326"/>
      <c r="H3765" s="326"/>
      <c r="P3765" s="318"/>
      <c r="Q3765" s="318"/>
      <c r="R3765" s="318"/>
      <c r="S3765" s="318"/>
      <c r="T3765" s="318"/>
      <c r="U3765" s="318"/>
      <c r="V3765" s="318"/>
      <c r="W3765" s="318"/>
      <c r="X3765" s="318"/>
      <c r="Y3765" s="318"/>
      <c r="Z3765" s="318"/>
      <c r="AA3765" s="318"/>
      <c r="AB3765" s="318"/>
      <c r="AC3765" s="318"/>
      <c r="AD3765" s="318"/>
    </row>
    <row r="3766" spans="2:30" s="323" customFormat="1" ht="12" customHeight="1">
      <c r="B3766" s="324"/>
      <c r="C3766" s="325"/>
      <c r="D3766" s="326"/>
      <c r="E3766" s="326"/>
      <c r="F3766" s="326"/>
      <c r="G3766" s="326"/>
      <c r="H3766" s="326"/>
      <c r="P3766" s="318"/>
      <c r="Q3766" s="318"/>
      <c r="R3766" s="318"/>
      <c r="S3766" s="318"/>
      <c r="T3766" s="318"/>
      <c r="U3766" s="318"/>
      <c r="V3766" s="318"/>
      <c r="W3766" s="318"/>
      <c r="X3766" s="318"/>
      <c r="Y3766" s="318"/>
      <c r="Z3766" s="318"/>
      <c r="AA3766" s="318"/>
      <c r="AB3766" s="318"/>
      <c r="AC3766" s="318"/>
      <c r="AD3766" s="318"/>
    </row>
    <row r="3767" spans="2:30" s="323" customFormat="1" ht="12" customHeight="1">
      <c r="B3767" s="324"/>
      <c r="C3767" s="325"/>
      <c r="D3767" s="326"/>
      <c r="E3767" s="326"/>
      <c r="F3767" s="326"/>
      <c r="G3767" s="326"/>
      <c r="H3767" s="326"/>
      <c r="P3767" s="318"/>
      <c r="Q3767" s="318"/>
      <c r="R3767" s="318"/>
      <c r="S3767" s="318"/>
      <c r="T3767" s="318"/>
      <c r="U3767" s="318"/>
      <c r="V3767" s="318"/>
      <c r="W3767" s="318"/>
      <c r="X3767" s="318"/>
      <c r="Y3767" s="318"/>
      <c r="Z3767" s="318"/>
      <c r="AA3767" s="318"/>
      <c r="AB3767" s="318"/>
      <c r="AC3767" s="318"/>
      <c r="AD3767" s="318"/>
    </row>
    <row r="3768" spans="2:30" s="323" customFormat="1" ht="12" customHeight="1">
      <c r="B3768" s="324"/>
      <c r="C3768" s="325"/>
      <c r="D3768" s="326"/>
      <c r="E3768" s="326"/>
      <c r="F3768" s="326"/>
      <c r="G3768" s="326"/>
      <c r="H3768" s="326"/>
      <c r="P3768" s="318"/>
      <c r="Q3768" s="318"/>
      <c r="R3768" s="318"/>
      <c r="S3768" s="318"/>
      <c r="T3768" s="318"/>
      <c r="U3768" s="318"/>
      <c r="V3768" s="318"/>
      <c r="W3768" s="318"/>
      <c r="X3768" s="318"/>
      <c r="Y3768" s="318"/>
      <c r="Z3768" s="318"/>
      <c r="AA3768" s="318"/>
      <c r="AB3768" s="318"/>
      <c r="AC3768" s="318"/>
      <c r="AD3768" s="318"/>
    </row>
    <row r="3769" spans="2:30" s="323" customFormat="1" ht="12" customHeight="1">
      <c r="B3769" s="324"/>
      <c r="C3769" s="325"/>
      <c r="D3769" s="326"/>
      <c r="E3769" s="326"/>
      <c r="F3769" s="326"/>
      <c r="G3769" s="326"/>
      <c r="H3769" s="326"/>
      <c r="P3769" s="318"/>
      <c r="Q3769" s="318"/>
      <c r="R3769" s="318"/>
      <c r="S3769" s="318"/>
      <c r="T3769" s="318"/>
      <c r="U3769" s="318"/>
      <c r="V3769" s="318"/>
      <c r="W3769" s="318"/>
      <c r="X3769" s="318"/>
      <c r="Y3769" s="318"/>
      <c r="Z3769" s="318"/>
      <c r="AA3769" s="318"/>
      <c r="AB3769" s="318"/>
      <c r="AC3769" s="318"/>
      <c r="AD3769" s="318"/>
    </row>
    <row r="3770" spans="2:30" s="323" customFormat="1" ht="12" customHeight="1">
      <c r="B3770" s="324"/>
      <c r="C3770" s="325"/>
      <c r="D3770" s="326"/>
      <c r="E3770" s="326"/>
      <c r="F3770" s="326"/>
      <c r="G3770" s="326"/>
      <c r="H3770" s="326"/>
      <c r="P3770" s="318"/>
      <c r="Q3770" s="318"/>
      <c r="R3770" s="318"/>
      <c r="S3770" s="318"/>
      <c r="T3770" s="318"/>
      <c r="U3770" s="318"/>
      <c r="V3770" s="318"/>
      <c r="W3770" s="318"/>
      <c r="X3770" s="318"/>
      <c r="Y3770" s="318"/>
      <c r="Z3770" s="318"/>
      <c r="AA3770" s="318"/>
      <c r="AB3770" s="318"/>
      <c r="AC3770" s="318"/>
      <c r="AD3770" s="318"/>
    </row>
    <row r="3771" spans="2:30" s="323" customFormat="1" ht="12" customHeight="1">
      <c r="B3771" s="324"/>
      <c r="C3771" s="325"/>
      <c r="D3771" s="326"/>
      <c r="E3771" s="326"/>
      <c r="F3771" s="326"/>
      <c r="G3771" s="326"/>
      <c r="H3771" s="326"/>
      <c r="P3771" s="318"/>
      <c r="Q3771" s="318"/>
      <c r="R3771" s="318"/>
      <c r="S3771" s="318"/>
      <c r="T3771" s="318"/>
      <c r="U3771" s="318"/>
      <c r="V3771" s="318"/>
      <c r="W3771" s="318"/>
      <c r="X3771" s="318"/>
      <c r="Y3771" s="318"/>
      <c r="Z3771" s="318"/>
      <c r="AA3771" s="318"/>
      <c r="AB3771" s="318"/>
      <c r="AC3771" s="318"/>
      <c r="AD3771" s="318"/>
    </row>
    <row r="3772" spans="2:30" s="323" customFormat="1" ht="12" customHeight="1">
      <c r="B3772" s="324"/>
      <c r="C3772" s="325"/>
      <c r="D3772" s="326"/>
      <c r="E3772" s="326"/>
      <c r="F3772" s="326"/>
      <c r="G3772" s="326"/>
      <c r="H3772" s="326"/>
      <c r="P3772" s="318"/>
      <c r="Q3772" s="318"/>
      <c r="R3772" s="318"/>
      <c r="S3772" s="318"/>
      <c r="T3772" s="318"/>
      <c r="U3772" s="318"/>
      <c r="V3772" s="318"/>
      <c r="W3772" s="318"/>
      <c r="X3772" s="318"/>
      <c r="Y3772" s="318"/>
      <c r="Z3772" s="318"/>
      <c r="AA3772" s="318"/>
      <c r="AB3772" s="318"/>
      <c r="AC3772" s="318"/>
      <c r="AD3772" s="318"/>
    </row>
    <row r="3773" spans="2:30" s="323" customFormat="1" ht="12" customHeight="1">
      <c r="B3773" s="324"/>
      <c r="C3773" s="325"/>
      <c r="D3773" s="326"/>
      <c r="E3773" s="326"/>
      <c r="F3773" s="326"/>
      <c r="G3773" s="326"/>
      <c r="H3773" s="326"/>
      <c r="P3773" s="318"/>
      <c r="Q3773" s="318"/>
      <c r="R3773" s="318"/>
      <c r="S3773" s="318"/>
      <c r="T3773" s="318"/>
      <c r="U3773" s="318"/>
      <c r="V3773" s="318"/>
      <c r="W3773" s="318"/>
      <c r="X3773" s="318"/>
      <c r="Y3773" s="318"/>
      <c r="Z3773" s="318"/>
      <c r="AA3773" s="318"/>
      <c r="AB3773" s="318"/>
      <c r="AC3773" s="318"/>
      <c r="AD3773" s="318"/>
    </row>
    <row r="3774" spans="2:30" s="323" customFormat="1" ht="12" customHeight="1">
      <c r="B3774" s="324"/>
      <c r="C3774" s="325"/>
      <c r="D3774" s="326"/>
      <c r="E3774" s="326"/>
      <c r="F3774" s="326"/>
      <c r="G3774" s="326"/>
      <c r="H3774" s="326"/>
      <c r="P3774" s="318"/>
      <c r="Q3774" s="318"/>
      <c r="R3774" s="318"/>
      <c r="S3774" s="318"/>
      <c r="T3774" s="318"/>
      <c r="U3774" s="318"/>
      <c r="V3774" s="318"/>
      <c r="W3774" s="318"/>
      <c r="X3774" s="318"/>
      <c r="Y3774" s="318"/>
      <c r="Z3774" s="318"/>
      <c r="AA3774" s="318"/>
      <c r="AB3774" s="318"/>
      <c r="AC3774" s="318"/>
      <c r="AD3774" s="318"/>
    </row>
    <row r="3775" spans="2:30" s="323" customFormat="1" ht="12" customHeight="1">
      <c r="B3775" s="324"/>
      <c r="C3775" s="325"/>
      <c r="D3775" s="326"/>
      <c r="E3775" s="326"/>
      <c r="F3775" s="326"/>
      <c r="G3775" s="326"/>
      <c r="H3775" s="326"/>
      <c r="P3775" s="318"/>
      <c r="Q3775" s="318"/>
      <c r="R3775" s="318"/>
      <c r="S3775" s="318"/>
      <c r="T3775" s="318"/>
      <c r="U3775" s="318"/>
      <c r="V3775" s="318"/>
      <c r="W3775" s="318"/>
      <c r="X3775" s="318"/>
      <c r="Y3775" s="318"/>
      <c r="Z3775" s="318"/>
      <c r="AA3775" s="318"/>
      <c r="AB3775" s="318"/>
      <c r="AC3775" s="318"/>
      <c r="AD3775" s="318"/>
    </row>
    <row r="3776" spans="2:30" s="323" customFormat="1" ht="12" customHeight="1">
      <c r="B3776" s="324"/>
      <c r="C3776" s="325"/>
      <c r="D3776" s="326"/>
      <c r="E3776" s="326"/>
      <c r="F3776" s="326"/>
      <c r="G3776" s="326"/>
      <c r="H3776" s="326"/>
      <c r="P3776" s="318"/>
      <c r="Q3776" s="318"/>
      <c r="R3776" s="318"/>
      <c r="S3776" s="318"/>
      <c r="T3776" s="318"/>
      <c r="U3776" s="318"/>
      <c r="V3776" s="318"/>
      <c r="W3776" s="318"/>
      <c r="X3776" s="318"/>
      <c r="Y3776" s="318"/>
      <c r="Z3776" s="318"/>
      <c r="AA3776" s="318"/>
      <c r="AB3776" s="318"/>
      <c r="AC3776" s="318"/>
      <c r="AD3776" s="318"/>
    </row>
    <row r="3777" spans="2:30" s="323" customFormat="1" ht="12" customHeight="1">
      <c r="B3777" s="324"/>
      <c r="C3777" s="325"/>
      <c r="D3777" s="326"/>
      <c r="E3777" s="326"/>
      <c r="F3777" s="326"/>
      <c r="G3777" s="326"/>
      <c r="H3777" s="326"/>
      <c r="P3777" s="318"/>
      <c r="Q3777" s="318"/>
      <c r="R3777" s="318"/>
      <c r="S3777" s="318"/>
      <c r="T3777" s="318"/>
      <c r="U3777" s="318"/>
      <c r="V3777" s="318"/>
      <c r="W3777" s="318"/>
      <c r="X3777" s="318"/>
      <c r="Y3777" s="318"/>
      <c r="Z3777" s="318"/>
      <c r="AA3777" s="318"/>
      <c r="AB3777" s="318"/>
      <c r="AC3777" s="318"/>
      <c r="AD3777" s="318"/>
    </row>
    <row r="3778" spans="2:30" s="323" customFormat="1" ht="12" customHeight="1">
      <c r="B3778" s="324"/>
      <c r="C3778" s="325"/>
      <c r="D3778" s="326"/>
      <c r="E3778" s="326"/>
      <c r="F3778" s="326"/>
      <c r="G3778" s="326"/>
      <c r="H3778" s="326"/>
      <c r="P3778" s="318"/>
      <c r="Q3778" s="318"/>
      <c r="R3778" s="318"/>
      <c r="S3778" s="318"/>
      <c r="T3778" s="318"/>
      <c r="U3778" s="318"/>
      <c r="V3778" s="318"/>
      <c r="W3778" s="318"/>
      <c r="X3778" s="318"/>
      <c r="Y3778" s="318"/>
      <c r="Z3778" s="318"/>
      <c r="AA3778" s="318"/>
      <c r="AB3778" s="318"/>
      <c r="AC3778" s="318"/>
      <c r="AD3778" s="318"/>
    </row>
    <row r="3779" spans="2:30" s="323" customFormat="1" ht="12" customHeight="1">
      <c r="B3779" s="324"/>
      <c r="C3779" s="325"/>
      <c r="D3779" s="326"/>
      <c r="E3779" s="326"/>
      <c r="F3779" s="326"/>
      <c r="G3779" s="326"/>
      <c r="H3779" s="326"/>
      <c r="P3779" s="318"/>
      <c r="Q3779" s="318"/>
      <c r="R3779" s="318"/>
      <c r="S3779" s="318"/>
      <c r="T3779" s="318"/>
      <c r="U3779" s="318"/>
      <c r="V3779" s="318"/>
      <c r="W3779" s="318"/>
      <c r="X3779" s="318"/>
      <c r="Y3779" s="318"/>
      <c r="Z3779" s="318"/>
      <c r="AA3779" s="318"/>
      <c r="AB3779" s="318"/>
      <c r="AC3779" s="318"/>
      <c r="AD3779" s="318"/>
    </row>
    <row r="3780" spans="2:30" s="323" customFormat="1" ht="12" customHeight="1">
      <c r="B3780" s="324"/>
      <c r="C3780" s="325"/>
      <c r="D3780" s="326"/>
      <c r="E3780" s="326"/>
      <c r="F3780" s="326"/>
      <c r="G3780" s="326"/>
      <c r="H3780" s="326"/>
      <c r="P3780" s="318"/>
      <c r="Q3780" s="318"/>
      <c r="R3780" s="318"/>
      <c r="S3780" s="318"/>
      <c r="T3780" s="318"/>
      <c r="U3780" s="318"/>
      <c r="V3780" s="318"/>
      <c r="W3780" s="318"/>
      <c r="X3780" s="318"/>
      <c r="Y3780" s="318"/>
      <c r="Z3780" s="318"/>
      <c r="AA3780" s="318"/>
      <c r="AB3780" s="318"/>
      <c r="AC3780" s="318"/>
      <c r="AD3780" s="318"/>
    </row>
    <row r="3781" spans="2:30" s="323" customFormat="1" ht="12" customHeight="1">
      <c r="B3781" s="324"/>
      <c r="C3781" s="325"/>
      <c r="D3781" s="326"/>
      <c r="E3781" s="326"/>
      <c r="F3781" s="326"/>
      <c r="G3781" s="326"/>
      <c r="H3781" s="326"/>
      <c r="P3781" s="318"/>
      <c r="Q3781" s="318"/>
      <c r="R3781" s="318"/>
      <c r="S3781" s="318"/>
      <c r="T3781" s="318"/>
      <c r="U3781" s="318"/>
      <c r="V3781" s="318"/>
      <c r="W3781" s="318"/>
      <c r="X3781" s="318"/>
      <c r="Y3781" s="318"/>
      <c r="Z3781" s="318"/>
      <c r="AA3781" s="318"/>
      <c r="AB3781" s="318"/>
      <c r="AC3781" s="318"/>
      <c r="AD3781" s="318"/>
    </row>
    <row r="3782" spans="2:30" s="323" customFormat="1" ht="12" customHeight="1">
      <c r="B3782" s="324"/>
      <c r="C3782" s="325"/>
      <c r="D3782" s="326"/>
      <c r="E3782" s="326"/>
      <c r="F3782" s="326"/>
      <c r="G3782" s="326"/>
      <c r="H3782" s="326"/>
      <c r="P3782" s="318"/>
      <c r="Q3782" s="318"/>
      <c r="R3782" s="318"/>
      <c r="S3782" s="318"/>
      <c r="T3782" s="318"/>
      <c r="U3782" s="318"/>
      <c r="V3782" s="318"/>
      <c r="W3782" s="318"/>
      <c r="X3782" s="318"/>
      <c r="Y3782" s="318"/>
      <c r="Z3782" s="318"/>
      <c r="AA3782" s="318"/>
      <c r="AB3782" s="318"/>
      <c r="AC3782" s="318"/>
      <c r="AD3782" s="318"/>
    </row>
    <row r="3783" spans="2:30" s="323" customFormat="1" ht="12" customHeight="1">
      <c r="B3783" s="324"/>
      <c r="C3783" s="325"/>
      <c r="D3783" s="326"/>
      <c r="E3783" s="326"/>
      <c r="F3783" s="326"/>
      <c r="G3783" s="326"/>
      <c r="H3783" s="326"/>
      <c r="P3783" s="318"/>
      <c r="Q3783" s="318"/>
      <c r="R3783" s="318"/>
      <c r="S3783" s="318"/>
      <c r="T3783" s="318"/>
      <c r="U3783" s="318"/>
      <c r="V3783" s="318"/>
      <c r="W3783" s="318"/>
      <c r="X3783" s="318"/>
      <c r="Y3783" s="318"/>
      <c r="Z3783" s="318"/>
      <c r="AA3783" s="318"/>
      <c r="AB3783" s="318"/>
      <c r="AC3783" s="318"/>
      <c r="AD3783" s="318"/>
    </row>
    <row r="3784" spans="2:30" s="323" customFormat="1" ht="12" customHeight="1">
      <c r="B3784" s="324"/>
      <c r="C3784" s="325"/>
      <c r="D3784" s="326"/>
      <c r="E3784" s="326"/>
      <c r="F3784" s="326"/>
      <c r="G3784" s="326"/>
      <c r="H3784" s="326"/>
      <c r="P3784" s="318"/>
      <c r="Q3784" s="318"/>
      <c r="R3784" s="318"/>
      <c r="S3784" s="318"/>
      <c r="T3784" s="318"/>
      <c r="U3784" s="318"/>
      <c r="V3784" s="318"/>
      <c r="W3784" s="318"/>
      <c r="X3784" s="318"/>
      <c r="Y3784" s="318"/>
      <c r="Z3784" s="318"/>
      <c r="AA3784" s="318"/>
      <c r="AB3784" s="318"/>
      <c r="AC3784" s="318"/>
      <c r="AD3784" s="318"/>
    </row>
    <row r="3785" spans="2:30" s="323" customFormat="1" ht="12" customHeight="1">
      <c r="B3785" s="324"/>
      <c r="C3785" s="325"/>
      <c r="D3785" s="326"/>
      <c r="E3785" s="326"/>
      <c r="F3785" s="326"/>
      <c r="G3785" s="326"/>
      <c r="H3785" s="326"/>
      <c r="P3785" s="318"/>
      <c r="Q3785" s="318"/>
      <c r="R3785" s="318"/>
      <c r="S3785" s="318"/>
      <c r="T3785" s="318"/>
      <c r="U3785" s="318"/>
      <c r="V3785" s="318"/>
      <c r="W3785" s="318"/>
      <c r="X3785" s="318"/>
      <c r="Y3785" s="318"/>
      <c r="Z3785" s="318"/>
      <c r="AA3785" s="318"/>
      <c r="AB3785" s="318"/>
      <c r="AC3785" s="318"/>
      <c r="AD3785" s="318"/>
    </row>
    <row r="3786" spans="2:30" s="323" customFormat="1" ht="12" customHeight="1">
      <c r="B3786" s="324"/>
      <c r="C3786" s="325"/>
      <c r="D3786" s="326"/>
      <c r="E3786" s="326"/>
      <c r="F3786" s="326"/>
      <c r="G3786" s="326"/>
      <c r="H3786" s="326"/>
      <c r="P3786" s="318"/>
      <c r="Q3786" s="318"/>
      <c r="R3786" s="318"/>
      <c r="S3786" s="318"/>
      <c r="T3786" s="318"/>
      <c r="U3786" s="318"/>
      <c r="V3786" s="318"/>
      <c r="W3786" s="318"/>
      <c r="X3786" s="318"/>
      <c r="Y3786" s="318"/>
      <c r="Z3786" s="318"/>
      <c r="AA3786" s="318"/>
      <c r="AB3786" s="318"/>
      <c r="AC3786" s="318"/>
      <c r="AD3786" s="318"/>
    </row>
    <row r="3787" spans="2:30" s="323" customFormat="1" ht="12" customHeight="1">
      <c r="B3787" s="324"/>
      <c r="C3787" s="325"/>
      <c r="D3787" s="326"/>
      <c r="E3787" s="326"/>
      <c r="F3787" s="326"/>
      <c r="G3787" s="326"/>
      <c r="H3787" s="326"/>
      <c r="P3787" s="318"/>
      <c r="Q3787" s="318"/>
      <c r="R3787" s="318"/>
      <c r="S3787" s="318"/>
      <c r="T3787" s="318"/>
      <c r="U3787" s="318"/>
      <c r="V3787" s="318"/>
      <c r="W3787" s="318"/>
      <c r="X3787" s="318"/>
      <c r="Y3787" s="318"/>
      <c r="Z3787" s="318"/>
      <c r="AA3787" s="318"/>
      <c r="AB3787" s="318"/>
      <c r="AC3787" s="318"/>
      <c r="AD3787" s="318"/>
    </row>
    <row r="3788" spans="2:30" s="323" customFormat="1" ht="12" customHeight="1">
      <c r="B3788" s="324"/>
      <c r="C3788" s="325"/>
      <c r="D3788" s="326"/>
      <c r="E3788" s="326"/>
      <c r="F3788" s="326"/>
      <c r="G3788" s="326"/>
      <c r="H3788" s="326"/>
      <c r="P3788" s="318"/>
      <c r="Q3788" s="318"/>
      <c r="R3788" s="318"/>
      <c r="S3788" s="318"/>
      <c r="T3788" s="318"/>
      <c r="U3788" s="318"/>
      <c r="V3788" s="318"/>
      <c r="W3788" s="318"/>
      <c r="X3788" s="318"/>
      <c r="Y3788" s="318"/>
      <c r="Z3788" s="318"/>
      <c r="AA3788" s="318"/>
      <c r="AB3788" s="318"/>
      <c r="AC3788" s="318"/>
      <c r="AD3788" s="318"/>
    </row>
    <row r="3789" spans="2:30" s="323" customFormat="1" ht="12" customHeight="1">
      <c r="B3789" s="324"/>
      <c r="C3789" s="325"/>
      <c r="D3789" s="326"/>
      <c r="E3789" s="326"/>
      <c r="F3789" s="326"/>
      <c r="G3789" s="326"/>
      <c r="H3789" s="326"/>
      <c r="P3789" s="318"/>
      <c r="Q3789" s="318"/>
      <c r="R3789" s="318"/>
      <c r="S3789" s="318"/>
      <c r="T3789" s="318"/>
      <c r="U3789" s="318"/>
      <c r="V3789" s="318"/>
      <c r="W3789" s="318"/>
      <c r="X3789" s="318"/>
      <c r="Y3789" s="318"/>
      <c r="Z3789" s="318"/>
      <c r="AA3789" s="318"/>
      <c r="AB3789" s="318"/>
      <c r="AC3789" s="318"/>
      <c r="AD3789" s="318"/>
    </row>
    <row r="3790" spans="2:30" s="323" customFormat="1" ht="12" customHeight="1">
      <c r="B3790" s="324"/>
      <c r="C3790" s="325"/>
      <c r="D3790" s="326"/>
      <c r="E3790" s="326"/>
      <c r="F3790" s="326"/>
      <c r="G3790" s="326"/>
      <c r="H3790" s="326"/>
      <c r="P3790" s="318"/>
      <c r="Q3790" s="318"/>
      <c r="R3790" s="318"/>
      <c r="S3790" s="318"/>
      <c r="T3790" s="318"/>
      <c r="U3790" s="318"/>
      <c r="V3790" s="318"/>
      <c r="W3790" s="318"/>
      <c r="X3790" s="318"/>
      <c r="Y3790" s="318"/>
      <c r="Z3790" s="318"/>
      <c r="AA3790" s="318"/>
      <c r="AB3790" s="318"/>
      <c r="AC3790" s="318"/>
      <c r="AD3790" s="318"/>
    </row>
    <row r="3791" spans="2:30" s="323" customFormat="1" ht="12" customHeight="1">
      <c r="B3791" s="324"/>
      <c r="C3791" s="325"/>
      <c r="D3791" s="326"/>
      <c r="E3791" s="326"/>
      <c r="F3791" s="326"/>
      <c r="G3791" s="326"/>
      <c r="H3791" s="326"/>
      <c r="P3791" s="318"/>
      <c r="Q3791" s="318"/>
      <c r="R3791" s="318"/>
      <c r="S3791" s="318"/>
      <c r="T3791" s="318"/>
      <c r="U3791" s="318"/>
      <c r="V3791" s="318"/>
      <c r="W3791" s="318"/>
      <c r="X3791" s="318"/>
      <c r="Y3791" s="318"/>
      <c r="Z3791" s="318"/>
      <c r="AA3791" s="318"/>
      <c r="AB3791" s="318"/>
      <c r="AC3791" s="318"/>
      <c r="AD3791" s="318"/>
    </row>
    <row r="3792" spans="2:30" s="323" customFormat="1" ht="12" customHeight="1">
      <c r="B3792" s="324"/>
      <c r="C3792" s="325"/>
      <c r="D3792" s="326"/>
      <c r="E3792" s="326"/>
      <c r="F3792" s="326"/>
      <c r="G3792" s="326"/>
      <c r="H3792" s="326"/>
      <c r="P3792" s="318"/>
      <c r="Q3792" s="318"/>
      <c r="R3792" s="318"/>
      <c r="S3792" s="318"/>
      <c r="T3792" s="318"/>
      <c r="U3792" s="318"/>
      <c r="V3792" s="318"/>
      <c r="W3792" s="318"/>
      <c r="X3792" s="318"/>
      <c r="Y3792" s="318"/>
      <c r="Z3792" s="318"/>
      <c r="AA3792" s="318"/>
      <c r="AB3792" s="318"/>
      <c r="AC3792" s="318"/>
      <c r="AD3792" s="318"/>
    </row>
    <row r="3793" spans="2:30" s="323" customFormat="1" ht="12" customHeight="1">
      <c r="B3793" s="324"/>
      <c r="C3793" s="325"/>
      <c r="D3793" s="326"/>
      <c r="E3793" s="326"/>
      <c r="F3793" s="326"/>
      <c r="G3793" s="326"/>
      <c r="H3793" s="326"/>
      <c r="P3793" s="318"/>
      <c r="Q3793" s="318"/>
      <c r="R3793" s="318"/>
      <c r="S3793" s="318"/>
      <c r="T3793" s="318"/>
      <c r="U3793" s="318"/>
      <c r="V3793" s="318"/>
      <c r="W3793" s="318"/>
      <c r="X3793" s="318"/>
      <c r="Y3793" s="318"/>
      <c r="Z3793" s="318"/>
      <c r="AA3793" s="318"/>
      <c r="AB3793" s="318"/>
      <c r="AC3793" s="318"/>
      <c r="AD3793" s="318"/>
    </row>
    <row r="3794" spans="2:30" s="323" customFormat="1" ht="12" customHeight="1">
      <c r="B3794" s="324"/>
      <c r="C3794" s="325"/>
      <c r="D3794" s="326"/>
      <c r="E3794" s="326"/>
      <c r="F3794" s="326"/>
      <c r="G3794" s="326"/>
      <c r="H3794" s="326"/>
      <c r="P3794" s="318"/>
      <c r="Q3794" s="318"/>
      <c r="R3794" s="318"/>
      <c r="S3794" s="318"/>
      <c r="T3794" s="318"/>
      <c r="U3794" s="318"/>
      <c r="V3794" s="318"/>
      <c r="W3794" s="318"/>
      <c r="X3794" s="318"/>
      <c r="Y3794" s="318"/>
      <c r="Z3794" s="318"/>
      <c r="AA3794" s="318"/>
      <c r="AB3794" s="318"/>
      <c r="AC3794" s="318"/>
      <c r="AD3794" s="318"/>
    </row>
    <row r="3795" spans="2:30" s="323" customFormat="1" ht="12" customHeight="1">
      <c r="B3795" s="324"/>
      <c r="C3795" s="325"/>
      <c r="D3795" s="326"/>
      <c r="E3795" s="326"/>
      <c r="F3795" s="326"/>
      <c r="G3795" s="326"/>
      <c r="H3795" s="326"/>
      <c r="P3795" s="318"/>
      <c r="Q3795" s="318"/>
      <c r="R3795" s="318"/>
      <c r="S3795" s="318"/>
      <c r="T3795" s="318"/>
      <c r="U3795" s="318"/>
      <c r="V3795" s="318"/>
      <c r="W3795" s="318"/>
      <c r="X3795" s="318"/>
      <c r="Y3795" s="318"/>
      <c r="Z3795" s="318"/>
      <c r="AA3795" s="318"/>
      <c r="AB3795" s="318"/>
      <c r="AC3795" s="318"/>
      <c r="AD3795" s="318"/>
    </row>
    <row r="3796" spans="2:30" s="323" customFormat="1" ht="12" customHeight="1">
      <c r="B3796" s="324"/>
      <c r="C3796" s="325"/>
      <c r="D3796" s="326"/>
      <c r="E3796" s="326"/>
      <c r="F3796" s="326"/>
      <c r="G3796" s="326"/>
      <c r="H3796" s="326"/>
      <c r="P3796" s="318"/>
      <c r="Q3796" s="318"/>
      <c r="R3796" s="318"/>
      <c r="S3796" s="318"/>
      <c r="T3796" s="318"/>
      <c r="U3796" s="318"/>
      <c r="V3796" s="318"/>
      <c r="W3796" s="318"/>
      <c r="X3796" s="318"/>
      <c r="Y3796" s="318"/>
      <c r="Z3796" s="318"/>
      <c r="AA3796" s="318"/>
      <c r="AB3796" s="318"/>
      <c r="AC3796" s="318"/>
      <c r="AD3796" s="318"/>
    </row>
    <row r="3797" spans="2:30" s="323" customFormat="1" ht="12" customHeight="1">
      <c r="B3797" s="324"/>
      <c r="C3797" s="325"/>
      <c r="D3797" s="326"/>
      <c r="E3797" s="326"/>
      <c r="F3797" s="326"/>
      <c r="G3797" s="326"/>
      <c r="H3797" s="326"/>
      <c r="P3797" s="318"/>
      <c r="Q3797" s="318"/>
      <c r="R3797" s="318"/>
      <c r="S3797" s="318"/>
      <c r="T3797" s="318"/>
      <c r="U3797" s="318"/>
      <c r="V3797" s="318"/>
      <c r="W3797" s="318"/>
      <c r="X3797" s="318"/>
      <c r="Y3797" s="318"/>
      <c r="Z3797" s="318"/>
      <c r="AA3797" s="318"/>
      <c r="AB3797" s="318"/>
      <c r="AC3797" s="318"/>
      <c r="AD3797" s="318"/>
    </row>
    <row r="3798" spans="2:30" s="323" customFormat="1" ht="12" customHeight="1">
      <c r="B3798" s="324"/>
      <c r="C3798" s="325"/>
      <c r="D3798" s="326"/>
      <c r="E3798" s="326"/>
      <c r="F3798" s="326"/>
      <c r="G3798" s="326"/>
      <c r="H3798" s="326"/>
      <c r="P3798" s="318"/>
      <c r="Q3798" s="318"/>
      <c r="R3798" s="318"/>
      <c r="S3798" s="318"/>
      <c r="T3798" s="318"/>
      <c r="U3798" s="318"/>
      <c r="V3798" s="318"/>
      <c r="W3798" s="318"/>
      <c r="X3798" s="318"/>
      <c r="Y3798" s="318"/>
      <c r="Z3798" s="318"/>
      <c r="AA3798" s="318"/>
      <c r="AB3798" s="318"/>
      <c r="AC3798" s="318"/>
      <c r="AD3798" s="318"/>
    </row>
    <row r="3799" spans="2:30" s="323" customFormat="1" ht="12" customHeight="1">
      <c r="B3799" s="324"/>
      <c r="C3799" s="325"/>
      <c r="D3799" s="326"/>
      <c r="E3799" s="326"/>
      <c r="F3799" s="326"/>
      <c r="G3799" s="326"/>
      <c r="H3799" s="326"/>
      <c r="P3799" s="318"/>
      <c r="Q3799" s="318"/>
      <c r="R3799" s="318"/>
      <c r="S3799" s="318"/>
      <c r="T3799" s="318"/>
      <c r="U3799" s="318"/>
      <c r="V3799" s="318"/>
      <c r="W3799" s="318"/>
      <c r="X3799" s="318"/>
      <c r="Y3799" s="318"/>
      <c r="Z3799" s="318"/>
      <c r="AA3799" s="318"/>
      <c r="AB3799" s="318"/>
      <c r="AC3799" s="318"/>
      <c r="AD3799" s="318"/>
    </row>
    <row r="3800" spans="2:30" s="323" customFormat="1" ht="12" customHeight="1">
      <c r="B3800" s="324"/>
      <c r="C3800" s="325"/>
      <c r="D3800" s="326"/>
      <c r="E3800" s="326"/>
      <c r="F3800" s="326"/>
      <c r="G3800" s="326"/>
      <c r="H3800" s="326"/>
      <c r="P3800" s="318"/>
      <c r="Q3800" s="318"/>
      <c r="R3800" s="318"/>
      <c r="S3800" s="318"/>
      <c r="T3800" s="318"/>
      <c r="U3800" s="318"/>
      <c r="V3800" s="318"/>
      <c r="W3800" s="318"/>
      <c r="X3800" s="318"/>
      <c r="Y3800" s="318"/>
      <c r="Z3800" s="318"/>
      <c r="AA3800" s="318"/>
      <c r="AB3800" s="318"/>
      <c r="AC3800" s="318"/>
      <c r="AD3800" s="318"/>
    </row>
    <row r="3801" spans="2:30" s="323" customFormat="1" ht="12" customHeight="1">
      <c r="B3801" s="324"/>
      <c r="C3801" s="325"/>
      <c r="D3801" s="326"/>
      <c r="E3801" s="326"/>
      <c r="F3801" s="326"/>
      <c r="G3801" s="326"/>
      <c r="H3801" s="326"/>
      <c r="P3801" s="318"/>
      <c r="Q3801" s="318"/>
      <c r="R3801" s="318"/>
      <c r="S3801" s="318"/>
      <c r="T3801" s="318"/>
      <c r="U3801" s="318"/>
      <c r="V3801" s="318"/>
      <c r="W3801" s="318"/>
      <c r="X3801" s="318"/>
      <c r="Y3801" s="318"/>
      <c r="Z3801" s="318"/>
      <c r="AA3801" s="318"/>
      <c r="AB3801" s="318"/>
      <c r="AC3801" s="318"/>
      <c r="AD3801" s="318"/>
    </row>
    <row r="3802" spans="2:30" s="323" customFormat="1" ht="12" customHeight="1">
      <c r="B3802" s="324"/>
      <c r="C3802" s="325"/>
      <c r="D3802" s="326"/>
      <c r="E3802" s="326"/>
      <c r="F3802" s="326"/>
      <c r="G3802" s="326"/>
      <c r="H3802" s="326"/>
      <c r="P3802" s="318"/>
      <c r="Q3802" s="318"/>
      <c r="R3802" s="318"/>
      <c r="S3802" s="318"/>
      <c r="T3802" s="318"/>
      <c r="U3802" s="318"/>
      <c r="V3802" s="318"/>
      <c r="W3802" s="318"/>
      <c r="X3802" s="318"/>
      <c r="Y3802" s="318"/>
      <c r="Z3802" s="318"/>
      <c r="AA3802" s="318"/>
      <c r="AB3802" s="318"/>
      <c r="AC3802" s="318"/>
      <c r="AD3802" s="318"/>
    </row>
    <row r="3803" spans="2:30" s="323" customFormat="1" ht="12" customHeight="1">
      <c r="B3803" s="324"/>
      <c r="C3803" s="325"/>
      <c r="D3803" s="326"/>
      <c r="E3803" s="326"/>
      <c r="F3803" s="326"/>
      <c r="G3803" s="326"/>
      <c r="H3803" s="326"/>
      <c r="P3803" s="318"/>
      <c r="Q3803" s="318"/>
      <c r="R3803" s="318"/>
      <c r="S3803" s="318"/>
      <c r="T3803" s="318"/>
      <c r="U3803" s="318"/>
      <c r="V3803" s="318"/>
      <c r="W3803" s="318"/>
      <c r="X3803" s="318"/>
      <c r="Y3803" s="318"/>
      <c r="Z3803" s="318"/>
      <c r="AA3803" s="318"/>
      <c r="AB3803" s="318"/>
      <c r="AC3803" s="318"/>
      <c r="AD3803" s="318"/>
    </row>
    <row r="3804" spans="2:30" s="323" customFormat="1" ht="12" customHeight="1">
      <c r="B3804" s="324"/>
      <c r="C3804" s="325"/>
      <c r="D3804" s="326"/>
      <c r="E3804" s="326"/>
      <c r="F3804" s="326"/>
      <c r="G3804" s="326"/>
      <c r="H3804" s="326"/>
      <c r="P3804" s="318"/>
      <c r="Q3804" s="318"/>
      <c r="R3804" s="318"/>
      <c r="S3804" s="318"/>
      <c r="T3804" s="318"/>
      <c r="U3804" s="318"/>
      <c r="V3804" s="318"/>
      <c r="W3804" s="318"/>
      <c r="X3804" s="318"/>
      <c r="Y3804" s="318"/>
      <c r="Z3804" s="318"/>
      <c r="AA3804" s="318"/>
      <c r="AB3804" s="318"/>
      <c r="AC3804" s="318"/>
      <c r="AD3804" s="318"/>
    </row>
    <row r="3805" spans="2:30" s="323" customFormat="1" ht="12" customHeight="1">
      <c r="B3805" s="324"/>
      <c r="C3805" s="325"/>
      <c r="D3805" s="326"/>
      <c r="E3805" s="326"/>
      <c r="F3805" s="326"/>
      <c r="G3805" s="326"/>
      <c r="H3805" s="326"/>
      <c r="P3805" s="318"/>
      <c r="Q3805" s="318"/>
      <c r="R3805" s="318"/>
      <c r="S3805" s="318"/>
      <c r="T3805" s="318"/>
      <c r="U3805" s="318"/>
      <c r="V3805" s="318"/>
      <c r="W3805" s="318"/>
      <c r="X3805" s="318"/>
      <c r="Y3805" s="318"/>
      <c r="Z3805" s="318"/>
      <c r="AA3805" s="318"/>
      <c r="AB3805" s="318"/>
      <c r="AC3805" s="318"/>
      <c r="AD3805" s="318"/>
    </row>
    <row r="3806" spans="2:30" s="323" customFormat="1" ht="12" customHeight="1">
      <c r="B3806" s="324"/>
      <c r="C3806" s="325"/>
      <c r="D3806" s="326"/>
      <c r="E3806" s="326"/>
      <c r="F3806" s="326"/>
      <c r="G3806" s="326"/>
      <c r="H3806" s="326"/>
      <c r="P3806" s="318"/>
      <c r="Q3806" s="318"/>
      <c r="R3806" s="318"/>
      <c r="S3806" s="318"/>
      <c r="T3806" s="318"/>
      <c r="U3806" s="318"/>
      <c r="V3806" s="318"/>
      <c r="W3806" s="318"/>
      <c r="X3806" s="318"/>
      <c r="Y3806" s="318"/>
      <c r="Z3806" s="318"/>
      <c r="AA3806" s="318"/>
      <c r="AB3806" s="318"/>
      <c r="AC3806" s="318"/>
      <c r="AD3806" s="318"/>
    </row>
    <row r="3807" spans="2:30" s="323" customFormat="1" ht="12" customHeight="1">
      <c r="B3807" s="324"/>
      <c r="C3807" s="325"/>
      <c r="D3807" s="326"/>
      <c r="E3807" s="326"/>
      <c r="F3807" s="326"/>
      <c r="G3807" s="326"/>
      <c r="H3807" s="326"/>
      <c r="P3807" s="318"/>
      <c r="Q3807" s="318"/>
      <c r="R3807" s="318"/>
      <c r="S3807" s="318"/>
      <c r="T3807" s="318"/>
      <c r="U3807" s="318"/>
      <c r="V3807" s="318"/>
      <c r="W3807" s="318"/>
      <c r="X3807" s="318"/>
      <c r="Y3807" s="318"/>
      <c r="Z3807" s="318"/>
      <c r="AA3807" s="318"/>
      <c r="AB3807" s="318"/>
      <c r="AC3807" s="318"/>
      <c r="AD3807" s="318"/>
    </row>
    <row r="3808" spans="2:30" s="323" customFormat="1" ht="12" customHeight="1">
      <c r="B3808" s="324"/>
      <c r="C3808" s="325"/>
      <c r="D3808" s="326"/>
      <c r="E3808" s="326"/>
      <c r="F3808" s="326"/>
      <c r="G3808" s="326"/>
      <c r="H3808" s="326"/>
      <c r="P3808" s="318"/>
      <c r="Q3808" s="318"/>
      <c r="R3808" s="318"/>
      <c r="S3808" s="318"/>
      <c r="T3808" s="318"/>
      <c r="U3808" s="318"/>
      <c r="V3808" s="318"/>
      <c r="W3808" s="318"/>
      <c r="X3808" s="318"/>
      <c r="Y3808" s="318"/>
      <c r="Z3808" s="318"/>
      <c r="AA3808" s="318"/>
      <c r="AB3808" s="318"/>
      <c r="AC3808" s="318"/>
      <c r="AD3808" s="318"/>
    </row>
    <row r="3809" spans="2:30" s="323" customFormat="1" ht="12" customHeight="1">
      <c r="B3809" s="324"/>
      <c r="C3809" s="325"/>
      <c r="D3809" s="326"/>
      <c r="E3809" s="326"/>
      <c r="F3809" s="326"/>
      <c r="G3809" s="326"/>
      <c r="H3809" s="326"/>
      <c r="P3809" s="318"/>
      <c r="Q3809" s="318"/>
      <c r="R3809" s="318"/>
      <c r="S3809" s="318"/>
      <c r="T3809" s="318"/>
      <c r="U3809" s="318"/>
      <c r="V3809" s="318"/>
      <c r="W3809" s="318"/>
      <c r="X3809" s="318"/>
      <c r="Y3809" s="318"/>
      <c r="Z3809" s="318"/>
      <c r="AA3809" s="318"/>
      <c r="AB3809" s="318"/>
      <c r="AC3809" s="318"/>
      <c r="AD3809" s="318"/>
    </row>
    <row r="3810" spans="2:30" s="323" customFormat="1" ht="12" customHeight="1">
      <c r="B3810" s="324"/>
      <c r="C3810" s="325"/>
      <c r="D3810" s="326"/>
      <c r="E3810" s="326"/>
      <c r="F3810" s="326"/>
      <c r="G3810" s="326"/>
      <c r="H3810" s="326"/>
      <c r="P3810" s="318"/>
      <c r="Q3810" s="318"/>
      <c r="R3810" s="318"/>
      <c r="S3810" s="318"/>
      <c r="T3810" s="318"/>
      <c r="U3810" s="318"/>
      <c r="V3810" s="318"/>
      <c r="W3810" s="318"/>
      <c r="X3810" s="318"/>
      <c r="Y3810" s="318"/>
      <c r="Z3810" s="318"/>
      <c r="AA3810" s="318"/>
      <c r="AB3810" s="318"/>
      <c r="AC3810" s="318"/>
      <c r="AD3810" s="318"/>
    </row>
    <row r="3811" spans="2:30" s="323" customFormat="1" ht="12" customHeight="1">
      <c r="B3811" s="324"/>
      <c r="C3811" s="325"/>
      <c r="D3811" s="326"/>
      <c r="E3811" s="326"/>
      <c r="F3811" s="326"/>
      <c r="G3811" s="326"/>
      <c r="H3811" s="326"/>
      <c r="P3811" s="318"/>
      <c r="Q3811" s="318"/>
      <c r="R3811" s="318"/>
      <c r="S3811" s="318"/>
      <c r="T3811" s="318"/>
      <c r="U3811" s="318"/>
      <c r="V3811" s="318"/>
      <c r="W3811" s="318"/>
      <c r="X3811" s="318"/>
      <c r="Y3811" s="318"/>
      <c r="Z3811" s="318"/>
      <c r="AA3811" s="318"/>
      <c r="AB3811" s="318"/>
      <c r="AC3811" s="318"/>
      <c r="AD3811" s="318"/>
    </row>
    <row r="3812" spans="2:30" s="323" customFormat="1" ht="12" customHeight="1">
      <c r="B3812" s="324"/>
      <c r="C3812" s="325"/>
      <c r="D3812" s="326"/>
      <c r="E3812" s="326"/>
      <c r="F3812" s="326"/>
      <c r="G3812" s="326"/>
      <c r="H3812" s="326"/>
      <c r="P3812" s="318"/>
      <c r="Q3812" s="318"/>
      <c r="R3812" s="318"/>
      <c r="S3812" s="318"/>
      <c r="T3812" s="318"/>
      <c r="U3812" s="318"/>
      <c r="V3812" s="318"/>
      <c r="W3812" s="318"/>
      <c r="X3812" s="318"/>
      <c r="Y3812" s="318"/>
      <c r="Z3812" s="318"/>
      <c r="AA3812" s="318"/>
      <c r="AB3812" s="318"/>
      <c r="AC3812" s="318"/>
      <c r="AD3812" s="318"/>
    </row>
    <row r="3813" spans="2:30" s="323" customFormat="1" ht="12" customHeight="1">
      <c r="B3813" s="324"/>
      <c r="C3813" s="325"/>
      <c r="D3813" s="326"/>
      <c r="E3813" s="326"/>
      <c r="F3813" s="326"/>
      <c r="G3813" s="326"/>
      <c r="H3813" s="326"/>
      <c r="P3813" s="318"/>
      <c r="Q3813" s="318"/>
      <c r="R3813" s="318"/>
      <c r="S3813" s="318"/>
      <c r="T3813" s="318"/>
      <c r="U3813" s="318"/>
      <c r="V3813" s="318"/>
      <c r="W3813" s="318"/>
      <c r="X3813" s="318"/>
      <c r="Y3813" s="318"/>
      <c r="Z3813" s="318"/>
      <c r="AA3813" s="318"/>
      <c r="AB3813" s="318"/>
      <c r="AC3813" s="318"/>
      <c r="AD3813" s="318"/>
    </row>
    <row r="3814" spans="2:30" s="323" customFormat="1" ht="12" customHeight="1">
      <c r="B3814" s="324"/>
      <c r="C3814" s="325"/>
      <c r="D3814" s="326"/>
      <c r="E3814" s="326"/>
      <c r="F3814" s="326"/>
      <c r="G3814" s="326"/>
      <c r="H3814" s="326"/>
      <c r="P3814" s="318"/>
      <c r="Q3814" s="318"/>
      <c r="R3814" s="318"/>
      <c r="S3814" s="318"/>
      <c r="T3814" s="318"/>
      <c r="U3814" s="318"/>
      <c r="V3814" s="318"/>
      <c r="W3814" s="318"/>
      <c r="X3814" s="318"/>
      <c r="Y3814" s="318"/>
      <c r="Z3814" s="318"/>
      <c r="AA3814" s="318"/>
      <c r="AB3814" s="318"/>
      <c r="AC3814" s="318"/>
      <c r="AD3814" s="318"/>
    </row>
    <row r="3815" spans="2:30" s="323" customFormat="1" ht="12" customHeight="1">
      <c r="B3815" s="324"/>
      <c r="C3815" s="325"/>
      <c r="D3815" s="326"/>
      <c r="E3815" s="326"/>
      <c r="F3815" s="326"/>
      <c r="G3815" s="326"/>
      <c r="H3815" s="326"/>
      <c r="P3815" s="318"/>
      <c r="Q3815" s="318"/>
      <c r="R3815" s="318"/>
      <c r="S3815" s="318"/>
      <c r="T3815" s="318"/>
      <c r="U3815" s="318"/>
      <c r="V3815" s="318"/>
      <c r="W3815" s="318"/>
      <c r="X3815" s="318"/>
      <c r="Y3815" s="318"/>
      <c r="Z3815" s="318"/>
      <c r="AA3815" s="318"/>
      <c r="AB3815" s="318"/>
      <c r="AC3815" s="318"/>
      <c r="AD3815" s="318"/>
    </row>
    <row r="3816" spans="2:30" s="323" customFormat="1" ht="12" customHeight="1">
      <c r="B3816" s="324"/>
      <c r="C3816" s="325"/>
      <c r="D3816" s="326"/>
      <c r="E3816" s="326"/>
      <c r="F3816" s="326"/>
      <c r="G3816" s="326"/>
      <c r="H3816" s="326"/>
      <c r="P3816" s="318"/>
      <c r="Q3816" s="318"/>
      <c r="R3816" s="318"/>
      <c r="S3816" s="318"/>
      <c r="T3816" s="318"/>
      <c r="U3816" s="318"/>
      <c r="V3816" s="318"/>
      <c r="W3816" s="318"/>
      <c r="X3816" s="318"/>
      <c r="Y3816" s="318"/>
      <c r="Z3816" s="318"/>
      <c r="AA3816" s="318"/>
      <c r="AB3816" s="318"/>
      <c r="AC3816" s="318"/>
      <c r="AD3816" s="318"/>
    </row>
    <row r="3817" spans="2:30" s="323" customFormat="1" ht="12" customHeight="1">
      <c r="B3817" s="324"/>
      <c r="C3817" s="325"/>
      <c r="D3817" s="326"/>
      <c r="E3817" s="326"/>
      <c r="F3817" s="326"/>
      <c r="G3817" s="326"/>
      <c r="H3817" s="326"/>
      <c r="P3817" s="318"/>
      <c r="Q3817" s="318"/>
      <c r="R3817" s="318"/>
      <c r="S3817" s="318"/>
      <c r="T3817" s="318"/>
      <c r="U3817" s="318"/>
      <c r="V3817" s="318"/>
      <c r="W3817" s="318"/>
      <c r="X3817" s="318"/>
      <c r="Y3817" s="318"/>
      <c r="Z3817" s="318"/>
      <c r="AA3817" s="318"/>
      <c r="AB3817" s="318"/>
      <c r="AC3817" s="318"/>
      <c r="AD3817" s="318"/>
    </row>
    <row r="3818" spans="2:30" s="323" customFormat="1" ht="12" customHeight="1">
      <c r="B3818" s="324"/>
      <c r="C3818" s="325"/>
      <c r="D3818" s="326"/>
      <c r="E3818" s="326"/>
      <c r="F3818" s="326"/>
      <c r="G3818" s="326"/>
      <c r="H3818" s="326"/>
      <c r="P3818" s="318"/>
      <c r="Q3818" s="318"/>
      <c r="R3818" s="318"/>
      <c r="S3818" s="318"/>
      <c r="T3818" s="318"/>
      <c r="U3818" s="318"/>
      <c r="V3818" s="318"/>
      <c r="W3818" s="318"/>
      <c r="X3818" s="318"/>
      <c r="Y3818" s="318"/>
      <c r="Z3818" s="318"/>
      <c r="AA3818" s="318"/>
      <c r="AB3818" s="318"/>
      <c r="AC3818" s="318"/>
      <c r="AD3818" s="318"/>
    </row>
    <row r="3819" spans="2:30" s="323" customFormat="1" ht="12" customHeight="1">
      <c r="B3819" s="324"/>
      <c r="C3819" s="325"/>
      <c r="D3819" s="326"/>
      <c r="E3819" s="326"/>
      <c r="F3819" s="326"/>
      <c r="G3819" s="326"/>
      <c r="H3819" s="326"/>
      <c r="P3819" s="318"/>
      <c r="Q3819" s="318"/>
      <c r="R3819" s="318"/>
      <c r="S3819" s="318"/>
      <c r="T3819" s="318"/>
      <c r="U3819" s="318"/>
      <c r="V3819" s="318"/>
      <c r="W3819" s="318"/>
      <c r="X3819" s="318"/>
      <c r="Y3819" s="318"/>
      <c r="Z3819" s="318"/>
      <c r="AA3819" s="318"/>
      <c r="AB3819" s="318"/>
      <c r="AC3819" s="318"/>
      <c r="AD3819" s="318"/>
    </row>
    <row r="3820" spans="2:30" s="323" customFormat="1" ht="12" customHeight="1">
      <c r="B3820" s="324"/>
      <c r="C3820" s="325"/>
      <c r="D3820" s="326"/>
      <c r="E3820" s="326"/>
      <c r="F3820" s="326"/>
      <c r="G3820" s="326"/>
      <c r="H3820" s="326"/>
      <c r="P3820" s="318"/>
      <c r="Q3820" s="318"/>
      <c r="R3820" s="318"/>
      <c r="S3820" s="318"/>
      <c r="T3820" s="318"/>
      <c r="U3820" s="318"/>
      <c r="V3820" s="318"/>
      <c r="W3820" s="318"/>
      <c r="X3820" s="318"/>
      <c r="Y3820" s="318"/>
      <c r="Z3820" s="318"/>
      <c r="AA3820" s="318"/>
      <c r="AB3820" s="318"/>
      <c r="AC3820" s="318"/>
      <c r="AD3820" s="318"/>
    </row>
    <row r="3821" spans="2:30" s="323" customFormat="1" ht="12" customHeight="1">
      <c r="B3821" s="324"/>
      <c r="C3821" s="325"/>
      <c r="D3821" s="326"/>
      <c r="E3821" s="326"/>
      <c r="F3821" s="326"/>
      <c r="G3821" s="326"/>
      <c r="H3821" s="326"/>
      <c r="P3821" s="318"/>
      <c r="Q3821" s="318"/>
      <c r="R3821" s="318"/>
      <c r="S3821" s="318"/>
      <c r="T3821" s="318"/>
      <c r="U3821" s="318"/>
      <c r="V3821" s="318"/>
      <c r="W3821" s="318"/>
      <c r="X3821" s="318"/>
      <c r="Y3821" s="318"/>
      <c r="Z3821" s="318"/>
      <c r="AA3821" s="318"/>
      <c r="AB3821" s="318"/>
      <c r="AC3821" s="318"/>
      <c r="AD3821" s="318"/>
    </row>
    <row r="3822" spans="2:30" s="323" customFormat="1" ht="12" customHeight="1">
      <c r="B3822" s="324"/>
      <c r="C3822" s="325"/>
      <c r="D3822" s="326"/>
      <c r="E3822" s="326"/>
      <c r="F3822" s="326"/>
      <c r="G3822" s="326"/>
      <c r="H3822" s="326"/>
      <c r="P3822" s="318"/>
      <c r="Q3822" s="318"/>
      <c r="R3822" s="318"/>
      <c r="S3822" s="318"/>
      <c r="T3822" s="318"/>
      <c r="U3822" s="318"/>
      <c r="V3822" s="318"/>
      <c r="W3822" s="318"/>
      <c r="X3822" s="318"/>
      <c r="Y3822" s="318"/>
      <c r="Z3822" s="318"/>
      <c r="AA3822" s="318"/>
      <c r="AB3822" s="318"/>
      <c r="AC3822" s="318"/>
      <c r="AD3822" s="318"/>
    </row>
    <row r="3823" spans="2:30" s="323" customFormat="1" ht="12" customHeight="1">
      <c r="B3823" s="324"/>
      <c r="C3823" s="325"/>
      <c r="D3823" s="326"/>
      <c r="E3823" s="326"/>
      <c r="F3823" s="326"/>
      <c r="G3823" s="326"/>
      <c r="H3823" s="326"/>
      <c r="P3823" s="318"/>
      <c r="Q3823" s="318"/>
      <c r="R3823" s="318"/>
      <c r="S3823" s="318"/>
      <c r="T3823" s="318"/>
      <c r="U3823" s="318"/>
      <c r="V3823" s="318"/>
      <c r="W3823" s="318"/>
      <c r="X3823" s="318"/>
      <c r="Y3823" s="318"/>
      <c r="Z3823" s="318"/>
      <c r="AA3823" s="318"/>
      <c r="AB3823" s="318"/>
      <c r="AC3823" s="318"/>
      <c r="AD3823" s="318"/>
    </row>
    <row r="3824" spans="2:30" s="323" customFormat="1" ht="12" customHeight="1">
      <c r="B3824" s="324"/>
      <c r="C3824" s="325"/>
      <c r="D3824" s="326"/>
      <c r="E3824" s="326"/>
      <c r="F3824" s="326"/>
      <c r="G3824" s="326"/>
      <c r="H3824" s="326"/>
      <c r="P3824" s="318"/>
      <c r="Q3824" s="318"/>
      <c r="R3824" s="318"/>
      <c r="S3824" s="318"/>
      <c r="T3824" s="318"/>
      <c r="U3824" s="318"/>
      <c r="V3824" s="318"/>
      <c r="W3824" s="318"/>
      <c r="X3824" s="318"/>
      <c r="Y3824" s="318"/>
      <c r="Z3824" s="318"/>
      <c r="AA3824" s="318"/>
      <c r="AB3824" s="318"/>
      <c r="AC3824" s="318"/>
      <c r="AD3824" s="318"/>
    </row>
    <row r="3825" spans="2:30" s="323" customFormat="1" ht="12" customHeight="1">
      <c r="B3825" s="324"/>
      <c r="C3825" s="325"/>
      <c r="D3825" s="326"/>
      <c r="E3825" s="326"/>
      <c r="F3825" s="326"/>
      <c r="G3825" s="326"/>
      <c r="H3825" s="326"/>
      <c r="P3825" s="318"/>
      <c r="Q3825" s="318"/>
      <c r="R3825" s="318"/>
      <c r="S3825" s="318"/>
      <c r="T3825" s="318"/>
      <c r="U3825" s="318"/>
      <c r="V3825" s="318"/>
      <c r="W3825" s="318"/>
      <c r="X3825" s="318"/>
      <c r="Y3825" s="318"/>
      <c r="Z3825" s="318"/>
      <c r="AA3825" s="318"/>
      <c r="AB3825" s="318"/>
      <c r="AC3825" s="318"/>
      <c r="AD3825" s="318"/>
    </row>
    <row r="3826" spans="2:30" s="323" customFormat="1" ht="12" customHeight="1">
      <c r="B3826" s="324"/>
      <c r="C3826" s="325"/>
      <c r="D3826" s="326"/>
      <c r="E3826" s="326"/>
      <c r="F3826" s="326"/>
      <c r="G3826" s="326"/>
      <c r="H3826" s="326"/>
      <c r="P3826" s="318"/>
      <c r="Q3826" s="318"/>
      <c r="R3826" s="318"/>
      <c r="S3826" s="318"/>
      <c r="T3826" s="318"/>
      <c r="U3826" s="318"/>
      <c r="V3826" s="318"/>
      <c r="W3826" s="318"/>
      <c r="X3826" s="318"/>
      <c r="Y3826" s="318"/>
      <c r="Z3826" s="318"/>
      <c r="AA3826" s="318"/>
      <c r="AB3826" s="318"/>
      <c r="AC3826" s="318"/>
      <c r="AD3826" s="318"/>
    </row>
    <row r="3827" spans="2:30" s="323" customFormat="1" ht="12" customHeight="1">
      <c r="B3827" s="324"/>
      <c r="C3827" s="325"/>
      <c r="D3827" s="326"/>
      <c r="E3827" s="326"/>
      <c r="F3827" s="326"/>
      <c r="G3827" s="326"/>
      <c r="H3827" s="326"/>
      <c r="P3827" s="318"/>
      <c r="Q3827" s="318"/>
      <c r="R3827" s="318"/>
      <c r="S3827" s="318"/>
      <c r="T3827" s="318"/>
      <c r="U3827" s="318"/>
      <c r="V3827" s="318"/>
      <c r="W3827" s="318"/>
      <c r="X3827" s="318"/>
      <c r="Y3827" s="318"/>
      <c r="Z3827" s="318"/>
      <c r="AA3827" s="318"/>
      <c r="AB3827" s="318"/>
      <c r="AC3827" s="318"/>
      <c r="AD3827" s="318"/>
    </row>
    <row r="3828" spans="2:30" s="323" customFormat="1" ht="12" customHeight="1">
      <c r="B3828" s="324"/>
      <c r="C3828" s="325"/>
      <c r="D3828" s="326"/>
      <c r="E3828" s="326"/>
      <c r="F3828" s="326"/>
      <c r="G3828" s="326"/>
      <c r="H3828" s="326"/>
      <c r="P3828" s="318"/>
      <c r="Q3828" s="318"/>
      <c r="R3828" s="318"/>
      <c r="S3828" s="318"/>
      <c r="T3828" s="318"/>
      <c r="U3828" s="318"/>
      <c r="V3828" s="318"/>
      <c r="W3828" s="318"/>
      <c r="X3828" s="318"/>
      <c r="Y3828" s="318"/>
      <c r="Z3828" s="318"/>
      <c r="AA3828" s="318"/>
      <c r="AB3828" s="318"/>
      <c r="AC3828" s="318"/>
      <c r="AD3828" s="318"/>
    </row>
    <row r="3829" spans="2:30" s="323" customFormat="1" ht="12" customHeight="1">
      <c r="B3829" s="324"/>
      <c r="C3829" s="325"/>
      <c r="D3829" s="326"/>
      <c r="E3829" s="326"/>
      <c r="F3829" s="326"/>
      <c r="G3829" s="326"/>
      <c r="H3829" s="326"/>
      <c r="P3829" s="318"/>
      <c r="Q3829" s="318"/>
      <c r="R3829" s="318"/>
      <c r="S3829" s="318"/>
      <c r="T3829" s="318"/>
      <c r="U3829" s="318"/>
      <c r="V3829" s="318"/>
      <c r="W3829" s="318"/>
      <c r="X3829" s="318"/>
      <c r="Y3829" s="318"/>
      <c r="Z3829" s="318"/>
      <c r="AA3829" s="318"/>
      <c r="AB3829" s="318"/>
      <c r="AC3829" s="318"/>
      <c r="AD3829" s="318"/>
    </row>
    <row r="3830" spans="2:30" s="323" customFormat="1" ht="12" customHeight="1">
      <c r="B3830" s="324"/>
      <c r="C3830" s="325"/>
      <c r="D3830" s="326"/>
      <c r="E3830" s="326"/>
      <c r="F3830" s="326"/>
      <c r="G3830" s="326"/>
      <c r="H3830" s="326"/>
      <c r="P3830" s="318"/>
      <c r="Q3830" s="318"/>
      <c r="R3830" s="318"/>
      <c r="S3830" s="318"/>
      <c r="T3830" s="318"/>
      <c r="U3830" s="318"/>
      <c r="V3830" s="318"/>
      <c r="W3830" s="318"/>
      <c r="X3830" s="318"/>
      <c r="Y3830" s="318"/>
      <c r="Z3830" s="318"/>
      <c r="AA3830" s="318"/>
      <c r="AB3830" s="318"/>
      <c r="AC3830" s="318"/>
      <c r="AD3830" s="318"/>
    </row>
    <row r="3831" spans="2:30" s="323" customFormat="1" ht="12" customHeight="1">
      <c r="B3831" s="324"/>
      <c r="C3831" s="325"/>
      <c r="D3831" s="326"/>
      <c r="E3831" s="326"/>
      <c r="F3831" s="326"/>
      <c r="G3831" s="326"/>
      <c r="H3831" s="326"/>
      <c r="P3831" s="318"/>
      <c r="Q3831" s="318"/>
      <c r="R3831" s="318"/>
      <c r="S3831" s="318"/>
      <c r="T3831" s="318"/>
      <c r="U3831" s="318"/>
      <c r="V3831" s="318"/>
      <c r="W3831" s="318"/>
      <c r="X3831" s="318"/>
      <c r="Y3831" s="318"/>
      <c r="Z3831" s="318"/>
      <c r="AA3831" s="318"/>
      <c r="AB3831" s="318"/>
      <c r="AC3831" s="318"/>
      <c r="AD3831" s="318"/>
    </row>
    <row r="3832" spans="2:30" s="323" customFormat="1" ht="12" customHeight="1">
      <c r="B3832" s="324"/>
      <c r="C3832" s="325"/>
      <c r="D3832" s="326"/>
      <c r="E3832" s="326"/>
      <c r="F3832" s="326"/>
      <c r="G3832" s="326"/>
      <c r="H3832" s="326"/>
      <c r="P3832" s="318"/>
      <c r="Q3832" s="318"/>
      <c r="R3832" s="318"/>
      <c r="S3832" s="318"/>
      <c r="T3832" s="318"/>
      <c r="U3832" s="318"/>
      <c r="V3832" s="318"/>
      <c r="W3832" s="318"/>
      <c r="X3832" s="318"/>
      <c r="Y3832" s="318"/>
      <c r="Z3832" s="318"/>
      <c r="AA3832" s="318"/>
      <c r="AB3832" s="318"/>
      <c r="AC3832" s="318"/>
      <c r="AD3832" s="318"/>
    </row>
    <row r="3833" spans="2:30" s="323" customFormat="1" ht="12" customHeight="1">
      <c r="B3833" s="324"/>
      <c r="C3833" s="325"/>
      <c r="D3833" s="326"/>
      <c r="E3833" s="326"/>
      <c r="F3833" s="326"/>
      <c r="G3833" s="326"/>
      <c r="H3833" s="326"/>
      <c r="P3833" s="318"/>
      <c r="Q3833" s="318"/>
      <c r="R3833" s="318"/>
      <c r="S3833" s="318"/>
      <c r="T3833" s="318"/>
      <c r="U3833" s="318"/>
      <c r="V3833" s="318"/>
      <c r="W3833" s="318"/>
      <c r="X3833" s="318"/>
      <c r="Y3833" s="318"/>
      <c r="Z3833" s="318"/>
      <c r="AA3833" s="318"/>
      <c r="AB3833" s="318"/>
      <c r="AC3833" s="318"/>
      <c r="AD3833" s="318"/>
    </row>
    <row r="3834" spans="2:30" s="323" customFormat="1" ht="12" customHeight="1">
      <c r="B3834" s="324"/>
      <c r="C3834" s="325"/>
      <c r="D3834" s="326"/>
      <c r="E3834" s="326"/>
      <c r="F3834" s="326"/>
      <c r="G3834" s="326"/>
      <c r="H3834" s="326"/>
      <c r="P3834" s="318"/>
      <c r="Q3834" s="318"/>
      <c r="R3834" s="318"/>
      <c r="S3834" s="318"/>
      <c r="T3834" s="318"/>
      <c r="U3834" s="318"/>
      <c r="V3834" s="318"/>
      <c r="W3834" s="318"/>
      <c r="X3834" s="318"/>
      <c r="Y3834" s="318"/>
      <c r="Z3834" s="318"/>
      <c r="AA3834" s="318"/>
      <c r="AB3834" s="318"/>
      <c r="AC3834" s="318"/>
      <c r="AD3834" s="318"/>
    </row>
    <row r="3835" spans="2:30" s="323" customFormat="1" ht="12" customHeight="1">
      <c r="B3835" s="324"/>
      <c r="C3835" s="325"/>
      <c r="D3835" s="326"/>
      <c r="E3835" s="326"/>
      <c r="F3835" s="326"/>
      <c r="G3835" s="326"/>
      <c r="H3835" s="326"/>
      <c r="P3835" s="318"/>
      <c r="Q3835" s="318"/>
      <c r="R3835" s="318"/>
      <c r="S3835" s="318"/>
      <c r="T3835" s="318"/>
      <c r="U3835" s="318"/>
      <c r="V3835" s="318"/>
      <c r="W3835" s="318"/>
      <c r="X3835" s="318"/>
      <c r="Y3835" s="318"/>
      <c r="Z3835" s="318"/>
      <c r="AA3835" s="318"/>
      <c r="AB3835" s="318"/>
      <c r="AC3835" s="318"/>
      <c r="AD3835" s="318"/>
    </row>
    <row r="3836" spans="2:30" s="323" customFormat="1" ht="12" customHeight="1">
      <c r="B3836" s="324"/>
      <c r="C3836" s="325"/>
      <c r="D3836" s="326"/>
      <c r="E3836" s="326"/>
      <c r="F3836" s="326"/>
      <c r="G3836" s="326"/>
      <c r="H3836" s="326"/>
      <c r="P3836" s="318"/>
      <c r="Q3836" s="318"/>
      <c r="R3836" s="318"/>
      <c r="S3836" s="318"/>
      <c r="T3836" s="318"/>
      <c r="U3836" s="318"/>
      <c r="V3836" s="318"/>
      <c r="W3836" s="318"/>
      <c r="X3836" s="318"/>
      <c r="Y3836" s="318"/>
      <c r="Z3836" s="318"/>
      <c r="AA3836" s="318"/>
      <c r="AB3836" s="318"/>
      <c r="AC3836" s="318"/>
      <c r="AD3836" s="318"/>
    </row>
    <row r="3837" spans="2:30" s="323" customFormat="1" ht="12" customHeight="1">
      <c r="B3837" s="324"/>
      <c r="C3837" s="325"/>
      <c r="D3837" s="326"/>
      <c r="E3837" s="326"/>
      <c r="F3837" s="326"/>
      <c r="G3837" s="326"/>
      <c r="H3837" s="326"/>
      <c r="P3837" s="318"/>
      <c r="Q3837" s="318"/>
      <c r="R3837" s="318"/>
      <c r="S3837" s="318"/>
      <c r="T3837" s="318"/>
      <c r="U3837" s="318"/>
      <c r="V3837" s="318"/>
      <c r="W3837" s="318"/>
      <c r="X3837" s="318"/>
      <c r="Y3837" s="318"/>
      <c r="Z3837" s="318"/>
      <c r="AA3837" s="318"/>
      <c r="AB3837" s="318"/>
      <c r="AC3837" s="318"/>
      <c r="AD3837" s="318"/>
    </row>
    <row r="3838" spans="2:30" s="323" customFormat="1" ht="12" customHeight="1">
      <c r="B3838" s="324"/>
      <c r="C3838" s="325"/>
      <c r="D3838" s="326"/>
      <c r="E3838" s="326"/>
      <c r="F3838" s="326"/>
      <c r="G3838" s="326"/>
      <c r="H3838" s="326"/>
      <c r="P3838" s="318"/>
      <c r="Q3838" s="318"/>
      <c r="R3838" s="318"/>
      <c r="S3838" s="318"/>
      <c r="T3838" s="318"/>
      <c r="U3838" s="318"/>
      <c r="V3838" s="318"/>
      <c r="W3838" s="318"/>
      <c r="X3838" s="318"/>
      <c r="Y3838" s="318"/>
      <c r="Z3838" s="318"/>
      <c r="AA3838" s="318"/>
      <c r="AB3838" s="318"/>
      <c r="AC3838" s="318"/>
      <c r="AD3838" s="318"/>
    </row>
    <row r="3839" spans="2:30" s="323" customFormat="1" ht="12" customHeight="1">
      <c r="B3839" s="324"/>
      <c r="C3839" s="325"/>
      <c r="D3839" s="326"/>
      <c r="E3839" s="326"/>
      <c r="F3839" s="326"/>
      <c r="G3839" s="326"/>
      <c r="H3839" s="326"/>
      <c r="P3839" s="318"/>
      <c r="Q3839" s="318"/>
      <c r="R3839" s="318"/>
      <c r="S3839" s="318"/>
      <c r="T3839" s="318"/>
      <c r="U3839" s="318"/>
      <c r="V3839" s="318"/>
      <c r="W3839" s="318"/>
      <c r="X3839" s="318"/>
      <c r="Y3839" s="318"/>
      <c r="Z3839" s="318"/>
      <c r="AA3839" s="318"/>
      <c r="AB3839" s="318"/>
      <c r="AC3839" s="318"/>
      <c r="AD3839" s="318"/>
    </row>
    <row r="3840" spans="2:30" s="323" customFormat="1" ht="12" customHeight="1">
      <c r="B3840" s="324"/>
      <c r="C3840" s="325"/>
      <c r="D3840" s="326"/>
      <c r="E3840" s="326"/>
      <c r="F3840" s="326"/>
      <c r="G3840" s="326"/>
      <c r="H3840" s="326"/>
      <c r="P3840" s="318"/>
      <c r="Q3840" s="318"/>
      <c r="R3840" s="318"/>
      <c r="S3840" s="318"/>
      <c r="T3840" s="318"/>
      <c r="U3840" s="318"/>
      <c r="V3840" s="318"/>
      <c r="W3840" s="318"/>
      <c r="X3840" s="318"/>
      <c r="Y3840" s="318"/>
      <c r="Z3840" s="318"/>
      <c r="AA3840" s="318"/>
      <c r="AB3840" s="318"/>
      <c r="AC3840" s="318"/>
      <c r="AD3840" s="318"/>
    </row>
    <row r="3841" spans="2:30" s="323" customFormat="1" ht="12" customHeight="1">
      <c r="B3841" s="324"/>
      <c r="C3841" s="325"/>
      <c r="D3841" s="326"/>
      <c r="E3841" s="326"/>
      <c r="F3841" s="326"/>
      <c r="G3841" s="326"/>
      <c r="H3841" s="326"/>
      <c r="P3841" s="318"/>
      <c r="Q3841" s="318"/>
      <c r="R3841" s="318"/>
      <c r="S3841" s="318"/>
      <c r="T3841" s="318"/>
      <c r="U3841" s="318"/>
      <c r="V3841" s="318"/>
      <c r="W3841" s="318"/>
      <c r="X3841" s="318"/>
      <c r="Y3841" s="318"/>
      <c r="Z3841" s="318"/>
      <c r="AA3841" s="318"/>
      <c r="AB3841" s="318"/>
      <c r="AC3841" s="318"/>
      <c r="AD3841" s="318"/>
    </row>
    <row r="3842" spans="2:30" s="323" customFormat="1" ht="12" customHeight="1">
      <c r="B3842" s="324"/>
      <c r="C3842" s="325"/>
      <c r="D3842" s="326"/>
      <c r="E3842" s="326"/>
      <c r="F3842" s="326"/>
      <c r="G3842" s="326"/>
      <c r="H3842" s="326"/>
      <c r="P3842" s="318"/>
      <c r="Q3842" s="318"/>
      <c r="R3842" s="318"/>
      <c r="S3842" s="318"/>
      <c r="T3842" s="318"/>
      <c r="U3842" s="318"/>
      <c r="V3842" s="318"/>
      <c r="W3842" s="318"/>
      <c r="X3842" s="318"/>
      <c r="Y3842" s="318"/>
      <c r="Z3842" s="318"/>
      <c r="AA3842" s="318"/>
      <c r="AB3842" s="318"/>
      <c r="AC3842" s="318"/>
      <c r="AD3842" s="318"/>
    </row>
    <row r="3843" spans="2:30" s="323" customFormat="1" ht="12" customHeight="1">
      <c r="B3843" s="324"/>
      <c r="C3843" s="325"/>
      <c r="D3843" s="326"/>
      <c r="E3843" s="326"/>
      <c r="F3843" s="326"/>
      <c r="G3843" s="326"/>
      <c r="H3843" s="326"/>
      <c r="P3843" s="318"/>
      <c r="Q3843" s="318"/>
      <c r="R3843" s="318"/>
      <c r="S3843" s="318"/>
      <c r="T3843" s="318"/>
      <c r="U3843" s="318"/>
      <c r="V3843" s="318"/>
      <c r="W3843" s="318"/>
      <c r="X3843" s="318"/>
      <c r="Y3843" s="318"/>
      <c r="Z3843" s="318"/>
      <c r="AA3843" s="318"/>
      <c r="AB3843" s="318"/>
      <c r="AC3843" s="318"/>
      <c r="AD3843" s="318"/>
    </row>
    <row r="3844" spans="2:30" s="323" customFormat="1" ht="12" customHeight="1">
      <c r="B3844" s="324"/>
      <c r="C3844" s="325"/>
      <c r="D3844" s="326"/>
      <c r="E3844" s="326"/>
      <c r="F3844" s="326"/>
      <c r="G3844" s="326"/>
      <c r="H3844" s="326"/>
      <c r="P3844" s="318"/>
      <c r="Q3844" s="318"/>
      <c r="R3844" s="318"/>
      <c r="S3844" s="318"/>
      <c r="T3844" s="318"/>
      <c r="U3844" s="318"/>
      <c r="V3844" s="318"/>
      <c r="W3844" s="318"/>
      <c r="X3844" s="318"/>
      <c r="Y3844" s="318"/>
      <c r="Z3844" s="318"/>
      <c r="AA3844" s="318"/>
      <c r="AB3844" s="318"/>
      <c r="AC3844" s="318"/>
      <c r="AD3844" s="318"/>
    </row>
    <row r="3845" spans="2:30" s="323" customFormat="1" ht="12" customHeight="1">
      <c r="B3845" s="324"/>
      <c r="C3845" s="325"/>
      <c r="D3845" s="326"/>
      <c r="E3845" s="326"/>
      <c r="F3845" s="326"/>
      <c r="G3845" s="326"/>
      <c r="H3845" s="326"/>
      <c r="P3845" s="318"/>
      <c r="Q3845" s="318"/>
      <c r="R3845" s="318"/>
      <c r="S3845" s="318"/>
      <c r="T3845" s="318"/>
      <c r="U3845" s="318"/>
      <c r="V3845" s="318"/>
      <c r="W3845" s="318"/>
      <c r="X3845" s="318"/>
      <c r="Y3845" s="318"/>
      <c r="Z3845" s="318"/>
      <c r="AA3845" s="318"/>
      <c r="AB3845" s="318"/>
      <c r="AC3845" s="318"/>
      <c r="AD3845" s="318"/>
    </row>
    <row r="3846" spans="2:30" s="323" customFormat="1" ht="12" customHeight="1">
      <c r="B3846" s="324"/>
      <c r="C3846" s="325"/>
      <c r="D3846" s="326"/>
      <c r="E3846" s="326"/>
      <c r="F3846" s="326"/>
      <c r="G3846" s="326"/>
      <c r="H3846" s="326"/>
      <c r="P3846" s="318"/>
      <c r="Q3846" s="318"/>
      <c r="R3846" s="318"/>
      <c r="S3846" s="318"/>
      <c r="T3846" s="318"/>
      <c r="U3846" s="318"/>
      <c r="V3846" s="318"/>
      <c r="W3846" s="318"/>
      <c r="X3846" s="318"/>
      <c r="Y3846" s="318"/>
      <c r="Z3846" s="318"/>
      <c r="AA3846" s="318"/>
      <c r="AB3846" s="318"/>
      <c r="AC3846" s="318"/>
      <c r="AD3846" s="318"/>
    </row>
    <row r="3847" spans="2:30" s="323" customFormat="1" ht="12" customHeight="1">
      <c r="B3847" s="324"/>
      <c r="C3847" s="325"/>
      <c r="D3847" s="326"/>
      <c r="E3847" s="326"/>
      <c r="F3847" s="326"/>
      <c r="G3847" s="326"/>
      <c r="H3847" s="326"/>
      <c r="P3847" s="318"/>
      <c r="Q3847" s="318"/>
      <c r="R3847" s="318"/>
      <c r="S3847" s="318"/>
      <c r="T3847" s="318"/>
      <c r="U3847" s="318"/>
      <c r="V3847" s="318"/>
      <c r="W3847" s="318"/>
      <c r="X3847" s="318"/>
      <c r="Y3847" s="318"/>
      <c r="Z3847" s="318"/>
      <c r="AA3847" s="318"/>
      <c r="AB3847" s="318"/>
      <c r="AC3847" s="318"/>
      <c r="AD3847" s="318"/>
    </row>
    <row r="3848" spans="2:30" s="323" customFormat="1" ht="12" customHeight="1">
      <c r="B3848" s="324"/>
      <c r="C3848" s="325"/>
      <c r="D3848" s="326"/>
      <c r="E3848" s="326"/>
      <c r="F3848" s="326"/>
      <c r="G3848" s="326"/>
      <c r="H3848" s="326"/>
      <c r="P3848" s="318"/>
      <c r="Q3848" s="318"/>
      <c r="R3848" s="318"/>
      <c r="S3848" s="318"/>
      <c r="T3848" s="318"/>
      <c r="U3848" s="318"/>
      <c r="V3848" s="318"/>
      <c r="W3848" s="318"/>
      <c r="X3848" s="318"/>
      <c r="Y3848" s="318"/>
      <c r="Z3848" s="318"/>
      <c r="AA3848" s="318"/>
      <c r="AB3848" s="318"/>
      <c r="AC3848" s="318"/>
      <c r="AD3848" s="318"/>
    </row>
    <row r="3849" spans="2:30" s="323" customFormat="1" ht="12" customHeight="1">
      <c r="B3849" s="324"/>
      <c r="C3849" s="325"/>
      <c r="D3849" s="326"/>
      <c r="E3849" s="326"/>
      <c r="F3849" s="326"/>
      <c r="G3849" s="326"/>
      <c r="H3849" s="326"/>
      <c r="P3849" s="318"/>
      <c r="Q3849" s="318"/>
      <c r="R3849" s="318"/>
      <c r="S3849" s="318"/>
      <c r="T3849" s="318"/>
      <c r="U3849" s="318"/>
      <c r="V3849" s="318"/>
      <c r="W3849" s="318"/>
      <c r="X3849" s="318"/>
      <c r="Y3849" s="318"/>
      <c r="Z3849" s="318"/>
      <c r="AA3849" s="318"/>
      <c r="AB3849" s="318"/>
      <c r="AC3849" s="318"/>
      <c r="AD3849" s="318"/>
    </row>
    <row r="3850" spans="2:30" s="323" customFormat="1" ht="12" customHeight="1">
      <c r="B3850" s="324"/>
      <c r="C3850" s="325"/>
      <c r="D3850" s="326"/>
      <c r="E3850" s="326"/>
      <c r="F3850" s="326"/>
      <c r="G3850" s="326"/>
      <c r="H3850" s="326"/>
      <c r="P3850" s="318"/>
      <c r="Q3850" s="318"/>
      <c r="R3850" s="318"/>
      <c r="S3850" s="318"/>
      <c r="T3850" s="318"/>
      <c r="U3850" s="318"/>
      <c r="V3850" s="318"/>
      <c r="W3850" s="318"/>
      <c r="X3850" s="318"/>
      <c r="Y3850" s="318"/>
      <c r="Z3850" s="318"/>
      <c r="AA3850" s="318"/>
      <c r="AB3850" s="318"/>
      <c r="AC3850" s="318"/>
      <c r="AD3850" s="318"/>
    </row>
    <row r="3851" spans="2:30" s="323" customFormat="1" ht="12" customHeight="1">
      <c r="B3851" s="324"/>
      <c r="C3851" s="325"/>
      <c r="D3851" s="326"/>
      <c r="E3851" s="326"/>
      <c r="F3851" s="326"/>
      <c r="G3851" s="326"/>
      <c r="H3851" s="326"/>
      <c r="P3851" s="318"/>
      <c r="Q3851" s="318"/>
      <c r="R3851" s="318"/>
      <c r="S3851" s="318"/>
      <c r="T3851" s="318"/>
      <c r="U3851" s="318"/>
      <c r="V3851" s="318"/>
      <c r="W3851" s="318"/>
      <c r="X3851" s="318"/>
      <c r="Y3851" s="318"/>
      <c r="Z3851" s="318"/>
      <c r="AA3851" s="318"/>
      <c r="AB3851" s="318"/>
      <c r="AC3851" s="318"/>
      <c r="AD3851" s="318"/>
    </row>
    <row r="3852" spans="2:30" s="323" customFormat="1" ht="12" customHeight="1">
      <c r="B3852" s="324"/>
      <c r="C3852" s="325"/>
      <c r="D3852" s="326"/>
      <c r="E3852" s="326"/>
      <c r="F3852" s="326"/>
      <c r="G3852" s="326"/>
      <c r="H3852" s="326"/>
      <c r="P3852" s="318"/>
      <c r="Q3852" s="318"/>
      <c r="R3852" s="318"/>
      <c r="S3852" s="318"/>
      <c r="T3852" s="318"/>
      <c r="U3852" s="318"/>
      <c r="V3852" s="318"/>
      <c r="W3852" s="318"/>
      <c r="X3852" s="318"/>
      <c r="Y3852" s="318"/>
      <c r="Z3852" s="318"/>
      <c r="AA3852" s="318"/>
      <c r="AB3852" s="318"/>
      <c r="AC3852" s="318"/>
      <c r="AD3852" s="318"/>
    </row>
    <row r="3853" spans="2:30" s="323" customFormat="1" ht="12" customHeight="1">
      <c r="B3853" s="324"/>
      <c r="C3853" s="325"/>
      <c r="D3853" s="326"/>
      <c r="E3853" s="326"/>
      <c r="F3853" s="326"/>
      <c r="G3853" s="326"/>
      <c r="H3853" s="326"/>
      <c r="P3853" s="318"/>
      <c r="Q3853" s="318"/>
      <c r="R3853" s="318"/>
      <c r="S3853" s="318"/>
      <c r="T3853" s="318"/>
      <c r="U3853" s="318"/>
      <c r="V3853" s="318"/>
      <c r="W3853" s="318"/>
      <c r="X3853" s="318"/>
      <c r="Y3853" s="318"/>
      <c r="Z3853" s="318"/>
      <c r="AA3853" s="318"/>
      <c r="AB3853" s="318"/>
      <c r="AC3853" s="318"/>
      <c r="AD3853" s="318"/>
    </row>
    <row r="3854" spans="2:30" s="323" customFormat="1" ht="12" customHeight="1">
      <c r="B3854" s="324"/>
      <c r="C3854" s="325"/>
      <c r="D3854" s="326"/>
      <c r="E3854" s="326"/>
      <c r="F3854" s="326"/>
      <c r="G3854" s="326"/>
      <c r="H3854" s="326"/>
      <c r="P3854" s="318"/>
      <c r="Q3854" s="318"/>
      <c r="R3854" s="318"/>
      <c r="S3854" s="318"/>
      <c r="T3854" s="318"/>
      <c r="U3854" s="318"/>
      <c r="V3854" s="318"/>
      <c r="W3854" s="318"/>
      <c r="X3854" s="318"/>
      <c r="Y3854" s="318"/>
      <c r="Z3854" s="318"/>
      <c r="AA3854" s="318"/>
      <c r="AB3854" s="318"/>
      <c r="AC3854" s="318"/>
      <c r="AD3854" s="318"/>
    </row>
    <row r="3855" spans="2:30" s="323" customFormat="1" ht="12" customHeight="1">
      <c r="B3855" s="324"/>
      <c r="C3855" s="325"/>
      <c r="D3855" s="326"/>
      <c r="E3855" s="326"/>
      <c r="F3855" s="326"/>
      <c r="G3855" s="326"/>
      <c r="H3855" s="326"/>
      <c r="P3855" s="318"/>
      <c r="Q3855" s="318"/>
      <c r="R3855" s="318"/>
      <c r="S3855" s="318"/>
      <c r="T3855" s="318"/>
      <c r="U3855" s="318"/>
      <c r="V3855" s="318"/>
      <c r="W3855" s="318"/>
      <c r="X3855" s="318"/>
      <c r="Y3855" s="318"/>
      <c r="Z3855" s="318"/>
      <c r="AA3855" s="318"/>
      <c r="AB3855" s="318"/>
      <c r="AC3855" s="318"/>
      <c r="AD3855" s="318"/>
    </row>
    <row r="3856" spans="2:30" s="323" customFormat="1" ht="12" customHeight="1">
      <c r="B3856" s="324"/>
      <c r="C3856" s="325"/>
      <c r="D3856" s="326"/>
      <c r="E3856" s="326"/>
      <c r="F3856" s="326"/>
      <c r="G3856" s="326"/>
      <c r="H3856" s="326"/>
      <c r="P3856" s="318"/>
      <c r="Q3856" s="318"/>
      <c r="R3856" s="318"/>
      <c r="S3856" s="318"/>
      <c r="T3856" s="318"/>
      <c r="U3856" s="318"/>
      <c r="V3856" s="318"/>
      <c r="W3856" s="318"/>
      <c r="X3856" s="318"/>
      <c r="Y3856" s="318"/>
      <c r="Z3856" s="318"/>
      <c r="AA3856" s="318"/>
      <c r="AB3856" s="318"/>
      <c r="AC3856" s="318"/>
      <c r="AD3856" s="318"/>
    </row>
    <row r="3857" spans="2:30" s="323" customFormat="1" ht="12" customHeight="1">
      <c r="B3857" s="324"/>
      <c r="C3857" s="325"/>
      <c r="D3857" s="326"/>
      <c r="E3857" s="326"/>
      <c r="F3857" s="326"/>
      <c r="G3857" s="326"/>
      <c r="H3857" s="326"/>
      <c r="P3857" s="318"/>
      <c r="Q3857" s="318"/>
      <c r="R3857" s="318"/>
      <c r="S3857" s="318"/>
      <c r="T3857" s="318"/>
      <c r="U3857" s="318"/>
      <c r="V3857" s="318"/>
      <c r="W3857" s="318"/>
      <c r="X3857" s="318"/>
      <c r="Y3857" s="318"/>
      <c r="Z3857" s="318"/>
      <c r="AA3857" s="318"/>
      <c r="AB3857" s="318"/>
      <c r="AC3857" s="318"/>
      <c r="AD3857" s="318"/>
    </row>
    <row r="3858" spans="2:30" s="323" customFormat="1" ht="12" customHeight="1">
      <c r="B3858" s="324"/>
      <c r="C3858" s="325"/>
      <c r="D3858" s="326"/>
      <c r="E3858" s="326"/>
      <c r="F3858" s="326"/>
      <c r="G3858" s="326"/>
      <c r="H3858" s="326"/>
      <c r="P3858" s="318"/>
      <c r="Q3858" s="318"/>
      <c r="R3858" s="318"/>
      <c r="S3858" s="318"/>
      <c r="T3858" s="318"/>
      <c r="U3858" s="318"/>
      <c r="V3858" s="318"/>
      <c r="W3858" s="318"/>
      <c r="X3858" s="318"/>
      <c r="Y3858" s="318"/>
      <c r="Z3858" s="318"/>
      <c r="AA3858" s="318"/>
      <c r="AB3858" s="318"/>
      <c r="AC3858" s="318"/>
      <c r="AD3858" s="318"/>
    </row>
    <row r="3859" spans="2:30" s="323" customFormat="1" ht="12" customHeight="1">
      <c r="B3859" s="324"/>
      <c r="C3859" s="325"/>
      <c r="D3859" s="326"/>
      <c r="E3859" s="326"/>
      <c r="F3859" s="326"/>
      <c r="G3859" s="326"/>
      <c r="H3859" s="326"/>
      <c r="P3859" s="318"/>
      <c r="Q3859" s="318"/>
      <c r="R3859" s="318"/>
      <c r="S3859" s="318"/>
      <c r="T3859" s="318"/>
      <c r="U3859" s="318"/>
      <c r="V3859" s="318"/>
      <c r="W3859" s="318"/>
      <c r="X3859" s="318"/>
      <c r="Y3859" s="318"/>
      <c r="Z3859" s="318"/>
      <c r="AA3859" s="318"/>
      <c r="AB3859" s="318"/>
      <c r="AC3859" s="318"/>
      <c r="AD3859" s="318"/>
    </row>
    <row r="3860" spans="2:30" s="323" customFormat="1" ht="12" customHeight="1">
      <c r="B3860" s="324"/>
      <c r="C3860" s="325"/>
      <c r="D3860" s="326"/>
      <c r="E3860" s="326"/>
      <c r="F3860" s="326"/>
      <c r="G3860" s="326"/>
      <c r="H3860" s="326"/>
      <c r="P3860" s="318"/>
      <c r="Q3860" s="318"/>
      <c r="R3860" s="318"/>
      <c r="S3860" s="318"/>
      <c r="T3860" s="318"/>
      <c r="U3860" s="318"/>
      <c r="V3860" s="318"/>
      <c r="W3860" s="318"/>
      <c r="X3860" s="318"/>
      <c r="Y3860" s="318"/>
      <c r="Z3860" s="318"/>
      <c r="AA3860" s="318"/>
      <c r="AB3860" s="318"/>
      <c r="AC3860" s="318"/>
      <c r="AD3860" s="318"/>
    </row>
    <row r="3861" spans="2:30" s="323" customFormat="1" ht="12" customHeight="1">
      <c r="B3861" s="324"/>
      <c r="C3861" s="325"/>
      <c r="D3861" s="326"/>
      <c r="E3861" s="326"/>
      <c r="F3861" s="326"/>
      <c r="G3861" s="326"/>
      <c r="H3861" s="326"/>
      <c r="P3861" s="318"/>
      <c r="Q3861" s="318"/>
      <c r="R3861" s="318"/>
      <c r="S3861" s="318"/>
      <c r="T3861" s="318"/>
      <c r="U3861" s="318"/>
      <c r="V3861" s="318"/>
      <c r="W3861" s="318"/>
      <c r="X3861" s="318"/>
      <c r="Y3861" s="318"/>
      <c r="Z3861" s="318"/>
      <c r="AA3861" s="318"/>
      <c r="AB3861" s="318"/>
      <c r="AC3861" s="318"/>
      <c r="AD3861" s="318"/>
    </row>
    <row r="3862" spans="2:30" s="323" customFormat="1" ht="12" customHeight="1">
      <c r="B3862" s="324"/>
      <c r="C3862" s="325"/>
      <c r="D3862" s="326"/>
      <c r="E3862" s="326"/>
      <c r="F3862" s="326"/>
      <c r="G3862" s="326"/>
      <c r="H3862" s="326"/>
      <c r="P3862" s="318"/>
      <c r="Q3862" s="318"/>
      <c r="R3862" s="318"/>
      <c r="S3862" s="318"/>
      <c r="T3862" s="318"/>
      <c r="U3862" s="318"/>
      <c r="V3862" s="318"/>
      <c r="W3862" s="318"/>
      <c r="X3862" s="318"/>
      <c r="Y3862" s="318"/>
      <c r="Z3862" s="318"/>
      <c r="AA3862" s="318"/>
      <c r="AB3862" s="318"/>
      <c r="AC3862" s="318"/>
      <c r="AD3862" s="318"/>
    </row>
    <row r="3863" spans="2:30" s="323" customFormat="1" ht="12" customHeight="1">
      <c r="B3863" s="324"/>
      <c r="C3863" s="325"/>
      <c r="D3863" s="326"/>
      <c r="E3863" s="326"/>
      <c r="F3863" s="326"/>
      <c r="G3863" s="326"/>
      <c r="H3863" s="326"/>
      <c r="P3863" s="318"/>
      <c r="Q3863" s="318"/>
      <c r="R3863" s="318"/>
      <c r="S3863" s="318"/>
      <c r="T3863" s="318"/>
      <c r="U3863" s="318"/>
      <c r="V3863" s="318"/>
      <c r="W3863" s="318"/>
      <c r="X3863" s="318"/>
      <c r="Y3863" s="318"/>
      <c r="Z3863" s="318"/>
      <c r="AA3863" s="318"/>
      <c r="AB3863" s="318"/>
      <c r="AC3863" s="318"/>
      <c r="AD3863" s="318"/>
    </row>
    <row r="3864" spans="2:30" s="323" customFormat="1" ht="12" customHeight="1">
      <c r="B3864" s="324"/>
      <c r="C3864" s="325"/>
      <c r="D3864" s="326"/>
      <c r="E3864" s="326"/>
      <c r="F3864" s="326"/>
      <c r="G3864" s="326"/>
      <c r="H3864" s="326"/>
      <c r="P3864" s="318"/>
      <c r="Q3864" s="318"/>
      <c r="R3864" s="318"/>
      <c r="S3864" s="318"/>
      <c r="T3864" s="318"/>
      <c r="U3864" s="318"/>
      <c r="V3864" s="318"/>
      <c r="W3864" s="318"/>
      <c r="X3864" s="318"/>
      <c r="Y3864" s="318"/>
      <c r="Z3864" s="318"/>
      <c r="AA3864" s="318"/>
      <c r="AB3864" s="318"/>
      <c r="AC3864" s="318"/>
      <c r="AD3864" s="318"/>
    </row>
    <row r="3865" spans="2:30" s="323" customFormat="1" ht="12" customHeight="1">
      <c r="B3865" s="324"/>
      <c r="C3865" s="325"/>
      <c r="D3865" s="326"/>
      <c r="E3865" s="326"/>
      <c r="F3865" s="326"/>
      <c r="G3865" s="326"/>
      <c r="H3865" s="326"/>
      <c r="P3865" s="318"/>
      <c r="Q3865" s="318"/>
      <c r="R3865" s="318"/>
      <c r="S3865" s="318"/>
      <c r="T3865" s="318"/>
      <c r="U3865" s="318"/>
      <c r="V3865" s="318"/>
      <c r="W3865" s="318"/>
      <c r="X3865" s="318"/>
      <c r="Y3865" s="318"/>
      <c r="Z3865" s="318"/>
      <c r="AA3865" s="318"/>
      <c r="AB3865" s="318"/>
      <c r="AC3865" s="318"/>
      <c r="AD3865" s="318"/>
    </row>
    <row r="3866" spans="2:30" s="323" customFormat="1" ht="12" customHeight="1">
      <c r="B3866" s="324"/>
      <c r="C3866" s="325"/>
      <c r="D3866" s="326"/>
      <c r="E3866" s="326"/>
      <c r="F3866" s="326"/>
      <c r="G3866" s="326"/>
      <c r="H3866" s="326"/>
      <c r="P3866" s="318"/>
      <c r="Q3866" s="318"/>
      <c r="R3866" s="318"/>
      <c r="S3866" s="318"/>
      <c r="T3866" s="318"/>
      <c r="U3866" s="318"/>
      <c r="V3866" s="318"/>
      <c r="W3866" s="318"/>
      <c r="X3866" s="318"/>
      <c r="Y3866" s="318"/>
      <c r="Z3866" s="318"/>
      <c r="AA3866" s="318"/>
      <c r="AB3866" s="318"/>
      <c r="AC3866" s="318"/>
      <c r="AD3866" s="318"/>
    </row>
    <row r="3867" spans="2:30" s="323" customFormat="1" ht="12" customHeight="1">
      <c r="B3867" s="324"/>
      <c r="C3867" s="325"/>
      <c r="D3867" s="326"/>
      <c r="E3867" s="326"/>
      <c r="F3867" s="326"/>
      <c r="G3867" s="326"/>
      <c r="H3867" s="326"/>
      <c r="P3867" s="318"/>
      <c r="Q3867" s="318"/>
      <c r="R3867" s="318"/>
      <c r="S3867" s="318"/>
      <c r="T3867" s="318"/>
      <c r="U3867" s="318"/>
      <c r="V3867" s="318"/>
      <c r="W3867" s="318"/>
      <c r="X3867" s="318"/>
      <c r="Y3867" s="318"/>
      <c r="Z3867" s="318"/>
      <c r="AA3867" s="318"/>
      <c r="AB3867" s="318"/>
      <c r="AC3867" s="318"/>
      <c r="AD3867" s="318"/>
    </row>
    <row r="3868" spans="2:30" s="323" customFormat="1" ht="12" customHeight="1">
      <c r="B3868" s="324"/>
      <c r="C3868" s="325"/>
      <c r="D3868" s="326"/>
      <c r="E3868" s="326"/>
      <c r="F3868" s="326"/>
      <c r="G3868" s="326"/>
      <c r="H3868" s="326"/>
      <c r="P3868" s="318"/>
      <c r="Q3868" s="318"/>
      <c r="R3868" s="318"/>
      <c r="S3868" s="318"/>
      <c r="T3868" s="318"/>
      <c r="U3868" s="318"/>
      <c r="V3868" s="318"/>
      <c r="W3868" s="318"/>
      <c r="X3868" s="318"/>
      <c r="Y3868" s="318"/>
      <c r="Z3868" s="318"/>
      <c r="AA3868" s="318"/>
      <c r="AB3868" s="318"/>
      <c r="AC3868" s="318"/>
      <c r="AD3868" s="318"/>
    </row>
    <row r="3869" spans="2:30" s="323" customFormat="1" ht="12" customHeight="1">
      <c r="B3869" s="324"/>
      <c r="C3869" s="325"/>
      <c r="D3869" s="326"/>
      <c r="E3869" s="326"/>
      <c r="F3869" s="326"/>
      <c r="G3869" s="326"/>
      <c r="H3869" s="326"/>
      <c r="P3869" s="318"/>
      <c r="Q3869" s="318"/>
      <c r="R3869" s="318"/>
      <c r="S3869" s="318"/>
      <c r="T3869" s="318"/>
      <c r="U3869" s="318"/>
      <c r="V3869" s="318"/>
      <c r="W3869" s="318"/>
      <c r="X3869" s="318"/>
      <c r="Y3869" s="318"/>
      <c r="Z3869" s="318"/>
      <c r="AA3869" s="318"/>
      <c r="AB3869" s="318"/>
      <c r="AC3869" s="318"/>
      <c r="AD3869" s="318"/>
    </row>
    <row r="3870" spans="2:30" s="323" customFormat="1" ht="12" customHeight="1">
      <c r="B3870" s="324"/>
      <c r="C3870" s="325"/>
      <c r="D3870" s="326"/>
      <c r="E3870" s="326"/>
      <c r="F3870" s="326"/>
      <c r="G3870" s="326"/>
      <c r="H3870" s="326"/>
      <c r="P3870" s="318"/>
      <c r="Q3870" s="318"/>
      <c r="R3870" s="318"/>
      <c r="S3870" s="318"/>
      <c r="T3870" s="318"/>
      <c r="U3870" s="318"/>
      <c r="V3870" s="318"/>
      <c r="W3870" s="318"/>
      <c r="X3870" s="318"/>
      <c r="Y3870" s="318"/>
      <c r="Z3870" s="318"/>
      <c r="AA3870" s="318"/>
      <c r="AB3870" s="318"/>
      <c r="AC3870" s="318"/>
      <c r="AD3870" s="318"/>
    </row>
    <row r="3871" spans="2:30" s="323" customFormat="1" ht="12" customHeight="1">
      <c r="B3871" s="324"/>
      <c r="C3871" s="325"/>
      <c r="D3871" s="326"/>
      <c r="E3871" s="326"/>
      <c r="F3871" s="326"/>
      <c r="G3871" s="326"/>
      <c r="H3871" s="326"/>
      <c r="P3871" s="318"/>
      <c r="Q3871" s="318"/>
      <c r="R3871" s="318"/>
      <c r="S3871" s="318"/>
      <c r="T3871" s="318"/>
      <c r="U3871" s="318"/>
      <c r="V3871" s="318"/>
      <c r="W3871" s="318"/>
      <c r="X3871" s="318"/>
      <c r="Y3871" s="318"/>
      <c r="Z3871" s="318"/>
      <c r="AA3871" s="318"/>
      <c r="AB3871" s="318"/>
      <c r="AC3871" s="318"/>
      <c r="AD3871" s="318"/>
    </row>
    <row r="3872" spans="2:30" s="323" customFormat="1" ht="12" customHeight="1">
      <c r="B3872" s="324"/>
      <c r="C3872" s="325"/>
      <c r="D3872" s="326"/>
      <c r="E3872" s="326"/>
      <c r="F3872" s="326"/>
      <c r="G3872" s="326"/>
      <c r="H3872" s="326"/>
      <c r="P3872" s="318"/>
      <c r="Q3872" s="318"/>
      <c r="R3872" s="318"/>
      <c r="S3872" s="318"/>
      <c r="T3872" s="318"/>
      <c r="U3872" s="318"/>
      <c r="V3872" s="318"/>
      <c r="W3872" s="318"/>
      <c r="X3872" s="318"/>
      <c r="Y3872" s="318"/>
      <c r="Z3872" s="318"/>
      <c r="AA3872" s="318"/>
      <c r="AB3872" s="318"/>
      <c r="AC3872" s="318"/>
      <c r="AD3872" s="318"/>
    </row>
    <row r="3873" spans="2:30" s="323" customFormat="1" ht="12" customHeight="1">
      <c r="B3873" s="324"/>
      <c r="C3873" s="325"/>
      <c r="D3873" s="326"/>
      <c r="E3873" s="326"/>
      <c r="F3873" s="326"/>
      <c r="G3873" s="326"/>
      <c r="H3873" s="326"/>
      <c r="P3873" s="318"/>
      <c r="Q3873" s="318"/>
      <c r="R3873" s="318"/>
      <c r="S3873" s="318"/>
      <c r="T3873" s="318"/>
      <c r="U3873" s="318"/>
      <c r="V3873" s="318"/>
      <c r="W3873" s="318"/>
      <c r="X3873" s="318"/>
      <c r="Y3873" s="318"/>
      <c r="Z3873" s="318"/>
      <c r="AA3873" s="318"/>
      <c r="AB3873" s="318"/>
      <c r="AC3873" s="318"/>
      <c r="AD3873" s="318"/>
    </row>
    <row r="3874" spans="2:30" s="323" customFormat="1" ht="12" customHeight="1">
      <c r="B3874" s="324"/>
      <c r="C3874" s="325"/>
      <c r="D3874" s="326"/>
      <c r="E3874" s="326"/>
      <c r="F3874" s="326"/>
      <c r="G3874" s="326"/>
      <c r="H3874" s="326"/>
      <c r="P3874" s="318"/>
      <c r="Q3874" s="318"/>
      <c r="R3874" s="318"/>
      <c r="S3874" s="318"/>
      <c r="T3874" s="318"/>
      <c r="U3874" s="318"/>
      <c r="V3874" s="318"/>
      <c r="W3874" s="318"/>
      <c r="X3874" s="318"/>
      <c r="Y3874" s="318"/>
      <c r="Z3874" s="318"/>
      <c r="AA3874" s="318"/>
      <c r="AB3874" s="318"/>
      <c r="AC3874" s="318"/>
      <c r="AD3874" s="318"/>
    </row>
    <row r="3875" spans="2:30" s="323" customFormat="1" ht="12" customHeight="1">
      <c r="B3875" s="324"/>
      <c r="C3875" s="325"/>
      <c r="D3875" s="326"/>
      <c r="E3875" s="326"/>
      <c r="F3875" s="326"/>
      <c r="G3875" s="326"/>
      <c r="H3875" s="326"/>
      <c r="P3875" s="318"/>
      <c r="Q3875" s="318"/>
      <c r="R3875" s="318"/>
      <c r="S3875" s="318"/>
      <c r="T3875" s="318"/>
      <c r="U3875" s="318"/>
      <c r="V3875" s="318"/>
      <c r="W3875" s="318"/>
      <c r="X3875" s="318"/>
      <c r="Y3875" s="318"/>
      <c r="Z3875" s="318"/>
      <c r="AA3875" s="318"/>
      <c r="AB3875" s="318"/>
      <c r="AC3875" s="318"/>
      <c r="AD3875" s="318"/>
    </row>
    <row r="3876" spans="2:30" s="323" customFormat="1" ht="12" customHeight="1">
      <c r="B3876" s="324"/>
      <c r="C3876" s="325"/>
      <c r="D3876" s="326"/>
      <c r="E3876" s="326"/>
      <c r="F3876" s="326"/>
      <c r="G3876" s="326"/>
      <c r="H3876" s="326"/>
      <c r="P3876" s="318"/>
      <c r="Q3876" s="318"/>
      <c r="R3876" s="318"/>
      <c r="S3876" s="318"/>
      <c r="T3876" s="318"/>
      <c r="U3876" s="318"/>
      <c r="V3876" s="318"/>
      <c r="W3876" s="318"/>
      <c r="X3876" s="318"/>
      <c r="Y3876" s="318"/>
      <c r="Z3876" s="318"/>
      <c r="AA3876" s="318"/>
      <c r="AB3876" s="318"/>
      <c r="AC3876" s="318"/>
      <c r="AD3876" s="318"/>
    </row>
    <row r="3877" spans="2:30" s="323" customFormat="1" ht="12" customHeight="1">
      <c r="B3877" s="324"/>
      <c r="C3877" s="325"/>
      <c r="D3877" s="326"/>
      <c r="E3877" s="326"/>
      <c r="F3877" s="326"/>
      <c r="G3877" s="326"/>
      <c r="H3877" s="326"/>
      <c r="P3877" s="318"/>
      <c r="Q3877" s="318"/>
      <c r="R3877" s="318"/>
      <c r="S3877" s="318"/>
      <c r="T3877" s="318"/>
      <c r="U3877" s="318"/>
      <c r="V3877" s="318"/>
      <c r="W3877" s="318"/>
      <c r="X3877" s="318"/>
      <c r="Y3877" s="318"/>
      <c r="Z3877" s="318"/>
      <c r="AA3877" s="318"/>
      <c r="AB3877" s="318"/>
      <c r="AC3877" s="318"/>
      <c r="AD3877" s="318"/>
    </row>
    <row r="3878" spans="2:30" s="323" customFormat="1" ht="12" customHeight="1">
      <c r="B3878" s="324"/>
      <c r="C3878" s="325"/>
      <c r="D3878" s="326"/>
      <c r="E3878" s="326"/>
      <c r="F3878" s="326"/>
      <c r="G3878" s="326"/>
      <c r="H3878" s="326"/>
      <c r="P3878" s="318"/>
      <c r="Q3878" s="318"/>
      <c r="R3878" s="318"/>
      <c r="S3878" s="318"/>
      <c r="T3878" s="318"/>
      <c r="U3878" s="318"/>
      <c r="V3878" s="318"/>
      <c r="W3878" s="318"/>
      <c r="X3878" s="318"/>
      <c r="Y3878" s="318"/>
      <c r="Z3878" s="318"/>
      <c r="AA3878" s="318"/>
      <c r="AB3878" s="318"/>
      <c r="AC3878" s="318"/>
      <c r="AD3878" s="318"/>
    </row>
    <row r="3879" spans="2:30" s="323" customFormat="1" ht="12" customHeight="1">
      <c r="B3879" s="324"/>
      <c r="C3879" s="325"/>
      <c r="D3879" s="326"/>
      <c r="E3879" s="326"/>
      <c r="F3879" s="326"/>
      <c r="G3879" s="326"/>
      <c r="H3879" s="326"/>
      <c r="P3879" s="318"/>
      <c r="Q3879" s="318"/>
      <c r="R3879" s="318"/>
      <c r="S3879" s="318"/>
      <c r="T3879" s="318"/>
      <c r="U3879" s="318"/>
      <c r="V3879" s="318"/>
      <c r="W3879" s="318"/>
      <c r="X3879" s="318"/>
      <c r="Y3879" s="318"/>
      <c r="Z3879" s="318"/>
      <c r="AA3879" s="318"/>
      <c r="AB3879" s="318"/>
      <c r="AC3879" s="318"/>
      <c r="AD3879" s="318"/>
    </row>
    <row r="3880" spans="2:30" s="323" customFormat="1" ht="12" customHeight="1">
      <c r="B3880" s="324"/>
      <c r="C3880" s="325"/>
      <c r="D3880" s="326"/>
      <c r="E3880" s="326"/>
      <c r="F3880" s="326"/>
      <c r="G3880" s="326"/>
      <c r="H3880" s="326"/>
      <c r="P3880" s="318"/>
      <c r="Q3880" s="318"/>
      <c r="R3880" s="318"/>
      <c r="S3880" s="318"/>
      <c r="T3880" s="318"/>
      <c r="U3880" s="318"/>
      <c r="V3880" s="318"/>
      <c r="W3880" s="318"/>
      <c r="X3880" s="318"/>
      <c r="Y3880" s="318"/>
      <c r="Z3880" s="318"/>
      <c r="AA3880" s="318"/>
      <c r="AB3880" s="318"/>
      <c r="AC3880" s="318"/>
      <c r="AD3880" s="318"/>
    </row>
    <row r="3881" spans="2:30" s="323" customFormat="1" ht="12" customHeight="1">
      <c r="B3881" s="324"/>
      <c r="C3881" s="325"/>
      <c r="D3881" s="326"/>
      <c r="E3881" s="326"/>
      <c r="F3881" s="326"/>
      <c r="G3881" s="326"/>
      <c r="H3881" s="326"/>
      <c r="P3881" s="318"/>
      <c r="Q3881" s="318"/>
      <c r="R3881" s="318"/>
      <c r="S3881" s="318"/>
      <c r="T3881" s="318"/>
      <c r="U3881" s="318"/>
      <c r="V3881" s="318"/>
      <c r="W3881" s="318"/>
      <c r="X3881" s="318"/>
      <c r="Y3881" s="318"/>
      <c r="Z3881" s="318"/>
      <c r="AA3881" s="318"/>
      <c r="AB3881" s="318"/>
      <c r="AC3881" s="318"/>
      <c r="AD3881" s="318"/>
    </row>
    <row r="3882" spans="2:30" s="323" customFormat="1" ht="12" customHeight="1">
      <c r="B3882" s="324"/>
      <c r="C3882" s="325"/>
      <c r="D3882" s="326"/>
      <c r="E3882" s="326"/>
      <c r="F3882" s="326"/>
      <c r="G3882" s="326"/>
      <c r="H3882" s="326"/>
      <c r="P3882" s="318"/>
      <c r="Q3882" s="318"/>
      <c r="R3882" s="318"/>
      <c r="S3882" s="318"/>
      <c r="T3882" s="318"/>
      <c r="U3882" s="318"/>
      <c r="V3882" s="318"/>
      <c r="W3882" s="318"/>
      <c r="X3882" s="318"/>
      <c r="Y3882" s="318"/>
      <c r="Z3882" s="318"/>
      <c r="AA3882" s="318"/>
      <c r="AB3882" s="318"/>
      <c r="AC3882" s="318"/>
      <c r="AD3882" s="318"/>
    </row>
    <row r="3883" spans="2:30" s="323" customFormat="1" ht="12" customHeight="1">
      <c r="B3883" s="324"/>
      <c r="C3883" s="325"/>
      <c r="D3883" s="326"/>
      <c r="E3883" s="326"/>
      <c r="F3883" s="326"/>
      <c r="G3883" s="326"/>
      <c r="H3883" s="326"/>
      <c r="P3883" s="318"/>
      <c r="Q3883" s="318"/>
      <c r="R3883" s="318"/>
      <c r="S3883" s="318"/>
      <c r="T3883" s="318"/>
      <c r="U3883" s="318"/>
      <c r="V3883" s="318"/>
      <c r="W3883" s="318"/>
      <c r="X3883" s="318"/>
      <c r="Y3883" s="318"/>
      <c r="Z3883" s="318"/>
      <c r="AA3883" s="318"/>
      <c r="AB3883" s="318"/>
      <c r="AC3883" s="318"/>
      <c r="AD3883" s="318"/>
    </row>
    <row r="3884" spans="2:30" s="323" customFormat="1" ht="12" customHeight="1">
      <c r="B3884" s="324"/>
      <c r="C3884" s="325"/>
      <c r="D3884" s="326"/>
      <c r="E3884" s="326"/>
      <c r="F3884" s="326"/>
      <c r="G3884" s="326"/>
      <c r="H3884" s="326"/>
      <c r="P3884" s="318"/>
      <c r="Q3884" s="318"/>
      <c r="R3884" s="318"/>
      <c r="S3884" s="318"/>
      <c r="T3884" s="318"/>
      <c r="U3884" s="318"/>
      <c r="V3884" s="318"/>
      <c r="W3884" s="318"/>
      <c r="X3884" s="318"/>
      <c r="Y3884" s="318"/>
      <c r="Z3884" s="318"/>
      <c r="AA3884" s="318"/>
      <c r="AB3884" s="318"/>
      <c r="AC3884" s="318"/>
      <c r="AD3884" s="318"/>
    </row>
    <row r="3885" spans="2:30" s="323" customFormat="1" ht="12" customHeight="1">
      <c r="B3885" s="324"/>
      <c r="C3885" s="325"/>
      <c r="D3885" s="326"/>
      <c r="E3885" s="326"/>
      <c r="F3885" s="326"/>
      <c r="G3885" s="326"/>
      <c r="H3885" s="326"/>
      <c r="P3885" s="318"/>
      <c r="Q3885" s="318"/>
      <c r="R3885" s="318"/>
      <c r="S3885" s="318"/>
      <c r="T3885" s="318"/>
      <c r="U3885" s="318"/>
      <c r="V3885" s="318"/>
      <c r="W3885" s="318"/>
      <c r="X3885" s="318"/>
      <c r="Y3885" s="318"/>
      <c r="Z3885" s="318"/>
      <c r="AA3885" s="318"/>
      <c r="AB3885" s="318"/>
      <c r="AC3885" s="318"/>
      <c r="AD3885" s="318"/>
    </row>
    <row r="3886" spans="2:30" s="323" customFormat="1" ht="12" customHeight="1">
      <c r="B3886" s="324"/>
      <c r="C3886" s="325"/>
      <c r="D3886" s="326"/>
      <c r="E3886" s="326"/>
      <c r="F3886" s="326"/>
      <c r="G3886" s="326"/>
      <c r="H3886" s="326"/>
      <c r="P3886" s="318"/>
      <c r="Q3886" s="318"/>
      <c r="R3886" s="318"/>
      <c r="S3886" s="318"/>
      <c r="T3886" s="318"/>
      <c r="U3886" s="318"/>
      <c r="V3886" s="318"/>
      <c r="W3886" s="318"/>
      <c r="X3886" s="318"/>
      <c r="Y3886" s="318"/>
      <c r="Z3886" s="318"/>
      <c r="AA3886" s="318"/>
      <c r="AB3886" s="318"/>
      <c r="AC3886" s="318"/>
      <c r="AD3886" s="318"/>
    </row>
    <row r="3887" spans="2:30" s="323" customFormat="1" ht="12" customHeight="1">
      <c r="B3887" s="324"/>
      <c r="C3887" s="325"/>
      <c r="D3887" s="326"/>
      <c r="E3887" s="326"/>
      <c r="F3887" s="326"/>
      <c r="G3887" s="326"/>
      <c r="H3887" s="326"/>
      <c r="P3887" s="318"/>
      <c r="Q3887" s="318"/>
      <c r="R3887" s="318"/>
      <c r="S3887" s="318"/>
      <c r="T3887" s="318"/>
      <c r="U3887" s="318"/>
      <c r="V3887" s="318"/>
      <c r="W3887" s="318"/>
      <c r="X3887" s="318"/>
      <c r="Y3887" s="318"/>
      <c r="Z3887" s="318"/>
      <c r="AA3887" s="318"/>
      <c r="AB3887" s="318"/>
      <c r="AC3887" s="318"/>
      <c r="AD3887" s="318"/>
    </row>
    <row r="3888" spans="2:30" s="323" customFormat="1" ht="12" customHeight="1">
      <c r="B3888" s="324"/>
      <c r="C3888" s="325"/>
      <c r="D3888" s="326"/>
      <c r="E3888" s="326"/>
      <c r="F3888" s="326"/>
      <c r="G3888" s="326"/>
      <c r="H3888" s="326"/>
      <c r="P3888" s="318"/>
      <c r="Q3888" s="318"/>
      <c r="R3888" s="318"/>
      <c r="S3888" s="318"/>
      <c r="T3888" s="318"/>
      <c r="U3888" s="318"/>
      <c r="V3888" s="318"/>
      <c r="W3888" s="318"/>
      <c r="X3888" s="318"/>
      <c r="Y3888" s="318"/>
      <c r="Z3888" s="318"/>
      <c r="AA3888" s="318"/>
      <c r="AB3888" s="318"/>
      <c r="AC3888" s="318"/>
      <c r="AD3888" s="318"/>
    </row>
    <row r="3889" spans="2:30" s="323" customFormat="1" ht="12" customHeight="1">
      <c r="B3889" s="324"/>
      <c r="C3889" s="325"/>
      <c r="D3889" s="326"/>
      <c r="E3889" s="326"/>
      <c r="F3889" s="326"/>
      <c r="G3889" s="326"/>
      <c r="H3889" s="326"/>
      <c r="P3889" s="318"/>
      <c r="Q3889" s="318"/>
      <c r="R3889" s="318"/>
      <c r="S3889" s="318"/>
      <c r="T3889" s="318"/>
      <c r="U3889" s="318"/>
      <c r="V3889" s="318"/>
      <c r="W3889" s="318"/>
      <c r="X3889" s="318"/>
      <c r="Y3889" s="318"/>
      <c r="Z3889" s="318"/>
      <c r="AA3889" s="318"/>
      <c r="AB3889" s="318"/>
      <c r="AC3889" s="318"/>
      <c r="AD3889" s="318"/>
    </row>
    <row r="3890" spans="2:30" s="323" customFormat="1" ht="12" customHeight="1">
      <c r="B3890" s="324"/>
      <c r="C3890" s="325"/>
      <c r="D3890" s="326"/>
      <c r="E3890" s="326"/>
      <c r="F3890" s="326"/>
      <c r="G3890" s="326"/>
      <c r="H3890" s="326"/>
      <c r="P3890" s="318"/>
      <c r="Q3890" s="318"/>
      <c r="R3890" s="318"/>
      <c r="S3890" s="318"/>
      <c r="T3890" s="318"/>
      <c r="U3890" s="318"/>
      <c r="V3890" s="318"/>
      <c r="W3890" s="318"/>
      <c r="X3890" s="318"/>
      <c r="Y3890" s="318"/>
      <c r="Z3890" s="318"/>
      <c r="AA3890" s="318"/>
      <c r="AB3890" s="318"/>
      <c r="AC3890" s="318"/>
      <c r="AD3890" s="318"/>
    </row>
    <row r="3891" spans="2:30" s="323" customFormat="1" ht="12" customHeight="1">
      <c r="B3891" s="324"/>
      <c r="C3891" s="325"/>
      <c r="D3891" s="326"/>
      <c r="E3891" s="326"/>
      <c r="F3891" s="326"/>
      <c r="G3891" s="326"/>
      <c r="H3891" s="326"/>
      <c r="P3891" s="318"/>
      <c r="Q3891" s="318"/>
      <c r="R3891" s="318"/>
      <c r="S3891" s="318"/>
      <c r="T3891" s="318"/>
      <c r="U3891" s="318"/>
      <c r="V3891" s="318"/>
      <c r="W3891" s="318"/>
      <c r="X3891" s="318"/>
      <c r="Y3891" s="318"/>
      <c r="Z3891" s="318"/>
      <c r="AA3891" s="318"/>
      <c r="AB3891" s="318"/>
      <c r="AC3891" s="318"/>
      <c r="AD3891" s="318"/>
    </row>
    <row r="3892" spans="2:30" s="323" customFormat="1" ht="12" customHeight="1">
      <c r="B3892" s="324"/>
      <c r="C3892" s="325"/>
      <c r="D3892" s="326"/>
      <c r="E3892" s="326"/>
      <c r="F3892" s="326"/>
      <c r="G3892" s="326"/>
      <c r="H3892" s="326"/>
      <c r="P3892" s="318"/>
      <c r="Q3892" s="318"/>
      <c r="R3892" s="318"/>
      <c r="S3892" s="318"/>
      <c r="T3892" s="318"/>
      <c r="U3892" s="318"/>
      <c r="V3892" s="318"/>
      <c r="W3892" s="318"/>
      <c r="X3892" s="318"/>
      <c r="Y3892" s="318"/>
      <c r="Z3892" s="318"/>
      <c r="AA3892" s="318"/>
      <c r="AB3892" s="318"/>
      <c r="AC3892" s="318"/>
      <c r="AD3892" s="318"/>
    </row>
    <row r="3893" spans="2:30" s="323" customFormat="1" ht="12" customHeight="1">
      <c r="B3893" s="324"/>
      <c r="C3893" s="325"/>
      <c r="D3893" s="326"/>
      <c r="E3893" s="326"/>
      <c r="F3893" s="326"/>
      <c r="G3893" s="326"/>
      <c r="H3893" s="326"/>
      <c r="P3893" s="318"/>
      <c r="Q3893" s="318"/>
      <c r="R3893" s="318"/>
      <c r="S3893" s="318"/>
      <c r="T3893" s="318"/>
      <c r="U3893" s="318"/>
      <c r="V3893" s="318"/>
      <c r="W3893" s="318"/>
      <c r="X3893" s="318"/>
      <c r="Y3893" s="318"/>
      <c r="Z3893" s="318"/>
      <c r="AA3893" s="318"/>
      <c r="AB3893" s="318"/>
      <c r="AC3893" s="318"/>
      <c r="AD3893" s="318"/>
    </row>
    <row r="3894" spans="2:30" s="323" customFormat="1" ht="12" customHeight="1">
      <c r="B3894" s="324"/>
      <c r="C3894" s="325"/>
      <c r="D3894" s="326"/>
      <c r="E3894" s="326"/>
      <c r="F3894" s="326"/>
      <c r="G3894" s="326"/>
      <c r="H3894" s="326"/>
      <c r="P3894" s="318"/>
      <c r="Q3894" s="318"/>
      <c r="R3894" s="318"/>
      <c r="S3894" s="318"/>
      <c r="T3894" s="318"/>
      <c r="U3894" s="318"/>
      <c r="V3894" s="318"/>
      <c r="W3894" s="318"/>
      <c r="X3894" s="318"/>
      <c r="Y3894" s="318"/>
      <c r="Z3894" s="318"/>
      <c r="AA3894" s="318"/>
      <c r="AB3894" s="318"/>
      <c r="AC3894" s="318"/>
      <c r="AD3894" s="318"/>
    </row>
    <row r="3895" spans="2:30" s="323" customFormat="1" ht="12" customHeight="1">
      <c r="B3895" s="324"/>
      <c r="C3895" s="325"/>
      <c r="D3895" s="326"/>
      <c r="E3895" s="326"/>
      <c r="F3895" s="326"/>
      <c r="G3895" s="326"/>
      <c r="H3895" s="326"/>
      <c r="P3895" s="318"/>
      <c r="Q3895" s="318"/>
      <c r="R3895" s="318"/>
      <c r="S3895" s="318"/>
      <c r="T3895" s="318"/>
      <c r="U3895" s="318"/>
      <c r="V3895" s="318"/>
      <c r="W3895" s="318"/>
      <c r="X3895" s="318"/>
      <c r="Y3895" s="318"/>
      <c r="Z3895" s="318"/>
      <c r="AA3895" s="318"/>
      <c r="AB3895" s="318"/>
      <c r="AC3895" s="318"/>
      <c r="AD3895" s="318"/>
    </row>
    <row r="3896" spans="2:30" s="323" customFormat="1" ht="12" customHeight="1">
      <c r="B3896" s="324"/>
      <c r="C3896" s="325"/>
      <c r="D3896" s="326"/>
      <c r="E3896" s="326"/>
      <c r="F3896" s="326"/>
      <c r="G3896" s="326"/>
      <c r="H3896" s="326"/>
      <c r="P3896" s="318"/>
      <c r="Q3896" s="318"/>
      <c r="R3896" s="318"/>
      <c r="S3896" s="318"/>
      <c r="T3896" s="318"/>
      <c r="U3896" s="318"/>
      <c r="V3896" s="318"/>
      <c r="W3896" s="318"/>
      <c r="X3896" s="318"/>
      <c r="Y3896" s="318"/>
      <c r="Z3896" s="318"/>
      <c r="AA3896" s="318"/>
      <c r="AB3896" s="318"/>
      <c r="AC3896" s="318"/>
      <c r="AD3896" s="318"/>
    </row>
    <row r="3897" spans="2:30" s="323" customFormat="1" ht="12" customHeight="1">
      <c r="B3897" s="324"/>
      <c r="C3897" s="325"/>
      <c r="D3897" s="326"/>
      <c r="E3897" s="326"/>
      <c r="F3897" s="326"/>
      <c r="G3897" s="326"/>
      <c r="H3897" s="326"/>
      <c r="P3897" s="318"/>
      <c r="Q3897" s="318"/>
      <c r="R3897" s="318"/>
      <c r="S3897" s="318"/>
      <c r="T3897" s="318"/>
      <c r="U3897" s="318"/>
      <c r="V3897" s="318"/>
      <c r="W3897" s="318"/>
      <c r="X3897" s="318"/>
      <c r="Y3897" s="318"/>
      <c r="Z3897" s="318"/>
      <c r="AA3897" s="318"/>
      <c r="AB3897" s="318"/>
      <c r="AC3897" s="318"/>
      <c r="AD3897" s="318"/>
    </row>
    <row r="3898" spans="2:30" s="323" customFormat="1" ht="12" customHeight="1">
      <c r="B3898" s="324"/>
      <c r="C3898" s="325"/>
      <c r="D3898" s="326"/>
      <c r="E3898" s="326"/>
      <c r="F3898" s="326"/>
      <c r="G3898" s="326"/>
      <c r="H3898" s="326"/>
      <c r="P3898" s="318"/>
      <c r="Q3898" s="318"/>
      <c r="R3898" s="318"/>
      <c r="S3898" s="318"/>
      <c r="T3898" s="318"/>
      <c r="U3898" s="318"/>
      <c r="V3898" s="318"/>
      <c r="W3898" s="318"/>
      <c r="X3898" s="318"/>
      <c r="Y3898" s="318"/>
      <c r="Z3898" s="318"/>
      <c r="AA3898" s="318"/>
      <c r="AB3898" s="318"/>
      <c r="AC3898" s="318"/>
      <c r="AD3898" s="318"/>
    </row>
    <row r="3899" spans="2:30" s="323" customFormat="1" ht="12" customHeight="1">
      <c r="B3899" s="324"/>
      <c r="C3899" s="325"/>
      <c r="D3899" s="326"/>
      <c r="E3899" s="326"/>
      <c r="F3899" s="326"/>
      <c r="G3899" s="326"/>
      <c r="H3899" s="326"/>
      <c r="P3899" s="318"/>
      <c r="Q3899" s="318"/>
      <c r="R3899" s="318"/>
      <c r="S3899" s="318"/>
      <c r="T3899" s="318"/>
      <c r="U3899" s="318"/>
      <c r="V3899" s="318"/>
      <c r="W3899" s="318"/>
      <c r="X3899" s="318"/>
      <c r="Y3899" s="318"/>
      <c r="Z3899" s="318"/>
      <c r="AA3899" s="318"/>
      <c r="AB3899" s="318"/>
      <c r="AC3899" s="318"/>
      <c r="AD3899" s="318"/>
    </row>
    <row r="3900" spans="2:30" s="323" customFormat="1" ht="12" customHeight="1">
      <c r="B3900" s="324"/>
      <c r="C3900" s="325"/>
      <c r="D3900" s="326"/>
      <c r="E3900" s="326"/>
      <c r="F3900" s="326"/>
      <c r="G3900" s="326"/>
      <c r="H3900" s="326"/>
      <c r="P3900" s="318"/>
      <c r="Q3900" s="318"/>
      <c r="R3900" s="318"/>
      <c r="S3900" s="318"/>
      <c r="T3900" s="318"/>
      <c r="U3900" s="318"/>
      <c r="V3900" s="318"/>
      <c r="W3900" s="318"/>
      <c r="X3900" s="318"/>
      <c r="Y3900" s="318"/>
      <c r="Z3900" s="318"/>
      <c r="AA3900" s="318"/>
      <c r="AB3900" s="318"/>
      <c r="AC3900" s="318"/>
      <c r="AD3900" s="318"/>
    </row>
    <row r="3901" spans="2:30" s="323" customFormat="1" ht="12" customHeight="1">
      <c r="B3901" s="324"/>
      <c r="C3901" s="325"/>
      <c r="D3901" s="326"/>
      <c r="E3901" s="326"/>
      <c r="F3901" s="326"/>
      <c r="G3901" s="326"/>
      <c r="H3901" s="326"/>
      <c r="P3901" s="318"/>
      <c r="Q3901" s="318"/>
      <c r="R3901" s="318"/>
      <c r="S3901" s="318"/>
      <c r="T3901" s="318"/>
      <c r="U3901" s="318"/>
      <c r="V3901" s="318"/>
      <c r="W3901" s="318"/>
      <c r="X3901" s="318"/>
      <c r="Y3901" s="318"/>
      <c r="Z3901" s="318"/>
      <c r="AA3901" s="318"/>
      <c r="AB3901" s="318"/>
      <c r="AC3901" s="318"/>
      <c r="AD3901" s="318"/>
    </row>
    <row r="3902" spans="2:30" s="323" customFormat="1" ht="12" customHeight="1">
      <c r="B3902" s="324"/>
      <c r="C3902" s="325"/>
      <c r="D3902" s="326"/>
      <c r="E3902" s="326"/>
      <c r="F3902" s="326"/>
      <c r="G3902" s="326"/>
      <c r="H3902" s="326"/>
      <c r="P3902" s="318"/>
      <c r="Q3902" s="318"/>
      <c r="R3902" s="318"/>
      <c r="S3902" s="318"/>
      <c r="T3902" s="318"/>
      <c r="U3902" s="318"/>
      <c r="V3902" s="318"/>
      <c r="W3902" s="318"/>
      <c r="X3902" s="318"/>
      <c r="Y3902" s="318"/>
      <c r="Z3902" s="318"/>
      <c r="AA3902" s="318"/>
      <c r="AB3902" s="318"/>
      <c r="AC3902" s="318"/>
      <c r="AD3902" s="318"/>
    </row>
    <row r="3903" spans="2:30" s="323" customFormat="1" ht="12" customHeight="1">
      <c r="B3903" s="324"/>
      <c r="C3903" s="325"/>
      <c r="D3903" s="326"/>
      <c r="E3903" s="326"/>
      <c r="F3903" s="326"/>
      <c r="G3903" s="326"/>
      <c r="H3903" s="326"/>
      <c r="P3903" s="318"/>
      <c r="Q3903" s="318"/>
      <c r="R3903" s="318"/>
      <c r="S3903" s="318"/>
      <c r="T3903" s="318"/>
      <c r="U3903" s="318"/>
      <c r="V3903" s="318"/>
      <c r="W3903" s="318"/>
      <c r="X3903" s="318"/>
      <c r="Y3903" s="318"/>
      <c r="Z3903" s="318"/>
      <c r="AA3903" s="318"/>
      <c r="AB3903" s="318"/>
      <c r="AC3903" s="318"/>
      <c r="AD3903" s="318"/>
    </row>
    <row r="3904" spans="2:30" s="323" customFormat="1" ht="12" customHeight="1">
      <c r="B3904" s="324"/>
      <c r="C3904" s="325"/>
      <c r="D3904" s="326"/>
      <c r="E3904" s="326"/>
      <c r="F3904" s="326"/>
      <c r="G3904" s="326"/>
      <c r="H3904" s="326"/>
      <c r="P3904" s="318"/>
      <c r="Q3904" s="318"/>
      <c r="R3904" s="318"/>
      <c r="S3904" s="318"/>
      <c r="T3904" s="318"/>
      <c r="U3904" s="318"/>
      <c r="V3904" s="318"/>
      <c r="W3904" s="318"/>
      <c r="X3904" s="318"/>
      <c r="Y3904" s="318"/>
      <c r="Z3904" s="318"/>
      <c r="AA3904" s="318"/>
      <c r="AB3904" s="318"/>
      <c r="AC3904" s="318"/>
      <c r="AD3904" s="318"/>
    </row>
    <row r="3905" spans="2:30" s="323" customFormat="1" ht="12" customHeight="1">
      <c r="B3905" s="324"/>
      <c r="C3905" s="325"/>
      <c r="D3905" s="326"/>
      <c r="E3905" s="326"/>
      <c r="F3905" s="326"/>
      <c r="G3905" s="326"/>
      <c r="H3905" s="326"/>
      <c r="P3905" s="318"/>
      <c r="Q3905" s="318"/>
      <c r="R3905" s="318"/>
      <c r="S3905" s="318"/>
      <c r="T3905" s="318"/>
      <c r="U3905" s="318"/>
      <c r="V3905" s="318"/>
      <c r="W3905" s="318"/>
      <c r="X3905" s="318"/>
      <c r="Y3905" s="318"/>
      <c r="Z3905" s="318"/>
      <c r="AA3905" s="318"/>
      <c r="AB3905" s="318"/>
      <c r="AC3905" s="318"/>
      <c r="AD3905" s="318"/>
    </row>
    <row r="3906" spans="2:30" s="323" customFormat="1" ht="12" customHeight="1">
      <c r="B3906" s="324"/>
      <c r="C3906" s="325"/>
      <c r="D3906" s="326"/>
      <c r="E3906" s="326"/>
      <c r="F3906" s="326"/>
      <c r="G3906" s="326"/>
      <c r="H3906" s="326"/>
      <c r="P3906" s="318"/>
      <c r="Q3906" s="318"/>
      <c r="R3906" s="318"/>
      <c r="S3906" s="318"/>
      <c r="T3906" s="318"/>
      <c r="U3906" s="318"/>
      <c r="V3906" s="318"/>
      <c r="W3906" s="318"/>
      <c r="X3906" s="318"/>
      <c r="Y3906" s="318"/>
      <c r="Z3906" s="318"/>
      <c r="AA3906" s="318"/>
      <c r="AB3906" s="318"/>
      <c r="AC3906" s="318"/>
      <c r="AD3906" s="318"/>
    </row>
    <row r="3907" spans="2:30" s="323" customFormat="1" ht="12" customHeight="1">
      <c r="B3907" s="324"/>
      <c r="C3907" s="325"/>
      <c r="D3907" s="326"/>
      <c r="E3907" s="326"/>
      <c r="F3907" s="326"/>
      <c r="G3907" s="326"/>
      <c r="H3907" s="326"/>
      <c r="P3907" s="318"/>
      <c r="Q3907" s="318"/>
      <c r="R3907" s="318"/>
      <c r="S3907" s="318"/>
      <c r="T3907" s="318"/>
      <c r="U3907" s="318"/>
      <c r="V3907" s="318"/>
      <c r="W3907" s="318"/>
      <c r="X3907" s="318"/>
      <c r="Y3907" s="318"/>
      <c r="Z3907" s="318"/>
      <c r="AA3907" s="318"/>
      <c r="AB3907" s="318"/>
      <c r="AC3907" s="318"/>
      <c r="AD3907" s="318"/>
    </row>
    <row r="3908" spans="2:30" s="323" customFormat="1" ht="12" customHeight="1">
      <c r="B3908" s="324"/>
      <c r="C3908" s="325"/>
      <c r="D3908" s="326"/>
      <c r="E3908" s="326"/>
      <c r="F3908" s="326"/>
      <c r="G3908" s="326"/>
      <c r="H3908" s="326"/>
      <c r="P3908" s="318"/>
      <c r="Q3908" s="318"/>
      <c r="R3908" s="318"/>
      <c r="S3908" s="318"/>
      <c r="T3908" s="318"/>
      <c r="U3908" s="318"/>
      <c r="V3908" s="318"/>
      <c r="W3908" s="318"/>
      <c r="X3908" s="318"/>
      <c r="Y3908" s="318"/>
      <c r="Z3908" s="318"/>
      <c r="AA3908" s="318"/>
      <c r="AB3908" s="318"/>
      <c r="AC3908" s="318"/>
      <c r="AD3908" s="318"/>
    </row>
    <row r="3909" spans="2:30" s="323" customFormat="1" ht="12" customHeight="1">
      <c r="B3909" s="324"/>
      <c r="C3909" s="325"/>
      <c r="D3909" s="326"/>
      <c r="E3909" s="326"/>
      <c r="F3909" s="326"/>
      <c r="G3909" s="326"/>
      <c r="H3909" s="326"/>
      <c r="P3909" s="318"/>
      <c r="Q3909" s="318"/>
      <c r="R3909" s="318"/>
      <c r="S3909" s="318"/>
      <c r="T3909" s="318"/>
      <c r="U3909" s="318"/>
      <c r="V3909" s="318"/>
      <c r="W3909" s="318"/>
      <c r="X3909" s="318"/>
      <c r="Y3909" s="318"/>
      <c r="Z3909" s="318"/>
      <c r="AA3909" s="318"/>
      <c r="AB3909" s="318"/>
      <c r="AC3909" s="318"/>
      <c r="AD3909" s="318"/>
    </row>
    <row r="3910" spans="2:30" s="323" customFormat="1" ht="12" customHeight="1">
      <c r="B3910" s="324"/>
      <c r="C3910" s="325"/>
      <c r="D3910" s="326"/>
      <c r="E3910" s="326"/>
      <c r="F3910" s="326"/>
      <c r="G3910" s="326"/>
      <c r="H3910" s="326"/>
      <c r="P3910" s="318"/>
      <c r="Q3910" s="318"/>
      <c r="R3910" s="318"/>
      <c r="S3910" s="318"/>
      <c r="T3910" s="318"/>
      <c r="U3910" s="318"/>
      <c r="V3910" s="318"/>
      <c r="W3910" s="318"/>
      <c r="X3910" s="318"/>
      <c r="Y3910" s="318"/>
      <c r="Z3910" s="318"/>
      <c r="AA3910" s="318"/>
      <c r="AB3910" s="318"/>
      <c r="AC3910" s="318"/>
      <c r="AD3910" s="318"/>
    </row>
    <row r="3911" spans="2:30" s="323" customFormat="1" ht="12" customHeight="1">
      <c r="B3911" s="324"/>
      <c r="C3911" s="325"/>
      <c r="D3911" s="326"/>
      <c r="E3911" s="326"/>
      <c r="F3911" s="326"/>
      <c r="G3911" s="326"/>
      <c r="H3911" s="326"/>
      <c r="P3911" s="318"/>
      <c r="Q3911" s="318"/>
      <c r="R3911" s="318"/>
      <c r="S3911" s="318"/>
      <c r="T3911" s="318"/>
      <c r="U3911" s="318"/>
      <c r="V3911" s="318"/>
      <c r="W3911" s="318"/>
      <c r="X3911" s="318"/>
      <c r="Y3911" s="318"/>
      <c r="Z3911" s="318"/>
      <c r="AA3911" s="318"/>
      <c r="AB3911" s="318"/>
      <c r="AC3911" s="318"/>
      <c r="AD3911" s="318"/>
    </row>
    <row r="3912" spans="2:30" s="323" customFormat="1" ht="12" customHeight="1">
      <c r="B3912" s="324"/>
      <c r="C3912" s="325"/>
      <c r="D3912" s="326"/>
      <c r="E3912" s="326"/>
      <c r="F3912" s="326"/>
      <c r="G3912" s="326"/>
      <c r="H3912" s="326"/>
      <c r="P3912" s="318"/>
      <c r="Q3912" s="318"/>
      <c r="R3912" s="318"/>
      <c r="S3912" s="318"/>
      <c r="T3912" s="318"/>
      <c r="U3912" s="318"/>
      <c r="V3912" s="318"/>
      <c r="W3912" s="318"/>
      <c r="X3912" s="318"/>
      <c r="Y3912" s="318"/>
      <c r="Z3912" s="318"/>
      <c r="AA3912" s="318"/>
      <c r="AB3912" s="318"/>
      <c r="AC3912" s="318"/>
      <c r="AD3912" s="318"/>
    </row>
    <row r="3913" spans="2:30" s="323" customFormat="1" ht="12" customHeight="1">
      <c r="B3913" s="324"/>
      <c r="C3913" s="325"/>
      <c r="D3913" s="326"/>
      <c r="E3913" s="326"/>
      <c r="F3913" s="326"/>
      <c r="G3913" s="326"/>
      <c r="H3913" s="326"/>
      <c r="P3913" s="318"/>
      <c r="Q3913" s="318"/>
      <c r="R3913" s="318"/>
      <c r="S3913" s="318"/>
      <c r="T3913" s="318"/>
      <c r="U3913" s="318"/>
      <c r="V3913" s="318"/>
      <c r="W3913" s="318"/>
      <c r="X3913" s="318"/>
      <c r="Y3913" s="318"/>
      <c r="Z3913" s="318"/>
      <c r="AA3913" s="318"/>
      <c r="AB3913" s="318"/>
      <c r="AC3913" s="318"/>
      <c r="AD3913" s="318"/>
    </row>
    <row r="3914" spans="2:30" s="323" customFormat="1" ht="12" customHeight="1">
      <c r="B3914" s="324"/>
      <c r="C3914" s="325"/>
      <c r="D3914" s="326"/>
      <c r="E3914" s="326"/>
      <c r="F3914" s="326"/>
      <c r="G3914" s="326"/>
      <c r="H3914" s="326"/>
      <c r="P3914" s="318"/>
      <c r="Q3914" s="318"/>
      <c r="R3914" s="318"/>
      <c r="S3914" s="318"/>
      <c r="T3914" s="318"/>
      <c r="U3914" s="318"/>
      <c r="V3914" s="318"/>
      <c r="W3914" s="318"/>
      <c r="X3914" s="318"/>
      <c r="Y3914" s="318"/>
      <c r="Z3914" s="318"/>
      <c r="AA3914" s="318"/>
      <c r="AB3914" s="318"/>
      <c r="AC3914" s="318"/>
      <c r="AD3914" s="318"/>
    </row>
    <row r="3915" spans="2:30" s="323" customFormat="1" ht="12" customHeight="1">
      <c r="B3915" s="324"/>
      <c r="C3915" s="325"/>
      <c r="D3915" s="326"/>
      <c r="E3915" s="326"/>
      <c r="F3915" s="326"/>
      <c r="G3915" s="326"/>
      <c r="H3915" s="326"/>
      <c r="P3915" s="318"/>
      <c r="Q3915" s="318"/>
      <c r="R3915" s="318"/>
      <c r="S3915" s="318"/>
      <c r="T3915" s="318"/>
      <c r="U3915" s="318"/>
      <c r="V3915" s="318"/>
      <c r="W3915" s="318"/>
      <c r="X3915" s="318"/>
      <c r="Y3915" s="318"/>
      <c r="Z3915" s="318"/>
      <c r="AA3915" s="318"/>
      <c r="AB3915" s="318"/>
      <c r="AC3915" s="318"/>
      <c r="AD3915" s="318"/>
    </row>
    <row r="3916" spans="2:30" s="323" customFormat="1" ht="12" customHeight="1">
      <c r="B3916" s="324"/>
      <c r="C3916" s="325"/>
      <c r="D3916" s="326"/>
      <c r="E3916" s="326"/>
      <c r="F3916" s="326"/>
      <c r="G3916" s="326"/>
      <c r="H3916" s="326"/>
      <c r="P3916" s="318"/>
      <c r="Q3916" s="318"/>
      <c r="R3916" s="318"/>
      <c r="S3916" s="318"/>
      <c r="T3916" s="318"/>
      <c r="U3916" s="318"/>
      <c r="V3916" s="318"/>
      <c r="W3916" s="318"/>
      <c r="X3916" s="318"/>
      <c r="Y3916" s="318"/>
      <c r="Z3916" s="318"/>
      <c r="AA3916" s="318"/>
      <c r="AB3916" s="318"/>
      <c r="AC3916" s="318"/>
      <c r="AD3916" s="318"/>
    </row>
    <row r="3917" spans="2:30" s="323" customFormat="1" ht="12" customHeight="1">
      <c r="B3917" s="324"/>
      <c r="C3917" s="325"/>
      <c r="D3917" s="326"/>
      <c r="E3917" s="326"/>
      <c r="F3917" s="326"/>
      <c r="G3917" s="326"/>
      <c r="H3917" s="326"/>
      <c r="P3917" s="318"/>
      <c r="Q3917" s="318"/>
      <c r="R3917" s="318"/>
      <c r="S3917" s="318"/>
      <c r="T3917" s="318"/>
      <c r="U3917" s="318"/>
      <c r="V3917" s="318"/>
      <c r="W3917" s="318"/>
      <c r="X3917" s="318"/>
      <c r="Y3917" s="318"/>
      <c r="Z3917" s="318"/>
      <c r="AA3917" s="318"/>
      <c r="AB3917" s="318"/>
      <c r="AC3917" s="318"/>
      <c r="AD3917" s="318"/>
    </row>
    <row r="3918" spans="2:30" s="323" customFormat="1" ht="12" customHeight="1">
      <c r="B3918" s="324"/>
      <c r="C3918" s="325"/>
      <c r="D3918" s="326"/>
      <c r="E3918" s="326"/>
      <c r="F3918" s="326"/>
      <c r="G3918" s="326"/>
      <c r="H3918" s="326"/>
      <c r="P3918" s="318"/>
      <c r="Q3918" s="318"/>
      <c r="R3918" s="318"/>
      <c r="S3918" s="318"/>
      <c r="T3918" s="318"/>
      <c r="U3918" s="318"/>
      <c r="V3918" s="318"/>
      <c r="W3918" s="318"/>
      <c r="X3918" s="318"/>
      <c r="Y3918" s="318"/>
      <c r="Z3918" s="318"/>
      <c r="AA3918" s="318"/>
      <c r="AB3918" s="318"/>
      <c r="AC3918" s="318"/>
      <c r="AD3918" s="318"/>
    </row>
    <row r="3919" spans="2:30" s="323" customFormat="1" ht="12" customHeight="1">
      <c r="B3919" s="324"/>
      <c r="C3919" s="325"/>
      <c r="D3919" s="326"/>
      <c r="E3919" s="326"/>
      <c r="F3919" s="326"/>
      <c r="G3919" s="326"/>
      <c r="H3919" s="326"/>
      <c r="P3919" s="318"/>
      <c r="Q3919" s="318"/>
      <c r="R3919" s="318"/>
      <c r="S3919" s="318"/>
      <c r="T3919" s="318"/>
      <c r="U3919" s="318"/>
      <c r="V3919" s="318"/>
      <c r="W3919" s="318"/>
      <c r="X3919" s="318"/>
      <c r="Y3919" s="318"/>
      <c r="Z3919" s="318"/>
      <c r="AA3919" s="318"/>
      <c r="AB3919" s="318"/>
      <c r="AC3919" s="318"/>
      <c r="AD3919" s="318"/>
    </row>
    <row r="3920" spans="2:30" s="323" customFormat="1" ht="12" customHeight="1">
      <c r="B3920" s="324"/>
      <c r="C3920" s="325"/>
      <c r="D3920" s="326"/>
      <c r="E3920" s="326"/>
      <c r="F3920" s="326"/>
      <c r="G3920" s="326"/>
      <c r="H3920" s="326"/>
      <c r="P3920" s="318"/>
      <c r="Q3920" s="318"/>
      <c r="R3920" s="318"/>
      <c r="S3920" s="318"/>
      <c r="T3920" s="318"/>
      <c r="U3920" s="318"/>
      <c r="V3920" s="318"/>
      <c r="W3920" s="318"/>
      <c r="X3920" s="318"/>
      <c r="Y3920" s="318"/>
      <c r="Z3920" s="318"/>
      <c r="AA3920" s="318"/>
      <c r="AB3920" s="318"/>
      <c r="AC3920" s="318"/>
      <c r="AD3920" s="318"/>
    </row>
    <row r="3921" spans="2:30" s="323" customFormat="1" ht="12" customHeight="1">
      <c r="B3921" s="324"/>
      <c r="C3921" s="325"/>
      <c r="D3921" s="326"/>
      <c r="E3921" s="326"/>
      <c r="F3921" s="326"/>
      <c r="G3921" s="326"/>
      <c r="H3921" s="326"/>
      <c r="P3921" s="318"/>
      <c r="Q3921" s="318"/>
      <c r="R3921" s="318"/>
      <c r="S3921" s="318"/>
      <c r="T3921" s="318"/>
      <c r="U3921" s="318"/>
      <c r="V3921" s="318"/>
      <c r="W3921" s="318"/>
      <c r="X3921" s="318"/>
      <c r="Y3921" s="318"/>
      <c r="Z3921" s="318"/>
      <c r="AA3921" s="318"/>
      <c r="AB3921" s="318"/>
      <c r="AC3921" s="318"/>
      <c r="AD3921" s="318"/>
    </row>
    <row r="3922" spans="2:30" s="323" customFormat="1" ht="12" customHeight="1">
      <c r="B3922" s="324"/>
      <c r="C3922" s="325"/>
      <c r="D3922" s="326"/>
      <c r="E3922" s="326"/>
      <c r="F3922" s="326"/>
      <c r="G3922" s="326"/>
      <c r="H3922" s="326"/>
      <c r="P3922" s="318"/>
      <c r="Q3922" s="318"/>
      <c r="R3922" s="318"/>
      <c r="S3922" s="318"/>
      <c r="T3922" s="318"/>
      <c r="U3922" s="318"/>
      <c r="V3922" s="318"/>
      <c r="W3922" s="318"/>
      <c r="X3922" s="318"/>
      <c r="Y3922" s="318"/>
      <c r="Z3922" s="318"/>
      <c r="AA3922" s="318"/>
      <c r="AB3922" s="318"/>
      <c r="AC3922" s="318"/>
      <c r="AD3922" s="318"/>
    </row>
    <row r="3923" spans="2:30" s="323" customFormat="1" ht="12" customHeight="1">
      <c r="B3923" s="324"/>
      <c r="C3923" s="325"/>
      <c r="D3923" s="326"/>
      <c r="E3923" s="326"/>
      <c r="F3923" s="326"/>
      <c r="G3923" s="326"/>
      <c r="H3923" s="326"/>
      <c r="P3923" s="318"/>
      <c r="Q3923" s="318"/>
      <c r="R3923" s="318"/>
      <c r="S3923" s="318"/>
      <c r="T3923" s="318"/>
      <c r="U3923" s="318"/>
      <c r="V3923" s="318"/>
      <c r="W3923" s="318"/>
      <c r="X3923" s="318"/>
      <c r="Y3923" s="318"/>
      <c r="Z3923" s="318"/>
      <c r="AA3923" s="318"/>
      <c r="AB3923" s="318"/>
      <c r="AC3923" s="318"/>
      <c r="AD3923" s="318"/>
    </row>
    <row r="3924" spans="2:30" s="323" customFormat="1" ht="12" customHeight="1">
      <c r="B3924" s="324"/>
      <c r="C3924" s="325"/>
      <c r="D3924" s="326"/>
      <c r="E3924" s="326"/>
      <c r="F3924" s="326"/>
      <c r="G3924" s="326"/>
      <c r="H3924" s="326"/>
      <c r="P3924" s="318"/>
      <c r="Q3924" s="318"/>
      <c r="R3924" s="318"/>
      <c r="S3924" s="318"/>
      <c r="T3924" s="318"/>
      <c r="U3924" s="318"/>
      <c r="V3924" s="318"/>
      <c r="W3924" s="318"/>
      <c r="X3924" s="318"/>
      <c r="Y3924" s="318"/>
      <c r="Z3924" s="318"/>
      <c r="AA3924" s="318"/>
      <c r="AB3924" s="318"/>
      <c r="AC3924" s="318"/>
      <c r="AD3924" s="318"/>
    </row>
    <row r="3925" spans="2:30" s="323" customFormat="1" ht="12" customHeight="1">
      <c r="B3925" s="324"/>
      <c r="C3925" s="325"/>
      <c r="D3925" s="326"/>
      <c r="E3925" s="326"/>
      <c r="F3925" s="326"/>
      <c r="G3925" s="326"/>
      <c r="H3925" s="326"/>
      <c r="P3925" s="318"/>
      <c r="Q3925" s="318"/>
      <c r="R3925" s="318"/>
      <c r="S3925" s="318"/>
      <c r="T3925" s="318"/>
      <c r="U3925" s="318"/>
      <c r="V3925" s="318"/>
      <c r="W3925" s="318"/>
      <c r="X3925" s="318"/>
      <c r="Y3925" s="318"/>
      <c r="Z3925" s="318"/>
      <c r="AA3925" s="318"/>
      <c r="AB3925" s="318"/>
      <c r="AC3925" s="318"/>
      <c r="AD3925" s="318"/>
    </row>
    <row r="3926" spans="2:30" s="323" customFormat="1" ht="12" customHeight="1">
      <c r="B3926" s="324"/>
      <c r="C3926" s="325"/>
      <c r="D3926" s="326"/>
      <c r="E3926" s="326"/>
      <c r="F3926" s="326"/>
      <c r="G3926" s="326"/>
      <c r="H3926" s="326"/>
      <c r="P3926" s="318"/>
      <c r="Q3926" s="318"/>
      <c r="R3926" s="318"/>
      <c r="S3926" s="318"/>
      <c r="T3926" s="318"/>
      <c r="U3926" s="318"/>
      <c r="V3926" s="318"/>
      <c r="W3926" s="318"/>
      <c r="X3926" s="318"/>
      <c r="Y3926" s="318"/>
      <c r="Z3926" s="318"/>
      <c r="AA3926" s="318"/>
      <c r="AB3926" s="318"/>
      <c r="AC3926" s="318"/>
      <c r="AD3926" s="318"/>
    </row>
    <row r="3927" spans="2:30" s="323" customFormat="1" ht="12" customHeight="1">
      <c r="B3927" s="324"/>
      <c r="C3927" s="325"/>
      <c r="D3927" s="326"/>
      <c r="E3927" s="326"/>
      <c r="F3927" s="326"/>
      <c r="G3927" s="326"/>
      <c r="H3927" s="326"/>
      <c r="P3927" s="318"/>
      <c r="Q3927" s="318"/>
      <c r="R3927" s="318"/>
      <c r="S3927" s="318"/>
      <c r="T3927" s="318"/>
      <c r="U3927" s="318"/>
      <c r="V3927" s="318"/>
      <c r="W3927" s="318"/>
      <c r="X3927" s="318"/>
      <c r="Y3927" s="318"/>
      <c r="Z3927" s="318"/>
      <c r="AA3927" s="318"/>
      <c r="AB3927" s="318"/>
      <c r="AC3927" s="318"/>
      <c r="AD3927" s="318"/>
    </row>
    <row r="3928" spans="2:30" s="323" customFormat="1" ht="12" customHeight="1">
      <c r="B3928" s="324"/>
      <c r="C3928" s="325"/>
      <c r="D3928" s="326"/>
      <c r="E3928" s="326"/>
      <c r="F3928" s="326"/>
      <c r="G3928" s="326"/>
      <c r="H3928" s="326"/>
      <c r="P3928" s="318"/>
      <c r="Q3928" s="318"/>
      <c r="R3928" s="318"/>
      <c r="S3928" s="318"/>
      <c r="T3928" s="318"/>
      <c r="U3928" s="318"/>
      <c r="V3928" s="318"/>
      <c r="W3928" s="318"/>
      <c r="X3928" s="318"/>
      <c r="Y3928" s="318"/>
      <c r="Z3928" s="318"/>
      <c r="AA3928" s="318"/>
      <c r="AB3928" s="318"/>
      <c r="AC3928" s="318"/>
      <c r="AD3928" s="318"/>
    </row>
    <row r="3929" spans="2:30" s="323" customFormat="1" ht="12" customHeight="1">
      <c r="B3929" s="324"/>
      <c r="C3929" s="325"/>
      <c r="D3929" s="326"/>
      <c r="E3929" s="326"/>
      <c r="F3929" s="326"/>
      <c r="G3929" s="326"/>
      <c r="H3929" s="326"/>
      <c r="P3929" s="318"/>
      <c r="Q3929" s="318"/>
      <c r="R3929" s="318"/>
      <c r="S3929" s="318"/>
      <c r="T3929" s="318"/>
      <c r="U3929" s="318"/>
      <c r="V3929" s="318"/>
      <c r="W3929" s="318"/>
      <c r="X3929" s="318"/>
      <c r="Y3929" s="318"/>
      <c r="Z3929" s="318"/>
      <c r="AA3929" s="318"/>
      <c r="AB3929" s="318"/>
      <c r="AC3929" s="318"/>
      <c r="AD3929" s="318"/>
    </row>
    <row r="3930" spans="2:30" s="323" customFormat="1" ht="12" customHeight="1">
      <c r="B3930" s="324"/>
      <c r="C3930" s="325"/>
      <c r="D3930" s="326"/>
      <c r="E3930" s="326"/>
      <c r="F3930" s="326"/>
      <c r="G3930" s="326"/>
      <c r="H3930" s="326"/>
      <c r="P3930" s="318"/>
      <c r="Q3930" s="318"/>
      <c r="R3930" s="318"/>
      <c r="S3930" s="318"/>
      <c r="T3930" s="318"/>
      <c r="U3930" s="318"/>
      <c r="V3930" s="318"/>
      <c r="W3930" s="318"/>
      <c r="X3930" s="318"/>
      <c r="Y3930" s="318"/>
      <c r="Z3930" s="318"/>
      <c r="AA3930" s="318"/>
      <c r="AB3930" s="318"/>
      <c r="AC3930" s="318"/>
      <c r="AD3930" s="318"/>
    </row>
    <row r="3931" spans="2:30" s="323" customFormat="1" ht="12" customHeight="1">
      <c r="B3931" s="324"/>
      <c r="C3931" s="325"/>
      <c r="D3931" s="326"/>
      <c r="E3931" s="326"/>
      <c r="F3931" s="326"/>
      <c r="G3931" s="326"/>
      <c r="H3931" s="326"/>
      <c r="P3931" s="318"/>
      <c r="Q3931" s="318"/>
      <c r="R3931" s="318"/>
      <c r="S3931" s="318"/>
      <c r="T3931" s="318"/>
      <c r="U3931" s="318"/>
      <c r="V3931" s="318"/>
      <c r="W3931" s="318"/>
      <c r="X3931" s="318"/>
      <c r="Y3931" s="318"/>
      <c r="Z3931" s="318"/>
      <c r="AA3931" s="318"/>
      <c r="AB3931" s="318"/>
      <c r="AC3931" s="318"/>
      <c r="AD3931" s="318"/>
    </row>
    <row r="3932" spans="2:30" s="323" customFormat="1" ht="12" customHeight="1">
      <c r="B3932" s="324"/>
      <c r="C3932" s="325"/>
      <c r="D3932" s="326"/>
      <c r="E3932" s="326"/>
      <c r="F3932" s="326"/>
      <c r="G3932" s="326"/>
      <c r="H3932" s="326"/>
      <c r="P3932" s="318"/>
      <c r="Q3932" s="318"/>
      <c r="R3932" s="318"/>
      <c r="S3932" s="318"/>
      <c r="T3932" s="318"/>
      <c r="U3932" s="318"/>
      <c r="V3932" s="318"/>
      <c r="W3932" s="318"/>
      <c r="X3932" s="318"/>
      <c r="Y3932" s="318"/>
      <c r="Z3932" s="318"/>
      <c r="AA3932" s="318"/>
      <c r="AB3932" s="318"/>
      <c r="AC3932" s="318"/>
      <c r="AD3932" s="318"/>
    </row>
    <row r="3933" spans="2:30" s="323" customFormat="1" ht="12" customHeight="1">
      <c r="B3933" s="324"/>
      <c r="C3933" s="325"/>
      <c r="D3933" s="326"/>
      <c r="E3933" s="326"/>
      <c r="F3933" s="326"/>
      <c r="G3933" s="326"/>
      <c r="H3933" s="326"/>
      <c r="P3933" s="318"/>
      <c r="Q3933" s="318"/>
      <c r="R3933" s="318"/>
      <c r="S3933" s="318"/>
      <c r="T3933" s="318"/>
      <c r="U3933" s="318"/>
      <c r="V3933" s="318"/>
      <c r="W3933" s="318"/>
      <c r="X3933" s="318"/>
      <c r="Y3933" s="318"/>
      <c r="Z3933" s="318"/>
      <c r="AA3933" s="318"/>
      <c r="AB3933" s="318"/>
      <c r="AC3933" s="318"/>
      <c r="AD3933" s="318"/>
    </row>
    <row r="3934" spans="2:30" s="323" customFormat="1" ht="12" customHeight="1">
      <c r="B3934" s="324"/>
      <c r="C3934" s="325"/>
      <c r="D3934" s="326"/>
      <c r="E3934" s="326"/>
      <c r="F3934" s="326"/>
      <c r="G3934" s="326"/>
      <c r="H3934" s="326"/>
      <c r="P3934" s="318"/>
      <c r="Q3934" s="318"/>
      <c r="R3934" s="318"/>
      <c r="S3934" s="318"/>
      <c r="T3934" s="318"/>
      <c r="U3934" s="318"/>
      <c r="V3934" s="318"/>
      <c r="W3934" s="318"/>
      <c r="X3934" s="318"/>
      <c r="Y3934" s="318"/>
      <c r="Z3934" s="318"/>
      <c r="AA3934" s="318"/>
      <c r="AB3934" s="318"/>
      <c r="AC3934" s="318"/>
      <c r="AD3934" s="318"/>
    </row>
    <row r="3935" spans="2:30" s="323" customFormat="1" ht="12" customHeight="1">
      <c r="B3935" s="324"/>
      <c r="C3935" s="325"/>
      <c r="D3935" s="326"/>
      <c r="E3935" s="326"/>
      <c r="F3935" s="326"/>
      <c r="G3935" s="326"/>
      <c r="H3935" s="326"/>
      <c r="P3935" s="318"/>
      <c r="Q3935" s="318"/>
      <c r="R3935" s="318"/>
      <c r="S3935" s="318"/>
      <c r="T3935" s="318"/>
      <c r="U3935" s="318"/>
      <c r="V3935" s="318"/>
      <c r="W3935" s="318"/>
      <c r="X3935" s="318"/>
      <c r="Y3935" s="318"/>
      <c r="Z3935" s="318"/>
      <c r="AA3935" s="318"/>
      <c r="AB3935" s="318"/>
      <c r="AC3935" s="318"/>
      <c r="AD3935" s="318"/>
    </row>
    <row r="3936" spans="2:30" s="323" customFormat="1" ht="12" customHeight="1">
      <c r="B3936" s="324"/>
      <c r="C3936" s="325"/>
      <c r="D3936" s="326"/>
      <c r="E3936" s="326"/>
      <c r="F3936" s="326"/>
      <c r="G3936" s="326"/>
      <c r="H3936" s="326"/>
      <c r="P3936" s="318"/>
      <c r="Q3936" s="318"/>
      <c r="R3936" s="318"/>
      <c r="S3936" s="318"/>
      <c r="T3936" s="318"/>
      <c r="U3936" s="318"/>
      <c r="V3936" s="318"/>
      <c r="W3936" s="318"/>
      <c r="X3936" s="318"/>
      <c r="Y3936" s="318"/>
      <c r="Z3936" s="318"/>
      <c r="AA3936" s="318"/>
      <c r="AB3936" s="318"/>
      <c r="AC3936" s="318"/>
      <c r="AD3936" s="318"/>
    </row>
    <row r="3937" spans="2:30" s="323" customFormat="1" ht="12" customHeight="1">
      <c r="B3937" s="324"/>
      <c r="C3937" s="325"/>
      <c r="D3937" s="326"/>
      <c r="E3937" s="326"/>
      <c r="F3937" s="326"/>
      <c r="G3937" s="326"/>
      <c r="H3937" s="326"/>
      <c r="P3937" s="318"/>
      <c r="Q3937" s="318"/>
      <c r="R3937" s="318"/>
      <c r="S3937" s="318"/>
      <c r="T3937" s="318"/>
      <c r="U3937" s="318"/>
      <c r="V3937" s="318"/>
      <c r="W3937" s="318"/>
      <c r="X3937" s="318"/>
      <c r="Y3937" s="318"/>
      <c r="Z3937" s="318"/>
      <c r="AA3937" s="318"/>
      <c r="AB3937" s="318"/>
      <c r="AC3937" s="318"/>
      <c r="AD3937" s="318"/>
    </row>
    <row r="3938" spans="2:30" s="323" customFormat="1" ht="12" customHeight="1">
      <c r="B3938" s="324"/>
      <c r="C3938" s="325"/>
      <c r="D3938" s="326"/>
      <c r="E3938" s="326"/>
      <c r="F3938" s="326"/>
      <c r="G3938" s="326"/>
      <c r="H3938" s="326"/>
      <c r="P3938" s="318"/>
      <c r="Q3938" s="318"/>
      <c r="R3938" s="318"/>
      <c r="S3938" s="318"/>
      <c r="T3938" s="318"/>
      <c r="U3938" s="318"/>
      <c r="V3938" s="318"/>
      <c r="W3938" s="318"/>
      <c r="X3938" s="318"/>
      <c r="Y3938" s="318"/>
      <c r="Z3938" s="318"/>
      <c r="AA3938" s="318"/>
      <c r="AB3938" s="318"/>
      <c r="AC3938" s="318"/>
      <c r="AD3938" s="318"/>
    </row>
    <row r="3939" spans="2:30" s="323" customFormat="1" ht="12" customHeight="1">
      <c r="B3939" s="324"/>
      <c r="C3939" s="325"/>
      <c r="D3939" s="326"/>
      <c r="E3939" s="326"/>
      <c r="F3939" s="326"/>
      <c r="G3939" s="326"/>
      <c r="H3939" s="326"/>
      <c r="P3939" s="318"/>
      <c r="Q3939" s="318"/>
      <c r="R3939" s="318"/>
      <c r="S3939" s="318"/>
      <c r="T3939" s="318"/>
      <c r="U3939" s="318"/>
      <c r="V3939" s="318"/>
      <c r="W3939" s="318"/>
      <c r="X3939" s="318"/>
      <c r="Y3939" s="318"/>
      <c r="Z3939" s="318"/>
      <c r="AA3939" s="318"/>
      <c r="AB3939" s="318"/>
      <c r="AC3939" s="318"/>
      <c r="AD3939" s="318"/>
    </row>
    <row r="3940" spans="2:30" s="323" customFormat="1" ht="12" customHeight="1">
      <c r="B3940" s="324"/>
      <c r="C3940" s="325"/>
      <c r="D3940" s="326"/>
      <c r="E3940" s="326"/>
      <c r="F3940" s="326"/>
      <c r="G3940" s="326"/>
      <c r="H3940" s="326"/>
      <c r="P3940" s="318"/>
      <c r="Q3940" s="318"/>
      <c r="R3940" s="318"/>
      <c r="S3940" s="318"/>
      <c r="T3940" s="318"/>
      <c r="U3940" s="318"/>
      <c r="V3940" s="318"/>
      <c r="W3940" s="318"/>
      <c r="X3940" s="318"/>
      <c r="Y3940" s="318"/>
      <c r="Z3940" s="318"/>
      <c r="AA3940" s="318"/>
      <c r="AB3940" s="318"/>
      <c r="AC3940" s="318"/>
      <c r="AD3940" s="318"/>
    </row>
    <row r="3941" spans="2:30" s="323" customFormat="1" ht="12" customHeight="1">
      <c r="B3941" s="324"/>
      <c r="C3941" s="325"/>
      <c r="D3941" s="326"/>
      <c r="E3941" s="326"/>
      <c r="F3941" s="326"/>
      <c r="G3941" s="326"/>
      <c r="H3941" s="326"/>
      <c r="P3941" s="318"/>
      <c r="Q3941" s="318"/>
      <c r="R3941" s="318"/>
      <c r="S3941" s="318"/>
      <c r="T3941" s="318"/>
      <c r="U3941" s="318"/>
      <c r="V3941" s="318"/>
      <c r="W3941" s="318"/>
      <c r="X3941" s="318"/>
      <c r="Y3941" s="318"/>
      <c r="Z3941" s="318"/>
      <c r="AA3941" s="318"/>
      <c r="AB3941" s="318"/>
      <c r="AC3941" s="318"/>
      <c r="AD3941" s="318"/>
    </row>
    <row r="3942" spans="2:30" s="323" customFormat="1" ht="12" customHeight="1">
      <c r="B3942" s="324"/>
      <c r="C3942" s="325"/>
      <c r="D3942" s="326"/>
      <c r="E3942" s="326"/>
      <c r="F3942" s="326"/>
      <c r="G3942" s="326"/>
      <c r="H3942" s="326"/>
      <c r="P3942" s="318"/>
      <c r="Q3942" s="318"/>
      <c r="R3942" s="318"/>
      <c r="S3942" s="318"/>
      <c r="T3942" s="318"/>
      <c r="U3942" s="318"/>
      <c r="V3942" s="318"/>
      <c r="W3942" s="318"/>
      <c r="X3942" s="318"/>
      <c r="Y3942" s="318"/>
      <c r="Z3942" s="318"/>
      <c r="AA3942" s="318"/>
      <c r="AB3942" s="318"/>
      <c r="AC3942" s="318"/>
      <c r="AD3942" s="318"/>
    </row>
    <row r="3943" spans="2:30" s="323" customFormat="1" ht="12" customHeight="1">
      <c r="B3943" s="324"/>
      <c r="C3943" s="325"/>
      <c r="D3943" s="326"/>
      <c r="E3943" s="326"/>
      <c r="F3943" s="326"/>
      <c r="G3943" s="326"/>
      <c r="H3943" s="326"/>
      <c r="P3943" s="318"/>
      <c r="Q3943" s="318"/>
      <c r="R3943" s="318"/>
      <c r="S3943" s="318"/>
      <c r="T3943" s="318"/>
      <c r="U3943" s="318"/>
      <c r="V3943" s="318"/>
      <c r="W3943" s="318"/>
      <c r="X3943" s="318"/>
      <c r="Y3943" s="318"/>
      <c r="Z3943" s="318"/>
      <c r="AA3943" s="318"/>
      <c r="AB3943" s="318"/>
      <c r="AC3943" s="318"/>
      <c r="AD3943" s="318"/>
    </row>
    <row r="3944" spans="2:30" s="323" customFormat="1" ht="12" customHeight="1">
      <c r="B3944" s="324"/>
      <c r="C3944" s="325"/>
      <c r="D3944" s="326"/>
      <c r="E3944" s="326"/>
      <c r="F3944" s="326"/>
      <c r="G3944" s="326"/>
      <c r="H3944" s="326"/>
      <c r="P3944" s="318"/>
      <c r="Q3944" s="318"/>
      <c r="R3944" s="318"/>
      <c r="S3944" s="318"/>
      <c r="T3944" s="318"/>
      <c r="U3944" s="318"/>
      <c r="V3944" s="318"/>
      <c r="W3944" s="318"/>
      <c r="X3944" s="318"/>
      <c r="Y3944" s="318"/>
      <c r="Z3944" s="318"/>
      <c r="AA3944" s="318"/>
      <c r="AB3944" s="318"/>
      <c r="AC3944" s="318"/>
      <c r="AD3944" s="318"/>
    </row>
    <row r="3945" spans="2:30" s="323" customFormat="1" ht="12" customHeight="1">
      <c r="B3945" s="324"/>
      <c r="C3945" s="325"/>
      <c r="D3945" s="326"/>
      <c r="E3945" s="326"/>
      <c r="F3945" s="326"/>
      <c r="G3945" s="326"/>
      <c r="H3945" s="326"/>
      <c r="P3945" s="318"/>
      <c r="Q3945" s="318"/>
      <c r="R3945" s="318"/>
      <c r="S3945" s="318"/>
      <c r="T3945" s="318"/>
      <c r="U3945" s="318"/>
      <c r="V3945" s="318"/>
      <c r="W3945" s="318"/>
      <c r="X3945" s="318"/>
      <c r="Y3945" s="318"/>
      <c r="Z3945" s="318"/>
      <c r="AA3945" s="318"/>
      <c r="AB3945" s="318"/>
      <c r="AC3945" s="318"/>
      <c r="AD3945" s="318"/>
    </row>
    <row r="3946" spans="2:30" s="323" customFormat="1" ht="12" customHeight="1">
      <c r="B3946" s="324"/>
      <c r="C3946" s="325"/>
      <c r="D3946" s="326"/>
      <c r="E3946" s="326"/>
      <c r="F3946" s="326"/>
      <c r="G3946" s="326"/>
      <c r="H3946" s="326"/>
      <c r="P3946" s="318"/>
      <c r="Q3946" s="318"/>
      <c r="R3946" s="318"/>
      <c r="S3946" s="318"/>
      <c r="T3946" s="318"/>
      <c r="U3946" s="318"/>
      <c r="V3946" s="318"/>
      <c r="W3946" s="318"/>
      <c r="X3946" s="318"/>
      <c r="Y3946" s="318"/>
      <c r="Z3946" s="318"/>
      <c r="AA3946" s="318"/>
      <c r="AB3946" s="318"/>
      <c r="AC3946" s="318"/>
      <c r="AD3946" s="318"/>
    </row>
    <row r="3947" spans="2:30" s="323" customFormat="1" ht="12" customHeight="1">
      <c r="B3947" s="324"/>
      <c r="C3947" s="325"/>
      <c r="D3947" s="326"/>
      <c r="E3947" s="326"/>
      <c r="F3947" s="326"/>
      <c r="G3947" s="326"/>
      <c r="H3947" s="326"/>
      <c r="P3947" s="318"/>
      <c r="Q3947" s="318"/>
      <c r="R3947" s="318"/>
      <c r="S3947" s="318"/>
      <c r="T3947" s="318"/>
      <c r="U3947" s="318"/>
      <c r="V3947" s="318"/>
      <c r="W3947" s="318"/>
      <c r="X3947" s="318"/>
      <c r="Y3947" s="318"/>
      <c r="Z3947" s="318"/>
      <c r="AA3947" s="318"/>
      <c r="AB3947" s="318"/>
      <c r="AC3947" s="318"/>
      <c r="AD3947" s="318"/>
    </row>
    <row r="3948" spans="2:30" s="323" customFormat="1" ht="12" customHeight="1">
      <c r="B3948" s="324"/>
      <c r="C3948" s="325"/>
      <c r="D3948" s="326"/>
      <c r="E3948" s="326"/>
      <c r="F3948" s="326"/>
      <c r="G3948" s="326"/>
      <c r="H3948" s="326"/>
      <c r="P3948" s="318"/>
      <c r="Q3948" s="318"/>
      <c r="R3948" s="318"/>
      <c r="S3948" s="318"/>
      <c r="T3948" s="318"/>
      <c r="U3948" s="318"/>
      <c r="V3948" s="318"/>
      <c r="W3948" s="318"/>
      <c r="X3948" s="318"/>
      <c r="Y3948" s="318"/>
      <c r="Z3948" s="318"/>
      <c r="AA3948" s="318"/>
      <c r="AB3948" s="318"/>
      <c r="AC3948" s="318"/>
      <c r="AD3948" s="318"/>
    </row>
    <row r="3949" spans="2:30" s="323" customFormat="1" ht="12" customHeight="1">
      <c r="B3949" s="324"/>
      <c r="C3949" s="325"/>
      <c r="D3949" s="326"/>
      <c r="E3949" s="326"/>
      <c r="F3949" s="326"/>
      <c r="G3949" s="326"/>
      <c r="H3949" s="326"/>
      <c r="P3949" s="318"/>
      <c r="Q3949" s="318"/>
      <c r="R3949" s="318"/>
      <c r="S3949" s="318"/>
      <c r="T3949" s="318"/>
      <c r="U3949" s="318"/>
      <c r="V3949" s="318"/>
      <c r="W3949" s="318"/>
      <c r="X3949" s="318"/>
      <c r="Y3949" s="318"/>
      <c r="Z3949" s="318"/>
      <c r="AA3949" s="318"/>
      <c r="AB3949" s="318"/>
      <c r="AC3949" s="318"/>
      <c r="AD3949" s="318"/>
    </row>
    <row r="3950" spans="2:30" s="323" customFormat="1" ht="12" customHeight="1">
      <c r="B3950" s="324"/>
      <c r="C3950" s="325"/>
      <c r="D3950" s="326"/>
      <c r="E3950" s="326"/>
      <c r="F3950" s="326"/>
      <c r="G3950" s="326"/>
      <c r="H3950" s="326"/>
      <c r="P3950" s="318"/>
      <c r="Q3950" s="318"/>
      <c r="R3950" s="318"/>
      <c r="S3950" s="318"/>
      <c r="T3950" s="318"/>
      <c r="U3950" s="318"/>
      <c r="V3950" s="318"/>
      <c r="W3950" s="318"/>
      <c r="X3950" s="318"/>
      <c r="Y3950" s="318"/>
      <c r="Z3950" s="318"/>
      <c r="AA3950" s="318"/>
      <c r="AB3950" s="318"/>
      <c r="AC3950" s="318"/>
      <c r="AD3950" s="318"/>
    </row>
    <row r="3951" spans="2:30" s="323" customFormat="1" ht="12" customHeight="1">
      <c r="B3951" s="324"/>
      <c r="C3951" s="325"/>
      <c r="D3951" s="326"/>
      <c r="E3951" s="326"/>
      <c r="F3951" s="326"/>
      <c r="G3951" s="326"/>
      <c r="H3951" s="326"/>
      <c r="P3951" s="318"/>
      <c r="Q3951" s="318"/>
      <c r="R3951" s="318"/>
      <c r="S3951" s="318"/>
      <c r="T3951" s="318"/>
      <c r="U3951" s="318"/>
      <c r="V3951" s="318"/>
      <c r="W3951" s="318"/>
      <c r="X3951" s="318"/>
      <c r="Y3951" s="318"/>
      <c r="Z3951" s="318"/>
      <c r="AA3951" s="318"/>
      <c r="AB3951" s="318"/>
      <c r="AC3951" s="318"/>
      <c r="AD3951" s="318"/>
    </row>
    <row r="3952" spans="2:30" s="323" customFormat="1" ht="12" customHeight="1">
      <c r="B3952" s="324"/>
      <c r="C3952" s="325"/>
      <c r="D3952" s="326"/>
      <c r="E3952" s="326"/>
      <c r="F3952" s="326"/>
      <c r="G3952" s="326"/>
      <c r="H3952" s="326"/>
      <c r="P3952" s="318"/>
      <c r="Q3952" s="318"/>
      <c r="R3952" s="318"/>
      <c r="S3952" s="318"/>
      <c r="T3952" s="318"/>
      <c r="U3952" s="318"/>
      <c r="V3952" s="318"/>
      <c r="W3952" s="318"/>
      <c r="X3952" s="318"/>
      <c r="Y3952" s="318"/>
      <c r="Z3952" s="318"/>
      <c r="AA3952" s="318"/>
      <c r="AB3952" s="318"/>
      <c r="AC3952" s="318"/>
      <c r="AD3952" s="318"/>
    </row>
    <row r="3953" spans="2:30" s="323" customFormat="1" ht="12" customHeight="1">
      <c r="B3953" s="324"/>
      <c r="C3953" s="325"/>
      <c r="D3953" s="326"/>
      <c r="E3953" s="326"/>
      <c r="F3953" s="326"/>
      <c r="G3953" s="326"/>
      <c r="H3953" s="326"/>
      <c r="P3953" s="318"/>
      <c r="Q3953" s="318"/>
      <c r="R3953" s="318"/>
      <c r="S3953" s="318"/>
      <c r="T3953" s="318"/>
      <c r="U3953" s="318"/>
      <c r="V3953" s="318"/>
      <c r="W3953" s="318"/>
      <c r="X3953" s="318"/>
      <c r="Y3953" s="318"/>
      <c r="Z3953" s="318"/>
      <c r="AA3953" s="318"/>
      <c r="AB3953" s="318"/>
      <c r="AC3953" s="318"/>
      <c r="AD3953" s="318"/>
    </row>
    <row r="3954" spans="2:30" s="323" customFormat="1" ht="12" customHeight="1">
      <c r="B3954" s="324"/>
      <c r="C3954" s="325"/>
      <c r="D3954" s="326"/>
      <c r="E3954" s="326"/>
      <c r="F3954" s="326"/>
      <c r="G3954" s="326"/>
      <c r="H3954" s="326"/>
      <c r="P3954" s="318"/>
      <c r="Q3954" s="318"/>
      <c r="R3954" s="318"/>
      <c r="S3954" s="318"/>
      <c r="T3954" s="318"/>
      <c r="U3954" s="318"/>
      <c r="V3954" s="318"/>
      <c r="W3954" s="318"/>
      <c r="X3954" s="318"/>
      <c r="Y3954" s="318"/>
      <c r="Z3954" s="318"/>
      <c r="AA3954" s="318"/>
      <c r="AB3954" s="318"/>
      <c r="AC3954" s="318"/>
      <c r="AD3954" s="318"/>
    </row>
    <row r="3955" spans="2:30" s="323" customFormat="1" ht="12" customHeight="1">
      <c r="B3955" s="324"/>
      <c r="C3955" s="325"/>
      <c r="D3955" s="326"/>
      <c r="E3955" s="326"/>
      <c r="F3955" s="326"/>
      <c r="G3955" s="326"/>
      <c r="H3955" s="326"/>
      <c r="P3955" s="318"/>
      <c r="Q3955" s="318"/>
      <c r="R3955" s="318"/>
      <c r="S3955" s="318"/>
      <c r="T3955" s="318"/>
      <c r="U3955" s="318"/>
      <c r="V3955" s="318"/>
      <c r="W3955" s="318"/>
      <c r="X3955" s="318"/>
      <c r="Y3955" s="318"/>
      <c r="Z3955" s="318"/>
      <c r="AA3955" s="318"/>
      <c r="AB3955" s="318"/>
      <c r="AC3955" s="318"/>
      <c r="AD3955" s="318"/>
    </row>
    <row r="3956" spans="2:30" s="323" customFormat="1" ht="12" customHeight="1">
      <c r="B3956" s="324"/>
      <c r="C3956" s="325"/>
      <c r="D3956" s="326"/>
      <c r="E3956" s="326"/>
      <c r="F3956" s="326"/>
      <c r="G3956" s="326"/>
      <c r="H3956" s="326"/>
      <c r="P3956" s="318"/>
      <c r="Q3956" s="318"/>
      <c r="R3956" s="318"/>
      <c r="S3956" s="318"/>
      <c r="T3956" s="318"/>
      <c r="U3956" s="318"/>
      <c r="V3956" s="318"/>
      <c r="W3956" s="318"/>
      <c r="X3956" s="318"/>
      <c r="Y3956" s="318"/>
      <c r="Z3956" s="318"/>
      <c r="AA3956" s="318"/>
      <c r="AB3956" s="318"/>
      <c r="AC3956" s="318"/>
      <c r="AD3956" s="318"/>
    </row>
    <row r="3957" spans="2:30" s="323" customFormat="1" ht="12" customHeight="1">
      <c r="B3957" s="324"/>
      <c r="C3957" s="325"/>
      <c r="D3957" s="326"/>
      <c r="E3957" s="326"/>
      <c r="F3957" s="326"/>
      <c r="G3957" s="326"/>
      <c r="H3957" s="326"/>
      <c r="P3957" s="318"/>
      <c r="Q3957" s="318"/>
      <c r="R3957" s="318"/>
      <c r="S3957" s="318"/>
      <c r="T3957" s="318"/>
      <c r="U3957" s="318"/>
      <c r="V3957" s="318"/>
      <c r="W3957" s="318"/>
      <c r="X3957" s="318"/>
      <c r="Y3957" s="318"/>
      <c r="Z3957" s="318"/>
      <c r="AA3957" s="318"/>
      <c r="AB3957" s="318"/>
      <c r="AC3957" s="318"/>
      <c r="AD3957" s="318"/>
    </row>
    <row r="3958" spans="2:30" s="323" customFormat="1" ht="12" customHeight="1">
      <c r="B3958" s="324"/>
      <c r="C3958" s="325"/>
      <c r="D3958" s="326"/>
      <c r="E3958" s="326"/>
      <c r="F3958" s="326"/>
      <c r="G3958" s="326"/>
      <c r="H3958" s="326"/>
      <c r="P3958" s="318"/>
      <c r="Q3958" s="318"/>
      <c r="R3958" s="318"/>
      <c r="S3958" s="318"/>
      <c r="T3958" s="318"/>
      <c r="U3958" s="318"/>
      <c r="V3958" s="318"/>
      <c r="W3958" s="318"/>
      <c r="X3958" s="318"/>
      <c r="Y3958" s="318"/>
      <c r="Z3958" s="318"/>
      <c r="AA3958" s="318"/>
      <c r="AB3958" s="318"/>
      <c r="AC3958" s="318"/>
      <c r="AD3958" s="318"/>
    </row>
    <row r="3959" spans="2:30" s="323" customFormat="1" ht="12" customHeight="1">
      <c r="B3959" s="324"/>
      <c r="C3959" s="325"/>
      <c r="D3959" s="326"/>
      <c r="E3959" s="326"/>
      <c r="F3959" s="326"/>
      <c r="G3959" s="326"/>
      <c r="H3959" s="326"/>
      <c r="P3959" s="318"/>
      <c r="Q3959" s="318"/>
      <c r="R3959" s="318"/>
      <c r="S3959" s="318"/>
      <c r="T3959" s="318"/>
      <c r="U3959" s="318"/>
      <c r="V3959" s="318"/>
      <c r="W3959" s="318"/>
      <c r="X3959" s="318"/>
      <c r="Y3959" s="318"/>
      <c r="Z3959" s="318"/>
      <c r="AA3959" s="318"/>
      <c r="AB3959" s="318"/>
      <c r="AC3959" s="318"/>
      <c r="AD3959" s="318"/>
    </row>
    <row r="3960" spans="2:30" s="323" customFormat="1" ht="12" customHeight="1">
      <c r="B3960" s="324"/>
      <c r="C3960" s="325"/>
      <c r="D3960" s="326"/>
      <c r="E3960" s="326"/>
      <c r="F3960" s="326"/>
      <c r="G3960" s="326"/>
      <c r="H3960" s="326"/>
      <c r="P3960" s="318"/>
      <c r="Q3960" s="318"/>
      <c r="R3960" s="318"/>
      <c r="S3960" s="318"/>
      <c r="T3960" s="318"/>
      <c r="U3960" s="318"/>
      <c r="V3960" s="318"/>
      <c r="W3960" s="318"/>
      <c r="X3960" s="318"/>
      <c r="Y3960" s="318"/>
      <c r="Z3960" s="318"/>
      <c r="AA3960" s="318"/>
      <c r="AB3960" s="318"/>
      <c r="AC3960" s="318"/>
      <c r="AD3960" s="318"/>
    </row>
    <row r="3961" spans="2:30" s="323" customFormat="1" ht="12" customHeight="1">
      <c r="B3961" s="324"/>
      <c r="C3961" s="325"/>
      <c r="D3961" s="326"/>
      <c r="E3961" s="326"/>
      <c r="F3961" s="326"/>
      <c r="G3961" s="326"/>
      <c r="H3961" s="326"/>
      <c r="P3961" s="318"/>
      <c r="Q3961" s="318"/>
      <c r="R3961" s="318"/>
      <c r="S3961" s="318"/>
      <c r="T3961" s="318"/>
      <c r="U3961" s="318"/>
      <c r="V3961" s="318"/>
      <c r="W3961" s="318"/>
      <c r="X3961" s="318"/>
      <c r="Y3961" s="318"/>
      <c r="Z3961" s="318"/>
      <c r="AA3961" s="318"/>
      <c r="AB3961" s="318"/>
      <c r="AC3961" s="318"/>
      <c r="AD3961" s="318"/>
    </row>
    <row r="3962" spans="2:30" s="323" customFormat="1" ht="12" customHeight="1">
      <c r="B3962" s="324"/>
      <c r="C3962" s="325"/>
      <c r="D3962" s="326"/>
      <c r="E3962" s="326"/>
      <c r="F3962" s="326"/>
      <c r="G3962" s="326"/>
      <c r="H3962" s="326"/>
      <c r="P3962" s="318"/>
      <c r="Q3962" s="318"/>
      <c r="R3962" s="318"/>
      <c r="S3962" s="318"/>
      <c r="T3962" s="318"/>
      <c r="U3962" s="318"/>
      <c r="V3962" s="318"/>
      <c r="W3962" s="318"/>
      <c r="X3962" s="318"/>
      <c r="Y3962" s="318"/>
      <c r="Z3962" s="318"/>
      <c r="AA3962" s="318"/>
      <c r="AB3962" s="318"/>
      <c r="AC3962" s="318"/>
      <c r="AD3962" s="318"/>
    </row>
    <row r="3963" spans="2:30" s="323" customFormat="1" ht="12" customHeight="1">
      <c r="B3963" s="324"/>
      <c r="C3963" s="325"/>
      <c r="D3963" s="326"/>
      <c r="E3963" s="326"/>
      <c r="F3963" s="326"/>
      <c r="G3963" s="326"/>
      <c r="H3963" s="326"/>
      <c r="P3963" s="318"/>
      <c r="Q3963" s="318"/>
      <c r="R3963" s="318"/>
      <c r="S3963" s="318"/>
      <c r="T3963" s="318"/>
      <c r="U3963" s="318"/>
      <c r="V3963" s="318"/>
      <c r="W3963" s="318"/>
      <c r="X3963" s="318"/>
      <c r="Y3963" s="318"/>
      <c r="Z3963" s="318"/>
      <c r="AA3963" s="318"/>
      <c r="AB3963" s="318"/>
      <c r="AC3963" s="318"/>
      <c r="AD3963" s="318"/>
    </row>
    <row r="3964" spans="2:30" s="323" customFormat="1" ht="12" customHeight="1">
      <c r="B3964" s="324"/>
      <c r="C3964" s="325"/>
      <c r="D3964" s="326"/>
      <c r="E3964" s="326"/>
      <c r="F3964" s="326"/>
      <c r="G3964" s="326"/>
      <c r="H3964" s="326"/>
      <c r="P3964" s="318"/>
      <c r="Q3964" s="318"/>
      <c r="R3964" s="318"/>
      <c r="S3964" s="318"/>
      <c r="T3964" s="318"/>
      <c r="U3964" s="318"/>
      <c r="V3964" s="318"/>
      <c r="W3964" s="318"/>
      <c r="X3964" s="318"/>
      <c r="Y3964" s="318"/>
      <c r="Z3964" s="318"/>
      <c r="AA3964" s="318"/>
      <c r="AB3964" s="318"/>
      <c r="AC3964" s="318"/>
      <c r="AD3964" s="318"/>
    </row>
    <row r="3965" spans="2:30" s="323" customFormat="1" ht="12" customHeight="1">
      <c r="B3965" s="324"/>
      <c r="C3965" s="325"/>
      <c r="D3965" s="326"/>
      <c r="E3965" s="326"/>
      <c r="F3965" s="326"/>
      <c r="G3965" s="326"/>
      <c r="H3965" s="326"/>
      <c r="P3965" s="318"/>
      <c r="Q3965" s="318"/>
      <c r="R3965" s="318"/>
      <c r="S3965" s="318"/>
      <c r="T3965" s="318"/>
      <c r="U3965" s="318"/>
      <c r="V3965" s="318"/>
      <c r="W3965" s="318"/>
      <c r="X3965" s="318"/>
      <c r="Y3965" s="318"/>
      <c r="Z3965" s="318"/>
      <c r="AA3965" s="318"/>
      <c r="AB3965" s="318"/>
      <c r="AC3965" s="318"/>
      <c r="AD3965" s="318"/>
    </row>
    <row r="3966" spans="2:30" s="323" customFormat="1" ht="12" customHeight="1">
      <c r="B3966" s="324"/>
      <c r="C3966" s="325"/>
      <c r="D3966" s="326"/>
      <c r="E3966" s="326"/>
      <c r="F3966" s="326"/>
      <c r="G3966" s="326"/>
      <c r="H3966" s="326"/>
      <c r="P3966" s="318"/>
      <c r="Q3966" s="318"/>
      <c r="R3966" s="318"/>
      <c r="S3966" s="318"/>
      <c r="T3966" s="318"/>
      <c r="U3966" s="318"/>
      <c r="V3966" s="318"/>
      <c r="W3966" s="318"/>
      <c r="X3966" s="318"/>
      <c r="Y3966" s="318"/>
      <c r="Z3966" s="318"/>
      <c r="AA3966" s="318"/>
      <c r="AB3966" s="318"/>
      <c r="AC3966" s="318"/>
      <c r="AD3966" s="318"/>
    </row>
    <row r="3967" spans="2:30" s="323" customFormat="1" ht="12" customHeight="1">
      <c r="B3967" s="324"/>
      <c r="C3967" s="325"/>
      <c r="D3967" s="326"/>
      <c r="E3967" s="326"/>
      <c r="F3967" s="326"/>
      <c r="G3967" s="326"/>
      <c r="H3967" s="326"/>
      <c r="P3967" s="318"/>
      <c r="Q3967" s="318"/>
      <c r="R3967" s="318"/>
      <c r="S3967" s="318"/>
      <c r="T3967" s="318"/>
      <c r="U3967" s="318"/>
      <c r="V3967" s="318"/>
      <c r="W3967" s="318"/>
      <c r="X3967" s="318"/>
      <c r="Y3967" s="318"/>
      <c r="Z3967" s="318"/>
      <c r="AA3967" s="318"/>
      <c r="AB3967" s="318"/>
      <c r="AC3967" s="318"/>
      <c r="AD3967" s="318"/>
    </row>
    <row r="3968" spans="2:30" s="323" customFormat="1" ht="12" customHeight="1">
      <c r="B3968" s="324"/>
      <c r="C3968" s="325"/>
      <c r="D3968" s="326"/>
      <c r="E3968" s="326"/>
      <c r="F3968" s="326"/>
      <c r="G3968" s="326"/>
      <c r="H3968" s="326"/>
      <c r="P3968" s="318"/>
      <c r="Q3968" s="318"/>
      <c r="R3968" s="318"/>
      <c r="S3968" s="318"/>
      <c r="T3968" s="318"/>
      <c r="U3968" s="318"/>
      <c r="V3968" s="318"/>
      <c r="W3968" s="318"/>
      <c r="X3968" s="318"/>
      <c r="Y3968" s="318"/>
      <c r="Z3968" s="318"/>
      <c r="AA3968" s="318"/>
      <c r="AB3968" s="318"/>
      <c r="AC3968" s="318"/>
      <c r="AD3968" s="318"/>
    </row>
    <row r="3969" spans="2:30" s="323" customFormat="1" ht="12" customHeight="1">
      <c r="B3969" s="324"/>
      <c r="C3969" s="325"/>
      <c r="D3969" s="326"/>
      <c r="E3969" s="326"/>
      <c r="F3969" s="326"/>
      <c r="G3969" s="326"/>
      <c r="H3969" s="326"/>
      <c r="P3969" s="318"/>
      <c r="Q3969" s="318"/>
      <c r="R3969" s="318"/>
      <c r="S3969" s="318"/>
      <c r="T3969" s="318"/>
      <c r="U3969" s="318"/>
      <c r="V3969" s="318"/>
      <c r="W3969" s="318"/>
      <c r="X3969" s="318"/>
      <c r="Y3969" s="318"/>
      <c r="Z3969" s="318"/>
      <c r="AA3969" s="318"/>
      <c r="AB3969" s="318"/>
      <c r="AC3969" s="318"/>
      <c r="AD3969" s="318"/>
    </row>
    <row r="3970" spans="2:30" s="323" customFormat="1" ht="12" customHeight="1">
      <c r="B3970" s="324"/>
      <c r="C3970" s="325"/>
      <c r="D3970" s="326"/>
      <c r="E3970" s="326"/>
      <c r="F3970" s="326"/>
      <c r="G3970" s="326"/>
      <c r="H3970" s="326"/>
      <c r="P3970" s="318"/>
      <c r="Q3970" s="318"/>
      <c r="R3970" s="318"/>
      <c r="S3970" s="318"/>
      <c r="T3970" s="318"/>
      <c r="U3970" s="318"/>
      <c r="V3970" s="318"/>
      <c r="W3970" s="318"/>
      <c r="X3970" s="318"/>
      <c r="Y3970" s="318"/>
      <c r="Z3970" s="318"/>
      <c r="AA3970" s="318"/>
      <c r="AB3970" s="318"/>
      <c r="AC3970" s="318"/>
      <c r="AD3970" s="318"/>
    </row>
    <row r="3971" spans="2:30" s="323" customFormat="1" ht="12" customHeight="1">
      <c r="B3971" s="324"/>
      <c r="C3971" s="325"/>
      <c r="D3971" s="326"/>
      <c r="E3971" s="326"/>
      <c r="F3971" s="326"/>
      <c r="G3971" s="326"/>
      <c r="H3971" s="326"/>
      <c r="P3971" s="318"/>
      <c r="Q3971" s="318"/>
      <c r="R3971" s="318"/>
      <c r="S3971" s="318"/>
      <c r="T3971" s="318"/>
      <c r="U3971" s="318"/>
      <c r="V3971" s="318"/>
      <c r="W3971" s="318"/>
      <c r="X3971" s="318"/>
      <c r="Y3971" s="318"/>
      <c r="Z3971" s="318"/>
      <c r="AA3971" s="318"/>
      <c r="AB3971" s="318"/>
      <c r="AC3971" s="318"/>
      <c r="AD3971" s="318"/>
    </row>
    <row r="3972" spans="2:30" s="323" customFormat="1" ht="12" customHeight="1">
      <c r="B3972" s="324"/>
      <c r="C3972" s="325"/>
      <c r="D3972" s="326"/>
      <c r="E3972" s="326"/>
      <c r="F3972" s="326"/>
      <c r="G3972" s="326"/>
      <c r="H3972" s="326"/>
      <c r="P3972" s="318"/>
      <c r="Q3972" s="318"/>
      <c r="R3972" s="318"/>
      <c r="S3972" s="318"/>
      <c r="T3972" s="318"/>
      <c r="U3972" s="318"/>
      <c r="V3972" s="318"/>
      <c r="W3972" s="318"/>
      <c r="X3972" s="318"/>
      <c r="Y3972" s="318"/>
      <c r="Z3972" s="318"/>
      <c r="AA3972" s="318"/>
      <c r="AB3972" s="318"/>
      <c r="AC3972" s="318"/>
      <c r="AD3972" s="318"/>
    </row>
    <row r="3973" spans="2:30" s="323" customFormat="1" ht="12" customHeight="1">
      <c r="B3973" s="324"/>
      <c r="C3973" s="325"/>
      <c r="D3973" s="326"/>
      <c r="E3973" s="326"/>
      <c r="F3973" s="326"/>
      <c r="G3973" s="326"/>
      <c r="H3973" s="326"/>
      <c r="P3973" s="318"/>
      <c r="Q3973" s="318"/>
      <c r="R3973" s="318"/>
      <c r="S3973" s="318"/>
      <c r="T3973" s="318"/>
      <c r="U3973" s="318"/>
      <c r="V3973" s="318"/>
      <c r="W3973" s="318"/>
      <c r="X3973" s="318"/>
      <c r="Y3973" s="318"/>
      <c r="Z3973" s="318"/>
      <c r="AA3973" s="318"/>
      <c r="AB3973" s="318"/>
      <c r="AC3973" s="318"/>
      <c r="AD3973" s="318"/>
    </row>
    <row r="3974" spans="2:30" s="323" customFormat="1" ht="12" customHeight="1">
      <c r="B3974" s="324"/>
      <c r="C3974" s="325"/>
      <c r="D3974" s="326"/>
      <c r="E3974" s="326"/>
      <c r="F3974" s="326"/>
      <c r="G3974" s="326"/>
      <c r="H3974" s="326"/>
      <c r="P3974" s="318"/>
      <c r="Q3974" s="318"/>
      <c r="R3974" s="318"/>
      <c r="S3974" s="318"/>
      <c r="T3974" s="318"/>
      <c r="U3974" s="318"/>
      <c r="V3974" s="318"/>
      <c r="W3974" s="318"/>
      <c r="X3974" s="318"/>
      <c r="Y3974" s="318"/>
      <c r="Z3974" s="318"/>
      <c r="AA3974" s="318"/>
      <c r="AB3974" s="318"/>
      <c r="AC3974" s="318"/>
      <c r="AD3974" s="318"/>
    </row>
    <row r="3975" spans="2:30" s="323" customFormat="1" ht="12" customHeight="1">
      <c r="B3975" s="324"/>
      <c r="C3975" s="325"/>
      <c r="D3975" s="326"/>
      <c r="E3975" s="326"/>
      <c r="F3975" s="326"/>
      <c r="G3975" s="326"/>
      <c r="H3975" s="326"/>
      <c r="P3975" s="318"/>
      <c r="Q3975" s="318"/>
      <c r="R3975" s="318"/>
      <c r="S3975" s="318"/>
      <c r="T3975" s="318"/>
      <c r="U3975" s="318"/>
      <c r="V3975" s="318"/>
      <c r="W3975" s="318"/>
      <c r="X3975" s="318"/>
      <c r="Y3975" s="318"/>
      <c r="Z3975" s="318"/>
      <c r="AA3975" s="318"/>
      <c r="AB3975" s="318"/>
      <c r="AC3975" s="318"/>
      <c r="AD3975" s="318"/>
    </row>
    <row r="3976" spans="2:30" s="323" customFormat="1" ht="12" customHeight="1">
      <c r="B3976" s="324"/>
      <c r="C3976" s="325"/>
      <c r="D3976" s="326"/>
      <c r="E3976" s="326"/>
      <c r="F3976" s="326"/>
      <c r="G3976" s="326"/>
      <c r="H3976" s="326"/>
      <c r="P3976" s="318"/>
      <c r="Q3976" s="318"/>
      <c r="R3976" s="318"/>
      <c r="S3976" s="318"/>
      <c r="T3976" s="318"/>
      <c r="U3976" s="318"/>
      <c r="V3976" s="318"/>
      <c r="W3976" s="318"/>
      <c r="X3976" s="318"/>
      <c r="Y3976" s="318"/>
      <c r="Z3976" s="318"/>
      <c r="AA3976" s="318"/>
      <c r="AB3976" s="318"/>
      <c r="AC3976" s="318"/>
      <c r="AD3976" s="318"/>
    </row>
    <row r="3977" spans="2:30" s="323" customFormat="1" ht="12" customHeight="1">
      <c r="B3977" s="324"/>
      <c r="C3977" s="325"/>
      <c r="D3977" s="326"/>
      <c r="E3977" s="326"/>
      <c r="F3977" s="326"/>
      <c r="G3977" s="326"/>
      <c r="H3977" s="326"/>
      <c r="P3977" s="318"/>
      <c r="Q3977" s="318"/>
      <c r="R3977" s="318"/>
      <c r="S3977" s="318"/>
      <c r="T3977" s="318"/>
      <c r="U3977" s="318"/>
      <c r="V3977" s="318"/>
      <c r="W3977" s="318"/>
      <c r="X3977" s="318"/>
      <c r="Y3977" s="318"/>
      <c r="Z3977" s="318"/>
      <c r="AA3977" s="318"/>
      <c r="AB3977" s="318"/>
      <c r="AC3977" s="318"/>
      <c r="AD3977" s="318"/>
    </row>
    <row r="3978" spans="2:30" s="323" customFormat="1" ht="12" customHeight="1">
      <c r="B3978" s="324"/>
      <c r="C3978" s="325"/>
      <c r="D3978" s="326"/>
      <c r="E3978" s="326"/>
      <c r="F3978" s="326"/>
      <c r="G3978" s="326"/>
      <c r="H3978" s="326"/>
      <c r="P3978" s="318"/>
      <c r="Q3978" s="318"/>
      <c r="R3978" s="318"/>
      <c r="S3978" s="318"/>
      <c r="T3978" s="318"/>
      <c r="U3978" s="318"/>
      <c r="V3978" s="318"/>
      <c r="W3978" s="318"/>
      <c r="X3978" s="318"/>
      <c r="Y3978" s="318"/>
      <c r="Z3978" s="318"/>
      <c r="AA3978" s="318"/>
      <c r="AB3978" s="318"/>
      <c r="AC3978" s="318"/>
      <c r="AD3978" s="318"/>
    </row>
    <row r="3979" spans="2:30" s="323" customFormat="1" ht="12" customHeight="1">
      <c r="B3979" s="324"/>
      <c r="C3979" s="325"/>
      <c r="D3979" s="326"/>
      <c r="E3979" s="326"/>
      <c r="F3979" s="326"/>
      <c r="G3979" s="326"/>
      <c r="H3979" s="326"/>
      <c r="P3979" s="318"/>
      <c r="Q3979" s="318"/>
      <c r="R3979" s="318"/>
      <c r="S3979" s="318"/>
      <c r="T3979" s="318"/>
      <c r="U3979" s="318"/>
      <c r="V3979" s="318"/>
      <c r="W3979" s="318"/>
      <c r="X3979" s="318"/>
      <c r="Y3979" s="318"/>
      <c r="Z3979" s="318"/>
      <c r="AA3979" s="318"/>
      <c r="AB3979" s="318"/>
      <c r="AC3979" s="318"/>
      <c r="AD3979" s="318"/>
    </row>
    <row r="3980" spans="2:30" s="323" customFormat="1" ht="12" customHeight="1">
      <c r="B3980" s="324"/>
      <c r="C3980" s="325"/>
      <c r="D3980" s="326"/>
      <c r="E3980" s="326"/>
      <c r="F3980" s="326"/>
      <c r="G3980" s="326"/>
      <c r="H3980" s="326"/>
      <c r="P3980" s="318"/>
      <c r="Q3980" s="318"/>
      <c r="R3980" s="318"/>
      <c r="S3980" s="318"/>
      <c r="T3980" s="318"/>
      <c r="U3980" s="318"/>
      <c r="V3980" s="318"/>
      <c r="W3980" s="318"/>
      <c r="X3980" s="318"/>
      <c r="Y3980" s="318"/>
      <c r="Z3980" s="318"/>
      <c r="AA3980" s="318"/>
      <c r="AB3980" s="318"/>
      <c r="AC3980" s="318"/>
      <c r="AD3980" s="318"/>
    </row>
    <row r="3981" spans="2:30" s="323" customFormat="1" ht="12" customHeight="1">
      <c r="B3981" s="324"/>
      <c r="C3981" s="325"/>
      <c r="D3981" s="326"/>
      <c r="E3981" s="326"/>
      <c r="F3981" s="326"/>
      <c r="G3981" s="326"/>
      <c r="H3981" s="326"/>
      <c r="P3981" s="318"/>
      <c r="Q3981" s="318"/>
      <c r="R3981" s="318"/>
      <c r="S3981" s="318"/>
      <c r="T3981" s="318"/>
      <c r="U3981" s="318"/>
      <c r="V3981" s="318"/>
      <c r="W3981" s="318"/>
      <c r="X3981" s="318"/>
      <c r="Y3981" s="318"/>
      <c r="Z3981" s="318"/>
      <c r="AA3981" s="318"/>
      <c r="AB3981" s="318"/>
      <c r="AC3981" s="318"/>
      <c r="AD3981" s="318"/>
    </row>
    <row r="3982" spans="2:30" s="323" customFormat="1" ht="12" customHeight="1">
      <c r="B3982" s="324"/>
      <c r="C3982" s="325"/>
      <c r="D3982" s="326"/>
      <c r="E3982" s="326"/>
      <c r="F3982" s="326"/>
      <c r="G3982" s="326"/>
      <c r="H3982" s="326"/>
      <c r="P3982" s="318"/>
      <c r="Q3982" s="318"/>
      <c r="R3982" s="318"/>
      <c r="S3982" s="318"/>
      <c r="T3982" s="318"/>
      <c r="U3982" s="318"/>
      <c r="V3982" s="318"/>
      <c r="W3982" s="318"/>
      <c r="X3982" s="318"/>
      <c r="Y3982" s="318"/>
      <c r="Z3982" s="318"/>
      <c r="AA3982" s="318"/>
      <c r="AB3982" s="318"/>
      <c r="AC3982" s="318"/>
      <c r="AD3982" s="318"/>
    </row>
    <row r="3983" spans="2:30" s="323" customFormat="1" ht="12" customHeight="1">
      <c r="B3983" s="324"/>
      <c r="C3983" s="325"/>
      <c r="D3983" s="326"/>
      <c r="E3983" s="326"/>
      <c r="F3983" s="326"/>
      <c r="G3983" s="326"/>
      <c r="H3983" s="326"/>
      <c r="P3983" s="318"/>
      <c r="Q3983" s="318"/>
      <c r="R3983" s="318"/>
      <c r="S3983" s="318"/>
      <c r="T3983" s="318"/>
      <c r="U3983" s="318"/>
      <c r="V3983" s="318"/>
      <c r="W3983" s="318"/>
      <c r="X3983" s="318"/>
      <c r="Y3983" s="318"/>
      <c r="Z3983" s="318"/>
      <c r="AA3983" s="318"/>
      <c r="AB3983" s="318"/>
      <c r="AC3983" s="318"/>
      <c r="AD3983" s="318"/>
    </row>
    <row r="3984" spans="2:30" s="323" customFormat="1" ht="12" customHeight="1">
      <c r="B3984" s="324"/>
      <c r="C3984" s="325"/>
      <c r="D3984" s="326"/>
      <c r="E3984" s="326"/>
      <c r="F3984" s="326"/>
      <c r="G3984" s="326"/>
      <c r="H3984" s="326"/>
      <c r="P3984" s="318"/>
      <c r="Q3984" s="318"/>
      <c r="R3984" s="318"/>
      <c r="S3984" s="318"/>
      <c r="T3984" s="318"/>
      <c r="U3984" s="318"/>
      <c r="V3984" s="318"/>
      <c r="W3984" s="318"/>
      <c r="X3984" s="318"/>
      <c r="Y3984" s="318"/>
      <c r="Z3984" s="318"/>
      <c r="AA3984" s="318"/>
      <c r="AB3984" s="318"/>
      <c r="AC3984" s="318"/>
      <c r="AD3984" s="318"/>
    </row>
    <row r="3985" spans="2:30" s="323" customFormat="1" ht="12" customHeight="1">
      <c r="B3985" s="324"/>
      <c r="C3985" s="325"/>
      <c r="D3985" s="326"/>
      <c r="E3985" s="326"/>
      <c r="F3985" s="326"/>
      <c r="G3985" s="326"/>
      <c r="H3985" s="326"/>
      <c r="P3985" s="318"/>
      <c r="Q3985" s="318"/>
      <c r="R3985" s="318"/>
      <c r="S3985" s="318"/>
      <c r="T3985" s="318"/>
      <c r="U3985" s="318"/>
      <c r="V3985" s="318"/>
      <c r="W3985" s="318"/>
      <c r="X3985" s="318"/>
      <c r="Y3985" s="318"/>
      <c r="Z3985" s="318"/>
      <c r="AA3985" s="318"/>
      <c r="AB3985" s="318"/>
      <c r="AC3985" s="318"/>
      <c r="AD3985" s="318"/>
    </row>
    <row r="3986" spans="2:30" s="323" customFormat="1" ht="12" customHeight="1">
      <c r="B3986" s="324"/>
      <c r="C3986" s="325"/>
      <c r="D3986" s="326"/>
      <c r="E3986" s="326"/>
      <c r="F3986" s="326"/>
      <c r="G3986" s="326"/>
      <c r="H3986" s="326"/>
      <c r="P3986" s="318"/>
      <c r="Q3986" s="318"/>
      <c r="R3986" s="318"/>
      <c r="S3986" s="318"/>
      <c r="T3986" s="318"/>
      <c r="U3986" s="318"/>
      <c r="V3986" s="318"/>
      <c r="W3986" s="318"/>
      <c r="X3986" s="318"/>
      <c r="Y3986" s="318"/>
      <c r="Z3986" s="318"/>
      <c r="AA3986" s="318"/>
      <c r="AB3986" s="318"/>
      <c r="AC3986" s="318"/>
      <c r="AD3986" s="318"/>
    </row>
    <row r="3987" spans="2:30" s="323" customFormat="1" ht="12" customHeight="1">
      <c r="B3987" s="324"/>
      <c r="C3987" s="325"/>
      <c r="D3987" s="326"/>
      <c r="E3987" s="326"/>
      <c r="F3987" s="326"/>
      <c r="G3987" s="326"/>
      <c r="H3987" s="326"/>
      <c r="P3987" s="318"/>
      <c r="Q3987" s="318"/>
      <c r="R3987" s="318"/>
      <c r="S3987" s="318"/>
      <c r="T3987" s="318"/>
      <c r="U3987" s="318"/>
      <c r="V3987" s="318"/>
      <c r="W3987" s="318"/>
      <c r="X3987" s="318"/>
      <c r="Y3987" s="318"/>
      <c r="Z3987" s="318"/>
      <c r="AA3987" s="318"/>
      <c r="AB3987" s="318"/>
      <c r="AC3987" s="318"/>
      <c r="AD3987" s="318"/>
    </row>
    <row r="3988" spans="2:30" s="323" customFormat="1" ht="12" customHeight="1">
      <c r="B3988" s="324"/>
      <c r="C3988" s="325"/>
      <c r="D3988" s="326"/>
      <c r="E3988" s="326"/>
      <c r="F3988" s="326"/>
      <c r="G3988" s="326"/>
      <c r="H3988" s="326"/>
      <c r="P3988" s="318"/>
      <c r="Q3988" s="318"/>
      <c r="R3988" s="318"/>
      <c r="S3988" s="318"/>
      <c r="T3988" s="318"/>
      <c r="U3988" s="318"/>
      <c r="V3988" s="318"/>
      <c r="W3988" s="318"/>
      <c r="X3988" s="318"/>
      <c r="Y3988" s="318"/>
      <c r="Z3988" s="318"/>
      <c r="AA3988" s="318"/>
      <c r="AB3988" s="318"/>
      <c r="AC3988" s="318"/>
      <c r="AD3988" s="318"/>
    </row>
    <row r="3989" spans="2:30" s="323" customFormat="1" ht="12" customHeight="1">
      <c r="B3989" s="324"/>
      <c r="C3989" s="325"/>
      <c r="D3989" s="326"/>
      <c r="E3989" s="326"/>
      <c r="F3989" s="326"/>
      <c r="G3989" s="326"/>
      <c r="H3989" s="326"/>
      <c r="P3989" s="318"/>
      <c r="Q3989" s="318"/>
      <c r="R3989" s="318"/>
      <c r="S3989" s="318"/>
      <c r="T3989" s="318"/>
      <c r="U3989" s="318"/>
      <c r="V3989" s="318"/>
      <c r="W3989" s="318"/>
      <c r="X3989" s="318"/>
      <c r="Y3989" s="318"/>
      <c r="Z3989" s="318"/>
      <c r="AA3989" s="318"/>
      <c r="AB3989" s="318"/>
      <c r="AC3989" s="318"/>
      <c r="AD3989" s="318"/>
    </row>
    <row r="3990" spans="2:30" s="323" customFormat="1" ht="12" customHeight="1">
      <c r="B3990" s="324"/>
      <c r="C3990" s="325"/>
      <c r="D3990" s="326"/>
      <c r="E3990" s="326"/>
      <c r="F3990" s="326"/>
      <c r="G3990" s="326"/>
      <c r="H3990" s="326"/>
      <c r="P3990" s="318"/>
      <c r="Q3990" s="318"/>
      <c r="R3990" s="318"/>
      <c r="S3990" s="318"/>
      <c r="T3990" s="318"/>
      <c r="U3990" s="318"/>
      <c r="V3990" s="318"/>
      <c r="W3990" s="318"/>
      <c r="X3990" s="318"/>
      <c r="Y3990" s="318"/>
      <c r="Z3990" s="318"/>
      <c r="AA3990" s="318"/>
      <c r="AB3990" s="318"/>
      <c r="AC3990" s="318"/>
      <c r="AD3990" s="318"/>
    </row>
    <row r="3991" spans="2:30" s="323" customFormat="1" ht="12" customHeight="1">
      <c r="B3991" s="324"/>
      <c r="C3991" s="325"/>
      <c r="D3991" s="326"/>
      <c r="E3991" s="326"/>
      <c r="F3991" s="326"/>
      <c r="G3991" s="326"/>
      <c r="H3991" s="326"/>
      <c r="P3991" s="318"/>
      <c r="Q3991" s="318"/>
      <c r="R3991" s="318"/>
      <c r="S3991" s="318"/>
      <c r="T3991" s="318"/>
      <c r="U3991" s="318"/>
      <c r="V3991" s="318"/>
      <c r="W3991" s="318"/>
      <c r="X3991" s="318"/>
      <c r="Y3991" s="318"/>
      <c r="Z3991" s="318"/>
      <c r="AA3991" s="318"/>
      <c r="AB3991" s="318"/>
      <c r="AC3991" s="318"/>
      <c r="AD3991" s="318"/>
    </row>
    <row r="3992" spans="2:30" s="323" customFormat="1" ht="12" customHeight="1">
      <c r="B3992" s="324"/>
      <c r="C3992" s="325"/>
      <c r="D3992" s="326"/>
      <c r="E3992" s="326"/>
      <c r="F3992" s="326"/>
      <c r="G3992" s="326"/>
      <c r="H3992" s="326"/>
      <c r="P3992" s="318"/>
      <c r="Q3992" s="318"/>
      <c r="R3992" s="318"/>
      <c r="S3992" s="318"/>
      <c r="T3992" s="318"/>
      <c r="U3992" s="318"/>
      <c r="V3992" s="318"/>
      <c r="W3992" s="318"/>
      <c r="X3992" s="318"/>
      <c r="Y3992" s="318"/>
      <c r="Z3992" s="318"/>
      <c r="AA3992" s="318"/>
      <c r="AB3992" s="318"/>
      <c r="AC3992" s="318"/>
      <c r="AD3992" s="318"/>
    </row>
    <row r="3993" spans="2:30" s="323" customFormat="1" ht="12" customHeight="1">
      <c r="B3993" s="324"/>
      <c r="C3993" s="325"/>
      <c r="D3993" s="326"/>
      <c r="E3993" s="326"/>
      <c r="F3993" s="326"/>
      <c r="G3993" s="326"/>
      <c r="H3993" s="326"/>
      <c r="P3993" s="318"/>
      <c r="Q3993" s="318"/>
      <c r="R3993" s="318"/>
      <c r="S3993" s="318"/>
      <c r="T3993" s="318"/>
      <c r="U3993" s="318"/>
      <c r="V3993" s="318"/>
      <c r="W3993" s="318"/>
      <c r="X3993" s="318"/>
      <c r="Y3993" s="318"/>
      <c r="Z3993" s="318"/>
      <c r="AA3993" s="318"/>
      <c r="AB3993" s="318"/>
      <c r="AC3993" s="318"/>
      <c r="AD3993" s="318"/>
    </row>
    <row r="3994" spans="2:30" s="323" customFormat="1" ht="12" customHeight="1">
      <c r="B3994" s="324"/>
      <c r="C3994" s="325"/>
      <c r="D3994" s="326"/>
      <c r="E3994" s="326"/>
      <c r="F3994" s="326"/>
      <c r="G3994" s="326"/>
      <c r="H3994" s="326"/>
      <c r="P3994" s="318"/>
      <c r="Q3994" s="318"/>
      <c r="R3994" s="318"/>
      <c r="S3994" s="318"/>
      <c r="T3994" s="318"/>
      <c r="U3994" s="318"/>
      <c r="V3994" s="318"/>
      <c r="W3994" s="318"/>
      <c r="X3994" s="318"/>
      <c r="Y3994" s="318"/>
      <c r="Z3994" s="318"/>
      <c r="AA3994" s="318"/>
      <c r="AB3994" s="318"/>
      <c r="AC3994" s="318"/>
      <c r="AD3994" s="318"/>
    </row>
    <row r="3995" spans="2:30" s="323" customFormat="1" ht="12" customHeight="1">
      <c r="B3995" s="324"/>
      <c r="C3995" s="325"/>
      <c r="D3995" s="326"/>
      <c r="E3995" s="326"/>
      <c r="F3995" s="326"/>
      <c r="G3995" s="326"/>
      <c r="H3995" s="326"/>
      <c r="P3995" s="318"/>
      <c r="Q3995" s="318"/>
      <c r="R3995" s="318"/>
      <c r="S3995" s="318"/>
      <c r="T3995" s="318"/>
      <c r="U3995" s="318"/>
      <c r="V3995" s="318"/>
      <c r="W3995" s="318"/>
      <c r="X3995" s="318"/>
      <c r="Y3995" s="318"/>
      <c r="Z3995" s="318"/>
      <c r="AA3995" s="318"/>
      <c r="AB3995" s="318"/>
      <c r="AC3995" s="318"/>
      <c r="AD3995" s="318"/>
    </row>
    <row r="3996" spans="2:30" s="323" customFormat="1" ht="12" customHeight="1">
      <c r="B3996" s="324"/>
      <c r="C3996" s="325"/>
      <c r="D3996" s="326"/>
      <c r="E3996" s="326"/>
      <c r="F3996" s="326"/>
      <c r="G3996" s="326"/>
      <c r="H3996" s="326"/>
      <c r="P3996" s="318"/>
      <c r="Q3996" s="318"/>
      <c r="R3996" s="318"/>
      <c r="S3996" s="318"/>
      <c r="T3996" s="318"/>
      <c r="U3996" s="318"/>
      <c r="V3996" s="318"/>
      <c r="W3996" s="318"/>
      <c r="X3996" s="318"/>
      <c r="Y3996" s="318"/>
      <c r="Z3996" s="318"/>
      <c r="AA3996" s="318"/>
      <c r="AB3996" s="318"/>
      <c r="AC3996" s="318"/>
      <c r="AD3996" s="318"/>
    </row>
    <row r="3997" spans="2:30" s="323" customFormat="1" ht="12" customHeight="1">
      <c r="B3997" s="324"/>
      <c r="C3997" s="325"/>
      <c r="D3997" s="326"/>
      <c r="E3997" s="326"/>
      <c r="F3997" s="326"/>
      <c r="G3997" s="326"/>
      <c r="H3997" s="326"/>
      <c r="P3997" s="318"/>
      <c r="Q3997" s="318"/>
      <c r="R3997" s="318"/>
      <c r="S3997" s="318"/>
      <c r="T3997" s="318"/>
      <c r="U3997" s="318"/>
      <c r="V3997" s="318"/>
      <c r="W3997" s="318"/>
      <c r="X3997" s="318"/>
      <c r="Y3997" s="318"/>
      <c r="Z3997" s="318"/>
      <c r="AA3997" s="318"/>
      <c r="AB3997" s="318"/>
      <c r="AC3997" s="318"/>
      <c r="AD3997" s="318"/>
    </row>
    <row r="3998" spans="2:30" s="323" customFormat="1" ht="12" customHeight="1">
      <c r="B3998" s="324"/>
      <c r="C3998" s="325"/>
      <c r="D3998" s="326"/>
      <c r="E3998" s="326"/>
      <c r="F3998" s="326"/>
      <c r="G3998" s="326"/>
      <c r="H3998" s="326"/>
      <c r="P3998" s="318"/>
      <c r="Q3998" s="318"/>
      <c r="R3998" s="318"/>
      <c r="S3998" s="318"/>
      <c r="T3998" s="318"/>
      <c r="U3998" s="318"/>
      <c r="V3998" s="318"/>
      <c r="W3998" s="318"/>
      <c r="X3998" s="318"/>
      <c r="Y3998" s="318"/>
      <c r="Z3998" s="318"/>
      <c r="AA3998" s="318"/>
      <c r="AB3998" s="318"/>
      <c r="AC3998" s="318"/>
      <c r="AD3998" s="318"/>
    </row>
    <row r="3999" spans="2:30" s="323" customFormat="1" ht="12" customHeight="1">
      <c r="B3999" s="324"/>
      <c r="C3999" s="325"/>
      <c r="D3999" s="326"/>
      <c r="E3999" s="326"/>
      <c r="F3999" s="326"/>
      <c r="G3999" s="326"/>
      <c r="H3999" s="326"/>
      <c r="P3999" s="318"/>
      <c r="Q3999" s="318"/>
      <c r="R3999" s="318"/>
      <c r="S3999" s="318"/>
      <c r="T3999" s="318"/>
      <c r="U3999" s="318"/>
      <c r="V3999" s="318"/>
      <c r="W3999" s="318"/>
      <c r="X3999" s="318"/>
      <c r="Y3999" s="318"/>
      <c r="Z3999" s="318"/>
      <c r="AA3999" s="318"/>
      <c r="AB3999" s="318"/>
      <c r="AC3999" s="318"/>
      <c r="AD3999" s="318"/>
    </row>
    <row r="4000" spans="2:30" s="323" customFormat="1" ht="12" customHeight="1">
      <c r="B4000" s="324"/>
      <c r="C4000" s="325"/>
      <c r="D4000" s="326"/>
      <c r="E4000" s="326"/>
      <c r="F4000" s="326"/>
      <c r="G4000" s="326"/>
      <c r="H4000" s="326"/>
      <c r="P4000" s="318"/>
      <c r="Q4000" s="318"/>
      <c r="R4000" s="318"/>
      <c r="S4000" s="318"/>
      <c r="T4000" s="318"/>
      <c r="U4000" s="318"/>
      <c r="V4000" s="318"/>
      <c r="W4000" s="318"/>
      <c r="X4000" s="318"/>
      <c r="Y4000" s="318"/>
      <c r="Z4000" s="318"/>
      <c r="AA4000" s="318"/>
      <c r="AB4000" s="318"/>
      <c r="AC4000" s="318"/>
      <c r="AD4000" s="318"/>
    </row>
    <row r="4001" spans="2:30" s="323" customFormat="1" ht="12" customHeight="1">
      <c r="B4001" s="324"/>
      <c r="C4001" s="325"/>
      <c r="D4001" s="326"/>
      <c r="E4001" s="326"/>
      <c r="F4001" s="326"/>
      <c r="G4001" s="326"/>
      <c r="H4001" s="326"/>
      <c r="P4001" s="318"/>
      <c r="Q4001" s="318"/>
      <c r="R4001" s="318"/>
      <c r="S4001" s="318"/>
      <c r="T4001" s="318"/>
      <c r="U4001" s="318"/>
      <c r="V4001" s="318"/>
      <c r="W4001" s="318"/>
      <c r="X4001" s="318"/>
      <c r="Y4001" s="318"/>
      <c r="Z4001" s="318"/>
      <c r="AA4001" s="318"/>
      <c r="AB4001" s="318"/>
      <c r="AC4001" s="318"/>
      <c r="AD4001" s="318"/>
    </row>
    <row r="4002" spans="2:30" s="323" customFormat="1" ht="12" customHeight="1">
      <c r="B4002" s="324"/>
      <c r="C4002" s="325"/>
      <c r="D4002" s="326"/>
      <c r="E4002" s="326"/>
      <c r="F4002" s="326"/>
      <c r="G4002" s="326"/>
      <c r="H4002" s="326"/>
      <c r="P4002" s="318"/>
      <c r="Q4002" s="318"/>
      <c r="R4002" s="318"/>
      <c r="S4002" s="318"/>
      <c r="T4002" s="318"/>
      <c r="U4002" s="318"/>
      <c r="V4002" s="318"/>
      <c r="W4002" s="318"/>
      <c r="X4002" s="318"/>
      <c r="Y4002" s="318"/>
      <c r="Z4002" s="318"/>
      <c r="AA4002" s="318"/>
      <c r="AB4002" s="318"/>
      <c r="AC4002" s="318"/>
      <c r="AD4002" s="318"/>
    </row>
    <row r="4003" spans="2:30" s="323" customFormat="1" ht="12" customHeight="1">
      <c r="B4003" s="324"/>
      <c r="C4003" s="325"/>
      <c r="D4003" s="326"/>
      <c r="E4003" s="326"/>
      <c r="F4003" s="326"/>
      <c r="G4003" s="326"/>
      <c r="H4003" s="326"/>
      <c r="P4003" s="318"/>
      <c r="Q4003" s="318"/>
      <c r="R4003" s="318"/>
      <c r="S4003" s="318"/>
      <c r="T4003" s="318"/>
      <c r="U4003" s="318"/>
      <c r="V4003" s="318"/>
      <c r="W4003" s="318"/>
      <c r="X4003" s="318"/>
      <c r="Y4003" s="318"/>
      <c r="Z4003" s="318"/>
      <c r="AA4003" s="318"/>
      <c r="AB4003" s="318"/>
      <c r="AC4003" s="318"/>
      <c r="AD4003" s="318"/>
    </row>
    <row r="4004" spans="2:30" s="323" customFormat="1" ht="12" customHeight="1">
      <c r="B4004" s="324"/>
      <c r="C4004" s="325"/>
      <c r="D4004" s="326"/>
      <c r="E4004" s="326"/>
      <c r="F4004" s="326"/>
      <c r="G4004" s="326"/>
      <c r="H4004" s="326"/>
      <c r="P4004" s="318"/>
      <c r="Q4004" s="318"/>
      <c r="R4004" s="318"/>
      <c r="S4004" s="318"/>
      <c r="T4004" s="318"/>
      <c r="U4004" s="318"/>
      <c r="V4004" s="318"/>
      <c r="W4004" s="318"/>
      <c r="X4004" s="318"/>
      <c r="Y4004" s="318"/>
      <c r="Z4004" s="318"/>
      <c r="AA4004" s="318"/>
      <c r="AB4004" s="318"/>
      <c r="AC4004" s="318"/>
      <c r="AD4004" s="318"/>
    </row>
    <row r="4005" spans="2:30" s="323" customFormat="1" ht="12" customHeight="1">
      <c r="B4005" s="324"/>
      <c r="C4005" s="325"/>
      <c r="D4005" s="326"/>
      <c r="E4005" s="326"/>
      <c r="F4005" s="326"/>
      <c r="G4005" s="326"/>
      <c r="H4005" s="326"/>
      <c r="P4005" s="318"/>
      <c r="Q4005" s="318"/>
      <c r="R4005" s="318"/>
      <c r="S4005" s="318"/>
      <c r="T4005" s="318"/>
      <c r="U4005" s="318"/>
      <c r="V4005" s="318"/>
      <c r="W4005" s="318"/>
      <c r="X4005" s="318"/>
      <c r="Y4005" s="318"/>
      <c r="Z4005" s="318"/>
      <c r="AA4005" s="318"/>
      <c r="AB4005" s="318"/>
      <c r="AC4005" s="318"/>
      <c r="AD4005" s="318"/>
    </row>
    <row r="4006" spans="2:30" s="323" customFormat="1" ht="12" customHeight="1">
      <c r="B4006" s="324"/>
      <c r="C4006" s="325"/>
      <c r="D4006" s="326"/>
      <c r="E4006" s="326"/>
      <c r="F4006" s="326"/>
      <c r="G4006" s="326"/>
      <c r="H4006" s="326"/>
      <c r="P4006" s="318"/>
      <c r="Q4006" s="318"/>
      <c r="R4006" s="318"/>
      <c r="S4006" s="318"/>
      <c r="T4006" s="318"/>
      <c r="U4006" s="318"/>
      <c r="V4006" s="318"/>
      <c r="W4006" s="318"/>
      <c r="X4006" s="318"/>
      <c r="Y4006" s="318"/>
      <c r="Z4006" s="318"/>
      <c r="AA4006" s="318"/>
      <c r="AB4006" s="318"/>
      <c r="AC4006" s="318"/>
      <c r="AD4006" s="318"/>
    </row>
    <row r="4007" spans="2:30" s="323" customFormat="1" ht="12" customHeight="1">
      <c r="B4007" s="324"/>
      <c r="C4007" s="325"/>
      <c r="D4007" s="326"/>
      <c r="E4007" s="326"/>
      <c r="F4007" s="326"/>
      <c r="G4007" s="326"/>
      <c r="H4007" s="326"/>
      <c r="P4007" s="318"/>
      <c r="Q4007" s="318"/>
      <c r="R4007" s="318"/>
      <c r="S4007" s="318"/>
      <c r="T4007" s="318"/>
      <c r="U4007" s="318"/>
      <c r="V4007" s="318"/>
      <c r="W4007" s="318"/>
      <c r="X4007" s="318"/>
      <c r="Y4007" s="318"/>
      <c r="Z4007" s="318"/>
      <c r="AA4007" s="318"/>
      <c r="AB4007" s="318"/>
      <c r="AC4007" s="318"/>
      <c r="AD4007" s="318"/>
    </row>
    <row r="4008" spans="2:30" s="323" customFormat="1" ht="12" customHeight="1">
      <c r="B4008" s="324"/>
      <c r="C4008" s="325"/>
      <c r="D4008" s="326"/>
      <c r="E4008" s="326"/>
      <c r="F4008" s="326"/>
      <c r="G4008" s="326"/>
      <c r="H4008" s="326"/>
      <c r="P4008" s="318"/>
      <c r="Q4008" s="318"/>
      <c r="R4008" s="318"/>
      <c r="S4008" s="318"/>
      <c r="T4008" s="318"/>
      <c r="U4008" s="318"/>
      <c r="V4008" s="318"/>
      <c r="W4008" s="318"/>
      <c r="X4008" s="318"/>
      <c r="Y4008" s="318"/>
      <c r="Z4008" s="318"/>
      <c r="AA4008" s="318"/>
      <c r="AB4008" s="318"/>
      <c r="AC4008" s="318"/>
      <c r="AD4008" s="318"/>
    </row>
    <row r="4009" spans="2:30" s="323" customFormat="1" ht="12" customHeight="1">
      <c r="B4009" s="324"/>
      <c r="C4009" s="325"/>
      <c r="D4009" s="326"/>
      <c r="E4009" s="326"/>
      <c r="F4009" s="326"/>
      <c r="G4009" s="326"/>
      <c r="H4009" s="326"/>
      <c r="P4009" s="318"/>
      <c r="Q4009" s="318"/>
      <c r="R4009" s="318"/>
      <c r="S4009" s="318"/>
      <c r="T4009" s="318"/>
      <c r="U4009" s="318"/>
      <c r="V4009" s="318"/>
      <c r="W4009" s="318"/>
      <c r="X4009" s="318"/>
      <c r="Y4009" s="318"/>
      <c r="Z4009" s="318"/>
      <c r="AA4009" s="318"/>
      <c r="AB4009" s="318"/>
      <c r="AC4009" s="318"/>
      <c r="AD4009" s="318"/>
    </row>
    <row r="4010" spans="2:30" s="323" customFormat="1" ht="12" customHeight="1">
      <c r="B4010" s="324"/>
      <c r="C4010" s="325"/>
      <c r="D4010" s="326"/>
      <c r="E4010" s="326"/>
      <c r="F4010" s="326"/>
      <c r="G4010" s="326"/>
      <c r="H4010" s="326"/>
      <c r="P4010" s="318"/>
      <c r="Q4010" s="318"/>
      <c r="R4010" s="318"/>
      <c r="S4010" s="318"/>
      <c r="T4010" s="318"/>
      <c r="U4010" s="318"/>
      <c r="V4010" s="318"/>
      <c r="W4010" s="318"/>
      <c r="X4010" s="318"/>
      <c r="Y4010" s="318"/>
      <c r="Z4010" s="318"/>
      <c r="AA4010" s="318"/>
      <c r="AB4010" s="318"/>
      <c r="AC4010" s="318"/>
      <c r="AD4010" s="318"/>
    </row>
    <row r="4011" spans="2:30" s="323" customFormat="1" ht="12" customHeight="1">
      <c r="B4011" s="324"/>
      <c r="C4011" s="325"/>
      <c r="D4011" s="326"/>
      <c r="E4011" s="326"/>
      <c r="F4011" s="326"/>
      <c r="G4011" s="326"/>
      <c r="H4011" s="326"/>
      <c r="P4011" s="318"/>
      <c r="Q4011" s="318"/>
      <c r="R4011" s="318"/>
      <c r="S4011" s="318"/>
      <c r="T4011" s="318"/>
      <c r="U4011" s="318"/>
      <c r="V4011" s="318"/>
      <c r="W4011" s="318"/>
      <c r="X4011" s="318"/>
      <c r="Y4011" s="318"/>
      <c r="Z4011" s="318"/>
      <c r="AA4011" s="318"/>
      <c r="AB4011" s="318"/>
      <c r="AC4011" s="318"/>
      <c r="AD4011" s="318"/>
    </row>
    <row r="4012" spans="2:30" s="323" customFormat="1" ht="12" customHeight="1">
      <c r="B4012" s="324"/>
      <c r="C4012" s="325"/>
      <c r="D4012" s="326"/>
      <c r="E4012" s="326"/>
      <c r="F4012" s="326"/>
      <c r="G4012" s="326"/>
      <c r="H4012" s="326"/>
      <c r="P4012" s="318"/>
      <c r="Q4012" s="318"/>
      <c r="R4012" s="318"/>
      <c r="S4012" s="318"/>
      <c r="T4012" s="318"/>
      <c r="U4012" s="318"/>
      <c r="V4012" s="318"/>
      <c r="W4012" s="318"/>
      <c r="X4012" s="318"/>
      <c r="Y4012" s="318"/>
      <c r="Z4012" s="318"/>
      <c r="AA4012" s="318"/>
      <c r="AB4012" s="318"/>
      <c r="AC4012" s="318"/>
      <c r="AD4012" s="318"/>
    </row>
    <row r="4013" spans="2:30" s="323" customFormat="1" ht="12" customHeight="1">
      <c r="B4013" s="324"/>
      <c r="C4013" s="325"/>
      <c r="D4013" s="326"/>
      <c r="E4013" s="326"/>
      <c r="F4013" s="326"/>
      <c r="G4013" s="326"/>
      <c r="H4013" s="326"/>
      <c r="P4013" s="318"/>
      <c r="Q4013" s="318"/>
      <c r="R4013" s="318"/>
      <c r="S4013" s="318"/>
      <c r="T4013" s="318"/>
      <c r="U4013" s="318"/>
      <c r="V4013" s="318"/>
      <c r="W4013" s="318"/>
      <c r="X4013" s="318"/>
      <c r="Y4013" s="318"/>
      <c r="Z4013" s="318"/>
      <c r="AA4013" s="318"/>
      <c r="AB4013" s="318"/>
      <c r="AC4013" s="318"/>
      <c r="AD4013" s="318"/>
    </row>
    <row r="4014" spans="2:30" s="323" customFormat="1" ht="12" customHeight="1">
      <c r="B4014" s="324"/>
      <c r="C4014" s="325"/>
      <c r="D4014" s="326"/>
      <c r="E4014" s="326"/>
      <c r="F4014" s="326"/>
      <c r="G4014" s="326"/>
      <c r="H4014" s="326"/>
      <c r="P4014" s="318"/>
      <c r="Q4014" s="318"/>
      <c r="R4014" s="318"/>
      <c r="S4014" s="318"/>
      <c r="T4014" s="318"/>
      <c r="U4014" s="318"/>
      <c r="V4014" s="318"/>
      <c r="W4014" s="318"/>
      <c r="X4014" s="318"/>
      <c r="Y4014" s="318"/>
      <c r="Z4014" s="318"/>
      <c r="AA4014" s="318"/>
      <c r="AB4014" s="318"/>
      <c r="AC4014" s="318"/>
      <c r="AD4014" s="318"/>
    </row>
    <row r="4015" spans="2:30" s="323" customFormat="1" ht="12" customHeight="1">
      <c r="B4015" s="324"/>
      <c r="C4015" s="325"/>
      <c r="D4015" s="326"/>
      <c r="E4015" s="326"/>
      <c r="F4015" s="326"/>
      <c r="G4015" s="326"/>
      <c r="H4015" s="326"/>
      <c r="P4015" s="318"/>
      <c r="Q4015" s="318"/>
      <c r="R4015" s="318"/>
      <c r="S4015" s="318"/>
      <c r="T4015" s="318"/>
      <c r="U4015" s="318"/>
      <c r="V4015" s="318"/>
      <c r="W4015" s="318"/>
      <c r="X4015" s="318"/>
      <c r="Y4015" s="318"/>
      <c r="Z4015" s="318"/>
      <c r="AA4015" s="318"/>
      <c r="AB4015" s="318"/>
      <c r="AC4015" s="318"/>
      <c r="AD4015" s="318"/>
    </row>
    <row r="4016" spans="2:30" s="323" customFormat="1" ht="12" customHeight="1">
      <c r="B4016" s="324"/>
      <c r="C4016" s="325"/>
      <c r="D4016" s="326"/>
      <c r="E4016" s="326"/>
      <c r="F4016" s="326"/>
      <c r="G4016" s="326"/>
      <c r="H4016" s="326"/>
      <c r="P4016" s="318"/>
      <c r="Q4016" s="318"/>
      <c r="R4016" s="318"/>
      <c r="S4016" s="318"/>
      <c r="T4016" s="318"/>
      <c r="U4016" s="318"/>
      <c r="V4016" s="318"/>
      <c r="W4016" s="318"/>
      <c r="X4016" s="318"/>
      <c r="Y4016" s="318"/>
      <c r="Z4016" s="318"/>
      <c r="AA4016" s="318"/>
      <c r="AB4016" s="318"/>
      <c r="AC4016" s="318"/>
      <c r="AD4016" s="318"/>
    </row>
    <row r="4017" spans="2:30" s="323" customFormat="1" ht="12" customHeight="1">
      <c r="B4017" s="324"/>
      <c r="C4017" s="325"/>
      <c r="D4017" s="326"/>
      <c r="E4017" s="326"/>
      <c r="F4017" s="326"/>
      <c r="G4017" s="326"/>
      <c r="H4017" s="326"/>
      <c r="P4017" s="318"/>
      <c r="Q4017" s="318"/>
      <c r="R4017" s="318"/>
      <c r="S4017" s="318"/>
      <c r="T4017" s="318"/>
      <c r="U4017" s="318"/>
      <c r="V4017" s="318"/>
      <c r="W4017" s="318"/>
      <c r="X4017" s="318"/>
      <c r="Y4017" s="318"/>
      <c r="Z4017" s="318"/>
      <c r="AA4017" s="318"/>
      <c r="AB4017" s="318"/>
      <c r="AC4017" s="318"/>
      <c r="AD4017" s="318"/>
    </row>
    <row r="4018" spans="2:30" s="323" customFormat="1" ht="12" customHeight="1">
      <c r="B4018" s="324"/>
      <c r="C4018" s="325"/>
      <c r="D4018" s="326"/>
      <c r="E4018" s="326"/>
      <c r="F4018" s="326"/>
      <c r="G4018" s="326"/>
      <c r="H4018" s="326"/>
      <c r="P4018" s="318"/>
      <c r="Q4018" s="318"/>
      <c r="R4018" s="318"/>
      <c r="S4018" s="318"/>
      <c r="T4018" s="318"/>
      <c r="U4018" s="318"/>
      <c r="V4018" s="318"/>
      <c r="W4018" s="318"/>
      <c r="X4018" s="318"/>
      <c r="Y4018" s="318"/>
      <c r="Z4018" s="318"/>
      <c r="AA4018" s="318"/>
      <c r="AB4018" s="318"/>
      <c r="AC4018" s="318"/>
      <c r="AD4018" s="318"/>
    </row>
    <row r="4019" spans="2:30" s="323" customFormat="1" ht="12" customHeight="1">
      <c r="B4019" s="324"/>
      <c r="C4019" s="325"/>
      <c r="D4019" s="326"/>
      <c r="E4019" s="326"/>
      <c r="F4019" s="326"/>
      <c r="G4019" s="326"/>
      <c r="H4019" s="326"/>
      <c r="P4019" s="318"/>
      <c r="Q4019" s="318"/>
      <c r="R4019" s="318"/>
      <c r="S4019" s="318"/>
      <c r="T4019" s="318"/>
      <c r="U4019" s="318"/>
      <c r="V4019" s="318"/>
      <c r="W4019" s="318"/>
      <c r="X4019" s="318"/>
      <c r="Y4019" s="318"/>
      <c r="Z4019" s="318"/>
      <c r="AA4019" s="318"/>
      <c r="AB4019" s="318"/>
      <c r="AC4019" s="318"/>
      <c r="AD4019" s="318"/>
    </row>
    <row r="4020" spans="2:30" s="323" customFormat="1" ht="12" customHeight="1">
      <c r="B4020" s="324"/>
      <c r="C4020" s="325"/>
      <c r="D4020" s="326"/>
      <c r="E4020" s="326"/>
      <c r="F4020" s="326"/>
      <c r="G4020" s="326"/>
      <c r="H4020" s="326"/>
      <c r="P4020" s="318"/>
      <c r="Q4020" s="318"/>
      <c r="R4020" s="318"/>
      <c r="S4020" s="318"/>
      <c r="T4020" s="318"/>
      <c r="U4020" s="318"/>
      <c r="V4020" s="318"/>
      <c r="W4020" s="318"/>
      <c r="X4020" s="318"/>
      <c r="Y4020" s="318"/>
      <c r="Z4020" s="318"/>
      <c r="AA4020" s="318"/>
      <c r="AB4020" s="318"/>
      <c r="AC4020" s="318"/>
      <c r="AD4020" s="318"/>
    </row>
    <row r="4021" spans="2:30" s="323" customFormat="1" ht="12" customHeight="1">
      <c r="B4021" s="324"/>
      <c r="C4021" s="325"/>
      <c r="D4021" s="326"/>
      <c r="E4021" s="326"/>
      <c r="F4021" s="326"/>
      <c r="G4021" s="326"/>
      <c r="H4021" s="326"/>
      <c r="P4021" s="318"/>
      <c r="Q4021" s="318"/>
      <c r="R4021" s="318"/>
      <c r="S4021" s="318"/>
      <c r="T4021" s="318"/>
      <c r="U4021" s="318"/>
      <c r="V4021" s="318"/>
      <c r="W4021" s="318"/>
      <c r="X4021" s="318"/>
      <c r="Y4021" s="318"/>
      <c r="Z4021" s="318"/>
      <c r="AA4021" s="318"/>
      <c r="AB4021" s="318"/>
      <c r="AC4021" s="318"/>
      <c r="AD4021" s="318"/>
    </row>
    <row r="4022" spans="2:30" s="323" customFormat="1" ht="12" customHeight="1">
      <c r="B4022" s="324"/>
      <c r="C4022" s="325"/>
      <c r="D4022" s="326"/>
      <c r="E4022" s="326"/>
      <c r="F4022" s="326"/>
      <c r="G4022" s="326"/>
      <c r="H4022" s="326"/>
      <c r="P4022" s="318"/>
      <c r="Q4022" s="318"/>
      <c r="R4022" s="318"/>
      <c r="S4022" s="318"/>
      <c r="T4022" s="318"/>
      <c r="U4022" s="318"/>
      <c r="V4022" s="318"/>
      <c r="W4022" s="318"/>
      <c r="X4022" s="318"/>
      <c r="Y4022" s="318"/>
      <c r="Z4022" s="318"/>
      <c r="AA4022" s="318"/>
      <c r="AB4022" s="318"/>
      <c r="AC4022" s="318"/>
      <c r="AD4022" s="318"/>
    </row>
    <row r="4023" spans="2:30" s="323" customFormat="1" ht="12" customHeight="1">
      <c r="B4023" s="324"/>
      <c r="C4023" s="325"/>
      <c r="D4023" s="326"/>
      <c r="E4023" s="326"/>
      <c r="F4023" s="326"/>
      <c r="G4023" s="326"/>
      <c r="H4023" s="326"/>
      <c r="P4023" s="318"/>
      <c r="Q4023" s="318"/>
      <c r="R4023" s="318"/>
      <c r="S4023" s="318"/>
      <c r="T4023" s="318"/>
      <c r="U4023" s="318"/>
      <c r="V4023" s="318"/>
      <c r="W4023" s="318"/>
      <c r="X4023" s="318"/>
      <c r="Y4023" s="318"/>
      <c r="Z4023" s="318"/>
      <c r="AA4023" s="318"/>
      <c r="AB4023" s="318"/>
      <c r="AC4023" s="318"/>
      <c r="AD4023" s="318"/>
    </row>
    <row r="4024" spans="2:30" s="323" customFormat="1" ht="12" customHeight="1">
      <c r="B4024" s="324"/>
      <c r="C4024" s="325"/>
      <c r="D4024" s="326"/>
      <c r="E4024" s="326"/>
      <c r="F4024" s="326"/>
      <c r="G4024" s="326"/>
      <c r="H4024" s="326"/>
      <c r="P4024" s="318"/>
      <c r="Q4024" s="318"/>
      <c r="R4024" s="318"/>
      <c r="S4024" s="318"/>
      <c r="T4024" s="318"/>
      <c r="U4024" s="318"/>
      <c r="V4024" s="318"/>
      <c r="W4024" s="318"/>
      <c r="X4024" s="318"/>
      <c r="Y4024" s="318"/>
      <c r="Z4024" s="318"/>
      <c r="AA4024" s="318"/>
      <c r="AB4024" s="318"/>
      <c r="AC4024" s="318"/>
      <c r="AD4024" s="318"/>
    </row>
    <row r="4025" spans="2:30" s="323" customFormat="1" ht="12" customHeight="1">
      <c r="B4025" s="324"/>
      <c r="C4025" s="325"/>
      <c r="D4025" s="326"/>
      <c r="E4025" s="326"/>
      <c r="F4025" s="326"/>
      <c r="G4025" s="326"/>
      <c r="H4025" s="326"/>
      <c r="P4025" s="318"/>
      <c r="Q4025" s="318"/>
      <c r="R4025" s="318"/>
      <c r="S4025" s="318"/>
      <c r="T4025" s="318"/>
      <c r="U4025" s="318"/>
      <c r="V4025" s="318"/>
      <c r="W4025" s="318"/>
      <c r="X4025" s="318"/>
      <c r="Y4025" s="318"/>
      <c r="Z4025" s="318"/>
      <c r="AA4025" s="318"/>
      <c r="AB4025" s="318"/>
      <c r="AC4025" s="318"/>
      <c r="AD4025" s="318"/>
    </row>
    <row r="4026" spans="2:30" s="323" customFormat="1" ht="12" customHeight="1">
      <c r="B4026" s="324"/>
      <c r="C4026" s="325"/>
      <c r="D4026" s="326"/>
      <c r="E4026" s="326"/>
      <c r="F4026" s="326"/>
      <c r="G4026" s="326"/>
      <c r="H4026" s="326"/>
      <c r="P4026" s="318"/>
      <c r="Q4026" s="318"/>
      <c r="R4026" s="318"/>
      <c r="S4026" s="318"/>
      <c r="T4026" s="318"/>
      <c r="U4026" s="318"/>
      <c r="V4026" s="318"/>
      <c r="W4026" s="318"/>
      <c r="X4026" s="318"/>
      <c r="Y4026" s="318"/>
      <c r="Z4026" s="318"/>
      <c r="AA4026" s="318"/>
      <c r="AB4026" s="318"/>
      <c r="AC4026" s="318"/>
      <c r="AD4026" s="318"/>
    </row>
    <row r="4027" spans="2:30" s="323" customFormat="1" ht="12" customHeight="1">
      <c r="B4027" s="324"/>
      <c r="C4027" s="325"/>
      <c r="D4027" s="326"/>
      <c r="E4027" s="326"/>
      <c r="F4027" s="326"/>
      <c r="G4027" s="326"/>
      <c r="H4027" s="326"/>
      <c r="P4027" s="318"/>
      <c r="Q4027" s="318"/>
      <c r="R4027" s="318"/>
      <c r="S4027" s="318"/>
      <c r="T4027" s="318"/>
      <c r="U4027" s="318"/>
      <c r="V4027" s="318"/>
      <c r="W4027" s="318"/>
      <c r="X4027" s="318"/>
      <c r="Y4027" s="318"/>
      <c r="Z4027" s="318"/>
      <c r="AA4027" s="318"/>
      <c r="AB4027" s="318"/>
      <c r="AC4027" s="318"/>
      <c r="AD4027" s="318"/>
    </row>
    <row r="4028" spans="2:30" s="323" customFormat="1" ht="12" customHeight="1">
      <c r="B4028" s="324"/>
      <c r="C4028" s="325"/>
      <c r="D4028" s="326"/>
      <c r="E4028" s="326"/>
      <c r="F4028" s="326"/>
      <c r="G4028" s="326"/>
      <c r="H4028" s="326"/>
      <c r="P4028" s="318"/>
      <c r="Q4028" s="318"/>
      <c r="R4028" s="318"/>
      <c r="S4028" s="318"/>
      <c r="T4028" s="318"/>
      <c r="U4028" s="318"/>
      <c r="V4028" s="318"/>
      <c r="W4028" s="318"/>
      <c r="X4028" s="318"/>
      <c r="Y4028" s="318"/>
      <c r="Z4028" s="318"/>
      <c r="AA4028" s="318"/>
      <c r="AB4028" s="318"/>
      <c r="AC4028" s="318"/>
      <c r="AD4028" s="318"/>
    </row>
    <row r="4029" spans="2:30" s="323" customFormat="1" ht="12" customHeight="1">
      <c r="B4029" s="324"/>
      <c r="C4029" s="325"/>
      <c r="D4029" s="326"/>
      <c r="E4029" s="326"/>
      <c r="F4029" s="326"/>
      <c r="G4029" s="326"/>
      <c r="H4029" s="326"/>
      <c r="P4029" s="318"/>
      <c r="Q4029" s="318"/>
      <c r="R4029" s="318"/>
      <c r="S4029" s="318"/>
      <c r="T4029" s="318"/>
      <c r="U4029" s="318"/>
      <c r="V4029" s="318"/>
      <c r="W4029" s="318"/>
      <c r="X4029" s="318"/>
      <c r="Y4029" s="318"/>
      <c r="Z4029" s="318"/>
      <c r="AA4029" s="318"/>
      <c r="AB4029" s="318"/>
      <c r="AC4029" s="318"/>
      <c r="AD4029" s="318"/>
    </row>
    <row r="4030" spans="2:30" s="323" customFormat="1" ht="12" customHeight="1">
      <c r="B4030" s="324"/>
      <c r="C4030" s="325"/>
      <c r="D4030" s="326"/>
      <c r="E4030" s="326"/>
      <c r="F4030" s="326"/>
      <c r="G4030" s="326"/>
      <c r="H4030" s="326"/>
      <c r="P4030" s="318"/>
      <c r="Q4030" s="318"/>
      <c r="R4030" s="318"/>
      <c r="S4030" s="318"/>
      <c r="T4030" s="318"/>
      <c r="U4030" s="318"/>
      <c r="V4030" s="318"/>
      <c r="W4030" s="318"/>
      <c r="X4030" s="318"/>
      <c r="Y4030" s="318"/>
      <c r="Z4030" s="318"/>
      <c r="AA4030" s="318"/>
      <c r="AB4030" s="318"/>
      <c r="AC4030" s="318"/>
      <c r="AD4030" s="318"/>
    </row>
    <row r="4031" spans="2:30" s="323" customFormat="1" ht="12" customHeight="1">
      <c r="B4031" s="324"/>
      <c r="C4031" s="325"/>
      <c r="D4031" s="326"/>
      <c r="E4031" s="326"/>
      <c r="F4031" s="326"/>
      <c r="G4031" s="326"/>
      <c r="H4031" s="326"/>
      <c r="P4031" s="318"/>
      <c r="Q4031" s="318"/>
      <c r="R4031" s="318"/>
      <c r="S4031" s="318"/>
      <c r="T4031" s="318"/>
      <c r="U4031" s="318"/>
      <c r="V4031" s="318"/>
      <c r="W4031" s="318"/>
      <c r="X4031" s="318"/>
      <c r="Y4031" s="318"/>
      <c r="Z4031" s="318"/>
      <c r="AA4031" s="318"/>
      <c r="AB4031" s="318"/>
      <c r="AC4031" s="318"/>
      <c r="AD4031" s="318"/>
    </row>
    <row r="4032" spans="2:30" s="323" customFormat="1" ht="12" customHeight="1">
      <c r="B4032" s="324"/>
      <c r="C4032" s="325"/>
      <c r="D4032" s="326"/>
      <c r="E4032" s="326"/>
      <c r="F4032" s="326"/>
      <c r="G4032" s="326"/>
      <c r="H4032" s="326"/>
      <c r="P4032" s="318"/>
      <c r="Q4032" s="318"/>
      <c r="R4032" s="318"/>
      <c r="S4032" s="318"/>
      <c r="T4032" s="318"/>
      <c r="U4032" s="318"/>
      <c r="V4032" s="318"/>
      <c r="W4032" s="318"/>
      <c r="X4032" s="318"/>
      <c r="Y4032" s="318"/>
      <c r="Z4032" s="318"/>
      <c r="AA4032" s="318"/>
      <c r="AB4032" s="318"/>
      <c r="AC4032" s="318"/>
      <c r="AD4032" s="318"/>
    </row>
    <row r="4033" spans="2:30" s="323" customFormat="1" ht="12" customHeight="1">
      <c r="B4033" s="324"/>
      <c r="C4033" s="325"/>
      <c r="D4033" s="326"/>
      <c r="E4033" s="326"/>
      <c r="F4033" s="326"/>
      <c r="G4033" s="326"/>
      <c r="H4033" s="326"/>
      <c r="P4033" s="318"/>
      <c r="Q4033" s="318"/>
      <c r="R4033" s="318"/>
      <c r="S4033" s="318"/>
      <c r="T4033" s="318"/>
      <c r="U4033" s="318"/>
      <c r="V4033" s="318"/>
      <c r="W4033" s="318"/>
      <c r="X4033" s="318"/>
      <c r="Y4033" s="318"/>
      <c r="Z4033" s="318"/>
      <c r="AA4033" s="318"/>
      <c r="AB4033" s="318"/>
      <c r="AC4033" s="318"/>
      <c r="AD4033" s="318"/>
    </row>
    <row r="4034" spans="2:30" s="323" customFormat="1" ht="12" customHeight="1">
      <c r="B4034" s="324"/>
      <c r="C4034" s="325"/>
      <c r="D4034" s="326"/>
      <c r="E4034" s="326"/>
      <c r="F4034" s="326"/>
      <c r="G4034" s="326"/>
      <c r="H4034" s="326"/>
      <c r="P4034" s="318"/>
      <c r="Q4034" s="318"/>
      <c r="R4034" s="318"/>
      <c r="S4034" s="318"/>
      <c r="T4034" s="318"/>
      <c r="U4034" s="318"/>
      <c r="V4034" s="318"/>
      <c r="W4034" s="318"/>
      <c r="X4034" s="318"/>
      <c r="Y4034" s="318"/>
      <c r="Z4034" s="318"/>
      <c r="AA4034" s="318"/>
      <c r="AB4034" s="318"/>
      <c r="AC4034" s="318"/>
      <c r="AD4034" s="318"/>
    </row>
    <row r="4035" spans="2:30" s="323" customFormat="1" ht="12" customHeight="1">
      <c r="B4035" s="324"/>
      <c r="C4035" s="325"/>
      <c r="D4035" s="326"/>
      <c r="E4035" s="326"/>
      <c r="F4035" s="326"/>
      <c r="G4035" s="326"/>
      <c r="H4035" s="326"/>
      <c r="P4035" s="318"/>
      <c r="Q4035" s="318"/>
      <c r="R4035" s="318"/>
      <c r="S4035" s="318"/>
      <c r="T4035" s="318"/>
      <c r="U4035" s="318"/>
      <c r="V4035" s="318"/>
      <c r="W4035" s="318"/>
      <c r="X4035" s="318"/>
      <c r="Y4035" s="318"/>
      <c r="Z4035" s="318"/>
      <c r="AA4035" s="318"/>
      <c r="AB4035" s="318"/>
      <c r="AC4035" s="318"/>
      <c r="AD4035" s="318"/>
    </row>
    <row r="4036" spans="2:30" s="323" customFormat="1" ht="12" customHeight="1">
      <c r="B4036" s="324"/>
      <c r="C4036" s="325"/>
      <c r="D4036" s="326"/>
      <c r="E4036" s="326"/>
      <c r="F4036" s="326"/>
      <c r="G4036" s="326"/>
      <c r="H4036" s="326"/>
      <c r="P4036" s="318"/>
      <c r="Q4036" s="318"/>
      <c r="R4036" s="318"/>
      <c r="S4036" s="318"/>
      <c r="T4036" s="318"/>
      <c r="U4036" s="318"/>
      <c r="V4036" s="318"/>
      <c r="W4036" s="318"/>
      <c r="X4036" s="318"/>
      <c r="Y4036" s="318"/>
      <c r="Z4036" s="318"/>
      <c r="AA4036" s="318"/>
      <c r="AB4036" s="318"/>
      <c r="AC4036" s="318"/>
      <c r="AD4036" s="318"/>
    </row>
    <row r="4037" spans="2:30" s="323" customFormat="1" ht="12" customHeight="1">
      <c r="B4037" s="324"/>
      <c r="C4037" s="325"/>
      <c r="D4037" s="326"/>
      <c r="E4037" s="326"/>
      <c r="F4037" s="326"/>
      <c r="G4037" s="326"/>
      <c r="H4037" s="326"/>
      <c r="P4037" s="318"/>
      <c r="Q4037" s="318"/>
      <c r="R4037" s="318"/>
      <c r="S4037" s="318"/>
      <c r="T4037" s="318"/>
      <c r="U4037" s="318"/>
      <c r="V4037" s="318"/>
      <c r="W4037" s="318"/>
      <c r="X4037" s="318"/>
      <c r="Y4037" s="318"/>
      <c r="Z4037" s="318"/>
      <c r="AA4037" s="318"/>
      <c r="AB4037" s="318"/>
      <c r="AC4037" s="318"/>
      <c r="AD4037" s="318"/>
    </row>
    <row r="4038" spans="2:30" s="323" customFormat="1" ht="12" customHeight="1">
      <c r="B4038" s="324"/>
      <c r="C4038" s="325"/>
      <c r="D4038" s="326"/>
      <c r="E4038" s="326"/>
      <c r="F4038" s="326"/>
      <c r="G4038" s="326"/>
      <c r="H4038" s="326"/>
      <c r="P4038" s="318"/>
      <c r="Q4038" s="318"/>
      <c r="R4038" s="318"/>
      <c r="S4038" s="318"/>
      <c r="T4038" s="318"/>
      <c r="U4038" s="318"/>
      <c r="V4038" s="318"/>
      <c r="W4038" s="318"/>
      <c r="X4038" s="318"/>
      <c r="Y4038" s="318"/>
      <c r="Z4038" s="318"/>
      <c r="AA4038" s="318"/>
      <c r="AB4038" s="318"/>
      <c r="AC4038" s="318"/>
      <c r="AD4038" s="318"/>
    </row>
    <row r="4039" spans="2:30" s="323" customFormat="1" ht="12" customHeight="1">
      <c r="B4039" s="324"/>
      <c r="C4039" s="325"/>
      <c r="D4039" s="326"/>
      <c r="E4039" s="326"/>
      <c r="F4039" s="326"/>
      <c r="G4039" s="326"/>
      <c r="H4039" s="326"/>
      <c r="P4039" s="318"/>
      <c r="Q4039" s="318"/>
      <c r="R4039" s="318"/>
      <c r="S4039" s="318"/>
      <c r="T4039" s="318"/>
      <c r="U4039" s="318"/>
      <c r="V4039" s="318"/>
      <c r="W4039" s="318"/>
      <c r="X4039" s="318"/>
      <c r="Y4039" s="318"/>
      <c r="Z4039" s="318"/>
      <c r="AA4039" s="318"/>
      <c r="AB4039" s="318"/>
      <c r="AC4039" s="318"/>
      <c r="AD4039" s="318"/>
    </row>
    <row r="4040" spans="2:30" s="323" customFormat="1" ht="12" customHeight="1">
      <c r="B4040" s="324"/>
      <c r="C4040" s="325"/>
      <c r="D4040" s="326"/>
      <c r="E4040" s="326"/>
      <c r="F4040" s="326"/>
      <c r="G4040" s="326"/>
      <c r="H4040" s="326"/>
      <c r="P4040" s="318"/>
      <c r="Q4040" s="318"/>
      <c r="R4040" s="318"/>
      <c r="S4040" s="318"/>
      <c r="T4040" s="318"/>
      <c r="U4040" s="318"/>
      <c r="V4040" s="318"/>
      <c r="W4040" s="318"/>
      <c r="X4040" s="318"/>
      <c r="Y4040" s="318"/>
      <c r="Z4040" s="318"/>
      <c r="AA4040" s="318"/>
      <c r="AB4040" s="318"/>
      <c r="AC4040" s="318"/>
      <c r="AD4040" s="318"/>
    </row>
    <row r="4041" spans="2:30" s="323" customFormat="1" ht="12" customHeight="1">
      <c r="B4041" s="324"/>
      <c r="C4041" s="325"/>
      <c r="D4041" s="326"/>
      <c r="E4041" s="326"/>
      <c r="F4041" s="326"/>
      <c r="G4041" s="326"/>
      <c r="H4041" s="326"/>
      <c r="P4041" s="318"/>
      <c r="Q4041" s="318"/>
      <c r="R4041" s="318"/>
      <c r="S4041" s="318"/>
      <c r="T4041" s="318"/>
      <c r="U4041" s="318"/>
      <c r="V4041" s="318"/>
      <c r="W4041" s="318"/>
      <c r="X4041" s="318"/>
      <c r="Y4041" s="318"/>
      <c r="Z4041" s="318"/>
      <c r="AA4041" s="318"/>
      <c r="AB4041" s="318"/>
      <c r="AC4041" s="318"/>
      <c r="AD4041" s="318"/>
    </row>
    <row r="4042" spans="2:30" s="323" customFormat="1" ht="12" customHeight="1">
      <c r="B4042" s="324"/>
      <c r="C4042" s="325"/>
      <c r="D4042" s="326"/>
      <c r="E4042" s="326"/>
      <c r="F4042" s="326"/>
      <c r="G4042" s="326"/>
      <c r="H4042" s="326"/>
      <c r="P4042" s="318"/>
      <c r="Q4042" s="318"/>
      <c r="R4042" s="318"/>
      <c r="S4042" s="318"/>
      <c r="T4042" s="318"/>
      <c r="U4042" s="318"/>
      <c r="V4042" s="318"/>
      <c r="W4042" s="318"/>
      <c r="X4042" s="318"/>
      <c r="Y4042" s="318"/>
      <c r="Z4042" s="318"/>
      <c r="AA4042" s="318"/>
      <c r="AB4042" s="318"/>
      <c r="AC4042" s="318"/>
      <c r="AD4042" s="318"/>
    </row>
    <row r="4043" spans="2:30" s="323" customFormat="1" ht="12" customHeight="1">
      <c r="B4043" s="324"/>
      <c r="C4043" s="325"/>
      <c r="D4043" s="326"/>
      <c r="E4043" s="326"/>
      <c r="F4043" s="326"/>
      <c r="G4043" s="326"/>
      <c r="H4043" s="326"/>
      <c r="P4043" s="318"/>
      <c r="Q4043" s="318"/>
      <c r="R4043" s="318"/>
      <c r="S4043" s="318"/>
      <c r="T4043" s="318"/>
      <c r="U4043" s="318"/>
      <c r="V4043" s="318"/>
      <c r="W4043" s="318"/>
      <c r="X4043" s="318"/>
      <c r="Y4043" s="318"/>
      <c r="Z4043" s="318"/>
      <c r="AA4043" s="318"/>
      <c r="AB4043" s="318"/>
      <c r="AC4043" s="318"/>
      <c r="AD4043" s="318"/>
    </row>
    <row r="4044" spans="2:30" s="323" customFormat="1" ht="12" customHeight="1">
      <c r="B4044" s="324"/>
      <c r="C4044" s="325"/>
      <c r="D4044" s="326"/>
      <c r="E4044" s="326"/>
      <c r="F4044" s="326"/>
      <c r="G4044" s="326"/>
      <c r="H4044" s="326"/>
      <c r="P4044" s="318"/>
      <c r="Q4044" s="318"/>
      <c r="R4044" s="318"/>
      <c r="S4044" s="318"/>
      <c r="T4044" s="318"/>
      <c r="U4044" s="318"/>
      <c r="V4044" s="318"/>
      <c r="W4044" s="318"/>
      <c r="X4044" s="318"/>
      <c r="Y4044" s="318"/>
      <c r="Z4044" s="318"/>
      <c r="AA4044" s="318"/>
      <c r="AB4044" s="318"/>
      <c r="AC4044" s="318"/>
      <c r="AD4044" s="318"/>
    </row>
    <row r="4045" spans="2:30" s="323" customFormat="1" ht="12" customHeight="1">
      <c r="B4045" s="324"/>
      <c r="C4045" s="325"/>
      <c r="D4045" s="326"/>
      <c r="E4045" s="326"/>
      <c r="F4045" s="326"/>
      <c r="G4045" s="326"/>
      <c r="H4045" s="326"/>
      <c r="P4045" s="318"/>
      <c r="Q4045" s="318"/>
      <c r="R4045" s="318"/>
      <c r="S4045" s="318"/>
      <c r="T4045" s="318"/>
      <c r="U4045" s="318"/>
      <c r="V4045" s="318"/>
      <c r="W4045" s="318"/>
      <c r="X4045" s="318"/>
      <c r="Y4045" s="318"/>
      <c r="Z4045" s="318"/>
      <c r="AA4045" s="318"/>
      <c r="AB4045" s="318"/>
      <c r="AC4045" s="318"/>
      <c r="AD4045" s="318"/>
    </row>
    <row r="4046" spans="2:30" s="323" customFormat="1" ht="12" customHeight="1">
      <c r="B4046" s="324"/>
      <c r="C4046" s="325"/>
      <c r="D4046" s="326"/>
      <c r="E4046" s="326"/>
      <c r="F4046" s="326"/>
      <c r="G4046" s="326"/>
      <c r="H4046" s="326"/>
      <c r="P4046" s="318"/>
      <c r="Q4046" s="318"/>
      <c r="R4046" s="318"/>
      <c r="S4046" s="318"/>
      <c r="T4046" s="318"/>
      <c r="U4046" s="318"/>
      <c r="V4046" s="318"/>
      <c r="W4046" s="318"/>
      <c r="X4046" s="318"/>
      <c r="Y4046" s="318"/>
      <c r="Z4046" s="318"/>
      <c r="AA4046" s="318"/>
      <c r="AB4046" s="318"/>
      <c r="AC4046" s="318"/>
      <c r="AD4046" s="318"/>
    </row>
    <row r="4047" spans="2:30" s="323" customFormat="1" ht="12" customHeight="1">
      <c r="B4047" s="324"/>
      <c r="C4047" s="325"/>
      <c r="D4047" s="326"/>
      <c r="E4047" s="326"/>
      <c r="F4047" s="326"/>
      <c r="G4047" s="326"/>
      <c r="H4047" s="326"/>
      <c r="P4047" s="318"/>
      <c r="Q4047" s="318"/>
      <c r="R4047" s="318"/>
      <c r="S4047" s="318"/>
      <c r="T4047" s="318"/>
      <c r="U4047" s="318"/>
      <c r="V4047" s="318"/>
      <c r="W4047" s="318"/>
      <c r="X4047" s="318"/>
      <c r="Y4047" s="318"/>
      <c r="Z4047" s="318"/>
      <c r="AA4047" s="318"/>
      <c r="AB4047" s="318"/>
      <c r="AC4047" s="318"/>
      <c r="AD4047" s="318"/>
    </row>
    <row r="4048" spans="2:30" s="323" customFormat="1" ht="12" customHeight="1">
      <c r="B4048" s="324"/>
      <c r="C4048" s="325"/>
      <c r="D4048" s="326"/>
      <c r="E4048" s="326"/>
      <c r="F4048" s="326"/>
      <c r="G4048" s="326"/>
      <c r="H4048" s="326"/>
      <c r="P4048" s="318"/>
      <c r="Q4048" s="318"/>
      <c r="R4048" s="318"/>
      <c r="S4048" s="318"/>
      <c r="T4048" s="318"/>
      <c r="U4048" s="318"/>
      <c r="V4048" s="318"/>
      <c r="W4048" s="318"/>
      <c r="X4048" s="318"/>
      <c r="Y4048" s="318"/>
      <c r="Z4048" s="318"/>
      <c r="AA4048" s="318"/>
      <c r="AB4048" s="318"/>
      <c r="AC4048" s="318"/>
      <c r="AD4048" s="318"/>
    </row>
    <row r="4049" spans="2:30" s="323" customFormat="1" ht="12" customHeight="1">
      <c r="B4049" s="324"/>
      <c r="C4049" s="325"/>
      <c r="D4049" s="326"/>
      <c r="E4049" s="326"/>
      <c r="F4049" s="326"/>
      <c r="G4049" s="326"/>
      <c r="H4049" s="326"/>
      <c r="P4049" s="318"/>
      <c r="Q4049" s="318"/>
      <c r="R4049" s="318"/>
      <c r="S4049" s="318"/>
      <c r="T4049" s="318"/>
      <c r="U4049" s="318"/>
      <c r="V4049" s="318"/>
      <c r="W4049" s="318"/>
      <c r="X4049" s="318"/>
      <c r="Y4049" s="318"/>
      <c r="Z4049" s="318"/>
      <c r="AA4049" s="318"/>
      <c r="AB4049" s="318"/>
      <c r="AC4049" s="318"/>
      <c r="AD4049" s="318"/>
    </row>
    <row r="4050" spans="2:30" s="323" customFormat="1" ht="12" customHeight="1">
      <c r="B4050" s="324"/>
      <c r="C4050" s="325"/>
      <c r="D4050" s="326"/>
      <c r="E4050" s="326"/>
      <c r="F4050" s="326"/>
      <c r="G4050" s="326"/>
      <c r="H4050" s="326"/>
      <c r="P4050" s="318"/>
      <c r="Q4050" s="318"/>
      <c r="R4050" s="318"/>
      <c r="S4050" s="318"/>
      <c r="T4050" s="318"/>
      <c r="U4050" s="318"/>
      <c r="V4050" s="318"/>
      <c r="W4050" s="318"/>
      <c r="X4050" s="318"/>
      <c r="Y4050" s="318"/>
      <c r="Z4050" s="318"/>
      <c r="AA4050" s="318"/>
      <c r="AB4050" s="318"/>
      <c r="AC4050" s="318"/>
      <c r="AD4050" s="318"/>
    </row>
    <row r="4051" spans="2:30" s="323" customFormat="1" ht="12" customHeight="1">
      <c r="B4051" s="324"/>
      <c r="C4051" s="325"/>
      <c r="D4051" s="326"/>
      <c r="E4051" s="326"/>
      <c r="F4051" s="326"/>
      <c r="G4051" s="326"/>
      <c r="H4051" s="326"/>
      <c r="P4051" s="318"/>
      <c r="Q4051" s="318"/>
      <c r="R4051" s="318"/>
      <c r="S4051" s="318"/>
      <c r="T4051" s="318"/>
      <c r="U4051" s="318"/>
      <c r="V4051" s="318"/>
      <c r="W4051" s="318"/>
      <c r="X4051" s="318"/>
      <c r="Y4051" s="318"/>
      <c r="Z4051" s="318"/>
      <c r="AA4051" s="318"/>
      <c r="AB4051" s="318"/>
      <c r="AC4051" s="318"/>
      <c r="AD4051" s="318"/>
    </row>
    <row r="4052" spans="2:30" s="323" customFormat="1" ht="12" customHeight="1">
      <c r="B4052" s="324"/>
      <c r="C4052" s="325"/>
      <c r="D4052" s="326"/>
      <c r="E4052" s="326"/>
      <c r="F4052" s="326"/>
      <c r="G4052" s="326"/>
      <c r="H4052" s="326"/>
      <c r="P4052" s="318"/>
      <c r="Q4052" s="318"/>
      <c r="R4052" s="318"/>
      <c r="S4052" s="318"/>
      <c r="T4052" s="318"/>
      <c r="U4052" s="318"/>
      <c r="V4052" s="318"/>
      <c r="W4052" s="318"/>
      <c r="X4052" s="318"/>
      <c r="Y4052" s="318"/>
      <c r="Z4052" s="318"/>
      <c r="AA4052" s="318"/>
      <c r="AB4052" s="318"/>
      <c r="AC4052" s="318"/>
      <c r="AD4052" s="318"/>
    </row>
    <row r="4053" spans="2:30" s="323" customFormat="1" ht="12" customHeight="1">
      <c r="B4053" s="324"/>
      <c r="C4053" s="325"/>
      <c r="D4053" s="326"/>
      <c r="E4053" s="326"/>
      <c r="F4053" s="326"/>
      <c r="G4053" s="326"/>
      <c r="H4053" s="326"/>
      <c r="P4053" s="318"/>
      <c r="Q4053" s="318"/>
      <c r="R4053" s="318"/>
      <c r="S4053" s="318"/>
      <c r="T4053" s="318"/>
      <c r="U4053" s="318"/>
      <c r="V4053" s="318"/>
      <c r="W4053" s="318"/>
      <c r="X4053" s="318"/>
      <c r="Y4053" s="318"/>
      <c r="Z4053" s="318"/>
      <c r="AA4053" s="318"/>
      <c r="AB4053" s="318"/>
      <c r="AC4053" s="318"/>
      <c r="AD4053" s="318"/>
    </row>
    <row r="4054" spans="2:30" s="323" customFormat="1" ht="12" customHeight="1">
      <c r="B4054" s="324"/>
      <c r="C4054" s="325"/>
      <c r="D4054" s="326"/>
      <c r="E4054" s="326"/>
      <c r="F4054" s="326"/>
      <c r="G4054" s="326"/>
      <c r="H4054" s="326"/>
      <c r="P4054" s="318"/>
      <c r="Q4054" s="318"/>
      <c r="R4054" s="318"/>
      <c r="S4054" s="318"/>
      <c r="T4054" s="318"/>
      <c r="U4054" s="318"/>
      <c r="V4054" s="318"/>
      <c r="W4054" s="318"/>
      <c r="X4054" s="318"/>
      <c r="Y4054" s="318"/>
      <c r="Z4054" s="318"/>
      <c r="AA4054" s="318"/>
      <c r="AB4054" s="318"/>
      <c r="AC4054" s="318"/>
      <c r="AD4054" s="318"/>
    </row>
    <row r="4055" spans="2:30" s="323" customFormat="1" ht="12" customHeight="1">
      <c r="B4055" s="324"/>
      <c r="C4055" s="325"/>
      <c r="D4055" s="326"/>
      <c r="E4055" s="326"/>
      <c r="F4055" s="326"/>
      <c r="G4055" s="326"/>
      <c r="H4055" s="326"/>
      <c r="P4055" s="318"/>
      <c r="Q4055" s="318"/>
      <c r="R4055" s="318"/>
      <c r="S4055" s="318"/>
      <c r="T4055" s="318"/>
      <c r="U4055" s="318"/>
      <c r="V4055" s="318"/>
      <c r="W4055" s="318"/>
      <c r="X4055" s="318"/>
      <c r="Y4055" s="318"/>
      <c r="Z4055" s="318"/>
      <c r="AA4055" s="318"/>
      <c r="AB4055" s="318"/>
      <c r="AC4055" s="318"/>
      <c r="AD4055" s="318"/>
    </row>
    <row r="4056" spans="2:30" s="323" customFormat="1" ht="12" customHeight="1">
      <c r="B4056" s="324"/>
      <c r="C4056" s="325"/>
      <c r="D4056" s="326"/>
      <c r="E4056" s="326"/>
      <c r="F4056" s="326"/>
      <c r="G4056" s="326"/>
      <c r="H4056" s="326"/>
      <c r="P4056" s="318"/>
      <c r="Q4056" s="318"/>
      <c r="R4056" s="318"/>
      <c r="S4056" s="318"/>
      <c r="T4056" s="318"/>
      <c r="U4056" s="318"/>
      <c r="V4056" s="318"/>
      <c r="W4056" s="318"/>
      <c r="X4056" s="318"/>
      <c r="Y4056" s="318"/>
      <c r="Z4056" s="318"/>
      <c r="AA4056" s="318"/>
      <c r="AB4056" s="318"/>
      <c r="AC4056" s="318"/>
      <c r="AD4056" s="318"/>
    </row>
    <row r="4057" spans="2:30" s="323" customFormat="1" ht="12" customHeight="1">
      <c r="B4057" s="324"/>
      <c r="C4057" s="325"/>
      <c r="D4057" s="326"/>
      <c r="E4057" s="326"/>
      <c r="F4057" s="326"/>
      <c r="G4057" s="326"/>
      <c r="H4057" s="326"/>
      <c r="P4057" s="318"/>
      <c r="Q4057" s="318"/>
      <c r="R4057" s="318"/>
      <c r="S4057" s="318"/>
      <c r="T4057" s="318"/>
      <c r="U4057" s="318"/>
      <c r="V4057" s="318"/>
      <c r="W4057" s="318"/>
      <c r="X4057" s="318"/>
      <c r="Y4057" s="318"/>
      <c r="Z4057" s="318"/>
      <c r="AA4057" s="318"/>
      <c r="AB4057" s="318"/>
      <c r="AC4057" s="318"/>
      <c r="AD4057" s="318"/>
    </row>
    <row r="4058" spans="2:30" s="323" customFormat="1" ht="12" customHeight="1">
      <c r="B4058" s="324"/>
      <c r="C4058" s="325"/>
      <c r="D4058" s="326"/>
      <c r="E4058" s="326"/>
      <c r="F4058" s="326"/>
      <c r="G4058" s="326"/>
      <c r="H4058" s="326"/>
      <c r="P4058" s="318"/>
      <c r="Q4058" s="318"/>
      <c r="R4058" s="318"/>
      <c r="S4058" s="318"/>
      <c r="T4058" s="318"/>
      <c r="U4058" s="318"/>
      <c r="V4058" s="318"/>
      <c r="W4058" s="318"/>
      <c r="X4058" s="318"/>
      <c r="Y4058" s="318"/>
      <c r="Z4058" s="318"/>
      <c r="AA4058" s="318"/>
      <c r="AB4058" s="318"/>
      <c r="AC4058" s="318"/>
      <c r="AD4058" s="318"/>
    </row>
    <row r="4059" spans="2:30" s="323" customFormat="1" ht="12" customHeight="1">
      <c r="B4059" s="324"/>
      <c r="C4059" s="325"/>
      <c r="D4059" s="326"/>
      <c r="E4059" s="326"/>
      <c r="F4059" s="326"/>
      <c r="G4059" s="326"/>
      <c r="H4059" s="326"/>
      <c r="P4059" s="318"/>
      <c r="Q4059" s="318"/>
      <c r="R4059" s="318"/>
      <c r="S4059" s="318"/>
      <c r="T4059" s="318"/>
      <c r="U4059" s="318"/>
      <c r="V4059" s="318"/>
      <c r="W4059" s="318"/>
      <c r="X4059" s="318"/>
      <c r="Y4059" s="318"/>
      <c r="Z4059" s="318"/>
      <c r="AA4059" s="318"/>
      <c r="AB4059" s="318"/>
      <c r="AC4059" s="318"/>
      <c r="AD4059" s="318"/>
    </row>
    <row r="4060" spans="2:30" s="323" customFormat="1" ht="12" customHeight="1">
      <c r="B4060" s="324"/>
      <c r="C4060" s="325"/>
      <c r="D4060" s="326"/>
      <c r="E4060" s="326"/>
      <c r="F4060" s="326"/>
      <c r="G4060" s="326"/>
      <c r="H4060" s="326"/>
      <c r="P4060" s="318"/>
      <c r="Q4060" s="318"/>
      <c r="R4060" s="318"/>
      <c r="S4060" s="318"/>
      <c r="T4060" s="318"/>
      <c r="U4060" s="318"/>
      <c r="V4060" s="318"/>
      <c r="W4060" s="318"/>
      <c r="X4060" s="318"/>
      <c r="Y4060" s="318"/>
      <c r="Z4060" s="318"/>
      <c r="AA4060" s="318"/>
      <c r="AB4060" s="318"/>
      <c r="AC4060" s="318"/>
      <c r="AD4060" s="318"/>
    </row>
    <row r="4061" spans="2:30" s="323" customFormat="1" ht="12" customHeight="1">
      <c r="B4061" s="324"/>
      <c r="C4061" s="325"/>
      <c r="D4061" s="326"/>
      <c r="E4061" s="326"/>
      <c r="F4061" s="326"/>
      <c r="G4061" s="326"/>
      <c r="H4061" s="326"/>
      <c r="P4061" s="318"/>
      <c r="Q4061" s="318"/>
      <c r="R4061" s="318"/>
      <c r="S4061" s="318"/>
      <c r="T4061" s="318"/>
      <c r="U4061" s="318"/>
      <c r="V4061" s="318"/>
      <c r="W4061" s="318"/>
      <c r="X4061" s="318"/>
      <c r="Y4061" s="318"/>
      <c r="Z4061" s="318"/>
      <c r="AA4061" s="318"/>
      <c r="AB4061" s="318"/>
      <c r="AC4061" s="318"/>
      <c r="AD4061" s="318"/>
    </row>
    <row r="4062" spans="2:30" s="323" customFormat="1" ht="12" customHeight="1">
      <c r="B4062" s="324"/>
      <c r="C4062" s="325"/>
      <c r="D4062" s="326"/>
      <c r="E4062" s="326"/>
      <c r="F4062" s="326"/>
      <c r="G4062" s="326"/>
      <c r="H4062" s="326"/>
      <c r="P4062" s="318"/>
      <c r="Q4062" s="318"/>
      <c r="R4062" s="318"/>
      <c r="S4062" s="318"/>
      <c r="T4062" s="318"/>
      <c r="U4062" s="318"/>
      <c r="V4062" s="318"/>
      <c r="W4062" s="318"/>
      <c r="X4062" s="318"/>
      <c r="Y4062" s="318"/>
      <c r="Z4062" s="318"/>
      <c r="AA4062" s="318"/>
      <c r="AB4062" s="318"/>
      <c r="AC4062" s="318"/>
      <c r="AD4062" s="318"/>
    </row>
    <row r="4063" spans="2:30" s="323" customFormat="1" ht="12" customHeight="1">
      <c r="B4063" s="324"/>
      <c r="C4063" s="325"/>
      <c r="D4063" s="326"/>
      <c r="E4063" s="326"/>
      <c r="F4063" s="326"/>
      <c r="G4063" s="326"/>
      <c r="H4063" s="326"/>
      <c r="P4063" s="318"/>
      <c r="Q4063" s="318"/>
      <c r="R4063" s="318"/>
      <c r="S4063" s="318"/>
      <c r="T4063" s="318"/>
      <c r="U4063" s="318"/>
      <c r="V4063" s="318"/>
      <c r="W4063" s="318"/>
      <c r="X4063" s="318"/>
      <c r="Y4063" s="318"/>
      <c r="Z4063" s="318"/>
      <c r="AA4063" s="318"/>
      <c r="AB4063" s="318"/>
      <c r="AC4063" s="318"/>
      <c r="AD4063" s="318"/>
    </row>
    <row r="4064" spans="2:30" s="323" customFormat="1" ht="12" customHeight="1">
      <c r="B4064" s="324"/>
      <c r="C4064" s="325"/>
      <c r="D4064" s="326"/>
      <c r="E4064" s="326"/>
      <c r="F4064" s="326"/>
      <c r="G4064" s="326"/>
      <c r="H4064" s="326"/>
      <c r="P4064" s="318"/>
      <c r="Q4064" s="318"/>
      <c r="R4064" s="318"/>
      <c r="S4064" s="318"/>
      <c r="T4064" s="318"/>
      <c r="U4064" s="318"/>
      <c r="V4064" s="318"/>
      <c r="W4064" s="318"/>
      <c r="X4064" s="318"/>
      <c r="Y4064" s="318"/>
      <c r="Z4064" s="318"/>
      <c r="AA4064" s="318"/>
      <c r="AB4064" s="318"/>
      <c r="AC4064" s="318"/>
      <c r="AD4064" s="318"/>
    </row>
    <row r="4065" spans="2:30" s="323" customFormat="1" ht="12" customHeight="1">
      <c r="B4065" s="324"/>
      <c r="C4065" s="325"/>
      <c r="D4065" s="326"/>
      <c r="E4065" s="326"/>
      <c r="F4065" s="326"/>
      <c r="G4065" s="326"/>
      <c r="H4065" s="326"/>
      <c r="P4065" s="318"/>
      <c r="Q4065" s="318"/>
      <c r="R4065" s="318"/>
      <c r="S4065" s="318"/>
      <c r="T4065" s="318"/>
      <c r="U4065" s="318"/>
      <c r="V4065" s="318"/>
      <c r="W4065" s="318"/>
      <c r="X4065" s="318"/>
      <c r="Y4065" s="318"/>
      <c r="Z4065" s="318"/>
      <c r="AA4065" s="318"/>
      <c r="AB4065" s="318"/>
      <c r="AC4065" s="318"/>
      <c r="AD4065" s="318"/>
    </row>
    <row r="4066" spans="2:30" s="323" customFormat="1" ht="12" customHeight="1">
      <c r="B4066" s="324"/>
      <c r="C4066" s="325"/>
      <c r="D4066" s="326"/>
      <c r="E4066" s="326"/>
      <c r="F4066" s="326"/>
      <c r="G4066" s="326"/>
      <c r="H4066" s="326"/>
      <c r="P4066" s="318"/>
      <c r="Q4066" s="318"/>
      <c r="R4066" s="318"/>
      <c r="S4066" s="318"/>
      <c r="T4066" s="318"/>
      <c r="U4066" s="318"/>
      <c r="V4066" s="318"/>
      <c r="W4066" s="318"/>
      <c r="X4066" s="318"/>
      <c r="Y4066" s="318"/>
      <c r="Z4066" s="318"/>
      <c r="AA4066" s="318"/>
      <c r="AB4066" s="318"/>
      <c r="AC4066" s="318"/>
      <c r="AD4066" s="318"/>
    </row>
    <row r="4067" spans="2:30" s="323" customFormat="1" ht="12" customHeight="1">
      <c r="B4067" s="324"/>
      <c r="C4067" s="325"/>
      <c r="D4067" s="326"/>
      <c r="E4067" s="326"/>
      <c r="F4067" s="326"/>
      <c r="G4067" s="326"/>
      <c r="H4067" s="326"/>
      <c r="P4067" s="318"/>
      <c r="Q4067" s="318"/>
      <c r="R4067" s="318"/>
      <c r="S4067" s="318"/>
      <c r="T4067" s="318"/>
      <c r="U4067" s="318"/>
      <c r="V4067" s="318"/>
      <c r="W4067" s="318"/>
      <c r="X4067" s="318"/>
      <c r="Y4067" s="318"/>
      <c r="Z4067" s="318"/>
      <c r="AA4067" s="318"/>
      <c r="AB4067" s="318"/>
      <c r="AC4067" s="318"/>
      <c r="AD4067" s="318"/>
    </row>
    <row r="4068" spans="2:30" s="323" customFormat="1" ht="12" customHeight="1">
      <c r="B4068" s="324"/>
      <c r="C4068" s="325"/>
      <c r="D4068" s="326"/>
      <c r="E4068" s="326"/>
      <c r="F4068" s="326"/>
      <c r="G4068" s="326"/>
      <c r="H4068" s="326"/>
      <c r="P4068" s="318"/>
      <c r="Q4068" s="318"/>
      <c r="R4068" s="318"/>
      <c r="S4068" s="318"/>
      <c r="T4068" s="318"/>
      <c r="U4068" s="318"/>
      <c r="V4068" s="318"/>
      <c r="W4068" s="318"/>
      <c r="X4068" s="318"/>
      <c r="Y4068" s="318"/>
      <c r="Z4068" s="318"/>
      <c r="AA4068" s="318"/>
      <c r="AB4068" s="318"/>
      <c r="AC4068" s="318"/>
      <c r="AD4068" s="318"/>
    </row>
    <row r="4069" spans="2:30" s="323" customFormat="1" ht="12" customHeight="1">
      <c r="B4069" s="324"/>
      <c r="C4069" s="325"/>
      <c r="D4069" s="326"/>
      <c r="E4069" s="326"/>
      <c r="F4069" s="326"/>
      <c r="G4069" s="326"/>
      <c r="H4069" s="326"/>
      <c r="P4069" s="318"/>
      <c r="Q4069" s="318"/>
      <c r="R4069" s="318"/>
      <c r="S4069" s="318"/>
      <c r="T4069" s="318"/>
      <c r="U4069" s="318"/>
      <c r="V4069" s="318"/>
      <c r="W4069" s="318"/>
      <c r="X4069" s="318"/>
      <c r="Y4069" s="318"/>
      <c r="Z4069" s="318"/>
      <c r="AA4069" s="318"/>
      <c r="AB4069" s="318"/>
      <c r="AC4069" s="318"/>
      <c r="AD4069" s="318"/>
    </row>
    <row r="4070" spans="2:30" s="323" customFormat="1" ht="12" customHeight="1">
      <c r="B4070" s="324"/>
      <c r="C4070" s="325"/>
      <c r="D4070" s="326"/>
      <c r="E4070" s="326"/>
      <c r="F4070" s="326"/>
      <c r="G4070" s="326"/>
      <c r="H4070" s="326"/>
      <c r="P4070" s="318"/>
      <c r="Q4070" s="318"/>
      <c r="R4070" s="318"/>
      <c r="S4070" s="318"/>
      <c r="T4070" s="318"/>
      <c r="U4070" s="318"/>
      <c r="V4070" s="318"/>
      <c r="W4070" s="318"/>
      <c r="X4070" s="318"/>
      <c r="Y4070" s="318"/>
      <c r="Z4070" s="318"/>
      <c r="AA4070" s="318"/>
      <c r="AB4070" s="318"/>
      <c r="AC4070" s="318"/>
      <c r="AD4070" s="318"/>
    </row>
    <row r="4071" spans="2:30" s="323" customFormat="1" ht="12" customHeight="1">
      <c r="B4071" s="324"/>
      <c r="C4071" s="325"/>
      <c r="D4071" s="326"/>
      <c r="E4071" s="326"/>
      <c r="F4071" s="326"/>
      <c r="G4071" s="326"/>
      <c r="H4071" s="326"/>
      <c r="P4071" s="318"/>
      <c r="Q4071" s="318"/>
      <c r="R4071" s="318"/>
      <c r="S4071" s="318"/>
      <c r="T4071" s="318"/>
      <c r="U4071" s="318"/>
      <c r="V4071" s="318"/>
      <c r="W4071" s="318"/>
      <c r="X4071" s="318"/>
      <c r="Y4071" s="318"/>
      <c r="Z4071" s="318"/>
      <c r="AA4071" s="318"/>
      <c r="AB4071" s="318"/>
      <c r="AC4071" s="318"/>
      <c r="AD4071" s="318"/>
    </row>
    <row r="4072" spans="2:30" s="323" customFormat="1" ht="12" customHeight="1">
      <c r="B4072" s="324"/>
      <c r="C4072" s="325"/>
      <c r="D4072" s="326"/>
      <c r="E4072" s="326"/>
      <c r="F4072" s="326"/>
      <c r="G4072" s="326"/>
      <c r="H4072" s="326"/>
      <c r="P4072" s="318"/>
      <c r="Q4072" s="318"/>
      <c r="R4072" s="318"/>
      <c r="S4072" s="318"/>
      <c r="T4072" s="318"/>
      <c r="U4072" s="318"/>
      <c r="V4072" s="318"/>
      <c r="W4072" s="318"/>
      <c r="X4072" s="318"/>
      <c r="Y4072" s="318"/>
      <c r="Z4072" s="318"/>
      <c r="AA4072" s="318"/>
      <c r="AB4072" s="318"/>
      <c r="AC4072" s="318"/>
      <c r="AD4072" s="318"/>
    </row>
    <row r="4073" spans="2:30" s="323" customFormat="1" ht="12" customHeight="1">
      <c r="B4073" s="324"/>
      <c r="C4073" s="325"/>
      <c r="D4073" s="326"/>
      <c r="E4073" s="326"/>
      <c r="F4073" s="326"/>
      <c r="G4073" s="326"/>
      <c r="H4073" s="326"/>
      <c r="P4073" s="318"/>
      <c r="Q4073" s="318"/>
      <c r="R4073" s="318"/>
      <c r="S4073" s="318"/>
      <c r="T4073" s="318"/>
      <c r="U4073" s="318"/>
      <c r="V4073" s="318"/>
      <c r="W4073" s="318"/>
      <c r="X4073" s="318"/>
      <c r="Y4073" s="318"/>
      <c r="Z4073" s="318"/>
      <c r="AA4073" s="318"/>
      <c r="AB4073" s="318"/>
      <c r="AC4073" s="318"/>
      <c r="AD4073" s="318"/>
    </row>
    <row r="4074" spans="2:30" s="323" customFormat="1" ht="12" customHeight="1">
      <c r="B4074" s="324"/>
      <c r="C4074" s="325"/>
      <c r="D4074" s="326"/>
      <c r="E4074" s="326"/>
      <c r="F4074" s="326"/>
      <c r="G4074" s="326"/>
      <c r="H4074" s="326"/>
      <c r="P4074" s="318"/>
      <c r="Q4074" s="318"/>
      <c r="R4074" s="318"/>
      <c r="S4074" s="318"/>
      <c r="T4074" s="318"/>
      <c r="U4074" s="318"/>
      <c r="V4074" s="318"/>
      <c r="W4074" s="318"/>
      <c r="X4074" s="318"/>
      <c r="Y4074" s="318"/>
      <c r="Z4074" s="318"/>
      <c r="AA4074" s="318"/>
      <c r="AB4074" s="318"/>
      <c r="AC4074" s="318"/>
      <c r="AD4074" s="318"/>
    </row>
    <row r="4075" spans="2:30" s="323" customFormat="1" ht="12" customHeight="1">
      <c r="B4075" s="324"/>
      <c r="C4075" s="325"/>
      <c r="D4075" s="326"/>
      <c r="E4075" s="326"/>
      <c r="F4075" s="326"/>
      <c r="G4075" s="326"/>
      <c r="H4075" s="326"/>
      <c r="P4075" s="318"/>
      <c r="Q4075" s="318"/>
      <c r="R4075" s="318"/>
      <c r="S4075" s="318"/>
      <c r="T4075" s="318"/>
      <c r="U4075" s="318"/>
      <c r="V4075" s="318"/>
      <c r="W4075" s="318"/>
      <c r="X4075" s="318"/>
      <c r="Y4075" s="318"/>
      <c r="Z4075" s="318"/>
      <c r="AA4075" s="318"/>
      <c r="AB4075" s="318"/>
      <c r="AC4075" s="318"/>
      <c r="AD4075" s="318"/>
    </row>
    <row r="4076" spans="2:30" s="323" customFormat="1" ht="12" customHeight="1">
      <c r="B4076" s="324"/>
      <c r="C4076" s="325"/>
      <c r="D4076" s="326"/>
      <c r="E4076" s="326"/>
      <c r="F4076" s="326"/>
      <c r="G4076" s="326"/>
      <c r="H4076" s="326"/>
      <c r="P4076" s="318"/>
      <c r="Q4076" s="318"/>
      <c r="R4076" s="318"/>
      <c r="S4076" s="318"/>
      <c r="T4076" s="318"/>
      <c r="U4076" s="318"/>
      <c r="V4076" s="318"/>
      <c r="W4076" s="318"/>
      <c r="X4076" s="318"/>
      <c r="Y4076" s="318"/>
      <c r="Z4076" s="318"/>
      <c r="AA4076" s="318"/>
      <c r="AB4076" s="318"/>
      <c r="AC4076" s="318"/>
      <c r="AD4076" s="318"/>
    </row>
    <row r="4077" spans="2:30" s="323" customFormat="1" ht="12" customHeight="1">
      <c r="B4077" s="324"/>
      <c r="C4077" s="325"/>
      <c r="D4077" s="326"/>
      <c r="E4077" s="326"/>
      <c r="F4077" s="326"/>
      <c r="G4077" s="326"/>
      <c r="H4077" s="326"/>
      <c r="P4077" s="318"/>
      <c r="Q4077" s="318"/>
      <c r="R4077" s="318"/>
      <c r="S4077" s="318"/>
      <c r="T4077" s="318"/>
      <c r="U4077" s="318"/>
      <c r="V4077" s="318"/>
      <c r="W4077" s="318"/>
      <c r="X4077" s="318"/>
      <c r="Y4077" s="318"/>
      <c r="Z4077" s="318"/>
      <c r="AA4077" s="318"/>
      <c r="AB4077" s="318"/>
      <c r="AC4077" s="318"/>
      <c r="AD4077" s="318"/>
    </row>
    <row r="4078" spans="2:30" s="323" customFormat="1" ht="12" customHeight="1">
      <c r="B4078" s="324"/>
      <c r="C4078" s="325"/>
      <c r="D4078" s="326"/>
      <c r="E4078" s="326"/>
      <c r="F4078" s="326"/>
      <c r="G4078" s="326"/>
      <c r="H4078" s="326"/>
      <c r="P4078" s="318"/>
      <c r="Q4078" s="318"/>
      <c r="R4078" s="318"/>
      <c r="S4078" s="318"/>
      <c r="T4078" s="318"/>
      <c r="U4078" s="318"/>
      <c r="V4078" s="318"/>
      <c r="W4078" s="318"/>
      <c r="X4078" s="318"/>
      <c r="Y4078" s="318"/>
      <c r="Z4078" s="318"/>
      <c r="AA4078" s="318"/>
      <c r="AB4078" s="318"/>
      <c r="AC4078" s="318"/>
      <c r="AD4078" s="318"/>
    </row>
    <row r="4079" spans="2:30" s="323" customFormat="1" ht="12" customHeight="1">
      <c r="B4079" s="324"/>
      <c r="C4079" s="325"/>
      <c r="D4079" s="326"/>
      <c r="E4079" s="326"/>
      <c r="F4079" s="326"/>
      <c r="G4079" s="326"/>
      <c r="H4079" s="326"/>
      <c r="P4079" s="318"/>
      <c r="Q4079" s="318"/>
      <c r="R4079" s="318"/>
      <c r="S4079" s="318"/>
      <c r="T4079" s="318"/>
      <c r="U4079" s="318"/>
      <c r="V4079" s="318"/>
      <c r="W4079" s="318"/>
      <c r="X4079" s="318"/>
      <c r="Y4079" s="318"/>
      <c r="Z4079" s="318"/>
      <c r="AA4079" s="318"/>
      <c r="AB4079" s="318"/>
      <c r="AC4079" s="318"/>
      <c r="AD4079" s="318"/>
    </row>
    <row r="4080" spans="2:30" s="323" customFormat="1" ht="12" customHeight="1">
      <c r="B4080" s="324"/>
      <c r="C4080" s="325"/>
      <c r="D4080" s="326"/>
      <c r="E4080" s="326"/>
      <c r="F4080" s="326"/>
      <c r="G4080" s="326"/>
      <c r="H4080" s="326"/>
      <c r="P4080" s="318"/>
      <c r="Q4080" s="318"/>
      <c r="R4080" s="318"/>
      <c r="S4080" s="318"/>
      <c r="T4080" s="318"/>
      <c r="U4080" s="318"/>
      <c r="V4080" s="318"/>
      <c r="W4080" s="318"/>
      <c r="X4080" s="318"/>
      <c r="Y4080" s="318"/>
      <c r="Z4080" s="318"/>
      <c r="AA4080" s="318"/>
      <c r="AB4080" s="318"/>
      <c r="AC4080" s="318"/>
      <c r="AD4080" s="318"/>
    </row>
    <row r="4081" spans="2:30" s="323" customFormat="1" ht="12" customHeight="1">
      <c r="B4081" s="324"/>
      <c r="C4081" s="325"/>
      <c r="D4081" s="326"/>
      <c r="E4081" s="326"/>
      <c r="F4081" s="326"/>
      <c r="G4081" s="326"/>
      <c r="H4081" s="326"/>
      <c r="P4081" s="318"/>
      <c r="Q4081" s="318"/>
      <c r="R4081" s="318"/>
      <c r="S4081" s="318"/>
      <c r="T4081" s="318"/>
      <c r="U4081" s="318"/>
      <c r="V4081" s="318"/>
      <c r="W4081" s="318"/>
      <c r="X4081" s="318"/>
      <c r="Y4081" s="318"/>
      <c r="Z4081" s="318"/>
      <c r="AA4081" s="318"/>
      <c r="AB4081" s="318"/>
      <c r="AC4081" s="318"/>
      <c r="AD4081" s="318"/>
    </row>
    <row r="4082" spans="2:30" s="323" customFormat="1" ht="12" customHeight="1">
      <c r="B4082" s="324"/>
      <c r="C4082" s="325"/>
      <c r="D4082" s="326"/>
      <c r="E4082" s="326"/>
      <c r="F4082" s="326"/>
      <c r="G4082" s="326"/>
      <c r="H4082" s="326"/>
      <c r="P4082" s="318"/>
      <c r="Q4082" s="318"/>
      <c r="R4082" s="318"/>
      <c r="S4082" s="318"/>
      <c r="T4082" s="318"/>
      <c r="U4082" s="318"/>
      <c r="V4082" s="318"/>
      <c r="W4082" s="318"/>
      <c r="X4082" s="318"/>
      <c r="Y4082" s="318"/>
      <c r="Z4082" s="318"/>
      <c r="AA4082" s="318"/>
      <c r="AB4082" s="318"/>
      <c r="AC4082" s="318"/>
      <c r="AD4082" s="318"/>
    </row>
    <row r="4083" spans="2:30" s="323" customFormat="1" ht="12" customHeight="1">
      <c r="B4083" s="324"/>
      <c r="C4083" s="325"/>
      <c r="D4083" s="326"/>
      <c r="E4083" s="326"/>
      <c r="F4083" s="326"/>
      <c r="G4083" s="326"/>
      <c r="H4083" s="326"/>
      <c r="P4083" s="318"/>
      <c r="Q4083" s="318"/>
      <c r="R4083" s="318"/>
      <c r="S4083" s="318"/>
      <c r="T4083" s="318"/>
      <c r="U4083" s="318"/>
      <c r="V4083" s="318"/>
      <c r="W4083" s="318"/>
      <c r="X4083" s="318"/>
      <c r="Y4083" s="318"/>
      <c r="Z4083" s="318"/>
      <c r="AA4083" s="318"/>
      <c r="AB4083" s="318"/>
      <c r="AC4083" s="318"/>
      <c r="AD4083" s="318"/>
    </row>
    <row r="4084" spans="2:30" s="323" customFormat="1" ht="12" customHeight="1">
      <c r="B4084" s="324"/>
      <c r="C4084" s="325"/>
      <c r="D4084" s="326"/>
      <c r="E4084" s="326"/>
      <c r="F4084" s="326"/>
      <c r="G4084" s="326"/>
      <c r="H4084" s="326"/>
      <c r="P4084" s="318"/>
      <c r="Q4084" s="318"/>
      <c r="R4084" s="318"/>
      <c r="S4084" s="318"/>
      <c r="T4084" s="318"/>
      <c r="U4084" s="318"/>
      <c r="V4084" s="318"/>
      <c r="W4084" s="318"/>
      <c r="X4084" s="318"/>
      <c r="Y4084" s="318"/>
      <c r="Z4084" s="318"/>
      <c r="AA4084" s="318"/>
      <c r="AB4084" s="318"/>
      <c r="AC4084" s="318"/>
      <c r="AD4084" s="318"/>
    </row>
    <row r="4085" spans="2:30" s="323" customFormat="1" ht="12" customHeight="1">
      <c r="B4085" s="324"/>
      <c r="C4085" s="325"/>
      <c r="D4085" s="326"/>
      <c r="E4085" s="326"/>
      <c r="F4085" s="326"/>
      <c r="G4085" s="326"/>
      <c r="H4085" s="326"/>
      <c r="P4085" s="318"/>
      <c r="Q4085" s="318"/>
      <c r="R4085" s="318"/>
      <c r="S4085" s="318"/>
      <c r="T4085" s="318"/>
      <c r="U4085" s="318"/>
      <c r="V4085" s="318"/>
      <c r="W4085" s="318"/>
      <c r="X4085" s="318"/>
      <c r="Y4085" s="318"/>
      <c r="Z4085" s="318"/>
      <c r="AA4085" s="318"/>
      <c r="AB4085" s="318"/>
      <c r="AC4085" s="318"/>
      <c r="AD4085" s="318"/>
    </row>
    <row r="4086" spans="2:30" s="323" customFormat="1" ht="12" customHeight="1">
      <c r="B4086" s="324"/>
      <c r="C4086" s="325"/>
      <c r="D4086" s="326"/>
      <c r="E4086" s="326"/>
      <c r="F4086" s="326"/>
      <c r="G4086" s="326"/>
      <c r="H4086" s="326"/>
      <c r="P4086" s="318"/>
      <c r="Q4086" s="318"/>
      <c r="R4086" s="318"/>
      <c r="S4086" s="318"/>
      <c r="T4086" s="318"/>
      <c r="U4086" s="318"/>
      <c r="V4086" s="318"/>
      <c r="W4086" s="318"/>
      <c r="X4086" s="318"/>
      <c r="Y4086" s="318"/>
      <c r="Z4086" s="318"/>
      <c r="AA4086" s="318"/>
      <c r="AB4086" s="318"/>
      <c r="AC4086" s="318"/>
      <c r="AD4086" s="318"/>
    </row>
    <row r="4087" spans="2:30" s="323" customFormat="1" ht="12" customHeight="1">
      <c r="B4087" s="324"/>
      <c r="C4087" s="325"/>
      <c r="D4087" s="326"/>
      <c r="E4087" s="326"/>
      <c r="F4087" s="326"/>
      <c r="G4087" s="326"/>
      <c r="H4087" s="326"/>
      <c r="P4087" s="318"/>
      <c r="Q4087" s="318"/>
      <c r="R4087" s="318"/>
      <c r="S4087" s="318"/>
      <c r="T4087" s="318"/>
      <c r="U4087" s="318"/>
      <c r="V4087" s="318"/>
      <c r="W4087" s="318"/>
      <c r="X4087" s="318"/>
      <c r="Y4087" s="318"/>
      <c r="Z4087" s="318"/>
      <c r="AA4087" s="318"/>
      <c r="AB4087" s="318"/>
      <c r="AC4087" s="318"/>
      <c r="AD4087" s="318"/>
    </row>
    <row r="4088" spans="2:30" s="323" customFormat="1" ht="12" customHeight="1">
      <c r="B4088" s="324"/>
      <c r="C4088" s="325"/>
      <c r="D4088" s="326"/>
      <c r="E4088" s="326"/>
      <c r="F4088" s="326"/>
      <c r="G4088" s="326"/>
      <c r="H4088" s="326"/>
      <c r="P4088" s="318"/>
      <c r="Q4088" s="318"/>
      <c r="R4088" s="318"/>
      <c r="S4088" s="318"/>
      <c r="T4088" s="318"/>
      <c r="U4088" s="318"/>
      <c r="V4088" s="318"/>
      <c r="W4088" s="318"/>
      <c r="X4088" s="318"/>
      <c r="Y4088" s="318"/>
      <c r="Z4088" s="318"/>
      <c r="AA4088" s="318"/>
      <c r="AB4088" s="318"/>
      <c r="AC4088" s="318"/>
      <c r="AD4088" s="318"/>
    </row>
    <row r="4089" spans="2:30" s="323" customFormat="1" ht="12" customHeight="1">
      <c r="B4089" s="324"/>
      <c r="C4089" s="325"/>
      <c r="D4089" s="326"/>
      <c r="E4089" s="326"/>
      <c r="F4089" s="326"/>
      <c r="G4089" s="326"/>
      <c r="H4089" s="326"/>
      <c r="P4089" s="318"/>
      <c r="Q4089" s="318"/>
      <c r="R4089" s="318"/>
      <c r="S4089" s="318"/>
      <c r="T4089" s="318"/>
      <c r="U4089" s="318"/>
      <c r="V4089" s="318"/>
      <c r="W4089" s="318"/>
      <c r="X4089" s="318"/>
      <c r="Y4089" s="318"/>
      <c r="Z4089" s="318"/>
      <c r="AA4089" s="318"/>
      <c r="AB4089" s="318"/>
      <c r="AC4089" s="318"/>
      <c r="AD4089" s="318"/>
    </row>
    <row r="4090" spans="2:30" s="323" customFormat="1" ht="12" customHeight="1">
      <c r="B4090" s="324"/>
      <c r="C4090" s="325"/>
      <c r="D4090" s="326"/>
      <c r="E4090" s="326"/>
      <c r="F4090" s="326"/>
      <c r="G4090" s="326"/>
      <c r="H4090" s="326"/>
      <c r="P4090" s="318"/>
      <c r="Q4090" s="318"/>
      <c r="R4090" s="318"/>
      <c r="S4090" s="318"/>
      <c r="T4090" s="318"/>
      <c r="U4090" s="318"/>
      <c r="V4090" s="318"/>
      <c r="W4090" s="318"/>
      <c r="X4090" s="318"/>
      <c r="Y4090" s="318"/>
      <c r="Z4090" s="318"/>
      <c r="AA4090" s="318"/>
      <c r="AB4090" s="318"/>
      <c r="AC4090" s="318"/>
      <c r="AD4090" s="318"/>
    </row>
    <row r="4091" spans="2:30" s="323" customFormat="1" ht="12" customHeight="1">
      <c r="B4091" s="324"/>
      <c r="C4091" s="325"/>
      <c r="D4091" s="326"/>
      <c r="E4091" s="326"/>
      <c r="F4091" s="326"/>
      <c r="G4091" s="326"/>
      <c r="H4091" s="326"/>
      <c r="P4091" s="318"/>
      <c r="Q4091" s="318"/>
      <c r="R4091" s="318"/>
      <c r="S4091" s="318"/>
      <c r="T4091" s="318"/>
      <c r="U4091" s="318"/>
      <c r="V4091" s="318"/>
      <c r="W4091" s="318"/>
      <c r="X4091" s="318"/>
      <c r="Y4091" s="318"/>
      <c r="Z4091" s="318"/>
      <c r="AA4091" s="318"/>
      <c r="AB4091" s="318"/>
      <c r="AC4091" s="318"/>
      <c r="AD4091" s="318"/>
    </row>
    <row r="4092" spans="2:30" s="323" customFormat="1" ht="12" customHeight="1">
      <c r="B4092" s="324"/>
      <c r="C4092" s="325"/>
      <c r="D4092" s="326"/>
      <c r="E4092" s="326"/>
      <c r="F4092" s="326"/>
      <c r="G4092" s="326"/>
      <c r="H4092" s="326"/>
      <c r="P4092" s="318"/>
      <c r="Q4092" s="318"/>
      <c r="R4092" s="318"/>
      <c r="S4092" s="318"/>
      <c r="T4092" s="318"/>
      <c r="U4092" s="318"/>
      <c r="V4092" s="318"/>
      <c r="W4092" s="318"/>
      <c r="X4092" s="318"/>
      <c r="Y4092" s="318"/>
      <c r="Z4092" s="318"/>
      <c r="AA4092" s="318"/>
      <c r="AB4092" s="318"/>
      <c r="AC4092" s="318"/>
      <c r="AD4092" s="318"/>
    </row>
    <row r="4093" spans="2:30" s="323" customFormat="1" ht="12" customHeight="1">
      <c r="B4093" s="324"/>
      <c r="C4093" s="325"/>
      <c r="D4093" s="326"/>
      <c r="E4093" s="326"/>
      <c r="F4093" s="326"/>
      <c r="G4093" s="326"/>
      <c r="H4093" s="326"/>
      <c r="P4093" s="318"/>
      <c r="Q4093" s="318"/>
      <c r="R4093" s="318"/>
      <c r="S4093" s="318"/>
      <c r="T4093" s="318"/>
      <c r="U4093" s="318"/>
      <c r="V4093" s="318"/>
      <c r="W4093" s="318"/>
      <c r="X4093" s="318"/>
      <c r="Y4093" s="318"/>
      <c r="Z4093" s="318"/>
      <c r="AA4093" s="318"/>
      <c r="AB4093" s="318"/>
      <c r="AC4093" s="318"/>
      <c r="AD4093" s="318"/>
    </row>
    <row r="4094" spans="2:30" s="323" customFormat="1" ht="12" customHeight="1">
      <c r="B4094" s="324"/>
      <c r="C4094" s="325"/>
      <c r="D4094" s="326"/>
      <c r="E4094" s="326"/>
      <c r="F4094" s="326"/>
      <c r="G4094" s="326"/>
      <c r="H4094" s="326"/>
      <c r="P4094" s="318"/>
      <c r="Q4094" s="318"/>
      <c r="R4094" s="318"/>
      <c r="S4094" s="318"/>
      <c r="T4094" s="318"/>
      <c r="U4094" s="318"/>
      <c r="V4094" s="318"/>
      <c r="W4094" s="318"/>
      <c r="X4094" s="318"/>
      <c r="Y4094" s="318"/>
      <c r="Z4094" s="318"/>
      <c r="AA4094" s="318"/>
      <c r="AB4094" s="318"/>
      <c r="AC4094" s="318"/>
      <c r="AD4094" s="318"/>
    </row>
    <row r="4095" spans="2:30" s="323" customFormat="1" ht="12" customHeight="1">
      <c r="B4095" s="324"/>
      <c r="C4095" s="325"/>
      <c r="D4095" s="326"/>
      <c r="E4095" s="326"/>
      <c r="F4095" s="326"/>
      <c r="G4095" s="326"/>
      <c r="H4095" s="326"/>
      <c r="P4095" s="318"/>
      <c r="Q4095" s="318"/>
      <c r="R4095" s="318"/>
      <c r="S4095" s="318"/>
      <c r="T4095" s="318"/>
      <c r="U4095" s="318"/>
      <c r="V4095" s="318"/>
      <c r="W4095" s="318"/>
      <c r="X4095" s="318"/>
      <c r="Y4095" s="318"/>
      <c r="Z4095" s="318"/>
      <c r="AA4095" s="318"/>
      <c r="AB4095" s="318"/>
      <c r="AC4095" s="318"/>
      <c r="AD4095" s="318"/>
    </row>
    <row r="4096" spans="2:30" s="323" customFormat="1" ht="12" customHeight="1">
      <c r="B4096" s="324"/>
      <c r="C4096" s="325"/>
      <c r="D4096" s="326"/>
      <c r="E4096" s="326"/>
      <c r="F4096" s="326"/>
      <c r="G4096" s="326"/>
      <c r="H4096" s="326"/>
      <c r="P4096" s="318"/>
      <c r="Q4096" s="318"/>
      <c r="R4096" s="318"/>
      <c r="S4096" s="318"/>
      <c r="T4096" s="318"/>
      <c r="U4096" s="318"/>
      <c r="V4096" s="318"/>
      <c r="W4096" s="318"/>
      <c r="X4096" s="318"/>
      <c r="Y4096" s="318"/>
      <c r="Z4096" s="318"/>
      <c r="AA4096" s="318"/>
      <c r="AB4096" s="318"/>
      <c r="AC4096" s="318"/>
      <c r="AD4096" s="318"/>
    </row>
    <row r="4097" spans="2:30" s="323" customFormat="1" ht="12" customHeight="1">
      <c r="B4097" s="324"/>
      <c r="C4097" s="325"/>
      <c r="D4097" s="326"/>
      <c r="E4097" s="326"/>
      <c r="F4097" s="326"/>
      <c r="G4097" s="326"/>
      <c r="H4097" s="326"/>
      <c r="P4097" s="318"/>
      <c r="Q4097" s="318"/>
      <c r="R4097" s="318"/>
      <c r="S4097" s="318"/>
      <c r="T4097" s="318"/>
      <c r="U4097" s="318"/>
      <c r="V4097" s="318"/>
      <c r="W4097" s="318"/>
      <c r="X4097" s="318"/>
      <c r="Y4097" s="318"/>
      <c r="Z4097" s="318"/>
      <c r="AA4097" s="318"/>
      <c r="AB4097" s="318"/>
      <c r="AC4097" s="318"/>
      <c r="AD4097" s="318"/>
    </row>
    <row r="4098" spans="2:30" s="323" customFormat="1" ht="12" customHeight="1">
      <c r="B4098" s="324"/>
      <c r="C4098" s="325"/>
      <c r="D4098" s="326"/>
      <c r="E4098" s="326"/>
      <c r="F4098" s="326"/>
      <c r="G4098" s="326"/>
      <c r="H4098" s="326"/>
      <c r="P4098" s="318"/>
      <c r="Q4098" s="318"/>
      <c r="R4098" s="318"/>
      <c r="S4098" s="318"/>
      <c r="T4098" s="318"/>
      <c r="U4098" s="318"/>
      <c r="V4098" s="318"/>
      <c r="W4098" s="318"/>
      <c r="X4098" s="318"/>
      <c r="Y4098" s="318"/>
      <c r="Z4098" s="318"/>
      <c r="AA4098" s="318"/>
      <c r="AB4098" s="318"/>
      <c r="AC4098" s="318"/>
      <c r="AD4098" s="318"/>
    </row>
    <row r="4099" spans="2:30" s="323" customFormat="1" ht="12" customHeight="1">
      <c r="B4099" s="324"/>
      <c r="C4099" s="325"/>
      <c r="D4099" s="326"/>
      <c r="E4099" s="326"/>
      <c r="F4099" s="326"/>
      <c r="G4099" s="326"/>
      <c r="H4099" s="326"/>
      <c r="P4099" s="318"/>
      <c r="Q4099" s="318"/>
      <c r="R4099" s="318"/>
      <c r="S4099" s="318"/>
      <c r="T4099" s="318"/>
      <c r="U4099" s="318"/>
      <c r="V4099" s="318"/>
      <c r="W4099" s="318"/>
      <c r="X4099" s="318"/>
      <c r="Y4099" s="318"/>
      <c r="Z4099" s="318"/>
      <c r="AA4099" s="318"/>
      <c r="AB4099" s="318"/>
      <c r="AC4099" s="318"/>
      <c r="AD4099" s="318"/>
    </row>
    <row r="4100" spans="2:30" s="323" customFormat="1" ht="12" customHeight="1">
      <c r="B4100" s="324"/>
      <c r="C4100" s="325"/>
      <c r="D4100" s="326"/>
      <c r="E4100" s="326"/>
      <c r="F4100" s="326"/>
      <c r="G4100" s="326"/>
      <c r="H4100" s="326"/>
      <c r="P4100" s="318"/>
      <c r="Q4100" s="318"/>
      <c r="R4100" s="318"/>
      <c r="S4100" s="318"/>
      <c r="T4100" s="318"/>
      <c r="U4100" s="318"/>
      <c r="V4100" s="318"/>
      <c r="W4100" s="318"/>
      <c r="X4100" s="318"/>
      <c r="Y4100" s="318"/>
      <c r="Z4100" s="318"/>
      <c r="AA4100" s="318"/>
      <c r="AB4100" s="318"/>
      <c r="AC4100" s="318"/>
      <c r="AD4100" s="318"/>
    </row>
    <row r="4101" spans="2:30" s="323" customFormat="1" ht="12" customHeight="1">
      <c r="B4101" s="324"/>
      <c r="C4101" s="325"/>
      <c r="D4101" s="326"/>
      <c r="E4101" s="326"/>
      <c r="F4101" s="326"/>
      <c r="G4101" s="326"/>
      <c r="H4101" s="326"/>
      <c r="P4101" s="318"/>
      <c r="Q4101" s="318"/>
      <c r="R4101" s="318"/>
      <c r="S4101" s="318"/>
      <c r="T4101" s="318"/>
      <c r="U4101" s="318"/>
      <c r="V4101" s="318"/>
      <c r="W4101" s="318"/>
      <c r="X4101" s="318"/>
      <c r="Y4101" s="318"/>
      <c r="Z4101" s="318"/>
      <c r="AA4101" s="318"/>
      <c r="AB4101" s="318"/>
      <c r="AC4101" s="318"/>
      <c r="AD4101" s="318"/>
    </row>
    <row r="4102" spans="2:30" s="323" customFormat="1" ht="12" customHeight="1">
      <c r="B4102" s="324"/>
      <c r="C4102" s="325"/>
      <c r="D4102" s="326"/>
      <c r="E4102" s="326"/>
      <c r="F4102" s="326"/>
      <c r="G4102" s="326"/>
      <c r="H4102" s="326"/>
      <c r="P4102" s="318"/>
      <c r="Q4102" s="318"/>
      <c r="R4102" s="318"/>
      <c r="S4102" s="318"/>
      <c r="T4102" s="318"/>
      <c r="U4102" s="318"/>
      <c r="V4102" s="318"/>
      <c r="W4102" s="318"/>
      <c r="X4102" s="318"/>
      <c r="Y4102" s="318"/>
      <c r="Z4102" s="318"/>
      <c r="AA4102" s="318"/>
      <c r="AB4102" s="318"/>
      <c r="AC4102" s="318"/>
      <c r="AD4102" s="318"/>
    </row>
    <row r="4103" spans="2:30" s="323" customFormat="1" ht="12" customHeight="1">
      <c r="B4103" s="324"/>
      <c r="C4103" s="325"/>
      <c r="D4103" s="326"/>
      <c r="E4103" s="326"/>
      <c r="F4103" s="326"/>
      <c r="G4103" s="326"/>
      <c r="H4103" s="326"/>
      <c r="P4103" s="318"/>
      <c r="Q4103" s="318"/>
      <c r="R4103" s="318"/>
      <c r="S4103" s="318"/>
      <c r="T4103" s="318"/>
      <c r="U4103" s="318"/>
      <c r="V4103" s="318"/>
      <c r="W4103" s="318"/>
      <c r="X4103" s="318"/>
      <c r="Y4103" s="318"/>
      <c r="Z4103" s="318"/>
      <c r="AA4103" s="318"/>
      <c r="AB4103" s="318"/>
      <c r="AC4103" s="318"/>
      <c r="AD4103" s="318"/>
    </row>
    <row r="4104" spans="2:30" s="323" customFormat="1" ht="12" customHeight="1">
      <c r="B4104" s="324"/>
      <c r="C4104" s="325"/>
      <c r="D4104" s="326"/>
      <c r="E4104" s="326"/>
      <c r="F4104" s="326"/>
      <c r="G4104" s="326"/>
      <c r="H4104" s="326"/>
      <c r="P4104" s="318"/>
      <c r="Q4104" s="318"/>
      <c r="R4104" s="318"/>
      <c r="S4104" s="318"/>
      <c r="T4104" s="318"/>
      <c r="U4104" s="318"/>
      <c r="V4104" s="318"/>
      <c r="W4104" s="318"/>
      <c r="X4104" s="318"/>
      <c r="Y4104" s="318"/>
      <c r="Z4104" s="318"/>
      <c r="AA4104" s="318"/>
      <c r="AB4104" s="318"/>
      <c r="AC4104" s="318"/>
      <c r="AD4104" s="318"/>
    </row>
    <row r="4105" spans="2:30" s="323" customFormat="1" ht="12" customHeight="1">
      <c r="B4105" s="324"/>
      <c r="C4105" s="325"/>
      <c r="D4105" s="326"/>
      <c r="E4105" s="326"/>
      <c r="F4105" s="326"/>
      <c r="G4105" s="326"/>
      <c r="H4105" s="326"/>
      <c r="P4105" s="318"/>
      <c r="Q4105" s="318"/>
      <c r="R4105" s="318"/>
      <c r="S4105" s="318"/>
      <c r="T4105" s="318"/>
      <c r="U4105" s="318"/>
      <c r="V4105" s="318"/>
      <c r="W4105" s="318"/>
      <c r="X4105" s="318"/>
      <c r="Y4105" s="318"/>
      <c r="Z4105" s="318"/>
      <c r="AA4105" s="318"/>
      <c r="AB4105" s="318"/>
      <c r="AC4105" s="318"/>
      <c r="AD4105" s="318"/>
    </row>
    <row r="4106" spans="2:30" s="323" customFormat="1" ht="12" customHeight="1">
      <c r="B4106" s="324"/>
      <c r="C4106" s="325"/>
      <c r="D4106" s="326"/>
      <c r="E4106" s="326"/>
      <c r="F4106" s="326"/>
      <c r="G4106" s="326"/>
      <c r="H4106" s="326"/>
      <c r="P4106" s="318"/>
      <c r="Q4106" s="318"/>
      <c r="R4106" s="318"/>
      <c r="S4106" s="318"/>
      <c r="T4106" s="318"/>
      <c r="U4106" s="318"/>
      <c r="V4106" s="318"/>
      <c r="W4106" s="318"/>
      <c r="X4106" s="318"/>
      <c r="Y4106" s="318"/>
      <c r="Z4106" s="318"/>
      <c r="AA4106" s="318"/>
      <c r="AB4106" s="318"/>
      <c r="AC4106" s="318"/>
      <c r="AD4106" s="318"/>
    </row>
    <row r="4107" spans="2:30" s="323" customFormat="1" ht="12" customHeight="1">
      <c r="B4107" s="324"/>
      <c r="C4107" s="325"/>
      <c r="D4107" s="326"/>
      <c r="E4107" s="326"/>
      <c r="F4107" s="326"/>
      <c r="G4107" s="326"/>
      <c r="H4107" s="326"/>
      <c r="P4107" s="318"/>
      <c r="Q4107" s="318"/>
      <c r="R4107" s="318"/>
      <c r="S4107" s="318"/>
      <c r="T4107" s="318"/>
      <c r="U4107" s="318"/>
      <c r="V4107" s="318"/>
      <c r="W4107" s="318"/>
      <c r="X4107" s="318"/>
      <c r="Y4107" s="318"/>
      <c r="Z4107" s="318"/>
      <c r="AA4107" s="318"/>
      <c r="AB4107" s="318"/>
      <c r="AC4107" s="318"/>
      <c r="AD4107" s="318"/>
    </row>
    <row r="4108" spans="2:30" s="323" customFormat="1" ht="12" customHeight="1">
      <c r="B4108" s="324"/>
      <c r="C4108" s="325"/>
      <c r="D4108" s="326"/>
      <c r="E4108" s="326"/>
      <c r="F4108" s="326"/>
      <c r="G4108" s="326"/>
      <c r="H4108" s="326"/>
      <c r="P4108" s="318"/>
      <c r="Q4108" s="318"/>
      <c r="R4108" s="318"/>
      <c r="S4108" s="318"/>
      <c r="T4108" s="318"/>
      <c r="U4108" s="318"/>
      <c r="V4108" s="318"/>
      <c r="W4108" s="318"/>
      <c r="X4108" s="318"/>
      <c r="Y4108" s="318"/>
      <c r="Z4108" s="318"/>
      <c r="AA4108" s="318"/>
      <c r="AB4108" s="318"/>
      <c r="AC4108" s="318"/>
      <c r="AD4108" s="318"/>
    </row>
    <row r="4109" spans="2:30" s="323" customFormat="1" ht="12" customHeight="1">
      <c r="B4109" s="324"/>
      <c r="C4109" s="325"/>
      <c r="D4109" s="326"/>
      <c r="E4109" s="326"/>
      <c r="F4109" s="326"/>
      <c r="G4109" s="326"/>
      <c r="H4109" s="326"/>
      <c r="P4109" s="318"/>
      <c r="Q4109" s="318"/>
      <c r="R4109" s="318"/>
      <c r="S4109" s="318"/>
      <c r="T4109" s="318"/>
      <c r="U4109" s="318"/>
      <c r="V4109" s="318"/>
      <c r="W4109" s="318"/>
      <c r="X4109" s="318"/>
      <c r="Y4109" s="318"/>
      <c r="Z4109" s="318"/>
      <c r="AA4109" s="318"/>
      <c r="AB4109" s="318"/>
      <c r="AC4109" s="318"/>
      <c r="AD4109" s="318"/>
    </row>
    <row r="4110" spans="2:30" s="323" customFormat="1" ht="12" customHeight="1">
      <c r="B4110" s="324"/>
      <c r="C4110" s="325"/>
      <c r="D4110" s="326"/>
      <c r="E4110" s="326"/>
      <c r="F4110" s="326"/>
      <c r="G4110" s="326"/>
      <c r="H4110" s="326"/>
      <c r="P4110" s="318"/>
      <c r="Q4110" s="318"/>
      <c r="R4110" s="318"/>
      <c r="S4110" s="318"/>
      <c r="T4110" s="318"/>
      <c r="U4110" s="318"/>
      <c r="V4110" s="318"/>
      <c r="W4110" s="318"/>
      <c r="X4110" s="318"/>
      <c r="Y4110" s="318"/>
      <c r="Z4110" s="318"/>
      <c r="AA4110" s="318"/>
      <c r="AB4110" s="318"/>
      <c r="AC4110" s="318"/>
      <c r="AD4110" s="318"/>
    </row>
    <row r="4111" spans="2:30" s="323" customFormat="1" ht="12" customHeight="1">
      <c r="B4111" s="324"/>
      <c r="C4111" s="325"/>
      <c r="D4111" s="326"/>
      <c r="E4111" s="326"/>
      <c r="F4111" s="326"/>
      <c r="G4111" s="326"/>
      <c r="H4111" s="326"/>
      <c r="P4111" s="318"/>
      <c r="Q4111" s="318"/>
      <c r="R4111" s="318"/>
      <c r="S4111" s="318"/>
      <c r="T4111" s="318"/>
      <c r="U4111" s="318"/>
      <c r="V4111" s="318"/>
      <c r="W4111" s="318"/>
      <c r="X4111" s="318"/>
      <c r="Y4111" s="318"/>
      <c r="Z4111" s="318"/>
      <c r="AA4111" s="318"/>
      <c r="AB4111" s="318"/>
      <c r="AC4111" s="318"/>
      <c r="AD4111" s="318"/>
    </row>
    <row r="4112" spans="2:30" s="323" customFormat="1" ht="12" customHeight="1">
      <c r="B4112" s="324"/>
      <c r="C4112" s="325"/>
      <c r="D4112" s="326"/>
      <c r="E4112" s="326"/>
      <c r="F4112" s="326"/>
      <c r="G4112" s="326"/>
      <c r="H4112" s="326"/>
      <c r="P4112" s="318"/>
      <c r="Q4112" s="318"/>
      <c r="R4112" s="318"/>
      <c r="S4112" s="318"/>
      <c r="T4112" s="318"/>
      <c r="U4112" s="318"/>
      <c r="V4112" s="318"/>
      <c r="W4112" s="318"/>
      <c r="X4112" s="318"/>
      <c r="Y4112" s="318"/>
      <c r="Z4112" s="318"/>
      <c r="AA4112" s="318"/>
      <c r="AB4112" s="318"/>
      <c r="AC4112" s="318"/>
      <c r="AD4112" s="318"/>
    </row>
    <row r="4113" spans="2:30" s="323" customFormat="1" ht="12" customHeight="1">
      <c r="B4113" s="324"/>
      <c r="C4113" s="325"/>
      <c r="D4113" s="326"/>
      <c r="E4113" s="326"/>
      <c r="F4113" s="326"/>
      <c r="G4113" s="326"/>
      <c r="H4113" s="326"/>
      <c r="P4113" s="318"/>
      <c r="Q4113" s="318"/>
      <c r="R4113" s="318"/>
      <c r="S4113" s="318"/>
      <c r="T4113" s="318"/>
      <c r="U4113" s="318"/>
      <c r="V4113" s="318"/>
      <c r="W4113" s="318"/>
      <c r="X4113" s="318"/>
      <c r="Y4113" s="318"/>
      <c r="Z4113" s="318"/>
      <c r="AA4113" s="318"/>
      <c r="AB4113" s="318"/>
      <c r="AC4113" s="318"/>
      <c r="AD4113" s="318"/>
    </row>
    <row r="4114" spans="2:30" s="323" customFormat="1" ht="12" customHeight="1">
      <c r="B4114" s="324"/>
      <c r="C4114" s="325"/>
      <c r="D4114" s="326"/>
      <c r="E4114" s="326"/>
      <c r="F4114" s="326"/>
      <c r="G4114" s="326"/>
      <c r="H4114" s="326"/>
      <c r="P4114" s="318"/>
      <c r="Q4114" s="318"/>
      <c r="R4114" s="318"/>
      <c r="S4114" s="318"/>
      <c r="T4114" s="318"/>
      <c r="U4114" s="318"/>
      <c r="V4114" s="318"/>
      <c r="W4114" s="318"/>
      <c r="X4114" s="318"/>
      <c r="Y4114" s="318"/>
      <c r="Z4114" s="318"/>
      <c r="AA4114" s="318"/>
      <c r="AB4114" s="318"/>
      <c r="AC4114" s="318"/>
      <c r="AD4114" s="318"/>
    </row>
    <row r="4115" spans="2:30" s="323" customFormat="1" ht="12" customHeight="1">
      <c r="B4115" s="324"/>
      <c r="C4115" s="325"/>
      <c r="D4115" s="326"/>
      <c r="E4115" s="326"/>
      <c r="F4115" s="326"/>
      <c r="G4115" s="326"/>
      <c r="H4115" s="326"/>
      <c r="P4115" s="318"/>
      <c r="Q4115" s="318"/>
      <c r="R4115" s="318"/>
      <c r="S4115" s="318"/>
      <c r="T4115" s="318"/>
      <c r="U4115" s="318"/>
      <c r="V4115" s="318"/>
      <c r="W4115" s="318"/>
      <c r="X4115" s="318"/>
      <c r="Y4115" s="318"/>
      <c r="Z4115" s="318"/>
      <c r="AA4115" s="318"/>
      <c r="AB4115" s="318"/>
      <c r="AC4115" s="318"/>
      <c r="AD4115" s="318"/>
    </row>
    <row r="4116" spans="2:30" s="323" customFormat="1" ht="12" customHeight="1">
      <c r="B4116" s="324"/>
      <c r="C4116" s="325"/>
      <c r="D4116" s="326"/>
      <c r="E4116" s="326"/>
      <c r="F4116" s="326"/>
      <c r="G4116" s="326"/>
      <c r="H4116" s="326"/>
      <c r="P4116" s="318"/>
      <c r="Q4116" s="318"/>
      <c r="R4116" s="318"/>
      <c r="S4116" s="318"/>
      <c r="T4116" s="318"/>
      <c r="U4116" s="318"/>
      <c r="V4116" s="318"/>
      <c r="W4116" s="318"/>
      <c r="X4116" s="318"/>
      <c r="Y4116" s="318"/>
      <c r="Z4116" s="318"/>
      <c r="AA4116" s="318"/>
      <c r="AB4116" s="318"/>
      <c r="AC4116" s="318"/>
      <c r="AD4116" s="318"/>
    </row>
    <row r="4117" spans="2:30" s="323" customFormat="1" ht="12" customHeight="1">
      <c r="B4117" s="324"/>
      <c r="C4117" s="325"/>
      <c r="D4117" s="326"/>
      <c r="E4117" s="326"/>
      <c r="F4117" s="326"/>
      <c r="G4117" s="326"/>
      <c r="H4117" s="326"/>
      <c r="P4117" s="318"/>
      <c r="Q4117" s="318"/>
      <c r="R4117" s="318"/>
      <c r="S4117" s="318"/>
      <c r="T4117" s="318"/>
      <c r="U4117" s="318"/>
      <c r="V4117" s="318"/>
      <c r="W4117" s="318"/>
      <c r="X4117" s="318"/>
      <c r="Y4117" s="318"/>
      <c r="Z4117" s="318"/>
      <c r="AA4117" s="318"/>
      <c r="AB4117" s="318"/>
      <c r="AC4117" s="318"/>
      <c r="AD4117" s="318"/>
    </row>
    <row r="4118" spans="2:30" s="323" customFormat="1" ht="12" customHeight="1">
      <c r="B4118" s="324"/>
      <c r="C4118" s="325"/>
      <c r="D4118" s="326"/>
      <c r="E4118" s="326"/>
      <c r="F4118" s="326"/>
      <c r="G4118" s="326"/>
      <c r="H4118" s="326"/>
      <c r="P4118" s="318"/>
      <c r="Q4118" s="318"/>
      <c r="R4118" s="318"/>
      <c r="S4118" s="318"/>
      <c r="T4118" s="318"/>
      <c r="U4118" s="318"/>
      <c r="V4118" s="318"/>
      <c r="W4118" s="318"/>
      <c r="X4118" s="318"/>
      <c r="Y4118" s="318"/>
      <c r="Z4118" s="318"/>
      <c r="AA4118" s="318"/>
      <c r="AB4118" s="318"/>
      <c r="AC4118" s="318"/>
      <c r="AD4118" s="318"/>
    </row>
    <row r="4119" spans="2:30" s="323" customFormat="1" ht="12" customHeight="1">
      <c r="B4119" s="324"/>
      <c r="C4119" s="325"/>
      <c r="D4119" s="326"/>
      <c r="E4119" s="326"/>
      <c r="F4119" s="326"/>
      <c r="G4119" s="326"/>
      <c r="H4119" s="326"/>
      <c r="P4119" s="318"/>
      <c r="Q4119" s="318"/>
      <c r="R4119" s="318"/>
      <c r="S4119" s="318"/>
      <c r="T4119" s="318"/>
      <c r="U4119" s="318"/>
      <c r="V4119" s="318"/>
      <c r="W4119" s="318"/>
      <c r="X4119" s="318"/>
      <c r="Y4119" s="318"/>
      <c r="Z4119" s="318"/>
      <c r="AA4119" s="318"/>
      <c r="AB4119" s="318"/>
      <c r="AC4119" s="318"/>
      <c r="AD4119" s="318"/>
    </row>
    <row r="4120" spans="2:30" s="323" customFormat="1" ht="12" customHeight="1">
      <c r="B4120" s="324"/>
      <c r="C4120" s="325"/>
      <c r="D4120" s="326"/>
      <c r="E4120" s="326"/>
      <c r="F4120" s="326"/>
      <c r="G4120" s="326"/>
      <c r="H4120" s="326"/>
      <c r="P4120" s="318"/>
      <c r="Q4120" s="318"/>
      <c r="R4120" s="318"/>
      <c r="S4120" s="318"/>
      <c r="T4120" s="318"/>
      <c r="U4120" s="318"/>
      <c r="V4120" s="318"/>
      <c r="W4120" s="318"/>
      <c r="X4120" s="318"/>
      <c r="Y4120" s="318"/>
      <c r="Z4120" s="318"/>
      <c r="AA4120" s="318"/>
      <c r="AB4120" s="318"/>
      <c r="AC4120" s="318"/>
      <c r="AD4120" s="318"/>
    </row>
    <row r="4121" spans="2:30" s="323" customFormat="1" ht="12" customHeight="1">
      <c r="B4121" s="324"/>
      <c r="C4121" s="325"/>
      <c r="D4121" s="326"/>
      <c r="E4121" s="326"/>
      <c r="F4121" s="326"/>
      <c r="G4121" s="326"/>
      <c r="H4121" s="326"/>
      <c r="P4121" s="318"/>
      <c r="Q4121" s="318"/>
      <c r="R4121" s="318"/>
      <c r="S4121" s="318"/>
      <c r="T4121" s="318"/>
      <c r="U4121" s="318"/>
      <c r="V4121" s="318"/>
      <c r="W4121" s="318"/>
      <c r="X4121" s="318"/>
      <c r="Y4121" s="318"/>
      <c r="Z4121" s="318"/>
      <c r="AA4121" s="318"/>
      <c r="AB4121" s="318"/>
      <c r="AC4121" s="318"/>
      <c r="AD4121" s="318"/>
    </row>
    <row r="4122" spans="2:30" s="323" customFormat="1" ht="12" customHeight="1">
      <c r="B4122" s="324"/>
      <c r="C4122" s="325"/>
      <c r="D4122" s="326"/>
      <c r="E4122" s="326"/>
      <c r="F4122" s="326"/>
      <c r="G4122" s="326"/>
      <c r="H4122" s="326"/>
      <c r="P4122" s="318"/>
      <c r="Q4122" s="318"/>
      <c r="R4122" s="318"/>
      <c r="S4122" s="318"/>
      <c r="T4122" s="318"/>
      <c r="U4122" s="318"/>
      <c r="V4122" s="318"/>
      <c r="W4122" s="318"/>
      <c r="X4122" s="318"/>
      <c r="Y4122" s="318"/>
      <c r="Z4122" s="318"/>
      <c r="AA4122" s="318"/>
      <c r="AB4122" s="318"/>
      <c r="AC4122" s="318"/>
      <c r="AD4122" s="318"/>
    </row>
    <row r="4123" spans="2:30" s="323" customFormat="1" ht="12" customHeight="1">
      <c r="B4123" s="324"/>
      <c r="C4123" s="325"/>
      <c r="D4123" s="326"/>
      <c r="E4123" s="326"/>
      <c r="F4123" s="326"/>
      <c r="G4123" s="326"/>
      <c r="H4123" s="326"/>
      <c r="P4123" s="318"/>
      <c r="Q4123" s="318"/>
      <c r="R4123" s="318"/>
      <c r="S4123" s="318"/>
      <c r="T4123" s="318"/>
      <c r="U4123" s="318"/>
      <c r="V4123" s="318"/>
      <c r="W4123" s="318"/>
      <c r="X4123" s="318"/>
      <c r="Y4123" s="318"/>
      <c r="Z4123" s="318"/>
      <c r="AA4123" s="318"/>
      <c r="AB4123" s="318"/>
      <c r="AC4123" s="318"/>
      <c r="AD4123" s="318"/>
    </row>
    <row r="4124" spans="2:30" s="323" customFormat="1" ht="12" customHeight="1">
      <c r="B4124" s="324"/>
      <c r="C4124" s="325"/>
      <c r="D4124" s="326"/>
      <c r="E4124" s="326"/>
      <c r="F4124" s="326"/>
      <c r="G4124" s="326"/>
      <c r="H4124" s="326"/>
      <c r="P4124" s="318"/>
      <c r="Q4124" s="318"/>
      <c r="R4124" s="318"/>
      <c r="S4124" s="318"/>
      <c r="T4124" s="318"/>
      <c r="U4124" s="318"/>
      <c r="V4124" s="318"/>
      <c r="W4124" s="318"/>
      <c r="X4124" s="318"/>
      <c r="Y4124" s="318"/>
      <c r="Z4124" s="318"/>
      <c r="AA4124" s="318"/>
      <c r="AB4124" s="318"/>
      <c r="AC4124" s="318"/>
      <c r="AD4124" s="318"/>
    </row>
    <row r="4125" spans="2:30" s="323" customFormat="1" ht="12" customHeight="1">
      <c r="B4125" s="324"/>
      <c r="C4125" s="325"/>
      <c r="D4125" s="326"/>
      <c r="E4125" s="326"/>
      <c r="F4125" s="326"/>
      <c r="G4125" s="326"/>
      <c r="H4125" s="326"/>
      <c r="P4125" s="318"/>
      <c r="Q4125" s="318"/>
      <c r="R4125" s="318"/>
      <c r="S4125" s="318"/>
      <c r="T4125" s="318"/>
      <c r="U4125" s="318"/>
      <c r="V4125" s="318"/>
      <c r="W4125" s="318"/>
      <c r="X4125" s="318"/>
      <c r="Y4125" s="318"/>
      <c r="Z4125" s="318"/>
      <c r="AA4125" s="318"/>
      <c r="AB4125" s="318"/>
      <c r="AC4125" s="318"/>
      <c r="AD4125" s="318"/>
    </row>
    <row r="4126" spans="2:30" s="323" customFormat="1" ht="12" customHeight="1">
      <c r="B4126" s="324"/>
      <c r="C4126" s="325"/>
      <c r="D4126" s="326"/>
      <c r="E4126" s="326"/>
      <c r="F4126" s="326"/>
      <c r="G4126" s="326"/>
      <c r="H4126" s="326"/>
      <c r="P4126" s="318"/>
      <c r="Q4126" s="318"/>
      <c r="R4126" s="318"/>
      <c r="S4126" s="318"/>
      <c r="T4126" s="318"/>
      <c r="U4126" s="318"/>
      <c r="V4126" s="318"/>
      <c r="W4126" s="318"/>
      <c r="X4126" s="318"/>
      <c r="Y4126" s="318"/>
      <c r="Z4126" s="318"/>
      <c r="AA4126" s="318"/>
      <c r="AB4126" s="318"/>
      <c r="AC4126" s="318"/>
      <c r="AD4126" s="318"/>
    </row>
    <row r="4127" spans="2:30" s="323" customFormat="1" ht="12" customHeight="1">
      <c r="B4127" s="324"/>
      <c r="C4127" s="325"/>
      <c r="D4127" s="326"/>
      <c r="E4127" s="326"/>
      <c r="F4127" s="326"/>
      <c r="G4127" s="326"/>
      <c r="H4127" s="326"/>
      <c r="P4127" s="318"/>
      <c r="Q4127" s="318"/>
      <c r="R4127" s="318"/>
      <c r="S4127" s="318"/>
      <c r="T4127" s="318"/>
      <c r="U4127" s="318"/>
      <c r="V4127" s="318"/>
      <c r="W4127" s="318"/>
      <c r="X4127" s="318"/>
      <c r="Y4127" s="318"/>
      <c r="Z4127" s="318"/>
      <c r="AA4127" s="318"/>
      <c r="AB4127" s="318"/>
      <c r="AC4127" s="318"/>
      <c r="AD4127" s="318"/>
    </row>
    <row r="4128" spans="2:30" s="323" customFormat="1" ht="12" customHeight="1">
      <c r="B4128" s="324"/>
      <c r="C4128" s="325"/>
      <c r="D4128" s="326"/>
      <c r="E4128" s="326"/>
      <c r="F4128" s="326"/>
      <c r="G4128" s="326"/>
      <c r="H4128" s="326"/>
      <c r="P4128" s="318"/>
      <c r="Q4128" s="318"/>
      <c r="R4128" s="318"/>
      <c r="S4128" s="318"/>
      <c r="T4128" s="318"/>
      <c r="U4128" s="318"/>
      <c r="V4128" s="318"/>
      <c r="W4128" s="318"/>
      <c r="X4128" s="318"/>
      <c r="Y4128" s="318"/>
      <c r="Z4128" s="318"/>
      <c r="AA4128" s="318"/>
      <c r="AB4128" s="318"/>
      <c r="AC4128" s="318"/>
      <c r="AD4128" s="318"/>
    </row>
    <row r="4129" spans="2:30" s="323" customFormat="1" ht="12" customHeight="1">
      <c r="B4129" s="324"/>
      <c r="C4129" s="325"/>
      <c r="D4129" s="326"/>
      <c r="E4129" s="326"/>
      <c r="F4129" s="326"/>
      <c r="G4129" s="326"/>
      <c r="H4129" s="326"/>
      <c r="P4129" s="318"/>
      <c r="Q4129" s="318"/>
      <c r="R4129" s="318"/>
      <c r="S4129" s="318"/>
      <c r="T4129" s="318"/>
      <c r="U4129" s="318"/>
      <c r="V4129" s="318"/>
      <c r="W4129" s="318"/>
      <c r="X4129" s="318"/>
      <c r="Y4129" s="318"/>
      <c r="Z4129" s="318"/>
      <c r="AA4129" s="318"/>
      <c r="AB4129" s="318"/>
      <c r="AC4129" s="318"/>
      <c r="AD4129" s="318"/>
    </row>
    <row r="4130" spans="2:30" s="323" customFormat="1" ht="12" customHeight="1">
      <c r="B4130" s="324"/>
      <c r="C4130" s="325"/>
      <c r="D4130" s="326"/>
      <c r="E4130" s="326"/>
      <c r="F4130" s="326"/>
      <c r="G4130" s="326"/>
      <c r="H4130" s="326"/>
      <c r="P4130" s="318"/>
      <c r="Q4130" s="318"/>
      <c r="R4130" s="318"/>
      <c r="S4130" s="318"/>
      <c r="T4130" s="318"/>
      <c r="U4130" s="318"/>
      <c r="V4130" s="318"/>
      <c r="W4130" s="318"/>
      <c r="X4130" s="318"/>
      <c r="Y4130" s="318"/>
      <c r="Z4130" s="318"/>
      <c r="AA4130" s="318"/>
      <c r="AB4130" s="318"/>
      <c r="AC4130" s="318"/>
      <c r="AD4130" s="318"/>
    </row>
    <row r="4131" spans="2:30" s="323" customFormat="1" ht="12" customHeight="1">
      <c r="B4131" s="324"/>
      <c r="C4131" s="325"/>
      <c r="D4131" s="326"/>
      <c r="E4131" s="326"/>
      <c r="F4131" s="326"/>
      <c r="G4131" s="326"/>
      <c r="H4131" s="326"/>
      <c r="P4131" s="318"/>
      <c r="Q4131" s="318"/>
      <c r="R4131" s="318"/>
      <c r="S4131" s="318"/>
      <c r="T4131" s="318"/>
      <c r="U4131" s="318"/>
      <c r="V4131" s="318"/>
      <c r="W4131" s="318"/>
      <c r="X4131" s="318"/>
      <c r="Y4131" s="318"/>
      <c r="Z4131" s="318"/>
      <c r="AA4131" s="318"/>
      <c r="AB4131" s="318"/>
      <c r="AC4131" s="318"/>
      <c r="AD4131" s="318"/>
    </row>
    <row r="4132" spans="2:30" s="323" customFormat="1" ht="12" customHeight="1">
      <c r="B4132" s="324"/>
      <c r="C4132" s="325"/>
      <c r="D4132" s="326"/>
      <c r="E4132" s="326"/>
      <c r="F4132" s="326"/>
      <c r="G4132" s="326"/>
      <c r="H4132" s="326"/>
      <c r="P4132" s="318"/>
      <c r="Q4132" s="318"/>
      <c r="R4132" s="318"/>
      <c r="S4132" s="318"/>
      <c r="T4132" s="318"/>
      <c r="U4132" s="318"/>
      <c r="V4132" s="318"/>
      <c r="W4132" s="318"/>
      <c r="X4132" s="318"/>
      <c r="Y4132" s="318"/>
      <c r="Z4132" s="318"/>
      <c r="AA4132" s="318"/>
      <c r="AB4132" s="318"/>
      <c r="AC4132" s="318"/>
      <c r="AD4132" s="318"/>
    </row>
    <row r="4133" spans="2:30" s="323" customFormat="1" ht="12" customHeight="1">
      <c r="B4133" s="324"/>
      <c r="C4133" s="325"/>
      <c r="D4133" s="326"/>
      <c r="E4133" s="326"/>
      <c r="F4133" s="326"/>
      <c r="G4133" s="326"/>
      <c r="H4133" s="326"/>
      <c r="P4133" s="318"/>
      <c r="Q4133" s="318"/>
      <c r="R4133" s="318"/>
      <c r="S4133" s="318"/>
      <c r="T4133" s="318"/>
      <c r="U4133" s="318"/>
      <c r="V4133" s="318"/>
      <c r="W4133" s="318"/>
      <c r="X4133" s="318"/>
      <c r="Y4133" s="318"/>
      <c r="Z4133" s="318"/>
      <c r="AA4133" s="318"/>
      <c r="AB4133" s="318"/>
      <c r="AC4133" s="318"/>
      <c r="AD4133" s="318"/>
    </row>
    <row r="4134" spans="2:30" s="323" customFormat="1" ht="12" customHeight="1">
      <c r="B4134" s="324"/>
      <c r="C4134" s="325"/>
      <c r="D4134" s="326"/>
      <c r="E4134" s="326"/>
      <c r="F4134" s="326"/>
      <c r="G4134" s="326"/>
      <c r="H4134" s="326"/>
      <c r="P4134" s="318"/>
      <c r="Q4134" s="318"/>
      <c r="R4134" s="318"/>
      <c r="S4134" s="318"/>
      <c r="T4134" s="318"/>
      <c r="U4134" s="318"/>
      <c r="V4134" s="318"/>
      <c r="W4134" s="318"/>
      <c r="X4134" s="318"/>
      <c r="Y4134" s="318"/>
      <c r="Z4134" s="318"/>
      <c r="AA4134" s="318"/>
      <c r="AB4134" s="318"/>
      <c r="AC4134" s="318"/>
      <c r="AD4134" s="318"/>
    </row>
    <row r="4135" spans="2:30" s="323" customFormat="1" ht="12" customHeight="1">
      <c r="B4135" s="324"/>
      <c r="C4135" s="325"/>
      <c r="D4135" s="326"/>
      <c r="E4135" s="326"/>
      <c r="F4135" s="326"/>
      <c r="G4135" s="326"/>
      <c r="H4135" s="326"/>
      <c r="P4135" s="318"/>
      <c r="Q4135" s="318"/>
      <c r="R4135" s="318"/>
      <c r="S4135" s="318"/>
      <c r="T4135" s="318"/>
      <c r="U4135" s="318"/>
      <c r="V4135" s="318"/>
      <c r="W4135" s="318"/>
      <c r="X4135" s="318"/>
      <c r="Y4135" s="318"/>
      <c r="Z4135" s="318"/>
      <c r="AA4135" s="318"/>
      <c r="AB4135" s="318"/>
      <c r="AC4135" s="318"/>
      <c r="AD4135" s="318"/>
    </row>
    <row r="4136" spans="2:30" s="323" customFormat="1" ht="12" customHeight="1">
      <c r="B4136" s="324"/>
      <c r="C4136" s="325"/>
      <c r="D4136" s="326"/>
      <c r="E4136" s="326"/>
      <c r="F4136" s="326"/>
      <c r="G4136" s="326"/>
      <c r="H4136" s="326"/>
      <c r="P4136" s="318"/>
      <c r="Q4136" s="318"/>
      <c r="R4136" s="318"/>
      <c r="S4136" s="318"/>
      <c r="T4136" s="318"/>
      <c r="U4136" s="318"/>
      <c r="V4136" s="318"/>
      <c r="W4136" s="318"/>
      <c r="X4136" s="318"/>
      <c r="Y4136" s="318"/>
      <c r="Z4136" s="318"/>
      <c r="AA4136" s="318"/>
      <c r="AB4136" s="318"/>
      <c r="AC4136" s="318"/>
      <c r="AD4136" s="318"/>
    </row>
    <row r="4137" spans="2:30" s="323" customFormat="1" ht="12" customHeight="1">
      <c r="B4137" s="324"/>
      <c r="C4137" s="325"/>
      <c r="D4137" s="326"/>
      <c r="E4137" s="326"/>
      <c r="F4137" s="326"/>
      <c r="G4137" s="326"/>
      <c r="H4137" s="326"/>
      <c r="P4137" s="318"/>
      <c r="Q4137" s="318"/>
      <c r="R4137" s="318"/>
      <c r="S4137" s="318"/>
      <c r="T4137" s="318"/>
      <c r="U4137" s="318"/>
      <c r="V4137" s="318"/>
      <c r="W4137" s="318"/>
      <c r="X4137" s="318"/>
      <c r="Y4137" s="318"/>
      <c r="Z4137" s="318"/>
      <c r="AA4137" s="318"/>
      <c r="AB4137" s="318"/>
      <c r="AC4137" s="318"/>
      <c r="AD4137" s="318"/>
    </row>
    <row r="4138" spans="2:30" s="323" customFormat="1" ht="12" customHeight="1">
      <c r="B4138" s="324"/>
      <c r="C4138" s="325"/>
      <c r="D4138" s="326"/>
      <c r="E4138" s="326"/>
      <c r="F4138" s="326"/>
      <c r="G4138" s="326"/>
      <c r="H4138" s="326"/>
      <c r="P4138" s="318"/>
      <c r="Q4138" s="318"/>
      <c r="R4138" s="318"/>
      <c r="S4138" s="318"/>
      <c r="T4138" s="318"/>
      <c r="U4138" s="318"/>
      <c r="V4138" s="318"/>
      <c r="W4138" s="318"/>
      <c r="X4138" s="318"/>
      <c r="Y4138" s="318"/>
      <c r="Z4138" s="318"/>
      <c r="AA4138" s="318"/>
      <c r="AB4138" s="318"/>
      <c r="AC4138" s="318"/>
      <c r="AD4138" s="318"/>
    </row>
    <row r="4139" spans="2:30" s="323" customFormat="1" ht="12" customHeight="1">
      <c r="B4139" s="324"/>
      <c r="C4139" s="325"/>
      <c r="D4139" s="326"/>
      <c r="E4139" s="326"/>
      <c r="F4139" s="326"/>
      <c r="G4139" s="326"/>
      <c r="H4139" s="326"/>
      <c r="P4139" s="318"/>
      <c r="Q4139" s="318"/>
      <c r="R4139" s="318"/>
      <c r="S4139" s="318"/>
      <c r="T4139" s="318"/>
      <c r="U4139" s="318"/>
      <c r="V4139" s="318"/>
      <c r="W4139" s="318"/>
      <c r="X4139" s="318"/>
      <c r="Y4139" s="318"/>
      <c r="Z4139" s="318"/>
      <c r="AA4139" s="318"/>
      <c r="AB4139" s="318"/>
      <c r="AC4139" s="318"/>
      <c r="AD4139" s="318"/>
    </row>
    <row r="4140" spans="2:30" s="323" customFormat="1" ht="12" customHeight="1">
      <c r="B4140" s="324"/>
      <c r="C4140" s="325"/>
      <c r="D4140" s="326"/>
      <c r="E4140" s="326"/>
      <c r="F4140" s="326"/>
      <c r="G4140" s="326"/>
      <c r="H4140" s="326"/>
      <c r="P4140" s="318"/>
      <c r="Q4140" s="318"/>
      <c r="R4140" s="318"/>
      <c r="S4140" s="318"/>
      <c r="T4140" s="318"/>
      <c r="U4140" s="318"/>
      <c r="V4140" s="318"/>
      <c r="W4140" s="318"/>
      <c r="X4140" s="318"/>
      <c r="Y4140" s="318"/>
      <c r="Z4140" s="318"/>
      <c r="AA4140" s="318"/>
      <c r="AB4140" s="318"/>
      <c r="AC4140" s="318"/>
      <c r="AD4140" s="318"/>
    </row>
    <row r="4141" spans="2:30" s="323" customFormat="1" ht="12" customHeight="1">
      <c r="B4141" s="324"/>
      <c r="C4141" s="325"/>
      <c r="D4141" s="326"/>
      <c r="E4141" s="326"/>
      <c r="F4141" s="326"/>
      <c r="G4141" s="326"/>
      <c r="H4141" s="326"/>
      <c r="P4141" s="318"/>
      <c r="Q4141" s="318"/>
      <c r="R4141" s="318"/>
      <c r="S4141" s="318"/>
      <c r="T4141" s="318"/>
      <c r="U4141" s="318"/>
      <c r="V4141" s="318"/>
      <c r="W4141" s="318"/>
      <c r="X4141" s="318"/>
      <c r="Y4141" s="318"/>
      <c r="Z4141" s="318"/>
      <c r="AA4141" s="318"/>
      <c r="AB4141" s="318"/>
      <c r="AC4141" s="318"/>
      <c r="AD4141" s="318"/>
    </row>
    <row r="4142" spans="2:30" s="323" customFormat="1" ht="12" customHeight="1">
      <c r="B4142" s="324"/>
      <c r="C4142" s="325"/>
      <c r="D4142" s="326"/>
      <c r="E4142" s="326"/>
      <c r="F4142" s="326"/>
      <c r="G4142" s="326"/>
      <c r="H4142" s="326"/>
      <c r="P4142" s="318"/>
      <c r="Q4142" s="318"/>
      <c r="R4142" s="318"/>
      <c r="S4142" s="318"/>
      <c r="T4142" s="318"/>
      <c r="U4142" s="318"/>
      <c r="V4142" s="318"/>
      <c r="W4142" s="318"/>
      <c r="X4142" s="318"/>
      <c r="Y4142" s="318"/>
      <c r="Z4142" s="318"/>
      <c r="AA4142" s="318"/>
      <c r="AB4142" s="318"/>
      <c r="AC4142" s="318"/>
      <c r="AD4142" s="318"/>
    </row>
    <row r="4143" spans="2:30" s="323" customFormat="1" ht="12" customHeight="1">
      <c r="B4143" s="324"/>
      <c r="C4143" s="325"/>
      <c r="D4143" s="326"/>
      <c r="E4143" s="326"/>
      <c r="F4143" s="326"/>
      <c r="G4143" s="326"/>
      <c r="H4143" s="326"/>
      <c r="P4143" s="318"/>
      <c r="Q4143" s="318"/>
      <c r="R4143" s="318"/>
      <c r="S4143" s="318"/>
      <c r="T4143" s="318"/>
      <c r="U4143" s="318"/>
      <c r="V4143" s="318"/>
      <c r="W4143" s="318"/>
      <c r="X4143" s="318"/>
      <c r="Y4143" s="318"/>
      <c r="Z4143" s="318"/>
      <c r="AA4143" s="318"/>
      <c r="AB4143" s="318"/>
      <c r="AC4143" s="318"/>
      <c r="AD4143" s="318"/>
    </row>
    <row r="4144" spans="2:30" s="323" customFormat="1" ht="12" customHeight="1">
      <c r="B4144" s="324"/>
      <c r="C4144" s="325"/>
      <c r="D4144" s="326"/>
      <c r="E4144" s="326"/>
      <c r="F4144" s="326"/>
      <c r="G4144" s="326"/>
      <c r="H4144" s="326"/>
      <c r="P4144" s="318"/>
      <c r="Q4144" s="318"/>
      <c r="R4144" s="318"/>
      <c r="S4144" s="318"/>
      <c r="T4144" s="318"/>
      <c r="U4144" s="318"/>
      <c r="V4144" s="318"/>
      <c r="W4144" s="318"/>
      <c r="X4144" s="318"/>
      <c r="Y4144" s="318"/>
      <c r="Z4144" s="318"/>
      <c r="AA4144" s="318"/>
      <c r="AB4144" s="318"/>
      <c r="AC4144" s="318"/>
      <c r="AD4144" s="318"/>
    </row>
    <row r="4145" spans="2:30" s="323" customFormat="1" ht="12" customHeight="1">
      <c r="B4145" s="324"/>
      <c r="C4145" s="325"/>
      <c r="D4145" s="326"/>
      <c r="E4145" s="326"/>
      <c r="F4145" s="326"/>
      <c r="G4145" s="326"/>
      <c r="H4145" s="326"/>
      <c r="P4145" s="318"/>
      <c r="Q4145" s="318"/>
      <c r="R4145" s="318"/>
      <c r="S4145" s="318"/>
      <c r="T4145" s="318"/>
      <c r="U4145" s="318"/>
      <c r="V4145" s="318"/>
      <c r="W4145" s="318"/>
      <c r="X4145" s="318"/>
      <c r="Y4145" s="318"/>
      <c r="Z4145" s="318"/>
      <c r="AA4145" s="318"/>
      <c r="AB4145" s="318"/>
      <c r="AC4145" s="318"/>
      <c r="AD4145" s="318"/>
    </row>
    <row r="4146" spans="2:30" s="323" customFormat="1" ht="12" customHeight="1">
      <c r="B4146" s="324"/>
      <c r="C4146" s="325"/>
      <c r="D4146" s="326"/>
      <c r="E4146" s="326"/>
      <c r="F4146" s="326"/>
      <c r="G4146" s="326"/>
      <c r="H4146" s="326"/>
      <c r="P4146" s="318"/>
      <c r="Q4146" s="318"/>
      <c r="R4146" s="318"/>
      <c r="S4146" s="318"/>
      <c r="T4146" s="318"/>
      <c r="U4146" s="318"/>
      <c r="V4146" s="318"/>
      <c r="W4146" s="318"/>
      <c r="X4146" s="318"/>
      <c r="Y4146" s="318"/>
      <c r="Z4146" s="318"/>
      <c r="AA4146" s="318"/>
      <c r="AB4146" s="318"/>
      <c r="AC4146" s="318"/>
      <c r="AD4146" s="318"/>
    </row>
    <row r="4147" spans="2:30" s="323" customFormat="1" ht="12" customHeight="1">
      <c r="B4147" s="324"/>
      <c r="C4147" s="325"/>
      <c r="D4147" s="326"/>
      <c r="E4147" s="326"/>
      <c r="F4147" s="326"/>
      <c r="G4147" s="326"/>
      <c r="H4147" s="326"/>
      <c r="P4147" s="318"/>
      <c r="Q4147" s="318"/>
      <c r="R4147" s="318"/>
      <c r="S4147" s="318"/>
      <c r="T4147" s="318"/>
      <c r="U4147" s="318"/>
      <c r="V4147" s="318"/>
      <c r="W4147" s="318"/>
      <c r="X4147" s="318"/>
      <c r="Y4147" s="318"/>
      <c r="Z4147" s="318"/>
      <c r="AA4147" s="318"/>
      <c r="AB4147" s="318"/>
      <c r="AC4147" s="318"/>
      <c r="AD4147" s="318"/>
    </row>
    <row r="4148" spans="2:30" s="323" customFormat="1" ht="12" customHeight="1">
      <c r="B4148" s="324"/>
      <c r="C4148" s="325"/>
      <c r="D4148" s="326"/>
      <c r="E4148" s="326"/>
      <c r="F4148" s="326"/>
      <c r="G4148" s="326"/>
      <c r="H4148" s="326"/>
      <c r="P4148" s="318"/>
      <c r="Q4148" s="318"/>
      <c r="R4148" s="318"/>
      <c r="S4148" s="318"/>
      <c r="T4148" s="318"/>
      <c r="U4148" s="318"/>
      <c r="V4148" s="318"/>
      <c r="W4148" s="318"/>
      <c r="X4148" s="318"/>
      <c r="Y4148" s="318"/>
      <c r="Z4148" s="318"/>
      <c r="AA4148" s="318"/>
      <c r="AB4148" s="318"/>
      <c r="AC4148" s="318"/>
      <c r="AD4148" s="318"/>
    </row>
    <row r="4149" spans="2:30" s="323" customFormat="1" ht="12" customHeight="1">
      <c r="B4149" s="324"/>
      <c r="C4149" s="325"/>
      <c r="D4149" s="326"/>
      <c r="E4149" s="326"/>
      <c r="F4149" s="326"/>
      <c r="G4149" s="326"/>
      <c r="H4149" s="326"/>
      <c r="P4149" s="318"/>
      <c r="Q4149" s="318"/>
      <c r="R4149" s="318"/>
      <c r="S4149" s="318"/>
      <c r="T4149" s="318"/>
      <c r="U4149" s="318"/>
      <c r="V4149" s="318"/>
      <c r="W4149" s="318"/>
      <c r="X4149" s="318"/>
      <c r="Y4149" s="318"/>
      <c r="Z4149" s="318"/>
      <c r="AA4149" s="318"/>
      <c r="AB4149" s="318"/>
      <c r="AC4149" s="318"/>
      <c r="AD4149" s="318"/>
    </row>
    <row r="4150" spans="2:30" s="323" customFormat="1" ht="12" customHeight="1">
      <c r="B4150" s="324"/>
      <c r="C4150" s="325"/>
      <c r="D4150" s="326"/>
      <c r="E4150" s="326"/>
      <c r="F4150" s="326"/>
      <c r="G4150" s="326"/>
      <c r="H4150" s="326"/>
      <c r="P4150" s="318"/>
      <c r="Q4150" s="318"/>
      <c r="R4150" s="318"/>
      <c r="S4150" s="318"/>
      <c r="T4150" s="318"/>
      <c r="U4150" s="318"/>
      <c r="V4150" s="318"/>
      <c r="W4150" s="318"/>
      <c r="X4150" s="318"/>
      <c r="Y4150" s="318"/>
      <c r="Z4150" s="318"/>
      <c r="AA4150" s="318"/>
      <c r="AB4150" s="318"/>
      <c r="AC4150" s="318"/>
      <c r="AD4150" s="318"/>
    </row>
    <row r="4151" spans="2:30" s="323" customFormat="1" ht="12" customHeight="1">
      <c r="B4151" s="324"/>
      <c r="C4151" s="325"/>
      <c r="D4151" s="326"/>
      <c r="E4151" s="326"/>
      <c r="F4151" s="326"/>
      <c r="G4151" s="326"/>
      <c r="H4151" s="326"/>
      <c r="P4151" s="318"/>
      <c r="Q4151" s="318"/>
      <c r="R4151" s="318"/>
      <c r="S4151" s="318"/>
      <c r="T4151" s="318"/>
      <c r="U4151" s="318"/>
      <c r="V4151" s="318"/>
      <c r="W4151" s="318"/>
      <c r="X4151" s="318"/>
      <c r="Y4151" s="318"/>
      <c r="Z4151" s="318"/>
      <c r="AA4151" s="318"/>
      <c r="AB4151" s="318"/>
      <c r="AC4151" s="318"/>
      <c r="AD4151" s="318"/>
    </row>
    <row r="4152" spans="2:30" s="323" customFormat="1" ht="12" customHeight="1">
      <c r="B4152" s="324"/>
      <c r="C4152" s="325"/>
      <c r="D4152" s="326"/>
      <c r="E4152" s="326"/>
      <c r="F4152" s="326"/>
      <c r="G4152" s="326"/>
      <c r="H4152" s="326"/>
      <c r="P4152" s="318"/>
      <c r="Q4152" s="318"/>
      <c r="R4152" s="318"/>
      <c r="S4152" s="318"/>
      <c r="T4152" s="318"/>
      <c r="U4152" s="318"/>
      <c r="V4152" s="318"/>
      <c r="W4152" s="318"/>
      <c r="X4152" s="318"/>
      <c r="Y4152" s="318"/>
      <c r="Z4152" s="318"/>
      <c r="AA4152" s="318"/>
      <c r="AB4152" s="318"/>
      <c r="AC4152" s="318"/>
      <c r="AD4152" s="318"/>
    </row>
    <row r="4153" spans="2:30" s="323" customFormat="1" ht="12" customHeight="1">
      <c r="B4153" s="324"/>
      <c r="C4153" s="325"/>
      <c r="D4153" s="326"/>
      <c r="E4153" s="326"/>
      <c r="F4153" s="326"/>
      <c r="G4153" s="326"/>
      <c r="H4153" s="326"/>
      <c r="P4153" s="318"/>
      <c r="Q4153" s="318"/>
      <c r="R4153" s="318"/>
      <c r="S4153" s="318"/>
      <c r="T4153" s="318"/>
      <c r="U4153" s="318"/>
      <c r="V4153" s="318"/>
      <c r="W4153" s="318"/>
      <c r="X4153" s="318"/>
      <c r="Y4153" s="318"/>
      <c r="Z4153" s="318"/>
      <c r="AA4153" s="318"/>
      <c r="AB4153" s="318"/>
      <c r="AC4153" s="318"/>
      <c r="AD4153" s="318"/>
    </row>
    <row r="4154" spans="2:30" s="323" customFormat="1" ht="12" customHeight="1">
      <c r="B4154" s="324"/>
      <c r="C4154" s="325"/>
      <c r="D4154" s="326"/>
      <c r="E4154" s="326"/>
      <c r="F4154" s="326"/>
      <c r="G4154" s="326"/>
      <c r="H4154" s="326"/>
      <c r="P4154" s="318"/>
      <c r="Q4154" s="318"/>
      <c r="R4154" s="318"/>
      <c r="S4154" s="318"/>
      <c r="T4154" s="318"/>
      <c r="U4154" s="318"/>
      <c r="V4154" s="318"/>
      <c r="W4154" s="318"/>
      <c r="X4154" s="318"/>
      <c r="Y4154" s="318"/>
      <c r="Z4154" s="318"/>
      <c r="AA4154" s="318"/>
      <c r="AB4154" s="318"/>
      <c r="AC4154" s="318"/>
      <c r="AD4154" s="318"/>
    </row>
    <row r="4155" spans="2:30" s="323" customFormat="1" ht="12" customHeight="1">
      <c r="B4155" s="324"/>
      <c r="C4155" s="325"/>
      <c r="D4155" s="326"/>
      <c r="E4155" s="326"/>
      <c r="F4155" s="326"/>
      <c r="G4155" s="326"/>
      <c r="H4155" s="326"/>
      <c r="P4155" s="318"/>
      <c r="Q4155" s="318"/>
      <c r="R4155" s="318"/>
      <c r="S4155" s="318"/>
      <c r="T4155" s="318"/>
      <c r="U4155" s="318"/>
      <c r="V4155" s="318"/>
      <c r="W4155" s="318"/>
      <c r="X4155" s="318"/>
      <c r="Y4155" s="318"/>
      <c r="Z4155" s="318"/>
      <c r="AA4155" s="318"/>
      <c r="AB4155" s="318"/>
      <c r="AC4155" s="318"/>
      <c r="AD4155" s="318"/>
    </row>
    <row r="4156" spans="2:30" s="323" customFormat="1" ht="12" customHeight="1">
      <c r="B4156" s="324"/>
      <c r="C4156" s="325"/>
      <c r="D4156" s="326"/>
      <c r="E4156" s="326"/>
      <c r="F4156" s="326"/>
      <c r="G4156" s="326"/>
      <c r="H4156" s="326"/>
      <c r="P4156" s="318"/>
      <c r="Q4156" s="318"/>
      <c r="R4156" s="318"/>
      <c r="S4156" s="318"/>
      <c r="T4156" s="318"/>
      <c r="U4156" s="318"/>
      <c r="V4156" s="318"/>
      <c r="W4156" s="318"/>
      <c r="X4156" s="318"/>
      <c r="Y4156" s="318"/>
      <c r="Z4156" s="318"/>
      <c r="AA4156" s="318"/>
      <c r="AB4156" s="318"/>
      <c r="AC4156" s="318"/>
      <c r="AD4156" s="318"/>
    </row>
    <row r="4157" spans="2:30" s="323" customFormat="1" ht="12" customHeight="1">
      <c r="B4157" s="324"/>
      <c r="C4157" s="325"/>
      <c r="D4157" s="326"/>
      <c r="E4157" s="326"/>
      <c r="F4157" s="326"/>
      <c r="G4157" s="326"/>
      <c r="H4157" s="326"/>
      <c r="P4157" s="318"/>
      <c r="Q4157" s="318"/>
      <c r="R4157" s="318"/>
      <c r="S4157" s="318"/>
      <c r="T4157" s="318"/>
      <c r="U4157" s="318"/>
      <c r="V4157" s="318"/>
      <c r="W4157" s="318"/>
      <c r="X4157" s="318"/>
      <c r="Y4157" s="318"/>
      <c r="Z4157" s="318"/>
      <c r="AA4157" s="318"/>
      <c r="AB4157" s="318"/>
      <c r="AC4157" s="318"/>
      <c r="AD4157" s="318"/>
    </row>
    <row r="4158" spans="2:30" s="323" customFormat="1" ht="12" customHeight="1">
      <c r="B4158" s="324"/>
      <c r="C4158" s="325"/>
      <c r="D4158" s="326"/>
      <c r="E4158" s="326"/>
      <c r="F4158" s="326"/>
      <c r="G4158" s="326"/>
      <c r="H4158" s="326"/>
      <c r="P4158" s="318"/>
      <c r="Q4158" s="318"/>
      <c r="R4158" s="318"/>
      <c r="S4158" s="318"/>
      <c r="T4158" s="318"/>
      <c r="U4158" s="318"/>
      <c r="V4158" s="318"/>
      <c r="W4158" s="318"/>
      <c r="X4158" s="318"/>
      <c r="Y4158" s="318"/>
      <c r="Z4158" s="318"/>
      <c r="AA4158" s="318"/>
      <c r="AB4158" s="318"/>
      <c r="AC4158" s="318"/>
      <c r="AD4158" s="318"/>
    </row>
    <row r="4159" spans="2:30" s="323" customFormat="1" ht="12" customHeight="1">
      <c r="B4159" s="324"/>
      <c r="C4159" s="325"/>
      <c r="D4159" s="326"/>
      <c r="E4159" s="326"/>
      <c r="F4159" s="326"/>
      <c r="G4159" s="326"/>
      <c r="H4159" s="326"/>
      <c r="P4159" s="318"/>
      <c r="Q4159" s="318"/>
      <c r="R4159" s="318"/>
      <c r="S4159" s="318"/>
      <c r="T4159" s="318"/>
      <c r="U4159" s="318"/>
      <c r="V4159" s="318"/>
      <c r="W4159" s="318"/>
      <c r="X4159" s="318"/>
      <c r="Y4159" s="318"/>
      <c r="Z4159" s="318"/>
      <c r="AA4159" s="318"/>
      <c r="AB4159" s="318"/>
      <c r="AC4159" s="318"/>
      <c r="AD4159" s="318"/>
    </row>
    <row r="4160" spans="2:30" s="323" customFormat="1" ht="12" customHeight="1">
      <c r="B4160" s="324"/>
      <c r="C4160" s="325"/>
      <c r="D4160" s="326"/>
      <c r="E4160" s="326"/>
      <c r="F4160" s="326"/>
      <c r="G4160" s="326"/>
      <c r="H4160" s="326"/>
      <c r="P4160" s="318"/>
      <c r="Q4160" s="318"/>
      <c r="R4160" s="318"/>
      <c r="S4160" s="318"/>
      <c r="T4160" s="318"/>
      <c r="U4160" s="318"/>
      <c r="V4160" s="318"/>
      <c r="W4160" s="318"/>
      <c r="X4160" s="318"/>
      <c r="Y4160" s="318"/>
      <c r="Z4160" s="318"/>
      <c r="AA4160" s="318"/>
      <c r="AB4160" s="318"/>
      <c r="AC4160" s="318"/>
      <c r="AD4160" s="318"/>
    </row>
    <row r="4161" spans="2:30" s="323" customFormat="1" ht="12" customHeight="1">
      <c r="B4161" s="324"/>
      <c r="C4161" s="325"/>
      <c r="D4161" s="326"/>
      <c r="E4161" s="326"/>
      <c r="F4161" s="326"/>
      <c r="G4161" s="326"/>
      <c r="H4161" s="326"/>
      <c r="P4161" s="318"/>
      <c r="Q4161" s="318"/>
      <c r="R4161" s="318"/>
      <c r="S4161" s="318"/>
      <c r="T4161" s="318"/>
      <c r="U4161" s="318"/>
      <c r="V4161" s="318"/>
      <c r="W4161" s="318"/>
      <c r="X4161" s="318"/>
      <c r="Y4161" s="318"/>
      <c r="Z4161" s="318"/>
      <c r="AA4161" s="318"/>
      <c r="AB4161" s="318"/>
      <c r="AC4161" s="318"/>
      <c r="AD4161" s="318"/>
    </row>
    <row r="4162" spans="2:30" s="323" customFormat="1" ht="12" customHeight="1">
      <c r="B4162" s="324"/>
      <c r="C4162" s="325"/>
      <c r="D4162" s="326"/>
      <c r="E4162" s="326"/>
      <c r="F4162" s="326"/>
      <c r="G4162" s="326"/>
      <c r="H4162" s="326"/>
      <c r="P4162" s="318"/>
      <c r="Q4162" s="318"/>
      <c r="R4162" s="318"/>
      <c r="S4162" s="318"/>
      <c r="T4162" s="318"/>
      <c r="U4162" s="318"/>
      <c r="V4162" s="318"/>
      <c r="W4162" s="318"/>
      <c r="X4162" s="318"/>
      <c r="Y4162" s="318"/>
      <c r="Z4162" s="318"/>
      <c r="AA4162" s="318"/>
      <c r="AB4162" s="318"/>
      <c r="AC4162" s="318"/>
      <c r="AD4162" s="318"/>
    </row>
    <row r="4163" spans="2:30" s="323" customFormat="1" ht="12" customHeight="1">
      <c r="B4163" s="324"/>
      <c r="C4163" s="325"/>
      <c r="D4163" s="326"/>
      <c r="E4163" s="326"/>
      <c r="F4163" s="326"/>
      <c r="G4163" s="326"/>
      <c r="H4163" s="326"/>
      <c r="P4163" s="318"/>
      <c r="Q4163" s="318"/>
      <c r="R4163" s="318"/>
      <c r="S4163" s="318"/>
      <c r="T4163" s="318"/>
      <c r="U4163" s="318"/>
      <c r="V4163" s="318"/>
      <c r="W4163" s="318"/>
      <c r="X4163" s="318"/>
      <c r="Y4163" s="318"/>
      <c r="Z4163" s="318"/>
      <c r="AA4163" s="318"/>
      <c r="AB4163" s="318"/>
      <c r="AC4163" s="318"/>
      <c r="AD4163" s="318"/>
    </row>
    <row r="4164" spans="2:30" s="323" customFormat="1" ht="12" customHeight="1">
      <c r="B4164" s="324"/>
      <c r="C4164" s="325"/>
      <c r="D4164" s="326"/>
      <c r="E4164" s="326"/>
      <c r="F4164" s="326"/>
      <c r="G4164" s="326"/>
      <c r="H4164" s="326"/>
      <c r="P4164" s="318"/>
      <c r="Q4164" s="318"/>
      <c r="R4164" s="318"/>
      <c r="S4164" s="318"/>
      <c r="T4164" s="318"/>
      <c r="U4164" s="318"/>
      <c r="V4164" s="318"/>
      <c r="W4164" s="318"/>
      <c r="X4164" s="318"/>
      <c r="Y4164" s="318"/>
      <c r="Z4164" s="318"/>
      <c r="AA4164" s="318"/>
      <c r="AB4164" s="318"/>
      <c r="AC4164" s="318"/>
      <c r="AD4164" s="318"/>
    </row>
    <row r="4165" spans="2:30" s="323" customFormat="1" ht="12" customHeight="1">
      <c r="B4165" s="324"/>
      <c r="C4165" s="325"/>
      <c r="D4165" s="326"/>
      <c r="E4165" s="326"/>
      <c r="F4165" s="326"/>
      <c r="G4165" s="326"/>
      <c r="H4165" s="326"/>
      <c r="P4165" s="318"/>
      <c r="Q4165" s="318"/>
      <c r="R4165" s="318"/>
      <c r="S4165" s="318"/>
      <c r="T4165" s="318"/>
      <c r="U4165" s="318"/>
      <c r="V4165" s="318"/>
      <c r="W4165" s="318"/>
      <c r="X4165" s="318"/>
      <c r="Y4165" s="318"/>
      <c r="Z4165" s="318"/>
      <c r="AA4165" s="318"/>
      <c r="AB4165" s="318"/>
      <c r="AC4165" s="318"/>
      <c r="AD4165" s="318"/>
    </row>
    <row r="4166" spans="2:30" s="323" customFormat="1" ht="12" customHeight="1">
      <c r="B4166" s="324"/>
      <c r="C4166" s="325"/>
      <c r="D4166" s="326"/>
      <c r="E4166" s="326"/>
      <c r="F4166" s="326"/>
      <c r="G4166" s="326"/>
      <c r="H4166" s="326"/>
      <c r="P4166" s="318"/>
      <c r="Q4166" s="318"/>
      <c r="R4166" s="318"/>
      <c r="S4166" s="318"/>
      <c r="T4166" s="318"/>
      <c r="U4166" s="318"/>
      <c r="V4166" s="318"/>
      <c r="W4166" s="318"/>
      <c r="X4166" s="318"/>
      <c r="Y4166" s="318"/>
      <c r="Z4166" s="318"/>
      <c r="AA4166" s="318"/>
      <c r="AB4166" s="318"/>
      <c r="AC4166" s="318"/>
      <c r="AD4166" s="318"/>
    </row>
    <row r="4167" spans="2:30" s="323" customFormat="1" ht="12" customHeight="1">
      <c r="B4167" s="324"/>
      <c r="C4167" s="325"/>
      <c r="D4167" s="326"/>
      <c r="E4167" s="326"/>
      <c r="F4167" s="326"/>
      <c r="G4167" s="326"/>
      <c r="H4167" s="326"/>
      <c r="P4167" s="318"/>
      <c r="Q4167" s="318"/>
      <c r="R4167" s="318"/>
      <c r="S4167" s="318"/>
      <c r="T4167" s="318"/>
      <c r="U4167" s="318"/>
      <c r="V4167" s="318"/>
      <c r="W4167" s="318"/>
      <c r="X4167" s="318"/>
      <c r="Y4167" s="318"/>
      <c r="Z4167" s="318"/>
      <c r="AA4167" s="318"/>
      <c r="AB4167" s="318"/>
      <c r="AC4167" s="318"/>
      <c r="AD4167" s="318"/>
    </row>
    <row r="4168" spans="2:30" s="323" customFormat="1" ht="12" customHeight="1">
      <c r="B4168" s="324"/>
      <c r="C4168" s="325"/>
      <c r="D4168" s="326"/>
      <c r="E4168" s="326"/>
      <c r="F4168" s="326"/>
      <c r="G4168" s="326"/>
      <c r="H4168" s="326"/>
      <c r="P4168" s="318"/>
      <c r="Q4168" s="318"/>
      <c r="R4168" s="318"/>
      <c r="S4168" s="318"/>
      <c r="T4168" s="318"/>
      <c r="U4168" s="318"/>
      <c r="V4168" s="318"/>
      <c r="W4168" s="318"/>
      <c r="X4168" s="318"/>
      <c r="Y4168" s="318"/>
      <c r="Z4168" s="318"/>
      <c r="AA4168" s="318"/>
      <c r="AB4168" s="318"/>
      <c r="AC4168" s="318"/>
      <c r="AD4168" s="318"/>
    </row>
    <row r="4169" spans="2:30" s="323" customFormat="1" ht="12" customHeight="1">
      <c r="B4169" s="324"/>
      <c r="C4169" s="325"/>
      <c r="D4169" s="326"/>
      <c r="E4169" s="326"/>
      <c r="F4169" s="326"/>
      <c r="G4169" s="326"/>
      <c r="H4169" s="326"/>
      <c r="P4169" s="318"/>
      <c r="Q4169" s="318"/>
      <c r="R4169" s="318"/>
      <c r="S4169" s="318"/>
      <c r="T4169" s="318"/>
      <c r="U4169" s="318"/>
      <c r="V4169" s="318"/>
      <c r="W4169" s="318"/>
      <c r="X4169" s="318"/>
      <c r="Y4169" s="318"/>
      <c r="Z4169" s="318"/>
      <c r="AA4169" s="318"/>
      <c r="AB4169" s="318"/>
      <c r="AC4169" s="318"/>
      <c r="AD4169" s="318"/>
    </row>
    <row r="4170" spans="2:30" s="323" customFormat="1" ht="12" customHeight="1">
      <c r="B4170" s="324"/>
      <c r="C4170" s="325"/>
      <c r="D4170" s="326"/>
      <c r="E4170" s="326"/>
      <c r="F4170" s="326"/>
      <c r="G4170" s="326"/>
      <c r="H4170" s="326"/>
      <c r="P4170" s="318"/>
      <c r="Q4170" s="318"/>
      <c r="R4170" s="318"/>
      <c r="S4170" s="318"/>
      <c r="T4170" s="318"/>
      <c r="U4170" s="318"/>
      <c r="V4170" s="318"/>
      <c r="W4170" s="318"/>
      <c r="X4170" s="318"/>
      <c r="Y4170" s="318"/>
      <c r="Z4170" s="318"/>
      <c r="AA4170" s="318"/>
      <c r="AB4170" s="318"/>
      <c r="AC4170" s="318"/>
      <c r="AD4170" s="318"/>
    </row>
    <row r="4171" spans="2:30" s="323" customFormat="1" ht="12" customHeight="1">
      <c r="B4171" s="324"/>
      <c r="C4171" s="325"/>
      <c r="D4171" s="326"/>
      <c r="E4171" s="326"/>
      <c r="F4171" s="326"/>
      <c r="G4171" s="326"/>
      <c r="H4171" s="326"/>
      <c r="P4171" s="318"/>
      <c r="Q4171" s="318"/>
      <c r="R4171" s="318"/>
      <c r="S4171" s="318"/>
      <c r="T4171" s="318"/>
      <c r="U4171" s="318"/>
      <c r="V4171" s="318"/>
      <c r="W4171" s="318"/>
      <c r="X4171" s="318"/>
      <c r="Y4171" s="318"/>
      <c r="Z4171" s="318"/>
      <c r="AA4171" s="318"/>
      <c r="AB4171" s="318"/>
      <c r="AC4171" s="318"/>
      <c r="AD4171" s="318"/>
    </row>
    <row r="4172" spans="2:30" s="323" customFormat="1" ht="12" customHeight="1">
      <c r="B4172" s="324"/>
      <c r="C4172" s="325"/>
      <c r="D4172" s="326"/>
      <c r="E4172" s="326"/>
      <c r="F4172" s="326"/>
      <c r="G4172" s="326"/>
      <c r="H4172" s="326"/>
      <c r="P4172" s="318"/>
      <c r="Q4172" s="318"/>
      <c r="R4172" s="318"/>
      <c r="S4172" s="318"/>
      <c r="T4172" s="318"/>
      <c r="U4172" s="318"/>
      <c r="V4172" s="318"/>
      <c r="W4172" s="318"/>
      <c r="X4172" s="318"/>
      <c r="Y4172" s="318"/>
      <c r="Z4172" s="318"/>
      <c r="AA4172" s="318"/>
      <c r="AB4172" s="318"/>
      <c r="AC4172" s="318"/>
      <c r="AD4172" s="318"/>
    </row>
    <row r="4173" spans="2:30" s="323" customFormat="1" ht="12" customHeight="1">
      <c r="B4173" s="324"/>
      <c r="C4173" s="325"/>
      <c r="D4173" s="326"/>
      <c r="E4173" s="326"/>
      <c r="F4173" s="326"/>
      <c r="G4173" s="326"/>
      <c r="H4173" s="326"/>
      <c r="P4173" s="318"/>
      <c r="Q4173" s="318"/>
      <c r="R4173" s="318"/>
      <c r="S4173" s="318"/>
      <c r="T4173" s="318"/>
      <c r="U4173" s="318"/>
      <c r="V4173" s="318"/>
      <c r="W4173" s="318"/>
      <c r="X4173" s="318"/>
      <c r="Y4173" s="318"/>
      <c r="Z4173" s="318"/>
      <c r="AA4173" s="318"/>
      <c r="AB4173" s="318"/>
      <c r="AC4173" s="318"/>
      <c r="AD4173" s="318"/>
    </row>
    <row r="4174" spans="2:30" s="323" customFormat="1" ht="12" customHeight="1">
      <c r="B4174" s="324"/>
      <c r="C4174" s="325"/>
      <c r="D4174" s="326"/>
      <c r="E4174" s="326"/>
      <c r="F4174" s="326"/>
      <c r="G4174" s="326"/>
      <c r="H4174" s="326"/>
      <c r="P4174" s="318"/>
      <c r="Q4174" s="318"/>
      <c r="R4174" s="318"/>
      <c r="S4174" s="318"/>
      <c r="T4174" s="318"/>
      <c r="U4174" s="318"/>
      <c r="V4174" s="318"/>
      <c r="W4174" s="318"/>
      <c r="X4174" s="318"/>
      <c r="Y4174" s="318"/>
      <c r="Z4174" s="318"/>
      <c r="AA4174" s="318"/>
      <c r="AB4174" s="318"/>
      <c r="AC4174" s="318"/>
      <c r="AD4174" s="318"/>
    </row>
    <row r="4175" spans="2:30" s="323" customFormat="1" ht="12" customHeight="1">
      <c r="B4175" s="324"/>
      <c r="C4175" s="325"/>
      <c r="D4175" s="326"/>
      <c r="E4175" s="326"/>
      <c r="F4175" s="326"/>
      <c r="G4175" s="326"/>
      <c r="H4175" s="326"/>
      <c r="P4175" s="318"/>
      <c r="Q4175" s="318"/>
      <c r="R4175" s="318"/>
      <c r="S4175" s="318"/>
      <c r="T4175" s="318"/>
      <c r="U4175" s="318"/>
      <c r="V4175" s="318"/>
      <c r="W4175" s="318"/>
      <c r="X4175" s="318"/>
      <c r="Y4175" s="318"/>
      <c r="Z4175" s="318"/>
      <c r="AA4175" s="318"/>
      <c r="AB4175" s="318"/>
      <c r="AC4175" s="318"/>
      <c r="AD4175" s="318"/>
    </row>
    <row r="4176" spans="2:30" s="323" customFormat="1" ht="12" customHeight="1">
      <c r="B4176" s="324"/>
      <c r="C4176" s="325"/>
      <c r="D4176" s="326"/>
      <c r="E4176" s="326"/>
      <c r="F4176" s="326"/>
      <c r="G4176" s="326"/>
      <c r="H4176" s="326"/>
      <c r="P4176" s="318"/>
      <c r="Q4176" s="318"/>
      <c r="R4176" s="318"/>
      <c r="S4176" s="318"/>
      <c r="T4176" s="318"/>
      <c r="U4176" s="318"/>
      <c r="V4176" s="318"/>
      <c r="W4176" s="318"/>
      <c r="X4176" s="318"/>
      <c r="Y4176" s="318"/>
      <c r="Z4176" s="318"/>
      <c r="AA4176" s="318"/>
      <c r="AB4176" s="318"/>
      <c r="AC4176" s="318"/>
      <c r="AD4176" s="318"/>
    </row>
    <row r="4177" spans="2:30" s="323" customFormat="1" ht="12" customHeight="1">
      <c r="B4177" s="324"/>
      <c r="C4177" s="325"/>
      <c r="D4177" s="326"/>
      <c r="E4177" s="326"/>
      <c r="F4177" s="326"/>
      <c r="G4177" s="326"/>
      <c r="H4177" s="326"/>
      <c r="P4177" s="318"/>
      <c r="Q4177" s="318"/>
      <c r="R4177" s="318"/>
      <c r="S4177" s="318"/>
      <c r="T4177" s="318"/>
      <c r="U4177" s="318"/>
      <c r="V4177" s="318"/>
      <c r="W4177" s="318"/>
      <c r="X4177" s="318"/>
      <c r="Y4177" s="318"/>
      <c r="Z4177" s="318"/>
      <c r="AA4177" s="318"/>
      <c r="AB4177" s="318"/>
      <c r="AC4177" s="318"/>
      <c r="AD4177" s="318"/>
    </row>
    <row r="4178" spans="2:30" s="323" customFormat="1" ht="12" customHeight="1">
      <c r="B4178" s="324"/>
      <c r="C4178" s="325"/>
      <c r="D4178" s="326"/>
      <c r="E4178" s="326"/>
      <c r="F4178" s="326"/>
      <c r="G4178" s="326"/>
      <c r="H4178" s="326"/>
      <c r="P4178" s="318"/>
      <c r="Q4178" s="318"/>
      <c r="R4178" s="318"/>
      <c r="S4178" s="318"/>
      <c r="T4178" s="318"/>
      <c r="U4178" s="318"/>
      <c r="V4178" s="318"/>
      <c r="W4178" s="318"/>
      <c r="X4178" s="318"/>
      <c r="Y4178" s="318"/>
      <c r="Z4178" s="318"/>
      <c r="AA4178" s="318"/>
      <c r="AB4178" s="318"/>
      <c r="AC4178" s="318"/>
      <c r="AD4178" s="318"/>
    </row>
    <row r="4179" spans="2:30" s="323" customFormat="1" ht="12" customHeight="1">
      <c r="B4179" s="324"/>
      <c r="C4179" s="325"/>
      <c r="D4179" s="326"/>
      <c r="E4179" s="326"/>
      <c r="F4179" s="326"/>
      <c r="G4179" s="326"/>
      <c r="H4179" s="326"/>
      <c r="P4179" s="318"/>
      <c r="Q4179" s="318"/>
      <c r="R4179" s="318"/>
      <c r="S4179" s="318"/>
      <c r="T4179" s="318"/>
      <c r="U4179" s="318"/>
      <c r="V4179" s="318"/>
      <c r="W4179" s="318"/>
      <c r="X4179" s="318"/>
      <c r="Y4179" s="318"/>
      <c r="Z4179" s="318"/>
      <c r="AA4179" s="318"/>
      <c r="AB4179" s="318"/>
      <c r="AC4179" s="318"/>
      <c r="AD4179" s="318"/>
    </row>
    <row r="4180" spans="2:30" s="323" customFormat="1" ht="12" customHeight="1">
      <c r="B4180" s="324"/>
      <c r="C4180" s="325"/>
      <c r="D4180" s="326"/>
      <c r="E4180" s="326"/>
      <c r="F4180" s="326"/>
      <c r="G4180" s="326"/>
      <c r="H4180" s="326"/>
      <c r="P4180" s="318"/>
      <c r="Q4180" s="318"/>
      <c r="R4180" s="318"/>
      <c r="S4180" s="318"/>
      <c r="T4180" s="318"/>
      <c r="U4180" s="318"/>
      <c r="V4180" s="318"/>
      <c r="W4180" s="318"/>
      <c r="X4180" s="318"/>
      <c r="Y4180" s="318"/>
      <c r="Z4180" s="318"/>
      <c r="AA4180" s="318"/>
      <c r="AB4180" s="318"/>
      <c r="AC4180" s="318"/>
      <c r="AD4180" s="318"/>
    </row>
    <row r="4181" spans="2:30" s="323" customFormat="1" ht="12" customHeight="1">
      <c r="B4181" s="324"/>
      <c r="C4181" s="325"/>
      <c r="D4181" s="326"/>
      <c r="E4181" s="326"/>
      <c r="F4181" s="326"/>
      <c r="G4181" s="326"/>
      <c r="H4181" s="326"/>
      <c r="P4181" s="318"/>
      <c r="Q4181" s="318"/>
      <c r="R4181" s="318"/>
      <c r="S4181" s="318"/>
      <c r="T4181" s="318"/>
      <c r="U4181" s="318"/>
      <c r="V4181" s="318"/>
      <c r="W4181" s="318"/>
      <c r="X4181" s="318"/>
      <c r="Y4181" s="318"/>
      <c r="Z4181" s="318"/>
      <c r="AA4181" s="318"/>
      <c r="AB4181" s="318"/>
      <c r="AC4181" s="318"/>
      <c r="AD4181" s="318"/>
    </row>
    <row r="4182" spans="2:30" s="323" customFormat="1" ht="12" customHeight="1">
      <c r="B4182" s="324"/>
      <c r="C4182" s="325"/>
      <c r="D4182" s="326"/>
      <c r="E4182" s="326"/>
      <c r="F4182" s="326"/>
      <c r="G4182" s="326"/>
      <c r="H4182" s="326"/>
      <c r="P4182" s="318"/>
      <c r="Q4182" s="318"/>
      <c r="R4182" s="318"/>
      <c r="S4182" s="318"/>
      <c r="T4182" s="318"/>
      <c r="U4182" s="318"/>
      <c r="V4182" s="318"/>
      <c r="W4182" s="318"/>
      <c r="X4182" s="318"/>
      <c r="Y4182" s="318"/>
      <c r="Z4182" s="318"/>
      <c r="AA4182" s="318"/>
      <c r="AB4182" s="318"/>
      <c r="AC4182" s="318"/>
      <c r="AD4182" s="318"/>
    </row>
    <row r="4183" spans="2:30" s="323" customFormat="1" ht="12" customHeight="1">
      <c r="B4183" s="324"/>
      <c r="C4183" s="325"/>
      <c r="D4183" s="326"/>
      <c r="E4183" s="326"/>
      <c r="F4183" s="326"/>
      <c r="G4183" s="326"/>
      <c r="H4183" s="326"/>
      <c r="P4183" s="318"/>
      <c r="Q4183" s="318"/>
      <c r="R4183" s="318"/>
      <c r="S4183" s="318"/>
      <c r="T4183" s="318"/>
      <c r="U4183" s="318"/>
      <c r="V4183" s="318"/>
      <c r="W4183" s="318"/>
      <c r="X4183" s="318"/>
      <c r="Y4183" s="318"/>
      <c r="Z4183" s="318"/>
      <c r="AA4183" s="318"/>
      <c r="AB4183" s="318"/>
      <c r="AC4183" s="318"/>
      <c r="AD4183" s="318"/>
    </row>
    <row r="4184" spans="2:30" s="323" customFormat="1" ht="12" customHeight="1">
      <c r="B4184" s="324"/>
      <c r="C4184" s="325"/>
      <c r="D4184" s="326"/>
      <c r="E4184" s="326"/>
      <c r="F4184" s="326"/>
      <c r="G4184" s="326"/>
      <c r="H4184" s="326"/>
      <c r="P4184" s="318"/>
      <c r="Q4184" s="318"/>
      <c r="R4184" s="318"/>
      <c r="S4184" s="318"/>
      <c r="T4184" s="318"/>
      <c r="U4184" s="318"/>
      <c r="V4184" s="318"/>
      <c r="W4184" s="318"/>
      <c r="X4184" s="318"/>
      <c r="Y4184" s="318"/>
      <c r="Z4184" s="318"/>
      <c r="AA4184" s="318"/>
      <c r="AB4184" s="318"/>
      <c r="AC4184" s="318"/>
      <c r="AD4184" s="318"/>
    </row>
    <row r="4185" spans="2:30" s="323" customFormat="1" ht="12" customHeight="1">
      <c r="B4185" s="324"/>
      <c r="C4185" s="325"/>
      <c r="D4185" s="326"/>
      <c r="E4185" s="326"/>
      <c r="F4185" s="326"/>
      <c r="G4185" s="326"/>
      <c r="H4185" s="326"/>
      <c r="P4185" s="318"/>
      <c r="Q4185" s="318"/>
      <c r="R4185" s="318"/>
      <c r="S4185" s="318"/>
      <c r="T4185" s="318"/>
      <c r="U4185" s="318"/>
      <c r="V4185" s="318"/>
      <c r="W4185" s="318"/>
      <c r="X4185" s="318"/>
      <c r="Y4185" s="318"/>
      <c r="Z4185" s="318"/>
      <c r="AA4185" s="318"/>
      <c r="AB4185" s="318"/>
      <c r="AC4185" s="318"/>
      <c r="AD4185" s="318"/>
    </row>
    <row r="4186" spans="2:30" s="323" customFormat="1" ht="12" customHeight="1">
      <c r="B4186" s="324"/>
      <c r="C4186" s="325"/>
      <c r="D4186" s="326"/>
      <c r="E4186" s="326"/>
      <c r="F4186" s="326"/>
      <c r="G4186" s="326"/>
      <c r="H4186" s="326"/>
      <c r="P4186" s="318"/>
      <c r="Q4186" s="318"/>
      <c r="R4186" s="318"/>
      <c r="S4186" s="318"/>
      <c r="T4186" s="318"/>
      <c r="U4186" s="318"/>
      <c r="V4186" s="318"/>
      <c r="W4186" s="318"/>
      <c r="X4186" s="318"/>
      <c r="Y4186" s="318"/>
      <c r="Z4186" s="318"/>
      <c r="AA4186" s="318"/>
      <c r="AB4186" s="318"/>
      <c r="AC4186" s="318"/>
      <c r="AD4186" s="318"/>
    </row>
    <row r="4187" spans="2:30" s="323" customFormat="1" ht="12" customHeight="1">
      <c r="B4187" s="324"/>
      <c r="C4187" s="325"/>
      <c r="D4187" s="326"/>
      <c r="E4187" s="326"/>
      <c r="F4187" s="326"/>
      <c r="G4187" s="326"/>
      <c r="H4187" s="326"/>
      <c r="P4187" s="318"/>
      <c r="Q4187" s="318"/>
      <c r="R4187" s="318"/>
      <c r="S4187" s="318"/>
      <c r="T4187" s="318"/>
      <c r="U4187" s="318"/>
      <c r="V4187" s="318"/>
      <c r="W4187" s="318"/>
      <c r="X4187" s="318"/>
      <c r="Y4187" s="318"/>
      <c r="Z4187" s="318"/>
      <c r="AA4187" s="318"/>
      <c r="AB4187" s="318"/>
      <c r="AC4187" s="318"/>
      <c r="AD4187" s="318"/>
    </row>
    <row r="4188" spans="2:30" s="323" customFormat="1" ht="12" customHeight="1">
      <c r="B4188" s="324"/>
      <c r="C4188" s="325"/>
      <c r="D4188" s="326"/>
      <c r="E4188" s="326"/>
      <c r="F4188" s="326"/>
      <c r="G4188" s="326"/>
      <c r="H4188" s="326"/>
      <c r="P4188" s="318"/>
      <c r="Q4188" s="318"/>
      <c r="R4188" s="318"/>
      <c r="S4188" s="318"/>
      <c r="T4188" s="318"/>
      <c r="U4188" s="318"/>
      <c r="V4188" s="318"/>
      <c r="W4188" s="318"/>
      <c r="X4188" s="318"/>
      <c r="Y4188" s="318"/>
      <c r="Z4188" s="318"/>
      <c r="AA4188" s="318"/>
      <c r="AB4188" s="318"/>
      <c r="AC4188" s="318"/>
      <c r="AD4188" s="318"/>
    </row>
    <row r="4189" spans="2:30" s="323" customFormat="1" ht="12" customHeight="1">
      <c r="B4189" s="324"/>
      <c r="C4189" s="325"/>
      <c r="D4189" s="326"/>
      <c r="E4189" s="326"/>
      <c r="F4189" s="326"/>
      <c r="G4189" s="326"/>
      <c r="H4189" s="326"/>
      <c r="P4189" s="318"/>
      <c r="Q4189" s="318"/>
      <c r="R4189" s="318"/>
      <c r="S4189" s="318"/>
      <c r="T4189" s="318"/>
      <c r="U4189" s="318"/>
      <c r="V4189" s="318"/>
      <c r="W4189" s="318"/>
      <c r="X4189" s="318"/>
      <c r="Y4189" s="318"/>
      <c r="Z4189" s="318"/>
      <c r="AA4189" s="318"/>
      <c r="AB4189" s="318"/>
      <c r="AC4189" s="318"/>
      <c r="AD4189" s="318"/>
    </row>
    <row r="4190" spans="2:30" s="323" customFormat="1" ht="12" customHeight="1">
      <c r="B4190" s="324"/>
      <c r="C4190" s="325"/>
      <c r="D4190" s="326"/>
      <c r="E4190" s="326"/>
      <c r="F4190" s="326"/>
      <c r="G4190" s="326"/>
      <c r="H4190" s="326"/>
      <c r="P4190" s="318"/>
      <c r="Q4190" s="318"/>
      <c r="R4190" s="318"/>
      <c r="S4190" s="318"/>
      <c r="T4190" s="318"/>
      <c r="U4190" s="318"/>
      <c r="V4190" s="318"/>
      <c r="W4190" s="318"/>
      <c r="X4190" s="318"/>
      <c r="Y4190" s="318"/>
      <c r="Z4190" s="318"/>
      <c r="AA4190" s="318"/>
      <c r="AB4190" s="318"/>
      <c r="AC4190" s="318"/>
      <c r="AD4190" s="318"/>
    </row>
    <row r="4191" spans="2:30" s="323" customFormat="1" ht="12" customHeight="1">
      <c r="B4191" s="324"/>
      <c r="C4191" s="325"/>
      <c r="D4191" s="326"/>
      <c r="E4191" s="326"/>
      <c r="F4191" s="326"/>
      <c r="G4191" s="326"/>
      <c r="H4191" s="326"/>
      <c r="P4191" s="318"/>
      <c r="Q4191" s="318"/>
      <c r="R4191" s="318"/>
      <c r="S4191" s="318"/>
      <c r="T4191" s="318"/>
      <c r="U4191" s="318"/>
      <c r="V4191" s="318"/>
      <c r="W4191" s="318"/>
      <c r="X4191" s="318"/>
      <c r="Y4191" s="318"/>
      <c r="Z4191" s="318"/>
      <c r="AA4191" s="318"/>
      <c r="AB4191" s="318"/>
      <c r="AC4191" s="318"/>
      <c r="AD4191" s="318"/>
    </row>
    <row r="4192" spans="2:30" s="323" customFormat="1" ht="12" customHeight="1">
      <c r="B4192" s="324"/>
      <c r="C4192" s="325"/>
      <c r="D4192" s="326"/>
      <c r="E4192" s="326"/>
      <c r="F4192" s="326"/>
      <c r="G4192" s="326"/>
      <c r="H4192" s="326"/>
      <c r="P4192" s="318"/>
      <c r="Q4192" s="318"/>
      <c r="R4192" s="318"/>
      <c r="S4192" s="318"/>
      <c r="T4192" s="318"/>
      <c r="U4192" s="318"/>
      <c r="V4192" s="318"/>
      <c r="W4192" s="318"/>
      <c r="X4192" s="318"/>
      <c r="Y4192" s="318"/>
      <c r="Z4192" s="318"/>
      <c r="AA4192" s="318"/>
      <c r="AB4192" s="318"/>
      <c r="AC4192" s="318"/>
      <c r="AD4192" s="318"/>
    </row>
    <row r="4193" spans="2:30" s="323" customFormat="1" ht="12" customHeight="1">
      <c r="B4193" s="324"/>
      <c r="C4193" s="325"/>
      <c r="D4193" s="326"/>
      <c r="E4193" s="326"/>
      <c r="F4193" s="326"/>
      <c r="G4193" s="326"/>
      <c r="H4193" s="326"/>
      <c r="P4193" s="318"/>
      <c r="Q4193" s="318"/>
      <c r="R4193" s="318"/>
      <c r="S4193" s="318"/>
      <c r="T4193" s="318"/>
      <c r="U4193" s="318"/>
      <c r="V4193" s="318"/>
      <c r="W4193" s="318"/>
      <c r="X4193" s="318"/>
      <c r="Y4193" s="318"/>
      <c r="Z4193" s="318"/>
      <c r="AA4193" s="318"/>
      <c r="AB4193" s="318"/>
      <c r="AC4193" s="318"/>
      <c r="AD4193" s="318"/>
    </row>
    <row r="4194" spans="2:30" s="323" customFormat="1" ht="12" customHeight="1">
      <c r="B4194" s="324"/>
      <c r="C4194" s="325"/>
      <c r="D4194" s="326"/>
      <c r="E4194" s="326"/>
      <c r="F4194" s="326"/>
      <c r="G4194" s="326"/>
      <c r="H4194" s="326"/>
      <c r="P4194" s="318"/>
      <c r="Q4194" s="318"/>
      <c r="R4194" s="318"/>
      <c r="S4194" s="318"/>
      <c r="T4194" s="318"/>
      <c r="U4194" s="318"/>
      <c r="V4194" s="318"/>
      <c r="W4194" s="318"/>
      <c r="X4194" s="318"/>
      <c r="Y4194" s="318"/>
      <c r="Z4194" s="318"/>
      <c r="AA4194" s="318"/>
      <c r="AB4194" s="318"/>
      <c r="AC4194" s="318"/>
      <c r="AD4194" s="318"/>
    </row>
    <row r="4195" spans="2:30" s="323" customFormat="1" ht="12" customHeight="1">
      <c r="B4195" s="324"/>
      <c r="C4195" s="325"/>
      <c r="D4195" s="326"/>
      <c r="E4195" s="326"/>
      <c r="F4195" s="326"/>
      <c r="G4195" s="326"/>
      <c r="H4195" s="326"/>
      <c r="P4195" s="318"/>
      <c r="Q4195" s="318"/>
      <c r="R4195" s="318"/>
      <c r="S4195" s="318"/>
      <c r="T4195" s="318"/>
      <c r="U4195" s="318"/>
      <c r="V4195" s="318"/>
      <c r="W4195" s="318"/>
      <c r="X4195" s="318"/>
      <c r="Y4195" s="318"/>
      <c r="Z4195" s="318"/>
      <c r="AA4195" s="318"/>
      <c r="AB4195" s="318"/>
      <c r="AC4195" s="318"/>
      <c r="AD4195" s="318"/>
    </row>
    <row r="4196" spans="2:30" s="323" customFormat="1" ht="12" customHeight="1">
      <c r="B4196" s="324"/>
      <c r="C4196" s="325"/>
      <c r="D4196" s="326"/>
      <c r="E4196" s="326"/>
      <c r="F4196" s="326"/>
      <c r="G4196" s="326"/>
      <c r="H4196" s="326"/>
      <c r="P4196" s="318"/>
      <c r="Q4196" s="318"/>
      <c r="R4196" s="318"/>
      <c r="S4196" s="318"/>
      <c r="T4196" s="318"/>
      <c r="U4196" s="318"/>
      <c r="V4196" s="318"/>
      <c r="W4196" s="318"/>
      <c r="X4196" s="318"/>
      <c r="Y4196" s="318"/>
      <c r="Z4196" s="318"/>
      <c r="AA4196" s="318"/>
      <c r="AB4196" s="318"/>
      <c r="AC4196" s="318"/>
      <c r="AD4196" s="318"/>
    </row>
    <row r="4197" spans="2:30" s="323" customFormat="1" ht="12" customHeight="1">
      <c r="B4197" s="324"/>
      <c r="C4197" s="325"/>
      <c r="D4197" s="326"/>
      <c r="E4197" s="326"/>
      <c r="F4197" s="326"/>
      <c r="G4197" s="326"/>
      <c r="H4197" s="326"/>
      <c r="P4197" s="318"/>
      <c r="Q4197" s="318"/>
      <c r="R4197" s="318"/>
      <c r="S4197" s="318"/>
      <c r="T4197" s="318"/>
      <c r="U4197" s="318"/>
      <c r="V4197" s="318"/>
      <c r="W4197" s="318"/>
      <c r="X4197" s="318"/>
      <c r="Y4197" s="318"/>
      <c r="Z4197" s="318"/>
      <c r="AA4197" s="318"/>
      <c r="AB4197" s="318"/>
      <c r="AC4197" s="318"/>
      <c r="AD4197" s="318"/>
    </row>
    <row r="4198" spans="2:30" s="323" customFormat="1" ht="12" customHeight="1">
      <c r="B4198" s="324"/>
      <c r="C4198" s="325"/>
      <c r="D4198" s="326"/>
      <c r="E4198" s="326"/>
      <c r="F4198" s="326"/>
      <c r="G4198" s="326"/>
      <c r="H4198" s="326"/>
      <c r="P4198" s="318"/>
      <c r="Q4198" s="318"/>
      <c r="R4198" s="318"/>
      <c r="S4198" s="318"/>
      <c r="T4198" s="318"/>
      <c r="U4198" s="318"/>
      <c r="V4198" s="318"/>
      <c r="W4198" s="318"/>
      <c r="X4198" s="318"/>
      <c r="Y4198" s="318"/>
      <c r="Z4198" s="318"/>
      <c r="AA4198" s="318"/>
      <c r="AB4198" s="318"/>
      <c r="AC4198" s="318"/>
      <c r="AD4198" s="318"/>
    </row>
    <row r="4199" spans="2:30" s="323" customFormat="1" ht="12" customHeight="1">
      <c r="B4199" s="324"/>
      <c r="C4199" s="325"/>
      <c r="D4199" s="326"/>
      <c r="E4199" s="326"/>
      <c r="F4199" s="326"/>
      <c r="G4199" s="326"/>
      <c r="H4199" s="326"/>
      <c r="P4199" s="318"/>
      <c r="Q4199" s="318"/>
      <c r="R4199" s="318"/>
      <c r="S4199" s="318"/>
      <c r="T4199" s="318"/>
      <c r="U4199" s="318"/>
      <c r="V4199" s="318"/>
      <c r="W4199" s="318"/>
      <c r="X4199" s="318"/>
      <c r="Y4199" s="318"/>
      <c r="Z4199" s="318"/>
      <c r="AA4199" s="318"/>
      <c r="AB4199" s="318"/>
      <c r="AC4199" s="318"/>
      <c r="AD4199" s="318"/>
    </row>
    <row r="4200" spans="2:30" s="323" customFormat="1" ht="12" customHeight="1">
      <c r="B4200" s="324"/>
      <c r="C4200" s="325"/>
      <c r="D4200" s="326"/>
      <c r="E4200" s="326"/>
      <c r="F4200" s="326"/>
      <c r="G4200" s="326"/>
      <c r="H4200" s="326"/>
      <c r="P4200" s="318"/>
      <c r="Q4200" s="318"/>
      <c r="R4200" s="318"/>
      <c r="S4200" s="318"/>
      <c r="T4200" s="318"/>
      <c r="U4200" s="318"/>
      <c r="V4200" s="318"/>
      <c r="W4200" s="318"/>
      <c r="X4200" s="318"/>
      <c r="Y4200" s="318"/>
      <c r="Z4200" s="318"/>
      <c r="AA4200" s="318"/>
      <c r="AB4200" s="318"/>
      <c r="AC4200" s="318"/>
      <c r="AD4200" s="318"/>
    </row>
    <row r="4201" spans="2:30" s="323" customFormat="1" ht="12" customHeight="1">
      <c r="B4201" s="324"/>
      <c r="C4201" s="325"/>
      <c r="D4201" s="326"/>
      <c r="E4201" s="326"/>
      <c r="F4201" s="326"/>
      <c r="G4201" s="326"/>
      <c r="H4201" s="326"/>
      <c r="P4201" s="318"/>
      <c r="Q4201" s="318"/>
      <c r="R4201" s="318"/>
      <c r="S4201" s="318"/>
      <c r="T4201" s="318"/>
      <c r="U4201" s="318"/>
      <c r="V4201" s="318"/>
      <c r="W4201" s="318"/>
      <c r="X4201" s="318"/>
      <c r="Y4201" s="318"/>
      <c r="Z4201" s="318"/>
      <c r="AA4201" s="318"/>
      <c r="AB4201" s="318"/>
      <c r="AC4201" s="318"/>
      <c r="AD4201" s="318"/>
    </row>
    <row r="4202" spans="2:30" s="323" customFormat="1" ht="12" customHeight="1">
      <c r="B4202" s="324"/>
      <c r="C4202" s="325"/>
      <c r="D4202" s="326"/>
      <c r="E4202" s="326"/>
      <c r="F4202" s="326"/>
      <c r="G4202" s="326"/>
      <c r="H4202" s="326"/>
      <c r="P4202" s="318"/>
      <c r="Q4202" s="318"/>
      <c r="R4202" s="318"/>
      <c r="S4202" s="318"/>
      <c r="T4202" s="318"/>
      <c r="U4202" s="318"/>
      <c r="V4202" s="318"/>
      <c r="W4202" s="318"/>
      <c r="X4202" s="318"/>
      <c r="Y4202" s="318"/>
      <c r="Z4202" s="318"/>
      <c r="AA4202" s="318"/>
      <c r="AB4202" s="318"/>
      <c r="AC4202" s="318"/>
      <c r="AD4202" s="318"/>
    </row>
    <row r="4203" spans="2:30" s="323" customFormat="1" ht="12" customHeight="1">
      <c r="B4203" s="324"/>
      <c r="C4203" s="325"/>
      <c r="D4203" s="326"/>
      <c r="E4203" s="326"/>
      <c r="F4203" s="326"/>
      <c r="G4203" s="326"/>
      <c r="H4203" s="326"/>
      <c r="P4203" s="318"/>
      <c r="Q4203" s="318"/>
      <c r="R4203" s="318"/>
      <c r="S4203" s="318"/>
      <c r="T4203" s="318"/>
      <c r="U4203" s="318"/>
      <c r="V4203" s="318"/>
      <c r="W4203" s="318"/>
      <c r="X4203" s="318"/>
      <c r="Y4203" s="318"/>
      <c r="Z4203" s="318"/>
      <c r="AA4203" s="318"/>
      <c r="AB4203" s="318"/>
      <c r="AC4203" s="318"/>
      <c r="AD4203" s="318"/>
    </row>
    <row r="4204" spans="2:30" s="323" customFormat="1" ht="12" customHeight="1">
      <c r="B4204" s="324"/>
      <c r="C4204" s="325"/>
      <c r="D4204" s="326"/>
      <c r="E4204" s="326"/>
      <c r="F4204" s="326"/>
      <c r="G4204" s="326"/>
      <c r="H4204" s="326"/>
      <c r="P4204" s="318"/>
      <c r="Q4204" s="318"/>
      <c r="R4204" s="318"/>
      <c r="S4204" s="318"/>
      <c r="T4204" s="318"/>
      <c r="U4204" s="318"/>
      <c r="V4204" s="318"/>
      <c r="W4204" s="318"/>
      <c r="X4204" s="318"/>
      <c r="Y4204" s="318"/>
      <c r="Z4204" s="318"/>
      <c r="AA4204" s="318"/>
      <c r="AB4204" s="318"/>
      <c r="AC4204" s="318"/>
      <c r="AD4204" s="318"/>
    </row>
    <row r="4205" spans="2:30" s="323" customFormat="1" ht="12" customHeight="1">
      <c r="B4205" s="324"/>
      <c r="C4205" s="325"/>
      <c r="D4205" s="326"/>
      <c r="E4205" s="326"/>
      <c r="F4205" s="326"/>
      <c r="G4205" s="326"/>
      <c r="H4205" s="326"/>
      <c r="P4205" s="318"/>
      <c r="Q4205" s="318"/>
      <c r="R4205" s="318"/>
      <c r="S4205" s="318"/>
      <c r="T4205" s="318"/>
      <c r="U4205" s="318"/>
      <c r="V4205" s="318"/>
      <c r="W4205" s="318"/>
      <c r="X4205" s="318"/>
      <c r="Y4205" s="318"/>
      <c r="Z4205" s="318"/>
      <c r="AA4205" s="318"/>
      <c r="AB4205" s="318"/>
      <c r="AC4205" s="318"/>
      <c r="AD4205" s="318"/>
    </row>
    <row r="4206" spans="2:30" s="323" customFormat="1" ht="12" customHeight="1">
      <c r="B4206" s="324"/>
      <c r="C4206" s="325"/>
      <c r="D4206" s="326"/>
      <c r="E4206" s="326"/>
      <c r="F4206" s="326"/>
      <c r="G4206" s="326"/>
      <c r="H4206" s="326"/>
      <c r="P4206" s="318"/>
      <c r="Q4206" s="318"/>
      <c r="R4206" s="318"/>
      <c r="S4206" s="318"/>
      <c r="T4206" s="318"/>
      <c r="U4206" s="318"/>
      <c r="V4206" s="318"/>
      <c r="W4206" s="318"/>
      <c r="X4206" s="318"/>
      <c r="Y4206" s="318"/>
      <c r="Z4206" s="318"/>
      <c r="AA4206" s="318"/>
      <c r="AB4206" s="318"/>
      <c r="AC4206" s="318"/>
      <c r="AD4206" s="318"/>
    </row>
    <row r="4207" spans="2:30" s="323" customFormat="1" ht="12" customHeight="1">
      <c r="B4207" s="324"/>
      <c r="C4207" s="325"/>
      <c r="D4207" s="326"/>
      <c r="E4207" s="326"/>
      <c r="F4207" s="326"/>
      <c r="G4207" s="326"/>
      <c r="H4207" s="326"/>
      <c r="P4207" s="318"/>
      <c r="Q4207" s="318"/>
      <c r="R4207" s="318"/>
      <c r="S4207" s="318"/>
      <c r="T4207" s="318"/>
      <c r="U4207" s="318"/>
      <c r="V4207" s="318"/>
      <c r="W4207" s="318"/>
      <c r="X4207" s="318"/>
      <c r="Y4207" s="318"/>
      <c r="Z4207" s="318"/>
      <c r="AA4207" s="318"/>
      <c r="AB4207" s="318"/>
      <c r="AC4207" s="318"/>
      <c r="AD4207" s="318"/>
    </row>
    <row r="4208" spans="2:30" s="323" customFormat="1" ht="12" customHeight="1">
      <c r="B4208" s="324"/>
      <c r="C4208" s="325"/>
      <c r="D4208" s="326"/>
      <c r="E4208" s="326"/>
      <c r="F4208" s="326"/>
      <c r="G4208" s="326"/>
      <c r="H4208" s="326"/>
      <c r="P4208" s="318"/>
      <c r="Q4208" s="318"/>
      <c r="R4208" s="318"/>
      <c r="S4208" s="318"/>
      <c r="T4208" s="318"/>
      <c r="U4208" s="318"/>
      <c r="V4208" s="318"/>
      <c r="W4208" s="318"/>
      <c r="X4208" s="318"/>
      <c r="Y4208" s="318"/>
      <c r="Z4208" s="318"/>
      <c r="AA4208" s="318"/>
      <c r="AB4208" s="318"/>
      <c r="AC4208" s="318"/>
      <c r="AD4208" s="318"/>
    </row>
    <row r="4209" spans="2:30" s="323" customFormat="1" ht="12" customHeight="1">
      <c r="B4209" s="324"/>
      <c r="C4209" s="325"/>
      <c r="D4209" s="326"/>
      <c r="E4209" s="326"/>
      <c r="F4209" s="326"/>
      <c r="G4209" s="326"/>
      <c r="H4209" s="326"/>
      <c r="P4209" s="318"/>
      <c r="Q4209" s="318"/>
      <c r="R4209" s="318"/>
      <c r="S4209" s="318"/>
      <c r="T4209" s="318"/>
      <c r="U4209" s="318"/>
      <c r="V4209" s="318"/>
      <c r="W4209" s="318"/>
      <c r="X4209" s="318"/>
      <c r="Y4209" s="318"/>
      <c r="Z4209" s="318"/>
      <c r="AA4209" s="318"/>
      <c r="AB4209" s="318"/>
      <c r="AC4209" s="318"/>
      <c r="AD4209" s="318"/>
    </row>
    <row r="4210" spans="2:30" s="323" customFormat="1" ht="12" customHeight="1">
      <c r="B4210" s="324"/>
      <c r="C4210" s="325"/>
      <c r="D4210" s="326"/>
      <c r="E4210" s="326"/>
      <c r="F4210" s="326"/>
      <c r="G4210" s="326"/>
      <c r="H4210" s="326"/>
      <c r="P4210" s="318"/>
      <c r="Q4210" s="318"/>
      <c r="R4210" s="318"/>
      <c r="S4210" s="318"/>
      <c r="T4210" s="318"/>
      <c r="U4210" s="318"/>
      <c r="V4210" s="318"/>
      <c r="W4210" s="318"/>
      <c r="X4210" s="318"/>
      <c r="Y4210" s="318"/>
      <c r="Z4210" s="318"/>
      <c r="AA4210" s="318"/>
      <c r="AB4210" s="318"/>
      <c r="AC4210" s="318"/>
      <c r="AD4210" s="318"/>
    </row>
    <row r="4211" spans="2:30" s="323" customFormat="1" ht="12" customHeight="1">
      <c r="B4211" s="324"/>
      <c r="C4211" s="325"/>
      <c r="D4211" s="326"/>
      <c r="E4211" s="326"/>
      <c r="F4211" s="326"/>
      <c r="G4211" s="326"/>
      <c r="H4211" s="326"/>
      <c r="P4211" s="318"/>
      <c r="Q4211" s="318"/>
      <c r="R4211" s="318"/>
      <c r="S4211" s="318"/>
      <c r="T4211" s="318"/>
      <c r="U4211" s="318"/>
      <c r="V4211" s="318"/>
      <c r="W4211" s="318"/>
      <c r="X4211" s="318"/>
      <c r="Y4211" s="318"/>
      <c r="Z4211" s="318"/>
      <c r="AA4211" s="318"/>
      <c r="AB4211" s="318"/>
      <c r="AC4211" s="318"/>
      <c r="AD4211" s="318"/>
    </row>
    <row r="4212" spans="2:30" s="323" customFormat="1" ht="12" customHeight="1">
      <c r="B4212" s="324"/>
      <c r="C4212" s="325"/>
      <c r="D4212" s="326"/>
      <c r="E4212" s="326"/>
      <c r="F4212" s="326"/>
      <c r="G4212" s="326"/>
      <c r="H4212" s="326"/>
      <c r="P4212" s="318"/>
      <c r="Q4212" s="318"/>
      <c r="R4212" s="318"/>
      <c r="S4212" s="318"/>
      <c r="T4212" s="318"/>
      <c r="U4212" s="318"/>
      <c r="V4212" s="318"/>
      <c r="W4212" s="318"/>
      <c r="X4212" s="318"/>
      <c r="Y4212" s="318"/>
      <c r="Z4212" s="318"/>
      <c r="AA4212" s="318"/>
      <c r="AB4212" s="318"/>
      <c r="AC4212" s="318"/>
      <c r="AD4212" s="318"/>
    </row>
    <row r="4213" spans="2:30" s="323" customFormat="1" ht="12" customHeight="1">
      <c r="B4213" s="324"/>
      <c r="C4213" s="325"/>
      <c r="D4213" s="326"/>
      <c r="E4213" s="326"/>
      <c r="F4213" s="326"/>
      <c r="G4213" s="326"/>
      <c r="H4213" s="326"/>
      <c r="P4213" s="318"/>
      <c r="Q4213" s="318"/>
      <c r="R4213" s="318"/>
      <c r="S4213" s="318"/>
      <c r="T4213" s="318"/>
      <c r="U4213" s="318"/>
      <c r="V4213" s="318"/>
      <c r="W4213" s="318"/>
      <c r="X4213" s="318"/>
      <c r="Y4213" s="318"/>
      <c r="Z4213" s="318"/>
      <c r="AA4213" s="318"/>
      <c r="AB4213" s="318"/>
      <c r="AC4213" s="318"/>
      <c r="AD4213" s="318"/>
    </row>
    <row r="4214" spans="2:30" s="323" customFormat="1" ht="12" customHeight="1">
      <c r="B4214" s="324"/>
      <c r="C4214" s="325"/>
      <c r="D4214" s="326"/>
      <c r="E4214" s="326"/>
      <c r="F4214" s="326"/>
      <c r="G4214" s="326"/>
      <c r="H4214" s="326"/>
      <c r="P4214" s="318"/>
      <c r="Q4214" s="318"/>
      <c r="R4214" s="318"/>
      <c r="S4214" s="318"/>
      <c r="T4214" s="318"/>
      <c r="U4214" s="318"/>
      <c r="V4214" s="318"/>
      <c r="W4214" s="318"/>
      <c r="X4214" s="318"/>
      <c r="Y4214" s="318"/>
      <c r="Z4214" s="318"/>
      <c r="AA4214" s="318"/>
      <c r="AB4214" s="318"/>
      <c r="AC4214" s="318"/>
      <c r="AD4214" s="318"/>
    </row>
    <row r="4215" spans="2:30" s="323" customFormat="1" ht="12" customHeight="1">
      <c r="B4215" s="324"/>
      <c r="C4215" s="325"/>
      <c r="D4215" s="326"/>
      <c r="E4215" s="326"/>
      <c r="F4215" s="326"/>
      <c r="G4215" s="326"/>
      <c r="H4215" s="326"/>
      <c r="P4215" s="318"/>
      <c r="Q4215" s="318"/>
      <c r="R4215" s="318"/>
      <c r="S4215" s="318"/>
      <c r="T4215" s="318"/>
      <c r="U4215" s="318"/>
      <c r="V4215" s="318"/>
      <c r="W4215" s="318"/>
      <c r="X4215" s="318"/>
      <c r="Y4215" s="318"/>
      <c r="Z4215" s="318"/>
      <c r="AA4215" s="318"/>
      <c r="AB4215" s="318"/>
      <c r="AC4215" s="318"/>
      <c r="AD4215" s="318"/>
    </row>
    <row r="4216" spans="2:30" s="323" customFormat="1" ht="12" customHeight="1">
      <c r="B4216" s="324"/>
      <c r="C4216" s="325"/>
      <c r="D4216" s="326"/>
      <c r="E4216" s="326"/>
      <c r="F4216" s="326"/>
      <c r="G4216" s="326"/>
      <c r="H4216" s="326"/>
      <c r="P4216" s="318"/>
      <c r="Q4216" s="318"/>
      <c r="R4216" s="318"/>
      <c r="S4216" s="318"/>
      <c r="T4216" s="318"/>
      <c r="U4216" s="318"/>
      <c r="V4216" s="318"/>
      <c r="W4216" s="318"/>
      <c r="X4216" s="318"/>
      <c r="Y4216" s="318"/>
      <c r="Z4216" s="318"/>
      <c r="AA4216" s="318"/>
      <c r="AB4216" s="318"/>
      <c r="AC4216" s="318"/>
      <c r="AD4216" s="318"/>
    </row>
    <row r="4217" spans="2:30" s="323" customFormat="1" ht="12" customHeight="1">
      <c r="B4217" s="324"/>
      <c r="C4217" s="325"/>
      <c r="D4217" s="326"/>
      <c r="E4217" s="326"/>
      <c r="F4217" s="326"/>
      <c r="G4217" s="326"/>
      <c r="H4217" s="326"/>
      <c r="P4217" s="318"/>
      <c r="Q4217" s="318"/>
      <c r="R4217" s="318"/>
      <c r="S4217" s="318"/>
      <c r="T4217" s="318"/>
      <c r="U4217" s="318"/>
      <c r="V4217" s="318"/>
      <c r="W4217" s="318"/>
      <c r="X4217" s="318"/>
      <c r="Y4217" s="318"/>
      <c r="Z4217" s="318"/>
      <c r="AA4217" s="318"/>
      <c r="AB4217" s="318"/>
      <c r="AC4217" s="318"/>
      <c r="AD4217" s="318"/>
    </row>
    <row r="4218" spans="2:30" s="323" customFormat="1" ht="12" customHeight="1">
      <c r="B4218" s="324"/>
      <c r="C4218" s="325"/>
      <c r="D4218" s="326"/>
      <c r="E4218" s="326"/>
      <c r="F4218" s="326"/>
      <c r="G4218" s="326"/>
      <c r="H4218" s="326"/>
      <c r="P4218" s="318"/>
      <c r="Q4218" s="318"/>
      <c r="R4218" s="318"/>
      <c r="S4218" s="318"/>
      <c r="T4218" s="318"/>
      <c r="U4218" s="318"/>
      <c r="V4218" s="318"/>
      <c r="W4218" s="318"/>
      <c r="X4218" s="318"/>
      <c r="Y4218" s="318"/>
      <c r="Z4218" s="318"/>
      <c r="AA4218" s="318"/>
      <c r="AB4218" s="318"/>
      <c r="AC4218" s="318"/>
      <c r="AD4218" s="318"/>
    </row>
    <row r="4219" spans="2:30" s="323" customFormat="1" ht="12" customHeight="1">
      <c r="B4219" s="324"/>
      <c r="C4219" s="325"/>
      <c r="D4219" s="326"/>
      <c r="E4219" s="326"/>
      <c r="F4219" s="326"/>
      <c r="G4219" s="326"/>
      <c r="H4219" s="326"/>
      <c r="P4219" s="318"/>
      <c r="Q4219" s="318"/>
      <c r="R4219" s="318"/>
      <c r="S4219" s="318"/>
      <c r="T4219" s="318"/>
      <c r="U4219" s="318"/>
      <c r="V4219" s="318"/>
      <c r="W4219" s="318"/>
      <c r="X4219" s="318"/>
      <c r="Y4219" s="318"/>
      <c r="Z4219" s="318"/>
      <c r="AA4219" s="318"/>
      <c r="AB4219" s="318"/>
      <c r="AC4219" s="318"/>
      <c r="AD4219" s="318"/>
    </row>
    <row r="4220" spans="2:30" s="323" customFormat="1" ht="12" customHeight="1">
      <c r="B4220" s="324"/>
      <c r="C4220" s="325"/>
      <c r="D4220" s="326"/>
      <c r="E4220" s="326"/>
      <c r="F4220" s="326"/>
      <c r="G4220" s="326"/>
      <c r="H4220" s="326"/>
      <c r="P4220" s="318"/>
      <c r="Q4220" s="318"/>
      <c r="R4220" s="318"/>
      <c r="S4220" s="318"/>
      <c r="T4220" s="318"/>
      <c r="U4220" s="318"/>
      <c r="V4220" s="318"/>
      <c r="W4220" s="318"/>
      <c r="X4220" s="318"/>
      <c r="Y4220" s="318"/>
      <c r="Z4220" s="318"/>
      <c r="AA4220" s="318"/>
      <c r="AB4220" s="318"/>
      <c r="AC4220" s="318"/>
      <c r="AD4220" s="318"/>
    </row>
    <row r="4221" spans="2:30" s="323" customFormat="1" ht="12" customHeight="1">
      <c r="B4221" s="324"/>
      <c r="C4221" s="325"/>
      <c r="D4221" s="326"/>
      <c r="E4221" s="326"/>
      <c r="F4221" s="326"/>
      <c r="G4221" s="326"/>
      <c r="H4221" s="326"/>
      <c r="P4221" s="318"/>
      <c r="Q4221" s="318"/>
      <c r="R4221" s="318"/>
      <c r="S4221" s="318"/>
      <c r="T4221" s="318"/>
      <c r="U4221" s="318"/>
      <c r="V4221" s="318"/>
      <c r="W4221" s="318"/>
      <c r="X4221" s="318"/>
      <c r="Y4221" s="318"/>
      <c r="Z4221" s="318"/>
      <c r="AA4221" s="318"/>
      <c r="AB4221" s="318"/>
      <c r="AC4221" s="318"/>
      <c r="AD4221" s="318"/>
    </row>
    <row r="4222" spans="2:30" s="323" customFormat="1" ht="12" customHeight="1">
      <c r="B4222" s="324"/>
      <c r="C4222" s="325"/>
      <c r="D4222" s="326"/>
      <c r="E4222" s="326"/>
      <c r="F4222" s="326"/>
      <c r="G4222" s="326"/>
      <c r="H4222" s="326"/>
      <c r="P4222" s="318"/>
      <c r="Q4222" s="318"/>
      <c r="R4222" s="318"/>
      <c r="S4222" s="318"/>
      <c r="T4222" s="318"/>
      <c r="U4222" s="318"/>
      <c r="V4222" s="318"/>
      <c r="W4222" s="318"/>
      <c r="X4222" s="318"/>
      <c r="Y4222" s="318"/>
      <c r="Z4222" s="318"/>
      <c r="AA4222" s="318"/>
      <c r="AB4222" s="318"/>
      <c r="AC4222" s="318"/>
      <c r="AD4222" s="318"/>
    </row>
    <row r="4223" spans="2:30" s="323" customFormat="1" ht="12" customHeight="1">
      <c r="B4223" s="324"/>
      <c r="C4223" s="325"/>
      <c r="D4223" s="326"/>
      <c r="E4223" s="326"/>
      <c r="F4223" s="326"/>
      <c r="G4223" s="326"/>
      <c r="H4223" s="326"/>
      <c r="P4223" s="318"/>
      <c r="Q4223" s="318"/>
      <c r="R4223" s="318"/>
      <c r="S4223" s="318"/>
      <c r="T4223" s="318"/>
      <c r="U4223" s="318"/>
      <c r="V4223" s="318"/>
      <c r="W4223" s="318"/>
      <c r="X4223" s="318"/>
      <c r="Y4223" s="318"/>
      <c r="Z4223" s="318"/>
      <c r="AA4223" s="318"/>
      <c r="AB4223" s="318"/>
      <c r="AC4223" s="318"/>
      <c r="AD4223" s="318"/>
    </row>
    <row r="4224" spans="2:30" s="323" customFormat="1" ht="12" customHeight="1">
      <c r="B4224" s="324"/>
      <c r="C4224" s="325"/>
      <c r="D4224" s="326"/>
      <c r="E4224" s="326"/>
      <c r="F4224" s="326"/>
      <c r="G4224" s="326"/>
      <c r="H4224" s="326"/>
      <c r="P4224" s="318"/>
      <c r="Q4224" s="318"/>
      <c r="R4224" s="318"/>
      <c r="S4224" s="318"/>
      <c r="T4224" s="318"/>
      <c r="U4224" s="318"/>
      <c r="V4224" s="318"/>
      <c r="W4224" s="318"/>
      <c r="X4224" s="318"/>
      <c r="Y4224" s="318"/>
      <c r="Z4224" s="318"/>
      <c r="AA4224" s="318"/>
      <c r="AB4224" s="318"/>
      <c r="AC4224" s="318"/>
      <c r="AD4224" s="318"/>
    </row>
    <row r="4225" spans="2:30" s="323" customFormat="1" ht="12" customHeight="1">
      <c r="B4225" s="324"/>
      <c r="C4225" s="325"/>
      <c r="D4225" s="326"/>
      <c r="E4225" s="326"/>
      <c r="F4225" s="326"/>
      <c r="G4225" s="326"/>
      <c r="H4225" s="326"/>
      <c r="P4225" s="318"/>
      <c r="Q4225" s="318"/>
      <c r="R4225" s="318"/>
      <c r="S4225" s="318"/>
      <c r="T4225" s="318"/>
      <c r="U4225" s="318"/>
      <c r="V4225" s="318"/>
      <c r="W4225" s="318"/>
      <c r="X4225" s="318"/>
      <c r="Y4225" s="318"/>
      <c r="Z4225" s="318"/>
      <c r="AA4225" s="318"/>
      <c r="AB4225" s="318"/>
      <c r="AC4225" s="318"/>
      <c r="AD4225" s="318"/>
    </row>
    <row r="4226" spans="2:30" s="323" customFormat="1" ht="12" customHeight="1">
      <c r="B4226" s="324"/>
      <c r="C4226" s="325"/>
      <c r="D4226" s="326"/>
      <c r="E4226" s="326"/>
      <c r="F4226" s="326"/>
      <c r="G4226" s="326"/>
      <c r="H4226" s="326"/>
      <c r="P4226" s="318"/>
      <c r="Q4226" s="318"/>
      <c r="R4226" s="318"/>
      <c r="S4226" s="318"/>
      <c r="T4226" s="318"/>
      <c r="U4226" s="318"/>
      <c r="V4226" s="318"/>
      <c r="W4226" s="318"/>
      <c r="X4226" s="318"/>
      <c r="Y4226" s="318"/>
      <c r="Z4226" s="318"/>
      <c r="AA4226" s="318"/>
      <c r="AB4226" s="318"/>
      <c r="AC4226" s="318"/>
      <c r="AD4226" s="318"/>
    </row>
    <row r="4227" spans="2:30" s="323" customFormat="1" ht="12" customHeight="1">
      <c r="B4227" s="324"/>
      <c r="C4227" s="325"/>
      <c r="D4227" s="326"/>
      <c r="E4227" s="326"/>
      <c r="F4227" s="326"/>
      <c r="G4227" s="326"/>
      <c r="H4227" s="326"/>
      <c r="P4227" s="318"/>
      <c r="Q4227" s="318"/>
      <c r="R4227" s="318"/>
      <c r="S4227" s="318"/>
      <c r="T4227" s="318"/>
      <c r="U4227" s="318"/>
      <c r="V4227" s="318"/>
      <c r="W4227" s="318"/>
      <c r="X4227" s="318"/>
      <c r="Y4227" s="318"/>
      <c r="Z4227" s="318"/>
      <c r="AA4227" s="318"/>
      <c r="AB4227" s="318"/>
      <c r="AC4227" s="318"/>
      <c r="AD4227" s="318"/>
    </row>
    <row r="4228" spans="2:30" s="323" customFormat="1" ht="12" customHeight="1">
      <c r="B4228" s="324"/>
      <c r="C4228" s="325"/>
      <c r="D4228" s="326"/>
      <c r="E4228" s="326"/>
      <c r="F4228" s="326"/>
      <c r="G4228" s="326"/>
      <c r="H4228" s="326"/>
      <c r="P4228" s="318"/>
      <c r="Q4228" s="318"/>
      <c r="R4228" s="318"/>
      <c r="S4228" s="318"/>
      <c r="T4228" s="318"/>
      <c r="U4228" s="318"/>
      <c r="V4228" s="318"/>
      <c r="W4228" s="318"/>
      <c r="X4228" s="318"/>
      <c r="Y4228" s="318"/>
      <c r="Z4228" s="318"/>
      <c r="AA4228" s="318"/>
      <c r="AB4228" s="318"/>
      <c r="AC4228" s="318"/>
      <c r="AD4228" s="318"/>
    </row>
    <row r="4229" spans="2:30" s="323" customFormat="1" ht="12" customHeight="1">
      <c r="B4229" s="324"/>
      <c r="C4229" s="325"/>
      <c r="D4229" s="326"/>
      <c r="E4229" s="326"/>
      <c r="F4229" s="326"/>
      <c r="G4229" s="326"/>
      <c r="H4229" s="326"/>
      <c r="P4229" s="318"/>
      <c r="Q4229" s="318"/>
      <c r="R4229" s="318"/>
      <c r="S4229" s="318"/>
      <c r="T4229" s="318"/>
      <c r="U4229" s="318"/>
      <c r="V4229" s="318"/>
      <c r="W4229" s="318"/>
      <c r="X4229" s="318"/>
      <c r="Y4229" s="318"/>
      <c r="Z4229" s="318"/>
      <c r="AA4229" s="318"/>
      <c r="AB4229" s="318"/>
      <c r="AC4229" s="318"/>
      <c r="AD4229" s="318"/>
    </row>
    <row r="4230" spans="2:30" s="323" customFormat="1" ht="12" customHeight="1">
      <c r="B4230" s="324"/>
      <c r="C4230" s="325"/>
      <c r="D4230" s="326"/>
      <c r="E4230" s="326"/>
      <c r="F4230" s="326"/>
      <c r="G4230" s="326"/>
      <c r="H4230" s="326"/>
      <c r="P4230" s="318"/>
      <c r="Q4230" s="318"/>
      <c r="R4230" s="318"/>
      <c r="S4230" s="318"/>
      <c r="T4230" s="318"/>
      <c r="U4230" s="318"/>
      <c r="V4230" s="318"/>
      <c r="W4230" s="318"/>
      <c r="X4230" s="318"/>
      <c r="Y4230" s="318"/>
      <c r="Z4230" s="318"/>
      <c r="AA4230" s="318"/>
      <c r="AB4230" s="318"/>
      <c r="AC4230" s="318"/>
      <c r="AD4230" s="318"/>
    </row>
    <row r="4231" spans="2:30" s="323" customFormat="1" ht="12" customHeight="1">
      <c r="B4231" s="324"/>
      <c r="C4231" s="325"/>
      <c r="D4231" s="326"/>
      <c r="E4231" s="326"/>
      <c r="F4231" s="326"/>
      <c r="G4231" s="326"/>
      <c r="H4231" s="326"/>
      <c r="P4231" s="318"/>
      <c r="Q4231" s="318"/>
      <c r="R4231" s="318"/>
      <c r="S4231" s="318"/>
      <c r="T4231" s="318"/>
      <c r="U4231" s="318"/>
      <c r="V4231" s="318"/>
      <c r="W4231" s="318"/>
      <c r="X4231" s="318"/>
      <c r="Y4231" s="318"/>
      <c r="Z4231" s="318"/>
      <c r="AA4231" s="318"/>
      <c r="AB4231" s="318"/>
      <c r="AC4231" s="318"/>
      <c r="AD4231" s="318"/>
    </row>
    <row r="4232" spans="2:30" s="323" customFormat="1" ht="12" customHeight="1">
      <c r="B4232" s="324"/>
      <c r="C4232" s="325"/>
      <c r="D4232" s="326"/>
      <c r="E4232" s="326"/>
      <c r="F4232" s="326"/>
      <c r="G4232" s="326"/>
      <c r="H4232" s="326"/>
      <c r="P4232" s="318"/>
      <c r="Q4232" s="318"/>
      <c r="R4232" s="318"/>
      <c r="S4232" s="318"/>
      <c r="T4232" s="318"/>
      <c r="U4232" s="318"/>
      <c r="V4232" s="318"/>
      <c r="W4232" s="318"/>
      <c r="X4232" s="318"/>
      <c r="Y4232" s="318"/>
      <c r="Z4232" s="318"/>
      <c r="AA4232" s="318"/>
      <c r="AB4232" s="318"/>
      <c r="AC4232" s="318"/>
      <c r="AD4232" s="318"/>
    </row>
    <row r="4233" spans="2:30" s="323" customFormat="1" ht="12" customHeight="1">
      <c r="B4233" s="324"/>
      <c r="C4233" s="325"/>
      <c r="D4233" s="326"/>
      <c r="E4233" s="326"/>
      <c r="F4233" s="326"/>
      <c r="G4233" s="326"/>
      <c r="H4233" s="326"/>
      <c r="P4233" s="318"/>
      <c r="Q4233" s="318"/>
      <c r="R4233" s="318"/>
      <c r="S4233" s="318"/>
      <c r="T4233" s="318"/>
      <c r="U4233" s="318"/>
      <c r="V4233" s="318"/>
      <c r="W4233" s="318"/>
      <c r="X4233" s="318"/>
      <c r="Y4233" s="318"/>
      <c r="Z4233" s="318"/>
      <c r="AA4233" s="318"/>
      <c r="AB4233" s="318"/>
      <c r="AC4233" s="318"/>
      <c r="AD4233" s="318"/>
    </row>
    <row r="4234" spans="2:30" s="323" customFormat="1" ht="12" customHeight="1">
      <c r="B4234" s="324"/>
      <c r="C4234" s="325"/>
      <c r="D4234" s="326"/>
      <c r="E4234" s="326"/>
      <c r="F4234" s="326"/>
      <c r="G4234" s="326"/>
      <c r="H4234" s="326"/>
      <c r="P4234" s="318"/>
      <c r="Q4234" s="318"/>
      <c r="R4234" s="318"/>
      <c r="S4234" s="318"/>
      <c r="T4234" s="318"/>
      <c r="U4234" s="318"/>
      <c r="V4234" s="318"/>
      <c r="W4234" s="318"/>
      <c r="X4234" s="318"/>
      <c r="Y4234" s="318"/>
      <c r="Z4234" s="318"/>
      <c r="AA4234" s="318"/>
      <c r="AB4234" s="318"/>
      <c r="AC4234" s="318"/>
      <c r="AD4234" s="318"/>
    </row>
    <row r="4235" spans="2:30" s="323" customFormat="1" ht="12" customHeight="1">
      <c r="B4235" s="324"/>
      <c r="C4235" s="325"/>
      <c r="D4235" s="326"/>
      <c r="E4235" s="326"/>
      <c r="F4235" s="326"/>
      <c r="G4235" s="326"/>
      <c r="H4235" s="326"/>
      <c r="P4235" s="318"/>
      <c r="Q4235" s="318"/>
      <c r="R4235" s="318"/>
      <c r="S4235" s="318"/>
      <c r="T4235" s="318"/>
      <c r="U4235" s="318"/>
      <c r="V4235" s="318"/>
      <c r="W4235" s="318"/>
      <c r="X4235" s="318"/>
      <c r="Y4235" s="318"/>
      <c r="Z4235" s="318"/>
      <c r="AA4235" s="318"/>
      <c r="AB4235" s="318"/>
      <c r="AC4235" s="318"/>
      <c r="AD4235" s="318"/>
    </row>
    <row r="4236" spans="2:30" s="323" customFormat="1" ht="12" customHeight="1">
      <c r="B4236" s="324"/>
      <c r="C4236" s="325"/>
      <c r="D4236" s="326"/>
      <c r="E4236" s="326"/>
      <c r="F4236" s="326"/>
      <c r="G4236" s="326"/>
      <c r="H4236" s="326"/>
      <c r="P4236" s="318"/>
      <c r="Q4236" s="318"/>
      <c r="R4236" s="318"/>
      <c r="S4236" s="318"/>
      <c r="T4236" s="318"/>
      <c r="U4236" s="318"/>
      <c r="V4236" s="318"/>
      <c r="W4236" s="318"/>
      <c r="X4236" s="318"/>
      <c r="Y4236" s="318"/>
      <c r="Z4236" s="318"/>
      <c r="AA4236" s="318"/>
      <c r="AB4236" s="318"/>
      <c r="AC4236" s="318"/>
      <c r="AD4236" s="318"/>
    </row>
    <row r="4237" spans="2:30" s="323" customFormat="1" ht="12" customHeight="1">
      <c r="B4237" s="324"/>
      <c r="C4237" s="325"/>
      <c r="D4237" s="326"/>
      <c r="E4237" s="326"/>
      <c r="F4237" s="326"/>
      <c r="G4237" s="326"/>
      <c r="H4237" s="326"/>
      <c r="P4237" s="318"/>
      <c r="Q4237" s="318"/>
      <c r="R4237" s="318"/>
      <c r="S4237" s="318"/>
      <c r="T4237" s="318"/>
      <c r="U4237" s="318"/>
      <c r="V4237" s="318"/>
      <c r="W4237" s="318"/>
      <c r="X4237" s="318"/>
      <c r="Y4237" s="318"/>
      <c r="Z4237" s="318"/>
      <c r="AA4237" s="318"/>
      <c r="AB4237" s="318"/>
      <c r="AC4237" s="318"/>
      <c r="AD4237" s="318"/>
    </row>
    <row r="4238" spans="2:30" s="323" customFormat="1" ht="12" customHeight="1">
      <c r="B4238" s="324"/>
      <c r="C4238" s="325"/>
      <c r="D4238" s="326"/>
      <c r="E4238" s="326"/>
      <c r="F4238" s="326"/>
      <c r="G4238" s="326"/>
      <c r="H4238" s="326"/>
      <c r="P4238" s="318"/>
      <c r="Q4238" s="318"/>
      <c r="R4238" s="318"/>
      <c r="S4238" s="318"/>
      <c r="T4238" s="318"/>
      <c r="U4238" s="318"/>
      <c r="V4238" s="318"/>
      <c r="W4238" s="318"/>
      <c r="X4238" s="318"/>
      <c r="Y4238" s="318"/>
      <c r="Z4238" s="318"/>
      <c r="AA4238" s="318"/>
      <c r="AB4238" s="318"/>
      <c r="AC4238" s="318"/>
      <c r="AD4238" s="318"/>
    </row>
    <row r="4239" spans="2:30" s="323" customFormat="1" ht="12" customHeight="1">
      <c r="B4239" s="324"/>
      <c r="C4239" s="325"/>
      <c r="D4239" s="326"/>
      <c r="E4239" s="326"/>
      <c r="F4239" s="326"/>
      <c r="G4239" s="326"/>
      <c r="H4239" s="326"/>
      <c r="P4239" s="318"/>
      <c r="Q4239" s="318"/>
      <c r="R4239" s="318"/>
      <c r="S4239" s="318"/>
      <c r="T4239" s="318"/>
      <c r="U4239" s="318"/>
      <c r="V4239" s="318"/>
      <c r="W4239" s="318"/>
      <c r="X4239" s="318"/>
      <c r="Y4239" s="318"/>
      <c r="Z4239" s="318"/>
      <c r="AA4239" s="318"/>
      <c r="AB4239" s="318"/>
      <c r="AC4239" s="318"/>
      <c r="AD4239" s="318"/>
    </row>
    <row r="4240" spans="2:30" s="323" customFormat="1" ht="12" customHeight="1">
      <c r="B4240" s="324"/>
      <c r="C4240" s="325"/>
      <c r="D4240" s="326"/>
      <c r="E4240" s="326"/>
      <c r="F4240" s="326"/>
      <c r="G4240" s="326"/>
      <c r="H4240" s="326"/>
      <c r="P4240" s="318"/>
      <c r="Q4240" s="318"/>
      <c r="R4240" s="318"/>
      <c r="S4240" s="318"/>
      <c r="T4240" s="318"/>
      <c r="U4240" s="318"/>
      <c r="V4240" s="318"/>
      <c r="W4240" s="318"/>
      <c r="X4240" s="318"/>
      <c r="Y4240" s="318"/>
      <c r="Z4240" s="318"/>
      <c r="AA4240" s="318"/>
      <c r="AB4240" s="318"/>
      <c r="AC4240" s="318"/>
      <c r="AD4240" s="318"/>
    </row>
    <row r="4241" spans="2:30" s="323" customFormat="1" ht="12" customHeight="1">
      <c r="B4241" s="324"/>
      <c r="C4241" s="325"/>
      <c r="D4241" s="326"/>
      <c r="E4241" s="326"/>
      <c r="F4241" s="326"/>
      <c r="G4241" s="326"/>
      <c r="H4241" s="326"/>
      <c r="P4241" s="318"/>
      <c r="Q4241" s="318"/>
      <c r="R4241" s="318"/>
      <c r="S4241" s="318"/>
      <c r="T4241" s="318"/>
      <c r="U4241" s="318"/>
      <c r="V4241" s="318"/>
      <c r="W4241" s="318"/>
      <c r="X4241" s="318"/>
      <c r="Y4241" s="318"/>
      <c r="Z4241" s="318"/>
      <c r="AA4241" s="318"/>
      <c r="AB4241" s="318"/>
      <c r="AC4241" s="318"/>
      <c r="AD4241" s="318"/>
    </row>
    <row r="4242" spans="2:30" s="323" customFormat="1" ht="12" customHeight="1">
      <c r="B4242" s="324"/>
      <c r="C4242" s="325"/>
      <c r="D4242" s="326"/>
      <c r="E4242" s="326"/>
      <c r="F4242" s="326"/>
      <c r="G4242" s="326"/>
      <c r="H4242" s="326"/>
      <c r="P4242" s="318"/>
      <c r="Q4242" s="318"/>
      <c r="R4242" s="318"/>
      <c r="S4242" s="318"/>
      <c r="T4242" s="318"/>
      <c r="U4242" s="318"/>
      <c r="V4242" s="318"/>
      <c r="W4242" s="318"/>
      <c r="X4242" s="318"/>
      <c r="Y4242" s="318"/>
      <c r="Z4242" s="318"/>
      <c r="AA4242" s="318"/>
      <c r="AB4242" s="318"/>
      <c r="AC4242" s="318"/>
      <c r="AD4242" s="318"/>
    </row>
    <row r="4243" spans="2:30" s="323" customFormat="1" ht="12" customHeight="1">
      <c r="B4243" s="324"/>
      <c r="C4243" s="325"/>
      <c r="D4243" s="326"/>
      <c r="E4243" s="326"/>
      <c r="F4243" s="326"/>
      <c r="G4243" s="326"/>
      <c r="H4243" s="326"/>
      <c r="P4243" s="318"/>
      <c r="Q4243" s="318"/>
      <c r="R4243" s="318"/>
      <c r="S4243" s="318"/>
      <c r="T4243" s="318"/>
      <c r="U4243" s="318"/>
      <c r="V4243" s="318"/>
      <c r="W4243" s="318"/>
      <c r="X4243" s="318"/>
      <c r="Y4243" s="318"/>
      <c r="Z4243" s="318"/>
      <c r="AA4243" s="318"/>
      <c r="AB4243" s="318"/>
      <c r="AC4243" s="318"/>
      <c r="AD4243" s="318"/>
    </row>
    <row r="4244" spans="2:30" s="323" customFormat="1" ht="12" customHeight="1">
      <c r="B4244" s="324"/>
      <c r="C4244" s="325"/>
      <c r="D4244" s="326"/>
      <c r="E4244" s="326"/>
      <c r="F4244" s="326"/>
      <c r="G4244" s="326"/>
      <c r="H4244" s="326"/>
      <c r="P4244" s="318"/>
      <c r="Q4244" s="318"/>
      <c r="R4244" s="318"/>
      <c r="S4244" s="318"/>
      <c r="T4244" s="318"/>
      <c r="U4244" s="318"/>
      <c r="V4244" s="318"/>
      <c r="W4244" s="318"/>
      <c r="X4244" s="318"/>
      <c r="Y4244" s="318"/>
      <c r="Z4244" s="318"/>
      <c r="AA4244" s="318"/>
      <c r="AB4244" s="318"/>
      <c r="AC4244" s="318"/>
      <c r="AD4244" s="318"/>
    </row>
    <row r="4245" spans="2:30" s="323" customFormat="1" ht="12" customHeight="1">
      <c r="B4245" s="324"/>
      <c r="C4245" s="325"/>
      <c r="D4245" s="326"/>
      <c r="E4245" s="326"/>
      <c r="F4245" s="326"/>
      <c r="G4245" s="326"/>
      <c r="H4245" s="326"/>
      <c r="P4245" s="318"/>
      <c r="Q4245" s="318"/>
      <c r="R4245" s="318"/>
      <c r="S4245" s="318"/>
      <c r="T4245" s="318"/>
      <c r="U4245" s="318"/>
      <c r="V4245" s="318"/>
      <c r="W4245" s="318"/>
      <c r="X4245" s="318"/>
      <c r="Y4245" s="318"/>
      <c r="Z4245" s="318"/>
      <c r="AA4245" s="318"/>
      <c r="AB4245" s="318"/>
      <c r="AC4245" s="318"/>
      <c r="AD4245" s="318"/>
    </row>
    <row r="4246" spans="2:30" s="323" customFormat="1" ht="12" customHeight="1">
      <c r="B4246" s="324"/>
      <c r="C4246" s="325"/>
      <c r="D4246" s="326"/>
      <c r="E4246" s="326"/>
      <c r="F4246" s="326"/>
      <c r="G4246" s="326"/>
      <c r="H4246" s="326"/>
      <c r="P4246" s="318"/>
      <c r="Q4246" s="318"/>
      <c r="R4246" s="318"/>
      <c r="S4246" s="318"/>
      <c r="T4246" s="318"/>
      <c r="U4246" s="318"/>
      <c r="V4246" s="318"/>
      <c r="W4246" s="318"/>
      <c r="X4246" s="318"/>
      <c r="Y4246" s="318"/>
      <c r="Z4246" s="318"/>
      <c r="AA4246" s="318"/>
      <c r="AB4246" s="318"/>
      <c r="AC4246" s="318"/>
      <c r="AD4246" s="318"/>
    </row>
    <row r="4247" spans="2:30" s="323" customFormat="1" ht="12" customHeight="1">
      <c r="B4247" s="324"/>
      <c r="C4247" s="325"/>
      <c r="D4247" s="326"/>
      <c r="E4247" s="326"/>
      <c r="F4247" s="326"/>
      <c r="G4247" s="326"/>
      <c r="H4247" s="326"/>
      <c r="P4247" s="318"/>
      <c r="Q4247" s="318"/>
      <c r="R4247" s="318"/>
      <c r="S4247" s="318"/>
      <c r="T4247" s="318"/>
      <c r="U4247" s="318"/>
      <c r="V4247" s="318"/>
      <c r="W4247" s="318"/>
      <c r="X4247" s="318"/>
      <c r="Y4247" s="318"/>
      <c r="Z4247" s="318"/>
      <c r="AA4247" s="318"/>
      <c r="AB4247" s="318"/>
      <c r="AC4247" s="318"/>
      <c r="AD4247" s="318"/>
    </row>
    <row r="4248" spans="2:30" s="323" customFormat="1" ht="12" customHeight="1">
      <c r="B4248" s="324"/>
      <c r="C4248" s="325"/>
      <c r="D4248" s="326"/>
      <c r="E4248" s="326"/>
      <c r="F4248" s="326"/>
      <c r="G4248" s="326"/>
      <c r="H4248" s="326"/>
      <c r="P4248" s="318"/>
      <c r="Q4248" s="318"/>
      <c r="R4248" s="318"/>
      <c r="S4248" s="318"/>
      <c r="T4248" s="318"/>
      <c r="U4248" s="318"/>
      <c r="V4248" s="318"/>
      <c r="W4248" s="318"/>
      <c r="X4248" s="318"/>
      <c r="Y4248" s="318"/>
      <c r="Z4248" s="318"/>
      <c r="AA4248" s="318"/>
      <c r="AB4248" s="318"/>
      <c r="AC4248" s="318"/>
      <c r="AD4248" s="318"/>
    </row>
    <row r="4249" spans="2:30" s="323" customFormat="1" ht="12" customHeight="1">
      <c r="B4249" s="324"/>
      <c r="C4249" s="325"/>
      <c r="D4249" s="326"/>
      <c r="E4249" s="326"/>
      <c r="F4249" s="326"/>
      <c r="G4249" s="326"/>
      <c r="H4249" s="326"/>
      <c r="P4249" s="318"/>
      <c r="Q4249" s="318"/>
      <c r="R4249" s="318"/>
      <c r="S4249" s="318"/>
      <c r="T4249" s="318"/>
      <c r="U4249" s="318"/>
      <c r="V4249" s="318"/>
      <c r="W4249" s="318"/>
      <c r="X4249" s="318"/>
      <c r="Y4249" s="318"/>
      <c r="Z4249" s="318"/>
      <c r="AA4249" s="318"/>
      <c r="AB4249" s="318"/>
      <c r="AC4249" s="318"/>
      <c r="AD4249" s="318"/>
    </row>
    <row r="4250" spans="2:30" s="323" customFormat="1" ht="12" customHeight="1">
      <c r="B4250" s="324"/>
      <c r="C4250" s="325"/>
      <c r="D4250" s="326"/>
      <c r="E4250" s="326"/>
      <c r="F4250" s="326"/>
      <c r="G4250" s="326"/>
      <c r="H4250" s="326"/>
      <c r="P4250" s="318"/>
      <c r="Q4250" s="318"/>
      <c r="R4250" s="318"/>
      <c r="S4250" s="318"/>
      <c r="T4250" s="318"/>
      <c r="U4250" s="318"/>
      <c r="V4250" s="318"/>
      <c r="W4250" s="318"/>
      <c r="X4250" s="318"/>
      <c r="Y4250" s="318"/>
      <c r="Z4250" s="318"/>
      <c r="AA4250" s="318"/>
      <c r="AB4250" s="318"/>
      <c r="AC4250" s="318"/>
      <c r="AD4250" s="318"/>
    </row>
    <row r="4251" spans="2:30" s="323" customFormat="1" ht="12" customHeight="1">
      <c r="B4251" s="324"/>
      <c r="C4251" s="325"/>
      <c r="D4251" s="326"/>
      <c r="E4251" s="326"/>
      <c r="F4251" s="326"/>
      <c r="G4251" s="326"/>
      <c r="H4251" s="326"/>
      <c r="P4251" s="318"/>
      <c r="Q4251" s="318"/>
      <c r="R4251" s="318"/>
      <c r="S4251" s="318"/>
      <c r="T4251" s="318"/>
      <c r="U4251" s="318"/>
      <c r="V4251" s="318"/>
      <c r="W4251" s="318"/>
      <c r="X4251" s="318"/>
      <c r="Y4251" s="318"/>
      <c r="Z4251" s="318"/>
      <c r="AA4251" s="318"/>
      <c r="AB4251" s="318"/>
      <c r="AC4251" s="318"/>
      <c r="AD4251" s="318"/>
    </row>
    <row r="4252" spans="2:30" s="323" customFormat="1" ht="12" customHeight="1">
      <c r="B4252" s="324"/>
      <c r="C4252" s="325"/>
      <c r="D4252" s="326"/>
      <c r="E4252" s="326"/>
      <c r="F4252" s="326"/>
      <c r="G4252" s="326"/>
      <c r="H4252" s="326"/>
      <c r="P4252" s="318"/>
      <c r="Q4252" s="318"/>
      <c r="R4252" s="318"/>
      <c r="S4252" s="318"/>
      <c r="T4252" s="318"/>
      <c r="U4252" s="318"/>
      <c r="V4252" s="318"/>
      <c r="W4252" s="318"/>
      <c r="X4252" s="318"/>
      <c r="Y4252" s="318"/>
      <c r="Z4252" s="318"/>
      <c r="AA4252" s="318"/>
      <c r="AB4252" s="318"/>
      <c r="AC4252" s="318"/>
      <c r="AD4252" s="318"/>
    </row>
    <row r="4253" spans="2:30" s="323" customFormat="1" ht="12" customHeight="1">
      <c r="B4253" s="324"/>
      <c r="C4253" s="325"/>
      <c r="D4253" s="326"/>
      <c r="E4253" s="326"/>
      <c r="F4253" s="326"/>
      <c r="G4253" s="326"/>
      <c r="H4253" s="326"/>
      <c r="P4253" s="318"/>
      <c r="Q4253" s="318"/>
      <c r="R4253" s="318"/>
      <c r="S4253" s="318"/>
      <c r="T4253" s="318"/>
      <c r="U4253" s="318"/>
      <c r="V4253" s="318"/>
      <c r="W4253" s="318"/>
      <c r="X4253" s="318"/>
      <c r="Y4253" s="318"/>
      <c r="Z4253" s="318"/>
      <c r="AA4253" s="318"/>
      <c r="AB4253" s="318"/>
      <c r="AC4253" s="318"/>
      <c r="AD4253" s="318"/>
    </row>
    <row r="4254" spans="2:30" s="323" customFormat="1" ht="12" customHeight="1">
      <c r="B4254" s="324"/>
      <c r="C4254" s="325"/>
      <c r="D4254" s="326"/>
      <c r="E4254" s="326"/>
      <c r="F4254" s="326"/>
      <c r="G4254" s="326"/>
      <c r="H4254" s="326"/>
      <c r="P4254" s="318"/>
      <c r="Q4254" s="318"/>
      <c r="R4254" s="318"/>
      <c r="S4254" s="318"/>
      <c r="T4254" s="318"/>
      <c r="U4254" s="318"/>
      <c r="V4254" s="318"/>
      <c r="W4254" s="318"/>
      <c r="X4254" s="318"/>
      <c r="Y4254" s="318"/>
      <c r="Z4254" s="318"/>
      <c r="AA4254" s="318"/>
      <c r="AB4254" s="318"/>
      <c r="AC4254" s="318"/>
      <c r="AD4254" s="318"/>
    </row>
    <row r="4255" spans="2:30" s="323" customFormat="1" ht="12" customHeight="1">
      <c r="B4255" s="324"/>
      <c r="C4255" s="325"/>
      <c r="D4255" s="326"/>
      <c r="E4255" s="326"/>
      <c r="F4255" s="326"/>
      <c r="G4255" s="326"/>
      <c r="H4255" s="326"/>
      <c r="P4255" s="318"/>
      <c r="Q4255" s="318"/>
      <c r="R4255" s="318"/>
      <c r="S4255" s="318"/>
      <c r="T4255" s="318"/>
      <c r="U4255" s="318"/>
      <c r="V4255" s="318"/>
      <c r="W4255" s="318"/>
      <c r="X4255" s="318"/>
      <c r="Y4255" s="318"/>
      <c r="Z4255" s="318"/>
      <c r="AA4255" s="318"/>
      <c r="AB4255" s="318"/>
      <c r="AC4255" s="318"/>
      <c r="AD4255" s="318"/>
    </row>
    <row r="4256" spans="2:30" s="323" customFormat="1" ht="12" customHeight="1">
      <c r="B4256" s="324"/>
      <c r="C4256" s="325"/>
      <c r="D4256" s="326"/>
      <c r="E4256" s="326"/>
      <c r="F4256" s="326"/>
      <c r="G4256" s="326"/>
      <c r="H4256" s="326"/>
      <c r="P4256" s="318"/>
      <c r="Q4256" s="318"/>
      <c r="R4256" s="318"/>
      <c r="S4256" s="318"/>
      <c r="T4256" s="318"/>
      <c r="U4256" s="318"/>
      <c r="V4256" s="318"/>
      <c r="W4256" s="318"/>
      <c r="X4256" s="318"/>
      <c r="Y4256" s="318"/>
      <c r="Z4256" s="318"/>
      <c r="AA4256" s="318"/>
      <c r="AB4256" s="318"/>
      <c r="AC4256" s="318"/>
      <c r="AD4256" s="318"/>
    </row>
    <row r="4257" spans="2:30" s="323" customFormat="1" ht="12" customHeight="1">
      <c r="B4257" s="324"/>
      <c r="C4257" s="325"/>
      <c r="D4257" s="326"/>
      <c r="E4257" s="326"/>
      <c r="F4257" s="326"/>
      <c r="G4257" s="326"/>
      <c r="H4257" s="326"/>
      <c r="P4257" s="318"/>
      <c r="Q4257" s="318"/>
      <c r="R4257" s="318"/>
      <c r="S4257" s="318"/>
      <c r="T4257" s="318"/>
      <c r="U4257" s="318"/>
      <c r="V4257" s="318"/>
      <c r="W4257" s="318"/>
      <c r="X4257" s="318"/>
      <c r="Y4257" s="318"/>
      <c r="Z4257" s="318"/>
      <c r="AA4257" s="318"/>
      <c r="AB4257" s="318"/>
      <c r="AC4257" s="318"/>
      <c r="AD4257" s="318"/>
    </row>
    <row r="4258" spans="2:30" s="323" customFormat="1" ht="12" customHeight="1">
      <c r="B4258" s="324"/>
      <c r="C4258" s="325"/>
      <c r="D4258" s="326"/>
      <c r="E4258" s="326"/>
      <c r="F4258" s="326"/>
      <c r="G4258" s="326"/>
      <c r="H4258" s="326"/>
      <c r="P4258" s="318"/>
      <c r="Q4258" s="318"/>
      <c r="R4258" s="318"/>
      <c r="S4258" s="318"/>
      <c r="T4258" s="318"/>
      <c r="U4258" s="318"/>
      <c r="V4258" s="318"/>
      <c r="W4258" s="318"/>
      <c r="X4258" s="318"/>
      <c r="Y4258" s="318"/>
      <c r="Z4258" s="318"/>
      <c r="AA4258" s="318"/>
      <c r="AB4258" s="318"/>
      <c r="AC4258" s="318"/>
      <c r="AD4258" s="318"/>
    </row>
    <row r="4259" spans="2:30" s="323" customFormat="1" ht="12" customHeight="1">
      <c r="B4259" s="324"/>
      <c r="C4259" s="325"/>
      <c r="D4259" s="326"/>
      <c r="E4259" s="326"/>
      <c r="F4259" s="326"/>
      <c r="G4259" s="326"/>
      <c r="H4259" s="326"/>
      <c r="P4259" s="318"/>
      <c r="Q4259" s="318"/>
      <c r="R4259" s="318"/>
      <c r="S4259" s="318"/>
      <c r="T4259" s="318"/>
      <c r="U4259" s="318"/>
      <c r="V4259" s="318"/>
      <c r="W4259" s="318"/>
      <c r="X4259" s="318"/>
      <c r="Y4259" s="318"/>
      <c r="Z4259" s="318"/>
      <c r="AA4259" s="318"/>
      <c r="AB4259" s="318"/>
      <c r="AC4259" s="318"/>
      <c r="AD4259" s="318"/>
    </row>
    <row r="4260" spans="2:30" s="323" customFormat="1" ht="12" customHeight="1">
      <c r="B4260" s="324"/>
      <c r="C4260" s="325"/>
      <c r="D4260" s="326"/>
      <c r="E4260" s="326"/>
      <c r="F4260" s="326"/>
      <c r="G4260" s="326"/>
      <c r="H4260" s="326"/>
      <c r="P4260" s="318"/>
      <c r="Q4260" s="318"/>
      <c r="R4260" s="318"/>
      <c r="S4260" s="318"/>
      <c r="T4260" s="318"/>
      <c r="U4260" s="318"/>
      <c r="V4260" s="318"/>
      <c r="W4260" s="318"/>
      <c r="X4260" s="318"/>
      <c r="Y4260" s="318"/>
      <c r="Z4260" s="318"/>
      <c r="AA4260" s="318"/>
      <c r="AB4260" s="318"/>
      <c r="AC4260" s="318"/>
      <c r="AD4260" s="318"/>
    </row>
    <row r="4261" spans="2:30" s="323" customFormat="1" ht="12" customHeight="1">
      <c r="B4261" s="324"/>
      <c r="C4261" s="325"/>
      <c r="D4261" s="326"/>
      <c r="E4261" s="326"/>
      <c r="F4261" s="326"/>
      <c r="G4261" s="326"/>
      <c r="H4261" s="326"/>
      <c r="P4261" s="318"/>
      <c r="Q4261" s="318"/>
      <c r="R4261" s="318"/>
      <c r="S4261" s="318"/>
      <c r="T4261" s="318"/>
      <c r="U4261" s="318"/>
      <c r="V4261" s="318"/>
      <c r="W4261" s="318"/>
      <c r="X4261" s="318"/>
      <c r="Y4261" s="318"/>
      <c r="Z4261" s="318"/>
      <c r="AA4261" s="318"/>
      <c r="AB4261" s="318"/>
      <c r="AC4261" s="318"/>
      <c r="AD4261" s="318"/>
    </row>
    <row r="4262" spans="2:30" s="323" customFormat="1" ht="12" customHeight="1">
      <c r="B4262" s="324"/>
      <c r="C4262" s="325"/>
      <c r="D4262" s="326"/>
      <c r="E4262" s="326"/>
      <c r="F4262" s="326"/>
      <c r="G4262" s="326"/>
      <c r="H4262" s="326"/>
      <c r="P4262" s="318"/>
      <c r="Q4262" s="318"/>
      <c r="R4262" s="318"/>
      <c r="S4262" s="318"/>
      <c r="T4262" s="318"/>
      <c r="U4262" s="318"/>
      <c r="V4262" s="318"/>
      <c r="W4262" s="318"/>
      <c r="X4262" s="318"/>
      <c r="Y4262" s="318"/>
      <c r="Z4262" s="318"/>
      <c r="AA4262" s="318"/>
      <c r="AB4262" s="318"/>
      <c r="AC4262" s="318"/>
      <c r="AD4262" s="318"/>
    </row>
    <row r="4263" spans="2:30" s="323" customFormat="1" ht="12" customHeight="1">
      <c r="B4263" s="324"/>
      <c r="C4263" s="325"/>
      <c r="D4263" s="326"/>
      <c r="E4263" s="326"/>
      <c r="F4263" s="326"/>
      <c r="G4263" s="326"/>
      <c r="H4263" s="326"/>
      <c r="P4263" s="318"/>
      <c r="Q4263" s="318"/>
      <c r="R4263" s="318"/>
      <c r="S4263" s="318"/>
      <c r="T4263" s="318"/>
      <c r="U4263" s="318"/>
      <c r="V4263" s="318"/>
      <c r="W4263" s="318"/>
      <c r="X4263" s="318"/>
      <c r="Y4263" s="318"/>
      <c r="Z4263" s="318"/>
      <c r="AA4263" s="318"/>
      <c r="AB4263" s="318"/>
      <c r="AC4263" s="318"/>
      <c r="AD4263" s="318"/>
    </row>
    <row r="4264" spans="2:30" s="323" customFormat="1" ht="12" customHeight="1">
      <c r="B4264" s="324"/>
      <c r="C4264" s="325"/>
      <c r="D4264" s="326"/>
      <c r="E4264" s="326"/>
      <c r="F4264" s="326"/>
      <c r="G4264" s="326"/>
      <c r="H4264" s="326"/>
      <c r="P4264" s="318"/>
      <c r="Q4264" s="318"/>
      <c r="R4264" s="318"/>
      <c r="S4264" s="318"/>
      <c r="T4264" s="318"/>
      <c r="U4264" s="318"/>
      <c r="V4264" s="318"/>
      <c r="W4264" s="318"/>
      <c r="X4264" s="318"/>
      <c r="Y4264" s="318"/>
      <c r="Z4264" s="318"/>
      <c r="AA4264" s="318"/>
      <c r="AB4264" s="318"/>
      <c r="AC4264" s="318"/>
      <c r="AD4264" s="318"/>
    </row>
    <row r="4265" spans="2:30" s="323" customFormat="1" ht="12" customHeight="1">
      <c r="B4265" s="324"/>
      <c r="C4265" s="325"/>
      <c r="D4265" s="326"/>
      <c r="E4265" s="326"/>
      <c r="F4265" s="326"/>
      <c r="G4265" s="326"/>
      <c r="H4265" s="326"/>
      <c r="P4265" s="318"/>
      <c r="Q4265" s="318"/>
      <c r="R4265" s="318"/>
      <c r="S4265" s="318"/>
      <c r="T4265" s="318"/>
      <c r="U4265" s="318"/>
      <c r="V4265" s="318"/>
      <c r="W4265" s="318"/>
      <c r="X4265" s="318"/>
      <c r="Y4265" s="318"/>
      <c r="Z4265" s="318"/>
      <c r="AA4265" s="318"/>
      <c r="AB4265" s="318"/>
      <c r="AC4265" s="318"/>
      <c r="AD4265" s="318"/>
    </row>
    <row r="4266" spans="2:30" s="323" customFormat="1" ht="12" customHeight="1">
      <c r="B4266" s="324"/>
      <c r="C4266" s="325"/>
      <c r="D4266" s="326"/>
      <c r="E4266" s="326"/>
      <c r="F4266" s="326"/>
      <c r="G4266" s="326"/>
      <c r="H4266" s="326"/>
      <c r="P4266" s="318"/>
      <c r="Q4266" s="318"/>
      <c r="R4266" s="318"/>
      <c r="S4266" s="318"/>
      <c r="T4266" s="318"/>
      <c r="U4266" s="318"/>
      <c r="V4266" s="318"/>
      <c r="W4266" s="318"/>
      <c r="X4266" s="318"/>
      <c r="Y4266" s="318"/>
      <c r="Z4266" s="318"/>
      <c r="AA4266" s="318"/>
      <c r="AB4266" s="318"/>
      <c r="AC4266" s="318"/>
      <c r="AD4266" s="318"/>
    </row>
    <row r="4267" spans="2:30" s="323" customFormat="1" ht="12" customHeight="1">
      <c r="B4267" s="324"/>
      <c r="C4267" s="325"/>
      <c r="D4267" s="326"/>
      <c r="E4267" s="326"/>
      <c r="F4267" s="326"/>
      <c r="G4267" s="326"/>
      <c r="H4267" s="326"/>
      <c r="P4267" s="318"/>
      <c r="Q4267" s="318"/>
      <c r="R4267" s="318"/>
      <c r="S4267" s="318"/>
      <c r="T4267" s="318"/>
      <c r="U4267" s="318"/>
      <c r="V4267" s="318"/>
      <c r="W4267" s="318"/>
      <c r="X4267" s="318"/>
      <c r="Y4267" s="318"/>
      <c r="Z4267" s="318"/>
      <c r="AA4267" s="318"/>
      <c r="AB4267" s="318"/>
      <c r="AC4267" s="318"/>
      <c r="AD4267" s="318"/>
    </row>
    <row r="4268" spans="2:30" s="323" customFormat="1" ht="12" customHeight="1">
      <c r="B4268" s="324"/>
      <c r="C4268" s="325"/>
      <c r="D4268" s="326"/>
      <c r="E4268" s="326"/>
      <c r="F4268" s="326"/>
      <c r="G4268" s="326"/>
      <c r="H4268" s="326"/>
      <c r="P4268" s="318"/>
      <c r="Q4268" s="318"/>
      <c r="R4268" s="318"/>
      <c r="S4268" s="318"/>
      <c r="T4268" s="318"/>
      <c r="U4268" s="318"/>
      <c r="V4268" s="318"/>
      <c r="W4268" s="318"/>
      <c r="X4268" s="318"/>
      <c r="Y4268" s="318"/>
      <c r="Z4268" s="318"/>
      <c r="AA4268" s="318"/>
      <c r="AB4268" s="318"/>
      <c r="AC4268" s="318"/>
      <c r="AD4268" s="318"/>
    </row>
    <row r="4269" spans="2:30" s="323" customFormat="1" ht="12" customHeight="1">
      <c r="B4269" s="324"/>
      <c r="C4269" s="325"/>
      <c r="D4269" s="326"/>
      <c r="E4269" s="326"/>
      <c r="F4269" s="326"/>
      <c r="G4269" s="326"/>
      <c r="H4269" s="326"/>
      <c r="P4269" s="318"/>
      <c r="Q4269" s="318"/>
      <c r="R4269" s="318"/>
      <c r="S4269" s="318"/>
      <c r="T4269" s="318"/>
      <c r="U4269" s="318"/>
      <c r="V4269" s="318"/>
      <c r="W4269" s="318"/>
      <c r="X4269" s="318"/>
      <c r="Y4269" s="318"/>
      <c r="Z4269" s="318"/>
      <c r="AA4269" s="318"/>
      <c r="AB4269" s="318"/>
      <c r="AC4269" s="318"/>
      <c r="AD4269" s="318"/>
    </row>
    <row r="4270" spans="2:30" s="323" customFormat="1" ht="12" customHeight="1">
      <c r="B4270" s="324"/>
      <c r="C4270" s="325"/>
      <c r="D4270" s="326"/>
      <c r="E4270" s="326"/>
      <c r="F4270" s="326"/>
      <c r="G4270" s="326"/>
      <c r="H4270" s="326"/>
      <c r="P4270" s="318"/>
      <c r="Q4270" s="318"/>
      <c r="R4270" s="318"/>
      <c r="S4270" s="318"/>
      <c r="T4270" s="318"/>
      <c r="U4270" s="318"/>
      <c r="V4270" s="318"/>
      <c r="W4270" s="318"/>
      <c r="X4270" s="318"/>
      <c r="Y4270" s="318"/>
      <c r="Z4270" s="318"/>
      <c r="AA4270" s="318"/>
      <c r="AB4270" s="318"/>
      <c r="AC4270" s="318"/>
      <c r="AD4270" s="318"/>
    </row>
    <row r="4271" spans="2:30" s="323" customFormat="1" ht="12" customHeight="1">
      <c r="B4271" s="324"/>
      <c r="C4271" s="325"/>
      <c r="D4271" s="326"/>
      <c r="E4271" s="326"/>
      <c r="F4271" s="326"/>
      <c r="G4271" s="326"/>
      <c r="H4271" s="326"/>
      <c r="P4271" s="318"/>
      <c r="Q4271" s="318"/>
      <c r="R4271" s="318"/>
      <c r="S4271" s="318"/>
      <c r="T4271" s="318"/>
      <c r="U4271" s="318"/>
      <c r="V4271" s="318"/>
      <c r="W4271" s="318"/>
      <c r="X4271" s="318"/>
      <c r="Y4271" s="318"/>
      <c r="Z4271" s="318"/>
      <c r="AA4271" s="318"/>
      <c r="AB4271" s="318"/>
      <c r="AC4271" s="318"/>
      <c r="AD4271" s="318"/>
    </row>
    <row r="4272" spans="2:30" s="323" customFormat="1" ht="12" customHeight="1">
      <c r="B4272" s="324"/>
      <c r="C4272" s="325"/>
      <c r="D4272" s="326"/>
      <c r="E4272" s="326"/>
      <c r="F4272" s="326"/>
      <c r="G4272" s="326"/>
      <c r="H4272" s="326"/>
      <c r="P4272" s="318"/>
      <c r="Q4272" s="318"/>
      <c r="R4272" s="318"/>
      <c r="S4272" s="318"/>
      <c r="T4272" s="318"/>
      <c r="U4272" s="318"/>
      <c r="V4272" s="318"/>
      <c r="W4272" s="318"/>
      <c r="X4272" s="318"/>
      <c r="Y4272" s="318"/>
      <c r="Z4272" s="318"/>
      <c r="AA4272" s="318"/>
      <c r="AB4272" s="318"/>
      <c r="AC4272" s="318"/>
      <c r="AD4272" s="318"/>
    </row>
    <row r="4273" spans="2:30" s="323" customFormat="1" ht="12" customHeight="1">
      <c r="B4273" s="324"/>
      <c r="C4273" s="325"/>
      <c r="D4273" s="326"/>
      <c r="E4273" s="326"/>
      <c r="F4273" s="326"/>
      <c r="G4273" s="326"/>
      <c r="H4273" s="326"/>
      <c r="P4273" s="318"/>
      <c r="Q4273" s="318"/>
      <c r="R4273" s="318"/>
      <c r="S4273" s="318"/>
      <c r="T4273" s="318"/>
      <c r="U4273" s="318"/>
      <c r="V4273" s="318"/>
      <c r="W4273" s="318"/>
      <c r="X4273" s="318"/>
      <c r="Y4273" s="318"/>
      <c r="Z4273" s="318"/>
      <c r="AA4273" s="318"/>
      <c r="AB4273" s="318"/>
      <c r="AC4273" s="318"/>
      <c r="AD4273" s="318"/>
    </row>
    <row r="4274" spans="2:30" s="323" customFormat="1" ht="12" customHeight="1">
      <c r="B4274" s="324"/>
      <c r="C4274" s="325"/>
      <c r="D4274" s="326"/>
      <c r="E4274" s="326"/>
      <c r="F4274" s="326"/>
      <c r="G4274" s="326"/>
      <c r="H4274" s="326"/>
      <c r="P4274" s="318"/>
      <c r="Q4274" s="318"/>
      <c r="R4274" s="318"/>
      <c r="S4274" s="318"/>
      <c r="T4274" s="318"/>
      <c r="U4274" s="318"/>
      <c r="V4274" s="318"/>
      <c r="W4274" s="318"/>
      <c r="X4274" s="318"/>
      <c r="Y4274" s="318"/>
      <c r="Z4274" s="318"/>
      <c r="AA4274" s="318"/>
      <c r="AB4274" s="318"/>
      <c r="AC4274" s="318"/>
      <c r="AD4274" s="318"/>
    </row>
    <row r="4275" spans="2:30" s="323" customFormat="1" ht="12" customHeight="1">
      <c r="B4275" s="324"/>
      <c r="C4275" s="325"/>
      <c r="D4275" s="326"/>
      <c r="E4275" s="326"/>
      <c r="F4275" s="326"/>
      <c r="G4275" s="326"/>
      <c r="H4275" s="326"/>
      <c r="P4275" s="318"/>
      <c r="Q4275" s="318"/>
      <c r="R4275" s="318"/>
      <c r="S4275" s="318"/>
      <c r="T4275" s="318"/>
      <c r="U4275" s="318"/>
      <c r="V4275" s="318"/>
      <c r="W4275" s="318"/>
      <c r="X4275" s="318"/>
      <c r="Y4275" s="318"/>
      <c r="Z4275" s="318"/>
      <c r="AA4275" s="318"/>
      <c r="AB4275" s="318"/>
      <c r="AC4275" s="318"/>
      <c r="AD4275" s="318"/>
    </row>
    <row r="4276" spans="2:30" s="323" customFormat="1" ht="12" customHeight="1">
      <c r="B4276" s="324"/>
      <c r="C4276" s="325"/>
      <c r="D4276" s="326"/>
      <c r="E4276" s="326"/>
      <c r="F4276" s="326"/>
      <c r="G4276" s="326"/>
      <c r="H4276" s="326"/>
      <c r="P4276" s="318"/>
      <c r="Q4276" s="318"/>
      <c r="R4276" s="318"/>
      <c r="S4276" s="318"/>
      <c r="T4276" s="318"/>
      <c r="U4276" s="318"/>
      <c r="V4276" s="318"/>
      <c r="W4276" s="318"/>
      <c r="X4276" s="318"/>
      <c r="Y4276" s="318"/>
      <c r="Z4276" s="318"/>
      <c r="AA4276" s="318"/>
      <c r="AB4276" s="318"/>
      <c r="AC4276" s="318"/>
      <c r="AD4276" s="318"/>
    </row>
    <row r="4277" spans="2:30" s="323" customFormat="1" ht="12" customHeight="1">
      <c r="B4277" s="324"/>
      <c r="C4277" s="325"/>
      <c r="D4277" s="326"/>
      <c r="E4277" s="326"/>
      <c r="F4277" s="326"/>
      <c r="G4277" s="326"/>
      <c r="H4277" s="326"/>
      <c r="P4277" s="318"/>
      <c r="Q4277" s="318"/>
      <c r="R4277" s="318"/>
      <c r="S4277" s="318"/>
      <c r="T4277" s="318"/>
      <c r="U4277" s="318"/>
      <c r="V4277" s="318"/>
      <c r="W4277" s="318"/>
      <c r="X4277" s="318"/>
      <c r="Y4277" s="318"/>
      <c r="Z4277" s="318"/>
      <c r="AA4277" s="318"/>
      <c r="AB4277" s="318"/>
      <c r="AC4277" s="318"/>
      <c r="AD4277" s="318"/>
    </row>
    <row r="4278" spans="2:30" s="323" customFormat="1" ht="12" customHeight="1">
      <c r="B4278" s="324"/>
      <c r="C4278" s="325"/>
      <c r="D4278" s="326"/>
      <c r="E4278" s="326"/>
      <c r="F4278" s="326"/>
      <c r="G4278" s="326"/>
      <c r="H4278" s="326"/>
      <c r="P4278" s="318"/>
      <c r="Q4278" s="318"/>
      <c r="R4278" s="318"/>
      <c r="S4278" s="318"/>
      <c r="T4278" s="318"/>
      <c r="U4278" s="318"/>
      <c r="V4278" s="318"/>
      <c r="W4278" s="318"/>
      <c r="X4278" s="318"/>
      <c r="Y4278" s="318"/>
      <c r="Z4278" s="318"/>
      <c r="AA4278" s="318"/>
      <c r="AB4278" s="318"/>
      <c r="AC4278" s="318"/>
      <c r="AD4278" s="318"/>
    </row>
    <row r="4279" spans="2:30" s="323" customFormat="1" ht="12" customHeight="1">
      <c r="B4279" s="324"/>
      <c r="C4279" s="325"/>
      <c r="D4279" s="326"/>
      <c r="E4279" s="326"/>
      <c r="F4279" s="326"/>
      <c r="G4279" s="326"/>
      <c r="H4279" s="326"/>
      <c r="P4279" s="318"/>
      <c r="Q4279" s="318"/>
      <c r="R4279" s="318"/>
      <c r="S4279" s="318"/>
      <c r="T4279" s="318"/>
      <c r="U4279" s="318"/>
      <c r="V4279" s="318"/>
      <c r="W4279" s="318"/>
      <c r="X4279" s="318"/>
      <c r="Y4279" s="318"/>
      <c r="Z4279" s="318"/>
      <c r="AA4279" s="318"/>
      <c r="AB4279" s="318"/>
      <c r="AC4279" s="318"/>
      <c r="AD4279" s="318"/>
    </row>
    <row r="4280" spans="2:30" s="323" customFormat="1" ht="12" customHeight="1">
      <c r="B4280" s="324"/>
      <c r="C4280" s="325"/>
      <c r="D4280" s="326"/>
      <c r="E4280" s="326"/>
      <c r="F4280" s="326"/>
      <c r="G4280" s="326"/>
      <c r="H4280" s="326"/>
      <c r="P4280" s="318"/>
      <c r="Q4280" s="318"/>
      <c r="R4280" s="318"/>
      <c r="S4280" s="318"/>
      <c r="T4280" s="318"/>
      <c r="U4280" s="318"/>
      <c r="V4280" s="318"/>
      <c r="W4280" s="318"/>
      <c r="X4280" s="318"/>
      <c r="Y4280" s="318"/>
      <c r="Z4280" s="318"/>
      <c r="AA4280" s="318"/>
      <c r="AB4280" s="318"/>
      <c r="AC4280" s="318"/>
      <c r="AD4280" s="318"/>
    </row>
    <row r="4281" spans="2:30" s="323" customFormat="1" ht="12" customHeight="1">
      <c r="B4281" s="324"/>
      <c r="C4281" s="325"/>
      <c r="D4281" s="326"/>
      <c r="E4281" s="326"/>
      <c r="F4281" s="326"/>
      <c r="G4281" s="326"/>
      <c r="H4281" s="326"/>
      <c r="P4281" s="318"/>
      <c r="Q4281" s="318"/>
      <c r="R4281" s="318"/>
      <c r="S4281" s="318"/>
      <c r="T4281" s="318"/>
      <c r="U4281" s="318"/>
      <c r="V4281" s="318"/>
      <c r="W4281" s="318"/>
      <c r="X4281" s="318"/>
      <c r="Y4281" s="318"/>
      <c r="Z4281" s="318"/>
      <c r="AA4281" s="318"/>
      <c r="AB4281" s="318"/>
      <c r="AC4281" s="318"/>
      <c r="AD4281" s="318"/>
    </row>
    <row r="4282" spans="2:30" s="323" customFormat="1" ht="12" customHeight="1">
      <c r="B4282" s="324"/>
      <c r="C4282" s="325"/>
      <c r="D4282" s="326"/>
      <c r="E4282" s="326"/>
      <c r="F4282" s="326"/>
      <c r="G4282" s="326"/>
      <c r="H4282" s="326"/>
      <c r="P4282" s="318"/>
      <c r="Q4282" s="318"/>
      <c r="R4282" s="318"/>
      <c r="S4282" s="318"/>
      <c r="T4282" s="318"/>
      <c r="U4282" s="318"/>
      <c r="V4282" s="318"/>
      <c r="W4282" s="318"/>
      <c r="X4282" s="318"/>
      <c r="Y4282" s="318"/>
      <c r="Z4282" s="318"/>
      <c r="AA4282" s="318"/>
      <c r="AB4282" s="318"/>
      <c r="AC4282" s="318"/>
      <c r="AD4282" s="318"/>
    </row>
    <row r="4283" spans="2:30" s="323" customFormat="1" ht="12" customHeight="1">
      <c r="B4283" s="324"/>
      <c r="C4283" s="325"/>
      <c r="D4283" s="326"/>
      <c r="E4283" s="326"/>
      <c r="F4283" s="326"/>
      <c r="G4283" s="326"/>
      <c r="H4283" s="326"/>
      <c r="P4283" s="318"/>
      <c r="Q4283" s="318"/>
      <c r="R4283" s="318"/>
      <c r="S4283" s="318"/>
      <c r="T4283" s="318"/>
      <c r="U4283" s="318"/>
      <c r="V4283" s="318"/>
      <c r="W4283" s="318"/>
      <c r="X4283" s="318"/>
      <c r="Y4283" s="318"/>
      <c r="Z4283" s="318"/>
      <c r="AA4283" s="318"/>
      <c r="AB4283" s="318"/>
      <c r="AC4283" s="318"/>
      <c r="AD4283" s="318"/>
    </row>
    <row r="4284" spans="2:30" s="323" customFormat="1" ht="12" customHeight="1">
      <c r="B4284" s="324"/>
      <c r="C4284" s="325"/>
      <c r="D4284" s="326"/>
      <c r="E4284" s="326"/>
      <c r="F4284" s="326"/>
      <c r="G4284" s="326"/>
      <c r="H4284" s="326"/>
      <c r="P4284" s="318"/>
      <c r="Q4284" s="318"/>
      <c r="R4284" s="318"/>
      <c r="S4284" s="318"/>
      <c r="T4284" s="318"/>
      <c r="U4284" s="318"/>
      <c r="V4284" s="318"/>
      <c r="W4284" s="318"/>
      <c r="X4284" s="318"/>
      <c r="Y4284" s="318"/>
      <c r="Z4284" s="318"/>
      <c r="AA4284" s="318"/>
      <c r="AB4284" s="318"/>
      <c r="AC4284" s="318"/>
      <c r="AD4284" s="318"/>
    </row>
    <row r="4285" spans="2:30" s="323" customFormat="1" ht="12" customHeight="1">
      <c r="B4285" s="324"/>
      <c r="C4285" s="325"/>
      <c r="D4285" s="326"/>
      <c r="E4285" s="326"/>
      <c r="F4285" s="326"/>
      <c r="G4285" s="326"/>
      <c r="H4285" s="326"/>
      <c r="P4285" s="318"/>
      <c r="Q4285" s="318"/>
      <c r="R4285" s="318"/>
      <c r="S4285" s="318"/>
      <c r="T4285" s="318"/>
      <c r="U4285" s="318"/>
      <c r="V4285" s="318"/>
      <c r="W4285" s="318"/>
      <c r="X4285" s="318"/>
      <c r="Y4285" s="318"/>
      <c r="Z4285" s="318"/>
      <c r="AA4285" s="318"/>
      <c r="AB4285" s="318"/>
      <c r="AC4285" s="318"/>
      <c r="AD4285" s="318"/>
    </row>
    <row r="4286" spans="2:30" s="323" customFormat="1" ht="12" customHeight="1">
      <c r="B4286" s="324"/>
      <c r="C4286" s="325"/>
      <c r="D4286" s="326"/>
      <c r="E4286" s="326"/>
      <c r="F4286" s="326"/>
      <c r="G4286" s="326"/>
      <c r="H4286" s="326"/>
      <c r="P4286" s="318"/>
      <c r="Q4286" s="318"/>
      <c r="R4286" s="318"/>
      <c r="S4286" s="318"/>
      <c r="T4286" s="318"/>
      <c r="U4286" s="318"/>
      <c r="V4286" s="318"/>
      <c r="W4286" s="318"/>
      <c r="X4286" s="318"/>
      <c r="Y4286" s="318"/>
      <c r="Z4286" s="318"/>
      <c r="AA4286" s="318"/>
      <c r="AB4286" s="318"/>
      <c r="AC4286" s="318"/>
      <c r="AD4286" s="318"/>
    </row>
    <row r="4287" spans="2:30" s="323" customFormat="1" ht="12" customHeight="1">
      <c r="B4287" s="324"/>
      <c r="C4287" s="325"/>
      <c r="D4287" s="326"/>
      <c r="E4287" s="326"/>
      <c r="F4287" s="326"/>
      <c r="G4287" s="326"/>
      <c r="H4287" s="326"/>
      <c r="P4287" s="318"/>
      <c r="Q4287" s="318"/>
      <c r="R4287" s="318"/>
      <c r="S4287" s="318"/>
      <c r="T4287" s="318"/>
      <c r="U4287" s="318"/>
      <c r="V4287" s="318"/>
      <c r="W4287" s="318"/>
      <c r="X4287" s="318"/>
      <c r="Y4287" s="318"/>
      <c r="Z4287" s="318"/>
      <c r="AA4287" s="318"/>
      <c r="AB4287" s="318"/>
      <c r="AC4287" s="318"/>
      <c r="AD4287" s="318"/>
    </row>
    <row r="4288" spans="2:30" s="323" customFormat="1" ht="12" customHeight="1">
      <c r="B4288" s="324"/>
      <c r="C4288" s="325"/>
      <c r="D4288" s="326"/>
      <c r="E4288" s="326"/>
      <c r="F4288" s="326"/>
      <c r="G4288" s="326"/>
      <c r="H4288" s="326"/>
      <c r="P4288" s="318"/>
      <c r="Q4288" s="318"/>
      <c r="R4288" s="318"/>
      <c r="S4288" s="318"/>
      <c r="T4288" s="318"/>
      <c r="U4288" s="318"/>
      <c r="V4288" s="318"/>
      <c r="W4288" s="318"/>
      <c r="X4288" s="318"/>
      <c r="Y4288" s="318"/>
      <c r="Z4288" s="318"/>
      <c r="AA4288" s="318"/>
      <c r="AB4288" s="318"/>
      <c r="AC4288" s="318"/>
      <c r="AD4288" s="318"/>
    </row>
    <row r="4289" spans="2:30" s="323" customFormat="1" ht="12" customHeight="1">
      <c r="B4289" s="324"/>
      <c r="C4289" s="325"/>
      <c r="D4289" s="326"/>
      <c r="E4289" s="326"/>
      <c r="F4289" s="326"/>
      <c r="G4289" s="326"/>
      <c r="H4289" s="326"/>
      <c r="P4289" s="318"/>
      <c r="Q4289" s="318"/>
      <c r="R4289" s="318"/>
      <c r="S4289" s="318"/>
      <c r="T4289" s="318"/>
      <c r="U4289" s="318"/>
      <c r="V4289" s="318"/>
      <c r="W4289" s="318"/>
      <c r="X4289" s="318"/>
      <c r="Y4289" s="318"/>
      <c r="Z4289" s="318"/>
      <c r="AA4289" s="318"/>
      <c r="AB4289" s="318"/>
      <c r="AC4289" s="318"/>
      <c r="AD4289" s="318"/>
    </row>
    <row r="4290" spans="2:30" s="323" customFormat="1" ht="12" customHeight="1">
      <c r="B4290" s="324"/>
      <c r="C4290" s="325"/>
      <c r="D4290" s="326"/>
      <c r="E4290" s="326"/>
      <c r="F4290" s="326"/>
      <c r="G4290" s="326"/>
      <c r="H4290" s="326"/>
      <c r="P4290" s="318"/>
      <c r="Q4290" s="318"/>
      <c r="R4290" s="318"/>
      <c r="S4290" s="318"/>
      <c r="T4290" s="318"/>
      <c r="U4290" s="318"/>
      <c r="V4290" s="318"/>
      <c r="W4290" s="318"/>
      <c r="X4290" s="318"/>
      <c r="Y4290" s="318"/>
      <c r="Z4290" s="318"/>
      <c r="AA4290" s="318"/>
      <c r="AB4290" s="318"/>
      <c r="AC4290" s="318"/>
      <c r="AD4290" s="318"/>
    </row>
    <row r="4291" spans="2:30" s="323" customFormat="1" ht="12" customHeight="1">
      <c r="B4291" s="324"/>
      <c r="C4291" s="325"/>
      <c r="D4291" s="326"/>
      <c r="E4291" s="326"/>
      <c r="F4291" s="326"/>
      <c r="G4291" s="326"/>
      <c r="H4291" s="326"/>
      <c r="P4291" s="318"/>
      <c r="Q4291" s="318"/>
      <c r="R4291" s="318"/>
      <c r="S4291" s="318"/>
      <c r="T4291" s="318"/>
      <c r="U4291" s="318"/>
      <c r="V4291" s="318"/>
      <c r="W4291" s="318"/>
      <c r="X4291" s="318"/>
      <c r="Y4291" s="318"/>
      <c r="Z4291" s="318"/>
      <c r="AA4291" s="318"/>
      <c r="AB4291" s="318"/>
      <c r="AC4291" s="318"/>
      <c r="AD4291" s="318"/>
    </row>
    <row r="4292" spans="2:30" s="323" customFormat="1" ht="12" customHeight="1">
      <c r="B4292" s="324"/>
      <c r="C4292" s="325"/>
      <c r="D4292" s="326"/>
      <c r="E4292" s="326"/>
      <c r="F4292" s="326"/>
      <c r="G4292" s="326"/>
      <c r="H4292" s="326"/>
      <c r="P4292" s="318"/>
      <c r="Q4292" s="318"/>
      <c r="R4292" s="318"/>
      <c r="S4292" s="318"/>
      <c r="T4292" s="318"/>
      <c r="U4292" s="318"/>
      <c r="V4292" s="318"/>
      <c r="W4292" s="318"/>
      <c r="X4292" s="318"/>
      <c r="Y4292" s="318"/>
      <c r="Z4292" s="318"/>
      <c r="AA4292" s="318"/>
      <c r="AB4292" s="318"/>
      <c r="AC4292" s="318"/>
      <c r="AD4292" s="318"/>
    </row>
    <row r="4293" spans="2:30" s="323" customFormat="1" ht="12" customHeight="1">
      <c r="B4293" s="324"/>
      <c r="C4293" s="325"/>
      <c r="D4293" s="326"/>
      <c r="E4293" s="326"/>
      <c r="F4293" s="326"/>
      <c r="G4293" s="326"/>
      <c r="H4293" s="326"/>
      <c r="P4293" s="318"/>
      <c r="Q4293" s="318"/>
      <c r="R4293" s="318"/>
      <c r="S4293" s="318"/>
      <c r="T4293" s="318"/>
      <c r="U4293" s="318"/>
      <c r="V4293" s="318"/>
      <c r="W4293" s="318"/>
      <c r="X4293" s="318"/>
      <c r="Y4293" s="318"/>
      <c r="Z4293" s="318"/>
      <c r="AA4293" s="318"/>
      <c r="AB4293" s="318"/>
      <c r="AC4293" s="318"/>
      <c r="AD4293" s="318"/>
    </row>
    <row r="4294" spans="2:30" s="323" customFormat="1" ht="12" customHeight="1">
      <c r="B4294" s="324"/>
      <c r="C4294" s="325"/>
      <c r="D4294" s="326"/>
      <c r="E4294" s="326"/>
      <c r="F4294" s="326"/>
      <c r="G4294" s="326"/>
      <c r="H4294" s="326"/>
      <c r="P4294" s="318"/>
      <c r="Q4294" s="318"/>
      <c r="R4294" s="318"/>
      <c r="S4294" s="318"/>
      <c r="T4294" s="318"/>
      <c r="U4294" s="318"/>
      <c r="V4294" s="318"/>
      <c r="W4294" s="318"/>
      <c r="X4294" s="318"/>
      <c r="Y4294" s="318"/>
      <c r="Z4294" s="318"/>
      <c r="AA4294" s="318"/>
      <c r="AB4294" s="318"/>
      <c r="AC4294" s="318"/>
      <c r="AD4294" s="318"/>
    </row>
    <row r="4295" spans="2:30" s="323" customFormat="1" ht="12" customHeight="1">
      <c r="B4295" s="324"/>
      <c r="C4295" s="325"/>
      <c r="D4295" s="326"/>
      <c r="E4295" s="326"/>
      <c r="F4295" s="326"/>
      <c r="G4295" s="326"/>
      <c r="H4295" s="326"/>
      <c r="P4295" s="318"/>
      <c r="Q4295" s="318"/>
      <c r="R4295" s="318"/>
      <c r="S4295" s="318"/>
      <c r="T4295" s="318"/>
      <c r="U4295" s="318"/>
      <c r="V4295" s="318"/>
      <c r="W4295" s="318"/>
      <c r="X4295" s="318"/>
      <c r="Y4295" s="318"/>
      <c r="Z4295" s="318"/>
      <c r="AA4295" s="318"/>
      <c r="AB4295" s="318"/>
      <c r="AC4295" s="318"/>
      <c r="AD4295" s="318"/>
    </row>
    <row r="4296" spans="2:30" s="323" customFormat="1" ht="12" customHeight="1">
      <c r="B4296" s="324"/>
      <c r="C4296" s="325"/>
      <c r="D4296" s="326"/>
      <c r="E4296" s="326"/>
      <c r="F4296" s="326"/>
      <c r="G4296" s="326"/>
      <c r="H4296" s="326"/>
      <c r="P4296" s="318"/>
      <c r="Q4296" s="318"/>
      <c r="R4296" s="318"/>
      <c r="S4296" s="318"/>
      <c r="T4296" s="318"/>
      <c r="U4296" s="318"/>
      <c r="V4296" s="318"/>
      <c r="W4296" s="318"/>
      <c r="X4296" s="318"/>
      <c r="Y4296" s="318"/>
      <c r="Z4296" s="318"/>
      <c r="AA4296" s="318"/>
      <c r="AB4296" s="318"/>
      <c r="AC4296" s="318"/>
      <c r="AD4296" s="318"/>
    </row>
    <row r="4297" spans="2:30" s="323" customFormat="1" ht="12" customHeight="1">
      <c r="B4297" s="324"/>
      <c r="C4297" s="325"/>
      <c r="D4297" s="326"/>
      <c r="E4297" s="326"/>
      <c r="F4297" s="326"/>
      <c r="G4297" s="326"/>
      <c r="H4297" s="326"/>
      <c r="P4297" s="318"/>
      <c r="Q4297" s="318"/>
      <c r="R4297" s="318"/>
      <c r="S4297" s="318"/>
      <c r="T4297" s="318"/>
      <c r="U4297" s="318"/>
      <c r="V4297" s="318"/>
      <c r="W4297" s="318"/>
      <c r="X4297" s="318"/>
      <c r="Y4297" s="318"/>
      <c r="Z4297" s="318"/>
      <c r="AA4297" s="318"/>
      <c r="AB4297" s="318"/>
      <c r="AC4297" s="318"/>
      <c r="AD4297" s="318"/>
    </row>
    <row r="4298" spans="2:30" s="323" customFormat="1" ht="12" customHeight="1">
      <c r="B4298" s="324"/>
      <c r="C4298" s="325"/>
      <c r="D4298" s="326"/>
      <c r="E4298" s="326"/>
      <c r="F4298" s="326"/>
      <c r="G4298" s="326"/>
      <c r="H4298" s="326"/>
      <c r="P4298" s="318"/>
      <c r="Q4298" s="318"/>
      <c r="R4298" s="318"/>
      <c r="S4298" s="318"/>
      <c r="T4298" s="318"/>
      <c r="U4298" s="318"/>
      <c r="V4298" s="318"/>
      <c r="W4298" s="318"/>
      <c r="X4298" s="318"/>
      <c r="Y4298" s="318"/>
      <c r="Z4298" s="318"/>
      <c r="AA4298" s="318"/>
      <c r="AB4298" s="318"/>
      <c r="AC4298" s="318"/>
      <c r="AD4298" s="318"/>
    </row>
    <row r="4299" spans="2:30" s="323" customFormat="1" ht="12" customHeight="1">
      <c r="B4299" s="324"/>
      <c r="C4299" s="325"/>
      <c r="D4299" s="326"/>
      <c r="E4299" s="326"/>
      <c r="F4299" s="326"/>
      <c r="G4299" s="326"/>
      <c r="H4299" s="326"/>
      <c r="P4299" s="318"/>
      <c r="Q4299" s="318"/>
      <c r="R4299" s="318"/>
      <c r="S4299" s="318"/>
      <c r="T4299" s="318"/>
      <c r="U4299" s="318"/>
      <c r="V4299" s="318"/>
      <c r="W4299" s="318"/>
      <c r="X4299" s="318"/>
      <c r="Y4299" s="318"/>
      <c r="Z4299" s="318"/>
      <c r="AA4299" s="318"/>
      <c r="AB4299" s="318"/>
      <c r="AC4299" s="318"/>
      <c r="AD4299" s="318"/>
    </row>
    <row r="4300" spans="2:30" s="323" customFormat="1" ht="12" customHeight="1">
      <c r="B4300" s="324"/>
      <c r="C4300" s="325"/>
      <c r="D4300" s="326"/>
      <c r="E4300" s="326"/>
      <c r="F4300" s="326"/>
      <c r="G4300" s="326"/>
      <c r="H4300" s="326"/>
      <c r="P4300" s="318"/>
      <c r="Q4300" s="318"/>
      <c r="R4300" s="318"/>
      <c r="S4300" s="318"/>
      <c r="T4300" s="318"/>
      <c r="U4300" s="318"/>
      <c r="V4300" s="318"/>
      <c r="W4300" s="318"/>
      <c r="X4300" s="318"/>
      <c r="Y4300" s="318"/>
      <c r="Z4300" s="318"/>
      <c r="AA4300" s="318"/>
      <c r="AB4300" s="318"/>
      <c r="AC4300" s="318"/>
      <c r="AD4300" s="318"/>
    </row>
    <row r="4301" spans="2:30" s="323" customFormat="1" ht="12" customHeight="1">
      <c r="B4301" s="324"/>
      <c r="C4301" s="325"/>
      <c r="D4301" s="326"/>
      <c r="E4301" s="326"/>
      <c r="F4301" s="326"/>
      <c r="G4301" s="326"/>
      <c r="H4301" s="326"/>
      <c r="P4301" s="318"/>
      <c r="Q4301" s="318"/>
      <c r="R4301" s="318"/>
      <c r="S4301" s="318"/>
      <c r="T4301" s="318"/>
      <c r="U4301" s="318"/>
      <c r="V4301" s="318"/>
      <c r="W4301" s="318"/>
      <c r="X4301" s="318"/>
      <c r="Y4301" s="318"/>
      <c r="Z4301" s="318"/>
      <c r="AA4301" s="318"/>
      <c r="AB4301" s="318"/>
      <c r="AC4301" s="318"/>
      <c r="AD4301" s="318"/>
    </row>
    <row r="4302" spans="2:30" s="323" customFormat="1" ht="12" customHeight="1">
      <c r="B4302" s="324"/>
      <c r="C4302" s="325"/>
      <c r="D4302" s="326"/>
      <c r="E4302" s="326"/>
      <c r="F4302" s="326"/>
      <c r="G4302" s="326"/>
      <c r="H4302" s="326"/>
      <c r="P4302" s="318"/>
      <c r="Q4302" s="318"/>
      <c r="R4302" s="318"/>
      <c r="S4302" s="318"/>
      <c r="T4302" s="318"/>
      <c r="U4302" s="318"/>
      <c r="V4302" s="318"/>
      <c r="W4302" s="318"/>
      <c r="X4302" s="318"/>
      <c r="Y4302" s="318"/>
      <c r="Z4302" s="318"/>
      <c r="AA4302" s="318"/>
      <c r="AB4302" s="318"/>
      <c r="AC4302" s="318"/>
      <c r="AD4302" s="318"/>
    </row>
    <row r="4303" spans="2:30" s="323" customFormat="1" ht="12" customHeight="1">
      <c r="B4303" s="324"/>
      <c r="C4303" s="325"/>
      <c r="D4303" s="326"/>
      <c r="E4303" s="326"/>
      <c r="F4303" s="326"/>
      <c r="G4303" s="326"/>
      <c r="H4303" s="326"/>
      <c r="P4303" s="318"/>
      <c r="Q4303" s="318"/>
      <c r="R4303" s="318"/>
      <c r="S4303" s="318"/>
      <c r="T4303" s="318"/>
      <c r="U4303" s="318"/>
      <c r="V4303" s="318"/>
      <c r="W4303" s="318"/>
      <c r="X4303" s="318"/>
      <c r="Y4303" s="318"/>
      <c r="Z4303" s="318"/>
      <c r="AA4303" s="318"/>
      <c r="AB4303" s="318"/>
      <c r="AC4303" s="318"/>
      <c r="AD4303" s="318"/>
    </row>
    <row r="4304" spans="2:30" s="323" customFormat="1" ht="12" customHeight="1">
      <c r="B4304" s="324"/>
      <c r="C4304" s="325"/>
      <c r="D4304" s="326"/>
      <c r="E4304" s="326"/>
      <c r="F4304" s="326"/>
      <c r="G4304" s="326"/>
      <c r="H4304" s="326"/>
      <c r="P4304" s="318"/>
      <c r="Q4304" s="318"/>
      <c r="R4304" s="318"/>
      <c r="S4304" s="318"/>
      <c r="T4304" s="318"/>
      <c r="U4304" s="318"/>
      <c r="V4304" s="318"/>
      <c r="W4304" s="318"/>
      <c r="X4304" s="318"/>
      <c r="Y4304" s="318"/>
      <c r="Z4304" s="318"/>
      <c r="AA4304" s="318"/>
      <c r="AB4304" s="318"/>
      <c r="AC4304" s="318"/>
      <c r="AD4304" s="318"/>
    </row>
    <row r="4305" spans="2:30" s="323" customFormat="1" ht="12" customHeight="1">
      <c r="B4305" s="324"/>
      <c r="C4305" s="325"/>
      <c r="D4305" s="326"/>
      <c r="E4305" s="326"/>
      <c r="F4305" s="326"/>
      <c r="G4305" s="326"/>
      <c r="H4305" s="326"/>
      <c r="P4305" s="318"/>
      <c r="Q4305" s="318"/>
      <c r="R4305" s="318"/>
      <c r="S4305" s="318"/>
      <c r="T4305" s="318"/>
      <c r="U4305" s="318"/>
      <c r="V4305" s="318"/>
      <c r="W4305" s="318"/>
      <c r="X4305" s="318"/>
      <c r="Y4305" s="318"/>
      <c r="Z4305" s="318"/>
      <c r="AA4305" s="318"/>
      <c r="AB4305" s="318"/>
      <c r="AC4305" s="318"/>
      <c r="AD4305" s="318"/>
    </row>
    <row r="4306" spans="2:30" s="323" customFormat="1" ht="12" customHeight="1">
      <c r="B4306" s="324"/>
      <c r="C4306" s="325"/>
      <c r="D4306" s="326"/>
      <c r="E4306" s="326"/>
      <c r="F4306" s="326"/>
      <c r="G4306" s="326"/>
      <c r="H4306" s="326"/>
      <c r="P4306" s="318"/>
      <c r="Q4306" s="318"/>
      <c r="R4306" s="318"/>
      <c r="S4306" s="318"/>
      <c r="T4306" s="318"/>
      <c r="U4306" s="318"/>
      <c r="V4306" s="318"/>
      <c r="W4306" s="318"/>
      <c r="X4306" s="318"/>
      <c r="Y4306" s="318"/>
      <c r="Z4306" s="318"/>
      <c r="AA4306" s="318"/>
      <c r="AB4306" s="318"/>
      <c r="AC4306" s="318"/>
      <c r="AD4306" s="318"/>
    </row>
    <row r="4307" spans="2:30" s="323" customFormat="1" ht="12" customHeight="1">
      <c r="B4307" s="324"/>
      <c r="C4307" s="325"/>
      <c r="D4307" s="326"/>
      <c r="E4307" s="326"/>
      <c r="F4307" s="326"/>
      <c r="G4307" s="326"/>
      <c r="H4307" s="326"/>
      <c r="P4307" s="318"/>
      <c r="Q4307" s="318"/>
      <c r="R4307" s="318"/>
      <c r="S4307" s="318"/>
      <c r="T4307" s="318"/>
      <c r="U4307" s="318"/>
      <c r="V4307" s="318"/>
      <c r="W4307" s="318"/>
      <c r="X4307" s="318"/>
      <c r="Y4307" s="318"/>
      <c r="Z4307" s="318"/>
      <c r="AA4307" s="318"/>
      <c r="AB4307" s="318"/>
      <c r="AC4307" s="318"/>
      <c r="AD4307" s="318"/>
    </row>
    <row r="4308" spans="2:30" s="323" customFormat="1" ht="12" customHeight="1">
      <c r="B4308" s="324"/>
      <c r="C4308" s="325"/>
      <c r="D4308" s="326"/>
      <c r="E4308" s="326"/>
      <c r="F4308" s="326"/>
      <c r="G4308" s="326"/>
      <c r="H4308" s="326"/>
      <c r="P4308" s="318"/>
      <c r="Q4308" s="318"/>
      <c r="R4308" s="318"/>
      <c r="S4308" s="318"/>
      <c r="T4308" s="318"/>
      <c r="U4308" s="318"/>
      <c r="V4308" s="318"/>
      <c r="W4308" s="318"/>
      <c r="X4308" s="318"/>
      <c r="Y4308" s="318"/>
      <c r="Z4308" s="318"/>
      <c r="AA4308" s="318"/>
      <c r="AB4308" s="318"/>
      <c r="AC4308" s="318"/>
      <c r="AD4308" s="318"/>
    </row>
    <row r="4309" spans="2:30" s="323" customFormat="1" ht="12" customHeight="1">
      <c r="B4309" s="324"/>
      <c r="C4309" s="325"/>
      <c r="D4309" s="326"/>
      <c r="E4309" s="326"/>
      <c r="F4309" s="326"/>
      <c r="G4309" s="326"/>
      <c r="H4309" s="326"/>
      <c r="P4309" s="318"/>
      <c r="Q4309" s="318"/>
      <c r="R4309" s="318"/>
      <c r="S4309" s="318"/>
      <c r="T4309" s="318"/>
      <c r="U4309" s="318"/>
      <c r="V4309" s="318"/>
      <c r="W4309" s="318"/>
      <c r="X4309" s="318"/>
      <c r="Y4309" s="318"/>
      <c r="Z4309" s="318"/>
      <c r="AA4309" s="318"/>
      <c r="AB4309" s="318"/>
      <c r="AC4309" s="318"/>
      <c r="AD4309" s="318"/>
    </row>
    <row r="4310" spans="2:30" s="323" customFormat="1" ht="12" customHeight="1">
      <c r="B4310" s="324"/>
      <c r="C4310" s="325"/>
      <c r="D4310" s="326"/>
      <c r="E4310" s="326"/>
      <c r="F4310" s="326"/>
      <c r="G4310" s="326"/>
      <c r="H4310" s="326"/>
      <c r="P4310" s="318"/>
      <c r="Q4310" s="318"/>
      <c r="R4310" s="318"/>
      <c r="S4310" s="318"/>
      <c r="T4310" s="318"/>
      <c r="U4310" s="318"/>
      <c r="V4310" s="318"/>
      <c r="W4310" s="318"/>
      <c r="X4310" s="318"/>
      <c r="Y4310" s="318"/>
      <c r="Z4310" s="318"/>
      <c r="AA4310" s="318"/>
      <c r="AB4310" s="318"/>
      <c r="AC4310" s="318"/>
      <c r="AD4310" s="318"/>
    </row>
    <row r="4311" spans="2:30" s="323" customFormat="1" ht="12" customHeight="1">
      <c r="B4311" s="324"/>
      <c r="C4311" s="325"/>
      <c r="D4311" s="326"/>
      <c r="E4311" s="326"/>
      <c r="F4311" s="326"/>
      <c r="G4311" s="326"/>
      <c r="H4311" s="326"/>
      <c r="P4311" s="318"/>
      <c r="Q4311" s="318"/>
      <c r="R4311" s="318"/>
      <c r="S4311" s="318"/>
      <c r="T4311" s="318"/>
      <c r="U4311" s="318"/>
      <c r="V4311" s="318"/>
      <c r="W4311" s="318"/>
      <c r="X4311" s="318"/>
      <c r="Y4311" s="318"/>
      <c r="Z4311" s="318"/>
      <c r="AA4311" s="318"/>
      <c r="AB4311" s="318"/>
      <c r="AC4311" s="318"/>
      <c r="AD4311" s="318"/>
    </row>
    <row r="4312" spans="2:30" s="323" customFormat="1" ht="12" customHeight="1">
      <c r="B4312" s="324"/>
      <c r="C4312" s="325"/>
      <c r="D4312" s="326"/>
      <c r="E4312" s="326"/>
      <c r="F4312" s="326"/>
      <c r="G4312" s="326"/>
      <c r="H4312" s="326"/>
      <c r="P4312" s="318"/>
      <c r="Q4312" s="318"/>
      <c r="R4312" s="318"/>
      <c r="S4312" s="318"/>
      <c r="T4312" s="318"/>
      <c r="U4312" s="318"/>
      <c r="V4312" s="318"/>
      <c r="W4312" s="318"/>
      <c r="X4312" s="318"/>
      <c r="Y4312" s="318"/>
      <c r="Z4312" s="318"/>
      <c r="AA4312" s="318"/>
      <c r="AB4312" s="318"/>
      <c r="AC4312" s="318"/>
      <c r="AD4312" s="318"/>
    </row>
    <row r="4313" spans="2:30" s="323" customFormat="1" ht="12" customHeight="1">
      <c r="B4313" s="324"/>
      <c r="C4313" s="325"/>
      <c r="D4313" s="326"/>
      <c r="E4313" s="326"/>
      <c r="F4313" s="326"/>
      <c r="G4313" s="326"/>
      <c r="H4313" s="326"/>
      <c r="P4313" s="318"/>
      <c r="Q4313" s="318"/>
      <c r="R4313" s="318"/>
      <c r="S4313" s="318"/>
      <c r="T4313" s="318"/>
      <c r="U4313" s="318"/>
      <c r="V4313" s="318"/>
      <c r="W4313" s="318"/>
      <c r="X4313" s="318"/>
      <c r="Y4313" s="318"/>
      <c r="Z4313" s="318"/>
      <c r="AA4313" s="318"/>
      <c r="AB4313" s="318"/>
      <c r="AC4313" s="318"/>
      <c r="AD4313" s="318"/>
    </row>
    <row r="4314" spans="2:30" s="323" customFormat="1" ht="12" customHeight="1">
      <c r="B4314" s="324"/>
      <c r="C4314" s="325"/>
      <c r="D4314" s="326"/>
      <c r="E4314" s="326"/>
      <c r="F4314" s="326"/>
      <c r="G4314" s="326"/>
      <c r="H4314" s="326"/>
      <c r="P4314" s="318"/>
      <c r="Q4314" s="318"/>
      <c r="R4314" s="318"/>
      <c r="S4314" s="318"/>
      <c r="T4314" s="318"/>
      <c r="U4314" s="318"/>
      <c r="V4314" s="318"/>
      <c r="W4314" s="318"/>
      <c r="X4314" s="318"/>
      <c r="Y4314" s="318"/>
      <c r="Z4314" s="318"/>
      <c r="AA4314" s="318"/>
      <c r="AB4314" s="318"/>
      <c r="AC4314" s="318"/>
      <c r="AD4314" s="318"/>
    </row>
    <row r="4315" spans="2:30" s="323" customFormat="1" ht="12" customHeight="1">
      <c r="B4315" s="324"/>
      <c r="C4315" s="325"/>
      <c r="D4315" s="326"/>
      <c r="E4315" s="326"/>
      <c r="F4315" s="326"/>
      <c r="G4315" s="326"/>
      <c r="H4315" s="326"/>
      <c r="P4315" s="318"/>
      <c r="Q4315" s="318"/>
      <c r="R4315" s="318"/>
      <c r="S4315" s="318"/>
      <c r="T4315" s="318"/>
      <c r="U4315" s="318"/>
      <c r="V4315" s="318"/>
      <c r="W4315" s="318"/>
      <c r="X4315" s="318"/>
      <c r="Y4315" s="318"/>
      <c r="Z4315" s="318"/>
      <c r="AA4315" s="318"/>
      <c r="AB4315" s="318"/>
      <c r="AC4315" s="318"/>
      <c r="AD4315" s="318"/>
    </row>
    <row r="4316" spans="2:30" s="323" customFormat="1" ht="12" customHeight="1">
      <c r="B4316" s="324"/>
      <c r="C4316" s="325"/>
      <c r="D4316" s="326"/>
      <c r="E4316" s="326"/>
      <c r="F4316" s="326"/>
      <c r="G4316" s="326"/>
      <c r="H4316" s="326"/>
      <c r="P4316" s="318"/>
      <c r="Q4316" s="318"/>
      <c r="R4316" s="318"/>
      <c r="S4316" s="318"/>
      <c r="T4316" s="318"/>
      <c r="U4316" s="318"/>
      <c r="V4316" s="318"/>
      <c r="W4316" s="318"/>
      <c r="X4316" s="318"/>
      <c r="Y4316" s="318"/>
      <c r="Z4316" s="318"/>
      <c r="AA4316" s="318"/>
      <c r="AB4316" s="318"/>
      <c r="AC4316" s="318"/>
      <c r="AD4316" s="318"/>
    </row>
    <row r="4317" spans="2:30" s="323" customFormat="1" ht="12" customHeight="1">
      <c r="B4317" s="324"/>
      <c r="C4317" s="325"/>
      <c r="D4317" s="326"/>
      <c r="E4317" s="326"/>
      <c r="F4317" s="326"/>
      <c r="G4317" s="326"/>
      <c r="H4317" s="326"/>
      <c r="P4317" s="318"/>
      <c r="Q4317" s="318"/>
      <c r="R4317" s="318"/>
      <c r="S4317" s="318"/>
      <c r="T4317" s="318"/>
      <c r="U4317" s="318"/>
      <c r="V4317" s="318"/>
      <c r="W4317" s="318"/>
      <c r="X4317" s="318"/>
      <c r="Y4317" s="318"/>
      <c r="Z4317" s="318"/>
      <c r="AA4317" s="318"/>
      <c r="AB4317" s="318"/>
      <c r="AC4317" s="318"/>
      <c r="AD4317" s="318"/>
    </row>
    <row r="4318" spans="2:30" s="323" customFormat="1" ht="12" customHeight="1">
      <c r="B4318" s="324"/>
      <c r="C4318" s="325"/>
      <c r="D4318" s="326"/>
      <c r="E4318" s="326"/>
      <c r="F4318" s="326"/>
      <c r="G4318" s="326"/>
      <c r="H4318" s="326"/>
      <c r="P4318" s="318"/>
      <c r="Q4318" s="318"/>
      <c r="R4318" s="318"/>
      <c r="S4318" s="318"/>
      <c r="T4318" s="318"/>
      <c r="U4318" s="318"/>
      <c r="V4318" s="318"/>
      <c r="W4318" s="318"/>
      <c r="X4318" s="318"/>
      <c r="Y4318" s="318"/>
      <c r="Z4318" s="318"/>
      <c r="AA4318" s="318"/>
      <c r="AB4318" s="318"/>
      <c r="AC4318" s="318"/>
      <c r="AD4318" s="318"/>
    </row>
    <row r="4319" spans="2:30" s="323" customFormat="1" ht="12" customHeight="1">
      <c r="B4319" s="324"/>
      <c r="C4319" s="325"/>
      <c r="D4319" s="326"/>
      <c r="E4319" s="326"/>
      <c r="F4319" s="326"/>
      <c r="G4319" s="326"/>
      <c r="H4319" s="326"/>
      <c r="P4319" s="318"/>
      <c r="Q4319" s="318"/>
      <c r="R4319" s="318"/>
      <c r="S4319" s="318"/>
      <c r="T4319" s="318"/>
      <c r="U4319" s="318"/>
      <c r="V4319" s="318"/>
      <c r="W4319" s="318"/>
      <c r="X4319" s="318"/>
      <c r="Y4319" s="318"/>
      <c r="Z4319" s="318"/>
      <c r="AA4319" s="318"/>
      <c r="AB4319" s="318"/>
      <c r="AC4319" s="318"/>
      <c r="AD4319" s="318"/>
    </row>
    <row r="4320" spans="2:30" s="323" customFormat="1" ht="12" customHeight="1">
      <c r="B4320" s="324"/>
      <c r="C4320" s="325"/>
      <c r="D4320" s="326"/>
      <c r="E4320" s="326"/>
      <c r="F4320" s="326"/>
      <c r="G4320" s="326"/>
      <c r="H4320" s="326"/>
      <c r="P4320" s="318"/>
      <c r="Q4320" s="318"/>
      <c r="R4320" s="318"/>
      <c r="S4320" s="318"/>
      <c r="T4320" s="318"/>
      <c r="U4320" s="318"/>
      <c r="V4320" s="318"/>
      <c r="W4320" s="318"/>
      <c r="X4320" s="318"/>
      <c r="Y4320" s="318"/>
      <c r="Z4320" s="318"/>
      <c r="AA4320" s="318"/>
      <c r="AB4320" s="318"/>
      <c r="AC4320" s="318"/>
      <c r="AD4320" s="318"/>
    </row>
    <row r="4321" spans="2:30" s="323" customFormat="1" ht="12" customHeight="1">
      <c r="B4321" s="324"/>
      <c r="C4321" s="325"/>
      <c r="D4321" s="326"/>
      <c r="E4321" s="326"/>
      <c r="F4321" s="326"/>
      <c r="G4321" s="326"/>
      <c r="H4321" s="326"/>
      <c r="P4321" s="318"/>
      <c r="Q4321" s="318"/>
      <c r="R4321" s="318"/>
      <c r="S4321" s="318"/>
      <c r="T4321" s="318"/>
      <c r="U4321" s="318"/>
      <c r="V4321" s="318"/>
      <c r="W4321" s="318"/>
      <c r="X4321" s="318"/>
      <c r="Y4321" s="318"/>
      <c r="Z4321" s="318"/>
      <c r="AA4321" s="318"/>
      <c r="AB4321" s="318"/>
      <c r="AC4321" s="318"/>
      <c r="AD4321" s="318"/>
    </row>
    <row r="4322" spans="2:30" s="323" customFormat="1" ht="12" customHeight="1">
      <c r="B4322" s="324"/>
      <c r="C4322" s="325"/>
      <c r="D4322" s="326"/>
      <c r="E4322" s="326"/>
      <c r="F4322" s="326"/>
      <c r="G4322" s="326"/>
      <c r="H4322" s="326"/>
      <c r="P4322" s="318"/>
      <c r="Q4322" s="318"/>
      <c r="R4322" s="318"/>
      <c r="S4322" s="318"/>
      <c r="T4322" s="318"/>
      <c r="U4322" s="318"/>
      <c r="V4322" s="318"/>
      <c r="W4322" s="318"/>
      <c r="X4322" s="318"/>
      <c r="Y4322" s="318"/>
      <c r="Z4322" s="318"/>
      <c r="AA4322" s="318"/>
      <c r="AB4322" s="318"/>
      <c r="AC4322" s="318"/>
      <c r="AD4322" s="318"/>
    </row>
    <row r="4323" spans="2:30" s="323" customFormat="1" ht="12" customHeight="1">
      <c r="B4323" s="324"/>
      <c r="C4323" s="325"/>
      <c r="D4323" s="326"/>
      <c r="E4323" s="326"/>
      <c r="F4323" s="326"/>
      <c r="G4323" s="326"/>
      <c r="H4323" s="326"/>
      <c r="P4323" s="318"/>
      <c r="Q4323" s="318"/>
      <c r="R4323" s="318"/>
      <c r="S4323" s="318"/>
      <c r="T4323" s="318"/>
      <c r="U4323" s="318"/>
      <c r="V4323" s="318"/>
      <c r="W4323" s="318"/>
      <c r="X4323" s="318"/>
      <c r="Y4323" s="318"/>
      <c r="Z4323" s="318"/>
      <c r="AA4323" s="318"/>
      <c r="AB4323" s="318"/>
      <c r="AC4323" s="318"/>
      <c r="AD4323" s="318"/>
    </row>
    <row r="4324" spans="2:30" s="323" customFormat="1" ht="12" customHeight="1">
      <c r="B4324" s="324"/>
      <c r="C4324" s="325"/>
      <c r="D4324" s="326"/>
      <c r="E4324" s="326"/>
      <c r="F4324" s="326"/>
      <c r="G4324" s="326"/>
      <c r="H4324" s="326"/>
      <c r="P4324" s="318"/>
      <c r="Q4324" s="318"/>
      <c r="R4324" s="318"/>
      <c r="S4324" s="318"/>
      <c r="T4324" s="318"/>
      <c r="U4324" s="318"/>
      <c r="V4324" s="318"/>
      <c r="W4324" s="318"/>
      <c r="X4324" s="318"/>
      <c r="Y4324" s="318"/>
      <c r="Z4324" s="318"/>
      <c r="AA4324" s="318"/>
      <c r="AB4324" s="318"/>
      <c r="AC4324" s="318"/>
      <c r="AD4324" s="318"/>
    </row>
    <row r="4325" spans="2:30" s="323" customFormat="1" ht="12" customHeight="1">
      <c r="B4325" s="324"/>
      <c r="C4325" s="325"/>
      <c r="D4325" s="326"/>
      <c r="E4325" s="326"/>
      <c r="F4325" s="326"/>
      <c r="G4325" s="326"/>
      <c r="H4325" s="326"/>
      <c r="P4325" s="318"/>
      <c r="Q4325" s="318"/>
      <c r="R4325" s="318"/>
      <c r="S4325" s="318"/>
      <c r="T4325" s="318"/>
      <c r="U4325" s="318"/>
      <c r="V4325" s="318"/>
      <c r="W4325" s="318"/>
      <c r="X4325" s="318"/>
      <c r="Y4325" s="318"/>
      <c r="Z4325" s="318"/>
      <c r="AA4325" s="318"/>
      <c r="AB4325" s="318"/>
      <c r="AC4325" s="318"/>
      <c r="AD4325" s="318"/>
    </row>
    <row r="4326" spans="2:30" s="323" customFormat="1" ht="12" customHeight="1">
      <c r="B4326" s="324"/>
      <c r="C4326" s="325"/>
      <c r="D4326" s="326"/>
      <c r="E4326" s="326"/>
      <c r="F4326" s="326"/>
      <c r="G4326" s="326"/>
      <c r="H4326" s="326"/>
      <c r="P4326" s="318"/>
      <c r="Q4326" s="318"/>
      <c r="R4326" s="318"/>
      <c r="S4326" s="318"/>
      <c r="T4326" s="318"/>
      <c r="U4326" s="318"/>
      <c r="V4326" s="318"/>
      <c r="W4326" s="318"/>
      <c r="X4326" s="318"/>
      <c r="Y4326" s="318"/>
      <c r="Z4326" s="318"/>
      <c r="AA4326" s="318"/>
      <c r="AB4326" s="318"/>
      <c r="AC4326" s="318"/>
      <c r="AD4326" s="318"/>
    </row>
    <row r="4327" spans="2:30" s="323" customFormat="1" ht="12" customHeight="1">
      <c r="B4327" s="324"/>
      <c r="C4327" s="325"/>
      <c r="D4327" s="326"/>
      <c r="E4327" s="326"/>
      <c r="F4327" s="326"/>
      <c r="G4327" s="326"/>
      <c r="H4327" s="326"/>
      <c r="P4327" s="318"/>
      <c r="Q4327" s="318"/>
      <c r="R4327" s="318"/>
      <c r="S4327" s="318"/>
      <c r="T4327" s="318"/>
      <c r="U4327" s="318"/>
      <c r="V4327" s="318"/>
      <c r="W4327" s="318"/>
      <c r="X4327" s="318"/>
      <c r="Y4327" s="318"/>
      <c r="Z4327" s="318"/>
      <c r="AA4327" s="318"/>
      <c r="AB4327" s="318"/>
      <c r="AC4327" s="318"/>
      <c r="AD4327" s="318"/>
    </row>
    <row r="4328" spans="2:30" s="323" customFormat="1" ht="12" customHeight="1">
      <c r="B4328" s="324"/>
      <c r="C4328" s="325"/>
      <c r="D4328" s="326"/>
      <c r="E4328" s="326"/>
      <c r="F4328" s="326"/>
      <c r="G4328" s="326"/>
      <c r="H4328" s="326"/>
      <c r="P4328" s="318"/>
      <c r="Q4328" s="318"/>
      <c r="R4328" s="318"/>
      <c r="S4328" s="318"/>
      <c r="T4328" s="318"/>
      <c r="U4328" s="318"/>
      <c r="V4328" s="318"/>
      <c r="W4328" s="318"/>
      <c r="X4328" s="318"/>
      <c r="Y4328" s="318"/>
      <c r="Z4328" s="318"/>
      <c r="AA4328" s="318"/>
      <c r="AB4328" s="318"/>
      <c r="AC4328" s="318"/>
      <c r="AD4328" s="318"/>
    </row>
    <row r="4329" spans="2:30" s="323" customFormat="1" ht="12" customHeight="1">
      <c r="B4329" s="324"/>
      <c r="C4329" s="325"/>
      <c r="D4329" s="326"/>
      <c r="E4329" s="326"/>
      <c r="F4329" s="326"/>
      <c r="G4329" s="326"/>
      <c r="H4329" s="326"/>
      <c r="P4329" s="318"/>
      <c r="Q4329" s="318"/>
      <c r="R4329" s="318"/>
      <c r="S4329" s="318"/>
      <c r="T4329" s="318"/>
      <c r="U4329" s="318"/>
      <c r="V4329" s="318"/>
      <c r="W4329" s="318"/>
      <c r="X4329" s="318"/>
      <c r="Y4329" s="318"/>
      <c r="Z4329" s="318"/>
      <c r="AA4329" s="318"/>
      <c r="AB4329" s="318"/>
      <c r="AC4329" s="318"/>
      <c r="AD4329" s="318"/>
    </row>
    <row r="4330" spans="2:30" s="323" customFormat="1" ht="12" customHeight="1">
      <c r="B4330" s="324"/>
      <c r="C4330" s="325"/>
      <c r="D4330" s="326"/>
      <c r="E4330" s="326"/>
      <c r="F4330" s="326"/>
      <c r="G4330" s="326"/>
      <c r="H4330" s="326"/>
      <c r="P4330" s="318"/>
      <c r="Q4330" s="318"/>
      <c r="R4330" s="318"/>
      <c r="S4330" s="318"/>
      <c r="T4330" s="318"/>
      <c r="U4330" s="318"/>
      <c r="V4330" s="318"/>
      <c r="W4330" s="318"/>
      <c r="X4330" s="318"/>
      <c r="Y4330" s="318"/>
      <c r="Z4330" s="318"/>
      <c r="AA4330" s="318"/>
      <c r="AB4330" s="318"/>
      <c r="AC4330" s="318"/>
      <c r="AD4330" s="318"/>
    </row>
    <row r="4331" spans="2:30" s="323" customFormat="1" ht="12" customHeight="1">
      <c r="B4331" s="324"/>
      <c r="C4331" s="325"/>
      <c r="D4331" s="326"/>
      <c r="E4331" s="326"/>
      <c r="F4331" s="326"/>
      <c r="G4331" s="326"/>
      <c r="H4331" s="326"/>
      <c r="P4331" s="318"/>
      <c r="Q4331" s="318"/>
      <c r="R4331" s="318"/>
      <c r="S4331" s="318"/>
      <c r="T4331" s="318"/>
      <c r="U4331" s="318"/>
      <c r="V4331" s="318"/>
      <c r="W4331" s="318"/>
      <c r="X4331" s="318"/>
      <c r="Y4331" s="318"/>
      <c r="Z4331" s="318"/>
      <c r="AA4331" s="318"/>
      <c r="AB4331" s="318"/>
      <c r="AC4331" s="318"/>
      <c r="AD4331" s="318"/>
    </row>
    <row r="4332" spans="2:30" s="323" customFormat="1" ht="12" customHeight="1">
      <c r="B4332" s="324"/>
      <c r="C4332" s="325"/>
      <c r="D4332" s="326"/>
      <c r="E4332" s="326"/>
      <c r="F4332" s="326"/>
      <c r="G4332" s="326"/>
      <c r="H4332" s="326"/>
      <c r="P4332" s="318"/>
      <c r="Q4332" s="318"/>
      <c r="R4332" s="318"/>
      <c r="S4332" s="318"/>
      <c r="T4332" s="318"/>
      <c r="U4332" s="318"/>
      <c r="V4332" s="318"/>
      <c r="W4332" s="318"/>
      <c r="X4332" s="318"/>
      <c r="Y4332" s="318"/>
      <c r="Z4332" s="318"/>
      <c r="AA4332" s="318"/>
      <c r="AB4332" s="318"/>
      <c r="AC4332" s="318"/>
      <c r="AD4332" s="318"/>
    </row>
    <row r="4333" spans="2:30" s="323" customFormat="1" ht="12" customHeight="1">
      <c r="B4333" s="324"/>
      <c r="C4333" s="325"/>
      <c r="D4333" s="326"/>
      <c r="E4333" s="326"/>
      <c r="F4333" s="326"/>
      <c r="G4333" s="326"/>
      <c r="H4333" s="326"/>
      <c r="P4333" s="318"/>
      <c r="Q4333" s="318"/>
      <c r="R4333" s="318"/>
      <c r="S4333" s="318"/>
      <c r="T4333" s="318"/>
      <c r="U4333" s="318"/>
      <c r="V4333" s="318"/>
      <c r="W4333" s="318"/>
      <c r="X4333" s="318"/>
      <c r="Y4333" s="318"/>
      <c r="Z4333" s="318"/>
      <c r="AA4333" s="318"/>
      <c r="AB4333" s="318"/>
      <c r="AC4333" s="318"/>
      <c r="AD4333" s="318"/>
    </row>
    <row r="4334" spans="2:30" s="323" customFormat="1" ht="12" customHeight="1">
      <c r="B4334" s="324"/>
      <c r="C4334" s="325"/>
      <c r="D4334" s="326"/>
      <c r="E4334" s="326"/>
      <c r="F4334" s="326"/>
      <c r="G4334" s="326"/>
      <c r="H4334" s="326"/>
      <c r="P4334" s="318"/>
      <c r="Q4334" s="318"/>
      <c r="R4334" s="318"/>
      <c r="S4334" s="318"/>
      <c r="T4334" s="318"/>
      <c r="U4334" s="318"/>
      <c r="V4334" s="318"/>
      <c r="W4334" s="318"/>
      <c r="X4334" s="318"/>
      <c r="Y4334" s="318"/>
      <c r="Z4334" s="318"/>
      <c r="AA4334" s="318"/>
      <c r="AB4334" s="318"/>
      <c r="AC4334" s="318"/>
      <c r="AD4334" s="318"/>
    </row>
    <row r="4335" spans="2:30" s="323" customFormat="1" ht="12" customHeight="1">
      <c r="B4335" s="324"/>
      <c r="C4335" s="325"/>
      <c r="D4335" s="326"/>
      <c r="E4335" s="326"/>
      <c r="F4335" s="326"/>
      <c r="G4335" s="326"/>
      <c r="H4335" s="326"/>
      <c r="P4335" s="318"/>
      <c r="Q4335" s="318"/>
      <c r="R4335" s="318"/>
      <c r="S4335" s="318"/>
      <c r="T4335" s="318"/>
      <c r="U4335" s="318"/>
      <c r="V4335" s="318"/>
      <c r="W4335" s="318"/>
      <c r="X4335" s="318"/>
      <c r="Y4335" s="318"/>
      <c r="Z4335" s="318"/>
      <c r="AA4335" s="318"/>
      <c r="AB4335" s="318"/>
      <c r="AC4335" s="318"/>
      <c r="AD4335" s="318"/>
    </row>
    <row r="4336" spans="2:30" s="323" customFormat="1" ht="12" customHeight="1">
      <c r="B4336" s="324"/>
      <c r="C4336" s="325"/>
      <c r="D4336" s="326"/>
      <c r="E4336" s="326"/>
      <c r="F4336" s="326"/>
      <c r="G4336" s="326"/>
      <c r="H4336" s="326"/>
      <c r="P4336" s="318"/>
      <c r="Q4336" s="318"/>
      <c r="R4336" s="318"/>
      <c r="S4336" s="318"/>
      <c r="T4336" s="318"/>
      <c r="U4336" s="318"/>
      <c r="V4336" s="318"/>
      <c r="W4336" s="318"/>
      <c r="X4336" s="318"/>
      <c r="Y4336" s="318"/>
      <c r="Z4336" s="318"/>
      <c r="AA4336" s="318"/>
      <c r="AB4336" s="318"/>
      <c r="AC4336" s="318"/>
      <c r="AD4336" s="318"/>
    </row>
    <row r="4337" spans="2:30" s="323" customFormat="1" ht="12" customHeight="1">
      <c r="B4337" s="324"/>
      <c r="C4337" s="325"/>
      <c r="D4337" s="326"/>
      <c r="E4337" s="326"/>
      <c r="F4337" s="326"/>
      <c r="G4337" s="326"/>
      <c r="H4337" s="326"/>
      <c r="P4337" s="318"/>
      <c r="Q4337" s="318"/>
      <c r="R4337" s="318"/>
      <c r="S4337" s="318"/>
      <c r="T4337" s="318"/>
      <c r="U4337" s="318"/>
      <c r="V4337" s="318"/>
      <c r="W4337" s="318"/>
      <c r="X4337" s="318"/>
      <c r="Y4337" s="318"/>
      <c r="Z4337" s="318"/>
      <c r="AA4337" s="318"/>
      <c r="AB4337" s="318"/>
      <c r="AC4337" s="318"/>
      <c r="AD4337" s="318"/>
    </row>
    <row r="4338" spans="2:30" s="323" customFormat="1" ht="12" customHeight="1">
      <c r="B4338" s="324"/>
      <c r="C4338" s="325"/>
      <c r="D4338" s="326"/>
      <c r="E4338" s="326"/>
      <c r="F4338" s="326"/>
      <c r="G4338" s="326"/>
      <c r="H4338" s="326"/>
      <c r="P4338" s="318"/>
      <c r="Q4338" s="318"/>
      <c r="R4338" s="318"/>
      <c r="S4338" s="318"/>
      <c r="T4338" s="318"/>
      <c r="U4338" s="318"/>
      <c r="V4338" s="318"/>
      <c r="W4338" s="318"/>
      <c r="X4338" s="318"/>
      <c r="Y4338" s="318"/>
      <c r="Z4338" s="318"/>
      <c r="AA4338" s="318"/>
      <c r="AB4338" s="318"/>
      <c r="AC4338" s="318"/>
      <c r="AD4338" s="318"/>
    </row>
    <row r="4339" spans="2:30" s="323" customFormat="1" ht="12" customHeight="1">
      <c r="B4339" s="324"/>
      <c r="C4339" s="325"/>
      <c r="D4339" s="326"/>
      <c r="E4339" s="326"/>
      <c r="F4339" s="326"/>
      <c r="G4339" s="326"/>
      <c r="H4339" s="326"/>
      <c r="P4339" s="318"/>
      <c r="Q4339" s="318"/>
      <c r="R4339" s="318"/>
      <c r="S4339" s="318"/>
      <c r="T4339" s="318"/>
      <c r="U4339" s="318"/>
      <c r="V4339" s="318"/>
      <c r="W4339" s="318"/>
      <c r="X4339" s="318"/>
      <c r="Y4339" s="318"/>
      <c r="Z4339" s="318"/>
      <c r="AA4339" s="318"/>
      <c r="AB4339" s="318"/>
      <c r="AC4339" s="318"/>
      <c r="AD4339" s="318"/>
    </row>
    <row r="4340" spans="2:30" s="323" customFormat="1" ht="12" customHeight="1">
      <c r="B4340" s="324"/>
      <c r="C4340" s="325"/>
      <c r="D4340" s="326"/>
      <c r="E4340" s="326"/>
      <c r="F4340" s="326"/>
      <c r="G4340" s="326"/>
      <c r="H4340" s="326"/>
      <c r="P4340" s="318"/>
      <c r="Q4340" s="318"/>
      <c r="R4340" s="318"/>
      <c r="S4340" s="318"/>
      <c r="T4340" s="318"/>
      <c r="U4340" s="318"/>
      <c r="V4340" s="318"/>
      <c r="W4340" s="318"/>
      <c r="X4340" s="318"/>
      <c r="Y4340" s="318"/>
      <c r="Z4340" s="318"/>
      <c r="AA4340" s="318"/>
      <c r="AB4340" s="318"/>
      <c r="AC4340" s="318"/>
      <c r="AD4340" s="318"/>
    </row>
    <row r="4341" spans="2:30" s="323" customFormat="1" ht="12" customHeight="1">
      <c r="B4341" s="324"/>
      <c r="C4341" s="325"/>
      <c r="D4341" s="326"/>
      <c r="E4341" s="326"/>
      <c r="F4341" s="326"/>
      <c r="G4341" s="326"/>
      <c r="H4341" s="326"/>
      <c r="P4341" s="318"/>
      <c r="Q4341" s="318"/>
      <c r="R4341" s="318"/>
      <c r="S4341" s="318"/>
      <c r="T4341" s="318"/>
      <c r="U4341" s="318"/>
      <c r="V4341" s="318"/>
      <c r="W4341" s="318"/>
      <c r="X4341" s="318"/>
      <c r="Y4341" s="318"/>
      <c r="Z4341" s="318"/>
      <c r="AA4341" s="318"/>
      <c r="AB4341" s="318"/>
      <c r="AC4341" s="318"/>
      <c r="AD4341" s="318"/>
    </row>
    <row r="4342" spans="2:30" s="323" customFormat="1" ht="12" customHeight="1">
      <c r="B4342" s="324"/>
      <c r="C4342" s="325"/>
      <c r="D4342" s="326"/>
      <c r="E4342" s="326"/>
      <c r="F4342" s="326"/>
      <c r="G4342" s="326"/>
      <c r="H4342" s="326"/>
      <c r="P4342" s="318"/>
      <c r="Q4342" s="318"/>
      <c r="R4342" s="318"/>
      <c r="S4342" s="318"/>
      <c r="T4342" s="318"/>
      <c r="U4342" s="318"/>
      <c r="V4342" s="318"/>
      <c r="W4342" s="318"/>
      <c r="X4342" s="318"/>
      <c r="Y4342" s="318"/>
      <c r="Z4342" s="318"/>
      <c r="AA4342" s="318"/>
      <c r="AB4342" s="318"/>
      <c r="AC4342" s="318"/>
      <c r="AD4342" s="318"/>
    </row>
    <row r="4343" spans="2:30" s="323" customFormat="1" ht="12" customHeight="1">
      <c r="B4343" s="324"/>
      <c r="C4343" s="325"/>
      <c r="D4343" s="326"/>
      <c r="E4343" s="326"/>
      <c r="F4343" s="326"/>
      <c r="G4343" s="326"/>
      <c r="H4343" s="326"/>
      <c r="P4343" s="318"/>
      <c r="Q4343" s="318"/>
      <c r="R4343" s="318"/>
      <c r="S4343" s="318"/>
      <c r="T4343" s="318"/>
      <c r="U4343" s="318"/>
      <c r="V4343" s="318"/>
      <c r="W4343" s="318"/>
      <c r="X4343" s="318"/>
      <c r="Y4343" s="318"/>
      <c r="Z4343" s="318"/>
      <c r="AA4343" s="318"/>
      <c r="AB4343" s="318"/>
      <c r="AC4343" s="318"/>
      <c r="AD4343" s="318"/>
    </row>
    <row r="4344" spans="2:30" s="323" customFormat="1" ht="12" customHeight="1">
      <c r="B4344" s="324"/>
      <c r="C4344" s="325"/>
      <c r="D4344" s="326"/>
      <c r="E4344" s="326"/>
      <c r="F4344" s="326"/>
      <c r="G4344" s="326"/>
      <c r="H4344" s="326"/>
      <c r="P4344" s="318"/>
      <c r="Q4344" s="318"/>
      <c r="R4344" s="318"/>
      <c r="S4344" s="318"/>
      <c r="T4344" s="318"/>
      <c r="U4344" s="318"/>
      <c r="V4344" s="318"/>
      <c r="W4344" s="318"/>
      <c r="X4344" s="318"/>
      <c r="Y4344" s="318"/>
      <c r="Z4344" s="318"/>
      <c r="AA4344" s="318"/>
      <c r="AB4344" s="318"/>
      <c r="AC4344" s="318"/>
      <c r="AD4344" s="318"/>
    </row>
    <row r="4345" spans="2:30" s="323" customFormat="1" ht="12" customHeight="1">
      <c r="B4345" s="324"/>
      <c r="C4345" s="325"/>
      <c r="D4345" s="326"/>
      <c r="E4345" s="326"/>
      <c r="F4345" s="326"/>
      <c r="G4345" s="326"/>
      <c r="H4345" s="326"/>
      <c r="P4345" s="318"/>
      <c r="Q4345" s="318"/>
      <c r="R4345" s="318"/>
      <c r="S4345" s="318"/>
      <c r="T4345" s="318"/>
      <c r="U4345" s="318"/>
      <c r="V4345" s="318"/>
      <c r="W4345" s="318"/>
      <c r="X4345" s="318"/>
      <c r="Y4345" s="318"/>
      <c r="Z4345" s="318"/>
      <c r="AA4345" s="318"/>
      <c r="AB4345" s="318"/>
      <c r="AC4345" s="318"/>
      <c r="AD4345" s="318"/>
    </row>
    <row r="4346" spans="2:30" s="323" customFormat="1" ht="12" customHeight="1">
      <c r="B4346" s="324"/>
      <c r="C4346" s="325"/>
      <c r="D4346" s="326"/>
      <c r="E4346" s="326"/>
      <c r="F4346" s="326"/>
      <c r="G4346" s="326"/>
      <c r="H4346" s="326"/>
      <c r="P4346" s="318"/>
      <c r="Q4346" s="318"/>
      <c r="R4346" s="318"/>
      <c r="S4346" s="318"/>
      <c r="T4346" s="318"/>
      <c r="U4346" s="318"/>
      <c r="V4346" s="318"/>
      <c r="W4346" s="318"/>
      <c r="X4346" s="318"/>
      <c r="Y4346" s="318"/>
      <c r="Z4346" s="318"/>
      <c r="AA4346" s="318"/>
      <c r="AB4346" s="318"/>
      <c r="AC4346" s="318"/>
      <c r="AD4346" s="318"/>
    </row>
    <row r="4347" spans="2:30" s="323" customFormat="1" ht="12" customHeight="1">
      <c r="B4347" s="324"/>
      <c r="C4347" s="325"/>
      <c r="D4347" s="326"/>
      <c r="E4347" s="326"/>
      <c r="F4347" s="326"/>
      <c r="G4347" s="326"/>
      <c r="H4347" s="326"/>
      <c r="P4347" s="318"/>
      <c r="Q4347" s="318"/>
      <c r="R4347" s="318"/>
      <c r="S4347" s="318"/>
      <c r="T4347" s="318"/>
      <c r="U4347" s="318"/>
      <c r="V4347" s="318"/>
      <c r="W4347" s="318"/>
      <c r="X4347" s="318"/>
      <c r="Y4347" s="318"/>
      <c r="Z4347" s="318"/>
      <c r="AA4347" s="318"/>
      <c r="AB4347" s="318"/>
      <c r="AC4347" s="318"/>
      <c r="AD4347" s="318"/>
    </row>
    <row r="4348" spans="2:30" s="323" customFormat="1" ht="12" customHeight="1">
      <c r="B4348" s="324"/>
      <c r="C4348" s="325"/>
      <c r="D4348" s="326"/>
      <c r="E4348" s="326"/>
      <c r="F4348" s="326"/>
      <c r="G4348" s="326"/>
      <c r="H4348" s="326"/>
      <c r="P4348" s="318"/>
      <c r="Q4348" s="318"/>
      <c r="R4348" s="318"/>
      <c r="S4348" s="318"/>
      <c r="T4348" s="318"/>
      <c r="U4348" s="318"/>
      <c r="V4348" s="318"/>
      <c r="W4348" s="318"/>
      <c r="X4348" s="318"/>
      <c r="Y4348" s="318"/>
      <c r="Z4348" s="318"/>
      <c r="AA4348" s="318"/>
      <c r="AB4348" s="318"/>
      <c r="AC4348" s="318"/>
      <c r="AD4348" s="318"/>
    </row>
    <row r="4349" spans="2:30" s="323" customFormat="1" ht="12" customHeight="1">
      <c r="B4349" s="324"/>
      <c r="C4349" s="325"/>
      <c r="D4349" s="326"/>
      <c r="E4349" s="326"/>
      <c r="F4349" s="326"/>
      <c r="G4349" s="326"/>
      <c r="H4349" s="326"/>
      <c r="P4349" s="318"/>
      <c r="Q4349" s="318"/>
      <c r="R4349" s="318"/>
      <c r="S4349" s="318"/>
      <c r="T4349" s="318"/>
      <c r="U4349" s="318"/>
      <c r="V4349" s="318"/>
      <c r="W4349" s="318"/>
      <c r="X4349" s="318"/>
      <c r="Y4349" s="318"/>
      <c r="Z4349" s="318"/>
      <c r="AA4349" s="318"/>
      <c r="AB4349" s="318"/>
      <c r="AC4349" s="318"/>
      <c r="AD4349" s="318"/>
    </row>
    <row r="4350" spans="2:30" s="323" customFormat="1" ht="12" customHeight="1">
      <c r="B4350" s="324"/>
      <c r="C4350" s="325"/>
      <c r="D4350" s="326"/>
      <c r="E4350" s="326"/>
      <c r="F4350" s="326"/>
      <c r="G4350" s="326"/>
      <c r="H4350" s="326"/>
      <c r="P4350" s="318"/>
      <c r="Q4350" s="318"/>
      <c r="R4350" s="318"/>
      <c r="S4350" s="318"/>
      <c r="T4350" s="318"/>
      <c r="U4350" s="318"/>
      <c r="V4350" s="318"/>
      <c r="W4350" s="318"/>
      <c r="X4350" s="318"/>
      <c r="Y4350" s="318"/>
      <c r="Z4350" s="318"/>
      <c r="AA4350" s="318"/>
      <c r="AB4350" s="318"/>
      <c r="AC4350" s="318"/>
      <c r="AD4350" s="318"/>
    </row>
    <row r="4351" spans="2:30" s="323" customFormat="1" ht="12" customHeight="1">
      <c r="B4351" s="324"/>
      <c r="C4351" s="325"/>
      <c r="D4351" s="326"/>
      <c r="E4351" s="326"/>
      <c r="F4351" s="326"/>
      <c r="G4351" s="326"/>
      <c r="H4351" s="326"/>
      <c r="P4351" s="318"/>
      <c r="Q4351" s="318"/>
      <c r="R4351" s="318"/>
      <c r="S4351" s="318"/>
      <c r="T4351" s="318"/>
      <c r="U4351" s="318"/>
      <c r="V4351" s="318"/>
      <c r="W4351" s="318"/>
      <c r="X4351" s="318"/>
      <c r="Y4351" s="318"/>
      <c r="Z4351" s="318"/>
      <c r="AA4351" s="318"/>
      <c r="AB4351" s="318"/>
      <c r="AC4351" s="318"/>
      <c r="AD4351" s="318"/>
    </row>
    <row r="4352" spans="2:30" s="323" customFormat="1" ht="12" customHeight="1">
      <c r="B4352" s="324"/>
      <c r="C4352" s="325"/>
      <c r="D4352" s="326"/>
      <c r="E4352" s="326"/>
      <c r="F4352" s="326"/>
      <c r="G4352" s="326"/>
      <c r="H4352" s="326"/>
      <c r="P4352" s="318"/>
      <c r="Q4352" s="318"/>
      <c r="R4352" s="318"/>
      <c r="S4352" s="318"/>
      <c r="T4352" s="318"/>
      <c r="U4352" s="318"/>
      <c r="V4352" s="318"/>
      <c r="W4352" s="318"/>
      <c r="X4352" s="318"/>
      <c r="Y4352" s="318"/>
      <c r="Z4352" s="318"/>
      <c r="AA4352" s="318"/>
      <c r="AB4352" s="318"/>
      <c r="AC4352" s="318"/>
      <c r="AD4352" s="318"/>
    </row>
    <row r="4353" spans="2:30" s="323" customFormat="1" ht="12" customHeight="1">
      <c r="B4353" s="324"/>
      <c r="C4353" s="325"/>
      <c r="D4353" s="326"/>
      <c r="E4353" s="326"/>
      <c r="F4353" s="326"/>
      <c r="G4353" s="326"/>
      <c r="H4353" s="326"/>
      <c r="P4353" s="318"/>
      <c r="Q4353" s="318"/>
      <c r="R4353" s="318"/>
      <c r="S4353" s="318"/>
      <c r="T4353" s="318"/>
      <c r="U4353" s="318"/>
      <c r="V4353" s="318"/>
      <c r="W4353" s="318"/>
      <c r="X4353" s="318"/>
      <c r="Y4353" s="318"/>
      <c r="Z4353" s="318"/>
      <c r="AA4353" s="318"/>
      <c r="AB4353" s="318"/>
      <c r="AC4353" s="318"/>
      <c r="AD4353" s="318"/>
    </row>
    <row r="4354" spans="2:30" s="323" customFormat="1" ht="12" customHeight="1">
      <c r="B4354" s="324"/>
      <c r="C4354" s="325"/>
      <c r="D4354" s="326"/>
      <c r="E4354" s="326"/>
      <c r="F4354" s="326"/>
      <c r="G4354" s="326"/>
      <c r="H4354" s="326"/>
      <c r="P4354" s="318"/>
      <c r="Q4354" s="318"/>
      <c r="R4354" s="318"/>
      <c r="S4354" s="318"/>
      <c r="T4354" s="318"/>
      <c r="U4354" s="318"/>
      <c r="V4354" s="318"/>
      <c r="W4354" s="318"/>
      <c r="X4354" s="318"/>
      <c r="Y4354" s="318"/>
      <c r="Z4354" s="318"/>
      <c r="AA4354" s="318"/>
      <c r="AB4354" s="318"/>
      <c r="AC4354" s="318"/>
      <c r="AD4354" s="318"/>
    </row>
    <row r="4355" spans="2:30" s="323" customFormat="1" ht="12" customHeight="1">
      <c r="B4355" s="324"/>
      <c r="C4355" s="325"/>
      <c r="D4355" s="326"/>
      <c r="E4355" s="326"/>
      <c r="F4355" s="326"/>
      <c r="G4355" s="326"/>
      <c r="H4355" s="326"/>
      <c r="P4355" s="318"/>
      <c r="Q4355" s="318"/>
      <c r="R4355" s="318"/>
      <c r="S4355" s="318"/>
      <c r="T4355" s="318"/>
      <c r="U4355" s="318"/>
      <c r="V4355" s="318"/>
      <c r="W4355" s="318"/>
      <c r="X4355" s="318"/>
      <c r="Y4355" s="318"/>
      <c r="Z4355" s="318"/>
      <c r="AA4355" s="318"/>
      <c r="AB4355" s="318"/>
      <c r="AC4355" s="318"/>
      <c r="AD4355" s="318"/>
    </row>
    <row r="4356" spans="2:30" s="323" customFormat="1" ht="12" customHeight="1">
      <c r="B4356" s="324"/>
      <c r="C4356" s="325"/>
      <c r="D4356" s="326"/>
      <c r="E4356" s="326"/>
      <c r="F4356" s="326"/>
      <c r="G4356" s="326"/>
      <c r="H4356" s="326"/>
      <c r="P4356" s="318"/>
      <c r="Q4356" s="318"/>
      <c r="R4356" s="318"/>
      <c r="S4356" s="318"/>
      <c r="T4356" s="318"/>
      <c r="U4356" s="318"/>
      <c r="V4356" s="318"/>
      <c r="W4356" s="318"/>
      <c r="X4356" s="318"/>
      <c r="Y4356" s="318"/>
      <c r="Z4356" s="318"/>
      <c r="AA4356" s="318"/>
      <c r="AB4356" s="318"/>
      <c r="AC4356" s="318"/>
      <c r="AD4356" s="318"/>
    </row>
    <row r="4357" spans="2:30" s="323" customFormat="1" ht="12" customHeight="1">
      <c r="B4357" s="324"/>
      <c r="C4357" s="325"/>
      <c r="D4357" s="326"/>
      <c r="E4357" s="326"/>
      <c r="F4357" s="326"/>
      <c r="G4357" s="326"/>
      <c r="H4357" s="326"/>
      <c r="P4357" s="318"/>
      <c r="Q4357" s="318"/>
      <c r="R4357" s="318"/>
      <c r="S4357" s="318"/>
      <c r="T4357" s="318"/>
      <c r="U4357" s="318"/>
      <c r="V4357" s="318"/>
      <c r="W4357" s="318"/>
      <c r="X4357" s="318"/>
      <c r="Y4357" s="318"/>
      <c r="Z4357" s="318"/>
      <c r="AA4357" s="318"/>
      <c r="AB4357" s="318"/>
      <c r="AC4357" s="318"/>
      <c r="AD4357" s="318"/>
    </row>
    <row r="4358" spans="2:30" s="323" customFormat="1" ht="12" customHeight="1">
      <c r="B4358" s="324"/>
      <c r="C4358" s="325"/>
      <c r="D4358" s="326"/>
      <c r="E4358" s="326"/>
      <c r="F4358" s="326"/>
      <c r="G4358" s="326"/>
      <c r="H4358" s="326"/>
      <c r="P4358" s="318"/>
      <c r="Q4358" s="318"/>
      <c r="R4358" s="318"/>
      <c r="S4358" s="318"/>
      <c r="T4358" s="318"/>
      <c r="U4358" s="318"/>
      <c r="V4358" s="318"/>
      <c r="W4358" s="318"/>
      <c r="X4358" s="318"/>
      <c r="Y4358" s="318"/>
      <c r="Z4358" s="318"/>
      <c r="AA4358" s="318"/>
      <c r="AB4358" s="318"/>
      <c r="AC4358" s="318"/>
      <c r="AD4358" s="318"/>
    </row>
    <row r="4359" spans="2:30" s="323" customFormat="1" ht="12" customHeight="1">
      <c r="B4359" s="324"/>
      <c r="C4359" s="325"/>
      <c r="D4359" s="326"/>
      <c r="E4359" s="326"/>
      <c r="F4359" s="326"/>
      <c r="G4359" s="326"/>
      <c r="H4359" s="326"/>
      <c r="P4359" s="318"/>
      <c r="Q4359" s="318"/>
      <c r="R4359" s="318"/>
      <c r="S4359" s="318"/>
      <c r="T4359" s="318"/>
      <c r="U4359" s="318"/>
      <c r="V4359" s="318"/>
      <c r="W4359" s="318"/>
      <c r="X4359" s="318"/>
      <c r="Y4359" s="318"/>
      <c r="Z4359" s="318"/>
      <c r="AA4359" s="318"/>
      <c r="AB4359" s="318"/>
      <c r="AC4359" s="318"/>
      <c r="AD4359" s="318"/>
    </row>
    <row r="4360" spans="2:30" s="323" customFormat="1" ht="12" customHeight="1">
      <c r="B4360" s="324"/>
      <c r="C4360" s="325"/>
      <c r="D4360" s="326"/>
      <c r="E4360" s="326"/>
      <c r="F4360" s="326"/>
      <c r="G4360" s="326"/>
      <c r="H4360" s="326"/>
      <c r="P4360" s="318"/>
      <c r="Q4360" s="318"/>
      <c r="R4360" s="318"/>
      <c r="S4360" s="318"/>
      <c r="T4360" s="318"/>
      <c r="U4360" s="318"/>
      <c r="V4360" s="318"/>
      <c r="W4360" s="318"/>
      <c r="X4360" s="318"/>
      <c r="Y4360" s="318"/>
      <c r="Z4360" s="318"/>
      <c r="AA4360" s="318"/>
      <c r="AB4360" s="318"/>
      <c r="AC4360" s="318"/>
      <c r="AD4360" s="318"/>
    </row>
    <row r="4361" spans="2:30" s="323" customFormat="1" ht="12" customHeight="1">
      <c r="B4361" s="324"/>
      <c r="C4361" s="325"/>
      <c r="D4361" s="326"/>
      <c r="E4361" s="326"/>
      <c r="F4361" s="326"/>
      <c r="G4361" s="326"/>
      <c r="H4361" s="326"/>
      <c r="P4361" s="318"/>
      <c r="Q4361" s="318"/>
      <c r="R4361" s="318"/>
      <c r="S4361" s="318"/>
      <c r="T4361" s="318"/>
      <c r="U4361" s="318"/>
      <c r="V4361" s="318"/>
      <c r="W4361" s="318"/>
      <c r="X4361" s="318"/>
      <c r="Y4361" s="318"/>
      <c r="Z4361" s="318"/>
      <c r="AA4361" s="318"/>
      <c r="AB4361" s="318"/>
      <c r="AC4361" s="318"/>
      <c r="AD4361" s="318"/>
    </row>
    <row r="4362" spans="2:30" s="323" customFormat="1" ht="12" customHeight="1">
      <c r="B4362" s="324"/>
      <c r="C4362" s="325"/>
      <c r="D4362" s="326"/>
      <c r="E4362" s="326"/>
      <c r="F4362" s="326"/>
      <c r="G4362" s="326"/>
      <c r="H4362" s="326"/>
      <c r="P4362" s="318"/>
      <c r="Q4362" s="318"/>
      <c r="R4362" s="318"/>
      <c r="S4362" s="318"/>
      <c r="T4362" s="318"/>
      <c r="U4362" s="318"/>
      <c r="V4362" s="318"/>
      <c r="W4362" s="318"/>
      <c r="X4362" s="318"/>
      <c r="Y4362" s="318"/>
      <c r="Z4362" s="318"/>
      <c r="AA4362" s="318"/>
      <c r="AB4362" s="318"/>
      <c r="AC4362" s="318"/>
      <c r="AD4362" s="318"/>
    </row>
    <row r="4363" spans="2:30" s="323" customFormat="1" ht="12" customHeight="1">
      <c r="B4363" s="324"/>
      <c r="C4363" s="325"/>
      <c r="D4363" s="326"/>
      <c r="E4363" s="326"/>
      <c r="F4363" s="326"/>
      <c r="G4363" s="326"/>
      <c r="H4363" s="326"/>
      <c r="P4363" s="318"/>
      <c r="Q4363" s="318"/>
      <c r="R4363" s="318"/>
      <c r="S4363" s="318"/>
      <c r="T4363" s="318"/>
      <c r="U4363" s="318"/>
      <c r="V4363" s="318"/>
      <c r="W4363" s="318"/>
      <c r="X4363" s="318"/>
      <c r="Y4363" s="318"/>
      <c r="Z4363" s="318"/>
      <c r="AA4363" s="318"/>
      <c r="AB4363" s="318"/>
      <c r="AC4363" s="318"/>
      <c r="AD4363" s="318"/>
    </row>
    <row r="4364" spans="2:30" s="323" customFormat="1" ht="12" customHeight="1">
      <c r="B4364" s="324"/>
      <c r="C4364" s="325"/>
      <c r="D4364" s="326"/>
      <c r="E4364" s="326"/>
      <c r="F4364" s="326"/>
      <c r="G4364" s="326"/>
      <c r="H4364" s="326"/>
      <c r="P4364" s="318"/>
      <c r="Q4364" s="318"/>
      <c r="R4364" s="318"/>
      <c r="S4364" s="318"/>
      <c r="T4364" s="318"/>
      <c r="U4364" s="318"/>
      <c r="V4364" s="318"/>
      <c r="W4364" s="318"/>
      <c r="X4364" s="318"/>
      <c r="Y4364" s="318"/>
      <c r="Z4364" s="318"/>
      <c r="AA4364" s="318"/>
      <c r="AB4364" s="318"/>
      <c r="AC4364" s="318"/>
      <c r="AD4364" s="318"/>
    </row>
    <row r="4365" spans="2:30" s="323" customFormat="1" ht="12" customHeight="1">
      <c r="B4365" s="324"/>
      <c r="C4365" s="325"/>
      <c r="D4365" s="326"/>
      <c r="E4365" s="326"/>
      <c r="F4365" s="326"/>
      <c r="G4365" s="326"/>
      <c r="H4365" s="326"/>
      <c r="P4365" s="318"/>
      <c r="Q4365" s="318"/>
      <c r="R4365" s="318"/>
      <c r="S4365" s="318"/>
      <c r="T4365" s="318"/>
      <c r="U4365" s="318"/>
      <c r="V4365" s="318"/>
      <c r="W4365" s="318"/>
      <c r="X4365" s="318"/>
      <c r="Y4365" s="318"/>
      <c r="Z4365" s="318"/>
      <c r="AA4365" s="318"/>
      <c r="AB4365" s="318"/>
      <c r="AC4365" s="318"/>
      <c r="AD4365" s="318"/>
    </row>
    <row r="4366" spans="2:30" s="323" customFormat="1" ht="12" customHeight="1">
      <c r="B4366" s="324"/>
      <c r="C4366" s="325"/>
      <c r="D4366" s="326"/>
      <c r="E4366" s="326"/>
      <c r="F4366" s="326"/>
      <c r="G4366" s="326"/>
      <c r="H4366" s="326"/>
      <c r="P4366" s="318"/>
      <c r="Q4366" s="318"/>
      <c r="R4366" s="318"/>
      <c r="S4366" s="318"/>
      <c r="T4366" s="318"/>
      <c r="U4366" s="318"/>
      <c r="V4366" s="318"/>
      <c r="W4366" s="318"/>
      <c r="X4366" s="318"/>
      <c r="Y4366" s="318"/>
      <c r="Z4366" s="318"/>
      <c r="AA4366" s="318"/>
      <c r="AB4366" s="318"/>
      <c r="AC4366" s="318"/>
      <c r="AD4366" s="318"/>
    </row>
    <row r="4367" spans="2:30" s="323" customFormat="1" ht="12" customHeight="1">
      <c r="B4367" s="324"/>
      <c r="C4367" s="325"/>
      <c r="D4367" s="326"/>
      <c r="E4367" s="326"/>
      <c r="F4367" s="326"/>
      <c r="G4367" s="326"/>
      <c r="H4367" s="326"/>
      <c r="P4367" s="318"/>
      <c r="Q4367" s="318"/>
      <c r="R4367" s="318"/>
      <c r="S4367" s="318"/>
      <c r="T4367" s="318"/>
      <c r="U4367" s="318"/>
      <c r="V4367" s="318"/>
      <c r="W4367" s="318"/>
      <c r="X4367" s="318"/>
      <c r="Y4367" s="318"/>
      <c r="Z4367" s="318"/>
      <c r="AA4367" s="318"/>
      <c r="AB4367" s="318"/>
      <c r="AC4367" s="318"/>
      <c r="AD4367" s="318"/>
    </row>
    <row r="4368" spans="2:30" s="323" customFormat="1" ht="12" customHeight="1">
      <c r="B4368" s="324"/>
      <c r="C4368" s="325"/>
      <c r="D4368" s="326"/>
      <c r="E4368" s="326"/>
      <c r="F4368" s="326"/>
      <c r="G4368" s="326"/>
      <c r="H4368" s="326"/>
      <c r="P4368" s="318"/>
      <c r="Q4368" s="318"/>
      <c r="R4368" s="318"/>
      <c r="S4368" s="318"/>
      <c r="T4368" s="318"/>
      <c r="U4368" s="318"/>
      <c r="V4368" s="318"/>
      <c r="W4368" s="318"/>
      <c r="X4368" s="318"/>
      <c r="Y4368" s="318"/>
      <c r="Z4368" s="318"/>
      <c r="AA4368" s="318"/>
      <c r="AB4368" s="318"/>
      <c r="AC4368" s="318"/>
      <c r="AD4368" s="318"/>
    </row>
    <row r="4369" spans="2:30" s="323" customFormat="1" ht="12" customHeight="1">
      <c r="B4369" s="324"/>
      <c r="C4369" s="325"/>
      <c r="D4369" s="326"/>
      <c r="E4369" s="326"/>
      <c r="F4369" s="326"/>
      <c r="G4369" s="326"/>
      <c r="H4369" s="326"/>
      <c r="P4369" s="318"/>
      <c r="Q4369" s="318"/>
      <c r="R4369" s="318"/>
      <c r="S4369" s="318"/>
      <c r="T4369" s="318"/>
      <c r="U4369" s="318"/>
      <c r="V4369" s="318"/>
      <c r="W4369" s="318"/>
      <c r="X4369" s="318"/>
      <c r="Y4369" s="318"/>
      <c r="Z4369" s="318"/>
      <c r="AA4369" s="318"/>
      <c r="AB4369" s="318"/>
      <c r="AC4369" s="318"/>
      <c r="AD4369" s="318"/>
    </row>
    <row r="4370" spans="2:30" s="323" customFormat="1" ht="12" customHeight="1">
      <c r="B4370" s="324"/>
      <c r="C4370" s="325"/>
      <c r="D4370" s="326"/>
      <c r="E4370" s="326"/>
      <c r="F4370" s="326"/>
      <c r="G4370" s="326"/>
      <c r="H4370" s="326"/>
      <c r="P4370" s="318"/>
      <c r="Q4370" s="318"/>
      <c r="R4370" s="318"/>
      <c r="S4370" s="318"/>
      <c r="T4370" s="318"/>
      <c r="U4370" s="318"/>
      <c r="V4370" s="318"/>
      <c r="W4370" s="318"/>
      <c r="X4370" s="318"/>
      <c r="Y4370" s="318"/>
      <c r="Z4370" s="318"/>
      <c r="AA4370" s="318"/>
      <c r="AB4370" s="318"/>
      <c r="AC4370" s="318"/>
      <c r="AD4370" s="318"/>
    </row>
    <row r="4371" spans="2:30" s="323" customFormat="1" ht="12" customHeight="1">
      <c r="B4371" s="324"/>
      <c r="C4371" s="325"/>
      <c r="D4371" s="326"/>
      <c r="E4371" s="326"/>
      <c r="F4371" s="326"/>
      <c r="G4371" s="326"/>
      <c r="H4371" s="326"/>
      <c r="P4371" s="318"/>
      <c r="Q4371" s="318"/>
      <c r="R4371" s="318"/>
      <c r="S4371" s="318"/>
      <c r="T4371" s="318"/>
      <c r="U4371" s="318"/>
      <c r="V4371" s="318"/>
      <c r="W4371" s="318"/>
      <c r="X4371" s="318"/>
      <c r="Y4371" s="318"/>
      <c r="Z4371" s="318"/>
      <c r="AA4371" s="318"/>
      <c r="AB4371" s="318"/>
      <c r="AC4371" s="318"/>
      <c r="AD4371" s="318"/>
    </row>
    <row r="4372" spans="2:30" s="323" customFormat="1" ht="12" customHeight="1">
      <c r="B4372" s="324"/>
      <c r="C4372" s="325"/>
      <c r="D4372" s="326"/>
      <c r="E4372" s="326"/>
      <c r="F4372" s="326"/>
      <c r="G4372" s="326"/>
      <c r="H4372" s="326"/>
      <c r="P4372" s="318"/>
      <c r="Q4372" s="318"/>
      <c r="R4372" s="318"/>
      <c r="S4372" s="318"/>
      <c r="T4372" s="318"/>
      <c r="U4372" s="318"/>
      <c r="V4372" s="318"/>
      <c r="W4372" s="318"/>
      <c r="X4372" s="318"/>
      <c r="Y4372" s="318"/>
      <c r="Z4372" s="318"/>
      <c r="AA4372" s="318"/>
      <c r="AB4372" s="318"/>
      <c r="AC4372" s="318"/>
      <c r="AD4372" s="318"/>
    </row>
    <row r="4373" spans="2:30" s="323" customFormat="1" ht="12" customHeight="1">
      <c r="B4373" s="324"/>
      <c r="C4373" s="325"/>
      <c r="D4373" s="326"/>
      <c r="E4373" s="326"/>
      <c r="F4373" s="326"/>
      <c r="G4373" s="326"/>
      <c r="H4373" s="326"/>
      <c r="P4373" s="318"/>
      <c r="Q4373" s="318"/>
      <c r="R4373" s="318"/>
      <c r="S4373" s="318"/>
      <c r="T4373" s="318"/>
      <c r="U4373" s="318"/>
      <c r="V4373" s="318"/>
      <c r="W4373" s="318"/>
      <c r="X4373" s="318"/>
      <c r="Y4373" s="318"/>
      <c r="Z4373" s="318"/>
      <c r="AA4373" s="318"/>
      <c r="AB4373" s="318"/>
      <c r="AC4373" s="318"/>
      <c r="AD4373" s="318"/>
    </row>
    <row r="4374" spans="2:30" s="323" customFormat="1" ht="12" customHeight="1">
      <c r="B4374" s="324"/>
      <c r="C4374" s="325"/>
      <c r="D4374" s="326"/>
      <c r="E4374" s="326"/>
      <c r="F4374" s="326"/>
      <c r="G4374" s="326"/>
      <c r="H4374" s="326"/>
      <c r="P4374" s="318"/>
      <c r="Q4374" s="318"/>
      <c r="R4374" s="318"/>
      <c r="S4374" s="318"/>
      <c r="T4374" s="318"/>
      <c r="U4374" s="318"/>
      <c r="V4374" s="318"/>
      <c r="W4374" s="318"/>
      <c r="X4374" s="318"/>
      <c r="Y4374" s="318"/>
      <c r="Z4374" s="318"/>
      <c r="AA4374" s="318"/>
      <c r="AB4374" s="318"/>
      <c r="AC4374" s="318"/>
      <c r="AD4374" s="318"/>
    </row>
    <row r="4375" spans="2:30" s="323" customFormat="1" ht="12" customHeight="1">
      <c r="B4375" s="324"/>
      <c r="C4375" s="325"/>
      <c r="D4375" s="326"/>
      <c r="E4375" s="326"/>
      <c r="F4375" s="326"/>
      <c r="G4375" s="326"/>
      <c r="H4375" s="326"/>
      <c r="P4375" s="318"/>
      <c r="Q4375" s="318"/>
      <c r="R4375" s="318"/>
      <c r="S4375" s="318"/>
      <c r="T4375" s="318"/>
      <c r="U4375" s="318"/>
      <c r="V4375" s="318"/>
      <c r="W4375" s="318"/>
      <c r="X4375" s="318"/>
      <c r="Y4375" s="318"/>
      <c r="Z4375" s="318"/>
      <c r="AA4375" s="318"/>
      <c r="AB4375" s="318"/>
      <c r="AC4375" s="318"/>
      <c r="AD4375" s="318"/>
    </row>
    <row r="4376" spans="2:30" s="323" customFormat="1" ht="12" customHeight="1">
      <c r="B4376" s="324"/>
      <c r="C4376" s="325"/>
      <c r="D4376" s="326"/>
      <c r="E4376" s="326"/>
      <c r="F4376" s="326"/>
      <c r="G4376" s="326"/>
      <c r="H4376" s="326"/>
      <c r="P4376" s="318"/>
      <c r="Q4376" s="318"/>
      <c r="R4376" s="318"/>
      <c r="S4376" s="318"/>
      <c r="T4376" s="318"/>
      <c r="U4376" s="318"/>
      <c r="V4376" s="318"/>
      <c r="W4376" s="318"/>
      <c r="X4376" s="318"/>
      <c r="Y4376" s="318"/>
      <c r="Z4376" s="318"/>
      <c r="AA4376" s="318"/>
      <c r="AB4376" s="318"/>
      <c r="AC4376" s="318"/>
      <c r="AD4376" s="318"/>
    </row>
    <row r="4377" spans="2:30" s="323" customFormat="1" ht="12" customHeight="1">
      <c r="B4377" s="324"/>
      <c r="C4377" s="325"/>
      <c r="D4377" s="326"/>
      <c r="E4377" s="326"/>
      <c r="F4377" s="326"/>
      <c r="G4377" s="326"/>
      <c r="H4377" s="326"/>
      <c r="P4377" s="318"/>
      <c r="Q4377" s="318"/>
      <c r="R4377" s="318"/>
      <c r="S4377" s="318"/>
      <c r="T4377" s="318"/>
      <c r="U4377" s="318"/>
      <c r="V4377" s="318"/>
      <c r="W4377" s="318"/>
      <c r="X4377" s="318"/>
      <c r="Y4377" s="318"/>
      <c r="Z4377" s="318"/>
      <c r="AA4377" s="318"/>
      <c r="AB4377" s="318"/>
      <c r="AC4377" s="318"/>
      <c r="AD4377" s="318"/>
    </row>
    <row r="4378" spans="2:30" s="323" customFormat="1" ht="12" customHeight="1">
      <c r="B4378" s="324"/>
      <c r="C4378" s="325"/>
      <c r="D4378" s="326"/>
      <c r="E4378" s="326"/>
      <c r="F4378" s="326"/>
      <c r="G4378" s="326"/>
      <c r="H4378" s="326"/>
      <c r="P4378" s="318"/>
      <c r="Q4378" s="318"/>
      <c r="R4378" s="318"/>
      <c r="S4378" s="318"/>
      <c r="T4378" s="318"/>
      <c r="U4378" s="318"/>
      <c r="V4378" s="318"/>
      <c r="W4378" s="318"/>
      <c r="X4378" s="318"/>
      <c r="Y4378" s="318"/>
      <c r="Z4378" s="318"/>
      <c r="AA4378" s="318"/>
      <c r="AB4378" s="318"/>
      <c r="AC4378" s="318"/>
      <c r="AD4378" s="318"/>
    </row>
    <row r="4379" spans="2:30" s="323" customFormat="1" ht="12" customHeight="1">
      <c r="B4379" s="324"/>
      <c r="C4379" s="325"/>
      <c r="D4379" s="326"/>
      <c r="E4379" s="326"/>
      <c r="F4379" s="326"/>
      <c r="G4379" s="326"/>
      <c r="H4379" s="326"/>
      <c r="P4379" s="318"/>
      <c r="Q4379" s="318"/>
      <c r="R4379" s="318"/>
      <c r="S4379" s="318"/>
      <c r="T4379" s="318"/>
      <c r="U4379" s="318"/>
      <c r="V4379" s="318"/>
      <c r="W4379" s="318"/>
      <c r="X4379" s="318"/>
      <c r="Y4379" s="318"/>
      <c r="Z4379" s="318"/>
      <c r="AA4379" s="318"/>
      <c r="AB4379" s="318"/>
      <c r="AC4379" s="318"/>
      <c r="AD4379" s="318"/>
    </row>
    <row r="4380" spans="2:30" s="323" customFormat="1" ht="12" customHeight="1">
      <c r="B4380" s="324"/>
      <c r="C4380" s="325"/>
      <c r="D4380" s="326"/>
      <c r="E4380" s="326"/>
      <c r="F4380" s="326"/>
      <c r="G4380" s="326"/>
      <c r="H4380" s="326"/>
      <c r="P4380" s="318"/>
      <c r="Q4380" s="318"/>
      <c r="R4380" s="318"/>
      <c r="S4380" s="318"/>
      <c r="T4380" s="318"/>
      <c r="U4380" s="318"/>
      <c r="V4380" s="318"/>
      <c r="W4380" s="318"/>
      <c r="X4380" s="318"/>
      <c r="Y4380" s="318"/>
      <c r="Z4380" s="318"/>
      <c r="AA4380" s="318"/>
      <c r="AB4380" s="318"/>
      <c r="AC4380" s="318"/>
      <c r="AD4380" s="318"/>
    </row>
    <row r="4381" spans="2:30" s="323" customFormat="1" ht="12" customHeight="1">
      <c r="B4381" s="324"/>
      <c r="C4381" s="325"/>
      <c r="D4381" s="326"/>
      <c r="E4381" s="326"/>
      <c r="F4381" s="326"/>
      <c r="G4381" s="326"/>
      <c r="H4381" s="326"/>
      <c r="P4381" s="318"/>
      <c r="Q4381" s="318"/>
      <c r="R4381" s="318"/>
      <c r="S4381" s="318"/>
      <c r="T4381" s="318"/>
      <c r="U4381" s="318"/>
      <c r="V4381" s="318"/>
      <c r="W4381" s="318"/>
      <c r="X4381" s="318"/>
      <c r="Y4381" s="318"/>
      <c r="Z4381" s="318"/>
      <c r="AA4381" s="318"/>
      <c r="AB4381" s="318"/>
      <c r="AC4381" s="318"/>
      <c r="AD4381" s="318"/>
    </row>
    <row r="4382" spans="2:30" s="323" customFormat="1" ht="12" customHeight="1">
      <c r="B4382" s="324"/>
      <c r="C4382" s="325"/>
      <c r="D4382" s="326"/>
      <c r="E4382" s="326"/>
      <c r="F4382" s="326"/>
      <c r="G4382" s="326"/>
      <c r="H4382" s="326"/>
      <c r="P4382" s="318"/>
      <c r="Q4382" s="318"/>
      <c r="R4382" s="318"/>
      <c r="S4382" s="318"/>
      <c r="T4382" s="318"/>
      <c r="U4382" s="318"/>
      <c r="V4382" s="318"/>
      <c r="W4382" s="318"/>
      <c r="X4382" s="318"/>
      <c r="Y4382" s="318"/>
      <c r="Z4382" s="318"/>
      <c r="AA4382" s="318"/>
      <c r="AB4382" s="318"/>
      <c r="AC4382" s="318"/>
      <c r="AD4382" s="318"/>
    </row>
    <row r="4383" spans="2:30" s="323" customFormat="1" ht="12" customHeight="1">
      <c r="B4383" s="324"/>
      <c r="C4383" s="325"/>
      <c r="D4383" s="326"/>
      <c r="E4383" s="326"/>
      <c r="F4383" s="326"/>
      <c r="G4383" s="326"/>
      <c r="H4383" s="326"/>
      <c r="P4383" s="318"/>
      <c r="Q4383" s="318"/>
      <c r="R4383" s="318"/>
      <c r="S4383" s="318"/>
      <c r="T4383" s="318"/>
      <c r="U4383" s="318"/>
      <c r="V4383" s="318"/>
      <c r="W4383" s="318"/>
      <c r="X4383" s="318"/>
      <c r="Y4383" s="318"/>
      <c r="Z4383" s="318"/>
      <c r="AA4383" s="318"/>
      <c r="AB4383" s="318"/>
      <c r="AC4383" s="318"/>
      <c r="AD4383" s="318"/>
    </row>
    <row r="4384" spans="2:30" s="323" customFormat="1" ht="12" customHeight="1">
      <c r="B4384" s="324"/>
      <c r="C4384" s="325"/>
      <c r="D4384" s="326"/>
      <c r="E4384" s="326"/>
      <c r="F4384" s="326"/>
      <c r="G4384" s="326"/>
      <c r="H4384" s="326"/>
      <c r="P4384" s="318"/>
      <c r="Q4384" s="318"/>
      <c r="R4384" s="318"/>
      <c r="S4384" s="318"/>
      <c r="T4384" s="318"/>
      <c r="U4384" s="318"/>
      <c r="V4384" s="318"/>
      <c r="W4384" s="318"/>
      <c r="X4384" s="318"/>
      <c r="Y4384" s="318"/>
      <c r="Z4384" s="318"/>
      <c r="AA4384" s="318"/>
      <c r="AB4384" s="318"/>
      <c r="AC4384" s="318"/>
      <c r="AD4384" s="318"/>
    </row>
    <row r="4385" spans="2:30" s="323" customFormat="1" ht="12" customHeight="1">
      <c r="B4385" s="324"/>
      <c r="C4385" s="325"/>
      <c r="D4385" s="326"/>
      <c r="E4385" s="326"/>
      <c r="F4385" s="326"/>
      <c r="G4385" s="326"/>
      <c r="H4385" s="326"/>
      <c r="P4385" s="318"/>
      <c r="Q4385" s="318"/>
      <c r="R4385" s="318"/>
      <c r="S4385" s="318"/>
      <c r="T4385" s="318"/>
      <c r="U4385" s="318"/>
      <c r="V4385" s="318"/>
      <c r="W4385" s="318"/>
      <c r="X4385" s="318"/>
      <c r="Y4385" s="318"/>
      <c r="Z4385" s="318"/>
      <c r="AA4385" s="318"/>
      <c r="AB4385" s="318"/>
      <c r="AC4385" s="318"/>
      <c r="AD4385" s="318"/>
    </row>
    <row r="4386" spans="2:30" s="323" customFormat="1" ht="12" customHeight="1">
      <c r="B4386" s="324"/>
      <c r="C4386" s="325"/>
      <c r="D4386" s="326"/>
      <c r="E4386" s="326"/>
      <c r="F4386" s="326"/>
      <c r="G4386" s="326"/>
      <c r="H4386" s="326"/>
      <c r="P4386" s="318"/>
      <c r="Q4386" s="318"/>
      <c r="R4386" s="318"/>
      <c r="S4386" s="318"/>
      <c r="T4386" s="318"/>
      <c r="U4386" s="318"/>
      <c r="V4386" s="318"/>
      <c r="W4386" s="318"/>
      <c r="X4386" s="318"/>
      <c r="Y4386" s="318"/>
      <c r="Z4386" s="318"/>
      <c r="AA4386" s="318"/>
      <c r="AB4386" s="318"/>
      <c r="AC4386" s="318"/>
      <c r="AD4386" s="318"/>
    </row>
    <row r="4387" spans="2:30" s="323" customFormat="1" ht="12" customHeight="1">
      <c r="B4387" s="324"/>
      <c r="C4387" s="325"/>
      <c r="D4387" s="326"/>
      <c r="E4387" s="326"/>
      <c r="F4387" s="326"/>
      <c r="G4387" s="326"/>
      <c r="H4387" s="326"/>
      <c r="P4387" s="318"/>
      <c r="Q4387" s="318"/>
      <c r="R4387" s="318"/>
      <c r="S4387" s="318"/>
      <c r="T4387" s="318"/>
      <c r="U4387" s="318"/>
      <c r="V4387" s="318"/>
      <c r="W4387" s="318"/>
      <c r="X4387" s="318"/>
      <c r="Y4387" s="318"/>
      <c r="Z4387" s="318"/>
      <c r="AA4387" s="318"/>
      <c r="AB4387" s="318"/>
      <c r="AC4387" s="318"/>
      <c r="AD4387" s="318"/>
    </row>
    <row r="4388" spans="2:30" s="323" customFormat="1" ht="12" customHeight="1">
      <c r="B4388" s="324"/>
      <c r="C4388" s="325"/>
      <c r="D4388" s="326"/>
      <c r="E4388" s="326"/>
      <c r="F4388" s="326"/>
      <c r="G4388" s="326"/>
      <c r="H4388" s="326"/>
      <c r="P4388" s="318"/>
      <c r="Q4388" s="318"/>
      <c r="R4388" s="318"/>
      <c r="S4388" s="318"/>
      <c r="T4388" s="318"/>
      <c r="U4388" s="318"/>
      <c r="V4388" s="318"/>
      <c r="W4388" s="318"/>
      <c r="X4388" s="318"/>
      <c r="Y4388" s="318"/>
      <c r="Z4388" s="318"/>
      <c r="AA4388" s="318"/>
      <c r="AB4388" s="318"/>
      <c r="AC4388" s="318"/>
      <c r="AD4388" s="318"/>
    </row>
    <row r="4389" spans="2:30" s="323" customFormat="1" ht="12" customHeight="1">
      <c r="B4389" s="324"/>
      <c r="C4389" s="325"/>
      <c r="D4389" s="326"/>
      <c r="E4389" s="326"/>
      <c r="F4389" s="326"/>
      <c r="G4389" s="326"/>
      <c r="H4389" s="326"/>
      <c r="P4389" s="318"/>
      <c r="Q4389" s="318"/>
      <c r="R4389" s="318"/>
      <c r="S4389" s="318"/>
      <c r="T4389" s="318"/>
      <c r="U4389" s="318"/>
      <c r="V4389" s="318"/>
      <c r="W4389" s="318"/>
      <c r="X4389" s="318"/>
      <c r="Y4389" s="318"/>
      <c r="Z4389" s="318"/>
      <c r="AA4389" s="318"/>
      <c r="AB4389" s="318"/>
      <c r="AC4389" s="318"/>
      <c r="AD4389" s="318"/>
    </row>
    <row r="4390" spans="2:30" s="323" customFormat="1" ht="12" customHeight="1">
      <c r="B4390" s="324"/>
      <c r="C4390" s="325"/>
      <c r="D4390" s="326"/>
      <c r="E4390" s="326"/>
      <c r="F4390" s="326"/>
      <c r="G4390" s="326"/>
      <c r="H4390" s="326"/>
      <c r="P4390" s="318"/>
      <c r="Q4390" s="318"/>
      <c r="R4390" s="318"/>
      <c r="S4390" s="318"/>
      <c r="T4390" s="318"/>
      <c r="U4390" s="318"/>
      <c r="V4390" s="318"/>
      <c r="W4390" s="318"/>
      <c r="X4390" s="318"/>
      <c r="Y4390" s="318"/>
      <c r="Z4390" s="318"/>
      <c r="AA4390" s="318"/>
      <c r="AB4390" s="318"/>
      <c r="AC4390" s="318"/>
      <c r="AD4390" s="318"/>
    </row>
    <row r="4391" spans="2:30" s="323" customFormat="1" ht="12" customHeight="1">
      <c r="B4391" s="324"/>
      <c r="C4391" s="325"/>
      <c r="D4391" s="326"/>
      <c r="E4391" s="326"/>
      <c r="F4391" s="326"/>
      <c r="G4391" s="326"/>
      <c r="H4391" s="326"/>
      <c r="P4391" s="318"/>
      <c r="Q4391" s="318"/>
      <c r="R4391" s="318"/>
      <c r="S4391" s="318"/>
      <c r="T4391" s="318"/>
      <c r="U4391" s="318"/>
      <c r="V4391" s="318"/>
      <c r="W4391" s="318"/>
      <c r="X4391" s="318"/>
      <c r="Y4391" s="318"/>
      <c r="Z4391" s="318"/>
      <c r="AA4391" s="318"/>
      <c r="AB4391" s="318"/>
      <c r="AC4391" s="318"/>
      <c r="AD4391" s="318"/>
    </row>
    <row r="4392" spans="2:30" s="323" customFormat="1" ht="12" customHeight="1">
      <c r="B4392" s="324"/>
      <c r="C4392" s="325"/>
      <c r="D4392" s="326"/>
      <c r="E4392" s="326"/>
      <c r="F4392" s="326"/>
      <c r="G4392" s="326"/>
      <c r="H4392" s="326"/>
      <c r="P4392" s="318"/>
      <c r="Q4392" s="318"/>
      <c r="R4392" s="318"/>
      <c r="S4392" s="318"/>
      <c r="T4392" s="318"/>
      <c r="U4392" s="318"/>
      <c r="V4392" s="318"/>
      <c r="W4392" s="318"/>
      <c r="X4392" s="318"/>
      <c r="Y4392" s="318"/>
      <c r="Z4392" s="318"/>
      <c r="AA4392" s="318"/>
      <c r="AB4392" s="318"/>
      <c r="AC4392" s="318"/>
      <c r="AD4392" s="318"/>
    </row>
    <row r="4393" spans="2:30" s="323" customFormat="1" ht="12" customHeight="1">
      <c r="B4393" s="324"/>
      <c r="C4393" s="325"/>
      <c r="D4393" s="326"/>
      <c r="E4393" s="326"/>
      <c r="F4393" s="326"/>
      <c r="G4393" s="326"/>
      <c r="H4393" s="326"/>
      <c r="P4393" s="318"/>
      <c r="Q4393" s="318"/>
      <c r="R4393" s="318"/>
      <c r="S4393" s="318"/>
      <c r="T4393" s="318"/>
      <c r="U4393" s="318"/>
      <c r="V4393" s="318"/>
      <c r="W4393" s="318"/>
      <c r="X4393" s="318"/>
      <c r="Y4393" s="318"/>
      <c r="Z4393" s="318"/>
      <c r="AA4393" s="318"/>
      <c r="AB4393" s="318"/>
      <c r="AC4393" s="318"/>
      <c r="AD4393" s="318"/>
    </row>
    <row r="4394" spans="2:30" s="323" customFormat="1" ht="12" customHeight="1">
      <c r="B4394" s="324"/>
      <c r="C4394" s="325"/>
      <c r="D4394" s="326"/>
      <c r="E4394" s="326"/>
      <c r="F4394" s="326"/>
      <c r="G4394" s="326"/>
      <c r="H4394" s="326"/>
      <c r="P4394" s="318"/>
      <c r="Q4394" s="318"/>
      <c r="R4394" s="318"/>
      <c r="S4394" s="318"/>
      <c r="T4394" s="318"/>
      <c r="U4394" s="318"/>
      <c r="V4394" s="318"/>
      <c r="W4394" s="318"/>
      <c r="X4394" s="318"/>
      <c r="Y4394" s="318"/>
      <c r="Z4394" s="318"/>
      <c r="AA4394" s="318"/>
      <c r="AB4394" s="318"/>
      <c r="AC4394" s="318"/>
      <c r="AD4394" s="318"/>
    </row>
    <row r="4395" spans="2:30" s="323" customFormat="1" ht="12" customHeight="1">
      <c r="B4395" s="324"/>
      <c r="C4395" s="325"/>
      <c r="D4395" s="326"/>
      <c r="E4395" s="326"/>
      <c r="F4395" s="326"/>
      <c r="G4395" s="326"/>
      <c r="H4395" s="326"/>
      <c r="P4395" s="318"/>
      <c r="Q4395" s="318"/>
      <c r="R4395" s="318"/>
      <c r="S4395" s="318"/>
      <c r="T4395" s="318"/>
      <c r="U4395" s="318"/>
      <c r="V4395" s="318"/>
      <c r="W4395" s="318"/>
      <c r="X4395" s="318"/>
      <c r="Y4395" s="318"/>
      <c r="Z4395" s="318"/>
      <c r="AA4395" s="318"/>
      <c r="AB4395" s="318"/>
      <c r="AC4395" s="318"/>
      <c r="AD4395" s="318"/>
    </row>
    <row r="4396" spans="2:30" s="323" customFormat="1" ht="12" customHeight="1">
      <c r="B4396" s="324"/>
      <c r="C4396" s="325"/>
      <c r="D4396" s="326"/>
      <c r="E4396" s="326"/>
      <c r="F4396" s="326"/>
      <c r="G4396" s="326"/>
      <c r="H4396" s="326"/>
      <c r="P4396" s="318"/>
      <c r="Q4396" s="318"/>
      <c r="R4396" s="318"/>
      <c r="S4396" s="318"/>
      <c r="T4396" s="318"/>
      <c r="U4396" s="318"/>
      <c r="V4396" s="318"/>
      <c r="W4396" s="318"/>
      <c r="X4396" s="318"/>
      <c r="Y4396" s="318"/>
      <c r="Z4396" s="318"/>
      <c r="AA4396" s="318"/>
      <c r="AB4396" s="318"/>
      <c r="AC4396" s="318"/>
      <c r="AD4396" s="318"/>
    </row>
    <row r="4397" spans="2:30" s="323" customFormat="1" ht="12" customHeight="1">
      <c r="B4397" s="324"/>
      <c r="C4397" s="325"/>
      <c r="D4397" s="326"/>
      <c r="E4397" s="326"/>
      <c r="F4397" s="326"/>
      <c r="G4397" s="326"/>
      <c r="H4397" s="326"/>
      <c r="P4397" s="318"/>
      <c r="Q4397" s="318"/>
      <c r="R4397" s="318"/>
      <c r="S4397" s="318"/>
      <c r="T4397" s="318"/>
      <c r="U4397" s="318"/>
      <c r="V4397" s="318"/>
      <c r="W4397" s="318"/>
      <c r="X4397" s="318"/>
      <c r="Y4397" s="318"/>
      <c r="Z4397" s="318"/>
      <c r="AA4397" s="318"/>
      <c r="AB4397" s="318"/>
      <c r="AC4397" s="318"/>
      <c r="AD4397" s="318"/>
    </row>
    <row r="4398" spans="2:30" s="323" customFormat="1" ht="12" customHeight="1">
      <c r="B4398" s="324"/>
      <c r="C4398" s="325"/>
      <c r="D4398" s="326"/>
      <c r="E4398" s="326"/>
      <c r="F4398" s="326"/>
      <c r="G4398" s="326"/>
      <c r="H4398" s="326"/>
      <c r="P4398" s="318"/>
      <c r="Q4398" s="318"/>
      <c r="R4398" s="318"/>
      <c r="S4398" s="318"/>
      <c r="T4398" s="318"/>
      <c r="U4398" s="318"/>
      <c r="V4398" s="318"/>
      <c r="W4398" s="318"/>
      <c r="X4398" s="318"/>
      <c r="Y4398" s="318"/>
      <c r="Z4398" s="318"/>
      <c r="AA4398" s="318"/>
      <c r="AB4398" s="318"/>
      <c r="AC4398" s="318"/>
      <c r="AD4398" s="318"/>
    </row>
    <row r="4399" spans="2:30" s="323" customFormat="1" ht="12" customHeight="1">
      <c r="B4399" s="324"/>
      <c r="C4399" s="325"/>
      <c r="D4399" s="326"/>
      <c r="E4399" s="326"/>
      <c r="F4399" s="326"/>
      <c r="G4399" s="326"/>
      <c r="H4399" s="326"/>
      <c r="P4399" s="318"/>
      <c r="Q4399" s="318"/>
      <c r="R4399" s="318"/>
      <c r="S4399" s="318"/>
      <c r="T4399" s="318"/>
      <c r="U4399" s="318"/>
      <c r="V4399" s="318"/>
      <c r="W4399" s="318"/>
      <c r="X4399" s="318"/>
      <c r="Y4399" s="318"/>
      <c r="Z4399" s="318"/>
      <c r="AA4399" s="318"/>
      <c r="AB4399" s="318"/>
      <c r="AC4399" s="318"/>
      <c r="AD4399" s="318"/>
    </row>
    <row r="4400" spans="2:30" s="323" customFormat="1" ht="12" customHeight="1">
      <c r="B4400" s="324"/>
      <c r="C4400" s="325"/>
      <c r="D4400" s="326"/>
      <c r="E4400" s="326"/>
      <c r="F4400" s="326"/>
      <c r="G4400" s="326"/>
      <c r="H4400" s="326"/>
      <c r="P4400" s="318"/>
      <c r="Q4400" s="318"/>
      <c r="R4400" s="318"/>
      <c r="S4400" s="318"/>
      <c r="T4400" s="318"/>
      <c r="U4400" s="318"/>
      <c r="V4400" s="318"/>
      <c r="W4400" s="318"/>
      <c r="X4400" s="318"/>
      <c r="Y4400" s="318"/>
      <c r="Z4400" s="318"/>
      <c r="AA4400" s="318"/>
      <c r="AB4400" s="318"/>
      <c r="AC4400" s="318"/>
      <c r="AD4400" s="318"/>
    </row>
    <row r="4401" spans="2:30" s="323" customFormat="1" ht="12" customHeight="1">
      <c r="B4401" s="324"/>
      <c r="C4401" s="325"/>
      <c r="D4401" s="326"/>
      <c r="E4401" s="326"/>
      <c r="F4401" s="326"/>
      <c r="G4401" s="326"/>
      <c r="H4401" s="326"/>
      <c r="P4401" s="318"/>
      <c r="Q4401" s="318"/>
      <c r="R4401" s="318"/>
      <c r="S4401" s="318"/>
      <c r="T4401" s="318"/>
      <c r="U4401" s="318"/>
      <c r="V4401" s="318"/>
      <c r="W4401" s="318"/>
      <c r="X4401" s="318"/>
      <c r="Y4401" s="318"/>
      <c r="Z4401" s="318"/>
      <c r="AA4401" s="318"/>
      <c r="AB4401" s="318"/>
      <c r="AC4401" s="318"/>
      <c r="AD4401" s="318"/>
    </row>
    <row r="4402" spans="2:30" s="323" customFormat="1" ht="12" customHeight="1">
      <c r="B4402" s="324"/>
      <c r="C4402" s="325"/>
      <c r="D4402" s="326"/>
      <c r="E4402" s="326"/>
      <c r="F4402" s="326"/>
      <c r="G4402" s="326"/>
      <c r="H4402" s="326"/>
      <c r="P4402" s="318"/>
      <c r="Q4402" s="318"/>
      <c r="R4402" s="318"/>
      <c r="S4402" s="318"/>
      <c r="T4402" s="318"/>
      <c r="U4402" s="318"/>
      <c r="V4402" s="318"/>
      <c r="W4402" s="318"/>
      <c r="X4402" s="318"/>
      <c r="Y4402" s="318"/>
      <c r="Z4402" s="318"/>
      <c r="AA4402" s="318"/>
      <c r="AB4402" s="318"/>
      <c r="AC4402" s="318"/>
      <c r="AD4402" s="318"/>
    </row>
    <row r="4403" spans="2:30" s="323" customFormat="1" ht="12" customHeight="1">
      <c r="B4403" s="324"/>
      <c r="C4403" s="325"/>
      <c r="D4403" s="326"/>
      <c r="E4403" s="326"/>
      <c r="F4403" s="326"/>
      <c r="G4403" s="326"/>
      <c r="H4403" s="326"/>
      <c r="P4403" s="318"/>
      <c r="Q4403" s="318"/>
      <c r="R4403" s="318"/>
      <c r="S4403" s="318"/>
      <c r="T4403" s="318"/>
      <c r="U4403" s="318"/>
      <c r="V4403" s="318"/>
      <c r="W4403" s="318"/>
      <c r="X4403" s="318"/>
      <c r="Y4403" s="318"/>
      <c r="Z4403" s="318"/>
      <c r="AA4403" s="318"/>
      <c r="AB4403" s="318"/>
      <c r="AC4403" s="318"/>
      <c r="AD4403" s="318"/>
    </row>
    <row r="4404" spans="2:30" s="323" customFormat="1" ht="12" customHeight="1">
      <c r="B4404" s="324"/>
      <c r="C4404" s="325"/>
      <c r="D4404" s="326"/>
      <c r="E4404" s="326"/>
      <c r="F4404" s="326"/>
      <c r="G4404" s="326"/>
      <c r="H4404" s="326"/>
      <c r="P4404" s="318"/>
      <c r="Q4404" s="318"/>
      <c r="R4404" s="318"/>
      <c r="S4404" s="318"/>
      <c r="T4404" s="318"/>
      <c r="U4404" s="318"/>
      <c r="V4404" s="318"/>
      <c r="W4404" s="318"/>
      <c r="X4404" s="318"/>
      <c r="Y4404" s="318"/>
      <c r="Z4404" s="318"/>
      <c r="AA4404" s="318"/>
      <c r="AB4404" s="318"/>
      <c r="AC4404" s="318"/>
      <c r="AD4404" s="318"/>
    </row>
    <row r="4405" spans="2:30" s="323" customFormat="1" ht="12" customHeight="1">
      <c r="B4405" s="324"/>
      <c r="C4405" s="325"/>
      <c r="D4405" s="326"/>
      <c r="E4405" s="326"/>
      <c r="F4405" s="326"/>
      <c r="G4405" s="326"/>
      <c r="H4405" s="326"/>
      <c r="P4405" s="318"/>
      <c r="Q4405" s="318"/>
      <c r="R4405" s="318"/>
      <c r="S4405" s="318"/>
      <c r="T4405" s="318"/>
      <c r="U4405" s="318"/>
      <c r="V4405" s="318"/>
      <c r="W4405" s="318"/>
      <c r="X4405" s="318"/>
      <c r="Y4405" s="318"/>
      <c r="Z4405" s="318"/>
      <c r="AA4405" s="318"/>
      <c r="AB4405" s="318"/>
      <c r="AC4405" s="318"/>
      <c r="AD4405" s="318"/>
    </row>
    <row r="4406" spans="2:30" s="323" customFormat="1" ht="12" customHeight="1">
      <c r="B4406" s="324"/>
      <c r="C4406" s="325"/>
      <c r="D4406" s="326"/>
      <c r="E4406" s="326"/>
      <c r="F4406" s="326"/>
      <c r="G4406" s="326"/>
      <c r="H4406" s="326"/>
      <c r="P4406" s="318"/>
      <c r="Q4406" s="318"/>
      <c r="R4406" s="318"/>
      <c r="S4406" s="318"/>
      <c r="T4406" s="318"/>
      <c r="U4406" s="318"/>
      <c r="V4406" s="318"/>
      <c r="W4406" s="318"/>
      <c r="X4406" s="318"/>
      <c r="Y4406" s="318"/>
      <c r="Z4406" s="318"/>
      <c r="AA4406" s="318"/>
      <c r="AB4406" s="318"/>
      <c r="AC4406" s="318"/>
      <c r="AD4406" s="318"/>
    </row>
    <row r="4407" spans="2:30" s="323" customFormat="1" ht="12" customHeight="1">
      <c r="B4407" s="324"/>
      <c r="C4407" s="325"/>
      <c r="D4407" s="326"/>
      <c r="E4407" s="326"/>
      <c r="F4407" s="326"/>
      <c r="G4407" s="326"/>
      <c r="H4407" s="326"/>
      <c r="P4407" s="318"/>
      <c r="Q4407" s="318"/>
      <c r="R4407" s="318"/>
      <c r="S4407" s="318"/>
      <c r="T4407" s="318"/>
      <c r="U4407" s="318"/>
      <c r="V4407" s="318"/>
      <c r="W4407" s="318"/>
      <c r="X4407" s="318"/>
      <c r="Y4407" s="318"/>
      <c r="Z4407" s="318"/>
      <c r="AA4407" s="318"/>
      <c r="AB4407" s="318"/>
      <c r="AC4407" s="318"/>
      <c r="AD4407" s="318"/>
    </row>
    <row r="4408" spans="2:30" s="323" customFormat="1" ht="12" customHeight="1">
      <c r="B4408" s="324"/>
      <c r="C4408" s="325"/>
      <c r="D4408" s="326"/>
      <c r="E4408" s="326"/>
      <c r="F4408" s="326"/>
      <c r="G4408" s="326"/>
      <c r="H4408" s="326"/>
      <c r="P4408" s="318"/>
      <c r="Q4408" s="318"/>
      <c r="R4408" s="318"/>
      <c r="S4408" s="318"/>
      <c r="T4408" s="318"/>
      <c r="U4408" s="318"/>
      <c r="V4408" s="318"/>
      <c r="W4408" s="318"/>
      <c r="X4408" s="318"/>
      <c r="Y4408" s="318"/>
      <c r="Z4408" s="318"/>
      <c r="AA4408" s="318"/>
      <c r="AB4408" s="318"/>
      <c r="AC4408" s="318"/>
      <c r="AD4408" s="318"/>
    </row>
    <row r="4409" spans="2:30" s="323" customFormat="1" ht="12" customHeight="1">
      <c r="B4409" s="324"/>
      <c r="C4409" s="325"/>
      <c r="D4409" s="326"/>
      <c r="E4409" s="326"/>
      <c r="F4409" s="326"/>
      <c r="G4409" s="326"/>
      <c r="H4409" s="326"/>
      <c r="P4409" s="318"/>
      <c r="Q4409" s="318"/>
      <c r="R4409" s="318"/>
      <c r="S4409" s="318"/>
      <c r="T4409" s="318"/>
      <c r="U4409" s="318"/>
      <c r="V4409" s="318"/>
      <c r="W4409" s="318"/>
      <c r="X4409" s="318"/>
      <c r="Y4409" s="318"/>
      <c r="Z4409" s="318"/>
      <c r="AA4409" s="318"/>
      <c r="AB4409" s="318"/>
      <c r="AC4409" s="318"/>
      <c r="AD4409" s="318"/>
    </row>
    <row r="4410" spans="2:30" s="323" customFormat="1" ht="12" customHeight="1">
      <c r="B4410" s="324"/>
      <c r="C4410" s="325"/>
      <c r="D4410" s="326"/>
      <c r="E4410" s="326"/>
      <c r="F4410" s="326"/>
      <c r="G4410" s="326"/>
      <c r="H4410" s="326"/>
      <c r="P4410" s="318"/>
      <c r="Q4410" s="318"/>
      <c r="R4410" s="318"/>
      <c r="S4410" s="318"/>
      <c r="T4410" s="318"/>
      <c r="U4410" s="318"/>
      <c r="V4410" s="318"/>
      <c r="W4410" s="318"/>
      <c r="X4410" s="318"/>
      <c r="Y4410" s="318"/>
      <c r="Z4410" s="318"/>
      <c r="AA4410" s="318"/>
      <c r="AB4410" s="318"/>
      <c r="AC4410" s="318"/>
      <c r="AD4410" s="318"/>
    </row>
    <row r="4411" spans="2:30" s="323" customFormat="1" ht="12" customHeight="1">
      <c r="B4411" s="324"/>
      <c r="C4411" s="325"/>
      <c r="D4411" s="326"/>
      <c r="E4411" s="326"/>
      <c r="F4411" s="326"/>
      <c r="G4411" s="326"/>
      <c r="H4411" s="326"/>
      <c r="P4411" s="318"/>
      <c r="Q4411" s="318"/>
      <c r="R4411" s="318"/>
      <c r="S4411" s="318"/>
      <c r="T4411" s="318"/>
      <c r="U4411" s="318"/>
      <c r="V4411" s="318"/>
      <c r="W4411" s="318"/>
      <c r="X4411" s="318"/>
      <c r="Y4411" s="318"/>
      <c r="Z4411" s="318"/>
      <c r="AA4411" s="318"/>
      <c r="AB4411" s="318"/>
      <c r="AC4411" s="318"/>
      <c r="AD4411" s="318"/>
    </row>
    <row r="4412" spans="2:30" s="323" customFormat="1" ht="12" customHeight="1">
      <c r="B4412" s="324"/>
      <c r="C4412" s="325"/>
      <c r="D4412" s="326"/>
      <c r="E4412" s="326"/>
      <c r="F4412" s="326"/>
      <c r="G4412" s="326"/>
      <c r="H4412" s="326"/>
      <c r="P4412" s="318"/>
      <c r="Q4412" s="318"/>
      <c r="R4412" s="318"/>
      <c r="S4412" s="318"/>
      <c r="T4412" s="318"/>
      <c r="U4412" s="318"/>
      <c r="V4412" s="318"/>
      <c r="W4412" s="318"/>
      <c r="X4412" s="318"/>
      <c r="Y4412" s="318"/>
      <c r="Z4412" s="318"/>
      <c r="AA4412" s="318"/>
      <c r="AB4412" s="318"/>
      <c r="AC4412" s="318"/>
      <c r="AD4412" s="318"/>
    </row>
    <row r="4413" spans="2:30" s="323" customFormat="1" ht="12" customHeight="1">
      <c r="B4413" s="324"/>
      <c r="C4413" s="325"/>
      <c r="D4413" s="326"/>
      <c r="E4413" s="326"/>
      <c r="F4413" s="326"/>
      <c r="G4413" s="326"/>
      <c r="H4413" s="326"/>
      <c r="P4413" s="318"/>
      <c r="Q4413" s="318"/>
      <c r="R4413" s="318"/>
      <c r="S4413" s="318"/>
      <c r="T4413" s="318"/>
      <c r="U4413" s="318"/>
      <c r="V4413" s="318"/>
      <c r="W4413" s="318"/>
      <c r="X4413" s="318"/>
      <c r="Y4413" s="318"/>
      <c r="Z4413" s="318"/>
      <c r="AA4413" s="318"/>
      <c r="AB4413" s="318"/>
      <c r="AC4413" s="318"/>
      <c r="AD4413" s="318"/>
    </row>
    <row r="4414" spans="2:30" s="323" customFormat="1" ht="12" customHeight="1">
      <c r="B4414" s="324"/>
      <c r="C4414" s="325"/>
      <c r="D4414" s="326"/>
      <c r="E4414" s="326"/>
      <c r="F4414" s="326"/>
      <c r="G4414" s="326"/>
      <c r="H4414" s="326"/>
      <c r="P4414" s="318"/>
      <c r="Q4414" s="318"/>
      <c r="R4414" s="318"/>
      <c r="S4414" s="318"/>
      <c r="T4414" s="318"/>
      <c r="U4414" s="318"/>
      <c r="V4414" s="318"/>
      <c r="W4414" s="318"/>
      <c r="X4414" s="318"/>
      <c r="Y4414" s="318"/>
      <c r="Z4414" s="318"/>
      <c r="AA4414" s="318"/>
      <c r="AB4414" s="318"/>
      <c r="AC4414" s="318"/>
      <c r="AD4414" s="318"/>
    </row>
    <row r="4415" spans="2:30" s="323" customFormat="1" ht="12" customHeight="1">
      <c r="B4415" s="324"/>
      <c r="C4415" s="325"/>
      <c r="D4415" s="326"/>
      <c r="E4415" s="326"/>
      <c r="F4415" s="326"/>
      <c r="G4415" s="326"/>
      <c r="H4415" s="326"/>
      <c r="P4415" s="318"/>
      <c r="Q4415" s="318"/>
      <c r="R4415" s="318"/>
      <c r="S4415" s="318"/>
      <c r="T4415" s="318"/>
      <c r="U4415" s="318"/>
      <c r="V4415" s="318"/>
      <c r="W4415" s="318"/>
      <c r="X4415" s="318"/>
      <c r="Y4415" s="318"/>
      <c r="Z4415" s="318"/>
      <c r="AA4415" s="318"/>
      <c r="AB4415" s="318"/>
      <c r="AC4415" s="318"/>
      <c r="AD4415" s="318"/>
    </row>
    <row r="4416" spans="2:30" s="323" customFormat="1" ht="12" customHeight="1">
      <c r="B4416" s="324"/>
      <c r="C4416" s="325"/>
      <c r="D4416" s="326"/>
      <c r="E4416" s="326"/>
      <c r="F4416" s="326"/>
      <c r="G4416" s="326"/>
      <c r="H4416" s="326"/>
      <c r="P4416" s="318"/>
      <c r="Q4416" s="318"/>
      <c r="R4416" s="318"/>
      <c r="S4416" s="318"/>
      <c r="T4416" s="318"/>
      <c r="U4416" s="318"/>
      <c r="V4416" s="318"/>
      <c r="W4416" s="318"/>
      <c r="X4416" s="318"/>
      <c r="Y4416" s="318"/>
      <c r="Z4416" s="318"/>
      <c r="AA4416" s="318"/>
      <c r="AB4416" s="318"/>
      <c r="AC4416" s="318"/>
      <c r="AD4416" s="318"/>
    </row>
    <row r="4417" spans="2:30" s="323" customFormat="1" ht="12" customHeight="1">
      <c r="B4417" s="324"/>
      <c r="C4417" s="325"/>
      <c r="D4417" s="326"/>
      <c r="E4417" s="326"/>
      <c r="F4417" s="326"/>
      <c r="G4417" s="326"/>
      <c r="H4417" s="326"/>
      <c r="P4417" s="318"/>
      <c r="Q4417" s="318"/>
      <c r="R4417" s="318"/>
      <c r="S4417" s="318"/>
      <c r="T4417" s="318"/>
      <c r="U4417" s="318"/>
      <c r="V4417" s="318"/>
      <c r="W4417" s="318"/>
      <c r="X4417" s="318"/>
      <c r="Y4417" s="318"/>
      <c r="Z4417" s="318"/>
      <c r="AA4417" s="318"/>
      <c r="AB4417" s="318"/>
      <c r="AC4417" s="318"/>
      <c r="AD4417" s="318"/>
    </row>
    <row r="4418" spans="2:30" s="323" customFormat="1" ht="12" customHeight="1">
      <c r="B4418" s="324"/>
      <c r="C4418" s="325"/>
      <c r="D4418" s="326"/>
      <c r="E4418" s="326"/>
      <c r="F4418" s="326"/>
      <c r="G4418" s="326"/>
      <c r="H4418" s="326"/>
      <c r="P4418" s="318"/>
      <c r="Q4418" s="318"/>
      <c r="R4418" s="318"/>
      <c r="S4418" s="318"/>
      <c r="T4418" s="318"/>
      <c r="U4418" s="318"/>
      <c r="V4418" s="318"/>
      <c r="W4418" s="318"/>
      <c r="X4418" s="318"/>
      <c r="Y4418" s="318"/>
      <c r="Z4418" s="318"/>
      <c r="AA4418" s="318"/>
      <c r="AB4418" s="318"/>
      <c r="AC4418" s="318"/>
      <c r="AD4418" s="318"/>
    </row>
    <row r="4419" spans="2:30" s="323" customFormat="1" ht="12" customHeight="1">
      <c r="B4419" s="324"/>
      <c r="C4419" s="325"/>
      <c r="D4419" s="326"/>
      <c r="E4419" s="326"/>
      <c r="F4419" s="326"/>
      <c r="G4419" s="326"/>
      <c r="H4419" s="326"/>
      <c r="P4419" s="318"/>
      <c r="Q4419" s="318"/>
      <c r="R4419" s="318"/>
      <c r="S4419" s="318"/>
      <c r="T4419" s="318"/>
      <c r="U4419" s="318"/>
      <c r="V4419" s="318"/>
      <c r="W4419" s="318"/>
      <c r="X4419" s="318"/>
      <c r="Y4419" s="318"/>
      <c r="Z4419" s="318"/>
      <c r="AA4419" s="318"/>
      <c r="AB4419" s="318"/>
      <c r="AC4419" s="318"/>
      <c r="AD4419" s="318"/>
    </row>
    <row r="4420" spans="2:30" s="323" customFormat="1" ht="12" customHeight="1">
      <c r="B4420" s="324"/>
      <c r="C4420" s="325"/>
      <c r="D4420" s="326"/>
      <c r="E4420" s="326"/>
      <c r="F4420" s="326"/>
      <c r="G4420" s="326"/>
      <c r="H4420" s="326"/>
      <c r="P4420" s="318"/>
      <c r="Q4420" s="318"/>
      <c r="R4420" s="318"/>
      <c r="S4420" s="318"/>
      <c r="T4420" s="318"/>
      <c r="U4420" s="318"/>
      <c r="V4420" s="318"/>
      <c r="W4420" s="318"/>
      <c r="X4420" s="318"/>
      <c r="Y4420" s="318"/>
      <c r="Z4420" s="318"/>
      <c r="AA4420" s="318"/>
      <c r="AB4420" s="318"/>
      <c r="AC4420" s="318"/>
      <c r="AD4420" s="318"/>
    </row>
    <row r="4421" spans="2:30" s="323" customFormat="1" ht="12" customHeight="1">
      <c r="B4421" s="324"/>
      <c r="C4421" s="325"/>
      <c r="D4421" s="326"/>
      <c r="E4421" s="326"/>
      <c r="F4421" s="326"/>
      <c r="G4421" s="326"/>
      <c r="H4421" s="326"/>
      <c r="P4421" s="318"/>
      <c r="Q4421" s="318"/>
      <c r="R4421" s="318"/>
      <c r="S4421" s="318"/>
      <c r="T4421" s="318"/>
      <c r="U4421" s="318"/>
      <c r="V4421" s="318"/>
      <c r="W4421" s="318"/>
      <c r="X4421" s="318"/>
      <c r="Y4421" s="318"/>
      <c r="Z4421" s="318"/>
      <c r="AA4421" s="318"/>
      <c r="AB4421" s="318"/>
      <c r="AC4421" s="318"/>
      <c r="AD4421" s="318"/>
    </row>
    <row r="4422" spans="2:30" s="323" customFormat="1" ht="12" customHeight="1">
      <c r="B4422" s="324"/>
      <c r="C4422" s="325"/>
      <c r="D4422" s="326"/>
      <c r="E4422" s="326"/>
      <c r="F4422" s="326"/>
      <c r="G4422" s="326"/>
      <c r="H4422" s="326"/>
      <c r="P4422" s="318"/>
      <c r="Q4422" s="318"/>
      <c r="R4422" s="318"/>
      <c r="S4422" s="318"/>
      <c r="T4422" s="318"/>
      <c r="U4422" s="318"/>
      <c r="V4422" s="318"/>
      <c r="W4422" s="318"/>
      <c r="X4422" s="318"/>
      <c r="Y4422" s="318"/>
      <c r="Z4422" s="318"/>
      <c r="AA4422" s="318"/>
      <c r="AB4422" s="318"/>
      <c r="AC4422" s="318"/>
      <c r="AD4422" s="318"/>
    </row>
    <row r="4423" spans="2:30" s="323" customFormat="1" ht="12" customHeight="1">
      <c r="B4423" s="324"/>
      <c r="C4423" s="325"/>
      <c r="D4423" s="326"/>
      <c r="E4423" s="326"/>
      <c r="F4423" s="326"/>
      <c r="G4423" s="326"/>
      <c r="H4423" s="326"/>
      <c r="P4423" s="318"/>
      <c r="Q4423" s="318"/>
      <c r="R4423" s="318"/>
      <c r="S4423" s="318"/>
      <c r="T4423" s="318"/>
      <c r="U4423" s="318"/>
      <c r="V4423" s="318"/>
      <c r="W4423" s="318"/>
      <c r="X4423" s="318"/>
      <c r="Y4423" s="318"/>
      <c r="Z4423" s="318"/>
      <c r="AA4423" s="318"/>
      <c r="AB4423" s="318"/>
      <c r="AC4423" s="318"/>
      <c r="AD4423" s="318"/>
    </row>
    <row r="4424" spans="2:30" s="323" customFormat="1" ht="12" customHeight="1">
      <c r="B4424" s="324"/>
      <c r="C4424" s="325"/>
      <c r="D4424" s="326"/>
      <c r="E4424" s="326"/>
      <c r="F4424" s="326"/>
      <c r="G4424" s="326"/>
      <c r="H4424" s="326"/>
      <c r="P4424" s="318"/>
      <c r="Q4424" s="318"/>
      <c r="R4424" s="318"/>
      <c r="S4424" s="318"/>
      <c r="T4424" s="318"/>
      <c r="U4424" s="318"/>
      <c r="V4424" s="318"/>
      <c r="W4424" s="318"/>
      <c r="X4424" s="318"/>
      <c r="Y4424" s="318"/>
      <c r="Z4424" s="318"/>
      <c r="AA4424" s="318"/>
      <c r="AB4424" s="318"/>
      <c r="AC4424" s="318"/>
      <c r="AD4424" s="318"/>
    </row>
    <row r="4425" spans="2:30" s="323" customFormat="1" ht="12" customHeight="1">
      <c r="B4425" s="324"/>
      <c r="C4425" s="325"/>
      <c r="D4425" s="326"/>
      <c r="E4425" s="326"/>
      <c r="F4425" s="326"/>
      <c r="G4425" s="326"/>
      <c r="H4425" s="326"/>
      <c r="P4425" s="318"/>
      <c r="Q4425" s="318"/>
      <c r="R4425" s="318"/>
      <c r="S4425" s="318"/>
      <c r="T4425" s="318"/>
      <c r="U4425" s="318"/>
      <c r="V4425" s="318"/>
      <c r="W4425" s="318"/>
      <c r="X4425" s="318"/>
      <c r="Y4425" s="318"/>
      <c r="Z4425" s="318"/>
      <c r="AA4425" s="318"/>
      <c r="AB4425" s="318"/>
      <c r="AC4425" s="318"/>
      <c r="AD4425" s="318"/>
    </row>
    <row r="4426" spans="2:30" s="323" customFormat="1" ht="12" customHeight="1">
      <c r="B4426" s="324"/>
      <c r="C4426" s="325"/>
      <c r="D4426" s="326"/>
      <c r="E4426" s="326"/>
      <c r="F4426" s="326"/>
      <c r="G4426" s="326"/>
      <c r="H4426" s="326"/>
      <c r="P4426" s="318"/>
      <c r="Q4426" s="318"/>
      <c r="R4426" s="318"/>
      <c r="S4426" s="318"/>
      <c r="T4426" s="318"/>
      <c r="U4426" s="318"/>
      <c r="V4426" s="318"/>
      <c r="W4426" s="318"/>
      <c r="X4426" s="318"/>
      <c r="Y4426" s="318"/>
      <c r="Z4426" s="318"/>
      <c r="AA4426" s="318"/>
      <c r="AB4426" s="318"/>
      <c r="AC4426" s="318"/>
      <c r="AD4426" s="318"/>
    </row>
    <row r="4427" spans="2:30" s="323" customFormat="1" ht="12" customHeight="1">
      <c r="B4427" s="324"/>
      <c r="C4427" s="325"/>
      <c r="D4427" s="326"/>
      <c r="E4427" s="326"/>
      <c r="F4427" s="326"/>
      <c r="G4427" s="326"/>
      <c r="H4427" s="326"/>
      <c r="P4427" s="318"/>
      <c r="Q4427" s="318"/>
      <c r="R4427" s="318"/>
      <c r="S4427" s="318"/>
      <c r="T4427" s="318"/>
      <c r="U4427" s="318"/>
      <c r="V4427" s="318"/>
      <c r="W4427" s="318"/>
      <c r="X4427" s="318"/>
      <c r="Y4427" s="318"/>
      <c r="Z4427" s="318"/>
      <c r="AA4427" s="318"/>
      <c r="AB4427" s="318"/>
      <c r="AC4427" s="318"/>
      <c r="AD4427" s="318"/>
    </row>
    <row r="4428" spans="2:30" s="323" customFormat="1" ht="12" customHeight="1">
      <c r="B4428" s="324"/>
      <c r="C4428" s="325"/>
      <c r="D4428" s="326"/>
      <c r="E4428" s="326"/>
      <c r="F4428" s="326"/>
      <c r="G4428" s="326"/>
      <c r="H4428" s="326"/>
      <c r="P4428" s="318"/>
      <c r="Q4428" s="318"/>
      <c r="R4428" s="318"/>
      <c r="S4428" s="318"/>
      <c r="T4428" s="318"/>
      <c r="U4428" s="318"/>
      <c r="V4428" s="318"/>
      <c r="W4428" s="318"/>
      <c r="X4428" s="318"/>
      <c r="Y4428" s="318"/>
      <c r="Z4428" s="318"/>
      <c r="AA4428" s="318"/>
      <c r="AB4428" s="318"/>
      <c r="AC4428" s="318"/>
      <c r="AD4428" s="318"/>
    </row>
    <row r="4429" spans="2:30" s="323" customFormat="1" ht="12" customHeight="1">
      <c r="B4429" s="324"/>
      <c r="C4429" s="325"/>
      <c r="D4429" s="326"/>
      <c r="E4429" s="326"/>
      <c r="F4429" s="326"/>
      <c r="G4429" s="326"/>
      <c r="H4429" s="326"/>
      <c r="P4429" s="318"/>
      <c r="Q4429" s="318"/>
      <c r="R4429" s="318"/>
      <c r="S4429" s="318"/>
      <c r="T4429" s="318"/>
      <c r="U4429" s="318"/>
      <c r="V4429" s="318"/>
      <c r="W4429" s="318"/>
      <c r="X4429" s="318"/>
      <c r="Y4429" s="318"/>
      <c r="Z4429" s="318"/>
      <c r="AA4429" s="318"/>
      <c r="AB4429" s="318"/>
      <c r="AC4429" s="318"/>
      <c r="AD4429" s="318"/>
    </row>
    <row r="4430" spans="2:30" s="323" customFormat="1" ht="12" customHeight="1">
      <c r="B4430" s="324"/>
      <c r="C4430" s="325"/>
      <c r="D4430" s="326"/>
      <c r="E4430" s="326"/>
      <c r="F4430" s="326"/>
      <c r="G4430" s="326"/>
      <c r="H4430" s="326"/>
      <c r="P4430" s="318"/>
      <c r="Q4430" s="318"/>
      <c r="R4430" s="318"/>
      <c r="S4430" s="318"/>
      <c r="T4430" s="318"/>
      <c r="U4430" s="318"/>
      <c r="V4430" s="318"/>
      <c r="W4430" s="318"/>
      <c r="X4430" s="318"/>
      <c r="Y4430" s="318"/>
      <c r="Z4430" s="318"/>
      <c r="AA4430" s="318"/>
      <c r="AB4430" s="318"/>
      <c r="AC4430" s="318"/>
      <c r="AD4430" s="318"/>
    </row>
    <row r="4431" spans="2:30" s="323" customFormat="1" ht="12" customHeight="1">
      <c r="B4431" s="324"/>
      <c r="C4431" s="325"/>
      <c r="D4431" s="326"/>
      <c r="E4431" s="326"/>
      <c r="F4431" s="326"/>
      <c r="G4431" s="326"/>
      <c r="H4431" s="326"/>
      <c r="P4431" s="318"/>
      <c r="Q4431" s="318"/>
      <c r="R4431" s="318"/>
      <c r="S4431" s="318"/>
      <c r="T4431" s="318"/>
      <c r="U4431" s="318"/>
      <c r="V4431" s="318"/>
      <c r="W4431" s="318"/>
      <c r="X4431" s="318"/>
      <c r="Y4431" s="318"/>
      <c r="Z4431" s="318"/>
      <c r="AA4431" s="318"/>
      <c r="AB4431" s="318"/>
      <c r="AC4431" s="318"/>
      <c r="AD4431" s="318"/>
    </row>
    <row r="4432" spans="2:30" s="323" customFormat="1" ht="12" customHeight="1">
      <c r="B4432" s="324"/>
      <c r="C4432" s="325"/>
      <c r="D4432" s="326"/>
      <c r="E4432" s="326"/>
      <c r="F4432" s="326"/>
      <c r="G4432" s="326"/>
      <c r="H4432" s="326"/>
      <c r="P4432" s="318"/>
      <c r="Q4432" s="318"/>
      <c r="R4432" s="318"/>
      <c r="S4432" s="318"/>
      <c r="T4432" s="318"/>
      <c r="U4432" s="318"/>
      <c r="V4432" s="318"/>
      <c r="W4432" s="318"/>
      <c r="X4432" s="318"/>
      <c r="Y4432" s="318"/>
      <c r="Z4432" s="318"/>
      <c r="AA4432" s="318"/>
      <c r="AB4432" s="318"/>
      <c r="AC4432" s="318"/>
      <c r="AD4432" s="318"/>
    </row>
    <row r="4433" spans="2:30" s="323" customFormat="1" ht="12" customHeight="1">
      <c r="B4433" s="324"/>
      <c r="C4433" s="325"/>
      <c r="D4433" s="326"/>
      <c r="E4433" s="326"/>
      <c r="F4433" s="326"/>
      <c r="G4433" s="326"/>
      <c r="H4433" s="326"/>
      <c r="P4433" s="318"/>
      <c r="Q4433" s="318"/>
      <c r="R4433" s="318"/>
      <c r="S4433" s="318"/>
      <c r="T4433" s="318"/>
      <c r="U4433" s="318"/>
      <c r="V4433" s="318"/>
      <c r="W4433" s="318"/>
      <c r="X4433" s="318"/>
      <c r="Y4433" s="318"/>
      <c r="Z4433" s="318"/>
      <c r="AA4433" s="318"/>
      <c r="AB4433" s="318"/>
      <c r="AC4433" s="318"/>
      <c r="AD4433" s="318"/>
    </row>
    <row r="4434" spans="2:30" s="323" customFormat="1" ht="12" customHeight="1">
      <c r="B4434" s="324"/>
      <c r="C4434" s="325"/>
      <c r="D4434" s="326"/>
      <c r="E4434" s="326"/>
      <c r="F4434" s="326"/>
      <c r="G4434" s="326"/>
      <c r="H4434" s="326"/>
      <c r="P4434" s="318"/>
      <c r="Q4434" s="318"/>
      <c r="R4434" s="318"/>
      <c r="S4434" s="318"/>
      <c r="T4434" s="318"/>
      <c r="U4434" s="318"/>
      <c r="V4434" s="318"/>
      <c r="W4434" s="318"/>
      <c r="X4434" s="318"/>
      <c r="Y4434" s="318"/>
      <c r="Z4434" s="318"/>
      <c r="AA4434" s="318"/>
      <c r="AB4434" s="318"/>
      <c r="AC4434" s="318"/>
      <c r="AD4434" s="318"/>
    </row>
    <row r="4435" spans="2:30" s="323" customFormat="1" ht="12" customHeight="1">
      <c r="B4435" s="324"/>
      <c r="C4435" s="325"/>
      <c r="D4435" s="326"/>
      <c r="E4435" s="326"/>
      <c r="F4435" s="326"/>
      <c r="G4435" s="326"/>
      <c r="H4435" s="326"/>
      <c r="P4435" s="318"/>
      <c r="Q4435" s="318"/>
      <c r="R4435" s="318"/>
      <c r="S4435" s="318"/>
      <c r="T4435" s="318"/>
      <c r="U4435" s="318"/>
      <c r="V4435" s="318"/>
      <c r="W4435" s="318"/>
      <c r="X4435" s="318"/>
      <c r="Y4435" s="318"/>
      <c r="Z4435" s="318"/>
      <c r="AA4435" s="318"/>
      <c r="AB4435" s="318"/>
      <c r="AC4435" s="318"/>
      <c r="AD4435" s="318"/>
    </row>
    <row r="4436" spans="2:30" s="323" customFormat="1" ht="12" customHeight="1">
      <c r="B4436" s="324"/>
      <c r="C4436" s="325"/>
      <c r="D4436" s="326"/>
      <c r="E4436" s="326"/>
      <c r="F4436" s="326"/>
      <c r="G4436" s="326"/>
      <c r="H4436" s="326"/>
      <c r="P4436" s="318"/>
      <c r="Q4436" s="318"/>
      <c r="R4436" s="318"/>
      <c r="S4436" s="318"/>
      <c r="T4436" s="318"/>
      <c r="U4436" s="318"/>
      <c r="V4436" s="318"/>
      <c r="W4436" s="318"/>
      <c r="X4436" s="318"/>
      <c r="Y4436" s="318"/>
      <c r="Z4436" s="318"/>
      <c r="AA4436" s="318"/>
      <c r="AB4436" s="318"/>
      <c r="AC4436" s="318"/>
      <c r="AD4436" s="318"/>
    </row>
    <row r="4437" spans="2:30" s="323" customFormat="1" ht="12" customHeight="1">
      <c r="B4437" s="324"/>
      <c r="C4437" s="325"/>
      <c r="D4437" s="326"/>
      <c r="E4437" s="326"/>
      <c r="F4437" s="326"/>
      <c r="G4437" s="326"/>
      <c r="H4437" s="326"/>
      <c r="P4437" s="318"/>
      <c r="Q4437" s="318"/>
      <c r="R4437" s="318"/>
      <c r="S4437" s="318"/>
      <c r="T4437" s="318"/>
      <c r="U4437" s="318"/>
      <c r="V4437" s="318"/>
      <c r="W4437" s="318"/>
      <c r="X4437" s="318"/>
      <c r="Y4437" s="318"/>
      <c r="Z4437" s="318"/>
      <c r="AA4437" s="318"/>
      <c r="AB4437" s="318"/>
      <c r="AC4437" s="318"/>
      <c r="AD4437" s="318"/>
    </row>
    <row r="4438" spans="2:30" s="323" customFormat="1" ht="12" customHeight="1">
      <c r="B4438" s="324"/>
      <c r="C4438" s="325"/>
      <c r="D4438" s="326"/>
      <c r="E4438" s="326"/>
      <c r="F4438" s="326"/>
      <c r="G4438" s="326"/>
      <c r="H4438" s="326"/>
      <c r="P4438" s="318"/>
      <c r="Q4438" s="318"/>
      <c r="R4438" s="318"/>
      <c r="S4438" s="318"/>
      <c r="T4438" s="318"/>
      <c r="U4438" s="318"/>
      <c r="V4438" s="318"/>
      <c r="W4438" s="318"/>
      <c r="X4438" s="318"/>
      <c r="Y4438" s="318"/>
      <c r="Z4438" s="318"/>
      <c r="AA4438" s="318"/>
      <c r="AB4438" s="318"/>
      <c r="AC4438" s="318"/>
      <c r="AD4438" s="318"/>
    </row>
    <row r="4439" spans="2:30" s="323" customFormat="1" ht="12" customHeight="1">
      <c r="B4439" s="324"/>
      <c r="C4439" s="325"/>
      <c r="D4439" s="326"/>
      <c r="E4439" s="326"/>
      <c r="F4439" s="326"/>
      <c r="G4439" s="326"/>
      <c r="H4439" s="326"/>
      <c r="P4439" s="318"/>
      <c r="Q4439" s="318"/>
      <c r="R4439" s="318"/>
      <c r="S4439" s="318"/>
      <c r="T4439" s="318"/>
      <c r="U4439" s="318"/>
      <c r="V4439" s="318"/>
      <c r="W4439" s="318"/>
      <c r="X4439" s="318"/>
      <c r="Y4439" s="318"/>
      <c r="Z4439" s="318"/>
      <c r="AA4439" s="318"/>
      <c r="AB4439" s="318"/>
      <c r="AC4439" s="318"/>
      <c r="AD4439" s="318"/>
    </row>
    <row r="4440" spans="2:30" s="323" customFormat="1" ht="12" customHeight="1">
      <c r="B4440" s="324"/>
      <c r="C4440" s="325"/>
      <c r="D4440" s="326"/>
      <c r="E4440" s="326"/>
      <c r="F4440" s="326"/>
      <c r="G4440" s="326"/>
      <c r="H4440" s="326"/>
      <c r="P4440" s="318"/>
      <c r="Q4440" s="318"/>
      <c r="R4440" s="318"/>
      <c r="S4440" s="318"/>
      <c r="T4440" s="318"/>
      <c r="U4440" s="318"/>
      <c r="V4440" s="318"/>
      <c r="W4440" s="318"/>
      <c r="X4440" s="318"/>
      <c r="Y4440" s="318"/>
      <c r="Z4440" s="318"/>
      <c r="AA4440" s="318"/>
      <c r="AB4440" s="318"/>
      <c r="AC4440" s="318"/>
      <c r="AD4440" s="318"/>
    </row>
    <row r="4441" spans="2:30" s="323" customFormat="1" ht="12" customHeight="1">
      <c r="B4441" s="324"/>
      <c r="C4441" s="325"/>
      <c r="D4441" s="326"/>
      <c r="E4441" s="326"/>
      <c r="F4441" s="326"/>
      <c r="G4441" s="326"/>
      <c r="H4441" s="326"/>
      <c r="P4441" s="318"/>
      <c r="Q4441" s="318"/>
      <c r="R4441" s="318"/>
      <c r="S4441" s="318"/>
      <c r="T4441" s="318"/>
      <c r="U4441" s="318"/>
      <c r="V4441" s="318"/>
      <c r="W4441" s="318"/>
      <c r="X4441" s="318"/>
      <c r="Y4441" s="318"/>
      <c r="Z4441" s="318"/>
      <c r="AA4441" s="318"/>
      <c r="AB4441" s="318"/>
      <c r="AC4441" s="318"/>
      <c r="AD4441" s="318"/>
    </row>
    <row r="4442" spans="2:30" s="323" customFormat="1" ht="12" customHeight="1">
      <c r="B4442" s="324"/>
      <c r="C4442" s="325"/>
      <c r="D4442" s="326"/>
      <c r="E4442" s="326"/>
      <c r="F4442" s="326"/>
      <c r="G4442" s="326"/>
      <c r="H4442" s="326"/>
      <c r="P4442" s="318"/>
      <c r="Q4442" s="318"/>
      <c r="R4442" s="318"/>
      <c r="S4442" s="318"/>
      <c r="T4442" s="318"/>
      <c r="U4442" s="318"/>
      <c r="V4442" s="318"/>
      <c r="W4442" s="318"/>
      <c r="X4442" s="318"/>
      <c r="Y4442" s="318"/>
      <c r="Z4442" s="318"/>
      <c r="AA4442" s="318"/>
      <c r="AB4442" s="318"/>
      <c r="AC4442" s="318"/>
      <c r="AD4442" s="318"/>
    </row>
    <row r="4443" spans="2:30" s="323" customFormat="1" ht="12" customHeight="1">
      <c r="B4443" s="324"/>
      <c r="C4443" s="325"/>
      <c r="D4443" s="326"/>
      <c r="E4443" s="326"/>
      <c r="F4443" s="326"/>
      <c r="G4443" s="326"/>
      <c r="H4443" s="326"/>
      <c r="P4443" s="318"/>
      <c r="Q4443" s="318"/>
      <c r="R4443" s="318"/>
      <c r="S4443" s="318"/>
      <c r="T4443" s="318"/>
      <c r="U4443" s="318"/>
      <c r="V4443" s="318"/>
      <c r="W4443" s="318"/>
      <c r="X4443" s="318"/>
      <c r="Y4443" s="318"/>
      <c r="Z4443" s="318"/>
      <c r="AA4443" s="318"/>
      <c r="AB4443" s="318"/>
      <c r="AC4443" s="318"/>
      <c r="AD4443" s="318"/>
    </row>
    <row r="4444" spans="2:30" s="323" customFormat="1" ht="12" customHeight="1">
      <c r="B4444" s="324"/>
      <c r="C4444" s="325"/>
      <c r="D4444" s="326"/>
      <c r="E4444" s="326"/>
      <c r="F4444" s="326"/>
      <c r="G4444" s="326"/>
      <c r="H4444" s="326"/>
      <c r="P4444" s="318"/>
      <c r="Q4444" s="318"/>
      <c r="R4444" s="318"/>
      <c r="S4444" s="318"/>
      <c r="T4444" s="318"/>
      <c r="U4444" s="318"/>
      <c r="V4444" s="318"/>
      <c r="W4444" s="318"/>
      <c r="X4444" s="318"/>
      <c r="Y4444" s="318"/>
      <c r="Z4444" s="318"/>
      <c r="AA4444" s="318"/>
      <c r="AB4444" s="318"/>
      <c r="AC4444" s="318"/>
      <c r="AD4444" s="318"/>
    </row>
    <row r="4445" spans="2:30" s="323" customFormat="1" ht="12" customHeight="1">
      <c r="B4445" s="324"/>
      <c r="C4445" s="325"/>
      <c r="D4445" s="326"/>
      <c r="E4445" s="326"/>
      <c r="F4445" s="326"/>
      <c r="G4445" s="326"/>
      <c r="H4445" s="326"/>
      <c r="P4445" s="318"/>
      <c r="Q4445" s="318"/>
      <c r="R4445" s="318"/>
      <c r="S4445" s="318"/>
      <c r="T4445" s="318"/>
      <c r="U4445" s="318"/>
      <c r="V4445" s="318"/>
      <c r="W4445" s="318"/>
      <c r="X4445" s="318"/>
      <c r="Y4445" s="318"/>
      <c r="Z4445" s="318"/>
      <c r="AA4445" s="318"/>
      <c r="AB4445" s="318"/>
      <c r="AC4445" s="318"/>
      <c r="AD4445" s="318"/>
    </row>
    <row r="4446" spans="2:30" s="323" customFormat="1" ht="12" customHeight="1">
      <c r="B4446" s="324"/>
      <c r="C4446" s="325"/>
      <c r="D4446" s="326"/>
      <c r="E4446" s="326"/>
      <c r="F4446" s="326"/>
      <c r="G4446" s="326"/>
      <c r="H4446" s="326"/>
      <c r="P4446" s="318"/>
      <c r="Q4446" s="318"/>
      <c r="R4446" s="318"/>
      <c r="S4446" s="318"/>
      <c r="T4446" s="318"/>
      <c r="U4446" s="318"/>
      <c r="V4446" s="318"/>
      <c r="W4446" s="318"/>
      <c r="X4446" s="318"/>
      <c r="Y4446" s="318"/>
      <c r="Z4446" s="318"/>
      <c r="AA4446" s="318"/>
      <c r="AB4446" s="318"/>
      <c r="AC4446" s="318"/>
      <c r="AD4446" s="318"/>
    </row>
    <row r="4447" spans="2:30" s="323" customFormat="1" ht="12" customHeight="1">
      <c r="B4447" s="324"/>
      <c r="C4447" s="325"/>
      <c r="D4447" s="326"/>
      <c r="E4447" s="326"/>
      <c r="F4447" s="326"/>
      <c r="G4447" s="326"/>
      <c r="H4447" s="326"/>
      <c r="P4447" s="318"/>
      <c r="Q4447" s="318"/>
      <c r="R4447" s="318"/>
      <c r="S4447" s="318"/>
      <c r="T4447" s="318"/>
      <c r="U4447" s="318"/>
      <c r="V4447" s="318"/>
      <c r="W4447" s="318"/>
      <c r="X4447" s="318"/>
      <c r="Y4447" s="318"/>
      <c r="Z4447" s="318"/>
      <c r="AA4447" s="318"/>
      <c r="AB4447" s="318"/>
      <c r="AC4447" s="318"/>
      <c r="AD4447" s="318"/>
    </row>
    <row r="4448" spans="2:30" s="323" customFormat="1" ht="12" customHeight="1">
      <c r="B4448" s="324"/>
      <c r="C4448" s="325"/>
      <c r="D4448" s="326"/>
      <c r="E4448" s="326"/>
      <c r="F4448" s="326"/>
      <c r="G4448" s="326"/>
      <c r="H4448" s="326"/>
      <c r="P4448" s="318"/>
      <c r="Q4448" s="318"/>
      <c r="R4448" s="318"/>
      <c r="S4448" s="318"/>
      <c r="T4448" s="318"/>
      <c r="U4448" s="318"/>
      <c r="V4448" s="318"/>
      <c r="W4448" s="318"/>
      <c r="X4448" s="318"/>
      <c r="Y4448" s="318"/>
      <c r="Z4448" s="318"/>
      <c r="AA4448" s="318"/>
      <c r="AB4448" s="318"/>
      <c r="AC4448" s="318"/>
      <c r="AD4448" s="318"/>
    </row>
    <row r="4449" spans="2:30" s="323" customFormat="1" ht="12" customHeight="1">
      <c r="B4449" s="324"/>
      <c r="C4449" s="325"/>
      <c r="D4449" s="326"/>
      <c r="E4449" s="326"/>
      <c r="F4449" s="326"/>
      <c r="G4449" s="326"/>
      <c r="H4449" s="326"/>
      <c r="P4449" s="318"/>
      <c r="Q4449" s="318"/>
      <c r="R4449" s="318"/>
      <c r="S4449" s="318"/>
      <c r="T4449" s="318"/>
      <c r="U4449" s="318"/>
      <c r="V4449" s="318"/>
      <c r="W4449" s="318"/>
      <c r="X4449" s="318"/>
      <c r="Y4449" s="318"/>
      <c r="Z4449" s="318"/>
      <c r="AA4449" s="318"/>
      <c r="AB4449" s="318"/>
      <c r="AC4449" s="318"/>
      <c r="AD4449" s="318"/>
    </row>
    <row r="4450" spans="2:30" s="323" customFormat="1" ht="12" customHeight="1">
      <c r="B4450" s="324"/>
      <c r="C4450" s="325"/>
      <c r="D4450" s="326"/>
      <c r="E4450" s="326"/>
      <c r="F4450" s="326"/>
      <c r="G4450" s="326"/>
      <c r="H4450" s="326"/>
      <c r="P4450" s="318"/>
      <c r="Q4450" s="318"/>
      <c r="R4450" s="318"/>
      <c r="S4450" s="318"/>
      <c r="T4450" s="318"/>
      <c r="U4450" s="318"/>
      <c r="V4450" s="318"/>
      <c r="W4450" s="318"/>
      <c r="X4450" s="318"/>
      <c r="Y4450" s="318"/>
      <c r="Z4450" s="318"/>
      <c r="AA4450" s="318"/>
      <c r="AB4450" s="318"/>
      <c r="AC4450" s="318"/>
      <c r="AD4450" s="318"/>
    </row>
    <row r="4451" spans="2:30" s="323" customFormat="1" ht="12" customHeight="1">
      <c r="B4451" s="324"/>
      <c r="C4451" s="325"/>
      <c r="D4451" s="326"/>
      <c r="E4451" s="326"/>
      <c r="F4451" s="326"/>
      <c r="G4451" s="326"/>
      <c r="H4451" s="326"/>
      <c r="P4451" s="318"/>
      <c r="Q4451" s="318"/>
      <c r="R4451" s="318"/>
      <c r="S4451" s="318"/>
      <c r="T4451" s="318"/>
      <c r="U4451" s="318"/>
      <c r="V4451" s="318"/>
      <c r="W4451" s="318"/>
      <c r="X4451" s="318"/>
      <c r="Y4451" s="318"/>
      <c r="Z4451" s="318"/>
      <c r="AA4451" s="318"/>
      <c r="AB4451" s="318"/>
      <c r="AC4451" s="318"/>
      <c r="AD4451" s="318"/>
    </row>
    <row r="4452" spans="2:30" s="323" customFormat="1" ht="12" customHeight="1">
      <c r="B4452" s="324"/>
      <c r="C4452" s="325"/>
      <c r="D4452" s="326"/>
      <c r="E4452" s="326"/>
      <c r="F4452" s="326"/>
      <c r="G4452" s="326"/>
      <c r="H4452" s="326"/>
      <c r="P4452" s="318"/>
      <c r="Q4452" s="318"/>
      <c r="R4452" s="318"/>
      <c r="S4452" s="318"/>
      <c r="T4452" s="318"/>
      <c r="U4452" s="318"/>
      <c r="V4452" s="318"/>
      <c r="W4452" s="318"/>
      <c r="X4452" s="318"/>
      <c r="Y4452" s="318"/>
      <c r="Z4452" s="318"/>
      <c r="AA4452" s="318"/>
      <c r="AB4452" s="318"/>
      <c r="AC4452" s="318"/>
      <c r="AD4452" s="318"/>
    </row>
    <row r="4453" spans="2:30" s="323" customFormat="1" ht="12" customHeight="1">
      <c r="B4453" s="324"/>
      <c r="C4453" s="325"/>
      <c r="D4453" s="326"/>
      <c r="E4453" s="326"/>
      <c r="F4453" s="326"/>
      <c r="G4453" s="326"/>
      <c r="H4453" s="326"/>
      <c r="P4453" s="318"/>
      <c r="Q4453" s="318"/>
      <c r="R4453" s="318"/>
      <c r="S4453" s="318"/>
      <c r="T4453" s="318"/>
      <c r="U4453" s="318"/>
      <c r="V4453" s="318"/>
      <c r="W4453" s="318"/>
      <c r="X4453" s="318"/>
      <c r="Y4453" s="318"/>
      <c r="Z4453" s="318"/>
      <c r="AA4453" s="318"/>
      <c r="AB4453" s="318"/>
      <c r="AC4453" s="318"/>
      <c r="AD4453" s="318"/>
    </row>
    <row r="4454" spans="2:30" s="323" customFormat="1" ht="12" customHeight="1">
      <c r="B4454" s="324"/>
      <c r="C4454" s="325"/>
      <c r="D4454" s="326"/>
      <c r="E4454" s="326"/>
      <c r="F4454" s="326"/>
      <c r="G4454" s="326"/>
      <c r="H4454" s="326"/>
      <c r="P4454" s="318"/>
      <c r="Q4454" s="318"/>
      <c r="R4454" s="318"/>
      <c r="S4454" s="318"/>
      <c r="T4454" s="318"/>
      <c r="U4454" s="318"/>
      <c r="V4454" s="318"/>
      <c r="W4454" s="318"/>
      <c r="X4454" s="318"/>
      <c r="Y4454" s="318"/>
      <c r="Z4454" s="318"/>
      <c r="AA4454" s="318"/>
      <c r="AB4454" s="318"/>
      <c r="AC4454" s="318"/>
      <c r="AD4454" s="318"/>
    </row>
    <row r="4455" spans="2:30" s="323" customFormat="1" ht="12" customHeight="1">
      <c r="B4455" s="324"/>
      <c r="C4455" s="325"/>
      <c r="D4455" s="326"/>
      <c r="E4455" s="326"/>
      <c r="F4455" s="326"/>
      <c r="G4455" s="326"/>
      <c r="H4455" s="326"/>
      <c r="P4455" s="318"/>
      <c r="Q4455" s="318"/>
      <c r="R4455" s="318"/>
      <c r="S4455" s="318"/>
      <c r="T4455" s="318"/>
      <c r="U4455" s="318"/>
      <c r="V4455" s="318"/>
      <c r="W4455" s="318"/>
      <c r="X4455" s="318"/>
      <c r="Y4455" s="318"/>
      <c r="Z4455" s="318"/>
      <c r="AA4455" s="318"/>
      <c r="AB4455" s="318"/>
      <c r="AC4455" s="318"/>
      <c r="AD4455" s="318"/>
    </row>
    <row r="4456" spans="2:30" s="323" customFormat="1" ht="12" customHeight="1">
      <c r="B4456" s="324"/>
      <c r="C4456" s="325"/>
      <c r="D4456" s="326"/>
      <c r="E4456" s="326"/>
      <c r="F4456" s="326"/>
      <c r="G4456" s="326"/>
      <c r="H4456" s="326"/>
      <c r="P4456" s="318"/>
      <c r="Q4456" s="318"/>
      <c r="R4456" s="318"/>
      <c r="S4456" s="318"/>
      <c r="T4456" s="318"/>
      <c r="U4456" s="318"/>
      <c r="V4456" s="318"/>
      <c r="W4456" s="318"/>
      <c r="X4456" s="318"/>
      <c r="Y4456" s="318"/>
      <c r="Z4456" s="318"/>
      <c r="AA4456" s="318"/>
      <c r="AB4456" s="318"/>
      <c r="AC4456" s="318"/>
      <c r="AD4456" s="318"/>
    </row>
    <row r="4457" spans="2:30" s="323" customFormat="1" ht="12" customHeight="1">
      <c r="B4457" s="324"/>
      <c r="C4457" s="325"/>
      <c r="D4457" s="326"/>
      <c r="E4457" s="326"/>
      <c r="F4457" s="326"/>
      <c r="G4457" s="326"/>
      <c r="H4457" s="326"/>
      <c r="P4457" s="318"/>
      <c r="Q4457" s="318"/>
      <c r="R4457" s="318"/>
      <c r="S4457" s="318"/>
      <c r="T4457" s="318"/>
      <c r="U4457" s="318"/>
      <c r="V4457" s="318"/>
      <c r="W4457" s="318"/>
      <c r="X4457" s="318"/>
      <c r="Y4457" s="318"/>
      <c r="Z4457" s="318"/>
      <c r="AA4457" s="318"/>
      <c r="AB4457" s="318"/>
      <c r="AC4457" s="318"/>
      <c r="AD4457" s="318"/>
    </row>
    <row r="4458" spans="2:30" s="323" customFormat="1" ht="12" customHeight="1">
      <c r="B4458" s="324"/>
      <c r="C4458" s="325"/>
      <c r="D4458" s="326"/>
      <c r="E4458" s="326"/>
      <c r="F4458" s="326"/>
      <c r="G4458" s="326"/>
      <c r="H4458" s="326"/>
      <c r="P4458" s="318"/>
      <c r="Q4458" s="318"/>
      <c r="R4458" s="318"/>
      <c r="S4458" s="318"/>
      <c r="T4458" s="318"/>
      <c r="U4458" s="318"/>
      <c r="V4458" s="318"/>
      <c r="W4458" s="318"/>
      <c r="X4458" s="318"/>
      <c r="Y4458" s="318"/>
      <c r="Z4458" s="318"/>
      <c r="AA4458" s="318"/>
      <c r="AB4458" s="318"/>
      <c r="AC4458" s="318"/>
      <c r="AD4458" s="318"/>
    </row>
    <row r="4459" spans="2:30" s="323" customFormat="1" ht="12" customHeight="1">
      <c r="B4459" s="324"/>
      <c r="C4459" s="325"/>
      <c r="D4459" s="326"/>
      <c r="E4459" s="326"/>
      <c r="F4459" s="326"/>
      <c r="G4459" s="326"/>
      <c r="H4459" s="326"/>
      <c r="P4459" s="318"/>
      <c r="Q4459" s="318"/>
      <c r="R4459" s="318"/>
      <c r="S4459" s="318"/>
      <c r="T4459" s="318"/>
      <c r="U4459" s="318"/>
      <c r="V4459" s="318"/>
      <c r="W4459" s="318"/>
      <c r="X4459" s="318"/>
      <c r="Y4459" s="318"/>
      <c r="Z4459" s="318"/>
      <c r="AA4459" s="318"/>
      <c r="AB4459" s="318"/>
      <c r="AC4459" s="318"/>
      <c r="AD4459" s="318"/>
    </row>
    <row r="4460" spans="2:30" s="323" customFormat="1" ht="12" customHeight="1">
      <c r="B4460" s="324"/>
      <c r="C4460" s="325"/>
      <c r="D4460" s="326"/>
      <c r="E4460" s="326"/>
      <c r="F4460" s="326"/>
      <c r="G4460" s="326"/>
      <c r="H4460" s="326"/>
      <c r="P4460" s="318"/>
      <c r="Q4460" s="318"/>
      <c r="R4460" s="318"/>
      <c r="S4460" s="318"/>
      <c r="T4460" s="318"/>
      <c r="U4460" s="318"/>
      <c r="V4460" s="318"/>
      <c r="W4460" s="318"/>
      <c r="X4460" s="318"/>
      <c r="Y4460" s="318"/>
      <c r="Z4460" s="318"/>
      <c r="AA4460" s="318"/>
      <c r="AB4460" s="318"/>
      <c r="AC4460" s="318"/>
      <c r="AD4460" s="318"/>
    </row>
    <row r="4461" spans="2:30" s="323" customFormat="1" ht="12" customHeight="1">
      <c r="B4461" s="324"/>
      <c r="C4461" s="325"/>
      <c r="D4461" s="326"/>
      <c r="E4461" s="326"/>
      <c r="F4461" s="326"/>
      <c r="G4461" s="326"/>
      <c r="H4461" s="326"/>
      <c r="P4461" s="318"/>
      <c r="Q4461" s="318"/>
      <c r="R4461" s="318"/>
      <c r="S4461" s="318"/>
      <c r="T4461" s="318"/>
      <c r="U4461" s="318"/>
      <c r="V4461" s="318"/>
      <c r="W4461" s="318"/>
      <c r="X4461" s="318"/>
      <c r="Y4461" s="318"/>
      <c r="Z4461" s="318"/>
      <c r="AA4461" s="318"/>
      <c r="AB4461" s="318"/>
      <c r="AC4461" s="318"/>
      <c r="AD4461" s="318"/>
    </row>
    <row r="4462" spans="2:30" s="323" customFormat="1" ht="12" customHeight="1">
      <c r="B4462" s="324"/>
      <c r="C4462" s="325"/>
      <c r="D4462" s="326"/>
      <c r="E4462" s="326"/>
      <c r="F4462" s="326"/>
      <c r="G4462" s="326"/>
      <c r="H4462" s="326"/>
      <c r="P4462" s="318"/>
      <c r="Q4462" s="318"/>
      <c r="R4462" s="318"/>
      <c r="S4462" s="318"/>
      <c r="T4462" s="318"/>
      <c r="U4462" s="318"/>
      <c r="V4462" s="318"/>
      <c r="W4462" s="318"/>
      <c r="X4462" s="318"/>
      <c r="Y4462" s="318"/>
      <c r="Z4462" s="318"/>
      <c r="AA4462" s="318"/>
      <c r="AB4462" s="318"/>
      <c r="AC4462" s="318"/>
      <c r="AD4462" s="318"/>
    </row>
    <row r="4463" spans="2:30" s="323" customFormat="1" ht="12" customHeight="1">
      <c r="B4463" s="324"/>
      <c r="C4463" s="325"/>
      <c r="D4463" s="326"/>
      <c r="E4463" s="326"/>
      <c r="F4463" s="326"/>
      <c r="G4463" s="326"/>
      <c r="H4463" s="326"/>
      <c r="P4463" s="318"/>
      <c r="Q4463" s="318"/>
      <c r="R4463" s="318"/>
      <c r="S4463" s="318"/>
      <c r="T4463" s="318"/>
      <c r="U4463" s="318"/>
      <c r="V4463" s="318"/>
      <c r="W4463" s="318"/>
      <c r="X4463" s="318"/>
      <c r="Y4463" s="318"/>
      <c r="Z4463" s="318"/>
      <c r="AA4463" s="318"/>
      <c r="AB4463" s="318"/>
      <c r="AC4463" s="318"/>
      <c r="AD4463" s="318"/>
    </row>
    <row r="4464" spans="2:30" s="323" customFormat="1" ht="12" customHeight="1">
      <c r="B4464" s="324"/>
      <c r="C4464" s="325"/>
      <c r="D4464" s="326"/>
      <c r="E4464" s="326"/>
      <c r="F4464" s="326"/>
      <c r="G4464" s="326"/>
      <c r="H4464" s="326"/>
      <c r="P4464" s="318"/>
      <c r="Q4464" s="318"/>
      <c r="R4464" s="318"/>
      <c r="S4464" s="318"/>
      <c r="T4464" s="318"/>
      <c r="U4464" s="318"/>
      <c r="V4464" s="318"/>
      <c r="W4464" s="318"/>
      <c r="X4464" s="318"/>
      <c r="Y4464" s="318"/>
      <c r="Z4464" s="318"/>
      <c r="AA4464" s="318"/>
      <c r="AB4464" s="318"/>
      <c r="AC4464" s="318"/>
      <c r="AD4464" s="318"/>
    </row>
    <row r="4465" spans="2:30" s="323" customFormat="1" ht="12" customHeight="1">
      <c r="B4465" s="324"/>
      <c r="C4465" s="325"/>
      <c r="D4465" s="326"/>
      <c r="E4465" s="326"/>
      <c r="F4465" s="326"/>
      <c r="G4465" s="326"/>
      <c r="H4465" s="326"/>
      <c r="P4465" s="318"/>
      <c r="Q4465" s="318"/>
      <c r="R4465" s="318"/>
      <c r="S4465" s="318"/>
      <c r="T4465" s="318"/>
      <c r="U4465" s="318"/>
      <c r="V4465" s="318"/>
      <c r="W4465" s="318"/>
      <c r="X4465" s="318"/>
      <c r="Y4465" s="318"/>
      <c r="Z4465" s="318"/>
      <c r="AA4465" s="318"/>
      <c r="AB4465" s="318"/>
      <c r="AC4465" s="318"/>
      <c r="AD4465" s="318"/>
    </row>
    <row r="4466" spans="2:30" s="323" customFormat="1" ht="12" customHeight="1">
      <c r="B4466" s="324"/>
      <c r="C4466" s="325"/>
      <c r="D4466" s="326"/>
      <c r="E4466" s="326"/>
      <c r="F4466" s="326"/>
      <c r="G4466" s="326"/>
      <c r="H4466" s="326"/>
      <c r="P4466" s="318"/>
      <c r="Q4466" s="318"/>
      <c r="R4466" s="318"/>
      <c r="S4466" s="318"/>
      <c r="T4466" s="318"/>
      <c r="U4466" s="318"/>
      <c r="V4466" s="318"/>
      <c r="W4466" s="318"/>
      <c r="X4466" s="318"/>
      <c r="Y4466" s="318"/>
      <c r="Z4466" s="318"/>
      <c r="AA4466" s="318"/>
      <c r="AB4466" s="318"/>
      <c r="AC4466" s="318"/>
      <c r="AD4466" s="318"/>
    </row>
    <row r="4467" spans="2:30" s="323" customFormat="1" ht="12" customHeight="1">
      <c r="B4467" s="324"/>
      <c r="C4467" s="325"/>
      <c r="D4467" s="326"/>
      <c r="E4467" s="326"/>
      <c r="F4467" s="326"/>
      <c r="G4467" s="326"/>
      <c r="H4467" s="326"/>
      <c r="P4467" s="318"/>
      <c r="Q4467" s="318"/>
      <c r="R4467" s="318"/>
      <c r="S4467" s="318"/>
      <c r="T4467" s="318"/>
      <c r="U4467" s="318"/>
      <c r="V4467" s="318"/>
      <c r="W4467" s="318"/>
      <c r="X4467" s="318"/>
      <c r="Y4467" s="318"/>
      <c r="Z4467" s="318"/>
      <c r="AA4467" s="318"/>
      <c r="AB4467" s="318"/>
      <c r="AC4467" s="318"/>
      <c r="AD4467" s="318"/>
    </row>
    <row r="4468" spans="2:30" s="323" customFormat="1" ht="12" customHeight="1">
      <c r="B4468" s="324"/>
      <c r="C4468" s="325"/>
      <c r="D4468" s="326"/>
      <c r="E4468" s="326"/>
      <c r="F4468" s="326"/>
      <c r="G4468" s="326"/>
      <c r="H4468" s="326"/>
      <c r="P4468" s="318"/>
      <c r="Q4468" s="318"/>
      <c r="R4468" s="318"/>
      <c r="S4468" s="318"/>
      <c r="T4468" s="318"/>
      <c r="U4468" s="318"/>
      <c r="V4468" s="318"/>
      <c r="W4468" s="318"/>
      <c r="X4468" s="318"/>
      <c r="Y4468" s="318"/>
      <c r="Z4468" s="318"/>
      <c r="AA4468" s="318"/>
      <c r="AB4468" s="318"/>
      <c r="AC4468" s="318"/>
      <c r="AD4468" s="318"/>
    </row>
    <row r="4469" spans="2:30" s="323" customFormat="1" ht="12" customHeight="1">
      <c r="B4469" s="324"/>
      <c r="C4469" s="325"/>
      <c r="D4469" s="326"/>
      <c r="E4469" s="326"/>
      <c r="F4469" s="326"/>
      <c r="G4469" s="326"/>
      <c r="H4469" s="326"/>
      <c r="P4469" s="318"/>
      <c r="Q4469" s="318"/>
      <c r="R4469" s="318"/>
      <c r="S4469" s="318"/>
      <c r="T4469" s="318"/>
      <c r="U4469" s="318"/>
      <c r="V4469" s="318"/>
      <c r="W4469" s="318"/>
      <c r="X4469" s="318"/>
      <c r="Y4469" s="318"/>
      <c r="Z4469" s="318"/>
      <c r="AA4469" s="318"/>
      <c r="AB4469" s="318"/>
      <c r="AC4469" s="318"/>
      <c r="AD4469" s="318"/>
    </row>
    <row r="4470" spans="2:30" s="323" customFormat="1" ht="12" customHeight="1">
      <c r="B4470" s="324"/>
      <c r="C4470" s="325"/>
      <c r="D4470" s="326"/>
      <c r="E4470" s="326"/>
      <c r="F4470" s="326"/>
      <c r="G4470" s="326"/>
      <c r="H4470" s="326"/>
      <c r="P4470" s="318"/>
      <c r="Q4470" s="318"/>
      <c r="R4470" s="318"/>
      <c r="S4470" s="318"/>
      <c r="T4470" s="318"/>
      <c r="U4470" s="318"/>
      <c r="V4470" s="318"/>
      <c r="W4470" s="318"/>
      <c r="X4470" s="318"/>
      <c r="Y4470" s="318"/>
      <c r="Z4470" s="318"/>
      <c r="AA4470" s="318"/>
      <c r="AB4470" s="318"/>
      <c r="AC4470" s="318"/>
      <c r="AD4470" s="318"/>
    </row>
    <row r="4471" spans="2:30" s="323" customFormat="1" ht="12" customHeight="1">
      <c r="B4471" s="324"/>
      <c r="C4471" s="325"/>
      <c r="D4471" s="326"/>
      <c r="E4471" s="326"/>
      <c r="F4471" s="326"/>
      <c r="G4471" s="326"/>
      <c r="H4471" s="326"/>
      <c r="P4471" s="318"/>
      <c r="Q4471" s="318"/>
      <c r="R4471" s="318"/>
      <c r="S4471" s="318"/>
      <c r="T4471" s="318"/>
      <c r="U4471" s="318"/>
      <c r="V4471" s="318"/>
      <c r="W4471" s="318"/>
      <c r="X4471" s="318"/>
      <c r="Y4471" s="318"/>
      <c r="Z4471" s="318"/>
      <c r="AA4471" s="318"/>
      <c r="AB4471" s="318"/>
      <c r="AC4471" s="318"/>
      <c r="AD4471" s="318"/>
    </row>
    <row r="4472" spans="2:30" s="323" customFormat="1" ht="12" customHeight="1">
      <c r="B4472" s="324"/>
      <c r="C4472" s="325"/>
      <c r="D4472" s="326"/>
      <c r="E4472" s="326"/>
      <c r="F4472" s="326"/>
      <c r="G4472" s="326"/>
      <c r="H4472" s="326"/>
      <c r="P4472" s="318"/>
      <c r="Q4472" s="318"/>
      <c r="R4472" s="318"/>
      <c r="S4472" s="318"/>
      <c r="T4472" s="318"/>
      <c r="U4472" s="318"/>
      <c r="V4472" s="318"/>
      <c r="W4472" s="318"/>
      <c r="X4472" s="318"/>
      <c r="Y4472" s="318"/>
      <c r="Z4472" s="318"/>
      <c r="AA4472" s="318"/>
      <c r="AB4472" s="318"/>
      <c r="AC4472" s="318"/>
      <c r="AD4472" s="318"/>
    </row>
    <row r="4473" spans="2:30" s="323" customFormat="1" ht="12" customHeight="1">
      <c r="B4473" s="324"/>
      <c r="C4473" s="325"/>
      <c r="D4473" s="326"/>
      <c r="E4473" s="326"/>
      <c r="F4473" s="326"/>
      <c r="G4473" s="326"/>
      <c r="H4473" s="326"/>
      <c r="P4473" s="318"/>
      <c r="Q4473" s="318"/>
      <c r="R4473" s="318"/>
      <c r="S4473" s="318"/>
      <c r="T4473" s="318"/>
      <c r="U4473" s="318"/>
      <c r="V4473" s="318"/>
      <c r="W4473" s="318"/>
      <c r="X4473" s="318"/>
      <c r="Y4473" s="318"/>
      <c r="Z4473" s="318"/>
      <c r="AA4473" s="318"/>
      <c r="AB4473" s="318"/>
      <c r="AC4473" s="318"/>
      <c r="AD4473" s="318"/>
    </row>
    <row r="4474" spans="2:30" s="323" customFormat="1" ht="12" customHeight="1">
      <c r="B4474" s="324"/>
      <c r="C4474" s="325"/>
      <c r="D4474" s="326"/>
      <c r="E4474" s="326"/>
      <c r="F4474" s="326"/>
      <c r="G4474" s="326"/>
      <c r="H4474" s="326"/>
      <c r="P4474" s="318"/>
      <c r="Q4474" s="318"/>
      <c r="R4474" s="318"/>
      <c r="S4474" s="318"/>
      <c r="T4474" s="318"/>
      <c r="U4474" s="318"/>
      <c r="V4474" s="318"/>
      <c r="W4474" s="318"/>
      <c r="X4474" s="318"/>
      <c r="Y4474" s="318"/>
      <c r="Z4474" s="318"/>
      <c r="AA4474" s="318"/>
      <c r="AB4474" s="318"/>
      <c r="AC4474" s="318"/>
      <c r="AD4474" s="318"/>
    </row>
    <row r="4475" spans="2:30" s="323" customFormat="1" ht="12" customHeight="1">
      <c r="B4475" s="324"/>
      <c r="C4475" s="325"/>
      <c r="D4475" s="326"/>
      <c r="E4475" s="326"/>
      <c r="F4475" s="326"/>
      <c r="G4475" s="326"/>
      <c r="H4475" s="326"/>
      <c r="P4475" s="318"/>
      <c r="Q4475" s="318"/>
      <c r="R4475" s="318"/>
      <c r="S4475" s="318"/>
      <c r="T4475" s="318"/>
      <c r="U4475" s="318"/>
      <c r="V4475" s="318"/>
      <c r="W4475" s="318"/>
      <c r="X4475" s="318"/>
      <c r="Y4475" s="318"/>
      <c r="Z4475" s="318"/>
      <c r="AA4475" s="318"/>
      <c r="AB4475" s="318"/>
      <c r="AC4475" s="318"/>
      <c r="AD4475" s="318"/>
    </row>
    <row r="4476" spans="2:30" s="323" customFormat="1" ht="12" customHeight="1">
      <c r="B4476" s="324"/>
      <c r="C4476" s="325"/>
      <c r="D4476" s="326"/>
      <c r="E4476" s="326"/>
      <c r="F4476" s="326"/>
      <c r="G4476" s="326"/>
      <c r="H4476" s="326"/>
      <c r="P4476" s="318"/>
      <c r="Q4476" s="318"/>
      <c r="R4476" s="318"/>
      <c r="S4476" s="318"/>
      <c r="T4476" s="318"/>
      <c r="U4476" s="318"/>
      <c r="V4476" s="318"/>
      <c r="W4476" s="318"/>
      <c r="X4476" s="318"/>
      <c r="Y4476" s="318"/>
      <c r="Z4476" s="318"/>
      <c r="AA4476" s="318"/>
      <c r="AB4476" s="318"/>
      <c r="AC4476" s="318"/>
      <c r="AD4476" s="318"/>
    </row>
    <row r="4477" spans="2:30" s="323" customFormat="1" ht="12" customHeight="1">
      <c r="B4477" s="324"/>
      <c r="C4477" s="325"/>
      <c r="D4477" s="326"/>
      <c r="E4477" s="326"/>
      <c r="F4477" s="326"/>
      <c r="G4477" s="326"/>
      <c r="H4477" s="326"/>
      <c r="P4477" s="318"/>
      <c r="Q4477" s="318"/>
      <c r="R4477" s="318"/>
      <c r="S4477" s="318"/>
      <c r="T4477" s="318"/>
      <c r="U4477" s="318"/>
      <c r="V4477" s="318"/>
      <c r="W4477" s="318"/>
      <c r="X4477" s="318"/>
      <c r="Y4477" s="318"/>
      <c r="Z4477" s="318"/>
      <c r="AA4477" s="318"/>
      <c r="AB4477" s="318"/>
      <c r="AC4477" s="318"/>
      <c r="AD4477" s="318"/>
    </row>
    <row r="4478" spans="2:30" s="323" customFormat="1" ht="12" customHeight="1">
      <c r="B4478" s="324"/>
      <c r="C4478" s="325"/>
      <c r="D4478" s="326"/>
      <c r="E4478" s="326"/>
      <c r="F4478" s="326"/>
      <c r="G4478" s="326"/>
      <c r="H4478" s="326"/>
      <c r="P4478" s="318"/>
      <c r="Q4478" s="318"/>
      <c r="R4478" s="318"/>
      <c r="S4478" s="318"/>
      <c r="T4478" s="318"/>
      <c r="U4478" s="318"/>
      <c r="V4478" s="318"/>
      <c r="W4478" s="318"/>
      <c r="X4478" s="318"/>
      <c r="Y4478" s="318"/>
      <c r="Z4478" s="318"/>
      <c r="AA4478" s="318"/>
      <c r="AB4478" s="318"/>
      <c r="AC4478" s="318"/>
      <c r="AD4478" s="318"/>
    </row>
    <row r="4479" spans="2:30" s="323" customFormat="1" ht="12" customHeight="1">
      <c r="B4479" s="324"/>
      <c r="C4479" s="325"/>
      <c r="D4479" s="326"/>
      <c r="E4479" s="326"/>
      <c r="F4479" s="326"/>
      <c r="G4479" s="326"/>
      <c r="H4479" s="326"/>
      <c r="P4479" s="318"/>
      <c r="Q4479" s="318"/>
      <c r="R4479" s="318"/>
      <c r="S4479" s="318"/>
      <c r="T4479" s="318"/>
      <c r="U4479" s="318"/>
      <c r="V4479" s="318"/>
      <c r="W4479" s="318"/>
      <c r="X4479" s="318"/>
      <c r="Y4479" s="318"/>
      <c r="Z4479" s="318"/>
      <c r="AA4479" s="318"/>
      <c r="AB4479" s="318"/>
      <c r="AC4479" s="318"/>
      <c r="AD4479" s="318"/>
    </row>
    <row r="4480" spans="2:30" s="323" customFormat="1" ht="12" customHeight="1">
      <c r="B4480" s="324"/>
      <c r="C4480" s="325"/>
      <c r="D4480" s="326"/>
      <c r="E4480" s="326"/>
      <c r="F4480" s="326"/>
      <c r="G4480" s="326"/>
      <c r="H4480" s="326"/>
      <c r="P4480" s="318"/>
      <c r="Q4480" s="318"/>
      <c r="R4480" s="318"/>
      <c r="S4480" s="318"/>
      <c r="T4480" s="318"/>
      <c r="U4480" s="318"/>
      <c r="V4480" s="318"/>
      <c r="W4480" s="318"/>
      <c r="X4480" s="318"/>
      <c r="Y4480" s="318"/>
      <c r="Z4480" s="318"/>
      <c r="AA4480" s="318"/>
      <c r="AB4480" s="318"/>
      <c r="AC4480" s="318"/>
      <c r="AD4480" s="318"/>
    </row>
    <row r="4481" spans="2:30" s="323" customFormat="1" ht="12" customHeight="1">
      <c r="B4481" s="324"/>
      <c r="C4481" s="325"/>
      <c r="D4481" s="326"/>
      <c r="E4481" s="326"/>
      <c r="F4481" s="326"/>
      <c r="G4481" s="326"/>
      <c r="H4481" s="326"/>
      <c r="P4481" s="318"/>
      <c r="Q4481" s="318"/>
      <c r="R4481" s="318"/>
      <c r="S4481" s="318"/>
      <c r="T4481" s="318"/>
      <c r="U4481" s="318"/>
      <c r="V4481" s="318"/>
      <c r="W4481" s="318"/>
      <c r="X4481" s="318"/>
      <c r="Y4481" s="318"/>
      <c r="Z4481" s="318"/>
      <c r="AA4481" s="318"/>
      <c r="AB4481" s="318"/>
      <c r="AC4481" s="318"/>
      <c r="AD4481" s="318"/>
    </row>
    <row r="4482" spans="2:30" s="323" customFormat="1" ht="12" customHeight="1">
      <c r="B4482" s="324"/>
      <c r="C4482" s="325"/>
      <c r="D4482" s="326"/>
      <c r="E4482" s="326"/>
      <c r="F4482" s="326"/>
      <c r="G4482" s="326"/>
      <c r="H4482" s="326"/>
      <c r="P4482" s="318"/>
      <c r="Q4482" s="318"/>
      <c r="R4482" s="318"/>
      <c r="S4482" s="318"/>
      <c r="T4482" s="318"/>
      <c r="U4482" s="318"/>
      <c r="V4482" s="318"/>
      <c r="W4482" s="318"/>
      <c r="X4482" s="318"/>
      <c r="Y4482" s="318"/>
      <c r="Z4482" s="318"/>
      <c r="AA4482" s="318"/>
      <c r="AB4482" s="318"/>
      <c r="AC4482" s="318"/>
      <c r="AD4482" s="318"/>
    </row>
    <row r="4483" spans="2:30" s="323" customFormat="1" ht="12" customHeight="1">
      <c r="B4483" s="324"/>
      <c r="C4483" s="325"/>
      <c r="D4483" s="326"/>
      <c r="E4483" s="326"/>
      <c r="F4483" s="326"/>
      <c r="G4483" s="326"/>
      <c r="H4483" s="326"/>
      <c r="P4483" s="318"/>
      <c r="Q4483" s="318"/>
      <c r="R4483" s="318"/>
      <c r="S4483" s="318"/>
      <c r="T4483" s="318"/>
      <c r="U4483" s="318"/>
      <c r="V4483" s="318"/>
      <c r="W4483" s="318"/>
      <c r="X4483" s="318"/>
      <c r="Y4483" s="318"/>
      <c r="Z4483" s="318"/>
      <c r="AA4483" s="318"/>
      <c r="AB4483" s="318"/>
      <c r="AC4483" s="318"/>
      <c r="AD4483" s="318"/>
    </row>
    <row r="4484" spans="2:30" s="323" customFormat="1" ht="12" customHeight="1">
      <c r="B4484" s="324"/>
      <c r="C4484" s="325"/>
      <c r="D4484" s="326"/>
      <c r="E4484" s="326"/>
      <c r="F4484" s="326"/>
      <c r="G4484" s="326"/>
      <c r="H4484" s="326"/>
      <c r="P4484" s="318"/>
      <c r="Q4484" s="318"/>
      <c r="R4484" s="318"/>
      <c r="S4484" s="318"/>
      <c r="T4484" s="318"/>
      <c r="U4484" s="318"/>
      <c r="V4484" s="318"/>
      <c r="W4484" s="318"/>
      <c r="X4484" s="318"/>
      <c r="Y4484" s="318"/>
      <c r="Z4484" s="318"/>
      <c r="AA4484" s="318"/>
      <c r="AB4484" s="318"/>
      <c r="AC4484" s="318"/>
      <c r="AD4484" s="318"/>
    </row>
    <row r="4485" spans="2:30" s="323" customFormat="1" ht="12" customHeight="1">
      <c r="B4485" s="324"/>
      <c r="C4485" s="325"/>
      <c r="D4485" s="326"/>
      <c r="E4485" s="326"/>
      <c r="F4485" s="326"/>
      <c r="G4485" s="326"/>
      <c r="H4485" s="326"/>
      <c r="P4485" s="318"/>
      <c r="Q4485" s="318"/>
      <c r="R4485" s="318"/>
      <c r="S4485" s="318"/>
      <c r="T4485" s="318"/>
      <c r="U4485" s="318"/>
      <c r="V4485" s="318"/>
      <c r="W4485" s="318"/>
      <c r="X4485" s="318"/>
      <c r="Y4485" s="318"/>
      <c r="Z4485" s="318"/>
      <c r="AA4485" s="318"/>
      <c r="AB4485" s="318"/>
      <c r="AC4485" s="318"/>
      <c r="AD4485" s="318"/>
    </row>
    <row r="4486" spans="2:30" s="323" customFormat="1" ht="12" customHeight="1">
      <c r="B4486" s="324"/>
      <c r="C4486" s="325"/>
      <c r="D4486" s="326"/>
      <c r="E4486" s="326"/>
      <c r="F4486" s="326"/>
      <c r="G4486" s="326"/>
      <c r="H4486" s="326"/>
      <c r="P4486" s="318"/>
      <c r="Q4486" s="318"/>
      <c r="R4486" s="318"/>
      <c r="S4486" s="318"/>
      <c r="T4486" s="318"/>
      <c r="U4486" s="318"/>
      <c r="V4486" s="318"/>
      <c r="W4486" s="318"/>
      <c r="X4486" s="318"/>
      <c r="Y4486" s="318"/>
      <c r="Z4486" s="318"/>
      <c r="AA4486" s="318"/>
      <c r="AB4486" s="318"/>
      <c r="AC4486" s="318"/>
      <c r="AD4486" s="318"/>
    </row>
    <row r="4487" spans="2:30" s="323" customFormat="1" ht="12" customHeight="1">
      <c r="B4487" s="324"/>
      <c r="C4487" s="325"/>
      <c r="D4487" s="326"/>
      <c r="E4487" s="326"/>
      <c r="F4487" s="326"/>
      <c r="G4487" s="326"/>
      <c r="H4487" s="326"/>
      <c r="P4487" s="318"/>
      <c r="Q4487" s="318"/>
      <c r="R4487" s="318"/>
      <c r="S4487" s="318"/>
      <c r="T4487" s="318"/>
      <c r="U4487" s="318"/>
      <c r="V4487" s="318"/>
      <c r="W4487" s="318"/>
      <c r="X4487" s="318"/>
      <c r="Y4487" s="318"/>
      <c r="Z4487" s="318"/>
      <c r="AA4487" s="318"/>
      <c r="AB4487" s="318"/>
      <c r="AC4487" s="318"/>
      <c r="AD4487" s="318"/>
    </row>
    <row r="4488" spans="2:30" s="323" customFormat="1" ht="12" customHeight="1">
      <c r="B4488" s="324"/>
      <c r="C4488" s="325"/>
      <c r="D4488" s="326"/>
      <c r="E4488" s="326"/>
      <c r="F4488" s="326"/>
      <c r="G4488" s="326"/>
      <c r="H4488" s="326"/>
      <c r="P4488" s="318"/>
      <c r="Q4488" s="318"/>
      <c r="R4488" s="318"/>
      <c r="S4488" s="318"/>
      <c r="T4488" s="318"/>
      <c r="U4488" s="318"/>
      <c r="V4488" s="318"/>
      <c r="W4488" s="318"/>
      <c r="X4488" s="318"/>
      <c r="Y4488" s="318"/>
      <c r="Z4488" s="318"/>
      <c r="AA4488" s="318"/>
      <c r="AB4488" s="318"/>
      <c r="AC4488" s="318"/>
      <c r="AD4488" s="318"/>
    </row>
    <row r="4489" spans="2:30" s="323" customFormat="1" ht="12" customHeight="1">
      <c r="B4489" s="324"/>
      <c r="C4489" s="325"/>
      <c r="D4489" s="326"/>
      <c r="E4489" s="326"/>
      <c r="F4489" s="326"/>
      <c r="G4489" s="326"/>
      <c r="H4489" s="326"/>
      <c r="P4489" s="318"/>
      <c r="Q4489" s="318"/>
      <c r="R4489" s="318"/>
      <c r="S4489" s="318"/>
      <c r="T4489" s="318"/>
      <c r="U4489" s="318"/>
      <c r="V4489" s="318"/>
      <c r="W4489" s="318"/>
      <c r="X4489" s="318"/>
      <c r="Y4489" s="318"/>
      <c r="Z4489" s="318"/>
      <c r="AA4489" s="318"/>
      <c r="AB4489" s="318"/>
      <c r="AC4489" s="318"/>
      <c r="AD4489" s="318"/>
    </row>
    <row r="4490" spans="2:30" s="323" customFormat="1" ht="12" customHeight="1">
      <c r="B4490" s="324"/>
      <c r="C4490" s="325"/>
      <c r="D4490" s="326"/>
      <c r="E4490" s="326"/>
      <c r="F4490" s="326"/>
      <c r="G4490" s="326"/>
      <c r="H4490" s="326"/>
      <c r="P4490" s="318"/>
      <c r="Q4490" s="318"/>
      <c r="R4490" s="318"/>
      <c r="S4490" s="318"/>
      <c r="T4490" s="318"/>
      <c r="U4490" s="318"/>
      <c r="V4490" s="318"/>
      <c r="W4490" s="318"/>
      <c r="X4490" s="318"/>
      <c r="Y4490" s="318"/>
      <c r="Z4490" s="318"/>
      <c r="AA4490" s="318"/>
      <c r="AB4490" s="318"/>
      <c r="AC4490" s="318"/>
      <c r="AD4490" s="318"/>
    </row>
    <row r="4491" spans="2:30" s="323" customFormat="1" ht="12" customHeight="1">
      <c r="B4491" s="324"/>
      <c r="C4491" s="325"/>
      <c r="D4491" s="326"/>
      <c r="E4491" s="326"/>
      <c r="F4491" s="326"/>
      <c r="G4491" s="326"/>
      <c r="H4491" s="326"/>
      <c r="P4491" s="318"/>
      <c r="Q4491" s="318"/>
      <c r="R4491" s="318"/>
      <c r="S4491" s="318"/>
      <c r="T4491" s="318"/>
      <c r="U4491" s="318"/>
      <c r="V4491" s="318"/>
      <c r="W4491" s="318"/>
      <c r="X4491" s="318"/>
      <c r="Y4491" s="318"/>
      <c r="Z4491" s="318"/>
      <c r="AA4491" s="318"/>
      <c r="AB4491" s="318"/>
      <c r="AC4491" s="318"/>
      <c r="AD4491" s="318"/>
    </row>
    <row r="4492" spans="2:30" s="323" customFormat="1" ht="12" customHeight="1">
      <c r="B4492" s="324"/>
      <c r="C4492" s="325"/>
      <c r="D4492" s="326"/>
      <c r="E4492" s="326"/>
      <c r="F4492" s="326"/>
      <c r="G4492" s="326"/>
      <c r="H4492" s="326"/>
      <c r="P4492" s="318"/>
      <c r="Q4492" s="318"/>
      <c r="R4492" s="318"/>
      <c r="S4492" s="318"/>
      <c r="T4492" s="318"/>
      <c r="U4492" s="318"/>
      <c r="V4492" s="318"/>
      <c r="W4492" s="318"/>
      <c r="X4492" s="318"/>
      <c r="Y4492" s="318"/>
      <c r="Z4492" s="318"/>
      <c r="AA4492" s="318"/>
      <c r="AB4492" s="318"/>
      <c r="AC4492" s="318"/>
      <c r="AD4492" s="318"/>
    </row>
    <row r="4493" spans="2:30" s="323" customFormat="1" ht="12" customHeight="1">
      <c r="B4493" s="324"/>
      <c r="C4493" s="325"/>
      <c r="D4493" s="326"/>
      <c r="E4493" s="326"/>
      <c r="F4493" s="326"/>
      <c r="G4493" s="326"/>
      <c r="H4493" s="326"/>
      <c r="P4493" s="318"/>
      <c r="Q4493" s="318"/>
      <c r="R4493" s="318"/>
      <c r="S4493" s="318"/>
      <c r="T4493" s="318"/>
      <c r="U4493" s="318"/>
      <c r="V4493" s="318"/>
      <c r="W4493" s="318"/>
      <c r="X4493" s="318"/>
      <c r="Y4493" s="318"/>
      <c r="Z4493" s="318"/>
      <c r="AA4493" s="318"/>
      <c r="AB4493" s="318"/>
      <c r="AC4493" s="318"/>
      <c r="AD4493" s="318"/>
    </row>
    <row r="4494" spans="2:30" s="323" customFormat="1" ht="12" customHeight="1">
      <c r="B4494" s="324"/>
      <c r="C4494" s="325"/>
      <c r="D4494" s="326"/>
      <c r="E4494" s="326"/>
      <c r="F4494" s="326"/>
      <c r="G4494" s="326"/>
      <c r="H4494" s="326"/>
      <c r="P4494" s="318"/>
      <c r="Q4494" s="318"/>
      <c r="R4494" s="318"/>
      <c r="S4494" s="318"/>
      <c r="T4494" s="318"/>
      <c r="U4494" s="318"/>
      <c r="V4494" s="318"/>
      <c r="W4494" s="318"/>
      <c r="X4494" s="318"/>
      <c r="Y4494" s="318"/>
      <c r="Z4494" s="318"/>
      <c r="AA4494" s="318"/>
      <c r="AB4494" s="318"/>
      <c r="AC4494" s="318"/>
      <c r="AD4494" s="318"/>
    </row>
    <row r="4495" spans="2:30" s="323" customFormat="1" ht="12" customHeight="1">
      <c r="B4495" s="324"/>
      <c r="C4495" s="325"/>
      <c r="D4495" s="326"/>
      <c r="E4495" s="326"/>
      <c r="F4495" s="326"/>
      <c r="G4495" s="326"/>
      <c r="H4495" s="326"/>
      <c r="P4495" s="318"/>
      <c r="Q4495" s="318"/>
      <c r="R4495" s="318"/>
      <c r="S4495" s="318"/>
      <c r="T4495" s="318"/>
      <c r="U4495" s="318"/>
      <c r="V4495" s="318"/>
      <c r="W4495" s="318"/>
      <c r="X4495" s="318"/>
      <c r="Y4495" s="318"/>
      <c r="Z4495" s="318"/>
      <c r="AA4495" s="318"/>
      <c r="AB4495" s="318"/>
      <c r="AC4495" s="318"/>
      <c r="AD4495" s="318"/>
    </row>
    <row r="4496" spans="2:30" s="323" customFormat="1" ht="12" customHeight="1">
      <c r="B4496" s="324"/>
      <c r="C4496" s="325"/>
      <c r="D4496" s="326"/>
      <c r="E4496" s="326"/>
      <c r="F4496" s="326"/>
      <c r="G4496" s="326"/>
      <c r="H4496" s="326"/>
      <c r="P4496" s="318"/>
      <c r="Q4496" s="318"/>
      <c r="R4496" s="318"/>
      <c r="S4496" s="318"/>
      <c r="T4496" s="318"/>
      <c r="U4496" s="318"/>
      <c r="V4496" s="318"/>
      <c r="W4496" s="318"/>
      <c r="X4496" s="318"/>
      <c r="Y4496" s="318"/>
      <c r="Z4496" s="318"/>
      <c r="AA4496" s="318"/>
      <c r="AB4496" s="318"/>
      <c r="AC4496" s="318"/>
      <c r="AD4496" s="318"/>
    </row>
    <row r="4497" spans="2:30" s="323" customFormat="1" ht="12" customHeight="1">
      <c r="B4497" s="324"/>
      <c r="C4497" s="325"/>
      <c r="D4497" s="326"/>
      <c r="E4497" s="326"/>
      <c r="F4497" s="326"/>
      <c r="G4497" s="326"/>
      <c r="H4497" s="326"/>
      <c r="P4497" s="318"/>
      <c r="Q4497" s="318"/>
      <c r="R4497" s="318"/>
      <c r="S4497" s="318"/>
      <c r="T4497" s="318"/>
      <c r="U4497" s="318"/>
      <c r="V4497" s="318"/>
      <c r="W4497" s="318"/>
      <c r="X4497" s="318"/>
      <c r="Y4497" s="318"/>
      <c r="Z4497" s="318"/>
      <c r="AA4497" s="318"/>
      <c r="AB4497" s="318"/>
      <c r="AC4497" s="318"/>
      <c r="AD4497" s="318"/>
    </row>
    <row r="4498" spans="2:30" s="323" customFormat="1" ht="12" customHeight="1">
      <c r="B4498" s="324"/>
      <c r="C4498" s="325"/>
      <c r="D4498" s="326"/>
      <c r="E4498" s="326"/>
      <c r="F4498" s="326"/>
      <c r="G4498" s="326"/>
      <c r="H4498" s="326"/>
      <c r="P4498" s="318"/>
      <c r="Q4498" s="318"/>
      <c r="R4498" s="318"/>
      <c r="S4498" s="318"/>
      <c r="T4498" s="318"/>
      <c r="U4498" s="318"/>
      <c r="V4498" s="318"/>
      <c r="W4498" s="318"/>
      <c r="X4498" s="318"/>
      <c r="Y4498" s="318"/>
      <c r="Z4498" s="318"/>
      <c r="AA4498" s="318"/>
      <c r="AB4498" s="318"/>
      <c r="AC4498" s="318"/>
      <c r="AD4498" s="318"/>
    </row>
    <row r="4499" spans="2:30" s="323" customFormat="1" ht="12" customHeight="1">
      <c r="B4499" s="324"/>
      <c r="C4499" s="325"/>
      <c r="D4499" s="326"/>
      <c r="E4499" s="326"/>
      <c r="F4499" s="326"/>
      <c r="G4499" s="326"/>
      <c r="H4499" s="326"/>
      <c r="P4499" s="318"/>
      <c r="Q4499" s="318"/>
      <c r="R4499" s="318"/>
      <c r="S4499" s="318"/>
      <c r="T4499" s="318"/>
      <c r="U4499" s="318"/>
      <c r="V4499" s="318"/>
      <c r="W4499" s="318"/>
      <c r="X4499" s="318"/>
      <c r="Y4499" s="318"/>
      <c r="Z4499" s="318"/>
      <c r="AA4499" s="318"/>
      <c r="AB4499" s="318"/>
      <c r="AC4499" s="318"/>
      <c r="AD4499" s="318"/>
    </row>
    <row r="4500" spans="2:30" s="323" customFormat="1" ht="12" customHeight="1">
      <c r="B4500" s="324"/>
      <c r="C4500" s="325"/>
      <c r="D4500" s="326"/>
      <c r="E4500" s="326"/>
      <c r="F4500" s="326"/>
      <c r="G4500" s="326"/>
      <c r="H4500" s="326"/>
      <c r="P4500" s="318"/>
      <c r="Q4500" s="318"/>
      <c r="R4500" s="318"/>
      <c r="S4500" s="318"/>
      <c r="T4500" s="318"/>
      <c r="U4500" s="318"/>
      <c r="V4500" s="318"/>
      <c r="W4500" s="318"/>
      <c r="X4500" s="318"/>
      <c r="Y4500" s="318"/>
      <c r="Z4500" s="318"/>
      <c r="AA4500" s="318"/>
      <c r="AB4500" s="318"/>
      <c r="AC4500" s="318"/>
      <c r="AD4500" s="318"/>
    </row>
    <row r="4501" spans="2:30" s="323" customFormat="1" ht="12" customHeight="1">
      <c r="B4501" s="324"/>
      <c r="C4501" s="325"/>
      <c r="D4501" s="326"/>
      <c r="E4501" s="326"/>
      <c r="F4501" s="326"/>
      <c r="G4501" s="326"/>
      <c r="H4501" s="326"/>
      <c r="P4501" s="318"/>
      <c r="Q4501" s="318"/>
      <c r="R4501" s="318"/>
      <c r="S4501" s="318"/>
      <c r="T4501" s="318"/>
      <c r="U4501" s="318"/>
      <c r="V4501" s="318"/>
      <c r="W4501" s="318"/>
      <c r="X4501" s="318"/>
      <c r="Y4501" s="318"/>
      <c r="Z4501" s="318"/>
      <c r="AA4501" s="318"/>
      <c r="AB4501" s="318"/>
      <c r="AC4501" s="318"/>
      <c r="AD4501" s="318"/>
    </row>
    <row r="4502" spans="2:30" s="323" customFormat="1" ht="12" customHeight="1">
      <c r="B4502" s="324"/>
      <c r="C4502" s="325"/>
      <c r="D4502" s="326"/>
      <c r="E4502" s="326"/>
      <c r="F4502" s="326"/>
      <c r="G4502" s="326"/>
      <c r="H4502" s="326"/>
      <c r="P4502" s="318"/>
      <c r="Q4502" s="318"/>
      <c r="R4502" s="318"/>
      <c r="S4502" s="318"/>
      <c r="T4502" s="318"/>
      <c r="U4502" s="318"/>
      <c r="V4502" s="318"/>
      <c r="W4502" s="318"/>
      <c r="X4502" s="318"/>
      <c r="Y4502" s="318"/>
      <c r="Z4502" s="318"/>
      <c r="AA4502" s="318"/>
      <c r="AB4502" s="318"/>
      <c r="AC4502" s="318"/>
      <c r="AD4502" s="318"/>
    </row>
    <row r="4503" spans="2:30" s="323" customFormat="1" ht="12" customHeight="1">
      <c r="B4503" s="324"/>
      <c r="C4503" s="325"/>
      <c r="D4503" s="326"/>
      <c r="E4503" s="326"/>
      <c r="F4503" s="326"/>
      <c r="G4503" s="326"/>
      <c r="H4503" s="326"/>
      <c r="P4503" s="318"/>
      <c r="Q4503" s="318"/>
      <c r="R4503" s="318"/>
      <c r="S4503" s="318"/>
      <c r="T4503" s="318"/>
      <c r="U4503" s="318"/>
      <c r="V4503" s="318"/>
      <c r="W4503" s="318"/>
      <c r="X4503" s="318"/>
      <c r="Y4503" s="318"/>
      <c r="Z4503" s="318"/>
      <c r="AA4503" s="318"/>
      <c r="AB4503" s="318"/>
      <c r="AC4503" s="318"/>
      <c r="AD4503" s="318"/>
    </row>
    <row r="4504" spans="2:30" s="323" customFormat="1" ht="12" customHeight="1">
      <c r="B4504" s="324"/>
      <c r="C4504" s="325"/>
      <c r="D4504" s="326"/>
      <c r="E4504" s="326"/>
      <c r="F4504" s="326"/>
      <c r="G4504" s="326"/>
      <c r="H4504" s="326"/>
      <c r="P4504" s="318"/>
      <c r="Q4504" s="318"/>
      <c r="R4504" s="318"/>
      <c r="S4504" s="318"/>
      <c r="T4504" s="318"/>
      <c r="U4504" s="318"/>
      <c r="V4504" s="318"/>
      <c r="W4504" s="318"/>
      <c r="X4504" s="318"/>
      <c r="Y4504" s="318"/>
      <c r="Z4504" s="318"/>
      <c r="AA4504" s="318"/>
      <c r="AB4504" s="318"/>
      <c r="AC4504" s="318"/>
      <c r="AD4504" s="318"/>
    </row>
    <row r="4505" spans="2:30" s="323" customFormat="1" ht="12" customHeight="1">
      <c r="B4505" s="324"/>
      <c r="C4505" s="325"/>
      <c r="D4505" s="326"/>
      <c r="E4505" s="326"/>
      <c r="F4505" s="326"/>
      <c r="G4505" s="326"/>
      <c r="H4505" s="326"/>
      <c r="P4505" s="318"/>
      <c r="Q4505" s="318"/>
      <c r="R4505" s="318"/>
      <c r="S4505" s="318"/>
      <c r="T4505" s="318"/>
      <c r="U4505" s="318"/>
      <c r="V4505" s="318"/>
      <c r="W4505" s="318"/>
      <c r="X4505" s="318"/>
      <c r="Y4505" s="318"/>
      <c r="Z4505" s="318"/>
      <c r="AA4505" s="318"/>
      <c r="AB4505" s="318"/>
      <c r="AC4505" s="318"/>
      <c r="AD4505" s="318"/>
    </row>
    <row r="4506" spans="2:30" s="323" customFormat="1" ht="12" customHeight="1">
      <c r="B4506" s="324"/>
      <c r="C4506" s="325"/>
      <c r="D4506" s="326"/>
      <c r="E4506" s="326"/>
      <c r="F4506" s="326"/>
      <c r="G4506" s="326"/>
      <c r="H4506" s="326"/>
      <c r="P4506" s="318"/>
      <c r="Q4506" s="318"/>
      <c r="R4506" s="318"/>
      <c r="S4506" s="318"/>
      <c r="T4506" s="318"/>
      <c r="U4506" s="318"/>
      <c r="V4506" s="318"/>
      <c r="W4506" s="318"/>
      <c r="X4506" s="318"/>
      <c r="Y4506" s="318"/>
      <c r="Z4506" s="318"/>
      <c r="AA4506" s="318"/>
      <c r="AB4506" s="318"/>
      <c r="AC4506" s="318"/>
      <c r="AD4506" s="318"/>
    </row>
    <row r="4507" spans="2:30" s="323" customFormat="1" ht="12" customHeight="1">
      <c r="B4507" s="324"/>
      <c r="C4507" s="325"/>
      <c r="D4507" s="326"/>
      <c r="E4507" s="326"/>
      <c r="F4507" s="326"/>
      <c r="G4507" s="326"/>
      <c r="H4507" s="326"/>
      <c r="P4507" s="318"/>
      <c r="Q4507" s="318"/>
      <c r="R4507" s="318"/>
      <c r="S4507" s="318"/>
      <c r="T4507" s="318"/>
      <c r="U4507" s="318"/>
      <c r="V4507" s="318"/>
      <c r="W4507" s="318"/>
      <c r="X4507" s="318"/>
      <c r="Y4507" s="318"/>
      <c r="Z4507" s="318"/>
      <c r="AA4507" s="318"/>
      <c r="AB4507" s="318"/>
      <c r="AC4507" s="318"/>
      <c r="AD4507" s="318"/>
    </row>
    <row r="4508" spans="2:30" s="323" customFormat="1" ht="12" customHeight="1">
      <c r="B4508" s="324"/>
      <c r="C4508" s="325"/>
      <c r="D4508" s="326"/>
      <c r="E4508" s="326"/>
      <c r="F4508" s="326"/>
      <c r="G4508" s="326"/>
      <c r="H4508" s="326"/>
      <c r="P4508" s="318"/>
      <c r="Q4508" s="318"/>
      <c r="R4508" s="318"/>
      <c r="S4508" s="318"/>
      <c r="T4508" s="318"/>
      <c r="U4508" s="318"/>
      <c r="V4508" s="318"/>
      <c r="W4508" s="318"/>
      <c r="X4508" s="318"/>
      <c r="Y4508" s="318"/>
      <c r="Z4508" s="318"/>
      <c r="AA4508" s="318"/>
      <c r="AB4508" s="318"/>
      <c r="AC4508" s="318"/>
      <c r="AD4508" s="318"/>
    </row>
    <row r="4509" spans="2:30" s="323" customFormat="1" ht="12" customHeight="1">
      <c r="B4509" s="324"/>
      <c r="C4509" s="325"/>
      <c r="D4509" s="326"/>
      <c r="E4509" s="326"/>
      <c r="F4509" s="326"/>
      <c r="G4509" s="326"/>
      <c r="H4509" s="326"/>
      <c r="P4509" s="318"/>
      <c r="Q4509" s="318"/>
      <c r="R4509" s="318"/>
      <c r="S4509" s="318"/>
      <c r="T4509" s="318"/>
      <c r="U4509" s="318"/>
      <c r="V4509" s="318"/>
      <c r="W4509" s="318"/>
      <c r="X4509" s="318"/>
      <c r="Y4509" s="318"/>
      <c r="Z4509" s="318"/>
      <c r="AA4509" s="318"/>
      <c r="AB4509" s="318"/>
      <c r="AC4509" s="318"/>
      <c r="AD4509" s="318"/>
    </row>
    <row r="4510" spans="2:30" s="323" customFormat="1" ht="12" customHeight="1">
      <c r="B4510" s="324"/>
      <c r="C4510" s="325"/>
      <c r="D4510" s="326"/>
      <c r="E4510" s="326"/>
      <c r="F4510" s="326"/>
      <c r="G4510" s="326"/>
      <c r="H4510" s="326"/>
      <c r="P4510" s="318"/>
      <c r="Q4510" s="318"/>
      <c r="R4510" s="318"/>
      <c r="S4510" s="318"/>
      <c r="T4510" s="318"/>
      <c r="U4510" s="318"/>
      <c r="V4510" s="318"/>
      <c r="W4510" s="318"/>
      <c r="X4510" s="318"/>
      <c r="Y4510" s="318"/>
      <c r="Z4510" s="318"/>
      <c r="AA4510" s="318"/>
      <c r="AB4510" s="318"/>
      <c r="AC4510" s="318"/>
      <c r="AD4510" s="318"/>
    </row>
    <row r="4511" spans="2:30" s="323" customFormat="1" ht="12" customHeight="1">
      <c r="B4511" s="324"/>
      <c r="C4511" s="325"/>
      <c r="D4511" s="326"/>
      <c r="E4511" s="326"/>
      <c r="F4511" s="326"/>
      <c r="G4511" s="326"/>
      <c r="H4511" s="326"/>
      <c r="P4511" s="318"/>
      <c r="Q4511" s="318"/>
      <c r="R4511" s="318"/>
      <c r="S4511" s="318"/>
      <c r="T4511" s="318"/>
      <c r="U4511" s="318"/>
      <c r="V4511" s="318"/>
      <c r="W4511" s="318"/>
      <c r="X4511" s="318"/>
      <c r="Y4511" s="318"/>
      <c r="Z4511" s="318"/>
      <c r="AA4511" s="318"/>
      <c r="AB4511" s="318"/>
      <c r="AC4511" s="318"/>
      <c r="AD4511" s="318"/>
    </row>
    <row r="4512" spans="2:30" s="323" customFormat="1" ht="12" customHeight="1">
      <c r="B4512" s="324"/>
      <c r="C4512" s="325"/>
      <c r="D4512" s="326"/>
      <c r="E4512" s="326"/>
      <c r="F4512" s="326"/>
      <c r="G4512" s="326"/>
      <c r="H4512" s="326"/>
      <c r="P4512" s="318"/>
      <c r="Q4512" s="318"/>
      <c r="R4512" s="318"/>
      <c r="S4512" s="318"/>
      <c r="T4512" s="318"/>
      <c r="U4512" s="318"/>
      <c r="V4512" s="318"/>
      <c r="W4512" s="318"/>
      <c r="X4512" s="318"/>
      <c r="Y4512" s="318"/>
      <c r="Z4512" s="318"/>
      <c r="AA4512" s="318"/>
      <c r="AB4512" s="318"/>
      <c r="AC4512" s="318"/>
      <c r="AD4512" s="318"/>
    </row>
    <row r="4513" spans="2:30" s="323" customFormat="1" ht="12" customHeight="1">
      <c r="B4513" s="324"/>
      <c r="C4513" s="325"/>
      <c r="D4513" s="326"/>
      <c r="E4513" s="326"/>
      <c r="F4513" s="326"/>
      <c r="G4513" s="326"/>
      <c r="H4513" s="326"/>
      <c r="P4513" s="318"/>
      <c r="Q4513" s="318"/>
      <c r="R4513" s="318"/>
      <c r="S4513" s="318"/>
      <c r="T4513" s="318"/>
      <c r="U4513" s="318"/>
      <c r="V4513" s="318"/>
      <c r="W4513" s="318"/>
      <c r="X4513" s="318"/>
      <c r="Y4513" s="318"/>
      <c r="Z4513" s="318"/>
      <c r="AA4513" s="318"/>
      <c r="AB4513" s="318"/>
      <c r="AC4513" s="318"/>
      <c r="AD4513" s="318"/>
    </row>
    <row r="4514" spans="2:30" s="323" customFormat="1" ht="12" customHeight="1">
      <c r="B4514" s="324"/>
      <c r="C4514" s="325"/>
      <c r="D4514" s="326"/>
      <c r="E4514" s="326"/>
      <c r="F4514" s="326"/>
      <c r="G4514" s="326"/>
      <c r="H4514" s="326"/>
      <c r="P4514" s="318"/>
      <c r="Q4514" s="318"/>
      <c r="R4514" s="318"/>
      <c r="S4514" s="318"/>
      <c r="T4514" s="318"/>
      <c r="U4514" s="318"/>
      <c r="V4514" s="318"/>
      <c r="W4514" s="318"/>
      <c r="X4514" s="318"/>
      <c r="Y4514" s="318"/>
      <c r="Z4514" s="318"/>
      <c r="AA4514" s="318"/>
      <c r="AB4514" s="318"/>
      <c r="AC4514" s="318"/>
      <c r="AD4514" s="318"/>
    </row>
    <row r="4515" spans="2:30" s="323" customFormat="1" ht="12" customHeight="1">
      <c r="B4515" s="324"/>
      <c r="C4515" s="325"/>
      <c r="D4515" s="326"/>
      <c r="E4515" s="326"/>
      <c r="F4515" s="326"/>
      <c r="G4515" s="326"/>
      <c r="H4515" s="326"/>
      <c r="P4515" s="318"/>
      <c r="Q4515" s="318"/>
      <c r="R4515" s="318"/>
      <c r="S4515" s="318"/>
      <c r="T4515" s="318"/>
      <c r="U4515" s="318"/>
      <c r="V4515" s="318"/>
      <c r="W4515" s="318"/>
      <c r="X4515" s="318"/>
      <c r="Y4515" s="318"/>
      <c r="Z4515" s="318"/>
      <c r="AA4515" s="318"/>
      <c r="AB4515" s="318"/>
      <c r="AC4515" s="318"/>
      <c r="AD4515" s="318"/>
    </row>
    <row r="4516" spans="2:30" s="323" customFormat="1" ht="12" customHeight="1">
      <c r="B4516" s="324"/>
      <c r="C4516" s="325"/>
      <c r="D4516" s="326"/>
      <c r="E4516" s="326"/>
      <c r="F4516" s="326"/>
      <c r="G4516" s="326"/>
      <c r="H4516" s="326"/>
      <c r="P4516" s="318"/>
      <c r="Q4516" s="318"/>
      <c r="R4516" s="318"/>
      <c r="S4516" s="318"/>
      <c r="T4516" s="318"/>
      <c r="U4516" s="318"/>
      <c r="V4516" s="318"/>
      <c r="W4516" s="318"/>
      <c r="X4516" s="318"/>
      <c r="Y4516" s="318"/>
      <c r="Z4516" s="318"/>
      <c r="AA4516" s="318"/>
      <c r="AB4516" s="318"/>
      <c r="AC4516" s="318"/>
      <c r="AD4516" s="318"/>
    </row>
    <row r="4517" spans="2:30" s="323" customFormat="1" ht="12" customHeight="1">
      <c r="B4517" s="324"/>
      <c r="C4517" s="325"/>
      <c r="D4517" s="326"/>
      <c r="E4517" s="326"/>
      <c r="F4517" s="326"/>
      <c r="G4517" s="326"/>
      <c r="H4517" s="326"/>
      <c r="P4517" s="318"/>
      <c r="Q4517" s="318"/>
      <c r="R4517" s="318"/>
      <c r="S4517" s="318"/>
      <c r="T4517" s="318"/>
      <c r="U4517" s="318"/>
      <c r="V4517" s="318"/>
      <c r="W4517" s="318"/>
      <c r="X4517" s="318"/>
      <c r="Y4517" s="318"/>
      <c r="Z4517" s="318"/>
      <c r="AA4517" s="318"/>
      <c r="AB4517" s="318"/>
      <c r="AC4517" s="318"/>
      <c r="AD4517" s="318"/>
    </row>
    <row r="4518" spans="2:30" s="323" customFormat="1" ht="12" customHeight="1">
      <c r="B4518" s="324"/>
      <c r="C4518" s="325"/>
      <c r="D4518" s="326"/>
      <c r="E4518" s="326"/>
      <c r="F4518" s="326"/>
      <c r="G4518" s="326"/>
      <c r="H4518" s="326"/>
      <c r="P4518" s="318"/>
      <c r="Q4518" s="318"/>
      <c r="R4518" s="318"/>
      <c r="S4518" s="318"/>
      <c r="T4518" s="318"/>
      <c r="U4518" s="318"/>
      <c r="V4518" s="318"/>
      <c r="W4518" s="318"/>
      <c r="X4518" s="318"/>
      <c r="Y4518" s="318"/>
      <c r="Z4518" s="318"/>
      <c r="AA4518" s="318"/>
      <c r="AB4518" s="318"/>
      <c r="AC4518" s="318"/>
      <c r="AD4518" s="318"/>
    </row>
    <row r="4519" spans="2:30" s="323" customFormat="1" ht="12" customHeight="1">
      <c r="B4519" s="324"/>
      <c r="C4519" s="325"/>
      <c r="D4519" s="326"/>
      <c r="E4519" s="326"/>
      <c r="F4519" s="326"/>
      <c r="G4519" s="326"/>
      <c r="H4519" s="326"/>
      <c r="P4519" s="318"/>
      <c r="Q4519" s="318"/>
      <c r="R4519" s="318"/>
      <c r="S4519" s="318"/>
      <c r="T4519" s="318"/>
      <c r="U4519" s="318"/>
      <c r="V4519" s="318"/>
      <c r="W4519" s="318"/>
      <c r="X4519" s="318"/>
      <c r="Y4519" s="318"/>
      <c r="Z4519" s="318"/>
      <c r="AA4519" s="318"/>
      <c r="AB4519" s="318"/>
      <c r="AC4519" s="318"/>
      <c r="AD4519" s="318"/>
    </row>
    <row r="4520" spans="2:30" s="323" customFormat="1" ht="12" customHeight="1">
      <c r="B4520" s="324"/>
      <c r="C4520" s="325"/>
      <c r="D4520" s="326"/>
      <c r="E4520" s="326"/>
      <c r="F4520" s="326"/>
      <c r="G4520" s="326"/>
      <c r="H4520" s="326"/>
      <c r="P4520" s="318"/>
      <c r="Q4520" s="318"/>
      <c r="R4520" s="318"/>
      <c r="S4520" s="318"/>
      <c r="T4520" s="318"/>
      <c r="U4520" s="318"/>
      <c r="V4520" s="318"/>
      <c r="W4520" s="318"/>
      <c r="X4520" s="318"/>
      <c r="Y4520" s="318"/>
      <c r="Z4520" s="318"/>
      <c r="AA4520" s="318"/>
      <c r="AB4520" s="318"/>
      <c r="AC4520" s="318"/>
      <c r="AD4520" s="318"/>
    </row>
    <row r="4521" spans="2:30" s="323" customFormat="1" ht="12" customHeight="1">
      <c r="B4521" s="324"/>
      <c r="C4521" s="325"/>
      <c r="D4521" s="326"/>
      <c r="E4521" s="326"/>
      <c r="F4521" s="326"/>
      <c r="G4521" s="326"/>
      <c r="H4521" s="326"/>
      <c r="P4521" s="318"/>
      <c r="Q4521" s="318"/>
      <c r="R4521" s="318"/>
      <c r="S4521" s="318"/>
      <c r="T4521" s="318"/>
      <c r="U4521" s="318"/>
      <c r="V4521" s="318"/>
      <c r="W4521" s="318"/>
      <c r="X4521" s="318"/>
      <c r="Y4521" s="318"/>
      <c r="Z4521" s="318"/>
      <c r="AA4521" s="318"/>
      <c r="AB4521" s="318"/>
      <c r="AC4521" s="318"/>
      <c r="AD4521" s="318"/>
    </row>
    <row r="4522" spans="2:30" s="323" customFormat="1" ht="12" customHeight="1">
      <c r="B4522" s="324"/>
      <c r="C4522" s="325"/>
      <c r="D4522" s="326"/>
      <c r="E4522" s="326"/>
      <c r="F4522" s="326"/>
      <c r="G4522" s="326"/>
      <c r="H4522" s="326"/>
      <c r="P4522" s="318"/>
      <c r="Q4522" s="318"/>
      <c r="R4522" s="318"/>
      <c r="S4522" s="318"/>
      <c r="T4522" s="318"/>
      <c r="U4522" s="318"/>
      <c r="V4522" s="318"/>
      <c r="W4522" s="318"/>
      <c r="X4522" s="318"/>
      <c r="Y4522" s="318"/>
      <c r="Z4522" s="318"/>
      <c r="AA4522" s="318"/>
      <c r="AB4522" s="318"/>
      <c r="AC4522" s="318"/>
      <c r="AD4522" s="318"/>
    </row>
    <row r="4523" spans="2:30" s="323" customFormat="1" ht="12" customHeight="1">
      <c r="B4523" s="324"/>
      <c r="C4523" s="325"/>
      <c r="D4523" s="326"/>
      <c r="E4523" s="326"/>
      <c r="F4523" s="326"/>
      <c r="G4523" s="326"/>
      <c r="H4523" s="326"/>
      <c r="P4523" s="318"/>
      <c r="Q4523" s="318"/>
      <c r="R4523" s="318"/>
      <c r="S4523" s="318"/>
      <c r="T4523" s="318"/>
      <c r="U4523" s="318"/>
      <c r="V4523" s="318"/>
      <c r="W4523" s="318"/>
      <c r="X4523" s="318"/>
      <c r="Y4523" s="318"/>
      <c r="Z4523" s="318"/>
      <c r="AA4523" s="318"/>
      <c r="AB4523" s="318"/>
      <c r="AC4523" s="318"/>
      <c r="AD4523" s="318"/>
    </row>
    <row r="4524" spans="2:30" s="323" customFormat="1" ht="12" customHeight="1">
      <c r="B4524" s="324"/>
      <c r="C4524" s="325"/>
      <c r="D4524" s="326"/>
      <c r="E4524" s="326"/>
      <c r="F4524" s="326"/>
      <c r="G4524" s="326"/>
      <c r="H4524" s="326"/>
      <c r="P4524" s="318"/>
      <c r="Q4524" s="318"/>
      <c r="R4524" s="318"/>
      <c r="S4524" s="318"/>
      <c r="T4524" s="318"/>
      <c r="U4524" s="318"/>
      <c r="V4524" s="318"/>
      <c r="W4524" s="318"/>
      <c r="X4524" s="318"/>
      <c r="Y4524" s="318"/>
      <c r="Z4524" s="318"/>
      <c r="AA4524" s="318"/>
      <c r="AB4524" s="318"/>
      <c r="AC4524" s="318"/>
      <c r="AD4524" s="318"/>
    </row>
    <row r="4525" spans="2:30" s="323" customFormat="1" ht="12" customHeight="1">
      <c r="B4525" s="324"/>
      <c r="C4525" s="325"/>
      <c r="D4525" s="326"/>
      <c r="E4525" s="326"/>
      <c r="F4525" s="326"/>
      <c r="G4525" s="326"/>
      <c r="H4525" s="326"/>
      <c r="P4525" s="318"/>
      <c r="Q4525" s="318"/>
      <c r="R4525" s="318"/>
      <c r="S4525" s="318"/>
      <c r="T4525" s="318"/>
      <c r="U4525" s="318"/>
      <c r="V4525" s="318"/>
      <c r="W4525" s="318"/>
      <c r="X4525" s="318"/>
      <c r="Y4525" s="318"/>
      <c r="Z4525" s="318"/>
      <c r="AA4525" s="318"/>
      <c r="AB4525" s="318"/>
      <c r="AC4525" s="318"/>
      <c r="AD4525" s="318"/>
    </row>
    <row r="4526" spans="2:30" s="323" customFormat="1" ht="12" customHeight="1">
      <c r="B4526" s="324"/>
      <c r="C4526" s="325"/>
      <c r="D4526" s="326"/>
      <c r="E4526" s="326"/>
      <c r="F4526" s="326"/>
      <c r="G4526" s="326"/>
      <c r="H4526" s="326"/>
      <c r="P4526" s="318"/>
      <c r="Q4526" s="318"/>
      <c r="R4526" s="318"/>
      <c r="S4526" s="318"/>
      <c r="T4526" s="318"/>
      <c r="U4526" s="318"/>
      <c r="V4526" s="318"/>
      <c r="W4526" s="318"/>
      <c r="X4526" s="318"/>
      <c r="Y4526" s="318"/>
      <c r="Z4526" s="318"/>
      <c r="AA4526" s="318"/>
      <c r="AB4526" s="318"/>
      <c r="AC4526" s="318"/>
      <c r="AD4526" s="318"/>
    </row>
    <row r="4527" spans="2:30" s="323" customFormat="1" ht="12" customHeight="1">
      <c r="B4527" s="324"/>
      <c r="C4527" s="325"/>
      <c r="D4527" s="326"/>
      <c r="E4527" s="326"/>
      <c r="F4527" s="326"/>
      <c r="G4527" s="326"/>
      <c r="H4527" s="326"/>
      <c r="P4527" s="318"/>
      <c r="Q4527" s="318"/>
      <c r="R4527" s="318"/>
      <c r="S4527" s="318"/>
      <c r="T4527" s="318"/>
      <c r="U4527" s="318"/>
      <c r="V4527" s="318"/>
      <c r="W4527" s="318"/>
      <c r="X4527" s="318"/>
      <c r="Y4527" s="318"/>
      <c r="Z4527" s="318"/>
      <c r="AA4527" s="318"/>
      <c r="AB4527" s="318"/>
      <c r="AC4527" s="318"/>
      <c r="AD4527" s="318"/>
    </row>
    <row r="4528" spans="2:30" s="323" customFormat="1" ht="12" customHeight="1">
      <c r="B4528" s="324"/>
      <c r="C4528" s="325"/>
      <c r="D4528" s="326"/>
      <c r="E4528" s="326"/>
      <c r="F4528" s="326"/>
      <c r="G4528" s="326"/>
      <c r="H4528" s="326"/>
      <c r="P4528" s="318"/>
      <c r="Q4528" s="318"/>
      <c r="R4528" s="318"/>
      <c r="S4528" s="318"/>
      <c r="T4528" s="318"/>
      <c r="U4528" s="318"/>
      <c r="V4528" s="318"/>
      <c r="W4528" s="318"/>
      <c r="X4528" s="318"/>
      <c r="Y4528" s="318"/>
      <c r="Z4528" s="318"/>
      <c r="AA4528" s="318"/>
      <c r="AB4528" s="318"/>
      <c r="AC4528" s="318"/>
      <c r="AD4528" s="318"/>
    </row>
    <row r="4529" spans="2:30" s="323" customFormat="1" ht="12" customHeight="1">
      <c r="B4529" s="324"/>
      <c r="C4529" s="325"/>
      <c r="D4529" s="326"/>
      <c r="E4529" s="326"/>
      <c r="F4529" s="326"/>
      <c r="G4529" s="326"/>
      <c r="H4529" s="326"/>
      <c r="P4529" s="318"/>
      <c r="Q4529" s="318"/>
      <c r="R4529" s="318"/>
      <c r="S4529" s="318"/>
      <c r="T4529" s="318"/>
      <c r="U4529" s="318"/>
      <c r="V4529" s="318"/>
      <c r="W4529" s="318"/>
      <c r="X4529" s="318"/>
      <c r="Y4529" s="318"/>
      <c r="Z4529" s="318"/>
      <c r="AA4529" s="318"/>
      <c r="AB4529" s="318"/>
      <c r="AC4529" s="318"/>
      <c r="AD4529" s="318"/>
    </row>
    <row r="4530" spans="2:30" s="323" customFormat="1" ht="12" customHeight="1">
      <c r="B4530" s="324"/>
      <c r="C4530" s="325"/>
      <c r="D4530" s="326"/>
      <c r="E4530" s="326"/>
      <c r="F4530" s="326"/>
      <c r="G4530" s="326"/>
      <c r="H4530" s="326"/>
      <c r="P4530" s="318"/>
      <c r="Q4530" s="318"/>
      <c r="R4530" s="318"/>
      <c r="S4530" s="318"/>
      <c r="T4530" s="318"/>
      <c r="U4530" s="318"/>
      <c r="V4530" s="318"/>
      <c r="W4530" s="318"/>
      <c r="X4530" s="318"/>
      <c r="Y4530" s="318"/>
      <c r="Z4530" s="318"/>
      <c r="AA4530" s="318"/>
      <c r="AB4530" s="318"/>
      <c r="AC4530" s="318"/>
      <c r="AD4530" s="318"/>
    </row>
    <row r="4531" spans="2:30" s="323" customFormat="1" ht="12" customHeight="1">
      <c r="B4531" s="324"/>
      <c r="C4531" s="325"/>
      <c r="D4531" s="326"/>
      <c r="E4531" s="326"/>
      <c r="F4531" s="326"/>
      <c r="G4531" s="326"/>
      <c r="H4531" s="326"/>
      <c r="P4531" s="318"/>
      <c r="Q4531" s="318"/>
      <c r="R4531" s="318"/>
      <c r="S4531" s="318"/>
      <c r="T4531" s="318"/>
      <c r="U4531" s="318"/>
      <c r="V4531" s="318"/>
      <c r="W4531" s="318"/>
      <c r="X4531" s="318"/>
      <c r="Y4531" s="318"/>
      <c r="Z4531" s="318"/>
      <c r="AA4531" s="318"/>
      <c r="AB4531" s="318"/>
      <c r="AC4531" s="318"/>
      <c r="AD4531" s="318"/>
    </row>
    <row r="4532" spans="2:30" s="323" customFormat="1" ht="12" customHeight="1">
      <c r="B4532" s="324"/>
      <c r="C4532" s="325"/>
      <c r="D4532" s="326"/>
      <c r="E4532" s="326"/>
      <c r="F4532" s="326"/>
      <c r="G4532" s="326"/>
      <c r="H4532" s="326"/>
      <c r="P4532" s="318"/>
      <c r="Q4532" s="318"/>
      <c r="R4532" s="318"/>
      <c r="S4532" s="318"/>
      <c r="T4532" s="318"/>
      <c r="U4532" s="318"/>
      <c r="V4532" s="318"/>
      <c r="W4532" s="318"/>
      <c r="X4532" s="318"/>
      <c r="Y4532" s="318"/>
      <c r="Z4532" s="318"/>
      <c r="AA4532" s="318"/>
      <c r="AB4532" s="318"/>
      <c r="AC4532" s="318"/>
      <c r="AD4532" s="318"/>
    </row>
    <row r="4533" spans="2:30" s="323" customFormat="1" ht="12" customHeight="1">
      <c r="B4533" s="324"/>
      <c r="C4533" s="325"/>
      <c r="D4533" s="326"/>
      <c r="E4533" s="326"/>
      <c r="F4533" s="326"/>
      <c r="G4533" s="326"/>
      <c r="H4533" s="326"/>
      <c r="P4533" s="318"/>
      <c r="Q4533" s="318"/>
      <c r="R4533" s="318"/>
      <c r="S4533" s="318"/>
      <c r="T4533" s="318"/>
      <c r="U4533" s="318"/>
      <c r="V4533" s="318"/>
      <c r="W4533" s="318"/>
      <c r="X4533" s="318"/>
      <c r="Y4533" s="318"/>
      <c r="Z4533" s="318"/>
      <c r="AA4533" s="318"/>
      <c r="AB4533" s="318"/>
      <c r="AC4533" s="318"/>
      <c r="AD4533" s="318"/>
    </row>
    <row r="4534" spans="2:30" s="323" customFormat="1" ht="12" customHeight="1">
      <c r="B4534" s="324"/>
      <c r="C4534" s="325"/>
      <c r="D4534" s="326"/>
      <c r="E4534" s="326"/>
      <c r="F4534" s="326"/>
      <c r="G4534" s="326"/>
      <c r="H4534" s="326"/>
      <c r="P4534" s="318"/>
      <c r="Q4534" s="318"/>
      <c r="R4534" s="318"/>
      <c r="S4534" s="318"/>
      <c r="T4534" s="318"/>
      <c r="U4534" s="318"/>
      <c r="V4534" s="318"/>
      <c r="W4534" s="318"/>
      <c r="X4534" s="318"/>
      <c r="Y4534" s="318"/>
      <c r="Z4534" s="318"/>
      <c r="AA4534" s="318"/>
      <c r="AB4534" s="318"/>
      <c r="AC4534" s="318"/>
      <c r="AD4534" s="318"/>
    </row>
    <row r="4535" spans="2:30" s="323" customFormat="1" ht="12" customHeight="1">
      <c r="B4535" s="324"/>
      <c r="C4535" s="325"/>
      <c r="D4535" s="326"/>
      <c r="E4535" s="326"/>
      <c r="F4535" s="326"/>
      <c r="G4535" s="326"/>
      <c r="H4535" s="326"/>
      <c r="P4535" s="318"/>
      <c r="Q4535" s="318"/>
      <c r="R4535" s="318"/>
      <c r="S4535" s="318"/>
      <c r="T4535" s="318"/>
      <c r="U4535" s="318"/>
      <c r="V4535" s="318"/>
      <c r="W4535" s="318"/>
      <c r="X4535" s="318"/>
      <c r="Y4535" s="318"/>
      <c r="Z4535" s="318"/>
      <c r="AA4535" s="318"/>
      <c r="AB4535" s="318"/>
      <c r="AC4535" s="318"/>
      <c r="AD4535" s="318"/>
    </row>
    <row r="4536" spans="2:30" s="323" customFormat="1" ht="12" customHeight="1">
      <c r="B4536" s="324"/>
      <c r="C4536" s="325"/>
      <c r="D4536" s="326"/>
      <c r="E4536" s="326"/>
      <c r="F4536" s="326"/>
      <c r="G4536" s="326"/>
      <c r="H4536" s="326"/>
      <c r="P4536" s="318"/>
      <c r="Q4536" s="318"/>
      <c r="R4536" s="318"/>
      <c r="S4536" s="318"/>
      <c r="T4536" s="318"/>
      <c r="U4536" s="318"/>
      <c r="V4536" s="318"/>
      <c r="W4536" s="318"/>
      <c r="X4536" s="318"/>
      <c r="Y4536" s="318"/>
      <c r="Z4536" s="318"/>
      <c r="AA4536" s="318"/>
      <c r="AB4536" s="318"/>
      <c r="AC4536" s="318"/>
      <c r="AD4536" s="318"/>
    </row>
    <row r="4537" spans="2:30" s="323" customFormat="1" ht="12" customHeight="1">
      <c r="B4537" s="324"/>
      <c r="C4537" s="325"/>
      <c r="D4537" s="326"/>
      <c r="E4537" s="326"/>
      <c r="F4537" s="326"/>
      <c r="G4537" s="326"/>
      <c r="H4537" s="326"/>
      <c r="P4537" s="318"/>
      <c r="Q4537" s="318"/>
      <c r="R4537" s="318"/>
      <c r="S4537" s="318"/>
      <c r="T4537" s="318"/>
      <c r="U4537" s="318"/>
      <c r="V4537" s="318"/>
      <c r="W4537" s="318"/>
      <c r="X4537" s="318"/>
      <c r="Y4537" s="318"/>
      <c r="Z4537" s="318"/>
      <c r="AA4537" s="318"/>
      <c r="AB4537" s="318"/>
      <c r="AC4537" s="318"/>
      <c r="AD4537" s="318"/>
    </row>
    <row r="4538" spans="2:30" s="323" customFormat="1" ht="12" customHeight="1">
      <c r="B4538" s="324"/>
      <c r="C4538" s="325"/>
      <c r="D4538" s="326"/>
      <c r="E4538" s="326"/>
      <c r="F4538" s="326"/>
      <c r="G4538" s="326"/>
      <c r="H4538" s="326"/>
      <c r="P4538" s="318"/>
      <c r="Q4538" s="318"/>
      <c r="R4538" s="318"/>
      <c r="S4538" s="318"/>
      <c r="T4538" s="318"/>
      <c r="U4538" s="318"/>
      <c r="V4538" s="318"/>
      <c r="W4538" s="318"/>
      <c r="X4538" s="318"/>
      <c r="Y4538" s="318"/>
      <c r="Z4538" s="318"/>
      <c r="AA4538" s="318"/>
      <c r="AB4538" s="318"/>
      <c r="AC4538" s="318"/>
      <c r="AD4538" s="318"/>
    </row>
    <row r="4539" spans="2:30" s="323" customFormat="1" ht="12" customHeight="1">
      <c r="B4539" s="324"/>
      <c r="C4539" s="325"/>
      <c r="D4539" s="326"/>
      <c r="E4539" s="326"/>
      <c r="F4539" s="326"/>
      <c r="G4539" s="326"/>
      <c r="H4539" s="326"/>
      <c r="P4539" s="318"/>
      <c r="Q4539" s="318"/>
      <c r="R4539" s="318"/>
      <c r="S4539" s="318"/>
      <c r="T4539" s="318"/>
      <c r="U4539" s="318"/>
      <c r="V4539" s="318"/>
      <c r="W4539" s="318"/>
      <c r="X4539" s="318"/>
      <c r="Y4539" s="318"/>
      <c r="Z4539" s="318"/>
      <c r="AA4539" s="318"/>
      <c r="AB4539" s="318"/>
      <c r="AC4539" s="318"/>
      <c r="AD4539" s="318"/>
    </row>
    <row r="4540" spans="2:30" s="323" customFormat="1" ht="12" customHeight="1">
      <c r="B4540" s="324"/>
      <c r="C4540" s="325"/>
      <c r="D4540" s="326"/>
      <c r="E4540" s="326"/>
      <c r="F4540" s="326"/>
      <c r="G4540" s="326"/>
      <c r="H4540" s="326"/>
      <c r="P4540" s="318"/>
      <c r="Q4540" s="318"/>
      <c r="R4540" s="318"/>
      <c r="S4540" s="318"/>
      <c r="T4540" s="318"/>
      <c r="U4540" s="318"/>
      <c r="V4540" s="318"/>
      <c r="W4540" s="318"/>
      <c r="X4540" s="318"/>
      <c r="Y4540" s="318"/>
      <c r="Z4540" s="318"/>
      <c r="AA4540" s="318"/>
      <c r="AB4540" s="318"/>
      <c r="AC4540" s="318"/>
      <c r="AD4540" s="318"/>
    </row>
    <row r="4541" spans="2:30" s="323" customFormat="1" ht="12" customHeight="1">
      <c r="B4541" s="324"/>
      <c r="C4541" s="325"/>
      <c r="D4541" s="326"/>
      <c r="E4541" s="326"/>
      <c r="F4541" s="326"/>
      <c r="G4541" s="326"/>
      <c r="H4541" s="326"/>
      <c r="P4541" s="318"/>
      <c r="Q4541" s="318"/>
      <c r="R4541" s="318"/>
      <c r="S4541" s="318"/>
      <c r="T4541" s="318"/>
      <c r="U4541" s="318"/>
      <c r="V4541" s="318"/>
      <c r="W4541" s="318"/>
      <c r="X4541" s="318"/>
      <c r="Y4541" s="318"/>
      <c r="Z4541" s="318"/>
      <c r="AA4541" s="318"/>
      <c r="AB4541" s="318"/>
      <c r="AC4541" s="318"/>
      <c r="AD4541" s="318"/>
    </row>
    <row r="4542" spans="2:30" s="323" customFormat="1" ht="12" customHeight="1">
      <c r="B4542" s="324"/>
      <c r="C4542" s="325"/>
      <c r="D4542" s="326"/>
      <c r="E4542" s="326"/>
      <c r="F4542" s="326"/>
      <c r="G4542" s="326"/>
      <c r="H4542" s="326"/>
      <c r="P4542" s="318"/>
      <c r="Q4542" s="318"/>
      <c r="R4542" s="318"/>
      <c r="S4542" s="318"/>
      <c r="T4542" s="318"/>
      <c r="U4542" s="318"/>
      <c r="V4542" s="318"/>
      <c r="W4542" s="318"/>
      <c r="X4542" s="318"/>
      <c r="Y4542" s="318"/>
      <c r="Z4542" s="318"/>
      <c r="AA4542" s="318"/>
      <c r="AB4542" s="318"/>
      <c r="AC4542" s="318"/>
      <c r="AD4542" s="318"/>
    </row>
    <row r="4543" spans="2:30" s="323" customFormat="1" ht="12" customHeight="1">
      <c r="B4543" s="324"/>
      <c r="C4543" s="325"/>
      <c r="D4543" s="326"/>
      <c r="E4543" s="326"/>
      <c r="F4543" s="326"/>
      <c r="G4543" s="326"/>
      <c r="H4543" s="326"/>
      <c r="P4543" s="318"/>
      <c r="Q4543" s="318"/>
      <c r="R4543" s="318"/>
      <c r="S4543" s="318"/>
      <c r="T4543" s="318"/>
      <c r="U4543" s="318"/>
      <c r="V4543" s="318"/>
      <c r="W4543" s="318"/>
      <c r="X4543" s="318"/>
      <c r="Y4543" s="318"/>
      <c r="Z4543" s="318"/>
      <c r="AA4543" s="318"/>
      <c r="AB4543" s="318"/>
      <c r="AC4543" s="318"/>
      <c r="AD4543" s="318"/>
    </row>
    <row r="4544" spans="2:30" s="323" customFormat="1" ht="12" customHeight="1">
      <c r="B4544" s="324"/>
      <c r="C4544" s="325"/>
      <c r="D4544" s="326"/>
      <c r="E4544" s="326"/>
      <c r="F4544" s="326"/>
      <c r="G4544" s="326"/>
      <c r="H4544" s="326"/>
      <c r="P4544" s="318"/>
      <c r="Q4544" s="318"/>
      <c r="R4544" s="318"/>
      <c r="S4544" s="318"/>
      <c r="T4544" s="318"/>
      <c r="U4544" s="318"/>
      <c r="V4544" s="318"/>
      <c r="W4544" s="318"/>
      <c r="X4544" s="318"/>
      <c r="Y4544" s="318"/>
      <c r="Z4544" s="318"/>
      <c r="AA4544" s="318"/>
      <c r="AB4544" s="318"/>
      <c r="AC4544" s="318"/>
      <c r="AD4544" s="318"/>
    </row>
    <row r="4545" spans="2:30" s="323" customFormat="1" ht="12" customHeight="1">
      <c r="B4545" s="324"/>
      <c r="C4545" s="325"/>
      <c r="D4545" s="326"/>
      <c r="E4545" s="326"/>
      <c r="F4545" s="326"/>
      <c r="G4545" s="326"/>
      <c r="H4545" s="326"/>
      <c r="P4545" s="318"/>
      <c r="Q4545" s="318"/>
      <c r="R4545" s="318"/>
      <c r="S4545" s="318"/>
      <c r="T4545" s="318"/>
      <c r="U4545" s="318"/>
      <c r="V4545" s="318"/>
      <c r="W4545" s="318"/>
      <c r="X4545" s="318"/>
      <c r="Y4545" s="318"/>
      <c r="Z4545" s="318"/>
      <c r="AA4545" s="318"/>
      <c r="AB4545" s="318"/>
      <c r="AC4545" s="318"/>
      <c r="AD4545" s="318"/>
    </row>
    <row r="4546" spans="2:30" s="323" customFormat="1" ht="12" customHeight="1">
      <c r="B4546" s="324"/>
      <c r="C4546" s="325"/>
      <c r="D4546" s="326"/>
      <c r="E4546" s="326"/>
      <c r="F4546" s="326"/>
      <c r="G4546" s="326"/>
      <c r="H4546" s="326"/>
      <c r="P4546" s="318"/>
      <c r="Q4546" s="318"/>
      <c r="R4546" s="318"/>
      <c r="S4546" s="318"/>
      <c r="T4546" s="318"/>
      <c r="U4546" s="318"/>
      <c r="V4546" s="318"/>
      <c r="W4546" s="318"/>
      <c r="X4546" s="318"/>
      <c r="Y4546" s="318"/>
      <c r="Z4546" s="318"/>
      <c r="AA4546" s="318"/>
      <c r="AB4546" s="318"/>
      <c r="AC4546" s="318"/>
      <c r="AD4546" s="318"/>
    </row>
    <row r="4547" spans="2:30" s="323" customFormat="1" ht="12" customHeight="1">
      <c r="B4547" s="324"/>
      <c r="C4547" s="325"/>
      <c r="D4547" s="326"/>
      <c r="E4547" s="326"/>
      <c r="F4547" s="326"/>
      <c r="G4547" s="326"/>
      <c r="H4547" s="326"/>
      <c r="P4547" s="318"/>
      <c r="Q4547" s="318"/>
      <c r="R4547" s="318"/>
      <c r="S4547" s="318"/>
      <c r="T4547" s="318"/>
      <c r="U4547" s="318"/>
      <c r="V4547" s="318"/>
      <c r="W4547" s="318"/>
      <c r="X4547" s="318"/>
      <c r="Y4547" s="318"/>
      <c r="Z4547" s="318"/>
      <c r="AA4547" s="318"/>
      <c r="AB4547" s="318"/>
      <c r="AC4547" s="318"/>
      <c r="AD4547" s="318"/>
    </row>
    <row r="4548" spans="2:30" s="323" customFormat="1" ht="12" customHeight="1">
      <c r="B4548" s="324"/>
      <c r="C4548" s="325"/>
      <c r="D4548" s="326"/>
      <c r="E4548" s="326"/>
      <c r="F4548" s="326"/>
      <c r="G4548" s="326"/>
      <c r="H4548" s="326"/>
      <c r="P4548" s="318"/>
      <c r="Q4548" s="318"/>
      <c r="R4548" s="318"/>
      <c r="S4548" s="318"/>
      <c r="T4548" s="318"/>
      <c r="U4548" s="318"/>
      <c r="V4548" s="318"/>
      <c r="W4548" s="318"/>
      <c r="X4548" s="318"/>
      <c r="Y4548" s="318"/>
      <c r="Z4548" s="318"/>
      <c r="AA4548" s="318"/>
      <c r="AB4548" s="318"/>
      <c r="AC4548" s="318"/>
      <c r="AD4548" s="318"/>
    </row>
    <row r="4549" spans="2:30" s="323" customFormat="1" ht="12" customHeight="1">
      <c r="B4549" s="324"/>
      <c r="C4549" s="325"/>
      <c r="D4549" s="326"/>
      <c r="E4549" s="326"/>
      <c r="F4549" s="326"/>
      <c r="G4549" s="326"/>
      <c r="H4549" s="326"/>
      <c r="P4549" s="318"/>
      <c r="Q4549" s="318"/>
      <c r="R4549" s="318"/>
      <c r="S4549" s="318"/>
      <c r="T4549" s="318"/>
      <c r="U4549" s="318"/>
      <c r="V4549" s="318"/>
      <c r="W4549" s="318"/>
      <c r="X4549" s="318"/>
      <c r="Y4549" s="318"/>
      <c r="Z4549" s="318"/>
      <c r="AA4549" s="318"/>
      <c r="AB4549" s="318"/>
      <c r="AC4549" s="318"/>
      <c r="AD4549" s="318"/>
    </row>
    <row r="4550" spans="2:30" s="323" customFormat="1" ht="12" customHeight="1">
      <c r="B4550" s="324"/>
      <c r="C4550" s="325"/>
      <c r="D4550" s="326"/>
      <c r="E4550" s="326"/>
      <c r="F4550" s="326"/>
      <c r="G4550" s="326"/>
      <c r="H4550" s="326"/>
      <c r="P4550" s="318"/>
      <c r="Q4550" s="318"/>
      <c r="R4550" s="318"/>
      <c r="S4550" s="318"/>
      <c r="T4550" s="318"/>
      <c r="U4550" s="318"/>
      <c r="V4550" s="318"/>
      <c r="W4550" s="318"/>
      <c r="X4550" s="318"/>
      <c r="Y4550" s="318"/>
      <c r="Z4550" s="318"/>
      <c r="AA4550" s="318"/>
      <c r="AB4550" s="318"/>
      <c r="AC4550" s="318"/>
      <c r="AD4550" s="318"/>
    </row>
    <row r="4551" spans="2:30" s="323" customFormat="1" ht="12" customHeight="1">
      <c r="B4551" s="324"/>
      <c r="C4551" s="325"/>
      <c r="D4551" s="326"/>
      <c r="E4551" s="326"/>
      <c r="F4551" s="326"/>
      <c r="G4551" s="326"/>
      <c r="H4551" s="326"/>
      <c r="P4551" s="318"/>
      <c r="Q4551" s="318"/>
      <c r="R4551" s="318"/>
      <c r="S4551" s="318"/>
      <c r="T4551" s="318"/>
      <c r="U4551" s="318"/>
      <c r="V4551" s="318"/>
      <c r="W4551" s="318"/>
      <c r="X4551" s="318"/>
      <c r="Y4551" s="318"/>
      <c r="Z4551" s="318"/>
      <c r="AA4551" s="318"/>
      <c r="AB4551" s="318"/>
      <c r="AC4551" s="318"/>
      <c r="AD4551" s="318"/>
    </row>
    <row r="4552" spans="2:30" s="323" customFormat="1" ht="12" customHeight="1">
      <c r="B4552" s="324"/>
      <c r="C4552" s="325"/>
      <c r="D4552" s="326"/>
      <c r="E4552" s="326"/>
      <c r="F4552" s="326"/>
      <c r="G4552" s="326"/>
      <c r="H4552" s="326"/>
      <c r="P4552" s="318"/>
      <c r="Q4552" s="318"/>
      <c r="R4552" s="318"/>
      <c r="S4552" s="318"/>
      <c r="T4552" s="318"/>
      <c r="U4552" s="318"/>
      <c r="V4552" s="318"/>
      <c r="W4552" s="318"/>
      <c r="X4552" s="318"/>
      <c r="Y4552" s="318"/>
      <c r="Z4552" s="318"/>
      <c r="AA4552" s="318"/>
      <c r="AB4552" s="318"/>
      <c r="AC4552" s="318"/>
      <c r="AD4552" s="318"/>
    </row>
    <row r="4553" spans="2:30" s="323" customFormat="1" ht="12" customHeight="1">
      <c r="B4553" s="324"/>
      <c r="C4553" s="325"/>
      <c r="D4553" s="326"/>
      <c r="E4553" s="326"/>
      <c r="F4553" s="326"/>
      <c r="G4553" s="326"/>
      <c r="H4553" s="326"/>
      <c r="P4553" s="318"/>
      <c r="Q4553" s="318"/>
      <c r="R4553" s="318"/>
      <c r="S4553" s="318"/>
      <c r="T4553" s="318"/>
      <c r="U4553" s="318"/>
      <c r="V4553" s="318"/>
      <c r="W4553" s="318"/>
      <c r="X4553" s="318"/>
      <c r="Y4553" s="318"/>
      <c r="Z4553" s="318"/>
      <c r="AA4553" s="318"/>
      <c r="AB4553" s="318"/>
      <c r="AC4553" s="318"/>
      <c r="AD4553" s="318"/>
    </row>
    <row r="4554" spans="2:30" s="323" customFormat="1" ht="12" customHeight="1">
      <c r="B4554" s="324"/>
      <c r="C4554" s="325"/>
      <c r="D4554" s="326"/>
      <c r="E4554" s="326"/>
      <c r="F4554" s="326"/>
      <c r="G4554" s="326"/>
      <c r="H4554" s="326"/>
      <c r="P4554" s="318"/>
      <c r="Q4554" s="318"/>
      <c r="R4554" s="318"/>
      <c r="S4554" s="318"/>
      <c r="T4554" s="318"/>
      <c r="U4554" s="318"/>
      <c r="V4554" s="318"/>
      <c r="W4554" s="318"/>
      <c r="X4554" s="318"/>
      <c r="Y4554" s="318"/>
      <c r="Z4554" s="318"/>
      <c r="AA4554" s="318"/>
      <c r="AB4554" s="318"/>
      <c r="AC4554" s="318"/>
      <c r="AD4554" s="318"/>
    </row>
    <row r="4555" spans="2:30" s="323" customFormat="1" ht="12" customHeight="1">
      <c r="B4555" s="324"/>
      <c r="C4555" s="325"/>
      <c r="D4555" s="326"/>
      <c r="E4555" s="326"/>
      <c r="F4555" s="326"/>
      <c r="G4555" s="326"/>
      <c r="H4555" s="326"/>
      <c r="P4555" s="318"/>
      <c r="Q4555" s="318"/>
      <c r="R4555" s="318"/>
      <c r="S4555" s="318"/>
      <c r="T4555" s="318"/>
      <c r="U4555" s="318"/>
      <c r="V4555" s="318"/>
      <c r="W4555" s="318"/>
      <c r="X4555" s="318"/>
      <c r="Y4555" s="318"/>
      <c r="Z4555" s="318"/>
      <c r="AA4555" s="318"/>
      <c r="AB4555" s="318"/>
      <c r="AC4555" s="318"/>
      <c r="AD4555" s="318"/>
    </row>
    <row r="4556" spans="2:30" s="323" customFormat="1" ht="12" customHeight="1">
      <c r="B4556" s="324"/>
      <c r="C4556" s="325"/>
      <c r="D4556" s="326"/>
      <c r="E4556" s="326"/>
      <c r="F4556" s="326"/>
      <c r="G4556" s="326"/>
      <c r="H4556" s="326"/>
      <c r="P4556" s="318"/>
      <c r="Q4556" s="318"/>
      <c r="R4556" s="318"/>
      <c r="S4556" s="318"/>
      <c r="T4556" s="318"/>
      <c r="U4556" s="318"/>
      <c r="V4556" s="318"/>
      <c r="W4556" s="318"/>
      <c r="X4556" s="318"/>
      <c r="Y4556" s="318"/>
      <c r="Z4556" s="318"/>
      <c r="AA4556" s="318"/>
      <c r="AB4556" s="318"/>
      <c r="AC4556" s="318"/>
      <c r="AD4556" s="318"/>
    </row>
    <row r="4557" spans="2:30" s="323" customFormat="1" ht="12" customHeight="1">
      <c r="B4557" s="324"/>
      <c r="C4557" s="325"/>
      <c r="D4557" s="326"/>
      <c r="E4557" s="326"/>
      <c r="F4557" s="326"/>
      <c r="G4557" s="326"/>
      <c r="H4557" s="326"/>
      <c r="P4557" s="318"/>
      <c r="Q4557" s="318"/>
      <c r="R4557" s="318"/>
      <c r="S4557" s="318"/>
      <c r="T4557" s="318"/>
      <c r="U4557" s="318"/>
      <c r="V4557" s="318"/>
      <c r="W4557" s="318"/>
      <c r="X4557" s="318"/>
      <c r="Y4557" s="318"/>
      <c r="Z4557" s="318"/>
      <c r="AA4557" s="318"/>
      <c r="AB4557" s="318"/>
      <c r="AC4557" s="318"/>
      <c r="AD4557" s="318"/>
    </row>
    <row r="4558" spans="2:30" s="323" customFormat="1" ht="12" customHeight="1">
      <c r="B4558" s="324"/>
      <c r="C4558" s="325"/>
      <c r="D4558" s="326"/>
      <c r="E4558" s="326"/>
      <c r="F4558" s="326"/>
      <c r="G4558" s="326"/>
      <c r="H4558" s="326"/>
      <c r="P4558" s="318"/>
      <c r="Q4558" s="318"/>
      <c r="R4558" s="318"/>
      <c r="S4558" s="318"/>
      <c r="T4558" s="318"/>
      <c r="U4558" s="318"/>
      <c r="V4558" s="318"/>
      <c r="W4558" s="318"/>
      <c r="X4558" s="318"/>
      <c r="Y4558" s="318"/>
      <c r="Z4558" s="318"/>
      <c r="AA4558" s="318"/>
      <c r="AB4558" s="318"/>
      <c r="AC4558" s="318"/>
      <c r="AD4558" s="318"/>
    </row>
    <row r="4559" spans="2:30" s="323" customFormat="1" ht="12" customHeight="1">
      <c r="B4559" s="324"/>
      <c r="C4559" s="325"/>
      <c r="D4559" s="326"/>
      <c r="E4559" s="326"/>
      <c r="F4559" s="326"/>
      <c r="G4559" s="326"/>
      <c r="H4559" s="326"/>
      <c r="P4559" s="318"/>
      <c r="Q4559" s="318"/>
      <c r="R4559" s="318"/>
      <c r="S4559" s="318"/>
      <c r="T4559" s="318"/>
      <c r="U4559" s="318"/>
      <c r="V4559" s="318"/>
      <c r="W4559" s="318"/>
      <c r="X4559" s="318"/>
      <c r="Y4559" s="318"/>
      <c r="Z4559" s="318"/>
      <c r="AA4559" s="318"/>
      <c r="AB4559" s="318"/>
      <c r="AC4559" s="318"/>
      <c r="AD4559" s="318"/>
    </row>
    <row r="4560" spans="2:30" s="323" customFormat="1" ht="12" customHeight="1">
      <c r="B4560" s="324"/>
      <c r="C4560" s="325"/>
      <c r="D4560" s="326"/>
      <c r="E4560" s="326"/>
      <c r="F4560" s="326"/>
      <c r="G4560" s="326"/>
      <c r="H4560" s="326"/>
      <c r="P4560" s="318"/>
      <c r="Q4560" s="318"/>
      <c r="R4560" s="318"/>
      <c r="S4560" s="318"/>
      <c r="T4560" s="318"/>
      <c r="U4560" s="318"/>
      <c r="V4560" s="318"/>
      <c r="W4560" s="318"/>
      <c r="X4560" s="318"/>
      <c r="Y4560" s="318"/>
      <c r="Z4560" s="318"/>
      <c r="AA4560" s="318"/>
      <c r="AB4560" s="318"/>
      <c r="AC4560" s="318"/>
      <c r="AD4560" s="318"/>
    </row>
    <row r="4561" spans="2:30" s="323" customFormat="1" ht="12" customHeight="1">
      <c r="B4561" s="324"/>
      <c r="C4561" s="325"/>
      <c r="D4561" s="326"/>
      <c r="E4561" s="326"/>
      <c r="F4561" s="326"/>
      <c r="G4561" s="326"/>
      <c r="H4561" s="326"/>
      <c r="P4561" s="318"/>
      <c r="Q4561" s="318"/>
      <c r="R4561" s="318"/>
      <c r="S4561" s="318"/>
      <c r="T4561" s="318"/>
      <c r="U4561" s="318"/>
      <c r="V4561" s="318"/>
      <c r="W4561" s="318"/>
      <c r="X4561" s="318"/>
      <c r="Y4561" s="318"/>
      <c r="Z4561" s="318"/>
      <c r="AA4561" s="318"/>
      <c r="AB4561" s="318"/>
      <c r="AC4561" s="318"/>
      <c r="AD4561" s="318"/>
    </row>
    <row r="4562" spans="2:30" s="323" customFormat="1" ht="12" customHeight="1">
      <c r="B4562" s="324"/>
      <c r="C4562" s="325"/>
      <c r="D4562" s="326"/>
      <c r="E4562" s="326"/>
      <c r="F4562" s="326"/>
      <c r="G4562" s="326"/>
      <c r="H4562" s="326"/>
      <c r="P4562" s="318"/>
      <c r="Q4562" s="318"/>
      <c r="R4562" s="318"/>
      <c r="S4562" s="318"/>
      <c r="T4562" s="318"/>
      <c r="U4562" s="318"/>
      <c r="V4562" s="318"/>
      <c r="W4562" s="318"/>
      <c r="X4562" s="318"/>
      <c r="Y4562" s="318"/>
      <c r="Z4562" s="318"/>
      <c r="AA4562" s="318"/>
      <c r="AB4562" s="318"/>
      <c r="AC4562" s="318"/>
      <c r="AD4562" s="318"/>
    </row>
    <row r="4563" spans="2:30" s="323" customFormat="1" ht="12" customHeight="1">
      <c r="B4563" s="324"/>
      <c r="C4563" s="325"/>
      <c r="D4563" s="326"/>
      <c r="E4563" s="326"/>
      <c r="F4563" s="326"/>
      <c r="G4563" s="326"/>
      <c r="H4563" s="326"/>
      <c r="P4563" s="318"/>
      <c r="Q4563" s="318"/>
      <c r="R4563" s="318"/>
      <c r="S4563" s="318"/>
      <c r="T4563" s="318"/>
      <c r="U4563" s="318"/>
      <c r="V4563" s="318"/>
      <c r="W4563" s="318"/>
      <c r="X4563" s="318"/>
      <c r="Y4563" s="318"/>
      <c r="Z4563" s="318"/>
      <c r="AA4563" s="318"/>
      <c r="AB4563" s="318"/>
      <c r="AC4563" s="318"/>
      <c r="AD4563" s="318"/>
    </row>
    <row r="4564" spans="2:30" s="323" customFormat="1" ht="12" customHeight="1">
      <c r="B4564" s="324"/>
      <c r="C4564" s="325"/>
      <c r="D4564" s="326"/>
      <c r="E4564" s="326"/>
      <c r="F4564" s="326"/>
      <c r="G4564" s="326"/>
      <c r="H4564" s="326"/>
      <c r="P4564" s="318"/>
      <c r="Q4564" s="318"/>
      <c r="R4564" s="318"/>
      <c r="S4564" s="318"/>
      <c r="T4564" s="318"/>
      <c r="U4564" s="318"/>
      <c r="V4564" s="318"/>
      <c r="W4564" s="318"/>
      <c r="X4564" s="318"/>
      <c r="Y4564" s="318"/>
      <c r="Z4564" s="318"/>
      <c r="AA4564" s="318"/>
      <c r="AB4564" s="318"/>
      <c r="AC4564" s="318"/>
      <c r="AD4564" s="318"/>
    </row>
    <row r="4565" spans="2:30" s="323" customFormat="1" ht="12" customHeight="1">
      <c r="B4565" s="324"/>
      <c r="C4565" s="325"/>
      <c r="D4565" s="326"/>
      <c r="E4565" s="326"/>
      <c r="F4565" s="326"/>
      <c r="G4565" s="326"/>
      <c r="H4565" s="326"/>
      <c r="P4565" s="318"/>
      <c r="Q4565" s="318"/>
      <c r="R4565" s="318"/>
      <c r="S4565" s="318"/>
      <c r="T4565" s="318"/>
      <c r="U4565" s="318"/>
      <c r="V4565" s="318"/>
      <c r="W4565" s="318"/>
      <c r="X4565" s="318"/>
      <c r="Y4565" s="318"/>
      <c r="Z4565" s="318"/>
      <c r="AA4565" s="318"/>
      <c r="AB4565" s="318"/>
      <c r="AC4565" s="318"/>
      <c r="AD4565" s="318"/>
    </row>
    <row r="4566" spans="2:30" s="323" customFormat="1" ht="12" customHeight="1">
      <c r="B4566" s="324"/>
      <c r="C4566" s="325"/>
      <c r="D4566" s="326"/>
      <c r="E4566" s="326"/>
      <c r="F4566" s="326"/>
      <c r="G4566" s="326"/>
      <c r="H4566" s="326"/>
      <c r="P4566" s="318"/>
      <c r="Q4566" s="318"/>
      <c r="R4566" s="318"/>
      <c r="S4566" s="318"/>
      <c r="T4566" s="318"/>
      <c r="U4566" s="318"/>
      <c r="V4566" s="318"/>
      <c r="W4566" s="318"/>
      <c r="X4566" s="318"/>
      <c r="Y4566" s="318"/>
      <c r="Z4566" s="318"/>
      <c r="AA4566" s="318"/>
      <c r="AB4566" s="318"/>
      <c r="AC4566" s="318"/>
      <c r="AD4566" s="318"/>
    </row>
    <row r="4567" spans="2:30" s="323" customFormat="1" ht="12" customHeight="1">
      <c r="B4567" s="324"/>
      <c r="C4567" s="325"/>
      <c r="D4567" s="326"/>
      <c r="E4567" s="326"/>
      <c r="F4567" s="326"/>
      <c r="G4567" s="326"/>
      <c r="H4567" s="326"/>
      <c r="P4567" s="318"/>
      <c r="Q4567" s="318"/>
      <c r="R4567" s="318"/>
      <c r="S4567" s="318"/>
      <c r="T4567" s="318"/>
      <c r="U4567" s="318"/>
      <c r="V4567" s="318"/>
      <c r="W4567" s="318"/>
      <c r="X4567" s="318"/>
      <c r="Y4567" s="318"/>
      <c r="Z4567" s="318"/>
      <c r="AA4567" s="318"/>
      <c r="AB4567" s="318"/>
      <c r="AC4567" s="318"/>
      <c r="AD4567" s="318"/>
    </row>
    <row r="4568" spans="2:30" s="323" customFormat="1" ht="12" customHeight="1">
      <c r="B4568" s="324"/>
      <c r="C4568" s="325"/>
      <c r="D4568" s="326"/>
      <c r="E4568" s="326"/>
      <c r="F4568" s="326"/>
      <c r="G4568" s="326"/>
      <c r="H4568" s="326"/>
      <c r="P4568" s="318"/>
      <c r="Q4568" s="318"/>
      <c r="R4568" s="318"/>
      <c r="S4568" s="318"/>
      <c r="T4568" s="318"/>
      <c r="U4568" s="318"/>
      <c r="V4568" s="318"/>
      <c r="W4568" s="318"/>
      <c r="X4568" s="318"/>
      <c r="Y4568" s="318"/>
      <c r="Z4568" s="318"/>
      <c r="AA4568" s="318"/>
      <c r="AB4568" s="318"/>
      <c r="AC4568" s="318"/>
      <c r="AD4568" s="318"/>
    </row>
    <row r="4569" spans="2:30" s="323" customFormat="1" ht="12" customHeight="1">
      <c r="B4569" s="324"/>
      <c r="C4569" s="325"/>
      <c r="D4569" s="326"/>
      <c r="E4569" s="326"/>
      <c r="F4569" s="326"/>
      <c r="G4569" s="326"/>
      <c r="H4569" s="326"/>
      <c r="P4569" s="318"/>
      <c r="Q4569" s="318"/>
      <c r="R4569" s="318"/>
      <c r="S4569" s="318"/>
      <c r="T4569" s="318"/>
      <c r="U4569" s="318"/>
      <c r="V4569" s="318"/>
      <c r="W4569" s="318"/>
      <c r="X4569" s="318"/>
      <c r="Y4569" s="318"/>
      <c r="Z4569" s="318"/>
      <c r="AA4569" s="318"/>
      <c r="AB4569" s="318"/>
      <c r="AC4569" s="318"/>
      <c r="AD4569" s="318"/>
    </row>
    <row r="4570" spans="2:30" s="323" customFormat="1" ht="12" customHeight="1">
      <c r="B4570" s="324"/>
      <c r="C4570" s="325"/>
      <c r="D4570" s="326"/>
      <c r="E4570" s="326"/>
      <c r="F4570" s="326"/>
      <c r="G4570" s="326"/>
      <c r="H4570" s="326"/>
      <c r="P4570" s="318"/>
      <c r="Q4570" s="318"/>
      <c r="R4570" s="318"/>
      <c r="S4570" s="318"/>
      <c r="T4570" s="318"/>
      <c r="U4570" s="318"/>
      <c r="V4570" s="318"/>
      <c r="W4570" s="318"/>
      <c r="X4570" s="318"/>
      <c r="Y4570" s="318"/>
      <c r="Z4570" s="318"/>
      <c r="AA4570" s="318"/>
      <c r="AB4570" s="318"/>
      <c r="AC4570" s="318"/>
      <c r="AD4570" s="318"/>
    </row>
    <row r="4571" spans="2:30" s="323" customFormat="1" ht="12" customHeight="1">
      <c r="B4571" s="324"/>
      <c r="C4571" s="325"/>
      <c r="D4571" s="326"/>
      <c r="E4571" s="326"/>
      <c r="F4571" s="326"/>
      <c r="G4571" s="326"/>
      <c r="H4571" s="326"/>
      <c r="P4571" s="318"/>
      <c r="Q4571" s="318"/>
      <c r="R4571" s="318"/>
      <c r="S4571" s="318"/>
      <c r="T4571" s="318"/>
      <c r="U4571" s="318"/>
      <c r="V4571" s="318"/>
      <c r="W4571" s="318"/>
      <c r="X4571" s="318"/>
      <c r="Y4571" s="318"/>
      <c r="Z4571" s="318"/>
      <c r="AA4571" s="318"/>
      <c r="AB4571" s="318"/>
      <c r="AC4571" s="318"/>
      <c r="AD4571" s="318"/>
    </row>
    <row r="4572" spans="2:30" s="323" customFormat="1" ht="12" customHeight="1">
      <c r="B4572" s="324"/>
      <c r="C4572" s="325"/>
      <c r="D4572" s="326"/>
      <c r="E4572" s="326"/>
      <c r="F4572" s="326"/>
      <c r="G4572" s="326"/>
      <c r="H4572" s="326"/>
      <c r="P4572" s="318"/>
      <c r="Q4572" s="318"/>
      <c r="R4572" s="318"/>
      <c r="S4572" s="318"/>
      <c r="T4572" s="318"/>
      <c r="U4572" s="318"/>
      <c r="V4572" s="318"/>
      <c r="W4572" s="318"/>
      <c r="X4572" s="318"/>
      <c r="Y4572" s="318"/>
      <c r="Z4572" s="318"/>
      <c r="AA4572" s="318"/>
      <c r="AB4572" s="318"/>
      <c r="AC4572" s="318"/>
      <c r="AD4572" s="318"/>
    </row>
    <row r="4573" spans="2:30" s="323" customFormat="1" ht="12" customHeight="1">
      <c r="B4573" s="324"/>
      <c r="C4573" s="325"/>
      <c r="D4573" s="326"/>
      <c r="E4573" s="326"/>
      <c r="F4573" s="326"/>
      <c r="G4573" s="326"/>
      <c r="H4573" s="326"/>
      <c r="P4573" s="318"/>
      <c r="Q4573" s="318"/>
      <c r="R4573" s="318"/>
      <c r="S4573" s="318"/>
      <c r="T4573" s="318"/>
      <c r="U4573" s="318"/>
      <c r="V4573" s="318"/>
      <c r="W4573" s="318"/>
      <c r="X4573" s="318"/>
      <c r="Y4573" s="318"/>
      <c r="Z4573" s="318"/>
      <c r="AA4573" s="318"/>
      <c r="AB4573" s="318"/>
      <c r="AC4573" s="318"/>
      <c r="AD4573" s="318"/>
    </row>
    <row r="4574" spans="2:30" s="323" customFormat="1" ht="12" customHeight="1">
      <c r="B4574" s="324"/>
      <c r="C4574" s="325"/>
      <c r="D4574" s="326"/>
      <c r="E4574" s="326"/>
      <c r="F4574" s="326"/>
      <c r="G4574" s="326"/>
      <c r="H4574" s="326"/>
      <c r="P4574" s="318"/>
      <c r="Q4574" s="318"/>
      <c r="R4574" s="318"/>
      <c r="S4574" s="318"/>
      <c r="T4574" s="318"/>
      <c r="U4574" s="318"/>
      <c r="V4574" s="318"/>
      <c r="W4574" s="318"/>
      <c r="X4574" s="318"/>
      <c r="Y4574" s="318"/>
      <c r="Z4574" s="318"/>
      <c r="AA4574" s="318"/>
      <c r="AB4574" s="318"/>
      <c r="AC4574" s="318"/>
      <c r="AD4574" s="318"/>
    </row>
    <row r="4575" spans="2:30" s="323" customFormat="1" ht="12" customHeight="1">
      <c r="B4575" s="324"/>
      <c r="C4575" s="325"/>
      <c r="D4575" s="326"/>
      <c r="E4575" s="326"/>
      <c r="F4575" s="326"/>
      <c r="G4575" s="326"/>
      <c r="H4575" s="326"/>
      <c r="P4575" s="318"/>
      <c r="Q4575" s="318"/>
      <c r="R4575" s="318"/>
      <c r="S4575" s="318"/>
      <c r="T4575" s="318"/>
      <c r="U4575" s="318"/>
      <c r="V4575" s="318"/>
      <c r="W4575" s="318"/>
      <c r="X4575" s="318"/>
      <c r="Y4575" s="318"/>
      <c r="Z4575" s="318"/>
      <c r="AA4575" s="318"/>
      <c r="AB4575" s="318"/>
      <c r="AC4575" s="318"/>
      <c r="AD4575" s="318"/>
    </row>
    <row r="4576" spans="2:30" s="323" customFormat="1" ht="12" customHeight="1">
      <c r="B4576" s="324"/>
      <c r="C4576" s="325"/>
      <c r="D4576" s="326"/>
      <c r="E4576" s="326"/>
      <c r="F4576" s="326"/>
      <c r="G4576" s="326"/>
      <c r="H4576" s="326"/>
      <c r="P4576" s="318"/>
      <c r="Q4576" s="318"/>
      <c r="R4576" s="318"/>
      <c r="S4576" s="318"/>
      <c r="T4576" s="318"/>
      <c r="U4576" s="318"/>
      <c r="V4576" s="318"/>
      <c r="W4576" s="318"/>
      <c r="X4576" s="318"/>
      <c r="Y4576" s="318"/>
      <c r="Z4576" s="318"/>
      <c r="AA4576" s="318"/>
      <c r="AB4576" s="318"/>
      <c r="AC4576" s="318"/>
      <c r="AD4576" s="318"/>
    </row>
    <row r="4577" spans="2:30" s="323" customFormat="1" ht="12" customHeight="1">
      <c r="B4577" s="324"/>
      <c r="C4577" s="325"/>
      <c r="D4577" s="326"/>
      <c r="E4577" s="326"/>
      <c r="F4577" s="326"/>
      <c r="G4577" s="326"/>
      <c r="H4577" s="326"/>
      <c r="P4577" s="318"/>
      <c r="Q4577" s="318"/>
      <c r="R4577" s="318"/>
      <c r="S4577" s="318"/>
      <c r="T4577" s="318"/>
      <c r="U4577" s="318"/>
      <c r="V4577" s="318"/>
      <c r="W4577" s="318"/>
      <c r="X4577" s="318"/>
      <c r="Y4577" s="318"/>
      <c r="Z4577" s="318"/>
      <c r="AA4577" s="318"/>
      <c r="AB4577" s="318"/>
      <c r="AC4577" s="318"/>
      <c r="AD4577" s="318"/>
    </row>
    <row r="4578" spans="2:30" s="323" customFormat="1" ht="12" customHeight="1">
      <c r="B4578" s="324"/>
      <c r="C4578" s="325"/>
      <c r="D4578" s="326"/>
      <c r="E4578" s="326"/>
      <c r="F4578" s="326"/>
      <c r="G4578" s="326"/>
      <c r="H4578" s="326"/>
      <c r="P4578" s="318"/>
      <c r="Q4578" s="318"/>
      <c r="R4578" s="318"/>
      <c r="S4578" s="318"/>
      <c r="T4578" s="318"/>
      <c r="U4578" s="318"/>
      <c r="V4578" s="318"/>
      <c r="W4578" s="318"/>
      <c r="X4578" s="318"/>
      <c r="Y4578" s="318"/>
      <c r="Z4578" s="318"/>
      <c r="AA4578" s="318"/>
      <c r="AB4578" s="318"/>
      <c r="AC4578" s="318"/>
      <c r="AD4578" s="318"/>
    </row>
    <row r="4579" spans="2:30" s="323" customFormat="1" ht="12" customHeight="1">
      <c r="B4579" s="324"/>
      <c r="C4579" s="325"/>
      <c r="D4579" s="326"/>
      <c r="E4579" s="326"/>
      <c r="F4579" s="326"/>
      <c r="G4579" s="326"/>
      <c r="H4579" s="326"/>
      <c r="P4579" s="318"/>
      <c r="Q4579" s="318"/>
      <c r="R4579" s="318"/>
      <c r="S4579" s="318"/>
      <c r="T4579" s="318"/>
      <c r="U4579" s="318"/>
      <c r="V4579" s="318"/>
      <c r="W4579" s="318"/>
      <c r="X4579" s="318"/>
      <c r="Y4579" s="318"/>
      <c r="Z4579" s="318"/>
      <c r="AA4579" s="318"/>
      <c r="AB4579" s="318"/>
      <c r="AC4579" s="318"/>
      <c r="AD4579" s="318"/>
    </row>
    <row r="4580" spans="2:30" s="323" customFormat="1" ht="12" customHeight="1">
      <c r="B4580" s="324"/>
      <c r="C4580" s="325"/>
      <c r="D4580" s="326"/>
      <c r="E4580" s="326"/>
      <c r="F4580" s="326"/>
      <c r="G4580" s="326"/>
      <c r="H4580" s="326"/>
      <c r="P4580" s="318"/>
      <c r="Q4580" s="318"/>
      <c r="R4580" s="318"/>
      <c r="S4580" s="318"/>
      <c r="T4580" s="318"/>
      <c r="U4580" s="318"/>
      <c r="V4580" s="318"/>
      <c r="W4580" s="318"/>
      <c r="X4580" s="318"/>
      <c r="Y4580" s="318"/>
      <c r="Z4580" s="318"/>
      <c r="AA4580" s="318"/>
      <c r="AB4580" s="318"/>
      <c r="AC4580" s="318"/>
      <c r="AD4580" s="318"/>
    </row>
    <row r="4581" spans="2:30" s="323" customFormat="1" ht="12" customHeight="1">
      <c r="B4581" s="324"/>
      <c r="C4581" s="325"/>
      <c r="D4581" s="326"/>
      <c r="E4581" s="326"/>
      <c r="F4581" s="326"/>
      <c r="G4581" s="326"/>
      <c r="H4581" s="326"/>
      <c r="P4581" s="318"/>
      <c r="Q4581" s="318"/>
      <c r="R4581" s="318"/>
      <c r="S4581" s="318"/>
      <c r="T4581" s="318"/>
      <c r="U4581" s="318"/>
      <c r="V4581" s="318"/>
      <c r="W4581" s="318"/>
      <c r="X4581" s="318"/>
      <c r="Y4581" s="318"/>
      <c r="Z4581" s="318"/>
      <c r="AA4581" s="318"/>
      <c r="AB4581" s="318"/>
      <c r="AC4581" s="318"/>
      <c r="AD4581" s="318"/>
    </row>
    <row r="4582" spans="2:30" s="323" customFormat="1" ht="12" customHeight="1">
      <c r="B4582" s="324"/>
      <c r="C4582" s="325"/>
      <c r="D4582" s="326"/>
      <c r="E4582" s="326"/>
      <c r="F4582" s="326"/>
      <c r="G4582" s="326"/>
      <c r="H4582" s="326"/>
      <c r="P4582" s="318"/>
      <c r="Q4582" s="318"/>
      <c r="R4582" s="318"/>
      <c r="S4582" s="318"/>
      <c r="T4582" s="318"/>
      <c r="U4582" s="318"/>
      <c r="V4582" s="318"/>
      <c r="W4582" s="318"/>
      <c r="X4582" s="318"/>
      <c r="Y4582" s="318"/>
      <c r="Z4582" s="318"/>
      <c r="AA4582" s="318"/>
      <c r="AB4582" s="318"/>
      <c r="AC4582" s="318"/>
      <c r="AD4582" s="318"/>
    </row>
    <row r="4583" spans="2:30" s="323" customFormat="1" ht="12" customHeight="1">
      <c r="B4583" s="324"/>
      <c r="C4583" s="325"/>
      <c r="D4583" s="326"/>
      <c r="E4583" s="326"/>
      <c r="F4583" s="326"/>
      <c r="G4583" s="326"/>
      <c r="H4583" s="326"/>
      <c r="P4583" s="318"/>
      <c r="Q4583" s="318"/>
      <c r="R4583" s="318"/>
      <c r="S4583" s="318"/>
      <c r="T4583" s="318"/>
      <c r="U4583" s="318"/>
      <c r="V4583" s="318"/>
      <c r="W4583" s="318"/>
      <c r="X4583" s="318"/>
      <c r="Y4583" s="318"/>
      <c r="Z4583" s="318"/>
      <c r="AA4583" s="318"/>
      <c r="AB4583" s="318"/>
      <c r="AC4583" s="318"/>
      <c r="AD4583" s="318"/>
    </row>
    <row r="4584" spans="2:30" s="323" customFormat="1" ht="12" customHeight="1">
      <c r="B4584" s="324"/>
      <c r="C4584" s="325"/>
      <c r="D4584" s="326"/>
      <c r="E4584" s="326"/>
      <c r="F4584" s="326"/>
      <c r="G4584" s="326"/>
      <c r="H4584" s="326"/>
      <c r="P4584" s="318"/>
      <c r="Q4584" s="318"/>
      <c r="R4584" s="318"/>
      <c r="S4584" s="318"/>
      <c r="T4584" s="318"/>
      <c r="U4584" s="318"/>
      <c r="V4584" s="318"/>
      <c r="W4584" s="318"/>
      <c r="X4584" s="318"/>
      <c r="Y4584" s="318"/>
      <c r="Z4584" s="318"/>
      <c r="AA4584" s="318"/>
      <c r="AB4584" s="318"/>
      <c r="AC4584" s="318"/>
      <c r="AD4584" s="318"/>
    </row>
    <row r="4585" spans="2:30" s="323" customFormat="1" ht="12" customHeight="1">
      <c r="B4585" s="324"/>
      <c r="C4585" s="325"/>
      <c r="D4585" s="326"/>
      <c r="E4585" s="326"/>
      <c r="F4585" s="326"/>
      <c r="G4585" s="326"/>
      <c r="H4585" s="326"/>
      <c r="P4585" s="318"/>
      <c r="Q4585" s="318"/>
      <c r="R4585" s="318"/>
      <c r="S4585" s="318"/>
      <c r="T4585" s="318"/>
      <c r="U4585" s="318"/>
      <c r="V4585" s="318"/>
      <c r="W4585" s="318"/>
      <c r="X4585" s="318"/>
      <c r="Y4585" s="318"/>
      <c r="Z4585" s="318"/>
      <c r="AA4585" s="318"/>
      <c r="AB4585" s="318"/>
      <c r="AC4585" s="318"/>
      <c r="AD4585" s="318"/>
    </row>
    <row r="4586" spans="2:30" s="323" customFormat="1" ht="12" customHeight="1">
      <c r="B4586" s="324"/>
      <c r="C4586" s="325"/>
      <c r="D4586" s="326"/>
      <c r="E4586" s="326"/>
      <c r="F4586" s="326"/>
      <c r="G4586" s="326"/>
      <c r="H4586" s="326"/>
      <c r="P4586" s="318"/>
      <c r="Q4586" s="318"/>
      <c r="R4586" s="318"/>
      <c r="S4586" s="318"/>
      <c r="T4586" s="318"/>
      <c r="U4586" s="318"/>
      <c r="V4586" s="318"/>
      <c r="W4586" s="318"/>
      <c r="X4586" s="318"/>
      <c r="Y4586" s="318"/>
      <c r="Z4586" s="318"/>
      <c r="AA4586" s="318"/>
      <c r="AB4586" s="318"/>
      <c r="AC4586" s="318"/>
      <c r="AD4586" s="318"/>
    </row>
    <row r="4587" spans="2:30" s="323" customFormat="1" ht="12" customHeight="1">
      <c r="B4587" s="324"/>
      <c r="C4587" s="325"/>
      <c r="D4587" s="326"/>
      <c r="E4587" s="326"/>
      <c r="F4587" s="326"/>
      <c r="G4587" s="326"/>
      <c r="H4587" s="326"/>
      <c r="P4587" s="318"/>
      <c r="Q4587" s="318"/>
      <c r="R4587" s="318"/>
      <c r="S4587" s="318"/>
      <c r="T4587" s="318"/>
      <c r="U4587" s="318"/>
      <c r="V4587" s="318"/>
      <c r="W4587" s="318"/>
      <c r="X4587" s="318"/>
      <c r="Y4587" s="318"/>
      <c r="Z4587" s="318"/>
      <c r="AA4587" s="318"/>
      <c r="AB4587" s="318"/>
      <c r="AC4587" s="318"/>
      <c r="AD4587" s="318"/>
    </row>
    <row r="4588" spans="2:30" s="323" customFormat="1" ht="12" customHeight="1">
      <c r="B4588" s="324"/>
      <c r="C4588" s="325"/>
      <c r="D4588" s="326"/>
      <c r="E4588" s="326"/>
      <c r="F4588" s="326"/>
      <c r="G4588" s="326"/>
      <c r="H4588" s="326"/>
      <c r="P4588" s="318"/>
      <c r="Q4588" s="318"/>
      <c r="R4588" s="318"/>
      <c r="S4588" s="318"/>
      <c r="T4588" s="318"/>
      <c r="U4588" s="318"/>
      <c r="V4588" s="318"/>
      <c r="W4588" s="318"/>
      <c r="X4588" s="318"/>
      <c r="Y4588" s="318"/>
      <c r="Z4588" s="318"/>
      <c r="AA4588" s="318"/>
      <c r="AB4588" s="318"/>
      <c r="AC4588" s="318"/>
      <c r="AD4588" s="318"/>
    </row>
    <row r="4589" spans="2:30" s="323" customFormat="1" ht="12" customHeight="1">
      <c r="B4589" s="324"/>
      <c r="C4589" s="325"/>
      <c r="D4589" s="326"/>
      <c r="E4589" s="326"/>
      <c r="F4589" s="326"/>
      <c r="G4589" s="326"/>
      <c r="H4589" s="326"/>
      <c r="P4589" s="318"/>
      <c r="Q4589" s="318"/>
      <c r="R4589" s="318"/>
      <c r="S4589" s="318"/>
      <c r="T4589" s="318"/>
      <c r="U4589" s="318"/>
      <c r="V4589" s="318"/>
      <c r="W4589" s="318"/>
      <c r="X4589" s="318"/>
      <c r="Y4589" s="318"/>
      <c r="Z4589" s="318"/>
      <c r="AA4589" s="318"/>
      <c r="AB4589" s="318"/>
      <c r="AC4589" s="318"/>
      <c r="AD4589" s="318"/>
    </row>
    <row r="4590" spans="2:30" s="323" customFormat="1" ht="12" customHeight="1">
      <c r="B4590" s="324"/>
      <c r="C4590" s="325"/>
      <c r="D4590" s="326"/>
      <c r="E4590" s="326"/>
      <c r="F4590" s="326"/>
      <c r="G4590" s="326"/>
      <c r="H4590" s="326"/>
      <c r="P4590" s="318"/>
      <c r="Q4590" s="318"/>
      <c r="R4590" s="318"/>
      <c r="S4590" s="318"/>
      <c r="T4590" s="318"/>
      <c r="U4590" s="318"/>
      <c r="V4590" s="318"/>
      <c r="W4590" s="318"/>
      <c r="X4590" s="318"/>
      <c r="Y4590" s="318"/>
      <c r="Z4590" s="318"/>
      <c r="AA4590" s="318"/>
      <c r="AB4590" s="318"/>
      <c r="AC4590" s="318"/>
      <c r="AD4590" s="318"/>
    </row>
    <row r="4591" spans="2:30" s="323" customFormat="1" ht="12" customHeight="1">
      <c r="B4591" s="324"/>
      <c r="C4591" s="325"/>
      <c r="D4591" s="326"/>
      <c r="E4591" s="326"/>
      <c r="F4591" s="326"/>
      <c r="G4591" s="326"/>
      <c r="H4591" s="326"/>
      <c r="P4591" s="318"/>
      <c r="Q4591" s="318"/>
      <c r="R4591" s="318"/>
      <c r="S4591" s="318"/>
      <c r="T4591" s="318"/>
      <c r="U4591" s="318"/>
      <c r="V4591" s="318"/>
      <c r="W4591" s="318"/>
      <c r="X4591" s="318"/>
      <c r="Y4591" s="318"/>
      <c r="Z4591" s="318"/>
      <c r="AA4591" s="318"/>
      <c r="AB4591" s="318"/>
      <c r="AC4591" s="318"/>
      <c r="AD4591" s="318"/>
    </row>
    <row r="4592" spans="2:30" s="323" customFormat="1" ht="12" customHeight="1">
      <c r="B4592" s="324"/>
      <c r="C4592" s="325"/>
      <c r="D4592" s="326"/>
      <c r="E4592" s="326"/>
      <c r="F4592" s="326"/>
      <c r="G4592" s="326"/>
      <c r="H4592" s="326"/>
      <c r="P4592" s="318"/>
      <c r="Q4592" s="318"/>
      <c r="R4592" s="318"/>
      <c r="S4592" s="318"/>
      <c r="T4592" s="318"/>
      <c r="U4592" s="318"/>
      <c r="V4592" s="318"/>
      <c r="W4592" s="318"/>
      <c r="X4592" s="318"/>
      <c r="Y4592" s="318"/>
      <c r="Z4592" s="318"/>
      <c r="AA4592" s="318"/>
      <c r="AB4592" s="318"/>
      <c r="AC4592" s="318"/>
      <c r="AD4592" s="318"/>
    </row>
    <row r="4593" spans="2:30" s="323" customFormat="1" ht="12" customHeight="1">
      <c r="B4593" s="324"/>
      <c r="C4593" s="325"/>
      <c r="D4593" s="326"/>
      <c r="E4593" s="326"/>
      <c r="F4593" s="326"/>
      <c r="G4593" s="326"/>
      <c r="H4593" s="326"/>
      <c r="P4593" s="318"/>
      <c r="Q4593" s="318"/>
      <c r="R4593" s="318"/>
      <c r="S4593" s="318"/>
      <c r="T4593" s="318"/>
      <c r="U4593" s="318"/>
      <c r="V4593" s="318"/>
      <c r="W4593" s="318"/>
      <c r="X4593" s="318"/>
      <c r="Y4593" s="318"/>
      <c r="Z4593" s="318"/>
      <c r="AA4593" s="318"/>
      <c r="AB4593" s="318"/>
      <c r="AC4593" s="318"/>
      <c r="AD4593" s="318"/>
    </row>
    <row r="4594" spans="2:30" s="323" customFormat="1" ht="12" customHeight="1">
      <c r="B4594" s="324"/>
      <c r="C4594" s="325"/>
      <c r="D4594" s="326"/>
      <c r="E4594" s="326"/>
      <c r="F4594" s="326"/>
      <c r="G4594" s="326"/>
      <c r="H4594" s="326"/>
      <c r="P4594" s="318"/>
      <c r="Q4594" s="318"/>
      <c r="R4594" s="318"/>
      <c r="S4594" s="318"/>
      <c r="T4594" s="318"/>
      <c r="U4594" s="318"/>
      <c r="V4594" s="318"/>
      <c r="W4594" s="318"/>
      <c r="X4594" s="318"/>
      <c r="Y4594" s="318"/>
      <c r="Z4594" s="318"/>
      <c r="AA4594" s="318"/>
      <c r="AB4594" s="318"/>
      <c r="AC4594" s="318"/>
      <c r="AD4594" s="318"/>
    </row>
    <row r="4595" spans="2:30" s="323" customFormat="1" ht="12" customHeight="1">
      <c r="B4595" s="324"/>
      <c r="C4595" s="325"/>
      <c r="D4595" s="326"/>
      <c r="E4595" s="326"/>
      <c r="F4595" s="326"/>
      <c r="G4595" s="326"/>
      <c r="H4595" s="326"/>
      <c r="P4595" s="318"/>
      <c r="Q4595" s="318"/>
      <c r="R4595" s="318"/>
      <c r="S4595" s="318"/>
      <c r="T4595" s="318"/>
      <c r="U4595" s="318"/>
      <c r="V4595" s="318"/>
      <c r="W4595" s="318"/>
      <c r="X4595" s="318"/>
      <c r="Y4595" s="318"/>
      <c r="Z4595" s="318"/>
      <c r="AA4595" s="318"/>
      <c r="AB4595" s="318"/>
      <c r="AC4595" s="318"/>
      <c r="AD4595" s="318"/>
    </row>
    <row r="4596" spans="2:30" s="323" customFormat="1" ht="12" customHeight="1">
      <c r="B4596" s="324"/>
      <c r="C4596" s="325"/>
      <c r="D4596" s="326"/>
      <c r="E4596" s="326"/>
      <c r="F4596" s="326"/>
      <c r="G4596" s="326"/>
      <c r="H4596" s="326"/>
      <c r="P4596" s="318"/>
      <c r="Q4596" s="318"/>
      <c r="R4596" s="318"/>
      <c r="S4596" s="318"/>
      <c r="T4596" s="318"/>
      <c r="U4596" s="318"/>
      <c r="V4596" s="318"/>
      <c r="W4596" s="318"/>
      <c r="X4596" s="318"/>
      <c r="Y4596" s="318"/>
      <c r="Z4596" s="318"/>
      <c r="AA4596" s="318"/>
      <c r="AB4596" s="318"/>
      <c r="AC4596" s="318"/>
      <c r="AD4596" s="318"/>
    </row>
    <row r="4597" spans="2:30" s="323" customFormat="1" ht="12" customHeight="1">
      <c r="B4597" s="324"/>
      <c r="C4597" s="325"/>
      <c r="D4597" s="326"/>
      <c r="E4597" s="326"/>
      <c r="F4597" s="326"/>
      <c r="G4597" s="326"/>
      <c r="H4597" s="326"/>
      <c r="P4597" s="318"/>
      <c r="Q4597" s="318"/>
      <c r="R4597" s="318"/>
      <c r="S4597" s="318"/>
      <c r="T4597" s="318"/>
      <c r="U4597" s="318"/>
      <c r="V4597" s="318"/>
      <c r="W4597" s="318"/>
      <c r="X4597" s="318"/>
      <c r="Y4597" s="318"/>
      <c r="Z4597" s="318"/>
      <c r="AA4597" s="318"/>
      <c r="AB4597" s="318"/>
      <c r="AC4597" s="318"/>
      <c r="AD4597" s="318"/>
    </row>
    <row r="4598" spans="2:30" s="323" customFormat="1" ht="12" customHeight="1">
      <c r="B4598" s="324"/>
      <c r="C4598" s="325"/>
      <c r="D4598" s="326"/>
      <c r="E4598" s="326"/>
      <c r="F4598" s="326"/>
      <c r="G4598" s="326"/>
      <c r="H4598" s="326"/>
      <c r="P4598" s="318"/>
      <c r="Q4598" s="318"/>
      <c r="R4598" s="318"/>
      <c r="S4598" s="318"/>
      <c r="T4598" s="318"/>
      <c r="U4598" s="318"/>
      <c r="V4598" s="318"/>
      <c r="W4598" s="318"/>
      <c r="X4598" s="318"/>
      <c r="Y4598" s="318"/>
      <c r="Z4598" s="318"/>
      <c r="AA4598" s="318"/>
      <c r="AB4598" s="318"/>
      <c r="AC4598" s="318"/>
      <c r="AD4598" s="318"/>
    </row>
    <row r="4599" spans="2:30" s="323" customFormat="1" ht="12" customHeight="1">
      <c r="B4599" s="324"/>
      <c r="C4599" s="325"/>
      <c r="D4599" s="326"/>
      <c r="E4599" s="326"/>
      <c r="F4599" s="326"/>
      <c r="G4599" s="326"/>
      <c r="H4599" s="326"/>
      <c r="P4599" s="318"/>
      <c r="Q4599" s="318"/>
      <c r="R4599" s="318"/>
      <c r="S4599" s="318"/>
      <c r="T4599" s="318"/>
      <c r="U4599" s="318"/>
      <c r="V4599" s="318"/>
      <c r="W4599" s="318"/>
      <c r="X4599" s="318"/>
      <c r="Y4599" s="318"/>
      <c r="Z4599" s="318"/>
      <c r="AA4599" s="318"/>
      <c r="AB4599" s="318"/>
      <c r="AC4599" s="318"/>
      <c r="AD4599" s="318"/>
    </row>
    <row r="4600" spans="2:30" s="323" customFormat="1" ht="12" customHeight="1">
      <c r="B4600" s="324"/>
      <c r="C4600" s="325"/>
      <c r="D4600" s="326"/>
      <c r="E4600" s="326"/>
      <c r="F4600" s="326"/>
      <c r="G4600" s="326"/>
      <c r="H4600" s="326"/>
      <c r="P4600" s="318"/>
      <c r="Q4600" s="318"/>
      <c r="R4600" s="318"/>
      <c r="S4600" s="318"/>
      <c r="T4600" s="318"/>
      <c r="U4600" s="318"/>
      <c r="V4600" s="318"/>
      <c r="W4600" s="318"/>
      <c r="X4600" s="318"/>
      <c r="Y4600" s="318"/>
      <c r="Z4600" s="318"/>
      <c r="AA4600" s="318"/>
      <c r="AB4600" s="318"/>
      <c r="AC4600" s="318"/>
      <c r="AD4600" s="318"/>
    </row>
    <row r="4601" spans="2:30" s="323" customFormat="1" ht="12" customHeight="1">
      <c r="B4601" s="324"/>
      <c r="C4601" s="325"/>
      <c r="D4601" s="326"/>
      <c r="E4601" s="326"/>
      <c r="F4601" s="326"/>
      <c r="G4601" s="326"/>
      <c r="H4601" s="326"/>
      <c r="P4601" s="318"/>
      <c r="Q4601" s="318"/>
      <c r="R4601" s="318"/>
      <c r="S4601" s="318"/>
      <c r="T4601" s="318"/>
      <c r="U4601" s="318"/>
      <c r="V4601" s="318"/>
      <c r="W4601" s="318"/>
      <c r="X4601" s="318"/>
      <c r="Y4601" s="318"/>
      <c r="Z4601" s="318"/>
      <c r="AA4601" s="318"/>
      <c r="AB4601" s="318"/>
      <c r="AC4601" s="318"/>
      <c r="AD4601" s="318"/>
    </row>
    <row r="4602" spans="2:30" s="323" customFormat="1" ht="12" customHeight="1">
      <c r="B4602" s="324"/>
      <c r="C4602" s="325"/>
      <c r="D4602" s="326"/>
      <c r="E4602" s="326"/>
      <c r="F4602" s="326"/>
      <c r="G4602" s="326"/>
      <c r="H4602" s="326"/>
      <c r="P4602" s="318"/>
      <c r="Q4602" s="318"/>
      <c r="R4602" s="318"/>
      <c r="S4602" s="318"/>
      <c r="T4602" s="318"/>
      <c r="U4602" s="318"/>
      <c r="V4602" s="318"/>
      <c r="W4602" s="318"/>
      <c r="X4602" s="318"/>
      <c r="Y4602" s="318"/>
      <c r="Z4602" s="318"/>
      <c r="AA4602" s="318"/>
      <c r="AB4602" s="318"/>
      <c r="AC4602" s="318"/>
      <c r="AD4602" s="318"/>
    </row>
    <row r="4603" spans="2:30" s="323" customFormat="1" ht="12" customHeight="1">
      <c r="B4603" s="324"/>
      <c r="C4603" s="325"/>
      <c r="D4603" s="326"/>
      <c r="E4603" s="326"/>
      <c r="F4603" s="326"/>
      <c r="G4603" s="326"/>
      <c r="H4603" s="326"/>
      <c r="P4603" s="318"/>
      <c r="Q4603" s="318"/>
      <c r="R4603" s="318"/>
      <c r="S4603" s="318"/>
      <c r="T4603" s="318"/>
      <c r="U4603" s="318"/>
      <c r="V4603" s="318"/>
      <c r="W4603" s="318"/>
      <c r="X4603" s="318"/>
      <c r="Y4603" s="318"/>
      <c r="Z4603" s="318"/>
      <c r="AA4603" s="318"/>
      <c r="AB4603" s="318"/>
      <c r="AC4603" s="318"/>
      <c r="AD4603" s="318"/>
    </row>
    <row r="4604" spans="2:30" s="323" customFormat="1" ht="12" customHeight="1">
      <c r="B4604" s="324"/>
      <c r="C4604" s="325"/>
      <c r="D4604" s="326"/>
      <c r="E4604" s="326"/>
      <c r="F4604" s="326"/>
      <c r="G4604" s="326"/>
      <c r="H4604" s="326"/>
      <c r="P4604" s="318"/>
      <c r="Q4604" s="318"/>
      <c r="R4604" s="318"/>
      <c r="S4604" s="318"/>
      <c r="T4604" s="318"/>
      <c r="U4604" s="318"/>
      <c r="V4604" s="318"/>
      <c r="W4604" s="318"/>
      <c r="X4604" s="318"/>
      <c r="Y4604" s="318"/>
      <c r="Z4604" s="318"/>
      <c r="AA4604" s="318"/>
      <c r="AB4604" s="318"/>
      <c r="AC4604" s="318"/>
      <c r="AD4604" s="318"/>
    </row>
    <row r="4605" spans="2:30" s="323" customFormat="1" ht="12" customHeight="1">
      <c r="B4605" s="324"/>
      <c r="C4605" s="325"/>
      <c r="D4605" s="326"/>
      <c r="E4605" s="326"/>
      <c r="F4605" s="326"/>
      <c r="G4605" s="326"/>
      <c r="H4605" s="326"/>
      <c r="P4605" s="318"/>
      <c r="Q4605" s="318"/>
      <c r="R4605" s="318"/>
      <c r="S4605" s="318"/>
      <c r="T4605" s="318"/>
      <c r="U4605" s="318"/>
      <c r="V4605" s="318"/>
      <c r="W4605" s="318"/>
      <c r="X4605" s="318"/>
      <c r="Y4605" s="318"/>
      <c r="Z4605" s="318"/>
      <c r="AA4605" s="318"/>
      <c r="AB4605" s="318"/>
      <c r="AC4605" s="318"/>
      <c r="AD4605" s="318"/>
    </row>
    <row r="4606" spans="2:30" s="323" customFormat="1" ht="12" customHeight="1">
      <c r="B4606" s="324"/>
      <c r="C4606" s="325"/>
      <c r="D4606" s="326"/>
      <c r="E4606" s="326"/>
      <c r="F4606" s="326"/>
      <c r="G4606" s="326"/>
      <c r="H4606" s="326"/>
      <c r="P4606" s="318"/>
      <c r="Q4606" s="318"/>
      <c r="R4606" s="318"/>
      <c r="S4606" s="318"/>
      <c r="T4606" s="318"/>
      <c r="U4606" s="318"/>
      <c r="V4606" s="318"/>
      <c r="W4606" s="318"/>
      <c r="X4606" s="318"/>
      <c r="Y4606" s="318"/>
      <c r="Z4606" s="318"/>
      <c r="AA4606" s="318"/>
      <c r="AB4606" s="318"/>
      <c r="AC4606" s="318"/>
      <c r="AD4606" s="318"/>
    </row>
    <row r="4607" spans="2:30" s="323" customFormat="1" ht="12" customHeight="1">
      <c r="B4607" s="324"/>
      <c r="C4607" s="325"/>
      <c r="D4607" s="326"/>
      <c r="E4607" s="326"/>
      <c r="F4607" s="326"/>
      <c r="G4607" s="326"/>
      <c r="H4607" s="326"/>
      <c r="P4607" s="318"/>
      <c r="Q4607" s="318"/>
      <c r="R4607" s="318"/>
      <c r="S4607" s="318"/>
      <c r="T4607" s="318"/>
      <c r="U4607" s="318"/>
      <c r="V4607" s="318"/>
      <c r="W4607" s="318"/>
      <c r="X4607" s="318"/>
      <c r="Y4607" s="318"/>
      <c r="Z4607" s="318"/>
      <c r="AA4607" s="318"/>
      <c r="AB4607" s="318"/>
      <c r="AC4607" s="318"/>
      <c r="AD4607" s="318"/>
    </row>
    <row r="4608" spans="2:30" s="323" customFormat="1" ht="12" customHeight="1">
      <c r="B4608" s="324"/>
      <c r="C4608" s="325"/>
      <c r="D4608" s="326"/>
      <c r="E4608" s="326"/>
      <c r="F4608" s="326"/>
      <c r="G4608" s="326"/>
      <c r="H4608" s="326"/>
      <c r="P4608" s="318"/>
      <c r="Q4608" s="318"/>
      <c r="R4608" s="318"/>
      <c r="S4608" s="318"/>
      <c r="T4608" s="318"/>
      <c r="U4608" s="318"/>
      <c r="V4608" s="318"/>
      <c r="W4608" s="318"/>
      <c r="X4608" s="318"/>
      <c r="Y4608" s="318"/>
      <c r="Z4608" s="318"/>
      <c r="AA4608" s="318"/>
      <c r="AB4608" s="318"/>
      <c r="AC4608" s="318"/>
      <c r="AD4608" s="318"/>
    </row>
    <row r="4609" spans="2:30" s="323" customFormat="1" ht="12" customHeight="1">
      <c r="B4609" s="324"/>
      <c r="C4609" s="325"/>
      <c r="D4609" s="326"/>
      <c r="E4609" s="326"/>
      <c r="F4609" s="326"/>
      <c r="G4609" s="326"/>
      <c r="H4609" s="326"/>
      <c r="P4609" s="318"/>
      <c r="Q4609" s="318"/>
      <c r="R4609" s="318"/>
      <c r="S4609" s="318"/>
      <c r="T4609" s="318"/>
      <c r="U4609" s="318"/>
      <c r="V4609" s="318"/>
      <c r="W4609" s="318"/>
      <c r="X4609" s="318"/>
      <c r="Y4609" s="318"/>
      <c r="Z4609" s="318"/>
      <c r="AA4609" s="318"/>
      <c r="AB4609" s="318"/>
      <c r="AC4609" s="318"/>
      <c r="AD4609" s="318"/>
    </row>
    <row r="4610" spans="2:30" s="323" customFormat="1" ht="12" customHeight="1">
      <c r="B4610" s="324"/>
      <c r="C4610" s="325"/>
      <c r="D4610" s="326"/>
      <c r="E4610" s="326"/>
      <c r="F4610" s="326"/>
      <c r="G4610" s="326"/>
      <c r="H4610" s="326"/>
      <c r="P4610" s="318"/>
      <c r="Q4610" s="318"/>
      <c r="R4610" s="318"/>
      <c r="S4610" s="318"/>
      <c r="T4610" s="318"/>
      <c r="U4610" s="318"/>
      <c r="V4610" s="318"/>
      <c r="W4610" s="318"/>
      <c r="X4610" s="318"/>
      <c r="Y4610" s="318"/>
      <c r="Z4610" s="318"/>
      <c r="AA4610" s="318"/>
      <c r="AB4610" s="318"/>
      <c r="AC4610" s="318"/>
      <c r="AD4610" s="318"/>
    </row>
    <row r="4611" spans="2:30" s="323" customFormat="1" ht="12" customHeight="1">
      <c r="B4611" s="324"/>
      <c r="C4611" s="325"/>
      <c r="D4611" s="326"/>
      <c r="E4611" s="326"/>
      <c r="F4611" s="326"/>
      <c r="G4611" s="326"/>
      <c r="H4611" s="326"/>
      <c r="P4611" s="318"/>
      <c r="Q4611" s="318"/>
      <c r="R4611" s="318"/>
      <c r="S4611" s="318"/>
      <c r="T4611" s="318"/>
      <c r="U4611" s="318"/>
      <c r="V4611" s="318"/>
      <c r="W4611" s="318"/>
      <c r="X4611" s="318"/>
      <c r="Y4611" s="318"/>
      <c r="Z4611" s="318"/>
      <c r="AA4611" s="318"/>
      <c r="AB4611" s="318"/>
      <c r="AC4611" s="318"/>
      <c r="AD4611" s="318"/>
    </row>
    <row r="4612" spans="2:30" s="323" customFormat="1" ht="12" customHeight="1">
      <c r="B4612" s="324"/>
      <c r="C4612" s="325"/>
      <c r="D4612" s="326"/>
      <c r="E4612" s="326"/>
      <c r="F4612" s="326"/>
      <c r="G4612" s="326"/>
      <c r="H4612" s="326"/>
      <c r="P4612" s="318"/>
      <c r="Q4612" s="318"/>
      <c r="R4612" s="318"/>
      <c r="S4612" s="318"/>
      <c r="T4612" s="318"/>
      <c r="U4612" s="318"/>
      <c r="V4612" s="318"/>
      <c r="W4612" s="318"/>
      <c r="X4612" s="318"/>
      <c r="Y4612" s="318"/>
      <c r="Z4612" s="318"/>
      <c r="AA4612" s="318"/>
      <c r="AB4612" s="318"/>
      <c r="AC4612" s="318"/>
      <c r="AD4612" s="318"/>
    </row>
    <row r="4613" spans="2:30" s="323" customFormat="1" ht="12" customHeight="1">
      <c r="B4613" s="324"/>
      <c r="C4613" s="325"/>
      <c r="D4613" s="326"/>
      <c r="E4613" s="326"/>
      <c r="F4613" s="326"/>
      <c r="G4613" s="326"/>
      <c r="H4613" s="326"/>
      <c r="P4613" s="318"/>
      <c r="Q4613" s="318"/>
      <c r="R4613" s="318"/>
      <c r="S4613" s="318"/>
      <c r="T4613" s="318"/>
      <c r="U4613" s="318"/>
      <c r="V4613" s="318"/>
      <c r="W4613" s="318"/>
      <c r="X4613" s="318"/>
      <c r="Y4613" s="318"/>
      <c r="Z4613" s="318"/>
      <c r="AA4613" s="318"/>
      <c r="AB4613" s="318"/>
      <c r="AC4613" s="318"/>
      <c r="AD4613" s="318"/>
    </row>
    <row r="4614" spans="2:30" s="323" customFormat="1" ht="12" customHeight="1">
      <c r="B4614" s="324"/>
      <c r="C4614" s="325"/>
      <c r="D4614" s="326"/>
      <c r="E4614" s="326"/>
      <c r="F4614" s="326"/>
      <c r="G4614" s="326"/>
      <c r="H4614" s="326"/>
      <c r="P4614" s="318"/>
      <c r="Q4614" s="318"/>
      <c r="R4614" s="318"/>
      <c r="S4614" s="318"/>
      <c r="T4614" s="318"/>
      <c r="U4614" s="318"/>
      <c r="V4614" s="318"/>
      <c r="W4614" s="318"/>
      <c r="X4614" s="318"/>
      <c r="Y4614" s="318"/>
      <c r="Z4614" s="318"/>
      <c r="AA4614" s="318"/>
      <c r="AB4614" s="318"/>
      <c r="AC4614" s="318"/>
      <c r="AD4614" s="318"/>
    </row>
    <row r="4615" spans="2:30" s="323" customFormat="1" ht="12" customHeight="1">
      <c r="B4615" s="324"/>
      <c r="C4615" s="325"/>
      <c r="D4615" s="326"/>
      <c r="E4615" s="326"/>
      <c r="F4615" s="326"/>
      <c r="G4615" s="326"/>
      <c r="H4615" s="326"/>
      <c r="P4615" s="318"/>
      <c r="Q4615" s="318"/>
      <c r="R4615" s="318"/>
      <c r="S4615" s="318"/>
      <c r="T4615" s="318"/>
      <c r="U4615" s="318"/>
      <c r="V4615" s="318"/>
      <c r="W4615" s="318"/>
      <c r="X4615" s="318"/>
      <c r="Y4615" s="318"/>
      <c r="Z4615" s="318"/>
      <c r="AA4615" s="318"/>
      <c r="AB4615" s="318"/>
      <c r="AC4615" s="318"/>
      <c r="AD4615" s="318"/>
    </row>
    <row r="4616" spans="2:30" s="323" customFormat="1" ht="12" customHeight="1">
      <c r="B4616" s="324"/>
      <c r="C4616" s="325"/>
      <c r="D4616" s="326"/>
      <c r="E4616" s="326"/>
      <c r="F4616" s="326"/>
      <c r="G4616" s="326"/>
      <c r="H4616" s="326"/>
      <c r="P4616" s="318"/>
      <c r="Q4616" s="318"/>
      <c r="R4616" s="318"/>
      <c r="S4616" s="318"/>
      <c r="T4616" s="318"/>
      <c r="U4616" s="318"/>
      <c r="V4616" s="318"/>
      <c r="W4616" s="318"/>
      <c r="X4616" s="318"/>
      <c r="Y4616" s="318"/>
      <c r="Z4616" s="318"/>
      <c r="AA4616" s="318"/>
      <c r="AB4616" s="318"/>
      <c r="AC4616" s="318"/>
      <c r="AD4616" s="318"/>
    </row>
    <row r="4617" spans="2:30" s="323" customFormat="1" ht="12" customHeight="1">
      <c r="B4617" s="324"/>
      <c r="C4617" s="325"/>
      <c r="D4617" s="326"/>
      <c r="E4617" s="326"/>
      <c r="F4617" s="326"/>
      <c r="G4617" s="326"/>
      <c r="H4617" s="326"/>
      <c r="P4617" s="318"/>
      <c r="Q4617" s="318"/>
      <c r="R4617" s="318"/>
      <c r="S4617" s="318"/>
      <c r="T4617" s="318"/>
      <c r="U4617" s="318"/>
      <c r="V4617" s="318"/>
      <c r="W4617" s="318"/>
      <c r="X4617" s="318"/>
      <c r="Y4617" s="318"/>
      <c r="Z4617" s="318"/>
      <c r="AA4617" s="318"/>
      <c r="AB4617" s="318"/>
      <c r="AC4617" s="318"/>
      <c r="AD4617" s="318"/>
    </row>
    <row r="4618" spans="2:30" s="323" customFormat="1" ht="12" customHeight="1">
      <c r="B4618" s="324"/>
      <c r="C4618" s="325"/>
      <c r="D4618" s="326"/>
      <c r="E4618" s="326"/>
      <c r="F4618" s="326"/>
      <c r="G4618" s="326"/>
      <c r="H4618" s="326"/>
      <c r="P4618" s="318"/>
      <c r="Q4618" s="318"/>
      <c r="R4618" s="318"/>
      <c r="S4618" s="318"/>
      <c r="T4618" s="318"/>
      <c r="U4618" s="318"/>
      <c r="V4618" s="318"/>
      <c r="W4618" s="318"/>
      <c r="X4618" s="318"/>
      <c r="Y4618" s="318"/>
      <c r="Z4618" s="318"/>
      <c r="AA4618" s="318"/>
      <c r="AB4618" s="318"/>
      <c r="AC4618" s="318"/>
      <c r="AD4618" s="318"/>
    </row>
    <row r="4619" spans="2:30" s="323" customFormat="1" ht="12" customHeight="1">
      <c r="B4619" s="324"/>
      <c r="C4619" s="325"/>
      <c r="D4619" s="326"/>
      <c r="E4619" s="326"/>
      <c r="F4619" s="326"/>
      <c r="G4619" s="326"/>
      <c r="H4619" s="326"/>
      <c r="P4619" s="318"/>
      <c r="Q4619" s="318"/>
      <c r="R4619" s="318"/>
      <c r="S4619" s="318"/>
      <c r="T4619" s="318"/>
      <c r="U4619" s="318"/>
      <c r="V4619" s="318"/>
      <c r="W4619" s="318"/>
      <c r="X4619" s="318"/>
      <c r="Y4619" s="318"/>
      <c r="Z4619" s="318"/>
      <c r="AA4619" s="318"/>
      <c r="AB4619" s="318"/>
      <c r="AC4619" s="318"/>
      <c r="AD4619" s="318"/>
    </row>
    <row r="4620" spans="2:30" s="323" customFormat="1" ht="12" customHeight="1">
      <c r="B4620" s="324"/>
      <c r="C4620" s="325"/>
      <c r="D4620" s="326"/>
      <c r="E4620" s="326"/>
      <c r="F4620" s="326"/>
      <c r="G4620" s="326"/>
      <c r="H4620" s="326"/>
      <c r="P4620" s="318"/>
      <c r="Q4620" s="318"/>
      <c r="R4620" s="318"/>
      <c r="S4620" s="318"/>
      <c r="T4620" s="318"/>
      <c r="U4620" s="318"/>
      <c r="V4620" s="318"/>
      <c r="W4620" s="318"/>
      <c r="X4620" s="318"/>
      <c r="Y4620" s="318"/>
      <c r="Z4620" s="318"/>
      <c r="AA4620" s="318"/>
      <c r="AB4620" s="318"/>
      <c r="AC4620" s="318"/>
      <c r="AD4620" s="318"/>
    </row>
    <row r="4621" spans="2:30" s="323" customFormat="1" ht="12" customHeight="1">
      <c r="B4621" s="324"/>
      <c r="C4621" s="325"/>
      <c r="D4621" s="326"/>
      <c r="E4621" s="326"/>
      <c r="F4621" s="326"/>
      <c r="G4621" s="326"/>
      <c r="H4621" s="326"/>
      <c r="P4621" s="318"/>
      <c r="Q4621" s="318"/>
      <c r="R4621" s="318"/>
      <c r="S4621" s="318"/>
      <c r="T4621" s="318"/>
      <c r="U4621" s="318"/>
      <c r="V4621" s="318"/>
      <c r="W4621" s="318"/>
      <c r="X4621" s="318"/>
      <c r="Y4621" s="318"/>
      <c r="Z4621" s="318"/>
      <c r="AA4621" s="318"/>
      <c r="AB4621" s="318"/>
      <c r="AC4621" s="318"/>
      <c r="AD4621" s="318"/>
    </row>
    <row r="4622" spans="2:30" s="323" customFormat="1" ht="12" customHeight="1">
      <c r="B4622" s="324"/>
      <c r="C4622" s="325"/>
      <c r="D4622" s="326"/>
      <c r="E4622" s="326"/>
      <c r="F4622" s="326"/>
      <c r="G4622" s="326"/>
      <c r="H4622" s="326"/>
      <c r="P4622" s="318"/>
      <c r="Q4622" s="318"/>
      <c r="R4622" s="318"/>
      <c r="S4622" s="318"/>
      <c r="T4622" s="318"/>
      <c r="U4622" s="318"/>
      <c r="V4622" s="318"/>
      <c r="W4622" s="318"/>
      <c r="X4622" s="318"/>
      <c r="Y4622" s="318"/>
      <c r="Z4622" s="318"/>
      <c r="AA4622" s="318"/>
      <c r="AB4622" s="318"/>
      <c r="AC4622" s="318"/>
      <c r="AD4622" s="318"/>
    </row>
    <row r="4623" spans="2:30" s="323" customFormat="1" ht="12" customHeight="1">
      <c r="B4623" s="324"/>
      <c r="C4623" s="325"/>
      <c r="D4623" s="326"/>
      <c r="E4623" s="326"/>
      <c r="F4623" s="326"/>
      <c r="G4623" s="326"/>
      <c r="H4623" s="326"/>
      <c r="P4623" s="318"/>
      <c r="Q4623" s="318"/>
      <c r="R4623" s="318"/>
      <c r="S4623" s="318"/>
      <c r="T4623" s="318"/>
      <c r="U4623" s="318"/>
      <c r="V4623" s="318"/>
      <c r="W4623" s="318"/>
      <c r="X4623" s="318"/>
      <c r="Y4623" s="318"/>
      <c r="Z4623" s="318"/>
      <c r="AA4623" s="318"/>
      <c r="AB4623" s="318"/>
      <c r="AC4623" s="318"/>
      <c r="AD4623" s="318"/>
    </row>
    <row r="4624" spans="2:30" s="323" customFormat="1" ht="12" customHeight="1">
      <c r="B4624" s="324"/>
      <c r="C4624" s="325"/>
      <c r="D4624" s="326"/>
      <c r="E4624" s="326"/>
      <c r="F4624" s="326"/>
      <c r="G4624" s="326"/>
      <c r="H4624" s="326"/>
      <c r="P4624" s="318"/>
      <c r="Q4624" s="318"/>
      <c r="R4624" s="318"/>
      <c r="S4624" s="318"/>
      <c r="T4624" s="318"/>
      <c r="U4624" s="318"/>
      <c r="V4624" s="318"/>
      <c r="W4624" s="318"/>
      <c r="X4624" s="318"/>
      <c r="Y4624" s="318"/>
      <c r="Z4624" s="318"/>
      <c r="AA4624" s="318"/>
      <c r="AB4624" s="318"/>
      <c r="AC4624" s="318"/>
      <c r="AD4624" s="318"/>
    </row>
    <row r="4625" spans="2:30" s="323" customFormat="1" ht="12" customHeight="1">
      <c r="B4625" s="324"/>
      <c r="C4625" s="325"/>
      <c r="D4625" s="326"/>
      <c r="E4625" s="326"/>
      <c r="F4625" s="326"/>
      <c r="G4625" s="326"/>
      <c r="H4625" s="326"/>
      <c r="P4625" s="318"/>
      <c r="Q4625" s="318"/>
      <c r="R4625" s="318"/>
      <c r="S4625" s="318"/>
      <c r="T4625" s="318"/>
      <c r="U4625" s="318"/>
      <c r="V4625" s="318"/>
      <c r="W4625" s="318"/>
      <c r="X4625" s="318"/>
      <c r="Y4625" s="318"/>
      <c r="Z4625" s="318"/>
      <c r="AA4625" s="318"/>
      <c r="AB4625" s="318"/>
      <c r="AC4625" s="318"/>
      <c r="AD4625" s="318"/>
    </row>
    <row r="4626" spans="2:30" s="323" customFormat="1" ht="12" customHeight="1">
      <c r="B4626" s="324"/>
      <c r="C4626" s="325"/>
      <c r="D4626" s="326"/>
      <c r="E4626" s="326"/>
      <c r="F4626" s="326"/>
      <c r="G4626" s="326"/>
      <c r="H4626" s="326"/>
      <c r="P4626" s="318"/>
      <c r="Q4626" s="318"/>
      <c r="R4626" s="318"/>
      <c r="S4626" s="318"/>
      <c r="T4626" s="318"/>
      <c r="U4626" s="318"/>
      <c r="V4626" s="318"/>
      <c r="W4626" s="318"/>
      <c r="X4626" s="318"/>
      <c r="Y4626" s="318"/>
      <c r="Z4626" s="318"/>
      <c r="AA4626" s="318"/>
      <c r="AB4626" s="318"/>
      <c r="AC4626" s="318"/>
      <c r="AD4626" s="318"/>
    </row>
    <row r="4627" spans="2:30" s="323" customFormat="1" ht="12" customHeight="1">
      <c r="B4627" s="324"/>
      <c r="C4627" s="325"/>
      <c r="D4627" s="326"/>
      <c r="E4627" s="326"/>
      <c r="F4627" s="326"/>
      <c r="G4627" s="326"/>
      <c r="H4627" s="326"/>
      <c r="P4627" s="318"/>
      <c r="Q4627" s="318"/>
      <c r="R4627" s="318"/>
      <c r="S4627" s="318"/>
      <c r="T4627" s="318"/>
      <c r="U4627" s="318"/>
      <c r="V4627" s="318"/>
      <c r="W4627" s="318"/>
      <c r="X4627" s="318"/>
      <c r="Y4627" s="318"/>
      <c r="Z4627" s="318"/>
      <c r="AA4627" s="318"/>
      <c r="AB4627" s="318"/>
      <c r="AC4627" s="318"/>
      <c r="AD4627" s="318"/>
    </row>
    <row r="4628" spans="2:30" s="323" customFormat="1" ht="12" customHeight="1">
      <c r="B4628" s="324"/>
      <c r="C4628" s="325"/>
      <c r="D4628" s="326"/>
      <c r="E4628" s="326"/>
      <c r="F4628" s="326"/>
      <c r="G4628" s="326"/>
      <c r="H4628" s="326"/>
      <c r="P4628" s="318"/>
      <c r="Q4628" s="318"/>
      <c r="R4628" s="318"/>
      <c r="S4628" s="318"/>
      <c r="T4628" s="318"/>
      <c r="U4628" s="318"/>
      <c r="V4628" s="318"/>
      <c r="W4628" s="318"/>
      <c r="X4628" s="318"/>
      <c r="Y4628" s="318"/>
      <c r="Z4628" s="318"/>
      <c r="AA4628" s="318"/>
      <c r="AB4628" s="318"/>
      <c r="AC4628" s="318"/>
      <c r="AD4628" s="318"/>
    </row>
    <row r="4629" spans="2:30" s="323" customFormat="1" ht="12" customHeight="1">
      <c r="B4629" s="324"/>
      <c r="C4629" s="325"/>
      <c r="D4629" s="326"/>
      <c r="E4629" s="326"/>
      <c r="F4629" s="326"/>
      <c r="G4629" s="326"/>
      <c r="H4629" s="326"/>
      <c r="P4629" s="318"/>
      <c r="Q4629" s="318"/>
      <c r="R4629" s="318"/>
      <c r="S4629" s="318"/>
      <c r="T4629" s="318"/>
      <c r="U4629" s="318"/>
      <c r="V4629" s="318"/>
      <c r="W4629" s="318"/>
      <c r="X4629" s="318"/>
      <c r="Y4629" s="318"/>
      <c r="Z4629" s="318"/>
      <c r="AA4629" s="318"/>
      <c r="AB4629" s="318"/>
      <c r="AC4629" s="318"/>
      <c r="AD4629" s="318"/>
    </row>
    <row r="4630" spans="2:30" s="323" customFormat="1" ht="12" customHeight="1">
      <c r="B4630" s="324"/>
      <c r="C4630" s="325"/>
      <c r="D4630" s="326"/>
      <c r="E4630" s="326"/>
      <c r="F4630" s="326"/>
      <c r="G4630" s="326"/>
      <c r="H4630" s="326"/>
      <c r="P4630" s="318"/>
      <c r="Q4630" s="318"/>
      <c r="R4630" s="318"/>
      <c r="S4630" s="318"/>
      <c r="T4630" s="318"/>
      <c r="U4630" s="318"/>
      <c r="V4630" s="318"/>
      <c r="W4630" s="318"/>
      <c r="X4630" s="318"/>
      <c r="Y4630" s="318"/>
      <c r="Z4630" s="318"/>
      <c r="AA4630" s="318"/>
      <c r="AB4630" s="318"/>
      <c r="AC4630" s="318"/>
      <c r="AD4630" s="318"/>
    </row>
    <row r="4631" spans="2:30" s="323" customFormat="1" ht="12" customHeight="1">
      <c r="B4631" s="324"/>
      <c r="C4631" s="325"/>
      <c r="D4631" s="326"/>
      <c r="E4631" s="326"/>
      <c r="F4631" s="326"/>
      <c r="G4631" s="326"/>
      <c r="H4631" s="326"/>
      <c r="P4631" s="318"/>
      <c r="Q4631" s="318"/>
      <c r="R4631" s="318"/>
      <c r="S4631" s="318"/>
      <c r="T4631" s="318"/>
      <c r="U4631" s="318"/>
      <c r="V4631" s="318"/>
      <c r="W4631" s="318"/>
      <c r="X4631" s="318"/>
      <c r="Y4631" s="318"/>
      <c r="Z4631" s="318"/>
      <c r="AA4631" s="318"/>
      <c r="AB4631" s="318"/>
      <c r="AC4631" s="318"/>
      <c r="AD4631" s="318"/>
    </row>
    <row r="4632" spans="2:30" s="323" customFormat="1" ht="12" customHeight="1">
      <c r="B4632" s="324"/>
      <c r="C4632" s="325"/>
      <c r="D4632" s="326"/>
      <c r="E4632" s="326"/>
      <c r="F4632" s="326"/>
      <c r="G4632" s="326"/>
      <c r="H4632" s="326"/>
      <c r="P4632" s="318"/>
      <c r="Q4632" s="318"/>
      <c r="R4632" s="318"/>
      <c r="S4632" s="318"/>
      <c r="T4632" s="318"/>
      <c r="U4632" s="318"/>
      <c r="V4632" s="318"/>
      <c r="W4632" s="318"/>
      <c r="X4632" s="318"/>
      <c r="Y4632" s="318"/>
      <c r="Z4632" s="318"/>
      <c r="AA4632" s="318"/>
      <c r="AB4632" s="318"/>
      <c r="AC4632" s="318"/>
      <c r="AD4632" s="318"/>
    </row>
    <row r="4633" spans="2:30" s="323" customFormat="1" ht="12" customHeight="1">
      <c r="B4633" s="324"/>
      <c r="C4633" s="325"/>
      <c r="D4633" s="326"/>
      <c r="E4633" s="326"/>
      <c r="F4633" s="326"/>
      <c r="G4633" s="326"/>
      <c r="H4633" s="326"/>
      <c r="P4633" s="318"/>
      <c r="Q4633" s="318"/>
      <c r="R4633" s="318"/>
      <c r="S4633" s="318"/>
      <c r="T4633" s="318"/>
      <c r="U4633" s="318"/>
      <c r="V4633" s="318"/>
      <c r="W4633" s="318"/>
      <c r="X4633" s="318"/>
      <c r="Y4633" s="318"/>
      <c r="Z4633" s="318"/>
      <c r="AA4633" s="318"/>
      <c r="AB4633" s="318"/>
      <c r="AC4633" s="318"/>
      <c r="AD4633" s="318"/>
    </row>
    <row r="4634" spans="2:30" s="323" customFormat="1" ht="12" customHeight="1">
      <c r="B4634" s="324"/>
      <c r="C4634" s="325"/>
      <c r="D4634" s="326"/>
      <c r="E4634" s="326"/>
      <c r="F4634" s="326"/>
      <c r="G4634" s="326"/>
      <c r="H4634" s="326"/>
      <c r="P4634" s="318"/>
      <c r="Q4634" s="318"/>
      <c r="R4634" s="318"/>
      <c r="S4634" s="318"/>
      <c r="T4634" s="318"/>
      <c r="U4634" s="318"/>
      <c r="V4634" s="318"/>
      <c r="W4634" s="318"/>
      <c r="X4634" s="318"/>
      <c r="Y4634" s="318"/>
      <c r="Z4634" s="318"/>
      <c r="AA4634" s="318"/>
      <c r="AB4634" s="318"/>
      <c r="AC4634" s="318"/>
      <c r="AD4634" s="318"/>
    </row>
    <row r="4635" spans="2:30" s="323" customFormat="1" ht="12" customHeight="1">
      <c r="B4635" s="324"/>
      <c r="C4635" s="325"/>
      <c r="D4635" s="326"/>
      <c r="E4635" s="326"/>
      <c r="F4635" s="326"/>
      <c r="G4635" s="326"/>
      <c r="H4635" s="326"/>
      <c r="P4635" s="318"/>
      <c r="Q4635" s="318"/>
      <c r="R4635" s="318"/>
      <c r="S4635" s="318"/>
      <c r="T4635" s="318"/>
      <c r="U4635" s="318"/>
      <c r="V4635" s="318"/>
      <c r="W4635" s="318"/>
      <c r="X4635" s="318"/>
      <c r="Y4635" s="318"/>
      <c r="Z4635" s="318"/>
      <c r="AA4635" s="318"/>
      <c r="AB4635" s="318"/>
      <c r="AC4635" s="318"/>
      <c r="AD4635" s="318"/>
    </row>
    <row r="4636" spans="2:30" s="323" customFormat="1" ht="12" customHeight="1">
      <c r="B4636" s="324"/>
      <c r="C4636" s="325"/>
      <c r="D4636" s="326"/>
      <c r="E4636" s="326"/>
      <c r="F4636" s="326"/>
      <c r="G4636" s="326"/>
      <c r="H4636" s="326"/>
      <c r="P4636" s="318"/>
      <c r="Q4636" s="318"/>
      <c r="R4636" s="318"/>
      <c r="S4636" s="318"/>
      <c r="T4636" s="318"/>
      <c r="U4636" s="318"/>
      <c r="V4636" s="318"/>
      <c r="W4636" s="318"/>
      <c r="X4636" s="318"/>
      <c r="Y4636" s="318"/>
      <c r="Z4636" s="318"/>
      <c r="AA4636" s="318"/>
      <c r="AB4636" s="318"/>
      <c r="AC4636" s="318"/>
      <c r="AD4636" s="318"/>
    </row>
    <row r="4637" spans="2:30" s="323" customFormat="1" ht="12" customHeight="1">
      <c r="B4637" s="324"/>
      <c r="C4637" s="325"/>
      <c r="D4637" s="326"/>
      <c r="E4637" s="326"/>
      <c r="F4637" s="326"/>
      <c r="G4637" s="326"/>
      <c r="H4637" s="326"/>
      <c r="P4637" s="318"/>
      <c r="Q4637" s="318"/>
      <c r="R4637" s="318"/>
      <c r="S4637" s="318"/>
      <c r="T4637" s="318"/>
      <c r="U4637" s="318"/>
      <c r="V4637" s="318"/>
      <c r="W4637" s="318"/>
      <c r="X4637" s="318"/>
      <c r="Y4637" s="318"/>
      <c r="Z4637" s="318"/>
      <c r="AA4637" s="318"/>
      <c r="AB4637" s="318"/>
      <c r="AC4637" s="318"/>
      <c r="AD4637" s="318"/>
    </row>
    <row r="4638" spans="2:30" s="323" customFormat="1" ht="12" customHeight="1">
      <c r="B4638" s="324"/>
      <c r="C4638" s="325"/>
      <c r="D4638" s="326"/>
      <c r="E4638" s="326"/>
      <c r="F4638" s="326"/>
      <c r="G4638" s="326"/>
      <c r="H4638" s="326"/>
      <c r="P4638" s="318"/>
      <c r="Q4638" s="318"/>
      <c r="R4638" s="318"/>
      <c r="S4638" s="318"/>
      <c r="T4638" s="318"/>
      <c r="U4638" s="318"/>
      <c r="V4638" s="318"/>
      <c r="W4638" s="318"/>
      <c r="X4638" s="318"/>
      <c r="Y4638" s="318"/>
      <c r="Z4638" s="318"/>
      <c r="AA4638" s="318"/>
      <c r="AB4638" s="318"/>
      <c r="AC4638" s="318"/>
      <c r="AD4638" s="318"/>
    </row>
    <row r="4639" spans="2:30" s="323" customFormat="1" ht="12" customHeight="1">
      <c r="B4639" s="324"/>
      <c r="C4639" s="325"/>
      <c r="D4639" s="326"/>
      <c r="E4639" s="326"/>
      <c r="F4639" s="326"/>
      <c r="G4639" s="326"/>
      <c r="H4639" s="326"/>
      <c r="P4639" s="318"/>
      <c r="Q4639" s="318"/>
      <c r="R4639" s="318"/>
      <c r="S4639" s="318"/>
      <c r="T4639" s="318"/>
      <c r="U4639" s="318"/>
      <c r="V4639" s="318"/>
      <c r="W4639" s="318"/>
      <c r="X4639" s="318"/>
      <c r="Y4639" s="318"/>
      <c r="Z4639" s="318"/>
      <c r="AA4639" s="318"/>
      <c r="AB4639" s="318"/>
      <c r="AC4639" s="318"/>
      <c r="AD4639" s="318"/>
    </row>
    <row r="4640" spans="2:30" s="323" customFormat="1" ht="12" customHeight="1">
      <c r="B4640" s="324"/>
      <c r="C4640" s="325"/>
      <c r="D4640" s="326"/>
      <c r="E4640" s="326"/>
      <c r="F4640" s="326"/>
      <c r="G4640" s="326"/>
      <c r="H4640" s="326"/>
      <c r="P4640" s="318"/>
      <c r="Q4640" s="318"/>
      <c r="R4640" s="318"/>
      <c r="S4640" s="318"/>
      <c r="T4640" s="318"/>
      <c r="U4640" s="318"/>
      <c r="V4640" s="318"/>
      <c r="W4640" s="318"/>
      <c r="X4640" s="318"/>
      <c r="Y4640" s="318"/>
      <c r="Z4640" s="318"/>
      <c r="AA4640" s="318"/>
      <c r="AB4640" s="318"/>
      <c r="AC4640" s="318"/>
      <c r="AD4640" s="318"/>
    </row>
    <row r="4641" spans="2:30" s="323" customFormat="1" ht="12" customHeight="1">
      <c r="B4641" s="324"/>
      <c r="C4641" s="325"/>
      <c r="D4641" s="326"/>
      <c r="E4641" s="326"/>
      <c r="F4641" s="326"/>
      <c r="G4641" s="326"/>
      <c r="H4641" s="326"/>
      <c r="P4641" s="318"/>
      <c r="Q4641" s="318"/>
      <c r="R4641" s="318"/>
      <c r="S4641" s="318"/>
      <c r="T4641" s="318"/>
      <c r="U4641" s="318"/>
      <c r="V4641" s="318"/>
      <c r="W4641" s="318"/>
      <c r="X4641" s="318"/>
      <c r="Y4641" s="318"/>
      <c r="Z4641" s="318"/>
      <c r="AA4641" s="318"/>
      <c r="AB4641" s="318"/>
      <c r="AC4641" s="318"/>
      <c r="AD4641" s="318"/>
    </row>
    <row r="4642" spans="2:30" s="323" customFormat="1" ht="12" customHeight="1">
      <c r="B4642" s="324"/>
      <c r="C4642" s="325"/>
      <c r="D4642" s="326"/>
      <c r="E4642" s="326"/>
      <c r="F4642" s="326"/>
      <c r="G4642" s="326"/>
      <c r="H4642" s="326"/>
      <c r="P4642" s="318"/>
      <c r="Q4642" s="318"/>
      <c r="R4642" s="318"/>
      <c r="S4642" s="318"/>
      <c r="T4642" s="318"/>
      <c r="U4642" s="318"/>
      <c r="V4642" s="318"/>
      <c r="W4642" s="318"/>
      <c r="X4642" s="318"/>
      <c r="Y4642" s="318"/>
      <c r="Z4642" s="318"/>
      <c r="AA4642" s="318"/>
      <c r="AB4642" s="318"/>
      <c r="AC4642" s="318"/>
      <c r="AD4642" s="318"/>
    </row>
    <row r="4643" spans="2:30" s="323" customFormat="1" ht="12" customHeight="1">
      <c r="B4643" s="324"/>
      <c r="C4643" s="325"/>
      <c r="D4643" s="326"/>
      <c r="E4643" s="326"/>
      <c r="F4643" s="326"/>
      <c r="G4643" s="326"/>
      <c r="H4643" s="326"/>
      <c r="P4643" s="318"/>
      <c r="Q4643" s="318"/>
      <c r="R4643" s="318"/>
      <c r="S4643" s="318"/>
      <c r="T4643" s="318"/>
      <c r="U4643" s="318"/>
      <c r="V4643" s="318"/>
      <c r="W4643" s="318"/>
      <c r="X4643" s="318"/>
      <c r="Y4643" s="318"/>
      <c r="Z4643" s="318"/>
      <c r="AA4643" s="318"/>
      <c r="AB4643" s="318"/>
      <c r="AC4643" s="318"/>
      <c r="AD4643" s="318"/>
    </row>
    <row r="4644" spans="2:30" s="323" customFormat="1" ht="12" customHeight="1">
      <c r="B4644" s="324"/>
      <c r="C4644" s="325"/>
      <c r="D4644" s="326"/>
      <c r="E4644" s="326"/>
      <c r="F4644" s="326"/>
      <c r="G4644" s="326"/>
      <c r="H4644" s="326"/>
      <c r="P4644" s="318"/>
      <c r="Q4644" s="318"/>
      <c r="R4644" s="318"/>
      <c r="S4644" s="318"/>
      <c r="T4644" s="318"/>
      <c r="U4644" s="318"/>
      <c r="V4644" s="318"/>
      <c r="W4644" s="318"/>
      <c r="X4644" s="318"/>
      <c r="Y4644" s="318"/>
      <c r="Z4644" s="318"/>
      <c r="AA4644" s="318"/>
      <c r="AB4644" s="318"/>
      <c r="AC4644" s="318"/>
      <c r="AD4644" s="318"/>
    </row>
    <row r="4645" spans="2:30" s="323" customFormat="1" ht="12" customHeight="1">
      <c r="B4645" s="324"/>
      <c r="C4645" s="325"/>
      <c r="D4645" s="326"/>
      <c r="E4645" s="326"/>
      <c r="F4645" s="326"/>
      <c r="G4645" s="326"/>
      <c r="H4645" s="326"/>
      <c r="P4645" s="318"/>
      <c r="Q4645" s="318"/>
      <c r="R4645" s="318"/>
      <c r="S4645" s="318"/>
      <c r="T4645" s="318"/>
      <c r="U4645" s="318"/>
      <c r="V4645" s="318"/>
      <c r="W4645" s="318"/>
      <c r="X4645" s="318"/>
      <c r="Y4645" s="318"/>
      <c r="Z4645" s="318"/>
      <c r="AA4645" s="318"/>
      <c r="AB4645" s="318"/>
      <c r="AC4645" s="318"/>
      <c r="AD4645" s="318"/>
    </row>
    <row r="4646" spans="2:30" s="323" customFormat="1" ht="12" customHeight="1">
      <c r="B4646" s="324"/>
      <c r="C4646" s="325"/>
      <c r="D4646" s="326"/>
      <c r="E4646" s="326"/>
      <c r="F4646" s="326"/>
      <c r="G4646" s="326"/>
      <c r="H4646" s="326"/>
      <c r="P4646" s="318"/>
      <c r="Q4646" s="318"/>
      <c r="R4646" s="318"/>
      <c r="S4646" s="318"/>
      <c r="T4646" s="318"/>
      <c r="U4646" s="318"/>
      <c r="V4646" s="318"/>
      <c r="W4646" s="318"/>
      <c r="X4646" s="318"/>
      <c r="Y4646" s="318"/>
      <c r="Z4646" s="318"/>
      <c r="AA4646" s="318"/>
      <c r="AB4646" s="318"/>
      <c r="AC4646" s="318"/>
      <c r="AD4646" s="318"/>
    </row>
    <row r="4647" spans="2:30" s="323" customFormat="1" ht="12" customHeight="1">
      <c r="B4647" s="324"/>
      <c r="C4647" s="325"/>
      <c r="D4647" s="326"/>
      <c r="E4647" s="326"/>
      <c r="F4647" s="326"/>
      <c r="G4647" s="326"/>
      <c r="H4647" s="326"/>
      <c r="P4647" s="318"/>
      <c r="Q4647" s="318"/>
      <c r="R4647" s="318"/>
      <c r="S4647" s="318"/>
      <c r="T4647" s="318"/>
      <c r="U4647" s="318"/>
      <c r="V4647" s="318"/>
      <c r="W4647" s="318"/>
      <c r="X4647" s="318"/>
      <c r="Y4647" s="318"/>
      <c r="Z4647" s="318"/>
      <c r="AA4647" s="318"/>
      <c r="AB4647" s="318"/>
      <c r="AC4647" s="318"/>
      <c r="AD4647" s="318"/>
    </row>
    <row r="4648" spans="2:30" s="323" customFormat="1" ht="12" customHeight="1">
      <c r="B4648" s="324"/>
      <c r="C4648" s="325"/>
      <c r="D4648" s="326"/>
      <c r="E4648" s="326"/>
      <c r="F4648" s="326"/>
      <c r="G4648" s="326"/>
      <c r="H4648" s="326"/>
      <c r="P4648" s="318"/>
      <c r="Q4648" s="318"/>
      <c r="R4648" s="318"/>
      <c r="S4648" s="318"/>
      <c r="T4648" s="318"/>
      <c r="U4648" s="318"/>
      <c r="V4648" s="318"/>
      <c r="W4648" s="318"/>
      <c r="X4648" s="318"/>
      <c r="Y4648" s="318"/>
      <c r="Z4648" s="318"/>
      <c r="AA4648" s="318"/>
      <c r="AB4648" s="318"/>
      <c r="AC4648" s="318"/>
      <c r="AD4648" s="318"/>
    </row>
    <row r="4649" spans="2:30" s="323" customFormat="1" ht="12" customHeight="1">
      <c r="B4649" s="324"/>
      <c r="C4649" s="325"/>
      <c r="D4649" s="326"/>
      <c r="E4649" s="326"/>
      <c r="F4649" s="326"/>
      <c r="G4649" s="326"/>
      <c r="H4649" s="326"/>
      <c r="P4649" s="318"/>
      <c r="Q4649" s="318"/>
      <c r="R4649" s="318"/>
      <c r="S4649" s="318"/>
      <c r="T4649" s="318"/>
      <c r="U4649" s="318"/>
      <c r="V4649" s="318"/>
      <c r="W4649" s="318"/>
      <c r="X4649" s="318"/>
      <c r="Y4649" s="318"/>
      <c r="Z4649" s="318"/>
      <c r="AA4649" s="318"/>
      <c r="AB4649" s="318"/>
      <c r="AC4649" s="318"/>
      <c r="AD4649" s="318"/>
    </row>
    <row r="4650" spans="2:30" s="323" customFormat="1" ht="12" customHeight="1">
      <c r="B4650" s="324"/>
      <c r="C4650" s="325"/>
      <c r="D4650" s="326"/>
      <c r="E4650" s="326"/>
      <c r="F4650" s="326"/>
      <c r="G4650" s="326"/>
      <c r="H4650" s="326"/>
      <c r="P4650" s="318"/>
      <c r="Q4650" s="318"/>
      <c r="R4650" s="318"/>
      <c r="S4650" s="318"/>
      <c r="T4650" s="318"/>
      <c r="U4650" s="318"/>
      <c r="V4650" s="318"/>
      <c r="W4650" s="318"/>
      <c r="X4650" s="318"/>
      <c r="Y4650" s="318"/>
      <c r="Z4650" s="318"/>
      <c r="AA4650" s="318"/>
      <c r="AB4650" s="318"/>
      <c r="AC4650" s="318"/>
      <c r="AD4650" s="318"/>
    </row>
    <row r="4651" spans="2:30" s="323" customFormat="1" ht="12" customHeight="1">
      <c r="B4651" s="324"/>
      <c r="C4651" s="325"/>
      <c r="D4651" s="326"/>
      <c r="E4651" s="326"/>
      <c r="F4651" s="326"/>
      <c r="G4651" s="326"/>
      <c r="H4651" s="326"/>
      <c r="P4651" s="318"/>
      <c r="Q4651" s="318"/>
      <c r="R4651" s="318"/>
      <c r="S4651" s="318"/>
      <c r="T4651" s="318"/>
      <c r="U4651" s="318"/>
      <c r="V4651" s="318"/>
      <c r="W4651" s="318"/>
      <c r="X4651" s="318"/>
      <c r="Y4651" s="318"/>
      <c r="Z4651" s="318"/>
      <c r="AA4651" s="318"/>
      <c r="AB4651" s="318"/>
      <c r="AC4651" s="318"/>
      <c r="AD4651" s="318"/>
    </row>
    <row r="4652" spans="2:30" s="323" customFormat="1" ht="12" customHeight="1">
      <c r="B4652" s="324"/>
      <c r="C4652" s="325"/>
      <c r="D4652" s="326"/>
      <c r="E4652" s="326"/>
      <c r="F4652" s="326"/>
      <c r="G4652" s="326"/>
      <c r="H4652" s="326"/>
      <c r="P4652" s="318"/>
      <c r="Q4652" s="318"/>
      <c r="R4652" s="318"/>
      <c r="S4652" s="318"/>
      <c r="T4652" s="318"/>
      <c r="U4652" s="318"/>
      <c r="V4652" s="318"/>
      <c r="W4652" s="318"/>
      <c r="X4652" s="318"/>
      <c r="Y4652" s="318"/>
      <c r="Z4652" s="318"/>
      <c r="AA4652" s="318"/>
      <c r="AB4652" s="318"/>
      <c r="AC4652" s="318"/>
      <c r="AD4652" s="318"/>
    </row>
    <row r="4653" spans="2:30" s="323" customFormat="1" ht="12" customHeight="1">
      <c r="B4653" s="324"/>
      <c r="C4653" s="325"/>
      <c r="D4653" s="326"/>
      <c r="E4653" s="326"/>
      <c r="F4653" s="326"/>
      <c r="G4653" s="326"/>
      <c r="H4653" s="326"/>
      <c r="P4653" s="318"/>
      <c r="Q4653" s="318"/>
      <c r="R4653" s="318"/>
      <c r="S4653" s="318"/>
      <c r="T4653" s="318"/>
      <c r="U4653" s="318"/>
      <c r="V4653" s="318"/>
      <c r="W4653" s="318"/>
      <c r="X4653" s="318"/>
      <c r="Y4653" s="318"/>
      <c r="Z4653" s="318"/>
      <c r="AA4653" s="318"/>
      <c r="AB4653" s="318"/>
      <c r="AC4653" s="318"/>
      <c r="AD4653" s="318"/>
    </row>
    <row r="4654" spans="2:30" s="323" customFormat="1" ht="12" customHeight="1">
      <c r="B4654" s="324"/>
      <c r="C4654" s="325"/>
      <c r="D4654" s="326"/>
      <c r="E4654" s="326"/>
      <c r="F4654" s="326"/>
      <c r="G4654" s="326"/>
      <c r="H4654" s="326"/>
      <c r="P4654" s="318"/>
      <c r="Q4654" s="318"/>
      <c r="R4654" s="318"/>
      <c r="S4654" s="318"/>
      <c r="T4654" s="318"/>
      <c r="U4654" s="318"/>
      <c r="V4654" s="318"/>
      <c r="W4654" s="318"/>
      <c r="X4654" s="318"/>
      <c r="Y4654" s="318"/>
      <c r="Z4654" s="318"/>
      <c r="AA4654" s="318"/>
      <c r="AB4654" s="318"/>
      <c r="AC4654" s="318"/>
      <c r="AD4654" s="318"/>
    </row>
    <row r="4655" spans="2:30" s="323" customFormat="1" ht="12" customHeight="1">
      <c r="B4655" s="324"/>
      <c r="C4655" s="325"/>
      <c r="D4655" s="326"/>
      <c r="E4655" s="326"/>
      <c r="F4655" s="326"/>
      <c r="G4655" s="326"/>
      <c r="H4655" s="326"/>
      <c r="P4655" s="318"/>
      <c r="Q4655" s="318"/>
      <c r="R4655" s="318"/>
      <c r="S4655" s="318"/>
      <c r="T4655" s="318"/>
      <c r="U4655" s="318"/>
      <c r="V4655" s="318"/>
      <c r="W4655" s="318"/>
      <c r="X4655" s="318"/>
      <c r="Y4655" s="318"/>
      <c r="Z4655" s="318"/>
      <c r="AA4655" s="318"/>
      <c r="AB4655" s="318"/>
      <c r="AC4655" s="318"/>
      <c r="AD4655" s="318"/>
    </row>
    <row r="4656" spans="2:30" s="323" customFormat="1" ht="12" customHeight="1">
      <c r="B4656" s="324"/>
      <c r="C4656" s="325"/>
      <c r="D4656" s="326"/>
      <c r="E4656" s="326"/>
      <c r="F4656" s="326"/>
      <c r="G4656" s="326"/>
      <c r="H4656" s="326"/>
      <c r="P4656" s="318"/>
      <c r="Q4656" s="318"/>
      <c r="R4656" s="318"/>
      <c r="S4656" s="318"/>
      <c r="T4656" s="318"/>
      <c r="U4656" s="318"/>
      <c r="V4656" s="318"/>
      <c r="W4656" s="318"/>
      <c r="X4656" s="318"/>
      <c r="Y4656" s="318"/>
      <c r="Z4656" s="318"/>
      <c r="AA4656" s="318"/>
      <c r="AB4656" s="318"/>
      <c r="AC4656" s="318"/>
      <c r="AD4656" s="318"/>
    </row>
    <row r="4657" spans="2:30" s="323" customFormat="1" ht="12" customHeight="1">
      <c r="B4657" s="324"/>
      <c r="C4657" s="325"/>
      <c r="D4657" s="326"/>
      <c r="E4657" s="326"/>
      <c r="F4657" s="326"/>
      <c r="G4657" s="326"/>
      <c r="H4657" s="326"/>
      <c r="P4657" s="318"/>
      <c r="Q4657" s="318"/>
      <c r="R4657" s="318"/>
      <c r="S4657" s="318"/>
      <c r="T4657" s="318"/>
      <c r="U4657" s="318"/>
      <c r="V4657" s="318"/>
      <c r="W4657" s="318"/>
      <c r="X4657" s="318"/>
      <c r="Y4657" s="318"/>
      <c r="Z4657" s="318"/>
      <c r="AA4657" s="318"/>
      <c r="AB4657" s="318"/>
      <c r="AC4657" s="318"/>
      <c r="AD4657" s="318"/>
    </row>
    <row r="4658" spans="2:30" s="323" customFormat="1" ht="12" customHeight="1">
      <c r="B4658" s="324"/>
      <c r="C4658" s="325"/>
      <c r="D4658" s="326"/>
      <c r="E4658" s="326"/>
      <c r="F4658" s="326"/>
      <c r="G4658" s="326"/>
      <c r="H4658" s="326"/>
      <c r="P4658" s="318"/>
      <c r="Q4658" s="318"/>
      <c r="R4658" s="318"/>
      <c r="S4658" s="318"/>
      <c r="T4658" s="318"/>
      <c r="U4658" s="318"/>
      <c r="V4658" s="318"/>
      <c r="W4658" s="318"/>
      <c r="X4658" s="318"/>
      <c r="Y4658" s="318"/>
      <c r="Z4658" s="318"/>
      <c r="AA4658" s="318"/>
      <c r="AB4658" s="318"/>
      <c r="AC4658" s="318"/>
      <c r="AD4658" s="318"/>
    </row>
    <row r="4659" spans="2:30" s="323" customFormat="1" ht="12" customHeight="1">
      <c r="B4659" s="324"/>
      <c r="C4659" s="325"/>
      <c r="D4659" s="326"/>
      <c r="E4659" s="326"/>
      <c r="F4659" s="326"/>
      <c r="G4659" s="326"/>
      <c r="H4659" s="326"/>
      <c r="P4659" s="318"/>
      <c r="Q4659" s="318"/>
      <c r="R4659" s="318"/>
      <c r="S4659" s="318"/>
      <c r="T4659" s="318"/>
      <c r="U4659" s="318"/>
      <c r="V4659" s="318"/>
      <c r="W4659" s="318"/>
      <c r="X4659" s="318"/>
      <c r="Y4659" s="318"/>
      <c r="Z4659" s="318"/>
      <c r="AA4659" s="318"/>
      <c r="AB4659" s="318"/>
      <c r="AC4659" s="318"/>
      <c r="AD4659" s="318"/>
    </row>
    <row r="4660" spans="2:30" s="323" customFormat="1" ht="12" customHeight="1">
      <c r="B4660" s="324"/>
      <c r="C4660" s="325"/>
      <c r="D4660" s="326"/>
      <c r="E4660" s="326"/>
      <c r="F4660" s="326"/>
      <c r="G4660" s="326"/>
      <c r="H4660" s="326"/>
      <c r="P4660" s="318"/>
      <c r="Q4660" s="318"/>
      <c r="R4660" s="318"/>
      <c r="S4660" s="318"/>
      <c r="T4660" s="318"/>
      <c r="U4660" s="318"/>
      <c r="V4660" s="318"/>
      <c r="W4660" s="318"/>
      <c r="X4660" s="318"/>
      <c r="Y4660" s="318"/>
      <c r="Z4660" s="318"/>
      <c r="AA4660" s="318"/>
      <c r="AB4660" s="318"/>
      <c r="AC4660" s="318"/>
      <c r="AD4660" s="318"/>
    </row>
    <row r="4661" spans="2:30" s="323" customFormat="1" ht="12" customHeight="1">
      <c r="B4661" s="324"/>
      <c r="C4661" s="325"/>
      <c r="D4661" s="326"/>
      <c r="E4661" s="326"/>
      <c r="F4661" s="326"/>
      <c r="G4661" s="326"/>
      <c r="H4661" s="326"/>
      <c r="P4661" s="318"/>
      <c r="Q4661" s="318"/>
      <c r="R4661" s="318"/>
      <c r="S4661" s="318"/>
      <c r="T4661" s="318"/>
      <c r="U4661" s="318"/>
      <c r="V4661" s="318"/>
      <c r="W4661" s="318"/>
      <c r="X4661" s="318"/>
      <c r="Y4661" s="318"/>
      <c r="Z4661" s="318"/>
      <c r="AA4661" s="318"/>
      <c r="AB4661" s="318"/>
      <c r="AC4661" s="318"/>
      <c r="AD4661" s="318"/>
    </row>
    <row r="4662" spans="2:30" s="323" customFormat="1" ht="12" customHeight="1">
      <c r="B4662" s="324"/>
      <c r="C4662" s="325"/>
      <c r="D4662" s="326"/>
      <c r="E4662" s="326"/>
      <c r="F4662" s="326"/>
      <c r="G4662" s="326"/>
      <c r="H4662" s="326"/>
      <c r="P4662" s="318"/>
      <c r="Q4662" s="318"/>
      <c r="R4662" s="318"/>
      <c r="S4662" s="318"/>
      <c r="T4662" s="318"/>
      <c r="U4662" s="318"/>
      <c r="V4662" s="318"/>
      <c r="W4662" s="318"/>
      <c r="X4662" s="318"/>
      <c r="Y4662" s="318"/>
      <c r="Z4662" s="318"/>
      <c r="AA4662" s="318"/>
      <c r="AB4662" s="318"/>
      <c r="AC4662" s="318"/>
      <c r="AD4662" s="318"/>
    </row>
    <row r="4663" spans="2:30" s="323" customFormat="1" ht="12" customHeight="1">
      <c r="B4663" s="324"/>
      <c r="C4663" s="325"/>
      <c r="D4663" s="326"/>
      <c r="E4663" s="326"/>
      <c r="F4663" s="326"/>
      <c r="G4663" s="326"/>
      <c r="H4663" s="326"/>
      <c r="P4663" s="318"/>
      <c r="Q4663" s="318"/>
      <c r="R4663" s="318"/>
      <c r="S4663" s="318"/>
      <c r="T4663" s="318"/>
      <c r="U4663" s="318"/>
      <c r="V4663" s="318"/>
      <c r="W4663" s="318"/>
      <c r="X4663" s="318"/>
      <c r="Y4663" s="318"/>
      <c r="Z4663" s="318"/>
      <c r="AA4663" s="318"/>
      <c r="AB4663" s="318"/>
      <c r="AC4663" s="318"/>
      <c r="AD4663" s="318"/>
    </row>
    <row r="4664" spans="2:30" s="323" customFormat="1" ht="12" customHeight="1">
      <c r="B4664" s="324"/>
      <c r="C4664" s="325"/>
      <c r="D4664" s="326"/>
      <c r="E4664" s="326"/>
      <c r="F4664" s="326"/>
      <c r="G4664" s="326"/>
      <c r="H4664" s="326"/>
      <c r="P4664" s="318"/>
      <c r="Q4664" s="318"/>
      <c r="R4664" s="318"/>
      <c r="S4664" s="318"/>
      <c r="T4664" s="318"/>
      <c r="U4664" s="318"/>
      <c r="V4664" s="318"/>
      <c r="W4664" s="318"/>
      <c r="X4664" s="318"/>
      <c r="Y4664" s="318"/>
      <c r="Z4664" s="318"/>
      <c r="AA4664" s="318"/>
      <c r="AB4664" s="318"/>
      <c r="AC4664" s="318"/>
      <c r="AD4664" s="318"/>
    </row>
    <row r="4665" spans="2:30" s="323" customFormat="1" ht="12" customHeight="1">
      <c r="B4665" s="324"/>
      <c r="C4665" s="325"/>
      <c r="D4665" s="326"/>
      <c r="E4665" s="326"/>
      <c r="F4665" s="326"/>
      <c r="G4665" s="326"/>
      <c r="H4665" s="326"/>
      <c r="P4665" s="318"/>
      <c r="Q4665" s="318"/>
      <c r="R4665" s="318"/>
      <c r="S4665" s="318"/>
      <c r="T4665" s="318"/>
      <c r="U4665" s="318"/>
      <c r="V4665" s="318"/>
      <c r="W4665" s="318"/>
      <c r="X4665" s="318"/>
      <c r="Y4665" s="318"/>
      <c r="Z4665" s="318"/>
      <c r="AA4665" s="318"/>
      <c r="AB4665" s="318"/>
      <c r="AC4665" s="318"/>
      <c r="AD4665" s="318"/>
    </row>
    <row r="4666" spans="2:30" s="323" customFormat="1" ht="12" customHeight="1">
      <c r="B4666" s="324"/>
      <c r="C4666" s="325"/>
      <c r="D4666" s="326"/>
      <c r="E4666" s="326"/>
      <c r="F4666" s="326"/>
      <c r="G4666" s="326"/>
      <c r="H4666" s="326"/>
      <c r="P4666" s="318"/>
      <c r="Q4666" s="318"/>
      <c r="R4666" s="318"/>
      <c r="S4666" s="318"/>
      <c r="T4666" s="318"/>
      <c r="U4666" s="318"/>
      <c r="V4666" s="318"/>
      <c r="W4666" s="318"/>
      <c r="X4666" s="318"/>
      <c r="Y4666" s="318"/>
      <c r="Z4666" s="318"/>
      <c r="AA4666" s="318"/>
      <c r="AB4666" s="318"/>
      <c r="AC4666" s="318"/>
      <c r="AD4666" s="318"/>
    </row>
    <row r="4667" spans="2:30" s="323" customFormat="1" ht="12" customHeight="1">
      <c r="B4667" s="324"/>
      <c r="C4667" s="325"/>
      <c r="D4667" s="326"/>
      <c r="E4667" s="326"/>
      <c r="F4667" s="326"/>
      <c r="G4667" s="326"/>
      <c r="H4667" s="326"/>
      <c r="P4667" s="318"/>
      <c r="Q4667" s="318"/>
      <c r="R4667" s="318"/>
      <c r="S4667" s="318"/>
      <c r="T4667" s="318"/>
      <c r="U4667" s="318"/>
      <c r="V4667" s="318"/>
      <c r="W4667" s="318"/>
      <c r="X4667" s="318"/>
      <c r="Y4667" s="318"/>
      <c r="Z4667" s="318"/>
      <c r="AA4667" s="318"/>
      <c r="AB4667" s="318"/>
      <c r="AC4667" s="318"/>
      <c r="AD4667" s="318"/>
    </row>
    <row r="4668" spans="2:30" s="323" customFormat="1" ht="12" customHeight="1">
      <c r="B4668" s="324"/>
      <c r="C4668" s="325"/>
      <c r="D4668" s="326"/>
      <c r="E4668" s="326"/>
      <c r="F4668" s="326"/>
      <c r="G4668" s="326"/>
      <c r="H4668" s="326"/>
      <c r="P4668" s="318"/>
      <c r="Q4668" s="318"/>
      <c r="R4668" s="318"/>
      <c r="S4668" s="318"/>
      <c r="T4668" s="318"/>
      <c r="U4668" s="318"/>
      <c r="V4668" s="318"/>
      <c r="W4668" s="318"/>
      <c r="X4668" s="318"/>
      <c r="Y4668" s="318"/>
      <c r="Z4668" s="318"/>
      <c r="AA4668" s="318"/>
      <c r="AB4668" s="318"/>
      <c r="AC4668" s="318"/>
      <c r="AD4668" s="318"/>
    </row>
    <row r="4669" spans="2:30" s="323" customFormat="1" ht="12" customHeight="1">
      <c r="B4669" s="324"/>
      <c r="C4669" s="325"/>
      <c r="D4669" s="326"/>
      <c r="E4669" s="326"/>
      <c r="F4669" s="326"/>
      <c r="G4669" s="326"/>
      <c r="H4669" s="326"/>
      <c r="P4669" s="318"/>
      <c r="Q4669" s="318"/>
      <c r="R4669" s="318"/>
      <c r="S4669" s="318"/>
      <c r="T4669" s="318"/>
      <c r="U4669" s="318"/>
      <c r="V4669" s="318"/>
      <c r="W4669" s="318"/>
      <c r="X4669" s="318"/>
      <c r="Y4669" s="318"/>
      <c r="Z4669" s="318"/>
      <c r="AA4669" s="318"/>
      <c r="AB4669" s="318"/>
      <c r="AC4669" s="318"/>
      <c r="AD4669" s="318"/>
    </row>
    <row r="4670" spans="2:30" s="323" customFormat="1" ht="12" customHeight="1">
      <c r="B4670" s="324"/>
      <c r="C4670" s="325"/>
      <c r="D4670" s="326"/>
      <c r="E4670" s="326"/>
      <c r="F4670" s="326"/>
      <c r="G4670" s="326"/>
      <c r="H4670" s="326"/>
      <c r="P4670" s="318"/>
      <c r="Q4670" s="318"/>
      <c r="R4670" s="318"/>
      <c r="S4670" s="318"/>
      <c r="T4670" s="318"/>
      <c r="U4670" s="318"/>
      <c r="V4670" s="318"/>
      <c r="W4670" s="318"/>
      <c r="X4670" s="318"/>
      <c r="Y4670" s="318"/>
      <c r="Z4670" s="318"/>
      <c r="AA4670" s="318"/>
      <c r="AB4670" s="318"/>
      <c r="AC4670" s="318"/>
      <c r="AD4670" s="318"/>
    </row>
    <row r="4671" spans="2:30" s="323" customFormat="1" ht="12" customHeight="1">
      <c r="B4671" s="324"/>
      <c r="C4671" s="325"/>
      <c r="D4671" s="326"/>
      <c r="E4671" s="326"/>
      <c r="F4671" s="326"/>
      <c r="G4671" s="326"/>
      <c r="H4671" s="326"/>
      <c r="P4671" s="318"/>
      <c r="Q4671" s="318"/>
      <c r="R4671" s="318"/>
      <c r="S4671" s="318"/>
      <c r="T4671" s="318"/>
      <c r="U4671" s="318"/>
      <c r="V4671" s="318"/>
      <c r="W4671" s="318"/>
      <c r="X4671" s="318"/>
      <c r="Y4671" s="318"/>
      <c r="Z4671" s="318"/>
      <c r="AA4671" s="318"/>
      <c r="AB4671" s="318"/>
      <c r="AC4671" s="318"/>
      <c r="AD4671" s="318"/>
    </row>
    <row r="4672" spans="2:30" s="323" customFormat="1" ht="12" customHeight="1">
      <c r="B4672" s="324"/>
      <c r="C4672" s="325"/>
      <c r="D4672" s="326"/>
      <c r="E4672" s="326"/>
      <c r="F4672" s="326"/>
      <c r="G4672" s="326"/>
      <c r="H4672" s="326"/>
      <c r="P4672" s="318"/>
      <c r="Q4672" s="318"/>
      <c r="R4672" s="318"/>
      <c r="S4672" s="318"/>
      <c r="T4672" s="318"/>
      <c r="U4672" s="318"/>
      <c r="V4672" s="318"/>
      <c r="W4672" s="318"/>
      <c r="X4672" s="318"/>
      <c r="Y4672" s="318"/>
      <c r="Z4672" s="318"/>
      <c r="AA4672" s="318"/>
      <c r="AB4672" s="318"/>
      <c r="AC4672" s="318"/>
      <c r="AD4672" s="318"/>
    </row>
    <row r="4673" spans="2:30" s="323" customFormat="1" ht="12" customHeight="1">
      <c r="B4673" s="324"/>
      <c r="C4673" s="325"/>
      <c r="D4673" s="326"/>
      <c r="E4673" s="326"/>
      <c r="F4673" s="326"/>
      <c r="G4673" s="326"/>
      <c r="H4673" s="326"/>
      <c r="P4673" s="318"/>
      <c r="Q4673" s="318"/>
      <c r="R4673" s="318"/>
      <c r="S4673" s="318"/>
      <c r="T4673" s="318"/>
      <c r="U4673" s="318"/>
      <c r="V4673" s="318"/>
      <c r="W4673" s="318"/>
      <c r="X4673" s="318"/>
      <c r="Y4673" s="318"/>
      <c r="Z4673" s="318"/>
      <c r="AA4673" s="318"/>
      <c r="AB4673" s="318"/>
      <c r="AC4673" s="318"/>
      <c r="AD4673" s="318"/>
    </row>
    <row r="4674" spans="2:30" s="323" customFormat="1" ht="12" customHeight="1">
      <c r="B4674" s="324"/>
      <c r="C4674" s="325"/>
      <c r="D4674" s="326"/>
      <c r="E4674" s="326"/>
      <c r="F4674" s="326"/>
      <c r="G4674" s="326"/>
      <c r="H4674" s="326"/>
      <c r="P4674" s="318"/>
      <c r="Q4674" s="318"/>
      <c r="R4674" s="318"/>
      <c r="S4674" s="318"/>
      <c r="T4674" s="318"/>
      <c r="U4674" s="318"/>
      <c r="V4674" s="318"/>
      <c r="W4674" s="318"/>
      <c r="X4674" s="318"/>
      <c r="Y4674" s="318"/>
      <c r="Z4674" s="318"/>
      <c r="AA4674" s="318"/>
      <c r="AB4674" s="318"/>
      <c r="AC4674" s="318"/>
      <c r="AD4674" s="318"/>
    </row>
    <row r="4675" spans="2:30" s="323" customFormat="1" ht="12" customHeight="1">
      <c r="B4675" s="324"/>
      <c r="C4675" s="325"/>
      <c r="D4675" s="326"/>
      <c r="E4675" s="326"/>
      <c r="F4675" s="326"/>
      <c r="G4675" s="326"/>
      <c r="H4675" s="326"/>
      <c r="P4675" s="318"/>
      <c r="Q4675" s="318"/>
      <c r="R4675" s="318"/>
      <c r="S4675" s="318"/>
      <c r="T4675" s="318"/>
      <c r="U4675" s="318"/>
      <c r="V4675" s="318"/>
      <c r="W4675" s="318"/>
      <c r="X4675" s="318"/>
      <c r="Y4675" s="318"/>
      <c r="Z4675" s="318"/>
      <c r="AA4675" s="318"/>
      <c r="AB4675" s="318"/>
      <c r="AC4675" s="318"/>
      <c r="AD4675" s="318"/>
    </row>
    <row r="4676" spans="2:30" s="323" customFormat="1" ht="12" customHeight="1">
      <c r="B4676" s="324"/>
      <c r="C4676" s="325"/>
      <c r="D4676" s="326"/>
      <c r="E4676" s="326"/>
      <c r="F4676" s="326"/>
      <c r="G4676" s="326"/>
      <c r="H4676" s="326"/>
      <c r="P4676" s="318"/>
      <c r="Q4676" s="318"/>
      <c r="R4676" s="318"/>
      <c r="S4676" s="318"/>
      <c r="T4676" s="318"/>
      <c r="U4676" s="318"/>
      <c r="V4676" s="318"/>
      <c r="W4676" s="318"/>
      <c r="X4676" s="318"/>
      <c r="Y4676" s="318"/>
      <c r="Z4676" s="318"/>
      <c r="AA4676" s="318"/>
      <c r="AB4676" s="318"/>
      <c r="AC4676" s="318"/>
      <c r="AD4676" s="318"/>
    </row>
    <row r="4677" spans="2:30" s="323" customFormat="1" ht="12" customHeight="1">
      <c r="B4677" s="324"/>
      <c r="C4677" s="325"/>
      <c r="D4677" s="326"/>
      <c r="E4677" s="326"/>
      <c r="F4677" s="326"/>
      <c r="G4677" s="326"/>
      <c r="H4677" s="326"/>
      <c r="P4677" s="318"/>
      <c r="Q4677" s="318"/>
      <c r="R4677" s="318"/>
      <c r="S4677" s="318"/>
      <c r="T4677" s="318"/>
      <c r="U4677" s="318"/>
      <c r="V4677" s="318"/>
      <c r="W4677" s="318"/>
      <c r="X4677" s="318"/>
      <c r="Y4677" s="318"/>
      <c r="Z4677" s="318"/>
      <c r="AA4677" s="318"/>
      <c r="AB4677" s="318"/>
      <c r="AC4677" s="318"/>
      <c r="AD4677" s="318"/>
    </row>
    <row r="4678" spans="2:30" s="323" customFormat="1" ht="12" customHeight="1">
      <c r="B4678" s="324"/>
      <c r="C4678" s="325"/>
      <c r="D4678" s="326"/>
      <c r="E4678" s="326"/>
      <c r="F4678" s="326"/>
      <c r="G4678" s="326"/>
      <c r="H4678" s="326"/>
      <c r="P4678" s="318"/>
      <c r="Q4678" s="318"/>
      <c r="R4678" s="318"/>
      <c r="S4678" s="318"/>
      <c r="T4678" s="318"/>
      <c r="U4678" s="318"/>
      <c r="V4678" s="318"/>
      <c r="W4678" s="318"/>
      <c r="X4678" s="318"/>
      <c r="Y4678" s="318"/>
      <c r="Z4678" s="318"/>
      <c r="AA4678" s="318"/>
      <c r="AB4678" s="318"/>
      <c r="AC4678" s="318"/>
      <c r="AD4678" s="318"/>
    </row>
    <row r="4679" spans="2:30" s="323" customFormat="1" ht="12" customHeight="1">
      <c r="B4679" s="324"/>
      <c r="C4679" s="325"/>
      <c r="D4679" s="326"/>
      <c r="E4679" s="326"/>
      <c r="F4679" s="326"/>
      <c r="G4679" s="326"/>
      <c r="H4679" s="326"/>
      <c r="P4679" s="318"/>
      <c r="Q4679" s="318"/>
      <c r="R4679" s="318"/>
      <c r="S4679" s="318"/>
      <c r="T4679" s="318"/>
      <c r="U4679" s="318"/>
      <c r="V4679" s="318"/>
      <c r="W4679" s="318"/>
      <c r="X4679" s="318"/>
      <c r="Y4679" s="318"/>
      <c r="Z4679" s="318"/>
      <c r="AA4679" s="318"/>
      <c r="AB4679" s="318"/>
      <c r="AC4679" s="318"/>
      <c r="AD4679" s="318"/>
    </row>
    <row r="4680" spans="2:30" s="323" customFormat="1" ht="12" customHeight="1">
      <c r="B4680" s="324"/>
      <c r="C4680" s="325"/>
      <c r="D4680" s="326"/>
      <c r="E4680" s="326"/>
      <c r="F4680" s="326"/>
      <c r="G4680" s="326"/>
      <c r="H4680" s="326"/>
      <c r="P4680" s="318"/>
      <c r="Q4680" s="318"/>
      <c r="R4680" s="318"/>
      <c r="S4680" s="318"/>
      <c r="T4680" s="318"/>
      <c r="U4680" s="318"/>
      <c r="V4680" s="318"/>
      <c r="W4680" s="318"/>
      <c r="X4680" s="318"/>
      <c r="Y4680" s="318"/>
      <c r="Z4680" s="318"/>
      <c r="AA4680" s="318"/>
      <c r="AB4680" s="318"/>
      <c r="AC4680" s="318"/>
      <c r="AD4680" s="318"/>
    </row>
    <row r="4681" spans="2:30" s="323" customFormat="1" ht="12" customHeight="1">
      <c r="B4681" s="324"/>
      <c r="C4681" s="325"/>
      <c r="D4681" s="326"/>
      <c r="E4681" s="326"/>
      <c r="F4681" s="326"/>
      <c r="G4681" s="326"/>
      <c r="H4681" s="326"/>
      <c r="P4681" s="318"/>
      <c r="Q4681" s="318"/>
      <c r="R4681" s="318"/>
      <c r="S4681" s="318"/>
      <c r="T4681" s="318"/>
      <c r="U4681" s="318"/>
      <c r="V4681" s="318"/>
      <c r="W4681" s="318"/>
      <c r="X4681" s="318"/>
      <c r="Y4681" s="318"/>
      <c r="Z4681" s="318"/>
      <c r="AA4681" s="318"/>
      <c r="AB4681" s="318"/>
      <c r="AC4681" s="318"/>
      <c r="AD4681" s="318"/>
    </row>
    <row r="4682" spans="2:30" s="323" customFormat="1" ht="12" customHeight="1">
      <c r="B4682" s="324"/>
      <c r="C4682" s="325"/>
      <c r="D4682" s="326"/>
      <c r="E4682" s="326"/>
      <c r="F4682" s="326"/>
      <c r="G4682" s="326"/>
      <c r="H4682" s="326"/>
      <c r="P4682" s="318"/>
      <c r="Q4682" s="318"/>
      <c r="R4682" s="318"/>
      <c r="S4682" s="318"/>
      <c r="T4682" s="318"/>
      <c r="U4682" s="318"/>
      <c r="V4682" s="318"/>
      <c r="W4682" s="318"/>
      <c r="X4682" s="318"/>
      <c r="Y4682" s="318"/>
      <c r="Z4682" s="318"/>
      <c r="AA4682" s="318"/>
      <c r="AB4682" s="318"/>
      <c r="AC4682" s="318"/>
      <c r="AD4682" s="318"/>
    </row>
    <row r="4683" spans="2:30" s="323" customFormat="1" ht="12" customHeight="1">
      <c r="B4683" s="324"/>
      <c r="C4683" s="325"/>
      <c r="D4683" s="326"/>
      <c r="E4683" s="326"/>
      <c r="F4683" s="326"/>
      <c r="G4683" s="326"/>
      <c r="H4683" s="326"/>
      <c r="P4683" s="318"/>
      <c r="Q4683" s="318"/>
      <c r="R4683" s="318"/>
      <c r="S4683" s="318"/>
      <c r="T4683" s="318"/>
      <c r="U4683" s="318"/>
      <c r="V4683" s="318"/>
      <c r="W4683" s="318"/>
      <c r="X4683" s="318"/>
      <c r="Y4683" s="318"/>
      <c r="Z4683" s="318"/>
      <c r="AA4683" s="318"/>
      <c r="AB4683" s="318"/>
      <c r="AC4683" s="318"/>
      <c r="AD4683" s="318"/>
    </row>
    <row r="4684" spans="2:30" s="323" customFormat="1" ht="12" customHeight="1">
      <c r="B4684" s="324"/>
      <c r="C4684" s="325"/>
      <c r="D4684" s="326"/>
      <c r="E4684" s="326"/>
      <c r="F4684" s="326"/>
      <c r="G4684" s="326"/>
      <c r="H4684" s="326"/>
      <c r="P4684" s="318"/>
      <c r="Q4684" s="318"/>
      <c r="R4684" s="318"/>
      <c r="S4684" s="318"/>
      <c r="T4684" s="318"/>
      <c r="U4684" s="318"/>
      <c r="V4684" s="318"/>
      <c r="W4684" s="318"/>
      <c r="X4684" s="318"/>
      <c r="Y4684" s="318"/>
      <c r="Z4684" s="318"/>
      <c r="AA4684" s="318"/>
      <c r="AB4684" s="318"/>
      <c r="AC4684" s="318"/>
      <c r="AD4684" s="318"/>
    </row>
    <row r="4685" spans="2:30" s="323" customFormat="1" ht="12" customHeight="1">
      <c r="B4685" s="324"/>
      <c r="C4685" s="325"/>
      <c r="D4685" s="326"/>
      <c r="E4685" s="326"/>
      <c r="F4685" s="326"/>
      <c r="G4685" s="326"/>
      <c r="H4685" s="326"/>
      <c r="P4685" s="318"/>
      <c r="Q4685" s="318"/>
      <c r="R4685" s="318"/>
      <c r="S4685" s="318"/>
      <c r="T4685" s="318"/>
      <c r="U4685" s="318"/>
      <c r="V4685" s="318"/>
      <c r="W4685" s="318"/>
      <c r="X4685" s="318"/>
      <c r="Y4685" s="318"/>
      <c r="Z4685" s="318"/>
      <c r="AA4685" s="318"/>
      <c r="AB4685" s="318"/>
      <c r="AC4685" s="318"/>
      <c r="AD4685" s="318"/>
    </row>
    <row r="4686" spans="2:30" s="323" customFormat="1" ht="12" customHeight="1">
      <c r="B4686" s="324"/>
      <c r="C4686" s="325"/>
      <c r="D4686" s="326"/>
      <c r="E4686" s="326"/>
      <c r="F4686" s="326"/>
      <c r="G4686" s="326"/>
      <c r="H4686" s="326"/>
      <c r="P4686" s="318"/>
      <c r="Q4686" s="318"/>
      <c r="R4686" s="318"/>
      <c r="S4686" s="318"/>
      <c r="T4686" s="318"/>
      <c r="U4686" s="318"/>
      <c r="V4686" s="318"/>
      <c r="W4686" s="318"/>
      <c r="X4686" s="318"/>
      <c r="Y4686" s="318"/>
      <c r="Z4686" s="318"/>
      <c r="AA4686" s="318"/>
      <c r="AB4686" s="318"/>
      <c r="AC4686" s="318"/>
      <c r="AD4686" s="318"/>
    </row>
    <row r="4687" spans="2:30" s="323" customFormat="1" ht="12" customHeight="1">
      <c r="B4687" s="324"/>
      <c r="C4687" s="325"/>
      <c r="D4687" s="326"/>
      <c r="E4687" s="326"/>
      <c r="F4687" s="326"/>
      <c r="G4687" s="326"/>
      <c r="H4687" s="326"/>
      <c r="P4687" s="318"/>
      <c r="Q4687" s="318"/>
      <c r="R4687" s="318"/>
      <c r="S4687" s="318"/>
      <c r="T4687" s="318"/>
      <c r="U4687" s="318"/>
      <c r="V4687" s="318"/>
      <c r="W4687" s="318"/>
      <c r="X4687" s="318"/>
      <c r="Y4687" s="318"/>
      <c r="Z4687" s="318"/>
      <c r="AA4687" s="318"/>
      <c r="AB4687" s="318"/>
      <c r="AC4687" s="318"/>
      <c r="AD4687" s="318"/>
    </row>
    <row r="4688" spans="2:30" s="323" customFormat="1" ht="12" customHeight="1">
      <c r="B4688" s="324"/>
      <c r="C4688" s="325"/>
      <c r="D4688" s="326"/>
      <c r="E4688" s="326"/>
      <c r="F4688" s="326"/>
      <c r="G4688" s="326"/>
      <c r="H4688" s="326"/>
      <c r="P4688" s="318"/>
      <c r="Q4688" s="318"/>
      <c r="R4688" s="318"/>
      <c r="S4688" s="318"/>
      <c r="T4688" s="318"/>
      <c r="U4688" s="318"/>
      <c r="V4688" s="318"/>
      <c r="W4688" s="318"/>
      <c r="X4688" s="318"/>
      <c r="Y4688" s="318"/>
      <c r="Z4688" s="318"/>
      <c r="AA4688" s="318"/>
      <c r="AB4688" s="318"/>
      <c r="AC4688" s="318"/>
      <c r="AD4688" s="318"/>
    </row>
    <row r="4689" spans="2:30" s="323" customFormat="1" ht="12" customHeight="1">
      <c r="B4689" s="324"/>
      <c r="C4689" s="325"/>
      <c r="D4689" s="326"/>
      <c r="E4689" s="326"/>
      <c r="F4689" s="326"/>
      <c r="G4689" s="326"/>
      <c r="H4689" s="326"/>
      <c r="P4689" s="318"/>
      <c r="Q4689" s="318"/>
      <c r="R4689" s="318"/>
      <c r="S4689" s="318"/>
      <c r="T4689" s="318"/>
      <c r="U4689" s="318"/>
      <c r="V4689" s="318"/>
      <c r="W4689" s="318"/>
      <c r="X4689" s="318"/>
      <c r="Y4689" s="318"/>
      <c r="Z4689" s="318"/>
      <c r="AA4689" s="318"/>
      <c r="AB4689" s="318"/>
      <c r="AC4689" s="318"/>
      <c r="AD4689" s="318"/>
    </row>
    <row r="4690" spans="2:30" s="323" customFormat="1" ht="12" customHeight="1">
      <c r="B4690" s="324"/>
      <c r="C4690" s="325"/>
      <c r="D4690" s="326"/>
      <c r="E4690" s="326"/>
      <c r="F4690" s="326"/>
      <c r="G4690" s="326"/>
      <c r="H4690" s="326"/>
      <c r="P4690" s="318"/>
      <c r="Q4690" s="318"/>
      <c r="R4690" s="318"/>
      <c r="S4690" s="318"/>
      <c r="T4690" s="318"/>
      <c r="U4690" s="318"/>
      <c r="V4690" s="318"/>
      <c r="W4690" s="318"/>
      <c r="X4690" s="318"/>
      <c r="Y4690" s="318"/>
      <c r="Z4690" s="318"/>
      <c r="AA4690" s="318"/>
      <c r="AB4690" s="318"/>
      <c r="AC4690" s="318"/>
      <c r="AD4690" s="318"/>
    </row>
    <row r="4691" spans="2:30" s="323" customFormat="1" ht="12" customHeight="1">
      <c r="B4691" s="324"/>
      <c r="C4691" s="325"/>
      <c r="D4691" s="326"/>
      <c r="E4691" s="326"/>
      <c r="F4691" s="326"/>
      <c r="G4691" s="326"/>
      <c r="H4691" s="326"/>
      <c r="P4691" s="318"/>
      <c r="Q4691" s="318"/>
      <c r="R4691" s="318"/>
      <c r="S4691" s="318"/>
      <c r="T4691" s="318"/>
      <c r="U4691" s="318"/>
      <c r="V4691" s="318"/>
      <c r="W4691" s="318"/>
      <c r="X4691" s="318"/>
      <c r="Y4691" s="318"/>
      <c r="Z4691" s="318"/>
      <c r="AA4691" s="318"/>
      <c r="AB4691" s="318"/>
      <c r="AC4691" s="318"/>
      <c r="AD4691" s="318"/>
    </row>
    <row r="4692" spans="2:30" s="323" customFormat="1" ht="12" customHeight="1">
      <c r="B4692" s="324"/>
      <c r="C4692" s="325"/>
      <c r="D4692" s="326"/>
      <c r="E4692" s="326"/>
      <c r="F4692" s="326"/>
      <c r="G4692" s="326"/>
      <c r="H4692" s="326"/>
      <c r="P4692" s="318"/>
      <c r="Q4692" s="318"/>
      <c r="R4692" s="318"/>
      <c r="S4692" s="318"/>
      <c r="T4692" s="318"/>
      <c r="U4692" s="318"/>
      <c r="V4692" s="318"/>
      <c r="W4692" s="318"/>
      <c r="X4692" s="318"/>
      <c r="Y4692" s="318"/>
      <c r="Z4692" s="318"/>
      <c r="AA4692" s="318"/>
      <c r="AB4692" s="318"/>
      <c r="AC4692" s="318"/>
      <c r="AD4692" s="318"/>
    </row>
    <row r="4693" spans="2:30" s="323" customFormat="1" ht="12" customHeight="1">
      <c r="B4693" s="324"/>
      <c r="C4693" s="325"/>
      <c r="D4693" s="326"/>
      <c r="E4693" s="326"/>
      <c r="F4693" s="326"/>
      <c r="G4693" s="326"/>
      <c r="H4693" s="326"/>
      <c r="P4693" s="318"/>
      <c r="Q4693" s="318"/>
      <c r="R4693" s="318"/>
      <c r="S4693" s="318"/>
      <c r="T4693" s="318"/>
      <c r="U4693" s="318"/>
      <c r="V4693" s="318"/>
      <c r="W4693" s="318"/>
      <c r="X4693" s="318"/>
      <c r="Y4693" s="318"/>
      <c r="Z4693" s="318"/>
      <c r="AA4693" s="318"/>
      <c r="AB4693" s="318"/>
      <c r="AC4693" s="318"/>
      <c r="AD4693" s="318"/>
    </row>
    <row r="4694" spans="2:30" s="323" customFormat="1" ht="12" customHeight="1">
      <c r="B4694" s="324"/>
      <c r="C4694" s="325"/>
      <c r="D4694" s="326"/>
      <c r="E4694" s="326"/>
      <c r="F4694" s="326"/>
      <c r="G4694" s="326"/>
      <c r="H4694" s="326"/>
      <c r="P4694" s="318"/>
      <c r="Q4694" s="318"/>
      <c r="R4694" s="318"/>
      <c r="S4694" s="318"/>
      <c r="T4694" s="318"/>
      <c r="U4694" s="318"/>
      <c r="V4694" s="318"/>
      <c r="W4694" s="318"/>
      <c r="X4694" s="318"/>
      <c r="Y4694" s="318"/>
      <c r="Z4694" s="318"/>
      <c r="AA4694" s="318"/>
      <c r="AB4694" s="318"/>
      <c r="AC4694" s="318"/>
      <c r="AD4694" s="318"/>
    </row>
    <row r="4695" spans="2:30" s="323" customFormat="1" ht="12" customHeight="1">
      <c r="B4695" s="324"/>
      <c r="C4695" s="325"/>
      <c r="D4695" s="326"/>
      <c r="E4695" s="326"/>
      <c r="F4695" s="326"/>
      <c r="G4695" s="326"/>
      <c r="H4695" s="326"/>
      <c r="P4695" s="318"/>
      <c r="Q4695" s="318"/>
      <c r="R4695" s="318"/>
      <c r="S4695" s="318"/>
      <c r="T4695" s="318"/>
      <c r="U4695" s="318"/>
      <c r="V4695" s="318"/>
      <c r="W4695" s="318"/>
      <c r="X4695" s="318"/>
      <c r="Y4695" s="318"/>
      <c r="Z4695" s="318"/>
      <c r="AA4695" s="318"/>
      <c r="AB4695" s="318"/>
      <c r="AC4695" s="318"/>
      <c r="AD4695" s="318"/>
    </row>
    <row r="4696" spans="2:30" s="323" customFormat="1" ht="12" customHeight="1">
      <c r="B4696" s="324"/>
      <c r="C4696" s="325"/>
      <c r="D4696" s="326"/>
      <c r="E4696" s="326"/>
      <c r="F4696" s="326"/>
      <c r="G4696" s="326"/>
      <c r="H4696" s="326"/>
      <c r="P4696" s="318"/>
      <c r="Q4696" s="318"/>
      <c r="R4696" s="318"/>
      <c r="S4696" s="318"/>
      <c r="T4696" s="318"/>
      <c r="U4696" s="318"/>
      <c r="V4696" s="318"/>
      <c r="W4696" s="318"/>
      <c r="X4696" s="318"/>
      <c r="Y4696" s="318"/>
      <c r="Z4696" s="318"/>
      <c r="AA4696" s="318"/>
      <c r="AB4696" s="318"/>
      <c r="AC4696" s="318"/>
      <c r="AD4696" s="318"/>
    </row>
    <row r="4697" spans="2:30" s="323" customFormat="1" ht="12" customHeight="1">
      <c r="B4697" s="324"/>
      <c r="C4697" s="325"/>
      <c r="D4697" s="326"/>
      <c r="E4697" s="326"/>
      <c r="F4697" s="326"/>
      <c r="G4697" s="326"/>
      <c r="H4697" s="326"/>
      <c r="P4697" s="318"/>
      <c r="Q4697" s="318"/>
      <c r="R4697" s="318"/>
      <c r="S4697" s="318"/>
      <c r="T4697" s="318"/>
      <c r="U4697" s="318"/>
      <c r="V4697" s="318"/>
      <c r="W4697" s="318"/>
      <c r="X4697" s="318"/>
      <c r="Y4697" s="318"/>
      <c r="Z4697" s="318"/>
      <c r="AA4697" s="318"/>
      <c r="AB4697" s="318"/>
      <c r="AC4697" s="318"/>
      <c r="AD4697" s="318"/>
    </row>
    <row r="4698" spans="2:30" s="323" customFormat="1" ht="12" customHeight="1">
      <c r="B4698" s="324"/>
      <c r="C4698" s="325"/>
      <c r="D4698" s="326"/>
      <c r="E4698" s="326"/>
      <c r="F4698" s="326"/>
      <c r="G4698" s="326"/>
      <c r="H4698" s="326"/>
      <c r="P4698" s="318"/>
      <c r="Q4698" s="318"/>
      <c r="R4698" s="318"/>
      <c r="S4698" s="318"/>
      <c r="T4698" s="318"/>
      <c r="U4698" s="318"/>
      <c r="V4698" s="318"/>
      <c r="W4698" s="318"/>
      <c r="X4698" s="318"/>
      <c r="Y4698" s="318"/>
      <c r="Z4698" s="318"/>
      <c r="AA4698" s="318"/>
      <c r="AB4698" s="318"/>
      <c r="AC4698" s="318"/>
      <c r="AD4698" s="318"/>
    </row>
    <row r="4699" spans="2:30" s="323" customFormat="1" ht="12" customHeight="1">
      <c r="B4699" s="324"/>
      <c r="C4699" s="325"/>
      <c r="D4699" s="326"/>
      <c r="E4699" s="326"/>
      <c r="F4699" s="326"/>
      <c r="G4699" s="326"/>
      <c r="H4699" s="326"/>
      <c r="P4699" s="318"/>
      <c r="Q4699" s="318"/>
      <c r="R4699" s="318"/>
      <c r="S4699" s="318"/>
      <c r="T4699" s="318"/>
      <c r="U4699" s="318"/>
      <c r="V4699" s="318"/>
      <c r="W4699" s="318"/>
      <c r="X4699" s="318"/>
      <c r="Y4699" s="318"/>
      <c r="Z4699" s="318"/>
      <c r="AA4699" s="318"/>
      <c r="AB4699" s="318"/>
      <c r="AC4699" s="318"/>
      <c r="AD4699" s="318"/>
    </row>
    <row r="4700" spans="2:30" s="323" customFormat="1" ht="12" customHeight="1">
      <c r="B4700" s="324"/>
      <c r="C4700" s="325"/>
      <c r="D4700" s="326"/>
      <c r="E4700" s="326"/>
      <c r="F4700" s="326"/>
      <c r="G4700" s="326"/>
      <c r="H4700" s="326"/>
      <c r="P4700" s="318"/>
      <c r="Q4700" s="318"/>
      <c r="R4700" s="318"/>
      <c r="S4700" s="318"/>
      <c r="T4700" s="318"/>
      <c r="U4700" s="318"/>
      <c r="V4700" s="318"/>
      <c r="W4700" s="318"/>
      <c r="X4700" s="318"/>
      <c r="Y4700" s="318"/>
      <c r="Z4700" s="318"/>
      <c r="AA4700" s="318"/>
      <c r="AB4700" s="318"/>
      <c r="AC4700" s="318"/>
      <c r="AD4700" s="318"/>
    </row>
    <row r="4701" spans="2:30" s="323" customFormat="1" ht="12" customHeight="1">
      <c r="B4701" s="324"/>
      <c r="C4701" s="325"/>
      <c r="D4701" s="326"/>
      <c r="E4701" s="326"/>
      <c r="F4701" s="326"/>
      <c r="G4701" s="326"/>
      <c r="H4701" s="326"/>
      <c r="P4701" s="318"/>
      <c r="Q4701" s="318"/>
      <c r="R4701" s="318"/>
      <c r="S4701" s="318"/>
      <c r="T4701" s="318"/>
      <c r="U4701" s="318"/>
      <c r="V4701" s="318"/>
      <c r="W4701" s="318"/>
      <c r="X4701" s="318"/>
      <c r="Y4701" s="318"/>
      <c r="Z4701" s="318"/>
      <c r="AA4701" s="318"/>
      <c r="AB4701" s="318"/>
      <c r="AC4701" s="318"/>
      <c r="AD4701" s="318"/>
    </row>
    <row r="4702" spans="2:30" s="323" customFormat="1" ht="12" customHeight="1">
      <c r="B4702" s="324"/>
      <c r="C4702" s="325"/>
      <c r="D4702" s="326"/>
      <c r="E4702" s="326"/>
      <c r="F4702" s="326"/>
      <c r="G4702" s="326"/>
      <c r="H4702" s="326"/>
      <c r="P4702" s="318"/>
      <c r="Q4702" s="318"/>
      <c r="R4702" s="318"/>
      <c r="S4702" s="318"/>
      <c r="T4702" s="318"/>
      <c r="U4702" s="318"/>
      <c r="V4702" s="318"/>
      <c r="W4702" s="318"/>
      <c r="X4702" s="318"/>
      <c r="Y4702" s="318"/>
      <c r="Z4702" s="318"/>
      <c r="AA4702" s="318"/>
      <c r="AB4702" s="318"/>
      <c r="AC4702" s="318"/>
      <c r="AD4702" s="318"/>
    </row>
    <row r="4703" spans="2:30" s="323" customFormat="1" ht="12" customHeight="1">
      <c r="B4703" s="324"/>
      <c r="C4703" s="325"/>
      <c r="D4703" s="326"/>
      <c r="E4703" s="326"/>
      <c r="F4703" s="326"/>
      <c r="G4703" s="326"/>
      <c r="H4703" s="326"/>
      <c r="P4703" s="318"/>
      <c r="Q4703" s="318"/>
      <c r="R4703" s="318"/>
      <c r="S4703" s="318"/>
      <c r="T4703" s="318"/>
      <c r="U4703" s="318"/>
      <c r="V4703" s="318"/>
      <c r="W4703" s="318"/>
      <c r="X4703" s="318"/>
      <c r="Y4703" s="318"/>
      <c r="Z4703" s="318"/>
      <c r="AA4703" s="318"/>
      <c r="AB4703" s="318"/>
      <c r="AC4703" s="318"/>
      <c r="AD4703" s="318"/>
    </row>
    <row r="4704" spans="2:30" s="323" customFormat="1" ht="12" customHeight="1">
      <c r="B4704" s="324"/>
      <c r="C4704" s="325"/>
      <c r="D4704" s="326"/>
      <c r="E4704" s="326"/>
      <c r="F4704" s="326"/>
      <c r="G4704" s="326"/>
      <c r="H4704" s="326"/>
      <c r="P4704" s="318"/>
      <c r="Q4704" s="318"/>
      <c r="R4704" s="318"/>
      <c r="S4704" s="318"/>
      <c r="T4704" s="318"/>
      <c r="U4704" s="318"/>
      <c r="V4704" s="318"/>
      <c r="W4704" s="318"/>
      <c r="X4704" s="318"/>
      <c r="Y4704" s="318"/>
      <c r="Z4704" s="318"/>
      <c r="AA4704" s="318"/>
      <c r="AB4704" s="318"/>
      <c r="AC4704" s="318"/>
      <c r="AD4704" s="318"/>
    </row>
    <row r="4705" spans="2:30" s="323" customFormat="1" ht="12" customHeight="1">
      <c r="B4705" s="324"/>
      <c r="C4705" s="325"/>
      <c r="D4705" s="326"/>
      <c r="E4705" s="326"/>
      <c r="F4705" s="326"/>
      <c r="G4705" s="326"/>
      <c r="H4705" s="326"/>
      <c r="P4705" s="318"/>
      <c r="Q4705" s="318"/>
      <c r="R4705" s="318"/>
      <c r="S4705" s="318"/>
      <c r="T4705" s="318"/>
      <c r="U4705" s="318"/>
      <c r="V4705" s="318"/>
      <c r="W4705" s="318"/>
      <c r="X4705" s="318"/>
      <c r="Y4705" s="318"/>
      <c r="Z4705" s="318"/>
      <c r="AA4705" s="318"/>
      <c r="AB4705" s="318"/>
      <c r="AC4705" s="318"/>
      <c r="AD4705" s="318"/>
    </row>
    <row r="4706" spans="2:30" s="323" customFormat="1" ht="12" customHeight="1">
      <c r="B4706" s="324"/>
      <c r="C4706" s="325"/>
      <c r="D4706" s="326"/>
      <c r="E4706" s="326"/>
      <c r="F4706" s="326"/>
      <c r="G4706" s="326"/>
      <c r="H4706" s="326"/>
      <c r="P4706" s="318"/>
      <c r="Q4706" s="318"/>
      <c r="R4706" s="318"/>
      <c r="S4706" s="318"/>
      <c r="T4706" s="318"/>
      <c r="U4706" s="318"/>
      <c r="V4706" s="318"/>
      <c r="W4706" s="318"/>
      <c r="X4706" s="318"/>
      <c r="Y4706" s="318"/>
      <c r="Z4706" s="318"/>
      <c r="AA4706" s="318"/>
      <c r="AB4706" s="318"/>
      <c r="AC4706" s="318"/>
      <c r="AD4706" s="318"/>
    </row>
    <row r="4707" spans="2:30" s="323" customFormat="1" ht="12" customHeight="1">
      <c r="B4707" s="324"/>
      <c r="C4707" s="325"/>
      <c r="D4707" s="326"/>
      <c r="E4707" s="326"/>
      <c r="F4707" s="326"/>
      <c r="G4707" s="326"/>
      <c r="H4707" s="326"/>
      <c r="P4707" s="318"/>
      <c r="Q4707" s="318"/>
      <c r="R4707" s="318"/>
      <c r="S4707" s="318"/>
      <c r="T4707" s="318"/>
      <c r="U4707" s="318"/>
      <c r="V4707" s="318"/>
      <c r="W4707" s="318"/>
      <c r="X4707" s="318"/>
      <c r="Y4707" s="318"/>
      <c r="Z4707" s="318"/>
      <c r="AA4707" s="318"/>
      <c r="AB4707" s="318"/>
      <c r="AC4707" s="318"/>
      <c r="AD4707" s="318"/>
    </row>
    <row r="4708" spans="2:30" s="323" customFormat="1" ht="12" customHeight="1">
      <c r="B4708" s="324"/>
      <c r="C4708" s="325"/>
      <c r="D4708" s="326"/>
      <c r="E4708" s="326"/>
      <c r="F4708" s="326"/>
      <c r="G4708" s="326"/>
      <c r="H4708" s="326"/>
      <c r="P4708" s="318"/>
      <c r="Q4708" s="318"/>
      <c r="R4708" s="318"/>
      <c r="S4708" s="318"/>
      <c r="T4708" s="318"/>
      <c r="U4708" s="318"/>
      <c r="V4708" s="318"/>
      <c r="W4708" s="318"/>
      <c r="X4708" s="318"/>
      <c r="Y4708" s="318"/>
      <c r="Z4708" s="318"/>
      <c r="AA4708" s="318"/>
      <c r="AB4708" s="318"/>
      <c r="AC4708" s="318"/>
      <c r="AD4708" s="318"/>
    </row>
    <row r="4709" spans="2:30" s="323" customFormat="1" ht="12" customHeight="1">
      <c r="B4709" s="324"/>
      <c r="C4709" s="325"/>
      <c r="D4709" s="326"/>
      <c r="E4709" s="326"/>
      <c r="F4709" s="326"/>
      <c r="G4709" s="326"/>
      <c r="H4709" s="326"/>
      <c r="P4709" s="318"/>
      <c r="Q4709" s="318"/>
      <c r="R4709" s="318"/>
      <c r="S4709" s="318"/>
      <c r="T4709" s="318"/>
      <c r="U4709" s="318"/>
      <c r="V4709" s="318"/>
      <c r="W4709" s="318"/>
      <c r="X4709" s="318"/>
      <c r="Y4709" s="318"/>
      <c r="Z4709" s="318"/>
      <c r="AA4709" s="318"/>
      <c r="AB4709" s="318"/>
      <c r="AC4709" s="318"/>
      <c r="AD4709" s="318"/>
    </row>
    <row r="4710" spans="2:30" s="323" customFormat="1" ht="12" customHeight="1">
      <c r="B4710" s="324"/>
      <c r="C4710" s="325"/>
      <c r="D4710" s="326"/>
      <c r="E4710" s="326"/>
      <c r="F4710" s="326"/>
      <c r="G4710" s="326"/>
      <c r="H4710" s="326"/>
      <c r="P4710" s="318"/>
      <c r="Q4710" s="318"/>
      <c r="R4710" s="318"/>
      <c r="S4710" s="318"/>
      <c r="T4710" s="318"/>
      <c r="U4710" s="318"/>
      <c r="V4710" s="318"/>
      <c r="W4710" s="318"/>
      <c r="X4710" s="318"/>
      <c r="Y4710" s="318"/>
      <c r="Z4710" s="318"/>
      <c r="AA4710" s="318"/>
      <c r="AB4710" s="318"/>
      <c r="AC4710" s="318"/>
      <c r="AD4710" s="318"/>
    </row>
    <row r="4711" spans="2:30" s="323" customFormat="1" ht="12" customHeight="1">
      <c r="B4711" s="324"/>
      <c r="C4711" s="325"/>
      <c r="D4711" s="326"/>
      <c r="E4711" s="326"/>
      <c r="F4711" s="326"/>
      <c r="G4711" s="326"/>
      <c r="H4711" s="326"/>
      <c r="P4711" s="318"/>
      <c r="Q4711" s="318"/>
      <c r="R4711" s="318"/>
      <c r="S4711" s="318"/>
      <c r="T4711" s="318"/>
      <c r="U4711" s="318"/>
      <c r="V4711" s="318"/>
      <c r="W4711" s="318"/>
      <c r="X4711" s="318"/>
      <c r="Y4711" s="318"/>
      <c r="Z4711" s="318"/>
      <c r="AA4711" s="318"/>
      <c r="AB4711" s="318"/>
      <c r="AC4711" s="318"/>
      <c r="AD4711" s="318"/>
    </row>
    <row r="4712" spans="2:30" s="323" customFormat="1" ht="12" customHeight="1">
      <c r="B4712" s="324"/>
      <c r="C4712" s="325"/>
      <c r="D4712" s="326"/>
      <c r="E4712" s="326"/>
      <c r="F4712" s="326"/>
      <c r="G4712" s="326"/>
      <c r="H4712" s="326"/>
      <c r="P4712" s="318"/>
      <c r="Q4712" s="318"/>
      <c r="R4712" s="318"/>
      <c r="S4712" s="318"/>
      <c r="T4712" s="318"/>
      <c r="U4712" s="318"/>
      <c r="V4712" s="318"/>
      <c r="W4712" s="318"/>
      <c r="X4712" s="318"/>
      <c r="Y4712" s="318"/>
      <c r="Z4712" s="318"/>
      <c r="AA4712" s="318"/>
      <c r="AB4712" s="318"/>
      <c r="AC4712" s="318"/>
      <c r="AD4712" s="318"/>
    </row>
    <row r="4713" spans="2:30" s="323" customFormat="1" ht="12" customHeight="1">
      <c r="B4713" s="324"/>
      <c r="C4713" s="325"/>
      <c r="D4713" s="326"/>
      <c r="E4713" s="326"/>
      <c r="F4713" s="326"/>
      <c r="G4713" s="326"/>
      <c r="H4713" s="326"/>
      <c r="P4713" s="318"/>
      <c r="Q4713" s="318"/>
      <c r="R4713" s="318"/>
      <c r="S4713" s="318"/>
      <c r="T4713" s="318"/>
      <c r="U4713" s="318"/>
      <c r="V4713" s="318"/>
      <c r="W4713" s="318"/>
      <c r="X4713" s="318"/>
      <c r="Y4713" s="318"/>
      <c r="Z4713" s="318"/>
      <c r="AA4713" s="318"/>
      <c r="AB4713" s="318"/>
      <c r="AC4713" s="318"/>
      <c r="AD4713" s="318"/>
    </row>
    <row r="4714" spans="2:30" s="323" customFormat="1" ht="12" customHeight="1">
      <c r="B4714" s="324"/>
      <c r="C4714" s="325"/>
      <c r="D4714" s="326"/>
      <c r="E4714" s="326"/>
      <c r="F4714" s="326"/>
      <c r="G4714" s="326"/>
      <c r="H4714" s="326"/>
      <c r="P4714" s="318"/>
      <c r="Q4714" s="318"/>
      <c r="R4714" s="318"/>
      <c r="S4714" s="318"/>
      <c r="T4714" s="318"/>
      <c r="U4714" s="318"/>
      <c r="V4714" s="318"/>
      <c r="W4714" s="318"/>
      <c r="X4714" s="318"/>
      <c r="Y4714" s="318"/>
      <c r="Z4714" s="318"/>
      <c r="AA4714" s="318"/>
      <c r="AB4714" s="318"/>
      <c r="AC4714" s="318"/>
      <c r="AD4714" s="318"/>
    </row>
    <row r="4715" spans="2:30" s="323" customFormat="1" ht="12" customHeight="1">
      <c r="B4715" s="324"/>
      <c r="C4715" s="325"/>
      <c r="D4715" s="326"/>
      <c r="E4715" s="326"/>
      <c r="F4715" s="326"/>
      <c r="G4715" s="326"/>
      <c r="H4715" s="326"/>
      <c r="P4715" s="318"/>
      <c r="Q4715" s="318"/>
      <c r="R4715" s="318"/>
      <c r="S4715" s="318"/>
      <c r="T4715" s="318"/>
      <c r="U4715" s="318"/>
      <c r="V4715" s="318"/>
      <c r="W4715" s="318"/>
      <c r="X4715" s="318"/>
      <c r="Y4715" s="318"/>
      <c r="Z4715" s="318"/>
      <c r="AA4715" s="318"/>
      <c r="AB4715" s="318"/>
      <c r="AC4715" s="318"/>
      <c r="AD4715" s="318"/>
    </row>
    <row r="4716" spans="2:30" s="323" customFormat="1" ht="12" customHeight="1">
      <c r="B4716" s="324"/>
      <c r="C4716" s="325"/>
      <c r="D4716" s="326"/>
      <c r="E4716" s="326"/>
      <c r="F4716" s="326"/>
      <c r="G4716" s="326"/>
      <c r="H4716" s="326"/>
      <c r="P4716" s="318"/>
      <c r="Q4716" s="318"/>
      <c r="R4716" s="318"/>
      <c r="S4716" s="318"/>
      <c r="T4716" s="318"/>
      <c r="U4716" s="318"/>
      <c r="V4716" s="318"/>
      <c r="W4716" s="318"/>
      <c r="X4716" s="318"/>
      <c r="Y4716" s="318"/>
      <c r="Z4716" s="318"/>
      <c r="AA4716" s="318"/>
      <c r="AB4716" s="318"/>
      <c r="AC4716" s="318"/>
      <c r="AD4716" s="318"/>
    </row>
    <row r="4717" spans="2:30" s="323" customFormat="1" ht="12" customHeight="1">
      <c r="B4717" s="324"/>
      <c r="C4717" s="325"/>
      <c r="D4717" s="326"/>
      <c r="E4717" s="326"/>
      <c r="F4717" s="326"/>
      <c r="G4717" s="326"/>
      <c r="H4717" s="326"/>
      <c r="P4717" s="318"/>
      <c r="Q4717" s="318"/>
      <c r="R4717" s="318"/>
      <c r="S4717" s="318"/>
      <c r="T4717" s="318"/>
      <c r="U4717" s="318"/>
      <c r="V4717" s="318"/>
      <c r="W4717" s="318"/>
      <c r="X4717" s="318"/>
      <c r="Y4717" s="318"/>
      <c r="Z4717" s="318"/>
      <c r="AA4717" s="318"/>
      <c r="AB4717" s="318"/>
      <c r="AC4717" s="318"/>
      <c r="AD4717" s="318"/>
    </row>
    <row r="4718" spans="2:30" s="323" customFormat="1" ht="12" customHeight="1">
      <c r="B4718" s="324"/>
      <c r="C4718" s="325"/>
      <c r="D4718" s="326"/>
      <c r="E4718" s="326"/>
      <c r="F4718" s="326"/>
      <c r="G4718" s="326"/>
      <c r="H4718" s="326"/>
      <c r="P4718" s="318"/>
      <c r="Q4718" s="318"/>
      <c r="R4718" s="318"/>
      <c r="S4718" s="318"/>
      <c r="T4718" s="318"/>
      <c r="U4718" s="318"/>
      <c r="V4718" s="318"/>
      <c r="W4718" s="318"/>
      <c r="X4718" s="318"/>
      <c r="Y4718" s="318"/>
      <c r="Z4718" s="318"/>
      <c r="AA4718" s="318"/>
      <c r="AB4718" s="318"/>
      <c r="AC4718" s="318"/>
      <c r="AD4718" s="318"/>
    </row>
    <row r="4719" spans="2:30" s="323" customFormat="1" ht="12" customHeight="1">
      <c r="B4719" s="324"/>
      <c r="C4719" s="325"/>
      <c r="D4719" s="326"/>
      <c r="E4719" s="326"/>
      <c r="F4719" s="326"/>
      <c r="G4719" s="326"/>
      <c r="H4719" s="326"/>
      <c r="P4719" s="318"/>
      <c r="Q4719" s="318"/>
      <c r="R4719" s="318"/>
      <c r="S4719" s="318"/>
      <c r="T4719" s="318"/>
      <c r="U4719" s="318"/>
      <c r="V4719" s="318"/>
      <c r="W4719" s="318"/>
      <c r="X4719" s="318"/>
      <c r="Y4719" s="318"/>
      <c r="Z4719" s="318"/>
      <c r="AA4719" s="318"/>
      <c r="AB4719" s="318"/>
      <c r="AC4719" s="318"/>
      <c r="AD4719" s="318"/>
    </row>
    <row r="4720" spans="2:30" s="323" customFormat="1" ht="12" customHeight="1">
      <c r="B4720" s="324"/>
      <c r="C4720" s="325"/>
      <c r="D4720" s="326"/>
      <c r="E4720" s="326"/>
      <c r="F4720" s="326"/>
      <c r="G4720" s="326"/>
      <c r="H4720" s="326"/>
      <c r="P4720" s="318"/>
      <c r="Q4720" s="318"/>
      <c r="R4720" s="318"/>
      <c r="S4720" s="318"/>
      <c r="T4720" s="318"/>
      <c r="U4720" s="318"/>
      <c r="V4720" s="318"/>
      <c r="W4720" s="318"/>
      <c r="X4720" s="318"/>
      <c r="Y4720" s="318"/>
      <c r="Z4720" s="318"/>
      <c r="AA4720" s="318"/>
      <c r="AB4720" s="318"/>
      <c r="AC4720" s="318"/>
      <c r="AD4720" s="318"/>
    </row>
    <row r="4721" spans="2:30" s="323" customFormat="1" ht="12" customHeight="1">
      <c r="B4721" s="324"/>
      <c r="C4721" s="325"/>
      <c r="D4721" s="326"/>
      <c r="E4721" s="326"/>
      <c r="F4721" s="326"/>
      <c r="G4721" s="326"/>
      <c r="H4721" s="326"/>
      <c r="P4721" s="318"/>
      <c r="Q4721" s="318"/>
      <c r="R4721" s="318"/>
      <c r="S4721" s="318"/>
      <c r="T4721" s="318"/>
      <c r="U4721" s="318"/>
      <c r="V4721" s="318"/>
      <c r="W4721" s="318"/>
      <c r="X4721" s="318"/>
      <c r="Y4721" s="318"/>
      <c r="Z4721" s="318"/>
      <c r="AA4721" s="318"/>
      <c r="AB4721" s="318"/>
      <c r="AC4721" s="318"/>
      <c r="AD4721" s="318"/>
    </row>
    <row r="4722" spans="2:30" s="323" customFormat="1" ht="12" customHeight="1">
      <c r="B4722" s="324"/>
      <c r="C4722" s="325"/>
      <c r="D4722" s="326"/>
      <c r="E4722" s="326"/>
      <c r="F4722" s="326"/>
      <c r="G4722" s="326"/>
      <c r="H4722" s="326"/>
      <c r="P4722" s="318"/>
      <c r="Q4722" s="318"/>
      <c r="R4722" s="318"/>
      <c r="S4722" s="318"/>
      <c r="T4722" s="318"/>
      <c r="U4722" s="318"/>
      <c r="V4722" s="318"/>
      <c r="W4722" s="318"/>
      <c r="X4722" s="318"/>
      <c r="Y4722" s="318"/>
      <c r="Z4722" s="318"/>
      <c r="AA4722" s="318"/>
      <c r="AB4722" s="318"/>
      <c r="AC4722" s="318"/>
      <c r="AD4722" s="318"/>
    </row>
    <row r="4723" spans="2:30" s="323" customFormat="1" ht="12" customHeight="1">
      <c r="B4723" s="324"/>
      <c r="C4723" s="325"/>
      <c r="D4723" s="326"/>
      <c r="E4723" s="326"/>
      <c r="F4723" s="326"/>
      <c r="G4723" s="326"/>
      <c r="H4723" s="326"/>
      <c r="P4723" s="318"/>
      <c r="Q4723" s="318"/>
      <c r="R4723" s="318"/>
      <c r="S4723" s="318"/>
      <c r="T4723" s="318"/>
      <c r="U4723" s="318"/>
      <c r="V4723" s="318"/>
      <c r="W4723" s="318"/>
      <c r="X4723" s="318"/>
      <c r="Y4723" s="318"/>
      <c r="Z4723" s="318"/>
      <c r="AA4723" s="318"/>
      <c r="AB4723" s="318"/>
      <c r="AC4723" s="318"/>
      <c r="AD4723" s="318"/>
    </row>
    <row r="4724" spans="2:30" s="323" customFormat="1" ht="12" customHeight="1">
      <c r="B4724" s="324"/>
      <c r="C4724" s="325"/>
      <c r="D4724" s="326"/>
      <c r="E4724" s="326"/>
      <c r="F4724" s="326"/>
      <c r="G4724" s="326"/>
      <c r="H4724" s="326"/>
      <c r="P4724" s="318"/>
      <c r="Q4724" s="318"/>
      <c r="R4724" s="318"/>
      <c r="S4724" s="318"/>
      <c r="T4724" s="318"/>
      <c r="U4724" s="318"/>
      <c r="V4724" s="318"/>
      <c r="W4724" s="318"/>
      <c r="X4724" s="318"/>
      <c r="Y4724" s="318"/>
      <c r="Z4724" s="318"/>
      <c r="AA4724" s="318"/>
      <c r="AB4724" s="318"/>
      <c r="AC4724" s="318"/>
      <c r="AD4724" s="318"/>
    </row>
    <row r="4725" spans="2:30" s="323" customFormat="1" ht="12" customHeight="1">
      <c r="B4725" s="324"/>
      <c r="C4725" s="325"/>
      <c r="D4725" s="326"/>
      <c r="E4725" s="326"/>
      <c r="F4725" s="326"/>
      <c r="G4725" s="326"/>
      <c r="H4725" s="326"/>
      <c r="P4725" s="318"/>
      <c r="Q4725" s="318"/>
      <c r="R4725" s="318"/>
      <c r="S4725" s="318"/>
      <c r="T4725" s="318"/>
      <c r="U4725" s="318"/>
      <c r="V4725" s="318"/>
      <c r="W4725" s="318"/>
      <c r="X4725" s="318"/>
      <c r="Y4725" s="318"/>
      <c r="Z4725" s="318"/>
      <c r="AA4725" s="318"/>
      <c r="AB4725" s="318"/>
      <c r="AC4725" s="318"/>
      <c r="AD4725" s="318"/>
    </row>
    <row r="4726" spans="2:30" s="323" customFormat="1" ht="12" customHeight="1">
      <c r="B4726" s="324"/>
      <c r="C4726" s="325"/>
      <c r="D4726" s="326"/>
      <c r="E4726" s="326"/>
      <c r="F4726" s="326"/>
      <c r="G4726" s="326"/>
      <c r="H4726" s="326"/>
      <c r="P4726" s="318"/>
      <c r="Q4726" s="318"/>
      <c r="R4726" s="318"/>
      <c r="S4726" s="318"/>
      <c r="T4726" s="318"/>
      <c r="U4726" s="318"/>
      <c r="V4726" s="318"/>
      <c r="W4726" s="318"/>
      <c r="X4726" s="318"/>
      <c r="Y4726" s="318"/>
      <c r="Z4726" s="318"/>
      <c r="AA4726" s="318"/>
      <c r="AB4726" s="318"/>
      <c r="AC4726" s="318"/>
      <c r="AD4726" s="318"/>
    </row>
    <row r="4727" spans="2:30" s="323" customFormat="1" ht="12" customHeight="1">
      <c r="B4727" s="324"/>
      <c r="C4727" s="325"/>
      <c r="D4727" s="326"/>
      <c r="E4727" s="326"/>
      <c r="F4727" s="326"/>
      <c r="G4727" s="326"/>
      <c r="H4727" s="326"/>
      <c r="P4727" s="318"/>
      <c r="Q4727" s="318"/>
      <c r="R4727" s="318"/>
      <c r="S4727" s="318"/>
      <c r="T4727" s="318"/>
      <c r="U4727" s="318"/>
      <c r="V4727" s="318"/>
      <c r="W4727" s="318"/>
      <c r="X4727" s="318"/>
      <c r="Y4727" s="318"/>
      <c r="Z4727" s="318"/>
      <c r="AA4727" s="318"/>
      <c r="AB4727" s="318"/>
      <c r="AC4727" s="318"/>
      <c r="AD4727" s="318"/>
    </row>
    <row r="4728" spans="2:30" s="323" customFormat="1" ht="12" customHeight="1">
      <c r="B4728" s="324"/>
      <c r="C4728" s="325"/>
      <c r="D4728" s="326"/>
      <c r="E4728" s="326"/>
      <c r="F4728" s="326"/>
      <c r="G4728" s="326"/>
      <c r="H4728" s="326"/>
      <c r="P4728" s="318"/>
      <c r="Q4728" s="318"/>
      <c r="R4728" s="318"/>
      <c r="S4728" s="318"/>
      <c r="T4728" s="318"/>
      <c r="U4728" s="318"/>
      <c r="V4728" s="318"/>
      <c r="W4728" s="318"/>
      <c r="X4728" s="318"/>
      <c r="Y4728" s="318"/>
      <c r="Z4728" s="318"/>
      <c r="AA4728" s="318"/>
      <c r="AB4728" s="318"/>
      <c r="AC4728" s="318"/>
      <c r="AD4728" s="318"/>
    </row>
    <row r="4729" spans="2:30" s="323" customFormat="1" ht="12" customHeight="1">
      <c r="B4729" s="324"/>
      <c r="C4729" s="325"/>
      <c r="D4729" s="326"/>
      <c r="E4729" s="326"/>
      <c r="F4729" s="326"/>
      <c r="G4729" s="326"/>
      <c r="H4729" s="326"/>
      <c r="P4729" s="318"/>
      <c r="Q4729" s="318"/>
      <c r="R4729" s="318"/>
      <c r="S4729" s="318"/>
      <c r="T4729" s="318"/>
      <c r="U4729" s="318"/>
      <c r="V4729" s="318"/>
      <c r="W4729" s="318"/>
      <c r="X4729" s="318"/>
      <c r="Y4729" s="318"/>
      <c r="Z4729" s="318"/>
      <c r="AA4729" s="318"/>
      <c r="AB4729" s="318"/>
      <c r="AC4729" s="318"/>
      <c r="AD4729" s="318"/>
    </row>
    <row r="4730" spans="2:30" s="323" customFormat="1" ht="12" customHeight="1">
      <c r="B4730" s="324"/>
      <c r="C4730" s="325"/>
      <c r="D4730" s="326"/>
      <c r="E4730" s="326"/>
      <c r="F4730" s="326"/>
      <c r="G4730" s="326"/>
      <c r="H4730" s="326"/>
      <c r="P4730" s="318"/>
      <c r="Q4730" s="318"/>
      <c r="R4730" s="318"/>
      <c r="S4730" s="318"/>
      <c r="T4730" s="318"/>
      <c r="U4730" s="318"/>
      <c r="V4730" s="318"/>
      <c r="W4730" s="318"/>
      <c r="X4730" s="318"/>
      <c r="Y4730" s="318"/>
      <c r="Z4730" s="318"/>
      <c r="AA4730" s="318"/>
      <c r="AB4730" s="318"/>
      <c r="AC4730" s="318"/>
      <c r="AD4730" s="318"/>
    </row>
    <row r="4731" spans="2:30" s="323" customFormat="1" ht="12" customHeight="1">
      <c r="B4731" s="324"/>
      <c r="C4731" s="325"/>
      <c r="D4731" s="326"/>
      <c r="E4731" s="326"/>
      <c r="F4731" s="326"/>
      <c r="G4731" s="326"/>
      <c r="H4731" s="326"/>
      <c r="P4731" s="318"/>
      <c r="Q4731" s="318"/>
      <c r="R4731" s="318"/>
      <c r="S4731" s="318"/>
      <c r="T4731" s="318"/>
      <c r="U4731" s="318"/>
      <c r="V4731" s="318"/>
      <c r="W4731" s="318"/>
      <c r="X4731" s="318"/>
      <c r="Y4731" s="318"/>
      <c r="Z4731" s="318"/>
      <c r="AA4731" s="318"/>
      <c r="AB4731" s="318"/>
      <c r="AC4731" s="318"/>
      <c r="AD4731" s="318"/>
    </row>
    <row r="4732" spans="2:30" s="323" customFormat="1" ht="12" customHeight="1">
      <c r="B4732" s="324"/>
      <c r="C4732" s="325"/>
      <c r="D4732" s="326"/>
      <c r="E4732" s="326"/>
      <c r="F4732" s="326"/>
      <c r="G4732" s="326"/>
      <c r="H4732" s="326"/>
      <c r="P4732" s="318"/>
      <c r="Q4732" s="318"/>
      <c r="R4732" s="318"/>
      <c r="S4732" s="318"/>
      <c r="T4732" s="318"/>
      <c r="U4732" s="318"/>
      <c r="V4732" s="318"/>
      <c r="W4732" s="318"/>
      <c r="X4732" s="318"/>
      <c r="Y4732" s="318"/>
      <c r="Z4732" s="318"/>
      <c r="AA4732" s="318"/>
      <c r="AB4732" s="318"/>
      <c r="AC4732" s="318"/>
      <c r="AD4732" s="318"/>
    </row>
    <row r="4733" spans="2:30" s="323" customFormat="1" ht="12" customHeight="1">
      <c r="B4733" s="324"/>
      <c r="C4733" s="325"/>
      <c r="D4733" s="326"/>
      <c r="E4733" s="326"/>
      <c r="F4733" s="326"/>
      <c r="G4733" s="326"/>
      <c r="H4733" s="326"/>
      <c r="P4733" s="318"/>
      <c r="Q4733" s="318"/>
      <c r="R4733" s="318"/>
      <c r="S4733" s="318"/>
      <c r="T4733" s="318"/>
      <c r="U4733" s="318"/>
      <c r="V4733" s="318"/>
      <c r="W4733" s="318"/>
      <c r="X4733" s="318"/>
      <c r="Y4733" s="318"/>
      <c r="Z4733" s="318"/>
      <c r="AA4733" s="318"/>
      <c r="AB4733" s="318"/>
      <c r="AC4733" s="318"/>
      <c r="AD4733" s="318"/>
    </row>
    <row r="4734" spans="2:30" s="323" customFormat="1" ht="12" customHeight="1">
      <c r="B4734" s="324"/>
      <c r="C4734" s="325"/>
      <c r="D4734" s="326"/>
      <c r="E4734" s="326"/>
      <c r="F4734" s="326"/>
      <c r="G4734" s="326"/>
      <c r="H4734" s="326"/>
      <c r="P4734" s="318"/>
      <c r="Q4734" s="318"/>
      <c r="R4734" s="318"/>
      <c r="S4734" s="318"/>
      <c r="T4734" s="318"/>
      <c r="U4734" s="318"/>
      <c r="V4734" s="318"/>
      <c r="W4734" s="318"/>
      <c r="X4734" s="318"/>
      <c r="Y4734" s="318"/>
      <c r="Z4734" s="318"/>
      <c r="AA4734" s="318"/>
      <c r="AB4734" s="318"/>
      <c r="AC4734" s="318"/>
      <c r="AD4734" s="318"/>
    </row>
    <row r="4735" spans="2:30" s="323" customFormat="1" ht="12" customHeight="1">
      <c r="B4735" s="324"/>
      <c r="C4735" s="325"/>
      <c r="D4735" s="326"/>
      <c r="E4735" s="326"/>
      <c r="F4735" s="326"/>
      <c r="G4735" s="326"/>
      <c r="H4735" s="326"/>
      <c r="P4735" s="318"/>
      <c r="Q4735" s="318"/>
      <c r="R4735" s="318"/>
      <c r="S4735" s="318"/>
      <c r="T4735" s="318"/>
      <c r="U4735" s="318"/>
      <c r="V4735" s="318"/>
      <c r="W4735" s="318"/>
      <c r="X4735" s="318"/>
      <c r="Y4735" s="318"/>
      <c r="Z4735" s="318"/>
      <c r="AA4735" s="318"/>
      <c r="AB4735" s="318"/>
      <c r="AC4735" s="318"/>
      <c r="AD4735" s="318"/>
    </row>
    <row r="4736" spans="2:30" s="323" customFormat="1" ht="12" customHeight="1">
      <c r="B4736" s="324"/>
      <c r="C4736" s="325"/>
      <c r="D4736" s="326"/>
      <c r="E4736" s="326"/>
      <c r="F4736" s="326"/>
      <c r="G4736" s="326"/>
      <c r="H4736" s="326"/>
      <c r="P4736" s="318"/>
      <c r="Q4736" s="318"/>
      <c r="R4736" s="318"/>
      <c r="S4736" s="318"/>
      <c r="T4736" s="318"/>
      <c r="U4736" s="318"/>
      <c r="V4736" s="318"/>
      <c r="W4736" s="318"/>
      <c r="X4736" s="318"/>
      <c r="Y4736" s="318"/>
      <c r="Z4736" s="318"/>
      <c r="AA4736" s="318"/>
      <c r="AB4736" s="318"/>
      <c r="AC4736" s="318"/>
      <c r="AD4736" s="318"/>
    </row>
    <row r="4737" spans="2:30" s="323" customFormat="1" ht="12" customHeight="1">
      <c r="B4737" s="324"/>
      <c r="C4737" s="325"/>
      <c r="D4737" s="326"/>
      <c r="E4737" s="326"/>
      <c r="F4737" s="326"/>
      <c r="G4737" s="326"/>
      <c r="H4737" s="326"/>
      <c r="P4737" s="318"/>
      <c r="Q4737" s="318"/>
      <c r="R4737" s="318"/>
      <c r="S4737" s="318"/>
      <c r="T4737" s="318"/>
      <c r="U4737" s="318"/>
      <c r="V4737" s="318"/>
      <c r="W4737" s="318"/>
      <c r="X4737" s="318"/>
      <c r="Y4737" s="318"/>
      <c r="Z4737" s="318"/>
      <c r="AA4737" s="318"/>
      <c r="AB4737" s="318"/>
      <c r="AC4737" s="318"/>
      <c r="AD4737" s="318"/>
    </row>
    <row r="4738" spans="2:30" s="323" customFormat="1" ht="12" customHeight="1">
      <c r="B4738" s="324"/>
      <c r="C4738" s="325"/>
      <c r="D4738" s="326"/>
      <c r="E4738" s="326"/>
      <c r="F4738" s="326"/>
      <c r="G4738" s="326"/>
      <c r="H4738" s="326"/>
      <c r="P4738" s="318"/>
      <c r="Q4738" s="318"/>
      <c r="R4738" s="318"/>
      <c r="S4738" s="318"/>
      <c r="T4738" s="318"/>
      <c r="U4738" s="318"/>
      <c r="V4738" s="318"/>
      <c r="W4738" s="318"/>
      <c r="X4738" s="318"/>
      <c r="Y4738" s="318"/>
      <c r="Z4738" s="318"/>
      <c r="AA4738" s="318"/>
      <c r="AB4738" s="318"/>
      <c r="AC4738" s="318"/>
      <c r="AD4738" s="318"/>
    </row>
    <row r="4739" spans="2:30" s="323" customFormat="1" ht="12" customHeight="1">
      <c r="B4739" s="324"/>
      <c r="C4739" s="325"/>
      <c r="D4739" s="326"/>
      <c r="E4739" s="326"/>
      <c r="F4739" s="326"/>
      <c r="G4739" s="326"/>
      <c r="H4739" s="326"/>
      <c r="P4739" s="318"/>
      <c r="Q4739" s="318"/>
      <c r="R4739" s="318"/>
      <c r="S4739" s="318"/>
      <c r="T4739" s="318"/>
      <c r="U4739" s="318"/>
      <c r="V4739" s="318"/>
      <c r="W4739" s="318"/>
      <c r="X4739" s="318"/>
      <c r="Y4739" s="318"/>
      <c r="Z4739" s="318"/>
      <c r="AA4739" s="318"/>
      <c r="AB4739" s="318"/>
      <c r="AC4739" s="318"/>
      <c r="AD4739" s="318"/>
    </row>
    <row r="4740" spans="2:30" s="323" customFormat="1" ht="12" customHeight="1">
      <c r="B4740" s="324"/>
      <c r="C4740" s="325"/>
      <c r="D4740" s="326"/>
      <c r="E4740" s="326"/>
      <c r="F4740" s="326"/>
      <c r="G4740" s="326"/>
      <c r="H4740" s="326"/>
      <c r="P4740" s="318"/>
      <c r="Q4740" s="318"/>
      <c r="R4740" s="318"/>
      <c r="S4740" s="318"/>
      <c r="T4740" s="318"/>
      <c r="U4740" s="318"/>
      <c r="V4740" s="318"/>
      <c r="W4740" s="318"/>
      <c r="X4740" s="318"/>
      <c r="Y4740" s="318"/>
      <c r="Z4740" s="318"/>
      <c r="AA4740" s="318"/>
      <c r="AB4740" s="318"/>
      <c r="AC4740" s="318"/>
      <c r="AD4740" s="318"/>
    </row>
    <row r="4741" spans="2:30" s="323" customFormat="1" ht="12" customHeight="1">
      <c r="B4741" s="324"/>
      <c r="C4741" s="325"/>
      <c r="D4741" s="326"/>
      <c r="E4741" s="326"/>
      <c r="F4741" s="326"/>
      <c r="G4741" s="326"/>
      <c r="H4741" s="326"/>
      <c r="P4741" s="318"/>
      <c r="Q4741" s="318"/>
      <c r="R4741" s="318"/>
      <c r="S4741" s="318"/>
      <c r="T4741" s="318"/>
      <c r="U4741" s="318"/>
      <c r="V4741" s="318"/>
      <c r="W4741" s="318"/>
      <c r="X4741" s="318"/>
      <c r="Y4741" s="318"/>
      <c r="Z4741" s="318"/>
      <c r="AA4741" s="318"/>
      <c r="AB4741" s="318"/>
      <c r="AC4741" s="318"/>
      <c r="AD4741" s="318"/>
    </row>
    <row r="4742" spans="2:30" s="323" customFormat="1" ht="12" customHeight="1">
      <c r="B4742" s="324"/>
      <c r="C4742" s="325"/>
      <c r="D4742" s="326"/>
      <c r="E4742" s="326"/>
      <c r="F4742" s="326"/>
      <c r="G4742" s="326"/>
      <c r="H4742" s="326"/>
      <c r="P4742" s="318"/>
      <c r="Q4742" s="318"/>
      <c r="R4742" s="318"/>
      <c r="S4742" s="318"/>
      <c r="T4742" s="318"/>
      <c r="U4742" s="318"/>
      <c r="V4742" s="318"/>
      <c r="W4742" s="318"/>
      <c r="X4742" s="318"/>
      <c r="Y4742" s="318"/>
      <c r="Z4742" s="318"/>
      <c r="AA4742" s="318"/>
      <c r="AB4742" s="318"/>
      <c r="AC4742" s="318"/>
      <c r="AD4742" s="318"/>
    </row>
    <row r="4743" spans="2:30" s="323" customFormat="1" ht="12" customHeight="1">
      <c r="B4743" s="324"/>
      <c r="C4743" s="325"/>
      <c r="D4743" s="326"/>
      <c r="E4743" s="326"/>
      <c r="F4743" s="326"/>
      <c r="G4743" s="326"/>
      <c r="H4743" s="326"/>
      <c r="P4743" s="318"/>
      <c r="Q4743" s="318"/>
      <c r="R4743" s="318"/>
      <c r="S4743" s="318"/>
      <c r="T4743" s="318"/>
      <c r="U4743" s="318"/>
      <c r="V4743" s="318"/>
      <c r="W4743" s="318"/>
      <c r="X4743" s="318"/>
      <c r="Y4743" s="318"/>
      <c r="Z4743" s="318"/>
      <c r="AA4743" s="318"/>
      <c r="AB4743" s="318"/>
      <c r="AC4743" s="318"/>
      <c r="AD4743" s="318"/>
    </row>
    <row r="4744" spans="2:30" s="323" customFormat="1" ht="12" customHeight="1">
      <c r="B4744" s="324"/>
      <c r="C4744" s="325"/>
      <c r="D4744" s="326"/>
      <c r="E4744" s="326"/>
      <c r="F4744" s="326"/>
      <c r="G4744" s="326"/>
      <c r="H4744" s="326"/>
      <c r="P4744" s="318"/>
      <c r="Q4744" s="318"/>
      <c r="R4744" s="318"/>
      <c r="S4744" s="318"/>
      <c r="T4744" s="318"/>
      <c r="U4744" s="318"/>
      <c r="V4744" s="318"/>
      <c r="W4744" s="318"/>
      <c r="X4744" s="318"/>
      <c r="Y4744" s="318"/>
      <c r="Z4744" s="318"/>
      <c r="AA4744" s="318"/>
      <c r="AB4744" s="318"/>
      <c r="AC4744" s="318"/>
      <c r="AD4744" s="318"/>
    </row>
    <row r="4745" spans="2:30" s="323" customFormat="1" ht="12" customHeight="1">
      <c r="B4745" s="324"/>
      <c r="C4745" s="325"/>
      <c r="D4745" s="326"/>
      <c r="E4745" s="326"/>
      <c r="F4745" s="326"/>
      <c r="G4745" s="326"/>
      <c r="H4745" s="326"/>
      <c r="P4745" s="318"/>
      <c r="Q4745" s="318"/>
      <c r="R4745" s="318"/>
      <c r="S4745" s="318"/>
      <c r="T4745" s="318"/>
      <c r="U4745" s="318"/>
      <c r="V4745" s="318"/>
      <c r="W4745" s="318"/>
      <c r="X4745" s="318"/>
      <c r="Y4745" s="318"/>
      <c r="Z4745" s="318"/>
      <c r="AA4745" s="318"/>
      <c r="AB4745" s="318"/>
      <c r="AC4745" s="318"/>
      <c r="AD4745" s="318"/>
    </row>
    <row r="4746" spans="2:30" s="323" customFormat="1" ht="12" customHeight="1">
      <c r="B4746" s="324"/>
      <c r="C4746" s="325"/>
      <c r="D4746" s="326"/>
      <c r="E4746" s="326"/>
      <c r="F4746" s="326"/>
      <c r="G4746" s="326"/>
      <c r="H4746" s="326"/>
      <c r="P4746" s="318"/>
      <c r="Q4746" s="318"/>
      <c r="R4746" s="318"/>
      <c r="S4746" s="318"/>
      <c r="T4746" s="318"/>
      <c r="U4746" s="318"/>
      <c r="V4746" s="318"/>
      <c r="W4746" s="318"/>
      <c r="X4746" s="318"/>
      <c r="Y4746" s="318"/>
      <c r="Z4746" s="318"/>
      <c r="AA4746" s="318"/>
      <c r="AB4746" s="318"/>
      <c r="AC4746" s="318"/>
      <c r="AD4746" s="318"/>
    </row>
    <row r="4747" spans="2:30" s="323" customFormat="1" ht="12" customHeight="1">
      <c r="B4747" s="324"/>
      <c r="C4747" s="325"/>
      <c r="D4747" s="326"/>
      <c r="E4747" s="326"/>
      <c r="F4747" s="326"/>
      <c r="G4747" s="326"/>
      <c r="H4747" s="326"/>
      <c r="P4747" s="318"/>
      <c r="Q4747" s="318"/>
      <c r="R4747" s="318"/>
      <c r="S4747" s="318"/>
      <c r="T4747" s="318"/>
      <c r="U4747" s="318"/>
      <c r="V4747" s="318"/>
      <c r="W4747" s="318"/>
      <c r="X4747" s="318"/>
      <c r="Y4747" s="318"/>
      <c r="Z4747" s="318"/>
      <c r="AA4747" s="318"/>
      <c r="AB4747" s="318"/>
      <c r="AC4747" s="318"/>
      <c r="AD4747" s="318"/>
    </row>
    <row r="4748" spans="2:30" s="323" customFormat="1" ht="12" customHeight="1">
      <c r="B4748" s="324"/>
      <c r="C4748" s="325"/>
      <c r="D4748" s="326"/>
      <c r="E4748" s="326"/>
      <c r="F4748" s="326"/>
      <c r="G4748" s="326"/>
      <c r="H4748" s="326"/>
      <c r="P4748" s="318"/>
      <c r="Q4748" s="318"/>
      <c r="R4748" s="318"/>
      <c r="S4748" s="318"/>
      <c r="T4748" s="318"/>
      <c r="U4748" s="318"/>
      <c r="V4748" s="318"/>
      <c r="W4748" s="318"/>
      <c r="X4748" s="318"/>
      <c r="Y4748" s="318"/>
      <c r="Z4748" s="318"/>
      <c r="AA4748" s="318"/>
      <c r="AB4748" s="318"/>
      <c r="AC4748" s="318"/>
      <c r="AD4748" s="318"/>
    </row>
    <row r="4749" spans="2:30" s="323" customFormat="1" ht="12" customHeight="1">
      <c r="B4749" s="324"/>
      <c r="C4749" s="325"/>
      <c r="D4749" s="326"/>
      <c r="E4749" s="326"/>
      <c r="F4749" s="326"/>
      <c r="G4749" s="326"/>
      <c r="H4749" s="326"/>
      <c r="P4749" s="318"/>
      <c r="Q4749" s="318"/>
      <c r="R4749" s="318"/>
      <c r="S4749" s="318"/>
      <c r="T4749" s="318"/>
      <c r="U4749" s="318"/>
      <c r="V4749" s="318"/>
      <c r="W4749" s="318"/>
      <c r="X4749" s="318"/>
      <c r="Y4749" s="318"/>
      <c r="Z4749" s="318"/>
      <c r="AA4749" s="318"/>
      <c r="AB4749" s="318"/>
      <c r="AC4749" s="318"/>
      <c r="AD4749" s="318"/>
    </row>
    <row r="4750" spans="2:30" s="323" customFormat="1" ht="12" customHeight="1">
      <c r="B4750" s="324"/>
      <c r="C4750" s="325"/>
      <c r="D4750" s="326"/>
      <c r="E4750" s="326"/>
      <c r="F4750" s="326"/>
      <c r="G4750" s="326"/>
      <c r="H4750" s="326"/>
      <c r="P4750" s="318"/>
      <c r="Q4750" s="318"/>
      <c r="R4750" s="318"/>
      <c r="S4750" s="318"/>
      <c r="T4750" s="318"/>
      <c r="U4750" s="318"/>
      <c r="V4750" s="318"/>
      <c r="W4750" s="318"/>
      <c r="X4750" s="318"/>
      <c r="Y4750" s="318"/>
      <c r="Z4750" s="318"/>
      <c r="AA4750" s="318"/>
      <c r="AB4750" s="318"/>
      <c r="AC4750" s="318"/>
      <c r="AD4750" s="318"/>
    </row>
    <row r="4751" spans="2:30" s="323" customFormat="1" ht="12" customHeight="1">
      <c r="B4751" s="324"/>
      <c r="C4751" s="325"/>
      <c r="D4751" s="326"/>
      <c r="E4751" s="326"/>
      <c r="F4751" s="326"/>
      <c r="G4751" s="326"/>
      <c r="H4751" s="326"/>
      <c r="P4751" s="318"/>
      <c r="Q4751" s="318"/>
      <c r="R4751" s="318"/>
      <c r="S4751" s="318"/>
      <c r="T4751" s="318"/>
      <c r="U4751" s="318"/>
      <c r="V4751" s="318"/>
      <c r="W4751" s="318"/>
      <c r="X4751" s="318"/>
      <c r="Y4751" s="318"/>
      <c r="Z4751" s="318"/>
      <c r="AA4751" s="318"/>
      <c r="AB4751" s="318"/>
      <c r="AC4751" s="318"/>
      <c r="AD4751" s="318"/>
    </row>
    <row r="4752" spans="2:30" s="323" customFormat="1" ht="12" customHeight="1">
      <c r="B4752" s="324"/>
      <c r="C4752" s="325"/>
      <c r="D4752" s="326"/>
      <c r="E4752" s="326"/>
      <c r="F4752" s="326"/>
      <c r="G4752" s="326"/>
      <c r="H4752" s="326"/>
      <c r="P4752" s="318"/>
      <c r="Q4752" s="318"/>
      <c r="R4752" s="318"/>
      <c r="S4752" s="318"/>
      <c r="T4752" s="318"/>
      <c r="U4752" s="318"/>
      <c r="V4752" s="318"/>
      <c r="W4752" s="318"/>
      <c r="X4752" s="318"/>
      <c r="Y4752" s="318"/>
      <c r="Z4752" s="318"/>
      <c r="AA4752" s="318"/>
      <c r="AB4752" s="318"/>
      <c r="AC4752" s="318"/>
      <c r="AD4752" s="318"/>
    </row>
    <row r="4753" spans="2:30" s="323" customFormat="1" ht="12" customHeight="1">
      <c r="B4753" s="324"/>
      <c r="C4753" s="325"/>
      <c r="D4753" s="326"/>
      <c r="E4753" s="326"/>
      <c r="F4753" s="326"/>
      <c r="G4753" s="326"/>
      <c r="H4753" s="326"/>
      <c r="P4753" s="318"/>
      <c r="Q4753" s="318"/>
      <c r="R4753" s="318"/>
      <c r="S4753" s="318"/>
      <c r="T4753" s="318"/>
      <c r="U4753" s="318"/>
      <c r="V4753" s="318"/>
      <c r="W4753" s="318"/>
      <c r="X4753" s="318"/>
      <c r="Y4753" s="318"/>
      <c r="Z4753" s="318"/>
      <c r="AA4753" s="318"/>
      <c r="AB4753" s="318"/>
      <c r="AC4753" s="318"/>
      <c r="AD4753" s="318"/>
    </row>
    <row r="4754" spans="2:30" s="323" customFormat="1" ht="12" customHeight="1">
      <c r="B4754" s="324"/>
      <c r="C4754" s="325"/>
      <c r="D4754" s="326"/>
      <c r="E4754" s="326"/>
      <c r="F4754" s="326"/>
      <c r="G4754" s="326"/>
      <c r="H4754" s="326"/>
      <c r="P4754" s="318"/>
      <c r="Q4754" s="318"/>
      <c r="R4754" s="318"/>
      <c r="S4754" s="318"/>
      <c r="T4754" s="318"/>
      <c r="U4754" s="318"/>
      <c r="V4754" s="318"/>
      <c r="W4754" s="318"/>
      <c r="X4754" s="318"/>
      <c r="Y4754" s="318"/>
      <c r="Z4754" s="318"/>
      <c r="AA4754" s="318"/>
      <c r="AB4754" s="318"/>
      <c r="AC4754" s="318"/>
      <c r="AD4754" s="318"/>
    </row>
    <row r="4755" spans="2:30" s="323" customFormat="1" ht="12" customHeight="1">
      <c r="B4755" s="324"/>
      <c r="C4755" s="325"/>
      <c r="D4755" s="326"/>
      <c r="E4755" s="326"/>
      <c r="F4755" s="326"/>
      <c r="G4755" s="326"/>
      <c r="H4755" s="326"/>
      <c r="P4755" s="318"/>
      <c r="Q4755" s="318"/>
      <c r="R4755" s="318"/>
      <c r="S4755" s="318"/>
      <c r="T4755" s="318"/>
      <c r="U4755" s="318"/>
      <c r="V4755" s="318"/>
      <c r="W4755" s="318"/>
      <c r="X4755" s="318"/>
      <c r="Y4755" s="318"/>
      <c r="Z4755" s="318"/>
      <c r="AA4755" s="318"/>
      <c r="AB4755" s="318"/>
      <c r="AC4755" s="318"/>
      <c r="AD4755" s="318"/>
    </row>
    <row r="4756" spans="2:30" s="323" customFormat="1" ht="12" customHeight="1">
      <c r="B4756" s="324"/>
      <c r="C4756" s="325"/>
      <c r="D4756" s="326"/>
      <c r="E4756" s="326"/>
      <c r="F4756" s="326"/>
      <c r="G4756" s="326"/>
      <c r="H4756" s="326"/>
      <c r="P4756" s="318"/>
      <c r="Q4756" s="318"/>
      <c r="R4756" s="318"/>
      <c r="S4756" s="318"/>
      <c r="T4756" s="318"/>
      <c r="U4756" s="318"/>
      <c r="V4756" s="318"/>
      <c r="W4756" s="318"/>
      <c r="X4756" s="318"/>
      <c r="Y4756" s="318"/>
      <c r="Z4756" s="318"/>
      <c r="AA4756" s="318"/>
      <c r="AB4756" s="318"/>
      <c r="AC4756" s="318"/>
      <c r="AD4756" s="318"/>
    </row>
    <row r="4757" spans="2:30" s="323" customFormat="1" ht="12" customHeight="1">
      <c r="B4757" s="324"/>
      <c r="C4757" s="325"/>
      <c r="D4757" s="326"/>
      <c r="E4757" s="326"/>
      <c r="F4757" s="326"/>
      <c r="G4757" s="326"/>
      <c r="H4757" s="326"/>
      <c r="P4757" s="318"/>
      <c r="Q4757" s="318"/>
      <c r="R4757" s="318"/>
      <c r="S4757" s="318"/>
      <c r="T4757" s="318"/>
      <c r="U4757" s="318"/>
      <c r="V4757" s="318"/>
      <c r="W4757" s="318"/>
      <c r="X4757" s="318"/>
      <c r="Y4757" s="318"/>
      <c r="Z4757" s="318"/>
      <c r="AA4757" s="318"/>
      <c r="AB4757" s="318"/>
      <c r="AC4757" s="318"/>
      <c r="AD4757" s="318"/>
    </row>
    <row r="4758" spans="2:30" s="323" customFormat="1" ht="12" customHeight="1">
      <c r="B4758" s="324"/>
      <c r="C4758" s="325"/>
      <c r="D4758" s="326"/>
      <c r="E4758" s="326"/>
      <c r="F4758" s="326"/>
      <c r="G4758" s="326"/>
      <c r="H4758" s="326"/>
      <c r="P4758" s="318"/>
      <c r="Q4758" s="318"/>
      <c r="R4758" s="318"/>
      <c r="S4758" s="318"/>
      <c r="T4758" s="318"/>
      <c r="U4758" s="318"/>
      <c r="V4758" s="318"/>
      <c r="W4758" s="318"/>
      <c r="X4758" s="318"/>
      <c r="Y4758" s="318"/>
      <c r="Z4758" s="318"/>
      <c r="AA4758" s="318"/>
      <c r="AB4758" s="318"/>
      <c r="AC4758" s="318"/>
      <c r="AD4758" s="318"/>
    </row>
    <row r="4759" spans="2:30" s="323" customFormat="1" ht="12" customHeight="1">
      <c r="B4759" s="324"/>
      <c r="C4759" s="325"/>
      <c r="D4759" s="326"/>
      <c r="E4759" s="326"/>
      <c r="F4759" s="326"/>
      <c r="G4759" s="326"/>
      <c r="H4759" s="326"/>
      <c r="P4759" s="318"/>
      <c r="Q4759" s="318"/>
      <c r="R4759" s="318"/>
      <c r="S4759" s="318"/>
      <c r="T4759" s="318"/>
      <c r="U4759" s="318"/>
      <c r="V4759" s="318"/>
      <c r="W4759" s="318"/>
      <c r="X4759" s="318"/>
      <c r="Y4759" s="318"/>
      <c r="Z4759" s="318"/>
      <c r="AA4759" s="318"/>
      <c r="AB4759" s="318"/>
      <c r="AC4759" s="318"/>
      <c r="AD4759" s="318"/>
    </row>
    <row r="4760" spans="2:30" s="323" customFormat="1" ht="12" customHeight="1">
      <c r="B4760" s="324"/>
      <c r="C4760" s="325"/>
      <c r="D4760" s="326"/>
      <c r="E4760" s="326"/>
      <c r="F4760" s="326"/>
      <c r="G4760" s="326"/>
      <c r="H4760" s="326"/>
      <c r="P4760" s="318"/>
      <c r="Q4760" s="318"/>
      <c r="R4760" s="318"/>
      <c r="S4760" s="318"/>
      <c r="T4760" s="318"/>
      <c r="U4760" s="318"/>
      <c r="V4760" s="318"/>
      <c r="W4760" s="318"/>
      <c r="X4760" s="318"/>
      <c r="Y4760" s="318"/>
      <c r="Z4760" s="318"/>
      <c r="AA4760" s="318"/>
      <c r="AB4760" s="318"/>
      <c r="AC4760" s="318"/>
      <c r="AD4760" s="318"/>
    </row>
    <row r="4761" spans="2:30" s="323" customFormat="1" ht="12" customHeight="1">
      <c r="B4761" s="324"/>
      <c r="C4761" s="325"/>
      <c r="D4761" s="326"/>
      <c r="E4761" s="326"/>
      <c r="F4761" s="326"/>
      <c r="G4761" s="326"/>
      <c r="H4761" s="326"/>
      <c r="P4761" s="318"/>
      <c r="Q4761" s="318"/>
      <c r="R4761" s="318"/>
      <c r="S4761" s="318"/>
      <c r="T4761" s="318"/>
      <c r="U4761" s="318"/>
      <c r="V4761" s="318"/>
      <c r="W4761" s="318"/>
      <c r="X4761" s="318"/>
      <c r="Y4761" s="318"/>
      <c r="Z4761" s="318"/>
      <c r="AA4761" s="318"/>
      <c r="AB4761" s="318"/>
      <c r="AC4761" s="318"/>
      <c r="AD4761" s="318"/>
    </row>
    <row r="4762" spans="2:30" s="323" customFormat="1" ht="12" customHeight="1">
      <c r="B4762" s="324"/>
      <c r="C4762" s="325"/>
      <c r="D4762" s="326"/>
      <c r="E4762" s="326"/>
      <c r="F4762" s="326"/>
      <c r="G4762" s="326"/>
      <c r="H4762" s="326"/>
      <c r="P4762" s="318"/>
      <c r="Q4762" s="318"/>
      <c r="R4762" s="318"/>
      <c r="S4762" s="318"/>
      <c r="T4762" s="318"/>
      <c r="U4762" s="318"/>
      <c r="V4762" s="318"/>
      <c r="W4762" s="318"/>
      <c r="X4762" s="318"/>
      <c r="Y4762" s="318"/>
      <c r="Z4762" s="318"/>
      <c r="AA4762" s="318"/>
      <c r="AB4762" s="318"/>
      <c r="AC4762" s="318"/>
      <c r="AD4762" s="318"/>
    </row>
    <row r="4763" spans="2:30" s="323" customFormat="1" ht="12" customHeight="1">
      <c r="B4763" s="324"/>
      <c r="C4763" s="325"/>
      <c r="D4763" s="326"/>
      <c r="E4763" s="326"/>
      <c r="F4763" s="326"/>
      <c r="G4763" s="326"/>
      <c r="H4763" s="326"/>
      <c r="P4763" s="318"/>
      <c r="Q4763" s="318"/>
      <c r="R4763" s="318"/>
      <c r="S4763" s="318"/>
      <c r="T4763" s="318"/>
      <c r="U4763" s="318"/>
      <c r="V4763" s="318"/>
      <c r="W4763" s="318"/>
      <c r="X4763" s="318"/>
      <c r="Y4763" s="318"/>
      <c r="Z4763" s="318"/>
      <c r="AA4763" s="318"/>
      <c r="AB4763" s="318"/>
      <c r="AC4763" s="318"/>
      <c r="AD4763" s="318"/>
    </row>
    <row r="4764" spans="2:30" s="323" customFormat="1" ht="12" customHeight="1">
      <c r="B4764" s="324"/>
      <c r="C4764" s="325"/>
      <c r="D4764" s="326"/>
      <c r="E4764" s="326"/>
      <c r="F4764" s="326"/>
      <c r="G4764" s="326"/>
      <c r="H4764" s="326"/>
      <c r="P4764" s="318"/>
      <c r="Q4764" s="318"/>
      <c r="R4764" s="318"/>
      <c r="S4764" s="318"/>
      <c r="T4764" s="318"/>
      <c r="U4764" s="318"/>
      <c r="V4764" s="318"/>
      <c r="W4764" s="318"/>
      <c r="X4764" s="318"/>
      <c r="Y4764" s="318"/>
      <c r="Z4764" s="318"/>
      <c r="AA4764" s="318"/>
      <c r="AB4764" s="318"/>
      <c r="AC4764" s="318"/>
      <c r="AD4764" s="318"/>
    </row>
    <row r="4765" spans="2:30" s="323" customFormat="1" ht="12" customHeight="1">
      <c r="B4765" s="324"/>
      <c r="C4765" s="325"/>
      <c r="D4765" s="326"/>
      <c r="E4765" s="326"/>
      <c r="F4765" s="326"/>
      <c r="G4765" s="326"/>
      <c r="H4765" s="326"/>
      <c r="P4765" s="318"/>
      <c r="Q4765" s="318"/>
      <c r="R4765" s="318"/>
      <c r="S4765" s="318"/>
      <c r="T4765" s="318"/>
      <c r="U4765" s="318"/>
      <c r="V4765" s="318"/>
      <c r="W4765" s="318"/>
      <c r="X4765" s="318"/>
      <c r="Y4765" s="318"/>
      <c r="Z4765" s="318"/>
      <c r="AA4765" s="318"/>
      <c r="AB4765" s="318"/>
      <c r="AC4765" s="318"/>
      <c r="AD4765" s="318"/>
    </row>
    <row r="4766" spans="2:30" s="323" customFormat="1" ht="12" customHeight="1">
      <c r="B4766" s="324"/>
      <c r="C4766" s="325"/>
      <c r="D4766" s="326"/>
      <c r="E4766" s="326"/>
      <c r="F4766" s="326"/>
      <c r="G4766" s="326"/>
      <c r="H4766" s="326"/>
      <c r="P4766" s="318"/>
      <c r="Q4766" s="318"/>
      <c r="R4766" s="318"/>
      <c r="S4766" s="318"/>
      <c r="T4766" s="318"/>
      <c r="U4766" s="318"/>
      <c r="V4766" s="318"/>
      <c r="W4766" s="318"/>
      <c r="X4766" s="318"/>
      <c r="Y4766" s="318"/>
      <c r="Z4766" s="318"/>
      <c r="AA4766" s="318"/>
      <c r="AB4766" s="318"/>
      <c r="AC4766" s="318"/>
      <c r="AD4766" s="318"/>
    </row>
    <row r="4767" spans="2:30" s="323" customFormat="1" ht="12" customHeight="1">
      <c r="B4767" s="324"/>
      <c r="C4767" s="325"/>
      <c r="D4767" s="326"/>
      <c r="E4767" s="326"/>
      <c r="F4767" s="326"/>
      <c r="G4767" s="326"/>
      <c r="H4767" s="326"/>
      <c r="P4767" s="318"/>
      <c r="Q4767" s="318"/>
      <c r="R4767" s="318"/>
      <c r="S4767" s="318"/>
      <c r="T4767" s="318"/>
      <c r="U4767" s="318"/>
      <c r="V4767" s="318"/>
      <c r="W4767" s="318"/>
      <c r="X4767" s="318"/>
      <c r="Y4767" s="318"/>
      <c r="Z4767" s="318"/>
      <c r="AA4767" s="318"/>
      <c r="AB4767" s="318"/>
      <c r="AC4767" s="318"/>
      <c r="AD4767" s="318"/>
    </row>
    <row r="4768" spans="2:30" s="323" customFormat="1" ht="12" customHeight="1">
      <c r="B4768" s="324"/>
      <c r="C4768" s="325"/>
      <c r="D4768" s="326"/>
      <c r="E4768" s="326"/>
      <c r="F4768" s="326"/>
      <c r="G4768" s="326"/>
      <c r="H4768" s="326"/>
      <c r="P4768" s="318"/>
      <c r="Q4768" s="318"/>
      <c r="R4768" s="318"/>
      <c r="S4768" s="318"/>
      <c r="T4768" s="318"/>
      <c r="U4768" s="318"/>
      <c r="V4768" s="318"/>
      <c r="W4768" s="318"/>
      <c r="X4768" s="318"/>
      <c r="Y4768" s="318"/>
      <c r="Z4768" s="318"/>
      <c r="AA4768" s="318"/>
      <c r="AB4768" s="318"/>
      <c r="AC4768" s="318"/>
      <c r="AD4768" s="318"/>
    </row>
    <row r="4769" spans="2:30" s="323" customFormat="1" ht="12" customHeight="1">
      <c r="B4769" s="324"/>
      <c r="C4769" s="325"/>
      <c r="D4769" s="326"/>
      <c r="E4769" s="326"/>
      <c r="F4769" s="326"/>
      <c r="G4769" s="326"/>
      <c r="H4769" s="326"/>
      <c r="P4769" s="318"/>
      <c r="Q4769" s="318"/>
      <c r="R4769" s="318"/>
      <c r="S4769" s="318"/>
      <c r="T4769" s="318"/>
      <c r="U4769" s="318"/>
      <c r="V4769" s="318"/>
      <c r="W4769" s="318"/>
      <c r="X4769" s="318"/>
      <c r="Y4769" s="318"/>
      <c r="Z4769" s="318"/>
      <c r="AA4769" s="318"/>
      <c r="AB4769" s="318"/>
      <c r="AC4769" s="318"/>
      <c r="AD4769" s="318"/>
    </row>
    <row r="4770" spans="2:30" s="323" customFormat="1" ht="12" customHeight="1">
      <c r="B4770" s="324"/>
      <c r="C4770" s="325"/>
      <c r="D4770" s="326"/>
      <c r="E4770" s="326"/>
      <c r="F4770" s="326"/>
      <c r="G4770" s="326"/>
      <c r="H4770" s="326"/>
      <c r="P4770" s="318"/>
      <c r="Q4770" s="318"/>
      <c r="R4770" s="318"/>
      <c r="S4770" s="318"/>
      <c r="T4770" s="318"/>
      <c r="U4770" s="318"/>
      <c r="V4770" s="318"/>
      <c r="W4770" s="318"/>
      <c r="X4770" s="318"/>
      <c r="Y4770" s="318"/>
      <c r="Z4770" s="318"/>
      <c r="AA4770" s="318"/>
      <c r="AB4770" s="318"/>
      <c r="AC4770" s="318"/>
      <c r="AD4770" s="318"/>
    </row>
    <row r="4771" spans="2:30" s="323" customFormat="1" ht="12" customHeight="1">
      <c r="B4771" s="324"/>
      <c r="C4771" s="325"/>
      <c r="D4771" s="326"/>
      <c r="E4771" s="326"/>
      <c r="F4771" s="326"/>
      <c r="G4771" s="326"/>
      <c r="H4771" s="326"/>
      <c r="P4771" s="318"/>
      <c r="Q4771" s="318"/>
      <c r="R4771" s="318"/>
      <c r="S4771" s="318"/>
      <c r="T4771" s="318"/>
      <c r="U4771" s="318"/>
      <c r="V4771" s="318"/>
      <c r="W4771" s="318"/>
      <c r="X4771" s="318"/>
      <c r="Y4771" s="318"/>
      <c r="Z4771" s="318"/>
      <c r="AA4771" s="318"/>
      <c r="AB4771" s="318"/>
      <c r="AC4771" s="318"/>
      <c r="AD4771" s="318"/>
    </row>
    <row r="4772" spans="2:30" s="323" customFormat="1" ht="12" customHeight="1">
      <c r="B4772" s="324"/>
      <c r="C4772" s="325"/>
      <c r="D4772" s="326"/>
      <c r="E4772" s="326"/>
      <c r="F4772" s="326"/>
      <c r="G4772" s="326"/>
      <c r="H4772" s="326"/>
      <c r="P4772" s="318"/>
      <c r="Q4772" s="318"/>
      <c r="R4772" s="318"/>
      <c r="S4772" s="318"/>
      <c r="T4772" s="318"/>
      <c r="U4772" s="318"/>
      <c r="V4772" s="318"/>
      <c r="W4772" s="318"/>
      <c r="X4772" s="318"/>
      <c r="Y4772" s="318"/>
      <c r="Z4772" s="318"/>
      <c r="AA4772" s="318"/>
      <c r="AB4772" s="318"/>
      <c r="AC4772" s="318"/>
      <c r="AD4772" s="318"/>
    </row>
    <row r="4773" spans="2:30" s="323" customFormat="1" ht="12" customHeight="1">
      <c r="B4773" s="324"/>
      <c r="C4773" s="325"/>
      <c r="D4773" s="326"/>
      <c r="E4773" s="326"/>
      <c r="F4773" s="326"/>
      <c r="G4773" s="326"/>
      <c r="H4773" s="326"/>
      <c r="P4773" s="318"/>
      <c r="Q4773" s="318"/>
      <c r="R4773" s="318"/>
      <c r="S4773" s="318"/>
      <c r="T4773" s="318"/>
      <c r="U4773" s="318"/>
      <c r="V4773" s="318"/>
      <c r="W4773" s="318"/>
      <c r="X4773" s="318"/>
      <c r="Y4773" s="318"/>
      <c r="Z4773" s="318"/>
      <c r="AA4773" s="318"/>
      <c r="AB4773" s="318"/>
      <c r="AC4773" s="318"/>
      <c r="AD4773" s="318"/>
    </row>
    <row r="4774" spans="2:30" s="323" customFormat="1" ht="12" customHeight="1">
      <c r="B4774" s="324"/>
      <c r="C4774" s="325"/>
      <c r="D4774" s="326"/>
      <c r="E4774" s="326"/>
      <c r="F4774" s="326"/>
      <c r="G4774" s="326"/>
      <c r="H4774" s="326"/>
      <c r="P4774" s="318"/>
      <c r="Q4774" s="318"/>
      <c r="R4774" s="318"/>
      <c r="S4774" s="318"/>
      <c r="T4774" s="318"/>
      <c r="U4774" s="318"/>
      <c r="V4774" s="318"/>
      <c r="W4774" s="318"/>
      <c r="X4774" s="318"/>
      <c r="Y4774" s="318"/>
      <c r="Z4774" s="318"/>
      <c r="AA4774" s="318"/>
      <c r="AB4774" s="318"/>
      <c r="AC4774" s="318"/>
      <c r="AD4774" s="318"/>
    </row>
    <row r="4775" spans="2:30" s="323" customFormat="1" ht="12" customHeight="1">
      <c r="B4775" s="324"/>
      <c r="C4775" s="325"/>
      <c r="D4775" s="326"/>
      <c r="E4775" s="326"/>
      <c r="F4775" s="326"/>
      <c r="G4775" s="326"/>
      <c r="H4775" s="326"/>
      <c r="P4775" s="318"/>
      <c r="Q4775" s="318"/>
      <c r="R4775" s="318"/>
      <c r="S4775" s="318"/>
      <c r="T4775" s="318"/>
      <c r="U4775" s="318"/>
      <c r="V4775" s="318"/>
      <c r="W4775" s="318"/>
      <c r="X4775" s="318"/>
      <c r="Y4775" s="318"/>
      <c r="Z4775" s="318"/>
      <c r="AA4775" s="318"/>
      <c r="AB4775" s="318"/>
      <c r="AC4775" s="318"/>
      <c r="AD4775" s="318"/>
    </row>
    <row r="4776" spans="2:30" s="323" customFormat="1" ht="12" customHeight="1">
      <c r="B4776" s="324"/>
      <c r="C4776" s="325"/>
      <c r="D4776" s="326"/>
      <c r="E4776" s="326"/>
      <c r="F4776" s="326"/>
      <c r="G4776" s="326"/>
      <c r="H4776" s="326"/>
      <c r="P4776" s="318"/>
      <c r="Q4776" s="318"/>
      <c r="R4776" s="318"/>
      <c r="S4776" s="318"/>
      <c r="T4776" s="318"/>
      <c r="U4776" s="318"/>
      <c r="V4776" s="318"/>
      <c r="W4776" s="318"/>
      <c r="X4776" s="318"/>
      <c r="Y4776" s="318"/>
      <c r="Z4776" s="318"/>
      <c r="AA4776" s="318"/>
      <c r="AB4776" s="318"/>
      <c r="AC4776" s="318"/>
      <c r="AD4776" s="318"/>
    </row>
    <row r="4777" spans="2:30" s="323" customFormat="1" ht="12" customHeight="1">
      <c r="B4777" s="324"/>
      <c r="C4777" s="325"/>
      <c r="D4777" s="326"/>
      <c r="E4777" s="326"/>
      <c r="F4777" s="326"/>
      <c r="G4777" s="326"/>
      <c r="H4777" s="326"/>
      <c r="P4777" s="318"/>
      <c r="Q4777" s="318"/>
      <c r="R4777" s="318"/>
      <c r="S4777" s="318"/>
      <c r="T4777" s="318"/>
      <c r="U4777" s="318"/>
      <c r="V4777" s="318"/>
      <c r="W4777" s="318"/>
      <c r="X4777" s="318"/>
      <c r="Y4777" s="318"/>
      <c r="Z4777" s="318"/>
      <c r="AA4777" s="318"/>
      <c r="AB4777" s="318"/>
      <c r="AC4777" s="318"/>
      <c r="AD4777" s="318"/>
    </row>
    <row r="4778" spans="2:30" s="323" customFormat="1" ht="12" customHeight="1">
      <c r="B4778" s="324"/>
      <c r="C4778" s="325"/>
      <c r="D4778" s="326"/>
      <c r="E4778" s="326"/>
      <c r="F4778" s="326"/>
      <c r="G4778" s="326"/>
      <c r="H4778" s="326"/>
      <c r="P4778" s="318"/>
      <c r="Q4778" s="318"/>
      <c r="R4778" s="318"/>
      <c r="S4778" s="318"/>
      <c r="T4778" s="318"/>
      <c r="U4778" s="318"/>
      <c r="V4778" s="318"/>
      <c r="W4778" s="318"/>
      <c r="X4778" s="318"/>
      <c r="Y4778" s="318"/>
      <c r="Z4778" s="318"/>
      <c r="AA4778" s="318"/>
      <c r="AB4778" s="318"/>
      <c r="AC4778" s="318"/>
      <c r="AD4778" s="318"/>
    </row>
    <row r="4779" spans="2:30" s="323" customFormat="1" ht="12" customHeight="1">
      <c r="B4779" s="324"/>
      <c r="C4779" s="325"/>
      <c r="D4779" s="326"/>
      <c r="E4779" s="326"/>
      <c r="F4779" s="326"/>
      <c r="G4779" s="326"/>
      <c r="H4779" s="326"/>
      <c r="P4779" s="318"/>
      <c r="Q4779" s="318"/>
      <c r="R4779" s="318"/>
      <c r="S4779" s="318"/>
      <c r="T4779" s="318"/>
      <c r="U4779" s="318"/>
      <c r="V4779" s="318"/>
      <c r="W4779" s="318"/>
      <c r="X4779" s="318"/>
      <c r="Y4779" s="318"/>
      <c r="Z4779" s="318"/>
      <c r="AA4779" s="318"/>
      <c r="AB4779" s="318"/>
      <c r="AC4779" s="318"/>
      <c r="AD4779" s="318"/>
    </row>
    <row r="4780" spans="2:30" s="323" customFormat="1" ht="12" customHeight="1">
      <c r="B4780" s="324"/>
      <c r="C4780" s="325"/>
      <c r="D4780" s="326"/>
      <c r="E4780" s="326"/>
      <c r="F4780" s="326"/>
      <c r="G4780" s="326"/>
      <c r="H4780" s="326"/>
      <c r="P4780" s="318"/>
      <c r="Q4780" s="318"/>
      <c r="R4780" s="318"/>
      <c r="S4780" s="318"/>
      <c r="T4780" s="318"/>
      <c r="U4780" s="318"/>
      <c r="V4780" s="318"/>
      <c r="W4780" s="318"/>
      <c r="X4780" s="318"/>
      <c r="Y4780" s="318"/>
      <c r="Z4780" s="318"/>
      <c r="AA4780" s="318"/>
      <c r="AB4780" s="318"/>
      <c r="AC4780" s="318"/>
      <c r="AD4780" s="318"/>
    </row>
    <row r="4781" spans="2:30" s="323" customFormat="1" ht="12" customHeight="1">
      <c r="B4781" s="324"/>
      <c r="C4781" s="325"/>
      <c r="D4781" s="326"/>
      <c r="E4781" s="326"/>
      <c r="F4781" s="326"/>
      <c r="G4781" s="326"/>
      <c r="H4781" s="326"/>
      <c r="P4781" s="318"/>
      <c r="Q4781" s="318"/>
      <c r="R4781" s="318"/>
      <c r="S4781" s="318"/>
      <c r="T4781" s="318"/>
      <c r="U4781" s="318"/>
      <c r="V4781" s="318"/>
      <c r="W4781" s="318"/>
      <c r="X4781" s="318"/>
      <c r="Y4781" s="318"/>
      <c r="Z4781" s="318"/>
      <c r="AA4781" s="318"/>
      <c r="AB4781" s="318"/>
      <c r="AC4781" s="318"/>
      <c r="AD4781" s="318"/>
    </row>
    <row r="4782" spans="2:30" s="323" customFormat="1" ht="12" customHeight="1">
      <c r="B4782" s="324"/>
      <c r="C4782" s="325"/>
      <c r="D4782" s="326"/>
      <c r="E4782" s="326"/>
      <c r="F4782" s="326"/>
      <c r="G4782" s="326"/>
      <c r="H4782" s="326"/>
      <c r="P4782" s="318"/>
      <c r="Q4782" s="318"/>
      <c r="R4782" s="318"/>
      <c r="S4782" s="318"/>
      <c r="T4782" s="318"/>
      <c r="U4782" s="318"/>
      <c r="V4782" s="318"/>
      <c r="W4782" s="318"/>
      <c r="X4782" s="318"/>
      <c r="Y4782" s="318"/>
      <c r="Z4782" s="318"/>
      <c r="AA4782" s="318"/>
      <c r="AB4782" s="318"/>
      <c r="AC4782" s="318"/>
      <c r="AD4782" s="318"/>
    </row>
    <row r="4783" spans="2:30" s="323" customFormat="1" ht="12" customHeight="1">
      <c r="B4783" s="324"/>
      <c r="C4783" s="325"/>
      <c r="D4783" s="326"/>
      <c r="E4783" s="326"/>
      <c r="F4783" s="326"/>
      <c r="G4783" s="326"/>
      <c r="H4783" s="326"/>
      <c r="P4783" s="318"/>
      <c r="Q4783" s="318"/>
      <c r="R4783" s="318"/>
      <c r="S4783" s="318"/>
      <c r="T4783" s="318"/>
      <c r="U4783" s="318"/>
      <c r="V4783" s="318"/>
      <c r="W4783" s="318"/>
      <c r="X4783" s="318"/>
      <c r="Y4783" s="318"/>
      <c r="Z4783" s="318"/>
      <c r="AA4783" s="318"/>
      <c r="AB4783" s="318"/>
      <c r="AC4783" s="318"/>
      <c r="AD4783" s="318"/>
    </row>
    <row r="4784" spans="2:30" s="323" customFormat="1" ht="12" customHeight="1">
      <c r="B4784" s="324"/>
      <c r="C4784" s="325"/>
      <c r="D4784" s="326"/>
      <c r="E4784" s="326"/>
      <c r="F4784" s="326"/>
      <c r="G4784" s="326"/>
      <c r="H4784" s="326"/>
      <c r="P4784" s="318"/>
      <c r="Q4784" s="318"/>
      <c r="R4784" s="318"/>
      <c r="S4784" s="318"/>
      <c r="T4784" s="318"/>
      <c r="U4784" s="318"/>
      <c r="V4784" s="318"/>
      <c r="W4784" s="318"/>
      <c r="X4784" s="318"/>
      <c r="Y4784" s="318"/>
      <c r="Z4784" s="318"/>
      <c r="AA4784" s="318"/>
      <c r="AB4784" s="318"/>
      <c r="AC4784" s="318"/>
      <c r="AD4784" s="318"/>
    </row>
    <row r="4785" spans="2:30" s="323" customFormat="1" ht="12" customHeight="1">
      <c r="B4785" s="324"/>
      <c r="C4785" s="325"/>
      <c r="D4785" s="326"/>
      <c r="E4785" s="326"/>
      <c r="F4785" s="326"/>
      <c r="G4785" s="326"/>
      <c r="H4785" s="326"/>
      <c r="P4785" s="318"/>
      <c r="Q4785" s="318"/>
      <c r="R4785" s="318"/>
      <c r="S4785" s="318"/>
      <c r="T4785" s="318"/>
      <c r="U4785" s="318"/>
      <c r="V4785" s="318"/>
      <c r="W4785" s="318"/>
      <c r="X4785" s="318"/>
      <c r="Y4785" s="318"/>
      <c r="Z4785" s="318"/>
      <c r="AA4785" s="318"/>
      <c r="AB4785" s="318"/>
      <c r="AC4785" s="318"/>
      <c r="AD4785" s="318"/>
    </row>
    <row r="4786" spans="2:30" s="323" customFormat="1" ht="12" customHeight="1">
      <c r="B4786" s="324"/>
      <c r="C4786" s="325"/>
      <c r="D4786" s="326"/>
      <c r="E4786" s="326"/>
      <c r="F4786" s="326"/>
      <c r="G4786" s="326"/>
      <c r="H4786" s="326"/>
      <c r="P4786" s="318"/>
      <c r="Q4786" s="318"/>
      <c r="R4786" s="318"/>
      <c r="S4786" s="318"/>
      <c r="T4786" s="318"/>
      <c r="U4786" s="318"/>
      <c r="V4786" s="318"/>
      <c r="W4786" s="318"/>
      <c r="X4786" s="318"/>
      <c r="Y4786" s="318"/>
      <c r="Z4786" s="318"/>
      <c r="AA4786" s="318"/>
      <c r="AB4786" s="318"/>
      <c r="AC4786" s="318"/>
      <c r="AD4786" s="318"/>
    </row>
    <row r="4787" spans="2:30" s="323" customFormat="1" ht="12" customHeight="1">
      <c r="B4787" s="324"/>
      <c r="C4787" s="325"/>
      <c r="D4787" s="326"/>
      <c r="E4787" s="326"/>
      <c r="F4787" s="326"/>
      <c r="G4787" s="326"/>
      <c r="H4787" s="326"/>
      <c r="P4787" s="318"/>
      <c r="Q4787" s="318"/>
      <c r="R4787" s="318"/>
      <c r="S4787" s="318"/>
      <c r="T4787" s="318"/>
      <c r="U4787" s="318"/>
      <c r="V4787" s="318"/>
      <c r="W4787" s="318"/>
      <c r="X4787" s="318"/>
      <c r="Y4787" s="318"/>
      <c r="Z4787" s="318"/>
      <c r="AA4787" s="318"/>
      <c r="AB4787" s="318"/>
      <c r="AC4787" s="318"/>
      <c r="AD4787" s="318"/>
    </row>
    <row r="4788" spans="2:30" s="323" customFormat="1" ht="12" customHeight="1">
      <c r="B4788" s="324"/>
      <c r="C4788" s="325"/>
      <c r="D4788" s="326"/>
      <c r="E4788" s="326"/>
      <c r="F4788" s="326"/>
      <c r="G4788" s="326"/>
      <c r="H4788" s="326"/>
      <c r="P4788" s="318"/>
      <c r="Q4788" s="318"/>
      <c r="R4788" s="318"/>
      <c r="S4788" s="318"/>
      <c r="T4788" s="318"/>
      <c r="U4788" s="318"/>
      <c r="V4788" s="318"/>
      <c r="W4788" s="318"/>
      <c r="X4788" s="318"/>
      <c r="Y4788" s="318"/>
      <c r="Z4788" s="318"/>
      <c r="AA4788" s="318"/>
      <c r="AB4788" s="318"/>
      <c r="AC4788" s="318"/>
      <c r="AD4788" s="318"/>
    </row>
    <row r="4789" spans="2:30" s="323" customFormat="1" ht="12" customHeight="1">
      <c r="B4789" s="324"/>
      <c r="C4789" s="325"/>
      <c r="D4789" s="326"/>
      <c r="E4789" s="326"/>
      <c r="F4789" s="326"/>
      <c r="G4789" s="326"/>
      <c r="H4789" s="326"/>
      <c r="P4789" s="318"/>
      <c r="Q4789" s="318"/>
      <c r="R4789" s="318"/>
      <c r="S4789" s="318"/>
      <c r="T4789" s="318"/>
      <c r="U4789" s="318"/>
      <c r="V4789" s="318"/>
      <c r="W4789" s="318"/>
      <c r="X4789" s="318"/>
      <c r="Y4789" s="318"/>
      <c r="Z4789" s="318"/>
      <c r="AA4789" s="318"/>
      <c r="AB4789" s="318"/>
      <c r="AC4789" s="318"/>
      <c r="AD4789" s="318"/>
    </row>
    <row r="4790" spans="2:30" s="323" customFormat="1" ht="12" customHeight="1">
      <c r="B4790" s="324"/>
      <c r="C4790" s="325"/>
      <c r="D4790" s="326"/>
      <c r="E4790" s="326"/>
      <c r="F4790" s="326"/>
      <c r="G4790" s="326"/>
      <c r="H4790" s="326"/>
      <c r="P4790" s="318"/>
      <c r="Q4790" s="318"/>
      <c r="R4790" s="318"/>
      <c r="S4790" s="318"/>
      <c r="T4790" s="318"/>
      <c r="U4790" s="318"/>
      <c r="V4790" s="318"/>
      <c r="W4790" s="318"/>
      <c r="X4790" s="318"/>
      <c r="Y4790" s="318"/>
      <c r="Z4790" s="318"/>
      <c r="AA4790" s="318"/>
      <c r="AB4790" s="318"/>
      <c r="AC4790" s="318"/>
      <c r="AD4790" s="318"/>
    </row>
    <row r="4791" spans="2:30" s="323" customFormat="1" ht="12" customHeight="1">
      <c r="B4791" s="324"/>
      <c r="C4791" s="325"/>
      <c r="D4791" s="326"/>
      <c r="E4791" s="326"/>
      <c r="F4791" s="326"/>
      <c r="G4791" s="326"/>
      <c r="H4791" s="326"/>
      <c r="P4791" s="318"/>
      <c r="Q4791" s="318"/>
      <c r="R4791" s="318"/>
      <c r="S4791" s="318"/>
      <c r="T4791" s="318"/>
      <c r="U4791" s="318"/>
      <c r="V4791" s="318"/>
      <c r="W4791" s="318"/>
      <c r="X4791" s="318"/>
      <c r="Y4791" s="318"/>
      <c r="Z4791" s="318"/>
      <c r="AA4791" s="318"/>
      <c r="AB4791" s="318"/>
      <c r="AC4791" s="318"/>
      <c r="AD4791" s="318"/>
    </row>
    <row r="4792" spans="2:30" s="323" customFormat="1" ht="12" customHeight="1">
      <c r="B4792" s="324"/>
      <c r="C4792" s="325"/>
      <c r="D4792" s="326"/>
      <c r="E4792" s="326"/>
      <c r="F4792" s="326"/>
      <c r="G4792" s="326"/>
      <c r="H4792" s="326"/>
      <c r="P4792" s="318"/>
      <c r="Q4792" s="318"/>
      <c r="R4792" s="318"/>
      <c r="S4792" s="318"/>
      <c r="T4792" s="318"/>
      <c r="U4792" s="318"/>
      <c r="V4792" s="318"/>
      <c r="W4792" s="318"/>
      <c r="X4792" s="318"/>
      <c r="Y4792" s="318"/>
      <c r="Z4792" s="318"/>
      <c r="AA4792" s="318"/>
      <c r="AB4792" s="318"/>
      <c r="AC4792" s="318"/>
      <c r="AD4792" s="318"/>
    </row>
    <row r="4793" spans="2:30" s="323" customFormat="1" ht="12" customHeight="1">
      <c r="B4793" s="324"/>
      <c r="C4793" s="325"/>
      <c r="D4793" s="326"/>
      <c r="E4793" s="326"/>
      <c r="F4793" s="326"/>
      <c r="G4793" s="326"/>
      <c r="H4793" s="326"/>
      <c r="P4793" s="318"/>
      <c r="Q4793" s="318"/>
      <c r="R4793" s="318"/>
      <c r="S4793" s="318"/>
      <c r="T4793" s="318"/>
      <c r="U4793" s="318"/>
      <c r="V4793" s="318"/>
      <c r="W4793" s="318"/>
      <c r="X4793" s="318"/>
      <c r="Y4793" s="318"/>
      <c r="Z4793" s="318"/>
      <c r="AA4793" s="318"/>
      <c r="AB4793" s="318"/>
      <c r="AC4793" s="318"/>
      <c r="AD4793" s="318"/>
    </row>
    <row r="4794" spans="2:30" s="323" customFormat="1" ht="12" customHeight="1">
      <c r="B4794" s="324"/>
      <c r="C4794" s="325"/>
      <c r="D4794" s="326"/>
      <c r="E4794" s="326"/>
      <c r="F4794" s="326"/>
      <c r="G4794" s="326"/>
      <c r="H4794" s="326"/>
      <c r="P4794" s="318"/>
      <c r="Q4794" s="318"/>
      <c r="R4794" s="318"/>
      <c r="S4794" s="318"/>
      <c r="T4794" s="318"/>
      <c r="U4794" s="318"/>
      <c r="V4794" s="318"/>
      <c r="W4794" s="318"/>
      <c r="X4794" s="318"/>
      <c r="Y4794" s="318"/>
      <c r="Z4794" s="318"/>
      <c r="AA4794" s="318"/>
      <c r="AB4794" s="318"/>
      <c r="AC4794" s="318"/>
      <c r="AD4794" s="318"/>
    </row>
    <row r="4795" spans="2:30" s="323" customFormat="1" ht="12" customHeight="1">
      <c r="B4795" s="324"/>
      <c r="C4795" s="325"/>
      <c r="D4795" s="326"/>
      <c r="E4795" s="326"/>
      <c r="F4795" s="326"/>
      <c r="G4795" s="326"/>
      <c r="H4795" s="326"/>
      <c r="P4795" s="318"/>
      <c r="Q4795" s="318"/>
      <c r="R4795" s="318"/>
      <c r="S4795" s="318"/>
      <c r="T4795" s="318"/>
      <c r="U4795" s="318"/>
      <c r="V4795" s="318"/>
      <c r="W4795" s="318"/>
      <c r="X4795" s="318"/>
      <c r="Y4795" s="318"/>
      <c r="Z4795" s="318"/>
      <c r="AA4795" s="318"/>
      <c r="AB4795" s="318"/>
      <c r="AC4795" s="318"/>
      <c r="AD4795" s="318"/>
    </row>
    <row r="4796" spans="2:30" s="323" customFormat="1" ht="12" customHeight="1">
      <c r="B4796" s="324"/>
      <c r="C4796" s="325"/>
      <c r="D4796" s="326"/>
      <c r="E4796" s="326"/>
      <c r="F4796" s="326"/>
      <c r="G4796" s="326"/>
      <c r="H4796" s="326"/>
      <c r="P4796" s="318"/>
      <c r="Q4796" s="318"/>
      <c r="R4796" s="318"/>
      <c r="S4796" s="318"/>
      <c r="T4796" s="318"/>
      <c r="U4796" s="318"/>
      <c r="V4796" s="318"/>
      <c r="W4796" s="318"/>
      <c r="X4796" s="318"/>
      <c r="Y4796" s="318"/>
      <c r="Z4796" s="318"/>
      <c r="AA4796" s="318"/>
      <c r="AB4796" s="318"/>
      <c r="AC4796" s="318"/>
      <c r="AD4796" s="318"/>
    </row>
    <row r="4797" spans="2:30" s="323" customFormat="1" ht="12" customHeight="1">
      <c r="B4797" s="324"/>
      <c r="C4797" s="325"/>
      <c r="D4797" s="326"/>
      <c r="E4797" s="326"/>
      <c r="F4797" s="326"/>
      <c r="G4797" s="326"/>
      <c r="H4797" s="326"/>
      <c r="P4797" s="318"/>
      <c r="Q4797" s="318"/>
      <c r="R4797" s="318"/>
      <c r="S4797" s="318"/>
      <c r="T4797" s="318"/>
      <c r="U4797" s="318"/>
      <c r="V4797" s="318"/>
      <c r="W4797" s="318"/>
      <c r="X4797" s="318"/>
      <c r="Y4797" s="318"/>
      <c r="Z4797" s="318"/>
      <c r="AA4797" s="318"/>
      <c r="AB4797" s="318"/>
      <c r="AC4797" s="318"/>
      <c r="AD4797" s="318"/>
    </row>
    <row r="4798" spans="2:30" s="323" customFormat="1" ht="12" customHeight="1">
      <c r="B4798" s="324"/>
      <c r="C4798" s="325"/>
      <c r="D4798" s="326"/>
      <c r="E4798" s="326"/>
      <c r="F4798" s="326"/>
      <c r="G4798" s="326"/>
      <c r="H4798" s="326"/>
      <c r="P4798" s="318"/>
      <c r="Q4798" s="318"/>
      <c r="R4798" s="318"/>
      <c r="S4798" s="318"/>
      <c r="T4798" s="318"/>
      <c r="U4798" s="318"/>
      <c r="V4798" s="318"/>
      <c r="W4798" s="318"/>
      <c r="X4798" s="318"/>
      <c r="Y4798" s="318"/>
      <c r="Z4798" s="318"/>
      <c r="AA4798" s="318"/>
      <c r="AB4798" s="318"/>
      <c r="AC4798" s="318"/>
      <c r="AD4798" s="318"/>
    </row>
    <row r="4799" spans="2:30" s="323" customFormat="1" ht="12" customHeight="1">
      <c r="B4799" s="324"/>
      <c r="C4799" s="325"/>
      <c r="D4799" s="326"/>
      <c r="E4799" s="326"/>
      <c r="F4799" s="326"/>
      <c r="G4799" s="326"/>
      <c r="H4799" s="326"/>
      <c r="P4799" s="318"/>
      <c r="Q4799" s="318"/>
      <c r="R4799" s="318"/>
      <c r="S4799" s="318"/>
      <c r="T4799" s="318"/>
      <c r="U4799" s="318"/>
      <c r="V4799" s="318"/>
      <c r="W4799" s="318"/>
      <c r="X4799" s="318"/>
      <c r="Y4799" s="318"/>
      <c r="Z4799" s="318"/>
      <c r="AA4799" s="318"/>
      <c r="AB4799" s="318"/>
      <c r="AC4799" s="318"/>
      <c r="AD4799" s="318"/>
    </row>
    <row r="4800" spans="2:30" s="323" customFormat="1" ht="12" customHeight="1">
      <c r="B4800" s="324"/>
      <c r="C4800" s="325"/>
      <c r="D4800" s="326"/>
      <c r="E4800" s="326"/>
      <c r="F4800" s="326"/>
      <c r="G4800" s="326"/>
      <c r="H4800" s="326"/>
      <c r="P4800" s="318"/>
      <c r="Q4800" s="318"/>
      <c r="R4800" s="318"/>
      <c r="S4800" s="318"/>
      <c r="T4800" s="318"/>
      <c r="U4800" s="318"/>
      <c r="V4800" s="318"/>
      <c r="W4800" s="318"/>
      <c r="X4800" s="318"/>
      <c r="Y4800" s="318"/>
      <c r="Z4800" s="318"/>
      <c r="AA4800" s="318"/>
      <c r="AB4800" s="318"/>
      <c r="AC4800" s="318"/>
      <c r="AD4800" s="318"/>
    </row>
    <row r="4801" spans="2:30" s="323" customFormat="1" ht="12" customHeight="1">
      <c r="B4801" s="324"/>
      <c r="C4801" s="325"/>
      <c r="D4801" s="326"/>
      <c r="E4801" s="326"/>
      <c r="F4801" s="326"/>
      <c r="G4801" s="326"/>
      <c r="H4801" s="326"/>
      <c r="P4801" s="318"/>
      <c r="Q4801" s="318"/>
      <c r="R4801" s="318"/>
      <c r="S4801" s="318"/>
      <c r="T4801" s="318"/>
      <c r="U4801" s="318"/>
      <c r="V4801" s="318"/>
      <c r="W4801" s="318"/>
      <c r="X4801" s="318"/>
      <c r="Y4801" s="318"/>
      <c r="Z4801" s="318"/>
      <c r="AA4801" s="318"/>
      <c r="AB4801" s="318"/>
      <c r="AC4801" s="318"/>
      <c r="AD4801" s="318"/>
    </row>
    <row r="4802" spans="2:30" s="323" customFormat="1" ht="12" customHeight="1">
      <c r="B4802" s="324"/>
      <c r="C4802" s="325"/>
      <c r="D4802" s="326"/>
      <c r="E4802" s="326"/>
      <c r="F4802" s="326"/>
      <c r="G4802" s="326"/>
      <c r="H4802" s="326"/>
      <c r="P4802" s="318"/>
      <c r="Q4802" s="318"/>
      <c r="R4802" s="318"/>
      <c r="S4802" s="318"/>
      <c r="T4802" s="318"/>
      <c r="U4802" s="318"/>
      <c r="V4802" s="318"/>
      <c r="W4802" s="318"/>
      <c r="X4802" s="318"/>
      <c r="Y4802" s="318"/>
      <c r="Z4802" s="318"/>
      <c r="AA4802" s="318"/>
      <c r="AB4802" s="318"/>
      <c r="AC4802" s="318"/>
      <c r="AD4802" s="318"/>
    </row>
    <row r="4803" spans="2:30" s="323" customFormat="1" ht="12" customHeight="1">
      <c r="B4803" s="324"/>
      <c r="C4803" s="325"/>
      <c r="D4803" s="326"/>
      <c r="E4803" s="326"/>
      <c r="F4803" s="326"/>
      <c r="G4803" s="326"/>
      <c r="H4803" s="326"/>
      <c r="P4803" s="318"/>
      <c r="Q4803" s="318"/>
      <c r="R4803" s="318"/>
      <c r="S4803" s="318"/>
      <c r="T4803" s="318"/>
      <c r="U4803" s="318"/>
      <c r="V4803" s="318"/>
      <c r="W4803" s="318"/>
      <c r="X4803" s="318"/>
      <c r="Y4803" s="318"/>
      <c r="Z4803" s="318"/>
      <c r="AA4803" s="318"/>
      <c r="AB4803" s="318"/>
      <c r="AC4803" s="318"/>
      <c r="AD4803" s="318"/>
    </row>
    <row r="4804" spans="2:30" s="323" customFormat="1" ht="12" customHeight="1">
      <c r="B4804" s="324"/>
      <c r="C4804" s="325"/>
      <c r="D4804" s="326"/>
      <c r="E4804" s="326"/>
      <c r="F4804" s="326"/>
      <c r="G4804" s="326"/>
      <c r="H4804" s="326"/>
      <c r="P4804" s="318"/>
      <c r="Q4804" s="318"/>
      <c r="R4804" s="318"/>
      <c r="S4804" s="318"/>
      <c r="T4804" s="318"/>
      <c r="U4804" s="318"/>
      <c r="V4804" s="318"/>
      <c r="W4804" s="318"/>
      <c r="X4804" s="318"/>
      <c r="Y4804" s="318"/>
      <c r="Z4804" s="318"/>
      <c r="AA4804" s="318"/>
      <c r="AB4804" s="318"/>
      <c r="AC4804" s="318"/>
      <c r="AD4804" s="318"/>
    </row>
    <row r="4805" spans="2:30" s="323" customFormat="1" ht="12" customHeight="1">
      <c r="B4805" s="324"/>
      <c r="C4805" s="325"/>
      <c r="D4805" s="326"/>
      <c r="E4805" s="326"/>
      <c r="F4805" s="326"/>
      <c r="G4805" s="326"/>
      <c r="H4805" s="326"/>
      <c r="P4805" s="318"/>
      <c r="Q4805" s="318"/>
      <c r="R4805" s="318"/>
      <c r="S4805" s="318"/>
      <c r="T4805" s="318"/>
      <c r="U4805" s="318"/>
      <c r="V4805" s="318"/>
      <c r="W4805" s="318"/>
      <c r="X4805" s="318"/>
      <c r="Y4805" s="318"/>
      <c r="Z4805" s="318"/>
      <c r="AA4805" s="318"/>
      <c r="AB4805" s="318"/>
      <c r="AC4805" s="318"/>
      <c r="AD4805" s="318"/>
    </row>
    <row r="4806" spans="2:30" s="323" customFormat="1" ht="12" customHeight="1">
      <c r="B4806" s="324"/>
      <c r="C4806" s="325"/>
      <c r="D4806" s="326"/>
      <c r="E4806" s="326"/>
      <c r="F4806" s="326"/>
      <c r="G4806" s="326"/>
      <c r="H4806" s="326"/>
      <c r="P4806" s="318"/>
      <c r="Q4806" s="318"/>
      <c r="R4806" s="318"/>
      <c r="S4806" s="318"/>
      <c r="T4806" s="318"/>
      <c r="U4806" s="318"/>
      <c r="V4806" s="318"/>
      <c r="W4806" s="318"/>
      <c r="X4806" s="318"/>
      <c r="Y4806" s="318"/>
      <c r="Z4806" s="318"/>
      <c r="AA4806" s="318"/>
      <c r="AB4806" s="318"/>
      <c r="AC4806" s="318"/>
      <c r="AD4806" s="318"/>
    </row>
    <row r="4807" spans="2:30" s="323" customFormat="1" ht="12" customHeight="1">
      <c r="B4807" s="324"/>
      <c r="C4807" s="325"/>
      <c r="D4807" s="326"/>
      <c r="E4807" s="326"/>
      <c r="F4807" s="326"/>
      <c r="G4807" s="326"/>
      <c r="H4807" s="326"/>
      <c r="P4807" s="318"/>
      <c r="Q4807" s="318"/>
      <c r="R4807" s="318"/>
      <c r="S4807" s="318"/>
      <c r="T4807" s="318"/>
      <c r="U4807" s="318"/>
      <c r="V4807" s="318"/>
      <c r="W4807" s="318"/>
      <c r="X4807" s="318"/>
      <c r="Y4807" s="318"/>
      <c r="Z4807" s="318"/>
      <c r="AA4807" s="318"/>
      <c r="AB4807" s="318"/>
      <c r="AC4807" s="318"/>
      <c r="AD4807" s="318"/>
    </row>
    <row r="4808" spans="2:30" s="323" customFormat="1" ht="12" customHeight="1">
      <c r="B4808" s="324"/>
      <c r="C4808" s="325"/>
      <c r="D4808" s="326"/>
      <c r="E4808" s="326"/>
      <c r="F4808" s="326"/>
      <c r="G4808" s="326"/>
      <c r="H4808" s="326"/>
      <c r="P4808" s="318"/>
      <c r="Q4808" s="318"/>
      <c r="R4808" s="318"/>
      <c r="S4808" s="318"/>
      <c r="T4808" s="318"/>
      <c r="U4808" s="318"/>
      <c r="V4808" s="318"/>
      <c r="W4808" s="318"/>
      <c r="X4808" s="318"/>
      <c r="Y4808" s="318"/>
      <c r="Z4808" s="318"/>
      <c r="AA4808" s="318"/>
      <c r="AB4808" s="318"/>
      <c r="AC4808" s="318"/>
      <c r="AD4808" s="318"/>
    </row>
    <row r="4809" spans="2:30" s="323" customFormat="1" ht="12" customHeight="1">
      <c r="B4809" s="324"/>
      <c r="C4809" s="325"/>
      <c r="D4809" s="326"/>
      <c r="E4809" s="326"/>
      <c r="F4809" s="326"/>
      <c r="G4809" s="326"/>
      <c r="H4809" s="326"/>
      <c r="P4809" s="318"/>
      <c r="Q4809" s="318"/>
      <c r="R4809" s="318"/>
      <c r="S4809" s="318"/>
      <c r="T4809" s="318"/>
      <c r="U4809" s="318"/>
      <c r="V4809" s="318"/>
      <c r="W4809" s="318"/>
      <c r="X4809" s="318"/>
      <c r="Y4809" s="318"/>
      <c r="Z4809" s="318"/>
      <c r="AA4809" s="318"/>
      <c r="AB4809" s="318"/>
      <c r="AC4809" s="318"/>
      <c r="AD4809" s="318"/>
    </row>
    <row r="4810" spans="2:30" s="323" customFormat="1" ht="12" customHeight="1">
      <c r="B4810" s="324"/>
      <c r="C4810" s="325"/>
      <c r="D4810" s="326"/>
      <c r="E4810" s="326"/>
      <c r="F4810" s="326"/>
      <c r="G4810" s="326"/>
      <c r="H4810" s="326"/>
      <c r="P4810" s="318"/>
      <c r="Q4810" s="318"/>
      <c r="R4810" s="318"/>
      <c r="S4810" s="318"/>
      <c r="T4810" s="318"/>
      <c r="U4810" s="318"/>
      <c r="V4810" s="318"/>
      <c r="W4810" s="318"/>
      <c r="X4810" s="318"/>
      <c r="Y4810" s="318"/>
      <c r="Z4810" s="318"/>
      <c r="AA4810" s="318"/>
      <c r="AB4810" s="318"/>
      <c r="AC4810" s="318"/>
      <c r="AD4810" s="318"/>
    </row>
    <row r="4811" spans="2:30" s="323" customFormat="1" ht="12" customHeight="1">
      <c r="B4811" s="324"/>
      <c r="C4811" s="325"/>
      <c r="D4811" s="326"/>
      <c r="E4811" s="326"/>
      <c r="F4811" s="326"/>
      <c r="G4811" s="326"/>
      <c r="H4811" s="326"/>
      <c r="P4811" s="318"/>
      <c r="Q4811" s="318"/>
      <c r="R4811" s="318"/>
      <c r="S4811" s="318"/>
      <c r="T4811" s="318"/>
      <c r="U4811" s="318"/>
      <c r="V4811" s="318"/>
      <c r="W4811" s="318"/>
      <c r="X4811" s="318"/>
      <c r="Y4811" s="318"/>
      <c r="Z4811" s="318"/>
      <c r="AA4811" s="318"/>
      <c r="AB4811" s="318"/>
      <c r="AC4811" s="318"/>
      <c r="AD4811" s="318"/>
    </row>
    <row r="4812" spans="2:30" s="323" customFormat="1" ht="12" customHeight="1">
      <c r="B4812" s="324"/>
      <c r="C4812" s="325"/>
      <c r="D4812" s="326"/>
      <c r="E4812" s="326"/>
      <c r="F4812" s="326"/>
      <c r="G4812" s="326"/>
      <c r="H4812" s="326"/>
      <c r="P4812" s="318"/>
      <c r="Q4812" s="318"/>
      <c r="R4812" s="318"/>
      <c r="S4812" s="318"/>
      <c r="T4812" s="318"/>
      <c r="U4812" s="318"/>
      <c r="V4812" s="318"/>
      <c r="W4812" s="318"/>
      <c r="X4812" s="318"/>
      <c r="Y4812" s="318"/>
      <c r="Z4812" s="318"/>
      <c r="AA4812" s="318"/>
      <c r="AB4812" s="318"/>
      <c r="AC4812" s="318"/>
      <c r="AD4812" s="318"/>
    </row>
    <row r="4813" spans="2:30" s="323" customFormat="1" ht="12" customHeight="1">
      <c r="B4813" s="324"/>
      <c r="C4813" s="325"/>
      <c r="D4813" s="326"/>
      <c r="E4813" s="326"/>
      <c r="F4813" s="326"/>
      <c r="G4813" s="326"/>
      <c r="H4813" s="326"/>
      <c r="P4813" s="318"/>
      <c r="Q4813" s="318"/>
      <c r="R4813" s="318"/>
      <c r="S4813" s="318"/>
      <c r="T4813" s="318"/>
      <c r="U4813" s="318"/>
      <c r="V4813" s="318"/>
      <c r="W4813" s="318"/>
      <c r="X4813" s="318"/>
      <c r="Y4813" s="318"/>
      <c r="Z4813" s="318"/>
      <c r="AA4813" s="318"/>
      <c r="AB4813" s="318"/>
      <c r="AC4813" s="318"/>
      <c r="AD4813" s="318"/>
    </row>
    <row r="4814" spans="2:30" s="323" customFormat="1" ht="12" customHeight="1">
      <c r="B4814" s="324"/>
      <c r="C4814" s="325"/>
      <c r="D4814" s="326"/>
      <c r="E4814" s="326"/>
      <c r="F4814" s="326"/>
      <c r="G4814" s="326"/>
      <c r="H4814" s="326"/>
      <c r="P4814" s="318"/>
      <c r="Q4814" s="318"/>
      <c r="R4814" s="318"/>
      <c r="S4814" s="318"/>
      <c r="T4814" s="318"/>
      <c r="U4814" s="318"/>
      <c r="V4814" s="318"/>
      <c r="W4814" s="318"/>
      <c r="X4814" s="318"/>
      <c r="Y4814" s="318"/>
      <c r="Z4814" s="318"/>
      <c r="AA4814" s="318"/>
      <c r="AB4814" s="318"/>
      <c r="AC4814" s="318"/>
      <c r="AD4814" s="318"/>
    </row>
    <row r="4815" spans="2:30" s="323" customFormat="1" ht="12" customHeight="1">
      <c r="B4815" s="324"/>
      <c r="C4815" s="325"/>
      <c r="D4815" s="326"/>
      <c r="E4815" s="326"/>
      <c r="F4815" s="326"/>
      <c r="G4815" s="326"/>
      <c r="H4815" s="326"/>
      <c r="P4815" s="318"/>
      <c r="Q4815" s="318"/>
      <c r="R4815" s="318"/>
      <c r="S4815" s="318"/>
      <c r="T4815" s="318"/>
      <c r="U4815" s="318"/>
      <c r="V4815" s="318"/>
      <c r="W4815" s="318"/>
      <c r="X4815" s="318"/>
      <c r="Y4815" s="318"/>
      <c r="Z4815" s="318"/>
      <c r="AA4815" s="318"/>
      <c r="AB4815" s="318"/>
      <c r="AC4815" s="318"/>
      <c r="AD4815" s="318"/>
    </row>
    <row r="4816" spans="2:30" s="323" customFormat="1" ht="12" customHeight="1">
      <c r="B4816" s="324"/>
      <c r="C4816" s="325"/>
      <c r="D4816" s="326"/>
      <c r="E4816" s="326"/>
      <c r="F4816" s="326"/>
      <c r="G4816" s="326"/>
      <c r="H4816" s="326"/>
      <c r="P4816" s="318"/>
      <c r="Q4816" s="318"/>
      <c r="R4816" s="318"/>
      <c r="S4816" s="318"/>
      <c r="T4816" s="318"/>
      <c r="U4816" s="318"/>
      <c r="V4816" s="318"/>
      <c r="W4816" s="318"/>
      <c r="X4816" s="318"/>
      <c r="Y4816" s="318"/>
      <c r="Z4816" s="318"/>
      <c r="AA4816" s="318"/>
      <c r="AB4816" s="318"/>
      <c r="AC4816" s="318"/>
      <c r="AD4816" s="318"/>
    </row>
    <row r="4817" spans="2:30" s="323" customFormat="1" ht="12" customHeight="1">
      <c r="B4817" s="324"/>
      <c r="C4817" s="325"/>
      <c r="D4817" s="326"/>
      <c r="E4817" s="326"/>
      <c r="F4817" s="326"/>
      <c r="G4817" s="326"/>
      <c r="H4817" s="326"/>
      <c r="P4817" s="318"/>
      <c r="Q4817" s="318"/>
      <c r="R4817" s="318"/>
      <c r="S4817" s="318"/>
      <c r="T4817" s="318"/>
      <c r="U4817" s="318"/>
      <c r="V4817" s="318"/>
      <c r="W4817" s="318"/>
      <c r="X4817" s="318"/>
      <c r="Y4817" s="318"/>
      <c r="Z4817" s="318"/>
      <c r="AA4817" s="318"/>
      <c r="AB4817" s="318"/>
      <c r="AC4817" s="318"/>
      <c r="AD4817" s="318"/>
    </row>
    <row r="4818" spans="2:30" s="323" customFormat="1" ht="12" customHeight="1">
      <c r="B4818" s="324"/>
      <c r="C4818" s="325"/>
      <c r="D4818" s="326"/>
      <c r="E4818" s="326"/>
      <c r="F4818" s="326"/>
      <c r="G4818" s="326"/>
      <c r="H4818" s="326"/>
      <c r="P4818" s="318"/>
      <c r="Q4818" s="318"/>
      <c r="R4818" s="318"/>
      <c r="S4818" s="318"/>
      <c r="T4818" s="318"/>
      <c r="U4818" s="318"/>
      <c r="V4818" s="318"/>
      <c r="W4818" s="318"/>
      <c r="X4818" s="318"/>
      <c r="Y4818" s="318"/>
      <c r="Z4818" s="318"/>
      <c r="AA4818" s="318"/>
      <c r="AB4818" s="318"/>
      <c r="AC4818" s="318"/>
      <c r="AD4818" s="318"/>
    </row>
    <row r="4819" spans="2:30" s="323" customFormat="1" ht="12" customHeight="1">
      <c r="B4819" s="324"/>
      <c r="C4819" s="325"/>
      <c r="D4819" s="326"/>
      <c r="E4819" s="326"/>
      <c r="F4819" s="326"/>
      <c r="G4819" s="326"/>
      <c r="H4819" s="326"/>
      <c r="P4819" s="318"/>
      <c r="Q4819" s="318"/>
      <c r="R4819" s="318"/>
      <c r="S4819" s="318"/>
      <c r="T4819" s="318"/>
      <c r="U4819" s="318"/>
      <c r="V4819" s="318"/>
      <c r="W4819" s="318"/>
      <c r="X4819" s="318"/>
      <c r="Y4819" s="318"/>
      <c r="Z4819" s="318"/>
      <c r="AA4819" s="318"/>
      <c r="AB4819" s="318"/>
      <c r="AC4819" s="318"/>
      <c r="AD4819" s="318"/>
    </row>
    <row r="4820" spans="2:30" s="323" customFormat="1" ht="12" customHeight="1">
      <c r="B4820" s="324"/>
      <c r="C4820" s="325"/>
      <c r="D4820" s="326"/>
      <c r="E4820" s="326"/>
      <c r="F4820" s="326"/>
      <c r="G4820" s="326"/>
      <c r="H4820" s="326"/>
      <c r="P4820" s="318"/>
      <c r="Q4820" s="318"/>
      <c r="R4820" s="318"/>
      <c r="S4820" s="318"/>
      <c r="T4820" s="318"/>
      <c r="U4820" s="318"/>
      <c r="V4820" s="318"/>
      <c r="W4820" s="318"/>
      <c r="X4820" s="318"/>
      <c r="Y4820" s="318"/>
      <c r="Z4820" s="318"/>
      <c r="AA4820" s="318"/>
      <c r="AB4820" s="318"/>
      <c r="AC4820" s="318"/>
      <c r="AD4820" s="318"/>
    </row>
    <row r="4821" spans="2:30" s="323" customFormat="1" ht="12" customHeight="1">
      <c r="B4821" s="324"/>
      <c r="C4821" s="325"/>
      <c r="D4821" s="326"/>
      <c r="E4821" s="326"/>
      <c r="F4821" s="326"/>
      <c r="G4821" s="326"/>
      <c r="H4821" s="326"/>
      <c r="P4821" s="318"/>
      <c r="Q4821" s="318"/>
      <c r="R4821" s="318"/>
      <c r="S4821" s="318"/>
      <c r="T4821" s="318"/>
      <c r="U4821" s="318"/>
      <c r="V4821" s="318"/>
      <c r="W4821" s="318"/>
      <c r="X4821" s="318"/>
      <c r="Y4821" s="318"/>
      <c r="Z4821" s="318"/>
      <c r="AA4821" s="318"/>
      <c r="AB4821" s="318"/>
      <c r="AC4821" s="318"/>
      <c r="AD4821" s="318"/>
    </row>
    <row r="4822" spans="2:30" s="323" customFormat="1" ht="12" customHeight="1">
      <c r="B4822" s="324"/>
      <c r="C4822" s="325"/>
      <c r="D4822" s="326"/>
      <c r="E4822" s="326"/>
      <c r="F4822" s="326"/>
      <c r="G4822" s="326"/>
      <c r="H4822" s="326"/>
      <c r="P4822" s="318"/>
      <c r="Q4822" s="318"/>
      <c r="R4822" s="318"/>
      <c r="S4822" s="318"/>
      <c r="T4822" s="318"/>
      <c r="U4822" s="318"/>
      <c r="V4822" s="318"/>
      <c r="W4822" s="318"/>
      <c r="X4822" s="318"/>
      <c r="Y4822" s="318"/>
      <c r="Z4822" s="318"/>
      <c r="AA4822" s="318"/>
      <c r="AB4822" s="318"/>
      <c r="AC4822" s="318"/>
      <c r="AD4822" s="318"/>
    </row>
    <row r="4823" spans="2:30" s="323" customFormat="1" ht="12" customHeight="1">
      <c r="B4823" s="324"/>
      <c r="C4823" s="325"/>
      <c r="D4823" s="326"/>
      <c r="E4823" s="326"/>
      <c r="F4823" s="326"/>
      <c r="G4823" s="326"/>
      <c r="H4823" s="326"/>
      <c r="P4823" s="318"/>
      <c r="Q4823" s="318"/>
      <c r="R4823" s="318"/>
      <c r="S4823" s="318"/>
      <c r="T4823" s="318"/>
      <c r="U4823" s="318"/>
      <c r="V4823" s="318"/>
      <c r="W4823" s="318"/>
      <c r="X4823" s="318"/>
      <c r="Y4823" s="318"/>
      <c r="Z4823" s="318"/>
      <c r="AA4823" s="318"/>
      <c r="AB4823" s="318"/>
      <c r="AC4823" s="318"/>
      <c r="AD4823" s="318"/>
    </row>
    <row r="4824" spans="2:30" s="323" customFormat="1" ht="12" customHeight="1">
      <c r="B4824" s="324"/>
      <c r="C4824" s="325"/>
      <c r="D4824" s="326"/>
      <c r="E4824" s="326"/>
      <c r="F4824" s="326"/>
      <c r="G4824" s="326"/>
      <c r="H4824" s="326"/>
      <c r="P4824" s="318"/>
      <c r="Q4824" s="318"/>
      <c r="R4824" s="318"/>
      <c r="S4824" s="318"/>
      <c r="T4824" s="318"/>
      <c r="U4824" s="318"/>
      <c r="V4824" s="318"/>
      <c r="W4824" s="318"/>
      <c r="X4824" s="318"/>
      <c r="Y4824" s="318"/>
      <c r="Z4824" s="318"/>
      <c r="AA4824" s="318"/>
      <c r="AB4824" s="318"/>
      <c r="AC4824" s="318"/>
      <c r="AD4824" s="318"/>
    </row>
    <row r="4825" spans="2:30" s="323" customFormat="1" ht="12" customHeight="1">
      <c r="B4825" s="324"/>
      <c r="C4825" s="325"/>
      <c r="D4825" s="326"/>
      <c r="E4825" s="326"/>
      <c r="F4825" s="326"/>
      <c r="G4825" s="326"/>
      <c r="H4825" s="326"/>
      <c r="P4825" s="318"/>
      <c r="Q4825" s="318"/>
      <c r="R4825" s="318"/>
      <c r="S4825" s="318"/>
      <c r="T4825" s="318"/>
      <c r="U4825" s="318"/>
      <c r="V4825" s="318"/>
      <c r="W4825" s="318"/>
      <c r="X4825" s="318"/>
      <c r="Y4825" s="318"/>
      <c r="Z4825" s="318"/>
      <c r="AA4825" s="318"/>
      <c r="AB4825" s="318"/>
      <c r="AC4825" s="318"/>
      <c r="AD4825" s="318"/>
    </row>
    <row r="4826" spans="2:30" s="323" customFormat="1" ht="12" customHeight="1">
      <c r="B4826" s="324"/>
      <c r="C4826" s="325"/>
      <c r="D4826" s="326"/>
      <c r="E4826" s="326"/>
      <c r="F4826" s="326"/>
      <c r="G4826" s="326"/>
      <c r="H4826" s="326"/>
      <c r="P4826" s="318"/>
      <c r="Q4826" s="318"/>
      <c r="R4826" s="318"/>
      <c r="S4826" s="318"/>
      <c r="T4826" s="318"/>
      <c r="U4826" s="318"/>
      <c r="V4826" s="318"/>
      <c r="W4826" s="318"/>
      <c r="X4826" s="318"/>
      <c r="Y4826" s="318"/>
      <c r="Z4826" s="318"/>
      <c r="AA4826" s="318"/>
      <c r="AB4826" s="318"/>
      <c r="AC4826" s="318"/>
      <c r="AD4826" s="318"/>
    </row>
    <row r="4827" spans="2:30" s="323" customFormat="1" ht="12" customHeight="1">
      <c r="B4827" s="324"/>
      <c r="C4827" s="325"/>
      <c r="D4827" s="326"/>
      <c r="E4827" s="326"/>
      <c r="F4827" s="326"/>
      <c r="G4827" s="326"/>
      <c r="H4827" s="326"/>
      <c r="P4827" s="318"/>
      <c r="Q4827" s="318"/>
      <c r="R4827" s="318"/>
      <c r="S4827" s="318"/>
      <c r="T4827" s="318"/>
      <c r="U4827" s="318"/>
      <c r="V4827" s="318"/>
      <c r="W4827" s="318"/>
      <c r="X4827" s="318"/>
      <c r="Y4827" s="318"/>
      <c r="Z4827" s="318"/>
      <c r="AA4827" s="318"/>
      <c r="AB4827" s="318"/>
      <c r="AC4827" s="318"/>
      <c r="AD4827" s="318"/>
    </row>
    <row r="4828" spans="2:30" s="323" customFormat="1" ht="12" customHeight="1">
      <c r="B4828" s="324"/>
      <c r="C4828" s="325"/>
      <c r="D4828" s="326"/>
      <c r="E4828" s="326"/>
      <c r="F4828" s="326"/>
      <c r="G4828" s="326"/>
      <c r="H4828" s="326"/>
      <c r="P4828" s="318"/>
      <c r="Q4828" s="318"/>
      <c r="R4828" s="318"/>
      <c r="S4828" s="318"/>
      <c r="T4828" s="318"/>
      <c r="U4828" s="318"/>
      <c r="V4828" s="318"/>
      <c r="W4828" s="318"/>
      <c r="X4828" s="318"/>
      <c r="Y4828" s="318"/>
      <c r="Z4828" s="318"/>
      <c r="AA4828" s="318"/>
      <c r="AB4828" s="318"/>
      <c r="AC4828" s="318"/>
      <c r="AD4828" s="318"/>
    </row>
    <row r="4829" spans="2:30" s="323" customFormat="1" ht="12" customHeight="1">
      <c r="B4829" s="324"/>
      <c r="C4829" s="325"/>
      <c r="D4829" s="326"/>
      <c r="E4829" s="326"/>
      <c r="F4829" s="326"/>
      <c r="G4829" s="326"/>
      <c r="H4829" s="326"/>
      <c r="P4829" s="318"/>
      <c r="Q4829" s="318"/>
      <c r="R4829" s="318"/>
      <c r="S4829" s="318"/>
      <c r="T4829" s="318"/>
      <c r="U4829" s="318"/>
      <c r="V4829" s="318"/>
      <c r="W4829" s="318"/>
      <c r="X4829" s="318"/>
      <c r="Y4829" s="318"/>
      <c r="Z4829" s="318"/>
      <c r="AA4829" s="318"/>
      <c r="AB4829" s="318"/>
      <c r="AC4829" s="318"/>
      <c r="AD4829" s="318"/>
    </row>
    <row r="4830" spans="2:30" s="323" customFormat="1" ht="12" customHeight="1">
      <c r="B4830" s="324"/>
      <c r="C4830" s="325"/>
      <c r="D4830" s="326"/>
      <c r="E4830" s="326"/>
      <c r="F4830" s="326"/>
      <c r="G4830" s="326"/>
      <c r="H4830" s="326"/>
      <c r="P4830" s="318"/>
      <c r="Q4830" s="318"/>
      <c r="R4830" s="318"/>
      <c r="S4830" s="318"/>
      <c r="T4830" s="318"/>
      <c r="U4830" s="318"/>
      <c r="V4830" s="318"/>
      <c r="W4830" s="318"/>
      <c r="X4830" s="318"/>
      <c r="Y4830" s="318"/>
      <c r="Z4830" s="318"/>
      <c r="AA4830" s="318"/>
      <c r="AB4830" s="318"/>
      <c r="AC4830" s="318"/>
      <c r="AD4830" s="318"/>
    </row>
    <row r="4831" spans="2:30" s="323" customFormat="1" ht="12" customHeight="1">
      <c r="B4831" s="324"/>
      <c r="C4831" s="325"/>
      <c r="D4831" s="326"/>
      <c r="E4831" s="326"/>
      <c r="F4831" s="326"/>
      <c r="G4831" s="326"/>
      <c r="H4831" s="326"/>
      <c r="P4831" s="318"/>
      <c r="Q4831" s="318"/>
      <c r="R4831" s="318"/>
      <c r="S4831" s="318"/>
      <c r="T4831" s="318"/>
      <c r="U4831" s="318"/>
      <c r="V4831" s="318"/>
      <c r="W4831" s="318"/>
      <c r="X4831" s="318"/>
      <c r="Y4831" s="318"/>
      <c r="Z4831" s="318"/>
      <c r="AA4831" s="318"/>
      <c r="AB4831" s="318"/>
      <c r="AC4831" s="318"/>
      <c r="AD4831" s="318"/>
    </row>
    <row r="4832" spans="2:30" s="323" customFormat="1" ht="12" customHeight="1">
      <c r="B4832" s="324"/>
      <c r="C4832" s="325"/>
      <c r="D4832" s="326"/>
      <c r="E4832" s="326"/>
      <c r="F4832" s="326"/>
      <c r="G4832" s="326"/>
      <c r="H4832" s="326"/>
      <c r="P4832" s="318"/>
      <c r="Q4832" s="318"/>
      <c r="R4832" s="318"/>
      <c r="S4832" s="318"/>
      <c r="T4832" s="318"/>
      <c r="U4832" s="318"/>
      <c r="V4832" s="318"/>
      <c r="W4832" s="318"/>
      <c r="X4832" s="318"/>
      <c r="Y4832" s="318"/>
      <c r="Z4832" s="318"/>
      <c r="AA4832" s="318"/>
      <c r="AB4832" s="318"/>
      <c r="AC4832" s="318"/>
      <c r="AD4832" s="318"/>
    </row>
    <row r="4833" spans="2:30" s="323" customFormat="1" ht="12" customHeight="1">
      <c r="B4833" s="324"/>
      <c r="C4833" s="325"/>
      <c r="D4833" s="326"/>
      <c r="E4833" s="326"/>
      <c r="F4833" s="326"/>
      <c r="G4833" s="326"/>
      <c r="H4833" s="326"/>
      <c r="P4833" s="318"/>
      <c r="Q4833" s="318"/>
      <c r="R4833" s="318"/>
      <c r="S4833" s="318"/>
      <c r="T4833" s="318"/>
      <c r="U4833" s="318"/>
      <c r="V4833" s="318"/>
      <c r="W4833" s="318"/>
      <c r="X4833" s="318"/>
      <c r="Y4833" s="318"/>
      <c r="Z4833" s="318"/>
      <c r="AA4833" s="318"/>
      <c r="AB4833" s="318"/>
      <c r="AC4833" s="318"/>
      <c r="AD4833" s="318"/>
    </row>
    <row r="4834" spans="2:30" s="323" customFormat="1" ht="12" customHeight="1">
      <c r="B4834" s="324"/>
      <c r="C4834" s="325"/>
      <c r="D4834" s="326"/>
      <c r="E4834" s="326"/>
      <c r="F4834" s="326"/>
      <c r="G4834" s="326"/>
      <c r="H4834" s="326"/>
      <c r="P4834" s="318"/>
      <c r="Q4834" s="318"/>
      <c r="R4834" s="318"/>
      <c r="S4834" s="318"/>
      <c r="T4834" s="318"/>
      <c r="U4834" s="318"/>
      <c r="V4834" s="318"/>
      <c r="W4834" s="318"/>
      <c r="X4834" s="318"/>
      <c r="Y4834" s="318"/>
      <c r="Z4834" s="318"/>
      <c r="AA4834" s="318"/>
      <c r="AB4834" s="318"/>
      <c r="AC4834" s="318"/>
      <c r="AD4834" s="318"/>
    </row>
    <row r="4835" spans="2:30" s="323" customFormat="1" ht="12" customHeight="1">
      <c r="B4835" s="324"/>
      <c r="C4835" s="325"/>
      <c r="D4835" s="326"/>
      <c r="E4835" s="326"/>
      <c r="F4835" s="326"/>
      <c r="G4835" s="326"/>
      <c r="H4835" s="326"/>
      <c r="P4835" s="318"/>
      <c r="Q4835" s="318"/>
      <c r="R4835" s="318"/>
      <c r="S4835" s="318"/>
      <c r="T4835" s="318"/>
      <c r="U4835" s="318"/>
      <c r="V4835" s="318"/>
      <c r="W4835" s="318"/>
      <c r="X4835" s="318"/>
      <c r="Y4835" s="318"/>
      <c r="Z4835" s="318"/>
      <c r="AA4835" s="318"/>
      <c r="AB4835" s="318"/>
      <c r="AC4835" s="318"/>
      <c r="AD4835" s="318"/>
    </row>
    <row r="4836" spans="2:30" s="323" customFormat="1" ht="12" customHeight="1">
      <c r="B4836" s="324"/>
      <c r="C4836" s="325"/>
      <c r="D4836" s="326"/>
      <c r="E4836" s="326"/>
      <c r="F4836" s="326"/>
      <c r="G4836" s="326"/>
      <c r="H4836" s="326"/>
      <c r="P4836" s="318"/>
      <c r="Q4836" s="318"/>
      <c r="R4836" s="318"/>
      <c r="S4836" s="318"/>
      <c r="T4836" s="318"/>
      <c r="U4836" s="318"/>
      <c r="V4836" s="318"/>
      <c r="W4836" s="318"/>
      <c r="X4836" s="318"/>
      <c r="Y4836" s="318"/>
      <c r="Z4836" s="318"/>
      <c r="AA4836" s="318"/>
      <c r="AB4836" s="318"/>
      <c r="AC4836" s="318"/>
      <c r="AD4836" s="318"/>
    </row>
    <row r="4837" spans="2:30" s="323" customFormat="1" ht="12" customHeight="1">
      <c r="B4837" s="324"/>
      <c r="C4837" s="325"/>
      <c r="D4837" s="326"/>
      <c r="E4837" s="326"/>
      <c r="F4837" s="326"/>
      <c r="G4837" s="326"/>
      <c r="H4837" s="326"/>
      <c r="P4837" s="318"/>
      <c r="Q4837" s="318"/>
      <c r="R4837" s="318"/>
      <c r="S4837" s="318"/>
      <c r="T4837" s="318"/>
      <c r="U4837" s="318"/>
      <c r="V4837" s="318"/>
      <c r="W4837" s="318"/>
      <c r="X4837" s="318"/>
      <c r="Y4837" s="318"/>
      <c r="Z4837" s="318"/>
      <c r="AA4837" s="318"/>
      <c r="AB4837" s="318"/>
      <c r="AC4837" s="318"/>
      <c r="AD4837" s="318"/>
    </row>
    <row r="4838" spans="2:30" s="323" customFormat="1" ht="12" customHeight="1">
      <c r="B4838" s="324"/>
      <c r="C4838" s="325"/>
      <c r="D4838" s="326"/>
      <c r="E4838" s="326"/>
      <c r="F4838" s="326"/>
      <c r="G4838" s="326"/>
      <c r="H4838" s="326"/>
      <c r="P4838" s="318"/>
      <c r="Q4838" s="318"/>
      <c r="R4838" s="318"/>
      <c r="S4838" s="318"/>
      <c r="T4838" s="318"/>
      <c r="U4838" s="318"/>
      <c r="V4838" s="318"/>
      <c r="W4838" s="318"/>
      <c r="X4838" s="318"/>
      <c r="Y4838" s="318"/>
      <c r="Z4838" s="318"/>
      <c r="AA4838" s="318"/>
      <c r="AB4838" s="318"/>
      <c r="AC4838" s="318"/>
      <c r="AD4838" s="318"/>
    </row>
    <row r="4839" spans="2:30" s="323" customFormat="1" ht="12" customHeight="1">
      <c r="B4839" s="324"/>
      <c r="C4839" s="325"/>
      <c r="D4839" s="326"/>
      <c r="E4839" s="326"/>
      <c r="F4839" s="326"/>
      <c r="G4839" s="326"/>
      <c r="H4839" s="326"/>
      <c r="P4839" s="318"/>
      <c r="Q4839" s="318"/>
      <c r="R4839" s="318"/>
      <c r="S4839" s="318"/>
      <c r="T4839" s="318"/>
      <c r="U4839" s="318"/>
      <c r="V4839" s="318"/>
      <c r="W4839" s="318"/>
      <c r="X4839" s="318"/>
      <c r="Y4839" s="318"/>
      <c r="Z4839" s="318"/>
      <c r="AA4839" s="318"/>
      <c r="AB4839" s="318"/>
      <c r="AC4839" s="318"/>
      <c r="AD4839" s="318"/>
    </row>
    <row r="4840" spans="2:30" s="323" customFormat="1" ht="12" customHeight="1">
      <c r="B4840" s="324"/>
      <c r="C4840" s="325"/>
      <c r="D4840" s="326"/>
      <c r="E4840" s="326"/>
      <c r="F4840" s="326"/>
      <c r="G4840" s="326"/>
      <c r="H4840" s="326"/>
      <c r="P4840" s="318"/>
      <c r="Q4840" s="318"/>
      <c r="R4840" s="318"/>
      <c r="S4840" s="318"/>
      <c r="T4840" s="318"/>
      <c r="U4840" s="318"/>
      <c r="V4840" s="318"/>
      <c r="W4840" s="318"/>
      <c r="X4840" s="318"/>
      <c r="Y4840" s="318"/>
      <c r="Z4840" s="318"/>
      <c r="AA4840" s="318"/>
      <c r="AB4840" s="318"/>
      <c r="AC4840" s="318"/>
      <c r="AD4840" s="318"/>
    </row>
    <row r="4841" spans="2:30" s="323" customFormat="1" ht="12" customHeight="1">
      <c r="B4841" s="324"/>
      <c r="C4841" s="325"/>
      <c r="D4841" s="326"/>
      <c r="E4841" s="326"/>
      <c r="F4841" s="326"/>
      <c r="G4841" s="326"/>
      <c r="H4841" s="326"/>
      <c r="P4841" s="318"/>
      <c r="Q4841" s="318"/>
      <c r="R4841" s="318"/>
      <c r="S4841" s="318"/>
      <c r="T4841" s="318"/>
      <c r="U4841" s="318"/>
      <c r="V4841" s="318"/>
      <c r="W4841" s="318"/>
      <c r="X4841" s="318"/>
      <c r="Y4841" s="318"/>
      <c r="Z4841" s="318"/>
      <c r="AA4841" s="318"/>
      <c r="AB4841" s="318"/>
      <c r="AC4841" s="318"/>
      <c r="AD4841" s="318"/>
    </row>
    <row r="4842" spans="2:30" s="323" customFormat="1" ht="12" customHeight="1">
      <c r="B4842" s="324"/>
      <c r="C4842" s="325"/>
      <c r="D4842" s="326"/>
      <c r="E4842" s="326"/>
      <c r="F4842" s="326"/>
      <c r="G4842" s="326"/>
      <c r="H4842" s="326"/>
      <c r="P4842" s="318"/>
      <c r="Q4842" s="318"/>
      <c r="R4842" s="318"/>
      <c r="S4842" s="318"/>
      <c r="T4842" s="318"/>
      <c r="U4842" s="318"/>
      <c r="V4842" s="318"/>
      <c r="W4842" s="318"/>
      <c r="X4842" s="318"/>
      <c r="Y4842" s="318"/>
      <c r="Z4842" s="318"/>
      <c r="AA4842" s="318"/>
      <c r="AB4842" s="318"/>
      <c r="AC4842" s="318"/>
      <c r="AD4842" s="318"/>
    </row>
    <row r="4843" spans="2:30" s="323" customFormat="1" ht="12" customHeight="1">
      <c r="B4843" s="324"/>
      <c r="C4843" s="325"/>
      <c r="D4843" s="326"/>
      <c r="E4843" s="326"/>
      <c r="F4843" s="326"/>
      <c r="G4843" s="326"/>
      <c r="H4843" s="326"/>
      <c r="P4843" s="318"/>
      <c r="Q4843" s="318"/>
      <c r="R4843" s="318"/>
      <c r="S4843" s="318"/>
      <c r="T4843" s="318"/>
      <c r="U4843" s="318"/>
      <c r="V4843" s="318"/>
      <c r="W4843" s="318"/>
      <c r="X4843" s="318"/>
      <c r="Y4843" s="318"/>
      <c r="Z4843" s="318"/>
      <c r="AA4843" s="318"/>
      <c r="AB4843" s="318"/>
      <c r="AC4843" s="318"/>
      <c r="AD4843" s="318"/>
    </row>
    <row r="4844" spans="2:30" s="323" customFormat="1" ht="12" customHeight="1">
      <c r="B4844" s="324"/>
      <c r="C4844" s="325"/>
      <c r="D4844" s="326"/>
      <c r="E4844" s="326"/>
      <c r="F4844" s="326"/>
      <c r="G4844" s="326"/>
      <c r="H4844" s="326"/>
      <c r="P4844" s="318"/>
      <c r="Q4844" s="318"/>
      <c r="R4844" s="318"/>
      <c r="S4844" s="318"/>
      <c r="T4844" s="318"/>
      <c r="U4844" s="318"/>
      <c r="V4844" s="318"/>
      <c r="W4844" s="318"/>
      <c r="X4844" s="318"/>
      <c r="Y4844" s="318"/>
      <c r="Z4844" s="318"/>
      <c r="AA4844" s="318"/>
      <c r="AB4844" s="318"/>
      <c r="AC4844" s="318"/>
      <c r="AD4844" s="318"/>
    </row>
    <row r="4845" spans="2:30" s="323" customFormat="1" ht="12" customHeight="1">
      <c r="B4845" s="324"/>
      <c r="C4845" s="325"/>
      <c r="D4845" s="326"/>
      <c r="E4845" s="326"/>
      <c r="F4845" s="326"/>
      <c r="G4845" s="326"/>
      <c r="H4845" s="326"/>
      <c r="P4845" s="318"/>
      <c r="Q4845" s="318"/>
      <c r="R4845" s="318"/>
      <c r="S4845" s="318"/>
      <c r="T4845" s="318"/>
      <c r="U4845" s="318"/>
      <c r="V4845" s="318"/>
      <c r="W4845" s="318"/>
      <c r="X4845" s="318"/>
      <c r="Y4845" s="318"/>
      <c r="Z4845" s="318"/>
      <c r="AA4845" s="318"/>
      <c r="AB4845" s="318"/>
      <c r="AC4845" s="318"/>
      <c r="AD4845" s="318"/>
    </row>
    <row r="4846" spans="2:30" s="323" customFormat="1" ht="12" customHeight="1">
      <c r="B4846" s="324"/>
      <c r="C4846" s="325"/>
      <c r="D4846" s="326"/>
      <c r="E4846" s="326"/>
      <c r="F4846" s="326"/>
      <c r="G4846" s="326"/>
      <c r="H4846" s="326"/>
      <c r="P4846" s="318"/>
      <c r="Q4846" s="318"/>
      <c r="R4846" s="318"/>
      <c r="S4846" s="318"/>
      <c r="T4846" s="318"/>
      <c r="U4846" s="318"/>
      <c r="V4846" s="318"/>
      <c r="W4846" s="318"/>
      <c r="X4846" s="318"/>
      <c r="Y4846" s="318"/>
      <c r="Z4846" s="318"/>
      <c r="AA4846" s="318"/>
      <c r="AB4846" s="318"/>
      <c r="AC4846" s="318"/>
      <c r="AD4846" s="318"/>
    </row>
    <row r="4847" spans="2:30" s="323" customFormat="1" ht="12" customHeight="1">
      <c r="B4847" s="324"/>
      <c r="C4847" s="325"/>
      <c r="D4847" s="326"/>
      <c r="E4847" s="326"/>
      <c r="F4847" s="326"/>
      <c r="G4847" s="326"/>
      <c r="H4847" s="326"/>
      <c r="P4847" s="318"/>
      <c r="Q4847" s="318"/>
      <c r="R4847" s="318"/>
      <c r="S4847" s="318"/>
      <c r="T4847" s="318"/>
      <c r="U4847" s="318"/>
      <c r="V4847" s="318"/>
      <c r="W4847" s="318"/>
      <c r="X4847" s="318"/>
      <c r="Y4847" s="318"/>
      <c r="Z4847" s="318"/>
      <c r="AA4847" s="318"/>
      <c r="AB4847" s="318"/>
      <c r="AC4847" s="318"/>
      <c r="AD4847" s="318"/>
    </row>
    <row r="4848" spans="2:30" s="323" customFormat="1" ht="12" customHeight="1">
      <c r="B4848" s="324"/>
      <c r="C4848" s="325"/>
      <c r="D4848" s="326"/>
      <c r="E4848" s="326"/>
      <c r="F4848" s="326"/>
      <c r="G4848" s="326"/>
      <c r="H4848" s="326"/>
      <c r="P4848" s="318"/>
      <c r="Q4848" s="318"/>
      <c r="R4848" s="318"/>
      <c r="S4848" s="318"/>
      <c r="T4848" s="318"/>
      <c r="U4848" s="318"/>
      <c r="V4848" s="318"/>
      <c r="W4848" s="318"/>
      <c r="X4848" s="318"/>
      <c r="Y4848" s="318"/>
      <c r="Z4848" s="318"/>
      <c r="AA4848" s="318"/>
      <c r="AB4848" s="318"/>
      <c r="AC4848" s="318"/>
      <c r="AD4848" s="318"/>
    </row>
    <row r="4849" spans="2:30" s="323" customFormat="1" ht="12" customHeight="1">
      <c r="B4849" s="324"/>
      <c r="C4849" s="325"/>
      <c r="D4849" s="326"/>
      <c r="E4849" s="326"/>
      <c r="F4849" s="326"/>
      <c r="G4849" s="326"/>
      <c r="H4849" s="326"/>
      <c r="P4849" s="318"/>
      <c r="Q4849" s="318"/>
      <c r="R4849" s="318"/>
      <c r="S4849" s="318"/>
      <c r="T4849" s="318"/>
      <c r="U4849" s="318"/>
      <c r="V4849" s="318"/>
      <c r="W4849" s="318"/>
      <c r="X4849" s="318"/>
      <c r="Y4849" s="318"/>
      <c r="Z4849" s="318"/>
      <c r="AA4849" s="318"/>
      <c r="AB4849" s="318"/>
      <c r="AC4849" s="318"/>
      <c r="AD4849" s="318"/>
    </row>
    <row r="4850" spans="2:30" s="323" customFormat="1" ht="12" customHeight="1">
      <c r="B4850" s="324"/>
      <c r="C4850" s="325"/>
      <c r="D4850" s="326"/>
      <c r="E4850" s="326"/>
      <c r="F4850" s="326"/>
      <c r="G4850" s="326"/>
      <c r="H4850" s="326"/>
      <c r="P4850" s="318"/>
      <c r="Q4850" s="318"/>
      <c r="R4850" s="318"/>
      <c r="S4850" s="318"/>
      <c r="T4850" s="318"/>
      <c r="U4850" s="318"/>
      <c r="V4850" s="318"/>
      <c r="W4850" s="318"/>
      <c r="X4850" s="318"/>
      <c r="Y4850" s="318"/>
      <c r="Z4850" s="318"/>
      <c r="AA4850" s="318"/>
      <c r="AB4850" s="318"/>
      <c r="AC4850" s="318"/>
      <c r="AD4850" s="318"/>
    </row>
    <row r="4851" spans="2:30" s="323" customFormat="1" ht="12" customHeight="1">
      <c r="B4851" s="324"/>
      <c r="C4851" s="325"/>
      <c r="D4851" s="326"/>
      <c r="E4851" s="326"/>
      <c r="F4851" s="326"/>
      <c r="G4851" s="326"/>
      <c r="H4851" s="326"/>
      <c r="P4851" s="318"/>
      <c r="Q4851" s="318"/>
      <c r="R4851" s="318"/>
      <c r="S4851" s="318"/>
      <c r="T4851" s="318"/>
      <c r="U4851" s="318"/>
      <c r="V4851" s="318"/>
      <c r="W4851" s="318"/>
      <c r="X4851" s="318"/>
      <c r="Y4851" s="318"/>
      <c r="Z4851" s="318"/>
      <c r="AA4851" s="318"/>
      <c r="AB4851" s="318"/>
      <c r="AC4851" s="318"/>
      <c r="AD4851" s="318"/>
    </row>
    <row r="4852" spans="2:30" s="323" customFormat="1" ht="12" customHeight="1">
      <c r="B4852" s="324"/>
      <c r="C4852" s="325"/>
      <c r="D4852" s="326"/>
      <c r="E4852" s="326"/>
      <c r="F4852" s="326"/>
      <c r="G4852" s="326"/>
      <c r="H4852" s="326"/>
      <c r="P4852" s="318"/>
      <c r="Q4852" s="318"/>
      <c r="R4852" s="318"/>
      <c r="S4852" s="318"/>
      <c r="T4852" s="318"/>
      <c r="U4852" s="318"/>
      <c r="V4852" s="318"/>
      <c r="W4852" s="318"/>
      <c r="X4852" s="318"/>
      <c r="Y4852" s="318"/>
      <c r="Z4852" s="318"/>
      <c r="AA4852" s="318"/>
      <c r="AB4852" s="318"/>
      <c r="AC4852" s="318"/>
      <c r="AD4852" s="318"/>
    </row>
    <row r="4853" spans="2:30" s="323" customFormat="1" ht="12" customHeight="1">
      <c r="B4853" s="324"/>
      <c r="C4853" s="325"/>
      <c r="D4853" s="326"/>
      <c r="E4853" s="326"/>
      <c r="F4853" s="326"/>
      <c r="G4853" s="326"/>
      <c r="H4853" s="326"/>
      <c r="P4853" s="318"/>
      <c r="Q4853" s="318"/>
      <c r="R4853" s="318"/>
      <c r="S4853" s="318"/>
      <c r="T4853" s="318"/>
      <c r="U4853" s="318"/>
      <c r="V4853" s="318"/>
      <c r="W4853" s="318"/>
      <c r="X4853" s="318"/>
      <c r="Y4853" s="318"/>
      <c r="Z4853" s="318"/>
      <c r="AA4853" s="318"/>
      <c r="AB4853" s="318"/>
      <c r="AC4853" s="318"/>
      <c r="AD4853" s="318"/>
    </row>
    <row r="4854" spans="2:30" s="323" customFormat="1" ht="12" customHeight="1">
      <c r="B4854" s="324"/>
      <c r="C4854" s="325"/>
      <c r="D4854" s="326"/>
      <c r="E4854" s="326"/>
      <c r="F4854" s="326"/>
      <c r="G4854" s="326"/>
      <c r="H4854" s="326"/>
      <c r="P4854" s="318"/>
      <c r="Q4854" s="318"/>
      <c r="R4854" s="318"/>
      <c r="S4854" s="318"/>
      <c r="T4854" s="318"/>
      <c r="U4854" s="318"/>
      <c r="V4854" s="318"/>
      <c r="W4854" s="318"/>
      <c r="X4854" s="318"/>
      <c r="Y4854" s="318"/>
      <c r="Z4854" s="318"/>
      <c r="AA4854" s="318"/>
      <c r="AB4854" s="318"/>
      <c r="AC4854" s="318"/>
      <c r="AD4854" s="318"/>
    </row>
    <row r="4855" spans="2:30" s="323" customFormat="1" ht="12" customHeight="1">
      <c r="B4855" s="324"/>
      <c r="C4855" s="325"/>
      <c r="D4855" s="326"/>
      <c r="E4855" s="326"/>
      <c r="F4855" s="326"/>
      <c r="G4855" s="326"/>
      <c r="H4855" s="326"/>
      <c r="P4855" s="318"/>
      <c r="Q4855" s="318"/>
      <c r="R4855" s="318"/>
      <c r="S4855" s="318"/>
      <c r="T4855" s="318"/>
      <c r="U4855" s="318"/>
      <c r="V4855" s="318"/>
      <c r="W4855" s="318"/>
      <c r="X4855" s="318"/>
      <c r="Y4855" s="318"/>
      <c r="Z4855" s="318"/>
      <c r="AA4855" s="318"/>
      <c r="AB4855" s="318"/>
      <c r="AC4855" s="318"/>
      <c r="AD4855" s="318"/>
    </row>
    <row r="4856" spans="2:30" s="323" customFormat="1" ht="12" customHeight="1">
      <c r="B4856" s="324"/>
      <c r="C4856" s="325"/>
      <c r="D4856" s="326"/>
      <c r="E4856" s="326"/>
      <c r="F4856" s="326"/>
      <c r="G4856" s="326"/>
      <c r="H4856" s="326"/>
      <c r="P4856" s="318"/>
      <c r="Q4856" s="318"/>
      <c r="R4856" s="318"/>
      <c r="S4856" s="318"/>
      <c r="T4856" s="318"/>
      <c r="U4856" s="318"/>
      <c r="V4856" s="318"/>
      <c r="W4856" s="318"/>
      <c r="X4856" s="318"/>
      <c r="Y4856" s="318"/>
      <c r="Z4856" s="318"/>
      <c r="AA4856" s="318"/>
      <c r="AB4856" s="318"/>
      <c r="AC4856" s="318"/>
      <c r="AD4856" s="318"/>
    </row>
    <row r="4857" spans="2:30" s="323" customFormat="1" ht="12" customHeight="1">
      <c r="B4857" s="324"/>
      <c r="C4857" s="325"/>
      <c r="D4857" s="326"/>
      <c r="E4857" s="326"/>
      <c r="F4857" s="326"/>
      <c r="G4857" s="326"/>
      <c r="H4857" s="326"/>
      <c r="P4857" s="318"/>
      <c r="Q4857" s="318"/>
      <c r="R4857" s="318"/>
      <c r="S4857" s="318"/>
      <c r="T4857" s="318"/>
      <c r="U4857" s="318"/>
      <c r="V4857" s="318"/>
      <c r="W4857" s="318"/>
      <c r="X4857" s="318"/>
      <c r="Y4857" s="318"/>
      <c r="Z4857" s="318"/>
      <c r="AA4857" s="318"/>
      <c r="AB4857" s="318"/>
      <c r="AC4857" s="318"/>
      <c r="AD4857" s="318"/>
    </row>
    <row r="4858" spans="2:30" s="323" customFormat="1" ht="12" customHeight="1">
      <c r="B4858" s="324"/>
      <c r="C4858" s="325"/>
      <c r="D4858" s="326"/>
      <c r="E4858" s="326"/>
      <c r="F4858" s="326"/>
      <c r="G4858" s="326"/>
      <c r="H4858" s="326"/>
      <c r="P4858" s="318"/>
      <c r="Q4858" s="318"/>
      <c r="R4858" s="318"/>
      <c r="S4858" s="318"/>
      <c r="T4858" s="318"/>
      <c r="U4858" s="318"/>
      <c r="V4858" s="318"/>
      <c r="W4858" s="318"/>
      <c r="X4858" s="318"/>
      <c r="Y4858" s="318"/>
      <c r="Z4858" s="318"/>
      <c r="AA4858" s="318"/>
      <c r="AB4858" s="318"/>
      <c r="AC4858" s="318"/>
      <c r="AD4858" s="318"/>
    </row>
    <row r="4859" spans="2:30" s="323" customFormat="1" ht="12" customHeight="1">
      <c r="B4859" s="324"/>
      <c r="C4859" s="325"/>
      <c r="D4859" s="326"/>
      <c r="E4859" s="326"/>
      <c r="F4859" s="326"/>
      <c r="G4859" s="326"/>
      <c r="H4859" s="326"/>
      <c r="P4859" s="318"/>
      <c r="Q4859" s="318"/>
      <c r="R4859" s="318"/>
      <c r="S4859" s="318"/>
      <c r="T4859" s="318"/>
      <c r="U4859" s="318"/>
      <c r="V4859" s="318"/>
      <c r="W4859" s="318"/>
      <c r="X4859" s="318"/>
      <c r="Y4859" s="318"/>
      <c r="Z4859" s="318"/>
      <c r="AA4859" s="318"/>
      <c r="AB4859" s="318"/>
      <c r="AC4859" s="318"/>
      <c r="AD4859" s="318"/>
    </row>
    <row r="4860" spans="2:30" s="323" customFormat="1" ht="12" customHeight="1">
      <c r="B4860" s="324"/>
      <c r="C4860" s="325"/>
      <c r="D4860" s="326"/>
      <c r="E4860" s="326"/>
      <c r="F4860" s="326"/>
      <c r="G4860" s="326"/>
      <c r="H4860" s="326"/>
      <c r="P4860" s="318"/>
      <c r="Q4860" s="318"/>
      <c r="R4860" s="318"/>
      <c r="S4860" s="318"/>
      <c r="T4860" s="318"/>
      <c r="U4860" s="318"/>
      <c r="V4860" s="318"/>
      <c r="W4860" s="318"/>
      <c r="X4860" s="318"/>
      <c r="Y4860" s="318"/>
      <c r="Z4860" s="318"/>
      <c r="AA4860" s="318"/>
      <c r="AB4860" s="318"/>
      <c r="AC4860" s="318"/>
      <c r="AD4860" s="318"/>
    </row>
    <row r="4861" spans="2:30" s="323" customFormat="1" ht="12" customHeight="1">
      <c r="B4861" s="324"/>
      <c r="C4861" s="325"/>
      <c r="D4861" s="326"/>
      <c r="E4861" s="326"/>
      <c r="F4861" s="326"/>
      <c r="G4861" s="326"/>
      <c r="H4861" s="326"/>
      <c r="P4861" s="318"/>
      <c r="Q4861" s="318"/>
      <c r="R4861" s="318"/>
      <c r="S4861" s="318"/>
      <c r="T4861" s="318"/>
      <c r="U4861" s="318"/>
      <c r="V4861" s="318"/>
      <c r="W4861" s="318"/>
      <c r="X4861" s="318"/>
      <c r="Y4861" s="318"/>
      <c r="Z4861" s="318"/>
      <c r="AA4861" s="318"/>
      <c r="AB4861" s="318"/>
      <c r="AC4861" s="318"/>
      <c r="AD4861" s="318"/>
    </row>
    <row r="4862" spans="2:30" s="323" customFormat="1" ht="12" customHeight="1">
      <c r="B4862" s="324"/>
      <c r="C4862" s="325"/>
      <c r="D4862" s="326"/>
      <c r="E4862" s="326"/>
      <c r="F4862" s="326"/>
      <c r="G4862" s="326"/>
      <c r="H4862" s="326"/>
      <c r="P4862" s="318"/>
      <c r="Q4862" s="318"/>
      <c r="R4862" s="318"/>
      <c r="S4862" s="318"/>
      <c r="T4862" s="318"/>
      <c r="U4862" s="318"/>
      <c r="V4862" s="318"/>
      <c r="W4862" s="318"/>
      <c r="X4862" s="318"/>
      <c r="Y4862" s="318"/>
      <c r="Z4862" s="318"/>
      <c r="AA4862" s="318"/>
      <c r="AB4862" s="318"/>
      <c r="AC4862" s="318"/>
      <c r="AD4862" s="318"/>
    </row>
    <row r="4863" spans="2:30" s="323" customFormat="1" ht="12" customHeight="1">
      <c r="B4863" s="324"/>
      <c r="C4863" s="325"/>
      <c r="D4863" s="326"/>
      <c r="E4863" s="326"/>
      <c r="F4863" s="326"/>
      <c r="G4863" s="326"/>
      <c r="H4863" s="326"/>
      <c r="P4863" s="318"/>
      <c r="Q4863" s="318"/>
      <c r="R4863" s="318"/>
      <c r="S4863" s="318"/>
      <c r="T4863" s="318"/>
      <c r="U4863" s="318"/>
      <c r="V4863" s="318"/>
      <c r="W4863" s="318"/>
      <c r="X4863" s="318"/>
      <c r="Y4863" s="318"/>
      <c r="Z4863" s="318"/>
      <c r="AA4863" s="318"/>
      <c r="AB4863" s="318"/>
      <c r="AC4863" s="318"/>
      <c r="AD4863" s="318"/>
    </row>
    <row r="4864" spans="2:30" s="323" customFormat="1" ht="12" customHeight="1">
      <c r="B4864" s="324"/>
      <c r="C4864" s="325"/>
      <c r="D4864" s="326"/>
      <c r="E4864" s="326"/>
      <c r="F4864" s="326"/>
      <c r="G4864" s="326"/>
      <c r="H4864" s="326"/>
      <c r="P4864" s="318"/>
      <c r="Q4864" s="318"/>
      <c r="R4864" s="318"/>
      <c r="S4864" s="318"/>
      <c r="T4864" s="318"/>
      <c r="U4864" s="318"/>
      <c r="V4864" s="318"/>
      <c r="W4864" s="318"/>
      <c r="X4864" s="318"/>
      <c r="Y4864" s="318"/>
      <c r="Z4864" s="318"/>
      <c r="AA4864" s="318"/>
      <c r="AB4864" s="318"/>
      <c r="AC4864" s="318"/>
      <c r="AD4864" s="318"/>
    </row>
    <row r="4865" spans="2:30" s="323" customFormat="1" ht="12" customHeight="1">
      <c r="B4865" s="324"/>
      <c r="C4865" s="325"/>
      <c r="D4865" s="326"/>
      <c r="E4865" s="326"/>
      <c r="F4865" s="326"/>
      <c r="G4865" s="326"/>
      <c r="H4865" s="326"/>
      <c r="P4865" s="318"/>
      <c r="Q4865" s="318"/>
      <c r="R4865" s="318"/>
      <c r="S4865" s="318"/>
      <c r="T4865" s="318"/>
      <c r="U4865" s="318"/>
      <c r="V4865" s="318"/>
      <c r="W4865" s="318"/>
      <c r="X4865" s="318"/>
      <c r="Y4865" s="318"/>
      <c r="Z4865" s="318"/>
      <c r="AA4865" s="318"/>
      <c r="AB4865" s="318"/>
      <c r="AC4865" s="318"/>
      <c r="AD4865" s="318"/>
    </row>
    <row r="4866" spans="2:30" s="323" customFormat="1" ht="12" customHeight="1">
      <c r="B4866" s="324"/>
      <c r="C4866" s="325"/>
      <c r="D4866" s="326"/>
      <c r="E4866" s="326"/>
      <c r="F4866" s="326"/>
      <c r="G4866" s="326"/>
      <c r="H4866" s="326"/>
      <c r="P4866" s="318"/>
      <c r="Q4866" s="318"/>
      <c r="R4866" s="318"/>
      <c r="S4866" s="318"/>
      <c r="T4866" s="318"/>
      <c r="U4866" s="318"/>
      <c r="V4866" s="318"/>
      <c r="W4866" s="318"/>
      <c r="X4866" s="318"/>
      <c r="Y4866" s="318"/>
      <c r="Z4866" s="318"/>
      <c r="AA4866" s="318"/>
      <c r="AB4866" s="318"/>
      <c r="AC4866" s="318"/>
      <c r="AD4866" s="318"/>
    </row>
    <row r="4867" spans="2:30" s="323" customFormat="1" ht="12" customHeight="1">
      <c r="B4867" s="324"/>
      <c r="C4867" s="325"/>
      <c r="D4867" s="326"/>
      <c r="E4867" s="326"/>
      <c r="F4867" s="326"/>
      <c r="G4867" s="326"/>
      <c r="H4867" s="326"/>
      <c r="P4867" s="318"/>
      <c r="Q4867" s="318"/>
      <c r="R4867" s="318"/>
      <c r="S4867" s="318"/>
      <c r="T4867" s="318"/>
      <c r="U4867" s="318"/>
      <c r="V4867" s="318"/>
      <c r="W4867" s="318"/>
      <c r="X4867" s="318"/>
      <c r="Y4867" s="318"/>
      <c r="Z4867" s="318"/>
      <c r="AA4867" s="318"/>
      <c r="AB4867" s="318"/>
      <c r="AC4867" s="318"/>
      <c r="AD4867" s="318"/>
    </row>
    <row r="4868" spans="2:30" s="323" customFormat="1" ht="12" customHeight="1">
      <c r="B4868" s="324"/>
      <c r="C4868" s="325"/>
      <c r="D4868" s="326"/>
      <c r="E4868" s="326"/>
      <c r="F4868" s="326"/>
      <c r="G4868" s="326"/>
      <c r="H4868" s="326"/>
      <c r="P4868" s="318"/>
      <c r="Q4868" s="318"/>
      <c r="R4868" s="318"/>
      <c r="S4868" s="318"/>
      <c r="T4868" s="318"/>
      <c r="U4868" s="318"/>
      <c r="V4868" s="318"/>
      <c r="W4868" s="318"/>
      <c r="X4868" s="318"/>
      <c r="Y4868" s="318"/>
      <c r="Z4868" s="318"/>
      <c r="AA4868" s="318"/>
      <c r="AB4868" s="318"/>
      <c r="AC4868" s="318"/>
      <c r="AD4868" s="318"/>
    </row>
    <row r="4869" spans="2:30" s="323" customFormat="1" ht="12" customHeight="1">
      <c r="B4869" s="324"/>
      <c r="C4869" s="325"/>
      <c r="D4869" s="326"/>
      <c r="E4869" s="326"/>
      <c r="F4869" s="326"/>
      <c r="G4869" s="326"/>
      <c r="H4869" s="326"/>
      <c r="P4869" s="318"/>
      <c r="Q4869" s="318"/>
      <c r="R4869" s="318"/>
      <c r="S4869" s="318"/>
      <c r="T4869" s="318"/>
      <c r="U4869" s="318"/>
      <c r="V4869" s="318"/>
      <c r="W4869" s="318"/>
      <c r="X4869" s="318"/>
      <c r="Y4869" s="318"/>
      <c r="Z4869" s="318"/>
      <c r="AA4869" s="318"/>
      <c r="AB4869" s="318"/>
      <c r="AC4869" s="318"/>
      <c r="AD4869" s="318"/>
    </row>
    <row r="4870" spans="2:30" s="323" customFormat="1" ht="12" customHeight="1">
      <c r="B4870" s="324"/>
      <c r="C4870" s="325"/>
      <c r="D4870" s="326"/>
      <c r="E4870" s="326"/>
      <c r="F4870" s="326"/>
      <c r="G4870" s="326"/>
      <c r="H4870" s="326"/>
      <c r="P4870" s="318"/>
      <c r="Q4870" s="318"/>
      <c r="R4870" s="318"/>
      <c r="S4870" s="318"/>
      <c r="T4870" s="318"/>
      <c r="U4870" s="318"/>
      <c r="V4870" s="318"/>
      <c r="W4870" s="318"/>
      <c r="X4870" s="318"/>
      <c r="Y4870" s="318"/>
      <c r="Z4870" s="318"/>
      <c r="AA4870" s="318"/>
      <c r="AB4870" s="318"/>
      <c r="AC4870" s="318"/>
      <c r="AD4870" s="318"/>
    </row>
    <row r="4871" spans="2:30" s="323" customFormat="1" ht="12" customHeight="1">
      <c r="B4871" s="324"/>
      <c r="C4871" s="325"/>
      <c r="D4871" s="326"/>
      <c r="E4871" s="326"/>
      <c r="F4871" s="326"/>
      <c r="G4871" s="326"/>
      <c r="H4871" s="326"/>
      <c r="P4871" s="318"/>
      <c r="Q4871" s="318"/>
      <c r="R4871" s="318"/>
      <c r="S4871" s="318"/>
      <c r="T4871" s="318"/>
      <c r="U4871" s="318"/>
      <c r="V4871" s="318"/>
      <c r="W4871" s="318"/>
      <c r="X4871" s="318"/>
      <c r="Y4871" s="318"/>
      <c r="Z4871" s="318"/>
      <c r="AA4871" s="318"/>
      <c r="AB4871" s="318"/>
      <c r="AC4871" s="318"/>
      <c r="AD4871" s="318"/>
    </row>
    <row r="4872" spans="2:30" s="323" customFormat="1" ht="12" customHeight="1">
      <c r="B4872" s="324"/>
      <c r="C4872" s="325"/>
      <c r="D4872" s="326"/>
      <c r="E4872" s="326"/>
      <c r="F4872" s="326"/>
      <c r="G4872" s="326"/>
      <c r="H4872" s="326"/>
      <c r="P4872" s="318"/>
      <c r="Q4872" s="318"/>
      <c r="R4872" s="318"/>
      <c r="S4872" s="318"/>
      <c r="T4872" s="318"/>
      <c r="U4872" s="318"/>
      <c r="V4872" s="318"/>
      <c r="W4872" s="318"/>
      <c r="X4872" s="318"/>
      <c r="Y4872" s="318"/>
      <c r="Z4872" s="318"/>
      <c r="AA4872" s="318"/>
      <c r="AB4872" s="318"/>
      <c r="AC4872" s="318"/>
      <c r="AD4872" s="318"/>
    </row>
    <row r="4873" spans="2:30" s="323" customFormat="1" ht="12" customHeight="1">
      <c r="B4873" s="324"/>
      <c r="C4873" s="325"/>
      <c r="D4873" s="326"/>
      <c r="E4873" s="326"/>
      <c r="F4873" s="326"/>
      <c r="G4873" s="326"/>
      <c r="H4873" s="326"/>
      <c r="P4873" s="318"/>
      <c r="Q4873" s="318"/>
      <c r="R4873" s="318"/>
      <c r="S4873" s="318"/>
      <c r="T4873" s="318"/>
      <c r="U4873" s="318"/>
      <c r="V4873" s="318"/>
      <c r="W4873" s="318"/>
      <c r="X4873" s="318"/>
      <c r="Y4873" s="318"/>
      <c r="Z4873" s="318"/>
      <c r="AA4873" s="318"/>
      <c r="AB4873" s="318"/>
      <c r="AC4873" s="318"/>
      <c r="AD4873" s="318"/>
    </row>
    <row r="4874" spans="2:30" s="323" customFormat="1" ht="12" customHeight="1">
      <c r="B4874" s="324"/>
      <c r="C4874" s="325"/>
      <c r="D4874" s="326"/>
      <c r="E4874" s="326"/>
      <c r="F4874" s="326"/>
      <c r="G4874" s="326"/>
      <c r="H4874" s="326"/>
      <c r="P4874" s="318"/>
      <c r="Q4874" s="318"/>
      <c r="R4874" s="318"/>
      <c r="S4874" s="318"/>
      <c r="T4874" s="318"/>
      <c r="U4874" s="318"/>
      <c r="V4874" s="318"/>
      <c r="W4874" s="318"/>
      <c r="X4874" s="318"/>
      <c r="Y4874" s="318"/>
      <c r="Z4874" s="318"/>
      <c r="AA4874" s="318"/>
      <c r="AB4874" s="318"/>
      <c r="AC4874" s="318"/>
      <c r="AD4874" s="318"/>
    </row>
    <row r="4875" spans="2:30" s="323" customFormat="1" ht="12" customHeight="1">
      <c r="B4875" s="324"/>
      <c r="C4875" s="325"/>
      <c r="D4875" s="326"/>
      <c r="E4875" s="326"/>
      <c r="F4875" s="326"/>
      <c r="G4875" s="326"/>
      <c r="H4875" s="326"/>
      <c r="P4875" s="318"/>
      <c r="Q4875" s="318"/>
      <c r="R4875" s="318"/>
      <c r="S4875" s="318"/>
      <c r="T4875" s="318"/>
      <c r="U4875" s="318"/>
      <c r="V4875" s="318"/>
      <c r="W4875" s="318"/>
      <c r="X4875" s="318"/>
      <c r="Y4875" s="318"/>
      <c r="Z4875" s="318"/>
      <c r="AA4875" s="318"/>
      <c r="AB4875" s="318"/>
      <c r="AC4875" s="318"/>
      <c r="AD4875" s="318"/>
    </row>
    <row r="4876" spans="2:30" s="323" customFormat="1" ht="12" customHeight="1">
      <c r="B4876" s="324"/>
      <c r="C4876" s="325"/>
      <c r="D4876" s="326"/>
      <c r="E4876" s="326"/>
      <c r="F4876" s="326"/>
      <c r="G4876" s="326"/>
      <c r="H4876" s="326"/>
      <c r="P4876" s="318"/>
      <c r="Q4876" s="318"/>
      <c r="R4876" s="318"/>
      <c r="S4876" s="318"/>
      <c r="T4876" s="318"/>
      <c r="U4876" s="318"/>
      <c r="V4876" s="318"/>
      <c r="W4876" s="318"/>
      <c r="X4876" s="318"/>
      <c r="Y4876" s="318"/>
      <c r="Z4876" s="318"/>
      <c r="AA4876" s="318"/>
      <c r="AB4876" s="318"/>
      <c r="AC4876" s="318"/>
      <c r="AD4876" s="318"/>
    </row>
    <row r="4877" spans="2:30" s="323" customFormat="1" ht="12" customHeight="1">
      <c r="B4877" s="324"/>
      <c r="C4877" s="325"/>
      <c r="D4877" s="326"/>
      <c r="E4877" s="326"/>
      <c r="F4877" s="326"/>
      <c r="G4877" s="326"/>
      <c r="H4877" s="326"/>
      <c r="P4877" s="318"/>
      <c r="Q4877" s="318"/>
      <c r="R4877" s="318"/>
      <c r="S4877" s="318"/>
      <c r="T4877" s="318"/>
      <c r="U4877" s="318"/>
      <c r="V4877" s="318"/>
      <c r="W4877" s="318"/>
      <c r="X4877" s="318"/>
      <c r="Y4877" s="318"/>
      <c r="Z4877" s="318"/>
      <c r="AA4877" s="318"/>
      <c r="AB4877" s="318"/>
      <c r="AC4877" s="318"/>
      <c r="AD4877" s="318"/>
    </row>
    <row r="4878" spans="2:30" s="323" customFormat="1" ht="12" customHeight="1">
      <c r="B4878" s="324"/>
      <c r="C4878" s="325"/>
      <c r="D4878" s="326"/>
      <c r="E4878" s="326"/>
      <c r="F4878" s="326"/>
      <c r="G4878" s="326"/>
      <c r="H4878" s="326"/>
      <c r="P4878" s="318"/>
      <c r="Q4878" s="318"/>
      <c r="R4878" s="318"/>
      <c r="S4878" s="318"/>
      <c r="T4878" s="318"/>
      <c r="U4878" s="318"/>
      <c r="V4878" s="318"/>
      <c r="W4878" s="318"/>
      <c r="X4878" s="318"/>
      <c r="Y4878" s="318"/>
      <c r="Z4878" s="318"/>
      <c r="AA4878" s="318"/>
      <c r="AB4878" s="318"/>
      <c r="AC4878" s="318"/>
      <c r="AD4878" s="318"/>
    </row>
    <row r="4879" spans="2:30" s="323" customFormat="1" ht="12" customHeight="1">
      <c r="B4879" s="324"/>
      <c r="C4879" s="325"/>
      <c r="D4879" s="326"/>
      <c r="E4879" s="326"/>
      <c r="F4879" s="326"/>
      <c r="G4879" s="326"/>
      <c r="H4879" s="326"/>
      <c r="P4879" s="318"/>
      <c r="Q4879" s="318"/>
      <c r="R4879" s="318"/>
      <c r="S4879" s="318"/>
      <c r="T4879" s="318"/>
      <c r="U4879" s="318"/>
      <c r="V4879" s="318"/>
      <c r="W4879" s="318"/>
      <c r="X4879" s="318"/>
      <c r="Y4879" s="318"/>
      <c r="Z4879" s="318"/>
      <c r="AA4879" s="318"/>
      <c r="AB4879" s="318"/>
      <c r="AC4879" s="318"/>
      <c r="AD4879" s="318"/>
    </row>
    <row r="4880" spans="2:30" s="323" customFormat="1" ht="12" customHeight="1">
      <c r="B4880" s="324"/>
      <c r="C4880" s="325"/>
      <c r="D4880" s="326"/>
      <c r="E4880" s="326"/>
      <c r="F4880" s="326"/>
      <c r="G4880" s="326"/>
      <c r="H4880" s="326"/>
      <c r="P4880" s="318"/>
      <c r="Q4880" s="318"/>
      <c r="R4880" s="318"/>
      <c r="S4880" s="318"/>
      <c r="T4880" s="318"/>
      <c r="U4880" s="318"/>
      <c r="V4880" s="318"/>
      <c r="W4880" s="318"/>
      <c r="X4880" s="318"/>
      <c r="Y4880" s="318"/>
      <c r="Z4880" s="318"/>
      <c r="AA4880" s="318"/>
      <c r="AB4880" s="318"/>
      <c r="AC4880" s="318"/>
      <c r="AD4880" s="318"/>
    </row>
    <row r="4881" spans="2:30" s="323" customFormat="1" ht="12" customHeight="1">
      <c r="B4881" s="324"/>
      <c r="C4881" s="325"/>
      <c r="D4881" s="326"/>
      <c r="E4881" s="326"/>
      <c r="F4881" s="326"/>
      <c r="G4881" s="326"/>
      <c r="H4881" s="326"/>
      <c r="P4881" s="318"/>
      <c r="Q4881" s="318"/>
      <c r="R4881" s="318"/>
      <c r="S4881" s="318"/>
      <c r="T4881" s="318"/>
      <c r="U4881" s="318"/>
      <c r="V4881" s="318"/>
      <c r="W4881" s="318"/>
      <c r="X4881" s="318"/>
      <c r="Y4881" s="318"/>
      <c r="Z4881" s="318"/>
      <c r="AA4881" s="318"/>
      <c r="AB4881" s="318"/>
      <c r="AC4881" s="318"/>
      <c r="AD4881" s="318"/>
    </row>
    <row r="4882" spans="2:30" s="323" customFormat="1" ht="12" customHeight="1">
      <c r="B4882" s="324"/>
      <c r="C4882" s="325"/>
      <c r="D4882" s="326"/>
      <c r="E4882" s="326"/>
      <c r="F4882" s="326"/>
      <c r="G4882" s="326"/>
      <c r="H4882" s="326"/>
      <c r="P4882" s="318"/>
      <c r="Q4882" s="318"/>
      <c r="R4882" s="318"/>
      <c r="S4882" s="318"/>
      <c r="T4882" s="318"/>
      <c r="U4882" s="318"/>
      <c r="V4882" s="318"/>
      <c r="W4882" s="318"/>
      <c r="X4882" s="318"/>
      <c r="Y4882" s="318"/>
      <c r="Z4882" s="318"/>
      <c r="AA4882" s="318"/>
      <c r="AB4882" s="318"/>
      <c r="AC4882" s="318"/>
      <c r="AD4882" s="318"/>
    </row>
    <row r="4883" spans="2:30" s="323" customFormat="1" ht="12" customHeight="1">
      <c r="B4883" s="324"/>
      <c r="C4883" s="325"/>
      <c r="D4883" s="326"/>
      <c r="E4883" s="326"/>
      <c r="F4883" s="326"/>
      <c r="G4883" s="326"/>
      <c r="H4883" s="326"/>
      <c r="P4883" s="318"/>
      <c r="Q4883" s="318"/>
      <c r="R4883" s="318"/>
      <c r="S4883" s="318"/>
      <c r="T4883" s="318"/>
      <c r="U4883" s="318"/>
      <c r="V4883" s="318"/>
      <c r="W4883" s="318"/>
      <c r="X4883" s="318"/>
      <c r="Y4883" s="318"/>
      <c r="Z4883" s="318"/>
      <c r="AA4883" s="318"/>
      <c r="AB4883" s="318"/>
      <c r="AC4883" s="318"/>
      <c r="AD4883" s="318"/>
    </row>
    <row r="4884" spans="2:30" s="323" customFormat="1" ht="12" customHeight="1">
      <c r="B4884" s="324"/>
      <c r="C4884" s="325"/>
      <c r="D4884" s="326"/>
      <c r="E4884" s="326"/>
      <c r="F4884" s="326"/>
      <c r="G4884" s="326"/>
      <c r="H4884" s="326"/>
      <c r="P4884" s="318"/>
      <c r="Q4884" s="318"/>
      <c r="R4884" s="318"/>
      <c r="S4884" s="318"/>
      <c r="T4884" s="318"/>
      <c r="U4884" s="318"/>
      <c r="V4884" s="318"/>
      <c r="W4884" s="318"/>
      <c r="X4884" s="318"/>
      <c r="Y4884" s="318"/>
      <c r="Z4884" s="318"/>
      <c r="AA4884" s="318"/>
      <c r="AB4884" s="318"/>
      <c r="AC4884" s="318"/>
      <c r="AD4884" s="318"/>
    </row>
    <row r="4885" spans="2:30" s="323" customFormat="1" ht="12" customHeight="1">
      <c r="B4885" s="324"/>
      <c r="C4885" s="325"/>
      <c r="D4885" s="326"/>
      <c r="E4885" s="326"/>
      <c r="F4885" s="326"/>
      <c r="G4885" s="326"/>
      <c r="H4885" s="326"/>
      <c r="P4885" s="318"/>
      <c r="Q4885" s="318"/>
      <c r="R4885" s="318"/>
      <c r="S4885" s="318"/>
      <c r="T4885" s="318"/>
      <c r="U4885" s="318"/>
      <c r="V4885" s="318"/>
      <c r="W4885" s="318"/>
      <c r="X4885" s="318"/>
      <c r="Y4885" s="318"/>
      <c r="Z4885" s="318"/>
      <c r="AA4885" s="318"/>
      <c r="AB4885" s="318"/>
      <c r="AC4885" s="318"/>
      <c r="AD4885" s="318"/>
    </row>
    <row r="4886" spans="2:30" s="323" customFormat="1" ht="12" customHeight="1">
      <c r="B4886" s="324"/>
      <c r="C4886" s="325"/>
      <c r="D4886" s="326"/>
      <c r="E4886" s="326"/>
      <c r="F4886" s="326"/>
      <c r="G4886" s="326"/>
      <c r="H4886" s="326"/>
      <c r="P4886" s="318"/>
      <c r="Q4886" s="318"/>
      <c r="R4886" s="318"/>
      <c r="S4886" s="318"/>
      <c r="T4886" s="318"/>
      <c r="U4886" s="318"/>
      <c r="V4886" s="318"/>
      <c r="W4886" s="318"/>
      <c r="X4886" s="318"/>
      <c r="Y4886" s="318"/>
      <c r="Z4886" s="318"/>
      <c r="AA4886" s="318"/>
      <c r="AB4886" s="318"/>
      <c r="AC4886" s="318"/>
      <c r="AD4886" s="318"/>
    </row>
    <row r="4887" spans="2:30" s="323" customFormat="1" ht="12" customHeight="1">
      <c r="B4887" s="324"/>
      <c r="C4887" s="325"/>
      <c r="D4887" s="326"/>
      <c r="E4887" s="326"/>
      <c r="F4887" s="326"/>
      <c r="G4887" s="326"/>
      <c r="H4887" s="326"/>
      <c r="P4887" s="318"/>
      <c r="Q4887" s="318"/>
      <c r="R4887" s="318"/>
      <c r="S4887" s="318"/>
      <c r="T4887" s="318"/>
      <c r="U4887" s="318"/>
      <c r="V4887" s="318"/>
      <c r="W4887" s="318"/>
      <c r="X4887" s="318"/>
      <c r="Y4887" s="318"/>
      <c r="Z4887" s="318"/>
      <c r="AA4887" s="318"/>
      <c r="AB4887" s="318"/>
      <c r="AC4887" s="318"/>
      <c r="AD4887" s="318"/>
    </row>
    <row r="4888" spans="2:30" s="323" customFormat="1" ht="12" customHeight="1">
      <c r="B4888" s="324"/>
      <c r="C4888" s="325"/>
      <c r="D4888" s="326"/>
      <c r="E4888" s="326"/>
      <c r="F4888" s="326"/>
      <c r="G4888" s="326"/>
      <c r="H4888" s="326"/>
      <c r="P4888" s="318"/>
      <c r="Q4888" s="318"/>
      <c r="R4888" s="318"/>
      <c r="S4888" s="318"/>
      <c r="T4888" s="318"/>
      <c r="U4888" s="318"/>
      <c r="V4888" s="318"/>
      <c r="W4888" s="318"/>
      <c r="X4888" s="318"/>
      <c r="Y4888" s="318"/>
      <c r="Z4888" s="318"/>
      <c r="AA4888" s="318"/>
      <c r="AB4888" s="318"/>
      <c r="AC4888" s="318"/>
      <c r="AD4888" s="318"/>
    </row>
    <row r="4889" spans="2:30" s="323" customFormat="1" ht="12" customHeight="1">
      <c r="B4889" s="324"/>
      <c r="C4889" s="325"/>
      <c r="D4889" s="326"/>
      <c r="E4889" s="326"/>
      <c r="F4889" s="326"/>
      <c r="G4889" s="326"/>
      <c r="H4889" s="326"/>
      <c r="P4889" s="318"/>
      <c r="Q4889" s="318"/>
      <c r="R4889" s="318"/>
      <c r="S4889" s="318"/>
      <c r="T4889" s="318"/>
      <c r="U4889" s="318"/>
      <c r="V4889" s="318"/>
      <c r="W4889" s="318"/>
      <c r="X4889" s="318"/>
      <c r="Y4889" s="318"/>
      <c r="Z4889" s="318"/>
      <c r="AA4889" s="318"/>
      <c r="AB4889" s="318"/>
      <c r="AC4889" s="318"/>
      <c r="AD4889" s="318"/>
    </row>
    <row r="4890" spans="2:30" s="323" customFormat="1" ht="12" customHeight="1">
      <c r="B4890" s="324"/>
      <c r="C4890" s="325"/>
      <c r="D4890" s="326"/>
      <c r="E4890" s="326"/>
      <c r="F4890" s="326"/>
      <c r="G4890" s="326"/>
      <c r="H4890" s="326"/>
      <c r="P4890" s="318"/>
      <c r="Q4890" s="318"/>
      <c r="R4890" s="318"/>
      <c r="S4890" s="318"/>
      <c r="T4890" s="318"/>
      <c r="U4890" s="318"/>
      <c r="V4890" s="318"/>
      <c r="W4890" s="318"/>
      <c r="X4890" s="318"/>
      <c r="Y4890" s="318"/>
      <c r="Z4890" s="318"/>
      <c r="AA4890" s="318"/>
      <c r="AB4890" s="318"/>
      <c r="AC4890" s="318"/>
      <c r="AD4890" s="318"/>
    </row>
    <row r="4891" spans="2:30" s="323" customFormat="1" ht="12" customHeight="1">
      <c r="B4891" s="324"/>
      <c r="C4891" s="325"/>
      <c r="D4891" s="326"/>
      <c r="E4891" s="326"/>
      <c r="F4891" s="326"/>
      <c r="G4891" s="326"/>
      <c r="H4891" s="326"/>
      <c r="P4891" s="318"/>
      <c r="Q4891" s="318"/>
      <c r="R4891" s="318"/>
      <c r="S4891" s="318"/>
      <c r="T4891" s="318"/>
      <c r="U4891" s="318"/>
      <c r="V4891" s="318"/>
      <c r="W4891" s="318"/>
      <c r="X4891" s="318"/>
      <c r="Y4891" s="318"/>
      <c r="Z4891" s="318"/>
      <c r="AA4891" s="318"/>
      <c r="AB4891" s="318"/>
      <c r="AC4891" s="318"/>
      <c r="AD4891" s="318"/>
    </row>
    <row r="4892" spans="2:30" s="323" customFormat="1" ht="12" customHeight="1">
      <c r="B4892" s="324"/>
      <c r="C4892" s="325"/>
      <c r="D4892" s="326"/>
      <c r="E4892" s="326"/>
      <c r="F4892" s="326"/>
      <c r="G4892" s="326"/>
      <c r="H4892" s="326"/>
      <c r="P4892" s="318"/>
      <c r="Q4892" s="318"/>
      <c r="R4892" s="318"/>
      <c r="S4892" s="318"/>
      <c r="T4892" s="318"/>
      <c r="U4892" s="318"/>
      <c r="V4892" s="318"/>
      <c r="W4892" s="318"/>
      <c r="X4892" s="318"/>
      <c r="Y4892" s="318"/>
      <c r="Z4892" s="318"/>
      <c r="AA4892" s="318"/>
      <c r="AB4892" s="318"/>
      <c r="AC4892" s="318"/>
      <c r="AD4892" s="318"/>
    </row>
    <row r="4893" spans="2:30" s="323" customFormat="1" ht="12" customHeight="1">
      <c r="B4893" s="324"/>
      <c r="C4893" s="325"/>
      <c r="D4893" s="326"/>
      <c r="E4893" s="326"/>
      <c r="F4893" s="326"/>
      <c r="G4893" s="326"/>
      <c r="H4893" s="326"/>
      <c r="P4893" s="318"/>
      <c r="Q4893" s="318"/>
      <c r="R4893" s="318"/>
      <c r="S4893" s="318"/>
      <c r="T4893" s="318"/>
      <c r="U4893" s="318"/>
      <c r="V4893" s="318"/>
      <c r="W4893" s="318"/>
      <c r="X4893" s="318"/>
      <c r="Y4893" s="318"/>
      <c r="Z4893" s="318"/>
      <c r="AA4893" s="318"/>
      <c r="AB4893" s="318"/>
      <c r="AC4893" s="318"/>
      <c r="AD4893" s="318"/>
    </row>
    <row r="4894" spans="2:30" s="323" customFormat="1" ht="12" customHeight="1">
      <c r="B4894" s="324"/>
      <c r="C4894" s="325"/>
      <c r="D4894" s="326"/>
      <c r="E4894" s="326"/>
      <c r="F4894" s="326"/>
      <c r="G4894" s="326"/>
      <c r="H4894" s="326"/>
      <c r="P4894" s="318"/>
      <c r="Q4894" s="318"/>
      <c r="R4894" s="318"/>
      <c r="S4894" s="318"/>
      <c r="T4894" s="318"/>
      <c r="U4894" s="318"/>
      <c r="V4894" s="318"/>
      <c r="W4894" s="318"/>
      <c r="X4894" s="318"/>
      <c r="Y4894" s="318"/>
      <c r="Z4894" s="318"/>
      <c r="AA4894" s="318"/>
      <c r="AB4894" s="318"/>
      <c r="AC4894" s="318"/>
      <c r="AD4894" s="318"/>
    </row>
    <row r="4895" spans="2:30" s="323" customFormat="1" ht="12" customHeight="1">
      <c r="B4895" s="324"/>
      <c r="C4895" s="325"/>
      <c r="D4895" s="326"/>
      <c r="E4895" s="326"/>
      <c r="F4895" s="326"/>
      <c r="G4895" s="326"/>
      <c r="H4895" s="326"/>
      <c r="P4895" s="318"/>
      <c r="Q4895" s="318"/>
      <c r="R4895" s="318"/>
      <c r="S4895" s="318"/>
      <c r="T4895" s="318"/>
      <c r="U4895" s="318"/>
      <c r="V4895" s="318"/>
      <c r="W4895" s="318"/>
      <c r="X4895" s="318"/>
      <c r="Y4895" s="318"/>
      <c r="Z4895" s="318"/>
      <c r="AA4895" s="318"/>
      <c r="AB4895" s="318"/>
      <c r="AC4895" s="318"/>
      <c r="AD4895" s="318"/>
    </row>
    <row r="4896" spans="2:30" s="323" customFormat="1" ht="12" customHeight="1">
      <c r="B4896" s="324"/>
      <c r="C4896" s="325"/>
      <c r="D4896" s="326"/>
      <c r="E4896" s="326"/>
      <c r="F4896" s="326"/>
      <c r="G4896" s="326"/>
      <c r="H4896" s="326"/>
      <c r="P4896" s="318"/>
      <c r="Q4896" s="318"/>
      <c r="R4896" s="318"/>
      <c r="S4896" s="318"/>
      <c r="T4896" s="318"/>
      <c r="U4896" s="318"/>
      <c r="V4896" s="318"/>
      <c r="W4896" s="318"/>
      <c r="X4896" s="318"/>
      <c r="Y4896" s="318"/>
      <c r="Z4896" s="318"/>
      <c r="AA4896" s="318"/>
      <c r="AB4896" s="318"/>
      <c r="AC4896" s="318"/>
      <c r="AD4896" s="318"/>
    </row>
    <row r="4897" spans="2:30" s="323" customFormat="1" ht="12" customHeight="1">
      <c r="B4897" s="324"/>
      <c r="C4897" s="325"/>
      <c r="D4897" s="326"/>
      <c r="E4897" s="326"/>
      <c r="F4897" s="326"/>
      <c r="G4897" s="326"/>
      <c r="H4897" s="326"/>
      <c r="P4897" s="318"/>
      <c r="Q4897" s="318"/>
      <c r="R4897" s="318"/>
      <c r="S4897" s="318"/>
      <c r="T4897" s="318"/>
      <c r="U4897" s="318"/>
      <c r="V4897" s="318"/>
      <c r="W4897" s="318"/>
      <c r="X4897" s="318"/>
      <c r="Y4897" s="318"/>
      <c r="Z4897" s="318"/>
      <c r="AA4897" s="318"/>
      <c r="AB4897" s="318"/>
      <c r="AC4897" s="318"/>
      <c r="AD4897" s="318"/>
    </row>
    <row r="4898" spans="2:30" s="323" customFormat="1" ht="12" customHeight="1">
      <c r="B4898" s="324"/>
      <c r="C4898" s="325"/>
      <c r="D4898" s="326"/>
      <c r="E4898" s="326"/>
      <c r="F4898" s="326"/>
      <c r="G4898" s="326"/>
      <c r="H4898" s="326"/>
      <c r="P4898" s="318"/>
      <c r="Q4898" s="318"/>
      <c r="R4898" s="318"/>
      <c r="S4898" s="318"/>
      <c r="T4898" s="318"/>
      <c r="U4898" s="318"/>
      <c r="V4898" s="318"/>
      <c r="W4898" s="318"/>
      <c r="X4898" s="318"/>
      <c r="Y4898" s="318"/>
      <c r="Z4898" s="318"/>
      <c r="AA4898" s="318"/>
      <c r="AB4898" s="318"/>
      <c r="AC4898" s="318"/>
      <c r="AD4898" s="318"/>
    </row>
    <row r="4899" spans="2:30" s="323" customFormat="1" ht="12" customHeight="1">
      <c r="B4899" s="324"/>
      <c r="C4899" s="325"/>
      <c r="D4899" s="326"/>
      <c r="E4899" s="326"/>
      <c r="F4899" s="326"/>
      <c r="G4899" s="326"/>
      <c r="H4899" s="326"/>
      <c r="P4899" s="318"/>
      <c r="Q4899" s="318"/>
      <c r="R4899" s="318"/>
      <c r="S4899" s="318"/>
      <c r="T4899" s="318"/>
      <c r="U4899" s="318"/>
      <c r="V4899" s="318"/>
      <c r="W4899" s="318"/>
      <c r="X4899" s="318"/>
      <c r="Y4899" s="318"/>
      <c r="Z4899" s="318"/>
      <c r="AA4899" s="318"/>
      <c r="AB4899" s="318"/>
      <c r="AC4899" s="318"/>
      <c r="AD4899" s="318"/>
    </row>
    <row r="4900" spans="2:30" s="323" customFormat="1" ht="12" customHeight="1">
      <c r="B4900" s="324"/>
      <c r="C4900" s="325"/>
      <c r="D4900" s="326"/>
      <c r="E4900" s="326"/>
      <c r="F4900" s="326"/>
      <c r="G4900" s="326"/>
      <c r="H4900" s="326"/>
      <c r="P4900" s="318"/>
      <c r="Q4900" s="318"/>
      <c r="R4900" s="318"/>
      <c r="S4900" s="318"/>
      <c r="T4900" s="318"/>
      <c r="U4900" s="318"/>
      <c r="V4900" s="318"/>
      <c r="W4900" s="318"/>
      <c r="X4900" s="318"/>
      <c r="Y4900" s="318"/>
      <c r="Z4900" s="318"/>
      <c r="AA4900" s="318"/>
      <c r="AB4900" s="318"/>
      <c r="AC4900" s="318"/>
      <c r="AD4900" s="318"/>
    </row>
    <row r="4901" spans="2:30" s="323" customFormat="1" ht="12" customHeight="1">
      <c r="B4901" s="324"/>
      <c r="C4901" s="325"/>
      <c r="D4901" s="326"/>
      <c r="E4901" s="326"/>
      <c r="F4901" s="326"/>
      <c r="G4901" s="326"/>
      <c r="H4901" s="326"/>
      <c r="P4901" s="318"/>
      <c r="Q4901" s="318"/>
      <c r="R4901" s="318"/>
      <c r="S4901" s="318"/>
      <c r="T4901" s="318"/>
      <c r="U4901" s="318"/>
      <c r="V4901" s="318"/>
      <c r="W4901" s="318"/>
      <c r="X4901" s="318"/>
      <c r="Y4901" s="318"/>
      <c r="Z4901" s="318"/>
      <c r="AA4901" s="318"/>
      <c r="AB4901" s="318"/>
      <c r="AC4901" s="318"/>
      <c r="AD4901" s="318"/>
    </row>
    <row r="4902" spans="2:30" s="323" customFormat="1" ht="12" customHeight="1">
      <c r="B4902" s="324"/>
      <c r="C4902" s="325"/>
      <c r="D4902" s="326"/>
      <c r="E4902" s="326"/>
      <c r="F4902" s="326"/>
      <c r="G4902" s="326"/>
      <c r="H4902" s="326"/>
      <c r="P4902" s="318"/>
      <c r="Q4902" s="318"/>
      <c r="R4902" s="318"/>
      <c r="S4902" s="318"/>
      <c r="T4902" s="318"/>
      <c r="U4902" s="318"/>
      <c r="V4902" s="318"/>
      <c r="W4902" s="318"/>
      <c r="X4902" s="318"/>
      <c r="Y4902" s="318"/>
      <c r="Z4902" s="318"/>
      <c r="AA4902" s="318"/>
      <c r="AB4902" s="318"/>
      <c r="AC4902" s="318"/>
      <c r="AD4902" s="318"/>
    </row>
    <row r="4903" spans="2:30" s="323" customFormat="1" ht="12" customHeight="1">
      <c r="B4903" s="324"/>
      <c r="C4903" s="325"/>
      <c r="D4903" s="326"/>
      <c r="E4903" s="326"/>
      <c r="F4903" s="326"/>
      <c r="G4903" s="326"/>
      <c r="H4903" s="326"/>
      <c r="P4903" s="318"/>
      <c r="Q4903" s="318"/>
      <c r="R4903" s="318"/>
      <c r="S4903" s="318"/>
      <c r="T4903" s="318"/>
      <c r="U4903" s="318"/>
      <c r="V4903" s="318"/>
      <c r="W4903" s="318"/>
      <c r="X4903" s="318"/>
      <c r="Y4903" s="318"/>
      <c r="Z4903" s="318"/>
      <c r="AA4903" s="318"/>
      <c r="AB4903" s="318"/>
      <c r="AC4903" s="318"/>
      <c r="AD4903" s="318"/>
    </row>
    <row r="4904" spans="2:30" s="323" customFormat="1" ht="12" customHeight="1">
      <c r="B4904" s="324"/>
      <c r="C4904" s="325"/>
      <c r="D4904" s="326"/>
      <c r="E4904" s="326"/>
      <c r="F4904" s="326"/>
      <c r="G4904" s="326"/>
      <c r="H4904" s="326"/>
      <c r="P4904" s="318"/>
      <c r="Q4904" s="318"/>
      <c r="R4904" s="318"/>
      <c r="S4904" s="318"/>
      <c r="T4904" s="318"/>
      <c r="U4904" s="318"/>
      <c r="V4904" s="318"/>
      <c r="W4904" s="318"/>
      <c r="X4904" s="318"/>
      <c r="Y4904" s="318"/>
      <c r="Z4904" s="318"/>
      <c r="AA4904" s="318"/>
      <c r="AB4904" s="318"/>
      <c r="AC4904" s="318"/>
      <c r="AD4904" s="318"/>
    </row>
    <row r="4905" spans="2:30" s="323" customFormat="1" ht="12" customHeight="1">
      <c r="B4905" s="324"/>
      <c r="C4905" s="325"/>
      <c r="D4905" s="326"/>
      <c r="E4905" s="326"/>
      <c r="F4905" s="326"/>
      <c r="G4905" s="326"/>
      <c r="H4905" s="326"/>
      <c r="P4905" s="318"/>
      <c r="Q4905" s="318"/>
      <c r="R4905" s="318"/>
      <c r="S4905" s="318"/>
      <c r="T4905" s="318"/>
      <c r="U4905" s="318"/>
      <c r="V4905" s="318"/>
      <c r="W4905" s="318"/>
      <c r="X4905" s="318"/>
      <c r="Y4905" s="318"/>
      <c r="Z4905" s="318"/>
      <c r="AA4905" s="318"/>
      <c r="AB4905" s="318"/>
      <c r="AC4905" s="318"/>
      <c r="AD4905" s="318"/>
    </row>
    <row r="4906" spans="2:30" s="323" customFormat="1" ht="12" customHeight="1">
      <c r="B4906" s="324"/>
      <c r="C4906" s="325"/>
      <c r="D4906" s="326"/>
      <c r="E4906" s="326"/>
      <c r="F4906" s="326"/>
      <c r="G4906" s="326"/>
      <c r="H4906" s="326"/>
      <c r="P4906" s="318"/>
      <c r="Q4906" s="318"/>
      <c r="R4906" s="318"/>
      <c r="S4906" s="318"/>
      <c r="T4906" s="318"/>
      <c r="U4906" s="318"/>
      <c r="V4906" s="318"/>
      <c r="W4906" s="318"/>
      <c r="X4906" s="318"/>
      <c r="Y4906" s="318"/>
      <c r="Z4906" s="318"/>
      <c r="AA4906" s="318"/>
      <c r="AB4906" s="318"/>
      <c r="AC4906" s="318"/>
      <c r="AD4906" s="318"/>
    </row>
    <row r="4907" spans="2:30" s="323" customFormat="1" ht="12" customHeight="1">
      <c r="B4907" s="324"/>
      <c r="C4907" s="325"/>
      <c r="D4907" s="326"/>
      <c r="E4907" s="326"/>
      <c r="F4907" s="326"/>
      <c r="G4907" s="326"/>
      <c r="H4907" s="326"/>
      <c r="P4907" s="318"/>
      <c r="Q4907" s="318"/>
      <c r="R4907" s="318"/>
      <c r="S4907" s="318"/>
      <c r="T4907" s="318"/>
      <c r="U4907" s="318"/>
      <c r="V4907" s="318"/>
      <c r="W4907" s="318"/>
      <c r="X4907" s="318"/>
      <c r="Y4907" s="318"/>
      <c r="Z4907" s="318"/>
      <c r="AA4907" s="318"/>
      <c r="AB4907" s="318"/>
      <c r="AC4907" s="318"/>
      <c r="AD4907" s="318"/>
    </row>
    <row r="4908" spans="2:30" s="323" customFormat="1" ht="12" customHeight="1">
      <c r="B4908" s="324"/>
      <c r="C4908" s="325"/>
      <c r="D4908" s="326"/>
      <c r="E4908" s="326"/>
      <c r="F4908" s="326"/>
      <c r="G4908" s="326"/>
      <c r="H4908" s="326"/>
      <c r="P4908" s="318"/>
      <c r="Q4908" s="318"/>
      <c r="R4908" s="318"/>
      <c r="S4908" s="318"/>
      <c r="T4908" s="318"/>
      <c r="U4908" s="318"/>
      <c r="V4908" s="318"/>
      <c r="W4908" s="318"/>
      <c r="X4908" s="318"/>
      <c r="Y4908" s="318"/>
      <c r="Z4908" s="318"/>
      <c r="AA4908" s="318"/>
      <c r="AB4908" s="318"/>
      <c r="AC4908" s="318"/>
      <c r="AD4908" s="318"/>
    </row>
    <row r="4909" spans="2:30" s="323" customFormat="1" ht="12" customHeight="1">
      <c r="B4909" s="324"/>
      <c r="C4909" s="325"/>
      <c r="D4909" s="326"/>
      <c r="E4909" s="326"/>
      <c r="F4909" s="326"/>
      <c r="G4909" s="326"/>
      <c r="H4909" s="326"/>
      <c r="P4909" s="318"/>
      <c r="Q4909" s="318"/>
      <c r="R4909" s="318"/>
      <c r="S4909" s="318"/>
      <c r="T4909" s="318"/>
      <c r="U4909" s="318"/>
      <c r="V4909" s="318"/>
      <c r="W4909" s="318"/>
      <c r="X4909" s="318"/>
      <c r="Y4909" s="318"/>
      <c r="Z4909" s="318"/>
      <c r="AA4909" s="318"/>
      <c r="AB4909" s="318"/>
      <c r="AC4909" s="318"/>
      <c r="AD4909" s="318"/>
    </row>
    <row r="4910" spans="2:30" s="323" customFormat="1" ht="12" customHeight="1">
      <c r="B4910" s="324"/>
      <c r="C4910" s="325"/>
      <c r="D4910" s="326"/>
      <c r="E4910" s="326"/>
      <c r="F4910" s="326"/>
      <c r="G4910" s="326"/>
      <c r="H4910" s="326"/>
      <c r="P4910" s="318"/>
      <c r="Q4910" s="318"/>
      <c r="R4910" s="318"/>
      <c r="S4910" s="318"/>
      <c r="T4910" s="318"/>
      <c r="U4910" s="318"/>
      <c r="V4910" s="318"/>
      <c r="W4910" s="318"/>
      <c r="X4910" s="318"/>
      <c r="Y4910" s="318"/>
      <c r="Z4910" s="318"/>
      <c r="AA4910" s="318"/>
      <c r="AB4910" s="318"/>
      <c r="AC4910" s="318"/>
      <c r="AD4910" s="318"/>
    </row>
    <row r="4911" spans="2:30" s="323" customFormat="1" ht="12" customHeight="1">
      <c r="B4911" s="324"/>
      <c r="C4911" s="325"/>
      <c r="D4911" s="326"/>
      <c r="E4911" s="326"/>
      <c r="F4911" s="326"/>
      <c r="G4911" s="326"/>
      <c r="H4911" s="326"/>
      <c r="P4911" s="318"/>
      <c r="Q4911" s="318"/>
      <c r="R4911" s="318"/>
      <c r="S4911" s="318"/>
      <c r="T4911" s="318"/>
      <c r="U4911" s="318"/>
      <c r="V4911" s="318"/>
      <c r="W4911" s="318"/>
      <c r="X4911" s="318"/>
      <c r="Y4911" s="318"/>
      <c r="Z4911" s="318"/>
      <c r="AA4911" s="318"/>
      <c r="AB4911" s="318"/>
      <c r="AC4911" s="318"/>
      <c r="AD4911" s="318"/>
    </row>
    <row r="4912" spans="2:30" s="323" customFormat="1" ht="12" customHeight="1">
      <c r="B4912" s="324"/>
      <c r="C4912" s="325"/>
      <c r="D4912" s="326"/>
      <c r="E4912" s="326"/>
      <c r="F4912" s="326"/>
      <c r="G4912" s="326"/>
      <c r="H4912" s="326"/>
      <c r="P4912" s="318"/>
      <c r="Q4912" s="318"/>
      <c r="R4912" s="318"/>
      <c r="S4912" s="318"/>
      <c r="T4912" s="318"/>
      <c r="U4912" s="318"/>
      <c r="V4912" s="318"/>
      <c r="W4912" s="318"/>
      <c r="X4912" s="318"/>
      <c r="Y4912" s="318"/>
      <c r="Z4912" s="318"/>
      <c r="AA4912" s="318"/>
      <c r="AB4912" s="318"/>
      <c r="AC4912" s="318"/>
      <c r="AD4912" s="318"/>
    </row>
    <row r="4913" spans="2:30" s="323" customFormat="1" ht="12" customHeight="1">
      <c r="B4913" s="324"/>
      <c r="C4913" s="325"/>
      <c r="D4913" s="326"/>
      <c r="E4913" s="326"/>
      <c r="F4913" s="326"/>
      <c r="G4913" s="326"/>
      <c r="H4913" s="326"/>
      <c r="P4913" s="318"/>
      <c r="Q4913" s="318"/>
      <c r="R4913" s="318"/>
      <c r="S4913" s="318"/>
      <c r="T4913" s="318"/>
      <c r="U4913" s="318"/>
      <c r="V4913" s="318"/>
      <c r="W4913" s="318"/>
      <c r="X4913" s="318"/>
      <c r="Y4913" s="318"/>
      <c r="Z4913" s="318"/>
      <c r="AA4913" s="318"/>
      <c r="AB4913" s="318"/>
      <c r="AC4913" s="318"/>
      <c r="AD4913" s="318"/>
    </row>
    <row r="4914" spans="2:30" s="323" customFormat="1" ht="12" customHeight="1">
      <c r="B4914" s="324"/>
      <c r="C4914" s="325"/>
      <c r="D4914" s="326"/>
      <c r="E4914" s="326"/>
      <c r="F4914" s="326"/>
      <c r="G4914" s="326"/>
      <c r="H4914" s="326"/>
      <c r="P4914" s="318"/>
      <c r="Q4914" s="318"/>
      <c r="R4914" s="318"/>
      <c r="S4914" s="318"/>
      <c r="T4914" s="318"/>
      <c r="U4914" s="318"/>
      <c r="V4914" s="318"/>
      <c r="W4914" s="318"/>
      <c r="X4914" s="318"/>
      <c r="Y4914" s="318"/>
      <c r="Z4914" s="318"/>
      <c r="AA4914" s="318"/>
      <c r="AB4914" s="318"/>
      <c r="AC4914" s="318"/>
      <c r="AD4914" s="318"/>
    </row>
    <row r="4915" spans="2:30" s="323" customFormat="1" ht="12" customHeight="1">
      <c r="B4915" s="324"/>
      <c r="C4915" s="325"/>
      <c r="D4915" s="326"/>
      <c r="E4915" s="326"/>
      <c r="F4915" s="326"/>
      <c r="G4915" s="326"/>
      <c r="H4915" s="326"/>
      <c r="P4915" s="318"/>
      <c r="Q4915" s="318"/>
      <c r="R4915" s="318"/>
      <c r="S4915" s="318"/>
      <c r="T4915" s="318"/>
      <c r="U4915" s="318"/>
      <c r="V4915" s="318"/>
      <c r="W4915" s="318"/>
      <c r="X4915" s="318"/>
      <c r="Y4915" s="318"/>
      <c r="Z4915" s="318"/>
      <c r="AA4915" s="318"/>
      <c r="AB4915" s="318"/>
      <c r="AC4915" s="318"/>
      <c r="AD4915" s="318"/>
    </row>
    <row r="4916" spans="2:30" s="323" customFormat="1" ht="12" customHeight="1">
      <c r="B4916" s="324"/>
      <c r="C4916" s="325"/>
      <c r="D4916" s="326"/>
      <c r="E4916" s="326"/>
      <c r="F4916" s="326"/>
      <c r="G4916" s="326"/>
      <c r="H4916" s="326"/>
      <c r="P4916" s="318"/>
      <c r="Q4916" s="318"/>
      <c r="R4916" s="318"/>
      <c r="S4916" s="318"/>
      <c r="T4916" s="318"/>
      <c r="U4916" s="318"/>
      <c r="V4916" s="318"/>
      <c r="W4916" s="318"/>
      <c r="X4916" s="318"/>
      <c r="Y4916" s="318"/>
      <c r="Z4916" s="318"/>
      <c r="AA4916" s="318"/>
      <c r="AB4916" s="318"/>
      <c r="AC4916" s="318"/>
      <c r="AD4916" s="318"/>
    </row>
    <row r="4917" spans="2:30" s="323" customFormat="1" ht="12" customHeight="1">
      <c r="B4917" s="324"/>
      <c r="C4917" s="325"/>
      <c r="D4917" s="326"/>
      <c r="E4917" s="326"/>
      <c r="F4917" s="326"/>
      <c r="G4917" s="326"/>
      <c r="H4917" s="326"/>
      <c r="P4917" s="318"/>
      <c r="Q4917" s="318"/>
      <c r="R4917" s="318"/>
      <c r="S4917" s="318"/>
      <c r="T4917" s="318"/>
      <c r="U4917" s="318"/>
      <c r="V4917" s="318"/>
      <c r="W4917" s="318"/>
      <c r="X4917" s="318"/>
      <c r="Y4917" s="318"/>
      <c r="Z4917" s="318"/>
      <c r="AA4917" s="318"/>
      <c r="AB4917" s="318"/>
      <c r="AC4917" s="318"/>
      <c r="AD4917" s="318"/>
    </row>
    <row r="4918" spans="2:30" s="323" customFormat="1" ht="12" customHeight="1">
      <c r="B4918" s="324"/>
      <c r="C4918" s="325"/>
      <c r="D4918" s="326"/>
      <c r="E4918" s="326"/>
      <c r="F4918" s="326"/>
      <c r="G4918" s="326"/>
      <c r="H4918" s="326"/>
      <c r="P4918" s="318"/>
      <c r="Q4918" s="318"/>
      <c r="R4918" s="318"/>
      <c r="S4918" s="318"/>
      <c r="T4918" s="318"/>
      <c r="U4918" s="318"/>
      <c r="V4918" s="318"/>
      <c r="W4918" s="318"/>
      <c r="X4918" s="318"/>
      <c r="Y4918" s="318"/>
      <c r="Z4918" s="318"/>
      <c r="AA4918" s="318"/>
      <c r="AB4918" s="318"/>
      <c r="AC4918" s="318"/>
      <c r="AD4918" s="318"/>
    </row>
    <row r="4919" spans="2:30" s="323" customFormat="1" ht="12" customHeight="1">
      <c r="B4919" s="324"/>
      <c r="C4919" s="325"/>
      <c r="D4919" s="326"/>
      <c r="E4919" s="326"/>
      <c r="F4919" s="326"/>
      <c r="G4919" s="326"/>
      <c r="H4919" s="326"/>
      <c r="P4919" s="318"/>
      <c r="Q4919" s="318"/>
      <c r="R4919" s="318"/>
      <c r="S4919" s="318"/>
      <c r="T4919" s="318"/>
      <c r="U4919" s="318"/>
      <c r="V4919" s="318"/>
      <c r="W4919" s="318"/>
      <c r="X4919" s="318"/>
      <c r="Y4919" s="318"/>
      <c r="Z4919" s="318"/>
      <c r="AA4919" s="318"/>
      <c r="AB4919" s="318"/>
      <c r="AC4919" s="318"/>
      <c r="AD4919" s="318"/>
    </row>
    <row r="4920" spans="2:30" s="323" customFormat="1" ht="12" customHeight="1">
      <c r="B4920" s="324"/>
      <c r="C4920" s="325"/>
      <c r="D4920" s="326"/>
      <c r="E4920" s="326"/>
      <c r="F4920" s="326"/>
      <c r="G4920" s="326"/>
      <c r="H4920" s="326"/>
      <c r="P4920" s="318"/>
      <c r="Q4920" s="318"/>
      <c r="R4920" s="318"/>
      <c r="S4920" s="318"/>
      <c r="T4920" s="318"/>
      <c r="U4920" s="318"/>
      <c r="V4920" s="318"/>
      <c r="W4920" s="318"/>
      <c r="X4920" s="318"/>
      <c r="Y4920" s="318"/>
      <c r="Z4920" s="318"/>
      <c r="AA4920" s="318"/>
      <c r="AB4920" s="318"/>
      <c r="AC4920" s="318"/>
      <c r="AD4920" s="318"/>
    </row>
    <row r="4921" spans="2:30" s="323" customFormat="1" ht="12" customHeight="1">
      <c r="B4921" s="324"/>
      <c r="C4921" s="325"/>
      <c r="D4921" s="326"/>
      <c r="E4921" s="326"/>
      <c r="F4921" s="326"/>
      <c r="G4921" s="326"/>
      <c r="H4921" s="326"/>
      <c r="P4921" s="318"/>
      <c r="Q4921" s="318"/>
      <c r="R4921" s="318"/>
      <c r="S4921" s="318"/>
      <c r="T4921" s="318"/>
      <c r="U4921" s="318"/>
      <c r="V4921" s="318"/>
      <c r="W4921" s="318"/>
      <c r="X4921" s="318"/>
      <c r="Y4921" s="318"/>
      <c r="Z4921" s="318"/>
      <c r="AA4921" s="318"/>
      <c r="AB4921" s="318"/>
      <c r="AC4921" s="318"/>
      <c r="AD4921" s="318"/>
    </row>
    <row r="4922" spans="2:30" s="323" customFormat="1" ht="12" customHeight="1">
      <c r="B4922" s="324"/>
      <c r="C4922" s="325"/>
      <c r="D4922" s="326"/>
      <c r="E4922" s="326"/>
      <c r="F4922" s="326"/>
      <c r="G4922" s="326"/>
      <c r="H4922" s="326"/>
      <c r="P4922" s="318"/>
      <c r="Q4922" s="318"/>
      <c r="R4922" s="318"/>
      <c r="S4922" s="318"/>
      <c r="T4922" s="318"/>
      <c r="U4922" s="318"/>
      <c r="V4922" s="318"/>
      <c r="W4922" s="318"/>
      <c r="X4922" s="318"/>
      <c r="Y4922" s="318"/>
      <c r="Z4922" s="318"/>
      <c r="AA4922" s="318"/>
      <c r="AB4922" s="318"/>
      <c r="AC4922" s="318"/>
      <c r="AD4922" s="318"/>
    </row>
    <row r="4923" spans="2:30" s="323" customFormat="1" ht="12" customHeight="1">
      <c r="B4923" s="324"/>
      <c r="C4923" s="325"/>
      <c r="D4923" s="326"/>
      <c r="E4923" s="326"/>
      <c r="F4923" s="326"/>
      <c r="G4923" s="326"/>
      <c r="H4923" s="326"/>
      <c r="P4923" s="318"/>
      <c r="Q4923" s="318"/>
      <c r="R4923" s="318"/>
      <c r="S4923" s="318"/>
      <c r="T4923" s="318"/>
      <c r="U4923" s="318"/>
      <c r="V4923" s="318"/>
      <c r="W4923" s="318"/>
      <c r="X4923" s="318"/>
      <c r="Y4923" s="318"/>
      <c r="Z4923" s="318"/>
      <c r="AA4923" s="318"/>
      <c r="AB4923" s="318"/>
      <c r="AC4923" s="318"/>
      <c r="AD4923" s="318"/>
    </row>
    <row r="4924" spans="2:30" s="323" customFormat="1" ht="12" customHeight="1">
      <c r="B4924" s="324"/>
      <c r="C4924" s="325"/>
      <c r="D4924" s="326"/>
      <c r="E4924" s="326"/>
      <c r="F4924" s="326"/>
      <c r="G4924" s="326"/>
      <c r="H4924" s="326"/>
      <c r="P4924" s="318"/>
      <c r="Q4924" s="318"/>
      <c r="R4924" s="318"/>
      <c r="S4924" s="318"/>
      <c r="T4924" s="318"/>
      <c r="U4924" s="318"/>
      <c r="V4924" s="318"/>
      <c r="W4924" s="318"/>
      <c r="X4924" s="318"/>
      <c r="Y4924" s="318"/>
      <c r="Z4924" s="318"/>
      <c r="AA4924" s="318"/>
      <c r="AB4924" s="318"/>
      <c r="AC4924" s="318"/>
      <c r="AD4924" s="318"/>
    </row>
    <row r="4925" spans="2:30" s="323" customFormat="1" ht="12" customHeight="1">
      <c r="B4925" s="324"/>
      <c r="C4925" s="325"/>
      <c r="D4925" s="326"/>
      <c r="E4925" s="326"/>
      <c r="F4925" s="326"/>
      <c r="G4925" s="326"/>
      <c r="H4925" s="326"/>
      <c r="P4925" s="318"/>
      <c r="Q4925" s="318"/>
      <c r="R4925" s="318"/>
      <c r="S4925" s="318"/>
      <c r="T4925" s="318"/>
      <c r="U4925" s="318"/>
      <c r="V4925" s="318"/>
      <c r="W4925" s="318"/>
      <c r="X4925" s="318"/>
      <c r="Y4925" s="318"/>
      <c r="Z4925" s="318"/>
      <c r="AA4925" s="318"/>
      <c r="AB4925" s="318"/>
      <c r="AC4925" s="318"/>
      <c r="AD4925" s="318"/>
    </row>
    <row r="4926" spans="2:30" s="323" customFormat="1" ht="12" customHeight="1">
      <c r="B4926" s="324"/>
      <c r="C4926" s="325"/>
      <c r="D4926" s="326"/>
      <c r="E4926" s="326"/>
      <c r="F4926" s="326"/>
      <c r="G4926" s="326"/>
      <c r="H4926" s="326"/>
      <c r="P4926" s="318"/>
      <c r="Q4926" s="318"/>
      <c r="R4926" s="318"/>
      <c r="S4926" s="318"/>
      <c r="T4926" s="318"/>
      <c r="U4926" s="318"/>
      <c r="V4926" s="318"/>
      <c r="W4926" s="318"/>
      <c r="X4926" s="318"/>
      <c r="Y4926" s="318"/>
      <c r="Z4926" s="318"/>
      <c r="AA4926" s="318"/>
      <c r="AB4926" s="318"/>
      <c r="AC4926" s="318"/>
      <c r="AD4926" s="318"/>
    </row>
    <row r="4927" spans="2:30" s="323" customFormat="1" ht="12" customHeight="1">
      <c r="B4927" s="324"/>
      <c r="C4927" s="325"/>
      <c r="D4927" s="326"/>
      <c r="E4927" s="326"/>
      <c r="F4927" s="326"/>
      <c r="G4927" s="326"/>
      <c r="H4927" s="326"/>
      <c r="P4927" s="318"/>
      <c r="Q4927" s="318"/>
      <c r="R4927" s="318"/>
      <c r="S4927" s="318"/>
      <c r="T4927" s="318"/>
      <c r="U4927" s="318"/>
      <c r="V4927" s="318"/>
      <c r="W4927" s="318"/>
      <c r="X4927" s="318"/>
      <c r="Y4927" s="318"/>
      <c r="Z4927" s="318"/>
      <c r="AA4927" s="318"/>
      <c r="AB4927" s="318"/>
      <c r="AC4927" s="318"/>
      <c r="AD4927" s="318"/>
    </row>
    <row r="4928" spans="2:30" s="323" customFormat="1" ht="12" customHeight="1">
      <c r="B4928" s="324"/>
      <c r="C4928" s="325"/>
      <c r="D4928" s="326"/>
      <c r="E4928" s="326"/>
      <c r="F4928" s="326"/>
      <c r="G4928" s="326"/>
      <c r="H4928" s="326"/>
      <c r="P4928" s="318"/>
      <c r="Q4928" s="318"/>
      <c r="R4928" s="318"/>
      <c r="S4928" s="318"/>
      <c r="T4928" s="318"/>
      <c r="U4928" s="318"/>
      <c r="V4928" s="318"/>
      <c r="W4928" s="318"/>
      <c r="X4928" s="318"/>
      <c r="Y4928" s="318"/>
      <c r="Z4928" s="318"/>
      <c r="AA4928" s="318"/>
      <c r="AB4928" s="318"/>
      <c r="AC4928" s="318"/>
      <c r="AD4928" s="318"/>
    </row>
    <row r="4929" spans="2:30" s="323" customFormat="1" ht="12" customHeight="1">
      <c r="B4929" s="324"/>
      <c r="C4929" s="325"/>
      <c r="D4929" s="326"/>
      <c r="E4929" s="326"/>
      <c r="F4929" s="326"/>
      <c r="G4929" s="326"/>
      <c r="H4929" s="326"/>
      <c r="P4929" s="318"/>
      <c r="Q4929" s="318"/>
      <c r="R4929" s="318"/>
      <c r="S4929" s="318"/>
      <c r="T4929" s="318"/>
      <c r="U4929" s="318"/>
      <c r="V4929" s="318"/>
      <c r="W4929" s="318"/>
      <c r="X4929" s="318"/>
      <c r="Y4929" s="318"/>
      <c r="Z4929" s="318"/>
      <c r="AA4929" s="318"/>
      <c r="AB4929" s="318"/>
      <c r="AC4929" s="318"/>
      <c r="AD4929" s="318"/>
    </row>
    <row r="4930" spans="2:30" s="323" customFormat="1" ht="12" customHeight="1">
      <c r="B4930" s="324"/>
      <c r="C4930" s="325"/>
      <c r="D4930" s="326"/>
      <c r="E4930" s="326"/>
      <c r="F4930" s="326"/>
      <c r="G4930" s="326"/>
      <c r="H4930" s="326"/>
      <c r="P4930" s="318"/>
      <c r="Q4930" s="318"/>
      <c r="R4930" s="318"/>
      <c r="S4930" s="318"/>
      <c r="T4930" s="318"/>
      <c r="U4930" s="318"/>
      <c r="V4930" s="318"/>
      <c r="W4930" s="318"/>
      <c r="X4930" s="318"/>
      <c r="Y4930" s="318"/>
      <c r="Z4930" s="318"/>
      <c r="AA4930" s="318"/>
      <c r="AB4930" s="318"/>
      <c r="AC4930" s="318"/>
      <c r="AD4930" s="318"/>
    </row>
    <row r="4931" spans="2:30" s="323" customFormat="1" ht="12" customHeight="1">
      <c r="B4931" s="324"/>
      <c r="C4931" s="325"/>
      <c r="D4931" s="326"/>
      <c r="E4931" s="326"/>
      <c r="F4931" s="326"/>
      <c r="G4931" s="326"/>
      <c r="H4931" s="326"/>
      <c r="P4931" s="318"/>
      <c r="Q4931" s="318"/>
      <c r="R4931" s="318"/>
      <c r="S4931" s="318"/>
      <c r="T4931" s="318"/>
      <c r="U4931" s="318"/>
      <c r="V4931" s="318"/>
      <c r="W4931" s="318"/>
      <c r="X4931" s="318"/>
      <c r="Y4931" s="318"/>
      <c r="Z4931" s="318"/>
      <c r="AA4931" s="318"/>
      <c r="AB4931" s="318"/>
      <c r="AC4931" s="318"/>
      <c r="AD4931" s="318"/>
    </row>
    <row r="4932" spans="2:30" s="323" customFormat="1" ht="12" customHeight="1">
      <c r="B4932" s="324"/>
      <c r="C4932" s="325"/>
      <c r="D4932" s="326"/>
      <c r="E4932" s="326"/>
      <c r="F4932" s="326"/>
      <c r="G4932" s="326"/>
      <c r="H4932" s="326"/>
      <c r="P4932" s="318"/>
      <c r="Q4932" s="318"/>
      <c r="R4932" s="318"/>
      <c r="S4932" s="318"/>
      <c r="T4932" s="318"/>
      <c r="U4932" s="318"/>
      <c r="V4932" s="318"/>
      <c r="W4932" s="318"/>
      <c r="X4932" s="318"/>
      <c r="Y4932" s="318"/>
      <c r="Z4932" s="318"/>
      <c r="AA4932" s="318"/>
      <c r="AB4932" s="318"/>
      <c r="AC4932" s="318"/>
      <c r="AD4932" s="318"/>
    </row>
    <row r="4933" spans="2:30" s="323" customFormat="1" ht="12" customHeight="1">
      <c r="B4933" s="324"/>
      <c r="C4933" s="325"/>
      <c r="D4933" s="326"/>
      <c r="E4933" s="326"/>
      <c r="F4933" s="326"/>
      <c r="G4933" s="326"/>
      <c r="H4933" s="326"/>
      <c r="P4933" s="318"/>
      <c r="Q4933" s="318"/>
      <c r="R4933" s="318"/>
      <c r="S4933" s="318"/>
      <c r="T4933" s="318"/>
      <c r="U4933" s="318"/>
      <c r="V4933" s="318"/>
      <c r="W4933" s="318"/>
      <c r="X4933" s="318"/>
      <c r="Y4933" s="318"/>
      <c r="Z4933" s="318"/>
      <c r="AA4933" s="318"/>
      <c r="AB4933" s="318"/>
      <c r="AC4933" s="318"/>
      <c r="AD4933" s="318"/>
    </row>
    <row r="4934" spans="2:30" s="323" customFormat="1" ht="12" customHeight="1">
      <c r="B4934" s="324"/>
      <c r="C4934" s="325"/>
      <c r="D4934" s="326"/>
      <c r="E4934" s="326"/>
      <c r="F4934" s="326"/>
      <c r="G4934" s="326"/>
      <c r="H4934" s="326"/>
      <c r="P4934" s="318"/>
      <c r="Q4934" s="318"/>
      <c r="R4934" s="318"/>
      <c r="S4934" s="318"/>
      <c r="T4934" s="318"/>
      <c r="U4934" s="318"/>
      <c r="V4934" s="318"/>
      <c r="W4934" s="318"/>
      <c r="X4934" s="318"/>
      <c r="Y4934" s="318"/>
      <c r="Z4934" s="318"/>
      <c r="AA4934" s="318"/>
      <c r="AB4934" s="318"/>
      <c r="AC4934" s="318"/>
      <c r="AD4934" s="318"/>
    </row>
    <row r="4935" spans="2:30" s="323" customFormat="1" ht="12" customHeight="1">
      <c r="B4935" s="324"/>
      <c r="C4935" s="325"/>
      <c r="D4935" s="326"/>
      <c r="E4935" s="326"/>
      <c r="F4935" s="326"/>
      <c r="G4935" s="326"/>
      <c r="H4935" s="326"/>
      <c r="P4935" s="318"/>
      <c r="Q4935" s="318"/>
      <c r="R4935" s="318"/>
      <c r="S4935" s="318"/>
      <c r="T4935" s="318"/>
      <c r="U4935" s="318"/>
      <c r="V4935" s="318"/>
      <c r="W4935" s="318"/>
      <c r="X4935" s="318"/>
      <c r="Y4935" s="318"/>
      <c r="Z4935" s="318"/>
      <c r="AA4935" s="318"/>
      <c r="AB4935" s="318"/>
      <c r="AC4935" s="318"/>
      <c r="AD4935" s="318"/>
    </row>
    <row r="4936" spans="2:30" s="323" customFormat="1" ht="12" customHeight="1">
      <c r="B4936" s="324"/>
      <c r="C4936" s="325"/>
      <c r="D4936" s="326"/>
      <c r="E4936" s="326"/>
      <c r="F4936" s="326"/>
      <c r="G4936" s="326"/>
      <c r="H4936" s="326"/>
      <c r="P4936" s="318"/>
      <c r="Q4936" s="318"/>
      <c r="R4936" s="318"/>
      <c r="S4936" s="318"/>
      <c r="T4936" s="318"/>
      <c r="U4936" s="318"/>
      <c r="V4936" s="318"/>
      <c r="W4936" s="318"/>
      <c r="X4936" s="318"/>
      <c r="Y4936" s="318"/>
      <c r="Z4936" s="318"/>
      <c r="AA4936" s="318"/>
      <c r="AB4936" s="318"/>
      <c r="AC4936" s="318"/>
      <c r="AD4936" s="318"/>
    </row>
    <row r="4937" spans="2:30" s="323" customFormat="1" ht="12" customHeight="1">
      <c r="B4937" s="324"/>
      <c r="C4937" s="325"/>
      <c r="D4937" s="326"/>
      <c r="E4937" s="326"/>
      <c r="F4937" s="326"/>
      <c r="G4937" s="326"/>
      <c r="H4937" s="326"/>
      <c r="P4937" s="318"/>
      <c r="Q4937" s="318"/>
      <c r="R4937" s="318"/>
      <c r="S4937" s="318"/>
      <c r="T4937" s="318"/>
      <c r="U4937" s="318"/>
      <c r="V4937" s="318"/>
      <c r="W4937" s="318"/>
      <c r="X4937" s="318"/>
      <c r="Y4937" s="318"/>
      <c r="Z4937" s="318"/>
      <c r="AA4937" s="318"/>
      <c r="AB4937" s="318"/>
      <c r="AC4937" s="318"/>
      <c r="AD4937" s="318"/>
    </row>
    <row r="4938" spans="2:30" s="323" customFormat="1" ht="12" customHeight="1">
      <c r="B4938" s="324"/>
      <c r="C4938" s="325"/>
      <c r="D4938" s="326"/>
      <c r="E4938" s="326"/>
      <c r="F4938" s="326"/>
      <c r="G4938" s="326"/>
      <c r="H4938" s="326"/>
      <c r="P4938" s="318"/>
      <c r="Q4938" s="318"/>
      <c r="R4938" s="318"/>
      <c r="S4938" s="318"/>
      <c r="T4938" s="318"/>
      <c r="U4938" s="318"/>
      <c r="V4938" s="318"/>
      <c r="W4938" s="318"/>
      <c r="X4938" s="318"/>
      <c r="Y4938" s="318"/>
      <c r="Z4938" s="318"/>
      <c r="AA4938" s="318"/>
      <c r="AB4938" s="318"/>
      <c r="AC4938" s="318"/>
      <c r="AD4938" s="318"/>
    </row>
    <row r="4939" spans="2:30" s="323" customFormat="1" ht="12" customHeight="1">
      <c r="B4939" s="324"/>
      <c r="C4939" s="325"/>
      <c r="D4939" s="326"/>
      <c r="E4939" s="326"/>
      <c r="F4939" s="326"/>
      <c r="G4939" s="326"/>
      <c r="H4939" s="326"/>
      <c r="P4939" s="318"/>
      <c r="Q4939" s="318"/>
      <c r="R4939" s="318"/>
      <c r="S4939" s="318"/>
      <c r="T4939" s="318"/>
      <c r="U4939" s="318"/>
      <c r="V4939" s="318"/>
      <c r="W4939" s="318"/>
      <c r="X4939" s="318"/>
      <c r="Y4939" s="318"/>
      <c r="Z4939" s="318"/>
      <c r="AA4939" s="318"/>
      <c r="AB4939" s="318"/>
      <c r="AC4939" s="318"/>
      <c r="AD4939" s="318"/>
    </row>
    <row r="4940" spans="2:30" s="323" customFormat="1" ht="12" customHeight="1">
      <c r="B4940" s="324"/>
      <c r="C4940" s="325"/>
      <c r="D4940" s="326"/>
      <c r="E4940" s="326"/>
      <c r="F4940" s="326"/>
      <c r="G4940" s="326"/>
      <c r="H4940" s="326"/>
      <c r="P4940" s="318"/>
      <c r="Q4940" s="318"/>
      <c r="R4940" s="318"/>
      <c r="S4940" s="318"/>
      <c r="T4940" s="318"/>
      <c r="U4940" s="318"/>
      <c r="V4940" s="318"/>
      <c r="W4940" s="318"/>
      <c r="X4940" s="318"/>
      <c r="Y4940" s="318"/>
      <c r="Z4940" s="318"/>
      <c r="AA4940" s="318"/>
      <c r="AB4940" s="318"/>
      <c r="AC4940" s="318"/>
      <c r="AD4940" s="318"/>
    </row>
    <row r="4941" spans="2:30" s="323" customFormat="1" ht="12" customHeight="1">
      <c r="B4941" s="324"/>
      <c r="C4941" s="325"/>
      <c r="D4941" s="326"/>
      <c r="E4941" s="326"/>
      <c r="F4941" s="326"/>
      <c r="G4941" s="326"/>
      <c r="H4941" s="326"/>
      <c r="P4941" s="318"/>
      <c r="Q4941" s="318"/>
      <c r="R4941" s="318"/>
      <c r="S4941" s="318"/>
      <c r="T4941" s="318"/>
      <c r="U4941" s="318"/>
      <c r="V4941" s="318"/>
      <c r="W4941" s="318"/>
      <c r="X4941" s="318"/>
      <c r="Y4941" s="318"/>
      <c r="Z4941" s="318"/>
      <c r="AA4941" s="318"/>
      <c r="AB4941" s="318"/>
      <c r="AC4941" s="318"/>
      <c r="AD4941" s="318"/>
    </row>
    <row r="4942" spans="2:30" s="323" customFormat="1" ht="12" customHeight="1">
      <c r="B4942" s="324"/>
      <c r="C4942" s="325"/>
      <c r="D4942" s="326"/>
      <c r="E4942" s="326"/>
      <c r="F4942" s="326"/>
      <c r="G4942" s="326"/>
      <c r="H4942" s="326"/>
      <c r="P4942" s="318"/>
      <c r="Q4942" s="318"/>
      <c r="R4942" s="318"/>
      <c r="S4942" s="318"/>
      <c r="T4942" s="318"/>
      <c r="U4942" s="318"/>
      <c r="V4942" s="318"/>
      <c r="W4942" s="318"/>
      <c r="X4942" s="318"/>
      <c r="Y4942" s="318"/>
      <c r="Z4942" s="318"/>
      <c r="AA4942" s="318"/>
      <c r="AB4942" s="318"/>
      <c r="AC4942" s="318"/>
      <c r="AD4942" s="318"/>
    </row>
    <row r="4943" spans="2:30" s="323" customFormat="1" ht="12" customHeight="1">
      <c r="B4943" s="324"/>
      <c r="C4943" s="325"/>
      <c r="D4943" s="326"/>
      <c r="E4943" s="326"/>
      <c r="F4943" s="326"/>
      <c r="G4943" s="326"/>
      <c r="H4943" s="326"/>
      <c r="P4943" s="318"/>
      <c r="Q4943" s="318"/>
      <c r="R4943" s="318"/>
      <c r="S4943" s="318"/>
      <c r="T4943" s="318"/>
      <c r="U4943" s="318"/>
      <c r="V4943" s="318"/>
      <c r="W4943" s="318"/>
      <c r="X4943" s="318"/>
      <c r="Y4943" s="318"/>
      <c r="Z4943" s="318"/>
      <c r="AA4943" s="318"/>
      <c r="AB4943" s="318"/>
      <c r="AC4943" s="318"/>
      <c r="AD4943" s="318"/>
    </row>
    <row r="4944" spans="2:30" s="323" customFormat="1" ht="12" customHeight="1">
      <c r="B4944" s="324"/>
      <c r="C4944" s="325"/>
      <c r="D4944" s="326"/>
      <c r="E4944" s="326"/>
      <c r="F4944" s="326"/>
      <c r="G4944" s="326"/>
      <c r="H4944" s="326"/>
      <c r="P4944" s="318"/>
      <c r="Q4944" s="318"/>
      <c r="R4944" s="318"/>
      <c r="S4944" s="318"/>
      <c r="T4944" s="318"/>
      <c r="U4944" s="318"/>
      <c r="V4944" s="318"/>
      <c r="W4944" s="318"/>
      <c r="X4944" s="318"/>
      <c r="Y4944" s="318"/>
      <c r="Z4944" s="318"/>
      <c r="AA4944" s="318"/>
      <c r="AB4944" s="318"/>
      <c r="AC4944" s="318"/>
      <c r="AD4944" s="318"/>
    </row>
    <row r="4945" spans="2:30" s="323" customFormat="1" ht="12" customHeight="1">
      <c r="B4945" s="324"/>
      <c r="C4945" s="325"/>
      <c r="D4945" s="326"/>
      <c r="E4945" s="326"/>
      <c r="F4945" s="326"/>
      <c r="G4945" s="326"/>
      <c r="H4945" s="326"/>
      <c r="P4945" s="318"/>
      <c r="Q4945" s="318"/>
      <c r="R4945" s="318"/>
      <c r="S4945" s="318"/>
      <c r="T4945" s="318"/>
      <c r="U4945" s="318"/>
      <c r="V4945" s="318"/>
      <c r="W4945" s="318"/>
      <c r="X4945" s="318"/>
      <c r="Y4945" s="318"/>
      <c r="Z4945" s="318"/>
      <c r="AA4945" s="318"/>
      <c r="AB4945" s="318"/>
      <c r="AC4945" s="318"/>
      <c r="AD4945" s="318"/>
    </row>
    <row r="4946" spans="2:30" s="323" customFormat="1" ht="12" customHeight="1">
      <c r="B4946" s="324"/>
      <c r="C4946" s="325"/>
      <c r="D4946" s="326"/>
      <c r="E4946" s="326"/>
      <c r="F4946" s="326"/>
      <c r="G4946" s="326"/>
      <c r="H4946" s="326"/>
      <c r="P4946" s="318"/>
      <c r="Q4946" s="318"/>
      <c r="R4946" s="318"/>
      <c r="S4946" s="318"/>
      <c r="T4946" s="318"/>
      <c r="U4946" s="318"/>
      <c r="V4946" s="318"/>
      <c r="W4946" s="318"/>
      <c r="X4946" s="318"/>
      <c r="Y4946" s="318"/>
      <c r="Z4946" s="318"/>
      <c r="AA4946" s="318"/>
      <c r="AB4946" s="318"/>
      <c r="AC4946" s="318"/>
      <c r="AD4946" s="318"/>
    </row>
    <row r="4947" spans="2:30" s="323" customFormat="1" ht="12" customHeight="1">
      <c r="B4947" s="324"/>
      <c r="C4947" s="325"/>
      <c r="D4947" s="326"/>
      <c r="E4947" s="326"/>
      <c r="F4947" s="326"/>
      <c r="G4947" s="326"/>
      <c r="H4947" s="326"/>
      <c r="P4947" s="318"/>
      <c r="Q4947" s="318"/>
      <c r="R4947" s="318"/>
      <c r="S4947" s="318"/>
      <c r="T4947" s="318"/>
      <c r="U4947" s="318"/>
      <c r="V4947" s="318"/>
      <c r="W4947" s="318"/>
      <c r="X4947" s="318"/>
      <c r="Y4947" s="318"/>
      <c r="Z4947" s="318"/>
      <c r="AA4947" s="318"/>
      <c r="AB4947" s="318"/>
      <c r="AC4947" s="318"/>
      <c r="AD4947" s="318"/>
    </row>
    <row r="4948" spans="2:30" s="323" customFormat="1" ht="12" customHeight="1">
      <c r="B4948" s="324"/>
      <c r="C4948" s="325"/>
      <c r="D4948" s="326"/>
      <c r="E4948" s="326"/>
      <c r="F4948" s="326"/>
      <c r="G4948" s="326"/>
      <c r="H4948" s="326"/>
      <c r="P4948" s="318"/>
      <c r="Q4948" s="318"/>
      <c r="R4948" s="318"/>
      <c r="S4948" s="318"/>
      <c r="T4948" s="318"/>
      <c r="U4948" s="318"/>
      <c r="V4948" s="318"/>
      <c r="W4948" s="318"/>
      <c r="X4948" s="318"/>
      <c r="Y4948" s="318"/>
      <c r="Z4948" s="318"/>
      <c r="AA4948" s="318"/>
      <c r="AB4948" s="318"/>
      <c r="AC4948" s="318"/>
      <c r="AD4948" s="318"/>
    </row>
    <row r="4949" spans="2:30" s="323" customFormat="1" ht="12" customHeight="1">
      <c r="B4949" s="324"/>
      <c r="C4949" s="325"/>
      <c r="D4949" s="326"/>
      <c r="E4949" s="326"/>
      <c r="F4949" s="326"/>
      <c r="G4949" s="326"/>
      <c r="H4949" s="326"/>
      <c r="P4949" s="318"/>
      <c r="Q4949" s="318"/>
      <c r="R4949" s="318"/>
      <c r="S4949" s="318"/>
      <c r="T4949" s="318"/>
      <c r="U4949" s="318"/>
      <c r="V4949" s="318"/>
      <c r="W4949" s="318"/>
      <c r="X4949" s="318"/>
      <c r="Y4949" s="318"/>
      <c r="Z4949" s="318"/>
      <c r="AA4949" s="318"/>
      <c r="AB4949" s="318"/>
      <c r="AC4949" s="318"/>
      <c r="AD4949" s="318"/>
    </row>
    <row r="4950" spans="2:30" s="323" customFormat="1" ht="12" customHeight="1">
      <c r="B4950" s="324"/>
      <c r="C4950" s="325"/>
      <c r="D4950" s="326"/>
      <c r="E4950" s="326"/>
      <c r="F4950" s="326"/>
      <c r="G4950" s="326"/>
      <c r="H4950" s="326"/>
      <c r="P4950" s="318"/>
      <c r="Q4950" s="318"/>
      <c r="R4950" s="318"/>
      <c r="S4950" s="318"/>
      <c r="T4950" s="318"/>
      <c r="U4950" s="318"/>
      <c r="V4950" s="318"/>
      <c r="W4950" s="318"/>
      <c r="X4950" s="318"/>
      <c r="Y4950" s="318"/>
      <c r="Z4950" s="318"/>
      <c r="AA4950" s="318"/>
      <c r="AB4950" s="318"/>
      <c r="AC4950" s="318"/>
      <c r="AD4950" s="318"/>
    </row>
    <row r="4951" spans="2:30" s="323" customFormat="1" ht="12" customHeight="1">
      <c r="B4951" s="324"/>
      <c r="C4951" s="325"/>
      <c r="D4951" s="326"/>
      <c r="E4951" s="326"/>
      <c r="F4951" s="326"/>
      <c r="G4951" s="326"/>
      <c r="H4951" s="326"/>
      <c r="P4951" s="318"/>
      <c r="Q4951" s="318"/>
      <c r="R4951" s="318"/>
      <c r="S4951" s="318"/>
      <c r="T4951" s="318"/>
      <c r="U4951" s="318"/>
      <c r="V4951" s="318"/>
      <c r="W4951" s="318"/>
      <c r="X4951" s="318"/>
      <c r="Y4951" s="318"/>
      <c r="Z4951" s="318"/>
      <c r="AA4951" s="318"/>
      <c r="AB4951" s="318"/>
      <c r="AC4951" s="318"/>
      <c r="AD4951" s="318"/>
    </row>
    <row r="4952" spans="2:30" s="323" customFormat="1" ht="12" customHeight="1">
      <c r="B4952" s="324"/>
      <c r="C4952" s="325"/>
      <c r="D4952" s="326"/>
      <c r="E4952" s="326"/>
      <c r="F4952" s="326"/>
      <c r="G4952" s="326"/>
      <c r="H4952" s="326"/>
      <c r="P4952" s="318"/>
      <c r="Q4952" s="318"/>
      <c r="R4952" s="318"/>
      <c r="S4952" s="318"/>
      <c r="T4952" s="318"/>
      <c r="U4952" s="318"/>
      <c r="V4952" s="318"/>
      <c r="W4952" s="318"/>
      <c r="X4952" s="318"/>
      <c r="Y4952" s="318"/>
      <c r="Z4952" s="318"/>
      <c r="AA4952" s="318"/>
      <c r="AB4952" s="318"/>
      <c r="AC4952" s="318"/>
      <c r="AD4952" s="318"/>
    </row>
    <row r="4953" spans="2:30" s="323" customFormat="1" ht="12" customHeight="1">
      <c r="B4953" s="324"/>
      <c r="C4953" s="325"/>
      <c r="D4953" s="326"/>
      <c r="E4953" s="326"/>
      <c r="F4953" s="326"/>
      <c r="G4953" s="326"/>
      <c r="H4953" s="326"/>
      <c r="P4953" s="318"/>
      <c r="Q4953" s="318"/>
      <c r="R4953" s="318"/>
      <c r="S4953" s="318"/>
      <c r="T4953" s="318"/>
      <c r="U4953" s="318"/>
      <c r="V4953" s="318"/>
      <c r="W4953" s="318"/>
      <c r="X4953" s="318"/>
      <c r="Y4953" s="318"/>
      <c r="Z4953" s="318"/>
      <c r="AA4953" s="318"/>
      <c r="AB4953" s="318"/>
      <c r="AC4953" s="318"/>
      <c r="AD4953" s="318"/>
    </row>
    <row r="4954" spans="2:30" s="323" customFormat="1" ht="12" customHeight="1">
      <c r="B4954" s="324"/>
      <c r="C4954" s="325"/>
      <c r="D4954" s="326"/>
      <c r="E4954" s="326"/>
      <c r="F4954" s="326"/>
      <c r="G4954" s="326"/>
      <c r="H4954" s="326"/>
      <c r="P4954" s="318"/>
      <c r="Q4954" s="318"/>
      <c r="R4954" s="318"/>
      <c r="S4954" s="318"/>
      <c r="T4954" s="318"/>
      <c r="U4954" s="318"/>
      <c r="V4954" s="318"/>
      <c r="W4954" s="318"/>
      <c r="X4954" s="318"/>
      <c r="Y4954" s="318"/>
      <c r="Z4954" s="318"/>
      <c r="AA4954" s="318"/>
      <c r="AB4954" s="318"/>
      <c r="AC4954" s="318"/>
      <c r="AD4954" s="318"/>
    </row>
    <row r="4955" spans="2:30" s="323" customFormat="1" ht="12" customHeight="1">
      <c r="B4955" s="324"/>
      <c r="C4955" s="325"/>
      <c r="D4955" s="326"/>
      <c r="E4955" s="326"/>
      <c r="F4955" s="326"/>
      <c r="G4955" s="326"/>
      <c r="H4955" s="326"/>
      <c r="P4955" s="318"/>
      <c r="Q4955" s="318"/>
      <c r="R4955" s="318"/>
      <c r="S4955" s="318"/>
      <c r="T4955" s="318"/>
      <c r="U4955" s="318"/>
      <c r="V4955" s="318"/>
      <c r="W4955" s="318"/>
      <c r="X4955" s="318"/>
      <c r="Y4955" s="318"/>
      <c r="Z4955" s="318"/>
      <c r="AA4955" s="318"/>
      <c r="AB4955" s="318"/>
      <c r="AC4955" s="318"/>
      <c r="AD4955" s="318"/>
    </row>
    <row r="4956" spans="2:30" s="323" customFormat="1" ht="12" customHeight="1">
      <c r="B4956" s="324"/>
      <c r="C4956" s="325"/>
      <c r="D4956" s="326"/>
      <c r="E4956" s="326"/>
      <c r="F4956" s="326"/>
      <c r="G4956" s="326"/>
      <c r="H4956" s="326"/>
      <c r="P4956" s="318"/>
      <c r="Q4956" s="318"/>
      <c r="R4956" s="318"/>
      <c r="S4956" s="318"/>
      <c r="T4956" s="318"/>
      <c r="U4956" s="318"/>
      <c r="V4956" s="318"/>
      <c r="W4956" s="318"/>
      <c r="X4956" s="318"/>
      <c r="Y4956" s="318"/>
      <c r="Z4956" s="318"/>
      <c r="AA4956" s="318"/>
      <c r="AB4956" s="318"/>
      <c r="AC4956" s="318"/>
      <c r="AD4956" s="318"/>
    </row>
    <row r="4957" spans="2:30" s="323" customFormat="1" ht="12" customHeight="1">
      <c r="B4957" s="324"/>
      <c r="C4957" s="325"/>
      <c r="D4957" s="326"/>
      <c r="E4957" s="326"/>
      <c r="F4957" s="326"/>
      <c r="G4957" s="326"/>
      <c r="H4957" s="326"/>
      <c r="P4957" s="318"/>
      <c r="Q4957" s="318"/>
      <c r="R4957" s="318"/>
      <c r="S4957" s="318"/>
      <c r="T4957" s="318"/>
      <c r="U4957" s="318"/>
      <c r="V4957" s="318"/>
      <c r="W4957" s="318"/>
      <c r="X4957" s="318"/>
      <c r="Y4957" s="318"/>
      <c r="Z4957" s="318"/>
      <c r="AA4957" s="318"/>
      <c r="AB4957" s="318"/>
      <c r="AC4957" s="318"/>
      <c r="AD4957" s="318"/>
    </row>
    <row r="4958" spans="2:30" s="323" customFormat="1" ht="12" customHeight="1">
      <c r="B4958" s="324"/>
      <c r="C4958" s="325"/>
      <c r="D4958" s="326"/>
      <c r="E4958" s="326"/>
      <c r="F4958" s="326"/>
      <c r="G4958" s="326"/>
      <c r="H4958" s="326"/>
      <c r="P4958" s="318"/>
      <c r="Q4958" s="318"/>
      <c r="R4958" s="318"/>
      <c r="S4958" s="318"/>
      <c r="T4958" s="318"/>
      <c r="U4958" s="318"/>
      <c r="V4958" s="318"/>
      <c r="W4958" s="318"/>
      <c r="X4958" s="318"/>
      <c r="Y4958" s="318"/>
      <c r="Z4958" s="318"/>
      <c r="AA4958" s="318"/>
      <c r="AB4958" s="318"/>
      <c r="AC4958" s="318"/>
      <c r="AD4958" s="318"/>
    </row>
    <row r="4959" spans="2:30" s="323" customFormat="1" ht="12" customHeight="1">
      <c r="B4959" s="324"/>
      <c r="C4959" s="325"/>
      <c r="D4959" s="326"/>
      <c r="E4959" s="326"/>
      <c r="F4959" s="326"/>
      <c r="G4959" s="326"/>
      <c r="H4959" s="326"/>
      <c r="P4959" s="318"/>
      <c r="Q4959" s="318"/>
      <c r="R4959" s="318"/>
      <c r="S4959" s="318"/>
      <c r="T4959" s="318"/>
      <c r="U4959" s="318"/>
      <c r="V4959" s="318"/>
      <c r="W4959" s="318"/>
      <c r="X4959" s="318"/>
      <c r="Y4959" s="318"/>
      <c r="Z4959" s="318"/>
      <c r="AA4959" s="318"/>
      <c r="AB4959" s="318"/>
      <c r="AC4959" s="318"/>
      <c r="AD4959" s="318"/>
    </row>
    <row r="4960" spans="2:30" s="323" customFormat="1" ht="12" customHeight="1">
      <c r="B4960" s="324"/>
      <c r="C4960" s="325"/>
      <c r="D4960" s="326"/>
      <c r="E4960" s="326"/>
      <c r="F4960" s="326"/>
      <c r="G4960" s="326"/>
      <c r="H4960" s="326"/>
      <c r="P4960" s="318"/>
      <c r="Q4960" s="318"/>
      <c r="R4960" s="318"/>
      <c r="S4960" s="318"/>
      <c r="T4960" s="318"/>
      <c r="U4960" s="318"/>
      <c r="V4960" s="318"/>
      <c r="W4960" s="318"/>
      <c r="X4960" s="318"/>
      <c r="Y4960" s="318"/>
      <c r="Z4960" s="318"/>
      <c r="AA4960" s="318"/>
      <c r="AB4960" s="318"/>
      <c r="AC4960" s="318"/>
      <c r="AD4960" s="318"/>
    </row>
    <row r="4961" spans="2:30" s="323" customFormat="1" ht="12" customHeight="1">
      <c r="B4961" s="324"/>
      <c r="C4961" s="325"/>
      <c r="D4961" s="326"/>
      <c r="E4961" s="326"/>
      <c r="F4961" s="326"/>
      <c r="G4961" s="326"/>
      <c r="H4961" s="326"/>
      <c r="P4961" s="318"/>
      <c r="Q4961" s="318"/>
      <c r="R4961" s="318"/>
      <c r="S4961" s="318"/>
      <c r="T4961" s="318"/>
      <c r="U4961" s="318"/>
      <c r="V4961" s="318"/>
      <c r="W4961" s="318"/>
      <c r="X4961" s="318"/>
      <c r="Y4961" s="318"/>
      <c r="Z4961" s="318"/>
      <c r="AA4961" s="318"/>
      <c r="AB4961" s="318"/>
      <c r="AC4961" s="318"/>
      <c r="AD4961" s="318"/>
    </row>
    <row r="4962" spans="2:30" s="323" customFormat="1" ht="12" customHeight="1">
      <c r="B4962" s="324"/>
      <c r="C4962" s="325"/>
      <c r="D4962" s="326"/>
      <c r="E4962" s="326"/>
      <c r="F4962" s="326"/>
      <c r="G4962" s="326"/>
      <c r="H4962" s="326"/>
      <c r="P4962" s="318"/>
      <c r="Q4962" s="318"/>
      <c r="R4962" s="318"/>
      <c r="S4962" s="318"/>
      <c r="T4962" s="318"/>
      <c r="U4962" s="318"/>
      <c r="V4962" s="318"/>
      <c r="W4962" s="318"/>
      <c r="X4962" s="318"/>
      <c r="Y4962" s="318"/>
      <c r="Z4962" s="318"/>
      <c r="AA4962" s="318"/>
      <c r="AB4962" s="318"/>
      <c r="AC4962" s="318"/>
      <c r="AD4962" s="318"/>
    </row>
    <row r="4963" spans="2:30" s="323" customFormat="1" ht="12" customHeight="1">
      <c r="B4963" s="324"/>
      <c r="C4963" s="325"/>
      <c r="D4963" s="326"/>
      <c r="E4963" s="326"/>
      <c r="F4963" s="326"/>
      <c r="G4963" s="326"/>
      <c r="H4963" s="326"/>
      <c r="P4963" s="318"/>
      <c r="Q4963" s="318"/>
      <c r="R4963" s="318"/>
      <c r="S4963" s="318"/>
      <c r="T4963" s="318"/>
      <c r="U4963" s="318"/>
      <c r="V4963" s="318"/>
      <c r="W4963" s="318"/>
      <c r="X4963" s="318"/>
      <c r="Y4963" s="318"/>
      <c r="Z4963" s="318"/>
      <c r="AA4963" s="318"/>
      <c r="AB4963" s="318"/>
      <c r="AC4963" s="318"/>
      <c r="AD4963" s="318"/>
    </row>
    <row r="4964" spans="2:30" s="323" customFormat="1" ht="12" customHeight="1">
      <c r="B4964" s="324"/>
      <c r="C4964" s="325"/>
      <c r="D4964" s="326"/>
      <c r="E4964" s="326"/>
      <c r="F4964" s="326"/>
      <c r="G4964" s="326"/>
      <c r="H4964" s="326"/>
      <c r="P4964" s="318"/>
      <c r="Q4964" s="318"/>
      <c r="R4964" s="318"/>
      <c r="S4964" s="318"/>
      <c r="T4964" s="318"/>
      <c r="U4964" s="318"/>
      <c r="V4964" s="318"/>
      <c r="W4964" s="318"/>
      <c r="X4964" s="318"/>
      <c r="Y4964" s="318"/>
      <c r="Z4964" s="318"/>
      <c r="AA4964" s="318"/>
      <c r="AB4964" s="318"/>
      <c r="AC4964" s="318"/>
      <c r="AD4964" s="318"/>
    </row>
    <row r="4965" spans="2:30" s="323" customFormat="1" ht="12" customHeight="1">
      <c r="B4965" s="324"/>
      <c r="C4965" s="325"/>
      <c r="D4965" s="326"/>
      <c r="E4965" s="326"/>
      <c r="F4965" s="326"/>
      <c r="G4965" s="326"/>
      <c r="H4965" s="326"/>
      <c r="P4965" s="318"/>
      <c r="Q4965" s="318"/>
      <c r="R4965" s="318"/>
      <c r="S4965" s="318"/>
      <c r="T4965" s="318"/>
      <c r="U4965" s="318"/>
      <c r="V4965" s="318"/>
      <c r="W4965" s="318"/>
      <c r="X4965" s="318"/>
      <c r="Y4965" s="318"/>
      <c r="Z4965" s="318"/>
      <c r="AA4965" s="318"/>
      <c r="AB4965" s="318"/>
      <c r="AC4965" s="318"/>
      <c r="AD4965" s="318"/>
    </row>
    <row r="4966" spans="2:30" s="323" customFormat="1" ht="12" customHeight="1">
      <c r="B4966" s="324"/>
      <c r="C4966" s="325"/>
      <c r="D4966" s="326"/>
      <c r="E4966" s="326"/>
      <c r="F4966" s="326"/>
      <c r="G4966" s="326"/>
      <c r="H4966" s="326"/>
      <c r="P4966" s="318"/>
      <c r="Q4966" s="318"/>
      <c r="R4966" s="318"/>
      <c r="S4966" s="318"/>
      <c r="T4966" s="318"/>
      <c r="U4966" s="318"/>
      <c r="V4966" s="318"/>
      <c r="W4966" s="318"/>
      <c r="X4966" s="318"/>
      <c r="Y4966" s="318"/>
      <c r="Z4966" s="318"/>
      <c r="AA4966" s="318"/>
      <c r="AB4966" s="318"/>
      <c r="AC4966" s="318"/>
      <c r="AD4966" s="318"/>
    </row>
    <row r="4967" spans="2:30" s="323" customFormat="1" ht="12" customHeight="1">
      <c r="B4967" s="324"/>
      <c r="C4967" s="325"/>
      <c r="D4967" s="326"/>
      <c r="E4967" s="326"/>
      <c r="F4967" s="326"/>
      <c r="G4967" s="326"/>
      <c r="H4967" s="326"/>
      <c r="P4967" s="318"/>
      <c r="Q4967" s="318"/>
      <c r="R4967" s="318"/>
      <c r="S4967" s="318"/>
      <c r="T4967" s="318"/>
      <c r="U4967" s="318"/>
      <c r="V4967" s="318"/>
      <c r="W4967" s="318"/>
      <c r="X4967" s="318"/>
      <c r="Y4967" s="318"/>
      <c r="Z4967" s="318"/>
      <c r="AA4967" s="318"/>
      <c r="AB4967" s="318"/>
      <c r="AC4967" s="318"/>
      <c r="AD4967" s="318"/>
    </row>
    <row r="4968" spans="2:30" s="323" customFormat="1" ht="12" customHeight="1">
      <c r="B4968" s="324"/>
      <c r="C4968" s="325"/>
      <c r="D4968" s="326"/>
      <c r="E4968" s="326"/>
      <c r="F4968" s="326"/>
      <c r="G4968" s="326"/>
      <c r="H4968" s="326"/>
      <c r="P4968" s="318"/>
      <c r="Q4968" s="318"/>
      <c r="R4968" s="318"/>
      <c r="S4968" s="318"/>
      <c r="T4968" s="318"/>
      <c r="U4968" s="318"/>
      <c r="V4968" s="318"/>
      <c r="W4968" s="318"/>
      <c r="X4968" s="318"/>
      <c r="Y4968" s="318"/>
      <c r="Z4968" s="318"/>
      <c r="AA4968" s="318"/>
      <c r="AB4968" s="318"/>
      <c r="AC4968" s="318"/>
      <c r="AD4968" s="318"/>
    </row>
    <row r="4969" spans="2:30" s="323" customFormat="1" ht="12" customHeight="1">
      <c r="B4969" s="324"/>
      <c r="C4969" s="325"/>
      <c r="D4969" s="326"/>
      <c r="E4969" s="326"/>
      <c r="F4969" s="326"/>
      <c r="G4969" s="326"/>
      <c r="H4969" s="326"/>
      <c r="P4969" s="318"/>
      <c r="Q4969" s="318"/>
      <c r="R4969" s="318"/>
      <c r="S4969" s="318"/>
      <c r="T4969" s="318"/>
      <c r="U4969" s="318"/>
      <c r="V4969" s="318"/>
      <c r="W4969" s="318"/>
      <c r="X4969" s="318"/>
      <c r="Y4969" s="318"/>
      <c r="Z4969" s="318"/>
      <c r="AA4969" s="318"/>
      <c r="AB4969" s="318"/>
      <c r="AC4969" s="318"/>
      <c r="AD4969" s="318"/>
    </row>
    <row r="4970" spans="2:30" s="323" customFormat="1" ht="12" customHeight="1">
      <c r="B4970" s="324"/>
      <c r="C4970" s="325"/>
      <c r="D4970" s="326"/>
      <c r="E4970" s="326"/>
      <c r="F4970" s="326"/>
      <c r="G4970" s="326"/>
      <c r="H4970" s="326"/>
      <c r="P4970" s="318"/>
      <c r="Q4970" s="318"/>
      <c r="R4970" s="318"/>
      <c r="S4970" s="318"/>
      <c r="T4970" s="318"/>
      <c r="U4970" s="318"/>
      <c r="V4970" s="318"/>
      <c r="W4970" s="318"/>
      <c r="X4970" s="318"/>
      <c r="Y4970" s="318"/>
      <c r="Z4970" s="318"/>
      <c r="AA4970" s="318"/>
      <c r="AB4970" s="318"/>
      <c r="AC4970" s="318"/>
      <c r="AD4970" s="318"/>
    </row>
    <row r="4971" spans="2:30" s="323" customFormat="1" ht="12" customHeight="1">
      <c r="B4971" s="324"/>
      <c r="C4971" s="325"/>
      <c r="D4971" s="326"/>
      <c r="E4971" s="326"/>
      <c r="F4971" s="326"/>
      <c r="G4971" s="326"/>
      <c r="H4971" s="326"/>
      <c r="P4971" s="318"/>
      <c r="Q4971" s="318"/>
      <c r="R4971" s="318"/>
      <c r="S4971" s="318"/>
      <c r="T4971" s="318"/>
      <c r="U4971" s="318"/>
      <c r="V4971" s="318"/>
      <c r="W4971" s="318"/>
      <c r="X4971" s="318"/>
      <c r="Y4971" s="318"/>
      <c r="Z4971" s="318"/>
      <c r="AA4971" s="318"/>
      <c r="AB4971" s="318"/>
      <c r="AC4971" s="318"/>
      <c r="AD4971" s="318"/>
    </row>
    <row r="4972" spans="2:30" s="323" customFormat="1" ht="12" customHeight="1">
      <c r="B4972" s="324"/>
      <c r="C4972" s="325"/>
      <c r="D4972" s="326"/>
      <c r="E4972" s="326"/>
      <c r="F4972" s="326"/>
      <c r="G4972" s="326"/>
      <c r="H4972" s="326"/>
      <c r="P4972" s="318"/>
      <c r="Q4972" s="318"/>
      <c r="R4972" s="318"/>
      <c r="S4972" s="318"/>
      <c r="T4972" s="318"/>
      <c r="U4972" s="318"/>
      <c r="V4972" s="318"/>
      <c r="W4972" s="318"/>
      <c r="X4972" s="318"/>
      <c r="Y4972" s="318"/>
      <c r="Z4972" s="318"/>
      <c r="AA4972" s="318"/>
      <c r="AB4972" s="318"/>
      <c r="AC4972" s="318"/>
      <c r="AD4972" s="318"/>
    </row>
    <row r="4973" spans="2:30" s="323" customFormat="1" ht="12" customHeight="1">
      <c r="B4973" s="324"/>
      <c r="C4973" s="325"/>
      <c r="D4973" s="326"/>
      <c r="E4973" s="326"/>
      <c r="F4973" s="326"/>
      <c r="G4973" s="326"/>
      <c r="H4973" s="326"/>
      <c r="P4973" s="318"/>
      <c r="Q4973" s="318"/>
      <c r="R4973" s="318"/>
      <c r="S4973" s="318"/>
      <c r="T4973" s="318"/>
      <c r="U4973" s="318"/>
      <c r="V4973" s="318"/>
      <c r="W4973" s="318"/>
      <c r="X4973" s="318"/>
      <c r="Y4973" s="318"/>
      <c r="Z4973" s="318"/>
      <c r="AA4973" s="318"/>
      <c r="AB4973" s="318"/>
      <c r="AC4973" s="318"/>
      <c r="AD4973" s="318"/>
    </row>
    <row r="4974" spans="2:30" s="323" customFormat="1" ht="12" customHeight="1">
      <c r="B4974" s="324"/>
      <c r="C4974" s="325"/>
      <c r="D4974" s="326"/>
      <c r="E4974" s="326"/>
      <c r="F4974" s="326"/>
      <c r="G4974" s="326"/>
      <c r="H4974" s="326"/>
      <c r="P4974" s="318"/>
      <c r="Q4974" s="318"/>
      <c r="R4974" s="318"/>
      <c r="S4974" s="318"/>
      <c r="T4974" s="318"/>
      <c r="U4974" s="318"/>
      <c r="V4974" s="318"/>
      <c r="W4974" s="318"/>
      <c r="X4974" s="318"/>
      <c r="Y4974" s="318"/>
      <c r="Z4974" s="318"/>
      <c r="AA4974" s="318"/>
      <c r="AB4974" s="318"/>
      <c r="AC4974" s="318"/>
      <c r="AD4974" s="318"/>
    </row>
    <row r="4975" spans="2:30" s="323" customFormat="1" ht="12" customHeight="1">
      <c r="B4975" s="324"/>
      <c r="C4975" s="325"/>
      <c r="D4975" s="326"/>
      <c r="E4975" s="326"/>
      <c r="F4975" s="326"/>
      <c r="G4975" s="326"/>
      <c r="H4975" s="326"/>
      <c r="P4975" s="318"/>
      <c r="Q4975" s="318"/>
      <c r="R4975" s="318"/>
      <c r="S4975" s="318"/>
      <c r="T4975" s="318"/>
      <c r="U4975" s="318"/>
      <c r="V4975" s="318"/>
      <c r="W4975" s="318"/>
      <c r="X4975" s="318"/>
      <c r="Y4975" s="318"/>
      <c r="Z4975" s="318"/>
      <c r="AA4975" s="318"/>
      <c r="AB4975" s="318"/>
      <c r="AC4975" s="318"/>
      <c r="AD4975" s="318"/>
    </row>
    <row r="4976" spans="2:30" s="323" customFormat="1" ht="12" customHeight="1">
      <c r="B4976" s="324"/>
      <c r="C4976" s="325"/>
      <c r="D4976" s="326"/>
      <c r="E4976" s="326"/>
      <c r="F4976" s="326"/>
      <c r="G4976" s="326"/>
      <c r="H4976" s="326"/>
      <c r="P4976" s="318"/>
      <c r="Q4976" s="318"/>
      <c r="R4976" s="318"/>
      <c r="S4976" s="318"/>
      <c r="T4976" s="318"/>
      <c r="U4976" s="318"/>
      <c r="V4976" s="318"/>
      <c r="W4976" s="318"/>
      <c r="X4976" s="318"/>
      <c r="Y4976" s="318"/>
      <c r="Z4976" s="318"/>
      <c r="AA4976" s="318"/>
      <c r="AB4976" s="318"/>
      <c r="AC4976" s="318"/>
      <c r="AD4976" s="318"/>
    </row>
    <row r="4977" spans="2:30" s="323" customFormat="1" ht="12" customHeight="1">
      <c r="B4977" s="324"/>
      <c r="C4977" s="325"/>
      <c r="D4977" s="326"/>
      <c r="E4977" s="326"/>
      <c r="F4977" s="326"/>
      <c r="G4977" s="326"/>
      <c r="H4977" s="326"/>
      <c r="P4977" s="318"/>
      <c r="Q4977" s="318"/>
      <c r="R4977" s="318"/>
      <c r="S4977" s="318"/>
      <c r="T4977" s="318"/>
      <c r="U4977" s="318"/>
      <c r="V4977" s="318"/>
      <c r="W4977" s="318"/>
      <c r="X4977" s="318"/>
      <c r="Y4977" s="318"/>
      <c r="Z4977" s="318"/>
      <c r="AA4977" s="318"/>
      <c r="AB4977" s="318"/>
      <c r="AC4977" s="318"/>
      <c r="AD4977" s="318"/>
    </row>
    <row r="4978" spans="2:30" s="323" customFormat="1" ht="12" customHeight="1">
      <c r="B4978" s="324"/>
      <c r="C4978" s="325"/>
      <c r="D4978" s="326"/>
      <c r="E4978" s="326"/>
      <c r="F4978" s="326"/>
      <c r="G4978" s="326"/>
      <c r="H4978" s="326"/>
      <c r="P4978" s="318"/>
      <c r="Q4978" s="318"/>
      <c r="R4978" s="318"/>
      <c r="S4978" s="318"/>
      <c r="T4978" s="318"/>
      <c r="U4978" s="318"/>
      <c r="V4978" s="318"/>
      <c r="W4978" s="318"/>
      <c r="X4978" s="318"/>
      <c r="Y4978" s="318"/>
      <c r="Z4978" s="318"/>
      <c r="AA4978" s="318"/>
      <c r="AB4978" s="318"/>
      <c r="AC4978" s="318"/>
      <c r="AD4978" s="318"/>
    </row>
    <row r="4979" spans="2:30" s="323" customFormat="1" ht="12" customHeight="1">
      <c r="B4979" s="324"/>
      <c r="C4979" s="325"/>
      <c r="D4979" s="326"/>
      <c r="E4979" s="326"/>
      <c r="F4979" s="326"/>
      <c r="G4979" s="326"/>
      <c r="H4979" s="326"/>
      <c r="P4979" s="318"/>
      <c r="Q4979" s="318"/>
      <c r="R4979" s="318"/>
      <c r="S4979" s="318"/>
      <c r="T4979" s="318"/>
      <c r="U4979" s="318"/>
      <c r="V4979" s="318"/>
      <c r="W4979" s="318"/>
      <c r="X4979" s="318"/>
      <c r="Y4979" s="318"/>
      <c r="Z4979" s="318"/>
      <c r="AA4979" s="318"/>
      <c r="AB4979" s="318"/>
      <c r="AC4979" s="318"/>
      <c r="AD4979" s="318"/>
    </row>
    <row r="4980" spans="2:30" s="323" customFormat="1" ht="12" customHeight="1">
      <c r="B4980" s="324"/>
      <c r="C4980" s="325"/>
      <c r="D4980" s="326"/>
      <c r="E4980" s="326"/>
      <c r="F4980" s="326"/>
      <c r="G4980" s="326"/>
      <c r="H4980" s="326"/>
      <c r="P4980" s="318"/>
      <c r="Q4980" s="318"/>
      <c r="R4980" s="318"/>
      <c r="S4980" s="318"/>
      <c r="T4980" s="318"/>
      <c r="U4980" s="318"/>
      <c r="V4980" s="318"/>
      <c r="W4980" s="318"/>
      <c r="X4980" s="318"/>
      <c r="Y4980" s="318"/>
      <c r="Z4980" s="318"/>
      <c r="AA4980" s="318"/>
      <c r="AB4980" s="318"/>
      <c r="AC4980" s="318"/>
      <c r="AD4980" s="318"/>
    </row>
    <row r="4981" spans="2:30" s="323" customFormat="1" ht="12" customHeight="1">
      <c r="B4981" s="324"/>
      <c r="C4981" s="325"/>
      <c r="D4981" s="326"/>
      <c r="E4981" s="326"/>
      <c r="F4981" s="326"/>
      <c r="G4981" s="326"/>
      <c r="H4981" s="326"/>
      <c r="P4981" s="318"/>
      <c r="Q4981" s="318"/>
      <c r="R4981" s="318"/>
      <c r="S4981" s="318"/>
      <c r="T4981" s="318"/>
      <c r="U4981" s="318"/>
      <c r="V4981" s="318"/>
      <c r="W4981" s="318"/>
      <c r="X4981" s="318"/>
      <c r="Y4981" s="318"/>
      <c r="Z4981" s="318"/>
      <c r="AA4981" s="318"/>
      <c r="AB4981" s="318"/>
      <c r="AC4981" s="318"/>
      <c r="AD4981" s="318"/>
    </row>
    <row r="4982" spans="2:30" s="323" customFormat="1" ht="12" customHeight="1">
      <c r="B4982" s="324"/>
      <c r="C4982" s="325"/>
      <c r="D4982" s="326"/>
      <c r="E4982" s="326"/>
      <c r="F4982" s="326"/>
      <c r="G4982" s="326"/>
      <c r="H4982" s="326"/>
      <c r="P4982" s="318"/>
      <c r="Q4982" s="318"/>
      <c r="R4982" s="318"/>
      <c r="S4982" s="318"/>
      <c r="T4982" s="318"/>
      <c r="U4982" s="318"/>
      <c r="V4982" s="318"/>
      <c r="W4982" s="318"/>
      <c r="X4982" s="318"/>
      <c r="Y4982" s="318"/>
      <c r="Z4982" s="318"/>
      <c r="AA4982" s="318"/>
      <c r="AB4982" s="318"/>
      <c r="AC4982" s="318"/>
      <c r="AD4982" s="318"/>
    </row>
    <row r="4983" spans="2:30" s="323" customFormat="1" ht="12" customHeight="1">
      <c r="B4983" s="324"/>
      <c r="C4983" s="325"/>
      <c r="D4983" s="326"/>
      <c r="E4983" s="326"/>
      <c r="F4983" s="326"/>
      <c r="G4983" s="326"/>
      <c r="H4983" s="326"/>
      <c r="P4983" s="318"/>
      <c r="Q4983" s="318"/>
      <c r="R4983" s="318"/>
      <c r="S4983" s="318"/>
      <c r="T4983" s="318"/>
      <c r="U4983" s="318"/>
      <c r="V4983" s="318"/>
      <c r="W4983" s="318"/>
      <c r="X4983" s="318"/>
      <c r="Y4983" s="318"/>
      <c r="Z4983" s="318"/>
      <c r="AA4983" s="318"/>
      <c r="AB4983" s="318"/>
      <c r="AC4983" s="318"/>
      <c r="AD4983" s="318"/>
    </row>
    <row r="4984" spans="2:30" s="323" customFormat="1" ht="12" customHeight="1">
      <c r="B4984" s="324"/>
      <c r="C4984" s="325"/>
      <c r="D4984" s="326"/>
      <c r="E4984" s="326"/>
      <c r="F4984" s="326"/>
      <c r="G4984" s="326"/>
      <c r="H4984" s="326"/>
      <c r="P4984" s="318"/>
      <c r="Q4984" s="318"/>
      <c r="R4984" s="318"/>
      <c r="S4984" s="318"/>
      <c r="T4984" s="318"/>
      <c r="U4984" s="318"/>
      <c r="V4984" s="318"/>
      <c r="W4984" s="318"/>
      <c r="X4984" s="318"/>
      <c r="Y4984" s="318"/>
      <c r="Z4984" s="318"/>
      <c r="AA4984" s="318"/>
      <c r="AB4984" s="318"/>
      <c r="AC4984" s="318"/>
      <c r="AD4984" s="318"/>
    </row>
    <row r="4985" spans="2:30" s="323" customFormat="1" ht="12" customHeight="1">
      <c r="B4985" s="324"/>
      <c r="C4985" s="325"/>
      <c r="D4985" s="326"/>
      <c r="E4985" s="326"/>
      <c r="F4985" s="326"/>
      <c r="G4985" s="326"/>
      <c r="H4985" s="326"/>
      <c r="P4985" s="318"/>
      <c r="Q4985" s="318"/>
      <c r="R4985" s="318"/>
      <c r="S4985" s="318"/>
      <c r="T4985" s="318"/>
      <c r="U4985" s="318"/>
      <c r="V4985" s="318"/>
      <c r="W4985" s="318"/>
      <c r="X4985" s="318"/>
      <c r="Y4985" s="318"/>
      <c r="Z4985" s="318"/>
      <c r="AA4985" s="318"/>
      <c r="AB4985" s="318"/>
      <c r="AC4985" s="318"/>
      <c r="AD4985" s="318"/>
    </row>
    <row r="4986" spans="2:30" s="323" customFormat="1" ht="12" customHeight="1">
      <c r="B4986" s="324"/>
      <c r="C4986" s="325"/>
      <c r="D4986" s="326"/>
      <c r="E4986" s="326"/>
      <c r="F4986" s="326"/>
      <c r="G4986" s="326"/>
      <c r="H4986" s="326"/>
      <c r="P4986" s="318"/>
      <c r="Q4986" s="318"/>
      <c r="R4986" s="318"/>
      <c r="S4986" s="318"/>
      <c r="T4986" s="318"/>
      <c r="U4986" s="318"/>
      <c r="V4986" s="318"/>
      <c r="W4986" s="318"/>
      <c r="X4986" s="318"/>
      <c r="Y4986" s="318"/>
      <c r="Z4986" s="318"/>
      <c r="AA4986" s="318"/>
      <c r="AB4986" s="318"/>
      <c r="AC4986" s="318"/>
      <c r="AD4986" s="318"/>
    </row>
    <row r="4987" spans="2:30" s="323" customFormat="1" ht="12" customHeight="1">
      <c r="B4987" s="324"/>
      <c r="C4987" s="325"/>
      <c r="D4987" s="326"/>
      <c r="E4987" s="326"/>
      <c r="F4987" s="326"/>
      <c r="G4987" s="326"/>
      <c r="H4987" s="326"/>
      <c r="P4987" s="318"/>
      <c r="Q4987" s="318"/>
      <c r="R4987" s="318"/>
      <c r="S4987" s="318"/>
      <c r="T4987" s="318"/>
      <c r="U4987" s="318"/>
      <c r="V4987" s="318"/>
      <c r="W4987" s="318"/>
      <c r="X4987" s="318"/>
      <c r="Y4987" s="318"/>
      <c r="Z4987" s="318"/>
      <c r="AA4987" s="318"/>
      <c r="AB4987" s="318"/>
      <c r="AC4987" s="318"/>
      <c r="AD4987" s="318"/>
    </row>
    <row r="4988" spans="2:30" s="323" customFormat="1" ht="12" customHeight="1">
      <c r="B4988" s="324"/>
      <c r="C4988" s="325"/>
      <c r="D4988" s="326"/>
      <c r="E4988" s="326"/>
      <c r="F4988" s="326"/>
      <c r="G4988" s="326"/>
      <c r="H4988" s="326"/>
      <c r="P4988" s="318"/>
      <c r="Q4988" s="318"/>
      <c r="R4988" s="318"/>
      <c r="S4988" s="318"/>
      <c r="T4988" s="318"/>
      <c r="U4988" s="318"/>
      <c r="V4988" s="318"/>
      <c r="W4988" s="318"/>
      <c r="X4988" s="318"/>
      <c r="Y4988" s="318"/>
      <c r="Z4988" s="318"/>
      <c r="AA4988" s="318"/>
      <c r="AB4988" s="318"/>
      <c r="AC4988" s="318"/>
      <c r="AD4988" s="318"/>
    </row>
    <row r="4989" spans="2:30" s="323" customFormat="1" ht="12" customHeight="1">
      <c r="B4989" s="324"/>
      <c r="C4989" s="325"/>
      <c r="D4989" s="326"/>
      <c r="E4989" s="326"/>
      <c r="F4989" s="326"/>
      <c r="G4989" s="326"/>
      <c r="H4989" s="326"/>
      <c r="P4989" s="318"/>
      <c r="Q4989" s="318"/>
      <c r="R4989" s="318"/>
      <c r="S4989" s="318"/>
      <c r="T4989" s="318"/>
      <c r="U4989" s="318"/>
      <c r="V4989" s="318"/>
      <c r="W4989" s="318"/>
      <c r="X4989" s="318"/>
      <c r="Y4989" s="318"/>
      <c r="Z4989" s="318"/>
      <c r="AA4989" s="318"/>
      <c r="AB4989" s="318"/>
      <c r="AC4989" s="318"/>
      <c r="AD4989" s="318"/>
    </row>
    <row r="4990" spans="2:30" s="323" customFormat="1" ht="12" customHeight="1">
      <c r="B4990" s="324"/>
      <c r="C4990" s="325"/>
      <c r="D4990" s="326"/>
      <c r="E4990" s="326"/>
      <c r="F4990" s="326"/>
      <c r="G4990" s="326"/>
      <c r="H4990" s="326"/>
      <c r="P4990" s="318"/>
      <c r="Q4990" s="318"/>
      <c r="R4990" s="318"/>
      <c r="S4990" s="318"/>
      <c r="T4990" s="318"/>
      <c r="U4990" s="318"/>
      <c r="V4990" s="318"/>
      <c r="W4990" s="318"/>
      <c r="X4990" s="318"/>
      <c r="Y4990" s="318"/>
      <c r="Z4990" s="318"/>
      <c r="AA4990" s="318"/>
      <c r="AB4990" s="318"/>
      <c r="AC4990" s="318"/>
      <c r="AD4990" s="318"/>
    </row>
    <row r="4991" spans="2:30" s="323" customFormat="1" ht="12" customHeight="1">
      <c r="B4991" s="324"/>
      <c r="C4991" s="325"/>
      <c r="D4991" s="326"/>
      <c r="E4991" s="326"/>
      <c r="F4991" s="326"/>
      <c r="G4991" s="326"/>
      <c r="H4991" s="326"/>
      <c r="P4991" s="318"/>
      <c r="Q4991" s="318"/>
      <c r="R4991" s="318"/>
      <c r="S4991" s="318"/>
      <c r="T4991" s="318"/>
      <c r="U4991" s="318"/>
      <c r="V4991" s="318"/>
      <c r="W4991" s="318"/>
      <c r="X4991" s="318"/>
      <c r="Y4991" s="318"/>
      <c r="Z4991" s="318"/>
      <c r="AA4991" s="318"/>
      <c r="AB4991" s="318"/>
      <c r="AC4991" s="318"/>
      <c r="AD4991" s="318"/>
    </row>
    <row r="4992" spans="2:30" s="323" customFormat="1" ht="12" customHeight="1">
      <c r="B4992" s="324"/>
      <c r="C4992" s="325"/>
      <c r="D4992" s="326"/>
      <c r="E4992" s="326"/>
      <c r="F4992" s="326"/>
      <c r="G4992" s="326"/>
      <c r="H4992" s="326"/>
      <c r="P4992" s="318"/>
      <c r="Q4992" s="318"/>
      <c r="R4992" s="318"/>
      <c r="S4992" s="318"/>
      <c r="T4992" s="318"/>
      <c r="U4992" s="318"/>
      <c r="V4992" s="318"/>
      <c r="W4992" s="318"/>
      <c r="X4992" s="318"/>
      <c r="Y4992" s="318"/>
      <c r="Z4992" s="318"/>
      <c r="AA4992" s="318"/>
      <c r="AB4992" s="318"/>
      <c r="AC4992" s="318"/>
      <c r="AD4992" s="318"/>
    </row>
    <row r="4993" spans="2:30" s="323" customFormat="1" ht="12" customHeight="1">
      <c r="B4993" s="324"/>
      <c r="C4993" s="325"/>
      <c r="D4993" s="326"/>
      <c r="E4993" s="326"/>
      <c r="F4993" s="326"/>
      <c r="G4993" s="326"/>
      <c r="H4993" s="326"/>
      <c r="P4993" s="318"/>
      <c r="Q4993" s="318"/>
      <c r="R4993" s="318"/>
      <c r="S4993" s="318"/>
      <c r="T4993" s="318"/>
      <c r="U4993" s="318"/>
      <c r="V4993" s="318"/>
      <c r="W4993" s="318"/>
      <c r="X4993" s="318"/>
      <c r="Y4993" s="318"/>
      <c r="Z4993" s="318"/>
      <c r="AA4993" s="318"/>
      <c r="AB4993" s="318"/>
      <c r="AC4993" s="318"/>
      <c r="AD4993" s="318"/>
    </row>
    <row r="4994" spans="2:30" s="323" customFormat="1" ht="12" customHeight="1">
      <c r="B4994" s="324"/>
      <c r="C4994" s="325"/>
      <c r="D4994" s="326"/>
      <c r="E4994" s="326"/>
      <c r="F4994" s="326"/>
      <c r="G4994" s="326"/>
      <c r="H4994" s="326"/>
      <c r="P4994" s="318"/>
      <c r="Q4994" s="318"/>
      <c r="R4994" s="318"/>
      <c r="S4994" s="318"/>
      <c r="T4994" s="318"/>
      <c r="U4994" s="318"/>
      <c r="V4994" s="318"/>
      <c r="W4994" s="318"/>
      <c r="X4994" s="318"/>
      <c r="Y4994" s="318"/>
      <c r="Z4994" s="318"/>
      <c r="AA4994" s="318"/>
      <c r="AB4994" s="318"/>
      <c r="AC4994" s="318"/>
      <c r="AD4994" s="318"/>
    </row>
    <row r="4995" spans="2:30" s="323" customFormat="1" ht="12" customHeight="1">
      <c r="B4995" s="324"/>
      <c r="C4995" s="325"/>
      <c r="D4995" s="326"/>
      <c r="E4995" s="326"/>
      <c r="F4995" s="326"/>
      <c r="G4995" s="326"/>
      <c r="H4995" s="326"/>
      <c r="P4995" s="318"/>
      <c r="Q4995" s="318"/>
      <c r="R4995" s="318"/>
      <c r="S4995" s="318"/>
      <c r="T4995" s="318"/>
      <c r="U4995" s="318"/>
      <c r="V4995" s="318"/>
      <c r="W4995" s="318"/>
      <c r="X4995" s="318"/>
      <c r="Y4995" s="318"/>
      <c r="Z4995" s="318"/>
      <c r="AA4995" s="318"/>
      <c r="AB4995" s="318"/>
      <c r="AC4995" s="318"/>
      <c r="AD4995" s="318"/>
    </row>
    <row r="4996" spans="2:30" s="323" customFormat="1" ht="12" customHeight="1">
      <c r="B4996" s="324"/>
      <c r="C4996" s="325"/>
      <c r="D4996" s="326"/>
      <c r="E4996" s="326"/>
      <c r="F4996" s="326"/>
      <c r="G4996" s="326"/>
      <c r="H4996" s="326"/>
      <c r="P4996" s="318"/>
      <c r="Q4996" s="318"/>
      <c r="R4996" s="318"/>
      <c r="S4996" s="318"/>
      <c r="T4996" s="318"/>
      <c r="U4996" s="318"/>
      <c r="V4996" s="318"/>
      <c r="W4996" s="318"/>
      <c r="X4996" s="318"/>
      <c r="Y4996" s="318"/>
      <c r="Z4996" s="318"/>
      <c r="AA4996" s="318"/>
      <c r="AB4996" s="318"/>
      <c r="AC4996" s="318"/>
      <c r="AD4996" s="318"/>
    </row>
    <row r="4997" spans="2:30" s="323" customFormat="1" ht="12" customHeight="1">
      <c r="B4997" s="324"/>
      <c r="C4997" s="325"/>
      <c r="D4997" s="326"/>
      <c r="E4997" s="326"/>
      <c r="F4997" s="326"/>
      <c r="G4997" s="326"/>
      <c r="H4997" s="326"/>
      <c r="P4997" s="318"/>
      <c r="Q4997" s="318"/>
      <c r="R4997" s="318"/>
      <c r="S4997" s="318"/>
      <c r="T4997" s="318"/>
      <c r="U4997" s="318"/>
      <c r="V4997" s="318"/>
      <c r="W4997" s="318"/>
      <c r="X4997" s="318"/>
      <c r="Y4997" s="318"/>
      <c r="Z4997" s="318"/>
      <c r="AA4997" s="318"/>
      <c r="AB4997" s="318"/>
      <c r="AC4997" s="318"/>
      <c r="AD4997" s="318"/>
    </row>
    <row r="4998" spans="2:30" s="323" customFormat="1" ht="12" customHeight="1">
      <c r="B4998" s="324"/>
      <c r="C4998" s="325"/>
      <c r="D4998" s="326"/>
      <c r="E4998" s="326"/>
      <c r="F4998" s="326"/>
      <c r="G4998" s="326"/>
      <c r="H4998" s="326"/>
      <c r="P4998" s="318"/>
      <c r="Q4998" s="318"/>
      <c r="R4998" s="318"/>
      <c r="S4998" s="318"/>
      <c r="T4998" s="318"/>
      <c r="U4998" s="318"/>
      <c r="V4998" s="318"/>
      <c r="W4998" s="318"/>
      <c r="X4998" s="318"/>
      <c r="Y4998" s="318"/>
      <c r="Z4998" s="318"/>
      <c r="AA4998" s="318"/>
      <c r="AB4998" s="318"/>
      <c r="AC4998" s="318"/>
      <c r="AD4998" s="318"/>
    </row>
    <row r="4999" spans="2:30" s="323" customFormat="1" ht="12" customHeight="1">
      <c r="B4999" s="324"/>
      <c r="C4999" s="325"/>
      <c r="D4999" s="326"/>
      <c r="E4999" s="326"/>
      <c r="F4999" s="326"/>
      <c r="G4999" s="326"/>
      <c r="H4999" s="326"/>
      <c r="P4999" s="318"/>
      <c r="Q4999" s="318"/>
      <c r="R4999" s="318"/>
      <c r="S4999" s="318"/>
      <c r="T4999" s="318"/>
      <c r="U4999" s="318"/>
      <c r="V4999" s="318"/>
      <c r="W4999" s="318"/>
      <c r="X4999" s="318"/>
      <c r="Y4999" s="318"/>
      <c r="Z4999" s="318"/>
      <c r="AA4999" s="318"/>
      <c r="AB4999" s="318"/>
      <c r="AC4999" s="318"/>
      <c r="AD4999" s="318"/>
    </row>
    <row r="5000" spans="2:30" s="323" customFormat="1" ht="12" customHeight="1">
      <c r="B5000" s="324"/>
      <c r="C5000" s="325"/>
      <c r="D5000" s="326"/>
      <c r="E5000" s="326"/>
      <c r="F5000" s="326"/>
      <c r="G5000" s="326"/>
      <c r="H5000" s="326"/>
      <c r="P5000" s="318"/>
      <c r="Q5000" s="318"/>
      <c r="R5000" s="318"/>
      <c r="S5000" s="318"/>
      <c r="T5000" s="318"/>
      <c r="U5000" s="318"/>
      <c r="V5000" s="318"/>
      <c r="W5000" s="318"/>
      <c r="X5000" s="318"/>
      <c r="Y5000" s="318"/>
      <c r="Z5000" s="318"/>
      <c r="AA5000" s="318"/>
      <c r="AB5000" s="318"/>
      <c r="AC5000" s="318"/>
      <c r="AD5000" s="318"/>
    </row>
    <row r="5001" spans="2:30" s="323" customFormat="1" ht="12" customHeight="1">
      <c r="B5001" s="324"/>
      <c r="C5001" s="325"/>
      <c r="D5001" s="326"/>
      <c r="E5001" s="326"/>
      <c r="F5001" s="326"/>
      <c r="G5001" s="326"/>
      <c r="H5001" s="326"/>
      <c r="P5001" s="318"/>
      <c r="Q5001" s="318"/>
      <c r="R5001" s="318"/>
      <c r="S5001" s="318"/>
      <c r="T5001" s="318"/>
      <c r="U5001" s="318"/>
      <c r="V5001" s="318"/>
      <c r="W5001" s="318"/>
      <c r="X5001" s="318"/>
      <c r="Y5001" s="318"/>
      <c r="Z5001" s="318"/>
      <c r="AA5001" s="318"/>
      <c r="AB5001" s="318"/>
      <c r="AC5001" s="318"/>
      <c r="AD5001" s="318"/>
    </row>
    <row r="5002" spans="2:30" s="323" customFormat="1" ht="12" customHeight="1">
      <c r="B5002" s="324"/>
      <c r="C5002" s="325"/>
      <c r="D5002" s="326"/>
      <c r="E5002" s="326"/>
      <c r="F5002" s="326"/>
      <c r="G5002" s="326"/>
      <c r="H5002" s="326"/>
      <c r="P5002" s="318"/>
      <c r="Q5002" s="318"/>
      <c r="R5002" s="318"/>
      <c r="S5002" s="318"/>
      <c r="T5002" s="318"/>
      <c r="U5002" s="318"/>
      <c r="V5002" s="318"/>
      <c r="W5002" s="318"/>
      <c r="X5002" s="318"/>
      <c r="Y5002" s="318"/>
      <c r="Z5002" s="318"/>
      <c r="AA5002" s="318"/>
      <c r="AB5002" s="318"/>
      <c r="AC5002" s="318"/>
      <c r="AD5002" s="318"/>
    </row>
    <row r="5003" spans="2:30" s="323" customFormat="1" ht="12" customHeight="1">
      <c r="B5003" s="324"/>
      <c r="C5003" s="325"/>
      <c r="D5003" s="326"/>
      <c r="E5003" s="326"/>
      <c r="F5003" s="326"/>
      <c r="G5003" s="326"/>
      <c r="H5003" s="326"/>
      <c r="P5003" s="318"/>
      <c r="Q5003" s="318"/>
      <c r="R5003" s="318"/>
      <c r="S5003" s="318"/>
      <c r="T5003" s="318"/>
      <c r="U5003" s="318"/>
      <c r="V5003" s="318"/>
      <c r="W5003" s="318"/>
      <c r="X5003" s="318"/>
      <c r="Y5003" s="318"/>
      <c r="Z5003" s="318"/>
      <c r="AA5003" s="318"/>
      <c r="AB5003" s="318"/>
      <c r="AC5003" s="318"/>
      <c r="AD5003" s="318"/>
    </row>
    <row r="5004" spans="2:30" s="323" customFormat="1" ht="12" customHeight="1">
      <c r="B5004" s="324"/>
      <c r="C5004" s="325"/>
      <c r="D5004" s="326"/>
      <c r="E5004" s="326"/>
      <c r="F5004" s="326"/>
      <c r="G5004" s="326"/>
      <c r="H5004" s="326"/>
      <c r="P5004" s="318"/>
      <c r="Q5004" s="318"/>
      <c r="R5004" s="318"/>
      <c r="S5004" s="318"/>
      <c r="T5004" s="318"/>
      <c r="U5004" s="318"/>
      <c r="V5004" s="318"/>
      <c r="W5004" s="318"/>
      <c r="X5004" s="318"/>
      <c r="Y5004" s="318"/>
      <c r="Z5004" s="318"/>
      <c r="AA5004" s="318"/>
      <c r="AB5004" s="318"/>
      <c r="AC5004" s="318"/>
      <c r="AD5004" s="318"/>
    </row>
    <row r="5005" spans="2:30" s="323" customFormat="1" ht="12" customHeight="1">
      <c r="B5005" s="324"/>
      <c r="C5005" s="325"/>
      <c r="D5005" s="326"/>
      <c r="E5005" s="326"/>
      <c r="F5005" s="326"/>
      <c r="G5005" s="326"/>
      <c r="H5005" s="326"/>
      <c r="P5005" s="318"/>
      <c r="Q5005" s="318"/>
      <c r="R5005" s="318"/>
      <c r="S5005" s="318"/>
      <c r="T5005" s="318"/>
      <c r="U5005" s="318"/>
      <c r="V5005" s="318"/>
      <c r="W5005" s="318"/>
      <c r="X5005" s="318"/>
      <c r="Y5005" s="318"/>
      <c r="Z5005" s="318"/>
      <c r="AA5005" s="318"/>
      <c r="AB5005" s="318"/>
      <c r="AC5005" s="318"/>
      <c r="AD5005" s="318"/>
    </row>
    <row r="5006" spans="2:30" s="323" customFormat="1" ht="12" customHeight="1">
      <c r="B5006" s="324"/>
      <c r="C5006" s="325"/>
      <c r="D5006" s="326"/>
      <c r="E5006" s="326"/>
      <c r="F5006" s="326"/>
      <c r="G5006" s="326"/>
      <c r="H5006" s="326"/>
      <c r="P5006" s="318"/>
      <c r="Q5006" s="318"/>
      <c r="R5006" s="318"/>
      <c r="S5006" s="318"/>
      <c r="T5006" s="318"/>
      <c r="U5006" s="318"/>
      <c r="V5006" s="318"/>
      <c r="W5006" s="318"/>
      <c r="X5006" s="318"/>
      <c r="Y5006" s="318"/>
      <c r="Z5006" s="318"/>
      <c r="AA5006" s="318"/>
      <c r="AB5006" s="318"/>
      <c r="AC5006" s="318"/>
      <c r="AD5006" s="318"/>
    </row>
    <row r="5007" spans="2:30" s="323" customFormat="1" ht="12" customHeight="1">
      <c r="B5007" s="324"/>
      <c r="C5007" s="325"/>
      <c r="D5007" s="326"/>
      <c r="E5007" s="326"/>
      <c r="F5007" s="326"/>
      <c r="G5007" s="326"/>
      <c r="H5007" s="326"/>
      <c r="P5007" s="318"/>
      <c r="Q5007" s="318"/>
      <c r="R5007" s="318"/>
      <c r="S5007" s="318"/>
      <c r="T5007" s="318"/>
      <c r="U5007" s="318"/>
      <c r="V5007" s="318"/>
      <c r="W5007" s="318"/>
      <c r="X5007" s="318"/>
      <c r="Y5007" s="318"/>
      <c r="Z5007" s="318"/>
      <c r="AA5007" s="318"/>
      <c r="AB5007" s="318"/>
      <c r="AC5007" s="318"/>
      <c r="AD5007" s="318"/>
    </row>
    <row r="5008" spans="2:30" s="323" customFormat="1" ht="12" customHeight="1">
      <c r="B5008" s="324"/>
      <c r="C5008" s="325"/>
      <c r="D5008" s="326"/>
      <c r="E5008" s="326"/>
      <c r="F5008" s="326"/>
      <c r="G5008" s="326"/>
      <c r="H5008" s="326"/>
      <c r="P5008" s="318"/>
      <c r="Q5008" s="318"/>
      <c r="R5008" s="318"/>
      <c r="S5008" s="318"/>
      <c r="T5008" s="318"/>
      <c r="U5008" s="318"/>
      <c r="V5008" s="318"/>
      <c r="W5008" s="318"/>
      <c r="X5008" s="318"/>
      <c r="Y5008" s="318"/>
      <c r="Z5008" s="318"/>
      <c r="AA5008" s="318"/>
      <c r="AB5008" s="318"/>
      <c r="AC5008" s="318"/>
      <c r="AD5008" s="318"/>
    </row>
    <row r="5009" spans="2:30" s="323" customFormat="1" ht="12" customHeight="1">
      <c r="B5009" s="324"/>
      <c r="C5009" s="325"/>
      <c r="D5009" s="326"/>
      <c r="E5009" s="326"/>
      <c r="F5009" s="326"/>
      <c r="G5009" s="326"/>
      <c r="H5009" s="326"/>
      <c r="P5009" s="318"/>
      <c r="Q5009" s="318"/>
      <c r="R5009" s="318"/>
      <c r="S5009" s="318"/>
      <c r="T5009" s="318"/>
      <c r="U5009" s="318"/>
      <c r="V5009" s="318"/>
      <c r="W5009" s="318"/>
      <c r="X5009" s="318"/>
      <c r="Y5009" s="318"/>
      <c r="Z5009" s="318"/>
      <c r="AA5009" s="318"/>
      <c r="AB5009" s="318"/>
      <c r="AC5009" s="318"/>
      <c r="AD5009" s="318"/>
    </row>
    <row r="5010" spans="2:30" s="323" customFormat="1" ht="12" customHeight="1">
      <c r="B5010" s="324"/>
      <c r="C5010" s="325"/>
      <c r="D5010" s="326"/>
      <c r="E5010" s="326"/>
      <c r="F5010" s="326"/>
      <c r="G5010" s="326"/>
      <c r="H5010" s="326"/>
      <c r="P5010" s="318"/>
      <c r="Q5010" s="318"/>
      <c r="R5010" s="318"/>
      <c r="S5010" s="318"/>
      <c r="T5010" s="318"/>
      <c r="U5010" s="318"/>
      <c r="V5010" s="318"/>
      <c r="W5010" s="318"/>
      <c r="X5010" s="318"/>
      <c r="Y5010" s="318"/>
      <c r="Z5010" s="318"/>
      <c r="AA5010" s="318"/>
      <c r="AB5010" s="318"/>
      <c r="AC5010" s="318"/>
      <c r="AD5010" s="318"/>
    </row>
    <row r="5011" spans="2:30" s="323" customFormat="1" ht="12" customHeight="1">
      <c r="B5011" s="324"/>
      <c r="C5011" s="325"/>
      <c r="D5011" s="326"/>
      <c r="E5011" s="326"/>
      <c r="F5011" s="326"/>
      <c r="G5011" s="326"/>
      <c r="H5011" s="326"/>
      <c r="P5011" s="318"/>
      <c r="Q5011" s="318"/>
      <c r="R5011" s="318"/>
      <c r="S5011" s="318"/>
      <c r="T5011" s="318"/>
      <c r="U5011" s="318"/>
      <c r="V5011" s="318"/>
      <c r="W5011" s="318"/>
      <c r="X5011" s="318"/>
      <c r="Y5011" s="318"/>
      <c r="Z5011" s="318"/>
      <c r="AA5011" s="318"/>
      <c r="AB5011" s="318"/>
      <c r="AC5011" s="318"/>
      <c r="AD5011" s="318"/>
    </row>
    <row r="5012" spans="2:30" s="323" customFormat="1" ht="12" customHeight="1">
      <c r="B5012" s="324"/>
      <c r="C5012" s="325"/>
      <c r="D5012" s="326"/>
      <c r="E5012" s="326"/>
      <c r="F5012" s="326"/>
      <c r="G5012" s="326"/>
      <c r="H5012" s="326"/>
      <c r="P5012" s="318"/>
      <c r="Q5012" s="318"/>
      <c r="R5012" s="318"/>
      <c r="S5012" s="318"/>
      <c r="T5012" s="318"/>
      <c r="U5012" s="318"/>
      <c r="V5012" s="318"/>
      <c r="W5012" s="318"/>
      <c r="X5012" s="318"/>
      <c r="Y5012" s="318"/>
      <c r="Z5012" s="318"/>
      <c r="AA5012" s="318"/>
      <c r="AB5012" s="318"/>
      <c r="AC5012" s="318"/>
      <c r="AD5012" s="318"/>
    </row>
    <row r="5013" spans="2:30" s="323" customFormat="1" ht="12" customHeight="1">
      <c r="B5013" s="324"/>
      <c r="C5013" s="325"/>
      <c r="D5013" s="326"/>
      <c r="E5013" s="326"/>
      <c r="F5013" s="326"/>
      <c r="G5013" s="326"/>
      <c r="H5013" s="326"/>
      <c r="P5013" s="318"/>
      <c r="Q5013" s="318"/>
      <c r="R5013" s="318"/>
      <c r="S5013" s="318"/>
      <c r="T5013" s="318"/>
      <c r="U5013" s="318"/>
      <c r="V5013" s="318"/>
      <c r="W5013" s="318"/>
      <c r="X5013" s="318"/>
      <c r="Y5013" s="318"/>
      <c r="Z5013" s="318"/>
      <c r="AA5013" s="318"/>
      <c r="AB5013" s="318"/>
      <c r="AC5013" s="318"/>
      <c r="AD5013" s="318"/>
    </row>
    <row r="5014" spans="2:30" s="323" customFormat="1" ht="12" customHeight="1">
      <c r="B5014" s="324"/>
      <c r="C5014" s="325"/>
      <c r="D5014" s="326"/>
      <c r="E5014" s="326"/>
      <c r="F5014" s="326"/>
      <c r="G5014" s="326"/>
      <c r="H5014" s="326"/>
      <c r="P5014" s="318"/>
      <c r="Q5014" s="318"/>
      <c r="R5014" s="318"/>
      <c r="S5014" s="318"/>
      <c r="T5014" s="318"/>
      <c r="U5014" s="318"/>
      <c r="V5014" s="318"/>
      <c r="W5014" s="318"/>
      <c r="X5014" s="318"/>
      <c r="Y5014" s="318"/>
      <c r="Z5014" s="318"/>
      <c r="AA5014" s="318"/>
      <c r="AB5014" s="318"/>
      <c r="AC5014" s="318"/>
      <c r="AD5014" s="318"/>
    </row>
    <row r="5015" spans="2:30" s="323" customFormat="1" ht="12" customHeight="1">
      <c r="B5015" s="324"/>
      <c r="C5015" s="325"/>
      <c r="D5015" s="326"/>
      <c r="E5015" s="326"/>
      <c r="F5015" s="326"/>
      <c r="G5015" s="326"/>
      <c r="H5015" s="326"/>
      <c r="P5015" s="318"/>
      <c r="Q5015" s="318"/>
      <c r="R5015" s="318"/>
      <c r="S5015" s="318"/>
      <c r="T5015" s="318"/>
      <c r="U5015" s="318"/>
      <c r="V5015" s="318"/>
      <c r="W5015" s="318"/>
      <c r="X5015" s="318"/>
      <c r="Y5015" s="318"/>
      <c r="Z5015" s="318"/>
      <c r="AA5015" s="318"/>
      <c r="AB5015" s="318"/>
      <c r="AC5015" s="318"/>
      <c r="AD5015" s="318"/>
    </row>
    <row r="5016" spans="2:30" s="323" customFormat="1" ht="12" customHeight="1">
      <c r="B5016" s="324"/>
      <c r="C5016" s="325"/>
      <c r="D5016" s="326"/>
      <c r="E5016" s="326"/>
      <c r="F5016" s="326"/>
      <c r="G5016" s="326"/>
      <c r="H5016" s="326"/>
      <c r="P5016" s="318"/>
      <c r="Q5016" s="318"/>
      <c r="R5016" s="318"/>
      <c r="S5016" s="318"/>
      <c r="T5016" s="318"/>
      <c r="U5016" s="318"/>
      <c r="V5016" s="318"/>
      <c r="W5016" s="318"/>
      <c r="X5016" s="318"/>
      <c r="Y5016" s="318"/>
      <c r="Z5016" s="318"/>
      <c r="AA5016" s="318"/>
      <c r="AB5016" s="318"/>
      <c r="AC5016" s="318"/>
      <c r="AD5016" s="318"/>
    </row>
    <row r="5017" spans="2:30" s="323" customFormat="1" ht="12" customHeight="1">
      <c r="B5017" s="324"/>
      <c r="C5017" s="325"/>
      <c r="D5017" s="326"/>
      <c r="E5017" s="326"/>
      <c r="F5017" s="326"/>
      <c r="G5017" s="326"/>
      <c r="H5017" s="326"/>
      <c r="P5017" s="318"/>
      <c r="Q5017" s="318"/>
      <c r="R5017" s="318"/>
      <c r="S5017" s="318"/>
      <c r="T5017" s="318"/>
      <c r="U5017" s="318"/>
      <c r="V5017" s="318"/>
      <c r="W5017" s="318"/>
      <c r="X5017" s="318"/>
      <c r="Y5017" s="318"/>
      <c r="Z5017" s="318"/>
      <c r="AA5017" s="318"/>
      <c r="AB5017" s="318"/>
      <c r="AC5017" s="318"/>
      <c r="AD5017" s="318"/>
    </row>
    <row r="5018" spans="2:30" s="323" customFormat="1" ht="12" customHeight="1">
      <c r="B5018" s="324"/>
      <c r="C5018" s="325"/>
      <c r="D5018" s="326"/>
      <c r="E5018" s="326"/>
      <c r="F5018" s="326"/>
      <c r="G5018" s="326"/>
      <c r="H5018" s="326"/>
      <c r="P5018" s="318"/>
      <c r="Q5018" s="318"/>
      <c r="R5018" s="318"/>
      <c r="S5018" s="318"/>
      <c r="T5018" s="318"/>
      <c r="U5018" s="318"/>
      <c r="V5018" s="318"/>
      <c r="W5018" s="318"/>
      <c r="X5018" s="318"/>
      <c r="Y5018" s="318"/>
      <c r="Z5018" s="318"/>
      <c r="AA5018" s="318"/>
      <c r="AB5018" s="318"/>
      <c r="AC5018" s="318"/>
      <c r="AD5018" s="318"/>
    </row>
    <row r="5019" spans="2:30" s="323" customFormat="1" ht="12" customHeight="1">
      <c r="B5019" s="324"/>
      <c r="C5019" s="325"/>
      <c r="D5019" s="326"/>
      <c r="E5019" s="326"/>
      <c r="F5019" s="326"/>
      <c r="G5019" s="326"/>
      <c r="H5019" s="326"/>
      <c r="P5019" s="318"/>
      <c r="Q5019" s="318"/>
      <c r="R5019" s="318"/>
      <c r="S5019" s="318"/>
      <c r="T5019" s="318"/>
      <c r="U5019" s="318"/>
      <c r="V5019" s="318"/>
      <c r="W5019" s="318"/>
      <c r="X5019" s="318"/>
      <c r="Y5019" s="318"/>
      <c r="Z5019" s="318"/>
      <c r="AA5019" s="318"/>
      <c r="AB5019" s="318"/>
      <c r="AC5019" s="318"/>
      <c r="AD5019" s="318"/>
    </row>
    <row r="5020" spans="2:30" s="323" customFormat="1" ht="12" customHeight="1">
      <c r="B5020" s="324"/>
      <c r="C5020" s="325"/>
      <c r="D5020" s="326"/>
      <c r="E5020" s="326"/>
      <c r="F5020" s="326"/>
      <c r="G5020" s="326"/>
      <c r="H5020" s="326"/>
      <c r="P5020" s="318"/>
      <c r="Q5020" s="318"/>
      <c r="R5020" s="318"/>
      <c r="S5020" s="318"/>
      <c r="T5020" s="318"/>
      <c r="U5020" s="318"/>
      <c r="V5020" s="318"/>
      <c r="W5020" s="318"/>
      <c r="X5020" s="318"/>
      <c r="Y5020" s="318"/>
      <c r="Z5020" s="318"/>
      <c r="AA5020" s="318"/>
      <c r="AB5020" s="318"/>
      <c r="AC5020" s="318"/>
      <c r="AD5020" s="318"/>
    </row>
    <row r="5021" spans="2:30" s="323" customFormat="1" ht="12" customHeight="1">
      <c r="B5021" s="324"/>
      <c r="C5021" s="325"/>
      <c r="D5021" s="326"/>
      <c r="E5021" s="326"/>
      <c r="F5021" s="326"/>
      <c r="G5021" s="326"/>
      <c r="H5021" s="326"/>
      <c r="P5021" s="318"/>
      <c r="Q5021" s="318"/>
      <c r="R5021" s="318"/>
      <c r="S5021" s="318"/>
      <c r="T5021" s="318"/>
      <c r="U5021" s="318"/>
      <c r="V5021" s="318"/>
      <c r="W5021" s="318"/>
      <c r="X5021" s="318"/>
      <c r="Y5021" s="318"/>
      <c r="Z5021" s="318"/>
      <c r="AA5021" s="318"/>
      <c r="AB5021" s="318"/>
      <c r="AC5021" s="318"/>
      <c r="AD5021" s="318"/>
    </row>
    <row r="5022" spans="2:30" s="323" customFormat="1" ht="12" customHeight="1">
      <c r="B5022" s="324"/>
      <c r="C5022" s="325"/>
      <c r="D5022" s="326"/>
      <c r="E5022" s="326"/>
      <c r="F5022" s="326"/>
      <c r="G5022" s="326"/>
      <c r="H5022" s="326"/>
      <c r="P5022" s="318"/>
      <c r="Q5022" s="318"/>
      <c r="R5022" s="318"/>
      <c r="S5022" s="318"/>
      <c r="T5022" s="318"/>
      <c r="U5022" s="318"/>
      <c r="V5022" s="318"/>
      <c r="W5022" s="318"/>
      <c r="X5022" s="318"/>
      <c r="Y5022" s="318"/>
      <c r="Z5022" s="318"/>
      <c r="AA5022" s="318"/>
      <c r="AB5022" s="318"/>
      <c r="AC5022" s="318"/>
      <c r="AD5022" s="318"/>
    </row>
    <row r="5023" spans="2:30" s="323" customFormat="1" ht="12" customHeight="1">
      <c r="B5023" s="324"/>
      <c r="C5023" s="325"/>
      <c r="D5023" s="326"/>
      <c r="E5023" s="326"/>
      <c r="F5023" s="326"/>
      <c r="G5023" s="326"/>
      <c r="H5023" s="326"/>
      <c r="P5023" s="318"/>
      <c r="Q5023" s="318"/>
      <c r="R5023" s="318"/>
      <c r="S5023" s="318"/>
      <c r="T5023" s="318"/>
      <c r="U5023" s="318"/>
      <c r="V5023" s="318"/>
      <c r="W5023" s="318"/>
      <c r="X5023" s="318"/>
      <c r="Y5023" s="318"/>
      <c r="Z5023" s="318"/>
      <c r="AA5023" s="318"/>
      <c r="AB5023" s="318"/>
      <c r="AC5023" s="318"/>
      <c r="AD5023" s="318"/>
    </row>
    <row r="5024" spans="2:30" s="323" customFormat="1" ht="12" customHeight="1">
      <c r="B5024" s="324"/>
      <c r="C5024" s="325"/>
      <c r="D5024" s="326"/>
      <c r="E5024" s="326"/>
      <c r="F5024" s="326"/>
      <c r="G5024" s="326"/>
      <c r="H5024" s="326"/>
      <c r="P5024" s="318"/>
      <c r="Q5024" s="318"/>
      <c r="R5024" s="318"/>
      <c r="S5024" s="318"/>
      <c r="T5024" s="318"/>
      <c r="U5024" s="318"/>
      <c r="V5024" s="318"/>
      <c r="W5024" s="318"/>
      <c r="X5024" s="318"/>
      <c r="Y5024" s="318"/>
      <c r="Z5024" s="318"/>
      <c r="AA5024" s="318"/>
      <c r="AB5024" s="318"/>
      <c r="AC5024" s="318"/>
      <c r="AD5024" s="318"/>
    </row>
    <row r="5025" spans="2:30" s="323" customFormat="1" ht="12" customHeight="1">
      <c r="B5025" s="324"/>
      <c r="C5025" s="325"/>
      <c r="D5025" s="326"/>
      <c r="E5025" s="326"/>
      <c r="F5025" s="326"/>
      <c r="G5025" s="326"/>
      <c r="H5025" s="326"/>
      <c r="P5025" s="318"/>
      <c r="Q5025" s="318"/>
      <c r="R5025" s="318"/>
      <c r="S5025" s="318"/>
      <c r="T5025" s="318"/>
      <c r="U5025" s="318"/>
      <c r="V5025" s="318"/>
      <c r="W5025" s="318"/>
      <c r="X5025" s="318"/>
      <c r="Y5025" s="318"/>
      <c r="Z5025" s="318"/>
      <c r="AA5025" s="318"/>
      <c r="AB5025" s="318"/>
      <c r="AC5025" s="318"/>
      <c r="AD5025" s="318"/>
    </row>
    <row r="5026" spans="2:30" s="323" customFormat="1" ht="12" customHeight="1">
      <c r="B5026" s="324"/>
      <c r="C5026" s="325"/>
      <c r="D5026" s="326"/>
      <c r="E5026" s="326"/>
      <c r="F5026" s="326"/>
      <c r="G5026" s="326"/>
      <c r="H5026" s="326"/>
      <c r="P5026" s="318"/>
      <c r="Q5026" s="318"/>
      <c r="R5026" s="318"/>
      <c r="S5026" s="318"/>
      <c r="T5026" s="318"/>
      <c r="U5026" s="318"/>
      <c r="V5026" s="318"/>
      <c r="W5026" s="318"/>
      <c r="X5026" s="318"/>
      <c r="Y5026" s="318"/>
      <c r="Z5026" s="318"/>
      <c r="AA5026" s="318"/>
      <c r="AB5026" s="318"/>
      <c r="AC5026" s="318"/>
      <c r="AD5026" s="318"/>
    </row>
    <row r="5027" spans="2:30" s="323" customFormat="1" ht="12" customHeight="1">
      <c r="B5027" s="324"/>
      <c r="C5027" s="325"/>
      <c r="D5027" s="326"/>
      <c r="E5027" s="326"/>
      <c r="F5027" s="326"/>
      <c r="G5027" s="326"/>
      <c r="H5027" s="326"/>
      <c r="P5027" s="318"/>
      <c r="Q5027" s="318"/>
      <c r="R5027" s="318"/>
      <c r="S5027" s="318"/>
      <c r="T5027" s="318"/>
      <c r="U5027" s="318"/>
      <c r="V5027" s="318"/>
      <c r="W5027" s="318"/>
      <c r="X5027" s="318"/>
      <c r="Y5027" s="318"/>
      <c r="Z5027" s="318"/>
      <c r="AA5027" s="318"/>
      <c r="AB5027" s="318"/>
      <c r="AC5027" s="318"/>
      <c r="AD5027" s="318"/>
    </row>
    <row r="5028" spans="2:30" s="323" customFormat="1" ht="12" customHeight="1">
      <c r="B5028" s="324"/>
      <c r="C5028" s="325"/>
      <c r="D5028" s="326"/>
      <c r="E5028" s="326"/>
      <c r="F5028" s="326"/>
      <c r="G5028" s="326"/>
      <c r="H5028" s="326"/>
      <c r="P5028" s="318"/>
      <c r="Q5028" s="318"/>
      <c r="R5028" s="318"/>
      <c r="S5028" s="318"/>
      <c r="T5028" s="318"/>
      <c r="U5028" s="318"/>
      <c r="V5028" s="318"/>
      <c r="W5028" s="318"/>
      <c r="X5028" s="318"/>
      <c r="Y5028" s="318"/>
      <c r="Z5028" s="318"/>
      <c r="AA5028" s="318"/>
      <c r="AB5028" s="318"/>
      <c r="AC5028" s="318"/>
      <c r="AD5028" s="318"/>
    </row>
    <row r="5029" spans="2:30" s="323" customFormat="1" ht="12" customHeight="1">
      <c r="B5029" s="324"/>
      <c r="C5029" s="325"/>
      <c r="D5029" s="326"/>
      <c r="E5029" s="326"/>
      <c r="F5029" s="326"/>
      <c r="G5029" s="326"/>
      <c r="H5029" s="326"/>
      <c r="P5029" s="318"/>
      <c r="Q5029" s="318"/>
      <c r="R5029" s="318"/>
      <c r="S5029" s="318"/>
      <c r="T5029" s="318"/>
      <c r="U5029" s="318"/>
      <c r="V5029" s="318"/>
      <c r="W5029" s="318"/>
      <c r="X5029" s="318"/>
      <c r="Y5029" s="318"/>
      <c r="Z5029" s="318"/>
      <c r="AA5029" s="318"/>
      <c r="AB5029" s="318"/>
      <c r="AC5029" s="318"/>
      <c r="AD5029" s="318"/>
    </row>
    <row r="5030" spans="2:30" s="323" customFormat="1" ht="12" customHeight="1">
      <c r="B5030" s="324"/>
      <c r="C5030" s="325"/>
      <c r="D5030" s="326"/>
      <c r="E5030" s="326"/>
      <c r="F5030" s="326"/>
      <c r="G5030" s="326"/>
      <c r="H5030" s="326"/>
      <c r="P5030" s="318"/>
      <c r="Q5030" s="318"/>
      <c r="R5030" s="318"/>
      <c r="S5030" s="318"/>
      <c r="T5030" s="318"/>
      <c r="U5030" s="318"/>
      <c r="V5030" s="318"/>
      <c r="W5030" s="318"/>
      <c r="X5030" s="318"/>
      <c r="Y5030" s="318"/>
      <c r="Z5030" s="318"/>
      <c r="AA5030" s="318"/>
      <c r="AB5030" s="318"/>
      <c r="AC5030" s="318"/>
      <c r="AD5030" s="318"/>
    </row>
    <row r="5031" spans="2:30" s="323" customFormat="1" ht="12" customHeight="1">
      <c r="B5031" s="324"/>
      <c r="C5031" s="325"/>
      <c r="D5031" s="326"/>
      <c r="E5031" s="326"/>
      <c r="F5031" s="326"/>
      <c r="G5031" s="326"/>
      <c r="H5031" s="326"/>
      <c r="P5031" s="318"/>
      <c r="Q5031" s="318"/>
      <c r="R5031" s="318"/>
      <c r="S5031" s="318"/>
      <c r="T5031" s="318"/>
      <c r="U5031" s="318"/>
      <c r="V5031" s="318"/>
      <c r="W5031" s="318"/>
      <c r="X5031" s="318"/>
      <c r="Y5031" s="318"/>
      <c r="Z5031" s="318"/>
      <c r="AA5031" s="318"/>
      <c r="AB5031" s="318"/>
      <c r="AC5031" s="318"/>
      <c r="AD5031" s="318"/>
    </row>
    <row r="5032" spans="2:30" s="323" customFormat="1" ht="12" customHeight="1">
      <c r="B5032" s="324"/>
      <c r="C5032" s="325"/>
      <c r="D5032" s="326"/>
      <c r="E5032" s="326"/>
      <c r="F5032" s="326"/>
      <c r="G5032" s="326"/>
      <c r="H5032" s="326"/>
      <c r="P5032" s="318"/>
      <c r="Q5032" s="318"/>
      <c r="R5032" s="318"/>
      <c r="S5032" s="318"/>
      <c r="T5032" s="318"/>
      <c r="U5032" s="318"/>
      <c r="V5032" s="318"/>
      <c r="W5032" s="318"/>
      <c r="X5032" s="318"/>
      <c r="Y5032" s="318"/>
      <c r="Z5032" s="318"/>
      <c r="AA5032" s="318"/>
      <c r="AB5032" s="318"/>
      <c r="AC5032" s="318"/>
      <c r="AD5032" s="318"/>
    </row>
    <row r="5033" spans="2:30" s="323" customFormat="1" ht="12" customHeight="1">
      <c r="B5033" s="324"/>
      <c r="C5033" s="325"/>
      <c r="D5033" s="326"/>
      <c r="E5033" s="326"/>
      <c r="F5033" s="326"/>
      <c r="G5033" s="326"/>
      <c r="H5033" s="326"/>
      <c r="P5033" s="318"/>
      <c r="Q5033" s="318"/>
      <c r="R5033" s="318"/>
      <c r="S5033" s="318"/>
      <c r="T5033" s="318"/>
      <c r="U5033" s="318"/>
      <c r="V5033" s="318"/>
      <c r="W5033" s="318"/>
      <c r="X5033" s="318"/>
      <c r="Y5033" s="318"/>
      <c r="Z5033" s="318"/>
      <c r="AA5033" s="318"/>
      <c r="AB5033" s="318"/>
      <c r="AC5033" s="318"/>
      <c r="AD5033" s="318"/>
    </row>
    <row r="5034" spans="2:30" s="323" customFormat="1" ht="12" customHeight="1">
      <c r="B5034" s="324"/>
      <c r="C5034" s="325"/>
      <c r="D5034" s="326"/>
      <c r="E5034" s="326"/>
      <c r="F5034" s="326"/>
      <c r="G5034" s="326"/>
      <c r="H5034" s="326"/>
      <c r="P5034" s="318"/>
      <c r="Q5034" s="318"/>
      <c r="R5034" s="318"/>
      <c r="S5034" s="318"/>
      <c r="T5034" s="318"/>
      <c r="U5034" s="318"/>
      <c r="V5034" s="318"/>
      <c r="W5034" s="318"/>
      <c r="X5034" s="318"/>
      <c r="Y5034" s="318"/>
      <c r="Z5034" s="318"/>
      <c r="AA5034" s="318"/>
      <c r="AB5034" s="318"/>
      <c r="AC5034" s="318"/>
      <c r="AD5034" s="318"/>
    </row>
    <row r="5035" spans="2:30" s="323" customFormat="1" ht="12" customHeight="1">
      <c r="B5035" s="324"/>
      <c r="C5035" s="325"/>
      <c r="D5035" s="326"/>
      <c r="E5035" s="326"/>
      <c r="F5035" s="326"/>
      <c r="G5035" s="326"/>
      <c r="H5035" s="326"/>
      <c r="P5035" s="318"/>
      <c r="Q5035" s="318"/>
      <c r="R5035" s="318"/>
      <c r="S5035" s="318"/>
      <c r="T5035" s="318"/>
      <c r="U5035" s="318"/>
      <c r="V5035" s="318"/>
      <c r="W5035" s="318"/>
      <c r="X5035" s="318"/>
      <c r="Y5035" s="318"/>
      <c r="Z5035" s="318"/>
      <c r="AA5035" s="318"/>
      <c r="AB5035" s="318"/>
      <c r="AC5035" s="318"/>
      <c r="AD5035" s="318"/>
    </row>
    <row r="5036" spans="2:30" s="323" customFormat="1" ht="12" customHeight="1">
      <c r="B5036" s="324"/>
      <c r="C5036" s="325"/>
      <c r="D5036" s="326"/>
      <c r="E5036" s="326"/>
      <c r="F5036" s="326"/>
      <c r="G5036" s="326"/>
      <c r="H5036" s="326"/>
      <c r="P5036" s="318"/>
      <c r="Q5036" s="318"/>
      <c r="R5036" s="318"/>
      <c r="S5036" s="318"/>
      <c r="T5036" s="318"/>
      <c r="U5036" s="318"/>
      <c r="V5036" s="318"/>
      <c r="W5036" s="318"/>
      <c r="X5036" s="318"/>
      <c r="Y5036" s="318"/>
      <c r="Z5036" s="318"/>
      <c r="AA5036" s="318"/>
      <c r="AB5036" s="318"/>
      <c r="AC5036" s="318"/>
      <c r="AD5036" s="318"/>
    </row>
    <row r="5037" spans="2:30" s="323" customFormat="1" ht="12" customHeight="1">
      <c r="B5037" s="324"/>
      <c r="C5037" s="325"/>
      <c r="D5037" s="326"/>
      <c r="E5037" s="326"/>
      <c r="F5037" s="326"/>
      <c r="G5037" s="326"/>
      <c r="H5037" s="326"/>
      <c r="P5037" s="318"/>
      <c r="Q5037" s="318"/>
      <c r="R5037" s="318"/>
      <c r="S5037" s="318"/>
      <c r="T5037" s="318"/>
      <c r="U5037" s="318"/>
      <c r="V5037" s="318"/>
      <c r="W5037" s="318"/>
      <c r="X5037" s="318"/>
      <c r="Y5037" s="318"/>
      <c r="Z5037" s="318"/>
      <c r="AA5037" s="318"/>
      <c r="AB5037" s="318"/>
      <c r="AC5037" s="318"/>
      <c r="AD5037" s="318"/>
    </row>
    <row r="5038" spans="2:30" s="323" customFormat="1" ht="12" customHeight="1">
      <c r="B5038" s="324"/>
      <c r="C5038" s="325"/>
      <c r="D5038" s="326"/>
      <c r="E5038" s="326"/>
      <c r="F5038" s="326"/>
      <c r="G5038" s="326"/>
      <c r="H5038" s="326"/>
      <c r="P5038" s="318"/>
      <c r="Q5038" s="318"/>
      <c r="R5038" s="318"/>
      <c r="S5038" s="318"/>
      <c r="T5038" s="318"/>
      <c r="U5038" s="318"/>
      <c r="V5038" s="318"/>
      <c r="W5038" s="318"/>
      <c r="X5038" s="318"/>
      <c r="Y5038" s="318"/>
      <c r="Z5038" s="318"/>
      <c r="AA5038" s="318"/>
      <c r="AB5038" s="318"/>
      <c r="AC5038" s="318"/>
      <c r="AD5038" s="318"/>
    </row>
    <row r="5039" spans="2:30" s="323" customFormat="1" ht="12" customHeight="1">
      <c r="B5039" s="324"/>
      <c r="C5039" s="325"/>
      <c r="D5039" s="326"/>
      <c r="E5039" s="326"/>
      <c r="F5039" s="326"/>
      <c r="G5039" s="326"/>
      <c r="H5039" s="326"/>
      <c r="P5039" s="318"/>
      <c r="Q5039" s="318"/>
      <c r="R5039" s="318"/>
      <c r="S5039" s="318"/>
      <c r="T5039" s="318"/>
      <c r="U5039" s="318"/>
      <c r="V5039" s="318"/>
      <c r="W5039" s="318"/>
      <c r="X5039" s="318"/>
      <c r="Y5039" s="318"/>
      <c r="Z5039" s="318"/>
      <c r="AA5039" s="318"/>
      <c r="AB5039" s="318"/>
      <c r="AC5039" s="318"/>
      <c r="AD5039" s="318"/>
    </row>
    <row r="5040" spans="2:30" s="323" customFormat="1" ht="12" customHeight="1">
      <c r="B5040" s="324"/>
      <c r="C5040" s="325"/>
      <c r="D5040" s="326"/>
      <c r="E5040" s="326"/>
      <c r="F5040" s="326"/>
      <c r="G5040" s="326"/>
      <c r="H5040" s="326"/>
      <c r="P5040" s="318"/>
      <c r="Q5040" s="318"/>
      <c r="R5040" s="318"/>
      <c r="S5040" s="318"/>
      <c r="T5040" s="318"/>
      <c r="U5040" s="318"/>
      <c r="V5040" s="318"/>
      <c r="W5040" s="318"/>
      <c r="X5040" s="318"/>
      <c r="Y5040" s="318"/>
      <c r="Z5040" s="318"/>
      <c r="AA5040" s="318"/>
      <c r="AB5040" s="318"/>
      <c r="AC5040" s="318"/>
      <c r="AD5040" s="318"/>
    </row>
    <row r="5041" spans="2:30" s="323" customFormat="1" ht="12" customHeight="1">
      <c r="B5041" s="324"/>
      <c r="C5041" s="325"/>
      <c r="D5041" s="326"/>
      <c r="E5041" s="326"/>
      <c r="F5041" s="326"/>
      <c r="G5041" s="326"/>
      <c r="H5041" s="326"/>
      <c r="P5041" s="318"/>
      <c r="Q5041" s="318"/>
      <c r="R5041" s="318"/>
      <c r="S5041" s="318"/>
      <c r="T5041" s="318"/>
      <c r="U5041" s="318"/>
      <c r="V5041" s="318"/>
      <c r="W5041" s="318"/>
      <c r="X5041" s="318"/>
      <c r="Y5041" s="318"/>
      <c r="Z5041" s="318"/>
      <c r="AA5041" s="318"/>
      <c r="AB5041" s="318"/>
      <c r="AC5041" s="318"/>
      <c r="AD5041" s="318"/>
    </row>
    <row r="5042" spans="2:30" s="323" customFormat="1" ht="12" customHeight="1">
      <c r="B5042" s="324"/>
      <c r="C5042" s="325"/>
      <c r="D5042" s="326"/>
      <c r="E5042" s="326"/>
      <c r="F5042" s="326"/>
      <c r="G5042" s="326"/>
      <c r="H5042" s="326"/>
      <c r="P5042" s="318"/>
      <c r="Q5042" s="318"/>
      <c r="R5042" s="318"/>
      <c r="S5042" s="318"/>
      <c r="T5042" s="318"/>
      <c r="U5042" s="318"/>
      <c r="V5042" s="318"/>
      <c r="W5042" s="318"/>
      <c r="X5042" s="318"/>
      <c r="Y5042" s="318"/>
      <c r="Z5042" s="318"/>
      <c r="AA5042" s="318"/>
      <c r="AB5042" s="318"/>
      <c r="AC5042" s="318"/>
      <c r="AD5042" s="318"/>
    </row>
    <row r="5043" spans="2:30" s="323" customFormat="1" ht="12" customHeight="1">
      <c r="B5043" s="324"/>
      <c r="C5043" s="325"/>
      <c r="D5043" s="326"/>
      <c r="E5043" s="326"/>
      <c r="F5043" s="326"/>
      <c r="G5043" s="326"/>
      <c r="H5043" s="326"/>
      <c r="P5043" s="318"/>
      <c r="Q5043" s="318"/>
      <c r="R5043" s="318"/>
      <c r="S5043" s="318"/>
      <c r="T5043" s="318"/>
      <c r="U5043" s="318"/>
      <c r="V5043" s="318"/>
      <c r="W5043" s="318"/>
      <c r="X5043" s="318"/>
      <c r="Y5043" s="318"/>
      <c r="Z5043" s="318"/>
      <c r="AA5043" s="318"/>
      <c r="AB5043" s="318"/>
      <c r="AC5043" s="318"/>
      <c r="AD5043" s="318"/>
    </row>
    <row r="5044" spans="2:30" s="323" customFormat="1" ht="12" customHeight="1">
      <c r="B5044" s="324"/>
      <c r="C5044" s="325"/>
      <c r="D5044" s="326"/>
      <c r="E5044" s="326"/>
      <c r="F5044" s="326"/>
      <c r="G5044" s="326"/>
      <c r="H5044" s="326"/>
      <c r="P5044" s="318"/>
      <c r="Q5044" s="318"/>
      <c r="R5044" s="318"/>
      <c r="S5044" s="318"/>
      <c r="T5044" s="318"/>
      <c r="U5044" s="318"/>
      <c r="V5044" s="318"/>
      <c r="W5044" s="318"/>
      <c r="X5044" s="318"/>
      <c r="Y5044" s="318"/>
      <c r="Z5044" s="318"/>
      <c r="AA5044" s="318"/>
      <c r="AB5044" s="318"/>
      <c r="AC5044" s="318"/>
      <c r="AD5044" s="318"/>
    </row>
    <row r="5045" spans="2:30" s="323" customFormat="1" ht="12" customHeight="1">
      <c r="B5045" s="324"/>
      <c r="C5045" s="325"/>
      <c r="D5045" s="326"/>
      <c r="E5045" s="326"/>
      <c r="F5045" s="326"/>
      <c r="G5045" s="326"/>
      <c r="H5045" s="326"/>
      <c r="P5045" s="318"/>
      <c r="Q5045" s="318"/>
      <c r="R5045" s="318"/>
      <c r="S5045" s="318"/>
      <c r="T5045" s="318"/>
      <c r="U5045" s="318"/>
      <c r="V5045" s="318"/>
      <c r="W5045" s="318"/>
      <c r="X5045" s="318"/>
      <c r="Y5045" s="318"/>
      <c r="Z5045" s="318"/>
      <c r="AA5045" s="318"/>
      <c r="AB5045" s="318"/>
      <c r="AC5045" s="318"/>
      <c r="AD5045" s="318"/>
    </row>
    <row r="5046" spans="2:30" s="323" customFormat="1" ht="12" customHeight="1">
      <c r="B5046" s="324"/>
      <c r="C5046" s="325"/>
      <c r="D5046" s="326"/>
      <c r="E5046" s="326"/>
      <c r="F5046" s="326"/>
      <c r="G5046" s="326"/>
      <c r="H5046" s="326"/>
      <c r="P5046" s="318"/>
      <c r="Q5046" s="318"/>
      <c r="R5046" s="318"/>
      <c r="S5046" s="318"/>
      <c r="T5046" s="318"/>
      <c r="U5046" s="318"/>
      <c r="V5046" s="318"/>
      <c r="W5046" s="318"/>
      <c r="X5046" s="318"/>
      <c r="Y5046" s="318"/>
      <c r="Z5046" s="318"/>
      <c r="AA5046" s="318"/>
      <c r="AB5046" s="318"/>
      <c r="AC5046" s="318"/>
      <c r="AD5046" s="318"/>
    </row>
    <row r="5047" spans="2:30" s="323" customFormat="1" ht="12" customHeight="1">
      <c r="B5047" s="324"/>
      <c r="C5047" s="325"/>
      <c r="D5047" s="326"/>
      <c r="E5047" s="326"/>
      <c r="F5047" s="326"/>
      <c r="G5047" s="326"/>
      <c r="H5047" s="326"/>
      <c r="P5047" s="318"/>
      <c r="Q5047" s="318"/>
      <c r="R5047" s="318"/>
      <c r="S5047" s="318"/>
      <c r="T5047" s="318"/>
      <c r="U5047" s="318"/>
      <c r="V5047" s="318"/>
      <c r="W5047" s="318"/>
      <c r="X5047" s="318"/>
      <c r="Y5047" s="318"/>
      <c r="Z5047" s="318"/>
      <c r="AA5047" s="318"/>
      <c r="AB5047" s="318"/>
      <c r="AC5047" s="318"/>
      <c r="AD5047" s="318"/>
    </row>
    <row r="5048" spans="2:30" s="323" customFormat="1" ht="12" customHeight="1">
      <c r="B5048" s="324"/>
      <c r="C5048" s="325"/>
      <c r="D5048" s="326"/>
      <c r="E5048" s="326"/>
      <c r="F5048" s="326"/>
      <c r="G5048" s="326"/>
      <c r="H5048" s="326"/>
      <c r="P5048" s="318"/>
      <c r="Q5048" s="318"/>
      <c r="R5048" s="318"/>
      <c r="S5048" s="318"/>
      <c r="T5048" s="318"/>
      <c r="U5048" s="318"/>
      <c r="V5048" s="318"/>
      <c r="W5048" s="318"/>
      <c r="X5048" s="318"/>
      <c r="Y5048" s="318"/>
      <c r="Z5048" s="318"/>
      <c r="AA5048" s="318"/>
      <c r="AB5048" s="318"/>
      <c r="AC5048" s="318"/>
      <c r="AD5048" s="318"/>
    </row>
    <row r="5049" spans="2:30" s="323" customFormat="1" ht="12" customHeight="1">
      <c r="B5049" s="324"/>
      <c r="C5049" s="325"/>
      <c r="D5049" s="326"/>
      <c r="E5049" s="326"/>
      <c r="F5049" s="326"/>
      <c r="G5049" s="326"/>
      <c r="H5049" s="326"/>
      <c r="P5049" s="318"/>
      <c r="Q5049" s="318"/>
      <c r="R5049" s="318"/>
      <c r="S5049" s="318"/>
      <c r="T5049" s="318"/>
      <c r="U5049" s="318"/>
      <c r="V5049" s="318"/>
      <c r="W5049" s="318"/>
      <c r="X5049" s="318"/>
      <c r="Y5049" s="318"/>
      <c r="Z5049" s="318"/>
      <c r="AA5049" s="318"/>
      <c r="AB5049" s="318"/>
      <c r="AC5049" s="318"/>
      <c r="AD5049" s="318"/>
    </row>
    <row r="5050" spans="2:30" s="323" customFormat="1" ht="12" customHeight="1">
      <c r="B5050" s="324"/>
      <c r="C5050" s="325"/>
      <c r="D5050" s="326"/>
      <c r="E5050" s="326"/>
      <c r="F5050" s="326"/>
      <c r="G5050" s="326"/>
      <c r="H5050" s="326"/>
      <c r="P5050" s="318"/>
      <c r="Q5050" s="318"/>
      <c r="R5050" s="318"/>
      <c r="S5050" s="318"/>
      <c r="T5050" s="318"/>
      <c r="U5050" s="318"/>
      <c r="V5050" s="318"/>
      <c r="W5050" s="318"/>
      <c r="X5050" s="318"/>
      <c r="Y5050" s="318"/>
      <c r="Z5050" s="318"/>
      <c r="AA5050" s="318"/>
      <c r="AB5050" s="318"/>
      <c r="AC5050" s="318"/>
      <c r="AD5050" s="318"/>
    </row>
    <row r="5051" spans="2:30" s="323" customFormat="1" ht="12" customHeight="1">
      <c r="B5051" s="324"/>
      <c r="C5051" s="325"/>
      <c r="D5051" s="326"/>
      <c r="E5051" s="326"/>
      <c r="F5051" s="326"/>
      <c r="G5051" s="326"/>
      <c r="H5051" s="326"/>
      <c r="P5051" s="318"/>
      <c r="Q5051" s="318"/>
      <c r="R5051" s="318"/>
      <c r="S5051" s="318"/>
      <c r="T5051" s="318"/>
      <c r="U5051" s="318"/>
      <c r="V5051" s="318"/>
      <c r="W5051" s="318"/>
      <c r="X5051" s="318"/>
      <c r="Y5051" s="318"/>
      <c r="Z5051" s="318"/>
      <c r="AA5051" s="318"/>
      <c r="AB5051" s="318"/>
      <c r="AC5051" s="318"/>
      <c r="AD5051" s="318"/>
    </row>
    <row r="5052" spans="2:30" s="323" customFormat="1" ht="12" customHeight="1">
      <c r="B5052" s="324"/>
      <c r="C5052" s="325"/>
      <c r="D5052" s="326"/>
      <c r="E5052" s="326"/>
      <c r="F5052" s="326"/>
      <c r="G5052" s="326"/>
      <c r="H5052" s="326"/>
      <c r="P5052" s="318"/>
      <c r="Q5052" s="318"/>
      <c r="R5052" s="318"/>
      <c r="S5052" s="318"/>
      <c r="T5052" s="318"/>
      <c r="U5052" s="318"/>
      <c r="V5052" s="318"/>
      <c r="W5052" s="318"/>
      <c r="X5052" s="318"/>
      <c r="Y5052" s="318"/>
      <c r="Z5052" s="318"/>
      <c r="AA5052" s="318"/>
      <c r="AB5052" s="318"/>
      <c r="AC5052" s="318"/>
      <c r="AD5052" s="318"/>
    </row>
    <row r="5053" spans="2:30" s="323" customFormat="1" ht="12" customHeight="1">
      <c r="B5053" s="324"/>
      <c r="C5053" s="325"/>
      <c r="D5053" s="326"/>
      <c r="E5053" s="326"/>
      <c r="F5053" s="326"/>
      <c r="G5053" s="326"/>
      <c r="H5053" s="326"/>
      <c r="P5053" s="318"/>
      <c r="Q5053" s="318"/>
      <c r="R5053" s="318"/>
      <c r="S5053" s="318"/>
      <c r="T5053" s="318"/>
      <c r="U5053" s="318"/>
      <c r="V5053" s="318"/>
      <c r="W5053" s="318"/>
      <c r="X5053" s="318"/>
      <c r="Y5053" s="318"/>
      <c r="Z5053" s="318"/>
      <c r="AA5053" s="318"/>
      <c r="AB5053" s="318"/>
      <c r="AC5053" s="318"/>
      <c r="AD5053" s="318"/>
    </row>
    <row r="5054" spans="2:30" s="323" customFormat="1" ht="12" customHeight="1">
      <c r="B5054" s="324"/>
      <c r="C5054" s="325"/>
      <c r="D5054" s="326"/>
      <c r="E5054" s="326"/>
      <c r="F5054" s="326"/>
      <c r="G5054" s="326"/>
      <c r="H5054" s="326"/>
      <c r="P5054" s="318"/>
      <c r="Q5054" s="318"/>
      <c r="R5054" s="318"/>
      <c r="S5054" s="318"/>
      <c r="T5054" s="318"/>
      <c r="U5054" s="318"/>
      <c r="V5054" s="318"/>
      <c r="W5054" s="318"/>
      <c r="X5054" s="318"/>
      <c r="Y5054" s="318"/>
      <c r="Z5054" s="318"/>
      <c r="AA5054" s="318"/>
      <c r="AB5054" s="318"/>
      <c r="AC5054" s="318"/>
      <c r="AD5054" s="318"/>
    </row>
    <row r="5055" spans="2:30" s="323" customFormat="1" ht="12" customHeight="1">
      <c r="B5055" s="324"/>
      <c r="C5055" s="325"/>
      <c r="D5055" s="326"/>
      <c r="E5055" s="326"/>
      <c r="F5055" s="326"/>
      <c r="G5055" s="326"/>
      <c r="H5055" s="326"/>
      <c r="P5055" s="318"/>
      <c r="Q5055" s="318"/>
      <c r="R5055" s="318"/>
      <c r="S5055" s="318"/>
      <c r="T5055" s="318"/>
      <c r="U5055" s="318"/>
      <c r="V5055" s="318"/>
      <c r="W5055" s="318"/>
      <c r="X5055" s="318"/>
      <c r="Y5055" s="318"/>
      <c r="Z5055" s="318"/>
      <c r="AA5055" s="318"/>
      <c r="AB5055" s="318"/>
      <c r="AC5055" s="318"/>
      <c r="AD5055" s="318"/>
    </row>
    <row r="5056" spans="2:30" s="323" customFormat="1" ht="12" customHeight="1">
      <c r="B5056" s="324"/>
      <c r="C5056" s="325"/>
      <c r="D5056" s="326"/>
      <c r="E5056" s="326"/>
      <c r="F5056" s="326"/>
      <c r="G5056" s="326"/>
      <c r="H5056" s="326"/>
      <c r="P5056" s="318"/>
      <c r="Q5056" s="318"/>
      <c r="R5056" s="318"/>
      <c r="S5056" s="318"/>
      <c r="T5056" s="318"/>
      <c r="U5056" s="318"/>
      <c r="V5056" s="318"/>
      <c r="W5056" s="318"/>
      <c r="X5056" s="318"/>
      <c r="Y5056" s="318"/>
      <c r="Z5056" s="318"/>
      <c r="AA5056" s="318"/>
      <c r="AB5056" s="318"/>
      <c r="AC5056" s="318"/>
      <c r="AD5056" s="318"/>
    </row>
    <row r="5057" spans="2:30" s="323" customFormat="1" ht="12" customHeight="1">
      <c r="B5057" s="324"/>
      <c r="C5057" s="325"/>
      <c r="D5057" s="326"/>
      <c r="E5057" s="326"/>
      <c r="F5057" s="326"/>
      <c r="G5057" s="326"/>
      <c r="H5057" s="326"/>
      <c r="P5057" s="318"/>
      <c r="Q5057" s="318"/>
      <c r="R5057" s="318"/>
      <c r="S5057" s="318"/>
      <c r="T5057" s="318"/>
      <c r="U5057" s="318"/>
      <c r="V5057" s="318"/>
      <c r="W5057" s="318"/>
      <c r="X5057" s="318"/>
      <c r="Y5057" s="318"/>
      <c r="Z5057" s="318"/>
      <c r="AA5057" s="318"/>
      <c r="AB5057" s="318"/>
      <c r="AC5057" s="318"/>
      <c r="AD5057" s="318"/>
    </row>
    <row r="5058" spans="2:30" s="323" customFormat="1" ht="12" customHeight="1">
      <c r="B5058" s="324"/>
      <c r="C5058" s="325"/>
      <c r="D5058" s="326"/>
      <c r="E5058" s="326"/>
      <c r="F5058" s="326"/>
      <c r="G5058" s="326"/>
      <c r="H5058" s="326"/>
      <c r="P5058" s="318"/>
      <c r="Q5058" s="318"/>
      <c r="R5058" s="318"/>
      <c r="S5058" s="318"/>
      <c r="T5058" s="318"/>
      <c r="U5058" s="318"/>
      <c r="V5058" s="318"/>
      <c r="W5058" s="318"/>
      <c r="X5058" s="318"/>
      <c r="Y5058" s="318"/>
      <c r="Z5058" s="318"/>
      <c r="AA5058" s="318"/>
      <c r="AB5058" s="318"/>
      <c r="AC5058" s="318"/>
      <c r="AD5058" s="318"/>
    </row>
    <row r="5059" spans="2:30" s="323" customFormat="1" ht="12" customHeight="1">
      <c r="B5059" s="324"/>
      <c r="C5059" s="325"/>
      <c r="D5059" s="326"/>
      <c r="E5059" s="326"/>
      <c r="F5059" s="326"/>
      <c r="G5059" s="326"/>
      <c r="H5059" s="326"/>
      <c r="P5059" s="318"/>
      <c r="Q5059" s="318"/>
      <c r="R5059" s="318"/>
      <c r="S5059" s="318"/>
      <c r="T5059" s="318"/>
      <c r="U5059" s="318"/>
      <c r="V5059" s="318"/>
      <c r="W5059" s="318"/>
      <c r="X5059" s="318"/>
      <c r="Y5059" s="318"/>
      <c r="Z5059" s="318"/>
      <c r="AA5059" s="318"/>
      <c r="AB5059" s="318"/>
      <c r="AC5059" s="318"/>
      <c r="AD5059" s="318"/>
    </row>
    <row r="5060" spans="2:30" s="323" customFormat="1" ht="12" customHeight="1">
      <c r="B5060" s="324"/>
      <c r="C5060" s="325"/>
      <c r="D5060" s="326"/>
      <c r="E5060" s="326"/>
      <c r="F5060" s="326"/>
      <c r="G5060" s="326"/>
      <c r="H5060" s="326"/>
      <c r="P5060" s="318"/>
      <c r="Q5060" s="318"/>
      <c r="R5060" s="318"/>
      <c r="S5060" s="318"/>
      <c r="T5060" s="318"/>
      <c r="U5060" s="318"/>
      <c r="V5060" s="318"/>
      <c r="W5060" s="318"/>
      <c r="X5060" s="318"/>
      <c r="Y5060" s="318"/>
      <c r="Z5060" s="318"/>
      <c r="AA5060" s="318"/>
      <c r="AB5060" s="318"/>
      <c r="AC5060" s="318"/>
      <c r="AD5060" s="318"/>
    </row>
    <row r="5061" spans="2:30" s="323" customFormat="1" ht="12" customHeight="1">
      <c r="B5061" s="324"/>
      <c r="C5061" s="325"/>
      <c r="D5061" s="326"/>
      <c r="E5061" s="326"/>
      <c r="F5061" s="326"/>
      <c r="G5061" s="326"/>
      <c r="H5061" s="326"/>
      <c r="P5061" s="318"/>
      <c r="Q5061" s="318"/>
      <c r="R5061" s="318"/>
      <c r="S5061" s="318"/>
      <c r="T5061" s="318"/>
      <c r="U5061" s="318"/>
      <c r="V5061" s="318"/>
      <c r="W5061" s="318"/>
      <c r="X5061" s="318"/>
      <c r="Y5061" s="318"/>
      <c r="Z5061" s="318"/>
      <c r="AA5061" s="318"/>
      <c r="AB5061" s="318"/>
      <c r="AC5061" s="318"/>
      <c r="AD5061" s="318"/>
    </row>
    <row r="5062" spans="2:30" s="323" customFormat="1" ht="12" customHeight="1">
      <c r="B5062" s="324"/>
      <c r="C5062" s="325"/>
      <c r="D5062" s="326"/>
      <c r="E5062" s="326"/>
      <c r="F5062" s="326"/>
      <c r="G5062" s="326"/>
      <c r="H5062" s="326"/>
      <c r="P5062" s="318"/>
      <c r="Q5062" s="318"/>
      <c r="R5062" s="318"/>
      <c r="S5062" s="318"/>
      <c r="T5062" s="318"/>
      <c r="U5062" s="318"/>
      <c r="V5062" s="318"/>
      <c r="W5062" s="318"/>
      <c r="X5062" s="318"/>
      <c r="Y5062" s="318"/>
      <c r="Z5062" s="318"/>
      <c r="AA5062" s="318"/>
      <c r="AB5062" s="318"/>
      <c r="AC5062" s="318"/>
      <c r="AD5062" s="318"/>
    </row>
    <row r="5063" spans="2:30" s="323" customFormat="1" ht="12" customHeight="1">
      <c r="B5063" s="324"/>
      <c r="C5063" s="325"/>
      <c r="D5063" s="326"/>
      <c r="E5063" s="326"/>
      <c r="F5063" s="326"/>
      <c r="G5063" s="326"/>
      <c r="H5063" s="326"/>
      <c r="P5063" s="318"/>
      <c r="Q5063" s="318"/>
      <c r="R5063" s="318"/>
      <c r="S5063" s="318"/>
      <c r="T5063" s="318"/>
      <c r="U5063" s="318"/>
      <c r="V5063" s="318"/>
      <c r="W5063" s="318"/>
      <c r="X5063" s="318"/>
      <c r="Y5063" s="318"/>
      <c r="Z5063" s="318"/>
      <c r="AA5063" s="318"/>
      <c r="AB5063" s="318"/>
      <c r="AC5063" s="318"/>
      <c r="AD5063" s="318"/>
    </row>
    <row r="5064" spans="2:30" s="323" customFormat="1" ht="12" customHeight="1">
      <c r="B5064" s="324"/>
      <c r="C5064" s="325"/>
      <c r="D5064" s="326"/>
      <c r="E5064" s="326"/>
      <c r="F5064" s="326"/>
      <c r="G5064" s="326"/>
      <c r="H5064" s="326"/>
      <c r="P5064" s="318"/>
      <c r="Q5064" s="318"/>
      <c r="R5064" s="318"/>
      <c r="S5064" s="318"/>
      <c r="T5064" s="318"/>
      <c r="U5064" s="318"/>
      <c r="V5064" s="318"/>
      <c r="W5064" s="318"/>
      <c r="X5064" s="318"/>
      <c r="Y5064" s="318"/>
      <c r="Z5064" s="318"/>
      <c r="AA5064" s="318"/>
      <c r="AB5064" s="318"/>
      <c r="AC5064" s="318"/>
      <c r="AD5064" s="318"/>
    </row>
    <row r="5065" spans="2:30" s="323" customFormat="1" ht="12" customHeight="1">
      <c r="B5065" s="324"/>
      <c r="C5065" s="325"/>
      <c r="D5065" s="326"/>
      <c r="E5065" s="326"/>
      <c r="F5065" s="326"/>
      <c r="G5065" s="326"/>
      <c r="H5065" s="326"/>
      <c r="P5065" s="318"/>
      <c r="Q5065" s="318"/>
      <c r="R5065" s="318"/>
      <c r="S5065" s="318"/>
      <c r="T5065" s="318"/>
      <c r="U5065" s="318"/>
      <c r="V5065" s="318"/>
      <c r="W5065" s="318"/>
      <c r="X5065" s="318"/>
      <c r="Y5065" s="318"/>
      <c r="Z5065" s="318"/>
      <c r="AA5065" s="318"/>
      <c r="AB5065" s="318"/>
      <c r="AC5065" s="318"/>
      <c r="AD5065" s="318"/>
    </row>
    <row r="5066" spans="2:30" s="323" customFormat="1" ht="12" customHeight="1">
      <c r="B5066" s="324"/>
      <c r="C5066" s="325"/>
      <c r="D5066" s="326"/>
      <c r="E5066" s="326"/>
      <c r="F5066" s="326"/>
      <c r="G5066" s="326"/>
      <c r="H5066" s="326"/>
      <c r="P5066" s="318"/>
      <c r="Q5066" s="318"/>
      <c r="R5066" s="318"/>
      <c r="S5066" s="318"/>
      <c r="T5066" s="318"/>
      <c r="U5066" s="318"/>
      <c r="V5066" s="318"/>
      <c r="W5066" s="318"/>
      <c r="X5066" s="318"/>
      <c r="Y5066" s="318"/>
      <c r="Z5066" s="318"/>
      <c r="AA5066" s="318"/>
      <c r="AB5066" s="318"/>
      <c r="AC5066" s="318"/>
      <c r="AD5066" s="318"/>
    </row>
    <row r="5067" spans="2:30" s="323" customFormat="1" ht="12" customHeight="1">
      <c r="B5067" s="324"/>
      <c r="C5067" s="325"/>
      <c r="D5067" s="326"/>
      <c r="E5067" s="326"/>
      <c r="F5067" s="326"/>
      <c r="G5067" s="326"/>
      <c r="H5067" s="326"/>
      <c r="P5067" s="318"/>
      <c r="Q5067" s="318"/>
      <c r="R5067" s="318"/>
      <c r="S5067" s="318"/>
      <c r="T5067" s="318"/>
      <c r="U5067" s="318"/>
      <c r="V5067" s="318"/>
      <c r="W5067" s="318"/>
      <c r="X5067" s="318"/>
      <c r="Y5067" s="318"/>
      <c r="Z5067" s="318"/>
      <c r="AA5067" s="318"/>
      <c r="AB5067" s="318"/>
      <c r="AC5067" s="318"/>
      <c r="AD5067" s="318"/>
    </row>
    <row r="5068" spans="2:30" s="323" customFormat="1" ht="12" customHeight="1">
      <c r="B5068" s="324"/>
      <c r="C5068" s="325"/>
      <c r="D5068" s="326"/>
      <c r="E5068" s="326"/>
      <c r="F5068" s="326"/>
      <c r="G5068" s="326"/>
      <c r="H5068" s="326"/>
      <c r="P5068" s="318"/>
      <c r="Q5068" s="318"/>
      <c r="R5068" s="318"/>
      <c r="S5068" s="318"/>
      <c r="T5068" s="318"/>
      <c r="U5068" s="318"/>
      <c r="V5068" s="318"/>
      <c r="W5068" s="318"/>
      <c r="X5068" s="318"/>
      <c r="Y5068" s="318"/>
      <c r="Z5068" s="318"/>
      <c r="AA5068" s="318"/>
      <c r="AB5068" s="318"/>
      <c r="AC5068" s="318"/>
      <c r="AD5068" s="318"/>
    </row>
    <row r="5069" spans="2:30" s="323" customFormat="1" ht="12" customHeight="1">
      <c r="B5069" s="324"/>
      <c r="C5069" s="325"/>
      <c r="D5069" s="326"/>
      <c r="E5069" s="326"/>
      <c r="F5069" s="326"/>
      <c r="G5069" s="326"/>
      <c r="H5069" s="326"/>
      <c r="P5069" s="318"/>
      <c r="Q5069" s="318"/>
      <c r="R5069" s="318"/>
      <c r="S5069" s="318"/>
      <c r="T5069" s="318"/>
      <c r="U5069" s="318"/>
      <c r="V5069" s="318"/>
      <c r="W5069" s="318"/>
      <c r="X5069" s="318"/>
      <c r="Y5069" s="318"/>
      <c r="Z5069" s="318"/>
      <c r="AA5069" s="318"/>
      <c r="AB5069" s="318"/>
      <c r="AC5069" s="318"/>
      <c r="AD5069" s="318"/>
    </row>
    <row r="5070" spans="2:30" s="323" customFormat="1" ht="12" customHeight="1">
      <c r="B5070" s="324"/>
      <c r="C5070" s="325"/>
      <c r="D5070" s="326"/>
      <c r="E5070" s="326"/>
      <c r="F5070" s="326"/>
      <c r="G5070" s="326"/>
      <c r="H5070" s="326"/>
      <c r="P5070" s="318"/>
      <c r="Q5070" s="318"/>
      <c r="R5070" s="318"/>
      <c r="S5070" s="318"/>
      <c r="T5070" s="318"/>
      <c r="U5070" s="318"/>
      <c r="V5070" s="318"/>
      <c r="W5070" s="318"/>
      <c r="X5070" s="318"/>
      <c r="Y5070" s="318"/>
      <c r="Z5070" s="318"/>
      <c r="AA5070" s="318"/>
      <c r="AB5070" s="318"/>
      <c r="AC5070" s="318"/>
      <c r="AD5070" s="318"/>
    </row>
    <row r="5071" spans="2:30" s="323" customFormat="1" ht="12" customHeight="1">
      <c r="B5071" s="324"/>
      <c r="C5071" s="325"/>
      <c r="D5071" s="326"/>
      <c r="E5071" s="326"/>
      <c r="F5071" s="326"/>
      <c r="G5071" s="326"/>
      <c r="H5071" s="326"/>
      <c r="P5071" s="318"/>
      <c r="Q5071" s="318"/>
      <c r="R5071" s="318"/>
      <c r="S5071" s="318"/>
      <c r="T5071" s="318"/>
      <c r="U5071" s="318"/>
      <c r="V5071" s="318"/>
      <c r="W5071" s="318"/>
      <c r="X5071" s="318"/>
      <c r="Y5071" s="318"/>
      <c r="Z5071" s="318"/>
      <c r="AA5071" s="318"/>
      <c r="AB5071" s="318"/>
      <c r="AC5071" s="318"/>
      <c r="AD5071" s="318"/>
    </row>
    <row r="5072" spans="2:30" s="323" customFormat="1" ht="12" customHeight="1">
      <c r="B5072" s="324"/>
      <c r="C5072" s="325"/>
      <c r="D5072" s="326"/>
      <c r="E5072" s="326"/>
      <c r="F5072" s="326"/>
      <c r="G5072" s="326"/>
      <c r="H5072" s="326"/>
      <c r="P5072" s="318"/>
      <c r="Q5072" s="318"/>
      <c r="R5072" s="318"/>
      <c r="S5072" s="318"/>
      <c r="T5072" s="318"/>
      <c r="U5072" s="318"/>
      <c r="V5072" s="318"/>
      <c r="W5072" s="318"/>
      <c r="X5072" s="318"/>
      <c r="Y5072" s="318"/>
      <c r="Z5072" s="318"/>
      <c r="AA5072" s="318"/>
      <c r="AB5072" s="318"/>
      <c r="AC5072" s="318"/>
      <c r="AD5072" s="318"/>
    </row>
    <row r="5073" spans="2:30" s="323" customFormat="1" ht="12" customHeight="1">
      <c r="B5073" s="324"/>
      <c r="C5073" s="325"/>
      <c r="D5073" s="326"/>
      <c r="E5073" s="326"/>
      <c r="F5073" s="326"/>
      <c r="G5073" s="326"/>
      <c r="H5073" s="326"/>
      <c r="P5073" s="318"/>
      <c r="Q5073" s="318"/>
      <c r="R5073" s="318"/>
      <c r="S5073" s="318"/>
      <c r="T5073" s="318"/>
      <c r="U5073" s="318"/>
      <c r="V5073" s="318"/>
      <c r="W5073" s="318"/>
      <c r="X5073" s="318"/>
      <c r="Y5073" s="318"/>
      <c r="Z5073" s="318"/>
      <c r="AA5073" s="318"/>
      <c r="AB5073" s="318"/>
      <c r="AC5073" s="318"/>
      <c r="AD5073" s="318"/>
    </row>
    <row r="5074" spans="2:30" s="323" customFormat="1" ht="12" customHeight="1">
      <c r="B5074" s="324"/>
      <c r="C5074" s="325"/>
      <c r="D5074" s="326"/>
      <c r="E5074" s="326"/>
      <c r="F5074" s="326"/>
      <c r="G5074" s="326"/>
      <c r="H5074" s="326"/>
      <c r="P5074" s="318"/>
      <c r="Q5074" s="318"/>
      <c r="R5074" s="318"/>
      <c r="S5074" s="318"/>
      <c r="T5074" s="318"/>
      <c r="U5074" s="318"/>
      <c r="V5074" s="318"/>
      <c r="W5074" s="318"/>
      <c r="X5074" s="318"/>
      <c r="Y5074" s="318"/>
      <c r="Z5074" s="318"/>
      <c r="AA5074" s="318"/>
      <c r="AB5074" s="318"/>
      <c r="AC5074" s="318"/>
      <c r="AD5074" s="318"/>
    </row>
    <row r="5075" spans="2:30" s="323" customFormat="1" ht="12" customHeight="1">
      <c r="B5075" s="324"/>
      <c r="C5075" s="325"/>
      <c r="D5075" s="326"/>
      <c r="E5075" s="326"/>
      <c r="F5075" s="326"/>
      <c r="G5075" s="326"/>
      <c r="H5075" s="326"/>
      <c r="P5075" s="318"/>
      <c r="Q5075" s="318"/>
      <c r="R5075" s="318"/>
      <c r="S5075" s="318"/>
      <c r="T5075" s="318"/>
      <c r="U5075" s="318"/>
      <c r="V5075" s="318"/>
      <c r="W5075" s="318"/>
      <c r="X5075" s="318"/>
      <c r="Y5075" s="318"/>
      <c r="Z5075" s="318"/>
      <c r="AA5075" s="318"/>
      <c r="AB5075" s="318"/>
      <c r="AC5075" s="318"/>
      <c r="AD5075" s="318"/>
    </row>
    <row r="5076" spans="2:30" s="323" customFormat="1" ht="12" customHeight="1">
      <c r="B5076" s="324"/>
      <c r="C5076" s="325"/>
      <c r="D5076" s="326"/>
      <c r="E5076" s="326"/>
      <c r="F5076" s="326"/>
      <c r="G5076" s="326"/>
      <c r="H5076" s="326"/>
      <c r="P5076" s="318"/>
      <c r="Q5076" s="318"/>
      <c r="R5076" s="318"/>
      <c r="S5076" s="318"/>
      <c r="T5076" s="318"/>
      <c r="U5076" s="318"/>
      <c r="V5076" s="318"/>
      <c r="W5076" s="318"/>
      <c r="X5076" s="318"/>
      <c r="Y5076" s="318"/>
      <c r="Z5076" s="318"/>
      <c r="AA5076" s="318"/>
      <c r="AB5076" s="318"/>
      <c r="AC5076" s="318"/>
      <c r="AD5076" s="318"/>
    </row>
    <row r="5077" spans="2:30" s="323" customFormat="1" ht="12" customHeight="1">
      <c r="B5077" s="324"/>
      <c r="C5077" s="325"/>
      <c r="D5077" s="326"/>
      <c r="E5077" s="326"/>
      <c r="F5077" s="326"/>
      <c r="G5077" s="326"/>
      <c r="H5077" s="326"/>
      <c r="P5077" s="318"/>
      <c r="Q5077" s="318"/>
      <c r="R5077" s="318"/>
      <c r="S5077" s="318"/>
      <c r="T5077" s="318"/>
      <c r="U5077" s="318"/>
      <c r="V5077" s="318"/>
      <c r="W5077" s="318"/>
      <c r="X5077" s="318"/>
      <c r="Y5077" s="318"/>
      <c r="Z5077" s="318"/>
      <c r="AA5077" s="318"/>
      <c r="AB5077" s="318"/>
      <c r="AC5077" s="318"/>
      <c r="AD5077" s="318"/>
    </row>
    <row r="5078" spans="2:30" s="323" customFormat="1" ht="12" customHeight="1">
      <c r="B5078" s="324"/>
      <c r="C5078" s="325"/>
      <c r="D5078" s="326"/>
      <c r="E5078" s="326"/>
      <c r="F5078" s="326"/>
      <c r="G5078" s="326"/>
      <c r="H5078" s="326"/>
      <c r="P5078" s="318"/>
      <c r="Q5078" s="318"/>
      <c r="R5078" s="318"/>
      <c r="S5078" s="318"/>
      <c r="T5078" s="318"/>
      <c r="U5078" s="318"/>
      <c r="V5078" s="318"/>
      <c r="W5078" s="318"/>
      <c r="X5078" s="318"/>
      <c r="Y5078" s="318"/>
      <c r="Z5078" s="318"/>
      <c r="AA5078" s="318"/>
      <c r="AB5078" s="318"/>
      <c r="AC5078" s="318"/>
      <c r="AD5078" s="318"/>
    </row>
    <row r="5079" spans="2:30" s="323" customFormat="1" ht="12" customHeight="1">
      <c r="B5079" s="324"/>
      <c r="C5079" s="325"/>
      <c r="D5079" s="326"/>
      <c r="E5079" s="326"/>
      <c r="F5079" s="326"/>
      <c r="G5079" s="326"/>
      <c r="H5079" s="326"/>
      <c r="P5079" s="318"/>
      <c r="Q5079" s="318"/>
      <c r="R5079" s="318"/>
      <c r="S5079" s="318"/>
      <c r="T5079" s="318"/>
      <c r="U5079" s="318"/>
      <c r="V5079" s="318"/>
      <c r="W5079" s="318"/>
      <c r="X5079" s="318"/>
      <c r="Y5079" s="318"/>
      <c r="Z5079" s="318"/>
      <c r="AA5079" s="318"/>
      <c r="AB5079" s="318"/>
      <c r="AC5079" s="318"/>
      <c r="AD5079" s="318"/>
    </row>
    <row r="5080" spans="2:30" s="323" customFormat="1" ht="12" customHeight="1">
      <c r="B5080" s="324"/>
      <c r="C5080" s="325"/>
      <c r="D5080" s="326"/>
      <c r="E5080" s="326"/>
      <c r="F5080" s="326"/>
      <c r="G5080" s="326"/>
      <c r="H5080" s="326"/>
      <c r="P5080" s="318"/>
      <c r="Q5080" s="318"/>
      <c r="R5080" s="318"/>
      <c r="S5080" s="318"/>
      <c r="T5080" s="318"/>
      <c r="U5080" s="318"/>
      <c r="V5080" s="318"/>
      <c r="W5080" s="318"/>
      <c r="X5080" s="318"/>
      <c r="Y5080" s="318"/>
      <c r="Z5080" s="318"/>
      <c r="AA5080" s="318"/>
      <c r="AB5080" s="318"/>
      <c r="AC5080" s="318"/>
      <c r="AD5080" s="318"/>
    </row>
    <row r="5081" spans="2:30" s="323" customFormat="1" ht="12" customHeight="1">
      <c r="B5081" s="324"/>
      <c r="C5081" s="325"/>
      <c r="D5081" s="326"/>
      <c r="E5081" s="326"/>
      <c r="F5081" s="326"/>
      <c r="G5081" s="326"/>
      <c r="H5081" s="326"/>
      <c r="P5081" s="318"/>
      <c r="Q5081" s="318"/>
      <c r="R5081" s="318"/>
      <c r="S5081" s="318"/>
      <c r="T5081" s="318"/>
      <c r="U5081" s="318"/>
      <c r="V5081" s="318"/>
      <c r="W5081" s="318"/>
      <c r="X5081" s="318"/>
      <c r="Y5081" s="318"/>
      <c r="Z5081" s="318"/>
      <c r="AA5081" s="318"/>
      <c r="AB5081" s="318"/>
      <c r="AC5081" s="318"/>
      <c r="AD5081" s="318"/>
    </row>
    <row r="5082" spans="2:30" s="323" customFormat="1" ht="12" customHeight="1">
      <c r="B5082" s="324"/>
      <c r="C5082" s="325"/>
      <c r="D5082" s="326"/>
      <c r="E5082" s="326"/>
      <c r="F5082" s="326"/>
      <c r="G5082" s="326"/>
      <c r="H5082" s="326"/>
      <c r="P5082" s="318"/>
      <c r="Q5082" s="318"/>
      <c r="R5082" s="318"/>
      <c r="S5082" s="318"/>
      <c r="T5082" s="318"/>
      <c r="U5082" s="318"/>
      <c r="V5082" s="318"/>
      <c r="W5082" s="318"/>
      <c r="X5082" s="318"/>
      <c r="Y5082" s="318"/>
      <c r="Z5082" s="318"/>
      <c r="AA5082" s="318"/>
      <c r="AB5082" s="318"/>
      <c r="AC5082" s="318"/>
      <c r="AD5082" s="318"/>
    </row>
    <row r="5083" spans="2:30" s="323" customFormat="1" ht="12" customHeight="1">
      <c r="B5083" s="324"/>
      <c r="C5083" s="325"/>
      <c r="D5083" s="326"/>
      <c r="E5083" s="326"/>
      <c r="F5083" s="326"/>
      <c r="G5083" s="326"/>
      <c r="H5083" s="326"/>
      <c r="P5083" s="318"/>
      <c r="Q5083" s="318"/>
      <c r="R5083" s="318"/>
      <c r="S5083" s="318"/>
      <c r="T5083" s="318"/>
      <c r="U5083" s="318"/>
      <c r="V5083" s="318"/>
      <c r="W5083" s="318"/>
      <c r="X5083" s="318"/>
      <c r="Y5083" s="318"/>
      <c r="Z5083" s="318"/>
      <c r="AA5083" s="318"/>
      <c r="AB5083" s="318"/>
      <c r="AC5083" s="318"/>
      <c r="AD5083" s="318"/>
    </row>
    <row r="5084" spans="2:30" s="323" customFormat="1" ht="12" customHeight="1">
      <c r="B5084" s="324"/>
      <c r="C5084" s="325"/>
      <c r="D5084" s="326"/>
      <c r="E5084" s="326"/>
      <c r="F5084" s="326"/>
      <c r="G5084" s="326"/>
      <c r="H5084" s="326"/>
      <c r="P5084" s="318"/>
      <c r="Q5084" s="318"/>
      <c r="R5084" s="318"/>
      <c r="S5084" s="318"/>
      <c r="T5084" s="318"/>
      <c r="U5084" s="318"/>
      <c r="V5084" s="318"/>
      <c r="W5084" s="318"/>
      <c r="X5084" s="318"/>
      <c r="Y5084" s="318"/>
      <c r="Z5084" s="318"/>
      <c r="AA5084" s="318"/>
      <c r="AB5084" s="318"/>
      <c r="AC5084" s="318"/>
      <c r="AD5084" s="318"/>
    </row>
    <row r="5085" spans="2:30" s="323" customFormat="1" ht="12" customHeight="1">
      <c r="B5085" s="324"/>
      <c r="C5085" s="325"/>
      <c r="D5085" s="326"/>
      <c r="E5085" s="326"/>
      <c r="F5085" s="326"/>
      <c r="G5085" s="326"/>
      <c r="H5085" s="326"/>
      <c r="P5085" s="318"/>
      <c r="Q5085" s="318"/>
      <c r="R5085" s="318"/>
      <c r="S5085" s="318"/>
      <c r="T5085" s="318"/>
      <c r="U5085" s="318"/>
      <c r="V5085" s="318"/>
      <c r="W5085" s="318"/>
      <c r="X5085" s="318"/>
      <c r="Y5085" s="318"/>
      <c r="Z5085" s="318"/>
      <c r="AA5085" s="318"/>
      <c r="AB5085" s="318"/>
      <c r="AC5085" s="318"/>
      <c r="AD5085" s="318"/>
    </row>
    <row r="5086" spans="2:30" s="323" customFormat="1" ht="12" customHeight="1">
      <c r="B5086" s="324"/>
      <c r="C5086" s="325"/>
      <c r="D5086" s="326"/>
      <c r="E5086" s="326"/>
      <c r="F5086" s="326"/>
      <c r="G5086" s="326"/>
      <c r="H5086" s="326"/>
      <c r="P5086" s="318"/>
      <c r="Q5086" s="318"/>
      <c r="R5086" s="318"/>
      <c r="S5086" s="318"/>
      <c r="T5086" s="318"/>
      <c r="U5086" s="318"/>
      <c r="V5086" s="318"/>
      <c r="W5086" s="318"/>
      <c r="X5086" s="318"/>
      <c r="Y5086" s="318"/>
      <c r="Z5086" s="318"/>
      <c r="AA5086" s="318"/>
      <c r="AB5086" s="318"/>
      <c r="AC5086" s="318"/>
      <c r="AD5086" s="318"/>
    </row>
    <row r="5087" spans="2:30" s="323" customFormat="1" ht="12" customHeight="1">
      <c r="B5087" s="324"/>
      <c r="C5087" s="325"/>
      <c r="D5087" s="326"/>
      <c r="E5087" s="326"/>
      <c r="F5087" s="326"/>
      <c r="G5087" s="326"/>
      <c r="H5087" s="326"/>
      <c r="P5087" s="318"/>
      <c r="Q5087" s="318"/>
      <c r="R5087" s="318"/>
      <c r="S5087" s="318"/>
      <c r="T5087" s="318"/>
      <c r="U5087" s="318"/>
      <c r="V5087" s="318"/>
      <c r="W5087" s="318"/>
      <c r="X5087" s="318"/>
      <c r="Y5087" s="318"/>
      <c r="Z5087" s="318"/>
      <c r="AA5087" s="318"/>
      <c r="AB5087" s="318"/>
      <c r="AC5087" s="318"/>
      <c r="AD5087" s="318"/>
    </row>
    <row r="5088" spans="2:30" s="323" customFormat="1" ht="12" customHeight="1">
      <c r="B5088" s="324"/>
      <c r="C5088" s="325"/>
      <c r="D5088" s="326"/>
      <c r="E5088" s="326"/>
      <c r="F5088" s="326"/>
      <c r="G5088" s="326"/>
      <c r="H5088" s="326"/>
      <c r="P5088" s="318"/>
      <c r="Q5088" s="318"/>
      <c r="R5088" s="318"/>
      <c r="S5088" s="318"/>
      <c r="T5088" s="318"/>
      <c r="U5088" s="318"/>
      <c r="V5088" s="318"/>
      <c r="W5088" s="318"/>
      <c r="X5088" s="318"/>
      <c r="Y5088" s="318"/>
      <c r="Z5088" s="318"/>
      <c r="AA5088" s="318"/>
      <c r="AB5088" s="318"/>
      <c r="AC5088" s="318"/>
      <c r="AD5088" s="318"/>
    </row>
    <row r="5089" spans="2:30" s="323" customFormat="1" ht="12" customHeight="1">
      <c r="B5089" s="324"/>
      <c r="C5089" s="325"/>
      <c r="D5089" s="326"/>
      <c r="E5089" s="326"/>
      <c r="F5089" s="326"/>
      <c r="G5089" s="326"/>
      <c r="H5089" s="326"/>
      <c r="P5089" s="318"/>
      <c r="Q5089" s="318"/>
      <c r="R5089" s="318"/>
      <c r="S5089" s="318"/>
      <c r="T5089" s="318"/>
      <c r="U5089" s="318"/>
      <c r="V5089" s="318"/>
      <c r="W5089" s="318"/>
      <c r="X5089" s="318"/>
      <c r="Y5089" s="318"/>
      <c r="Z5089" s="318"/>
      <c r="AA5089" s="318"/>
      <c r="AB5089" s="318"/>
      <c r="AC5089" s="318"/>
      <c r="AD5089" s="318"/>
    </row>
    <row r="5090" spans="2:30" s="323" customFormat="1" ht="12" customHeight="1">
      <c r="B5090" s="324"/>
      <c r="C5090" s="325"/>
      <c r="D5090" s="326"/>
      <c r="E5090" s="326"/>
      <c r="F5090" s="326"/>
      <c r="G5090" s="326"/>
      <c r="H5090" s="326"/>
      <c r="P5090" s="318"/>
      <c r="Q5090" s="318"/>
      <c r="R5090" s="318"/>
      <c r="S5090" s="318"/>
      <c r="T5090" s="318"/>
      <c r="U5090" s="318"/>
      <c r="V5090" s="318"/>
      <c r="W5090" s="318"/>
      <c r="X5090" s="318"/>
      <c r="Y5090" s="318"/>
      <c r="Z5090" s="318"/>
      <c r="AA5090" s="318"/>
      <c r="AB5090" s="318"/>
      <c r="AC5090" s="318"/>
      <c r="AD5090" s="318"/>
    </row>
    <row r="5091" spans="2:30" s="323" customFormat="1" ht="12" customHeight="1">
      <c r="B5091" s="324"/>
      <c r="C5091" s="325"/>
      <c r="D5091" s="326"/>
      <c r="E5091" s="326"/>
      <c r="F5091" s="326"/>
      <c r="G5091" s="326"/>
      <c r="H5091" s="326"/>
      <c r="P5091" s="318"/>
      <c r="Q5091" s="318"/>
      <c r="R5091" s="318"/>
      <c r="S5091" s="318"/>
      <c r="T5091" s="318"/>
      <c r="U5091" s="318"/>
      <c r="V5091" s="318"/>
      <c r="W5091" s="318"/>
      <c r="X5091" s="318"/>
      <c r="Y5091" s="318"/>
      <c r="Z5091" s="318"/>
      <c r="AA5091" s="318"/>
      <c r="AB5091" s="318"/>
      <c r="AC5091" s="318"/>
      <c r="AD5091" s="318"/>
    </row>
    <row r="5092" spans="2:30" s="323" customFormat="1" ht="12" customHeight="1">
      <c r="B5092" s="324"/>
      <c r="C5092" s="325"/>
      <c r="D5092" s="326"/>
      <c r="E5092" s="326"/>
      <c r="F5092" s="326"/>
      <c r="G5092" s="326"/>
      <c r="H5092" s="326"/>
      <c r="P5092" s="318"/>
      <c r="Q5092" s="318"/>
      <c r="R5092" s="318"/>
      <c r="S5092" s="318"/>
      <c r="T5092" s="318"/>
      <c r="U5092" s="318"/>
      <c r="V5092" s="318"/>
      <c r="W5092" s="318"/>
      <c r="X5092" s="318"/>
      <c r="Y5092" s="318"/>
      <c r="Z5092" s="318"/>
      <c r="AA5092" s="318"/>
      <c r="AB5092" s="318"/>
      <c r="AC5092" s="318"/>
      <c r="AD5092" s="318"/>
    </row>
    <row r="5093" spans="2:30" s="323" customFormat="1" ht="12" customHeight="1">
      <c r="B5093" s="324"/>
      <c r="C5093" s="325"/>
      <c r="D5093" s="326"/>
      <c r="E5093" s="326"/>
      <c r="F5093" s="326"/>
      <c r="G5093" s="326"/>
      <c r="H5093" s="326"/>
      <c r="P5093" s="318"/>
      <c r="Q5093" s="318"/>
      <c r="R5093" s="318"/>
      <c r="S5093" s="318"/>
      <c r="T5093" s="318"/>
      <c r="U5093" s="318"/>
      <c r="V5093" s="318"/>
      <c r="W5093" s="318"/>
      <c r="X5093" s="318"/>
      <c r="Y5093" s="318"/>
      <c r="Z5093" s="318"/>
      <c r="AA5093" s="318"/>
      <c r="AB5093" s="318"/>
      <c r="AC5093" s="318"/>
      <c r="AD5093" s="318"/>
    </row>
    <row r="5094" spans="2:30" s="323" customFormat="1" ht="12" customHeight="1">
      <c r="B5094" s="324"/>
      <c r="C5094" s="325"/>
      <c r="D5094" s="326"/>
      <c r="E5094" s="326"/>
      <c r="F5094" s="326"/>
      <c r="G5094" s="326"/>
      <c r="H5094" s="326"/>
      <c r="P5094" s="318"/>
      <c r="Q5094" s="318"/>
      <c r="R5094" s="318"/>
      <c r="S5094" s="318"/>
      <c r="T5094" s="318"/>
      <c r="U5094" s="318"/>
      <c r="V5094" s="318"/>
      <c r="W5094" s="318"/>
      <c r="X5094" s="318"/>
      <c r="Y5094" s="318"/>
      <c r="Z5094" s="318"/>
      <c r="AA5094" s="318"/>
      <c r="AB5094" s="318"/>
      <c r="AC5094" s="318"/>
      <c r="AD5094" s="318"/>
    </row>
    <row r="5095" spans="2:30" s="323" customFormat="1" ht="12" customHeight="1">
      <c r="B5095" s="324"/>
      <c r="C5095" s="325"/>
      <c r="D5095" s="326"/>
      <c r="E5095" s="326"/>
      <c r="F5095" s="326"/>
      <c r="G5095" s="326"/>
      <c r="H5095" s="326"/>
      <c r="P5095" s="318"/>
      <c r="Q5095" s="318"/>
      <c r="R5095" s="318"/>
      <c r="S5095" s="318"/>
      <c r="T5095" s="318"/>
      <c r="U5095" s="318"/>
      <c r="V5095" s="318"/>
      <c r="W5095" s="318"/>
      <c r="X5095" s="318"/>
      <c r="Y5095" s="318"/>
      <c r="Z5095" s="318"/>
      <c r="AA5095" s="318"/>
      <c r="AB5095" s="318"/>
      <c r="AC5095" s="318"/>
      <c r="AD5095" s="318"/>
    </row>
    <row r="5096" spans="2:30" s="323" customFormat="1" ht="12" customHeight="1">
      <c r="B5096" s="324"/>
      <c r="C5096" s="325"/>
      <c r="D5096" s="326"/>
      <c r="E5096" s="326"/>
      <c r="F5096" s="326"/>
      <c r="G5096" s="326"/>
      <c r="H5096" s="326"/>
      <c r="P5096" s="318"/>
      <c r="Q5096" s="318"/>
      <c r="R5096" s="318"/>
      <c r="S5096" s="318"/>
      <c r="T5096" s="318"/>
      <c r="U5096" s="318"/>
      <c r="V5096" s="318"/>
      <c r="W5096" s="318"/>
      <c r="X5096" s="318"/>
      <c r="Y5096" s="318"/>
      <c r="Z5096" s="318"/>
      <c r="AA5096" s="318"/>
      <c r="AB5096" s="318"/>
      <c r="AC5096" s="318"/>
      <c r="AD5096" s="318"/>
    </row>
    <row r="5097" spans="2:30" s="323" customFormat="1" ht="12" customHeight="1">
      <c r="B5097" s="324"/>
      <c r="C5097" s="325"/>
      <c r="D5097" s="326"/>
      <c r="E5097" s="326"/>
      <c r="F5097" s="326"/>
      <c r="G5097" s="326"/>
      <c r="H5097" s="326"/>
      <c r="P5097" s="318"/>
      <c r="Q5097" s="318"/>
      <c r="R5097" s="318"/>
      <c r="S5097" s="318"/>
      <c r="T5097" s="318"/>
      <c r="U5097" s="318"/>
      <c r="V5097" s="318"/>
      <c r="W5097" s="318"/>
      <c r="X5097" s="318"/>
      <c r="Y5097" s="318"/>
      <c r="Z5097" s="318"/>
      <c r="AA5097" s="318"/>
      <c r="AB5097" s="318"/>
      <c r="AC5097" s="318"/>
      <c r="AD5097" s="318"/>
    </row>
    <row r="5098" spans="2:30" s="323" customFormat="1" ht="12" customHeight="1">
      <c r="B5098" s="324"/>
      <c r="C5098" s="325"/>
      <c r="D5098" s="326"/>
      <c r="E5098" s="326"/>
      <c r="F5098" s="326"/>
      <c r="G5098" s="326"/>
      <c r="H5098" s="326"/>
      <c r="P5098" s="318"/>
      <c r="Q5098" s="318"/>
      <c r="R5098" s="318"/>
      <c r="S5098" s="318"/>
      <c r="T5098" s="318"/>
      <c r="U5098" s="318"/>
      <c r="V5098" s="318"/>
      <c r="W5098" s="318"/>
      <c r="X5098" s="318"/>
      <c r="Y5098" s="318"/>
      <c r="Z5098" s="318"/>
      <c r="AA5098" s="318"/>
      <c r="AB5098" s="318"/>
      <c r="AC5098" s="318"/>
      <c r="AD5098" s="318"/>
    </row>
    <row r="5099" spans="2:30" s="323" customFormat="1" ht="12" customHeight="1">
      <c r="B5099" s="324"/>
      <c r="C5099" s="325"/>
      <c r="D5099" s="326"/>
      <c r="E5099" s="326"/>
      <c r="F5099" s="326"/>
      <c r="G5099" s="326"/>
      <c r="H5099" s="326"/>
      <c r="P5099" s="318"/>
      <c r="Q5099" s="318"/>
      <c r="R5099" s="318"/>
      <c r="S5099" s="318"/>
      <c r="T5099" s="318"/>
      <c r="U5099" s="318"/>
      <c r="V5099" s="318"/>
      <c r="W5099" s="318"/>
      <c r="X5099" s="318"/>
      <c r="Y5099" s="318"/>
      <c r="Z5099" s="318"/>
      <c r="AA5099" s="318"/>
      <c r="AB5099" s="318"/>
      <c r="AC5099" s="318"/>
      <c r="AD5099" s="318"/>
    </row>
    <row r="5100" spans="2:30" s="323" customFormat="1" ht="12" customHeight="1">
      <c r="B5100" s="324"/>
      <c r="C5100" s="325"/>
      <c r="D5100" s="326"/>
      <c r="E5100" s="326"/>
      <c r="F5100" s="326"/>
      <c r="G5100" s="326"/>
      <c r="H5100" s="326"/>
      <c r="P5100" s="318"/>
      <c r="Q5100" s="318"/>
      <c r="R5100" s="318"/>
      <c r="S5100" s="318"/>
      <c r="T5100" s="318"/>
      <c r="U5100" s="318"/>
      <c r="V5100" s="318"/>
      <c r="W5100" s="318"/>
      <c r="X5100" s="318"/>
      <c r="Y5100" s="318"/>
      <c r="Z5100" s="318"/>
      <c r="AA5100" s="318"/>
      <c r="AB5100" s="318"/>
      <c r="AC5100" s="318"/>
      <c r="AD5100" s="318"/>
    </row>
    <row r="5101" spans="2:30" s="323" customFormat="1" ht="12" customHeight="1">
      <c r="B5101" s="324"/>
      <c r="C5101" s="325"/>
      <c r="D5101" s="326"/>
      <c r="E5101" s="326"/>
      <c r="F5101" s="326"/>
      <c r="G5101" s="326"/>
      <c r="H5101" s="326"/>
      <c r="P5101" s="318"/>
      <c r="Q5101" s="318"/>
      <c r="R5101" s="318"/>
      <c r="S5101" s="318"/>
      <c r="T5101" s="318"/>
      <c r="U5101" s="318"/>
      <c r="V5101" s="318"/>
      <c r="W5101" s="318"/>
      <c r="X5101" s="318"/>
      <c r="Y5101" s="318"/>
      <c r="Z5101" s="318"/>
      <c r="AA5101" s="318"/>
      <c r="AB5101" s="318"/>
      <c r="AC5101" s="318"/>
      <c r="AD5101" s="318"/>
    </row>
    <row r="5102" spans="2:30" s="323" customFormat="1" ht="12" customHeight="1">
      <c r="B5102" s="324"/>
      <c r="C5102" s="325"/>
      <c r="D5102" s="326"/>
      <c r="E5102" s="326"/>
      <c r="F5102" s="326"/>
      <c r="G5102" s="326"/>
      <c r="H5102" s="326"/>
      <c r="P5102" s="318"/>
      <c r="Q5102" s="318"/>
      <c r="R5102" s="318"/>
      <c r="S5102" s="318"/>
      <c r="T5102" s="318"/>
      <c r="U5102" s="318"/>
      <c r="V5102" s="318"/>
      <c r="W5102" s="318"/>
      <c r="X5102" s="318"/>
      <c r="Y5102" s="318"/>
      <c r="Z5102" s="318"/>
      <c r="AA5102" s="318"/>
      <c r="AB5102" s="318"/>
      <c r="AC5102" s="318"/>
      <c r="AD5102" s="318"/>
    </row>
    <row r="5103" spans="2:30" s="323" customFormat="1" ht="12" customHeight="1">
      <c r="B5103" s="324"/>
      <c r="C5103" s="325"/>
      <c r="D5103" s="326"/>
      <c r="E5103" s="326"/>
      <c r="F5103" s="326"/>
      <c r="G5103" s="326"/>
      <c r="H5103" s="326"/>
      <c r="P5103" s="318"/>
      <c r="Q5103" s="318"/>
      <c r="R5103" s="318"/>
      <c r="S5103" s="318"/>
      <c r="T5103" s="318"/>
      <c r="U5103" s="318"/>
      <c r="V5103" s="318"/>
      <c r="W5103" s="318"/>
      <c r="X5103" s="318"/>
      <c r="Y5103" s="318"/>
      <c r="Z5103" s="318"/>
      <c r="AA5103" s="318"/>
      <c r="AB5103" s="318"/>
      <c r="AC5103" s="318"/>
      <c r="AD5103" s="318"/>
    </row>
    <row r="5104" spans="2:30" s="323" customFormat="1" ht="12" customHeight="1">
      <c r="B5104" s="324"/>
      <c r="C5104" s="325"/>
      <c r="D5104" s="326"/>
      <c r="E5104" s="326"/>
      <c r="F5104" s="326"/>
      <c r="G5104" s="326"/>
      <c r="H5104" s="326"/>
      <c r="P5104" s="318"/>
      <c r="Q5104" s="318"/>
      <c r="R5104" s="318"/>
      <c r="S5104" s="318"/>
      <c r="T5104" s="318"/>
      <c r="U5104" s="318"/>
      <c r="V5104" s="318"/>
      <c r="W5104" s="318"/>
      <c r="X5104" s="318"/>
      <c r="Y5104" s="318"/>
      <c r="Z5104" s="318"/>
      <c r="AA5104" s="318"/>
      <c r="AB5104" s="318"/>
      <c r="AC5104" s="318"/>
      <c r="AD5104" s="318"/>
    </row>
    <row r="5105" spans="2:30" s="323" customFormat="1" ht="12" customHeight="1">
      <c r="B5105" s="324"/>
      <c r="C5105" s="325"/>
      <c r="D5105" s="326"/>
      <c r="E5105" s="326"/>
      <c r="F5105" s="326"/>
      <c r="G5105" s="326"/>
      <c r="H5105" s="326"/>
      <c r="P5105" s="318"/>
      <c r="Q5105" s="318"/>
      <c r="R5105" s="318"/>
      <c r="S5105" s="318"/>
      <c r="T5105" s="318"/>
      <c r="U5105" s="318"/>
      <c r="V5105" s="318"/>
      <c r="W5105" s="318"/>
      <c r="X5105" s="318"/>
      <c r="Y5105" s="318"/>
      <c r="Z5105" s="318"/>
      <c r="AA5105" s="318"/>
      <c r="AB5105" s="318"/>
      <c r="AC5105" s="318"/>
      <c r="AD5105" s="318"/>
    </row>
    <row r="5106" spans="2:30" s="323" customFormat="1" ht="12" customHeight="1">
      <c r="B5106" s="324"/>
      <c r="C5106" s="325"/>
      <c r="D5106" s="326"/>
      <c r="E5106" s="326"/>
      <c r="F5106" s="326"/>
      <c r="G5106" s="326"/>
      <c r="H5106" s="326"/>
      <c r="P5106" s="318"/>
      <c r="Q5106" s="318"/>
      <c r="R5106" s="318"/>
      <c r="S5106" s="318"/>
      <c r="T5106" s="318"/>
      <c r="U5106" s="318"/>
      <c r="V5106" s="318"/>
      <c r="W5106" s="318"/>
      <c r="X5106" s="318"/>
      <c r="Y5106" s="318"/>
      <c r="Z5106" s="318"/>
      <c r="AA5106" s="318"/>
      <c r="AB5106" s="318"/>
      <c r="AC5106" s="318"/>
      <c r="AD5106" s="318"/>
    </row>
    <row r="5107" spans="2:30" s="323" customFormat="1" ht="12" customHeight="1">
      <c r="B5107" s="324"/>
      <c r="C5107" s="325"/>
      <c r="D5107" s="326"/>
      <c r="E5107" s="326"/>
      <c r="F5107" s="326"/>
      <c r="G5107" s="326"/>
      <c r="H5107" s="326"/>
      <c r="P5107" s="318"/>
      <c r="Q5107" s="318"/>
      <c r="R5107" s="318"/>
      <c r="S5107" s="318"/>
      <c r="T5107" s="318"/>
      <c r="U5107" s="318"/>
      <c r="V5107" s="318"/>
      <c r="W5107" s="318"/>
      <c r="X5107" s="318"/>
      <c r="Y5107" s="318"/>
      <c r="Z5107" s="318"/>
      <c r="AA5107" s="318"/>
      <c r="AB5107" s="318"/>
      <c r="AC5107" s="318"/>
      <c r="AD5107" s="318"/>
    </row>
    <row r="5108" spans="2:30" s="323" customFormat="1" ht="12" customHeight="1">
      <c r="B5108" s="324"/>
      <c r="C5108" s="325"/>
      <c r="D5108" s="326"/>
      <c r="E5108" s="326"/>
      <c r="F5108" s="326"/>
      <c r="G5108" s="326"/>
      <c r="H5108" s="326"/>
      <c r="P5108" s="318"/>
      <c r="Q5108" s="318"/>
      <c r="R5108" s="318"/>
      <c r="S5108" s="318"/>
      <c r="T5108" s="318"/>
      <c r="U5108" s="318"/>
      <c r="V5108" s="318"/>
      <c r="W5108" s="318"/>
      <c r="X5108" s="318"/>
      <c r="Y5108" s="318"/>
      <c r="Z5108" s="318"/>
      <c r="AA5108" s="318"/>
      <c r="AB5108" s="318"/>
      <c r="AC5108" s="318"/>
      <c r="AD5108" s="318"/>
    </row>
    <row r="5109" spans="2:30" s="323" customFormat="1" ht="12" customHeight="1">
      <c r="B5109" s="324"/>
      <c r="C5109" s="325"/>
      <c r="D5109" s="326"/>
      <c r="E5109" s="326"/>
      <c r="F5109" s="326"/>
      <c r="G5109" s="326"/>
      <c r="H5109" s="326"/>
      <c r="P5109" s="318"/>
      <c r="Q5109" s="318"/>
      <c r="R5109" s="318"/>
      <c r="S5109" s="318"/>
      <c r="T5109" s="318"/>
      <c r="U5109" s="318"/>
      <c r="V5109" s="318"/>
      <c r="W5109" s="318"/>
      <c r="X5109" s="318"/>
      <c r="Y5109" s="318"/>
      <c r="Z5109" s="318"/>
      <c r="AA5109" s="318"/>
      <c r="AB5109" s="318"/>
      <c r="AC5109" s="318"/>
      <c r="AD5109" s="318"/>
    </row>
    <row r="5110" spans="2:30" s="323" customFormat="1" ht="12" customHeight="1">
      <c r="B5110" s="324"/>
      <c r="C5110" s="325"/>
      <c r="D5110" s="326"/>
      <c r="E5110" s="326"/>
      <c r="F5110" s="326"/>
      <c r="G5110" s="326"/>
      <c r="H5110" s="326"/>
      <c r="P5110" s="318"/>
      <c r="Q5110" s="318"/>
      <c r="R5110" s="318"/>
      <c r="S5110" s="318"/>
      <c r="T5110" s="318"/>
      <c r="U5110" s="318"/>
      <c r="V5110" s="318"/>
      <c r="W5110" s="318"/>
      <c r="X5110" s="318"/>
      <c r="Y5110" s="318"/>
      <c r="Z5110" s="318"/>
      <c r="AA5110" s="318"/>
      <c r="AB5110" s="318"/>
      <c r="AC5110" s="318"/>
      <c r="AD5110" s="318"/>
    </row>
    <row r="5111" spans="2:30" s="323" customFormat="1" ht="12" customHeight="1">
      <c r="B5111" s="324"/>
      <c r="C5111" s="325"/>
      <c r="D5111" s="326"/>
      <c r="E5111" s="326"/>
      <c r="F5111" s="326"/>
      <c r="G5111" s="326"/>
      <c r="H5111" s="326"/>
      <c r="P5111" s="318"/>
      <c r="Q5111" s="318"/>
      <c r="R5111" s="318"/>
      <c r="S5111" s="318"/>
      <c r="T5111" s="318"/>
      <c r="U5111" s="318"/>
      <c r="V5111" s="318"/>
      <c r="W5111" s="318"/>
      <c r="X5111" s="318"/>
      <c r="Y5111" s="318"/>
      <c r="Z5111" s="318"/>
      <c r="AA5111" s="318"/>
      <c r="AB5111" s="318"/>
      <c r="AC5111" s="318"/>
      <c r="AD5111" s="318"/>
    </row>
    <row r="5112" spans="2:30" s="323" customFormat="1" ht="12" customHeight="1">
      <c r="B5112" s="324"/>
      <c r="C5112" s="325"/>
      <c r="D5112" s="326"/>
      <c r="E5112" s="326"/>
      <c r="F5112" s="326"/>
      <c r="G5112" s="326"/>
      <c r="H5112" s="326"/>
      <c r="P5112" s="318"/>
      <c r="Q5112" s="318"/>
      <c r="R5112" s="318"/>
      <c r="S5112" s="318"/>
      <c r="T5112" s="318"/>
      <c r="U5112" s="318"/>
      <c r="V5112" s="318"/>
      <c r="W5112" s="318"/>
      <c r="X5112" s="318"/>
      <c r="Y5112" s="318"/>
      <c r="Z5112" s="318"/>
      <c r="AA5112" s="318"/>
      <c r="AB5112" s="318"/>
      <c r="AC5112" s="318"/>
      <c r="AD5112" s="318"/>
    </row>
    <row r="5113" spans="2:30" s="323" customFormat="1" ht="12" customHeight="1">
      <c r="B5113" s="324"/>
      <c r="C5113" s="325"/>
      <c r="D5113" s="326"/>
      <c r="E5113" s="326"/>
      <c r="F5113" s="326"/>
      <c r="G5113" s="326"/>
      <c r="H5113" s="326"/>
      <c r="P5113" s="318"/>
      <c r="Q5113" s="318"/>
      <c r="R5113" s="318"/>
      <c r="S5113" s="318"/>
      <c r="T5113" s="318"/>
      <c r="U5113" s="318"/>
      <c r="V5113" s="318"/>
      <c r="W5113" s="318"/>
      <c r="X5113" s="318"/>
      <c r="Y5113" s="318"/>
      <c r="Z5113" s="318"/>
      <c r="AA5113" s="318"/>
      <c r="AB5113" s="318"/>
      <c r="AC5113" s="318"/>
      <c r="AD5113" s="318"/>
    </row>
    <row r="5114" spans="2:30" s="323" customFormat="1" ht="12" customHeight="1">
      <c r="B5114" s="324"/>
      <c r="C5114" s="325"/>
      <c r="D5114" s="326"/>
      <c r="E5114" s="326"/>
      <c r="F5114" s="326"/>
      <c r="G5114" s="326"/>
      <c r="H5114" s="326"/>
      <c r="P5114" s="318"/>
      <c r="Q5114" s="318"/>
      <c r="R5114" s="318"/>
      <c r="S5114" s="318"/>
      <c r="T5114" s="318"/>
      <c r="U5114" s="318"/>
      <c r="V5114" s="318"/>
      <c r="W5114" s="318"/>
      <c r="X5114" s="318"/>
      <c r="Y5114" s="318"/>
      <c r="Z5114" s="318"/>
      <c r="AA5114" s="318"/>
      <c r="AB5114" s="318"/>
      <c r="AC5114" s="318"/>
      <c r="AD5114" s="318"/>
    </row>
    <row r="5115" spans="2:30" s="323" customFormat="1" ht="12" customHeight="1">
      <c r="B5115" s="324"/>
      <c r="C5115" s="325"/>
      <c r="D5115" s="326"/>
      <c r="E5115" s="326"/>
      <c r="F5115" s="326"/>
      <c r="G5115" s="326"/>
      <c r="H5115" s="326"/>
      <c r="P5115" s="318"/>
      <c r="Q5115" s="318"/>
      <c r="R5115" s="318"/>
      <c r="S5115" s="318"/>
      <c r="T5115" s="318"/>
      <c r="U5115" s="318"/>
      <c r="V5115" s="318"/>
      <c r="W5115" s="318"/>
      <c r="X5115" s="318"/>
      <c r="Y5115" s="318"/>
      <c r="Z5115" s="318"/>
      <c r="AA5115" s="318"/>
      <c r="AB5115" s="318"/>
      <c r="AC5115" s="318"/>
      <c r="AD5115" s="318"/>
    </row>
    <row r="5116" spans="2:30" s="323" customFormat="1" ht="12" customHeight="1">
      <c r="B5116" s="324"/>
      <c r="C5116" s="325"/>
      <c r="D5116" s="326"/>
      <c r="E5116" s="326"/>
      <c r="F5116" s="326"/>
      <c r="G5116" s="326"/>
      <c r="H5116" s="326"/>
      <c r="P5116" s="318"/>
      <c r="Q5116" s="318"/>
      <c r="R5116" s="318"/>
      <c r="S5116" s="318"/>
      <c r="T5116" s="318"/>
      <c r="U5116" s="318"/>
      <c r="V5116" s="318"/>
      <c r="W5116" s="318"/>
      <c r="X5116" s="318"/>
      <c r="Y5116" s="318"/>
      <c r="Z5116" s="318"/>
      <c r="AA5116" s="318"/>
      <c r="AB5116" s="318"/>
      <c r="AC5116" s="318"/>
      <c r="AD5116" s="318"/>
    </row>
    <row r="5117" spans="2:30" s="323" customFormat="1" ht="12" customHeight="1">
      <c r="B5117" s="324"/>
      <c r="C5117" s="325"/>
      <c r="D5117" s="326"/>
      <c r="E5117" s="326"/>
      <c r="F5117" s="326"/>
      <c r="G5117" s="326"/>
      <c r="H5117" s="326"/>
      <c r="P5117" s="318"/>
      <c r="Q5117" s="318"/>
      <c r="R5117" s="318"/>
      <c r="S5117" s="318"/>
      <c r="T5117" s="318"/>
      <c r="U5117" s="318"/>
      <c r="V5117" s="318"/>
      <c r="W5117" s="318"/>
      <c r="X5117" s="318"/>
      <c r="Y5117" s="318"/>
      <c r="Z5117" s="318"/>
      <c r="AA5117" s="318"/>
      <c r="AB5117" s="318"/>
      <c r="AC5117" s="318"/>
      <c r="AD5117" s="318"/>
    </row>
    <row r="5118" spans="2:30" s="323" customFormat="1" ht="12" customHeight="1">
      <c r="B5118" s="324"/>
      <c r="C5118" s="325"/>
      <c r="D5118" s="326"/>
      <c r="E5118" s="326"/>
      <c r="F5118" s="326"/>
      <c r="G5118" s="326"/>
      <c r="H5118" s="326"/>
      <c r="P5118" s="318"/>
      <c r="Q5118" s="318"/>
      <c r="R5118" s="318"/>
      <c r="S5118" s="318"/>
      <c r="T5118" s="318"/>
      <c r="U5118" s="318"/>
      <c r="V5118" s="318"/>
      <c r="W5118" s="318"/>
      <c r="X5118" s="318"/>
      <c r="Y5118" s="318"/>
      <c r="Z5118" s="318"/>
      <c r="AA5118" s="318"/>
      <c r="AB5118" s="318"/>
      <c r="AC5118" s="318"/>
      <c r="AD5118" s="318"/>
    </row>
    <row r="5119" spans="2:30" s="323" customFormat="1" ht="12" customHeight="1">
      <c r="B5119" s="324"/>
      <c r="C5119" s="325"/>
      <c r="D5119" s="326"/>
      <c r="E5119" s="326"/>
      <c r="F5119" s="326"/>
      <c r="G5119" s="326"/>
      <c r="H5119" s="326"/>
      <c r="P5119" s="318"/>
      <c r="Q5119" s="318"/>
      <c r="R5119" s="318"/>
      <c r="S5119" s="318"/>
      <c r="T5119" s="318"/>
      <c r="U5119" s="318"/>
      <c r="V5119" s="318"/>
      <c r="W5119" s="318"/>
      <c r="X5119" s="318"/>
      <c r="Y5119" s="318"/>
      <c r="Z5119" s="318"/>
      <c r="AA5119" s="318"/>
      <c r="AB5119" s="318"/>
      <c r="AC5119" s="318"/>
      <c r="AD5119" s="318"/>
    </row>
    <row r="5120" spans="2:30" s="323" customFormat="1" ht="12" customHeight="1">
      <c r="B5120" s="324"/>
      <c r="C5120" s="325"/>
      <c r="D5120" s="326"/>
      <c r="E5120" s="326"/>
      <c r="F5120" s="326"/>
      <c r="G5120" s="326"/>
      <c r="H5120" s="326"/>
      <c r="P5120" s="318"/>
      <c r="Q5120" s="318"/>
      <c r="R5120" s="318"/>
      <c r="S5120" s="318"/>
      <c r="T5120" s="318"/>
      <c r="U5120" s="318"/>
      <c r="V5120" s="318"/>
      <c r="W5120" s="318"/>
      <c r="X5120" s="318"/>
      <c r="Y5120" s="318"/>
      <c r="Z5120" s="318"/>
      <c r="AA5120" s="318"/>
      <c r="AB5120" s="318"/>
      <c r="AC5120" s="318"/>
      <c r="AD5120" s="318"/>
    </row>
    <row r="5121" spans="2:30" s="323" customFormat="1" ht="12" customHeight="1">
      <c r="B5121" s="324"/>
      <c r="C5121" s="325"/>
      <c r="D5121" s="326"/>
      <c r="E5121" s="326"/>
      <c r="F5121" s="326"/>
      <c r="G5121" s="326"/>
      <c r="H5121" s="326"/>
      <c r="P5121" s="318"/>
      <c r="Q5121" s="318"/>
      <c r="R5121" s="318"/>
      <c r="S5121" s="318"/>
      <c r="T5121" s="318"/>
      <c r="U5121" s="318"/>
      <c r="V5121" s="318"/>
      <c r="W5121" s="318"/>
      <c r="X5121" s="318"/>
      <c r="Y5121" s="318"/>
      <c r="Z5121" s="318"/>
      <c r="AA5121" s="318"/>
      <c r="AB5121" s="318"/>
      <c r="AC5121" s="318"/>
      <c r="AD5121" s="318"/>
    </row>
    <row r="5122" spans="2:30" s="323" customFormat="1" ht="12" customHeight="1">
      <c r="B5122" s="324"/>
      <c r="C5122" s="325"/>
      <c r="D5122" s="326"/>
      <c r="E5122" s="326"/>
      <c r="F5122" s="326"/>
      <c r="G5122" s="326"/>
      <c r="H5122" s="326"/>
      <c r="P5122" s="318"/>
      <c r="Q5122" s="318"/>
      <c r="R5122" s="318"/>
      <c r="S5122" s="318"/>
      <c r="T5122" s="318"/>
      <c r="U5122" s="318"/>
      <c r="V5122" s="318"/>
      <c r="W5122" s="318"/>
      <c r="X5122" s="318"/>
      <c r="Y5122" s="318"/>
      <c r="Z5122" s="318"/>
      <c r="AA5122" s="318"/>
      <c r="AB5122" s="318"/>
      <c r="AC5122" s="318"/>
      <c r="AD5122" s="318"/>
    </row>
    <row r="5123" spans="2:30" s="323" customFormat="1" ht="12" customHeight="1">
      <c r="B5123" s="324"/>
      <c r="C5123" s="325"/>
      <c r="D5123" s="326"/>
      <c r="E5123" s="326"/>
      <c r="F5123" s="326"/>
      <c r="G5123" s="326"/>
      <c r="H5123" s="326"/>
      <c r="P5123" s="318"/>
      <c r="Q5123" s="318"/>
      <c r="R5123" s="318"/>
      <c r="S5123" s="318"/>
      <c r="T5123" s="318"/>
      <c r="U5123" s="318"/>
      <c r="V5123" s="318"/>
      <c r="W5123" s="318"/>
      <c r="X5123" s="318"/>
      <c r="Y5123" s="318"/>
      <c r="Z5123" s="318"/>
      <c r="AA5123" s="318"/>
      <c r="AB5123" s="318"/>
      <c r="AC5123" s="318"/>
      <c r="AD5123" s="318"/>
    </row>
    <row r="5124" spans="2:30" s="323" customFormat="1" ht="12" customHeight="1">
      <c r="B5124" s="324"/>
      <c r="C5124" s="325"/>
      <c r="D5124" s="326"/>
      <c r="E5124" s="326"/>
      <c r="F5124" s="326"/>
      <c r="G5124" s="326"/>
      <c r="H5124" s="326"/>
      <c r="P5124" s="318"/>
      <c r="Q5124" s="318"/>
      <c r="R5124" s="318"/>
      <c r="S5124" s="318"/>
      <c r="T5124" s="318"/>
      <c r="U5124" s="318"/>
      <c r="V5124" s="318"/>
      <c r="W5124" s="318"/>
      <c r="X5124" s="318"/>
      <c r="Y5124" s="318"/>
      <c r="Z5124" s="318"/>
      <c r="AA5124" s="318"/>
      <c r="AB5124" s="318"/>
      <c r="AC5124" s="318"/>
      <c r="AD5124" s="318"/>
    </row>
    <row r="5125" spans="2:30" s="323" customFormat="1" ht="12" customHeight="1">
      <c r="B5125" s="324"/>
      <c r="C5125" s="325"/>
      <c r="D5125" s="326"/>
      <c r="E5125" s="326"/>
      <c r="F5125" s="326"/>
      <c r="G5125" s="326"/>
      <c r="H5125" s="326"/>
      <c r="P5125" s="318"/>
      <c r="Q5125" s="318"/>
      <c r="R5125" s="318"/>
      <c r="S5125" s="318"/>
      <c r="T5125" s="318"/>
      <c r="U5125" s="318"/>
      <c r="V5125" s="318"/>
      <c r="W5125" s="318"/>
      <c r="X5125" s="318"/>
      <c r="Y5125" s="318"/>
      <c r="Z5125" s="318"/>
      <c r="AA5125" s="318"/>
      <c r="AB5125" s="318"/>
      <c r="AC5125" s="318"/>
      <c r="AD5125" s="318"/>
    </row>
    <row r="5126" spans="2:30" s="323" customFormat="1" ht="12" customHeight="1">
      <c r="B5126" s="324"/>
      <c r="C5126" s="325"/>
      <c r="D5126" s="326"/>
      <c r="E5126" s="326"/>
      <c r="F5126" s="326"/>
      <c r="G5126" s="326"/>
      <c r="H5126" s="326"/>
      <c r="P5126" s="318"/>
      <c r="Q5126" s="318"/>
      <c r="R5126" s="318"/>
      <c r="S5126" s="318"/>
      <c r="T5126" s="318"/>
      <c r="U5126" s="318"/>
      <c r="V5126" s="318"/>
      <c r="W5126" s="318"/>
      <c r="X5126" s="318"/>
      <c r="Y5126" s="318"/>
      <c r="Z5126" s="318"/>
      <c r="AA5126" s="318"/>
      <c r="AB5126" s="318"/>
      <c r="AC5126" s="318"/>
      <c r="AD5126" s="318"/>
    </row>
    <row r="5127" spans="2:30" s="323" customFormat="1" ht="12" customHeight="1">
      <c r="B5127" s="324"/>
      <c r="C5127" s="325"/>
      <c r="D5127" s="326"/>
      <c r="E5127" s="326"/>
      <c r="F5127" s="326"/>
      <c r="G5127" s="326"/>
      <c r="H5127" s="326"/>
      <c r="P5127" s="318"/>
      <c r="Q5127" s="318"/>
      <c r="R5127" s="318"/>
      <c r="S5127" s="318"/>
      <c r="T5127" s="318"/>
      <c r="U5127" s="318"/>
      <c r="V5127" s="318"/>
      <c r="W5127" s="318"/>
      <c r="X5127" s="318"/>
      <c r="Y5127" s="318"/>
      <c r="Z5127" s="318"/>
      <c r="AA5127" s="318"/>
      <c r="AB5127" s="318"/>
      <c r="AC5127" s="318"/>
      <c r="AD5127" s="318"/>
    </row>
    <row r="5128" spans="2:30" s="323" customFormat="1" ht="12" customHeight="1">
      <c r="B5128" s="324"/>
      <c r="C5128" s="325"/>
      <c r="D5128" s="326"/>
      <c r="E5128" s="326"/>
      <c r="F5128" s="326"/>
      <c r="G5128" s="326"/>
      <c r="H5128" s="326"/>
      <c r="P5128" s="318"/>
      <c r="Q5128" s="318"/>
      <c r="R5128" s="318"/>
      <c r="S5128" s="318"/>
      <c r="T5128" s="318"/>
      <c r="U5128" s="318"/>
      <c r="V5128" s="318"/>
      <c r="W5128" s="318"/>
      <c r="X5128" s="318"/>
      <c r="Y5128" s="318"/>
      <c r="Z5128" s="318"/>
      <c r="AA5128" s="318"/>
      <c r="AB5128" s="318"/>
      <c r="AC5128" s="318"/>
      <c r="AD5128" s="318"/>
    </row>
    <row r="5129" spans="2:30" s="323" customFormat="1" ht="12" customHeight="1">
      <c r="B5129" s="324"/>
      <c r="C5129" s="325"/>
      <c r="D5129" s="326"/>
      <c r="E5129" s="326"/>
      <c r="F5129" s="326"/>
      <c r="G5129" s="326"/>
      <c r="H5129" s="326"/>
      <c r="P5129" s="318"/>
      <c r="Q5129" s="318"/>
      <c r="R5129" s="318"/>
      <c r="S5129" s="318"/>
      <c r="T5129" s="318"/>
      <c r="U5129" s="318"/>
      <c r="V5129" s="318"/>
      <c r="W5129" s="318"/>
      <c r="X5129" s="318"/>
      <c r="Y5129" s="318"/>
      <c r="Z5129" s="318"/>
      <c r="AA5129" s="318"/>
      <c r="AB5129" s="318"/>
      <c r="AC5129" s="318"/>
      <c r="AD5129" s="318"/>
    </row>
    <row r="5130" spans="2:30" s="323" customFormat="1" ht="12" customHeight="1">
      <c r="B5130" s="324"/>
      <c r="C5130" s="325"/>
      <c r="D5130" s="326"/>
      <c r="E5130" s="326"/>
      <c r="F5130" s="326"/>
      <c r="G5130" s="326"/>
      <c r="H5130" s="326"/>
      <c r="P5130" s="318"/>
      <c r="Q5130" s="318"/>
      <c r="R5130" s="318"/>
      <c r="S5130" s="318"/>
      <c r="T5130" s="318"/>
      <c r="U5130" s="318"/>
      <c r="V5130" s="318"/>
      <c r="W5130" s="318"/>
      <c r="X5130" s="318"/>
      <c r="Y5130" s="318"/>
      <c r="Z5130" s="318"/>
      <c r="AA5130" s="318"/>
      <c r="AB5130" s="318"/>
      <c r="AC5130" s="318"/>
      <c r="AD5130" s="318"/>
    </row>
    <row r="5131" spans="2:30" s="323" customFormat="1" ht="12" customHeight="1">
      <c r="B5131" s="324"/>
      <c r="C5131" s="325"/>
      <c r="D5131" s="326"/>
      <c r="E5131" s="326"/>
      <c r="F5131" s="326"/>
      <c r="G5131" s="326"/>
      <c r="H5131" s="326"/>
      <c r="P5131" s="318"/>
      <c r="Q5131" s="318"/>
      <c r="R5131" s="318"/>
      <c r="S5131" s="318"/>
      <c r="T5131" s="318"/>
      <c r="U5131" s="318"/>
      <c r="V5131" s="318"/>
      <c r="W5131" s="318"/>
      <c r="X5131" s="318"/>
      <c r="Y5131" s="318"/>
      <c r="Z5131" s="318"/>
      <c r="AA5131" s="318"/>
      <c r="AB5131" s="318"/>
      <c r="AC5131" s="318"/>
      <c r="AD5131" s="318"/>
    </row>
    <row r="5132" spans="2:30" s="323" customFormat="1" ht="12" customHeight="1">
      <c r="B5132" s="324"/>
      <c r="C5132" s="325"/>
      <c r="D5132" s="326"/>
      <c r="E5132" s="326"/>
      <c r="F5132" s="326"/>
      <c r="G5132" s="326"/>
      <c r="H5132" s="326"/>
      <c r="P5132" s="318"/>
      <c r="Q5132" s="318"/>
      <c r="R5132" s="318"/>
      <c r="S5132" s="318"/>
      <c r="T5132" s="318"/>
      <c r="U5132" s="318"/>
      <c r="V5132" s="318"/>
      <c r="W5132" s="318"/>
      <c r="X5132" s="318"/>
      <c r="Y5132" s="318"/>
      <c r="Z5132" s="318"/>
      <c r="AA5132" s="318"/>
      <c r="AB5132" s="318"/>
      <c r="AC5132" s="318"/>
      <c r="AD5132" s="318"/>
    </row>
    <row r="5133" spans="2:30" s="323" customFormat="1" ht="12" customHeight="1">
      <c r="B5133" s="324"/>
      <c r="C5133" s="325"/>
      <c r="D5133" s="326"/>
      <c r="E5133" s="326"/>
      <c r="F5133" s="326"/>
      <c r="G5133" s="326"/>
      <c r="H5133" s="326"/>
      <c r="P5133" s="318"/>
      <c r="Q5133" s="318"/>
      <c r="R5133" s="318"/>
      <c r="S5133" s="318"/>
      <c r="T5133" s="318"/>
      <c r="U5133" s="318"/>
      <c r="V5133" s="318"/>
      <c r="W5133" s="318"/>
      <c r="X5133" s="318"/>
      <c r="Y5133" s="318"/>
      <c r="Z5133" s="318"/>
      <c r="AA5133" s="318"/>
      <c r="AB5133" s="318"/>
      <c r="AC5133" s="318"/>
      <c r="AD5133" s="318"/>
    </row>
    <row r="5134" spans="2:30" s="323" customFormat="1" ht="12" customHeight="1">
      <c r="B5134" s="324"/>
      <c r="C5134" s="325"/>
      <c r="D5134" s="326"/>
      <c r="E5134" s="326"/>
      <c r="F5134" s="326"/>
      <c r="G5134" s="326"/>
      <c r="H5134" s="326"/>
      <c r="P5134" s="318"/>
      <c r="Q5134" s="318"/>
      <c r="R5134" s="318"/>
      <c r="S5134" s="318"/>
      <c r="T5134" s="318"/>
      <c r="U5134" s="318"/>
      <c r="V5134" s="318"/>
      <c r="W5134" s="318"/>
      <c r="X5134" s="318"/>
      <c r="Y5134" s="318"/>
      <c r="Z5134" s="318"/>
      <c r="AA5134" s="318"/>
      <c r="AB5134" s="318"/>
      <c r="AC5134" s="318"/>
      <c r="AD5134" s="318"/>
    </row>
    <row r="5135" spans="2:30" s="323" customFormat="1" ht="12" customHeight="1">
      <c r="B5135" s="324"/>
      <c r="C5135" s="325"/>
      <c r="D5135" s="326"/>
      <c r="E5135" s="326"/>
      <c r="F5135" s="326"/>
      <c r="G5135" s="326"/>
      <c r="H5135" s="326"/>
      <c r="P5135" s="318"/>
      <c r="Q5135" s="318"/>
      <c r="R5135" s="318"/>
      <c r="S5135" s="318"/>
      <c r="T5135" s="318"/>
      <c r="U5135" s="318"/>
      <c r="V5135" s="318"/>
      <c r="W5135" s="318"/>
      <c r="X5135" s="318"/>
      <c r="Y5135" s="318"/>
      <c r="Z5135" s="318"/>
      <c r="AA5135" s="318"/>
      <c r="AB5135" s="318"/>
      <c r="AC5135" s="318"/>
      <c r="AD5135" s="318"/>
    </row>
    <row r="5136" spans="2:30" s="323" customFormat="1" ht="12" customHeight="1">
      <c r="B5136" s="324"/>
      <c r="C5136" s="325"/>
      <c r="D5136" s="326"/>
      <c r="E5136" s="326"/>
      <c r="F5136" s="326"/>
      <c r="G5136" s="326"/>
      <c r="H5136" s="326"/>
      <c r="P5136" s="318"/>
      <c r="Q5136" s="318"/>
      <c r="R5136" s="318"/>
      <c r="S5136" s="318"/>
      <c r="T5136" s="318"/>
      <c r="U5136" s="318"/>
      <c r="V5136" s="318"/>
      <c r="W5136" s="318"/>
      <c r="X5136" s="318"/>
      <c r="Y5136" s="318"/>
      <c r="Z5136" s="318"/>
      <c r="AA5136" s="318"/>
      <c r="AB5136" s="318"/>
      <c r="AC5136" s="318"/>
      <c r="AD5136" s="318"/>
    </row>
    <row r="5137" spans="2:30" s="323" customFormat="1" ht="12" customHeight="1">
      <c r="B5137" s="324"/>
      <c r="C5137" s="325"/>
      <c r="D5137" s="326"/>
      <c r="E5137" s="326"/>
      <c r="F5137" s="326"/>
      <c r="G5137" s="326"/>
      <c r="H5137" s="326"/>
      <c r="P5137" s="318"/>
      <c r="Q5137" s="318"/>
      <c r="R5137" s="318"/>
      <c r="S5137" s="318"/>
      <c r="T5137" s="318"/>
      <c r="U5137" s="318"/>
      <c r="V5137" s="318"/>
      <c r="W5137" s="318"/>
      <c r="X5137" s="318"/>
      <c r="Y5137" s="318"/>
      <c r="Z5137" s="318"/>
      <c r="AA5137" s="318"/>
      <c r="AB5137" s="318"/>
      <c r="AC5137" s="318"/>
      <c r="AD5137" s="318"/>
    </row>
    <row r="5138" spans="2:30" s="323" customFormat="1" ht="12" customHeight="1">
      <c r="B5138" s="324"/>
      <c r="C5138" s="325"/>
      <c r="D5138" s="326"/>
      <c r="E5138" s="326"/>
      <c r="F5138" s="326"/>
      <c r="G5138" s="326"/>
      <c r="H5138" s="326"/>
      <c r="P5138" s="318"/>
      <c r="Q5138" s="318"/>
      <c r="R5138" s="318"/>
      <c r="S5138" s="318"/>
      <c r="T5138" s="318"/>
      <c r="U5138" s="318"/>
      <c r="V5138" s="318"/>
      <c r="W5138" s="318"/>
      <c r="X5138" s="318"/>
      <c r="Y5138" s="318"/>
      <c r="Z5138" s="318"/>
      <c r="AA5138" s="318"/>
      <c r="AB5138" s="318"/>
      <c r="AC5138" s="318"/>
      <c r="AD5138" s="318"/>
    </row>
    <row r="5139" spans="2:30" s="323" customFormat="1" ht="12" customHeight="1">
      <c r="B5139" s="324"/>
      <c r="C5139" s="325"/>
      <c r="D5139" s="326"/>
      <c r="E5139" s="326"/>
      <c r="F5139" s="326"/>
      <c r="G5139" s="326"/>
      <c r="H5139" s="326"/>
      <c r="P5139" s="318"/>
      <c r="Q5139" s="318"/>
      <c r="R5139" s="318"/>
      <c r="S5139" s="318"/>
      <c r="T5139" s="318"/>
      <c r="U5139" s="318"/>
      <c r="V5139" s="318"/>
      <c r="W5139" s="318"/>
      <c r="X5139" s="318"/>
      <c r="Y5139" s="318"/>
      <c r="Z5139" s="318"/>
      <c r="AA5139" s="318"/>
      <c r="AB5139" s="318"/>
      <c r="AC5139" s="318"/>
      <c r="AD5139" s="318"/>
    </row>
    <row r="5140" spans="2:30" s="323" customFormat="1" ht="12" customHeight="1">
      <c r="B5140" s="324"/>
      <c r="C5140" s="325"/>
      <c r="D5140" s="326"/>
      <c r="E5140" s="326"/>
      <c r="F5140" s="326"/>
      <c r="G5140" s="326"/>
      <c r="H5140" s="326"/>
      <c r="P5140" s="318"/>
      <c r="Q5140" s="318"/>
      <c r="R5140" s="318"/>
      <c r="S5140" s="318"/>
      <c r="T5140" s="318"/>
      <c r="U5140" s="318"/>
      <c r="V5140" s="318"/>
      <c r="W5140" s="318"/>
      <c r="X5140" s="318"/>
      <c r="Y5140" s="318"/>
      <c r="Z5140" s="318"/>
      <c r="AA5140" s="318"/>
      <c r="AB5140" s="318"/>
      <c r="AC5140" s="318"/>
      <c r="AD5140" s="318"/>
    </row>
    <row r="5141" spans="2:30" s="323" customFormat="1" ht="12" customHeight="1">
      <c r="B5141" s="324"/>
      <c r="C5141" s="325"/>
      <c r="D5141" s="326"/>
      <c r="E5141" s="326"/>
      <c r="F5141" s="326"/>
      <c r="G5141" s="326"/>
      <c r="H5141" s="326"/>
      <c r="P5141" s="318"/>
      <c r="Q5141" s="318"/>
      <c r="R5141" s="318"/>
      <c r="S5141" s="318"/>
      <c r="T5141" s="318"/>
      <c r="U5141" s="318"/>
      <c r="V5141" s="318"/>
      <c r="W5141" s="318"/>
      <c r="X5141" s="318"/>
      <c r="Y5141" s="318"/>
      <c r="Z5141" s="318"/>
      <c r="AA5141" s="318"/>
      <c r="AB5141" s="318"/>
      <c r="AC5141" s="318"/>
      <c r="AD5141" s="318"/>
    </row>
    <row r="5142" spans="2:30" s="323" customFormat="1" ht="12" customHeight="1">
      <c r="B5142" s="324"/>
      <c r="C5142" s="325"/>
      <c r="D5142" s="326"/>
      <c r="E5142" s="326"/>
      <c r="F5142" s="326"/>
      <c r="G5142" s="326"/>
      <c r="H5142" s="326"/>
      <c r="P5142" s="318"/>
      <c r="Q5142" s="318"/>
      <c r="R5142" s="318"/>
      <c r="S5142" s="318"/>
      <c r="T5142" s="318"/>
      <c r="U5142" s="318"/>
      <c r="V5142" s="318"/>
      <c r="W5142" s="318"/>
      <c r="X5142" s="318"/>
      <c r="Y5142" s="318"/>
      <c r="Z5142" s="318"/>
      <c r="AA5142" s="318"/>
      <c r="AB5142" s="318"/>
      <c r="AC5142" s="318"/>
      <c r="AD5142" s="318"/>
    </row>
    <row r="5143" spans="2:30" s="323" customFormat="1" ht="12" customHeight="1">
      <c r="B5143" s="324"/>
      <c r="C5143" s="325"/>
      <c r="D5143" s="326"/>
      <c r="E5143" s="326"/>
      <c r="F5143" s="326"/>
      <c r="G5143" s="326"/>
      <c r="H5143" s="326"/>
      <c r="P5143" s="318"/>
      <c r="Q5143" s="318"/>
      <c r="R5143" s="318"/>
      <c r="S5143" s="318"/>
      <c r="T5143" s="318"/>
      <c r="U5143" s="318"/>
      <c r="V5143" s="318"/>
      <c r="W5143" s="318"/>
      <c r="X5143" s="318"/>
      <c r="Y5143" s="318"/>
      <c r="Z5143" s="318"/>
      <c r="AA5143" s="318"/>
      <c r="AB5143" s="318"/>
      <c r="AC5143" s="318"/>
      <c r="AD5143" s="318"/>
    </row>
    <row r="5144" spans="2:30" s="323" customFormat="1" ht="12" customHeight="1">
      <c r="B5144" s="324"/>
      <c r="C5144" s="325"/>
      <c r="D5144" s="326"/>
      <c r="E5144" s="326"/>
      <c r="F5144" s="326"/>
      <c r="G5144" s="326"/>
      <c r="H5144" s="326"/>
      <c r="P5144" s="318"/>
      <c r="Q5144" s="318"/>
      <c r="R5144" s="318"/>
      <c r="S5144" s="318"/>
      <c r="T5144" s="318"/>
      <c r="U5144" s="318"/>
      <c r="V5144" s="318"/>
      <c r="W5144" s="318"/>
      <c r="X5144" s="318"/>
      <c r="Y5144" s="318"/>
      <c r="Z5144" s="318"/>
      <c r="AA5144" s="318"/>
      <c r="AB5144" s="318"/>
      <c r="AC5144" s="318"/>
      <c r="AD5144" s="318"/>
    </row>
    <row r="5145" spans="2:30" s="323" customFormat="1" ht="12" customHeight="1">
      <c r="B5145" s="324"/>
      <c r="C5145" s="325"/>
      <c r="D5145" s="326"/>
      <c r="E5145" s="326"/>
      <c r="F5145" s="326"/>
      <c r="G5145" s="326"/>
      <c r="H5145" s="326"/>
      <c r="P5145" s="318"/>
      <c r="Q5145" s="318"/>
      <c r="R5145" s="318"/>
      <c r="S5145" s="318"/>
      <c r="T5145" s="318"/>
      <c r="U5145" s="318"/>
      <c r="V5145" s="318"/>
      <c r="W5145" s="318"/>
      <c r="X5145" s="318"/>
      <c r="Y5145" s="318"/>
      <c r="Z5145" s="318"/>
      <c r="AA5145" s="318"/>
      <c r="AB5145" s="318"/>
      <c r="AC5145" s="318"/>
      <c r="AD5145" s="318"/>
    </row>
    <row r="5146" spans="2:30" s="323" customFormat="1" ht="12" customHeight="1">
      <c r="B5146" s="324"/>
      <c r="C5146" s="325"/>
      <c r="D5146" s="326"/>
      <c r="E5146" s="326"/>
      <c r="F5146" s="326"/>
      <c r="G5146" s="326"/>
      <c r="H5146" s="326"/>
      <c r="P5146" s="318"/>
      <c r="Q5146" s="318"/>
      <c r="R5146" s="318"/>
      <c r="S5146" s="318"/>
      <c r="T5146" s="318"/>
      <c r="U5146" s="318"/>
      <c r="V5146" s="318"/>
      <c r="W5146" s="318"/>
      <c r="X5146" s="318"/>
      <c r="Y5146" s="318"/>
      <c r="Z5146" s="318"/>
      <c r="AA5146" s="318"/>
      <c r="AB5146" s="318"/>
      <c r="AC5146" s="318"/>
      <c r="AD5146" s="318"/>
    </row>
    <row r="5147" spans="2:30" s="323" customFormat="1" ht="12" customHeight="1">
      <c r="B5147" s="324"/>
      <c r="C5147" s="325"/>
      <c r="D5147" s="326"/>
      <c r="E5147" s="326"/>
      <c r="F5147" s="326"/>
      <c r="G5147" s="326"/>
      <c r="H5147" s="326"/>
      <c r="P5147" s="318"/>
      <c r="Q5147" s="318"/>
      <c r="R5147" s="318"/>
      <c r="S5147" s="318"/>
      <c r="T5147" s="318"/>
      <c r="U5147" s="318"/>
      <c r="V5147" s="318"/>
      <c r="W5147" s="318"/>
      <c r="X5147" s="318"/>
      <c r="Y5147" s="318"/>
      <c r="Z5147" s="318"/>
      <c r="AA5147" s="318"/>
      <c r="AB5147" s="318"/>
      <c r="AC5147" s="318"/>
      <c r="AD5147" s="318"/>
    </row>
    <row r="5148" spans="2:30" s="323" customFormat="1" ht="12" customHeight="1">
      <c r="B5148" s="324"/>
      <c r="C5148" s="325"/>
      <c r="D5148" s="326"/>
      <c r="E5148" s="326"/>
      <c r="F5148" s="326"/>
      <c r="G5148" s="326"/>
      <c r="H5148" s="326"/>
      <c r="P5148" s="318"/>
      <c r="Q5148" s="318"/>
      <c r="R5148" s="318"/>
      <c r="S5148" s="318"/>
      <c r="T5148" s="318"/>
      <c r="U5148" s="318"/>
      <c r="V5148" s="318"/>
      <c r="W5148" s="318"/>
      <c r="X5148" s="318"/>
      <c r="Y5148" s="318"/>
      <c r="Z5148" s="318"/>
      <c r="AA5148" s="318"/>
      <c r="AB5148" s="318"/>
      <c r="AC5148" s="318"/>
      <c r="AD5148" s="318"/>
    </row>
    <row r="5149" spans="2:30" s="323" customFormat="1" ht="12" customHeight="1">
      <c r="B5149" s="324"/>
      <c r="C5149" s="325"/>
      <c r="D5149" s="326"/>
      <c r="E5149" s="326"/>
      <c r="F5149" s="326"/>
      <c r="G5149" s="326"/>
      <c r="H5149" s="326"/>
      <c r="P5149" s="318"/>
      <c r="Q5149" s="318"/>
      <c r="R5149" s="318"/>
      <c r="S5149" s="318"/>
      <c r="T5149" s="318"/>
      <c r="U5149" s="318"/>
      <c r="V5149" s="318"/>
      <c r="W5149" s="318"/>
      <c r="X5149" s="318"/>
      <c r="Y5149" s="318"/>
      <c r="Z5149" s="318"/>
      <c r="AA5149" s="318"/>
      <c r="AB5149" s="318"/>
      <c r="AC5149" s="318"/>
      <c r="AD5149" s="318"/>
    </row>
    <row r="5150" spans="2:30" s="323" customFormat="1" ht="12" customHeight="1">
      <c r="B5150" s="324"/>
      <c r="C5150" s="325"/>
      <c r="D5150" s="326"/>
      <c r="E5150" s="326"/>
      <c r="F5150" s="326"/>
      <c r="G5150" s="326"/>
      <c r="H5150" s="326"/>
      <c r="P5150" s="318"/>
      <c r="Q5150" s="318"/>
      <c r="R5150" s="318"/>
      <c r="S5150" s="318"/>
      <c r="T5150" s="318"/>
      <c r="U5150" s="318"/>
      <c r="V5150" s="318"/>
      <c r="W5150" s="318"/>
      <c r="X5150" s="318"/>
      <c r="Y5150" s="318"/>
      <c r="Z5150" s="318"/>
      <c r="AA5150" s="318"/>
      <c r="AB5150" s="318"/>
      <c r="AC5150" s="318"/>
      <c r="AD5150" s="318"/>
    </row>
    <row r="5151" spans="2:30" s="323" customFormat="1" ht="12" customHeight="1">
      <c r="B5151" s="324"/>
      <c r="C5151" s="325"/>
      <c r="D5151" s="326"/>
      <c r="E5151" s="326"/>
      <c r="F5151" s="326"/>
      <c r="G5151" s="326"/>
      <c r="H5151" s="326"/>
      <c r="P5151" s="318"/>
      <c r="Q5151" s="318"/>
      <c r="R5151" s="318"/>
      <c r="S5151" s="318"/>
      <c r="T5151" s="318"/>
      <c r="U5151" s="318"/>
      <c r="V5151" s="318"/>
      <c r="W5151" s="318"/>
      <c r="X5151" s="318"/>
      <c r="Y5151" s="318"/>
      <c r="Z5151" s="318"/>
      <c r="AA5151" s="318"/>
      <c r="AB5151" s="318"/>
      <c r="AC5151" s="318"/>
      <c r="AD5151" s="318"/>
    </row>
    <row r="5152" spans="2:30" s="323" customFormat="1" ht="12" customHeight="1">
      <c r="B5152" s="324"/>
      <c r="C5152" s="325"/>
      <c r="D5152" s="326"/>
      <c r="E5152" s="326"/>
      <c r="F5152" s="326"/>
      <c r="G5152" s="326"/>
      <c r="H5152" s="326"/>
      <c r="P5152" s="318"/>
      <c r="Q5152" s="318"/>
      <c r="R5152" s="318"/>
      <c r="S5152" s="318"/>
      <c r="T5152" s="318"/>
      <c r="U5152" s="318"/>
      <c r="V5152" s="318"/>
      <c r="W5152" s="318"/>
      <c r="X5152" s="318"/>
      <c r="Y5152" s="318"/>
      <c r="Z5152" s="318"/>
      <c r="AA5152" s="318"/>
      <c r="AB5152" s="318"/>
      <c r="AC5152" s="318"/>
      <c r="AD5152" s="318"/>
    </row>
    <row r="5153" spans="2:30" s="323" customFormat="1" ht="12" customHeight="1">
      <c r="B5153" s="324"/>
      <c r="C5153" s="325"/>
      <c r="D5153" s="326"/>
      <c r="E5153" s="326"/>
      <c r="F5153" s="326"/>
      <c r="G5153" s="326"/>
      <c r="H5153" s="326"/>
      <c r="P5153" s="318"/>
      <c r="Q5153" s="318"/>
      <c r="R5153" s="318"/>
      <c r="S5153" s="318"/>
      <c r="T5153" s="318"/>
      <c r="U5153" s="318"/>
      <c r="V5153" s="318"/>
      <c r="W5153" s="318"/>
      <c r="X5153" s="318"/>
      <c r="Y5153" s="318"/>
      <c r="Z5153" s="318"/>
      <c r="AA5153" s="318"/>
      <c r="AB5153" s="318"/>
      <c r="AC5153" s="318"/>
      <c r="AD5153" s="318"/>
    </row>
    <row r="5154" spans="2:30" s="323" customFormat="1" ht="12" customHeight="1">
      <c r="B5154" s="324"/>
      <c r="C5154" s="325"/>
      <c r="D5154" s="326"/>
      <c r="E5154" s="326"/>
      <c r="F5154" s="326"/>
      <c r="G5154" s="326"/>
      <c r="H5154" s="326"/>
      <c r="P5154" s="318"/>
      <c r="Q5154" s="318"/>
      <c r="R5154" s="318"/>
      <c r="S5154" s="318"/>
      <c r="T5154" s="318"/>
      <c r="U5154" s="318"/>
      <c r="V5154" s="318"/>
      <c r="W5154" s="318"/>
      <c r="X5154" s="318"/>
      <c r="Y5154" s="318"/>
      <c r="Z5154" s="318"/>
      <c r="AA5154" s="318"/>
      <c r="AB5154" s="318"/>
      <c r="AC5154" s="318"/>
      <c r="AD5154" s="318"/>
    </row>
    <row r="5155" spans="2:30" s="323" customFormat="1" ht="12" customHeight="1">
      <c r="B5155" s="324"/>
      <c r="C5155" s="325"/>
      <c r="D5155" s="326"/>
      <c r="E5155" s="326"/>
      <c r="F5155" s="326"/>
      <c r="G5155" s="326"/>
      <c r="H5155" s="326"/>
      <c r="P5155" s="318"/>
      <c r="Q5155" s="318"/>
      <c r="R5155" s="318"/>
      <c r="S5155" s="318"/>
      <c r="T5155" s="318"/>
      <c r="U5155" s="318"/>
      <c r="V5155" s="318"/>
      <c r="W5155" s="318"/>
      <c r="X5155" s="318"/>
      <c r="Y5155" s="318"/>
      <c r="Z5155" s="318"/>
      <c r="AA5155" s="318"/>
      <c r="AB5155" s="318"/>
      <c r="AC5155" s="318"/>
      <c r="AD5155" s="318"/>
    </row>
    <row r="5156" spans="2:30" s="323" customFormat="1" ht="12" customHeight="1">
      <c r="B5156" s="324"/>
      <c r="C5156" s="325"/>
      <c r="D5156" s="326"/>
      <c r="E5156" s="326"/>
      <c r="F5156" s="326"/>
      <c r="G5156" s="326"/>
      <c r="H5156" s="326"/>
      <c r="P5156" s="318"/>
      <c r="Q5156" s="318"/>
      <c r="R5156" s="318"/>
      <c r="S5156" s="318"/>
      <c r="T5156" s="318"/>
      <c r="U5156" s="318"/>
      <c r="V5156" s="318"/>
      <c r="W5156" s="318"/>
      <c r="X5156" s="318"/>
      <c r="Y5156" s="318"/>
      <c r="Z5156" s="318"/>
      <c r="AA5156" s="318"/>
      <c r="AB5156" s="318"/>
      <c r="AC5156" s="318"/>
      <c r="AD5156" s="318"/>
    </row>
    <row r="5157" spans="2:30" s="323" customFormat="1" ht="12" customHeight="1">
      <c r="B5157" s="324"/>
      <c r="C5157" s="325"/>
      <c r="D5157" s="326"/>
      <c r="E5157" s="326"/>
      <c r="F5157" s="326"/>
      <c r="G5157" s="326"/>
      <c r="H5157" s="326"/>
      <c r="P5157" s="318"/>
      <c r="Q5157" s="318"/>
      <c r="R5157" s="318"/>
      <c r="S5157" s="318"/>
      <c r="T5157" s="318"/>
      <c r="U5157" s="318"/>
      <c r="V5157" s="318"/>
      <c r="W5157" s="318"/>
      <c r="X5157" s="318"/>
      <c r="Y5157" s="318"/>
      <c r="Z5157" s="318"/>
      <c r="AA5157" s="318"/>
      <c r="AB5157" s="318"/>
      <c r="AC5157" s="318"/>
      <c r="AD5157" s="318"/>
    </row>
    <row r="5158" spans="2:30" s="323" customFormat="1" ht="12" customHeight="1">
      <c r="B5158" s="324"/>
      <c r="C5158" s="325"/>
      <c r="D5158" s="326"/>
      <c r="E5158" s="326"/>
      <c r="F5158" s="326"/>
      <c r="G5158" s="326"/>
      <c r="H5158" s="326"/>
      <c r="P5158" s="318"/>
      <c r="Q5158" s="318"/>
      <c r="R5158" s="318"/>
      <c r="S5158" s="318"/>
      <c r="T5158" s="318"/>
      <c r="U5158" s="318"/>
      <c r="V5158" s="318"/>
      <c r="W5158" s="318"/>
      <c r="X5158" s="318"/>
      <c r="Y5158" s="318"/>
      <c r="Z5158" s="318"/>
      <c r="AA5158" s="318"/>
      <c r="AB5158" s="318"/>
      <c r="AC5158" s="318"/>
      <c r="AD5158" s="318"/>
    </row>
    <row r="5159" spans="2:30" s="323" customFormat="1" ht="12" customHeight="1">
      <c r="B5159" s="324"/>
      <c r="C5159" s="325"/>
      <c r="D5159" s="326"/>
      <c r="E5159" s="326"/>
      <c r="F5159" s="326"/>
      <c r="G5159" s="326"/>
      <c r="H5159" s="326"/>
      <c r="P5159" s="318"/>
      <c r="Q5159" s="318"/>
      <c r="R5159" s="318"/>
      <c r="S5159" s="318"/>
      <c r="T5159" s="318"/>
      <c r="U5159" s="318"/>
      <c r="V5159" s="318"/>
      <c r="W5159" s="318"/>
      <c r="X5159" s="318"/>
      <c r="Y5159" s="318"/>
      <c r="Z5159" s="318"/>
      <c r="AA5159" s="318"/>
      <c r="AB5159" s="318"/>
      <c r="AC5159" s="318"/>
      <c r="AD5159" s="318"/>
    </row>
    <row r="5160" spans="2:30" s="323" customFormat="1" ht="12" customHeight="1">
      <c r="B5160" s="324"/>
      <c r="C5160" s="325"/>
      <c r="D5160" s="326"/>
      <c r="E5160" s="326"/>
      <c r="F5160" s="326"/>
      <c r="G5160" s="326"/>
      <c r="H5160" s="326"/>
      <c r="P5160" s="318"/>
      <c r="Q5160" s="318"/>
      <c r="R5160" s="318"/>
      <c r="S5160" s="318"/>
      <c r="T5160" s="318"/>
      <c r="U5160" s="318"/>
      <c r="V5160" s="318"/>
      <c r="W5160" s="318"/>
      <c r="X5160" s="318"/>
      <c r="Y5160" s="318"/>
      <c r="Z5160" s="318"/>
      <c r="AA5160" s="318"/>
      <c r="AB5160" s="318"/>
      <c r="AC5160" s="318"/>
      <c r="AD5160" s="318"/>
    </row>
    <row r="5161" spans="2:30" s="323" customFormat="1" ht="12" customHeight="1">
      <c r="B5161" s="324"/>
      <c r="C5161" s="325"/>
      <c r="D5161" s="326"/>
      <c r="E5161" s="326"/>
      <c r="F5161" s="326"/>
      <c r="G5161" s="326"/>
      <c r="H5161" s="326"/>
      <c r="P5161" s="318"/>
      <c r="Q5161" s="318"/>
      <c r="R5161" s="318"/>
      <c r="S5161" s="318"/>
      <c r="T5161" s="318"/>
      <c r="U5161" s="318"/>
      <c r="V5161" s="318"/>
      <c r="W5161" s="318"/>
      <c r="X5161" s="318"/>
      <c r="Y5161" s="318"/>
      <c r="Z5161" s="318"/>
      <c r="AA5161" s="318"/>
      <c r="AB5161" s="318"/>
      <c r="AC5161" s="318"/>
      <c r="AD5161" s="318"/>
    </row>
    <row r="5162" spans="2:30" s="323" customFormat="1" ht="12" customHeight="1">
      <c r="B5162" s="324"/>
      <c r="C5162" s="325"/>
      <c r="D5162" s="326"/>
      <c r="E5162" s="326"/>
      <c r="F5162" s="326"/>
      <c r="G5162" s="326"/>
      <c r="H5162" s="326"/>
      <c r="P5162" s="318"/>
      <c r="Q5162" s="318"/>
      <c r="R5162" s="318"/>
      <c r="S5162" s="318"/>
      <c r="T5162" s="318"/>
      <c r="U5162" s="318"/>
      <c r="V5162" s="318"/>
      <c r="W5162" s="318"/>
      <c r="X5162" s="318"/>
      <c r="Y5162" s="318"/>
      <c r="Z5162" s="318"/>
      <c r="AA5162" s="318"/>
      <c r="AB5162" s="318"/>
      <c r="AC5162" s="318"/>
      <c r="AD5162" s="318"/>
    </row>
    <row r="5163" spans="2:30" s="323" customFormat="1" ht="12" customHeight="1">
      <c r="B5163" s="324"/>
      <c r="C5163" s="325"/>
      <c r="D5163" s="326"/>
      <c r="E5163" s="326"/>
      <c r="F5163" s="326"/>
      <c r="G5163" s="326"/>
      <c r="H5163" s="326"/>
      <c r="P5163" s="318"/>
      <c r="Q5163" s="318"/>
      <c r="R5163" s="318"/>
      <c r="S5163" s="318"/>
      <c r="T5163" s="318"/>
      <c r="U5163" s="318"/>
      <c r="V5163" s="318"/>
      <c r="W5163" s="318"/>
      <c r="X5163" s="318"/>
      <c r="Y5163" s="318"/>
      <c r="Z5163" s="318"/>
      <c r="AA5163" s="318"/>
      <c r="AB5163" s="318"/>
      <c r="AC5163" s="318"/>
      <c r="AD5163" s="318"/>
    </row>
    <row r="5164" spans="2:30" s="323" customFormat="1" ht="12" customHeight="1">
      <c r="B5164" s="324"/>
      <c r="C5164" s="325"/>
      <c r="D5164" s="326"/>
      <c r="E5164" s="326"/>
      <c r="F5164" s="326"/>
      <c r="G5164" s="326"/>
      <c r="H5164" s="326"/>
      <c r="P5164" s="318"/>
      <c r="Q5164" s="318"/>
      <c r="R5164" s="318"/>
      <c r="S5164" s="318"/>
      <c r="T5164" s="318"/>
      <c r="U5164" s="318"/>
      <c r="V5164" s="318"/>
      <c r="W5164" s="318"/>
      <c r="X5164" s="318"/>
      <c r="Y5164" s="318"/>
      <c r="Z5164" s="318"/>
      <c r="AA5164" s="318"/>
      <c r="AB5164" s="318"/>
      <c r="AC5164" s="318"/>
      <c r="AD5164" s="318"/>
    </row>
    <row r="5165" spans="2:30" s="323" customFormat="1" ht="12" customHeight="1">
      <c r="B5165" s="324"/>
      <c r="C5165" s="325"/>
      <c r="D5165" s="326"/>
      <c r="E5165" s="326"/>
      <c r="F5165" s="326"/>
      <c r="G5165" s="326"/>
      <c r="H5165" s="326"/>
      <c r="P5165" s="318"/>
      <c r="Q5165" s="318"/>
      <c r="R5165" s="318"/>
      <c r="S5165" s="318"/>
      <c r="T5165" s="318"/>
      <c r="U5165" s="318"/>
      <c r="V5165" s="318"/>
      <c r="W5165" s="318"/>
      <c r="X5165" s="318"/>
      <c r="Y5165" s="318"/>
      <c r="Z5165" s="318"/>
      <c r="AA5165" s="318"/>
      <c r="AB5165" s="318"/>
      <c r="AC5165" s="318"/>
      <c r="AD5165" s="318"/>
    </row>
    <row r="5166" spans="2:30" s="323" customFormat="1" ht="12" customHeight="1">
      <c r="B5166" s="324"/>
      <c r="C5166" s="325"/>
      <c r="D5166" s="326"/>
      <c r="E5166" s="326"/>
      <c r="F5166" s="326"/>
      <c r="G5166" s="326"/>
      <c r="H5166" s="326"/>
      <c r="P5166" s="318"/>
      <c r="Q5166" s="318"/>
      <c r="R5166" s="318"/>
      <c r="S5166" s="318"/>
      <c r="T5166" s="318"/>
      <c r="U5166" s="318"/>
      <c r="V5166" s="318"/>
      <c r="W5166" s="318"/>
      <c r="X5166" s="318"/>
      <c r="Y5166" s="318"/>
      <c r="Z5166" s="318"/>
      <c r="AA5166" s="318"/>
      <c r="AB5166" s="318"/>
      <c r="AC5166" s="318"/>
      <c r="AD5166" s="318"/>
    </row>
    <row r="5167" spans="2:30" s="323" customFormat="1" ht="12" customHeight="1">
      <c r="B5167" s="324"/>
      <c r="C5167" s="325"/>
      <c r="D5167" s="326"/>
      <c r="E5167" s="326"/>
      <c r="F5167" s="326"/>
      <c r="G5167" s="326"/>
      <c r="H5167" s="326"/>
      <c r="P5167" s="318"/>
      <c r="Q5167" s="318"/>
      <c r="R5167" s="318"/>
      <c r="S5167" s="318"/>
      <c r="T5167" s="318"/>
      <c r="U5167" s="318"/>
      <c r="V5167" s="318"/>
      <c r="W5167" s="318"/>
      <c r="X5167" s="318"/>
      <c r="Y5167" s="318"/>
      <c r="Z5167" s="318"/>
      <c r="AA5167" s="318"/>
      <c r="AB5167" s="318"/>
      <c r="AC5167" s="318"/>
      <c r="AD5167" s="318"/>
    </row>
    <row r="5168" spans="2:30" s="323" customFormat="1" ht="12" customHeight="1">
      <c r="B5168" s="324"/>
      <c r="C5168" s="325"/>
      <c r="D5168" s="326"/>
      <c r="E5168" s="326"/>
      <c r="F5168" s="326"/>
      <c r="G5168" s="326"/>
      <c r="H5168" s="326"/>
      <c r="P5168" s="318"/>
      <c r="Q5168" s="318"/>
      <c r="R5168" s="318"/>
      <c r="S5168" s="318"/>
      <c r="T5168" s="318"/>
      <c r="U5168" s="318"/>
      <c r="V5168" s="318"/>
      <c r="W5168" s="318"/>
      <c r="X5168" s="318"/>
      <c r="Y5168" s="318"/>
      <c r="Z5168" s="318"/>
      <c r="AA5168" s="318"/>
      <c r="AB5168" s="318"/>
      <c r="AC5168" s="318"/>
      <c r="AD5168" s="318"/>
    </row>
    <row r="5169" spans="2:30" s="323" customFormat="1" ht="12" customHeight="1">
      <c r="B5169" s="324"/>
      <c r="C5169" s="325"/>
      <c r="D5169" s="326"/>
      <c r="E5169" s="326"/>
      <c r="F5169" s="326"/>
      <c r="G5169" s="326"/>
      <c r="H5169" s="326"/>
      <c r="P5169" s="318"/>
      <c r="Q5169" s="318"/>
      <c r="R5169" s="318"/>
      <c r="S5169" s="318"/>
      <c r="T5169" s="318"/>
      <c r="U5169" s="318"/>
      <c r="V5169" s="318"/>
      <c r="W5169" s="318"/>
      <c r="X5169" s="318"/>
      <c r="Y5169" s="318"/>
      <c r="Z5169" s="318"/>
      <c r="AA5169" s="318"/>
      <c r="AB5169" s="318"/>
      <c r="AC5169" s="318"/>
      <c r="AD5169" s="318"/>
    </row>
    <row r="5170" spans="2:30" s="323" customFormat="1" ht="12" customHeight="1">
      <c r="B5170" s="324"/>
      <c r="C5170" s="325"/>
      <c r="D5170" s="326"/>
      <c r="E5170" s="326"/>
      <c r="F5170" s="326"/>
      <c r="G5170" s="326"/>
      <c r="H5170" s="326"/>
      <c r="P5170" s="318"/>
      <c r="Q5170" s="318"/>
      <c r="R5170" s="318"/>
      <c r="S5170" s="318"/>
      <c r="T5170" s="318"/>
      <c r="U5170" s="318"/>
      <c r="V5170" s="318"/>
      <c r="W5170" s="318"/>
      <c r="X5170" s="318"/>
      <c r="Y5170" s="318"/>
      <c r="Z5170" s="318"/>
      <c r="AA5170" s="318"/>
      <c r="AB5170" s="318"/>
      <c r="AC5170" s="318"/>
      <c r="AD5170" s="318"/>
    </row>
    <row r="5171" spans="2:30" s="323" customFormat="1" ht="12" customHeight="1">
      <c r="B5171" s="324"/>
      <c r="C5171" s="325"/>
      <c r="D5171" s="326"/>
      <c r="E5171" s="326"/>
      <c r="F5171" s="326"/>
      <c r="G5171" s="326"/>
      <c r="H5171" s="326"/>
      <c r="P5171" s="318"/>
      <c r="Q5171" s="318"/>
      <c r="R5171" s="318"/>
      <c r="S5171" s="318"/>
      <c r="T5171" s="318"/>
      <c r="U5171" s="318"/>
      <c r="V5171" s="318"/>
      <c r="W5171" s="318"/>
      <c r="X5171" s="318"/>
      <c r="Y5171" s="318"/>
      <c r="Z5171" s="318"/>
      <c r="AA5171" s="318"/>
      <c r="AB5171" s="318"/>
      <c r="AC5171" s="318"/>
      <c r="AD5171" s="318"/>
    </row>
    <row r="5172" spans="2:30" s="323" customFormat="1" ht="12" customHeight="1">
      <c r="B5172" s="324"/>
      <c r="C5172" s="325"/>
      <c r="D5172" s="326"/>
      <c r="E5172" s="326"/>
      <c r="F5172" s="326"/>
      <c r="G5172" s="326"/>
      <c r="H5172" s="326"/>
      <c r="P5172" s="318"/>
      <c r="Q5172" s="318"/>
      <c r="R5172" s="318"/>
      <c r="S5172" s="318"/>
      <c r="T5172" s="318"/>
      <c r="U5172" s="318"/>
      <c r="V5172" s="318"/>
      <c r="W5172" s="318"/>
      <c r="X5172" s="318"/>
      <c r="Y5172" s="318"/>
      <c r="Z5172" s="318"/>
      <c r="AA5172" s="318"/>
      <c r="AB5172" s="318"/>
      <c r="AC5172" s="318"/>
      <c r="AD5172" s="318"/>
    </row>
    <row r="5173" spans="2:30" s="323" customFormat="1" ht="12" customHeight="1">
      <c r="B5173" s="324"/>
      <c r="C5173" s="325"/>
      <c r="D5173" s="326"/>
      <c r="E5173" s="326"/>
      <c r="F5173" s="326"/>
      <c r="G5173" s="326"/>
      <c r="H5173" s="326"/>
      <c r="P5173" s="318"/>
      <c r="Q5173" s="318"/>
      <c r="R5173" s="318"/>
      <c r="S5173" s="318"/>
      <c r="T5173" s="318"/>
      <c r="U5173" s="318"/>
      <c r="V5173" s="318"/>
      <c r="W5173" s="318"/>
      <c r="X5173" s="318"/>
      <c r="Y5173" s="318"/>
      <c r="Z5173" s="318"/>
      <c r="AA5173" s="318"/>
      <c r="AB5173" s="318"/>
      <c r="AC5173" s="318"/>
      <c r="AD5173" s="318"/>
    </row>
    <row r="5174" spans="2:30" s="323" customFormat="1" ht="12" customHeight="1">
      <c r="B5174" s="324"/>
      <c r="C5174" s="325"/>
      <c r="D5174" s="326"/>
      <c r="E5174" s="326"/>
      <c r="F5174" s="326"/>
      <c r="G5174" s="326"/>
      <c r="H5174" s="326"/>
      <c r="P5174" s="318"/>
      <c r="Q5174" s="318"/>
      <c r="R5174" s="318"/>
      <c r="S5174" s="318"/>
      <c r="T5174" s="318"/>
      <c r="U5174" s="318"/>
      <c r="V5174" s="318"/>
      <c r="W5174" s="318"/>
      <c r="X5174" s="318"/>
      <c r="Y5174" s="318"/>
      <c r="Z5174" s="318"/>
      <c r="AA5174" s="318"/>
      <c r="AB5174" s="318"/>
      <c r="AC5174" s="318"/>
      <c r="AD5174" s="318"/>
    </row>
    <row r="5175" spans="2:30" s="323" customFormat="1" ht="12" customHeight="1">
      <c r="B5175" s="324"/>
      <c r="C5175" s="325"/>
      <c r="D5175" s="326"/>
      <c r="E5175" s="326"/>
      <c r="F5175" s="326"/>
      <c r="G5175" s="326"/>
      <c r="H5175" s="326"/>
      <c r="P5175" s="318"/>
      <c r="Q5175" s="318"/>
      <c r="R5175" s="318"/>
      <c r="S5175" s="318"/>
      <c r="T5175" s="318"/>
      <c r="U5175" s="318"/>
      <c r="V5175" s="318"/>
      <c r="W5175" s="318"/>
      <c r="X5175" s="318"/>
      <c r="Y5175" s="318"/>
      <c r="Z5175" s="318"/>
      <c r="AA5175" s="318"/>
      <c r="AB5175" s="318"/>
      <c r="AC5175" s="318"/>
      <c r="AD5175" s="318"/>
    </row>
    <row r="5176" spans="2:30" s="323" customFormat="1" ht="12" customHeight="1">
      <c r="B5176" s="324"/>
      <c r="C5176" s="325"/>
      <c r="D5176" s="326"/>
      <c r="E5176" s="326"/>
      <c r="F5176" s="326"/>
      <c r="G5176" s="326"/>
      <c r="H5176" s="326"/>
      <c r="P5176" s="318"/>
      <c r="Q5176" s="318"/>
      <c r="R5176" s="318"/>
      <c r="S5176" s="318"/>
      <c r="T5176" s="318"/>
      <c r="U5176" s="318"/>
      <c r="V5176" s="318"/>
      <c r="W5176" s="318"/>
      <c r="X5176" s="318"/>
      <c r="Y5176" s="318"/>
      <c r="Z5176" s="318"/>
      <c r="AA5176" s="318"/>
      <c r="AB5176" s="318"/>
      <c r="AC5176" s="318"/>
      <c r="AD5176" s="318"/>
    </row>
    <row r="5177" spans="2:30" s="323" customFormat="1" ht="12" customHeight="1">
      <c r="B5177" s="324"/>
      <c r="C5177" s="325"/>
      <c r="D5177" s="326"/>
      <c r="E5177" s="326"/>
      <c r="F5177" s="326"/>
      <c r="G5177" s="326"/>
      <c r="H5177" s="326"/>
      <c r="P5177" s="318"/>
      <c r="Q5177" s="318"/>
      <c r="R5177" s="318"/>
      <c r="S5177" s="318"/>
      <c r="T5177" s="318"/>
      <c r="U5177" s="318"/>
      <c r="V5177" s="318"/>
      <c r="W5177" s="318"/>
      <c r="X5177" s="318"/>
      <c r="Y5177" s="318"/>
      <c r="Z5177" s="318"/>
      <c r="AA5177" s="318"/>
      <c r="AB5177" s="318"/>
      <c r="AC5177" s="318"/>
      <c r="AD5177" s="318"/>
    </row>
    <row r="5178" spans="2:30" s="323" customFormat="1" ht="12" customHeight="1">
      <c r="B5178" s="324"/>
      <c r="C5178" s="325"/>
      <c r="D5178" s="326"/>
      <c r="E5178" s="326"/>
      <c r="F5178" s="326"/>
      <c r="G5178" s="326"/>
      <c r="H5178" s="326"/>
      <c r="P5178" s="318"/>
      <c r="Q5178" s="318"/>
      <c r="R5178" s="318"/>
      <c r="S5178" s="318"/>
      <c r="T5178" s="318"/>
      <c r="U5178" s="318"/>
      <c r="V5178" s="318"/>
      <c r="W5178" s="318"/>
      <c r="X5178" s="318"/>
      <c r="Y5178" s="318"/>
      <c r="Z5178" s="318"/>
      <c r="AA5178" s="318"/>
      <c r="AB5178" s="318"/>
      <c r="AC5178" s="318"/>
      <c r="AD5178" s="318"/>
    </row>
    <row r="5179" spans="2:30" s="323" customFormat="1" ht="12" customHeight="1">
      <c r="B5179" s="324"/>
      <c r="C5179" s="325"/>
      <c r="D5179" s="326"/>
      <c r="E5179" s="326"/>
      <c r="F5179" s="326"/>
      <c r="G5179" s="326"/>
      <c r="H5179" s="326"/>
      <c r="P5179" s="318"/>
      <c r="Q5179" s="318"/>
      <c r="R5179" s="318"/>
      <c r="S5179" s="318"/>
      <c r="T5179" s="318"/>
      <c r="U5179" s="318"/>
      <c r="V5179" s="318"/>
      <c r="W5179" s="318"/>
      <c r="X5179" s="318"/>
      <c r="Y5179" s="318"/>
      <c r="Z5179" s="318"/>
      <c r="AA5179" s="318"/>
      <c r="AB5179" s="318"/>
      <c r="AC5179" s="318"/>
      <c r="AD5179" s="318"/>
    </row>
    <row r="5180" spans="2:30" s="323" customFormat="1" ht="12" customHeight="1">
      <c r="B5180" s="324"/>
      <c r="C5180" s="325"/>
      <c r="D5180" s="326"/>
      <c r="E5180" s="326"/>
      <c r="F5180" s="326"/>
      <c r="G5180" s="326"/>
      <c r="H5180" s="326"/>
      <c r="P5180" s="318"/>
      <c r="Q5180" s="318"/>
      <c r="R5180" s="318"/>
      <c r="S5180" s="318"/>
      <c r="T5180" s="318"/>
      <c r="U5180" s="318"/>
      <c r="V5180" s="318"/>
      <c r="W5180" s="318"/>
      <c r="X5180" s="318"/>
      <c r="Y5180" s="318"/>
      <c r="Z5180" s="318"/>
      <c r="AA5180" s="318"/>
      <c r="AB5180" s="318"/>
      <c r="AC5180" s="318"/>
      <c r="AD5180" s="318"/>
    </row>
    <row r="5181" spans="2:30" s="323" customFormat="1" ht="12" customHeight="1">
      <c r="B5181" s="324"/>
      <c r="C5181" s="325"/>
      <c r="D5181" s="326"/>
      <c r="E5181" s="326"/>
      <c r="F5181" s="326"/>
      <c r="G5181" s="326"/>
      <c r="H5181" s="326"/>
      <c r="P5181" s="318"/>
      <c r="Q5181" s="318"/>
      <c r="R5181" s="318"/>
      <c r="S5181" s="318"/>
      <c r="T5181" s="318"/>
      <c r="U5181" s="318"/>
      <c r="V5181" s="318"/>
      <c r="W5181" s="318"/>
      <c r="X5181" s="318"/>
      <c r="Y5181" s="318"/>
      <c r="Z5181" s="318"/>
      <c r="AA5181" s="318"/>
      <c r="AB5181" s="318"/>
      <c r="AC5181" s="318"/>
      <c r="AD5181" s="318"/>
    </row>
    <row r="5182" spans="2:30" s="323" customFormat="1" ht="12" customHeight="1">
      <c r="B5182" s="324"/>
      <c r="C5182" s="325"/>
      <c r="D5182" s="326"/>
      <c r="E5182" s="326"/>
      <c r="F5182" s="326"/>
      <c r="G5182" s="326"/>
      <c r="H5182" s="326"/>
      <c r="P5182" s="318"/>
      <c r="Q5182" s="318"/>
      <c r="R5182" s="318"/>
      <c r="S5182" s="318"/>
      <c r="T5182" s="318"/>
      <c r="U5182" s="318"/>
      <c r="V5182" s="318"/>
      <c r="W5182" s="318"/>
      <c r="X5182" s="318"/>
      <c r="Y5182" s="318"/>
      <c r="Z5182" s="318"/>
      <c r="AA5182" s="318"/>
      <c r="AB5182" s="318"/>
      <c r="AC5182" s="318"/>
      <c r="AD5182" s="318"/>
    </row>
    <row r="5183" spans="2:30" s="323" customFormat="1" ht="12" customHeight="1">
      <c r="B5183" s="324"/>
      <c r="C5183" s="325"/>
      <c r="D5183" s="326"/>
      <c r="E5183" s="326"/>
      <c r="F5183" s="326"/>
      <c r="G5183" s="326"/>
      <c r="H5183" s="326"/>
      <c r="P5183" s="318"/>
      <c r="Q5183" s="318"/>
      <c r="R5183" s="318"/>
      <c r="S5183" s="318"/>
      <c r="T5183" s="318"/>
      <c r="U5183" s="318"/>
      <c r="V5183" s="318"/>
      <c r="W5183" s="318"/>
      <c r="X5183" s="318"/>
      <c r="Y5183" s="318"/>
      <c r="Z5183" s="318"/>
      <c r="AA5183" s="318"/>
      <c r="AB5183" s="318"/>
      <c r="AC5183" s="318"/>
      <c r="AD5183" s="318"/>
    </row>
    <row r="5184" spans="2:30" s="323" customFormat="1" ht="12" customHeight="1">
      <c r="B5184" s="324"/>
      <c r="C5184" s="325"/>
      <c r="D5184" s="326"/>
      <c r="E5184" s="326"/>
      <c r="F5184" s="326"/>
      <c r="G5184" s="326"/>
      <c r="H5184" s="326"/>
      <c r="P5184" s="318"/>
      <c r="Q5184" s="318"/>
      <c r="R5184" s="318"/>
      <c r="S5184" s="318"/>
      <c r="T5184" s="318"/>
      <c r="U5184" s="318"/>
      <c r="V5184" s="318"/>
      <c r="W5184" s="318"/>
      <c r="X5184" s="318"/>
      <c r="Y5184" s="318"/>
      <c r="Z5184" s="318"/>
      <c r="AA5184" s="318"/>
      <c r="AB5184" s="318"/>
      <c r="AC5184" s="318"/>
      <c r="AD5184" s="318"/>
    </row>
    <row r="5185" spans="2:30" s="323" customFormat="1" ht="12" customHeight="1">
      <c r="B5185" s="324"/>
      <c r="C5185" s="325"/>
      <c r="D5185" s="326"/>
      <c r="E5185" s="326"/>
      <c r="F5185" s="326"/>
      <c r="G5185" s="326"/>
      <c r="H5185" s="326"/>
      <c r="P5185" s="318"/>
      <c r="Q5185" s="318"/>
      <c r="R5185" s="318"/>
      <c r="S5185" s="318"/>
      <c r="T5185" s="318"/>
      <c r="U5185" s="318"/>
      <c r="V5185" s="318"/>
      <c r="W5185" s="318"/>
      <c r="X5185" s="318"/>
      <c r="Y5185" s="318"/>
      <c r="Z5185" s="318"/>
      <c r="AA5185" s="318"/>
      <c r="AB5185" s="318"/>
      <c r="AC5185" s="318"/>
      <c r="AD5185" s="318"/>
    </row>
    <row r="5186" spans="2:30" s="323" customFormat="1" ht="12" customHeight="1">
      <c r="B5186" s="324"/>
      <c r="C5186" s="325"/>
      <c r="D5186" s="326"/>
      <c r="E5186" s="326"/>
      <c r="F5186" s="326"/>
      <c r="G5186" s="326"/>
      <c r="H5186" s="326"/>
      <c r="P5186" s="318"/>
      <c r="Q5186" s="318"/>
      <c r="R5186" s="318"/>
      <c r="S5186" s="318"/>
      <c r="T5186" s="318"/>
      <c r="U5186" s="318"/>
      <c r="V5186" s="318"/>
      <c r="W5186" s="318"/>
      <c r="X5186" s="318"/>
      <c r="Y5186" s="318"/>
      <c r="Z5186" s="318"/>
      <c r="AA5186" s="318"/>
      <c r="AB5186" s="318"/>
      <c r="AC5186" s="318"/>
      <c r="AD5186" s="318"/>
    </row>
    <row r="5187" spans="2:30" s="323" customFormat="1" ht="12" customHeight="1">
      <c r="B5187" s="324"/>
      <c r="C5187" s="325"/>
      <c r="D5187" s="326"/>
      <c r="E5187" s="326"/>
      <c r="F5187" s="326"/>
      <c r="G5187" s="326"/>
      <c r="H5187" s="326"/>
      <c r="P5187" s="318"/>
      <c r="Q5187" s="318"/>
      <c r="R5187" s="318"/>
      <c r="S5187" s="318"/>
      <c r="T5187" s="318"/>
      <c r="U5187" s="318"/>
      <c r="V5187" s="318"/>
      <c r="W5187" s="318"/>
      <c r="X5187" s="318"/>
      <c r="Y5187" s="318"/>
      <c r="Z5187" s="318"/>
      <c r="AA5187" s="318"/>
      <c r="AB5187" s="318"/>
      <c r="AC5187" s="318"/>
      <c r="AD5187" s="318"/>
    </row>
    <row r="5188" spans="2:30" s="323" customFormat="1" ht="12" customHeight="1">
      <c r="B5188" s="324"/>
      <c r="C5188" s="325"/>
      <c r="D5188" s="326"/>
      <c r="E5188" s="326"/>
      <c r="F5188" s="326"/>
      <c r="G5188" s="326"/>
      <c r="H5188" s="326"/>
      <c r="P5188" s="318"/>
      <c r="Q5188" s="318"/>
      <c r="R5188" s="318"/>
      <c r="S5188" s="318"/>
      <c r="T5188" s="318"/>
      <c r="U5188" s="318"/>
      <c r="V5188" s="318"/>
      <c r="W5188" s="318"/>
      <c r="X5188" s="318"/>
      <c r="Y5188" s="318"/>
      <c r="Z5188" s="318"/>
      <c r="AA5188" s="318"/>
      <c r="AB5188" s="318"/>
      <c r="AC5188" s="318"/>
      <c r="AD5188" s="318"/>
    </row>
    <row r="5189" spans="2:30" s="323" customFormat="1" ht="12" customHeight="1">
      <c r="B5189" s="324"/>
      <c r="C5189" s="325"/>
      <c r="D5189" s="326"/>
      <c r="E5189" s="326"/>
      <c r="F5189" s="326"/>
      <c r="G5189" s="326"/>
      <c r="H5189" s="326"/>
      <c r="P5189" s="318"/>
      <c r="Q5189" s="318"/>
      <c r="R5189" s="318"/>
      <c r="S5189" s="318"/>
      <c r="T5189" s="318"/>
      <c r="U5189" s="318"/>
      <c r="V5189" s="318"/>
      <c r="W5189" s="318"/>
      <c r="X5189" s="318"/>
      <c r="Y5189" s="318"/>
      <c r="Z5189" s="318"/>
      <c r="AA5189" s="318"/>
      <c r="AB5189" s="318"/>
      <c r="AC5189" s="318"/>
      <c r="AD5189" s="318"/>
    </row>
    <row r="5190" spans="2:30" s="323" customFormat="1" ht="12" customHeight="1">
      <c r="B5190" s="324"/>
      <c r="C5190" s="325"/>
      <c r="D5190" s="326"/>
      <c r="E5190" s="326"/>
      <c r="F5190" s="326"/>
      <c r="G5190" s="326"/>
      <c r="H5190" s="326"/>
      <c r="P5190" s="318"/>
      <c r="Q5190" s="318"/>
      <c r="R5190" s="318"/>
      <c r="S5190" s="318"/>
      <c r="T5190" s="318"/>
      <c r="U5190" s="318"/>
      <c r="V5190" s="318"/>
      <c r="W5190" s="318"/>
      <c r="X5190" s="318"/>
      <c r="Y5190" s="318"/>
      <c r="Z5190" s="318"/>
      <c r="AA5190" s="318"/>
      <c r="AB5190" s="318"/>
      <c r="AC5190" s="318"/>
      <c r="AD5190" s="318"/>
    </row>
    <row r="5191" spans="2:30" s="323" customFormat="1" ht="12" customHeight="1">
      <c r="B5191" s="324"/>
      <c r="C5191" s="325"/>
      <c r="D5191" s="326"/>
      <c r="E5191" s="326"/>
      <c r="F5191" s="326"/>
      <c r="G5191" s="326"/>
      <c r="H5191" s="326"/>
      <c r="P5191" s="318"/>
      <c r="Q5191" s="318"/>
      <c r="R5191" s="318"/>
      <c r="S5191" s="318"/>
      <c r="T5191" s="318"/>
      <c r="U5191" s="318"/>
      <c r="V5191" s="318"/>
      <c r="W5191" s="318"/>
      <c r="X5191" s="318"/>
      <c r="Y5191" s="318"/>
      <c r="Z5191" s="318"/>
      <c r="AA5191" s="318"/>
      <c r="AB5191" s="318"/>
      <c r="AC5191" s="318"/>
      <c r="AD5191" s="318"/>
    </row>
    <row r="5192" spans="2:30" s="323" customFormat="1" ht="12" customHeight="1">
      <c r="B5192" s="324"/>
      <c r="C5192" s="325"/>
      <c r="D5192" s="326"/>
      <c r="E5192" s="326"/>
      <c r="F5192" s="326"/>
      <c r="G5192" s="326"/>
      <c r="H5192" s="326"/>
      <c r="P5192" s="318"/>
      <c r="Q5192" s="318"/>
      <c r="R5192" s="318"/>
      <c r="S5192" s="318"/>
      <c r="T5192" s="318"/>
      <c r="U5192" s="318"/>
      <c r="V5192" s="318"/>
      <c r="W5192" s="318"/>
      <c r="X5192" s="318"/>
      <c r="Y5192" s="318"/>
      <c r="Z5192" s="318"/>
      <c r="AA5192" s="318"/>
      <c r="AB5192" s="318"/>
      <c r="AC5192" s="318"/>
      <c r="AD5192" s="318"/>
    </row>
    <row r="5193" spans="2:30" s="323" customFormat="1" ht="12" customHeight="1">
      <c r="B5193" s="324"/>
      <c r="C5193" s="325"/>
      <c r="D5193" s="326"/>
      <c r="E5193" s="326"/>
      <c r="F5193" s="326"/>
      <c r="G5193" s="326"/>
      <c r="H5193" s="326"/>
      <c r="P5193" s="318"/>
      <c r="Q5193" s="318"/>
      <c r="R5193" s="318"/>
      <c r="S5193" s="318"/>
      <c r="T5193" s="318"/>
      <c r="U5193" s="318"/>
      <c r="V5193" s="318"/>
      <c r="W5193" s="318"/>
      <c r="X5193" s="318"/>
      <c r="Y5193" s="318"/>
      <c r="Z5193" s="318"/>
      <c r="AA5193" s="318"/>
      <c r="AB5193" s="318"/>
      <c r="AC5193" s="318"/>
      <c r="AD5193" s="318"/>
    </row>
    <row r="5194" spans="2:30" s="323" customFormat="1" ht="12" customHeight="1">
      <c r="B5194" s="324"/>
      <c r="C5194" s="325"/>
      <c r="D5194" s="326"/>
      <c r="E5194" s="326"/>
      <c r="F5194" s="326"/>
      <c r="G5194" s="326"/>
      <c r="H5194" s="326"/>
      <c r="P5194" s="318"/>
      <c r="Q5194" s="318"/>
      <c r="R5194" s="318"/>
      <c r="S5194" s="318"/>
      <c r="T5194" s="318"/>
      <c r="U5194" s="318"/>
      <c r="V5194" s="318"/>
      <c r="W5194" s="318"/>
      <c r="X5194" s="318"/>
      <c r="Y5194" s="318"/>
      <c r="Z5194" s="318"/>
      <c r="AA5194" s="318"/>
      <c r="AB5194" s="318"/>
      <c r="AC5194" s="318"/>
      <c r="AD5194" s="318"/>
    </row>
    <row r="5195" spans="2:30" s="323" customFormat="1" ht="12" customHeight="1">
      <c r="B5195" s="324"/>
      <c r="C5195" s="325"/>
      <c r="D5195" s="326"/>
      <c r="E5195" s="326"/>
      <c r="F5195" s="326"/>
      <c r="G5195" s="326"/>
      <c r="H5195" s="326"/>
      <c r="P5195" s="318"/>
      <c r="Q5195" s="318"/>
      <c r="R5195" s="318"/>
      <c r="S5195" s="318"/>
      <c r="T5195" s="318"/>
      <c r="U5195" s="318"/>
      <c r="V5195" s="318"/>
      <c r="W5195" s="318"/>
      <c r="X5195" s="318"/>
      <c r="Y5195" s="318"/>
      <c r="Z5195" s="318"/>
      <c r="AA5195" s="318"/>
      <c r="AB5195" s="318"/>
      <c r="AC5195" s="318"/>
      <c r="AD5195" s="318"/>
    </row>
    <row r="5196" spans="2:30" s="323" customFormat="1" ht="12" customHeight="1">
      <c r="B5196" s="324"/>
      <c r="C5196" s="325"/>
      <c r="D5196" s="326"/>
      <c r="E5196" s="326"/>
      <c r="F5196" s="326"/>
      <c r="G5196" s="326"/>
      <c r="H5196" s="326"/>
      <c r="P5196" s="318"/>
      <c r="Q5196" s="318"/>
      <c r="R5196" s="318"/>
      <c r="S5196" s="318"/>
      <c r="T5196" s="318"/>
      <c r="U5196" s="318"/>
      <c r="V5196" s="318"/>
      <c r="W5196" s="318"/>
      <c r="X5196" s="318"/>
      <c r="Y5196" s="318"/>
      <c r="Z5196" s="318"/>
      <c r="AA5196" s="318"/>
      <c r="AB5196" s="318"/>
      <c r="AC5196" s="318"/>
      <c r="AD5196" s="318"/>
    </row>
    <row r="5197" spans="2:30" s="323" customFormat="1" ht="12" customHeight="1">
      <c r="B5197" s="324"/>
      <c r="C5197" s="325"/>
      <c r="D5197" s="326"/>
      <c r="E5197" s="326"/>
      <c r="F5197" s="326"/>
      <c r="G5197" s="326"/>
      <c r="H5197" s="326"/>
      <c r="P5197" s="318"/>
      <c r="Q5197" s="318"/>
      <c r="R5197" s="318"/>
      <c r="S5197" s="318"/>
      <c r="T5197" s="318"/>
      <c r="U5197" s="318"/>
      <c r="V5197" s="318"/>
      <c r="W5197" s="318"/>
      <c r="X5197" s="318"/>
      <c r="Y5197" s="318"/>
      <c r="Z5197" s="318"/>
      <c r="AA5197" s="318"/>
      <c r="AB5197" s="318"/>
      <c r="AC5197" s="318"/>
      <c r="AD5197" s="318"/>
    </row>
    <row r="5198" spans="2:30" s="323" customFormat="1" ht="12" customHeight="1">
      <c r="B5198" s="324"/>
      <c r="C5198" s="325"/>
      <c r="D5198" s="326"/>
      <c r="E5198" s="326"/>
      <c r="F5198" s="326"/>
      <c r="G5198" s="326"/>
      <c r="H5198" s="326"/>
      <c r="P5198" s="318"/>
      <c r="Q5198" s="318"/>
      <c r="R5198" s="318"/>
      <c r="S5198" s="318"/>
      <c r="T5198" s="318"/>
      <c r="U5198" s="318"/>
      <c r="V5198" s="318"/>
      <c r="W5198" s="318"/>
      <c r="X5198" s="318"/>
      <c r="Y5198" s="318"/>
      <c r="Z5198" s="318"/>
      <c r="AA5198" s="318"/>
      <c r="AB5198" s="318"/>
      <c r="AC5198" s="318"/>
      <c r="AD5198" s="318"/>
    </row>
    <row r="5199" spans="2:30" s="323" customFormat="1" ht="12" customHeight="1">
      <c r="B5199" s="324"/>
      <c r="C5199" s="325"/>
      <c r="D5199" s="326"/>
      <c r="E5199" s="326"/>
      <c r="F5199" s="326"/>
      <c r="G5199" s="326"/>
      <c r="H5199" s="326"/>
      <c r="P5199" s="318"/>
      <c r="Q5199" s="318"/>
      <c r="R5199" s="318"/>
      <c r="S5199" s="318"/>
      <c r="T5199" s="318"/>
      <c r="U5199" s="318"/>
      <c r="V5199" s="318"/>
      <c r="W5199" s="318"/>
      <c r="X5199" s="318"/>
      <c r="Y5199" s="318"/>
      <c r="Z5199" s="318"/>
      <c r="AA5199" s="318"/>
      <c r="AB5199" s="318"/>
      <c r="AC5199" s="318"/>
      <c r="AD5199" s="318"/>
    </row>
    <row r="5200" spans="2:30" s="323" customFormat="1" ht="12" customHeight="1">
      <c r="B5200" s="324"/>
      <c r="C5200" s="325"/>
      <c r="D5200" s="326"/>
      <c r="E5200" s="326"/>
      <c r="F5200" s="326"/>
      <c r="G5200" s="326"/>
      <c r="H5200" s="326"/>
      <c r="P5200" s="318"/>
      <c r="Q5200" s="318"/>
      <c r="R5200" s="318"/>
      <c r="S5200" s="318"/>
      <c r="T5200" s="318"/>
      <c r="U5200" s="318"/>
      <c r="V5200" s="318"/>
      <c r="W5200" s="318"/>
      <c r="X5200" s="318"/>
      <c r="Y5200" s="318"/>
      <c r="Z5200" s="318"/>
      <c r="AA5200" s="318"/>
      <c r="AB5200" s="318"/>
      <c r="AC5200" s="318"/>
      <c r="AD5200" s="318"/>
    </row>
    <row r="5201" spans="2:30" s="323" customFormat="1" ht="12" customHeight="1">
      <c r="B5201" s="324"/>
      <c r="C5201" s="325"/>
      <c r="D5201" s="326"/>
      <c r="E5201" s="326"/>
      <c r="F5201" s="326"/>
      <c r="G5201" s="326"/>
      <c r="H5201" s="326"/>
      <c r="P5201" s="318"/>
      <c r="Q5201" s="318"/>
      <c r="R5201" s="318"/>
      <c r="S5201" s="318"/>
      <c r="T5201" s="318"/>
      <c r="U5201" s="318"/>
      <c r="V5201" s="318"/>
      <c r="W5201" s="318"/>
      <c r="X5201" s="318"/>
      <c r="Y5201" s="318"/>
      <c r="Z5201" s="318"/>
      <c r="AA5201" s="318"/>
      <c r="AB5201" s="318"/>
      <c r="AC5201" s="318"/>
      <c r="AD5201" s="318"/>
    </row>
    <row r="5202" spans="2:30" s="323" customFormat="1" ht="12" customHeight="1">
      <c r="B5202" s="324"/>
      <c r="C5202" s="325"/>
      <c r="D5202" s="326"/>
      <c r="E5202" s="326"/>
      <c r="F5202" s="326"/>
      <c r="G5202" s="326"/>
      <c r="H5202" s="326"/>
      <c r="P5202" s="318"/>
      <c r="Q5202" s="318"/>
      <c r="R5202" s="318"/>
      <c r="S5202" s="318"/>
      <c r="T5202" s="318"/>
      <c r="U5202" s="318"/>
      <c r="V5202" s="318"/>
      <c r="W5202" s="318"/>
      <c r="X5202" s="318"/>
      <c r="Y5202" s="318"/>
      <c r="Z5202" s="318"/>
      <c r="AA5202" s="318"/>
      <c r="AB5202" s="318"/>
      <c r="AC5202" s="318"/>
      <c r="AD5202" s="318"/>
    </row>
    <row r="5203" spans="2:30" s="323" customFormat="1" ht="12" customHeight="1">
      <c r="B5203" s="324"/>
      <c r="C5203" s="325"/>
      <c r="D5203" s="326"/>
      <c r="E5203" s="326"/>
      <c r="F5203" s="326"/>
      <c r="G5203" s="326"/>
      <c r="H5203" s="326"/>
      <c r="P5203" s="318"/>
      <c r="Q5203" s="318"/>
      <c r="R5203" s="318"/>
      <c r="S5203" s="318"/>
      <c r="T5203" s="318"/>
      <c r="U5203" s="318"/>
      <c r="V5203" s="318"/>
      <c r="W5203" s="318"/>
      <c r="X5203" s="318"/>
      <c r="Y5203" s="318"/>
      <c r="Z5203" s="318"/>
      <c r="AA5203" s="318"/>
      <c r="AB5203" s="318"/>
      <c r="AC5203" s="318"/>
      <c r="AD5203" s="318"/>
    </row>
    <row r="5204" spans="2:30" s="323" customFormat="1" ht="12" customHeight="1">
      <c r="B5204" s="324"/>
      <c r="C5204" s="325"/>
      <c r="D5204" s="326"/>
      <c r="E5204" s="326"/>
      <c r="F5204" s="326"/>
      <c r="G5204" s="326"/>
      <c r="H5204" s="326"/>
      <c r="P5204" s="318"/>
      <c r="Q5204" s="318"/>
      <c r="R5204" s="318"/>
      <c r="S5204" s="318"/>
      <c r="T5204" s="318"/>
      <c r="U5204" s="318"/>
      <c r="V5204" s="318"/>
      <c r="W5204" s="318"/>
      <c r="X5204" s="318"/>
      <c r="Y5204" s="318"/>
      <c r="Z5204" s="318"/>
      <c r="AA5204" s="318"/>
      <c r="AB5204" s="318"/>
      <c r="AC5204" s="318"/>
      <c r="AD5204" s="318"/>
    </row>
    <row r="5205" spans="2:30" s="323" customFormat="1" ht="12" customHeight="1">
      <c r="B5205" s="324"/>
      <c r="C5205" s="325"/>
      <c r="D5205" s="326"/>
      <c r="E5205" s="326"/>
      <c r="F5205" s="326"/>
      <c r="G5205" s="326"/>
      <c r="H5205" s="326"/>
      <c r="P5205" s="318"/>
      <c r="Q5205" s="318"/>
      <c r="R5205" s="318"/>
      <c r="S5205" s="318"/>
      <c r="T5205" s="318"/>
      <c r="U5205" s="318"/>
      <c r="V5205" s="318"/>
      <c r="W5205" s="318"/>
      <c r="X5205" s="318"/>
      <c r="Y5205" s="318"/>
      <c r="Z5205" s="318"/>
      <c r="AA5205" s="318"/>
      <c r="AB5205" s="318"/>
      <c r="AC5205" s="318"/>
      <c r="AD5205" s="318"/>
    </row>
    <row r="5206" spans="2:30" s="323" customFormat="1" ht="12" customHeight="1">
      <c r="B5206" s="324"/>
      <c r="C5206" s="325"/>
      <c r="D5206" s="326"/>
      <c r="E5206" s="326"/>
      <c r="F5206" s="326"/>
      <c r="G5206" s="326"/>
      <c r="H5206" s="326"/>
      <c r="P5206" s="318"/>
      <c r="Q5206" s="318"/>
      <c r="R5206" s="318"/>
      <c r="S5206" s="318"/>
      <c r="T5206" s="318"/>
      <c r="U5206" s="318"/>
      <c r="V5206" s="318"/>
      <c r="W5206" s="318"/>
      <c r="X5206" s="318"/>
      <c r="Y5206" s="318"/>
      <c r="Z5206" s="318"/>
      <c r="AA5206" s="318"/>
      <c r="AB5206" s="318"/>
      <c r="AC5206" s="318"/>
      <c r="AD5206" s="318"/>
    </row>
    <row r="5207" spans="2:30" s="323" customFormat="1" ht="12" customHeight="1">
      <c r="B5207" s="324"/>
      <c r="C5207" s="325"/>
      <c r="D5207" s="326"/>
      <c r="E5207" s="326"/>
      <c r="F5207" s="326"/>
      <c r="G5207" s="326"/>
      <c r="H5207" s="326"/>
      <c r="P5207" s="318"/>
      <c r="Q5207" s="318"/>
      <c r="R5207" s="318"/>
      <c r="S5207" s="318"/>
      <c r="T5207" s="318"/>
      <c r="U5207" s="318"/>
      <c r="V5207" s="318"/>
      <c r="W5207" s="318"/>
      <c r="X5207" s="318"/>
      <c r="Y5207" s="318"/>
      <c r="Z5207" s="318"/>
      <c r="AA5207" s="318"/>
      <c r="AB5207" s="318"/>
      <c r="AC5207" s="318"/>
      <c r="AD5207" s="318"/>
    </row>
    <row r="5208" spans="2:30" s="323" customFormat="1" ht="12" customHeight="1">
      <c r="B5208" s="324"/>
      <c r="C5208" s="325"/>
      <c r="D5208" s="326"/>
      <c r="E5208" s="326"/>
      <c r="F5208" s="326"/>
      <c r="G5208" s="326"/>
      <c r="H5208" s="326"/>
      <c r="P5208" s="318"/>
      <c r="Q5208" s="318"/>
      <c r="R5208" s="318"/>
      <c r="S5208" s="318"/>
      <c r="T5208" s="318"/>
      <c r="U5208" s="318"/>
      <c r="V5208" s="318"/>
      <c r="W5208" s="318"/>
      <c r="X5208" s="318"/>
      <c r="Y5208" s="318"/>
      <c r="Z5208" s="318"/>
      <c r="AA5208" s="318"/>
      <c r="AB5208" s="318"/>
      <c r="AC5208" s="318"/>
      <c r="AD5208" s="318"/>
    </row>
    <row r="5209" spans="2:30" s="323" customFormat="1" ht="12" customHeight="1">
      <c r="B5209" s="324"/>
      <c r="C5209" s="325"/>
      <c r="D5209" s="326"/>
      <c r="E5209" s="326"/>
      <c r="F5209" s="326"/>
      <c r="G5209" s="326"/>
      <c r="H5209" s="326"/>
      <c r="P5209" s="318"/>
      <c r="Q5209" s="318"/>
      <c r="R5209" s="318"/>
      <c r="S5209" s="318"/>
      <c r="T5209" s="318"/>
      <c r="U5209" s="318"/>
      <c r="V5209" s="318"/>
      <c r="W5209" s="318"/>
      <c r="X5209" s="318"/>
      <c r="Y5209" s="318"/>
      <c r="Z5209" s="318"/>
      <c r="AA5209" s="318"/>
      <c r="AB5209" s="318"/>
      <c r="AC5209" s="318"/>
      <c r="AD5209" s="318"/>
    </row>
    <row r="5210" spans="2:30" s="323" customFormat="1" ht="12" customHeight="1">
      <c r="B5210" s="324"/>
      <c r="C5210" s="325"/>
      <c r="D5210" s="326"/>
      <c r="E5210" s="326"/>
      <c r="F5210" s="326"/>
      <c r="G5210" s="326"/>
      <c r="H5210" s="326"/>
      <c r="P5210" s="318"/>
      <c r="Q5210" s="318"/>
      <c r="R5210" s="318"/>
      <c r="S5210" s="318"/>
      <c r="T5210" s="318"/>
      <c r="U5210" s="318"/>
      <c r="V5210" s="318"/>
      <c r="W5210" s="318"/>
      <c r="X5210" s="318"/>
      <c r="Y5210" s="318"/>
      <c r="Z5210" s="318"/>
      <c r="AA5210" s="318"/>
      <c r="AB5210" s="318"/>
      <c r="AC5210" s="318"/>
      <c r="AD5210" s="318"/>
    </row>
    <row r="5211" spans="2:30" s="323" customFormat="1" ht="12" customHeight="1">
      <c r="B5211" s="324"/>
      <c r="C5211" s="325"/>
      <c r="D5211" s="326"/>
      <c r="E5211" s="326"/>
      <c r="F5211" s="326"/>
      <c r="G5211" s="326"/>
      <c r="H5211" s="326"/>
      <c r="P5211" s="318"/>
      <c r="Q5211" s="318"/>
      <c r="R5211" s="318"/>
      <c r="S5211" s="318"/>
      <c r="T5211" s="318"/>
      <c r="U5211" s="318"/>
      <c r="V5211" s="318"/>
      <c r="W5211" s="318"/>
      <c r="X5211" s="318"/>
      <c r="Y5211" s="318"/>
      <c r="Z5211" s="318"/>
      <c r="AA5211" s="318"/>
      <c r="AB5211" s="318"/>
      <c r="AC5211" s="318"/>
      <c r="AD5211" s="318"/>
    </row>
    <row r="5212" spans="2:30" s="323" customFormat="1" ht="12" customHeight="1">
      <c r="B5212" s="324"/>
      <c r="C5212" s="325"/>
      <c r="D5212" s="326"/>
      <c r="E5212" s="326"/>
      <c r="F5212" s="326"/>
      <c r="G5212" s="326"/>
      <c r="H5212" s="326"/>
      <c r="P5212" s="318"/>
      <c r="Q5212" s="318"/>
      <c r="R5212" s="318"/>
      <c r="S5212" s="318"/>
      <c r="T5212" s="318"/>
      <c r="U5212" s="318"/>
      <c r="V5212" s="318"/>
      <c r="W5212" s="318"/>
      <c r="X5212" s="318"/>
      <c r="Y5212" s="318"/>
      <c r="Z5212" s="318"/>
      <c r="AA5212" s="318"/>
      <c r="AB5212" s="318"/>
      <c r="AC5212" s="318"/>
      <c r="AD5212" s="318"/>
    </row>
    <row r="5213" spans="2:30" s="323" customFormat="1" ht="12" customHeight="1">
      <c r="B5213" s="324"/>
      <c r="C5213" s="325"/>
      <c r="D5213" s="326"/>
      <c r="E5213" s="326"/>
      <c r="F5213" s="326"/>
      <c r="G5213" s="326"/>
      <c r="H5213" s="326"/>
      <c r="P5213" s="318"/>
      <c r="Q5213" s="318"/>
      <c r="R5213" s="318"/>
      <c r="S5213" s="318"/>
      <c r="T5213" s="318"/>
      <c r="U5213" s="318"/>
      <c r="V5213" s="318"/>
      <c r="W5213" s="318"/>
      <c r="X5213" s="318"/>
      <c r="Y5213" s="318"/>
      <c r="Z5213" s="318"/>
      <c r="AA5213" s="318"/>
      <c r="AB5213" s="318"/>
      <c r="AC5213" s="318"/>
      <c r="AD5213" s="318"/>
    </row>
    <row r="5214" spans="2:30" s="323" customFormat="1" ht="12" customHeight="1">
      <c r="B5214" s="324"/>
      <c r="C5214" s="325"/>
      <c r="D5214" s="326"/>
      <c r="E5214" s="326"/>
      <c r="F5214" s="326"/>
      <c r="G5214" s="326"/>
      <c r="H5214" s="326"/>
      <c r="P5214" s="318"/>
      <c r="Q5214" s="318"/>
      <c r="R5214" s="318"/>
      <c r="S5214" s="318"/>
      <c r="T5214" s="318"/>
      <c r="U5214" s="318"/>
      <c r="V5214" s="318"/>
      <c r="W5214" s="318"/>
      <c r="X5214" s="318"/>
      <c r="Y5214" s="318"/>
      <c r="Z5214" s="318"/>
      <c r="AA5214" s="318"/>
      <c r="AB5214" s="318"/>
      <c r="AC5214" s="318"/>
      <c r="AD5214" s="318"/>
    </row>
    <row r="5215" spans="2:30" s="323" customFormat="1" ht="12" customHeight="1">
      <c r="B5215" s="324"/>
      <c r="C5215" s="325"/>
      <c r="D5215" s="326"/>
      <c r="E5215" s="326"/>
      <c r="F5215" s="326"/>
      <c r="G5215" s="326"/>
      <c r="H5215" s="326"/>
      <c r="P5215" s="318"/>
      <c r="Q5215" s="318"/>
      <c r="R5215" s="318"/>
      <c r="S5215" s="318"/>
      <c r="T5215" s="318"/>
      <c r="U5215" s="318"/>
      <c r="V5215" s="318"/>
      <c r="W5215" s="318"/>
      <c r="X5215" s="318"/>
      <c r="Y5215" s="318"/>
      <c r="Z5215" s="318"/>
      <c r="AA5215" s="318"/>
      <c r="AB5215" s="318"/>
      <c r="AC5215" s="318"/>
      <c r="AD5215" s="318"/>
    </row>
    <row r="5216" spans="2:30" s="323" customFormat="1" ht="12" customHeight="1">
      <c r="B5216" s="324"/>
      <c r="C5216" s="325"/>
      <c r="D5216" s="326"/>
      <c r="E5216" s="326"/>
      <c r="F5216" s="326"/>
      <c r="G5216" s="326"/>
      <c r="H5216" s="326"/>
      <c r="P5216" s="318"/>
      <c r="Q5216" s="318"/>
      <c r="R5216" s="318"/>
      <c r="S5216" s="318"/>
      <c r="T5216" s="318"/>
      <c r="U5216" s="318"/>
      <c r="V5216" s="318"/>
      <c r="W5216" s="318"/>
      <c r="X5216" s="318"/>
      <c r="Y5216" s="318"/>
      <c r="Z5216" s="318"/>
      <c r="AA5216" s="318"/>
      <c r="AB5216" s="318"/>
      <c r="AC5216" s="318"/>
      <c r="AD5216" s="318"/>
    </row>
    <row r="5217" spans="2:30" s="323" customFormat="1" ht="12" customHeight="1">
      <c r="B5217" s="324"/>
      <c r="C5217" s="325"/>
      <c r="D5217" s="326"/>
      <c r="E5217" s="326"/>
      <c r="F5217" s="326"/>
      <c r="G5217" s="326"/>
      <c r="H5217" s="326"/>
      <c r="P5217" s="318"/>
      <c r="Q5217" s="318"/>
      <c r="R5217" s="318"/>
      <c r="S5217" s="318"/>
      <c r="T5217" s="318"/>
      <c r="U5217" s="318"/>
      <c r="V5217" s="318"/>
      <c r="W5217" s="318"/>
      <c r="X5217" s="318"/>
      <c r="Y5217" s="318"/>
      <c r="Z5217" s="318"/>
      <c r="AA5217" s="318"/>
      <c r="AB5217" s="318"/>
      <c r="AC5217" s="318"/>
      <c r="AD5217" s="318"/>
    </row>
    <row r="5218" spans="2:30" s="323" customFormat="1" ht="12" customHeight="1">
      <c r="B5218" s="324"/>
      <c r="C5218" s="325"/>
      <c r="D5218" s="326"/>
      <c r="E5218" s="326"/>
      <c r="F5218" s="326"/>
      <c r="G5218" s="326"/>
      <c r="H5218" s="326"/>
      <c r="P5218" s="318"/>
      <c r="Q5218" s="318"/>
      <c r="R5218" s="318"/>
      <c r="S5218" s="318"/>
      <c r="T5218" s="318"/>
      <c r="U5218" s="318"/>
      <c r="V5218" s="318"/>
      <c r="W5218" s="318"/>
      <c r="X5218" s="318"/>
      <c r="Y5218" s="318"/>
      <c r="Z5218" s="318"/>
      <c r="AA5218" s="318"/>
      <c r="AB5218" s="318"/>
      <c r="AC5218" s="318"/>
      <c r="AD5218" s="318"/>
    </row>
    <row r="5219" spans="2:30" s="323" customFormat="1" ht="12" customHeight="1">
      <c r="B5219" s="324"/>
      <c r="C5219" s="325"/>
      <c r="D5219" s="326"/>
      <c r="E5219" s="326"/>
      <c r="F5219" s="326"/>
      <c r="G5219" s="326"/>
      <c r="H5219" s="326"/>
      <c r="P5219" s="318"/>
      <c r="Q5219" s="318"/>
      <c r="R5219" s="318"/>
      <c r="S5219" s="318"/>
      <c r="T5219" s="318"/>
      <c r="U5219" s="318"/>
      <c r="V5219" s="318"/>
      <c r="W5219" s="318"/>
      <c r="X5219" s="318"/>
      <c r="Y5219" s="318"/>
      <c r="Z5219" s="318"/>
      <c r="AA5219" s="318"/>
      <c r="AB5219" s="318"/>
      <c r="AC5219" s="318"/>
      <c r="AD5219" s="318"/>
    </row>
    <row r="5220" spans="2:30" s="323" customFormat="1" ht="12" customHeight="1">
      <c r="B5220" s="324"/>
      <c r="C5220" s="325"/>
      <c r="D5220" s="326"/>
      <c r="E5220" s="326"/>
      <c r="F5220" s="326"/>
      <c r="G5220" s="326"/>
      <c r="H5220" s="326"/>
      <c r="P5220" s="318"/>
      <c r="Q5220" s="318"/>
      <c r="R5220" s="318"/>
      <c r="S5220" s="318"/>
      <c r="T5220" s="318"/>
      <c r="U5220" s="318"/>
      <c r="V5220" s="318"/>
      <c r="W5220" s="318"/>
      <c r="X5220" s="318"/>
      <c r="Y5220" s="318"/>
      <c r="Z5220" s="318"/>
      <c r="AA5220" s="318"/>
      <c r="AB5220" s="318"/>
      <c r="AC5220" s="318"/>
      <c r="AD5220" s="318"/>
    </row>
    <row r="5221" spans="2:30" s="323" customFormat="1" ht="12" customHeight="1">
      <c r="B5221" s="324"/>
      <c r="C5221" s="325"/>
      <c r="D5221" s="326"/>
      <c r="E5221" s="326"/>
      <c r="F5221" s="326"/>
      <c r="G5221" s="326"/>
      <c r="H5221" s="326"/>
      <c r="P5221" s="318"/>
      <c r="Q5221" s="318"/>
      <c r="R5221" s="318"/>
      <c r="S5221" s="318"/>
      <c r="T5221" s="318"/>
      <c r="U5221" s="318"/>
      <c r="V5221" s="318"/>
      <c r="W5221" s="318"/>
      <c r="X5221" s="318"/>
      <c r="Y5221" s="318"/>
      <c r="Z5221" s="318"/>
      <c r="AA5221" s="318"/>
      <c r="AB5221" s="318"/>
      <c r="AC5221" s="318"/>
      <c r="AD5221" s="318"/>
    </row>
    <row r="5222" spans="2:30" s="323" customFormat="1" ht="12" customHeight="1">
      <c r="B5222" s="324"/>
      <c r="C5222" s="325"/>
      <c r="D5222" s="326"/>
      <c r="E5222" s="326"/>
      <c r="F5222" s="326"/>
      <c r="G5222" s="326"/>
      <c r="H5222" s="326"/>
      <c r="P5222" s="318"/>
      <c r="Q5222" s="318"/>
      <c r="R5222" s="318"/>
      <c r="S5222" s="318"/>
      <c r="T5222" s="318"/>
      <c r="U5222" s="318"/>
      <c r="V5222" s="318"/>
      <c r="W5222" s="318"/>
      <c r="X5222" s="318"/>
      <c r="Y5222" s="318"/>
      <c r="Z5222" s="318"/>
      <c r="AA5222" s="318"/>
      <c r="AB5222" s="318"/>
      <c r="AC5222" s="318"/>
      <c r="AD5222" s="318"/>
    </row>
    <row r="5223" spans="2:30" s="323" customFormat="1" ht="12" customHeight="1">
      <c r="B5223" s="324"/>
      <c r="C5223" s="325"/>
      <c r="D5223" s="326"/>
      <c r="E5223" s="326"/>
      <c r="F5223" s="326"/>
      <c r="G5223" s="326"/>
      <c r="H5223" s="326"/>
      <c r="P5223" s="318"/>
      <c r="Q5223" s="318"/>
      <c r="R5223" s="318"/>
      <c r="S5223" s="318"/>
      <c r="T5223" s="318"/>
      <c r="U5223" s="318"/>
      <c r="V5223" s="318"/>
      <c r="W5223" s="318"/>
      <c r="X5223" s="318"/>
      <c r="Y5223" s="318"/>
      <c r="Z5223" s="318"/>
      <c r="AA5223" s="318"/>
      <c r="AB5223" s="318"/>
      <c r="AC5223" s="318"/>
      <c r="AD5223" s="318"/>
    </row>
    <row r="5224" spans="2:30" s="323" customFormat="1" ht="12" customHeight="1">
      <c r="B5224" s="324"/>
      <c r="C5224" s="325"/>
      <c r="D5224" s="326"/>
      <c r="E5224" s="326"/>
      <c r="F5224" s="326"/>
      <c r="G5224" s="326"/>
      <c r="H5224" s="326"/>
      <c r="P5224" s="318"/>
      <c r="Q5224" s="318"/>
      <c r="R5224" s="318"/>
      <c r="S5224" s="318"/>
      <c r="T5224" s="318"/>
      <c r="U5224" s="318"/>
      <c r="V5224" s="318"/>
      <c r="W5224" s="318"/>
      <c r="X5224" s="318"/>
      <c r="Y5224" s="318"/>
      <c r="Z5224" s="318"/>
      <c r="AA5224" s="318"/>
      <c r="AB5224" s="318"/>
      <c r="AC5224" s="318"/>
      <c r="AD5224" s="318"/>
    </row>
    <row r="5225" spans="2:30" s="323" customFormat="1" ht="12" customHeight="1">
      <c r="B5225" s="324"/>
      <c r="C5225" s="325"/>
      <c r="D5225" s="326"/>
      <c r="E5225" s="326"/>
      <c r="F5225" s="326"/>
      <c r="G5225" s="326"/>
      <c r="H5225" s="326"/>
      <c r="P5225" s="318"/>
      <c r="Q5225" s="318"/>
      <c r="R5225" s="318"/>
      <c r="S5225" s="318"/>
      <c r="T5225" s="318"/>
      <c r="U5225" s="318"/>
      <c r="V5225" s="318"/>
      <c r="W5225" s="318"/>
      <c r="X5225" s="318"/>
      <c r="Y5225" s="318"/>
      <c r="Z5225" s="318"/>
      <c r="AA5225" s="318"/>
      <c r="AB5225" s="318"/>
      <c r="AC5225" s="318"/>
      <c r="AD5225" s="318"/>
    </row>
    <row r="5226" spans="2:30" s="323" customFormat="1" ht="12" customHeight="1">
      <c r="B5226" s="324"/>
      <c r="C5226" s="325"/>
      <c r="D5226" s="326"/>
      <c r="E5226" s="326"/>
      <c r="F5226" s="326"/>
      <c r="G5226" s="326"/>
      <c r="H5226" s="326"/>
      <c r="P5226" s="318"/>
      <c r="Q5226" s="318"/>
      <c r="R5226" s="318"/>
      <c r="S5226" s="318"/>
      <c r="T5226" s="318"/>
      <c r="U5226" s="318"/>
      <c r="V5226" s="318"/>
      <c r="W5226" s="318"/>
      <c r="X5226" s="318"/>
      <c r="Y5226" s="318"/>
      <c r="Z5226" s="318"/>
      <c r="AA5226" s="318"/>
      <c r="AB5226" s="318"/>
      <c r="AC5226" s="318"/>
      <c r="AD5226" s="318"/>
    </row>
    <row r="5227" spans="2:30" s="323" customFormat="1" ht="12" customHeight="1">
      <c r="B5227" s="324"/>
      <c r="C5227" s="325"/>
      <c r="D5227" s="326"/>
      <c r="E5227" s="326"/>
      <c r="F5227" s="326"/>
      <c r="G5227" s="326"/>
      <c r="H5227" s="326"/>
      <c r="P5227" s="318"/>
      <c r="Q5227" s="318"/>
      <c r="R5227" s="318"/>
      <c r="S5227" s="318"/>
      <c r="T5227" s="318"/>
      <c r="U5227" s="318"/>
      <c r="V5227" s="318"/>
      <c r="W5227" s="318"/>
      <c r="X5227" s="318"/>
      <c r="Y5227" s="318"/>
      <c r="Z5227" s="318"/>
      <c r="AA5227" s="318"/>
      <c r="AB5227" s="318"/>
      <c r="AC5227" s="318"/>
      <c r="AD5227" s="318"/>
    </row>
    <row r="5228" spans="2:30" s="323" customFormat="1" ht="12" customHeight="1">
      <c r="B5228" s="324"/>
      <c r="C5228" s="325"/>
      <c r="D5228" s="326"/>
      <c r="E5228" s="326"/>
      <c r="F5228" s="326"/>
      <c r="G5228" s="326"/>
      <c r="H5228" s="326"/>
      <c r="P5228" s="318"/>
      <c r="Q5228" s="318"/>
      <c r="R5228" s="318"/>
      <c r="S5228" s="318"/>
      <c r="T5228" s="318"/>
      <c r="U5228" s="318"/>
      <c r="V5228" s="318"/>
      <c r="W5228" s="318"/>
      <c r="X5228" s="318"/>
      <c r="Y5228" s="318"/>
      <c r="Z5228" s="318"/>
      <c r="AA5228" s="318"/>
      <c r="AB5228" s="318"/>
      <c r="AC5228" s="318"/>
      <c r="AD5228" s="318"/>
    </row>
    <row r="5229" spans="2:30" s="323" customFormat="1" ht="12" customHeight="1">
      <c r="B5229" s="324"/>
      <c r="C5229" s="325"/>
      <c r="D5229" s="326"/>
      <c r="E5229" s="326"/>
      <c r="F5229" s="326"/>
      <c r="G5229" s="326"/>
      <c r="H5229" s="326"/>
      <c r="P5229" s="318"/>
      <c r="Q5229" s="318"/>
      <c r="R5229" s="318"/>
      <c r="S5229" s="318"/>
      <c r="T5229" s="318"/>
      <c r="U5229" s="318"/>
      <c r="V5229" s="318"/>
      <c r="W5229" s="318"/>
      <c r="X5229" s="318"/>
      <c r="Y5229" s="318"/>
      <c r="Z5229" s="318"/>
      <c r="AA5229" s="318"/>
      <c r="AB5229" s="318"/>
      <c r="AC5229" s="318"/>
      <c r="AD5229" s="318"/>
    </row>
    <row r="5230" spans="2:30" s="323" customFormat="1" ht="12" customHeight="1">
      <c r="B5230" s="324"/>
      <c r="C5230" s="325"/>
      <c r="D5230" s="326"/>
      <c r="E5230" s="326"/>
      <c r="F5230" s="326"/>
      <c r="G5230" s="326"/>
      <c r="H5230" s="326"/>
      <c r="P5230" s="318"/>
      <c r="Q5230" s="318"/>
      <c r="R5230" s="318"/>
      <c r="S5230" s="318"/>
      <c r="T5230" s="318"/>
      <c r="U5230" s="318"/>
      <c r="V5230" s="318"/>
      <c r="W5230" s="318"/>
      <c r="X5230" s="318"/>
      <c r="Y5230" s="318"/>
      <c r="Z5230" s="318"/>
      <c r="AA5230" s="318"/>
      <c r="AB5230" s="318"/>
      <c r="AC5230" s="318"/>
      <c r="AD5230" s="318"/>
    </row>
    <row r="5231" spans="2:30" s="323" customFormat="1" ht="12" customHeight="1">
      <c r="B5231" s="324"/>
      <c r="C5231" s="325"/>
      <c r="D5231" s="326"/>
      <c r="E5231" s="326"/>
      <c r="F5231" s="326"/>
      <c r="G5231" s="326"/>
      <c r="H5231" s="326"/>
      <c r="P5231" s="318"/>
      <c r="Q5231" s="318"/>
      <c r="R5231" s="318"/>
      <c r="S5231" s="318"/>
      <c r="T5231" s="318"/>
      <c r="U5231" s="318"/>
      <c r="V5231" s="318"/>
      <c r="W5231" s="318"/>
      <c r="X5231" s="318"/>
      <c r="Y5231" s="318"/>
      <c r="Z5231" s="318"/>
      <c r="AA5231" s="318"/>
      <c r="AB5231" s="318"/>
      <c r="AC5231" s="318"/>
      <c r="AD5231" s="318"/>
    </row>
    <row r="5232" spans="2:30" s="323" customFormat="1" ht="12" customHeight="1">
      <c r="B5232" s="324"/>
      <c r="C5232" s="325"/>
      <c r="D5232" s="326"/>
      <c r="E5232" s="326"/>
      <c r="F5232" s="326"/>
      <c r="G5232" s="326"/>
      <c r="H5232" s="326"/>
      <c r="P5232" s="318"/>
      <c r="Q5232" s="318"/>
      <c r="R5232" s="318"/>
      <c r="S5232" s="318"/>
      <c r="T5232" s="318"/>
      <c r="U5232" s="318"/>
      <c r="V5232" s="318"/>
      <c r="W5232" s="318"/>
      <c r="X5232" s="318"/>
      <c r="Y5232" s="318"/>
      <c r="Z5232" s="318"/>
      <c r="AA5232" s="318"/>
      <c r="AB5232" s="318"/>
      <c r="AC5232" s="318"/>
      <c r="AD5232" s="318"/>
    </row>
    <row r="5233" spans="2:30" s="323" customFormat="1" ht="12" customHeight="1">
      <c r="B5233" s="324"/>
      <c r="C5233" s="325"/>
      <c r="D5233" s="326"/>
      <c r="E5233" s="326"/>
      <c r="F5233" s="326"/>
      <c r="G5233" s="326"/>
      <c r="H5233" s="326"/>
      <c r="P5233" s="318"/>
      <c r="Q5233" s="318"/>
      <c r="R5233" s="318"/>
      <c r="S5233" s="318"/>
      <c r="T5233" s="318"/>
      <c r="U5233" s="318"/>
      <c r="V5233" s="318"/>
      <c r="W5233" s="318"/>
      <c r="X5233" s="318"/>
      <c r="Y5233" s="318"/>
      <c r="Z5233" s="318"/>
      <c r="AA5233" s="318"/>
      <c r="AB5233" s="318"/>
      <c r="AC5233" s="318"/>
      <c r="AD5233" s="318"/>
    </row>
    <row r="5234" spans="2:30" s="323" customFormat="1" ht="12" customHeight="1">
      <c r="B5234" s="324"/>
      <c r="C5234" s="325"/>
      <c r="D5234" s="326"/>
      <c r="E5234" s="326"/>
      <c r="F5234" s="326"/>
      <c r="G5234" s="326"/>
      <c r="H5234" s="326"/>
      <c r="P5234" s="318"/>
      <c r="Q5234" s="318"/>
      <c r="R5234" s="318"/>
      <c r="S5234" s="318"/>
      <c r="T5234" s="318"/>
      <c r="U5234" s="318"/>
      <c r="V5234" s="318"/>
      <c r="W5234" s="318"/>
      <c r="X5234" s="318"/>
      <c r="Y5234" s="318"/>
      <c r="Z5234" s="318"/>
      <c r="AA5234" s="318"/>
      <c r="AB5234" s="318"/>
      <c r="AC5234" s="318"/>
      <c r="AD5234" s="318"/>
    </row>
    <row r="5235" spans="2:30" s="323" customFormat="1" ht="12" customHeight="1">
      <c r="B5235" s="324"/>
      <c r="C5235" s="325"/>
      <c r="D5235" s="326"/>
      <c r="E5235" s="326"/>
      <c r="F5235" s="326"/>
      <c r="G5235" s="326"/>
      <c r="H5235" s="326"/>
      <c r="P5235" s="318"/>
      <c r="Q5235" s="318"/>
      <c r="R5235" s="318"/>
      <c r="S5235" s="318"/>
      <c r="T5235" s="318"/>
      <c r="U5235" s="318"/>
      <c r="V5235" s="318"/>
      <c r="W5235" s="318"/>
      <c r="X5235" s="318"/>
      <c r="Y5235" s="318"/>
      <c r="Z5235" s="318"/>
      <c r="AA5235" s="318"/>
      <c r="AB5235" s="318"/>
      <c r="AC5235" s="318"/>
      <c r="AD5235" s="318"/>
    </row>
    <row r="5236" spans="2:30" s="323" customFormat="1" ht="12" customHeight="1">
      <c r="B5236" s="324"/>
      <c r="C5236" s="325"/>
      <c r="D5236" s="326"/>
      <c r="E5236" s="326"/>
      <c r="F5236" s="326"/>
      <c r="G5236" s="326"/>
      <c r="H5236" s="326"/>
      <c r="P5236" s="318"/>
      <c r="Q5236" s="318"/>
      <c r="R5236" s="318"/>
      <c r="S5236" s="318"/>
      <c r="T5236" s="318"/>
      <c r="U5236" s="318"/>
      <c r="V5236" s="318"/>
      <c r="W5236" s="318"/>
      <c r="X5236" s="318"/>
      <c r="Y5236" s="318"/>
      <c r="Z5236" s="318"/>
      <c r="AA5236" s="318"/>
      <c r="AB5236" s="318"/>
      <c r="AC5236" s="318"/>
      <c r="AD5236" s="318"/>
    </row>
    <row r="5237" spans="2:30" s="323" customFormat="1" ht="12" customHeight="1">
      <c r="B5237" s="324"/>
      <c r="C5237" s="325"/>
      <c r="D5237" s="326"/>
      <c r="E5237" s="326"/>
      <c r="F5237" s="326"/>
      <c r="G5237" s="326"/>
      <c r="H5237" s="326"/>
      <c r="P5237" s="318"/>
      <c r="Q5237" s="318"/>
      <c r="R5237" s="318"/>
      <c r="S5237" s="318"/>
      <c r="T5237" s="318"/>
      <c r="U5237" s="318"/>
      <c r="V5237" s="318"/>
      <c r="W5237" s="318"/>
      <c r="X5237" s="318"/>
      <c r="Y5237" s="318"/>
      <c r="Z5237" s="318"/>
      <c r="AA5237" s="318"/>
      <c r="AB5237" s="318"/>
      <c r="AC5237" s="318"/>
      <c r="AD5237" s="318"/>
    </row>
    <row r="5238" spans="2:30" s="323" customFormat="1" ht="12" customHeight="1">
      <c r="B5238" s="324"/>
      <c r="C5238" s="325"/>
      <c r="D5238" s="326"/>
      <c r="E5238" s="326"/>
      <c r="F5238" s="326"/>
      <c r="G5238" s="326"/>
      <c r="H5238" s="326"/>
      <c r="P5238" s="318"/>
      <c r="Q5238" s="318"/>
      <c r="R5238" s="318"/>
      <c r="S5238" s="318"/>
      <c r="T5238" s="318"/>
      <c r="U5238" s="318"/>
      <c r="V5238" s="318"/>
      <c r="W5238" s="318"/>
      <c r="X5238" s="318"/>
      <c r="Y5238" s="318"/>
      <c r="Z5238" s="318"/>
      <c r="AA5238" s="318"/>
      <c r="AB5238" s="318"/>
      <c r="AC5238" s="318"/>
      <c r="AD5238" s="318"/>
    </row>
    <row r="5239" spans="2:30" s="323" customFormat="1" ht="12" customHeight="1">
      <c r="B5239" s="324"/>
      <c r="C5239" s="325"/>
      <c r="D5239" s="326"/>
      <c r="E5239" s="326"/>
      <c r="F5239" s="326"/>
      <c r="G5239" s="326"/>
      <c r="H5239" s="326"/>
      <c r="P5239" s="318"/>
      <c r="Q5239" s="318"/>
      <c r="R5239" s="318"/>
      <c r="S5239" s="318"/>
      <c r="T5239" s="318"/>
      <c r="U5239" s="318"/>
      <c r="V5239" s="318"/>
      <c r="W5239" s="318"/>
      <c r="X5239" s="318"/>
      <c r="Y5239" s="318"/>
      <c r="Z5239" s="318"/>
      <c r="AA5239" s="318"/>
      <c r="AB5239" s="318"/>
      <c r="AC5239" s="318"/>
      <c r="AD5239" s="318"/>
    </row>
    <row r="5240" spans="2:30" s="323" customFormat="1" ht="12" customHeight="1">
      <c r="B5240" s="324"/>
      <c r="C5240" s="325"/>
      <c r="D5240" s="326"/>
      <c r="E5240" s="326"/>
      <c r="F5240" s="326"/>
      <c r="G5240" s="326"/>
      <c r="H5240" s="326"/>
      <c r="P5240" s="318"/>
      <c r="Q5240" s="318"/>
      <c r="R5240" s="318"/>
      <c r="S5240" s="318"/>
      <c r="T5240" s="318"/>
      <c r="U5240" s="318"/>
      <c r="V5240" s="318"/>
      <c r="W5240" s="318"/>
      <c r="X5240" s="318"/>
      <c r="Y5240" s="318"/>
      <c r="Z5240" s="318"/>
      <c r="AA5240" s="318"/>
      <c r="AB5240" s="318"/>
      <c r="AC5240" s="318"/>
      <c r="AD5240" s="318"/>
    </row>
    <row r="5241" spans="2:30" s="323" customFormat="1" ht="12" customHeight="1">
      <c r="B5241" s="324"/>
      <c r="C5241" s="325"/>
      <c r="D5241" s="326"/>
      <c r="E5241" s="326"/>
      <c r="F5241" s="326"/>
      <c r="G5241" s="326"/>
      <c r="H5241" s="326"/>
      <c r="P5241" s="318"/>
      <c r="Q5241" s="318"/>
      <c r="R5241" s="318"/>
      <c r="S5241" s="318"/>
      <c r="T5241" s="318"/>
      <c r="U5241" s="318"/>
      <c r="V5241" s="318"/>
      <c r="W5241" s="318"/>
      <c r="X5241" s="318"/>
      <c r="Y5241" s="318"/>
      <c r="Z5241" s="318"/>
      <c r="AA5241" s="318"/>
      <c r="AB5241" s="318"/>
      <c r="AC5241" s="318"/>
      <c r="AD5241" s="318"/>
    </row>
    <row r="5242" spans="2:30" s="323" customFormat="1" ht="12" customHeight="1">
      <c r="B5242" s="324"/>
      <c r="C5242" s="325"/>
      <c r="D5242" s="326"/>
      <c r="E5242" s="326"/>
      <c r="F5242" s="326"/>
      <c r="G5242" s="326"/>
      <c r="H5242" s="326"/>
      <c r="P5242" s="318"/>
      <c r="Q5242" s="318"/>
      <c r="R5242" s="318"/>
      <c r="S5242" s="318"/>
      <c r="T5242" s="318"/>
      <c r="U5242" s="318"/>
      <c r="V5242" s="318"/>
      <c r="W5242" s="318"/>
      <c r="X5242" s="318"/>
      <c r="Y5242" s="318"/>
      <c r="Z5242" s="318"/>
      <c r="AA5242" s="318"/>
      <c r="AB5242" s="318"/>
      <c r="AC5242" s="318"/>
      <c r="AD5242" s="318"/>
    </row>
    <row r="5243" spans="2:30" s="323" customFormat="1" ht="12" customHeight="1">
      <c r="B5243" s="324"/>
      <c r="C5243" s="325"/>
      <c r="D5243" s="326"/>
      <c r="E5243" s="326"/>
      <c r="F5243" s="326"/>
      <c r="G5243" s="326"/>
      <c r="H5243" s="326"/>
      <c r="P5243" s="318"/>
      <c r="Q5243" s="318"/>
      <c r="R5243" s="318"/>
      <c r="S5243" s="318"/>
      <c r="T5243" s="318"/>
      <c r="U5243" s="318"/>
      <c r="V5243" s="318"/>
      <c r="W5243" s="318"/>
      <c r="X5243" s="318"/>
      <c r="Y5243" s="318"/>
      <c r="Z5243" s="318"/>
      <c r="AA5243" s="318"/>
      <c r="AB5243" s="318"/>
      <c r="AC5243" s="318"/>
      <c r="AD5243" s="318"/>
    </row>
    <row r="5244" spans="2:30" s="323" customFormat="1" ht="12" customHeight="1">
      <c r="B5244" s="324"/>
      <c r="C5244" s="325"/>
      <c r="D5244" s="326"/>
      <c r="E5244" s="326"/>
      <c r="F5244" s="326"/>
      <c r="G5244" s="326"/>
      <c r="H5244" s="326"/>
      <c r="P5244" s="318"/>
      <c r="Q5244" s="318"/>
      <c r="R5244" s="318"/>
      <c r="S5244" s="318"/>
      <c r="T5244" s="318"/>
      <c r="U5244" s="318"/>
      <c r="V5244" s="318"/>
      <c r="W5244" s="318"/>
      <c r="X5244" s="318"/>
      <c r="Y5244" s="318"/>
      <c r="Z5244" s="318"/>
      <c r="AA5244" s="318"/>
      <c r="AB5244" s="318"/>
      <c r="AC5244" s="318"/>
      <c r="AD5244" s="318"/>
    </row>
    <row r="5245" spans="2:30" s="323" customFormat="1" ht="12" customHeight="1">
      <c r="B5245" s="324"/>
      <c r="C5245" s="325"/>
      <c r="D5245" s="326"/>
      <c r="E5245" s="326"/>
      <c r="F5245" s="326"/>
      <c r="G5245" s="326"/>
      <c r="H5245" s="326"/>
      <c r="P5245" s="318"/>
      <c r="Q5245" s="318"/>
      <c r="R5245" s="318"/>
      <c r="S5245" s="318"/>
      <c r="T5245" s="318"/>
      <c r="U5245" s="318"/>
      <c r="V5245" s="318"/>
      <c r="W5245" s="318"/>
      <c r="X5245" s="318"/>
      <c r="Y5245" s="318"/>
      <c r="Z5245" s="318"/>
      <c r="AA5245" s="318"/>
      <c r="AB5245" s="318"/>
      <c r="AC5245" s="318"/>
      <c r="AD5245" s="318"/>
    </row>
    <row r="5246" spans="2:30" s="323" customFormat="1" ht="12" customHeight="1">
      <c r="B5246" s="324"/>
      <c r="C5246" s="325"/>
      <c r="D5246" s="326"/>
      <c r="E5246" s="326"/>
      <c r="F5246" s="326"/>
      <c r="G5246" s="326"/>
      <c r="H5246" s="326"/>
      <c r="P5246" s="318"/>
      <c r="Q5246" s="318"/>
      <c r="R5246" s="318"/>
      <c r="S5246" s="318"/>
      <c r="T5246" s="318"/>
      <c r="U5246" s="318"/>
      <c r="V5246" s="318"/>
      <c r="W5246" s="318"/>
      <c r="X5246" s="318"/>
      <c r="Y5246" s="318"/>
      <c r="Z5246" s="318"/>
      <c r="AA5246" s="318"/>
      <c r="AB5246" s="318"/>
      <c r="AC5246" s="318"/>
      <c r="AD5246" s="318"/>
    </row>
    <row r="5247" spans="2:30" s="323" customFormat="1" ht="12" customHeight="1">
      <c r="B5247" s="324"/>
      <c r="C5247" s="325"/>
      <c r="D5247" s="326"/>
      <c r="E5247" s="326"/>
      <c r="F5247" s="326"/>
      <c r="G5247" s="326"/>
      <c r="H5247" s="326"/>
      <c r="P5247" s="318"/>
      <c r="Q5247" s="318"/>
      <c r="R5247" s="318"/>
      <c r="S5247" s="318"/>
      <c r="T5247" s="318"/>
      <c r="U5247" s="318"/>
      <c r="V5247" s="318"/>
      <c r="W5247" s="318"/>
      <c r="X5247" s="318"/>
      <c r="Y5247" s="318"/>
      <c r="Z5247" s="318"/>
      <c r="AA5247" s="318"/>
      <c r="AB5247" s="318"/>
      <c r="AC5247" s="318"/>
      <c r="AD5247" s="318"/>
    </row>
    <row r="5248" spans="2:30" s="323" customFormat="1" ht="12" customHeight="1">
      <c r="B5248" s="324"/>
      <c r="C5248" s="325"/>
      <c r="D5248" s="326"/>
      <c r="E5248" s="326"/>
      <c r="F5248" s="326"/>
      <c r="G5248" s="326"/>
      <c r="H5248" s="326"/>
      <c r="P5248" s="318"/>
      <c r="Q5248" s="318"/>
      <c r="R5248" s="318"/>
      <c r="S5248" s="318"/>
      <c r="T5248" s="318"/>
      <c r="U5248" s="318"/>
      <c r="V5248" s="318"/>
      <c r="W5248" s="318"/>
      <c r="X5248" s="318"/>
      <c r="Y5248" s="318"/>
      <c r="Z5248" s="318"/>
      <c r="AA5248" s="318"/>
      <c r="AB5248" s="318"/>
      <c r="AC5248" s="318"/>
      <c r="AD5248" s="318"/>
    </row>
    <row r="5249" spans="2:30" s="323" customFormat="1" ht="12" customHeight="1">
      <c r="B5249" s="324"/>
      <c r="C5249" s="325"/>
      <c r="D5249" s="326"/>
      <c r="E5249" s="326"/>
      <c r="F5249" s="326"/>
      <c r="G5249" s="326"/>
      <c r="H5249" s="326"/>
      <c r="P5249" s="318"/>
      <c r="Q5249" s="318"/>
      <c r="R5249" s="318"/>
      <c r="S5249" s="318"/>
      <c r="T5249" s="318"/>
      <c r="U5249" s="318"/>
      <c r="V5249" s="318"/>
      <c r="W5249" s="318"/>
      <c r="X5249" s="318"/>
      <c r="Y5249" s="318"/>
      <c r="Z5249" s="318"/>
      <c r="AA5249" s="318"/>
      <c r="AB5249" s="318"/>
      <c r="AC5249" s="318"/>
      <c r="AD5249" s="318"/>
    </row>
    <row r="5250" spans="2:30" s="323" customFormat="1" ht="12" customHeight="1">
      <c r="B5250" s="324"/>
      <c r="C5250" s="325"/>
      <c r="D5250" s="326"/>
      <c r="E5250" s="326"/>
      <c r="F5250" s="326"/>
      <c r="G5250" s="326"/>
      <c r="H5250" s="326"/>
      <c r="P5250" s="318"/>
      <c r="Q5250" s="318"/>
      <c r="R5250" s="318"/>
      <c r="S5250" s="318"/>
      <c r="T5250" s="318"/>
      <c r="U5250" s="318"/>
      <c r="V5250" s="318"/>
      <c r="W5250" s="318"/>
      <c r="X5250" s="318"/>
      <c r="Y5250" s="318"/>
      <c r="Z5250" s="318"/>
      <c r="AA5250" s="318"/>
      <c r="AB5250" s="318"/>
      <c r="AC5250" s="318"/>
      <c r="AD5250" s="318"/>
    </row>
    <row r="5251" spans="2:30" s="323" customFormat="1" ht="12" customHeight="1">
      <c r="B5251" s="324"/>
      <c r="C5251" s="325"/>
      <c r="D5251" s="326"/>
      <c r="E5251" s="326"/>
      <c r="F5251" s="326"/>
      <c r="G5251" s="326"/>
      <c r="H5251" s="326"/>
      <c r="P5251" s="318"/>
      <c r="Q5251" s="318"/>
      <c r="R5251" s="318"/>
      <c r="S5251" s="318"/>
      <c r="T5251" s="318"/>
      <c r="U5251" s="318"/>
      <c r="V5251" s="318"/>
      <c r="W5251" s="318"/>
      <c r="X5251" s="318"/>
      <c r="Y5251" s="318"/>
      <c r="Z5251" s="318"/>
      <c r="AA5251" s="318"/>
      <c r="AB5251" s="318"/>
      <c r="AC5251" s="318"/>
      <c r="AD5251" s="318"/>
    </row>
    <row r="5252" spans="2:30" s="323" customFormat="1" ht="12" customHeight="1">
      <c r="B5252" s="324"/>
      <c r="C5252" s="325"/>
      <c r="D5252" s="326"/>
      <c r="E5252" s="326"/>
      <c r="F5252" s="326"/>
      <c r="G5252" s="326"/>
      <c r="H5252" s="326"/>
      <c r="P5252" s="318"/>
      <c r="Q5252" s="318"/>
      <c r="R5252" s="318"/>
      <c r="S5252" s="318"/>
      <c r="T5252" s="318"/>
      <c r="U5252" s="318"/>
      <c r="V5252" s="318"/>
      <c r="W5252" s="318"/>
      <c r="X5252" s="318"/>
      <c r="Y5252" s="318"/>
      <c r="Z5252" s="318"/>
      <c r="AA5252" s="318"/>
      <c r="AB5252" s="318"/>
      <c r="AC5252" s="318"/>
      <c r="AD5252" s="318"/>
    </row>
    <row r="5253" spans="2:30" s="323" customFormat="1" ht="12" customHeight="1">
      <c r="B5253" s="324"/>
      <c r="C5253" s="325"/>
      <c r="D5253" s="326"/>
      <c r="E5253" s="326"/>
      <c r="F5253" s="326"/>
      <c r="G5253" s="326"/>
      <c r="H5253" s="326"/>
      <c r="P5253" s="318"/>
      <c r="Q5253" s="318"/>
      <c r="R5253" s="318"/>
      <c r="S5253" s="318"/>
      <c r="T5253" s="318"/>
      <c r="U5253" s="318"/>
      <c r="V5253" s="318"/>
      <c r="W5253" s="318"/>
      <c r="X5253" s="318"/>
      <c r="Y5253" s="318"/>
      <c r="Z5253" s="318"/>
      <c r="AA5253" s="318"/>
      <c r="AB5253" s="318"/>
      <c r="AC5253" s="318"/>
      <c r="AD5253" s="318"/>
    </row>
    <row r="5254" spans="2:30" s="323" customFormat="1" ht="12" customHeight="1">
      <c r="B5254" s="324"/>
      <c r="C5254" s="325"/>
      <c r="D5254" s="326"/>
      <c r="E5254" s="326"/>
      <c r="F5254" s="326"/>
      <c r="G5254" s="326"/>
      <c r="H5254" s="326"/>
      <c r="P5254" s="318"/>
      <c r="Q5254" s="318"/>
      <c r="R5254" s="318"/>
      <c r="S5254" s="318"/>
      <c r="T5254" s="318"/>
      <c r="U5254" s="318"/>
      <c r="V5254" s="318"/>
      <c r="W5254" s="318"/>
      <c r="X5254" s="318"/>
      <c r="Y5254" s="318"/>
      <c r="Z5254" s="318"/>
      <c r="AA5254" s="318"/>
      <c r="AB5254" s="318"/>
      <c r="AC5254" s="318"/>
      <c r="AD5254" s="318"/>
    </row>
    <row r="5255" spans="2:30" s="323" customFormat="1" ht="12" customHeight="1">
      <c r="B5255" s="324"/>
      <c r="C5255" s="325"/>
      <c r="D5255" s="326"/>
      <c r="E5255" s="326"/>
      <c r="F5255" s="326"/>
      <c r="G5255" s="326"/>
      <c r="H5255" s="326"/>
      <c r="P5255" s="318"/>
      <c r="Q5255" s="318"/>
      <c r="R5255" s="318"/>
      <c r="S5255" s="318"/>
      <c r="T5255" s="318"/>
      <c r="U5255" s="318"/>
      <c r="V5255" s="318"/>
      <c r="W5255" s="318"/>
      <c r="X5255" s="318"/>
      <c r="Y5255" s="318"/>
      <c r="Z5255" s="318"/>
      <c r="AA5255" s="318"/>
      <c r="AB5255" s="318"/>
      <c r="AC5255" s="318"/>
      <c r="AD5255" s="318"/>
    </row>
    <row r="5256" spans="2:30" s="323" customFormat="1" ht="12" customHeight="1">
      <c r="B5256" s="324"/>
      <c r="C5256" s="325"/>
      <c r="D5256" s="326"/>
      <c r="E5256" s="326"/>
      <c r="F5256" s="326"/>
      <c r="G5256" s="326"/>
      <c r="H5256" s="326"/>
      <c r="P5256" s="318"/>
      <c r="Q5256" s="318"/>
      <c r="R5256" s="318"/>
      <c r="S5256" s="318"/>
      <c r="T5256" s="318"/>
      <c r="U5256" s="318"/>
      <c r="V5256" s="318"/>
      <c r="W5256" s="318"/>
      <c r="X5256" s="318"/>
      <c r="Y5256" s="318"/>
      <c r="Z5256" s="318"/>
      <c r="AA5256" s="318"/>
      <c r="AB5256" s="318"/>
      <c r="AC5256" s="318"/>
      <c r="AD5256" s="318"/>
    </row>
    <row r="5257" spans="2:30" s="323" customFormat="1" ht="12" customHeight="1">
      <c r="B5257" s="324"/>
      <c r="C5257" s="325"/>
      <c r="D5257" s="326"/>
      <c r="E5257" s="326"/>
      <c r="F5257" s="326"/>
      <c r="G5257" s="326"/>
      <c r="H5257" s="326"/>
      <c r="P5257" s="318"/>
      <c r="Q5257" s="318"/>
      <c r="R5257" s="318"/>
      <c r="S5257" s="318"/>
      <c r="T5257" s="318"/>
      <c r="U5257" s="318"/>
      <c r="V5257" s="318"/>
      <c r="W5257" s="318"/>
      <c r="X5257" s="318"/>
      <c r="Y5257" s="318"/>
      <c r="Z5257" s="318"/>
      <c r="AA5257" s="318"/>
      <c r="AB5257" s="318"/>
      <c r="AC5257" s="318"/>
      <c r="AD5257" s="318"/>
    </row>
    <row r="5258" spans="2:30" s="323" customFormat="1" ht="12" customHeight="1">
      <c r="B5258" s="324"/>
      <c r="C5258" s="325"/>
      <c r="D5258" s="326"/>
      <c r="E5258" s="326"/>
      <c r="F5258" s="326"/>
      <c r="G5258" s="326"/>
      <c r="H5258" s="326"/>
      <c r="P5258" s="318"/>
      <c r="Q5258" s="318"/>
      <c r="R5258" s="318"/>
      <c r="S5258" s="318"/>
      <c r="T5258" s="318"/>
      <c r="U5258" s="318"/>
      <c r="V5258" s="318"/>
      <c r="W5258" s="318"/>
      <c r="X5258" s="318"/>
      <c r="Y5258" s="318"/>
      <c r="Z5258" s="318"/>
      <c r="AA5258" s="318"/>
      <c r="AB5258" s="318"/>
      <c r="AC5258" s="318"/>
      <c r="AD5258" s="318"/>
    </row>
    <row r="5259" spans="2:30" s="323" customFormat="1" ht="12" customHeight="1">
      <c r="B5259" s="324"/>
      <c r="C5259" s="325"/>
      <c r="D5259" s="326"/>
      <c r="E5259" s="326"/>
      <c r="F5259" s="326"/>
      <c r="G5259" s="326"/>
      <c r="H5259" s="326"/>
      <c r="P5259" s="318"/>
      <c r="Q5259" s="318"/>
      <c r="R5259" s="318"/>
      <c r="S5259" s="318"/>
      <c r="T5259" s="318"/>
      <c r="U5259" s="318"/>
      <c r="V5259" s="318"/>
      <c r="W5259" s="318"/>
      <c r="X5259" s="318"/>
      <c r="Y5259" s="318"/>
      <c r="Z5259" s="318"/>
      <c r="AA5259" s="318"/>
      <c r="AB5259" s="318"/>
      <c r="AC5259" s="318"/>
      <c r="AD5259" s="318"/>
    </row>
    <row r="5260" spans="2:30" s="323" customFormat="1" ht="12" customHeight="1">
      <c r="B5260" s="324"/>
      <c r="C5260" s="325"/>
      <c r="D5260" s="326"/>
      <c r="E5260" s="326"/>
      <c r="F5260" s="326"/>
      <c r="G5260" s="326"/>
      <c r="H5260" s="326"/>
      <c r="P5260" s="318"/>
      <c r="Q5260" s="318"/>
      <c r="R5260" s="318"/>
      <c r="S5260" s="318"/>
      <c r="T5260" s="318"/>
      <c r="U5260" s="318"/>
      <c r="V5260" s="318"/>
      <c r="W5260" s="318"/>
      <c r="X5260" s="318"/>
      <c r="Y5260" s="318"/>
      <c r="Z5260" s="318"/>
      <c r="AA5260" s="318"/>
      <c r="AB5260" s="318"/>
      <c r="AC5260" s="318"/>
      <c r="AD5260" s="318"/>
    </row>
    <row r="5261" spans="2:30" s="323" customFormat="1" ht="12" customHeight="1">
      <c r="B5261" s="324"/>
      <c r="C5261" s="325"/>
      <c r="D5261" s="326"/>
      <c r="E5261" s="326"/>
      <c r="F5261" s="326"/>
      <c r="G5261" s="326"/>
      <c r="H5261" s="326"/>
      <c r="P5261" s="318"/>
      <c r="Q5261" s="318"/>
      <c r="R5261" s="318"/>
      <c r="S5261" s="318"/>
      <c r="T5261" s="318"/>
      <c r="U5261" s="318"/>
      <c r="V5261" s="318"/>
      <c r="W5261" s="318"/>
      <c r="X5261" s="318"/>
      <c r="Y5261" s="318"/>
      <c r="Z5261" s="318"/>
      <c r="AA5261" s="318"/>
      <c r="AB5261" s="318"/>
      <c r="AC5261" s="318"/>
      <c r="AD5261" s="318"/>
    </row>
    <row r="5262" spans="2:30" s="323" customFormat="1" ht="12" customHeight="1">
      <c r="B5262" s="324"/>
      <c r="C5262" s="325"/>
      <c r="D5262" s="326"/>
      <c r="E5262" s="326"/>
      <c r="F5262" s="326"/>
      <c r="G5262" s="326"/>
      <c r="H5262" s="326"/>
      <c r="P5262" s="318"/>
      <c r="Q5262" s="318"/>
      <c r="R5262" s="318"/>
      <c r="S5262" s="318"/>
      <c r="T5262" s="318"/>
      <c r="U5262" s="318"/>
      <c r="V5262" s="318"/>
      <c r="W5262" s="318"/>
      <c r="X5262" s="318"/>
      <c r="Y5262" s="318"/>
      <c r="Z5262" s="318"/>
      <c r="AA5262" s="318"/>
      <c r="AB5262" s="318"/>
      <c r="AC5262" s="318"/>
      <c r="AD5262" s="318"/>
    </row>
    <row r="5263" spans="2:30" s="323" customFormat="1" ht="12" customHeight="1">
      <c r="B5263" s="324"/>
      <c r="C5263" s="325"/>
      <c r="D5263" s="326"/>
      <c r="E5263" s="326"/>
      <c r="F5263" s="326"/>
      <c r="G5263" s="326"/>
      <c r="H5263" s="326"/>
      <c r="P5263" s="318"/>
      <c r="Q5263" s="318"/>
      <c r="R5263" s="318"/>
      <c r="S5263" s="318"/>
      <c r="T5263" s="318"/>
      <c r="U5263" s="318"/>
      <c r="V5263" s="318"/>
      <c r="W5263" s="318"/>
      <c r="X5263" s="318"/>
      <c r="Y5263" s="318"/>
      <c r="Z5263" s="318"/>
      <c r="AA5263" s="318"/>
      <c r="AB5263" s="318"/>
      <c r="AC5263" s="318"/>
      <c r="AD5263" s="318"/>
    </row>
    <row r="5264" spans="2:30" s="323" customFormat="1" ht="12" customHeight="1">
      <c r="B5264" s="324"/>
      <c r="C5264" s="325"/>
      <c r="D5264" s="326"/>
      <c r="E5264" s="326"/>
      <c r="F5264" s="326"/>
      <c r="G5264" s="326"/>
      <c r="H5264" s="326"/>
      <c r="P5264" s="318"/>
      <c r="Q5264" s="318"/>
      <c r="R5264" s="318"/>
      <c r="S5264" s="318"/>
      <c r="T5264" s="318"/>
      <c r="U5264" s="318"/>
      <c r="V5264" s="318"/>
      <c r="W5264" s="318"/>
      <c r="X5264" s="318"/>
      <c r="Y5264" s="318"/>
      <c r="Z5264" s="318"/>
      <c r="AA5264" s="318"/>
      <c r="AB5264" s="318"/>
      <c r="AC5264" s="318"/>
      <c r="AD5264" s="318"/>
    </row>
    <row r="5265" spans="2:30" s="323" customFormat="1" ht="12" customHeight="1">
      <c r="B5265" s="324"/>
      <c r="C5265" s="325"/>
      <c r="D5265" s="326"/>
      <c r="E5265" s="326"/>
      <c r="F5265" s="326"/>
      <c r="G5265" s="326"/>
      <c r="H5265" s="326"/>
      <c r="P5265" s="318"/>
      <c r="Q5265" s="318"/>
      <c r="R5265" s="318"/>
      <c r="S5265" s="318"/>
      <c r="T5265" s="318"/>
      <c r="U5265" s="318"/>
      <c r="V5265" s="318"/>
      <c r="W5265" s="318"/>
      <c r="X5265" s="318"/>
      <c r="Y5265" s="318"/>
      <c r="Z5265" s="318"/>
      <c r="AA5265" s="318"/>
      <c r="AB5265" s="318"/>
      <c r="AC5265" s="318"/>
      <c r="AD5265" s="318"/>
    </row>
    <row r="5266" spans="2:30" s="323" customFormat="1" ht="12" customHeight="1">
      <c r="B5266" s="324"/>
      <c r="C5266" s="325"/>
      <c r="D5266" s="326"/>
      <c r="E5266" s="326"/>
      <c r="F5266" s="326"/>
      <c r="G5266" s="326"/>
      <c r="H5266" s="326"/>
      <c r="P5266" s="318"/>
      <c r="Q5266" s="318"/>
      <c r="R5266" s="318"/>
      <c r="S5266" s="318"/>
      <c r="T5266" s="318"/>
      <c r="U5266" s="318"/>
      <c r="V5266" s="318"/>
      <c r="W5266" s="318"/>
      <c r="X5266" s="318"/>
      <c r="Y5266" s="318"/>
      <c r="Z5266" s="318"/>
      <c r="AA5266" s="318"/>
      <c r="AB5266" s="318"/>
      <c r="AC5266" s="318"/>
      <c r="AD5266" s="318"/>
    </row>
    <row r="5267" spans="2:30" s="323" customFormat="1" ht="12" customHeight="1">
      <c r="B5267" s="324"/>
      <c r="C5267" s="325"/>
      <c r="D5267" s="326"/>
      <c r="E5267" s="326"/>
      <c r="F5267" s="326"/>
      <c r="G5267" s="326"/>
      <c r="H5267" s="326"/>
      <c r="P5267" s="318"/>
      <c r="Q5267" s="318"/>
      <c r="R5267" s="318"/>
      <c r="S5267" s="318"/>
      <c r="T5267" s="318"/>
      <c r="U5267" s="318"/>
      <c r="V5267" s="318"/>
      <c r="W5267" s="318"/>
      <c r="X5267" s="318"/>
      <c r="Y5267" s="318"/>
      <c r="Z5267" s="318"/>
      <c r="AA5267" s="318"/>
      <c r="AB5267" s="318"/>
      <c r="AC5267" s="318"/>
      <c r="AD5267" s="318"/>
    </row>
    <row r="5268" spans="2:30" s="323" customFormat="1" ht="12" customHeight="1">
      <c r="B5268" s="324"/>
      <c r="C5268" s="325"/>
      <c r="D5268" s="326"/>
      <c r="E5268" s="326"/>
      <c r="F5268" s="326"/>
      <c r="G5268" s="326"/>
      <c r="H5268" s="326"/>
      <c r="P5268" s="318"/>
      <c r="Q5268" s="318"/>
      <c r="R5268" s="318"/>
      <c r="S5268" s="318"/>
      <c r="T5268" s="318"/>
      <c r="U5268" s="318"/>
      <c r="V5268" s="318"/>
      <c r="W5268" s="318"/>
      <c r="X5268" s="318"/>
      <c r="Y5268" s="318"/>
      <c r="Z5268" s="318"/>
      <c r="AA5268" s="318"/>
      <c r="AB5268" s="318"/>
      <c r="AC5268" s="318"/>
      <c r="AD5268" s="318"/>
    </row>
    <row r="5269" spans="2:30" s="323" customFormat="1" ht="12" customHeight="1">
      <c r="B5269" s="324"/>
      <c r="C5269" s="325"/>
      <c r="D5269" s="326"/>
      <c r="E5269" s="326"/>
      <c r="F5269" s="326"/>
      <c r="G5269" s="326"/>
      <c r="H5269" s="326"/>
      <c r="P5269" s="318"/>
      <c r="Q5269" s="318"/>
      <c r="R5269" s="318"/>
      <c r="S5269" s="318"/>
      <c r="T5269" s="318"/>
      <c r="U5269" s="318"/>
      <c r="V5269" s="318"/>
      <c r="W5269" s="318"/>
      <c r="X5269" s="318"/>
      <c r="Y5269" s="318"/>
      <c r="Z5269" s="318"/>
      <c r="AA5269" s="318"/>
      <c r="AB5269" s="318"/>
      <c r="AC5269" s="318"/>
      <c r="AD5269" s="318"/>
    </row>
    <row r="5270" spans="2:30" s="323" customFormat="1" ht="12" customHeight="1">
      <c r="B5270" s="324"/>
      <c r="C5270" s="325"/>
      <c r="D5270" s="326"/>
      <c r="E5270" s="326"/>
      <c r="F5270" s="326"/>
      <c r="G5270" s="326"/>
      <c r="H5270" s="326"/>
      <c r="P5270" s="318"/>
      <c r="Q5270" s="318"/>
      <c r="R5270" s="318"/>
      <c r="S5270" s="318"/>
      <c r="T5270" s="318"/>
      <c r="U5270" s="318"/>
      <c r="V5270" s="318"/>
      <c r="W5270" s="318"/>
      <c r="X5270" s="318"/>
      <c r="Y5270" s="318"/>
      <c r="Z5270" s="318"/>
      <c r="AA5270" s="318"/>
      <c r="AB5270" s="318"/>
      <c r="AC5270" s="318"/>
      <c r="AD5270" s="318"/>
    </row>
    <row r="5271" spans="2:30" s="323" customFormat="1" ht="12" customHeight="1">
      <c r="B5271" s="324"/>
      <c r="C5271" s="325"/>
      <c r="D5271" s="326"/>
      <c r="E5271" s="326"/>
      <c r="F5271" s="326"/>
      <c r="G5271" s="326"/>
      <c r="H5271" s="326"/>
      <c r="P5271" s="318"/>
      <c r="Q5271" s="318"/>
      <c r="R5271" s="318"/>
      <c r="S5271" s="318"/>
      <c r="T5271" s="318"/>
      <c r="U5271" s="318"/>
      <c r="V5271" s="318"/>
      <c r="W5271" s="318"/>
      <c r="X5271" s="318"/>
      <c r="Y5271" s="318"/>
      <c r="Z5271" s="318"/>
      <c r="AA5271" s="318"/>
      <c r="AB5271" s="318"/>
      <c r="AC5271" s="318"/>
      <c r="AD5271" s="318"/>
    </row>
    <row r="5272" spans="2:30" s="323" customFormat="1" ht="12" customHeight="1">
      <c r="B5272" s="324"/>
      <c r="C5272" s="325"/>
      <c r="D5272" s="326"/>
      <c r="E5272" s="326"/>
      <c r="F5272" s="326"/>
      <c r="G5272" s="326"/>
      <c r="H5272" s="326"/>
      <c r="P5272" s="318"/>
      <c r="Q5272" s="318"/>
      <c r="R5272" s="318"/>
      <c r="S5272" s="318"/>
      <c r="T5272" s="318"/>
      <c r="U5272" s="318"/>
      <c r="V5272" s="318"/>
      <c r="W5272" s="318"/>
      <c r="X5272" s="318"/>
      <c r="Y5272" s="318"/>
      <c r="Z5272" s="318"/>
      <c r="AA5272" s="318"/>
      <c r="AB5272" s="318"/>
      <c r="AC5272" s="318"/>
      <c r="AD5272" s="318"/>
    </row>
    <row r="5273" spans="2:30" s="323" customFormat="1" ht="12" customHeight="1">
      <c r="B5273" s="324"/>
      <c r="C5273" s="325"/>
      <c r="D5273" s="326"/>
      <c r="E5273" s="326"/>
      <c r="F5273" s="326"/>
      <c r="G5273" s="326"/>
      <c r="H5273" s="326"/>
      <c r="P5273" s="318"/>
      <c r="Q5273" s="318"/>
      <c r="R5273" s="318"/>
      <c r="S5273" s="318"/>
      <c r="T5273" s="318"/>
      <c r="U5273" s="318"/>
      <c r="V5273" s="318"/>
      <c r="W5273" s="318"/>
      <c r="X5273" s="318"/>
      <c r="Y5273" s="318"/>
      <c r="Z5273" s="318"/>
      <c r="AA5273" s="318"/>
      <c r="AB5273" s="318"/>
      <c r="AC5273" s="318"/>
      <c r="AD5273" s="318"/>
    </row>
    <row r="5274" spans="2:30" s="323" customFormat="1" ht="12" customHeight="1">
      <c r="B5274" s="324"/>
      <c r="C5274" s="325"/>
      <c r="D5274" s="326"/>
      <c r="E5274" s="326"/>
      <c r="F5274" s="326"/>
      <c r="G5274" s="326"/>
      <c r="H5274" s="326"/>
      <c r="P5274" s="318"/>
      <c r="Q5274" s="318"/>
      <c r="R5274" s="318"/>
      <c r="S5274" s="318"/>
      <c r="T5274" s="318"/>
      <c r="U5274" s="318"/>
      <c r="V5274" s="318"/>
      <c r="W5274" s="318"/>
      <c r="X5274" s="318"/>
      <c r="Y5274" s="318"/>
      <c r="Z5274" s="318"/>
      <c r="AA5274" s="318"/>
      <c r="AB5274" s="318"/>
      <c r="AC5274" s="318"/>
      <c r="AD5274" s="318"/>
    </row>
    <row r="5275" spans="2:30" s="323" customFormat="1" ht="12" customHeight="1">
      <c r="B5275" s="324"/>
      <c r="C5275" s="325"/>
      <c r="D5275" s="326"/>
      <c r="E5275" s="326"/>
      <c r="F5275" s="326"/>
      <c r="G5275" s="326"/>
      <c r="H5275" s="326"/>
      <c r="P5275" s="318"/>
      <c r="Q5275" s="318"/>
      <c r="R5275" s="318"/>
      <c r="S5275" s="318"/>
      <c r="T5275" s="318"/>
      <c r="U5275" s="318"/>
      <c r="V5275" s="318"/>
      <c r="W5275" s="318"/>
      <c r="X5275" s="318"/>
      <c r="Y5275" s="318"/>
      <c r="Z5275" s="318"/>
      <c r="AA5275" s="318"/>
      <c r="AB5275" s="318"/>
      <c r="AC5275" s="318"/>
      <c r="AD5275" s="318"/>
    </row>
    <row r="5276" spans="2:30" s="323" customFormat="1" ht="12" customHeight="1">
      <c r="B5276" s="324"/>
      <c r="C5276" s="325"/>
      <c r="D5276" s="326"/>
      <c r="E5276" s="326"/>
      <c r="F5276" s="326"/>
      <c r="G5276" s="326"/>
      <c r="H5276" s="326"/>
      <c r="P5276" s="318"/>
      <c r="Q5276" s="318"/>
      <c r="R5276" s="318"/>
      <c r="S5276" s="318"/>
      <c r="T5276" s="318"/>
      <c r="U5276" s="318"/>
      <c r="V5276" s="318"/>
      <c r="W5276" s="318"/>
      <c r="X5276" s="318"/>
      <c r="Y5276" s="318"/>
      <c r="Z5276" s="318"/>
      <c r="AA5276" s="318"/>
      <c r="AB5276" s="318"/>
      <c r="AC5276" s="318"/>
      <c r="AD5276" s="318"/>
    </row>
    <row r="5277" spans="2:30" s="323" customFormat="1" ht="12" customHeight="1">
      <c r="B5277" s="324"/>
      <c r="C5277" s="325"/>
      <c r="D5277" s="326"/>
      <c r="E5277" s="326"/>
      <c r="F5277" s="326"/>
      <c r="G5277" s="326"/>
      <c r="H5277" s="326"/>
      <c r="P5277" s="318"/>
      <c r="Q5277" s="318"/>
      <c r="R5277" s="318"/>
      <c r="S5277" s="318"/>
      <c r="T5277" s="318"/>
      <c r="U5277" s="318"/>
      <c r="V5277" s="318"/>
      <c r="W5277" s="318"/>
      <c r="X5277" s="318"/>
      <c r="Y5277" s="318"/>
      <c r="Z5277" s="318"/>
      <c r="AA5277" s="318"/>
      <c r="AB5277" s="318"/>
      <c r="AC5277" s="318"/>
      <c r="AD5277" s="318"/>
    </row>
    <row r="5278" spans="2:30" s="323" customFormat="1" ht="12" customHeight="1">
      <c r="B5278" s="324"/>
      <c r="C5278" s="325"/>
      <c r="D5278" s="326"/>
      <c r="E5278" s="326"/>
      <c r="F5278" s="326"/>
      <c r="G5278" s="326"/>
      <c r="H5278" s="326"/>
      <c r="P5278" s="318"/>
      <c r="Q5278" s="318"/>
      <c r="R5278" s="318"/>
      <c r="S5278" s="318"/>
      <c r="T5278" s="318"/>
      <c r="U5278" s="318"/>
      <c r="V5278" s="318"/>
      <c r="W5278" s="318"/>
      <c r="X5278" s="318"/>
      <c r="Y5278" s="318"/>
      <c r="Z5278" s="318"/>
      <c r="AA5278" s="318"/>
      <c r="AB5278" s="318"/>
      <c r="AC5278" s="318"/>
      <c r="AD5278" s="318"/>
    </row>
    <row r="5279" spans="2:30" s="323" customFormat="1" ht="12" customHeight="1">
      <c r="B5279" s="324"/>
      <c r="C5279" s="325"/>
      <c r="D5279" s="326"/>
      <c r="E5279" s="326"/>
      <c r="F5279" s="326"/>
      <c r="G5279" s="326"/>
      <c r="H5279" s="326"/>
      <c r="P5279" s="318"/>
      <c r="Q5279" s="318"/>
      <c r="R5279" s="318"/>
      <c r="S5279" s="318"/>
      <c r="T5279" s="318"/>
      <c r="U5279" s="318"/>
      <c r="V5279" s="318"/>
      <c r="W5279" s="318"/>
      <c r="X5279" s="318"/>
      <c r="Y5279" s="318"/>
      <c r="Z5279" s="318"/>
      <c r="AA5279" s="318"/>
      <c r="AB5279" s="318"/>
      <c r="AC5279" s="318"/>
      <c r="AD5279" s="318"/>
    </row>
    <row r="5280" spans="2:30" s="323" customFormat="1" ht="12" customHeight="1">
      <c r="B5280" s="324"/>
      <c r="C5280" s="325"/>
      <c r="D5280" s="326"/>
      <c r="E5280" s="326"/>
      <c r="F5280" s="326"/>
      <c r="G5280" s="326"/>
      <c r="H5280" s="326"/>
      <c r="P5280" s="318"/>
      <c r="Q5280" s="318"/>
      <c r="R5280" s="318"/>
      <c r="S5280" s="318"/>
      <c r="T5280" s="318"/>
      <c r="U5280" s="318"/>
      <c r="V5280" s="318"/>
      <c r="W5280" s="318"/>
      <c r="X5280" s="318"/>
      <c r="Y5280" s="318"/>
      <c r="Z5280" s="318"/>
      <c r="AA5280" s="318"/>
      <c r="AB5280" s="318"/>
      <c r="AC5280" s="318"/>
      <c r="AD5280" s="318"/>
    </row>
    <row r="5281" spans="2:30" s="323" customFormat="1" ht="12" customHeight="1">
      <c r="B5281" s="324"/>
      <c r="C5281" s="325"/>
      <c r="D5281" s="326"/>
      <c r="E5281" s="326"/>
      <c r="F5281" s="326"/>
      <c r="G5281" s="326"/>
      <c r="H5281" s="326"/>
      <c r="P5281" s="318"/>
      <c r="Q5281" s="318"/>
      <c r="R5281" s="318"/>
      <c r="S5281" s="318"/>
      <c r="T5281" s="318"/>
      <c r="U5281" s="318"/>
      <c r="V5281" s="318"/>
      <c r="W5281" s="318"/>
      <c r="X5281" s="318"/>
      <c r="Y5281" s="318"/>
      <c r="Z5281" s="318"/>
      <c r="AA5281" s="318"/>
      <c r="AB5281" s="318"/>
      <c r="AC5281" s="318"/>
      <c r="AD5281" s="318"/>
    </row>
    <row r="5282" spans="2:30" s="323" customFormat="1" ht="12" customHeight="1">
      <c r="B5282" s="324"/>
      <c r="C5282" s="325"/>
      <c r="D5282" s="326"/>
      <c r="E5282" s="326"/>
      <c r="F5282" s="326"/>
      <c r="G5282" s="326"/>
      <c r="H5282" s="326"/>
      <c r="P5282" s="318"/>
      <c r="Q5282" s="318"/>
      <c r="R5282" s="318"/>
      <c r="S5282" s="318"/>
      <c r="T5282" s="318"/>
      <c r="U5282" s="318"/>
      <c r="V5282" s="318"/>
      <c r="W5282" s="318"/>
      <c r="X5282" s="318"/>
      <c r="Y5282" s="318"/>
      <c r="Z5282" s="318"/>
      <c r="AA5282" s="318"/>
      <c r="AB5282" s="318"/>
      <c r="AC5282" s="318"/>
      <c r="AD5282" s="318"/>
    </row>
    <row r="5283" spans="2:30" s="323" customFormat="1" ht="12" customHeight="1">
      <c r="B5283" s="324"/>
      <c r="C5283" s="325"/>
      <c r="D5283" s="326"/>
      <c r="E5283" s="326"/>
      <c r="F5283" s="326"/>
      <c r="G5283" s="326"/>
      <c r="H5283" s="326"/>
      <c r="P5283" s="318"/>
      <c r="Q5283" s="318"/>
      <c r="R5283" s="318"/>
      <c r="S5283" s="318"/>
      <c r="T5283" s="318"/>
      <c r="U5283" s="318"/>
      <c r="V5283" s="318"/>
      <c r="W5283" s="318"/>
      <c r="X5283" s="318"/>
      <c r="Y5283" s="318"/>
      <c r="Z5283" s="318"/>
      <c r="AA5283" s="318"/>
      <c r="AB5283" s="318"/>
      <c r="AC5283" s="318"/>
      <c r="AD5283" s="318"/>
    </row>
    <row r="5284" spans="2:30" s="323" customFormat="1" ht="12" customHeight="1">
      <c r="B5284" s="324"/>
      <c r="C5284" s="325"/>
      <c r="D5284" s="326"/>
      <c r="E5284" s="326"/>
      <c r="F5284" s="326"/>
      <c r="G5284" s="326"/>
      <c r="H5284" s="326"/>
      <c r="P5284" s="318"/>
      <c r="Q5284" s="318"/>
      <c r="R5284" s="318"/>
      <c r="S5284" s="318"/>
      <c r="T5284" s="318"/>
      <c r="U5284" s="318"/>
      <c r="V5284" s="318"/>
      <c r="W5284" s="318"/>
      <c r="X5284" s="318"/>
      <c r="Y5284" s="318"/>
      <c r="Z5284" s="318"/>
      <c r="AA5284" s="318"/>
      <c r="AB5284" s="318"/>
      <c r="AC5284" s="318"/>
      <c r="AD5284" s="318"/>
    </row>
    <row r="5285" spans="2:30" s="323" customFormat="1" ht="12" customHeight="1">
      <c r="B5285" s="324"/>
      <c r="C5285" s="325"/>
      <c r="D5285" s="326"/>
      <c r="E5285" s="326"/>
      <c r="F5285" s="326"/>
      <c r="G5285" s="326"/>
      <c r="H5285" s="326"/>
      <c r="P5285" s="318"/>
      <c r="Q5285" s="318"/>
      <c r="R5285" s="318"/>
      <c r="S5285" s="318"/>
      <c r="T5285" s="318"/>
      <c r="U5285" s="318"/>
      <c r="V5285" s="318"/>
      <c r="W5285" s="318"/>
      <c r="X5285" s="318"/>
      <c r="Y5285" s="318"/>
      <c r="Z5285" s="318"/>
      <c r="AA5285" s="318"/>
      <c r="AB5285" s="318"/>
      <c r="AC5285" s="318"/>
      <c r="AD5285" s="318"/>
    </row>
    <row r="5286" spans="2:30" s="323" customFormat="1" ht="12" customHeight="1">
      <c r="B5286" s="324"/>
      <c r="C5286" s="325"/>
      <c r="D5286" s="326"/>
      <c r="E5286" s="326"/>
      <c r="F5286" s="326"/>
      <c r="G5286" s="326"/>
      <c r="H5286" s="326"/>
      <c r="P5286" s="318"/>
      <c r="Q5286" s="318"/>
      <c r="R5286" s="318"/>
      <c r="S5286" s="318"/>
      <c r="T5286" s="318"/>
      <c r="U5286" s="318"/>
      <c r="V5286" s="318"/>
      <c r="W5286" s="318"/>
      <c r="X5286" s="318"/>
      <c r="Y5286" s="318"/>
      <c r="Z5286" s="318"/>
      <c r="AA5286" s="318"/>
      <c r="AB5286" s="318"/>
      <c r="AC5286" s="318"/>
      <c r="AD5286" s="318"/>
    </row>
    <row r="5287" spans="2:30" s="323" customFormat="1" ht="12" customHeight="1">
      <c r="B5287" s="324"/>
      <c r="C5287" s="325"/>
      <c r="D5287" s="326"/>
      <c r="E5287" s="326"/>
      <c r="F5287" s="326"/>
      <c r="G5287" s="326"/>
      <c r="H5287" s="326"/>
      <c r="P5287" s="318"/>
      <c r="Q5287" s="318"/>
      <c r="R5287" s="318"/>
      <c r="S5287" s="318"/>
      <c r="T5287" s="318"/>
      <c r="U5287" s="318"/>
      <c r="V5287" s="318"/>
      <c r="W5287" s="318"/>
      <c r="X5287" s="318"/>
      <c r="Y5287" s="318"/>
      <c r="Z5287" s="318"/>
      <c r="AA5287" s="318"/>
      <c r="AB5287" s="318"/>
      <c r="AC5287" s="318"/>
      <c r="AD5287" s="318"/>
    </row>
    <row r="5288" spans="2:30" s="323" customFormat="1" ht="12" customHeight="1">
      <c r="B5288" s="324"/>
      <c r="C5288" s="325"/>
      <c r="D5288" s="326"/>
      <c r="E5288" s="326"/>
      <c r="F5288" s="326"/>
      <c r="G5288" s="326"/>
      <c r="H5288" s="326"/>
      <c r="P5288" s="318"/>
      <c r="Q5288" s="318"/>
      <c r="R5288" s="318"/>
      <c r="S5288" s="318"/>
      <c r="T5288" s="318"/>
      <c r="U5288" s="318"/>
      <c r="V5288" s="318"/>
      <c r="W5288" s="318"/>
      <c r="X5288" s="318"/>
      <c r="Y5288" s="318"/>
      <c r="Z5288" s="318"/>
      <c r="AA5288" s="318"/>
      <c r="AB5288" s="318"/>
      <c r="AC5288" s="318"/>
      <c r="AD5288" s="318"/>
    </row>
    <row r="5289" spans="2:30" s="323" customFormat="1" ht="12" customHeight="1">
      <c r="B5289" s="324"/>
      <c r="C5289" s="325"/>
      <c r="D5289" s="326"/>
      <c r="E5289" s="326"/>
      <c r="F5289" s="326"/>
      <c r="G5289" s="326"/>
      <c r="H5289" s="326"/>
      <c r="P5289" s="318"/>
      <c r="Q5289" s="318"/>
      <c r="R5289" s="318"/>
      <c r="S5289" s="318"/>
      <c r="T5289" s="318"/>
      <c r="U5289" s="318"/>
      <c r="V5289" s="318"/>
      <c r="W5289" s="318"/>
      <c r="X5289" s="318"/>
      <c r="Y5289" s="318"/>
      <c r="Z5289" s="318"/>
      <c r="AA5289" s="318"/>
      <c r="AB5289" s="318"/>
      <c r="AC5289" s="318"/>
      <c r="AD5289" s="318"/>
    </row>
    <row r="5290" spans="2:30" s="323" customFormat="1" ht="12" customHeight="1">
      <c r="B5290" s="324"/>
      <c r="C5290" s="325"/>
      <c r="D5290" s="326"/>
      <c r="E5290" s="326"/>
      <c r="F5290" s="326"/>
      <c r="G5290" s="326"/>
      <c r="H5290" s="326"/>
      <c r="P5290" s="318"/>
      <c r="Q5290" s="318"/>
      <c r="R5290" s="318"/>
      <c r="S5290" s="318"/>
      <c r="T5290" s="318"/>
      <c r="U5290" s="318"/>
      <c r="V5290" s="318"/>
      <c r="W5290" s="318"/>
      <c r="X5290" s="318"/>
      <c r="Y5290" s="318"/>
      <c r="Z5290" s="318"/>
      <c r="AA5290" s="318"/>
      <c r="AB5290" s="318"/>
      <c r="AC5290" s="318"/>
      <c r="AD5290" s="318"/>
    </row>
    <row r="5291" spans="2:30" s="323" customFormat="1" ht="12" customHeight="1">
      <c r="B5291" s="324"/>
      <c r="C5291" s="325"/>
      <c r="D5291" s="326"/>
      <c r="E5291" s="326"/>
      <c r="F5291" s="326"/>
      <c r="G5291" s="326"/>
      <c r="H5291" s="326"/>
      <c r="P5291" s="318"/>
      <c r="Q5291" s="318"/>
      <c r="R5291" s="318"/>
      <c r="S5291" s="318"/>
      <c r="T5291" s="318"/>
      <c r="U5291" s="318"/>
      <c r="V5291" s="318"/>
      <c r="W5291" s="318"/>
      <c r="X5291" s="318"/>
      <c r="Y5291" s="318"/>
      <c r="Z5291" s="318"/>
      <c r="AA5291" s="318"/>
      <c r="AB5291" s="318"/>
      <c r="AC5291" s="318"/>
      <c r="AD5291" s="318"/>
    </row>
    <row r="5292" spans="2:30" s="323" customFormat="1" ht="12" customHeight="1">
      <c r="B5292" s="324"/>
      <c r="C5292" s="325"/>
      <c r="D5292" s="326"/>
      <c r="E5292" s="326"/>
      <c r="F5292" s="326"/>
      <c r="G5292" s="326"/>
      <c r="H5292" s="326"/>
      <c r="P5292" s="318"/>
      <c r="Q5292" s="318"/>
      <c r="R5292" s="318"/>
      <c r="S5292" s="318"/>
      <c r="T5292" s="318"/>
      <c r="U5292" s="318"/>
      <c r="V5292" s="318"/>
      <c r="W5292" s="318"/>
      <c r="X5292" s="318"/>
      <c r="Y5292" s="318"/>
      <c r="Z5292" s="318"/>
      <c r="AA5292" s="318"/>
      <c r="AB5292" s="318"/>
      <c r="AC5292" s="318"/>
      <c r="AD5292" s="318"/>
    </row>
    <row r="5293" spans="2:30" s="323" customFormat="1" ht="12" customHeight="1">
      <c r="B5293" s="324"/>
      <c r="C5293" s="325"/>
      <c r="D5293" s="326"/>
      <c r="E5293" s="326"/>
      <c r="F5293" s="326"/>
      <c r="G5293" s="326"/>
      <c r="H5293" s="326"/>
      <c r="P5293" s="318"/>
      <c r="Q5293" s="318"/>
      <c r="R5293" s="318"/>
      <c r="S5293" s="318"/>
      <c r="T5293" s="318"/>
      <c r="U5293" s="318"/>
      <c r="V5293" s="318"/>
      <c r="W5293" s="318"/>
      <c r="X5293" s="318"/>
      <c r="Y5293" s="318"/>
      <c r="Z5293" s="318"/>
      <c r="AA5293" s="318"/>
      <c r="AB5293" s="318"/>
      <c r="AC5293" s="318"/>
      <c r="AD5293" s="318"/>
    </row>
    <row r="5294" spans="2:30" s="323" customFormat="1" ht="12" customHeight="1">
      <c r="B5294" s="324"/>
      <c r="C5294" s="325"/>
      <c r="D5294" s="326"/>
      <c r="E5294" s="326"/>
      <c r="F5294" s="326"/>
      <c r="G5294" s="326"/>
      <c r="H5294" s="326"/>
      <c r="P5294" s="318"/>
      <c r="Q5294" s="318"/>
      <c r="R5294" s="318"/>
      <c r="S5294" s="318"/>
      <c r="T5294" s="318"/>
      <c r="U5294" s="318"/>
      <c r="V5294" s="318"/>
      <c r="W5294" s="318"/>
      <c r="X5294" s="318"/>
      <c r="Y5294" s="318"/>
      <c r="Z5294" s="318"/>
      <c r="AA5294" s="318"/>
      <c r="AB5294" s="318"/>
      <c r="AC5294" s="318"/>
      <c r="AD5294" s="318"/>
    </row>
    <row r="5295" spans="2:30" s="323" customFormat="1" ht="12" customHeight="1">
      <c r="B5295" s="324"/>
      <c r="C5295" s="325"/>
      <c r="D5295" s="326"/>
      <c r="E5295" s="326"/>
      <c r="F5295" s="326"/>
      <c r="G5295" s="326"/>
      <c r="H5295" s="326"/>
      <c r="P5295" s="318"/>
      <c r="Q5295" s="318"/>
      <c r="R5295" s="318"/>
      <c r="S5295" s="318"/>
      <c r="T5295" s="318"/>
      <c r="U5295" s="318"/>
      <c r="V5295" s="318"/>
      <c r="W5295" s="318"/>
      <c r="X5295" s="318"/>
      <c r="Y5295" s="318"/>
      <c r="Z5295" s="318"/>
      <c r="AA5295" s="318"/>
      <c r="AB5295" s="318"/>
      <c r="AC5295" s="318"/>
      <c r="AD5295" s="318"/>
    </row>
    <row r="5296" spans="2:30" s="323" customFormat="1" ht="12" customHeight="1">
      <c r="B5296" s="324"/>
      <c r="C5296" s="325"/>
      <c r="D5296" s="326"/>
      <c r="E5296" s="326"/>
      <c r="F5296" s="326"/>
      <c r="G5296" s="326"/>
      <c r="H5296" s="326"/>
      <c r="P5296" s="318"/>
      <c r="Q5296" s="318"/>
      <c r="R5296" s="318"/>
      <c r="S5296" s="318"/>
      <c r="T5296" s="318"/>
      <c r="U5296" s="318"/>
      <c r="V5296" s="318"/>
      <c r="W5296" s="318"/>
      <c r="X5296" s="318"/>
      <c r="Y5296" s="318"/>
      <c r="Z5296" s="318"/>
      <c r="AA5296" s="318"/>
      <c r="AB5296" s="318"/>
      <c r="AC5296" s="318"/>
      <c r="AD5296" s="318"/>
    </row>
    <row r="5297" spans="2:30" s="323" customFormat="1" ht="12" customHeight="1">
      <c r="B5297" s="324"/>
      <c r="C5297" s="325"/>
      <c r="D5297" s="326"/>
      <c r="E5297" s="326"/>
      <c r="F5297" s="326"/>
      <c r="G5297" s="326"/>
      <c r="H5297" s="326"/>
      <c r="P5297" s="318"/>
      <c r="Q5297" s="318"/>
      <c r="R5297" s="318"/>
      <c r="S5297" s="318"/>
      <c r="T5297" s="318"/>
      <c r="U5297" s="318"/>
      <c r="V5297" s="318"/>
      <c r="W5297" s="318"/>
      <c r="X5297" s="318"/>
      <c r="Y5297" s="318"/>
      <c r="Z5297" s="318"/>
      <c r="AA5297" s="318"/>
      <c r="AB5297" s="318"/>
      <c r="AC5297" s="318"/>
      <c r="AD5297" s="318"/>
    </row>
    <row r="5298" spans="2:30" s="323" customFormat="1" ht="12" customHeight="1">
      <c r="B5298" s="324"/>
      <c r="C5298" s="325"/>
      <c r="D5298" s="326"/>
      <c r="E5298" s="326"/>
      <c r="F5298" s="326"/>
      <c r="G5298" s="326"/>
      <c r="H5298" s="326"/>
      <c r="P5298" s="318"/>
      <c r="Q5298" s="318"/>
      <c r="R5298" s="318"/>
      <c r="S5298" s="318"/>
      <c r="T5298" s="318"/>
      <c r="U5298" s="318"/>
      <c r="V5298" s="318"/>
      <c r="W5298" s="318"/>
      <c r="X5298" s="318"/>
      <c r="Y5298" s="318"/>
      <c r="Z5298" s="318"/>
      <c r="AA5298" s="318"/>
      <c r="AB5298" s="318"/>
      <c r="AC5298" s="318"/>
      <c r="AD5298" s="318"/>
    </row>
    <row r="5299" spans="2:30" s="323" customFormat="1" ht="12" customHeight="1">
      <c r="B5299" s="324"/>
      <c r="C5299" s="325"/>
      <c r="D5299" s="326"/>
      <c r="E5299" s="326"/>
      <c r="F5299" s="326"/>
      <c r="G5299" s="326"/>
      <c r="H5299" s="326"/>
      <c r="P5299" s="318"/>
      <c r="Q5299" s="318"/>
      <c r="R5299" s="318"/>
      <c r="S5299" s="318"/>
      <c r="T5299" s="318"/>
      <c r="U5299" s="318"/>
      <c r="V5299" s="318"/>
      <c r="W5299" s="318"/>
      <c r="X5299" s="318"/>
      <c r="Y5299" s="318"/>
      <c r="Z5299" s="318"/>
      <c r="AA5299" s="318"/>
      <c r="AB5299" s="318"/>
      <c r="AC5299" s="318"/>
      <c r="AD5299" s="318"/>
    </row>
    <row r="5300" spans="2:30" s="323" customFormat="1" ht="12" customHeight="1">
      <c r="B5300" s="324"/>
      <c r="C5300" s="325"/>
      <c r="D5300" s="326"/>
      <c r="E5300" s="326"/>
      <c r="F5300" s="326"/>
      <c r="G5300" s="326"/>
      <c r="H5300" s="326"/>
      <c r="P5300" s="318"/>
      <c r="Q5300" s="318"/>
      <c r="R5300" s="318"/>
      <c r="S5300" s="318"/>
      <c r="T5300" s="318"/>
      <c r="U5300" s="318"/>
      <c r="V5300" s="318"/>
      <c r="W5300" s="318"/>
      <c r="X5300" s="318"/>
      <c r="Y5300" s="318"/>
      <c r="Z5300" s="318"/>
      <c r="AA5300" s="318"/>
      <c r="AB5300" s="318"/>
      <c r="AC5300" s="318"/>
      <c r="AD5300" s="318"/>
    </row>
    <row r="5301" spans="2:30" s="323" customFormat="1" ht="12" customHeight="1">
      <c r="B5301" s="324"/>
      <c r="C5301" s="325"/>
      <c r="D5301" s="326"/>
      <c r="E5301" s="326"/>
      <c r="F5301" s="326"/>
      <c r="G5301" s="326"/>
      <c r="H5301" s="326"/>
      <c r="P5301" s="318"/>
      <c r="Q5301" s="318"/>
      <c r="R5301" s="318"/>
      <c r="S5301" s="318"/>
      <c r="T5301" s="318"/>
      <c r="U5301" s="318"/>
      <c r="V5301" s="318"/>
      <c r="W5301" s="318"/>
      <c r="X5301" s="318"/>
      <c r="Y5301" s="318"/>
      <c r="Z5301" s="318"/>
      <c r="AA5301" s="318"/>
      <c r="AB5301" s="318"/>
      <c r="AC5301" s="318"/>
      <c r="AD5301" s="318"/>
    </row>
    <row r="5302" spans="2:30" s="323" customFormat="1" ht="12" customHeight="1">
      <c r="B5302" s="324"/>
      <c r="C5302" s="325"/>
      <c r="D5302" s="326"/>
      <c r="E5302" s="326"/>
      <c r="F5302" s="326"/>
      <c r="G5302" s="326"/>
      <c r="H5302" s="326"/>
      <c r="P5302" s="318"/>
      <c r="Q5302" s="318"/>
      <c r="R5302" s="318"/>
      <c r="S5302" s="318"/>
      <c r="T5302" s="318"/>
      <c r="U5302" s="318"/>
      <c r="V5302" s="318"/>
      <c r="W5302" s="318"/>
      <c r="X5302" s="318"/>
      <c r="Y5302" s="318"/>
      <c r="Z5302" s="318"/>
      <c r="AA5302" s="318"/>
      <c r="AB5302" s="318"/>
      <c r="AC5302" s="318"/>
      <c r="AD5302" s="318"/>
    </row>
    <row r="5303" spans="2:30" s="323" customFormat="1" ht="12" customHeight="1">
      <c r="B5303" s="324"/>
      <c r="C5303" s="325"/>
      <c r="D5303" s="326"/>
      <c r="E5303" s="326"/>
      <c r="F5303" s="326"/>
      <c r="G5303" s="326"/>
      <c r="H5303" s="326"/>
      <c r="P5303" s="318"/>
      <c r="Q5303" s="318"/>
      <c r="R5303" s="318"/>
      <c r="S5303" s="318"/>
      <c r="T5303" s="318"/>
      <c r="U5303" s="318"/>
      <c r="V5303" s="318"/>
      <c r="W5303" s="318"/>
      <c r="X5303" s="318"/>
      <c r="Y5303" s="318"/>
      <c r="Z5303" s="318"/>
      <c r="AA5303" s="318"/>
      <c r="AB5303" s="318"/>
      <c r="AC5303" s="318"/>
      <c r="AD5303" s="318"/>
    </row>
    <row r="5304" spans="2:30" s="323" customFormat="1" ht="12" customHeight="1">
      <c r="B5304" s="324"/>
      <c r="C5304" s="325"/>
      <c r="D5304" s="326"/>
      <c r="E5304" s="326"/>
      <c r="F5304" s="326"/>
      <c r="G5304" s="326"/>
      <c r="H5304" s="326"/>
      <c r="P5304" s="318"/>
      <c r="Q5304" s="318"/>
      <c r="R5304" s="318"/>
      <c r="S5304" s="318"/>
      <c r="T5304" s="318"/>
      <c r="U5304" s="318"/>
      <c r="V5304" s="318"/>
      <c r="W5304" s="318"/>
      <c r="X5304" s="318"/>
      <c r="Y5304" s="318"/>
      <c r="Z5304" s="318"/>
      <c r="AA5304" s="318"/>
      <c r="AB5304" s="318"/>
      <c r="AC5304" s="318"/>
      <c r="AD5304" s="318"/>
    </row>
    <row r="5305" spans="2:30" s="323" customFormat="1" ht="12" customHeight="1">
      <c r="B5305" s="324"/>
      <c r="C5305" s="325"/>
      <c r="D5305" s="326"/>
      <c r="E5305" s="326"/>
      <c r="F5305" s="326"/>
      <c r="G5305" s="326"/>
      <c r="H5305" s="326"/>
      <c r="P5305" s="318"/>
      <c r="Q5305" s="318"/>
      <c r="R5305" s="318"/>
      <c r="S5305" s="318"/>
      <c r="T5305" s="318"/>
      <c r="U5305" s="318"/>
      <c r="V5305" s="318"/>
      <c r="W5305" s="318"/>
      <c r="X5305" s="318"/>
      <c r="Y5305" s="318"/>
      <c r="Z5305" s="318"/>
      <c r="AA5305" s="318"/>
      <c r="AB5305" s="318"/>
      <c r="AC5305" s="318"/>
      <c r="AD5305" s="318"/>
    </row>
    <row r="5306" spans="2:30" s="323" customFormat="1" ht="12" customHeight="1">
      <c r="B5306" s="324"/>
      <c r="C5306" s="325"/>
      <c r="D5306" s="326"/>
      <c r="E5306" s="326"/>
      <c r="F5306" s="326"/>
      <c r="G5306" s="326"/>
      <c r="H5306" s="326"/>
      <c r="P5306" s="318"/>
      <c r="Q5306" s="318"/>
      <c r="R5306" s="318"/>
      <c r="S5306" s="318"/>
      <c r="T5306" s="318"/>
      <c r="U5306" s="318"/>
      <c r="V5306" s="318"/>
      <c r="W5306" s="318"/>
      <c r="X5306" s="318"/>
      <c r="Y5306" s="318"/>
      <c r="Z5306" s="318"/>
      <c r="AA5306" s="318"/>
      <c r="AB5306" s="318"/>
      <c r="AC5306" s="318"/>
      <c r="AD5306" s="318"/>
    </row>
    <row r="5307" spans="2:30" s="323" customFormat="1" ht="12" customHeight="1">
      <c r="B5307" s="324"/>
      <c r="C5307" s="325"/>
      <c r="D5307" s="326"/>
      <c r="E5307" s="326"/>
      <c r="F5307" s="326"/>
      <c r="G5307" s="326"/>
      <c r="H5307" s="326"/>
      <c r="P5307" s="318"/>
      <c r="Q5307" s="318"/>
      <c r="R5307" s="318"/>
      <c r="S5307" s="318"/>
      <c r="T5307" s="318"/>
      <c r="U5307" s="318"/>
      <c r="V5307" s="318"/>
      <c r="W5307" s="318"/>
      <c r="X5307" s="318"/>
      <c r="Y5307" s="318"/>
      <c r="Z5307" s="318"/>
      <c r="AA5307" s="318"/>
      <c r="AB5307" s="318"/>
      <c r="AC5307" s="318"/>
      <c r="AD5307" s="318"/>
    </row>
    <row r="5308" spans="2:30" s="323" customFormat="1" ht="12" customHeight="1">
      <c r="B5308" s="324"/>
      <c r="C5308" s="325"/>
      <c r="D5308" s="326"/>
      <c r="E5308" s="326"/>
      <c r="F5308" s="326"/>
      <c r="G5308" s="326"/>
      <c r="H5308" s="326"/>
      <c r="P5308" s="318"/>
      <c r="Q5308" s="318"/>
      <c r="R5308" s="318"/>
      <c r="S5308" s="318"/>
      <c r="T5308" s="318"/>
      <c r="U5308" s="318"/>
      <c r="V5308" s="318"/>
      <c r="W5308" s="318"/>
      <c r="X5308" s="318"/>
      <c r="Y5308" s="318"/>
      <c r="Z5308" s="318"/>
      <c r="AA5308" s="318"/>
      <c r="AB5308" s="318"/>
      <c r="AC5308" s="318"/>
      <c r="AD5308" s="318"/>
    </row>
    <row r="5309" spans="2:30" s="323" customFormat="1" ht="12" customHeight="1">
      <c r="B5309" s="324"/>
      <c r="C5309" s="325"/>
      <c r="D5309" s="326"/>
      <c r="E5309" s="326"/>
      <c r="F5309" s="326"/>
      <c r="G5309" s="326"/>
      <c r="H5309" s="326"/>
      <c r="P5309" s="318"/>
      <c r="Q5309" s="318"/>
      <c r="R5309" s="318"/>
      <c r="S5309" s="318"/>
      <c r="T5309" s="318"/>
      <c r="U5309" s="318"/>
      <c r="V5309" s="318"/>
      <c r="W5309" s="318"/>
      <c r="X5309" s="318"/>
      <c r="Y5309" s="318"/>
      <c r="Z5309" s="318"/>
      <c r="AA5309" s="318"/>
      <c r="AB5309" s="318"/>
      <c r="AC5309" s="318"/>
      <c r="AD5309" s="318"/>
    </row>
    <row r="5310" spans="2:30" s="323" customFormat="1" ht="12" customHeight="1">
      <c r="B5310" s="324"/>
      <c r="C5310" s="325"/>
      <c r="D5310" s="326"/>
      <c r="E5310" s="326"/>
      <c r="F5310" s="326"/>
      <c r="G5310" s="326"/>
      <c r="H5310" s="326"/>
      <c r="P5310" s="318"/>
      <c r="Q5310" s="318"/>
      <c r="R5310" s="318"/>
      <c r="S5310" s="318"/>
      <c r="T5310" s="318"/>
      <c r="U5310" s="318"/>
      <c r="V5310" s="318"/>
      <c r="W5310" s="318"/>
      <c r="X5310" s="318"/>
      <c r="Y5310" s="318"/>
      <c r="Z5310" s="318"/>
      <c r="AA5310" s="318"/>
      <c r="AB5310" s="318"/>
      <c r="AC5310" s="318"/>
      <c r="AD5310" s="318"/>
    </row>
    <row r="5311" spans="2:30" s="323" customFormat="1" ht="12" customHeight="1">
      <c r="B5311" s="324"/>
      <c r="C5311" s="325"/>
      <c r="D5311" s="326"/>
      <c r="E5311" s="326"/>
      <c r="F5311" s="326"/>
      <c r="G5311" s="326"/>
      <c r="H5311" s="326"/>
      <c r="P5311" s="318"/>
      <c r="Q5311" s="318"/>
      <c r="R5311" s="318"/>
      <c r="S5311" s="318"/>
      <c r="T5311" s="318"/>
      <c r="U5311" s="318"/>
      <c r="V5311" s="318"/>
      <c r="W5311" s="318"/>
      <c r="X5311" s="318"/>
      <c r="Y5311" s="318"/>
      <c r="Z5311" s="318"/>
      <c r="AA5311" s="318"/>
      <c r="AB5311" s="318"/>
      <c r="AC5311" s="318"/>
      <c r="AD5311" s="318"/>
    </row>
    <row r="5312" spans="2:30" s="323" customFormat="1" ht="12" customHeight="1">
      <c r="B5312" s="324"/>
      <c r="C5312" s="325"/>
      <c r="D5312" s="326"/>
      <c r="E5312" s="326"/>
      <c r="F5312" s="326"/>
      <c r="G5312" s="326"/>
      <c r="H5312" s="326"/>
      <c r="P5312" s="318"/>
      <c r="Q5312" s="318"/>
      <c r="R5312" s="318"/>
      <c r="S5312" s="318"/>
      <c r="T5312" s="318"/>
      <c r="U5312" s="318"/>
      <c r="V5312" s="318"/>
      <c r="W5312" s="318"/>
      <c r="X5312" s="318"/>
      <c r="Y5312" s="318"/>
      <c r="Z5312" s="318"/>
      <c r="AA5312" s="318"/>
      <c r="AB5312" s="318"/>
      <c r="AC5312" s="318"/>
      <c r="AD5312" s="318"/>
    </row>
    <row r="5313" spans="2:30" s="323" customFormat="1" ht="12" customHeight="1">
      <c r="B5313" s="324"/>
      <c r="C5313" s="325"/>
      <c r="D5313" s="326"/>
      <c r="E5313" s="326"/>
      <c r="F5313" s="326"/>
      <c r="G5313" s="326"/>
      <c r="H5313" s="326"/>
      <c r="P5313" s="318"/>
      <c r="Q5313" s="318"/>
      <c r="R5313" s="318"/>
      <c r="S5313" s="318"/>
      <c r="T5313" s="318"/>
      <c r="U5313" s="318"/>
      <c r="V5313" s="318"/>
      <c r="W5313" s="318"/>
      <c r="X5313" s="318"/>
      <c r="Y5313" s="318"/>
      <c r="Z5313" s="318"/>
      <c r="AA5313" s="318"/>
      <c r="AB5313" s="318"/>
      <c r="AC5313" s="318"/>
      <c r="AD5313" s="318"/>
    </row>
    <row r="5314" spans="2:30" s="323" customFormat="1" ht="12" customHeight="1">
      <c r="B5314" s="324"/>
      <c r="C5314" s="325"/>
      <c r="D5314" s="326"/>
      <c r="E5314" s="326"/>
      <c r="F5314" s="326"/>
      <c r="G5314" s="326"/>
      <c r="H5314" s="326"/>
      <c r="P5314" s="318"/>
      <c r="Q5314" s="318"/>
      <c r="R5314" s="318"/>
      <c r="S5314" s="318"/>
      <c r="T5314" s="318"/>
      <c r="U5314" s="318"/>
      <c r="V5314" s="318"/>
      <c r="W5314" s="318"/>
      <c r="X5314" s="318"/>
      <c r="Y5314" s="318"/>
      <c r="Z5314" s="318"/>
      <c r="AA5314" s="318"/>
      <c r="AB5314" s="318"/>
      <c r="AC5314" s="318"/>
      <c r="AD5314" s="318"/>
    </row>
    <row r="5315" spans="2:30" s="323" customFormat="1" ht="12" customHeight="1">
      <c r="B5315" s="324"/>
      <c r="C5315" s="325"/>
      <c r="D5315" s="326"/>
      <c r="E5315" s="326"/>
      <c r="F5315" s="326"/>
      <c r="G5315" s="326"/>
      <c r="H5315" s="326"/>
      <c r="P5315" s="318"/>
      <c r="Q5315" s="318"/>
      <c r="R5315" s="318"/>
      <c r="S5315" s="318"/>
      <c r="T5315" s="318"/>
      <c r="U5315" s="318"/>
      <c r="V5315" s="318"/>
      <c r="W5315" s="318"/>
      <c r="X5315" s="318"/>
      <c r="Y5315" s="318"/>
      <c r="Z5315" s="318"/>
      <c r="AA5315" s="318"/>
      <c r="AB5315" s="318"/>
      <c r="AC5315" s="318"/>
      <c r="AD5315" s="318"/>
    </row>
    <row r="5316" spans="2:30" s="323" customFormat="1" ht="12" customHeight="1">
      <c r="B5316" s="324"/>
      <c r="C5316" s="325"/>
      <c r="D5316" s="326"/>
      <c r="E5316" s="326"/>
      <c r="F5316" s="326"/>
      <c r="G5316" s="326"/>
      <c r="H5316" s="326"/>
      <c r="P5316" s="318"/>
      <c r="Q5316" s="318"/>
      <c r="R5316" s="318"/>
      <c r="S5316" s="318"/>
      <c r="T5316" s="318"/>
      <c r="U5316" s="318"/>
      <c r="V5316" s="318"/>
      <c r="W5316" s="318"/>
      <c r="X5316" s="318"/>
      <c r="Y5316" s="318"/>
      <c r="Z5316" s="318"/>
      <c r="AA5316" s="318"/>
      <c r="AB5316" s="318"/>
      <c r="AC5316" s="318"/>
      <c r="AD5316" s="318"/>
    </row>
    <row r="5317" spans="2:30" s="323" customFormat="1" ht="12" customHeight="1">
      <c r="B5317" s="324"/>
      <c r="C5317" s="325"/>
      <c r="D5317" s="326"/>
      <c r="E5317" s="326"/>
      <c r="F5317" s="326"/>
      <c r="G5317" s="326"/>
      <c r="H5317" s="326"/>
      <c r="P5317" s="318"/>
      <c r="Q5317" s="318"/>
      <c r="R5317" s="318"/>
      <c r="S5317" s="318"/>
      <c r="T5317" s="318"/>
      <c r="U5317" s="318"/>
      <c r="V5317" s="318"/>
      <c r="W5317" s="318"/>
      <c r="X5317" s="318"/>
      <c r="Y5317" s="318"/>
      <c r="Z5317" s="318"/>
      <c r="AA5317" s="318"/>
      <c r="AB5317" s="318"/>
      <c r="AC5317" s="318"/>
      <c r="AD5317" s="318"/>
    </row>
    <row r="5318" spans="2:30" s="323" customFormat="1" ht="12" customHeight="1">
      <c r="B5318" s="324"/>
      <c r="C5318" s="325"/>
      <c r="D5318" s="326"/>
      <c r="E5318" s="326"/>
      <c r="F5318" s="326"/>
      <c r="G5318" s="326"/>
      <c r="H5318" s="326"/>
      <c r="P5318" s="318"/>
      <c r="Q5318" s="318"/>
      <c r="R5318" s="318"/>
      <c r="S5318" s="318"/>
      <c r="T5318" s="318"/>
      <c r="U5318" s="318"/>
      <c r="V5318" s="318"/>
      <c r="W5318" s="318"/>
      <c r="X5318" s="318"/>
      <c r="Y5318" s="318"/>
      <c r="Z5318" s="318"/>
      <c r="AA5318" s="318"/>
      <c r="AB5318" s="318"/>
      <c r="AC5318" s="318"/>
      <c r="AD5318" s="318"/>
    </row>
    <row r="5319" spans="2:30" s="323" customFormat="1" ht="12" customHeight="1">
      <c r="B5319" s="324"/>
      <c r="C5319" s="325"/>
      <c r="D5319" s="326"/>
      <c r="E5319" s="326"/>
      <c r="F5319" s="326"/>
      <c r="G5319" s="326"/>
      <c r="H5319" s="326"/>
      <c r="P5319" s="318"/>
      <c r="Q5319" s="318"/>
      <c r="R5319" s="318"/>
      <c r="S5319" s="318"/>
      <c r="T5319" s="318"/>
      <c r="U5319" s="318"/>
      <c r="V5319" s="318"/>
      <c r="W5319" s="318"/>
      <c r="X5319" s="318"/>
      <c r="Y5319" s="318"/>
      <c r="Z5319" s="318"/>
      <c r="AA5319" s="318"/>
      <c r="AB5319" s="318"/>
      <c r="AC5319" s="318"/>
      <c r="AD5319" s="318"/>
    </row>
    <row r="5320" spans="2:30" s="323" customFormat="1" ht="12" customHeight="1">
      <c r="B5320" s="324"/>
      <c r="C5320" s="325"/>
      <c r="D5320" s="326"/>
      <c r="E5320" s="326"/>
      <c r="F5320" s="326"/>
      <c r="G5320" s="326"/>
      <c r="H5320" s="326"/>
      <c r="P5320" s="318"/>
      <c r="Q5320" s="318"/>
      <c r="R5320" s="318"/>
      <c r="S5320" s="318"/>
      <c r="T5320" s="318"/>
      <c r="U5320" s="318"/>
      <c r="V5320" s="318"/>
      <c r="W5320" s="318"/>
      <c r="X5320" s="318"/>
      <c r="Y5320" s="318"/>
      <c r="Z5320" s="318"/>
      <c r="AA5320" s="318"/>
      <c r="AB5320" s="318"/>
      <c r="AC5320" s="318"/>
      <c r="AD5320" s="318"/>
    </row>
    <row r="5321" spans="2:30" s="323" customFormat="1" ht="12" customHeight="1">
      <c r="B5321" s="324"/>
      <c r="C5321" s="325"/>
      <c r="D5321" s="326"/>
      <c r="E5321" s="326"/>
      <c r="F5321" s="326"/>
      <c r="G5321" s="326"/>
      <c r="H5321" s="326"/>
      <c r="P5321" s="318"/>
      <c r="Q5321" s="318"/>
      <c r="R5321" s="318"/>
      <c r="S5321" s="318"/>
      <c r="T5321" s="318"/>
      <c r="U5321" s="318"/>
      <c r="V5321" s="318"/>
      <c r="W5321" s="318"/>
      <c r="X5321" s="318"/>
      <c r="Y5321" s="318"/>
      <c r="Z5321" s="318"/>
      <c r="AA5321" s="318"/>
      <c r="AB5321" s="318"/>
      <c r="AC5321" s="318"/>
      <c r="AD5321" s="318"/>
    </row>
    <row r="5322" spans="2:30" s="323" customFormat="1" ht="12" customHeight="1">
      <c r="B5322" s="324"/>
      <c r="C5322" s="325"/>
      <c r="D5322" s="326"/>
      <c r="E5322" s="326"/>
      <c r="F5322" s="326"/>
      <c r="G5322" s="326"/>
      <c r="H5322" s="326"/>
      <c r="P5322" s="318"/>
      <c r="Q5322" s="318"/>
      <c r="R5322" s="318"/>
      <c r="S5322" s="318"/>
      <c r="T5322" s="318"/>
      <c r="U5322" s="318"/>
      <c r="V5322" s="318"/>
      <c r="W5322" s="318"/>
      <c r="X5322" s="318"/>
      <c r="Y5322" s="318"/>
      <c r="Z5322" s="318"/>
      <c r="AA5322" s="318"/>
      <c r="AB5322" s="318"/>
      <c r="AC5322" s="318"/>
      <c r="AD5322" s="318"/>
    </row>
    <row r="5323" spans="2:30" s="323" customFormat="1" ht="12" customHeight="1">
      <c r="B5323" s="324"/>
      <c r="C5323" s="325"/>
      <c r="D5323" s="326"/>
      <c r="E5323" s="326"/>
      <c r="F5323" s="326"/>
      <c r="G5323" s="326"/>
      <c r="H5323" s="326"/>
      <c r="P5323" s="318"/>
      <c r="Q5323" s="318"/>
      <c r="R5323" s="318"/>
      <c r="S5323" s="318"/>
      <c r="T5323" s="318"/>
      <c r="U5323" s="318"/>
      <c r="V5323" s="318"/>
      <c r="W5323" s="318"/>
      <c r="X5323" s="318"/>
      <c r="Y5323" s="318"/>
      <c r="Z5323" s="318"/>
      <c r="AA5323" s="318"/>
      <c r="AB5323" s="318"/>
      <c r="AC5323" s="318"/>
      <c r="AD5323" s="318"/>
    </row>
    <row r="5324" spans="2:30" s="323" customFormat="1" ht="12" customHeight="1">
      <c r="B5324" s="324"/>
      <c r="C5324" s="325"/>
      <c r="D5324" s="326"/>
      <c r="E5324" s="326"/>
      <c r="F5324" s="326"/>
      <c r="G5324" s="326"/>
      <c r="H5324" s="326"/>
      <c r="P5324" s="318"/>
      <c r="Q5324" s="318"/>
      <c r="R5324" s="318"/>
      <c r="S5324" s="318"/>
      <c r="T5324" s="318"/>
      <c r="U5324" s="318"/>
      <c r="V5324" s="318"/>
      <c r="W5324" s="318"/>
      <c r="X5324" s="318"/>
      <c r="Y5324" s="318"/>
      <c r="Z5324" s="318"/>
      <c r="AA5324" s="318"/>
      <c r="AB5324" s="318"/>
      <c r="AC5324" s="318"/>
      <c r="AD5324" s="318"/>
    </row>
    <row r="5325" spans="2:30" s="323" customFormat="1" ht="12" customHeight="1">
      <c r="B5325" s="324"/>
      <c r="C5325" s="325"/>
      <c r="D5325" s="326"/>
      <c r="E5325" s="326"/>
      <c r="F5325" s="326"/>
      <c r="G5325" s="326"/>
      <c r="H5325" s="326"/>
      <c r="P5325" s="318"/>
      <c r="Q5325" s="318"/>
      <c r="R5325" s="318"/>
      <c r="S5325" s="318"/>
      <c r="T5325" s="318"/>
      <c r="U5325" s="318"/>
      <c r="V5325" s="318"/>
      <c r="W5325" s="318"/>
      <c r="X5325" s="318"/>
      <c r="Y5325" s="318"/>
      <c r="Z5325" s="318"/>
      <c r="AA5325" s="318"/>
      <c r="AB5325" s="318"/>
      <c r="AC5325" s="318"/>
      <c r="AD5325" s="318"/>
    </row>
    <row r="5326" spans="2:30" s="323" customFormat="1" ht="12" customHeight="1">
      <c r="B5326" s="324"/>
      <c r="C5326" s="325"/>
      <c r="D5326" s="326"/>
      <c r="E5326" s="326"/>
      <c r="F5326" s="326"/>
      <c r="G5326" s="326"/>
      <c r="H5326" s="326"/>
      <c r="P5326" s="318"/>
      <c r="Q5326" s="318"/>
      <c r="R5326" s="318"/>
      <c r="S5326" s="318"/>
      <c r="T5326" s="318"/>
      <c r="U5326" s="318"/>
      <c r="V5326" s="318"/>
      <c r="W5326" s="318"/>
      <c r="X5326" s="318"/>
      <c r="Y5326" s="318"/>
      <c r="Z5326" s="318"/>
      <c r="AA5326" s="318"/>
      <c r="AB5326" s="318"/>
      <c r="AC5326" s="318"/>
      <c r="AD5326" s="318"/>
    </row>
    <row r="5327" spans="2:30" s="323" customFormat="1" ht="12" customHeight="1">
      <c r="B5327" s="324"/>
      <c r="C5327" s="325"/>
      <c r="D5327" s="326"/>
      <c r="E5327" s="326"/>
      <c r="F5327" s="326"/>
      <c r="G5327" s="326"/>
      <c r="H5327" s="326"/>
      <c r="P5327" s="318"/>
      <c r="Q5327" s="318"/>
      <c r="R5327" s="318"/>
      <c r="S5327" s="318"/>
      <c r="T5327" s="318"/>
      <c r="U5327" s="318"/>
      <c r="V5327" s="318"/>
      <c r="W5327" s="318"/>
      <c r="X5327" s="318"/>
      <c r="Y5327" s="318"/>
      <c r="Z5327" s="318"/>
      <c r="AA5327" s="318"/>
      <c r="AB5327" s="318"/>
      <c r="AC5327" s="318"/>
      <c r="AD5327" s="318"/>
    </row>
    <row r="5328" spans="2:30" s="323" customFormat="1" ht="12" customHeight="1">
      <c r="B5328" s="324"/>
      <c r="C5328" s="325"/>
      <c r="D5328" s="326"/>
      <c r="E5328" s="326"/>
      <c r="F5328" s="326"/>
      <c r="G5328" s="326"/>
      <c r="H5328" s="326"/>
      <c r="P5328" s="318"/>
      <c r="Q5328" s="318"/>
      <c r="R5328" s="318"/>
      <c r="S5328" s="318"/>
      <c r="T5328" s="318"/>
      <c r="U5328" s="318"/>
      <c r="V5328" s="318"/>
      <c r="W5328" s="318"/>
      <c r="X5328" s="318"/>
      <c r="Y5328" s="318"/>
      <c r="Z5328" s="318"/>
      <c r="AA5328" s="318"/>
      <c r="AB5328" s="318"/>
      <c r="AC5328" s="318"/>
      <c r="AD5328" s="318"/>
    </row>
    <row r="5329" spans="2:30" s="323" customFormat="1" ht="12" customHeight="1">
      <c r="B5329" s="324"/>
      <c r="C5329" s="325"/>
      <c r="D5329" s="326"/>
      <c r="E5329" s="326"/>
      <c r="F5329" s="326"/>
      <c r="G5329" s="326"/>
      <c r="H5329" s="326"/>
      <c r="P5329" s="318"/>
      <c r="Q5329" s="318"/>
      <c r="R5329" s="318"/>
      <c r="S5329" s="318"/>
      <c r="T5329" s="318"/>
      <c r="U5329" s="318"/>
      <c r="V5329" s="318"/>
      <c r="W5329" s="318"/>
      <c r="X5329" s="318"/>
      <c r="Y5329" s="318"/>
      <c r="Z5329" s="318"/>
      <c r="AA5329" s="318"/>
      <c r="AB5329" s="318"/>
      <c r="AC5329" s="318"/>
      <c r="AD5329" s="318"/>
    </row>
    <row r="5330" spans="2:30" s="323" customFormat="1" ht="12" customHeight="1">
      <c r="B5330" s="324"/>
      <c r="C5330" s="325"/>
      <c r="D5330" s="326"/>
      <c r="E5330" s="326"/>
      <c r="F5330" s="326"/>
      <c r="G5330" s="326"/>
      <c r="H5330" s="326"/>
      <c r="P5330" s="318"/>
      <c r="Q5330" s="318"/>
      <c r="R5330" s="318"/>
      <c r="S5330" s="318"/>
      <c r="T5330" s="318"/>
      <c r="U5330" s="318"/>
      <c r="V5330" s="318"/>
      <c r="W5330" s="318"/>
      <c r="X5330" s="318"/>
      <c r="Y5330" s="318"/>
      <c r="Z5330" s="318"/>
      <c r="AA5330" s="318"/>
      <c r="AB5330" s="318"/>
      <c r="AC5330" s="318"/>
      <c r="AD5330" s="318"/>
    </row>
    <row r="5331" spans="2:30" s="323" customFormat="1" ht="12" customHeight="1">
      <c r="B5331" s="324"/>
      <c r="C5331" s="325"/>
      <c r="D5331" s="326"/>
      <c r="E5331" s="326"/>
      <c r="F5331" s="326"/>
      <c r="G5331" s="326"/>
      <c r="H5331" s="326"/>
      <c r="P5331" s="318"/>
      <c r="Q5331" s="318"/>
      <c r="R5331" s="318"/>
      <c r="S5331" s="318"/>
      <c r="T5331" s="318"/>
      <c r="U5331" s="318"/>
      <c r="V5331" s="318"/>
      <c r="W5331" s="318"/>
      <c r="X5331" s="318"/>
      <c r="Y5331" s="318"/>
      <c r="Z5331" s="318"/>
      <c r="AA5331" s="318"/>
      <c r="AB5331" s="318"/>
      <c r="AC5331" s="318"/>
      <c r="AD5331" s="318"/>
    </row>
    <row r="5332" spans="2:30" s="323" customFormat="1" ht="12" customHeight="1">
      <c r="B5332" s="324"/>
      <c r="C5332" s="325"/>
      <c r="D5332" s="326"/>
      <c r="E5332" s="326"/>
      <c r="F5332" s="326"/>
      <c r="G5332" s="326"/>
      <c r="H5332" s="326"/>
      <c r="P5332" s="318"/>
      <c r="Q5332" s="318"/>
      <c r="R5332" s="318"/>
      <c r="S5332" s="318"/>
      <c r="T5332" s="318"/>
      <c r="U5332" s="318"/>
      <c r="V5332" s="318"/>
      <c r="W5332" s="318"/>
      <c r="X5332" s="318"/>
      <c r="Y5332" s="318"/>
      <c r="Z5332" s="318"/>
      <c r="AA5332" s="318"/>
      <c r="AB5332" s="318"/>
      <c r="AC5332" s="318"/>
      <c r="AD5332" s="318"/>
    </row>
    <row r="5333" spans="2:30" s="323" customFormat="1" ht="12" customHeight="1">
      <c r="B5333" s="324"/>
      <c r="C5333" s="325"/>
      <c r="D5333" s="326"/>
      <c r="E5333" s="326"/>
      <c r="F5333" s="326"/>
      <c r="G5333" s="326"/>
      <c r="H5333" s="326"/>
      <c r="P5333" s="318"/>
      <c r="Q5333" s="318"/>
      <c r="R5333" s="318"/>
      <c r="S5333" s="318"/>
      <c r="T5333" s="318"/>
      <c r="U5333" s="318"/>
      <c r="V5333" s="318"/>
      <c r="W5333" s="318"/>
      <c r="X5333" s="318"/>
      <c r="Y5333" s="318"/>
      <c r="Z5333" s="318"/>
      <c r="AA5333" s="318"/>
      <c r="AB5333" s="318"/>
      <c r="AC5333" s="318"/>
      <c r="AD5333" s="318"/>
    </row>
    <row r="5334" spans="2:30" s="323" customFormat="1" ht="12" customHeight="1">
      <c r="B5334" s="324"/>
      <c r="C5334" s="325"/>
      <c r="D5334" s="326"/>
      <c r="E5334" s="326"/>
      <c r="F5334" s="326"/>
      <c r="G5334" s="326"/>
      <c r="H5334" s="326"/>
      <c r="P5334" s="318"/>
      <c r="Q5334" s="318"/>
      <c r="R5334" s="318"/>
      <c r="S5334" s="318"/>
      <c r="T5334" s="318"/>
      <c r="U5334" s="318"/>
      <c r="V5334" s="318"/>
      <c r="W5334" s="318"/>
      <c r="X5334" s="318"/>
      <c r="Y5334" s="318"/>
      <c r="Z5334" s="318"/>
      <c r="AA5334" s="318"/>
      <c r="AB5334" s="318"/>
      <c r="AC5334" s="318"/>
      <c r="AD5334" s="318"/>
    </row>
    <row r="5335" spans="2:30" s="323" customFormat="1" ht="12" customHeight="1">
      <c r="B5335" s="324"/>
      <c r="C5335" s="325"/>
      <c r="D5335" s="326"/>
      <c r="E5335" s="326"/>
      <c r="F5335" s="326"/>
      <c r="G5335" s="326"/>
      <c r="H5335" s="326"/>
      <c r="P5335" s="318"/>
      <c r="Q5335" s="318"/>
      <c r="R5335" s="318"/>
      <c r="S5335" s="318"/>
      <c r="T5335" s="318"/>
      <c r="U5335" s="318"/>
      <c r="V5335" s="318"/>
      <c r="W5335" s="318"/>
      <c r="X5335" s="318"/>
      <c r="Y5335" s="318"/>
      <c r="Z5335" s="318"/>
      <c r="AA5335" s="318"/>
      <c r="AB5335" s="318"/>
      <c r="AC5335" s="318"/>
      <c r="AD5335" s="318"/>
    </row>
    <row r="5336" spans="2:30" s="323" customFormat="1" ht="12" customHeight="1">
      <c r="B5336" s="324"/>
      <c r="C5336" s="325"/>
      <c r="D5336" s="326"/>
      <c r="E5336" s="326"/>
      <c r="F5336" s="326"/>
      <c r="G5336" s="326"/>
      <c r="H5336" s="326"/>
      <c r="P5336" s="318"/>
      <c r="Q5336" s="318"/>
      <c r="R5336" s="318"/>
      <c r="S5336" s="318"/>
      <c r="T5336" s="318"/>
      <c r="U5336" s="318"/>
      <c r="V5336" s="318"/>
      <c r="W5336" s="318"/>
      <c r="X5336" s="318"/>
      <c r="Y5336" s="318"/>
      <c r="Z5336" s="318"/>
      <c r="AA5336" s="318"/>
      <c r="AB5336" s="318"/>
      <c r="AC5336" s="318"/>
      <c r="AD5336" s="318"/>
    </row>
    <row r="5337" spans="2:30" s="323" customFormat="1" ht="12" customHeight="1">
      <c r="B5337" s="324"/>
      <c r="C5337" s="325"/>
      <c r="D5337" s="326"/>
      <c r="E5337" s="326"/>
      <c r="F5337" s="326"/>
      <c r="G5337" s="326"/>
      <c r="H5337" s="326"/>
      <c r="P5337" s="318"/>
      <c r="Q5337" s="318"/>
      <c r="R5337" s="318"/>
      <c r="S5337" s="318"/>
      <c r="T5337" s="318"/>
      <c r="U5337" s="318"/>
      <c r="V5337" s="318"/>
      <c r="W5337" s="318"/>
      <c r="X5337" s="318"/>
      <c r="Y5337" s="318"/>
      <c r="Z5337" s="318"/>
      <c r="AA5337" s="318"/>
      <c r="AB5337" s="318"/>
      <c r="AC5337" s="318"/>
      <c r="AD5337" s="318"/>
    </row>
    <row r="5338" spans="2:30" s="323" customFormat="1" ht="12" customHeight="1">
      <c r="B5338" s="324"/>
      <c r="C5338" s="325"/>
      <c r="D5338" s="326"/>
      <c r="E5338" s="326"/>
      <c r="F5338" s="326"/>
      <c r="G5338" s="326"/>
      <c r="H5338" s="326"/>
      <c r="P5338" s="318"/>
      <c r="Q5338" s="318"/>
      <c r="R5338" s="318"/>
      <c r="S5338" s="318"/>
      <c r="T5338" s="318"/>
      <c r="U5338" s="318"/>
      <c r="V5338" s="318"/>
      <c r="W5338" s="318"/>
      <c r="X5338" s="318"/>
      <c r="Y5338" s="318"/>
      <c r="Z5338" s="318"/>
      <c r="AA5338" s="318"/>
      <c r="AB5338" s="318"/>
      <c r="AC5338" s="318"/>
      <c r="AD5338" s="318"/>
    </row>
    <row r="5339" spans="2:30" s="323" customFormat="1" ht="12" customHeight="1">
      <c r="B5339" s="324"/>
      <c r="C5339" s="325"/>
      <c r="D5339" s="326"/>
      <c r="E5339" s="326"/>
      <c r="F5339" s="326"/>
      <c r="G5339" s="326"/>
      <c r="H5339" s="326"/>
      <c r="P5339" s="318"/>
      <c r="Q5339" s="318"/>
      <c r="R5339" s="318"/>
      <c r="S5339" s="318"/>
      <c r="T5339" s="318"/>
      <c r="U5339" s="318"/>
      <c r="V5339" s="318"/>
      <c r="W5339" s="318"/>
      <c r="X5339" s="318"/>
      <c r="Y5339" s="318"/>
      <c r="Z5339" s="318"/>
      <c r="AA5339" s="318"/>
      <c r="AB5339" s="318"/>
      <c r="AC5339" s="318"/>
      <c r="AD5339" s="318"/>
    </row>
    <row r="5340" spans="2:30" s="323" customFormat="1" ht="12" customHeight="1">
      <c r="B5340" s="324"/>
      <c r="C5340" s="325"/>
      <c r="D5340" s="326"/>
      <c r="E5340" s="326"/>
      <c r="F5340" s="326"/>
      <c r="G5340" s="326"/>
      <c r="H5340" s="326"/>
      <c r="P5340" s="318"/>
      <c r="Q5340" s="318"/>
      <c r="R5340" s="318"/>
      <c r="S5340" s="318"/>
      <c r="T5340" s="318"/>
      <c r="U5340" s="318"/>
      <c r="V5340" s="318"/>
      <c r="W5340" s="318"/>
      <c r="X5340" s="318"/>
      <c r="Y5340" s="318"/>
      <c r="Z5340" s="318"/>
      <c r="AA5340" s="318"/>
      <c r="AB5340" s="318"/>
      <c r="AC5340" s="318"/>
      <c r="AD5340" s="318"/>
    </row>
    <row r="5341" spans="2:30" s="323" customFormat="1" ht="12" customHeight="1">
      <c r="B5341" s="324"/>
      <c r="C5341" s="325"/>
      <c r="D5341" s="326"/>
      <c r="E5341" s="326"/>
      <c r="F5341" s="326"/>
      <c r="G5341" s="326"/>
      <c r="H5341" s="326"/>
      <c r="P5341" s="318"/>
      <c r="Q5341" s="318"/>
      <c r="R5341" s="318"/>
      <c r="S5341" s="318"/>
      <c r="T5341" s="318"/>
      <c r="U5341" s="318"/>
      <c r="V5341" s="318"/>
      <c r="W5341" s="318"/>
      <c r="X5341" s="318"/>
      <c r="Y5341" s="318"/>
      <c r="Z5341" s="318"/>
      <c r="AA5341" s="318"/>
      <c r="AB5341" s="318"/>
      <c r="AC5341" s="318"/>
      <c r="AD5341" s="318"/>
    </row>
    <row r="5342" spans="2:30" s="323" customFormat="1" ht="12" customHeight="1">
      <c r="B5342" s="324"/>
      <c r="C5342" s="325"/>
      <c r="D5342" s="326"/>
      <c r="E5342" s="326"/>
      <c r="F5342" s="326"/>
      <c r="G5342" s="326"/>
      <c r="H5342" s="326"/>
      <c r="P5342" s="318"/>
      <c r="Q5342" s="318"/>
      <c r="R5342" s="318"/>
      <c r="S5342" s="318"/>
      <c r="T5342" s="318"/>
      <c r="U5342" s="318"/>
      <c r="V5342" s="318"/>
      <c r="W5342" s="318"/>
      <c r="X5342" s="318"/>
      <c r="Y5342" s="318"/>
      <c r="Z5342" s="318"/>
      <c r="AA5342" s="318"/>
      <c r="AB5342" s="318"/>
      <c r="AC5342" s="318"/>
      <c r="AD5342" s="318"/>
    </row>
    <row r="5343" spans="2:30" s="323" customFormat="1" ht="12" customHeight="1">
      <c r="B5343" s="324"/>
      <c r="C5343" s="325"/>
      <c r="D5343" s="326"/>
      <c r="E5343" s="326"/>
      <c r="F5343" s="326"/>
      <c r="G5343" s="326"/>
      <c r="H5343" s="326"/>
      <c r="P5343" s="318"/>
      <c r="Q5343" s="318"/>
      <c r="R5343" s="318"/>
      <c r="S5343" s="318"/>
      <c r="T5343" s="318"/>
      <c r="U5343" s="318"/>
      <c r="V5343" s="318"/>
      <c r="W5343" s="318"/>
      <c r="X5343" s="318"/>
      <c r="Y5343" s="318"/>
      <c r="Z5343" s="318"/>
      <c r="AA5343" s="318"/>
      <c r="AB5343" s="318"/>
      <c r="AC5343" s="318"/>
      <c r="AD5343" s="318"/>
    </row>
    <row r="5344" spans="2:30" s="323" customFormat="1" ht="12" customHeight="1">
      <c r="B5344" s="324"/>
      <c r="C5344" s="325"/>
      <c r="D5344" s="326"/>
      <c r="E5344" s="326"/>
      <c r="F5344" s="326"/>
      <c r="G5344" s="326"/>
      <c r="H5344" s="326"/>
      <c r="P5344" s="318"/>
      <c r="Q5344" s="318"/>
      <c r="R5344" s="318"/>
      <c r="S5344" s="318"/>
      <c r="T5344" s="318"/>
      <c r="U5344" s="318"/>
      <c r="V5344" s="318"/>
      <c r="W5344" s="318"/>
      <c r="X5344" s="318"/>
      <c r="Y5344" s="318"/>
      <c r="Z5344" s="318"/>
      <c r="AA5344" s="318"/>
      <c r="AB5344" s="318"/>
      <c r="AC5344" s="318"/>
      <c r="AD5344" s="318"/>
    </row>
    <row r="5345" spans="2:30" s="323" customFormat="1" ht="12" customHeight="1">
      <c r="B5345" s="324"/>
      <c r="C5345" s="325"/>
      <c r="D5345" s="326"/>
      <c r="E5345" s="326"/>
      <c r="F5345" s="326"/>
      <c r="G5345" s="326"/>
      <c r="H5345" s="326"/>
      <c r="P5345" s="318"/>
      <c r="Q5345" s="318"/>
      <c r="R5345" s="318"/>
      <c r="S5345" s="318"/>
      <c r="T5345" s="318"/>
      <c r="U5345" s="318"/>
      <c r="V5345" s="318"/>
      <c r="W5345" s="318"/>
      <c r="X5345" s="318"/>
      <c r="Y5345" s="318"/>
      <c r="Z5345" s="318"/>
      <c r="AA5345" s="318"/>
      <c r="AB5345" s="318"/>
      <c r="AC5345" s="318"/>
      <c r="AD5345" s="318"/>
    </row>
    <row r="5346" spans="2:30" s="323" customFormat="1" ht="12" customHeight="1">
      <c r="B5346" s="324"/>
      <c r="C5346" s="325"/>
      <c r="D5346" s="326"/>
      <c r="E5346" s="326"/>
      <c r="F5346" s="326"/>
      <c r="G5346" s="326"/>
      <c r="H5346" s="326"/>
      <c r="P5346" s="318"/>
      <c r="Q5346" s="318"/>
      <c r="R5346" s="318"/>
      <c r="S5346" s="318"/>
      <c r="T5346" s="318"/>
      <c r="U5346" s="318"/>
      <c r="V5346" s="318"/>
      <c r="W5346" s="318"/>
      <c r="X5346" s="318"/>
      <c r="Y5346" s="318"/>
      <c r="Z5346" s="318"/>
      <c r="AA5346" s="318"/>
      <c r="AB5346" s="318"/>
      <c r="AC5346" s="318"/>
      <c r="AD5346" s="318"/>
    </row>
    <row r="5347" spans="2:30" s="323" customFormat="1" ht="12" customHeight="1">
      <c r="B5347" s="324"/>
      <c r="C5347" s="325"/>
      <c r="D5347" s="326"/>
      <c r="E5347" s="326"/>
      <c r="F5347" s="326"/>
      <c r="G5347" s="326"/>
      <c r="H5347" s="326"/>
      <c r="P5347" s="318"/>
      <c r="Q5347" s="318"/>
      <c r="R5347" s="318"/>
      <c r="S5347" s="318"/>
      <c r="T5347" s="318"/>
      <c r="U5347" s="318"/>
      <c r="V5347" s="318"/>
      <c r="W5347" s="318"/>
      <c r="X5347" s="318"/>
      <c r="Y5347" s="318"/>
      <c r="Z5347" s="318"/>
      <c r="AA5347" s="318"/>
      <c r="AB5347" s="318"/>
      <c r="AC5347" s="318"/>
      <c r="AD5347" s="318"/>
    </row>
    <row r="5348" spans="2:30" s="323" customFormat="1" ht="12" customHeight="1">
      <c r="B5348" s="324"/>
      <c r="C5348" s="325"/>
      <c r="D5348" s="326"/>
      <c r="E5348" s="326"/>
      <c r="F5348" s="326"/>
      <c r="G5348" s="326"/>
      <c r="H5348" s="326"/>
      <c r="P5348" s="318"/>
      <c r="Q5348" s="318"/>
      <c r="R5348" s="318"/>
      <c r="S5348" s="318"/>
      <c r="T5348" s="318"/>
      <c r="U5348" s="318"/>
      <c r="V5348" s="318"/>
      <c r="W5348" s="318"/>
      <c r="X5348" s="318"/>
      <c r="Y5348" s="318"/>
      <c r="Z5348" s="318"/>
      <c r="AA5348" s="318"/>
      <c r="AB5348" s="318"/>
      <c r="AC5348" s="318"/>
      <c r="AD5348" s="318"/>
    </row>
    <row r="5349" spans="2:30" s="323" customFormat="1" ht="12" customHeight="1">
      <c r="B5349" s="324"/>
      <c r="C5349" s="325"/>
      <c r="D5349" s="326"/>
      <c r="E5349" s="326"/>
      <c r="F5349" s="326"/>
      <c r="G5349" s="326"/>
      <c r="H5349" s="326"/>
      <c r="P5349" s="318"/>
      <c r="Q5349" s="318"/>
      <c r="R5349" s="318"/>
      <c r="S5349" s="318"/>
      <c r="T5349" s="318"/>
      <c r="U5349" s="318"/>
      <c r="V5349" s="318"/>
      <c r="W5349" s="318"/>
      <c r="X5349" s="318"/>
      <c r="Y5349" s="318"/>
      <c r="Z5349" s="318"/>
      <c r="AA5349" s="318"/>
      <c r="AB5349" s="318"/>
      <c r="AC5349" s="318"/>
      <c r="AD5349" s="318"/>
    </row>
    <row r="5350" spans="2:30" s="323" customFormat="1" ht="12" customHeight="1">
      <c r="B5350" s="324"/>
      <c r="C5350" s="325"/>
      <c r="D5350" s="326"/>
      <c r="E5350" s="326"/>
      <c r="F5350" s="326"/>
      <c r="G5350" s="326"/>
      <c r="H5350" s="326"/>
      <c r="P5350" s="318"/>
      <c r="Q5350" s="318"/>
      <c r="R5350" s="318"/>
      <c r="S5350" s="318"/>
      <c r="T5350" s="318"/>
      <c r="U5350" s="318"/>
      <c r="V5350" s="318"/>
      <c r="W5350" s="318"/>
      <c r="X5350" s="318"/>
      <c r="Y5350" s="318"/>
      <c r="Z5350" s="318"/>
      <c r="AA5350" s="318"/>
      <c r="AB5350" s="318"/>
      <c r="AC5350" s="318"/>
      <c r="AD5350" s="318"/>
    </row>
    <row r="5351" spans="2:30" s="323" customFormat="1" ht="12" customHeight="1">
      <c r="B5351" s="324"/>
      <c r="C5351" s="325"/>
      <c r="D5351" s="326"/>
      <c r="E5351" s="326"/>
      <c r="F5351" s="326"/>
      <c r="G5351" s="326"/>
      <c r="H5351" s="326"/>
      <c r="P5351" s="318"/>
      <c r="Q5351" s="318"/>
      <c r="R5351" s="318"/>
      <c r="S5351" s="318"/>
      <c r="T5351" s="318"/>
      <c r="U5351" s="318"/>
      <c r="V5351" s="318"/>
      <c r="W5351" s="318"/>
      <c r="X5351" s="318"/>
      <c r="Y5351" s="318"/>
      <c r="Z5351" s="318"/>
      <c r="AA5351" s="318"/>
      <c r="AB5351" s="318"/>
      <c r="AC5351" s="318"/>
      <c r="AD5351" s="318"/>
    </row>
    <row r="5352" spans="2:30" s="323" customFormat="1" ht="12" customHeight="1">
      <c r="B5352" s="324"/>
      <c r="C5352" s="325"/>
      <c r="D5352" s="326"/>
      <c r="E5352" s="326"/>
      <c r="F5352" s="326"/>
      <c r="G5352" s="326"/>
      <c r="H5352" s="326"/>
      <c r="P5352" s="318"/>
      <c r="Q5352" s="318"/>
      <c r="R5352" s="318"/>
      <c r="S5352" s="318"/>
      <c r="T5352" s="318"/>
      <c r="U5352" s="318"/>
      <c r="V5352" s="318"/>
      <c r="W5352" s="318"/>
      <c r="X5352" s="318"/>
      <c r="Y5352" s="318"/>
      <c r="Z5352" s="318"/>
      <c r="AA5352" s="318"/>
      <c r="AB5352" s="318"/>
      <c r="AC5352" s="318"/>
      <c r="AD5352" s="318"/>
    </row>
    <row r="5353" spans="2:30" s="323" customFormat="1" ht="12" customHeight="1">
      <c r="B5353" s="324"/>
      <c r="C5353" s="325"/>
      <c r="D5353" s="326"/>
      <c r="E5353" s="326"/>
      <c r="F5353" s="326"/>
      <c r="G5353" s="326"/>
      <c r="H5353" s="326"/>
      <c r="P5353" s="318"/>
      <c r="Q5353" s="318"/>
      <c r="R5353" s="318"/>
      <c r="S5353" s="318"/>
      <c r="T5353" s="318"/>
      <c r="U5353" s="318"/>
      <c r="V5353" s="318"/>
      <c r="W5353" s="318"/>
      <c r="X5353" s="318"/>
      <c r="Y5353" s="318"/>
      <c r="Z5353" s="318"/>
      <c r="AA5353" s="318"/>
      <c r="AB5353" s="318"/>
      <c r="AC5353" s="318"/>
      <c r="AD5353" s="318"/>
    </row>
    <row r="5354" spans="2:30" s="323" customFormat="1" ht="12" customHeight="1">
      <c r="B5354" s="324"/>
      <c r="C5354" s="325"/>
      <c r="D5354" s="326"/>
      <c r="E5354" s="326"/>
      <c r="F5354" s="326"/>
      <c r="G5354" s="326"/>
      <c r="H5354" s="326"/>
      <c r="P5354" s="318"/>
      <c r="Q5354" s="318"/>
      <c r="R5354" s="318"/>
      <c r="S5354" s="318"/>
      <c r="T5354" s="318"/>
      <c r="U5354" s="318"/>
      <c r="V5354" s="318"/>
      <c r="W5354" s="318"/>
      <c r="X5354" s="318"/>
      <c r="Y5354" s="318"/>
      <c r="Z5354" s="318"/>
      <c r="AA5354" s="318"/>
      <c r="AB5354" s="318"/>
      <c r="AC5354" s="318"/>
      <c r="AD5354" s="318"/>
    </row>
    <row r="5355" spans="2:30" s="323" customFormat="1" ht="12" customHeight="1">
      <c r="B5355" s="324"/>
      <c r="C5355" s="325"/>
      <c r="D5355" s="326"/>
      <c r="E5355" s="326"/>
      <c r="F5355" s="326"/>
      <c r="G5355" s="326"/>
      <c r="H5355" s="326"/>
      <c r="P5355" s="318"/>
      <c r="Q5355" s="318"/>
      <c r="R5355" s="318"/>
      <c r="S5355" s="318"/>
      <c r="T5355" s="318"/>
      <c r="U5355" s="318"/>
      <c r="V5355" s="318"/>
      <c r="W5355" s="318"/>
      <c r="X5355" s="318"/>
      <c r="Y5355" s="318"/>
      <c r="Z5355" s="318"/>
      <c r="AA5355" s="318"/>
      <c r="AB5355" s="318"/>
      <c r="AC5355" s="318"/>
      <c r="AD5355" s="318"/>
    </row>
    <row r="5356" spans="2:30" s="323" customFormat="1" ht="12" customHeight="1">
      <c r="B5356" s="324"/>
      <c r="C5356" s="325"/>
      <c r="D5356" s="326"/>
      <c r="E5356" s="326"/>
      <c r="F5356" s="326"/>
      <c r="G5356" s="326"/>
      <c r="H5356" s="326"/>
      <c r="P5356" s="318"/>
      <c r="Q5356" s="318"/>
      <c r="R5356" s="318"/>
      <c r="S5356" s="318"/>
      <c r="T5356" s="318"/>
      <c r="U5356" s="318"/>
      <c r="V5356" s="318"/>
      <c r="W5356" s="318"/>
      <c r="X5356" s="318"/>
      <c r="Y5356" s="318"/>
      <c r="Z5356" s="318"/>
      <c r="AA5356" s="318"/>
      <c r="AB5356" s="318"/>
      <c r="AC5356" s="318"/>
      <c r="AD5356" s="318"/>
    </row>
    <row r="5357" spans="2:30" s="323" customFormat="1" ht="12" customHeight="1">
      <c r="B5357" s="324"/>
      <c r="C5357" s="325"/>
      <c r="D5357" s="326"/>
      <c r="E5357" s="326"/>
      <c r="F5357" s="326"/>
      <c r="G5357" s="326"/>
      <c r="H5357" s="326"/>
      <c r="P5357" s="318"/>
      <c r="Q5357" s="318"/>
      <c r="R5357" s="318"/>
      <c r="S5357" s="318"/>
      <c r="T5357" s="318"/>
      <c r="U5357" s="318"/>
      <c r="V5357" s="318"/>
      <c r="W5357" s="318"/>
      <c r="X5357" s="318"/>
      <c r="Y5357" s="318"/>
      <c r="Z5357" s="318"/>
      <c r="AA5357" s="318"/>
      <c r="AB5357" s="318"/>
      <c r="AC5357" s="318"/>
      <c r="AD5357" s="318"/>
    </row>
    <row r="5358" spans="2:30" s="323" customFormat="1" ht="12" customHeight="1">
      <c r="B5358" s="324"/>
      <c r="C5358" s="325"/>
      <c r="D5358" s="326"/>
      <c r="E5358" s="326"/>
      <c r="F5358" s="326"/>
      <c r="G5358" s="326"/>
      <c r="H5358" s="326"/>
      <c r="P5358" s="318"/>
      <c r="Q5358" s="318"/>
      <c r="R5358" s="318"/>
      <c r="S5358" s="318"/>
      <c r="T5358" s="318"/>
      <c r="U5358" s="318"/>
      <c r="V5358" s="318"/>
      <c r="W5358" s="318"/>
      <c r="X5358" s="318"/>
      <c r="Y5358" s="318"/>
      <c r="Z5358" s="318"/>
      <c r="AA5358" s="318"/>
      <c r="AB5358" s="318"/>
      <c r="AC5358" s="318"/>
      <c r="AD5358" s="318"/>
    </row>
    <row r="5359" spans="2:30" s="323" customFormat="1" ht="12" customHeight="1">
      <c r="B5359" s="324"/>
      <c r="C5359" s="325"/>
      <c r="D5359" s="326"/>
      <c r="E5359" s="326"/>
      <c r="F5359" s="326"/>
      <c r="G5359" s="326"/>
      <c r="H5359" s="326"/>
      <c r="P5359" s="318"/>
      <c r="Q5359" s="318"/>
      <c r="R5359" s="318"/>
      <c r="S5359" s="318"/>
      <c r="T5359" s="318"/>
      <c r="U5359" s="318"/>
      <c r="V5359" s="318"/>
      <c r="W5359" s="318"/>
      <c r="X5359" s="318"/>
      <c r="Y5359" s="318"/>
      <c r="Z5359" s="318"/>
      <c r="AA5359" s="318"/>
      <c r="AB5359" s="318"/>
      <c r="AC5359" s="318"/>
      <c r="AD5359" s="318"/>
    </row>
    <row r="5360" spans="2:30" s="323" customFormat="1" ht="12" customHeight="1">
      <c r="B5360" s="324"/>
      <c r="C5360" s="325"/>
      <c r="D5360" s="326"/>
      <c r="E5360" s="326"/>
      <c r="F5360" s="326"/>
      <c r="G5360" s="326"/>
      <c r="H5360" s="326"/>
      <c r="P5360" s="318"/>
      <c r="Q5360" s="318"/>
      <c r="R5360" s="318"/>
      <c r="S5360" s="318"/>
      <c r="T5360" s="318"/>
      <c r="U5360" s="318"/>
      <c r="V5360" s="318"/>
      <c r="W5360" s="318"/>
      <c r="X5360" s="318"/>
      <c r="Y5360" s="318"/>
      <c r="Z5360" s="318"/>
      <c r="AA5360" s="318"/>
      <c r="AB5360" s="318"/>
      <c r="AC5360" s="318"/>
      <c r="AD5360" s="318"/>
    </row>
    <row r="5361" spans="2:30" s="323" customFormat="1" ht="12" customHeight="1">
      <c r="B5361" s="324"/>
      <c r="C5361" s="325"/>
      <c r="D5361" s="326"/>
      <c r="E5361" s="326"/>
      <c r="F5361" s="326"/>
      <c r="G5361" s="326"/>
      <c r="H5361" s="326"/>
      <c r="P5361" s="318"/>
      <c r="Q5361" s="318"/>
      <c r="R5361" s="318"/>
      <c r="S5361" s="318"/>
      <c r="T5361" s="318"/>
      <c r="U5361" s="318"/>
      <c r="V5361" s="318"/>
      <c r="W5361" s="318"/>
      <c r="X5361" s="318"/>
      <c r="Y5361" s="318"/>
      <c r="Z5361" s="318"/>
      <c r="AA5361" s="318"/>
      <c r="AB5361" s="318"/>
      <c r="AC5361" s="318"/>
      <c r="AD5361" s="318"/>
    </row>
    <row r="5362" spans="2:30" s="323" customFormat="1" ht="12" customHeight="1">
      <c r="B5362" s="324"/>
      <c r="C5362" s="325"/>
      <c r="D5362" s="326"/>
      <c r="E5362" s="326"/>
      <c r="F5362" s="326"/>
      <c r="G5362" s="326"/>
      <c r="H5362" s="326"/>
      <c r="P5362" s="318"/>
      <c r="Q5362" s="318"/>
      <c r="R5362" s="318"/>
      <c r="S5362" s="318"/>
      <c r="T5362" s="318"/>
      <c r="U5362" s="318"/>
      <c r="V5362" s="318"/>
      <c r="W5362" s="318"/>
      <c r="X5362" s="318"/>
      <c r="Y5362" s="318"/>
      <c r="Z5362" s="318"/>
      <c r="AA5362" s="318"/>
      <c r="AB5362" s="318"/>
      <c r="AC5362" s="318"/>
      <c r="AD5362" s="318"/>
    </row>
    <row r="5363" spans="2:30" s="323" customFormat="1" ht="12" customHeight="1">
      <c r="B5363" s="324"/>
      <c r="C5363" s="325"/>
      <c r="D5363" s="326"/>
      <c r="E5363" s="326"/>
      <c r="F5363" s="326"/>
      <c r="G5363" s="326"/>
      <c r="H5363" s="326"/>
      <c r="P5363" s="318"/>
      <c r="Q5363" s="318"/>
      <c r="R5363" s="318"/>
      <c r="S5363" s="318"/>
      <c r="T5363" s="318"/>
      <c r="U5363" s="318"/>
      <c r="V5363" s="318"/>
      <c r="W5363" s="318"/>
      <c r="X5363" s="318"/>
      <c r="Y5363" s="318"/>
      <c r="Z5363" s="318"/>
      <c r="AA5363" s="318"/>
      <c r="AB5363" s="318"/>
      <c r="AC5363" s="318"/>
      <c r="AD5363" s="318"/>
    </row>
    <row r="5364" spans="2:30" s="323" customFormat="1" ht="12" customHeight="1">
      <c r="B5364" s="324"/>
      <c r="C5364" s="325"/>
      <c r="D5364" s="326"/>
      <c r="E5364" s="326"/>
      <c r="F5364" s="326"/>
      <c r="G5364" s="326"/>
      <c r="H5364" s="326"/>
      <c r="P5364" s="318"/>
      <c r="Q5364" s="318"/>
      <c r="R5364" s="318"/>
      <c r="S5364" s="318"/>
      <c r="T5364" s="318"/>
      <c r="U5364" s="318"/>
      <c r="V5364" s="318"/>
      <c r="W5364" s="318"/>
      <c r="X5364" s="318"/>
      <c r="Y5364" s="318"/>
      <c r="Z5364" s="318"/>
      <c r="AA5364" s="318"/>
      <c r="AB5364" s="318"/>
      <c r="AC5364" s="318"/>
      <c r="AD5364" s="318"/>
    </row>
    <row r="5365" spans="2:30" s="323" customFormat="1" ht="12" customHeight="1">
      <c r="B5365" s="324"/>
      <c r="C5365" s="325"/>
      <c r="D5365" s="326"/>
      <c r="E5365" s="326"/>
      <c r="F5365" s="326"/>
      <c r="G5365" s="326"/>
      <c r="H5365" s="326"/>
      <c r="P5365" s="318"/>
      <c r="Q5365" s="318"/>
      <c r="R5365" s="318"/>
      <c r="S5365" s="318"/>
      <c r="T5365" s="318"/>
      <c r="U5365" s="318"/>
      <c r="V5365" s="318"/>
      <c r="W5365" s="318"/>
      <c r="X5365" s="318"/>
      <c r="Y5365" s="318"/>
      <c r="Z5365" s="318"/>
      <c r="AA5365" s="318"/>
      <c r="AB5365" s="318"/>
      <c r="AC5365" s="318"/>
      <c r="AD5365" s="318"/>
    </row>
    <row r="5366" spans="2:30" s="323" customFormat="1" ht="12" customHeight="1">
      <c r="B5366" s="324"/>
      <c r="C5366" s="325"/>
      <c r="D5366" s="326"/>
      <c r="E5366" s="326"/>
      <c r="F5366" s="326"/>
      <c r="G5366" s="326"/>
      <c r="H5366" s="326"/>
      <c r="P5366" s="318"/>
      <c r="Q5366" s="318"/>
      <c r="R5366" s="318"/>
      <c r="S5366" s="318"/>
      <c r="T5366" s="318"/>
      <c r="U5366" s="318"/>
      <c r="V5366" s="318"/>
      <c r="W5366" s="318"/>
      <c r="X5366" s="318"/>
      <c r="Y5366" s="318"/>
      <c r="Z5366" s="318"/>
      <c r="AA5366" s="318"/>
      <c r="AB5366" s="318"/>
      <c r="AC5366" s="318"/>
      <c r="AD5366" s="318"/>
    </row>
    <row r="5367" spans="2:30" s="323" customFormat="1" ht="12" customHeight="1">
      <c r="B5367" s="324"/>
      <c r="C5367" s="325"/>
      <c r="D5367" s="326"/>
      <c r="E5367" s="326"/>
      <c r="F5367" s="326"/>
      <c r="G5367" s="326"/>
      <c r="H5367" s="326"/>
      <c r="P5367" s="318"/>
      <c r="Q5367" s="318"/>
      <c r="R5367" s="318"/>
      <c r="S5367" s="318"/>
      <c r="T5367" s="318"/>
      <c r="U5367" s="318"/>
      <c r="V5367" s="318"/>
      <c r="W5367" s="318"/>
      <c r="X5367" s="318"/>
      <c r="Y5367" s="318"/>
      <c r="Z5367" s="318"/>
      <c r="AA5367" s="318"/>
      <c r="AB5367" s="318"/>
      <c r="AC5367" s="318"/>
      <c r="AD5367" s="318"/>
    </row>
    <row r="5368" spans="2:30" s="323" customFormat="1" ht="12" customHeight="1">
      <c r="B5368" s="324"/>
      <c r="C5368" s="325"/>
      <c r="D5368" s="326"/>
      <c r="E5368" s="326"/>
      <c r="F5368" s="326"/>
      <c r="G5368" s="326"/>
      <c r="H5368" s="326"/>
      <c r="P5368" s="318"/>
      <c r="Q5368" s="318"/>
      <c r="R5368" s="318"/>
      <c r="S5368" s="318"/>
      <c r="T5368" s="318"/>
      <c r="U5368" s="318"/>
      <c r="V5368" s="318"/>
      <c r="W5368" s="318"/>
      <c r="X5368" s="318"/>
      <c r="Y5368" s="318"/>
      <c r="Z5368" s="318"/>
      <c r="AA5368" s="318"/>
      <c r="AB5368" s="318"/>
      <c r="AC5368" s="318"/>
      <c r="AD5368" s="318"/>
    </row>
    <row r="5369" spans="2:30" s="323" customFormat="1" ht="12" customHeight="1">
      <c r="B5369" s="324"/>
      <c r="C5369" s="325"/>
      <c r="D5369" s="326"/>
      <c r="E5369" s="326"/>
      <c r="F5369" s="326"/>
      <c r="G5369" s="326"/>
      <c r="H5369" s="326"/>
      <c r="P5369" s="318"/>
      <c r="Q5369" s="318"/>
      <c r="R5369" s="318"/>
      <c r="S5369" s="318"/>
      <c r="T5369" s="318"/>
      <c r="U5369" s="318"/>
      <c r="V5369" s="318"/>
      <c r="W5369" s="318"/>
      <c r="X5369" s="318"/>
      <c r="Y5369" s="318"/>
      <c r="Z5369" s="318"/>
      <c r="AA5369" s="318"/>
      <c r="AB5369" s="318"/>
      <c r="AC5369" s="318"/>
      <c r="AD5369" s="318"/>
    </row>
    <row r="5370" spans="2:30" s="323" customFormat="1" ht="12" customHeight="1">
      <c r="B5370" s="324"/>
      <c r="C5370" s="325"/>
      <c r="D5370" s="326"/>
      <c r="E5370" s="326"/>
      <c r="F5370" s="326"/>
      <c r="G5370" s="326"/>
      <c r="H5370" s="326"/>
      <c r="P5370" s="318"/>
      <c r="Q5370" s="318"/>
      <c r="R5370" s="318"/>
      <c r="S5370" s="318"/>
      <c r="T5370" s="318"/>
      <c r="U5370" s="318"/>
      <c r="V5370" s="318"/>
      <c r="W5370" s="318"/>
      <c r="X5370" s="318"/>
      <c r="Y5370" s="318"/>
      <c r="Z5370" s="318"/>
      <c r="AA5370" s="318"/>
      <c r="AB5370" s="318"/>
      <c r="AC5370" s="318"/>
      <c r="AD5370" s="318"/>
    </row>
    <row r="5371" spans="2:30" s="323" customFormat="1" ht="12" customHeight="1">
      <c r="B5371" s="324"/>
      <c r="C5371" s="325"/>
      <c r="D5371" s="326"/>
      <c r="E5371" s="326"/>
      <c r="F5371" s="326"/>
      <c r="G5371" s="326"/>
      <c r="H5371" s="326"/>
      <c r="P5371" s="318"/>
      <c r="Q5371" s="318"/>
      <c r="R5371" s="318"/>
      <c r="S5371" s="318"/>
      <c r="T5371" s="318"/>
      <c r="U5371" s="318"/>
      <c r="V5371" s="318"/>
      <c r="W5371" s="318"/>
      <c r="X5371" s="318"/>
      <c r="Y5371" s="318"/>
      <c r="Z5371" s="318"/>
      <c r="AA5371" s="318"/>
      <c r="AB5371" s="318"/>
      <c r="AC5371" s="318"/>
      <c r="AD5371" s="318"/>
    </row>
    <row r="5372" spans="2:30" s="323" customFormat="1" ht="12" customHeight="1">
      <c r="B5372" s="324"/>
      <c r="C5372" s="325"/>
      <c r="D5372" s="326"/>
      <c r="E5372" s="326"/>
      <c r="F5372" s="326"/>
      <c r="G5372" s="326"/>
      <c r="H5372" s="326"/>
      <c r="P5372" s="318"/>
      <c r="Q5372" s="318"/>
      <c r="R5372" s="318"/>
      <c r="S5372" s="318"/>
      <c r="T5372" s="318"/>
      <c r="U5372" s="318"/>
      <c r="V5372" s="318"/>
      <c r="W5372" s="318"/>
      <c r="X5372" s="318"/>
      <c r="Y5372" s="318"/>
      <c r="Z5372" s="318"/>
      <c r="AA5372" s="318"/>
      <c r="AB5372" s="318"/>
      <c r="AC5372" s="318"/>
      <c r="AD5372" s="318"/>
    </row>
    <row r="5373" spans="2:30" s="323" customFormat="1" ht="12" customHeight="1">
      <c r="B5373" s="324"/>
      <c r="C5373" s="325"/>
      <c r="D5373" s="326"/>
      <c r="E5373" s="326"/>
      <c r="F5373" s="326"/>
      <c r="G5373" s="326"/>
      <c r="H5373" s="326"/>
      <c r="P5373" s="318"/>
      <c r="Q5373" s="318"/>
      <c r="R5373" s="318"/>
      <c r="S5373" s="318"/>
      <c r="T5373" s="318"/>
      <c r="U5373" s="318"/>
      <c r="V5373" s="318"/>
      <c r="W5373" s="318"/>
      <c r="X5373" s="318"/>
      <c r="Y5373" s="318"/>
      <c r="Z5373" s="318"/>
      <c r="AA5373" s="318"/>
      <c r="AB5373" s="318"/>
      <c r="AC5373" s="318"/>
      <c r="AD5373" s="318"/>
    </row>
    <row r="5374" spans="2:30" s="323" customFormat="1" ht="12" customHeight="1">
      <c r="B5374" s="324"/>
      <c r="C5374" s="325"/>
      <c r="D5374" s="326"/>
      <c r="E5374" s="326"/>
      <c r="F5374" s="326"/>
      <c r="G5374" s="326"/>
      <c r="H5374" s="326"/>
      <c r="P5374" s="318"/>
      <c r="Q5374" s="318"/>
      <c r="R5374" s="318"/>
      <c r="S5374" s="318"/>
      <c r="T5374" s="318"/>
      <c r="U5374" s="318"/>
      <c r="V5374" s="318"/>
      <c r="W5374" s="318"/>
      <c r="X5374" s="318"/>
      <c r="Y5374" s="318"/>
      <c r="Z5374" s="318"/>
      <c r="AA5374" s="318"/>
      <c r="AB5374" s="318"/>
      <c r="AC5374" s="318"/>
      <c r="AD5374" s="318"/>
    </row>
    <row r="5375" spans="2:30" s="323" customFormat="1" ht="12" customHeight="1">
      <c r="B5375" s="324"/>
      <c r="C5375" s="325"/>
      <c r="D5375" s="326"/>
      <c r="E5375" s="326"/>
      <c r="F5375" s="326"/>
      <c r="G5375" s="326"/>
      <c r="H5375" s="326"/>
      <c r="P5375" s="318"/>
      <c r="Q5375" s="318"/>
      <c r="R5375" s="318"/>
      <c r="S5375" s="318"/>
      <c r="T5375" s="318"/>
      <c r="U5375" s="318"/>
      <c r="V5375" s="318"/>
      <c r="W5375" s="318"/>
      <c r="X5375" s="318"/>
      <c r="Y5375" s="318"/>
      <c r="Z5375" s="318"/>
      <c r="AA5375" s="318"/>
      <c r="AB5375" s="318"/>
      <c r="AC5375" s="318"/>
      <c r="AD5375" s="318"/>
    </row>
    <row r="5376" spans="2:30" s="323" customFormat="1" ht="12" customHeight="1">
      <c r="B5376" s="324"/>
      <c r="C5376" s="325"/>
      <c r="D5376" s="326"/>
      <c r="E5376" s="326"/>
      <c r="F5376" s="326"/>
      <c r="G5376" s="326"/>
      <c r="H5376" s="326"/>
      <c r="P5376" s="318"/>
      <c r="Q5376" s="318"/>
      <c r="R5376" s="318"/>
      <c r="S5376" s="318"/>
      <c r="T5376" s="318"/>
      <c r="U5376" s="318"/>
      <c r="V5376" s="318"/>
      <c r="W5376" s="318"/>
      <c r="X5376" s="318"/>
      <c r="Y5376" s="318"/>
      <c r="Z5376" s="318"/>
      <c r="AA5376" s="318"/>
      <c r="AB5376" s="318"/>
      <c r="AC5376" s="318"/>
      <c r="AD5376" s="318"/>
    </row>
    <row r="5377" spans="2:30" s="323" customFormat="1" ht="12" customHeight="1">
      <c r="B5377" s="324"/>
      <c r="C5377" s="325"/>
      <c r="D5377" s="326"/>
      <c r="E5377" s="326"/>
      <c r="F5377" s="326"/>
      <c r="G5377" s="326"/>
      <c r="H5377" s="326"/>
      <c r="P5377" s="318"/>
      <c r="Q5377" s="318"/>
      <c r="R5377" s="318"/>
      <c r="S5377" s="318"/>
      <c r="T5377" s="318"/>
      <c r="U5377" s="318"/>
      <c r="V5377" s="318"/>
      <c r="W5377" s="318"/>
      <c r="X5377" s="318"/>
      <c r="Y5377" s="318"/>
      <c r="Z5377" s="318"/>
      <c r="AA5377" s="318"/>
      <c r="AB5377" s="318"/>
      <c r="AC5377" s="318"/>
      <c r="AD5377" s="318"/>
    </row>
    <row r="5378" spans="2:30" s="323" customFormat="1" ht="12" customHeight="1">
      <c r="B5378" s="324"/>
      <c r="C5378" s="325"/>
      <c r="D5378" s="326"/>
      <c r="E5378" s="326"/>
      <c r="F5378" s="326"/>
      <c r="G5378" s="326"/>
      <c r="H5378" s="326"/>
      <c r="P5378" s="318"/>
      <c r="Q5378" s="318"/>
      <c r="R5378" s="318"/>
      <c r="S5378" s="318"/>
      <c r="T5378" s="318"/>
      <c r="U5378" s="318"/>
      <c r="V5378" s="318"/>
      <c r="W5378" s="318"/>
      <c r="X5378" s="318"/>
      <c r="Y5378" s="318"/>
      <c r="Z5378" s="318"/>
      <c r="AA5378" s="318"/>
      <c r="AB5378" s="318"/>
      <c r="AC5378" s="318"/>
      <c r="AD5378" s="318"/>
    </row>
    <row r="5379" spans="2:30" s="323" customFormat="1" ht="12" customHeight="1">
      <c r="B5379" s="324"/>
      <c r="C5379" s="325"/>
      <c r="D5379" s="326"/>
      <c r="E5379" s="326"/>
      <c r="F5379" s="326"/>
      <c r="G5379" s="326"/>
      <c r="H5379" s="326"/>
      <c r="P5379" s="318"/>
      <c r="Q5379" s="318"/>
      <c r="R5379" s="318"/>
      <c r="S5379" s="318"/>
      <c r="T5379" s="318"/>
      <c r="U5379" s="318"/>
      <c r="V5379" s="318"/>
      <c r="W5379" s="318"/>
      <c r="X5379" s="318"/>
      <c r="Y5379" s="318"/>
      <c r="Z5379" s="318"/>
      <c r="AA5379" s="318"/>
      <c r="AB5379" s="318"/>
      <c r="AC5379" s="318"/>
      <c r="AD5379" s="318"/>
    </row>
    <row r="5380" spans="2:30" s="323" customFormat="1" ht="12" customHeight="1">
      <c r="B5380" s="324"/>
      <c r="C5380" s="325"/>
      <c r="D5380" s="326"/>
      <c r="E5380" s="326"/>
      <c r="F5380" s="326"/>
      <c r="G5380" s="326"/>
      <c r="H5380" s="326"/>
      <c r="P5380" s="318"/>
      <c r="Q5380" s="318"/>
      <c r="R5380" s="318"/>
      <c r="S5380" s="318"/>
      <c r="T5380" s="318"/>
      <c r="U5380" s="318"/>
      <c r="V5380" s="318"/>
      <c r="W5380" s="318"/>
      <c r="X5380" s="318"/>
      <c r="Y5380" s="318"/>
      <c r="Z5380" s="318"/>
      <c r="AA5380" s="318"/>
      <c r="AB5380" s="318"/>
      <c r="AC5380" s="318"/>
      <c r="AD5380" s="318"/>
    </row>
    <row r="5381" spans="2:30" s="323" customFormat="1" ht="12" customHeight="1">
      <c r="B5381" s="324"/>
      <c r="C5381" s="325"/>
      <c r="D5381" s="326"/>
      <c r="E5381" s="326"/>
      <c r="F5381" s="326"/>
      <c r="G5381" s="326"/>
      <c r="H5381" s="326"/>
      <c r="P5381" s="318"/>
      <c r="Q5381" s="318"/>
      <c r="R5381" s="318"/>
      <c r="S5381" s="318"/>
      <c r="T5381" s="318"/>
      <c r="U5381" s="318"/>
      <c r="V5381" s="318"/>
      <c r="W5381" s="318"/>
      <c r="X5381" s="318"/>
      <c r="Y5381" s="318"/>
      <c r="Z5381" s="318"/>
      <c r="AA5381" s="318"/>
      <c r="AB5381" s="318"/>
      <c r="AC5381" s="318"/>
      <c r="AD5381" s="318"/>
    </row>
    <row r="5382" spans="2:30" s="323" customFormat="1" ht="12" customHeight="1">
      <c r="B5382" s="324"/>
      <c r="C5382" s="325"/>
      <c r="D5382" s="326"/>
      <c r="E5382" s="326"/>
      <c r="F5382" s="326"/>
      <c r="G5382" s="326"/>
      <c r="H5382" s="326"/>
      <c r="P5382" s="318"/>
      <c r="Q5382" s="318"/>
      <c r="R5382" s="318"/>
      <c r="S5382" s="318"/>
      <c r="T5382" s="318"/>
      <c r="U5382" s="318"/>
      <c r="V5382" s="318"/>
      <c r="W5382" s="318"/>
      <c r="X5382" s="318"/>
      <c r="Y5382" s="318"/>
      <c r="Z5382" s="318"/>
      <c r="AA5382" s="318"/>
      <c r="AB5382" s="318"/>
      <c r="AC5382" s="318"/>
      <c r="AD5382" s="318"/>
    </row>
    <row r="5383" spans="2:30" s="323" customFormat="1" ht="12" customHeight="1">
      <c r="B5383" s="324"/>
      <c r="C5383" s="325"/>
      <c r="D5383" s="326"/>
      <c r="E5383" s="326"/>
      <c r="F5383" s="326"/>
      <c r="G5383" s="326"/>
      <c r="H5383" s="326"/>
      <c r="P5383" s="318"/>
      <c r="Q5383" s="318"/>
      <c r="R5383" s="318"/>
      <c r="S5383" s="318"/>
      <c r="T5383" s="318"/>
      <c r="U5383" s="318"/>
      <c r="V5383" s="318"/>
      <c r="W5383" s="318"/>
      <c r="X5383" s="318"/>
      <c r="Y5383" s="318"/>
      <c r="Z5383" s="318"/>
      <c r="AA5383" s="318"/>
      <c r="AB5383" s="318"/>
      <c r="AC5383" s="318"/>
      <c r="AD5383" s="318"/>
    </row>
    <row r="5384" spans="2:30" s="323" customFormat="1" ht="12" customHeight="1">
      <c r="B5384" s="324"/>
      <c r="C5384" s="325"/>
      <c r="D5384" s="326"/>
      <c r="E5384" s="326"/>
      <c r="F5384" s="326"/>
      <c r="G5384" s="326"/>
      <c r="H5384" s="326"/>
      <c r="P5384" s="318"/>
      <c r="Q5384" s="318"/>
      <c r="R5384" s="318"/>
      <c r="S5384" s="318"/>
      <c r="T5384" s="318"/>
      <c r="U5384" s="318"/>
      <c r="V5384" s="318"/>
      <c r="W5384" s="318"/>
      <c r="X5384" s="318"/>
      <c r="Y5384" s="318"/>
      <c r="Z5384" s="318"/>
      <c r="AA5384" s="318"/>
      <c r="AB5384" s="318"/>
      <c r="AC5384" s="318"/>
      <c r="AD5384" s="318"/>
    </row>
    <row r="5385" spans="2:30" s="323" customFormat="1" ht="12" customHeight="1">
      <c r="B5385" s="324"/>
      <c r="C5385" s="325"/>
      <c r="D5385" s="326"/>
      <c r="E5385" s="326"/>
      <c r="F5385" s="326"/>
      <c r="G5385" s="326"/>
      <c r="H5385" s="326"/>
      <c r="P5385" s="318"/>
      <c r="Q5385" s="318"/>
      <c r="R5385" s="318"/>
      <c r="S5385" s="318"/>
      <c r="T5385" s="318"/>
      <c r="U5385" s="318"/>
      <c r="V5385" s="318"/>
      <c r="W5385" s="318"/>
      <c r="X5385" s="318"/>
      <c r="Y5385" s="318"/>
      <c r="Z5385" s="318"/>
      <c r="AA5385" s="318"/>
      <c r="AB5385" s="318"/>
      <c r="AC5385" s="318"/>
      <c r="AD5385" s="318"/>
    </row>
    <row r="5386" spans="2:30" s="323" customFormat="1" ht="12" customHeight="1">
      <c r="B5386" s="324"/>
      <c r="C5386" s="325"/>
      <c r="D5386" s="326"/>
      <c r="E5386" s="326"/>
      <c r="F5386" s="326"/>
      <c r="G5386" s="326"/>
      <c r="H5386" s="326"/>
      <c r="P5386" s="318"/>
      <c r="Q5386" s="318"/>
      <c r="R5386" s="318"/>
      <c r="S5386" s="318"/>
      <c r="T5386" s="318"/>
      <c r="U5386" s="318"/>
      <c r="V5386" s="318"/>
      <c r="W5386" s="318"/>
      <c r="X5386" s="318"/>
      <c r="Y5386" s="318"/>
      <c r="Z5386" s="318"/>
      <c r="AA5386" s="318"/>
      <c r="AB5386" s="318"/>
      <c r="AC5386" s="318"/>
      <c r="AD5386" s="318"/>
    </row>
    <row r="5387" spans="2:30" s="323" customFormat="1" ht="12" customHeight="1">
      <c r="B5387" s="324"/>
      <c r="C5387" s="325"/>
      <c r="D5387" s="326"/>
      <c r="E5387" s="326"/>
      <c r="F5387" s="326"/>
      <c r="G5387" s="326"/>
      <c r="H5387" s="326"/>
      <c r="P5387" s="318"/>
      <c r="Q5387" s="318"/>
      <c r="R5387" s="318"/>
      <c r="S5387" s="318"/>
      <c r="T5387" s="318"/>
      <c r="U5387" s="318"/>
      <c r="V5387" s="318"/>
      <c r="W5387" s="318"/>
      <c r="X5387" s="318"/>
      <c r="Y5387" s="318"/>
      <c r="Z5387" s="318"/>
      <c r="AA5387" s="318"/>
      <c r="AB5387" s="318"/>
      <c r="AC5387" s="318"/>
      <c r="AD5387" s="318"/>
    </row>
    <row r="5388" spans="2:30" s="323" customFormat="1" ht="12" customHeight="1">
      <c r="B5388" s="324"/>
      <c r="C5388" s="325"/>
      <c r="D5388" s="326"/>
      <c r="E5388" s="326"/>
      <c r="F5388" s="326"/>
      <c r="G5388" s="326"/>
      <c r="H5388" s="326"/>
      <c r="P5388" s="318"/>
      <c r="Q5388" s="318"/>
      <c r="R5388" s="318"/>
      <c r="S5388" s="318"/>
      <c r="T5388" s="318"/>
      <c r="U5388" s="318"/>
      <c r="V5388" s="318"/>
      <c r="W5388" s="318"/>
      <c r="X5388" s="318"/>
      <c r="Y5388" s="318"/>
      <c r="Z5388" s="318"/>
      <c r="AA5388" s="318"/>
      <c r="AB5388" s="318"/>
      <c r="AC5388" s="318"/>
      <c r="AD5388" s="318"/>
    </row>
    <row r="5389" spans="2:30" s="323" customFormat="1" ht="12" customHeight="1">
      <c r="B5389" s="324"/>
      <c r="C5389" s="325"/>
      <c r="D5389" s="326"/>
      <c r="E5389" s="326"/>
      <c r="F5389" s="326"/>
      <c r="G5389" s="326"/>
      <c r="H5389" s="326"/>
      <c r="P5389" s="318"/>
      <c r="Q5389" s="318"/>
      <c r="R5389" s="318"/>
      <c r="S5389" s="318"/>
      <c r="T5389" s="318"/>
      <c r="U5389" s="318"/>
      <c r="V5389" s="318"/>
      <c r="W5389" s="318"/>
      <c r="X5389" s="318"/>
      <c r="Y5389" s="318"/>
      <c r="Z5389" s="318"/>
      <c r="AA5389" s="318"/>
      <c r="AB5389" s="318"/>
      <c r="AC5389" s="318"/>
      <c r="AD5389" s="318"/>
    </row>
    <row r="5390" spans="2:30" s="323" customFormat="1" ht="12" customHeight="1">
      <c r="B5390" s="324"/>
      <c r="C5390" s="325"/>
      <c r="D5390" s="326"/>
      <c r="E5390" s="326"/>
      <c r="F5390" s="326"/>
      <c r="G5390" s="326"/>
      <c r="H5390" s="326"/>
      <c r="P5390" s="318"/>
      <c r="Q5390" s="318"/>
      <c r="R5390" s="318"/>
      <c r="S5390" s="318"/>
      <c r="T5390" s="318"/>
      <c r="U5390" s="318"/>
      <c r="V5390" s="318"/>
      <c r="W5390" s="318"/>
      <c r="X5390" s="318"/>
      <c r="Y5390" s="318"/>
      <c r="Z5390" s="318"/>
      <c r="AA5390" s="318"/>
      <c r="AB5390" s="318"/>
      <c r="AC5390" s="318"/>
      <c r="AD5390" s="318"/>
    </row>
    <row r="5391" spans="2:30" s="323" customFormat="1" ht="12" customHeight="1">
      <c r="B5391" s="324"/>
      <c r="C5391" s="325"/>
      <c r="D5391" s="326"/>
      <c r="E5391" s="326"/>
      <c r="F5391" s="326"/>
      <c r="G5391" s="326"/>
      <c r="H5391" s="326"/>
      <c r="P5391" s="318"/>
      <c r="Q5391" s="318"/>
      <c r="R5391" s="318"/>
      <c r="S5391" s="318"/>
      <c r="T5391" s="318"/>
      <c r="U5391" s="318"/>
      <c r="V5391" s="318"/>
      <c r="W5391" s="318"/>
      <c r="X5391" s="318"/>
      <c r="Y5391" s="318"/>
      <c r="Z5391" s="318"/>
      <c r="AA5391" s="318"/>
      <c r="AB5391" s="318"/>
      <c r="AC5391" s="318"/>
      <c r="AD5391" s="318"/>
    </row>
    <row r="5392" spans="2:30" s="323" customFormat="1" ht="12" customHeight="1">
      <c r="B5392" s="324"/>
      <c r="C5392" s="325"/>
      <c r="D5392" s="326"/>
      <c r="E5392" s="326"/>
      <c r="F5392" s="326"/>
      <c r="G5392" s="326"/>
      <c r="H5392" s="326"/>
      <c r="P5392" s="318"/>
      <c r="Q5392" s="318"/>
      <c r="R5392" s="318"/>
      <c r="S5392" s="318"/>
      <c r="T5392" s="318"/>
      <c r="U5392" s="318"/>
      <c r="V5392" s="318"/>
      <c r="W5392" s="318"/>
      <c r="X5392" s="318"/>
      <c r="Y5392" s="318"/>
      <c r="Z5392" s="318"/>
      <c r="AA5392" s="318"/>
      <c r="AB5392" s="318"/>
      <c r="AC5392" s="318"/>
      <c r="AD5392" s="318"/>
    </row>
    <row r="5393" spans="2:30" s="323" customFormat="1" ht="12" customHeight="1">
      <c r="B5393" s="324"/>
      <c r="C5393" s="325"/>
      <c r="D5393" s="326"/>
      <c r="E5393" s="326"/>
      <c r="F5393" s="326"/>
      <c r="G5393" s="326"/>
      <c r="H5393" s="326"/>
      <c r="P5393" s="318"/>
      <c r="Q5393" s="318"/>
      <c r="R5393" s="318"/>
      <c r="S5393" s="318"/>
      <c r="T5393" s="318"/>
      <c r="U5393" s="318"/>
      <c r="V5393" s="318"/>
      <c r="W5393" s="318"/>
      <c r="X5393" s="318"/>
      <c r="Y5393" s="318"/>
      <c r="Z5393" s="318"/>
      <c r="AA5393" s="318"/>
      <c r="AB5393" s="318"/>
      <c r="AC5393" s="318"/>
      <c r="AD5393" s="318"/>
    </row>
    <row r="5394" spans="2:30" s="323" customFormat="1" ht="12" customHeight="1">
      <c r="B5394" s="324"/>
      <c r="C5394" s="325"/>
      <c r="D5394" s="326"/>
      <c r="E5394" s="326"/>
      <c r="F5394" s="326"/>
      <c r="G5394" s="326"/>
      <c r="H5394" s="326"/>
      <c r="P5394" s="318"/>
      <c r="Q5394" s="318"/>
      <c r="R5394" s="318"/>
      <c r="S5394" s="318"/>
      <c r="T5394" s="318"/>
      <c r="U5394" s="318"/>
      <c r="V5394" s="318"/>
      <c r="W5394" s="318"/>
      <c r="X5394" s="318"/>
      <c r="Y5394" s="318"/>
      <c r="Z5394" s="318"/>
      <c r="AA5394" s="318"/>
      <c r="AB5394" s="318"/>
      <c r="AC5394" s="318"/>
      <c r="AD5394" s="318"/>
    </row>
    <row r="5395" spans="2:30" s="323" customFormat="1" ht="12" customHeight="1">
      <c r="B5395" s="324"/>
      <c r="C5395" s="325"/>
      <c r="D5395" s="326"/>
      <c r="E5395" s="326"/>
      <c r="F5395" s="326"/>
      <c r="G5395" s="326"/>
      <c r="H5395" s="326"/>
      <c r="P5395" s="318"/>
      <c r="Q5395" s="318"/>
      <c r="R5395" s="318"/>
      <c r="S5395" s="318"/>
      <c r="T5395" s="318"/>
      <c r="U5395" s="318"/>
      <c r="V5395" s="318"/>
      <c r="W5395" s="318"/>
      <c r="X5395" s="318"/>
      <c r="Y5395" s="318"/>
      <c r="Z5395" s="318"/>
      <c r="AA5395" s="318"/>
      <c r="AB5395" s="318"/>
      <c r="AC5395" s="318"/>
      <c r="AD5395" s="318"/>
    </row>
    <row r="5396" spans="2:30" s="323" customFormat="1" ht="12" customHeight="1">
      <c r="B5396" s="324"/>
      <c r="C5396" s="325"/>
      <c r="D5396" s="326"/>
      <c r="E5396" s="326"/>
      <c r="F5396" s="326"/>
      <c r="G5396" s="326"/>
      <c r="H5396" s="326"/>
      <c r="P5396" s="318"/>
      <c r="Q5396" s="318"/>
      <c r="R5396" s="318"/>
      <c r="S5396" s="318"/>
      <c r="T5396" s="318"/>
      <c r="U5396" s="318"/>
      <c r="V5396" s="318"/>
      <c r="W5396" s="318"/>
      <c r="X5396" s="318"/>
      <c r="Y5396" s="318"/>
      <c r="Z5396" s="318"/>
      <c r="AA5396" s="318"/>
      <c r="AB5396" s="318"/>
      <c r="AC5396" s="318"/>
      <c r="AD5396" s="318"/>
    </row>
    <row r="5397" spans="2:30" s="323" customFormat="1" ht="12" customHeight="1">
      <c r="B5397" s="324"/>
      <c r="C5397" s="325"/>
      <c r="D5397" s="326"/>
      <c r="E5397" s="326"/>
      <c r="F5397" s="326"/>
      <c r="G5397" s="326"/>
      <c r="H5397" s="326"/>
      <c r="P5397" s="318"/>
      <c r="Q5397" s="318"/>
      <c r="R5397" s="318"/>
      <c r="S5397" s="318"/>
      <c r="T5397" s="318"/>
      <c r="U5397" s="318"/>
      <c r="V5397" s="318"/>
      <c r="W5397" s="318"/>
      <c r="X5397" s="318"/>
      <c r="Y5397" s="318"/>
      <c r="Z5397" s="318"/>
      <c r="AA5397" s="318"/>
      <c r="AB5397" s="318"/>
      <c r="AC5397" s="318"/>
      <c r="AD5397" s="318"/>
    </row>
    <row r="5398" spans="2:30" s="323" customFormat="1" ht="12" customHeight="1">
      <c r="B5398" s="324"/>
      <c r="C5398" s="325"/>
      <c r="D5398" s="326"/>
      <c r="E5398" s="326"/>
      <c r="F5398" s="326"/>
      <c r="G5398" s="326"/>
      <c r="H5398" s="326"/>
      <c r="P5398" s="318"/>
      <c r="Q5398" s="318"/>
      <c r="R5398" s="318"/>
      <c r="S5398" s="318"/>
      <c r="T5398" s="318"/>
      <c r="U5398" s="318"/>
      <c r="V5398" s="318"/>
      <c r="W5398" s="318"/>
      <c r="X5398" s="318"/>
      <c r="Y5398" s="318"/>
      <c r="Z5398" s="318"/>
      <c r="AA5398" s="318"/>
      <c r="AB5398" s="318"/>
      <c r="AC5398" s="318"/>
      <c r="AD5398" s="318"/>
    </row>
    <row r="5399" spans="2:30" s="323" customFormat="1" ht="12" customHeight="1">
      <c r="B5399" s="324"/>
      <c r="C5399" s="325"/>
      <c r="D5399" s="326"/>
      <c r="E5399" s="326"/>
      <c r="F5399" s="326"/>
      <c r="G5399" s="326"/>
      <c r="H5399" s="326"/>
      <c r="P5399" s="318"/>
      <c r="Q5399" s="318"/>
      <c r="R5399" s="318"/>
      <c r="S5399" s="318"/>
      <c r="T5399" s="318"/>
      <c r="U5399" s="318"/>
      <c r="V5399" s="318"/>
      <c r="W5399" s="318"/>
      <c r="X5399" s="318"/>
      <c r="Y5399" s="318"/>
      <c r="Z5399" s="318"/>
      <c r="AA5399" s="318"/>
      <c r="AB5399" s="318"/>
      <c r="AC5399" s="318"/>
      <c r="AD5399" s="318"/>
    </row>
    <row r="5400" spans="2:30" s="323" customFormat="1" ht="12" customHeight="1">
      <c r="B5400" s="324"/>
      <c r="C5400" s="325"/>
      <c r="D5400" s="326"/>
      <c r="E5400" s="326"/>
      <c r="F5400" s="326"/>
      <c r="G5400" s="326"/>
      <c r="H5400" s="326"/>
      <c r="P5400" s="318"/>
      <c r="Q5400" s="318"/>
      <c r="R5400" s="318"/>
      <c r="S5400" s="318"/>
      <c r="T5400" s="318"/>
      <c r="U5400" s="318"/>
      <c r="V5400" s="318"/>
      <c r="W5400" s="318"/>
      <c r="X5400" s="318"/>
      <c r="Y5400" s="318"/>
      <c r="Z5400" s="318"/>
      <c r="AA5400" s="318"/>
      <c r="AB5400" s="318"/>
      <c r="AC5400" s="318"/>
      <c r="AD5400" s="318"/>
    </row>
    <row r="5401" spans="2:30" s="323" customFormat="1" ht="12" customHeight="1">
      <c r="B5401" s="324"/>
      <c r="C5401" s="325"/>
      <c r="D5401" s="326"/>
      <c r="E5401" s="326"/>
      <c r="F5401" s="326"/>
      <c r="G5401" s="326"/>
      <c r="H5401" s="326"/>
      <c r="P5401" s="318"/>
      <c r="Q5401" s="318"/>
      <c r="R5401" s="318"/>
      <c r="S5401" s="318"/>
      <c r="T5401" s="318"/>
      <c r="U5401" s="318"/>
      <c r="V5401" s="318"/>
      <c r="W5401" s="318"/>
      <c r="X5401" s="318"/>
      <c r="Y5401" s="318"/>
      <c r="Z5401" s="318"/>
      <c r="AA5401" s="318"/>
      <c r="AB5401" s="318"/>
      <c r="AC5401" s="318"/>
      <c r="AD5401" s="318"/>
    </row>
    <row r="5402" spans="2:30" s="323" customFormat="1" ht="12" customHeight="1">
      <c r="B5402" s="324"/>
      <c r="C5402" s="325"/>
      <c r="D5402" s="326"/>
      <c r="E5402" s="326"/>
      <c r="F5402" s="326"/>
      <c r="G5402" s="326"/>
      <c r="H5402" s="326"/>
      <c r="P5402" s="318"/>
      <c r="Q5402" s="318"/>
      <c r="R5402" s="318"/>
      <c r="S5402" s="318"/>
      <c r="T5402" s="318"/>
      <c r="U5402" s="318"/>
      <c r="V5402" s="318"/>
      <c r="W5402" s="318"/>
      <c r="X5402" s="318"/>
      <c r="Y5402" s="318"/>
      <c r="Z5402" s="318"/>
      <c r="AA5402" s="318"/>
      <c r="AB5402" s="318"/>
      <c r="AC5402" s="318"/>
      <c r="AD5402" s="318"/>
    </row>
    <row r="5403" spans="2:30" s="323" customFormat="1" ht="12" customHeight="1">
      <c r="B5403" s="324"/>
      <c r="C5403" s="325"/>
      <c r="D5403" s="326"/>
      <c r="E5403" s="326"/>
      <c r="F5403" s="326"/>
      <c r="G5403" s="326"/>
      <c r="H5403" s="326"/>
      <c r="P5403" s="318"/>
      <c r="Q5403" s="318"/>
      <c r="R5403" s="318"/>
      <c r="S5403" s="318"/>
      <c r="T5403" s="318"/>
      <c r="U5403" s="318"/>
      <c r="V5403" s="318"/>
      <c r="W5403" s="318"/>
      <c r="X5403" s="318"/>
      <c r="Y5403" s="318"/>
      <c r="Z5403" s="318"/>
      <c r="AA5403" s="318"/>
      <c r="AB5403" s="318"/>
      <c r="AC5403" s="318"/>
      <c r="AD5403" s="318"/>
    </row>
    <row r="5404" spans="2:30" s="323" customFormat="1" ht="12" customHeight="1">
      <c r="B5404" s="324"/>
      <c r="C5404" s="325"/>
      <c r="D5404" s="326"/>
      <c r="E5404" s="326"/>
      <c r="F5404" s="326"/>
      <c r="G5404" s="326"/>
      <c r="H5404" s="326"/>
      <c r="P5404" s="318"/>
      <c r="Q5404" s="318"/>
      <c r="R5404" s="318"/>
      <c r="S5404" s="318"/>
      <c r="T5404" s="318"/>
      <c r="U5404" s="318"/>
      <c r="V5404" s="318"/>
      <c r="W5404" s="318"/>
      <c r="X5404" s="318"/>
      <c r="Y5404" s="318"/>
      <c r="Z5404" s="318"/>
      <c r="AA5404" s="318"/>
      <c r="AB5404" s="318"/>
      <c r="AC5404" s="318"/>
      <c r="AD5404" s="318"/>
    </row>
    <row r="5405" spans="2:30" s="323" customFormat="1" ht="12" customHeight="1">
      <c r="B5405" s="324"/>
      <c r="C5405" s="325"/>
      <c r="D5405" s="326"/>
      <c r="E5405" s="326"/>
      <c r="F5405" s="326"/>
      <c r="G5405" s="326"/>
      <c r="H5405" s="326"/>
      <c r="P5405" s="318"/>
      <c r="Q5405" s="318"/>
      <c r="R5405" s="318"/>
      <c r="S5405" s="318"/>
      <c r="T5405" s="318"/>
      <c r="U5405" s="318"/>
      <c r="V5405" s="318"/>
      <c r="W5405" s="318"/>
      <c r="X5405" s="318"/>
      <c r="Y5405" s="318"/>
      <c r="Z5405" s="318"/>
      <c r="AA5405" s="318"/>
      <c r="AB5405" s="318"/>
      <c r="AC5405" s="318"/>
      <c r="AD5405" s="318"/>
    </row>
    <row r="5406" spans="2:30" s="323" customFormat="1" ht="12" customHeight="1">
      <c r="B5406" s="324"/>
      <c r="C5406" s="325"/>
      <c r="D5406" s="326"/>
      <c r="E5406" s="326"/>
      <c r="F5406" s="326"/>
      <c r="G5406" s="326"/>
      <c r="H5406" s="326"/>
      <c r="P5406" s="318"/>
      <c r="Q5406" s="318"/>
      <c r="R5406" s="318"/>
      <c r="S5406" s="318"/>
      <c r="T5406" s="318"/>
      <c r="U5406" s="318"/>
      <c r="V5406" s="318"/>
      <c r="W5406" s="318"/>
      <c r="X5406" s="318"/>
      <c r="Y5406" s="318"/>
      <c r="Z5406" s="318"/>
      <c r="AA5406" s="318"/>
      <c r="AB5406" s="318"/>
      <c r="AC5406" s="318"/>
      <c r="AD5406" s="318"/>
    </row>
    <row r="5407" spans="2:30" s="323" customFormat="1" ht="12" customHeight="1">
      <c r="B5407" s="324"/>
      <c r="C5407" s="325"/>
      <c r="D5407" s="326"/>
      <c r="E5407" s="326"/>
      <c r="F5407" s="326"/>
      <c r="G5407" s="326"/>
      <c r="H5407" s="326"/>
      <c r="P5407" s="318"/>
      <c r="Q5407" s="318"/>
      <c r="R5407" s="318"/>
      <c r="S5407" s="318"/>
      <c r="T5407" s="318"/>
      <c r="U5407" s="318"/>
      <c r="V5407" s="318"/>
      <c r="W5407" s="318"/>
      <c r="X5407" s="318"/>
      <c r="Y5407" s="318"/>
      <c r="Z5407" s="318"/>
      <c r="AA5407" s="318"/>
      <c r="AB5407" s="318"/>
      <c r="AC5407" s="318"/>
      <c r="AD5407" s="318"/>
    </row>
    <row r="5408" spans="2:30" s="323" customFormat="1" ht="12" customHeight="1">
      <c r="B5408" s="324"/>
      <c r="C5408" s="325"/>
      <c r="D5408" s="326"/>
      <c r="E5408" s="326"/>
      <c r="F5408" s="326"/>
      <c r="G5408" s="326"/>
      <c r="H5408" s="326"/>
      <c r="P5408" s="318"/>
      <c r="Q5408" s="318"/>
      <c r="R5408" s="318"/>
      <c r="S5408" s="318"/>
      <c r="T5408" s="318"/>
      <c r="U5408" s="318"/>
      <c r="V5408" s="318"/>
      <c r="W5408" s="318"/>
      <c r="X5408" s="318"/>
      <c r="Y5408" s="318"/>
      <c r="Z5408" s="318"/>
      <c r="AA5408" s="318"/>
      <c r="AB5408" s="318"/>
      <c r="AC5408" s="318"/>
      <c r="AD5408" s="318"/>
    </row>
    <row r="5409" spans="2:30" s="323" customFormat="1" ht="12" customHeight="1">
      <c r="B5409" s="324"/>
      <c r="C5409" s="325"/>
      <c r="D5409" s="326"/>
      <c r="E5409" s="326"/>
      <c r="F5409" s="326"/>
      <c r="G5409" s="326"/>
      <c r="H5409" s="326"/>
      <c r="P5409" s="318"/>
      <c r="Q5409" s="318"/>
      <c r="R5409" s="318"/>
      <c r="S5409" s="318"/>
      <c r="T5409" s="318"/>
      <c r="U5409" s="318"/>
      <c r="V5409" s="318"/>
      <c r="W5409" s="318"/>
      <c r="X5409" s="318"/>
      <c r="Y5409" s="318"/>
      <c r="Z5409" s="318"/>
      <c r="AA5409" s="318"/>
      <c r="AB5409" s="318"/>
      <c r="AC5409" s="318"/>
      <c r="AD5409" s="318"/>
    </row>
    <row r="5410" spans="2:30" s="323" customFormat="1" ht="12" customHeight="1">
      <c r="B5410" s="324"/>
      <c r="C5410" s="325"/>
      <c r="D5410" s="326"/>
      <c r="E5410" s="326"/>
      <c r="F5410" s="326"/>
      <c r="G5410" s="326"/>
      <c r="H5410" s="326"/>
      <c r="P5410" s="318"/>
      <c r="Q5410" s="318"/>
      <c r="R5410" s="318"/>
      <c r="S5410" s="318"/>
      <c r="T5410" s="318"/>
      <c r="U5410" s="318"/>
      <c r="V5410" s="318"/>
      <c r="W5410" s="318"/>
      <c r="X5410" s="318"/>
      <c r="Y5410" s="318"/>
      <c r="Z5410" s="318"/>
      <c r="AA5410" s="318"/>
      <c r="AB5410" s="318"/>
      <c r="AC5410" s="318"/>
      <c r="AD5410" s="318"/>
    </row>
    <row r="5411" spans="2:30" s="323" customFormat="1" ht="12" customHeight="1">
      <c r="B5411" s="324"/>
      <c r="C5411" s="325"/>
      <c r="D5411" s="326"/>
      <c r="E5411" s="326"/>
      <c r="F5411" s="326"/>
      <c r="G5411" s="326"/>
      <c r="H5411" s="326"/>
      <c r="P5411" s="318"/>
      <c r="Q5411" s="318"/>
      <c r="R5411" s="318"/>
      <c r="S5411" s="318"/>
      <c r="T5411" s="318"/>
      <c r="U5411" s="318"/>
      <c r="V5411" s="318"/>
      <c r="W5411" s="318"/>
      <c r="X5411" s="318"/>
      <c r="Y5411" s="318"/>
      <c r="Z5411" s="318"/>
      <c r="AA5411" s="318"/>
      <c r="AB5411" s="318"/>
      <c r="AC5411" s="318"/>
      <c r="AD5411" s="318"/>
    </row>
    <row r="5412" spans="2:30" s="323" customFormat="1" ht="12" customHeight="1">
      <c r="B5412" s="324"/>
      <c r="C5412" s="325"/>
      <c r="D5412" s="326"/>
      <c r="E5412" s="326"/>
      <c r="F5412" s="326"/>
      <c r="G5412" s="326"/>
      <c r="H5412" s="326"/>
      <c r="P5412" s="318"/>
      <c r="Q5412" s="318"/>
      <c r="R5412" s="318"/>
      <c r="S5412" s="318"/>
      <c r="T5412" s="318"/>
      <c r="U5412" s="318"/>
      <c r="V5412" s="318"/>
      <c r="W5412" s="318"/>
      <c r="X5412" s="318"/>
      <c r="Y5412" s="318"/>
      <c r="Z5412" s="318"/>
      <c r="AA5412" s="318"/>
      <c r="AB5412" s="318"/>
      <c r="AC5412" s="318"/>
      <c r="AD5412" s="318"/>
    </row>
    <row r="5413" spans="2:30" s="323" customFormat="1" ht="12" customHeight="1">
      <c r="B5413" s="324"/>
      <c r="C5413" s="325"/>
      <c r="D5413" s="326"/>
      <c r="E5413" s="326"/>
      <c r="F5413" s="326"/>
      <c r="G5413" s="326"/>
      <c r="H5413" s="326"/>
      <c r="P5413" s="318"/>
      <c r="Q5413" s="318"/>
      <c r="R5413" s="318"/>
      <c r="S5413" s="318"/>
      <c r="T5413" s="318"/>
      <c r="U5413" s="318"/>
      <c r="V5413" s="318"/>
      <c r="W5413" s="318"/>
      <c r="X5413" s="318"/>
      <c r="Y5413" s="318"/>
      <c r="Z5413" s="318"/>
      <c r="AA5413" s="318"/>
      <c r="AB5413" s="318"/>
      <c r="AC5413" s="318"/>
      <c r="AD5413" s="318"/>
    </row>
    <row r="5414" spans="2:30" s="323" customFormat="1" ht="12" customHeight="1">
      <c r="B5414" s="324"/>
      <c r="C5414" s="325"/>
      <c r="D5414" s="326"/>
      <c r="E5414" s="326"/>
      <c r="F5414" s="326"/>
      <c r="G5414" s="326"/>
      <c r="H5414" s="326"/>
      <c r="P5414" s="318"/>
      <c r="Q5414" s="318"/>
      <c r="R5414" s="318"/>
      <c r="S5414" s="318"/>
      <c r="T5414" s="318"/>
      <c r="U5414" s="318"/>
      <c r="V5414" s="318"/>
      <c r="W5414" s="318"/>
      <c r="X5414" s="318"/>
      <c r="Y5414" s="318"/>
      <c r="Z5414" s="318"/>
      <c r="AA5414" s="318"/>
      <c r="AB5414" s="318"/>
      <c r="AC5414" s="318"/>
      <c r="AD5414" s="318"/>
    </row>
    <row r="5415" spans="2:30" s="323" customFormat="1" ht="12" customHeight="1">
      <c r="B5415" s="324"/>
      <c r="C5415" s="325"/>
      <c r="D5415" s="326"/>
      <c r="E5415" s="326"/>
      <c r="F5415" s="326"/>
      <c r="G5415" s="326"/>
      <c r="H5415" s="326"/>
      <c r="P5415" s="318"/>
      <c r="Q5415" s="318"/>
      <c r="R5415" s="318"/>
      <c r="S5415" s="318"/>
      <c r="T5415" s="318"/>
      <c r="U5415" s="318"/>
      <c r="V5415" s="318"/>
      <c r="W5415" s="318"/>
      <c r="X5415" s="318"/>
      <c r="Y5415" s="318"/>
      <c r="Z5415" s="318"/>
      <c r="AA5415" s="318"/>
      <c r="AB5415" s="318"/>
      <c r="AC5415" s="318"/>
      <c r="AD5415" s="318"/>
    </row>
    <row r="5416" spans="2:30" s="323" customFormat="1" ht="12" customHeight="1">
      <c r="B5416" s="324"/>
      <c r="C5416" s="325"/>
      <c r="D5416" s="326"/>
      <c r="E5416" s="326"/>
      <c r="F5416" s="326"/>
      <c r="G5416" s="326"/>
      <c r="H5416" s="326"/>
      <c r="P5416" s="318"/>
      <c r="Q5416" s="318"/>
      <c r="R5416" s="318"/>
      <c r="S5416" s="318"/>
      <c r="T5416" s="318"/>
      <c r="U5416" s="318"/>
      <c r="V5416" s="318"/>
      <c r="W5416" s="318"/>
      <c r="X5416" s="318"/>
      <c r="Y5416" s="318"/>
      <c r="Z5416" s="318"/>
      <c r="AA5416" s="318"/>
      <c r="AB5416" s="318"/>
      <c r="AC5416" s="318"/>
      <c r="AD5416" s="318"/>
    </row>
    <row r="5417" spans="2:30" s="323" customFormat="1" ht="12" customHeight="1">
      <c r="B5417" s="324"/>
      <c r="C5417" s="325"/>
      <c r="D5417" s="326"/>
      <c r="E5417" s="326"/>
      <c r="F5417" s="326"/>
      <c r="G5417" s="326"/>
      <c r="H5417" s="326"/>
      <c r="P5417" s="318"/>
      <c r="Q5417" s="318"/>
      <c r="R5417" s="318"/>
      <c r="S5417" s="318"/>
      <c r="T5417" s="318"/>
      <c r="U5417" s="318"/>
      <c r="V5417" s="318"/>
      <c r="W5417" s="318"/>
      <c r="X5417" s="318"/>
      <c r="Y5417" s="318"/>
      <c r="Z5417" s="318"/>
      <c r="AA5417" s="318"/>
      <c r="AB5417" s="318"/>
      <c r="AC5417" s="318"/>
      <c r="AD5417" s="318"/>
    </row>
    <row r="5418" spans="2:30" s="323" customFormat="1" ht="12" customHeight="1">
      <c r="B5418" s="324"/>
      <c r="C5418" s="325"/>
      <c r="D5418" s="326"/>
      <c r="E5418" s="326"/>
      <c r="F5418" s="326"/>
      <c r="G5418" s="326"/>
      <c r="H5418" s="326"/>
      <c r="P5418" s="318"/>
      <c r="Q5418" s="318"/>
      <c r="R5418" s="318"/>
      <c r="S5418" s="318"/>
      <c r="T5418" s="318"/>
      <c r="U5418" s="318"/>
      <c r="V5418" s="318"/>
      <c r="W5418" s="318"/>
      <c r="X5418" s="318"/>
      <c r="Y5418" s="318"/>
      <c r="Z5418" s="318"/>
      <c r="AA5418" s="318"/>
      <c r="AB5418" s="318"/>
      <c r="AC5418" s="318"/>
      <c r="AD5418" s="318"/>
    </row>
    <row r="5419" spans="2:30" s="323" customFormat="1" ht="12" customHeight="1">
      <c r="B5419" s="324"/>
      <c r="C5419" s="325"/>
      <c r="D5419" s="326"/>
      <c r="E5419" s="326"/>
      <c r="F5419" s="326"/>
      <c r="G5419" s="326"/>
      <c r="H5419" s="326"/>
      <c r="P5419" s="318"/>
      <c r="Q5419" s="318"/>
      <c r="R5419" s="318"/>
      <c r="S5419" s="318"/>
      <c r="T5419" s="318"/>
      <c r="U5419" s="318"/>
      <c r="V5419" s="318"/>
      <c r="W5419" s="318"/>
      <c r="X5419" s="318"/>
      <c r="Y5419" s="318"/>
      <c r="Z5419" s="318"/>
      <c r="AA5419" s="318"/>
      <c r="AB5419" s="318"/>
      <c r="AC5419" s="318"/>
      <c r="AD5419" s="318"/>
    </row>
    <row r="5420" spans="2:30" s="323" customFormat="1" ht="12" customHeight="1">
      <c r="B5420" s="324"/>
      <c r="C5420" s="325"/>
      <c r="D5420" s="326"/>
      <c r="E5420" s="326"/>
      <c r="F5420" s="326"/>
      <c r="G5420" s="326"/>
      <c r="H5420" s="326"/>
      <c r="P5420" s="318"/>
      <c r="Q5420" s="318"/>
      <c r="R5420" s="318"/>
      <c r="S5420" s="318"/>
      <c r="T5420" s="318"/>
      <c r="U5420" s="318"/>
      <c r="V5420" s="318"/>
      <c r="W5420" s="318"/>
      <c r="X5420" s="318"/>
      <c r="Y5420" s="318"/>
      <c r="Z5420" s="318"/>
      <c r="AA5420" s="318"/>
      <c r="AB5420" s="318"/>
      <c r="AC5420" s="318"/>
      <c r="AD5420" s="318"/>
    </row>
    <row r="5421" spans="2:30" s="323" customFormat="1" ht="12" customHeight="1">
      <c r="B5421" s="324"/>
      <c r="C5421" s="325"/>
      <c r="D5421" s="326"/>
      <c r="E5421" s="326"/>
      <c r="F5421" s="326"/>
      <c r="G5421" s="326"/>
      <c r="H5421" s="326"/>
      <c r="P5421" s="318"/>
      <c r="Q5421" s="318"/>
      <c r="R5421" s="318"/>
      <c r="S5421" s="318"/>
      <c r="T5421" s="318"/>
      <c r="U5421" s="318"/>
      <c r="V5421" s="318"/>
      <c r="W5421" s="318"/>
      <c r="X5421" s="318"/>
      <c r="Y5421" s="318"/>
      <c r="Z5421" s="318"/>
      <c r="AA5421" s="318"/>
      <c r="AB5421" s="318"/>
      <c r="AC5421" s="318"/>
      <c r="AD5421" s="318"/>
    </row>
    <row r="5422" spans="2:30" s="323" customFormat="1" ht="12" customHeight="1">
      <c r="B5422" s="324"/>
      <c r="C5422" s="325"/>
      <c r="D5422" s="326"/>
      <c r="E5422" s="326"/>
      <c r="F5422" s="326"/>
      <c r="G5422" s="326"/>
      <c r="H5422" s="326"/>
      <c r="P5422" s="318"/>
      <c r="Q5422" s="318"/>
      <c r="R5422" s="318"/>
      <c r="S5422" s="318"/>
      <c r="T5422" s="318"/>
      <c r="U5422" s="318"/>
      <c r="V5422" s="318"/>
      <c r="W5422" s="318"/>
      <c r="X5422" s="318"/>
      <c r="Y5422" s="318"/>
      <c r="Z5422" s="318"/>
      <c r="AA5422" s="318"/>
      <c r="AB5422" s="318"/>
      <c r="AC5422" s="318"/>
      <c r="AD5422" s="318"/>
    </row>
    <row r="5423" spans="2:30" s="323" customFormat="1" ht="12" customHeight="1">
      <c r="B5423" s="324"/>
      <c r="C5423" s="325"/>
      <c r="D5423" s="326"/>
      <c r="E5423" s="326"/>
      <c r="F5423" s="326"/>
      <c r="G5423" s="326"/>
      <c r="H5423" s="326"/>
      <c r="P5423" s="318"/>
      <c r="Q5423" s="318"/>
      <c r="R5423" s="318"/>
      <c r="S5423" s="318"/>
      <c r="T5423" s="318"/>
      <c r="U5423" s="318"/>
      <c r="V5423" s="318"/>
      <c r="W5423" s="318"/>
      <c r="X5423" s="318"/>
      <c r="Y5423" s="318"/>
      <c r="Z5423" s="318"/>
      <c r="AA5423" s="318"/>
      <c r="AB5423" s="318"/>
      <c r="AC5423" s="318"/>
      <c r="AD5423" s="318"/>
    </row>
    <row r="5424" spans="2:30" s="323" customFormat="1" ht="12" customHeight="1">
      <c r="B5424" s="324"/>
      <c r="C5424" s="325"/>
      <c r="D5424" s="326"/>
      <c r="E5424" s="326"/>
      <c r="F5424" s="326"/>
      <c r="G5424" s="326"/>
      <c r="H5424" s="326"/>
      <c r="P5424" s="318"/>
      <c r="Q5424" s="318"/>
      <c r="R5424" s="318"/>
      <c r="S5424" s="318"/>
      <c r="T5424" s="318"/>
      <c r="U5424" s="318"/>
      <c r="V5424" s="318"/>
      <c r="W5424" s="318"/>
      <c r="X5424" s="318"/>
      <c r="Y5424" s="318"/>
      <c r="Z5424" s="318"/>
      <c r="AA5424" s="318"/>
      <c r="AB5424" s="318"/>
      <c r="AC5424" s="318"/>
      <c r="AD5424" s="318"/>
    </row>
    <row r="5425" spans="2:30" s="323" customFormat="1" ht="12" customHeight="1">
      <c r="B5425" s="324"/>
      <c r="C5425" s="325"/>
      <c r="D5425" s="326"/>
      <c r="E5425" s="326"/>
      <c r="F5425" s="326"/>
      <c r="G5425" s="326"/>
      <c r="H5425" s="326"/>
      <c r="P5425" s="318"/>
      <c r="Q5425" s="318"/>
      <c r="R5425" s="318"/>
      <c r="S5425" s="318"/>
      <c r="T5425" s="318"/>
      <c r="U5425" s="318"/>
      <c r="V5425" s="318"/>
      <c r="W5425" s="318"/>
      <c r="X5425" s="318"/>
      <c r="Y5425" s="318"/>
      <c r="Z5425" s="318"/>
      <c r="AA5425" s="318"/>
      <c r="AB5425" s="318"/>
      <c r="AC5425" s="318"/>
      <c r="AD5425" s="318"/>
    </row>
    <row r="5426" spans="2:30" s="323" customFormat="1" ht="12" customHeight="1">
      <c r="B5426" s="324"/>
      <c r="C5426" s="325"/>
      <c r="D5426" s="326"/>
      <c r="E5426" s="326"/>
      <c r="F5426" s="326"/>
      <c r="G5426" s="326"/>
      <c r="H5426" s="326"/>
      <c r="P5426" s="318"/>
      <c r="Q5426" s="318"/>
      <c r="R5426" s="318"/>
      <c r="S5426" s="318"/>
      <c r="T5426" s="318"/>
      <c r="U5426" s="318"/>
      <c r="V5426" s="318"/>
      <c r="W5426" s="318"/>
      <c r="X5426" s="318"/>
      <c r="Y5426" s="318"/>
      <c r="Z5426" s="318"/>
      <c r="AA5426" s="318"/>
      <c r="AB5426" s="318"/>
      <c r="AC5426" s="318"/>
      <c r="AD5426" s="318"/>
    </row>
    <row r="5427" spans="2:30" s="323" customFormat="1" ht="12" customHeight="1">
      <c r="B5427" s="324"/>
      <c r="C5427" s="325"/>
      <c r="D5427" s="326"/>
      <c r="E5427" s="326"/>
      <c r="F5427" s="326"/>
      <c r="G5427" s="326"/>
      <c r="H5427" s="326"/>
      <c r="P5427" s="318"/>
      <c r="Q5427" s="318"/>
      <c r="R5427" s="318"/>
      <c r="S5427" s="318"/>
      <c r="T5427" s="318"/>
      <c r="U5427" s="318"/>
      <c r="V5427" s="318"/>
      <c r="W5427" s="318"/>
      <c r="X5427" s="318"/>
      <c r="Y5427" s="318"/>
      <c r="Z5427" s="318"/>
      <c r="AA5427" s="318"/>
      <c r="AB5427" s="318"/>
      <c r="AC5427" s="318"/>
      <c r="AD5427" s="318"/>
    </row>
    <row r="5428" spans="2:30" s="323" customFormat="1" ht="12" customHeight="1">
      <c r="B5428" s="324"/>
      <c r="C5428" s="325"/>
      <c r="D5428" s="326"/>
      <c r="E5428" s="326"/>
      <c r="F5428" s="326"/>
      <c r="G5428" s="326"/>
      <c r="H5428" s="326"/>
      <c r="P5428" s="318"/>
      <c r="Q5428" s="318"/>
      <c r="R5428" s="318"/>
      <c r="S5428" s="318"/>
      <c r="T5428" s="318"/>
      <c r="U5428" s="318"/>
      <c r="V5428" s="318"/>
      <c r="W5428" s="318"/>
      <c r="X5428" s="318"/>
      <c r="Y5428" s="318"/>
      <c r="Z5428" s="318"/>
      <c r="AA5428" s="318"/>
      <c r="AB5428" s="318"/>
      <c r="AC5428" s="318"/>
      <c r="AD5428" s="318"/>
    </row>
    <row r="5429" spans="2:30" s="323" customFormat="1" ht="12" customHeight="1">
      <c r="B5429" s="324"/>
      <c r="C5429" s="325"/>
      <c r="D5429" s="326"/>
      <c r="E5429" s="326"/>
      <c r="F5429" s="326"/>
      <c r="G5429" s="326"/>
      <c r="H5429" s="326"/>
      <c r="P5429" s="318"/>
      <c r="Q5429" s="318"/>
      <c r="R5429" s="318"/>
      <c r="S5429" s="318"/>
      <c r="T5429" s="318"/>
      <c r="U5429" s="318"/>
      <c r="V5429" s="318"/>
      <c r="W5429" s="318"/>
      <c r="X5429" s="318"/>
      <c r="Y5429" s="318"/>
      <c r="Z5429" s="318"/>
      <c r="AA5429" s="318"/>
      <c r="AB5429" s="318"/>
      <c r="AC5429" s="318"/>
      <c r="AD5429" s="318"/>
    </row>
    <row r="5430" spans="2:30" s="323" customFormat="1" ht="12" customHeight="1">
      <c r="B5430" s="324"/>
      <c r="C5430" s="325"/>
      <c r="D5430" s="326"/>
      <c r="E5430" s="326"/>
      <c r="F5430" s="326"/>
      <c r="G5430" s="326"/>
      <c r="H5430" s="326"/>
      <c r="P5430" s="318"/>
      <c r="Q5430" s="318"/>
      <c r="R5430" s="318"/>
      <c r="S5430" s="318"/>
      <c r="T5430" s="318"/>
      <c r="U5430" s="318"/>
      <c r="V5430" s="318"/>
      <c r="W5430" s="318"/>
      <c r="X5430" s="318"/>
      <c r="Y5430" s="318"/>
      <c r="Z5430" s="318"/>
      <c r="AA5430" s="318"/>
      <c r="AB5430" s="318"/>
      <c r="AC5430" s="318"/>
      <c r="AD5430" s="318"/>
    </row>
    <row r="5431" spans="2:30" s="323" customFormat="1" ht="12" customHeight="1">
      <c r="B5431" s="324"/>
      <c r="C5431" s="325"/>
      <c r="D5431" s="326"/>
      <c r="E5431" s="326"/>
      <c r="F5431" s="326"/>
      <c r="G5431" s="326"/>
      <c r="H5431" s="326"/>
      <c r="P5431" s="318"/>
      <c r="Q5431" s="318"/>
      <c r="R5431" s="318"/>
      <c r="S5431" s="318"/>
      <c r="T5431" s="318"/>
      <c r="U5431" s="318"/>
      <c r="V5431" s="318"/>
      <c r="W5431" s="318"/>
      <c r="X5431" s="318"/>
      <c r="Y5431" s="318"/>
      <c r="Z5431" s="318"/>
      <c r="AA5431" s="318"/>
      <c r="AB5431" s="318"/>
      <c r="AC5431" s="318"/>
      <c r="AD5431" s="318"/>
    </row>
    <row r="5432" spans="2:30" s="323" customFormat="1" ht="12" customHeight="1">
      <c r="B5432" s="324"/>
      <c r="C5432" s="325"/>
      <c r="D5432" s="326"/>
      <c r="E5432" s="326"/>
      <c r="F5432" s="326"/>
      <c r="G5432" s="326"/>
      <c r="H5432" s="326"/>
      <c r="P5432" s="318"/>
      <c r="Q5432" s="318"/>
      <c r="R5432" s="318"/>
      <c r="S5432" s="318"/>
      <c r="T5432" s="318"/>
      <c r="U5432" s="318"/>
      <c r="V5432" s="318"/>
      <c r="W5432" s="318"/>
      <c r="X5432" s="318"/>
      <c r="Y5432" s="318"/>
      <c r="Z5432" s="318"/>
      <c r="AA5432" s="318"/>
      <c r="AB5432" s="318"/>
      <c r="AC5432" s="318"/>
      <c r="AD5432" s="318"/>
    </row>
    <row r="5433" spans="2:30" s="323" customFormat="1" ht="12" customHeight="1">
      <c r="B5433" s="324"/>
      <c r="C5433" s="325"/>
      <c r="D5433" s="326"/>
      <c r="E5433" s="326"/>
      <c r="F5433" s="326"/>
      <c r="G5433" s="326"/>
      <c r="H5433" s="326"/>
      <c r="P5433" s="318"/>
      <c r="Q5433" s="318"/>
      <c r="R5433" s="318"/>
      <c r="S5433" s="318"/>
      <c r="T5433" s="318"/>
      <c r="U5433" s="318"/>
      <c r="V5433" s="318"/>
      <c r="W5433" s="318"/>
      <c r="X5433" s="318"/>
      <c r="Y5433" s="318"/>
      <c r="Z5433" s="318"/>
      <c r="AA5433" s="318"/>
      <c r="AB5433" s="318"/>
      <c r="AC5433" s="318"/>
      <c r="AD5433" s="318"/>
    </row>
    <row r="5434" spans="2:30" s="323" customFormat="1" ht="12" customHeight="1">
      <c r="B5434" s="324"/>
      <c r="C5434" s="325"/>
      <c r="D5434" s="326"/>
      <c r="E5434" s="326"/>
      <c r="F5434" s="326"/>
      <c r="G5434" s="326"/>
      <c r="H5434" s="326"/>
      <c r="P5434" s="318"/>
      <c r="Q5434" s="318"/>
      <c r="R5434" s="318"/>
      <c r="S5434" s="318"/>
      <c r="T5434" s="318"/>
      <c r="U5434" s="318"/>
      <c r="V5434" s="318"/>
      <c r="W5434" s="318"/>
      <c r="X5434" s="318"/>
      <c r="Y5434" s="318"/>
      <c r="Z5434" s="318"/>
      <c r="AA5434" s="318"/>
      <c r="AB5434" s="318"/>
      <c r="AC5434" s="318"/>
      <c r="AD5434" s="318"/>
    </row>
    <row r="5435" spans="2:30" s="323" customFormat="1" ht="12" customHeight="1">
      <c r="B5435" s="324"/>
      <c r="C5435" s="325"/>
      <c r="D5435" s="326"/>
      <c r="E5435" s="326"/>
      <c r="F5435" s="326"/>
      <c r="G5435" s="326"/>
      <c r="H5435" s="326"/>
      <c r="P5435" s="318"/>
      <c r="Q5435" s="318"/>
      <c r="R5435" s="318"/>
      <c r="S5435" s="318"/>
      <c r="T5435" s="318"/>
      <c r="U5435" s="318"/>
      <c r="V5435" s="318"/>
      <c r="W5435" s="318"/>
      <c r="X5435" s="318"/>
      <c r="Y5435" s="318"/>
      <c r="Z5435" s="318"/>
      <c r="AA5435" s="318"/>
      <c r="AB5435" s="318"/>
      <c r="AC5435" s="318"/>
      <c r="AD5435" s="318"/>
    </row>
    <row r="5436" spans="2:30" s="323" customFormat="1" ht="12" customHeight="1">
      <c r="B5436" s="324"/>
      <c r="C5436" s="325"/>
      <c r="D5436" s="326"/>
      <c r="E5436" s="326"/>
      <c r="F5436" s="326"/>
      <c r="G5436" s="326"/>
      <c r="H5436" s="326"/>
      <c r="P5436" s="318"/>
      <c r="Q5436" s="318"/>
      <c r="R5436" s="318"/>
      <c r="S5436" s="318"/>
      <c r="T5436" s="318"/>
      <c r="U5436" s="318"/>
      <c r="V5436" s="318"/>
      <c r="W5436" s="318"/>
      <c r="X5436" s="318"/>
      <c r="Y5436" s="318"/>
      <c r="Z5436" s="318"/>
      <c r="AA5436" s="318"/>
      <c r="AB5436" s="318"/>
      <c r="AC5436" s="318"/>
      <c r="AD5436" s="318"/>
    </row>
    <row r="5437" spans="2:30" s="323" customFormat="1" ht="12" customHeight="1">
      <c r="B5437" s="324"/>
      <c r="C5437" s="325"/>
      <c r="D5437" s="326"/>
      <c r="E5437" s="326"/>
      <c r="F5437" s="326"/>
      <c r="G5437" s="326"/>
      <c r="H5437" s="326"/>
      <c r="P5437" s="318"/>
      <c r="Q5437" s="318"/>
      <c r="R5437" s="318"/>
      <c r="S5437" s="318"/>
      <c r="T5437" s="318"/>
      <c r="U5437" s="318"/>
      <c r="V5437" s="318"/>
      <c r="W5437" s="318"/>
      <c r="X5437" s="318"/>
      <c r="Y5437" s="318"/>
      <c r="Z5437" s="318"/>
      <c r="AA5437" s="318"/>
      <c r="AB5437" s="318"/>
      <c r="AC5437" s="318"/>
      <c r="AD5437" s="318"/>
    </row>
    <row r="5438" spans="2:30" s="323" customFormat="1" ht="12" customHeight="1">
      <c r="B5438" s="324"/>
      <c r="C5438" s="325"/>
      <c r="D5438" s="326"/>
      <c r="E5438" s="326"/>
      <c r="F5438" s="326"/>
      <c r="G5438" s="326"/>
      <c r="H5438" s="326"/>
      <c r="P5438" s="318"/>
      <c r="Q5438" s="318"/>
      <c r="R5438" s="318"/>
      <c r="S5438" s="318"/>
      <c r="T5438" s="318"/>
      <c r="U5438" s="318"/>
      <c r="V5438" s="318"/>
      <c r="W5438" s="318"/>
      <c r="X5438" s="318"/>
      <c r="Y5438" s="318"/>
      <c r="Z5438" s="318"/>
      <c r="AA5438" s="318"/>
      <c r="AB5438" s="318"/>
      <c r="AC5438" s="318"/>
      <c r="AD5438" s="318"/>
    </row>
    <row r="5439" spans="2:30" s="323" customFormat="1" ht="12" customHeight="1">
      <c r="B5439" s="324"/>
      <c r="C5439" s="325"/>
      <c r="D5439" s="326"/>
      <c r="E5439" s="326"/>
      <c r="F5439" s="326"/>
      <c r="G5439" s="326"/>
      <c r="H5439" s="326"/>
      <c r="P5439" s="318"/>
      <c r="Q5439" s="318"/>
      <c r="R5439" s="318"/>
      <c r="S5439" s="318"/>
      <c r="T5439" s="318"/>
      <c r="U5439" s="318"/>
      <c r="V5439" s="318"/>
      <c r="W5439" s="318"/>
      <c r="X5439" s="318"/>
      <c r="Y5439" s="318"/>
      <c r="Z5439" s="318"/>
      <c r="AA5439" s="318"/>
      <c r="AB5439" s="318"/>
      <c r="AC5439" s="318"/>
      <c r="AD5439" s="318"/>
    </row>
    <row r="5440" spans="2:30" s="323" customFormat="1" ht="12" customHeight="1">
      <c r="B5440" s="324"/>
      <c r="C5440" s="325"/>
      <c r="D5440" s="326"/>
      <c r="E5440" s="326"/>
      <c r="F5440" s="326"/>
      <c r="G5440" s="326"/>
      <c r="H5440" s="326"/>
      <c r="P5440" s="318"/>
      <c r="Q5440" s="318"/>
      <c r="R5440" s="318"/>
      <c r="S5440" s="318"/>
      <c r="T5440" s="318"/>
      <c r="U5440" s="318"/>
      <c r="V5440" s="318"/>
      <c r="W5440" s="318"/>
      <c r="X5440" s="318"/>
      <c r="Y5440" s="318"/>
      <c r="Z5440" s="318"/>
      <c r="AA5440" s="318"/>
      <c r="AB5440" s="318"/>
      <c r="AC5440" s="318"/>
      <c r="AD5440" s="318"/>
    </row>
    <row r="5441" spans="2:30" s="323" customFormat="1" ht="12" customHeight="1">
      <c r="B5441" s="324"/>
      <c r="C5441" s="325"/>
      <c r="D5441" s="326"/>
      <c r="E5441" s="326"/>
      <c r="F5441" s="326"/>
      <c r="G5441" s="326"/>
      <c r="H5441" s="326"/>
      <c r="P5441" s="318"/>
      <c r="Q5441" s="318"/>
      <c r="R5441" s="318"/>
      <c r="S5441" s="318"/>
      <c r="T5441" s="318"/>
      <c r="U5441" s="318"/>
      <c r="V5441" s="318"/>
      <c r="W5441" s="318"/>
      <c r="X5441" s="318"/>
      <c r="Y5441" s="318"/>
      <c r="Z5441" s="318"/>
      <c r="AA5441" s="318"/>
      <c r="AB5441" s="318"/>
      <c r="AC5441" s="318"/>
      <c r="AD5441" s="318"/>
    </row>
    <row r="5442" spans="2:30" s="323" customFormat="1" ht="12" customHeight="1">
      <c r="B5442" s="324"/>
      <c r="C5442" s="325"/>
      <c r="D5442" s="326"/>
      <c r="E5442" s="326"/>
      <c r="F5442" s="326"/>
      <c r="G5442" s="326"/>
      <c r="H5442" s="326"/>
      <c r="P5442" s="318"/>
      <c r="Q5442" s="318"/>
      <c r="R5442" s="318"/>
      <c r="S5442" s="318"/>
      <c r="T5442" s="318"/>
      <c r="U5442" s="318"/>
      <c r="V5442" s="318"/>
      <c r="W5442" s="318"/>
      <c r="X5442" s="318"/>
      <c r="Y5442" s="318"/>
      <c r="Z5442" s="318"/>
      <c r="AA5442" s="318"/>
      <c r="AB5442" s="318"/>
      <c r="AC5442" s="318"/>
      <c r="AD5442" s="318"/>
    </row>
    <row r="5443" spans="2:30" s="323" customFormat="1" ht="12" customHeight="1">
      <c r="B5443" s="324"/>
      <c r="C5443" s="325"/>
      <c r="D5443" s="326"/>
      <c r="E5443" s="326"/>
      <c r="F5443" s="326"/>
      <c r="G5443" s="326"/>
      <c r="H5443" s="326"/>
      <c r="P5443" s="318"/>
      <c r="Q5443" s="318"/>
      <c r="R5443" s="318"/>
      <c r="S5443" s="318"/>
      <c r="T5443" s="318"/>
      <c r="U5443" s="318"/>
      <c r="V5443" s="318"/>
      <c r="W5443" s="318"/>
      <c r="X5443" s="318"/>
      <c r="Y5443" s="318"/>
      <c r="Z5443" s="318"/>
      <c r="AA5443" s="318"/>
      <c r="AB5443" s="318"/>
      <c r="AC5443" s="318"/>
      <c r="AD5443" s="318"/>
    </row>
    <row r="5444" spans="2:30" s="323" customFormat="1" ht="12" customHeight="1">
      <c r="B5444" s="324"/>
      <c r="C5444" s="325"/>
      <c r="D5444" s="326"/>
      <c r="E5444" s="326"/>
      <c r="F5444" s="326"/>
      <c r="G5444" s="326"/>
      <c r="H5444" s="326"/>
      <c r="P5444" s="318"/>
      <c r="Q5444" s="318"/>
      <c r="R5444" s="318"/>
      <c r="S5444" s="318"/>
      <c r="T5444" s="318"/>
      <c r="U5444" s="318"/>
      <c r="V5444" s="318"/>
      <c r="W5444" s="318"/>
      <c r="X5444" s="318"/>
      <c r="Y5444" s="318"/>
      <c r="Z5444" s="318"/>
      <c r="AA5444" s="318"/>
      <c r="AB5444" s="318"/>
      <c r="AC5444" s="318"/>
      <c r="AD5444" s="318"/>
    </row>
    <row r="5445" spans="2:30" s="323" customFormat="1" ht="12" customHeight="1">
      <c r="B5445" s="324"/>
      <c r="C5445" s="325"/>
      <c r="D5445" s="326"/>
      <c r="E5445" s="326"/>
      <c r="F5445" s="326"/>
      <c r="G5445" s="326"/>
      <c r="H5445" s="326"/>
      <c r="P5445" s="318"/>
      <c r="Q5445" s="318"/>
      <c r="R5445" s="318"/>
      <c r="S5445" s="318"/>
      <c r="T5445" s="318"/>
      <c r="U5445" s="318"/>
      <c r="V5445" s="318"/>
      <c r="W5445" s="318"/>
      <c r="X5445" s="318"/>
      <c r="Y5445" s="318"/>
      <c r="Z5445" s="318"/>
      <c r="AA5445" s="318"/>
      <c r="AB5445" s="318"/>
      <c r="AC5445" s="318"/>
      <c r="AD5445" s="318"/>
    </row>
    <row r="5446" spans="2:30" s="323" customFormat="1" ht="12" customHeight="1">
      <c r="B5446" s="324"/>
      <c r="C5446" s="325"/>
      <c r="D5446" s="326"/>
      <c r="E5446" s="326"/>
      <c r="F5446" s="326"/>
      <c r="G5446" s="326"/>
      <c r="H5446" s="326"/>
      <c r="P5446" s="318"/>
      <c r="Q5446" s="318"/>
      <c r="R5446" s="318"/>
      <c r="S5446" s="318"/>
      <c r="T5446" s="318"/>
      <c r="U5446" s="318"/>
      <c r="V5446" s="318"/>
      <c r="W5446" s="318"/>
      <c r="X5446" s="318"/>
      <c r="Y5446" s="318"/>
      <c r="Z5446" s="318"/>
      <c r="AA5446" s="318"/>
      <c r="AB5446" s="318"/>
      <c r="AC5446" s="318"/>
      <c r="AD5446" s="318"/>
    </row>
    <row r="5447" spans="2:30" s="323" customFormat="1" ht="12" customHeight="1">
      <c r="B5447" s="324"/>
      <c r="C5447" s="325"/>
      <c r="D5447" s="326"/>
      <c r="E5447" s="326"/>
      <c r="F5447" s="326"/>
      <c r="G5447" s="326"/>
      <c r="H5447" s="326"/>
      <c r="P5447" s="318"/>
      <c r="Q5447" s="318"/>
      <c r="R5447" s="318"/>
      <c r="S5447" s="318"/>
      <c r="T5447" s="318"/>
      <c r="U5447" s="318"/>
      <c r="V5447" s="318"/>
      <c r="W5447" s="318"/>
      <c r="X5447" s="318"/>
      <c r="Y5447" s="318"/>
      <c r="Z5447" s="318"/>
      <c r="AA5447" s="318"/>
      <c r="AB5447" s="318"/>
      <c r="AC5447" s="318"/>
      <c r="AD5447" s="318"/>
    </row>
    <row r="5448" spans="2:30" s="323" customFormat="1" ht="12" customHeight="1">
      <c r="B5448" s="324"/>
      <c r="C5448" s="325"/>
      <c r="D5448" s="326"/>
      <c r="E5448" s="326"/>
      <c r="F5448" s="326"/>
      <c r="G5448" s="326"/>
      <c r="H5448" s="326"/>
      <c r="P5448" s="318"/>
      <c r="Q5448" s="318"/>
      <c r="R5448" s="318"/>
      <c r="S5448" s="318"/>
      <c r="T5448" s="318"/>
      <c r="U5448" s="318"/>
      <c r="V5448" s="318"/>
      <c r="W5448" s="318"/>
      <c r="X5448" s="318"/>
      <c r="Y5448" s="318"/>
      <c r="Z5448" s="318"/>
      <c r="AA5448" s="318"/>
      <c r="AB5448" s="318"/>
      <c r="AC5448" s="318"/>
      <c r="AD5448" s="318"/>
    </row>
    <row r="5449" spans="2:30" s="323" customFormat="1" ht="12" customHeight="1">
      <c r="B5449" s="324"/>
      <c r="C5449" s="325"/>
      <c r="D5449" s="326"/>
      <c r="E5449" s="326"/>
      <c r="F5449" s="326"/>
      <c r="G5449" s="326"/>
      <c r="H5449" s="326"/>
      <c r="P5449" s="318"/>
      <c r="Q5449" s="318"/>
      <c r="R5449" s="318"/>
      <c r="S5449" s="318"/>
      <c r="T5449" s="318"/>
      <c r="U5449" s="318"/>
      <c r="V5449" s="318"/>
      <c r="W5449" s="318"/>
      <c r="X5449" s="318"/>
      <c r="Y5449" s="318"/>
      <c r="Z5449" s="318"/>
      <c r="AA5449" s="318"/>
      <c r="AB5449" s="318"/>
      <c r="AC5449" s="318"/>
      <c r="AD5449" s="318"/>
    </row>
    <row r="5450" spans="2:30" s="323" customFormat="1" ht="12" customHeight="1">
      <c r="B5450" s="324"/>
      <c r="C5450" s="325"/>
      <c r="D5450" s="326"/>
      <c r="E5450" s="326"/>
      <c r="F5450" s="326"/>
      <c r="G5450" s="326"/>
      <c r="H5450" s="326"/>
      <c r="P5450" s="318"/>
      <c r="Q5450" s="318"/>
      <c r="R5450" s="318"/>
      <c r="S5450" s="318"/>
      <c r="T5450" s="318"/>
      <c r="U5450" s="318"/>
      <c r="V5450" s="318"/>
      <c r="W5450" s="318"/>
      <c r="X5450" s="318"/>
      <c r="Y5450" s="318"/>
      <c r="Z5450" s="318"/>
      <c r="AA5450" s="318"/>
      <c r="AB5450" s="318"/>
      <c r="AC5450" s="318"/>
      <c r="AD5450" s="318"/>
    </row>
    <row r="5451" spans="2:30" s="323" customFormat="1" ht="12" customHeight="1">
      <c r="B5451" s="324"/>
      <c r="C5451" s="325"/>
      <c r="D5451" s="326"/>
      <c r="E5451" s="326"/>
      <c r="F5451" s="326"/>
      <c r="G5451" s="326"/>
      <c r="H5451" s="326"/>
      <c r="P5451" s="318"/>
      <c r="Q5451" s="318"/>
      <c r="R5451" s="318"/>
      <c r="S5451" s="318"/>
      <c r="T5451" s="318"/>
      <c r="U5451" s="318"/>
      <c r="V5451" s="318"/>
      <c r="W5451" s="318"/>
      <c r="X5451" s="318"/>
      <c r="Y5451" s="318"/>
      <c r="Z5451" s="318"/>
      <c r="AA5451" s="318"/>
      <c r="AB5451" s="318"/>
      <c r="AC5451" s="318"/>
      <c r="AD5451" s="318"/>
    </row>
    <row r="5452" spans="2:30" s="323" customFormat="1" ht="12" customHeight="1">
      <c r="B5452" s="324"/>
      <c r="C5452" s="325"/>
      <c r="D5452" s="326"/>
      <c r="E5452" s="326"/>
      <c r="F5452" s="326"/>
      <c r="G5452" s="326"/>
      <c r="H5452" s="326"/>
      <c r="P5452" s="318"/>
      <c r="Q5452" s="318"/>
      <c r="R5452" s="318"/>
      <c r="S5452" s="318"/>
      <c r="T5452" s="318"/>
      <c r="U5452" s="318"/>
      <c r="V5452" s="318"/>
      <c r="W5452" s="318"/>
      <c r="X5452" s="318"/>
      <c r="Y5452" s="318"/>
      <c r="Z5452" s="318"/>
      <c r="AA5452" s="318"/>
      <c r="AB5452" s="318"/>
      <c r="AC5452" s="318"/>
      <c r="AD5452" s="318"/>
    </row>
    <row r="5453" spans="2:30" s="323" customFormat="1" ht="12" customHeight="1">
      <c r="B5453" s="324"/>
      <c r="C5453" s="325"/>
      <c r="D5453" s="326"/>
      <c r="E5453" s="326"/>
      <c r="F5453" s="326"/>
      <c r="G5453" s="326"/>
      <c r="H5453" s="326"/>
      <c r="P5453" s="318"/>
      <c r="Q5453" s="318"/>
      <c r="R5453" s="318"/>
      <c r="S5453" s="318"/>
      <c r="T5453" s="318"/>
      <c r="U5453" s="318"/>
      <c r="V5453" s="318"/>
      <c r="W5453" s="318"/>
      <c r="X5453" s="318"/>
      <c r="Y5453" s="318"/>
      <c r="Z5453" s="318"/>
      <c r="AA5453" s="318"/>
      <c r="AB5453" s="318"/>
      <c r="AC5453" s="318"/>
      <c r="AD5453" s="318"/>
    </row>
    <row r="5454" spans="2:30" s="323" customFormat="1" ht="12" customHeight="1">
      <c r="B5454" s="324"/>
      <c r="C5454" s="325"/>
      <c r="D5454" s="326"/>
      <c r="E5454" s="326"/>
      <c r="F5454" s="326"/>
      <c r="G5454" s="326"/>
      <c r="H5454" s="326"/>
      <c r="P5454" s="318"/>
      <c r="Q5454" s="318"/>
      <c r="R5454" s="318"/>
      <c r="S5454" s="318"/>
      <c r="T5454" s="318"/>
      <c r="U5454" s="318"/>
      <c r="V5454" s="318"/>
      <c r="W5454" s="318"/>
      <c r="X5454" s="318"/>
      <c r="Y5454" s="318"/>
      <c r="Z5454" s="318"/>
      <c r="AA5454" s="318"/>
      <c r="AB5454" s="318"/>
      <c r="AC5454" s="318"/>
      <c r="AD5454" s="318"/>
    </row>
    <row r="5455" spans="2:30" s="323" customFormat="1" ht="12" customHeight="1">
      <c r="B5455" s="324"/>
      <c r="C5455" s="325"/>
      <c r="D5455" s="326"/>
      <c r="E5455" s="326"/>
      <c r="F5455" s="326"/>
      <c r="G5455" s="326"/>
      <c r="H5455" s="326"/>
      <c r="P5455" s="318"/>
      <c r="Q5455" s="318"/>
      <c r="R5455" s="318"/>
      <c r="S5455" s="318"/>
      <c r="T5455" s="318"/>
      <c r="U5455" s="318"/>
      <c r="V5455" s="318"/>
      <c r="W5455" s="318"/>
      <c r="X5455" s="318"/>
      <c r="Y5455" s="318"/>
      <c r="Z5455" s="318"/>
      <c r="AA5455" s="318"/>
      <c r="AB5455" s="318"/>
      <c r="AC5455" s="318"/>
      <c r="AD5455" s="318"/>
    </row>
    <row r="5456" spans="2:30" s="323" customFormat="1" ht="12" customHeight="1">
      <c r="B5456" s="324"/>
      <c r="C5456" s="325"/>
      <c r="D5456" s="326"/>
      <c r="E5456" s="326"/>
      <c r="F5456" s="326"/>
      <c r="G5456" s="326"/>
      <c r="H5456" s="326"/>
      <c r="P5456" s="318"/>
      <c r="Q5456" s="318"/>
      <c r="R5456" s="318"/>
      <c r="S5456" s="318"/>
      <c r="T5456" s="318"/>
      <c r="U5456" s="318"/>
      <c r="V5456" s="318"/>
      <c r="W5456" s="318"/>
      <c r="X5456" s="318"/>
      <c r="Y5456" s="318"/>
      <c r="Z5456" s="318"/>
      <c r="AA5456" s="318"/>
      <c r="AB5456" s="318"/>
      <c r="AC5456" s="318"/>
      <c r="AD5456" s="318"/>
    </row>
    <row r="5457" spans="2:30" s="323" customFormat="1" ht="12" customHeight="1">
      <c r="B5457" s="324"/>
      <c r="C5457" s="325"/>
      <c r="D5457" s="326"/>
      <c r="E5457" s="326"/>
      <c r="F5457" s="326"/>
      <c r="G5457" s="326"/>
      <c r="H5457" s="326"/>
      <c r="P5457" s="318"/>
      <c r="Q5457" s="318"/>
      <c r="R5457" s="318"/>
      <c r="S5457" s="318"/>
      <c r="T5457" s="318"/>
      <c r="U5457" s="318"/>
      <c r="V5457" s="318"/>
      <c r="W5457" s="318"/>
      <c r="X5457" s="318"/>
      <c r="Y5457" s="318"/>
      <c r="Z5457" s="318"/>
      <c r="AA5457" s="318"/>
      <c r="AB5457" s="318"/>
      <c r="AC5457" s="318"/>
      <c r="AD5457" s="318"/>
    </row>
    <row r="5458" spans="2:30" s="323" customFormat="1" ht="12" customHeight="1">
      <c r="B5458" s="324"/>
      <c r="C5458" s="325"/>
      <c r="D5458" s="326"/>
      <c r="E5458" s="326"/>
      <c r="F5458" s="326"/>
      <c r="G5458" s="326"/>
      <c r="H5458" s="326"/>
      <c r="P5458" s="318"/>
      <c r="Q5458" s="318"/>
      <c r="R5458" s="318"/>
      <c r="S5458" s="318"/>
      <c r="T5458" s="318"/>
      <c r="U5458" s="318"/>
      <c r="V5458" s="318"/>
      <c r="W5458" s="318"/>
      <c r="X5458" s="318"/>
      <c r="Y5458" s="318"/>
      <c r="Z5458" s="318"/>
      <c r="AA5458" s="318"/>
      <c r="AB5458" s="318"/>
      <c r="AC5458" s="318"/>
      <c r="AD5458" s="318"/>
    </row>
    <row r="5459" spans="2:30" s="323" customFormat="1" ht="12" customHeight="1">
      <c r="B5459" s="324"/>
      <c r="C5459" s="325"/>
      <c r="D5459" s="326"/>
      <c r="E5459" s="326"/>
      <c r="F5459" s="326"/>
      <c r="G5459" s="326"/>
      <c r="H5459" s="326"/>
      <c r="P5459" s="318"/>
      <c r="Q5459" s="318"/>
      <c r="R5459" s="318"/>
      <c r="S5459" s="318"/>
      <c r="T5459" s="318"/>
      <c r="U5459" s="318"/>
      <c r="V5459" s="318"/>
      <c r="W5459" s="318"/>
      <c r="X5459" s="318"/>
      <c r="Y5459" s="318"/>
      <c r="Z5459" s="318"/>
      <c r="AA5459" s="318"/>
      <c r="AB5459" s="318"/>
      <c r="AC5459" s="318"/>
      <c r="AD5459" s="318"/>
    </row>
    <row r="5460" spans="2:30" s="323" customFormat="1" ht="12" customHeight="1">
      <c r="B5460" s="324"/>
      <c r="C5460" s="325"/>
      <c r="D5460" s="326"/>
      <c r="E5460" s="326"/>
      <c r="F5460" s="326"/>
      <c r="G5460" s="326"/>
      <c r="H5460" s="326"/>
      <c r="P5460" s="318"/>
      <c r="Q5460" s="318"/>
      <c r="R5460" s="318"/>
      <c r="S5460" s="318"/>
      <c r="T5460" s="318"/>
      <c r="U5460" s="318"/>
      <c r="V5460" s="318"/>
      <c r="W5460" s="318"/>
      <c r="X5460" s="318"/>
      <c r="Y5460" s="318"/>
      <c r="Z5460" s="318"/>
      <c r="AA5460" s="318"/>
      <c r="AB5460" s="318"/>
      <c r="AC5460" s="318"/>
      <c r="AD5460" s="318"/>
    </row>
    <row r="5461" spans="2:30" s="323" customFormat="1" ht="12" customHeight="1">
      <c r="B5461" s="324"/>
      <c r="C5461" s="325"/>
      <c r="D5461" s="326"/>
      <c r="E5461" s="326"/>
      <c r="F5461" s="326"/>
      <c r="G5461" s="326"/>
      <c r="H5461" s="326"/>
      <c r="P5461" s="318"/>
      <c r="Q5461" s="318"/>
      <c r="R5461" s="318"/>
      <c r="S5461" s="318"/>
      <c r="T5461" s="318"/>
      <c r="U5461" s="318"/>
      <c r="V5461" s="318"/>
      <c r="W5461" s="318"/>
      <c r="X5461" s="318"/>
      <c r="Y5461" s="318"/>
      <c r="Z5461" s="318"/>
      <c r="AA5461" s="318"/>
      <c r="AB5461" s="318"/>
      <c r="AC5461" s="318"/>
      <c r="AD5461" s="318"/>
    </row>
    <row r="5462" spans="2:30" s="323" customFormat="1" ht="12" customHeight="1">
      <c r="B5462" s="324"/>
      <c r="C5462" s="325"/>
      <c r="D5462" s="326"/>
      <c r="E5462" s="326"/>
      <c r="F5462" s="326"/>
      <c r="G5462" s="326"/>
      <c r="H5462" s="326"/>
      <c r="P5462" s="318"/>
      <c r="Q5462" s="318"/>
      <c r="R5462" s="318"/>
      <c r="S5462" s="318"/>
      <c r="T5462" s="318"/>
      <c r="U5462" s="318"/>
      <c r="V5462" s="318"/>
      <c r="W5462" s="318"/>
      <c r="X5462" s="318"/>
      <c r="Y5462" s="318"/>
      <c r="Z5462" s="318"/>
      <c r="AA5462" s="318"/>
      <c r="AB5462" s="318"/>
      <c r="AC5462" s="318"/>
      <c r="AD5462" s="318"/>
    </row>
    <row r="5463" spans="2:30" s="323" customFormat="1" ht="12" customHeight="1">
      <c r="B5463" s="324"/>
      <c r="C5463" s="325"/>
      <c r="D5463" s="326"/>
      <c r="E5463" s="326"/>
      <c r="F5463" s="326"/>
      <c r="G5463" s="326"/>
      <c r="H5463" s="326"/>
      <c r="P5463" s="318"/>
      <c r="Q5463" s="318"/>
      <c r="R5463" s="318"/>
      <c r="S5463" s="318"/>
      <c r="T5463" s="318"/>
      <c r="U5463" s="318"/>
      <c r="V5463" s="318"/>
      <c r="W5463" s="318"/>
      <c r="X5463" s="318"/>
      <c r="Y5463" s="318"/>
      <c r="Z5463" s="318"/>
      <c r="AA5463" s="318"/>
      <c r="AB5463" s="318"/>
      <c r="AC5463" s="318"/>
      <c r="AD5463" s="318"/>
    </row>
    <row r="5464" spans="2:30" s="323" customFormat="1" ht="12" customHeight="1">
      <c r="B5464" s="324"/>
      <c r="C5464" s="325"/>
      <c r="D5464" s="326"/>
      <c r="E5464" s="326"/>
      <c r="F5464" s="326"/>
      <c r="G5464" s="326"/>
      <c r="H5464" s="326"/>
      <c r="P5464" s="318"/>
      <c r="Q5464" s="318"/>
      <c r="R5464" s="318"/>
      <c r="S5464" s="318"/>
      <c r="T5464" s="318"/>
      <c r="U5464" s="318"/>
      <c r="V5464" s="318"/>
      <c r="W5464" s="318"/>
      <c r="X5464" s="318"/>
      <c r="Y5464" s="318"/>
      <c r="Z5464" s="318"/>
      <c r="AA5464" s="318"/>
      <c r="AB5464" s="318"/>
      <c r="AC5464" s="318"/>
      <c r="AD5464" s="318"/>
    </row>
    <row r="5465" spans="2:30" s="323" customFormat="1" ht="12" customHeight="1">
      <c r="B5465" s="324"/>
      <c r="C5465" s="325"/>
      <c r="D5465" s="326"/>
      <c r="E5465" s="326"/>
      <c r="F5465" s="326"/>
      <c r="G5465" s="326"/>
      <c r="H5465" s="326"/>
      <c r="P5465" s="318"/>
      <c r="Q5465" s="318"/>
      <c r="R5465" s="318"/>
      <c r="S5465" s="318"/>
      <c r="T5465" s="318"/>
      <c r="U5465" s="318"/>
      <c r="V5465" s="318"/>
      <c r="W5465" s="318"/>
      <c r="X5465" s="318"/>
      <c r="Y5465" s="318"/>
      <c r="Z5465" s="318"/>
      <c r="AA5465" s="318"/>
      <c r="AB5465" s="318"/>
      <c r="AC5465" s="318"/>
      <c r="AD5465" s="318"/>
    </row>
    <row r="5466" spans="2:30" s="323" customFormat="1" ht="12" customHeight="1">
      <c r="B5466" s="324"/>
      <c r="C5466" s="325"/>
      <c r="D5466" s="326"/>
      <c r="E5466" s="326"/>
      <c r="F5466" s="326"/>
      <c r="G5466" s="326"/>
      <c r="H5466" s="326"/>
      <c r="P5466" s="318"/>
      <c r="Q5466" s="318"/>
      <c r="R5466" s="318"/>
      <c r="S5466" s="318"/>
      <c r="T5466" s="318"/>
      <c r="U5466" s="318"/>
      <c r="V5466" s="318"/>
      <c r="W5466" s="318"/>
      <c r="X5466" s="318"/>
      <c r="Y5466" s="318"/>
      <c r="Z5466" s="318"/>
      <c r="AA5466" s="318"/>
      <c r="AB5466" s="318"/>
      <c r="AC5466" s="318"/>
      <c r="AD5466" s="318"/>
    </row>
    <row r="5467" spans="2:30" s="323" customFormat="1" ht="12" customHeight="1">
      <c r="B5467" s="324"/>
      <c r="C5467" s="325"/>
      <c r="D5467" s="326"/>
      <c r="E5467" s="326"/>
      <c r="F5467" s="326"/>
      <c r="G5467" s="326"/>
      <c r="H5467" s="326"/>
      <c r="P5467" s="318"/>
      <c r="Q5467" s="318"/>
      <c r="R5467" s="318"/>
      <c r="S5467" s="318"/>
      <c r="T5467" s="318"/>
      <c r="U5467" s="318"/>
      <c r="V5467" s="318"/>
      <c r="W5467" s="318"/>
      <c r="X5467" s="318"/>
      <c r="Y5467" s="318"/>
      <c r="Z5467" s="318"/>
      <c r="AA5467" s="318"/>
      <c r="AB5467" s="318"/>
      <c r="AC5467" s="318"/>
      <c r="AD5467" s="318"/>
    </row>
    <row r="5468" spans="2:30" s="323" customFormat="1" ht="12" customHeight="1">
      <c r="B5468" s="324"/>
      <c r="C5468" s="325"/>
      <c r="D5468" s="326"/>
      <c r="E5468" s="326"/>
      <c r="F5468" s="326"/>
      <c r="G5468" s="326"/>
      <c r="H5468" s="326"/>
      <c r="P5468" s="318"/>
      <c r="Q5468" s="318"/>
      <c r="R5468" s="318"/>
      <c r="S5468" s="318"/>
      <c r="T5468" s="318"/>
      <c r="U5468" s="318"/>
      <c r="V5468" s="318"/>
      <c r="W5468" s="318"/>
      <c r="X5468" s="318"/>
      <c r="Y5468" s="318"/>
      <c r="Z5468" s="318"/>
      <c r="AA5468" s="318"/>
      <c r="AB5468" s="318"/>
      <c r="AC5468" s="318"/>
      <c r="AD5468" s="318"/>
    </row>
    <row r="5469" spans="2:30" s="323" customFormat="1" ht="12" customHeight="1">
      <c r="B5469" s="324"/>
      <c r="C5469" s="325"/>
      <c r="D5469" s="326"/>
      <c r="E5469" s="326"/>
      <c r="F5469" s="326"/>
      <c r="G5469" s="326"/>
      <c r="H5469" s="326"/>
      <c r="P5469" s="318"/>
      <c r="Q5469" s="318"/>
      <c r="R5469" s="318"/>
      <c r="S5469" s="318"/>
      <c r="T5469" s="318"/>
      <c r="U5469" s="318"/>
      <c r="V5469" s="318"/>
      <c r="W5469" s="318"/>
      <c r="X5469" s="318"/>
      <c r="Y5469" s="318"/>
      <c r="Z5469" s="318"/>
      <c r="AA5469" s="318"/>
      <c r="AB5469" s="318"/>
      <c r="AC5469" s="318"/>
      <c r="AD5469" s="318"/>
    </row>
    <row r="5470" spans="2:30" s="323" customFormat="1" ht="12" customHeight="1">
      <c r="B5470" s="324"/>
      <c r="C5470" s="325"/>
      <c r="D5470" s="326"/>
      <c r="E5470" s="326"/>
      <c r="F5470" s="326"/>
      <c r="G5470" s="326"/>
      <c r="H5470" s="326"/>
      <c r="P5470" s="318"/>
      <c r="Q5470" s="318"/>
      <c r="R5470" s="318"/>
      <c r="S5470" s="318"/>
      <c r="T5470" s="318"/>
      <c r="U5470" s="318"/>
      <c r="V5470" s="318"/>
      <c r="W5470" s="318"/>
      <c r="X5470" s="318"/>
      <c r="Y5470" s="318"/>
      <c r="Z5470" s="318"/>
      <c r="AA5470" s="318"/>
      <c r="AB5470" s="318"/>
      <c r="AC5470" s="318"/>
      <c r="AD5470" s="318"/>
    </row>
    <row r="5471" spans="2:30" s="323" customFormat="1" ht="12" customHeight="1">
      <c r="B5471" s="324"/>
      <c r="C5471" s="325"/>
      <c r="D5471" s="326"/>
      <c r="E5471" s="326"/>
      <c r="F5471" s="326"/>
      <c r="G5471" s="326"/>
      <c r="H5471" s="326"/>
      <c r="P5471" s="318"/>
      <c r="Q5471" s="318"/>
      <c r="R5471" s="318"/>
      <c r="S5471" s="318"/>
      <c r="T5471" s="318"/>
      <c r="U5471" s="318"/>
      <c r="V5471" s="318"/>
      <c r="W5471" s="318"/>
      <c r="X5471" s="318"/>
      <c r="Y5471" s="318"/>
      <c r="Z5471" s="318"/>
      <c r="AA5471" s="318"/>
      <c r="AB5471" s="318"/>
      <c r="AC5471" s="318"/>
      <c r="AD5471" s="318"/>
    </row>
    <row r="5472" spans="2:30" s="323" customFormat="1" ht="12" customHeight="1">
      <c r="B5472" s="324"/>
      <c r="C5472" s="325"/>
      <c r="D5472" s="326"/>
      <c r="E5472" s="326"/>
      <c r="F5472" s="326"/>
      <c r="G5472" s="326"/>
      <c r="H5472" s="326"/>
      <c r="P5472" s="318"/>
      <c r="Q5472" s="318"/>
      <c r="R5472" s="318"/>
      <c r="S5472" s="318"/>
      <c r="T5472" s="318"/>
      <c r="U5472" s="318"/>
      <c r="V5472" s="318"/>
      <c r="W5472" s="318"/>
      <c r="X5472" s="318"/>
      <c r="Y5472" s="318"/>
      <c r="Z5472" s="318"/>
      <c r="AA5472" s="318"/>
      <c r="AB5472" s="318"/>
      <c r="AC5472" s="318"/>
      <c r="AD5472" s="318"/>
    </row>
    <row r="5473" spans="2:30" s="323" customFormat="1" ht="12" customHeight="1">
      <c r="B5473" s="324"/>
      <c r="C5473" s="325"/>
      <c r="D5473" s="326"/>
      <c r="E5473" s="326"/>
      <c r="F5473" s="326"/>
      <c r="G5473" s="326"/>
      <c r="H5473" s="326"/>
      <c r="P5473" s="318"/>
      <c r="Q5473" s="318"/>
      <c r="R5473" s="318"/>
      <c r="S5473" s="318"/>
      <c r="T5473" s="318"/>
      <c r="U5473" s="318"/>
      <c r="V5473" s="318"/>
      <c r="W5473" s="318"/>
      <c r="X5473" s="318"/>
      <c r="Y5473" s="318"/>
      <c r="Z5473" s="318"/>
      <c r="AA5473" s="318"/>
      <c r="AB5473" s="318"/>
      <c r="AC5473" s="318"/>
      <c r="AD5473" s="318"/>
    </row>
    <row r="5474" spans="2:30" s="323" customFormat="1" ht="12" customHeight="1">
      <c r="B5474" s="324"/>
      <c r="C5474" s="325"/>
      <c r="D5474" s="326"/>
      <c r="E5474" s="326"/>
      <c r="F5474" s="326"/>
      <c r="G5474" s="326"/>
      <c r="H5474" s="326"/>
      <c r="P5474" s="318"/>
      <c r="Q5474" s="318"/>
      <c r="R5474" s="318"/>
      <c r="S5474" s="318"/>
      <c r="T5474" s="318"/>
      <c r="U5474" s="318"/>
      <c r="V5474" s="318"/>
      <c r="W5474" s="318"/>
      <c r="X5474" s="318"/>
      <c r="Y5474" s="318"/>
      <c r="Z5474" s="318"/>
      <c r="AA5474" s="318"/>
      <c r="AB5474" s="318"/>
      <c r="AC5474" s="318"/>
      <c r="AD5474" s="318"/>
    </row>
    <row r="5475" spans="2:30" s="323" customFormat="1" ht="12" customHeight="1">
      <c r="B5475" s="324"/>
      <c r="C5475" s="325"/>
      <c r="D5475" s="326"/>
      <c r="E5475" s="326"/>
      <c r="F5475" s="326"/>
      <c r="G5475" s="326"/>
      <c r="H5475" s="326"/>
      <c r="P5475" s="318"/>
      <c r="Q5475" s="318"/>
      <c r="R5475" s="318"/>
      <c r="S5475" s="318"/>
      <c r="T5475" s="318"/>
      <c r="U5475" s="318"/>
      <c r="V5475" s="318"/>
      <c r="W5475" s="318"/>
      <c r="X5475" s="318"/>
      <c r="Y5475" s="318"/>
      <c r="Z5475" s="318"/>
      <c r="AA5475" s="318"/>
      <c r="AB5475" s="318"/>
      <c r="AC5475" s="318"/>
      <c r="AD5475" s="318"/>
    </row>
    <row r="5476" spans="2:30" s="323" customFormat="1" ht="12" customHeight="1">
      <c r="B5476" s="324"/>
      <c r="C5476" s="325"/>
      <c r="D5476" s="326"/>
      <c r="E5476" s="326"/>
      <c r="F5476" s="326"/>
      <c r="G5476" s="326"/>
      <c r="H5476" s="326"/>
      <c r="P5476" s="318"/>
      <c r="Q5476" s="318"/>
      <c r="R5476" s="318"/>
      <c r="S5476" s="318"/>
      <c r="T5476" s="318"/>
      <c r="U5476" s="318"/>
      <c r="V5476" s="318"/>
      <c r="W5476" s="318"/>
      <c r="X5476" s="318"/>
      <c r="Y5476" s="318"/>
      <c r="Z5476" s="318"/>
      <c r="AA5476" s="318"/>
      <c r="AB5476" s="318"/>
      <c r="AC5476" s="318"/>
      <c r="AD5476" s="318"/>
    </row>
    <row r="5477" spans="2:30" s="323" customFormat="1" ht="12" customHeight="1">
      <c r="B5477" s="324"/>
      <c r="C5477" s="325"/>
      <c r="D5477" s="326"/>
      <c r="E5477" s="326"/>
      <c r="F5477" s="326"/>
      <c r="G5477" s="326"/>
      <c r="H5477" s="326"/>
      <c r="P5477" s="318"/>
      <c r="Q5477" s="318"/>
      <c r="R5477" s="318"/>
      <c r="S5477" s="318"/>
      <c r="T5477" s="318"/>
      <c r="U5477" s="318"/>
      <c r="V5477" s="318"/>
      <c r="W5477" s="318"/>
      <c r="X5477" s="318"/>
      <c r="Y5477" s="318"/>
      <c r="Z5477" s="318"/>
      <c r="AA5477" s="318"/>
      <c r="AB5477" s="318"/>
      <c r="AC5477" s="318"/>
      <c r="AD5477" s="318"/>
    </row>
    <row r="5478" spans="2:30" s="323" customFormat="1" ht="12" customHeight="1">
      <c r="B5478" s="324"/>
      <c r="C5478" s="325"/>
      <c r="D5478" s="326"/>
      <c r="E5478" s="326"/>
      <c r="F5478" s="326"/>
      <c r="G5478" s="326"/>
      <c r="H5478" s="326"/>
      <c r="P5478" s="318"/>
      <c r="Q5478" s="318"/>
      <c r="R5478" s="318"/>
      <c r="S5478" s="318"/>
      <c r="T5478" s="318"/>
      <c r="U5478" s="318"/>
      <c r="V5478" s="318"/>
      <c r="W5478" s="318"/>
      <c r="X5478" s="318"/>
      <c r="Y5478" s="318"/>
      <c r="Z5478" s="318"/>
      <c r="AA5478" s="318"/>
      <c r="AB5478" s="318"/>
      <c r="AC5478" s="318"/>
      <c r="AD5478" s="318"/>
    </row>
    <row r="5479" spans="2:30" s="323" customFormat="1" ht="12" customHeight="1">
      <c r="B5479" s="324"/>
      <c r="C5479" s="325"/>
      <c r="D5479" s="326"/>
      <c r="E5479" s="326"/>
      <c r="F5479" s="326"/>
      <c r="G5479" s="326"/>
      <c r="H5479" s="326"/>
      <c r="P5479" s="318"/>
      <c r="Q5479" s="318"/>
      <c r="R5479" s="318"/>
      <c r="S5479" s="318"/>
      <c r="T5479" s="318"/>
      <c r="U5479" s="318"/>
      <c r="V5479" s="318"/>
      <c r="W5479" s="318"/>
      <c r="X5479" s="318"/>
      <c r="Y5479" s="318"/>
      <c r="Z5479" s="318"/>
      <c r="AA5479" s="318"/>
      <c r="AB5479" s="318"/>
      <c r="AC5479" s="318"/>
      <c r="AD5479" s="318"/>
    </row>
    <row r="5480" spans="2:30" s="323" customFormat="1" ht="12" customHeight="1">
      <c r="B5480" s="324"/>
      <c r="C5480" s="325"/>
      <c r="D5480" s="326"/>
      <c r="E5480" s="326"/>
      <c r="F5480" s="326"/>
      <c r="G5480" s="326"/>
      <c r="H5480" s="326"/>
      <c r="P5480" s="318"/>
      <c r="Q5480" s="318"/>
      <c r="R5480" s="318"/>
      <c r="S5480" s="318"/>
      <c r="T5480" s="318"/>
      <c r="U5480" s="318"/>
      <c r="V5480" s="318"/>
      <c r="W5480" s="318"/>
      <c r="X5480" s="318"/>
      <c r="Y5480" s="318"/>
      <c r="Z5480" s="318"/>
      <c r="AA5480" s="318"/>
      <c r="AB5480" s="318"/>
      <c r="AC5480" s="318"/>
      <c r="AD5480" s="318"/>
    </row>
    <row r="5481" spans="2:30" s="323" customFormat="1" ht="12" customHeight="1">
      <c r="B5481" s="324"/>
      <c r="C5481" s="325"/>
      <c r="D5481" s="326"/>
      <c r="E5481" s="326"/>
      <c r="F5481" s="326"/>
      <c r="G5481" s="326"/>
      <c r="H5481" s="326"/>
      <c r="P5481" s="318"/>
      <c r="Q5481" s="318"/>
      <c r="R5481" s="318"/>
      <c r="S5481" s="318"/>
      <c r="T5481" s="318"/>
      <c r="U5481" s="318"/>
      <c r="V5481" s="318"/>
      <c r="W5481" s="318"/>
      <c r="X5481" s="318"/>
      <c r="Y5481" s="318"/>
      <c r="Z5481" s="318"/>
      <c r="AA5481" s="318"/>
      <c r="AB5481" s="318"/>
      <c r="AC5481" s="318"/>
      <c r="AD5481" s="318"/>
    </row>
    <row r="5482" spans="2:30" s="323" customFormat="1" ht="12" customHeight="1">
      <c r="B5482" s="324"/>
      <c r="C5482" s="325"/>
      <c r="D5482" s="326"/>
      <c r="E5482" s="326"/>
      <c r="F5482" s="326"/>
      <c r="G5482" s="326"/>
      <c r="H5482" s="326"/>
      <c r="P5482" s="318"/>
      <c r="Q5482" s="318"/>
      <c r="R5482" s="318"/>
      <c r="S5482" s="318"/>
      <c r="T5482" s="318"/>
      <c r="U5482" s="318"/>
      <c r="V5482" s="318"/>
      <c r="W5482" s="318"/>
      <c r="X5482" s="318"/>
      <c r="Y5482" s="318"/>
      <c r="Z5482" s="318"/>
      <c r="AA5482" s="318"/>
      <c r="AB5482" s="318"/>
      <c r="AC5482" s="318"/>
      <c r="AD5482" s="318"/>
    </row>
    <row r="5483" spans="2:30" s="323" customFormat="1" ht="12" customHeight="1">
      <c r="B5483" s="324"/>
      <c r="C5483" s="325"/>
      <c r="D5483" s="326"/>
      <c r="E5483" s="326"/>
      <c r="F5483" s="326"/>
      <c r="G5483" s="326"/>
      <c r="H5483" s="326"/>
      <c r="P5483" s="318"/>
      <c r="Q5483" s="318"/>
      <c r="R5483" s="318"/>
      <c r="S5483" s="318"/>
      <c r="T5483" s="318"/>
      <c r="U5483" s="318"/>
      <c r="V5483" s="318"/>
      <c r="W5483" s="318"/>
      <c r="X5483" s="318"/>
      <c r="Y5483" s="318"/>
      <c r="Z5483" s="318"/>
      <c r="AA5483" s="318"/>
      <c r="AB5483" s="318"/>
      <c r="AC5483" s="318"/>
      <c r="AD5483" s="318"/>
    </row>
    <row r="5484" spans="2:30" s="323" customFormat="1" ht="12" customHeight="1">
      <c r="B5484" s="324"/>
      <c r="C5484" s="325"/>
      <c r="D5484" s="326"/>
      <c r="E5484" s="326"/>
      <c r="F5484" s="326"/>
      <c r="G5484" s="326"/>
      <c r="H5484" s="326"/>
      <c r="P5484" s="318"/>
      <c r="Q5484" s="318"/>
      <c r="R5484" s="318"/>
      <c r="S5484" s="318"/>
      <c r="T5484" s="318"/>
      <c r="U5484" s="318"/>
      <c r="V5484" s="318"/>
      <c r="W5484" s="318"/>
      <c r="X5484" s="318"/>
      <c r="Y5484" s="318"/>
      <c r="Z5484" s="318"/>
      <c r="AA5484" s="318"/>
      <c r="AB5484" s="318"/>
      <c r="AC5484" s="318"/>
      <c r="AD5484" s="318"/>
    </row>
    <row r="5485" spans="2:30" s="323" customFormat="1" ht="12" customHeight="1">
      <c r="B5485" s="324"/>
      <c r="C5485" s="325"/>
      <c r="D5485" s="326"/>
      <c r="E5485" s="326"/>
      <c r="F5485" s="326"/>
      <c r="G5485" s="326"/>
      <c r="H5485" s="326"/>
      <c r="P5485" s="318"/>
      <c r="Q5485" s="318"/>
      <c r="R5485" s="318"/>
      <c r="S5485" s="318"/>
      <c r="T5485" s="318"/>
      <c r="U5485" s="318"/>
      <c r="V5485" s="318"/>
      <c r="W5485" s="318"/>
      <c r="X5485" s="318"/>
      <c r="Y5485" s="318"/>
      <c r="Z5485" s="318"/>
      <c r="AA5485" s="318"/>
      <c r="AB5485" s="318"/>
      <c r="AC5485" s="318"/>
      <c r="AD5485" s="318"/>
    </row>
    <row r="5486" spans="2:30" s="323" customFormat="1" ht="12" customHeight="1">
      <c r="B5486" s="324"/>
      <c r="C5486" s="325"/>
      <c r="D5486" s="326"/>
      <c r="E5486" s="326"/>
      <c r="F5486" s="326"/>
      <c r="G5486" s="326"/>
      <c r="H5486" s="326"/>
      <c r="P5486" s="318"/>
      <c r="Q5486" s="318"/>
      <c r="R5486" s="318"/>
      <c r="S5486" s="318"/>
      <c r="T5486" s="318"/>
      <c r="U5486" s="318"/>
      <c r="V5486" s="318"/>
      <c r="W5486" s="318"/>
      <c r="X5486" s="318"/>
      <c r="Y5486" s="318"/>
      <c r="Z5486" s="318"/>
      <c r="AA5486" s="318"/>
      <c r="AB5486" s="318"/>
      <c r="AC5486" s="318"/>
      <c r="AD5486" s="318"/>
    </row>
    <row r="5487" spans="2:30" s="323" customFormat="1" ht="12" customHeight="1">
      <c r="B5487" s="324"/>
      <c r="C5487" s="325"/>
      <c r="D5487" s="326"/>
      <c r="E5487" s="326"/>
      <c r="F5487" s="326"/>
      <c r="G5487" s="326"/>
      <c r="H5487" s="326"/>
      <c r="P5487" s="318"/>
      <c r="Q5487" s="318"/>
      <c r="R5487" s="318"/>
      <c r="S5487" s="318"/>
      <c r="T5487" s="318"/>
      <c r="U5487" s="318"/>
      <c r="V5487" s="318"/>
      <c r="W5487" s="318"/>
      <c r="X5487" s="318"/>
      <c r="Y5487" s="318"/>
      <c r="Z5487" s="318"/>
      <c r="AA5487" s="318"/>
      <c r="AB5487" s="318"/>
      <c r="AC5487" s="318"/>
      <c r="AD5487" s="318"/>
    </row>
    <row r="5488" spans="2:30" s="323" customFormat="1" ht="12" customHeight="1">
      <c r="B5488" s="324"/>
      <c r="C5488" s="325"/>
      <c r="D5488" s="326"/>
      <c r="E5488" s="326"/>
      <c r="F5488" s="326"/>
      <c r="G5488" s="326"/>
      <c r="H5488" s="326"/>
      <c r="P5488" s="318"/>
      <c r="Q5488" s="318"/>
      <c r="R5488" s="318"/>
      <c r="S5488" s="318"/>
      <c r="T5488" s="318"/>
      <c r="U5488" s="318"/>
      <c r="V5488" s="318"/>
      <c r="W5488" s="318"/>
      <c r="X5488" s="318"/>
      <c r="Y5488" s="318"/>
      <c r="Z5488" s="318"/>
      <c r="AA5488" s="318"/>
      <c r="AB5488" s="318"/>
      <c r="AC5488" s="318"/>
      <c r="AD5488" s="318"/>
    </row>
    <row r="5489" spans="2:30" s="323" customFormat="1" ht="12" customHeight="1">
      <c r="B5489" s="324"/>
      <c r="C5489" s="325"/>
      <c r="D5489" s="326"/>
      <c r="E5489" s="326"/>
      <c r="F5489" s="326"/>
      <c r="G5489" s="326"/>
      <c r="H5489" s="326"/>
      <c r="P5489" s="318"/>
      <c r="Q5489" s="318"/>
      <c r="R5489" s="318"/>
      <c r="S5489" s="318"/>
      <c r="T5489" s="318"/>
      <c r="U5489" s="318"/>
      <c r="V5489" s="318"/>
      <c r="W5489" s="318"/>
      <c r="X5489" s="318"/>
      <c r="Y5489" s="318"/>
      <c r="Z5489" s="318"/>
      <c r="AA5489" s="318"/>
      <c r="AB5489" s="318"/>
      <c r="AC5489" s="318"/>
      <c r="AD5489" s="318"/>
    </row>
    <row r="5490" spans="2:30" s="323" customFormat="1" ht="12" customHeight="1">
      <c r="B5490" s="324"/>
      <c r="C5490" s="325"/>
      <c r="D5490" s="326"/>
      <c r="E5490" s="326"/>
      <c r="F5490" s="326"/>
      <c r="G5490" s="326"/>
      <c r="H5490" s="326"/>
      <c r="P5490" s="318"/>
      <c r="Q5490" s="318"/>
      <c r="R5490" s="318"/>
      <c r="S5490" s="318"/>
      <c r="T5490" s="318"/>
      <c r="U5490" s="318"/>
      <c r="V5490" s="318"/>
      <c r="W5490" s="318"/>
      <c r="X5490" s="318"/>
      <c r="Y5490" s="318"/>
      <c r="Z5490" s="318"/>
      <c r="AA5490" s="318"/>
      <c r="AB5490" s="318"/>
      <c r="AC5490" s="318"/>
      <c r="AD5490" s="318"/>
    </row>
    <row r="5491" spans="2:30" s="323" customFormat="1" ht="12" customHeight="1">
      <c r="B5491" s="324"/>
      <c r="C5491" s="325"/>
      <c r="D5491" s="326"/>
      <c r="E5491" s="326"/>
      <c r="F5491" s="326"/>
      <c r="G5491" s="326"/>
      <c r="H5491" s="326"/>
      <c r="P5491" s="318"/>
      <c r="Q5491" s="318"/>
      <c r="R5491" s="318"/>
      <c r="S5491" s="318"/>
      <c r="T5491" s="318"/>
      <c r="U5491" s="318"/>
      <c r="V5491" s="318"/>
      <c r="W5491" s="318"/>
      <c r="X5491" s="318"/>
      <c r="Y5491" s="318"/>
      <c r="Z5491" s="318"/>
      <c r="AA5491" s="318"/>
      <c r="AB5491" s="318"/>
      <c r="AC5491" s="318"/>
      <c r="AD5491" s="318"/>
    </row>
    <row r="5492" spans="2:30" s="323" customFormat="1" ht="12" customHeight="1">
      <c r="B5492" s="324"/>
      <c r="C5492" s="325"/>
      <c r="D5492" s="326"/>
      <c r="E5492" s="326"/>
      <c r="F5492" s="326"/>
      <c r="G5492" s="326"/>
      <c r="H5492" s="326"/>
      <c r="P5492" s="318"/>
      <c r="Q5492" s="318"/>
      <c r="R5492" s="318"/>
      <c r="S5492" s="318"/>
      <c r="T5492" s="318"/>
      <c r="U5492" s="318"/>
      <c r="V5492" s="318"/>
      <c r="W5492" s="318"/>
      <c r="X5492" s="318"/>
      <c r="Y5492" s="318"/>
      <c r="Z5492" s="318"/>
      <c r="AA5492" s="318"/>
      <c r="AB5492" s="318"/>
      <c r="AC5492" s="318"/>
      <c r="AD5492" s="318"/>
    </row>
    <row r="5493" spans="2:30" s="323" customFormat="1" ht="12" customHeight="1">
      <c r="B5493" s="324"/>
      <c r="C5493" s="325"/>
      <c r="D5493" s="326"/>
      <c r="E5493" s="326"/>
      <c r="F5493" s="326"/>
      <c r="G5493" s="326"/>
      <c r="H5493" s="326"/>
      <c r="P5493" s="318"/>
      <c r="Q5493" s="318"/>
      <c r="R5493" s="318"/>
      <c r="S5493" s="318"/>
      <c r="T5493" s="318"/>
      <c r="U5493" s="318"/>
      <c r="V5493" s="318"/>
      <c r="W5493" s="318"/>
      <c r="X5493" s="318"/>
      <c r="Y5493" s="318"/>
      <c r="Z5493" s="318"/>
      <c r="AA5493" s="318"/>
      <c r="AB5493" s="318"/>
      <c r="AC5493" s="318"/>
      <c r="AD5493" s="318"/>
    </row>
    <row r="5494" spans="2:30" s="323" customFormat="1" ht="12" customHeight="1">
      <c r="B5494" s="324"/>
      <c r="C5494" s="325"/>
      <c r="D5494" s="326"/>
      <c r="E5494" s="326"/>
      <c r="F5494" s="326"/>
      <c r="G5494" s="326"/>
      <c r="H5494" s="326"/>
      <c r="P5494" s="318"/>
      <c r="Q5494" s="318"/>
      <c r="R5494" s="318"/>
      <c r="S5494" s="318"/>
      <c r="T5494" s="318"/>
      <c r="U5494" s="318"/>
      <c r="V5494" s="318"/>
      <c r="W5494" s="318"/>
      <c r="X5494" s="318"/>
      <c r="Y5494" s="318"/>
      <c r="Z5494" s="318"/>
      <c r="AA5494" s="318"/>
      <c r="AB5494" s="318"/>
      <c r="AC5494" s="318"/>
      <c r="AD5494" s="318"/>
    </row>
    <row r="5495" spans="2:30" s="323" customFormat="1" ht="12" customHeight="1">
      <c r="B5495" s="324"/>
      <c r="C5495" s="325"/>
      <c r="D5495" s="326"/>
      <c r="E5495" s="326"/>
      <c r="F5495" s="326"/>
      <c r="G5495" s="326"/>
      <c r="H5495" s="326"/>
      <c r="P5495" s="318"/>
      <c r="Q5495" s="318"/>
      <c r="R5495" s="318"/>
      <c r="S5495" s="318"/>
      <c r="T5495" s="318"/>
      <c r="U5495" s="318"/>
      <c r="V5495" s="318"/>
      <c r="W5495" s="318"/>
      <c r="X5495" s="318"/>
      <c r="Y5495" s="318"/>
      <c r="Z5495" s="318"/>
      <c r="AA5495" s="318"/>
      <c r="AB5495" s="318"/>
      <c r="AC5495" s="318"/>
      <c r="AD5495" s="318"/>
    </row>
    <row r="5496" spans="2:30" s="323" customFormat="1" ht="12" customHeight="1">
      <c r="B5496" s="324"/>
      <c r="C5496" s="325"/>
      <c r="D5496" s="326"/>
      <c r="E5496" s="326"/>
      <c r="F5496" s="326"/>
      <c r="G5496" s="326"/>
      <c r="H5496" s="326"/>
      <c r="P5496" s="318"/>
      <c r="Q5496" s="318"/>
      <c r="R5496" s="318"/>
      <c r="S5496" s="318"/>
      <c r="T5496" s="318"/>
      <c r="U5496" s="318"/>
      <c r="V5496" s="318"/>
      <c r="W5496" s="318"/>
      <c r="X5496" s="318"/>
      <c r="Y5496" s="318"/>
      <c r="Z5496" s="318"/>
      <c r="AA5496" s="318"/>
      <c r="AB5496" s="318"/>
      <c r="AC5496" s="318"/>
      <c r="AD5496" s="318"/>
    </row>
    <row r="5497" spans="2:30" s="323" customFormat="1" ht="12" customHeight="1">
      <c r="B5497" s="324"/>
      <c r="C5497" s="325"/>
      <c r="D5497" s="326"/>
      <c r="E5497" s="326"/>
      <c r="F5497" s="326"/>
      <c r="G5497" s="326"/>
      <c r="H5497" s="326"/>
      <c r="P5497" s="318"/>
      <c r="Q5497" s="318"/>
      <c r="R5497" s="318"/>
      <c r="S5497" s="318"/>
      <c r="T5497" s="318"/>
      <c r="U5497" s="318"/>
      <c r="V5497" s="318"/>
      <c r="W5497" s="318"/>
      <c r="X5497" s="318"/>
      <c r="Y5497" s="318"/>
      <c r="Z5497" s="318"/>
      <c r="AA5497" s="318"/>
      <c r="AB5497" s="318"/>
      <c r="AC5497" s="318"/>
      <c r="AD5497" s="318"/>
    </row>
    <row r="5498" spans="2:30" s="323" customFormat="1" ht="12" customHeight="1">
      <c r="B5498" s="324"/>
      <c r="C5498" s="325"/>
      <c r="D5498" s="326"/>
      <c r="E5498" s="326"/>
      <c r="F5498" s="326"/>
      <c r="G5498" s="326"/>
      <c r="H5498" s="326"/>
      <c r="P5498" s="318"/>
      <c r="Q5498" s="318"/>
      <c r="R5498" s="318"/>
      <c r="S5498" s="318"/>
      <c r="T5498" s="318"/>
      <c r="U5498" s="318"/>
      <c r="V5498" s="318"/>
      <c r="W5498" s="318"/>
      <c r="X5498" s="318"/>
      <c r="Y5498" s="318"/>
      <c r="Z5498" s="318"/>
      <c r="AA5498" s="318"/>
      <c r="AB5498" s="318"/>
      <c r="AC5498" s="318"/>
      <c r="AD5498" s="318"/>
    </row>
    <row r="5499" spans="2:30" s="323" customFormat="1" ht="12" customHeight="1">
      <c r="B5499" s="324"/>
      <c r="C5499" s="325"/>
      <c r="D5499" s="326"/>
      <c r="E5499" s="326"/>
      <c r="F5499" s="326"/>
      <c r="G5499" s="326"/>
      <c r="H5499" s="326"/>
      <c r="P5499" s="318"/>
      <c r="Q5499" s="318"/>
      <c r="R5499" s="318"/>
      <c r="S5499" s="318"/>
      <c r="T5499" s="318"/>
      <c r="U5499" s="318"/>
      <c r="V5499" s="318"/>
      <c r="W5499" s="318"/>
      <c r="X5499" s="318"/>
      <c r="Y5499" s="318"/>
      <c r="Z5499" s="318"/>
      <c r="AA5499" s="318"/>
      <c r="AB5499" s="318"/>
      <c r="AC5499" s="318"/>
      <c r="AD5499" s="318"/>
    </row>
    <row r="5500" spans="2:30" s="323" customFormat="1" ht="12" customHeight="1">
      <c r="B5500" s="324"/>
      <c r="C5500" s="325"/>
      <c r="D5500" s="326"/>
      <c r="E5500" s="326"/>
      <c r="F5500" s="326"/>
      <c r="G5500" s="326"/>
      <c r="H5500" s="326"/>
      <c r="P5500" s="318"/>
      <c r="Q5500" s="318"/>
      <c r="R5500" s="318"/>
      <c r="S5500" s="318"/>
      <c r="T5500" s="318"/>
      <c r="U5500" s="318"/>
      <c r="V5500" s="318"/>
      <c r="W5500" s="318"/>
      <c r="X5500" s="318"/>
      <c r="Y5500" s="318"/>
      <c r="Z5500" s="318"/>
      <c r="AA5500" s="318"/>
      <c r="AB5500" s="318"/>
      <c r="AC5500" s="318"/>
      <c r="AD5500" s="318"/>
    </row>
    <row r="5501" spans="2:30" s="323" customFormat="1" ht="12" customHeight="1">
      <c r="B5501" s="324"/>
      <c r="C5501" s="325"/>
      <c r="D5501" s="326"/>
      <c r="E5501" s="326"/>
      <c r="F5501" s="326"/>
      <c r="G5501" s="326"/>
      <c r="H5501" s="326"/>
      <c r="P5501" s="318"/>
      <c r="Q5501" s="318"/>
      <c r="R5501" s="318"/>
      <c r="S5501" s="318"/>
      <c r="T5501" s="318"/>
      <c r="U5501" s="318"/>
      <c r="V5501" s="318"/>
      <c r="W5501" s="318"/>
      <c r="X5501" s="318"/>
      <c r="Y5501" s="318"/>
      <c r="Z5501" s="318"/>
      <c r="AA5501" s="318"/>
      <c r="AB5501" s="318"/>
      <c r="AC5501" s="318"/>
      <c r="AD5501" s="318"/>
    </row>
    <row r="5502" spans="2:30" s="323" customFormat="1" ht="12" customHeight="1">
      <c r="B5502" s="324"/>
      <c r="C5502" s="325"/>
      <c r="D5502" s="326"/>
      <c r="E5502" s="326"/>
      <c r="F5502" s="326"/>
      <c r="G5502" s="326"/>
      <c r="H5502" s="326"/>
      <c r="P5502" s="318"/>
      <c r="Q5502" s="318"/>
      <c r="R5502" s="318"/>
      <c r="S5502" s="318"/>
      <c r="T5502" s="318"/>
      <c r="U5502" s="318"/>
      <c r="V5502" s="318"/>
      <c r="W5502" s="318"/>
      <c r="X5502" s="318"/>
      <c r="Y5502" s="318"/>
      <c r="Z5502" s="318"/>
      <c r="AA5502" s="318"/>
      <c r="AB5502" s="318"/>
      <c r="AC5502" s="318"/>
      <c r="AD5502" s="318"/>
    </row>
    <row r="5503" spans="2:30" s="323" customFormat="1" ht="12" customHeight="1">
      <c r="B5503" s="324"/>
      <c r="C5503" s="325"/>
      <c r="D5503" s="326"/>
      <c r="E5503" s="326"/>
      <c r="F5503" s="326"/>
      <c r="G5503" s="326"/>
      <c r="H5503" s="326"/>
      <c r="P5503" s="318"/>
      <c r="Q5503" s="318"/>
      <c r="R5503" s="318"/>
      <c r="S5503" s="318"/>
      <c r="T5503" s="318"/>
      <c r="U5503" s="318"/>
      <c r="V5503" s="318"/>
      <c r="W5503" s="318"/>
      <c r="X5503" s="318"/>
      <c r="Y5503" s="318"/>
      <c r="Z5503" s="318"/>
      <c r="AA5503" s="318"/>
      <c r="AB5503" s="318"/>
      <c r="AC5503" s="318"/>
      <c r="AD5503" s="318"/>
    </row>
    <row r="5504" spans="2:30" s="323" customFormat="1" ht="12" customHeight="1">
      <c r="B5504" s="324"/>
      <c r="C5504" s="325"/>
      <c r="D5504" s="326"/>
      <c r="E5504" s="326"/>
      <c r="F5504" s="326"/>
      <c r="G5504" s="326"/>
      <c r="H5504" s="326"/>
      <c r="P5504" s="318"/>
      <c r="Q5504" s="318"/>
      <c r="R5504" s="318"/>
      <c r="S5504" s="318"/>
      <c r="T5504" s="318"/>
      <c r="U5504" s="318"/>
      <c r="V5504" s="318"/>
      <c r="W5504" s="318"/>
      <c r="X5504" s="318"/>
      <c r="Y5504" s="318"/>
      <c r="Z5504" s="318"/>
      <c r="AA5504" s="318"/>
      <c r="AB5504" s="318"/>
      <c r="AC5504" s="318"/>
      <c r="AD5504" s="318"/>
    </row>
    <row r="5505" spans="2:30" s="323" customFormat="1" ht="12" customHeight="1">
      <c r="B5505" s="324"/>
      <c r="C5505" s="325"/>
      <c r="D5505" s="326"/>
      <c r="E5505" s="326"/>
      <c r="F5505" s="326"/>
      <c r="G5505" s="326"/>
      <c r="H5505" s="326"/>
      <c r="P5505" s="318"/>
      <c r="Q5505" s="318"/>
      <c r="R5505" s="318"/>
      <c r="S5505" s="318"/>
      <c r="T5505" s="318"/>
      <c r="U5505" s="318"/>
      <c r="V5505" s="318"/>
      <c r="W5505" s="318"/>
      <c r="X5505" s="318"/>
      <c r="Y5505" s="318"/>
      <c r="Z5505" s="318"/>
      <c r="AA5505" s="318"/>
      <c r="AB5505" s="318"/>
      <c r="AC5505" s="318"/>
      <c r="AD5505" s="318"/>
    </row>
    <row r="5506" spans="2:30" s="323" customFormat="1" ht="12" customHeight="1">
      <c r="B5506" s="324"/>
      <c r="C5506" s="325"/>
      <c r="D5506" s="326"/>
      <c r="E5506" s="326"/>
      <c r="F5506" s="326"/>
      <c r="G5506" s="326"/>
      <c r="H5506" s="326"/>
      <c r="P5506" s="318"/>
      <c r="Q5506" s="318"/>
      <c r="R5506" s="318"/>
      <c r="S5506" s="318"/>
      <c r="T5506" s="318"/>
      <c r="U5506" s="318"/>
      <c r="V5506" s="318"/>
      <c r="W5506" s="318"/>
      <c r="X5506" s="318"/>
      <c r="Y5506" s="318"/>
      <c r="Z5506" s="318"/>
      <c r="AA5506" s="318"/>
      <c r="AB5506" s="318"/>
      <c r="AC5506" s="318"/>
      <c r="AD5506" s="318"/>
    </row>
    <row r="5507" spans="2:30" s="323" customFormat="1" ht="12" customHeight="1">
      <c r="B5507" s="324"/>
      <c r="C5507" s="325"/>
      <c r="D5507" s="326"/>
      <c r="E5507" s="326"/>
      <c r="F5507" s="326"/>
      <c r="G5507" s="326"/>
      <c r="H5507" s="326"/>
      <c r="P5507" s="318"/>
      <c r="Q5507" s="318"/>
      <c r="R5507" s="318"/>
      <c r="S5507" s="318"/>
      <c r="T5507" s="318"/>
      <c r="U5507" s="318"/>
      <c r="V5507" s="318"/>
      <c r="W5507" s="318"/>
      <c r="X5507" s="318"/>
      <c r="Y5507" s="318"/>
      <c r="Z5507" s="318"/>
      <c r="AA5507" s="318"/>
      <c r="AB5507" s="318"/>
      <c r="AC5507" s="318"/>
      <c r="AD5507" s="318"/>
    </row>
    <row r="5508" spans="2:30" s="323" customFormat="1" ht="12" customHeight="1">
      <c r="B5508" s="324"/>
      <c r="C5508" s="325"/>
      <c r="D5508" s="326"/>
      <c r="E5508" s="326"/>
      <c r="F5508" s="326"/>
      <c r="G5508" s="326"/>
      <c r="H5508" s="326"/>
      <c r="P5508" s="318"/>
      <c r="Q5508" s="318"/>
      <c r="R5508" s="318"/>
      <c r="S5508" s="318"/>
      <c r="T5508" s="318"/>
      <c r="U5508" s="318"/>
      <c r="V5508" s="318"/>
      <c r="W5508" s="318"/>
      <c r="X5508" s="318"/>
      <c r="Y5508" s="318"/>
      <c r="Z5508" s="318"/>
      <c r="AA5508" s="318"/>
      <c r="AB5508" s="318"/>
      <c r="AC5508" s="318"/>
      <c r="AD5508" s="318"/>
    </row>
    <row r="5509" spans="2:30" s="323" customFormat="1" ht="12" customHeight="1">
      <c r="B5509" s="324"/>
      <c r="C5509" s="325"/>
      <c r="D5509" s="326"/>
      <c r="E5509" s="326"/>
      <c r="F5509" s="326"/>
      <c r="G5509" s="326"/>
      <c r="H5509" s="326"/>
      <c r="P5509" s="318"/>
      <c r="Q5509" s="318"/>
      <c r="R5509" s="318"/>
      <c r="S5509" s="318"/>
      <c r="T5509" s="318"/>
      <c r="U5509" s="318"/>
      <c r="V5509" s="318"/>
      <c r="W5509" s="318"/>
      <c r="X5509" s="318"/>
      <c r="Y5509" s="318"/>
      <c r="Z5509" s="318"/>
      <c r="AA5509" s="318"/>
      <c r="AB5509" s="318"/>
      <c r="AC5509" s="318"/>
      <c r="AD5509" s="318"/>
    </row>
    <row r="5510" spans="2:30" s="323" customFormat="1" ht="12" customHeight="1">
      <c r="B5510" s="324"/>
      <c r="C5510" s="325"/>
      <c r="D5510" s="326"/>
      <c r="E5510" s="326"/>
      <c r="F5510" s="326"/>
      <c r="G5510" s="326"/>
      <c r="H5510" s="326"/>
      <c r="P5510" s="318"/>
      <c r="Q5510" s="318"/>
      <c r="R5510" s="318"/>
      <c r="S5510" s="318"/>
      <c r="T5510" s="318"/>
      <c r="U5510" s="318"/>
      <c r="V5510" s="318"/>
      <c r="W5510" s="318"/>
      <c r="X5510" s="318"/>
      <c r="Y5510" s="318"/>
      <c r="Z5510" s="318"/>
      <c r="AA5510" s="318"/>
      <c r="AB5510" s="318"/>
      <c r="AC5510" s="318"/>
      <c r="AD5510" s="318"/>
    </row>
    <row r="5511" spans="2:30" s="323" customFormat="1" ht="12" customHeight="1">
      <c r="B5511" s="324"/>
      <c r="C5511" s="325"/>
      <c r="D5511" s="326"/>
      <c r="E5511" s="326"/>
      <c r="F5511" s="326"/>
      <c r="G5511" s="326"/>
      <c r="H5511" s="326"/>
      <c r="P5511" s="318"/>
      <c r="Q5511" s="318"/>
      <c r="R5511" s="318"/>
      <c r="S5511" s="318"/>
      <c r="T5511" s="318"/>
      <c r="U5511" s="318"/>
      <c r="V5511" s="318"/>
      <c r="W5511" s="318"/>
      <c r="X5511" s="318"/>
      <c r="Y5511" s="318"/>
      <c r="Z5511" s="318"/>
      <c r="AA5511" s="318"/>
      <c r="AB5511" s="318"/>
      <c r="AC5511" s="318"/>
      <c r="AD5511" s="318"/>
    </row>
    <row r="5512" spans="2:30" s="323" customFormat="1" ht="12" customHeight="1">
      <c r="B5512" s="324"/>
      <c r="C5512" s="325"/>
      <c r="D5512" s="326"/>
      <c r="E5512" s="326"/>
      <c r="F5512" s="326"/>
      <c r="G5512" s="326"/>
      <c r="H5512" s="326"/>
      <c r="P5512" s="318"/>
      <c r="Q5512" s="318"/>
      <c r="R5512" s="318"/>
      <c r="S5512" s="318"/>
      <c r="T5512" s="318"/>
      <c r="U5512" s="318"/>
      <c r="V5512" s="318"/>
      <c r="W5512" s="318"/>
      <c r="X5512" s="318"/>
      <c r="Y5512" s="318"/>
      <c r="Z5512" s="318"/>
      <c r="AA5512" s="318"/>
      <c r="AB5512" s="318"/>
      <c r="AC5512" s="318"/>
      <c r="AD5512" s="318"/>
    </row>
    <row r="5513" spans="2:30" s="323" customFormat="1" ht="12" customHeight="1">
      <c r="B5513" s="324"/>
      <c r="C5513" s="325"/>
      <c r="D5513" s="326"/>
      <c r="E5513" s="326"/>
      <c r="F5513" s="326"/>
      <c r="G5513" s="326"/>
      <c r="H5513" s="326"/>
      <c r="P5513" s="318"/>
      <c r="Q5513" s="318"/>
      <c r="R5513" s="318"/>
      <c r="S5513" s="318"/>
      <c r="T5513" s="318"/>
      <c r="U5513" s="318"/>
      <c r="V5513" s="318"/>
      <c r="W5513" s="318"/>
      <c r="X5513" s="318"/>
      <c r="Y5513" s="318"/>
      <c r="Z5513" s="318"/>
      <c r="AA5513" s="318"/>
      <c r="AB5513" s="318"/>
      <c r="AC5513" s="318"/>
      <c r="AD5513" s="318"/>
    </row>
    <row r="5514" spans="2:30" s="323" customFormat="1" ht="12" customHeight="1">
      <c r="B5514" s="324"/>
      <c r="C5514" s="325"/>
      <c r="D5514" s="326"/>
      <c r="E5514" s="326"/>
      <c r="F5514" s="326"/>
      <c r="G5514" s="326"/>
      <c r="H5514" s="326"/>
      <c r="P5514" s="318"/>
      <c r="Q5514" s="318"/>
      <c r="R5514" s="318"/>
      <c r="S5514" s="318"/>
      <c r="T5514" s="318"/>
      <c r="U5514" s="318"/>
      <c r="V5514" s="318"/>
      <c r="W5514" s="318"/>
      <c r="X5514" s="318"/>
      <c r="Y5514" s="318"/>
      <c r="Z5514" s="318"/>
      <c r="AA5514" s="318"/>
      <c r="AB5514" s="318"/>
      <c r="AC5514" s="318"/>
      <c r="AD5514" s="318"/>
    </row>
    <row r="5515" spans="2:30" s="323" customFormat="1" ht="12" customHeight="1">
      <c r="B5515" s="324"/>
      <c r="C5515" s="325"/>
      <c r="D5515" s="326"/>
      <c r="E5515" s="326"/>
      <c r="F5515" s="326"/>
      <c r="G5515" s="326"/>
      <c r="H5515" s="326"/>
      <c r="P5515" s="318"/>
      <c r="Q5515" s="318"/>
      <c r="R5515" s="318"/>
      <c r="S5515" s="318"/>
      <c r="T5515" s="318"/>
      <c r="U5515" s="318"/>
      <c r="V5515" s="318"/>
      <c r="W5515" s="318"/>
      <c r="X5515" s="318"/>
      <c r="Y5515" s="318"/>
      <c r="Z5515" s="318"/>
      <c r="AA5515" s="318"/>
      <c r="AB5515" s="318"/>
      <c r="AC5515" s="318"/>
      <c r="AD5515" s="318"/>
    </row>
    <row r="5516" spans="2:30" s="323" customFormat="1" ht="12" customHeight="1">
      <c r="B5516" s="324"/>
      <c r="C5516" s="325"/>
      <c r="D5516" s="326"/>
      <c r="E5516" s="326"/>
      <c r="F5516" s="326"/>
      <c r="G5516" s="326"/>
      <c r="H5516" s="326"/>
      <c r="P5516" s="318"/>
      <c r="Q5516" s="318"/>
      <c r="R5516" s="318"/>
      <c r="S5516" s="318"/>
      <c r="T5516" s="318"/>
      <c r="U5516" s="318"/>
      <c r="V5516" s="318"/>
      <c r="W5516" s="318"/>
      <c r="X5516" s="318"/>
      <c r="Y5516" s="318"/>
      <c r="Z5516" s="318"/>
      <c r="AA5516" s="318"/>
      <c r="AB5516" s="318"/>
      <c r="AC5516" s="318"/>
      <c r="AD5516" s="318"/>
    </row>
    <row r="5517" spans="2:30" s="323" customFormat="1" ht="12" customHeight="1">
      <c r="B5517" s="324"/>
      <c r="C5517" s="325"/>
      <c r="D5517" s="326"/>
      <c r="E5517" s="326"/>
      <c r="F5517" s="326"/>
      <c r="G5517" s="326"/>
      <c r="H5517" s="326"/>
      <c r="P5517" s="318"/>
      <c r="Q5517" s="318"/>
      <c r="R5517" s="318"/>
      <c r="S5517" s="318"/>
      <c r="T5517" s="318"/>
      <c r="U5517" s="318"/>
      <c r="V5517" s="318"/>
      <c r="W5517" s="318"/>
      <c r="X5517" s="318"/>
      <c r="Y5517" s="318"/>
      <c r="Z5517" s="318"/>
      <c r="AA5517" s="318"/>
      <c r="AB5517" s="318"/>
      <c r="AC5517" s="318"/>
      <c r="AD5517" s="318"/>
    </row>
    <row r="5518" spans="2:30" s="323" customFormat="1" ht="12" customHeight="1">
      <c r="B5518" s="324"/>
      <c r="C5518" s="325"/>
      <c r="D5518" s="326"/>
      <c r="E5518" s="326"/>
      <c r="F5518" s="326"/>
      <c r="G5518" s="326"/>
      <c r="H5518" s="326"/>
      <c r="P5518" s="318"/>
      <c r="Q5518" s="318"/>
      <c r="R5518" s="318"/>
      <c r="S5518" s="318"/>
      <c r="T5518" s="318"/>
      <c r="U5518" s="318"/>
      <c r="V5518" s="318"/>
      <c r="W5518" s="318"/>
      <c r="X5518" s="318"/>
      <c r="Y5518" s="318"/>
      <c r="Z5518" s="318"/>
      <c r="AA5518" s="318"/>
      <c r="AB5518" s="318"/>
      <c r="AC5518" s="318"/>
      <c r="AD5518" s="318"/>
    </row>
    <row r="5519" spans="2:30" s="323" customFormat="1" ht="12" customHeight="1">
      <c r="B5519" s="324"/>
      <c r="C5519" s="325"/>
      <c r="D5519" s="326"/>
      <c r="E5519" s="326"/>
      <c r="F5519" s="326"/>
      <c r="G5519" s="326"/>
      <c r="H5519" s="326"/>
      <c r="P5519" s="318"/>
      <c r="Q5519" s="318"/>
      <c r="R5519" s="318"/>
      <c r="S5519" s="318"/>
      <c r="T5519" s="318"/>
      <c r="U5519" s="318"/>
      <c r="V5519" s="318"/>
      <c r="W5519" s="318"/>
      <c r="X5519" s="318"/>
      <c r="Y5519" s="318"/>
      <c r="Z5519" s="318"/>
      <c r="AA5519" s="318"/>
      <c r="AB5519" s="318"/>
      <c r="AC5519" s="318"/>
      <c r="AD5519" s="318"/>
    </row>
    <row r="5520" spans="2:30" s="323" customFormat="1" ht="12" customHeight="1">
      <c r="B5520" s="324"/>
      <c r="C5520" s="325"/>
      <c r="D5520" s="326"/>
      <c r="E5520" s="326"/>
      <c r="F5520" s="326"/>
      <c r="G5520" s="326"/>
      <c r="H5520" s="326"/>
      <c r="P5520" s="318"/>
      <c r="Q5520" s="318"/>
      <c r="R5520" s="318"/>
      <c r="S5520" s="318"/>
      <c r="T5520" s="318"/>
      <c r="U5520" s="318"/>
      <c r="V5520" s="318"/>
      <c r="W5520" s="318"/>
      <c r="X5520" s="318"/>
      <c r="Y5520" s="318"/>
      <c r="Z5520" s="318"/>
      <c r="AA5520" s="318"/>
      <c r="AB5520" s="318"/>
      <c r="AC5520" s="318"/>
      <c r="AD5520" s="318"/>
    </row>
    <row r="5521" spans="2:30" s="323" customFormat="1" ht="12" customHeight="1">
      <c r="B5521" s="324"/>
      <c r="C5521" s="325"/>
      <c r="D5521" s="326"/>
      <c r="E5521" s="326"/>
      <c r="F5521" s="326"/>
      <c r="G5521" s="326"/>
      <c r="H5521" s="326"/>
      <c r="P5521" s="318"/>
      <c r="Q5521" s="318"/>
      <c r="R5521" s="318"/>
      <c r="S5521" s="318"/>
      <c r="T5521" s="318"/>
      <c r="U5521" s="318"/>
      <c r="V5521" s="318"/>
      <c r="W5521" s="318"/>
      <c r="X5521" s="318"/>
      <c r="Y5521" s="318"/>
      <c r="Z5521" s="318"/>
      <c r="AA5521" s="318"/>
      <c r="AB5521" s="318"/>
      <c r="AC5521" s="318"/>
      <c r="AD5521" s="318"/>
    </row>
    <row r="5522" spans="2:30" s="323" customFormat="1" ht="12" customHeight="1">
      <c r="B5522" s="324"/>
      <c r="C5522" s="325"/>
      <c r="D5522" s="326"/>
      <c r="E5522" s="326"/>
      <c r="F5522" s="326"/>
      <c r="G5522" s="326"/>
      <c r="H5522" s="326"/>
      <c r="P5522" s="318"/>
      <c r="Q5522" s="318"/>
      <c r="R5522" s="318"/>
      <c r="S5522" s="318"/>
      <c r="T5522" s="318"/>
      <c r="U5522" s="318"/>
      <c r="V5522" s="318"/>
      <c r="W5522" s="318"/>
      <c r="X5522" s="318"/>
      <c r="Y5522" s="318"/>
      <c r="Z5522" s="318"/>
      <c r="AA5522" s="318"/>
      <c r="AB5522" s="318"/>
      <c r="AC5522" s="318"/>
      <c r="AD5522" s="318"/>
    </row>
    <row r="5523" spans="2:30" s="323" customFormat="1" ht="12" customHeight="1">
      <c r="B5523" s="324"/>
      <c r="C5523" s="325"/>
      <c r="D5523" s="326"/>
      <c r="E5523" s="326"/>
      <c r="F5523" s="326"/>
      <c r="G5523" s="326"/>
      <c r="H5523" s="326"/>
      <c r="P5523" s="318"/>
      <c r="Q5523" s="318"/>
      <c r="R5523" s="318"/>
      <c r="S5523" s="318"/>
      <c r="T5523" s="318"/>
      <c r="U5523" s="318"/>
      <c r="V5523" s="318"/>
      <c r="W5523" s="318"/>
      <c r="X5523" s="318"/>
      <c r="Y5523" s="318"/>
      <c r="Z5523" s="318"/>
      <c r="AA5523" s="318"/>
      <c r="AB5523" s="318"/>
      <c r="AC5523" s="318"/>
      <c r="AD5523" s="318"/>
    </row>
    <row r="5524" spans="2:30" s="323" customFormat="1" ht="12" customHeight="1">
      <c r="B5524" s="324"/>
      <c r="C5524" s="325"/>
      <c r="D5524" s="326"/>
      <c r="E5524" s="326"/>
      <c r="F5524" s="326"/>
      <c r="G5524" s="326"/>
      <c r="H5524" s="326"/>
      <c r="P5524" s="318"/>
      <c r="Q5524" s="318"/>
      <c r="R5524" s="318"/>
      <c r="S5524" s="318"/>
      <c r="T5524" s="318"/>
      <c r="U5524" s="318"/>
      <c r="V5524" s="318"/>
      <c r="W5524" s="318"/>
      <c r="X5524" s="318"/>
      <c r="Y5524" s="318"/>
      <c r="Z5524" s="318"/>
      <c r="AA5524" s="318"/>
      <c r="AB5524" s="318"/>
      <c r="AC5524" s="318"/>
      <c r="AD5524" s="318"/>
    </row>
    <row r="5525" spans="2:30" s="323" customFormat="1" ht="12" customHeight="1">
      <c r="B5525" s="324"/>
      <c r="C5525" s="325"/>
      <c r="D5525" s="326"/>
      <c r="E5525" s="326"/>
      <c r="F5525" s="326"/>
      <c r="G5525" s="326"/>
      <c r="H5525" s="326"/>
      <c r="P5525" s="318"/>
      <c r="Q5525" s="318"/>
      <c r="R5525" s="318"/>
      <c r="S5525" s="318"/>
      <c r="T5525" s="318"/>
      <c r="U5525" s="318"/>
      <c r="V5525" s="318"/>
      <c r="W5525" s="318"/>
      <c r="X5525" s="318"/>
      <c r="Y5525" s="318"/>
      <c r="Z5525" s="318"/>
      <c r="AA5525" s="318"/>
      <c r="AB5525" s="318"/>
      <c r="AC5525" s="318"/>
      <c r="AD5525" s="318"/>
    </row>
    <row r="5526" spans="2:30" s="323" customFormat="1" ht="12" customHeight="1">
      <c r="B5526" s="324"/>
      <c r="C5526" s="325"/>
      <c r="D5526" s="326"/>
      <c r="E5526" s="326"/>
      <c r="F5526" s="326"/>
      <c r="G5526" s="326"/>
      <c r="H5526" s="326"/>
      <c r="P5526" s="318"/>
      <c r="Q5526" s="318"/>
      <c r="R5526" s="318"/>
      <c r="S5526" s="318"/>
      <c r="T5526" s="318"/>
      <c r="U5526" s="318"/>
      <c r="V5526" s="318"/>
      <c r="W5526" s="318"/>
      <c r="X5526" s="318"/>
      <c r="Y5526" s="318"/>
      <c r="Z5526" s="318"/>
      <c r="AA5526" s="318"/>
      <c r="AB5526" s="318"/>
      <c r="AC5526" s="318"/>
      <c r="AD5526" s="318"/>
    </row>
    <row r="5527" spans="2:30" s="323" customFormat="1" ht="12" customHeight="1">
      <c r="B5527" s="324"/>
      <c r="C5527" s="325"/>
      <c r="D5527" s="326"/>
      <c r="E5527" s="326"/>
      <c r="F5527" s="326"/>
      <c r="G5527" s="326"/>
      <c r="H5527" s="326"/>
      <c r="P5527" s="318"/>
      <c r="Q5527" s="318"/>
      <c r="R5527" s="318"/>
      <c r="S5527" s="318"/>
      <c r="T5527" s="318"/>
      <c r="U5527" s="318"/>
      <c r="V5527" s="318"/>
      <c r="W5527" s="318"/>
      <c r="X5527" s="318"/>
      <c r="Y5527" s="318"/>
      <c r="Z5527" s="318"/>
      <c r="AA5527" s="318"/>
      <c r="AB5527" s="318"/>
      <c r="AC5527" s="318"/>
      <c r="AD5527" s="318"/>
    </row>
    <row r="5528" spans="2:30" s="323" customFormat="1" ht="12" customHeight="1">
      <c r="B5528" s="324"/>
      <c r="C5528" s="325"/>
      <c r="D5528" s="326"/>
      <c r="E5528" s="326"/>
      <c r="F5528" s="326"/>
      <c r="G5528" s="326"/>
      <c r="H5528" s="326"/>
      <c r="P5528" s="318"/>
      <c r="Q5528" s="318"/>
      <c r="R5528" s="318"/>
      <c r="S5528" s="318"/>
      <c r="T5528" s="318"/>
      <c r="U5528" s="318"/>
      <c r="V5528" s="318"/>
      <c r="W5528" s="318"/>
      <c r="X5528" s="318"/>
      <c r="Y5528" s="318"/>
      <c r="Z5528" s="318"/>
      <c r="AA5528" s="318"/>
      <c r="AB5528" s="318"/>
      <c r="AC5528" s="318"/>
      <c r="AD5528" s="318"/>
    </row>
    <row r="5529" spans="2:30" s="323" customFormat="1" ht="12" customHeight="1">
      <c r="B5529" s="324"/>
      <c r="C5529" s="325"/>
      <c r="D5529" s="326"/>
      <c r="E5529" s="326"/>
      <c r="F5529" s="326"/>
      <c r="G5529" s="326"/>
      <c r="H5529" s="326"/>
      <c r="P5529" s="318"/>
      <c r="Q5529" s="318"/>
      <c r="R5529" s="318"/>
      <c r="S5529" s="318"/>
      <c r="T5529" s="318"/>
      <c r="U5529" s="318"/>
      <c r="V5529" s="318"/>
      <c r="W5529" s="318"/>
      <c r="X5529" s="318"/>
      <c r="Y5529" s="318"/>
      <c r="Z5529" s="318"/>
      <c r="AA5529" s="318"/>
      <c r="AB5529" s="318"/>
      <c r="AC5529" s="318"/>
      <c r="AD5529" s="318"/>
    </row>
    <row r="5530" spans="2:30" s="323" customFormat="1" ht="12" customHeight="1">
      <c r="B5530" s="324"/>
      <c r="C5530" s="325"/>
      <c r="D5530" s="326"/>
      <c r="E5530" s="326"/>
      <c r="F5530" s="326"/>
      <c r="G5530" s="326"/>
      <c r="H5530" s="326"/>
      <c r="P5530" s="318"/>
      <c r="Q5530" s="318"/>
      <c r="R5530" s="318"/>
      <c r="S5530" s="318"/>
      <c r="T5530" s="318"/>
      <c r="U5530" s="318"/>
      <c r="V5530" s="318"/>
      <c r="W5530" s="318"/>
      <c r="X5530" s="318"/>
      <c r="Y5530" s="318"/>
      <c r="Z5530" s="318"/>
      <c r="AA5530" s="318"/>
      <c r="AB5530" s="318"/>
      <c r="AC5530" s="318"/>
      <c r="AD5530" s="318"/>
    </row>
    <row r="5531" spans="2:30" s="323" customFormat="1" ht="12" customHeight="1">
      <c r="B5531" s="324"/>
      <c r="C5531" s="325"/>
      <c r="D5531" s="326"/>
      <c r="E5531" s="326"/>
      <c r="F5531" s="326"/>
      <c r="G5531" s="326"/>
      <c r="H5531" s="326"/>
      <c r="P5531" s="318"/>
      <c r="Q5531" s="318"/>
      <c r="R5531" s="318"/>
      <c r="S5531" s="318"/>
      <c r="T5531" s="318"/>
      <c r="U5531" s="318"/>
      <c r="V5531" s="318"/>
      <c r="W5531" s="318"/>
      <c r="X5531" s="318"/>
      <c r="Y5531" s="318"/>
      <c r="Z5531" s="318"/>
      <c r="AA5531" s="318"/>
      <c r="AB5531" s="318"/>
      <c r="AC5531" s="318"/>
      <c r="AD5531" s="318"/>
    </row>
    <row r="5532" spans="2:30" s="323" customFormat="1" ht="12" customHeight="1">
      <c r="B5532" s="324"/>
      <c r="C5532" s="325"/>
      <c r="D5532" s="326"/>
      <c r="E5532" s="326"/>
      <c r="F5532" s="326"/>
      <c r="G5532" s="326"/>
      <c r="H5532" s="326"/>
      <c r="P5532" s="318"/>
      <c r="Q5532" s="318"/>
      <c r="R5532" s="318"/>
      <c r="S5532" s="318"/>
      <c r="T5532" s="318"/>
      <c r="U5532" s="318"/>
      <c r="V5532" s="318"/>
      <c r="W5532" s="318"/>
      <c r="X5532" s="318"/>
      <c r="Y5532" s="318"/>
      <c r="Z5532" s="318"/>
      <c r="AA5532" s="318"/>
      <c r="AB5532" s="318"/>
      <c r="AC5532" s="318"/>
      <c r="AD5532" s="318"/>
    </row>
    <row r="5533" spans="2:30" s="323" customFormat="1" ht="12" customHeight="1">
      <c r="B5533" s="324"/>
      <c r="C5533" s="325"/>
      <c r="D5533" s="326"/>
      <c r="E5533" s="326"/>
      <c r="F5533" s="326"/>
      <c r="G5533" s="326"/>
      <c r="H5533" s="326"/>
      <c r="P5533" s="318"/>
      <c r="Q5533" s="318"/>
      <c r="R5533" s="318"/>
      <c r="S5533" s="318"/>
      <c r="T5533" s="318"/>
      <c r="U5533" s="318"/>
      <c r="V5533" s="318"/>
      <c r="W5533" s="318"/>
      <c r="X5533" s="318"/>
      <c r="Y5533" s="318"/>
      <c r="Z5533" s="318"/>
      <c r="AA5533" s="318"/>
      <c r="AB5533" s="318"/>
      <c r="AC5533" s="318"/>
      <c r="AD5533" s="318"/>
    </row>
    <row r="5534" spans="2:30" s="323" customFormat="1" ht="12" customHeight="1">
      <c r="B5534" s="324"/>
      <c r="C5534" s="325"/>
      <c r="D5534" s="326"/>
      <c r="E5534" s="326"/>
      <c r="F5534" s="326"/>
      <c r="G5534" s="326"/>
      <c r="H5534" s="326"/>
      <c r="P5534" s="318"/>
      <c r="Q5534" s="318"/>
      <c r="R5534" s="318"/>
      <c r="S5534" s="318"/>
      <c r="T5534" s="318"/>
      <c r="U5534" s="318"/>
      <c r="V5534" s="318"/>
      <c r="W5534" s="318"/>
      <c r="X5534" s="318"/>
      <c r="Y5534" s="318"/>
      <c r="Z5534" s="318"/>
      <c r="AA5534" s="318"/>
      <c r="AB5534" s="318"/>
      <c r="AC5534" s="318"/>
      <c r="AD5534" s="318"/>
    </row>
    <row r="5535" spans="2:30" s="323" customFormat="1" ht="12" customHeight="1">
      <c r="B5535" s="324"/>
      <c r="C5535" s="325"/>
      <c r="D5535" s="326"/>
      <c r="E5535" s="326"/>
      <c r="F5535" s="326"/>
      <c r="G5535" s="326"/>
      <c r="H5535" s="326"/>
      <c r="P5535" s="318"/>
      <c r="Q5535" s="318"/>
      <c r="R5535" s="318"/>
      <c r="S5535" s="318"/>
      <c r="T5535" s="318"/>
      <c r="U5535" s="318"/>
      <c r="V5535" s="318"/>
      <c r="W5535" s="318"/>
      <c r="X5535" s="318"/>
      <c r="Y5535" s="318"/>
      <c r="Z5535" s="318"/>
      <c r="AA5535" s="318"/>
      <c r="AB5535" s="318"/>
      <c r="AC5535" s="318"/>
      <c r="AD5535" s="318"/>
    </row>
    <row r="5536" spans="2:30" s="323" customFormat="1" ht="12" customHeight="1">
      <c r="B5536" s="324"/>
      <c r="C5536" s="325"/>
      <c r="D5536" s="326"/>
      <c r="E5536" s="326"/>
      <c r="F5536" s="326"/>
      <c r="G5536" s="326"/>
      <c r="H5536" s="326"/>
      <c r="P5536" s="318"/>
      <c r="Q5536" s="318"/>
      <c r="R5536" s="318"/>
      <c r="S5536" s="318"/>
      <c r="T5536" s="318"/>
      <c r="U5536" s="318"/>
      <c r="V5536" s="318"/>
      <c r="W5536" s="318"/>
      <c r="X5536" s="318"/>
      <c r="Y5536" s="318"/>
      <c r="Z5536" s="318"/>
      <c r="AA5536" s="318"/>
      <c r="AB5536" s="318"/>
      <c r="AC5536" s="318"/>
      <c r="AD5536" s="318"/>
    </row>
    <row r="5537" spans="2:30" s="323" customFormat="1" ht="12" customHeight="1">
      <c r="B5537" s="324"/>
      <c r="C5537" s="325"/>
      <c r="D5537" s="326"/>
      <c r="E5537" s="326"/>
      <c r="F5537" s="326"/>
      <c r="G5537" s="326"/>
      <c r="H5537" s="326"/>
      <c r="P5537" s="318"/>
      <c r="Q5537" s="318"/>
      <c r="R5537" s="318"/>
      <c r="S5537" s="318"/>
      <c r="T5537" s="318"/>
      <c r="U5537" s="318"/>
      <c r="V5537" s="318"/>
      <c r="W5537" s="318"/>
      <c r="X5537" s="318"/>
      <c r="Y5537" s="318"/>
      <c r="Z5537" s="318"/>
      <c r="AA5537" s="318"/>
      <c r="AB5537" s="318"/>
      <c r="AC5537" s="318"/>
      <c r="AD5537" s="318"/>
    </row>
    <row r="5538" spans="2:30" s="323" customFormat="1" ht="12" customHeight="1">
      <c r="B5538" s="324"/>
      <c r="C5538" s="325"/>
      <c r="D5538" s="326"/>
      <c r="E5538" s="326"/>
      <c r="F5538" s="326"/>
      <c r="G5538" s="326"/>
      <c r="H5538" s="326"/>
      <c r="P5538" s="318"/>
      <c r="Q5538" s="318"/>
      <c r="R5538" s="318"/>
      <c r="S5538" s="318"/>
      <c r="T5538" s="318"/>
      <c r="U5538" s="318"/>
      <c r="V5538" s="318"/>
      <c r="W5538" s="318"/>
      <c r="X5538" s="318"/>
      <c r="Y5538" s="318"/>
      <c r="Z5538" s="318"/>
      <c r="AA5538" s="318"/>
      <c r="AB5538" s="318"/>
      <c r="AC5538" s="318"/>
      <c r="AD5538" s="318"/>
    </row>
    <row r="5539" spans="2:30" s="323" customFormat="1" ht="12" customHeight="1">
      <c r="B5539" s="324"/>
      <c r="C5539" s="325"/>
      <c r="D5539" s="326"/>
      <c r="E5539" s="326"/>
      <c r="F5539" s="326"/>
      <c r="G5539" s="326"/>
      <c r="H5539" s="326"/>
      <c r="P5539" s="318"/>
      <c r="Q5539" s="318"/>
      <c r="R5539" s="318"/>
      <c r="S5539" s="318"/>
      <c r="T5539" s="318"/>
      <c r="U5539" s="318"/>
      <c r="V5539" s="318"/>
      <c r="W5539" s="318"/>
      <c r="X5539" s="318"/>
      <c r="Y5539" s="318"/>
      <c r="Z5539" s="318"/>
      <c r="AA5539" s="318"/>
      <c r="AB5539" s="318"/>
      <c r="AC5539" s="318"/>
      <c r="AD5539" s="318"/>
    </row>
    <row r="5540" spans="2:30" s="323" customFormat="1" ht="12" customHeight="1">
      <c r="B5540" s="324"/>
      <c r="C5540" s="325"/>
      <c r="D5540" s="326"/>
      <c r="E5540" s="326"/>
      <c r="F5540" s="326"/>
      <c r="G5540" s="326"/>
      <c r="H5540" s="326"/>
      <c r="P5540" s="318"/>
      <c r="Q5540" s="318"/>
      <c r="R5540" s="318"/>
      <c r="S5540" s="318"/>
      <c r="T5540" s="318"/>
      <c r="U5540" s="318"/>
      <c r="V5540" s="318"/>
      <c r="W5540" s="318"/>
      <c r="X5540" s="318"/>
      <c r="Y5540" s="318"/>
      <c r="Z5540" s="318"/>
      <c r="AA5540" s="318"/>
      <c r="AB5540" s="318"/>
      <c r="AC5540" s="318"/>
      <c r="AD5540" s="318"/>
    </row>
    <row r="5541" spans="2:30" s="323" customFormat="1" ht="12" customHeight="1">
      <c r="B5541" s="324"/>
      <c r="C5541" s="325"/>
      <c r="D5541" s="326"/>
      <c r="E5541" s="326"/>
      <c r="F5541" s="326"/>
      <c r="G5541" s="326"/>
      <c r="H5541" s="326"/>
      <c r="P5541" s="318"/>
      <c r="Q5541" s="318"/>
      <c r="R5541" s="318"/>
      <c r="S5541" s="318"/>
      <c r="T5541" s="318"/>
      <c r="U5541" s="318"/>
      <c r="V5541" s="318"/>
      <c r="W5541" s="318"/>
      <c r="X5541" s="318"/>
      <c r="Y5541" s="318"/>
      <c r="Z5541" s="318"/>
      <c r="AA5541" s="318"/>
      <c r="AB5541" s="318"/>
      <c r="AC5541" s="318"/>
      <c r="AD5541" s="318"/>
    </row>
    <row r="5542" spans="2:30" s="323" customFormat="1" ht="12" customHeight="1">
      <c r="B5542" s="324"/>
      <c r="C5542" s="325"/>
      <c r="D5542" s="326"/>
      <c r="E5542" s="326"/>
      <c r="F5542" s="326"/>
      <c r="G5542" s="326"/>
      <c r="H5542" s="326"/>
      <c r="P5542" s="318"/>
      <c r="Q5542" s="318"/>
      <c r="R5542" s="318"/>
      <c r="S5542" s="318"/>
      <c r="T5542" s="318"/>
      <c r="U5542" s="318"/>
      <c r="V5542" s="318"/>
      <c r="W5542" s="318"/>
      <c r="X5542" s="318"/>
      <c r="Y5542" s="318"/>
      <c r="Z5542" s="318"/>
      <c r="AA5542" s="318"/>
      <c r="AB5542" s="318"/>
      <c r="AC5542" s="318"/>
      <c r="AD5542" s="318"/>
    </row>
    <row r="5543" spans="2:30" s="323" customFormat="1" ht="12" customHeight="1">
      <c r="B5543" s="324"/>
      <c r="C5543" s="325"/>
      <c r="D5543" s="326"/>
      <c r="E5543" s="326"/>
      <c r="F5543" s="326"/>
      <c r="G5543" s="326"/>
      <c r="H5543" s="326"/>
      <c r="P5543" s="318"/>
      <c r="Q5543" s="318"/>
      <c r="R5543" s="318"/>
      <c r="S5543" s="318"/>
      <c r="T5543" s="318"/>
      <c r="U5543" s="318"/>
      <c r="V5543" s="318"/>
      <c r="W5543" s="318"/>
      <c r="X5543" s="318"/>
      <c r="Y5543" s="318"/>
      <c r="Z5543" s="318"/>
      <c r="AA5543" s="318"/>
      <c r="AB5543" s="318"/>
      <c r="AC5543" s="318"/>
      <c r="AD5543" s="318"/>
    </row>
    <row r="5544" spans="2:30" s="323" customFormat="1" ht="12" customHeight="1">
      <c r="B5544" s="324"/>
      <c r="C5544" s="325"/>
      <c r="D5544" s="326"/>
      <c r="E5544" s="326"/>
      <c r="F5544" s="326"/>
      <c r="G5544" s="326"/>
      <c r="H5544" s="326"/>
      <c r="P5544" s="318"/>
      <c r="Q5544" s="318"/>
      <c r="R5544" s="318"/>
      <c r="S5544" s="318"/>
      <c r="T5544" s="318"/>
      <c r="U5544" s="318"/>
      <c r="V5544" s="318"/>
      <c r="W5544" s="318"/>
      <c r="X5544" s="318"/>
      <c r="Y5544" s="318"/>
      <c r="Z5544" s="318"/>
      <c r="AA5544" s="318"/>
      <c r="AB5544" s="318"/>
      <c r="AC5544" s="318"/>
      <c r="AD5544" s="318"/>
    </row>
    <row r="5545" spans="2:30" s="323" customFormat="1" ht="12" customHeight="1">
      <c r="B5545" s="324"/>
      <c r="C5545" s="325"/>
      <c r="D5545" s="326"/>
      <c r="E5545" s="326"/>
      <c r="F5545" s="326"/>
      <c r="G5545" s="326"/>
      <c r="H5545" s="326"/>
      <c r="P5545" s="318"/>
      <c r="Q5545" s="318"/>
      <c r="R5545" s="318"/>
      <c r="S5545" s="318"/>
      <c r="T5545" s="318"/>
      <c r="U5545" s="318"/>
      <c r="V5545" s="318"/>
      <c r="W5545" s="318"/>
      <c r="X5545" s="318"/>
      <c r="Y5545" s="318"/>
      <c r="Z5545" s="318"/>
      <c r="AA5545" s="318"/>
      <c r="AB5545" s="318"/>
      <c r="AC5545" s="318"/>
      <c r="AD5545" s="318"/>
    </row>
    <row r="5546" spans="2:30" s="323" customFormat="1" ht="12" customHeight="1">
      <c r="B5546" s="324"/>
      <c r="C5546" s="325"/>
      <c r="D5546" s="326"/>
      <c r="E5546" s="326"/>
      <c r="F5546" s="326"/>
      <c r="G5546" s="326"/>
      <c r="H5546" s="326"/>
      <c r="P5546" s="318"/>
      <c r="Q5546" s="318"/>
      <c r="R5546" s="318"/>
      <c r="S5546" s="318"/>
      <c r="T5546" s="318"/>
      <c r="U5546" s="318"/>
      <c r="V5546" s="318"/>
      <c r="W5546" s="318"/>
      <c r="X5546" s="318"/>
      <c r="Y5546" s="318"/>
      <c r="Z5546" s="318"/>
      <c r="AA5546" s="318"/>
      <c r="AB5546" s="318"/>
      <c r="AC5546" s="318"/>
      <c r="AD5546" s="318"/>
    </row>
    <row r="5547" spans="2:30" s="323" customFormat="1" ht="12" customHeight="1">
      <c r="B5547" s="324"/>
      <c r="C5547" s="325"/>
      <c r="D5547" s="326"/>
      <c r="E5547" s="326"/>
      <c r="F5547" s="326"/>
      <c r="G5547" s="326"/>
      <c r="H5547" s="326"/>
      <c r="P5547" s="318"/>
      <c r="Q5547" s="318"/>
      <c r="R5547" s="318"/>
      <c r="S5547" s="318"/>
      <c r="T5547" s="318"/>
      <c r="U5547" s="318"/>
      <c r="V5547" s="318"/>
      <c r="W5547" s="318"/>
      <c r="X5547" s="318"/>
      <c r="Y5547" s="318"/>
      <c r="Z5547" s="318"/>
      <c r="AA5547" s="318"/>
      <c r="AB5547" s="318"/>
      <c r="AC5547" s="318"/>
      <c r="AD5547" s="318"/>
    </row>
    <row r="5548" spans="2:30" s="323" customFormat="1" ht="12" customHeight="1">
      <c r="B5548" s="324"/>
      <c r="C5548" s="325"/>
      <c r="D5548" s="326"/>
      <c r="E5548" s="326"/>
      <c r="F5548" s="326"/>
      <c r="G5548" s="326"/>
      <c r="H5548" s="326"/>
      <c r="P5548" s="318"/>
      <c r="Q5548" s="318"/>
      <c r="R5548" s="318"/>
      <c r="S5548" s="318"/>
      <c r="T5548" s="318"/>
      <c r="U5548" s="318"/>
      <c r="V5548" s="318"/>
      <c r="W5548" s="318"/>
      <c r="X5548" s="318"/>
      <c r="Y5548" s="318"/>
      <c r="Z5548" s="318"/>
      <c r="AA5548" s="318"/>
      <c r="AB5548" s="318"/>
      <c r="AC5548" s="318"/>
      <c r="AD5548" s="318"/>
    </row>
    <row r="5549" spans="2:30" s="323" customFormat="1" ht="12" customHeight="1">
      <c r="B5549" s="324"/>
      <c r="C5549" s="325"/>
      <c r="D5549" s="326"/>
      <c r="E5549" s="326"/>
      <c r="F5549" s="326"/>
      <c r="G5549" s="326"/>
      <c r="H5549" s="326"/>
      <c r="P5549" s="318"/>
      <c r="Q5549" s="318"/>
      <c r="R5549" s="318"/>
      <c r="S5549" s="318"/>
      <c r="T5549" s="318"/>
      <c r="U5549" s="318"/>
      <c r="V5549" s="318"/>
      <c r="W5549" s="318"/>
      <c r="X5549" s="318"/>
      <c r="Y5549" s="318"/>
      <c r="Z5549" s="318"/>
      <c r="AA5549" s="318"/>
      <c r="AB5549" s="318"/>
      <c r="AC5549" s="318"/>
      <c r="AD5549" s="318"/>
    </row>
    <row r="5550" spans="2:30" s="323" customFormat="1" ht="12" customHeight="1">
      <c r="B5550" s="324"/>
      <c r="C5550" s="325"/>
      <c r="D5550" s="326"/>
      <c r="E5550" s="326"/>
      <c r="F5550" s="326"/>
      <c r="G5550" s="326"/>
      <c r="H5550" s="326"/>
      <c r="P5550" s="318"/>
      <c r="Q5550" s="318"/>
      <c r="R5550" s="318"/>
      <c r="S5550" s="318"/>
      <c r="T5550" s="318"/>
      <c r="U5550" s="318"/>
      <c r="V5550" s="318"/>
      <c r="W5550" s="318"/>
      <c r="X5550" s="318"/>
      <c r="Y5550" s="318"/>
      <c r="Z5550" s="318"/>
      <c r="AA5550" s="318"/>
      <c r="AB5550" s="318"/>
      <c r="AC5550" s="318"/>
      <c r="AD5550" s="318"/>
    </row>
    <row r="5551" spans="2:30" s="323" customFormat="1" ht="12" customHeight="1">
      <c r="B5551" s="324"/>
      <c r="C5551" s="325"/>
      <c r="D5551" s="326"/>
      <c r="E5551" s="326"/>
      <c r="F5551" s="326"/>
      <c r="G5551" s="326"/>
      <c r="H5551" s="326"/>
      <c r="P5551" s="318"/>
      <c r="Q5551" s="318"/>
      <c r="R5551" s="318"/>
      <c r="S5551" s="318"/>
      <c r="T5551" s="318"/>
      <c r="U5551" s="318"/>
      <c r="V5551" s="318"/>
      <c r="W5551" s="318"/>
      <c r="X5551" s="318"/>
      <c r="Y5551" s="318"/>
      <c r="Z5551" s="318"/>
      <c r="AA5551" s="318"/>
      <c r="AB5551" s="318"/>
      <c r="AC5551" s="318"/>
      <c r="AD5551" s="318"/>
    </row>
    <row r="5552" spans="2:30" s="323" customFormat="1" ht="12" customHeight="1">
      <c r="B5552" s="324"/>
      <c r="C5552" s="325"/>
      <c r="D5552" s="326"/>
      <c r="E5552" s="326"/>
      <c r="F5552" s="326"/>
      <c r="G5552" s="326"/>
      <c r="H5552" s="326"/>
      <c r="P5552" s="318"/>
      <c r="Q5552" s="318"/>
      <c r="R5552" s="318"/>
      <c r="S5552" s="318"/>
      <c r="T5552" s="318"/>
      <c r="U5552" s="318"/>
      <c r="V5552" s="318"/>
      <c r="W5552" s="318"/>
      <c r="X5552" s="318"/>
      <c r="Y5552" s="318"/>
      <c r="Z5552" s="318"/>
      <c r="AA5552" s="318"/>
      <c r="AB5552" s="318"/>
      <c r="AC5552" s="318"/>
      <c r="AD5552" s="318"/>
    </row>
    <row r="5553" spans="2:30" s="323" customFormat="1" ht="12" customHeight="1">
      <c r="B5553" s="324"/>
      <c r="C5553" s="325"/>
      <c r="D5553" s="326"/>
      <c r="E5553" s="326"/>
      <c r="F5553" s="326"/>
      <c r="G5553" s="326"/>
      <c r="H5553" s="326"/>
      <c r="P5553" s="318"/>
      <c r="Q5553" s="318"/>
      <c r="R5553" s="318"/>
      <c r="S5553" s="318"/>
      <c r="T5553" s="318"/>
      <c r="U5553" s="318"/>
      <c r="V5553" s="318"/>
      <c r="W5553" s="318"/>
      <c r="X5553" s="318"/>
      <c r="Y5553" s="318"/>
      <c r="Z5553" s="318"/>
      <c r="AA5553" s="318"/>
      <c r="AB5553" s="318"/>
      <c r="AC5553" s="318"/>
      <c r="AD5553" s="318"/>
    </row>
    <row r="5554" spans="2:30" s="323" customFormat="1" ht="12" customHeight="1">
      <c r="B5554" s="324"/>
      <c r="C5554" s="325"/>
      <c r="D5554" s="326"/>
      <c r="E5554" s="326"/>
      <c r="F5554" s="326"/>
      <c r="G5554" s="326"/>
      <c r="H5554" s="326"/>
      <c r="P5554" s="318"/>
      <c r="Q5554" s="318"/>
      <c r="R5554" s="318"/>
      <c r="S5554" s="318"/>
      <c r="T5554" s="318"/>
      <c r="U5554" s="318"/>
      <c r="V5554" s="318"/>
      <c r="W5554" s="318"/>
      <c r="X5554" s="318"/>
      <c r="Y5554" s="318"/>
      <c r="Z5554" s="318"/>
      <c r="AA5554" s="318"/>
      <c r="AB5554" s="318"/>
      <c r="AC5554" s="318"/>
      <c r="AD5554" s="318"/>
    </row>
    <row r="5555" spans="2:30" s="323" customFormat="1" ht="12" customHeight="1">
      <c r="B5555" s="324"/>
      <c r="C5555" s="325"/>
      <c r="D5555" s="326"/>
      <c r="E5555" s="326"/>
      <c r="F5555" s="326"/>
      <c r="G5555" s="326"/>
      <c r="H5555" s="326"/>
      <c r="P5555" s="318"/>
      <c r="Q5555" s="318"/>
      <c r="R5555" s="318"/>
      <c r="S5555" s="318"/>
      <c r="T5555" s="318"/>
      <c r="U5555" s="318"/>
      <c r="V5555" s="318"/>
      <c r="W5555" s="318"/>
      <c r="X5555" s="318"/>
      <c r="Y5555" s="318"/>
      <c r="Z5555" s="318"/>
      <c r="AA5555" s="318"/>
      <c r="AB5555" s="318"/>
      <c r="AC5555" s="318"/>
      <c r="AD5555" s="318"/>
    </row>
    <row r="5556" spans="2:30" s="323" customFormat="1" ht="12" customHeight="1">
      <c r="B5556" s="324"/>
      <c r="C5556" s="325"/>
      <c r="D5556" s="326"/>
      <c r="E5556" s="326"/>
      <c r="F5556" s="326"/>
      <c r="G5556" s="326"/>
      <c r="H5556" s="326"/>
      <c r="P5556" s="318"/>
      <c r="Q5556" s="318"/>
      <c r="R5556" s="318"/>
      <c r="S5556" s="318"/>
      <c r="T5556" s="318"/>
      <c r="U5556" s="318"/>
      <c r="V5556" s="318"/>
      <c r="W5556" s="318"/>
      <c r="X5556" s="318"/>
      <c r="Y5556" s="318"/>
      <c r="Z5556" s="318"/>
      <c r="AA5556" s="318"/>
      <c r="AB5556" s="318"/>
      <c r="AC5556" s="318"/>
      <c r="AD5556" s="318"/>
    </row>
    <row r="5557" spans="2:30" s="323" customFormat="1" ht="12" customHeight="1">
      <c r="B5557" s="324"/>
      <c r="C5557" s="325"/>
      <c r="D5557" s="326"/>
      <c r="E5557" s="326"/>
      <c r="F5557" s="326"/>
      <c r="G5557" s="326"/>
      <c r="H5557" s="326"/>
      <c r="P5557" s="318"/>
      <c r="Q5557" s="318"/>
      <c r="R5557" s="318"/>
      <c r="S5557" s="318"/>
      <c r="T5557" s="318"/>
      <c r="U5557" s="318"/>
      <c r="V5557" s="318"/>
      <c r="W5557" s="318"/>
      <c r="X5557" s="318"/>
      <c r="Y5557" s="318"/>
      <c r="Z5557" s="318"/>
      <c r="AA5557" s="318"/>
      <c r="AB5557" s="318"/>
      <c r="AC5557" s="318"/>
      <c r="AD5557" s="318"/>
    </row>
    <row r="5558" spans="2:30" s="323" customFormat="1" ht="12" customHeight="1">
      <c r="B5558" s="324"/>
      <c r="C5558" s="325"/>
      <c r="D5558" s="326"/>
      <c r="E5558" s="326"/>
      <c r="F5558" s="326"/>
      <c r="G5558" s="326"/>
      <c r="H5558" s="326"/>
      <c r="P5558" s="318"/>
      <c r="Q5558" s="318"/>
      <c r="R5558" s="318"/>
      <c r="S5558" s="318"/>
      <c r="T5558" s="318"/>
      <c r="U5558" s="318"/>
      <c r="V5558" s="318"/>
      <c r="W5558" s="318"/>
      <c r="X5558" s="318"/>
      <c r="Y5558" s="318"/>
      <c r="Z5558" s="318"/>
      <c r="AA5558" s="318"/>
      <c r="AB5558" s="318"/>
      <c r="AC5558" s="318"/>
      <c r="AD5558" s="318"/>
    </row>
    <row r="5559" spans="2:30" s="323" customFormat="1" ht="12" customHeight="1">
      <c r="B5559" s="324"/>
      <c r="C5559" s="325"/>
      <c r="D5559" s="326"/>
      <c r="E5559" s="326"/>
      <c r="F5559" s="326"/>
      <c r="G5559" s="326"/>
      <c r="H5559" s="326"/>
      <c r="P5559" s="318"/>
      <c r="Q5559" s="318"/>
      <c r="R5559" s="318"/>
      <c r="S5559" s="318"/>
      <c r="T5559" s="318"/>
      <c r="U5559" s="318"/>
      <c r="V5559" s="318"/>
      <c r="W5559" s="318"/>
      <c r="X5559" s="318"/>
      <c r="Y5559" s="318"/>
      <c r="Z5559" s="318"/>
      <c r="AA5559" s="318"/>
      <c r="AB5559" s="318"/>
      <c r="AC5559" s="318"/>
      <c r="AD5559" s="318"/>
    </row>
    <row r="5560" spans="2:30" s="323" customFormat="1" ht="12" customHeight="1">
      <c r="B5560" s="324"/>
      <c r="C5560" s="325"/>
      <c r="D5560" s="326"/>
      <c r="E5560" s="326"/>
      <c r="F5560" s="326"/>
      <c r="G5560" s="326"/>
      <c r="H5560" s="326"/>
      <c r="P5560" s="318"/>
      <c r="Q5560" s="318"/>
      <c r="R5560" s="318"/>
      <c r="S5560" s="318"/>
      <c r="T5560" s="318"/>
      <c r="U5560" s="318"/>
      <c r="V5560" s="318"/>
      <c r="W5560" s="318"/>
      <c r="X5560" s="318"/>
      <c r="Y5560" s="318"/>
      <c r="Z5560" s="318"/>
      <c r="AA5560" s="318"/>
      <c r="AB5560" s="318"/>
      <c r="AC5560" s="318"/>
      <c r="AD5560" s="318"/>
    </row>
    <row r="5561" spans="2:30" s="323" customFormat="1" ht="12" customHeight="1">
      <c r="B5561" s="324"/>
      <c r="C5561" s="325"/>
      <c r="D5561" s="326"/>
      <c r="E5561" s="326"/>
      <c r="F5561" s="326"/>
      <c r="G5561" s="326"/>
      <c r="H5561" s="326"/>
      <c r="P5561" s="318"/>
      <c r="Q5561" s="318"/>
      <c r="R5561" s="318"/>
      <c r="S5561" s="318"/>
      <c r="T5561" s="318"/>
      <c r="U5561" s="318"/>
      <c r="V5561" s="318"/>
      <c r="W5561" s="318"/>
      <c r="X5561" s="318"/>
      <c r="Y5561" s="318"/>
      <c r="Z5561" s="318"/>
      <c r="AA5561" s="318"/>
      <c r="AB5561" s="318"/>
      <c r="AC5561" s="318"/>
      <c r="AD5561" s="318"/>
    </row>
    <row r="5562" spans="2:30" s="323" customFormat="1" ht="12" customHeight="1">
      <c r="B5562" s="324"/>
      <c r="C5562" s="325"/>
      <c r="D5562" s="326"/>
      <c r="E5562" s="326"/>
      <c r="F5562" s="326"/>
      <c r="G5562" s="326"/>
      <c r="H5562" s="326"/>
      <c r="P5562" s="318"/>
      <c r="Q5562" s="318"/>
      <c r="R5562" s="318"/>
      <c r="S5562" s="318"/>
      <c r="T5562" s="318"/>
      <c r="U5562" s="318"/>
      <c r="V5562" s="318"/>
      <c r="W5562" s="318"/>
      <c r="X5562" s="318"/>
      <c r="Y5562" s="318"/>
      <c r="Z5562" s="318"/>
      <c r="AA5562" s="318"/>
      <c r="AB5562" s="318"/>
      <c r="AC5562" s="318"/>
      <c r="AD5562" s="318"/>
    </row>
    <row r="5563" spans="2:30" s="323" customFormat="1" ht="12" customHeight="1">
      <c r="B5563" s="324"/>
      <c r="C5563" s="325"/>
      <c r="D5563" s="326"/>
      <c r="E5563" s="326"/>
      <c r="F5563" s="326"/>
      <c r="G5563" s="326"/>
      <c r="H5563" s="326"/>
      <c r="P5563" s="318"/>
      <c r="Q5563" s="318"/>
      <c r="R5563" s="318"/>
      <c r="S5563" s="318"/>
      <c r="T5563" s="318"/>
      <c r="U5563" s="318"/>
      <c r="V5563" s="318"/>
      <c r="W5563" s="318"/>
      <c r="X5563" s="318"/>
      <c r="Y5563" s="318"/>
      <c r="Z5563" s="318"/>
      <c r="AA5563" s="318"/>
      <c r="AB5563" s="318"/>
      <c r="AC5563" s="318"/>
      <c r="AD5563" s="318"/>
    </row>
    <row r="5564" spans="2:30" s="323" customFormat="1" ht="12" customHeight="1">
      <c r="B5564" s="324"/>
      <c r="C5564" s="325"/>
      <c r="D5564" s="326"/>
      <c r="E5564" s="326"/>
      <c r="F5564" s="326"/>
      <c r="G5564" s="326"/>
      <c r="H5564" s="326"/>
      <c r="P5564" s="318"/>
      <c r="Q5564" s="318"/>
      <c r="R5564" s="318"/>
      <c r="S5564" s="318"/>
      <c r="T5564" s="318"/>
      <c r="U5564" s="318"/>
      <c r="V5564" s="318"/>
      <c r="W5564" s="318"/>
      <c r="X5564" s="318"/>
      <c r="Y5564" s="318"/>
      <c r="Z5564" s="318"/>
      <c r="AA5564" s="318"/>
      <c r="AB5564" s="318"/>
      <c r="AC5564" s="318"/>
      <c r="AD5564" s="318"/>
    </row>
    <row r="5565" spans="2:30" s="323" customFormat="1" ht="12" customHeight="1">
      <c r="B5565" s="324"/>
      <c r="C5565" s="325"/>
      <c r="D5565" s="326"/>
      <c r="E5565" s="326"/>
      <c r="F5565" s="326"/>
      <c r="G5565" s="326"/>
      <c r="H5565" s="326"/>
      <c r="P5565" s="318"/>
      <c r="Q5565" s="318"/>
      <c r="R5565" s="318"/>
      <c r="S5565" s="318"/>
      <c r="T5565" s="318"/>
      <c r="U5565" s="318"/>
      <c r="V5565" s="318"/>
      <c r="W5565" s="318"/>
      <c r="X5565" s="318"/>
      <c r="Y5565" s="318"/>
      <c r="Z5565" s="318"/>
      <c r="AA5565" s="318"/>
      <c r="AB5565" s="318"/>
      <c r="AC5565" s="318"/>
      <c r="AD5565" s="318"/>
    </row>
    <row r="5566" spans="2:30" s="323" customFormat="1" ht="12" customHeight="1">
      <c r="B5566" s="324"/>
      <c r="C5566" s="325"/>
      <c r="D5566" s="326"/>
      <c r="E5566" s="326"/>
      <c r="F5566" s="326"/>
      <c r="G5566" s="326"/>
      <c r="H5566" s="326"/>
      <c r="P5566" s="318"/>
      <c r="Q5566" s="318"/>
      <c r="R5566" s="318"/>
      <c r="S5566" s="318"/>
      <c r="T5566" s="318"/>
      <c r="U5566" s="318"/>
      <c r="V5566" s="318"/>
      <c r="W5566" s="318"/>
      <c r="X5566" s="318"/>
      <c r="Y5566" s="318"/>
      <c r="Z5566" s="318"/>
      <c r="AA5566" s="318"/>
      <c r="AB5566" s="318"/>
      <c r="AC5566" s="318"/>
      <c r="AD5566" s="318"/>
    </row>
    <row r="5567" spans="2:30" s="323" customFormat="1" ht="12" customHeight="1">
      <c r="B5567" s="324"/>
      <c r="C5567" s="325"/>
      <c r="D5567" s="326"/>
      <c r="E5567" s="326"/>
      <c r="F5567" s="326"/>
      <c r="G5567" s="326"/>
      <c r="H5567" s="326"/>
      <c r="P5567" s="318"/>
      <c r="Q5567" s="318"/>
      <c r="R5567" s="318"/>
      <c r="S5567" s="318"/>
      <c r="T5567" s="318"/>
      <c r="U5567" s="318"/>
      <c r="V5567" s="318"/>
      <c r="W5567" s="318"/>
      <c r="X5567" s="318"/>
      <c r="Y5567" s="318"/>
      <c r="Z5567" s="318"/>
      <c r="AA5567" s="318"/>
      <c r="AB5567" s="318"/>
      <c r="AC5567" s="318"/>
      <c r="AD5567" s="318"/>
    </row>
    <row r="5568" spans="2:30" s="323" customFormat="1" ht="12" customHeight="1">
      <c r="B5568" s="324"/>
      <c r="C5568" s="325"/>
      <c r="D5568" s="326"/>
      <c r="E5568" s="326"/>
      <c r="F5568" s="326"/>
      <c r="G5568" s="326"/>
      <c r="H5568" s="326"/>
      <c r="P5568" s="318"/>
      <c r="Q5568" s="318"/>
      <c r="R5568" s="318"/>
      <c r="S5568" s="318"/>
      <c r="T5568" s="318"/>
      <c r="U5568" s="318"/>
      <c r="V5568" s="318"/>
      <c r="W5568" s="318"/>
      <c r="X5568" s="318"/>
      <c r="Y5568" s="318"/>
      <c r="Z5568" s="318"/>
      <c r="AA5568" s="318"/>
      <c r="AB5568" s="318"/>
      <c r="AC5568" s="318"/>
      <c r="AD5568" s="318"/>
    </row>
    <row r="5569" spans="2:30" s="323" customFormat="1" ht="12" customHeight="1">
      <c r="B5569" s="324"/>
      <c r="C5569" s="325"/>
      <c r="D5569" s="326"/>
      <c r="E5569" s="326"/>
      <c r="F5569" s="326"/>
      <c r="G5569" s="326"/>
      <c r="H5569" s="326"/>
      <c r="P5569" s="318"/>
      <c r="Q5569" s="318"/>
      <c r="R5569" s="318"/>
      <c r="S5569" s="318"/>
      <c r="T5569" s="318"/>
      <c r="U5569" s="318"/>
      <c r="V5569" s="318"/>
      <c r="W5569" s="318"/>
      <c r="X5569" s="318"/>
      <c r="Y5569" s="318"/>
      <c r="Z5569" s="318"/>
      <c r="AA5569" s="318"/>
      <c r="AB5569" s="318"/>
      <c r="AC5569" s="318"/>
      <c r="AD5569" s="318"/>
    </row>
    <row r="5570" spans="2:30" s="323" customFormat="1" ht="12" customHeight="1">
      <c r="B5570" s="324"/>
      <c r="C5570" s="325"/>
      <c r="D5570" s="326"/>
      <c r="E5570" s="326"/>
      <c r="F5570" s="326"/>
      <c r="G5570" s="326"/>
      <c r="H5570" s="326"/>
      <c r="P5570" s="318"/>
      <c r="Q5570" s="318"/>
      <c r="R5570" s="318"/>
      <c r="S5570" s="318"/>
      <c r="T5570" s="318"/>
      <c r="U5570" s="318"/>
      <c r="V5570" s="318"/>
      <c r="W5570" s="318"/>
      <c r="X5570" s="318"/>
      <c r="Y5570" s="318"/>
      <c r="Z5570" s="318"/>
      <c r="AA5570" s="318"/>
      <c r="AB5570" s="318"/>
      <c r="AC5570" s="318"/>
      <c r="AD5570" s="318"/>
    </row>
    <row r="5571" spans="2:30" s="323" customFormat="1" ht="12" customHeight="1">
      <c r="B5571" s="324"/>
      <c r="C5571" s="325"/>
      <c r="D5571" s="326"/>
      <c r="E5571" s="326"/>
      <c r="F5571" s="326"/>
      <c r="G5571" s="326"/>
      <c r="H5571" s="326"/>
      <c r="P5571" s="318"/>
      <c r="Q5571" s="318"/>
      <c r="R5571" s="318"/>
      <c r="S5571" s="318"/>
      <c r="T5571" s="318"/>
      <c r="U5571" s="318"/>
      <c r="V5571" s="318"/>
      <c r="W5571" s="318"/>
      <c r="X5571" s="318"/>
      <c r="Y5571" s="318"/>
      <c r="Z5571" s="318"/>
      <c r="AA5571" s="318"/>
      <c r="AB5571" s="318"/>
      <c r="AC5571" s="318"/>
      <c r="AD5571" s="318"/>
    </row>
    <row r="5572" spans="2:30" s="323" customFormat="1" ht="12" customHeight="1">
      <c r="B5572" s="324"/>
      <c r="C5572" s="325"/>
      <c r="D5572" s="326"/>
      <c r="E5572" s="326"/>
      <c r="F5572" s="326"/>
      <c r="G5572" s="326"/>
      <c r="H5572" s="326"/>
      <c r="P5572" s="318"/>
      <c r="Q5572" s="318"/>
      <c r="R5572" s="318"/>
      <c r="S5572" s="318"/>
      <c r="T5572" s="318"/>
      <c r="U5572" s="318"/>
      <c r="V5572" s="318"/>
      <c r="W5572" s="318"/>
      <c r="X5572" s="318"/>
      <c r="Y5572" s="318"/>
      <c r="Z5572" s="318"/>
      <c r="AA5572" s="318"/>
      <c r="AB5572" s="318"/>
      <c r="AC5572" s="318"/>
      <c r="AD5572" s="318"/>
    </row>
    <row r="5573" spans="2:30" s="323" customFormat="1" ht="12" customHeight="1">
      <c r="B5573" s="324"/>
      <c r="C5573" s="325"/>
      <c r="D5573" s="326"/>
      <c r="E5573" s="326"/>
      <c r="F5573" s="326"/>
      <c r="G5573" s="326"/>
      <c r="H5573" s="326"/>
      <c r="P5573" s="318"/>
      <c r="Q5573" s="318"/>
      <c r="R5573" s="318"/>
      <c r="S5573" s="318"/>
      <c r="T5573" s="318"/>
      <c r="U5573" s="318"/>
      <c r="V5573" s="318"/>
      <c r="W5573" s="318"/>
      <c r="X5573" s="318"/>
      <c r="Y5573" s="318"/>
      <c r="Z5573" s="318"/>
      <c r="AA5573" s="318"/>
      <c r="AB5573" s="318"/>
      <c r="AC5573" s="318"/>
      <c r="AD5573" s="318"/>
    </row>
    <row r="5574" spans="2:30" s="323" customFormat="1" ht="12" customHeight="1">
      <c r="B5574" s="324"/>
      <c r="C5574" s="325"/>
      <c r="D5574" s="326"/>
      <c r="E5574" s="326"/>
      <c r="F5574" s="326"/>
      <c r="G5574" s="326"/>
      <c r="H5574" s="326"/>
      <c r="P5574" s="318"/>
      <c r="Q5574" s="318"/>
      <c r="R5574" s="318"/>
      <c r="S5574" s="318"/>
      <c r="T5574" s="318"/>
      <c r="U5574" s="318"/>
      <c r="V5574" s="318"/>
      <c r="W5574" s="318"/>
      <c r="X5574" s="318"/>
      <c r="Y5574" s="318"/>
      <c r="Z5574" s="318"/>
      <c r="AA5574" s="318"/>
      <c r="AB5574" s="318"/>
      <c r="AC5574" s="318"/>
      <c r="AD5574" s="318"/>
    </row>
    <row r="5575" spans="2:30" s="323" customFormat="1" ht="12" customHeight="1">
      <c r="B5575" s="324"/>
      <c r="C5575" s="325"/>
      <c r="D5575" s="326"/>
      <c r="E5575" s="326"/>
      <c r="F5575" s="326"/>
      <c r="G5575" s="326"/>
      <c r="H5575" s="326"/>
      <c r="P5575" s="318"/>
      <c r="Q5575" s="318"/>
      <c r="R5575" s="318"/>
      <c r="S5575" s="318"/>
      <c r="T5575" s="318"/>
      <c r="U5575" s="318"/>
      <c r="V5575" s="318"/>
      <c r="W5575" s="318"/>
      <c r="X5575" s="318"/>
      <c r="Y5575" s="318"/>
      <c r="Z5575" s="318"/>
      <c r="AA5575" s="318"/>
      <c r="AB5575" s="318"/>
      <c r="AC5575" s="318"/>
      <c r="AD5575" s="318"/>
    </row>
    <row r="5576" spans="2:30" s="323" customFormat="1" ht="12" customHeight="1">
      <c r="B5576" s="324"/>
      <c r="C5576" s="325"/>
      <c r="D5576" s="326"/>
      <c r="E5576" s="326"/>
      <c r="F5576" s="326"/>
      <c r="G5576" s="326"/>
      <c r="H5576" s="326"/>
      <c r="P5576" s="318"/>
      <c r="Q5576" s="318"/>
      <c r="R5576" s="318"/>
      <c r="S5576" s="318"/>
      <c r="T5576" s="318"/>
      <c r="U5576" s="318"/>
      <c r="V5576" s="318"/>
      <c r="W5576" s="318"/>
      <c r="X5576" s="318"/>
      <c r="Y5576" s="318"/>
      <c r="Z5576" s="318"/>
      <c r="AA5576" s="318"/>
      <c r="AB5576" s="318"/>
      <c r="AC5576" s="318"/>
      <c r="AD5576" s="318"/>
    </row>
    <row r="5577" spans="2:30" s="323" customFormat="1" ht="12" customHeight="1">
      <c r="B5577" s="324"/>
      <c r="C5577" s="325"/>
      <c r="D5577" s="326"/>
      <c r="E5577" s="326"/>
      <c r="F5577" s="326"/>
      <c r="G5577" s="326"/>
      <c r="H5577" s="326"/>
      <c r="P5577" s="318"/>
      <c r="Q5577" s="318"/>
      <c r="R5577" s="318"/>
      <c r="S5577" s="318"/>
      <c r="T5577" s="318"/>
      <c r="U5577" s="318"/>
      <c r="V5577" s="318"/>
      <c r="W5577" s="318"/>
      <c r="X5577" s="318"/>
      <c r="Y5577" s="318"/>
      <c r="Z5577" s="318"/>
      <c r="AA5577" s="318"/>
      <c r="AB5577" s="318"/>
      <c r="AC5577" s="318"/>
      <c r="AD5577" s="318"/>
    </row>
    <row r="5578" spans="2:30" s="323" customFormat="1" ht="12" customHeight="1">
      <c r="B5578" s="324"/>
      <c r="C5578" s="325"/>
      <c r="D5578" s="326"/>
      <c r="E5578" s="326"/>
      <c r="F5578" s="326"/>
      <c r="G5578" s="326"/>
      <c r="H5578" s="326"/>
      <c r="P5578" s="318"/>
      <c r="Q5578" s="318"/>
      <c r="R5578" s="318"/>
      <c r="S5578" s="318"/>
      <c r="T5578" s="318"/>
      <c r="U5578" s="318"/>
      <c r="V5578" s="318"/>
      <c r="W5578" s="318"/>
      <c r="X5578" s="318"/>
      <c r="Y5578" s="318"/>
      <c r="Z5578" s="318"/>
      <c r="AA5578" s="318"/>
      <c r="AB5578" s="318"/>
      <c r="AC5578" s="318"/>
      <c r="AD5578" s="318"/>
    </row>
    <row r="5579" spans="2:30" s="323" customFormat="1" ht="12" customHeight="1">
      <c r="B5579" s="324"/>
      <c r="C5579" s="325"/>
      <c r="D5579" s="326"/>
      <c r="E5579" s="326"/>
      <c r="F5579" s="326"/>
      <c r="G5579" s="326"/>
      <c r="H5579" s="326"/>
      <c r="P5579" s="318"/>
      <c r="Q5579" s="318"/>
      <c r="R5579" s="318"/>
      <c r="S5579" s="318"/>
      <c r="T5579" s="318"/>
      <c r="U5579" s="318"/>
      <c r="V5579" s="318"/>
      <c r="W5579" s="318"/>
      <c r="X5579" s="318"/>
      <c r="Y5579" s="318"/>
      <c r="Z5579" s="318"/>
      <c r="AA5579" s="318"/>
      <c r="AB5579" s="318"/>
      <c r="AC5579" s="318"/>
      <c r="AD5579" s="318"/>
    </row>
    <row r="5580" spans="2:30" s="323" customFormat="1" ht="12" customHeight="1">
      <c r="B5580" s="324"/>
      <c r="C5580" s="325"/>
      <c r="D5580" s="326"/>
      <c r="E5580" s="326"/>
      <c r="F5580" s="326"/>
      <c r="G5580" s="326"/>
      <c r="H5580" s="326"/>
      <c r="P5580" s="318"/>
      <c r="Q5580" s="318"/>
      <c r="R5580" s="318"/>
      <c r="S5580" s="318"/>
      <c r="T5580" s="318"/>
      <c r="U5580" s="318"/>
      <c r="V5580" s="318"/>
      <c r="W5580" s="318"/>
      <c r="X5580" s="318"/>
      <c r="Y5580" s="318"/>
      <c r="Z5580" s="318"/>
      <c r="AA5580" s="318"/>
      <c r="AB5580" s="318"/>
      <c r="AC5580" s="318"/>
      <c r="AD5580" s="318"/>
    </row>
    <row r="5581" spans="2:30" s="323" customFormat="1" ht="12" customHeight="1">
      <c r="B5581" s="324"/>
      <c r="C5581" s="325"/>
      <c r="D5581" s="326"/>
      <c r="E5581" s="326"/>
      <c r="F5581" s="326"/>
      <c r="G5581" s="326"/>
      <c r="H5581" s="326"/>
      <c r="P5581" s="318"/>
      <c r="Q5581" s="318"/>
      <c r="R5581" s="318"/>
      <c r="S5581" s="318"/>
      <c r="T5581" s="318"/>
      <c r="U5581" s="318"/>
      <c r="V5581" s="318"/>
      <c r="W5581" s="318"/>
      <c r="X5581" s="318"/>
      <c r="Y5581" s="318"/>
      <c r="Z5581" s="318"/>
      <c r="AA5581" s="318"/>
      <c r="AB5581" s="318"/>
      <c r="AC5581" s="318"/>
      <c r="AD5581" s="318"/>
    </row>
    <row r="5582" spans="2:30" s="323" customFormat="1" ht="12" customHeight="1">
      <c r="B5582" s="324"/>
      <c r="C5582" s="325"/>
      <c r="D5582" s="326"/>
      <c r="E5582" s="326"/>
      <c r="F5582" s="326"/>
      <c r="G5582" s="326"/>
      <c r="H5582" s="326"/>
      <c r="P5582" s="318"/>
      <c r="Q5582" s="318"/>
      <c r="R5582" s="318"/>
      <c r="S5582" s="318"/>
      <c r="T5582" s="318"/>
      <c r="U5582" s="318"/>
      <c r="V5582" s="318"/>
      <c r="W5582" s="318"/>
      <c r="X5582" s="318"/>
      <c r="Y5582" s="318"/>
      <c r="Z5582" s="318"/>
      <c r="AA5582" s="318"/>
      <c r="AB5582" s="318"/>
      <c r="AC5582" s="318"/>
      <c r="AD5582" s="318"/>
    </row>
    <row r="5583" spans="2:30" s="323" customFormat="1" ht="12" customHeight="1">
      <c r="B5583" s="324"/>
      <c r="C5583" s="325"/>
      <c r="D5583" s="326"/>
      <c r="E5583" s="326"/>
      <c r="F5583" s="326"/>
      <c r="G5583" s="326"/>
      <c r="H5583" s="326"/>
      <c r="P5583" s="318"/>
      <c r="Q5583" s="318"/>
      <c r="R5583" s="318"/>
      <c r="S5583" s="318"/>
      <c r="T5583" s="318"/>
      <c r="U5583" s="318"/>
      <c r="V5583" s="318"/>
      <c r="W5583" s="318"/>
      <c r="X5583" s="318"/>
      <c r="Y5583" s="318"/>
      <c r="Z5583" s="318"/>
      <c r="AA5583" s="318"/>
      <c r="AB5583" s="318"/>
      <c r="AC5583" s="318"/>
      <c r="AD5583" s="318"/>
    </row>
    <row r="5584" spans="2:30" s="323" customFormat="1" ht="12" customHeight="1">
      <c r="B5584" s="324"/>
      <c r="C5584" s="325"/>
      <c r="D5584" s="326"/>
      <c r="E5584" s="326"/>
      <c r="F5584" s="326"/>
      <c r="G5584" s="326"/>
      <c r="H5584" s="326"/>
      <c r="P5584" s="318"/>
      <c r="Q5584" s="318"/>
      <c r="R5584" s="318"/>
      <c r="S5584" s="318"/>
      <c r="T5584" s="318"/>
      <c r="U5584" s="318"/>
      <c r="V5584" s="318"/>
      <c r="W5584" s="318"/>
      <c r="X5584" s="318"/>
      <c r="Y5584" s="318"/>
      <c r="Z5584" s="318"/>
      <c r="AA5584" s="318"/>
      <c r="AB5584" s="318"/>
      <c r="AC5584" s="318"/>
      <c r="AD5584" s="318"/>
    </row>
    <row r="5585" spans="2:30" s="323" customFormat="1" ht="12" customHeight="1">
      <c r="B5585" s="324"/>
      <c r="C5585" s="325"/>
      <c r="D5585" s="326"/>
      <c r="E5585" s="326"/>
      <c r="F5585" s="326"/>
      <c r="G5585" s="326"/>
      <c r="H5585" s="326"/>
      <c r="P5585" s="318"/>
      <c r="Q5585" s="318"/>
      <c r="R5585" s="318"/>
      <c r="S5585" s="318"/>
      <c r="T5585" s="318"/>
      <c r="U5585" s="318"/>
      <c r="V5585" s="318"/>
      <c r="W5585" s="318"/>
      <c r="X5585" s="318"/>
      <c r="Y5585" s="318"/>
      <c r="Z5585" s="318"/>
      <c r="AA5585" s="318"/>
      <c r="AB5585" s="318"/>
      <c r="AC5585" s="318"/>
      <c r="AD5585" s="318"/>
    </row>
    <row r="5586" spans="2:30" s="323" customFormat="1" ht="12" customHeight="1">
      <c r="B5586" s="324"/>
      <c r="C5586" s="325"/>
      <c r="D5586" s="326"/>
      <c r="E5586" s="326"/>
      <c r="F5586" s="326"/>
      <c r="G5586" s="326"/>
      <c r="H5586" s="326"/>
      <c r="P5586" s="318"/>
      <c r="Q5586" s="318"/>
      <c r="R5586" s="318"/>
      <c r="S5586" s="318"/>
      <c r="T5586" s="318"/>
      <c r="U5586" s="318"/>
      <c r="V5586" s="318"/>
      <c r="W5586" s="318"/>
      <c r="X5586" s="318"/>
      <c r="Y5586" s="318"/>
      <c r="Z5586" s="318"/>
      <c r="AA5586" s="318"/>
      <c r="AB5586" s="318"/>
      <c r="AC5586" s="318"/>
      <c r="AD5586" s="318"/>
    </row>
    <row r="5587" spans="2:30" s="323" customFormat="1" ht="12" customHeight="1">
      <c r="B5587" s="324"/>
      <c r="C5587" s="325"/>
      <c r="D5587" s="326"/>
      <c r="E5587" s="326"/>
      <c r="F5587" s="326"/>
      <c r="G5587" s="326"/>
      <c r="H5587" s="326"/>
      <c r="P5587" s="318"/>
      <c r="Q5587" s="318"/>
      <c r="R5587" s="318"/>
      <c r="S5587" s="318"/>
      <c r="T5587" s="318"/>
      <c r="U5587" s="318"/>
      <c r="V5587" s="318"/>
      <c r="W5587" s="318"/>
      <c r="X5587" s="318"/>
      <c r="Y5587" s="318"/>
      <c r="Z5587" s="318"/>
      <c r="AA5587" s="318"/>
      <c r="AB5587" s="318"/>
      <c r="AC5587" s="318"/>
      <c r="AD5587" s="318"/>
    </row>
    <row r="5588" spans="2:30" s="323" customFormat="1" ht="12" customHeight="1">
      <c r="B5588" s="324"/>
      <c r="C5588" s="325"/>
      <c r="D5588" s="326"/>
      <c r="E5588" s="326"/>
      <c r="F5588" s="326"/>
      <c r="G5588" s="326"/>
      <c r="H5588" s="326"/>
      <c r="P5588" s="318"/>
      <c r="Q5588" s="318"/>
      <c r="R5588" s="318"/>
      <c r="S5588" s="318"/>
      <c r="T5588" s="318"/>
      <c r="U5588" s="318"/>
      <c r="V5588" s="318"/>
      <c r="W5588" s="318"/>
      <c r="X5588" s="318"/>
      <c r="Y5588" s="318"/>
      <c r="Z5588" s="318"/>
      <c r="AA5588" s="318"/>
      <c r="AB5588" s="318"/>
      <c r="AC5588" s="318"/>
      <c r="AD5588" s="318"/>
    </row>
    <row r="5589" spans="2:30" s="323" customFormat="1" ht="12" customHeight="1">
      <c r="B5589" s="324"/>
      <c r="C5589" s="325"/>
      <c r="D5589" s="326"/>
      <c r="E5589" s="326"/>
      <c r="F5589" s="326"/>
      <c r="G5589" s="326"/>
      <c r="H5589" s="326"/>
      <c r="P5589" s="318"/>
      <c r="Q5589" s="318"/>
      <c r="R5589" s="318"/>
      <c r="S5589" s="318"/>
      <c r="T5589" s="318"/>
      <c r="U5589" s="318"/>
      <c r="V5589" s="318"/>
      <c r="W5589" s="318"/>
      <c r="X5589" s="318"/>
      <c r="Y5589" s="318"/>
      <c r="Z5589" s="318"/>
      <c r="AA5589" s="318"/>
      <c r="AB5589" s="318"/>
      <c r="AC5589" s="318"/>
      <c r="AD5589" s="318"/>
    </row>
    <row r="5590" spans="2:30" s="323" customFormat="1" ht="12" customHeight="1">
      <c r="B5590" s="324"/>
      <c r="C5590" s="325"/>
      <c r="D5590" s="326"/>
      <c r="E5590" s="326"/>
      <c r="F5590" s="326"/>
      <c r="G5590" s="326"/>
      <c r="H5590" s="326"/>
      <c r="P5590" s="318"/>
      <c r="Q5590" s="318"/>
      <c r="R5590" s="318"/>
      <c r="S5590" s="318"/>
      <c r="T5590" s="318"/>
      <c r="U5590" s="318"/>
      <c r="V5590" s="318"/>
      <c r="W5590" s="318"/>
      <c r="X5590" s="318"/>
      <c r="Y5590" s="318"/>
      <c r="Z5590" s="318"/>
      <c r="AA5590" s="318"/>
      <c r="AB5590" s="318"/>
      <c r="AC5590" s="318"/>
      <c r="AD5590" s="318"/>
    </row>
    <row r="5591" spans="2:30" s="323" customFormat="1" ht="12" customHeight="1">
      <c r="B5591" s="324"/>
      <c r="C5591" s="325"/>
      <c r="D5591" s="326"/>
      <c r="E5591" s="326"/>
      <c r="F5591" s="326"/>
      <c r="G5591" s="326"/>
      <c r="H5591" s="326"/>
      <c r="P5591" s="318"/>
      <c r="Q5591" s="318"/>
      <c r="R5591" s="318"/>
      <c r="S5591" s="318"/>
      <c r="T5591" s="318"/>
      <c r="U5591" s="318"/>
      <c r="V5591" s="318"/>
      <c r="W5591" s="318"/>
      <c r="X5591" s="318"/>
      <c r="Y5591" s="318"/>
      <c r="Z5591" s="318"/>
      <c r="AA5591" s="318"/>
      <c r="AB5591" s="318"/>
      <c r="AC5591" s="318"/>
      <c r="AD5591" s="318"/>
    </row>
    <row r="5592" spans="2:30" s="323" customFormat="1" ht="12" customHeight="1">
      <c r="B5592" s="324"/>
      <c r="C5592" s="325"/>
      <c r="D5592" s="326"/>
      <c r="E5592" s="326"/>
      <c r="F5592" s="326"/>
      <c r="G5592" s="326"/>
      <c r="H5592" s="326"/>
      <c r="P5592" s="318"/>
      <c r="Q5592" s="318"/>
      <c r="R5592" s="318"/>
      <c r="S5592" s="318"/>
      <c r="T5592" s="318"/>
      <c r="U5592" s="318"/>
      <c r="V5592" s="318"/>
      <c r="W5592" s="318"/>
      <c r="X5592" s="318"/>
      <c r="Y5592" s="318"/>
      <c r="Z5592" s="318"/>
      <c r="AA5592" s="318"/>
      <c r="AB5592" s="318"/>
      <c r="AC5592" s="318"/>
      <c r="AD5592" s="318"/>
    </row>
    <row r="5593" spans="2:30" s="323" customFormat="1" ht="12" customHeight="1">
      <c r="B5593" s="324"/>
      <c r="C5593" s="325"/>
      <c r="D5593" s="326"/>
      <c r="E5593" s="326"/>
      <c r="F5593" s="326"/>
      <c r="G5593" s="326"/>
      <c r="H5593" s="326"/>
      <c r="P5593" s="318"/>
      <c r="Q5593" s="318"/>
      <c r="R5593" s="318"/>
      <c r="S5593" s="318"/>
      <c r="T5593" s="318"/>
      <c r="U5593" s="318"/>
      <c r="V5593" s="318"/>
      <c r="W5593" s="318"/>
      <c r="X5593" s="318"/>
      <c r="Y5593" s="318"/>
      <c r="Z5593" s="318"/>
      <c r="AA5593" s="318"/>
      <c r="AB5593" s="318"/>
      <c r="AC5593" s="318"/>
      <c r="AD5593" s="318"/>
    </row>
    <row r="5594" spans="2:30" s="323" customFormat="1" ht="12" customHeight="1">
      <c r="B5594" s="324"/>
      <c r="C5594" s="325"/>
      <c r="D5594" s="326"/>
      <c r="E5594" s="326"/>
      <c r="F5594" s="326"/>
      <c r="G5594" s="326"/>
      <c r="H5594" s="326"/>
      <c r="P5594" s="318"/>
      <c r="Q5594" s="318"/>
      <c r="R5594" s="318"/>
      <c r="S5594" s="318"/>
      <c r="T5594" s="318"/>
      <c r="U5594" s="318"/>
      <c r="V5594" s="318"/>
      <c r="W5594" s="318"/>
      <c r="X5594" s="318"/>
      <c r="Y5594" s="318"/>
      <c r="Z5594" s="318"/>
      <c r="AA5594" s="318"/>
      <c r="AB5594" s="318"/>
      <c r="AC5594" s="318"/>
      <c r="AD5594" s="318"/>
    </row>
    <row r="5595" spans="2:30" s="323" customFormat="1" ht="12" customHeight="1">
      <c r="B5595" s="324"/>
      <c r="C5595" s="325"/>
      <c r="D5595" s="326"/>
      <c r="E5595" s="326"/>
      <c r="F5595" s="326"/>
      <c r="G5595" s="326"/>
      <c r="H5595" s="326"/>
      <c r="P5595" s="318"/>
      <c r="Q5595" s="318"/>
      <c r="R5595" s="318"/>
      <c r="S5595" s="318"/>
      <c r="T5595" s="318"/>
      <c r="U5595" s="318"/>
      <c r="V5595" s="318"/>
      <c r="W5595" s="318"/>
      <c r="X5595" s="318"/>
      <c r="Y5595" s="318"/>
      <c r="Z5595" s="318"/>
      <c r="AA5595" s="318"/>
      <c r="AB5595" s="318"/>
      <c r="AC5595" s="318"/>
      <c r="AD5595" s="318"/>
    </row>
    <row r="5596" spans="2:30" s="323" customFormat="1" ht="12" customHeight="1">
      <c r="B5596" s="324"/>
      <c r="C5596" s="325"/>
      <c r="D5596" s="326"/>
      <c r="E5596" s="326"/>
      <c r="F5596" s="326"/>
      <c r="G5596" s="326"/>
      <c r="H5596" s="326"/>
      <c r="P5596" s="318"/>
      <c r="Q5596" s="318"/>
      <c r="R5596" s="318"/>
      <c r="S5596" s="318"/>
      <c r="T5596" s="318"/>
      <c r="U5596" s="318"/>
      <c r="V5596" s="318"/>
      <c r="W5596" s="318"/>
      <c r="X5596" s="318"/>
      <c r="Y5596" s="318"/>
      <c r="Z5596" s="318"/>
      <c r="AA5596" s="318"/>
      <c r="AB5596" s="318"/>
      <c r="AC5596" s="318"/>
      <c r="AD5596" s="318"/>
    </row>
    <row r="5597" spans="2:30" s="323" customFormat="1" ht="12" customHeight="1">
      <c r="B5597" s="324"/>
      <c r="C5597" s="325"/>
      <c r="D5597" s="326"/>
      <c r="E5597" s="326"/>
      <c r="F5597" s="326"/>
      <c r="G5597" s="326"/>
      <c r="H5597" s="326"/>
      <c r="P5597" s="318"/>
      <c r="Q5597" s="318"/>
      <c r="R5597" s="318"/>
      <c r="S5597" s="318"/>
      <c r="T5597" s="318"/>
      <c r="U5597" s="318"/>
      <c r="V5597" s="318"/>
      <c r="W5597" s="318"/>
      <c r="X5597" s="318"/>
      <c r="Y5597" s="318"/>
      <c r="Z5597" s="318"/>
      <c r="AA5597" s="318"/>
      <c r="AB5597" s="318"/>
      <c r="AC5597" s="318"/>
      <c r="AD5597" s="318"/>
    </row>
    <row r="5598" spans="2:30" s="323" customFormat="1" ht="12" customHeight="1">
      <c r="B5598" s="324"/>
      <c r="C5598" s="325"/>
      <c r="D5598" s="326"/>
      <c r="E5598" s="326"/>
      <c r="F5598" s="326"/>
      <c r="G5598" s="326"/>
      <c r="H5598" s="326"/>
      <c r="P5598" s="318"/>
      <c r="Q5598" s="318"/>
      <c r="R5598" s="318"/>
      <c r="S5598" s="318"/>
      <c r="T5598" s="318"/>
      <c r="U5598" s="318"/>
      <c r="V5598" s="318"/>
      <c r="W5598" s="318"/>
      <c r="X5598" s="318"/>
      <c r="Y5598" s="318"/>
      <c r="Z5598" s="318"/>
      <c r="AA5598" s="318"/>
      <c r="AB5598" s="318"/>
      <c r="AC5598" s="318"/>
      <c r="AD5598" s="318"/>
    </row>
    <row r="5599" spans="2:30" s="323" customFormat="1" ht="12" customHeight="1">
      <c r="B5599" s="324"/>
      <c r="C5599" s="325"/>
      <c r="D5599" s="326"/>
      <c r="E5599" s="326"/>
      <c r="F5599" s="326"/>
      <c r="G5599" s="326"/>
      <c r="H5599" s="326"/>
      <c r="P5599" s="318"/>
      <c r="Q5599" s="318"/>
      <c r="R5599" s="318"/>
      <c r="S5599" s="318"/>
      <c r="T5599" s="318"/>
      <c r="U5599" s="318"/>
      <c r="V5599" s="318"/>
      <c r="W5599" s="318"/>
      <c r="X5599" s="318"/>
      <c r="Y5599" s="318"/>
      <c r="Z5599" s="318"/>
      <c r="AA5599" s="318"/>
      <c r="AB5599" s="318"/>
      <c r="AC5599" s="318"/>
      <c r="AD5599" s="318"/>
    </row>
    <row r="5600" spans="2:30" s="323" customFormat="1" ht="12" customHeight="1">
      <c r="B5600" s="324"/>
      <c r="C5600" s="325"/>
      <c r="D5600" s="326"/>
      <c r="E5600" s="326"/>
      <c r="F5600" s="326"/>
      <c r="G5600" s="326"/>
      <c r="H5600" s="326"/>
      <c r="P5600" s="318"/>
      <c r="Q5600" s="318"/>
      <c r="R5600" s="318"/>
      <c r="S5600" s="318"/>
      <c r="T5600" s="318"/>
      <c r="U5600" s="318"/>
      <c r="V5600" s="318"/>
      <c r="W5600" s="318"/>
      <c r="X5600" s="318"/>
      <c r="Y5600" s="318"/>
      <c r="Z5600" s="318"/>
      <c r="AA5600" s="318"/>
      <c r="AB5600" s="318"/>
      <c r="AC5600" s="318"/>
      <c r="AD5600" s="318"/>
    </row>
    <row r="5601" spans="2:30" s="323" customFormat="1" ht="12" customHeight="1">
      <c r="B5601" s="324"/>
      <c r="C5601" s="325"/>
      <c r="D5601" s="326"/>
      <c r="E5601" s="326"/>
      <c r="F5601" s="326"/>
      <c r="G5601" s="326"/>
      <c r="H5601" s="326"/>
      <c r="P5601" s="318"/>
      <c r="Q5601" s="318"/>
      <c r="R5601" s="318"/>
      <c r="S5601" s="318"/>
      <c r="T5601" s="318"/>
      <c r="U5601" s="318"/>
      <c r="V5601" s="318"/>
      <c r="W5601" s="318"/>
      <c r="X5601" s="318"/>
      <c r="Y5601" s="318"/>
      <c r="Z5601" s="318"/>
      <c r="AA5601" s="318"/>
      <c r="AB5601" s="318"/>
      <c r="AC5601" s="318"/>
      <c r="AD5601" s="318"/>
    </row>
    <row r="5602" spans="2:30" s="323" customFormat="1" ht="12" customHeight="1">
      <c r="B5602" s="324"/>
      <c r="C5602" s="325"/>
      <c r="D5602" s="326"/>
      <c r="E5602" s="326"/>
      <c r="F5602" s="326"/>
      <c r="G5602" s="326"/>
      <c r="H5602" s="326"/>
      <c r="P5602" s="318"/>
      <c r="Q5602" s="318"/>
      <c r="R5602" s="318"/>
      <c r="S5602" s="318"/>
      <c r="T5602" s="318"/>
      <c r="U5602" s="318"/>
      <c r="V5602" s="318"/>
      <c r="W5602" s="318"/>
      <c r="X5602" s="318"/>
      <c r="Y5602" s="318"/>
      <c r="Z5602" s="318"/>
      <c r="AA5602" s="318"/>
      <c r="AB5602" s="318"/>
      <c r="AC5602" s="318"/>
      <c r="AD5602" s="318"/>
    </row>
    <row r="5603" spans="2:30" s="323" customFormat="1" ht="12" customHeight="1">
      <c r="B5603" s="324"/>
      <c r="C5603" s="325"/>
      <c r="D5603" s="326"/>
      <c r="E5603" s="326"/>
      <c r="F5603" s="326"/>
      <c r="G5603" s="326"/>
      <c r="H5603" s="326"/>
      <c r="P5603" s="318"/>
      <c r="Q5603" s="318"/>
      <c r="R5603" s="318"/>
      <c r="S5603" s="318"/>
      <c r="T5603" s="318"/>
      <c r="U5603" s="318"/>
      <c r="V5603" s="318"/>
      <c r="W5603" s="318"/>
      <c r="X5603" s="318"/>
      <c r="Y5603" s="318"/>
      <c r="Z5603" s="318"/>
      <c r="AA5603" s="318"/>
      <c r="AB5603" s="318"/>
      <c r="AC5603" s="318"/>
      <c r="AD5603" s="318"/>
    </row>
    <row r="5604" spans="2:30" s="323" customFormat="1" ht="12" customHeight="1">
      <c r="B5604" s="324"/>
      <c r="C5604" s="325"/>
      <c r="D5604" s="326"/>
      <c r="E5604" s="326"/>
      <c r="F5604" s="326"/>
      <c r="G5604" s="326"/>
      <c r="H5604" s="326"/>
      <c r="P5604" s="318"/>
      <c r="Q5604" s="318"/>
      <c r="R5604" s="318"/>
      <c r="S5604" s="318"/>
      <c r="T5604" s="318"/>
      <c r="U5604" s="318"/>
      <c r="V5604" s="318"/>
      <c r="W5604" s="318"/>
      <c r="X5604" s="318"/>
      <c r="Y5604" s="318"/>
      <c r="Z5604" s="318"/>
      <c r="AA5604" s="318"/>
      <c r="AB5604" s="318"/>
      <c r="AC5604" s="318"/>
      <c r="AD5604" s="318"/>
    </row>
    <row r="5605" spans="2:30" s="323" customFormat="1" ht="12" customHeight="1">
      <c r="B5605" s="324"/>
      <c r="C5605" s="325"/>
      <c r="D5605" s="326"/>
      <c r="E5605" s="326"/>
      <c r="F5605" s="326"/>
      <c r="G5605" s="326"/>
      <c r="H5605" s="326"/>
      <c r="P5605" s="318"/>
      <c r="Q5605" s="318"/>
      <c r="R5605" s="318"/>
      <c r="S5605" s="318"/>
      <c r="T5605" s="318"/>
      <c r="U5605" s="318"/>
      <c r="V5605" s="318"/>
      <c r="W5605" s="318"/>
      <c r="X5605" s="318"/>
      <c r="Y5605" s="318"/>
      <c r="Z5605" s="318"/>
      <c r="AA5605" s="318"/>
      <c r="AB5605" s="318"/>
      <c r="AC5605" s="318"/>
      <c r="AD5605" s="318"/>
    </row>
    <row r="5606" spans="2:30" s="323" customFormat="1" ht="12" customHeight="1">
      <c r="B5606" s="324"/>
      <c r="C5606" s="325"/>
      <c r="D5606" s="326"/>
      <c r="E5606" s="326"/>
      <c r="F5606" s="326"/>
      <c r="G5606" s="326"/>
      <c r="H5606" s="326"/>
      <c r="P5606" s="318"/>
      <c r="Q5606" s="318"/>
      <c r="R5606" s="318"/>
      <c r="S5606" s="318"/>
      <c r="T5606" s="318"/>
      <c r="U5606" s="318"/>
      <c r="V5606" s="318"/>
      <c r="W5606" s="318"/>
      <c r="X5606" s="318"/>
      <c r="Y5606" s="318"/>
      <c r="Z5606" s="318"/>
      <c r="AA5606" s="318"/>
      <c r="AB5606" s="318"/>
      <c r="AC5606" s="318"/>
      <c r="AD5606" s="318"/>
    </row>
    <row r="5607" spans="2:30" s="323" customFormat="1" ht="12" customHeight="1">
      <c r="B5607" s="324"/>
      <c r="C5607" s="325"/>
      <c r="D5607" s="326"/>
      <c r="E5607" s="326"/>
      <c r="F5607" s="326"/>
      <c r="G5607" s="326"/>
      <c r="H5607" s="326"/>
      <c r="P5607" s="318"/>
      <c r="Q5607" s="318"/>
      <c r="R5607" s="318"/>
      <c r="S5607" s="318"/>
      <c r="T5607" s="318"/>
      <c r="U5607" s="318"/>
      <c r="V5607" s="318"/>
      <c r="W5607" s="318"/>
      <c r="X5607" s="318"/>
      <c r="Y5607" s="318"/>
      <c r="Z5607" s="318"/>
      <c r="AA5607" s="318"/>
      <c r="AB5607" s="318"/>
      <c r="AC5607" s="318"/>
      <c r="AD5607" s="318"/>
    </row>
    <row r="5608" spans="2:30" s="323" customFormat="1" ht="12" customHeight="1">
      <c r="B5608" s="324"/>
      <c r="C5608" s="325"/>
      <c r="D5608" s="326"/>
      <c r="E5608" s="326"/>
      <c r="F5608" s="326"/>
      <c r="G5608" s="326"/>
      <c r="H5608" s="326"/>
      <c r="P5608" s="318"/>
      <c r="Q5608" s="318"/>
      <c r="R5608" s="318"/>
      <c r="S5608" s="318"/>
      <c r="T5608" s="318"/>
      <c r="U5608" s="318"/>
      <c r="V5608" s="318"/>
      <c r="W5608" s="318"/>
      <c r="X5608" s="318"/>
      <c r="Y5608" s="318"/>
      <c r="Z5608" s="318"/>
      <c r="AA5608" s="318"/>
      <c r="AB5608" s="318"/>
      <c r="AC5608" s="318"/>
      <c r="AD5608" s="318"/>
    </row>
    <row r="5609" spans="2:30" s="323" customFormat="1" ht="12" customHeight="1">
      <c r="B5609" s="324"/>
      <c r="C5609" s="325"/>
      <c r="D5609" s="326"/>
      <c r="E5609" s="326"/>
      <c r="F5609" s="326"/>
      <c r="G5609" s="326"/>
      <c r="H5609" s="326"/>
      <c r="P5609" s="318"/>
      <c r="Q5609" s="318"/>
      <c r="R5609" s="318"/>
      <c r="S5609" s="318"/>
      <c r="T5609" s="318"/>
      <c r="U5609" s="318"/>
      <c r="V5609" s="318"/>
      <c r="W5609" s="318"/>
      <c r="X5609" s="318"/>
      <c r="Y5609" s="318"/>
      <c r="Z5609" s="318"/>
      <c r="AA5609" s="318"/>
      <c r="AB5609" s="318"/>
      <c r="AC5609" s="318"/>
      <c r="AD5609" s="318"/>
    </row>
    <row r="5610" spans="2:30" s="323" customFormat="1" ht="12" customHeight="1">
      <c r="B5610" s="324"/>
      <c r="C5610" s="325"/>
      <c r="D5610" s="326"/>
      <c r="E5610" s="326"/>
      <c r="F5610" s="326"/>
      <c r="G5610" s="326"/>
      <c r="H5610" s="326"/>
      <c r="P5610" s="318"/>
      <c r="Q5610" s="318"/>
      <c r="R5610" s="318"/>
      <c r="S5610" s="318"/>
      <c r="T5610" s="318"/>
      <c r="U5610" s="318"/>
      <c r="V5610" s="318"/>
      <c r="W5610" s="318"/>
      <c r="X5610" s="318"/>
      <c r="Y5610" s="318"/>
      <c r="Z5610" s="318"/>
      <c r="AA5610" s="318"/>
      <c r="AB5610" s="318"/>
      <c r="AC5610" s="318"/>
      <c r="AD5610" s="318"/>
    </row>
    <row r="5611" spans="2:30" s="323" customFormat="1" ht="12" customHeight="1">
      <c r="B5611" s="324"/>
      <c r="C5611" s="325"/>
      <c r="D5611" s="326"/>
      <c r="E5611" s="326"/>
      <c r="F5611" s="326"/>
      <c r="G5611" s="326"/>
      <c r="H5611" s="326"/>
      <c r="P5611" s="318"/>
      <c r="Q5611" s="318"/>
      <c r="R5611" s="318"/>
      <c r="S5611" s="318"/>
      <c r="T5611" s="318"/>
      <c r="U5611" s="318"/>
      <c r="V5611" s="318"/>
      <c r="W5611" s="318"/>
      <c r="X5611" s="318"/>
      <c r="Y5611" s="318"/>
      <c r="Z5611" s="318"/>
      <c r="AA5611" s="318"/>
      <c r="AB5611" s="318"/>
      <c r="AC5611" s="318"/>
      <c r="AD5611" s="318"/>
    </row>
    <row r="5612" spans="2:30" s="323" customFormat="1" ht="12" customHeight="1">
      <c r="B5612" s="324"/>
      <c r="C5612" s="325"/>
      <c r="D5612" s="326"/>
      <c r="E5612" s="326"/>
      <c r="F5612" s="326"/>
      <c r="G5612" s="326"/>
      <c r="H5612" s="326"/>
      <c r="P5612" s="318"/>
      <c r="Q5612" s="318"/>
      <c r="R5612" s="318"/>
      <c r="S5612" s="318"/>
      <c r="T5612" s="318"/>
      <c r="U5612" s="318"/>
      <c r="V5612" s="318"/>
      <c r="W5612" s="318"/>
      <c r="X5612" s="318"/>
      <c r="Y5612" s="318"/>
      <c r="Z5612" s="318"/>
      <c r="AA5612" s="318"/>
      <c r="AB5612" s="318"/>
      <c r="AC5612" s="318"/>
      <c r="AD5612" s="318"/>
    </row>
    <row r="5613" spans="2:30" s="323" customFormat="1" ht="12" customHeight="1">
      <c r="B5613" s="324"/>
      <c r="C5613" s="325"/>
      <c r="D5613" s="326"/>
      <c r="E5613" s="326"/>
      <c r="F5613" s="326"/>
      <c r="G5613" s="326"/>
      <c r="H5613" s="326"/>
      <c r="P5613" s="318"/>
      <c r="Q5613" s="318"/>
      <c r="R5613" s="318"/>
      <c r="S5613" s="318"/>
      <c r="T5613" s="318"/>
      <c r="U5613" s="318"/>
      <c r="V5613" s="318"/>
      <c r="W5613" s="318"/>
      <c r="X5613" s="318"/>
      <c r="Y5613" s="318"/>
      <c r="Z5613" s="318"/>
      <c r="AA5613" s="318"/>
      <c r="AB5613" s="318"/>
      <c r="AC5613" s="318"/>
      <c r="AD5613" s="318"/>
    </row>
    <row r="5614" spans="2:30" s="323" customFormat="1" ht="12" customHeight="1">
      <c r="B5614" s="324"/>
      <c r="C5614" s="325"/>
      <c r="D5614" s="326"/>
      <c r="E5614" s="326"/>
      <c r="F5614" s="326"/>
      <c r="G5614" s="326"/>
      <c r="H5614" s="326"/>
      <c r="P5614" s="318"/>
      <c r="Q5614" s="318"/>
      <c r="R5614" s="318"/>
      <c r="S5614" s="318"/>
      <c r="T5614" s="318"/>
      <c r="U5614" s="318"/>
      <c r="V5614" s="318"/>
      <c r="W5614" s="318"/>
      <c r="X5614" s="318"/>
      <c r="Y5614" s="318"/>
      <c r="Z5614" s="318"/>
      <c r="AA5614" s="318"/>
      <c r="AB5614" s="318"/>
      <c r="AC5614" s="318"/>
      <c r="AD5614" s="318"/>
    </row>
    <row r="5615" spans="2:30" s="323" customFormat="1" ht="12" customHeight="1">
      <c r="B5615" s="324"/>
      <c r="C5615" s="325"/>
      <c r="D5615" s="326"/>
      <c r="E5615" s="326"/>
      <c r="F5615" s="326"/>
      <c r="G5615" s="326"/>
      <c r="H5615" s="326"/>
      <c r="P5615" s="318"/>
      <c r="Q5615" s="318"/>
      <c r="R5615" s="318"/>
      <c r="S5615" s="318"/>
      <c r="T5615" s="318"/>
      <c r="U5615" s="318"/>
      <c r="V5615" s="318"/>
      <c r="W5615" s="318"/>
      <c r="X5615" s="318"/>
      <c r="Y5615" s="318"/>
      <c r="Z5615" s="318"/>
      <c r="AA5615" s="318"/>
      <c r="AB5615" s="318"/>
      <c r="AC5615" s="318"/>
      <c r="AD5615" s="318"/>
    </row>
    <row r="5616" spans="2:30" s="323" customFormat="1" ht="12" customHeight="1">
      <c r="B5616" s="324"/>
      <c r="C5616" s="325"/>
      <c r="D5616" s="326"/>
      <c r="E5616" s="326"/>
      <c r="F5616" s="326"/>
      <c r="G5616" s="326"/>
      <c r="H5616" s="326"/>
      <c r="P5616" s="318"/>
      <c r="Q5616" s="318"/>
      <c r="R5616" s="318"/>
      <c r="S5616" s="318"/>
      <c r="T5616" s="318"/>
      <c r="U5616" s="318"/>
      <c r="V5616" s="318"/>
      <c r="W5616" s="318"/>
      <c r="X5616" s="318"/>
      <c r="Y5616" s="318"/>
      <c r="Z5616" s="318"/>
      <c r="AA5616" s="318"/>
      <c r="AB5616" s="318"/>
      <c r="AC5616" s="318"/>
      <c r="AD5616" s="318"/>
    </row>
    <row r="5617" spans="2:30" s="323" customFormat="1" ht="12" customHeight="1">
      <c r="B5617" s="324"/>
      <c r="C5617" s="325"/>
      <c r="D5617" s="326"/>
      <c r="E5617" s="326"/>
      <c r="F5617" s="326"/>
      <c r="G5617" s="326"/>
      <c r="H5617" s="326"/>
      <c r="P5617" s="318"/>
      <c r="Q5617" s="318"/>
      <c r="R5617" s="318"/>
      <c r="S5617" s="318"/>
      <c r="T5617" s="318"/>
      <c r="U5617" s="318"/>
      <c r="V5617" s="318"/>
      <c r="W5617" s="318"/>
      <c r="X5617" s="318"/>
      <c r="Y5617" s="318"/>
      <c r="Z5617" s="318"/>
      <c r="AA5617" s="318"/>
      <c r="AB5617" s="318"/>
      <c r="AC5617" s="318"/>
      <c r="AD5617" s="318"/>
    </row>
    <row r="5618" spans="2:30" s="323" customFormat="1" ht="12" customHeight="1">
      <c r="B5618" s="324"/>
      <c r="C5618" s="325"/>
      <c r="D5618" s="326"/>
      <c r="E5618" s="326"/>
      <c r="F5618" s="326"/>
      <c r="G5618" s="326"/>
      <c r="H5618" s="326"/>
      <c r="P5618" s="318"/>
      <c r="Q5618" s="318"/>
      <c r="R5618" s="318"/>
      <c r="S5618" s="318"/>
      <c r="T5618" s="318"/>
      <c r="U5618" s="318"/>
      <c r="V5618" s="318"/>
      <c r="W5618" s="318"/>
      <c r="X5618" s="318"/>
      <c r="Y5618" s="318"/>
      <c r="Z5618" s="318"/>
      <c r="AA5618" s="318"/>
      <c r="AB5618" s="318"/>
      <c r="AC5618" s="318"/>
      <c r="AD5618" s="318"/>
    </row>
    <row r="5619" spans="2:30" s="323" customFormat="1" ht="12" customHeight="1">
      <c r="B5619" s="324"/>
      <c r="C5619" s="325"/>
      <c r="D5619" s="326"/>
      <c r="E5619" s="326"/>
      <c r="F5619" s="326"/>
      <c r="G5619" s="326"/>
      <c r="H5619" s="326"/>
      <c r="P5619" s="318"/>
      <c r="Q5619" s="318"/>
      <c r="R5619" s="318"/>
      <c r="S5619" s="318"/>
      <c r="T5619" s="318"/>
      <c r="U5619" s="318"/>
      <c r="V5619" s="318"/>
      <c r="W5619" s="318"/>
      <c r="X5619" s="318"/>
      <c r="Y5619" s="318"/>
      <c r="Z5619" s="318"/>
      <c r="AA5619" s="318"/>
      <c r="AB5619" s="318"/>
      <c r="AC5619" s="318"/>
      <c r="AD5619" s="318"/>
    </row>
    <row r="5620" spans="2:30" s="323" customFormat="1" ht="12" customHeight="1">
      <c r="B5620" s="324"/>
      <c r="C5620" s="325"/>
      <c r="D5620" s="326"/>
      <c r="E5620" s="326"/>
      <c r="F5620" s="326"/>
      <c r="G5620" s="326"/>
      <c r="H5620" s="326"/>
      <c r="P5620" s="318"/>
      <c r="Q5620" s="318"/>
      <c r="R5620" s="318"/>
      <c r="S5620" s="318"/>
      <c r="T5620" s="318"/>
      <c r="U5620" s="318"/>
      <c r="V5620" s="318"/>
      <c r="W5620" s="318"/>
      <c r="X5620" s="318"/>
      <c r="Y5620" s="318"/>
      <c r="Z5620" s="318"/>
      <c r="AA5620" s="318"/>
      <c r="AB5620" s="318"/>
      <c r="AC5620" s="318"/>
      <c r="AD5620" s="318"/>
    </row>
    <row r="5621" spans="2:30" s="323" customFormat="1" ht="12" customHeight="1">
      <c r="B5621" s="324"/>
      <c r="C5621" s="325"/>
      <c r="D5621" s="326"/>
      <c r="E5621" s="326"/>
      <c r="F5621" s="326"/>
      <c r="G5621" s="326"/>
      <c r="H5621" s="326"/>
      <c r="P5621" s="318"/>
      <c r="Q5621" s="318"/>
      <c r="R5621" s="318"/>
      <c r="S5621" s="318"/>
      <c r="T5621" s="318"/>
      <c r="U5621" s="318"/>
      <c r="V5621" s="318"/>
      <c r="W5621" s="318"/>
      <c r="X5621" s="318"/>
      <c r="Y5621" s="318"/>
      <c r="Z5621" s="318"/>
      <c r="AA5621" s="318"/>
      <c r="AB5621" s="318"/>
      <c r="AC5621" s="318"/>
      <c r="AD5621" s="318"/>
    </row>
    <row r="5622" spans="2:30" s="323" customFormat="1" ht="12" customHeight="1">
      <c r="B5622" s="324"/>
      <c r="C5622" s="325"/>
      <c r="D5622" s="326"/>
      <c r="E5622" s="326"/>
      <c r="F5622" s="326"/>
      <c r="G5622" s="326"/>
      <c r="H5622" s="326"/>
      <c r="P5622" s="318"/>
      <c r="Q5622" s="318"/>
      <c r="R5622" s="318"/>
      <c r="S5622" s="318"/>
      <c r="T5622" s="318"/>
      <c r="U5622" s="318"/>
      <c r="V5622" s="318"/>
      <c r="W5622" s="318"/>
      <c r="X5622" s="318"/>
      <c r="Y5622" s="318"/>
      <c r="Z5622" s="318"/>
      <c r="AA5622" s="318"/>
      <c r="AB5622" s="318"/>
      <c r="AC5622" s="318"/>
      <c r="AD5622" s="318"/>
    </row>
    <row r="5623" spans="2:30" s="323" customFormat="1" ht="12" customHeight="1">
      <c r="B5623" s="324"/>
      <c r="C5623" s="325"/>
      <c r="D5623" s="326"/>
      <c r="E5623" s="326"/>
      <c r="F5623" s="326"/>
      <c r="G5623" s="326"/>
      <c r="H5623" s="326"/>
      <c r="P5623" s="318"/>
      <c r="Q5623" s="318"/>
      <c r="R5623" s="318"/>
      <c r="S5623" s="318"/>
      <c r="T5623" s="318"/>
      <c r="U5623" s="318"/>
      <c r="V5623" s="318"/>
      <c r="W5623" s="318"/>
      <c r="X5623" s="318"/>
      <c r="Y5623" s="318"/>
      <c r="Z5623" s="318"/>
      <c r="AA5623" s="318"/>
      <c r="AB5623" s="318"/>
      <c r="AC5623" s="318"/>
      <c r="AD5623" s="318"/>
    </row>
    <row r="5624" spans="2:30" s="323" customFormat="1" ht="12" customHeight="1">
      <c r="B5624" s="324"/>
      <c r="C5624" s="325"/>
      <c r="D5624" s="326"/>
      <c r="E5624" s="326"/>
      <c r="F5624" s="326"/>
      <c r="G5624" s="326"/>
      <c r="H5624" s="326"/>
      <c r="P5624" s="318"/>
      <c r="Q5624" s="318"/>
      <c r="R5624" s="318"/>
      <c r="S5624" s="318"/>
      <c r="T5624" s="318"/>
      <c r="U5624" s="318"/>
      <c r="V5624" s="318"/>
      <c r="W5624" s="318"/>
      <c r="X5624" s="318"/>
      <c r="Y5624" s="318"/>
      <c r="Z5624" s="318"/>
      <c r="AA5624" s="318"/>
      <c r="AB5624" s="318"/>
      <c r="AC5624" s="318"/>
      <c r="AD5624" s="318"/>
    </row>
    <row r="5625" spans="2:30" s="323" customFormat="1" ht="12" customHeight="1">
      <c r="B5625" s="324"/>
      <c r="C5625" s="325"/>
      <c r="D5625" s="326"/>
      <c r="E5625" s="326"/>
      <c r="F5625" s="326"/>
      <c r="G5625" s="326"/>
      <c r="H5625" s="326"/>
      <c r="P5625" s="318"/>
      <c r="Q5625" s="318"/>
      <c r="R5625" s="318"/>
      <c r="S5625" s="318"/>
      <c r="T5625" s="318"/>
      <c r="U5625" s="318"/>
      <c r="V5625" s="318"/>
      <c r="W5625" s="318"/>
      <c r="X5625" s="318"/>
      <c r="Y5625" s="318"/>
      <c r="Z5625" s="318"/>
      <c r="AA5625" s="318"/>
      <c r="AB5625" s="318"/>
      <c r="AC5625" s="318"/>
      <c r="AD5625" s="318"/>
    </row>
    <row r="5626" spans="2:30" s="323" customFormat="1" ht="12" customHeight="1">
      <c r="B5626" s="324"/>
      <c r="C5626" s="325"/>
      <c r="D5626" s="326"/>
      <c r="E5626" s="326"/>
      <c r="F5626" s="326"/>
      <c r="G5626" s="326"/>
      <c r="H5626" s="326"/>
      <c r="P5626" s="318"/>
      <c r="Q5626" s="318"/>
      <c r="R5626" s="318"/>
      <c r="S5626" s="318"/>
      <c r="T5626" s="318"/>
      <c r="U5626" s="318"/>
      <c r="V5626" s="318"/>
      <c r="W5626" s="318"/>
      <c r="X5626" s="318"/>
      <c r="Y5626" s="318"/>
      <c r="Z5626" s="318"/>
      <c r="AA5626" s="318"/>
      <c r="AB5626" s="318"/>
      <c r="AC5626" s="318"/>
      <c r="AD5626" s="318"/>
    </row>
    <row r="5627" spans="2:30" s="323" customFormat="1" ht="12" customHeight="1">
      <c r="B5627" s="324"/>
      <c r="C5627" s="325"/>
      <c r="D5627" s="326"/>
      <c r="E5627" s="326"/>
      <c r="F5627" s="326"/>
      <c r="G5627" s="326"/>
      <c r="H5627" s="326"/>
      <c r="P5627" s="318"/>
      <c r="Q5627" s="318"/>
      <c r="R5627" s="318"/>
      <c r="S5627" s="318"/>
      <c r="T5627" s="318"/>
      <c r="U5627" s="318"/>
      <c r="V5627" s="318"/>
      <c r="W5627" s="318"/>
      <c r="X5627" s="318"/>
      <c r="Y5627" s="318"/>
      <c r="Z5627" s="318"/>
      <c r="AA5627" s="318"/>
      <c r="AB5627" s="318"/>
      <c r="AC5627" s="318"/>
      <c r="AD5627" s="318"/>
    </row>
    <row r="5628" spans="2:30" s="323" customFormat="1" ht="12" customHeight="1">
      <c r="B5628" s="324"/>
      <c r="C5628" s="325"/>
      <c r="D5628" s="326"/>
      <c r="E5628" s="326"/>
      <c r="F5628" s="326"/>
      <c r="G5628" s="326"/>
      <c r="H5628" s="326"/>
      <c r="P5628" s="318"/>
      <c r="Q5628" s="318"/>
      <c r="R5628" s="318"/>
      <c r="S5628" s="318"/>
      <c r="T5628" s="318"/>
      <c r="U5628" s="318"/>
      <c r="V5628" s="318"/>
      <c r="W5628" s="318"/>
      <c r="X5628" s="318"/>
      <c r="Y5628" s="318"/>
      <c r="Z5628" s="318"/>
      <c r="AA5628" s="318"/>
      <c r="AB5628" s="318"/>
      <c r="AC5628" s="318"/>
      <c r="AD5628" s="318"/>
    </row>
    <row r="5629" spans="2:30" s="323" customFormat="1" ht="12" customHeight="1">
      <c r="B5629" s="324"/>
      <c r="C5629" s="325"/>
      <c r="D5629" s="326"/>
      <c r="E5629" s="326"/>
      <c r="F5629" s="326"/>
      <c r="G5629" s="326"/>
      <c r="H5629" s="326"/>
      <c r="P5629" s="318"/>
      <c r="Q5629" s="318"/>
      <c r="R5629" s="318"/>
      <c r="S5629" s="318"/>
      <c r="T5629" s="318"/>
      <c r="U5629" s="318"/>
      <c r="V5629" s="318"/>
      <c r="W5629" s="318"/>
      <c r="X5629" s="318"/>
      <c r="Y5629" s="318"/>
      <c r="Z5629" s="318"/>
      <c r="AA5629" s="318"/>
      <c r="AB5629" s="318"/>
      <c r="AC5629" s="318"/>
      <c r="AD5629" s="318"/>
    </row>
    <row r="5630" spans="2:30" s="323" customFormat="1" ht="12" customHeight="1">
      <c r="B5630" s="324"/>
      <c r="C5630" s="325"/>
      <c r="D5630" s="326"/>
      <c r="E5630" s="326"/>
      <c r="F5630" s="326"/>
      <c r="G5630" s="326"/>
      <c r="H5630" s="326"/>
      <c r="P5630" s="318"/>
      <c r="Q5630" s="318"/>
      <c r="R5630" s="318"/>
      <c r="S5630" s="318"/>
      <c r="T5630" s="318"/>
      <c r="U5630" s="318"/>
      <c r="V5630" s="318"/>
      <c r="W5630" s="318"/>
      <c r="X5630" s="318"/>
      <c r="Y5630" s="318"/>
      <c r="Z5630" s="318"/>
      <c r="AA5630" s="318"/>
      <c r="AB5630" s="318"/>
      <c r="AC5630" s="318"/>
      <c r="AD5630" s="318"/>
    </row>
    <row r="5631" spans="2:30" s="323" customFormat="1" ht="12" customHeight="1">
      <c r="B5631" s="324"/>
      <c r="C5631" s="325"/>
      <c r="D5631" s="326"/>
      <c r="E5631" s="326"/>
      <c r="F5631" s="326"/>
      <c r="G5631" s="326"/>
      <c r="H5631" s="326"/>
      <c r="P5631" s="318"/>
      <c r="Q5631" s="318"/>
      <c r="R5631" s="318"/>
      <c r="S5631" s="318"/>
      <c r="T5631" s="318"/>
      <c r="U5631" s="318"/>
      <c r="V5631" s="318"/>
      <c r="W5631" s="318"/>
      <c r="X5631" s="318"/>
      <c r="Y5631" s="318"/>
      <c r="Z5631" s="318"/>
      <c r="AA5631" s="318"/>
      <c r="AB5631" s="318"/>
      <c r="AC5631" s="318"/>
      <c r="AD5631" s="318"/>
    </row>
    <row r="5632" spans="2:30" s="323" customFormat="1" ht="12" customHeight="1">
      <c r="B5632" s="324"/>
      <c r="C5632" s="325"/>
      <c r="D5632" s="326"/>
      <c r="E5632" s="326"/>
      <c r="F5632" s="326"/>
      <c r="G5632" s="326"/>
      <c r="H5632" s="326"/>
      <c r="P5632" s="318"/>
      <c r="Q5632" s="318"/>
      <c r="R5632" s="318"/>
      <c r="S5632" s="318"/>
      <c r="T5632" s="318"/>
      <c r="U5632" s="318"/>
      <c r="V5632" s="318"/>
      <c r="W5632" s="318"/>
      <c r="X5632" s="318"/>
      <c r="Y5632" s="318"/>
      <c r="Z5632" s="318"/>
      <c r="AA5632" s="318"/>
      <c r="AB5632" s="318"/>
      <c r="AC5632" s="318"/>
      <c r="AD5632" s="318"/>
    </row>
    <row r="5633" spans="2:30" s="323" customFormat="1" ht="12" customHeight="1">
      <c r="B5633" s="324"/>
      <c r="C5633" s="325"/>
      <c r="D5633" s="326"/>
      <c r="E5633" s="326"/>
      <c r="F5633" s="326"/>
      <c r="G5633" s="326"/>
      <c r="H5633" s="326"/>
      <c r="P5633" s="318"/>
      <c r="Q5633" s="318"/>
      <c r="R5633" s="318"/>
      <c r="S5633" s="318"/>
      <c r="T5633" s="318"/>
      <c r="U5633" s="318"/>
      <c r="V5633" s="318"/>
      <c r="W5633" s="318"/>
      <c r="X5633" s="318"/>
      <c r="Y5633" s="318"/>
      <c r="Z5633" s="318"/>
      <c r="AA5633" s="318"/>
      <c r="AB5633" s="318"/>
      <c r="AC5633" s="318"/>
      <c r="AD5633" s="318"/>
    </row>
    <row r="5634" spans="2:30" s="323" customFormat="1" ht="12" customHeight="1">
      <c r="B5634" s="324"/>
      <c r="C5634" s="325"/>
      <c r="D5634" s="326"/>
      <c r="E5634" s="326"/>
      <c r="F5634" s="326"/>
      <c r="G5634" s="326"/>
      <c r="H5634" s="326"/>
      <c r="P5634" s="318"/>
      <c r="Q5634" s="318"/>
      <c r="R5634" s="318"/>
      <c r="S5634" s="318"/>
      <c r="T5634" s="318"/>
      <c r="U5634" s="318"/>
      <c r="V5634" s="318"/>
      <c r="W5634" s="318"/>
      <c r="X5634" s="318"/>
      <c r="Y5634" s="318"/>
      <c r="Z5634" s="318"/>
      <c r="AA5634" s="318"/>
      <c r="AB5634" s="318"/>
      <c r="AC5634" s="318"/>
      <c r="AD5634" s="318"/>
    </row>
    <row r="5635" spans="2:30" s="323" customFormat="1" ht="12" customHeight="1">
      <c r="B5635" s="324"/>
      <c r="C5635" s="325"/>
      <c r="D5635" s="326"/>
      <c r="E5635" s="326"/>
      <c r="F5635" s="326"/>
      <c r="G5635" s="326"/>
      <c r="H5635" s="326"/>
      <c r="P5635" s="318"/>
      <c r="Q5635" s="318"/>
      <c r="R5635" s="318"/>
      <c r="S5635" s="318"/>
      <c r="T5635" s="318"/>
      <c r="U5635" s="318"/>
      <c r="V5635" s="318"/>
      <c r="W5635" s="318"/>
      <c r="X5635" s="318"/>
      <c r="Y5635" s="318"/>
      <c r="Z5635" s="318"/>
      <c r="AA5635" s="318"/>
      <c r="AB5635" s="318"/>
      <c r="AC5635" s="318"/>
      <c r="AD5635" s="318"/>
    </row>
    <row r="5636" spans="2:30" s="323" customFormat="1" ht="12" customHeight="1">
      <c r="B5636" s="324"/>
      <c r="C5636" s="325"/>
      <c r="D5636" s="326"/>
      <c r="E5636" s="326"/>
      <c r="F5636" s="326"/>
      <c r="G5636" s="326"/>
      <c r="H5636" s="326"/>
      <c r="P5636" s="318"/>
      <c r="Q5636" s="318"/>
      <c r="R5636" s="318"/>
      <c r="S5636" s="318"/>
      <c r="T5636" s="318"/>
      <c r="U5636" s="318"/>
      <c r="V5636" s="318"/>
      <c r="W5636" s="318"/>
      <c r="X5636" s="318"/>
      <c r="Y5636" s="318"/>
      <c r="Z5636" s="318"/>
      <c r="AA5636" s="318"/>
      <c r="AB5636" s="318"/>
      <c r="AC5636" s="318"/>
      <c r="AD5636" s="318"/>
    </row>
    <row r="5637" spans="2:30" s="323" customFormat="1" ht="12" customHeight="1">
      <c r="B5637" s="324"/>
      <c r="C5637" s="325"/>
      <c r="D5637" s="326"/>
      <c r="E5637" s="326"/>
      <c r="F5637" s="326"/>
      <c r="G5637" s="326"/>
      <c r="H5637" s="326"/>
      <c r="P5637" s="318"/>
      <c r="Q5637" s="318"/>
      <c r="R5637" s="318"/>
      <c r="S5637" s="318"/>
      <c r="T5637" s="318"/>
      <c r="U5637" s="318"/>
      <c r="V5637" s="318"/>
      <c r="W5637" s="318"/>
      <c r="X5637" s="318"/>
      <c r="Y5637" s="318"/>
      <c r="Z5637" s="318"/>
      <c r="AA5637" s="318"/>
      <c r="AB5637" s="318"/>
      <c r="AC5637" s="318"/>
      <c r="AD5637" s="318"/>
    </row>
    <row r="5638" spans="2:30" s="323" customFormat="1" ht="12" customHeight="1">
      <c r="B5638" s="324"/>
      <c r="C5638" s="325"/>
      <c r="D5638" s="326"/>
      <c r="E5638" s="326"/>
      <c r="F5638" s="326"/>
      <c r="G5638" s="326"/>
      <c r="H5638" s="326"/>
      <c r="P5638" s="318"/>
      <c r="Q5638" s="318"/>
      <c r="R5638" s="318"/>
      <c r="S5638" s="318"/>
      <c r="T5638" s="318"/>
      <c r="U5638" s="318"/>
      <c r="V5638" s="318"/>
      <c r="W5638" s="318"/>
      <c r="X5638" s="318"/>
      <c r="Y5638" s="318"/>
      <c r="Z5638" s="318"/>
      <c r="AA5638" s="318"/>
      <c r="AB5638" s="318"/>
      <c r="AC5638" s="318"/>
      <c r="AD5638" s="318"/>
    </row>
    <row r="5639" spans="2:30" s="323" customFormat="1" ht="12" customHeight="1">
      <c r="B5639" s="324"/>
      <c r="C5639" s="325"/>
      <c r="D5639" s="326"/>
      <c r="E5639" s="326"/>
      <c r="F5639" s="326"/>
      <c r="G5639" s="326"/>
      <c r="H5639" s="326"/>
      <c r="P5639" s="318"/>
      <c r="Q5639" s="318"/>
      <c r="R5639" s="318"/>
      <c r="S5639" s="318"/>
      <c r="T5639" s="318"/>
      <c r="U5639" s="318"/>
      <c r="V5639" s="318"/>
      <c r="W5639" s="318"/>
      <c r="X5639" s="318"/>
      <c r="Y5639" s="318"/>
      <c r="Z5639" s="318"/>
      <c r="AA5639" s="318"/>
      <c r="AB5639" s="318"/>
      <c r="AC5639" s="318"/>
      <c r="AD5639" s="318"/>
    </row>
    <row r="5640" spans="2:30" s="323" customFormat="1" ht="12" customHeight="1">
      <c r="B5640" s="324"/>
      <c r="C5640" s="325"/>
      <c r="D5640" s="326"/>
      <c r="E5640" s="326"/>
      <c r="F5640" s="326"/>
      <c r="G5640" s="326"/>
      <c r="H5640" s="326"/>
      <c r="P5640" s="318"/>
      <c r="Q5640" s="318"/>
      <c r="R5640" s="318"/>
      <c r="S5640" s="318"/>
      <c r="T5640" s="318"/>
      <c r="U5640" s="318"/>
      <c r="V5640" s="318"/>
      <c r="W5640" s="318"/>
      <c r="X5640" s="318"/>
      <c r="Y5640" s="318"/>
      <c r="Z5640" s="318"/>
      <c r="AA5640" s="318"/>
      <c r="AB5640" s="318"/>
      <c r="AC5640" s="318"/>
      <c r="AD5640" s="318"/>
    </row>
    <row r="5641" spans="2:30" s="323" customFormat="1" ht="12" customHeight="1">
      <c r="B5641" s="324"/>
      <c r="C5641" s="325"/>
      <c r="D5641" s="326"/>
      <c r="E5641" s="326"/>
      <c r="F5641" s="326"/>
      <c r="G5641" s="326"/>
      <c r="H5641" s="326"/>
      <c r="P5641" s="318"/>
      <c r="Q5641" s="318"/>
      <c r="R5641" s="318"/>
      <c r="S5641" s="318"/>
      <c r="T5641" s="318"/>
      <c r="U5641" s="318"/>
      <c r="V5641" s="318"/>
      <c r="W5641" s="318"/>
      <c r="X5641" s="318"/>
      <c r="Y5641" s="318"/>
      <c r="Z5641" s="318"/>
      <c r="AA5641" s="318"/>
      <c r="AB5641" s="318"/>
      <c r="AC5641" s="318"/>
      <c r="AD5641" s="318"/>
    </row>
    <row r="5642" spans="2:30" s="323" customFormat="1" ht="12" customHeight="1">
      <c r="B5642" s="324"/>
      <c r="C5642" s="325"/>
      <c r="D5642" s="326"/>
      <c r="E5642" s="326"/>
      <c r="F5642" s="326"/>
      <c r="G5642" s="326"/>
      <c r="H5642" s="326"/>
      <c r="P5642" s="318"/>
      <c r="Q5642" s="318"/>
      <c r="R5642" s="318"/>
      <c r="S5642" s="318"/>
      <c r="T5642" s="318"/>
      <c r="U5642" s="318"/>
      <c r="V5642" s="318"/>
      <c r="W5642" s="318"/>
      <c r="X5642" s="318"/>
      <c r="Y5642" s="318"/>
      <c r="Z5642" s="318"/>
      <c r="AA5642" s="318"/>
      <c r="AB5642" s="318"/>
      <c r="AC5642" s="318"/>
      <c r="AD5642" s="318"/>
    </row>
    <row r="5643" spans="2:30" s="323" customFormat="1" ht="12" customHeight="1">
      <c r="B5643" s="324"/>
      <c r="C5643" s="325"/>
      <c r="D5643" s="326"/>
      <c r="E5643" s="326"/>
      <c r="F5643" s="326"/>
      <c r="G5643" s="326"/>
      <c r="H5643" s="326"/>
      <c r="P5643" s="318"/>
      <c r="Q5643" s="318"/>
      <c r="R5643" s="318"/>
      <c r="S5643" s="318"/>
      <c r="T5643" s="318"/>
      <c r="U5643" s="318"/>
      <c r="V5643" s="318"/>
      <c r="W5643" s="318"/>
      <c r="X5643" s="318"/>
      <c r="Y5643" s="318"/>
      <c r="Z5643" s="318"/>
      <c r="AA5643" s="318"/>
      <c r="AB5643" s="318"/>
      <c r="AC5643" s="318"/>
      <c r="AD5643" s="318"/>
    </row>
    <row r="5644" spans="2:30" s="323" customFormat="1" ht="12" customHeight="1">
      <c r="B5644" s="324"/>
      <c r="C5644" s="325"/>
      <c r="D5644" s="326"/>
      <c r="E5644" s="326"/>
      <c r="F5644" s="326"/>
      <c r="G5644" s="326"/>
      <c r="H5644" s="326"/>
      <c r="P5644" s="318"/>
      <c r="Q5644" s="318"/>
      <c r="R5644" s="318"/>
      <c r="S5644" s="318"/>
      <c r="T5644" s="318"/>
      <c r="U5644" s="318"/>
      <c r="V5644" s="318"/>
      <c r="W5644" s="318"/>
      <c r="X5644" s="318"/>
      <c r="Y5644" s="318"/>
      <c r="Z5644" s="318"/>
      <c r="AA5644" s="318"/>
      <c r="AB5644" s="318"/>
      <c r="AC5644" s="318"/>
      <c r="AD5644" s="318"/>
    </row>
    <row r="5645" spans="2:30" s="323" customFormat="1" ht="12" customHeight="1">
      <c r="B5645" s="324"/>
      <c r="C5645" s="325"/>
      <c r="D5645" s="326"/>
      <c r="E5645" s="326"/>
      <c r="F5645" s="326"/>
      <c r="G5645" s="326"/>
      <c r="H5645" s="326"/>
      <c r="P5645" s="318"/>
      <c r="Q5645" s="318"/>
      <c r="R5645" s="318"/>
      <c r="S5645" s="318"/>
      <c r="T5645" s="318"/>
      <c r="U5645" s="318"/>
      <c r="V5645" s="318"/>
      <c r="W5645" s="318"/>
      <c r="X5645" s="318"/>
      <c r="Y5645" s="318"/>
      <c r="Z5645" s="318"/>
      <c r="AA5645" s="318"/>
      <c r="AB5645" s="318"/>
      <c r="AC5645" s="318"/>
      <c r="AD5645" s="318"/>
    </row>
    <row r="5646" spans="2:30" s="323" customFormat="1" ht="12" customHeight="1">
      <c r="B5646" s="324"/>
      <c r="C5646" s="325"/>
      <c r="D5646" s="326"/>
      <c r="E5646" s="326"/>
      <c r="F5646" s="326"/>
      <c r="G5646" s="326"/>
      <c r="H5646" s="326"/>
      <c r="P5646" s="318"/>
      <c r="Q5646" s="318"/>
      <c r="R5646" s="318"/>
      <c r="S5646" s="318"/>
      <c r="T5646" s="318"/>
      <c r="U5646" s="318"/>
      <c r="V5646" s="318"/>
      <c r="W5646" s="318"/>
      <c r="X5646" s="318"/>
      <c r="Y5646" s="318"/>
      <c r="Z5646" s="318"/>
      <c r="AA5646" s="318"/>
      <c r="AB5646" s="318"/>
      <c r="AC5646" s="318"/>
      <c r="AD5646" s="318"/>
    </row>
    <row r="5647" spans="2:30" s="323" customFormat="1" ht="12" customHeight="1">
      <c r="B5647" s="324"/>
      <c r="C5647" s="325"/>
      <c r="D5647" s="326"/>
      <c r="E5647" s="326"/>
      <c r="F5647" s="326"/>
      <c r="G5647" s="326"/>
      <c r="H5647" s="326"/>
      <c r="P5647" s="318"/>
      <c r="Q5647" s="318"/>
      <c r="R5647" s="318"/>
      <c r="S5647" s="318"/>
      <c r="T5647" s="318"/>
      <c r="U5647" s="318"/>
      <c r="V5647" s="318"/>
      <c r="W5647" s="318"/>
      <c r="X5647" s="318"/>
      <c r="Y5647" s="318"/>
      <c r="Z5647" s="318"/>
      <c r="AA5647" s="318"/>
      <c r="AB5647" s="318"/>
      <c r="AC5647" s="318"/>
      <c r="AD5647" s="318"/>
    </row>
    <row r="5648" spans="2:30" s="323" customFormat="1" ht="12" customHeight="1">
      <c r="B5648" s="324"/>
      <c r="C5648" s="325"/>
      <c r="D5648" s="326"/>
      <c r="E5648" s="326"/>
      <c r="F5648" s="326"/>
      <c r="G5648" s="326"/>
      <c r="H5648" s="326"/>
      <c r="P5648" s="318"/>
      <c r="Q5648" s="318"/>
      <c r="R5648" s="318"/>
      <c r="S5648" s="318"/>
      <c r="T5648" s="318"/>
      <c r="U5648" s="318"/>
      <c r="V5648" s="318"/>
      <c r="W5648" s="318"/>
      <c r="X5648" s="318"/>
      <c r="Y5648" s="318"/>
      <c r="Z5648" s="318"/>
      <c r="AA5648" s="318"/>
      <c r="AB5648" s="318"/>
      <c r="AC5648" s="318"/>
      <c r="AD5648" s="318"/>
    </row>
    <row r="5649" spans="2:30" s="323" customFormat="1" ht="12" customHeight="1">
      <c r="B5649" s="324"/>
      <c r="C5649" s="325"/>
      <c r="D5649" s="326"/>
      <c r="E5649" s="326"/>
      <c r="F5649" s="326"/>
      <c r="G5649" s="326"/>
      <c r="H5649" s="326"/>
      <c r="P5649" s="318"/>
      <c r="Q5649" s="318"/>
      <c r="R5649" s="318"/>
      <c r="S5649" s="318"/>
      <c r="T5649" s="318"/>
      <c r="U5649" s="318"/>
      <c r="V5649" s="318"/>
      <c r="W5649" s="318"/>
      <c r="X5649" s="318"/>
      <c r="Y5649" s="318"/>
      <c r="Z5649" s="318"/>
      <c r="AA5649" s="318"/>
      <c r="AB5649" s="318"/>
      <c r="AC5649" s="318"/>
      <c r="AD5649" s="318"/>
    </row>
    <row r="5650" spans="2:30" s="323" customFormat="1" ht="12" customHeight="1">
      <c r="B5650" s="324"/>
      <c r="C5650" s="325"/>
      <c r="D5650" s="326"/>
      <c r="E5650" s="326"/>
      <c r="F5650" s="326"/>
      <c r="G5650" s="326"/>
      <c r="H5650" s="326"/>
      <c r="P5650" s="318"/>
      <c r="Q5650" s="318"/>
      <c r="R5650" s="318"/>
      <c r="S5650" s="318"/>
      <c r="T5650" s="318"/>
      <c r="U5650" s="318"/>
      <c r="V5650" s="318"/>
      <c r="W5650" s="318"/>
      <c r="X5650" s="318"/>
      <c r="Y5650" s="318"/>
      <c r="Z5650" s="318"/>
      <c r="AA5650" s="318"/>
      <c r="AB5650" s="318"/>
      <c r="AC5650" s="318"/>
      <c r="AD5650" s="318"/>
    </row>
    <row r="5651" spans="2:30" s="323" customFormat="1" ht="12" customHeight="1">
      <c r="B5651" s="324"/>
      <c r="C5651" s="325"/>
      <c r="D5651" s="326"/>
      <c r="E5651" s="326"/>
      <c r="F5651" s="326"/>
      <c r="G5651" s="326"/>
      <c r="H5651" s="326"/>
      <c r="P5651" s="318"/>
      <c r="Q5651" s="318"/>
      <c r="R5651" s="318"/>
      <c r="S5651" s="318"/>
      <c r="T5651" s="318"/>
      <c r="U5651" s="318"/>
      <c r="V5651" s="318"/>
      <c r="W5651" s="318"/>
      <c r="X5651" s="318"/>
      <c r="Y5651" s="318"/>
      <c r="Z5651" s="318"/>
      <c r="AA5651" s="318"/>
      <c r="AB5651" s="318"/>
      <c r="AC5651" s="318"/>
      <c r="AD5651" s="318"/>
    </row>
    <row r="5652" spans="2:30" s="323" customFormat="1" ht="12" customHeight="1">
      <c r="B5652" s="324"/>
      <c r="C5652" s="325"/>
      <c r="D5652" s="326"/>
      <c r="E5652" s="326"/>
      <c r="F5652" s="326"/>
      <c r="G5652" s="326"/>
      <c r="H5652" s="326"/>
      <c r="P5652" s="318"/>
      <c r="Q5652" s="318"/>
      <c r="R5652" s="318"/>
      <c r="S5652" s="318"/>
      <c r="T5652" s="318"/>
      <c r="U5652" s="318"/>
      <c r="V5652" s="318"/>
      <c r="W5652" s="318"/>
      <c r="X5652" s="318"/>
      <c r="Y5652" s="318"/>
      <c r="Z5652" s="318"/>
      <c r="AA5652" s="318"/>
      <c r="AB5652" s="318"/>
      <c r="AC5652" s="318"/>
      <c r="AD5652" s="318"/>
    </row>
    <row r="5653" spans="2:30" s="323" customFormat="1" ht="12" customHeight="1">
      <c r="B5653" s="324"/>
      <c r="C5653" s="325"/>
      <c r="D5653" s="326"/>
      <c r="E5653" s="326"/>
      <c r="F5653" s="326"/>
      <c r="G5653" s="326"/>
      <c r="H5653" s="326"/>
      <c r="P5653" s="318"/>
      <c r="Q5653" s="318"/>
      <c r="R5653" s="318"/>
      <c r="S5653" s="318"/>
      <c r="T5653" s="318"/>
      <c r="U5653" s="318"/>
      <c r="V5653" s="318"/>
      <c r="W5653" s="318"/>
      <c r="X5653" s="318"/>
      <c r="Y5653" s="318"/>
      <c r="Z5653" s="318"/>
      <c r="AA5653" s="318"/>
      <c r="AB5653" s="318"/>
      <c r="AC5653" s="318"/>
      <c r="AD5653" s="318"/>
    </row>
    <row r="5654" spans="2:30" s="323" customFormat="1" ht="12" customHeight="1">
      <c r="B5654" s="324"/>
      <c r="C5654" s="325"/>
      <c r="D5654" s="326"/>
      <c r="E5654" s="326"/>
      <c r="F5654" s="326"/>
      <c r="G5654" s="326"/>
      <c r="H5654" s="326"/>
      <c r="P5654" s="318"/>
      <c r="Q5654" s="318"/>
      <c r="R5654" s="318"/>
      <c r="S5654" s="318"/>
      <c r="T5654" s="318"/>
      <c r="U5654" s="318"/>
      <c r="V5654" s="318"/>
      <c r="W5654" s="318"/>
      <c r="X5654" s="318"/>
      <c r="Y5654" s="318"/>
      <c r="Z5654" s="318"/>
      <c r="AA5654" s="318"/>
      <c r="AB5654" s="318"/>
      <c r="AC5654" s="318"/>
      <c r="AD5654" s="318"/>
    </row>
    <row r="5655" spans="2:30" s="323" customFormat="1" ht="12" customHeight="1">
      <c r="B5655" s="324"/>
      <c r="C5655" s="325"/>
      <c r="D5655" s="326"/>
      <c r="E5655" s="326"/>
      <c r="F5655" s="326"/>
      <c r="G5655" s="326"/>
      <c r="H5655" s="326"/>
      <c r="P5655" s="318"/>
      <c r="Q5655" s="318"/>
      <c r="R5655" s="318"/>
      <c r="S5655" s="318"/>
      <c r="T5655" s="318"/>
      <c r="U5655" s="318"/>
      <c r="V5655" s="318"/>
      <c r="W5655" s="318"/>
      <c r="X5655" s="318"/>
      <c r="Y5655" s="318"/>
      <c r="Z5655" s="318"/>
      <c r="AA5655" s="318"/>
      <c r="AB5655" s="318"/>
      <c r="AC5655" s="318"/>
      <c r="AD5655" s="318"/>
    </row>
    <row r="5656" spans="2:30" s="323" customFormat="1" ht="12" customHeight="1">
      <c r="B5656" s="324"/>
      <c r="C5656" s="325"/>
      <c r="D5656" s="326"/>
      <c r="E5656" s="326"/>
      <c r="F5656" s="326"/>
      <c r="G5656" s="326"/>
      <c r="H5656" s="326"/>
      <c r="P5656" s="318"/>
      <c r="Q5656" s="318"/>
      <c r="R5656" s="318"/>
      <c r="S5656" s="318"/>
      <c r="T5656" s="318"/>
      <c r="U5656" s="318"/>
      <c r="V5656" s="318"/>
      <c r="W5656" s="318"/>
      <c r="X5656" s="318"/>
      <c r="Y5656" s="318"/>
      <c r="Z5656" s="318"/>
      <c r="AA5656" s="318"/>
      <c r="AB5656" s="318"/>
      <c r="AC5656" s="318"/>
      <c r="AD5656" s="318"/>
    </row>
    <row r="5657" spans="2:30" s="323" customFormat="1" ht="12" customHeight="1">
      <c r="B5657" s="324"/>
      <c r="C5657" s="325"/>
      <c r="D5657" s="326"/>
      <c r="E5657" s="326"/>
      <c r="F5657" s="326"/>
      <c r="G5657" s="326"/>
      <c r="H5657" s="326"/>
      <c r="P5657" s="318"/>
      <c r="Q5657" s="318"/>
      <c r="R5657" s="318"/>
      <c r="S5657" s="318"/>
      <c r="T5657" s="318"/>
      <c r="U5657" s="318"/>
      <c r="V5657" s="318"/>
      <c r="W5657" s="318"/>
      <c r="X5657" s="318"/>
      <c r="Y5657" s="318"/>
      <c r="Z5657" s="318"/>
      <c r="AA5657" s="318"/>
      <c r="AB5657" s="318"/>
      <c r="AC5657" s="318"/>
      <c r="AD5657" s="318"/>
    </row>
    <row r="5658" spans="2:30" s="323" customFormat="1" ht="12" customHeight="1">
      <c r="B5658" s="324"/>
      <c r="C5658" s="325"/>
      <c r="D5658" s="326"/>
      <c r="E5658" s="326"/>
      <c r="F5658" s="326"/>
      <c r="G5658" s="326"/>
      <c r="H5658" s="326"/>
      <c r="P5658" s="318"/>
      <c r="Q5658" s="318"/>
      <c r="R5658" s="318"/>
      <c r="S5658" s="318"/>
      <c r="T5658" s="318"/>
      <c r="U5658" s="318"/>
      <c r="V5658" s="318"/>
      <c r="W5658" s="318"/>
      <c r="X5658" s="318"/>
      <c r="Y5658" s="318"/>
      <c r="Z5658" s="318"/>
      <c r="AA5658" s="318"/>
      <c r="AB5658" s="318"/>
      <c r="AC5658" s="318"/>
      <c r="AD5658" s="318"/>
    </row>
    <row r="5659" spans="2:30" s="323" customFormat="1" ht="12" customHeight="1">
      <c r="B5659" s="324"/>
      <c r="C5659" s="325"/>
      <c r="D5659" s="326"/>
      <c r="E5659" s="326"/>
      <c r="F5659" s="326"/>
      <c r="G5659" s="326"/>
      <c r="H5659" s="326"/>
      <c r="P5659" s="318"/>
      <c r="Q5659" s="318"/>
      <c r="R5659" s="318"/>
      <c r="S5659" s="318"/>
      <c r="T5659" s="318"/>
      <c r="U5659" s="318"/>
      <c r="V5659" s="318"/>
      <c r="W5659" s="318"/>
      <c r="X5659" s="318"/>
      <c r="Y5659" s="318"/>
      <c r="Z5659" s="318"/>
      <c r="AA5659" s="318"/>
      <c r="AB5659" s="318"/>
      <c r="AC5659" s="318"/>
      <c r="AD5659" s="318"/>
    </row>
    <row r="5660" spans="2:30" s="323" customFormat="1" ht="12" customHeight="1">
      <c r="B5660" s="324"/>
      <c r="C5660" s="325"/>
      <c r="D5660" s="326"/>
      <c r="E5660" s="326"/>
      <c r="F5660" s="326"/>
      <c r="G5660" s="326"/>
      <c r="H5660" s="326"/>
      <c r="P5660" s="318"/>
      <c r="Q5660" s="318"/>
      <c r="R5660" s="318"/>
      <c r="S5660" s="318"/>
      <c r="T5660" s="318"/>
      <c r="U5660" s="318"/>
      <c r="V5660" s="318"/>
      <c r="W5660" s="318"/>
      <c r="X5660" s="318"/>
      <c r="Y5660" s="318"/>
      <c r="Z5660" s="318"/>
      <c r="AA5660" s="318"/>
      <c r="AB5660" s="318"/>
      <c r="AC5660" s="318"/>
      <c r="AD5660" s="318"/>
    </row>
    <row r="5661" spans="2:30" s="323" customFormat="1" ht="12" customHeight="1">
      <c r="B5661" s="324"/>
      <c r="C5661" s="325"/>
      <c r="D5661" s="326"/>
      <c r="E5661" s="326"/>
      <c r="F5661" s="326"/>
      <c r="G5661" s="326"/>
      <c r="H5661" s="326"/>
      <c r="P5661" s="318"/>
      <c r="Q5661" s="318"/>
      <c r="R5661" s="318"/>
      <c r="S5661" s="318"/>
      <c r="T5661" s="318"/>
      <c r="U5661" s="318"/>
      <c r="V5661" s="318"/>
      <c r="W5661" s="318"/>
      <c r="X5661" s="318"/>
      <c r="Y5661" s="318"/>
      <c r="Z5661" s="318"/>
      <c r="AA5661" s="318"/>
      <c r="AB5661" s="318"/>
      <c r="AC5661" s="318"/>
      <c r="AD5661" s="318"/>
    </row>
    <row r="5662" spans="2:30" s="323" customFormat="1" ht="12" customHeight="1">
      <c r="B5662" s="324"/>
      <c r="C5662" s="325"/>
      <c r="D5662" s="326"/>
      <c r="E5662" s="326"/>
      <c r="F5662" s="326"/>
      <c r="G5662" s="326"/>
      <c r="H5662" s="326"/>
      <c r="P5662" s="318"/>
      <c r="Q5662" s="318"/>
      <c r="R5662" s="318"/>
      <c r="S5662" s="318"/>
      <c r="T5662" s="318"/>
      <c r="U5662" s="318"/>
      <c r="V5662" s="318"/>
      <c r="W5662" s="318"/>
      <c r="X5662" s="318"/>
      <c r="Y5662" s="318"/>
      <c r="Z5662" s="318"/>
      <c r="AA5662" s="318"/>
      <c r="AB5662" s="318"/>
      <c r="AC5662" s="318"/>
      <c r="AD5662" s="318"/>
    </row>
    <row r="5663" spans="2:30" s="323" customFormat="1" ht="12" customHeight="1">
      <c r="B5663" s="324"/>
      <c r="C5663" s="325"/>
      <c r="D5663" s="326"/>
      <c r="E5663" s="326"/>
      <c r="F5663" s="326"/>
      <c r="G5663" s="326"/>
      <c r="H5663" s="326"/>
      <c r="P5663" s="318"/>
      <c r="Q5663" s="318"/>
      <c r="R5663" s="318"/>
      <c r="S5663" s="318"/>
      <c r="T5663" s="318"/>
      <c r="U5663" s="318"/>
      <c r="V5663" s="318"/>
      <c r="W5663" s="318"/>
      <c r="X5663" s="318"/>
      <c r="Y5663" s="318"/>
      <c r="Z5663" s="318"/>
      <c r="AA5663" s="318"/>
      <c r="AB5663" s="318"/>
      <c r="AC5663" s="318"/>
      <c r="AD5663" s="318"/>
    </row>
    <row r="5664" spans="2:30" s="323" customFormat="1" ht="12" customHeight="1">
      <c r="B5664" s="324"/>
      <c r="C5664" s="325"/>
      <c r="D5664" s="326"/>
      <c r="E5664" s="326"/>
      <c r="F5664" s="326"/>
      <c r="G5664" s="326"/>
      <c r="H5664" s="326"/>
      <c r="P5664" s="318"/>
      <c r="Q5664" s="318"/>
      <c r="R5664" s="318"/>
      <c r="S5664" s="318"/>
      <c r="T5664" s="318"/>
      <c r="U5664" s="318"/>
      <c r="V5664" s="318"/>
      <c r="W5664" s="318"/>
      <c r="X5664" s="318"/>
      <c r="Y5664" s="318"/>
      <c r="Z5664" s="318"/>
      <c r="AA5664" s="318"/>
      <c r="AB5664" s="318"/>
      <c r="AC5664" s="318"/>
      <c r="AD5664" s="318"/>
    </row>
    <row r="5665" spans="2:30" s="323" customFormat="1" ht="12" customHeight="1">
      <c r="B5665" s="324"/>
      <c r="C5665" s="325"/>
      <c r="D5665" s="326"/>
      <c r="E5665" s="326"/>
      <c r="F5665" s="326"/>
      <c r="G5665" s="326"/>
      <c r="H5665" s="326"/>
      <c r="P5665" s="318"/>
      <c r="Q5665" s="318"/>
      <c r="R5665" s="318"/>
      <c r="S5665" s="318"/>
      <c r="T5665" s="318"/>
      <c r="U5665" s="318"/>
      <c r="V5665" s="318"/>
      <c r="W5665" s="318"/>
      <c r="X5665" s="318"/>
      <c r="Y5665" s="318"/>
      <c r="Z5665" s="318"/>
      <c r="AA5665" s="318"/>
      <c r="AB5665" s="318"/>
      <c r="AC5665" s="318"/>
      <c r="AD5665" s="318"/>
    </row>
    <row r="5666" spans="2:30" s="323" customFormat="1" ht="12" customHeight="1">
      <c r="B5666" s="324"/>
      <c r="C5666" s="325"/>
      <c r="D5666" s="326"/>
      <c r="E5666" s="326"/>
      <c r="F5666" s="326"/>
      <c r="G5666" s="326"/>
      <c r="H5666" s="326"/>
      <c r="P5666" s="318"/>
      <c r="Q5666" s="318"/>
      <c r="R5666" s="318"/>
      <c r="S5666" s="318"/>
      <c r="T5666" s="318"/>
      <c r="U5666" s="318"/>
      <c r="V5666" s="318"/>
      <c r="W5666" s="318"/>
      <c r="X5666" s="318"/>
      <c r="Y5666" s="318"/>
      <c r="Z5666" s="318"/>
      <c r="AA5666" s="318"/>
      <c r="AB5666" s="318"/>
      <c r="AC5666" s="318"/>
      <c r="AD5666" s="318"/>
    </row>
    <row r="5667" spans="2:30" s="323" customFormat="1" ht="12" customHeight="1">
      <c r="B5667" s="324"/>
      <c r="C5667" s="325"/>
      <c r="D5667" s="326"/>
      <c r="E5667" s="326"/>
      <c r="F5667" s="326"/>
      <c r="G5667" s="326"/>
      <c r="H5667" s="326"/>
      <c r="P5667" s="318"/>
      <c r="Q5667" s="318"/>
      <c r="R5667" s="318"/>
      <c r="S5667" s="318"/>
      <c r="T5667" s="318"/>
      <c r="U5667" s="318"/>
      <c r="V5667" s="318"/>
      <c r="W5667" s="318"/>
      <c r="X5667" s="318"/>
      <c r="Y5667" s="318"/>
      <c r="Z5667" s="318"/>
      <c r="AA5667" s="318"/>
      <c r="AB5667" s="318"/>
      <c r="AC5667" s="318"/>
      <c r="AD5667" s="318"/>
    </row>
    <row r="5668" spans="2:30" s="323" customFormat="1" ht="12" customHeight="1">
      <c r="B5668" s="324"/>
      <c r="C5668" s="325"/>
      <c r="D5668" s="326"/>
      <c r="E5668" s="326"/>
      <c r="F5668" s="326"/>
      <c r="G5668" s="326"/>
      <c r="H5668" s="326"/>
      <c r="P5668" s="318"/>
      <c r="Q5668" s="318"/>
      <c r="R5668" s="318"/>
      <c r="S5668" s="318"/>
      <c r="T5668" s="318"/>
      <c r="U5668" s="318"/>
      <c r="V5668" s="318"/>
      <c r="W5668" s="318"/>
      <c r="X5668" s="318"/>
      <c r="Y5668" s="318"/>
      <c r="Z5668" s="318"/>
      <c r="AA5668" s="318"/>
      <c r="AB5668" s="318"/>
      <c r="AC5668" s="318"/>
      <c r="AD5668" s="318"/>
    </row>
    <row r="5669" spans="2:30" s="323" customFormat="1" ht="12" customHeight="1">
      <c r="B5669" s="324"/>
      <c r="C5669" s="325"/>
      <c r="D5669" s="326"/>
      <c r="E5669" s="326"/>
      <c r="F5669" s="326"/>
      <c r="G5669" s="326"/>
      <c r="H5669" s="326"/>
      <c r="P5669" s="318"/>
      <c r="Q5669" s="318"/>
      <c r="R5669" s="318"/>
      <c r="S5669" s="318"/>
      <c r="T5669" s="318"/>
      <c r="U5669" s="318"/>
      <c r="V5669" s="318"/>
      <c r="W5669" s="318"/>
      <c r="X5669" s="318"/>
      <c r="Y5669" s="318"/>
      <c r="Z5669" s="318"/>
      <c r="AA5669" s="318"/>
      <c r="AB5669" s="318"/>
      <c r="AC5669" s="318"/>
      <c r="AD5669" s="318"/>
    </row>
    <row r="5670" spans="2:30" s="323" customFormat="1" ht="12" customHeight="1">
      <c r="B5670" s="324"/>
      <c r="C5670" s="325"/>
      <c r="D5670" s="326"/>
      <c r="E5670" s="326"/>
      <c r="F5670" s="326"/>
      <c r="G5670" s="326"/>
      <c r="H5670" s="326"/>
      <c r="P5670" s="318"/>
      <c r="Q5670" s="318"/>
      <c r="R5670" s="318"/>
      <c r="S5670" s="318"/>
      <c r="T5670" s="318"/>
      <c r="U5670" s="318"/>
      <c r="V5670" s="318"/>
      <c r="W5670" s="318"/>
      <c r="X5670" s="318"/>
      <c r="Y5670" s="318"/>
      <c r="Z5670" s="318"/>
      <c r="AA5670" s="318"/>
      <c r="AB5670" s="318"/>
      <c r="AC5670" s="318"/>
      <c r="AD5670" s="318"/>
    </row>
    <row r="5671" spans="2:30" s="323" customFormat="1" ht="12" customHeight="1">
      <c r="B5671" s="324"/>
      <c r="C5671" s="325"/>
      <c r="D5671" s="326"/>
      <c r="E5671" s="326"/>
      <c r="F5671" s="326"/>
      <c r="G5671" s="326"/>
      <c r="H5671" s="326"/>
      <c r="P5671" s="318"/>
      <c r="Q5671" s="318"/>
      <c r="R5671" s="318"/>
      <c r="S5671" s="318"/>
      <c r="T5671" s="318"/>
      <c r="U5671" s="318"/>
      <c r="V5671" s="318"/>
      <c r="W5671" s="318"/>
      <c r="X5671" s="318"/>
      <c r="Y5671" s="318"/>
      <c r="Z5671" s="318"/>
      <c r="AA5671" s="318"/>
      <c r="AB5671" s="318"/>
      <c r="AC5671" s="318"/>
      <c r="AD5671" s="318"/>
    </row>
    <row r="5672" spans="2:30" s="323" customFormat="1" ht="12" customHeight="1">
      <c r="B5672" s="324"/>
      <c r="C5672" s="325"/>
      <c r="D5672" s="326"/>
      <c r="E5672" s="326"/>
      <c r="F5672" s="326"/>
      <c r="G5672" s="326"/>
      <c r="H5672" s="326"/>
      <c r="P5672" s="318"/>
      <c r="Q5672" s="318"/>
      <c r="R5672" s="318"/>
      <c r="S5672" s="318"/>
      <c r="T5672" s="318"/>
      <c r="U5672" s="318"/>
      <c r="V5672" s="318"/>
      <c r="W5672" s="318"/>
      <c r="X5672" s="318"/>
      <c r="Y5672" s="318"/>
      <c r="Z5672" s="318"/>
      <c r="AA5672" s="318"/>
      <c r="AB5672" s="318"/>
      <c r="AC5672" s="318"/>
      <c r="AD5672" s="318"/>
    </row>
    <row r="5673" spans="2:30" s="323" customFormat="1" ht="12" customHeight="1">
      <c r="B5673" s="324"/>
      <c r="C5673" s="325"/>
      <c r="D5673" s="326"/>
      <c r="E5673" s="326"/>
      <c r="F5673" s="326"/>
      <c r="G5673" s="326"/>
      <c r="H5673" s="326"/>
      <c r="P5673" s="318"/>
      <c r="Q5673" s="318"/>
      <c r="R5673" s="318"/>
      <c r="S5673" s="318"/>
      <c r="T5673" s="318"/>
      <c r="U5673" s="318"/>
      <c r="V5673" s="318"/>
      <c r="W5673" s="318"/>
      <c r="X5673" s="318"/>
      <c r="Y5673" s="318"/>
      <c r="Z5673" s="318"/>
      <c r="AA5673" s="318"/>
      <c r="AB5673" s="318"/>
      <c r="AC5673" s="318"/>
      <c r="AD5673" s="318"/>
    </row>
    <row r="5674" spans="2:30" s="323" customFormat="1" ht="12" customHeight="1">
      <c r="B5674" s="324"/>
      <c r="C5674" s="325"/>
      <c r="D5674" s="326"/>
      <c r="E5674" s="326"/>
      <c r="F5674" s="326"/>
      <c r="G5674" s="326"/>
      <c r="H5674" s="326"/>
      <c r="P5674" s="318"/>
      <c r="Q5674" s="318"/>
      <c r="R5674" s="318"/>
      <c r="S5674" s="318"/>
      <c r="T5674" s="318"/>
      <c r="U5674" s="318"/>
      <c r="V5674" s="318"/>
      <c r="W5674" s="318"/>
      <c r="X5674" s="318"/>
      <c r="Y5674" s="318"/>
      <c r="Z5674" s="318"/>
      <c r="AA5674" s="318"/>
      <c r="AB5674" s="318"/>
      <c r="AC5674" s="318"/>
      <c r="AD5674" s="318"/>
    </row>
    <row r="5675" spans="2:30" s="323" customFormat="1" ht="12" customHeight="1">
      <c r="B5675" s="324"/>
      <c r="C5675" s="325"/>
      <c r="D5675" s="326"/>
      <c r="E5675" s="326"/>
      <c r="F5675" s="326"/>
      <c r="G5675" s="326"/>
      <c r="H5675" s="326"/>
      <c r="P5675" s="318"/>
      <c r="Q5675" s="318"/>
      <c r="R5675" s="318"/>
      <c r="S5675" s="318"/>
      <c r="T5675" s="318"/>
      <c r="U5675" s="318"/>
      <c r="V5675" s="318"/>
      <c r="W5675" s="318"/>
      <c r="X5675" s="318"/>
      <c r="Y5675" s="318"/>
      <c r="Z5675" s="318"/>
      <c r="AA5675" s="318"/>
      <c r="AB5675" s="318"/>
      <c r="AC5675" s="318"/>
      <c r="AD5675" s="318"/>
    </row>
    <row r="5676" spans="2:30" s="323" customFormat="1" ht="12" customHeight="1">
      <c r="B5676" s="324"/>
      <c r="C5676" s="325"/>
      <c r="D5676" s="326"/>
      <c r="E5676" s="326"/>
      <c r="F5676" s="326"/>
      <c r="G5676" s="326"/>
      <c r="H5676" s="326"/>
      <c r="P5676" s="318"/>
      <c r="Q5676" s="318"/>
      <c r="R5676" s="318"/>
      <c r="S5676" s="318"/>
      <c r="T5676" s="318"/>
      <c r="U5676" s="318"/>
      <c r="V5676" s="318"/>
      <c r="W5676" s="318"/>
      <c r="X5676" s="318"/>
      <c r="Y5676" s="318"/>
      <c r="Z5676" s="318"/>
      <c r="AA5676" s="318"/>
      <c r="AB5676" s="318"/>
      <c r="AC5676" s="318"/>
      <c r="AD5676" s="318"/>
    </row>
    <row r="5677" spans="2:30" s="323" customFormat="1" ht="12" customHeight="1">
      <c r="B5677" s="324"/>
      <c r="C5677" s="325"/>
      <c r="D5677" s="326"/>
      <c r="E5677" s="326"/>
      <c r="F5677" s="326"/>
      <c r="G5677" s="326"/>
      <c r="H5677" s="326"/>
      <c r="P5677" s="318"/>
      <c r="Q5677" s="318"/>
      <c r="R5677" s="318"/>
      <c r="S5677" s="318"/>
      <c r="T5677" s="318"/>
      <c r="U5677" s="318"/>
      <c r="V5677" s="318"/>
      <c r="W5677" s="318"/>
      <c r="X5677" s="318"/>
      <c r="Y5677" s="318"/>
      <c r="Z5677" s="318"/>
      <c r="AA5677" s="318"/>
      <c r="AB5677" s="318"/>
      <c r="AC5677" s="318"/>
      <c r="AD5677" s="318"/>
    </row>
    <row r="5678" spans="2:30" s="323" customFormat="1" ht="12" customHeight="1">
      <c r="B5678" s="324"/>
      <c r="C5678" s="325"/>
      <c r="D5678" s="326"/>
      <c r="E5678" s="326"/>
      <c r="F5678" s="326"/>
      <c r="G5678" s="326"/>
      <c r="H5678" s="326"/>
      <c r="P5678" s="318"/>
      <c r="Q5678" s="318"/>
      <c r="R5678" s="318"/>
      <c r="S5678" s="318"/>
      <c r="T5678" s="318"/>
      <c r="U5678" s="318"/>
      <c r="V5678" s="318"/>
      <c r="W5678" s="318"/>
      <c r="X5678" s="318"/>
      <c r="Y5678" s="318"/>
      <c r="Z5678" s="318"/>
      <c r="AA5678" s="318"/>
      <c r="AB5678" s="318"/>
      <c r="AC5678" s="318"/>
      <c r="AD5678" s="318"/>
    </row>
    <row r="5679" spans="2:30" s="323" customFormat="1" ht="12" customHeight="1">
      <c r="B5679" s="324"/>
      <c r="C5679" s="325"/>
      <c r="D5679" s="326"/>
      <c r="E5679" s="326"/>
      <c r="F5679" s="326"/>
      <c r="G5679" s="326"/>
      <c r="H5679" s="326"/>
      <c r="P5679" s="318"/>
      <c r="Q5679" s="318"/>
      <c r="R5679" s="318"/>
      <c r="S5679" s="318"/>
      <c r="T5679" s="318"/>
      <c r="U5679" s="318"/>
      <c r="V5679" s="318"/>
      <c r="W5679" s="318"/>
      <c r="X5679" s="318"/>
      <c r="Y5679" s="318"/>
      <c r="Z5679" s="318"/>
      <c r="AA5679" s="318"/>
      <c r="AB5679" s="318"/>
      <c r="AC5679" s="318"/>
      <c r="AD5679" s="318"/>
    </row>
    <row r="5680" spans="2:30" s="323" customFormat="1" ht="12" customHeight="1">
      <c r="B5680" s="324"/>
      <c r="C5680" s="325"/>
      <c r="D5680" s="326"/>
      <c r="E5680" s="326"/>
      <c r="F5680" s="326"/>
      <c r="G5680" s="326"/>
      <c r="H5680" s="326"/>
      <c r="P5680" s="318"/>
      <c r="Q5680" s="318"/>
      <c r="R5680" s="318"/>
      <c r="S5680" s="318"/>
      <c r="T5680" s="318"/>
      <c r="U5680" s="318"/>
      <c r="V5680" s="318"/>
      <c r="W5680" s="318"/>
      <c r="X5680" s="318"/>
      <c r="Y5680" s="318"/>
      <c r="Z5680" s="318"/>
      <c r="AA5680" s="318"/>
      <c r="AB5680" s="318"/>
      <c r="AC5680" s="318"/>
      <c r="AD5680" s="318"/>
    </row>
    <row r="5681" spans="2:30" s="323" customFormat="1" ht="12" customHeight="1">
      <c r="B5681" s="324"/>
      <c r="C5681" s="325"/>
      <c r="D5681" s="326"/>
      <c r="E5681" s="326"/>
      <c r="F5681" s="326"/>
      <c r="G5681" s="326"/>
      <c r="H5681" s="326"/>
      <c r="P5681" s="318"/>
      <c r="Q5681" s="318"/>
      <c r="R5681" s="318"/>
      <c r="S5681" s="318"/>
      <c r="T5681" s="318"/>
      <c r="U5681" s="318"/>
      <c r="V5681" s="318"/>
      <c r="W5681" s="318"/>
      <c r="X5681" s="318"/>
      <c r="Y5681" s="318"/>
      <c r="Z5681" s="318"/>
      <c r="AA5681" s="318"/>
      <c r="AB5681" s="318"/>
      <c r="AC5681" s="318"/>
      <c r="AD5681" s="318"/>
    </row>
    <row r="5682" spans="2:30" s="323" customFormat="1" ht="12" customHeight="1">
      <c r="B5682" s="324"/>
      <c r="C5682" s="325"/>
      <c r="D5682" s="326"/>
      <c r="E5682" s="326"/>
      <c r="F5682" s="326"/>
      <c r="G5682" s="326"/>
      <c r="H5682" s="326"/>
      <c r="P5682" s="318"/>
      <c r="Q5682" s="318"/>
      <c r="R5682" s="318"/>
      <c r="S5682" s="318"/>
      <c r="T5682" s="318"/>
      <c r="U5682" s="318"/>
      <c r="V5682" s="318"/>
      <c r="W5682" s="318"/>
      <c r="X5682" s="318"/>
      <c r="Y5682" s="318"/>
      <c r="Z5682" s="318"/>
      <c r="AA5682" s="318"/>
      <c r="AB5682" s="318"/>
      <c r="AC5682" s="318"/>
      <c r="AD5682" s="318"/>
    </row>
    <row r="5683" spans="2:30" s="323" customFormat="1" ht="12" customHeight="1">
      <c r="B5683" s="324"/>
      <c r="C5683" s="325"/>
      <c r="D5683" s="326"/>
      <c r="E5683" s="326"/>
      <c r="F5683" s="326"/>
      <c r="G5683" s="326"/>
      <c r="H5683" s="326"/>
      <c r="P5683" s="318"/>
      <c r="Q5683" s="318"/>
      <c r="R5683" s="318"/>
      <c r="S5683" s="318"/>
      <c r="T5683" s="318"/>
      <c r="U5683" s="318"/>
      <c r="V5683" s="318"/>
      <c r="W5683" s="318"/>
      <c r="X5683" s="318"/>
      <c r="Y5683" s="318"/>
      <c r="Z5683" s="318"/>
      <c r="AA5683" s="318"/>
      <c r="AB5683" s="318"/>
      <c r="AC5683" s="318"/>
      <c r="AD5683" s="318"/>
    </row>
    <row r="5684" spans="2:30" s="323" customFormat="1" ht="12" customHeight="1">
      <c r="B5684" s="324"/>
      <c r="C5684" s="325"/>
      <c r="D5684" s="326"/>
      <c r="E5684" s="326"/>
      <c r="F5684" s="326"/>
      <c r="G5684" s="326"/>
      <c r="H5684" s="326"/>
      <c r="P5684" s="318"/>
      <c r="Q5684" s="318"/>
      <c r="R5684" s="318"/>
      <c r="S5684" s="318"/>
      <c r="T5684" s="318"/>
      <c r="U5684" s="318"/>
      <c r="V5684" s="318"/>
      <c r="W5684" s="318"/>
      <c r="X5684" s="318"/>
      <c r="Y5684" s="318"/>
      <c r="Z5684" s="318"/>
      <c r="AA5684" s="318"/>
      <c r="AB5684" s="318"/>
      <c r="AC5684" s="318"/>
      <c r="AD5684" s="318"/>
    </row>
    <row r="5685" spans="2:30" s="323" customFormat="1" ht="12" customHeight="1">
      <c r="B5685" s="324"/>
      <c r="C5685" s="325"/>
      <c r="D5685" s="326"/>
      <c r="E5685" s="326"/>
      <c r="F5685" s="326"/>
      <c r="G5685" s="326"/>
      <c r="H5685" s="326"/>
      <c r="P5685" s="318"/>
      <c r="Q5685" s="318"/>
      <c r="R5685" s="318"/>
      <c r="S5685" s="318"/>
      <c r="T5685" s="318"/>
      <c r="U5685" s="318"/>
      <c r="V5685" s="318"/>
      <c r="W5685" s="318"/>
      <c r="X5685" s="318"/>
      <c r="Y5685" s="318"/>
      <c r="Z5685" s="318"/>
      <c r="AA5685" s="318"/>
      <c r="AB5685" s="318"/>
      <c r="AC5685" s="318"/>
      <c r="AD5685" s="318"/>
    </row>
    <row r="5686" spans="2:30" s="323" customFormat="1" ht="12" customHeight="1">
      <c r="B5686" s="324"/>
      <c r="C5686" s="325"/>
      <c r="D5686" s="326"/>
      <c r="E5686" s="326"/>
      <c r="F5686" s="326"/>
      <c r="G5686" s="326"/>
      <c r="H5686" s="326"/>
      <c r="P5686" s="318"/>
      <c r="Q5686" s="318"/>
      <c r="R5686" s="318"/>
      <c r="S5686" s="318"/>
      <c r="T5686" s="318"/>
      <c r="U5686" s="318"/>
      <c r="V5686" s="318"/>
      <c r="W5686" s="318"/>
      <c r="X5686" s="318"/>
      <c r="Y5686" s="318"/>
      <c r="Z5686" s="318"/>
      <c r="AA5686" s="318"/>
      <c r="AB5686" s="318"/>
      <c r="AC5686" s="318"/>
      <c r="AD5686" s="318"/>
    </row>
    <row r="5687" spans="2:30" s="323" customFormat="1" ht="12" customHeight="1">
      <c r="B5687" s="324"/>
      <c r="C5687" s="325"/>
      <c r="D5687" s="326"/>
      <c r="E5687" s="326"/>
      <c r="F5687" s="326"/>
      <c r="G5687" s="326"/>
      <c r="H5687" s="326"/>
      <c r="P5687" s="318"/>
      <c r="Q5687" s="318"/>
      <c r="R5687" s="318"/>
      <c r="S5687" s="318"/>
      <c r="T5687" s="318"/>
      <c r="U5687" s="318"/>
      <c r="V5687" s="318"/>
      <c r="W5687" s="318"/>
      <c r="X5687" s="318"/>
      <c r="Y5687" s="318"/>
      <c r="Z5687" s="318"/>
      <c r="AA5687" s="318"/>
      <c r="AB5687" s="318"/>
      <c r="AC5687" s="318"/>
      <c r="AD5687" s="318"/>
    </row>
    <row r="5688" spans="2:30" s="323" customFormat="1" ht="12" customHeight="1">
      <c r="B5688" s="324"/>
      <c r="C5688" s="325"/>
      <c r="D5688" s="326"/>
      <c r="E5688" s="326"/>
      <c r="F5688" s="326"/>
      <c r="G5688" s="326"/>
      <c r="H5688" s="326"/>
      <c r="P5688" s="318"/>
      <c r="Q5688" s="318"/>
      <c r="R5688" s="318"/>
      <c r="S5688" s="318"/>
      <c r="T5688" s="318"/>
      <c r="U5688" s="318"/>
      <c r="V5688" s="318"/>
      <c r="W5688" s="318"/>
      <c r="X5688" s="318"/>
      <c r="Y5688" s="318"/>
      <c r="Z5688" s="318"/>
      <c r="AA5688" s="318"/>
      <c r="AB5688" s="318"/>
      <c r="AC5688" s="318"/>
      <c r="AD5688" s="318"/>
    </row>
    <row r="5689" spans="2:30" s="323" customFormat="1" ht="12" customHeight="1">
      <c r="B5689" s="324"/>
      <c r="C5689" s="325"/>
      <c r="D5689" s="326"/>
      <c r="E5689" s="326"/>
      <c r="F5689" s="326"/>
      <c r="G5689" s="326"/>
      <c r="H5689" s="326"/>
      <c r="P5689" s="318"/>
      <c r="Q5689" s="318"/>
      <c r="R5689" s="318"/>
      <c r="S5689" s="318"/>
      <c r="T5689" s="318"/>
      <c r="U5689" s="318"/>
      <c r="V5689" s="318"/>
      <c r="W5689" s="318"/>
      <c r="X5689" s="318"/>
      <c r="Y5689" s="318"/>
      <c r="Z5689" s="318"/>
      <c r="AA5689" s="318"/>
      <c r="AB5689" s="318"/>
      <c r="AC5689" s="318"/>
      <c r="AD5689" s="318"/>
    </row>
    <row r="5690" spans="2:30" s="323" customFormat="1" ht="12" customHeight="1">
      <c r="B5690" s="324"/>
      <c r="C5690" s="325"/>
      <c r="D5690" s="326"/>
      <c r="E5690" s="326"/>
      <c r="F5690" s="326"/>
      <c r="G5690" s="326"/>
      <c r="H5690" s="326"/>
      <c r="P5690" s="318"/>
      <c r="Q5690" s="318"/>
      <c r="R5690" s="318"/>
      <c r="S5690" s="318"/>
      <c r="T5690" s="318"/>
      <c r="U5690" s="318"/>
      <c r="V5690" s="318"/>
      <c r="W5690" s="318"/>
      <c r="X5690" s="318"/>
      <c r="Y5690" s="318"/>
      <c r="Z5690" s="318"/>
      <c r="AA5690" s="318"/>
      <c r="AB5690" s="318"/>
      <c r="AC5690" s="318"/>
      <c r="AD5690" s="318"/>
    </row>
    <row r="5691" spans="2:30" s="323" customFormat="1" ht="12" customHeight="1">
      <c r="B5691" s="324"/>
      <c r="C5691" s="325"/>
      <c r="D5691" s="326"/>
      <c r="E5691" s="326"/>
      <c r="F5691" s="326"/>
      <c r="G5691" s="326"/>
      <c r="H5691" s="326"/>
      <c r="P5691" s="318"/>
      <c r="Q5691" s="318"/>
      <c r="R5691" s="318"/>
      <c r="S5691" s="318"/>
      <c r="T5691" s="318"/>
      <c r="U5691" s="318"/>
      <c r="V5691" s="318"/>
      <c r="W5691" s="318"/>
      <c r="X5691" s="318"/>
      <c r="Y5691" s="318"/>
      <c r="Z5691" s="318"/>
      <c r="AA5691" s="318"/>
      <c r="AB5691" s="318"/>
      <c r="AC5691" s="318"/>
      <c r="AD5691" s="318"/>
    </row>
    <row r="5692" spans="2:30" s="323" customFormat="1" ht="12" customHeight="1">
      <c r="B5692" s="324"/>
      <c r="C5692" s="325"/>
      <c r="D5692" s="326"/>
      <c r="E5692" s="326"/>
      <c r="F5692" s="326"/>
      <c r="G5692" s="326"/>
      <c r="H5692" s="326"/>
      <c r="P5692" s="318"/>
      <c r="Q5692" s="318"/>
      <c r="R5692" s="318"/>
      <c r="S5692" s="318"/>
      <c r="T5692" s="318"/>
      <c r="U5692" s="318"/>
      <c r="V5692" s="318"/>
      <c r="W5692" s="318"/>
      <c r="X5692" s="318"/>
      <c r="Y5692" s="318"/>
      <c r="Z5692" s="318"/>
      <c r="AA5692" s="318"/>
      <c r="AB5692" s="318"/>
      <c r="AC5692" s="318"/>
      <c r="AD5692" s="318"/>
    </row>
    <row r="5693" spans="2:30" s="323" customFormat="1" ht="12" customHeight="1">
      <c r="B5693" s="324"/>
      <c r="C5693" s="325"/>
      <c r="D5693" s="326"/>
      <c r="E5693" s="326"/>
      <c r="F5693" s="326"/>
      <c r="G5693" s="326"/>
      <c r="H5693" s="326"/>
      <c r="P5693" s="318"/>
      <c r="Q5693" s="318"/>
      <c r="R5693" s="318"/>
      <c r="S5693" s="318"/>
      <c r="T5693" s="318"/>
      <c r="U5693" s="318"/>
      <c r="V5693" s="318"/>
      <c r="W5693" s="318"/>
      <c r="X5693" s="318"/>
      <c r="Y5693" s="318"/>
      <c r="Z5693" s="318"/>
      <c r="AA5693" s="318"/>
      <c r="AB5693" s="318"/>
      <c r="AC5693" s="318"/>
      <c r="AD5693" s="318"/>
    </row>
    <row r="5694" spans="2:30" s="323" customFormat="1" ht="12" customHeight="1">
      <c r="B5694" s="324"/>
      <c r="C5694" s="325"/>
      <c r="D5694" s="326"/>
      <c r="E5694" s="326"/>
      <c r="F5694" s="326"/>
      <c r="G5694" s="326"/>
      <c r="H5694" s="326"/>
      <c r="P5694" s="318"/>
      <c r="Q5694" s="318"/>
      <c r="R5694" s="318"/>
      <c r="S5694" s="318"/>
      <c r="T5694" s="318"/>
      <c r="U5694" s="318"/>
      <c r="V5694" s="318"/>
      <c r="W5694" s="318"/>
      <c r="X5694" s="318"/>
      <c r="Y5694" s="318"/>
      <c r="Z5694" s="318"/>
      <c r="AA5694" s="318"/>
      <c r="AB5694" s="318"/>
      <c r="AC5694" s="318"/>
      <c r="AD5694" s="318"/>
    </row>
    <row r="5695" spans="2:30" s="323" customFormat="1" ht="12" customHeight="1">
      <c r="B5695" s="324"/>
      <c r="C5695" s="325"/>
      <c r="D5695" s="326"/>
      <c r="E5695" s="326"/>
      <c r="F5695" s="326"/>
      <c r="G5695" s="326"/>
      <c r="H5695" s="326"/>
      <c r="P5695" s="318"/>
      <c r="Q5695" s="318"/>
      <c r="R5695" s="318"/>
      <c r="S5695" s="318"/>
      <c r="T5695" s="318"/>
      <c r="U5695" s="318"/>
      <c r="V5695" s="318"/>
      <c r="W5695" s="318"/>
      <c r="X5695" s="318"/>
      <c r="Y5695" s="318"/>
      <c r="Z5695" s="318"/>
      <c r="AA5695" s="318"/>
      <c r="AB5695" s="318"/>
      <c r="AC5695" s="318"/>
      <c r="AD5695" s="318"/>
    </row>
    <row r="5696" spans="2:30" s="323" customFormat="1" ht="12" customHeight="1">
      <c r="B5696" s="324"/>
      <c r="C5696" s="325"/>
      <c r="D5696" s="326"/>
      <c r="E5696" s="326"/>
      <c r="F5696" s="326"/>
      <c r="G5696" s="326"/>
      <c r="H5696" s="326"/>
      <c r="P5696" s="318"/>
      <c r="Q5696" s="318"/>
      <c r="R5696" s="318"/>
      <c r="S5696" s="318"/>
      <c r="T5696" s="318"/>
      <c r="U5696" s="318"/>
      <c r="V5696" s="318"/>
      <c r="W5696" s="318"/>
      <c r="X5696" s="318"/>
      <c r="Y5696" s="318"/>
      <c r="Z5696" s="318"/>
      <c r="AA5696" s="318"/>
      <c r="AB5696" s="318"/>
      <c r="AC5696" s="318"/>
      <c r="AD5696" s="318"/>
    </row>
    <row r="5697" spans="2:30" s="323" customFormat="1" ht="12" customHeight="1">
      <c r="B5697" s="324"/>
      <c r="C5697" s="325"/>
      <c r="D5697" s="326"/>
      <c r="E5697" s="326"/>
      <c r="F5697" s="326"/>
      <c r="G5697" s="326"/>
      <c r="H5697" s="326"/>
      <c r="P5697" s="318"/>
      <c r="Q5697" s="318"/>
      <c r="R5697" s="318"/>
      <c r="S5697" s="318"/>
      <c r="T5697" s="318"/>
      <c r="U5697" s="318"/>
      <c r="V5697" s="318"/>
      <c r="W5697" s="318"/>
      <c r="X5697" s="318"/>
      <c r="Y5697" s="318"/>
      <c r="Z5697" s="318"/>
      <c r="AA5697" s="318"/>
      <c r="AB5697" s="318"/>
      <c r="AC5697" s="318"/>
      <c r="AD5697" s="318"/>
    </row>
    <row r="5698" spans="2:30" s="323" customFormat="1" ht="12" customHeight="1">
      <c r="B5698" s="324"/>
      <c r="C5698" s="325"/>
      <c r="D5698" s="326"/>
      <c r="E5698" s="326"/>
      <c r="F5698" s="326"/>
      <c r="G5698" s="326"/>
      <c r="H5698" s="326"/>
      <c r="P5698" s="318"/>
      <c r="Q5698" s="318"/>
      <c r="R5698" s="318"/>
      <c r="S5698" s="318"/>
      <c r="T5698" s="318"/>
      <c r="U5698" s="318"/>
      <c r="V5698" s="318"/>
      <c r="W5698" s="318"/>
      <c r="X5698" s="318"/>
      <c r="Y5698" s="318"/>
      <c r="Z5698" s="318"/>
      <c r="AA5698" s="318"/>
      <c r="AB5698" s="318"/>
      <c r="AC5698" s="318"/>
      <c r="AD5698" s="318"/>
    </row>
    <row r="5699" spans="2:30" s="323" customFormat="1" ht="12" customHeight="1">
      <c r="B5699" s="324"/>
      <c r="C5699" s="325"/>
      <c r="D5699" s="326"/>
      <c r="E5699" s="326"/>
      <c r="F5699" s="326"/>
      <c r="G5699" s="326"/>
      <c r="H5699" s="326"/>
      <c r="P5699" s="318"/>
      <c r="Q5699" s="318"/>
      <c r="R5699" s="318"/>
      <c r="S5699" s="318"/>
      <c r="T5699" s="318"/>
      <c r="U5699" s="318"/>
      <c r="V5699" s="318"/>
      <c r="W5699" s="318"/>
      <c r="X5699" s="318"/>
      <c r="Y5699" s="318"/>
      <c r="Z5699" s="318"/>
      <c r="AA5699" s="318"/>
      <c r="AB5699" s="318"/>
      <c r="AC5699" s="318"/>
      <c r="AD5699" s="318"/>
    </row>
    <row r="5700" spans="2:30" s="323" customFormat="1" ht="12" customHeight="1">
      <c r="B5700" s="324"/>
      <c r="C5700" s="325"/>
      <c r="D5700" s="326"/>
      <c r="E5700" s="326"/>
      <c r="F5700" s="326"/>
      <c r="G5700" s="326"/>
      <c r="H5700" s="326"/>
      <c r="P5700" s="318"/>
      <c r="Q5700" s="318"/>
      <c r="R5700" s="318"/>
      <c r="S5700" s="318"/>
      <c r="T5700" s="318"/>
      <c r="U5700" s="318"/>
      <c r="V5700" s="318"/>
      <c r="W5700" s="318"/>
      <c r="X5700" s="318"/>
      <c r="Y5700" s="318"/>
      <c r="Z5700" s="318"/>
      <c r="AA5700" s="318"/>
      <c r="AB5700" s="318"/>
      <c r="AC5700" s="318"/>
      <c r="AD5700" s="318"/>
    </row>
    <row r="5701" spans="2:30" s="323" customFormat="1" ht="12" customHeight="1">
      <c r="B5701" s="324"/>
      <c r="C5701" s="325"/>
      <c r="D5701" s="326"/>
      <c r="E5701" s="326"/>
      <c r="F5701" s="326"/>
      <c r="G5701" s="326"/>
      <c r="H5701" s="326"/>
      <c r="P5701" s="318"/>
      <c r="Q5701" s="318"/>
      <c r="R5701" s="318"/>
      <c r="S5701" s="318"/>
      <c r="T5701" s="318"/>
      <c r="U5701" s="318"/>
      <c r="V5701" s="318"/>
      <c r="W5701" s="318"/>
      <c r="X5701" s="318"/>
      <c r="Y5701" s="318"/>
      <c r="Z5701" s="318"/>
      <c r="AA5701" s="318"/>
      <c r="AB5701" s="318"/>
      <c r="AC5701" s="318"/>
      <c r="AD5701" s="318"/>
    </row>
    <row r="5702" spans="2:30" s="323" customFormat="1" ht="12" customHeight="1">
      <c r="B5702" s="324"/>
      <c r="C5702" s="325"/>
      <c r="D5702" s="326"/>
      <c r="E5702" s="326"/>
      <c r="F5702" s="326"/>
      <c r="G5702" s="326"/>
      <c r="H5702" s="326"/>
      <c r="P5702" s="318"/>
      <c r="Q5702" s="318"/>
      <c r="R5702" s="318"/>
      <c r="S5702" s="318"/>
      <c r="T5702" s="318"/>
      <c r="U5702" s="318"/>
      <c r="V5702" s="318"/>
      <c r="W5702" s="318"/>
      <c r="X5702" s="318"/>
      <c r="Y5702" s="318"/>
      <c r="Z5702" s="318"/>
      <c r="AA5702" s="318"/>
      <c r="AB5702" s="318"/>
      <c r="AC5702" s="318"/>
      <c r="AD5702" s="318"/>
    </row>
    <row r="5703" spans="2:30" s="323" customFormat="1" ht="12" customHeight="1">
      <c r="B5703" s="324"/>
      <c r="C5703" s="325"/>
      <c r="D5703" s="326"/>
      <c r="E5703" s="326"/>
      <c r="F5703" s="326"/>
      <c r="G5703" s="326"/>
      <c r="H5703" s="326"/>
      <c r="P5703" s="318"/>
      <c r="Q5703" s="318"/>
      <c r="R5703" s="318"/>
      <c r="S5703" s="318"/>
      <c r="T5703" s="318"/>
      <c r="U5703" s="318"/>
      <c r="V5703" s="318"/>
      <c r="W5703" s="318"/>
      <c r="X5703" s="318"/>
      <c r="Y5703" s="318"/>
      <c r="Z5703" s="318"/>
      <c r="AA5703" s="318"/>
      <c r="AB5703" s="318"/>
      <c r="AC5703" s="318"/>
      <c r="AD5703" s="318"/>
    </row>
    <row r="5704" spans="2:30" s="323" customFormat="1" ht="12" customHeight="1">
      <c r="B5704" s="324"/>
      <c r="C5704" s="325"/>
      <c r="D5704" s="326"/>
      <c r="E5704" s="326"/>
      <c r="F5704" s="326"/>
      <c r="G5704" s="326"/>
      <c r="H5704" s="326"/>
      <c r="P5704" s="318"/>
      <c r="Q5704" s="318"/>
      <c r="R5704" s="318"/>
      <c r="S5704" s="318"/>
      <c r="T5704" s="318"/>
      <c r="U5704" s="318"/>
      <c r="V5704" s="318"/>
      <c r="W5704" s="318"/>
      <c r="X5704" s="318"/>
      <c r="Y5704" s="318"/>
      <c r="Z5704" s="318"/>
      <c r="AA5704" s="318"/>
      <c r="AB5704" s="318"/>
      <c r="AC5704" s="318"/>
      <c r="AD5704" s="318"/>
    </row>
    <row r="5705" spans="2:30" s="323" customFormat="1" ht="12" customHeight="1">
      <c r="B5705" s="324"/>
      <c r="C5705" s="325"/>
      <c r="D5705" s="326"/>
      <c r="E5705" s="326"/>
      <c r="F5705" s="326"/>
      <c r="G5705" s="326"/>
      <c r="H5705" s="326"/>
      <c r="P5705" s="318"/>
      <c r="Q5705" s="318"/>
      <c r="R5705" s="318"/>
      <c r="S5705" s="318"/>
      <c r="T5705" s="318"/>
      <c r="U5705" s="318"/>
      <c r="V5705" s="318"/>
      <c r="W5705" s="318"/>
      <c r="X5705" s="318"/>
      <c r="Y5705" s="318"/>
      <c r="Z5705" s="318"/>
      <c r="AA5705" s="318"/>
      <c r="AB5705" s="318"/>
      <c r="AC5705" s="318"/>
      <c r="AD5705" s="318"/>
    </row>
    <row r="5706" spans="2:30" s="323" customFormat="1" ht="12" customHeight="1">
      <c r="B5706" s="324"/>
      <c r="C5706" s="325"/>
      <c r="D5706" s="326"/>
      <c r="E5706" s="326"/>
      <c r="F5706" s="326"/>
      <c r="G5706" s="326"/>
      <c r="H5706" s="326"/>
      <c r="P5706" s="318"/>
      <c r="Q5706" s="318"/>
      <c r="R5706" s="318"/>
      <c r="S5706" s="318"/>
      <c r="T5706" s="318"/>
      <c r="U5706" s="318"/>
      <c r="V5706" s="318"/>
      <c r="W5706" s="318"/>
      <c r="X5706" s="318"/>
      <c r="Y5706" s="318"/>
      <c r="Z5706" s="318"/>
      <c r="AA5706" s="318"/>
      <c r="AB5706" s="318"/>
      <c r="AC5706" s="318"/>
      <c r="AD5706" s="318"/>
    </row>
    <row r="5707" spans="2:30" s="323" customFormat="1" ht="12" customHeight="1">
      <c r="B5707" s="324"/>
      <c r="C5707" s="325"/>
      <c r="D5707" s="326"/>
      <c r="E5707" s="326"/>
      <c r="F5707" s="326"/>
      <c r="G5707" s="326"/>
      <c r="H5707" s="326"/>
      <c r="P5707" s="318"/>
      <c r="Q5707" s="318"/>
      <c r="R5707" s="318"/>
      <c r="S5707" s="318"/>
      <c r="T5707" s="318"/>
      <c r="U5707" s="318"/>
      <c r="V5707" s="318"/>
      <c r="W5707" s="318"/>
      <c r="X5707" s="318"/>
      <c r="Y5707" s="318"/>
      <c r="Z5707" s="318"/>
      <c r="AA5707" s="318"/>
      <c r="AB5707" s="318"/>
      <c r="AC5707" s="318"/>
      <c r="AD5707" s="318"/>
    </row>
    <row r="5708" spans="2:30" s="323" customFormat="1" ht="12" customHeight="1">
      <c r="B5708" s="324"/>
      <c r="C5708" s="325"/>
      <c r="D5708" s="326"/>
      <c r="E5708" s="326"/>
      <c r="F5708" s="326"/>
      <c r="G5708" s="326"/>
      <c r="H5708" s="326"/>
      <c r="P5708" s="318"/>
      <c r="Q5708" s="318"/>
      <c r="R5708" s="318"/>
      <c r="S5708" s="318"/>
      <c r="T5708" s="318"/>
      <c r="U5708" s="318"/>
      <c r="V5708" s="318"/>
      <c r="W5708" s="318"/>
      <c r="X5708" s="318"/>
      <c r="Y5708" s="318"/>
      <c r="Z5708" s="318"/>
      <c r="AA5708" s="318"/>
      <c r="AB5708" s="318"/>
      <c r="AC5708" s="318"/>
      <c r="AD5708" s="318"/>
    </row>
    <row r="5709" spans="2:30" s="323" customFormat="1" ht="12" customHeight="1">
      <c r="B5709" s="324"/>
      <c r="C5709" s="325"/>
      <c r="D5709" s="326"/>
      <c r="E5709" s="326"/>
      <c r="F5709" s="326"/>
      <c r="G5709" s="326"/>
      <c r="H5709" s="326"/>
      <c r="P5709" s="318"/>
      <c r="Q5709" s="318"/>
      <c r="R5709" s="318"/>
      <c r="S5709" s="318"/>
      <c r="T5709" s="318"/>
      <c r="U5709" s="318"/>
      <c r="V5709" s="318"/>
      <c r="W5709" s="318"/>
      <c r="X5709" s="318"/>
      <c r="Y5709" s="318"/>
      <c r="Z5709" s="318"/>
      <c r="AA5709" s="318"/>
      <c r="AB5709" s="318"/>
      <c r="AC5709" s="318"/>
      <c r="AD5709" s="318"/>
    </row>
    <row r="5710" spans="2:30" s="323" customFormat="1" ht="12" customHeight="1">
      <c r="B5710" s="324"/>
      <c r="C5710" s="325"/>
      <c r="D5710" s="326"/>
      <c r="E5710" s="326"/>
      <c r="F5710" s="326"/>
      <c r="G5710" s="326"/>
      <c r="H5710" s="326"/>
      <c r="P5710" s="318"/>
      <c r="Q5710" s="318"/>
      <c r="R5710" s="318"/>
      <c r="S5710" s="318"/>
      <c r="T5710" s="318"/>
      <c r="U5710" s="318"/>
      <c r="V5710" s="318"/>
      <c r="W5710" s="318"/>
      <c r="X5710" s="318"/>
      <c r="Y5710" s="318"/>
      <c r="Z5710" s="318"/>
      <c r="AA5710" s="318"/>
      <c r="AB5710" s="318"/>
      <c r="AC5710" s="318"/>
      <c r="AD5710" s="318"/>
    </row>
    <row r="5711" spans="2:30" s="323" customFormat="1" ht="12" customHeight="1">
      <c r="B5711" s="324"/>
      <c r="C5711" s="325"/>
      <c r="D5711" s="326"/>
      <c r="E5711" s="326"/>
      <c r="F5711" s="326"/>
      <c r="G5711" s="326"/>
      <c r="H5711" s="326"/>
      <c r="P5711" s="318"/>
      <c r="Q5711" s="318"/>
      <c r="R5711" s="318"/>
      <c r="S5711" s="318"/>
      <c r="T5711" s="318"/>
      <c r="U5711" s="318"/>
      <c r="V5711" s="318"/>
      <c r="W5711" s="318"/>
      <c r="X5711" s="318"/>
      <c r="Y5711" s="318"/>
      <c r="Z5711" s="318"/>
      <c r="AA5711" s="318"/>
      <c r="AB5711" s="318"/>
      <c r="AC5711" s="318"/>
      <c r="AD5711" s="318"/>
    </row>
    <row r="5712" spans="2:30" s="323" customFormat="1" ht="12" customHeight="1">
      <c r="B5712" s="324"/>
      <c r="C5712" s="325"/>
      <c r="D5712" s="326"/>
      <c r="E5712" s="326"/>
      <c r="F5712" s="326"/>
      <c r="G5712" s="326"/>
      <c r="H5712" s="326"/>
      <c r="P5712" s="318"/>
      <c r="Q5712" s="318"/>
      <c r="R5712" s="318"/>
      <c r="S5712" s="318"/>
      <c r="T5712" s="318"/>
      <c r="U5712" s="318"/>
      <c r="V5712" s="318"/>
      <c r="W5712" s="318"/>
      <c r="X5712" s="318"/>
      <c r="Y5712" s="318"/>
      <c r="Z5712" s="318"/>
      <c r="AA5712" s="318"/>
      <c r="AB5712" s="318"/>
      <c r="AC5712" s="318"/>
      <c r="AD5712" s="318"/>
    </row>
    <row r="5713" spans="2:30" s="323" customFormat="1" ht="12" customHeight="1">
      <c r="B5713" s="324"/>
      <c r="C5713" s="325"/>
      <c r="D5713" s="326"/>
      <c r="E5713" s="326"/>
      <c r="F5713" s="326"/>
      <c r="G5713" s="326"/>
      <c r="H5713" s="326"/>
      <c r="P5713" s="318"/>
      <c r="Q5713" s="318"/>
      <c r="R5713" s="318"/>
      <c r="S5713" s="318"/>
      <c r="T5713" s="318"/>
      <c r="U5713" s="318"/>
      <c r="V5713" s="318"/>
      <c r="W5713" s="318"/>
      <c r="X5713" s="318"/>
      <c r="Y5713" s="318"/>
      <c r="Z5713" s="318"/>
      <c r="AA5713" s="318"/>
      <c r="AB5713" s="318"/>
      <c r="AC5713" s="318"/>
      <c r="AD5713" s="318"/>
    </row>
    <row r="5714" spans="2:30" s="323" customFormat="1" ht="12" customHeight="1">
      <c r="B5714" s="324"/>
      <c r="C5714" s="325"/>
      <c r="D5714" s="326"/>
      <c r="E5714" s="326"/>
      <c r="F5714" s="326"/>
      <c r="G5714" s="326"/>
      <c r="H5714" s="326"/>
      <c r="P5714" s="318"/>
      <c r="Q5714" s="318"/>
      <c r="R5714" s="318"/>
      <c r="S5714" s="318"/>
      <c r="T5714" s="318"/>
      <c r="U5714" s="318"/>
      <c r="V5714" s="318"/>
      <c r="W5714" s="318"/>
      <c r="X5714" s="318"/>
      <c r="Y5714" s="318"/>
      <c r="Z5714" s="318"/>
      <c r="AA5714" s="318"/>
      <c r="AB5714" s="318"/>
      <c r="AC5714" s="318"/>
      <c r="AD5714" s="318"/>
    </row>
    <row r="5715" spans="2:30" s="323" customFormat="1" ht="12" customHeight="1">
      <c r="B5715" s="324"/>
      <c r="C5715" s="325"/>
      <c r="D5715" s="326"/>
      <c r="E5715" s="326"/>
      <c r="F5715" s="326"/>
      <c r="G5715" s="326"/>
      <c r="H5715" s="326"/>
      <c r="P5715" s="318"/>
      <c r="Q5715" s="318"/>
      <c r="R5715" s="318"/>
      <c r="S5715" s="318"/>
      <c r="T5715" s="318"/>
      <c r="U5715" s="318"/>
      <c r="V5715" s="318"/>
      <c r="W5715" s="318"/>
      <c r="X5715" s="318"/>
      <c r="Y5715" s="318"/>
      <c r="Z5715" s="318"/>
      <c r="AA5715" s="318"/>
      <c r="AB5715" s="318"/>
      <c r="AC5715" s="318"/>
      <c r="AD5715" s="318"/>
    </row>
    <row r="5716" spans="2:30" s="323" customFormat="1" ht="12" customHeight="1">
      <c r="B5716" s="324"/>
      <c r="C5716" s="325"/>
      <c r="D5716" s="326"/>
      <c r="E5716" s="326"/>
      <c r="F5716" s="326"/>
      <c r="G5716" s="326"/>
      <c r="H5716" s="326"/>
      <c r="P5716" s="318"/>
      <c r="Q5716" s="318"/>
      <c r="R5716" s="318"/>
      <c r="S5716" s="318"/>
      <c r="T5716" s="318"/>
      <c r="U5716" s="318"/>
      <c r="V5716" s="318"/>
      <c r="W5716" s="318"/>
      <c r="X5716" s="318"/>
      <c r="Y5716" s="318"/>
      <c r="Z5716" s="318"/>
      <c r="AA5716" s="318"/>
      <c r="AB5716" s="318"/>
      <c r="AC5716" s="318"/>
      <c r="AD5716" s="318"/>
    </row>
    <row r="5717" spans="2:30" s="323" customFormat="1" ht="12" customHeight="1">
      <c r="B5717" s="324"/>
      <c r="C5717" s="325"/>
      <c r="D5717" s="326"/>
      <c r="E5717" s="326"/>
      <c r="F5717" s="326"/>
      <c r="G5717" s="326"/>
      <c r="H5717" s="326"/>
      <c r="P5717" s="318"/>
      <c r="Q5717" s="318"/>
      <c r="R5717" s="318"/>
      <c r="S5717" s="318"/>
      <c r="T5717" s="318"/>
      <c r="U5717" s="318"/>
      <c r="V5717" s="318"/>
      <c r="W5717" s="318"/>
      <c r="X5717" s="318"/>
      <c r="Y5717" s="318"/>
      <c r="Z5717" s="318"/>
      <c r="AA5717" s="318"/>
      <c r="AB5717" s="318"/>
      <c r="AC5717" s="318"/>
      <c r="AD5717" s="318"/>
    </row>
    <row r="5718" spans="2:30" s="323" customFormat="1" ht="12" customHeight="1">
      <c r="B5718" s="324"/>
      <c r="C5718" s="325"/>
      <c r="D5718" s="326"/>
      <c r="E5718" s="326"/>
      <c r="F5718" s="326"/>
      <c r="G5718" s="326"/>
      <c r="H5718" s="326"/>
      <c r="P5718" s="318"/>
      <c r="Q5718" s="318"/>
      <c r="R5718" s="318"/>
      <c r="S5718" s="318"/>
      <c r="T5718" s="318"/>
      <c r="U5718" s="318"/>
      <c r="V5718" s="318"/>
      <c r="W5718" s="318"/>
      <c r="X5718" s="318"/>
      <c r="Y5718" s="318"/>
      <c r="Z5718" s="318"/>
      <c r="AA5718" s="318"/>
      <c r="AB5718" s="318"/>
      <c r="AC5718" s="318"/>
      <c r="AD5718" s="318"/>
    </row>
    <row r="5719" spans="2:30" s="323" customFormat="1" ht="12" customHeight="1">
      <c r="B5719" s="324"/>
      <c r="C5719" s="325"/>
      <c r="D5719" s="326"/>
      <c r="E5719" s="326"/>
      <c r="F5719" s="326"/>
      <c r="G5719" s="326"/>
      <c r="H5719" s="326"/>
      <c r="P5719" s="318"/>
      <c r="Q5719" s="318"/>
      <c r="R5719" s="318"/>
      <c r="S5719" s="318"/>
      <c r="T5719" s="318"/>
      <c r="U5719" s="318"/>
      <c r="V5719" s="318"/>
      <c r="W5719" s="318"/>
      <c r="X5719" s="318"/>
      <c r="Y5719" s="318"/>
      <c r="Z5719" s="318"/>
      <c r="AA5719" s="318"/>
      <c r="AB5719" s="318"/>
      <c r="AC5719" s="318"/>
      <c r="AD5719" s="318"/>
    </row>
    <row r="5720" spans="2:30" s="323" customFormat="1" ht="12" customHeight="1">
      <c r="B5720" s="324"/>
      <c r="C5720" s="325"/>
      <c r="D5720" s="326"/>
      <c r="E5720" s="326"/>
      <c r="F5720" s="326"/>
      <c r="G5720" s="326"/>
      <c r="H5720" s="326"/>
      <c r="P5720" s="318"/>
      <c r="Q5720" s="318"/>
      <c r="R5720" s="318"/>
      <c r="S5720" s="318"/>
      <c r="T5720" s="318"/>
      <c r="U5720" s="318"/>
      <c r="V5720" s="318"/>
      <c r="W5720" s="318"/>
      <c r="X5720" s="318"/>
      <c r="Y5720" s="318"/>
      <c r="Z5720" s="318"/>
      <c r="AA5720" s="318"/>
      <c r="AB5720" s="318"/>
      <c r="AC5720" s="318"/>
      <c r="AD5720" s="318"/>
    </row>
    <row r="5721" spans="2:30" s="323" customFormat="1" ht="12" customHeight="1">
      <c r="B5721" s="324"/>
      <c r="C5721" s="325"/>
      <c r="D5721" s="326"/>
      <c r="E5721" s="326"/>
      <c r="F5721" s="326"/>
      <c r="G5721" s="326"/>
      <c r="H5721" s="326"/>
      <c r="P5721" s="318"/>
      <c r="Q5721" s="318"/>
      <c r="R5721" s="318"/>
      <c r="S5721" s="318"/>
      <c r="T5721" s="318"/>
      <c r="U5721" s="318"/>
      <c r="V5721" s="318"/>
      <c r="W5721" s="318"/>
      <c r="X5721" s="318"/>
      <c r="Y5721" s="318"/>
      <c r="Z5721" s="318"/>
      <c r="AA5721" s="318"/>
      <c r="AB5721" s="318"/>
      <c r="AC5721" s="318"/>
      <c r="AD5721" s="318"/>
    </row>
    <row r="5722" spans="2:30" s="323" customFormat="1" ht="12" customHeight="1">
      <c r="B5722" s="324"/>
      <c r="C5722" s="325"/>
      <c r="D5722" s="326"/>
      <c r="E5722" s="326"/>
      <c r="F5722" s="326"/>
      <c r="G5722" s="326"/>
      <c r="H5722" s="326"/>
      <c r="P5722" s="318"/>
      <c r="Q5722" s="318"/>
      <c r="R5722" s="318"/>
      <c r="S5722" s="318"/>
      <c r="T5722" s="318"/>
      <c r="U5722" s="318"/>
      <c r="V5722" s="318"/>
      <c r="W5722" s="318"/>
      <c r="X5722" s="318"/>
      <c r="Y5722" s="318"/>
      <c r="Z5722" s="318"/>
      <c r="AA5722" s="318"/>
      <c r="AB5722" s="318"/>
      <c r="AC5722" s="318"/>
      <c r="AD5722" s="318"/>
    </row>
    <row r="5723" spans="2:30" s="323" customFormat="1" ht="12" customHeight="1">
      <c r="B5723" s="324"/>
      <c r="C5723" s="325"/>
      <c r="D5723" s="326"/>
      <c r="E5723" s="326"/>
      <c r="F5723" s="326"/>
      <c r="G5723" s="326"/>
      <c r="H5723" s="326"/>
      <c r="P5723" s="318"/>
      <c r="Q5723" s="318"/>
      <c r="R5723" s="318"/>
      <c r="S5723" s="318"/>
      <c r="T5723" s="318"/>
      <c r="U5723" s="318"/>
      <c r="V5723" s="318"/>
      <c r="W5723" s="318"/>
      <c r="X5723" s="318"/>
      <c r="Y5723" s="318"/>
      <c r="Z5723" s="318"/>
      <c r="AA5723" s="318"/>
      <c r="AB5723" s="318"/>
      <c r="AC5723" s="318"/>
      <c r="AD5723" s="318"/>
    </row>
    <row r="5724" spans="2:30" s="323" customFormat="1" ht="12" customHeight="1">
      <c r="B5724" s="324"/>
      <c r="C5724" s="325"/>
      <c r="D5724" s="326"/>
      <c r="E5724" s="326"/>
      <c r="F5724" s="326"/>
      <c r="G5724" s="326"/>
      <c r="H5724" s="326"/>
      <c r="P5724" s="318"/>
      <c r="Q5724" s="318"/>
      <c r="R5724" s="318"/>
      <c r="S5724" s="318"/>
      <c r="T5724" s="318"/>
      <c r="U5724" s="318"/>
      <c r="V5724" s="318"/>
      <c r="W5724" s="318"/>
      <c r="X5724" s="318"/>
      <c r="Y5724" s="318"/>
      <c r="Z5724" s="318"/>
      <c r="AA5724" s="318"/>
      <c r="AB5724" s="318"/>
      <c r="AC5724" s="318"/>
      <c r="AD5724" s="318"/>
    </row>
    <row r="5725" spans="2:30" s="323" customFormat="1" ht="12" customHeight="1">
      <c r="B5725" s="324"/>
      <c r="C5725" s="325"/>
      <c r="D5725" s="326"/>
      <c r="E5725" s="326"/>
      <c r="F5725" s="326"/>
      <c r="G5725" s="326"/>
      <c r="H5725" s="326"/>
      <c r="P5725" s="318"/>
      <c r="Q5725" s="318"/>
      <c r="R5725" s="318"/>
      <c r="S5725" s="318"/>
      <c r="T5725" s="318"/>
      <c r="U5725" s="318"/>
      <c r="V5725" s="318"/>
      <c r="W5725" s="318"/>
      <c r="X5725" s="318"/>
      <c r="Y5725" s="318"/>
      <c r="Z5725" s="318"/>
      <c r="AA5725" s="318"/>
      <c r="AB5725" s="318"/>
      <c r="AC5725" s="318"/>
      <c r="AD5725" s="318"/>
    </row>
    <row r="5726" spans="2:30" s="323" customFormat="1" ht="12" customHeight="1">
      <c r="B5726" s="324"/>
      <c r="C5726" s="325"/>
      <c r="D5726" s="326"/>
      <c r="E5726" s="326"/>
      <c r="F5726" s="326"/>
      <c r="G5726" s="326"/>
      <c r="H5726" s="326"/>
      <c r="P5726" s="318"/>
      <c r="Q5726" s="318"/>
      <c r="R5726" s="318"/>
      <c r="S5726" s="318"/>
      <c r="T5726" s="318"/>
      <c r="U5726" s="318"/>
      <c r="V5726" s="318"/>
      <c r="W5726" s="318"/>
      <c r="X5726" s="318"/>
      <c r="Y5726" s="318"/>
      <c r="Z5726" s="318"/>
      <c r="AA5726" s="318"/>
      <c r="AB5726" s="318"/>
      <c r="AC5726" s="318"/>
      <c r="AD5726" s="318"/>
    </row>
    <row r="5727" spans="2:30" s="323" customFormat="1" ht="12" customHeight="1">
      <c r="B5727" s="324"/>
      <c r="C5727" s="325"/>
      <c r="D5727" s="326"/>
      <c r="E5727" s="326"/>
      <c r="F5727" s="326"/>
      <c r="G5727" s="326"/>
      <c r="H5727" s="326"/>
      <c r="P5727" s="318"/>
      <c r="Q5727" s="318"/>
      <c r="R5727" s="318"/>
      <c r="S5727" s="318"/>
      <c r="T5727" s="318"/>
      <c r="U5727" s="318"/>
      <c r="V5727" s="318"/>
      <c r="W5727" s="318"/>
      <c r="X5727" s="318"/>
      <c r="Y5727" s="318"/>
      <c r="Z5727" s="318"/>
      <c r="AA5727" s="318"/>
      <c r="AB5727" s="318"/>
      <c r="AC5727" s="318"/>
      <c r="AD5727" s="318"/>
    </row>
    <row r="5728" spans="2:30" s="323" customFormat="1" ht="12" customHeight="1">
      <c r="B5728" s="324"/>
      <c r="C5728" s="325"/>
      <c r="D5728" s="326"/>
      <c r="E5728" s="326"/>
      <c r="F5728" s="326"/>
      <c r="G5728" s="326"/>
      <c r="H5728" s="326"/>
      <c r="P5728" s="318"/>
      <c r="Q5728" s="318"/>
      <c r="R5728" s="318"/>
      <c r="S5728" s="318"/>
      <c r="T5728" s="318"/>
      <c r="U5728" s="318"/>
      <c r="V5728" s="318"/>
      <c r="W5728" s="318"/>
      <c r="X5728" s="318"/>
      <c r="Y5728" s="318"/>
      <c r="Z5728" s="318"/>
      <c r="AA5728" s="318"/>
      <c r="AB5728" s="318"/>
      <c r="AC5728" s="318"/>
      <c r="AD5728" s="318"/>
    </row>
    <row r="5729" spans="2:30" s="323" customFormat="1" ht="12" customHeight="1">
      <c r="B5729" s="324"/>
      <c r="C5729" s="325"/>
      <c r="D5729" s="326"/>
      <c r="E5729" s="326"/>
      <c r="F5729" s="326"/>
      <c r="G5729" s="326"/>
      <c r="H5729" s="326"/>
      <c r="P5729" s="318"/>
      <c r="Q5729" s="318"/>
      <c r="R5729" s="318"/>
      <c r="S5729" s="318"/>
      <c r="T5729" s="318"/>
      <c r="U5729" s="318"/>
      <c r="V5729" s="318"/>
      <c r="W5729" s="318"/>
      <c r="X5729" s="318"/>
      <c r="Y5729" s="318"/>
      <c r="Z5729" s="318"/>
      <c r="AA5729" s="318"/>
      <c r="AB5729" s="318"/>
      <c r="AC5729" s="318"/>
      <c r="AD5729" s="318"/>
    </row>
    <row r="5730" spans="2:30" s="323" customFormat="1" ht="12" customHeight="1">
      <c r="B5730" s="324"/>
      <c r="C5730" s="325"/>
      <c r="D5730" s="326"/>
      <c r="E5730" s="326"/>
      <c r="F5730" s="326"/>
      <c r="G5730" s="326"/>
      <c r="H5730" s="326"/>
      <c r="P5730" s="318"/>
      <c r="Q5730" s="318"/>
      <c r="R5730" s="318"/>
      <c r="S5730" s="318"/>
      <c r="T5730" s="318"/>
      <c r="U5730" s="318"/>
      <c r="V5730" s="318"/>
      <c r="W5730" s="318"/>
      <c r="X5730" s="318"/>
      <c r="Y5730" s="318"/>
      <c r="Z5730" s="318"/>
      <c r="AA5730" s="318"/>
      <c r="AB5730" s="318"/>
      <c r="AC5730" s="318"/>
      <c r="AD5730" s="318"/>
    </row>
    <row r="5731" spans="2:30" s="323" customFormat="1" ht="12" customHeight="1">
      <c r="B5731" s="324"/>
      <c r="C5731" s="325"/>
      <c r="D5731" s="326"/>
      <c r="E5731" s="326"/>
      <c r="F5731" s="326"/>
      <c r="G5731" s="326"/>
      <c r="H5731" s="326"/>
      <c r="P5731" s="318"/>
      <c r="Q5731" s="318"/>
      <c r="R5731" s="318"/>
      <c r="S5731" s="318"/>
      <c r="T5731" s="318"/>
      <c r="U5731" s="318"/>
      <c r="V5731" s="318"/>
      <c r="W5731" s="318"/>
      <c r="X5731" s="318"/>
      <c r="Y5731" s="318"/>
      <c r="Z5731" s="318"/>
      <c r="AA5731" s="318"/>
      <c r="AB5731" s="318"/>
      <c r="AC5731" s="318"/>
      <c r="AD5731" s="318"/>
    </row>
    <row r="5732" spans="2:30" s="323" customFormat="1" ht="12" customHeight="1">
      <c r="B5732" s="324"/>
      <c r="C5732" s="325"/>
      <c r="D5732" s="326"/>
      <c r="E5732" s="326"/>
      <c r="F5732" s="326"/>
      <c r="G5732" s="326"/>
      <c r="H5732" s="326"/>
      <c r="P5732" s="318"/>
      <c r="Q5732" s="318"/>
      <c r="R5732" s="318"/>
      <c r="S5732" s="318"/>
      <c r="T5732" s="318"/>
      <c r="U5732" s="318"/>
      <c r="V5732" s="318"/>
      <c r="W5732" s="318"/>
      <c r="X5732" s="318"/>
      <c r="Y5732" s="318"/>
      <c r="Z5732" s="318"/>
      <c r="AA5732" s="318"/>
      <c r="AB5732" s="318"/>
      <c r="AC5732" s="318"/>
      <c r="AD5732" s="318"/>
    </row>
    <row r="5733" spans="2:30" s="323" customFormat="1" ht="12" customHeight="1">
      <c r="B5733" s="324"/>
      <c r="C5733" s="325"/>
      <c r="D5733" s="326"/>
      <c r="E5733" s="326"/>
      <c r="F5733" s="326"/>
      <c r="G5733" s="326"/>
      <c r="H5733" s="326"/>
      <c r="P5733" s="318"/>
      <c r="Q5733" s="318"/>
      <c r="R5733" s="318"/>
      <c r="S5733" s="318"/>
      <c r="T5733" s="318"/>
      <c r="U5733" s="318"/>
      <c r="V5733" s="318"/>
      <c r="W5733" s="318"/>
      <c r="X5733" s="318"/>
      <c r="Y5733" s="318"/>
      <c r="Z5733" s="318"/>
      <c r="AA5733" s="318"/>
      <c r="AB5733" s="318"/>
      <c r="AC5733" s="318"/>
      <c r="AD5733" s="318"/>
    </row>
    <row r="5734" spans="2:30" s="323" customFormat="1" ht="12" customHeight="1">
      <c r="B5734" s="324"/>
      <c r="C5734" s="325"/>
      <c r="D5734" s="326"/>
      <c r="E5734" s="326"/>
      <c r="F5734" s="326"/>
      <c r="G5734" s="326"/>
      <c r="H5734" s="326"/>
      <c r="P5734" s="318"/>
      <c r="Q5734" s="318"/>
      <c r="R5734" s="318"/>
      <c r="S5734" s="318"/>
      <c r="T5734" s="318"/>
      <c r="U5734" s="318"/>
      <c r="V5734" s="318"/>
      <c r="W5734" s="318"/>
      <c r="X5734" s="318"/>
      <c r="Y5734" s="318"/>
      <c r="Z5734" s="318"/>
      <c r="AA5734" s="318"/>
      <c r="AB5734" s="318"/>
      <c r="AC5734" s="318"/>
      <c r="AD5734" s="318"/>
    </row>
    <row r="5735" spans="2:30" s="323" customFormat="1" ht="12" customHeight="1">
      <c r="B5735" s="324"/>
      <c r="C5735" s="325"/>
      <c r="D5735" s="326"/>
      <c r="E5735" s="326"/>
      <c r="F5735" s="326"/>
      <c r="G5735" s="326"/>
      <c r="H5735" s="326"/>
      <c r="P5735" s="318"/>
      <c r="Q5735" s="318"/>
      <c r="R5735" s="318"/>
      <c r="S5735" s="318"/>
      <c r="T5735" s="318"/>
      <c r="U5735" s="318"/>
      <c r="V5735" s="318"/>
      <c r="W5735" s="318"/>
      <c r="X5735" s="318"/>
      <c r="Y5735" s="318"/>
      <c r="Z5735" s="318"/>
      <c r="AA5735" s="318"/>
      <c r="AB5735" s="318"/>
      <c r="AC5735" s="318"/>
      <c r="AD5735" s="318"/>
    </row>
    <row r="5736" spans="2:30" s="323" customFormat="1" ht="12" customHeight="1">
      <c r="B5736" s="324"/>
      <c r="C5736" s="325"/>
      <c r="D5736" s="326"/>
      <c r="E5736" s="326"/>
      <c r="F5736" s="326"/>
      <c r="G5736" s="326"/>
      <c r="H5736" s="326"/>
      <c r="P5736" s="318"/>
      <c r="Q5736" s="318"/>
      <c r="R5736" s="318"/>
      <c r="S5736" s="318"/>
      <c r="T5736" s="318"/>
      <c r="U5736" s="318"/>
      <c r="V5736" s="318"/>
      <c r="W5736" s="318"/>
      <c r="X5736" s="318"/>
      <c r="Y5736" s="318"/>
      <c r="Z5736" s="318"/>
      <c r="AA5736" s="318"/>
      <c r="AB5736" s="318"/>
      <c r="AC5736" s="318"/>
      <c r="AD5736" s="318"/>
    </row>
    <row r="5737" spans="2:30" s="323" customFormat="1" ht="12" customHeight="1">
      <c r="B5737" s="324"/>
      <c r="C5737" s="325"/>
      <c r="D5737" s="326"/>
      <c r="E5737" s="326"/>
      <c r="F5737" s="326"/>
      <c r="G5737" s="326"/>
      <c r="H5737" s="326"/>
      <c r="P5737" s="318"/>
      <c r="Q5737" s="318"/>
      <c r="R5737" s="318"/>
      <c r="S5737" s="318"/>
      <c r="T5737" s="318"/>
      <c r="U5737" s="318"/>
      <c r="V5737" s="318"/>
      <c r="W5737" s="318"/>
      <c r="X5737" s="318"/>
      <c r="Y5737" s="318"/>
      <c r="Z5737" s="318"/>
      <c r="AA5737" s="318"/>
      <c r="AB5737" s="318"/>
      <c r="AC5737" s="318"/>
      <c r="AD5737" s="318"/>
    </row>
    <row r="5738" spans="2:30" s="323" customFormat="1" ht="12" customHeight="1">
      <c r="B5738" s="324"/>
      <c r="C5738" s="325"/>
      <c r="D5738" s="326"/>
      <c r="E5738" s="326"/>
      <c r="F5738" s="326"/>
      <c r="G5738" s="326"/>
      <c r="H5738" s="326"/>
      <c r="P5738" s="318"/>
      <c r="Q5738" s="318"/>
      <c r="R5738" s="318"/>
      <c r="S5738" s="318"/>
      <c r="T5738" s="318"/>
      <c r="U5738" s="318"/>
      <c r="V5738" s="318"/>
      <c r="W5738" s="318"/>
      <c r="X5738" s="318"/>
      <c r="Y5738" s="318"/>
      <c r="Z5738" s="318"/>
      <c r="AA5738" s="318"/>
      <c r="AB5738" s="318"/>
      <c r="AC5738" s="318"/>
      <c r="AD5738" s="318"/>
    </row>
    <row r="5739" spans="2:30" s="323" customFormat="1" ht="12" customHeight="1">
      <c r="B5739" s="324"/>
      <c r="C5739" s="325"/>
      <c r="D5739" s="326"/>
      <c r="E5739" s="326"/>
      <c r="F5739" s="326"/>
      <c r="G5739" s="326"/>
      <c r="H5739" s="326"/>
      <c r="P5739" s="318"/>
      <c r="Q5739" s="318"/>
      <c r="R5739" s="318"/>
      <c r="S5739" s="318"/>
      <c r="T5739" s="318"/>
      <c r="U5739" s="318"/>
      <c r="V5739" s="318"/>
      <c r="W5739" s="318"/>
      <c r="X5739" s="318"/>
      <c r="Y5739" s="318"/>
      <c r="Z5739" s="318"/>
      <c r="AA5739" s="318"/>
      <c r="AB5739" s="318"/>
      <c r="AC5739" s="318"/>
      <c r="AD5739" s="318"/>
    </row>
    <row r="5740" spans="2:30" s="323" customFormat="1" ht="12" customHeight="1">
      <c r="B5740" s="324"/>
      <c r="C5740" s="325"/>
      <c r="D5740" s="326"/>
      <c r="E5740" s="326"/>
      <c r="F5740" s="326"/>
      <c r="G5740" s="326"/>
      <c r="H5740" s="326"/>
      <c r="P5740" s="318"/>
      <c r="Q5740" s="318"/>
      <c r="R5740" s="318"/>
      <c r="S5740" s="318"/>
      <c r="T5740" s="318"/>
      <c r="U5740" s="318"/>
      <c r="V5740" s="318"/>
      <c r="W5740" s="318"/>
      <c r="X5740" s="318"/>
      <c r="Y5740" s="318"/>
      <c r="Z5740" s="318"/>
      <c r="AA5740" s="318"/>
      <c r="AB5740" s="318"/>
      <c r="AC5740" s="318"/>
      <c r="AD5740" s="318"/>
    </row>
    <row r="5741" spans="2:30" s="323" customFormat="1" ht="12" customHeight="1">
      <c r="B5741" s="324"/>
      <c r="C5741" s="325"/>
      <c r="D5741" s="326"/>
      <c r="E5741" s="326"/>
      <c r="F5741" s="326"/>
      <c r="G5741" s="326"/>
      <c r="H5741" s="326"/>
      <c r="P5741" s="318"/>
      <c r="Q5741" s="318"/>
      <c r="R5741" s="318"/>
      <c r="S5741" s="318"/>
      <c r="T5741" s="318"/>
      <c r="U5741" s="318"/>
      <c r="V5741" s="318"/>
      <c r="W5741" s="318"/>
      <c r="X5741" s="318"/>
      <c r="Y5741" s="318"/>
      <c r="Z5741" s="318"/>
      <c r="AA5741" s="318"/>
      <c r="AB5741" s="318"/>
      <c r="AC5741" s="318"/>
      <c r="AD5741" s="318"/>
    </row>
    <row r="5742" spans="2:30" s="323" customFormat="1" ht="12" customHeight="1">
      <c r="B5742" s="324"/>
      <c r="C5742" s="325"/>
      <c r="D5742" s="326"/>
      <c r="E5742" s="326"/>
      <c r="F5742" s="326"/>
      <c r="G5742" s="326"/>
      <c r="H5742" s="326"/>
      <c r="P5742" s="318"/>
      <c r="Q5742" s="318"/>
      <c r="R5742" s="318"/>
      <c r="S5742" s="318"/>
      <c r="T5742" s="318"/>
      <c r="U5742" s="318"/>
      <c r="V5742" s="318"/>
      <c r="W5742" s="318"/>
      <c r="X5742" s="318"/>
      <c r="Y5742" s="318"/>
      <c r="Z5742" s="318"/>
      <c r="AA5742" s="318"/>
      <c r="AB5742" s="318"/>
      <c r="AC5742" s="318"/>
      <c r="AD5742" s="318"/>
    </row>
    <row r="5743" spans="2:30" s="323" customFormat="1" ht="12" customHeight="1">
      <c r="B5743" s="324"/>
      <c r="C5743" s="325"/>
      <c r="D5743" s="326"/>
      <c r="E5743" s="326"/>
      <c r="F5743" s="326"/>
      <c r="G5743" s="326"/>
      <c r="H5743" s="326"/>
      <c r="P5743" s="318"/>
      <c r="Q5743" s="318"/>
      <c r="R5743" s="318"/>
      <c r="S5743" s="318"/>
      <c r="T5743" s="318"/>
      <c r="U5743" s="318"/>
      <c r="V5743" s="318"/>
      <c r="W5743" s="318"/>
      <c r="X5743" s="318"/>
      <c r="Y5743" s="318"/>
      <c r="Z5743" s="318"/>
      <c r="AA5743" s="318"/>
      <c r="AB5743" s="318"/>
      <c r="AC5743" s="318"/>
      <c r="AD5743" s="318"/>
    </row>
    <row r="5744" spans="2:30" s="323" customFormat="1" ht="12" customHeight="1">
      <c r="B5744" s="324"/>
      <c r="C5744" s="325"/>
      <c r="D5744" s="326"/>
      <c r="E5744" s="326"/>
      <c r="F5744" s="326"/>
      <c r="G5744" s="326"/>
      <c r="H5744" s="326"/>
      <c r="P5744" s="318"/>
      <c r="Q5744" s="318"/>
      <c r="R5744" s="318"/>
      <c r="S5744" s="318"/>
      <c r="T5744" s="318"/>
      <c r="U5744" s="318"/>
      <c r="V5744" s="318"/>
      <c r="W5744" s="318"/>
      <c r="X5744" s="318"/>
      <c r="Y5744" s="318"/>
      <c r="Z5744" s="318"/>
      <c r="AA5744" s="318"/>
      <c r="AB5744" s="318"/>
      <c r="AC5744" s="318"/>
      <c r="AD5744" s="318"/>
    </row>
    <row r="5745" spans="2:30" s="323" customFormat="1" ht="12" customHeight="1">
      <c r="B5745" s="324"/>
      <c r="C5745" s="325"/>
      <c r="D5745" s="326"/>
      <c r="E5745" s="326"/>
      <c r="F5745" s="326"/>
      <c r="G5745" s="326"/>
      <c r="H5745" s="326"/>
      <c r="P5745" s="318"/>
      <c r="Q5745" s="318"/>
      <c r="R5745" s="318"/>
      <c r="S5745" s="318"/>
      <c r="T5745" s="318"/>
      <c r="U5745" s="318"/>
      <c r="V5745" s="318"/>
      <c r="W5745" s="318"/>
      <c r="X5745" s="318"/>
      <c r="Y5745" s="318"/>
      <c r="Z5745" s="318"/>
      <c r="AA5745" s="318"/>
      <c r="AB5745" s="318"/>
      <c r="AC5745" s="318"/>
      <c r="AD5745" s="318"/>
    </row>
    <row r="5746" spans="2:30" s="323" customFormat="1" ht="12" customHeight="1">
      <c r="B5746" s="324"/>
      <c r="C5746" s="325"/>
      <c r="D5746" s="326"/>
      <c r="E5746" s="326"/>
      <c r="F5746" s="326"/>
      <c r="G5746" s="326"/>
      <c r="H5746" s="326"/>
      <c r="P5746" s="318"/>
      <c r="Q5746" s="318"/>
      <c r="R5746" s="318"/>
      <c r="S5746" s="318"/>
      <c r="T5746" s="318"/>
      <c r="U5746" s="318"/>
      <c r="V5746" s="318"/>
      <c r="W5746" s="318"/>
      <c r="X5746" s="318"/>
      <c r="Y5746" s="318"/>
      <c r="Z5746" s="318"/>
      <c r="AA5746" s="318"/>
      <c r="AB5746" s="318"/>
      <c r="AC5746" s="318"/>
      <c r="AD5746" s="318"/>
    </row>
    <row r="5747" spans="2:30" s="323" customFormat="1" ht="12" customHeight="1">
      <c r="B5747" s="324"/>
      <c r="C5747" s="325"/>
      <c r="D5747" s="326"/>
      <c r="E5747" s="326"/>
      <c r="F5747" s="326"/>
      <c r="G5747" s="326"/>
      <c r="H5747" s="326"/>
      <c r="P5747" s="318"/>
      <c r="Q5747" s="318"/>
      <c r="R5747" s="318"/>
      <c r="S5747" s="318"/>
      <c r="T5747" s="318"/>
      <c r="U5747" s="318"/>
      <c r="V5747" s="318"/>
      <c r="W5747" s="318"/>
      <c r="X5747" s="318"/>
      <c r="Y5747" s="318"/>
      <c r="Z5747" s="318"/>
      <c r="AA5747" s="318"/>
      <c r="AB5747" s="318"/>
      <c r="AC5747" s="318"/>
      <c r="AD5747" s="318"/>
    </row>
    <row r="5748" spans="2:30" s="323" customFormat="1" ht="12" customHeight="1">
      <c r="B5748" s="324"/>
      <c r="C5748" s="325"/>
      <c r="D5748" s="326"/>
      <c r="E5748" s="326"/>
      <c r="F5748" s="326"/>
      <c r="G5748" s="326"/>
      <c r="H5748" s="326"/>
      <c r="P5748" s="318"/>
      <c r="Q5748" s="318"/>
      <c r="R5748" s="318"/>
      <c r="S5748" s="318"/>
      <c r="T5748" s="318"/>
      <c r="U5748" s="318"/>
      <c r="V5748" s="318"/>
      <c r="W5748" s="318"/>
      <c r="X5748" s="318"/>
      <c r="Y5748" s="318"/>
      <c r="Z5748" s="318"/>
      <c r="AA5748" s="318"/>
      <c r="AB5748" s="318"/>
      <c r="AC5748" s="318"/>
      <c r="AD5748" s="318"/>
    </row>
    <row r="5749" spans="2:30" s="323" customFormat="1" ht="12" customHeight="1">
      <c r="B5749" s="324"/>
      <c r="C5749" s="325"/>
      <c r="D5749" s="326"/>
      <c r="E5749" s="326"/>
      <c r="F5749" s="326"/>
      <c r="G5749" s="326"/>
      <c r="H5749" s="326"/>
      <c r="P5749" s="318"/>
      <c r="Q5749" s="318"/>
      <c r="R5749" s="318"/>
      <c r="S5749" s="318"/>
      <c r="T5749" s="318"/>
      <c r="U5749" s="318"/>
      <c r="V5749" s="318"/>
      <c r="W5749" s="318"/>
      <c r="X5749" s="318"/>
      <c r="Y5749" s="318"/>
      <c r="Z5749" s="318"/>
      <c r="AA5749" s="318"/>
      <c r="AB5749" s="318"/>
      <c r="AC5749" s="318"/>
      <c r="AD5749" s="318"/>
    </row>
    <row r="5750" spans="2:30" s="323" customFormat="1" ht="12" customHeight="1">
      <c r="B5750" s="324"/>
      <c r="C5750" s="325"/>
      <c r="D5750" s="326"/>
      <c r="E5750" s="326"/>
      <c r="F5750" s="326"/>
      <c r="G5750" s="326"/>
      <c r="H5750" s="326"/>
      <c r="P5750" s="318"/>
      <c r="Q5750" s="318"/>
      <c r="R5750" s="318"/>
      <c r="S5750" s="318"/>
      <c r="T5750" s="318"/>
      <c r="U5750" s="318"/>
      <c r="V5750" s="318"/>
      <c r="W5750" s="318"/>
      <c r="X5750" s="318"/>
      <c r="Y5750" s="318"/>
      <c r="Z5750" s="318"/>
      <c r="AA5750" s="318"/>
      <c r="AB5750" s="318"/>
      <c r="AC5750" s="318"/>
      <c r="AD5750" s="318"/>
    </row>
    <row r="5751" spans="2:30" s="323" customFormat="1" ht="12" customHeight="1">
      <c r="B5751" s="324"/>
      <c r="C5751" s="325"/>
      <c r="D5751" s="326"/>
      <c r="E5751" s="326"/>
      <c r="F5751" s="326"/>
      <c r="G5751" s="326"/>
      <c r="H5751" s="326"/>
      <c r="P5751" s="318"/>
      <c r="Q5751" s="318"/>
      <c r="R5751" s="318"/>
      <c r="S5751" s="318"/>
      <c r="T5751" s="318"/>
      <c r="U5751" s="318"/>
      <c r="V5751" s="318"/>
      <c r="W5751" s="318"/>
      <c r="X5751" s="318"/>
      <c r="Y5751" s="318"/>
      <c r="Z5751" s="318"/>
      <c r="AA5751" s="318"/>
      <c r="AB5751" s="318"/>
      <c r="AC5751" s="318"/>
      <c r="AD5751" s="318"/>
    </row>
    <row r="5752" spans="2:30" s="323" customFormat="1" ht="12" customHeight="1">
      <c r="B5752" s="324"/>
      <c r="C5752" s="325"/>
      <c r="D5752" s="326"/>
      <c r="E5752" s="326"/>
      <c r="F5752" s="326"/>
      <c r="G5752" s="326"/>
      <c r="H5752" s="326"/>
      <c r="P5752" s="318"/>
      <c r="Q5752" s="318"/>
      <c r="R5752" s="318"/>
      <c r="S5752" s="318"/>
      <c r="T5752" s="318"/>
      <c r="U5752" s="318"/>
      <c r="V5752" s="318"/>
      <c r="W5752" s="318"/>
      <c r="X5752" s="318"/>
      <c r="Y5752" s="318"/>
      <c r="Z5752" s="318"/>
      <c r="AA5752" s="318"/>
      <c r="AB5752" s="318"/>
      <c r="AC5752" s="318"/>
      <c r="AD5752" s="318"/>
    </row>
    <row r="5753" spans="2:30" s="323" customFormat="1" ht="12" customHeight="1">
      <c r="B5753" s="324"/>
      <c r="C5753" s="325"/>
      <c r="D5753" s="326"/>
      <c r="E5753" s="326"/>
      <c r="F5753" s="326"/>
      <c r="G5753" s="326"/>
      <c r="H5753" s="326"/>
      <c r="P5753" s="318"/>
      <c r="Q5753" s="318"/>
      <c r="R5753" s="318"/>
      <c r="S5753" s="318"/>
      <c r="T5753" s="318"/>
      <c r="U5753" s="318"/>
      <c r="V5753" s="318"/>
      <c r="W5753" s="318"/>
      <c r="X5753" s="318"/>
      <c r="Y5753" s="318"/>
      <c r="Z5753" s="318"/>
      <c r="AA5753" s="318"/>
      <c r="AB5753" s="318"/>
      <c r="AC5753" s="318"/>
      <c r="AD5753" s="318"/>
    </row>
    <row r="5754" spans="2:30" s="323" customFormat="1" ht="12" customHeight="1">
      <c r="B5754" s="324"/>
      <c r="C5754" s="325"/>
      <c r="D5754" s="326"/>
      <c r="E5754" s="326"/>
      <c r="F5754" s="326"/>
      <c r="G5754" s="326"/>
      <c r="H5754" s="326"/>
      <c r="P5754" s="318"/>
      <c r="Q5754" s="318"/>
      <c r="R5754" s="318"/>
      <c r="S5754" s="318"/>
      <c r="T5754" s="318"/>
      <c r="U5754" s="318"/>
      <c r="V5754" s="318"/>
      <c r="W5754" s="318"/>
      <c r="X5754" s="318"/>
      <c r="Y5754" s="318"/>
      <c r="Z5754" s="318"/>
      <c r="AA5754" s="318"/>
      <c r="AB5754" s="318"/>
      <c r="AC5754" s="318"/>
      <c r="AD5754" s="318"/>
    </row>
    <row r="5755" spans="2:30" s="323" customFormat="1" ht="12" customHeight="1">
      <c r="B5755" s="324"/>
      <c r="C5755" s="325"/>
      <c r="D5755" s="326"/>
      <c r="E5755" s="326"/>
      <c r="F5755" s="326"/>
      <c r="G5755" s="326"/>
      <c r="H5755" s="326"/>
      <c r="P5755" s="318"/>
      <c r="Q5755" s="318"/>
      <c r="R5755" s="318"/>
      <c r="S5755" s="318"/>
      <c r="T5755" s="318"/>
      <c r="U5755" s="318"/>
      <c r="V5755" s="318"/>
      <c r="W5755" s="318"/>
      <c r="X5755" s="318"/>
      <c r="Y5755" s="318"/>
      <c r="Z5755" s="318"/>
      <c r="AA5755" s="318"/>
      <c r="AB5755" s="318"/>
      <c r="AC5755" s="318"/>
      <c r="AD5755" s="318"/>
    </row>
    <row r="5756" spans="2:30" s="323" customFormat="1" ht="12" customHeight="1">
      <c r="B5756" s="324"/>
      <c r="C5756" s="325"/>
      <c r="D5756" s="326"/>
      <c r="E5756" s="326"/>
      <c r="F5756" s="326"/>
      <c r="G5756" s="326"/>
      <c r="H5756" s="326"/>
      <c r="P5756" s="318"/>
      <c r="Q5756" s="318"/>
      <c r="R5756" s="318"/>
      <c r="S5756" s="318"/>
      <c r="T5756" s="318"/>
      <c r="U5756" s="318"/>
      <c r="V5756" s="318"/>
      <c r="W5756" s="318"/>
      <c r="X5756" s="318"/>
      <c r="Y5756" s="318"/>
      <c r="Z5756" s="318"/>
      <c r="AA5756" s="318"/>
      <c r="AB5756" s="318"/>
      <c r="AC5756" s="318"/>
      <c r="AD5756" s="318"/>
    </row>
    <row r="5757" spans="2:30" s="323" customFormat="1" ht="12" customHeight="1">
      <c r="B5757" s="324"/>
      <c r="C5757" s="325"/>
      <c r="D5757" s="326"/>
      <c r="E5757" s="326"/>
      <c r="F5757" s="326"/>
      <c r="G5757" s="326"/>
      <c r="H5757" s="326"/>
      <c r="P5757" s="318"/>
      <c r="Q5757" s="318"/>
      <c r="R5757" s="318"/>
      <c r="S5757" s="318"/>
      <c r="T5757" s="318"/>
      <c r="U5757" s="318"/>
      <c r="V5757" s="318"/>
      <c r="W5757" s="318"/>
      <c r="X5757" s="318"/>
      <c r="Y5757" s="318"/>
      <c r="Z5757" s="318"/>
      <c r="AA5757" s="318"/>
      <c r="AB5757" s="318"/>
      <c r="AC5757" s="318"/>
      <c r="AD5757" s="318"/>
    </row>
    <row r="5758" spans="2:30" s="323" customFormat="1" ht="12" customHeight="1">
      <c r="B5758" s="324"/>
      <c r="C5758" s="325"/>
      <c r="D5758" s="326"/>
      <c r="E5758" s="326"/>
      <c r="F5758" s="326"/>
      <c r="G5758" s="326"/>
      <c r="H5758" s="326"/>
      <c r="P5758" s="318"/>
      <c r="Q5758" s="318"/>
      <c r="R5758" s="318"/>
      <c r="S5758" s="318"/>
      <c r="T5758" s="318"/>
      <c r="U5758" s="318"/>
      <c r="V5758" s="318"/>
      <c r="W5758" s="318"/>
      <c r="X5758" s="318"/>
      <c r="Y5758" s="318"/>
      <c r="Z5758" s="318"/>
      <c r="AA5758" s="318"/>
      <c r="AB5758" s="318"/>
      <c r="AC5758" s="318"/>
      <c r="AD5758" s="318"/>
    </row>
    <row r="5759" spans="2:30" s="323" customFormat="1" ht="12" customHeight="1">
      <c r="B5759" s="324"/>
      <c r="C5759" s="325"/>
      <c r="D5759" s="326"/>
      <c r="E5759" s="326"/>
      <c r="F5759" s="326"/>
      <c r="G5759" s="326"/>
      <c r="H5759" s="326"/>
      <c r="P5759" s="318"/>
      <c r="Q5759" s="318"/>
      <c r="R5759" s="318"/>
      <c r="S5759" s="318"/>
      <c r="T5759" s="318"/>
      <c r="U5759" s="318"/>
      <c r="V5759" s="318"/>
      <c r="W5759" s="318"/>
      <c r="X5759" s="318"/>
      <c r="Y5759" s="318"/>
      <c r="Z5759" s="318"/>
      <c r="AA5759" s="318"/>
      <c r="AB5759" s="318"/>
      <c r="AC5759" s="318"/>
      <c r="AD5759" s="318"/>
    </row>
    <row r="5760" spans="2:30" s="323" customFormat="1" ht="12" customHeight="1">
      <c r="B5760" s="324"/>
      <c r="C5760" s="325"/>
      <c r="D5760" s="326"/>
      <c r="E5760" s="326"/>
      <c r="F5760" s="326"/>
      <c r="G5760" s="326"/>
      <c r="H5760" s="326"/>
      <c r="P5760" s="318"/>
      <c r="Q5760" s="318"/>
      <c r="R5760" s="318"/>
      <c r="S5760" s="318"/>
      <c r="T5760" s="318"/>
      <c r="U5760" s="318"/>
      <c r="V5760" s="318"/>
      <c r="W5760" s="318"/>
      <c r="X5760" s="318"/>
      <c r="Y5760" s="318"/>
      <c r="Z5760" s="318"/>
      <c r="AA5760" s="318"/>
      <c r="AB5760" s="318"/>
      <c r="AC5760" s="318"/>
      <c r="AD5760" s="318"/>
    </row>
    <row r="5761" spans="2:30" s="323" customFormat="1" ht="12" customHeight="1">
      <c r="B5761" s="324"/>
      <c r="C5761" s="325"/>
      <c r="D5761" s="326"/>
      <c r="E5761" s="326"/>
      <c r="F5761" s="326"/>
      <c r="G5761" s="326"/>
      <c r="H5761" s="326"/>
      <c r="P5761" s="318"/>
      <c r="Q5761" s="318"/>
      <c r="R5761" s="318"/>
      <c r="S5761" s="318"/>
      <c r="T5761" s="318"/>
      <c r="U5761" s="318"/>
      <c r="V5761" s="318"/>
      <c r="W5761" s="318"/>
      <c r="X5761" s="318"/>
      <c r="Y5761" s="318"/>
      <c r="Z5761" s="318"/>
      <c r="AA5761" s="318"/>
      <c r="AB5761" s="318"/>
      <c r="AC5761" s="318"/>
      <c r="AD5761" s="318"/>
    </row>
    <row r="5762" spans="2:30" s="323" customFormat="1" ht="12" customHeight="1">
      <c r="B5762" s="324"/>
      <c r="C5762" s="325"/>
      <c r="D5762" s="326"/>
      <c r="E5762" s="326"/>
      <c r="F5762" s="326"/>
      <c r="G5762" s="326"/>
      <c r="H5762" s="326"/>
      <c r="P5762" s="318"/>
      <c r="Q5762" s="318"/>
      <c r="R5762" s="318"/>
      <c r="S5762" s="318"/>
      <c r="T5762" s="318"/>
      <c r="U5762" s="318"/>
      <c r="V5762" s="318"/>
      <c r="W5762" s="318"/>
      <c r="X5762" s="318"/>
      <c r="Y5762" s="318"/>
      <c r="Z5762" s="318"/>
      <c r="AA5762" s="318"/>
      <c r="AB5762" s="318"/>
      <c r="AC5762" s="318"/>
      <c r="AD5762" s="318"/>
    </row>
    <row r="5763" spans="2:30" s="323" customFormat="1" ht="12" customHeight="1">
      <c r="B5763" s="324"/>
      <c r="C5763" s="325"/>
      <c r="D5763" s="326"/>
      <c r="E5763" s="326"/>
      <c r="F5763" s="326"/>
      <c r="G5763" s="326"/>
      <c r="H5763" s="326"/>
      <c r="P5763" s="318"/>
      <c r="Q5763" s="318"/>
      <c r="R5763" s="318"/>
      <c r="S5763" s="318"/>
      <c r="T5763" s="318"/>
      <c r="U5763" s="318"/>
      <c r="V5763" s="318"/>
      <c r="W5763" s="318"/>
      <c r="X5763" s="318"/>
      <c r="Y5763" s="318"/>
      <c r="Z5763" s="318"/>
      <c r="AA5763" s="318"/>
      <c r="AB5763" s="318"/>
      <c r="AC5763" s="318"/>
      <c r="AD5763" s="318"/>
    </row>
    <row r="5764" spans="2:30" s="323" customFormat="1" ht="12" customHeight="1">
      <c r="B5764" s="324"/>
      <c r="C5764" s="325"/>
      <c r="D5764" s="326"/>
      <c r="E5764" s="326"/>
      <c r="F5764" s="326"/>
      <c r="G5764" s="326"/>
      <c r="H5764" s="326"/>
      <c r="P5764" s="318"/>
      <c r="Q5764" s="318"/>
      <c r="R5764" s="318"/>
      <c r="S5764" s="318"/>
      <c r="T5764" s="318"/>
      <c r="U5764" s="318"/>
      <c r="V5764" s="318"/>
      <c r="W5764" s="318"/>
      <c r="X5764" s="318"/>
      <c r="Y5764" s="318"/>
      <c r="Z5764" s="318"/>
      <c r="AA5764" s="318"/>
      <c r="AB5764" s="318"/>
      <c r="AC5764" s="318"/>
      <c r="AD5764" s="318"/>
    </row>
    <row r="5765" spans="2:30" s="323" customFormat="1" ht="12" customHeight="1">
      <c r="B5765" s="324"/>
      <c r="C5765" s="325"/>
      <c r="D5765" s="326"/>
      <c r="E5765" s="326"/>
      <c r="F5765" s="326"/>
      <c r="G5765" s="326"/>
      <c r="H5765" s="326"/>
      <c r="P5765" s="318"/>
      <c r="Q5765" s="318"/>
      <c r="R5765" s="318"/>
      <c r="S5765" s="318"/>
      <c r="T5765" s="318"/>
      <c r="U5765" s="318"/>
      <c r="V5765" s="318"/>
      <c r="W5765" s="318"/>
      <c r="X5765" s="318"/>
      <c r="Y5765" s="318"/>
      <c r="Z5765" s="318"/>
      <c r="AA5765" s="318"/>
      <c r="AB5765" s="318"/>
      <c r="AC5765" s="318"/>
      <c r="AD5765" s="318"/>
    </row>
    <row r="5766" spans="2:30" s="323" customFormat="1" ht="12" customHeight="1">
      <c r="B5766" s="324"/>
      <c r="C5766" s="325"/>
      <c r="D5766" s="326"/>
      <c r="E5766" s="326"/>
      <c r="F5766" s="326"/>
      <c r="G5766" s="326"/>
      <c r="H5766" s="326"/>
      <c r="P5766" s="318"/>
      <c r="Q5766" s="318"/>
      <c r="R5766" s="318"/>
      <c r="S5766" s="318"/>
      <c r="T5766" s="318"/>
      <c r="U5766" s="318"/>
      <c r="V5766" s="318"/>
      <c r="W5766" s="318"/>
      <c r="X5766" s="318"/>
      <c r="Y5766" s="318"/>
      <c r="Z5766" s="318"/>
      <c r="AA5766" s="318"/>
      <c r="AB5766" s="318"/>
      <c r="AC5766" s="318"/>
      <c r="AD5766" s="318"/>
    </row>
    <row r="5767" spans="2:30" s="323" customFormat="1" ht="12" customHeight="1">
      <c r="B5767" s="324"/>
      <c r="C5767" s="325"/>
      <c r="D5767" s="326"/>
      <c r="E5767" s="326"/>
      <c r="F5767" s="326"/>
      <c r="G5767" s="326"/>
      <c r="H5767" s="326"/>
      <c r="P5767" s="318"/>
      <c r="Q5767" s="318"/>
      <c r="R5767" s="318"/>
      <c r="S5767" s="318"/>
      <c r="T5767" s="318"/>
      <c r="U5767" s="318"/>
      <c r="V5767" s="318"/>
      <c r="W5767" s="318"/>
      <c r="X5767" s="318"/>
      <c r="Y5767" s="318"/>
      <c r="Z5767" s="318"/>
      <c r="AA5767" s="318"/>
      <c r="AB5767" s="318"/>
      <c r="AC5767" s="318"/>
      <c r="AD5767" s="318"/>
    </row>
    <row r="5768" spans="2:30" s="323" customFormat="1" ht="12" customHeight="1">
      <c r="B5768" s="324"/>
      <c r="C5768" s="325"/>
      <c r="D5768" s="326"/>
      <c r="E5768" s="326"/>
      <c r="F5768" s="326"/>
      <c r="G5768" s="326"/>
      <c r="H5768" s="326"/>
      <c r="P5768" s="318"/>
      <c r="Q5768" s="318"/>
      <c r="R5768" s="318"/>
      <c r="S5768" s="318"/>
      <c r="T5768" s="318"/>
      <c r="U5768" s="318"/>
      <c r="V5768" s="318"/>
      <c r="W5768" s="318"/>
      <c r="X5768" s="318"/>
      <c r="Y5768" s="318"/>
      <c r="Z5768" s="318"/>
      <c r="AA5768" s="318"/>
      <c r="AB5768" s="318"/>
      <c r="AC5768" s="318"/>
      <c r="AD5768" s="318"/>
    </row>
    <row r="5769" spans="2:30" s="323" customFormat="1" ht="12" customHeight="1">
      <c r="B5769" s="324"/>
      <c r="C5769" s="325"/>
      <c r="D5769" s="326"/>
      <c r="E5769" s="326"/>
      <c r="F5769" s="326"/>
      <c r="G5769" s="326"/>
      <c r="H5769" s="326"/>
      <c r="P5769" s="318"/>
      <c r="Q5769" s="318"/>
      <c r="R5769" s="318"/>
      <c r="S5769" s="318"/>
      <c r="T5769" s="318"/>
      <c r="U5769" s="318"/>
      <c r="V5769" s="318"/>
      <c r="W5769" s="318"/>
      <c r="X5769" s="318"/>
      <c r="Y5769" s="318"/>
      <c r="Z5769" s="318"/>
      <c r="AA5769" s="318"/>
      <c r="AB5769" s="318"/>
      <c r="AC5769" s="318"/>
      <c r="AD5769" s="318"/>
    </row>
    <row r="5770" spans="2:30" s="323" customFormat="1" ht="12" customHeight="1">
      <c r="B5770" s="324"/>
      <c r="C5770" s="325"/>
      <c r="D5770" s="326"/>
      <c r="E5770" s="326"/>
      <c r="F5770" s="326"/>
      <c r="G5770" s="326"/>
      <c r="H5770" s="326"/>
      <c r="P5770" s="318"/>
      <c r="Q5770" s="318"/>
      <c r="R5770" s="318"/>
      <c r="S5770" s="318"/>
      <c r="T5770" s="318"/>
      <c r="U5770" s="318"/>
      <c r="V5770" s="318"/>
      <c r="W5770" s="318"/>
      <c r="X5770" s="318"/>
      <c r="Y5770" s="318"/>
      <c r="Z5770" s="318"/>
      <c r="AA5770" s="318"/>
      <c r="AB5770" s="318"/>
      <c r="AC5770" s="318"/>
      <c r="AD5770" s="318"/>
    </row>
    <row r="5771" spans="2:30" s="323" customFormat="1" ht="12" customHeight="1">
      <c r="B5771" s="324"/>
      <c r="C5771" s="325"/>
      <c r="D5771" s="326"/>
      <c r="E5771" s="326"/>
      <c r="F5771" s="326"/>
      <c r="G5771" s="326"/>
      <c r="H5771" s="326"/>
      <c r="P5771" s="318"/>
      <c r="Q5771" s="318"/>
      <c r="R5771" s="318"/>
      <c r="S5771" s="318"/>
      <c r="T5771" s="318"/>
      <c r="U5771" s="318"/>
      <c r="V5771" s="318"/>
      <c r="W5771" s="318"/>
      <c r="X5771" s="318"/>
      <c r="Y5771" s="318"/>
      <c r="Z5771" s="318"/>
      <c r="AA5771" s="318"/>
      <c r="AB5771" s="318"/>
      <c r="AC5771" s="318"/>
      <c r="AD5771" s="318"/>
    </row>
    <row r="5772" spans="2:30" s="323" customFormat="1" ht="12" customHeight="1">
      <c r="B5772" s="324"/>
      <c r="C5772" s="325"/>
      <c r="D5772" s="326"/>
      <c r="E5772" s="326"/>
      <c r="F5772" s="326"/>
      <c r="G5772" s="326"/>
      <c r="H5772" s="326"/>
      <c r="P5772" s="318"/>
      <c r="Q5772" s="318"/>
      <c r="R5772" s="318"/>
      <c r="S5772" s="318"/>
      <c r="T5772" s="318"/>
      <c r="U5772" s="318"/>
      <c r="V5772" s="318"/>
      <c r="W5772" s="318"/>
      <c r="X5772" s="318"/>
      <c r="Y5772" s="318"/>
      <c r="Z5772" s="318"/>
      <c r="AA5772" s="318"/>
      <c r="AB5772" s="318"/>
      <c r="AC5772" s="318"/>
      <c r="AD5772" s="318"/>
    </row>
    <row r="5773" spans="2:30" s="323" customFormat="1" ht="12" customHeight="1">
      <c r="B5773" s="324"/>
      <c r="C5773" s="325"/>
      <c r="D5773" s="326"/>
      <c r="E5773" s="326"/>
      <c r="F5773" s="326"/>
      <c r="G5773" s="326"/>
      <c r="H5773" s="326"/>
      <c r="P5773" s="318"/>
      <c r="Q5773" s="318"/>
      <c r="R5773" s="318"/>
      <c r="S5773" s="318"/>
      <c r="T5773" s="318"/>
      <c r="U5773" s="318"/>
      <c r="V5773" s="318"/>
      <c r="W5773" s="318"/>
      <c r="X5773" s="318"/>
      <c r="Y5773" s="318"/>
      <c r="Z5773" s="318"/>
      <c r="AA5773" s="318"/>
      <c r="AB5773" s="318"/>
      <c r="AC5773" s="318"/>
      <c r="AD5773" s="318"/>
    </row>
    <row r="5774" spans="2:30" s="323" customFormat="1" ht="12" customHeight="1">
      <c r="B5774" s="324"/>
      <c r="C5774" s="325"/>
      <c r="D5774" s="326"/>
      <c r="E5774" s="326"/>
      <c r="F5774" s="326"/>
      <c r="G5774" s="326"/>
      <c r="H5774" s="326"/>
      <c r="P5774" s="318"/>
      <c r="Q5774" s="318"/>
      <c r="R5774" s="318"/>
      <c r="S5774" s="318"/>
      <c r="T5774" s="318"/>
      <c r="U5774" s="318"/>
      <c r="V5774" s="318"/>
      <c r="W5774" s="318"/>
      <c r="X5774" s="318"/>
      <c r="Y5774" s="318"/>
      <c r="Z5774" s="318"/>
      <c r="AA5774" s="318"/>
      <c r="AB5774" s="318"/>
      <c r="AC5774" s="318"/>
      <c r="AD5774" s="318"/>
    </row>
    <row r="5775" spans="2:30" s="323" customFormat="1" ht="12" customHeight="1">
      <c r="B5775" s="324"/>
      <c r="C5775" s="325"/>
      <c r="D5775" s="326"/>
      <c r="E5775" s="326"/>
      <c r="F5775" s="326"/>
      <c r="G5775" s="326"/>
      <c r="H5775" s="326"/>
      <c r="P5775" s="318"/>
      <c r="Q5775" s="318"/>
      <c r="R5775" s="318"/>
      <c r="S5775" s="318"/>
      <c r="T5775" s="318"/>
      <c r="U5775" s="318"/>
      <c r="V5775" s="318"/>
      <c r="W5775" s="318"/>
      <c r="X5775" s="318"/>
      <c r="Y5775" s="318"/>
      <c r="Z5775" s="318"/>
      <c r="AA5775" s="318"/>
      <c r="AB5775" s="318"/>
      <c r="AC5775" s="318"/>
      <c r="AD5775" s="318"/>
    </row>
    <row r="5776" spans="2:30" s="323" customFormat="1" ht="12" customHeight="1">
      <c r="B5776" s="324"/>
      <c r="C5776" s="325"/>
      <c r="D5776" s="326"/>
      <c r="E5776" s="326"/>
      <c r="F5776" s="326"/>
      <c r="G5776" s="326"/>
      <c r="H5776" s="326"/>
      <c r="P5776" s="318"/>
      <c r="Q5776" s="318"/>
      <c r="R5776" s="318"/>
      <c r="S5776" s="318"/>
      <c r="T5776" s="318"/>
      <c r="U5776" s="318"/>
      <c r="V5776" s="318"/>
      <c r="W5776" s="318"/>
      <c r="X5776" s="318"/>
      <c r="Y5776" s="318"/>
      <c r="Z5776" s="318"/>
      <c r="AA5776" s="318"/>
      <c r="AB5776" s="318"/>
      <c r="AC5776" s="318"/>
      <c r="AD5776" s="318"/>
    </row>
    <row r="5777" spans="2:30" s="323" customFormat="1" ht="12" customHeight="1">
      <c r="B5777" s="324"/>
      <c r="C5777" s="325"/>
      <c r="D5777" s="326"/>
      <c r="E5777" s="326"/>
      <c r="F5777" s="326"/>
      <c r="G5777" s="326"/>
      <c r="H5777" s="326"/>
      <c r="P5777" s="318"/>
      <c r="Q5777" s="318"/>
      <c r="R5777" s="318"/>
      <c r="S5777" s="318"/>
      <c r="T5777" s="318"/>
      <c r="U5777" s="318"/>
      <c r="V5777" s="318"/>
      <c r="W5777" s="318"/>
      <c r="X5777" s="318"/>
      <c r="Y5777" s="318"/>
      <c r="Z5777" s="318"/>
      <c r="AA5777" s="318"/>
      <c r="AB5777" s="318"/>
      <c r="AC5777" s="318"/>
      <c r="AD5777" s="318"/>
    </row>
    <row r="5778" spans="2:30" s="323" customFormat="1" ht="12" customHeight="1">
      <c r="B5778" s="324"/>
      <c r="C5778" s="325"/>
      <c r="D5778" s="326"/>
      <c r="E5778" s="326"/>
      <c r="F5778" s="326"/>
      <c r="G5778" s="326"/>
      <c r="H5778" s="326"/>
      <c r="P5778" s="318"/>
      <c r="Q5778" s="318"/>
      <c r="R5778" s="318"/>
      <c r="S5778" s="318"/>
      <c r="T5778" s="318"/>
      <c r="U5778" s="318"/>
      <c r="V5778" s="318"/>
      <c r="W5778" s="318"/>
      <c r="X5778" s="318"/>
      <c r="Y5778" s="318"/>
      <c r="Z5778" s="318"/>
      <c r="AA5778" s="318"/>
      <c r="AB5778" s="318"/>
      <c r="AC5778" s="318"/>
      <c r="AD5778" s="318"/>
    </row>
    <row r="5779" spans="2:30" s="323" customFormat="1" ht="12" customHeight="1">
      <c r="B5779" s="324"/>
      <c r="C5779" s="325"/>
      <c r="D5779" s="326"/>
      <c r="E5779" s="326"/>
      <c r="F5779" s="326"/>
      <c r="G5779" s="326"/>
      <c r="H5779" s="326"/>
      <c r="P5779" s="318"/>
      <c r="Q5779" s="318"/>
      <c r="R5779" s="318"/>
      <c r="S5779" s="318"/>
      <c r="T5779" s="318"/>
      <c r="U5779" s="318"/>
      <c r="V5779" s="318"/>
      <c r="W5779" s="318"/>
      <c r="X5779" s="318"/>
      <c r="Y5779" s="318"/>
      <c r="Z5779" s="318"/>
      <c r="AA5779" s="318"/>
      <c r="AB5779" s="318"/>
      <c r="AC5779" s="318"/>
      <c r="AD5779" s="318"/>
    </row>
    <row r="5780" spans="2:30" s="323" customFormat="1" ht="12" customHeight="1">
      <c r="B5780" s="324"/>
      <c r="C5780" s="325"/>
      <c r="D5780" s="326"/>
      <c r="E5780" s="326"/>
      <c r="F5780" s="326"/>
      <c r="G5780" s="326"/>
      <c r="H5780" s="326"/>
      <c r="P5780" s="318"/>
      <c r="Q5780" s="318"/>
      <c r="R5780" s="318"/>
      <c r="S5780" s="318"/>
      <c r="T5780" s="318"/>
      <c r="U5780" s="318"/>
      <c r="V5780" s="318"/>
      <c r="W5780" s="318"/>
      <c r="X5780" s="318"/>
      <c r="Y5780" s="318"/>
      <c r="Z5780" s="318"/>
      <c r="AA5780" s="318"/>
      <c r="AB5780" s="318"/>
      <c r="AC5780" s="318"/>
      <c r="AD5780" s="318"/>
    </row>
    <row r="5781" spans="2:30" s="323" customFormat="1" ht="12" customHeight="1">
      <c r="B5781" s="324"/>
      <c r="C5781" s="325"/>
      <c r="D5781" s="326"/>
      <c r="E5781" s="326"/>
      <c r="F5781" s="326"/>
      <c r="G5781" s="326"/>
      <c r="H5781" s="326"/>
      <c r="P5781" s="318"/>
      <c r="Q5781" s="318"/>
      <c r="R5781" s="318"/>
      <c r="S5781" s="318"/>
      <c r="T5781" s="318"/>
      <c r="U5781" s="318"/>
      <c r="V5781" s="318"/>
      <c r="W5781" s="318"/>
      <c r="X5781" s="318"/>
      <c r="Y5781" s="318"/>
      <c r="Z5781" s="318"/>
      <c r="AA5781" s="318"/>
      <c r="AB5781" s="318"/>
      <c r="AC5781" s="318"/>
      <c r="AD5781" s="318"/>
    </row>
    <row r="5782" spans="2:30" s="323" customFormat="1" ht="12" customHeight="1">
      <c r="B5782" s="324"/>
      <c r="C5782" s="325"/>
      <c r="D5782" s="326"/>
      <c r="E5782" s="326"/>
      <c r="F5782" s="326"/>
      <c r="G5782" s="326"/>
      <c r="H5782" s="326"/>
      <c r="P5782" s="318"/>
      <c r="Q5782" s="318"/>
      <c r="R5782" s="318"/>
      <c r="S5782" s="318"/>
      <c r="T5782" s="318"/>
      <c r="U5782" s="318"/>
      <c r="V5782" s="318"/>
      <c r="W5782" s="318"/>
      <c r="X5782" s="318"/>
      <c r="Y5782" s="318"/>
      <c r="Z5782" s="318"/>
      <c r="AA5782" s="318"/>
      <c r="AB5782" s="318"/>
      <c r="AC5782" s="318"/>
      <c r="AD5782" s="318"/>
    </row>
    <row r="5783" spans="2:30" s="323" customFormat="1" ht="12" customHeight="1">
      <c r="B5783" s="324"/>
      <c r="C5783" s="325"/>
      <c r="D5783" s="326"/>
      <c r="E5783" s="326"/>
      <c r="F5783" s="326"/>
      <c r="G5783" s="326"/>
      <c r="H5783" s="326"/>
      <c r="P5783" s="318"/>
      <c r="Q5783" s="318"/>
      <c r="R5783" s="318"/>
      <c r="S5783" s="318"/>
      <c r="T5783" s="318"/>
      <c r="U5783" s="318"/>
      <c r="V5783" s="318"/>
      <c r="W5783" s="318"/>
      <c r="X5783" s="318"/>
      <c r="Y5783" s="318"/>
      <c r="Z5783" s="318"/>
      <c r="AA5783" s="318"/>
      <c r="AB5783" s="318"/>
      <c r="AC5783" s="318"/>
      <c r="AD5783" s="318"/>
    </row>
    <row r="5784" spans="2:30" s="323" customFormat="1" ht="12" customHeight="1">
      <c r="B5784" s="324"/>
      <c r="C5784" s="325"/>
      <c r="D5784" s="326"/>
      <c r="E5784" s="326"/>
      <c r="F5784" s="326"/>
      <c r="G5784" s="326"/>
      <c r="H5784" s="326"/>
      <c r="P5784" s="318"/>
      <c r="Q5784" s="318"/>
      <c r="R5784" s="318"/>
      <c r="S5784" s="318"/>
      <c r="T5784" s="318"/>
      <c r="U5784" s="318"/>
      <c r="V5784" s="318"/>
      <c r="W5784" s="318"/>
      <c r="X5784" s="318"/>
      <c r="Y5784" s="318"/>
      <c r="Z5784" s="318"/>
      <c r="AA5784" s="318"/>
      <c r="AB5784" s="318"/>
      <c r="AC5784" s="318"/>
      <c r="AD5784" s="318"/>
    </row>
    <row r="5785" spans="2:30" s="323" customFormat="1" ht="12" customHeight="1">
      <c r="B5785" s="324"/>
      <c r="C5785" s="325"/>
      <c r="D5785" s="326"/>
      <c r="E5785" s="326"/>
      <c r="F5785" s="326"/>
      <c r="G5785" s="326"/>
      <c r="H5785" s="326"/>
      <c r="P5785" s="318"/>
      <c r="Q5785" s="318"/>
      <c r="R5785" s="318"/>
      <c r="S5785" s="318"/>
      <c r="T5785" s="318"/>
      <c r="U5785" s="318"/>
      <c r="V5785" s="318"/>
      <c r="W5785" s="318"/>
      <c r="X5785" s="318"/>
      <c r="Y5785" s="318"/>
      <c r="Z5785" s="318"/>
      <c r="AA5785" s="318"/>
      <c r="AB5785" s="318"/>
      <c r="AC5785" s="318"/>
      <c r="AD5785" s="318"/>
    </row>
    <row r="5786" spans="2:30" s="323" customFormat="1" ht="12" customHeight="1">
      <c r="B5786" s="324"/>
      <c r="C5786" s="325"/>
      <c r="D5786" s="326"/>
      <c r="E5786" s="326"/>
      <c r="F5786" s="326"/>
      <c r="G5786" s="326"/>
      <c r="H5786" s="326"/>
      <c r="P5786" s="318"/>
      <c r="Q5786" s="318"/>
      <c r="R5786" s="318"/>
      <c r="S5786" s="318"/>
      <c r="T5786" s="318"/>
      <c r="U5786" s="318"/>
      <c r="V5786" s="318"/>
      <c r="W5786" s="318"/>
      <c r="X5786" s="318"/>
      <c r="Y5786" s="318"/>
      <c r="Z5786" s="318"/>
      <c r="AA5786" s="318"/>
      <c r="AB5786" s="318"/>
      <c r="AC5786" s="318"/>
      <c r="AD5786" s="318"/>
    </row>
    <row r="5787" spans="2:30" s="323" customFormat="1" ht="12" customHeight="1">
      <c r="B5787" s="324"/>
      <c r="C5787" s="325"/>
      <c r="D5787" s="326"/>
      <c r="E5787" s="326"/>
      <c r="F5787" s="326"/>
      <c r="G5787" s="326"/>
      <c r="H5787" s="326"/>
      <c r="P5787" s="318"/>
      <c r="Q5787" s="318"/>
      <c r="R5787" s="318"/>
      <c r="S5787" s="318"/>
      <c r="T5787" s="318"/>
      <c r="U5787" s="318"/>
      <c r="V5787" s="318"/>
      <c r="W5787" s="318"/>
      <c r="X5787" s="318"/>
      <c r="Y5787" s="318"/>
      <c r="Z5787" s="318"/>
      <c r="AA5787" s="318"/>
      <c r="AB5787" s="318"/>
      <c r="AC5787" s="318"/>
      <c r="AD5787" s="318"/>
    </row>
    <row r="5788" spans="2:30" s="323" customFormat="1" ht="12" customHeight="1">
      <c r="B5788" s="324"/>
      <c r="C5788" s="325"/>
      <c r="D5788" s="326"/>
      <c r="E5788" s="326"/>
      <c r="F5788" s="326"/>
      <c r="G5788" s="326"/>
      <c r="H5788" s="326"/>
      <c r="P5788" s="318"/>
      <c r="Q5788" s="318"/>
      <c r="R5788" s="318"/>
      <c r="S5788" s="318"/>
      <c r="T5788" s="318"/>
      <c r="U5788" s="318"/>
      <c r="V5788" s="318"/>
      <c r="W5788" s="318"/>
      <c r="X5788" s="318"/>
      <c r="Y5788" s="318"/>
      <c r="Z5788" s="318"/>
      <c r="AA5788" s="318"/>
      <c r="AB5788" s="318"/>
      <c r="AC5788" s="318"/>
      <c r="AD5788" s="318"/>
    </row>
    <row r="5789" spans="2:30" s="323" customFormat="1" ht="12" customHeight="1">
      <c r="B5789" s="324"/>
      <c r="C5789" s="325"/>
      <c r="D5789" s="326"/>
      <c r="E5789" s="326"/>
      <c r="F5789" s="326"/>
      <c r="G5789" s="326"/>
      <c r="H5789" s="326"/>
      <c r="P5789" s="318"/>
      <c r="Q5789" s="318"/>
      <c r="R5789" s="318"/>
      <c r="S5789" s="318"/>
      <c r="T5789" s="318"/>
      <c r="U5789" s="318"/>
      <c r="V5789" s="318"/>
      <c r="W5789" s="318"/>
      <c r="X5789" s="318"/>
      <c r="Y5789" s="318"/>
      <c r="Z5789" s="318"/>
      <c r="AA5789" s="318"/>
      <c r="AB5789" s="318"/>
      <c r="AC5789" s="318"/>
      <c r="AD5789" s="318"/>
    </row>
    <row r="5790" spans="2:30" s="323" customFormat="1" ht="12" customHeight="1">
      <c r="B5790" s="324"/>
      <c r="C5790" s="325"/>
      <c r="D5790" s="326"/>
      <c r="E5790" s="326"/>
      <c r="F5790" s="326"/>
      <c r="G5790" s="326"/>
      <c r="H5790" s="326"/>
      <c r="P5790" s="318"/>
      <c r="Q5790" s="318"/>
      <c r="R5790" s="318"/>
      <c r="S5790" s="318"/>
      <c r="T5790" s="318"/>
      <c r="U5790" s="318"/>
      <c r="V5790" s="318"/>
      <c r="W5790" s="318"/>
      <c r="X5790" s="318"/>
      <c r="Y5790" s="318"/>
      <c r="Z5790" s="318"/>
      <c r="AA5790" s="318"/>
      <c r="AB5790" s="318"/>
      <c r="AC5790" s="318"/>
      <c r="AD5790" s="318"/>
    </row>
    <row r="5791" spans="2:30" s="323" customFormat="1" ht="12" customHeight="1">
      <c r="B5791" s="324"/>
      <c r="C5791" s="325"/>
      <c r="D5791" s="326"/>
      <c r="E5791" s="326"/>
      <c r="F5791" s="326"/>
      <c r="G5791" s="326"/>
      <c r="H5791" s="326"/>
      <c r="P5791" s="318"/>
      <c r="Q5791" s="318"/>
      <c r="R5791" s="318"/>
      <c r="S5791" s="318"/>
      <c r="T5791" s="318"/>
      <c r="U5791" s="318"/>
      <c r="V5791" s="318"/>
      <c r="W5791" s="318"/>
      <c r="X5791" s="318"/>
      <c r="Y5791" s="318"/>
      <c r="Z5791" s="318"/>
      <c r="AA5791" s="318"/>
      <c r="AB5791" s="318"/>
      <c r="AC5791" s="318"/>
      <c r="AD5791" s="318"/>
    </row>
    <row r="5792" spans="2:30" s="323" customFormat="1" ht="12" customHeight="1">
      <c r="B5792" s="324"/>
      <c r="C5792" s="325"/>
      <c r="D5792" s="326"/>
      <c r="E5792" s="326"/>
      <c r="F5792" s="326"/>
      <c r="G5792" s="326"/>
      <c r="H5792" s="326"/>
      <c r="P5792" s="318"/>
      <c r="Q5792" s="318"/>
      <c r="R5792" s="318"/>
      <c r="S5792" s="318"/>
      <c r="T5792" s="318"/>
      <c r="U5792" s="318"/>
      <c r="V5792" s="318"/>
      <c r="W5792" s="318"/>
      <c r="X5792" s="318"/>
      <c r="Y5792" s="318"/>
      <c r="Z5792" s="318"/>
      <c r="AA5792" s="318"/>
      <c r="AB5792" s="318"/>
      <c r="AC5792" s="318"/>
      <c r="AD5792" s="318"/>
    </row>
    <row r="5793" spans="2:30" s="323" customFormat="1" ht="12" customHeight="1">
      <c r="B5793" s="324"/>
      <c r="C5793" s="325"/>
      <c r="D5793" s="326"/>
      <c r="E5793" s="326"/>
      <c r="F5793" s="326"/>
      <c r="G5793" s="326"/>
      <c r="H5793" s="326"/>
      <c r="P5793" s="318"/>
      <c r="Q5793" s="318"/>
      <c r="R5793" s="318"/>
      <c r="S5793" s="318"/>
      <c r="T5793" s="318"/>
      <c r="U5793" s="318"/>
      <c r="V5793" s="318"/>
      <c r="W5793" s="318"/>
      <c r="X5793" s="318"/>
      <c r="Y5793" s="318"/>
      <c r="Z5793" s="318"/>
      <c r="AA5793" s="318"/>
      <c r="AB5793" s="318"/>
      <c r="AC5793" s="318"/>
      <c r="AD5793" s="318"/>
    </row>
    <row r="5794" spans="2:30" s="323" customFormat="1" ht="12" customHeight="1">
      <c r="B5794" s="324"/>
      <c r="C5794" s="325"/>
      <c r="D5794" s="326"/>
      <c r="E5794" s="326"/>
      <c r="F5794" s="326"/>
      <c r="G5794" s="326"/>
      <c r="H5794" s="326"/>
      <c r="P5794" s="318"/>
      <c r="Q5794" s="318"/>
      <c r="R5794" s="318"/>
      <c r="S5794" s="318"/>
      <c r="T5794" s="318"/>
      <c r="U5794" s="318"/>
      <c r="V5794" s="318"/>
      <c r="W5794" s="318"/>
      <c r="X5794" s="318"/>
      <c r="Y5794" s="318"/>
      <c r="Z5794" s="318"/>
      <c r="AA5794" s="318"/>
      <c r="AB5794" s="318"/>
      <c r="AC5794" s="318"/>
      <c r="AD5794" s="318"/>
    </row>
    <row r="5795" spans="2:30" s="323" customFormat="1" ht="12" customHeight="1">
      <c r="B5795" s="324"/>
      <c r="C5795" s="325"/>
      <c r="D5795" s="326"/>
      <c r="E5795" s="326"/>
      <c r="F5795" s="326"/>
      <c r="G5795" s="326"/>
      <c r="H5795" s="326"/>
      <c r="P5795" s="318"/>
      <c r="Q5795" s="318"/>
      <c r="R5795" s="318"/>
      <c r="S5795" s="318"/>
      <c r="T5795" s="318"/>
      <c r="U5795" s="318"/>
      <c r="V5795" s="318"/>
      <c r="W5795" s="318"/>
      <c r="X5795" s="318"/>
      <c r="Y5795" s="318"/>
      <c r="Z5795" s="318"/>
      <c r="AA5795" s="318"/>
      <c r="AB5795" s="318"/>
      <c r="AC5795" s="318"/>
      <c r="AD5795" s="318"/>
    </row>
    <row r="5796" spans="2:30" s="323" customFormat="1" ht="12" customHeight="1">
      <c r="B5796" s="324"/>
      <c r="C5796" s="325"/>
      <c r="D5796" s="326"/>
      <c r="E5796" s="326"/>
      <c r="F5796" s="326"/>
      <c r="G5796" s="326"/>
      <c r="H5796" s="326"/>
      <c r="P5796" s="318"/>
      <c r="Q5796" s="318"/>
      <c r="R5796" s="318"/>
      <c r="S5796" s="318"/>
      <c r="T5796" s="318"/>
      <c r="U5796" s="318"/>
      <c r="V5796" s="318"/>
      <c r="W5796" s="318"/>
      <c r="X5796" s="318"/>
      <c r="Y5796" s="318"/>
      <c r="Z5796" s="318"/>
      <c r="AA5796" s="318"/>
      <c r="AB5796" s="318"/>
      <c r="AC5796" s="318"/>
      <c r="AD5796" s="318"/>
    </row>
    <row r="5797" spans="2:30" s="323" customFormat="1" ht="12" customHeight="1">
      <c r="B5797" s="324"/>
      <c r="C5797" s="325"/>
      <c r="D5797" s="326"/>
      <c r="E5797" s="326"/>
      <c r="F5797" s="326"/>
      <c r="G5797" s="326"/>
      <c r="H5797" s="326"/>
      <c r="P5797" s="318"/>
      <c r="Q5797" s="318"/>
      <c r="R5797" s="318"/>
      <c r="S5797" s="318"/>
      <c r="T5797" s="318"/>
      <c r="U5797" s="318"/>
      <c r="V5797" s="318"/>
      <c r="W5797" s="318"/>
      <c r="X5797" s="318"/>
      <c r="Y5797" s="318"/>
      <c r="Z5797" s="318"/>
      <c r="AA5797" s="318"/>
      <c r="AB5797" s="318"/>
      <c r="AC5797" s="318"/>
      <c r="AD5797" s="318"/>
    </row>
    <row r="5798" spans="2:30" s="323" customFormat="1" ht="12" customHeight="1">
      <c r="B5798" s="324"/>
      <c r="C5798" s="325"/>
      <c r="D5798" s="326"/>
      <c r="E5798" s="326"/>
      <c r="F5798" s="326"/>
      <c r="G5798" s="326"/>
      <c r="H5798" s="326"/>
      <c r="P5798" s="318"/>
      <c r="Q5798" s="318"/>
      <c r="R5798" s="318"/>
      <c r="S5798" s="318"/>
      <c r="T5798" s="318"/>
      <c r="U5798" s="318"/>
      <c r="V5798" s="318"/>
      <c r="W5798" s="318"/>
      <c r="X5798" s="318"/>
      <c r="Y5798" s="318"/>
      <c r="Z5798" s="318"/>
      <c r="AA5798" s="318"/>
      <c r="AB5798" s="318"/>
      <c r="AC5798" s="318"/>
      <c r="AD5798" s="318"/>
    </row>
    <row r="5799" spans="2:30" s="323" customFormat="1" ht="12" customHeight="1">
      <c r="B5799" s="324"/>
      <c r="C5799" s="325"/>
      <c r="D5799" s="326"/>
      <c r="E5799" s="326"/>
      <c r="F5799" s="326"/>
      <c r="G5799" s="326"/>
      <c r="H5799" s="326"/>
      <c r="P5799" s="318"/>
      <c r="Q5799" s="318"/>
      <c r="R5799" s="318"/>
      <c r="S5799" s="318"/>
      <c r="T5799" s="318"/>
      <c r="U5799" s="318"/>
      <c r="V5799" s="318"/>
      <c r="W5799" s="318"/>
      <c r="X5799" s="318"/>
      <c r="Y5799" s="318"/>
      <c r="Z5799" s="318"/>
      <c r="AA5799" s="318"/>
      <c r="AB5799" s="318"/>
      <c r="AC5799" s="318"/>
      <c r="AD5799" s="318"/>
    </row>
    <row r="5800" spans="2:30" s="323" customFormat="1" ht="12" customHeight="1">
      <c r="B5800" s="324"/>
      <c r="C5800" s="325"/>
      <c r="D5800" s="326"/>
      <c r="E5800" s="326"/>
      <c r="F5800" s="326"/>
      <c r="G5800" s="326"/>
      <c r="H5800" s="326"/>
      <c r="P5800" s="318"/>
      <c r="Q5800" s="318"/>
      <c r="R5800" s="318"/>
      <c r="S5800" s="318"/>
      <c r="T5800" s="318"/>
      <c r="U5800" s="318"/>
      <c r="V5800" s="318"/>
      <c r="W5800" s="318"/>
      <c r="X5800" s="318"/>
      <c r="Y5800" s="318"/>
      <c r="Z5800" s="318"/>
      <c r="AA5800" s="318"/>
      <c r="AB5800" s="318"/>
      <c r="AC5800" s="318"/>
      <c r="AD5800" s="318"/>
    </row>
    <row r="5801" spans="2:30" s="323" customFormat="1" ht="12" customHeight="1">
      <c r="B5801" s="324"/>
      <c r="C5801" s="325"/>
      <c r="D5801" s="326"/>
      <c r="E5801" s="326"/>
      <c r="F5801" s="326"/>
      <c r="G5801" s="326"/>
      <c r="H5801" s="326"/>
      <c r="P5801" s="318"/>
      <c r="Q5801" s="318"/>
      <c r="R5801" s="318"/>
      <c r="S5801" s="318"/>
      <c r="T5801" s="318"/>
      <c r="U5801" s="318"/>
      <c r="V5801" s="318"/>
      <c r="W5801" s="318"/>
      <c r="X5801" s="318"/>
      <c r="Y5801" s="318"/>
      <c r="Z5801" s="318"/>
      <c r="AA5801" s="318"/>
      <c r="AB5801" s="318"/>
      <c r="AC5801" s="318"/>
      <c r="AD5801" s="318"/>
    </row>
    <row r="5802" spans="2:30" s="323" customFormat="1" ht="12" customHeight="1">
      <c r="B5802" s="324"/>
      <c r="C5802" s="325"/>
      <c r="D5802" s="326"/>
      <c r="E5802" s="326"/>
      <c r="F5802" s="326"/>
      <c r="G5802" s="326"/>
      <c r="H5802" s="326"/>
      <c r="P5802" s="318"/>
      <c r="Q5802" s="318"/>
      <c r="R5802" s="318"/>
      <c r="S5802" s="318"/>
      <c r="T5802" s="318"/>
      <c r="U5802" s="318"/>
      <c r="V5802" s="318"/>
      <c r="W5802" s="318"/>
      <c r="X5802" s="318"/>
      <c r="Y5802" s="318"/>
      <c r="Z5802" s="318"/>
      <c r="AA5802" s="318"/>
      <c r="AB5802" s="318"/>
      <c r="AC5802" s="318"/>
      <c r="AD5802" s="318"/>
    </row>
    <row r="5803" spans="2:30" s="323" customFormat="1" ht="12" customHeight="1">
      <c r="B5803" s="324"/>
      <c r="C5803" s="325"/>
      <c r="D5803" s="326"/>
      <c r="E5803" s="326"/>
      <c r="F5803" s="326"/>
      <c r="G5803" s="326"/>
      <c r="H5803" s="326"/>
      <c r="P5803" s="318"/>
      <c r="Q5803" s="318"/>
      <c r="R5803" s="318"/>
      <c r="S5803" s="318"/>
      <c r="T5803" s="318"/>
      <c r="U5803" s="318"/>
      <c r="V5803" s="318"/>
      <c r="W5803" s="318"/>
      <c r="X5803" s="318"/>
      <c r="Y5803" s="318"/>
      <c r="Z5803" s="318"/>
      <c r="AA5803" s="318"/>
      <c r="AB5803" s="318"/>
      <c r="AC5803" s="318"/>
      <c r="AD5803" s="318"/>
    </row>
    <row r="5804" spans="2:30" s="323" customFormat="1" ht="12" customHeight="1">
      <c r="B5804" s="324"/>
      <c r="C5804" s="325"/>
      <c r="D5804" s="326"/>
      <c r="E5804" s="326"/>
      <c r="F5804" s="326"/>
      <c r="G5804" s="326"/>
      <c r="H5804" s="326"/>
      <c r="P5804" s="318"/>
      <c r="Q5804" s="318"/>
      <c r="R5804" s="318"/>
      <c r="S5804" s="318"/>
      <c r="T5804" s="318"/>
      <c r="U5804" s="318"/>
      <c r="V5804" s="318"/>
      <c r="W5804" s="318"/>
      <c r="X5804" s="318"/>
      <c r="Y5804" s="318"/>
      <c r="Z5804" s="318"/>
      <c r="AA5804" s="318"/>
      <c r="AB5804" s="318"/>
      <c r="AC5804" s="318"/>
      <c r="AD5804" s="318"/>
    </row>
    <row r="5805" spans="2:30" s="323" customFormat="1" ht="12" customHeight="1">
      <c r="B5805" s="324"/>
      <c r="C5805" s="325"/>
      <c r="D5805" s="326"/>
      <c r="E5805" s="326"/>
      <c r="F5805" s="326"/>
      <c r="G5805" s="326"/>
      <c r="H5805" s="326"/>
      <c r="P5805" s="318"/>
      <c r="Q5805" s="318"/>
      <c r="R5805" s="318"/>
      <c r="S5805" s="318"/>
      <c r="T5805" s="318"/>
      <c r="U5805" s="318"/>
      <c r="V5805" s="318"/>
      <c r="W5805" s="318"/>
      <c r="X5805" s="318"/>
      <c r="Y5805" s="318"/>
      <c r="Z5805" s="318"/>
      <c r="AA5805" s="318"/>
      <c r="AB5805" s="318"/>
      <c r="AC5805" s="318"/>
      <c r="AD5805" s="318"/>
    </row>
    <row r="5806" spans="2:30" s="323" customFormat="1" ht="12" customHeight="1">
      <c r="B5806" s="324"/>
      <c r="C5806" s="325"/>
      <c r="D5806" s="326"/>
      <c r="E5806" s="326"/>
      <c r="F5806" s="326"/>
      <c r="G5806" s="326"/>
      <c r="H5806" s="326"/>
      <c r="P5806" s="318"/>
      <c r="Q5806" s="318"/>
      <c r="R5806" s="318"/>
      <c r="S5806" s="318"/>
      <c r="T5806" s="318"/>
      <c r="U5806" s="318"/>
      <c r="V5806" s="318"/>
      <c r="W5806" s="318"/>
      <c r="X5806" s="318"/>
      <c r="Y5806" s="318"/>
      <c r="Z5806" s="318"/>
      <c r="AA5806" s="318"/>
      <c r="AB5806" s="318"/>
      <c r="AC5806" s="318"/>
      <c r="AD5806" s="318"/>
    </row>
    <row r="5807" spans="2:30" s="323" customFormat="1" ht="12" customHeight="1">
      <c r="B5807" s="324"/>
      <c r="C5807" s="325"/>
      <c r="D5807" s="326"/>
      <c r="E5807" s="326"/>
      <c r="F5807" s="326"/>
      <c r="G5807" s="326"/>
      <c r="H5807" s="326"/>
      <c r="P5807" s="318"/>
      <c r="Q5807" s="318"/>
      <c r="R5807" s="318"/>
      <c r="S5807" s="318"/>
      <c r="T5807" s="318"/>
      <c r="U5807" s="318"/>
      <c r="V5807" s="318"/>
      <c r="W5807" s="318"/>
      <c r="X5807" s="318"/>
      <c r="Y5807" s="318"/>
      <c r="Z5807" s="318"/>
      <c r="AA5807" s="318"/>
      <c r="AB5807" s="318"/>
      <c r="AC5807" s="318"/>
      <c r="AD5807" s="318"/>
    </row>
    <row r="5808" spans="2:30" s="323" customFormat="1" ht="12" customHeight="1">
      <c r="B5808" s="324"/>
      <c r="C5808" s="325"/>
      <c r="D5808" s="326"/>
      <c r="E5808" s="326"/>
      <c r="F5808" s="326"/>
      <c r="G5808" s="326"/>
      <c r="H5808" s="326"/>
      <c r="P5808" s="318"/>
      <c r="Q5808" s="318"/>
      <c r="R5808" s="318"/>
      <c r="S5808" s="318"/>
      <c r="T5808" s="318"/>
      <c r="U5808" s="318"/>
      <c r="V5808" s="318"/>
      <c r="W5808" s="318"/>
      <c r="X5808" s="318"/>
      <c r="Y5808" s="318"/>
      <c r="Z5808" s="318"/>
      <c r="AA5808" s="318"/>
      <c r="AB5808" s="318"/>
      <c r="AC5808" s="318"/>
      <c r="AD5808" s="318"/>
    </row>
    <row r="5809" spans="2:30" s="323" customFormat="1" ht="12" customHeight="1">
      <c r="B5809" s="324"/>
      <c r="C5809" s="325"/>
      <c r="D5809" s="326"/>
      <c r="E5809" s="326"/>
      <c r="F5809" s="326"/>
      <c r="G5809" s="326"/>
      <c r="H5809" s="326"/>
      <c r="P5809" s="318"/>
      <c r="Q5809" s="318"/>
      <c r="R5809" s="318"/>
      <c r="S5809" s="318"/>
      <c r="T5809" s="318"/>
      <c r="U5809" s="318"/>
      <c r="V5809" s="318"/>
      <c r="W5809" s="318"/>
      <c r="X5809" s="318"/>
      <c r="Y5809" s="318"/>
      <c r="Z5809" s="318"/>
      <c r="AA5809" s="318"/>
      <c r="AB5809" s="318"/>
      <c r="AC5809" s="318"/>
      <c r="AD5809" s="318"/>
    </row>
    <row r="5810" spans="2:30" s="323" customFormat="1" ht="12" customHeight="1">
      <c r="B5810" s="324"/>
      <c r="C5810" s="325"/>
      <c r="D5810" s="326"/>
      <c r="E5810" s="326"/>
      <c r="F5810" s="326"/>
      <c r="G5810" s="326"/>
      <c r="H5810" s="326"/>
      <c r="P5810" s="318"/>
      <c r="Q5810" s="318"/>
      <c r="R5810" s="318"/>
      <c r="S5810" s="318"/>
      <c r="T5810" s="318"/>
      <c r="U5810" s="318"/>
      <c r="V5810" s="318"/>
      <c r="W5810" s="318"/>
      <c r="X5810" s="318"/>
      <c r="Y5810" s="318"/>
      <c r="Z5810" s="318"/>
      <c r="AA5810" s="318"/>
      <c r="AB5810" s="318"/>
      <c r="AC5810" s="318"/>
      <c r="AD5810" s="318"/>
    </row>
    <row r="5811" spans="2:30" s="323" customFormat="1" ht="12" customHeight="1">
      <c r="B5811" s="324"/>
      <c r="C5811" s="325"/>
      <c r="D5811" s="326"/>
      <c r="E5811" s="326"/>
      <c r="F5811" s="326"/>
      <c r="G5811" s="326"/>
      <c r="H5811" s="326"/>
      <c r="P5811" s="318"/>
      <c r="Q5811" s="318"/>
      <c r="R5811" s="318"/>
      <c r="S5811" s="318"/>
      <c r="T5811" s="318"/>
      <c r="U5811" s="318"/>
      <c r="V5811" s="318"/>
      <c r="W5811" s="318"/>
      <c r="X5811" s="318"/>
      <c r="Y5811" s="318"/>
      <c r="Z5811" s="318"/>
      <c r="AA5811" s="318"/>
      <c r="AB5811" s="318"/>
      <c r="AC5811" s="318"/>
      <c r="AD5811" s="318"/>
    </row>
    <row r="5812" spans="2:30" s="323" customFormat="1" ht="12" customHeight="1">
      <c r="B5812" s="324"/>
      <c r="C5812" s="325"/>
      <c r="D5812" s="326"/>
      <c r="E5812" s="326"/>
      <c r="F5812" s="326"/>
      <c r="G5812" s="326"/>
      <c r="H5812" s="326"/>
      <c r="P5812" s="318"/>
      <c r="Q5812" s="318"/>
      <c r="R5812" s="318"/>
      <c r="S5812" s="318"/>
      <c r="T5812" s="318"/>
      <c r="U5812" s="318"/>
      <c r="V5812" s="318"/>
      <c r="W5812" s="318"/>
      <c r="X5812" s="318"/>
      <c r="Y5812" s="318"/>
      <c r="Z5812" s="318"/>
      <c r="AA5812" s="318"/>
      <c r="AB5812" s="318"/>
      <c r="AC5812" s="318"/>
      <c r="AD5812" s="318"/>
    </row>
    <row r="5813" spans="2:30" s="323" customFormat="1" ht="12" customHeight="1">
      <c r="B5813" s="324"/>
      <c r="C5813" s="325"/>
      <c r="D5813" s="326"/>
      <c r="E5813" s="326"/>
      <c r="F5813" s="326"/>
      <c r="G5813" s="326"/>
      <c r="H5813" s="326"/>
      <c r="P5813" s="318"/>
      <c r="Q5813" s="318"/>
      <c r="R5813" s="318"/>
      <c r="S5813" s="318"/>
      <c r="T5813" s="318"/>
      <c r="U5813" s="318"/>
      <c r="V5813" s="318"/>
      <c r="W5813" s="318"/>
      <c r="X5813" s="318"/>
      <c r="Y5813" s="318"/>
      <c r="Z5813" s="318"/>
      <c r="AA5813" s="318"/>
      <c r="AB5813" s="318"/>
      <c r="AC5813" s="318"/>
      <c r="AD5813" s="318"/>
    </row>
    <row r="5814" spans="2:30" s="323" customFormat="1" ht="12" customHeight="1">
      <c r="B5814" s="324"/>
      <c r="C5814" s="325"/>
      <c r="D5814" s="326"/>
      <c r="E5814" s="326"/>
      <c r="F5814" s="326"/>
      <c r="G5814" s="326"/>
      <c r="H5814" s="326"/>
      <c r="P5814" s="318"/>
      <c r="Q5814" s="318"/>
      <c r="R5814" s="318"/>
      <c r="S5814" s="318"/>
      <c r="T5814" s="318"/>
      <c r="U5814" s="318"/>
      <c r="V5814" s="318"/>
      <c r="W5814" s="318"/>
      <c r="X5814" s="318"/>
      <c r="Y5814" s="318"/>
      <c r="Z5814" s="318"/>
      <c r="AA5814" s="318"/>
      <c r="AB5814" s="318"/>
      <c r="AC5814" s="318"/>
      <c r="AD5814" s="318"/>
    </row>
    <row r="5815" spans="2:30" s="323" customFormat="1" ht="12" customHeight="1">
      <c r="B5815" s="324"/>
      <c r="C5815" s="325"/>
      <c r="D5815" s="326"/>
      <c r="E5815" s="326"/>
      <c r="F5815" s="326"/>
      <c r="G5815" s="326"/>
      <c r="H5815" s="326"/>
      <c r="P5815" s="318"/>
      <c r="Q5815" s="318"/>
      <c r="R5815" s="318"/>
      <c r="S5815" s="318"/>
      <c r="T5815" s="318"/>
      <c r="U5815" s="318"/>
      <c r="V5815" s="318"/>
      <c r="W5815" s="318"/>
      <c r="X5815" s="318"/>
      <c r="Y5815" s="318"/>
      <c r="Z5815" s="318"/>
      <c r="AA5815" s="318"/>
      <c r="AB5815" s="318"/>
      <c r="AC5815" s="318"/>
      <c r="AD5815" s="318"/>
    </row>
    <row r="5816" spans="2:30" s="323" customFormat="1" ht="12" customHeight="1">
      <c r="B5816" s="324"/>
      <c r="C5816" s="325"/>
      <c r="D5816" s="326"/>
      <c r="E5816" s="326"/>
      <c r="F5816" s="326"/>
      <c r="G5816" s="326"/>
      <c r="H5816" s="326"/>
      <c r="P5816" s="318"/>
      <c r="Q5816" s="318"/>
      <c r="R5816" s="318"/>
      <c r="S5816" s="318"/>
      <c r="T5816" s="318"/>
      <c r="U5816" s="318"/>
      <c r="V5816" s="318"/>
      <c r="W5816" s="318"/>
      <c r="X5816" s="318"/>
      <c r="Y5816" s="318"/>
      <c r="Z5816" s="318"/>
      <c r="AA5816" s="318"/>
      <c r="AB5816" s="318"/>
      <c r="AC5816" s="318"/>
      <c r="AD5816" s="318"/>
    </row>
    <row r="5817" spans="2:30" s="323" customFormat="1" ht="12" customHeight="1">
      <c r="B5817" s="324"/>
      <c r="C5817" s="325"/>
      <c r="D5817" s="326"/>
      <c r="E5817" s="326"/>
      <c r="F5817" s="326"/>
      <c r="G5817" s="326"/>
      <c r="H5817" s="326"/>
      <c r="P5817" s="318"/>
      <c r="Q5817" s="318"/>
      <c r="R5817" s="318"/>
      <c r="S5817" s="318"/>
      <c r="T5817" s="318"/>
      <c r="U5817" s="318"/>
      <c r="V5817" s="318"/>
      <c r="W5817" s="318"/>
      <c r="X5817" s="318"/>
      <c r="Y5817" s="318"/>
      <c r="Z5817" s="318"/>
      <c r="AA5817" s="318"/>
      <c r="AB5817" s="318"/>
      <c r="AC5817" s="318"/>
      <c r="AD5817" s="318"/>
    </row>
    <row r="5818" spans="2:30" s="323" customFormat="1" ht="12" customHeight="1">
      <c r="B5818" s="324"/>
      <c r="C5818" s="325"/>
      <c r="D5818" s="326"/>
      <c r="E5818" s="326"/>
      <c r="F5818" s="326"/>
      <c r="G5818" s="326"/>
      <c r="H5818" s="326"/>
      <c r="P5818" s="318"/>
      <c r="Q5818" s="318"/>
      <c r="R5818" s="318"/>
      <c r="S5818" s="318"/>
      <c r="T5818" s="318"/>
      <c r="U5818" s="318"/>
      <c r="V5818" s="318"/>
      <c r="W5818" s="318"/>
      <c r="X5818" s="318"/>
      <c r="Y5818" s="318"/>
      <c r="Z5818" s="318"/>
      <c r="AA5818" s="318"/>
      <c r="AB5818" s="318"/>
      <c r="AC5818" s="318"/>
      <c r="AD5818" s="318"/>
    </row>
    <row r="5819" spans="2:30" s="323" customFormat="1" ht="12" customHeight="1">
      <c r="B5819" s="324"/>
      <c r="C5819" s="325"/>
      <c r="D5819" s="326"/>
      <c r="E5819" s="326"/>
      <c r="F5819" s="326"/>
      <c r="G5819" s="326"/>
      <c r="H5819" s="326"/>
      <c r="P5819" s="318"/>
      <c r="Q5819" s="318"/>
      <c r="R5819" s="318"/>
      <c r="S5819" s="318"/>
      <c r="T5819" s="318"/>
      <c r="U5819" s="318"/>
      <c r="V5819" s="318"/>
      <c r="W5819" s="318"/>
      <c r="X5819" s="318"/>
      <c r="Y5819" s="318"/>
      <c r="Z5819" s="318"/>
      <c r="AA5819" s="318"/>
      <c r="AB5819" s="318"/>
      <c r="AC5819" s="318"/>
      <c r="AD5819" s="318"/>
    </row>
    <row r="5820" spans="2:30" s="323" customFormat="1" ht="12" customHeight="1">
      <c r="B5820" s="324"/>
      <c r="C5820" s="325"/>
      <c r="D5820" s="326"/>
      <c r="E5820" s="326"/>
      <c r="F5820" s="326"/>
      <c r="G5820" s="326"/>
      <c r="H5820" s="326"/>
      <c r="P5820" s="318"/>
      <c r="Q5820" s="318"/>
      <c r="R5820" s="318"/>
      <c r="S5820" s="318"/>
      <c r="T5820" s="318"/>
      <c r="U5820" s="318"/>
      <c r="V5820" s="318"/>
      <c r="W5820" s="318"/>
      <c r="X5820" s="318"/>
      <c r="Y5820" s="318"/>
      <c r="Z5820" s="318"/>
      <c r="AA5820" s="318"/>
      <c r="AB5820" s="318"/>
      <c r="AC5820" s="318"/>
      <c r="AD5820" s="318"/>
    </row>
    <row r="5821" spans="2:30" s="323" customFormat="1" ht="12" customHeight="1">
      <c r="B5821" s="324"/>
      <c r="C5821" s="325"/>
      <c r="D5821" s="326"/>
      <c r="E5821" s="326"/>
      <c r="F5821" s="326"/>
      <c r="G5821" s="326"/>
      <c r="H5821" s="326"/>
      <c r="P5821" s="318"/>
      <c r="Q5821" s="318"/>
      <c r="R5821" s="318"/>
      <c r="S5821" s="318"/>
      <c r="T5821" s="318"/>
      <c r="U5821" s="318"/>
      <c r="V5821" s="318"/>
      <c r="W5821" s="318"/>
      <c r="X5821" s="318"/>
      <c r="Y5821" s="318"/>
      <c r="Z5821" s="318"/>
      <c r="AA5821" s="318"/>
      <c r="AB5821" s="318"/>
      <c r="AC5821" s="318"/>
      <c r="AD5821" s="318"/>
    </row>
    <row r="5822" spans="2:30" s="323" customFormat="1" ht="12" customHeight="1">
      <c r="B5822" s="324"/>
      <c r="C5822" s="325"/>
      <c r="D5822" s="326"/>
      <c r="E5822" s="326"/>
      <c r="F5822" s="326"/>
      <c r="G5822" s="326"/>
      <c r="H5822" s="326"/>
      <c r="P5822" s="318"/>
      <c r="Q5822" s="318"/>
      <c r="R5822" s="318"/>
      <c r="S5822" s="318"/>
      <c r="T5822" s="318"/>
      <c r="U5822" s="318"/>
      <c r="V5822" s="318"/>
      <c r="W5822" s="318"/>
      <c r="X5822" s="318"/>
      <c r="Y5822" s="318"/>
      <c r="Z5822" s="318"/>
      <c r="AA5822" s="318"/>
      <c r="AB5822" s="318"/>
      <c r="AC5822" s="318"/>
      <c r="AD5822" s="318"/>
    </row>
    <row r="5823" spans="2:30" s="323" customFormat="1" ht="12" customHeight="1">
      <c r="B5823" s="324"/>
      <c r="C5823" s="325"/>
      <c r="D5823" s="326"/>
      <c r="E5823" s="326"/>
      <c r="F5823" s="326"/>
      <c r="G5823" s="326"/>
      <c r="H5823" s="326"/>
      <c r="P5823" s="318"/>
      <c r="Q5823" s="318"/>
      <c r="R5823" s="318"/>
      <c r="S5823" s="318"/>
      <c r="T5823" s="318"/>
      <c r="U5823" s="318"/>
      <c r="V5823" s="318"/>
      <c r="W5823" s="318"/>
      <c r="X5823" s="318"/>
      <c r="Y5823" s="318"/>
      <c r="Z5823" s="318"/>
      <c r="AA5823" s="318"/>
      <c r="AB5823" s="318"/>
      <c r="AC5823" s="318"/>
      <c r="AD5823" s="318"/>
    </row>
    <row r="5824" spans="2:30" s="323" customFormat="1" ht="12" customHeight="1">
      <c r="B5824" s="324"/>
      <c r="C5824" s="325"/>
      <c r="D5824" s="326"/>
      <c r="E5824" s="326"/>
      <c r="F5824" s="326"/>
      <c r="G5824" s="326"/>
      <c r="H5824" s="326"/>
      <c r="P5824" s="318"/>
      <c r="Q5824" s="318"/>
      <c r="R5824" s="318"/>
      <c r="S5824" s="318"/>
      <c r="T5824" s="318"/>
      <c r="U5824" s="318"/>
      <c r="V5824" s="318"/>
      <c r="W5824" s="318"/>
      <c r="X5824" s="318"/>
      <c r="Y5824" s="318"/>
      <c r="Z5824" s="318"/>
      <c r="AA5824" s="318"/>
      <c r="AB5824" s="318"/>
      <c r="AC5824" s="318"/>
      <c r="AD5824" s="318"/>
    </row>
    <row r="5825" spans="2:30" s="323" customFormat="1" ht="12" customHeight="1">
      <c r="B5825" s="324"/>
      <c r="C5825" s="325"/>
      <c r="D5825" s="326"/>
      <c r="E5825" s="326"/>
      <c r="F5825" s="326"/>
      <c r="G5825" s="326"/>
      <c r="H5825" s="326"/>
      <c r="P5825" s="318"/>
      <c r="Q5825" s="318"/>
      <c r="R5825" s="318"/>
      <c r="S5825" s="318"/>
      <c r="T5825" s="318"/>
      <c r="U5825" s="318"/>
      <c r="V5825" s="318"/>
      <c r="W5825" s="318"/>
      <c r="X5825" s="318"/>
      <c r="Y5825" s="318"/>
      <c r="Z5825" s="318"/>
      <c r="AA5825" s="318"/>
      <c r="AB5825" s="318"/>
      <c r="AC5825" s="318"/>
      <c r="AD5825" s="318"/>
    </row>
    <row r="5826" spans="2:30" s="323" customFormat="1" ht="12" customHeight="1">
      <c r="B5826" s="324"/>
      <c r="C5826" s="325"/>
      <c r="D5826" s="326"/>
      <c r="E5826" s="326"/>
      <c r="F5826" s="326"/>
      <c r="G5826" s="326"/>
      <c r="H5826" s="326"/>
      <c r="P5826" s="318"/>
      <c r="Q5826" s="318"/>
      <c r="R5826" s="318"/>
      <c r="S5826" s="318"/>
      <c r="T5826" s="318"/>
      <c r="U5826" s="318"/>
      <c r="V5826" s="318"/>
      <c r="W5826" s="318"/>
      <c r="X5826" s="318"/>
      <c r="Y5826" s="318"/>
      <c r="Z5826" s="318"/>
      <c r="AA5826" s="318"/>
      <c r="AB5826" s="318"/>
      <c r="AC5826" s="318"/>
      <c r="AD5826" s="318"/>
    </row>
    <row r="5827" spans="2:30" s="323" customFormat="1" ht="12" customHeight="1">
      <c r="B5827" s="324"/>
      <c r="C5827" s="325"/>
      <c r="D5827" s="326"/>
      <c r="E5827" s="326"/>
      <c r="F5827" s="326"/>
      <c r="G5827" s="326"/>
      <c r="H5827" s="326"/>
      <c r="P5827" s="318"/>
      <c r="Q5827" s="318"/>
      <c r="R5827" s="318"/>
      <c r="S5827" s="318"/>
      <c r="T5827" s="318"/>
      <c r="U5827" s="318"/>
      <c r="V5827" s="318"/>
      <c r="W5827" s="318"/>
      <c r="X5827" s="318"/>
      <c r="Y5827" s="318"/>
      <c r="Z5827" s="318"/>
      <c r="AA5827" s="318"/>
      <c r="AB5827" s="318"/>
      <c r="AC5827" s="318"/>
      <c r="AD5827" s="318"/>
    </row>
    <row r="5828" spans="2:30" s="323" customFormat="1" ht="12" customHeight="1">
      <c r="B5828" s="324"/>
      <c r="C5828" s="325"/>
      <c r="D5828" s="326"/>
      <c r="E5828" s="326"/>
      <c r="F5828" s="326"/>
      <c r="G5828" s="326"/>
      <c r="H5828" s="326"/>
      <c r="P5828" s="318"/>
      <c r="Q5828" s="318"/>
      <c r="R5828" s="318"/>
      <c r="S5828" s="318"/>
      <c r="T5828" s="318"/>
      <c r="U5828" s="318"/>
      <c r="V5828" s="318"/>
      <c r="W5828" s="318"/>
      <c r="X5828" s="318"/>
      <c r="Y5828" s="318"/>
      <c r="Z5828" s="318"/>
      <c r="AA5828" s="318"/>
      <c r="AB5828" s="318"/>
      <c r="AC5828" s="318"/>
      <c r="AD5828" s="318"/>
    </row>
    <row r="5829" spans="2:30" s="323" customFormat="1" ht="12" customHeight="1">
      <c r="B5829" s="324"/>
      <c r="C5829" s="325"/>
      <c r="D5829" s="326"/>
      <c r="E5829" s="326"/>
      <c r="F5829" s="326"/>
      <c r="G5829" s="326"/>
      <c r="H5829" s="326"/>
      <c r="P5829" s="318"/>
      <c r="Q5829" s="318"/>
      <c r="R5829" s="318"/>
      <c r="S5829" s="318"/>
      <c r="T5829" s="318"/>
      <c r="U5829" s="318"/>
      <c r="V5829" s="318"/>
      <c r="W5829" s="318"/>
      <c r="X5829" s="318"/>
      <c r="Y5829" s="318"/>
      <c r="Z5829" s="318"/>
      <c r="AA5829" s="318"/>
      <c r="AB5829" s="318"/>
      <c r="AC5829" s="318"/>
      <c r="AD5829" s="318"/>
    </row>
    <row r="5830" spans="2:30" s="323" customFormat="1" ht="12" customHeight="1">
      <c r="B5830" s="324"/>
      <c r="C5830" s="325"/>
      <c r="D5830" s="326"/>
      <c r="E5830" s="326"/>
      <c r="F5830" s="326"/>
      <c r="G5830" s="326"/>
      <c r="H5830" s="326"/>
      <c r="P5830" s="318"/>
      <c r="Q5830" s="318"/>
      <c r="R5830" s="318"/>
      <c r="S5830" s="318"/>
      <c r="T5830" s="318"/>
      <c r="U5830" s="318"/>
      <c r="V5830" s="318"/>
      <c r="W5830" s="318"/>
      <c r="X5830" s="318"/>
      <c r="Y5830" s="318"/>
      <c r="Z5830" s="318"/>
      <c r="AA5830" s="318"/>
      <c r="AB5830" s="318"/>
      <c r="AC5830" s="318"/>
      <c r="AD5830" s="318"/>
    </row>
    <row r="5831" spans="2:30" s="323" customFormat="1" ht="12" customHeight="1">
      <c r="B5831" s="324"/>
      <c r="C5831" s="325"/>
      <c r="D5831" s="326"/>
      <c r="E5831" s="326"/>
      <c r="F5831" s="326"/>
      <c r="G5831" s="326"/>
      <c r="H5831" s="326"/>
      <c r="P5831" s="318"/>
      <c r="Q5831" s="318"/>
      <c r="R5831" s="318"/>
      <c r="S5831" s="318"/>
      <c r="T5831" s="318"/>
      <c r="U5831" s="318"/>
      <c r="V5831" s="318"/>
      <c r="W5831" s="318"/>
      <c r="X5831" s="318"/>
      <c r="Y5831" s="318"/>
      <c r="Z5831" s="318"/>
      <c r="AA5831" s="318"/>
      <c r="AB5831" s="318"/>
      <c r="AC5831" s="318"/>
      <c r="AD5831" s="318"/>
    </row>
    <row r="5832" spans="2:30" s="323" customFormat="1" ht="12" customHeight="1">
      <c r="B5832" s="324"/>
      <c r="C5832" s="325"/>
      <c r="D5832" s="326"/>
      <c r="E5832" s="326"/>
      <c r="F5832" s="326"/>
      <c r="G5832" s="326"/>
      <c r="H5832" s="326"/>
      <c r="P5832" s="318"/>
      <c r="Q5832" s="318"/>
      <c r="R5832" s="318"/>
      <c r="S5832" s="318"/>
      <c r="T5832" s="318"/>
      <c r="U5832" s="318"/>
      <c r="V5832" s="318"/>
      <c r="W5832" s="318"/>
      <c r="X5832" s="318"/>
      <c r="Y5832" s="318"/>
      <c r="Z5832" s="318"/>
      <c r="AA5832" s="318"/>
      <c r="AB5832" s="318"/>
      <c r="AC5832" s="318"/>
      <c r="AD5832" s="318"/>
    </row>
    <row r="5833" spans="2:30" s="323" customFormat="1" ht="12" customHeight="1">
      <c r="B5833" s="324"/>
      <c r="C5833" s="325"/>
      <c r="D5833" s="326"/>
      <c r="E5833" s="326"/>
      <c r="F5833" s="326"/>
      <c r="G5833" s="326"/>
      <c r="H5833" s="326"/>
      <c r="P5833" s="318"/>
      <c r="Q5833" s="318"/>
      <c r="R5833" s="318"/>
      <c r="S5833" s="318"/>
      <c r="T5833" s="318"/>
      <c r="U5833" s="318"/>
      <c r="V5833" s="318"/>
      <c r="W5833" s="318"/>
      <c r="X5833" s="318"/>
      <c r="Y5833" s="318"/>
      <c r="Z5833" s="318"/>
      <c r="AA5833" s="318"/>
      <c r="AB5833" s="318"/>
      <c r="AC5833" s="318"/>
      <c r="AD5833" s="318"/>
    </row>
    <row r="5834" spans="2:30" s="323" customFormat="1" ht="12" customHeight="1">
      <c r="B5834" s="324"/>
      <c r="C5834" s="325"/>
      <c r="D5834" s="326"/>
      <c r="E5834" s="326"/>
      <c r="F5834" s="326"/>
      <c r="G5834" s="326"/>
      <c r="H5834" s="326"/>
      <c r="P5834" s="318"/>
      <c r="Q5834" s="318"/>
      <c r="R5834" s="318"/>
      <c r="S5834" s="318"/>
      <c r="T5834" s="318"/>
      <c r="U5834" s="318"/>
      <c r="V5834" s="318"/>
      <c r="W5834" s="318"/>
      <c r="X5834" s="318"/>
      <c r="Y5834" s="318"/>
      <c r="Z5834" s="318"/>
      <c r="AA5834" s="318"/>
      <c r="AB5834" s="318"/>
      <c r="AC5834" s="318"/>
      <c r="AD5834" s="318"/>
    </row>
    <row r="5835" spans="2:30" s="323" customFormat="1" ht="12" customHeight="1">
      <c r="B5835" s="324"/>
      <c r="C5835" s="325"/>
      <c r="D5835" s="326"/>
      <c r="E5835" s="326"/>
      <c r="F5835" s="326"/>
      <c r="G5835" s="326"/>
      <c r="H5835" s="326"/>
      <c r="P5835" s="318"/>
      <c r="Q5835" s="318"/>
      <c r="R5835" s="318"/>
      <c r="S5835" s="318"/>
      <c r="T5835" s="318"/>
      <c r="U5835" s="318"/>
      <c r="V5835" s="318"/>
      <c r="W5835" s="318"/>
      <c r="X5835" s="318"/>
      <c r="Y5835" s="318"/>
      <c r="Z5835" s="318"/>
      <c r="AA5835" s="318"/>
      <c r="AB5835" s="318"/>
      <c r="AC5835" s="318"/>
      <c r="AD5835" s="318"/>
    </row>
    <row r="5836" spans="2:30" s="323" customFormat="1" ht="12" customHeight="1">
      <c r="B5836" s="324"/>
      <c r="C5836" s="325"/>
      <c r="D5836" s="326"/>
      <c r="E5836" s="326"/>
      <c r="F5836" s="326"/>
      <c r="G5836" s="326"/>
      <c r="H5836" s="326"/>
      <c r="P5836" s="318"/>
      <c r="Q5836" s="318"/>
      <c r="R5836" s="318"/>
      <c r="S5836" s="318"/>
      <c r="T5836" s="318"/>
      <c r="U5836" s="318"/>
      <c r="V5836" s="318"/>
      <c r="W5836" s="318"/>
      <c r="X5836" s="318"/>
      <c r="Y5836" s="318"/>
      <c r="Z5836" s="318"/>
      <c r="AA5836" s="318"/>
      <c r="AB5836" s="318"/>
      <c r="AC5836" s="318"/>
      <c r="AD5836" s="318"/>
    </row>
    <row r="5837" spans="2:30" s="323" customFormat="1" ht="12" customHeight="1">
      <c r="B5837" s="324"/>
      <c r="C5837" s="325"/>
      <c r="D5837" s="326"/>
      <c r="E5837" s="326"/>
      <c r="F5837" s="326"/>
      <c r="G5837" s="326"/>
      <c r="H5837" s="326"/>
      <c r="P5837" s="318"/>
      <c r="Q5837" s="318"/>
      <c r="R5837" s="318"/>
      <c r="S5837" s="318"/>
      <c r="T5837" s="318"/>
      <c r="U5837" s="318"/>
      <c r="V5837" s="318"/>
      <c r="W5837" s="318"/>
      <c r="X5837" s="318"/>
      <c r="Y5837" s="318"/>
      <c r="Z5837" s="318"/>
      <c r="AA5837" s="318"/>
      <c r="AB5837" s="318"/>
      <c r="AC5837" s="318"/>
      <c r="AD5837" s="318"/>
    </row>
    <row r="5838" spans="2:30" s="323" customFormat="1" ht="12" customHeight="1">
      <c r="B5838" s="324"/>
      <c r="C5838" s="325"/>
      <c r="D5838" s="326"/>
      <c r="E5838" s="326"/>
      <c r="F5838" s="326"/>
      <c r="G5838" s="326"/>
      <c r="H5838" s="326"/>
      <c r="P5838" s="318"/>
      <c r="Q5838" s="318"/>
      <c r="R5838" s="318"/>
      <c r="S5838" s="318"/>
      <c r="T5838" s="318"/>
      <c r="U5838" s="318"/>
      <c r="V5838" s="318"/>
      <c r="W5838" s="318"/>
      <c r="X5838" s="318"/>
      <c r="Y5838" s="318"/>
      <c r="Z5838" s="318"/>
      <c r="AA5838" s="318"/>
      <c r="AB5838" s="318"/>
      <c r="AC5838" s="318"/>
      <c r="AD5838" s="318"/>
    </row>
    <row r="5839" spans="2:30" s="323" customFormat="1" ht="12" customHeight="1">
      <c r="B5839" s="324"/>
      <c r="C5839" s="325"/>
      <c r="D5839" s="326"/>
      <c r="E5839" s="326"/>
      <c r="F5839" s="326"/>
      <c r="G5839" s="326"/>
      <c r="H5839" s="326"/>
      <c r="P5839" s="318"/>
      <c r="Q5839" s="318"/>
      <c r="R5839" s="318"/>
      <c r="S5839" s="318"/>
      <c r="T5839" s="318"/>
      <c r="U5839" s="318"/>
      <c r="V5839" s="318"/>
      <c r="W5839" s="318"/>
      <c r="X5839" s="318"/>
      <c r="Y5839" s="318"/>
      <c r="Z5839" s="318"/>
      <c r="AA5839" s="318"/>
      <c r="AB5839" s="318"/>
      <c r="AC5839" s="318"/>
      <c r="AD5839" s="318"/>
    </row>
    <row r="5840" spans="2:30" s="323" customFormat="1" ht="12" customHeight="1">
      <c r="B5840" s="324"/>
      <c r="C5840" s="325"/>
      <c r="D5840" s="326"/>
      <c r="E5840" s="326"/>
      <c r="F5840" s="326"/>
      <c r="G5840" s="326"/>
      <c r="H5840" s="326"/>
      <c r="P5840" s="318"/>
      <c r="Q5840" s="318"/>
      <c r="R5840" s="318"/>
      <c r="S5840" s="318"/>
      <c r="T5840" s="318"/>
      <c r="U5840" s="318"/>
      <c r="V5840" s="318"/>
      <c r="W5840" s="318"/>
      <c r="X5840" s="318"/>
      <c r="Y5840" s="318"/>
      <c r="Z5840" s="318"/>
      <c r="AA5840" s="318"/>
      <c r="AB5840" s="318"/>
      <c r="AC5840" s="318"/>
      <c r="AD5840" s="318"/>
    </row>
    <row r="5841" spans="2:30" s="323" customFormat="1" ht="12" customHeight="1">
      <c r="B5841" s="324"/>
      <c r="C5841" s="325"/>
      <c r="D5841" s="326"/>
      <c r="E5841" s="326"/>
      <c r="F5841" s="326"/>
      <c r="G5841" s="326"/>
      <c r="H5841" s="326"/>
      <c r="P5841" s="318"/>
      <c r="Q5841" s="318"/>
      <c r="R5841" s="318"/>
      <c r="S5841" s="318"/>
      <c r="T5841" s="318"/>
      <c r="U5841" s="318"/>
      <c r="V5841" s="318"/>
      <c r="W5841" s="318"/>
      <c r="X5841" s="318"/>
      <c r="Y5841" s="318"/>
      <c r="Z5841" s="318"/>
      <c r="AA5841" s="318"/>
      <c r="AB5841" s="318"/>
      <c r="AC5841" s="318"/>
      <c r="AD5841" s="318"/>
    </row>
    <row r="5842" spans="2:30" s="323" customFormat="1" ht="12" customHeight="1">
      <c r="B5842" s="324"/>
      <c r="C5842" s="325"/>
      <c r="D5842" s="326"/>
      <c r="E5842" s="326"/>
      <c r="F5842" s="326"/>
      <c r="G5842" s="326"/>
      <c r="H5842" s="326"/>
      <c r="P5842" s="318"/>
      <c r="Q5842" s="318"/>
      <c r="R5842" s="318"/>
      <c r="S5842" s="318"/>
      <c r="T5842" s="318"/>
      <c r="U5842" s="318"/>
      <c r="V5842" s="318"/>
      <c r="W5842" s="318"/>
      <c r="X5842" s="318"/>
      <c r="Y5842" s="318"/>
      <c r="Z5842" s="318"/>
      <c r="AA5842" s="318"/>
      <c r="AB5842" s="318"/>
      <c r="AC5842" s="318"/>
      <c r="AD5842" s="318"/>
    </row>
    <row r="5843" spans="2:30" s="323" customFormat="1" ht="12" customHeight="1">
      <c r="B5843" s="324"/>
      <c r="C5843" s="325"/>
      <c r="D5843" s="326"/>
      <c r="E5843" s="326"/>
      <c r="F5843" s="326"/>
      <c r="G5843" s="326"/>
      <c r="H5843" s="326"/>
      <c r="P5843" s="318"/>
      <c r="Q5843" s="318"/>
      <c r="R5843" s="318"/>
      <c r="S5843" s="318"/>
      <c r="T5843" s="318"/>
      <c r="U5843" s="318"/>
      <c r="V5843" s="318"/>
      <c r="W5843" s="318"/>
      <c r="X5843" s="318"/>
      <c r="Y5843" s="318"/>
      <c r="Z5843" s="318"/>
      <c r="AA5843" s="318"/>
      <c r="AB5843" s="318"/>
      <c r="AC5843" s="318"/>
      <c r="AD5843" s="318"/>
    </row>
    <row r="5844" spans="2:30" s="323" customFormat="1" ht="12" customHeight="1">
      <c r="B5844" s="324"/>
      <c r="C5844" s="325"/>
      <c r="D5844" s="326"/>
      <c r="E5844" s="326"/>
      <c r="F5844" s="326"/>
      <c r="G5844" s="326"/>
      <c r="H5844" s="326"/>
      <c r="P5844" s="318"/>
      <c r="Q5844" s="318"/>
      <c r="R5844" s="318"/>
      <c r="S5844" s="318"/>
      <c r="T5844" s="318"/>
      <c r="U5844" s="318"/>
      <c r="V5844" s="318"/>
      <c r="W5844" s="318"/>
      <c r="X5844" s="318"/>
      <c r="Y5844" s="318"/>
      <c r="Z5844" s="318"/>
      <c r="AA5844" s="318"/>
      <c r="AB5844" s="318"/>
      <c r="AC5844" s="318"/>
      <c r="AD5844" s="318"/>
    </row>
    <row r="5845" spans="2:30" s="323" customFormat="1" ht="12" customHeight="1">
      <c r="B5845" s="324"/>
      <c r="C5845" s="325"/>
      <c r="D5845" s="326"/>
      <c r="E5845" s="326"/>
      <c r="F5845" s="326"/>
      <c r="G5845" s="326"/>
      <c r="H5845" s="326"/>
      <c r="P5845" s="318"/>
      <c r="Q5845" s="318"/>
      <c r="R5845" s="318"/>
      <c r="S5845" s="318"/>
      <c r="T5845" s="318"/>
      <c r="U5845" s="318"/>
      <c r="V5845" s="318"/>
      <c r="W5845" s="318"/>
      <c r="X5845" s="318"/>
      <c r="Y5845" s="318"/>
      <c r="Z5845" s="318"/>
      <c r="AA5845" s="318"/>
      <c r="AB5845" s="318"/>
      <c r="AC5845" s="318"/>
      <c r="AD5845" s="318"/>
    </row>
    <row r="5846" spans="2:30" s="323" customFormat="1" ht="12" customHeight="1">
      <c r="B5846" s="324"/>
      <c r="C5846" s="325"/>
      <c r="D5846" s="326"/>
      <c r="E5846" s="326"/>
      <c r="F5846" s="326"/>
      <c r="G5846" s="326"/>
      <c r="H5846" s="326"/>
      <c r="P5846" s="318"/>
      <c r="Q5846" s="318"/>
      <c r="R5846" s="318"/>
      <c r="S5846" s="318"/>
      <c r="T5846" s="318"/>
      <c r="U5846" s="318"/>
      <c r="V5846" s="318"/>
      <c r="W5846" s="318"/>
      <c r="X5846" s="318"/>
      <c r="Y5846" s="318"/>
      <c r="Z5846" s="318"/>
      <c r="AA5846" s="318"/>
      <c r="AB5846" s="318"/>
      <c r="AC5846" s="318"/>
      <c r="AD5846" s="318"/>
    </row>
    <row r="5847" spans="2:30" s="323" customFormat="1" ht="12" customHeight="1">
      <c r="B5847" s="324"/>
      <c r="C5847" s="325"/>
      <c r="D5847" s="326"/>
      <c r="E5847" s="326"/>
      <c r="F5847" s="326"/>
      <c r="G5847" s="326"/>
      <c r="H5847" s="326"/>
      <c r="P5847" s="318"/>
      <c r="Q5847" s="318"/>
      <c r="R5847" s="318"/>
      <c r="S5847" s="318"/>
      <c r="T5847" s="318"/>
      <c r="U5847" s="318"/>
      <c r="V5847" s="318"/>
      <c r="W5847" s="318"/>
      <c r="X5847" s="318"/>
      <c r="Y5847" s="318"/>
      <c r="Z5847" s="318"/>
      <c r="AA5847" s="318"/>
      <c r="AB5847" s="318"/>
      <c r="AC5847" s="318"/>
      <c r="AD5847" s="318"/>
    </row>
    <row r="5848" spans="2:30" s="323" customFormat="1" ht="12" customHeight="1">
      <c r="B5848" s="324"/>
      <c r="C5848" s="325"/>
      <c r="D5848" s="326"/>
      <c r="E5848" s="326"/>
      <c r="F5848" s="326"/>
      <c r="G5848" s="326"/>
      <c r="H5848" s="326"/>
      <c r="P5848" s="318"/>
      <c r="Q5848" s="318"/>
      <c r="R5848" s="318"/>
      <c r="S5848" s="318"/>
      <c r="T5848" s="318"/>
      <c r="U5848" s="318"/>
      <c r="V5848" s="318"/>
      <c r="W5848" s="318"/>
      <c r="X5848" s="318"/>
      <c r="Y5848" s="318"/>
      <c r="Z5848" s="318"/>
      <c r="AA5848" s="318"/>
      <c r="AB5848" s="318"/>
      <c r="AC5848" s="318"/>
      <c r="AD5848" s="318"/>
    </row>
    <row r="5849" spans="2:30" s="323" customFormat="1" ht="12" customHeight="1">
      <c r="B5849" s="324"/>
      <c r="C5849" s="325"/>
      <c r="D5849" s="326"/>
      <c r="E5849" s="326"/>
      <c r="F5849" s="326"/>
      <c r="G5849" s="326"/>
      <c r="H5849" s="326"/>
      <c r="P5849" s="318"/>
      <c r="Q5849" s="318"/>
      <c r="R5849" s="318"/>
      <c r="S5849" s="318"/>
      <c r="T5849" s="318"/>
      <c r="U5849" s="318"/>
      <c r="V5849" s="318"/>
      <c r="W5849" s="318"/>
      <c r="X5849" s="318"/>
      <c r="Y5849" s="318"/>
      <c r="Z5849" s="318"/>
      <c r="AA5849" s="318"/>
      <c r="AB5849" s="318"/>
      <c r="AC5849" s="318"/>
      <c r="AD5849" s="318"/>
    </row>
    <row r="5850" spans="2:30" s="323" customFormat="1" ht="12" customHeight="1">
      <c r="B5850" s="324"/>
      <c r="C5850" s="325"/>
      <c r="D5850" s="326"/>
      <c r="E5850" s="326"/>
      <c r="F5850" s="326"/>
      <c r="G5850" s="326"/>
      <c r="H5850" s="326"/>
      <c r="P5850" s="318"/>
      <c r="Q5850" s="318"/>
      <c r="R5850" s="318"/>
      <c r="S5850" s="318"/>
      <c r="T5850" s="318"/>
      <c r="U5850" s="318"/>
      <c r="V5850" s="318"/>
      <c r="W5850" s="318"/>
      <c r="X5850" s="318"/>
      <c r="Y5850" s="318"/>
      <c r="Z5850" s="318"/>
      <c r="AA5850" s="318"/>
      <c r="AB5850" s="318"/>
      <c r="AC5850" s="318"/>
      <c r="AD5850" s="318"/>
    </row>
    <row r="5851" spans="2:30" s="323" customFormat="1" ht="12" customHeight="1">
      <c r="B5851" s="324"/>
      <c r="C5851" s="325"/>
      <c r="D5851" s="326"/>
      <c r="E5851" s="326"/>
      <c r="F5851" s="326"/>
      <c r="G5851" s="326"/>
      <c r="H5851" s="326"/>
      <c r="P5851" s="318"/>
      <c r="Q5851" s="318"/>
      <c r="R5851" s="318"/>
      <c r="S5851" s="318"/>
      <c r="T5851" s="318"/>
      <c r="U5851" s="318"/>
      <c r="V5851" s="318"/>
      <c r="W5851" s="318"/>
      <c r="X5851" s="318"/>
      <c r="Y5851" s="318"/>
      <c r="Z5851" s="318"/>
      <c r="AA5851" s="318"/>
      <c r="AB5851" s="318"/>
      <c r="AC5851" s="318"/>
      <c r="AD5851" s="318"/>
    </row>
    <row r="5852" spans="2:30" s="323" customFormat="1" ht="12" customHeight="1">
      <c r="B5852" s="324"/>
      <c r="C5852" s="325"/>
      <c r="D5852" s="326"/>
      <c r="E5852" s="326"/>
      <c r="F5852" s="326"/>
      <c r="G5852" s="326"/>
      <c r="H5852" s="326"/>
      <c r="P5852" s="318"/>
      <c r="Q5852" s="318"/>
      <c r="R5852" s="318"/>
      <c r="S5852" s="318"/>
      <c r="T5852" s="318"/>
      <c r="U5852" s="318"/>
      <c r="V5852" s="318"/>
      <c r="W5852" s="318"/>
      <c r="X5852" s="318"/>
      <c r="Y5852" s="318"/>
      <c r="Z5852" s="318"/>
      <c r="AA5852" s="318"/>
      <c r="AB5852" s="318"/>
      <c r="AC5852" s="318"/>
      <c r="AD5852" s="318"/>
    </row>
    <row r="5853" spans="2:30" s="323" customFormat="1" ht="12" customHeight="1">
      <c r="B5853" s="324"/>
      <c r="C5853" s="325"/>
      <c r="D5853" s="326"/>
      <c r="E5853" s="326"/>
      <c r="F5853" s="326"/>
      <c r="G5853" s="326"/>
      <c r="H5853" s="326"/>
      <c r="P5853" s="318"/>
      <c r="Q5853" s="318"/>
      <c r="R5853" s="318"/>
      <c r="S5853" s="318"/>
      <c r="T5853" s="318"/>
      <c r="U5853" s="318"/>
      <c r="V5853" s="318"/>
      <c r="W5853" s="318"/>
      <c r="X5853" s="318"/>
      <c r="Y5853" s="318"/>
      <c r="Z5853" s="318"/>
      <c r="AA5853" s="318"/>
      <c r="AB5853" s="318"/>
      <c r="AC5853" s="318"/>
      <c r="AD5853" s="318"/>
    </row>
    <row r="5854" spans="2:30" s="323" customFormat="1" ht="12" customHeight="1">
      <c r="B5854" s="324"/>
      <c r="C5854" s="325"/>
      <c r="D5854" s="326"/>
      <c r="E5854" s="326"/>
      <c r="F5854" s="326"/>
      <c r="G5854" s="326"/>
      <c r="H5854" s="326"/>
      <c r="P5854" s="318"/>
      <c r="Q5854" s="318"/>
      <c r="R5854" s="318"/>
      <c r="S5854" s="318"/>
      <c r="T5854" s="318"/>
      <c r="U5854" s="318"/>
      <c r="V5854" s="318"/>
      <c r="W5854" s="318"/>
      <c r="X5854" s="318"/>
      <c r="Y5854" s="318"/>
      <c r="Z5854" s="318"/>
      <c r="AA5854" s="318"/>
      <c r="AB5854" s="318"/>
      <c r="AC5854" s="318"/>
      <c r="AD5854" s="318"/>
    </row>
    <row r="5855" spans="2:30" s="323" customFormat="1" ht="12" customHeight="1">
      <c r="B5855" s="324"/>
      <c r="C5855" s="325"/>
      <c r="D5855" s="326"/>
      <c r="E5855" s="326"/>
      <c r="F5855" s="326"/>
      <c r="G5855" s="326"/>
      <c r="H5855" s="326"/>
      <c r="P5855" s="318"/>
      <c r="Q5855" s="318"/>
      <c r="R5855" s="318"/>
      <c r="S5855" s="318"/>
      <c r="T5855" s="318"/>
      <c r="U5855" s="318"/>
      <c r="V5855" s="318"/>
      <c r="W5855" s="318"/>
      <c r="X5855" s="318"/>
      <c r="Y5855" s="318"/>
      <c r="Z5855" s="318"/>
      <c r="AA5855" s="318"/>
      <c r="AB5855" s="318"/>
      <c r="AC5855" s="318"/>
      <c r="AD5855" s="318"/>
    </row>
    <row r="5856" spans="2:30" s="323" customFormat="1" ht="12" customHeight="1">
      <c r="B5856" s="324"/>
      <c r="C5856" s="325"/>
      <c r="D5856" s="326"/>
      <c r="E5856" s="326"/>
      <c r="F5856" s="326"/>
      <c r="G5856" s="326"/>
      <c r="H5856" s="326"/>
      <c r="P5856" s="318"/>
      <c r="Q5856" s="318"/>
      <c r="R5856" s="318"/>
      <c r="S5856" s="318"/>
      <c r="T5856" s="318"/>
      <c r="U5856" s="318"/>
      <c r="V5856" s="318"/>
      <c r="W5856" s="318"/>
      <c r="X5856" s="318"/>
      <c r="Y5856" s="318"/>
      <c r="Z5856" s="318"/>
      <c r="AA5856" s="318"/>
      <c r="AB5856" s="318"/>
      <c r="AC5856" s="318"/>
      <c r="AD5856" s="318"/>
    </row>
    <row r="5857" spans="2:30" s="323" customFormat="1" ht="12" customHeight="1">
      <c r="B5857" s="324"/>
      <c r="C5857" s="325"/>
      <c r="D5857" s="326"/>
      <c r="E5857" s="326"/>
      <c r="F5857" s="326"/>
      <c r="G5857" s="326"/>
      <c r="H5857" s="326"/>
      <c r="P5857" s="318"/>
      <c r="Q5857" s="318"/>
      <c r="R5857" s="318"/>
      <c r="S5857" s="318"/>
      <c r="T5857" s="318"/>
      <c r="U5857" s="318"/>
      <c r="V5857" s="318"/>
      <c r="W5857" s="318"/>
      <c r="X5857" s="318"/>
      <c r="Y5857" s="318"/>
      <c r="Z5857" s="318"/>
      <c r="AA5857" s="318"/>
      <c r="AB5857" s="318"/>
      <c r="AC5857" s="318"/>
      <c r="AD5857" s="318"/>
    </row>
    <row r="5858" spans="2:30" s="323" customFormat="1" ht="12" customHeight="1">
      <c r="B5858" s="324"/>
      <c r="C5858" s="325"/>
      <c r="D5858" s="326"/>
      <c r="E5858" s="326"/>
      <c r="F5858" s="326"/>
      <c r="G5858" s="326"/>
      <c r="H5858" s="326"/>
      <c r="P5858" s="318"/>
      <c r="Q5858" s="318"/>
      <c r="R5858" s="318"/>
      <c r="S5858" s="318"/>
      <c r="T5858" s="318"/>
      <c r="U5858" s="318"/>
      <c r="V5858" s="318"/>
      <c r="W5858" s="318"/>
      <c r="X5858" s="318"/>
      <c r="Y5858" s="318"/>
      <c r="Z5858" s="318"/>
      <c r="AA5858" s="318"/>
      <c r="AB5858" s="318"/>
      <c r="AC5858" s="318"/>
      <c r="AD5858" s="318"/>
    </row>
    <row r="5859" spans="2:30" s="323" customFormat="1" ht="12" customHeight="1">
      <c r="B5859" s="324"/>
      <c r="C5859" s="325"/>
      <c r="D5859" s="326"/>
      <c r="E5859" s="326"/>
      <c r="F5859" s="326"/>
      <c r="G5859" s="326"/>
      <c r="H5859" s="326"/>
      <c r="P5859" s="318"/>
      <c r="Q5859" s="318"/>
      <c r="R5859" s="318"/>
      <c r="S5859" s="318"/>
      <c r="T5859" s="318"/>
      <c r="U5859" s="318"/>
      <c r="V5859" s="318"/>
      <c r="W5859" s="318"/>
      <c r="X5859" s="318"/>
      <c r="Y5859" s="318"/>
      <c r="Z5859" s="318"/>
      <c r="AA5859" s="318"/>
      <c r="AB5859" s="318"/>
      <c r="AC5859" s="318"/>
      <c r="AD5859" s="318"/>
    </row>
    <row r="5860" spans="2:30" s="323" customFormat="1" ht="12" customHeight="1">
      <c r="B5860" s="324"/>
      <c r="C5860" s="325"/>
      <c r="D5860" s="326"/>
      <c r="E5860" s="326"/>
      <c r="F5860" s="326"/>
      <c r="G5860" s="326"/>
      <c r="H5860" s="326"/>
      <c r="P5860" s="318"/>
      <c r="Q5860" s="318"/>
      <c r="R5860" s="318"/>
      <c r="S5860" s="318"/>
      <c r="T5860" s="318"/>
      <c r="U5860" s="318"/>
      <c r="V5860" s="318"/>
      <c r="W5860" s="318"/>
      <c r="X5860" s="318"/>
      <c r="Y5860" s="318"/>
      <c r="Z5860" s="318"/>
      <c r="AA5860" s="318"/>
      <c r="AB5860" s="318"/>
      <c r="AC5860" s="318"/>
      <c r="AD5860" s="318"/>
    </row>
    <row r="5861" spans="2:30" s="323" customFormat="1" ht="12" customHeight="1">
      <c r="B5861" s="324"/>
      <c r="C5861" s="325"/>
      <c r="D5861" s="326"/>
      <c r="E5861" s="326"/>
      <c r="F5861" s="326"/>
      <c r="G5861" s="326"/>
      <c r="H5861" s="326"/>
      <c r="P5861" s="318"/>
      <c r="Q5861" s="318"/>
      <c r="R5861" s="318"/>
      <c r="S5861" s="318"/>
      <c r="T5861" s="318"/>
      <c r="U5861" s="318"/>
      <c r="V5861" s="318"/>
      <c r="W5861" s="318"/>
      <c r="X5861" s="318"/>
      <c r="Y5861" s="318"/>
      <c r="Z5861" s="318"/>
      <c r="AA5861" s="318"/>
      <c r="AB5861" s="318"/>
      <c r="AC5861" s="318"/>
      <c r="AD5861" s="318"/>
    </row>
    <row r="5862" spans="2:30" s="323" customFormat="1" ht="12" customHeight="1">
      <c r="B5862" s="324"/>
      <c r="C5862" s="325"/>
      <c r="D5862" s="326"/>
      <c r="E5862" s="326"/>
      <c r="F5862" s="326"/>
      <c r="G5862" s="326"/>
      <c r="H5862" s="326"/>
      <c r="P5862" s="318"/>
      <c r="Q5862" s="318"/>
      <c r="R5862" s="318"/>
      <c r="S5862" s="318"/>
      <c r="T5862" s="318"/>
      <c r="U5862" s="318"/>
      <c r="V5862" s="318"/>
      <c r="W5862" s="318"/>
      <c r="X5862" s="318"/>
      <c r="Y5862" s="318"/>
      <c r="Z5862" s="318"/>
      <c r="AA5862" s="318"/>
      <c r="AB5862" s="318"/>
      <c r="AC5862" s="318"/>
      <c r="AD5862" s="318"/>
    </row>
    <row r="5863" spans="2:30" s="323" customFormat="1" ht="12" customHeight="1">
      <c r="B5863" s="324"/>
      <c r="C5863" s="325"/>
      <c r="D5863" s="326"/>
      <c r="E5863" s="326"/>
      <c r="F5863" s="326"/>
      <c r="G5863" s="326"/>
      <c r="H5863" s="326"/>
      <c r="P5863" s="318"/>
      <c r="Q5863" s="318"/>
      <c r="R5863" s="318"/>
      <c r="S5863" s="318"/>
      <c r="T5863" s="318"/>
      <c r="U5863" s="318"/>
      <c r="V5863" s="318"/>
      <c r="W5863" s="318"/>
      <c r="X5863" s="318"/>
      <c r="Y5863" s="318"/>
      <c r="Z5863" s="318"/>
      <c r="AA5863" s="318"/>
      <c r="AB5863" s="318"/>
      <c r="AC5863" s="318"/>
      <c r="AD5863" s="318"/>
    </row>
    <row r="5864" spans="2:30" s="323" customFormat="1" ht="12" customHeight="1">
      <c r="B5864" s="324"/>
      <c r="C5864" s="325"/>
      <c r="D5864" s="326"/>
      <c r="E5864" s="326"/>
      <c r="F5864" s="326"/>
      <c r="G5864" s="326"/>
      <c r="H5864" s="326"/>
      <c r="P5864" s="318"/>
      <c r="Q5864" s="318"/>
      <c r="R5864" s="318"/>
      <c r="S5864" s="318"/>
      <c r="T5864" s="318"/>
      <c r="U5864" s="318"/>
      <c r="V5864" s="318"/>
      <c r="W5864" s="318"/>
      <c r="X5864" s="318"/>
      <c r="Y5864" s="318"/>
      <c r="Z5864" s="318"/>
      <c r="AA5864" s="318"/>
      <c r="AB5864" s="318"/>
      <c r="AC5864" s="318"/>
      <c r="AD5864" s="318"/>
    </row>
    <row r="5865" spans="2:30" s="323" customFormat="1" ht="12" customHeight="1">
      <c r="B5865" s="324"/>
      <c r="C5865" s="325"/>
      <c r="D5865" s="326"/>
      <c r="E5865" s="326"/>
      <c r="F5865" s="326"/>
      <c r="G5865" s="326"/>
      <c r="H5865" s="326"/>
      <c r="P5865" s="318"/>
      <c r="Q5865" s="318"/>
      <c r="R5865" s="318"/>
      <c r="S5865" s="318"/>
      <c r="T5865" s="318"/>
      <c r="U5865" s="318"/>
      <c r="V5865" s="318"/>
      <c r="W5865" s="318"/>
      <c r="X5865" s="318"/>
      <c r="Y5865" s="318"/>
      <c r="Z5865" s="318"/>
      <c r="AA5865" s="318"/>
      <c r="AB5865" s="318"/>
      <c r="AC5865" s="318"/>
      <c r="AD5865" s="318"/>
    </row>
    <row r="5866" spans="2:30" s="323" customFormat="1" ht="12" customHeight="1">
      <c r="B5866" s="324"/>
      <c r="C5866" s="325"/>
      <c r="D5866" s="326"/>
      <c r="E5866" s="326"/>
      <c r="F5866" s="326"/>
      <c r="G5866" s="326"/>
      <c r="H5866" s="326"/>
      <c r="P5866" s="318"/>
      <c r="Q5866" s="318"/>
      <c r="R5866" s="318"/>
      <c r="S5866" s="318"/>
      <c r="T5866" s="318"/>
      <c r="U5866" s="318"/>
      <c r="V5866" s="318"/>
      <c r="W5866" s="318"/>
      <c r="X5866" s="318"/>
      <c r="Y5866" s="318"/>
      <c r="Z5866" s="318"/>
      <c r="AA5866" s="318"/>
      <c r="AB5866" s="318"/>
      <c r="AC5866" s="318"/>
      <c r="AD5866" s="318"/>
    </row>
    <row r="5867" spans="2:30" s="323" customFormat="1" ht="12" customHeight="1">
      <c r="B5867" s="324"/>
      <c r="C5867" s="325"/>
      <c r="D5867" s="326"/>
      <c r="E5867" s="326"/>
      <c r="F5867" s="326"/>
      <c r="G5867" s="326"/>
      <c r="H5867" s="326"/>
      <c r="P5867" s="318"/>
      <c r="Q5867" s="318"/>
      <c r="R5867" s="318"/>
      <c r="S5867" s="318"/>
      <c r="T5867" s="318"/>
      <c r="U5867" s="318"/>
      <c r="V5867" s="318"/>
      <c r="W5867" s="318"/>
      <c r="X5867" s="318"/>
      <c r="Y5867" s="318"/>
      <c r="Z5867" s="318"/>
      <c r="AA5867" s="318"/>
      <c r="AB5867" s="318"/>
      <c r="AC5867" s="318"/>
      <c r="AD5867" s="318"/>
    </row>
    <row r="5868" spans="2:30" s="323" customFormat="1" ht="12" customHeight="1">
      <c r="B5868" s="324"/>
      <c r="C5868" s="325"/>
      <c r="D5868" s="326"/>
      <c r="E5868" s="326"/>
      <c r="F5868" s="326"/>
      <c r="G5868" s="326"/>
      <c r="H5868" s="326"/>
      <c r="P5868" s="318"/>
      <c r="Q5868" s="318"/>
      <c r="R5868" s="318"/>
      <c r="S5868" s="318"/>
      <c r="T5868" s="318"/>
      <c r="U5868" s="318"/>
      <c r="V5868" s="318"/>
      <c r="W5868" s="318"/>
      <c r="X5868" s="318"/>
      <c r="Y5868" s="318"/>
      <c r="Z5868" s="318"/>
      <c r="AA5868" s="318"/>
      <c r="AB5868" s="318"/>
      <c r="AC5868" s="318"/>
      <c r="AD5868" s="318"/>
    </row>
    <row r="5869" spans="2:30" s="323" customFormat="1" ht="12" customHeight="1">
      <c r="B5869" s="324"/>
      <c r="C5869" s="325"/>
      <c r="D5869" s="326"/>
      <c r="E5869" s="326"/>
      <c r="F5869" s="326"/>
      <c r="G5869" s="326"/>
      <c r="H5869" s="326"/>
      <c r="P5869" s="318"/>
      <c r="Q5869" s="318"/>
      <c r="R5869" s="318"/>
      <c r="S5869" s="318"/>
      <c r="T5869" s="318"/>
      <c r="U5869" s="318"/>
      <c r="V5869" s="318"/>
      <c r="W5869" s="318"/>
      <c r="X5869" s="318"/>
      <c r="Y5869" s="318"/>
      <c r="Z5869" s="318"/>
      <c r="AA5869" s="318"/>
      <c r="AB5869" s="318"/>
      <c r="AC5869" s="318"/>
      <c r="AD5869" s="318"/>
    </row>
    <row r="5870" spans="2:30" s="323" customFormat="1" ht="12" customHeight="1">
      <c r="B5870" s="324"/>
      <c r="C5870" s="325"/>
      <c r="D5870" s="326"/>
      <c r="E5870" s="326"/>
      <c r="F5870" s="326"/>
      <c r="G5870" s="326"/>
      <c r="H5870" s="326"/>
      <c r="P5870" s="318"/>
      <c r="Q5870" s="318"/>
      <c r="R5870" s="318"/>
      <c r="S5870" s="318"/>
      <c r="T5870" s="318"/>
      <c r="U5870" s="318"/>
      <c r="V5870" s="318"/>
      <c r="W5870" s="318"/>
      <c r="X5870" s="318"/>
      <c r="Y5870" s="318"/>
      <c r="Z5870" s="318"/>
      <c r="AA5870" s="318"/>
      <c r="AB5870" s="318"/>
      <c r="AC5870" s="318"/>
      <c r="AD5870" s="318"/>
    </row>
    <row r="5871" spans="2:30" s="323" customFormat="1" ht="12" customHeight="1">
      <c r="B5871" s="324"/>
      <c r="C5871" s="325"/>
      <c r="D5871" s="326"/>
      <c r="E5871" s="326"/>
      <c r="F5871" s="326"/>
      <c r="G5871" s="326"/>
      <c r="H5871" s="326"/>
      <c r="P5871" s="318"/>
      <c r="Q5871" s="318"/>
      <c r="R5871" s="318"/>
      <c r="S5871" s="318"/>
      <c r="T5871" s="318"/>
      <c r="U5871" s="318"/>
      <c r="V5871" s="318"/>
      <c r="W5871" s="318"/>
      <c r="X5871" s="318"/>
      <c r="Y5871" s="318"/>
      <c r="Z5871" s="318"/>
      <c r="AA5871" s="318"/>
      <c r="AB5871" s="318"/>
      <c r="AC5871" s="318"/>
      <c r="AD5871" s="318"/>
    </row>
    <row r="5872" spans="2:30" s="323" customFormat="1" ht="12" customHeight="1">
      <c r="B5872" s="324"/>
      <c r="C5872" s="325"/>
      <c r="D5872" s="326"/>
      <c r="E5872" s="326"/>
      <c r="F5872" s="326"/>
      <c r="G5872" s="326"/>
      <c r="H5872" s="326"/>
      <c r="P5872" s="318"/>
      <c r="Q5872" s="318"/>
      <c r="R5872" s="318"/>
      <c r="S5872" s="318"/>
      <c r="T5872" s="318"/>
      <c r="U5872" s="318"/>
      <c r="V5872" s="318"/>
      <c r="W5872" s="318"/>
      <c r="X5872" s="318"/>
      <c r="Y5872" s="318"/>
      <c r="Z5872" s="318"/>
      <c r="AA5872" s="318"/>
      <c r="AB5872" s="318"/>
      <c r="AC5872" s="318"/>
      <c r="AD5872" s="318"/>
    </row>
    <row r="5873" spans="2:30" s="323" customFormat="1" ht="12" customHeight="1">
      <c r="B5873" s="324"/>
      <c r="C5873" s="325"/>
      <c r="D5873" s="326"/>
      <c r="E5873" s="326"/>
      <c r="F5873" s="326"/>
      <c r="G5873" s="326"/>
      <c r="H5873" s="326"/>
      <c r="P5873" s="318"/>
      <c r="Q5873" s="318"/>
      <c r="R5873" s="318"/>
      <c r="S5873" s="318"/>
      <c r="T5873" s="318"/>
      <c r="U5873" s="318"/>
      <c r="V5873" s="318"/>
      <c r="W5873" s="318"/>
      <c r="X5873" s="318"/>
      <c r="Y5873" s="318"/>
      <c r="Z5873" s="318"/>
      <c r="AA5873" s="318"/>
      <c r="AB5873" s="318"/>
      <c r="AC5873" s="318"/>
      <c r="AD5873" s="318"/>
    </row>
    <row r="5874" spans="2:30" s="323" customFormat="1" ht="12" customHeight="1">
      <c r="B5874" s="324"/>
      <c r="C5874" s="325"/>
      <c r="D5874" s="326"/>
      <c r="E5874" s="326"/>
      <c r="F5874" s="326"/>
      <c r="G5874" s="326"/>
      <c r="H5874" s="326"/>
      <c r="P5874" s="318"/>
      <c r="Q5874" s="318"/>
      <c r="R5874" s="318"/>
      <c r="S5874" s="318"/>
      <c r="T5874" s="318"/>
      <c r="U5874" s="318"/>
      <c r="V5874" s="318"/>
      <c r="W5874" s="318"/>
      <c r="X5874" s="318"/>
      <c r="Y5874" s="318"/>
      <c r="Z5874" s="318"/>
      <c r="AA5874" s="318"/>
      <c r="AB5874" s="318"/>
      <c r="AC5874" s="318"/>
      <c r="AD5874" s="318"/>
    </row>
    <row r="5875" spans="2:30" s="323" customFormat="1" ht="12" customHeight="1">
      <c r="B5875" s="324"/>
      <c r="C5875" s="325"/>
      <c r="D5875" s="326"/>
      <c r="E5875" s="326"/>
      <c r="F5875" s="326"/>
      <c r="G5875" s="326"/>
      <c r="H5875" s="326"/>
      <c r="P5875" s="318"/>
      <c r="Q5875" s="318"/>
      <c r="R5875" s="318"/>
      <c r="S5875" s="318"/>
      <c r="T5875" s="318"/>
      <c r="U5875" s="318"/>
      <c r="V5875" s="318"/>
      <c r="W5875" s="318"/>
      <c r="X5875" s="318"/>
      <c r="Y5875" s="318"/>
      <c r="Z5875" s="318"/>
      <c r="AA5875" s="318"/>
      <c r="AB5875" s="318"/>
      <c r="AC5875" s="318"/>
      <c r="AD5875" s="318"/>
    </row>
    <row r="5876" spans="2:30" s="323" customFormat="1" ht="12" customHeight="1">
      <c r="B5876" s="324"/>
      <c r="C5876" s="325"/>
      <c r="D5876" s="326"/>
      <c r="E5876" s="326"/>
      <c r="F5876" s="326"/>
      <c r="G5876" s="326"/>
      <c r="H5876" s="326"/>
      <c r="P5876" s="318"/>
      <c r="Q5876" s="318"/>
      <c r="R5876" s="318"/>
      <c r="S5876" s="318"/>
      <c r="T5876" s="318"/>
      <c r="U5876" s="318"/>
      <c r="V5876" s="318"/>
      <c r="W5876" s="318"/>
      <c r="X5876" s="318"/>
      <c r="Y5876" s="318"/>
      <c r="Z5876" s="318"/>
      <c r="AA5876" s="318"/>
      <c r="AB5876" s="318"/>
      <c r="AC5876" s="318"/>
      <c r="AD5876" s="318"/>
    </row>
    <row r="5877" spans="2:30" s="323" customFormat="1" ht="12" customHeight="1">
      <c r="B5877" s="324"/>
      <c r="C5877" s="325"/>
      <c r="D5877" s="326"/>
      <c r="E5877" s="326"/>
      <c r="F5877" s="326"/>
      <c r="G5877" s="326"/>
      <c r="H5877" s="326"/>
      <c r="P5877" s="318"/>
      <c r="Q5877" s="318"/>
      <c r="R5877" s="318"/>
      <c r="S5877" s="318"/>
      <c r="T5877" s="318"/>
      <c r="U5877" s="318"/>
      <c r="V5877" s="318"/>
      <c r="W5877" s="318"/>
      <c r="X5877" s="318"/>
      <c r="Y5877" s="318"/>
      <c r="Z5877" s="318"/>
      <c r="AA5877" s="318"/>
      <c r="AB5877" s="318"/>
      <c r="AC5877" s="318"/>
      <c r="AD5877" s="318"/>
    </row>
    <row r="5878" spans="2:30" s="323" customFormat="1" ht="12" customHeight="1">
      <c r="B5878" s="324"/>
      <c r="C5878" s="325"/>
      <c r="D5878" s="326"/>
      <c r="E5878" s="326"/>
      <c r="F5878" s="326"/>
      <c r="G5878" s="326"/>
      <c r="H5878" s="326"/>
      <c r="P5878" s="318"/>
      <c r="Q5878" s="318"/>
      <c r="R5878" s="318"/>
      <c r="S5878" s="318"/>
      <c r="T5878" s="318"/>
      <c r="U5878" s="318"/>
      <c r="V5878" s="318"/>
      <c r="W5878" s="318"/>
      <c r="X5878" s="318"/>
      <c r="Y5878" s="318"/>
      <c r="Z5878" s="318"/>
      <c r="AA5878" s="318"/>
      <c r="AB5878" s="318"/>
      <c r="AC5878" s="318"/>
      <c r="AD5878" s="318"/>
    </row>
    <row r="5879" spans="2:30" s="323" customFormat="1" ht="12" customHeight="1">
      <c r="B5879" s="324"/>
      <c r="C5879" s="325"/>
      <c r="D5879" s="326"/>
      <c r="E5879" s="326"/>
      <c r="F5879" s="326"/>
      <c r="G5879" s="326"/>
      <c r="H5879" s="326"/>
      <c r="P5879" s="318"/>
      <c r="Q5879" s="318"/>
      <c r="R5879" s="318"/>
      <c r="S5879" s="318"/>
      <c r="T5879" s="318"/>
      <c r="U5879" s="318"/>
      <c r="V5879" s="318"/>
      <c r="W5879" s="318"/>
      <c r="X5879" s="318"/>
      <c r="Y5879" s="318"/>
      <c r="Z5879" s="318"/>
      <c r="AA5879" s="318"/>
      <c r="AB5879" s="318"/>
      <c r="AC5879" s="318"/>
      <c r="AD5879" s="318"/>
    </row>
    <row r="5880" spans="2:30" s="323" customFormat="1" ht="12" customHeight="1">
      <c r="B5880" s="324"/>
      <c r="C5880" s="325"/>
      <c r="D5880" s="326"/>
      <c r="E5880" s="326"/>
      <c r="F5880" s="326"/>
      <c r="G5880" s="326"/>
      <c r="H5880" s="326"/>
      <c r="P5880" s="318"/>
      <c r="Q5880" s="318"/>
      <c r="R5880" s="318"/>
      <c r="S5880" s="318"/>
      <c r="T5880" s="318"/>
      <c r="U5880" s="318"/>
      <c r="V5880" s="318"/>
      <c r="W5880" s="318"/>
      <c r="X5880" s="318"/>
      <c r="Y5880" s="318"/>
      <c r="Z5880" s="318"/>
      <c r="AA5880" s="318"/>
      <c r="AB5880" s="318"/>
      <c r="AC5880" s="318"/>
      <c r="AD5880" s="318"/>
    </row>
    <row r="5881" spans="2:30" s="323" customFormat="1" ht="12" customHeight="1">
      <c r="B5881" s="324"/>
      <c r="C5881" s="325"/>
      <c r="D5881" s="326"/>
      <c r="E5881" s="326"/>
      <c r="F5881" s="326"/>
      <c r="G5881" s="326"/>
      <c r="H5881" s="326"/>
      <c r="P5881" s="318"/>
      <c r="Q5881" s="318"/>
      <c r="R5881" s="318"/>
      <c r="S5881" s="318"/>
      <c r="T5881" s="318"/>
      <c r="U5881" s="318"/>
      <c r="V5881" s="318"/>
      <c r="W5881" s="318"/>
      <c r="X5881" s="318"/>
      <c r="Y5881" s="318"/>
      <c r="Z5881" s="318"/>
      <c r="AA5881" s="318"/>
      <c r="AB5881" s="318"/>
      <c r="AC5881" s="318"/>
      <c r="AD5881" s="318"/>
    </row>
    <row r="5882" spans="2:30" s="323" customFormat="1" ht="12" customHeight="1">
      <c r="B5882" s="324"/>
      <c r="C5882" s="325"/>
      <c r="D5882" s="326"/>
      <c r="E5882" s="326"/>
      <c r="F5882" s="326"/>
      <c r="G5882" s="326"/>
      <c r="H5882" s="326"/>
      <c r="P5882" s="318"/>
      <c r="Q5882" s="318"/>
      <c r="R5882" s="318"/>
      <c r="S5882" s="318"/>
      <c r="T5882" s="318"/>
      <c r="U5882" s="318"/>
      <c r="V5882" s="318"/>
      <c r="W5882" s="318"/>
      <c r="X5882" s="318"/>
      <c r="Y5882" s="318"/>
      <c r="Z5882" s="318"/>
      <c r="AA5882" s="318"/>
      <c r="AB5882" s="318"/>
      <c r="AC5882" s="318"/>
      <c r="AD5882" s="318"/>
    </row>
    <row r="5883" spans="2:30" s="323" customFormat="1" ht="12" customHeight="1">
      <c r="B5883" s="324"/>
      <c r="C5883" s="325"/>
      <c r="D5883" s="326"/>
      <c r="E5883" s="326"/>
      <c r="F5883" s="326"/>
      <c r="G5883" s="326"/>
      <c r="H5883" s="326"/>
      <c r="P5883" s="318"/>
      <c r="Q5883" s="318"/>
      <c r="R5883" s="318"/>
      <c r="S5883" s="318"/>
      <c r="T5883" s="318"/>
      <c r="U5883" s="318"/>
      <c r="V5883" s="318"/>
      <c r="W5883" s="318"/>
      <c r="X5883" s="318"/>
      <c r="Y5883" s="318"/>
      <c r="Z5883" s="318"/>
      <c r="AA5883" s="318"/>
      <c r="AB5883" s="318"/>
      <c r="AC5883" s="318"/>
      <c r="AD5883" s="318"/>
    </row>
    <row r="5884" spans="2:30" s="323" customFormat="1" ht="12" customHeight="1">
      <c r="B5884" s="324"/>
      <c r="C5884" s="325"/>
      <c r="D5884" s="326"/>
      <c r="E5884" s="326"/>
      <c r="F5884" s="326"/>
      <c r="G5884" s="326"/>
      <c r="H5884" s="326"/>
      <c r="P5884" s="318"/>
      <c r="Q5884" s="318"/>
      <c r="R5884" s="318"/>
      <c r="S5884" s="318"/>
      <c r="T5884" s="318"/>
      <c r="U5884" s="318"/>
      <c r="V5884" s="318"/>
      <c r="W5884" s="318"/>
      <c r="X5884" s="318"/>
      <c r="Y5884" s="318"/>
      <c r="Z5884" s="318"/>
      <c r="AA5884" s="318"/>
      <c r="AB5884" s="318"/>
      <c r="AC5884" s="318"/>
      <c r="AD5884" s="318"/>
    </row>
    <row r="5885" spans="2:30" s="323" customFormat="1" ht="12" customHeight="1">
      <c r="B5885" s="324"/>
      <c r="C5885" s="325"/>
      <c r="D5885" s="326"/>
      <c r="E5885" s="326"/>
      <c r="F5885" s="326"/>
      <c r="G5885" s="326"/>
      <c r="H5885" s="326"/>
      <c r="P5885" s="318"/>
      <c r="Q5885" s="318"/>
      <c r="R5885" s="318"/>
      <c r="S5885" s="318"/>
      <c r="T5885" s="318"/>
      <c r="U5885" s="318"/>
      <c r="V5885" s="318"/>
      <c r="W5885" s="318"/>
      <c r="X5885" s="318"/>
      <c r="Y5885" s="318"/>
      <c r="Z5885" s="318"/>
      <c r="AA5885" s="318"/>
      <c r="AB5885" s="318"/>
      <c r="AC5885" s="318"/>
      <c r="AD5885" s="318"/>
    </row>
    <row r="5886" spans="2:30" s="323" customFormat="1" ht="12" customHeight="1">
      <c r="B5886" s="324"/>
      <c r="C5886" s="325"/>
      <c r="D5886" s="326"/>
      <c r="E5886" s="326"/>
      <c r="F5886" s="326"/>
      <c r="G5886" s="326"/>
      <c r="H5886" s="326"/>
      <c r="P5886" s="318"/>
      <c r="Q5886" s="318"/>
      <c r="R5886" s="318"/>
      <c r="S5886" s="318"/>
      <c r="T5886" s="318"/>
      <c r="U5886" s="318"/>
      <c r="V5886" s="318"/>
      <c r="W5886" s="318"/>
      <c r="X5886" s="318"/>
      <c r="Y5886" s="318"/>
      <c r="Z5886" s="318"/>
      <c r="AA5886" s="318"/>
      <c r="AB5886" s="318"/>
      <c r="AC5886" s="318"/>
      <c r="AD5886" s="318"/>
    </row>
    <row r="5887" spans="2:30" s="323" customFormat="1" ht="12" customHeight="1">
      <c r="B5887" s="324"/>
      <c r="C5887" s="325"/>
      <c r="D5887" s="326"/>
      <c r="E5887" s="326"/>
      <c r="F5887" s="326"/>
      <c r="G5887" s="326"/>
      <c r="H5887" s="326"/>
      <c r="P5887" s="318"/>
      <c r="Q5887" s="318"/>
      <c r="R5887" s="318"/>
      <c r="S5887" s="318"/>
      <c r="T5887" s="318"/>
      <c r="U5887" s="318"/>
      <c r="V5887" s="318"/>
      <c r="W5887" s="318"/>
      <c r="X5887" s="318"/>
      <c r="Y5887" s="318"/>
      <c r="Z5887" s="318"/>
      <c r="AA5887" s="318"/>
      <c r="AB5887" s="318"/>
      <c r="AC5887" s="318"/>
      <c r="AD5887" s="318"/>
    </row>
    <row r="5888" spans="2:30" s="323" customFormat="1" ht="12" customHeight="1">
      <c r="B5888" s="324"/>
      <c r="C5888" s="325"/>
      <c r="D5888" s="326"/>
      <c r="E5888" s="326"/>
      <c r="F5888" s="326"/>
      <c r="G5888" s="326"/>
      <c r="H5888" s="326"/>
      <c r="P5888" s="318"/>
      <c r="Q5888" s="318"/>
      <c r="R5888" s="318"/>
      <c r="S5888" s="318"/>
      <c r="T5888" s="318"/>
      <c r="U5888" s="318"/>
      <c r="V5888" s="318"/>
      <c r="W5888" s="318"/>
      <c r="X5888" s="318"/>
      <c r="Y5888" s="318"/>
      <c r="Z5888" s="318"/>
      <c r="AA5888" s="318"/>
      <c r="AB5888" s="318"/>
      <c r="AC5888" s="318"/>
      <c r="AD5888" s="318"/>
    </row>
    <row r="5889" spans="2:30" s="323" customFormat="1" ht="12" customHeight="1">
      <c r="B5889" s="324"/>
      <c r="C5889" s="325"/>
      <c r="D5889" s="326"/>
      <c r="E5889" s="326"/>
      <c r="F5889" s="326"/>
      <c r="G5889" s="326"/>
      <c r="H5889" s="326"/>
      <c r="P5889" s="318"/>
      <c r="Q5889" s="318"/>
      <c r="R5889" s="318"/>
      <c r="S5889" s="318"/>
      <c r="T5889" s="318"/>
      <c r="U5889" s="318"/>
      <c r="V5889" s="318"/>
      <c r="W5889" s="318"/>
      <c r="X5889" s="318"/>
      <c r="Y5889" s="318"/>
      <c r="Z5889" s="318"/>
      <c r="AA5889" s="318"/>
      <c r="AB5889" s="318"/>
      <c r="AC5889" s="318"/>
      <c r="AD5889" s="318"/>
    </row>
    <row r="5890" spans="2:30" s="323" customFormat="1" ht="12" customHeight="1">
      <c r="B5890" s="324"/>
      <c r="C5890" s="325"/>
      <c r="D5890" s="326"/>
      <c r="E5890" s="326"/>
      <c r="F5890" s="326"/>
      <c r="G5890" s="326"/>
      <c r="H5890" s="326"/>
      <c r="P5890" s="318"/>
      <c r="Q5890" s="318"/>
      <c r="R5890" s="318"/>
      <c r="S5890" s="318"/>
      <c r="T5890" s="318"/>
      <c r="U5890" s="318"/>
      <c r="V5890" s="318"/>
      <c r="W5890" s="318"/>
      <c r="X5890" s="318"/>
      <c r="Y5890" s="318"/>
      <c r="Z5890" s="318"/>
      <c r="AA5890" s="318"/>
      <c r="AB5890" s="318"/>
      <c r="AC5890" s="318"/>
      <c r="AD5890" s="318"/>
    </row>
    <row r="5891" spans="2:30" s="323" customFormat="1" ht="12" customHeight="1">
      <c r="B5891" s="324"/>
      <c r="C5891" s="325"/>
      <c r="D5891" s="326"/>
      <c r="E5891" s="326"/>
      <c r="F5891" s="326"/>
      <c r="G5891" s="326"/>
      <c r="H5891" s="326"/>
      <c r="P5891" s="318"/>
      <c r="Q5891" s="318"/>
      <c r="R5891" s="318"/>
      <c r="S5891" s="318"/>
      <c r="T5891" s="318"/>
      <c r="U5891" s="318"/>
      <c r="V5891" s="318"/>
      <c r="W5891" s="318"/>
      <c r="X5891" s="318"/>
      <c r="Y5891" s="318"/>
      <c r="Z5891" s="318"/>
      <c r="AA5891" s="318"/>
      <c r="AB5891" s="318"/>
      <c r="AC5891" s="318"/>
      <c r="AD5891" s="318"/>
    </row>
    <row r="5892" spans="2:30" s="323" customFormat="1" ht="12" customHeight="1">
      <c r="B5892" s="324"/>
      <c r="C5892" s="325"/>
      <c r="D5892" s="326"/>
      <c r="E5892" s="326"/>
      <c r="F5892" s="326"/>
      <c r="G5892" s="326"/>
      <c r="H5892" s="326"/>
      <c r="P5892" s="318"/>
      <c r="Q5892" s="318"/>
      <c r="R5892" s="318"/>
      <c r="S5892" s="318"/>
      <c r="T5892" s="318"/>
      <c r="U5892" s="318"/>
      <c r="V5892" s="318"/>
      <c r="W5892" s="318"/>
      <c r="X5892" s="318"/>
      <c r="Y5892" s="318"/>
      <c r="Z5892" s="318"/>
      <c r="AA5892" s="318"/>
      <c r="AB5892" s="318"/>
      <c r="AC5892" s="318"/>
      <c r="AD5892" s="318"/>
    </row>
    <row r="5893" spans="2:30" s="323" customFormat="1" ht="12" customHeight="1">
      <c r="B5893" s="324"/>
      <c r="C5893" s="325"/>
      <c r="D5893" s="326"/>
      <c r="E5893" s="326"/>
      <c r="F5893" s="326"/>
      <c r="G5893" s="326"/>
      <c r="H5893" s="326"/>
      <c r="P5893" s="318"/>
      <c r="Q5893" s="318"/>
      <c r="R5893" s="318"/>
      <c r="S5893" s="318"/>
      <c r="T5893" s="318"/>
      <c r="U5893" s="318"/>
      <c r="V5893" s="318"/>
      <c r="W5893" s="318"/>
      <c r="X5893" s="318"/>
      <c r="Y5893" s="318"/>
      <c r="Z5893" s="318"/>
      <c r="AA5893" s="318"/>
      <c r="AB5893" s="318"/>
      <c r="AC5893" s="318"/>
      <c r="AD5893" s="318"/>
    </row>
    <row r="5894" spans="2:30" s="323" customFormat="1" ht="12" customHeight="1">
      <c r="B5894" s="324"/>
      <c r="C5894" s="325"/>
      <c r="D5894" s="326"/>
      <c r="E5894" s="326"/>
      <c r="F5894" s="326"/>
      <c r="G5894" s="326"/>
      <c r="H5894" s="326"/>
      <c r="P5894" s="318"/>
      <c r="Q5894" s="318"/>
      <c r="R5894" s="318"/>
      <c r="S5894" s="318"/>
      <c r="T5894" s="318"/>
      <c r="U5894" s="318"/>
      <c r="V5894" s="318"/>
      <c r="W5894" s="318"/>
      <c r="X5894" s="318"/>
      <c r="Y5894" s="318"/>
      <c r="Z5894" s="318"/>
      <c r="AA5894" s="318"/>
      <c r="AB5894" s="318"/>
      <c r="AC5894" s="318"/>
      <c r="AD5894" s="318"/>
    </row>
    <row r="5895" spans="2:30" s="323" customFormat="1" ht="12" customHeight="1">
      <c r="B5895" s="324"/>
      <c r="C5895" s="325"/>
      <c r="D5895" s="326"/>
      <c r="E5895" s="326"/>
      <c r="F5895" s="326"/>
      <c r="G5895" s="326"/>
      <c r="H5895" s="326"/>
      <c r="P5895" s="318"/>
      <c r="Q5895" s="318"/>
      <c r="R5895" s="318"/>
      <c r="S5895" s="318"/>
      <c r="T5895" s="318"/>
      <c r="U5895" s="318"/>
      <c r="V5895" s="318"/>
      <c r="W5895" s="318"/>
      <c r="X5895" s="318"/>
      <c r="Y5895" s="318"/>
      <c r="Z5895" s="318"/>
      <c r="AA5895" s="318"/>
      <c r="AB5895" s="318"/>
      <c r="AC5895" s="318"/>
      <c r="AD5895" s="318"/>
    </row>
    <row r="5896" spans="2:30" s="323" customFormat="1" ht="12" customHeight="1">
      <c r="B5896" s="324"/>
      <c r="C5896" s="325"/>
      <c r="D5896" s="326"/>
      <c r="E5896" s="326"/>
      <c r="F5896" s="326"/>
      <c r="G5896" s="326"/>
      <c r="H5896" s="326"/>
      <c r="P5896" s="318"/>
      <c r="Q5896" s="318"/>
      <c r="R5896" s="318"/>
      <c r="S5896" s="318"/>
      <c r="T5896" s="318"/>
      <c r="U5896" s="318"/>
      <c r="V5896" s="318"/>
      <c r="W5896" s="318"/>
      <c r="X5896" s="318"/>
      <c r="Y5896" s="318"/>
      <c r="Z5896" s="318"/>
      <c r="AA5896" s="318"/>
      <c r="AB5896" s="318"/>
      <c r="AC5896" s="318"/>
      <c r="AD5896" s="318"/>
    </row>
    <row r="5897" spans="2:30" s="323" customFormat="1" ht="12" customHeight="1">
      <c r="B5897" s="324"/>
      <c r="C5897" s="325"/>
      <c r="D5897" s="326"/>
      <c r="E5897" s="326"/>
      <c r="F5897" s="326"/>
      <c r="G5897" s="326"/>
      <c r="H5897" s="326"/>
      <c r="P5897" s="318"/>
      <c r="Q5897" s="318"/>
      <c r="R5897" s="318"/>
      <c r="S5897" s="318"/>
      <c r="T5897" s="318"/>
      <c r="U5897" s="318"/>
      <c r="V5897" s="318"/>
      <c r="W5897" s="318"/>
      <c r="X5897" s="318"/>
      <c r="Y5897" s="318"/>
      <c r="Z5897" s="318"/>
      <c r="AA5897" s="318"/>
      <c r="AB5897" s="318"/>
      <c r="AC5897" s="318"/>
      <c r="AD5897" s="318"/>
    </row>
    <row r="5898" spans="2:30" s="323" customFormat="1" ht="12" customHeight="1">
      <c r="B5898" s="324"/>
      <c r="C5898" s="325"/>
      <c r="D5898" s="326"/>
      <c r="E5898" s="326"/>
      <c r="F5898" s="326"/>
      <c r="G5898" s="326"/>
      <c r="H5898" s="326"/>
      <c r="P5898" s="318"/>
      <c r="Q5898" s="318"/>
      <c r="R5898" s="318"/>
      <c r="S5898" s="318"/>
      <c r="T5898" s="318"/>
      <c r="U5898" s="318"/>
      <c r="V5898" s="318"/>
      <c r="W5898" s="318"/>
      <c r="X5898" s="318"/>
      <c r="Y5898" s="318"/>
      <c r="Z5898" s="318"/>
      <c r="AA5898" s="318"/>
      <c r="AB5898" s="318"/>
      <c r="AC5898" s="318"/>
      <c r="AD5898" s="318"/>
    </row>
    <row r="5899" spans="2:30" s="323" customFormat="1" ht="12" customHeight="1">
      <c r="B5899" s="324"/>
      <c r="C5899" s="325"/>
      <c r="D5899" s="326"/>
      <c r="E5899" s="326"/>
      <c r="F5899" s="326"/>
      <c r="G5899" s="326"/>
      <c r="H5899" s="326"/>
      <c r="P5899" s="318"/>
      <c r="Q5899" s="318"/>
      <c r="R5899" s="318"/>
      <c r="S5899" s="318"/>
      <c r="T5899" s="318"/>
      <c r="U5899" s="318"/>
      <c r="V5899" s="318"/>
      <c r="W5899" s="318"/>
      <c r="X5899" s="318"/>
      <c r="Y5899" s="318"/>
      <c r="Z5899" s="318"/>
      <c r="AA5899" s="318"/>
      <c r="AB5899" s="318"/>
      <c r="AC5899" s="318"/>
      <c r="AD5899" s="318"/>
    </row>
    <row r="5900" spans="2:30" s="323" customFormat="1" ht="12" customHeight="1">
      <c r="B5900" s="324"/>
      <c r="C5900" s="325"/>
      <c r="D5900" s="326"/>
      <c r="E5900" s="326"/>
      <c r="F5900" s="326"/>
      <c r="G5900" s="326"/>
      <c r="H5900" s="326"/>
      <c r="P5900" s="318"/>
      <c r="Q5900" s="318"/>
      <c r="R5900" s="318"/>
      <c r="S5900" s="318"/>
      <c r="T5900" s="318"/>
      <c r="U5900" s="318"/>
      <c r="V5900" s="318"/>
      <c r="W5900" s="318"/>
      <c r="X5900" s="318"/>
      <c r="Y5900" s="318"/>
      <c r="Z5900" s="318"/>
      <c r="AA5900" s="318"/>
      <c r="AB5900" s="318"/>
      <c r="AC5900" s="318"/>
      <c r="AD5900" s="318"/>
    </row>
    <row r="5901" spans="2:30" s="323" customFormat="1" ht="12" customHeight="1">
      <c r="B5901" s="324"/>
      <c r="C5901" s="325"/>
      <c r="D5901" s="326"/>
      <c r="E5901" s="326"/>
      <c r="F5901" s="326"/>
      <c r="G5901" s="326"/>
      <c r="H5901" s="326"/>
      <c r="P5901" s="318"/>
      <c r="Q5901" s="318"/>
      <c r="R5901" s="318"/>
      <c r="S5901" s="318"/>
      <c r="T5901" s="318"/>
      <c r="U5901" s="318"/>
      <c r="V5901" s="318"/>
      <c r="W5901" s="318"/>
      <c r="X5901" s="318"/>
      <c r="Y5901" s="318"/>
      <c r="Z5901" s="318"/>
      <c r="AA5901" s="318"/>
      <c r="AB5901" s="318"/>
      <c r="AC5901" s="318"/>
      <c r="AD5901" s="318"/>
    </row>
    <row r="5902" spans="2:30" s="323" customFormat="1" ht="12" customHeight="1">
      <c r="B5902" s="324"/>
      <c r="C5902" s="325"/>
      <c r="D5902" s="326"/>
      <c r="E5902" s="326"/>
      <c r="F5902" s="326"/>
      <c r="G5902" s="326"/>
      <c r="H5902" s="326"/>
      <c r="P5902" s="318"/>
      <c r="Q5902" s="318"/>
      <c r="R5902" s="318"/>
      <c r="S5902" s="318"/>
      <c r="T5902" s="318"/>
      <c r="U5902" s="318"/>
      <c r="V5902" s="318"/>
      <c r="W5902" s="318"/>
      <c r="X5902" s="318"/>
      <c r="Y5902" s="318"/>
      <c r="Z5902" s="318"/>
      <c r="AA5902" s="318"/>
      <c r="AB5902" s="318"/>
      <c r="AC5902" s="318"/>
      <c r="AD5902" s="318"/>
    </row>
    <row r="5903" spans="2:30" s="323" customFormat="1" ht="12" customHeight="1">
      <c r="B5903" s="324"/>
      <c r="C5903" s="325"/>
      <c r="D5903" s="326"/>
      <c r="E5903" s="326"/>
      <c r="F5903" s="326"/>
      <c r="G5903" s="326"/>
      <c r="H5903" s="326"/>
      <c r="P5903" s="318"/>
      <c r="Q5903" s="318"/>
      <c r="R5903" s="318"/>
      <c r="S5903" s="318"/>
      <c r="T5903" s="318"/>
      <c r="U5903" s="318"/>
      <c r="V5903" s="318"/>
      <c r="W5903" s="318"/>
      <c r="X5903" s="318"/>
      <c r="Y5903" s="318"/>
      <c r="Z5903" s="318"/>
      <c r="AA5903" s="318"/>
      <c r="AB5903" s="318"/>
      <c r="AC5903" s="318"/>
      <c r="AD5903" s="318"/>
    </row>
    <row r="5904" spans="2:30" s="323" customFormat="1" ht="12" customHeight="1">
      <c r="B5904" s="324"/>
      <c r="C5904" s="325"/>
      <c r="D5904" s="326"/>
      <c r="E5904" s="326"/>
      <c r="F5904" s="326"/>
      <c r="G5904" s="326"/>
      <c r="H5904" s="326"/>
      <c r="P5904" s="318"/>
      <c r="Q5904" s="318"/>
      <c r="R5904" s="318"/>
      <c r="S5904" s="318"/>
      <c r="T5904" s="318"/>
      <c r="U5904" s="318"/>
      <c r="V5904" s="318"/>
      <c r="W5904" s="318"/>
      <c r="X5904" s="318"/>
      <c r="Y5904" s="318"/>
      <c r="Z5904" s="318"/>
      <c r="AA5904" s="318"/>
      <c r="AB5904" s="318"/>
      <c r="AC5904" s="318"/>
      <c r="AD5904" s="318"/>
    </row>
    <row r="5905" spans="2:30" s="323" customFormat="1" ht="12" customHeight="1">
      <c r="B5905" s="324"/>
      <c r="C5905" s="325"/>
      <c r="D5905" s="326"/>
      <c r="E5905" s="326"/>
      <c r="F5905" s="326"/>
      <c r="G5905" s="326"/>
      <c r="H5905" s="326"/>
      <c r="P5905" s="318"/>
      <c r="Q5905" s="318"/>
      <c r="R5905" s="318"/>
      <c r="S5905" s="318"/>
      <c r="T5905" s="318"/>
      <c r="U5905" s="318"/>
      <c r="V5905" s="318"/>
      <c r="W5905" s="318"/>
      <c r="X5905" s="318"/>
      <c r="Y5905" s="318"/>
      <c r="Z5905" s="318"/>
      <c r="AA5905" s="318"/>
      <c r="AB5905" s="318"/>
      <c r="AC5905" s="318"/>
      <c r="AD5905" s="318"/>
    </row>
    <row r="5906" spans="2:30" s="323" customFormat="1" ht="12" customHeight="1">
      <c r="B5906" s="324"/>
      <c r="C5906" s="325"/>
      <c r="D5906" s="326"/>
      <c r="E5906" s="326"/>
      <c r="F5906" s="326"/>
      <c r="G5906" s="326"/>
      <c r="H5906" s="326"/>
      <c r="P5906" s="318"/>
      <c r="Q5906" s="318"/>
      <c r="R5906" s="318"/>
      <c r="S5906" s="318"/>
      <c r="T5906" s="318"/>
      <c r="U5906" s="318"/>
      <c r="V5906" s="318"/>
      <c r="W5906" s="318"/>
      <c r="X5906" s="318"/>
      <c r="Y5906" s="318"/>
      <c r="Z5906" s="318"/>
      <c r="AA5906" s="318"/>
      <c r="AB5906" s="318"/>
      <c r="AC5906" s="318"/>
      <c r="AD5906" s="318"/>
    </row>
    <row r="5907" spans="2:30" s="323" customFormat="1" ht="12" customHeight="1">
      <c r="B5907" s="324"/>
      <c r="C5907" s="325"/>
      <c r="D5907" s="326"/>
      <c r="E5907" s="326"/>
      <c r="F5907" s="326"/>
      <c r="G5907" s="326"/>
      <c r="H5907" s="326"/>
      <c r="P5907" s="318"/>
      <c r="Q5907" s="318"/>
      <c r="R5907" s="318"/>
      <c r="S5907" s="318"/>
      <c r="T5907" s="318"/>
      <c r="U5907" s="318"/>
      <c r="V5907" s="318"/>
      <c r="W5907" s="318"/>
      <c r="X5907" s="318"/>
      <c r="Y5907" s="318"/>
      <c r="Z5907" s="318"/>
      <c r="AA5907" s="318"/>
      <c r="AB5907" s="318"/>
      <c r="AC5907" s="318"/>
      <c r="AD5907" s="318"/>
    </row>
    <row r="5908" spans="2:30" s="323" customFormat="1" ht="12" customHeight="1">
      <c r="B5908" s="324"/>
      <c r="C5908" s="325"/>
      <c r="D5908" s="326"/>
      <c r="E5908" s="326"/>
      <c r="F5908" s="326"/>
      <c r="G5908" s="326"/>
      <c r="H5908" s="326"/>
      <c r="P5908" s="318"/>
      <c r="Q5908" s="318"/>
      <c r="R5908" s="318"/>
      <c r="S5908" s="318"/>
      <c r="T5908" s="318"/>
      <c r="U5908" s="318"/>
      <c r="V5908" s="318"/>
      <c r="W5908" s="318"/>
      <c r="X5908" s="318"/>
      <c r="Y5908" s="318"/>
      <c r="Z5908" s="318"/>
      <c r="AA5908" s="318"/>
      <c r="AB5908" s="318"/>
      <c r="AC5908" s="318"/>
      <c r="AD5908" s="318"/>
    </row>
    <row r="5909" spans="2:30" s="323" customFormat="1" ht="12" customHeight="1">
      <c r="B5909" s="324"/>
      <c r="C5909" s="325"/>
      <c r="D5909" s="326"/>
      <c r="E5909" s="326"/>
      <c r="F5909" s="326"/>
      <c r="G5909" s="326"/>
      <c r="H5909" s="326"/>
      <c r="P5909" s="318"/>
      <c r="Q5909" s="318"/>
      <c r="R5909" s="318"/>
      <c r="S5909" s="318"/>
      <c r="T5909" s="318"/>
      <c r="U5909" s="318"/>
      <c r="V5909" s="318"/>
      <c r="W5909" s="318"/>
      <c r="X5909" s="318"/>
      <c r="Y5909" s="318"/>
      <c r="Z5909" s="318"/>
      <c r="AA5909" s="318"/>
      <c r="AB5909" s="318"/>
      <c r="AC5909" s="318"/>
      <c r="AD5909" s="318"/>
    </row>
    <row r="5910" spans="2:30" s="323" customFormat="1" ht="12" customHeight="1">
      <c r="B5910" s="324"/>
      <c r="C5910" s="325"/>
      <c r="D5910" s="326"/>
      <c r="E5910" s="326"/>
      <c r="F5910" s="326"/>
      <c r="G5910" s="326"/>
      <c r="H5910" s="326"/>
      <c r="P5910" s="318"/>
      <c r="Q5910" s="318"/>
      <c r="R5910" s="318"/>
      <c r="S5910" s="318"/>
      <c r="T5910" s="318"/>
      <c r="U5910" s="318"/>
      <c r="V5910" s="318"/>
      <c r="W5910" s="318"/>
      <c r="X5910" s="318"/>
      <c r="Y5910" s="318"/>
      <c r="Z5910" s="318"/>
      <c r="AA5910" s="318"/>
      <c r="AB5910" s="318"/>
      <c r="AC5910" s="318"/>
      <c r="AD5910" s="318"/>
    </row>
    <row r="5911" spans="2:30" s="323" customFormat="1" ht="12" customHeight="1">
      <c r="B5911" s="324"/>
      <c r="C5911" s="325"/>
      <c r="D5911" s="326"/>
      <c r="E5911" s="326"/>
      <c r="F5911" s="326"/>
      <c r="G5911" s="326"/>
      <c r="H5911" s="326"/>
      <c r="P5911" s="318"/>
      <c r="Q5911" s="318"/>
      <c r="R5911" s="318"/>
      <c r="S5911" s="318"/>
      <c r="T5911" s="318"/>
      <c r="U5911" s="318"/>
      <c r="V5911" s="318"/>
      <c r="W5911" s="318"/>
      <c r="X5911" s="318"/>
      <c r="Y5911" s="318"/>
      <c r="Z5911" s="318"/>
      <c r="AA5911" s="318"/>
      <c r="AB5911" s="318"/>
      <c r="AC5911" s="318"/>
      <c r="AD5911" s="318"/>
    </row>
    <row r="5912" spans="2:30" s="323" customFormat="1" ht="12" customHeight="1">
      <c r="B5912" s="324"/>
      <c r="C5912" s="325"/>
      <c r="D5912" s="326"/>
      <c r="E5912" s="326"/>
      <c r="F5912" s="326"/>
      <c r="G5912" s="326"/>
      <c r="H5912" s="326"/>
      <c r="P5912" s="318"/>
      <c r="Q5912" s="318"/>
      <c r="R5912" s="318"/>
      <c r="S5912" s="318"/>
      <c r="T5912" s="318"/>
      <c r="U5912" s="318"/>
      <c r="V5912" s="318"/>
      <c r="W5912" s="318"/>
      <c r="X5912" s="318"/>
      <c r="Y5912" s="318"/>
      <c r="Z5912" s="318"/>
      <c r="AA5912" s="318"/>
      <c r="AB5912" s="318"/>
      <c r="AC5912" s="318"/>
      <c r="AD5912" s="318"/>
    </row>
    <row r="5913" spans="2:30" s="323" customFormat="1" ht="12" customHeight="1">
      <c r="B5913" s="324"/>
      <c r="C5913" s="325"/>
      <c r="D5913" s="326"/>
      <c r="E5913" s="326"/>
      <c r="F5913" s="326"/>
      <c r="G5913" s="326"/>
      <c r="H5913" s="326"/>
      <c r="P5913" s="318"/>
      <c r="Q5913" s="318"/>
      <c r="R5913" s="318"/>
      <c r="S5913" s="318"/>
      <c r="T5913" s="318"/>
      <c r="U5913" s="318"/>
      <c r="V5913" s="318"/>
      <c r="W5913" s="318"/>
      <c r="X5913" s="318"/>
      <c r="Y5913" s="318"/>
      <c r="Z5913" s="318"/>
      <c r="AA5913" s="318"/>
      <c r="AB5913" s="318"/>
      <c r="AC5913" s="318"/>
      <c r="AD5913" s="318"/>
    </row>
    <row r="5914" spans="2:30" s="323" customFormat="1" ht="12" customHeight="1">
      <c r="B5914" s="324"/>
      <c r="C5914" s="325"/>
      <c r="D5914" s="326"/>
      <c r="E5914" s="326"/>
      <c r="F5914" s="326"/>
      <c r="G5914" s="326"/>
      <c r="H5914" s="326"/>
      <c r="P5914" s="318"/>
      <c r="Q5914" s="318"/>
      <c r="R5914" s="318"/>
      <c r="S5914" s="318"/>
      <c r="T5914" s="318"/>
      <c r="U5914" s="318"/>
      <c r="V5914" s="318"/>
      <c r="W5914" s="318"/>
      <c r="X5914" s="318"/>
      <c r="Y5914" s="318"/>
      <c r="Z5914" s="318"/>
      <c r="AA5914" s="318"/>
      <c r="AB5914" s="318"/>
      <c r="AC5914" s="318"/>
      <c r="AD5914" s="318"/>
    </row>
    <row r="5915" spans="2:30" s="323" customFormat="1" ht="12" customHeight="1">
      <c r="B5915" s="324"/>
      <c r="C5915" s="325"/>
      <c r="D5915" s="326"/>
      <c r="E5915" s="326"/>
      <c r="F5915" s="326"/>
      <c r="G5915" s="326"/>
      <c r="H5915" s="326"/>
      <c r="P5915" s="318"/>
      <c r="Q5915" s="318"/>
      <c r="R5915" s="318"/>
      <c r="S5915" s="318"/>
      <c r="T5915" s="318"/>
      <c r="U5915" s="318"/>
      <c r="V5915" s="318"/>
      <c r="W5915" s="318"/>
      <c r="X5915" s="318"/>
      <c r="Y5915" s="318"/>
      <c r="Z5915" s="318"/>
      <c r="AA5915" s="318"/>
      <c r="AB5915" s="318"/>
      <c r="AC5915" s="318"/>
      <c r="AD5915" s="318"/>
    </row>
    <row r="5916" spans="2:30" s="323" customFormat="1" ht="12" customHeight="1">
      <c r="B5916" s="324"/>
      <c r="C5916" s="325"/>
      <c r="D5916" s="326"/>
      <c r="E5916" s="326"/>
      <c r="F5916" s="326"/>
      <c r="G5916" s="326"/>
      <c r="H5916" s="326"/>
      <c r="P5916" s="318"/>
      <c r="Q5916" s="318"/>
      <c r="R5916" s="318"/>
      <c r="S5916" s="318"/>
      <c r="T5916" s="318"/>
      <c r="U5916" s="318"/>
      <c r="V5916" s="318"/>
      <c r="W5916" s="318"/>
      <c r="X5916" s="318"/>
      <c r="Y5916" s="318"/>
      <c r="Z5916" s="318"/>
      <c r="AA5916" s="318"/>
      <c r="AB5916" s="318"/>
      <c r="AC5916" s="318"/>
      <c r="AD5916" s="318"/>
    </row>
    <row r="5917" spans="2:30" s="323" customFormat="1" ht="12" customHeight="1">
      <c r="B5917" s="324"/>
      <c r="C5917" s="325"/>
      <c r="D5917" s="326"/>
      <c r="E5917" s="326"/>
      <c r="F5917" s="326"/>
      <c r="G5917" s="326"/>
      <c r="H5917" s="326"/>
      <c r="P5917" s="318"/>
      <c r="Q5917" s="318"/>
      <c r="R5917" s="318"/>
      <c r="S5917" s="318"/>
      <c r="T5917" s="318"/>
      <c r="U5917" s="318"/>
      <c r="V5917" s="318"/>
      <c r="W5917" s="318"/>
      <c r="X5917" s="318"/>
      <c r="Y5917" s="318"/>
      <c r="Z5917" s="318"/>
      <c r="AA5917" s="318"/>
      <c r="AB5917" s="318"/>
      <c r="AC5917" s="318"/>
      <c r="AD5917" s="318"/>
    </row>
    <row r="5918" spans="2:30" s="323" customFormat="1" ht="12" customHeight="1">
      <c r="B5918" s="324"/>
      <c r="C5918" s="325"/>
      <c r="D5918" s="326"/>
      <c r="E5918" s="326"/>
      <c r="F5918" s="326"/>
      <c r="G5918" s="326"/>
      <c r="H5918" s="326"/>
      <c r="P5918" s="318"/>
      <c r="Q5918" s="318"/>
      <c r="R5918" s="318"/>
      <c r="S5918" s="318"/>
      <c r="T5918" s="318"/>
      <c r="U5918" s="318"/>
      <c r="V5918" s="318"/>
      <c r="W5918" s="318"/>
      <c r="X5918" s="318"/>
      <c r="Y5918" s="318"/>
      <c r="Z5918" s="318"/>
      <c r="AA5918" s="318"/>
      <c r="AB5918" s="318"/>
      <c r="AC5918" s="318"/>
      <c r="AD5918" s="318"/>
    </row>
    <row r="5919" spans="2:30" s="323" customFormat="1" ht="12" customHeight="1">
      <c r="B5919" s="324"/>
      <c r="C5919" s="325"/>
      <c r="D5919" s="326"/>
      <c r="E5919" s="326"/>
      <c r="F5919" s="326"/>
      <c r="G5919" s="326"/>
      <c r="H5919" s="326"/>
      <c r="P5919" s="318"/>
      <c r="Q5919" s="318"/>
      <c r="R5919" s="318"/>
      <c r="S5919" s="318"/>
      <c r="T5919" s="318"/>
      <c r="U5919" s="318"/>
      <c r="V5919" s="318"/>
      <c r="W5919" s="318"/>
      <c r="X5919" s="318"/>
      <c r="Y5919" s="318"/>
      <c r="Z5919" s="318"/>
      <c r="AA5919" s="318"/>
      <c r="AB5919" s="318"/>
      <c r="AC5919" s="318"/>
      <c r="AD5919" s="318"/>
    </row>
    <row r="5920" spans="2:30" s="323" customFormat="1" ht="12" customHeight="1">
      <c r="B5920" s="324"/>
      <c r="C5920" s="325"/>
      <c r="D5920" s="326"/>
      <c r="E5920" s="326"/>
      <c r="F5920" s="326"/>
      <c r="G5920" s="326"/>
      <c r="H5920" s="326"/>
      <c r="P5920" s="318"/>
      <c r="Q5920" s="318"/>
      <c r="R5920" s="318"/>
      <c r="S5920" s="318"/>
      <c r="T5920" s="318"/>
      <c r="U5920" s="318"/>
      <c r="V5920" s="318"/>
      <c r="W5920" s="318"/>
      <c r="X5920" s="318"/>
      <c r="Y5920" s="318"/>
      <c r="Z5920" s="318"/>
      <c r="AA5920" s="318"/>
      <c r="AB5920" s="318"/>
      <c r="AC5920" s="318"/>
      <c r="AD5920" s="318"/>
    </row>
    <row r="5921" spans="2:30" s="323" customFormat="1" ht="12" customHeight="1">
      <c r="B5921" s="324"/>
      <c r="C5921" s="325"/>
      <c r="D5921" s="326"/>
      <c r="E5921" s="326"/>
      <c r="F5921" s="326"/>
      <c r="G5921" s="326"/>
      <c r="H5921" s="326"/>
      <c r="P5921" s="318"/>
      <c r="Q5921" s="318"/>
      <c r="R5921" s="318"/>
      <c r="S5921" s="318"/>
      <c r="T5921" s="318"/>
      <c r="U5921" s="318"/>
      <c r="V5921" s="318"/>
      <c r="W5921" s="318"/>
      <c r="X5921" s="318"/>
      <c r="Y5921" s="318"/>
      <c r="Z5921" s="318"/>
      <c r="AA5921" s="318"/>
      <c r="AB5921" s="318"/>
      <c r="AC5921" s="318"/>
      <c r="AD5921" s="318"/>
    </row>
    <row r="5922" spans="2:30" s="323" customFormat="1" ht="12" customHeight="1">
      <c r="B5922" s="324"/>
      <c r="C5922" s="325"/>
      <c r="D5922" s="326"/>
      <c r="E5922" s="326"/>
      <c r="F5922" s="326"/>
      <c r="G5922" s="326"/>
      <c r="H5922" s="326"/>
      <c r="P5922" s="318"/>
      <c r="Q5922" s="318"/>
      <c r="R5922" s="318"/>
      <c r="S5922" s="318"/>
      <c r="T5922" s="318"/>
      <c r="U5922" s="318"/>
      <c r="V5922" s="318"/>
      <c r="W5922" s="318"/>
      <c r="X5922" s="318"/>
      <c r="Y5922" s="318"/>
      <c r="Z5922" s="318"/>
      <c r="AA5922" s="318"/>
      <c r="AB5922" s="318"/>
      <c r="AC5922" s="318"/>
      <c r="AD5922" s="318"/>
    </row>
    <row r="5923" spans="2:30" s="323" customFormat="1" ht="12" customHeight="1">
      <c r="B5923" s="324"/>
      <c r="C5923" s="325"/>
      <c r="D5923" s="326"/>
      <c r="E5923" s="326"/>
      <c r="F5923" s="326"/>
      <c r="G5923" s="326"/>
      <c r="H5923" s="326"/>
      <c r="P5923" s="318"/>
      <c r="Q5923" s="318"/>
      <c r="R5923" s="318"/>
      <c r="S5923" s="318"/>
      <c r="T5923" s="318"/>
      <c r="U5923" s="318"/>
      <c r="V5923" s="318"/>
      <c r="W5923" s="318"/>
      <c r="X5923" s="318"/>
      <c r="Y5923" s="318"/>
      <c r="Z5923" s="318"/>
      <c r="AA5923" s="318"/>
      <c r="AB5923" s="318"/>
      <c r="AC5923" s="318"/>
      <c r="AD5923" s="318"/>
    </row>
    <row r="5924" spans="2:30" s="323" customFormat="1" ht="12" customHeight="1">
      <c r="B5924" s="324"/>
      <c r="C5924" s="325"/>
      <c r="D5924" s="326"/>
      <c r="E5924" s="326"/>
      <c r="F5924" s="326"/>
      <c r="G5924" s="326"/>
      <c r="H5924" s="326"/>
      <c r="P5924" s="318"/>
      <c r="Q5924" s="318"/>
      <c r="R5924" s="318"/>
      <c r="S5924" s="318"/>
      <c r="T5924" s="318"/>
      <c r="U5924" s="318"/>
      <c r="V5924" s="318"/>
      <c r="W5924" s="318"/>
      <c r="X5924" s="318"/>
      <c r="Y5924" s="318"/>
      <c r="Z5924" s="318"/>
      <c r="AA5924" s="318"/>
      <c r="AB5924" s="318"/>
      <c r="AC5924" s="318"/>
      <c r="AD5924" s="318"/>
    </row>
    <row r="5925" spans="2:30" s="323" customFormat="1" ht="12" customHeight="1">
      <c r="B5925" s="324"/>
      <c r="C5925" s="325"/>
      <c r="D5925" s="326"/>
      <c r="E5925" s="326"/>
      <c r="F5925" s="326"/>
      <c r="G5925" s="326"/>
      <c r="H5925" s="326"/>
      <c r="P5925" s="318"/>
      <c r="Q5925" s="318"/>
      <c r="R5925" s="318"/>
      <c r="S5925" s="318"/>
      <c r="T5925" s="318"/>
      <c r="U5925" s="318"/>
      <c r="V5925" s="318"/>
      <c r="W5925" s="318"/>
      <c r="X5925" s="318"/>
      <c r="Y5925" s="318"/>
      <c r="Z5925" s="318"/>
      <c r="AA5925" s="318"/>
      <c r="AB5925" s="318"/>
      <c r="AC5925" s="318"/>
      <c r="AD5925" s="318"/>
    </row>
    <row r="5926" spans="2:30" s="323" customFormat="1" ht="12" customHeight="1">
      <c r="B5926" s="324"/>
      <c r="C5926" s="325"/>
      <c r="D5926" s="326"/>
      <c r="E5926" s="326"/>
      <c r="F5926" s="326"/>
      <c r="G5926" s="326"/>
      <c r="H5926" s="326"/>
      <c r="P5926" s="318"/>
      <c r="Q5926" s="318"/>
      <c r="R5926" s="318"/>
      <c r="S5926" s="318"/>
      <c r="T5926" s="318"/>
      <c r="U5926" s="318"/>
      <c r="V5926" s="318"/>
      <c r="W5926" s="318"/>
      <c r="X5926" s="318"/>
      <c r="Y5926" s="318"/>
      <c r="Z5926" s="318"/>
      <c r="AA5926" s="318"/>
      <c r="AB5926" s="318"/>
      <c r="AC5926" s="318"/>
      <c r="AD5926" s="318"/>
    </row>
    <row r="5927" spans="2:30" s="323" customFormat="1" ht="12" customHeight="1">
      <c r="B5927" s="324"/>
      <c r="C5927" s="325"/>
      <c r="D5927" s="326"/>
      <c r="E5927" s="326"/>
      <c r="F5927" s="326"/>
      <c r="G5927" s="326"/>
      <c r="H5927" s="326"/>
      <c r="P5927" s="318"/>
      <c r="Q5927" s="318"/>
      <c r="R5927" s="318"/>
      <c r="S5927" s="318"/>
      <c r="T5927" s="318"/>
      <c r="U5927" s="318"/>
      <c r="V5927" s="318"/>
      <c r="W5927" s="318"/>
      <c r="X5927" s="318"/>
      <c r="Y5927" s="318"/>
      <c r="Z5927" s="318"/>
      <c r="AA5927" s="318"/>
      <c r="AB5927" s="318"/>
      <c r="AC5927" s="318"/>
      <c r="AD5927" s="318"/>
    </row>
    <row r="5928" spans="2:30" s="323" customFormat="1" ht="12" customHeight="1">
      <c r="B5928" s="324"/>
      <c r="C5928" s="325"/>
      <c r="D5928" s="326"/>
      <c r="E5928" s="326"/>
      <c r="F5928" s="326"/>
      <c r="G5928" s="326"/>
      <c r="H5928" s="326"/>
      <c r="P5928" s="318"/>
      <c r="Q5928" s="318"/>
      <c r="R5928" s="318"/>
      <c r="S5928" s="318"/>
      <c r="T5928" s="318"/>
      <c r="U5928" s="318"/>
      <c r="V5928" s="318"/>
      <c r="W5928" s="318"/>
      <c r="X5928" s="318"/>
      <c r="Y5928" s="318"/>
      <c r="Z5928" s="318"/>
      <c r="AA5928" s="318"/>
      <c r="AB5928" s="318"/>
      <c r="AC5928" s="318"/>
      <c r="AD5928" s="318"/>
    </row>
    <row r="5929" spans="2:30" s="323" customFormat="1" ht="12" customHeight="1">
      <c r="B5929" s="324"/>
      <c r="C5929" s="325"/>
      <c r="D5929" s="326"/>
      <c r="E5929" s="326"/>
      <c r="F5929" s="326"/>
      <c r="G5929" s="326"/>
      <c r="H5929" s="326"/>
      <c r="P5929" s="318"/>
      <c r="Q5929" s="318"/>
      <c r="R5929" s="318"/>
      <c r="S5929" s="318"/>
      <c r="T5929" s="318"/>
      <c r="U5929" s="318"/>
      <c r="V5929" s="318"/>
      <c r="W5929" s="318"/>
      <c r="X5929" s="318"/>
      <c r="Y5929" s="318"/>
      <c r="Z5929" s="318"/>
      <c r="AA5929" s="318"/>
      <c r="AB5929" s="318"/>
      <c r="AC5929" s="318"/>
      <c r="AD5929" s="318"/>
    </row>
    <row r="5930" spans="2:30" s="323" customFormat="1" ht="12" customHeight="1">
      <c r="B5930" s="324"/>
      <c r="C5930" s="325"/>
      <c r="D5930" s="326"/>
      <c r="E5930" s="326"/>
      <c r="F5930" s="326"/>
      <c r="G5930" s="326"/>
      <c r="H5930" s="326"/>
      <c r="P5930" s="318"/>
      <c r="Q5930" s="318"/>
      <c r="R5930" s="318"/>
      <c r="S5930" s="318"/>
      <c r="T5930" s="318"/>
      <c r="U5930" s="318"/>
      <c r="V5930" s="318"/>
      <c r="W5930" s="318"/>
      <c r="X5930" s="318"/>
      <c r="Y5930" s="318"/>
      <c r="Z5930" s="318"/>
      <c r="AA5930" s="318"/>
      <c r="AB5930" s="318"/>
      <c r="AC5930" s="318"/>
      <c r="AD5930" s="318"/>
    </row>
    <row r="5931" spans="2:30" s="323" customFormat="1" ht="12" customHeight="1">
      <c r="B5931" s="324"/>
      <c r="C5931" s="325"/>
      <c r="D5931" s="326"/>
      <c r="E5931" s="326"/>
      <c r="F5931" s="326"/>
      <c r="G5931" s="326"/>
      <c r="H5931" s="326"/>
      <c r="P5931" s="318"/>
      <c r="Q5931" s="318"/>
      <c r="R5931" s="318"/>
      <c r="S5931" s="318"/>
      <c r="T5931" s="318"/>
      <c r="U5931" s="318"/>
      <c r="V5931" s="318"/>
      <c r="W5931" s="318"/>
      <c r="X5931" s="318"/>
      <c r="Y5931" s="318"/>
      <c r="Z5931" s="318"/>
      <c r="AA5931" s="318"/>
      <c r="AB5931" s="318"/>
      <c r="AC5931" s="318"/>
      <c r="AD5931" s="318"/>
    </row>
    <row r="5932" spans="2:30" s="323" customFormat="1" ht="12" customHeight="1">
      <c r="B5932" s="324"/>
      <c r="C5932" s="325"/>
      <c r="D5932" s="326"/>
      <c r="E5932" s="326"/>
      <c r="F5932" s="326"/>
      <c r="G5932" s="326"/>
      <c r="H5932" s="326"/>
      <c r="P5932" s="318"/>
      <c r="Q5932" s="318"/>
      <c r="R5932" s="318"/>
      <c r="S5932" s="318"/>
      <c r="T5932" s="318"/>
      <c r="U5932" s="318"/>
      <c r="V5932" s="318"/>
      <c r="W5932" s="318"/>
      <c r="X5932" s="318"/>
      <c r="Y5932" s="318"/>
      <c r="Z5932" s="318"/>
      <c r="AA5932" s="318"/>
      <c r="AB5932" s="318"/>
      <c r="AC5932" s="318"/>
      <c r="AD5932" s="318"/>
    </row>
    <row r="5933" spans="2:30" s="323" customFormat="1" ht="12" customHeight="1">
      <c r="B5933" s="324"/>
      <c r="C5933" s="325"/>
      <c r="D5933" s="326"/>
      <c r="E5933" s="326"/>
      <c r="F5933" s="326"/>
      <c r="G5933" s="326"/>
      <c r="H5933" s="326"/>
      <c r="P5933" s="318"/>
      <c r="Q5933" s="318"/>
      <c r="R5933" s="318"/>
      <c r="S5933" s="318"/>
      <c r="T5933" s="318"/>
      <c r="U5933" s="318"/>
      <c r="V5933" s="318"/>
      <c r="W5933" s="318"/>
      <c r="X5933" s="318"/>
      <c r="Y5933" s="318"/>
      <c r="Z5933" s="318"/>
      <c r="AA5933" s="318"/>
      <c r="AB5933" s="318"/>
      <c r="AC5933" s="318"/>
      <c r="AD5933" s="318"/>
    </row>
    <row r="5934" spans="2:30" s="323" customFormat="1" ht="12" customHeight="1">
      <c r="B5934" s="324"/>
      <c r="C5934" s="325"/>
      <c r="D5934" s="326"/>
      <c r="E5934" s="326"/>
      <c r="F5934" s="326"/>
      <c r="G5934" s="326"/>
      <c r="H5934" s="326"/>
      <c r="P5934" s="318"/>
      <c r="Q5934" s="318"/>
      <c r="R5934" s="318"/>
      <c r="S5934" s="318"/>
      <c r="T5934" s="318"/>
      <c r="U5934" s="318"/>
      <c r="V5934" s="318"/>
      <c r="W5934" s="318"/>
      <c r="X5934" s="318"/>
      <c r="Y5934" s="318"/>
      <c r="Z5934" s="318"/>
      <c r="AA5934" s="318"/>
      <c r="AB5934" s="318"/>
      <c r="AC5934" s="318"/>
      <c r="AD5934" s="318"/>
    </row>
    <row r="5935" spans="2:30" s="323" customFormat="1" ht="12" customHeight="1">
      <c r="B5935" s="324"/>
      <c r="C5935" s="325"/>
      <c r="D5935" s="326"/>
      <c r="E5935" s="326"/>
      <c r="F5935" s="326"/>
      <c r="G5935" s="326"/>
      <c r="H5935" s="326"/>
      <c r="P5935" s="318"/>
      <c r="Q5935" s="318"/>
      <c r="R5935" s="318"/>
      <c r="S5935" s="318"/>
      <c r="T5935" s="318"/>
      <c r="U5935" s="318"/>
      <c r="V5935" s="318"/>
      <c r="W5935" s="318"/>
      <c r="X5935" s="318"/>
      <c r="Y5935" s="318"/>
      <c r="Z5935" s="318"/>
      <c r="AA5935" s="318"/>
      <c r="AB5935" s="318"/>
      <c r="AC5935" s="318"/>
      <c r="AD5935" s="318"/>
    </row>
    <row r="5936" spans="2:30" s="323" customFormat="1" ht="12" customHeight="1">
      <c r="B5936" s="324"/>
      <c r="C5936" s="325"/>
      <c r="D5936" s="326"/>
      <c r="E5936" s="326"/>
      <c r="F5936" s="326"/>
      <c r="G5936" s="326"/>
      <c r="H5936" s="326"/>
      <c r="P5936" s="318"/>
      <c r="Q5936" s="318"/>
      <c r="R5936" s="318"/>
      <c r="S5936" s="318"/>
      <c r="T5936" s="318"/>
      <c r="U5936" s="318"/>
      <c r="V5936" s="318"/>
      <c r="W5936" s="318"/>
      <c r="X5936" s="318"/>
      <c r="Y5936" s="318"/>
      <c r="Z5936" s="318"/>
      <c r="AA5936" s="318"/>
      <c r="AB5936" s="318"/>
      <c r="AC5936" s="318"/>
      <c r="AD5936" s="318"/>
    </row>
    <row r="5937" spans="2:30" s="323" customFormat="1" ht="12" customHeight="1">
      <c r="B5937" s="324"/>
      <c r="C5937" s="325"/>
      <c r="D5937" s="326"/>
      <c r="E5937" s="326"/>
      <c r="F5937" s="326"/>
      <c r="G5937" s="326"/>
      <c r="H5937" s="326"/>
      <c r="P5937" s="318"/>
      <c r="Q5937" s="318"/>
      <c r="R5937" s="318"/>
      <c r="S5937" s="318"/>
      <c r="T5937" s="318"/>
      <c r="U5937" s="318"/>
      <c r="V5937" s="318"/>
      <c r="W5937" s="318"/>
      <c r="X5937" s="318"/>
      <c r="Y5937" s="318"/>
      <c r="Z5937" s="318"/>
      <c r="AA5937" s="318"/>
      <c r="AB5937" s="318"/>
      <c r="AC5937" s="318"/>
      <c r="AD5937" s="318"/>
    </row>
    <row r="5938" spans="2:30" s="323" customFormat="1" ht="12" customHeight="1">
      <c r="B5938" s="324"/>
      <c r="C5938" s="325"/>
      <c r="D5938" s="326"/>
      <c r="E5938" s="326"/>
      <c r="F5938" s="326"/>
      <c r="G5938" s="326"/>
      <c r="H5938" s="326"/>
      <c r="P5938" s="318"/>
      <c r="Q5938" s="318"/>
      <c r="R5938" s="318"/>
      <c r="S5938" s="318"/>
      <c r="T5938" s="318"/>
      <c r="U5938" s="318"/>
      <c r="V5938" s="318"/>
      <c r="W5938" s="318"/>
      <c r="X5938" s="318"/>
      <c r="Y5938" s="318"/>
      <c r="Z5938" s="318"/>
      <c r="AA5938" s="318"/>
      <c r="AB5938" s="318"/>
      <c r="AC5938" s="318"/>
      <c r="AD5938" s="318"/>
    </row>
    <row r="5939" spans="2:30" s="323" customFormat="1" ht="12" customHeight="1">
      <c r="B5939" s="324"/>
      <c r="C5939" s="325"/>
      <c r="D5939" s="326"/>
      <c r="E5939" s="326"/>
      <c r="F5939" s="326"/>
      <c r="G5939" s="326"/>
      <c r="H5939" s="326"/>
      <c r="P5939" s="318"/>
      <c r="Q5939" s="318"/>
      <c r="R5939" s="318"/>
      <c r="S5939" s="318"/>
      <c r="T5939" s="318"/>
      <c r="U5939" s="318"/>
      <c r="V5939" s="318"/>
      <c r="W5939" s="318"/>
      <c r="X5939" s="318"/>
      <c r="Y5939" s="318"/>
      <c r="Z5939" s="318"/>
      <c r="AA5939" s="318"/>
      <c r="AB5939" s="318"/>
      <c r="AC5939" s="318"/>
      <c r="AD5939" s="318"/>
    </row>
    <row r="5940" spans="2:30" s="323" customFormat="1" ht="12" customHeight="1">
      <c r="B5940" s="324"/>
      <c r="C5940" s="325"/>
      <c r="D5940" s="326"/>
      <c r="E5940" s="326"/>
      <c r="F5940" s="326"/>
      <c r="G5940" s="326"/>
      <c r="H5940" s="326"/>
      <c r="P5940" s="318"/>
      <c r="Q5940" s="318"/>
      <c r="R5940" s="318"/>
      <c r="S5940" s="318"/>
      <c r="T5940" s="318"/>
      <c r="U5940" s="318"/>
      <c r="V5940" s="318"/>
      <c r="W5940" s="318"/>
      <c r="X5940" s="318"/>
      <c r="Y5940" s="318"/>
      <c r="Z5940" s="318"/>
      <c r="AA5940" s="318"/>
      <c r="AB5940" s="318"/>
      <c r="AC5940" s="318"/>
      <c r="AD5940" s="318"/>
    </row>
    <row r="5941" spans="2:30" s="323" customFormat="1" ht="12" customHeight="1">
      <c r="B5941" s="324"/>
      <c r="C5941" s="325"/>
      <c r="D5941" s="326"/>
      <c r="E5941" s="326"/>
      <c r="F5941" s="326"/>
      <c r="G5941" s="326"/>
      <c r="H5941" s="326"/>
      <c r="P5941" s="318"/>
      <c r="Q5941" s="318"/>
      <c r="R5941" s="318"/>
      <c r="S5941" s="318"/>
      <c r="T5941" s="318"/>
      <c r="U5941" s="318"/>
      <c r="V5941" s="318"/>
      <c r="W5941" s="318"/>
      <c r="X5941" s="318"/>
      <c r="Y5941" s="318"/>
      <c r="Z5941" s="318"/>
      <c r="AA5941" s="318"/>
      <c r="AB5941" s="318"/>
      <c r="AC5941" s="318"/>
      <c r="AD5941" s="318"/>
    </row>
    <row r="5942" spans="2:30" s="323" customFormat="1" ht="12" customHeight="1">
      <c r="B5942" s="324"/>
      <c r="C5942" s="325"/>
      <c r="D5942" s="326"/>
      <c r="E5942" s="326"/>
      <c r="F5942" s="326"/>
      <c r="G5942" s="326"/>
      <c r="H5942" s="326"/>
      <c r="P5942" s="318"/>
      <c r="Q5942" s="318"/>
      <c r="R5942" s="318"/>
      <c r="S5942" s="318"/>
      <c r="T5942" s="318"/>
      <c r="U5942" s="318"/>
      <c r="V5942" s="318"/>
      <c r="W5942" s="318"/>
      <c r="X5942" s="318"/>
      <c r="Y5942" s="318"/>
      <c r="Z5942" s="318"/>
      <c r="AA5942" s="318"/>
      <c r="AB5942" s="318"/>
      <c r="AC5942" s="318"/>
      <c r="AD5942" s="318"/>
    </row>
    <row r="5943" spans="2:30" s="323" customFormat="1" ht="12" customHeight="1">
      <c r="B5943" s="324"/>
      <c r="C5943" s="325"/>
      <c r="D5943" s="326"/>
      <c r="E5943" s="326"/>
      <c r="F5943" s="326"/>
      <c r="G5943" s="326"/>
      <c r="H5943" s="326"/>
      <c r="P5943" s="318"/>
      <c r="Q5943" s="318"/>
      <c r="R5943" s="318"/>
      <c r="S5943" s="318"/>
      <c r="T5943" s="318"/>
      <c r="U5943" s="318"/>
      <c r="V5943" s="318"/>
      <c r="W5943" s="318"/>
      <c r="X5943" s="318"/>
      <c r="Y5943" s="318"/>
      <c r="Z5943" s="318"/>
      <c r="AA5943" s="318"/>
      <c r="AB5943" s="318"/>
      <c r="AC5943" s="318"/>
      <c r="AD5943" s="318"/>
    </row>
    <row r="5944" spans="2:30" s="323" customFormat="1" ht="12" customHeight="1">
      <c r="B5944" s="324"/>
      <c r="C5944" s="325"/>
      <c r="D5944" s="326"/>
      <c r="E5944" s="326"/>
      <c r="F5944" s="326"/>
      <c r="G5944" s="326"/>
      <c r="H5944" s="326"/>
      <c r="P5944" s="318"/>
      <c r="Q5944" s="318"/>
      <c r="R5944" s="318"/>
      <c r="S5944" s="318"/>
      <c r="T5944" s="318"/>
      <c r="U5944" s="318"/>
      <c r="V5944" s="318"/>
      <c r="W5944" s="318"/>
      <c r="X5944" s="318"/>
      <c r="Y5944" s="318"/>
      <c r="Z5944" s="318"/>
      <c r="AA5944" s="318"/>
      <c r="AB5944" s="318"/>
      <c r="AC5944" s="318"/>
      <c r="AD5944" s="318"/>
    </row>
    <row r="5945" spans="2:30" s="323" customFormat="1" ht="12" customHeight="1">
      <c r="B5945" s="324"/>
      <c r="C5945" s="325"/>
      <c r="D5945" s="326"/>
      <c r="E5945" s="326"/>
      <c r="F5945" s="326"/>
      <c r="G5945" s="326"/>
      <c r="H5945" s="326"/>
      <c r="P5945" s="318"/>
      <c r="Q5945" s="318"/>
      <c r="R5945" s="318"/>
      <c r="S5945" s="318"/>
      <c r="T5945" s="318"/>
      <c r="U5945" s="318"/>
      <c r="V5945" s="318"/>
      <c r="W5945" s="318"/>
      <c r="X5945" s="318"/>
      <c r="Y5945" s="318"/>
      <c r="Z5945" s="318"/>
      <c r="AA5945" s="318"/>
      <c r="AB5945" s="318"/>
      <c r="AC5945" s="318"/>
      <c r="AD5945" s="318"/>
    </row>
    <row r="5946" spans="2:30" s="323" customFormat="1" ht="12" customHeight="1">
      <c r="B5946" s="324"/>
      <c r="C5946" s="325"/>
      <c r="D5946" s="326"/>
      <c r="E5946" s="326"/>
      <c r="F5946" s="326"/>
      <c r="G5946" s="326"/>
      <c r="H5946" s="326"/>
      <c r="P5946" s="318"/>
      <c r="Q5946" s="318"/>
      <c r="R5946" s="318"/>
      <c r="S5946" s="318"/>
      <c r="T5946" s="318"/>
      <c r="U5946" s="318"/>
      <c r="V5946" s="318"/>
      <c r="W5946" s="318"/>
      <c r="X5946" s="318"/>
      <c r="Y5946" s="318"/>
      <c r="Z5946" s="318"/>
      <c r="AA5946" s="318"/>
      <c r="AB5946" s="318"/>
      <c r="AC5946" s="318"/>
      <c r="AD5946" s="318"/>
    </row>
    <row r="5947" spans="2:30" s="323" customFormat="1" ht="12" customHeight="1">
      <c r="B5947" s="324"/>
      <c r="C5947" s="325"/>
      <c r="D5947" s="326"/>
      <c r="E5947" s="326"/>
      <c r="F5947" s="326"/>
      <c r="G5947" s="326"/>
      <c r="H5947" s="326"/>
      <c r="P5947" s="318"/>
      <c r="Q5947" s="318"/>
      <c r="R5947" s="318"/>
      <c r="S5947" s="318"/>
      <c r="T5947" s="318"/>
      <c r="U5947" s="318"/>
      <c r="V5947" s="318"/>
      <c r="W5947" s="318"/>
      <c r="X5947" s="318"/>
      <c r="Y5947" s="318"/>
      <c r="Z5947" s="318"/>
      <c r="AA5947" s="318"/>
      <c r="AB5947" s="318"/>
      <c r="AC5947" s="318"/>
      <c r="AD5947" s="318"/>
    </row>
    <row r="5948" spans="2:30" s="323" customFormat="1" ht="12" customHeight="1">
      <c r="B5948" s="324"/>
      <c r="C5948" s="325"/>
      <c r="D5948" s="326"/>
      <c r="E5948" s="326"/>
      <c r="F5948" s="326"/>
      <c r="G5948" s="326"/>
      <c r="H5948" s="326"/>
      <c r="P5948" s="318"/>
      <c r="Q5948" s="318"/>
      <c r="R5948" s="318"/>
      <c r="S5948" s="318"/>
      <c r="T5948" s="318"/>
      <c r="U5948" s="318"/>
      <c r="V5948" s="318"/>
      <c r="W5948" s="318"/>
      <c r="X5948" s="318"/>
      <c r="Y5948" s="318"/>
      <c r="Z5948" s="318"/>
      <c r="AA5948" s="318"/>
      <c r="AB5948" s="318"/>
      <c r="AC5948" s="318"/>
      <c r="AD5948" s="318"/>
    </row>
    <row r="5949" spans="2:30" s="323" customFormat="1" ht="12" customHeight="1">
      <c r="B5949" s="324"/>
      <c r="C5949" s="325"/>
      <c r="D5949" s="326"/>
      <c r="E5949" s="326"/>
      <c r="F5949" s="326"/>
      <c r="G5949" s="326"/>
      <c r="H5949" s="326"/>
      <c r="P5949" s="318"/>
      <c r="Q5949" s="318"/>
      <c r="R5949" s="318"/>
      <c r="S5949" s="318"/>
      <c r="T5949" s="318"/>
      <c r="U5949" s="318"/>
      <c r="V5949" s="318"/>
      <c r="W5949" s="318"/>
      <c r="X5949" s="318"/>
      <c r="Y5949" s="318"/>
      <c r="Z5949" s="318"/>
      <c r="AA5949" s="318"/>
      <c r="AB5949" s="318"/>
      <c r="AC5949" s="318"/>
      <c r="AD5949" s="318"/>
    </row>
    <row r="5950" spans="2:30" s="323" customFormat="1" ht="12" customHeight="1">
      <c r="B5950" s="324"/>
      <c r="C5950" s="325"/>
      <c r="D5950" s="326"/>
      <c r="E5950" s="326"/>
      <c r="F5950" s="326"/>
      <c r="G5950" s="326"/>
      <c r="H5950" s="326"/>
      <c r="P5950" s="318"/>
      <c r="Q5950" s="318"/>
      <c r="R5950" s="318"/>
      <c r="S5950" s="318"/>
      <c r="T5950" s="318"/>
      <c r="U5950" s="318"/>
      <c r="V5950" s="318"/>
      <c r="W5950" s="318"/>
      <c r="X5950" s="318"/>
      <c r="Y5950" s="318"/>
      <c r="Z5950" s="318"/>
      <c r="AA5950" s="318"/>
      <c r="AB5950" s="318"/>
      <c r="AC5950" s="318"/>
      <c r="AD5950" s="318"/>
    </row>
    <row r="5951" spans="2:30" s="323" customFormat="1" ht="12" customHeight="1">
      <c r="B5951" s="324"/>
      <c r="C5951" s="325"/>
      <c r="D5951" s="326"/>
      <c r="E5951" s="326"/>
      <c r="F5951" s="326"/>
      <c r="G5951" s="326"/>
      <c r="H5951" s="326"/>
      <c r="P5951" s="318"/>
      <c r="Q5951" s="318"/>
      <c r="R5951" s="318"/>
      <c r="S5951" s="318"/>
      <c r="T5951" s="318"/>
      <c r="U5951" s="318"/>
      <c r="V5951" s="318"/>
      <c r="W5951" s="318"/>
      <c r="X5951" s="318"/>
      <c r="Y5951" s="318"/>
      <c r="Z5951" s="318"/>
      <c r="AA5951" s="318"/>
      <c r="AB5951" s="318"/>
      <c r="AC5951" s="318"/>
      <c r="AD5951" s="318"/>
    </row>
    <row r="5952" spans="2:30" s="323" customFormat="1" ht="12" customHeight="1">
      <c r="B5952" s="324"/>
      <c r="C5952" s="325"/>
      <c r="D5952" s="326"/>
      <c r="E5952" s="326"/>
      <c r="F5952" s="326"/>
      <c r="G5952" s="326"/>
      <c r="H5952" s="326"/>
      <c r="P5952" s="318"/>
      <c r="Q5952" s="318"/>
      <c r="R5952" s="318"/>
      <c r="S5952" s="318"/>
      <c r="T5952" s="318"/>
      <c r="U5952" s="318"/>
      <c r="V5952" s="318"/>
      <c r="W5952" s="318"/>
      <c r="X5952" s="318"/>
      <c r="Y5952" s="318"/>
      <c r="Z5952" s="318"/>
      <c r="AA5952" s="318"/>
      <c r="AB5952" s="318"/>
      <c r="AC5952" s="318"/>
      <c r="AD5952" s="318"/>
    </row>
    <row r="5953" spans="2:30" s="323" customFormat="1" ht="12" customHeight="1">
      <c r="B5953" s="324"/>
      <c r="C5953" s="325"/>
      <c r="D5953" s="326"/>
      <c r="E5953" s="326"/>
      <c r="F5953" s="326"/>
      <c r="G5953" s="326"/>
      <c r="H5953" s="326"/>
      <c r="P5953" s="318"/>
      <c r="Q5953" s="318"/>
      <c r="R5953" s="318"/>
      <c r="S5953" s="318"/>
      <c r="T5953" s="318"/>
      <c r="U5953" s="318"/>
      <c r="V5953" s="318"/>
      <c r="W5953" s="318"/>
      <c r="X5953" s="318"/>
      <c r="Y5953" s="318"/>
      <c r="Z5953" s="318"/>
      <c r="AA5953" s="318"/>
      <c r="AB5953" s="318"/>
      <c r="AC5953" s="318"/>
      <c r="AD5953" s="318"/>
    </row>
    <row r="5954" spans="2:30" s="323" customFormat="1" ht="12" customHeight="1">
      <c r="B5954" s="324"/>
      <c r="C5954" s="325"/>
      <c r="D5954" s="326"/>
      <c r="E5954" s="326"/>
      <c r="F5954" s="326"/>
      <c r="G5954" s="326"/>
      <c r="H5954" s="326"/>
      <c r="P5954" s="318"/>
      <c r="Q5954" s="318"/>
      <c r="R5954" s="318"/>
      <c r="S5954" s="318"/>
      <c r="T5954" s="318"/>
      <c r="U5954" s="318"/>
      <c r="V5954" s="318"/>
      <c r="W5954" s="318"/>
      <c r="X5954" s="318"/>
      <c r="Y5954" s="318"/>
      <c r="Z5954" s="318"/>
      <c r="AA5954" s="318"/>
      <c r="AB5954" s="318"/>
      <c r="AC5954" s="318"/>
      <c r="AD5954" s="318"/>
    </row>
    <row r="5955" spans="2:30" s="323" customFormat="1" ht="12" customHeight="1">
      <c r="B5955" s="324"/>
      <c r="C5955" s="325"/>
      <c r="D5955" s="326"/>
      <c r="E5955" s="326"/>
      <c r="F5955" s="326"/>
      <c r="G5955" s="326"/>
      <c r="H5955" s="326"/>
      <c r="P5955" s="318"/>
      <c r="Q5955" s="318"/>
      <c r="R5955" s="318"/>
      <c r="S5955" s="318"/>
      <c r="T5955" s="318"/>
      <c r="U5955" s="318"/>
      <c r="V5955" s="318"/>
      <c r="W5955" s="318"/>
      <c r="X5955" s="318"/>
      <c r="Y5955" s="318"/>
      <c r="Z5955" s="318"/>
      <c r="AA5955" s="318"/>
      <c r="AB5955" s="318"/>
      <c r="AC5955" s="318"/>
      <c r="AD5955" s="318"/>
    </row>
    <row r="5956" spans="2:30" s="323" customFormat="1" ht="12" customHeight="1">
      <c r="B5956" s="324"/>
      <c r="C5956" s="325"/>
      <c r="D5956" s="326"/>
      <c r="E5956" s="326"/>
      <c r="F5956" s="326"/>
      <c r="G5956" s="326"/>
      <c r="H5956" s="326"/>
      <c r="P5956" s="318"/>
      <c r="Q5956" s="318"/>
      <c r="R5956" s="318"/>
      <c r="S5956" s="318"/>
      <c r="T5956" s="318"/>
      <c r="U5956" s="318"/>
      <c r="V5956" s="318"/>
      <c r="W5956" s="318"/>
      <c r="X5956" s="318"/>
      <c r="Y5956" s="318"/>
      <c r="Z5956" s="318"/>
      <c r="AA5956" s="318"/>
      <c r="AB5956" s="318"/>
      <c r="AC5956" s="318"/>
      <c r="AD5956" s="318"/>
    </row>
    <row r="5957" spans="2:30" s="323" customFormat="1" ht="12" customHeight="1">
      <c r="B5957" s="324"/>
      <c r="C5957" s="325"/>
      <c r="D5957" s="326"/>
      <c r="E5957" s="326"/>
      <c r="F5957" s="326"/>
      <c r="G5957" s="326"/>
      <c r="H5957" s="326"/>
      <c r="P5957" s="318"/>
      <c r="Q5957" s="318"/>
      <c r="R5957" s="318"/>
      <c r="S5957" s="318"/>
      <c r="T5957" s="318"/>
      <c r="U5957" s="318"/>
      <c r="V5957" s="318"/>
      <c r="W5957" s="318"/>
      <c r="X5957" s="318"/>
      <c r="Y5957" s="318"/>
      <c r="Z5957" s="318"/>
      <c r="AA5957" s="318"/>
      <c r="AB5957" s="318"/>
      <c r="AC5957" s="318"/>
      <c r="AD5957" s="318"/>
    </row>
    <row r="5958" spans="2:30" s="323" customFormat="1" ht="12" customHeight="1">
      <c r="B5958" s="324"/>
      <c r="C5958" s="325"/>
      <c r="D5958" s="326"/>
      <c r="E5958" s="326"/>
      <c r="F5958" s="326"/>
      <c r="G5958" s="326"/>
      <c r="H5958" s="326"/>
      <c r="P5958" s="318"/>
      <c r="Q5958" s="318"/>
      <c r="R5958" s="318"/>
      <c r="S5958" s="318"/>
      <c r="T5958" s="318"/>
      <c r="U5958" s="318"/>
      <c r="V5958" s="318"/>
      <c r="W5958" s="318"/>
      <c r="X5958" s="318"/>
      <c r="Y5958" s="318"/>
      <c r="Z5958" s="318"/>
      <c r="AA5958" s="318"/>
      <c r="AB5958" s="318"/>
      <c r="AC5958" s="318"/>
      <c r="AD5958" s="318"/>
    </row>
    <row r="5959" spans="2:30" s="323" customFormat="1" ht="12" customHeight="1">
      <c r="B5959" s="324"/>
      <c r="C5959" s="325"/>
      <c r="D5959" s="326"/>
      <c r="E5959" s="326"/>
      <c r="F5959" s="326"/>
      <c r="G5959" s="326"/>
      <c r="H5959" s="326"/>
      <c r="P5959" s="318"/>
      <c r="Q5959" s="318"/>
      <c r="R5959" s="318"/>
      <c r="S5959" s="318"/>
      <c r="T5959" s="318"/>
      <c r="U5959" s="318"/>
      <c r="V5959" s="318"/>
      <c r="W5959" s="318"/>
      <c r="X5959" s="318"/>
      <c r="Y5959" s="318"/>
      <c r="Z5959" s="318"/>
      <c r="AA5959" s="318"/>
      <c r="AB5959" s="318"/>
      <c r="AC5959" s="318"/>
      <c r="AD5959" s="318"/>
    </row>
    <row r="5960" spans="2:30" s="323" customFormat="1" ht="12" customHeight="1">
      <c r="B5960" s="324"/>
      <c r="C5960" s="325"/>
      <c r="D5960" s="326"/>
      <c r="E5960" s="326"/>
      <c r="F5960" s="326"/>
      <c r="G5960" s="326"/>
      <c r="H5960" s="326"/>
      <c r="P5960" s="318"/>
      <c r="Q5960" s="318"/>
      <c r="R5960" s="318"/>
      <c r="S5960" s="318"/>
      <c r="T5960" s="318"/>
      <c r="U5960" s="318"/>
      <c r="V5960" s="318"/>
      <c r="W5960" s="318"/>
      <c r="X5960" s="318"/>
      <c r="Y5960" s="318"/>
      <c r="Z5960" s="318"/>
      <c r="AA5960" s="318"/>
      <c r="AB5960" s="318"/>
      <c r="AC5960" s="318"/>
      <c r="AD5960" s="318"/>
    </row>
    <row r="5961" spans="2:30" s="323" customFormat="1" ht="12" customHeight="1">
      <c r="B5961" s="324"/>
      <c r="C5961" s="325"/>
      <c r="D5961" s="326"/>
      <c r="E5961" s="326"/>
      <c r="F5961" s="326"/>
      <c r="G5961" s="326"/>
      <c r="H5961" s="326"/>
      <c r="P5961" s="318"/>
      <c r="Q5961" s="318"/>
      <c r="R5961" s="318"/>
      <c r="S5961" s="318"/>
      <c r="T5961" s="318"/>
      <c r="U5961" s="318"/>
      <c r="V5961" s="318"/>
      <c r="W5961" s="318"/>
      <c r="X5961" s="318"/>
      <c r="Y5961" s="318"/>
      <c r="Z5961" s="318"/>
      <c r="AA5961" s="318"/>
      <c r="AB5961" s="318"/>
      <c r="AC5961" s="318"/>
      <c r="AD5961" s="318"/>
    </row>
    <row r="5962" spans="2:30" s="323" customFormat="1" ht="12" customHeight="1">
      <c r="B5962" s="324"/>
      <c r="C5962" s="325"/>
      <c r="D5962" s="326"/>
      <c r="E5962" s="326"/>
      <c r="F5962" s="326"/>
      <c r="G5962" s="326"/>
      <c r="H5962" s="326"/>
      <c r="P5962" s="318"/>
      <c r="Q5962" s="318"/>
      <c r="R5962" s="318"/>
      <c r="S5962" s="318"/>
      <c r="T5962" s="318"/>
      <c r="U5962" s="318"/>
      <c r="V5962" s="318"/>
      <c r="W5962" s="318"/>
      <c r="X5962" s="318"/>
      <c r="Y5962" s="318"/>
      <c r="Z5962" s="318"/>
      <c r="AA5962" s="318"/>
      <c r="AB5962" s="318"/>
      <c r="AC5962" s="318"/>
      <c r="AD5962" s="318"/>
    </row>
    <row r="5963" spans="2:30" s="323" customFormat="1" ht="12" customHeight="1">
      <c r="B5963" s="324"/>
      <c r="C5963" s="325"/>
      <c r="D5963" s="326"/>
      <c r="E5963" s="326"/>
      <c r="F5963" s="326"/>
      <c r="G5963" s="326"/>
      <c r="H5963" s="326"/>
      <c r="P5963" s="318"/>
      <c r="Q5963" s="318"/>
      <c r="R5963" s="318"/>
      <c r="S5963" s="318"/>
      <c r="T5963" s="318"/>
      <c r="U5963" s="318"/>
      <c r="V5963" s="318"/>
      <c r="W5963" s="318"/>
      <c r="X5963" s="318"/>
      <c r="Y5963" s="318"/>
      <c r="Z5963" s="318"/>
      <c r="AA5963" s="318"/>
      <c r="AB5963" s="318"/>
      <c r="AC5963" s="318"/>
      <c r="AD5963" s="318"/>
    </row>
    <row r="5964" spans="2:30" s="323" customFormat="1" ht="12" customHeight="1">
      <c r="B5964" s="324"/>
      <c r="C5964" s="325"/>
      <c r="D5964" s="326"/>
      <c r="E5964" s="326"/>
      <c r="F5964" s="326"/>
      <c r="G5964" s="326"/>
      <c r="H5964" s="326"/>
      <c r="P5964" s="318"/>
      <c r="Q5964" s="318"/>
      <c r="R5964" s="318"/>
      <c r="S5964" s="318"/>
      <c r="T5964" s="318"/>
      <c r="U5964" s="318"/>
      <c r="V5964" s="318"/>
      <c r="W5964" s="318"/>
      <c r="X5964" s="318"/>
      <c r="Y5964" s="318"/>
      <c r="Z5964" s="318"/>
      <c r="AA5964" s="318"/>
      <c r="AB5964" s="318"/>
      <c r="AC5964" s="318"/>
      <c r="AD5964" s="318"/>
    </row>
    <row r="5965" spans="2:30" s="323" customFormat="1" ht="12" customHeight="1">
      <c r="B5965" s="324"/>
      <c r="C5965" s="325"/>
      <c r="D5965" s="326"/>
      <c r="E5965" s="326"/>
      <c r="F5965" s="326"/>
      <c r="G5965" s="326"/>
      <c r="H5965" s="326"/>
      <c r="P5965" s="318"/>
      <c r="Q5965" s="318"/>
      <c r="R5965" s="318"/>
      <c r="S5965" s="318"/>
      <c r="T5965" s="318"/>
      <c r="U5965" s="318"/>
      <c r="V5965" s="318"/>
      <c r="W5965" s="318"/>
      <c r="X5965" s="318"/>
      <c r="Y5965" s="318"/>
      <c r="Z5965" s="318"/>
      <c r="AA5965" s="318"/>
      <c r="AB5965" s="318"/>
      <c r="AC5965" s="318"/>
      <c r="AD5965" s="318"/>
    </row>
    <row r="5966" spans="2:30" s="323" customFormat="1" ht="12" customHeight="1">
      <c r="B5966" s="324"/>
      <c r="C5966" s="325"/>
      <c r="D5966" s="326"/>
      <c r="E5966" s="326"/>
      <c r="F5966" s="326"/>
      <c r="G5966" s="326"/>
      <c r="H5966" s="326"/>
      <c r="P5966" s="318"/>
      <c r="Q5966" s="318"/>
      <c r="R5966" s="318"/>
      <c r="S5966" s="318"/>
      <c r="T5966" s="318"/>
      <c r="U5966" s="318"/>
      <c r="V5966" s="318"/>
      <c r="W5966" s="318"/>
      <c r="X5966" s="318"/>
      <c r="Y5966" s="318"/>
      <c r="Z5966" s="318"/>
      <c r="AA5966" s="318"/>
      <c r="AB5966" s="318"/>
      <c r="AC5966" s="318"/>
      <c r="AD5966" s="318"/>
    </row>
    <row r="5967" spans="2:30" s="323" customFormat="1" ht="12" customHeight="1">
      <c r="B5967" s="324"/>
      <c r="C5967" s="325"/>
      <c r="D5967" s="326"/>
      <c r="E5967" s="326"/>
      <c r="F5967" s="326"/>
      <c r="G5967" s="326"/>
      <c r="H5967" s="326"/>
      <c r="P5967" s="318"/>
      <c r="Q5967" s="318"/>
      <c r="R5967" s="318"/>
      <c r="S5967" s="318"/>
      <c r="T5967" s="318"/>
      <c r="U5967" s="318"/>
      <c r="V5967" s="318"/>
      <c r="W5967" s="318"/>
      <c r="X5967" s="318"/>
      <c r="Y5967" s="318"/>
      <c r="Z5967" s="318"/>
      <c r="AA5967" s="318"/>
      <c r="AB5967" s="318"/>
      <c r="AC5967" s="318"/>
      <c r="AD5967" s="318"/>
    </row>
    <row r="5968" spans="2:30" s="323" customFormat="1" ht="12" customHeight="1">
      <c r="B5968" s="324"/>
      <c r="C5968" s="325"/>
      <c r="D5968" s="326"/>
      <c r="E5968" s="326"/>
      <c r="F5968" s="326"/>
      <c r="G5968" s="326"/>
      <c r="H5968" s="326"/>
      <c r="P5968" s="318"/>
      <c r="Q5968" s="318"/>
      <c r="R5968" s="318"/>
      <c r="S5968" s="318"/>
      <c r="T5968" s="318"/>
      <c r="U5968" s="318"/>
      <c r="V5968" s="318"/>
      <c r="W5968" s="318"/>
      <c r="X5968" s="318"/>
      <c r="Y5968" s="318"/>
      <c r="Z5968" s="318"/>
      <c r="AA5968" s="318"/>
      <c r="AB5968" s="318"/>
      <c r="AC5968" s="318"/>
      <c r="AD5968" s="318"/>
    </row>
    <row r="5969" spans="2:30" s="323" customFormat="1" ht="12" customHeight="1">
      <c r="B5969" s="324"/>
      <c r="C5969" s="325"/>
      <c r="D5969" s="326"/>
      <c r="E5969" s="326"/>
      <c r="F5969" s="326"/>
      <c r="G5969" s="326"/>
      <c r="H5969" s="326"/>
      <c r="P5969" s="318"/>
      <c r="Q5969" s="318"/>
      <c r="R5969" s="318"/>
      <c r="S5969" s="318"/>
      <c r="T5969" s="318"/>
      <c r="U5969" s="318"/>
      <c r="V5969" s="318"/>
      <c r="W5969" s="318"/>
      <c r="X5969" s="318"/>
      <c r="Y5969" s="318"/>
      <c r="Z5969" s="318"/>
      <c r="AA5969" s="318"/>
      <c r="AB5969" s="318"/>
      <c r="AC5969" s="318"/>
      <c r="AD5969" s="318"/>
    </row>
    <row r="5970" spans="2:30" s="323" customFormat="1" ht="12" customHeight="1">
      <c r="B5970" s="324"/>
      <c r="C5970" s="325"/>
      <c r="D5970" s="326"/>
      <c r="E5970" s="326"/>
      <c r="F5970" s="326"/>
      <c r="G5970" s="326"/>
      <c r="H5970" s="326"/>
      <c r="P5970" s="318"/>
      <c r="Q5970" s="318"/>
      <c r="R5970" s="318"/>
      <c r="S5970" s="318"/>
      <c r="T5970" s="318"/>
      <c r="U5970" s="318"/>
      <c r="V5970" s="318"/>
      <c r="W5970" s="318"/>
      <c r="X5970" s="318"/>
      <c r="Y5970" s="318"/>
      <c r="Z5970" s="318"/>
      <c r="AA5970" s="318"/>
      <c r="AB5970" s="318"/>
      <c r="AC5970" s="318"/>
      <c r="AD5970" s="318"/>
    </row>
    <row r="5971" spans="2:30" s="323" customFormat="1" ht="12" customHeight="1">
      <c r="B5971" s="324"/>
      <c r="C5971" s="325"/>
      <c r="D5971" s="326"/>
      <c r="E5971" s="326"/>
      <c r="F5971" s="326"/>
      <c r="G5971" s="326"/>
      <c r="H5971" s="326"/>
      <c r="P5971" s="318"/>
      <c r="Q5971" s="318"/>
      <c r="R5971" s="318"/>
      <c r="S5971" s="318"/>
      <c r="T5971" s="318"/>
      <c r="U5971" s="318"/>
      <c r="V5971" s="318"/>
      <c r="W5971" s="318"/>
      <c r="X5971" s="318"/>
      <c r="Y5971" s="318"/>
      <c r="Z5971" s="318"/>
      <c r="AA5971" s="318"/>
      <c r="AB5971" s="318"/>
      <c r="AC5971" s="318"/>
      <c r="AD5971" s="318"/>
    </row>
    <row r="5972" spans="2:30" s="323" customFormat="1" ht="12" customHeight="1">
      <c r="B5972" s="324"/>
      <c r="C5972" s="325"/>
      <c r="D5972" s="326"/>
      <c r="E5972" s="326"/>
      <c r="F5972" s="326"/>
      <c r="G5972" s="326"/>
      <c r="H5972" s="326"/>
      <c r="P5972" s="318"/>
      <c r="Q5972" s="318"/>
      <c r="R5972" s="318"/>
      <c r="S5972" s="318"/>
      <c r="T5972" s="318"/>
      <c r="U5972" s="318"/>
      <c r="V5972" s="318"/>
      <c r="W5972" s="318"/>
      <c r="X5972" s="318"/>
      <c r="Y5972" s="318"/>
      <c r="Z5972" s="318"/>
      <c r="AA5972" s="318"/>
      <c r="AB5972" s="318"/>
      <c r="AC5972" s="318"/>
      <c r="AD5972" s="318"/>
    </row>
    <row r="5973" spans="2:30" s="323" customFormat="1" ht="12" customHeight="1">
      <c r="B5973" s="324"/>
      <c r="C5973" s="325"/>
      <c r="D5973" s="326"/>
      <c r="E5973" s="326"/>
      <c r="F5973" s="326"/>
      <c r="G5973" s="326"/>
      <c r="H5973" s="326"/>
      <c r="P5973" s="318"/>
      <c r="Q5973" s="318"/>
      <c r="R5973" s="318"/>
      <c r="S5973" s="318"/>
      <c r="T5973" s="318"/>
      <c r="U5973" s="318"/>
      <c r="V5973" s="318"/>
      <c r="W5973" s="318"/>
      <c r="X5973" s="318"/>
      <c r="Y5973" s="318"/>
      <c r="Z5973" s="318"/>
      <c r="AA5973" s="318"/>
      <c r="AB5973" s="318"/>
      <c r="AC5973" s="318"/>
      <c r="AD5973" s="318"/>
    </row>
    <row r="5974" spans="2:30" s="323" customFormat="1" ht="12" customHeight="1">
      <c r="B5974" s="324"/>
      <c r="C5974" s="325"/>
      <c r="D5974" s="326"/>
      <c r="E5974" s="326"/>
      <c r="F5974" s="326"/>
      <c r="G5974" s="326"/>
      <c r="H5974" s="326"/>
      <c r="P5974" s="318"/>
      <c r="Q5974" s="318"/>
      <c r="R5974" s="318"/>
      <c r="S5974" s="318"/>
      <c r="T5974" s="318"/>
      <c r="U5974" s="318"/>
      <c r="V5974" s="318"/>
      <c r="W5974" s="318"/>
      <c r="X5974" s="318"/>
      <c r="Y5974" s="318"/>
      <c r="Z5974" s="318"/>
      <c r="AA5974" s="318"/>
      <c r="AB5974" s="318"/>
      <c r="AC5974" s="318"/>
      <c r="AD5974" s="318"/>
    </row>
    <row r="5975" spans="2:30" s="323" customFormat="1" ht="12" customHeight="1">
      <c r="B5975" s="324"/>
      <c r="C5975" s="325"/>
      <c r="D5975" s="326"/>
      <c r="E5975" s="326"/>
      <c r="F5975" s="326"/>
      <c r="G5975" s="326"/>
      <c r="H5975" s="326"/>
      <c r="P5975" s="318"/>
      <c r="Q5975" s="318"/>
      <c r="R5975" s="318"/>
      <c r="S5975" s="318"/>
      <c r="T5975" s="318"/>
      <c r="U5975" s="318"/>
      <c r="V5975" s="318"/>
      <c r="W5975" s="318"/>
      <c r="X5975" s="318"/>
      <c r="Y5975" s="318"/>
      <c r="Z5975" s="318"/>
      <c r="AA5975" s="318"/>
      <c r="AB5975" s="318"/>
      <c r="AC5975" s="318"/>
      <c r="AD5975" s="318"/>
    </row>
    <row r="5976" spans="2:30" s="323" customFormat="1" ht="12" customHeight="1">
      <c r="B5976" s="324"/>
      <c r="C5976" s="325"/>
      <c r="D5976" s="326"/>
      <c r="E5976" s="326"/>
      <c r="F5976" s="326"/>
      <c r="G5976" s="326"/>
      <c r="H5976" s="326"/>
      <c r="P5976" s="318"/>
      <c r="Q5976" s="318"/>
      <c r="R5976" s="318"/>
      <c r="S5976" s="318"/>
      <c r="T5976" s="318"/>
      <c r="U5976" s="318"/>
      <c r="V5976" s="318"/>
      <c r="W5976" s="318"/>
      <c r="X5976" s="318"/>
      <c r="Y5976" s="318"/>
      <c r="Z5976" s="318"/>
      <c r="AA5976" s="318"/>
      <c r="AB5976" s="318"/>
      <c r="AC5976" s="318"/>
      <c r="AD5976" s="318"/>
    </row>
    <row r="5977" spans="2:30" s="323" customFormat="1" ht="12" customHeight="1">
      <c r="B5977" s="324"/>
      <c r="C5977" s="325"/>
      <c r="D5977" s="326"/>
      <c r="E5977" s="326"/>
      <c r="F5977" s="326"/>
      <c r="G5977" s="326"/>
      <c r="H5977" s="326"/>
      <c r="P5977" s="318"/>
      <c r="Q5977" s="318"/>
      <c r="R5977" s="318"/>
      <c r="S5977" s="318"/>
      <c r="T5977" s="318"/>
      <c r="U5977" s="318"/>
      <c r="V5977" s="318"/>
      <c r="W5977" s="318"/>
      <c r="X5977" s="318"/>
      <c r="Y5977" s="318"/>
      <c r="Z5977" s="318"/>
      <c r="AA5977" s="318"/>
      <c r="AB5977" s="318"/>
      <c r="AC5977" s="318"/>
      <c r="AD5977" s="318"/>
    </row>
    <row r="5978" spans="2:30" s="323" customFormat="1" ht="12" customHeight="1">
      <c r="B5978" s="324"/>
      <c r="C5978" s="325"/>
      <c r="D5978" s="326"/>
      <c r="E5978" s="326"/>
      <c r="F5978" s="326"/>
      <c r="G5978" s="326"/>
      <c r="H5978" s="326"/>
      <c r="P5978" s="318"/>
      <c r="Q5978" s="318"/>
      <c r="R5978" s="318"/>
      <c r="S5978" s="318"/>
      <c r="T5978" s="318"/>
      <c r="U5978" s="318"/>
      <c r="V5978" s="318"/>
      <c r="W5978" s="318"/>
      <c r="X5978" s="318"/>
      <c r="Y5978" s="318"/>
      <c r="Z5978" s="318"/>
      <c r="AA5978" s="318"/>
      <c r="AB5978" s="318"/>
      <c r="AC5978" s="318"/>
      <c r="AD5978" s="318"/>
    </row>
    <row r="5979" spans="2:30" s="323" customFormat="1" ht="12" customHeight="1">
      <c r="B5979" s="324"/>
      <c r="C5979" s="325"/>
      <c r="D5979" s="326"/>
      <c r="E5979" s="326"/>
      <c r="F5979" s="326"/>
      <c r="G5979" s="326"/>
      <c r="H5979" s="326"/>
      <c r="P5979" s="318"/>
      <c r="Q5979" s="318"/>
      <c r="R5979" s="318"/>
      <c r="S5979" s="318"/>
      <c r="T5979" s="318"/>
      <c r="U5979" s="318"/>
      <c r="V5979" s="318"/>
      <c r="W5979" s="318"/>
      <c r="X5979" s="318"/>
      <c r="Y5979" s="318"/>
      <c r="Z5979" s="318"/>
      <c r="AA5979" s="318"/>
      <c r="AB5979" s="318"/>
      <c r="AC5979" s="318"/>
      <c r="AD5979" s="318"/>
    </row>
    <row r="5980" spans="2:30" s="323" customFormat="1" ht="12" customHeight="1">
      <c r="B5980" s="324"/>
      <c r="C5980" s="325"/>
      <c r="D5980" s="326"/>
      <c r="E5980" s="326"/>
      <c r="F5980" s="326"/>
      <c r="G5980" s="326"/>
      <c r="H5980" s="326"/>
      <c r="P5980" s="318"/>
      <c r="Q5980" s="318"/>
      <c r="R5980" s="318"/>
      <c r="S5980" s="318"/>
      <c r="T5980" s="318"/>
      <c r="U5980" s="318"/>
      <c r="V5980" s="318"/>
      <c r="W5980" s="318"/>
      <c r="X5980" s="318"/>
      <c r="Y5980" s="318"/>
      <c r="Z5980" s="318"/>
      <c r="AA5980" s="318"/>
      <c r="AB5980" s="318"/>
      <c r="AC5980" s="318"/>
      <c r="AD5980" s="318"/>
    </row>
    <row r="5981" spans="2:30" s="323" customFormat="1" ht="12" customHeight="1">
      <c r="B5981" s="324"/>
      <c r="C5981" s="325"/>
      <c r="D5981" s="326"/>
      <c r="E5981" s="326"/>
      <c r="F5981" s="326"/>
      <c r="G5981" s="326"/>
      <c r="H5981" s="326"/>
      <c r="P5981" s="318"/>
      <c r="Q5981" s="318"/>
      <c r="R5981" s="318"/>
      <c r="S5981" s="318"/>
      <c r="T5981" s="318"/>
      <c r="U5981" s="318"/>
      <c r="V5981" s="318"/>
      <c r="W5981" s="318"/>
      <c r="X5981" s="318"/>
      <c r="Y5981" s="318"/>
      <c r="Z5981" s="318"/>
      <c r="AA5981" s="318"/>
      <c r="AB5981" s="318"/>
      <c r="AC5981" s="318"/>
      <c r="AD5981" s="318"/>
    </row>
    <row r="5982" spans="2:30" s="323" customFormat="1" ht="12" customHeight="1">
      <c r="B5982" s="324"/>
      <c r="C5982" s="325"/>
      <c r="D5982" s="326"/>
      <c r="E5982" s="326"/>
      <c r="F5982" s="326"/>
      <c r="G5982" s="326"/>
      <c r="H5982" s="326"/>
      <c r="P5982" s="318"/>
      <c r="Q5982" s="318"/>
      <c r="R5982" s="318"/>
      <c r="S5982" s="318"/>
      <c r="T5982" s="318"/>
      <c r="U5982" s="318"/>
      <c r="V5982" s="318"/>
      <c r="W5982" s="318"/>
      <c r="X5982" s="318"/>
      <c r="Y5982" s="318"/>
      <c r="Z5982" s="318"/>
      <c r="AA5982" s="318"/>
      <c r="AB5982" s="318"/>
      <c r="AC5982" s="318"/>
      <c r="AD5982" s="318"/>
    </row>
    <row r="5983" spans="2:30" s="323" customFormat="1" ht="12" customHeight="1">
      <c r="B5983" s="324"/>
      <c r="C5983" s="325"/>
      <c r="D5983" s="326"/>
      <c r="E5983" s="326"/>
      <c r="F5983" s="326"/>
      <c r="G5983" s="326"/>
      <c r="H5983" s="326"/>
      <c r="P5983" s="318"/>
      <c r="Q5983" s="318"/>
      <c r="R5983" s="318"/>
      <c r="S5983" s="318"/>
      <c r="T5983" s="318"/>
      <c r="U5983" s="318"/>
      <c r="V5983" s="318"/>
      <c r="W5983" s="318"/>
      <c r="X5983" s="318"/>
      <c r="Y5983" s="318"/>
      <c r="Z5983" s="318"/>
      <c r="AA5983" s="318"/>
      <c r="AB5983" s="318"/>
      <c r="AC5983" s="318"/>
      <c r="AD5983" s="318"/>
    </row>
    <row r="5984" spans="2:30" s="323" customFormat="1" ht="12" customHeight="1">
      <c r="B5984" s="324"/>
      <c r="C5984" s="325"/>
      <c r="D5984" s="326"/>
      <c r="E5984" s="326"/>
      <c r="F5984" s="326"/>
      <c r="G5984" s="326"/>
      <c r="H5984" s="326"/>
      <c r="P5984" s="318"/>
      <c r="Q5984" s="318"/>
      <c r="R5984" s="318"/>
      <c r="S5984" s="318"/>
      <c r="T5984" s="318"/>
      <c r="U5984" s="318"/>
      <c r="V5984" s="318"/>
      <c r="W5984" s="318"/>
      <c r="X5984" s="318"/>
      <c r="Y5984" s="318"/>
      <c r="Z5984" s="318"/>
      <c r="AA5984" s="318"/>
      <c r="AB5984" s="318"/>
      <c r="AC5984" s="318"/>
      <c r="AD5984" s="318"/>
    </row>
    <row r="5985" spans="2:30" s="323" customFormat="1" ht="12" customHeight="1">
      <c r="B5985" s="324"/>
      <c r="C5985" s="325"/>
      <c r="D5985" s="326"/>
      <c r="E5985" s="326"/>
      <c r="F5985" s="326"/>
      <c r="G5985" s="326"/>
      <c r="H5985" s="326"/>
      <c r="P5985" s="318"/>
      <c r="Q5985" s="318"/>
      <c r="R5985" s="318"/>
      <c r="S5985" s="318"/>
      <c r="T5985" s="318"/>
      <c r="U5985" s="318"/>
      <c r="V5985" s="318"/>
      <c r="W5985" s="318"/>
      <c r="X5985" s="318"/>
      <c r="Y5985" s="318"/>
      <c r="Z5985" s="318"/>
      <c r="AA5985" s="318"/>
      <c r="AB5985" s="318"/>
      <c r="AC5985" s="318"/>
      <c r="AD5985" s="318"/>
    </row>
    <row r="5986" spans="2:30" s="323" customFormat="1" ht="12" customHeight="1">
      <c r="B5986" s="324"/>
      <c r="C5986" s="325"/>
      <c r="D5986" s="326"/>
      <c r="E5986" s="326"/>
      <c r="F5986" s="326"/>
      <c r="G5986" s="326"/>
      <c r="H5986" s="326"/>
      <c r="P5986" s="318"/>
      <c r="Q5986" s="318"/>
      <c r="R5986" s="318"/>
      <c r="S5986" s="318"/>
      <c r="T5986" s="318"/>
      <c r="U5986" s="318"/>
      <c r="V5986" s="318"/>
      <c r="W5986" s="318"/>
      <c r="X5986" s="318"/>
      <c r="Y5986" s="318"/>
      <c r="Z5986" s="318"/>
      <c r="AA5986" s="318"/>
      <c r="AB5986" s="318"/>
      <c r="AC5986" s="318"/>
      <c r="AD5986" s="318"/>
    </row>
    <row r="5987" spans="2:30" s="323" customFormat="1" ht="12" customHeight="1">
      <c r="B5987" s="324"/>
      <c r="C5987" s="325"/>
      <c r="D5987" s="326"/>
      <c r="E5987" s="326"/>
      <c r="F5987" s="326"/>
      <c r="G5987" s="326"/>
      <c r="H5987" s="326"/>
      <c r="P5987" s="318"/>
      <c r="Q5987" s="318"/>
      <c r="R5987" s="318"/>
      <c r="S5987" s="318"/>
      <c r="T5987" s="318"/>
      <c r="U5987" s="318"/>
      <c r="V5987" s="318"/>
      <c r="W5987" s="318"/>
      <c r="X5987" s="318"/>
      <c r="Y5987" s="318"/>
      <c r="Z5987" s="318"/>
      <c r="AA5987" s="318"/>
      <c r="AB5987" s="318"/>
      <c r="AC5987" s="318"/>
      <c r="AD5987" s="318"/>
    </row>
    <row r="5988" spans="2:30" s="323" customFormat="1" ht="12" customHeight="1">
      <c r="B5988" s="324"/>
      <c r="C5988" s="325"/>
      <c r="D5988" s="326"/>
      <c r="E5988" s="326"/>
      <c r="F5988" s="326"/>
      <c r="G5988" s="326"/>
      <c r="H5988" s="326"/>
      <c r="P5988" s="318"/>
      <c r="Q5988" s="318"/>
      <c r="R5988" s="318"/>
      <c r="S5988" s="318"/>
      <c r="T5988" s="318"/>
      <c r="U5988" s="318"/>
      <c r="V5988" s="318"/>
      <c r="W5988" s="318"/>
      <c r="X5988" s="318"/>
      <c r="Y5988" s="318"/>
      <c r="Z5988" s="318"/>
      <c r="AA5988" s="318"/>
      <c r="AB5988" s="318"/>
      <c r="AC5988" s="318"/>
      <c r="AD5988" s="318"/>
    </row>
    <row r="5989" spans="2:30" s="323" customFormat="1" ht="12" customHeight="1">
      <c r="B5989" s="324"/>
      <c r="C5989" s="325"/>
      <c r="D5989" s="326"/>
      <c r="E5989" s="326"/>
      <c r="F5989" s="326"/>
      <c r="G5989" s="326"/>
      <c r="H5989" s="326"/>
      <c r="P5989" s="318"/>
      <c r="Q5989" s="318"/>
      <c r="R5989" s="318"/>
      <c r="S5989" s="318"/>
      <c r="T5989" s="318"/>
      <c r="U5989" s="318"/>
      <c r="V5989" s="318"/>
      <c r="W5989" s="318"/>
      <c r="X5989" s="318"/>
      <c r="Y5989" s="318"/>
      <c r="Z5989" s="318"/>
      <c r="AA5989" s="318"/>
      <c r="AB5989" s="318"/>
      <c r="AC5989" s="318"/>
      <c r="AD5989" s="318"/>
    </row>
    <row r="5990" spans="2:30" s="323" customFormat="1" ht="12" customHeight="1">
      <c r="B5990" s="324"/>
      <c r="C5990" s="325"/>
      <c r="D5990" s="326"/>
      <c r="E5990" s="326"/>
      <c r="F5990" s="326"/>
      <c r="G5990" s="326"/>
      <c r="H5990" s="326"/>
      <c r="P5990" s="318"/>
      <c r="Q5990" s="318"/>
      <c r="R5990" s="318"/>
      <c r="S5990" s="318"/>
      <c r="T5990" s="318"/>
      <c r="U5990" s="318"/>
      <c r="V5990" s="318"/>
      <c r="W5990" s="318"/>
      <c r="X5990" s="318"/>
      <c r="Y5990" s="318"/>
      <c r="Z5990" s="318"/>
      <c r="AA5990" s="318"/>
      <c r="AB5990" s="318"/>
      <c r="AC5990" s="318"/>
      <c r="AD5990" s="318"/>
    </row>
    <row r="5991" spans="2:30" s="323" customFormat="1" ht="12" customHeight="1">
      <c r="B5991" s="324"/>
      <c r="C5991" s="325"/>
      <c r="D5991" s="326"/>
      <c r="E5991" s="326"/>
      <c r="F5991" s="326"/>
      <c r="G5991" s="326"/>
      <c r="H5991" s="326"/>
      <c r="P5991" s="318"/>
      <c r="Q5991" s="318"/>
      <c r="R5991" s="318"/>
      <c r="S5991" s="318"/>
      <c r="T5991" s="318"/>
      <c r="U5991" s="318"/>
      <c r="V5991" s="318"/>
      <c r="W5991" s="318"/>
      <c r="X5991" s="318"/>
      <c r="Y5991" s="318"/>
      <c r="Z5991" s="318"/>
      <c r="AA5991" s="318"/>
      <c r="AB5991" s="318"/>
      <c r="AC5991" s="318"/>
      <c r="AD5991" s="318"/>
    </row>
    <row r="5992" spans="2:30" s="323" customFormat="1" ht="12" customHeight="1">
      <c r="B5992" s="324"/>
      <c r="C5992" s="325"/>
      <c r="D5992" s="326"/>
      <c r="E5992" s="326"/>
      <c r="F5992" s="326"/>
      <c r="G5992" s="326"/>
      <c r="H5992" s="326"/>
      <c r="P5992" s="318"/>
      <c r="Q5992" s="318"/>
      <c r="R5992" s="318"/>
      <c r="S5992" s="318"/>
      <c r="T5992" s="318"/>
      <c r="U5992" s="318"/>
      <c r="V5992" s="318"/>
      <c r="W5992" s="318"/>
      <c r="X5992" s="318"/>
      <c r="Y5992" s="318"/>
      <c r="Z5992" s="318"/>
      <c r="AA5992" s="318"/>
      <c r="AB5992" s="318"/>
      <c r="AC5992" s="318"/>
      <c r="AD5992" s="318"/>
    </row>
    <row r="5993" spans="2:30" s="323" customFormat="1" ht="12" customHeight="1">
      <c r="B5993" s="324"/>
      <c r="C5993" s="325"/>
      <c r="D5993" s="326"/>
      <c r="E5993" s="326"/>
      <c r="F5993" s="326"/>
      <c r="G5993" s="326"/>
      <c r="H5993" s="326"/>
      <c r="P5993" s="318"/>
      <c r="Q5993" s="318"/>
      <c r="R5993" s="318"/>
      <c r="S5993" s="318"/>
      <c r="T5993" s="318"/>
      <c r="U5993" s="318"/>
      <c r="V5993" s="318"/>
      <c r="W5993" s="318"/>
      <c r="X5993" s="318"/>
      <c r="Y5993" s="318"/>
      <c r="Z5993" s="318"/>
      <c r="AA5993" s="318"/>
      <c r="AB5993" s="318"/>
      <c r="AC5993" s="318"/>
      <c r="AD5993" s="318"/>
    </row>
    <row r="5994" spans="2:30" s="323" customFormat="1" ht="12" customHeight="1">
      <c r="B5994" s="324"/>
      <c r="C5994" s="325"/>
      <c r="D5994" s="326"/>
      <c r="E5994" s="326"/>
      <c r="F5994" s="326"/>
      <c r="G5994" s="326"/>
      <c r="H5994" s="326"/>
      <c r="P5994" s="318"/>
      <c r="Q5994" s="318"/>
      <c r="R5994" s="318"/>
      <c r="S5994" s="318"/>
      <c r="T5994" s="318"/>
      <c r="U5994" s="318"/>
      <c r="V5994" s="318"/>
      <c r="W5994" s="318"/>
      <c r="X5994" s="318"/>
      <c r="Y5994" s="318"/>
      <c r="Z5994" s="318"/>
      <c r="AA5994" s="318"/>
      <c r="AB5994" s="318"/>
      <c r="AC5994" s="318"/>
      <c r="AD5994" s="318"/>
    </row>
    <row r="5995" spans="2:30" s="323" customFormat="1" ht="12" customHeight="1">
      <c r="B5995" s="324"/>
      <c r="C5995" s="325"/>
      <c r="D5995" s="326"/>
      <c r="E5995" s="326"/>
      <c r="F5995" s="326"/>
      <c r="G5995" s="326"/>
      <c r="H5995" s="326"/>
      <c r="P5995" s="318"/>
      <c r="Q5995" s="318"/>
      <c r="R5995" s="318"/>
      <c r="S5995" s="318"/>
      <c r="T5995" s="318"/>
      <c r="U5995" s="318"/>
      <c r="V5995" s="318"/>
      <c r="W5995" s="318"/>
      <c r="X5995" s="318"/>
      <c r="Y5995" s="318"/>
      <c r="Z5995" s="318"/>
      <c r="AA5995" s="318"/>
      <c r="AB5995" s="318"/>
      <c r="AC5995" s="318"/>
      <c r="AD5995" s="318"/>
    </row>
    <row r="5996" spans="2:30" s="323" customFormat="1" ht="12" customHeight="1">
      <c r="B5996" s="324"/>
      <c r="C5996" s="325"/>
      <c r="D5996" s="326"/>
      <c r="E5996" s="326"/>
      <c r="F5996" s="326"/>
      <c r="G5996" s="326"/>
      <c r="H5996" s="326"/>
      <c r="P5996" s="318"/>
      <c r="Q5996" s="318"/>
      <c r="R5996" s="318"/>
      <c r="S5996" s="318"/>
      <c r="T5996" s="318"/>
      <c r="U5996" s="318"/>
      <c r="V5996" s="318"/>
      <c r="W5996" s="318"/>
      <c r="X5996" s="318"/>
      <c r="Y5996" s="318"/>
      <c r="Z5996" s="318"/>
      <c r="AA5996" s="318"/>
      <c r="AB5996" s="318"/>
      <c r="AC5996" s="318"/>
      <c r="AD5996" s="318"/>
    </row>
    <row r="5997" spans="2:30" s="323" customFormat="1" ht="12" customHeight="1">
      <c r="B5997" s="324"/>
      <c r="C5997" s="325"/>
      <c r="D5997" s="326"/>
      <c r="E5997" s="326"/>
      <c r="F5997" s="326"/>
      <c r="G5997" s="326"/>
      <c r="H5997" s="326"/>
      <c r="P5997" s="318"/>
      <c r="Q5997" s="318"/>
      <c r="R5997" s="318"/>
      <c r="S5997" s="318"/>
      <c r="T5997" s="318"/>
      <c r="U5997" s="318"/>
      <c r="V5997" s="318"/>
      <c r="W5997" s="318"/>
      <c r="X5997" s="318"/>
      <c r="Y5997" s="318"/>
      <c r="Z5997" s="318"/>
      <c r="AA5997" s="318"/>
      <c r="AB5997" s="318"/>
      <c r="AC5997" s="318"/>
      <c r="AD5997" s="318"/>
    </row>
    <row r="5998" spans="2:30" s="323" customFormat="1" ht="12" customHeight="1">
      <c r="B5998" s="324"/>
      <c r="C5998" s="325"/>
      <c r="D5998" s="326"/>
      <c r="E5998" s="326"/>
      <c r="F5998" s="326"/>
      <c r="G5998" s="326"/>
      <c r="H5998" s="326"/>
      <c r="P5998" s="318"/>
      <c r="Q5998" s="318"/>
      <c r="R5998" s="318"/>
      <c r="S5998" s="318"/>
      <c r="T5998" s="318"/>
      <c r="U5998" s="318"/>
      <c r="V5998" s="318"/>
      <c r="W5998" s="318"/>
      <c r="X5998" s="318"/>
      <c r="Y5998" s="318"/>
      <c r="Z5998" s="318"/>
      <c r="AA5998" s="318"/>
      <c r="AB5998" s="318"/>
      <c r="AC5998" s="318"/>
      <c r="AD5998" s="318"/>
    </row>
    <row r="5999" spans="2:30" s="323" customFormat="1" ht="12" customHeight="1">
      <c r="B5999" s="324"/>
      <c r="C5999" s="325"/>
      <c r="D5999" s="326"/>
      <c r="E5999" s="326"/>
      <c r="F5999" s="326"/>
      <c r="G5999" s="326"/>
      <c r="H5999" s="326"/>
      <c r="P5999" s="318"/>
      <c r="Q5999" s="318"/>
      <c r="R5999" s="318"/>
      <c r="S5999" s="318"/>
      <c r="T5999" s="318"/>
      <c r="U5999" s="318"/>
      <c r="V5999" s="318"/>
      <c r="W5999" s="318"/>
      <c r="X5999" s="318"/>
      <c r="Y5999" s="318"/>
      <c r="Z5999" s="318"/>
      <c r="AA5999" s="318"/>
      <c r="AB5999" s="318"/>
      <c r="AC5999" s="318"/>
      <c r="AD5999" s="318"/>
    </row>
    <row r="6000" spans="2:30" s="323" customFormat="1" ht="12" customHeight="1">
      <c r="B6000" s="324"/>
      <c r="C6000" s="325"/>
      <c r="D6000" s="326"/>
      <c r="E6000" s="326"/>
      <c r="F6000" s="326"/>
      <c r="G6000" s="326"/>
      <c r="H6000" s="326"/>
      <c r="P6000" s="318"/>
      <c r="Q6000" s="318"/>
      <c r="R6000" s="318"/>
      <c r="S6000" s="318"/>
      <c r="T6000" s="318"/>
      <c r="U6000" s="318"/>
      <c r="V6000" s="318"/>
      <c r="W6000" s="318"/>
      <c r="X6000" s="318"/>
      <c r="Y6000" s="318"/>
      <c r="Z6000" s="318"/>
      <c r="AA6000" s="318"/>
      <c r="AB6000" s="318"/>
      <c r="AC6000" s="318"/>
      <c r="AD6000" s="318"/>
    </row>
    <row r="6001" spans="2:30" s="323" customFormat="1" ht="12" customHeight="1">
      <c r="B6001" s="324"/>
      <c r="C6001" s="325"/>
      <c r="D6001" s="326"/>
      <c r="E6001" s="326"/>
      <c r="F6001" s="326"/>
      <c r="G6001" s="326"/>
      <c r="H6001" s="326"/>
      <c r="P6001" s="318"/>
      <c r="Q6001" s="318"/>
      <c r="R6001" s="318"/>
      <c r="S6001" s="318"/>
      <c r="T6001" s="318"/>
      <c r="U6001" s="318"/>
      <c r="V6001" s="318"/>
      <c r="W6001" s="318"/>
      <c r="X6001" s="318"/>
      <c r="Y6001" s="318"/>
      <c r="Z6001" s="318"/>
      <c r="AA6001" s="318"/>
      <c r="AB6001" s="318"/>
      <c r="AC6001" s="318"/>
      <c r="AD6001" s="318"/>
    </row>
    <row r="6002" spans="2:30" s="323" customFormat="1" ht="12" customHeight="1">
      <c r="B6002" s="324"/>
      <c r="C6002" s="325"/>
      <c r="D6002" s="326"/>
      <c r="E6002" s="326"/>
      <c r="F6002" s="326"/>
      <c r="G6002" s="326"/>
      <c r="H6002" s="326"/>
      <c r="P6002" s="318"/>
      <c r="Q6002" s="318"/>
      <c r="R6002" s="318"/>
      <c r="S6002" s="318"/>
      <c r="T6002" s="318"/>
      <c r="U6002" s="318"/>
      <c r="V6002" s="318"/>
      <c r="W6002" s="318"/>
      <c r="X6002" s="318"/>
      <c r="Y6002" s="318"/>
      <c r="Z6002" s="318"/>
      <c r="AA6002" s="318"/>
      <c r="AB6002" s="318"/>
      <c r="AC6002" s="318"/>
      <c r="AD6002" s="318"/>
    </row>
    <row r="6003" spans="2:30" s="323" customFormat="1" ht="12" customHeight="1">
      <c r="B6003" s="324"/>
      <c r="C6003" s="325"/>
      <c r="D6003" s="326"/>
      <c r="E6003" s="326"/>
      <c r="F6003" s="326"/>
      <c r="G6003" s="326"/>
      <c r="H6003" s="326"/>
      <c r="P6003" s="318"/>
      <c r="Q6003" s="318"/>
      <c r="R6003" s="318"/>
      <c r="S6003" s="318"/>
      <c r="T6003" s="318"/>
      <c r="U6003" s="318"/>
      <c r="V6003" s="318"/>
      <c r="W6003" s="318"/>
      <c r="X6003" s="318"/>
      <c r="Y6003" s="318"/>
      <c r="Z6003" s="318"/>
      <c r="AA6003" s="318"/>
      <c r="AB6003" s="318"/>
      <c r="AC6003" s="318"/>
      <c r="AD6003" s="318"/>
    </row>
    <row r="6004" spans="2:30" s="323" customFormat="1" ht="12" customHeight="1">
      <c r="B6004" s="324"/>
      <c r="C6004" s="325"/>
      <c r="D6004" s="326"/>
      <c r="E6004" s="326"/>
      <c r="F6004" s="326"/>
      <c r="G6004" s="326"/>
      <c r="H6004" s="326"/>
      <c r="P6004" s="318"/>
      <c r="Q6004" s="318"/>
      <c r="R6004" s="318"/>
      <c r="S6004" s="318"/>
      <c r="T6004" s="318"/>
      <c r="U6004" s="318"/>
      <c r="V6004" s="318"/>
      <c r="W6004" s="318"/>
      <c r="X6004" s="318"/>
      <c r="Y6004" s="318"/>
      <c r="Z6004" s="318"/>
      <c r="AA6004" s="318"/>
      <c r="AB6004" s="318"/>
      <c r="AC6004" s="318"/>
      <c r="AD6004" s="318"/>
    </row>
    <row r="6005" spans="2:30" s="323" customFormat="1" ht="12" customHeight="1">
      <c r="B6005" s="324"/>
      <c r="C6005" s="325"/>
      <c r="D6005" s="326"/>
      <c r="E6005" s="326"/>
      <c r="F6005" s="326"/>
      <c r="G6005" s="326"/>
      <c r="H6005" s="326"/>
      <c r="P6005" s="318"/>
      <c r="Q6005" s="318"/>
      <c r="R6005" s="318"/>
      <c r="S6005" s="318"/>
      <c r="T6005" s="318"/>
      <c r="U6005" s="318"/>
      <c r="V6005" s="318"/>
      <c r="W6005" s="318"/>
      <c r="X6005" s="318"/>
      <c r="Y6005" s="318"/>
      <c r="Z6005" s="318"/>
      <c r="AA6005" s="318"/>
      <c r="AB6005" s="318"/>
      <c r="AC6005" s="318"/>
      <c r="AD6005" s="318"/>
    </row>
    <row r="6006" spans="2:30" s="323" customFormat="1" ht="12" customHeight="1">
      <c r="B6006" s="324"/>
      <c r="C6006" s="325"/>
      <c r="D6006" s="326"/>
      <c r="E6006" s="326"/>
      <c r="F6006" s="326"/>
      <c r="G6006" s="326"/>
      <c r="H6006" s="326"/>
      <c r="P6006" s="318"/>
      <c r="Q6006" s="318"/>
      <c r="R6006" s="318"/>
      <c r="S6006" s="318"/>
      <c r="T6006" s="318"/>
      <c r="U6006" s="318"/>
      <c r="V6006" s="318"/>
      <c r="W6006" s="318"/>
      <c r="X6006" s="318"/>
      <c r="Y6006" s="318"/>
      <c r="Z6006" s="318"/>
      <c r="AA6006" s="318"/>
      <c r="AB6006" s="318"/>
      <c r="AC6006" s="318"/>
      <c r="AD6006" s="318"/>
    </row>
    <row r="6007" spans="2:30" s="323" customFormat="1" ht="12" customHeight="1">
      <c r="B6007" s="324"/>
      <c r="C6007" s="325"/>
      <c r="D6007" s="326"/>
      <c r="E6007" s="326"/>
      <c r="F6007" s="326"/>
      <c r="G6007" s="326"/>
      <c r="H6007" s="326"/>
      <c r="P6007" s="318"/>
      <c r="Q6007" s="318"/>
      <c r="R6007" s="318"/>
      <c r="S6007" s="318"/>
      <c r="T6007" s="318"/>
      <c r="U6007" s="318"/>
      <c r="V6007" s="318"/>
      <c r="W6007" s="318"/>
      <c r="X6007" s="318"/>
      <c r="Y6007" s="318"/>
      <c r="Z6007" s="318"/>
      <c r="AA6007" s="318"/>
      <c r="AB6007" s="318"/>
      <c r="AC6007" s="318"/>
      <c r="AD6007" s="318"/>
    </row>
    <row r="6008" spans="2:30" s="323" customFormat="1" ht="12" customHeight="1">
      <c r="B6008" s="324"/>
      <c r="C6008" s="325"/>
      <c r="D6008" s="326"/>
      <c r="E6008" s="326"/>
      <c r="F6008" s="326"/>
      <c r="G6008" s="326"/>
      <c r="H6008" s="326"/>
      <c r="P6008" s="318"/>
      <c r="Q6008" s="318"/>
      <c r="R6008" s="318"/>
      <c r="S6008" s="318"/>
      <c r="T6008" s="318"/>
      <c r="U6008" s="318"/>
      <c r="V6008" s="318"/>
      <c r="W6008" s="318"/>
      <c r="X6008" s="318"/>
      <c r="Y6008" s="318"/>
      <c r="Z6008" s="318"/>
      <c r="AA6008" s="318"/>
      <c r="AB6008" s="318"/>
      <c r="AC6008" s="318"/>
      <c r="AD6008" s="318"/>
    </row>
    <row r="6009" spans="2:30" s="323" customFormat="1" ht="12" customHeight="1">
      <c r="B6009" s="324"/>
      <c r="C6009" s="325"/>
      <c r="D6009" s="326"/>
      <c r="E6009" s="326"/>
      <c r="F6009" s="326"/>
      <c r="G6009" s="326"/>
      <c r="H6009" s="326"/>
      <c r="P6009" s="318"/>
      <c r="Q6009" s="318"/>
      <c r="R6009" s="318"/>
      <c r="S6009" s="318"/>
      <c r="T6009" s="318"/>
      <c r="U6009" s="318"/>
      <c r="V6009" s="318"/>
      <c r="W6009" s="318"/>
      <c r="X6009" s="318"/>
      <c r="Y6009" s="318"/>
      <c r="Z6009" s="318"/>
      <c r="AA6009" s="318"/>
      <c r="AB6009" s="318"/>
      <c r="AC6009" s="318"/>
      <c r="AD6009" s="318"/>
    </row>
    <row r="6010" spans="2:30" s="323" customFormat="1" ht="12" customHeight="1">
      <c r="B6010" s="324"/>
      <c r="C6010" s="325"/>
      <c r="D6010" s="326"/>
      <c r="E6010" s="326"/>
      <c r="F6010" s="326"/>
      <c r="G6010" s="326"/>
      <c r="H6010" s="326"/>
      <c r="P6010" s="318"/>
      <c r="Q6010" s="318"/>
      <c r="R6010" s="318"/>
      <c r="S6010" s="318"/>
      <c r="T6010" s="318"/>
      <c r="U6010" s="318"/>
      <c r="V6010" s="318"/>
      <c r="W6010" s="318"/>
      <c r="X6010" s="318"/>
      <c r="Y6010" s="318"/>
      <c r="Z6010" s="318"/>
      <c r="AA6010" s="318"/>
      <c r="AB6010" s="318"/>
      <c r="AC6010" s="318"/>
      <c r="AD6010" s="318"/>
    </row>
    <row r="6011" spans="2:30" s="323" customFormat="1" ht="12" customHeight="1">
      <c r="B6011" s="324"/>
      <c r="C6011" s="325"/>
      <c r="D6011" s="326"/>
      <c r="E6011" s="326"/>
      <c r="F6011" s="326"/>
      <c r="G6011" s="326"/>
      <c r="H6011" s="326"/>
      <c r="P6011" s="318"/>
      <c r="Q6011" s="318"/>
      <c r="R6011" s="318"/>
      <c r="S6011" s="318"/>
      <c r="T6011" s="318"/>
      <c r="U6011" s="318"/>
      <c r="V6011" s="318"/>
      <c r="W6011" s="318"/>
      <c r="X6011" s="318"/>
      <c r="Y6011" s="318"/>
      <c r="Z6011" s="318"/>
      <c r="AA6011" s="318"/>
      <c r="AB6011" s="318"/>
      <c r="AC6011" s="318"/>
      <c r="AD6011" s="318"/>
    </row>
    <row r="6012" spans="2:30" s="323" customFormat="1" ht="12" customHeight="1">
      <c r="B6012" s="324"/>
      <c r="C6012" s="325"/>
      <c r="D6012" s="326"/>
      <c r="E6012" s="326"/>
      <c r="F6012" s="326"/>
      <c r="G6012" s="326"/>
      <c r="H6012" s="326"/>
      <c r="P6012" s="318"/>
      <c r="Q6012" s="318"/>
      <c r="R6012" s="318"/>
      <c r="S6012" s="318"/>
      <c r="T6012" s="318"/>
      <c r="U6012" s="318"/>
      <c r="V6012" s="318"/>
      <c r="W6012" s="318"/>
      <c r="X6012" s="318"/>
      <c r="Y6012" s="318"/>
      <c r="Z6012" s="318"/>
      <c r="AA6012" s="318"/>
      <c r="AB6012" s="318"/>
      <c r="AC6012" s="318"/>
      <c r="AD6012" s="318"/>
    </row>
    <row r="6013" spans="2:30" s="323" customFormat="1" ht="12" customHeight="1">
      <c r="B6013" s="324"/>
      <c r="C6013" s="325"/>
      <c r="D6013" s="326"/>
      <c r="E6013" s="326"/>
      <c r="F6013" s="326"/>
      <c r="G6013" s="326"/>
      <c r="H6013" s="326"/>
      <c r="P6013" s="318"/>
      <c r="Q6013" s="318"/>
      <c r="R6013" s="318"/>
      <c r="S6013" s="318"/>
      <c r="T6013" s="318"/>
      <c r="U6013" s="318"/>
      <c r="V6013" s="318"/>
      <c r="W6013" s="318"/>
      <c r="X6013" s="318"/>
      <c r="Y6013" s="318"/>
      <c r="Z6013" s="318"/>
      <c r="AA6013" s="318"/>
      <c r="AB6013" s="318"/>
      <c r="AC6013" s="318"/>
      <c r="AD6013" s="318"/>
    </row>
    <row r="6014" spans="2:30" s="323" customFormat="1" ht="12" customHeight="1">
      <c r="B6014" s="324"/>
      <c r="C6014" s="325"/>
      <c r="D6014" s="326"/>
      <c r="E6014" s="326"/>
      <c r="F6014" s="326"/>
      <c r="G6014" s="326"/>
      <c r="H6014" s="326"/>
      <c r="P6014" s="318"/>
      <c r="Q6014" s="318"/>
      <c r="R6014" s="318"/>
      <c r="S6014" s="318"/>
      <c r="T6014" s="318"/>
      <c r="U6014" s="318"/>
      <c r="V6014" s="318"/>
      <c r="W6014" s="318"/>
      <c r="X6014" s="318"/>
      <c r="Y6014" s="318"/>
      <c r="Z6014" s="318"/>
      <c r="AA6014" s="318"/>
      <c r="AB6014" s="318"/>
      <c r="AC6014" s="318"/>
      <c r="AD6014" s="318"/>
    </row>
    <row r="6015" spans="2:30" s="323" customFormat="1" ht="12" customHeight="1">
      <c r="B6015" s="324"/>
      <c r="C6015" s="325"/>
      <c r="D6015" s="326"/>
      <c r="E6015" s="326"/>
      <c r="F6015" s="326"/>
      <c r="G6015" s="326"/>
      <c r="H6015" s="326"/>
      <c r="P6015" s="318"/>
      <c r="Q6015" s="318"/>
      <c r="R6015" s="318"/>
      <c r="S6015" s="318"/>
      <c r="T6015" s="318"/>
      <c r="U6015" s="318"/>
      <c r="V6015" s="318"/>
      <c r="W6015" s="318"/>
      <c r="X6015" s="318"/>
      <c r="Y6015" s="318"/>
      <c r="Z6015" s="318"/>
      <c r="AA6015" s="318"/>
      <c r="AB6015" s="318"/>
      <c r="AC6015" s="318"/>
      <c r="AD6015" s="318"/>
    </row>
    <row r="6016" spans="2:30" s="323" customFormat="1" ht="12" customHeight="1">
      <c r="B6016" s="324"/>
      <c r="C6016" s="325"/>
      <c r="D6016" s="326"/>
      <c r="E6016" s="326"/>
      <c r="F6016" s="326"/>
      <c r="G6016" s="326"/>
      <c r="H6016" s="326"/>
      <c r="P6016" s="318"/>
      <c r="Q6016" s="318"/>
      <c r="R6016" s="318"/>
      <c r="S6016" s="318"/>
      <c r="T6016" s="318"/>
      <c r="U6016" s="318"/>
      <c r="V6016" s="318"/>
      <c r="W6016" s="318"/>
      <c r="X6016" s="318"/>
      <c r="Y6016" s="318"/>
      <c r="Z6016" s="318"/>
      <c r="AA6016" s="318"/>
      <c r="AB6016" s="318"/>
      <c r="AC6016" s="318"/>
      <c r="AD6016" s="318"/>
    </row>
    <row r="6017" spans="2:30" s="323" customFormat="1" ht="12" customHeight="1">
      <c r="B6017" s="324"/>
      <c r="C6017" s="325"/>
      <c r="D6017" s="326"/>
      <c r="E6017" s="326"/>
      <c r="F6017" s="326"/>
      <c r="G6017" s="326"/>
      <c r="H6017" s="326"/>
      <c r="P6017" s="318"/>
      <c r="Q6017" s="318"/>
      <c r="R6017" s="318"/>
      <c r="S6017" s="318"/>
      <c r="T6017" s="318"/>
      <c r="U6017" s="318"/>
      <c r="V6017" s="318"/>
      <c r="W6017" s="318"/>
      <c r="X6017" s="318"/>
      <c r="Y6017" s="318"/>
      <c r="Z6017" s="318"/>
      <c r="AA6017" s="318"/>
      <c r="AB6017" s="318"/>
      <c r="AC6017" s="318"/>
      <c r="AD6017" s="318"/>
    </row>
    <row r="6018" spans="2:30" s="323" customFormat="1" ht="12" customHeight="1">
      <c r="B6018" s="324"/>
      <c r="C6018" s="325"/>
      <c r="D6018" s="326"/>
      <c r="E6018" s="326"/>
      <c r="F6018" s="326"/>
      <c r="G6018" s="326"/>
      <c r="H6018" s="326"/>
      <c r="P6018" s="318"/>
      <c r="Q6018" s="318"/>
      <c r="R6018" s="318"/>
      <c r="S6018" s="318"/>
      <c r="T6018" s="318"/>
      <c r="U6018" s="318"/>
      <c r="V6018" s="318"/>
      <c r="W6018" s="318"/>
      <c r="X6018" s="318"/>
      <c r="Y6018" s="318"/>
      <c r="Z6018" s="318"/>
      <c r="AA6018" s="318"/>
      <c r="AB6018" s="318"/>
      <c r="AC6018" s="318"/>
      <c r="AD6018" s="318"/>
    </row>
    <row r="6019" spans="2:30" s="323" customFormat="1" ht="12" customHeight="1">
      <c r="B6019" s="324"/>
      <c r="C6019" s="325"/>
      <c r="D6019" s="326"/>
      <c r="E6019" s="326"/>
      <c r="F6019" s="326"/>
      <c r="G6019" s="326"/>
      <c r="H6019" s="326"/>
      <c r="P6019" s="318"/>
      <c r="Q6019" s="318"/>
      <c r="R6019" s="318"/>
      <c r="S6019" s="318"/>
      <c r="T6019" s="318"/>
      <c r="U6019" s="318"/>
      <c r="V6019" s="318"/>
      <c r="W6019" s="318"/>
      <c r="X6019" s="318"/>
      <c r="Y6019" s="318"/>
      <c r="Z6019" s="318"/>
      <c r="AA6019" s="318"/>
      <c r="AB6019" s="318"/>
      <c r="AC6019" s="318"/>
      <c r="AD6019" s="318"/>
    </row>
    <row r="6020" spans="2:30" s="323" customFormat="1" ht="12" customHeight="1">
      <c r="B6020" s="324"/>
      <c r="C6020" s="325"/>
      <c r="D6020" s="326"/>
      <c r="E6020" s="326"/>
      <c r="F6020" s="326"/>
      <c r="G6020" s="326"/>
      <c r="H6020" s="326"/>
      <c r="P6020" s="318"/>
      <c r="Q6020" s="318"/>
      <c r="R6020" s="318"/>
      <c r="S6020" s="318"/>
      <c r="T6020" s="318"/>
      <c r="U6020" s="318"/>
      <c r="V6020" s="318"/>
      <c r="W6020" s="318"/>
      <c r="X6020" s="318"/>
      <c r="Y6020" s="318"/>
      <c r="Z6020" s="318"/>
      <c r="AA6020" s="318"/>
      <c r="AB6020" s="318"/>
      <c r="AC6020" s="318"/>
      <c r="AD6020" s="318"/>
    </row>
    <row r="6021" spans="2:30" s="323" customFormat="1" ht="12" customHeight="1">
      <c r="B6021" s="324"/>
      <c r="C6021" s="325"/>
      <c r="D6021" s="326"/>
      <c r="E6021" s="326"/>
      <c r="F6021" s="326"/>
      <c r="G6021" s="326"/>
      <c r="H6021" s="326"/>
      <c r="P6021" s="318"/>
      <c r="Q6021" s="318"/>
      <c r="R6021" s="318"/>
      <c r="S6021" s="318"/>
      <c r="T6021" s="318"/>
      <c r="U6021" s="318"/>
      <c r="V6021" s="318"/>
      <c r="W6021" s="318"/>
      <c r="X6021" s="318"/>
      <c r="Y6021" s="318"/>
      <c r="Z6021" s="318"/>
      <c r="AA6021" s="318"/>
      <c r="AB6021" s="318"/>
      <c r="AC6021" s="318"/>
      <c r="AD6021" s="318"/>
    </row>
    <row r="6022" spans="2:30" s="323" customFormat="1" ht="12" customHeight="1">
      <c r="B6022" s="324"/>
      <c r="C6022" s="325"/>
      <c r="D6022" s="326"/>
      <c r="E6022" s="326"/>
      <c r="F6022" s="326"/>
      <c r="G6022" s="326"/>
      <c r="H6022" s="326"/>
      <c r="P6022" s="318"/>
      <c r="Q6022" s="318"/>
      <c r="R6022" s="318"/>
      <c r="S6022" s="318"/>
      <c r="T6022" s="318"/>
      <c r="U6022" s="318"/>
      <c r="V6022" s="318"/>
      <c r="W6022" s="318"/>
      <c r="X6022" s="318"/>
      <c r="Y6022" s="318"/>
      <c r="Z6022" s="318"/>
      <c r="AA6022" s="318"/>
      <c r="AB6022" s="318"/>
      <c r="AC6022" s="318"/>
      <c r="AD6022" s="318"/>
    </row>
    <row r="6023" spans="2:30" s="323" customFormat="1" ht="12" customHeight="1">
      <c r="B6023" s="324"/>
      <c r="C6023" s="325"/>
      <c r="D6023" s="326"/>
      <c r="E6023" s="326"/>
      <c r="F6023" s="326"/>
      <c r="G6023" s="326"/>
      <c r="H6023" s="326"/>
      <c r="P6023" s="318"/>
      <c r="Q6023" s="318"/>
      <c r="R6023" s="318"/>
      <c r="S6023" s="318"/>
      <c r="T6023" s="318"/>
      <c r="U6023" s="318"/>
      <c r="V6023" s="318"/>
      <c r="W6023" s="318"/>
      <c r="X6023" s="318"/>
      <c r="Y6023" s="318"/>
      <c r="Z6023" s="318"/>
      <c r="AA6023" s="318"/>
      <c r="AB6023" s="318"/>
      <c r="AC6023" s="318"/>
      <c r="AD6023" s="318"/>
    </row>
    <row r="6024" spans="2:30" s="323" customFormat="1" ht="12" customHeight="1">
      <c r="B6024" s="324"/>
      <c r="C6024" s="325"/>
      <c r="D6024" s="326"/>
      <c r="E6024" s="326"/>
      <c r="F6024" s="326"/>
      <c r="G6024" s="326"/>
      <c r="H6024" s="326"/>
      <c r="P6024" s="318"/>
      <c r="Q6024" s="318"/>
      <c r="R6024" s="318"/>
      <c r="S6024" s="318"/>
      <c r="T6024" s="318"/>
      <c r="U6024" s="318"/>
      <c r="V6024" s="318"/>
      <c r="W6024" s="318"/>
      <c r="X6024" s="318"/>
      <c r="Y6024" s="318"/>
      <c r="Z6024" s="318"/>
      <c r="AA6024" s="318"/>
      <c r="AB6024" s="318"/>
      <c r="AC6024" s="318"/>
      <c r="AD6024" s="318"/>
    </row>
    <row r="6025" spans="2:30" s="323" customFormat="1" ht="12" customHeight="1">
      <c r="B6025" s="324"/>
      <c r="C6025" s="325"/>
      <c r="D6025" s="326"/>
      <c r="E6025" s="326"/>
      <c r="F6025" s="326"/>
      <c r="G6025" s="326"/>
      <c r="H6025" s="326"/>
      <c r="P6025" s="318"/>
      <c r="Q6025" s="318"/>
      <c r="R6025" s="318"/>
      <c r="S6025" s="318"/>
      <c r="T6025" s="318"/>
      <c r="U6025" s="318"/>
      <c r="V6025" s="318"/>
      <c r="W6025" s="318"/>
      <c r="X6025" s="318"/>
      <c r="Y6025" s="318"/>
      <c r="Z6025" s="318"/>
      <c r="AA6025" s="318"/>
      <c r="AB6025" s="318"/>
      <c r="AC6025" s="318"/>
      <c r="AD6025" s="318"/>
    </row>
    <row r="6026" spans="2:30" s="323" customFormat="1" ht="12" customHeight="1">
      <c r="B6026" s="324"/>
      <c r="C6026" s="325"/>
      <c r="D6026" s="326"/>
      <c r="E6026" s="326"/>
      <c r="F6026" s="326"/>
      <c r="G6026" s="326"/>
      <c r="H6026" s="326"/>
      <c r="P6026" s="318"/>
      <c r="Q6026" s="318"/>
      <c r="R6026" s="318"/>
      <c r="S6026" s="318"/>
      <c r="T6026" s="318"/>
      <c r="U6026" s="318"/>
      <c r="V6026" s="318"/>
      <c r="W6026" s="318"/>
      <c r="X6026" s="318"/>
      <c r="Y6026" s="318"/>
      <c r="Z6026" s="318"/>
      <c r="AA6026" s="318"/>
      <c r="AB6026" s="318"/>
      <c r="AC6026" s="318"/>
      <c r="AD6026" s="318"/>
    </row>
    <row r="6027" spans="2:30" s="323" customFormat="1" ht="12" customHeight="1">
      <c r="B6027" s="324"/>
      <c r="C6027" s="325"/>
      <c r="D6027" s="326"/>
      <c r="E6027" s="326"/>
      <c r="F6027" s="326"/>
      <c r="G6027" s="326"/>
      <c r="H6027" s="326"/>
      <c r="P6027" s="318"/>
      <c r="Q6027" s="318"/>
      <c r="R6027" s="318"/>
      <c r="S6027" s="318"/>
      <c r="T6027" s="318"/>
      <c r="U6027" s="318"/>
      <c r="V6027" s="318"/>
      <c r="W6027" s="318"/>
      <c r="X6027" s="318"/>
      <c r="Y6027" s="318"/>
      <c r="Z6027" s="318"/>
      <c r="AA6027" s="318"/>
      <c r="AB6027" s="318"/>
      <c r="AC6027" s="318"/>
      <c r="AD6027" s="318"/>
    </row>
    <row r="6028" spans="2:30" s="323" customFormat="1" ht="12" customHeight="1">
      <c r="B6028" s="324"/>
      <c r="C6028" s="325"/>
      <c r="D6028" s="326"/>
      <c r="E6028" s="326"/>
      <c r="F6028" s="326"/>
      <c r="G6028" s="326"/>
      <c r="H6028" s="326"/>
      <c r="P6028" s="318"/>
      <c r="Q6028" s="318"/>
      <c r="R6028" s="318"/>
      <c r="S6028" s="318"/>
      <c r="T6028" s="318"/>
      <c r="U6028" s="318"/>
      <c r="V6028" s="318"/>
      <c r="W6028" s="318"/>
      <c r="X6028" s="318"/>
      <c r="Y6028" s="318"/>
      <c r="Z6028" s="318"/>
      <c r="AA6028" s="318"/>
      <c r="AB6028" s="318"/>
      <c r="AC6028" s="318"/>
      <c r="AD6028" s="318"/>
    </row>
    <row r="6029" spans="2:30" s="323" customFormat="1" ht="12" customHeight="1">
      <c r="B6029" s="324"/>
      <c r="C6029" s="325"/>
      <c r="D6029" s="326"/>
      <c r="E6029" s="326"/>
      <c r="F6029" s="326"/>
      <c r="G6029" s="326"/>
      <c r="H6029" s="326"/>
      <c r="P6029" s="318"/>
      <c r="Q6029" s="318"/>
      <c r="R6029" s="318"/>
      <c r="S6029" s="318"/>
      <c r="T6029" s="318"/>
      <c r="U6029" s="318"/>
      <c r="V6029" s="318"/>
      <c r="W6029" s="318"/>
      <c r="X6029" s="318"/>
      <c r="Y6029" s="318"/>
      <c r="Z6029" s="318"/>
      <c r="AA6029" s="318"/>
      <c r="AB6029" s="318"/>
      <c r="AC6029" s="318"/>
      <c r="AD6029" s="318"/>
    </row>
    <row r="6030" spans="2:30" s="323" customFormat="1" ht="12" customHeight="1">
      <c r="B6030" s="324"/>
      <c r="C6030" s="325"/>
      <c r="D6030" s="326"/>
      <c r="E6030" s="326"/>
      <c r="F6030" s="326"/>
      <c r="G6030" s="326"/>
      <c r="H6030" s="326"/>
      <c r="P6030" s="318"/>
      <c r="Q6030" s="318"/>
      <c r="R6030" s="318"/>
      <c r="S6030" s="318"/>
      <c r="T6030" s="318"/>
      <c r="U6030" s="318"/>
      <c r="V6030" s="318"/>
      <c r="W6030" s="318"/>
      <c r="X6030" s="318"/>
      <c r="Y6030" s="318"/>
      <c r="Z6030" s="318"/>
      <c r="AA6030" s="318"/>
      <c r="AB6030" s="318"/>
      <c r="AC6030" s="318"/>
      <c r="AD6030" s="318"/>
    </row>
    <row r="6031" spans="2:30" s="323" customFormat="1" ht="12" customHeight="1">
      <c r="B6031" s="324"/>
      <c r="C6031" s="325"/>
      <c r="D6031" s="326"/>
      <c r="E6031" s="326"/>
      <c r="F6031" s="326"/>
      <c r="G6031" s="326"/>
      <c r="H6031" s="326"/>
      <c r="P6031" s="318"/>
      <c r="Q6031" s="318"/>
      <c r="R6031" s="318"/>
      <c r="S6031" s="318"/>
      <c r="T6031" s="318"/>
      <c r="U6031" s="318"/>
      <c r="V6031" s="318"/>
      <c r="W6031" s="318"/>
      <c r="X6031" s="318"/>
      <c r="Y6031" s="318"/>
      <c r="Z6031" s="318"/>
      <c r="AA6031" s="318"/>
      <c r="AB6031" s="318"/>
      <c r="AC6031" s="318"/>
      <c r="AD6031" s="318"/>
    </row>
    <row r="6032" spans="2:30" s="323" customFormat="1" ht="12" customHeight="1">
      <c r="B6032" s="324"/>
      <c r="C6032" s="325"/>
      <c r="D6032" s="326"/>
      <c r="E6032" s="326"/>
      <c r="F6032" s="326"/>
      <c r="G6032" s="326"/>
      <c r="H6032" s="326"/>
      <c r="P6032" s="318"/>
      <c r="Q6032" s="318"/>
      <c r="R6032" s="318"/>
      <c r="S6032" s="318"/>
      <c r="T6032" s="318"/>
      <c r="U6032" s="318"/>
      <c r="V6032" s="318"/>
      <c r="W6032" s="318"/>
      <c r="X6032" s="318"/>
      <c r="Y6032" s="318"/>
      <c r="Z6032" s="318"/>
      <c r="AA6032" s="318"/>
      <c r="AB6032" s="318"/>
      <c r="AC6032" s="318"/>
      <c r="AD6032" s="318"/>
    </row>
    <row r="6033" spans="2:30" s="323" customFormat="1" ht="12" customHeight="1">
      <c r="B6033" s="324"/>
      <c r="C6033" s="325"/>
      <c r="D6033" s="326"/>
      <c r="E6033" s="326"/>
      <c r="F6033" s="326"/>
      <c r="G6033" s="326"/>
      <c r="H6033" s="326"/>
      <c r="P6033" s="318"/>
      <c r="Q6033" s="318"/>
      <c r="R6033" s="318"/>
      <c r="S6033" s="318"/>
      <c r="T6033" s="318"/>
      <c r="U6033" s="318"/>
      <c r="V6033" s="318"/>
      <c r="W6033" s="318"/>
      <c r="X6033" s="318"/>
      <c r="Y6033" s="318"/>
      <c r="Z6033" s="318"/>
      <c r="AA6033" s="318"/>
      <c r="AB6033" s="318"/>
      <c r="AC6033" s="318"/>
      <c r="AD6033" s="318"/>
    </row>
    <row r="6034" spans="2:30" s="323" customFormat="1" ht="12" customHeight="1">
      <c r="B6034" s="324"/>
      <c r="C6034" s="325"/>
      <c r="D6034" s="326"/>
      <c r="E6034" s="326"/>
      <c r="F6034" s="326"/>
      <c r="G6034" s="326"/>
      <c r="H6034" s="326"/>
      <c r="P6034" s="318"/>
      <c r="Q6034" s="318"/>
      <c r="R6034" s="318"/>
      <c r="S6034" s="318"/>
      <c r="T6034" s="318"/>
      <c r="U6034" s="318"/>
      <c r="V6034" s="318"/>
      <c r="W6034" s="318"/>
      <c r="X6034" s="318"/>
      <c r="Y6034" s="318"/>
      <c r="Z6034" s="318"/>
      <c r="AA6034" s="318"/>
      <c r="AB6034" s="318"/>
      <c r="AC6034" s="318"/>
      <c r="AD6034" s="318"/>
    </row>
    <row r="6035" spans="2:30" s="323" customFormat="1" ht="12" customHeight="1">
      <c r="B6035" s="324"/>
      <c r="C6035" s="325"/>
      <c r="D6035" s="326"/>
      <c r="E6035" s="326"/>
      <c r="F6035" s="326"/>
      <c r="G6035" s="326"/>
      <c r="H6035" s="326"/>
      <c r="P6035" s="318"/>
      <c r="Q6035" s="318"/>
      <c r="R6035" s="318"/>
      <c r="S6035" s="318"/>
      <c r="T6035" s="318"/>
      <c r="U6035" s="318"/>
      <c r="V6035" s="318"/>
      <c r="W6035" s="318"/>
      <c r="X6035" s="318"/>
      <c r="Y6035" s="318"/>
      <c r="Z6035" s="318"/>
      <c r="AA6035" s="318"/>
      <c r="AB6035" s="318"/>
      <c r="AC6035" s="318"/>
      <c r="AD6035" s="318"/>
    </row>
    <row r="6036" spans="2:30" s="323" customFormat="1" ht="12" customHeight="1">
      <c r="B6036" s="324"/>
      <c r="C6036" s="325"/>
      <c r="D6036" s="326"/>
      <c r="E6036" s="326"/>
      <c r="F6036" s="326"/>
      <c r="G6036" s="326"/>
      <c r="H6036" s="326"/>
      <c r="P6036" s="318"/>
      <c r="Q6036" s="318"/>
      <c r="R6036" s="318"/>
      <c r="S6036" s="318"/>
      <c r="T6036" s="318"/>
      <c r="U6036" s="318"/>
      <c r="V6036" s="318"/>
      <c r="W6036" s="318"/>
      <c r="X6036" s="318"/>
      <c r="Y6036" s="318"/>
      <c r="Z6036" s="318"/>
      <c r="AA6036" s="318"/>
      <c r="AB6036" s="318"/>
      <c r="AC6036" s="318"/>
      <c r="AD6036" s="318"/>
    </row>
    <row r="6037" spans="2:30" s="323" customFormat="1" ht="12" customHeight="1">
      <c r="B6037" s="324"/>
      <c r="C6037" s="325"/>
      <c r="D6037" s="326"/>
      <c r="E6037" s="326"/>
      <c r="F6037" s="326"/>
      <c r="G6037" s="326"/>
      <c r="H6037" s="326"/>
      <c r="P6037" s="318"/>
      <c r="Q6037" s="318"/>
      <c r="R6037" s="318"/>
      <c r="S6037" s="318"/>
      <c r="T6037" s="318"/>
      <c r="U6037" s="318"/>
      <c r="V6037" s="318"/>
      <c r="W6037" s="318"/>
      <c r="X6037" s="318"/>
      <c r="Y6037" s="318"/>
      <c r="Z6037" s="318"/>
      <c r="AA6037" s="318"/>
      <c r="AB6037" s="318"/>
      <c r="AC6037" s="318"/>
      <c r="AD6037" s="318"/>
    </row>
    <row r="6038" spans="2:30" s="323" customFormat="1" ht="12" customHeight="1">
      <c r="B6038" s="324"/>
      <c r="C6038" s="325"/>
      <c r="D6038" s="326"/>
      <c r="E6038" s="326"/>
      <c r="F6038" s="326"/>
      <c r="G6038" s="326"/>
      <c r="H6038" s="326"/>
      <c r="P6038" s="318"/>
      <c r="Q6038" s="318"/>
      <c r="R6038" s="318"/>
      <c r="S6038" s="318"/>
      <c r="T6038" s="318"/>
      <c r="U6038" s="318"/>
      <c r="V6038" s="318"/>
      <c r="W6038" s="318"/>
      <c r="X6038" s="318"/>
      <c r="Y6038" s="318"/>
      <c r="Z6038" s="318"/>
      <c r="AA6038" s="318"/>
      <c r="AB6038" s="318"/>
      <c r="AC6038" s="318"/>
      <c r="AD6038" s="318"/>
    </row>
    <row r="6039" spans="2:30" s="323" customFormat="1" ht="12" customHeight="1">
      <c r="B6039" s="324"/>
      <c r="C6039" s="325"/>
      <c r="D6039" s="326"/>
      <c r="E6039" s="326"/>
      <c r="F6039" s="326"/>
      <c r="G6039" s="326"/>
      <c r="H6039" s="326"/>
      <c r="P6039" s="318"/>
      <c r="Q6039" s="318"/>
      <c r="R6039" s="318"/>
      <c r="S6039" s="318"/>
      <c r="T6039" s="318"/>
      <c r="U6039" s="318"/>
      <c r="V6039" s="318"/>
      <c r="W6039" s="318"/>
      <c r="X6039" s="318"/>
      <c r="Y6039" s="318"/>
      <c r="Z6039" s="318"/>
      <c r="AA6039" s="318"/>
      <c r="AB6039" s="318"/>
      <c r="AC6039" s="318"/>
      <c r="AD6039" s="318"/>
    </row>
    <row r="6040" spans="2:30" s="323" customFormat="1" ht="12" customHeight="1">
      <c r="B6040" s="324"/>
      <c r="C6040" s="325"/>
      <c r="D6040" s="326"/>
      <c r="E6040" s="326"/>
      <c r="F6040" s="326"/>
      <c r="G6040" s="326"/>
      <c r="H6040" s="326"/>
      <c r="P6040" s="318"/>
      <c r="Q6040" s="318"/>
      <c r="R6040" s="318"/>
      <c r="S6040" s="318"/>
      <c r="T6040" s="318"/>
      <c r="U6040" s="318"/>
      <c r="V6040" s="318"/>
      <c r="W6040" s="318"/>
      <c r="X6040" s="318"/>
      <c r="Y6040" s="318"/>
      <c r="Z6040" s="318"/>
      <c r="AA6040" s="318"/>
      <c r="AB6040" s="318"/>
      <c r="AC6040" s="318"/>
      <c r="AD6040" s="318"/>
    </row>
    <row r="6041" spans="2:30" s="323" customFormat="1" ht="12" customHeight="1">
      <c r="B6041" s="324"/>
      <c r="C6041" s="325"/>
      <c r="D6041" s="326"/>
      <c r="E6041" s="326"/>
      <c r="F6041" s="326"/>
      <c r="G6041" s="326"/>
      <c r="H6041" s="326"/>
      <c r="P6041" s="318"/>
      <c r="Q6041" s="318"/>
      <c r="R6041" s="318"/>
      <c r="S6041" s="318"/>
      <c r="T6041" s="318"/>
      <c r="U6041" s="318"/>
      <c r="V6041" s="318"/>
      <c r="W6041" s="318"/>
      <c r="X6041" s="318"/>
      <c r="Y6041" s="318"/>
      <c r="Z6041" s="318"/>
      <c r="AA6041" s="318"/>
      <c r="AB6041" s="318"/>
      <c r="AC6041" s="318"/>
      <c r="AD6041" s="318"/>
    </row>
    <row r="6042" spans="2:30" s="323" customFormat="1" ht="12" customHeight="1">
      <c r="B6042" s="324"/>
      <c r="C6042" s="325"/>
      <c r="D6042" s="326"/>
      <c r="E6042" s="326"/>
      <c r="F6042" s="326"/>
      <c r="G6042" s="326"/>
      <c r="H6042" s="326"/>
      <c r="P6042" s="318"/>
      <c r="Q6042" s="318"/>
      <c r="R6042" s="318"/>
      <c r="S6042" s="318"/>
      <c r="T6042" s="318"/>
      <c r="U6042" s="318"/>
      <c r="V6042" s="318"/>
      <c r="W6042" s="318"/>
      <c r="X6042" s="318"/>
      <c r="Y6042" s="318"/>
      <c r="Z6042" s="318"/>
      <c r="AA6042" s="318"/>
      <c r="AB6042" s="318"/>
      <c r="AC6042" s="318"/>
      <c r="AD6042" s="318"/>
    </row>
    <row r="6043" spans="2:30" s="323" customFormat="1" ht="12" customHeight="1">
      <c r="B6043" s="324"/>
      <c r="C6043" s="325"/>
      <c r="D6043" s="326"/>
      <c r="E6043" s="326"/>
      <c r="F6043" s="326"/>
      <c r="G6043" s="326"/>
      <c r="H6043" s="326"/>
      <c r="P6043" s="318"/>
      <c r="Q6043" s="318"/>
      <c r="R6043" s="318"/>
      <c r="S6043" s="318"/>
      <c r="T6043" s="318"/>
      <c r="U6043" s="318"/>
      <c r="V6043" s="318"/>
      <c r="W6043" s="318"/>
      <c r="X6043" s="318"/>
      <c r="Y6043" s="318"/>
      <c r="Z6043" s="318"/>
      <c r="AA6043" s="318"/>
      <c r="AB6043" s="318"/>
      <c r="AC6043" s="318"/>
      <c r="AD6043" s="318"/>
    </row>
    <row r="6044" spans="2:30" s="323" customFormat="1" ht="12" customHeight="1">
      <c r="B6044" s="324"/>
      <c r="C6044" s="325"/>
      <c r="D6044" s="326"/>
      <c r="E6044" s="326"/>
      <c r="F6044" s="326"/>
      <c r="G6044" s="326"/>
      <c r="H6044" s="326"/>
      <c r="P6044" s="318"/>
      <c r="Q6044" s="318"/>
      <c r="R6044" s="318"/>
      <c r="S6044" s="318"/>
      <c r="T6044" s="318"/>
      <c r="U6044" s="318"/>
      <c r="V6044" s="318"/>
      <c r="W6044" s="318"/>
      <c r="X6044" s="318"/>
      <c r="Y6044" s="318"/>
      <c r="Z6044" s="318"/>
      <c r="AA6044" s="318"/>
      <c r="AB6044" s="318"/>
      <c r="AC6044" s="318"/>
      <c r="AD6044" s="318"/>
    </row>
    <row r="6045" spans="2:30" s="323" customFormat="1" ht="12" customHeight="1">
      <c r="B6045" s="324"/>
      <c r="C6045" s="325"/>
      <c r="D6045" s="326"/>
      <c r="E6045" s="326"/>
      <c r="F6045" s="326"/>
      <c r="G6045" s="326"/>
      <c r="H6045" s="326"/>
      <c r="P6045" s="318"/>
      <c r="Q6045" s="318"/>
      <c r="R6045" s="318"/>
      <c r="S6045" s="318"/>
      <c r="T6045" s="318"/>
      <c r="U6045" s="318"/>
      <c r="V6045" s="318"/>
      <c r="W6045" s="318"/>
      <c r="X6045" s="318"/>
      <c r="Y6045" s="318"/>
      <c r="Z6045" s="318"/>
      <c r="AA6045" s="318"/>
      <c r="AB6045" s="318"/>
      <c r="AC6045" s="318"/>
      <c r="AD6045" s="318"/>
    </row>
    <row r="6046" spans="2:30" s="323" customFormat="1" ht="12" customHeight="1">
      <c r="B6046" s="324"/>
      <c r="C6046" s="325"/>
      <c r="D6046" s="326"/>
      <c r="E6046" s="326"/>
      <c r="F6046" s="326"/>
      <c r="G6046" s="326"/>
      <c r="H6046" s="326"/>
      <c r="P6046" s="318"/>
      <c r="Q6046" s="318"/>
      <c r="R6046" s="318"/>
      <c r="S6046" s="318"/>
      <c r="T6046" s="318"/>
      <c r="U6046" s="318"/>
      <c r="V6046" s="318"/>
      <c r="W6046" s="318"/>
      <c r="X6046" s="318"/>
      <c r="Y6046" s="318"/>
      <c r="Z6046" s="318"/>
      <c r="AA6046" s="318"/>
      <c r="AB6046" s="318"/>
      <c r="AC6046" s="318"/>
      <c r="AD6046" s="318"/>
    </row>
    <row r="6047" spans="2:30" s="323" customFormat="1" ht="12" customHeight="1">
      <c r="B6047" s="324"/>
      <c r="C6047" s="325"/>
      <c r="D6047" s="326"/>
      <c r="E6047" s="326"/>
      <c r="F6047" s="326"/>
      <c r="G6047" s="326"/>
      <c r="H6047" s="326"/>
      <c r="P6047" s="318"/>
      <c r="Q6047" s="318"/>
      <c r="R6047" s="318"/>
      <c r="S6047" s="318"/>
      <c r="T6047" s="318"/>
      <c r="U6047" s="318"/>
      <c r="V6047" s="318"/>
      <c r="W6047" s="318"/>
      <c r="X6047" s="318"/>
      <c r="Y6047" s="318"/>
      <c r="Z6047" s="318"/>
      <c r="AA6047" s="318"/>
      <c r="AB6047" s="318"/>
      <c r="AC6047" s="318"/>
      <c r="AD6047" s="318"/>
    </row>
    <row r="6048" spans="2:30" s="323" customFormat="1" ht="12" customHeight="1">
      <c r="B6048" s="324"/>
      <c r="C6048" s="325"/>
      <c r="D6048" s="326"/>
      <c r="E6048" s="326"/>
      <c r="F6048" s="326"/>
      <c r="G6048" s="326"/>
      <c r="H6048" s="326"/>
      <c r="P6048" s="318"/>
      <c r="Q6048" s="318"/>
      <c r="R6048" s="318"/>
      <c r="S6048" s="318"/>
      <c r="T6048" s="318"/>
      <c r="U6048" s="318"/>
      <c r="V6048" s="318"/>
      <c r="W6048" s="318"/>
      <c r="X6048" s="318"/>
      <c r="Y6048" s="318"/>
      <c r="Z6048" s="318"/>
      <c r="AA6048" s="318"/>
      <c r="AB6048" s="318"/>
      <c r="AC6048" s="318"/>
      <c r="AD6048" s="318"/>
    </row>
    <row r="6049" spans="2:30" s="323" customFormat="1" ht="12" customHeight="1">
      <c r="B6049" s="324"/>
      <c r="C6049" s="325"/>
      <c r="D6049" s="326"/>
      <c r="E6049" s="326"/>
      <c r="F6049" s="326"/>
      <c r="G6049" s="326"/>
      <c r="H6049" s="326"/>
      <c r="P6049" s="318"/>
      <c r="Q6049" s="318"/>
      <c r="R6049" s="318"/>
      <c r="S6049" s="318"/>
      <c r="T6049" s="318"/>
      <c r="U6049" s="318"/>
      <c r="V6049" s="318"/>
      <c r="W6049" s="318"/>
      <c r="X6049" s="318"/>
      <c r="Y6049" s="318"/>
      <c r="Z6049" s="318"/>
      <c r="AA6049" s="318"/>
      <c r="AB6049" s="318"/>
      <c r="AC6049" s="318"/>
      <c r="AD6049" s="318"/>
    </row>
    <row r="6050" spans="2:30" s="323" customFormat="1" ht="12" customHeight="1">
      <c r="B6050" s="324"/>
      <c r="C6050" s="325"/>
      <c r="D6050" s="326"/>
      <c r="E6050" s="326"/>
      <c r="F6050" s="326"/>
      <c r="G6050" s="326"/>
      <c r="H6050" s="326"/>
      <c r="P6050" s="318"/>
      <c r="Q6050" s="318"/>
      <c r="R6050" s="318"/>
      <c r="S6050" s="318"/>
      <c r="T6050" s="318"/>
      <c r="U6050" s="318"/>
      <c r="V6050" s="318"/>
      <c r="W6050" s="318"/>
      <c r="X6050" s="318"/>
      <c r="Y6050" s="318"/>
      <c r="Z6050" s="318"/>
      <c r="AA6050" s="318"/>
      <c r="AB6050" s="318"/>
      <c r="AC6050" s="318"/>
      <c r="AD6050" s="318"/>
    </row>
    <row r="6051" spans="2:30" s="323" customFormat="1" ht="12" customHeight="1">
      <c r="B6051" s="324"/>
      <c r="C6051" s="325"/>
      <c r="D6051" s="326"/>
      <c r="E6051" s="326"/>
      <c r="F6051" s="326"/>
      <c r="G6051" s="326"/>
      <c r="H6051" s="326"/>
      <c r="P6051" s="318"/>
      <c r="Q6051" s="318"/>
      <c r="R6051" s="318"/>
      <c r="S6051" s="318"/>
      <c r="T6051" s="318"/>
      <c r="U6051" s="318"/>
      <c r="V6051" s="318"/>
      <c r="W6051" s="318"/>
      <c r="X6051" s="318"/>
      <c r="Y6051" s="318"/>
      <c r="Z6051" s="318"/>
      <c r="AA6051" s="318"/>
      <c r="AB6051" s="318"/>
      <c r="AC6051" s="318"/>
      <c r="AD6051" s="318"/>
    </row>
    <row r="6052" spans="2:30" s="323" customFormat="1" ht="12" customHeight="1">
      <c r="B6052" s="324"/>
      <c r="C6052" s="325"/>
      <c r="D6052" s="326"/>
      <c r="E6052" s="326"/>
      <c r="F6052" s="326"/>
      <c r="G6052" s="326"/>
      <c r="H6052" s="326"/>
      <c r="P6052" s="318"/>
      <c r="Q6052" s="318"/>
      <c r="R6052" s="318"/>
      <c r="S6052" s="318"/>
      <c r="T6052" s="318"/>
      <c r="U6052" s="318"/>
      <c r="V6052" s="318"/>
      <c r="W6052" s="318"/>
      <c r="X6052" s="318"/>
      <c r="Y6052" s="318"/>
      <c r="Z6052" s="318"/>
      <c r="AA6052" s="318"/>
      <c r="AB6052" s="318"/>
      <c r="AC6052" s="318"/>
      <c r="AD6052" s="318"/>
    </row>
    <row r="6053" spans="2:30" s="323" customFormat="1" ht="12" customHeight="1">
      <c r="B6053" s="324"/>
      <c r="C6053" s="325"/>
      <c r="D6053" s="326"/>
      <c r="E6053" s="326"/>
      <c r="F6053" s="326"/>
      <c r="G6053" s="326"/>
      <c r="H6053" s="326"/>
      <c r="P6053" s="318"/>
      <c r="Q6053" s="318"/>
      <c r="R6053" s="318"/>
      <c r="S6053" s="318"/>
      <c r="T6053" s="318"/>
      <c r="U6053" s="318"/>
      <c r="V6053" s="318"/>
      <c r="W6053" s="318"/>
      <c r="X6053" s="318"/>
      <c r="Y6053" s="318"/>
      <c r="Z6053" s="318"/>
      <c r="AA6053" s="318"/>
      <c r="AB6053" s="318"/>
      <c r="AC6053" s="318"/>
      <c r="AD6053" s="318"/>
    </row>
    <row r="6054" spans="2:30" s="323" customFormat="1" ht="12" customHeight="1">
      <c r="B6054" s="324"/>
      <c r="C6054" s="325"/>
      <c r="D6054" s="326"/>
      <c r="E6054" s="326"/>
      <c r="F6054" s="326"/>
      <c r="G6054" s="326"/>
      <c r="H6054" s="326"/>
      <c r="P6054" s="318"/>
      <c r="Q6054" s="318"/>
      <c r="R6054" s="318"/>
      <c r="S6054" s="318"/>
      <c r="T6054" s="318"/>
      <c r="U6054" s="318"/>
      <c r="V6054" s="318"/>
      <c r="W6054" s="318"/>
      <c r="X6054" s="318"/>
      <c r="Y6054" s="318"/>
      <c r="Z6054" s="318"/>
      <c r="AA6054" s="318"/>
      <c r="AB6054" s="318"/>
      <c r="AC6054" s="318"/>
      <c r="AD6054" s="318"/>
    </row>
    <row r="6055" spans="2:30" s="323" customFormat="1" ht="12" customHeight="1">
      <c r="B6055" s="324"/>
      <c r="C6055" s="325"/>
      <c r="D6055" s="326"/>
      <c r="E6055" s="326"/>
      <c r="F6055" s="326"/>
      <c r="G6055" s="326"/>
      <c r="H6055" s="326"/>
      <c r="P6055" s="318"/>
      <c r="Q6055" s="318"/>
      <c r="R6055" s="318"/>
      <c r="S6055" s="318"/>
      <c r="T6055" s="318"/>
      <c r="U6055" s="318"/>
      <c r="V6055" s="318"/>
      <c r="W6055" s="318"/>
      <c r="X6055" s="318"/>
      <c r="Y6055" s="318"/>
      <c r="Z6055" s="318"/>
      <c r="AA6055" s="318"/>
      <c r="AB6055" s="318"/>
      <c r="AC6055" s="318"/>
      <c r="AD6055" s="318"/>
    </row>
    <row r="6056" spans="2:30" s="323" customFormat="1" ht="12" customHeight="1">
      <c r="B6056" s="324"/>
      <c r="C6056" s="325"/>
      <c r="D6056" s="326"/>
      <c r="E6056" s="326"/>
      <c r="F6056" s="326"/>
      <c r="G6056" s="326"/>
      <c r="H6056" s="326"/>
      <c r="P6056" s="318"/>
      <c r="Q6056" s="318"/>
      <c r="R6056" s="318"/>
      <c r="S6056" s="318"/>
      <c r="T6056" s="318"/>
      <c r="U6056" s="318"/>
      <c r="V6056" s="318"/>
      <c r="W6056" s="318"/>
      <c r="X6056" s="318"/>
      <c r="Y6056" s="318"/>
      <c r="Z6056" s="318"/>
      <c r="AA6056" s="318"/>
      <c r="AB6056" s="318"/>
      <c r="AC6056" s="318"/>
      <c r="AD6056" s="318"/>
    </row>
    <row r="6057" spans="2:30" s="323" customFormat="1" ht="12" customHeight="1">
      <c r="B6057" s="324"/>
      <c r="C6057" s="325"/>
      <c r="D6057" s="326"/>
      <c r="E6057" s="326"/>
      <c r="F6057" s="326"/>
      <c r="G6057" s="326"/>
      <c r="H6057" s="326"/>
      <c r="P6057" s="318"/>
      <c r="Q6057" s="318"/>
      <c r="R6057" s="318"/>
      <c r="S6057" s="318"/>
      <c r="T6057" s="318"/>
      <c r="U6057" s="318"/>
      <c r="V6057" s="318"/>
      <c r="W6057" s="318"/>
      <c r="X6057" s="318"/>
      <c r="Y6057" s="318"/>
      <c r="Z6057" s="318"/>
      <c r="AA6057" s="318"/>
      <c r="AB6057" s="318"/>
      <c r="AC6057" s="318"/>
      <c r="AD6057" s="318"/>
    </row>
    <row r="6058" spans="2:30" s="323" customFormat="1" ht="12" customHeight="1">
      <c r="B6058" s="324"/>
      <c r="C6058" s="325"/>
      <c r="D6058" s="326"/>
      <c r="E6058" s="326"/>
      <c r="F6058" s="326"/>
      <c r="G6058" s="326"/>
      <c r="H6058" s="326"/>
      <c r="P6058" s="318"/>
      <c r="Q6058" s="318"/>
      <c r="R6058" s="318"/>
      <c r="S6058" s="318"/>
      <c r="T6058" s="318"/>
      <c r="U6058" s="318"/>
      <c r="V6058" s="318"/>
      <c r="W6058" s="318"/>
      <c r="X6058" s="318"/>
      <c r="Y6058" s="318"/>
      <c r="Z6058" s="318"/>
      <c r="AA6058" s="318"/>
      <c r="AB6058" s="318"/>
      <c r="AC6058" s="318"/>
      <c r="AD6058" s="318"/>
    </row>
    <row r="6059" spans="2:30" s="323" customFormat="1" ht="12" customHeight="1">
      <c r="B6059" s="324"/>
      <c r="C6059" s="325"/>
      <c r="D6059" s="326"/>
      <c r="E6059" s="326"/>
      <c r="F6059" s="326"/>
      <c r="G6059" s="326"/>
      <c r="H6059" s="326"/>
      <c r="P6059" s="318"/>
      <c r="Q6059" s="318"/>
      <c r="R6059" s="318"/>
      <c r="S6059" s="318"/>
      <c r="T6059" s="318"/>
      <c r="U6059" s="318"/>
      <c r="V6059" s="318"/>
      <c r="W6059" s="318"/>
      <c r="X6059" s="318"/>
      <c r="Y6059" s="318"/>
      <c r="Z6059" s="318"/>
      <c r="AA6059" s="318"/>
      <c r="AB6059" s="318"/>
      <c r="AC6059" s="318"/>
      <c r="AD6059" s="318"/>
    </row>
    <row r="6060" spans="2:30" s="323" customFormat="1" ht="12" customHeight="1">
      <c r="B6060" s="324"/>
      <c r="C6060" s="325"/>
      <c r="D6060" s="326"/>
      <c r="E6060" s="326"/>
      <c r="F6060" s="326"/>
      <c r="G6060" s="326"/>
      <c r="H6060" s="326"/>
      <c r="P6060" s="318"/>
      <c r="Q6060" s="318"/>
      <c r="R6060" s="318"/>
      <c r="S6060" s="318"/>
      <c r="T6060" s="318"/>
      <c r="U6060" s="318"/>
      <c r="V6060" s="318"/>
      <c r="W6060" s="318"/>
      <c r="X6060" s="318"/>
      <c r="Y6060" s="318"/>
      <c r="Z6060" s="318"/>
      <c r="AA6060" s="318"/>
      <c r="AB6060" s="318"/>
      <c r="AC6060" s="318"/>
      <c r="AD6060" s="318"/>
    </row>
    <row r="6061" spans="2:30" s="323" customFormat="1" ht="12" customHeight="1">
      <c r="B6061" s="324"/>
      <c r="C6061" s="325"/>
      <c r="D6061" s="326"/>
      <c r="E6061" s="326"/>
      <c r="F6061" s="326"/>
      <c r="G6061" s="326"/>
      <c r="H6061" s="326"/>
      <c r="P6061" s="318"/>
      <c r="Q6061" s="318"/>
      <c r="R6061" s="318"/>
      <c r="S6061" s="318"/>
      <c r="T6061" s="318"/>
      <c r="U6061" s="318"/>
      <c r="V6061" s="318"/>
      <c r="W6061" s="318"/>
      <c r="X6061" s="318"/>
      <c r="Y6061" s="318"/>
      <c r="Z6061" s="318"/>
      <c r="AA6061" s="318"/>
      <c r="AB6061" s="318"/>
      <c r="AC6061" s="318"/>
      <c r="AD6061" s="318"/>
    </row>
    <row r="6062" spans="2:30" s="323" customFormat="1" ht="12" customHeight="1">
      <c r="B6062" s="324"/>
      <c r="C6062" s="325"/>
      <c r="D6062" s="326"/>
      <c r="E6062" s="326"/>
      <c r="F6062" s="326"/>
      <c r="G6062" s="326"/>
      <c r="H6062" s="326"/>
      <c r="P6062" s="318"/>
      <c r="Q6062" s="318"/>
      <c r="R6062" s="318"/>
      <c r="S6062" s="318"/>
      <c r="T6062" s="318"/>
      <c r="U6062" s="318"/>
      <c r="V6062" s="318"/>
      <c r="W6062" s="318"/>
      <c r="X6062" s="318"/>
      <c r="Y6062" s="318"/>
      <c r="Z6062" s="318"/>
      <c r="AA6062" s="318"/>
      <c r="AB6062" s="318"/>
      <c r="AC6062" s="318"/>
      <c r="AD6062" s="318"/>
    </row>
    <row r="6063" spans="2:30" s="323" customFormat="1" ht="12" customHeight="1">
      <c r="B6063" s="324"/>
      <c r="C6063" s="325"/>
      <c r="D6063" s="326"/>
      <c r="E6063" s="326"/>
      <c r="F6063" s="326"/>
      <c r="G6063" s="326"/>
      <c r="H6063" s="326"/>
      <c r="P6063" s="318"/>
      <c r="Q6063" s="318"/>
      <c r="R6063" s="318"/>
      <c r="S6063" s="318"/>
      <c r="T6063" s="318"/>
      <c r="U6063" s="318"/>
      <c r="V6063" s="318"/>
      <c r="W6063" s="318"/>
      <c r="X6063" s="318"/>
      <c r="Y6063" s="318"/>
      <c r="Z6063" s="318"/>
      <c r="AA6063" s="318"/>
      <c r="AB6063" s="318"/>
      <c r="AC6063" s="318"/>
      <c r="AD6063" s="318"/>
    </row>
    <row r="6064" spans="2:30" s="323" customFormat="1" ht="12" customHeight="1">
      <c r="B6064" s="324"/>
      <c r="C6064" s="325"/>
      <c r="D6064" s="326"/>
      <c r="E6064" s="326"/>
      <c r="F6064" s="326"/>
      <c r="G6064" s="326"/>
      <c r="H6064" s="326"/>
      <c r="P6064" s="318"/>
      <c r="Q6064" s="318"/>
      <c r="R6064" s="318"/>
      <c r="S6064" s="318"/>
      <c r="T6064" s="318"/>
      <c r="U6064" s="318"/>
      <c r="V6064" s="318"/>
      <c r="W6064" s="318"/>
      <c r="X6064" s="318"/>
      <c r="Y6064" s="318"/>
      <c r="Z6064" s="318"/>
      <c r="AA6064" s="318"/>
      <c r="AB6064" s="318"/>
      <c r="AC6064" s="318"/>
      <c r="AD6064" s="318"/>
    </row>
    <row r="6065" spans="2:30" s="323" customFormat="1" ht="12" customHeight="1">
      <c r="B6065" s="324"/>
      <c r="C6065" s="325"/>
      <c r="D6065" s="326"/>
      <c r="E6065" s="326"/>
      <c r="F6065" s="326"/>
      <c r="G6065" s="326"/>
      <c r="H6065" s="326"/>
      <c r="P6065" s="318"/>
      <c r="Q6065" s="318"/>
      <c r="R6065" s="318"/>
      <c r="S6065" s="318"/>
      <c r="T6065" s="318"/>
      <c r="U6065" s="318"/>
      <c r="V6065" s="318"/>
      <c r="W6065" s="318"/>
      <c r="X6065" s="318"/>
      <c r="Y6065" s="318"/>
      <c r="Z6065" s="318"/>
      <c r="AA6065" s="318"/>
      <c r="AB6065" s="318"/>
      <c r="AC6065" s="318"/>
      <c r="AD6065" s="318"/>
    </row>
    <row r="6066" spans="2:30" s="323" customFormat="1" ht="12" customHeight="1">
      <c r="B6066" s="324"/>
      <c r="C6066" s="325"/>
      <c r="D6066" s="326"/>
      <c r="E6066" s="326"/>
      <c r="F6066" s="326"/>
      <c r="G6066" s="326"/>
      <c r="H6066" s="326"/>
      <c r="P6066" s="318"/>
      <c r="Q6066" s="318"/>
      <c r="R6066" s="318"/>
      <c r="S6066" s="318"/>
      <c r="T6066" s="318"/>
      <c r="U6066" s="318"/>
      <c r="V6066" s="318"/>
      <c r="W6066" s="318"/>
      <c r="X6066" s="318"/>
      <c r="Y6066" s="318"/>
      <c r="Z6066" s="318"/>
      <c r="AA6066" s="318"/>
      <c r="AB6066" s="318"/>
      <c r="AC6066" s="318"/>
      <c r="AD6066" s="318"/>
    </row>
    <row r="6067" spans="2:30" s="323" customFormat="1" ht="12" customHeight="1">
      <c r="B6067" s="324"/>
      <c r="C6067" s="325"/>
      <c r="D6067" s="326"/>
      <c r="E6067" s="326"/>
      <c r="F6067" s="326"/>
      <c r="G6067" s="326"/>
      <c r="H6067" s="326"/>
      <c r="P6067" s="318"/>
      <c r="Q6067" s="318"/>
      <c r="R6067" s="318"/>
      <c r="S6067" s="318"/>
      <c r="T6067" s="318"/>
      <c r="U6067" s="318"/>
      <c r="V6067" s="318"/>
      <c r="W6067" s="318"/>
      <c r="X6067" s="318"/>
      <c r="Y6067" s="318"/>
      <c r="Z6067" s="318"/>
      <c r="AA6067" s="318"/>
      <c r="AB6067" s="318"/>
      <c r="AC6067" s="318"/>
      <c r="AD6067" s="318"/>
    </row>
    <row r="6068" spans="2:30" s="323" customFormat="1" ht="12" customHeight="1">
      <c r="B6068" s="324"/>
      <c r="C6068" s="325"/>
      <c r="D6068" s="326"/>
      <c r="E6068" s="326"/>
      <c r="F6068" s="326"/>
      <c r="G6068" s="326"/>
      <c r="H6068" s="326"/>
      <c r="P6068" s="318"/>
      <c r="Q6068" s="318"/>
      <c r="R6068" s="318"/>
      <c r="S6068" s="318"/>
      <c r="T6068" s="318"/>
      <c r="U6068" s="318"/>
      <c r="V6068" s="318"/>
      <c r="W6068" s="318"/>
      <c r="X6068" s="318"/>
      <c r="Y6068" s="318"/>
      <c r="Z6068" s="318"/>
      <c r="AA6068" s="318"/>
      <c r="AB6068" s="318"/>
      <c r="AC6068" s="318"/>
      <c r="AD6068" s="318"/>
    </row>
    <row r="6069" spans="2:30" s="323" customFormat="1" ht="12" customHeight="1">
      <c r="B6069" s="324"/>
      <c r="C6069" s="325"/>
      <c r="D6069" s="326"/>
      <c r="E6069" s="326"/>
      <c r="F6069" s="326"/>
      <c r="G6069" s="326"/>
      <c r="H6069" s="326"/>
      <c r="P6069" s="318"/>
      <c r="Q6069" s="318"/>
      <c r="R6069" s="318"/>
      <c r="S6069" s="318"/>
      <c r="T6069" s="318"/>
      <c r="U6069" s="318"/>
      <c r="V6069" s="318"/>
      <c r="W6069" s="318"/>
      <c r="X6069" s="318"/>
      <c r="Y6069" s="318"/>
      <c r="Z6069" s="318"/>
      <c r="AA6069" s="318"/>
      <c r="AB6069" s="318"/>
      <c r="AC6069" s="318"/>
      <c r="AD6069" s="318"/>
    </row>
    <row r="6070" spans="2:30" s="323" customFormat="1" ht="12" customHeight="1">
      <c r="B6070" s="324"/>
      <c r="C6070" s="325"/>
      <c r="D6070" s="326"/>
      <c r="E6070" s="326"/>
      <c r="F6070" s="326"/>
      <c r="G6070" s="326"/>
      <c r="H6070" s="326"/>
      <c r="P6070" s="318"/>
      <c r="Q6070" s="318"/>
      <c r="R6070" s="318"/>
      <c r="S6070" s="318"/>
      <c r="T6070" s="318"/>
      <c r="U6070" s="318"/>
      <c r="V6070" s="318"/>
      <c r="W6070" s="318"/>
      <c r="X6070" s="318"/>
      <c r="Y6070" s="318"/>
      <c r="Z6070" s="318"/>
      <c r="AA6070" s="318"/>
      <c r="AB6070" s="318"/>
      <c r="AC6070" s="318"/>
      <c r="AD6070" s="318"/>
    </row>
    <row r="6071" spans="2:30" s="323" customFormat="1" ht="12" customHeight="1">
      <c r="B6071" s="324"/>
      <c r="C6071" s="325"/>
      <c r="D6071" s="326"/>
      <c r="E6071" s="326"/>
      <c r="F6071" s="326"/>
      <c r="G6071" s="326"/>
      <c r="H6071" s="326"/>
      <c r="P6071" s="318"/>
      <c r="Q6071" s="318"/>
      <c r="R6071" s="318"/>
      <c r="S6071" s="318"/>
      <c r="T6071" s="318"/>
      <c r="U6071" s="318"/>
      <c r="V6071" s="318"/>
      <c r="W6071" s="318"/>
      <c r="X6071" s="318"/>
      <c r="Y6071" s="318"/>
      <c r="Z6071" s="318"/>
      <c r="AA6071" s="318"/>
      <c r="AB6071" s="318"/>
      <c r="AC6071" s="318"/>
      <c r="AD6071" s="318"/>
    </row>
    <row r="6072" spans="2:30" s="323" customFormat="1" ht="12" customHeight="1">
      <c r="B6072" s="324"/>
      <c r="C6072" s="325"/>
      <c r="D6072" s="326"/>
      <c r="E6072" s="326"/>
      <c r="F6072" s="326"/>
      <c r="G6072" s="326"/>
      <c r="H6072" s="326"/>
      <c r="P6072" s="318"/>
      <c r="Q6072" s="318"/>
      <c r="R6072" s="318"/>
      <c r="S6072" s="318"/>
      <c r="T6072" s="318"/>
      <c r="U6072" s="318"/>
      <c r="V6072" s="318"/>
      <c r="W6072" s="318"/>
      <c r="X6072" s="318"/>
      <c r="Y6072" s="318"/>
      <c r="Z6072" s="318"/>
      <c r="AA6072" s="318"/>
      <c r="AB6072" s="318"/>
      <c r="AC6072" s="318"/>
      <c r="AD6072" s="318"/>
    </row>
    <row r="6073" spans="2:30" s="323" customFormat="1" ht="12" customHeight="1">
      <c r="B6073" s="324"/>
      <c r="C6073" s="325"/>
      <c r="D6073" s="326"/>
      <c r="E6073" s="326"/>
      <c r="F6073" s="326"/>
      <c r="G6073" s="326"/>
      <c r="H6073" s="326"/>
      <c r="P6073" s="318"/>
      <c r="Q6073" s="318"/>
      <c r="R6073" s="318"/>
      <c r="S6073" s="318"/>
      <c r="T6073" s="318"/>
      <c r="U6073" s="318"/>
      <c r="V6073" s="318"/>
      <c r="W6073" s="318"/>
      <c r="X6073" s="318"/>
      <c r="Y6073" s="318"/>
      <c r="Z6073" s="318"/>
      <c r="AA6073" s="318"/>
      <c r="AB6073" s="318"/>
      <c r="AC6073" s="318"/>
      <c r="AD6073" s="318"/>
    </row>
    <row r="6074" spans="2:30" s="323" customFormat="1" ht="12" customHeight="1">
      <c r="B6074" s="324"/>
      <c r="C6074" s="325"/>
      <c r="D6074" s="326"/>
      <c r="E6074" s="326"/>
      <c r="F6074" s="326"/>
      <c r="G6074" s="326"/>
      <c r="H6074" s="326"/>
      <c r="P6074" s="318"/>
      <c r="Q6074" s="318"/>
      <c r="R6074" s="318"/>
      <c r="S6074" s="318"/>
      <c r="T6074" s="318"/>
      <c r="U6074" s="318"/>
      <c r="V6074" s="318"/>
      <c r="W6074" s="318"/>
      <c r="X6074" s="318"/>
      <c r="Y6074" s="318"/>
      <c r="Z6074" s="318"/>
      <c r="AA6074" s="318"/>
      <c r="AB6074" s="318"/>
      <c r="AC6074" s="318"/>
      <c r="AD6074" s="318"/>
    </row>
    <row r="6075" spans="2:30" s="323" customFormat="1" ht="12" customHeight="1">
      <c r="B6075" s="324"/>
      <c r="C6075" s="325"/>
      <c r="D6075" s="326"/>
      <c r="E6075" s="326"/>
      <c r="F6075" s="326"/>
      <c r="G6075" s="326"/>
      <c r="H6075" s="326"/>
      <c r="P6075" s="318"/>
      <c r="Q6075" s="318"/>
      <c r="R6075" s="318"/>
      <c r="S6075" s="318"/>
      <c r="T6075" s="318"/>
      <c r="U6075" s="318"/>
      <c r="V6075" s="318"/>
      <c r="W6075" s="318"/>
      <c r="X6075" s="318"/>
      <c r="Y6075" s="318"/>
      <c r="Z6075" s="318"/>
      <c r="AA6075" s="318"/>
      <c r="AB6075" s="318"/>
      <c r="AC6075" s="318"/>
      <c r="AD6075" s="318"/>
    </row>
    <row r="6076" spans="2:30" s="323" customFormat="1" ht="12" customHeight="1">
      <c r="B6076" s="324"/>
      <c r="C6076" s="325"/>
      <c r="D6076" s="326"/>
      <c r="E6076" s="326"/>
      <c r="F6076" s="326"/>
      <c r="G6076" s="326"/>
      <c r="H6076" s="326"/>
      <c r="P6076" s="318"/>
      <c r="Q6076" s="318"/>
      <c r="R6076" s="318"/>
      <c r="S6076" s="318"/>
      <c r="T6076" s="318"/>
      <c r="U6076" s="318"/>
      <c r="V6076" s="318"/>
      <c r="W6076" s="318"/>
      <c r="X6076" s="318"/>
      <c r="Y6076" s="318"/>
      <c r="Z6076" s="318"/>
      <c r="AA6076" s="318"/>
      <c r="AB6076" s="318"/>
      <c r="AC6076" s="318"/>
      <c r="AD6076" s="318"/>
    </row>
    <row r="6077" spans="2:30" s="323" customFormat="1" ht="12" customHeight="1">
      <c r="B6077" s="324"/>
      <c r="C6077" s="325"/>
      <c r="D6077" s="326"/>
      <c r="E6077" s="326"/>
      <c r="F6077" s="326"/>
      <c r="G6077" s="326"/>
      <c r="H6077" s="326"/>
      <c r="P6077" s="318"/>
      <c r="Q6077" s="318"/>
      <c r="R6077" s="318"/>
      <c r="S6077" s="318"/>
      <c r="T6077" s="318"/>
      <c r="U6077" s="318"/>
      <c r="V6077" s="318"/>
      <c r="W6077" s="318"/>
      <c r="X6077" s="318"/>
      <c r="Y6077" s="318"/>
      <c r="Z6077" s="318"/>
      <c r="AA6077" s="318"/>
      <c r="AB6077" s="318"/>
      <c r="AC6077" s="318"/>
      <c r="AD6077" s="318"/>
    </row>
    <row r="6078" spans="2:30" s="323" customFormat="1" ht="12" customHeight="1">
      <c r="B6078" s="324"/>
      <c r="C6078" s="325"/>
      <c r="D6078" s="326"/>
      <c r="E6078" s="326"/>
      <c r="F6078" s="326"/>
      <c r="G6078" s="326"/>
      <c r="H6078" s="326"/>
      <c r="P6078" s="318"/>
      <c r="Q6078" s="318"/>
      <c r="R6078" s="318"/>
      <c r="S6078" s="318"/>
      <c r="T6078" s="318"/>
      <c r="U6078" s="318"/>
      <c r="V6078" s="318"/>
      <c r="W6078" s="318"/>
      <c r="X6078" s="318"/>
      <c r="Y6078" s="318"/>
      <c r="Z6078" s="318"/>
      <c r="AA6078" s="318"/>
      <c r="AB6078" s="318"/>
      <c r="AC6078" s="318"/>
      <c r="AD6078" s="318"/>
    </row>
    <row r="6079" spans="2:30" s="323" customFormat="1" ht="12" customHeight="1">
      <c r="B6079" s="324"/>
      <c r="C6079" s="325"/>
      <c r="D6079" s="326"/>
      <c r="E6079" s="326"/>
      <c r="F6079" s="326"/>
      <c r="G6079" s="326"/>
      <c r="H6079" s="326"/>
      <c r="P6079" s="318"/>
      <c r="Q6079" s="318"/>
      <c r="R6079" s="318"/>
      <c r="S6079" s="318"/>
      <c r="T6079" s="318"/>
      <c r="U6079" s="318"/>
      <c r="V6079" s="318"/>
      <c r="W6079" s="318"/>
      <c r="X6079" s="318"/>
      <c r="Y6079" s="318"/>
      <c r="Z6079" s="318"/>
      <c r="AA6079" s="318"/>
      <c r="AB6079" s="318"/>
      <c r="AC6079" s="318"/>
      <c r="AD6079" s="318"/>
    </row>
    <row r="6080" spans="2:30" s="323" customFormat="1" ht="12" customHeight="1">
      <c r="B6080" s="324"/>
      <c r="C6080" s="325"/>
      <c r="D6080" s="326"/>
      <c r="E6080" s="326"/>
      <c r="F6080" s="326"/>
      <c r="G6080" s="326"/>
      <c r="H6080" s="326"/>
      <c r="P6080" s="318"/>
      <c r="Q6080" s="318"/>
      <c r="R6080" s="318"/>
      <c r="S6080" s="318"/>
      <c r="T6080" s="318"/>
      <c r="U6080" s="318"/>
      <c r="V6080" s="318"/>
      <c r="W6080" s="318"/>
      <c r="X6080" s="318"/>
      <c r="Y6080" s="318"/>
      <c r="Z6080" s="318"/>
      <c r="AA6080" s="318"/>
      <c r="AB6080" s="318"/>
      <c r="AC6080" s="318"/>
      <c r="AD6080" s="318"/>
    </row>
    <row r="6081" spans="2:30" s="323" customFormat="1" ht="12" customHeight="1">
      <c r="B6081" s="324"/>
      <c r="C6081" s="325"/>
      <c r="D6081" s="326"/>
      <c r="E6081" s="326"/>
      <c r="F6081" s="326"/>
      <c r="G6081" s="326"/>
      <c r="H6081" s="326"/>
      <c r="P6081" s="318"/>
      <c r="Q6081" s="318"/>
      <c r="R6081" s="318"/>
      <c r="S6081" s="318"/>
      <c r="T6081" s="318"/>
      <c r="U6081" s="318"/>
      <c r="V6081" s="318"/>
      <c r="W6081" s="318"/>
      <c r="X6081" s="318"/>
      <c r="Y6081" s="318"/>
      <c r="Z6081" s="318"/>
      <c r="AA6081" s="318"/>
      <c r="AB6081" s="318"/>
      <c r="AC6081" s="318"/>
      <c r="AD6081" s="318"/>
    </row>
    <row r="6082" spans="2:30" s="323" customFormat="1" ht="12" customHeight="1">
      <c r="B6082" s="324"/>
      <c r="C6082" s="325"/>
      <c r="D6082" s="326"/>
      <c r="E6082" s="326"/>
      <c r="F6082" s="326"/>
      <c r="G6082" s="326"/>
      <c r="H6082" s="326"/>
      <c r="P6082" s="318"/>
      <c r="Q6082" s="318"/>
      <c r="R6082" s="318"/>
      <c r="S6082" s="318"/>
      <c r="T6082" s="318"/>
      <c r="U6082" s="318"/>
      <c r="V6082" s="318"/>
      <c r="W6082" s="318"/>
      <c r="X6082" s="318"/>
      <c r="Y6082" s="318"/>
      <c r="Z6082" s="318"/>
      <c r="AA6082" s="318"/>
      <c r="AB6082" s="318"/>
      <c r="AC6082" s="318"/>
      <c r="AD6082" s="318"/>
    </row>
    <row r="6083" spans="2:30" s="323" customFormat="1" ht="12" customHeight="1">
      <c r="B6083" s="324"/>
      <c r="C6083" s="325"/>
      <c r="D6083" s="326"/>
      <c r="E6083" s="326"/>
      <c r="F6083" s="326"/>
      <c r="G6083" s="326"/>
      <c r="H6083" s="326"/>
      <c r="P6083" s="318"/>
      <c r="Q6083" s="318"/>
      <c r="R6083" s="318"/>
      <c r="S6083" s="318"/>
      <c r="T6083" s="318"/>
      <c r="U6083" s="318"/>
      <c r="V6083" s="318"/>
      <c r="W6083" s="318"/>
      <c r="X6083" s="318"/>
      <c r="Y6083" s="318"/>
      <c r="Z6083" s="318"/>
      <c r="AA6083" s="318"/>
      <c r="AB6083" s="318"/>
      <c r="AC6083" s="318"/>
      <c r="AD6083" s="318"/>
    </row>
    <row r="6084" spans="2:30" s="323" customFormat="1" ht="12" customHeight="1">
      <c r="B6084" s="324"/>
      <c r="C6084" s="325"/>
      <c r="D6084" s="326"/>
      <c r="E6084" s="326"/>
      <c r="F6084" s="326"/>
      <c r="G6084" s="326"/>
      <c r="H6084" s="326"/>
      <c r="P6084" s="318"/>
      <c r="Q6084" s="318"/>
      <c r="R6084" s="318"/>
      <c r="S6084" s="318"/>
      <c r="T6084" s="318"/>
      <c r="U6084" s="318"/>
      <c r="V6084" s="318"/>
      <c r="W6084" s="318"/>
      <c r="X6084" s="318"/>
      <c r="Y6084" s="318"/>
      <c r="Z6084" s="318"/>
      <c r="AA6084" s="318"/>
      <c r="AB6084" s="318"/>
      <c r="AC6084" s="318"/>
      <c r="AD6084" s="318"/>
    </row>
    <row r="6085" spans="2:30" s="323" customFormat="1" ht="12" customHeight="1">
      <c r="B6085" s="324"/>
      <c r="C6085" s="325"/>
      <c r="D6085" s="326"/>
      <c r="E6085" s="326"/>
      <c r="F6085" s="326"/>
      <c r="G6085" s="326"/>
      <c r="H6085" s="326"/>
      <c r="P6085" s="318"/>
      <c r="Q6085" s="318"/>
      <c r="R6085" s="318"/>
      <c r="S6085" s="318"/>
      <c r="T6085" s="318"/>
      <c r="U6085" s="318"/>
      <c r="V6085" s="318"/>
      <c r="W6085" s="318"/>
      <c r="X6085" s="318"/>
      <c r="Y6085" s="318"/>
      <c r="Z6085" s="318"/>
      <c r="AA6085" s="318"/>
      <c r="AB6085" s="318"/>
      <c r="AC6085" s="318"/>
      <c r="AD6085" s="318"/>
    </row>
    <row r="6086" spans="2:30" s="323" customFormat="1" ht="12" customHeight="1">
      <c r="B6086" s="324"/>
      <c r="C6086" s="325"/>
      <c r="D6086" s="326"/>
      <c r="E6086" s="326"/>
      <c r="F6086" s="326"/>
      <c r="G6086" s="326"/>
      <c r="H6086" s="326"/>
      <c r="P6086" s="318"/>
      <c r="Q6086" s="318"/>
      <c r="R6086" s="318"/>
      <c r="S6086" s="318"/>
      <c r="T6086" s="318"/>
      <c r="U6086" s="318"/>
      <c r="V6086" s="318"/>
      <c r="W6086" s="318"/>
      <c r="X6086" s="318"/>
      <c r="Y6086" s="318"/>
      <c r="Z6086" s="318"/>
      <c r="AA6086" s="318"/>
      <c r="AB6086" s="318"/>
      <c r="AC6086" s="318"/>
      <c r="AD6086" s="318"/>
    </row>
    <row r="6087" spans="2:30" s="323" customFormat="1" ht="12" customHeight="1">
      <c r="B6087" s="324"/>
      <c r="C6087" s="325"/>
      <c r="D6087" s="326"/>
      <c r="E6087" s="326"/>
      <c r="F6087" s="326"/>
      <c r="G6087" s="326"/>
      <c r="H6087" s="326"/>
      <c r="P6087" s="318"/>
      <c r="Q6087" s="318"/>
      <c r="R6087" s="318"/>
      <c r="S6087" s="318"/>
      <c r="T6087" s="318"/>
      <c r="U6087" s="318"/>
      <c r="V6087" s="318"/>
      <c r="W6087" s="318"/>
      <c r="X6087" s="318"/>
      <c r="Y6087" s="318"/>
      <c r="Z6087" s="318"/>
      <c r="AA6087" s="318"/>
      <c r="AB6087" s="318"/>
      <c r="AC6087" s="318"/>
      <c r="AD6087" s="318"/>
    </row>
    <row r="6088" spans="2:30" s="323" customFormat="1" ht="12" customHeight="1">
      <c r="B6088" s="324"/>
      <c r="C6088" s="325"/>
      <c r="D6088" s="326"/>
      <c r="E6088" s="326"/>
      <c r="F6088" s="326"/>
      <c r="G6088" s="326"/>
      <c r="H6088" s="326"/>
      <c r="P6088" s="318"/>
      <c r="Q6088" s="318"/>
      <c r="R6088" s="318"/>
      <c r="S6088" s="318"/>
      <c r="T6088" s="318"/>
      <c r="U6088" s="318"/>
      <c r="V6088" s="318"/>
      <c r="W6088" s="318"/>
      <c r="X6088" s="318"/>
      <c r="Y6088" s="318"/>
      <c r="Z6088" s="318"/>
      <c r="AA6088" s="318"/>
      <c r="AB6088" s="318"/>
      <c r="AC6088" s="318"/>
      <c r="AD6088" s="318"/>
    </row>
    <row r="6089" spans="2:30" s="323" customFormat="1" ht="12" customHeight="1">
      <c r="B6089" s="324"/>
      <c r="C6089" s="325"/>
      <c r="D6089" s="326"/>
      <c r="E6089" s="326"/>
      <c r="F6089" s="326"/>
      <c r="G6089" s="326"/>
      <c r="H6089" s="326"/>
      <c r="P6089" s="318"/>
      <c r="Q6089" s="318"/>
      <c r="R6089" s="318"/>
      <c r="S6089" s="318"/>
      <c r="T6089" s="318"/>
      <c r="U6089" s="318"/>
      <c r="V6089" s="318"/>
      <c r="W6089" s="318"/>
      <c r="X6089" s="318"/>
      <c r="Y6089" s="318"/>
      <c r="Z6089" s="318"/>
      <c r="AA6089" s="318"/>
      <c r="AB6089" s="318"/>
      <c r="AC6089" s="318"/>
      <c r="AD6089" s="318"/>
    </row>
    <row r="6090" spans="2:30" s="323" customFormat="1" ht="12" customHeight="1">
      <c r="B6090" s="324"/>
      <c r="C6090" s="325"/>
      <c r="D6090" s="326"/>
      <c r="E6090" s="326"/>
      <c r="F6090" s="326"/>
      <c r="G6090" s="326"/>
      <c r="H6090" s="326"/>
      <c r="P6090" s="318"/>
      <c r="Q6090" s="318"/>
      <c r="R6090" s="318"/>
      <c r="S6090" s="318"/>
      <c r="T6090" s="318"/>
      <c r="U6090" s="318"/>
      <c r="V6090" s="318"/>
      <c r="W6090" s="318"/>
      <c r="X6090" s="318"/>
      <c r="Y6090" s="318"/>
      <c r="Z6090" s="318"/>
      <c r="AA6090" s="318"/>
      <c r="AB6090" s="318"/>
      <c r="AC6090" s="318"/>
      <c r="AD6090" s="318"/>
    </row>
    <row r="6091" spans="2:30" s="323" customFormat="1" ht="12" customHeight="1">
      <c r="B6091" s="324"/>
      <c r="C6091" s="325"/>
      <c r="D6091" s="326"/>
      <c r="E6091" s="326"/>
      <c r="F6091" s="326"/>
      <c r="G6091" s="326"/>
      <c r="H6091" s="326"/>
      <c r="P6091" s="318"/>
      <c r="Q6091" s="318"/>
      <c r="R6091" s="318"/>
      <c r="S6091" s="318"/>
      <c r="T6091" s="318"/>
      <c r="U6091" s="318"/>
      <c r="V6091" s="318"/>
      <c r="W6091" s="318"/>
      <c r="X6091" s="318"/>
      <c r="Y6091" s="318"/>
      <c r="Z6091" s="318"/>
      <c r="AA6091" s="318"/>
      <c r="AB6091" s="318"/>
      <c r="AC6091" s="318"/>
      <c r="AD6091" s="318"/>
    </row>
    <row r="6092" spans="2:30" s="323" customFormat="1" ht="12" customHeight="1">
      <c r="B6092" s="324"/>
      <c r="C6092" s="325"/>
      <c r="D6092" s="326"/>
      <c r="E6092" s="326"/>
      <c r="F6092" s="326"/>
      <c r="G6092" s="326"/>
      <c r="H6092" s="326"/>
      <c r="P6092" s="318"/>
      <c r="Q6092" s="318"/>
      <c r="R6092" s="318"/>
      <c r="S6092" s="318"/>
      <c r="T6092" s="318"/>
      <c r="U6092" s="318"/>
      <c r="V6092" s="318"/>
      <c r="W6092" s="318"/>
      <c r="X6092" s="318"/>
      <c r="Y6092" s="318"/>
      <c r="Z6092" s="318"/>
      <c r="AA6092" s="318"/>
      <c r="AB6092" s="318"/>
      <c r="AC6092" s="318"/>
      <c r="AD6092" s="318"/>
    </row>
    <row r="6093" spans="2:30" s="323" customFormat="1" ht="12" customHeight="1">
      <c r="B6093" s="324"/>
      <c r="C6093" s="325"/>
      <c r="D6093" s="326"/>
      <c r="E6093" s="326"/>
      <c r="F6093" s="326"/>
      <c r="G6093" s="326"/>
      <c r="H6093" s="326"/>
      <c r="P6093" s="318"/>
      <c r="Q6093" s="318"/>
      <c r="R6093" s="318"/>
      <c r="S6093" s="318"/>
      <c r="T6093" s="318"/>
      <c r="U6093" s="318"/>
      <c r="V6093" s="318"/>
      <c r="W6093" s="318"/>
      <c r="X6093" s="318"/>
      <c r="Y6093" s="318"/>
      <c r="Z6093" s="318"/>
      <c r="AA6093" s="318"/>
      <c r="AB6093" s="318"/>
      <c r="AC6093" s="318"/>
      <c r="AD6093" s="318"/>
    </row>
    <row r="6094" spans="2:30" s="323" customFormat="1" ht="12" customHeight="1">
      <c r="B6094" s="324"/>
      <c r="C6094" s="325"/>
      <c r="D6094" s="326"/>
      <c r="E6094" s="326"/>
      <c r="F6094" s="326"/>
      <c r="G6094" s="326"/>
      <c r="H6094" s="326"/>
      <c r="P6094" s="318"/>
      <c r="Q6094" s="318"/>
      <c r="R6094" s="318"/>
      <c r="S6094" s="318"/>
      <c r="T6094" s="318"/>
      <c r="U6094" s="318"/>
      <c r="V6094" s="318"/>
      <c r="W6094" s="318"/>
      <c r="X6094" s="318"/>
      <c r="Y6094" s="318"/>
      <c r="Z6094" s="318"/>
      <c r="AA6094" s="318"/>
      <c r="AB6094" s="318"/>
      <c r="AC6094" s="318"/>
      <c r="AD6094" s="318"/>
    </row>
    <row r="6095" spans="2:30" s="323" customFormat="1" ht="12" customHeight="1">
      <c r="B6095" s="324"/>
      <c r="C6095" s="325"/>
      <c r="D6095" s="326"/>
      <c r="E6095" s="326"/>
      <c r="F6095" s="326"/>
      <c r="G6095" s="326"/>
      <c r="H6095" s="326"/>
      <c r="P6095" s="318"/>
      <c r="Q6095" s="318"/>
      <c r="R6095" s="318"/>
      <c r="S6095" s="318"/>
      <c r="T6095" s="318"/>
      <c r="U6095" s="318"/>
      <c r="V6095" s="318"/>
      <c r="W6095" s="318"/>
      <c r="X6095" s="318"/>
      <c r="Y6095" s="318"/>
      <c r="Z6095" s="318"/>
      <c r="AA6095" s="318"/>
      <c r="AB6095" s="318"/>
      <c r="AC6095" s="318"/>
      <c r="AD6095" s="318"/>
    </row>
    <row r="6096" spans="2:30" s="323" customFormat="1" ht="12" customHeight="1">
      <c r="B6096" s="324"/>
      <c r="C6096" s="325"/>
      <c r="D6096" s="326"/>
      <c r="E6096" s="326"/>
      <c r="F6096" s="326"/>
      <c r="G6096" s="326"/>
      <c r="H6096" s="326"/>
      <c r="P6096" s="318"/>
      <c r="Q6096" s="318"/>
      <c r="R6096" s="318"/>
      <c r="S6096" s="318"/>
      <c r="T6096" s="318"/>
      <c r="U6096" s="318"/>
      <c r="V6096" s="318"/>
      <c r="W6096" s="318"/>
      <c r="X6096" s="318"/>
      <c r="Y6096" s="318"/>
      <c r="Z6096" s="318"/>
      <c r="AA6096" s="318"/>
      <c r="AB6096" s="318"/>
      <c r="AC6096" s="318"/>
      <c r="AD6096" s="318"/>
    </row>
    <row r="6097" spans="2:30" s="323" customFormat="1" ht="12" customHeight="1">
      <c r="B6097" s="324"/>
      <c r="C6097" s="325"/>
      <c r="D6097" s="326"/>
      <c r="E6097" s="326"/>
      <c r="F6097" s="326"/>
      <c r="G6097" s="326"/>
      <c r="H6097" s="326"/>
      <c r="P6097" s="318"/>
      <c r="Q6097" s="318"/>
      <c r="R6097" s="318"/>
      <c r="S6097" s="318"/>
      <c r="T6097" s="318"/>
      <c r="U6097" s="318"/>
      <c r="V6097" s="318"/>
      <c r="W6097" s="318"/>
      <c r="X6097" s="318"/>
      <c r="Y6097" s="318"/>
      <c r="Z6097" s="318"/>
      <c r="AA6097" s="318"/>
      <c r="AB6097" s="318"/>
      <c r="AC6097" s="318"/>
      <c r="AD6097" s="318"/>
    </row>
    <row r="6098" spans="2:30" s="323" customFormat="1" ht="12" customHeight="1">
      <c r="B6098" s="324"/>
      <c r="C6098" s="325"/>
      <c r="D6098" s="326"/>
      <c r="E6098" s="326"/>
      <c r="F6098" s="326"/>
      <c r="G6098" s="326"/>
      <c r="H6098" s="326"/>
      <c r="P6098" s="318"/>
      <c r="Q6098" s="318"/>
      <c r="R6098" s="318"/>
      <c r="S6098" s="318"/>
      <c r="T6098" s="318"/>
      <c r="U6098" s="318"/>
      <c r="V6098" s="318"/>
      <c r="W6098" s="318"/>
      <c r="X6098" s="318"/>
      <c r="Y6098" s="318"/>
      <c r="Z6098" s="318"/>
      <c r="AA6098" s="318"/>
      <c r="AB6098" s="318"/>
      <c r="AC6098" s="318"/>
      <c r="AD6098" s="318"/>
    </row>
    <row r="6099" spans="2:30" s="323" customFormat="1" ht="12" customHeight="1">
      <c r="B6099" s="324"/>
      <c r="C6099" s="325"/>
      <c r="D6099" s="326"/>
      <c r="E6099" s="326"/>
      <c r="F6099" s="326"/>
      <c r="G6099" s="326"/>
      <c r="H6099" s="326"/>
      <c r="P6099" s="318"/>
      <c r="Q6099" s="318"/>
      <c r="R6099" s="318"/>
      <c r="S6099" s="318"/>
      <c r="T6099" s="318"/>
      <c r="U6099" s="318"/>
      <c r="V6099" s="318"/>
      <c r="W6099" s="318"/>
      <c r="X6099" s="318"/>
      <c r="Y6099" s="318"/>
      <c r="Z6099" s="318"/>
      <c r="AA6099" s="318"/>
      <c r="AB6099" s="318"/>
      <c r="AC6099" s="318"/>
      <c r="AD6099" s="318"/>
    </row>
    <row r="6100" spans="2:30" s="323" customFormat="1" ht="12" customHeight="1">
      <c r="B6100" s="324"/>
      <c r="C6100" s="325"/>
      <c r="D6100" s="326"/>
      <c r="E6100" s="326"/>
      <c r="F6100" s="326"/>
      <c r="G6100" s="326"/>
      <c r="H6100" s="326"/>
      <c r="P6100" s="318"/>
      <c r="Q6100" s="318"/>
      <c r="R6100" s="318"/>
      <c r="S6100" s="318"/>
      <c r="T6100" s="318"/>
      <c r="U6100" s="318"/>
      <c r="V6100" s="318"/>
      <c r="W6100" s="318"/>
      <c r="X6100" s="318"/>
      <c r="Y6100" s="318"/>
      <c r="Z6100" s="318"/>
      <c r="AA6100" s="318"/>
      <c r="AB6100" s="318"/>
      <c r="AC6100" s="318"/>
      <c r="AD6100" s="318"/>
    </row>
    <row r="6101" spans="2:30" s="323" customFormat="1" ht="12" customHeight="1">
      <c r="B6101" s="324"/>
      <c r="C6101" s="325"/>
      <c r="D6101" s="326"/>
      <c r="E6101" s="326"/>
      <c r="F6101" s="326"/>
      <c r="G6101" s="326"/>
      <c r="H6101" s="326"/>
      <c r="P6101" s="318"/>
      <c r="Q6101" s="318"/>
      <c r="R6101" s="318"/>
      <c r="S6101" s="318"/>
      <c r="T6101" s="318"/>
      <c r="U6101" s="318"/>
      <c r="V6101" s="318"/>
      <c r="W6101" s="318"/>
      <c r="X6101" s="318"/>
      <c r="Y6101" s="318"/>
      <c r="Z6101" s="318"/>
      <c r="AA6101" s="318"/>
      <c r="AB6101" s="318"/>
      <c r="AC6101" s="318"/>
      <c r="AD6101" s="318"/>
    </row>
    <row r="6102" spans="2:30" s="323" customFormat="1" ht="12" customHeight="1">
      <c r="B6102" s="324"/>
      <c r="C6102" s="325"/>
      <c r="D6102" s="326"/>
      <c r="E6102" s="326"/>
      <c r="F6102" s="326"/>
      <c r="G6102" s="326"/>
      <c r="H6102" s="326"/>
      <c r="P6102" s="318"/>
      <c r="Q6102" s="318"/>
      <c r="R6102" s="318"/>
      <c r="S6102" s="318"/>
      <c r="T6102" s="318"/>
      <c r="U6102" s="318"/>
      <c r="V6102" s="318"/>
      <c r="W6102" s="318"/>
      <c r="X6102" s="318"/>
      <c r="Y6102" s="318"/>
      <c r="Z6102" s="318"/>
      <c r="AA6102" s="318"/>
      <c r="AB6102" s="318"/>
      <c r="AC6102" s="318"/>
      <c r="AD6102" s="318"/>
    </row>
    <row r="6103" spans="2:30" s="323" customFormat="1" ht="12" customHeight="1">
      <c r="B6103" s="324"/>
      <c r="C6103" s="325"/>
      <c r="D6103" s="326"/>
      <c r="E6103" s="326"/>
      <c r="F6103" s="326"/>
      <c r="G6103" s="326"/>
      <c r="H6103" s="326"/>
      <c r="P6103" s="318"/>
      <c r="Q6103" s="318"/>
      <c r="R6103" s="318"/>
      <c r="S6103" s="318"/>
      <c r="T6103" s="318"/>
      <c r="U6103" s="318"/>
      <c r="V6103" s="318"/>
      <c r="W6103" s="318"/>
      <c r="X6103" s="318"/>
      <c r="Y6103" s="318"/>
      <c r="Z6103" s="318"/>
      <c r="AA6103" s="318"/>
      <c r="AB6103" s="318"/>
      <c r="AC6103" s="318"/>
      <c r="AD6103" s="318"/>
    </row>
    <row r="6104" spans="2:30" s="323" customFormat="1" ht="12" customHeight="1">
      <c r="B6104" s="324"/>
      <c r="C6104" s="325"/>
      <c r="D6104" s="326"/>
      <c r="E6104" s="326"/>
      <c r="F6104" s="326"/>
      <c r="G6104" s="326"/>
      <c r="H6104" s="326"/>
      <c r="P6104" s="318"/>
      <c r="Q6104" s="318"/>
      <c r="R6104" s="318"/>
      <c r="S6104" s="318"/>
      <c r="T6104" s="318"/>
      <c r="U6104" s="318"/>
      <c r="V6104" s="318"/>
      <c r="W6104" s="318"/>
      <c r="X6104" s="318"/>
      <c r="Y6104" s="318"/>
      <c r="Z6104" s="318"/>
      <c r="AA6104" s="318"/>
      <c r="AB6104" s="318"/>
      <c r="AC6104" s="318"/>
      <c r="AD6104" s="318"/>
    </row>
    <row r="6105" spans="2:30" s="323" customFormat="1" ht="12" customHeight="1">
      <c r="B6105" s="324"/>
      <c r="C6105" s="325"/>
      <c r="D6105" s="326"/>
      <c r="E6105" s="326"/>
      <c r="F6105" s="326"/>
      <c r="G6105" s="326"/>
      <c r="H6105" s="326"/>
      <c r="P6105" s="318"/>
      <c r="Q6105" s="318"/>
      <c r="R6105" s="318"/>
      <c r="S6105" s="318"/>
      <c r="T6105" s="318"/>
      <c r="U6105" s="318"/>
      <c r="V6105" s="318"/>
      <c r="W6105" s="318"/>
      <c r="X6105" s="318"/>
      <c r="Y6105" s="318"/>
      <c r="Z6105" s="318"/>
      <c r="AA6105" s="318"/>
      <c r="AB6105" s="318"/>
      <c r="AC6105" s="318"/>
      <c r="AD6105" s="318"/>
    </row>
    <row r="6106" spans="2:30" s="323" customFormat="1" ht="12" customHeight="1">
      <c r="B6106" s="324"/>
      <c r="C6106" s="325"/>
      <c r="D6106" s="326"/>
      <c r="E6106" s="326"/>
      <c r="F6106" s="326"/>
      <c r="G6106" s="326"/>
      <c r="H6106" s="326"/>
      <c r="P6106" s="318"/>
      <c r="Q6106" s="318"/>
      <c r="R6106" s="318"/>
      <c r="S6106" s="318"/>
      <c r="T6106" s="318"/>
      <c r="U6106" s="318"/>
      <c r="V6106" s="318"/>
      <c r="W6106" s="318"/>
      <c r="X6106" s="318"/>
      <c r="Y6106" s="318"/>
      <c r="Z6106" s="318"/>
      <c r="AA6106" s="318"/>
      <c r="AB6106" s="318"/>
      <c r="AC6106" s="318"/>
      <c r="AD6106" s="318"/>
    </row>
    <row r="6107" spans="2:30" s="323" customFormat="1" ht="12" customHeight="1">
      <c r="B6107" s="324"/>
      <c r="C6107" s="325"/>
      <c r="D6107" s="326"/>
      <c r="E6107" s="326"/>
      <c r="F6107" s="326"/>
      <c r="G6107" s="326"/>
      <c r="H6107" s="326"/>
      <c r="P6107" s="318"/>
      <c r="Q6107" s="318"/>
      <c r="R6107" s="318"/>
      <c r="S6107" s="318"/>
      <c r="T6107" s="318"/>
      <c r="U6107" s="318"/>
      <c r="V6107" s="318"/>
      <c r="W6107" s="318"/>
      <c r="X6107" s="318"/>
      <c r="Y6107" s="318"/>
      <c r="Z6107" s="318"/>
      <c r="AA6107" s="318"/>
      <c r="AB6107" s="318"/>
      <c r="AC6107" s="318"/>
      <c r="AD6107" s="318"/>
    </row>
    <row r="6108" spans="2:30" s="323" customFormat="1" ht="12" customHeight="1">
      <c r="B6108" s="324"/>
      <c r="C6108" s="325"/>
      <c r="D6108" s="326"/>
      <c r="E6108" s="326"/>
      <c r="F6108" s="326"/>
      <c r="G6108" s="326"/>
      <c r="H6108" s="326"/>
      <c r="P6108" s="318"/>
      <c r="Q6108" s="318"/>
      <c r="R6108" s="318"/>
      <c r="S6108" s="318"/>
      <c r="T6108" s="318"/>
      <c r="U6108" s="318"/>
      <c r="V6108" s="318"/>
      <c r="W6108" s="318"/>
      <c r="X6108" s="318"/>
      <c r="Y6108" s="318"/>
      <c r="Z6108" s="318"/>
      <c r="AA6108" s="318"/>
      <c r="AB6108" s="318"/>
      <c r="AC6108" s="318"/>
      <c r="AD6108" s="318"/>
    </row>
    <row r="6109" spans="2:30" s="323" customFormat="1" ht="12" customHeight="1">
      <c r="B6109" s="324"/>
      <c r="C6109" s="325"/>
      <c r="D6109" s="326"/>
      <c r="E6109" s="326"/>
      <c r="F6109" s="326"/>
      <c r="G6109" s="326"/>
      <c r="H6109" s="326"/>
      <c r="P6109" s="318"/>
      <c r="Q6109" s="318"/>
      <c r="R6109" s="318"/>
      <c r="S6109" s="318"/>
      <c r="T6109" s="318"/>
      <c r="U6109" s="318"/>
      <c r="V6109" s="318"/>
      <c r="W6109" s="318"/>
      <c r="X6109" s="318"/>
      <c r="Y6109" s="318"/>
      <c r="Z6109" s="318"/>
      <c r="AA6109" s="318"/>
      <c r="AB6109" s="318"/>
      <c r="AC6109" s="318"/>
      <c r="AD6109" s="318"/>
    </row>
    <row r="6110" spans="2:30" s="323" customFormat="1" ht="12" customHeight="1">
      <c r="B6110" s="324"/>
      <c r="C6110" s="325"/>
      <c r="D6110" s="326"/>
      <c r="E6110" s="326"/>
      <c r="F6110" s="326"/>
      <c r="G6110" s="326"/>
      <c r="H6110" s="326"/>
      <c r="P6110" s="318"/>
      <c r="Q6110" s="318"/>
      <c r="R6110" s="318"/>
      <c r="S6110" s="318"/>
      <c r="T6110" s="318"/>
      <c r="U6110" s="318"/>
      <c r="V6110" s="318"/>
      <c r="W6110" s="318"/>
      <c r="X6110" s="318"/>
      <c r="Y6110" s="318"/>
      <c r="Z6110" s="318"/>
      <c r="AA6110" s="318"/>
      <c r="AB6110" s="318"/>
      <c r="AC6110" s="318"/>
      <c r="AD6110" s="318"/>
    </row>
    <row r="6111" spans="2:30" s="323" customFormat="1" ht="12" customHeight="1">
      <c r="B6111" s="324"/>
      <c r="C6111" s="325"/>
      <c r="D6111" s="326"/>
      <c r="E6111" s="326"/>
      <c r="F6111" s="326"/>
      <c r="G6111" s="326"/>
      <c r="H6111" s="326"/>
      <c r="P6111" s="318"/>
      <c r="Q6111" s="318"/>
      <c r="R6111" s="318"/>
      <c r="S6111" s="318"/>
      <c r="T6111" s="318"/>
      <c r="U6111" s="318"/>
      <c r="V6111" s="318"/>
      <c r="W6111" s="318"/>
      <c r="X6111" s="318"/>
      <c r="Y6111" s="318"/>
      <c r="Z6111" s="318"/>
      <c r="AA6111" s="318"/>
      <c r="AB6111" s="318"/>
      <c r="AC6111" s="318"/>
      <c r="AD6111" s="318"/>
    </row>
    <row r="6112" spans="2:30" s="323" customFormat="1" ht="12" customHeight="1">
      <c r="B6112" s="324"/>
      <c r="C6112" s="325"/>
      <c r="D6112" s="326"/>
      <c r="E6112" s="326"/>
      <c r="F6112" s="326"/>
      <c r="G6112" s="326"/>
      <c r="H6112" s="326"/>
      <c r="P6112" s="318"/>
      <c r="Q6112" s="318"/>
      <c r="R6112" s="318"/>
      <c r="S6112" s="318"/>
      <c r="T6112" s="318"/>
      <c r="U6112" s="318"/>
      <c r="V6112" s="318"/>
      <c r="W6112" s="318"/>
      <c r="X6112" s="318"/>
      <c r="Y6112" s="318"/>
      <c r="Z6112" s="318"/>
      <c r="AA6112" s="318"/>
      <c r="AB6112" s="318"/>
      <c r="AC6112" s="318"/>
      <c r="AD6112" s="318"/>
    </row>
    <row r="6113" spans="2:30" s="323" customFormat="1" ht="12" customHeight="1">
      <c r="B6113" s="324"/>
      <c r="C6113" s="325"/>
      <c r="D6113" s="326"/>
      <c r="E6113" s="326"/>
      <c r="F6113" s="326"/>
      <c r="G6113" s="326"/>
      <c r="H6113" s="326"/>
      <c r="P6113" s="318"/>
      <c r="Q6113" s="318"/>
      <c r="R6113" s="318"/>
      <c r="S6113" s="318"/>
      <c r="T6113" s="318"/>
      <c r="U6113" s="318"/>
      <c r="V6113" s="318"/>
      <c r="W6113" s="318"/>
      <c r="X6113" s="318"/>
      <c r="Y6113" s="318"/>
      <c r="Z6113" s="318"/>
      <c r="AA6113" s="318"/>
      <c r="AB6113" s="318"/>
      <c r="AC6113" s="318"/>
      <c r="AD6113" s="318"/>
    </row>
    <row r="6114" spans="2:30" s="323" customFormat="1" ht="12" customHeight="1">
      <c r="B6114" s="324"/>
      <c r="C6114" s="325"/>
      <c r="D6114" s="326"/>
      <c r="E6114" s="326"/>
      <c r="F6114" s="326"/>
      <c r="G6114" s="326"/>
      <c r="H6114" s="326"/>
      <c r="P6114" s="318"/>
      <c r="Q6114" s="318"/>
      <c r="R6114" s="318"/>
      <c r="S6114" s="318"/>
      <c r="T6114" s="318"/>
      <c r="U6114" s="318"/>
      <c r="V6114" s="318"/>
      <c r="W6114" s="318"/>
      <c r="X6114" s="318"/>
      <c r="Y6114" s="318"/>
      <c r="Z6114" s="318"/>
      <c r="AA6114" s="318"/>
      <c r="AB6114" s="318"/>
      <c r="AC6114" s="318"/>
      <c r="AD6114" s="318"/>
    </row>
    <row r="6115" spans="2:30" s="323" customFormat="1" ht="12" customHeight="1">
      <c r="B6115" s="324"/>
      <c r="C6115" s="325"/>
      <c r="D6115" s="326"/>
      <c r="E6115" s="326"/>
      <c r="F6115" s="326"/>
      <c r="G6115" s="326"/>
      <c r="H6115" s="326"/>
      <c r="P6115" s="318"/>
      <c r="Q6115" s="318"/>
      <c r="R6115" s="318"/>
      <c r="S6115" s="318"/>
      <c r="T6115" s="318"/>
      <c r="U6115" s="318"/>
      <c r="V6115" s="318"/>
      <c r="W6115" s="318"/>
      <c r="X6115" s="318"/>
      <c r="Y6115" s="318"/>
      <c r="Z6115" s="318"/>
      <c r="AA6115" s="318"/>
      <c r="AB6115" s="318"/>
      <c r="AC6115" s="318"/>
      <c r="AD6115" s="318"/>
    </row>
    <row r="6116" spans="2:30" s="323" customFormat="1" ht="12" customHeight="1">
      <c r="B6116" s="324"/>
      <c r="C6116" s="325"/>
      <c r="D6116" s="326"/>
      <c r="E6116" s="326"/>
      <c r="F6116" s="326"/>
      <c r="G6116" s="326"/>
      <c r="H6116" s="326"/>
      <c r="P6116" s="318"/>
      <c r="Q6116" s="318"/>
      <c r="R6116" s="318"/>
      <c r="S6116" s="318"/>
      <c r="T6116" s="318"/>
      <c r="U6116" s="318"/>
      <c r="V6116" s="318"/>
      <c r="W6116" s="318"/>
      <c r="X6116" s="318"/>
      <c r="Y6116" s="318"/>
      <c r="Z6116" s="318"/>
      <c r="AA6116" s="318"/>
      <c r="AB6116" s="318"/>
      <c r="AC6116" s="318"/>
      <c r="AD6116" s="318"/>
    </row>
    <row r="6117" spans="2:30" s="323" customFormat="1" ht="12" customHeight="1">
      <c r="B6117" s="324"/>
      <c r="C6117" s="325"/>
      <c r="D6117" s="326"/>
      <c r="E6117" s="326"/>
      <c r="F6117" s="326"/>
      <c r="G6117" s="326"/>
      <c r="H6117" s="326"/>
      <c r="P6117" s="318"/>
      <c r="Q6117" s="318"/>
      <c r="R6117" s="318"/>
      <c r="S6117" s="318"/>
      <c r="T6117" s="318"/>
      <c r="U6117" s="318"/>
      <c r="V6117" s="318"/>
      <c r="W6117" s="318"/>
      <c r="X6117" s="318"/>
      <c r="Y6117" s="318"/>
      <c r="Z6117" s="318"/>
      <c r="AA6117" s="318"/>
      <c r="AB6117" s="318"/>
      <c r="AC6117" s="318"/>
      <c r="AD6117" s="318"/>
    </row>
    <row r="6118" spans="2:30" s="323" customFormat="1" ht="12" customHeight="1">
      <c r="B6118" s="324"/>
      <c r="C6118" s="325"/>
      <c r="D6118" s="326"/>
      <c r="E6118" s="326"/>
      <c r="F6118" s="326"/>
      <c r="G6118" s="326"/>
      <c r="H6118" s="326"/>
      <c r="P6118" s="318"/>
      <c r="Q6118" s="318"/>
      <c r="R6118" s="318"/>
      <c r="S6118" s="318"/>
      <c r="T6118" s="318"/>
      <c r="U6118" s="318"/>
      <c r="V6118" s="318"/>
      <c r="W6118" s="318"/>
      <c r="X6118" s="318"/>
      <c r="Y6118" s="318"/>
      <c r="Z6118" s="318"/>
      <c r="AA6118" s="318"/>
      <c r="AB6118" s="318"/>
      <c r="AC6118" s="318"/>
      <c r="AD6118" s="318"/>
    </row>
    <row r="6119" spans="2:30" s="323" customFormat="1" ht="12" customHeight="1">
      <c r="B6119" s="324"/>
      <c r="C6119" s="325"/>
      <c r="D6119" s="326"/>
      <c r="E6119" s="326"/>
      <c r="F6119" s="326"/>
      <c r="G6119" s="326"/>
      <c r="H6119" s="326"/>
      <c r="P6119" s="318"/>
      <c r="Q6119" s="318"/>
      <c r="R6119" s="318"/>
      <c r="S6119" s="318"/>
      <c r="T6119" s="318"/>
      <c r="U6119" s="318"/>
      <c r="V6119" s="318"/>
      <c r="W6119" s="318"/>
      <c r="X6119" s="318"/>
      <c r="Y6119" s="318"/>
      <c r="Z6119" s="318"/>
      <c r="AA6119" s="318"/>
      <c r="AB6119" s="318"/>
      <c r="AC6119" s="318"/>
      <c r="AD6119" s="318"/>
    </row>
    <row r="6120" spans="2:30" s="323" customFormat="1" ht="12" customHeight="1">
      <c r="B6120" s="324"/>
      <c r="C6120" s="325"/>
      <c r="D6120" s="326"/>
      <c r="E6120" s="326"/>
      <c r="F6120" s="326"/>
      <c r="G6120" s="326"/>
      <c r="H6120" s="326"/>
      <c r="P6120" s="318"/>
      <c r="Q6120" s="318"/>
      <c r="R6120" s="318"/>
      <c r="S6120" s="318"/>
      <c r="T6120" s="318"/>
      <c r="U6120" s="318"/>
      <c r="V6120" s="318"/>
      <c r="W6120" s="318"/>
      <c r="X6120" s="318"/>
      <c r="Y6120" s="318"/>
      <c r="Z6120" s="318"/>
      <c r="AA6120" s="318"/>
      <c r="AB6120" s="318"/>
      <c r="AC6120" s="318"/>
      <c r="AD6120" s="318"/>
    </row>
    <row r="6121" spans="2:30" s="323" customFormat="1" ht="12" customHeight="1">
      <c r="B6121" s="324"/>
      <c r="C6121" s="325"/>
      <c r="D6121" s="326"/>
      <c r="E6121" s="326"/>
      <c r="F6121" s="326"/>
      <c r="G6121" s="326"/>
      <c r="H6121" s="326"/>
      <c r="P6121" s="318"/>
      <c r="Q6121" s="318"/>
      <c r="R6121" s="318"/>
      <c r="S6121" s="318"/>
      <c r="T6121" s="318"/>
      <c r="U6121" s="318"/>
      <c r="V6121" s="318"/>
      <c r="W6121" s="318"/>
      <c r="X6121" s="318"/>
      <c r="Y6121" s="318"/>
      <c r="Z6121" s="318"/>
      <c r="AA6121" s="318"/>
      <c r="AB6121" s="318"/>
      <c r="AC6121" s="318"/>
      <c r="AD6121" s="318"/>
    </row>
    <row r="6122" spans="2:30" s="323" customFormat="1" ht="12" customHeight="1">
      <c r="B6122" s="324"/>
      <c r="C6122" s="325"/>
      <c r="D6122" s="326"/>
      <c r="E6122" s="326"/>
      <c r="F6122" s="326"/>
      <c r="G6122" s="326"/>
      <c r="H6122" s="326"/>
      <c r="P6122" s="318"/>
      <c r="Q6122" s="318"/>
      <c r="R6122" s="318"/>
      <c r="S6122" s="318"/>
      <c r="T6122" s="318"/>
      <c r="U6122" s="318"/>
      <c r="V6122" s="318"/>
      <c r="W6122" s="318"/>
      <c r="X6122" s="318"/>
      <c r="Y6122" s="318"/>
      <c r="Z6122" s="318"/>
      <c r="AA6122" s="318"/>
      <c r="AB6122" s="318"/>
      <c r="AC6122" s="318"/>
      <c r="AD6122" s="318"/>
    </row>
    <row r="6123" spans="2:30" s="323" customFormat="1" ht="12" customHeight="1">
      <c r="B6123" s="324"/>
      <c r="C6123" s="325"/>
      <c r="D6123" s="326"/>
      <c r="E6123" s="326"/>
      <c r="F6123" s="326"/>
      <c r="G6123" s="326"/>
      <c r="H6123" s="326"/>
      <c r="P6123" s="318"/>
      <c r="Q6123" s="318"/>
      <c r="R6123" s="318"/>
      <c r="S6123" s="318"/>
      <c r="T6123" s="318"/>
      <c r="U6123" s="318"/>
      <c r="V6123" s="318"/>
      <c r="W6123" s="318"/>
      <c r="X6123" s="318"/>
      <c r="Y6123" s="318"/>
      <c r="Z6123" s="318"/>
      <c r="AA6123" s="318"/>
      <c r="AB6123" s="318"/>
      <c r="AC6123" s="318"/>
      <c r="AD6123" s="318"/>
    </row>
    <row r="6124" spans="2:30" s="323" customFormat="1" ht="12" customHeight="1">
      <c r="B6124" s="324"/>
      <c r="C6124" s="325"/>
      <c r="D6124" s="326"/>
      <c r="E6124" s="326"/>
      <c r="F6124" s="326"/>
      <c r="G6124" s="326"/>
      <c r="H6124" s="326"/>
      <c r="P6124" s="318"/>
      <c r="Q6124" s="318"/>
      <c r="R6124" s="318"/>
      <c r="S6124" s="318"/>
      <c r="T6124" s="318"/>
      <c r="U6124" s="318"/>
      <c r="V6124" s="318"/>
      <c r="W6124" s="318"/>
      <c r="X6124" s="318"/>
      <c r="Y6124" s="318"/>
      <c r="Z6124" s="318"/>
      <c r="AA6124" s="318"/>
      <c r="AB6124" s="318"/>
      <c r="AC6124" s="318"/>
      <c r="AD6124" s="318"/>
    </row>
    <row r="6125" spans="2:30" s="323" customFormat="1" ht="12" customHeight="1">
      <c r="B6125" s="324"/>
      <c r="C6125" s="325"/>
      <c r="D6125" s="326"/>
      <c r="E6125" s="326"/>
      <c r="F6125" s="326"/>
      <c r="G6125" s="326"/>
      <c r="H6125" s="326"/>
      <c r="P6125" s="318"/>
      <c r="Q6125" s="318"/>
      <c r="R6125" s="318"/>
      <c r="S6125" s="318"/>
      <c r="T6125" s="318"/>
      <c r="U6125" s="318"/>
      <c r="V6125" s="318"/>
      <c r="W6125" s="318"/>
      <c r="X6125" s="318"/>
      <c r="Y6125" s="318"/>
      <c r="Z6125" s="318"/>
      <c r="AA6125" s="318"/>
      <c r="AB6125" s="318"/>
      <c r="AC6125" s="318"/>
      <c r="AD6125" s="318"/>
    </row>
    <row r="6126" spans="2:30" s="323" customFormat="1" ht="12" customHeight="1">
      <c r="B6126" s="324"/>
      <c r="C6126" s="325"/>
      <c r="D6126" s="326"/>
      <c r="E6126" s="326"/>
      <c r="F6126" s="326"/>
      <c r="G6126" s="326"/>
      <c r="H6126" s="326"/>
      <c r="P6126" s="318"/>
      <c r="Q6126" s="318"/>
      <c r="R6126" s="318"/>
      <c r="S6126" s="318"/>
      <c r="T6126" s="318"/>
      <c r="U6126" s="318"/>
      <c r="V6126" s="318"/>
      <c r="W6126" s="318"/>
      <c r="X6126" s="318"/>
      <c r="Y6126" s="318"/>
      <c r="Z6126" s="318"/>
      <c r="AA6126" s="318"/>
      <c r="AB6126" s="318"/>
      <c r="AC6126" s="318"/>
      <c r="AD6126" s="318"/>
    </row>
    <row r="6127" spans="2:30" s="323" customFormat="1" ht="12" customHeight="1">
      <c r="B6127" s="324"/>
      <c r="C6127" s="325"/>
      <c r="D6127" s="326"/>
      <c r="E6127" s="326"/>
      <c r="F6127" s="326"/>
      <c r="G6127" s="326"/>
      <c r="H6127" s="326"/>
      <c r="P6127" s="318"/>
      <c r="Q6127" s="318"/>
      <c r="R6127" s="318"/>
      <c r="S6127" s="318"/>
      <c r="T6127" s="318"/>
      <c r="U6127" s="318"/>
      <c r="V6127" s="318"/>
      <c r="W6127" s="318"/>
      <c r="X6127" s="318"/>
      <c r="Y6127" s="318"/>
      <c r="Z6127" s="318"/>
      <c r="AA6127" s="318"/>
      <c r="AB6127" s="318"/>
      <c r="AC6127" s="318"/>
      <c r="AD6127" s="318"/>
    </row>
    <row r="6128" spans="2:30" s="323" customFormat="1" ht="12" customHeight="1">
      <c r="B6128" s="324"/>
      <c r="C6128" s="325"/>
      <c r="D6128" s="326"/>
      <c r="E6128" s="326"/>
      <c r="F6128" s="326"/>
      <c r="G6128" s="326"/>
      <c r="H6128" s="326"/>
      <c r="P6128" s="318"/>
      <c r="Q6128" s="318"/>
      <c r="R6128" s="318"/>
      <c r="S6128" s="318"/>
      <c r="T6128" s="318"/>
      <c r="U6128" s="318"/>
      <c r="V6128" s="318"/>
      <c r="W6128" s="318"/>
      <c r="X6128" s="318"/>
      <c r="Y6128" s="318"/>
      <c r="Z6128" s="318"/>
      <c r="AA6128" s="318"/>
      <c r="AB6128" s="318"/>
      <c r="AC6128" s="318"/>
      <c r="AD6128" s="318"/>
    </row>
    <row r="6129" spans="2:30" s="323" customFormat="1" ht="12" customHeight="1">
      <c r="B6129" s="324"/>
      <c r="C6129" s="325"/>
      <c r="D6129" s="326"/>
      <c r="E6129" s="326"/>
      <c r="F6129" s="326"/>
      <c r="G6129" s="326"/>
      <c r="H6129" s="326"/>
      <c r="P6129" s="318"/>
      <c r="Q6129" s="318"/>
      <c r="R6129" s="318"/>
      <c r="S6129" s="318"/>
      <c r="T6129" s="318"/>
      <c r="U6129" s="318"/>
      <c r="V6129" s="318"/>
      <c r="W6129" s="318"/>
      <c r="X6129" s="318"/>
      <c r="Y6129" s="318"/>
      <c r="Z6129" s="318"/>
      <c r="AA6129" s="318"/>
      <c r="AB6129" s="318"/>
      <c r="AC6129" s="318"/>
      <c r="AD6129" s="318"/>
    </row>
    <row r="6130" spans="2:30" s="323" customFormat="1" ht="12" customHeight="1">
      <c r="B6130" s="324"/>
      <c r="C6130" s="325"/>
      <c r="D6130" s="326"/>
      <c r="E6130" s="326"/>
      <c r="F6130" s="326"/>
      <c r="G6130" s="326"/>
      <c r="H6130" s="326"/>
      <c r="P6130" s="318"/>
      <c r="Q6130" s="318"/>
      <c r="R6130" s="318"/>
      <c r="S6130" s="318"/>
      <c r="T6130" s="318"/>
      <c r="U6130" s="318"/>
      <c r="V6130" s="318"/>
      <c r="W6130" s="318"/>
      <c r="X6130" s="318"/>
      <c r="Y6130" s="318"/>
      <c r="Z6130" s="318"/>
      <c r="AA6130" s="318"/>
      <c r="AB6130" s="318"/>
      <c r="AC6130" s="318"/>
      <c r="AD6130" s="318"/>
    </row>
    <row r="6131" spans="2:30" s="323" customFormat="1" ht="12" customHeight="1">
      <c r="B6131" s="324"/>
      <c r="C6131" s="325"/>
      <c r="D6131" s="326"/>
      <c r="E6131" s="326"/>
      <c r="F6131" s="326"/>
      <c r="G6131" s="326"/>
      <c r="H6131" s="326"/>
      <c r="P6131" s="318"/>
      <c r="Q6131" s="318"/>
      <c r="R6131" s="318"/>
      <c r="S6131" s="318"/>
      <c r="T6131" s="318"/>
      <c r="U6131" s="318"/>
      <c r="V6131" s="318"/>
      <c r="W6131" s="318"/>
      <c r="X6131" s="318"/>
      <c r="Y6131" s="318"/>
      <c r="Z6131" s="318"/>
      <c r="AA6131" s="318"/>
      <c r="AB6131" s="318"/>
      <c r="AC6131" s="318"/>
      <c r="AD6131" s="318"/>
    </row>
    <row r="6132" spans="2:30" s="323" customFormat="1" ht="12" customHeight="1">
      <c r="B6132" s="324"/>
      <c r="C6132" s="325"/>
      <c r="D6132" s="326"/>
      <c r="E6132" s="326"/>
      <c r="F6132" s="326"/>
      <c r="G6132" s="326"/>
      <c r="H6132" s="326"/>
      <c r="P6132" s="318"/>
      <c r="Q6132" s="318"/>
      <c r="R6132" s="318"/>
      <c r="S6132" s="318"/>
      <c r="T6132" s="318"/>
      <c r="U6132" s="318"/>
      <c r="V6132" s="318"/>
      <c r="W6132" s="318"/>
      <c r="X6132" s="318"/>
      <c r="Y6132" s="318"/>
      <c r="Z6132" s="318"/>
      <c r="AA6132" s="318"/>
      <c r="AB6132" s="318"/>
      <c r="AC6132" s="318"/>
      <c r="AD6132" s="318"/>
    </row>
    <row r="6133" spans="2:30" s="323" customFormat="1" ht="12" customHeight="1">
      <c r="B6133" s="324"/>
      <c r="C6133" s="325"/>
      <c r="D6133" s="326"/>
      <c r="E6133" s="326"/>
      <c r="F6133" s="326"/>
      <c r="G6133" s="326"/>
      <c r="H6133" s="326"/>
      <c r="P6133" s="318"/>
      <c r="Q6133" s="318"/>
      <c r="R6133" s="318"/>
      <c r="S6133" s="318"/>
      <c r="T6133" s="318"/>
      <c r="U6133" s="318"/>
      <c r="V6133" s="318"/>
      <c r="W6133" s="318"/>
      <c r="X6133" s="318"/>
      <c r="Y6133" s="318"/>
      <c r="Z6133" s="318"/>
      <c r="AA6133" s="318"/>
      <c r="AB6133" s="318"/>
      <c r="AC6133" s="318"/>
      <c r="AD6133" s="318"/>
    </row>
    <row r="6134" spans="2:30" s="323" customFormat="1" ht="12" customHeight="1">
      <c r="B6134" s="324"/>
      <c r="C6134" s="325"/>
      <c r="D6134" s="326"/>
      <c r="E6134" s="326"/>
      <c r="F6134" s="326"/>
      <c r="G6134" s="326"/>
      <c r="H6134" s="326"/>
      <c r="P6134" s="318"/>
      <c r="Q6134" s="318"/>
      <c r="R6134" s="318"/>
      <c r="S6134" s="318"/>
      <c r="T6134" s="318"/>
      <c r="U6134" s="318"/>
      <c r="V6134" s="318"/>
      <c r="W6134" s="318"/>
      <c r="X6134" s="318"/>
      <c r="Y6134" s="318"/>
      <c r="Z6134" s="318"/>
      <c r="AA6134" s="318"/>
      <c r="AB6134" s="318"/>
      <c r="AC6134" s="318"/>
      <c r="AD6134" s="318"/>
    </row>
    <row r="6135" spans="2:30" s="323" customFormat="1" ht="12" customHeight="1">
      <c r="B6135" s="324"/>
      <c r="C6135" s="325"/>
      <c r="D6135" s="326"/>
      <c r="E6135" s="326"/>
      <c r="F6135" s="326"/>
      <c r="G6135" s="326"/>
      <c r="H6135" s="326"/>
      <c r="P6135" s="318"/>
      <c r="Q6135" s="318"/>
      <c r="R6135" s="318"/>
      <c r="S6135" s="318"/>
      <c r="T6135" s="318"/>
      <c r="U6135" s="318"/>
      <c r="V6135" s="318"/>
      <c r="W6135" s="318"/>
      <c r="X6135" s="318"/>
      <c r="Y6135" s="318"/>
      <c r="Z6135" s="318"/>
      <c r="AA6135" s="318"/>
      <c r="AB6135" s="318"/>
      <c r="AC6135" s="318"/>
      <c r="AD6135" s="318"/>
    </row>
    <row r="6136" spans="2:30" s="323" customFormat="1" ht="12" customHeight="1">
      <c r="B6136" s="324"/>
      <c r="C6136" s="325"/>
      <c r="D6136" s="326"/>
      <c r="E6136" s="326"/>
      <c r="F6136" s="326"/>
      <c r="G6136" s="326"/>
      <c r="H6136" s="326"/>
      <c r="P6136" s="318"/>
      <c r="Q6136" s="318"/>
      <c r="R6136" s="318"/>
      <c r="S6136" s="318"/>
      <c r="T6136" s="318"/>
      <c r="U6136" s="318"/>
      <c r="V6136" s="318"/>
      <c r="W6136" s="318"/>
      <c r="X6136" s="318"/>
      <c r="Y6136" s="318"/>
      <c r="Z6136" s="318"/>
      <c r="AA6136" s="318"/>
      <c r="AB6136" s="318"/>
      <c r="AC6136" s="318"/>
      <c r="AD6136" s="318"/>
    </row>
    <row r="6137" spans="2:30" s="323" customFormat="1" ht="12" customHeight="1">
      <c r="B6137" s="324"/>
      <c r="C6137" s="325"/>
      <c r="D6137" s="326"/>
      <c r="E6137" s="326"/>
      <c r="F6137" s="326"/>
      <c r="G6137" s="326"/>
      <c r="H6137" s="326"/>
      <c r="P6137" s="318"/>
      <c r="Q6137" s="318"/>
      <c r="R6137" s="318"/>
      <c r="S6137" s="318"/>
      <c r="T6137" s="318"/>
      <c r="U6137" s="318"/>
      <c r="V6137" s="318"/>
      <c r="W6137" s="318"/>
      <c r="X6137" s="318"/>
      <c r="Y6137" s="318"/>
      <c r="Z6137" s="318"/>
      <c r="AA6137" s="318"/>
      <c r="AB6137" s="318"/>
      <c r="AC6137" s="318"/>
      <c r="AD6137" s="318"/>
    </row>
    <row r="6138" spans="2:30" s="323" customFormat="1" ht="12" customHeight="1">
      <c r="B6138" s="324"/>
      <c r="C6138" s="325"/>
      <c r="D6138" s="326"/>
      <c r="E6138" s="326"/>
      <c r="F6138" s="326"/>
      <c r="G6138" s="326"/>
      <c r="H6138" s="326"/>
      <c r="P6138" s="318"/>
      <c r="Q6138" s="318"/>
      <c r="R6138" s="318"/>
      <c r="S6138" s="318"/>
      <c r="T6138" s="318"/>
      <c r="U6138" s="318"/>
      <c r="V6138" s="318"/>
      <c r="W6138" s="318"/>
      <c r="X6138" s="318"/>
      <c r="Y6138" s="318"/>
      <c r="Z6138" s="318"/>
      <c r="AA6138" s="318"/>
      <c r="AB6138" s="318"/>
      <c r="AC6138" s="318"/>
      <c r="AD6138" s="318"/>
    </row>
    <row r="6139" spans="2:30" s="323" customFormat="1" ht="12" customHeight="1">
      <c r="B6139" s="324"/>
      <c r="C6139" s="325"/>
      <c r="D6139" s="326"/>
      <c r="E6139" s="326"/>
      <c r="F6139" s="326"/>
      <c r="G6139" s="326"/>
      <c r="H6139" s="326"/>
      <c r="P6139" s="318"/>
      <c r="Q6139" s="318"/>
      <c r="R6139" s="318"/>
      <c r="S6139" s="318"/>
      <c r="T6139" s="318"/>
      <c r="U6139" s="318"/>
      <c r="V6139" s="318"/>
      <c r="W6139" s="318"/>
      <c r="X6139" s="318"/>
      <c r="Y6139" s="318"/>
      <c r="Z6139" s="318"/>
      <c r="AA6139" s="318"/>
      <c r="AB6139" s="318"/>
      <c r="AC6139" s="318"/>
      <c r="AD6139" s="318"/>
    </row>
    <row r="6140" spans="2:30" s="323" customFormat="1" ht="12" customHeight="1">
      <c r="B6140" s="324"/>
      <c r="C6140" s="325"/>
      <c r="D6140" s="326"/>
      <c r="E6140" s="326"/>
      <c r="F6140" s="326"/>
      <c r="G6140" s="326"/>
      <c r="H6140" s="326"/>
      <c r="P6140" s="318"/>
      <c r="Q6140" s="318"/>
      <c r="R6140" s="318"/>
      <c r="S6140" s="318"/>
      <c r="T6140" s="318"/>
      <c r="U6140" s="318"/>
      <c r="V6140" s="318"/>
      <c r="W6140" s="318"/>
      <c r="X6140" s="318"/>
      <c r="Y6140" s="318"/>
      <c r="Z6140" s="318"/>
      <c r="AA6140" s="318"/>
      <c r="AB6140" s="318"/>
      <c r="AC6140" s="318"/>
      <c r="AD6140" s="318"/>
    </row>
    <row r="6141" spans="2:30" s="323" customFormat="1" ht="12" customHeight="1">
      <c r="B6141" s="324"/>
      <c r="C6141" s="325"/>
      <c r="D6141" s="326"/>
      <c r="E6141" s="326"/>
      <c r="F6141" s="326"/>
      <c r="G6141" s="326"/>
      <c r="H6141" s="326"/>
      <c r="P6141" s="318"/>
      <c r="Q6141" s="318"/>
      <c r="R6141" s="318"/>
      <c r="S6141" s="318"/>
      <c r="T6141" s="318"/>
      <c r="U6141" s="318"/>
      <c r="V6141" s="318"/>
      <c r="W6141" s="318"/>
      <c r="X6141" s="318"/>
      <c r="Y6141" s="318"/>
      <c r="Z6141" s="318"/>
      <c r="AA6141" s="318"/>
      <c r="AB6141" s="318"/>
      <c r="AC6141" s="318"/>
      <c r="AD6141" s="318"/>
    </row>
    <row r="6142" spans="2:30" s="323" customFormat="1" ht="12" customHeight="1">
      <c r="B6142" s="324"/>
      <c r="C6142" s="325"/>
      <c r="D6142" s="326"/>
      <c r="E6142" s="326"/>
      <c r="F6142" s="326"/>
      <c r="G6142" s="326"/>
      <c r="H6142" s="326"/>
      <c r="P6142" s="318"/>
      <c r="Q6142" s="318"/>
      <c r="R6142" s="318"/>
      <c r="S6142" s="318"/>
      <c r="T6142" s="318"/>
      <c r="U6142" s="318"/>
      <c r="V6142" s="318"/>
      <c r="W6142" s="318"/>
      <c r="X6142" s="318"/>
      <c r="Y6142" s="318"/>
      <c r="Z6142" s="318"/>
      <c r="AA6142" s="318"/>
      <c r="AB6142" s="318"/>
      <c r="AC6142" s="318"/>
      <c r="AD6142" s="318"/>
    </row>
    <row r="6143" spans="2:30" s="323" customFormat="1" ht="12" customHeight="1">
      <c r="B6143" s="324"/>
      <c r="C6143" s="325"/>
      <c r="D6143" s="326"/>
      <c r="E6143" s="326"/>
      <c r="F6143" s="326"/>
      <c r="G6143" s="326"/>
      <c r="H6143" s="326"/>
      <c r="P6143" s="318"/>
      <c r="Q6143" s="318"/>
      <c r="R6143" s="318"/>
      <c r="S6143" s="318"/>
      <c r="T6143" s="318"/>
      <c r="U6143" s="318"/>
      <c r="V6143" s="318"/>
      <c r="W6143" s="318"/>
      <c r="X6143" s="318"/>
      <c r="Y6143" s="318"/>
      <c r="Z6143" s="318"/>
      <c r="AA6143" s="318"/>
      <c r="AB6143" s="318"/>
      <c r="AC6143" s="318"/>
      <c r="AD6143" s="318"/>
    </row>
    <row r="6144" spans="2:30" s="323" customFormat="1" ht="12" customHeight="1">
      <c r="B6144" s="324"/>
      <c r="C6144" s="325"/>
      <c r="D6144" s="326"/>
      <c r="E6144" s="326"/>
      <c r="F6144" s="326"/>
      <c r="G6144" s="326"/>
      <c r="H6144" s="326"/>
      <c r="P6144" s="318"/>
      <c r="Q6144" s="318"/>
      <c r="R6144" s="318"/>
      <c r="S6144" s="318"/>
      <c r="T6144" s="318"/>
      <c r="U6144" s="318"/>
      <c r="V6144" s="318"/>
      <c r="W6144" s="318"/>
      <c r="X6144" s="318"/>
      <c r="Y6144" s="318"/>
      <c r="Z6144" s="318"/>
      <c r="AA6144" s="318"/>
      <c r="AB6144" s="318"/>
      <c r="AC6144" s="318"/>
      <c r="AD6144" s="318"/>
    </row>
    <row r="6145" spans="2:30" s="323" customFormat="1" ht="12" customHeight="1">
      <c r="B6145" s="324"/>
      <c r="C6145" s="325"/>
      <c r="D6145" s="326"/>
      <c r="E6145" s="326"/>
      <c r="F6145" s="326"/>
      <c r="G6145" s="326"/>
      <c r="H6145" s="326"/>
      <c r="P6145" s="318"/>
      <c r="Q6145" s="318"/>
      <c r="R6145" s="318"/>
      <c r="S6145" s="318"/>
      <c r="T6145" s="318"/>
      <c r="U6145" s="318"/>
      <c r="V6145" s="318"/>
      <c r="W6145" s="318"/>
      <c r="X6145" s="318"/>
      <c r="Y6145" s="318"/>
      <c r="Z6145" s="318"/>
      <c r="AA6145" s="318"/>
      <c r="AB6145" s="318"/>
      <c r="AC6145" s="318"/>
      <c r="AD6145" s="318"/>
    </row>
    <row r="6146" spans="2:30" s="323" customFormat="1" ht="12" customHeight="1">
      <c r="B6146" s="324"/>
      <c r="C6146" s="325"/>
      <c r="D6146" s="326"/>
      <c r="E6146" s="326"/>
      <c r="F6146" s="326"/>
      <c r="G6146" s="326"/>
      <c r="H6146" s="326"/>
      <c r="P6146" s="318"/>
      <c r="Q6146" s="318"/>
      <c r="R6146" s="318"/>
      <c r="S6146" s="318"/>
      <c r="T6146" s="318"/>
      <c r="U6146" s="318"/>
      <c r="V6146" s="318"/>
      <c r="W6146" s="318"/>
      <c r="X6146" s="318"/>
      <c r="Y6146" s="318"/>
      <c r="Z6146" s="318"/>
      <c r="AA6146" s="318"/>
      <c r="AB6146" s="318"/>
      <c r="AC6146" s="318"/>
      <c r="AD6146" s="318"/>
    </row>
    <row r="6147" spans="2:30" s="323" customFormat="1" ht="12" customHeight="1">
      <c r="B6147" s="324"/>
      <c r="C6147" s="325"/>
      <c r="D6147" s="326"/>
      <c r="E6147" s="326"/>
      <c r="F6147" s="326"/>
      <c r="G6147" s="326"/>
      <c r="H6147" s="326"/>
      <c r="P6147" s="318"/>
      <c r="Q6147" s="318"/>
      <c r="R6147" s="318"/>
      <c r="S6147" s="318"/>
      <c r="T6147" s="318"/>
      <c r="U6147" s="318"/>
      <c r="V6147" s="318"/>
      <c r="W6147" s="318"/>
      <c r="X6147" s="318"/>
      <c r="Y6147" s="318"/>
      <c r="Z6147" s="318"/>
      <c r="AA6147" s="318"/>
      <c r="AB6147" s="318"/>
      <c r="AC6147" s="318"/>
      <c r="AD6147" s="318"/>
    </row>
    <row r="6148" spans="2:30" s="323" customFormat="1" ht="12" customHeight="1">
      <c r="B6148" s="324"/>
      <c r="C6148" s="325"/>
      <c r="D6148" s="326"/>
      <c r="E6148" s="326"/>
      <c r="F6148" s="326"/>
      <c r="G6148" s="326"/>
      <c r="H6148" s="326"/>
      <c r="P6148" s="318"/>
      <c r="Q6148" s="318"/>
      <c r="R6148" s="318"/>
      <c r="S6148" s="318"/>
      <c r="T6148" s="318"/>
      <c r="U6148" s="318"/>
      <c r="V6148" s="318"/>
      <c r="W6148" s="318"/>
      <c r="X6148" s="318"/>
      <c r="Y6148" s="318"/>
      <c r="Z6148" s="318"/>
      <c r="AA6148" s="318"/>
      <c r="AB6148" s="318"/>
      <c r="AC6148" s="318"/>
      <c r="AD6148" s="318"/>
    </row>
    <row r="6149" spans="2:30" s="323" customFormat="1" ht="12" customHeight="1">
      <c r="B6149" s="324"/>
      <c r="C6149" s="325"/>
      <c r="D6149" s="326"/>
      <c r="E6149" s="326"/>
      <c r="F6149" s="326"/>
      <c r="G6149" s="326"/>
      <c r="H6149" s="326"/>
      <c r="P6149" s="318"/>
      <c r="Q6149" s="318"/>
      <c r="R6149" s="318"/>
      <c r="S6149" s="318"/>
      <c r="T6149" s="318"/>
      <c r="U6149" s="318"/>
      <c r="V6149" s="318"/>
      <c r="W6149" s="318"/>
      <c r="X6149" s="318"/>
      <c r="Y6149" s="318"/>
      <c r="Z6149" s="318"/>
      <c r="AA6149" s="318"/>
      <c r="AB6149" s="318"/>
      <c r="AC6149" s="318"/>
      <c r="AD6149" s="318"/>
    </row>
    <row r="6150" spans="2:30" s="323" customFormat="1" ht="12" customHeight="1">
      <c r="B6150" s="324"/>
      <c r="C6150" s="325"/>
      <c r="D6150" s="326"/>
      <c r="E6150" s="326"/>
      <c r="F6150" s="326"/>
      <c r="G6150" s="326"/>
      <c r="H6150" s="326"/>
      <c r="P6150" s="318"/>
      <c r="Q6150" s="318"/>
      <c r="R6150" s="318"/>
      <c r="S6150" s="318"/>
      <c r="T6150" s="318"/>
      <c r="U6150" s="318"/>
      <c r="V6150" s="318"/>
      <c r="W6150" s="318"/>
      <c r="X6150" s="318"/>
      <c r="Y6150" s="318"/>
      <c r="Z6150" s="318"/>
      <c r="AA6150" s="318"/>
      <c r="AB6150" s="318"/>
      <c r="AC6150" s="318"/>
      <c r="AD6150" s="318"/>
    </row>
    <row r="6151" spans="2:30" s="323" customFormat="1" ht="12" customHeight="1">
      <c r="B6151" s="324"/>
      <c r="C6151" s="325"/>
      <c r="D6151" s="326"/>
      <c r="E6151" s="326"/>
      <c r="F6151" s="326"/>
      <c r="G6151" s="326"/>
      <c r="H6151" s="326"/>
      <c r="P6151" s="318"/>
      <c r="Q6151" s="318"/>
      <c r="R6151" s="318"/>
      <c r="S6151" s="318"/>
      <c r="T6151" s="318"/>
      <c r="U6151" s="318"/>
      <c r="V6151" s="318"/>
      <c r="W6151" s="318"/>
      <c r="X6151" s="318"/>
      <c r="Y6151" s="318"/>
      <c r="Z6151" s="318"/>
      <c r="AA6151" s="318"/>
      <c r="AB6151" s="318"/>
      <c r="AC6151" s="318"/>
      <c r="AD6151" s="318"/>
    </row>
    <row r="6152" spans="2:30" s="323" customFormat="1" ht="12" customHeight="1">
      <c r="B6152" s="324"/>
      <c r="C6152" s="325"/>
      <c r="D6152" s="326"/>
      <c r="E6152" s="326"/>
      <c r="F6152" s="326"/>
      <c r="G6152" s="326"/>
      <c r="H6152" s="326"/>
      <c r="P6152" s="318"/>
      <c r="Q6152" s="318"/>
      <c r="R6152" s="318"/>
      <c r="S6152" s="318"/>
      <c r="T6152" s="318"/>
      <c r="U6152" s="318"/>
      <c r="V6152" s="318"/>
      <c r="W6152" s="318"/>
      <c r="X6152" s="318"/>
      <c r="Y6152" s="318"/>
      <c r="Z6152" s="318"/>
      <c r="AA6152" s="318"/>
      <c r="AB6152" s="318"/>
      <c r="AC6152" s="318"/>
      <c r="AD6152" s="318"/>
    </row>
    <row r="6153" spans="2:30" s="323" customFormat="1" ht="12" customHeight="1">
      <c r="B6153" s="324"/>
      <c r="C6153" s="325"/>
      <c r="D6153" s="326"/>
      <c r="E6153" s="326"/>
      <c r="F6153" s="326"/>
      <c r="G6153" s="326"/>
      <c r="H6153" s="326"/>
      <c r="P6153" s="318"/>
      <c r="Q6153" s="318"/>
      <c r="R6153" s="318"/>
      <c r="S6153" s="318"/>
      <c r="T6153" s="318"/>
      <c r="U6153" s="318"/>
      <c r="V6153" s="318"/>
      <c r="W6153" s="318"/>
      <c r="X6153" s="318"/>
      <c r="Y6153" s="318"/>
      <c r="Z6153" s="318"/>
      <c r="AA6153" s="318"/>
      <c r="AB6153" s="318"/>
      <c r="AC6153" s="318"/>
      <c r="AD6153" s="318"/>
    </row>
    <row r="6154" spans="2:30" s="323" customFormat="1" ht="12" customHeight="1">
      <c r="B6154" s="324"/>
      <c r="C6154" s="325"/>
      <c r="D6154" s="326"/>
      <c r="E6154" s="326"/>
      <c r="F6154" s="326"/>
      <c r="G6154" s="326"/>
      <c r="H6154" s="326"/>
      <c r="P6154" s="318"/>
      <c r="Q6154" s="318"/>
      <c r="R6154" s="318"/>
      <c r="S6154" s="318"/>
      <c r="T6154" s="318"/>
      <c r="U6154" s="318"/>
      <c r="V6154" s="318"/>
      <c r="W6154" s="318"/>
      <c r="X6154" s="318"/>
      <c r="Y6154" s="318"/>
      <c r="Z6154" s="318"/>
      <c r="AA6154" s="318"/>
      <c r="AB6154" s="318"/>
      <c r="AC6154" s="318"/>
      <c r="AD6154" s="318"/>
    </row>
    <row r="6155" spans="2:30" s="323" customFormat="1" ht="12" customHeight="1">
      <c r="B6155" s="324"/>
      <c r="C6155" s="325"/>
      <c r="D6155" s="326"/>
      <c r="E6155" s="326"/>
      <c r="F6155" s="326"/>
      <c r="G6155" s="326"/>
      <c r="H6155" s="326"/>
      <c r="P6155" s="318"/>
      <c r="Q6155" s="318"/>
      <c r="R6155" s="318"/>
      <c r="S6155" s="318"/>
      <c r="T6155" s="318"/>
      <c r="U6155" s="318"/>
      <c r="V6155" s="318"/>
      <c r="W6155" s="318"/>
      <c r="X6155" s="318"/>
      <c r="Y6155" s="318"/>
      <c r="Z6155" s="318"/>
      <c r="AA6155" s="318"/>
      <c r="AB6155" s="318"/>
      <c r="AC6155" s="318"/>
      <c r="AD6155" s="318"/>
    </row>
    <row r="6156" spans="2:30" s="323" customFormat="1" ht="12" customHeight="1">
      <c r="B6156" s="324"/>
      <c r="C6156" s="325"/>
      <c r="D6156" s="326"/>
      <c r="E6156" s="326"/>
      <c r="F6156" s="326"/>
      <c r="G6156" s="326"/>
      <c r="H6156" s="326"/>
      <c r="P6156" s="318"/>
      <c r="Q6156" s="318"/>
      <c r="R6156" s="318"/>
      <c r="S6156" s="318"/>
      <c r="T6156" s="318"/>
      <c r="U6156" s="318"/>
      <c r="V6156" s="318"/>
      <c r="W6156" s="318"/>
      <c r="X6156" s="318"/>
      <c r="Y6156" s="318"/>
      <c r="Z6156" s="318"/>
      <c r="AA6156" s="318"/>
      <c r="AB6156" s="318"/>
      <c r="AC6156" s="318"/>
      <c r="AD6156" s="318"/>
    </row>
    <row r="6157" spans="2:30" s="323" customFormat="1" ht="12" customHeight="1">
      <c r="B6157" s="324"/>
      <c r="C6157" s="325"/>
      <c r="D6157" s="326"/>
      <c r="E6157" s="326"/>
      <c r="F6157" s="326"/>
      <c r="G6157" s="326"/>
      <c r="H6157" s="326"/>
      <c r="P6157" s="318"/>
      <c r="Q6157" s="318"/>
      <c r="R6157" s="318"/>
      <c r="S6157" s="318"/>
      <c r="T6157" s="318"/>
      <c r="U6157" s="318"/>
      <c r="V6157" s="318"/>
      <c r="W6157" s="318"/>
      <c r="X6157" s="318"/>
      <c r="Y6157" s="318"/>
      <c r="Z6157" s="318"/>
      <c r="AA6157" s="318"/>
      <c r="AB6157" s="318"/>
      <c r="AC6157" s="318"/>
      <c r="AD6157" s="318"/>
    </row>
    <row r="6158" spans="2:30" s="323" customFormat="1" ht="12" customHeight="1">
      <c r="B6158" s="324"/>
      <c r="C6158" s="325"/>
      <c r="D6158" s="326"/>
      <c r="E6158" s="326"/>
      <c r="F6158" s="326"/>
      <c r="G6158" s="326"/>
      <c r="H6158" s="326"/>
      <c r="P6158" s="318"/>
      <c r="Q6158" s="318"/>
      <c r="R6158" s="318"/>
      <c r="S6158" s="318"/>
      <c r="T6158" s="318"/>
      <c r="U6158" s="318"/>
      <c r="V6158" s="318"/>
      <c r="W6158" s="318"/>
      <c r="X6158" s="318"/>
      <c r="Y6158" s="318"/>
      <c r="Z6158" s="318"/>
      <c r="AA6158" s="318"/>
      <c r="AB6158" s="318"/>
      <c r="AC6158" s="318"/>
      <c r="AD6158" s="318"/>
    </row>
    <row r="6159" spans="2:30" s="323" customFormat="1" ht="12" customHeight="1">
      <c r="B6159" s="324"/>
      <c r="C6159" s="325"/>
      <c r="D6159" s="326"/>
      <c r="E6159" s="326"/>
      <c r="F6159" s="326"/>
      <c r="G6159" s="326"/>
      <c r="H6159" s="326"/>
      <c r="P6159" s="318"/>
      <c r="Q6159" s="318"/>
      <c r="R6159" s="318"/>
      <c r="S6159" s="318"/>
      <c r="T6159" s="318"/>
      <c r="U6159" s="318"/>
      <c r="V6159" s="318"/>
      <c r="W6159" s="318"/>
      <c r="X6159" s="318"/>
      <c r="Y6159" s="318"/>
      <c r="Z6159" s="318"/>
      <c r="AA6159" s="318"/>
      <c r="AB6159" s="318"/>
      <c r="AC6159" s="318"/>
      <c r="AD6159" s="318"/>
    </row>
    <row r="6160" spans="2:30" s="323" customFormat="1" ht="12" customHeight="1">
      <c r="B6160" s="324"/>
      <c r="C6160" s="325"/>
      <c r="D6160" s="326"/>
      <c r="E6160" s="326"/>
      <c r="F6160" s="326"/>
      <c r="G6160" s="326"/>
      <c r="H6160" s="326"/>
      <c r="P6160" s="318"/>
      <c r="Q6160" s="318"/>
      <c r="R6160" s="318"/>
      <c r="S6160" s="318"/>
      <c r="T6160" s="318"/>
      <c r="U6160" s="318"/>
      <c r="V6160" s="318"/>
      <c r="W6160" s="318"/>
      <c r="X6160" s="318"/>
      <c r="Y6160" s="318"/>
      <c r="Z6160" s="318"/>
      <c r="AA6160" s="318"/>
      <c r="AB6160" s="318"/>
      <c r="AC6160" s="318"/>
      <c r="AD6160" s="318"/>
    </row>
    <row r="6161" spans="2:30" s="323" customFormat="1" ht="12" customHeight="1">
      <c r="B6161" s="324"/>
      <c r="C6161" s="325"/>
      <c r="D6161" s="326"/>
      <c r="E6161" s="326"/>
      <c r="F6161" s="326"/>
      <c r="G6161" s="326"/>
      <c r="H6161" s="326"/>
      <c r="P6161" s="318"/>
      <c r="Q6161" s="318"/>
      <c r="R6161" s="318"/>
      <c r="S6161" s="318"/>
      <c r="T6161" s="318"/>
      <c r="U6161" s="318"/>
      <c r="V6161" s="318"/>
      <c r="W6161" s="318"/>
      <c r="X6161" s="318"/>
      <c r="Y6161" s="318"/>
      <c r="Z6161" s="318"/>
      <c r="AA6161" s="318"/>
      <c r="AB6161" s="318"/>
      <c r="AC6161" s="318"/>
      <c r="AD6161" s="318"/>
    </row>
    <row r="6162" spans="2:30" s="323" customFormat="1" ht="12" customHeight="1">
      <c r="B6162" s="324"/>
      <c r="C6162" s="325"/>
      <c r="D6162" s="326"/>
      <c r="E6162" s="326"/>
      <c r="F6162" s="326"/>
      <c r="G6162" s="326"/>
      <c r="H6162" s="326"/>
      <c r="P6162" s="318"/>
      <c r="Q6162" s="318"/>
      <c r="R6162" s="318"/>
      <c r="S6162" s="318"/>
      <c r="T6162" s="318"/>
      <c r="U6162" s="318"/>
      <c r="V6162" s="318"/>
      <c r="W6162" s="318"/>
      <c r="X6162" s="318"/>
      <c r="Y6162" s="318"/>
      <c r="Z6162" s="318"/>
      <c r="AA6162" s="318"/>
      <c r="AB6162" s="318"/>
      <c r="AC6162" s="318"/>
      <c r="AD6162" s="318"/>
    </row>
    <row r="6163" spans="2:30" s="323" customFormat="1" ht="12" customHeight="1">
      <c r="B6163" s="324"/>
      <c r="C6163" s="325"/>
      <c r="D6163" s="326"/>
      <c r="E6163" s="326"/>
      <c r="F6163" s="326"/>
      <c r="G6163" s="326"/>
      <c r="H6163" s="326"/>
      <c r="P6163" s="318"/>
      <c r="Q6163" s="318"/>
      <c r="R6163" s="318"/>
      <c r="S6163" s="318"/>
      <c r="T6163" s="318"/>
      <c r="U6163" s="318"/>
      <c r="V6163" s="318"/>
      <c r="W6163" s="318"/>
      <c r="X6163" s="318"/>
      <c r="Y6163" s="318"/>
      <c r="Z6163" s="318"/>
      <c r="AA6163" s="318"/>
      <c r="AB6163" s="318"/>
      <c r="AC6163" s="318"/>
      <c r="AD6163" s="318"/>
    </row>
    <row r="6164" spans="2:30" s="323" customFormat="1" ht="12" customHeight="1">
      <c r="B6164" s="324"/>
      <c r="C6164" s="325"/>
      <c r="D6164" s="326"/>
      <c r="E6164" s="326"/>
      <c r="F6164" s="326"/>
      <c r="G6164" s="326"/>
      <c r="H6164" s="326"/>
      <c r="P6164" s="318"/>
      <c r="Q6164" s="318"/>
      <c r="R6164" s="318"/>
      <c r="S6164" s="318"/>
      <c r="T6164" s="318"/>
      <c r="U6164" s="318"/>
      <c r="V6164" s="318"/>
      <c r="W6164" s="318"/>
      <c r="X6164" s="318"/>
      <c r="Y6164" s="318"/>
      <c r="Z6164" s="318"/>
      <c r="AA6164" s="318"/>
      <c r="AB6164" s="318"/>
      <c r="AC6164" s="318"/>
      <c r="AD6164" s="318"/>
    </row>
    <row r="6165" spans="2:30" s="323" customFormat="1" ht="12" customHeight="1">
      <c r="B6165" s="324"/>
      <c r="C6165" s="325"/>
      <c r="D6165" s="326"/>
      <c r="E6165" s="326"/>
      <c r="F6165" s="326"/>
      <c r="G6165" s="326"/>
      <c r="H6165" s="326"/>
      <c r="P6165" s="318"/>
      <c r="Q6165" s="318"/>
      <c r="R6165" s="318"/>
      <c r="S6165" s="318"/>
      <c r="T6165" s="318"/>
      <c r="U6165" s="318"/>
      <c r="V6165" s="318"/>
      <c r="W6165" s="318"/>
      <c r="X6165" s="318"/>
      <c r="Y6165" s="318"/>
      <c r="Z6165" s="318"/>
      <c r="AA6165" s="318"/>
      <c r="AB6165" s="318"/>
      <c r="AC6165" s="318"/>
      <c r="AD6165" s="318"/>
    </row>
    <row r="6166" spans="2:30" s="323" customFormat="1" ht="12" customHeight="1">
      <c r="B6166" s="324"/>
      <c r="C6166" s="325"/>
      <c r="D6166" s="326"/>
      <c r="E6166" s="326"/>
      <c r="F6166" s="326"/>
      <c r="G6166" s="326"/>
      <c r="H6166" s="326"/>
      <c r="P6166" s="318"/>
      <c r="Q6166" s="318"/>
      <c r="R6166" s="318"/>
      <c r="S6166" s="318"/>
      <c r="T6166" s="318"/>
      <c r="U6166" s="318"/>
      <c r="V6166" s="318"/>
      <c r="W6166" s="318"/>
      <c r="X6166" s="318"/>
      <c r="Y6166" s="318"/>
      <c r="Z6166" s="318"/>
      <c r="AA6166" s="318"/>
      <c r="AB6166" s="318"/>
      <c r="AC6166" s="318"/>
      <c r="AD6166" s="318"/>
    </row>
    <row r="6167" spans="2:30" s="323" customFormat="1" ht="12" customHeight="1">
      <c r="B6167" s="324"/>
      <c r="C6167" s="325"/>
      <c r="D6167" s="326"/>
      <c r="E6167" s="326"/>
      <c r="F6167" s="326"/>
      <c r="G6167" s="326"/>
      <c r="H6167" s="326"/>
      <c r="P6167" s="318"/>
      <c r="Q6167" s="318"/>
      <c r="R6167" s="318"/>
      <c r="S6167" s="318"/>
      <c r="T6167" s="318"/>
      <c r="U6167" s="318"/>
      <c r="V6167" s="318"/>
      <c r="W6167" s="318"/>
      <c r="X6167" s="318"/>
      <c r="Y6167" s="318"/>
      <c r="Z6167" s="318"/>
      <c r="AA6167" s="318"/>
      <c r="AB6167" s="318"/>
      <c r="AC6167" s="318"/>
      <c r="AD6167" s="318"/>
    </row>
    <row r="6168" spans="2:30" s="323" customFormat="1" ht="12" customHeight="1">
      <c r="B6168" s="324"/>
      <c r="C6168" s="325"/>
      <c r="D6168" s="326"/>
      <c r="E6168" s="326"/>
      <c r="F6168" s="326"/>
      <c r="G6168" s="326"/>
      <c r="H6168" s="326"/>
      <c r="P6168" s="318"/>
      <c r="Q6168" s="318"/>
      <c r="R6168" s="318"/>
      <c r="S6168" s="318"/>
      <c r="T6168" s="318"/>
      <c r="U6168" s="318"/>
      <c r="V6168" s="318"/>
      <c r="W6168" s="318"/>
      <c r="X6168" s="318"/>
      <c r="Y6168" s="318"/>
      <c r="Z6168" s="318"/>
      <c r="AA6168" s="318"/>
      <c r="AB6168" s="318"/>
      <c r="AC6168" s="318"/>
      <c r="AD6168" s="318"/>
    </row>
    <row r="6169" spans="2:30" s="323" customFormat="1" ht="12" customHeight="1">
      <c r="B6169" s="324"/>
      <c r="C6169" s="325"/>
      <c r="D6169" s="326"/>
      <c r="E6169" s="326"/>
      <c r="F6169" s="326"/>
      <c r="G6169" s="326"/>
      <c r="H6169" s="326"/>
      <c r="P6169" s="318"/>
      <c r="Q6169" s="318"/>
      <c r="R6169" s="318"/>
      <c r="S6169" s="318"/>
      <c r="T6169" s="318"/>
      <c r="U6169" s="318"/>
      <c r="V6169" s="318"/>
      <c r="W6169" s="318"/>
      <c r="X6169" s="318"/>
      <c r="Y6169" s="318"/>
      <c r="Z6169" s="318"/>
      <c r="AA6169" s="318"/>
      <c r="AB6169" s="318"/>
      <c r="AC6169" s="318"/>
      <c r="AD6169" s="318"/>
    </row>
    <row r="6170" spans="2:30" s="323" customFormat="1" ht="12" customHeight="1">
      <c r="B6170" s="324"/>
      <c r="C6170" s="325"/>
      <c r="D6170" s="326"/>
      <c r="E6170" s="326"/>
      <c r="F6170" s="326"/>
      <c r="G6170" s="326"/>
      <c r="H6170" s="326"/>
      <c r="P6170" s="318"/>
      <c r="Q6170" s="318"/>
      <c r="R6170" s="318"/>
      <c r="S6170" s="318"/>
      <c r="T6170" s="318"/>
      <c r="U6170" s="318"/>
      <c r="V6170" s="318"/>
      <c r="W6170" s="318"/>
      <c r="X6170" s="318"/>
      <c r="Y6170" s="318"/>
      <c r="Z6170" s="318"/>
      <c r="AA6170" s="318"/>
      <c r="AB6170" s="318"/>
      <c r="AC6170" s="318"/>
      <c r="AD6170" s="318"/>
    </row>
    <row r="6171" spans="2:30" s="323" customFormat="1" ht="12" customHeight="1">
      <c r="B6171" s="324"/>
      <c r="C6171" s="325"/>
      <c r="D6171" s="326"/>
      <c r="E6171" s="326"/>
      <c r="F6171" s="326"/>
      <c r="G6171" s="326"/>
      <c r="H6171" s="326"/>
      <c r="P6171" s="318"/>
      <c r="Q6171" s="318"/>
      <c r="R6171" s="318"/>
      <c r="S6171" s="318"/>
      <c r="T6171" s="318"/>
      <c r="U6171" s="318"/>
      <c r="V6171" s="318"/>
      <c r="W6171" s="318"/>
      <c r="X6171" s="318"/>
      <c r="Y6171" s="318"/>
      <c r="Z6171" s="318"/>
      <c r="AA6171" s="318"/>
      <c r="AB6171" s="318"/>
      <c r="AC6171" s="318"/>
      <c r="AD6171" s="318"/>
    </row>
    <row r="6172" spans="2:30" s="323" customFormat="1" ht="12" customHeight="1">
      <c r="B6172" s="324"/>
      <c r="C6172" s="325"/>
      <c r="D6172" s="326"/>
      <c r="E6172" s="326"/>
      <c r="F6172" s="326"/>
      <c r="G6172" s="326"/>
      <c r="H6172" s="326"/>
      <c r="P6172" s="318"/>
      <c r="Q6172" s="318"/>
      <c r="R6172" s="318"/>
      <c r="S6172" s="318"/>
      <c r="T6172" s="318"/>
      <c r="U6172" s="318"/>
      <c r="V6172" s="318"/>
      <c r="W6172" s="318"/>
      <c r="X6172" s="318"/>
      <c r="Y6172" s="318"/>
      <c r="Z6172" s="318"/>
      <c r="AA6172" s="318"/>
      <c r="AB6172" s="318"/>
      <c r="AC6172" s="318"/>
      <c r="AD6172" s="318"/>
    </row>
    <row r="6173" spans="2:30" s="323" customFormat="1" ht="12" customHeight="1">
      <c r="B6173" s="324"/>
      <c r="C6173" s="325"/>
      <c r="D6173" s="326"/>
      <c r="E6173" s="326"/>
      <c r="F6173" s="326"/>
      <c r="G6173" s="326"/>
      <c r="H6173" s="326"/>
      <c r="P6173" s="318"/>
      <c r="Q6173" s="318"/>
      <c r="R6173" s="318"/>
      <c r="S6173" s="318"/>
      <c r="T6173" s="318"/>
      <c r="U6173" s="318"/>
      <c r="V6173" s="318"/>
      <c r="W6173" s="318"/>
      <c r="X6173" s="318"/>
      <c r="Y6173" s="318"/>
      <c r="Z6173" s="318"/>
      <c r="AA6173" s="318"/>
      <c r="AB6173" s="318"/>
      <c r="AC6173" s="318"/>
      <c r="AD6173" s="318"/>
    </row>
    <row r="6174" spans="2:30" s="323" customFormat="1" ht="12" customHeight="1">
      <c r="B6174" s="324"/>
      <c r="C6174" s="325"/>
      <c r="D6174" s="326"/>
      <c r="E6174" s="326"/>
      <c r="F6174" s="326"/>
      <c r="G6174" s="326"/>
      <c r="H6174" s="326"/>
      <c r="P6174" s="318"/>
      <c r="Q6174" s="318"/>
      <c r="R6174" s="318"/>
      <c r="S6174" s="318"/>
      <c r="T6174" s="318"/>
      <c r="U6174" s="318"/>
      <c r="V6174" s="318"/>
      <c r="W6174" s="318"/>
      <c r="X6174" s="318"/>
      <c r="Y6174" s="318"/>
      <c r="Z6174" s="318"/>
      <c r="AA6174" s="318"/>
      <c r="AB6174" s="318"/>
      <c r="AC6174" s="318"/>
      <c r="AD6174" s="318"/>
    </row>
    <row r="6175" spans="2:30" s="323" customFormat="1" ht="12" customHeight="1">
      <c r="B6175" s="324"/>
      <c r="C6175" s="325"/>
      <c r="D6175" s="326"/>
      <c r="E6175" s="326"/>
      <c r="F6175" s="326"/>
      <c r="G6175" s="326"/>
      <c r="H6175" s="326"/>
      <c r="P6175" s="318"/>
      <c r="Q6175" s="318"/>
      <c r="R6175" s="318"/>
      <c r="S6175" s="318"/>
      <c r="T6175" s="318"/>
      <c r="U6175" s="318"/>
      <c r="V6175" s="318"/>
      <c r="W6175" s="318"/>
      <c r="X6175" s="318"/>
      <c r="Y6175" s="318"/>
      <c r="Z6175" s="318"/>
      <c r="AA6175" s="318"/>
      <c r="AB6175" s="318"/>
      <c r="AC6175" s="318"/>
      <c r="AD6175" s="318"/>
    </row>
    <row r="6176" spans="2:30" s="323" customFormat="1" ht="12" customHeight="1">
      <c r="B6176" s="324"/>
      <c r="C6176" s="325"/>
      <c r="D6176" s="326"/>
      <c r="E6176" s="326"/>
      <c r="F6176" s="326"/>
      <c r="G6176" s="326"/>
      <c r="H6176" s="326"/>
      <c r="P6176" s="318"/>
      <c r="Q6176" s="318"/>
      <c r="R6176" s="318"/>
      <c r="S6176" s="318"/>
      <c r="T6176" s="318"/>
      <c r="U6176" s="318"/>
      <c r="V6176" s="318"/>
      <c r="W6176" s="318"/>
      <c r="X6176" s="318"/>
      <c r="Y6176" s="318"/>
      <c r="Z6176" s="318"/>
      <c r="AA6176" s="318"/>
      <c r="AB6176" s="318"/>
      <c r="AC6176" s="318"/>
      <c r="AD6176" s="318"/>
    </row>
    <row r="6177" spans="2:30" s="323" customFormat="1" ht="12" customHeight="1">
      <c r="B6177" s="324"/>
      <c r="C6177" s="325"/>
      <c r="D6177" s="326"/>
      <c r="E6177" s="326"/>
      <c r="F6177" s="326"/>
      <c r="G6177" s="326"/>
      <c r="H6177" s="326"/>
      <c r="P6177" s="318"/>
      <c r="Q6177" s="318"/>
      <c r="R6177" s="318"/>
      <c r="S6177" s="318"/>
      <c r="T6177" s="318"/>
      <c r="U6177" s="318"/>
      <c r="V6177" s="318"/>
      <c r="W6177" s="318"/>
      <c r="X6177" s="318"/>
      <c r="Y6177" s="318"/>
      <c r="Z6177" s="318"/>
      <c r="AA6177" s="318"/>
      <c r="AB6177" s="318"/>
      <c r="AC6177" s="318"/>
      <c r="AD6177" s="318"/>
    </row>
    <row r="6178" spans="2:30" s="323" customFormat="1" ht="12" customHeight="1">
      <c r="B6178" s="324"/>
      <c r="C6178" s="325"/>
      <c r="D6178" s="326"/>
      <c r="E6178" s="326"/>
      <c r="F6178" s="326"/>
      <c r="G6178" s="326"/>
      <c r="H6178" s="326"/>
      <c r="P6178" s="318"/>
      <c r="Q6178" s="318"/>
      <c r="R6178" s="318"/>
      <c r="S6178" s="318"/>
      <c r="T6178" s="318"/>
      <c r="U6178" s="318"/>
      <c r="V6178" s="318"/>
      <c r="W6178" s="318"/>
      <c r="X6178" s="318"/>
      <c r="Y6178" s="318"/>
      <c r="Z6178" s="318"/>
      <c r="AA6178" s="318"/>
      <c r="AB6178" s="318"/>
      <c r="AC6178" s="318"/>
      <c r="AD6178" s="318"/>
    </row>
    <row r="6179" spans="2:30" s="323" customFormat="1" ht="12" customHeight="1">
      <c r="B6179" s="324"/>
      <c r="C6179" s="325"/>
      <c r="D6179" s="326"/>
      <c r="E6179" s="326"/>
      <c r="F6179" s="326"/>
      <c r="G6179" s="326"/>
      <c r="H6179" s="326"/>
      <c r="P6179" s="318"/>
      <c r="Q6179" s="318"/>
      <c r="R6179" s="318"/>
      <c r="S6179" s="318"/>
      <c r="T6179" s="318"/>
      <c r="U6179" s="318"/>
      <c r="V6179" s="318"/>
      <c r="W6179" s="318"/>
      <c r="X6179" s="318"/>
      <c r="Y6179" s="318"/>
      <c r="Z6179" s="318"/>
      <c r="AA6179" s="318"/>
      <c r="AB6179" s="318"/>
      <c r="AC6179" s="318"/>
      <c r="AD6179" s="318"/>
    </row>
    <row r="6180" spans="2:30" s="323" customFormat="1" ht="12" customHeight="1">
      <c r="B6180" s="324"/>
      <c r="C6180" s="325"/>
      <c r="D6180" s="326"/>
      <c r="E6180" s="326"/>
      <c r="F6180" s="326"/>
      <c r="G6180" s="326"/>
      <c r="H6180" s="326"/>
      <c r="P6180" s="318"/>
      <c r="Q6180" s="318"/>
      <c r="R6180" s="318"/>
      <c r="S6180" s="318"/>
      <c r="T6180" s="318"/>
      <c r="U6180" s="318"/>
      <c r="V6180" s="318"/>
      <c r="W6180" s="318"/>
      <c r="X6180" s="318"/>
      <c r="Y6180" s="318"/>
      <c r="Z6180" s="318"/>
      <c r="AA6180" s="318"/>
      <c r="AB6180" s="318"/>
      <c r="AC6180" s="318"/>
      <c r="AD6180" s="318"/>
    </row>
    <row r="6181" spans="2:30" s="323" customFormat="1" ht="12" customHeight="1">
      <c r="B6181" s="324"/>
      <c r="C6181" s="325"/>
      <c r="D6181" s="326"/>
      <c r="E6181" s="326"/>
      <c r="F6181" s="326"/>
      <c r="G6181" s="326"/>
      <c r="H6181" s="326"/>
      <c r="P6181" s="318"/>
      <c r="Q6181" s="318"/>
      <c r="R6181" s="318"/>
      <c r="S6181" s="318"/>
      <c r="T6181" s="318"/>
      <c r="U6181" s="318"/>
      <c r="V6181" s="318"/>
      <c r="W6181" s="318"/>
      <c r="X6181" s="318"/>
      <c r="Y6181" s="318"/>
      <c r="Z6181" s="318"/>
      <c r="AA6181" s="318"/>
      <c r="AB6181" s="318"/>
      <c r="AC6181" s="318"/>
      <c r="AD6181" s="318"/>
    </row>
    <row r="6182" spans="2:30" s="323" customFormat="1" ht="12" customHeight="1">
      <c r="B6182" s="324"/>
      <c r="C6182" s="325"/>
      <c r="D6182" s="326"/>
      <c r="E6182" s="326"/>
      <c r="F6182" s="326"/>
      <c r="G6182" s="326"/>
      <c r="H6182" s="326"/>
      <c r="P6182" s="318"/>
      <c r="Q6182" s="318"/>
      <c r="R6182" s="318"/>
      <c r="S6182" s="318"/>
      <c r="T6182" s="318"/>
      <c r="U6182" s="318"/>
      <c r="V6182" s="318"/>
      <c r="W6182" s="318"/>
      <c r="X6182" s="318"/>
      <c r="Y6182" s="318"/>
      <c r="Z6182" s="318"/>
      <c r="AA6182" s="318"/>
      <c r="AB6182" s="318"/>
      <c r="AC6182" s="318"/>
      <c r="AD6182" s="318"/>
    </row>
    <row r="6183" spans="2:30" s="323" customFormat="1" ht="12" customHeight="1">
      <c r="B6183" s="324"/>
      <c r="C6183" s="325"/>
      <c r="D6183" s="326"/>
      <c r="E6183" s="326"/>
      <c r="F6183" s="326"/>
      <c r="G6183" s="326"/>
      <c r="H6183" s="326"/>
      <c r="P6183" s="318"/>
      <c r="Q6183" s="318"/>
      <c r="R6183" s="318"/>
      <c r="S6183" s="318"/>
      <c r="T6183" s="318"/>
      <c r="U6183" s="318"/>
      <c r="V6183" s="318"/>
      <c r="W6183" s="318"/>
      <c r="X6183" s="318"/>
      <c r="Y6183" s="318"/>
      <c r="Z6183" s="318"/>
      <c r="AA6183" s="318"/>
      <c r="AB6183" s="318"/>
      <c r="AC6183" s="318"/>
      <c r="AD6183" s="318"/>
    </row>
    <row r="6184" spans="2:30" s="323" customFormat="1" ht="12" customHeight="1">
      <c r="B6184" s="324"/>
      <c r="C6184" s="325"/>
      <c r="D6184" s="326"/>
      <c r="E6184" s="326"/>
      <c r="F6184" s="326"/>
      <c r="G6184" s="326"/>
      <c r="H6184" s="326"/>
      <c r="P6184" s="318"/>
      <c r="Q6184" s="318"/>
      <c r="R6184" s="318"/>
      <c r="S6184" s="318"/>
      <c r="T6184" s="318"/>
      <c r="U6184" s="318"/>
      <c r="V6184" s="318"/>
      <c r="W6184" s="318"/>
      <c r="X6184" s="318"/>
      <c r="Y6184" s="318"/>
      <c r="Z6184" s="318"/>
      <c r="AA6184" s="318"/>
      <c r="AB6184" s="318"/>
      <c r="AC6184" s="318"/>
      <c r="AD6184" s="318"/>
    </row>
    <row r="6185" spans="2:30" s="323" customFormat="1" ht="12" customHeight="1">
      <c r="B6185" s="324"/>
      <c r="C6185" s="325"/>
      <c r="D6185" s="326"/>
      <c r="E6185" s="326"/>
      <c r="F6185" s="326"/>
      <c r="G6185" s="326"/>
      <c r="H6185" s="326"/>
      <c r="P6185" s="318"/>
      <c r="Q6185" s="318"/>
      <c r="R6185" s="318"/>
      <c r="S6185" s="318"/>
      <c r="T6185" s="318"/>
      <c r="U6185" s="318"/>
      <c r="V6185" s="318"/>
      <c r="W6185" s="318"/>
      <c r="X6185" s="318"/>
      <c r="Y6185" s="318"/>
      <c r="Z6185" s="318"/>
      <c r="AA6185" s="318"/>
      <c r="AB6185" s="318"/>
      <c r="AC6185" s="318"/>
      <c r="AD6185" s="318"/>
    </row>
    <row r="6186" spans="2:30" s="323" customFormat="1" ht="12" customHeight="1">
      <c r="B6186" s="324"/>
      <c r="C6186" s="325"/>
      <c r="D6186" s="326"/>
      <c r="E6186" s="326"/>
      <c r="F6186" s="326"/>
      <c r="G6186" s="326"/>
      <c r="H6186" s="326"/>
      <c r="P6186" s="318"/>
      <c r="Q6186" s="318"/>
      <c r="R6186" s="318"/>
      <c r="S6186" s="318"/>
      <c r="T6186" s="318"/>
      <c r="U6186" s="318"/>
      <c r="V6186" s="318"/>
      <c r="W6186" s="318"/>
      <c r="X6186" s="318"/>
      <c r="Y6186" s="318"/>
      <c r="Z6186" s="318"/>
      <c r="AA6186" s="318"/>
      <c r="AB6186" s="318"/>
      <c r="AC6186" s="318"/>
      <c r="AD6186" s="318"/>
    </row>
    <row r="6187" spans="2:30" s="323" customFormat="1" ht="12" customHeight="1">
      <c r="B6187" s="324"/>
      <c r="C6187" s="325"/>
      <c r="D6187" s="326"/>
      <c r="E6187" s="326"/>
      <c r="F6187" s="326"/>
      <c r="G6187" s="326"/>
      <c r="H6187" s="326"/>
      <c r="P6187" s="318"/>
      <c r="Q6187" s="318"/>
      <c r="R6187" s="318"/>
      <c r="S6187" s="318"/>
      <c r="T6187" s="318"/>
      <c r="U6187" s="318"/>
      <c r="V6187" s="318"/>
      <c r="W6187" s="318"/>
      <c r="X6187" s="318"/>
      <c r="Y6187" s="318"/>
      <c r="Z6187" s="318"/>
      <c r="AA6187" s="318"/>
      <c r="AB6187" s="318"/>
      <c r="AC6187" s="318"/>
      <c r="AD6187" s="318"/>
    </row>
    <row r="6188" spans="2:30" s="323" customFormat="1" ht="12" customHeight="1">
      <c r="B6188" s="324"/>
      <c r="C6188" s="325"/>
      <c r="D6188" s="326"/>
      <c r="E6188" s="326"/>
      <c r="F6188" s="326"/>
      <c r="G6188" s="326"/>
      <c r="H6188" s="326"/>
      <c r="P6188" s="318"/>
      <c r="Q6188" s="318"/>
      <c r="R6188" s="318"/>
      <c r="S6188" s="318"/>
      <c r="T6188" s="318"/>
      <c r="U6188" s="318"/>
      <c r="V6188" s="318"/>
      <c r="W6188" s="318"/>
      <c r="X6188" s="318"/>
      <c r="Y6188" s="318"/>
      <c r="Z6188" s="318"/>
      <c r="AA6188" s="318"/>
      <c r="AB6188" s="318"/>
      <c r="AC6188" s="318"/>
      <c r="AD6188" s="318"/>
    </row>
    <row r="6189" spans="2:30" s="323" customFormat="1" ht="12" customHeight="1">
      <c r="B6189" s="324"/>
      <c r="C6189" s="325"/>
      <c r="D6189" s="326"/>
      <c r="E6189" s="326"/>
      <c r="F6189" s="326"/>
      <c r="G6189" s="326"/>
      <c r="H6189" s="326"/>
      <c r="P6189" s="318"/>
      <c r="Q6189" s="318"/>
      <c r="R6189" s="318"/>
      <c r="S6189" s="318"/>
      <c r="T6189" s="318"/>
      <c r="U6189" s="318"/>
      <c r="V6189" s="318"/>
      <c r="W6189" s="318"/>
      <c r="X6189" s="318"/>
      <c r="Y6189" s="318"/>
      <c r="Z6189" s="318"/>
      <c r="AA6189" s="318"/>
      <c r="AB6189" s="318"/>
      <c r="AC6189" s="318"/>
      <c r="AD6189" s="318"/>
    </row>
    <row r="6190" spans="2:30" s="323" customFormat="1" ht="12" customHeight="1">
      <c r="B6190" s="324"/>
      <c r="C6190" s="325"/>
      <c r="D6190" s="326"/>
      <c r="E6190" s="326"/>
      <c r="F6190" s="326"/>
      <c r="G6190" s="326"/>
      <c r="H6190" s="326"/>
      <c r="P6190" s="318"/>
      <c r="Q6190" s="318"/>
      <c r="R6190" s="318"/>
      <c r="S6190" s="318"/>
      <c r="T6190" s="318"/>
      <c r="U6190" s="318"/>
      <c r="V6190" s="318"/>
      <c r="W6190" s="318"/>
      <c r="X6190" s="318"/>
      <c r="Y6190" s="318"/>
      <c r="Z6190" s="318"/>
      <c r="AA6190" s="318"/>
      <c r="AB6190" s="318"/>
      <c r="AC6190" s="318"/>
      <c r="AD6190" s="318"/>
    </row>
    <row r="6191" spans="2:30" s="323" customFormat="1" ht="12" customHeight="1">
      <c r="B6191" s="324"/>
      <c r="C6191" s="325"/>
      <c r="D6191" s="326"/>
      <c r="E6191" s="326"/>
      <c r="F6191" s="326"/>
      <c r="G6191" s="326"/>
      <c r="H6191" s="326"/>
      <c r="P6191" s="318"/>
      <c r="Q6191" s="318"/>
      <c r="R6191" s="318"/>
      <c r="S6191" s="318"/>
      <c r="T6191" s="318"/>
      <c r="U6191" s="318"/>
      <c r="V6191" s="318"/>
      <c r="W6191" s="318"/>
      <c r="X6191" s="318"/>
      <c r="Y6191" s="318"/>
      <c r="Z6191" s="318"/>
      <c r="AA6191" s="318"/>
      <c r="AB6191" s="318"/>
      <c r="AC6191" s="318"/>
      <c r="AD6191" s="318"/>
    </row>
    <row r="6192" spans="2:30" s="323" customFormat="1" ht="12" customHeight="1">
      <c r="B6192" s="324"/>
      <c r="C6192" s="325"/>
      <c r="D6192" s="326"/>
      <c r="E6192" s="326"/>
      <c r="F6192" s="326"/>
      <c r="G6192" s="326"/>
      <c r="H6192" s="326"/>
      <c r="P6192" s="318"/>
      <c r="Q6192" s="318"/>
      <c r="R6192" s="318"/>
      <c r="S6192" s="318"/>
      <c r="T6192" s="318"/>
      <c r="U6192" s="318"/>
      <c r="V6192" s="318"/>
      <c r="W6192" s="318"/>
      <c r="X6192" s="318"/>
      <c r="Y6192" s="318"/>
      <c r="Z6192" s="318"/>
      <c r="AA6192" s="318"/>
      <c r="AB6192" s="318"/>
      <c r="AC6192" s="318"/>
      <c r="AD6192" s="318"/>
    </row>
    <row r="6193" spans="2:30" s="323" customFormat="1" ht="12" customHeight="1">
      <c r="B6193" s="324"/>
      <c r="C6193" s="325"/>
      <c r="D6193" s="326"/>
      <c r="E6193" s="326"/>
      <c r="F6193" s="326"/>
      <c r="G6193" s="326"/>
      <c r="H6193" s="326"/>
      <c r="P6193" s="318"/>
      <c r="Q6193" s="318"/>
      <c r="R6193" s="318"/>
      <c r="S6193" s="318"/>
      <c r="T6193" s="318"/>
      <c r="U6193" s="318"/>
      <c r="V6193" s="318"/>
      <c r="W6193" s="318"/>
      <c r="X6193" s="318"/>
      <c r="Y6193" s="318"/>
      <c r="Z6193" s="318"/>
      <c r="AA6193" s="318"/>
      <c r="AB6193" s="318"/>
      <c r="AC6193" s="318"/>
      <c r="AD6193" s="318"/>
    </row>
    <row r="6194" spans="2:30" s="323" customFormat="1" ht="12" customHeight="1">
      <c r="B6194" s="324"/>
      <c r="C6194" s="325"/>
      <c r="D6194" s="326"/>
      <c r="E6194" s="326"/>
      <c r="F6194" s="326"/>
      <c r="G6194" s="326"/>
      <c r="H6194" s="326"/>
      <c r="P6194" s="318"/>
      <c r="Q6194" s="318"/>
      <c r="R6194" s="318"/>
      <c r="S6194" s="318"/>
      <c r="T6194" s="318"/>
      <c r="U6194" s="318"/>
      <c r="V6194" s="318"/>
      <c r="W6194" s="318"/>
      <c r="X6194" s="318"/>
      <c r="Y6194" s="318"/>
      <c r="Z6194" s="318"/>
      <c r="AA6194" s="318"/>
      <c r="AB6194" s="318"/>
      <c r="AC6194" s="318"/>
      <c r="AD6194" s="318"/>
    </row>
    <row r="6195" spans="2:30" s="323" customFormat="1" ht="12" customHeight="1">
      <c r="B6195" s="324"/>
      <c r="C6195" s="325"/>
      <c r="D6195" s="326"/>
      <c r="E6195" s="326"/>
      <c r="F6195" s="326"/>
      <c r="G6195" s="326"/>
      <c r="H6195" s="326"/>
      <c r="P6195" s="318"/>
      <c r="Q6195" s="318"/>
      <c r="R6195" s="318"/>
      <c r="S6195" s="318"/>
      <c r="T6195" s="318"/>
      <c r="U6195" s="318"/>
      <c r="V6195" s="318"/>
      <c r="W6195" s="318"/>
      <c r="X6195" s="318"/>
      <c r="Y6195" s="318"/>
      <c r="Z6195" s="318"/>
      <c r="AA6195" s="318"/>
      <c r="AB6195" s="318"/>
      <c r="AC6195" s="318"/>
      <c r="AD6195" s="318"/>
    </row>
    <row r="6196" spans="2:30" s="323" customFormat="1" ht="12" customHeight="1">
      <c r="B6196" s="324"/>
      <c r="C6196" s="325"/>
      <c r="D6196" s="326"/>
      <c r="E6196" s="326"/>
      <c r="F6196" s="326"/>
      <c r="G6196" s="326"/>
      <c r="H6196" s="326"/>
      <c r="P6196" s="318"/>
      <c r="Q6196" s="318"/>
      <c r="R6196" s="318"/>
      <c r="S6196" s="318"/>
      <c r="T6196" s="318"/>
      <c r="U6196" s="318"/>
      <c r="V6196" s="318"/>
      <c r="W6196" s="318"/>
      <c r="X6196" s="318"/>
      <c r="Y6196" s="318"/>
      <c r="Z6196" s="318"/>
      <c r="AA6196" s="318"/>
      <c r="AB6196" s="318"/>
      <c r="AC6196" s="318"/>
      <c r="AD6196" s="318"/>
    </row>
    <row r="6197" spans="2:30" s="323" customFormat="1" ht="12" customHeight="1">
      <c r="B6197" s="324"/>
      <c r="C6197" s="325"/>
      <c r="D6197" s="326"/>
      <c r="E6197" s="326"/>
      <c r="F6197" s="326"/>
      <c r="G6197" s="326"/>
      <c r="H6197" s="326"/>
      <c r="P6197" s="318"/>
      <c r="Q6197" s="318"/>
      <c r="R6197" s="318"/>
      <c r="S6197" s="318"/>
      <c r="T6197" s="318"/>
      <c r="U6197" s="318"/>
      <c r="V6197" s="318"/>
      <c r="W6197" s="318"/>
      <c r="X6197" s="318"/>
      <c r="Y6197" s="318"/>
      <c r="Z6197" s="318"/>
      <c r="AA6197" s="318"/>
      <c r="AB6197" s="318"/>
      <c r="AC6197" s="318"/>
      <c r="AD6197" s="318"/>
    </row>
    <row r="6198" spans="2:30" s="323" customFormat="1" ht="12" customHeight="1">
      <c r="B6198" s="324"/>
      <c r="C6198" s="325"/>
      <c r="D6198" s="326"/>
      <c r="E6198" s="326"/>
      <c r="F6198" s="326"/>
      <c r="G6198" s="326"/>
      <c r="H6198" s="326"/>
      <c r="P6198" s="318"/>
      <c r="Q6198" s="318"/>
      <c r="R6198" s="318"/>
      <c r="S6198" s="318"/>
      <c r="T6198" s="318"/>
      <c r="U6198" s="318"/>
      <c r="V6198" s="318"/>
      <c r="W6198" s="318"/>
      <c r="X6198" s="318"/>
      <c r="Y6198" s="318"/>
      <c r="Z6198" s="318"/>
      <c r="AA6198" s="318"/>
      <c r="AB6198" s="318"/>
      <c r="AC6198" s="318"/>
      <c r="AD6198" s="318"/>
    </row>
    <row r="6199" spans="2:30" s="323" customFormat="1" ht="12" customHeight="1">
      <c r="B6199" s="324"/>
      <c r="C6199" s="325"/>
      <c r="D6199" s="326"/>
      <c r="E6199" s="326"/>
      <c r="F6199" s="326"/>
      <c r="G6199" s="326"/>
      <c r="H6199" s="326"/>
      <c r="P6199" s="318"/>
      <c r="Q6199" s="318"/>
      <c r="R6199" s="318"/>
      <c r="S6199" s="318"/>
      <c r="T6199" s="318"/>
      <c r="U6199" s="318"/>
      <c r="V6199" s="318"/>
      <c r="W6199" s="318"/>
      <c r="X6199" s="318"/>
      <c r="Y6199" s="318"/>
      <c r="Z6199" s="318"/>
      <c r="AA6199" s="318"/>
      <c r="AB6199" s="318"/>
      <c r="AC6199" s="318"/>
      <c r="AD6199" s="318"/>
    </row>
    <row r="6200" spans="2:30" s="323" customFormat="1" ht="12" customHeight="1">
      <c r="B6200" s="324"/>
      <c r="C6200" s="325"/>
      <c r="D6200" s="326"/>
      <c r="E6200" s="326"/>
      <c r="F6200" s="326"/>
      <c r="G6200" s="326"/>
      <c r="H6200" s="326"/>
      <c r="P6200" s="318"/>
      <c r="Q6200" s="318"/>
      <c r="R6200" s="318"/>
      <c r="S6200" s="318"/>
      <c r="T6200" s="318"/>
      <c r="U6200" s="318"/>
      <c r="V6200" s="318"/>
      <c r="W6200" s="318"/>
      <c r="X6200" s="318"/>
      <c r="Y6200" s="318"/>
      <c r="Z6200" s="318"/>
      <c r="AA6200" s="318"/>
      <c r="AB6200" s="318"/>
      <c r="AC6200" s="318"/>
      <c r="AD6200" s="318"/>
    </row>
    <row r="6201" spans="2:30" s="323" customFormat="1" ht="12" customHeight="1">
      <c r="B6201" s="324"/>
      <c r="C6201" s="325"/>
      <c r="D6201" s="326"/>
      <c r="E6201" s="326"/>
      <c r="F6201" s="326"/>
      <c r="G6201" s="326"/>
      <c r="H6201" s="326"/>
      <c r="P6201" s="318"/>
      <c r="Q6201" s="318"/>
      <c r="R6201" s="318"/>
      <c r="S6201" s="318"/>
      <c r="T6201" s="318"/>
      <c r="U6201" s="318"/>
      <c r="V6201" s="318"/>
      <c r="W6201" s="318"/>
      <c r="X6201" s="318"/>
      <c r="Y6201" s="318"/>
      <c r="Z6201" s="318"/>
      <c r="AA6201" s="318"/>
      <c r="AB6201" s="318"/>
      <c r="AC6201" s="318"/>
      <c r="AD6201" s="318"/>
    </row>
    <row r="6202" spans="2:30" s="323" customFormat="1" ht="12" customHeight="1">
      <c r="B6202" s="324"/>
      <c r="C6202" s="325"/>
      <c r="D6202" s="326"/>
      <c r="E6202" s="326"/>
      <c r="F6202" s="326"/>
      <c r="G6202" s="326"/>
      <c r="H6202" s="326"/>
      <c r="P6202" s="318"/>
      <c r="Q6202" s="318"/>
      <c r="R6202" s="318"/>
      <c r="S6202" s="318"/>
      <c r="T6202" s="318"/>
      <c r="U6202" s="318"/>
      <c r="V6202" s="318"/>
      <c r="W6202" s="318"/>
      <c r="X6202" s="318"/>
      <c r="Y6202" s="318"/>
      <c r="Z6202" s="318"/>
      <c r="AA6202" s="318"/>
      <c r="AB6202" s="318"/>
      <c r="AC6202" s="318"/>
      <c r="AD6202" s="318"/>
    </row>
    <row r="6203" spans="2:30" s="323" customFormat="1" ht="12" customHeight="1">
      <c r="B6203" s="324"/>
      <c r="C6203" s="325"/>
      <c r="D6203" s="326"/>
      <c r="E6203" s="326"/>
      <c r="F6203" s="326"/>
      <c r="G6203" s="326"/>
      <c r="H6203" s="326"/>
      <c r="P6203" s="318"/>
      <c r="Q6203" s="318"/>
      <c r="R6203" s="318"/>
      <c r="S6203" s="318"/>
      <c r="T6203" s="318"/>
      <c r="U6203" s="318"/>
      <c r="V6203" s="318"/>
      <c r="W6203" s="318"/>
      <c r="X6203" s="318"/>
      <c r="Y6203" s="318"/>
      <c r="Z6203" s="318"/>
      <c r="AA6203" s="318"/>
      <c r="AB6203" s="318"/>
      <c r="AC6203" s="318"/>
      <c r="AD6203" s="318"/>
    </row>
    <row r="6204" spans="2:30" s="323" customFormat="1" ht="12" customHeight="1">
      <c r="B6204" s="324"/>
      <c r="C6204" s="325"/>
      <c r="D6204" s="326"/>
      <c r="E6204" s="326"/>
      <c r="F6204" s="326"/>
      <c r="G6204" s="326"/>
      <c r="H6204" s="326"/>
      <c r="P6204" s="318"/>
      <c r="Q6204" s="318"/>
      <c r="R6204" s="318"/>
      <c r="S6204" s="318"/>
      <c r="T6204" s="318"/>
      <c r="U6204" s="318"/>
      <c r="V6204" s="318"/>
      <c r="W6204" s="318"/>
      <c r="X6204" s="318"/>
      <c r="Y6204" s="318"/>
      <c r="Z6204" s="318"/>
      <c r="AA6204" s="318"/>
      <c r="AB6204" s="318"/>
      <c r="AC6204" s="318"/>
      <c r="AD6204" s="318"/>
    </row>
    <row r="6205" spans="2:30" s="323" customFormat="1" ht="12" customHeight="1">
      <c r="B6205" s="324"/>
      <c r="C6205" s="325"/>
      <c r="D6205" s="326"/>
      <c r="E6205" s="326"/>
      <c r="F6205" s="326"/>
      <c r="G6205" s="326"/>
      <c r="H6205" s="326"/>
      <c r="P6205" s="318"/>
      <c r="Q6205" s="318"/>
      <c r="R6205" s="318"/>
      <c r="S6205" s="318"/>
      <c r="T6205" s="318"/>
      <c r="U6205" s="318"/>
      <c r="V6205" s="318"/>
      <c r="W6205" s="318"/>
      <c r="X6205" s="318"/>
      <c r="Y6205" s="318"/>
      <c r="Z6205" s="318"/>
      <c r="AA6205" s="318"/>
      <c r="AB6205" s="318"/>
      <c r="AC6205" s="318"/>
      <c r="AD6205" s="318"/>
    </row>
    <row r="6206" spans="2:30" s="323" customFormat="1" ht="12" customHeight="1">
      <c r="B6206" s="324"/>
      <c r="C6206" s="325"/>
      <c r="D6206" s="326"/>
      <c r="E6206" s="326"/>
      <c r="F6206" s="326"/>
      <c r="G6206" s="326"/>
      <c r="H6206" s="326"/>
      <c r="P6206" s="318"/>
      <c r="Q6206" s="318"/>
      <c r="R6206" s="318"/>
      <c r="S6206" s="318"/>
      <c r="T6206" s="318"/>
      <c r="U6206" s="318"/>
      <c r="V6206" s="318"/>
      <c r="W6206" s="318"/>
      <c r="X6206" s="318"/>
      <c r="Y6206" s="318"/>
      <c r="Z6206" s="318"/>
      <c r="AA6206" s="318"/>
      <c r="AB6206" s="318"/>
      <c r="AC6206" s="318"/>
      <c r="AD6206" s="318"/>
    </row>
    <row r="6207" spans="2:30" s="323" customFormat="1" ht="12" customHeight="1">
      <c r="B6207" s="324"/>
      <c r="C6207" s="325"/>
      <c r="D6207" s="326"/>
      <c r="E6207" s="326"/>
      <c r="F6207" s="326"/>
      <c r="G6207" s="326"/>
      <c r="H6207" s="326"/>
      <c r="P6207" s="318"/>
      <c r="Q6207" s="318"/>
      <c r="R6207" s="318"/>
      <c r="S6207" s="318"/>
      <c r="T6207" s="318"/>
      <c r="U6207" s="318"/>
      <c r="V6207" s="318"/>
      <c r="W6207" s="318"/>
      <c r="X6207" s="318"/>
      <c r="Y6207" s="318"/>
      <c r="Z6207" s="318"/>
      <c r="AA6207" s="318"/>
      <c r="AB6207" s="318"/>
      <c r="AC6207" s="318"/>
      <c r="AD6207" s="318"/>
    </row>
    <row r="6208" spans="2:30" s="323" customFormat="1" ht="12" customHeight="1">
      <c r="B6208" s="324"/>
      <c r="C6208" s="325"/>
      <c r="D6208" s="326"/>
      <c r="E6208" s="326"/>
      <c r="F6208" s="326"/>
      <c r="G6208" s="326"/>
      <c r="H6208" s="326"/>
      <c r="P6208" s="318"/>
      <c r="Q6208" s="318"/>
      <c r="R6208" s="318"/>
      <c r="S6208" s="318"/>
      <c r="T6208" s="318"/>
      <c r="U6208" s="318"/>
      <c r="V6208" s="318"/>
      <c r="W6208" s="318"/>
      <c r="X6208" s="318"/>
      <c r="Y6208" s="318"/>
      <c r="Z6208" s="318"/>
      <c r="AA6208" s="318"/>
      <c r="AB6208" s="318"/>
      <c r="AC6208" s="318"/>
      <c r="AD6208" s="318"/>
    </row>
    <row r="6209" spans="2:30" s="323" customFormat="1" ht="12" customHeight="1">
      <c r="B6209" s="324"/>
      <c r="C6209" s="325"/>
      <c r="D6209" s="326"/>
      <c r="E6209" s="326"/>
      <c r="F6209" s="326"/>
      <c r="G6209" s="326"/>
      <c r="H6209" s="326"/>
      <c r="P6209" s="318"/>
      <c r="Q6209" s="318"/>
      <c r="R6209" s="318"/>
      <c r="S6209" s="318"/>
      <c r="T6209" s="318"/>
      <c r="U6209" s="318"/>
      <c r="V6209" s="318"/>
      <c r="W6209" s="318"/>
      <c r="X6209" s="318"/>
      <c r="Y6209" s="318"/>
      <c r="Z6209" s="318"/>
      <c r="AA6209" s="318"/>
      <c r="AB6209" s="318"/>
      <c r="AC6209" s="318"/>
      <c r="AD6209" s="318"/>
    </row>
    <row r="6210" spans="2:30" s="323" customFormat="1" ht="12" customHeight="1">
      <c r="B6210" s="324"/>
      <c r="C6210" s="325"/>
      <c r="D6210" s="326"/>
      <c r="E6210" s="326"/>
      <c r="F6210" s="326"/>
      <c r="G6210" s="326"/>
      <c r="H6210" s="326"/>
      <c r="P6210" s="318"/>
      <c r="Q6210" s="318"/>
      <c r="R6210" s="318"/>
      <c r="S6210" s="318"/>
      <c r="T6210" s="318"/>
      <c r="U6210" s="318"/>
      <c r="V6210" s="318"/>
      <c r="W6210" s="318"/>
      <c r="X6210" s="318"/>
      <c r="Y6210" s="318"/>
      <c r="Z6210" s="318"/>
      <c r="AA6210" s="318"/>
      <c r="AB6210" s="318"/>
      <c r="AC6210" s="318"/>
      <c r="AD6210" s="318"/>
    </row>
    <row r="6211" spans="2:30" s="323" customFormat="1" ht="12" customHeight="1">
      <c r="B6211" s="324"/>
      <c r="C6211" s="325"/>
      <c r="D6211" s="326"/>
      <c r="E6211" s="326"/>
      <c r="F6211" s="326"/>
      <c r="G6211" s="326"/>
      <c r="H6211" s="326"/>
      <c r="P6211" s="318"/>
      <c r="Q6211" s="318"/>
      <c r="R6211" s="318"/>
      <c r="S6211" s="318"/>
      <c r="T6211" s="318"/>
      <c r="U6211" s="318"/>
      <c r="V6211" s="318"/>
      <c r="W6211" s="318"/>
      <c r="X6211" s="318"/>
      <c r="Y6211" s="318"/>
      <c r="Z6211" s="318"/>
      <c r="AA6211" s="318"/>
      <c r="AB6211" s="318"/>
      <c r="AC6211" s="318"/>
      <c r="AD6211" s="318"/>
    </row>
    <row r="6212" spans="2:30" s="323" customFormat="1" ht="12" customHeight="1">
      <c r="B6212" s="324"/>
      <c r="C6212" s="325"/>
      <c r="D6212" s="326"/>
      <c r="E6212" s="326"/>
      <c r="F6212" s="326"/>
      <c r="G6212" s="326"/>
      <c r="H6212" s="326"/>
      <c r="P6212" s="318"/>
      <c r="Q6212" s="318"/>
      <c r="R6212" s="318"/>
      <c r="S6212" s="318"/>
      <c r="T6212" s="318"/>
      <c r="U6212" s="318"/>
      <c r="V6212" s="318"/>
      <c r="W6212" s="318"/>
      <c r="X6212" s="318"/>
      <c r="Y6212" s="318"/>
      <c r="Z6212" s="318"/>
      <c r="AA6212" s="318"/>
      <c r="AB6212" s="318"/>
      <c r="AC6212" s="318"/>
      <c r="AD6212" s="318"/>
    </row>
    <row r="6213" spans="2:30" s="323" customFormat="1" ht="12" customHeight="1">
      <c r="B6213" s="324"/>
      <c r="C6213" s="325"/>
      <c r="D6213" s="326"/>
      <c r="E6213" s="326"/>
      <c r="F6213" s="326"/>
      <c r="G6213" s="326"/>
      <c r="H6213" s="326"/>
      <c r="P6213" s="318"/>
      <c r="Q6213" s="318"/>
      <c r="R6213" s="318"/>
      <c r="S6213" s="318"/>
      <c r="T6213" s="318"/>
      <c r="U6213" s="318"/>
      <c r="V6213" s="318"/>
      <c r="W6213" s="318"/>
      <c r="X6213" s="318"/>
      <c r="Y6213" s="318"/>
      <c r="Z6213" s="318"/>
      <c r="AA6213" s="318"/>
      <c r="AB6213" s="318"/>
      <c r="AC6213" s="318"/>
      <c r="AD6213" s="318"/>
    </row>
    <row r="6214" spans="2:30" s="323" customFormat="1" ht="12" customHeight="1">
      <c r="B6214" s="324"/>
      <c r="C6214" s="325"/>
      <c r="D6214" s="326"/>
      <c r="E6214" s="326"/>
      <c r="F6214" s="326"/>
      <c r="G6214" s="326"/>
      <c r="H6214" s="326"/>
      <c r="P6214" s="318"/>
      <c r="Q6214" s="318"/>
      <c r="R6214" s="318"/>
      <c r="S6214" s="318"/>
      <c r="T6214" s="318"/>
      <c r="U6214" s="318"/>
      <c r="V6214" s="318"/>
      <c r="W6214" s="318"/>
      <c r="X6214" s="318"/>
      <c r="Y6214" s="318"/>
      <c r="Z6214" s="318"/>
      <c r="AA6214" s="318"/>
      <c r="AB6214" s="318"/>
      <c r="AC6214" s="318"/>
      <c r="AD6214" s="318"/>
    </row>
    <row r="6215" spans="2:30" s="323" customFormat="1" ht="12" customHeight="1">
      <c r="B6215" s="324"/>
      <c r="C6215" s="325"/>
      <c r="D6215" s="326"/>
      <c r="E6215" s="326"/>
      <c r="F6215" s="326"/>
      <c r="G6215" s="326"/>
      <c r="H6215" s="326"/>
      <c r="P6215" s="318"/>
      <c r="Q6215" s="318"/>
      <c r="R6215" s="318"/>
      <c r="S6215" s="318"/>
      <c r="T6215" s="318"/>
      <c r="U6215" s="318"/>
      <c r="V6215" s="318"/>
      <c r="W6215" s="318"/>
      <c r="X6215" s="318"/>
      <c r="Y6215" s="318"/>
      <c r="Z6215" s="318"/>
      <c r="AA6215" s="318"/>
      <c r="AB6215" s="318"/>
      <c r="AC6215" s="318"/>
      <c r="AD6215" s="318"/>
    </row>
    <row r="6216" spans="2:30" s="323" customFormat="1" ht="12" customHeight="1">
      <c r="B6216" s="324"/>
      <c r="C6216" s="325"/>
      <c r="D6216" s="326"/>
      <c r="E6216" s="326"/>
      <c r="F6216" s="326"/>
      <c r="G6216" s="326"/>
      <c r="H6216" s="326"/>
      <c r="P6216" s="318"/>
      <c r="Q6216" s="318"/>
      <c r="R6216" s="318"/>
      <c r="S6216" s="318"/>
      <c r="T6216" s="318"/>
      <c r="U6216" s="318"/>
      <c r="V6216" s="318"/>
      <c r="W6216" s="318"/>
      <c r="X6216" s="318"/>
      <c r="Y6216" s="318"/>
      <c r="Z6216" s="318"/>
      <c r="AA6216" s="318"/>
      <c r="AB6216" s="318"/>
      <c r="AC6216" s="318"/>
      <c r="AD6216" s="318"/>
    </row>
    <row r="6217" spans="2:30" s="323" customFormat="1" ht="12" customHeight="1">
      <c r="B6217" s="324"/>
      <c r="C6217" s="325"/>
      <c r="D6217" s="326"/>
      <c r="E6217" s="326"/>
      <c r="F6217" s="326"/>
      <c r="G6217" s="326"/>
      <c r="H6217" s="326"/>
      <c r="P6217" s="318"/>
      <c r="Q6217" s="318"/>
      <c r="R6217" s="318"/>
      <c r="S6217" s="318"/>
      <c r="T6217" s="318"/>
      <c r="U6217" s="318"/>
      <c r="V6217" s="318"/>
      <c r="W6217" s="318"/>
      <c r="X6217" s="318"/>
      <c r="Y6217" s="318"/>
      <c r="Z6217" s="318"/>
      <c r="AA6217" s="318"/>
      <c r="AB6217" s="318"/>
      <c r="AC6217" s="318"/>
      <c r="AD6217" s="318"/>
    </row>
    <row r="6218" spans="2:30" s="323" customFormat="1" ht="12" customHeight="1">
      <c r="B6218" s="324"/>
      <c r="C6218" s="325"/>
      <c r="D6218" s="326"/>
      <c r="E6218" s="326"/>
      <c r="F6218" s="326"/>
      <c r="G6218" s="326"/>
      <c r="H6218" s="326"/>
      <c r="P6218" s="318"/>
      <c r="Q6218" s="318"/>
      <c r="R6218" s="318"/>
      <c r="S6218" s="318"/>
      <c r="T6218" s="318"/>
      <c r="U6218" s="318"/>
      <c r="V6218" s="318"/>
      <c r="W6218" s="318"/>
      <c r="X6218" s="318"/>
      <c r="Y6218" s="318"/>
      <c r="Z6218" s="318"/>
      <c r="AA6218" s="318"/>
      <c r="AB6218" s="318"/>
      <c r="AC6218" s="318"/>
      <c r="AD6218" s="318"/>
    </row>
    <row r="6219" spans="2:30" s="323" customFormat="1" ht="12" customHeight="1">
      <c r="B6219" s="324"/>
      <c r="C6219" s="325"/>
      <c r="D6219" s="326"/>
      <c r="E6219" s="326"/>
      <c r="F6219" s="326"/>
      <c r="G6219" s="326"/>
      <c r="H6219" s="326"/>
      <c r="P6219" s="318"/>
      <c r="Q6219" s="318"/>
      <c r="R6219" s="318"/>
      <c r="S6219" s="318"/>
      <c r="T6219" s="318"/>
      <c r="U6219" s="318"/>
      <c r="V6219" s="318"/>
      <c r="W6219" s="318"/>
      <c r="X6219" s="318"/>
      <c r="Y6219" s="318"/>
      <c r="Z6219" s="318"/>
      <c r="AA6219" s="318"/>
      <c r="AB6219" s="318"/>
      <c r="AC6219" s="318"/>
      <c r="AD6219" s="318"/>
    </row>
    <row r="6220" spans="2:30" s="323" customFormat="1" ht="12" customHeight="1">
      <c r="B6220" s="324"/>
      <c r="C6220" s="325"/>
      <c r="D6220" s="326"/>
      <c r="E6220" s="326"/>
      <c r="F6220" s="326"/>
      <c r="G6220" s="326"/>
      <c r="H6220" s="326"/>
      <c r="P6220" s="318"/>
      <c r="Q6220" s="318"/>
      <c r="R6220" s="318"/>
      <c r="S6220" s="318"/>
      <c r="T6220" s="318"/>
      <c r="U6220" s="318"/>
      <c r="V6220" s="318"/>
      <c r="W6220" s="318"/>
      <c r="X6220" s="318"/>
      <c r="Y6220" s="318"/>
      <c r="Z6220" s="318"/>
      <c r="AA6220" s="318"/>
      <c r="AB6220" s="318"/>
      <c r="AC6220" s="318"/>
      <c r="AD6220" s="318"/>
    </row>
    <row r="6221" spans="2:30" s="323" customFormat="1" ht="12" customHeight="1">
      <c r="B6221" s="324"/>
      <c r="C6221" s="325"/>
      <c r="D6221" s="326"/>
      <c r="E6221" s="326"/>
      <c r="F6221" s="326"/>
      <c r="G6221" s="326"/>
      <c r="H6221" s="326"/>
      <c r="P6221" s="318"/>
      <c r="Q6221" s="318"/>
      <c r="R6221" s="318"/>
      <c r="S6221" s="318"/>
      <c r="T6221" s="318"/>
      <c r="U6221" s="318"/>
      <c r="V6221" s="318"/>
      <c r="W6221" s="318"/>
      <c r="X6221" s="318"/>
      <c r="Y6221" s="318"/>
      <c r="Z6221" s="318"/>
      <c r="AA6221" s="318"/>
      <c r="AB6221" s="318"/>
      <c r="AC6221" s="318"/>
      <c r="AD6221" s="318"/>
    </row>
    <row r="6222" spans="2:30" s="323" customFormat="1" ht="12" customHeight="1">
      <c r="B6222" s="324"/>
      <c r="C6222" s="325"/>
      <c r="D6222" s="326"/>
      <c r="E6222" s="326"/>
      <c r="F6222" s="326"/>
      <c r="G6222" s="326"/>
      <c r="H6222" s="326"/>
      <c r="P6222" s="318"/>
      <c r="Q6222" s="318"/>
      <c r="R6222" s="318"/>
      <c r="S6222" s="318"/>
      <c r="T6222" s="318"/>
      <c r="U6222" s="318"/>
      <c r="V6222" s="318"/>
      <c r="W6222" s="318"/>
      <c r="X6222" s="318"/>
      <c r="Y6222" s="318"/>
      <c r="Z6222" s="318"/>
      <c r="AA6222" s="318"/>
      <c r="AB6222" s="318"/>
      <c r="AC6222" s="318"/>
      <c r="AD6222" s="318"/>
    </row>
    <row r="6223" spans="2:30" s="323" customFormat="1" ht="12" customHeight="1">
      <c r="B6223" s="324"/>
      <c r="C6223" s="325"/>
      <c r="D6223" s="326"/>
      <c r="E6223" s="326"/>
      <c r="F6223" s="326"/>
      <c r="G6223" s="326"/>
      <c r="H6223" s="326"/>
      <c r="P6223" s="318"/>
      <c r="Q6223" s="318"/>
      <c r="R6223" s="318"/>
      <c r="S6223" s="318"/>
      <c r="T6223" s="318"/>
      <c r="U6223" s="318"/>
      <c r="V6223" s="318"/>
      <c r="W6223" s="318"/>
      <c r="X6223" s="318"/>
      <c r="Y6223" s="318"/>
      <c r="Z6223" s="318"/>
      <c r="AA6223" s="318"/>
      <c r="AB6223" s="318"/>
      <c r="AC6223" s="318"/>
      <c r="AD6223" s="318"/>
    </row>
    <row r="6224" spans="2:30" s="323" customFormat="1" ht="12" customHeight="1">
      <c r="B6224" s="324"/>
      <c r="C6224" s="325"/>
      <c r="D6224" s="326"/>
      <c r="E6224" s="326"/>
      <c r="F6224" s="326"/>
      <c r="G6224" s="326"/>
      <c r="H6224" s="326"/>
      <c r="P6224" s="318"/>
      <c r="Q6224" s="318"/>
      <c r="R6224" s="318"/>
      <c r="S6224" s="318"/>
      <c r="T6224" s="318"/>
      <c r="U6224" s="318"/>
      <c r="V6224" s="318"/>
      <c r="W6224" s="318"/>
      <c r="X6224" s="318"/>
      <c r="Y6224" s="318"/>
      <c r="Z6224" s="318"/>
      <c r="AA6224" s="318"/>
      <c r="AB6224" s="318"/>
      <c r="AC6224" s="318"/>
      <c r="AD6224" s="318"/>
    </row>
    <row r="6225" spans="2:30" s="323" customFormat="1" ht="12" customHeight="1">
      <c r="B6225" s="324"/>
      <c r="C6225" s="325"/>
      <c r="D6225" s="326"/>
      <c r="E6225" s="326"/>
      <c r="F6225" s="326"/>
      <c r="G6225" s="326"/>
      <c r="H6225" s="326"/>
      <c r="P6225" s="318"/>
      <c r="Q6225" s="318"/>
      <c r="R6225" s="318"/>
      <c r="S6225" s="318"/>
      <c r="T6225" s="318"/>
      <c r="U6225" s="318"/>
      <c r="V6225" s="318"/>
      <c r="W6225" s="318"/>
      <c r="X6225" s="318"/>
      <c r="Y6225" s="318"/>
      <c r="Z6225" s="318"/>
      <c r="AA6225" s="318"/>
      <c r="AB6225" s="318"/>
      <c r="AC6225" s="318"/>
      <c r="AD6225" s="318"/>
    </row>
    <row r="6226" spans="2:30" s="323" customFormat="1" ht="12" customHeight="1">
      <c r="B6226" s="324"/>
      <c r="C6226" s="325"/>
      <c r="D6226" s="326"/>
      <c r="E6226" s="326"/>
      <c r="F6226" s="326"/>
      <c r="G6226" s="326"/>
      <c r="H6226" s="326"/>
      <c r="P6226" s="318"/>
      <c r="Q6226" s="318"/>
      <c r="R6226" s="318"/>
      <c r="S6226" s="318"/>
      <c r="T6226" s="318"/>
      <c r="U6226" s="318"/>
      <c r="V6226" s="318"/>
      <c r="W6226" s="318"/>
      <c r="X6226" s="318"/>
      <c r="Y6226" s="318"/>
      <c r="Z6226" s="318"/>
      <c r="AA6226" s="318"/>
      <c r="AB6226" s="318"/>
      <c r="AC6226" s="318"/>
      <c r="AD6226" s="318"/>
    </row>
    <row r="6227" spans="2:30" s="323" customFormat="1" ht="12" customHeight="1">
      <c r="B6227" s="324"/>
      <c r="C6227" s="325"/>
      <c r="D6227" s="326"/>
      <c r="E6227" s="326"/>
      <c r="F6227" s="326"/>
      <c r="G6227" s="326"/>
      <c r="H6227" s="326"/>
      <c r="P6227" s="318"/>
      <c r="Q6227" s="318"/>
      <c r="R6227" s="318"/>
      <c r="S6227" s="318"/>
      <c r="T6227" s="318"/>
      <c r="U6227" s="318"/>
      <c r="V6227" s="318"/>
      <c r="W6227" s="318"/>
      <c r="X6227" s="318"/>
      <c r="Y6227" s="318"/>
      <c r="Z6227" s="318"/>
      <c r="AA6227" s="318"/>
      <c r="AB6227" s="318"/>
      <c r="AC6227" s="318"/>
      <c r="AD6227" s="318"/>
    </row>
    <row r="6228" spans="2:30" s="323" customFormat="1" ht="12" customHeight="1">
      <c r="B6228" s="324"/>
      <c r="C6228" s="325"/>
      <c r="D6228" s="326"/>
      <c r="E6228" s="326"/>
      <c r="F6228" s="326"/>
      <c r="G6228" s="326"/>
      <c r="H6228" s="326"/>
      <c r="P6228" s="318"/>
      <c r="Q6228" s="318"/>
      <c r="R6228" s="318"/>
      <c r="S6228" s="318"/>
      <c r="T6228" s="318"/>
      <c r="U6228" s="318"/>
      <c r="V6228" s="318"/>
      <c r="W6228" s="318"/>
      <c r="X6228" s="318"/>
      <c r="Y6228" s="318"/>
      <c r="Z6228" s="318"/>
      <c r="AA6228" s="318"/>
      <c r="AB6228" s="318"/>
      <c r="AC6228" s="318"/>
      <c r="AD6228" s="318"/>
    </row>
    <row r="6229" spans="2:30" s="323" customFormat="1" ht="12" customHeight="1">
      <c r="B6229" s="324"/>
      <c r="C6229" s="325"/>
      <c r="D6229" s="326"/>
      <c r="E6229" s="326"/>
      <c r="F6229" s="326"/>
      <c r="G6229" s="326"/>
      <c r="H6229" s="326"/>
      <c r="P6229" s="318"/>
      <c r="Q6229" s="318"/>
      <c r="R6229" s="318"/>
      <c r="S6229" s="318"/>
      <c r="T6229" s="318"/>
      <c r="U6229" s="318"/>
      <c r="V6229" s="318"/>
      <c r="W6229" s="318"/>
      <c r="X6229" s="318"/>
      <c r="Y6229" s="318"/>
      <c r="Z6229" s="318"/>
      <c r="AA6229" s="318"/>
      <c r="AB6229" s="318"/>
      <c r="AC6229" s="318"/>
      <c r="AD6229" s="318"/>
    </row>
    <row r="6230" spans="2:30" s="323" customFormat="1" ht="12" customHeight="1">
      <c r="B6230" s="324"/>
      <c r="C6230" s="325"/>
      <c r="D6230" s="326"/>
      <c r="E6230" s="326"/>
      <c r="F6230" s="326"/>
      <c r="G6230" s="326"/>
      <c r="H6230" s="326"/>
      <c r="P6230" s="318"/>
      <c r="Q6230" s="318"/>
      <c r="R6230" s="318"/>
      <c r="S6230" s="318"/>
      <c r="T6230" s="318"/>
      <c r="U6230" s="318"/>
      <c r="V6230" s="318"/>
      <c r="W6230" s="318"/>
      <c r="X6230" s="318"/>
      <c r="Y6230" s="318"/>
      <c r="Z6230" s="318"/>
      <c r="AA6230" s="318"/>
      <c r="AB6230" s="318"/>
      <c r="AC6230" s="318"/>
      <c r="AD6230" s="318"/>
    </row>
    <row r="6231" spans="2:30" s="323" customFormat="1" ht="12" customHeight="1">
      <c r="B6231" s="324"/>
      <c r="C6231" s="325"/>
      <c r="D6231" s="326"/>
      <c r="E6231" s="326"/>
      <c r="F6231" s="326"/>
      <c r="G6231" s="326"/>
      <c r="H6231" s="326"/>
      <c r="P6231" s="318"/>
      <c r="Q6231" s="318"/>
      <c r="R6231" s="318"/>
      <c r="S6231" s="318"/>
      <c r="T6231" s="318"/>
      <c r="U6231" s="318"/>
      <c r="V6231" s="318"/>
      <c r="W6231" s="318"/>
      <c r="X6231" s="318"/>
      <c r="Y6231" s="318"/>
      <c r="Z6231" s="318"/>
      <c r="AA6231" s="318"/>
      <c r="AB6231" s="318"/>
      <c r="AC6231" s="318"/>
      <c r="AD6231" s="318"/>
    </row>
    <row r="6232" spans="2:30" s="323" customFormat="1" ht="12" customHeight="1">
      <c r="B6232" s="324"/>
      <c r="C6232" s="325"/>
      <c r="D6232" s="326"/>
      <c r="E6232" s="326"/>
      <c r="F6232" s="326"/>
      <c r="G6232" s="326"/>
      <c r="H6232" s="326"/>
      <c r="P6232" s="318"/>
      <c r="Q6232" s="318"/>
      <c r="R6232" s="318"/>
      <c r="S6232" s="318"/>
      <c r="T6232" s="318"/>
      <c r="U6232" s="318"/>
      <c r="V6232" s="318"/>
      <c r="W6232" s="318"/>
      <c r="X6232" s="318"/>
      <c r="Y6232" s="318"/>
      <c r="Z6232" s="318"/>
      <c r="AA6232" s="318"/>
      <c r="AB6232" s="318"/>
      <c r="AC6232" s="318"/>
      <c r="AD6232" s="318"/>
    </row>
    <row r="6233" spans="2:30" s="323" customFormat="1" ht="12" customHeight="1">
      <c r="B6233" s="324"/>
      <c r="C6233" s="325"/>
      <c r="D6233" s="326"/>
      <c r="E6233" s="326"/>
      <c r="F6233" s="326"/>
      <c r="G6233" s="326"/>
      <c r="H6233" s="326"/>
      <c r="P6233" s="318"/>
      <c r="Q6233" s="318"/>
      <c r="R6233" s="318"/>
      <c r="S6233" s="318"/>
      <c r="T6233" s="318"/>
      <c r="U6233" s="318"/>
      <c r="V6233" s="318"/>
      <c r="W6233" s="318"/>
      <c r="X6233" s="318"/>
      <c r="Y6233" s="318"/>
      <c r="Z6233" s="318"/>
      <c r="AA6233" s="318"/>
      <c r="AB6233" s="318"/>
      <c r="AC6233" s="318"/>
      <c r="AD6233" s="318"/>
    </row>
    <row r="6234" spans="2:30" s="323" customFormat="1" ht="12" customHeight="1">
      <c r="B6234" s="324"/>
      <c r="C6234" s="325"/>
      <c r="D6234" s="326"/>
      <c r="E6234" s="326"/>
      <c r="F6234" s="326"/>
      <c r="G6234" s="326"/>
      <c r="H6234" s="326"/>
      <c r="P6234" s="318"/>
      <c r="Q6234" s="318"/>
      <c r="R6234" s="318"/>
      <c r="S6234" s="318"/>
      <c r="T6234" s="318"/>
      <c r="U6234" s="318"/>
      <c r="V6234" s="318"/>
      <c r="W6234" s="318"/>
      <c r="X6234" s="318"/>
      <c r="Y6234" s="318"/>
      <c r="Z6234" s="318"/>
      <c r="AA6234" s="318"/>
      <c r="AB6234" s="318"/>
      <c r="AC6234" s="318"/>
      <c r="AD6234" s="318"/>
    </row>
    <row r="6235" spans="2:30" s="323" customFormat="1" ht="12" customHeight="1">
      <c r="B6235" s="324"/>
      <c r="C6235" s="325"/>
      <c r="D6235" s="326"/>
      <c r="E6235" s="326"/>
      <c r="F6235" s="326"/>
      <c r="G6235" s="326"/>
      <c r="H6235" s="326"/>
      <c r="P6235" s="318"/>
      <c r="Q6235" s="318"/>
      <c r="R6235" s="318"/>
      <c r="S6235" s="318"/>
      <c r="T6235" s="318"/>
      <c r="U6235" s="318"/>
      <c r="V6235" s="318"/>
      <c r="W6235" s="318"/>
      <c r="X6235" s="318"/>
      <c r="Y6235" s="318"/>
      <c r="Z6235" s="318"/>
      <c r="AA6235" s="318"/>
      <c r="AB6235" s="318"/>
      <c r="AC6235" s="318"/>
      <c r="AD6235" s="318"/>
    </row>
    <row r="6236" spans="2:30" s="323" customFormat="1" ht="12" customHeight="1">
      <c r="B6236" s="324"/>
      <c r="C6236" s="325"/>
      <c r="D6236" s="326"/>
      <c r="E6236" s="326"/>
      <c r="F6236" s="326"/>
      <c r="G6236" s="326"/>
      <c r="H6236" s="326"/>
      <c r="P6236" s="318"/>
      <c r="Q6236" s="318"/>
      <c r="R6236" s="318"/>
      <c r="S6236" s="318"/>
      <c r="T6236" s="318"/>
      <c r="U6236" s="318"/>
      <c r="V6236" s="318"/>
      <c r="W6236" s="318"/>
      <c r="X6236" s="318"/>
      <c r="Y6236" s="318"/>
      <c r="Z6236" s="318"/>
      <c r="AA6236" s="318"/>
      <c r="AB6236" s="318"/>
      <c r="AC6236" s="318"/>
      <c r="AD6236" s="318"/>
    </row>
    <row r="6237" spans="2:30" s="323" customFormat="1" ht="12" customHeight="1">
      <c r="B6237" s="324"/>
      <c r="C6237" s="325"/>
      <c r="D6237" s="326"/>
      <c r="E6237" s="326"/>
      <c r="F6237" s="326"/>
      <c r="G6237" s="326"/>
      <c r="H6237" s="326"/>
      <c r="P6237" s="318"/>
      <c r="Q6237" s="318"/>
      <c r="R6237" s="318"/>
      <c r="S6237" s="318"/>
      <c r="T6237" s="318"/>
      <c r="U6237" s="318"/>
      <c r="V6237" s="318"/>
      <c r="W6237" s="318"/>
      <c r="X6237" s="318"/>
      <c r="Y6237" s="318"/>
      <c r="Z6237" s="318"/>
      <c r="AA6237" s="318"/>
      <c r="AB6237" s="318"/>
      <c r="AC6237" s="318"/>
      <c r="AD6237" s="318"/>
    </row>
    <row r="6238" spans="2:30" s="323" customFormat="1" ht="12" customHeight="1">
      <c r="B6238" s="324"/>
      <c r="C6238" s="325"/>
      <c r="D6238" s="326"/>
      <c r="E6238" s="326"/>
      <c r="F6238" s="326"/>
      <c r="G6238" s="326"/>
      <c r="H6238" s="326"/>
      <c r="P6238" s="318"/>
      <c r="Q6238" s="318"/>
      <c r="R6238" s="318"/>
      <c r="S6238" s="318"/>
      <c r="T6238" s="318"/>
      <c r="U6238" s="318"/>
      <c r="V6238" s="318"/>
      <c r="W6238" s="318"/>
      <c r="X6238" s="318"/>
      <c r="Y6238" s="318"/>
      <c r="Z6238" s="318"/>
      <c r="AA6238" s="318"/>
      <c r="AB6238" s="318"/>
      <c r="AC6238" s="318"/>
      <c r="AD6238" s="318"/>
    </row>
    <row r="6239" spans="2:30" s="323" customFormat="1" ht="12" customHeight="1">
      <c r="B6239" s="324"/>
      <c r="C6239" s="325"/>
      <c r="D6239" s="326"/>
      <c r="E6239" s="326"/>
      <c r="F6239" s="326"/>
      <c r="G6239" s="326"/>
      <c r="H6239" s="326"/>
      <c r="P6239" s="318"/>
      <c r="Q6239" s="318"/>
      <c r="R6239" s="318"/>
      <c r="S6239" s="318"/>
      <c r="T6239" s="318"/>
      <c r="U6239" s="318"/>
      <c r="V6239" s="318"/>
      <c r="W6239" s="318"/>
      <c r="X6239" s="318"/>
      <c r="Y6239" s="318"/>
      <c r="Z6239" s="318"/>
      <c r="AA6239" s="318"/>
      <c r="AB6239" s="318"/>
      <c r="AC6239" s="318"/>
      <c r="AD6239" s="318"/>
    </row>
    <row r="6240" spans="2:30" s="323" customFormat="1" ht="12" customHeight="1">
      <c r="B6240" s="324"/>
      <c r="C6240" s="325"/>
      <c r="D6240" s="326"/>
      <c r="E6240" s="326"/>
      <c r="F6240" s="326"/>
      <c r="G6240" s="326"/>
      <c r="H6240" s="326"/>
      <c r="P6240" s="318"/>
      <c r="Q6240" s="318"/>
      <c r="R6240" s="318"/>
      <c r="S6240" s="318"/>
      <c r="T6240" s="318"/>
      <c r="U6240" s="318"/>
      <c r="V6240" s="318"/>
      <c r="W6240" s="318"/>
      <c r="X6240" s="318"/>
      <c r="Y6240" s="318"/>
      <c r="Z6240" s="318"/>
      <c r="AA6240" s="318"/>
      <c r="AB6240" s="318"/>
      <c r="AC6240" s="318"/>
      <c r="AD6240" s="318"/>
    </row>
    <row r="6241" spans="2:30" s="323" customFormat="1" ht="12" customHeight="1">
      <c r="B6241" s="324"/>
      <c r="C6241" s="325"/>
      <c r="D6241" s="326"/>
      <c r="E6241" s="326"/>
      <c r="F6241" s="326"/>
      <c r="G6241" s="326"/>
      <c r="H6241" s="326"/>
      <c r="P6241" s="318"/>
      <c r="Q6241" s="318"/>
      <c r="R6241" s="318"/>
      <c r="S6241" s="318"/>
      <c r="T6241" s="318"/>
      <c r="U6241" s="318"/>
      <c r="V6241" s="318"/>
      <c r="W6241" s="318"/>
      <c r="X6241" s="318"/>
      <c r="Y6241" s="318"/>
      <c r="Z6241" s="318"/>
      <c r="AA6241" s="318"/>
      <c r="AB6241" s="318"/>
      <c r="AC6241" s="318"/>
      <c r="AD6241" s="318"/>
    </row>
    <row r="6242" spans="2:30" s="323" customFormat="1" ht="12" customHeight="1">
      <c r="B6242" s="324"/>
      <c r="C6242" s="325"/>
      <c r="D6242" s="326"/>
      <c r="E6242" s="326"/>
      <c r="F6242" s="326"/>
      <c r="G6242" s="326"/>
      <c r="H6242" s="326"/>
      <c r="P6242" s="318"/>
      <c r="Q6242" s="318"/>
      <c r="R6242" s="318"/>
      <c r="S6242" s="318"/>
      <c r="T6242" s="318"/>
      <c r="U6242" s="318"/>
      <c r="V6242" s="318"/>
      <c r="W6242" s="318"/>
      <c r="X6242" s="318"/>
      <c r="Y6242" s="318"/>
      <c r="Z6242" s="318"/>
      <c r="AA6242" s="318"/>
      <c r="AB6242" s="318"/>
      <c r="AC6242" s="318"/>
      <c r="AD6242" s="318"/>
    </row>
    <row r="6243" spans="2:30" s="323" customFormat="1" ht="12" customHeight="1">
      <c r="B6243" s="324"/>
      <c r="C6243" s="325"/>
      <c r="D6243" s="326"/>
      <c r="E6243" s="326"/>
      <c r="F6243" s="326"/>
      <c r="G6243" s="326"/>
      <c r="H6243" s="326"/>
      <c r="P6243" s="318"/>
      <c r="Q6243" s="318"/>
      <c r="R6243" s="318"/>
      <c r="S6243" s="318"/>
      <c r="T6243" s="318"/>
      <c r="U6243" s="318"/>
      <c r="V6243" s="318"/>
      <c r="W6243" s="318"/>
      <c r="X6243" s="318"/>
      <c r="Y6243" s="318"/>
      <c r="Z6243" s="318"/>
      <c r="AA6243" s="318"/>
      <c r="AB6243" s="318"/>
      <c r="AC6243" s="318"/>
      <c r="AD6243" s="318"/>
    </row>
    <row r="6244" spans="2:30" s="323" customFormat="1" ht="12" customHeight="1">
      <c r="B6244" s="324"/>
      <c r="C6244" s="325"/>
      <c r="D6244" s="326"/>
      <c r="E6244" s="326"/>
      <c r="F6244" s="326"/>
      <c r="G6244" s="326"/>
      <c r="H6244" s="326"/>
      <c r="P6244" s="318"/>
      <c r="Q6244" s="318"/>
      <c r="R6244" s="318"/>
      <c r="S6244" s="318"/>
      <c r="T6244" s="318"/>
      <c r="U6244" s="318"/>
      <c r="V6244" s="318"/>
      <c r="W6244" s="318"/>
      <c r="X6244" s="318"/>
      <c r="Y6244" s="318"/>
      <c r="Z6244" s="318"/>
      <c r="AA6244" s="318"/>
      <c r="AB6244" s="318"/>
      <c r="AC6244" s="318"/>
      <c r="AD6244" s="318"/>
    </row>
    <row r="6245" spans="2:30" s="323" customFormat="1" ht="12" customHeight="1">
      <c r="B6245" s="324"/>
      <c r="C6245" s="325"/>
      <c r="D6245" s="326"/>
      <c r="E6245" s="326"/>
      <c r="F6245" s="326"/>
      <c r="G6245" s="326"/>
      <c r="H6245" s="326"/>
      <c r="P6245" s="318"/>
      <c r="Q6245" s="318"/>
      <c r="R6245" s="318"/>
      <c r="S6245" s="318"/>
      <c r="T6245" s="318"/>
      <c r="U6245" s="318"/>
      <c r="V6245" s="318"/>
      <c r="W6245" s="318"/>
      <c r="X6245" s="318"/>
      <c r="Y6245" s="318"/>
      <c r="Z6245" s="318"/>
      <c r="AA6245" s="318"/>
      <c r="AB6245" s="318"/>
      <c r="AC6245" s="318"/>
      <c r="AD6245" s="318"/>
    </row>
    <row r="6246" spans="2:30" s="323" customFormat="1" ht="12" customHeight="1">
      <c r="B6246" s="324"/>
      <c r="C6246" s="325"/>
      <c r="D6246" s="326"/>
      <c r="E6246" s="326"/>
      <c r="F6246" s="326"/>
      <c r="G6246" s="326"/>
      <c r="H6246" s="326"/>
      <c r="P6246" s="318"/>
      <c r="Q6246" s="318"/>
      <c r="R6246" s="318"/>
      <c r="S6246" s="318"/>
      <c r="T6246" s="318"/>
      <c r="U6246" s="318"/>
      <c r="V6246" s="318"/>
      <c r="W6246" s="318"/>
      <c r="X6246" s="318"/>
      <c r="Y6246" s="318"/>
      <c r="Z6246" s="318"/>
      <c r="AA6246" s="318"/>
      <c r="AB6246" s="318"/>
      <c r="AC6246" s="318"/>
      <c r="AD6246" s="318"/>
    </row>
    <row r="6247" spans="2:30" s="323" customFormat="1" ht="12" customHeight="1">
      <c r="B6247" s="324"/>
      <c r="C6247" s="325"/>
      <c r="D6247" s="326"/>
      <c r="E6247" s="326"/>
      <c r="F6247" s="326"/>
      <c r="G6247" s="326"/>
      <c r="H6247" s="326"/>
      <c r="P6247" s="318"/>
      <c r="Q6247" s="318"/>
      <c r="R6247" s="318"/>
      <c r="S6247" s="318"/>
      <c r="T6247" s="318"/>
      <c r="U6247" s="318"/>
      <c r="V6247" s="318"/>
      <c r="W6247" s="318"/>
      <c r="X6247" s="318"/>
      <c r="Y6247" s="318"/>
      <c r="Z6247" s="318"/>
      <c r="AA6247" s="318"/>
      <c r="AB6247" s="318"/>
      <c r="AC6247" s="318"/>
      <c r="AD6247" s="318"/>
    </row>
    <row r="6248" spans="2:30" s="323" customFormat="1" ht="12" customHeight="1">
      <c r="B6248" s="324"/>
      <c r="C6248" s="325"/>
      <c r="D6248" s="326"/>
      <c r="E6248" s="326"/>
      <c r="F6248" s="326"/>
      <c r="G6248" s="326"/>
      <c r="H6248" s="326"/>
      <c r="P6248" s="318"/>
      <c r="Q6248" s="318"/>
      <c r="R6248" s="318"/>
      <c r="S6248" s="318"/>
      <c r="T6248" s="318"/>
      <c r="U6248" s="318"/>
      <c r="V6248" s="318"/>
      <c r="W6248" s="318"/>
      <c r="X6248" s="318"/>
      <c r="Y6248" s="318"/>
      <c r="Z6248" s="318"/>
      <c r="AA6248" s="318"/>
      <c r="AB6248" s="318"/>
      <c r="AC6248" s="318"/>
      <c r="AD6248" s="318"/>
    </row>
    <row r="6249" spans="2:30" s="323" customFormat="1" ht="12" customHeight="1">
      <c r="B6249" s="324"/>
      <c r="C6249" s="325"/>
      <c r="D6249" s="326"/>
      <c r="E6249" s="326"/>
      <c r="F6249" s="326"/>
      <c r="G6249" s="326"/>
      <c r="H6249" s="326"/>
      <c r="P6249" s="318"/>
      <c r="Q6249" s="318"/>
      <c r="R6249" s="318"/>
      <c r="S6249" s="318"/>
      <c r="T6249" s="318"/>
      <c r="U6249" s="318"/>
      <c r="V6249" s="318"/>
      <c r="W6249" s="318"/>
      <c r="X6249" s="318"/>
      <c r="Y6249" s="318"/>
      <c r="Z6249" s="318"/>
      <c r="AA6249" s="318"/>
      <c r="AB6249" s="318"/>
      <c r="AC6249" s="318"/>
      <c r="AD6249" s="318"/>
    </row>
    <row r="6250" spans="2:30" s="323" customFormat="1" ht="12" customHeight="1">
      <c r="B6250" s="324"/>
      <c r="C6250" s="325"/>
      <c r="D6250" s="326"/>
      <c r="E6250" s="326"/>
      <c r="F6250" s="326"/>
      <c r="G6250" s="326"/>
      <c r="H6250" s="326"/>
      <c r="P6250" s="318"/>
      <c r="Q6250" s="318"/>
      <c r="R6250" s="318"/>
      <c r="S6250" s="318"/>
      <c r="T6250" s="318"/>
      <c r="U6250" s="318"/>
      <c r="V6250" s="318"/>
      <c r="W6250" s="318"/>
      <c r="X6250" s="318"/>
      <c r="Y6250" s="318"/>
      <c r="Z6250" s="318"/>
      <c r="AA6250" s="318"/>
      <c r="AB6250" s="318"/>
      <c r="AC6250" s="318"/>
      <c r="AD6250" s="318"/>
    </row>
    <row r="6251" spans="2:30" s="323" customFormat="1" ht="12" customHeight="1">
      <c r="B6251" s="324"/>
      <c r="C6251" s="325"/>
      <c r="D6251" s="326"/>
      <c r="E6251" s="326"/>
      <c r="F6251" s="326"/>
      <c r="G6251" s="326"/>
      <c r="H6251" s="326"/>
      <c r="P6251" s="318"/>
      <c r="Q6251" s="318"/>
      <c r="R6251" s="318"/>
      <c r="S6251" s="318"/>
      <c r="T6251" s="318"/>
      <c r="U6251" s="318"/>
      <c r="V6251" s="318"/>
      <c r="W6251" s="318"/>
      <c r="X6251" s="318"/>
      <c r="Y6251" s="318"/>
      <c r="Z6251" s="318"/>
      <c r="AA6251" s="318"/>
      <c r="AB6251" s="318"/>
      <c r="AC6251" s="318"/>
      <c r="AD6251" s="318"/>
    </row>
    <row r="6252" spans="2:30" s="323" customFormat="1" ht="12" customHeight="1">
      <c r="B6252" s="324"/>
      <c r="C6252" s="325"/>
      <c r="D6252" s="326"/>
      <c r="E6252" s="326"/>
      <c r="F6252" s="326"/>
      <c r="G6252" s="326"/>
      <c r="H6252" s="326"/>
      <c r="P6252" s="318"/>
      <c r="Q6252" s="318"/>
      <c r="R6252" s="318"/>
      <c r="S6252" s="318"/>
      <c r="T6252" s="318"/>
      <c r="U6252" s="318"/>
      <c r="V6252" s="318"/>
      <c r="W6252" s="318"/>
      <c r="X6252" s="318"/>
      <c r="Y6252" s="318"/>
      <c r="Z6252" s="318"/>
      <c r="AA6252" s="318"/>
      <c r="AB6252" s="318"/>
      <c r="AC6252" s="318"/>
      <c r="AD6252" s="318"/>
    </row>
    <row r="6253" spans="2:30" s="323" customFormat="1" ht="12" customHeight="1">
      <c r="B6253" s="324"/>
      <c r="C6253" s="325"/>
      <c r="D6253" s="326"/>
      <c r="E6253" s="326"/>
      <c r="F6253" s="326"/>
      <c r="G6253" s="326"/>
      <c r="H6253" s="326"/>
      <c r="P6253" s="318"/>
      <c r="Q6253" s="318"/>
      <c r="R6253" s="318"/>
      <c r="S6253" s="318"/>
      <c r="T6253" s="318"/>
      <c r="U6253" s="318"/>
      <c r="V6253" s="318"/>
      <c r="W6253" s="318"/>
      <c r="X6253" s="318"/>
      <c r="Y6253" s="318"/>
      <c r="Z6253" s="318"/>
      <c r="AA6253" s="318"/>
      <c r="AB6253" s="318"/>
      <c r="AC6253" s="318"/>
      <c r="AD6253" s="318"/>
    </row>
    <row r="6254" spans="2:30" s="323" customFormat="1" ht="12" customHeight="1">
      <c r="B6254" s="324"/>
      <c r="C6254" s="325"/>
      <c r="D6254" s="326"/>
      <c r="E6254" s="326"/>
      <c r="F6254" s="326"/>
      <c r="G6254" s="326"/>
      <c r="H6254" s="326"/>
      <c r="P6254" s="318"/>
      <c r="Q6254" s="318"/>
      <c r="R6254" s="318"/>
      <c r="S6254" s="318"/>
      <c r="T6254" s="318"/>
      <c r="U6254" s="318"/>
      <c r="V6254" s="318"/>
      <c r="W6254" s="318"/>
      <c r="X6254" s="318"/>
      <c r="Y6254" s="318"/>
      <c r="Z6254" s="318"/>
      <c r="AA6254" s="318"/>
      <c r="AB6254" s="318"/>
      <c r="AC6254" s="318"/>
      <c r="AD6254" s="318"/>
    </row>
    <row r="6255" spans="2:30" s="323" customFormat="1" ht="12" customHeight="1">
      <c r="B6255" s="324"/>
      <c r="C6255" s="325"/>
      <c r="D6255" s="326"/>
      <c r="E6255" s="326"/>
      <c r="F6255" s="326"/>
      <c r="G6255" s="326"/>
      <c r="H6255" s="326"/>
      <c r="P6255" s="318"/>
      <c r="Q6255" s="318"/>
      <c r="R6255" s="318"/>
      <c r="S6255" s="318"/>
      <c r="T6255" s="318"/>
      <c r="U6255" s="318"/>
      <c r="V6255" s="318"/>
      <c r="W6255" s="318"/>
      <c r="X6255" s="318"/>
      <c r="Y6255" s="318"/>
      <c r="Z6255" s="318"/>
      <c r="AA6255" s="318"/>
      <c r="AB6255" s="318"/>
      <c r="AC6255" s="318"/>
      <c r="AD6255" s="318"/>
    </row>
    <row r="6256" spans="2:30" s="323" customFormat="1" ht="12" customHeight="1">
      <c r="B6256" s="324"/>
      <c r="C6256" s="325"/>
      <c r="D6256" s="326"/>
      <c r="E6256" s="326"/>
      <c r="F6256" s="326"/>
      <c r="G6256" s="326"/>
      <c r="H6256" s="326"/>
      <c r="P6256" s="318"/>
      <c r="Q6256" s="318"/>
      <c r="R6256" s="318"/>
      <c r="S6256" s="318"/>
      <c r="T6256" s="318"/>
      <c r="U6256" s="318"/>
      <c r="V6256" s="318"/>
      <c r="W6256" s="318"/>
      <c r="X6256" s="318"/>
      <c r="Y6256" s="318"/>
      <c r="Z6256" s="318"/>
      <c r="AA6256" s="318"/>
      <c r="AB6256" s="318"/>
      <c r="AC6256" s="318"/>
      <c r="AD6256" s="318"/>
    </row>
    <row r="6257" spans="2:30" s="323" customFormat="1" ht="12" customHeight="1">
      <c r="B6257" s="324"/>
      <c r="C6257" s="325"/>
      <c r="D6257" s="326"/>
      <c r="E6257" s="326"/>
      <c r="F6257" s="326"/>
      <c r="G6257" s="326"/>
      <c r="H6257" s="326"/>
      <c r="P6257" s="318"/>
      <c r="Q6257" s="318"/>
      <c r="R6257" s="318"/>
      <c r="S6257" s="318"/>
      <c r="T6257" s="318"/>
      <c r="U6257" s="318"/>
      <c r="V6257" s="318"/>
      <c r="W6257" s="318"/>
      <c r="X6257" s="318"/>
      <c r="Y6257" s="318"/>
      <c r="Z6257" s="318"/>
      <c r="AA6257" s="318"/>
      <c r="AB6257" s="318"/>
      <c r="AC6257" s="318"/>
      <c r="AD6257" s="318"/>
    </row>
    <row r="6258" spans="2:30" s="323" customFormat="1" ht="12" customHeight="1">
      <c r="B6258" s="324"/>
      <c r="C6258" s="325"/>
      <c r="D6258" s="326"/>
      <c r="E6258" s="326"/>
      <c r="F6258" s="326"/>
      <c r="G6258" s="326"/>
      <c r="H6258" s="326"/>
      <c r="P6258" s="318"/>
      <c r="Q6258" s="318"/>
      <c r="R6258" s="318"/>
      <c r="S6258" s="318"/>
      <c r="T6258" s="318"/>
      <c r="U6258" s="318"/>
      <c r="V6258" s="318"/>
      <c r="W6258" s="318"/>
      <c r="X6258" s="318"/>
      <c r="Y6258" s="318"/>
      <c r="Z6258" s="318"/>
      <c r="AA6258" s="318"/>
      <c r="AB6258" s="318"/>
      <c r="AC6258" s="318"/>
      <c r="AD6258" s="318"/>
    </row>
    <row r="6259" spans="2:30" s="323" customFormat="1" ht="12" customHeight="1">
      <c r="B6259" s="324"/>
      <c r="C6259" s="325"/>
      <c r="D6259" s="326"/>
      <c r="E6259" s="326"/>
      <c r="F6259" s="326"/>
      <c r="G6259" s="326"/>
      <c r="H6259" s="326"/>
      <c r="P6259" s="318"/>
      <c r="Q6259" s="318"/>
      <c r="R6259" s="318"/>
      <c r="S6259" s="318"/>
      <c r="T6259" s="318"/>
      <c r="U6259" s="318"/>
      <c r="V6259" s="318"/>
      <c r="W6259" s="318"/>
      <c r="X6259" s="318"/>
      <c r="Y6259" s="318"/>
      <c r="Z6259" s="318"/>
      <c r="AA6259" s="318"/>
      <c r="AB6259" s="318"/>
      <c r="AC6259" s="318"/>
      <c r="AD6259" s="318"/>
    </row>
    <row r="6260" spans="2:30" s="323" customFormat="1" ht="12" customHeight="1">
      <c r="B6260" s="324"/>
      <c r="C6260" s="325"/>
      <c r="D6260" s="326"/>
      <c r="E6260" s="326"/>
      <c r="F6260" s="326"/>
      <c r="G6260" s="326"/>
      <c r="H6260" s="326"/>
      <c r="P6260" s="318"/>
      <c r="Q6260" s="318"/>
      <c r="R6260" s="318"/>
      <c r="S6260" s="318"/>
      <c r="T6260" s="318"/>
      <c r="U6260" s="318"/>
      <c r="V6260" s="318"/>
      <c r="W6260" s="318"/>
      <c r="X6260" s="318"/>
      <c r="Y6260" s="318"/>
      <c r="Z6260" s="318"/>
      <c r="AA6260" s="318"/>
      <c r="AB6260" s="318"/>
      <c r="AC6260" s="318"/>
      <c r="AD6260" s="318"/>
    </row>
    <row r="6261" spans="2:30" s="323" customFormat="1" ht="12" customHeight="1">
      <c r="B6261" s="324"/>
      <c r="C6261" s="325"/>
      <c r="D6261" s="326"/>
      <c r="E6261" s="326"/>
      <c r="F6261" s="326"/>
      <c r="G6261" s="326"/>
      <c r="H6261" s="326"/>
      <c r="P6261" s="318"/>
      <c r="Q6261" s="318"/>
      <c r="R6261" s="318"/>
      <c r="S6261" s="318"/>
      <c r="T6261" s="318"/>
      <c r="U6261" s="318"/>
      <c r="V6261" s="318"/>
      <c r="W6261" s="318"/>
      <c r="X6261" s="318"/>
      <c r="Y6261" s="318"/>
      <c r="Z6261" s="318"/>
      <c r="AA6261" s="318"/>
      <c r="AB6261" s="318"/>
      <c r="AC6261" s="318"/>
      <c r="AD6261" s="318"/>
    </row>
    <row r="6262" spans="2:30" s="323" customFormat="1" ht="12" customHeight="1">
      <c r="B6262" s="324"/>
      <c r="C6262" s="325"/>
      <c r="D6262" s="326"/>
      <c r="E6262" s="326"/>
      <c r="F6262" s="326"/>
      <c r="G6262" s="326"/>
      <c r="H6262" s="326"/>
      <c r="P6262" s="318"/>
      <c r="Q6262" s="318"/>
      <c r="R6262" s="318"/>
      <c r="S6262" s="318"/>
      <c r="T6262" s="318"/>
      <c r="U6262" s="318"/>
      <c r="V6262" s="318"/>
      <c r="W6262" s="318"/>
      <c r="X6262" s="318"/>
      <c r="Y6262" s="318"/>
      <c r="Z6262" s="318"/>
      <c r="AA6262" s="318"/>
      <c r="AB6262" s="318"/>
      <c r="AC6262" s="318"/>
      <c r="AD6262" s="318"/>
    </row>
    <row r="6263" spans="2:30" s="323" customFormat="1" ht="12" customHeight="1">
      <c r="B6263" s="324"/>
      <c r="C6263" s="325"/>
      <c r="D6263" s="326"/>
      <c r="E6263" s="326"/>
      <c r="F6263" s="326"/>
      <c r="G6263" s="326"/>
      <c r="H6263" s="326"/>
      <c r="P6263" s="318"/>
      <c r="Q6263" s="318"/>
      <c r="R6263" s="318"/>
      <c r="S6263" s="318"/>
      <c r="T6263" s="318"/>
      <c r="U6263" s="318"/>
      <c r="V6263" s="318"/>
      <c r="W6263" s="318"/>
      <c r="X6263" s="318"/>
      <c r="Y6263" s="318"/>
      <c r="Z6263" s="318"/>
      <c r="AA6263" s="318"/>
      <c r="AB6263" s="318"/>
      <c r="AC6263" s="318"/>
      <c r="AD6263" s="318"/>
    </row>
    <row r="6264" spans="2:30" s="323" customFormat="1" ht="12" customHeight="1">
      <c r="B6264" s="324"/>
      <c r="C6264" s="325"/>
      <c r="D6264" s="326"/>
      <c r="E6264" s="326"/>
      <c r="F6264" s="326"/>
      <c r="G6264" s="326"/>
      <c r="H6264" s="326"/>
      <c r="P6264" s="318"/>
      <c r="Q6264" s="318"/>
      <c r="R6264" s="318"/>
      <c r="S6264" s="318"/>
      <c r="T6264" s="318"/>
      <c r="U6264" s="318"/>
      <c r="V6264" s="318"/>
      <c r="W6264" s="318"/>
      <c r="X6264" s="318"/>
      <c r="Y6264" s="318"/>
      <c r="Z6264" s="318"/>
      <c r="AA6264" s="318"/>
      <c r="AB6264" s="318"/>
      <c r="AC6264" s="318"/>
      <c r="AD6264" s="318"/>
    </row>
    <row r="6265" spans="2:30" s="323" customFormat="1" ht="12" customHeight="1">
      <c r="B6265" s="324"/>
      <c r="C6265" s="325"/>
      <c r="D6265" s="326"/>
      <c r="E6265" s="326"/>
      <c r="F6265" s="326"/>
      <c r="G6265" s="326"/>
      <c r="H6265" s="326"/>
      <c r="P6265" s="318"/>
      <c r="Q6265" s="318"/>
      <c r="R6265" s="318"/>
      <c r="S6265" s="318"/>
      <c r="T6265" s="318"/>
      <c r="U6265" s="318"/>
      <c r="V6265" s="318"/>
      <c r="W6265" s="318"/>
      <c r="X6265" s="318"/>
      <c r="Y6265" s="318"/>
      <c r="Z6265" s="318"/>
      <c r="AA6265" s="318"/>
      <c r="AB6265" s="318"/>
      <c r="AC6265" s="318"/>
      <c r="AD6265" s="318"/>
    </row>
    <row r="6266" spans="2:30" s="323" customFormat="1" ht="12" customHeight="1">
      <c r="B6266" s="324"/>
      <c r="C6266" s="325"/>
      <c r="D6266" s="326"/>
      <c r="E6266" s="326"/>
      <c r="F6266" s="326"/>
      <c r="G6266" s="326"/>
      <c r="H6266" s="326"/>
      <c r="P6266" s="318"/>
      <c r="Q6266" s="318"/>
      <c r="R6266" s="318"/>
      <c r="S6266" s="318"/>
      <c r="T6266" s="318"/>
      <c r="U6266" s="318"/>
      <c r="V6266" s="318"/>
      <c r="W6266" s="318"/>
      <c r="X6266" s="318"/>
      <c r="Y6266" s="318"/>
      <c r="Z6266" s="318"/>
      <c r="AA6266" s="318"/>
      <c r="AB6266" s="318"/>
      <c r="AC6266" s="318"/>
      <c r="AD6266" s="318"/>
    </row>
    <row r="6267" spans="2:30" s="323" customFormat="1" ht="12" customHeight="1">
      <c r="B6267" s="324"/>
      <c r="C6267" s="325"/>
      <c r="D6267" s="326"/>
      <c r="E6267" s="326"/>
      <c r="F6267" s="326"/>
      <c r="G6267" s="326"/>
      <c r="H6267" s="326"/>
      <c r="P6267" s="318"/>
      <c r="Q6267" s="318"/>
      <c r="R6267" s="318"/>
      <c r="S6267" s="318"/>
      <c r="T6267" s="318"/>
      <c r="U6267" s="318"/>
      <c r="V6267" s="318"/>
      <c r="W6267" s="318"/>
      <c r="X6267" s="318"/>
      <c r="Y6267" s="318"/>
      <c r="Z6267" s="318"/>
      <c r="AA6267" s="318"/>
      <c r="AB6267" s="318"/>
      <c r="AC6267" s="318"/>
      <c r="AD6267" s="318"/>
    </row>
    <row r="6268" spans="2:30" s="323" customFormat="1" ht="12" customHeight="1">
      <c r="B6268" s="324"/>
      <c r="C6268" s="325"/>
      <c r="D6268" s="326"/>
      <c r="E6268" s="326"/>
      <c r="F6268" s="326"/>
      <c r="G6268" s="326"/>
      <c r="H6268" s="326"/>
      <c r="P6268" s="318"/>
      <c r="Q6268" s="318"/>
      <c r="R6268" s="318"/>
      <c r="S6268" s="318"/>
      <c r="T6268" s="318"/>
      <c r="U6268" s="318"/>
      <c r="V6268" s="318"/>
      <c r="W6268" s="318"/>
      <c r="X6268" s="318"/>
      <c r="Y6268" s="318"/>
      <c r="Z6268" s="318"/>
      <c r="AA6268" s="318"/>
      <c r="AB6268" s="318"/>
      <c r="AC6268" s="318"/>
      <c r="AD6268" s="318"/>
    </row>
    <row r="6269" spans="2:30" s="323" customFormat="1" ht="12" customHeight="1">
      <c r="B6269" s="324"/>
      <c r="C6269" s="325"/>
      <c r="D6269" s="326"/>
      <c r="E6269" s="326"/>
      <c r="F6269" s="326"/>
      <c r="G6269" s="326"/>
      <c r="H6269" s="326"/>
      <c r="P6269" s="318"/>
      <c r="Q6269" s="318"/>
      <c r="R6269" s="318"/>
      <c r="S6269" s="318"/>
      <c r="T6269" s="318"/>
      <c r="U6269" s="318"/>
      <c r="V6269" s="318"/>
      <c r="W6269" s="318"/>
      <c r="X6269" s="318"/>
      <c r="Y6269" s="318"/>
      <c r="Z6269" s="318"/>
      <c r="AA6269" s="318"/>
      <c r="AB6269" s="318"/>
      <c r="AC6269" s="318"/>
      <c r="AD6269" s="318"/>
    </row>
    <row r="6270" spans="2:30" s="323" customFormat="1" ht="12" customHeight="1">
      <c r="B6270" s="324"/>
      <c r="C6270" s="325"/>
      <c r="D6270" s="326"/>
      <c r="E6270" s="326"/>
      <c r="F6270" s="326"/>
      <c r="G6270" s="326"/>
      <c r="H6270" s="326"/>
      <c r="P6270" s="318"/>
      <c r="Q6270" s="318"/>
      <c r="R6270" s="318"/>
      <c r="S6270" s="318"/>
      <c r="T6270" s="318"/>
      <c r="U6270" s="318"/>
      <c r="V6270" s="318"/>
      <c r="W6270" s="318"/>
      <c r="X6270" s="318"/>
      <c r="Y6270" s="318"/>
      <c r="Z6270" s="318"/>
      <c r="AA6270" s="318"/>
      <c r="AB6270" s="318"/>
      <c r="AC6270" s="318"/>
      <c r="AD6270" s="318"/>
    </row>
    <row r="6271" spans="2:30" s="323" customFormat="1" ht="12" customHeight="1">
      <c r="B6271" s="324"/>
      <c r="C6271" s="325"/>
      <c r="D6271" s="326"/>
      <c r="E6271" s="326"/>
      <c r="F6271" s="326"/>
      <c r="G6271" s="326"/>
      <c r="H6271" s="326"/>
      <c r="P6271" s="318"/>
      <c r="Q6271" s="318"/>
      <c r="R6271" s="318"/>
      <c r="S6271" s="318"/>
      <c r="T6271" s="318"/>
      <c r="U6271" s="318"/>
      <c r="V6271" s="318"/>
      <c r="W6271" s="318"/>
      <c r="X6271" s="318"/>
      <c r="Y6271" s="318"/>
      <c r="Z6271" s="318"/>
      <c r="AA6271" s="318"/>
      <c r="AB6271" s="318"/>
      <c r="AC6271" s="318"/>
      <c r="AD6271" s="318"/>
    </row>
    <row r="6272" spans="2:30" s="323" customFormat="1" ht="12" customHeight="1">
      <c r="B6272" s="324"/>
      <c r="C6272" s="325"/>
      <c r="D6272" s="326"/>
      <c r="E6272" s="326"/>
      <c r="F6272" s="326"/>
      <c r="G6272" s="326"/>
      <c r="H6272" s="326"/>
      <c r="P6272" s="318"/>
      <c r="Q6272" s="318"/>
      <c r="R6272" s="318"/>
      <c r="S6272" s="318"/>
      <c r="T6272" s="318"/>
      <c r="U6272" s="318"/>
      <c r="V6272" s="318"/>
      <c r="W6272" s="318"/>
      <c r="X6272" s="318"/>
      <c r="Y6272" s="318"/>
      <c r="Z6272" s="318"/>
      <c r="AA6272" s="318"/>
      <c r="AB6272" s="318"/>
      <c r="AC6272" s="318"/>
      <c r="AD6272" s="318"/>
    </row>
    <row r="6273" spans="2:30" s="323" customFormat="1" ht="12" customHeight="1">
      <c r="B6273" s="324"/>
      <c r="C6273" s="325"/>
      <c r="D6273" s="326"/>
      <c r="E6273" s="326"/>
      <c r="F6273" s="326"/>
      <c r="G6273" s="326"/>
      <c r="H6273" s="326"/>
      <c r="P6273" s="318"/>
      <c r="Q6273" s="318"/>
      <c r="R6273" s="318"/>
      <c r="S6273" s="318"/>
      <c r="T6273" s="318"/>
      <c r="U6273" s="318"/>
      <c r="V6273" s="318"/>
      <c r="W6273" s="318"/>
      <c r="X6273" s="318"/>
      <c r="Y6273" s="318"/>
      <c r="Z6273" s="318"/>
      <c r="AA6273" s="318"/>
      <c r="AB6273" s="318"/>
      <c r="AC6273" s="318"/>
      <c r="AD6273" s="318"/>
    </row>
    <row r="6274" spans="2:30" s="323" customFormat="1" ht="12" customHeight="1">
      <c r="B6274" s="324"/>
      <c r="C6274" s="325"/>
      <c r="D6274" s="326"/>
      <c r="E6274" s="326"/>
      <c r="F6274" s="326"/>
      <c r="G6274" s="326"/>
      <c r="H6274" s="326"/>
      <c r="P6274" s="318"/>
      <c r="Q6274" s="318"/>
      <c r="R6274" s="318"/>
      <c r="S6274" s="318"/>
      <c r="T6274" s="318"/>
      <c r="U6274" s="318"/>
      <c r="V6274" s="318"/>
      <c r="W6274" s="318"/>
      <c r="X6274" s="318"/>
      <c r="Y6274" s="318"/>
      <c r="Z6274" s="318"/>
      <c r="AA6274" s="318"/>
      <c r="AB6274" s="318"/>
      <c r="AC6274" s="318"/>
      <c r="AD6274" s="318"/>
    </row>
    <row r="6275" spans="2:30" s="323" customFormat="1" ht="12" customHeight="1">
      <c r="B6275" s="324"/>
      <c r="C6275" s="325"/>
      <c r="D6275" s="326"/>
      <c r="E6275" s="326"/>
      <c r="F6275" s="326"/>
      <c r="G6275" s="326"/>
      <c r="H6275" s="326"/>
      <c r="P6275" s="318"/>
      <c r="Q6275" s="318"/>
      <c r="R6275" s="318"/>
      <c r="S6275" s="318"/>
      <c r="T6275" s="318"/>
      <c r="U6275" s="318"/>
      <c r="V6275" s="318"/>
      <c r="W6275" s="318"/>
      <c r="X6275" s="318"/>
      <c r="Y6275" s="318"/>
      <c r="Z6275" s="318"/>
      <c r="AA6275" s="318"/>
      <c r="AB6275" s="318"/>
      <c r="AC6275" s="318"/>
      <c r="AD6275" s="318"/>
    </row>
    <row r="6276" spans="2:30" s="323" customFormat="1" ht="12" customHeight="1">
      <c r="B6276" s="324"/>
      <c r="C6276" s="325"/>
      <c r="D6276" s="326"/>
      <c r="E6276" s="326"/>
      <c r="F6276" s="326"/>
      <c r="G6276" s="326"/>
      <c r="H6276" s="326"/>
      <c r="P6276" s="318"/>
      <c r="Q6276" s="318"/>
      <c r="R6276" s="318"/>
      <c r="S6276" s="318"/>
      <c r="T6276" s="318"/>
      <c r="U6276" s="318"/>
      <c r="V6276" s="318"/>
      <c r="W6276" s="318"/>
      <c r="X6276" s="318"/>
      <c r="Y6276" s="318"/>
      <c r="Z6276" s="318"/>
      <c r="AA6276" s="318"/>
      <c r="AB6276" s="318"/>
      <c r="AC6276" s="318"/>
      <c r="AD6276" s="318"/>
    </row>
    <row r="6277" spans="2:30" s="323" customFormat="1" ht="12" customHeight="1">
      <c r="B6277" s="324"/>
      <c r="C6277" s="325"/>
      <c r="D6277" s="326"/>
      <c r="E6277" s="326"/>
      <c r="F6277" s="326"/>
      <c r="G6277" s="326"/>
      <c r="H6277" s="326"/>
      <c r="P6277" s="318"/>
      <c r="Q6277" s="318"/>
      <c r="R6277" s="318"/>
      <c r="S6277" s="318"/>
      <c r="T6277" s="318"/>
      <c r="U6277" s="318"/>
      <c r="V6277" s="318"/>
      <c r="W6277" s="318"/>
      <c r="X6277" s="318"/>
      <c r="Y6277" s="318"/>
      <c r="Z6277" s="318"/>
      <c r="AA6277" s="318"/>
      <c r="AB6277" s="318"/>
      <c r="AC6277" s="318"/>
      <c r="AD6277" s="318"/>
    </row>
    <row r="6278" spans="2:30" s="323" customFormat="1" ht="12" customHeight="1">
      <c r="B6278" s="324"/>
      <c r="C6278" s="325"/>
      <c r="D6278" s="326"/>
      <c r="E6278" s="326"/>
      <c r="F6278" s="326"/>
      <c r="G6278" s="326"/>
      <c r="H6278" s="326"/>
      <c r="P6278" s="318"/>
      <c r="Q6278" s="318"/>
      <c r="R6278" s="318"/>
      <c r="S6278" s="318"/>
      <c r="T6278" s="318"/>
      <c r="U6278" s="318"/>
      <c r="V6278" s="318"/>
      <c r="W6278" s="318"/>
      <c r="X6278" s="318"/>
      <c r="Y6278" s="318"/>
      <c r="Z6278" s="318"/>
      <c r="AA6278" s="318"/>
      <c r="AB6278" s="318"/>
      <c r="AC6278" s="318"/>
      <c r="AD6278" s="318"/>
    </row>
    <row r="6279" spans="2:30" s="323" customFormat="1" ht="12" customHeight="1">
      <c r="B6279" s="324"/>
      <c r="C6279" s="325"/>
      <c r="D6279" s="326"/>
      <c r="E6279" s="326"/>
      <c r="F6279" s="326"/>
      <c r="G6279" s="326"/>
      <c r="H6279" s="326"/>
      <c r="P6279" s="318"/>
      <c r="Q6279" s="318"/>
      <c r="R6279" s="318"/>
      <c r="S6279" s="318"/>
      <c r="T6279" s="318"/>
      <c r="U6279" s="318"/>
      <c r="V6279" s="318"/>
      <c r="W6279" s="318"/>
      <c r="X6279" s="318"/>
      <c r="Y6279" s="318"/>
      <c r="Z6279" s="318"/>
      <c r="AA6279" s="318"/>
      <c r="AB6279" s="318"/>
      <c r="AC6279" s="318"/>
      <c r="AD6279" s="318"/>
    </row>
    <row r="6280" spans="2:30" s="323" customFormat="1" ht="12" customHeight="1">
      <c r="B6280" s="324"/>
      <c r="C6280" s="325"/>
      <c r="D6280" s="326"/>
      <c r="E6280" s="326"/>
      <c r="F6280" s="326"/>
      <c r="G6280" s="326"/>
      <c r="H6280" s="326"/>
      <c r="P6280" s="318"/>
      <c r="Q6280" s="318"/>
      <c r="R6280" s="318"/>
      <c r="S6280" s="318"/>
      <c r="T6280" s="318"/>
      <c r="U6280" s="318"/>
      <c r="V6280" s="318"/>
      <c r="W6280" s="318"/>
      <c r="X6280" s="318"/>
      <c r="Y6280" s="318"/>
      <c r="Z6280" s="318"/>
      <c r="AA6280" s="318"/>
      <c r="AB6280" s="318"/>
      <c r="AC6280" s="318"/>
      <c r="AD6280" s="318"/>
    </row>
    <row r="6281" spans="2:30" s="323" customFormat="1" ht="12" customHeight="1">
      <c r="B6281" s="324"/>
      <c r="C6281" s="325"/>
      <c r="D6281" s="326"/>
      <c r="E6281" s="326"/>
      <c r="F6281" s="326"/>
      <c r="G6281" s="326"/>
      <c r="H6281" s="326"/>
      <c r="P6281" s="318"/>
      <c r="Q6281" s="318"/>
      <c r="R6281" s="318"/>
      <c r="S6281" s="318"/>
      <c r="T6281" s="318"/>
      <c r="U6281" s="318"/>
      <c r="V6281" s="318"/>
      <c r="W6281" s="318"/>
      <c r="X6281" s="318"/>
      <c r="Y6281" s="318"/>
      <c r="Z6281" s="318"/>
      <c r="AA6281" s="318"/>
      <c r="AB6281" s="318"/>
      <c r="AC6281" s="318"/>
      <c r="AD6281" s="318"/>
    </row>
    <row r="6282" spans="2:30" s="323" customFormat="1" ht="12" customHeight="1">
      <c r="B6282" s="324"/>
      <c r="C6282" s="325"/>
      <c r="D6282" s="326"/>
      <c r="E6282" s="326"/>
      <c r="F6282" s="326"/>
      <c r="G6282" s="326"/>
      <c r="H6282" s="326"/>
      <c r="P6282" s="318"/>
      <c r="Q6282" s="318"/>
      <c r="R6282" s="318"/>
      <c r="S6282" s="318"/>
      <c r="T6282" s="318"/>
      <c r="U6282" s="318"/>
      <c r="V6282" s="318"/>
      <c r="W6282" s="318"/>
      <c r="X6282" s="318"/>
      <c r="Y6282" s="318"/>
      <c r="Z6282" s="318"/>
      <c r="AA6282" s="318"/>
      <c r="AB6282" s="318"/>
      <c r="AC6282" s="318"/>
      <c r="AD6282" s="318"/>
    </row>
    <row r="6283" spans="2:30" s="323" customFormat="1" ht="12" customHeight="1">
      <c r="B6283" s="324"/>
      <c r="C6283" s="325"/>
      <c r="D6283" s="326"/>
      <c r="E6283" s="326"/>
      <c r="F6283" s="326"/>
      <c r="G6283" s="326"/>
      <c r="H6283" s="326"/>
      <c r="P6283" s="318"/>
      <c r="Q6283" s="318"/>
      <c r="R6283" s="318"/>
      <c r="S6283" s="318"/>
      <c r="T6283" s="318"/>
      <c r="U6283" s="318"/>
      <c r="V6283" s="318"/>
      <c r="W6283" s="318"/>
      <c r="X6283" s="318"/>
      <c r="Y6283" s="318"/>
      <c r="Z6283" s="318"/>
      <c r="AA6283" s="318"/>
      <c r="AB6283" s="318"/>
      <c r="AC6283" s="318"/>
      <c r="AD6283" s="318"/>
    </row>
    <row r="6284" spans="2:30" s="323" customFormat="1" ht="12" customHeight="1">
      <c r="B6284" s="324"/>
      <c r="C6284" s="325"/>
      <c r="D6284" s="326"/>
      <c r="E6284" s="326"/>
      <c r="F6284" s="326"/>
      <c r="G6284" s="326"/>
      <c r="H6284" s="326"/>
      <c r="P6284" s="318"/>
      <c r="Q6284" s="318"/>
      <c r="R6284" s="318"/>
      <c r="S6284" s="318"/>
      <c r="T6284" s="318"/>
      <c r="U6284" s="318"/>
      <c r="V6284" s="318"/>
      <c r="W6284" s="318"/>
      <c r="X6284" s="318"/>
      <c r="Y6284" s="318"/>
      <c r="Z6284" s="318"/>
      <c r="AA6284" s="318"/>
      <c r="AB6284" s="318"/>
      <c r="AC6284" s="318"/>
      <c r="AD6284" s="318"/>
    </row>
    <row r="6285" spans="2:30" s="323" customFormat="1" ht="12" customHeight="1">
      <c r="B6285" s="324"/>
      <c r="C6285" s="325"/>
      <c r="D6285" s="326"/>
      <c r="E6285" s="326"/>
      <c r="F6285" s="326"/>
      <c r="G6285" s="326"/>
      <c r="H6285" s="326"/>
      <c r="P6285" s="318"/>
      <c r="Q6285" s="318"/>
      <c r="R6285" s="318"/>
      <c r="S6285" s="318"/>
      <c r="T6285" s="318"/>
      <c r="U6285" s="318"/>
      <c r="V6285" s="318"/>
      <c r="W6285" s="318"/>
      <c r="X6285" s="318"/>
      <c r="Y6285" s="318"/>
      <c r="Z6285" s="318"/>
      <c r="AA6285" s="318"/>
      <c r="AB6285" s="318"/>
      <c r="AC6285" s="318"/>
      <c r="AD6285" s="318"/>
    </row>
    <row r="6286" spans="2:30" s="323" customFormat="1" ht="12" customHeight="1">
      <c r="B6286" s="324"/>
      <c r="C6286" s="325"/>
      <c r="D6286" s="326"/>
      <c r="E6286" s="326"/>
      <c r="F6286" s="326"/>
      <c r="G6286" s="326"/>
      <c r="H6286" s="326"/>
      <c r="P6286" s="318"/>
      <c r="Q6286" s="318"/>
      <c r="R6286" s="318"/>
      <c r="S6286" s="318"/>
      <c r="T6286" s="318"/>
      <c r="U6286" s="318"/>
      <c r="V6286" s="318"/>
      <c r="W6286" s="318"/>
      <c r="X6286" s="318"/>
      <c r="Y6286" s="318"/>
      <c r="Z6286" s="318"/>
      <c r="AA6286" s="318"/>
      <c r="AB6286" s="318"/>
      <c r="AC6286" s="318"/>
      <c r="AD6286" s="318"/>
    </row>
    <row r="6287" spans="2:30" s="323" customFormat="1" ht="12" customHeight="1">
      <c r="B6287" s="324"/>
      <c r="C6287" s="325"/>
      <c r="D6287" s="326"/>
      <c r="E6287" s="326"/>
      <c r="F6287" s="326"/>
      <c r="G6287" s="326"/>
      <c r="H6287" s="326"/>
      <c r="P6287" s="318"/>
      <c r="Q6287" s="318"/>
      <c r="R6287" s="318"/>
      <c r="S6287" s="318"/>
      <c r="T6287" s="318"/>
      <c r="U6287" s="318"/>
      <c r="V6287" s="318"/>
      <c r="W6287" s="318"/>
      <c r="X6287" s="318"/>
      <c r="Y6287" s="318"/>
      <c r="Z6287" s="318"/>
      <c r="AA6287" s="318"/>
      <c r="AB6287" s="318"/>
      <c r="AC6287" s="318"/>
      <c r="AD6287" s="318"/>
    </row>
    <row r="6288" spans="2:30" s="323" customFormat="1" ht="12" customHeight="1">
      <c r="B6288" s="324"/>
      <c r="C6288" s="325"/>
      <c r="D6288" s="326"/>
      <c r="E6288" s="326"/>
      <c r="F6288" s="326"/>
      <c r="G6288" s="326"/>
      <c r="H6288" s="326"/>
      <c r="P6288" s="318"/>
      <c r="Q6288" s="318"/>
      <c r="R6288" s="318"/>
      <c r="S6288" s="318"/>
      <c r="T6288" s="318"/>
      <c r="U6288" s="318"/>
      <c r="V6288" s="318"/>
      <c r="W6288" s="318"/>
      <c r="X6288" s="318"/>
      <c r="Y6288" s="318"/>
      <c r="Z6288" s="318"/>
      <c r="AA6288" s="318"/>
      <c r="AB6288" s="318"/>
      <c r="AC6288" s="318"/>
      <c r="AD6288" s="318"/>
    </row>
    <row r="6289" spans="2:30" s="323" customFormat="1" ht="12" customHeight="1">
      <c r="B6289" s="324"/>
      <c r="C6289" s="325"/>
      <c r="D6289" s="326"/>
      <c r="E6289" s="326"/>
      <c r="F6289" s="326"/>
      <c r="G6289" s="326"/>
      <c r="H6289" s="326"/>
      <c r="P6289" s="318"/>
      <c r="Q6289" s="318"/>
      <c r="R6289" s="318"/>
      <c r="S6289" s="318"/>
      <c r="T6289" s="318"/>
      <c r="U6289" s="318"/>
      <c r="V6289" s="318"/>
      <c r="W6289" s="318"/>
      <c r="X6289" s="318"/>
      <c r="Y6289" s="318"/>
      <c r="Z6289" s="318"/>
      <c r="AA6289" s="318"/>
      <c r="AB6289" s="318"/>
      <c r="AC6289" s="318"/>
      <c r="AD6289" s="318"/>
    </row>
    <row r="6290" spans="2:30" s="323" customFormat="1" ht="12" customHeight="1">
      <c r="B6290" s="324"/>
      <c r="C6290" s="325"/>
      <c r="D6290" s="326"/>
      <c r="E6290" s="326"/>
      <c r="F6290" s="326"/>
      <c r="G6290" s="326"/>
      <c r="H6290" s="326"/>
      <c r="P6290" s="318"/>
      <c r="Q6290" s="318"/>
      <c r="R6290" s="318"/>
      <c r="S6290" s="318"/>
      <c r="T6290" s="318"/>
      <c r="U6290" s="318"/>
      <c r="V6290" s="318"/>
      <c r="W6290" s="318"/>
      <c r="X6290" s="318"/>
      <c r="Y6290" s="318"/>
      <c r="Z6290" s="318"/>
      <c r="AA6290" s="318"/>
      <c r="AB6290" s="318"/>
      <c r="AC6290" s="318"/>
      <c r="AD6290" s="318"/>
    </row>
    <row r="6291" spans="2:30" s="323" customFormat="1" ht="12" customHeight="1">
      <c r="B6291" s="324"/>
      <c r="C6291" s="325"/>
      <c r="D6291" s="326"/>
      <c r="E6291" s="326"/>
      <c r="F6291" s="326"/>
      <c r="G6291" s="326"/>
      <c r="H6291" s="326"/>
      <c r="P6291" s="318"/>
      <c r="Q6291" s="318"/>
      <c r="R6291" s="318"/>
      <c r="S6291" s="318"/>
      <c r="T6291" s="318"/>
      <c r="U6291" s="318"/>
      <c r="V6291" s="318"/>
      <c r="W6291" s="318"/>
      <c r="X6291" s="318"/>
      <c r="Y6291" s="318"/>
      <c r="Z6291" s="318"/>
      <c r="AA6291" s="318"/>
      <c r="AB6291" s="318"/>
      <c r="AC6291" s="318"/>
      <c r="AD6291" s="318"/>
    </row>
    <row r="6292" spans="2:30" s="323" customFormat="1" ht="12" customHeight="1">
      <c r="B6292" s="324"/>
      <c r="C6292" s="325"/>
      <c r="D6292" s="326"/>
      <c r="E6292" s="326"/>
      <c r="F6292" s="326"/>
      <c r="G6292" s="326"/>
      <c r="H6292" s="326"/>
      <c r="P6292" s="318"/>
      <c r="Q6292" s="318"/>
      <c r="R6292" s="318"/>
      <c r="S6292" s="318"/>
      <c r="T6292" s="318"/>
      <c r="U6292" s="318"/>
      <c r="V6292" s="318"/>
      <c r="W6292" s="318"/>
      <c r="X6292" s="318"/>
      <c r="Y6292" s="318"/>
      <c r="Z6292" s="318"/>
      <c r="AA6292" s="318"/>
      <c r="AB6292" s="318"/>
      <c r="AC6292" s="318"/>
      <c r="AD6292" s="318"/>
    </row>
    <row r="6293" spans="2:30" s="323" customFormat="1" ht="12" customHeight="1">
      <c r="B6293" s="324"/>
      <c r="C6293" s="325"/>
      <c r="D6293" s="326"/>
      <c r="E6293" s="326"/>
      <c r="F6293" s="326"/>
      <c r="G6293" s="326"/>
      <c r="H6293" s="326"/>
      <c r="P6293" s="318"/>
      <c r="Q6293" s="318"/>
      <c r="R6293" s="318"/>
      <c r="S6293" s="318"/>
      <c r="T6293" s="318"/>
      <c r="U6293" s="318"/>
      <c r="V6293" s="318"/>
      <c r="W6293" s="318"/>
      <c r="X6293" s="318"/>
      <c r="Y6293" s="318"/>
      <c r="Z6293" s="318"/>
      <c r="AA6293" s="318"/>
      <c r="AB6293" s="318"/>
      <c r="AC6293" s="318"/>
      <c r="AD6293" s="318"/>
    </row>
    <row r="6294" spans="2:30" s="323" customFormat="1" ht="12" customHeight="1">
      <c r="B6294" s="324"/>
      <c r="C6294" s="325"/>
      <c r="D6294" s="326"/>
      <c r="E6294" s="326"/>
      <c r="F6294" s="326"/>
      <c r="G6294" s="326"/>
      <c r="H6294" s="326"/>
      <c r="P6294" s="318"/>
      <c r="Q6294" s="318"/>
      <c r="R6294" s="318"/>
      <c r="S6294" s="318"/>
      <c r="T6294" s="318"/>
      <c r="U6294" s="318"/>
      <c r="V6294" s="318"/>
      <c r="W6294" s="318"/>
      <c r="X6294" s="318"/>
      <c r="Y6294" s="318"/>
      <c r="Z6294" s="318"/>
      <c r="AA6294" s="318"/>
      <c r="AB6294" s="318"/>
      <c r="AC6294" s="318"/>
      <c r="AD6294" s="318"/>
    </row>
    <row r="6295" spans="2:30" s="323" customFormat="1" ht="12" customHeight="1">
      <c r="B6295" s="324"/>
      <c r="C6295" s="325"/>
      <c r="D6295" s="326"/>
      <c r="E6295" s="326"/>
      <c r="F6295" s="326"/>
      <c r="G6295" s="326"/>
      <c r="H6295" s="326"/>
      <c r="P6295" s="318"/>
      <c r="Q6295" s="318"/>
      <c r="R6295" s="318"/>
      <c r="S6295" s="318"/>
      <c r="T6295" s="318"/>
      <c r="U6295" s="318"/>
      <c r="V6295" s="318"/>
      <c r="W6295" s="318"/>
      <c r="X6295" s="318"/>
      <c r="Y6295" s="318"/>
      <c r="Z6295" s="318"/>
      <c r="AA6295" s="318"/>
      <c r="AB6295" s="318"/>
      <c r="AC6295" s="318"/>
      <c r="AD6295" s="318"/>
    </row>
    <row r="6296" spans="2:30" s="323" customFormat="1" ht="12" customHeight="1">
      <c r="B6296" s="324"/>
      <c r="C6296" s="325"/>
      <c r="D6296" s="326"/>
      <c r="E6296" s="326"/>
      <c r="F6296" s="326"/>
      <c r="G6296" s="326"/>
      <c r="H6296" s="326"/>
      <c r="P6296" s="318"/>
      <c r="Q6296" s="318"/>
      <c r="R6296" s="318"/>
      <c r="S6296" s="318"/>
      <c r="T6296" s="318"/>
      <c r="U6296" s="318"/>
      <c r="V6296" s="318"/>
      <c r="W6296" s="318"/>
      <c r="X6296" s="318"/>
      <c r="Y6296" s="318"/>
      <c r="Z6296" s="318"/>
      <c r="AA6296" s="318"/>
      <c r="AB6296" s="318"/>
      <c r="AC6296" s="318"/>
      <c r="AD6296" s="318"/>
    </row>
    <row r="6297" spans="2:30" s="323" customFormat="1" ht="12" customHeight="1">
      <c r="B6297" s="324"/>
      <c r="C6297" s="325"/>
      <c r="D6297" s="326"/>
      <c r="E6297" s="326"/>
      <c r="F6297" s="326"/>
      <c r="G6297" s="326"/>
      <c r="H6297" s="326"/>
      <c r="P6297" s="318"/>
      <c r="Q6297" s="318"/>
      <c r="R6297" s="318"/>
      <c r="S6297" s="318"/>
      <c r="T6297" s="318"/>
      <c r="U6297" s="318"/>
      <c r="V6297" s="318"/>
      <c r="W6297" s="318"/>
      <c r="X6297" s="318"/>
      <c r="Y6297" s="318"/>
      <c r="Z6297" s="318"/>
      <c r="AA6297" s="318"/>
      <c r="AB6297" s="318"/>
      <c r="AC6297" s="318"/>
      <c r="AD6297" s="318"/>
    </row>
    <row r="6298" spans="2:30" s="323" customFormat="1" ht="12" customHeight="1">
      <c r="B6298" s="324"/>
      <c r="C6298" s="325"/>
      <c r="D6298" s="326"/>
      <c r="E6298" s="326"/>
      <c r="F6298" s="326"/>
      <c r="G6298" s="326"/>
      <c r="H6298" s="326"/>
      <c r="P6298" s="318"/>
      <c r="Q6298" s="318"/>
      <c r="R6298" s="318"/>
      <c r="S6298" s="318"/>
      <c r="T6298" s="318"/>
      <c r="U6298" s="318"/>
      <c r="V6298" s="318"/>
      <c r="W6298" s="318"/>
      <c r="X6298" s="318"/>
      <c r="Y6298" s="318"/>
      <c r="Z6298" s="318"/>
      <c r="AA6298" s="318"/>
      <c r="AB6298" s="318"/>
      <c r="AC6298" s="318"/>
      <c r="AD6298" s="318"/>
    </row>
    <row r="6299" spans="2:30" s="323" customFormat="1" ht="12" customHeight="1">
      <c r="B6299" s="324"/>
      <c r="C6299" s="325"/>
      <c r="D6299" s="326"/>
      <c r="E6299" s="326"/>
      <c r="F6299" s="326"/>
      <c r="G6299" s="326"/>
      <c r="H6299" s="326"/>
      <c r="P6299" s="318"/>
      <c r="Q6299" s="318"/>
      <c r="R6299" s="318"/>
      <c r="S6299" s="318"/>
      <c r="T6299" s="318"/>
      <c r="U6299" s="318"/>
      <c r="V6299" s="318"/>
      <c r="W6299" s="318"/>
      <c r="X6299" s="318"/>
      <c r="Y6299" s="318"/>
      <c r="Z6299" s="318"/>
      <c r="AA6299" s="318"/>
      <c r="AB6299" s="318"/>
      <c r="AC6299" s="318"/>
      <c r="AD6299" s="318"/>
    </row>
    <row r="6300" spans="2:30" s="323" customFormat="1" ht="12" customHeight="1">
      <c r="B6300" s="324"/>
      <c r="C6300" s="325"/>
      <c r="D6300" s="326"/>
      <c r="E6300" s="326"/>
      <c r="F6300" s="326"/>
      <c r="G6300" s="326"/>
      <c r="H6300" s="326"/>
      <c r="P6300" s="318"/>
      <c r="Q6300" s="318"/>
      <c r="R6300" s="318"/>
      <c r="S6300" s="318"/>
      <c r="T6300" s="318"/>
      <c r="U6300" s="318"/>
      <c r="V6300" s="318"/>
      <c r="W6300" s="318"/>
      <c r="X6300" s="318"/>
      <c r="Y6300" s="318"/>
      <c r="Z6300" s="318"/>
      <c r="AA6300" s="318"/>
      <c r="AB6300" s="318"/>
      <c r="AC6300" s="318"/>
      <c r="AD6300" s="318"/>
    </row>
    <row r="6301" spans="2:30" s="323" customFormat="1" ht="12" customHeight="1">
      <c r="B6301" s="324"/>
      <c r="C6301" s="325"/>
      <c r="D6301" s="326"/>
      <c r="E6301" s="326"/>
      <c r="F6301" s="326"/>
      <c r="G6301" s="326"/>
      <c r="H6301" s="326"/>
      <c r="P6301" s="318"/>
      <c r="Q6301" s="318"/>
      <c r="R6301" s="318"/>
      <c r="S6301" s="318"/>
      <c r="T6301" s="318"/>
      <c r="U6301" s="318"/>
      <c r="V6301" s="318"/>
      <c r="W6301" s="318"/>
      <c r="X6301" s="318"/>
      <c r="Y6301" s="318"/>
      <c r="Z6301" s="318"/>
      <c r="AA6301" s="318"/>
      <c r="AB6301" s="318"/>
      <c r="AC6301" s="318"/>
      <c r="AD6301" s="318"/>
    </row>
    <row r="6302" spans="2:30" s="323" customFormat="1" ht="12" customHeight="1">
      <c r="B6302" s="324"/>
      <c r="C6302" s="325"/>
      <c r="D6302" s="326"/>
      <c r="E6302" s="326"/>
      <c r="F6302" s="326"/>
      <c r="G6302" s="326"/>
      <c r="H6302" s="326"/>
      <c r="P6302" s="318"/>
      <c r="Q6302" s="318"/>
      <c r="R6302" s="318"/>
      <c r="S6302" s="318"/>
      <c r="T6302" s="318"/>
      <c r="U6302" s="318"/>
      <c r="V6302" s="318"/>
      <c r="W6302" s="318"/>
      <c r="X6302" s="318"/>
      <c r="Y6302" s="318"/>
      <c r="Z6302" s="318"/>
      <c r="AA6302" s="318"/>
      <c r="AB6302" s="318"/>
      <c r="AC6302" s="318"/>
      <c r="AD6302" s="318"/>
    </row>
    <row r="6303" spans="2:30" s="323" customFormat="1" ht="12" customHeight="1">
      <c r="B6303" s="324"/>
      <c r="C6303" s="325"/>
      <c r="D6303" s="326"/>
      <c r="E6303" s="326"/>
      <c r="F6303" s="326"/>
      <c r="G6303" s="326"/>
      <c r="H6303" s="326"/>
      <c r="P6303" s="318"/>
      <c r="Q6303" s="318"/>
      <c r="R6303" s="318"/>
      <c r="S6303" s="318"/>
      <c r="T6303" s="318"/>
      <c r="U6303" s="318"/>
      <c r="V6303" s="318"/>
      <c r="W6303" s="318"/>
      <c r="X6303" s="318"/>
      <c r="Y6303" s="318"/>
      <c r="Z6303" s="318"/>
      <c r="AA6303" s="318"/>
      <c r="AB6303" s="318"/>
      <c r="AC6303" s="318"/>
      <c r="AD6303" s="318"/>
    </row>
    <row r="6304" spans="2:30" s="323" customFormat="1" ht="12" customHeight="1">
      <c r="B6304" s="324"/>
      <c r="C6304" s="325"/>
      <c r="D6304" s="326"/>
      <c r="E6304" s="326"/>
      <c r="F6304" s="326"/>
      <c r="G6304" s="326"/>
      <c r="H6304" s="326"/>
      <c r="P6304" s="318"/>
      <c r="Q6304" s="318"/>
      <c r="R6304" s="318"/>
      <c r="S6304" s="318"/>
      <c r="T6304" s="318"/>
      <c r="U6304" s="318"/>
      <c r="V6304" s="318"/>
      <c r="W6304" s="318"/>
      <c r="X6304" s="318"/>
      <c r="Y6304" s="318"/>
      <c r="Z6304" s="318"/>
      <c r="AA6304" s="318"/>
      <c r="AB6304" s="318"/>
      <c r="AC6304" s="318"/>
      <c r="AD6304" s="318"/>
    </row>
    <row r="6305" spans="2:30" s="323" customFormat="1" ht="12" customHeight="1">
      <c r="B6305" s="324"/>
      <c r="C6305" s="325"/>
      <c r="D6305" s="326"/>
      <c r="E6305" s="326"/>
      <c r="F6305" s="326"/>
      <c r="G6305" s="326"/>
      <c r="H6305" s="326"/>
      <c r="P6305" s="318"/>
      <c r="Q6305" s="318"/>
      <c r="R6305" s="318"/>
      <c r="S6305" s="318"/>
      <c r="T6305" s="318"/>
      <c r="U6305" s="318"/>
      <c r="V6305" s="318"/>
      <c r="W6305" s="318"/>
      <c r="X6305" s="318"/>
      <c r="Y6305" s="318"/>
      <c r="Z6305" s="318"/>
      <c r="AA6305" s="318"/>
      <c r="AB6305" s="318"/>
      <c r="AC6305" s="318"/>
      <c r="AD6305" s="318"/>
    </row>
    <row r="6306" spans="2:30" s="323" customFormat="1" ht="12" customHeight="1">
      <c r="B6306" s="324"/>
      <c r="C6306" s="325"/>
      <c r="D6306" s="326"/>
      <c r="E6306" s="326"/>
      <c r="F6306" s="326"/>
      <c r="G6306" s="326"/>
      <c r="H6306" s="326"/>
      <c r="P6306" s="318"/>
      <c r="Q6306" s="318"/>
      <c r="R6306" s="318"/>
      <c r="S6306" s="318"/>
      <c r="T6306" s="318"/>
      <c r="U6306" s="318"/>
      <c r="V6306" s="318"/>
      <c r="W6306" s="318"/>
      <c r="X6306" s="318"/>
      <c r="Y6306" s="318"/>
      <c r="Z6306" s="318"/>
      <c r="AA6306" s="318"/>
      <c r="AB6306" s="318"/>
      <c r="AC6306" s="318"/>
      <c r="AD6306" s="318"/>
    </row>
    <row r="6307" spans="2:30" s="323" customFormat="1" ht="12" customHeight="1">
      <c r="B6307" s="324"/>
      <c r="C6307" s="325"/>
      <c r="D6307" s="326"/>
      <c r="E6307" s="326"/>
      <c r="F6307" s="326"/>
      <c r="G6307" s="326"/>
      <c r="H6307" s="326"/>
      <c r="P6307" s="318"/>
      <c r="Q6307" s="318"/>
      <c r="R6307" s="318"/>
      <c r="S6307" s="318"/>
      <c r="T6307" s="318"/>
      <c r="U6307" s="318"/>
      <c r="V6307" s="318"/>
      <c r="W6307" s="318"/>
      <c r="X6307" s="318"/>
      <c r="Y6307" s="318"/>
      <c r="Z6307" s="318"/>
      <c r="AA6307" s="318"/>
      <c r="AB6307" s="318"/>
      <c r="AC6307" s="318"/>
      <c r="AD6307" s="318"/>
    </row>
    <row r="6308" spans="2:30" s="323" customFormat="1" ht="12" customHeight="1">
      <c r="B6308" s="324"/>
      <c r="C6308" s="325"/>
      <c r="D6308" s="326"/>
      <c r="E6308" s="326"/>
      <c r="F6308" s="326"/>
      <c r="G6308" s="326"/>
      <c r="H6308" s="326"/>
      <c r="P6308" s="318"/>
      <c r="Q6308" s="318"/>
      <c r="R6308" s="318"/>
      <c r="S6308" s="318"/>
      <c r="T6308" s="318"/>
      <c r="U6308" s="318"/>
      <c r="V6308" s="318"/>
      <c r="W6308" s="318"/>
      <c r="X6308" s="318"/>
      <c r="Y6308" s="318"/>
      <c r="Z6308" s="318"/>
      <c r="AA6308" s="318"/>
      <c r="AB6308" s="318"/>
      <c r="AC6308" s="318"/>
      <c r="AD6308" s="318"/>
    </row>
    <row r="6309" spans="2:30" s="323" customFormat="1" ht="12" customHeight="1">
      <c r="B6309" s="324"/>
      <c r="C6309" s="325"/>
      <c r="D6309" s="326"/>
      <c r="E6309" s="326"/>
      <c r="F6309" s="326"/>
      <c r="G6309" s="326"/>
      <c r="H6309" s="326"/>
      <c r="P6309" s="318"/>
      <c r="Q6309" s="318"/>
      <c r="R6309" s="318"/>
      <c r="S6309" s="318"/>
      <c r="T6309" s="318"/>
      <c r="U6309" s="318"/>
      <c r="V6309" s="318"/>
      <c r="W6309" s="318"/>
      <c r="X6309" s="318"/>
      <c r="Y6309" s="318"/>
      <c r="Z6309" s="318"/>
      <c r="AA6309" s="318"/>
      <c r="AB6309" s="318"/>
      <c r="AC6309" s="318"/>
      <c r="AD6309" s="318"/>
    </row>
    <row r="6310" spans="2:30" s="323" customFormat="1" ht="12" customHeight="1">
      <c r="B6310" s="324"/>
      <c r="C6310" s="325"/>
      <c r="D6310" s="326"/>
      <c r="E6310" s="326"/>
      <c r="F6310" s="326"/>
      <c r="G6310" s="326"/>
      <c r="H6310" s="326"/>
      <c r="P6310" s="318"/>
      <c r="Q6310" s="318"/>
      <c r="R6310" s="318"/>
      <c r="S6310" s="318"/>
      <c r="T6310" s="318"/>
      <c r="U6310" s="318"/>
      <c r="V6310" s="318"/>
      <c r="W6310" s="318"/>
      <c r="X6310" s="318"/>
      <c r="Y6310" s="318"/>
      <c r="Z6310" s="318"/>
      <c r="AA6310" s="318"/>
      <c r="AB6310" s="318"/>
      <c r="AC6310" s="318"/>
      <c r="AD6310" s="318"/>
    </row>
    <row r="6311" spans="2:30" s="323" customFormat="1" ht="12" customHeight="1">
      <c r="B6311" s="324"/>
      <c r="C6311" s="325"/>
      <c r="D6311" s="326"/>
      <c r="E6311" s="326"/>
      <c r="F6311" s="326"/>
      <c r="G6311" s="326"/>
      <c r="H6311" s="326"/>
      <c r="P6311" s="318"/>
      <c r="Q6311" s="318"/>
      <c r="R6311" s="318"/>
      <c r="S6311" s="318"/>
      <c r="T6311" s="318"/>
      <c r="U6311" s="318"/>
      <c r="V6311" s="318"/>
      <c r="W6311" s="318"/>
      <c r="X6311" s="318"/>
      <c r="Y6311" s="318"/>
      <c r="Z6311" s="318"/>
      <c r="AA6311" s="318"/>
      <c r="AB6311" s="318"/>
      <c r="AC6311" s="318"/>
      <c r="AD6311" s="318"/>
    </row>
    <row r="6312" spans="2:30" s="323" customFormat="1" ht="12" customHeight="1">
      <c r="B6312" s="324"/>
      <c r="C6312" s="325"/>
      <c r="D6312" s="326"/>
      <c r="E6312" s="326"/>
      <c r="F6312" s="326"/>
      <c r="G6312" s="326"/>
      <c r="H6312" s="326"/>
      <c r="P6312" s="318"/>
      <c r="Q6312" s="318"/>
      <c r="R6312" s="318"/>
      <c r="S6312" s="318"/>
      <c r="T6312" s="318"/>
      <c r="U6312" s="318"/>
      <c r="V6312" s="318"/>
      <c r="W6312" s="318"/>
      <c r="X6312" s="318"/>
      <c r="Y6312" s="318"/>
      <c r="Z6312" s="318"/>
      <c r="AA6312" s="318"/>
      <c r="AB6312" s="318"/>
      <c r="AC6312" s="318"/>
      <c r="AD6312" s="318"/>
    </row>
    <row r="6313" spans="2:30" s="323" customFormat="1" ht="12" customHeight="1">
      <c r="B6313" s="324"/>
      <c r="C6313" s="325"/>
      <c r="D6313" s="326"/>
      <c r="E6313" s="326"/>
      <c r="F6313" s="326"/>
      <c r="G6313" s="326"/>
      <c r="H6313" s="326"/>
      <c r="P6313" s="318"/>
      <c r="Q6313" s="318"/>
      <c r="R6313" s="318"/>
      <c r="S6313" s="318"/>
      <c r="T6313" s="318"/>
      <c r="U6313" s="318"/>
      <c r="V6313" s="318"/>
      <c r="W6313" s="318"/>
      <c r="X6313" s="318"/>
      <c r="Y6313" s="318"/>
      <c r="Z6313" s="318"/>
      <c r="AA6313" s="318"/>
      <c r="AB6313" s="318"/>
      <c r="AC6313" s="318"/>
      <c r="AD6313" s="318"/>
    </row>
    <row r="6314" spans="2:30" s="323" customFormat="1" ht="12" customHeight="1">
      <c r="B6314" s="324"/>
      <c r="C6314" s="325"/>
      <c r="D6314" s="326"/>
      <c r="E6314" s="326"/>
      <c r="F6314" s="326"/>
      <c r="G6314" s="326"/>
      <c r="H6314" s="326"/>
      <c r="P6314" s="318"/>
      <c r="Q6314" s="318"/>
      <c r="R6314" s="318"/>
      <c r="S6314" s="318"/>
      <c r="T6314" s="318"/>
      <c r="U6314" s="318"/>
      <c r="V6314" s="318"/>
      <c r="W6314" s="318"/>
      <c r="X6314" s="318"/>
      <c r="Y6314" s="318"/>
      <c r="Z6314" s="318"/>
      <c r="AA6314" s="318"/>
      <c r="AB6314" s="318"/>
      <c r="AC6314" s="318"/>
      <c r="AD6314" s="318"/>
    </row>
    <row r="6315" spans="2:30" s="323" customFormat="1" ht="12" customHeight="1">
      <c r="B6315" s="324"/>
      <c r="C6315" s="325"/>
      <c r="D6315" s="326"/>
      <c r="E6315" s="326"/>
      <c r="F6315" s="326"/>
      <c r="G6315" s="326"/>
      <c r="H6315" s="326"/>
      <c r="P6315" s="318"/>
      <c r="Q6315" s="318"/>
      <c r="R6315" s="318"/>
      <c r="S6315" s="318"/>
      <c r="T6315" s="318"/>
      <c r="U6315" s="318"/>
      <c r="V6315" s="318"/>
      <c r="W6315" s="318"/>
      <c r="X6315" s="318"/>
      <c r="Y6315" s="318"/>
      <c r="Z6315" s="318"/>
      <c r="AA6315" s="318"/>
      <c r="AB6315" s="318"/>
      <c r="AC6315" s="318"/>
      <c r="AD6315" s="318"/>
    </row>
    <row r="6316" spans="2:30" s="323" customFormat="1" ht="12" customHeight="1">
      <c r="B6316" s="324"/>
      <c r="C6316" s="325"/>
      <c r="D6316" s="326"/>
      <c r="E6316" s="326"/>
      <c r="F6316" s="326"/>
      <c r="G6316" s="326"/>
      <c r="H6316" s="326"/>
      <c r="P6316" s="318"/>
      <c r="Q6316" s="318"/>
      <c r="R6316" s="318"/>
      <c r="S6316" s="318"/>
      <c r="T6316" s="318"/>
      <c r="U6316" s="318"/>
      <c r="V6316" s="318"/>
      <c r="W6316" s="318"/>
      <c r="X6316" s="318"/>
      <c r="Y6316" s="318"/>
      <c r="Z6316" s="318"/>
      <c r="AA6316" s="318"/>
      <c r="AB6316" s="318"/>
      <c r="AC6316" s="318"/>
      <c r="AD6316" s="318"/>
    </row>
    <row r="6317" spans="2:30" s="323" customFormat="1" ht="12" customHeight="1">
      <c r="B6317" s="324"/>
      <c r="C6317" s="325"/>
      <c r="D6317" s="326"/>
      <c r="E6317" s="326"/>
      <c r="F6317" s="326"/>
      <c r="G6317" s="326"/>
      <c r="H6317" s="326"/>
      <c r="P6317" s="318"/>
      <c r="Q6317" s="318"/>
      <c r="R6317" s="318"/>
      <c r="S6317" s="318"/>
      <c r="T6317" s="318"/>
      <c r="U6317" s="318"/>
      <c r="V6317" s="318"/>
      <c r="W6317" s="318"/>
      <c r="X6317" s="318"/>
      <c r="Y6317" s="318"/>
      <c r="Z6317" s="318"/>
      <c r="AA6317" s="318"/>
      <c r="AB6317" s="318"/>
      <c r="AC6317" s="318"/>
      <c r="AD6317" s="318"/>
    </row>
    <row r="6318" spans="2:30" s="323" customFormat="1" ht="12" customHeight="1">
      <c r="B6318" s="324"/>
      <c r="C6318" s="325"/>
      <c r="D6318" s="326"/>
      <c r="E6318" s="326"/>
      <c r="F6318" s="326"/>
      <c r="G6318" s="326"/>
      <c r="H6318" s="326"/>
      <c r="P6318" s="318"/>
      <c r="Q6318" s="318"/>
      <c r="R6318" s="318"/>
      <c r="S6318" s="318"/>
      <c r="T6318" s="318"/>
      <c r="U6318" s="318"/>
      <c r="V6318" s="318"/>
      <c r="W6318" s="318"/>
      <c r="X6318" s="318"/>
      <c r="Y6318" s="318"/>
      <c r="Z6318" s="318"/>
      <c r="AA6318" s="318"/>
      <c r="AB6318" s="318"/>
      <c r="AC6318" s="318"/>
      <c r="AD6318" s="318"/>
    </row>
    <row r="6319" spans="2:30" s="323" customFormat="1" ht="12" customHeight="1">
      <c r="B6319" s="324"/>
      <c r="C6319" s="325"/>
      <c r="D6319" s="326"/>
      <c r="E6319" s="326"/>
      <c r="F6319" s="326"/>
      <c r="G6319" s="326"/>
      <c r="H6319" s="326"/>
      <c r="P6319" s="318"/>
      <c r="Q6319" s="318"/>
      <c r="R6319" s="318"/>
      <c r="S6319" s="318"/>
      <c r="T6319" s="318"/>
      <c r="U6319" s="318"/>
      <c r="V6319" s="318"/>
      <c r="W6319" s="318"/>
      <c r="X6319" s="318"/>
      <c r="Y6319" s="318"/>
      <c r="Z6319" s="318"/>
      <c r="AA6319" s="318"/>
      <c r="AB6319" s="318"/>
      <c r="AC6319" s="318"/>
      <c r="AD6319" s="318"/>
    </row>
    <row r="6320" spans="2:30" s="323" customFormat="1" ht="12" customHeight="1">
      <c r="B6320" s="324"/>
      <c r="C6320" s="325"/>
      <c r="D6320" s="326"/>
      <c r="E6320" s="326"/>
      <c r="F6320" s="326"/>
      <c r="G6320" s="326"/>
      <c r="H6320" s="326"/>
      <c r="P6320" s="318"/>
      <c r="Q6320" s="318"/>
      <c r="R6320" s="318"/>
      <c r="S6320" s="318"/>
      <c r="T6320" s="318"/>
      <c r="U6320" s="318"/>
      <c r="V6320" s="318"/>
      <c r="W6320" s="318"/>
      <c r="X6320" s="318"/>
      <c r="Y6320" s="318"/>
      <c r="Z6320" s="318"/>
      <c r="AA6320" s="318"/>
      <c r="AB6320" s="318"/>
      <c r="AC6320" s="318"/>
      <c r="AD6320" s="318"/>
    </row>
    <row r="6321" spans="2:30" s="323" customFormat="1" ht="12" customHeight="1">
      <c r="B6321" s="324"/>
      <c r="C6321" s="325"/>
      <c r="D6321" s="326"/>
      <c r="E6321" s="326"/>
      <c r="F6321" s="326"/>
      <c r="G6321" s="326"/>
      <c r="H6321" s="326"/>
      <c r="P6321" s="318"/>
      <c r="Q6321" s="318"/>
      <c r="R6321" s="318"/>
      <c r="S6321" s="318"/>
      <c r="T6321" s="318"/>
      <c r="U6321" s="318"/>
      <c r="V6321" s="318"/>
      <c r="W6321" s="318"/>
      <c r="X6321" s="318"/>
      <c r="Y6321" s="318"/>
      <c r="Z6321" s="318"/>
      <c r="AA6321" s="318"/>
      <c r="AB6321" s="318"/>
      <c r="AC6321" s="318"/>
      <c r="AD6321" s="318"/>
    </row>
    <row r="6322" spans="2:30" s="323" customFormat="1" ht="12" customHeight="1">
      <c r="B6322" s="324"/>
      <c r="C6322" s="325"/>
      <c r="D6322" s="326"/>
      <c r="E6322" s="326"/>
      <c r="F6322" s="326"/>
      <c r="G6322" s="326"/>
      <c r="H6322" s="326"/>
      <c r="P6322" s="318"/>
      <c r="Q6322" s="318"/>
      <c r="R6322" s="318"/>
      <c r="S6322" s="318"/>
      <c r="T6322" s="318"/>
      <c r="U6322" s="318"/>
      <c r="V6322" s="318"/>
      <c r="W6322" s="318"/>
      <c r="X6322" s="318"/>
      <c r="Y6322" s="318"/>
      <c r="Z6322" s="318"/>
      <c r="AA6322" s="318"/>
      <c r="AB6322" s="318"/>
      <c r="AC6322" s="318"/>
      <c r="AD6322" s="318"/>
    </row>
    <row r="6323" spans="2:30" s="323" customFormat="1" ht="12" customHeight="1">
      <c r="B6323" s="324"/>
      <c r="C6323" s="325"/>
      <c r="D6323" s="326"/>
      <c r="E6323" s="326"/>
      <c r="F6323" s="326"/>
      <c r="G6323" s="326"/>
      <c r="H6323" s="326"/>
      <c r="P6323" s="318"/>
      <c r="Q6323" s="318"/>
      <c r="R6323" s="318"/>
      <c r="S6323" s="318"/>
      <c r="T6323" s="318"/>
      <c r="U6323" s="318"/>
      <c r="V6323" s="318"/>
      <c r="W6323" s="318"/>
      <c r="X6323" s="318"/>
      <c r="Y6323" s="318"/>
      <c r="Z6323" s="318"/>
      <c r="AA6323" s="318"/>
      <c r="AB6323" s="318"/>
      <c r="AC6323" s="318"/>
      <c r="AD6323" s="318"/>
    </row>
    <row r="6324" spans="2:30" s="323" customFormat="1" ht="12" customHeight="1">
      <c r="B6324" s="324"/>
      <c r="C6324" s="325"/>
      <c r="D6324" s="326"/>
      <c r="E6324" s="326"/>
      <c r="F6324" s="326"/>
      <c r="G6324" s="326"/>
      <c r="H6324" s="326"/>
      <c r="P6324" s="318"/>
      <c r="Q6324" s="318"/>
      <c r="R6324" s="318"/>
      <c r="S6324" s="318"/>
      <c r="T6324" s="318"/>
      <c r="U6324" s="318"/>
      <c r="V6324" s="318"/>
      <c r="W6324" s="318"/>
      <c r="X6324" s="318"/>
      <c r="Y6324" s="318"/>
      <c r="Z6324" s="318"/>
      <c r="AA6324" s="318"/>
      <c r="AB6324" s="318"/>
      <c r="AC6324" s="318"/>
      <c r="AD6324" s="318"/>
    </row>
    <row r="6325" spans="2:30" s="323" customFormat="1" ht="12" customHeight="1">
      <c r="B6325" s="324"/>
      <c r="C6325" s="325"/>
      <c r="D6325" s="326"/>
      <c r="E6325" s="326"/>
      <c r="F6325" s="326"/>
      <c r="G6325" s="326"/>
      <c r="H6325" s="326"/>
      <c r="P6325" s="318"/>
      <c r="Q6325" s="318"/>
      <c r="R6325" s="318"/>
      <c r="S6325" s="318"/>
      <c r="T6325" s="318"/>
      <c r="U6325" s="318"/>
      <c r="V6325" s="318"/>
      <c r="W6325" s="318"/>
      <c r="X6325" s="318"/>
      <c r="Y6325" s="318"/>
      <c r="Z6325" s="318"/>
      <c r="AA6325" s="318"/>
      <c r="AB6325" s="318"/>
      <c r="AC6325" s="318"/>
      <c r="AD6325" s="318"/>
    </row>
    <row r="6326" spans="2:30" s="323" customFormat="1" ht="12" customHeight="1">
      <c r="B6326" s="324"/>
      <c r="C6326" s="325"/>
      <c r="D6326" s="326"/>
      <c r="E6326" s="326"/>
      <c r="F6326" s="326"/>
      <c r="G6326" s="326"/>
      <c r="H6326" s="326"/>
      <c r="P6326" s="318"/>
      <c r="Q6326" s="318"/>
      <c r="R6326" s="318"/>
      <c r="S6326" s="318"/>
      <c r="T6326" s="318"/>
      <c r="U6326" s="318"/>
      <c r="V6326" s="318"/>
      <c r="W6326" s="318"/>
      <c r="X6326" s="318"/>
      <c r="Y6326" s="318"/>
      <c r="Z6326" s="318"/>
      <c r="AA6326" s="318"/>
      <c r="AB6326" s="318"/>
      <c r="AC6326" s="318"/>
      <c r="AD6326" s="318"/>
    </row>
    <row r="6327" spans="2:30" s="323" customFormat="1" ht="12" customHeight="1">
      <c r="B6327" s="324"/>
      <c r="C6327" s="325"/>
      <c r="D6327" s="326"/>
      <c r="E6327" s="326"/>
      <c r="F6327" s="326"/>
      <c r="G6327" s="326"/>
      <c r="H6327" s="326"/>
      <c r="P6327" s="318"/>
      <c r="Q6327" s="318"/>
      <c r="R6327" s="318"/>
      <c r="S6327" s="318"/>
      <c r="T6327" s="318"/>
      <c r="U6327" s="318"/>
      <c r="V6327" s="318"/>
      <c r="W6327" s="318"/>
      <c r="X6327" s="318"/>
      <c r="Y6327" s="318"/>
      <c r="Z6327" s="318"/>
      <c r="AA6327" s="318"/>
      <c r="AB6327" s="318"/>
      <c r="AC6327" s="318"/>
      <c r="AD6327" s="318"/>
    </row>
    <row r="6328" spans="2:30" s="323" customFormat="1" ht="12" customHeight="1">
      <c r="B6328" s="324"/>
      <c r="C6328" s="325"/>
      <c r="D6328" s="326"/>
      <c r="E6328" s="326"/>
      <c r="F6328" s="326"/>
      <c r="G6328" s="326"/>
      <c r="H6328" s="326"/>
      <c r="P6328" s="318"/>
      <c r="Q6328" s="318"/>
      <c r="R6328" s="318"/>
      <c r="S6328" s="318"/>
      <c r="T6328" s="318"/>
      <c r="U6328" s="318"/>
      <c r="V6328" s="318"/>
      <c r="W6328" s="318"/>
      <c r="X6328" s="318"/>
      <c r="Y6328" s="318"/>
      <c r="Z6328" s="318"/>
      <c r="AA6328" s="318"/>
      <c r="AB6328" s="318"/>
      <c r="AC6328" s="318"/>
      <c r="AD6328" s="318"/>
    </row>
    <row r="6329" spans="2:30" s="323" customFormat="1" ht="12" customHeight="1">
      <c r="B6329" s="324"/>
      <c r="C6329" s="325"/>
      <c r="D6329" s="326"/>
      <c r="E6329" s="326"/>
      <c r="F6329" s="326"/>
      <c r="G6329" s="326"/>
      <c r="H6329" s="326"/>
      <c r="P6329" s="318"/>
      <c r="Q6329" s="318"/>
      <c r="R6329" s="318"/>
      <c r="S6329" s="318"/>
      <c r="T6329" s="318"/>
      <c r="U6329" s="318"/>
      <c r="V6329" s="318"/>
      <c r="W6329" s="318"/>
      <c r="X6329" s="318"/>
      <c r="Y6329" s="318"/>
      <c r="Z6329" s="318"/>
      <c r="AA6329" s="318"/>
      <c r="AB6329" s="318"/>
      <c r="AC6329" s="318"/>
      <c r="AD6329" s="318"/>
    </row>
    <row r="6330" spans="2:30" s="323" customFormat="1" ht="12" customHeight="1">
      <c r="B6330" s="324"/>
      <c r="C6330" s="325"/>
      <c r="D6330" s="326"/>
      <c r="E6330" s="326"/>
      <c r="F6330" s="326"/>
      <c r="G6330" s="326"/>
      <c r="H6330" s="326"/>
      <c r="P6330" s="318"/>
      <c r="Q6330" s="318"/>
      <c r="R6330" s="318"/>
      <c r="S6330" s="318"/>
      <c r="T6330" s="318"/>
      <c r="U6330" s="318"/>
      <c r="V6330" s="318"/>
      <c r="W6330" s="318"/>
      <c r="X6330" s="318"/>
      <c r="Y6330" s="318"/>
      <c r="Z6330" s="318"/>
      <c r="AA6330" s="318"/>
      <c r="AB6330" s="318"/>
      <c r="AC6330" s="318"/>
      <c r="AD6330" s="318"/>
    </row>
    <row r="6331" spans="2:30" s="323" customFormat="1" ht="12" customHeight="1">
      <c r="B6331" s="324"/>
      <c r="C6331" s="325"/>
      <c r="D6331" s="326"/>
      <c r="E6331" s="326"/>
      <c r="F6331" s="326"/>
      <c r="G6331" s="326"/>
      <c r="H6331" s="326"/>
      <c r="P6331" s="318"/>
      <c r="Q6331" s="318"/>
      <c r="R6331" s="318"/>
      <c r="S6331" s="318"/>
      <c r="T6331" s="318"/>
      <c r="U6331" s="318"/>
      <c r="V6331" s="318"/>
      <c r="W6331" s="318"/>
      <c r="X6331" s="318"/>
      <c r="Y6331" s="318"/>
      <c r="Z6331" s="318"/>
      <c r="AA6331" s="318"/>
      <c r="AB6331" s="318"/>
      <c r="AC6331" s="318"/>
      <c r="AD6331" s="318"/>
    </row>
    <row r="6332" spans="2:30" s="323" customFormat="1" ht="12" customHeight="1">
      <c r="B6332" s="324"/>
      <c r="C6332" s="325"/>
      <c r="D6332" s="326"/>
      <c r="E6332" s="326"/>
      <c r="F6332" s="326"/>
      <c r="G6332" s="326"/>
      <c r="H6332" s="326"/>
      <c r="P6332" s="318"/>
      <c r="Q6332" s="318"/>
      <c r="R6332" s="318"/>
      <c r="S6332" s="318"/>
      <c r="T6332" s="318"/>
      <c r="U6332" s="318"/>
      <c r="V6332" s="318"/>
      <c r="W6332" s="318"/>
      <c r="X6332" s="318"/>
      <c r="Y6332" s="318"/>
      <c r="Z6332" s="318"/>
      <c r="AA6332" s="318"/>
      <c r="AB6332" s="318"/>
      <c r="AC6332" s="318"/>
      <c r="AD6332" s="318"/>
    </row>
    <row r="6333" spans="2:30" s="323" customFormat="1" ht="12" customHeight="1">
      <c r="B6333" s="324"/>
      <c r="C6333" s="325"/>
      <c r="D6333" s="326"/>
      <c r="E6333" s="326"/>
      <c r="F6333" s="326"/>
      <c r="G6333" s="326"/>
      <c r="H6333" s="326"/>
      <c r="P6333" s="318"/>
      <c r="Q6333" s="318"/>
      <c r="R6333" s="318"/>
      <c r="S6333" s="318"/>
      <c r="T6333" s="318"/>
      <c r="U6333" s="318"/>
      <c r="V6333" s="318"/>
      <c r="W6333" s="318"/>
      <c r="X6333" s="318"/>
      <c r="Y6333" s="318"/>
      <c r="Z6333" s="318"/>
      <c r="AA6333" s="318"/>
      <c r="AB6333" s="318"/>
      <c r="AC6333" s="318"/>
      <c r="AD6333" s="318"/>
    </row>
    <row r="6334" spans="2:30" s="323" customFormat="1" ht="12" customHeight="1">
      <c r="B6334" s="324"/>
      <c r="C6334" s="325"/>
      <c r="D6334" s="326"/>
      <c r="E6334" s="326"/>
      <c r="F6334" s="326"/>
      <c r="G6334" s="326"/>
      <c r="H6334" s="326"/>
      <c r="P6334" s="318"/>
      <c r="Q6334" s="318"/>
      <c r="R6334" s="318"/>
      <c r="S6334" s="318"/>
      <c r="T6334" s="318"/>
      <c r="U6334" s="318"/>
      <c r="V6334" s="318"/>
      <c r="W6334" s="318"/>
      <c r="X6334" s="318"/>
      <c r="Y6334" s="318"/>
      <c r="Z6334" s="318"/>
      <c r="AA6334" s="318"/>
      <c r="AB6334" s="318"/>
      <c r="AC6334" s="318"/>
      <c r="AD6334" s="318"/>
    </row>
    <row r="6335" spans="2:30" s="323" customFormat="1" ht="12" customHeight="1">
      <c r="B6335" s="324"/>
      <c r="C6335" s="325"/>
      <c r="D6335" s="326"/>
      <c r="E6335" s="326"/>
      <c r="F6335" s="326"/>
      <c r="G6335" s="326"/>
      <c r="H6335" s="326"/>
      <c r="P6335" s="318"/>
      <c r="Q6335" s="318"/>
      <c r="R6335" s="318"/>
      <c r="S6335" s="318"/>
      <c r="T6335" s="318"/>
      <c r="U6335" s="318"/>
      <c r="V6335" s="318"/>
      <c r="W6335" s="318"/>
      <c r="X6335" s="318"/>
      <c r="Y6335" s="318"/>
      <c r="Z6335" s="318"/>
      <c r="AA6335" s="318"/>
      <c r="AB6335" s="318"/>
      <c r="AC6335" s="318"/>
      <c r="AD6335" s="318"/>
    </row>
    <row r="6336" spans="2:30" s="323" customFormat="1" ht="12" customHeight="1">
      <c r="B6336" s="324"/>
      <c r="C6336" s="325"/>
      <c r="D6336" s="326"/>
      <c r="E6336" s="326"/>
      <c r="F6336" s="326"/>
      <c r="G6336" s="326"/>
      <c r="H6336" s="326"/>
      <c r="P6336" s="318"/>
      <c r="Q6336" s="318"/>
      <c r="R6336" s="318"/>
      <c r="S6336" s="318"/>
      <c r="T6336" s="318"/>
      <c r="U6336" s="318"/>
      <c r="V6336" s="318"/>
      <c r="W6336" s="318"/>
      <c r="X6336" s="318"/>
      <c r="Y6336" s="318"/>
      <c r="Z6336" s="318"/>
      <c r="AA6336" s="318"/>
      <c r="AB6336" s="318"/>
      <c r="AC6336" s="318"/>
      <c r="AD6336" s="318"/>
    </row>
    <row r="6337" spans="2:30" s="323" customFormat="1" ht="12" customHeight="1">
      <c r="B6337" s="324"/>
      <c r="C6337" s="325"/>
      <c r="D6337" s="326"/>
      <c r="E6337" s="326"/>
      <c r="F6337" s="326"/>
      <c r="G6337" s="326"/>
      <c r="H6337" s="326"/>
      <c r="P6337" s="318"/>
      <c r="Q6337" s="318"/>
      <c r="R6337" s="318"/>
      <c r="S6337" s="318"/>
      <c r="T6337" s="318"/>
      <c r="U6337" s="318"/>
      <c r="V6337" s="318"/>
      <c r="W6337" s="318"/>
      <c r="X6337" s="318"/>
      <c r="Y6337" s="318"/>
      <c r="Z6337" s="318"/>
      <c r="AA6337" s="318"/>
      <c r="AB6337" s="318"/>
      <c r="AC6337" s="318"/>
      <c r="AD6337" s="318"/>
    </row>
    <row r="6338" spans="2:30" s="323" customFormat="1" ht="12" customHeight="1">
      <c r="B6338" s="324"/>
      <c r="C6338" s="325"/>
      <c r="D6338" s="326"/>
      <c r="E6338" s="326"/>
      <c r="F6338" s="326"/>
      <c r="G6338" s="326"/>
      <c r="H6338" s="326"/>
      <c r="P6338" s="318"/>
      <c r="Q6338" s="318"/>
      <c r="R6338" s="318"/>
      <c r="S6338" s="318"/>
      <c r="T6338" s="318"/>
      <c r="U6338" s="318"/>
      <c r="V6338" s="318"/>
      <c r="W6338" s="318"/>
      <c r="X6338" s="318"/>
      <c r="Y6338" s="318"/>
      <c r="Z6338" s="318"/>
      <c r="AA6338" s="318"/>
      <c r="AB6338" s="318"/>
      <c r="AC6338" s="318"/>
      <c r="AD6338" s="318"/>
    </row>
    <row r="6339" spans="2:30" s="323" customFormat="1" ht="12" customHeight="1">
      <c r="B6339" s="324"/>
      <c r="C6339" s="325"/>
      <c r="D6339" s="326"/>
      <c r="E6339" s="326"/>
      <c r="F6339" s="326"/>
      <c r="G6339" s="326"/>
      <c r="H6339" s="326"/>
      <c r="P6339" s="318"/>
      <c r="Q6339" s="318"/>
      <c r="R6339" s="318"/>
      <c r="S6339" s="318"/>
      <c r="T6339" s="318"/>
      <c r="U6339" s="318"/>
      <c r="V6339" s="318"/>
      <c r="W6339" s="318"/>
      <c r="X6339" s="318"/>
      <c r="Y6339" s="318"/>
      <c r="Z6339" s="318"/>
      <c r="AA6339" s="318"/>
      <c r="AB6339" s="318"/>
      <c r="AC6339" s="318"/>
      <c r="AD6339" s="318"/>
    </row>
    <row r="6340" spans="2:30" s="323" customFormat="1" ht="12" customHeight="1">
      <c r="B6340" s="324"/>
      <c r="C6340" s="325"/>
      <c r="D6340" s="326"/>
      <c r="E6340" s="326"/>
      <c r="F6340" s="326"/>
      <c r="G6340" s="326"/>
      <c r="H6340" s="326"/>
      <c r="P6340" s="318"/>
      <c r="Q6340" s="318"/>
      <c r="R6340" s="318"/>
      <c r="S6340" s="318"/>
      <c r="T6340" s="318"/>
      <c r="U6340" s="318"/>
      <c r="V6340" s="318"/>
      <c r="W6340" s="318"/>
      <c r="X6340" s="318"/>
      <c r="Y6340" s="318"/>
      <c r="Z6340" s="318"/>
      <c r="AA6340" s="318"/>
      <c r="AB6340" s="318"/>
      <c r="AC6340" s="318"/>
      <c r="AD6340" s="318"/>
    </row>
    <row r="6341" spans="2:30" s="323" customFormat="1" ht="12" customHeight="1">
      <c r="B6341" s="324"/>
      <c r="C6341" s="325"/>
      <c r="D6341" s="326"/>
      <c r="E6341" s="326"/>
      <c r="F6341" s="326"/>
      <c r="G6341" s="326"/>
      <c r="H6341" s="326"/>
      <c r="P6341" s="318"/>
      <c r="Q6341" s="318"/>
      <c r="R6341" s="318"/>
      <c r="S6341" s="318"/>
      <c r="T6341" s="318"/>
      <c r="U6341" s="318"/>
      <c r="V6341" s="318"/>
      <c r="W6341" s="318"/>
      <c r="X6341" s="318"/>
      <c r="Y6341" s="318"/>
      <c r="Z6341" s="318"/>
      <c r="AA6341" s="318"/>
      <c r="AB6341" s="318"/>
      <c r="AC6341" s="318"/>
      <c r="AD6341" s="318"/>
    </row>
    <row r="6342" spans="2:30" s="323" customFormat="1" ht="12" customHeight="1">
      <c r="B6342" s="324"/>
      <c r="C6342" s="325"/>
      <c r="D6342" s="326"/>
      <c r="E6342" s="326"/>
      <c r="F6342" s="326"/>
      <c r="G6342" s="326"/>
      <c r="H6342" s="326"/>
      <c r="P6342" s="318"/>
      <c r="Q6342" s="318"/>
      <c r="R6342" s="318"/>
      <c r="S6342" s="318"/>
      <c r="T6342" s="318"/>
      <c r="U6342" s="318"/>
      <c r="V6342" s="318"/>
      <c r="W6342" s="318"/>
      <c r="X6342" s="318"/>
      <c r="Y6342" s="318"/>
      <c r="Z6342" s="318"/>
      <c r="AA6342" s="318"/>
      <c r="AB6342" s="318"/>
      <c r="AC6342" s="318"/>
      <c r="AD6342" s="318"/>
    </row>
    <row r="6343" spans="2:30" s="323" customFormat="1" ht="12" customHeight="1">
      <c r="B6343" s="324"/>
      <c r="C6343" s="325"/>
      <c r="D6343" s="326"/>
      <c r="E6343" s="326"/>
      <c r="F6343" s="326"/>
      <c r="G6343" s="326"/>
      <c r="H6343" s="326"/>
      <c r="P6343" s="318"/>
      <c r="Q6343" s="318"/>
      <c r="R6343" s="318"/>
      <c r="S6343" s="318"/>
      <c r="T6343" s="318"/>
      <c r="U6343" s="318"/>
      <c r="V6343" s="318"/>
      <c r="W6343" s="318"/>
      <c r="X6343" s="318"/>
      <c r="Y6343" s="318"/>
      <c r="Z6343" s="318"/>
      <c r="AA6343" s="318"/>
      <c r="AB6343" s="318"/>
      <c r="AC6343" s="318"/>
      <c r="AD6343" s="318"/>
    </row>
    <row r="6344" spans="2:30" s="323" customFormat="1" ht="12" customHeight="1">
      <c r="B6344" s="324"/>
      <c r="C6344" s="325"/>
      <c r="D6344" s="326"/>
      <c r="E6344" s="326"/>
      <c r="F6344" s="326"/>
      <c r="G6344" s="326"/>
      <c r="H6344" s="326"/>
      <c r="P6344" s="318"/>
      <c r="Q6344" s="318"/>
      <c r="R6344" s="318"/>
      <c r="S6344" s="318"/>
      <c r="T6344" s="318"/>
      <c r="U6344" s="318"/>
      <c r="V6344" s="318"/>
      <c r="W6344" s="318"/>
      <c r="X6344" s="318"/>
      <c r="Y6344" s="318"/>
      <c r="Z6344" s="318"/>
      <c r="AA6344" s="318"/>
      <c r="AB6344" s="318"/>
      <c r="AC6344" s="318"/>
      <c r="AD6344" s="318"/>
    </row>
    <row r="6345" spans="2:30" s="323" customFormat="1" ht="12" customHeight="1">
      <c r="B6345" s="324"/>
      <c r="C6345" s="325"/>
      <c r="D6345" s="326"/>
      <c r="E6345" s="326"/>
      <c r="F6345" s="326"/>
      <c r="G6345" s="326"/>
      <c r="H6345" s="326"/>
      <c r="P6345" s="318"/>
      <c r="Q6345" s="318"/>
      <c r="R6345" s="318"/>
      <c r="S6345" s="318"/>
      <c r="T6345" s="318"/>
      <c r="U6345" s="318"/>
      <c r="V6345" s="318"/>
      <c r="W6345" s="318"/>
      <c r="X6345" s="318"/>
      <c r="Y6345" s="318"/>
      <c r="Z6345" s="318"/>
      <c r="AA6345" s="318"/>
      <c r="AB6345" s="318"/>
      <c r="AC6345" s="318"/>
      <c r="AD6345" s="318"/>
    </row>
    <row r="6346" spans="2:30" s="323" customFormat="1" ht="12" customHeight="1">
      <c r="B6346" s="324"/>
      <c r="C6346" s="325"/>
      <c r="D6346" s="326"/>
      <c r="E6346" s="326"/>
      <c r="F6346" s="326"/>
      <c r="G6346" s="326"/>
      <c r="H6346" s="326"/>
      <c r="P6346" s="318"/>
      <c r="Q6346" s="318"/>
      <c r="R6346" s="318"/>
      <c r="S6346" s="318"/>
      <c r="T6346" s="318"/>
      <c r="U6346" s="318"/>
      <c r="V6346" s="318"/>
      <c r="W6346" s="318"/>
      <c r="X6346" s="318"/>
      <c r="Y6346" s="318"/>
      <c r="Z6346" s="318"/>
      <c r="AA6346" s="318"/>
      <c r="AB6346" s="318"/>
      <c r="AC6346" s="318"/>
      <c r="AD6346" s="318"/>
    </row>
    <row r="6347" spans="2:30" s="323" customFormat="1" ht="12" customHeight="1">
      <c r="B6347" s="324"/>
      <c r="C6347" s="325"/>
      <c r="D6347" s="326"/>
      <c r="E6347" s="326"/>
      <c r="F6347" s="326"/>
      <c r="G6347" s="326"/>
      <c r="H6347" s="326"/>
      <c r="P6347" s="318"/>
      <c r="Q6347" s="318"/>
      <c r="R6347" s="318"/>
      <c r="S6347" s="318"/>
      <c r="T6347" s="318"/>
      <c r="U6347" s="318"/>
      <c r="V6347" s="318"/>
      <c r="W6347" s="318"/>
      <c r="X6347" s="318"/>
      <c r="Y6347" s="318"/>
      <c r="Z6347" s="318"/>
      <c r="AA6347" s="318"/>
      <c r="AB6347" s="318"/>
      <c r="AC6347" s="318"/>
      <c r="AD6347" s="318"/>
    </row>
    <row r="6348" spans="2:30" s="323" customFormat="1" ht="12" customHeight="1">
      <c r="B6348" s="324"/>
      <c r="C6348" s="325"/>
      <c r="D6348" s="326"/>
      <c r="E6348" s="326"/>
      <c r="F6348" s="326"/>
      <c r="G6348" s="326"/>
      <c r="H6348" s="326"/>
      <c r="P6348" s="318"/>
      <c r="Q6348" s="318"/>
      <c r="R6348" s="318"/>
      <c r="S6348" s="318"/>
      <c r="T6348" s="318"/>
      <c r="U6348" s="318"/>
      <c r="V6348" s="318"/>
      <c r="W6348" s="318"/>
      <c r="X6348" s="318"/>
      <c r="Y6348" s="318"/>
      <c r="Z6348" s="318"/>
      <c r="AA6348" s="318"/>
      <c r="AB6348" s="318"/>
      <c r="AC6348" s="318"/>
      <c r="AD6348" s="318"/>
    </row>
    <row r="6349" spans="2:30" s="323" customFormat="1" ht="12" customHeight="1">
      <c r="B6349" s="324"/>
      <c r="C6349" s="325"/>
      <c r="D6349" s="326"/>
      <c r="E6349" s="326"/>
      <c r="F6349" s="326"/>
      <c r="G6349" s="326"/>
      <c r="H6349" s="326"/>
      <c r="P6349" s="318"/>
      <c r="Q6349" s="318"/>
      <c r="R6349" s="318"/>
      <c r="S6349" s="318"/>
      <c r="T6349" s="318"/>
      <c r="U6349" s="318"/>
      <c r="V6349" s="318"/>
      <c r="W6349" s="318"/>
      <c r="X6349" s="318"/>
      <c r="Y6349" s="318"/>
      <c r="Z6349" s="318"/>
      <c r="AA6349" s="318"/>
      <c r="AB6349" s="318"/>
      <c r="AC6349" s="318"/>
      <c r="AD6349" s="318"/>
    </row>
    <row r="6350" spans="2:30" s="323" customFormat="1" ht="12" customHeight="1">
      <c r="B6350" s="324"/>
      <c r="C6350" s="325"/>
      <c r="D6350" s="326"/>
      <c r="E6350" s="326"/>
      <c r="F6350" s="326"/>
      <c r="G6350" s="326"/>
      <c r="H6350" s="326"/>
      <c r="P6350" s="318"/>
      <c r="Q6350" s="318"/>
      <c r="R6350" s="318"/>
      <c r="S6350" s="318"/>
      <c r="T6350" s="318"/>
      <c r="U6350" s="318"/>
      <c r="V6350" s="318"/>
      <c r="W6350" s="318"/>
      <c r="X6350" s="318"/>
      <c r="Y6350" s="318"/>
      <c r="Z6350" s="318"/>
      <c r="AA6350" s="318"/>
      <c r="AB6350" s="318"/>
      <c r="AC6350" s="318"/>
      <c r="AD6350" s="318"/>
    </row>
    <row r="6351" spans="2:30" s="323" customFormat="1" ht="12" customHeight="1">
      <c r="B6351" s="324"/>
      <c r="C6351" s="325"/>
      <c r="D6351" s="326"/>
      <c r="E6351" s="326"/>
      <c r="F6351" s="326"/>
      <c r="G6351" s="326"/>
      <c r="H6351" s="326"/>
      <c r="P6351" s="318"/>
      <c r="Q6351" s="318"/>
      <c r="R6351" s="318"/>
      <c r="S6351" s="318"/>
      <c r="T6351" s="318"/>
      <c r="U6351" s="318"/>
      <c r="V6351" s="318"/>
      <c r="W6351" s="318"/>
      <c r="X6351" s="318"/>
      <c r="Y6351" s="318"/>
      <c r="Z6351" s="318"/>
      <c r="AA6351" s="318"/>
      <c r="AB6351" s="318"/>
      <c r="AC6351" s="318"/>
      <c r="AD6351" s="318"/>
    </row>
    <row r="6352" spans="2:30" s="323" customFormat="1" ht="12" customHeight="1">
      <c r="B6352" s="324"/>
      <c r="C6352" s="325"/>
      <c r="D6352" s="326"/>
      <c r="E6352" s="326"/>
      <c r="F6352" s="326"/>
      <c r="G6352" s="326"/>
      <c r="H6352" s="326"/>
      <c r="P6352" s="318"/>
      <c r="Q6352" s="318"/>
      <c r="R6352" s="318"/>
      <c r="S6352" s="318"/>
      <c r="T6352" s="318"/>
      <c r="U6352" s="318"/>
      <c r="V6352" s="318"/>
      <c r="W6352" s="318"/>
      <c r="X6352" s="318"/>
      <c r="Y6352" s="318"/>
      <c r="Z6352" s="318"/>
      <c r="AA6352" s="318"/>
      <c r="AB6352" s="318"/>
      <c r="AC6352" s="318"/>
      <c r="AD6352" s="318"/>
    </row>
    <row r="6353" spans="2:30" s="323" customFormat="1" ht="12" customHeight="1">
      <c r="B6353" s="324"/>
      <c r="C6353" s="325"/>
      <c r="D6353" s="326"/>
      <c r="E6353" s="326"/>
      <c r="F6353" s="326"/>
      <c r="G6353" s="326"/>
      <c r="H6353" s="326"/>
      <c r="P6353" s="318"/>
      <c r="Q6353" s="318"/>
      <c r="R6353" s="318"/>
      <c r="S6353" s="318"/>
      <c r="T6353" s="318"/>
      <c r="U6353" s="318"/>
      <c r="V6353" s="318"/>
      <c r="W6353" s="318"/>
      <c r="X6353" s="318"/>
      <c r="Y6353" s="318"/>
      <c r="Z6353" s="318"/>
      <c r="AA6353" s="318"/>
      <c r="AB6353" s="318"/>
      <c r="AC6353" s="318"/>
      <c r="AD6353" s="318"/>
    </row>
    <row r="6354" spans="2:30" s="323" customFormat="1" ht="12" customHeight="1">
      <c r="B6354" s="324"/>
      <c r="C6354" s="325"/>
      <c r="D6354" s="326"/>
      <c r="E6354" s="326"/>
      <c r="F6354" s="326"/>
      <c r="G6354" s="326"/>
      <c r="H6354" s="326"/>
      <c r="P6354" s="318"/>
      <c r="Q6354" s="318"/>
      <c r="R6354" s="318"/>
      <c r="S6354" s="318"/>
      <c r="T6354" s="318"/>
      <c r="U6354" s="318"/>
      <c r="V6354" s="318"/>
      <c r="W6354" s="318"/>
      <c r="X6354" s="318"/>
      <c r="Y6354" s="318"/>
      <c r="Z6354" s="318"/>
      <c r="AA6354" s="318"/>
      <c r="AB6354" s="318"/>
      <c r="AC6354" s="318"/>
      <c r="AD6354" s="318"/>
    </row>
    <row r="6355" spans="2:30" s="323" customFormat="1" ht="12" customHeight="1">
      <c r="B6355" s="324"/>
      <c r="C6355" s="325"/>
      <c r="D6355" s="326"/>
      <c r="E6355" s="326"/>
      <c r="F6355" s="326"/>
      <c r="G6355" s="326"/>
      <c r="H6355" s="326"/>
      <c r="P6355" s="318"/>
      <c r="Q6355" s="318"/>
      <c r="R6355" s="318"/>
      <c r="S6355" s="318"/>
      <c r="T6355" s="318"/>
      <c r="U6355" s="318"/>
      <c r="V6355" s="318"/>
      <c r="W6355" s="318"/>
      <c r="X6355" s="318"/>
      <c r="Y6355" s="318"/>
      <c r="Z6355" s="318"/>
      <c r="AA6355" s="318"/>
      <c r="AB6355" s="318"/>
      <c r="AC6355" s="318"/>
      <c r="AD6355" s="318"/>
    </row>
    <row r="6356" spans="2:30" s="323" customFormat="1" ht="12" customHeight="1">
      <c r="B6356" s="324"/>
      <c r="C6356" s="325"/>
      <c r="D6356" s="326"/>
      <c r="E6356" s="326"/>
      <c r="F6356" s="326"/>
      <c r="G6356" s="326"/>
      <c r="H6356" s="326"/>
      <c r="P6356" s="318"/>
      <c r="Q6356" s="318"/>
      <c r="R6356" s="318"/>
      <c r="S6356" s="318"/>
      <c r="T6356" s="318"/>
      <c r="U6356" s="318"/>
      <c r="V6356" s="318"/>
      <c r="W6356" s="318"/>
      <c r="X6356" s="318"/>
      <c r="Y6356" s="318"/>
      <c r="Z6356" s="318"/>
      <c r="AA6356" s="318"/>
      <c r="AB6356" s="318"/>
      <c r="AC6356" s="318"/>
      <c r="AD6356" s="318"/>
    </row>
    <row r="6357" spans="2:30" s="323" customFormat="1" ht="12" customHeight="1">
      <c r="B6357" s="324"/>
      <c r="C6357" s="325"/>
      <c r="D6357" s="326"/>
      <c r="E6357" s="326"/>
      <c r="F6357" s="326"/>
      <c r="G6357" s="326"/>
      <c r="H6357" s="326"/>
      <c r="P6357" s="318"/>
      <c r="Q6357" s="318"/>
      <c r="R6357" s="318"/>
      <c r="S6357" s="318"/>
      <c r="T6357" s="318"/>
      <c r="U6357" s="318"/>
      <c r="V6357" s="318"/>
      <c r="W6357" s="318"/>
      <c r="X6357" s="318"/>
      <c r="Y6357" s="318"/>
      <c r="Z6357" s="318"/>
      <c r="AA6357" s="318"/>
      <c r="AB6357" s="318"/>
      <c r="AC6357" s="318"/>
      <c r="AD6357" s="318"/>
    </row>
    <row r="6358" spans="2:30" s="323" customFormat="1" ht="12" customHeight="1">
      <c r="B6358" s="324"/>
      <c r="C6358" s="325"/>
      <c r="D6358" s="326"/>
      <c r="E6358" s="326"/>
      <c r="F6358" s="326"/>
      <c r="G6358" s="326"/>
      <c r="H6358" s="326"/>
      <c r="P6358" s="318"/>
      <c r="Q6358" s="318"/>
      <c r="R6358" s="318"/>
      <c r="S6358" s="318"/>
      <c r="T6358" s="318"/>
      <c r="U6358" s="318"/>
      <c r="V6358" s="318"/>
      <c r="W6358" s="318"/>
      <c r="X6358" s="318"/>
      <c r="Y6358" s="318"/>
      <c r="Z6358" s="318"/>
      <c r="AA6358" s="318"/>
      <c r="AB6358" s="318"/>
      <c r="AC6358" s="318"/>
      <c r="AD6358" s="318"/>
    </row>
    <row r="6359" spans="2:30" s="323" customFormat="1" ht="12" customHeight="1">
      <c r="B6359" s="324"/>
      <c r="C6359" s="325"/>
      <c r="D6359" s="326"/>
      <c r="E6359" s="326"/>
      <c r="F6359" s="326"/>
      <c r="G6359" s="326"/>
      <c r="H6359" s="326"/>
      <c r="P6359" s="318"/>
      <c r="Q6359" s="318"/>
      <c r="R6359" s="318"/>
      <c r="S6359" s="318"/>
      <c r="T6359" s="318"/>
      <c r="U6359" s="318"/>
      <c r="V6359" s="318"/>
      <c r="W6359" s="318"/>
      <c r="X6359" s="318"/>
      <c r="Y6359" s="318"/>
      <c r="Z6359" s="318"/>
      <c r="AA6359" s="318"/>
      <c r="AB6359" s="318"/>
      <c r="AC6359" s="318"/>
      <c r="AD6359" s="318"/>
    </row>
    <row r="6360" spans="2:30" s="323" customFormat="1" ht="12" customHeight="1">
      <c r="B6360" s="324"/>
      <c r="C6360" s="325"/>
      <c r="D6360" s="326"/>
      <c r="E6360" s="326"/>
      <c r="F6360" s="326"/>
      <c r="G6360" s="326"/>
      <c r="H6360" s="326"/>
      <c r="P6360" s="318"/>
      <c r="Q6360" s="318"/>
      <c r="R6360" s="318"/>
      <c r="S6360" s="318"/>
      <c r="T6360" s="318"/>
      <c r="U6360" s="318"/>
      <c r="V6360" s="318"/>
      <c r="W6360" s="318"/>
      <c r="X6360" s="318"/>
      <c r="Y6360" s="318"/>
      <c r="Z6360" s="318"/>
      <c r="AA6360" s="318"/>
      <c r="AB6360" s="318"/>
      <c r="AC6360" s="318"/>
      <c r="AD6360" s="318"/>
    </row>
    <row r="6361" spans="2:30" s="323" customFormat="1" ht="12" customHeight="1">
      <c r="B6361" s="324"/>
      <c r="C6361" s="325"/>
      <c r="D6361" s="326"/>
      <c r="E6361" s="326"/>
      <c r="F6361" s="326"/>
      <c r="G6361" s="326"/>
      <c r="H6361" s="326"/>
      <c r="P6361" s="318"/>
      <c r="Q6361" s="318"/>
      <c r="R6361" s="318"/>
      <c r="S6361" s="318"/>
      <c r="T6361" s="318"/>
      <c r="U6361" s="318"/>
      <c r="V6361" s="318"/>
      <c r="W6361" s="318"/>
      <c r="X6361" s="318"/>
      <c r="Y6361" s="318"/>
      <c r="Z6361" s="318"/>
      <c r="AA6361" s="318"/>
      <c r="AB6361" s="318"/>
      <c r="AC6361" s="318"/>
      <c r="AD6361" s="318"/>
    </row>
    <row r="6362" spans="2:30" s="323" customFormat="1" ht="12" customHeight="1">
      <c r="B6362" s="324"/>
      <c r="C6362" s="325"/>
      <c r="D6362" s="326"/>
      <c r="E6362" s="326"/>
      <c r="F6362" s="326"/>
      <c r="G6362" s="326"/>
      <c r="H6362" s="326"/>
      <c r="P6362" s="318"/>
      <c r="Q6362" s="318"/>
      <c r="R6362" s="318"/>
      <c r="S6362" s="318"/>
      <c r="T6362" s="318"/>
      <c r="U6362" s="318"/>
      <c r="V6362" s="318"/>
      <c r="W6362" s="318"/>
      <c r="X6362" s="318"/>
      <c r="Y6362" s="318"/>
      <c r="Z6362" s="318"/>
      <c r="AA6362" s="318"/>
      <c r="AB6362" s="318"/>
      <c r="AC6362" s="318"/>
      <c r="AD6362" s="318"/>
    </row>
    <row r="6363" spans="2:30" s="323" customFormat="1" ht="12" customHeight="1">
      <c r="B6363" s="324"/>
      <c r="C6363" s="325"/>
      <c r="D6363" s="326"/>
      <c r="E6363" s="326"/>
      <c r="F6363" s="326"/>
      <c r="G6363" s="326"/>
      <c r="H6363" s="326"/>
      <c r="P6363" s="318"/>
      <c r="Q6363" s="318"/>
      <c r="R6363" s="318"/>
      <c r="S6363" s="318"/>
      <c r="T6363" s="318"/>
      <c r="U6363" s="318"/>
      <c r="V6363" s="318"/>
      <c r="W6363" s="318"/>
      <c r="X6363" s="318"/>
      <c r="Y6363" s="318"/>
      <c r="Z6363" s="318"/>
      <c r="AA6363" s="318"/>
      <c r="AB6363" s="318"/>
      <c r="AC6363" s="318"/>
      <c r="AD6363" s="318"/>
    </row>
    <row r="6364" spans="2:30" s="323" customFormat="1" ht="12" customHeight="1">
      <c r="B6364" s="324"/>
      <c r="C6364" s="325"/>
      <c r="D6364" s="326"/>
      <c r="E6364" s="326"/>
      <c r="F6364" s="326"/>
      <c r="G6364" s="326"/>
      <c r="H6364" s="326"/>
      <c r="P6364" s="318"/>
      <c r="Q6364" s="318"/>
      <c r="R6364" s="318"/>
      <c r="S6364" s="318"/>
      <c r="T6364" s="318"/>
      <c r="U6364" s="318"/>
      <c r="V6364" s="318"/>
      <c r="W6364" s="318"/>
      <c r="X6364" s="318"/>
      <c r="Y6364" s="318"/>
      <c r="Z6364" s="318"/>
      <c r="AA6364" s="318"/>
      <c r="AB6364" s="318"/>
      <c r="AC6364" s="318"/>
      <c r="AD6364" s="318"/>
    </row>
    <row r="6365" spans="2:30" s="323" customFormat="1" ht="12" customHeight="1">
      <c r="B6365" s="324"/>
      <c r="C6365" s="325"/>
      <c r="D6365" s="326"/>
      <c r="E6365" s="326"/>
      <c r="F6365" s="326"/>
      <c r="G6365" s="326"/>
      <c r="H6365" s="326"/>
      <c r="P6365" s="318"/>
      <c r="Q6365" s="318"/>
      <c r="R6365" s="318"/>
      <c r="S6365" s="318"/>
      <c r="T6365" s="318"/>
      <c r="U6365" s="318"/>
      <c r="V6365" s="318"/>
      <c r="W6365" s="318"/>
      <c r="X6365" s="318"/>
      <c r="Y6365" s="318"/>
      <c r="Z6365" s="318"/>
      <c r="AA6365" s="318"/>
      <c r="AB6365" s="318"/>
      <c r="AC6365" s="318"/>
      <c r="AD6365" s="318"/>
    </row>
    <row r="6366" spans="2:30" s="323" customFormat="1" ht="12" customHeight="1">
      <c r="B6366" s="324"/>
      <c r="C6366" s="325"/>
      <c r="D6366" s="326"/>
      <c r="E6366" s="326"/>
      <c r="F6366" s="326"/>
      <c r="G6366" s="326"/>
      <c r="H6366" s="326"/>
      <c r="P6366" s="318"/>
      <c r="Q6366" s="318"/>
      <c r="R6366" s="318"/>
      <c r="S6366" s="318"/>
      <c r="T6366" s="318"/>
      <c r="U6366" s="318"/>
      <c r="V6366" s="318"/>
      <c r="W6366" s="318"/>
      <c r="X6366" s="318"/>
      <c r="Y6366" s="318"/>
      <c r="Z6366" s="318"/>
      <c r="AA6366" s="318"/>
      <c r="AB6366" s="318"/>
      <c r="AC6366" s="318"/>
      <c r="AD6366" s="318"/>
    </row>
    <row r="6367" spans="2:30" s="323" customFormat="1" ht="12" customHeight="1">
      <c r="B6367" s="324"/>
      <c r="C6367" s="325"/>
      <c r="D6367" s="326"/>
      <c r="E6367" s="326"/>
      <c r="F6367" s="326"/>
      <c r="G6367" s="326"/>
      <c r="H6367" s="326"/>
      <c r="P6367" s="318"/>
      <c r="Q6367" s="318"/>
      <c r="R6367" s="318"/>
      <c r="S6367" s="318"/>
      <c r="T6367" s="318"/>
      <c r="U6367" s="318"/>
      <c r="V6367" s="318"/>
      <c r="W6367" s="318"/>
      <c r="X6367" s="318"/>
      <c r="Y6367" s="318"/>
      <c r="Z6367" s="318"/>
      <c r="AA6367" s="318"/>
      <c r="AB6367" s="318"/>
      <c r="AC6367" s="318"/>
      <c r="AD6367" s="318"/>
    </row>
    <row r="6368" spans="2:30" s="323" customFormat="1" ht="12" customHeight="1">
      <c r="B6368" s="324"/>
      <c r="C6368" s="325"/>
      <c r="D6368" s="326"/>
      <c r="E6368" s="326"/>
      <c r="F6368" s="326"/>
      <c r="G6368" s="326"/>
      <c r="H6368" s="326"/>
      <c r="P6368" s="318"/>
      <c r="Q6368" s="318"/>
      <c r="R6368" s="318"/>
      <c r="S6368" s="318"/>
      <c r="T6368" s="318"/>
      <c r="U6368" s="318"/>
      <c r="V6368" s="318"/>
      <c r="W6368" s="318"/>
      <c r="X6368" s="318"/>
      <c r="Y6368" s="318"/>
      <c r="Z6368" s="318"/>
      <c r="AA6368" s="318"/>
      <c r="AB6368" s="318"/>
      <c r="AC6368" s="318"/>
      <c r="AD6368" s="318"/>
    </row>
    <row r="6369" spans="2:30" s="323" customFormat="1" ht="12" customHeight="1">
      <c r="B6369" s="324"/>
      <c r="C6369" s="325"/>
      <c r="D6369" s="326"/>
      <c r="E6369" s="326"/>
      <c r="F6369" s="326"/>
      <c r="G6369" s="326"/>
      <c r="H6369" s="326"/>
      <c r="P6369" s="318"/>
      <c r="Q6369" s="318"/>
      <c r="R6369" s="318"/>
      <c r="S6369" s="318"/>
      <c r="T6369" s="318"/>
      <c r="U6369" s="318"/>
      <c r="V6369" s="318"/>
      <c r="W6369" s="318"/>
      <c r="X6369" s="318"/>
      <c r="Y6369" s="318"/>
      <c r="Z6369" s="318"/>
      <c r="AA6369" s="318"/>
      <c r="AB6369" s="318"/>
      <c r="AC6369" s="318"/>
      <c r="AD6369" s="318"/>
    </row>
    <row r="6370" spans="2:30" s="323" customFormat="1" ht="12" customHeight="1">
      <c r="B6370" s="324"/>
      <c r="C6370" s="325"/>
      <c r="D6370" s="326"/>
      <c r="E6370" s="326"/>
      <c r="F6370" s="326"/>
      <c r="G6370" s="326"/>
      <c r="H6370" s="326"/>
      <c r="P6370" s="318"/>
      <c r="Q6370" s="318"/>
      <c r="R6370" s="318"/>
      <c r="S6370" s="318"/>
      <c r="T6370" s="318"/>
      <c r="U6370" s="318"/>
      <c r="V6370" s="318"/>
      <c r="W6370" s="318"/>
      <c r="X6370" s="318"/>
      <c r="Y6370" s="318"/>
      <c r="Z6370" s="318"/>
      <c r="AA6370" s="318"/>
      <c r="AB6370" s="318"/>
      <c r="AC6370" s="318"/>
      <c r="AD6370" s="318"/>
    </row>
    <row r="6371" spans="2:30" s="323" customFormat="1" ht="12" customHeight="1">
      <c r="B6371" s="324"/>
      <c r="C6371" s="325"/>
      <c r="D6371" s="326"/>
      <c r="E6371" s="326"/>
      <c r="F6371" s="326"/>
      <c r="G6371" s="326"/>
      <c r="H6371" s="326"/>
      <c r="P6371" s="318"/>
      <c r="Q6371" s="318"/>
      <c r="R6371" s="318"/>
      <c r="S6371" s="318"/>
      <c r="T6371" s="318"/>
      <c r="U6371" s="318"/>
      <c r="V6371" s="318"/>
      <c r="W6371" s="318"/>
      <c r="X6371" s="318"/>
      <c r="Y6371" s="318"/>
      <c r="Z6371" s="318"/>
      <c r="AA6371" s="318"/>
      <c r="AB6371" s="318"/>
      <c r="AC6371" s="318"/>
      <c r="AD6371" s="318"/>
    </row>
    <row r="6372" spans="2:30" s="323" customFormat="1" ht="12" customHeight="1">
      <c r="B6372" s="324"/>
      <c r="C6372" s="325"/>
      <c r="D6372" s="326"/>
      <c r="E6372" s="326"/>
      <c r="F6372" s="326"/>
      <c r="G6372" s="326"/>
      <c r="H6372" s="326"/>
      <c r="P6372" s="318"/>
      <c r="Q6372" s="318"/>
      <c r="R6372" s="318"/>
      <c r="S6372" s="318"/>
      <c r="T6372" s="318"/>
      <c r="U6372" s="318"/>
      <c r="V6372" s="318"/>
      <c r="W6372" s="318"/>
      <c r="X6372" s="318"/>
      <c r="Y6372" s="318"/>
      <c r="Z6372" s="318"/>
      <c r="AA6372" s="318"/>
      <c r="AB6372" s="318"/>
      <c r="AC6372" s="318"/>
      <c r="AD6372" s="318"/>
    </row>
    <row r="6373" spans="2:30" s="323" customFormat="1" ht="12" customHeight="1">
      <c r="B6373" s="324"/>
      <c r="C6373" s="325"/>
      <c r="D6373" s="326"/>
      <c r="E6373" s="326"/>
      <c r="F6373" s="326"/>
      <c r="G6373" s="326"/>
      <c r="H6373" s="326"/>
      <c r="P6373" s="318"/>
      <c r="Q6373" s="318"/>
      <c r="R6373" s="318"/>
      <c r="S6373" s="318"/>
      <c r="T6373" s="318"/>
      <c r="U6373" s="318"/>
      <c r="V6373" s="318"/>
      <c r="W6373" s="318"/>
      <c r="X6373" s="318"/>
      <c r="Y6373" s="318"/>
      <c r="Z6373" s="318"/>
      <c r="AA6373" s="318"/>
      <c r="AB6373" s="318"/>
      <c r="AC6373" s="318"/>
      <c r="AD6373" s="318"/>
    </row>
    <row r="6374" spans="2:30" s="323" customFormat="1" ht="12" customHeight="1">
      <c r="B6374" s="324"/>
      <c r="C6374" s="325"/>
      <c r="D6374" s="326"/>
      <c r="E6374" s="326"/>
      <c r="F6374" s="326"/>
      <c r="G6374" s="326"/>
      <c r="H6374" s="326"/>
      <c r="P6374" s="318"/>
      <c r="Q6374" s="318"/>
      <c r="R6374" s="318"/>
      <c r="S6374" s="318"/>
      <c r="T6374" s="318"/>
      <c r="U6374" s="318"/>
      <c r="V6374" s="318"/>
      <c r="W6374" s="318"/>
      <c r="X6374" s="318"/>
      <c r="Y6374" s="318"/>
      <c r="Z6374" s="318"/>
      <c r="AA6374" s="318"/>
      <c r="AB6374" s="318"/>
      <c r="AC6374" s="318"/>
      <c r="AD6374" s="318"/>
    </row>
    <row r="6375" spans="2:30" s="323" customFormat="1" ht="12" customHeight="1">
      <c r="B6375" s="324"/>
      <c r="C6375" s="325"/>
      <c r="D6375" s="326"/>
      <c r="E6375" s="326"/>
      <c r="F6375" s="326"/>
      <c r="G6375" s="326"/>
      <c r="H6375" s="326"/>
      <c r="P6375" s="318"/>
      <c r="Q6375" s="318"/>
      <c r="R6375" s="318"/>
      <c r="S6375" s="318"/>
      <c r="T6375" s="318"/>
      <c r="U6375" s="318"/>
      <c r="V6375" s="318"/>
      <c r="W6375" s="318"/>
      <c r="X6375" s="318"/>
      <c r="Y6375" s="318"/>
      <c r="Z6375" s="318"/>
      <c r="AA6375" s="318"/>
      <c r="AB6375" s="318"/>
      <c r="AC6375" s="318"/>
      <c r="AD6375" s="318"/>
    </row>
    <row r="6376" spans="2:30" s="323" customFormat="1" ht="12" customHeight="1">
      <c r="B6376" s="324"/>
      <c r="C6376" s="325"/>
      <c r="D6376" s="326"/>
      <c r="E6376" s="326"/>
      <c r="F6376" s="326"/>
      <c r="G6376" s="326"/>
      <c r="H6376" s="326"/>
      <c r="P6376" s="318"/>
      <c r="Q6376" s="318"/>
      <c r="R6376" s="318"/>
      <c r="S6376" s="318"/>
      <c r="T6376" s="318"/>
      <c r="U6376" s="318"/>
      <c r="V6376" s="318"/>
      <c r="W6376" s="318"/>
      <c r="X6376" s="318"/>
      <c r="Y6376" s="318"/>
      <c r="Z6376" s="318"/>
      <c r="AA6376" s="318"/>
      <c r="AB6376" s="318"/>
      <c r="AC6376" s="318"/>
      <c r="AD6376" s="318"/>
    </row>
    <row r="6377" spans="2:30" s="323" customFormat="1" ht="12" customHeight="1">
      <c r="B6377" s="324"/>
      <c r="C6377" s="325"/>
      <c r="D6377" s="326"/>
      <c r="E6377" s="326"/>
      <c r="F6377" s="326"/>
      <c r="G6377" s="326"/>
      <c r="H6377" s="326"/>
      <c r="P6377" s="318"/>
      <c r="Q6377" s="318"/>
      <c r="R6377" s="318"/>
      <c r="S6377" s="318"/>
      <c r="T6377" s="318"/>
      <c r="U6377" s="318"/>
      <c r="V6377" s="318"/>
      <c r="W6377" s="318"/>
      <c r="X6377" s="318"/>
      <c r="Y6377" s="318"/>
      <c r="Z6377" s="318"/>
      <c r="AA6377" s="318"/>
      <c r="AB6377" s="318"/>
      <c r="AC6377" s="318"/>
      <c r="AD6377" s="318"/>
    </row>
    <row r="6378" spans="2:30" s="323" customFormat="1" ht="12" customHeight="1">
      <c r="B6378" s="324"/>
      <c r="C6378" s="325"/>
      <c r="D6378" s="326"/>
      <c r="E6378" s="326"/>
      <c r="F6378" s="326"/>
      <c r="G6378" s="326"/>
      <c r="H6378" s="326"/>
      <c r="P6378" s="318"/>
      <c r="Q6378" s="318"/>
      <c r="R6378" s="318"/>
      <c r="S6378" s="318"/>
      <c r="T6378" s="318"/>
      <c r="U6378" s="318"/>
      <c r="V6378" s="318"/>
      <c r="W6378" s="318"/>
      <c r="X6378" s="318"/>
      <c r="Y6378" s="318"/>
      <c r="Z6378" s="318"/>
      <c r="AA6378" s="318"/>
      <c r="AB6378" s="318"/>
      <c r="AC6378" s="318"/>
      <c r="AD6378" s="318"/>
    </row>
    <row r="6379" spans="2:30" s="323" customFormat="1" ht="12" customHeight="1">
      <c r="B6379" s="324"/>
      <c r="C6379" s="325"/>
      <c r="D6379" s="326"/>
      <c r="E6379" s="326"/>
      <c r="F6379" s="326"/>
      <c r="G6379" s="326"/>
      <c r="H6379" s="326"/>
      <c r="P6379" s="318"/>
      <c r="Q6379" s="318"/>
      <c r="R6379" s="318"/>
      <c r="S6379" s="318"/>
      <c r="T6379" s="318"/>
      <c r="U6379" s="318"/>
      <c r="V6379" s="318"/>
      <c r="W6379" s="318"/>
      <c r="X6379" s="318"/>
      <c r="Y6379" s="318"/>
      <c r="Z6379" s="318"/>
      <c r="AA6379" s="318"/>
      <c r="AB6379" s="318"/>
      <c r="AC6379" s="318"/>
      <c r="AD6379" s="318"/>
    </row>
    <row r="6380" spans="2:30" s="323" customFormat="1" ht="12" customHeight="1">
      <c r="B6380" s="324"/>
      <c r="C6380" s="325"/>
      <c r="D6380" s="326"/>
      <c r="E6380" s="326"/>
      <c r="F6380" s="326"/>
      <c r="G6380" s="326"/>
      <c r="H6380" s="326"/>
      <c r="P6380" s="318"/>
      <c r="Q6380" s="318"/>
      <c r="R6380" s="318"/>
      <c r="S6380" s="318"/>
      <c r="T6380" s="318"/>
      <c r="U6380" s="318"/>
      <c r="V6380" s="318"/>
      <c r="W6380" s="318"/>
      <c r="X6380" s="318"/>
      <c r="Y6380" s="318"/>
      <c r="Z6380" s="318"/>
      <c r="AA6380" s="318"/>
      <c r="AB6380" s="318"/>
      <c r="AC6380" s="318"/>
      <c r="AD6380" s="318"/>
    </row>
    <row r="6381" spans="2:30" s="323" customFormat="1" ht="12" customHeight="1">
      <c r="B6381" s="324"/>
      <c r="C6381" s="325"/>
      <c r="D6381" s="326"/>
      <c r="E6381" s="326"/>
      <c r="F6381" s="326"/>
      <c r="G6381" s="326"/>
      <c r="H6381" s="326"/>
      <c r="P6381" s="318"/>
      <c r="Q6381" s="318"/>
      <c r="R6381" s="318"/>
      <c r="S6381" s="318"/>
      <c r="T6381" s="318"/>
      <c r="U6381" s="318"/>
      <c r="V6381" s="318"/>
      <c r="W6381" s="318"/>
      <c r="X6381" s="318"/>
      <c r="Y6381" s="318"/>
      <c r="Z6381" s="318"/>
      <c r="AA6381" s="318"/>
      <c r="AB6381" s="318"/>
      <c r="AC6381" s="318"/>
      <c r="AD6381" s="318"/>
    </row>
    <row r="6382" spans="2:30" s="323" customFormat="1" ht="12" customHeight="1">
      <c r="B6382" s="324"/>
      <c r="C6382" s="325"/>
      <c r="D6382" s="326"/>
      <c r="E6382" s="326"/>
      <c r="F6382" s="326"/>
      <c r="G6382" s="326"/>
      <c r="H6382" s="326"/>
      <c r="P6382" s="318"/>
      <c r="Q6382" s="318"/>
      <c r="R6382" s="318"/>
      <c r="S6382" s="318"/>
      <c r="T6382" s="318"/>
      <c r="U6382" s="318"/>
      <c r="V6382" s="318"/>
      <c r="W6382" s="318"/>
      <c r="X6382" s="318"/>
      <c r="Y6382" s="318"/>
      <c r="Z6382" s="318"/>
      <c r="AA6382" s="318"/>
      <c r="AB6382" s="318"/>
      <c r="AC6382" s="318"/>
      <c r="AD6382" s="318"/>
    </row>
    <row r="6383" spans="2:30" s="323" customFormat="1" ht="12" customHeight="1">
      <c r="B6383" s="324"/>
      <c r="C6383" s="325"/>
      <c r="D6383" s="326"/>
      <c r="E6383" s="326"/>
      <c r="F6383" s="326"/>
      <c r="G6383" s="326"/>
      <c r="H6383" s="326"/>
      <c r="P6383" s="318"/>
      <c r="Q6383" s="318"/>
      <c r="R6383" s="318"/>
      <c r="S6383" s="318"/>
      <c r="T6383" s="318"/>
      <c r="U6383" s="318"/>
      <c r="V6383" s="318"/>
      <c r="W6383" s="318"/>
      <c r="X6383" s="318"/>
      <c r="Y6383" s="318"/>
      <c r="Z6383" s="318"/>
      <c r="AA6383" s="318"/>
      <c r="AB6383" s="318"/>
      <c r="AC6383" s="318"/>
      <c r="AD6383" s="318"/>
    </row>
    <row r="6384" spans="2:30" s="323" customFormat="1" ht="12" customHeight="1">
      <c r="B6384" s="324"/>
      <c r="C6384" s="325"/>
      <c r="D6384" s="326"/>
      <c r="E6384" s="326"/>
      <c r="F6384" s="326"/>
      <c r="G6384" s="326"/>
      <c r="H6384" s="326"/>
      <c r="P6384" s="318"/>
      <c r="Q6384" s="318"/>
      <c r="R6384" s="318"/>
      <c r="S6384" s="318"/>
      <c r="T6384" s="318"/>
      <c r="U6384" s="318"/>
      <c r="V6384" s="318"/>
      <c r="W6384" s="318"/>
      <c r="X6384" s="318"/>
      <c r="Y6384" s="318"/>
      <c r="Z6384" s="318"/>
      <c r="AA6384" s="318"/>
      <c r="AB6384" s="318"/>
      <c r="AC6384" s="318"/>
      <c r="AD6384" s="318"/>
    </row>
    <row r="6385" spans="2:30" s="323" customFormat="1" ht="12" customHeight="1">
      <c r="B6385" s="324"/>
      <c r="C6385" s="325"/>
      <c r="D6385" s="326"/>
      <c r="E6385" s="326"/>
      <c r="F6385" s="326"/>
      <c r="G6385" s="326"/>
      <c r="H6385" s="326"/>
      <c r="P6385" s="318"/>
      <c r="Q6385" s="318"/>
      <c r="R6385" s="318"/>
      <c r="S6385" s="318"/>
      <c r="T6385" s="318"/>
      <c r="U6385" s="318"/>
      <c r="V6385" s="318"/>
      <c r="W6385" s="318"/>
      <c r="X6385" s="318"/>
      <c r="Y6385" s="318"/>
      <c r="Z6385" s="318"/>
      <c r="AA6385" s="318"/>
      <c r="AB6385" s="318"/>
      <c r="AC6385" s="318"/>
      <c r="AD6385" s="318"/>
    </row>
    <row r="6386" spans="2:30" s="323" customFormat="1" ht="12" customHeight="1">
      <c r="B6386" s="324"/>
      <c r="C6386" s="325"/>
      <c r="D6386" s="326"/>
      <c r="E6386" s="326"/>
      <c r="F6386" s="326"/>
      <c r="G6386" s="326"/>
      <c r="H6386" s="326"/>
      <c r="P6386" s="318"/>
      <c r="Q6386" s="318"/>
      <c r="R6386" s="318"/>
      <c r="S6386" s="318"/>
      <c r="T6386" s="318"/>
      <c r="U6386" s="318"/>
      <c r="V6386" s="318"/>
      <c r="W6386" s="318"/>
      <c r="X6386" s="318"/>
      <c r="Y6386" s="318"/>
      <c r="Z6386" s="318"/>
      <c r="AA6386" s="318"/>
      <c r="AB6386" s="318"/>
      <c r="AC6386" s="318"/>
      <c r="AD6386" s="318"/>
    </row>
    <row r="6387" spans="2:30" s="323" customFormat="1" ht="12" customHeight="1">
      <c r="B6387" s="324"/>
      <c r="C6387" s="325"/>
      <c r="D6387" s="326"/>
      <c r="E6387" s="326"/>
      <c r="F6387" s="326"/>
      <c r="G6387" s="326"/>
      <c r="H6387" s="326"/>
      <c r="P6387" s="318"/>
      <c r="Q6387" s="318"/>
      <c r="R6387" s="318"/>
      <c r="S6387" s="318"/>
      <c r="T6387" s="318"/>
      <c r="U6387" s="318"/>
      <c r="V6387" s="318"/>
      <c r="W6387" s="318"/>
      <c r="X6387" s="318"/>
      <c r="Y6387" s="318"/>
      <c r="Z6387" s="318"/>
      <c r="AA6387" s="318"/>
      <c r="AB6387" s="318"/>
      <c r="AC6387" s="318"/>
      <c r="AD6387" s="318"/>
    </row>
    <row r="6388" spans="2:30" s="323" customFormat="1" ht="12" customHeight="1">
      <c r="B6388" s="324"/>
      <c r="C6388" s="325"/>
      <c r="D6388" s="326"/>
      <c r="E6388" s="326"/>
      <c r="F6388" s="326"/>
      <c r="G6388" s="326"/>
      <c r="H6388" s="326"/>
      <c r="P6388" s="318"/>
      <c r="Q6388" s="318"/>
      <c r="R6388" s="318"/>
      <c r="S6388" s="318"/>
      <c r="T6388" s="318"/>
      <c r="U6388" s="318"/>
      <c r="V6388" s="318"/>
      <c r="W6388" s="318"/>
      <c r="X6388" s="318"/>
      <c r="Y6388" s="318"/>
      <c r="Z6388" s="318"/>
      <c r="AA6388" s="318"/>
      <c r="AB6388" s="318"/>
      <c r="AC6388" s="318"/>
      <c r="AD6388" s="318"/>
    </row>
    <row r="6389" spans="2:30" s="323" customFormat="1" ht="12" customHeight="1">
      <c r="B6389" s="324"/>
      <c r="C6389" s="325"/>
      <c r="D6389" s="326"/>
      <c r="E6389" s="326"/>
      <c r="F6389" s="326"/>
      <c r="G6389" s="326"/>
      <c r="H6389" s="326"/>
      <c r="P6389" s="318"/>
      <c r="Q6389" s="318"/>
      <c r="R6389" s="318"/>
      <c r="S6389" s="318"/>
      <c r="T6389" s="318"/>
      <c r="U6389" s="318"/>
      <c r="V6389" s="318"/>
      <c r="W6389" s="318"/>
      <c r="X6389" s="318"/>
      <c r="Y6389" s="318"/>
      <c r="Z6389" s="318"/>
      <c r="AA6389" s="318"/>
      <c r="AB6389" s="318"/>
      <c r="AC6389" s="318"/>
      <c r="AD6389" s="318"/>
    </row>
    <row r="6390" spans="2:30" s="323" customFormat="1" ht="12" customHeight="1">
      <c r="B6390" s="324"/>
      <c r="C6390" s="325"/>
      <c r="D6390" s="326"/>
      <c r="E6390" s="326"/>
      <c r="F6390" s="326"/>
      <c r="G6390" s="326"/>
      <c r="H6390" s="326"/>
      <c r="P6390" s="318"/>
      <c r="Q6390" s="318"/>
      <c r="R6390" s="318"/>
      <c r="S6390" s="318"/>
      <c r="T6390" s="318"/>
      <c r="U6390" s="318"/>
      <c r="V6390" s="318"/>
      <c r="W6390" s="318"/>
      <c r="X6390" s="318"/>
      <c r="Y6390" s="318"/>
      <c r="Z6390" s="318"/>
      <c r="AA6390" s="318"/>
      <c r="AB6390" s="318"/>
      <c r="AC6390" s="318"/>
      <c r="AD6390" s="318"/>
    </row>
    <row r="6391" spans="2:30" s="323" customFormat="1" ht="12" customHeight="1">
      <c r="B6391" s="324"/>
      <c r="C6391" s="325"/>
      <c r="D6391" s="326"/>
      <c r="E6391" s="326"/>
      <c r="F6391" s="326"/>
      <c r="G6391" s="326"/>
      <c r="H6391" s="326"/>
      <c r="P6391" s="318"/>
      <c r="Q6391" s="318"/>
      <c r="R6391" s="318"/>
      <c r="S6391" s="318"/>
      <c r="T6391" s="318"/>
      <c r="U6391" s="318"/>
      <c r="V6391" s="318"/>
      <c r="W6391" s="318"/>
      <c r="X6391" s="318"/>
      <c r="Y6391" s="318"/>
      <c r="Z6391" s="318"/>
      <c r="AA6391" s="318"/>
      <c r="AB6391" s="318"/>
      <c r="AC6391" s="318"/>
      <c r="AD6391" s="318"/>
    </row>
    <row r="6392" spans="2:30" s="323" customFormat="1" ht="12" customHeight="1">
      <c r="B6392" s="324"/>
      <c r="C6392" s="325"/>
      <c r="D6392" s="326"/>
      <c r="E6392" s="326"/>
      <c r="F6392" s="326"/>
      <c r="G6392" s="326"/>
      <c r="H6392" s="326"/>
      <c r="P6392" s="318"/>
      <c r="Q6392" s="318"/>
      <c r="R6392" s="318"/>
      <c r="S6392" s="318"/>
      <c r="T6392" s="318"/>
      <c r="U6392" s="318"/>
      <c r="V6392" s="318"/>
      <c r="W6392" s="318"/>
      <c r="X6392" s="318"/>
      <c r="Y6392" s="318"/>
      <c r="Z6392" s="318"/>
      <c r="AA6392" s="318"/>
      <c r="AB6392" s="318"/>
      <c r="AC6392" s="318"/>
      <c r="AD6392" s="318"/>
    </row>
    <row r="6393" spans="2:30" s="323" customFormat="1" ht="12" customHeight="1">
      <c r="B6393" s="324"/>
      <c r="C6393" s="325"/>
      <c r="D6393" s="326"/>
      <c r="E6393" s="326"/>
      <c r="F6393" s="326"/>
      <c r="G6393" s="326"/>
      <c r="H6393" s="326"/>
      <c r="P6393" s="318"/>
      <c r="Q6393" s="318"/>
      <c r="R6393" s="318"/>
      <c r="S6393" s="318"/>
      <c r="T6393" s="318"/>
      <c r="U6393" s="318"/>
      <c r="V6393" s="318"/>
      <c r="W6393" s="318"/>
      <c r="X6393" s="318"/>
      <c r="Y6393" s="318"/>
      <c r="Z6393" s="318"/>
      <c r="AA6393" s="318"/>
      <c r="AB6393" s="318"/>
      <c r="AC6393" s="318"/>
      <c r="AD6393" s="318"/>
    </row>
    <row r="6394" spans="2:30" s="323" customFormat="1" ht="12" customHeight="1">
      <c r="B6394" s="324"/>
      <c r="C6394" s="325"/>
      <c r="D6394" s="326"/>
      <c r="E6394" s="326"/>
      <c r="F6394" s="326"/>
      <c r="G6394" s="326"/>
      <c r="H6394" s="326"/>
      <c r="P6394" s="318"/>
      <c r="Q6394" s="318"/>
      <c r="R6394" s="318"/>
      <c r="S6394" s="318"/>
      <c r="T6394" s="318"/>
      <c r="U6394" s="318"/>
      <c r="V6394" s="318"/>
      <c r="W6394" s="318"/>
      <c r="X6394" s="318"/>
      <c r="Y6394" s="318"/>
      <c r="Z6394" s="318"/>
      <c r="AA6394" s="318"/>
      <c r="AB6394" s="318"/>
      <c r="AC6394" s="318"/>
      <c r="AD6394" s="318"/>
    </row>
    <row r="6395" spans="2:30" s="323" customFormat="1" ht="12" customHeight="1">
      <c r="B6395" s="324"/>
      <c r="C6395" s="325"/>
      <c r="D6395" s="326"/>
      <c r="E6395" s="326"/>
      <c r="F6395" s="326"/>
      <c r="G6395" s="326"/>
      <c r="H6395" s="326"/>
      <c r="P6395" s="318"/>
      <c r="Q6395" s="318"/>
      <c r="R6395" s="318"/>
      <c r="S6395" s="318"/>
      <c r="T6395" s="318"/>
      <c r="U6395" s="318"/>
      <c r="V6395" s="318"/>
      <c r="W6395" s="318"/>
      <c r="X6395" s="318"/>
      <c r="Y6395" s="318"/>
      <c r="Z6395" s="318"/>
      <c r="AA6395" s="318"/>
      <c r="AB6395" s="318"/>
      <c r="AC6395" s="318"/>
      <c r="AD6395" s="318"/>
    </row>
    <row r="6396" spans="2:30" s="323" customFormat="1" ht="12" customHeight="1">
      <c r="B6396" s="324"/>
      <c r="C6396" s="325"/>
      <c r="D6396" s="326"/>
      <c r="E6396" s="326"/>
      <c r="F6396" s="326"/>
      <c r="G6396" s="326"/>
      <c r="H6396" s="326"/>
      <c r="P6396" s="318"/>
      <c r="Q6396" s="318"/>
      <c r="R6396" s="318"/>
      <c r="S6396" s="318"/>
      <c r="T6396" s="318"/>
      <c r="U6396" s="318"/>
      <c r="V6396" s="318"/>
      <c r="W6396" s="318"/>
      <c r="X6396" s="318"/>
      <c r="Y6396" s="318"/>
      <c r="Z6396" s="318"/>
      <c r="AA6396" s="318"/>
      <c r="AB6396" s="318"/>
      <c r="AC6396" s="318"/>
      <c r="AD6396" s="318"/>
    </row>
    <row r="6397" spans="2:30" s="323" customFormat="1" ht="12" customHeight="1">
      <c r="B6397" s="324"/>
      <c r="C6397" s="325"/>
      <c r="D6397" s="326"/>
      <c r="E6397" s="326"/>
      <c r="F6397" s="326"/>
      <c r="G6397" s="326"/>
      <c r="H6397" s="326"/>
      <c r="P6397" s="318"/>
      <c r="Q6397" s="318"/>
      <c r="R6397" s="318"/>
      <c r="S6397" s="318"/>
      <c r="T6397" s="318"/>
      <c r="U6397" s="318"/>
      <c r="V6397" s="318"/>
      <c r="W6397" s="318"/>
      <c r="X6397" s="318"/>
      <c r="Y6397" s="318"/>
      <c r="Z6397" s="318"/>
      <c r="AA6397" s="318"/>
      <c r="AB6397" s="318"/>
      <c r="AC6397" s="318"/>
      <c r="AD6397" s="318"/>
    </row>
    <row r="6398" spans="2:30" s="323" customFormat="1" ht="12" customHeight="1">
      <c r="B6398" s="324"/>
      <c r="C6398" s="325"/>
      <c r="D6398" s="326"/>
      <c r="E6398" s="326"/>
      <c r="F6398" s="326"/>
      <c r="G6398" s="326"/>
      <c r="H6398" s="326"/>
      <c r="P6398" s="318"/>
      <c r="Q6398" s="318"/>
      <c r="R6398" s="318"/>
      <c r="S6398" s="318"/>
      <c r="T6398" s="318"/>
      <c r="U6398" s="318"/>
      <c r="V6398" s="318"/>
      <c r="W6398" s="318"/>
      <c r="X6398" s="318"/>
      <c r="Y6398" s="318"/>
      <c r="Z6398" s="318"/>
      <c r="AA6398" s="318"/>
      <c r="AB6398" s="318"/>
      <c r="AC6398" s="318"/>
      <c r="AD6398" s="318"/>
    </row>
    <row r="6399" spans="2:30" s="323" customFormat="1" ht="12" customHeight="1">
      <c r="B6399" s="324"/>
      <c r="C6399" s="325"/>
      <c r="D6399" s="326"/>
      <c r="E6399" s="326"/>
      <c r="F6399" s="326"/>
      <c r="G6399" s="326"/>
      <c r="H6399" s="326"/>
      <c r="P6399" s="318"/>
      <c r="Q6399" s="318"/>
      <c r="R6399" s="318"/>
      <c r="S6399" s="318"/>
      <c r="T6399" s="318"/>
      <c r="U6399" s="318"/>
      <c r="V6399" s="318"/>
      <c r="W6399" s="318"/>
      <c r="X6399" s="318"/>
      <c r="Y6399" s="318"/>
      <c r="Z6399" s="318"/>
      <c r="AA6399" s="318"/>
      <c r="AB6399" s="318"/>
      <c r="AC6399" s="318"/>
      <c r="AD6399" s="318"/>
    </row>
    <row r="6400" spans="2:30" s="323" customFormat="1" ht="12" customHeight="1">
      <c r="B6400" s="324"/>
      <c r="C6400" s="325"/>
      <c r="D6400" s="326"/>
      <c r="E6400" s="326"/>
      <c r="F6400" s="326"/>
      <c r="G6400" s="326"/>
      <c r="H6400" s="326"/>
      <c r="P6400" s="318"/>
      <c r="Q6400" s="318"/>
      <c r="R6400" s="318"/>
      <c r="S6400" s="318"/>
      <c r="T6400" s="318"/>
      <c r="U6400" s="318"/>
      <c r="V6400" s="318"/>
      <c r="W6400" s="318"/>
      <c r="X6400" s="318"/>
      <c r="Y6400" s="318"/>
      <c r="Z6400" s="318"/>
      <c r="AA6400" s="318"/>
      <c r="AB6400" s="318"/>
      <c r="AC6400" s="318"/>
      <c r="AD6400" s="318"/>
    </row>
    <row r="6401" spans="2:30" s="323" customFormat="1" ht="12" customHeight="1">
      <c r="B6401" s="324"/>
      <c r="C6401" s="325"/>
      <c r="D6401" s="326"/>
      <c r="E6401" s="326"/>
      <c r="F6401" s="326"/>
      <c r="G6401" s="326"/>
      <c r="H6401" s="326"/>
      <c r="P6401" s="318"/>
      <c r="Q6401" s="318"/>
      <c r="R6401" s="318"/>
      <c r="S6401" s="318"/>
      <c r="T6401" s="318"/>
      <c r="U6401" s="318"/>
      <c r="V6401" s="318"/>
      <c r="W6401" s="318"/>
      <c r="X6401" s="318"/>
      <c r="Y6401" s="318"/>
      <c r="Z6401" s="318"/>
      <c r="AA6401" s="318"/>
      <c r="AB6401" s="318"/>
      <c r="AC6401" s="318"/>
      <c r="AD6401" s="318"/>
    </row>
    <row r="6402" spans="2:30" s="323" customFormat="1" ht="12" customHeight="1">
      <c r="B6402" s="324"/>
      <c r="C6402" s="325"/>
      <c r="D6402" s="326"/>
      <c r="E6402" s="326"/>
      <c r="F6402" s="326"/>
      <c r="G6402" s="326"/>
      <c r="H6402" s="326"/>
      <c r="P6402" s="318"/>
      <c r="Q6402" s="318"/>
      <c r="R6402" s="318"/>
      <c r="S6402" s="318"/>
      <c r="T6402" s="318"/>
      <c r="U6402" s="318"/>
      <c r="V6402" s="318"/>
      <c r="W6402" s="318"/>
      <c r="X6402" s="318"/>
      <c r="Y6402" s="318"/>
      <c r="Z6402" s="318"/>
      <c r="AA6402" s="318"/>
      <c r="AB6402" s="318"/>
      <c r="AC6402" s="318"/>
      <c r="AD6402" s="318"/>
    </row>
    <row r="6403" spans="2:30" s="323" customFormat="1" ht="12" customHeight="1">
      <c r="B6403" s="324"/>
      <c r="C6403" s="325"/>
      <c r="D6403" s="326"/>
      <c r="E6403" s="326"/>
      <c r="F6403" s="326"/>
      <c r="G6403" s="326"/>
      <c r="H6403" s="326"/>
      <c r="P6403" s="318"/>
      <c r="Q6403" s="318"/>
      <c r="R6403" s="318"/>
      <c r="S6403" s="318"/>
      <c r="T6403" s="318"/>
      <c r="U6403" s="318"/>
      <c r="V6403" s="318"/>
      <c r="W6403" s="318"/>
      <c r="X6403" s="318"/>
      <c r="Y6403" s="318"/>
      <c r="Z6403" s="318"/>
      <c r="AA6403" s="318"/>
      <c r="AB6403" s="318"/>
      <c r="AC6403" s="318"/>
      <c r="AD6403" s="318"/>
    </row>
    <row r="6404" spans="2:30" s="323" customFormat="1" ht="12" customHeight="1">
      <c r="B6404" s="324"/>
      <c r="C6404" s="325"/>
      <c r="D6404" s="326"/>
      <c r="E6404" s="326"/>
      <c r="F6404" s="326"/>
      <c r="G6404" s="326"/>
      <c r="H6404" s="326"/>
      <c r="P6404" s="318"/>
      <c r="Q6404" s="318"/>
      <c r="R6404" s="318"/>
      <c r="S6404" s="318"/>
      <c r="T6404" s="318"/>
      <c r="U6404" s="318"/>
      <c r="V6404" s="318"/>
      <c r="W6404" s="318"/>
      <c r="X6404" s="318"/>
      <c r="Y6404" s="318"/>
      <c r="Z6404" s="318"/>
      <c r="AA6404" s="318"/>
      <c r="AB6404" s="318"/>
      <c r="AC6404" s="318"/>
      <c r="AD6404" s="318"/>
    </row>
    <row r="6405" spans="2:30" s="323" customFormat="1" ht="12" customHeight="1">
      <c r="B6405" s="324"/>
      <c r="C6405" s="325"/>
      <c r="D6405" s="326"/>
      <c r="E6405" s="326"/>
      <c r="F6405" s="326"/>
      <c r="G6405" s="326"/>
      <c r="H6405" s="326"/>
      <c r="P6405" s="318"/>
      <c r="Q6405" s="318"/>
      <c r="R6405" s="318"/>
      <c r="S6405" s="318"/>
      <c r="T6405" s="318"/>
      <c r="U6405" s="318"/>
      <c r="V6405" s="318"/>
      <c r="W6405" s="318"/>
      <c r="X6405" s="318"/>
      <c r="Y6405" s="318"/>
      <c r="Z6405" s="318"/>
      <c r="AA6405" s="318"/>
      <c r="AB6405" s="318"/>
      <c r="AC6405" s="318"/>
      <c r="AD6405" s="318"/>
    </row>
    <row r="6406" spans="2:30" s="323" customFormat="1" ht="12" customHeight="1">
      <c r="B6406" s="324"/>
      <c r="C6406" s="325"/>
      <c r="D6406" s="326"/>
      <c r="E6406" s="326"/>
      <c r="F6406" s="326"/>
      <c r="G6406" s="326"/>
      <c r="H6406" s="326"/>
      <c r="P6406" s="318"/>
      <c r="Q6406" s="318"/>
      <c r="R6406" s="318"/>
      <c r="S6406" s="318"/>
      <c r="T6406" s="318"/>
      <c r="U6406" s="318"/>
      <c r="V6406" s="318"/>
      <c r="W6406" s="318"/>
      <c r="X6406" s="318"/>
      <c r="Y6406" s="318"/>
      <c r="Z6406" s="318"/>
      <c r="AA6406" s="318"/>
      <c r="AB6406" s="318"/>
      <c r="AC6406" s="318"/>
      <c r="AD6406" s="318"/>
    </row>
    <row r="6407" spans="2:30" s="323" customFormat="1" ht="12" customHeight="1">
      <c r="B6407" s="324"/>
      <c r="C6407" s="325"/>
      <c r="D6407" s="326"/>
      <c r="E6407" s="326"/>
      <c r="F6407" s="326"/>
      <c r="G6407" s="326"/>
      <c r="H6407" s="326"/>
      <c r="P6407" s="318"/>
      <c r="Q6407" s="318"/>
      <c r="R6407" s="318"/>
      <c r="S6407" s="318"/>
      <c r="T6407" s="318"/>
      <c r="U6407" s="318"/>
      <c r="V6407" s="318"/>
      <c r="W6407" s="318"/>
      <c r="X6407" s="318"/>
      <c r="Y6407" s="318"/>
      <c r="Z6407" s="318"/>
      <c r="AA6407" s="318"/>
      <c r="AB6407" s="318"/>
      <c r="AC6407" s="318"/>
      <c r="AD6407" s="318"/>
    </row>
    <row r="6408" spans="2:30" s="323" customFormat="1" ht="12" customHeight="1">
      <c r="B6408" s="324"/>
      <c r="C6408" s="325"/>
      <c r="D6408" s="326"/>
      <c r="E6408" s="326"/>
      <c r="F6408" s="326"/>
      <c r="G6408" s="326"/>
      <c r="H6408" s="326"/>
      <c r="P6408" s="318"/>
      <c r="Q6408" s="318"/>
      <c r="R6408" s="318"/>
      <c r="S6408" s="318"/>
      <c r="T6408" s="318"/>
      <c r="U6408" s="318"/>
      <c r="V6408" s="318"/>
      <c r="W6408" s="318"/>
      <c r="X6408" s="318"/>
      <c r="Y6408" s="318"/>
      <c r="Z6408" s="318"/>
      <c r="AA6408" s="318"/>
      <c r="AB6408" s="318"/>
      <c r="AC6408" s="318"/>
      <c r="AD6408" s="318"/>
    </row>
    <row r="6409" spans="2:30" s="323" customFormat="1" ht="12" customHeight="1">
      <c r="B6409" s="324"/>
      <c r="C6409" s="325"/>
      <c r="D6409" s="326"/>
      <c r="E6409" s="326"/>
      <c r="F6409" s="326"/>
      <c r="G6409" s="326"/>
      <c r="H6409" s="326"/>
      <c r="P6409" s="318"/>
      <c r="Q6409" s="318"/>
      <c r="R6409" s="318"/>
      <c r="S6409" s="318"/>
      <c r="T6409" s="318"/>
      <c r="U6409" s="318"/>
      <c r="V6409" s="318"/>
      <c r="W6409" s="318"/>
      <c r="X6409" s="318"/>
      <c r="Y6409" s="318"/>
      <c r="Z6409" s="318"/>
      <c r="AA6409" s="318"/>
      <c r="AB6409" s="318"/>
      <c r="AC6409" s="318"/>
      <c r="AD6409" s="318"/>
    </row>
    <row r="6410" spans="2:30" s="323" customFormat="1" ht="12" customHeight="1">
      <c r="B6410" s="324"/>
      <c r="C6410" s="325"/>
      <c r="D6410" s="326"/>
      <c r="E6410" s="326"/>
      <c r="F6410" s="326"/>
      <c r="G6410" s="326"/>
      <c r="H6410" s="326"/>
      <c r="P6410" s="318"/>
      <c r="Q6410" s="318"/>
      <c r="R6410" s="318"/>
      <c r="S6410" s="318"/>
      <c r="T6410" s="318"/>
      <c r="U6410" s="318"/>
      <c r="V6410" s="318"/>
      <c r="W6410" s="318"/>
      <c r="X6410" s="318"/>
      <c r="Y6410" s="318"/>
      <c r="Z6410" s="318"/>
      <c r="AA6410" s="318"/>
      <c r="AB6410" s="318"/>
      <c r="AC6410" s="318"/>
      <c r="AD6410" s="318"/>
    </row>
    <row r="6411" spans="2:30" s="323" customFormat="1" ht="12" customHeight="1">
      <c r="B6411" s="324"/>
      <c r="C6411" s="325"/>
      <c r="D6411" s="326"/>
      <c r="E6411" s="326"/>
      <c r="F6411" s="326"/>
      <c r="G6411" s="326"/>
      <c r="H6411" s="326"/>
      <c r="P6411" s="318"/>
      <c r="Q6411" s="318"/>
      <c r="R6411" s="318"/>
      <c r="S6411" s="318"/>
      <c r="T6411" s="318"/>
      <c r="U6411" s="318"/>
      <c r="V6411" s="318"/>
      <c r="W6411" s="318"/>
      <c r="X6411" s="318"/>
      <c r="Y6411" s="318"/>
      <c r="Z6411" s="318"/>
      <c r="AA6411" s="318"/>
      <c r="AB6411" s="318"/>
      <c r="AC6411" s="318"/>
      <c r="AD6411" s="318"/>
    </row>
    <row r="6412" spans="2:30" s="323" customFormat="1" ht="12" customHeight="1">
      <c r="B6412" s="324"/>
      <c r="C6412" s="325"/>
      <c r="D6412" s="326"/>
      <c r="E6412" s="326"/>
      <c r="F6412" s="326"/>
      <c r="G6412" s="326"/>
      <c r="H6412" s="326"/>
      <c r="P6412" s="318"/>
      <c r="Q6412" s="318"/>
      <c r="R6412" s="318"/>
      <c r="S6412" s="318"/>
      <c r="T6412" s="318"/>
      <c r="U6412" s="318"/>
      <c r="V6412" s="318"/>
      <c r="W6412" s="318"/>
      <c r="X6412" s="318"/>
      <c r="Y6412" s="318"/>
      <c r="Z6412" s="318"/>
      <c r="AA6412" s="318"/>
      <c r="AB6412" s="318"/>
      <c r="AC6412" s="318"/>
      <c r="AD6412" s="318"/>
    </row>
    <row r="6413" spans="2:30" s="323" customFormat="1" ht="12" customHeight="1">
      <c r="B6413" s="324"/>
      <c r="C6413" s="325"/>
      <c r="D6413" s="326"/>
      <c r="E6413" s="326"/>
      <c r="F6413" s="326"/>
      <c r="G6413" s="326"/>
      <c r="H6413" s="326"/>
      <c r="P6413" s="318"/>
      <c r="Q6413" s="318"/>
      <c r="R6413" s="318"/>
      <c r="S6413" s="318"/>
      <c r="T6413" s="318"/>
      <c r="U6413" s="318"/>
      <c r="V6413" s="318"/>
      <c r="W6413" s="318"/>
      <c r="X6413" s="318"/>
      <c r="Y6413" s="318"/>
      <c r="Z6413" s="318"/>
      <c r="AA6413" s="318"/>
      <c r="AB6413" s="318"/>
      <c r="AC6413" s="318"/>
      <c r="AD6413" s="318"/>
    </row>
    <row r="6414" spans="2:30" s="323" customFormat="1" ht="12" customHeight="1">
      <c r="B6414" s="324"/>
      <c r="C6414" s="325"/>
      <c r="D6414" s="326"/>
      <c r="E6414" s="326"/>
      <c r="F6414" s="326"/>
      <c r="G6414" s="326"/>
      <c r="H6414" s="326"/>
      <c r="P6414" s="318"/>
      <c r="Q6414" s="318"/>
      <c r="R6414" s="318"/>
      <c r="S6414" s="318"/>
      <c r="T6414" s="318"/>
      <c r="U6414" s="318"/>
      <c r="V6414" s="318"/>
      <c r="W6414" s="318"/>
      <c r="X6414" s="318"/>
      <c r="Y6414" s="318"/>
      <c r="Z6414" s="318"/>
      <c r="AA6414" s="318"/>
      <c r="AB6414" s="318"/>
      <c r="AC6414" s="318"/>
      <c r="AD6414" s="318"/>
    </row>
    <row r="6415" spans="2:30" s="323" customFormat="1" ht="12" customHeight="1">
      <c r="B6415" s="324"/>
      <c r="C6415" s="325"/>
      <c r="D6415" s="326"/>
      <c r="E6415" s="326"/>
      <c r="F6415" s="326"/>
      <c r="G6415" s="326"/>
      <c r="H6415" s="326"/>
      <c r="P6415" s="318"/>
      <c r="Q6415" s="318"/>
      <c r="R6415" s="318"/>
      <c r="S6415" s="318"/>
      <c r="T6415" s="318"/>
      <c r="U6415" s="318"/>
      <c r="V6415" s="318"/>
      <c r="W6415" s="318"/>
      <c r="X6415" s="318"/>
      <c r="Y6415" s="318"/>
      <c r="Z6415" s="318"/>
      <c r="AA6415" s="318"/>
      <c r="AB6415" s="318"/>
      <c r="AC6415" s="318"/>
      <c r="AD6415" s="318"/>
    </row>
    <row r="6416" spans="2:30" s="323" customFormat="1" ht="12" customHeight="1">
      <c r="B6416" s="324"/>
      <c r="C6416" s="325"/>
      <c r="D6416" s="326"/>
      <c r="E6416" s="326"/>
      <c r="F6416" s="326"/>
      <c r="G6416" s="326"/>
      <c r="H6416" s="326"/>
      <c r="P6416" s="318"/>
      <c r="Q6416" s="318"/>
      <c r="R6416" s="318"/>
      <c r="S6416" s="318"/>
      <c r="T6416" s="318"/>
      <c r="U6416" s="318"/>
      <c r="V6416" s="318"/>
      <c r="W6416" s="318"/>
      <c r="X6416" s="318"/>
      <c r="Y6416" s="318"/>
      <c r="Z6416" s="318"/>
      <c r="AA6416" s="318"/>
      <c r="AB6416" s="318"/>
      <c r="AC6416" s="318"/>
      <c r="AD6416" s="318"/>
    </row>
    <row r="6417" spans="2:30" s="323" customFormat="1" ht="12" customHeight="1">
      <c r="B6417" s="324"/>
      <c r="C6417" s="325"/>
      <c r="D6417" s="326"/>
      <c r="E6417" s="326"/>
      <c r="F6417" s="326"/>
      <c r="G6417" s="326"/>
      <c r="H6417" s="326"/>
      <c r="P6417" s="318"/>
      <c r="Q6417" s="318"/>
      <c r="R6417" s="318"/>
      <c r="S6417" s="318"/>
      <c r="T6417" s="318"/>
      <c r="U6417" s="318"/>
      <c r="V6417" s="318"/>
      <c r="W6417" s="318"/>
      <c r="X6417" s="318"/>
      <c r="Y6417" s="318"/>
      <c r="Z6417" s="318"/>
      <c r="AA6417" s="318"/>
      <c r="AB6417" s="318"/>
      <c r="AC6417" s="318"/>
      <c r="AD6417" s="318"/>
    </row>
    <row r="6418" spans="2:30" s="323" customFormat="1" ht="12" customHeight="1">
      <c r="B6418" s="324"/>
      <c r="C6418" s="325"/>
      <c r="D6418" s="326"/>
      <c r="E6418" s="326"/>
      <c r="F6418" s="326"/>
      <c r="G6418" s="326"/>
      <c r="H6418" s="326"/>
      <c r="P6418" s="318"/>
      <c r="Q6418" s="318"/>
      <c r="R6418" s="318"/>
      <c r="S6418" s="318"/>
      <c r="T6418" s="318"/>
      <c r="U6418" s="318"/>
      <c r="V6418" s="318"/>
      <c r="W6418" s="318"/>
      <c r="X6418" s="318"/>
      <c r="Y6418" s="318"/>
      <c r="Z6418" s="318"/>
      <c r="AA6418" s="318"/>
      <c r="AB6418" s="318"/>
      <c r="AC6418" s="318"/>
      <c r="AD6418" s="318"/>
    </row>
    <row r="6419" spans="2:30" s="323" customFormat="1" ht="12" customHeight="1">
      <c r="B6419" s="324"/>
      <c r="C6419" s="325"/>
      <c r="D6419" s="326"/>
      <c r="E6419" s="326"/>
      <c r="F6419" s="326"/>
      <c r="G6419" s="326"/>
      <c r="H6419" s="326"/>
      <c r="P6419" s="318"/>
      <c r="Q6419" s="318"/>
      <c r="R6419" s="318"/>
      <c r="S6419" s="318"/>
      <c r="T6419" s="318"/>
      <c r="U6419" s="318"/>
      <c r="V6419" s="318"/>
      <c r="W6419" s="318"/>
      <c r="X6419" s="318"/>
      <c r="Y6419" s="318"/>
      <c r="Z6419" s="318"/>
      <c r="AA6419" s="318"/>
      <c r="AB6419" s="318"/>
      <c r="AC6419" s="318"/>
      <c r="AD6419" s="318"/>
    </row>
    <row r="6420" spans="2:30" s="323" customFormat="1" ht="12" customHeight="1">
      <c r="B6420" s="324"/>
      <c r="C6420" s="325"/>
      <c r="D6420" s="326"/>
      <c r="E6420" s="326"/>
      <c r="F6420" s="326"/>
      <c r="G6420" s="326"/>
      <c r="H6420" s="326"/>
      <c r="P6420" s="318"/>
      <c r="Q6420" s="318"/>
      <c r="R6420" s="318"/>
      <c r="S6420" s="318"/>
      <c r="T6420" s="318"/>
      <c r="U6420" s="318"/>
      <c r="V6420" s="318"/>
      <c r="W6420" s="318"/>
      <c r="X6420" s="318"/>
      <c r="Y6420" s="318"/>
      <c r="Z6420" s="318"/>
      <c r="AA6420" s="318"/>
      <c r="AB6420" s="318"/>
      <c r="AC6420" s="318"/>
      <c r="AD6420" s="318"/>
    </row>
    <row r="6421" spans="2:30" s="323" customFormat="1" ht="12" customHeight="1">
      <c r="B6421" s="324"/>
      <c r="C6421" s="325"/>
      <c r="D6421" s="326"/>
      <c r="E6421" s="326"/>
      <c r="F6421" s="326"/>
      <c r="G6421" s="326"/>
      <c r="H6421" s="326"/>
      <c r="P6421" s="318"/>
      <c r="Q6421" s="318"/>
      <c r="R6421" s="318"/>
      <c r="S6421" s="318"/>
      <c r="T6421" s="318"/>
      <c r="U6421" s="318"/>
      <c r="V6421" s="318"/>
      <c r="W6421" s="318"/>
      <c r="X6421" s="318"/>
      <c r="Y6421" s="318"/>
      <c r="Z6421" s="318"/>
      <c r="AA6421" s="318"/>
      <c r="AB6421" s="318"/>
      <c r="AC6421" s="318"/>
      <c r="AD6421" s="318"/>
    </row>
    <row r="6422" spans="2:30" s="323" customFormat="1" ht="12" customHeight="1">
      <c r="B6422" s="324"/>
      <c r="C6422" s="325"/>
      <c r="D6422" s="326"/>
      <c r="E6422" s="326"/>
      <c r="F6422" s="326"/>
      <c r="G6422" s="326"/>
      <c r="H6422" s="326"/>
      <c r="P6422" s="318"/>
      <c r="Q6422" s="318"/>
      <c r="R6422" s="318"/>
      <c r="S6422" s="318"/>
      <c r="T6422" s="318"/>
      <c r="U6422" s="318"/>
      <c r="V6422" s="318"/>
      <c r="W6422" s="318"/>
      <c r="X6422" s="318"/>
      <c r="Y6422" s="318"/>
      <c r="Z6422" s="318"/>
      <c r="AA6422" s="318"/>
      <c r="AB6422" s="318"/>
      <c r="AC6422" s="318"/>
      <c r="AD6422" s="318"/>
    </row>
    <row r="6423" spans="2:30" s="323" customFormat="1" ht="12" customHeight="1">
      <c r="B6423" s="324"/>
      <c r="C6423" s="325"/>
      <c r="D6423" s="326"/>
      <c r="E6423" s="326"/>
      <c r="F6423" s="326"/>
      <c r="G6423" s="326"/>
      <c r="H6423" s="326"/>
      <c r="P6423" s="318"/>
      <c r="Q6423" s="318"/>
      <c r="R6423" s="318"/>
      <c r="S6423" s="318"/>
      <c r="T6423" s="318"/>
      <c r="U6423" s="318"/>
      <c r="V6423" s="318"/>
      <c r="W6423" s="318"/>
      <c r="X6423" s="318"/>
      <c r="Y6423" s="318"/>
      <c r="Z6423" s="318"/>
      <c r="AA6423" s="318"/>
      <c r="AB6423" s="318"/>
      <c r="AC6423" s="318"/>
      <c r="AD6423" s="318"/>
    </row>
    <row r="6424" spans="2:30" s="323" customFormat="1" ht="12" customHeight="1">
      <c r="B6424" s="324"/>
      <c r="C6424" s="325"/>
      <c r="D6424" s="326"/>
      <c r="E6424" s="326"/>
      <c r="F6424" s="326"/>
      <c r="G6424" s="326"/>
      <c r="H6424" s="326"/>
      <c r="P6424" s="318"/>
      <c r="Q6424" s="318"/>
      <c r="R6424" s="318"/>
      <c r="S6424" s="318"/>
      <c r="T6424" s="318"/>
      <c r="U6424" s="318"/>
      <c r="V6424" s="318"/>
      <c r="W6424" s="318"/>
      <c r="X6424" s="318"/>
      <c r="Y6424" s="318"/>
      <c r="Z6424" s="318"/>
      <c r="AA6424" s="318"/>
      <c r="AB6424" s="318"/>
      <c r="AC6424" s="318"/>
      <c r="AD6424" s="318"/>
    </row>
    <row r="6425" spans="2:30" s="323" customFormat="1" ht="12" customHeight="1">
      <c r="B6425" s="324"/>
      <c r="C6425" s="325"/>
      <c r="D6425" s="326"/>
      <c r="E6425" s="326"/>
      <c r="F6425" s="326"/>
      <c r="G6425" s="326"/>
      <c r="H6425" s="326"/>
      <c r="P6425" s="318"/>
      <c r="Q6425" s="318"/>
      <c r="R6425" s="318"/>
      <c r="S6425" s="318"/>
      <c r="T6425" s="318"/>
      <c r="U6425" s="318"/>
      <c r="V6425" s="318"/>
      <c r="W6425" s="318"/>
      <c r="X6425" s="318"/>
      <c r="Y6425" s="318"/>
      <c r="Z6425" s="318"/>
      <c r="AA6425" s="318"/>
      <c r="AB6425" s="318"/>
      <c r="AC6425" s="318"/>
      <c r="AD6425" s="318"/>
    </row>
    <row r="6426" spans="2:30" s="323" customFormat="1" ht="12" customHeight="1">
      <c r="B6426" s="324"/>
      <c r="C6426" s="325"/>
      <c r="D6426" s="326"/>
      <c r="E6426" s="326"/>
      <c r="F6426" s="326"/>
      <c r="G6426" s="326"/>
      <c r="H6426" s="326"/>
      <c r="P6426" s="318"/>
      <c r="Q6426" s="318"/>
      <c r="R6426" s="318"/>
      <c r="S6426" s="318"/>
      <c r="T6426" s="318"/>
      <c r="U6426" s="318"/>
      <c r="V6426" s="318"/>
      <c r="W6426" s="318"/>
      <c r="X6426" s="318"/>
      <c r="Y6426" s="318"/>
      <c r="Z6426" s="318"/>
      <c r="AA6426" s="318"/>
      <c r="AB6426" s="318"/>
      <c r="AC6426" s="318"/>
      <c r="AD6426" s="318"/>
    </row>
    <row r="6427" spans="2:30" s="323" customFormat="1" ht="12" customHeight="1">
      <c r="B6427" s="324"/>
      <c r="C6427" s="325"/>
      <c r="D6427" s="326"/>
      <c r="E6427" s="326"/>
      <c r="F6427" s="326"/>
      <c r="G6427" s="326"/>
      <c r="H6427" s="326"/>
      <c r="P6427" s="318"/>
      <c r="Q6427" s="318"/>
      <c r="R6427" s="318"/>
      <c r="S6427" s="318"/>
      <c r="T6427" s="318"/>
      <c r="U6427" s="318"/>
      <c r="V6427" s="318"/>
      <c r="W6427" s="318"/>
      <c r="X6427" s="318"/>
      <c r="Y6427" s="318"/>
      <c r="Z6427" s="318"/>
      <c r="AA6427" s="318"/>
      <c r="AB6427" s="318"/>
      <c r="AC6427" s="318"/>
      <c r="AD6427" s="318"/>
    </row>
    <row r="6428" spans="2:30" s="323" customFormat="1" ht="12" customHeight="1">
      <c r="B6428" s="324"/>
      <c r="C6428" s="325"/>
      <c r="D6428" s="326"/>
      <c r="E6428" s="326"/>
      <c r="F6428" s="326"/>
      <c r="G6428" s="326"/>
      <c r="H6428" s="326"/>
      <c r="P6428" s="318"/>
      <c r="Q6428" s="318"/>
      <c r="R6428" s="318"/>
      <c r="S6428" s="318"/>
      <c r="T6428" s="318"/>
      <c r="U6428" s="318"/>
      <c r="V6428" s="318"/>
      <c r="W6428" s="318"/>
      <c r="X6428" s="318"/>
      <c r="Y6428" s="318"/>
      <c r="Z6428" s="318"/>
      <c r="AA6428" s="318"/>
      <c r="AB6428" s="318"/>
      <c r="AC6428" s="318"/>
      <c r="AD6428" s="318"/>
    </row>
    <row r="6429" spans="2:30" s="323" customFormat="1" ht="12" customHeight="1">
      <c r="B6429" s="324"/>
      <c r="C6429" s="325"/>
      <c r="D6429" s="326"/>
      <c r="E6429" s="326"/>
      <c r="F6429" s="326"/>
      <c r="G6429" s="326"/>
      <c r="H6429" s="326"/>
      <c r="P6429" s="318"/>
      <c r="Q6429" s="318"/>
      <c r="R6429" s="318"/>
      <c r="S6429" s="318"/>
      <c r="T6429" s="318"/>
      <c r="U6429" s="318"/>
      <c r="V6429" s="318"/>
      <c r="W6429" s="318"/>
      <c r="X6429" s="318"/>
      <c r="Y6429" s="318"/>
      <c r="Z6429" s="318"/>
      <c r="AA6429" s="318"/>
      <c r="AB6429" s="318"/>
      <c r="AC6429" s="318"/>
      <c r="AD6429" s="318"/>
    </row>
    <row r="6430" spans="2:30" s="323" customFormat="1" ht="12" customHeight="1">
      <c r="B6430" s="324"/>
      <c r="C6430" s="325"/>
      <c r="D6430" s="326"/>
      <c r="E6430" s="326"/>
      <c r="F6430" s="326"/>
      <c r="G6430" s="326"/>
      <c r="H6430" s="326"/>
      <c r="P6430" s="318"/>
      <c r="Q6430" s="318"/>
      <c r="R6430" s="318"/>
      <c r="S6430" s="318"/>
      <c r="T6430" s="318"/>
      <c r="U6430" s="318"/>
      <c r="V6430" s="318"/>
      <c r="W6430" s="318"/>
      <c r="X6430" s="318"/>
      <c r="Y6430" s="318"/>
      <c r="Z6430" s="318"/>
      <c r="AA6430" s="318"/>
      <c r="AB6430" s="318"/>
      <c r="AC6430" s="318"/>
      <c r="AD6430" s="318"/>
    </row>
    <row r="6431" spans="2:30" s="323" customFormat="1" ht="12" customHeight="1">
      <c r="B6431" s="324"/>
      <c r="C6431" s="325"/>
      <c r="D6431" s="326"/>
      <c r="E6431" s="326"/>
      <c r="F6431" s="326"/>
      <c r="G6431" s="326"/>
      <c r="H6431" s="326"/>
      <c r="P6431" s="318"/>
      <c r="Q6431" s="318"/>
      <c r="R6431" s="318"/>
      <c r="S6431" s="318"/>
      <c r="T6431" s="318"/>
      <c r="U6431" s="318"/>
      <c r="V6431" s="318"/>
      <c r="W6431" s="318"/>
      <c r="X6431" s="318"/>
      <c r="Y6431" s="318"/>
      <c r="Z6431" s="318"/>
      <c r="AA6431" s="318"/>
      <c r="AB6431" s="318"/>
      <c r="AC6431" s="318"/>
      <c r="AD6431" s="318"/>
    </row>
    <row r="6432" spans="2:30" s="323" customFormat="1" ht="12" customHeight="1">
      <c r="B6432" s="324"/>
      <c r="C6432" s="325"/>
      <c r="D6432" s="326"/>
      <c r="E6432" s="326"/>
      <c r="F6432" s="326"/>
      <c r="G6432" s="326"/>
      <c r="H6432" s="326"/>
      <c r="P6432" s="318"/>
      <c r="Q6432" s="318"/>
      <c r="R6432" s="318"/>
      <c r="S6432" s="318"/>
      <c r="T6432" s="318"/>
      <c r="U6432" s="318"/>
      <c r="V6432" s="318"/>
      <c r="W6432" s="318"/>
      <c r="X6432" s="318"/>
      <c r="Y6432" s="318"/>
      <c r="Z6432" s="318"/>
      <c r="AA6432" s="318"/>
      <c r="AB6432" s="318"/>
      <c r="AC6432" s="318"/>
      <c r="AD6432" s="318"/>
    </row>
    <row r="6433" spans="2:30" s="323" customFormat="1" ht="12" customHeight="1">
      <c r="B6433" s="324"/>
      <c r="C6433" s="325"/>
      <c r="D6433" s="326"/>
      <c r="E6433" s="326"/>
      <c r="F6433" s="326"/>
      <c r="G6433" s="326"/>
      <c r="H6433" s="326"/>
      <c r="P6433" s="318"/>
      <c r="Q6433" s="318"/>
      <c r="R6433" s="318"/>
      <c r="S6433" s="318"/>
      <c r="T6433" s="318"/>
      <c r="U6433" s="318"/>
      <c r="V6433" s="318"/>
      <c r="W6433" s="318"/>
      <c r="X6433" s="318"/>
      <c r="Y6433" s="318"/>
      <c r="Z6433" s="318"/>
      <c r="AA6433" s="318"/>
      <c r="AB6433" s="318"/>
      <c r="AC6433" s="318"/>
      <c r="AD6433" s="318"/>
    </row>
    <row r="6434" spans="2:30" s="323" customFormat="1" ht="12" customHeight="1">
      <c r="B6434" s="324"/>
      <c r="C6434" s="325"/>
      <c r="D6434" s="326"/>
      <c r="E6434" s="326"/>
      <c r="F6434" s="326"/>
      <c r="G6434" s="326"/>
      <c r="H6434" s="326"/>
      <c r="P6434" s="318"/>
      <c r="Q6434" s="318"/>
      <c r="R6434" s="318"/>
      <c r="S6434" s="318"/>
      <c r="T6434" s="318"/>
      <c r="U6434" s="318"/>
      <c r="V6434" s="318"/>
      <c r="W6434" s="318"/>
      <c r="X6434" s="318"/>
      <c r="Y6434" s="318"/>
      <c r="Z6434" s="318"/>
      <c r="AA6434" s="318"/>
      <c r="AB6434" s="318"/>
      <c r="AC6434" s="318"/>
      <c r="AD6434" s="318"/>
    </row>
    <row r="6435" spans="2:30" s="323" customFormat="1" ht="12" customHeight="1">
      <c r="B6435" s="324"/>
      <c r="C6435" s="325"/>
      <c r="D6435" s="326"/>
      <c r="E6435" s="326"/>
      <c r="F6435" s="326"/>
      <c r="G6435" s="326"/>
      <c r="H6435" s="326"/>
      <c r="P6435" s="318"/>
      <c r="Q6435" s="318"/>
      <c r="R6435" s="318"/>
      <c r="S6435" s="318"/>
      <c r="T6435" s="318"/>
      <c r="U6435" s="318"/>
      <c r="V6435" s="318"/>
      <c r="W6435" s="318"/>
      <c r="X6435" s="318"/>
      <c r="Y6435" s="318"/>
      <c r="Z6435" s="318"/>
      <c r="AA6435" s="318"/>
      <c r="AB6435" s="318"/>
      <c r="AC6435" s="318"/>
      <c r="AD6435" s="318"/>
    </row>
    <row r="6436" spans="2:30" s="323" customFormat="1" ht="12" customHeight="1">
      <c r="B6436" s="324"/>
      <c r="C6436" s="325"/>
      <c r="D6436" s="326"/>
      <c r="E6436" s="326"/>
      <c r="F6436" s="326"/>
      <c r="G6436" s="326"/>
      <c r="H6436" s="326"/>
      <c r="P6436" s="318"/>
      <c r="Q6436" s="318"/>
      <c r="R6436" s="318"/>
      <c r="S6436" s="318"/>
      <c r="T6436" s="318"/>
      <c r="U6436" s="318"/>
      <c r="V6436" s="318"/>
      <c r="W6436" s="318"/>
      <c r="X6436" s="318"/>
      <c r="Y6436" s="318"/>
      <c r="Z6436" s="318"/>
      <c r="AA6436" s="318"/>
      <c r="AB6436" s="318"/>
      <c r="AC6436" s="318"/>
      <c r="AD6436" s="318"/>
    </row>
    <row r="6437" spans="2:30" s="323" customFormat="1" ht="12" customHeight="1">
      <c r="B6437" s="324"/>
      <c r="C6437" s="325"/>
      <c r="D6437" s="326"/>
      <c r="E6437" s="326"/>
      <c r="F6437" s="326"/>
      <c r="G6437" s="326"/>
      <c r="H6437" s="326"/>
      <c r="P6437" s="318"/>
      <c r="Q6437" s="318"/>
      <c r="R6437" s="318"/>
      <c r="S6437" s="318"/>
      <c r="T6437" s="318"/>
      <c r="U6437" s="318"/>
      <c r="V6437" s="318"/>
      <c r="W6437" s="318"/>
      <c r="X6437" s="318"/>
      <c r="Y6437" s="318"/>
      <c r="Z6437" s="318"/>
      <c r="AA6437" s="318"/>
      <c r="AB6437" s="318"/>
      <c r="AC6437" s="318"/>
      <c r="AD6437" s="318"/>
    </row>
    <row r="6438" spans="2:30" s="323" customFormat="1" ht="12" customHeight="1">
      <c r="B6438" s="324"/>
      <c r="C6438" s="325"/>
      <c r="D6438" s="326"/>
      <c r="E6438" s="326"/>
      <c r="F6438" s="326"/>
      <c r="G6438" s="326"/>
      <c r="H6438" s="326"/>
      <c r="P6438" s="318"/>
      <c r="Q6438" s="318"/>
      <c r="R6438" s="318"/>
      <c r="S6438" s="318"/>
      <c r="T6438" s="318"/>
      <c r="U6438" s="318"/>
      <c r="V6438" s="318"/>
      <c r="W6438" s="318"/>
      <c r="X6438" s="318"/>
      <c r="Y6438" s="318"/>
      <c r="Z6438" s="318"/>
      <c r="AA6438" s="318"/>
      <c r="AB6438" s="318"/>
      <c r="AC6438" s="318"/>
      <c r="AD6438" s="318"/>
    </row>
    <row r="6439" spans="2:30" s="323" customFormat="1" ht="12" customHeight="1">
      <c r="B6439" s="324"/>
      <c r="C6439" s="325"/>
      <c r="D6439" s="326"/>
      <c r="E6439" s="326"/>
      <c r="F6439" s="326"/>
      <c r="G6439" s="326"/>
      <c r="H6439" s="326"/>
      <c r="P6439" s="318"/>
      <c r="Q6439" s="318"/>
      <c r="R6439" s="318"/>
      <c r="S6439" s="318"/>
      <c r="T6439" s="318"/>
      <c r="U6439" s="318"/>
      <c r="V6439" s="318"/>
      <c r="W6439" s="318"/>
      <c r="X6439" s="318"/>
      <c r="Y6439" s="318"/>
      <c r="Z6439" s="318"/>
      <c r="AA6439" s="318"/>
      <c r="AB6439" s="318"/>
      <c r="AC6439" s="318"/>
      <c r="AD6439" s="318"/>
    </row>
    <row r="6440" spans="2:30" s="323" customFormat="1" ht="12" customHeight="1">
      <c r="B6440" s="324"/>
      <c r="C6440" s="325"/>
      <c r="D6440" s="326"/>
      <c r="E6440" s="326"/>
      <c r="F6440" s="326"/>
      <c r="G6440" s="326"/>
      <c r="H6440" s="326"/>
      <c r="P6440" s="318"/>
      <c r="Q6440" s="318"/>
      <c r="R6440" s="318"/>
      <c r="S6440" s="318"/>
      <c r="T6440" s="318"/>
      <c r="U6440" s="318"/>
      <c r="V6440" s="318"/>
      <c r="W6440" s="318"/>
      <c r="X6440" s="318"/>
      <c r="Y6440" s="318"/>
      <c r="Z6440" s="318"/>
      <c r="AA6440" s="318"/>
      <c r="AB6440" s="318"/>
      <c r="AC6440" s="318"/>
      <c r="AD6440" s="318"/>
    </row>
    <row r="6441" spans="2:30" s="323" customFormat="1" ht="12" customHeight="1">
      <c r="B6441" s="324"/>
      <c r="C6441" s="325"/>
      <c r="D6441" s="326"/>
      <c r="E6441" s="326"/>
      <c r="F6441" s="326"/>
      <c r="G6441" s="326"/>
      <c r="H6441" s="326"/>
      <c r="P6441" s="318"/>
      <c r="Q6441" s="318"/>
      <c r="R6441" s="318"/>
      <c r="S6441" s="318"/>
      <c r="T6441" s="318"/>
      <c r="U6441" s="318"/>
      <c r="V6441" s="318"/>
      <c r="W6441" s="318"/>
      <c r="X6441" s="318"/>
      <c r="Y6441" s="318"/>
      <c r="Z6441" s="318"/>
      <c r="AA6441" s="318"/>
      <c r="AB6441" s="318"/>
      <c r="AC6441" s="318"/>
      <c r="AD6441" s="318"/>
    </row>
    <row r="6442" spans="2:30" s="323" customFormat="1" ht="12" customHeight="1">
      <c r="B6442" s="324"/>
      <c r="C6442" s="325"/>
      <c r="D6442" s="326"/>
      <c r="E6442" s="326"/>
      <c r="F6442" s="326"/>
      <c r="G6442" s="326"/>
      <c r="H6442" s="326"/>
      <c r="P6442" s="318"/>
      <c r="Q6442" s="318"/>
      <c r="R6442" s="318"/>
      <c r="S6442" s="318"/>
      <c r="T6442" s="318"/>
      <c r="U6442" s="318"/>
      <c r="V6442" s="318"/>
      <c r="W6442" s="318"/>
      <c r="X6442" s="318"/>
      <c r="Y6442" s="318"/>
      <c r="Z6442" s="318"/>
      <c r="AA6442" s="318"/>
      <c r="AB6442" s="318"/>
      <c r="AC6442" s="318"/>
      <c r="AD6442" s="318"/>
    </row>
    <row r="6443" spans="2:30" s="323" customFormat="1" ht="12" customHeight="1">
      <c r="B6443" s="324"/>
      <c r="C6443" s="325"/>
      <c r="D6443" s="326"/>
      <c r="E6443" s="326"/>
      <c r="F6443" s="326"/>
      <c r="G6443" s="326"/>
      <c r="H6443" s="326"/>
      <c r="P6443" s="318"/>
      <c r="Q6443" s="318"/>
      <c r="R6443" s="318"/>
      <c r="S6443" s="318"/>
      <c r="T6443" s="318"/>
      <c r="U6443" s="318"/>
      <c r="V6443" s="318"/>
      <c r="W6443" s="318"/>
      <c r="X6443" s="318"/>
      <c r="Y6443" s="318"/>
      <c r="Z6443" s="318"/>
      <c r="AA6443" s="318"/>
      <c r="AB6443" s="318"/>
      <c r="AC6443" s="318"/>
      <c r="AD6443" s="318"/>
    </row>
    <row r="6444" spans="2:30" s="323" customFormat="1" ht="12" customHeight="1">
      <c r="B6444" s="324"/>
      <c r="C6444" s="325"/>
      <c r="D6444" s="326"/>
      <c r="E6444" s="326"/>
      <c r="F6444" s="326"/>
      <c r="G6444" s="326"/>
      <c r="H6444" s="326"/>
      <c r="P6444" s="318"/>
      <c r="Q6444" s="318"/>
      <c r="R6444" s="318"/>
      <c r="S6444" s="318"/>
      <c r="T6444" s="318"/>
      <c r="U6444" s="318"/>
      <c r="V6444" s="318"/>
      <c r="W6444" s="318"/>
      <c r="X6444" s="318"/>
      <c r="Y6444" s="318"/>
      <c r="Z6444" s="318"/>
      <c r="AA6444" s="318"/>
      <c r="AB6444" s="318"/>
      <c r="AC6444" s="318"/>
      <c r="AD6444" s="318"/>
    </row>
    <row r="6445" spans="2:30" s="323" customFormat="1" ht="12" customHeight="1">
      <c r="B6445" s="324"/>
      <c r="C6445" s="325"/>
      <c r="D6445" s="326"/>
      <c r="E6445" s="326"/>
      <c r="F6445" s="326"/>
      <c r="G6445" s="326"/>
      <c r="H6445" s="326"/>
      <c r="P6445" s="318"/>
      <c r="Q6445" s="318"/>
      <c r="R6445" s="318"/>
      <c r="S6445" s="318"/>
      <c r="T6445" s="318"/>
      <c r="U6445" s="318"/>
      <c r="V6445" s="318"/>
      <c r="W6445" s="318"/>
      <c r="X6445" s="318"/>
      <c r="Y6445" s="318"/>
      <c r="Z6445" s="318"/>
      <c r="AA6445" s="318"/>
      <c r="AB6445" s="318"/>
      <c r="AC6445" s="318"/>
      <c r="AD6445" s="318"/>
    </row>
    <row r="6446" spans="2:30" s="323" customFormat="1" ht="12" customHeight="1">
      <c r="B6446" s="324"/>
      <c r="C6446" s="325"/>
      <c r="D6446" s="326"/>
      <c r="E6446" s="326"/>
      <c r="F6446" s="326"/>
      <c r="G6446" s="326"/>
      <c r="H6446" s="326"/>
      <c r="P6446" s="318"/>
      <c r="Q6446" s="318"/>
      <c r="R6446" s="318"/>
      <c r="S6446" s="318"/>
      <c r="T6446" s="318"/>
      <c r="U6446" s="318"/>
      <c r="V6446" s="318"/>
      <c r="W6446" s="318"/>
      <c r="X6446" s="318"/>
      <c r="Y6446" s="318"/>
      <c r="Z6446" s="318"/>
      <c r="AA6446" s="318"/>
      <c r="AB6446" s="318"/>
      <c r="AC6446" s="318"/>
      <c r="AD6446" s="318"/>
    </row>
    <row r="6447" spans="2:30" s="323" customFormat="1" ht="12" customHeight="1">
      <c r="B6447" s="324"/>
      <c r="C6447" s="325"/>
      <c r="D6447" s="326"/>
      <c r="E6447" s="326"/>
      <c r="F6447" s="326"/>
      <c r="G6447" s="326"/>
      <c r="H6447" s="326"/>
      <c r="P6447" s="318"/>
      <c r="Q6447" s="318"/>
      <c r="R6447" s="318"/>
      <c r="S6447" s="318"/>
      <c r="T6447" s="318"/>
      <c r="U6447" s="318"/>
      <c r="V6447" s="318"/>
      <c r="W6447" s="318"/>
      <c r="X6447" s="318"/>
      <c r="Y6447" s="318"/>
      <c r="Z6447" s="318"/>
      <c r="AA6447" s="318"/>
      <c r="AB6447" s="318"/>
      <c r="AC6447" s="318"/>
      <c r="AD6447" s="318"/>
    </row>
    <row r="6448" spans="2:30" s="323" customFormat="1" ht="12" customHeight="1">
      <c r="B6448" s="324"/>
      <c r="C6448" s="325"/>
      <c r="D6448" s="326"/>
      <c r="E6448" s="326"/>
      <c r="F6448" s="326"/>
      <c r="G6448" s="326"/>
      <c r="H6448" s="326"/>
      <c r="P6448" s="318"/>
      <c r="Q6448" s="318"/>
      <c r="R6448" s="318"/>
      <c r="S6448" s="318"/>
      <c r="T6448" s="318"/>
      <c r="U6448" s="318"/>
      <c r="V6448" s="318"/>
      <c r="W6448" s="318"/>
      <c r="X6448" s="318"/>
      <c r="Y6448" s="318"/>
      <c r="Z6448" s="318"/>
      <c r="AA6448" s="318"/>
      <c r="AB6448" s="318"/>
      <c r="AC6448" s="318"/>
      <c r="AD6448" s="318"/>
    </row>
    <row r="6449" spans="2:30" s="323" customFormat="1" ht="12" customHeight="1">
      <c r="B6449" s="324"/>
      <c r="C6449" s="325"/>
      <c r="D6449" s="326"/>
      <c r="E6449" s="326"/>
      <c r="F6449" s="326"/>
      <c r="G6449" s="326"/>
      <c r="H6449" s="326"/>
      <c r="P6449" s="318"/>
      <c r="Q6449" s="318"/>
      <c r="R6449" s="318"/>
      <c r="S6449" s="318"/>
      <c r="T6449" s="318"/>
      <c r="U6449" s="318"/>
      <c r="V6449" s="318"/>
      <c r="W6449" s="318"/>
      <c r="X6449" s="318"/>
      <c r="Y6449" s="318"/>
      <c r="Z6449" s="318"/>
      <c r="AA6449" s="318"/>
      <c r="AB6449" s="318"/>
      <c r="AC6449" s="318"/>
      <c r="AD6449" s="318"/>
    </row>
    <row r="6450" spans="2:30" s="323" customFormat="1" ht="12" customHeight="1">
      <c r="B6450" s="324"/>
      <c r="C6450" s="325"/>
      <c r="D6450" s="326"/>
      <c r="E6450" s="326"/>
      <c r="F6450" s="326"/>
      <c r="G6450" s="326"/>
      <c r="H6450" s="326"/>
      <c r="P6450" s="318"/>
      <c r="Q6450" s="318"/>
      <c r="R6450" s="318"/>
      <c r="S6450" s="318"/>
      <c r="T6450" s="318"/>
      <c r="U6450" s="318"/>
      <c r="V6450" s="318"/>
      <c r="W6450" s="318"/>
      <c r="X6450" s="318"/>
      <c r="Y6450" s="318"/>
      <c r="Z6450" s="318"/>
      <c r="AA6450" s="318"/>
      <c r="AB6450" s="318"/>
      <c r="AC6450" s="318"/>
      <c r="AD6450" s="318"/>
    </row>
    <row r="6451" spans="2:30" s="323" customFormat="1" ht="12" customHeight="1">
      <c r="B6451" s="324"/>
      <c r="C6451" s="325"/>
      <c r="D6451" s="326"/>
      <c r="E6451" s="326"/>
      <c r="F6451" s="326"/>
      <c r="G6451" s="326"/>
      <c r="H6451" s="326"/>
      <c r="P6451" s="318"/>
      <c r="Q6451" s="318"/>
      <c r="R6451" s="318"/>
      <c r="S6451" s="318"/>
      <c r="T6451" s="318"/>
      <c r="U6451" s="318"/>
      <c r="V6451" s="318"/>
      <c r="W6451" s="318"/>
      <c r="X6451" s="318"/>
      <c r="Y6451" s="318"/>
      <c r="Z6451" s="318"/>
      <c r="AA6451" s="318"/>
      <c r="AB6451" s="318"/>
      <c r="AC6451" s="318"/>
      <c r="AD6451" s="318"/>
    </row>
    <row r="6452" spans="2:30" s="323" customFormat="1" ht="12" customHeight="1">
      <c r="B6452" s="324"/>
      <c r="C6452" s="325"/>
      <c r="D6452" s="326"/>
      <c r="E6452" s="326"/>
      <c r="F6452" s="326"/>
      <c r="G6452" s="326"/>
      <c r="H6452" s="326"/>
      <c r="P6452" s="318"/>
      <c r="Q6452" s="318"/>
      <c r="R6452" s="318"/>
      <c r="S6452" s="318"/>
      <c r="T6452" s="318"/>
      <c r="U6452" s="318"/>
      <c r="V6452" s="318"/>
      <c r="W6452" s="318"/>
      <c r="X6452" s="318"/>
      <c r="Y6452" s="318"/>
      <c r="Z6452" s="318"/>
      <c r="AA6452" s="318"/>
      <c r="AB6452" s="318"/>
      <c r="AC6452" s="318"/>
      <c r="AD6452" s="318"/>
    </row>
    <row r="6453" spans="2:30" s="323" customFormat="1" ht="12" customHeight="1">
      <c r="B6453" s="324"/>
      <c r="C6453" s="325"/>
      <c r="D6453" s="326"/>
      <c r="E6453" s="326"/>
      <c r="F6453" s="326"/>
      <c r="G6453" s="326"/>
      <c r="H6453" s="326"/>
      <c r="P6453" s="318"/>
      <c r="Q6453" s="318"/>
      <c r="R6453" s="318"/>
      <c r="S6453" s="318"/>
      <c r="T6453" s="318"/>
      <c r="U6453" s="318"/>
      <c r="V6453" s="318"/>
      <c r="W6453" s="318"/>
      <c r="X6453" s="318"/>
      <c r="Y6453" s="318"/>
      <c r="Z6453" s="318"/>
      <c r="AA6453" s="318"/>
      <c r="AB6453" s="318"/>
      <c r="AC6453" s="318"/>
      <c r="AD6453" s="318"/>
    </row>
    <row r="6454" spans="2:30" s="323" customFormat="1" ht="12" customHeight="1">
      <c r="B6454" s="324"/>
      <c r="C6454" s="325"/>
      <c r="D6454" s="326"/>
      <c r="E6454" s="326"/>
      <c r="F6454" s="326"/>
      <c r="G6454" s="326"/>
      <c r="H6454" s="326"/>
      <c r="P6454" s="318"/>
      <c r="Q6454" s="318"/>
      <c r="R6454" s="318"/>
      <c r="S6454" s="318"/>
      <c r="T6454" s="318"/>
      <c r="U6454" s="318"/>
      <c r="V6454" s="318"/>
      <c r="W6454" s="318"/>
      <c r="X6454" s="318"/>
      <c r="Y6454" s="318"/>
      <c r="Z6454" s="318"/>
      <c r="AA6454" s="318"/>
      <c r="AB6454" s="318"/>
      <c r="AC6454" s="318"/>
      <c r="AD6454" s="318"/>
    </row>
    <row r="6455" spans="2:30" s="323" customFormat="1" ht="12" customHeight="1">
      <c r="B6455" s="324"/>
      <c r="C6455" s="325"/>
      <c r="D6455" s="326"/>
      <c r="E6455" s="326"/>
      <c r="F6455" s="326"/>
      <c r="G6455" s="326"/>
      <c r="H6455" s="326"/>
      <c r="P6455" s="318"/>
      <c r="Q6455" s="318"/>
      <c r="R6455" s="318"/>
      <c r="S6455" s="318"/>
      <c r="T6455" s="318"/>
      <c r="U6455" s="318"/>
      <c r="V6455" s="318"/>
      <c r="W6455" s="318"/>
      <c r="X6455" s="318"/>
      <c r="Y6455" s="318"/>
      <c r="Z6455" s="318"/>
      <c r="AA6455" s="318"/>
      <c r="AB6455" s="318"/>
      <c r="AC6455" s="318"/>
      <c r="AD6455" s="318"/>
    </row>
    <row r="6456" spans="2:30" s="323" customFormat="1" ht="12" customHeight="1">
      <c r="B6456" s="324"/>
      <c r="C6456" s="325"/>
      <c r="D6456" s="326"/>
      <c r="E6456" s="326"/>
      <c r="F6456" s="326"/>
      <c r="G6456" s="326"/>
      <c r="H6456" s="326"/>
      <c r="P6456" s="318"/>
      <c r="Q6456" s="318"/>
      <c r="R6456" s="318"/>
      <c r="S6456" s="318"/>
      <c r="T6456" s="318"/>
      <c r="U6456" s="318"/>
      <c r="V6456" s="318"/>
      <c r="W6456" s="318"/>
      <c r="X6456" s="318"/>
      <c r="Y6456" s="318"/>
      <c r="Z6456" s="318"/>
      <c r="AA6456" s="318"/>
      <c r="AB6456" s="318"/>
      <c r="AC6456" s="318"/>
      <c r="AD6456" s="318"/>
    </row>
    <row r="6457" spans="2:30" s="323" customFormat="1" ht="12" customHeight="1">
      <c r="B6457" s="324"/>
      <c r="C6457" s="325"/>
      <c r="D6457" s="326"/>
      <c r="E6457" s="326"/>
      <c r="F6457" s="326"/>
      <c r="G6457" s="326"/>
      <c r="H6457" s="326"/>
      <c r="P6457" s="318"/>
      <c r="Q6457" s="318"/>
      <c r="R6457" s="318"/>
      <c r="S6457" s="318"/>
      <c r="T6457" s="318"/>
      <c r="U6457" s="318"/>
      <c r="V6457" s="318"/>
      <c r="W6457" s="318"/>
      <c r="X6457" s="318"/>
      <c r="Y6457" s="318"/>
      <c r="Z6457" s="318"/>
      <c r="AA6457" s="318"/>
      <c r="AB6457" s="318"/>
      <c r="AC6457" s="318"/>
      <c r="AD6457" s="318"/>
    </row>
    <row r="6458" spans="2:30" s="323" customFormat="1" ht="12" customHeight="1">
      <c r="B6458" s="324"/>
      <c r="C6458" s="325"/>
      <c r="D6458" s="326"/>
      <c r="E6458" s="326"/>
      <c r="F6458" s="326"/>
      <c r="G6458" s="326"/>
      <c r="H6458" s="326"/>
      <c r="P6458" s="318"/>
      <c r="Q6458" s="318"/>
      <c r="R6458" s="318"/>
      <c r="S6458" s="318"/>
      <c r="T6458" s="318"/>
      <c r="U6458" s="318"/>
      <c r="V6458" s="318"/>
      <c r="W6458" s="318"/>
      <c r="X6458" s="318"/>
      <c r="Y6458" s="318"/>
      <c r="Z6458" s="318"/>
      <c r="AA6458" s="318"/>
      <c r="AB6458" s="318"/>
      <c r="AC6458" s="318"/>
      <c r="AD6458" s="318"/>
    </row>
    <row r="6459" spans="2:30" s="323" customFormat="1" ht="12" customHeight="1">
      <c r="B6459" s="324"/>
      <c r="C6459" s="325"/>
      <c r="D6459" s="326"/>
      <c r="E6459" s="326"/>
      <c r="F6459" s="326"/>
      <c r="G6459" s="326"/>
      <c r="H6459" s="326"/>
      <c r="P6459" s="318"/>
      <c r="Q6459" s="318"/>
      <c r="R6459" s="318"/>
      <c r="S6459" s="318"/>
      <c r="T6459" s="318"/>
      <c r="U6459" s="318"/>
      <c r="V6459" s="318"/>
      <c r="W6459" s="318"/>
      <c r="X6459" s="318"/>
      <c r="Y6459" s="318"/>
      <c r="Z6459" s="318"/>
      <c r="AA6459" s="318"/>
      <c r="AB6459" s="318"/>
      <c r="AC6459" s="318"/>
      <c r="AD6459" s="318"/>
    </row>
    <row r="6460" spans="2:30" s="323" customFormat="1" ht="12" customHeight="1">
      <c r="B6460" s="324"/>
      <c r="C6460" s="325"/>
      <c r="D6460" s="326"/>
      <c r="E6460" s="326"/>
      <c r="F6460" s="326"/>
      <c r="G6460" s="326"/>
      <c r="H6460" s="326"/>
      <c r="P6460" s="318"/>
      <c r="Q6460" s="318"/>
      <c r="R6460" s="318"/>
      <c r="S6460" s="318"/>
      <c r="T6460" s="318"/>
      <c r="U6460" s="318"/>
      <c r="V6460" s="318"/>
      <c r="W6460" s="318"/>
      <c r="X6460" s="318"/>
      <c r="Y6460" s="318"/>
      <c r="Z6460" s="318"/>
      <c r="AA6460" s="318"/>
      <c r="AB6460" s="318"/>
      <c r="AC6460" s="318"/>
      <c r="AD6460" s="318"/>
    </row>
    <row r="6461" spans="2:30" s="323" customFormat="1" ht="12" customHeight="1">
      <c r="B6461" s="324"/>
      <c r="C6461" s="325"/>
      <c r="D6461" s="326"/>
      <c r="E6461" s="326"/>
      <c r="F6461" s="326"/>
      <c r="G6461" s="326"/>
      <c r="H6461" s="326"/>
      <c r="P6461" s="318"/>
      <c r="Q6461" s="318"/>
      <c r="R6461" s="318"/>
      <c r="S6461" s="318"/>
      <c r="T6461" s="318"/>
      <c r="U6461" s="318"/>
      <c r="V6461" s="318"/>
      <c r="W6461" s="318"/>
      <c r="X6461" s="318"/>
      <c r="Y6461" s="318"/>
      <c r="Z6461" s="318"/>
      <c r="AA6461" s="318"/>
      <c r="AB6461" s="318"/>
      <c r="AC6461" s="318"/>
      <c r="AD6461" s="318"/>
    </row>
    <row r="6462" spans="2:30" s="323" customFormat="1" ht="12" customHeight="1">
      <c r="B6462" s="324"/>
      <c r="C6462" s="325"/>
      <c r="D6462" s="326"/>
      <c r="E6462" s="326"/>
      <c r="F6462" s="326"/>
      <c r="G6462" s="326"/>
      <c r="H6462" s="326"/>
      <c r="P6462" s="318"/>
      <c r="Q6462" s="318"/>
      <c r="R6462" s="318"/>
      <c r="S6462" s="318"/>
      <c r="T6462" s="318"/>
      <c r="U6462" s="318"/>
      <c r="V6462" s="318"/>
      <c r="W6462" s="318"/>
      <c r="X6462" s="318"/>
      <c r="Y6462" s="318"/>
      <c r="Z6462" s="318"/>
      <c r="AA6462" s="318"/>
      <c r="AB6462" s="318"/>
      <c r="AC6462" s="318"/>
      <c r="AD6462" s="318"/>
    </row>
    <row r="6463" spans="2:30" s="323" customFormat="1" ht="12" customHeight="1">
      <c r="B6463" s="324"/>
      <c r="C6463" s="325"/>
      <c r="D6463" s="326"/>
      <c r="E6463" s="326"/>
      <c r="F6463" s="326"/>
      <c r="G6463" s="326"/>
      <c r="H6463" s="326"/>
      <c r="P6463" s="318"/>
      <c r="Q6463" s="318"/>
      <c r="R6463" s="318"/>
      <c r="S6463" s="318"/>
      <c r="T6463" s="318"/>
      <c r="U6463" s="318"/>
      <c r="V6463" s="318"/>
      <c r="W6463" s="318"/>
      <c r="X6463" s="318"/>
      <c r="Y6463" s="318"/>
      <c r="Z6463" s="318"/>
      <c r="AA6463" s="318"/>
      <c r="AB6463" s="318"/>
      <c r="AC6463" s="318"/>
      <c r="AD6463" s="318"/>
    </row>
    <row r="6464" spans="2:30" s="323" customFormat="1" ht="12" customHeight="1">
      <c r="B6464" s="324"/>
      <c r="C6464" s="325"/>
      <c r="D6464" s="326"/>
      <c r="E6464" s="326"/>
      <c r="F6464" s="326"/>
      <c r="G6464" s="326"/>
      <c r="H6464" s="326"/>
      <c r="P6464" s="318"/>
      <c r="Q6464" s="318"/>
      <c r="R6464" s="318"/>
      <c r="S6464" s="318"/>
      <c r="T6464" s="318"/>
      <c r="U6464" s="318"/>
      <c r="V6464" s="318"/>
      <c r="W6464" s="318"/>
      <c r="X6464" s="318"/>
      <c r="Y6464" s="318"/>
      <c r="Z6464" s="318"/>
      <c r="AA6464" s="318"/>
      <c r="AB6464" s="318"/>
      <c r="AC6464" s="318"/>
      <c r="AD6464" s="318"/>
    </row>
    <row r="6465" spans="2:30" s="323" customFormat="1" ht="12" customHeight="1">
      <c r="B6465" s="324"/>
      <c r="C6465" s="325"/>
      <c r="D6465" s="326"/>
      <c r="E6465" s="326"/>
      <c r="F6465" s="326"/>
      <c r="G6465" s="326"/>
      <c r="H6465" s="326"/>
      <c r="P6465" s="318"/>
      <c r="Q6465" s="318"/>
      <c r="R6465" s="318"/>
      <c r="S6465" s="318"/>
      <c r="T6465" s="318"/>
      <c r="U6465" s="318"/>
      <c r="V6465" s="318"/>
      <c r="W6465" s="318"/>
      <c r="X6465" s="318"/>
      <c r="Y6465" s="318"/>
      <c r="Z6465" s="318"/>
      <c r="AA6465" s="318"/>
      <c r="AB6465" s="318"/>
      <c r="AC6465" s="318"/>
      <c r="AD6465" s="318"/>
    </row>
    <row r="6466" spans="2:30" s="323" customFormat="1" ht="12" customHeight="1">
      <c r="B6466" s="324"/>
      <c r="C6466" s="325"/>
      <c r="D6466" s="326"/>
      <c r="E6466" s="326"/>
      <c r="F6466" s="326"/>
      <c r="G6466" s="326"/>
      <c r="H6466" s="326"/>
      <c r="P6466" s="318"/>
      <c r="Q6466" s="318"/>
      <c r="R6466" s="318"/>
      <c r="S6466" s="318"/>
      <c r="T6466" s="318"/>
      <c r="U6466" s="318"/>
      <c r="V6466" s="318"/>
      <c r="W6466" s="318"/>
      <c r="X6466" s="318"/>
      <c r="Y6466" s="318"/>
      <c r="Z6466" s="318"/>
      <c r="AA6466" s="318"/>
      <c r="AB6466" s="318"/>
      <c r="AC6466" s="318"/>
      <c r="AD6466" s="318"/>
    </row>
    <row r="6467" spans="2:30" s="323" customFormat="1" ht="12" customHeight="1">
      <c r="B6467" s="324"/>
      <c r="C6467" s="325"/>
      <c r="D6467" s="326"/>
      <c r="E6467" s="326"/>
      <c r="F6467" s="326"/>
      <c r="G6467" s="326"/>
      <c r="H6467" s="326"/>
      <c r="P6467" s="318"/>
      <c r="Q6467" s="318"/>
      <c r="R6467" s="318"/>
      <c r="S6467" s="318"/>
      <c r="T6467" s="318"/>
      <c r="U6467" s="318"/>
      <c r="V6467" s="318"/>
      <c r="W6467" s="318"/>
      <c r="X6467" s="318"/>
      <c r="Y6467" s="318"/>
      <c r="Z6467" s="318"/>
      <c r="AA6467" s="318"/>
      <c r="AB6467" s="318"/>
      <c r="AC6467" s="318"/>
      <c r="AD6467" s="318"/>
    </row>
    <row r="6468" spans="2:30" s="323" customFormat="1" ht="12" customHeight="1">
      <c r="B6468" s="324"/>
      <c r="C6468" s="325"/>
      <c r="D6468" s="326"/>
      <c r="E6468" s="326"/>
      <c r="F6468" s="326"/>
      <c r="G6468" s="326"/>
      <c r="H6468" s="326"/>
      <c r="P6468" s="318"/>
      <c r="Q6468" s="318"/>
      <c r="R6468" s="318"/>
      <c r="S6468" s="318"/>
      <c r="T6468" s="318"/>
      <c r="U6468" s="318"/>
      <c r="V6468" s="318"/>
      <c r="W6468" s="318"/>
      <c r="X6468" s="318"/>
      <c r="Y6468" s="318"/>
      <c r="Z6468" s="318"/>
      <c r="AA6468" s="318"/>
      <c r="AB6468" s="318"/>
      <c r="AC6468" s="318"/>
      <c r="AD6468" s="318"/>
    </row>
    <row r="6469" spans="2:30" s="323" customFormat="1" ht="12" customHeight="1">
      <c r="B6469" s="324"/>
      <c r="C6469" s="325"/>
      <c r="D6469" s="326"/>
      <c r="E6469" s="326"/>
      <c r="F6469" s="326"/>
      <c r="G6469" s="326"/>
      <c r="H6469" s="326"/>
      <c r="P6469" s="318"/>
      <c r="Q6469" s="318"/>
      <c r="R6469" s="318"/>
      <c r="S6469" s="318"/>
      <c r="T6469" s="318"/>
      <c r="U6469" s="318"/>
      <c r="V6469" s="318"/>
      <c r="W6469" s="318"/>
      <c r="X6469" s="318"/>
      <c r="Y6469" s="318"/>
      <c r="Z6469" s="318"/>
      <c r="AA6469" s="318"/>
      <c r="AB6469" s="318"/>
      <c r="AC6469" s="318"/>
      <c r="AD6469" s="318"/>
    </row>
    <row r="6470" spans="2:30" s="323" customFormat="1" ht="12" customHeight="1">
      <c r="B6470" s="324"/>
      <c r="C6470" s="325"/>
      <c r="D6470" s="326"/>
      <c r="E6470" s="326"/>
      <c r="F6470" s="326"/>
      <c r="G6470" s="326"/>
      <c r="H6470" s="326"/>
      <c r="P6470" s="318"/>
      <c r="Q6470" s="318"/>
      <c r="R6470" s="318"/>
      <c r="S6470" s="318"/>
      <c r="T6470" s="318"/>
      <c r="U6470" s="318"/>
      <c r="V6470" s="318"/>
      <c r="W6470" s="318"/>
      <c r="X6470" s="318"/>
      <c r="Y6470" s="318"/>
      <c r="Z6470" s="318"/>
      <c r="AA6470" s="318"/>
      <c r="AB6470" s="318"/>
      <c r="AC6470" s="318"/>
      <c r="AD6470" s="318"/>
    </row>
    <row r="6471" spans="2:30" s="323" customFormat="1" ht="12" customHeight="1">
      <c r="B6471" s="324"/>
      <c r="C6471" s="325"/>
      <c r="D6471" s="326"/>
      <c r="E6471" s="326"/>
      <c r="F6471" s="326"/>
      <c r="G6471" s="326"/>
      <c r="H6471" s="326"/>
      <c r="P6471" s="318"/>
      <c r="Q6471" s="318"/>
      <c r="R6471" s="318"/>
      <c r="S6471" s="318"/>
      <c r="T6471" s="318"/>
      <c r="U6471" s="318"/>
      <c r="V6471" s="318"/>
      <c r="W6471" s="318"/>
      <c r="X6471" s="318"/>
      <c r="Y6471" s="318"/>
      <c r="Z6471" s="318"/>
      <c r="AA6471" s="318"/>
      <c r="AB6471" s="318"/>
      <c r="AC6471" s="318"/>
      <c r="AD6471" s="318"/>
    </row>
    <row r="6472" spans="2:30" s="323" customFormat="1" ht="12" customHeight="1">
      <c r="B6472" s="324"/>
      <c r="C6472" s="325"/>
      <c r="D6472" s="326"/>
      <c r="E6472" s="326"/>
      <c r="F6472" s="326"/>
      <c r="G6472" s="326"/>
      <c r="H6472" s="326"/>
      <c r="P6472" s="318"/>
      <c r="Q6472" s="318"/>
      <c r="R6472" s="318"/>
      <c r="S6472" s="318"/>
      <c r="T6472" s="318"/>
      <c r="U6472" s="318"/>
      <c r="V6472" s="318"/>
      <c r="W6472" s="318"/>
      <c r="X6472" s="318"/>
      <c r="Y6472" s="318"/>
      <c r="Z6472" s="318"/>
      <c r="AA6472" s="318"/>
      <c r="AB6472" s="318"/>
      <c r="AC6472" s="318"/>
      <c r="AD6472" s="318"/>
    </row>
    <row r="6473" spans="2:30" s="323" customFormat="1" ht="12" customHeight="1">
      <c r="B6473" s="324"/>
      <c r="C6473" s="325"/>
      <c r="D6473" s="326"/>
      <c r="E6473" s="326"/>
      <c r="F6473" s="326"/>
      <c r="G6473" s="326"/>
      <c r="H6473" s="326"/>
      <c r="P6473" s="318"/>
      <c r="Q6473" s="318"/>
      <c r="R6473" s="318"/>
      <c r="S6473" s="318"/>
      <c r="T6473" s="318"/>
      <c r="U6473" s="318"/>
      <c r="V6473" s="318"/>
      <c r="W6473" s="318"/>
      <c r="X6473" s="318"/>
      <c r="Y6473" s="318"/>
      <c r="Z6473" s="318"/>
      <c r="AA6473" s="318"/>
      <c r="AB6473" s="318"/>
      <c r="AC6473" s="318"/>
      <c r="AD6473" s="318"/>
    </row>
    <row r="6474" spans="2:30" s="323" customFormat="1" ht="12" customHeight="1">
      <c r="B6474" s="324"/>
      <c r="C6474" s="325"/>
      <c r="D6474" s="326"/>
      <c r="E6474" s="326"/>
      <c r="F6474" s="326"/>
      <c r="G6474" s="326"/>
      <c r="H6474" s="326"/>
      <c r="P6474" s="318"/>
      <c r="Q6474" s="318"/>
      <c r="R6474" s="318"/>
      <c r="S6474" s="318"/>
      <c r="T6474" s="318"/>
      <c r="U6474" s="318"/>
      <c r="V6474" s="318"/>
      <c r="W6474" s="318"/>
      <c r="X6474" s="318"/>
      <c r="Y6474" s="318"/>
      <c r="Z6474" s="318"/>
      <c r="AA6474" s="318"/>
      <c r="AB6474" s="318"/>
      <c r="AC6474" s="318"/>
      <c r="AD6474" s="318"/>
    </row>
    <row r="6475" spans="2:30" s="323" customFormat="1" ht="12" customHeight="1">
      <c r="B6475" s="324"/>
      <c r="C6475" s="325"/>
      <c r="D6475" s="326"/>
      <c r="E6475" s="326"/>
      <c r="F6475" s="326"/>
      <c r="G6475" s="326"/>
      <c r="H6475" s="326"/>
      <c r="P6475" s="318"/>
      <c r="Q6475" s="318"/>
      <c r="R6475" s="318"/>
      <c r="S6475" s="318"/>
      <c r="T6475" s="318"/>
      <c r="U6475" s="318"/>
      <c r="V6475" s="318"/>
      <c r="W6475" s="318"/>
      <c r="X6475" s="318"/>
      <c r="Y6475" s="318"/>
      <c r="Z6475" s="318"/>
      <c r="AA6475" s="318"/>
      <c r="AB6475" s="318"/>
      <c r="AC6475" s="318"/>
      <c r="AD6475" s="318"/>
    </row>
    <row r="6476" spans="2:30" s="323" customFormat="1" ht="12" customHeight="1">
      <c r="B6476" s="324"/>
      <c r="C6476" s="325"/>
      <c r="D6476" s="326"/>
      <c r="E6476" s="326"/>
      <c r="F6476" s="326"/>
      <c r="G6476" s="326"/>
      <c r="H6476" s="326"/>
      <c r="P6476" s="318"/>
      <c r="Q6476" s="318"/>
      <c r="R6476" s="318"/>
      <c r="S6476" s="318"/>
      <c r="T6476" s="318"/>
      <c r="U6476" s="318"/>
      <c r="V6476" s="318"/>
      <c r="W6476" s="318"/>
      <c r="X6476" s="318"/>
      <c r="Y6476" s="318"/>
      <c r="Z6476" s="318"/>
      <c r="AA6476" s="318"/>
      <c r="AB6476" s="318"/>
      <c r="AC6476" s="318"/>
      <c r="AD6476" s="318"/>
    </row>
    <row r="6477" spans="2:30" s="323" customFormat="1" ht="12" customHeight="1">
      <c r="B6477" s="324"/>
      <c r="C6477" s="325"/>
      <c r="D6477" s="326"/>
      <c r="E6477" s="326"/>
      <c r="F6477" s="326"/>
      <c r="G6477" s="326"/>
      <c r="H6477" s="326"/>
      <c r="P6477" s="318"/>
      <c r="Q6477" s="318"/>
      <c r="R6477" s="318"/>
      <c r="S6477" s="318"/>
      <c r="T6477" s="318"/>
      <c r="U6477" s="318"/>
      <c r="V6477" s="318"/>
      <c r="W6477" s="318"/>
      <c r="X6477" s="318"/>
      <c r="Y6477" s="318"/>
      <c r="Z6477" s="318"/>
      <c r="AA6477" s="318"/>
      <c r="AB6477" s="318"/>
      <c r="AC6477" s="318"/>
      <c r="AD6477" s="318"/>
    </row>
    <row r="6478" spans="2:30" s="323" customFormat="1" ht="12" customHeight="1">
      <c r="B6478" s="324"/>
      <c r="C6478" s="325"/>
      <c r="D6478" s="326"/>
      <c r="E6478" s="326"/>
      <c r="F6478" s="326"/>
      <c r="G6478" s="326"/>
      <c r="H6478" s="326"/>
      <c r="P6478" s="318"/>
      <c r="Q6478" s="318"/>
      <c r="R6478" s="318"/>
      <c r="S6478" s="318"/>
      <c r="T6478" s="318"/>
      <c r="U6478" s="318"/>
      <c r="V6478" s="318"/>
      <c r="W6478" s="318"/>
      <c r="X6478" s="318"/>
      <c r="Y6478" s="318"/>
      <c r="Z6478" s="318"/>
      <c r="AA6478" s="318"/>
      <c r="AB6478" s="318"/>
      <c r="AC6478" s="318"/>
      <c r="AD6478" s="318"/>
    </row>
    <row r="6479" spans="2:30" s="323" customFormat="1" ht="12" customHeight="1">
      <c r="B6479" s="324"/>
      <c r="C6479" s="325"/>
      <c r="D6479" s="326"/>
      <c r="E6479" s="326"/>
      <c r="F6479" s="326"/>
      <c r="G6479" s="326"/>
      <c r="H6479" s="326"/>
      <c r="P6479" s="318"/>
      <c r="Q6479" s="318"/>
      <c r="R6479" s="318"/>
      <c r="S6479" s="318"/>
      <c r="T6479" s="318"/>
      <c r="U6479" s="318"/>
      <c r="V6479" s="318"/>
      <c r="W6479" s="318"/>
      <c r="X6479" s="318"/>
      <c r="Y6479" s="318"/>
      <c r="Z6479" s="318"/>
      <c r="AA6479" s="318"/>
      <c r="AB6479" s="318"/>
      <c r="AC6479" s="318"/>
      <c r="AD6479" s="318"/>
    </row>
    <row r="6480" spans="2:30" s="323" customFormat="1" ht="12" customHeight="1">
      <c r="B6480" s="324"/>
      <c r="C6480" s="325"/>
      <c r="D6480" s="326"/>
      <c r="E6480" s="326"/>
      <c r="F6480" s="326"/>
      <c r="G6480" s="326"/>
      <c r="H6480" s="326"/>
      <c r="P6480" s="318"/>
      <c r="Q6480" s="318"/>
      <c r="R6480" s="318"/>
      <c r="S6480" s="318"/>
      <c r="T6480" s="318"/>
      <c r="U6480" s="318"/>
      <c r="V6480" s="318"/>
      <c r="W6480" s="318"/>
      <c r="X6480" s="318"/>
      <c r="Y6480" s="318"/>
      <c r="Z6480" s="318"/>
      <c r="AA6480" s="318"/>
      <c r="AB6480" s="318"/>
      <c r="AC6480" s="318"/>
      <c r="AD6480" s="318"/>
    </row>
    <row r="6481" spans="2:30" s="323" customFormat="1" ht="12" customHeight="1">
      <c r="B6481" s="324"/>
      <c r="C6481" s="325"/>
      <c r="D6481" s="326"/>
      <c r="E6481" s="326"/>
      <c r="F6481" s="326"/>
      <c r="G6481" s="326"/>
      <c r="H6481" s="326"/>
      <c r="P6481" s="318"/>
      <c r="Q6481" s="318"/>
      <c r="R6481" s="318"/>
      <c r="S6481" s="318"/>
      <c r="T6481" s="318"/>
      <c r="U6481" s="318"/>
      <c r="V6481" s="318"/>
      <c r="W6481" s="318"/>
      <c r="X6481" s="318"/>
      <c r="Y6481" s="318"/>
      <c r="Z6481" s="318"/>
      <c r="AA6481" s="318"/>
      <c r="AB6481" s="318"/>
      <c r="AC6481" s="318"/>
      <c r="AD6481" s="318"/>
    </row>
    <row r="6482" spans="2:30" s="323" customFormat="1" ht="12" customHeight="1">
      <c r="B6482" s="324"/>
      <c r="C6482" s="325"/>
      <c r="D6482" s="326"/>
      <c r="E6482" s="326"/>
      <c r="F6482" s="326"/>
      <c r="G6482" s="326"/>
      <c r="H6482" s="326"/>
      <c r="P6482" s="318"/>
      <c r="Q6482" s="318"/>
      <c r="R6482" s="318"/>
      <c r="S6482" s="318"/>
      <c r="T6482" s="318"/>
      <c r="U6482" s="318"/>
      <c r="V6482" s="318"/>
      <c r="W6482" s="318"/>
      <c r="X6482" s="318"/>
      <c r="Y6482" s="318"/>
      <c r="Z6482" s="318"/>
      <c r="AA6482" s="318"/>
      <c r="AB6482" s="318"/>
      <c r="AC6482" s="318"/>
      <c r="AD6482" s="318"/>
    </row>
    <row r="6483" spans="2:30" s="323" customFormat="1" ht="12" customHeight="1">
      <c r="B6483" s="324"/>
      <c r="C6483" s="325"/>
      <c r="D6483" s="326"/>
      <c r="E6483" s="326"/>
      <c r="F6483" s="326"/>
      <c r="G6483" s="326"/>
      <c r="H6483" s="326"/>
      <c r="P6483" s="318"/>
      <c r="Q6483" s="318"/>
      <c r="R6483" s="318"/>
      <c r="S6483" s="318"/>
      <c r="T6483" s="318"/>
      <c r="U6483" s="318"/>
      <c r="V6483" s="318"/>
      <c r="W6483" s="318"/>
      <c r="X6483" s="318"/>
      <c r="Y6483" s="318"/>
      <c r="Z6483" s="318"/>
      <c r="AA6483" s="318"/>
      <c r="AB6483" s="318"/>
      <c r="AC6483" s="318"/>
      <c r="AD6483" s="318"/>
    </row>
    <row r="6484" spans="2:30" s="323" customFormat="1" ht="12" customHeight="1">
      <c r="B6484" s="324"/>
      <c r="C6484" s="325"/>
      <c r="D6484" s="326"/>
      <c r="E6484" s="326"/>
      <c r="F6484" s="326"/>
      <c r="G6484" s="326"/>
      <c r="H6484" s="326"/>
      <c r="P6484" s="318"/>
      <c r="Q6484" s="318"/>
      <c r="R6484" s="318"/>
      <c r="S6484" s="318"/>
      <c r="T6484" s="318"/>
      <c r="U6484" s="318"/>
      <c r="V6484" s="318"/>
      <c r="W6484" s="318"/>
      <c r="X6484" s="318"/>
      <c r="Y6484" s="318"/>
      <c r="Z6484" s="318"/>
      <c r="AA6484" s="318"/>
      <c r="AB6484" s="318"/>
      <c r="AC6484" s="318"/>
      <c r="AD6484" s="318"/>
    </row>
    <row r="6485" spans="2:30" s="323" customFormat="1" ht="12" customHeight="1">
      <c r="B6485" s="324"/>
      <c r="C6485" s="325"/>
      <c r="D6485" s="326"/>
      <c r="E6485" s="326"/>
      <c r="F6485" s="326"/>
      <c r="G6485" s="326"/>
      <c r="H6485" s="326"/>
      <c r="P6485" s="318"/>
      <c r="Q6485" s="318"/>
      <c r="R6485" s="318"/>
      <c r="S6485" s="318"/>
      <c r="T6485" s="318"/>
      <c r="U6485" s="318"/>
      <c r="V6485" s="318"/>
      <c r="W6485" s="318"/>
      <c r="X6485" s="318"/>
      <c r="Y6485" s="318"/>
      <c r="Z6485" s="318"/>
      <c r="AA6485" s="318"/>
      <c r="AB6485" s="318"/>
      <c r="AC6485" s="318"/>
      <c r="AD6485" s="318"/>
    </row>
    <row r="6486" spans="2:30" s="323" customFormat="1" ht="12" customHeight="1">
      <c r="B6486" s="324"/>
      <c r="C6486" s="325"/>
      <c r="D6486" s="326"/>
      <c r="E6486" s="326"/>
      <c r="F6486" s="326"/>
      <c r="G6486" s="326"/>
      <c r="H6486" s="326"/>
      <c r="P6486" s="318"/>
      <c r="Q6486" s="318"/>
      <c r="R6486" s="318"/>
      <c r="S6486" s="318"/>
      <c r="T6486" s="318"/>
      <c r="U6486" s="318"/>
      <c r="V6486" s="318"/>
      <c r="W6486" s="318"/>
      <c r="X6486" s="318"/>
      <c r="Y6486" s="318"/>
      <c r="Z6486" s="318"/>
      <c r="AA6486" s="318"/>
      <c r="AB6486" s="318"/>
      <c r="AC6486" s="318"/>
      <c r="AD6486" s="318"/>
    </row>
    <row r="6487" spans="2:30" s="323" customFormat="1" ht="12" customHeight="1">
      <c r="B6487" s="324"/>
      <c r="C6487" s="325"/>
      <c r="D6487" s="326"/>
      <c r="E6487" s="326"/>
      <c r="F6487" s="326"/>
      <c r="G6487" s="326"/>
      <c r="H6487" s="326"/>
      <c r="P6487" s="318"/>
      <c r="Q6487" s="318"/>
      <c r="R6487" s="318"/>
      <c r="S6487" s="318"/>
      <c r="T6487" s="318"/>
      <c r="U6487" s="318"/>
      <c r="V6487" s="318"/>
      <c r="W6487" s="318"/>
      <c r="X6487" s="318"/>
      <c r="Y6487" s="318"/>
      <c r="Z6487" s="318"/>
      <c r="AA6487" s="318"/>
      <c r="AB6487" s="318"/>
      <c r="AC6487" s="318"/>
      <c r="AD6487" s="318"/>
    </row>
    <row r="6488" spans="2:30" s="323" customFormat="1" ht="12" customHeight="1">
      <c r="B6488" s="324"/>
      <c r="C6488" s="325"/>
      <c r="D6488" s="326"/>
      <c r="E6488" s="326"/>
      <c r="F6488" s="326"/>
      <c r="G6488" s="326"/>
      <c r="H6488" s="326"/>
      <c r="P6488" s="318"/>
      <c r="Q6488" s="318"/>
      <c r="R6488" s="318"/>
      <c r="S6488" s="318"/>
      <c r="T6488" s="318"/>
      <c r="U6488" s="318"/>
      <c r="V6488" s="318"/>
      <c r="W6488" s="318"/>
      <c r="X6488" s="318"/>
      <c r="Y6488" s="318"/>
      <c r="Z6488" s="318"/>
      <c r="AA6488" s="318"/>
      <c r="AB6488" s="318"/>
      <c r="AC6488" s="318"/>
      <c r="AD6488" s="318"/>
    </row>
    <row r="6489" spans="2:30" s="323" customFormat="1" ht="12" customHeight="1">
      <c r="B6489" s="324"/>
      <c r="C6489" s="325"/>
      <c r="D6489" s="326"/>
      <c r="E6489" s="326"/>
      <c r="F6489" s="326"/>
      <c r="G6489" s="326"/>
      <c r="H6489" s="326"/>
      <c r="P6489" s="318"/>
      <c r="Q6489" s="318"/>
      <c r="R6489" s="318"/>
      <c r="S6489" s="318"/>
      <c r="T6489" s="318"/>
      <c r="U6489" s="318"/>
      <c r="V6489" s="318"/>
      <c r="W6489" s="318"/>
      <c r="X6489" s="318"/>
      <c r="Y6489" s="318"/>
      <c r="Z6489" s="318"/>
      <c r="AA6489" s="318"/>
      <c r="AB6489" s="318"/>
      <c r="AC6489" s="318"/>
      <c r="AD6489" s="318"/>
    </row>
    <row r="6490" spans="2:30" s="323" customFormat="1" ht="12" customHeight="1">
      <c r="B6490" s="324"/>
      <c r="C6490" s="325"/>
      <c r="D6490" s="326"/>
      <c r="E6490" s="326"/>
      <c r="F6490" s="326"/>
      <c r="G6490" s="326"/>
      <c r="H6490" s="326"/>
      <c r="P6490" s="318"/>
      <c r="Q6490" s="318"/>
      <c r="R6490" s="318"/>
      <c r="S6490" s="318"/>
      <c r="T6490" s="318"/>
      <c r="U6490" s="318"/>
      <c r="V6490" s="318"/>
      <c r="W6490" s="318"/>
      <c r="X6490" s="318"/>
      <c r="Y6490" s="318"/>
      <c r="Z6490" s="318"/>
      <c r="AA6490" s="318"/>
      <c r="AB6490" s="318"/>
      <c r="AC6490" s="318"/>
      <c r="AD6490" s="318"/>
    </row>
    <row r="6491" spans="2:30" s="323" customFormat="1" ht="12" customHeight="1">
      <c r="B6491" s="324"/>
      <c r="C6491" s="325"/>
      <c r="D6491" s="326"/>
      <c r="E6491" s="326"/>
      <c r="F6491" s="326"/>
      <c r="G6491" s="326"/>
      <c r="H6491" s="326"/>
      <c r="P6491" s="318"/>
      <c r="Q6491" s="318"/>
      <c r="R6491" s="318"/>
      <c r="S6491" s="318"/>
      <c r="T6491" s="318"/>
      <c r="U6491" s="318"/>
      <c r="V6491" s="318"/>
      <c r="W6491" s="318"/>
      <c r="X6491" s="318"/>
      <c r="Y6491" s="318"/>
      <c r="Z6491" s="318"/>
      <c r="AA6491" s="318"/>
      <c r="AB6491" s="318"/>
      <c r="AC6491" s="318"/>
      <c r="AD6491" s="318"/>
    </row>
    <row r="6492" spans="2:30" s="323" customFormat="1" ht="12" customHeight="1">
      <c r="B6492" s="324"/>
      <c r="C6492" s="325"/>
      <c r="D6492" s="326"/>
      <c r="E6492" s="326"/>
      <c r="F6492" s="326"/>
      <c r="G6492" s="326"/>
      <c r="H6492" s="326"/>
      <c r="P6492" s="318"/>
      <c r="Q6492" s="318"/>
      <c r="R6492" s="318"/>
      <c r="S6492" s="318"/>
      <c r="T6492" s="318"/>
      <c r="U6492" s="318"/>
      <c r="V6492" s="318"/>
      <c r="W6492" s="318"/>
      <c r="X6492" s="318"/>
      <c r="Y6492" s="318"/>
      <c r="Z6492" s="318"/>
      <c r="AA6492" s="318"/>
      <c r="AB6492" s="318"/>
      <c r="AC6492" s="318"/>
      <c r="AD6492" s="318"/>
    </row>
    <row r="6493" spans="2:30" s="323" customFormat="1" ht="12" customHeight="1">
      <c r="B6493" s="324"/>
      <c r="C6493" s="325"/>
      <c r="D6493" s="326"/>
      <c r="E6493" s="326"/>
      <c r="F6493" s="326"/>
      <c r="G6493" s="326"/>
      <c r="H6493" s="326"/>
      <c r="P6493" s="318"/>
      <c r="Q6493" s="318"/>
      <c r="R6493" s="318"/>
      <c r="S6493" s="318"/>
      <c r="T6493" s="318"/>
      <c r="U6493" s="318"/>
      <c r="V6493" s="318"/>
      <c r="W6493" s="318"/>
      <c r="X6493" s="318"/>
      <c r="Y6493" s="318"/>
      <c r="Z6493" s="318"/>
      <c r="AA6493" s="318"/>
      <c r="AB6493" s="318"/>
      <c r="AC6493" s="318"/>
      <c r="AD6493" s="318"/>
    </row>
    <row r="6494" spans="2:30" s="323" customFormat="1" ht="12" customHeight="1">
      <c r="B6494" s="324"/>
      <c r="C6494" s="325"/>
      <c r="D6494" s="326"/>
      <c r="E6494" s="326"/>
      <c r="F6494" s="326"/>
      <c r="G6494" s="326"/>
      <c r="H6494" s="326"/>
      <c r="P6494" s="318"/>
      <c r="Q6494" s="318"/>
      <c r="R6494" s="318"/>
      <c r="S6494" s="318"/>
      <c r="T6494" s="318"/>
      <c r="U6494" s="318"/>
      <c r="V6494" s="318"/>
      <c r="W6494" s="318"/>
      <c r="X6494" s="318"/>
      <c r="Y6494" s="318"/>
      <c r="Z6494" s="318"/>
      <c r="AA6494" s="318"/>
      <c r="AB6494" s="318"/>
      <c r="AC6494" s="318"/>
      <c r="AD6494" s="318"/>
    </row>
    <row r="6495" spans="2:30" s="323" customFormat="1" ht="12" customHeight="1">
      <c r="B6495" s="324"/>
      <c r="C6495" s="325"/>
      <c r="D6495" s="326"/>
      <c r="E6495" s="326"/>
      <c r="F6495" s="326"/>
      <c r="G6495" s="326"/>
      <c r="H6495" s="326"/>
      <c r="P6495" s="318"/>
      <c r="Q6495" s="318"/>
      <c r="R6495" s="318"/>
      <c r="S6495" s="318"/>
      <c r="T6495" s="318"/>
      <c r="U6495" s="318"/>
      <c r="V6495" s="318"/>
      <c r="W6495" s="318"/>
      <c r="X6495" s="318"/>
      <c r="Y6495" s="318"/>
      <c r="Z6495" s="318"/>
      <c r="AA6495" s="318"/>
      <c r="AB6495" s="318"/>
      <c r="AC6495" s="318"/>
      <c r="AD6495" s="318"/>
    </row>
    <row r="6496" spans="2:30" s="323" customFormat="1" ht="12" customHeight="1">
      <c r="B6496" s="324"/>
      <c r="C6496" s="325"/>
      <c r="D6496" s="326"/>
      <c r="E6496" s="326"/>
      <c r="F6496" s="326"/>
      <c r="G6496" s="326"/>
      <c r="H6496" s="326"/>
      <c r="P6496" s="318"/>
      <c r="Q6496" s="318"/>
      <c r="R6496" s="318"/>
      <c r="S6496" s="318"/>
      <c r="T6496" s="318"/>
      <c r="U6496" s="318"/>
      <c r="V6496" s="318"/>
      <c r="W6496" s="318"/>
      <c r="X6496" s="318"/>
      <c r="Y6496" s="318"/>
      <c r="Z6496" s="318"/>
      <c r="AA6496" s="318"/>
      <c r="AB6496" s="318"/>
      <c r="AC6496" s="318"/>
      <c r="AD6496" s="318"/>
    </row>
    <row r="6497" spans="2:30" s="323" customFormat="1" ht="12" customHeight="1">
      <c r="B6497" s="324"/>
      <c r="C6497" s="325"/>
      <c r="D6497" s="326"/>
      <c r="E6497" s="326"/>
      <c r="F6497" s="326"/>
      <c r="G6497" s="326"/>
      <c r="H6497" s="326"/>
      <c r="P6497" s="318"/>
      <c r="Q6497" s="318"/>
      <c r="R6497" s="318"/>
      <c r="S6497" s="318"/>
      <c r="T6497" s="318"/>
      <c r="U6497" s="318"/>
      <c r="V6497" s="318"/>
      <c r="W6497" s="318"/>
      <c r="X6497" s="318"/>
      <c r="Y6497" s="318"/>
      <c r="Z6497" s="318"/>
      <c r="AA6497" s="318"/>
      <c r="AB6497" s="318"/>
      <c r="AC6497" s="318"/>
      <c r="AD6497" s="318"/>
    </row>
    <row r="6498" spans="2:30" s="323" customFormat="1" ht="12" customHeight="1">
      <c r="B6498" s="324"/>
      <c r="C6498" s="325"/>
      <c r="D6498" s="326"/>
      <c r="E6498" s="326"/>
      <c r="F6498" s="326"/>
      <c r="G6498" s="326"/>
      <c r="H6498" s="326"/>
      <c r="P6498" s="318"/>
      <c r="Q6498" s="318"/>
      <c r="R6498" s="318"/>
      <c r="S6498" s="318"/>
      <c r="T6498" s="318"/>
      <c r="U6498" s="318"/>
      <c r="V6498" s="318"/>
      <c r="W6498" s="318"/>
      <c r="X6498" s="318"/>
      <c r="Y6498" s="318"/>
      <c r="Z6498" s="318"/>
      <c r="AA6498" s="318"/>
      <c r="AB6498" s="318"/>
      <c r="AC6498" s="318"/>
      <c r="AD6498" s="318"/>
    </row>
    <row r="6499" spans="2:30" s="323" customFormat="1" ht="12" customHeight="1">
      <c r="B6499" s="324"/>
      <c r="C6499" s="325"/>
      <c r="D6499" s="326"/>
      <c r="E6499" s="326"/>
      <c r="F6499" s="326"/>
      <c r="G6499" s="326"/>
      <c r="H6499" s="326"/>
      <c r="P6499" s="318"/>
      <c r="Q6499" s="318"/>
      <c r="R6499" s="318"/>
      <c r="S6499" s="318"/>
      <c r="T6499" s="318"/>
      <c r="U6499" s="318"/>
      <c r="V6499" s="318"/>
      <c r="W6499" s="318"/>
      <c r="X6499" s="318"/>
      <c r="Y6499" s="318"/>
      <c r="Z6499" s="318"/>
      <c r="AA6499" s="318"/>
      <c r="AB6499" s="318"/>
      <c r="AC6499" s="318"/>
      <c r="AD6499" s="318"/>
    </row>
    <row r="6500" spans="2:30" s="323" customFormat="1" ht="12" customHeight="1">
      <c r="B6500" s="324"/>
      <c r="C6500" s="325"/>
      <c r="D6500" s="326"/>
      <c r="E6500" s="326"/>
      <c r="F6500" s="326"/>
      <c r="G6500" s="326"/>
      <c r="H6500" s="326"/>
      <c r="P6500" s="318"/>
      <c r="Q6500" s="318"/>
      <c r="R6500" s="318"/>
      <c r="S6500" s="318"/>
      <c r="T6500" s="318"/>
      <c r="U6500" s="318"/>
      <c r="V6500" s="318"/>
      <c r="W6500" s="318"/>
      <c r="X6500" s="318"/>
      <c r="Y6500" s="318"/>
      <c r="Z6500" s="318"/>
      <c r="AA6500" s="318"/>
      <c r="AB6500" s="318"/>
      <c r="AC6500" s="318"/>
      <c r="AD6500" s="318"/>
    </row>
    <row r="6501" spans="2:30" s="323" customFormat="1" ht="12" customHeight="1">
      <c r="B6501" s="324"/>
      <c r="C6501" s="325"/>
      <c r="D6501" s="326"/>
      <c r="E6501" s="326"/>
      <c r="F6501" s="326"/>
      <c r="G6501" s="326"/>
      <c r="H6501" s="326"/>
      <c r="P6501" s="318"/>
      <c r="Q6501" s="318"/>
      <c r="R6501" s="318"/>
      <c r="S6501" s="318"/>
      <c r="T6501" s="318"/>
      <c r="U6501" s="318"/>
      <c r="V6501" s="318"/>
      <c r="W6501" s="318"/>
      <c r="X6501" s="318"/>
      <c r="Y6501" s="318"/>
      <c r="Z6501" s="318"/>
      <c r="AA6501" s="318"/>
      <c r="AB6501" s="318"/>
      <c r="AC6501" s="318"/>
      <c r="AD6501" s="318"/>
    </row>
    <row r="6502" spans="2:30" s="323" customFormat="1" ht="12" customHeight="1">
      <c r="B6502" s="324"/>
      <c r="C6502" s="325"/>
      <c r="D6502" s="326"/>
      <c r="E6502" s="326"/>
      <c r="F6502" s="326"/>
      <c r="G6502" s="326"/>
      <c r="H6502" s="326"/>
      <c r="P6502" s="318"/>
      <c r="Q6502" s="318"/>
      <c r="R6502" s="318"/>
      <c r="S6502" s="318"/>
      <c r="T6502" s="318"/>
      <c r="U6502" s="318"/>
      <c r="V6502" s="318"/>
      <c r="W6502" s="318"/>
      <c r="X6502" s="318"/>
      <c r="Y6502" s="318"/>
      <c r="Z6502" s="318"/>
      <c r="AA6502" s="318"/>
      <c r="AB6502" s="318"/>
      <c r="AC6502" s="318"/>
      <c r="AD6502" s="318"/>
    </row>
    <row r="6503" spans="2:30" s="323" customFormat="1" ht="12" customHeight="1">
      <c r="B6503" s="324"/>
      <c r="C6503" s="325"/>
      <c r="D6503" s="326"/>
      <c r="E6503" s="326"/>
      <c r="F6503" s="326"/>
      <c r="G6503" s="326"/>
      <c r="H6503" s="326"/>
      <c r="P6503" s="318"/>
      <c r="Q6503" s="318"/>
      <c r="R6503" s="318"/>
      <c r="S6503" s="318"/>
      <c r="T6503" s="318"/>
      <c r="U6503" s="318"/>
      <c r="V6503" s="318"/>
      <c r="W6503" s="318"/>
      <c r="X6503" s="318"/>
      <c r="Y6503" s="318"/>
      <c r="Z6503" s="318"/>
      <c r="AA6503" s="318"/>
      <c r="AB6503" s="318"/>
      <c r="AC6503" s="318"/>
      <c r="AD6503" s="318"/>
    </row>
    <row r="6504" spans="2:30" s="323" customFormat="1" ht="12" customHeight="1">
      <c r="B6504" s="324"/>
      <c r="C6504" s="325"/>
      <c r="D6504" s="326"/>
      <c r="E6504" s="326"/>
      <c r="F6504" s="326"/>
      <c r="G6504" s="326"/>
      <c r="H6504" s="326"/>
      <c r="P6504" s="318"/>
      <c r="Q6504" s="318"/>
      <c r="R6504" s="318"/>
      <c r="S6504" s="318"/>
      <c r="T6504" s="318"/>
      <c r="U6504" s="318"/>
      <c r="V6504" s="318"/>
      <c r="W6504" s="318"/>
      <c r="X6504" s="318"/>
      <c r="Y6504" s="318"/>
      <c r="Z6504" s="318"/>
      <c r="AA6504" s="318"/>
      <c r="AB6504" s="318"/>
      <c r="AC6504" s="318"/>
      <c r="AD6504" s="318"/>
    </row>
    <row r="6505" spans="2:30" s="323" customFormat="1" ht="12" customHeight="1">
      <c r="B6505" s="324"/>
      <c r="C6505" s="325"/>
      <c r="D6505" s="326"/>
      <c r="E6505" s="326"/>
      <c r="F6505" s="326"/>
      <c r="G6505" s="326"/>
      <c r="H6505" s="326"/>
      <c r="P6505" s="318"/>
      <c r="Q6505" s="318"/>
      <c r="R6505" s="318"/>
      <c r="S6505" s="318"/>
      <c r="T6505" s="318"/>
      <c r="U6505" s="318"/>
      <c r="V6505" s="318"/>
      <c r="W6505" s="318"/>
      <c r="X6505" s="318"/>
      <c r="Y6505" s="318"/>
      <c r="Z6505" s="318"/>
      <c r="AA6505" s="318"/>
      <c r="AB6505" s="318"/>
      <c r="AC6505" s="318"/>
      <c r="AD6505" s="318"/>
    </row>
    <row r="6506" spans="2:30" s="323" customFormat="1" ht="12" customHeight="1">
      <c r="B6506" s="324"/>
      <c r="C6506" s="325"/>
      <c r="D6506" s="326"/>
      <c r="E6506" s="326"/>
      <c r="F6506" s="326"/>
      <c r="G6506" s="326"/>
      <c r="H6506" s="326"/>
      <c r="P6506" s="318"/>
      <c r="Q6506" s="318"/>
      <c r="R6506" s="318"/>
      <c r="S6506" s="318"/>
      <c r="T6506" s="318"/>
      <c r="U6506" s="318"/>
      <c r="V6506" s="318"/>
      <c r="W6506" s="318"/>
      <c r="X6506" s="318"/>
      <c r="Y6506" s="318"/>
      <c r="Z6506" s="318"/>
      <c r="AA6506" s="318"/>
      <c r="AB6506" s="318"/>
      <c r="AC6506" s="318"/>
      <c r="AD6506" s="318"/>
    </row>
    <row r="6507" spans="2:30" s="323" customFormat="1" ht="12" customHeight="1">
      <c r="B6507" s="324"/>
      <c r="C6507" s="325"/>
      <c r="D6507" s="326"/>
      <c r="E6507" s="326"/>
      <c r="F6507" s="326"/>
      <c r="G6507" s="326"/>
      <c r="H6507" s="326"/>
      <c r="P6507" s="318"/>
      <c r="Q6507" s="318"/>
      <c r="R6507" s="318"/>
      <c r="S6507" s="318"/>
      <c r="T6507" s="318"/>
      <c r="U6507" s="318"/>
      <c r="V6507" s="318"/>
      <c r="W6507" s="318"/>
      <c r="X6507" s="318"/>
      <c r="Y6507" s="318"/>
      <c r="Z6507" s="318"/>
      <c r="AA6507" s="318"/>
      <c r="AB6507" s="318"/>
      <c r="AC6507" s="318"/>
      <c r="AD6507" s="318"/>
    </row>
    <row r="6508" spans="2:30" s="323" customFormat="1" ht="12" customHeight="1">
      <c r="B6508" s="324"/>
      <c r="C6508" s="325"/>
      <c r="D6508" s="326"/>
      <c r="E6508" s="326"/>
      <c r="F6508" s="326"/>
      <c r="G6508" s="326"/>
      <c r="H6508" s="326"/>
      <c r="P6508" s="318"/>
      <c r="Q6508" s="318"/>
      <c r="R6508" s="318"/>
      <c r="S6508" s="318"/>
      <c r="T6508" s="318"/>
      <c r="U6508" s="318"/>
      <c r="V6508" s="318"/>
      <c r="W6508" s="318"/>
      <c r="X6508" s="318"/>
      <c r="Y6508" s="318"/>
      <c r="Z6508" s="318"/>
      <c r="AA6508" s="318"/>
      <c r="AB6508" s="318"/>
      <c r="AC6508" s="318"/>
      <c r="AD6508" s="318"/>
    </row>
    <row r="6509" spans="2:30" s="323" customFormat="1" ht="12" customHeight="1">
      <c r="B6509" s="324"/>
      <c r="C6509" s="325"/>
      <c r="D6509" s="326"/>
      <c r="E6509" s="326"/>
      <c r="F6509" s="326"/>
      <c r="G6509" s="326"/>
      <c r="H6509" s="326"/>
      <c r="P6509" s="318"/>
      <c r="Q6509" s="318"/>
      <c r="R6509" s="318"/>
      <c r="S6509" s="318"/>
      <c r="T6509" s="318"/>
      <c r="U6509" s="318"/>
      <c r="V6509" s="318"/>
      <c r="W6509" s="318"/>
      <c r="X6509" s="318"/>
      <c r="Y6509" s="318"/>
      <c r="Z6509" s="318"/>
      <c r="AA6509" s="318"/>
      <c r="AB6509" s="318"/>
      <c r="AC6509" s="318"/>
      <c r="AD6509" s="318"/>
    </row>
    <row r="6510" spans="2:30" s="323" customFormat="1" ht="12" customHeight="1">
      <c r="B6510" s="324"/>
      <c r="C6510" s="325"/>
      <c r="D6510" s="326"/>
      <c r="E6510" s="326"/>
      <c r="F6510" s="326"/>
      <c r="G6510" s="326"/>
      <c r="H6510" s="326"/>
      <c r="P6510" s="318"/>
      <c r="Q6510" s="318"/>
      <c r="R6510" s="318"/>
      <c r="S6510" s="318"/>
      <c r="T6510" s="318"/>
      <c r="U6510" s="318"/>
      <c r="V6510" s="318"/>
      <c r="W6510" s="318"/>
      <c r="X6510" s="318"/>
      <c r="Y6510" s="318"/>
      <c r="Z6510" s="318"/>
      <c r="AA6510" s="318"/>
      <c r="AB6510" s="318"/>
      <c r="AC6510" s="318"/>
      <c r="AD6510" s="318"/>
    </row>
    <row r="6511" spans="2:30" s="323" customFormat="1" ht="12" customHeight="1">
      <c r="B6511" s="324"/>
      <c r="C6511" s="325"/>
      <c r="D6511" s="326"/>
      <c r="E6511" s="326"/>
      <c r="F6511" s="326"/>
      <c r="G6511" s="326"/>
      <c r="H6511" s="326"/>
      <c r="P6511" s="318"/>
      <c r="Q6511" s="318"/>
      <c r="R6511" s="318"/>
      <c r="S6511" s="318"/>
      <c r="T6511" s="318"/>
      <c r="U6511" s="318"/>
      <c r="V6511" s="318"/>
      <c r="W6511" s="318"/>
      <c r="X6511" s="318"/>
      <c r="Y6511" s="318"/>
      <c r="Z6511" s="318"/>
      <c r="AA6511" s="318"/>
      <c r="AB6511" s="318"/>
      <c r="AC6511" s="318"/>
      <c r="AD6511" s="318"/>
    </row>
    <row r="6512" spans="2:30" s="323" customFormat="1" ht="12" customHeight="1">
      <c r="B6512" s="324"/>
      <c r="C6512" s="325"/>
      <c r="D6512" s="326"/>
      <c r="E6512" s="326"/>
      <c r="F6512" s="326"/>
      <c r="G6512" s="326"/>
      <c r="H6512" s="326"/>
      <c r="P6512" s="318"/>
      <c r="Q6512" s="318"/>
      <c r="R6512" s="318"/>
      <c r="S6512" s="318"/>
      <c r="T6512" s="318"/>
      <c r="U6512" s="318"/>
      <c r="V6512" s="318"/>
      <c r="W6512" s="318"/>
      <c r="X6512" s="318"/>
      <c r="Y6512" s="318"/>
      <c r="Z6512" s="318"/>
      <c r="AA6512" s="318"/>
      <c r="AB6512" s="318"/>
      <c r="AC6512" s="318"/>
      <c r="AD6512" s="318"/>
    </row>
    <row r="6513" spans="2:30" s="323" customFormat="1" ht="12" customHeight="1">
      <c r="B6513" s="324"/>
      <c r="C6513" s="325"/>
      <c r="D6513" s="326"/>
      <c r="E6513" s="326"/>
      <c r="F6513" s="326"/>
      <c r="G6513" s="326"/>
      <c r="H6513" s="326"/>
      <c r="P6513" s="318"/>
      <c r="Q6513" s="318"/>
      <c r="R6513" s="318"/>
      <c r="S6513" s="318"/>
      <c r="T6513" s="318"/>
      <c r="U6513" s="318"/>
      <c r="V6513" s="318"/>
      <c r="W6513" s="318"/>
      <c r="X6513" s="318"/>
      <c r="Y6513" s="318"/>
      <c r="Z6513" s="318"/>
      <c r="AA6513" s="318"/>
      <c r="AB6513" s="318"/>
      <c r="AC6513" s="318"/>
      <c r="AD6513" s="318"/>
    </row>
    <row r="6514" spans="2:30" s="323" customFormat="1" ht="12" customHeight="1">
      <c r="B6514" s="324"/>
      <c r="C6514" s="325"/>
      <c r="D6514" s="326"/>
      <c r="E6514" s="326"/>
      <c r="F6514" s="326"/>
      <c r="G6514" s="326"/>
      <c r="H6514" s="326"/>
      <c r="P6514" s="318"/>
      <c r="Q6514" s="318"/>
      <c r="R6514" s="318"/>
      <c r="S6514" s="318"/>
      <c r="T6514" s="318"/>
      <c r="U6514" s="318"/>
      <c r="V6514" s="318"/>
      <c r="W6514" s="318"/>
      <c r="X6514" s="318"/>
      <c r="Y6514" s="318"/>
      <c r="Z6514" s="318"/>
      <c r="AA6514" s="318"/>
      <c r="AB6514" s="318"/>
      <c r="AC6514" s="318"/>
      <c r="AD6514" s="318"/>
    </row>
    <row r="6515" spans="2:30" s="323" customFormat="1" ht="12" customHeight="1">
      <c r="B6515" s="324"/>
      <c r="C6515" s="325"/>
      <c r="D6515" s="326"/>
      <c r="E6515" s="326"/>
      <c r="F6515" s="326"/>
      <c r="G6515" s="326"/>
      <c r="H6515" s="326"/>
      <c r="P6515" s="318"/>
      <c r="Q6515" s="318"/>
      <c r="R6515" s="318"/>
      <c r="S6515" s="318"/>
      <c r="T6515" s="318"/>
      <c r="U6515" s="318"/>
      <c r="V6515" s="318"/>
      <c r="W6515" s="318"/>
      <c r="X6515" s="318"/>
      <c r="Y6515" s="318"/>
      <c r="Z6515" s="318"/>
      <c r="AA6515" s="318"/>
      <c r="AB6515" s="318"/>
      <c r="AC6515" s="318"/>
      <c r="AD6515" s="318"/>
    </row>
    <row r="6516" spans="2:30" s="323" customFormat="1" ht="12" customHeight="1">
      <c r="B6516" s="324"/>
      <c r="C6516" s="325"/>
      <c r="D6516" s="326"/>
      <c r="E6516" s="326"/>
      <c r="F6516" s="326"/>
      <c r="G6516" s="326"/>
      <c r="H6516" s="326"/>
      <c r="P6516" s="318"/>
      <c r="Q6516" s="318"/>
      <c r="R6516" s="318"/>
      <c r="S6516" s="318"/>
      <c r="T6516" s="318"/>
      <c r="U6516" s="318"/>
      <c r="V6516" s="318"/>
      <c r="W6516" s="318"/>
      <c r="X6516" s="318"/>
      <c r="Y6516" s="318"/>
      <c r="Z6516" s="318"/>
      <c r="AA6516" s="318"/>
      <c r="AB6516" s="318"/>
      <c r="AC6516" s="318"/>
      <c r="AD6516" s="318"/>
    </row>
    <row r="6517" spans="2:30" s="323" customFormat="1" ht="12" customHeight="1">
      <c r="B6517" s="324"/>
      <c r="C6517" s="325"/>
      <c r="D6517" s="326"/>
      <c r="E6517" s="326"/>
      <c r="F6517" s="326"/>
      <c r="G6517" s="326"/>
      <c r="H6517" s="326"/>
      <c r="P6517" s="318"/>
      <c r="Q6517" s="318"/>
      <c r="R6517" s="318"/>
      <c r="S6517" s="318"/>
      <c r="T6517" s="318"/>
      <c r="U6517" s="318"/>
      <c r="V6517" s="318"/>
      <c r="W6517" s="318"/>
      <c r="X6517" s="318"/>
      <c r="Y6517" s="318"/>
      <c r="Z6517" s="318"/>
      <c r="AA6517" s="318"/>
      <c r="AB6517" s="318"/>
      <c r="AC6517" s="318"/>
      <c r="AD6517" s="318"/>
    </row>
    <row r="6518" spans="2:30" s="323" customFormat="1" ht="12" customHeight="1">
      <c r="B6518" s="324"/>
      <c r="C6518" s="325"/>
      <c r="D6518" s="326"/>
      <c r="E6518" s="326"/>
      <c r="F6518" s="326"/>
      <c r="G6518" s="326"/>
      <c r="H6518" s="326"/>
      <c r="P6518" s="318"/>
      <c r="Q6518" s="318"/>
      <c r="R6518" s="318"/>
      <c r="S6518" s="318"/>
      <c r="T6518" s="318"/>
      <c r="U6518" s="318"/>
      <c r="V6518" s="318"/>
      <c r="W6518" s="318"/>
      <c r="X6518" s="318"/>
      <c r="Y6518" s="318"/>
      <c r="Z6518" s="318"/>
      <c r="AA6518" s="318"/>
      <c r="AB6518" s="318"/>
      <c r="AC6518" s="318"/>
      <c r="AD6518" s="318"/>
    </row>
    <row r="6519" spans="2:30" s="323" customFormat="1" ht="12" customHeight="1">
      <c r="B6519" s="324"/>
      <c r="C6519" s="325"/>
      <c r="D6519" s="326"/>
      <c r="E6519" s="326"/>
      <c r="F6519" s="326"/>
      <c r="G6519" s="326"/>
      <c r="H6519" s="326"/>
      <c r="P6519" s="318"/>
      <c r="Q6519" s="318"/>
      <c r="R6519" s="318"/>
      <c r="S6519" s="318"/>
      <c r="T6519" s="318"/>
      <c r="U6519" s="318"/>
      <c r="V6519" s="318"/>
      <c r="W6519" s="318"/>
      <c r="X6519" s="318"/>
      <c r="Y6519" s="318"/>
      <c r="Z6519" s="318"/>
      <c r="AA6519" s="318"/>
      <c r="AB6519" s="318"/>
      <c r="AC6519" s="318"/>
      <c r="AD6519" s="318"/>
    </row>
    <row r="6520" spans="2:30" s="323" customFormat="1" ht="12" customHeight="1">
      <c r="B6520" s="324"/>
      <c r="C6520" s="325"/>
      <c r="D6520" s="326"/>
      <c r="E6520" s="326"/>
      <c r="F6520" s="326"/>
      <c r="G6520" s="326"/>
      <c r="H6520" s="326"/>
      <c r="P6520" s="318"/>
      <c r="Q6520" s="318"/>
      <c r="R6520" s="318"/>
      <c r="S6520" s="318"/>
      <c r="T6520" s="318"/>
      <c r="U6520" s="318"/>
      <c r="V6520" s="318"/>
      <c r="W6520" s="318"/>
      <c r="X6520" s="318"/>
      <c r="Y6520" s="318"/>
      <c r="Z6520" s="318"/>
      <c r="AA6520" s="318"/>
      <c r="AB6520" s="318"/>
      <c r="AC6520" s="318"/>
      <c r="AD6520" s="318"/>
    </row>
    <row r="6521" spans="2:30" s="323" customFormat="1" ht="12" customHeight="1">
      <c r="B6521" s="324"/>
      <c r="C6521" s="325"/>
      <c r="D6521" s="326"/>
      <c r="E6521" s="326"/>
      <c r="F6521" s="326"/>
      <c r="G6521" s="326"/>
      <c r="H6521" s="326"/>
      <c r="P6521" s="318"/>
      <c r="Q6521" s="318"/>
      <c r="R6521" s="318"/>
      <c r="S6521" s="318"/>
      <c r="T6521" s="318"/>
      <c r="U6521" s="318"/>
      <c r="V6521" s="318"/>
      <c r="W6521" s="318"/>
      <c r="X6521" s="318"/>
      <c r="Y6521" s="318"/>
      <c r="Z6521" s="318"/>
      <c r="AA6521" s="318"/>
      <c r="AB6521" s="318"/>
      <c r="AC6521" s="318"/>
      <c r="AD6521" s="318"/>
    </row>
    <row r="6522" spans="2:30" s="323" customFormat="1" ht="12" customHeight="1">
      <c r="B6522" s="324"/>
      <c r="C6522" s="325"/>
      <c r="D6522" s="326"/>
      <c r="E6522" s="326"/>
      <c r="F6522" s="326"/>
      <c r="G6522" s="326"/>
      <c r="H6522" s="326"/>
      <c r="P6522" s="318"/>
      <c r="Q6522" s="318"/>
      <c r="R6522" s="318"/>
      <c r="S6522" s="318"/>
      <c r="T6522" s="318"/>
      <c r="U6522" s="318"/>
      <c r="V6522" s="318"/>
      <c r="W6522" s="318"/>
      <c r="X6522" s="318"/>
      <c r="Y6522" s="318"/>
      <c r="Z6522" s="318"/>
      <c r="AA6522" s="318"/>
      <c r="AB6522" s="318"/>
      <c r="AC6522" s="318"/>
      <c r="AD6522" s="318"/>
    </row>
    <row r="6523" spans="2:30" s="323" customFormat="1" ht="12" customHeight="1">
      <c r="B6523" s="324"/>
      <c r="C6523" s="325"/>
      <c r="D6523" s="326"/>
      <c r="E6523" s="326"/>
      <c r="F6523" s="326"/>
      <c r="G6523" s="326"/>
      <c r="H6523" s="326"/>
      <c r="P6523" s="318"/>
      <c r="Q6523" s="318"/>
      <c r="R6523" s="318"/>
      <c r="S6523" s="318"/>
      <c r="T6523" s="318"/>
      <c r="U6523" s="318"/>
      <c r="V6523" s="318"/>
      <c r="W6523" s="318"/>
      <c r="X6523" s="318"/>
      <c r="Y6523" s="318"/>
      <c r="Z6523" s="318"/>
      <c r="AA6523" s="318"/>
      <c r="AB6523" s="318"/>
      <c r="AC6523" s="318"/>
      <c r="AD6523" s="318"/>
    </row>
    <row r="6524" spans="2:30" s="323" customFormat="1" ht="12" customHeight="1">
      <c r="B6524" s="324"/>
      <c r="C6524" s="325"/>
      <c r="D6524" s="326"/>
      <c r="E6524" s="326"/>
      <c r="F6524" s="326"/>
      <c r="G6524" s="326"/>
      <c r="H6524" s="326"/>
      <c r="P6524" s="318"/>
      <c r="Q6524" s="318"/>
      <c r="R6524" s="318"/>
      <c r="S6524" s="318"/>
      <c r="T6524" s="318"/>
      <c r="U6524" s="318"/>
      <c r="V6524" s="318"/>
      <c r="W6524" s="318"/>
      <c r="X6524" s="318"/>
      <c r="Y6524" s="318"/>
      <c r="Z6524" s="318"/>
      <c r="AA6524" s="318"/>
      <c r="AB6524" s="318"/>
      <c r="AC6524" s="318"/>
      <c r="AD6524" s="318"/>
    </row>
    <row r="6525" spans="2:30" s="323" customFormat="1" ht="12" customHeight="1">
      <c r="B6525" s="324"/>
      <c r="C6525" s="325"/>
      <c r="D6525" s="326"/>
      <c r="E6525" s="326"/>
      <c r="F6525" s="326"/>
      <c r="G6525" s="326"/>
      <c r="H6525" s="326"/>
      <c r="P6525" s="318"/>
      <c r="Q6525" s="318"/>
      <c r="R6525" s="318"/>
      <c r="S6525" s="318"/>
      <c r="T6525" s="318"/>
      <c r="U6525" s="318"/>
      <c r="V6525" s="318"/>
      <c r="W6525" s="318"/>
      <c r="X6525" s="318"/>
      <c r="Y6525" s="318"/>
      <c r="Z6525" s="318"/>
      <c r="AA6525" s="318"/>
      <c r="AB6525" s="318"/>
      <c r="AC6525" s="318"/>
      <c r="AD6525" s="318"/>
    </row>
    <row r="6526" spans="2:30" s="323" customFormat="1" ht="12" customHeight="1">
      <c r="B6526" s="324"/>
      <c r="C6526" s="325"/>
      <c r="D6526" s="326"/>
      <c r="E6526" s="326"/>
      <c r="F6526" s="326"/>
      <c r="G6526" s="326"/>
      <c r="H6526" s="326"/>
      <c r="P6526" s="318"/>
      <c r="Q6526" s="318"/>
      <c r="R6526" s="318"/>
      <c r="S6526" s="318"/>
      <c r="T6526" s="318"/>
      <c r="U6526" s="318"/>
      <c r="V6526" s="318"/>
      <c r="W6526" s="318"/>
      <c r="X6526" s="318"/>
      <c r="Y6526" s="318"/>
      <c r="Z6526" s="318"/>
      <c r="AA6526" s="318"/>
      <c r="AB6526" s="318"/>
      <c r="AC6526" s="318"/>
      <c r="AD6526" s="318"/>
    </row>
    <row r="6527" spans="2:30" s="323" customFormat="1" ht="12" customHeight="1">
      <c r="B6527" s="324"/>
      <c r="C6527" s="325"/>
      <c r="D6527" s="326"/>
      <c r="E6527" s="326"/>
      <c r="F6527" s="326"/>
      <c r="G6527" s="326"/>
      <c r="H6527" s="326"/>
      <c r="P6527" s="318"/>
      <c r="Q6527" s="318"/>
      <c r="R6527" s="318"/>
      <c r="S6527" s="318"/>
      <c r="T6527" s="318"/>
      <c r="U6527" s="318"/>
      <c r="V6527" s="318"/>
      <c r="W6527" s="318"/>
      <c r="X6527" s="318"/>
      <c r="Y6527" s="318"/>
      <c r="Z6527" s="318"/>
      <c r="AA6527" s="318"/>
      <c r="AB6527" s="318"/>
      <c r="AC6527" s="318"/>
      <c r="AD6527" s="318"/>
    </row>
    <row r="6528" spans="2:30" s="323" customFormat="1" ht="12" customHeight="1">
      <c r="B6528" s="324"/>
      <c r="C6528" s="325"/>
      <c r="D6528" s="326"/>
      <c r="E6528" s="326"/>
      <c r="F6528" s="326"/>
      <c r="G6528" s="326"/>
      <c r="H6528" s="326"/>
      <c r="P6528" s="318"/>
      <c r="Q6528" s="318"/>
      <c r="R6528" s="318"/>
      <c r="S6528" s="318"/>
      <c r="T6528" s="318"/>
      <c r="U6528" s="318"/>
      <c r="V6528" s="318"/>
      <c r="W6528" s="318"/>
      <c r="X6528" s="318"/>
      <c r="Y6528" s="318"/>
      <c r="Z6528" s="318"/>
      <c r="AA6528" s="318"/>
      <c r="AB6528" s="318"/>
      <c r="AC6528" s="318"/>
      <c r="AD6528" s="318"/>
    </row>
    <row r="6529" spans="2:30" s="323" customFormat="1" ht="12" customHeight="1">
      <c r="B6529" s="324"/>
      <c r="C6529" s="325"/>
      <c r="D6529" s="326"/>
      <c r="E6529" s="326"/>
      <c r="F6529" s="326"/>
      <c r="G6529" s="326"/>
      <c r="H6529" s="326"/>
      <c r="P6529" s="318"/>
      <c r="Q6529" s="318"/>
      <c r="R6529" s="318"/>
      <c r="S6529" s="318"/>
      <c r="T6529" s="318"/>
      <c r="U6529" s="318"/>
      <c r="V6529" s="318"/>
      <c r="W6529" s="318"/>
      <c r="X6529" s="318"/>
      <c r="Y6529" s="318"/>
      <c r="Z6529" s="318"/>
      <c r="AA6529" s="318"/>
      <c r="AB6529" s="318"/>
      <c r="AC6529" s="318"/>
      <c r="AD6529" s="318"/>
    </row>
    <row r="6530" spans="2:30" s="323" customFormat="1" ht="12" customHeight="1">
      <c r="B6530" s="324"/>
      <c r="C6530" s="325"/>
      <c r="D6530" s="326"/>
      <c r="E6530" s="326"/>
      <c r="F6530" s="326"/>
      <c r="G6530" s="326"/>
      <c r="H6530" s="326"/>
      <c r="P6530" s="318"/>
      <c r="Q6530" s="318"/>
      <c r="R6530" s="318"/>
      <c r="S6530" s="318"/>
      <c r="T6530" s="318"/>
      <c r="U6530" s="318"/>
      <c r="V6530" s="318"/>
      <c r="W6530" s="318"/>
      <c r="X6530" s="318"/>
      <c r="Y6530" s="318"/>
      <c r="Z6530" s="318"/>
      <c r="AA6530" s="318"/>
      <c r="AB6530" s="318"/>
      <c r="AC6530" s="318"/>
      <c r="AD6530" s="318"/>
    </row>
    <row r="6531" spans="2:30" s="323" customFormat="1" ht="12" customHeight="1">
      <c r="B6531" s="324"/>
      <c r="C6531" s="325"/>
      <c r="D6531" s="326"/>
      <c r="E6531" s="326"/>
      <c r="F6531" s="326"/>
      <c r="G6531" s="326"/>
      <c r="H6531" s="326"/>
      <c r="P6531" s="318"/>
      <c r="Q6531" s="318"/>
      <c r="R6531" s="318"/>
      <c r="S6531" s="318"/>
      <c r="T6531" s="318"/>
      <c r="U6531" s="318"/>
      <c r="V6531" s="318"/>
      <c r="W6531" s="318"/>
      <c r="X6531" s="318"/>
      <c r="Y6531" s="318"/>
      <c r="Z6531" s="318"/>
      <c r="AA6531" s="318"/>
      <c r="AB6531" s="318"/>
      <c r="AC6531" s="318"/>
      <c r="AD6531" s="318"/>
    </row>
    <row r="6532" spans="2:30" s="323" customFormat="1" ht="12" customHeight="1">
      <c r="B6532" s="324"/>
      <c r="C6532" s="325"/>
      <c r="D6532" s="326"/>
      <c r="E6532" s="326"/>
      <c r="F6532" s="326"/>
      <c r="G6532" s="326"/>
      <c r="H6532" s="326"/>
      <c r="P6532" s="318"/>
      <c r="Q6532" s="318"/>
      <c r="R6532" s="318"/>
      <c r="S6532" s="318"/>
      <c r="T6532" s="318"/>
      <c r="U6532" s="318"/>
      <c r="V6532" s="318"/>
      <c r="W6532" s="318"/>
      <c r="X6532" s="318"/>
      <c r="Y6532" s="318"/>
      <c r="Z6532" s="318"/>
      <c r="AA6532" s="318"/>
      <c r="AB6532" s="318"/>
      <c r="AC6532" s="318"/>
      <c r="AD6532" s="318"/>
    </row>
    <row r="6533" spans="2:30" s="323" customFormat="1" ht="12" customHeight="1">
      <c r="B6533" s="324"/>
      <c r="C6533" s="325"/>
      <c r="D6533" s="326"/>
      <c r="E6533" s="326"/>
      <c r="F6533" s="326"/>
      <c r="G6533" s="326"/>
      <c r="H6533" s="326"/>
      <c r="P6533" s="318"/>
      <c r="Q6533" s="318"/>
      <c r="R6533" s="318"/>
      <c r="S6533" s="318"/>
      <c r="T6533" s="318"/>
      <c r="U6533" s="318"/>
      <c r="V6533" s="318"/>
      <c r="W6533" s="318"/>
      <c r="X6533" s="318"/>
      <c r="Y6533" s="318"/>
      <c r="Z6533" s="318"/>
      <c r="AA6533" s="318"/>
      <c r="AB6533" s="318"/>
      <c r="AC6533" s="318"/>
      <c r="AD6533" s="318"/>
    </row>
    <row r="6534" spans="2:30" s="323" customFormat="1" ht="12" customHeight="1">
      <c r="B6534" s="324"/>
      <c r="C6534" s="325"/>
      <c r="D6534" s="326"/>
      <c r="E6534" s="326"/>
      <c r="F6534" s="326"/>
      <c r="G6534" s="326"/>
      <c r="H6534" s="326"/>
      <c r="P6534" s="318"/>
      <c r="Q6534" s="318"/>
      <c r="R6534" s="318"/>
      <c r="S6534" s="318"/>
      <c r="T6534" s="318"/>
      <c r="U6534" s="318"/>
      <c r="V6534" s="318"/>
      <c r="W6534" s="318"/>
      <c r="X6534" s="318"/>
      <c r="Y6534" s="318"/>
      <c r="Z6534" s="318"/>
      <c r="AA6534" s="318"/>
      <c r="AB6534" s="318"/>
      <c r="AC6534" s="318"/>
      <c r="AD6534" s="318"/>
    </row>
    <row r="6535" spans="2:30" s="323" customFormat="1" ht="12" customHeight="1">
      <c r="B6535" s="324"/>
      <c r="C6535" s="325"/>
      <c r="D6535" s="326"/>
      <c r="E6535" s="326"/>
      <c r="F6535" s="326"/>
      <c r="G6535" s="326"/>
      <c r="H6535" s="326"/>
      <c r="P6535" s="318"/>
      <c r="Q6535" s="318"/>
      <c r="R6535" s="318"/>
      <c r="S6535" s="318"/>
      <c r="T6535" s="318"/>
      <c r="U6535" s="318"/>
      <c r="V6535" s="318"/>
      <c r="W6535" s="318"/>
      <c r="X6535" s="318"/>
      <c r="Y6535" s="318"/>
      <c r="Z6535" s="318"/>
      <c r="AA6535" s="318"/>
      <c r="AB6535" s="318"/>
      <c r="AC6535" s="318"/>
      <c r="AD6535" s="318"/>
    </row>
    <row r="6536" spans="2:30" s="323" customFormat="1" ht="12" customHeight="1">
      <c r="B6536" s="324"/>
      <c r="C6536" s="325"/>
      <c r="D6536" s="326"/>
      <c r="E6536" s="326"/>
      <c r="F6536" s="326"/>
      <c r="G6536" s="326"/>
      <c r="H6536" s="326"/>
      <c r="P6536" s="318"/>
      <c r="Q6536" s="318"/>
      <c r="R6536" s="318"/>
      <c r="S6536" s="318"/>
      <c r="T6536" s="318"/>
      <c r="U6536" s="318"/>
      <c r="V6536" s="318"/>
      <c r="W6536" s="318"/>
      <c r="X6536" s="318"/>
      <c r="Y6536" s="318"/>
      <c r="Z6536" s="318"/>
      <c r="AA6536" s="318"/>
      <c r="AB6536" s="318"/>
      <c r="AC6536" s="318"/>
      <c r="AD6536" s="318"/>
    </row>
    <row r="6537" spans="2:30" s="323" customFormat="1" ht="12" customHeight="1">
      <c r="B6537" s="324"/>
      <c r="C6537" s="325"/>
      <c r="D6537" s="326"/>
      <c r="E6537" s="326"/>
      <c r="F6537" s="326"/>
      <c r="G6537" s="326"/>
      <c r="H6537" s="326"/>
      <c r="P6537" s="318"/>
      <c r="Q6537" s="318"/>
      <c r="R6537" s="318"/>
      <c r="S6537" s="318"/>
      <c r="T6537" s="318"/>
      <c r="U6537" s="318"/>
      <c r="V6537" s="318"/>
      <c r="W6537" s="318"/>
      <c r="X6537" s="318"/>
      <c r="Y6537" s="318"/>
      <c r="Z6537" s="318"/>
      <c r="AA6537" s="318"/>
      <c r="AB6537" s="318"/>
      <c r="AC6537" s="318"/>
      <c r="AD6537" s="318"/>
    </row>
    <row r="6538" spans="2:30" s="323" customFormat="1" ht="12" customHeight="1">
      <c r="B6538" s="324"/>
      <c r="C6538" s="325"/>
      <c r="D6538" s="326"/>
      <c r="E6538" s="326"/>
      <c r="F6538" s="326"/>
      <c r="G6538" s="326"/>
      <c r="H6538" s="326"/>
      <c r="P6538" s="318"/>
      <c r="Q6538" s="318"/>
      <c r="R6538" s="318"/>
      <c r="S6538" s="318"/>
      <c r="T6538" s="318"/>
      <c r="U6538" s="318"/>
      <c r="V6538" s="318"/>
      <c r="W6538" s="318"/>
      <c r="X6538" s="318"/>
      <c r="Y6538" s="318"/>
      <c r="Z6538" s="318"/>
      <c r="AA6538" s="318"/>
      <c r="AB6538" s="318"/>
      <c r="AC6538" s="318"/>
      <c r="AD6538" s="318"/>
    </row>
    <row r="6539" spans="2:30" s="323" customFormat="1" ht="12" customHeight="1">
      <c r="B6539" s="324"/>
      <c r="C6539" s="325"/>
      <c r="D6539" s="326"/>
      <c r="E6539" s="326"/>
      <c r="F6539" s="326"/>
      <c r="G6539" s="326"/>
      <c r="H6539" s="326"/>
      <c r="P6539" s="318"/>
      <c r="Q6539" s="318"/>
      <c r="R6539" s="318"/>
      <c r="S6539" s="318"/>
      <c r="T6539" s="318"/>
      <c r="U6539" s="318"/>
      <c r="V6539" s="318"/>
      <c r="W6539" s="318"/>
      <c r="X6539" s="318"/>
      <c r="Y6539" s="318"/>
      <c r="Z6539" s="318"/>
      <c r="AA6539" s="318"/>
      <c r="AB6539" s="318"/>
      <c r="AC6539" s="318"/>
      <c r="AD6539" s="318"/>
    </row>
    <row r="6540" spans="2:30" s="323" customFormat="1" ht="12" customHeight="1">
      <c r="B6540" s="324"/>
      <c r="C6540" s="325"/>
      <c r="D6540" s="326"/>
      <c r="E6540" s="326"/>
      <c r="F6540" s="326"/>
      <c r="G6540" s="326"/>
      <c r="H6540" s="326"/>
      <c r="P6540" s="318"/>
      <c r="Q6540" s="318"/>
      <c r="R6540" s="318"/>
      <c r="S6540" s="318"/>
      <c r="T6540" s="318"/>
      <c r="U6540" s="318"/>
      <c r="V6540" s="318"/>
      <c r="W6540" s="318"/>
      <c r="X6540" s="318"/>
      <c r="Y6540" s="318"/>
      <c r="Z6540" s="318"/>
      <c r="AA6540" s="318"/>
      <c r="AB6540" s="318"/>
      <c r="AC6540" s="318"/>
      <c r="AD6540" s="318"/>
    </row>
    <row r="6541" spans="2:30" s="323" customFormat="1" ht="12" customHeight="1">
      <c r="B6541" s="324"/>
      <c r="C6541" s="325"/>
      <c r="D6541" s="326"/>
      <c r="E6541" s="326"/>
      <c r="F6541" s="326"/>
      <c r="G6541" s="326"/>
      <c r="H6541" s="326"/>
      <c r="P6541" s="318"/>
      <c r="Q6541" s="318"/>
      <c r="R6541" s="318"/>
      <c r="S6541" s="318"/>
      <c r="T6541" s="318"/>
      <c r="U6541" s="318"/>
      <c r="V6541" s="318"/>
      <c r="W6541" s="318"/>
      <c r="X6541" s="318"/>
      <c r="Y6541" s="318"/>
      <c r="Z6541" s="318"/>
      <c r="AA6541" s="318"/>
      <c r="AB6541" s="318"/>
      <c r="AC6541" s="318"/>
      <c r="AD6541" s="318"/>
    </row>
    <row r="6542" spans="2:30" s="323" customFormat="1" ht="12" customHeight="1">
      <c r="B6542" s="324"/>
      <c r="C6542" s="325"/>
      <c r="D6542" s="326"/>
      <c r="E6542" s="326"/>
      <c r="F6542" s="326"/>
      <c r="G6542" s="326"/>
      <c r="H6542" s="326"/>
      <c r="P6542" s="318"/>
      <c r="Q6542" s="318"/>
      <c r="R6542" s="318"/>
      <c r="S6542" s="318"/>
      <c r="T6542" s="318"/>
      <c r="U6542" s="318"/>
      <c r="V6542" s="318"/>
      <c r="W6542" s="318"/>
      <c r="X6542" s="318"/>
      <c r="Y6542" s="318"/>
      <c r="Z6542" s="318"/>
      <c r="AA6542" s="318"/>
      <c r="AB6542" s="318"/>
      <c r="AC6542" s="318"/>
      <c r="AD6542" s="318"/>
    </row>
    <row r="6543" spans="2:30" s="323" customFormat="1" ht="12" customHeight="1">
      <c r="B6543" s="324"/>
      <c r="C6543" s="325"/>
      <c r="D6543" s="326"/>
      <c r="E6543" s="326"/>
      <c r="F6543" s="326"/>
      <c r="G6543" s="326"/>
      <c r="H6543" s="326"/>
      <c r="P6543" s="318"/>
      <c r="Q6543" s="318"/>
      <c r="R6543" s="318"/>
      <c r="S6543" s="318"/>
      <c r="T6543" s="318"/>
      <c r="U6543" s="318"/>
      <c r="V6543" s="318"/>
      <c r="W6543" s="318"/>
      <c r="X6543" s="318"/>
      <c r="Y6543" s="318"/>
      <c r="Z6543" s="318"/>
      <c r="AA6543" s="318"/>
      <c r="AB6543" s="318"/>
      <c r="AC6543" s="318"/>
      <c r="AD6543" s="318"/>
    </row>
    <row r="6544" spans="2:30" s="323" customFormat="1" ht="12" customHeight="1">
      <c r="B6544" s="324"/>
      <c r="C6544" s="325"/>
      <c r="D6544" s="326"/>
      <c r="E6544" s="326"/>
      <c r="F6544" s="326"/>
      <c r="G6544" s="326"/>
      <c r="H6544" s="326"/>
      <c r="P6544" s="318"/>
      <c r="Q6544" s="318"/>
      <c r="R6544" s="318"/>
      <c r="S6544" s="318"/>
      <c r="T6544" s="318"/>
      <c r="U6544" s="318"/>
      <c r="V6544" s="318"/>
      <c r="W6544" s="318"/>
      <c r="X6544" s="318"/>
      <c r="Y6544" s="318"/>
      <c r="Z6544" s="318"/>
      <c r="AA6544" s="318"/>
      <c r="AB6544" s="318"/>
      <c r="AC6544" s="318"/>
      <c r="AD6544" s="318"/>
    </row>
    <row r="6545" spans="2:30" s="323" customFormat="1" ht="12" customHeight="1">
      <c r="B6545" s="324"/>
      <c r="C6545" s="325"/>
      <c r="D6545" s="326"/>
      <c r="E6545" s="326"/>
      <c r="F6545" s="326"/>
      <c r="G6545" s="326"/>
      <c r="H6545" s="326"/>
      <c r="P6545" s="318"/>
      <c r="Q6545" s="318"/>
      <c r="R6545" s="318"/>
      <c r="S6545" s="318"/>
      <c r="T6545" s="318"/>
      <c r="U6545" s="318"/>
      <c r="V6545" s="318"/>
      <c r="W6545" s="318"/>
      <c r="X6545" s="318"/>
      <c r="Y6545" s="318"/>
      <c r="Z6545" s="318"/>
      <c r="AA6545" s="318"/>
      <c r="AB6545" s="318"/>
      <c r="AC6545" s="318"/>
      <c r="AD6545" s="318"/>
    </row>
    <row r="6546" spans="2:30" s="323" customFormat="1" ht="12" customHeight="1">
      <c r="B6546" s="324"/>
      <c r="C6546" s="325"/>
      <c r="D6546" s="326"/>
      <c r="E6546" s="326"/>
      <c r="F6546" s="326"/>
      <c r="G6546" s="326"/>
      <c r="H6546" s="326"/>
      <c r="P6546" s="318"/>
      <c r="Q6546" s="318"/>
      <c r="R6546" s="318"/>
      <c r="S6546" s="318"/>
      <c r="T6546" s="318"/>
      <c r="U6546" s="318"/>
      <c r="V6546" s="318"/>
      <c r="W6546" s="318"/>
      <c r="X6546" s="318"/>
      <c r="Y6546" s="318"/>
      <c r="Z6546" s="318"/>
      <c r="AA6546" s="318"/>
      <c r="AB6546" s="318"/>
      <c r="AC6546" s="318"/>
      <c r="AD6546" s="318"/>
    </row>
    <row r="6547" spans="2:30" s="323" customFormat="1" ht="12" customHeight="1">
      <c r="B6547" s="324"/>
      <c r="C6547" s="325"/>
      <c r="D6547" s="326"/>
      <c r="E6547" s="326"/>
      <c r="F6547" s="326"/>
      <c r="G6547" s="326"/>
      <c r="H6547" s="326"/>
      <c r="P6547" s="318"/>
      <c r="Q6547" s="318"/>
      <c r="R6547" s="318"/>
      <c r="S6547" s="318"/>
      <c r="T6547" s="318"/>
      <c r="U6547" s="318"/>
      <c r="V6547" s="318"/>
      <c r="W6547" s="318"/>
      <c r="X6547" s="318"/>
      <c r="Y6547" s="318"/>
      <c r="Z6547" s="318"/>
      <c r="AA6547" s="318"/>
      <c r="AB6547" s="318"/>
      <c r="AC6547" s="318"/>
      <c r="AD6547" s="318"/>
    </row>
    <row r="6548" spans="2:30" s="323" customFormat="1" ht="12" customHeight="1">
      <c r="B6548" s="324"/>
      <c r="C6548" s="325"/>
      <c r="D6548" s="326"/>
      <c r="E6548" s="326"/>
      <c r="F6548" s="326"/>
      <c r="G6548" s="326"/>
      <c r="H6548" s="326"/>
      <c r="P6548" s="318"/>
      <c r="Q6548" s="318"/>
      <c r="R6548" s="318"/>
      <c r="S6548" s="318"/>
      <c r="T6548" s="318"/>
      <c r="U6548" s="318"/>
      <c r="V6548" s="318"/>
      <c r="W6548" s="318"/>
      <c r="X6548" s="318"/>
      <c r="Y6548" s="318"/>
      <c r="Z6548" s="318"/>
      <c r="AA6548" s="318"/>
      <c r="AB6548" s="318"/>
      <c r="AC6548" s="318"/>
      <c r="AD6548" s="318"/>
    </row>
    <row r="6549" spans="2:30" s="323" customFormat="1" ht="12" customHeight="1">
      <c r="B6549" s="324"/>
      <c r="C6549" s="325"/>
      <c r="D6549" s="326"/>
      <c r="E6549" s="326"/>
      <c r="F6549" s="326"/>
      <c r="G6549" s="326"/>
      <c r="H6549" s="326"/>
      <c r="P6549" s="318"/>
      <c r="Q6549" s="318"/>
      <c r="R6549" s="318"/>
      <c r="S6549" s="318"/>
      <c r="T6549" s="318"/>
      <c r="U6549" s="318"/>
      <c r="V6549" s="318"/>
      <c r="W6549" s="318"/>
      <c r="X6549" s="318"/>
      <c r="Y6549" s="318"/>
      <c r="Z6549" s="318"/>
      <c r="AA6549" s="318"/>
      <c r="AB6549" s="318"/>
      <c r="AC6549" s="318"/>
      <c r="AD6549" s="318"/>
    </row>
    <row r="6550" spans="2:30" s="323" customFormat="1" ht="12" customHeight="1">
      <c r="B6550" s="324"/>
      <c r="C6550" s="325"/>
      <c r="D6550" s="326"/>
      <c r="E6550" s="326"/>
      <c r="F6550" s="326"/>
      <c r="G6550" s="326"/>
      <c r="H6550" s="326"/>
      <c r="P6550" s="318"/>
      <c r="Q6550" s="318"/>
      <c r="R6550" s="318"/>
      <c r="S6550" s="318"/>
      <c r="T6550" s="318"/>
      <c r="U6550" s="318"/>
      <c r="V6550" s="318"/>
      <c r="W6550" s="318"/>
      <c r="X6550" s="318"/>
      <c r="Y6550" s="318"/>
      <c r="Z6550" s="318"/>
      <c r="AA6550" s="318"/>
      <c r="AB6550" s="318"/>
      <c r="AC6550" s="318"/>
      <c r="AD6550" s="318"/>
    </row>
    <row r="6551" spans="2:30" s="323" customFormat="1" ht="12" customHeight="1">
      <c r="B6551" s="324"/>
      <c r="C6551" s="325"/>
      <c r="D6551" s="326"/>
      <c r="E6551" s="326"/>
      <c r="F6551" s="326"/>
      <c r="G6551" s="326"/>
      <c r="H6551" s="326"/>
      <c r="P6551" s="318"/>
      <c r="Q6551" s="318"/>
      <c r="R6551" s="318"/>
      <c r="S6551" s="318"/>
      <c r="T6551" s="318"/>
      <c r="U6551" s="318"/>
      <c r="V6551" s="318"/>
      <c r="W6551" s="318"/>
      <c r="X6551" s="318"/>
      <c r="Y6551" s="318"/>
      <c r="Z6551" s="318"/>
      <c r="AA6551" s="318"/>
      <c r="AB6551" s="318"/>
      <c r="AC6551" s="318"/>
      <c r="AD6551" s="318"/>
    </row>
    <row r="6552" spans="2:30" s="323" customFormat="1" ht="12" customHeight="1">
      <c r="B6552" s="324"/>
      <c r="C6552" s="325"/>
      <c r="D6552" s="326"/>
      <c r="E6552" s="326"/>
      <c r="F6552" s="326"/>
      <c r="G6552" s="326"/>
      <c r="H6552" s="326"/>
      <c r="P6552" s="318"/>
      <c r="Q6552" s="318"/>
      <c r="R6552" s="318"/>
      <c r="S6552" s="318"/>
      <c r="T6552" s="318"/>
      <c r="U6552" s="318"/>
      <c r="V6552" s="318"/>
      <c r="W6552" s="318"/>
      <c r="X6552" s="318"/>
      <c r="Y6552" s="318"/>
      <c r="Z6552" s="318"/>
      <c r="AA6552" s="318"/>
      <c r="AB6552" s="318"/>
      <c r="AC6552" s="318"/>
      <c r="AD6552" s="318"/>
    </row>
    <row r="6553" spans="2:30" s="323" customFormat="1" ht="12" customHeight="1">
      <c r="B6553" s="324"/>
      <c r="C6553" s="325"/>
      <c r="D6553" s="326"/>
      <c r="E6553" s="326"/>
      <c r="F6553" s="326"/>
      <c r="G6553" s="326"/>
      <c r="H6553" s="326"/>
      <c r="P6553" s="318"/>
      <c r="Q6553" s="318"/>
      <c r="R6553" s="318"/>
      <c r="S6553" s="318"/>
      <c r="T6553" s="318"/>
      <c r="U6553" s="318"/>
      <c r="V6553" s="318"/>
      <c r="W6553" s="318"/>
      <c r="X6553" s="318"/>
      <c r="Y6553" s="318"/>
      <c r="Z6553" s="318"/>
      <c r="AA6553" s="318"/>
      <c r="AB6553" s="318"/>
      <c r="AC6553" s="318"/>
      <c r="AD6553" s="318"/>
    </row>
    <row r="6554" spans="2:30" s="323" customFormat="1" ht="12" customHeight="1">
      <c r="B6554" s="324"/>
      <c r="C6554" s="325"/>
      <c r="D6554" s="326"/>
      <c r="E6554" s="326"/>
      <c r="F6554" s="326"/>
      <c r="G6554" s="326"/>
      <c r="H6554" s="326"/>
      <c r="P6554" s="318"/>
      <c r="Q6554" s="318"/>
      <c r="R6554" s="318"/>
      <c r="S6554" s="318"/>
      <c r="T6554" s="318"/>
      <c r="U6554" s="318"/>
      <c r="V6554" s="318"/>
      <c r="W6554" s="318"/>
      <c r="X6554" s="318"/>
      <c r="Y6554" s="318"/>
      <c r="Z6554" s="318"/>
      <c r="AA6554" s="318"/>
      <c r="AB6554" s="318"/>
      <c r="AC6554" s="318"/>
      <c r="AD6554" s="318"/>
    </row>
    <row r="6555" spans="2:30" s="323" customFormat="1" ht="12" customHeight="1">
      <c r="B6555" s="324"/>
      <c r="C6555" s="325"/>
      <c r="D6555" s="326"/>
      <c r="E6555" s="326"/>
      <c r="F6555" s="326"/>
      <c r="G6555" s="326"/>
      <c r="H6555" s="326"/>
      <c r="P6555" s="318"/>
      <c r="Q6555" s="318"/>
      <c r="R6555" s="318"/>
      <c r="S6555" s="318"/>
      <c r="T6555" s="318"/>
      <c r="U6555" s="318"/>
      <c r="V6555" s="318"/>
      <c r="W6555" s="318"/>
      <c r="X6555" s="318"/>
      <c r="Y6555" s="318"/>
      <c r="Z6555" s="318"/>
      <c r="AA6555" s="318"/>
      <c r="AB6555" s="318"/>
      <c r="AC6555" s="318"/>
      <c r="AD6555" s="318"/>
    </row>
    <row r="6556" spans="2:30" s="323" customFormat="1" ht="12" customHeight="1">
      <c r="B6556" s="324"/>
      <c r="C6556" s="325"/>
      <c r="D6556" s="326"/>
      <c r="E6556" s="326"/>
      <c r="F6556" s="326"/>
      <c r="G6556" s="326"/>
      <c r="H6556" s="326"/>
      <c r="P6556" s="318"/>
      <c r="Q6556" s="318"/>
      <c r="R6556" s="318"/>
      <c r="S6556" s="318"/>
      <c r="T6556" s="318"/>
      <c r="U6556" s="318"/>
      <c r="V6556" s="318"/>
      <c r="W6556" s="318"/>
      <c r="X6556" s="318"/>
      <c r="Y6556" s="318"/>
      <c r="Z6556" s="318"/>
      <c r="AA6556" s="318"/>
      <c r="AB6556" s="318"/>
      <c r="AC6556" s="318"/>
      <c r="AD6556" s="318"/>
    </row>
    <row r="6557" spans="2:30" s="323" customFormat="1" ht="12" customHeight="1">
      <c r="B6557" s="324"/>
      <c r="C6557" s="325"/>
      <c r="D6557" s="326"/>
      <c r="E6557" s="326"/>
      <c r="F6557" s="326"/>
      <c r="G6557" s="326"/>
      <c r="H6557" s="326"/>
      <c r="P6557" s="318"/>
      <c r="Q6557" s="318"/>
      <c r="R6557" s="318"/>
      <c r="S6557" s="318"/>
      <c r="T6557" s="318"/>
      <c r="U6557" s="318"/>
      <c r="V6557" s="318"/>
      <c r="W6557" s="318"/>
      <c r="X6557" s="318"/>
      <c r="Y6557" s="318"/>
      <c r="Z6557" s="318"/>
      <c r="AA6557" s="318"/>
      <c r="AB6557" s="318"/>
      <c r="AC6557" s="318"/>
      <c r="AD6557" s="318"/>
    </row>
    <row r="6558" spans="2:30" s="323" customFormat="1" ht="12" customHeight="1">
      <c r="B6558" s="324"/>
      <c r="C6558" s="325"/>
      <c r="D6558" s="326"/>
      <c r="E6558" s="326"/>
      <c r="F6558" s="326"/>
      <c r="G6558" s="326"/>
      <c r="H6558" s="326"/>
      <c r="P6558" s="318"/>
      <c r="Q6558" s="318"/>
      <c r="R6558" s="318"/>
      <c r="S6558" s="318"/>
      <c r="T6558" s="318"/>
      <c r="U6558" s="318"/>
      <c r="V6558" s="318"/>
      <c r="W6558" s="318"/>
      <c r="X6558" s="318"/>
      <c r="Y6558" s="318"/>
      <c r="Z6558" s="318"/>
      <c r="AA6558" s="318"/>
      <c r="AB6558" s="318"/>
      <c r="AC6558" s="318"/>
      <c r="AD6558" s="318"/>
    </row>
    <row r="6559" spans="2:30" s="323" customFormat="1" ht="12" customHeight="1">
      <c r="B6559" s="324"/>
      <c r="C6559" s="325"/>
      <c r="D6559" s="326"/>
      <c r="E6559" s="326"/>
      <c r="F6559" s="326"/>
      <c r="G6559" s="326"/>
      <c r="H6559" s="326"/>
      <c r="P6559" s="318"/>
      <c r="Q6559" s="318"/>
      <c r="R6559" s="318"/>
      <c r="S6559" s="318"/>
      <c r="T6559" s="318"/>
      <c r="U6559" s="318"/>
      <c r="V6559" s="318"/>
      <c r="W6559" s="318"/>
      <c r="X6559" s="318"/>
      <c r="Y6559" s="318"/>
      <c r="Z6559" s="318"/>
      <c r="AA6559" s="318"/>
      <c r="AB6559" s="318"/>
      <c r="AC6559" s="318"/>
      <c r="AD6559" s="318"/>
    </row>
    <row r="6560" spans="2:30" s="323" customFormat="1" ht="12" customHeight="1">
      <c r="B6560" s="324"/>
      <c r="C6560" s="325"/>
      <c r="D6560" s="326"/>
      <c r="E6560" s="326"/>
      <c r="F6560" s="326"/>
      <c r="G6560" s="326"/>
      <c r="H6560" s="326"/>
      <c r="P6560" s="318"/>
      <c r="Q6560" s="318"/>
      <c r="R6560" s="318"/>
      <c r="S6560" s="318"/>
      <c r="T6560" s="318"/>
      <c r="U6560" s="318"/>
      <c r="V6560" s="318"/>
      <c r="W6560" s="318"/>
      <c r="X6560" s="318"/>
      <c r="Y6560" s="318"/>
      <c r="Z6560" s="318"/>
      <c r="AA6560" s="318"/>
      <c r="AB6560" s="318"/>
      <c r="AC6560" s="318"/>
      <c r="AD6560" s="318"/>
    </row>
    <row r="6561" spans="2:30" s="323" customFormat="1" ht="12" customHeight="1">
      <c r="B6561" s="324"/>
      <c r="C6561" s="325"/>
      <c r="D6561" s="326"/>
      <c r="E6561" s="326"/>
      <c r="F6561" s="326"/>
      <c r="G6561" s="326"/>
      <c r="H6561" s="326"/>
      <c r="P6561" s="318"/>
      <c r="Q6561" s="318"/>
      <c r="R6561" s="318"/>
      <c r="S6561" s="318"/>
      <c r="T6561" s="318"/>
      <c r="U6561" s="318"/>
      <c r="V6561" s="318"/>
      <c r="W6561" s="318"/>
      <c r="X6561" s="318"/>
      <c r="Y6561" s="318"/>
      <c r="Z6561" s="318"/>
      <c r="AA6561" s="318"/>
      <c r="AB6561" s="318"/>
      <c r="AC6561" s="318"/>
      <c r="AD6561" s="318"/>
    </row>
    <row r="6562" spans="2:30" s="323" customFormat="1" ht="12" customHeight="1">
      <c r="B6562" s="324"/>
      <c r="C6562" s="325"/>
      <c r="D6562" s="326"/>
      <c r="E6562" s="326"/>
      <c r="F6562" s="326"/>
      <c r="G6562" s="326"/>
      <c r="H6562" s="326"/>
      <c r="P6562" s="318"/>
      <c r="Q6562" s="318"/>
      <c r="R6562" s="318"/>
      <c r="S6562" s="318"/>
      <c r="T6562" s="318"/>
      <c r="U6562" s="318"/>
      <c r="V6562" s="318"/>
      <c r="W6562" s="318"/>
      <c r="X6562" s="318"/>
      <c r="Y6562" s="318"/>
      <c r="Z6562" s="318"/>
      <c r="AA6562" s="318"/>
      <c r="AB6562" s="318"/>
      <c r="AC6562" s="318"/>
      <c r="AD6562" s="318"/>
    </row>
    <row r="6563" spans="2:30" s="323" customFormat="1" ht="12" customHeight="1">
      <c r="B6563" s="324"/>
      <c r="C6563" s="325"/>
      <c r="D6563" s="326"/>
      <c r="E6563" s="326"/>
      <c r="F6563" s="326"/>
      <c r="G6563" s="326"/>
      <c r="H6563" s="326"/>
      <c r="P6563" s="318"/>
      <c r="Q6563" s="318"/>
      <c r="R6563" s="318"/>
      <c r="S6563" s="318"/>
      <c r="T6563" s="318"/>
      <c r="U6563" s="318"/>
      <c r="V6563" s="318"/>
      <c r="W6563" s="318"/>
      <c r="X6563" s="318"/>
      <c r="Y6563" s="318"/>
      <c r="Z6563" s="318"/>
      <c r="AA6563" s="318"/>
      <c r="AB6563" s="318"/>
      <c r="AC6563" s="318"/>
      <c r="AD6563" s="318"/>
    </row>
    <row r="6564" spans="2:30" s="323" customFormat="1" ht="12" customHeight="1">
      <c r="B6564" s="324"/>
      <c r="C6564" s="325"/>
      <c r="D6564" s="326"/>
      <c r="E6564" s="326"/>
      <c r="F6564" s="326"/>
      <c r="G6564" s="326"/>
      <c r="H6564" s="326"/>
      <c r="P6564" s="318"/>
      <c r="Q6564" s="318"/>
      <c r="R6564" s="318"/>
      <c r="S6564" s="318"/>
      <c r="T6564" s="318"/>
      <c r="U6564" s="318"/>
      <c r="V6564" s="318"/>
      <c r="W6564" s="318"/>
      <c r="X6564" s="318"/>
      <c r="Y6564" s="318"/>
      <c r="Z6564" s="318"/>
      <c r="AA6564" s="318"/>
      <c r="AB6564" s="318"/>
      <c r="AC6564" s="318"/>
      <c r="AD6564" s="318"/>
    </row>
    <row r="6565" spans="2:30" s="323" customFormat="1" ht="12" customHeight="1">
      <c r="B6565" s="324"/>
      <c r="C6565" s="325"/>
      <c r="D6565" s="326"/>
      <c r="E6565" s="326"/>
      <c r="F6565" s="326"/>
      <c r="G6565" s="326"/>
      <c r="H6565" s="326"/>
      <c r="P6565" s="318"/>
      <c r="Q6565" s="318"/>
      <c r="R6565" s="318"/>
      <c r="S6565" s="318"/>
      <c r="T6565" s="318"/>
      <c r="U6565" s="318"/>
      <c r="V6565" s="318"/>
      <c r="W6565" s="318"/>
      <c r="X6565" s="318"/>
      <c r="Y6565" s="318"/>
      <c r="Z6565" s="318"/>
      <c r="AA6565" s="318"/>
      <c r="AB6565" s="318"/>
      <c r="AC6565" s="318"/>
      <c r="AD6565" s="318"/>
    </row>
    <row r="6566" spans="2:30" s="323" customFormat="1" ht="12" customHeight="1">
      <c r="B6566" s="324"/>
      <c r="C6566" s="325"/>
      <c r="D6566" s="326"/>
      <c r="E6566" s="326"/>
      <c r="F6566" s="326"/>
      <c r="G6566" s="326"/>
      <c r="H6566" s="326"/>
      <c r="P6566" s="318"/>
      <c r="Q6566" s="318"/>
      <c r="R6566" s="318"/>
      <c r="S6566" s="318"/>
      <c r="T6566" s="318"/>
      <c r="U6566" s="318"/>
      <c r="V6566" s="318"/>
      <c r="W6566" s="318"/>
      <c r="X6566" s="318"/>
      <c r="Y6566" s="318"/>
      <c r="Z6566" s="318"/>
      <c r="AA6566" s="318"/>
      <c r="AB6566" s="318"/>
      <c r="AC6566" s="318"/>
      <c r="AD6566" s="318"/>
    </row>
    <row r="6567" spans="2:30" s="323" customFormat="1" ht="12" customHeight="1">
      <c r="B6567" s="324"/>
      <c r="C6567" s="325"/>
      <c r="D6567" s="326"/>
      <c r="E6567" s="326"/>
      <c r="F6567" s="326"/>
      <c r="G6567" s="326"/>
      <c r="H6567" s="326"/>
      <c r="P6567" s="318"/>
      <c r="Q6567" s="318"/>
      <c r="R6567" s="318"/>
      <c r="S6567" s="318"/>
      <c r="T6567" s="318"/>
      <c r="U6567" s="318"/>
      <c r="V6567" s="318"/>
      <c r="W6567" s="318"/>
      <c r="X6567" s="318"/>
      <c r="Y6567" s="318"/>
      <c r="Z6567" s="318"/>
      <c r="AA6567" s="318"/>
      <c r="AB6567" s="318"/>
      <c r="AC6567" s="318"/>
      <c r="AD6567" s="318"/>
    </row>
    <row r="6568" spans="2:30" s="323" customFormat="1" ht="12" customHeight="1">
      <c r="B6568" s="324"/>
      <c r="C6568" s="325"/>
      <c r="D6568" s="326"/>
      <c r="E6568" s="326"/>
      <c r="F6568" s="326"/>
      <c r="G6568" s="326"/>
      <c r="H6568" s="326"/>
      <c r="P6568" s="318"/>
      <c r="Q6568" s="318"/>
      <c r="R6568" s="318"/>
      <c r="S6568" s="318"/>
      <c r="T6568" s="318"/>
      <c r="U6568" s="318"/>
      <c r="V6568" s="318"/>
      <c r="W6568" s="318"/>
      <c r="X6568" s="318"/>
      <c r="Y6568" s="318"/>
      <c r="Z6568" s="318"/>
      <c r="AA6568" s="318"/>
      <c r="AB6568" s="318"/>
      <c r="AC6568" s="318"/>
      <c r="AD6568" s="318"/>
    </row>
    <row r="6569" spans="2:30" s="323" customFormat="1" ht="12" customHeight="1">
      <c r="B6569" s="324"/>
      <c r="C6569" s="325"/>
      <c r="D6569" s="326"/>
      <c r="E6569" s="326"/>
      <c r="F6569" s="326"/>
      <c r="G6569" s="326"/>
      <c r="H6569" s="326"/>
      <c r="P6569" s="318"/>
      <c r="Q6569" s="318"/>
      <c r="R6569" s="318"/>
      <c r="S6569" s="318"/>
      <c r="T6569" s="318"/>
      <c r="U6569" s="318"/>
      <c r="V6569" s="318"/>
      <c r="W6569" s="318"/>
      <c r="X6569" s="318"/>
      <c r="Y6569" s="318"/>
      <c r="Z6569" s="318"/>
      <c r="AA6569" s="318"/>
      <c r="AB6569" s="318"/>
      <c r="AC6569" s="318"/>
      <c r="AD6569" s="318"/>
    </row>
    <row r="6570" spans="2:30" s="323" customFormat="1" ht="12" customHeight="1">
      <c r="B6570" s="324"/>
      <c r="C6570" s="325"/>
      <c r="D6570" s="326"/>
      <c r="E6570" s="326"/>
      <c r="F6570" s="326"/>
      <c r="G6570" s="326"/>
      <c r="H6570" s="326"/>
      <c r="P6570" s="318"/>
      <c r="Q6570" s="318"/>
      <c r="R6570" s="318"/>
      <c r="S6570" s="318"/>
      <c r="T6570" s="318"/>
      <c r="U6570" s="318"/>
      <c r="V6570" s="318"/>
      <c r="W6570" s="318"/>
      <c r="X6570" s="318"/>
      <c r="Y6570" s="318"/>
      <c r="Z6570" s="318"/>
      <c r="AA6570" s="318"/>
      <c r="AB6570" s="318"/>
      <c r="AC6570" s="318"/>
      <c r="AD6570" s="318"/>
    </row>
    <row r="6571" spans="2:30" s="323" customFormat="1" ht="12" customHeight="1">
      <c r="B6571" s="324"/>
      <c r="C6571" s="325"/>
      <c r="D6571" s="326"/>
      <c r="E6571" s="326"/>
      <c r="F6571" s="326"/>
      <c r="G6571" s="326"/>
      <c r="H6571" s="326"/>
      <c r="P6571" s="318"/>
      <c r="Q6571" s="318"/>
      <c r="R6571" s="318"/>
      <c r="S6571" s="318"/>
      <c r="T6571" s="318"/>
      <c r="U6571" s="318"/>
      <c r="V6571" s="318"/>
      <c r="W6571" s="318"/>
      <c r="X6571" s="318"/>
      <c r="Y6571" s="318"/>
      <c r="Z6571" s="318"/>
      <c r="AA6571" s="318"/>
      <c r="AB6571" s="318"/>
      <c r="AC6571" s="318"/>
      <c r="AD6571" s="318"/>
    </row>
    <row r="6572" spans="2:30" s="323" customFormat="1" ht="12" customHeight="1">
      <c r="B6572" s="324"/>
      <c r="C6572" s="325"/>
      <c r="D6572" s="326"/>
      <c r="E6572" s="326"/>
      <c r="F6572" s="326"/>
      <c r="G6572" s="326"/>
      <c r="H6572" s="326"/>
      <c r="P6572" s="318"/>
      <c r="Q6572" s="318"/>
      <c r="R6572" s="318"/>
      <c r="S6572" s="318"/>
      <c r="T6572" s="318"/>
      <c r="U6572" s="318"/>
      <c r="V6572" s="318"/>
      <c r="W6572" s="318"/>
      <c r="X6572" s="318"/>
      <c r="Y6572" s="318"/>
      <c r="Z6572" s="318"/>
      <c r="AA6572" s="318"/>
      <c r="AB6572" s="318"/>
      <c r="AC6572" s="318"/>
      <c r="AD6572" s="318"/>
    </row>
    <row r="6573" spans="2:30" s="323" customFormat="1" ht="12" customHeight="1">
      <c r="B6573" s="324"/>
      <c r="C6573" s="325"/>
      <c r="D6573" s="326"/>
      <c r="E6573" s="326"/>
      <c r="F6573" s="326"/>
      <c r="G6573" s="326"/>
      <c r="H6573" s="326"/>
      <c r="P6573" s="318"/>
      <c r="Q6573" s="318"/>
      <c r="R6573" s="318"/>
      <c r="S6573" s="318"/>
      <c r="T6573" s="318"/>
      <c r="U6573" s="318"/>
      <c r="V6573" s="318"/>
      <c r="W6573" s="318"/>
      <c r="X6573" s="318"/>
      <c r="Y6573" s="318"/>
      <c r="Z6573" s="318"/>
      <c r="AA6573" s="318"/>
      <c r="AB6573" s="318"/>
      <c r="AC6573" s="318"/>
      <c r="AD6573" s="318"/>
    </row>
    <row r="6574" spans="2:30" s="323" customFormat="1" ht="12" customHeight="1">
      <c r="B6574" s="324"/>
      <c r="C6574" s="325"/>
      <c r="D6574" s="326"/>
      <c r="E6574" s="326"/>
      <c r="F6574" s="326"/>
      <c r="G6574" s="326"/>
      <c r="H6574" s="326"/>
      <c r="P6574" s="318"/>
      <c r="Q6574" s="318"/>
      <c r="R6574" s="318"/>
      <c r="S6574" s="318"/>
      <c r="T6574" s="318"/>
      <c r="U6574" s="318"/>
      <c r="V6574" s="318"/>
      <c r="W6574" s="318"/>
      <c r="X6574" s="318"/>
      <c r="Y6574" s="318"/>
      <c r="Z6574" s="318"/>
      <c r="AA6574" s="318"/>
      <c r="AB6574" s="318"/>
      <c r="AC6574" s="318"/>
      <c r="AD6574" s="318"/>
    </row>
    <row r="6575" spans="2:30" s="323" customFormat="1" ht="12" customHeight="1">
      <c r="B6575" s="324"/>
      <c r="C6575" s="325"/>
      <c r="D6575" s="326"/>
      <c r="E6575" s="326"/>
      <c r="F6575" s="326"/>
      <c r="G6575" s="326"/>
      <c r="H6575" s="326"/>
      <c r="P6575" s="318"/>
      <c r="Q6575" s="318"/>
      <c r="R6575" s="318"/>
      <c r="S6575" s="318"/>
      <c r="T6575" s="318"/>
      <c r="U6575" s="318"/>
      <c r="V6575" s="318"/>
      <c r="W6575" s="318"/>
      <c r="X6575" s="318"/>
      <c r="Y6575" s="318"/>
      <c r="Z6575" s="318"/>
      <c r="AA6575" s="318"/>
      <c r="AB6575" s="318"/>
      <c r="AC6575" s="318"/>
      <c r="AD6575" s="318"/>
    </row>
    <row r="6576" spans="2:30" s="323" customFormat="1" ht="12" customHeight="1">
      <c r="B6576" s="324"/>
      <c r="C6576" s="325"/>
      <c r="D6576" s="326"/>
      <c r="E6576" s="326"/>
      <c r="F6576" s="326"/>
      <c r="G6576" s="326"/>
      <c r="H6576" s="326"/>
      <c r="P6576" s="318"/>
      <c r="Q6576" s="318"/>
      <c r="R6576" s="318"/>
      <c r="S6576" s="318"/>
      <c r="T6576" s="318"/>
      <c r="U6576" s="318"/>
      <c r="V6576" s="318"/>
      <c r="W6576" s="318"/>
      <c r="X6576" s="318"/>
      <c r="Y6576" s="318"/>
      <c r="Z6576" s="318"/>
      <c r="AA6576" s="318"/>
      <c r="AB6576" s="318"/>
      <c r="AC6576" s="318"/>
      <c r="AD6576" s="318"/>
    </row>
    <row r="6577" spans="2:30" s="323" customFormat="1" ht="12" customHeight="1">
      <c r="B6577" s="324"/>
      <c r="C6577" s="325"/>
      <c r="D6577" s="326"/>
      <c r="E6577" s="326"/>
      <c r="F6577" s="326"/>
      <c r="G6577" s="326"/>
      <c r="H6577" s="326"/>
      <c r="P6577" s="318"/>
      <c r="Q6577" s="318"/>
      <c r="R6577" s="318"/>
      <c r="S6577" s="318"/>
      <c r="T6577" s="318"/>
      <c r="U6577" s="318"/>
      <c r="V6577" s="318"/>
      <c r="W6577" s="318"/>
      <c r="X6577" s="318"/>
      <c r="Y6577" s="318"/>
      <c r="Z6577" s="318"/>
      <c r="AA6577" s="318"/>
      <c r="AB6577" s="318"/>
      <c r="AC6577" s="318"/>
      <c r="AD6577" s="318"/>
    </row>
    <row r="6578" spans="2:30" s="323" customFormat="1" ht="12" customHeight="1">
      <c r="B6578" s="324"/>
      <c r="C6578" s="325"/>
      <c r="D6578" s="326"/>
      <c r="E6578" s="326"/>
      <c r="F6578" s="326"/>
      <c r="G6578" s="326"/>
      <c r="H6578" s="326"/>
      <c r="P6578" s="318"/>
      <c r="Q6578" s="318"/>
      <c r="R6578" s="318"/>
      <c r="S6578" s="318"/>
      <c r="T6578" s="318"/>
      <c r="U6578" s="318"/>
      <c r="V6578" s="318"/>
      <c r="W6578" s="318"/>
      <c r="X6578" s="318"/>
      <c r="Y6578" s="318"/>
      <c r="Z6578" s="318"/>
      <c r="AA6578" s="318"/>
      <c r="AB6578" s="318"/>
      <c r="AC6578" s="318"/>
      <c r="AD6578" s="318"/>
    </row>
    <row r="6579" spans="2:30" s="323" customFormat="1" ht="12" customHeight="1">
      <c r="B6579" s="324"/>
      <c r="C6579" s="325"/>
      <c r="D6579" s="326"/>
      <c r="E6579" s="326"/>
      <c r="F6579" s="326"/>
      <c r="G6579" s="326"/>
      <c r="H6579" s="326"/>
      <c r="P6579" s="318"/>
      <c r="Q6579" s="318"/>
      <c r="R6579" s="318"/>
      <c r="S6579" s="318"/>
      <c r="T6579" s="318"/>
      <c r="U6579" s="318"/>
      <c r="V6579" s="318"/>
      <c r="W6579" s="318"/>
      <c r="X6579" s="318"/>
      <c r="Y6579" s="318"/>
      <c r="Z6579" s="318"/>
      <c r="AA6579" s="318"/>
      <c r="AB6579" s="318"/>
      <c r="AC6579" s="318"/>
      <c r="AD6579" s="318"/>
    </row>
    <row r="6580" spans="2:30" s="323" customFormat="1" ht="12" customHeight="1">
      <c r="B6580" s="324"/>
      <c r="C6580" s="325"/>
      <c r="D6580" s="326"/>
      <c r="E6580" s="326"/>
      <c r="F6580" s="326"/>
      <c r="G6580" s="326"/>
      <c r="H6580" s="326"/>
      <c r="P6580" s="318"/>
      <c r="Q6580" s="318"/>
      <c r="R6580" s="318"/>
      <c r="S6580" s="318"/>
      <c r="T6580" s="318"/>
      <c r="U6580" s="318"/>
      <c r="V6580" s="318"/>
      <c r="W6580" s="318"/>
      <c r="X6580" s="318"/>
      <c r="Y6580" s="318"/>
      <c r="Z6580" s="318"/>
      <c r="AA6580" s="318"/>
      <c r="AB6580" s="318"/>
      <c r="AC6580" s="318"/>
      <c r="AD6580" s="318"/>
    </row>
    <row r="6581" spans="2:30" s="323" customFormat="1" ht="12" customHeight="1">
      <c r="B6581" s="324"/>
      <c r="C6581" s="325"/>
      <c r="D6581" s="326"/>
      <c r="E6581" s="326"/>
      <c r="F6581" s="326"/>
      <c r="G6581" s="326"/>
      <c r="H6581" s="326"/>
      <c r="P6581" s="318"/>
      <c r="Q6581" s="318"/>
      <c r="R6581" s="318"/>
      <c r="S6581" s="318"/>
      <c r="T6581" s="318"/>
      <c r="U6581" s="318"/>
      <c r="V6581" s="318"/>
      <c r="W6581" s="318"/>
      <c r="X6581" s="318"/>
      <c r="Y6581" s="318"/>
      <c r="Z6581" s="318"/>
      <c r="AA6581" s="318"/>
      <c r="AB6581" s="318"/>
      <c r="AC6581" s="318"/>
      <c r="AD6581" s="318"/>
    </row>
    <row r="6582" spans="2:30" s="323" customFormat="1" ht="12" customHeight="1">
      <c r="B6582" s="324"/>
      <c r="C6582" s="325"/>
      <c r="D6582" s="326"/>
      <c r="E6582" s="326"/>
      <c r="F6582" s="326"/>
      <c r="G6582" s="326"/>
      <c r="H6582" s="326"/>
      <c r="P6582" s="318"/>
      <c r="Q6582" s="318"/>
      <c r="R6582" s="318"/>
      <c r="S6582" s="318"/>
      <c r="T6582" s="318"/>
      <c r="U6582" s="318"/>
      <c r="V6582" s="318"/>
      <c r="W6582" s="318"/>
      <c r="X6582" s="318"/>
      <c r="Y6582" s="318"/>
      <c r="Z6582" s="318"/>
      <c r="AA6582" s="318"/>
      <c r="AB6582" s="318"/>
      <c r="AC6582" s="318"/>
      <c r="AD6582" s="318"/>
    </row>
    <row r="6583" spans="2:30" s="323" customFormat="1" ht="12" customHeight="1">
      <c r="B6583" s="324"/>
      <c r="C6583" s="325"/>
      <c r="D6583" s="326"/>
      <c r="E6583" s="326"/>
      <c r="F6583" s="326"/>
      <c r="G6583" s="326"/>
      <c r="H6583" s="326"/>
      <c r="P6583" s="318"/>
      <c r="Q6583" s="318"/>
      <c r="R6583" s="318"/>
      <c r="S6583" s="318"/>
      <c r="T6583" s="318"/>
      <c r="U6583" s="318"/>
      <c r="V6583" s="318"/>
      <c r="W6583" s="318"/>
      <c r="X6583" s="318"/>
      <c r="Y6583" s="318"/>
      <c r="Z6583" s="318"/>
      <c r="AA6583" s="318"/>
      <c r="AB6583" s="318"/>
      <c r="AC6583" s="318"/>
      <c r="AD6583" s="318"/>
    </row>
    <row r="6584" spans="2:30" s="323" customFormat="1" ht="12" customHeight="1">
      <c r="B6584" s="324"/>
      <c r="C6584" s="325"/>
      <c r="D6584" s="326"/>
      <c r="E6584" s="326"/>
      <c r="F6584" s="326"/>
      <c r="G6584" s="326"/>
      <c r="H6584" s="326"/>
      <c r="P6584" s="318"/>
      <c r="Q6584" s="318"/>
      <c r="R6584" s="318"/>
      <c r="S6584" s="318"/>
      <c r="T6584" s="318"/>
      <c r="U6584" s="318"/>
      <c r="V6584" s="318"/>
      <c r="W6584" s="318"/>
      <c r="X6584" s="318"/>
      <c r="Y6584" s="318"/>
      <c r="Z6584" s="318"/>
      <c r="AA6584" s="318"/>
      <c r="AB6584" s="318"/>
      <c r="AC6584" s="318"/>
      <c r="AD6584" s="318"/>
    </row>
    <row r="6585" spans="2:30" s="323" customFormat="1" ht="12" customHeight="1">
      <c r="B6585" s="324"/>
      <c r="C6585" s="325"/>
      <c r="D6585" s="326"/>
      <c r="E6585" s="326"/>
      <c r="F6585" s="326"/>
      <c r="G6585" s="326"/>
      <c r="H6585" s="326"/>
      <c r="P6585" s="318"/>
      <c r="Q6585" s="318"/>
      <c r="R6585" s="318"/>
      <c r="S6585" s="318"/>
      <c r="T6585" s="318"/>
      <c r="U6585" s="318"/>
      <c r="V6585" s="318"/>
      <c r="W6585" s="318"/>
      <c r="X6585" s="318"/>
      <c r="Y6585" s="318"/>
      <c r="Z6585" s="318"/>
      <c r="AA6585" s="318"/>
      <c r="AB6585" s="318"/>
      <c r="AC6585" s="318"/>
      <c r="AD6585" s="318"/>
    </row>
    <row r="6586" spans="2:30" s="323" customFormat="1" ht="12" customHeight="1">
      <c r="B6586" s="324"/>
      <c r="C6586" s="325"/>
      <c r="D6586" s="326"/>
      <c r="E6586" s="326"/>
      <c r="F6586" s="326"/>
      <c r="G6586" s="326"/>
      <c r="H6586" s="326"/>
      <c r="P6586" s="318"/>
      <c r="Q6586" s="318"/>
      <c r="R6586" s="318"/>
      <c r="S6586" s="318"/>
      <c r="T6586" s="318"/>
      <c r="U6586" s="318"/>
      <c r="V6586" s="318"/>
      <c r="W6586" s="318"/>
      <c r="X6586" s="318"/>
      <c r="Y6586" s="318"/>
      <c r="Z6586" s="318"/>
      <c r="AA6586" s="318"/>
      <c r="AB6586" s="318"/>
      <c r="AC6586" s="318"/>
      <c r="AD6586" s="318"/>
    </row>
    <row r="6587" spans="2:30" s="323" customFormat="1" ht="12" customHeight="1">
      <c r="B6587" s="324"/>
      <c r="C6587" s="325"/>
      <c r="D6587" s="326"/>
      <c r="E6587" s="326"/>
      <c r="F6587" s="326"/>
      <c r="G6587" s="326"/>
      <c r="H6587" s="326"/>
      <c r="P6587" s="318"/>
      <c r="Q6587" s="318"/>
      <c r="R6587" s="318"/>
      <c r="S6587" s="318"/>
      <c r="T6587" s="318"/>
      <c r="U6587" s="318"/>
      <c r="V6587" s="318"/>
      <c r="W6587" s="318"/>
      <c r="X6587" s="318"/>
      <c r="Y6587" s="318"/>
      <c r="Z6587" s="318"/>
      <c r="AA6587" s="318"/>
      <c r="AB6587" s="318"/>
      <c r="AC6587" s="318"/>
      <c r="AD6587" s="318"/>
    </row>
    <row r="6588" spans="2:30" s="323" customFormat="1" ht="12" customHeight="1">
      <c r="B6588" s="324"/>
      <c r="C6588" s="325"/>
      <c r="D6588" s="326"/>
      <c r="E6588" s="326"/>
      <c r="F6588" s="326"/>
      <c r="G6588" s="326"/>
      <c r="H6588" s="326"/>
      <c r="P6588" s="318"/>
      <c r="Q6588" s="318"/>
      <c r="R6588" s="318"/>
      <c r="S6588" s="318"/>
      <c r="T6588" s="318"/>
      <c r="U6588" s="318"/>
      <c r="V6588" s="318"/>
      <c r="W6588" s="318"/>
      <c r="X6588" s="318"/>
      <c r="Y6588" s="318"/>
      <c r="Z6588" s="318"/>
      <c r="AA6588" s="318"/>
      <c r="AB6588" s="318"/>
      <c r="AC6588" s="318"/>
      <c r="AD6588" s="318"/>
    </row>
    <row r="6589" spans="2:30" s="323" customFormat="1" ht="12" customHeight="1">
      <c r="B6589" s="324"/>
      <c r="C6589" s="325"/>
      <c r="D6589" s="326"/>
      <c r="E6589" s="326"/>
      <c r="F6589" s="326"/>
      <c r="G6589" s="326"/>
      <c r="H6589" s="326"/>
      <c r="P6589" s="318"/>
      <c r="Q6589" s="318"/>
      <c r="R6589" s="318"/>
      <c r="S6589" s="318"/>
      <c r="T6589" s="318"/>
      <c r="U6589" s="318"/>
      <c r="V6589" s="318"/>
      <c r="W6589" s="318"/>
      <c r="X6589" s="318"/>
      <c r="Y6589" s="318"/>
      <c r="Z6589" s="318"/>
      <c r="AA6589" s="318"/>
      <c r="AB6589" s="318"/>
      <c r="AC6589" s="318"/>
      <c r="AD6589" s="318"/>
    </row>
    <row r="6590" spans="2:30" s="323" customFormat="1" ht="12" customHeight="1">
      <c r="B6590" s="324"/>
      <c r="C6590" s="325"/>
      <c r="D6590" s="326"/>
      <c r="E6590" s="326"/>
      <c r="F6590" s="326"/>
      <c r="G6590" s="326"/>
      <c r="H6590" s="326"/>
      <c r="P6590" s="318"/>
      <c r="Q6590" s="318"/>
      <c r="R6590" s="318"/>
      <c r="S6590" s="318"/>
      <c r="T6590" s="318"/>
      <c r="U6590" s="318"/>
      <c r="V6590" s="318"/>
      <c r="W6590" s="318"/>
      <c r="X6590" s="318"/>
      <c r="Y6590" s="318"/>
      <c r="Z6590" s="318"/>
      <c r="AA6590" s="318"/>
      <c r="AB6590" s="318"/>
      <c r="AC6590" s="318"/>
      <c r="AD6590" s="318"/>
    </row>
    <row r="6591" spans="2:30" s="323" customFormat="1" ht="12" customHeight="1">
      <c r="B6591" s="324"/>
      <c r="C6591" s="325"/>
      <c r="D6591" s="326"/>
      <c r="E6591" s="326"/>
      <c r="F6591" s="326"/>
      <c r="G6591" s="326"/>
      <c r="H6591" s="326"/>
      <c r="P6591" s="318"/>
      <c r="Q6591" s="318"/>
      <c r="R6591" s="318"/>
      <c r="S6591" s="318"/>
      <c r="T6591" s="318"/>
      <c r="U6591" s="318"/>
      <c r="V6591" s="318"/>
      <c r="W6591" s="318"/>
      <c r="X6591" s="318"/>
      <c r="Y6591" s="318"/>
      <c r="Z6591" s="318"/>
      <c r="AA6591" s="318"/>
      <c r="AB6591" s="318"/>
      <c r="AC6591" s="318"/>
      <c r="AD6591" s="318"/>
    </row>
    <row r="6592" spans="2:30" s="323" customFormat="1" ht="12" customHeight="1">
      <c r="B6592" s="324"/>
      <c r="C6592" s="325"/>
      <c r="D6592" s="326"/>
      <c r="E6592" s="326"/>
      <c r="F6592" s="326"/>
      <c r="G6592" s="326"/>
      <c r="H6592" s="326"/>
      <c r="P6592" s="318"/>
      <c r="Q6592" s="318"/>
      <c r="R6592" s="318"/>
      <c r="S6592" s="318"/>
      <c r="T6592" s="318"/>
      <c r="U6592" s="318"/>
      <c r="V6592" s="318"/>
      <c r="W6592" s="318"/>
      <c r="X6592" s="318"/>
      <c r="Y6592" s="318"/>
      <c r="Z6592" s="318"/>
      <c r="AA6592" s="318"/>
      <c r="AB6592" s="318"/>
      <c r="AC6592" s="318"/>
      <c r="AD6592" s="318"/>
    </row>
    <row r="6593" spans="2:30" s="323" customFormat="1" ht="12" customHeight="1">
      <c r="B6593" s="324"/>
      <c r="C6593" s="325"/>
      <c r="D6593" s="326"/>
      <c r="E6593" s="326"/>
      <c r="F6593" s="326"/>
      <c r="G6593" s="326"/>
      <c r="H6593" s="326"/>
      <c r="P6593" s="318"/>
      <c r="Q6593" s="318"/>
      <c r="R6593" s="318"/>
      <c r="S6593" s="318"/>
      <c r="T6593" s="318"/>
      <c r="U6593" s="318"/>
      <c r="V6593" s="318"/>
      <c r="W6593" s="318"/>
      <c r="X6593" s="318"/>
      <c r="Y6593" s="318"/>
      <c r="Z6593" s="318"/>
      <c r="AA6593" s="318"/>
      <c r="AB6593" s="318"/>
      <c r="AC6593" s="318"/>
      <c r="AD6593" s="318"/>
    </row>
    <row r="6594" spans="2:30" s="323" customFormat="1" ht="12" customHeight="1">
      <c r="B6594" s="324"/>
      <c r="C6594" s="325"/>
      <c r="D6594" s="326"/>
      <c r="E6594" s="326"/>
      <c r="F6594" s="326"/>
      <c r="G6594" s="326"/>
      <c r="H6594" s="326"/>
      <c r="P6594" s="318"/>
      <c r="Q6594" s="318"/>
      <c r="R6594" s="318"/>
      <c r="S6594" s="318"/>
      <c r="T6594" s="318"/>
      <c r="U6594" s="318"/>
      <c r="V6594" s="318"/>
      <c r="W6594" s="318"/>
      <c r="X6594" s="318"/>
      <c r="Y6594" s="318"/>
      <c r="Z6594" s="318"/>
      <c r="AA6594" s="318"/>
      <c r="AB6594" s="318"/>
      <c r="AC6594" s="318"/>
      <c r="AD6594" s="318"/>
    </row>
    <row r="6595" spans="2:30" s="323" customFormat="1" ht="12" customHeight="1">
      <c r="B6595" s="324"/>
      <c r="C6595" s="325"/>
      <c r="D6595" s="326"/>
      <c r="E6595" s="326"/>
      <c r="F6595" s="326"/>
      <c r="G6595" s="326"/>
      <c r="H6595" s="326"/>
      <c r="P6595" s="318"/>
      <c r="Q6595" s="318"/>
      <c r="R6595" s="318"/>
      <c r="S6595" s="318"/>
      <c r="T6595" s="318"/>
      <c r="U6595" s="318"/>
      <c r="V6595" s="318"/>
      <c r="W6595" s="318"/>
      <c r="X6595" s="318"/>
      <c r="Y6595" s="318"/>
      <c r="Z6595" s="318"/>
      <c r="AA6595" s="318"/>
      <c r="AB6595" s="318"/>
      <c r="AC6595" s="318"/>
      <c r="AD6595" s="318"/>
    </row>
    <row r="6596" spans="2:30" s="323" customFormat="1" ht="12" customHeight="1">
      <c r="B6596" s="324"/>
      <c r="C6596" s="325"/>
      <c r="D6596" s="326"/>
      <c r="E6596" s="326"/>
      <c r="F6596" s="326"/>
      <c r="G6596" s="326"/>
      <c r="H6596" s="326"/>
      <c r="P6596" s="318"/>
      <c r="Q6596" s="318"/>
      <c r="R6596" s="318"/>
      <c r="S6596" s="318"/>
      <c r="T6596" s="318"/>
      <c r="U6596" s="318"/>
      <c r="V6596" s="318"/>
      <c r="W6596" s="318"/>
      <c r="X6596" s="318"/>
      <c r="Y6596" s="318"/>
      <c r="Z6596" s="318"/>
      <c r="AA6596" s="318"/>
      <c r="AB6596" s="318"/>
      <c r="AC6596" s="318"/>
      <c r="AD6596" s="318"/>
    </row>
    <row r="6597" spans="2:30" s="323" customFormat="1" ht="12" customHeight="1">
      <c r="B6597" s="324"/>
      <c r="C6597" s="325"/>
      <c r="D6597" s="326"/>
      <c r="E6597" s="326"/>
      <c r="F6597" s="326"/>
      <c r="G6597" s="326"/>
      <c r="H6597" s="326"/>
      <c r="P6597" s="318"/>
      <c r="Q6597" s="318"/>
      <c r="R6597" s="318"/>
      <c r="S6597" s="318"/>
      <c r="T6597" s="318"/>
      <c r="U6597" s="318"/>
      <c r="V6597" s="318"/>
      <c r="W6597" s="318"/>
      <c r="X6597" s="318"/>
      <c r="Y6597" s="318"/>
      <c r="Z6597" s="318"/>
      <c r="AA6597" s="318"/>
      <c r="AB6597" s="318"/>
      <c r="AC6597" s="318"/>
      <c r="AD6597" s="318"/>
    </row>
    <row r="6598" spans="2:30" s="323" customFormat="1" ht="12" customHeight="1">
      <c r="B6598" s="324"/>
      <c r="C6598" s="325"/>
      <c r="D6598" s="326"/>
      <c r="E6598" s="326"/>
      <c r="F6598" s="326"/>
      <c r="G6598" s="326"/>
      <c r="H6598" s="326"/>
      <c r="P6598" s="318"/>
      <c r="Q6598" s="318"/>
      <c r="R6598" s="318"/>
      <c r="S6598" s="318"/>
      <c r="T6598" s="318"/>
      <c r="U6598" s="318"/>
      <c r="V6598" s="318"/>
      <c r="W6598" s="318"/>
      <c r="X6598" s="318"/>
      <c r="Y6598" s="318"/>
      <c r="Z6598" s="318"/>
      <c r="AA6598" s="318"/>
      <c r="AB6598" s="318"/>
      <c r="AC6598" s="318"/>
      <c r="AD6598" s="318"/>
    </row>
    <row r="6599" spans="2:30" s="323" customFormat="1" ht="12" customHeight="1">
      <c r="B6599" s="324"/>
      <c r="C6599" s="325"/>
      <c r="D6599" s="326"/>
      <c r="E6599" s="326"/>
      <c r="F6599" s="326"/>
      <c r="G6599" s="326"/>
      <c r="H6599" s="326"/>
      <c r="P6599" s="318"/>
      <c r="Q6599" s="318"/>
      <c r="R6599" s="318"/>
      <c r="S6599" s="318"/>
      <c r="T6599" s="318"/>
      <c r="U6599" s="318"/>
      <c r="V6599" s="318"/>
      <c r="W6599" s="318"/>
      <c r="X6599" s="318"/>
      <c r="Y6599" s="318"/>
      <c r="Z6599" s="318"/>
      <c r="AA6599" s="318"/>
      <c r="AB6599" s="318"/>
      <c r="AC6599" s="318"/>
      <c r="AD6599" s="318"/>
    </row>
    <row r="6600" spans="2:30" s="323" customFormat="1" ht="12" customHeight="1">
      <c r="B6600" s="324"/>
      <c r="C6600" s="325"/>
      <c r="D6600" s="326"/>
      <c r="E6600" s="326"/>
      <c r="F6600" s="326"/>
      <c r="G6600" s="326"/>
      <c r="H6600" s="326"/>
      <c r="P6600" s="318"/>
      <c r="Q6600" s="318"/>
      <c r="R6600" s="318"/>
      <c r="S6600" s="318"/>
      <c r="T6600" s="318"/>
      <c r="U6600" s="318"/>
      <c r="V6600" s="318"/>
      <c r="W6600" s="318"/>
      <c r="X6600" s="318"/>
      <c r="Y6600" s="318"/>
      <c r="Z6600" s="318"/>
      <c r="AA6600" s="318"/>
      <c r="AB6600" s="318"/>
      <c r="AC6600" s="318"/>
      <c r="AD6600" s="318"/>
    </row>
    <row r="6601" spans="2:30" s="323" customFormat="1" ht="12" customHeight="1">
      <c r="B6601" s="324"/>
      <c r="C6601" s="325"/>
      <c r="D6601" s="326"/>
      <c r="E6601" s="326"/>
      <c r="F6601" s="326"/>
      <c r="G6601" s="326"/>
      <c r="H6601" s="326"/>
      <c r="P6601" s="318"/>
      <c r="Q6601" s="318"/>
      <c r="R6601" s="318"/>
      <c r="S6601" s="318"/>
      <c r="T6601" s="318"/>
      <c r="U6601" s="318"/>
      <c r="V6601" s="318"/>
      <c r="W6601" s="318"/>
      <c r="X6601" s="318"/>
      <c r="Y6601" s="318"/>
      <c r="Z6601" s="318"/>
      <c r="AA6601" s="318"/>
      <c r="AB6601" s="318"/>
      <c r="AC6601" s="318"/>
      <c r="AD6601" s="318"/>
    </row>
    <row r="6602" spans="2:30" s="323" customFormat="1" ht="12" customHeight="1">
      <c r="B6602" s="324"/>
      <c r="C6602" s="325"/>
      <c r="D6602" s="326"/>
      <c r="E6602" s="326"/>
      <c r="F6602" s="326"/>
      <c r="G6602" s="326"/>
      <c r="H6602" s="326"/>
      <c r="P6602" s="318"/>
      <c r="Q6602" s="318"/>
      <c r="R6602" s="318"/>
      <c r="S6602" s="318"/>
      <c r="T6602" s="318"/>
      <c r="U6602" s="318"/>
      <c r="V6602" s="318"/>
      <c r="W6602" s="318"/>
      <c r="X6602" s="318"/>
      <c r="Y6602" s="318"/>
      <c r="Z6602" s="318"/>
      <c r="AA6602" s="318"/>
      <c r="AB6602" s="318"/>
      <c r="AC6602" s="318"/>
      <c r="AD6602" s="318"/>
    </row>
    <row r="6603" spans="2:30" s="323" customFormat="1" ht="12" customHeight="1">
      <c r="B6603" s="324"/>
      <c r="C6603" s="325"/>
      <c r="D6603" s="326"/>
      <c r="E6603" s="326"/>
      <c r="F6603" s="326"/>
      <c r="G6603" s="326"/>
      <c r="H6603" s="326"/>
      <c r="P6603" s="318"/>
      <c r="Q6603" s="318"/>
      <c r="R6603" s="318"/>
      <c r="S6603" s="318"/>
      <c r="T6603" s="318"/>
      <c r="U6603" s="318"/>
      <c r="V6603" s="318"/>
      <c r="W6603" s="318"/>
      <c r="X6603" s="318"/>
      <c r="Y6603" s="318"/>
      <c r="Z6603" s="318"/>
      <c r="AA6603" s="318"/>
      <c r="AB6603" s="318"/>
      <c r="AC6603" s="318"/>
      <c r="AD6603" s="318"/>
    </row>
    <row r="6604" spans="2:30" s="323" customFormat="1" ht="12" customHeight="1">
      <c r="B6604" s="324"/>
      <c r="C6604" s="325"/>
      <c r="D6604" s="326"/>
      <c r="E6604" s="326"/>
      <c r="F6604" s="326"/>
      <c r="G6604" s="326"/>
      <c r="H6604" s="326"/>
      <c r="P6604" s="318"/>
      <c r="Q6604" s="318"/>
      <c r="R6604" s="318"/>
      <c r="S6604" s="318"/>
      <c r="T6604" s="318"/>
      <c r="U6604" s="318"/>
      <c r="V6604" s="318"/>
      <c r="W6604" s="318"/>
      <c r="X6604" s="318"/>
      <c r="Y6604" s="318"/>
      <c r="Z6604" s="318"/>
      <c r="AA6604" s="318"/>
      <c r="AB6604" s="318"/>
      <c r="AC6604" s="318"/>
      <c r="AD6604" s="318"/>
    </row>
    <row r="6605" spans="2:30" s="323" customFormat="1" ht="12" customHeight="1">
      <c r="B6605" s="324"/>
      <c r="C6605" s="325"/>
      <c r="D6605" s="326"/>
      <c r="E6605" s="326"/>
      <c r="F6605" s="326"/>
      <c r="G6605" s="326"/>
      <c r="H6605" s="326"/>
      <c r="P6605" s="318"/>
      <c r="Q6605" s="318"/>
      <c r="R6605" s="318"/>
      <c r="S6605" s="318"/>
      <c r="T6605" s="318"/>
      <c r="U6605" s="318"/>
      <c r="V6605" s="318"/>
      <c r="W6605" s="318"/>
      <c r="X6605" s="318"/>
      <c r="Y6605" s="318"/>
      <c r="Z6605" s="318"/>
      <c r="AA6605" s="318"/>
      <c r="AB6605" s="318"/>
      <c r="AC6605" s="318"/>
      <c r="AD6605" s="318"/>
    </row>
    <row r="6606" spans="2:30" s="323" customFormat="1" ht="12" customHeight="1">
      <c r="B6606" s="324"/>
      <c r="C6606" s="325"/>
      <c r="D6606" s="326"/>
      <c r="E6606" s="326"/>
      <c r="F6606" s="326"/>
      <c r="G6606" s="326"/>
      <c r="H6606" s="326"/>
      <c r="P6606" s="318"/>
      <c r="Q6606" s="318"/>
      <c r="R6606" s="318"/>
      <c r="S6606" s="318"/>
      <c r="T6606" s="318"/>
      <c r="U6606" s="318"/>
      <c r="V6606" s="318"/>
      <c r="W6606" s="318"/>
      <c r="X6606" s="318"/>
      <c r="Y6606" s="318"/>
      <c r="Z6606" s="318"/>
      <c r="AA6606" s="318"/>
      <c r="AB6606" s="318"/>
      <c r="AC6606" s="318"/>
      <c r="AD6606" s="318"/>
    </row>
    <row r="6607" spans="2:30" s="323" customFormat="1" ht="12" customHeight="1">
      <c r="B6607" s="324"/>
      <c r="C6607" s="325"/>
      <c r="D6607" s="326"/>
      <c r="E6607" s="326"/>
      <c r="F6607" s="326"/>
      <c r="G6607" s="326"/>
      <c r="H6607" s="326"/>
      <c r="P6607" s="318"/>
      <c r="Q6607" s="318"/>
      <c r="R6607" s="318"/>
      <c r="S6607" s="318"/>
      <c r="T6607" s="318"/>
      <c r="U6607" s="318"/>
      <c r="V6607" s="318"/>
      <c r="W6607" s="318"/>
      <c r="X6607" s="318"/>
      <c r="Y6607" s="318"/>
      <c r="Z6607" s="318"/>
      <c r="AA6607" s="318"/>
      <c r="AB6607" s="318"/>
      <c r="AC6607" s="318"/>
      <c r="AD6607" s="318"/>
    </row>
    <row r="6608" spans="2:30" s="323" customFormat="1" ht="12" customHeight="1">
      <c r="B6608" s="324"/>
      <c r="C6608" s="325"/>
      <c r="D6608" s="326"/>
      <c r="E6608" s="326"/>
      <c r="F6608" s="326"/>
      <c r="G6608" s="326"/>
      <c r="H6608" s="326"/>
      <c r="P6608" s="318"/>
      <c r="Q6608" s="318"/>
      <c r="R6608" s="318"/>
      <c r="S6608" s="318"/>
      <c r="T6608" s="318"/>
      <c r="U6608" s="318"/>
      <c r="V6608" s="318"/>
      <c r="W6608" s="318"/>
      <c r="X6608" s="318"/>
      <c r="Y6608" s="318"/>
      <c r="Z6608" s="318"/>
      <c r="AA6608" s="318"/>
      <c r="AB6608" s="318"/>
      <c r="AC6608" s="318"/>
      <c r="AD6608" s="318"/>
    </row>
    <row r="6609" spans="2:30" s="323" customFormat="1" ht="12" customHeight="1">
      <c r="B6609" s="324"/>
      <c r="C6609" s="325"/>
      <c r="D6609" s="326"/>
      <c r="E6609" s="326"/>
      <c r="F6609" s="326"/>
      <c r="G6609" s="326"/>
      <c r="H6609" s="326"/>
      <c r="P6609" s="318"/>
      <c r="Q6609" s="318"/>
      <c r="R6609" s="318"/>
      <c r="S6609" s="318"/>
      <c r="T6609" s="318"/>
      <c r="U6609" s="318"/>
      <c r="V6609" s="318"/>
      <c r="W6609" s="318"/>
      <c r="X6609" s="318"/>
      <c r="Y6609" s="318"/>
      <c r="Z6609" s="318"/>
      <c r="AA6609" s="318"/>
      <c r="AB6609" s="318"/>
      <c r="AC6609" s="318"/>
      <c r="AD6609" s="318"/>
    </row>
    <row r="6610" spans="2:30" s="323" customFormat="1" ht="12" customHeight="1">
      <c r="B6610" s="324"/>
      <c r="C6610" s="325"/>
      <c r="D6610" s="326"/>
      <c r="E6610" s="326"/>
      <c r="F6610" s="326"/>
      <c r="G6610" s="326"/>
      <c r="H6610" s="326"/>
      <c r="P6610" s="318"/>
      <c r="Q6610" s="318"/>
      <c r="R6610" s="318"/>
      <c r="S6610" s="318"/>
      <c r="T6610" s="318"/>
      <c r="U6610" s="318"/>
      <c r="V6610" s="318"/>
      <c r="W6610" s="318"/>
      <c r="X6610" s="318"/>
      <c r="Y6610" s="318"/>
      <c r="Z6610" s="318"/>
      <c r="AA6610" s="318"/>
      <c r="AB6610" s="318"/>
      <c r="AC6610" s="318"/>
      <c r="AD6610" s="318"/>
    </row>
    <row r="6611" spans="2:30" s="323" customFormat="1" ht="12" customHeight="1">
      <c r="B6611" s="324"/>
      <c r="C6611" s="325"/>
      <c r="D6611" s="326"/>
      <c r="E6611" s="326"/>
      <c r="F6611" s="326"/>
      <c r="G6611" s="326"/>
      <c r="H6611" s="326"/>
      <c r="P6611" s="318"/>
      <c r="Q6611" s="318"/>
      <c r="R6611" s="318"/>
      <c r="S6611" s="318"/>
      <c r="T6611" s="318"/>
      <c r="U6611" s="318"/>
      <c r="V6611" s="318"/>
      <c r="W6611" s="318"/>
      <c r="X6611" s="318"/>
      <c r="Y6611" s="318"/>
      <c r="Z6611" s="318"/>
      <c r="AA6611" s="318"/>
      <c r="AB6611" s="318"/>
      <c r="AC6611" s="318"/>
      <c r="AD6611" s="318"/>
    </row>
    <row r="6612" spans="2:30" s="323" customFormat="1" ht="12" customHeight="1">
      <c r="B6612" s="324"/>
      <c r="C6612" s="325"/>
      <c r="D6612" s="326"/>
      <c r="E6612" s="326"/>
      <c r="F6612" s="326"/>
      <c r="G6612" s="326"/>
      <c r="H6612" s="326"/>
      <c r="P6612" s="318"/>
      <c r="Q6612" s="318"/>
      <c r="R6612" s="318"/>
      <c r="S6612" s="318"/>
      <c r="T6612" s="318"/>
      <c r="U6612" s="318"/>
      <c r="V6612" s="318"/>
      <c r="W6612" s="318"/>
      <c r="X6612" s="318"/>
      <c r="Y6612" s="318"/>
      <c r="Z6612" s="318"/>
      <c r="AA6612" s="318"/>
      <c r="AB6612" s="318"/>
      <c r="AC6612" s="318"/>
      <c r="AD6612" s="318"/>
    </row>
    <row r="6613" spans="2:30" s="323" customFormat="1" ht="12" customHeight="1">
      <c r="B6613" s="324"/>
      <c r="C6613" s="325"/>
      <c r="D6613" s="326"/>
      <c r="E6613" s="326"/>
      <c r="F6613" s="326"/>
      <c r="G6613" s="326"/>
      <c r="H6613" s="326"/>
      <c r="P6613" s="318"/>
      <c r="Q6613" s="318"/>
      <c r="R6613" s="318"/>
      <c r="S6613" s="318"/>
      <c r="T6613" s="318"/>
      <c r="U6613" s="318"/>
      <c r="V6613" s="318"/>
      <c r="W6613" s="318"/>
      <c r="X6613" s="318"/>
      <c r="Y6613" s="318"/>
      <c r="Z6613" s="318"/>
      <c r="AA6613" s="318"/>
      <c r="AB6613" s="318"/>
      <c r="AC6613" s="318"/>
      <c r="AD6613" s="318"/>
    </row>
    <row r="6614" spans="2:30" s="323" customFormat="1" ht="12" customHeight="1">
      <c r="B6614" s="324"/>
      <c r="C6614" s="325"/>
      <c r="D6614" s="326"/>
      <c r="E6614" s="326"/>
      <c r="F6614" s="326"/>
      <c r="G6614" s="326"/>
      <c r="H6614" s="326"/>
      <c r="P6614" s="318"/>
      <c r="Q6614" s="318"/>
      <c r="R6614" s="318"/>
      <c r="S6614" s="318"/>
      <c r="T6614" s="318"/>
      <c r="U6614" s="318"/>
      <c r="V6614" s="318"/>
      <c r="W6614" s="318"/>
      <c r="X6614" s="318"/>
      <c r="Y6614" s="318"/>
      <c r="Z6614" s="318"/>
      <c r="AA6614" s="318"/>
      <c r="AB6614" s="318"/>
      <c r="AC6614" s="318"/>
      <c r="AD6614" s="318"/>
    </row>
    <row r="6615" spans="2:30" s="323" customFormat="1" ht="12" customHeight="1">
      <c r="B6615" s="324"/>
      <c r="C6615" s="325"/>
      <c r="D6615" s="326"/>
      <c r="E6615" s="326"/>
      <c r="F6615" s="326"/>
      <c r="G6615" s="326"/>
      <c r="H6615" s="326"/>
      <c r="P6615" s="318"/>
      <c r="Q6615" s="318"/>
      <c r="R6615" s="318"/>
      <c r="S6615" s="318"/>
      <c r="T6615" s="318"/>
      <c r="U6615" s="318"/>
      <c r="V6615" s="318"/>
      <c r="W6615" s="318"/>
      <c r="X6615" s="318"/>
      <c r="Y6615" s="318"/>
      <c r="Z6615" s="318"/>
      <c r="AA6615" s="318"/>
      <c r="AB6615" s="318"/>
      <c r="AC6615" s="318"/>
      <c r="AD6615" s="318"/>
    </row>
    <row r="6616" spans="2:30" s="323" customFormat="1" ht="12" customHeight="1">
      <c r="B6616" s="324"/>
      <c r="C6616" s="325"/>
      <c r="D6616" s="326"/>
      <c r="E6616" s="326"/>
      <c r="F6616" s="326"/>
      <c r="G6616" s="326"/>
      <c r="H6616" s="326"/>
      <c r="P6616" s="318"/>
      <c r="Q6616" s="318"/>
      <c r="R6616" s="318"/>
      <c r="S6616" s="318"/>
      <c r="T6616" s="318"/>
      <c r="U6616" s="318"/>
      <c r="V6616" s="318"/>
      <c r="W6616" s="318"/>
      <c r="X6616" s="318"/>
      <c r="Y6616" s="318"/>
      <c r="Z6616" s="318"/>
      <c r="AA6616" s="318"/>
      <c r="AB6616" s="318"/>
      <c r="AC6616" s="318"/>
      <c r="AD6616" s="318"/>
    </row>
    <row r="6617" spans="2:30" s="323" customFormat="1" ht="12" customHeight="1">
      <c r="B6617" s="324"/>
      <c r="C6617" s="325"/>
      <c r="D6617" s="326"/>
      <c r="E6617" s="326"/>
      <c r="F6617" s="326"/>
      <c r="G6617" s="326"/>
      <c r="H6617" s="326"/>
      <c r="P6617" s="318"/>
      <c r="Q6617" s="318"/>
      <c r="R6617" s="318"/>
      <c r="S6617" s="318"/>
      <c r="T6617" s="318"/>
      <c r="U6617" s="318"/>
      <c r="V6617" s="318"/>
      <c r="W6617" s="318"/>
      <c r="X6617" s="318"/>
      <c r="Y6617" s="318"/>
      <c r="Z6617" s="318"/>
      <c r="AA6617" s="318"/>
      <c r="AB6617" s="318"/>
      <c r="AC6617" s="318"/>
      <c r="AD6617" s="318"/>
    </row>
    <row r="6618" spans="2:30" s="323" customFormat="1" ht="12" customHeight="1">
      <c r="B6618" s="324"/>
      <c r="C6618" s="325"/>
      <c r="D6618" s="326"/>
      <c r="E6618" s="326"/>
      <c r="F6618" s="326"/>
      <c r="G6618" s="326"/>
      <c r="H6618" s="326"/>
      <c r="P6618" s="318"/>
      <c r="Q6618" s="318"/>
      <c r="R6618" s="318"/>
      <c r="S6618" s="318"/>
      <c r="T6618" s="318"/>
      <c r="U6618" s="318"/>
      <c r="V6618" s="318"/>
      <c r="W6618" s="318"/>
      <c r="X6618" s="318"/>
      <c r="Y6618" s="318"/>
      <c r="Z6618" s="318"/>
      <c r="AA6618" s="318"/>
      <c r="AB6618" s="318"/>
      <c r="AC6618" s="318"/>
      <c r="AD6618" s="318"/>
    </row>
    <row r="6619" spans="2:30" s="323" customFormat="1" ht="12" customHeight="1">
      <c r="B6619" s="324"/>
      <c r="C6619" s="325"/>
      <c r="D6619" s="326"/>
      <c r="E6619" s="326"/>
      <c r="F6619" s="326"/>
      <c r="G6619" s="326"/>
      <c r="H6619" s="326"/>
      <c r="P6619" s="318"/>
      <c r="Q6619" s="318"/>
      <c r="R6619" s="318"/>
      <c r="S6619" s="318"/>
      <c r="T6619" s="318"/>
      <c r="U6619" s="318"/>
      <c r="V6619" s="318"/>
      <c r="W6619" s="318"/>
      <c r="X6619" s="318"/>
      <c r="Y6619" s="318"/>
      <c r="Z6619" s="318"/>
      <c r="AA6619" s="318"/>
      <c r="AB6619" s="318"/>
      <c r="AC6619" s="318"/>
      <c r="AD6619" s="318"/>
    </row>
    <row r="6620" spans="2:30" s="323" customFormat="1" ht="12" customHeight="1">
      <c r="B6620" s="324"/>
      <c r="C6620" s="325"/>
      <c r="D6620" s="326"/>
      <c r="E6620" s="326"/>
      <c r="F6620" s="326"/>
      <c r="G6620" s="326"/>
      <c r="H6620" s="326"/>
      <c r="P6620" s="318"/>
      <c r="Q6620" s="318"/>
      <c r="R6620" s="318"/>
      <c r="S6620" s="318"/>
      <c r="T6620" s="318"/>
      <c r="U6620" s="318"/>
      <c r="V6620" s="318"/>
      <c r="W6620" s="318"/>
      <c r="X6620" s="318"/>
      <c r="Y6620" s="318"/>
      <c r="Z6620" s="318"/>
      <c r="AA6620" s="318"/>
      <c r="AB6620" s="318"/>
      <c r="AC6620" s="318"/>
      <c r="AD6620" s="318"/>
    </row>
    <row r="6621" spans="2:30" s="323" customFormat="1" ht="12" customHeight="1">
      <c r="B6621" s="324"/>
      <c r="C6621" s="325"/>
      <c r="D6621" s="326"/>
      <c r="E6621" s="326"/>
      <c r="F6621" s="326"/>
      <c r="G6621" s="326"/>
      <c r="H6621" s="326"/>
      <c r="P6621" s="318"/>
      <c r="Q6621" s="318"/>
      <c r="R6621" s="318"/>
      <c r="S6621" s="318"/>
      <c r="T6621" s="318"/>
      <c r="U6621" s="318"/>
      <c r="V6621" s="318"/>
      <c r="W6621" s="318"/>
      <c r="X6621" s="318"/>
      <c r="Y6621" s="318"/>
      <c r="Z6621" s="318"/>
      <c r="AA6621" s="318"/>
      <c r="AB6621" s="318"/>
      <c r="AC6621" s="318"/>
      <c r="AD6621" s="318"/>
    </row>
    <row r="6622" spans="2:30" s="323" customFormat="1" ht="12" customHeight="1">
      <c r="B6622" s="324"/>
      <c r="C6622" s="325"/>
      <c r="D6622" s="326"/>
      <c r="E6622" s="326"/>
      <c r="F6622" s="326"/>
      <c r="G6622" s="326"/>
      <c r="H6622" s="326"/>
      <c r="P6622" s="318"/>
      <c r="Q6622" s="318"/>
      <c r="R6622" s="318"/>
      <c r="S6622" s="318"/>
      <c r="T6622" s="318"/>
      <c r="U6622" s="318"/>
      <c r="V6622" s="318"/>
      <c r="W6622" s="318"/>
      <c r="X6622" s="318"/>
      <c r="Y6622" s="318"/>
      <c r="Z6622" s="318"/>
      <c r="AA6622" s="318"/>
      <c r="AB6622" s="318"/>
      <c r="AC6622" s="318"/>
      <c r="AD6622" s="318"/>
    </row>
    <row r="6623" spans="2:30" s="323" customFormat="1" ht="12" customHeight="1">
      <c r="B6623" s="324"/>
      <c r="C6623" s="325"/>
      <c r="D6623" s="326"/>
      <c r="E6623" s="326"/>
      <c r="F6623" s="326"/>
      <c r="G6623" s="326"/>
      <c r="H6623" s="326"/>
      <c r="P6623" s="318"/>
      <c r="Q6623" s="318"/>
      <c r="R6623" s="318"/>
      <c r="S6623" s="318"/>
      <c r="T6623" s="318"/>
      <c r="U6623" s="318"/>
      <c r="V6623" s="318"/>
      <c r="W6623" s="318"/>
      <c r="X6623" s="318"/>
      <c r="Y6623" s="318"/>
      <c r="Z6623" s="318"/>
      <c r="AA6623" s="318"/>
      <c r="AB6623" s="318"/>
      <c r="AC6623" s="318"/>
      <c r="AD6623" s="318"/>
    </row>
    <row r="6624" spans="2:30" s="323" customFormat="1" ht="12" customHeight="1">
      <c r="B6624" s="324"/>
      <c r="C6624" s="325"/>
      <c r="D6624" s="326"/>
      <c r="E6624" s="326"/>
      <c r="F6624" s="326"/>
      <c r="G6624" s="326"/>
      <c r="H6624" s="326"/>
      <c r="P6624" s="318"/>
      <c r="Q6624" s="318"/>
      <c r="R6624" s="318"/>
      <c r="S6624" s="318"/>
      <c r="T6624" s="318"/>
      <c r="U6624" s="318"/>
      <c r="V6624" s="318"/>
      <c r="W6624" s="318"/>
      <c r="X6624" s="318"/>
      <c r="Y6624" s="318"/>
      <c r="Z6624" s="318"/>
      <c r="AA6624" s="318"/>
      <c r="AB6624" s="318"/>
      <c r="AC6624" s="318"/>
      <c r="AD6624" s="318"/>
    </row>
    <row r="6625" spans="2:30" s="323" customFormat="1" ht="12" customHeight="1">
      <c r="B6625" s="324"/>
      <c r="C6625" s="325"/>
      <c r="D6625" s="326"/>
      <c r="E6625" s="326"/>
      <c r="F6625" s="326"/>
      <c r="G6625" s="326"/>
      <c r="H6625" s="326"/>
      <c r="P6625" s="318"/>
      <c r="Q6625" s="318"/>
      <c r="R6625" s="318"/>
      <c r="S6625" s="318"/>
      <c r="T6625" s="318"/>
      <c r="U6625" s="318"/>
      <c r="V6625" s="318"/>
      <c r="W6625" s="318"/>
      <c r="X6625" s="318"/>
      <c r="Y6625" s="318"/>
      <c r="Z6625" s="318"/>
      <c r="AA6625" s="318"/>
      <c r="AB6625" s="318"/>
      <c r="AC6625" s="318"/>
      <c r="AD6625" s="318"/>
    </row>
    <row r="6626" spans="2:30" s="323" customFormat="1" ht="12" customHeight="1">
      <c r="B6626" s="324"/>
      <c r="C6626" s="325"/>
      <c r="D6626" s="326"/>
      <c r="E6626" s="326"/>
      <c r="F6626" s="326"/>
      <c r="G6626" s="326"/>
      <c r="H6626" s="326"/>
      <c r="P6626" s="318"/>
      <c r="Q6626" s="318"/>
      <c r="R6626" s="318"/>
      <c r="S6626" s="318"/>
      <c r="T6626" s="318"/>
      <c r="U6626" s="318"/>
      <c r="V6626" s="318"/>
      <c r="W6626" s="318"/>
      <c r="X6626" s="318"/>
      <c r="Y6626" s="318"/>
      <c r="Z6626" s="318"/>
      <c r="AA6626" s="318"/>
      <c r="AB6626" s="318"/>
      <c r="AC6626" s="318"/>
      <c r="AD6626" s="318"/>
    </row>
    <row r="6627" spans="2:30" s="323" customFormat="1" ht="12" customHeight="1">
      <c r="B6627" s="324"/>
      <c r="C6627" s="325"/>
      <c r="D6627" s="326"/>
      <c r="E6627" s="326"/>
      <c r="F6627" s="326"/>
      <c r="G6627" s="326"/>
      <c r="H6627" s="326"/>
      <c r="P6627" s="318"/>
      <c r="Q6627" s="318"/>
      <c r="R6627" s="318"/>
      <c r="S6627" s="318"/>
      <c r="T6627" s="318"/>
      <c r="U6627" s="318"/>
      <c r="V6627" s="318"/>
      <c r="W6627" s="318"/>
      <c r="X6627" s="318"/>
      <c r="Y6627" s="318"/>
      <c r="Z6627" s="318"/>
      <c r="AA6627" s="318"/>
      <c r="AB6627" s="318"/>
      <c r="AC6627" s="318"/>
      <c r="AD6627" s="318"/>
    </row>
    <row r="6628" spans="2:30" s="323" customFormat="1" ht="12" customHeight="1">
      <c r="B6628" s="324"/>
      <c r="C6628" s="325"/>
      <c r="D6628" s="326"/>
      <c r="E6628" s="326"/>
      <c r="F6628" s="326"/>
      <c r="G6628" s="326"/>
      <c r="H6628" s="326"/>
      <c r="P6628" s="318"/>
      <c r="Q6628" s="318"/>
      <c r="R6628" s="318"/>
      <c r="S6628" s="318"/>
      <c r="T6628" s="318"/>
      <c r="U6628" s="318"/>
      <c r="V6628" s="318"/>
      <c r="W6628" s="318"/>
      <c r="X6628" s="318"/>
      <c r="Y6628" s="318"/>
      <c r="Z6628" s="318"/>
      <c r="AA6628" s="318"/>
      <c r="AB6628" s="318"/>
      <c r="AC6628" s="318"/>
      <c r="AD6628" s="318"/>
    </row>
    <row r="6629" spans="2:30" s="323" customFormat="1" ht="12" customHeight="1">
      <c r="B6629" s="324"/>
      <c r="C6629" s="325"/>
      <c r="D6629" s="326"/>
      <c r="E6629" s="326"/>
      <c r="F6629" s="326"/>
      <c r="G6629" s="326"/>
      <c r="H6629" s="326"/>
      <c r="P6629" s="318"/>
      <c r="Q6629" s="318"/>
      <c r="R6629" s="318"/>
      <c r="S6629" s="318"/>
      <c r="T6629" s="318"/>
      <c r="U6629" s="318"/>
      <c r="V6629" s="318"/>
      <c r="W6629" s="318"/>
      <c r="X6629" s="318"/>
      <c r="Y6629" s="318"/>
      <c r="Z6629" s="318"/>
      <c r="AA6629" s="318"/>
      <c r="AB6629" s="318"/>
      <c r="AC6629" s="318"/>
      <c r="AD6629" s="318"/>
    </row>
    <row r="6630" spans="2:30" s="323" customFormat="1" ht="12" customHeight="1">
      <c r="B6630" s="324"/>
      <c r="C6630" s="325"/>
      <c r="D6630" s="326"/>
      <c r="E6630" s="326"/>
      <c r="F6630" s="326"/>
      <c r="G6630" s="326"/>
      <c r="H6630" s="326"/>
      <c r="P6630" s="318"/>
      <c r="Q6630" s="318"/>
      <c r="R6630" s="318"/>
      <c r="S6630" s="318"/>
      <c r="T6630" s="318"/>
      <c r="U6630" s="318"/>
      <c r="V6630" s="318"/>
      <c r="W6630" s="318"/>
      <c r="X6630" s="318"/>
      <c r="Y6630" s="318"/>
      <c r="Z6630" s="318"/>
      <c r="AA6630" s="318"/>
      <c r="AB6630" s="318"/>
      <c r="AC6630" s="318"/>
      <c r="AD6630" s="318"/>
    </row>
    <row r="6631" spans="2:30" s="323" customFormat="1" ht="12" customHeight="1">
      <c r="B6631" s="324"/>
      <c r="C6631" s="325"/>
      <c r="D6631" s="326"/>
      <c r="E6631" s="326"/>
      <c r="F6631" s="326"/>
      <c r="G6631" s="326"/>
      <c r="H6631" s="326"/>
      <c r="P6631" s="318"/>
      <c r="Q6631" s="318"/>
      <c r="R6631" s="318"/>
      <c r="S6631" s="318"/>
      <c r="T6631" s="318"/>
      <c r="U6631" s="318"/>
      <c r="V6631" s="318"/>
      <c r="W6631" s="318"/>
      <c r="X6631" s="318"/>
      <c r="Y6631" s="318"/>
      <c r="Z6631" s="318"/>
      <c r="AA6631" s="318"/>
      <c r="AB6631" s="318"/>
      <c r="AC6631" s="318"/>
      <c r="AD6631" s="318"/>
    </row>
    <row r="6632" spans="2:30" s="323" customFormat="1" ht="12" customHeight="1">
      <c r="B6632" s="324"/>
      <c r="C6632" s="325"/>
      <c r="D6632" s="326"/>
      <c r="E6632" s="326"/>
      <c r="F6632" s="326"/>
      <c r="G6632" s="326"/>
      <c r="H6632" s="326"/>
      <c r="P6632" s="318"/>
      <c r="Q6632" s="318"/>
      <c r="R6632" s="318"/>
      <c r="S6632" s="318"/>
      <c r="T6632" s="318"/>
      <c r="U6632" s="318"/>
      <c r="V6632" s="318"/>
      <c r="W6632" s="318"/>
      <c r="X6632" s="318"/>
      <c r="Y6632" s="318"/>
      <c r="Z6632" s="318"/>
      <c r="AA6632" s="318"/>
      <c r="AB6632" s="318"/>
      <c r="AC6632" s="318"/>
      <c r="AD6632" s="318"/>
    </row>
    <row r="6633" spans="2:30" s="323" customFormat="1" ht="12" customHeight="1">
      <c r="B6633" s="324"/>
      <c r="C6633" s="325"/>
      <c r="D6633" s="326"/>
      <c r="E6633" s="326"/>
      <c r="F6633" s="326"/>
      <c r="G6633" s="326"/>
      <c r="H6633" s="326"/>
      <c r="P6633" s="318"/>
      <c r="Q6633" s="318"/>
      <c r="R6633" s="318"/>
      <c r="S6633" s="318"/>
      <c r="T6633" s="318"/>
      <c r="U6633" s="318"/>
      <c r="V6633" s="318"/>
      <c r="W6633" s="318"/>
      <c r="X6633" s="318"/>
      <c r="Y6633" s="318"/>
      <c r="Z6633" s="318"/>
      <c r="AA6633" s="318"/>
      <c r="AB6633" s="318"/>
      <c r="AC6633" s="318"/>
      <c r="AD6633" s="318"/>
    </row>
    <row r="6634" spans="2:30" s="323" customFormat="1" ht="12" customHeight="1">
      <c r="B6634" s="324"/>
      <c r="C6634" s="325"/>
      <c r="D6634" s="326"/>
      <c r="E6634" s="326"/>
      <c r="F6634" s="326"/>
      <c r="G6634" s="326"/>
      <c r="H6634" s="326"/>
      <c r="P6634" s="318"/>
      <c r="Q6634" s="318"/>
      <c r="R6634" s="318"/>
      <c r="S6634" s="318"/>
      <c r="T6634" s="318"/>
      <c r="U6634" s="318"/>
      <c r="V6634" s="318"/>
      <c r="W6634" s="318"/>
      <c r="X6634" s="318"/>
      <c r="Y6634" s="318"/>
      <c r="Z6634" s="318"/>
      <c r="AA6634" s="318"/>
      <c r="AB6634" s="318"/>
      <c r="AC6634" s="318"/>
      <c r="AD6634" s="318"/>
    </row>
    <row r="6635" spans="2:30" s="323" customFormat="1" ht="12" customHeight="1">
      <c r="B6635" s="324"/>
      <c r="C6635" s="325"/>
      <c r="D6635" s="326"/>
      <c r="E6635" s="326"/>
      <c r="F6635" s="326"/>
      <c r="G6635" s="326"/>
      <c r="H6635" s="326"/>
      <c r="P6635" s="318"/>
      <c r="Q6635" s="318"/>
      <c r="R6635" s="318"/>
      <c r="S6635" s="318"/>
      <c r="T6635" s="318"/>
      <c r="U6635" s="318"/>
      <c r="V6635" s="318"/>
      <c r="W6635" s="318"/>
      <c r="X6635" s="318"/>
      <c r="Y6635" s="318"/>
      <c r="Z6635" s="318"/>
      <c r="AA6635" s="318"/>
      <c r="AB6635" s="318"/>
      <c r="AC6635" s="318"/>
      <c r="AD6635" s="318"/>
    </row>
    <row r="6636" spans="2:30" s="323" customFormat="1" ht="12" customHeight="1">
      <c r="B6636" s="324"/>
      <c r="C6636" s="325"/>
      <c r="D6636" s="326"/>
      <c r="E6636" s="326"/>
      <c r="F6636" s="326"/>
      <c r="G6636" s="326"/>
      <c r="H6636" s="326"/>
      <c r="P6636" s="318"/>
      <c r="Q6636" s="318"/>
      <c r="R6636" s="318"/>
      <c r="S6636" s="318"/>
      <c r="T6636" s="318"/>
      <c r="U6636" s="318"/>
      <c r="V6636" s="318"/>
      <c r="W6636" s="318"/>
      <c r="X6636" s="318"/>
      <c r="Y6636" s="318"/>
      <c r="Z6636" s="318"/>
      <c r="AA6636" s="318"/>
      <c r="AB6636" s="318"/>
      <c r="AC6636" s="318"/>
      <c r="AD6636" s="318"/>
    </row>
    <row r="6637" spans="2:30" s="323" customFormat="1" ht="12" customHeight="1">
      <c r="B6637" s="324"/>
      <c r="C6637" s="325"/>
      <c r="D6637" s="326"/>
      <c r="E6637" s="326"/>
      <c r="F6637" s="326"/>
      <c r="G6637" s="326"/>
      <c r="H6637" s="326"/>
      <c r="P6637" s="318"/>
      <c r="Q6637" s="318"/>
      <c r="R6637" s="318"/>
      <c r="S6637" s="318"/>
      <c r="T6637" s="318"/>
      <c r="U6637" s="318"/>
      <c r="V6637" s="318"/>
      <c r="W6637" s="318"/>
      <c r="X6637" s="318"/>
      <c r="Y6637" s="318"/>
      <c r="Z6637" s="318"/>
      <c r="AA6637" s="318"/>
      <c r="AB6637" s="318"/>
      <c r="AC6637" s="318"/>
      <c r="AD6637" s="318"/>
    </row>
    <row r="6638" spans="2:30" s="323" customFormat="1" ht="12" customHeight="1">
      <c r="B6638" s="324"/>
      <c r="C6638" s="325"/>
      <c r="D6638" s="326"/>
      <c r="E6638" s="326"/>
      <c r="F6638" s="326"/>
      <c r="G6638" s="326"/>
      <c r="H6638" s="326"/>
      <c r="P6638" s="318"/>
      <c r="Q6638" s="318"/>
      <c r="R6638" s="318"/>
      <c r="S6638" s="318"/>
      <c r="T6638" s="318"/>
      <c r="U6638" s="318"/>
      <c r="V6638" s="318"/>
      <c r="W6638" s="318"/>
      <c r="X6638" s="318"/>
      <c r="Y6638" s="318"/>
      <c r="Z6638" s="318"/>
      <c r="AA6638" s="318"/>
      <c r="AB6638" s="318"/>
      <c r="AC6638" s="318"/>
      <c r="AD6638" s="318"/>
    </row>
    <row r="6639" spans="2:30" s="323" customFormat="1" ht="12" customHeight="1">
      <c r="B6639" s="324"/>
      <c r="C6639" s="325"/>
      <c r="D6639" s="326"/>
      <c r="E6639" s="326"/>
      <c r="F6639" s="326"/>
      <c r="G6639" s="326"/>
      <c r="H6639" s="326"/>
      <c r="P6639" s="318"/>
      <c r="Q6639" s="318"/>
      <c r="R6639" s="318"/>
      <c r="S6639" s="318"/>
      <c r="T6639" s="318"/>
      <c r="U6639" s="318"/>
      <c r="V6639" s="318"/>
      <c r="W6639" s="318"/>
      <c r="X6639" s="318"/>
      <c r="Y6639" s="318"/>
      <c r="Z6639" s="318"/>
      <c r="AA6639" s="318"/>
      <c r="AB6639" s="318"/>
      <c r="AC6639" s="318"/>
      <c r="AD6639" s="318"/>
    </row>
    <row r="6640" spans="2:30" s="323" customFormat="1" ht="12" customHeight="1">
      <c r="B6640" s="324"/>
      <c r="C6640" s="325"/>
      <c r="D6640" s="326"/>
      <c r="E6640" s="326"/>
      <c r="F6640" s="326"/>
      <c r="G6640" s="326"/>
      <c r="H6640" s="326"/>
      <c r="P6640" s="318"/>
      <c r="Q6640" s="318"/>
      <c r="R6640" s="318"/>
      <c r="S6640" s="318"/>
      <c r="T6640" s="318"/>
      <c r="U6640" s="318"/>
      <c r="V6640" s="318"/>
      <c r="W6640" s="318"/>
      <c r="X6640" s="318"/>
      <c r="Y6640" s="318"/>
      <c r="Z6640" s="318"/>
      <c r="AA6640" s="318"/>
      <c r="AB6640" s="318"/>
      <c r="AC6640" s="318"/>
      <c r="AD6640" s="318"/>
    </row>
    <row r="6641" spans="2:30" s="323" customFormat="1" ht="12" customHeight="1">
      <c r="B6641" s="324"/>
      <c r="C6641" s="325"/>
      <c r="D6641" s="326"/>
      <c r="E6641" s="326"/>
      <c r="F6641" s="326"/>
      <c r="G6641" s="326"/>
      <c r="H6641" s="326"/>
      <c r="P6641" s="318"/>
      <c r="Q6641" s="318"/>
      <c r="R6641" s="318"/>
      <c r="S6641" s="318"/>
      <c r="T6641" s="318"/>
      <c r="U6641" s="318"/>
      <c r="V6641" s="318"/>
      <c r="W6641" s="318"/>
      <c r="X6641" s="318"/>
      <c r="Y6641" s="318"/>
      <c r="Z6641" s="318"/>
      <c r="AA6641" s="318"/>
      <c r="AB6641" s="318"/>
      <c r="AC6641" s="318"/>
      <c r="AD6641" s="318"/>
    </row>
    <row r="6642" spans="2:30" s="323" customFormat="1" ht="12" customHeight="1">
      <c r="B6642" s="324"/>
      <c r="C6642" s="325"/>
      <c r="D6642" s="326"/>
      <c r="E6642" s="326"/>
      <c r="F6642" s="326"/>
      <c r="G6642" s="326"/>
      <c r="H6642" s="326"/>
      <c r="P6642" s="318"/>
      <c r="Q6642" s="318"/>
      <c r="R6642" s="318"/>
      <c r="S6642" s="318"/>
      <c r="T6642" s="318"/>
      <c r="U6642" s="318"/>
      <c r="V6642" s="318"/>
      <c r="W6642" s="318"/>
      <c r="X6642" s="318"/>
      <c r="Y6642" s="318"/>
      <c r="Z6642" s="318"/>
      <c r="AA6642" s="318"/>
      <c r="AB6642" s="318"/>
      <c r="AC6642" s="318"/>
      <c r="AD6642" s="318"/>
    </row>
    <row r="6643" spans="2:30" s="323" customFormat="1" ht="12" customHeight="1">
      <c r="B6643" s="324"/>
      <c r="C6643" s="325"/>
      <c r="D6643" s="326"/>
      <c r="E6643" s="326"/>
      <c r="F6643" s="326"/>
      <c r="G6643" s="326"/>
      <c r="H6643" s="326"/>
      <c r="P6643" s="318"/>
      <c r="Q6643" s="318"/>
      <c r="R6643" s="318"/>
      <c r="S6643" s="318"/>
      <c r="T6643" s="318"/>
      <c r="U6643" s="318"/>
      <c r="V6643" s="318"/>
      <c r="W6643" s="318"/>
      <c r="X6643" s="318"/>
      <c r="Y6643" s="318"/>
      <c r="Z6643" s="318"/>
      <c r="AA6643" s="318"/>
      <c r="AB6643" s="318"/>
      <c r="AC6643" s="318"/>
      <c r="AD6643" s="318"/>
    </row>
    <row r="6644" spans="2:30" s="323" customFormat="1" ht="12" customHeight="1">
      <c r="B6644" s="324"/>
      <c r="C6644" s="325"/>
      <c r="D6644" s="326"/>
      <c r="E6644" s="326"/>
      <c r="F6644" s="326"/>
      <c r="G6644" s="326"/>
      <c r="H6644" s="326"/>
      <c r="P6644" s="318"/>
      <c r="Q6644" s="318"/>
      <c r="R6644" s="318"/>
      <c r="S6644" s="318"/>
      <c r="T6644" s="318"/>
      <c r="U6644" s="318"/>
      <c r="V6644" s="318"/>
      <c r="W6644" s="318"/>
      <c r="X6644" s="318"/>
      <c r="Y6644" s="318"/>
      <c r="Z6644" s="318"/>
      <c r="AA6644" s="318"/>
      <c r="AB6644" s="318"/>
      <c r="AC6644" s="318"/>
      <c r="AD6644" s="318"/>
    </row>
    <row r="6645" spans="2:30" s="323" customFormat="1" ht="12" customHeight="1">
      <c r="B6645" s="324"/>
      <c r="C6645" s="325"/>
      <c r="D6645" s="326"/>
      <c r="E6645" s="326"/>
      <c r="F6645" s="326"/>
      <c r="G6645" s="326"/>
      <c r="H6645" s="326"/>
      <c r="P6645" s="318"/>
      <c r="Q6645" s="318"/>
      <c r="R6645" s="318"/>
      <c r="S6645" s="318"/>
      <c r="T6645" s="318"/>
      <c r="U6645" s="318"/>
      <c r="V6645" s="318"/>
      <c r="W6645" s="318"/>
      <c r="X6645" s="318"/>
      <c r="Y6645" s="318"/>
      <c r="Z6645" s="318"/>
      <c r="AA6645" s="318"/>
      <c r="AB6645" s="318"/>
      <c r="AC6645" s="318"/>
      <c r="AD6645" s="318"/>
    </row>
    <row r="6646" spans="2:30" s="323" customFormat="1" ht="12" customHeight="1">
      <c r="B6646" s="324"/>
      <c r="C6646" s="325"/>
      <c r="D6646" s="326"/>
      <c r="E6646" s="326"/>
      <c r="F6646" s="326"/>
      <c r="G6646" s="326"/>
      <c r="H6646" s="326"/>
      <c r="P6646" s="318"/>
      <c r="Q6646" s="318"/>
      <c r="R6646" s="318"/>
      <c r="S6646" s="318"/>
      <c r="T6646" s="318"/>
      <c r="U6646" s="318"/>
      <c r="V6646" s="318"/>
      <c r="W6646" s="318"/>
      <c r="X6646" s="318"/>
      <c r="Y6646" s="318"/>
      <c r="Z6646" s="318"/>
      <c r="AA6646" s="318"/>
      <c r="AB6646" s="318"/>
      <c r="AC6646" s="318"/>
      <c r="AD6646" s="318"/>
    </row>
    <row r="6647" spans="2:30" s="323" customFormat="1" ht="12" customHeight="1">
      <c r="B6647" s="324"/>
      <c r="C6647" s="325"/>
      <c r="D6647" s="326"/>
      <c r="E6647" s="326"/>
      <c r="F6647" s="326"/>
      <c r="G6647" s="326"/>
      <c r="H6647" s="326"/>
      <c r="P6647" s="318"/>
      <c r="Q6647" s="318"/>
      <c r="R6647" s="318"/>
      <c r="S6647" s="318"/>
      <c r="T6647" s="318"/>
      <c r="U6647" s="318"/>
      <c r="V6647" s="318"/>
      <c r="W6647" s="318"/>
      <c r="X6647" s="318"/>
      <c r="Y6647" s="318"/>
      <c r="Z6647" s="318"/>
      <c r="AA6647" s="318"/>
      <c r="AB6647" s="318"/>
      <c r="AC6647" s="318"/>
      <c r="AD6647" s="318"/>
    </row>
    <row r="6648" spans="2:30" s="323" customFormat="1" ht="12" customHeight="1">
      <c r="B6648" s="324"/>
      <c r="C6648" s="325"/>
      <c r="D6648" s="326"/>
      <c r="E6648" s="326"/>
      <c r="F6648" s="326"/>
      <c r="G6648" s="326"/>
      <c r="H6648" s="326"/>
      <c r="P6648" s="318"/>
      <c r="Q6648" s="318"/>
      <c r="R6648" s="318"/>
      <c r="S6648" s="318"/>
      <c r="T6648" s="318"/>
      <c r="U6648" s="318"/>
      <c r="V6648" s="318"/>
      <c r="W6648" s="318"/>
      <c r="X6648" s="318"/>
      <c r="Y6648" s="318"/>
      <c r="Z6648" s="318"/>
      <c r="AA6648" s="318"/>
      <c r="AB6648" s="318"/>
      <c r="AC6648" s="318"/>
      <c r="AD6648" s="318"/>
    </row>
    <row r="6649" spans="2:30" s="323" customFormat="1" ht="12" customHeight="1">
      <c r="B6649" s="324"/>
      <c r="C6649" s="325"/>
      <c r="D6649" s="326"/>
      <c r="E6649" s="326"/>
      <c r="F6649" s="326"/>
      <c r="G6649" s="326"/>
      <c r="H6649" s="326"/>
      <c r="P6649" s="318"/>
      <c r="Q6649" s="318"/>
      <c r="R6649" s="318"/>
      <c r="S6649" s="318"/>
      <c r="T6649" s="318"/>
      <c r="U6649" s="318"/>
      <c r="V6649" s="318"/>
      <c r="W6649" s="318"/>
      <c r="X6649" s="318"/>
      <c r="Y6649" s="318"/>
      <c r="Z6649" s="318"/>
      <c r="AA6649" s="318"/>
      <c r="AB6649" s="318"/>
      <c r="AC6649" s="318"/>
      <c r="AD6649" s="318"/>
    </row>
    <row r="6650" spans="2:30" s="323" customFormat="1" ht="12" customHeight="1">
      <c r="B6650" s="324"/>
      <c r="C6650" s="325"/>
      <c r="D6650" s="326"/>
      <c r="E6650" s="326"/>
      <c r="F6650" s="326"/>
      <c r="G6650" s="326"/>
      <c r="H6650" s="326"/>
      <c r="P6650" s="318"/>
      <c r="Q6650" s="318"/>
      <c r="R6650" s="318"/>
      <c r="S6650" s="318"/>
      <c r="T6650" s="318"/>
      <c r="U6650" s="318"/>
      <c r="V6650" s="318"/>
      <c r="W6650" s="318"/>
      <c r="X6650" s="318"/>
      <c r="Y6650" s="318"/>
      <c r="Z6650" s="318"/>
      <c r="AA6650" s="318"/>
      <c r="AB6650" s="318"/>
      <c r="AC6650" s="318"/>
      <c r="AD6650" s="318"/>
    </row>
    <row r="6651" spans="2:30" s="323" customFormat="1" ht="12" customHeight="1">
      <c r="B6651" s="324"/>
      <c r="C6651" s="325"/>
      <c r="D6651" s="326"/>
      <c r="E6651" s="326"/>
      <c r="F6651" s="326"/>
      <c r="G6651" s="326"/>
      <c r="H6651" s="326"/>
      <c r="P6651" s="318"/>
      <c r="Q6651" s="318"/>
      <c r="R6651" s="318"/>
      <c r="S6651" s="318"/>
      <c r="T6651" s="318"/>
      <c r="U6651" s="318"/>
      <c r="V6651" s="318"/>
      <c r="W6651" s="318"/>
      <c r="X6651" s="318"/>
      <c r="Y6651" s="318"/>
      <c r="Z6651" s="318"/>
      <c r="AA6651" s="318"/>
      <c r="AB6651" s="318"/>
      <c r="AC6651" s="318"/>
      <c r="AD6651" s="318"/>
    </row>
    <row r="6652" spans="2:30" s="323" customFormat="1" ht="12" customHeight="1">
      <c r="B6652" s="324"/>
      <c r="C6652" s="325"/>
      <c r="D6652" s="326"/>
      <c r="E6652" s="326"/>
      <c r="F6652" s="326"/>
      <c r="G6652" s="326"/>
      <c r="H6652" s="326"/>
      <c r="P6652" s="318"/>
      <c r="Q6652" s="318"/>
      <c r="R6652" s="318"/>
      <c r="S6652" s="318"/>
      <c r="T6652" s="318"/>
      <c r="U6652" s="318"/>
      <c r="V6652" s="318"/>
      <c r="W6652" s="318"/>
      <c r="X6652" s="318"/>
      <c r="Y6652" s="318"/>
      <c r="Z6652" s="318"/>
      <c r="AA6652" s="318"/>
      <c r="AB6652" s="318"/>
      <c r="AC6652" s="318"/>
      <c r="AD6652" s="318"/>
    </row>
    <row r="6653" spans="2:30" s="323" customFormat="1" ht="12" customHeight="1">
      <c r="B6653" s="324"/>
      <c r="C6653" s="325"/>
      <c r="D6653" s="326"/>
      <c r="E6653" s="326"/>
      <c r="F6653" s="326"/>
      <c r="G6653" s="326"/>
      <c r="H6653" s="326"/>
      <c r="P6653" s="318"/>
      <c r="Q6653" s="318"/>
      <c r="R6653" s="318"/>
      <c r="S6653" s="318"/>
      <c r="T6653" s="318"/>
      <c r="U6653" s="318"/>
      <c r="V6653" s="318"/>
      <c r="W6653" s="318"/>
      <c r="X6653" s="318"/>
      <c r="Y6653" s="318"/>
      <c r="Z6653" s="318"/>
      <c r="AA6653" s="318"/>
      <c r="AB6653" s="318"/>
      <c r="AC6653" s="318"/>
      <c r="AD6653" s="318"/>
    </row>
    <row r="6654" spans="2:30" s="323" customFormat="1" ht="12" customHeight="1">
      <c r="B6654" s="324"/>
      <c r="C6654" s="325"/>
      <c r="D6654" s="326"/>
      <c r="E6654" s="326"/>
      <c r="F6654" s="326"/>
      <c r="G6654" s="326"/>
      <c r="H6654" s="326"/>
      <c r="P6654" s="318"/>
      <c r="Q6654" s="318"/>
      <c r="R6654" s="318"/>
      <c r="S6654" s="318"/>
      <c r="T6654" s="318"/>
      <c r="U6654" s="318"/>
      <c r="V6654" s="318"/>
      <c r="W6654" s="318"/>
      <c r="X6654" s="318"/>
      <c r="Y6654" s="318"/>
      <c r="Z6654" s="318"/>
      <c r="AA6654" s="318"/>
      <c r="AB6654" s="318"/>
      <c r="AC6654" s="318"/>
      <c r="AD6654" s="318"/>
    </row>
    <row r="6655" spans="2:30" s="323" customFormat="1" ht="12" customHeight="1">
      <c r="B6655" s="324"/>
      <c r="C6655" s="325"/>
      <c r="D6655" s="326"/>
      <c r="E6655" s="326"/>
      <c r="F6655" s="326"/>
      <c r="G6655" s="326"/>
      <c r="H6655" s="326"/>
      <c r="P6655" s="318"/>
      <c r="Q6655" s="318"/>
      <c r="R6655" s="318"/>
      <c r="S6655" s="318"/>
      <c r="T6655" s="318"/>
      <c r="U6655" s="318"/>
      <c r="V6655" s="318"/>
      <c r="W6655" s="318"/>
      <c r="X6655" s="318"/>
      <c r="Y6655" s="318"/>
      <c r="Z6655" s="318"/>
      <c r="AA6655" s="318"/>
      <c r="AB6655" s="318"/>
      <c r="AC6655" s="318"/>
      <c r="AD6655" s="318"/>
    </row>
    <row r="6656" spans="2:30" s="323" customFormat="1" ht="12" customHeight="1">
      <c r="B6656" s="324"/>
      <c r="C6656" s="325"/>
      <c r="D6656" s="326"/>
      <c r="E6656" s="326"/>
      <c r="F6656" s="326"/>
      <c r="G6656" s="326"/>
      <c r="H6656" s="326"/>
      <c r="P6656" s="318"/>
      <c r="Q6656" s="318"/>
      <c r="R6656" s="318"/>
      <c r="S6656" s="318"/>
      <c r="T6656" s="318"/>
      <c r="U6656" s="318"/>
      <c r="V6656" s="318"/>
      <c r="W6656" s="318"/>
      <c r="X6656" s="318"/>
      <c r="Y6656" s="318"/>
      <c r="Z6656" s="318"/>
      <c r="AA6656" s="318"/>
      <c r="AB6656" s="318"/>
      <c r="AC6656" s="318"/>
      <c r="AD6656" s="318"/>
    </row>
    <row r="6657" spans="2:30" s="323" customFormat="1" ht="12" customHeight="1">
      <c r="B6657" s="324"/>
      <c r="C6657" s="325"/>
      <c r="D6657" s="326"/>
      <c r="E6657" s="326"/>
      <c r="F6657" s="326"/>
      <c r="G6657" s="326"/>
      <c r="H6657" s="326"/>
      <c r="P6657" s="318"/>
      <c r="Q6657" s="318"/>
      <c r="R6657" s="318"/>
      <c r="S6657" s="318"/>
      <c r="T6657" s="318"/>
      <c r="U6657" s="318"/>
      <c r="V6657" s="318"/>
      <c r="W6657" s="318"/>
      <c r="X6657" s="318"/>
      <c r="Y6657" s="318"/>
      <c r="Z6657" s="318"/>
      <c r="AA6657" s="318"/>
      <c r="AB6657" s="318"/>
      <c r="AC6657" s="318"/>
      <c r="AD6657" s="318"/>
    </row>
    <row r="6658" spans="2:30" s="323" customFormat="1" ht="12" customHeight="1">
      <c r="B6658" s="324"/>
      <c r="C6658" s="325"/>
      <c r="D6658" s="326"/>
      <c r="E6658" s="326"/>
      <c r="F6658" s="326"/>
      <c r="G6658" s="326"/>
      <c r="H6658" s="326"/>
      <c r="P6658" s="318"/>
      <c r="Q6658" s="318"/>
      <c r="R6658" s="318"/>
      <c r="S6658" s="318"/>
      <c r="T6658" s="318"/>
      <c r="U6658" s="318"/>
      <c r="V6658" s="318"/>
      <c r="W6658" s="318"/>
      <c r="X6658" s="318"/>
      <c r="Y6658" s="318"/>
      <c r="Z6658" s="318"/>
      <c r="AA6658" s="318"/>
      <c r="AB6658" s="318"/>
      <c r="AC6658" s="318"/>
      <c r="AD6658" s="318"/>
    </row>
    <row r="6659" spans="2:30" s="323" customFormat="1" ht="12" customHeight="1">
      <c r="B6659" s="324"/>
      <c r="C6659" s="325"/>
      <c r="D6659" s="326"/>
      <c r="E6659" s="326"/>
      <c r="F6659" s="326"/>
      <c r="G6659" s="326"/>
      <c r="H6659" s="326"/>
      <c r="P6659" s="318"/>
      <c r="Q6659" s="318"/>
      <c r="R6659" s="318"/>
      <c r="S6659" s="318"/>
      <c r="T6659" s="318"/>
      <c r="U6659" s="318"/>
      <c r="V6659" s="318"/>
      <c r="W6659" s="318"/>
      <c r="X6659" s="318"/>
      <c r="Y6659" s="318"/>
      <c r="Z6659" s="318"/>
      <c r="AA6659" s="318"/>
      <c r="AB6659" s="318"/>
      <c r="AC6659" s="318"/>
      <c r="AD6659" s="318"/>
    </row>
    <row r="6660" spans="2:30" s="323" customFormat="1" ht="12" customHeight="1">
      <c r="B6660" s="324"/>
      <c r="C6660" s="325"/>
      <c r="D6660" s="326"/>
      <c r="E6660" s="326"/>
      <c r="F6660" s="326"/>
      <c r="G6660" s="326"/>
      <c r="H6660" s="326"/>
      <c r="P6660" s="318"/>
      <c r="Q6660" s="318"/>
      <c r="R6660" s="318"/>
      <c r="S6660" s="318"/>
      <c r="T6660" s="318"/>
      <c r="U6660" s="318"/>
      <c r="V6660" s="318"/>
      <c r="W6660" s="318"/>
      <c r="X6660" s="318"/>
      <c r="Y6660" s="318"/>
      <c r="Z6660" s="318"/>
      <c r="AA6660" s="318"/>
      <c r="AB6660" s="318"/>
      <c r="AC6660" s="318"/>
      <c r="AD6660" s="318"/>
    </row>
    <row r="6661" spans="2:30" s="323" customFormat="1" ht="12" customHeight="1">
      <c r="B6661" s="324"/>
      <c r="C6661" s="325"/>
      <c r="D6661" s="326"/>
      <c r="E6661" s="326"/>
      <c r="F6661" s="326"/>
      <c r="G6661" s="326"/>
      <c r="H6661" s="326"/>
      <c r="P6661" s="318"/>
      <c r="Q6661" s="318"/>
      <c r="R6661" s="318"/>
      <c r="S6661" s="318"/>
      <c r="T6661" s="318"/>
      <c r="U6661" s="318"/>
      <c r="V6661" s="318"/>
      <c r="W6661" s="318"/>
      <c r="X6661" s="318"/>
      <c r="Y6661" s="318"/>
      <c r="Z6661" s="318"/>
      <c r="AA6661" s="318"/>
      <c r="AB6661" s="318"/>
      <c r="AC6661" s="318"/>
      <c r="AD6661" s="318"/>
    </row>
    <row r="6662" spans="2:30" s="323" customFormat="1" ht="12" customHeight="1">
      <c r="B6662" s="324"/>
      <c r="C6662" s="325"/>
      <c r="D6662" s="326"/>
      <c r="E6662" s="326"/>
      <c r="F6662" s="326"/>
      <c r="G6662" s="326"/>
      <c r="H6662" s="326"/>
      <c r="P6662" s="318"/>
      <c r="Q6662" s="318"/>
      <c r="R6662" s="318"/>
      <c r="S6662" s="318"/>
      <c r="T6662" s="318"/>
      <c r="U6662" s="318"/>
      <c r="V6662" s="318"/>
      <c r="W6662" s="318"/>
      <c r="X6662" s="318"/>
      <c r="Y6662" s="318"/>
      <c r="Z6662" s="318"/>
      <c r="AA6662" s="318"/>
      <c r="AB6662" s="318"/>
      <c r="AC6662" s="318"/>
      <c r="AD6662" s="318"/>
    </row>
    <row r="6663" spans="2:30" s="323" customFormat="1" ht="12" customHeight="1">
      <c r="B6663" s="324"/>
      <c r="C6663" s="325"/>
      <c r="D6663" s="326"/>
      <c r="E6663" s="326"/>
      <c r="F6663" s="326"/>
      <c r="G6663" s="326"/>
      <c r="H6663" s="326"/>
      <c r="P6663" s="318"/>
      <c r="Q6663" s="318"/>
      <c r="R6663" s="318"/>
      <c r="S6663" s="318"/>
      <c r="T6663" s="318"/>
      <c r="U6663" s="318"/>
      <c r="V6663" s="318"/>
      <c r="W6663" s="318"/>
      <c r="X6663" s="318"/>
      <c r="Y6663" s="318"/>
      <c r="Z6663" s="318"/>
      <c r="AA6663" s="318"/>
      <c r="AB6663" s="318"/>
      <c r="AC6663" s="318"/>
      <c r="AD6663" s="318"/>
    </row>
    <row r="6664" spans="2:30" s="323" customFormat="1" ht="12" customHeight="1">
      <c r="B6664" s="324"/>
      <c r="C6664" s="325"/>
      <c r="D6664" s="326"/>
      <c r="E6664" s="326"/>
      <c r="F6664" s="326"/>
      <c r="G6664" s="326"/>
      <c r="H6664" s="326"/>
      <c r="P6664" s="318"/>
      <c r="Q6664" s="318"/>
      <c r="R6664" s="318"/>
      <c r="S6664" s="318"/>
      <c r="T6664" s="318"/>
      <c r="U6664" s="318"/>
      <c r="V6664" s="318"/>
      <c r="W6664" s="318"/>
      <c r="X6664" s="318"/>
      <c r="Y6664" s="318"/>
      <c r="Z6664" s="318"/>
      <c r="AA6664" s="318"/>
      <c r="AB6664" s="318"/>
      <c r="AC6664" s="318"/>
      <c r="AD6664" s="318"/>
    </row>
    <row r="6665" spans="2:30" s="323" customFormat="1" ht="12" customHeight="1">
      <c r="B6665" s="324"/>
      <c r="C6665" s="325"/>
      <c r="D6665" s="326"/>
      <c r="E6665" s="326"/>
      <c r="F6665" s="326"/>
      <c r="G6665" s="326"/>
      <c r="H6665" s="326"/>
      <c r="P6665" s="318"/>
      <c r="Q6665" s="318"/>
      <c r="R6665" s="318"/>
      <c r="S6665" s="318"/>
      <c r="T6665" s="318"/>
      <c r="U6665" s="318"/>
      <c r="V6665" s="318"/>
      <c r="W6665" s="318"/>
      <c r="X6665" s="318"/>
      <c r="Y6665" s="318"/>
      <c r="Z6665" s="318"/>
      <c r="AA6665" s="318"/>
      <c r="AB6665" s="318"/>
      <c r="AC6665" s="318"/>
      <c r="AD6665" s="318"/>
    </row>
    <row r="6666" spans="2:30" s="323" customFormat="1" ht="12" customHeight="1">
      <c r="B6666" s="324"/>
      <c r="C6666" s="325"/>
      <c r="D6666" s="326"/>
      <c r="E6666" s="326"/>
      <c r="F6666" s="326"/>
      <c r="G6666" s="326"/>
      <c r="H6666" s="326"/>
      <c r="P6666" s="318"/>
      <c r="Q6666" s="318"/>
      <c r="R6666" s="318"/>
      <c r="S6666" s="318"/>
      <c r="T6666" s="318"/>
      <c r="U6666" s="318"/>
      <c r="V6666" s="318"/>
      <c r="W6666" s="318"/>
      <c r="X6666" s="318"/>
      <c r="Y6666" s="318"/>
      <c r="Z6666" s="318"/>
      <c r="AA6666" s="318"/>
      <c r="AB6666" s="318"/>
      <c r="AC6666" s="318"/>
      <c r="AD6666" s="318"/>
    </row>
    <row r="6667" spans="2:30" s="323" customFormat="1" ht="12" customHeight="1">
      <c r="B6667" s="324"/>
      <c r="C6667" s="325"/>
      <c r="D6667" s="326"/>
      <c r="E6667" s="326"/>
      <c r="F6667" s="326"/>
      <c r="G6667" s="326"/>
      <c r="H6667" s="326"/>
      <c r="P6667" s="318"/>
      <c r="Q6667" s="318"/>
      <c r="R6667" s="318"/>
      <c r="S6667" s="318"/>
      <c r="T6667" s="318"/>
      <c r="U6667" s="318"/>
      <c r="V6667" s="318"/>
      <c r="W6667" s="318"/>
      <c r="X6667" s="318"/>
      <c r="Y6667" s="318"/>
      <c r="Z6667" s="318"/>
      <c r="AA6667" s="318"/>
      <c r="AB6667" s="318"/>
      <c r="AC6667" s="318"/>
      <c r="AD6667" s="318"/>
    </row>
    <row r="6668" spans="2:30" s="323" customFormat="1" ht="12" customHeight="1">
      <c r="B6668" s="324"/>
      <c r="C6668" s="325"/>
      <c r="D6668" s="326"/>
      <c r="E6668" s="326"/>
      <c r="F6668" s="326"/>
      <c r="G6668" s="326"/>
      <c r="H6668" s="326"/>
      <c r="P6668" s="318"/>
      <c r="Q6668" s="318"/>
      <c r="R6668" s="318"/>
      <c r="S6668" s="318"/>
      <c r="T6668" s="318"/>
      <c r="U6668" s="318"/>
      <c r="V6668" s="318"/>
      <c r="W6668" s="318"/>
      <c r="X6668" s="318"/>
      <c r="Y6668" s="318"/>
      <c r="Z6668" s="318"/>
      <c r="AA6668" s="318"/>
      <c r="AB6668" s="318"/>
      <c r="AC6668" s="318"/>
      <c r="AD6668" s="318"/>
    </row>
    <row r="6669" spans="2:30" s="323" customFormat="1" ht="12" customHeight="1">
      <c r="B6669" s="324"/>
      <c r="C6669" s="325"/>
      <c r="D6669" s="326"/>
      <c r="E6669" s="326"/>
      <c r="F6669" s="326"/>
      <c r="G6669" s="326"/>
      <c r="H6669" s="326"/>
      <c r="P6669" s="318"/>
      <c r="Q6669" s="318"/>
      <c r="R6669" s="318"/>
      <c r="S6669" s="318"/>
      <c r="T6669" s="318"/>
      <c r="U6669" s="318"/>
      <c r="V6669" s="318"/>
      <c r="W6669" s="318"/>
      <c r="X6669" s="318"/>
      <c r="Y6669" s="318"/>
      <c r="Z6669" s="318"/>
      <c r="AA6669" s="318"/>
      <c r="AB6669" s="318"/>
      <c r="AC6669" s="318"/>
      <c r="AD6669" s="318"/>
    </row>
    <row r="6670" spans="2:30" s="323" customFormat="1" ht="12" customHeight="1">
      <c r="B6670" s="324"/>
      <c r="C6670" s="325"/>
      <c r="D6670" s="326"/>
      <c r="E6670" s="326"/>
      <c r="F6670" s="326"/>
      <c r="G6670" s="326"/>
      <c r="H6670" s="326"/>
      <c r="P6670" s="318"/>
      <c r="Q6670" s="318"/>
      <c r="R6670" s="318"/>
      <c r="S6670" s="318"/>
      <c r="T6670" s="318"/>
      <c r="U6670" s="318"/>
      <c r="V6670" s="318"/>
      <c r="W6670" s="318"/>
      <c r="X6670" s="318"/>
      <c r="Y6670" s="318"/>
      <c r="Z6670" s="318"/>
      <c r="AA6670" s="318"/>
      <c r="AB6670" s="318"/>
      <c r="AC6670" s="318"/>
      <c r="AD6670" s="318"/>
    </row>
    <row r="6671" spans="2:30" s="323" customFormat="1" ht="12" customHeight="1">
      <c r="B6671" s="324"/>
      <c r="C6671" s="325"/>
      <c r="D6671" s="326"/>
      <c r="E6671" s="326"/>
      <c r="F6671" s="326"/>
      <c r="G6671" s="326"/>
      <c r="H6671" s="326"/>
      <c r="P6671" s="318"/>
      <c r="Q6671" s="318"/>
      <c r="R6671" s="318"/>
      <c r="S6671" s="318"/>
      <c r="T6671" s="318"/>
      <c r="U6671" s="318"/>
      <c r="V6671" s="318"/>
      <c r="W6671" s="318"/>
      <c r="X6671" s="318"/>
      <c r="Y6671" s="318"/>
      <c r="Z6671" s="318"/>
      <c r="AA6671" s="318"/>
      <c r="AB6671" s="318"/>
      <c r="AC6671" s="318"/>
      <c r="AD6671" s="318"/>
    </row>
    <row r="6672" spans="2:30" s="323" customFormat="1" ht="12" customHeight="1">
      <c r="B6672" s="324"/>
      <c r="C6672" s="325"/>
      <c r="D6672" s="326"/>
      <c r="E6672" s="326"/>
      <c r="F6672" s="326"/>
      <c r="G6672" s="326"/>
      <c r="H6672" s="326"/>
      <c r="P6672" s="318"/>
      <c r="Q6672" s="318"/>
      <c r="R6672" s="318"/>
      <c r="S6672" s="318"/>
      <c r="T6672" s="318"/>
      <c r="U6672" s="318"/>
      <c r="V6672" s="318"/>
      <c r="W6672" s="318"/>
      <c r="X6672" s="318"/>
      <c r="Y6672" s="318"/>
      <c r="Z6672" s="318"/>
      <c r="AA6672" s="318"/>
      <c r="AB6672" s="318"/>
      <c r="AC6672" s="318"/>
      <c r="AD6672" s="318"/>
    </row>
    <row r="6673" spans="2:30" s="323" customFormat="1" ht="12" customHeight="1">
      <c r="B6673" s="324"/>
      <c r="C6673" s="325"/>
      <c r="D6673" s="326"/>
      <c r="E6673" s="326"/>
      <c r="F6673" s="326"/>
      <c r="G6673" s="326"/>
      <c r="H6673" s="326"/>
      <c r="P6673" s="318"/>
      <c r="Q6673" s="318"/>
      <c r="R6673" s="318"/>
      <c r="S6673" s="318"/>
      <c r="T6673" s="318"/>
      <c r="U6673" s="318"/>
      <c r="V6673" s="318"/>
      <c r="W6673" s="318"/>
      <c r="X6673" s="318"/>
      <c r="Y6673" s="318"/>
      <c r="Z6673" s="318"/>
      <c r="AA6673" s="318"/>
      <c r="AB6673" s="318"/>
      <c r="AC6673" s="318"/>
      <c r="AD6673" s="318"/>
    </row>
    <row r="6674" spans="2:30" s="323" customFormat="1" ht="12" customHeight="1">
      <c r="B6674" s="324"/>
      <c r="C6674" s="325"/>
      <c r="D6674" s="326"/>
      <c r="E6674" s="326"/>
      <c r="F6674" s="326"/>
      <c r="G6674" s="326"/>
      <c r="H6674" s="326"/>
      <c r="P6674" s="318"/>
      <c r="Q6674" s="318"/>
      <c r="R6674" s="318"/>
      <c r="S6674" s="318"/>
      <c r="T6674" s="318"/>
      <c r="U6674" s="318"/>
      <c r="V6674" s="318"/>
      <c r="W6674" s="318"/>
      <c r="X6674" s="318"/>
      <c r="Y6674" s="318"/>
      <c r="Z6674" s="318"/>
      <c r="AA6674" s="318"/>
      <c r="AB6674" s="318"/>
      <c r="AC6674" s="318"/>
      <c r="AD6674" s="318"/>
    </row>
    <row r="6675" spans="2:30" s="323" customFormat="1" ht="12" customHeight="1">
      <c r="B6675" s="324"/>
      <c r="C6675" s="325"/>
      <c r="D6675" s="326"/>
      <c r="E6675" s="326"/>
      <c r="F6675" s="326"/>
      <c r="G6675" s="326"/>
      <c r="H6675" s="326"/>
      <c r="P6675" s="318"/>
      <c r="Q6675" s="318"/>
      <c r="R6675" s="318"/>
      <c r="S6675" s="318"/>
      <c r="T6675" s="318"/>
      <c r="U6675" s="318"/>
      <c r="V6675" s="318"/>
      <c r="W6675" s="318"/>
      <c r="X6675" s="318"/>
      <c r="Y6675" s="318"/>
      <c r="Z6675" s="318"/>
      <c r="AA6675" s="318"/>
      <c r="AB6675" s="318"/>
      <c r="AC6675" s="318"/>
      <c r="AD6675" s="318"/>
    </row>
    <row r="6676" spans="2:30" s="323" customFormat="1" ht="12" customHeight="1">
      <c r="B6676" s="324"/>
      <c r="C6676" s="325"/>
      <c r="D6676" s="326"/>
      <c r="E6676" s="326"/>
      <c r="F6676" s="326"/>
      <c r="G6676" s="326"/>
      <c r="H6676" s="326"/>
      <c r="P6676" s="318"/>
      <c r="Q6676" s="318"/>
      <c r="R6676" s="318"/>
      <c r="S6676" s="318"/>
      <c r="T6676" s="318"/>
      <c r="U6676" s="318"/>
      <c r="V6676" s="318"/>
      <c r="W6676" s="318"/>
      <c r="X6676" s="318"/>
      <c r="Y6676" s="318"/>
      <c r="Z6676" s="318"/>
      <c r="AA6676" s="318"/>
      <c r="AB6676" s="318"/>
      <c r="AC6676" s="318"/>
      <c r="AD6676" s="318"/>
    </row>
    <row r="6677" spans="2:30" s="323" customFormat="1" ht="12" customHeight="1">
      <c r="B6677" s="324"/>
      <c r="C6677" s="325"/>
      <c r="D6677" s="326"/>
      <c r="E6677" s="326"/>
      <c r="F6677" s="326"/>
      <c r="G6677" s="326"/>
      <c r="H6677" s="326"/>
      <c r="P6677" s="318"/>
      <c r="Q6677" s="318"/>
      <c r="R6677" s="318"/>
      <c r="S6677" s="318"/>
      <c r="T6677" s="318"/>
      <c r="U6677" s="318"/>
      <c r="V6677" s="318"/>
      <c r="W6677" s="318"/>
      <c r="X6677" s="318"/>
      <c r="Y6677" s="318"/>
      <c r="Z6677" s="318"/>
      <c r="AA6677" s="318"/>
      <c r="AB6677" s="318"/>
      <c r="AC6677" s="318"/>
      <c r="AD6677" s="318"/>
    </row>
    <row r="6678" spans="2:30" s="323" customFormat="1" ht="12" customHeight="1">
      <c r="B6678" s="324"/>
      <c r="C6678" s="325"/>
      <c r="D6678" s="326"/>
      <c r="E6678" s="326"/>
      <c r="F6678" s="326"/>
      <c r="G6678" s="326"/>
      <c r="H6678" s="326"/>
      <c r="P6678" s="318"/>
      <c r="Q6678" s="318"/>
      <c r="R6678" s="318"/>
      <c r="S6678" s="318"/>
      <c r="T6678" s="318"/>
      <c r="U6678" s="318"/>
      <c r="V6678" s="318"/>
      <c r="W6678" s="318"/>
      <c r="X6678" s="318"/>
      <c r="Y6678" s="318"/>
      <c r="Z6678" s="318"/>
      <c r="AA6678" s="318"/>
      <c r="AB6678" s="318"/>
      <c r="AC6678" s="318"/>
      <c r="AD6678" s="318"/>
    </row>
    <row r="6679" spans="2:30" s="323" customFormat="1" ht="12" customHeight="1">
      <c r="B6679" s="324"/>
      <c r="C6679" s="325"/>
      <c r="D6679" s="326"/>
      <c r="E6679" s="326"/>
      <c r="F6679" s="326"/>
      <c r="G6679" s="326"/>
      <c r="H6679" s="326"/>
      <c r="P6679" s="318"/>
      <c r="Q6679" s="318"/>
      <c r="R6679" s="318"/>
      <c r="S6679" s="318"/>
      <c r="T6679" s="318"/>
      <c r="U6679" s="318"/>
      <c r="V6679" s="318"/>
      <c r="W6679" s="318"/>
      <c r="X6679" s="318"/>
      <c r="Y6679" s="318"/>
      <c r="Z6679" s="318"/>
      <c r="AA6679" s="318"/>
      <c r="AB6679" s="318"/>
      <c r="AC6679" s="318"/>
      <c r="AD6679" s="318"/>
    </row>
    <row r="6680" spans="2:30" s="323" customFormat="1" ht="12" customHeight="1">
      <c r="B6680" s="324"/>
      <c r="C6680" s="325"/>
      <c r="D6680" s="326"/>
      <c r="E6680" s="326"/>
      <c r="F6680" s="326"/>
      <c r="G6680" s="326"/>
      <c r="H6680" s="326"/>
      <c r="P6680" s="318"/>
      <c r="Q6680" s="318"/>
      <c r="R6680" s="318"/>
      <c r="S6680" s="318"/>
      <c r="T6680" s="318"/>
      <c r="U6680" s="318"/>
      <c r="V6680" s="318"/>
      <c r="W6680" s="318"/>
      <c r="X6680" s="318"/>
      <c r="Y6680" s="318"/>
      <c r="Z6680" s="318"/>
      <c r="AA6680" s="318"/>
      <c r="AB6680" s="318"/>
      <c r="AC6680" s="318"/>
      <c r="AD6680" s="318"/>
    </row>
    <row r="6681" spans="2:30" s="323" customFormat="1" ht="12" customHeight="1">
      <c r="B6681" s="324"/>
      <c r="C6681" s="325"/>
      <c r="D6681" s="326"/>
      <c r="E6681" s="326"/>
      <c r="F6681" s="326"/>
      <c r="G6681" s="326"/>
      <c r="H6681" s="326"/>
      <c r="P6681" s="318"/>
      <c r="Q6681" s="318"/>
      <c r="R6681" s="318"/>
      <c r="S6681" s="318"/>
      <c r="T6681" s="318"/>
      <c r="U6681" s="318"/>
      <c r="V6681" s="318"/>
      <c r="W6681" s="318"/>
      <c r="X6681" s="318"/>
      <c r="Y6681" s="318"/>
      <c r="Z6681" s="318"/>
      <c r="AA6681" s="318"/>
      <c r="AB6681" s="318"/>
      <c r="AC6681" s="318"/>
      <c r="AD6681" s="318"/>
    </row>
    <row r="6682" spans="2:30" s="323" customFormat="1" ht="12" customHeight="1">
      <c r="B6682" s="324"/>
      <c r="C6682" s="325"/>
      <c r="D6682" s="326"/>
      <c r="E6682" s="326"/>
      <c r="F6682" s="326"/>
      <c r="G6682" s="326"/>
      <c r="H6682" s="326"/>
      <c r="P6682" s="318"/>
      <c r="Q6682" s="318"/>
      <c r="R6682" s="318"/>
      <c r="S6682" s="318"/>
      <c r="T6682" s="318"/>
      <c r="U6682" s="318"/>
      <c r="V6682" s="318"/>
      <c r="W6682" s="318"/>
      <c r="X6682" s="318"/>
      <c r="Y6682" s="318"/>
      <c r="Z6682" s="318"/>
      <c r="AA6682" s="318"/>
      <c r="AB6682" s="318"/>
      <c r="AC6682" s="318"/>
      <c r="AD6682" s="318"/>
    </row>
    <row r="6683" spans="2:30" s="323" customFormat="1" ht="12" customHeight="1">
      <c r="B6683" s="324"/>
      <c r="C6683" s="325"/>
      <c r="D6683" s="326"/>
      <c r="E6683" s="326"/>
      <c r="F6683" s="326"/>
      <c r="G6683" s="326"/>
      <c r="H6683" s="326"/>
      <c r="P6683" s="318"/>
      <c r="Q6683" s="318"/>
      <c r="R6683" s="318"/>
      <c r="S6683" s="318"/>
      <c r="T6683" s="318"/>
      <c r="U6683" s="318"/>
      <c r="V6683" s="318"/>
      <c r="W6683" s="318"/>
      <c r="X6683" s="318"/>
      <c r="Y6683" s="318"/>
      <c r="Z6683" s="318"/>
      <c r="AA6683" s="318"/>
      <c r="AB6683" s="318"/>
      <c r="AC6683" s="318"/>
      <c r="AD6683" s="318"/>
    </row>
    <row r="6684" spans="2:30" s="323" customFormat="1" ht="12" customHeight="1">
      <c r="B6684" s="324"/>
      <c r="C6684" s="325"/>
      <c r="D6684" s="326"/>
      <c r="E6684" s="326"/>
      <c r="F6684" s="326"/>
      <c r="G6684" s="326"/>
      <c r="H6684" s="326"/>
      <c r="P6684" s="318"/>
      <c r="Q6684" s="318"/>
      <c r="R6684" s="318"/>
      <c r="S6684" s="318"/>
      <c r="T6684" s="318"/>
      <c r="U6684" s="318"/>
      <c r="V6684" s="318"/>
      <c r="W6684" s="318"/>
      <c r="X6684" s="318"/>
      <c r="Y6684" s="318"/>
      <c r="Z6684" s="318"/>
      <c r="AA6684" s="318"/>
      <c r="AB6684" s="318"/>
      <c r="AC6684" s="318"/>
      <c r="AD6684" s="318"/>
    </row>
    <row r="6685" spans="2:30" s="323" customFormat="1" ht="12" customHeight="1">
      <c r="B6685" s="324"/>
      <c r="C6685" s="325"/>
      <c r="D6685" s="326"/>
      <c r="E6685" s="326"/>
      <c r="F6685" s="326"/>
      <c r="G6685" s="326"/>
      <c r="H6685" s="326"/>
      <c r="P6685" s="318"/>
      <c r="Q6685" s="318"/>
      <c r="R6685" s="318"/>
      <c r="S6685" s="318"/>
      <c r="T6685" s="318"/>
      <c r="U6685" s="318"/>
      <c r="V6685" s="318"/>
      <c r="W6685" s="318"/>
      <c r="X6685" s="318"/>
      <c r="Y6685" s="318"/>
      <c r="Z6685" s="318"/>
      <c r="AA6685" s="318"/>
      <c r="AB6685" s="318"/>
      <c r="AC6685" s="318"/>
      <c r="AD6685" s="318"/>
    </row>
    <row r="6686" spans="2:30" s="323" customFormat="1" ht="12" customHeight="1">
      <c r="B6686" s="324"/>
      <c r="C6686" s="325"/>
      <c r="D6686" s="326"/>
      <c r="E6686" s="326"/>
      <c r="F6686" s="326"/>
      <c r="G6686" s="326"/>
      <c r="H6686" s="326"/>
      <c r="P6686" s="318"/>
      <c r="Q6686" s="318"/>
      <c r="R6686" s="318"/>
      <c r="S6686" s="318"/>
      <c r="T6686" s="318"/>
      <c r="U6686" s="318"/>
      <c r="V6686" s="318"/>
      <c r="W6686" s="318"/>
      <c r="X6686" s="318"/>
      <c r="Y6686" s="318"/>
      <c r="Z6686" s="318"/>
      <c r="AA6686" s="318"/>
      <c r="AB6686" s="318"/>
      <c r="AC6686" s="318"/>
      <c r="AD6686" s="318"/>
    </row>
    <row r="6687" spans="2:30" s="323" customFormat="1" ht="12" customHeight="1">
      <c r="B6687" s="324"/>
      <c r="C6687" s="325"/>
      <c r="D6687" s="326"/>
      <c r="E6687" s="326"/>
      <c r="F6687" s="326"/>
      <c r="G6687" s="326"/>
      <c r="H6687" s="326"/>
      <c r="P6687" s="318"/>
      <c r="Q6687" s="318"/>
      <c r="R6687" s="318"/>
      <c r="S6687" s="318"/>
      <c r="T6687" s="318"/>
      <c r="U6687" s="318"/>
      <c r="V6687" s="318"/>
      <c r="W6687" s="318"/>
      <c r="X6687" s="318"/>
      <c r="Y6687" s="318"/>
      <c r="Z6687" s="318"/>
      <c r="AA6687" s="318"/>
      <c r="AB6687" s="318"/>
      <c r="AC6687" s="318"/>
      <c r="AD6687" s="318"/>
    </row>
    <row r="6688" spans="2:30" s="323" customFormat="1" ht="12" customHeight="1">
      <c r="B6688" s="324"/>
      <c r="C6688" s="325"/>
      <c r="D6688" s="326"/>
      <c r="E6688" s="326"/>
      <c r="F6688" s="326"/>
      <c r="G6688" s="326"/>
      <c r="H6688" s="326"/>
      <c r="P6688" s="318"/>
      <c r="Q6688" s="318"/>
      <c r="R6688" s="318"/>
      <c r="S6688" s="318"/>
      <c r="T6688" s="318"/>
      <c r="U6688" s="318"/>
      <c r="V6688" s="318"/>
      <c r="W6688" s="318"/>
      <c r="X6688" s="318"/>
      <c r="Y6688" s="318"/>
      <c r="Z6688" s="318"/>
      <c r="AA6688" s="318"/>
      <c r="AB6688" s="318"/>
      <c r="AC6688" s="318"/>
      <c r="AD6688" s="318"/>
    </row>
    <row r="6689" spans="2:30" s="323" customFormat="1" ht="12" customHeight="1">
      <c r="B6689" s="324"/>
      <c r="C6689" s="325"/>
      <c r="D6689" s="326"/>
      <c r="E6689" s="326"/>
      <c r="F6689" s="326"/>
      <c r="G6689" s="326"/>
      <c r="H6689" s="326"/>
      <c r="P6689" s="318"/>
      <c r="Q6689" s="318"/>
      <c r="R6689" s="318"/>
      <c r="S6689" s="318"/>
      <c r="T6689" s="318"/>
      <c r="U6689" s="318"/>
      <c r="V6689" s="318"/>
      <c r="W6689" s="318"/>
      <c r="X6689" s="318"/>
      <c r="Y6689" s="318"/>
      <c r="Z6689" s="318"/>
      <c r="AA6689" s="318"/>
      <c r="AB6689" s="318"/>
      <c r="AC6689" s="318"/>
      <c r="AD6689" s="318"/>
    </row>
    <row r="6690" spans="2:30" s="323" customFormat="1" ht="12" customHeight="1">
      <c r="B6690" s="324"/>
      <c r="C6690" s="325"/>
      <c r="D6690" s="326"/>
      <c r="E6690" s="326"/>
      <c r="F6690" s="326"/>
      <c r="G6690" s="326"/>
      <c r="H6690" s="326"/>
      <c r="P6690" s="318"/>
      <c r="Q6690" s="318"/>
      <c r="R6690" s="318"/>
      <c r="S6690" s="318"/>
      <c r="T6690" s="318"/>
      <c r="U6690" s="318"/>
      <c r="V6690" s="318"/>
      <c r="W6690" s="318"/>
      <c r="X6690" s="318"/>
      <c r="Y6690" s="318"/>
      <c r="Z6690" s="318"/>
      <c r="AA6690" s="318"/>
      <c r="AB6690" s="318"/>
      <c r="AC6690" s="318"/>
      <c r="AD6690" s="318"/>
    </row>
    <row r="6691" spans="2:30" s="323" customFormat="1" ht="12" customHeight="1">
      <c r="B6691" s="324"/>
      <c r="C6691" s="325"/>
      <c r="D6691" s="326"/>
      <c r="E6691" s="326"/>
      <c r="F6691" s="326"/>
      <c r="G6691" s="326"/>
      <c r="H6691" s="326"/>
      <c r="P6691" s="318"/>
      <c r="Q6691" s="318"/>
      <c r="R6691" s="318"/>
      <c r="S6691" s="318"/>
      <c r="T6691" s="318"/>
      <c r="U6691" s="318"/>
      <c r="V6691" s="318"/>
      <c r="W6691" s="318"/>
      <c r="X6691" s="318"/>
      <c r="Y6691" s="318"/>
      <c r="Z6691" s="318"/>
      <c r="AA6691" s="318"/>
      <c r="AB6691" s="318"/>
      <c r="AC6691" s="318"/>
      <c r="AD6691" s="318"/>
    </row>
    <row r="6692" spans="2:30" s="323" customFormat="1" ht="12" customHeight="1">
      <c r="B6692" s="324"/>
      <c r="C6692" s="325"/>
      <c r="D6692" s="326"/>
      <c r="E6692" s="326"/>
      <c r="F6692" s="326"/>
      <c r="G6692" s="326"/>
      <c r="H6692" s="326"/>
      <c r="P6692" s="318"/>
      <c r="Q6692" s="318"/>
      <c r="R6692" s="318"/>
      <c r="S6692" s="318"/>
      <c r="T6692" s="318"/>
      <c r="U6692" s="318"/>
      <c r="V6692" s="318"/>
      <c r="W6692" s="318"/>
      <c r="X6692" s="318"/>
      <c r="Y6692" s="318"/>
      <c r="Z6692" s="318"/>
      <c r="AA6692" s="318"/>
      <c r="AB6692" s="318"/>
      <c r="AC6692" s="318"/>
      <c r="AD6692" s="318"/>
    </row>
    <row r="6693" spans="2:30" s="323" customFormat="1" ht="12" customHeight="1">
      <c r="B6693" s="324"/>
      <c r="C6693" s="325"/>
      <c r="D6693" s="326"/>
      <c r="E6693" s="326"/>
      <c r="F6693" s="326"/>
      <c r="G6693" s="326"/>
      <c r="H6693" s="326"/>
      <c r="P6693" s="318"/>
      <c r="Q6693" s="318"/>
      <c r="R6693" s="318"/>
      <c r="S6693" s="318"/>
      <c r="T6693" s="318"/>
      <c r="U6693" s="318"/>
      <c r="V6693" s="318"/>
      <c r="W6693" s="318"/>
      <c r="X6693" s="318"/>
      <c r="Y6693" s="318"/>
      <c r="Z6693" s="318"/>
      <c r="AA6693" s="318"/>
      <c r="AB6693" s="318"/>
      <c r="AC6693" s="318"/>
      <c r="AD6693" s="318"/>
    </row>
    <row r="6694" spans="2:30" s="323" customFormat="1" ht="12" customHeight="1">
      <c r="B6694" s="324"/>
      <c r="C6694" s="325"/>
      <c r="D6694" s="326"/>
      <c r="E6694" s="326"/>
      <c r="F6694" s="326"/>
      <c r="G6694" s="326"/>
      <c r="H6694" s="326"/>
      <c r="P6694" s="318"/>
      <c r="Q6694" s="318"/>
      <c r="R6694" s="318"/>
      <c r="S6694" s="318"/>
      <c r="T6694" s="318"/>
      <c r="U6694" s="318"/>
      <c r="V6694" s="318"/>
      <c r="W6694" s="318"/>
      <c r="X6694" s="318"/>
      <c r="Y6694" s="318"/>
      <c r="Z6694" s="318"/>
      <c r="AA6694" s="318"/>
      <c r="AB6694" s="318"/>
      <c r="AC6694" s="318"/>
      <c r="AD6694" s="318"/>
    </row>
    <row r="6695" spans="2:30" s="323" customFormat="1" ht="12" customHeight="1">
      <c r="B6695" s="324"/>
      <c r="C6695" s="325"/>
      <c r="D6695" s="326"/>
      <c r="E6695" s="326"/>
      <c r="F6695" s="326"/>
      <c r="G6695" s="326"/>
      <c r="H6695" s="326"/>
      <c r="P6695" s="318"/>
      <c r="Q6695" s="318"/>
      <c r="R6695" s="318"/>
      <c r="S6695" s="318"/>
      <c r="T6695" s="318"/>
      <c r="U6695" s="318"/>
      <c r="V6695" s="318"/>
      <c r="W6695" s="318"/>
      <c r="X6695" s="318"/>
      <c r="Y6695" s="318"/>
      <c r="Z6695" s="318"/>
      <c r="AA6695" s="318"/>
      <c r="AB6695" s="318"/>
      <c r="AC6695" s="318"/>
      <c r="AD6695" s="318"/>
    </row>
    <row r="6696" spans="2:30" s="323" customFormat="1" ht="12" customHeight="1">
      <c r="B6696" s="324"/>
      <c r="C6696" s="325"/>
      <c r="D6696" s="326"/>
      <c r="E6696" s="326"/>
      <c r="F6696" s="326"/>
      <c r="G6696" s="326"/>
      <c r="H6696" s="326"/>
      <c r="P6696" s="318"/>
      <c r="Q6696" s="318"/>
      <c r="R6696" s="318"/>
      <c r="S6696" s="318"/>
      <c r="T6696" s="318"/>
      <c r="U6696" s="318"/>
      <c r="V6696" s="318"/>
      <c r="W6696" s="318"/>
      <c r="X6696" s="318"/>
      <c r="Y6696" s="318"/>
      <c r="Z6696" s="318"/>
      <c r="AA6696" s="318"/>
      <c r="AB6696" s="318"/>
      <c r="AC6696" s="318"/>
      <c r="AD6696" s="318"/>
    </row>
    <row r="6697" spans="2:30" s="323" customFormat="1" ht="12" customHeight="1">
      <c r="B6697" s="324"/>
      <c r="C6697" s="325"/>
      <c r="D6697" s="326"/>
      <c r="E6697" s="326"/>
      <c r="F6697" s="326"/>
      <c r="G6697" s="326"/>
      <c r="H6697" s="326"/>
      <c r="P6697" s="318"/>
      <c r="Q6697" s="318"/>
      <c r="R6697" s="318"/>
      <c r="S6697" s="318"/>
      <c r="T6697" s="318"/>
      <c r="U6697" s="318"/>
      <c r="V6697" s="318"/>
      <c r="W6697" s="318"/>
      <c r="X6697" s="318"/>
      <c r="Y6697" s="318"/>
      <c r="Z6697" s="318"/>
      <c r="AA6697" s="318"/>
      <c r="AB6697" s="318"/>
      <c r="AC6697" s="318"/>
      <c r="AD6697" s="318"/>
    </row>
    <row r="6698" spans="2:30" s="323" customFormat="1" ht="12" customHeight="1">
      <c r="B6698" s="324"/>
      <c r="C6698" s="325"/>
      <c r="D6698" s="326"/>
      <c r="E6698" s="326"/>
      <c r="F6698" s="326"/>
      <c r="G6698" s="326"/>
      <c r="H6698" s="326"/>
      <c r="P6698" s="318"/>
      <c r="Q6698" s="318"/>
      <c r="R6698" s="318"/>
      <c r="S6698" s="318"/>
      <c r="T6698" s="318"/>
      <c r="U6698" s="318"/>
      <c r="V6698" s="318"/>
      <c r="W6698" s="318"/>
      <c r="X6698" s="318"/>
      <c r="Y6698" s="318"/>
      <c r="Z6698" s="318"/>
      <c r="AA6698" s="318"/>
      <c r="AB6698" s="318"/>
      <c r="AC6698" s="318"/>
      <c r="AD6698" s="318"/>
    </row>
    <row r="6699" spans="2:30" s="323" customFormat="1" ht="12" customHeight="1">
      <c r="B6699" s="324"/>
      <c r="C6699" s="325"/>
      <c r="D6699" s="326"/>
      <c r="E6699" s="326"/>
      <c r="F6699" s="326"/>
      <c r="G6699" s="326"/>
      <c r="H6699" s="326"/>
      <c r="P6699" s="318"/>
      <c r="Q6699" s="318"/>
      <c r="R6699" s="318"/>
      <c r="S6699" s="318"/>
      <c r="T6699" s="318"/>
      <c r="U6699" s="318"/>
      <c r="V6699" s="318"/>
      <c r="W6699" s="318"/>
      <c r="X6699" s="318"/>
      <c r="Y6699" s="318"/>
      <c r="Z6699" s="318"/>
      <c r="AA6699" s="318"/>
      <c r="AB6699" s="318"/>
      <c r="AC6699" s="318"/>
      <c r="AD6699" s="318"/>
    </row>
    <row r="6700" spans="2:30" s="323" customFormat="1" ht="12" customHeight="1">
      <c r="B6700" s="324"/>
      <c r="C6700" s="325"/>
      <c r="D6700" s="326"/>
      <c r="E6700" s="326"/>
      <c r="F6700" s="326"/>
      <c r="G6700" s="326"/>
      <c r="H6700" s="326"/>
      <c r="P6700" s="318"/>
      <c r="Q6700" s="318"/>
      <c r="R6700" s="318"/>
      <c r="S6700" s="318"/>
      <c r="T6700" s="318"/>
      <c r="U6700" s="318"/>
      <c r="V6700" s="318"/>
      <c r="W6700" s="318"/>
      <c r="X6700" s="318"/>
      <c r="Y6700" s="318"/>
      <c r="Z6700" s="318"/>
      <c r="AA6700" s="318"/>
      <c r="AB6700" s="318"/>
      <c r="AC6700" s="318"/>
      <c r="AD6700" s="318"/>
    </row>
    <row r="6701" spans="2:30" s="323" customFormat="1" ht="12" customHeight="1">
      <c r="B6701" s="324"/>
      <c r="C6701" s="325"/>
      <c r="D6701" s="326"/>
      <c r="E6701" s="326"/>
      <c r="F6701" s="326"/>
      <c r="G6701" s="326"/>
      <c r="H6701" s="326"/>
      <c r="P6701" s="318"/>
      <c r="Q6701" s="318"/>
      <c r="R6701" s="318"/>
      <c r="S6701" s="318"/>
      <c r="T6701" s="318"/>
      <c r="U6701" s="318"/>
      <c r="V6701" s="318"/>
      <c r="W6701" s="318"/>
      <c r="X6701" s="318"/>
      <c r="Y6701" s="318"/>
      <c r="Z6701" s="318"/>
      <c r="AA6701" s="318"/>
      <c r="AB6701" s="318"/>
      <c r="AC6701" s="318"/>
      <c r="AD6701" s="318"/>
    </row>
    <row r="6702" spans="2:30" s="323" customFormat="1" ht="12" customHeight="1">
      <c r="B6702" s="324"/>
      <c r="C6702" s="325"/>
      <c r="D6702" s="326"/>
      <c r="E6702" s="326"/>
      <c r="F6702" s="326"/>
      <c r="G6702" s="326"/>
      <c r="H6702" s="326"/>
      <c r="P6702" s="318"/>
      <c r="Q6702" s="318"/>
      <c r="R6702" s="318"/>
      <c r="S6702" s="318"/>
      <c r="T6702" s="318"/>
      <c r="U6702" s="318"/>
      <c r="V6702" s="318"/>
      <c r="W6702" s="318"/>
      <c r="X6702" s="318"/>
      <c r="Y6702" s="318"/>
      <c r="Z6702" s="318"/>
      <c r="AA6702" s="318"/>
      <c r="AB6702" s="318"/>
      <c r="AC6702" s="318"/>
      <c r="AD6702" s="318"/>
    </row>
    <row r="6703" spans="2:30" s="323" customFormat="1" ht="12" customHeight="1">
      <c r="B6703" s="324"/>
      <c r="C6703" s="325"/>
      <c r="D6703" s="326"/>
      <c r="E6703" s="326"/>
      <c r="F6703" s="326"/>
      <c r="G6703" s="326"/>
      <c r="H6703" s="326"/>
      <c r="P6703" s="318"/>
      <c r="Q6703" s="318"/>
      <c r="R6703" s="318"/>
      <c r="S6703" s="318"/>
      <c r="T6703" s="318"/>
      <c r="U6703" s="318"/>
      <c r="V6703" s="318"/>
      <c r="W6703" s="318"/>
      <c r="X6703" s="318"/>
      <c r="Y6703" s="318"/>
      <c r="Z6703" s="318"/>
      <c r="AA6703" s="318"/>
      <c r="AB6703" s="318"/>
      <c r="AC6703" s="318"/>
      <c r="AD6703" s="318"/>
    </row>
    <row r="6704" spans="2:30" s="323" customFormat="1" ht="12" customHeight="1">
      <c r="B6704" s="324"/>
      <c r="C6704" s="325"/>
      <c r="D6704" s="326"/>
      <c r="E6704" s="326"/>
      <c r="F6704" s="326"/>
      <c r="G6704" s="326"/>
      <c r="H6704" s="326"/>
      <c r="P6704" s="318"/>
      <c r="Q6704" s="318"/>
      <c r="R6704" s="318"/>
      <c r="S6704" s="318"/>
      <c r="T6704" s="318"/>
      <c r="U6704" s="318"/>
      <c r="V6704" s="318"/>
      <c r="W6704" s="318"/>
      <c r="X6704" s="318"/>
      <c r="Y6704" s="318"/>
      <c r="Z6704" s="318"/>
      <c r="AA6704" s="318"/>
      <c r="AB6704" s="318"/>
      <c r="AC6704" s="318"/>
      <c r="AD6704" s="318"/>
    </row>
    <row r="6705" spans="2:30" s="323" customFormat="1" ht="12" customHeight="1">
      <c r="B6705" s="324"/>
      <c r="C6705" s="325"/>
      <c r="D6705" s="326"/>
      <c r="E6705" s="326"/>
      <c r="F6705" s="326"/>
      <c r="G6705" s="326"/>
      <c r="H6705" s="326"/>
      <c r="P6705" s="318"/>
      <c r="Q6705" s="318"/>
      <c r="R6705" s="318"/>
      <c r="S6705" s="318"/>
      <c r="T6705" s="318"/>
      <c r="U6705" s="318"/>
      <c r="V6705" s="318"/>
      <c r="W6705" s="318"/>
      <c r="X6705" s="318"/>
      <c r="Y6705" s="318"/>
      <c r="Z6705" s="318"/>
      <c r="AA6705" s="318"/>
      <c r="AB6705" s="318"/>
      <c r="AC6705" s="318"/>
      <c r="AD6705" s="318"/>
    </row>
    <row r="6706" spans="2:30" s="323" customFormat="1" ht="12" customHeight="1">
      <c r="B6706" s="324"/>
      <c r="C6706" s="325"/>
      <c r="D6706" s="326"/>
      <c r="E6706" s="326"/>
      <c r="F6706" s="326"/>
      <c r="G6706" s="326"/>
      <c r="H6706" s="326"/>
      <c r="P6706" s="318"/>
      <c r="Q6706" s="318"/>
      <c r="R6706" s="318"/>
      <c r="S6706" s="318"/>
      <c r="T6706" s="318"/>
      <c r="U6706" s="318"/>
      <c r="V6706" s="318"/>
      <c r="W6706" s="318"/>
      <c r="X6706" s="318"/>
      <c r="Y6706" s="318"/>
      <c r="Z6706" s="318"/>
      <c r="AA6706" s="318"/>
      <c r="AB6706" s="318"/>
      <c r="AC6706" s="318"/>
      <c r="AD6706" s="318"/>
    </row>
    <row r="6707" spans="2:30" s="323" customFormat="1" ht="12" customHeight="1">
      <c r="B6707" s="324"/>
      <c r="C6707" s="325"/>
      <c r="D6707" s="326"/>
      <c r="E6707" s="326"/>
      <c r="F6707" s="326"/>
      <c r="G6707" s="326"/>
      <c r="H6707" s="326"/>
      <c r="P6707" s="318"/>
      <c r="Q6707" s="318"/>
      <c r="R6707" s="318"/>
      <c r="S6707" s="318"/>
      <c r="T6707" s="318"/>
      <c r="U6707" s="318"/>
      <c r="V6707" s="318"/>
      <c r="W6707" s="318"/>
      <c r="X6707" s="318"/>
      <c r="Y6707" s="318"/>
      <c r="Z6707" s="318"/>
      <c r="AA6707" s="318"/>
      <c r="AB6707" s="318"/>
      <c r="AC6707" s="318"/>
      <c r="AD6707" s="318"/>
    </row>
    <row r="6708" spans="2:30" s="323" customFormat="1" ht="12" customHeight="1">
      <c r="B6708" s="324"/>
      <c r="C6708" s="325"/>
      <c r="D6708" s="326"/>
      <c r="E6708" s="326"/>
      <c r="F6708" s="326"/>
      <c r="G6708" s="326"/>
      <c r="H6708" s="326"/>
      <c r="P6708" s="318"/>
      <c r="Q6708" s="318"/>
      <c r="R6708" s="318"/>
      <c r="S6708" s="318"/>
      <c r="T6708" s="318"/>
      <c r="U6708" s="318"/>
      <c r="V6708" s="318"/>
      <c r="W6708" s="318"/>
      <c r="X6708" s="318"/>
      <c r="Y6708" s="318"/>
      <c r="Z6708" s="318"/>
      <c r="AA6708" s="318"/>
      <c r="AB6708" s="318"/>
      <c r="AC6708" s="318"/>
      <c r="AD6708" s="318"/>
    </row>
    <row r="6709" spans="2:30" s="323" customFormat="1" ht="12" customHeight="1">
      <c r="B6709" s="324"/>
      <c r="C6709" s="325"/>
      <c r="D6709" s="326"/>
      <c r="E6709" s="326"/>
      <c r="F6709" s="326"/>
      <c r="G6709" s="326"/>
      <c r="H6709" s="326"/>
      <c r="P6709" s="318"/>
      <c r="Q6709" s="318"/>
      <c r="R6709" s="318"/>
      <c r="S6709" s="318"/>
      <c r="T6709" s="318"/>
      <c r="U6709" s="318"/>
      <c r="V6709" s="318"/>
      <c r="W6709" s="318"/>
      <c r="X6709" s="318"/>
      <c r="Y6709" s="318"/>
      <c r="Z6709" s="318"/>
      <c r="AA6709" s="318"/>
      <c r="AB6709" s="318"/>
      <c r="AC6709" s="318"/>
      <c r="AD6709" s="318"/>
    </row>
    <row r="6710" spans="2:30" s="323" customFormat="1" ht="12" customHeight="1">
      <c r="B6710" s="324"/>
      <c r="C6710" s="325"/>
      <c r="D6710" s="326"/>
      <c r="E6710" s="326"/>
      <c r="F6710" s="326"/>
      <c r="G6710" s="326"/>
      <c r="H6710" s="326"/>
      <c r="P6710" s="318"/>
      <c r="Q6710" s="318"/>
      <c r="R6710" s="318"/>
      <c r="S6710" s="318"/>
      <c r="T6710" s="318"/>
      <c r="U6710" s="318"/>
      <c r="V6710" s="318"/>
      <c r="W6710" s="318"/>
      <c r="X6710" s="318"/>
      <c r="Y6710" s="318"/>
      <c r="Z6710" s="318"/>
      <c r="AA6710" s="318"/>
      <c r="AB6710" s="318"/>
      <c r="AC6710" s="318"/>
      <c r="AD6710" s="318"/>
    </row>
    <row r="6711" spans="2:30" s="323" customFormat="1" ht="12" customHeight="1">
      <c r="B6711" s="324"/>
      <c r="C6711" s="325"/>
      <c r="D6711" s="326"/>
      <c r="E6711" s="326"/>
      <c r="F6711" s="326"/>
      <c r="G6711" s="326"/>
      <c r="H6711" s="326"/>
      <c r="P6711" s="318"/>
      <c r="Q6711" s="318"/>
      <c r="R6711" s="318"/>
      <c r="S6711" s="318"/>
      <c r="T6711" s="318"/>
      <c r="U6711" s="318"/>
      <c r="V6711" s="318"/>
      <c r="W6711" s="318"/>
      <c r="X6711" s="318"/>
      <c r="Y6711" s="318"/>
      <c r="Z6711" s="318"/>
      <c r="AA6711" s="318"/>
      <c r="AB6711" s="318"/>
      <c r="AC6711" s="318"/>
      <c r="AD6711" s="318"/>
    </row>
    <row r="6712" spans="2:30" s="323" customFormat="1" ht="12" customHeight="1">
      <c r="B6712" s="324"/>
      <c r="C6712" s="325"/>
      <c r="D6712" s="326"/>
      <c r="E6712" s="326"/>
      <c r="F6712" s="326"/>
      <c r="G6712" s="326"/>
      <c r="H6712" s="326"/>
      <c r="P6712" s="318"/>
      <c r="Q6712" s="318"/>
      <c r="R6712" s="318"/>
      <c r="S6712" s="318"/>
      <c r="T6712" s="318"/>
      <c r="U6712" s="318"/>
      <c r="V6712" s="318"/>
      <c r="W6712" s="318"/>
      <c r="X6712" s="318"/>
      <c r="Y6712" s="318"/>
      <c r="Z6712" s="318"/>
      <c r="AA6712" s="318"/>
      <c r="AB6712" s="318"/>
      <c r="AC6712" s="318"/>
      <c r="AD6712" s="318"/>
    </row>
    <row r="6713" spans="2:30" s="323" customFormat="1" ht="12" customHeight="1">
      <c r="B6713" s="324"/>
      <c r="C6713" s="325"/>
      <c r="D6713" s="326"/>
      <c r="E6713" s="326"/>
      <c r="F6713" s="326"/>
      <c r="G6713" s="326"/>
      <c r="H6713" s="326"/>
      <c r="P6713" s="318"/>
      <c r="Q6713" s="318"/>
      <c r="R6713" s="318"/>
      <c r="S6713" s="318"/>
      <c r="T6713" s="318"/>
      <c r="U6713" s="318"/>
      <c r="V6713" s="318"/>
      <c r="W6713" s="318"/>
      <c r="X6713" s="318"/>
      <c r="Y6713" s="318"/>
      <c r="Z6713" s="318"/>
      <c r="AA6713" s="318"/>
      <c r="AB6713" s="318"/>
      <c r="AC6713" s="318"/>
      <c r="AD6713" s="318"/>
    </row>
    <row r="6714" spans="2:30" s="323" customFormat="1" ht="12" customHeight="1">
      <c r="B6714" s="324"/>
      <c r="C6714" s="325"/>
      <c r="D6714" s="326"/>
      <c r="E6714" s="326"/>
      <c r="F6714" s="326"/>
      <c r="G6714" s="326"/>
      <c r="H6714" s="326"/>
      <c r="P6714" s="318"/>
      <c r="Q6714" s="318"/>
      <c r="R6714" s="318"/>
      <c r="S6714" s="318"/>
      <c r="T6714" s="318"/>
      <c r="U6714" s="318"/>
      <c r="V6714" s="318"/>
      <c r="W6714" s="318"/>
      <c r="X6714" s="318"/>
      <c r="Y6714" s="318"/>
      <c r="Z6714" s="318"/>
      <c r="AA6714" s="318"/>
      <c r="AB6714" s="318"/>
      <c r="AC6714" s="318"/>
      <c r="AD6714" s="318"/>
    </row>
    <row r="6715" spans="2:30" s="323" customFormat="1" ht="12" customHeight="1">
      <c r="B6715" s="324"/>
      <c r="C6715" s="325"/>
      <c r="D6715" s="326"/>
      <c r="E6715" s="326"/>
      <c r="F6715" s="326"/>
      <c r="G6715" s="326"/>
      <c r="H6715" s="326"/>
      <c r="P6715" s="318"/>
      <c r="Q6715" s="318"/>
      <c r="R6715" s="318"/>
      <c r="S6715" s="318"/>
      <c r="T6715" s="318"/>
      <c r="U6715" s="318"/>
      <c r="V6715" s="318"/>
      <c r="W6715" s="318"/>
      <c r="X6715" s="318"/>
      <c r="Y6715" s="318"/>
      <c r="Z6715" s="318"/>
      <c r="AA6715" s="318"/>
      <c r="AB6715" s="318"/>
      <c r="AC6715" s="318"/>
      <c r="AD6715" s="318"/>
    </row>
    <row r="6716" spans="2:30" s="323" customFormat="1" ht="12" customHeight="1">
      <c r="B6716" s="324"/>
      <c r="C6716" s="325"/>
      <c r="D6716" s="326"/>
      <c r="E6716" s="326"/>
      <c r="F6716" s="326"/>
      <c r="G6716" s="326"/>
      <c r="H6716" s="326"/>
      <c r="P6716" s="318"/>
      <c r="Q6716" s="318"/>
      <c r="R6716" s="318"/>
      <c r="S6716" s="318"/>
      <c r="T6716" s="318"/>
      <c r="U6716" s="318"/>
      <c r="V6716" s="318"/>
      <c r="W6716" s="318"/>
      <c r="X6716" s="318"/>
      <c r="Y6716" s="318"/>
      <c r="Z6716" s="318"/>
      <c r="AA6716" s="318"/>
      <c r="AB6716" s="318"/>
      <c r="AC6716" s="318"/>
      <c r="AD6716" s="318"/>
    </row>
    <row r="6717" spans="2:30" s="323" customFormat="1" ht="12" customHeight="1">
      <c r="B6717" s="324"/>
      <c r="C6717" s="325"/>
      <c r="D6717" s="326"/>
      <c r="E6717" s="326"/>
      <c r="F6717" s="326"/>
      <c r="G6717" s="326"/>
      <c r="H6717" s="326"/>
      <c r="P6717" s="318"/>
      <c r="Q6717" s="318"/>
      <c r="R6717" s="318"/>
      <c r="S6717" s="318"/>
      <c r="T6717" s="318"/>
      <c r="U6717" s="318"/>
      <c r="V6717" s="318"/>
      <c r="W6717" s="318"/>
      <c r="X6717" s="318"/>
      <c r="Y6717" s="318"/>
      <c r="Z6717" s="318"/>
      <c r="AA6717" s="318"/>
      <c r="AB6717" s="318"/>
      <c r="AC6717" s="318"/>
      <c r="AD6717" s="318"/>
    </row>
    <row r="6718" spans="2:30" s="323" customFormat="1" ht="12" customHeight="1">
      <c r="B6718" s="324"/>
      <c r="C6718" s="325"/>
      <c r="D6718" s="326"/>
      <c r="E6718" s="326"/>
      <c r="F6718" s="326"/>
      <c r="G6718" s="326"/>
      <c r="H6718" s="326"/>
      <c r="P6718" s="318"/>
      <c r="Q6718" s="318"/>
      <c r="R6718" s="318"/>
      <c r="S6718" s="318"/>
      <c r="T6718" s="318"/>
      <c r="U6718" s="318"/>
      <c r="V6718" s="318"/>
      <c r="W6718" s="318"/>
      <c r="X6718" s="318"/>
      <c r="Y6718" s="318"/>
      <c r="Z6718" s="318"/>
      <c r="AA6718" s="318"/>
      <c r="AB6718" s="318"/>
      <c r="AC6718" s="318"/>
      <c r="AD6718" s="318"/>
    </row>
    <row r="6719" spans="2:30" s="323" customFormat="1" ht="12" customHeight="1">
      <c r="B6719" s="324"/>
      <c r="C6719" s="325"/>
      <c r="D6719" s="326"/>
      <c r="E6719" s="326"/>
      <c r="F6719" s="326"/>
      <c r="G6719" s="326"/>
      <c r="H6719" s="326"/>
      <c r="P6719" s="318"/>
      <c r="Q6719" s="318"/>
      <c r="R6719" s="318"/>
      <c r="S6719" s="318"/>
      <c r="T6719" s="318"/>
      <c r="U6719" s="318"/>
      <c r="V6719" s="318"/>
      <c r="W6719" s="318"/>
      <c r="X6719" s="318"/>
      <c r="Y6719" s="318"/>
      <c r="Z6719" s="318"/>
      <c r="AA6719" s="318"/>
      <c r="AB6719" s="318"/>
      <c r="AC6719" s="318"/>
      <c r="AD6719" s="318"/>
    </row>
    <row r="6720" spans="2:30" s="323" customFormat="1" ht="12" customHeight="1">
      <c r="B6720" s="324"/>
      <c r="C6720" s="325"/>
      <c r="D6720" s="326"/>
      <c r="E6720" s="326"/>
      <c r="F6720" s="326"/>
      <c r="G6720" s="326"/>
      <c r="H6720" s="326"/>
      <c r="P6720" s="318"/>
      <c r="Q6720" s="318"/>
      <c r="R6720" s="318"/>
      <c r="S6720" s="318"/>
      <c r="T6720" s="318"/>
      <c r="U6720" s="318"/>
      <c r="V6720" s="318"/>
      <c r="W6720" s="318"/>
      <c r="X6720" s="318"/>
      <c r="Y6720" s="318"/>
      <c r="Z6720" s="318"/>
      <c r="AA6720" s="318"/>
      <c r="AB6720" s="318"/>
      <c r="AC6720" s="318"/>
      <c r="AD6720" s="318"/>
    </row>
    <row r="6721" spans="2:30" s="323" customFormat="1" ht="12" customHeight="1">
      <c r="B6721" s="324"/>
      <c r="C6721" s="325"/>
      <c r="D6721" s="326"/>
      <c r="E6721" s="326"/>
      <c r="F6721" s="326"/>
      <c r="G6721" s="326"/>
      <c r="H6721" s="326"/>
      <c r="P6721" s="318"/>
      <c r="Q6721" s="318"/>
      <c r="R6721" s="318"/>
      <c r="S6721" s="318"/>
      <c r="T6721" s="318"/>
      <c r="U6721" s="318"/>
      <c r="V6721" s="318"/>
      <c r="W6721" s="318"/>
      <c r="X6721" s="318"/>
      <c r="Y6721" s="318"/>
      <c r="Z6721" s="318"/>
      <c r="AA6721" s="318"/>
      <c r="AB6721" s="318"/>
      <c r="AC6721" s="318"/>
      <c r="AD6721" s="318"/>
    </row>
    <row r="6722" spans="2:30" s="323" customFormat="1" ht="12" customHeight="1">
      <c r="B6722" s="324"/>
      <c r="C6722" s="325"/>
      <c r="D6722" s="326"/>
      <c r="E6722" s="326"/>
      <c r="F6722" s="326"/>
      <c r="G6722" s="326"/>
      <c r="H6722" s="326"/>
      <c r="P6722" s="318"/>
      <c r="Q6722" s="318"/>
      <c r="R6722" s="318"/>
      <c r="S6722" s="318"/>
      <c r="T6722" s="318"/>
      <c r="U6722" s="318"/>
      <c r="V6722" s="318"/>
      <c r="W6722" s="318"/>
      <c r="X6722" s="318"/>
      <c r="Y6722" s="318"/>
      <c r="Z6722" s="318"/>
      <c r="AA6722" s="318"/>
      <c r="AB6722" s="318"/>
      <c r="AC6722" s="318"/>
      <c r="AD6722" s="318"/>
    </row>
    <row r="6723" spans="2:30" s="323" customFormat="1" ht="12" customHeight="1">
      <c r="B6723" s="324"/>
      <c r="C6723" s="325"/>
      <c r="D6723" s="326"/>
      <c r="E6723" s="326"/>
      <c r="F6723" s="326"/>
      <c r="G6723" s="326"/>
      <c r="H6723" s="326"/>
      <c r="P6723" s="318"/>
      <c r="Q6723" s="318"/>
      <c r="R6723" s="318"/>
      <c r="S6723" s="318"/>
      <c r="T6723" s="318"/>
      <c r="U6723" s="318"/>
      <c r="V6723" s="318"/>
      <c r="W6723" s="318"/>
      <c r="X6723" s="318"/>
      <c r="Y6723" s="318"/>
      <c r="Z6723" s="318"/>
      <c r="AA6723" s="318"/>
      <c r="AB6723" s="318"/>
      <c r="AC6723" s="318"/>
      <c r="AD6723" s="318"/>
    </row>
    <row r="6724" spans="2:30" s="323" customFormat="1" ht="12" customHeight="1">
      <c r="B6724" s="324"/>
      <c r="C6724" s="325"/>
      <c r="D6724" s="326"/>
      <c r="E6724" s="326"/>
      <c r="F6724" s="326"/>
      <c r="G6724" s="326"/>
      <c r="H6724" s="326"/>
      <c r="P6724" s="318"/>
      <c r="Q6724" s="318"/>
      <c r="R6724" s="318"/>
      <c r="S6724" s="318"/>
      <c r="T6724" s="318"/>
      <c r="U6724" s="318"/>
      <c r="V6724" s="318"/>
      <c r="W6724" s="318"/>
      <c r="X6724" s="318"/>
      <c r="Y6724" s="318"/>
      <c r="Z6724" s="318"/>
      <c r="AA6724" s="318"/>
      <c r="AB6724" s="318"/>
      <c r="AC6724" s="318"/>
      <c r="AD6724" s="318"/>
    </row>
    <row r="6725" spans="2:30" s="323" customFormat="1" ht="12" customHeight="1">
      <c r="B6725" s="324"/>
      <c r="C6725" s="325"/>
      <c r="D6725" s="326"/>
      <c r="E6725" s="326"/>
      <c r="F6725" s="326"/>
      <c r="G6725" s="326"/>
      <c r="H6725" s="326"/>
      <c r="P6725" s="318"/>
      <c r="Q6725" s="318"/>
      <c r="R6725" s="318"/>
      <c r="S6725" s="318"/>
      <c r="T6725" s="318"/>
      <c r="U6725" s="318"/>
      <c r="V6725" s="318"/>
      <c r="W6725" s="318"/>
      <c r="X6725" s="318"/>
      <c r="Y6725" s="318"/>
      <c r="Z6725" s="318"/>
      <c r="AA6725" s="318"/>
      <c r="AB6725" s="318"/>
      <c r="AC6725" s="318"/>
      <c r="AD6725" s="318"/>
    </row>
    <row r="6726" spans="2:30" s="323" customFormat="1" ht="12" customHeight="1">
      <c r="B6726" s="324"/>
      <c r="C6726" s="325"/>
      <c r="D6726" s="326"/>
      <c r="E6726" s="326"/>
      <c r="F6726" s="326"/>
      <c r="G6726" s="326"/>
      <c r="H6726" s="326"/>
      <c r="P6726" s="318"/>
      <c r="Q6726" s="318"/>
      <c r="R6726" s="318"/>
      <c r="S6726" s="318"/>
      <c r="T6726" s="318"/>
      <c r="U6726" s="318"/>
      <c r="V6726" s="318"/>
      <c r="W6726" s="318"/>
      <c r="X6726" s="318"/>
      <c r="Y6726" s="318"/>
      <c r="Z6726" s="318"/>
      <c r="AA6726" s="318"/>
      <c r="AB6726" s="318"/>
      <c r="AC6726" s="318"/>
      <c r="AD6726" s="318"/>
    </row>
    <row r="6727" spans="2:30" s="323" customFormat="1" ht="12" customHeight="1">
      <c r="B6727" s="324"/>
      <c r="C6727" s="325"/>
      <c r="D6727" s="326"/>
      <c r="E6727" s="326"/>
      <c r="F6727" s="326"/>
      <c r="G6727" s="326"/>
      <c r="H6727" s="326"/>
      <c r="P6727" s="318"/>
      <c r="Q6727" s="318"/>
      <c r="R6727" s="318"/>
      <c r="S6727" s="318"/>
      <c r="T6727" s="318"/>
      <c r="U6727" s="318"/>
      <c r="V6727" s="318"/>
      <c r="W6727" s="318"/>
      <c r="X6727" s="318"/>
      <c r="Y6727" s="318"/>
      <c r="Z6727" s="318"/>
      <c r="AA6727" s="318"/>
      <c r="AB6727" s="318"/>
      <c r="AC6727" s="318"/>
      <c r="AD6727" s="318"/>
    </row>
    <row r="6728" spans="2:30" s="323" customFormat="1" ht="12" customHeight="1">
      <c r="B6728" s="324"/>
      <c r="C6728" s="325"/>
      <c r="D6728" s="326"/>
      <c r="E6728" s="326"/>
      <c r="F6728" s="326"/>
      <c r="G6728" s="326"/>
      <c r="H6728" s="326"/>
      <c r="P6728" s="318"/>
      <c r="Q6728" s="318"/>
      <c r="R6728" s="318"/>
      <c r="S6728" s="318"/>
      <c r="T6728" s="318"/>
      <c r="U6728" s="318"/>
      <c r="V6728" s="318"/>
      <c r="W6728" s="318"/>
      <c r="X6728" s="318"/>
      <c r="Y6728" s="318"/>
      <c r="Z6728" s="318"/>
      <c r="AA6728" s="318"/>
      <c r="AB6728" s="318"/>
      <c r="AC6728" s="318"/>
      <c r="AD6728" s="318"/>
    </row>
    <row r="6729" spans="2:30" s="323" customFormat="1" ht="12" customHeight="1">
      <c r="B6729" s="324"/>
      <c r="C6729" s="325"/>
      <c r="D6729" s="326"/>
      <c r="E6729" s="326"/>
      <c r="F6729" s="326"/>
      <c r="G6729" s="326"/>
      <c r="H6729" s="326"/>
      <c r="P6729" s="318"/>
      <c r="Q6729" s="318"/>
      <c r="R6729" s="318"/>
      <c r="S6729" s="318"/>
      <c r="T6729" s="318"/>
      <c r="U6729" s="318"/>
      <c r="V6729" s="318"/>
      <c r="W6729" s="318"/>
      <c r="X6729" s="318"/>
      <c r="Y6729" s="318"/>
      <c r="Z6729" s="318"/>
      <c r="AA6729" s="318"/>
      <c r="AB6729" s="318"/>
      <c r="AC6729" s="318"/>
      <c r="AD6729" s="318"/>
    </row>
    <row r="6730" spans="2:30" s="323" customFormat="1" ht="12" customHeight="1">
      <c r="B6730" s="324"/>
      <c r="C6730" s="325"/>
      <c r="D6730" s="326"/>
      <c r="E6730" s="326"/>
      <c r="F6730" s="326"/>
      <c r="G6730" s="326"/>
      <c r="H6730" s="326"/>
      <c r="P6730" s="318"/>
      <c r="Q6730" s="318"/>
      <c r="R6730" s="318"/>
      <c r="S6730" s="318"/>
      <c r="T6730" s="318"/>
      <c r="U6730" s="318"/>
      <c r="V6730" s="318"/>
      <c r="W6730" s="318"/>
      <c r="X6730" s="318"/>
      <c r="Y6730" s="318"/>
      <c r="Z6730" s="318"/>
      <c r="AA6730" s="318"/>
      <c r="AB6730" s="318"/>
      <c r="AC6730" s="318"/>
      <c r="AD6730" s="318"/>
    </row>
    <row r="6731" spans="2:30" s="323" customFormat="1" ht="12" customHeight="1">
      <c r="B6731" s="324"/>
      <c r="C6731" s="325"/>
      <c r="D6731" s="326"/>
      <c r="E6731" s="326"/>
      <c r="F6731" s="326"/>
      <c r="G6731" s="326"/>
      <c r="H6731" s="326"/>
      <c r="P6731" s="318"/>
      <c r="Q6731" s="318"/>
      <c r="R6731" s="318"/>
      <c r="S6731" s="318"/>
      <c r="T6731" s="318"/>
      <c r="U6731" s="318"/>
      <c r="V6731" s="318"/>
      <c r="W6731" s="318"/>
      <c r="X6731" s="318"/>
      <c r="Y6731" s="318"/>
      <c r="Z6731" s="318"/>
      <c r="AA6731" s="318"/>
      <c r="AB6731" s="318"/>
      <c r="AC6731" s="318"/>
      <c r="AD6731" s="318"/>
    </row>
    <row r="6732" spans="2:30" s="323" customFormat="1" ht="12" customHeight="1">
      <c r="B6732" s="324"/>
      <c r="C6732" s="325"/>
      <c r="D6732" s="326"/>
      <c r="E6732" s="326"/>
      <c r="F6732" s="326"/>
      <c r="G6732" s="326"/>
      <c r="H6732" s="326"/>
      <c r="P6732" s="318"/>
      <c r="Q6732" s="318"/>
      <c r="R6732" s="318"/>
      <c r="S6732" s="318"/>
      <c r="T6732" s="318"/>
      <c r="U6732" s="318"/>
      <c r="V6732" s="318"/>
      <c r="W6732" s="318"/>
      <c r="X6732" s="318"/>
      <c r="Y6732" s="318"/>
      <c r="Z6732" s="318"/>
      <c r="AA6732" s="318"/>
      <c r="AB6732" s="318"/>
      <c r="AC6732" s="318"/>
      <c r="AD6732" s="318"/>
    </row>
    <row r="6733" spans="2:30" s="323" customFormat="1" ht="12" customHeight="1">
      <c r="B6733" s="324"/>
      <c r="C6733" s="325"/>
      <c r="D6733" s="326"/>
      <c r="E6733" s="326"/>
      <c r="F6733" s="326"/>
      <c r="G6733" s="326"/>
      <c r="H6733" s="326"/>
      <c r="P6733" s="318"/>
      <c r="Q6733" s="318"/>
      <c r="R6733" s="318"/>
      <c r="S6733" s="318"/>
      <c r="T6733" s="318"/>
      <c r="U6733" s="318"/>
      <c r="V6733" s="318"/>
      <c r="W6733" s="318"/>
      <c r="X6733" s="318"/>
      <c r="Y6733" s="318"/>
      <c r="Z6733" s="318"/>
      <c r="AA6733" s="318"/>
      <c r="AB6733" s="318"/>
      <c r="AC6733" s="318"/>
      <c r="AD6733" s="318"/>
    </row>
    <row r="6734" spans="2:30" s="323" customFormat="1" ht="12" customHeight="1">
      <c r="B6734" s="324"/>
      <c r="C6734" s="325"/>
      <c r="D6734" s="326"/>
      <c r="E6734" s="326"/>
      <c r="F6734" s="326"/>
      <c r="G6734" s="326"/>
      <c r="H6734" s="326"/>
      <c r="P6734" s="318"/>
      <c r="Q6734" s="318"/>
      <c r="R6734" s="318"/>
      <c r="S6734" s="318"/>
      <c r="T6734" s="318"/>
      <c r="U6734" s="318"/>
      <c r="V6734" s="318"/>
      <c r="W6734" s="318"/>
      <c r="X6734" s="318"/>
      <c r="Y6734" s="318"/>
      <c r="Z6734" s="318"/>
      <c r="AA6734" s="318"/>
      <c r="AB6734" s="318"/>
      <c r="AC6734" s="318"/>
      <c r="AD6734" s="318"/>
    </row>
    <row r="6735" spans="2:30" s="323" customFormat="1" ht="12" customHeight="1">
      <c r="B6735" s="324"/>
      <c r="C6735" s="325"/>
      <c r="D6735" s="326"/>
      <c r="E6735" s="326"/>
      <c r="F6735" s="326"/>
      <c r="G6735" s="326"/>
      <c r="H6735" s="326"/>
      <c r="P6735" s="318"/>
      <c r="Q6735" s="318"/>
      <c r="R6735" s="318"/>
      <c r="S6735" s="318"/>
      <c r="T6735" s="318"/>
      <c r="U6735" s="318"/>
      <c r="V6735" s="318"/>
      <c r="W6735" s="318"/>
      <c r="X6735" s="318"/>
      <c r="Y6735" s="318"/>
      <c r="Z6735" s="318"/>
      <c r="AA6735" s="318"/>
      <c r="AB6735" s="318"/>
      <c r="AC6735" s="318"/>
      <c r="AD6735" s="318"/>
    </row>
    <row r="6736" spans="2:30" s="323" customFormat="1" ht="12" customHeight="1">
      <c r="B6736" s="324"/>
      <c r="C6736" s="325"/>
      <c r="D6736" s="326"/>
      <c r="E6736" s="326"/>
      <c r="F6736" s="326"/>
      <c r="G6736" s="326"/>
      <c r="H6736" s="326"/>
      <c r="P6736" s="318"/>
      <c r="Q6736" s="318"/>
      <c r="R6736" s="318"/>
      <c r="S6736" s="318"/>
      <c r="T6736" s="318"/>
      <c r="U6736" s="318"/>
      <c r="V6736" s="318"/>
      <c r="W6736" s="318"/>
      <c r="X6736" s="318"/>
      <c r="Y6736" s="318"/>
      <c r="Z6736" s="318"/>
      <c r="AA6736" s="318"/>
      <c r="AB6736" s="318"/>
      <c r="AC6736" s="318"/>
      <c r="AD6736" s="318"/>
    </row>
    <row r="6737" spans="2:30" s="323" customFormat="1" ht="12" customHeight="1">
      <c r="B6737" s="324"/>
      <c r="C6737" s="325"/>
      <c r="D6737" s="326"/>
      <c r="E6737" s="326"/>
      <c r="F6737" s="326"/>
      <c r="G6737" s="326"/>
      <c r="H6737" s="326"/>
      <c r="P6737" s="318"/>
      <c r="Q6737" s="318"/>
      <c r="R6737" s="318"/>
      <c r="S6737" s="318"/>
      <c r="T6737" s="318"/>
      <c r="U6737" s="318"/>
      <c r="V6737" s="318"/>
      <c r="W6737" s="318"/>
      <c r="X6737" s="318"/>
      <c r="Y6737" s="318"/>
      <c r="Z6737" s="318"/>
      <c r="AA6737" s="318"/>
      <c r="AB6737" s="318"/>
      <c r="AC6737" s="318"/>
      <c r="AD6737" s="318"/>
    </row>
    <row r="6738" spans="2:30" s="323" customFormat="1" ht="12" customHeight="1">
      <c r="B6738" s="324"/>
      <c r="C6738" s="325"/>
      <c r="D6738" s="326"/>
      <c r="E6738" s="326"/>
      <c r="F6738" s="326"/>
      <c r="G6738" s="326"/>
      <c r="H6738" s="326"/>
      <c r="P6738" s="318"/>
      <c r="Q6738" s="318"/>
      <c r="R6738" s="318"/>
      <c r="S6738" s="318"/>
      <c r="T6738" s="318"/>
      <c r="U6738" s="318"/>
      <c r="V6738" s="318"/>
      <c r="W6738" s="318"/>
      <c r="X6738" s="318"/>
      <c r="Y6738" s="318"/>
      <c r="Z6738" s="318"/>
      <c r="AA6738" s="318"/>
      <c r="AB6738" s="318"/>
      <c r="AC6738" s="318"/>
      <c r="AD6738" s="318"/>
    </row>
    <row r="6739" spans="2:30" s="323" customFormat="1" ht="12" customHeight="1">
      <c r="B6739" s="324"/>
      <c r="C6739" s="325"/>
      <c r="D6739" s="326"/>
      <c r="E6739" s="326"/>
      <c r="F6739" s="326"/>
      <c r="G6739" s="326"/>
      <c r="H6739" s="326"/>
      <c r="P6739" s="318"/>
      <c r="Q6739" s="318"/>
      <c r="R6739" s="318"/>
      <c r="S6739" s="318"/>
      <c r="T6739" s="318"/>
      <c r="U6739" s="318"/>
      <c r="V6739" s="318"/>
      <c r="W6739" s="318"/>
      <c r="X6739" s="318"/>
      <c r="Y6739" s="318"/>
      <c r="Z6739" s="318"/>
      <c r="AA6739" s="318"/>
      <c r="AB6739" s="318"/>
      <c r="AC6739" s="318"/>
      <c r="AD6739" s="318"/>
    </row>
    <row r="6740" spans="2:30" s="323" customFormat="1" ht="12" customHeight="1">
      <c r="B6740" s="324"/>
      <c r="C6740" s="325"/>
      <c r="D6740" s="326"/>
      <c r="E6740" s="326"/>
      <c r="F6740" s="326"/>
      <c r="G6740" s="326"/>
      <c r="H6740" s="326"/>
      <c r="P6740" s="318"/>
      <c r="Q6740" s="318"/>
      <c r="R6740" s="318"/>
      <c r="S6740" s="318"/>
      <c r="T6740" s="318"/>
      <c r="U6740" s="318"/>
      <c r="V6740" s="318"/>
      <c r="W6740" s="318"/>
      <c r="X6740" s="318"/>
      <c r="Y6740" s="318"/>
      <c r="Z6740" s="318"/>
      <c r="AA6740" s="318"/>
      <c r="AB6740" s="318"/>
      <c r="AC6740" s="318"/>
      <c r="AD6740" s="318"/>
    </row>
    <row r="6741" spans="2:30" s="323" customFormat="1" ht="12" customHeight="1">
      <c r="B6741" s="324"/>
      <c r="C6741" s="325"/>
      <c r="D6741" s="326"/>
      <c r="E6741" s="326"/>
      <c r="F6741" s="326"/>
      <c r="G6741" s="326"/>
      <c r="H6741" s="326"/>
      <c r="P6741" s="318"/>
      <c r="Q6741" s="318"/>
      <c r="R6741" s="318"/>
      <c r="S6741" s="318"/>
      <c r="T6741" s="318"/>
      <c r="U6741" s="318"/>
      <c r="V6741" s="318"/>
      <c r="W6741" s="318"/>
      <c r="X6741" s="318"/>
      <c r="Y6741" s="318"/>
      <c r="Z6741" s="318"/>
      <c r="AA6741" s="318"/>
      <c r="AB6741" s="318"/>
      <c r="AC6741" s="318"/>
      <c r="AD6741" s="318"/>
    </row>
    <row r="6742" spans="2:30" s="323" customFormat="1" ht="12" customHeight="1">
      <c r="B6742" s="324"/>
      <c r="C6742" s="325"/>
      <c r="D6742" s="326"/>
      <c r="E6742" s="326"/>
      <c r="F6742" s="326"/>
      <c r="G6742" s="326"/>
      <c r="H6742" s="326"/>
      <c r="P6742" s="318"/>
      <c r="Q6742" s="318"/>
      <c r="R6742" s="318"/>
      <c r="S6742" s="318"/>
      <c r="T6742" s="318"/>
      <c r="U6742" s="318"/>
      <c r="V6742" s="318"/>
      <c r="W6742" s="318"/>
      <c r="X6742" s="318"/>
      <c r="Y6742" s="318"/>
      <c r="Z6742" s="318"/>
      <c r="AA6742" s="318"/>
      <c r="AB6742" s="318"/>
      <c r="AC6742" s="318"/>
      <c r="AD6742" s="318"/>
    </row>
    <row r="6743" spans="2:30" s="323" customFormat="1" ht="12" customHeight="1">
      <c r="B6743" s="324"/>
      <c r="C6743" s="325"/>
      <c r="D6743" s="326"/>
      <c r="E6743" s="326"/>
      <c r="F6743" s="326"/>
      <c r="G6743" s="326"/>
      <c r="H6743" s="326"/>
      <c r="P6743" s="318"/>
      <c r="Q6743" s="318"/>
      <c r="R6743" s="318"/>
      <c r="S6743" s="318"/>
      <c r="T6743" s="318"/>
      <c r="U6743" s="318"/>
      <c r="V6743" s="318"/>
      <c r="W6743" s="318"/>
      <c r="X6743" s="318"/>
      <c r="Y6743" s="318"/>
      <c r="Z6743" s="318"/>
      <c r="AA6743" s="318"/>
      <c r="AB6743" s="318"/>
      <c r="AC6743" s="318"/>
      <c r="AD6743" s="318"/>
    </row>
    <row r="6744" spans="2:30" s="323" customFormat="1" ht="12" customHeight="1">
      <c r="B6744" s="324"/>
      <c r="C6744" s="325"/>
      <c r="D6744" s="326"/>
      <c r="E6744" s="326"/>
      <c r="F6744" s="326"/>
      <c r="G6744" s="326"/>
      <c r="H6744" s="326"/>
      <c r="P6744" s="318"/>
      <c r="Q6744" s="318"/>
      <c r="R6744" s="318"/>
      <c r="S6744" s="318"/>
      <c r="T6744" s="318"/>
      <c r="U6744" s="318"/>
      <c r="V6744" s="318"/>
      <c r="W6744" s="318"/>
      <c r="X6744" s="318"/>
      <c r="Y6744" s="318"/>
      <c r="Z6744" s="318"/>
      <c r="AA6744" s="318"/>
      <c r="AB6744" s="318"/>
      <c r="AC6744" s="318"/>
      <c r="AD6744" s="318"/>
    </row>
    <row r="6745" spans="2:30" s="323" customFormat="1" ht="12" customHeight="1">
      <c r="B6745" s="324"/>
      <c r="C6745" s="325"/>
      <c r="D6745" s="326"/>
      <c r="E6745" s="326"/>
      <c r="F6745" s="326"/>
      <c r="G6745" s="326"/>
      <c r="H6745" s="326"/>
      <c r="P6745" s="318"/>
      <c r="Q6745" s="318"/>
      <c r="R6745" s="318"/>
      <c r="S6745" s="318"/>
      <c r="T6745" s="318"/>
      <c r="U6745" s="318"/>
      <c r="V6745" s="318"/>
      <c r="W6745" s="318"/>
      <c r="X6745" s="318"/>
      <c r="Y6745" s="318"/>
      <c r="Z6745" s="318"/>
      <c r="AA6745" s="318"/>
      <c r="AB6745" s="318"/>
      <c r="AC6745" s="318"/>
      <c r="AD6745" s="318"/>
    </row>
    <row r="6746" spans="2:30" s="323" customFormat="1" ht="12" customHeight="1">
      <c r="B6746" s="324"/>
      <c r="C6746" s="325"/>
      <c r="D6746" s="326"/>
      <c r="E6746" s="326"/>
      <c r="F6746" s="326"/>
      <c r="G6746" s="326"/>
      <c r="H6746" s="326"/>
      <c r="P6746" s="318"/>
      <c r="Q6746" s="318"/>
      <c r="R6746" s="318"/>
      <c r="S6746" s="318"/>
      <c r="T6746" s="318"/>
      <c r="U6746" s="318"/>
      <c r="V6746" s="318"/>
      <c r="W6746" s="318"/>
      <c r="X6746" s="318"/>
      <c r="Y6746" s="318"/>
      <c r="Z6746" s="318"/>
      <c r="AA6746" s="318"/>
      <c r="AB6746" s="318"/>
      <c r="AC6746" s="318"/>
      <c r="AD6746" s="318"/>
    </row>
    <row r="6747" spans="2:30" s="323" customFormat="1" ht="12" customHeight="1">
      <c r="B6747" s="324"/>
      <c r="C6747" s="325"/>
      <c r="D6747" s="326"/>
      <c r="E6747" s="326"/>
      <c r="F6747" s="326"/>
      <c r="G6747" s="326"/>
      <c r="H6747" s="326"/>
      <c r="P6747" s="318"/>
      <c r="Q6747" s="318"/>
      <c r="R6747" s="318"/>
      <c r="S6747" s="318"/>
      <c r="T6747" s="318"/>
      <c r="U6747" s="318"/>
      <c r="V6747" s="318"/>
      <c r="W6747" s="318"/>
      <c r="X6747" s="318"/>
      <c r="Y6747" s="318"/>
      <c r="Z6747" s="318"/>
      <c r="AA6747" s="318"/>
      <c r="AB6747" s="318"/>
      <c r="AC6747" s="318"/>
      <c r="AD6747" s="318"/>
    </row>
    <row r="6748" spans="2:30" s="323" customFormat="1" ht="12" customHeight="1">
      <c r="B6748" s="324"/>
      <c r="C6748" s="325"/>
      <c r="D6748" s="326"/>
      <c r="E6748" s="326"/>
      <c r="F6748" s="326"/>
      <c r="G6748" s="326"/>
      <c r="H6748" s="326"/>
      <c r="P6748" s="318"/>
      <c r="Q6748" s="318"/>
      <c r="R6748" s="318"/>
      <c r="S6748" s="318"/>
      <c r="T6748" s="318"/>
      <c r="U6748" s="318"/>
      <c r="V6748" s="318"/>
      <c r="W6748" s="318"/>
      <c r="X6748" s="318"/>
      <c r="Y6748" s="318"/>
      <c r="Z6748" s="318"/>
      <c r="AA6748" s="318"/>
      <c r="AB6748" s="318"/>
      <c r="AC6748" s="318"/>
      <c r="AD6748" s="318"/>
    </row>
    <row r="6749" spans="2:30" s="323" customFormat="1" ht="12" customHeight="1">
      <c r="B6749" s="324"/>
      <c r="C6749" s="325"/>
      <c r="D6749" s="326"/>
      <c r="E6749" s="326"/>
      <c r="F6749" s="326"/>
      <c r="G6749" s="326"/>
      <c r="H6749" s="326"/>
      <c r="P6749" s="318"/>
      <c r="Q6749" s="318"/>
      <c r="R6749" s="318"/>
      <c r="S6749" s="318"/>
      <c r="T6749" s="318"/>
      <c r="U6749" s="318"/>
      <c r="V6749" s="318"/>
      <c r="W6749" s="318"/>
      <c r="X6749" s="318"/>
      <c r="Y6749" s="318"/>
      <c r="Z6749" s="318"/>
      <c r="AA6749" s="318"/>
      <c r="AB6749" s="318"/>
      <c r="AC6749" s="318"/>
      <c r="AD6749" s="318"/>
    </row>
    <row r="6750" spans="2:30" s="323" customFormat="1" ht="12" customHeight="1">
      <c r="B6750" s="324"/>
      <c r="C6750" s="325"/>
      <c r="D6750" s="326"/>
      <c r="E6750" s="326"/>
      <c r="F6750" s="326"/>
      <c r="G6750" s="326"/>
      <c r="H6750" s="326"/>
      <c r="P6750" s="318"/>
      <c r="Q6750" s="318"/>
      <c r="R6750" s="318"/>
      <c r="S6750" s="318"/>
      <c r="T6750" s="318"/>
      <c r="U6750" s="318"/>
      <c r="V6750" s="318"/>
      <c r="W6750" s="318"/>
      <c r="X6750" s="318"/>
      <c r="Y6750" s="318"/>
      <c r="Z6750" s="318"/>
      <c r="AA6750" s="318"/>
      <c r="AB6750" s="318"/>
      <c r="AC6750" s="318"/>
      <c r="AD6750" s="318"/>
    </row>
    <row r="6751" spans="2:30" s="323" customFormat="1" ht="12" customHeight="1">
      <c r="B6751" s="324"/>
      <c r="C6751" s="325"/>
      <c r="D6751" s="326"/>
      <c r="E6751" s="326"/>
      <c r="F6751" s="326"/>
      <c r="G6751" s="326"/>
      <c r="H6751" s="326"/>
      <c r="P6751" s="318"/>
      <c r="Q6751" s="318"/>
      <c r="R6751" s="318"/>
      <c r="S6751" s="318"/>
      <c r="T6751" s="318"/>
      <c r="U6751" s="318"/>
      <c r="V6751" s="318"/>
      <c r="W6751" s="318"/>
      <c r="X6751" s="318"/>
      <c r="Y6751" s="318"/>
      <c r="Z6751" s="318"/>
      <c r="AA6751" s="318"/>
      <c r="AB6751" s="318"/>
      <c r="AC6751" s="318"/>
      <c r="AD6751" s="318"/>
    </row>
    <row r="6752" spans="2:30" s="323" customFormat="1" ht="12" customHeight="1">
      <c r="B6752" s="324"/>
      <c r="C6752" s="325"/>
      <c r="D6752" s="326"/>
      <c r="E6752" s="326"/>
      <c r="F6752" s="326"/>
      <c r="G6752" s="326"/>
      <c r="H6752" s="326"/>
      <c r="P6752" s="318"/>
      <c r="Q6752" s="318"/>
      <c r="R6752" s="318"/>
      <c r="S6752" s="318"/>
      <c r="T6752" s="318"/>
      <c r="U6752" s="318"/>
      <c r="V6752" s="318"/>
      <c r="W6752" s="318"/>
      <c r="X6752" s="318"/>
      <c r="Y6752" s="318"/>
      <c r="Z6752" s="318"/>
      <c r="AA6752" s="318"/>
      <c r="AB6752" s="318"/>
      <c r="AC6752" s="318"/>
      <c r="AD6752" s="318"/>
    </row>
    <row r="6753" spans="2:30" s="323" customFormat="1" ht="12" customHeight="1">
      <c r="B6753" s="324"/>
      <c r="C6753" s="325"/>
      <c r="D6753" s="326"/>
      <c r="E6753" s="326"/>
      <c r="F6753" s="326"/>
      <c r="G6753" s="326"/>
      <c r="H6753" s="326"/>
      <c r="P6753" s="318"/>
      <c r="Q6753" s="318"/>
      <c r="R6753" s="318"/>
      <c r="S6753" s="318"/>
      <c r="T6753" s="318"/>
      <c r="U6753" s="318"/>
      <c r="V6753" s="318"/>
      <c r="W6753" s="318"/>
      <c r="X6753" s="318"/>
      <c r="Y6753" s="318"/>
      <c r="Z6753" s="318"/>
      <c r="AA6753" s="318"/>
      <c r="AB6753" s="318"/>
      <c r="AC6753" s="318"/>
      <c r="AD6753" s="318"/>
    </row>
    <row r="6754" spans="2:30" s="323" customFormat="1" ht="12" customHeight="1">
      <c r="B6754" s="324"/>
      <c r="C6754" s="325"/>
      <c r="D6754" s="326"/>
      <c r="E6754" s="326"/>
      <c r="F6754" s="326"/>
      <c r="G6754" s="326"/>
      <c r="H6754" s="326"/>
      <c r="P6754" s="318"/>
      <c r="Q6754" s="318"/>
      <c r="R6754" s="318"/>
      <c r="S6754" s="318"/>
      <c r="T6754" s="318"/>
      <c r="U6754" s="318"/>
      <c r="V6754" s="318"/>
      <c r="W6754" s="318"/>
      <c r="X6754" s="318"/>
      <c r="Y6754" s="318"/>
      <c r="Z6754" s="318"/>
      <c r="AA6754" s="318"/>
      <c r="AB6754" s="318"/>
      <c r="AC6754" s="318"/>
      <c r="AD6754" s="318"/>
    </row>
    <row r="6755" spans="2:30" s="323" customFormat="1" ht="12" customHeight="1">
      <c r="B6755" s="324"/>
      <c r="C6755" s="325"/>
      <c r="D6755" s="326"/>
      <c r="E6755" s="326"/>
      <c r="F6755" s="326"/>
      <c r="G6755" s="326"/>
      <c r="H6755" s="326"/>
      <c r="P6755" s="318"/>
      <c r="Q6755" s="318"/>
      <c r="R6755" s="318"/>
      <c r="S6755" s="318"/>
      <c r="T6755" s="318"/>
      <c r="U6755" s="318"/>
      <c r="V6755" s="318"/>
      <c r="W6755" s="318"/>
      <c r="X6755" s="318"/>
      <c r="Y6755" s="318"/>
      <c r="Z6755" s="318"/>
      <c r="AA6755" s="318"/>
      <c r="AB6755" s="318"/>
      <c r="AC6755" s="318"/>
      <c r="AD6755" s="318"/>
    </row>
    <row r="6756" spans="2:30" s="323" customFormat="1" ht="12" customHeight="1">
      <c r="B6756" s="324"/>
      <c r="C6756" s="325"/>
      <c r="D6756" s="326"/>
      <c r="E6756" s="326"/>
      <c r="F6756" s="326"/>
      <c r="G6756" s="326"/>
      <c r="H6756" s="326"/>
      <c r="P6756" s="318"/>
      <c r="Q6756" s="318"/>
      <c r="R6756" s="318"/>
      <c r="S6756" s="318"/>
      <c r="T6756" s="318"/>
      <c r="U6756" s="318"/>
      <c r="V6756" s="318"/>
      <c r="W6756" s="318"/>
      <c r="X6756" s="318"/>
      <c r="Y6756" s="318"/>
      <c r="Z6756" s="318"/>
      <c r="AA6756" s="318"/>
      <c r="AB6756" s="318"/>
      <c r="AC6756" s="318"/>
      <c r="AD6756" s="318"/>
    </row>
    <row r="6757" spans="2:30" s="323" customFormat="1" ht="12" customHeight="1">
      <c r="B6757" s="324"/>
      <c r="C6757" s="325"/>
      <c r="D6757" s="326"/>
      <c r="E6757" s="326"/>
      <c r="F6757" s="326"/>
      <c r="G6757" s="326"/>
      <c r="H6757" s="326"/>
      <c r="P6757" s="318"/>
      <c r="Q6757" s="318"/>
      <c r="R6757" s="318"/>
      <c r="S6757" s="318"/>
      <c r="T6757" s="318"/>
      <c r="U6757" s="318"/>
      <c r="V6757" s="318"/>
      <c r="W6757" s="318"/>
      <c r="X6757" s="318"/>
      <c r="Y6757" s="318"/>
      <c r="Z6757" s="318"/>
      <c r="AA6757" s="318"/>
      <c r="AB6757" s="318"/>
      <c r="AC6757" s="318"/>
      <c r="AD6757" s="318"/>
    </row>
    <row r="6758" spans="2:30" s="323" customFormat="1" ht="12" customHeight="1">
      <c r="B6758" s="324"/>
      <c r="C6758" s="325"/>
      <c r="D6758" s="326"/>
      <c r="E6758" s="326"/>
      <c r="F6758" s="326"/>
      <c r="G6758" s="326"/>
      <c r="H6758" s="326"/>
      <c r="P6758" s="318"/>
      <c r="Q6758" s="318"/>
      <c r="R6758" s="318"/>
      <c r="S6758" s="318"/>
      <c r="T6758" s="318"/>
      <c r="U6758" s="318"/>
      <c r="V6758" s="318"/>
      <c r="W6758" s="318"/>
      <c r="X6758" s="318"/>
      <c r="Y6758" s="318"/>
      <c r="Z6758" s="318"/>
      <c r="AA6758" s="318"/>
      <c r="AB6758" s="318"/>
      <c r="AC6758" s="318"/>
      <c r="AD6758" s="318"/>
    </row>
    <row r="6759" spans="2:30" s="323" customFormat="1" ht="12" customHeight="1">
      <c r="B6759" s="324"/>
      <c r="C6759" s="325"/>
      <c r="D6759" s="326"/>
      <c r="E6759" s="326"/>
      <c r="F6759" s="326"/>
      <c r="G6759" s="326"/>
      <c r="H6759" s="326"/>
      <c r="P6759" s="318"/>
      <c r="Q6759" s="318"/>
      <c r="R6759" s="318"/>
      <c r="S6759" s="318"/>
      <c r="T6759" s="318"/>
      <c r="U6759" s="318"/>
      <c r="V6759" s="318"/>
      <c r="W6759" s="318"/>
      <c r="X6759" s="318"/>
      <c r="Y6759" s="318"/>
      <c r="Z6759" s="318"/>
      <c r="AA6759" s="318"/>
      <c r="AB6759" s="318"/>
      <c r="AC6759" s="318"/>
      <c r="AD6759" s="318"/>
    </row>
    <row r="6760" spans="2:30" s="323" customFormat="1" ht="12" customHeight="1">
      <c r="B6760" s="324"/>
      <c r="C6760" s="325"/>
      <c r="D6760" s="326"/>
      <c r="E6760" s="326"/>
      <c r="F6760" s="326"/>
      <c r="G6760" s="326"/>
      <c r="H6760" s="326"/>
      <c r="P6760" s="318"/>
      <c r="Q6760" s="318"/>
      <c r="R6760" s="318"/>
      <c r="S6760" s="318"/>
      <c r="T6760" s="318"/>
      <c r="U6760" s="318"/>
      <c r="V6760" s="318"/>
      <c r="W6760" s="318"/>
      <c r="X6760" s="318"/>
      <c r="Y6760" s="318"/>
      <c r="Z6760" s="318"/>
      <c r="AA6760" s="318"/>
      <c r="AB6760" s="318"/>
      <c r="AC6760" s="318"/>
      <c r="AD6760" s="318"/>
    </row>
    <row r="6761" spans="2:30" s="323" customFormat="1" ht="12" customHeight="1">
      <c r="B6761" s="324"/>
      <c r="C6761" s="325"/>
      <c r="D6761" s="326"/>
      <c r="E6761" s="326"/>
      <c r="F6761" s="326"/>
      <c r="G6761" s="326"/>
      <c r="H6761" s="326"/>
      <c r="P6761" s="318"/>
      <c r="Q6761" s="318"/>
      <c r="R6761" s="318"/>
      <c r="S6761" s="318"/>
      <c r="T6761" s="318"/>
      <c r="U6761" s="318"/>
      <c r="V6761" s="318"/>
      <c r="W6761" s="318"/>
      <c r="X6761" s="318"/>
      <c r="Y6761" s="318"/>
      <c r="Z6761" s="318"/>
      <c r="AA6761" s="318"/>
      <c r="AB6761" s="318"/>
      <c r="AC6761" s="318"/>
      <c r="AD6761" s="318"/>
    </row>
    <row r="6762" spans="2:30" s="323" customFormat="1" ht="12" customHeight="1">
      <c r="B6762" s="324"/>
      <c r="C6762" s="325"/>
      <c r="D6762" s="326"/>
      <c r="E6762" s="326"/>
      <c r="F6762" s="326"/>
      <c r="G6762" s="326"/>
      <c r="H6762" s="326"/>
      <c r="P6762" s="318"/>
      <c r="Q6762" s="318"/>
      <c r="R6762" s="318"/>
      <c r="S6762" s="318"/>
      <c r="T6762" s="318"/>
      <c r="U6762" s="318"/>
      <c r="V6762" s="318"/>
      <c r="W6762" s="318"/>
      <c r="X6762" s="318"/>
      <c r="Y6762" s="318"/>
      <c r="Z6762" s="318"/>
      <c r="AA6762" s="318"/>
      <c r="AB6762" s="318"/>
      <c r="AC6762" s="318"/>
      <c r="AD6762" s="318"/>
    </row>
    <row r="6763" spans="2:30" s="323" customFormat="1" ht="12" customHeight="1">
      <c r="B6763" s="324"/>
      <c r="C6763" s="325"/>
      <c r="D6763" s="326"/>
      <c r="E6763" s="326"/>
      <c r="F6763" s="326"/>
      <c r="G6763" s="326"/>
      <c r="H6763" s="326"/>
      <c r="P6763" s="318"/>
      <c r="Q6763" s="318"/>
      <c r="R6763" s="318"/>
      <c r="S6763" s="318"/>
      <c r="T6763" s="318"/>
      <c r="U6763" s="318"/>
      <c r="V6763" s="318"/>
      <c r="W6763" s="318"/>
      <c r="X6763" s="318"/>
      <c r="Y6763" s="318"/>
      <c r="Z6763" s="318"/>
      <c r="AA6763" s="318"/>
      <c r="AB6763" s="318"/>
      <c r="AC6763" s="318"/>
      <c r="AD6763" s="318"/>
    </row>
    <row r="6764" spans="2:30" s="323" customFormat="1" ht="12" customHeight="1">
      <c r="B6764" s="324"/>
      <c r="C6764" s="325"/>
      <c r="D6764" s="326"/>
      <c r="E6764" s="326"/>
      <c r="F6764" s="326"/>
      <c r="G6764" s="326"/>
      <c r="H6764" s="326"/>
      <c r="P6764" s="318"/>
      <c r="Q6764" s="318"/>
      <c r="R6764" s="318"/>
      <c r="S6764" s="318"/>
      <c r="T6764" s="318"/>
      <c r="U6764" s="318"/>
      <c r="V6764" s="318"/>
      <c r="W6764" s="318"/>
      <c r="X6764" s="318"/>
      <c r="Y6764" s="318"/>
      <c r="Z6764" s="318"/>
      <c r="AA6764" s="318"/>
      <c r="AB6764" s="318"/>
      <c r="AC6764" s="318"/>
      <c r="AD6764" s="318"/>
    </row>
    <row r="6765" spans="2:30" s="323" customFormat="1" ht="12" customHeight="1">
      <c r="B6765" s="324"/>
      <c r="C6765" s="325"/>
      <c r="D6765" s="326"/>
      <c r="E6765" s="326"/>
      <c r="F6765" s="326"/>
      <c r="G6765" s="326"/>
      <c r="H6765" s="326"/>
      <c r="P6765" s="318"/>
      <c r="Q6765" s="318"/>
      <c r="R6765" s="318"/>
      <c r="S6765" s="318"/>
      <c r="T6765" s="318"/>
      <c r="U6765" s="318"/>
      <c r="V6765" s="318"/>
      <c r="W6765" s="318"/>
      <c r="X6765" s="318"/>
      <c r="Y6765" s="318"/>
      <c r="Z6765" s="318"/>
      <c r="AA6765" s="318"/>
      <c r="AB6765" s="318"/>
      <c r="AC6765" s="318"/>
      <c r="AD6765" s="318"/>
    </row>
    <row r="6766" spans="2:30" s="323" customFormat="1" ht="12" customHeight="1">
      <c r="B6766" s="324"/>
      <c r="C6766" s="325"/>
      <c r="D6766" s="326"/>
      <c r="E6766" s="326"/>
      <c r="F6766" s="326"/>
      <c r="G6766" s="326"/>
      <c r="H6766" s="326"/>
      <c r="P6766" s="318"/>
      <c r="Q6766" s="318"/>
      <c r="R6766" s="318"/>
      <c r="S6766" s="318"/>
      <c r="T6766" s="318"/>
      <c r="U6766" s="318"/>
      <c r="V6766" s="318"/>
      <c r="W6766" s="318"/>
      <c r="X6766" s="318"/>
      <c r="Y6766" s="318"/>
      <c r="Z6766" s="318"/>
      <c r="AA6766" s="318"/>
      <c r="AB6766" s="318"/>
      <c r="AC6766" s="318"/>
      <c r="AD6766" s="318"/>
    </row>
    <row r="6767" spans="2:30" s="323" customFormat="1" ht="12" customHeight="1">
      <c r="B6767" s="324"/>
      <c r="C6767" s="325"/>
      <c r="D6767" s="326"/>
      <c r="E6767" s="326"/>
      <c r="F6767" s="326"/>
      <c r="G6767" s="326"/>
      <c r="H6767" s="326"/>
      <c r="P6767" s="318"/>
      <c r="Q6767" s="318"/>
      <c r="R6767" s="318"/>
      <c r="S6767" s="318"/>
      <c r="T6767" s="318"/>
      <c r="U6767" s="318"/>
      <c r="V6767" s="318"/>
      <c r="W6767" s="318"/>
      <c r="X6767" s="318"/>
      <c r="Y6767" s="318"/>
      <c r="Z6767" s="318"/>
      <c r="AA6767" s="318"/>
      <c r="AB6767" s="318"/>
      <c r="AC6767" s="318"/>
      <c r="AD6767" s="318"/>
    </row>
    <row r="6768" spans="2:30" s="323" customFormat="1" ht="12" customHeight="1">
      <c r="B6768" s="324"/>
      <c r="C6768" s="325"/>
      <c r="D6768" s="326"/>
      <c r="E6768" s="326"/>
      <c r="F6768" s="326"/>
      <c r="G6768" s="326"/>
      <c r="H6768" s="326"/>
      <c r="P6768" s="318"/>
      <c r="Q6768" s="318"/>
      <c r="R6768" s="318"/>
      <c r="S6768" s="318"/>
      <c r="T6768" s="318"/>
      <c r="U6768" s="318"/>
      <c r="V6768" s="318"/>
      <c r="W6768" s="318"/>
      <c r="X6768" s="318"/>
      <c r="Y6768" s="318"/>
      <c r="Z6768" s="318"/>
      <c r="AA6768" s="318"/>
      <c r="AB6768" s="318"/>
      <c r="AC6768" s="318"/>
      <c r="AD6768" s="318"/>
    </row>
    <row r="6769" spans="2:30" s="323" customFormat="1" ht="12" customHeight="1">
      <c r="B6769" s="324"/>
      <c r="C6769" s="325"/>
      <c r="D6769" s="326"/>
      <c r="E6769" s="326"/>
      <c r="F6769" s="326"/>
      <c r="G6769" s="326"/>
      <c r="H6769" s="326"/>
      <c r="P6769" s="318"/>
      <c r="Q6769" s="318"/>
      <c r="R6769" s="318"/>
      <c r="S6769" s="318"/>
      <c r="T6769" s="318"/>
      <c r="U6769" s="318"/>
      <c r="V6769" s="318"/>
      <c r="W6769" s="318"/>
      <c r="X6769" s="318"/>
      <c r="Y6769" s="318"/>
      <c r="Z6769" s="318"/>
      <c r="AA6769" s="318"/>
      <c r="AB6769" s="318"/>
      <c r="AC6769" s="318"/>
      <c r="AD6769" s="318"/>
    </row>
    <row r="6770" spans="2:30" s="323" customFormat="1" ht="12" customHeight="1">
      <c r="B6770" s="324"/>
      <c r="C6770" s="325"/>
      <c r="D6770" s="326"/>
      <c r="E6770" s="326"/>
      <c r="F6770" s="326"/>
      <c r="G6770" s="326"/>
      <c r="H6770" s="326"/>
      <c r="P6770" s="318"/>
      <c r="Q6770" s="318"/>
      <c r="R6770" s="318"/>
      <c r="S6770" s="318"/>
      <c r="T6770" s="318"/>
      <c r="U6770" s="318"/>
      <c r="V6770" s="318"/>
      <c r="W6770" s="318"/>
      <c r="X6770" s="318"/>
      <c r="Y6770" s="318"/>
      <c r="Z6770" s="318"/>
      <c r="AA6770" s="318"/>
      <c r="AB6770" s="318"/>
      <c r="AC6770" s="318"/>
      <c r="AD6770" s="318"/>
    </row>
    <row r="6771" spans="2:30" s="323" customFormat="1" ht="12" customHeight="1">
      <c r="B6771" s="324"/>
      <c r="C6771" s="325"/>
      <c r="D6771" s="326"/>
      <c r="E6771" s="326"/>
      <c r="F6771" s="326"/>
      <c r="G6771" s="326"/>
      <c r="H6771" s="326"/>
      <c r="P6771" s="318"/>
      <c r="Q6771" s="318"/>
      <c r="R6771" s="318"/>
      <c r="S6771" s="318"/>
      <c r="T6771" s="318"/>
      <c r="U6771" s="318"/>
      <c r="V6771" s="318"/>
      <c r="W6771" s="318"/>
      <c r="X6771" s="318"/>
      <c r="Y6771" s="318"/>
      <c r="Z6771" s="318"/>
      <c r="AA6771" s="318"/>
      <c r="AB6771" s="318"/>
      <c r="AC6771" s="318"/>
      <c r="AD6771" s="318"/>
    </row>
    <row r="6772" spans="2:30" s="323" customFormat="1" ht="12" customHeight="1">
      <c r="B6772" s="324"/>
      <c r="C6772" s="325"/>
      <c r="D6772" s="326"/>
      <c r="E6772" s="326"/>
      <c r="F6772" s="326"/>
      <c r="G6772" s="326"/>
      <c r="H6772" s="326"/>
      <c r="P6772" s="318"/>
      <c r="Q6772" s="318"/>
      <c r="R6772" s="318"/>
      <c r="S6772" s="318"/>
      <c r="T6772" s="318"/>
      <c r="U6772" s="318"/>
      <c r="V6772" s="318"/>
      <c r="W6772" s="318"/>
      <c r="X6772" s="318"/>
      <c r="Y6772" s="318"/>
      <c r="Z6772" s="318"/>
      <c r="AA6772" s="318"/>
      <c r="AB6772" s="318"/>
      <c r="AC6772" s="318"/>
      <c r="AD6772" s="318"/>
    </row>
    <row r="6773" spans="2:30" s="323" customFormat="1" ht="12" customHeight="1">
      <c r="B6773" s="324"/>
      <c r="C6773" s="325"/>
      <c r="D6773" s="326"/>
      <c r="E6773" s="326"/>
      <c r="F6773" s="326"/>
      <c r="G6773" s="326"/>
      <c r="H6773" s="326"/>
      <c r="P6773" s="318"/>
      <c r="Q6773" s="318"/>
      <c r="R6773" s="318"/>
      <c r="S6773" s="318"/>
      <c r="T6773" s="318"/>
      <c r="U6773" s="318"/>
      <c r="V6773" s="318"/>
      <c r="W6773" s="318"/>
      <c r="X6773" s="318"/>
      <c r="Y6773" s="318"/>
      <c r="Z6773" s="318"/>
      <c r="AA6773" s="318"/>
      <c r="AB6773" s="318"/>
      <c r="AC6773" s="318"/>
      <c r="AD6773" s="318"/>
    </row>
    <row r="6774" spans="2:30" s="323" customFormat="1" ht="12" customHeight="1">
      <c r="B6774" s="324"/>
      <c r="C6774" s="325"/>
      <c r="D6774" s="326"/>
      <c r="E6774" s="326"/>
      <c r="F6774" s="326"/>
      <c r="G6774" s="326"/>
      <c r="H6774" s="326"/>
      <c r="P6774" s="318"/>
      <c r="Q6774" s="318"/>
      <c r="R6774" s="318"/>
      <c r="S6774" s="318"/>
      <c r="T6774" s="318"/>
      <c r="U6774" s="318"/>
      <c r="V6774" s="318"/>
      <c r="W6774" s="318"/>
      <c r="X6774" s="318"/>
      <c r="Y6774" s="318"/>
      <c r="Z6774" s="318"/>
      <c r="AA6774" s="318"/>
      <c r="AB6774" s="318"/>
      <c r="AC6774" s="318"/>
      <c r="AD6774" s="318"/>
    </row>
    <row r="6775" spans="2:30" s="323" customFormat="1" ht="12" customHeight="1">
      <c r="B6775" s="324"/>
      <c r="C6775" s="325"/>
      <c r="D6775" s="326"/>
      <c r="E6775" s="326"/>
      <c r="F6775" s="326"/>
      <c r="G6775" s="326"/>
      <c r="H6775" s="326"/>
      <c r="P6775" s="318"/>
      <c r="Q6775" s="318"/>
      <c r="R6775" s="318"/>
      <c r="S6775" s="318"/>
      <c r="T6775" s="318"/>
      <c r="U6775" s="318"/>
      <c r="V6775" s="318"/>
      <c r="W6775" s="318"/>
      <c r="X6775" s="318"/>
      <c r="Y6775" s="318"/>
      <c r="Z6775" s="318"/>
      <c r="AA6775" s="318"/>
      <c r="AB6775" s="318"/>
      <c r="AC6775" s="318"/>
      <c r="AD6775" s="318"/>
    </row>
    <row r="6776" spans="2:30" s="323" customFormat="1" ht="12" customHeight="1">
      <c r="B6776" s="324"/>
      <c r="C6776" s="325"/>
      <c r="D6776" s="326"/>
      <c r="E6776" s="326"/>
      <c r="F6776" s="326"/>
      <c r="G6776" s="326"/>
      <c r="H6776" s="326"/>
      <c r="P6776" s="318"/>
      <c r="Q6776" s="318"/>
      <c r="R6776" s="318"/>
      <c r="S6776" s="318"/>
      <c r="T6776" s="318"/>
      <c r="U6776" s="318"/>
      <c r="V6776" s="318"/>
      <c r="W6776" s="318"/>
      <c r="X6776" s="318"/>
      <c r="Y6776" s="318"/>
      <c r="Z6776" s="318"/>
      <c r="AA6776" s="318"/>
      <c r="AB6776" s="318"/>
      <c r="AC6776" s="318"/>
      <c r="AD6776" s="318"/>
    </row>
    <row r="6777" spans="2:30" s="323" customFormat="1" ht="12" customHeight="1">
      <c r="B6777" s="324"/>
      <c r="C6777" s="325"/>
      <c r="D6777" s="326"/>
      <c r="E6777" s="326"/>
      <c r="F6777" s="326"/>
      <c r="G6777" s="326"/>
      <c r="H6777" s="326"/>
      <c r="P6777" s="318"/>
      <c r="Q6777" s="318"/>
      <c r="R6777" s="318"/>
      <c r="S6777" s="318"/>
      <c r="T6777" s="318"/>
      <c r="U6777" s="318"/>
      <c r="V6777" s="318"/>
      <c r="W6777" s="318"/>
      <c r="X6777" s="318"/>
      <c r="Y6777" s="318"/>
      <c r="Z6777" s="318"/>
      <c r="AA6777" s="318"/>
      <c r="AB6777" s="318"/>
      <c r="AC6777" s="318"/>
      <c r="AD6777" s="318"/>
    </row>
    <row r="6778" spans="2:30" s="323" customFormat="1" ht="12" customHeight="1">
      <c r="B6778" s="324"/>
      <c r="C6778" s="325"/>
      <c r="D6778" s="326"/>
      <c r="E6778" s="326"/>
      <c r="F6778" s="326"/>
      <c r="G6778" s="326"/>
      <c r="H6778" s="326"/>
      <c r="P6778" s="318"/>
      <c r="Q6778" s="318"/>
      <c r="R6778" s="318"/>
      <c r="S6778" s="318"/>
      <c r="T6778" s="318"/>
      <c r="U6778" s="318"/>
      <c r="V6778" s="318"/>
      <c r="W6778" s="318"/>
      <c r="X6778" s="318"/>
      <c r="Y6778" s="318"/>
      <c r="Z6778" s="318"/>
      <c r="AA6778" s="318"/>
      <c r="AB6778" s="318"/>
      <c r="AC6778" s="318"/>
      <c r="AD6778" s="318"/>
    </row>
    <row r="6779" spans="2:30" s="323" customFormat="1" ht="12" customHeight="1">
      <c r="B6779" s="324"/>
      <c r="C6779" s="325"/>
      <c r="D6779" s="326"/>
      <c r="E6779" s="326"/>
      <c r="F6779" s="326"/>
      <c r="G6779" s="326"/>
      <c r="H6779" s="326"/>
      <c r="P6779" s="318"/>
      <c r="Q6779" s="318"/>
      <c r="R6779" s="318"/>
      <c r="S6779" s="318"/>
      <c r="T6779" s="318"/>
      <c r="U6779" s="318"/>
      <c r="V6779" s="318"/>
      <c r="W6779" s="318"/>
      <c r="X6779" s="318"/>
      <c r="Y6779" s="318"/>
      <c r="Z6779" s="318"/>
      <c r="AA6779" s="318"/>
      <c r="AB6779" s="318"/>
      <c r="AC6779" s="318"/>
      <c r="AD6779" s="318"/>
    </row>
    <row r="6780" spans="2:30" s="323" customFormat="1" ht="12" customHeight="1">
      <c r="B6780" s="324"/>
      <c r="C6780" s="325"/>
      <c r="D6780" s="326"/>
      <c r="E6780" s="326"/>
      <c r="F6780" s="326"/>
      <c r="G6780" s="326"/>
      <c r="H6780" s="326"/>
      <c r="P6780" s="318"/>
      <c r="Q6780" s="318"/>
      <c r="R6780" s="318"/>
      <c r="S6780" s="318"/>
      <c r="T6780" s="318"/>
      <c r="U6780" s="318"/>
      <c r="V6780" s="318"/>
      <c r="W6780" s="318"/>
      <c r="X6780" s="318"/>
      <c r="Y6780" s="318"/>
      <c r="Z6780" s="318"/>
      <c r="AA6780" s="318"/>
      <c r="AB6780" s="318"/>
      <c r="AC6780" s="318"/>
      <c r="AD6780" s="318"/>
    </row>
    <row r="6781" spans="2:30" s="323" customFormat="1" ht="12" customHeight="1">
      <c r="B6781" s="324"/>
      <c r="C6781" s="325"/>
      <c r="D6781" s="326"/>
      <c r="E6781" s="326"/>
      <c r="F6781" s="326"/>
      <c r="G6781" s="326"/>
      <c r="H6781" s="326"/>
      <c r="P6781" s="318"/>
      <c r="Q6781" s="318"/>
      <c r="R6781" s="318"/>
      <c r="S6781" s="318"/>
      <c r="T6781" s="318"/>
      <c r="U6781" s="318"/>
      <c r="V6781" s="318"/>
      <c r="W6781" s="318"/>
      <c r="X6781" s="318"/>
      <c r="Y6781" s="318"/>
      <c r="Z6781" s="318"/>
      <c r="AA6781" s="318"/>
      <c r="AB6781" s="318"/>
      <c r="AC6781" s="318"/>
      <c r="AD6781" s="318"/>
    </row>
    <row r="6782" spans="2:30" s="323" customFormat="1" ht="12" customHeight="1">
      <c r="B6782" s="324"/>
      <c r="C6782" s="325"/>
      <c r="D6782" s="326"/>
      <c r="E6782" s="326"/>
      <c r="F6782" s="326"/>
      <c r="G6782" s="326"/>
      <c r="H6782" s="326"/>
      <c r="P6782" s="318"/>
      <c r="Q6782" s="318"/>
      <c r="R6782" s="318"/>
      <c r="S6782" s="318"/>
      <c r="T6782" s="318"/>
      <c r="U6782" s="318"/>
      <c r="V6782" s="318"/>
      <c r="W6782" s="318"/>
      <c r="X6782" s="318"/>
      <c r="Y6782" s="318"/>
      <c r="Z6782" s="318"/>
      <c r="AA6782" s="318"/>
      <c r="AB6782" s="318"/>
      <c r="AC6782" s="318"/>
      <c r="AD6782" s="318"/>
    </row>
    <row r="6783" spans="2:30" s="323" customFormat="1" ht="12" customHeight="1">
      <c r="B6783" s="324"/>
      <c r="C6783" s="325"/>
      <c r="D6783" s="326"/>
      <c r="E6783" s="326"/>
      <c r="F6783" s="326"/>
      <c r="G6783" s="326"/>
      <c r="H6783" s="326"/>
      <c r="P6783" s="318"/>
      <c r="Q6783" s="318"/>
      <c r="R6783" s="318"/>
      <c r="S6783" s="318"/>
      <c r="T6783" s="318"/>
      <c r="U6783" s="318"/>
      <c r="V6783" s="318"/>
      <c r="W6783" s="318"/>
      <c r="X6783" s="318"/>
      <c r="Y6783" s="318"/>
      <c r="Z6783" s="318"/>
      <c r="AA6783" s="318"/>
      <c r="AB6783" s="318"/>
      <c r="AC6783" s="318"/>
      <c r="AD6783" s="318"/>
    </row>
    <row r="6784" spans="2:30" s="323" customFormat="1" ht="12" customHeight="1">
      <c r="B6784" s="324"/>
      <c r="C6784" s="325"/>
      <c r="D6784" s="326"/>
      <c r="E6784" s="326"/>
      <c r="F6784" s="326"/>
      <c r="G6784" s="326"/>
      <c r="H6784" s="326"/>
      <c r="P6784" s="318"/>
      <c r="Q6784" s="318"/>
      <c r="R6784" s="318"/>
      <c r="S6784" s="318"/>
      <c r="T6784" s="318"/>
      <c r="U6784" s="318"/>
      <c r="V6784" s="318"/>
      <c r="W6784" s="318"/>
      <c r="X6784" s="318"/>
      <c r="Y6784" s="318"/>
      <c r="Z6784" s="318"/>
      <c r="AA6784" s="318"/>
      <c r="AB6784" s="318"/>
      <c r="AC6784" s="318"/>
      <c r="AD6784" s="318"/>
    </row>
    <row r="6785" spans="2:30" s="323" customFormat="1" ht="12" customHeight="1">
      <c r="B6785" s="324"/>
      <c r="C6785" s="325"/>
      <c r="D6785" s="326"/>
      <c r="E6785" s="326"/>
      <c r="F6785" s="326"/>
      <c r="G6785" s="326"/>
      <c r="H6785" s="326"/>
      <c r="P6785" s="318"/>
      <c r="Q6785" s="318"/>
      <c r="R6785" s="318"/>
      <c r="S6785" s="318"/>
      <c r="T6785" s="318"/>
      <c r="U6785" s="318"/>
      <c r="V6785" s="318"/>
      <c r="W6785" s="318"/>
      <c r="X6785" s="318"/>
      <c r="Y6785" s="318"/>
      <c r="Z6785" s="318"/>
      <c r="AA6785" s="318"/>
      <c r="AB6785" s="318"/>
      <c r="AC6785" s="318"/>
      <c r="AD6785" s="318"/>
    </row>
    <row r="6786" spans="2:30" s="323" customFormat="1" ht="12" customHeight="1">
      <c r="B6786" s="324"/>
      <c r="C6786" s="325"/>
      <c r="D6786" s="326"/>
      <c r="E6786" s="326"/>
      <c r="F6786" s="326"/>
      <c r="G6786" s="326"/>
      <c r="H6786" s="326"/>
      <c r="P6786" s="318"/>
      <c r="Q6786" s="318"/>
      <c r="R6786" s="318"/>
      <c r="S6786" s="318"/>
      <c r="T6786" s="318"/>
      <c r="U6786" s="318"/>
      <c r="V6786" s="318"/>
      <c r="W6786" s="318"/>
      <c r="X6786" s="318"/>
      <c r="Y6786" s="318"/>
      <c r="Z6786" s="318"/>
      <c r="AA6786" s="318"/>
      <c r="AB6786" s="318"/>
      <c r="AC6786" s="318"/>
      <c r="AD6786" s="318"/>
    </row>
    <row r="6787" spans="2:30" s="323" customFormat="1" ht="12" customHeight="1">
      <c r="B6787" s="324"/>
      <c r="C6787" s="325"/>
      <c r="D6787" s="326"/>
      <c r="E6787" s="326"/>
      <c r="F6787" s="326"/>
      <c r="G6787" s="326"/>
      <c r="H6787" s="326"/>
      <c r="P6787" s="318"/>
      <c r="Q6787" s="318"/>
      <c r="R6787" s="318"/>
      <c r="S6787" s="318"/>
      <c r="T6787" s="318"/>
      <c r="U6787" s="318"/>
      <c r="V6787" s="318"/>
      <c r="W6787" s="318"/>
      <c r="X6787" s="318"/>
      <c r="Y6787" s="318"/>
      <c r="Z6787" s="318"/>
      <c r="AA6787" s="318"/>
      <c r="AB6787" s="318"/>
      <c r="AC6787" s="318"/>
      <c r="AD6787" s="318"/>
    </row>
    <row r="6788" spans="2:30" s="323" customFormat="1" ht="12" customHeight="1">
      <c r="B6788" s="324"/>
      <c r="C6788" s="325"/>
      <c r="D6788" s="326"/>
      <c r="E6788" s="326"/>
      <c r="F6788" s="326"/>
      <c r="G6788" s="326"/>
      <c r="H6788" s="326"/>
      <c r="P6788" s="318"/>
      <c r="Q6788" s="318"/>
      <c r="R6788" s="318"/>
      <c r="S6788" s="318"/>
      <c r="T6788" s="318"/>
      <c r="U6788" s="318"/>
      <c r="V6788" s="318"/>
      <c r="W6788" s="318"/>
      <c r="X6788" s="318"/>
      <c r="Y6788" s="318"/>
      <c r="Z6788" s="318"/>
      <c r="AA6788" s="318"/>
      <c r="AB6788" s="318"/>
      <c r="AC6788" s="318"/>
      <c r="AD6788" s="318"/>
    </row>
    <row r="6789" spans="2:30" s="323" customFormat="1" ht="12" customHeight="1">
      <c r="B6789" s="324"/>
      <c r="C6789" s="325"/>
      <c r="D6789" s="326"/>
      <c r="E6789" s="326"/>
      <c r="F6789" s="326"/>
      <c r="G6789" s="326"/>
      <c r="H6789" s="326"/>
      <c r="P6789" s="318"/>
      <c r="Q6789" s="318"/>
      <c r="R6789" s="318"/>
      <c r="S6789" s="318"/>
      <c r="T6789" s="318"/>
      <c r="U6789" s="318"/>
      <c r="V6789" s="318"/>
      <c r="W6789" s="318"/>
      <c r="X6789" s="318"/>
      <c r="Y6789" s="318"/>
      <c r="Z6789" s="318"/>
      <c r="AA6789" s="318"/>
      <c r="AB6789" s="318"/>
      <c r="AC6789" s="318"/>
      <c r="AD6789" s="318"/>
    </row>
    <row r="6790" spans="2:30" s="323" customFormat="1" ht="12" customHeight="1">
      <c r="B6790" s="324"/>
      <c r="C6790" s="325"/>
      <c r="D6790" s="326"/>
      <c r="E6790" s="326"/>
      <c r="F6790" s="326"/>
      <c r="G6790" s="326"/>
      <c r="H6790" s="326"/>
      <c r="P6790" s="318"/>
      <c r="Q6790" s="318"/>
      <c r="R6790" s="318"/>
      <c r="S6790" s="318"/>
      <c r="T6790" s="318"/>
      <c r="U6790" s="318"/>
      <c r="V6790" s="318"/>
      <c r="W6790" s="318"/>
      <c r="X6790" s="318"/>
      <c r="Y6790" s="318"/>
      <c r="Z6790" s="318"/>
      <c r="AA6790" s="318"/>
      <c r="AB6790" s="318"/>
      <c r="AC6790" s="318"/>
      <c r="AD6790" s="318"/>
    </row>
    <row r="6791" spans="2:30" s="323" customFormat="1" ht="12" customHeight="1">
      <c r="B6791" s="324"/>
      <c r="C6791" s="325"/>
      <c r="D6791" s="326"/>
      <c r="E6791" s="326"/>
      <c r="F6791" s="326"/>
      <c r="G6791" s="326"/>
      <c r="H6791" s="326"/>
      <c r="P6791" s="318"/>
      <c r="Q6791" s="318"/>
      <c r="R6791" s="318"/>
      <c r="S6791" s="318"/>
      <c r="T6791" s="318"/>
      <c r="U6791" s="318"/>
      <c r="V6791" s="318"/>
      <c r="W6791" s="318"/>
      <c r="X6791" s="318"/>
      <c r="Y6791" s="318"/>
      <c r="Z6791" s="318"/>
      <c r="AA6791" s="318"/>
      <c r="AB6791" s="318"/>
      <c r="AC6791" s="318"/>
      <c r="AD6791" s="318"/>
    </row>
    <row r="6792" spans="2:30" s="323" customFormat="1" ht="12" customHeight="1">
      <c r="B6792" s="324"/>
      <c r="C6792" s="325"/>
      <c r="D6792" s="326"/>
      <c r="E6792" s="326"/>
      <c r="F6792" s="326"/>
      <c r="G6792" s="326"/>
      <c r="H6792" s="326"/>
      <c r="P6792" s="318"/>
      <c r="Q6792" s="318"/>
      <c r="R6792" s="318"/>
      <c r="S6792" s="318"/>
      <c r="T6792" s="318"/>
      <c r="U6792" s="318"/>
      <c r="V6792" s="318"/>
      <c r="W6792" s="318"/>
      <c r="X6792" s="318"/>
      <c r="Y6792" s="318"/>
      <c r="Z6792" s="318"/>
      <c r="AA6792" s="318"/>
      <c r="AB6792" s="318"/>
      <c r="AC6792" s="318"/>
      <c r="AD6792" s="318"/>
    </row>
    <row r="6793" spans="2:30" s="323" customFormat="1" ht="12" customHeight="1">
      <c r="B6793" s="324"/>
      <c r="C6793" s="325"/>
      <c r="D6793" s="326"/>
      <c r="E6793" s="326"/>
      <c r="F6793" s="326"/>
      <c r="G6793" s="326"/>
      <c r="H6793" s="326"/>
      <c r="P6793" s="318"/>
      <c r="Q6793" s="318"/>
      <c r="R6793" s="318"/>
      <c r="S6793" s="318"/>
      <c r="T6793" s="318"/>
      <c r="U6793" s="318"/>
      <c r="V6793" s="318"/>
      <c r="W6793" s="318"/>
      <c r="X6793" s="318"/>
      <c r="Y6793" s="318"/>
      <c r="Z6793" s="318"/>
      <c r="AA6793" s="318"/>
      <c r="AB6793" s="318"/>
      <c r="AC6793" s="318"/>
      <c r="AD6793" s="318"/>
    </row>
    <row r="6794" spans="2:30" s="323" customFormat="1" ht="12" customHeight="1">
      <c r="B6794" s="324"/>
      <c r="C6794" s="325"/>
      <c r="D6794" s="326"/>
      <c r="E6794" s="326"/>
      <c r="F6794" s="326"/>
      <c r="G6794" s="326"/>
      <c r="H6794" s="326"/>
      <c r="P6794" s="318"/>
      <c r="Q6794" s="318"/>
      <c r="R6794" s="318"/>
      <c r="S6794" s="318"/>
      <c r="T6794" s="318"/>
      <c r="U6794" s="318"/>
      <c r="V6794" s="318"/>
      <c r="W6794" s="318"/>
      <c r="X6794" s="318"/>
      <c r="Y6794" s="318"/>
      <c r="Z6794" s="318"/>
      <c r="AA6794" s="318"/>
      <c r="AB6794" s="318"/>
      <c r="AC6794" s="318"/>
      <c r="AD6794" s="318"/>
    </row>
    <row r="6795" spans="2:30" s="323" customFormat="1" ht="12" customHeight="1">
      <c r="B6795" s="324"/>
      <c r="C6795" s="325"/>
      <c r="D6795" s="326"/>
      <c r="E6795" s="326"/>
      <c r="F6795" s="326"/>
      <c r="G6795" s="326"/>
      <c r="H6795" s="326"/>
      <c r="P6795" s="318"/>
      <c r="Q6795" s="318"/>
      <c r="R6795" s="318"/>
      <c r="S6795" s="318"/>
      <c r="T6795" s="318"/>
      <c r="U6795" s="318"/>
      <c r="V6795" s="318"/>
      <c r="W6795" s="318"/>
      <c r="X6795" s="318"/>
      <c r="Y6795" s="318"/>
      <c r="Z6795" s="318"/>
      <c r="AA6795" s="318"/>
      <c r="AB6795" s="318"/>
      <c r="AC6795" s="318"/>
      <c r="AD6795" s="318"/>
    </row>
    <row r="6796" spans="2:30" s="323" customFormat="1" ht="12" customHeight="1">
      <c r="B6796" s="324"/>
      <c r="C6796" s="325"/>
      <c r="D6796" s="326"/>
      <c r="E6796" s="326"/>
      <c r="F6796" s="326"/>
      <c r="G6796" s="326"/>
      <c r="H6796" s="326"/>
      <c r="P6796" s="318"/>
      <c r="Q6796" s="318"/>
      <c r="R6796" s="318"/>
      <c r="S6796" s="318"/>
      <c r="T6796" s="318"/>
      <c r="U6796" s="318"/>
      <c r="V6796" s="318"/>
      <c r="W6796" s="318"/>
      <c r="X6796" s="318"/>
      <c r="Y6796" s="318"/>
      <c r="Z6796" s="318"/>
      <c r="AA6796" s="318"/>
      <c r="AB6796" s="318"/>
      <c r="AC6796" s="318"/>
      <c r="AD6796" s="318"/>
    </row>
    <row r="6797" spans="2:30" s="323" customFormat="1" ht="12" customHeight="1">
      <c r="B6797" s="324"/>
      <c r="C6797" s="325"/>
      <c r="D6797" s="326"/>
      <c r="E6797" s="326"/>
      <c r="F6797" s="326"/>
      <c r="G6797" s="326"/>
      <c r="H6797" s="326"/>
      <c r="P6797" s="318"/>
      <c r="Q6797" s="318"/>
      <c r="R6797" s="318"/>
      <c r="S6797" s="318"/>
      <c r="T6797" s="318"/>
      <c r="U6797" s="318"/>
      <c r="V6797" s="318"/>
      <c r="W6797" s="318"/>
      <c r="X6797" s="318"/>
      <c r="Y6797" s="318"/>
      <c r="Z6797" s="318"/>
      <c r="AA6797" s="318"/>
      <c r="AB6797" s="318"/>
      <c r="AC6797" s="318"/>
      <c r="AD6797" s="318"/>
    </row>
    <row r="6798" spans="2:30" s="323" customFormat="1" ht="12" customHeight="1">
      <c r="B6798" s="324"/>
      <c r="C6798" s="325"/>
      <c r="D6798" s="326"/>
      <c r="E6798" s="326"/>
      <c r="F6798" s="326"/>
      <c r="G6798" s="326"/>
      <c r="H6798" s="326"/>
      <c r="P6798" s="318"/>
      <c r="Q6798" s="318"/>
      <c r="R6798" s="318"/>
      <c r="S6798" s="318"/>
      <c r="T6798" s="318"/>
      <c r="U6798" s="318"/>
      <c r="V6798" s="318"/>
      <c r="W6798" s="318"/>
      <c r="X6798" s="318"/>
      <c r="Y6798" s="318"/>
      <c r="Z6798" s="318"/>
      <c r="AA6798" s="318"/>
      <c r="AB6798" s="318"/>
      <c r="AC6798" s="318"/>
      <c r="AD6798" s="318"/>
    </row>
    <row r="6799" spans="2:30" s="323" customFormat="1" ht="12" customHeight="1">
      <c r="B6799" s="324"/>
      <c r="C6799" s="325"/>
      <c r="D6799" s="326"/>
      <c r="E6799" s="326"/>
      <c r="F6799" s="326"/>
      <c r="G6799" s="326"/>
      <c r="H6799" s="326"/>
      <c r="P6799" s="318"/>
      <c r="Q6799" s="318"/>
      <c r="R6799" s="318"/>
      <c r="S6799" s="318"/>
      <c r="T6799" s="318"/>
      <c r="U6799" s="318"/>
      <c r="V6799" s="318"/>
      <c r="W6799" s="318"/>
      <c r="X6799" s="318"/>
      <c r="Y6799" s="318"/>
      <c r="Z6799" s="318"/>
      <c r="AA6799" s="318"/>
      <c r="AB6799" s="318"/>
      <c r="AC6799" s="318"/>
      <c r="AD6799" s="318"/>
    </row>
    <row r="6800" spans="2:30" s="323" customFormat="1" ht="12" customHeight="1">
      <c r="B6800" s="324"/>
      <c r="C6800" s="325"/>
      <c r="D6800" s="326"/>
      <c r="E6800" s="326"/>
      <c r="F6800" s="326"/>
      <c r="G6800" s="326"/>
      <c r="H6800" s="326"/>
      <c r="P6800" s="318"/>
      <c r="Q6800" s="318"/>
      <c r="R6800" s="318"/>
      <c r="S6800" s="318"/>
      <c r="T6800" s="318"/>
      <c r="U6800" s="318"/>
      <c r="V6800" s="318"/>
      <c r="W6800" s="318"/>
      <c r="X6800" s="318"/>
      <c r="Y6800" s="318"/>
      <c r="Z6800" s="318"/>
      <c r="AA6800" s="318"/>
      <c r="AB6800" s="318"/>
      <c r="AC6800" s="318"/>
      <c r="AD6800" s="318"/>
    </row>
    <row r="6801" spans="2:30" s="323" customFormat="1" ht="12" customHeight="1">
      <c r="B6801" s="324"/>
      <c r="C6801" s="325"/>
      <c r="D6801" s="326"/>
      <c r="E6801" s="326"/>
      <c r="F6801" s="326"/>
      <c r="G6801" s="326"/>
      <c r="H6801" s="326"/>
      <c r="P6801" s="318"/>
      <c r="Q6801" s="318"/>
      <c r="R6801" s="318"/>
      <c r="S6801" s="318"/>
      <c r="T6801" s="318"/>
      <c r="U6801" s="318"/>
      <c r="V6801" s="318"/>
      <c r="W6801" s="318"/>
      <c r="X6801" s="318"/>
      <c r="Y6801" s="318"/>
      <c r="Z6801" s="318"/>
      <c r="AA6801" s="318"/>
      <c r="AB6801" s="318"/>
      <c r="AC6801" s="318"/>
      <c r="AD6801" s="318"/>
    </row>
    <row r="6802" spans="2:30" s="323" customFormat="1" ht="12" customHeight="1">
      <c r="B6802" s="324"/>
      <c r="C6802" s="325"/>
      <c r="D6802" s="326"/>
      <c r="E6802" s="326"/>
      <c r="F6802" s="326"/>
      <c r="G6802" s="326"/>
      <c r="H6802" s="326"/>
      <c r="P6802" s="318"/>
      <c r="Q6802" s="318"/>
      <c r="R6802" s="318"/>
      <c r="S6802" s="318"/>
      <c r="T6802" s="318"/>
      <c r="U6802" s="318"/>
      <c r="V6802" s="318"/>
      <c r="W6802" s="318"/>
      <c r="X6802" s="318"/>
      <c r="Y6802" s="318"/>
      <c r="Z6802" s="318"/>
      <c r="AA6802" s="318"/>
      <c r="AB6802" s="318"/>
      <c r="AC6802" s="318"/>
      <c r="AD6802" s="318"/>
    </row>
    <row r="6803" spans="2:30" s="323" customFormat="1" ht="12" customHeight="1">
      <c r="B6803" s="324"/>
      <c r="C6803" s="325"/>
      <c r="D6803" s="326"/>
      <c r="E6803" s="326"/>
      <c r="F6803" s="326"/>
      <c r="G6803" s="326"/>
      <c r="H6803" s="326"/>
      <c r="P6803" s="318"/>
      <c r="Q6803" s="318"/>
      <c r="R6803" s="318"/>
      <c r="S6803" s="318"/>
      <c r="T6803" s="318"/>
      <c r="U6803" s="318"/>
      <c r="V6803" s="318"/>
      <c r="W6803" s="318"/>
      <c r="X6803" s="318"/>
      <c r="Y6803" s="318"/>
      <c r="Z6803" s="318"/>
      <c r="AA6803" s="318"/>
      <c r="AB6803" s="318"/>
      <c r="AC6803" s="318"/>
      <c r="AD6803" s="318"/>
    </row>
    <row r="6804" spans="2:30" s="323" customFormat="1" ht="12" customHeight="1">
      <c r="B6804" s="324"/>
      <c r="C6804" s="325"/>
      <c r="D6804" s="326"/>
      <c r="E6804" s="326"/>
      <c r="F6804" s="326"/>
      <c r="G6804" s="326"/>
      <c r="H6804" s="326"/>
      <c r="P6804" s="318"/>
      <c r="Q6804" s="318"/>
      <c r="R6804" s="318"/>
      <c r="S6804" s="318"/>
      <c r="T6804" s="318"/>
      <c r="U6804" s="318"/>
      <c r="V6804" s="318"/>
      <c r="W6804" s="318"/>
      <c r="X6804" s="318"/>
      <c r="Y6804" s="318"/>
      <c r="Z6804" s="318"/>
      <c r="AA6804" s="318"/>
      <c r="AB6804" s="318"/>
      <c r="AC6804" s="318"/>
      <c r="AD6804" s="318"/>
    </row>
    <row r="6805" spans="2:30" s="323" customFormat="1" ht="12" customHeight="1">
      <c r="B6805" s="324"/>
      <c r="C6805" s="325"/>
      <c r="D6805" s="326"/>
      <c r="E6805" s="326"/>
      <c r="F6805" s="326"/>
      <c r="G6805" s="326"/>
      <c r="H6805" s="326"/>
      <c r="P6805" s="318"/>
      <c r="Q6805" s="318"/>
      <c r="R6805" s="318"/>
      <c r="S6805" s="318"/>
      <c r="T6805" s="318"/>
      <c r="U6805" s="318"/>
      <c r="V6805" s="318"/>
      <c r="W6805" s="318"/>
      <c r="X6805" s="318"/>
      <c r="Y6805" s="318"/>
      <c r="Z6805" s="318"/>
      <c r="AA6805" s="318"/>
      <c r="AB6805" s="318"/>
      <c r="AC6805" s="318"/>
      <c r="AD6805" s="318"/>
    </row>
    <row r="6806" spans="2:30" s="323" customFormat="1" ht="12" customHeight="1">
      <c r="B6806" s="324"/>
      <c r="C6806" s="325"/>
      <c r="D6806" s="326"/>
      <c r="E6806" s="326"/>
      <c r="F6806" s="326"/>
      <c r="G6806" s="326"/>
      <c r="H6806" s="326"/>
      <c r="P6806" s="318"/>
      <c r="Q6806" s="318"/>
      <c r="R6806" s="318"/>
      <c r="S6806" s="318"/>
      <c r="T6806" s="318"/>
      <c r="U6806" s="318"/>
      <c r="V6806" s="318"/>
      <c r="W6806" s="318"/>
      <c r="X6806" s="318"/>
      <c r="Y6806" s="318"/>
      <c r="Z6806" s="318"/>
      <c r="AA6806" s="318"/>
      <c r="AB6806" s="318"/>
      <c r="AC6806" s="318"/>
      <c r="AD6806" s="318"/>
    </row>
    <row r="6807" spans="2:30" s="323" customFormat="1" ht="12" customHeight="1">
      <c r="B6807" s="324"/>
      <c r="C6807" s="325"/>
      <c r="D6807" s="326"/>
      <c r="E6807" s="326"/>
      <c r="F6807" s="326"/>
      <c r="G6807" s="326"/>
      <c r="H6807" s="326"/>
      <c r="P6807" s="318"/>
      <c r="Q6807" s="318"/>
      <c r="R6807" s="318"/>
      <c r="S6807" s="318"/>
      <c r="T6807" s="318"/>
      <c r="U6807" s="318"/>
      <c r="V6807" s="318"/>
      <c r="W6807" s="318"/>
      <c r="X6807" s="318"/>
      <c r="Y6807" s="318"/>
      <c r="Z6807" s="318"/>
      <c r="AA6807" s="318"/>
      <c r="AB6807" s="318"/>
      <c r="AC6807" s="318"/>
      <c r="AD6807" s="318"/>
    </row>
    <row r="6808" spans="2:30" s="323" customFormat="1" ht="12" customHeight="1">
      <c r="B6808" s="324"/>
      <c r="C6808" s="325"/>
      <c r="D6808" s="326"/>
      <c r="E6808" s="326"/>
      <c r="F6808" s="326"/>
      <c r="G6808" s="326"/>
      <c r="H6808" s="326"/>
      <c r="P6808" s="318"/>
      <c r="Q6808" s="318"/>
      <c r="R6808" s="318"/>
      <c r="S6808" s="318"/>
      <c r="T6808" s="318"/>
      <c r="U6808" s="318"/>
      <c r="V6808" s="318"/>
      <c r="W6808" s="318"/>
      <c r="X6808" s="318"/>
      <c r="Y6808" s="318"/>
      <c r="Z6808" s="318"/>
      <c r="AA6808" s="318"/>
      <c r="AB6808" s="318"/>
      <c r="AC6808" s="318"/>
      <c r="AD6808" s="318"/>
    </row>
    <row r="6809" spans="2:30" s="323" customFormat="1" ht="12" customHeight="1">
      <c r="B6809" s="324"/>
      <c r="C6809" s="325"/>
      <c r="D6809" s="326"/>
      <c r="E6809" s="326"/>
      <c r="F6809" s="326"/>
      <c r="G6809" s="326"/>
      <c r="H6809" s="326"/>
      <c r="P6809" s="318"/>
      <c r="Q6809" s="318"/>
      <c r="R6809" s="318"/>
      <c r="S6809" s="318"/>
      <c r="T6809" s="318"/>
      <c r="U6809" s="318"/>
      <c r="V6809" s="318"/>
      <c r="W6809" s="318"/>
      <c r="X6809" s="318"/>
      <c r="Y6809" s="318"/>
      <c r="Z6809" s="318"/>
      <c r="AA6809" s="318"/>
      <c r="AB6809" s="318"/>
      <c r="AC6809" s="318"/>
      <c r="AD6809" s="318"/>
    </row>
    <row r="6810" spans="2:30" s="323" customFormat="1" ht="12" customHeight="1">
      <c r="B6810" s="324"/>
      <c r="C6810" s="325"/>
      <c r="D6810" s="326"/>
      <c r="E6810" s="326"/>
      <c r="F6810" s="326"/>
      <c r="G6810" s="326"/>
      <c r="H6810" s="326"/>
      <c r="P6810" s="318"/>
      <c r="Q6810" s="318"/>
      <c r="R6810" s="318"/>
      <c r="S6810" s="318"/>
      <c r="T6810" s="318"/>
      <c r="U6810" s="318"/>
      <c r="V6810" s="318"/>
      <c r="W6810" s="318"/>
      <c r="X6810" s="318"/>
      <c r="Y6810" s="318"/>
      <c r="Z6810" s="318"/>
      <c r="AA6810" s="318"/>
      <c r="AB6810" s="318"/>
      <c r="AC6810" s="318"/>
      <c r="AD6810" s="318"/>
    </row>
    <row r="6811" spans="2:30" s="323" customFormat="1" ht="12" customHeight="1">
      <c r="B6811" s="324"/>
      <c r="C6811" s="325"/>
      <c r="D6811" s="326"/>
      <c r="E6811" s="326"/>
      <c r="F6811" s="326"/>
      <c r="G6811" s="326"/>
      <c r="H6811" s="326"/>
      <c r="P6811" s="318"/>
      <c r="Q6811" s="318"/>
      <c r="R6811" s="318"/>
      <c r="S6811" s="318"/>
      <c r="T6811" s="318"/>
      <c r="U6811" s="318"/>
      <c r="V6811" s="318"/>
      <c r="W6811" s="318"/>
      <c r="X6811" s="318"/>
      <c r="Y6811" s="318"/>
      <c r="Z6811" s="318"/>
      <c r="AA6811" s="318"/>
      <c r="AB6811" s="318"/>
      <c r="AC6811" s="318"/>
      <c r="AD6811" s="318"/>
    </row>
    <row r="6812" spans="2:30" s="323" customFormat="1" ht="12" customHeight="1">
      <c r="B6812" s="324"/>
      <c r="C6812" s="325"/>
      <c r="D6812" s="326"/>
      <c r="E6812" s="326"/>
      <c r="F6812" s="326"/>
      <c r="G6812" s="326"/>
      <c r="H6812" s="326"/>
      <c r="P6812" s="318"/>
      <c r="Q6812" s="318"/>
      <c r="R6812" s="318"/>
      <c r="S6812" s="318"/>
      <c r="T6812" s="318"/>
      <c r="U6812" s="318"/>
      <c r="V6812" s="318"/>
      <c r="W6812" s="318"/>
      <c r="X6812" s="318"/>
      <c r="Y6812" s="318"/>
      <c r="Z6812" s="318"/>
      <c r="AA6812" s="318"/>
      <c r="AB6812" s="318"/>
      <c r="AC6812" s="318"/>
      <c r="AD6812" s="318"/>
    </row>
    <row r="6813" spans="2:30" s="323" customFormat="1" ht="12" customHeight="1">
      <c r="B6813" s="324"/>
      <c r="C6813" s="325"/>
      <c r="D6813" s="326"/>
      <c r="E6813" s="326"/>
      <c r="F6813" s="326"/>
      <c r="G6813" s="326"/>
      <c r="H6813" s="326"/>
      <c r="P6813" s="318"/>
      <c r="Q6813" s="318"/>
      <c r="R6813" s="318"/>
      <c r="S6813" s="318"/>
      <c r="T6813" s="318"/>
      <c r="U6813" s="318"/>
      <c r="V6813" s="318"/>
      <c r="W6813" s="318"/>
      <c r="X6813" s="318"/>
      <c r="Y6813" s="318"/>
      <c r="Z6813" s="318"/>
      <c r="AA6813" s="318"/>
      <c r="AB6813" s="318"/>
      <c r="AC6813" s="318"/>
      <c r="AD6813" s="318"/>
    </row>
    <row r="6814" spans="2:30" s="323" customFormat="1" ht="12" customHeight="1">
      <c r="B6814" s="324"/>
      <c r="C6814" s="325"/>
      <c r="D6814" s="326"/>
      <c r="E6814" s="326"/>
      <c r="F6814" s="326"/>
      <c r="G6814" s="326"/>
      <c r="H6814" s="326"/>
      <c r="P6814" s="318"/>
      <c r="Q6814" s="318"/>
      <c r="R6814" s="318"/>
      <c r="S6814" s="318"/>
      <c r="T6814" s="318"/>
      <c r="U6814" s="318"/>
      <c r="V6814" s="318"/>
      <c r="W6814" s="318"/>
      <c r="X6814" s="318"/>
      <c r="Y6814" s="318"/>
      <c r="Z6814" s="318"/>
      <c r="AA6814" s="318"/>
      <c r="AB6814" s="318"/>
      <c r="AC6814" s="318"/>
      <c r="AD6814" s="318"/>
    </row>
    <row r="6815" spans="2:30" s="323" customFormat="1" ht="12" customHeight="1">
      <c r="B6815" s="324"/>
      <c r="C6815" s="325"/>
      <c r="D6815" s="326"/>
      <c r="E6815" s="326"/>
      <c r="F6815" s="326"/>
      <c r="G6815" s="326"/>
      <c r="H6815" s="326"/>
      <c r="P6815" s="318"/>
      <c r="Q6815" s="318"/>
      <c r="R6815" s="318"/>
      <c r="S6815" s="318"/>
      <c r="T6815" s="318"/>
      <c r="U6815" s="318"/>
      <c r="V6815" s="318"/>
      <c r="W6815" s="318"/>
      <c r="X6815" s="318"/>
      <c r="Y6815" s="318"/>
      <c r="Z6815" s="318"/>
      <c r="AA6815" s="318"/>
      <c r="AB6815" s="318"/>
      <c r="AC6815" s="318"/>
      <c r="AD6815" s="318"/>
    </row>
    <row r="6816" spans="2:30" s="323" customFormat="1" ht="12" customHeight="1">
      <c r="B6816" s="324"/>
      <c r="C6816" s="325"/>
      <c r="D6816" s="326"/>
      <c r="E6816" s="326"/>
      <c r="F6816" s="326"/>
      <c r="G6816" s="326"/>
      <c r="H6816" s="326"/>
      <c r="P6816" s="318"/>
      <c r="Q6816" s="318"/>
      <c r="R6816" s="318"/>
      <c r="S6816" s="318"/>
      <c r="T6816" s="318"/>
      <c r="U6816" s="318"/>
      <c r="V6816" s="318"/>
      <c r="W6816" s="318"/>
      <c r="X6816" s="318"/>
      <c r="Y6816" s="318"/>
      <c r="Z6816" s="318"/>
      <c r="AA6816" s="318"/>
      <c r="AB6816" s="318"/>
      <c r="AC6816" s="318"/>
      <c r="AD6816" s="318"/>
    </row>
    <row r="6817" spans="2:30" s="323" customFormat="1" ht="12" customHeight="1">
      <c r="B6817" s="324"/>
      <c r="C6817" s="325"/>
      <c r="D6817" s="326"/>
      <c r="E6817" s="326"/>
      <c r="F6817" s="326"/>
      <c r="G6817" s="326"/>
      <c r="H6817" s="326"/>
      <c r="P6817" s="318"/>
      <c r="Q6817" s="318"/>
      <c r="R6817" s="318"/>
      <c r="S6817" s="318"/>
      <c r="T6817" s="318"/>
      <c r="U6817" s="318"/>
      <c r="V6817" s="318"/>
      <c r="W6817" s="318"/>
      <c r="X6817" s="318"/>
      <c r="Y6817" s="318"/>
      <c r="Z6817" s="318"/>
      <c r="AA6817" s="318"/>
      <c r="AB6817" s="318"/>
      <c r="AC6817" s="318"/>
      <c r="AD6817" s="318"/>
    </row>
    <row r="6818" spans="2:30" s="323" customFormat="1" ht="12" customHeight="1">
      <c r="B6818" s="324"/>
      <c r="C6818" s="325"/>
      <c r="D6818" s="326"/>
      <c r="E6818" s="326"/>
      <c r="F6818" s="326"/>
      <c r="G6818" s="326"/>
      <c r="H6818" s="326"/>
      <c r="P6818" s="318"/>
      <c r="Q6818" s="318"/>
      <c r="R6818" s="318"/>
      <c r="S6818" s="318"/>
      <c r="T6818" s="318"/>
      <c r="U6818" s="318"/>
      <c r="V6818" s="318"/>
      <c r="W6818" s="318"/>
      <c r="X6818" s="318"/>
      <c r="Y6818" s="318"/>
      <c r="Z6818" s="318"/>
      <c r="AA6818" s="318"/>
      <c r="AB6818" s="318"/>
      <c r="AC6818" s="318"/>
      <c r="AD6818" s="318"/>
    </row>
    <row r="6819" spans="2:30" s="323" customFormat="1" ht="12" customHeight="1">
      <c r="B6819" s="324"/>
      <c r="C6819" s="325"/>
      <c r="D6819" s="326"/>
      <c r="E6819" s="326"/>
      <c r="F6819" s="326"/>
      <c r="G6819" s="326"/>
      <c r="H6819" s="326"/>
      <c r="P6819" s="318"/>
      <c r="Q6819" s="318"/>
      <c r="R6819" s="318"/>
      <c r="S6819" s="318"/>
      <c r="T6819" s="318"/>
      <c r="U6819" s="318"/>
      <c r="V6819" s="318"/>
      <c r="W6819" s="318"/>
      <c r="X6819" s="318"/>
      <c r="Y6819" s="318"/>
      <c r="Z6819" s="318"/>
      <c r="AA6819" s="318"/>
      <c r="AB6819" s="318"/>
      <c r="AC6819" s="318"/>
      <c r="AD6819" s="318"/>
    </row>
    <row r="6820" spans="2:30" s="323" customFormat="1" ht="12" customHeight="1">
      <c r="B6820" s="324"/>
      <c r="C6820" s="325"/>
      <c r="D6820" s="326"/>
      <c r="E6820" s="326"/>
      <c r="F6820" s="326"/>
      <c r="G6820" s="326"/>
      <c r="H6820" s="326"/>
      <c r="P6820" s="318"/>
      <c r="Q6820" s="318"/>
      <c r="R6820" s="318"/>
      <c r="S6820" s="318"/>
      <c r="T6820" s="318"/>
      <c r="U6820" s="318"/>
      <c r="V6820" s="318"/>
      <c r="W6820" s="318"/>
      <c r="X6820" s="318"/>
      <c r="Y6820" s="318"/>
      <c r="Z6820" s="318"/>
      <c r="AA6820" s="318"/>
      <c r="AB6820" s="318"/>
      <c r="AC6820" s="318"/>
      <c r="AD6820" s="318"/>
    </row>
    <row r="6821" spans="2:30" s="323" customFormat="1" ht="12" customHeight="1">
      <c r="B6821" s="324"/>
      <c r="C6821" s="325"/>
      <c r="D6821" s="326"/>
      <c r="E6821" s="326"/>
      <c r="F6821" s="326"/>
      <c r="G6821" s="326"/>
      <c r="H6821" s="326"/>
      <c r="P6821" s="318"/>
      <c r="Q6821" s="318"/>
      <c r="R6821" s="318"/>
      <c r="S6821" s="318"/>
      <c r="T6821" s="318"/>
      <c r="U6821" s="318"/>
      <c r="V6821" s="318"/>
      <c r="W6821" s="318"/>
      <c r="X6821" s="318"/>
      <c r="Y6821" s="318"/>
      <c r="Z6821" s="318"/>
      <c r="AA6821" s="318"/>
      <c r="AB6821" s="318"/>
      <c r="AC6821" s="318"/>
      <c r="AD6821" s="318"/>
    </row>
    <row r="6822" spans="2:30" s="323" customFormat="1" ht="12" customHeight="1">
      <c r="B6822" s="324"/>
      <c r="C6822" s="325"/>
      <c r="D6822" s="326"/>
      <c r="E6822" s="326"/>
      <c r="F6822" s="326"/>
      <c r="G6822" s="326"/>
      <c r="H6822" s="326"/>
      <c r="P6822" s="318"/>
      <c r="Q6822" s="318"/>
      <c r="R6822" s="318"/>
      <c r="S6822" s="318"/>
      <c r="T6822" s="318"/>
      <c r="U6822" s="318"/>
      <c r="V6822" s="318"/>
      <c r="W6822" s="318"/>
      <c r="X6822" s="318"/>
      <c r="Y6822" s="318"/>
      <c r="Z6822" s="318"/>
      <c r="AA6822" s="318"/>
      <c r="AB6822" s="318"/>
      <c r="AC6822" s="318"/>
      <c r="AD6822" s="318"/>
    </row>
    <row r="6823" spans="2:30" s="323" customFormat="1" ht="12" customHeight="1">
      <c r="B6823" s="324"/>
      <c r="C6823" s="325"/>
      <c r="D6823" s="326"/>
      <c r="E6823" s="326"/>
      <c r="F6823" s="326"/>
      <c r="G6823" s="326"/>
      <c r="H6823" s="326"/>
      <c r="P6823" s="318"/>
      <c r="Q6823" s="318"/>
      <c r="R6823" s="318"/>
      <c r="S6823" s="318"/>
      <c r="T6823" s="318"/>
      <c r="U6823" s="318"/>
      <c r="V6823" s="318"/>
      <c r="W6823" s="318"/>
      <c r="X6823" s="318"/>
      <c r="Y6823" s="318"/>
      <c r="Z6823" s="318"/>
      <c r="AA6823" s="318"/>
      <c r="AB6823" s="318"/>
      <c r="AC6823" s="318"/>
      <c r="AD6823" s="318"/>
    </row>
    <row r="6824" spans="2:30" s="323" customFormat="1" ht="12" customHeight="1">
      <c r="B6824" s="324"/>
      <c r="C6824" s="325"/>
      <c r="D6824" s="326"/>
      <c r="E6824" s="326"/>
      <c r="F6824" s="326"/>
      <c r="G6824" s="326"/>
      <c r="H6824" s="326"/>
      <c r="P6824" s="318"/>
      <c r="Q6824" s="318"/>
      <c r="R6824" s="318"/>
      <c r="S6824" s="318"/>
      <c r="T6824" s="318"/>
      <c r="U6824" s="318"/>
      <c r="V6824" s="318"/>
      <c r="W6824" s="318"/>
      <c r="X6824" s="318"/>
      <c r="Y6824" s="318"/>
      <c r="Z6824" s="318"/>
      <c r="AA6824" s="318"/>
      <c r="AB6824" s="318"/>
      <c r="AC6824" s="318"/>
      <c r="AD6824" s="318"/>
    </row>
    <row r="6825" spans="2:30" s="323" customFormat="1" ht="12" customHeight="1">
      <c r="B6825" s="324"/>
      <c r="C6825" s="325"/>
      <c r="D6825" s="326"/>
      <c r="E6825" s="326"/>
      <c r="F6825" s="326"/>
      <c r="G6825" s="326"/>
      <c r="H6825" s="326"/>
      <c r="P6825" s="318"/>
      <c r="Q6825" s="318"/>
      <c r="R6825" s="318"/>
      <c r="S6825" s="318"/>
      <c r="T6825" s="318"/>
      <c r="U6825" s="318"/>
      <c r="V6825" s="318"/>
      <c r="W6825" s="318"/>
      <c r="X6825" s="318"/>
      <c r="Y6825" s="318"/>
      <c r="Z6825" s="318"/>
      <c r="AA6825" s="318"/>
      <c r="AB6825" s="318"/>
      <c r="AC6825" s="318"/>
      <c r="AD6825" s="318"/>
    </row>
    <row r="6826" spans="2:30" s="323" customFormat="1" ht="12" customHeight="1">
      <c r="B6826" s="324"/>
      <c r="C6826" s="325"/>
      <c r="D6826" s="326"/>
      <c r="E6826" s="326"/>
      <c r="F6826" s="326"/>
      <c r="G6826" s="326"/>
      <c r="H6826" s="326"/>
      <c r="P6826" s="318"/>
      <c r="Q6826" s="318"/>
      <c r="R6826" s="318"/>
      <c r="S6826" s="318"/>
      <c r="T6826" s="318"/>
      <c r="U6826" s="318"/>
      <c r="V6826" s="318"/>
      <c r="W6826" s="318"/>
      <c r="X6826" s="318"/>
      <c r="Y6826" s="318"/>
      <c r="Z6826" s="318"/>
      <c r="AA6826" s="318"/>
      <c r="AB6826" s="318"/>
      <c r="AC6826" s="318"/>
      <c r="AD6826" s="318"/>
    </row>
    <row r="6827" spans="2:30" s="323" customFormat="1" ht="12" customHeight="1">
      <c r="B6827" s="324"/>
      <c r="C6827" s="325"/>
      <c r="D6827" s="326"/>
      <c r="E6827" s="326"/>
      <c r="F6827" s="326"/>
      <c r="G6827" s="326"/>
      <c r="H6827" s="326"/>
      <c r="P6827" s="318"/>
      <c r="Q6827" s="318"/>
      <c r="R6827" s="318"/>
      <c r="S6827" s="318"/>
      <c r="T6827" s="318"/>
      <c r="U6827" s="318"/>
      <c r="V6827" s="318"/>
      <c r="W6827" s="318"/>
      <c r="X6827" s="318"/>
      <c r="Y6827" s="318"/>
      <c r="Z6827" s="318"/>
      <c r="AA6827" s="318"/>
      <c r="AB6827" s="318"/>
      <c r="AC6827" s="318"/>
      <c r="AD6827" s="318"/>
    </row>
    <row r="6828" spans="2:30" s="323" customFormat="1" ht="12" customHeight="1">
      <c r="B6828" s="324"/>
      <c r="C6828" s="325"/>
      <c r="D6828" s="326"/>
      <c r="E6828" s="326"/>
      <c r="F6828" s="326"/>
      <c r="G6828" s="326"/>
      <c r="H6828" s="326"/>
      <c r="P6828" s="318"/>
      <c r="Q6828" s="318"/>
      <c r="R6828" s="318"/>
      <c r="S6828" s="318"/>
      <c r="T6828" s="318"/>
      <c r="U6828" s="318"/>
      <c r="V6828" s="318"/>
      <c r="W6828" s="318"/>
      <c r="X6828" s="318"/>
      <c r="Y6828" s="318"/>
      <c r="Z6828" s="318"/>
      <c r="AA6828" s="318"/>
      <c r="AB6828" s="318"/>
      <c r="AC6828" s="318"/>
      <c r="AD6828" s="318"/>
    </row>
    <row r="6829" spans="2:30" s="323" customFormat="1" ht="12" customHeight="1">
      <c r="B6829" s="324"/>
      <c r="C6829" s="325"/>
      <c r="D6829" s="326"/>
      <c r="E6829" s="326"/>
      <c r="F6829" s="326"/>
      <c r="G6829" s="326"/>
      <c r="H6829" s="326"/>
      <c r="P6829" s="318"/>
      <c r="Q6829" s="318"/>
      <c r="R6829" s="318"/>
      <c r="S6829" s="318"/>
      <c r="T6829" s="318"/>
      <c r="U6829" s="318"/>
      <c r="V6829" s="318"/>
      <c r="W6829" s="318"/>
      <c r="X6829" s="318"/>
      <c r="Y6829" s="318"/>
      <c r="Z6829" s="318"/>
      <c r="AA6829" s="318"/>
      <c r="AB6829" s="318"/>
      <c r="AC6829" s="318"/>
      <c r="AD6829" s="318"/>
    </row>
    <row r="6830" spans="2:30" s="323" customFormat="1" ht="12" customHeight="1">
      <c r="B6830" s="324"/>
      <c r="C6830" s="325"/>
      <c r="D6830" s="326"/>
      <c r="E6830" s="326"/>
      <c r="F6830" s="326"/>
      <c r="G6830" s="326"/>
      <c r="H6830" s="326"/>
      <c r="P6830" s="318"/>
      <c r="Q6830" s="318"/>
      <c r="R6830" s="318"/>
      <c r="S6830" s="318"/>
      <c r="T6830" s="318"/>
      <c r="U6830" s="318"/>
      <c r="V6830" s="318"/>
      <c r="W6830" s="318"/>
      <c r="X6830" s="318"/>
      <c r="Y6830" s="318"/>
      <c r="Z6830" s="318"/>
      <c r="AA6830" s="318"/>
      <c r="AB6830" s="318"/>
      <c r="AC6830" s="318"/>
      <c r="AD6830" s="318"/>
    </row>
    <row r="6831" spans="2:30" s="323" customFormat="1" ht="12" customHeight="1">
      <c r="B6831" s="324"/>
      <c r="C6831" s="325"/>
      <c r="D6831" s="326"/>
      <c r="E6831" s="326"/>
      <c r="F6831" s="326"/>
      <c r="G6831" s="326"/>
      <c r="H6831" s="326"/>
      <c r="P6831" s="318"/>
      <c r="Q6831" s="318"/>
      <c r="R6831" s="318"/>
      <c r="S6831" s="318"/>
      <c r="T6831" s="318"/>
      <c r="U6831" s="318"/>
      <c r="V6831" s="318"/>
      <c r="W6831" s="318"/>
      <c r="X6831" s="318"/>
      <c r="Y6831" s="318"/>
      <c r="Z6831" s="318"/>
      <c r="AA6831" s="318"/>
      <c r="AB6831" s="318"/>
      <c r="AC6831" s="318"/>
      <c r="AD6831" s="318"/>
    </row>
    <row r="6832" spans="2:30" s="323" customFormat="1" ht="12" customHeight="1">
      <c r="B6832" s="324"/>
      <c r="C6832" s="325"/>
      <c r="D6832" s="326"/>
      <c r="E6832" s="326"/>
      <c r="F6832" s="326"/>
      <c r="G6832" s="326"/>
      <c r="H6832" s="326"/>
      <c r="P6832" s="318"/>
      <c r="Q6832" s="318"/>
      <c r="R6832" s="318"/>
      <c r="S6832" s="318"/>
      <c r="T6832" s="318"/>
      <c r="U6832" s="318"/>
      <c r="V6832" s="318"/>
      <c r="W6832" s="318"/>
      <c r="X6832" s="318"/>
      <c r="Y6832" s="318"/>
      <c r="Z6832" s="318"/>
      <c r="AA6832" s="318"/>
      <c r="AB6832" s="318"/>
      <c r="AC6832" s="318"/>
      <c r="AD6832" s="318"/>
    </row>
    <row r="6833" spans="2:30" s="323" customFormat="1" ht="12" customHeight="1">
      <c r="B6833" s="324"/>
      <c r="C6833" s="325"/>
      <c r="D6833" s="326"/>
      <c r="E6833" s="326"/>
      <c r="F6833" s="326"/>
      <c r="G6833" s="326"/>
      <c r="H6833" s="326"/>
      <c r="P6833" s="318"/>
      <c r="Q6833" s="318"/>
      <c r="R6833" s="318"/>
      <c r="S6833" s="318"/>
      <c r="T6833" s="318"/>
      <c r="U6833" s="318"/>
      <c r="V6833" s="318"/>
      <c r="W6833" s="318"/>
      <c r="X6833" s="318"/>
      <c r="Y6833" s="318"/>
      <c r="Z6833" s="318"/>
      <c r="AA6833" s="318"/>
      <c r="AB6833" s="318"/>
      <c r="AC6833" s="318"/>
      <c r="AD6833" s="318"/>
    </row>
    <row r="6834" spans="2:30" s="323" customFormat="1" ht="12" customHeight="1">
      <c r="B6834" s="324"/>
      <c r="C6834" s="325"/>
      <c r="D6834" s="326"/>
      <c r="E6834" s="326"/>
      <c r="F6834" s="326"/>
      <c r="G6834" s="326"/>
      <c r="H6834" s="326"/>
      <c r="P6834" s="318"/>
      <c r="Q6834" s="318"/>
      <c r="R6834" s="318"/>
      <c r="S6834" s="318"/>
      <c r="T6834" s="318"/>
      <c r="U6834" s="318"/>
      <c r="V6834" s="318"/>
      <c r="W6834" s="318"/>
      <c r="X6834" s="318"/>
      <c r="Y6834" s="318"/>
      <c r="Z6834" s="318"/>
      <c r="AA6834" s="318"/>
      <c r="AB6834" s="318"/>
      <c r="AC6834" s="318"/>
      <c r="AD6834" s="318"/>
    </row>
    <row r="6835" spans="2:30" s="323" customFormat="1" ht="12" customHeight="1">
      <c r="B6835" s="324"/>
      <c r="C6835" s="325"/>
      <c r="D6835" s="326"/>
      <c r="E6835" s="326"/>
      <c r="F6835" s="326"/>
      <c r="G6835" s="326"/>
      <c r="H6835" s="326"/>
      <c r="P6835" s="318"/>
      <c r="Q6835" s="318"/>
      <c r="R6835" s="318"/>
      <c r="S6835" s="318"/>
      <c r="T6835" s="318"/>
      <c r="U6835" s="318"/>
      <c r="V6835" s="318"/>
      <c r="W6835" s="318"/>
      <c r="X6835" s="318"/>
      <c r="Y6835" s="318"/>
      <c r="Z6835" s="318"/>
      <c r="AA6835" s="318"/>
      <c r="AB6835" s="318"/>
      <c r="AC6835" s="318"/>
      <c r="AD6835" s="318"/>
    </row>
    <row r="6836" spans="2:30" s="323" customFormat="1" ht="12" customHeight="1">
      <c r="B6836" s="324"/>
      <c r="C6836" s="325"/>
      <c r="D6836" s="326"/>
      <c r="E6836" s="326"/>
      <c r="F6836" s="326"/>
      <c r="G6836" s="326"/>
      <c r="H6836" s="326"/>
      <c r="P6836" s="318"/>
      <c r="Q6836" s="318"/>
      <c r="R6836" s="318"/>
      <c r="S6836" s="318"/>
      <c r="T6836" s="318"/>
      <c r="U6836" s="318"/>
      <c r="V6836" s="318"/>
      <c r="W6836" s="318"/>
      <c r="X6836" s="318"/>
      <c r="Y6836" s="318"/>
      <c r="Z6836" s="318"/>
      <c r="AA6836" s="318"/>
      <c r="AB6836" s="318"/>
      <c r="AC6836" s="318"/>
      <c r="AD6836" s="318"/>
    </row>
    <row r="6837" spans="2:30" s="323" customFormat="1" ht="12" customHeight="1">
      <c r="B6837" s="324"/>
      <c r="C6837" s="325"/>
      <c r="D6837" s="326"/>
      <c r="E6837" s="326"/>
      <c r="F6837" s="326"/>
      <c r="G6837" s="326"/>
      <c r="H6837" s="326"/>
      <c r="P6837" s="318"/>
      <c r="Q6837" s="318"/>
      <c r="R6837" s="318"/>
      <c r="S6837" s="318"/>
      <c r="T6837" s="318"/>
      <c r="U6837" s="318"/>
      <c r="V6837" s="318"/>
      <c r="W6837" s="318"/>
      <c r="X6837" s="318"/>
      <c r="Y6837" s="318"/>
      <c r="Z6837" s="318"/>
      <c r="AA6837" s="318"/>
      <c r="AB6837" s="318"/>
      <c r="AC6837" s="318"/>
      <c r="AD6837" s="318"/>
    </row>
    <row r="6838" spans="2:30" s="323" customFormat="1" ht="12" customHeight="1">
      <c r="B6838" s="324"/>
      <c r="C6838" s="325"/>
      <c r="D6838" s="326"/>
      <c r="E6838" s="326"/>
      <c r="F6838" s="326"/>
      <c r="G6838" s="326"/>
      <c r="H6838" s="326"/>
      <c r="P6838" s="318"/>
      <c r="Q6838" s="318"/>
      <c r="R6838" s="318"/>
      <c r="S6838" s="318"/>
      <c r="T6838" s="318"/>
      <c r="U6838" s="318"/>
      <c r="V6838" s="318"/>
      <c r="W6838" s="318"/>
      <c r="X6838" s="318"/>
      <c r="Y6838" s="318"/>
      <c r="Z6838" s="318"/>
      <c r="AA6838" s="318"/>
      <c r="AB6838" s="318"/>
      <c r="AC6838" s="318"/>
      <c r="AD6838" s="318"/>
    </row>
    <row r="6839" spans="2:30" s="323" customFormat="1" ht="12" customHeight="1">
      <c r="B6839" s="324"/>
      <c r="C6839" s="325"/>
      <c r="D6839" s="326"/>
      <c r="E6839" s="326"/>
      <c r="F6839" s="326"/>
      <c r="G6839" s="326"/>
      <c r="H6839" s="326"/>
      <c r="P6839" s="318"/>
      <c r="Q6839" s="318"/>
      <c r="R6839" s="318"/>
      <c r="S6839" s="318"/>
      <c r="T6839" s="318"/>
      <c r="U6839" s="318"/>
      <c r="V6839" s="318"/>
      <c r="W6839" s="318"/>
      <c r="X6839" s="318"/>
      <c r="Y6839" s="318"/>
      <c r="Z6839" s="318"/>
      <c r="AA6839" s="318"/>
      <c r="AB6839" s="318"/>
      <c r="AC6839" s="318"/>
      <c r="AD6839" s="318"/>
    </row>
    <row r="6840" spans="2:30" s="323" customFormat="1" ht="12" customHeight="1">
      <c r="B6840" s="324"/>
      <c r="C6840" s="325"/>
      <c r="D6840" s="326"/>
      <c r="E6840" s="326"/>
      <c r="F6840" s="326"/>
      <c r="G6840" s="326"/>
      <c r="H6840" s="326"/>
      <c r="P6840" s="318"/>
      <c r="Q6840" s="318"/>
      <c r="R6840" s="318"/>
      <c r="S6840" s="318"/>
      <c r="T6840" s="318"/>
      <c r="U6840" s="318"/>
      <c r="V6840" s="318"/>
      <c r="W6840" s="318"/>
      <c r="X6840" s="318"/>
      <c r="Y6840" s="318"/>
      <c r="Z6840" s="318"/>
      <c r="AA6840" s="318"/>
      <c r="AB6840" s="318"/>
      <c r="AC6840" s="318"/>
      <c r="AD6840" s="318"/>
    </row>
    <row r="6841" spans="2:30" s="323" customFormat="1" ht="12" customHeight="1">
      <c r="B6841" s="324"/>
      <c r="C6841" s="325"/>
      <c r="D6841" s="326"/>
      <c r="E6841" s="326"/>
      <c r="F6841" s="326"/>
      <c r="G6841" s="326"/>
      <c r="H6841" s="326"/>
      <c r="P6841" s="318"/>
      <c r="Q6841" s="318"/>
      <c r="R6841" s="318"/>
      <c r="S6841" s="318"/>
      <c r="T6841" s="318"/>
      <c r="U6841" s="318"/>
      <c r="V6841" s="318"/>
      <c r="W6841" s="318"/>
      <c r="X6841" s="318"/>
      <c r="Y6841" s="318"/>
      <c r="Z6841" s="318"/>
      <c r="AA6841" s="318"/>
      <c r="AB6841" s="318"/>
      <c r="AC6841" s="318"/>
      <c r="AD6841" s="318"/>
    </row>
    <row r="6842" spans="2:30" s="323" customFormat="1" ht="12" customHeight="1">
      <c r="B6842" s="324"/>
      <c r="C6842" s="325"/>
      <c r="D6842" s="326"/>
      <c r="E6842" s="326"/>
      <c r="F6842" s="326"/>
      <c r="G6842" s="326"/>
      <c r="H6842" s="326"/>
      <c r="P6842" s="318"/>
      <c r="Q6842" s="318"/>
      <c r="R6842" s="318"/>
      <c r="S6842" s="318"/>
      <c r="T6842" s="318"/>
      <c r="U6842" s="318"/>
      <c r="V6842" s="318"/>
      <c r="W6842" s="318"/>
      <c r="X6842" s="318"/>
      <c r="Y6842" s="318"/>
      <c r="Z6842" s="318"/>
      <c r="AA6842" s="318"/>
      <c r="AB6842" s="318"/>
      <c r="AC6842" s="318"/>
      <c r="AD6842" s="318"/>
    </row>
    <row r="6843" spans="2:30" s="323" customFormat="1" ht="12" customHeight="1">
      <c r="B6843" s="324"/>
      <c r="C6843" s="325"/>
      <c r="D6843" s="326"/>
      <c r="E6843" s="326"/>
      <c r="F6843" s="326"/>
      <c r="G6843" s="326"/>
      <c r="H6843" s="326"/>
      <c r="P6843" s="318"/>
      <c r="Q6843" s="318"/>
      <c r="R6843" s="318"/>
      <c r="S6843" s="318"/>
      <c r="T6843" s="318"/>
      <c r="U6843" s="318"/>
      <c r="V6843" s="318"/>
      <c r="W6843" s="318"/>
      <c r="X6843" s="318"/>
      <c r="Y6843" s="318"/>
      <c r="Z6843" s="318"/>
      <c r="AA6843" s="318"/>
      <c r="AB6843" s="318"/>
      <c r="AC6843" s="318"/>
      <c r="AD6843" s="318"/>
    </row>
    <row r="6844" spans="2:30" s="323" customFormat="1" ht="12" customHeight="1">
      <c r="B6844" s="324"/>
      <c r="C6844" s="325"/>
      <c r="D6844" s="326"/>
      <c r="E6844" s="326"/>
      <c r="F6844" s="326"/>
      <c r="G6844" s="326"/>
      <c r="H6844" s="326"/>
      <c r="P6844" s="318"/>
      <c r="Q6844" s="318"/>
      <c r="R6844" s="318"/>
      <c r="S6844" s="318"/>
      <c r="T6844" s="318"/>
      <c r="U6844" s="318"/>
      <c r="V6844" s="318"/>
      <c r="W6844" s="318"/>
      <c r="X6844" s="318"/>
      <c r="Y6844" s="318"/>
      <c r="Z6844" s="318"/>
      <c r="AA6844" s="318"/>
      <c r="AB6844" s="318"/>
      <c r="AC6844" s="318"/>
      <c r="AD6844" s="318"/>
    </row>
    <row r="6845" spans="2:30" s="323" customFormat="1" ht="12" customHeight="1">
      <c r="B6845" s="324"/>
      <c r="C6845" s="325"/>
      <c r="D6845" s="326"/>
      <c r="E6845" s="326"/>
      <c r="F6845" s="326"/>
      <c r="G6845" s="326"/>
      <c r="H6845" s="326"/>
      <c r="P6845" s="318"/>
      <c r="Q6845" s="318"/>
      <c r="R6845" s="318"/>
      <c r="S6845" s="318"/>
      <c r="T6845" s="318"/>
      <c r="U6845" s="318"/>
      <c r="V6845" s="318"/>
      <c r="W6845" s="318"/>
      <c r="X6845" s="318"/>
      <c r="Y6845" s="318"/>
      <c r="Z6845" s="318"/>
      <c r="AA6845" s="318"/>
      <c r="AB6845" s="318"/>
      <c r="AC6845" s="318"/>
      <c r="AD6845" s="318"/>
    </row>
    <row r="6846" spans="2:30" s="323" customFormat="1" ht="12" customHeight="1">
      <c r="B6846" s="324"/>
      <c r="C6846" s="325"/>
      <c r="D6846" s="326"/>
      <c r="E6846" s="326"/>
      <c r="F6846" s="326"/>
      <c r="G6846" s="326"/>
      <c r="H6846" s="326"/>
      <c r="P6846" s="318"/>
      <c r="Q6846" s="318"/>
      <c r="R6846" s="318"/>
      <c r="S6846" s="318"/>
      <c r="T6846" s="318"/>
      <c r="U6846" s="318"/>
      <c r="V6846" s="318"/>
      <c r="W6846" s="318"/>
      <c r="X6846" s="318"/>
      <c r="Y6846" s="318"/>
      <c r="Z6846" s="318"/>
      <c r="AA6846" s="318"/>
      <c r="AB6846" s="318"/>
      <c r="AC6846" s="318"/>
      <c r="AD6846" s="318"/>
    </row>
    <row r="6847" spans="2:30" s="323" customFormat="1" ht="12" customHeight="1">
      <c r="B6847" s="324"/>
      <c r="C6847" s="325"/>
      <c r="D6847" s="326"/>
      <c r="E6847" s="326"/>
      <c r="F6847" s="326"/>
      <c r="G6847" s="326"/>
      <c r="H6847" s="326"/>
      <c r="P6847" s="318"/>
      <c r="Q6847" s="318"/>
      <c r="R6847" s="318"/>
      <c r="S6847" s="318"/>
      <c r="T6847" s="318"/>
      <c r="U6847" s="318"/>
      <c r="V6847" s="318"/>
      <c r="W6847" s="318"/>
      <c r="X6847" s="318"/>
      <c r="Y6847" s="318"/>
      <c r="Z6847" s="318"/>
      <c r="AA6847" s="318"/>
      <c r="AB6847" s="318"/>
      <c r="AC6847" s="318"/>
      <c r="AD6847" s="318"/>
    </row>
    <row r="6848" spans="2:30" s="323" customFormat="1" ht="12" customHeight="1">
      <c r="B6848" s="324"/>
      <c r="C6848" s="325"/>
      <c r="D6848" s="326"/>
      <c r="E6848" s="326"/>
      <c r="F6848" s="326"/>
      <c r="G6848" s="326"/>
      <c r="H6848" s="326"/>
      <c r="P6848" s="318"/>
      <c r="Q6848" s="318"/>
      <c r="R6848" s="318"/>
      <c r="S6848" s="318"/>
      <c r="T6848" s="318"/>
      <c r="U6848" s="318"/>
      <c r="V6848" s="318"/>
      <c r="W6848" s="318"/>
      <c r="X6848" s="318"/>
      <c r="Y6848" s="318"/>
      <c r="Z6848" s="318"/>
      <c r="AA6848" s="318"/>
      <c r="AB6848" s="318"/>
      <c r="AC6848" s="318"/>
      <c r="AD6848" s="318"/>
    </row>
    <row r="6849" spans="2:30" s="323" customFormat="1" ht="12" customHeight="1">
      <c r="B6849" s="324"/>
      <c r="C6849" s="325"/>
      <c r="D6849" s="326"/>
      <c r="E6849" s="326"/>
      <c r="F6849" s="326"/>
      <c r="G6849" s="326"/>
      <c r="H6849" s="326"/>
      <c r="P6849" s="318"/>
      <c r="Q6849" s="318"/>
      <c r="R6849" s="318"/>
      <c r="S6849" s="318"/>
      <c r="T6849" s="318"/>
      <c r="U6849" s="318"/>
      <c r="V6849" s="318"/>
      <c r="W6849" s="318"/>
      <c r="X6849" s="318"/>
      <c r="Y6849" s="318"/>
      <c r="Z6849" s="318"/>
      <c r="AA6849" s="318"/>
      <c r="AB6849" s="318"/>
      <c r="AC6849" s="318"/>
      <c r="AD6849" s="318"/>
    </row>
    <row r="6850" spans="2:30" s="323" customFormat="1" ht="12" customHeight="1">
      <c r="B6850" s="324"/>
      <c r="C6850" s="325"/>
      <c r="D6850" s="326"/>
      <c r="E6850" s="326"/>
      <c r="F6850" s="326"/>
      <c r="G6850" s="326"/>
      <c r="H6850" s="326"/>
      <c r="P6850" s="318"/>
      <c r="Q6850" s="318"/>
      <c r="R6850" s="318"/>
      <c r="S6850" s="318"/>
      <c r="T6850" s="318"/>
      <c r="U6850" s="318"/>
      <c r="V6850" s="318"/>
      <c r="W6850" s="318"/>
      <c r="X6850" s="318"/>
      <c r="Y6850" s="318"/>
      <c r="Z6850" s="318"/>
      <c r="AA6850" s="318"/>
      <c r="AB6850" s="318"/>
      <c r="AC6850" s="318"/>
      <c r="AD6850" s="318"/>
    </row>
    <row r="6851" spans="2:30" s="323" customFormat="1" ht="12" customHeight="1">
      <c r="B6851" s="324"/>
      <c r="C6851" s="325"/>
      <c r="D6851" s="326"/>
      <c r="E6851" s="326"/>
      <c r="F6851" s="326"/>
      <c r="G6851" s="326"/>
      <c r="H6851" s="326"/>
      <c r="P6851" s="318"/>
      <c r="Q6851" s="318"/>
      <c r="R6851" s="318"/>
      <c r="S6851" s="318"/>
      <c r="T6851" s="318"/>
      <c r="U6851" s="318"/>
      <c r="V6851" s="318"/>
      <c r="W6851" s="318"/>
      <c r="X6851" s="318"/>
      <c r="Y6851" s="318"/>
      <c r="Z6851" s="318"/>
      <c r="AA6851" s="318"/>
      <c r="AB6851" s="318"/>
      <c r="AC6851" s="318"/>
      <c r="AD6851" s="318"/>
    </row>
    <row r="6852" spans="2:30" s="323" customFormat="1" ht="12" customHeight="1">
      <c r="B6852" s="324"/>
      <c r="C6852" s="325"/>
      <c r="D6852" s="326"/>
      <c r="E6852" s="326"/>
      <c r="F6852" s="326"/>
      <c r="G6852" s="326"/>
      <c r="H6852" s="326"/>
      <c r="P6852" s="318"/>
      <c r="Q6852" s="318"/>
      <c r="R6852" s="318"/>
      <c r="S6852" s="318"/>
      <c r="T6852" s="318"/>
      <c r="U6852" s="318"/>
      <c r="V6852" s="318"/>
      <c r="W6852" s="318"/>
      <c r="X6852" s="318"/>
      <c r="Y6852" s="318"/>
      <c r="Z6852" s="318"/>
      <c r="AA6852" s="318"/>
      <c r="AB6852" s="318"/>
      <c r="AC6852" s="318"/>
      <c r="AD6852" s="318"/>
    </row>
    <row r="6853" spans="2:30" s="323" customFormat="1" ht="12" customHeight="1">
      <c r="B6853" s="324"/>
      <c r="C6853" s="325"/>
      <c r="D6853" s="326"/>
      <c r="E6853" s="326"/>
      <c r="F6853" s="326"/>
      <c r="G6853" s="326"/>
      <c r="H6853" s="326"/>
      <c r="P6853" s="318"/>
      <c r="Q6853" s="318"/>
      <c r="R6853" s="318"/>
      <c r="S6853" s="318"/>
      <c r="T6853" s="318"/>
      <c r="U6853" s="318"/>
      <c r="V6853" s="318"/>
      <c r="W6853" s="318"/>
      <c r="X6853" s="318"/>
      <c r="Y6853" s="318"/>
      <c r="Z6853" s="318"/>
      <c r="AA6853" s="318"/>
      <c r="AB6853" s="318"/>
      <c r="AC6853" s="318"/>
      <c r="AD6853" s="318"/>
    </row>
    <row r="6854" spans="2:30" s="323" customFormat="1" ht="12" customHeight="1">
      <c r="B6854" s="324"/>
      <c r="C6854" s="325"/>
      <c r="D6854" s="326"/>
      <c r="E6854" s="326"/>
      <c r="F6854" s="326"/>
      <c r="G6854" s="326"/>
      <c r="H6854" s="326"/>
      <c r="P6854" s="318"/>
      <c r="Q6854" s="318"/>
      <c r="R6854" s="318"/>
      <c r="S6854" s="318"/>
      <c r="T6854" s="318"/>
      <c r="U6854" s="318"/>
      <c r="V6854" s="318"/>
      <c r="W6854" s="318"/>
      <c r="X6854" s="318"/>
      <c r="Y6854" s="318"/>
      <c r="Z6854" s="318"/>
      <c r="AA6854" s="318"/>
      <c r="AB6854" s="318"/>
      <c r="AC6854" s="318"/>
      <c r="AD6854" s="318"/>
    </row>
    <row r="6855" spans="2:30" s="323" customFormat="1" ht="12" customHeight="1">
      <c r="B6855" s="324"/>
      <c r="C6855" s="325"/>
      <c r="D6855" s="326"/>
      <c r="E6855" s="326"/>
      <c r="F6855" s="326"/>
      <c r="G6855" s="326"/>
      <c r="H6855" s="326"/>
      <c r="P6855" s="318"/>
      <c r="Q6855" s="318"/>
      <c r="R6855" s="318"/>
      <c r="S6855" s="318"/>
      <c r="T6855" s="318"/>
      <c r="U6855" s="318"/>
      <c r="V6855" s="318"/>
      <c r="W6855" s="318"/>
      <c r="X6855" s="318"/>
      <c r="Y6855" s="318"/>
      <c r="Z6855" s="318"/>
      <c r="AA6855" s="318"/>
      <c r="AB6855" s="318"/>
      <c r="AC6855" s="318"/>
      <c r="AD6855" s="318"/>
    </row>
    <row r="6856" spans="2:30" s="323" customFormat="1" ht="12" customHeight="1">
      <c r="B6856" s="324"/>
      <c r="C6856" s="325"/>
      <c r="D6856" s="326"/>
      <c r="E6856" s="326"/>
      <c r="F6856" s="326"/>
      <c r="G6856" s="326"/>
      <c r="H6856" s="326"/>
      <c r="P6856" s="318"/>
      <c r="Q6856" s="318"/>
      <c r="R6856" s="318"/>
      <c r="S6856" s="318"/>
      <c r="T6856" s="318"/>
      <c r="U6856" s="318"/>
      <c r="V6856" s="318"/>
      <c r="W6856" s="318"/>
      <c r="X6856" s="318"/>
      <c r="Y6856" s="318"/>
      <c r="Z6856" s="318"/>
      <c r="AA6856" s="318"/>
      <c r="AB6856" s="318"/>
      <c r="AC6856" s="318"/>
      <c r="AD6856" s="318"/>
    </row>
    <row r="6857" spans="2:30" s="323" customFormat="1" ht="12" customHeight="1">
      <c r="B6857" s="324"/>
      <c r="C6857" s="325"/>
      <c r="D6857" s="326"/>
      <c r="E6857" s="326"/>
      <c r="F6857" s="326"/>
      <c r="G6857" s="326"/>
      <c r="H6857" s="326"/>
      <c r="P6857" s="318"/>
      <c r="Q6857" s="318"/>
      <c r="R6857" s="318"/>
      <c r="S6857" s="318"/>
      <c r="T6857" s="318"/>
      <c r="U6857" s="318"/>
      <c r="V6857" s="318"/>
      <c r="W6857" s="318"/>
      <c r="X6857" s="318"/>
      <c r="Y6857" s="318"/>
      <c r="Z6857" s="318"/>
      <c r="AA6857" s="318"/>
      <c r="AB6857" s="318"/>
      <c r="AC6857" s="318"/>
      <c r="AD6857" s="318"/>
    </row>
    <row r="6858" spans="2:30" s="323" customFormat="1" ht="12" customHeight="1">
      <c r="B6858" s="324"/>
      <c r="C6858" s="325"/>
      <c r="D6858" s="326"/>
      <c r="E6858" s="326"/>
      <c r="F6858" s="326"/>
      <c r="G6858" s="326"/>
      <c r="H6858" s="326"/>
      <c r="P6858" s="318"/>
      <c r="Q6858" s="318"/>
      <c r="R6858" s="318"/>
      <c r="S6858" s="318"/>
      <c r="T6858" s="318"/>
      <c r="U6858" s="318"/>
      <c r="V6858" s="318"/>
      <c r="W6858" s="318"/>
      <c r="X6858" s="318"/>
      <c r="Y6858" s="318"/>
      <c r="Z6858" s="318"/>
      <c r="AA6858" s="318"/>
      <c r="AB6858" s="318"/>
      <c r="AC6858" s="318"/>
      <c r="AD6858" s="318"/>
    </row>
    <row r="6859" spans="2:30" s="323" customFormat="1" ht="12" customHeight="1">
      <c r="B6859" s="324"/>
      <c r="C6859" s="325"/>
      <c r="D6859" s="326"/>
      <c r="E6859" s="326"/>
      <c r="F6859" s="326"/>
      <c r="G6859" s="326"/>
      <c r="H6859" s="326"/>
      <c r="P6859" s="318"/>
      <c r="Q6859" s="318"/>
      <c r="R6859" s="318"/>
      <c r="S6859" s="318"/>
      <c r="T6859" s="318"/>
      <c r="U6859" s="318"/>
      <c r="V6859" s="318"/>
      <c r="W6859" s="318"/>
      <c r="X6859" s="318"/>
      <c r="Y6859" s="318"/>
      <c r="Z6859" s="318"/>
      <c r="AA6859" s="318"/>
      <c r="AB6859" s="318"/>
      <c r="AC6859" s="318"/>
      <c r="AD6859" s="318"/>
    </row>
    <row r="6860" spans="2:30" s="323" customFormat="1" ht="12" customHeight="1">
      <c r="B6860" s="324"/>
      <c r="C6860" s="325"/>
      <c r="D6860" s="326"/>
      <c r="E6860" s="326"/>
      <c r="F6860" s="326"/>
      <c r="G6860" s="326"/>
      <c r="H6860" s="326"/>
      <c r="P6860" s="318"/>
      <c r="Q6860" s="318"/>
      <c r="R6860" s="318"/>
      <c r="S6860" s="318"/>
      <c r="T6860" s="318"/>
      <c r="U6860" s="318"/>
      <c r="V6860" s="318"/>
      <c r="W6860" s="318"/>
      <c r="X6860" s="318"/>
      <c r="Y6860" s="318"/>
      <c r="Z6860" s="318"/>
      <c r="AA6860" s="318"/>
      <c r="AB6860" s="318"/>
      <c r="AC6860" s="318"/>
      <c r="AD6860" s="318"/>
    </row>
    <row r="6861" spans="2:30" s="323" customFormat="1" ht="12" customHeight="1">
      <c r="B6861" s="324"/>
      <c r="C6861" s="325"/>
      <c r="D6861" s="326"/>
      <c r="E6861" s="326"/>
      <c r="F6861" s="326"/>
      <c r="G6861" s="326"/>
      <c r="H6861" s="326"/>
      <c r="P6861" s="318"/>
      <c r="Q6861" s="318"/>
      <c r="R6861" s="318"/>
      <c r="S6861" s="318"/>
      <c r="T6861" s="318"/>
      <c r="U6861" s="318"/>
      <c r="V6861" s="318"/>
      <c r="W6861" s="318"/>
      <c r="X6861" s="318"/>
      <c r="Y6861" s="318"/>
      <c r="Z6861" s="318"/>
      <c r="AA6861" s="318"/>
      <c r="AB6861" s="318"/>
      <c r="AC6861" s="318"/>
      <c r="AD6861" s="318"/>
    </row>
    <row r="6862" spans="2:30" s="323" customFormat="1" ht="12" customHeight="1">
      <c r="B6862" s="324"/>
      <c r="C6862" s="325"/>
      <c r="D6862" s="326"/>
      <c r="E6862" s="326"/>
      <c r="F6862" s="326"/>
      <c r="G6862" s="326"/>
      <c r="H6862" s="326"/>
      <c r="P6862" s="318"/>
      <c r="Q6862" s="318"/>
      <c r="R6862" s="318"/>
      <c r="S6862" s="318"/>
      <c r="T6862" s="318"/>
      <c r="U6862" s="318"/>
      <c r="V6862" s="318"/>
      <c r="W6862" s="318"/>
      <c r="X6862" s="318"/>
      <c r="Y6862" s="318"/>
      <c r="Z6862" s="318"/>
      <c r="AA6862" s="318"/>
      <c r="AB6862" s="318"/>
      <c r="AC6862" s="318"/>
      <c r="AD6862" s="318"/>
    </row>
    <row r="6863" spans="2:30" s="323" customFormat="1" ht="12" customHeight="1">
      <c r="B6863" s="324"/>
      <c r="C6863" s="325"/>
      <c r="D6863" s="326"/>
      <c r="E6863" s="326"/>
      <c r="F6863" s="326"/>
      <c r="G6863" s="326"/>
      <c r="H6863" s="326"/>
      <c r="P6863" s="318"/>
      <c r="Q6863" s="318"/>
      <c r="R6863" s="318"/>
      <c r="S6863" s="318"/>
      <c r="T6863" s="318"/>
      <c r="U6863" s="318"/>
      <c r="V6863" s="318"/>
      <c r="W6863" s="318"/>
      <c r="X6863" s="318"/>
      <c r="Y6863" s="318"/>
      <c r="Z6863" s="318"/>
      <c r="AA6863" s="318"/>
      <c r="AB6863" s="318"/>
      <c r="AC6863" s="318"/>
      <c r="AD6863" s="318"/>
    </row>
    <row r="6864" spans="2:30" s="323" customFormat="1" ht="12" customHeight="1">
      <c r="B6864" s="324"/>
      <c r="C6864" s="325"/>
      <c r="D6864" s="326"/>
      <c r="E6864" s="326"/>
      <c r="F6864" s="326"/>
      <c r="G6864" s="326"/>
      <c r="H6864" s="326"/>
      <c r="P6864" s="318"/>
      <c r="Q6864" s="318"/>
      <c r="R6864" s="318"/>
      <c r="S6864" s="318"/>
      <c r="T6864" s="318"/>
      <c r="U6864" s="318"/>
      <c r="V6864" s="318"/>
      <c r="W6864" s="318"/>
      <c r="X6864" s="318"/>
      <c r="Y6864" s="318"/>
      <c r="Z6864" s="318"/>
      <c r="AA6864" s="318"/>
      <c r="AB6864" s="318"/>
      <c r="AC6864" s="318"/>
      <c r="AD6864" s="318"/>
    </row>
    <row r="6865" spans="2:30" s="323" customFormat="1" ht="12" customHeight="1">
      <c r="B6865" s="324"/>
      <c r="C6865" s="325"/>
      <c r="D6865" s="326"/>
      <c r="E6865" s="326"/>
      <c r="F6865" s="326"/>
      <c r="G6865" s="326"/>
      <c r="H6865" s="326"/>
      <c r="P6865" s="318"/>
      <c r="Q6865" s="318"/>
      <c r="R6865" s="318"/>
      <c r="S6865" s="318"/>
      <c r="T6865" s="318"/>
      <c r="U6865" s="318"/>
      <c r="V6865" s="318"/>
      <c r="W6865" s="318"/>
      <c r="X6865" s="318"/>
      <c r="Y6865" s="318"/>
      <c r="Z6865" s="318"/>
      <c r="AA6865" s="318"/>
      <c r="AB6865" s="318"/>
      <c r="AC6865" s="318"/>
      <c r="AD6865" s="318"/>
    </row>
    <row r="6866" spans="2:30" s="323" customFormat="1" ht="12" customHeight="1">
      <c r="B6866" s="324"/>
      <c r="C6866" s="325"/>
      <c r="D6866" s="326"/>
      <c r="E6866" s="326"/>
      <c r="F6866" s="326"/>
      <c r="G6866" s="326"/>
      <c r="H6866" s="326"/>
      <c r="P6866" s="318"/>
      <c r="Q6866" s="318"/>
      <c r="R6866" s="318"/>
      <c r="S6866" s="318"/>
      <c r="T6866" s="318"/>
      <c r="U6866" s="318"/>
      <c r="V6866" s="318"/>
      <c r="W6866" s="318"/>
      <c r="X6866" s="318"/>
      <c r="Y6866" s="318"/>
      <c r="Z6866" s="318"/>
      <c r="AA6866" s="318"/>
      <c r="AB6866" s="318"/>
      <c r="AC6866" s="318"/>
      <c r="AD6866" s="318"/>
    </row>
    <row r="6867" spans="2:30" s="323" customFormat="1" ht="12" customHeight="1">
      <c r="B6867" s="324"/>
      <c r="C6867" s="325"/>
      <c r="D6867" s="326"/>
      <c r="E6867" s="326"/>
      <c r="F6867" s="326"/>
      <c r="G6867" s="326"/>
      <c r="H6867" s="326"/>
      <c r="P6867" s="318"/>
      <c r="Q6867" s="318"/>
      <c r="R6867" s="318"/>
      <c r="S6867" s="318"/>
      <c r="T6867" s="318"/>
      <c r="U6867" s="318"/>
      <c r="V6867" s="318"/>
      <c r="W6867" s="318"/>
      <c r="X6867" s="318"/>
      <c r="Y6867" s="318"/>
      <c r="Z6867" s="318"/>
      <c r="AA6867" s="318"/>
      <c r="AB6867" s="318"/>
      <c r="AC6867" s="318"/>
      <c r="AD6867" s="318"/>
    </row>
    <row r="6868" spans="2:30" s="323" customFormat="1" ht="12" customHeight="1">
      <c r="B6868" s="324"/>
      <c r="C6868" s="325"/>
      <c r="D6868" s="326"/>
      <c r="E6868" s="326"/>
      <c r="F6868" s="326"/>
      <c r="G6868" s="326"/>
      <c r="H6868" s="326"/>
      <c r="P6868" s="318"/>
      <c r="Q6868" s="318"/>
      <c r="R6868" s="318"/>
      <c r="S6868" s="318"/>
      <c r="T6868" s="318"/>
      <c r="U6868" s="318"/>
      <c r="V6868" s="318"/>
      <c r="W6868" s="318"/>
      <c r="X6868" s="318"/>
      <c r="Y6868" s="318"/>
      <c r="Z6868" s="318"/>
      <c r="AA6868" s="318"/>
      <c r="AB6868" s="318"/>
      <c r="AC6868" s="318"/>
      <c r="AD6868" s="318"/>
    </row>
    <row r="6869" spans="2:30" s="323" customFormat="1" ht="12" customHeight="1">
      <c r="B6869" s="324"/>
      <c r="C6869" s="325"/>
      <c r="D6869" s="326"/>
      <c r="E6869" s="326"/>
      <c r="F6869" s="326"/>
      <c r="G6869" s="326"/>
      <c r="H6869" s="326"/>
      <c r="P6869" s="318"/>
      <c r="Q6869" s="318"/>
      <c r="R6869" s="318"/>
      <c r="S6869" s="318"/>
      <c r="T6869" s="318"/>
      <c r="U6869" s="318"/>
      <c r="V6869" s="318"/>
      <c r="W6869" s="318"/>
      <c r="X6869" s="318"/>
      <c r="Y6869" s="318"/>
      <c r="Z6869" s="318"/>
      <c r="AA6869" s="318"/>
      <c r="AB6869" s="318"/>
      <c r="AC6869" s="318"/>
      <c r="AD6869" s="318"/>
    </row>
    <row r="6870" spans="2:30" s="323" customFormat="1" ht="12" customHeight="1">
      <c r="B6870" s="324"/>
      <c r="C6870" s="325"/>
      <c r="D6870" s="326"/>
      <c r="E6870" s="326"/>
      <c r="F6870" s="326"/>
      <c r="G6870" s="326"/>
      <c r="H6870" s="326"/>
      <c r="P6870" s="318"/>
      <c r="Q6870" s="318"/>
      <c r="R6870" s="318"/>
      <c r="S6870" s="318"/>
      <c r="T6870" s="318"/>
      <c r="U6870" s="318"/>
      <c r="V6870" s="318"/>
      <c r="W6870" s="318"/>
      <c r="X6870" s="318"/>
      <c r="Y6870" s="318"/>
      <c r="Z6870" s="318"/>
      <c r="AA6870" s="318"/>
      <c r="AB6870" s="318"/>
      <c r="AC6870" s="318"/>
      <c r="AD6870" s="318"/>
    </row>
    <row r="6871" spans="2:30" s="323" customFormat="1" ht="12" customHeight="1">
      <c r="B6871" s="324"/>
      <c r="C6871" s="325"/>
      <c r="D6871" s="326"/>
      <c r="E6871" s="326"/>
      <c r="F6871" s="326"/>
      <c r="G6871" s="326"/>
      <c r="H6871" s="326"/>
      <c r="P6871" s="318"/>
      <c r="Q6871" s="318"/>
      <c r="R6871" s="318"/>
      <c r="S6871" s="318"/>
      <c r="T6871" s="318"/>
      <c r="U6871" s="318"/>
      <c r="V6871" s="318"/>
      <c r="W6871" s="318"/>
      <c r="X6871" s="318"/>
      <c r="Y6871" s="318"/>
      <c r="Z6871" s="318"/>
      <c r="AA6871" s="318"/>
      <c r="AB6871" s="318"/>
      <c r="AC6871" s="318"/>
      <c r="AD6871" s="318"/>
    </row>
    <row r="6872" spans="2:30" s="323" customFormat="1" ht="12" customHeight="1">
      <c r="B6872" s="324"/>
      <c r="C6872" s="325"/>
      <c r="D6872" s="326"/>
      <c r="E6872" s="326"/>
      <c r="F6872" s="326"/>
      <c r="G6872" s="326"/>
      <c r="H6872" s="326"/>
      <c r="P6872" s="318"/>
      <c r="Q6872" s="318"/>
      <c r="R6872" s="318"/>
      <c r="S6872" s="318"/>
      <c r="T6872" s="318"/>
      <c r="U6872" s="318"/>
      <c r="V6872" s="318"/>
      <c r="W6872" s="318"/>
      <c r="X6872" s="318"/>
      <c r="Y6872" s="318"/>
      <c r="Z6872" s="318"/>
      <c r="AA6872" s="318"/>
      <c r="AB6872" s="318"/>
      <c r="AC6872" s="318"/>
      <c r="AD6872" s="318"/>
    </row>
    <row r="6873" spans="2:30" s="323" customFormat="1" ht="12" customHeight="1">
      <c r="B6873" s="324"/>
      <c r="C6873" s="325"/>
      <c r="D6873" s="326"/>
      <c r="E6873" s="326"/>
      <c r="F6873" s="326"/>
      <c r="G6873" s="326"/>
      <c r="H6873" s="326"/>
      <c r="P6873" s="318"/>
      <c r="Q6873" s="318"/>
      <c r="R6873" s="318"/>
      <c r="S6873" s="318"/>
      <c r="T6873" s="318"/>
      <c r="U6873" s="318"/>
      <c r="V6873" s="318"/>
      <c r="W6873" s="318"/>
      <c r="X6873" s="318"/>
      <c r="Y6873" s="318"/>
      <c r="Z6873" s="318"/>
      <c r="AA6873" s="318"/>
      <c r="AB6873" s="318"/>
      <c r="AC6873" s="318"/>
      <c r="AD6873" s="318"/>
    </row>
    <row r="6874" spans="2:30" s="323" customFormat="1" ht="12" customHeight="1">
      <c r="B6874" s="324"/>
      <c r="C6874" s="325"/>
      <c r="D6874" s="326"/>
      <c r="E6874" s="326"/>
      <c r="F6874" s="326"/>
      <c r="G6874" s="326"/>
      <c r="H6874" s="326"/>
      <c r="P6874" s="318"/>
      <c r="Q6874" s="318"/>
      <c r="R6874" s="318"/>
      <c r="S6874" s="318"/>
      <c r="T6874" s="318"/>
      <c r="U6874" s="318"/>
      <c r="V6874" s="318"/>
      <c r="W6874" s="318"/>
      <c r="X6874" s="318"/>
      <c r="Y6874" s="318"/>
      <c r="Z6874" s="318"/>
      <c r="AA6874" s="318"/>
      <c r="AB6874" s="318"/>
      <c r="AC6874" s="318"/>
      <c r="AD6874" s="318"/>
    </row>
    <row r="6875" spans="2:30" s="323" customFormat="1" ht="12" customHeight="1">
      <c r="B6875" s="324"/>
      <c r="C6875" s="325"/>
      <c r="D6875" s="326"/>
      <c r="E6875" s="326"/>
      <c r="F6875" s="326"/>
      <c r="G6875" s="326"/>
      <c r="H6875" s="326"/>
      <c r="P6875" s="318"/>
      <c r="Q6875" s="318"/>
      <c r="R6875" s="318"/>
      <c r="S6875" s="318"/>
      <c r="T6875" s="318"/>
      <c r="U6875" s="318"/>
      <c r="V6875" s="318"/>
      <c r="W6875" s="318"/>
      <c r="X6875" s="318"/>
      <c r="Y6875" s="318"/>
      <c r="Z6875" s="318"/>
      <c r="AA6875" s="318"/>
      <c r="AB6875" s="318"/>
      <c r="AC6875" s="318"/>
      <c r="AD6875" s="318"/>
    </row>
    <row r="6876" spans="2:30" s="323" customFormat="1" ht="12" customHeight="1">
      <c r="B6876" s="324"/>
      <c r="C6876" s="325"/>
      <c r="D6876" s="326"/>
      <c r="E6876" s="326"/>
      <c r="F6876" s="326"/>
      <c r="G6876" s="326"/>
      <c r="H6876" s="326"/>
      <c r="P6876" s="318"/>
      <c r="Q6876" s="318"/>
      <c r="R6876" s="318"/>
      <c r="S6876" s="318"/>
      <c r="T6876" s="318"/>
      <c r="U6876" s="318"/>
      <c r="V6876" s="318"/>
      <c r="W6876" s="318"/>
      <c r="X6876" s="318"/>
      <c r="Y6876" s="318"/>
      <c r="Z6876" s="318"/>
      <c r="AA6876" s="318"/>
      <c r="AB6876" s="318"/>
      <c r="AC6876" s="318"/>
      <c r="AD6876" s="318"/>
    </row>
    <row r="6877" spans="2:30" s="323" customFormat="1" ht="12" customHeight="1">
      <c r="B6877" s="324"/>
      <c r="C6877" s="325"/>
      <c r="D6877" s="326"/>
      <c r="E6877" s="326"/>
      <c r="F6877" s="326"/>
      <c r="G6877" s="326"/>
      <c r="H6877" s="326"/>
      <c r="P6877" s="318"/>
      <c r="Q6877" s="318"/>
      <c r="R6877" s="318"/>
      <c r="S6877" s="318"/>
      <c r="T6877" s="318"/>
      <c r="U6877" s="318"/>
      <c r="V6877" s="318"/>
      <c r="W6877" s="318"/>
      <c r="X6877" s="318"/>
      <c r="Y6877" s="318"/>
      <c r="Z6877" s="318"/>
      <c r="AA6877" s="318"/>
      <c r="AB6877" s="318"/>
      <c r="AC6877" s="318"/>
      <c r="AD6877" s="318"/>
    </row>
    <row r="6878" spans="2:30" s="323" customFormat="1" ht="12" customHeight="1">
      <c r="B6878" s="324"/>
      <c r="C6878" s="325"/>
      <c r="D6878" s="326"/>
      <c r="E6878" s="326"/>
      <c r="F6878" s="326"/>
      <c r="G6878" s="326"/>
      <c r="H6878" s="326"/>
      <c r="P6878" s="318"/>
      <c r="Q6878" s="318"/>
      <c r="R6878" s="318"/>
      <c r="S6878" s="318"/>
      <c r="T6878" s="318"/>
      <c r="U6878" s="318"/>
      <c r="V6878" s="318"/>
      <c r="W6878" s="318"/>
      <c r="X6878" s="318"/>
      <c r="Y6878" s="318"/>
      <c r="Z6878" s="318"/>
      <c r="AA6878" s="318"/>
      <c r="AB6878" s="318"/>
      <c r="AC6878" s="318"/>
      <c r="AD6878" s="318"/>
    </row>
    <row r="6879" spans="2:30" s="323" customFormat="1" ht="12" customHeight="1">
      <c r="B6879" s="324"/>
      <c r="C6879" s="325"/>
      <c r="D6879" s="326"/>
      <c r="E6879" s="326"/>
      <c r="F6879" s="326"/>
      <c r="G6879" s="326"/>
      <c r="H6879" s="326"/>
      <c r="P6879" s="318"/>
      <c r="Q6879" s="318"/>
      <c r="R6879" s="318"/>
      <c r="S6879" s="318"/>
      <c r="T6879" s="318"/>
      <c r="U6879" s="318"/>
      <c r="V6879" s="318"/>
      <c r="W6879" s="318"/>
      <c r="X6879" s="318"/>
      <c r="Y6879" s="318"/>
      <c r="Z6879" s="318"/>
      <c r="AA6879" s="318"/>
      <c r="AB6879" s="318"/>
      <c r="AC6879" s="318"/>
      <c r="AD6879" s="318"/>
    </row>
    <row r="6880" spans="2:30" s="323" customFormat="1" ht="12" customHeight="1">
      <c r="B6880" s="324"/>
      <c r="C6880" s="325"/>
      <c r="D6880" s="326"/>
      <c r="E6880" s="326"/>
      <c r="F6880" s="326"/>
      <c r="G6880" s="326"/>
      <c r="H6880" s="326"/>
      <c r="P6880" s="318"/>
      <c r="Q6880" s="318"/>
      <c r="R6880" s="318"/>
      <c r="S6880" s="318"/>
      <c r="T6880" s="318"/>
      <c r="U6880" s="318"/>
      <c r="V6880" s="318"/>
      <c r="W6880" s="318"/>
      <c r="X6880" s="318"/>
      <c r="Y6880" s="318"/>
      <c r="Z6880" s="318"/>
      <c r="AA6880" s="318"/>
      <c r="AB6880" s="318"/>
      <c r="AC6880" s="318"/>
      <c r="AD6880" s="318"/>
    </row>
    <row r="6881" spans="2:30" s="323" customFormat="1" ht="12" customHeight="1">
      <c r="B6881" s="324"/>
      <c r="C6881" s="325"/>
      <c r="D6881" s="326"/>
      <c r="E6881" s="326"/>
      <c r="F6881" s="326"/>
      <c r="G6881" s="326"/>
      <c r="H6881" s="326"/>
      <c r="P6881" s="318"/>
      <c r="Q6881" s="318"/>
      <c r="R6881" s="318"/>
      <c r="S6881" s="318"/>
      <c r="T6881" s="318"/>
      <c r="U6881" s="318"/>
      <c r="V6881" s="318"/>
      <c r="W6881" s="318"/>
      <c r="X6881" s="318"/>
      <c r="Y6881" s="318"/>
      <c r="Z6881" s="318"/>
      <c r="AA6881" s="318"/>
      <c r="AB6881" s="318"/>
      <c r="AC6881" s="318"/>
      <c r="AD6881" s="318"/>
    </row>
    <row r="6882" spans="2:30" s="323" customFormat="1" ht="12" customHeight="1">
      <c r="B6882" s="324"/>
      <c r="C6882" s="325"/>
      <c r="D6882" s="326"/>
      <c r="E6882" s="326"/>
      <c r="F6882" s="326"/>
      <c r="G6882" s="326"/>
      <c r="H6882" s="326"/>
      <c r="P6882" s="318"/>
      <c r="Q6882" s="318"/>
      <c r="R6882" s="318"/>
      <c r="S6882" s="318"/>
      <c r="T6882" s="318"/>
      <c r="U6882" s="318"/>
      <c r="V6882" s="318"/>
      <c r="W6882" s="318"/>
      <c r="X6882" s="318"/>
      <c r="Y6882" s="318"/>
      <c r="Z6882" s="318"/>
      <c r="AA6882" s="318"/>
      <c r="AB6882" s="318"/>
      <c r="AC6882" s="318"/>
      <c r="AD6882" s="318"/>
    </row>
    <row r="6883" spans="2:30" s="323" customFormat="1" ht="12" customHeight="1">
      <c r="B6883" s="324"/>
      <c r="C6883" s="325"/>
      <c r="D6883" s="326"/>
      <c r="E6883" s="326"/>
      <c r="F6883" s="326"/>
      <c r="G6883" s="326"/>
      <c r="H6883" s="326"/>
      <c r="P6883" s="318"/>
      <c r="Q6883" s="318"/>
      <c r="R6883" s="318"/>
      <c r="S6883" s="318"/>
      <c r="T6883" s="318"/>
      <c r="U6883" s="318"/>
      <c r="V6883" s="318"/>
      <c r="W6883" s="318"/>
      <c r="X6883" s="318"/>
      <c r="Y6883" s="318"/>
      <c r="Z6883" s="318"/>
      <c r="AA6883" s="318"/>
      <c r="AB6883" s="318"/>
      <c r="AC6883" s="318"/>
      <c r="AD6883" s="318"/>
    </row>
    <row r="6884" spans="2:30" s="323" customFormat="1" ht="12" customHeight="1">
      <c r="B6884" s="324"/>
      <c r="C6884" s="325"/>
      <c r="D6884" s="326"/>
      <c r="E6884" s="326"/>
      <c r="F6884" s="326"/>
      <c r="G6884" s="326"/>
      <c r="H6884" s="326"/>
      <c r="P6884" s="318"/>
      <c r="Q6884" s="318"/>
      <c r="R6884" s="318"/>
      <c r="S6884" s="318"/>
      <c r="T6884" s="318"/>
      <c r="U6884" s="318"/>
      <c r="V6884" s="318"/>
      <c r="W6884" s="318"/>
      <c r="X6884" s="318"/>
      <c r="Y6884" s="318"/>
      <c r="Z6884" s="318"/>
      <c r="AA6884" s="318"/>
      <c r="AB6884" s="318"/>
      <c r="AC6884" s="318"/>
      <c r="AD6884" s="318"/>
    </row>
    <row r="6885" spans="2:30" s="323" customFormat="1" ht="12" customHeight="1">
      <c r="B6885" s="324"/>
      <c r="C6885" s="325"/>
      <c r="D6885" s="326"/>
      <c r="E6885" s="326"/>
      <c r="F6885" s="326"/>
      <c r="G6885" s="326"/>
      <c r="H6885" s="326"/>
      <c r="P6885" s="318"/>
      <c r="Q6885" s="318"/>
      <c r="R6885" s="318"/>
      <c r="S6885" s="318"/>
      <c r="T6885" s="318"/>
      <c r="U6885" s="318"/>
      <c r="V6885" s="318"/>
      <c r="W6885" s="318"/>
      <c r="X6885" s="318"/>
      <c r="Y6885" s="318"/>
      <c r="Z6885" s="318"/>
      <c r="AA6885" s="318"/>
      <c r="AB6885" s="318"/>
      <c r="AC6885" s="318"/>
      <c r="AD6885" s="318"/>
    </row>
    <row r="6886" spans="2:30" s="323" customFormat="1" ht="12" customHeight="1">
      <c r="B6886" s="324"/>
      <c r="C6886" s="325"/>
      <c r="D6886" s="326"/>
      <c r="E6886" s="326"/>
      <c r="F6886" s="326"/>
      <c r="G6886" s="326"/>
      <c r="H6886" s="326"/>
      <c r="P6886" s="318"/>
      <c r="Q6886" s="318"/>
      <c r="R6886" s="318"/>
      <c r="S6886" s="318"/>
      <c r="T6886" s="318"/>
      <c r="U6886" s="318"/>
      <c r="V6886" s="318"/>
      <c r="W6886" s="318"/>
      <c r="X6886" s="318"/>
      <c r="Y6886" s="318"/>
      <c r="Z6886" s="318"/>
      <c r="AA6886" s="318"/>
      <c r="AB6886" s="318"/>
      <c r="AC6886" s="318"/>
      <c r="AD6886" s="318"/>
    </row>
    <row r="6887" spans="2:30" s="323" customFormat="1" ht="12" customHeight="1">
      <c r="B6887" s="324"/>
      <c r="C6887" s="325"/>
      <c r="D6887" s="326"/>
      <c r="E6887" s="326"/>
      <c r="F6887" s="326"/>
      <c r="G6887" s="326"/>
      <c r="H6887" s="326"/>
      <c r="P6887" s="318"/>
      <c r="Q6887" s="318"/>
      <c r="R6887" s="318"/>
      <c r="S6887" s="318"/>
      <c r="T6887" s="318"/>
      <c r="U6887" s="318"/>
      <c r="V6887" s="318"/>
      <c r="W6887" s="318"/>
      <c r="X6887" s="318"/>
      <c r="Y6887" s="318"/>
      <c r="Z6887" s="318"/>
      <c r="AA6887" s="318"/>
      <c r="AB6887" s="318"/>
      <c r="AC6887" s="318"/>
      <c r="AD6887" s="318"/>
    </row>
    <row r="6888" spans="2:30" s="323" customFormat="1" ht="12" customHeight="1">
      <c r="B6888" s="324"/>
      <c r="C6888" s="325"/>
      <c r="D6888" s="326"/>
      <c r="E6888" s="326"/>
      <c r="F6888" s="326"/>
      <c r="G6888" s="326"/>
      <c r="H6888" s="326"/>
      <c r="P6888" s="318"/>
      <c r="Q6888" s="318"/>
      <c r="R6888" s="318"/>
      <c r="S6888" s="318"/>
      <c r="T6888" s="318"/>
      <c r="U6888" s="318"/>
      <c r="V6888" s="318"/>
      <c r="W6888" s="318"/>
      <c r="X6888" s="318"/>
      <c r="Y6888" s="318"/>
      <c r="Z6888" s="318"/>
      <c r="AA6888" s="318"/>
      <c r="AB6888" s="318"/>
      <c r="AC6888" s="318"/>
      <c r="AD6888" s="318"/>
    </row>
    <row r="6889" spans="2:30" s="323" customFormat="1" ht="12" customHeight="1">
      <c r="B6889" s="324"/>
      <c r="C6889" s="325"/>
      <c r="D6889" s="326"/>
      <c r="E6889" s="326"/>
      <c r="F6889" s="326"/>
      <c r="G6889" s="326"/>
      <c r="H6889" s="326"/>
      <c r="P6889" s="318"/>
      <c r="Q6889" s="318"/>
      <c r="R6889" s="318"/>
      <c r="S6889" s="318"/>
      <c r="T6889" s="318"/>
      <c r="U6889" s="318"/>
      <c r="V6889" s="318"/>
      <c r="W6889" s="318"/>
      <c r="X6889" s="318"/>
      <c r="Y6889" s="318"/>
      <c r="Z6889" s="318"/>
      <c r="AA6889" s="318"/>
      <c r="AB6889" s="318"/>
      <c r="AC6889" s="318"/>
      <c r="AD6889" s="318"/>
    </row>
    <row r="6890" spans="2:30" s="323" customFormat="1" ht="12" customHeight="1">
      <c r="B6890" s="324"/>
      <c r="C6890" s="325"/>
      <c r="D6890" s="326"/>
      <c r="E6890" s="326"/>
      <c r="F6890" s="326"/>
      <c r="G6890" s="326"/>
      <c r="H6890" s="326"/>
      <c r="P6890" s="318"/>
      <c r="Q6890" s="318"/>
      <c r="R6890" s="318"/>
      <c r="S6890" s="318"/>
      <c r="T6890" s="318"/>
      <c r="U6890" s="318"/>
      <c r="V6890" s="318"/>
      <c r="W6890" s="318"/>
      <c r="X6890" s="318"/>
      <c r="Y6890" s="318"/>
      <c r="Z6890" s="318"/>
      <c r="AA6890" s="318"/>
      <c r="AB6890" s="318"/>
      <c r="AC6890" s="318"/>
      <c r="AD6890" s="318"/>
    </row>
    <row r="6891" spans="2:30" s="323" customFormat="1" ht="12" customHeight="1">
      <c r="B6891" s="324"/>
      <c r="C6891" s="325"/>
      <c r="D6891" s="326"/>
      <c r="E6891" s="326"/>
      <c r="F6891" s="326"/>
      <c r="G6891" s="326"/>
      <c r="H6891" s="326"/>
      <c r="P6891" s="318"/>
      <c r="Q6891" s="318"/>
      <c r="R6891" s="318"/>
      <c r="S6891" s="318"/>
      <c r="T6891" s="318"/>
      <c r="U6891" s="318"/>
      <c r="V6891" s="318"/>
      <c r="W6891" s="318"/>
      <c r="X6891" s="318"/>
      <c r="Y6891" s="318"/>
      <c r="Z6891" s="318"/>
      <c r="AA6891" s="318"/>
      <c r="AB6891" s="318"/>
      <c r="AC6891" s="318"/>
      <c r="AD6891" s="318"/>
    </row>
    <row r="6892" spans="2:30" s="323" customFormat="1" ht="12" customHeight="1">
      <c r="B6892" s="324"/>
      <c r="C6892" s="325"/>
      <c r="D6892" s="326"/>
      <c r="E6892" s="326"/>
      <c r="F6892" s="326"/>
      <c r="G6892" s="326"/>
      <c r="H6892" s="326"/>
      <c r="P6892" s="318"/>
      <c r="Q6892" s="318"/>
      <c r="R6892" s="318"/>
      <c r="S6892" s="318"/>
      <c r="T6892" s="318"/>
      <c r="U6892" s="318"/>
      <c r="V6892" s="318"/>
      <c r="W6892" s="318"/>
      <c r="X6892" s="318"/>
      <c r="Y6892" s="318"/>
      <c r="Z6892" s="318"/>
      <c r="AA6892" s="318"/>
      <c r="AB6892" s="318"/>
      <c r="AC6892" s="318"/>
      <c r="AD6892" s="318"/>
    </row>
    <row r="6893" spans="2:30" s="323" customFormat="1" ht="12" customHeight="1">
      <c r="B6893" s="324"/>
      <c r="C6893" s="325"/>
      <c r="D6893" s="326"/>
      <c r="E6893" s="326"/>
      <c r="F6893" s="326"/>
      <c r="G6893" s="326"/>
      <c r="H6893" s="326"/>
      <c r="P6893" s="318"/>
      <c r="Q6893" s="318"/>
      <c r="R6893" s="318"/>
      <c r="S6893" s="318"/>
      <c r="T6893" s="318"/>
      <c r="U6893" s="318"/>
      <c r="V6893" s="318"/>
      <c r="W6893" s="318"/>
      <c r="X6893" s="318"/>
      <c r="Y6893" s="318"/>
      <c r="Z6893" s="318"/>
      <c r="AA6893" s="318"/>
      <c r="AB6893" s="318"/>
      <c r="AC6893" s="318"/>
      <c r="AD6893" s="318"/>
    </row>
    <row r="6894" spans="2:30" s="323" customFormat="1" ht="12" customHeight="1">
      <c r="B6894" s="324"/>
      <c r="C6894" s="325"/>
      <c r="D6894" s="326"/>
      <c r="E6894" s="326"/>
      <c r="F6894" s="326"/>
      <c r="G6894" s="326"/>
      <c r="H6894" s="326"/>
      <c r="P6894" s="318"/>
      <c r="Q6894" s="318"/>
      <c r="R6894" s="318"/>
      <c r="S6894" s="318"/>
      <c r="T6894" s="318"/>
      <c r="U6894" s="318"/>
      <c r="V6894" s="318"/>
      <c r="W6894" s="318"/>
      <c r="X6894" s="318"/>
      <c r="Y6894" s="318"/>
      <c r="Z6894" s="318"/>
      <c r="AA6894" s="318"/>
      <c r="AB6894" s="318"/>
      <c r="AC6894" s="318"/>
      <c r="AD6894" s="318"/>
    </row>
    <row r="6895" spans="2:30" s="323" customFormat="1" ht="12" customHeight="1">
      <c r="B6895" s="324"/>
      <c r="C6895" s="325"/>
      <c r="D6895" s="326"/>
      <c r="E6895" s="326"/>
      <c r="F6895" s="326"/>
      <c r="G6895" s="326"/>
      <c r="H6895" s="326"/>
      <c r="P6895" s="318"/>
      <c r="Q6895" s="318"/>
      <c r="R6895" s="318"/>
      <c r="S6895" s="318"/>
      <c r="T6895" s="318"/>
      <c r="U6895" s="318"/>
      <c r="V6895" s="318"/>
      <c r="W6895" s="318"/>
      <c r="X6895" s="318"/>
      <c r="Y6895" s="318"/>
      <c r="Z6895" s="318"/>
      <c r="AA6895" s="318"/>
      <c r="AB6895" s="318"/>
      <c r="AC6895" s="318"/>
      <c r="AD6895" s="318"/>
    </row>
    <row r="6896" spans="2:30" s="323" customFormat="1" ht="12" customHeight="1">
      <c r="B6896" s="324"/>
      <c r="C6896" s="325"/>
      <c r="D6896" s="326"/>
      <c r="E6896" s="326"/>
      <c r="F6896" s="326"/>
      <c r="G6896" s="326"/>
      <c r="H6896" s="326"/>
      <c r="P6896" s="318"/>
      <c r="Q6896" s="318"/>
      <c r="R6896" s="318"/>
      <c r="S6896" s="318"/>
      <c r="T6896" s="318"/>
      <c r="U6896" s="318"/>
      <c r="V6896" s="318"/>
      <c r="W6896" s="318"/>
      <c r="X6896" s="318"/>
      <c r="Y6896" s="318"/>
      <c r="Z6896" s="318"/>
      <c r="AA6896" s="318"/>
      <c r="AB6896" s="318"/>
      <c r="AC6896" s="318"/>
      <c r="AD6896" s="318"/>
    </row>
    <row r="6897" spans="2:30" s="323" customFormat="1" ht="12" customHeight="1">
      <c r="B6897" s="324"/>
      <c r="C6897" s="325"/>
      <c r="D6897" s="326"/>
      <c r="E6897" s="326"/>
      <c r="F6897" s="326"/>
      <c r="G6897" s="326"/>
      <c r="H6897" s="326"/>
      <c r="P6897" s="318"/>
      <c r="Q6897" s="318"/>
      <c r="R6897" s="318"/>
      <c r="S6897" s="318"/>
      <c r="T6897" s="318"/>
      <c r="U6897" s="318"/>
      <c r="V6897" s="318"/>
      <c r="W6897" s="318"/>
      <c r="X6897" s="318"/>
      <c r="Y6897" s="318"/>
      <c r="Z6897" s="318"/>
      <c r="AA6897" s="318"/>
      <c r="AB6897" s="318"/>
      <c r="AC6897" s="318"/>
      <c r="AD6897" s="318"/>
    </row>
    <row r="6898" spans="2:30" s="323" customFormat="1" ht="12" customHeight="1">
      <c r="B6898" s="324"/>
      <c r="C6898" s="325"/>
      <c r="D6898" s="326"/>
      <c r="E6898" s="326"/>
      <c r="F6898" s="326"/>
      <c r="G6898" s="326"/>
      <c r="H6898" s="326"/>
      <c r="P6898" s="318"/>
      <c r="Q6898" s="318"/>
      <c r="R6898" s="318"/>
      <c r="S6898" s="318"/>
      <c r="T6898" s="318"/>
      <c r="U6898" s="318"/>
      <c r="V6898" s="318"/>
      <c r="W6898" s="318"/>
      <c r="X6898" s="318"/>
      <c r="Y6898" s="318"/>
      <c r="Z6898" s="318"/>
      <c r="AA6898" s="318"/>
      <c r="AB6898" s="318"/>
      <c r="AC6898" s="318"/>
      <c r="AD6898" s="318"/>
    </row>
    <row r="6899" spans="2:30" s="323" customFormat="1" ht="12" customHeight="1">
      <c r="B6899" s="324"/>
      <c r="C6899" s="325"/>
      <c r="D6899" s="326"/>
      <c r="E6899" s="326"/>
      <c r="F6899" s="326"/>
      <c r="G6899" s="326"/>
      <c r="H6899" s="326"/>
      <c r="P6899" s="318"/>
      <c r="Q6899" s="318"/>
      <c r="R6899" s="318"/>
      <c r="S6899" s="318"/>
      <c r="T6899" s="318"/>
      <c r="U6899" s="318"/>
      <c r="V6899" s="318"/>
      <c r="W6899" s="318"/>
      <c r="X6899" s="318"/>
      <c r="Y6899" s="318"/>
      <c r="Z6899" s="318"/>
      <c r="AA6899" s="318"/>
      <c r="AB6899" s="318"/>
      <c r="AC6899" s="318"/>
      <c r="AD6899" s="318"/>
    </row>
    <row r="6900" spans="2:30" s="323" customFormat="1" ht="12" customHeight="1">
      <c r="B6900" s="324"/>
      <c r="C6900" s="325"/>
      <c r="D6900" s="326"/>
      <c r="E6900" s="326"/>
      <c r="F6900" s="326"/>
      <c r="G6900" s="326"/>
      <c r="H6900" s="326"/>
      <c r="P6900" s="318"/>
      <c r="Q6900" s="318"/>
      <c r="R6900" s="318"/>
      <c r="S6900" s="318"/>
      <c r="T6900" s="318"/>
      <c r="U6900" s="318"/>
      <c r="V6900" s="318"/>
      <c r="W6900" s="318"/>
      <c r="X6900" s="318"/>
      <c r="Y6900" s="318"/>
      <c r="Z6900" s="318"/>
      <c r="AA6900" s="318"/>
      <c r="AB6900" s="318"/>
      <c r="AC6900" s="318"/>
      <c r="AD6900" s="318"/>
    </row>
    <row r="6901" spans="2:30" s="323" customFormat="1" ht="12" customHeight="1">
      <c r="B6901" s="324"/>
      <c r="C6901" s="325"/>
      <c r="D6901" s="326"/>
      <c r="E6901" s="326"/>
      <c r="F6901" s="326"/>
      <c r="G6901" s="326"/>
      <c r="H6901" s="326"/>
      <c r="P6901" s="318"/>
      <c r="Q6901" s="318"/>
      <c r="R6901" s="318"/>
      <c r="S6901" s="318"/>
      <c r="T6901" s="318"/>
      <c r="U6901" s="318"/>
      <c r="V6901" s="318"/>
      <c r="W6901" s="318"/>
      <c r="X6901" s="318"/>
      <c r="Y6901" s="318"/>
      <c r="Z6901" s="318"/>
      <c r="AA6901" s="318"/>
      <c r="AB6901" s="318"/>
      <c r="AC6901" s="318"/>
      <c r="AD6901" s="318"/>
    </row>
    <row r="6902" spans="2:30" s="323" customFormat="1" ht="12" customHeight="1">
      <c r="B6902" s="324"/>
      <c r="C6902" s="325"/>
      <c r="D6902" s="326"/>
      <c r="E6902" s="326"/>
      <c r="F6902" s="326"/>
      <c r="G6902" s="326"/>
      <c r="H6902" s="326"/>
      <c r="P6902" s="318"/>
      <c r="Q6902" s="318"/>
      <c r="R6902" s="318"/>
      <c r="S6902" s="318"/>
      <c r="T6902" s="318"/>
      <c r="U6902" s="318"/>
      <c r="V6902" s="318"/>
      <c r="W6902" s="318"/>
      <c r="X6902" s="318"/>
      <c r="Y6902" s="318"/>
      <c r="Z6902" s="318"/>
      <c r="AA6902" s="318"/>
      <c r="AB6902" s="318"/>
      <c r="AC6902" s="318"/>
      <c r="AD6902" s="318"/>
    </row>
    <row r="6903" spans="2:30" s="323" customFormat="1" ht="12" customHeight="1">
      <c r="B6903" s="324"/>
      <c r="C6903" s="325"/>
      <c r="D6903" s="326"/>
      <c r="E6903" s="326"/>
      <c r="F6903" s="326"/>
      <c r="G6903" s="326"/>
      <c r="H6903" s="326"/>
      <c r="P6903" s="318"/>
      <c r="Q6903" s="318"/>
      <c r="R6903" s="318"/>
      <c r="S6903" s="318"/>
      <c r="T6903" s="318"/>
      <c r="U6903" s="318"/>
      <c r="V6903" s="318"/>
      <c r="W6903" s="318"/>
      <c r="X6903" s="318"/>
      <c r="Y6903" s="318"/>
      <c r="Z6903" s="318"/>
      <c r="AA6903" s="318"/>
      <c r="AB6903" s="318"/>
      <c r="AC6903" s="318"/>
      <c r="AD6903" s="318"/>
    </row>
    <row r="6904" spans="2:30" s="323" customFormat="1" ht="12" customHeight="1">
      <c r="B6904" s="324"/>
      <c r="C6904" s="325"/>
      <c r="D6904" s="326"/>
      <c r="E6904" s="326"/>
      <c r="F6904" s="326"/>
      <c r="G6904" s="326"/>
      <c r="H6904" s="326"/>
      <c r="P6904" s="318"/>
      <c r="Q6904" s="318"/>
      <c r="R6904" s="318"/>
      <c r="S6904" s="318"/>
      <c r="T6904" s="318"/>
      <c r="U6904" s="318"/>
      <c r="V6904" s="318"/>
      <c r="W6904" s="318"/>
      <c r="X6904" s="318"/>
      <c r="Y6904" s="318"/>
      <c r="Z6904" s="318"/>
      <c r="AA6904" s="318"/>
      <c r="AB6904" s="318"/>
      <c r="AC6904" s="318"/>
      <c r="AD6904" s="318"/>
    </row>
    <row r="6905" spans="2:30" s="323" customFormat="1" ht="12" customHeight="1">
      <c r="B6905" s="324"/>
      <c r="C6905" s="325"/>
      <c r="D6905" s="326"/>
      <c r="E6905" s="326"/>
      <c r="F6905" s="326"/>
      <c r="G6905" s="326"/>
      <c r="H6905" s="326"/>
      <c r="P6905" s="318"/>
      <c r="Q6905" s="318"/>
      <c r="R6905" s="318"/>
      <c r="S6905" s="318"/>
      <c r="T6905" s="318"/>
      <c r="U6905" s="318"/>
      <c r="V6905" s="318"/>
      <c r="W6905" s="318"/>
      <c r="X6905" s="318"/>
      <c r="Y6905" s="318"/>
      <c r="Z6905" s="318"/>
      <c r="AA6905" s="318"/>
      <c r="AB6905" s="318"/>
      <c r="AC6905" s="318"/>
      <c r="AD6905" s="318"/>
    </row>
    <row r="6906" spans="2:30" s="323" customFormat="1" ht="12" customHeight="1">
      <c r="B6906" s="324"/>
      <c r="C6906" s="325"/>
      <c r="D6906" s="326"/>
      <c r="E6906" s="326"/>
      <c r="F6906" s="326"/>
      <c r="G6906" s="326"/>
      <c r="H6906" s="326"/>
      <c r="P6906" s="318"/>
      <c r="Q6906" s="318"/>
      <c r="R6906" s="318"/>
      <c r="S6906" s="318"/>
      <c r="T6906" s="318"/>
      <c r="U6906" s="318"/>
      <c r="V6906" s="318"/>
      <c r="W6906" s="318"/>
      <c r="X6906" s="318"/>
      <c r="Y6906" s="318"/>
      <c r="Z6906" s="318"/>
      <c r="AA6906" s="318"/>
      <c r="AB6906" s="318"/>
      <c r="AC6906" s="318"/>
      <c r="AD6906" s="318"/>
    </row>
    <row r="6907" spans="2:30" s="323" customFormat="1" ht="12" customHeight="1">
      <c r="B6907" s="324"/>
      <c r="C6907" s="325"/>
      <c r="D6907" s="326"/>
      <c r="E6907" s="326"/>
      <c r="F6907" s="326"/>
      <c r="G6907" s="326"/>
      <c r="H6907" s="326"/>
      <c r="P6907" s="318"/>
      <c r="Q6907" s="318"/>
      <c r="R6907" s="318"/>
      <c r="S6907" s="318"/>
      <c r="T6907" s="318"/>
      <c r="U6907" s="318"/>
      <c r="V6907" s="318"/>
      <c r="W6907" s="318"/>
      <c r="X6907" s="318"/>
      <c r="Y6907" s="318"/>
      <c r="Z6907" s="318"/>
      <c r="AA6907" s="318"/>
      <c r="AB6907" s="318"/>
      <c r="AC6907" s="318"/>
      <c r="AD6907" s="318"/>
    </row>
    <row r="6908" spans="2:30" s="323" customFormat="1" ht="12" customHeight="1">
      <c r="B6908" s="324"/>
      <c r="C6908" s="325"/>
      <c r="D6908" s="326"/>
      <c r="E6908" s="326"/>
      <c r="F6908" s="326"/>
      <c r="G6908" s="326"/>
      <c r="H6908" s="326"/>
      <c r="P6908" s="318"/>
      <c r="Q6908" s="318"/>
      <c r="R6908" s="318"/>
      <c r="S6908" s="318"/>
      <c r="T6908" s="318"/>
      <c r="U6908" s="318"/>
      <c r="V6908" s="318"/>
      <c r="W6908" s="318"/>
      <c r="X6908" s="318"/>
      <c r="Y6908" s="318"/>
      <c r="Z6908" s="318"/>
      <c r="AA6908" s="318"/>
      <c r="AB6908" s="318"/>
      <c r="AC6908" s="318"/>
      <c r="AD6908" s="318"/>
    </row>
    <row r="6909" spans="2:30" s="323" customFormat="1" ht="12" customHeight="1">
      <c r="B6909" s="324"/>
      <c r="C6909" s="325"/>
      <c r="D6909" s="326"/>
      <c r="E6909" s="326"/>
      <c r="F6909" s="326"/>
      <c r="G6909" s="326"/>
      <c r="H6909" s="326"/>
      <c r="P6909" s="318"/>
      <c r="Q6909" s="318"/>
      <c r="R6909" s="318"/>
      <c r="S6909" s="318"/>
      <c r="T6909" s="318"/>
      <c r="U6909" s="318"/>
      <c r="V6909" s="318"/>
      <c r="W6909" s="318"/>
      <c r="X6909" s="318"/>
      <c r="Y6909" s="318"/>
      <c r="Z6909" s="318"/>
      <c r="AA6909" s="318"/>
      <c r="AB6909" s="318"/>
      <c r="AC6909" s="318"/>
      <c r="AD6909" s="318"/>
    </row>
    <row r="6910" spans="2:30" s="323" customFormat="1" ht="12" customHeight="1">
      <c r="B6910" s="324"/>
      <c r="C6910" s="325"/>
      <c r="D6910" s="326"/>
      <c r="E6910" s="326"/>
      <c r="F6910" s="326"/>
      <c r="G6910" s="326"/>
      <c r="H6910" s="326"/>
      <c r="P6910" s="318"/>
      <c r="Q6910" s="318"/>
      <c r="R6910" s="318"/>
      <c r="S6910" s="318"/>
      <c r="T6910" s="318"/>
      <c r="U6910" s="318"/>
      <c r="V6910" s="318"/>
      <c r="W6910" s="318"/>
      <c r="X6910" s="318"/>
      <c r="Y6910" s="318"/>
      <c r="Z6910" s="318"/>
      <c r="AA6910" s="318"/>
      <c r="AB6910" s="318"/>
      <c r="AC6910" s="318"/>
      <c r="AD6910" s="318"/>
    </row>
    <row r="6911" spans="2:30" s="323" customFormat="1" ht="12" customHeight="1">
      <c r="B6911" s="324"/>
      <c r="C6911" s="325"/>
      <c r="D6911" s="326"/>
      <c r="E6911" s="326"/>
      <c r="F6911" s="326"/>
      <c r="G6911" s="326"/>
      <c r="H6911" s="326"/>
      <c r="P6911" s="318"/>
      <c r="Q6911" s="318"/>
      <c r="R6911" s="318"/>
      <c r="S6911" s="318"/>
      <c r="T6911" s="318"/>
      <c r="U6911" s="318"/>
      <c r="V6911" s="318"/>
      <c r="W6911" s="318"/>
      <c r="X6911" s="318"/>
      <c r="Y6911" s="318"/>
      <c r="Z6911" s="318"/>
      <c r="AA6911" s="318"/>
      <c r="AB6911" s="318"/>
      <c r="AC6911" s="318"/>
      <c r="AD6911" s="318"/>
    </row>
    <row r="6912" spans="2:30" s="323" customFormat="1" ht="12" customHeight="1">
      <c r="B6912" s="324"/>
      <c r="C6912" s="325"/>
      <c r="D6912" s="326"/>
      <c r="E6912" s="326"/>
      <c r="F6912" s="326"/>
      <c r="G6912" s="326"/>
      <c r="H6912" s="326"/>
      <c r="P6912" s="318"/>
      <c r="Q6912" s="318"/>
      <c r="R6912" s="318"/>
      <c r="S6912" s="318"/>
      <c r="T6912" s="318"/>
      <c r="U6912" s="318"/>
      <c r="V6912" s="318"/>
      <c r="W6912" s="318"/>
      <c r="X6912" s="318"/>
      <c r="Y6912" s="318"/>
      <c r="Z6912" s="318"/>
      <c r="AA6912" s="318"/>
      <c r="AB6912" s="318"/>
      <c r="AC6912" s="318"/>
      <c r="AD6912" s="318"/>
    </row>
    <row r="6913" spans="2:30" s="323" customFormat="1" ht="12" customHeight="1">
      <c r="B6913" s="324"/>
      <c r="C6913" s="325"/>
      <c r="D6913" s="326"/>
      <c r="E6913" s="326"/>
      <c r="F6913" s="326"/>
      <c r="G6913" s="326"/>
      <c r="H6913" s="326"/>
      <c r="P6913" s="318"/>
      <c r="Q6913" s="318"/>
      <c r="R6913" s="318"/>
      <c r="S6913" s="318"/>
      <c r="T6913" s="318"/>
      <c r="U6913" s="318"/>
      <c r="V6913" s="318"/>
      <c r="W6913" s="318"/>
      <c r="X6913" s="318"/>
      <c r="Y6913" s="318"/>
      <c r="Z6913" s="318"/>
      <c r="AA6913" s="318"/>
      <c r="AB6913" s="318"/>
      <c r="AC6913" s="318"/>
      <c r="AD6913" s="318"/>
    </row>
    <row r="6914" spans="2:30" s="323" customFormat="1" ht="12" customHeight="1">
      <c r="B6914" s="324"/>
      <c r="C6914" s="325"/>
      <c r="D6914" s="326"/>
      <c r="E6914" s="326"/>
      <c r="F6914" s="326"/>
      <c r="G6914" s="326"/>
      <c r="H6914" s="326"/>
      <c r="P6914" s="318"/>
      <c r="Q6914" s="318"/>
      <c r="R6914" s="318"/>
      <c r="S6914" s="318"/>
      <c r="T6914" s="318"/>
      <c r="U6914" s="318"/>
      <c r="V6914" s="318"/>
      <c r="W6914" s="318"/>
      <c r="X6914" s="318"/>
      <c r="Y6914" s="318"/>
      <c r="Z6914" s="318"/>
      <c r="AA6914" s="318"/>
      <c r="AB6914" s="318"/>
      <c r="AC6914" s="318"/>
      <c r="AD6914" s="318"/>
    </row>
    <row r="6915" spans="2:30" s="323" customFormat="1" ht="12" customHeight="1">
      <c r="B6915" s="324"/>
      <c r="C6915" s="325"/>
      <c r="D6915" s="326"/>
      <c r="E6915" s="326"/>
      <c r="F6915" s="326"/>
      <c r="G6915" s="326"/>
      <c r="H6915" s="326"/>
      <c r="P6915" s="318"/>
      <c r="Q6915" s="318"/>
      <c r="R6915" s="318"/>
      <c r="S6915" s="318"/>
      <c r="T6915" s="318"/>
      <c r="U6915" s="318"/>
      <c r="V6915" s="318"/>
      <c r="W6915" s="318"/>
      <c r="X6915" s="318"/>
      <c r="Y6915" s="318"/>
      <c r="Z6915" s="318"/>
      <c r="AA6915" s="318"/>
      <c r="AB6915" s="318"/>
      <c r="AC6915" s="318"/>
      <c r="AD6915" s="318"/>
    </row>
    <row r="6916" spans="2:30" s="323" customFormat="1" ht="12" customHeight="1">
      <c r="B6916" s="324"/>
      <c r="C6916" s="325"/>
      <c r="D6916" s="326"/>
      <c r="E6916" s="326"/>
      <c r="F6916" s="326"/>
      <c r="G6916" s="326"/>
      <c r="H6916" s="326"/>
      <c r="P6916" s="318"/>
      <c r="Q6916" s="318"/>
      <c r="R6916" s="318"/>
      <c r="S6916" s="318"/>
      <c r="T6916" s="318"/>
      <c r="U6916" s="318"/>
      <c r="V6916" s="318"/>
      <c r="W6916" s="318"/>
      <c r="X6916" s="318"/>
      <c r="Y6916" s="318"/>
      <c r="Z6916" s="318"/>
      <c r="AA6916" s="318"/>
      <c r="AB6916" s="318"/>
      <c r="AC6916" s="318"/>
      <c r="AD6916" s="318"/>
    </row>
    <row r="6917" spans="2:30" s="323" customFormat="1" ht="12" customHeight="1">
      <c r="B6917" s="324"/>
      <c r="C6917" s="325"/>
      <c r="D6917" s="326"/>
      <c r="E6917" s="326"/>
      <c r="F6917" s="326"/>
      <c r="G6917" s="326"/>
      <c r="H6917" s="326"/>
      <c r="P6917" s="318"/>
      <c r="Q6917" s="318"/>
      <c r="R6917" s="318"/>
      <c r="S6917" s="318"/>
      <c r="T6917" s="318"/>
      <c r="U6917" s="318"/>
      <c r="V6917" s="318"/>
      <c r="W6917" s="318"/>
      <c r="X6917" s="318"/>
      <c r="Y6917" s="318"/>
      <c r="Z6917" s="318"/>
      <c r="AA6917" s="318"/>
      <c r="AB6917" s="318"/>
      <c r="AC6917" s="318"/>
      <c r="AD6917" s="318"/>
    </row>
    <row r="6918" spans="2:30" s="323" customFormat="1" ht="12" customHeight="1">
      <c r="B6918" s="324"/>
      <c r="C6918" s="325"/>
      <c r="D6918" s="326"/>
      <c r="E6918" s="326"/>
      <c r="F6918" s="326"/>
      <c r="G6918" s="326"/>
      <c r="H6918" s="326"/>
      <c r="P6918" s="318"/>
      <c r="Q6918" s="318"/>
      <c r="R6918" s="318"/>
      <c r="S6918" s="318"/>
      <c r="T6918" s="318"/>
      <c r="U6918" s="318"/>
      <c r="V6918" s="318"/>
      <c r="W6918" s="318"/>
      <c r="X6918" s="318"/>
      <c r="Y6918" s="318"/>
      <c r="Z6918" s="318"/>
      <c r="AA6918" s="318"/>
      <c r="AB6918" s="318"/>
      <c r="AC6918" s="318"/>
      <c r="AD6918" s="318"/>
    </row>
    <row r="6919" spans="2:30" s="323" customFormat="1" ht="12" customHeight="1">
      <c r="B6919" s="324"/>
      <c r="C6919" s="325"/>
      <c r="D6919" s="326"/>
      <c r="E6919" s="326"/>
      <c r="F6919" s="326"/>
      <c r="G6919" s="326"/>
      <c r="H6919" s="326"/>
      <c r="P6919" s="318"/>
      <c r="Q6919" s="318"/>
      <c r="R6919" s="318"/>
      <c r="S6919" s="318"/>
      <c r="T6919" s="318"/>
      <c r="U6919" s="318"/>
      <c r="V6919" s="318"/>
      <c r="W6919" s="318"/>
      <c r="X6919" s="318"/>
      <c r="Y6919" s="318"/>
      <c r="Z6919" s="318"/>
      <c r="AA6919" s="318"/>
      <c r="AB6919" s="318"/>
      <c r="AC6919" s="318"/>
      <c r="AD6919" s="318"/>
    </row>
    <row r="6920" spans="2:30" s="323" customFormat="1" ht="12" customHeight="1">
      <c r="B6920" s="324"/>
      <c r="C6920" s="325"/>
      <c r="D6920" s="326"/>
      <c r="E6920" s="326"/>
      <c r="F6920" s="326"/>
      <c r="G6920" s="326"/>
      <c r="H6920" s="326"/>
      <c r="P6920" s="318"/>
      <c r="Q6920" s="318"/>
      <c r="R6920" s="318"/>
      <c r="S6920" s="318"/>
      <c r="T6920" s="318"/>
      <c r="U6920" s="318"/>
      <c r="V6920" s="318"/>
      <c r="W6920" s="318"/>
      <c r="X6920" s="318"/>
      <c r="Y6920" s="318"/>
      <c r="Z6920" s="318"/>
      <c r="AA6920" s="318"/>
      <c r="AB6920" s="318"/>
      <c r="AC6920" s="318"/>
      <c r="AD6920" s="318"/>
    </row>
    <row r="6921" spans="2:30" s="323" customFormat="1" ht="12" customHeight="1">
      <c r="B6921" s="324"/>
      <c r="C6921" s="325"/>
      <c r="D6921" s="326"/>
      <c r="E6921" s="326"/>
      <c r="F6921" s="326"/>
      <c r="G6921" s="326"/>
      <c r="H6921" s="326"/>
      <c r="P6921" s="318"/>
      <c r="Q6921" s="318"/>
      <c r="R6921" s="318"/>
      <c r="S6921" s="318"/>
      <c r="T6921" s="318"/>
      <c r="U6921" s="318"/>
      <c r="V6921" s="318"/>
      <c r="W6921" s="318"/>
      <c r="X6921" s="318"/>
      <c r="Y6921" s="318"/>
      <c r="Z6921" s="318"/>
      <c r="AA6921" s="318"/>
      <c r="AB6921" s="318"/>
      <c r="AC6921" s="318"/>
      <c r="AD6921" s="318"/>
    </row>
    <row r="6922" spans="2:30" s="323" customFormat="1" ht="12" customHeight="1">
      <c r="B6922" s="324"/>
      <c r="C6922" s="325"/>
      <c r="D6922" s="326"/>
      <c r="E6922" s="326"/>
      <c r="F6922" s="326"/>
      <c r="G6922" s="326"/>
      <c r="H6922" s="326"/>
      <c r="P6922" s="318"/>
      <c r="Q6922" s="318"/>
      <c r="R6922" s="318"/>
      <c r="S6922" s="318"/>
      <c r="T6922" s="318"/>
      <c r="U6922" s="318"/>
      <c r="V6922" s="318"/>
      <c r="W6922" s="318"/>
      <c r="X6922" s="318"/>
      <c r="Y6922" s="318"/>
      <c r="Z6922" s="318"/>
      <c r="AA6922" s="318"/>
      <c r="AB6922" s="318"/>
      <c r="AC6922" s="318"/>
      <c r="AD6922" s="318"/>
    </row>
    <row r="6923" spans="2:30" s="323" customFormat="1" ht="12" customHeight="1">
      <c r="B6923" s="324"/>
      <c r="C6923" s="325"/>
      <c r="D6923" s="326"/>
      <c r="E6923" s="326"/>
      <c r="F6923" s="326"/>
      <c r="G6923" s="326"/>
      <c r="H6923" s="326"/>
      <c r="P6923" s="318"/>
      <c r="Q6923" s="318"/>
      <c r="R6923" s="318"/>
      <c r="S6923" s="318"/>
      <c r="T6923" s="318"/>
      <c r="U6923" s="318"/>
      <c r="V6923" s="318"/>
      <c r="W6923" s="318"/>
      <c r="X6923" s="318"/>
      <c r="Y6923" s="318"/>
      <c r="Z6923" s="318"/>
      <c r="AA6923" s="318"/>
      <c r="AB6923" s="318"/>
      <c r="AC6923" s="318"/>
      <c r="AD6923" s="318"/>
    </row>
    <row r="6924" spans="2:30" s="323" customFormat="1" ht="12" customHeight="1">
      <c r="B6924" s="324"/>
      <c r="C6924" s="325"/>
      <c r="D6924" s="326"/>
      <c r="E6924" s="326"/>
      <c r="F6924" s="326"/>
      <c r="G6924" s="326"/>
      <c r="H6924" s="326"/>
      <c r="P6924" s="318"/>
      <c r="Q6924" s="318"/>
      <c r="R6924" s="318"/>
      <c r="S6924" s="318"/>
      <c r="T6924" s="318"/>
      <c r="U6924" s="318"/>
      <c r="V6924" s="318"/>
      <c r="W6924" s="318"/>
      <c r="X6924" s="318"/>
      <c r="Y6924" s="318"/>
      <c r="Z6924" s="318"/>
      <c r="AA6924" s="318"/>
      <c r="AB6924" s="318"/>
      <c r="AC6924" s="318"/>
      <c r="AD6924" s="318"/>
    </row>
    <row r="6925" spans="2:30" s="323" customFormat="1" ht="12" customHeight="1">
      <c r="B6925" s="324"/>
      <c r="C6925" s="325"/>
      <c r="D6925" s="326"/>
      <c r="E6925" s="326"/>
      <c r="F6925" s="326"/>
      <c r="G6925" s="326"/>
      <c r="H6925" s="326"/>
      <c r="P6925" s="318"/>
      <c r="Q6925" s="318"/>
      <c r="R6925" s="318"/>
      <c r="S6925" s="318"/>
      <c r="T6925" s="318"/>
      <c r="U6925" s="318"/>
      <c r="V6925" s="318"/>
      <c r="W6925" s="318"/>
      <c r="X6925" s="318"/>
      <c r="Y6925" s="318"/>
      <c r="Z6925" s="318"/>
      <c r="AA6925" s="318"/>
      <c r="AB6925" s="318"/>
      <c r="AC6925" s="318"/>
      <c r="AD6925" s="318"/>
    </row>
    <row r="6926" spans="2:30" s="323" customFormat="1" ht="12" customHeight="1">
      <c r="B6926" s="324"/>
      <c r="C6926" s="325"/>
      <c r="D6926" s="326"/>
      <c r="E6926" s="326"/>
      <c r="F6926" s="326"/>
      <c r="G6926" s="326"/>
      <c r="H6926" s="326"/>
      <c r="P6926" s="318"/>
      <c r="Q6926" s="318"/>
      <c r="R6926" s="318"/>
      <c r="S6926" s="318"/>
      <c r="T6926" s="318"/>
      <c r="U6926" s="318"/>
      <c r="V6926" s="318"/>
      <c r="W6926" s="318"/>
      <c r="X6926" s="318"/>
      <c r="Y6926" s="318"/>
      <c r="Z6926" s="318"/>
      <c r="AA6926" s="318"/>
      <c r="AB6926" s="318"/>
      <c r="AC6926" s="318"/>
      <c r="AD6926" s="318"/>
    </row>
    <row r="6927" spans="2:30" s="323" customFormat="1" ht="12" customHeight="1">
      <c r="B6927" s="324"/>
      <c r="C6927" s="325"/>
      <c r="D6927" s="326"/>
      <c r="E6927" s="326"/>
      <c r="F6927" s="326"/>
      <c r="G6927" s="326"/>
      <c r="H6927" s="326"/>
      <c r="P6927" s="318"/>
      <c r="Q6927" s="318"/>
      <c r="R6927" s="318"/>
      <c r="S6927" s="318"/>
      <c r="T6927" s="318"/>
      <c r="U6927" s="318"/>
      <c r="V6927" s="318"/>
      <c r="W6927" s="318"/>
      <c r="X6927" s="318"/>
      <c r="Y6927" s="318"/>
      <c r="Z6927" s="318"/>
      <c r="AA6927" s="318"/>
      <c r="AB6927" s="318"/>
      <c r="AC6927" s="318"/>
      <c r="AD6927" s="318"/>
    </row>
    <row r="6928" spans="2:30" s="323" customFormat="1" ht="12" customHeight="1">
      <c r="B6928" s="324"/>
      <c r="C6928" s="325"/>
      <c r="D6928" s="326"/>
      <c r="E6928" s="326"/>
      <c r="F6928" s="326"/>
      <c r="G6928" s="326"/>
      <c r="H6928" s="326"/>
      <c r="P6928" s="318"/>
      <c r="Q6928" s="318"/>
      <c r="R6928" s="318"/>
      <c r="S6928" s="318"/>
      <c r="T6928" s="318"/>
      <c r="U6928" s="318"/>
      <c r="V6928" s="318"/>
      <c r="W6928" s="318"/>
      <c r="X6928" s="318"/>
      <c r="Y6928" s="318"/>
      <c r="Z6928" s="318"/>
      <c r="AA6928" s="318"/>
      <c r="AB6928" s="318"/>
      <c r="AC6928" s="318"/>
      <c r="AD6928" s="318"/>
    </row>
    <row r="6929" spans="2:30" s="323" customFormat="1" ht="12" customHeight="1">
      <c r="B6929" s="324"/>
      <c r="C6929" s="325"/>
      <c r="D6929" s="326"/>
      <c r="E6929" s="326"/>
      <c r="F6929" s="326"/>
      <c r="G6929" s="326"/>
      <c r="H6929" s="326"/>
      <c r="P6929" s="318"/>
      <c r="Q6929" s="318"/>
      <c r="R6929" s="318"/>
      <c r="S6929" s="318"/>
      <c r="T6929" s="318"/>
      <c r="U6929" s="318"/>
      <c r="V6929" s="318"/>
      <c r="W6929" s="318"/>
      <c r="X6929" s="318"/>
      <c r="Y6929" s="318"/>
      <c r="Z6929" s="318"/>
      <c r="AA6929" s="318"/>
      <c r="AB6929" s="318"/>
      <c r="AC6929" s="318"/>
      <c r="AD6929" s="318"/>
    </row>
    <row r="6930" spans="2:30" s="323" customFormat="1" ht="12" customHeight="1">
      <c r="B6930" s="324"/>
      <c r="C6930" s="325"/>
      <c r="D6930" s="326"/>
      <c r="E6930" s="326"/>
      <c r="F6930" s="326"/>
      <c r="G6930" s="326"/>
      <c r="H6930" s="326"/>
      <c r="P6930" s="318"/>
      <c r="Q6930" s="318"/>
      <c r="R6930" s="318"/>
      <c r="S6930" s="318"/>
      <c r="T6930" s="318"/>
      <c r="U6930" s="318"/>
      <c r="V6930" s="318"/>
      <c r="W6930" s="318"/>
      <c r="X6930" s="318"/>
      <c r="Y6930" s="318"/>
      <c r="Z6930" s="318"/>
      <c r="AA6930" s="318"/>
      <c r="AB6930" s="318"/>
      <c r="AC6930" s="318"/>
      <c r="AD6930" s="318"/>
    </row>
    <row r="6931" spans="2:30" s="323" customFormat="1" ht="12" customHeight="1">
      <c r="B6931" s="324"/>
      <c r="C6931" s="325"/>
      <c r="D6931" s="326"/>
      <c r="E6931" s="326"/>
      <c r="F6931" s="326"/>
      <c r="G6931" s="326"/>
      <c r="H6931" s="326"/>
      <c r="P6931" s="318"/>
      <c r="Q6931" s="318"/>
      <c r="R6931" s="318"/>
      <c r="S6931" s="318"/>
      <c r="T6931" s="318"/>
      <c r="U6931" s="318"/>
      <c r="V6931" s="318"/>
      <c r="W6931" s="318"/>
      <c r="X6931" s="318"/>
      <c r="Y6931" s="318"/>
      <c r="Z6931" s="318"/>
      <c r="AA6931" s="318"/>
      <c r="AB6931" s="318"/>
      <c r="AC6931" s="318"/>
      <c r="AD6931" s="318"/>
    </row>
    <row r="6932" spans="2:30" s="323" customFormat="1" ht="12" customHeight="1">
      <c r="B6932" s="324"/>
      <c r="C6932" s="325"/>
      <c r="D6932" s="326"/>
      <c r="E6932" s="326"/>
      <c r="F6932" s="326"/>
      <c r="G6932" s="326"/>
      <c r="H6932" s="326"/>
      <c r="P6932" s="318"/>
      <c r="Q6932" s="318"/>
      <c r="R6932" s="318"/>
      <c r="S6932" s="318"/>
      <c r="T6932" s="318"/>
      <c r="U6932" s="318"/>
      <c r="V6932" s="318"/>
      <c r="W6932" s="318"/>
      <c r="X6932" s="318"/>
      <c r="Y6932" s="318"/>
      <c r="Z6932" s="318"/>
      <c r="AA6932" s="318"/>
      <c r="AB6932" s="318"/>
      <c r="AC6932" s="318"/>
      <c r="AD6932" s="318"/>
    </row>
    <row r="6933" spans="2:30" s="323" customFormat="1" ht="12" customHeight="1">
      <c r="B6933" s="324"/>
      <c r="C6933" s="325"/>
      <c r="D6933" s="326"/>
      <c r="E6933" s="326"/>
      <c r="F6933" s="326"/>
      <c r="G6933" s="326"/>
      <c r="H6933" s="326"/>
      <c r="P6933" s="318"/>
      <c r="Q6933" s="318"/>
      <c r="R6933" s="318"/>
      <c r="S6933" s="318"/>
      <c r="T6933" s="318"/>
      <c r="U6933" s="318"/>
      <c r="V6933" s="318"/>
      <c r="W6933" s="318"/>
      <c r="X6933" s="318"/>
      <c r="Y6933" s="318"/>
      <c r="Z6933" s="318"/>
      <c r="AA6933" s="318"/>
      <c r="AB6933" s="318"/>
      <c r="AC6933" s="318"/>
      <c r="AD6933" s="318"/>
    </row>
    <row r="6934" spans="2:30" s="323" customFormat="1" ht="12" customHeight="1">
      <c r="B6934" s="324"/>
      <c r="C6934" s="325"/>
      <c r="D6934" s="326"/>
      <c r="E6934" s="326"/>
      <c r="F6934" s="326"/>
      <c r="G6934" s="326"/>
      <c r="H6934" s="326"/>
      <c r="P6934" s="318"/>
      <c r="Q6934" s="318"/>
      <c r="R6934" s="318"/>
      <c r="S6934" s="318"/>
      <c r="T6934" s="318"/>
      <c r="U6934" s="318"/>
      <c r="V6934" s="318"/>
      <c r="W6934" s="318"/>
      <c r="X6934" s="318"/>
      <c r="Y6934" s="318"/>
      <c r="Z6934" s="318"/>
      <c r="AA6934" s="318"/>
      <c r="AB6934" s="318"/>
      <c r="AC6934" s="318"/>
      <c r="AD6934" s="318"/>
    </row>
    <row r="6935" spans="2:30" s="323" customFormat="1" ht="12" customHeight="1">
      <c r="B6935" s="324"/>
      <c r="C6935" s="325"/>
      <c r="D6935" s="326"/>
      <c r="E6935" s="326"/>
      <c r="F6935" s="326"/>
      <c r="G6935" s="326"/>
      <c r="H6935" s="326"/>
      <c r="P6935" s="318"/>
      <c r="Q6935" s="318"/>
      <c r="R6935" s="318"/>
      <c r="S6935" s="318"/>
      <c r="T6935" s="318"/>
      <c r="U6935" s="318"/>
      <c r="V6935" s="318"/>
      <c r="W6935" s="318"/>
      <c r="X6935" s="318"/>
      <c r="Y6935" s="318"/>
      <c r="Z6935" s="318"/>
      <c r="AA6935" s="318"/>
      <c r="AB6935" s="318"/>
      <c r="AC6935" s="318"/>
      <c r="AD6935" s="318"/>
    </row>
    <row r="6936" spans="2:30" s="323" customFormat="1" ht="12" customHeight="1">
      <c r="B6936" s="324"/>
      <c r="C6936" s="325"/>
      <c r="D6936" s="326"/>
      <c r="E6936" s="326"/>
      <c r="F6936" s="326"/>
      <c r="G6936" s="326"/>
      <c r="H6936" s="326"/>
      <c r="P6936" s="318"/>
      <c r="Q6936" s="318"/>
      <c r="R6936" s="318"/>
      <c r="S6936" s="318"/>
      <c r="T6936" s="318"/>
      <c r="U6936" s="318"/>
      <c r="V6936" s="318"/>
      <c r="W6936" s="318"/>
      <c r="X6936" s="318"/>
      <c r="Y6936" s="318"/>
      <c r="Z6936" s="318"/>
      <c r="AA6936" s="318"/>
      <c r="AB6936" s="318"/>
      <c r="AC6936" s="318"/>
      <c r="AD6936" s="318"/>
    </row>
    <row r="6937" spans="2:30" s="323" customFormat="1" ht="12" customHeight="1">
      <c r="B6937" s="324"/>
      <c r="C6937" s="325"/>
      <c r="D6937" s="326"/>
      <c r="E6937" s="326"/>
      <c r="F6937" s="326"/>
      <c r="G6937" s="326"/>
      <c r="H6937" s="326"/>
      <c r="P6937" s="318"/>
      <c r="Q6937" s="318"/>
      <c r="R6937" s="318"/>
      <c r="S6937" s="318"/>
      <c r="T6937" s="318"/>
      <c r="U6937" s="318"/>
      <c r="V6937" s="318"/>
      <c r="W6937" s="318"/>
      <c r="X6937" s="318"/>
      <c r="Y6937" s="318"/>
      <c r="Z6937" s="318"/>
      <c r="AA6937" s="318"/>
      <c r="AB6937" s="318"/>
      <c r="AC6937" s="318"/>
      <c r="AD6937" s="318"/>
    </row>
    <row r="6938" spans="2:30" s="323" customFormat="1" ht="12" customHeight="1">
      <c r="B6938" s="324"/>
      <c r="C6938" s="325"/>
      <c r="D6938" s="326"/>
      <c r="E6938" s="326"/>
      <c r="F6938" s="326"/>
      <c r="G6938" s="326"/>
      <c r="H6938" s="326"/>
      <c r="P6938" s="318"/>
      <c r="Q6938" s="318"/>
      <c r="R6938" s="318"/>
      <c r="S6938" s="318"/>
      <c r="T6938" s="318"/>
      <c r="U6938" s="318"/>
      <c r="V6938" s="318"/>
      <c r="W6938" s="318"/>
      <c r="X6938" s="318"/>
      <c r="Y6938" s="318"/>
      <c r="Z6938" s="318"/>
      <c r="AA6938" s="318"/>
      <c r="AB6938" s="318"/>
      <c r="AC6938" s="318"/>
      <c r="AD6938" s="318"/>
    </row>
    <row r="6939" spans="2:30" s="323" customFormat="1" ht="12" customHeight="1">
      <c r="B6939" s="324"/>
      <c r="C6939" s="325"/>
      <c r="D6939" s="326"/>
      <c r="E6939" s="326"/>
      <c r="F6939" s="326"/>
      <c r="G6939" s="326"/>
      <c r="H6939" s="326"/>
      <c r="P6939" s="318"/>
      <c r="Q6939" s="318"/>
      <c r="R6939" s="318"/>
      <c r="S6939" s="318"/>
      <c r="T6939" s="318"/>
      <c r="U6939" s="318"/>
      <c r="V6939" s="318"/>
      <c r="W6939" s="318"/>
      <c r="X6939" s="318"/>
      <c r="Y6939" s="318"/>
      <c r="Z6939" s="318"/>
      <c r="AA6939" s="318"/>
      <c r="AB6939" s="318"/>
      <c r="AC6939" s="318"/>
      <c r="AD6939" s="318"/>
    </row>
    <row r="6940" spans="2:30" s="323" customFormat="1" ht="12" customHeight="1">
      <c r="B6940" s="324"/>
      <c r="C6940" s="325"/>
      <c r="D6940" s="326"/>
      <c r="E6940" s="326"/>
      <c r="F6940" s="326"/>
      <c r="G6940" s="326"/>
      <c r="H6940" s="326"/>
      <c r="P6940" s="318"/>
      <c r="Q6940" s="318"/>
      <c r="R6940" s="318"/>
      <c r="S6940" s="318"/>
      <c r="T6940" s="318"/>
      <c r="U6940" s="318"/>
      <c r="V6940" s="318"/>
      <c r="W6940" s="318"/>
      <c r="X6940" s="318"/>
      <c r="Y6940" s="318"/>
      <c r="Z6940" s="318"/>
      <c r="AA6940" s="318"/>
      <c r="AB6940" s="318"/>
      <c r="AC6940" s="318"/>
      <c r="AD6940" s="318"/>
    </row>
    <row r="6941" spans="2:30" s="323" customFormat="1" ht="12" customHeight="1">
      <c r="B6941" s="324"/>
      <c r="C6941" s="325"/>
      <c r="D6941" s="326"/>
      <c r="E6941" s="326"/>
      <c r="F6941" s="326"/>
      <c r="G6941" s="326"/>
      <c r="H6941" s="326"/>
      <c r="P6941" s="318"/>
      <c r="Q6941" s="318"/>
      <c r="R6941" s="318"/>
      <c r="S6941" s="318"/>
      <c r="T6941" s="318"/>
      <c r="U6941" s="318"/>
      <c r="V6941" s="318"/>
      <c r="W6941" s="318"/>
      <c r="X6941" s="318"/>
      <c r="Y6941" s="318"/>
      <c r="Z6941" s="318"/>
      <c r="AA6941" s="318"/>
      <c r="AB6941" s="318"/>
      <c r="AC6941" s="318"/>
      <c r="AD6941" s="318"/>
    </row>
    <row r="6942" spans="2:30" s="323" customFormat="1" ht="12" customHeight="1">
      <c r="B6942" s="324"/>
      <c r="C6942" s="325"/>
      <c r="D6942" s="326"/>
      <c r="E6942" s="326"/>
      <c r="F6942" s="326"/>
      <c r="G6942" s="326"/>
      <c r="H6942" s="326"/>
      <c r="P6942" s="318"/>
      <c r="Q6942" s="318"/>
      <c r="R6942" s="318"/>
      <c r="S6942" s="318"/>
      <c r="T6942" s="318"/>
      <c r="U6942" s="318"/>
      <c r="V6942" s="318"/>
      <c r="W6942" s="318"/>
      <c r="X6942" s="318"/>
      <c r="Y6942" s="318"/>
      <c r="Z6942" s="318"/>
      <c r="AA6942" s="318"/>
      <c r="AB6942" s="318"/>
      <c r="AC6942" s="318"/>
      <c r="AD6942" s="318"/>
    </row>
    <row r="6943" spans="2:30" s="323" customFormat="1" ht="12" customHeight="1">
      <c r="B6943" s="324"/>
      <c r="C6943" s="325"/>
      <c r="D6943" s="326"/>
      <c r="E6943" s="326"/>
      <c r="F6943" s="326"/>
      <c r="G6943" s="326"/>
      <c r="H6943" s="326"/>
      <c r="P6943" s="318"/>
      <c r="Q6943" s="318"/>
      <c r="R6943" s="318"/>
      <c r="S6943" s="318"/>
      <c r="T6943" s="318"/>
      <c r="U6943" s="318"/>
      <c r="V6943" s="318"/>
      <c r="W6943" s="318"/>
      <c r="X6943" s="318"/>
      <c r="Y6943" s="318"/>
      <c r="Z6943" s="318"/>
      <c r="AA6943" s="318"/>
      <c r="AB6943" s="318"/>
      <c r="AC6943" s="318"/>
      <c r="AD6943" s="318"/>
    </row>
    <row r="6944" spans="2:30" s="323" customFormat="1" ht="12" customHeight="1">
      <c r="B6944" s="324"/>
      <c r="C6944" s="325"/>
      <c r="D6944" s="326"/>
      <c r="E6944" s="326"/>
      <c r="F6944" s="326"/>
      <c r="G6944" s="326"/>
      <c r="H6944" s="326"/>
      <c r="P6944" s="318"/>
      <c r="Q6944" s="318"/>
      <c r="R6944" s="318"/>
      <c r="S6944" s="318"/>
      <c r="T6944" s="318"/>
      <c r="U6944" s="318"/>
      <c r="V6944" s="318"/>
      <c r="W6944" s="318"/>
      <c r="X6944" s="318"/>
      <c r="Y6944" s="318"/>
      <c r="Z6944" s="318"/>
      <c r="AA6944" s="318"/>
      <c r="AB6944" s="318"/>
      <c r="AC6944" s="318"/>
      <c r="AD6944" s="318"/>
    </row>
    <row r="6945" spans="2:30" s="323" customFormat="1" ht="12" customHeight="1">
      <c r="B6945" s="324"/>
      <c r="C6945" s="325"/>
      <c r="D6945" s="326"/>
      <c r="E6945" s="326"/>
      <c r="F6945" s="326"/>
      <c r="G6945" s="326"/>
      <c r="H6945" s="326"/>
      <c r="P6945" s="318"/>
      <c r="Q6945" s="318"/>
      <c r="R6945" s="318"/>
      <c r="S6945" s="318"/>
      <c r="T6945" s="318"/>
      <c r="U6945" s="318"/>
      <c r="V6945" s="318"/>
      <c r="W6945" s="318"/>
      <c r="X6945" s="318"/>
      <c r="Y6945" s="318"/>
      <c r="Z6945" s="318"/>
      <c r="AA6945" s="318"/>
      <c r="AB6945" s="318"/>
      <c r="AC6945" s="318"/>
      <c r="AD6945" s="318"/>
    </row>
    <row r="6946" spans="2:30" s="323" customFormat="1" ht="12" customHeight="1">
      <c r="B6946" s="324"/>
      <c r="C6946" s="325"/>
      <c r="D6946" s="326"/>
      <c r="E6946" s="326"/>
      <c r="F6946" s="326"/>
      <c r="G6946" s="326"/>
      <c r="H6946" s="326"/>
      <c r="P6946" s="318"/>
      <c r="Q6946" s="318"/>
      <c r="R6946" s="318"/>
      <c r="S6946" s="318"/>
      <c r="T6946" s="318"/>
      <c r="U6946" s="318"/>
      <c r="V6946" s="318"/>
      <c r="W6946" s="318"/>
      <c r="X6946" s="318"/>
      <c r="Y6946" s="318"/>
      <c r="Z6946" s="318"/>
      <c r="AA6946" s="318"/>
      <c r="AB6946" s="318"/>
      <c r="AC6946" s="318"/>
      <c r="AD6946" s="318"/>
    </row>
    <row r="6947" spans="2:30" s="323" customFormat="1" ht="12" customHeight="1">
      <c r="B6947" s="324"/>
      <c r="C6947" s="325"/>
      <c r="D6947" s="326"/>
      <c r="E6947" s="326"/>
      <c r="F6947" s="326"/>
      <c r="G6947" s="326"/>
      <c r="H6947" s="326"/>
      <c r="P6947" s="318"/>
      <c r="Q6947" s="318"/>
      <c r="R6947" s="318"/>
      <c r="S6947" s="318"/>
      <c r="T6947" s="318"/>
      <c r="U6947" s="318"/>
      <c r="V6947" s="318"/>
      <c r="W6947" s="318"/>
      <c r="X6947" s="318"/>
      <c r="Y6947" s="318"/>
      <c r="Z6947" s="318"/>
      <c r="AA6947" s="318"/>
      <c r="AB6947" s="318"/>
      <c r="AC6947" s="318"/>
      <c r="AD6947" s="318"/>
    </row>
    <row r="6948" spans="2:30" s="323" customFormat="1" ht="12" customHeight="1">
      <c r="B6948" s="324"/>
      <c r="C6948" s="325"/>
      <c r="D6948" s="326"/>
      <c r="E6948" s="326"/>
      <c r="F6948" s="326"/>
      <c r="G6948" s="326"/>
      <c r="H6948" s="326"/>
      <c r="P6948" s="318"/>
      <c r="Q6948" s="318"/>
      <c r="R6948" s="318"/>
      <c r="S6948" s="318"/>
      <c r="T6948" s="318"/>
      <c r="U6948" s="318"/>
      <c r="V6948" s="318"/>
      <c r="W6948" s="318"/>
      <c r="X6948" s="318"/>
      <c r="Y6948" s="318"/>
      <c r="Z6948" s="318"/>
      <c r="AA6948" s="318"/>
      <c r="AB6948" s="318"/>
      <c r="AC6948" s="318"/>
      <c r="AD6948" s="318"/>
    </row>
    <row r="6949" spans="2:30" s="323" customFormat="1" ht="12" customHeight="1">
      <c r="B6949" s="324"/>
      <c r="C6949" s="325"/>
      <c r="D6949" s="326"/>
      <c r="E6949" s="326"/>
      <c r="F6949" s="326"/>
      <c r="G6949" s="326"/>
      <c r="H6949" s="326"/>
      <c r="P6949" s="318"/>
      <c r="Q6949" s="318"/>
      <c r="R6949" s="318"/>
      <c r="S6949" s="318"/>
      <c r="T6949" s="318"/>
      <c r="U6949" s="318"/>
      <c r="V6949" s="318"/>
      <c r="W6949" s="318"/>
      <c r="X6949" s="318"/>
      <c r="Y6949" s="318"/>
      <c r="Z6949" s="318"/>
      <c r="AA6949" s="318"/>
      <c r="AB6949" s="318"/>
      <c r="AC6949" s="318"/>
      <c r="AD6949" s="318"/>
    </row>
    <row r="6950" spans="2:30" s="323" customFormat="1" ht="12" customHeight="1">
      <c r="B6950" s="324"/>
      <c r="C6950" s="325"/>
      <c r="D6950" s="326"/>
      <c r="E6950" s="326"/>
      <c r="F6950" s="326"/>
      <c r="G6950" s="326"/>
      <c r="H6950" s="326"/>
      <c r="P6950" s="318"/>
      <c r="Q6950" s="318"/>
      <c r="R6950" s="318"/>
      <c r="S6950" s="318"/>
      <c r="T6950" s="318"/>
      <c r="U6950" s="318"/>
      <c r="V6950" s="318"/>
      <c r="W6950" s="318"/>
      <c r="X6950" s="318"/>
      <c r="Y6950" s="318"/>
      <c r="Z6950" s="318"/>
      <c r="AA6950" s="318"/>
      <c r="AB6950" s="318"/>
      <c r="AC6950" s="318"/>
      <c r="AD6950" s="318"/>
    </row>
    <row r="6951" spans="2:30" s="323" customFormat="1" ht="12" customHeight="1">
      <c r="B6951" s="324"/>
      <c r="C6951" s="325"/>
      <c r="D6951" s="326"/>
      <c r="E6951" s="326"/>
      <c r="F6951" s="326"/>
      <c r="G6951" s="326"/>
      <c r="H6951" s="326"/>
      <c r="P6951" s="318"/>
      <c r="Q6951" s="318"/>
      <c r="R6951" s="318"/>
      <c r="S6951" s="318"/>
      <c r="T6951" s="318"/>
      <c r="U6951" s="318"/>
      <c r="V6951" s="318"/>
      <c r="W6951" s="318"/>
      <c r="X6951" s="318"/>
      <c r="Y6951" s="318"/>
      <c r="Z6951" s="318"/>
      <c r="AA6951" s="318"/>
      <c r="AB6951" s="318"/>
      <c r="AC6951" s="318"/>
      <c r="AD6951" s="318"/>
    </row>
    <row r="6952" spans="2:30" s="323" customFormat="1" ht="12" customHeight="1">
      <c r="B6952" s="324"/>
      <c r="C6952" s="325"/>
      <c r="D6952" s="326"/>
      <c r="E6952" s="326"/>
      <c r="F6952" s="326"/>
      <c r="G6952" s="326"/>
      <c r="H6952" s="326"/>
      <c r="P6952" s="318"/>
      <c r="Q6952" s="318"/>
      <c r="R6952" s="318"/>
      <c r="S6952" s="318"/>
      <c r="T6952" s="318"/>
      <c r="U6952" s="318"/>
      <c r="V6952" s="318"/>
      <c r="W6952" s="318"/>
      <c r="X6952" s="318"/>
      <c r="Y6952" s="318"/>
      <c r="Z6952" s="318"/>
      <c r="AA6952" s="318"/>
      <c r="AB6952" s="318"/>
      <c r="AC6952" s="318"/>
      <c r="AD6952" s="318"/>
    </row>
    <row r="6953" spans="2:30" s="323" customFormat="1" ht="12" customHeight="1">
      <c r="B6953" s="324"/>
      <c r="C6953" s="325"/>
      <c r="D6953" s="326"/>
      <c r="E6953" s="326"/>
      <c r="F6953" s="326"/>
      <c r="G6953" s="326"/>
      <c r="H6953" s="326"/>
      <c r="P6953" s="318"/>
      <c r="Q6953" s="318"/>
      <c r="R6953" s="318"/>
      <c r="S6953" s="318"/>
      <c r="T6953" s="318"/>
      <c r="U6953" s="318"/>
      <c r="V6953" s="318"/>
      <c r="W6953" s="318"/>
      <c r="X6953" s="318"/>
      <c r="Y6953" s="318"/>
      <c r="Z6953" s="318"/>
      <c r="AA6953" s="318"/>
      <c r="AB6953" s="318"/>
      <c r="AC6953" s="318"/>
      <c r="AD6953" s="318"/>
    </row>
    <row r="6954" spans="2:30" s="323" customFormat="1" ht="12" customHeight="1">
      <c r="B6954" s="324"/>
      <c r="C6954" s="325"/>
      <c r="D6954" s="326"/>
      <c r="E6954" s="326"/>
      <c r="F6954" s="326"/>
      <c r="G6954" s="326"/>
      <c r="H6954" s="326"/>
      <c r="P6954" s="318"/>
      <c r="Q6954" s="318"/>
      <c r="R6954" s="318"/>
      <c r="S6954" s="318"/>
      <c r="T6954" s="318"/>
      <c r="U6954" s="318"/>
      <c r="V6954" s="318"/>
      <c r="W6954" s="318"/>
      <c r="X6954" s="318"/>
      <c r="Y6954" s="318"/>
      <c r="Z6954" s="318"/>
      <c r="AA6954" s="318"/>
      <c r="AB6954" s="318"/>
      <c r="AC6954" s="318"/>
      <c r="AD6954" s="318"/>
    </row>
    <row r="6955" spans="2:30" s="323" customFormat="1" ht="12" customHeight="1">
      <c r="B6955" s="324"/>
      <c r="C6955" s="325"/>
      <c r="D6955" s="326"/>
      <c r="E6955" s="326"/>
      <c r="F6955" s="326"/>
      <c r="G6955" s="326"/>
      <c r="H6955" s="326"/>
      <c r="P6955" s="318"/>
      <c r="Q6955" s="318"/>
      <c r="R6955" s="318"/>
      <c r="S6955" s="318"/>
      <c r="T6955" s="318"/>
      <c r="U6955" s="318"/>
      <c r="V6955" s="318"/>
      <c r="W6955" s="318"/>
      <c r="X6955" s="318"/>
      <c r="Y6955" s="318"/>
      <c r="Z6955" s="318"/>
      <c r="AA6955" s="318"/>
      <c r="AB6955" s="318"/>
      <c r="AC6955" s="318"/>
      <c r="AD6955" s="318"/>
    </row>
    <row r="6956" spans="2:30" s="323" customFormat="1" ht="12" customHeight="1">
      <c r="B6956" s="324"/>
      <c r="C6956" s="325"/>
      <c r="D6956" s="326"/>
      <c r="E6956" s="326"/>
      <c r="F6956" s="326"/>
      <c r="G6956" s="326"/>
      <c r="H6956" s="326"/>
      <c r="P6956" s="318"/>
      <c r="Q6956" s="318"/>
      <c r="R6956" s="318"/>
      <c r="S6956" s="318"/>
      <c r="T6956" s="318"/>
      <c r="U6956" s="318"/>
      <c r="V6956" s="318"/>
      <c r="W6956" s="318"/>
      <c r="X6956" s="318"/>
      <c r="Y6956" s="318"/>
      <c r="Z6956" s="318"/>
      <c r="AA6956" s="318"/>
      <c r="AB6956" s="318"/>
      <c r="AC6956" s="318"/>
      <c r="AD6956" s="318"/>
    </row>
    <row r="6957" spans="2:30" s="323" customFormat="1" ht="12" customHeight="1">
      <c r="B6957" s="324"/>
      <c r="C6957" s="325"/>
      <c r="D6957" s="326"/>
      <c r="E6957" s="326"/>
      <c r="F6957" s="326"/>
      <c r="G6957" s="326"/>
      <c r="H6957" s="326"/>
      <c r="P6957" s="318"/>
      <c r="Q6957" s="318"/>
      <c r="R6957" s="318"/>
      <c r="S6957" s="318"/>
      <c r="T6957" s="318"/>
      <c r="U6957" s="318"/>
      <c r="V6957" s="318"/>
      <c r="W6957" s="318"/>
      <c r="X6957" s="318"/>
      <c r="Y6957" s="318"/>
      <c r="Z6957" s="318"/>
      <c r="AA6957" s="318"/>
      <c r="AB6957" s="318"/>
      <c r="AC6957" s="318"/>
      <c r="AD6957" s="318"/>
    </row>
    <row r="6958" spans="2:30" s="323" customFormat="1" ht="12" customHeight="1">
      <c r="B6958" s="324"/>
      <c r="C6958" s="325"/>
      <c r="D6958" s="326"/>
      <c r="E6958" s="326"/>
      <c r="F6958" s="326"/>
      <c r="G6958" s="326"/>
      <c r="H6958" s="326"/>
      <c r="P6958" s="318"/>
      <c r="Q6958" s="318"/>
      <c r="R6958" s="318"/>
      <c r="S6958" s="318"/>
      <c r="T6958" s="318"/>
      <c r="U6958" s="318"/>
      <c r="V6958" s="318"/>
      <c r="W6958" s="318"/>
      <c r="X6958" s="318"/>
      <c r="Y6958" s="318"/>
      <c r="Z6958" s="318"/>
      <c r="AA6958" s="318"/>
      <c r="AB6958" s="318"/>
      <c r="AC6958" s="318"/>
      <c r="AD6958" s="318"/>
    </row>
    <row r="6959" spans="2:30" s="323" customFormat="1" ht="12" customHeight="1">
      <c r="B6959" s="324"/>
      <c r="C6959" s="325"/>
      <c r="D6959" s="326"/>
      <c r="E6959" s="326"/>
      <c r="F6959" s="326"/>
      <c r="G6959" s="326"/>
      <c r="H6959" s="326"/>
      <c r="P6959" s="318"/>
      <c r="Q6959" s="318"/>
      <c r="R6959" s="318"/>
      <c r="S6959" s="318"/>
      <c r="T6959" s="318"/>
      <c r="U6959" s="318"/>
      <c r="V6959" s="318"/>
      <c r="W6959" s="318"/>
      <c r="X6959" s="318"/>
      <c r="Y6959" s="318"/>
      <c r="Z6959" s="318"/>
      <c r="AA6959" s="318"/>
      <c r="AB6959" s="318"/>
      <c r="AC6959" s="318"/>
      <c r="AD6959" s="318"/>
    </row>
    <row r="6960" spans="2:30" s="323" customFormat="1" ht="12" customHeight="1">
      <c r="B6960" s="324"/>
      <c r="C6960" s="325"/>
      <c r="D6960" s="326"/>
      <c r="E6960" s="326"/>
      <c r="F6960" s="326"/>
      <c r="G6960" s="326"/>
      <c r="H6960" s="326"/>
      <c r="P6960" s="318"/>
      <c r="Q6960" s="318"/>
      <c r="R6960" s="318"/>
      <c r="S6960" s="318"/>
      <c r="T6960" s="318"/>
      <c r="U6960" s="318"/>
      <c r="V6960" s="318"/>
      <c r="W6960" s="318"/>
      <c r="X6960" s="318"/>
      <c r="Y6960" s="318"/>
      <c r="Z6960" s="318"/>
      <c r="AA6960" s="318"/>
      <c r="AB6960" s="318"/>
      <c r="AC6960" s="318"/>
      <c r="AD6960" s="318"/>
    </row>
    <row r="6961" spans="2:30" s="323" customFormat="1" ht="12" customHeight="1">
      <c r="B6961" s="324"/>
      <c r="C6961" s="325"/>
      <c r="D6961" s="326"/>
      <c r="E6961" s="326"/>
      <c r="F6961" s="326"/>
      <c r="G6961" s="326"/>
      <c r="H6961" s="326"/>
      <c r="P6961" s="318"/>
      <c r="Q6961" s="318"/>
      <c r="R6961" s="318"/>
      <c r="S6961" s="318"/>
      <c r="T6961" s="318"/>
      <c r="U6961" s="318"/>
      <c r="V6961" s="318"/>
      <c r="W6961" s="318"/>
      <c r="X6961" s="318"/>
      <c r="Y6961" s="318"/>
      <c r="Z6961" s="318"/>
      <c r="AA6961" s="318"/>
      <c r="AB6961" s="318"/>
      <c r="AC6961" s="318"/>
      <c r="AD6961" s="318"/>
    </row>
    <row r="6962" spans="2:30" s="323" customFormat="1" ht="12" customHeight="1">
      <c r="B6962" s="324"/>
      <c r="C6962" s="325"/>
      <c r="D6962" s="326"/>
      <c r="E6962" s="326"/>
      <c r="F6962" s="326"/>
      <c r="G6962" s="326"/>
      <c r="H6962" s="326"/>
      <c r="P6962" s="318"/>
      <c r="Q6962" s="318"/>
      <c r="R6962" s="318"/>
      <c r="S6962" s="318"/>
      <c r="T6962" s="318"/>
      <c r="U6962" s="318"/>
      <c r="V6962" s="318"/>
      <c r="W6962" s="318"/>
      <c r="X6962" s="318"/>
      <c r="Y6962" s="318"/>
      <c r="Z6962" s="318"/>
      <c r="AA6962" s="318"/>
      <c r="AB6962" s="318"/>
      <c r="AC6962" s="318"/>
      <c r="AD6962" s="318"/>
    </row>
    <row r="6963" spans="2:30" s="323" customFormat="1" ht="12" customHeight="1">
      <c r="B6963" s="324"/>
      <c r="C6963" s="325"/>
      <c r="D6963" s="326"/>
      <c r="E6963" s="326"/>
      <c r="F6963" s="326"/>
      <c r="G6963" s="326"/>
      <c r="H6963" s="326"/>
      <c r="P6963" s="318"/>
      <c r="Q6963" s="318"/>
      <c r="R6963" s="318"/>
      <c r="S6963" s="318"/>
      <c r="T6963" s="318"/>
      <c r="U6963" s="318"/>
      <c r="V6963" s="318"/>
      <c r="W6963" s="318"/>
      <c r="X6963" s="318"/>
      <c r="Y6963" s="318"/>
      <c r="Z6963" s="318"/>
      <c r="AA6963" s="318"/>
      <c r="AB6963" s="318"/>
      <c r="AC6963" s="318"/>
      <c r="AD6963" s="318"/>
    </row>
    <row r="6964" spans="2:30" s="323" customFormat="1" ht="12" customHeight="1">
      <c r="B6964" s="324"/>
      <c r="C6964" s="325"/>
      <c r="D6964" s="326"/>
      <c r="E6964" s="326"/>
      <c r="F6964" s="326"/>
      <c r="G6964" s="326"/>
      <c r="H6964" s="326"/>
      <c r="P6964" s="318"/>
      <c r="Q6964" s="318"/>
      <c r="R6964" s="318"/>
      <c r="S6964" s="318"/>
      <c r="T6964" s="318"/>
      <c r="U6964" s="318"/>
      <c r="V6964" s="318"/>
      <c r="W6964" s="318"/>
      <c r="X6964" s="318"/>
      <c r="Y6964" s="318"/>
      <c r="Z6964" s="318"/>
      <c r="AA6964" s="318"/>
      <c r="AB6964" s="318"/>
      <c r="AC6964" s="318"/>
      <c r="AD6964" s="318"/>
    </row>
    <row r="6965" spans="2:30" s="323" customFormat="1" ht="12" customHeight="1">
      <c r="B6965" s="324"/>
      <c r="C6965" s="325"/>
      <c r="D6965" s="326"/>
      <c r="E6965" s="326"/>
      <c r="F6965" s="326"/>
      <c r="G6965" s="326"/>
      <c r="H6965" s="326"/>
      <c r="P6965" s="318"/>
      <c r="Q6965" s="318"/>
      <c r="R6965" s="318"/>
      <c r="S6965" s="318"/>
      <c r="T6965" s="318"/>
      <c r="U6965" s="318"/>
      <c r="V6965" s="318"/>
      <c r="W6965" s="318"/>
      <c r="X6965" s="318"/>
      <c r="Y6965" s="318"/>
      <c r="Z6965" s="318"/>
      <c r="AA6965" s="318"/>
      <c r="AB6965" s="318"/>
      <c r="AC6965" s="318"/>
      <c r="AD6965" s="318"/>
    </row>
    <row r="6966" spans="2:30" s="323" customFormat="1" ht="12" customHeight="1">
      <c r="B6966" s="324"/>
      <c r="C6966" s="325"/>
      <c r="D6966" s="326"/>
      <c r="E6966" s="326"/>
      <c r="F6966" s="326"/>
      <c r="G6966" s="326"/>
      <c r="H6966" s="326"/>
      <c r="P6966" s="318"/>
      <c r="Q6966" s="318"/>
      <c r="R6966" s="318"/>
      <c r="S6966" s="318"/>
      <c r="T6966" s="318"/>
      <c r="U6966" s="318"/>
      <c r="V6966" s="318"/>
      <c r="W6966" s="318"/>
      <c r="X6966" s="318"/>
      <c r="Y6966" s="318"/>
      <c r="Z6966" s="318"/>
      <c r="AA6966" s="318"/>
      <c r="AB6966" s="318"/>
      <c r="AC6966" s="318"/>
      <c r="AD6966" s="318"/>
    </row>
    <row r="6967" spans="2:30" s="323" customFormat="1" ht="12" customHeight="1">
      <c r="B6967" s="324"/>
      <c r="C6967" s="325"/>
      <c r="D6967" s="326"/>
      <c r="E6967" s="326"/>
      <c r="F6967" s="326"/>
      <c r="G6967" s="326"/>
      <c r="H6967" s="326"/>
      <c r="P6967" s="318"/>
      <c r="Q6967" s="318"/>
      <c r="R6967" s="318"/>
      <c r="S6967" s="318"/>
      <c r="T6967" s="318"/>
      <c r="U6967" s="318"/>
      <c r="V6967" s="318"/>
      <c r="W6967" s="318"/>
      <c r="X6967" s="318"/>
      <c r="Y6967" s="318"/>
      <c r="Z6967" s="318"/>
      <c r="AA6967" s="318"/>
      <c r="AB6967" s="318"/>
      <c r="AC6967" s="318"/>
      <c r="AD6967" s="318"/>
    </row>
    <row r="6968" spans="2:30" s="323" customFormat="1" ht="12" customHeight="1">
      <c r="B6968" s="324"/>
      <c r="C6968" s="325"/>
      <c r="D6968" s="326"/>
      <c r="E6968" s="326"/>
      <c r="F6968" s="326"/>
      <c r="G6968" s="326"/>
      <c r="H6968" s="326"/>
      <c r="P6968" s="318"/>
      <c r="Q6968" s="318"/>
      <c r="R6968" s="318"/>
      <c r="S6968" s="318"/>
      <c r="T6968" s="318"/>
      <c r="U6968" s="318"/>
      <c r="V6968" s="318"/>
      <c r="W6968" s="318"/>
      <c r="X6968" s="318"/>
      <c r="Y6968" s="318"/>
      <c r="Z6968" s="318"/>
      <c r="AA6968" s="318"/>
      <c r="AB6968" s="318"/>
      <c r="AC6968" s="318"/>
      <c r="AD6968" s="318"/>
    </row>
    <row r="6969" spans="2:30" s="323" customFormat="1" ht="12" customHeight="1">
      <c r="B6969" s="324"/>
      <c r="C6969" s="325"/>
      <c r="D6969" s="326"/>
      <c r="E6969" s="326"/>
      <c r="F6969" s="326"/>
      <c r="G6969" s="326"/>
      <c r="H6969" s="326"/>
      <c r="P6969" s="318"/>
      <c r="Q6969" s="318"/>
      <c r="R6969" s="318"/>
      <c r="S6969" s="318"/>
      <c r="T6969" s="318"/>
      <c r="U6969" s="318"/>
      <c r="V6969" s="318"/>
      <c r="W6969" s="318"/>
      <c r="X6969" s="318"/>
      <c r="Y6969" s="318"/>
      <c r="Z6969" s="318"/>
      <c r="AA6969" s="318"/>
      <c r="AB6969" s="318"/>
      <c r="AC6969" s="318"/>
      <c r="AD6969" s="318"/>
    </row>
    <row r="6970" spans="2:30" s="323" customFormat="1" ht="12" customHeight="1">
      <c r="B6970" s="324"/>
      <c r="C6970" s="325"/>
      <c r="D6970" s="326"/>
      <c r="E6970" s="326"/>
      <c r="F6970" s="326"/>
      <c r="G6970" s="326"/>
      <c r="H6970" s="326"/>
      <c r="P6970" s="318"/>
      <c r="Q6970" s="318"/>
      <c r="R6970" s="318"/>
      <c r="S6970" s="318"/>
      <c r="T6970" s="318"/>
      <c r="U6970" s="318"/>
      <c r="V6970" s="318"/>
      <c r="W6970" s="318"/>
      <c r="X6970" s="318"/>
      <c r="Y6970" s="318"/>
      <c r="Z6970" s="318"/>
      <c r="AA6970" s="318"/>
      <c r="AB6970" s="318"/>
      <c r="AC6970" s="318"/>
      <c r="AD6970" s="318"/>
    </row>
    <row r="6971" spans="2:30" s="323" customFormat="1" ht="12" customHeight="1">
      <c r="B6971" s="324"/>
      <c r="C6971" s="325"/>
      <c r="D6971" s="326"/>
      <c r="E6971" s="326"/>
      <c r="F6971" s="326"/>
      <c r="G6971" s="326"/>
      <c r="H6971" s="326"/>
      <c r="P6971" s="318"/>
      <c r="Q6971" s="318"/>
      <c r="R6971" s="318"/>
      <c r="S6971" s="318"/>
      <c r="T6971" s="318"/>
      <c r="U6971" s="318"/>
      <c r="V6971" s="318"/>
      <c r="W6971" s="318"/>
      <c r="X6971" s="318"/>
      <c r="Y6971" s="318"/>
      <c r="Z6971" s="318"/>
      <c r="AA6971" s="318"/>
      <c r="AB6971" s="318"/>
      <c r="AC6971" s="318"/>
      <c r="AD6971" s="318"/>
    </row>
    <row r="6972" spans="2:30" s="323" customFormat="1" ht="12" customHeight="1">
      <c r="B6972" s="324"/>
      <c r="C6972" s="325"/>
      <c r="D6972" s="326"/>
      <c r="E6972" s="326"/>
      <c r="F6972" s="326"/>
      <c r="G6972" s="326"/>
      <c r="H6972" s="326"/>
      <c r="P6972" s="318"/>
      <c r="Q6972" s="318"/>
      <c r="R6972" s="318"/>
      <c r="S6972" s="318"/>
      <c r="T6972" s="318"/>
      <c r="U6972" s="318"/>
      <c r="V6972" s="318"/>
      <c r="W6972" s="318"/>
      <c r="X6972" s="318"/>
      <c r="Y6972" s="318"/>
      <c r="Z6972" s="318"/>
      <c r="AA6972" s="318"/>
      <c r="AB6972" s="318"/>
      <c r="AC6972" s="318"/>
      <c r="AD6972" s="318"/>
    </row>
    <row r="6973" spans="2:30" s="323" customFormat="1" ht="12" customHeight="1">
      <c r="B6973" s="324"/>
      <c r="C6973" s="325"/>
      <c r="D6973" s="326"/>
      <c r="E6973" s="326"/>
      <c r="F6973" s="326"/>
      <c r="G6973" s="326"/>
      <c r="H6973" s="326"/>
      <c r="P6973" s="318"/>
      <c r="Q6973" s="318"/>
      <c r="R6973" s="318"/>
      <c r="S6973" s="318"/>
      <c r="T6973" s="318"/>
      <c r="U6973" s="318"/>
      <c r="V6973" s="318"/>
      <c r="W6973" s="318"/>
      <c r="X6973" s="318"/>
      <c r="Y6973" s="318"/>
      <c r="Z6973" s="318"/>
      <c r="AA6973" s="318"/>
      <c r="AB6973" s="318"/>
      <c r="AC6973" s="318"/>
      <c r="AD6973" s="318"/>
    </row>
    <row r="6974" spans="2:30" s="323" customFormat="1" ht="12" customHeight="1">
      <c r="B6974" s="324"/>
      <c r="C6974" s="325"/>
      <c r="D6974" s="326"/>
      <c r="E6974" s="326"/>
      <c r="F6974" s="326"/>
      <c r="G6974" s="326"/>
      <c r="H6974" s="326"/>
      <c r="P6974" s="318"/>
      <c r="Q6974" s="318"/>
      <c r="R6974" s="318"/>
      <c r="S6974" s="318"/>
      <c r="T6974" s="318"/>
      <c r="U6974" s="318"/>
      <c r="V6974" s="318"/>
      <c r="W6974" s="318"/>
      <c r="X6974" s="318"/>
      <c r="Y6974" s="318"/>
      <c r="Z6974" s="318"/>
      <c r="AA6974" s="318"/>
      <c r="AB6974" s="318"/>
      <c r="AC6974" s="318"/>
      <c r="AD6974" s="318"/>
    </row>
    <row r="6975" spans="2:30" s="323" customFormat="1" ht="12" customHeight="1">
      <c r="B6975" s="324"/>
      <c r="C6975" s="325"/>
      <c r="D6975" s="326"/>
      <c r="E6975" s="326"/>
      <c r="F6975" s="326"/>
      <c r="G6975" s="326"/>
      <c r="H6975" s="326"/>
      <c r="P6975" s="318"/>
      <c r="Q6975" s="318"/>
      <c r="R6975" s="318"/>
      <c r="S6975" s="318"/>
      <c r="T6975" s="318"/>
      <c r="U6975" s="318"/>
      <c r="V6975" s="318"/>
      <c r="W6975" s="318"/>
      <c r="X6975" s="318"/>
      <c r="Y6975" s="318"/>
      <c r="Z6975" s="318"/>
      <c r="AA6975" s="318"/>
      <c r="AB6975" s="318"/>
      <c r="AC6975" s="318"/>
      <c r="AD6975" s="318"/>
    </row>
    <row r="6976" spans="2:30" s="323" customFormat="1" ht="12" customHeight="1">
      <c r="B6976" s="324"/>
      <c r="C6976" s="325"/>
      <c r="D6976" s="326"/>
      <c r="E6976" s="326"/>
      <c r="F6976" s="326"/>
      <c r="G6976" s="326"/>
      <c r="H6976" s="326"/>
      <c r="P6976" s="318"/>
      <c r="Q6976" s="318"/>
      <c r="R6976" s="318"/>
      <c r="S6976" s="318"/>
      <c r="T6976" s="318"/>
      <c r="U6976" s="318"/>
      <c r="V6976" s="318"/>
      <c r="W6976" s="318"/>
      <c r="X6976" s="318"/>
      <c r="Y6976" s="318"/>
      <c r="Z6976" s="318"/>
      <c r="AA6976" s="318"/>
      <c r="AB6976" s="318"/>
      <c r="AC6976" s="318"/>
      <c r="AD6976" s="318"/>
    </row>
    <row r="6977" spans="2:30" s="323" customFormat="1" ht="12" customHeight="1">
      <c r="B6977" s="324"/>
      <c r="C6977" s="325"/>
      <c r="D6977" s="326"/>
      <c r="E6977" s="326"/>
      <c r="F6977" s="326"/>
      <c r="G6977" s="326"/>
      <c r="H6977" s="326"/>
      <c r="P6977" s="318"/>
      <c r="Q6977" s="318"/>
      <c r="R6977" s="318"/>
      <c r="S6977" s="318"/>
      <c r="T6977" s="318"/>
      <c r="U6977" s="318"/>
      <c r="V6977" s="318"/>
      <c r="W6977" s="318"/>
      <c r="X6977" s="318"/>
      <c r="Y6977" s="318"/>
      <c r="Z6977" s="318"/>
      <c r="AA6977" s="318"/>
      <c r="AB6977" s="318"/>
      <c r="AC6977" s="318"/>
      <c r="AD6977" s="318"/>
    </row>
    <row r="6978" spans="2:30" s="323" customFormat="1" ht="12" customHeight="1">
      <c r="B6978" s="324"/>
      <c r="C6978" s="325"/>
      <c r="D6978" s="326"/>
      <c r="E6978" s="326"/>
      <c r="F6978" s="326"/>
      <c r="G6978" s="326"/>
      <c r="H6978" s="326"/>
      <c r="P6978" s="318"/>
      <c r="Q6978" s="318"/>
      <c r="R6978" s="318"/>
      <c r="S6978" s="318"/>
      <c r="T6978" s="318"/>
      <c r="U6978" s="318"/>
      <c r="V6978" s="318"/>
      <c r="W6978" s="318"/>
      <c r="X6978" s="318"/>
      <c r="Y6978" s="318"/>
      <c r="Z6978" s="318"/>
      <c r="AA6978" s="318"/>
      <c r="AB6978" s="318"/>
      <c r="AC6978" s="318"/>
      <c r="AD6978" s="318"/>
    </row>
    <row r="6979" spans="2:30" s="323" customFormat="1" ht="12" customHeight="1">
      <c r="B6979" s="324"/>
      <c r="C6979" s="325"/>
      <c r="D6979" s="326"/>
      <c r="E6979" s="326"/>
      <c r="F6979" s="326"/>
      <c r="G6979" s="326"/>
      <c r="H6979" s="326"/>
      <c r="P6979" s="318"/>
      <c r="Q6979" s="318"/>
      <c r="R6979" s="318"/>
      <c r="S6979" s="318"/>
      <c r="T6979" s="318"/>
      <c r="U6979" s="318"/>
      <c r="V6979" s="318"/>
      <c r="W6979" s="318"/>
      <c r="X6979" s="318"/>
      <c r="Y6979" s="318"/>
      <c r="Z6979" s="318"/>
      <c r="AA6979" s="318"/>
      <c r="AB6979" s="318"/>
      <c r="AC6979" s="318"/>
      <c r="AD6979" s="318"/>
    </row>
    <row r="6980" spans="2:30" s="323" customFormat="1" ht="12" customHeight="1">
      <c r="B6980" s="324"/>
      <c r="C6980" s="325"/>
      <c r="D6980" s="326"/>
      <c r="E6980" s="326"/>
      <c r="F6980" s="326"/>
      <c r="G6980" s="326"/>
      <c r="H6980" s="326"/>
      <c r="P6980" s="318"/>
      <c r="Q6980" s="318"/>
      <c r="R6980" s="318"/>
      <c r="S6980" s="318"/>
      <c r="T6980" s="318"/>
      <c r="U6980" s="318"/>
      <c r="V6980" s="318"/>
      <c r="W6980" s="318"/>
      <c r="X6980" s="318"/>
      <c r="Y6980" s="318"/>
      <c r="Z6980" s="318"/>
      <c r="AA6980" s="318"/>
      <c r="AB6980" s="318"/>
      <c r="AC6980" s="318"/>
      <c r="AD6980" s="318"/>
    </row>
    <row r="6981" spans="2:30" s="323" customFormat="1" ht="12" customHeight="1">
      <c r="B6981" s="324"/>
      <c r="C6981" s="325"/>
      <c r="D6981" s="326"/>
      <c r="E6981" s="326"/>
      <c r="F6981" s="326"/>
      <c r="G6981" s="326"/>
      <c r="H6981" s="326"/>
      <c r="P6981" s="318"/>
      <c r="Q6981" s="318"/>
      <c r="R6981" s="318"/>
      <c r="S6981" s="318"/>
      <c r="T6981" s="318"/>
      <c r="U6981" s="318"/>
      <c r="V6981" s="318"/>
      <c r="W6981" s="318"/>
      <c r="X6981" s="318"/>
      <c r="Y6981" s="318"/>
      <c r="Z6981" s="318"/>
      <c r="AA6981" s="318"/>
      <c r="AB6981" s="318"/>
      <c r="AC6981" s="318"/>
      <c r="AD6981" s="318"/>
    </row>
    <row r="6982" spans="2:30" s="323" customFormat="1" ht="12" customHeight="1">
      <c r="B6982" s="324"/>
      <c r="C6982" s="325"/>
      <c r="D6982" s="326"/>
      <c r="E6982" s="326"/>
      <c r="F6982" s="326"/>
      <c r="G6982" s="326"/>
      <c r="H6982" s="326"/>
      <c r="P6982" s="318"/>
      <c r="Q6982" s="318"/>
      <c r="R6982" s="318"/>
      <c r="S6982" s="318"/>
      <c r="T6982" s="318"/>
      <c r="U6982" s="318"/>
      <c r="V6982" s="318"/>
      <c r="W6982" s="318"/>
      <c r="X6982" s="318"/>
      <c r="Y6982" s="318"/>
      <c r="Z6982" s="318"/>
      <c r="AA6982" s="318"/>
      <c r="AB6982" s="318"/>
      <c r="AC6982" s="318"/>
      <c r="AD6982" s="318"/>
    </row>
    <row r="6983" spans="2:30" s="323" customFormat="1" ht="12" customHeight="1">
      <c r="B6983" s="324"/>
      <c r="C6983" s="325"/>
      <c r="D6983" s="326"/>
      <c r="E6983" s="326"/>
      <c r="F6983" s="326"/>
      <c r="G6983" s="326"/>
      <c r="H6983" s="326"/>
      <c r="P6983" s="318"/>
      <c r="Q6983" s="318"/>
      <c r="R6983" s="318"/>
      <c r="S6983" s="318"/>
      <c r="T6983" s="318"/>
      <c r="U6983" s="318"/>
      <c r="V6983" s="318"/>
      <c r="W6983" s="318"/>
      <c r="X6983" s="318"/>
      <c r="Y6983" s="318"/>
      <c r="Z6983" s="318"/>
      <c r="AA6983" s="318"/>
      <c r="AB6983" s="318"/>
      <c r="AC6983" s="318"/>
      <c r="AD6983" s="318"/>
    </row>
    <row r="6984" spans="2:30" s="323" customFormat="1" ht="12" customHeight="1">
      <c r="B6984" s="324"/>
      <c r="C6984" s="325"/>
      <c r="D6984" s="326"/>
      <c r="E6984" s="326"/>
      <c r="F6984" s="326"/>
      <c r="G6984" s="326"/>
      <c r="H6984" s="326"/>
      <c r="P6984" s="318"/>
      <c r="Q6984" s="318"/>
      <c r="R6984" s="318"/>
      <c r="S6984" s="318"/>
      <c r="T6984" s="318"/>
      <c r="U6984" s="318"/>
      <c r="V6984" s="318"/>
      <c r="W6984" s="318"/>
      <c r="X6984" s="318"/>
      <c r="Y6984" s="318"/>
      <c r="Z6984" s="318"/>
      <c r="AA6984" s="318"/>
      <c r="AB6984" s="318"/>
      <c r="AC6984" s="318"/>
      <c r="AD6984" s="318"/>
    </row>
    <row r="6985" spans="2:30" s="323" customFormat="1" ht="12" customHeight="1">
      <c r="B6985" s="324"/>
      <c r="C6985" s="325"/>
      <c r="D6985" s="326"/>
      <c r="E6985" s="326"/>
      <c r="F6985" s="326"/>
      <c r="G6985" s="326"/>
      <c r="H6985" s="326"/>
      <c r="P6985" s="318"/>
      <c r="Q6985" s="318"/>
      <c r="R6985" s="318"/>
      <c r="S6985" s="318"/>
      <c r="T6985" s="318"/>
      <c r="U6985" s="318"/>
      <c r="V6985" s="318"/>
      <c r="W6985" s="318"/>
      <c r="X6985" s="318"/>
      <c r="Y6985" s="318"/>
      <c r="Z6985" s="318"/>
      <c r="AA6985" s="318"/>
      <c r="AB6985" s="318"/>
      <c r="AC6985" s="318"/>
      <c r="AD6985" s="318"/>
    </row>
    <row r="6986" spans="2:30" s="323" customFormat="1" ht="12" customHeight="1">
      <c r="B6986" s="324"/>
      <c r="C6986" s="325"/>
      <c r="D6986" s="326"/>
      <c r="E6986" s="326"/>
      <c r="F6986" s="326"/>
      <c r="G6986" s="326"/>
      <c r="H6986" s="326"/>
      <c r="P6986" s="318"/>
      <c r="Q6986" s="318"/>
      <c r="R6986" s="318"/>
      <c r="S6986" s="318"/>
      <c r="T6986" s="318"/>
      <c r="U6986" s="318"/>
      <c r="V6986" s="318"/>
      <c r="W6986" s="318"/>
      <c r="X6986" s="318"/>
      <c r="Y6986" s="318"/>
      <c r="Z6986" s="318"/>
      <c r="AA6986" s="318"/>
      <c r="AB6986" s="318"/>
      <c r="AC6986" s="318"/>
      <c r="AD6986" s="318"/>
    </row>
    <row r="6987" spans="2:30" s="323" customFormat="1" ht="12" customHeight="1">
      <c r="B6987" s="324"/>
      <c r="C6987" s="325"/>
      <c r="D6987" s="326"/>
      <c r="E6987" s="326"/>
      <c r="F6987" s="326"/>
      <c r="G6987" s="326"/>
      <c r="H6987" s="326"/>
      <c r="P6987" s="318"/>
      <c r="Q6987" s="318"/>
      <c r="R6987" s="318"/>
      <c r="S6987" s="318"/>
      <c r="T6987" s="318"/>
      <c r="U6987" s="318"/>
      <c r="V6987" s="318"/>
      <c r="W6987" s="318"/>
      <c r="X6987" s="318"/>
      <c r="Y6987" s="318"/>
      <c r="Z6987" s="318"/>
      <c r="AA6987" s="318"/>
      <c r="AB6987" s="318"/>
      <c r="AC6987" s="318"/>
      <c r="AD6987" s="318"/>
    </row>
    <row r="6988" spans="2:30" s="323" customFormat="1" ht="12" customHeight="1">
      <c r="B6988" s="324"/>
      <c r="C6988" s="325"/>
      <c r="D6988" s="326"/>
      <c r="E6988" s="326"/>
      <c r="F6988" s="326"/>
      <c r="G6988" s="326"/>
      <c r="H6988" s="326"/>
      <c r="P6988" s="318"/>
      <c r="Q6988" s="318"/>
      <c r="R6988" s="318"/>
      <c r="S6988" s="318"/>
      <c r="T6988" s="318"/>
      <c r="U6988" s="318"/>
      <c r="V6988" s="318"/>
      <c r="W6988" s="318"/>
      <c r="X6988" s="318"/>
      <c r="Y6988" s="318"/>
      <c r="Z6988" s="318"/>
      <c r="AA6988" s="318"/>
      <c r="AB6988" s="318"/>
      <c r="AC6988" s="318"/>
      <c r="AD6988" s="318"/>
    </row>
    <row r="6989" spans="2:30" s="323" customFormat="1" ht="12" customHeight="1">
      <c r="B6989" s="324"/>
      <c r="C6989" s="325"/>
      <c r="D6989" s="326"/>
      <c r="E6989" s="326"/>
      <c r="F6989" s="326"/>
      <c r="G6989" s="326"/>
      <c r="H6989" s="326"/>
      <c r="P6989" s="318"/>
      <c r="Q6989" s="318"/>
      <c r="R6989" s="318"/>
      <c r="S6989" s="318"/>
      <c r="T6989" s="318"/>
      <c r="U6989" s="318"/>
      <c r="V6989" s="318"/>
      <c r="W6989" s="318"/>
      <c r="X6989" s="318"/>
      <c r="Y6989" s="318"/>
      <c r="Z6989" s="318"/>
      <c r="AA6989" s="318"/>
      <c r="AB6989" s="318"/>
      <c r="AC6989" s="318"/>
      <c r="AD6989" s="318"/>
    </row>
    <row r="6990" spans="2:30" s="323" customFormat="1" ht="12" customHeight="1">
      <c r="B6990" s="324"/>
      <c r="C6990" s="325"/>
      <c r="D6990" s="326"/>
      <c r="E6990" s="326"/>
      <c r="F6990" s="326"/>
      <c r="G6990" s="326"/>
      <c r="H6990" s="326"/>
      <c r="P6990" s="318"/>
      <c r="Q6990" s="318"/>
      <c r="R6990" s="318"/>
      <c r="S6990" s="318"/>
      <c r="T6990" s="318"/>
      <c r="U6990" s="318"/>
      <c r="V6990" s="318"/>
      <c r="W6990" s="318"/>
      <c r="X6990" s="318"/>
      <c r="Y6990" s="318"/>
      <c r="Z6990" s="318"/>
      <c r="AA6990" s="318"/>
      <c r="AB6990" s="318"/>
      <c r="AC6990" s="318"/>
      <c r="AD6990" s="318"/>
    </row>
    <row r="6991" spans="2:30" s="323" customFormat="1" ht="12" customHeight="1">
      <c r="B6991" s="324"/>
      <c r="C6991" s="325"/>
      <c r="D6991" s="326"/>
      <c r="E6991" s="326"/>
      <c r="F6991" s="326"/>
      <c r="G6991" s="326"/>
      <c r="H6991" s="326"/>
      <c r="P6991" s="318"/>
      <c r="Q6991" s="318"/>
      <c r="R6991" s="318"/>
      <c r="S6991" s="318"/>
      <c r="T6991" s="318"/>
      <c r="U6991" s="318"/>
      <c r="V6991" s="318"/>
      <c r="W6991" s="318"/>
      <c r="X6991" s="318"/>
      <c r="Y6991" s="318"/>
      <c r="Z6991" s="318"/>
      <c r="AA6991" s="318"/>
      <c r="AB6991" s="318"/>
      <c r="AC6991" s="318"/>
      <c r="AD6991" s="318"/>
    </row>
    <row r="6992" spans="2:30" s="323" customFormat="1" ht="12" customHeight="1">
      <c r="B6992" s="324"/>
      <c r="C6992" s="325"/>
      <c r="D6992" s="326"/>
      <c r="E6992" s="326"/>
      <c r="F6992" s="326"/>
      <c r="G6992" s="326"/>
      <c r="H6992" s="326"/>
      <c r="P6992" s="318"/>
      <c r="Q6992" s="318"/>
      <c r="R6992" s="318"/>
      <c r="S6992" s="318"/>
      <c r="T6992" s="318"/>
      <c r="U6992" s="318"/>
      <c r="V6992" s="318"/>
      <c r="W6992" s="318"/>
      <c r="X6992" s="318"/>
      <c r="Y6992" s="318"/>
      <c r="Z6992" s="318"/>
      <c r="AA6992" s="318"/>
      <c r="AB6992" s="318"/>
      <c r="AC6992" s="318"/>
      <c r="AD6992" s="318"/>
    </row>
    <row r="6993" spans="2:30" s="323" customFormat="1" ht="12" customHeight="1">
      <c r="B6993" s="324"/>
      <c r="C6993" s="325"/>
      <c r="D6993" s="326"/>
      <c r="E6993" s="326"/>
      <c r="F6993" s="326"/>
      <c r="G6993" s="326"/>
      <c r="H6993" s="326"/>
      <c r="P6993" s="318"/>
      <c r="Q6993" s="318"/>
      <c r="R6993" s="318"/>
      <c r="S6993" s="318"/>
      <c r="T6993" s="318"/>
      <c r="U6993" s="318"/>
      <c r="V6993" s="318"/>
      <c r="W6993" s="318"/>
      <c r="X6993" s="318"/>
      <c r="Y6993" s="318"/>
      <c r="Z6993" s="318"/>
      <c r="AA6993" s="318"/>
      <c r="AB6993" s="318"/>
      <c r="AC6993" s="318"/>
      <c r="AD6993" s="318"/>
    </row>
    <row r="6994" spans="2:30" s="323" customFormat="1" ht="12" customHeight="1">
      <c r="B6994" s="324"/>
      <c r="C6994" s="325"/>
      <c r="D6994" s="326"/>
      <c r="E6994" s="326"/>
      <c r="F6994" s="326"/>
      <c r="G6994" s="326"/>
      <c r="H6994" s="326"/>
      <c r="P6994" s="318"/>
      <c r="Q6994" s="318"/>
      <c r="R6994" s="318"/>
      <c r="S6994" s="318"/>
      <c r="T6994" s="318"/>
      <c r="U6994" s="318"/>
      <c r="V6994" s="318"/>
      <c r="W6994" s="318"/>
      <c r="X6994" s="318"/>
      <c r="Y6994" s="318"/>
      <c r="Z6994" s="318"/>
      <c r="AA6994" s="318"/>
      <c r="AB6994" s="318"/>
      <c r="AC6994" s="318"/>
      <c r="AD6994" s="318"/>
    </row>
    <row r="6995" spans="2:30" s="323" customFormat="1" ht="12" customHeight="1">
      <c r="B6995" s="324"/>
      <c r="C6995" s="325"/>
      <c r="D6995" s="326"/>
      <c r="E6995" s="326"/>
      <c r="F6995" s="326"/>
      <c r="G6995" s="326"/>
      <c r="H6995" s="326"/>
      <c r="P6995" s="318"/>
      <c r="Q6995" s="318"/>
      <c r="R6995" s="318"/>
      <c r="S6995" s="318"/>
      <c r="T6995" s="318"/>
      <c r="U6995" s="318"/>
      <c r="V6995" s="318"/>
      <c r="W6995" s="318"/>
      <c r="X6995" s="318"/>
      <c r="Y6995" s="318"/>
      <c r="Z6995" s="318"/>
      <c r="AA6995" s="318"/>
      <c r="AB6995" s="318"/>
      <c r="AC6995" s="318"/>
      <c r="AD6995" s="318"/>
    </row>
    <row r="6996" spans="2:30" s="323" customFormat="1" ht="12" customHeight="1">
      <c r="B6996" s="324"/>
      <c r="C6996" s="325"/>
      <c r="D6996" s="326"/>
      <c r="E6996" s="326"/>
      <c r="F6996" s="326"/>
      <c r="G6996" s="326"/>
      <c r="H6996" s="326"/>
      <c r="P6996" s="318"/>
      <c r="Q6996" s="318"/>
      <c r="R6996" s="318"/>
      <c r="S6996" s="318"/>
      <c r="T6996" s="318"/>
      <c r="U6996" s="318"/>
      <c r="V6996" s="318"/>
      <c r="W6996" s="318"/>
      <c r="X6996" s="318"/>
      <c r="Y6996" s="318"/>
      <c r="Z6996" s="318"/>
      <c r="AA6996" s="318"/>
      <c r="AB6996" s="318"/>
      <c r="AC6996" s="318"/>
      <c r="AD6996" s="318"/>
    </row>
    <row r="6997" spans="2:30" s="323" customFormat="1" ht="12" customHeight="1">
      <c r="B6997" s="324"/>
      <c r="C6997" s="325"/>
      <c r="D6997" s="326"/>
      <c r="E6997" s="326"/>
      <c r="F6997" s="326"/>
      <c r="G6997" s="326"/>
      <c r="H6997" s="326"/>
      <c r="P6997" s="318"/>
      <c r="Q6997" s="318"/>
      <c r="R6997" s="318"/>
      <c r="S6997" s="318"/>
      <c r="T6997" s="318"/>
      <c r="U6997" s="318"/>
      <c r="V6997" s="318"/>
      <c r="W6997" s="318"/>
      <c r="X6997" s="318"/>
      <c r="Y6997" s="318"/>
      <c r="Z6997" s="318"/>
      <c r="AA6997" s="318"/>
      <c r="AB6997" s="318"/>
      <c r="AC6997" s="318"/>
      <c r="AD6997" s="318"/>
    </row>
    <row r="6998" spans="2:30" s="323" customFormat="1" ht="12" customHeight="1">
      <c r="B6998" s="324"/>
      <c r="C6998" s="325"/>
      <c r="D6998" s="326"/>
      <c r="E6998" s="326"/>
      <c r="F6998" s="326"/>
      <c r="G6998" s="326"/>
      <c r="H6998" s="326"/>
      <c r="P6998" s="318"/>
      <c r="Q6998" s="318"/>
      <c r="R6998" s="318"/>
      <c r="S6998" s="318"/>
      <c r="T6998" s="318"/>
      <c r="U6998" s="318"/>
      <c r="V6998" s="318"/>
      <c r="W6998" s="318"/>
      <c r="X6998" s="318"/>
      <c r="Y6998" s="318"/>
      <c r="Z6998" s="318"/>
      <c r="AA6998" s="318"/>
      <c r="AB6998" s="318"/>
      <c r="AC6998" s="318"/>
      <c r="AD6998" s="318"/>
    </row>
    <row r="6999" spans="2:30" s="323" customFormat="1" ht="12" customHeight="1">
      <c r="B6999" s="324"/>
      <c r="C6999" s="325"/>
      <c r="D6999" s="326"/>
      <c r="E6999" s="326"/>
      <c r="F6999" s="326"/>
      <c r="G6999" s="326"/>
      <c r="H6999" s="326"/>
      <c r="P6999" s="318"/>
      <c r="Q6999" s="318"/>
      <c r="R6999" s="318"/>
      <c r="S6999" s="318"/>
      <c r="T6999" s="318"/>
      <c r="U6999" s="318"/>
      <c r="V6999" s="318"/>
      <c r="W6999" s="318"/>
      <c r="X6999" s="318"/>
      <c r="Y6999" s="318"/>
      <c r="Z6999" s="318"/>
      <c r="AA6999" s="318"/>
      <c r="AB6999" s="318"/>
      <c r="AC6999" s="318"/>
      <c r="AD6999" s="318"/>
    </row>
    <row r="7000" spans="2:30" s="323" customFormat="1" ht="12" customHeight="1">
      <c r="B7000" s="324"/>
      <c r="C7000" s="325"/>
      <c r="D7000" s="326"/>
      <c r="E7000" s="326"/>
      <c r="F7000" s="326"/>
      <c r="G7000" s="326"/>
      <c r="H7000" s="326"/>
      <c r="P7000" s="318"/>
      <c r="Q7000" s="318"/>
      <c r="R7000" s="318"/>
      <c r="S7000" s="318"/>
      <c r="T7000" s="318"/>
      <c r="U7000" s="318"/>
      <c r="V7000" s="318"/>
      <c r="W7000" s="318"/>
      <c r="X7000" s="318"/>
      <c r="Y7000" s="318"/>
      <c r="Z7000" s="318"/>
      <c r="AA7000" s="318"/>
      <c r="AB7000" s="318"/>
      <c r="AC7000" s="318"/>
      <c r="AD7000" s="318"/>
    </row>
    <row r="7001" spans="2:30" s="323" customFormat="1" ht="12" customHeight="1">
      <c r="B7001" s="324"/>
      <c r="C7001" s="325"/>
      <c r="D7001" s="326"/>
      <c r="E7001" s="326"/>
      <c r="F7001" s="326"/>
      <c r="G7001" s="326"/>
      <c r="H7001" s="326"/>
      <c r="P7001" s="318"/>
      <c r="Q7001" s="318"/>
      <c r="R7001" s="318"/>
      <c r="S7001" s="318"/>
      <c r="T7001" s="318"/>
      <c r="U7001" s="318"/>
      <c r="V7001" s="318"/>
      <c r="W7001" s="318"/>
      <c r="X7001" s="318"/>
      <c r="Y7001" s="318"/>
      <c r="Z7001" s="318"/>
      <c r="AA7001" s="318"/>
      <c r="AB7001" s="318"/>
      <c r="AC7001" s="318"/>
      <c r="AD7001" s="318"/>
    </row>
    <row r="7002" spans="2:30" s="323" customFormat="1" ht="12" customHeight="1">
      <c r="B7002" s="324"/>
      <c r="C7002" s="325"/>
      <c r="D7002" s="326"/>
      <c r="E7002" s="326"/>
      <c r="F7002" s="326"/>
      <c r="G7002" s="326"/>
      <c r="H7002" s="326"/>
      <c r="P7002" s="318"/>
      <c r="Q7002" s="318"/>
      <c r="R7002" s="318"/>
      <c r="S7002" s="318"/>
      <c r="T7002" s="318"/>
      <c r="U7002" s="318"/>
      <c r="V7002" s="318"/>
      <c r="W7002" s="318"/>
      <c r="X7002" s="318"/>
      <c r="Y7002" s="318"/>
      <c r="Z7002" s="318"/>
      <c r="AA7002" s="318"/>
      <c r="AB7002" s="318"/>
      <c r="AC7002" s="318"/>
      <c r="AD7002" s="318"/>
    </row>
    <row r="7003" spans="2:30" s="323" customFormat="1" ht="12" customHeight="1">
      <c r="B7003" s="324"/>
      <c r="C7003" s="325"/>
      <c r="D7003" s="326"/>
      <c r="E7003" s="326"/>
      <c r="F7003" s="326"/>
      <c r="G7003" s="326"/>
      <c r="H7003" s="326"/>
      <c r="P7003" s="318"/>
      <c r="Q7003" s="318"/>
      <c r="R7003" s="318"/>
      <c r="S7003" s="318"/>
      <c r="T7003" s="318"/>
      <c r="U7003" s="318"/>
      <c r="V7003" s="318"/>
      <c r="W7003" s="318"/>
      <c r="X7003" s="318"/>
      <c r="Y7003" s="318"/>
      <c r="Z7003" s="318"/>
      <c r="AA7003" s="318"/>
      <c r="AB7003" s="318"/>
      <c r="AC7003" s="318"/>
      <c r="AD7003" s="318"/>
    </row>
    <row r="7004" spans="2:30" s="323" customFormat="1" ht="12" customHeight="1">
      <c r="B7004" s="324"/>
      <c r="C7004" s="325"/>
      <c r="D7004" s="326"/>
      <c r="E7004" s="326"/>
      <c r="F7004" s="326"/>
      <c r="G7004" s="326"/>
      <c r="H7004" s="326"/>
      <c r="P7004" s="318"/>
      <c r="Q7004" s="318"/>
      <c r="R7004" s="318"/>
      <c r="S7004" s="318"/>
      <c r="T7004" s="318"/>
      <c r="U7004" s="318"/>
      <c r="V7004" s="318"/>
      <c r="W7004" s="318"/>
      <c r="X7004" s="318"/>
      <c r="Y7004" s="318"/>
      <c r="Z7004" s="318"/>
      <c r="AA7004" s="318"/>
      <c r="AB7004" s="318"/>
      <c r="AC7004" s="318"/>
      <c r="AD7004" s="318"/>
    </row>
    <row r="7005" spans="2:30" s="323" customFormat="1" ht="12" customHeight="1">
      <c r="B7005" s="324"/>
      <c r="C7005" s="325"/>
      <c r="D7005" s="326"/>
      <c r="E7005" s="326"/>
      <c r="F7005" s="326"/>
      <c r="G7005" s="326"/>
      <c r="H7005" s="326"/>
      <c r="P7005" s="318"/>
      <c r="Q7005" s="318"/>
      <c r="R7005" s="318"/>
      <c r="S7005" s="318"/>
      <c r="T7005" s="318"/>
      <c r="U7005" s="318"/>
      <c r="V7005" s="318"/>
      <c r="W7005" s="318"/>
      <c r="X7005" s="318"/>
      <c r="Y7005" s="318"/>
      <c r="Z7005" s="318"/>
      <c r="AA7005" s="318"/>
      <c r="AB7005" s="318"/>
      <c r="AC7005" s="318"/>
      <c r="AD7005" s="318"/>
    </row>
    <row r="7006" spans="2:30" s="323" customFormat="1" ht="12" customHeight="1">
      <c r="B7006" s="324"/>
      <c r="C7006" s="325"/>
      <c r="D7006" s="326"/>
      <c r="E7006" s="326"/>
      <c r="F7006" s="326"/>
      <c r="G7006" s="326"/>
      <c r="H7006" s="326"/>
      <c r="P7006" s="318"/>
      <c r="Q7006" s="318"/>
      <c r="R7006" s="318"/>
      <c r="S7006" s="318"/>
      <c r="T7006" s="318"/>
      <c r="U7006" s="318"/>
      <c r="V7006" s="318"/>
      <c r="W7006" s="318"/>
      <c r="X7006" s="318"/>
      <c r="Y7006" s="318"/>
      <c r="Z7006" s="318"/>
      <c r="AA7006" s="318"/>
      <c r="AB7006" s="318"/>
      <c r="AC7006" s="318"/>
      <c r="AD7006" s="318"/>
    </row>
    <row r="7007" spans="2:30" s="323" customFormat="1" ht="12" customHeight="1">
      <c r="B7007" s="324"/>
      <c r="C7007" s="325"/>
      <c r="D7007" s="326"/>
      <c r="E7007" s="326"/>
      <c r="F7007" s="326"/>
      <c r="G7007" s="326"/>
      <c r="H7007" s="326"/>
      <c r="P7007" s="318"/>
      <c r="Q7007" s="318"/>
      <c r="R7007" s="318"/>
      <c r="S7007" s="318"/>
      <c r="T7007" s="318"/>
      <c r="U7007" s="318"/>
      <c r="V7007" s="318"/>
      <c r="W7007" s="318"/>
      <c r="X7007" s="318"/>
      <c r="Y7007" s="318"/>
      <c r="Z7007" s="318"/>
      <c r="AA7007" s="318"/>
      <c r="AB7007" s="318"/>
      <c r="AC7007" s="318"/>
      <c r="AD7007" s="318"/>
    </row>
    <row r="7008" spans="2:30" s="323" customFormat="1" ht="12" customHeight="1">
      <c r="B7008" s="324"/>
      <c r="C7008" s="325"/>
      <c r="D7008" s="326"/>
      <c r="E7008" s="326"/>
      <c r="F7008" s="326"/>
      <c r="G7008" s="326"/>
      <c r="H7008" s="326"/>
      <c r="P7008" s="318"/>
      <c r="Q7008" s="318"/>
      <c r="R7008" s="318"/>
      <c r="S7008" s="318"/>
      <c r="T7008" s="318"/>
      <c r="U7008" s="318"/>
      <c r="V7008" s="318"/>
      <c r="W7008" s="318"/>
      <c r="X7008" s="318"/>
      <c r="Y7008" s="318"/>
      <c r="Z7008" s="318"/>
      <c r="AA7008" s="318"/>
      <c r="AB7008" s="318"/>
      <c r="AC7008" s="318"/>
      <c r="AD7008" s="318"/>
    </row>
    <row r="7009" spans="2:30" s="323" customFormat="1" ht="12" customHeight="1">
      <c r="B7009" s="324"/>
      <c r="C7009" s="325"/>
      <c r="D7009" s="326"/>
      <c r="E7009" s="326"/>
      <c r="F7009" s="326"/>
      <c r="G7009" s="326"/>
      <c r="H7009" s="326"/>
      <c r="P7009" s="318"/>
      <c r="Q7009" s="318"/>
      <c r="R7009" s="318"/>
      <c r="S7009" s="318"/>
      <c r="T7009" s="318"/>
      <c r="U7009" s="318"/>
      <c r="V7009" s="318"/>
      <c r="W7009" s="318"/>
      <c r="X7009" s="318"/>
      <c r="Y7009" s="318"/>
      <c r="Z7009" s="318"/>
      <c r="AA7009" s="318"/>
      <c r="AB7009" s="318"/>
      <c r="AC7009" s="318"/>
      <c r="AD7009" s="318"/>
    </row>
    <row r="7010" spans="2:30" s="323" customFormat="1" ht="12" customHeight="1">
      <c r="B7010" s="324"/>
      <c r="C7010" s="325"/>
      <c r="D7010" s="326"/>
      <c r="E7010" s="326"/>
      <c r="F7010" s="326"/>
      <c r="G7010" s="326"/>
      <c r="H7010" s="326"/>
      <c r="P7010" s="318"/>
      <c r="Q7010" s="318"/>
      <c r="R7010" s="318"/>
      <c r="S7010" s="318"/>
      <c r="T7010" s="318"/>
      <c r="U7010" s="318"/>
      <c r="V7010" s="318"/>
      <c r="W7010" s="318"/>
      <c r="X7010" s="318"/>
      <c r="Y7010" s="318"/>
      <c r="Z7010" s="318"/>
      <c r="AA7010" s="318"/>
      <c r="AB7010" s="318"/>
      <c r="AC7010" s="318"/>
      <c r="AD7010" s="318"/>
    </row>
    <row r="7011" spans="2:30" s="323" customFormat="1" ht="12" customHeight="1">
      <c r="B7011" s="324"/>
      <c r="C7011" s="325"/>
      <c r="D7011" s="326"/>
      <c r="E7011" s="326"/>
      <c r="F7011" s="326"/>
      <c r="G7011" s="326"/>
      <c r="H7011" s="326"/>
      <c r="P7011" s="318"/>
      <c r="Q7011" s="318"/>
      <c r="R7011" s="318"/>
      <c r="S7011" s="318"/>
      <c r="T7011" s="318"/>
      <c r="U7011" s="318"/>
      <c r="V7011" s="318"/>
      <c r="W7011" s="318"/>
      <c r="X7011" s="318"/>
      <c r="Y7011" s="318"/>
      <c r="Z7011" s="318"/>
      <c r="AA7011" s="318"/>
      <c r="AB7011" s="318"/>
      <c r="AC7011" s="318"/>
      <c r="AD7011" s="318"/>
    </row>
    <row r="7012" spans="2:30" s="323" customFormat="1" ht="12" customHeight="1">
      <c r="B7012" s="324"/>
      <c r="C7012" s="325"/>
      <c r="D7012" s="326"/>
      <c r="E7012" s="326"/>
      <c r="F7012" s="326"/>
      <c r="G7012" s="326"/>
      <c r="H7012" s="326"/>
      <c r="P7012" s="318"/>
      <c r="Q7012" s="318"/>
      <c r="R7012" s="318"/>
      <c r="S7012" s="318"/>
      <c r="T7012" s="318"/>
      <c r="U7012" s="318"/>
      <c r="V7012" s="318"/>
      <c r="W7012" s="318"/>
      <c r="X7012" s="318"/>
      <c r="Y7012" s="318"/>
      <c r="Z7012" s="318"/>
      <c r="AA7012" s="318"/>
      <c r="AB7012" s="318"/>
      <c r="AC7012" s="318"/>
      <c r="AD7012" s="318"/>
    </row>
    <row r="7013" spans="2:30" s="323" customFormat="1" ht="12" customHeight="1">
      <c r="B7013" s="324"/>
      <c r="C7013" s="325"/>
      <c r="D7013" s="326"/>
      <c r="E7013" s="326"/>
      <c r="F7013" s="326"/>
      <c r="G7013" s="326"/>
      <c r="H7013" s="326"/>
      <c r="P7013" s="318"/>
      <c r="Q7013" s="318"/>
      <c r="R7013" s="318"/>
      <c r="S7013" s="318"/>
      <c r="T7013" s="318"/>
      <c r="U7013" s="318"/>
      <c r="V7013" s="318"/>
      <c r="W7013" s="318"/>
      <c r="X7013" s="318"/>
      <c r="Y7013" s="318"/>
      <c r="Z7013" s="318"/>
      <c r="AA7013" s="318"/>
      <c r="AB7013" s="318"/>
      <c r="AC7013" s="318"/>
      <c r="AD7013" s="318"/>
    </row>
    <row r="7014" spans="2:30" s="323" customFormat="1" ht="12" customHeight="1">
      <c r="B7014" s="324"/>
      <c r="C7014" s="325"/>
      <c r="D7014" s="326"/>
      <c r="E7014" s="326"/>
      <c r="F7014" s="326"/>
      <c r="G7014" s="326"/>
      <c r="H7014" s="326"/>
      <c r="P7014" s="318"/>
      <c r="Q7014" s="318"/>
      <c r="R7014" s="318"/>
      <c r="S7014" s="318"/>
      <c r="T7014" s="318"/>
      <c r="U7014" s="318"/>
      <c r="V7014" s="318"/>
      <c r="W7014" s="318"/>
      <c r="X7014" s="318"/>
      <c r="Y7014" s="318"/>
      <c r="Z7014" s="318"/>
      <c r="AA7014" s="318"/>
      <c r="AB7014" s="318"/>
      <c r="AC7014" s="318"/>
      <c r="AD7014" s="318"/>
    </row>
    <row r="7015" spans="2:30" s="323" customFormat="1" ht="12" customHeight="1">
      <c r="B7015" s="324"/>
      <c r="C7015" s="325"/>
      <c r="D7015" s="326"/>
      <c r="E7015" s="326"/>
      <c r="F7015" s="326"/>
      <c r="G7015" s="326"/>
      <c r="H7015" s="326"/>
      <c r="P7015" s="318"/>
      <c r="Q7015" s="318"/>
      <c r="R7015" s="318"/>
      <c r="S7015" s="318"/>
      <c r="T7015" s="318"/>
      <c r="U7015" s="318"/>
      <c r="V7015" s="318"/>
      <c r="W7015" s="318"/>
      <c r="X7015" s="318"/>
      <c r="Y7015" s="318"/>
      <c r="Z7015" s="318"/>
      <c r="AA7015" s="318"/>
      <c r="AB7015" s="318"/>
      <c r="AC7015" s="318"/>
      <c r="AD7015" s="318"/>
    </row>
    <row r="7016" spans="2:30" s="323" customFormat="1" ht="12" customHeight="1">
      <c r="B7016" s="324"/>
      <c r="C7016" s="325"/>
      <c r="D7016" s="326"/>
      <c r="E7016" s="326"/>
      <c r="F7016" s="326"/>
      <c r="G7016" s="326"/>
      <c r="H7016" s="326"/>
      <c r="P7016" s="318"/>
      <c r="Q7016" s="318"/>
      <c r="R7016" s="318"/>
      <c r="S7016" s="318"/>
      <c r="T7016" s="318"/>
      <c r="U7016" s="318"/>
      <c r="V7016" s="318"/>
      <c r="W7016" s="318"/>
      <c r="X7016" s="318"/>
      <c r="Y7016" s="318"/>
      <c r="Z7016" s="318"/>
      <c r="AA7016" s="318"/>
      <c r="AB7016" s="318"/>
      <c r="AC7016" s="318"/>
      <c r="AD7016" s="318"/>
    </row>
    <row r="7017" spans="2:30" s="323" customFormat="1" ht="12" customHeight="1">
      <c r="B7017" s="324"/>
      <c r="C7017" s="325"/>
      <c r="D7017" s="326"/>
      <c r="E7017" s="326"/>
      <c r="F7017" s="326"/>
      <c r="G7017" s="326"/>
      <c r="H7017" s="326"/>
      <c r="P7017" s="318"/>
      <c r="Q7017" s="318"/>
      <c r="R7017" s="318"/>
      <c r="S7017" s="318"/>
      <c r="T7017" s="318"/>
      <c r="U7017" s="318"/>
      <c r="V7017" s="318"/>
      <c r="W7017" s="318"/>
      <c r="X7017" s="318"/>
      <c r="Y7017" s="318"/>
      <c r="Z7017" s="318"/>
      <c r="AA7017" s="318"/>
      <c r="AB7017" s="318"/>
      <c r="AC7017" s="318"/>
      <c r="AD7017" s="318"/>
    </row>
    <row r="7018" spans="2:30" s="323" customFormat="1" ht="12" customHeight="1">
      <c r="B7018" s="324"/>
      <c r="C7018" s="325"/>
      <c r="D7018" s="326"/>
      <c r="E7018" s="326"/>
      <c r="F7018" s="326"/>
      <c r="G7018" s="326"/>
      <c r="H7018" s="326"/>
      <c r="P7018" s="318"/>
      <c r="Q7018" s="318"/>
      <c r="R7018" s="318"/>
      <c r="S7018" s="318"/>
      <c r="T7018" s="318"/>
      <c r="U7018" s="318"/>
      <c r="V7018" s="318"/>
      <c r="W7018" s="318"/>
      <c r="X7018" s="318"/>
      <c r="Y7018" s="318"/>
      <c r="Z7018" s="318"/>
      <c r="AA7018" s="318"/>
      <c r="AB7018" s="318"/>
      <c r="AC7018" s="318"/>
      <c r="AD7018" s="318"/>
    </row>
    <row r="7019" spans="2:30" s="323" customFormat="1" ht="12" customHeight="1">
      <c r="B7019" s="324"/>
      <c r="C7019" s="325"/>
      <c r="D7019" s="326"/>
      <c r="E7019" s="326"/>
      <c r="F7019" s="326"/>
      <c r="G7019" s="326"/>
      <c r="H7019" s="326"/>
      <c r="P7019" s="318"/>
      <c r="Q7019" s="318"/>
      <c r="R7019" s="318"/>
      <c r="S7019" s="318"/>
      <c r="T7019" s="318"/>
      <c r="U7019" s="318"/>
      <c r="V7019" s="318"/>
      <c r="W7019" s="318"/>
      <c r="X7019" s="318"/>
      <c r="Y7019" s="318"/>
      <c r="Z7019" s="318"/>
      <c r="AA7019" s="318"/>
      <c r="AB7019" s="318"/>
      <c r="AC7019" s="318"/>
      <c r="AD7019" s="318"/>
    </row>
    <row r="7020" spans="2:30" s="323" customFormat="1" ht="12" customHeight="1">
      <c r="B7020" s="324"/>
      <c r="C7020" s="325"/>
      <c r="D7020" s="326"/>
      <c r="E7020" s="326"/>
      <c r="F7020" s="326"/>
      <c r="G7020" s="326"/>
      <c r="H7020" s="326"/>
      <c r="P7020" s="318"/>
      <c r="Q7020" s="318"/>
      <c r="R7020" s="318"/>
      <c r="S7020" s="318"/>
      <c r="T7020" s="318"/>
      <c r="U7020" s="318"/>
      <c r="V7020" s="318"/>
      <c r="W7020" s="318"/>
      <c r="X7020" s="318"/>
      <c r="Y7020" s="318"/>
      <c r="Z7020" s="318"/>
      <c r="AA7020" s="318"/>
      <c r="AB7020" s="318"/>
      <c r="AC7020" s="318"/>
      <c r="AD7020" s="318"/>
    </row>
    <row r="7021" spans="2:30" s="323" customFormat="1" ht="12" customHeight="1">
      <c r="B7021" s="324"/>
      <c r="C7021" s="325"/>
      <c r="D7021" s="326"/>
      <c r="E7021" s="326"/>
      <c r="F7021" s="326"/>
      <c r="G7021" s="326"/>
      <c r="H7021" s="326"/>
      <c r="P7021" s="318"/>
      <c r="Q7021" s="318"/>
      <c r="R7021" s="318"/>
      <c r="S7021" s="318"/>
      <c r="T7021" s="318"/>
      <c r="U7021" s="318"/>
      <c r="V7021" s="318"/>
      <c r="W7021" s="318"/>
      <c r="X7021" s="318"/>
      <c r="Y7021" s="318"/>
      <c r="Z7021" s="318"/>
      <c r="AA7021" s="318"/>
      <c r="AB7021" s="318"/>
      <c r="AC7021" s="318"/>
      <c r="AD7021" s="318"/>
    </row>
    <row r="7022" spans="2:30" s="323" customFormat="1" ht="12" customHeight="1">
      <c r="B7022" s="324"/>
      <c r="C7022" s="325"/>
      <c r="D7022" s="326"/>
      <c r="E7022" s="326"/>
      <c r="F7022" s="326"/>
      <c r="G7022" s="326"/>
      <c r="H7022" s="326"/>
      <c r="P7022" s="318"/>
      <c r="Q7022" s="318"/>
      <c r="R7022" s="318"/>
      <c r="S7022" s="318"/>
      <c r="T7022" s="318"/>
      <c r="U7022" s="318"/>
      <c r="V7022" s="318"/>
      <c r="W7022" s="318"/>
      <c r="X7022" s="318"/>
      <c r="Y7022" s="318"/>
      <c r="Z7022" s="318"/>
      <c r="AA7022" s="318"/>
      <c r="AB7022" s="318"/>
      <c r="AC7022" s="318"/>
      <c r="AD7022" s="318"/>
    </row>
    <row r="7023" spans="2:30" s="323" customFormat="1" ht="12" customHeight="1">
      <c r="B7023" s="324"/>
      <c r="C7023" s="325"/>
      <c r="D7023" s="326"/>
      <c r="E7023" s="326"/>
      <c r="F7023" s="326"/>
      <c r="G7023" s="326"/>
      <c r="H7023" s="326"/>
      <c r="P7023" s="318"/>
      <c r="Q7023" s="318"/>
      <c r="R7023" s="318"/>
      <c r="S7023" s="318"/>
      <c r="T7023" s="318"/>
      <c r="U7023" s="318"/>
      <c r="V7023" s="318"/>
      <c r="W7023" s="318"/>
      <c r="X7023" s="318"/>
      <c r="Y7023" s="318"/>
      <c r="Z7023" s="318"/>
      <c r="AA7023" s="318"/>
      <c r="AB7023" s="318"/>
      <c r="AC7023" s="318"/>
      <c r="AD7023" s="318"/>
    </row>
    <row r="7024" spans="2:30" s="323" customFormat="1" ht="12" customHeight="1">
      <c r="B7024" s="324"/>
      <c r="C7024" s="325"/>
      <c r="D7024" s="326"/>
      <c r="E7024" s="326"/>
      <c r="F7024" s="326"/>
      <c r="G7024" s="326"/>
      <c r="H7024" s="326"/>
      <c r="P7024" s="318"/>
      <c r="Q7024" s="318"/>
      <c r="R7024" s="318"/>
      <c r="S7024" s="318"/>
      <c r="T7024" s="318"/>
      <c r="U7024" s="318"/>
      <c r="V7024" s="318"/>
      <c r="W7024" s="318"/>
      <c r="X7024" s="318"/>
      <c r="Y7024" s="318"/>
      <c r="Z7024" s="318"/>
      <c r="AA7024" s="318"/>
      <c r="AB7024" s="318"/>
      <c r="AC7024" s="318"/>
      <c r="AD7024" s="318"/>
    </row>
    <row r="7025" spans="2:30" s="323" customFormat="1" ht="12" customHeight="1">
      <c r="B7025" s="324"/>
      <c r="C7025" s="325"/>
      <c r="D7025" s="326"/>
      <c r="E7025" s="326"/>
      <c r="F7025" s="326"/>
      <c r="G7025" s="326"/>
      <c r="H7025" s="326"/>
      <c r="P7025" s="318"/>
      <c r="Q7025" s="318"/>
      <c r="R7025" s="318"/>
      <c r="S7025" s="318"/>
      <c r="T7025" s="318"/>
      <c r="U7025" s="318"/>
      <c r="V7025" s="318"/>
      <c r="W7025" s="318"/>
      <c r="X7025" s="318"/>
      <c r="Y7025" s="318"/>
      <c r="Z7025" s="318"/>
      <c r="AA7025" s="318"/>
      <c r="AB7025" s="318"/>
      <c r="AC7025" s="318"/>
      <c r="AD7025" s="318"/>
    </row>
    <row r="7026" spans="2:30" s="323" customFormat="1" ht="12" customHeight="1">
      <c r="B7026" s="324"/>
      <c r="C7026" s="325"/>
      <c r="D7026" s="326"/>
      <c r="E7026" s="326"/>
      <c r="F7026" s="326"/>
      <c r="G7026" s="326"/>
      <c r="H7026" s="326"/>
      <c r="P7026" s="318"/>
      <c r="Q7026" s="318"/>
      <c r="R7026" s="318"/>
      <c r="S7026" s="318"/>
      <c r="T7026" s="318"/>
      <c r="U7026" s="318"/>
      <c r="V7026" s="318"/>
      <c r="W7026" s="318"/>
      <c r="X7026" s="318"/>
      <c r="Y7026" s="318"/>
      <c r="Z7026" s="318"/>
      <c r="AA7026" s="318"/>
      <c r="AB7026" s="318"/>
      <c r="AC7026" s="318"/>
      <c r="AD7026" s="318"/>
    </row>
    <row r="7027" spans="2:30" s="323" customFormat="1" ht="12" customHeight="1">
      <c r="B7027" s="324"/>
      <c r="C7027" s="325"/>
      <c r="D7027" s="326"/>
      <c r="E7027" s="326"/>
      <c r="F7027" s="326"/>
      <c r="G7027" s="326"/>
      <c r="H7027" s="326"/>
      <c r="P7027" s="318"/>
      <c r="Q7027" s="318"/>
      <c r="R7027" s="318"/>
      <c r="S7027" s="318"/>
      <c r="T7027" s="318"/>
      <c r="U7027" s="318"/>
      <c r="V7027" s="318"/>
      <c r="W7027" s="318"/>
      <c r="X7027" s="318"/>
      <c r="Y7027" s="318"/>
      <c r="Z7027" s="318"/>
      <c r="AA7027" s="318"/>
      <c r="AB7027" s="318"/>
      <c r="AC7027" s="318"/>
      <c r="AD7027" s="318"/>
    </row>
    <row r="7028" spans="2:30" s="323" customFormat="1" ht="12" customHeight="1">
      <c r="B7028" s="324"/>
      <c r="C7028" s="325"/>
      <c r="D7028" s="326"/>
      <c r="E7028" s="326"/>
      <c r="F7028" s="326"/>
      <c r="G7028" s="326"/>
      <c r="H7028" s="326"/>
      <c r="P7028" s="318"/>
      <c r="Q7028" s="318"/>
      <c r="R7028" s="318"/>
      <c r="S7028" s="318"/>
      <c r="T7028" s="318"/>
      <c r="U7028" s="318"/>
      <c r="V7028" s="318"/>
      <c r="W7028" s="318"/>
      <c r="X7028" s="318"/>
      <c r="Y7028" s="318"/>
      <c r="Z7028" s="318"/>
      <c r="AA7028" s="318"/>
      <c r="AB7028" s="318"/>
      <c r="AC7028" s="318"/>
      <c r="AD7028" s="318"/>
    </row>
    <row r="7029" spans="2:30" s="323" customFormat="1" ht="12" customHeight="1">
      <c r="B7029" s="324"/>
      <c r="C7029" s="325"/>
      <c r="D7029" s="326"/>
      <c r="E7029" s="326"/>
      <c r="F7029" s="326"/>
      <c r="G7029" s="326"/>
      <c r="H7029" s="326"/>
      <c r="P7029" s="318"/>
      <c r="Q7029" s="318"/>
      <c r="R7029" s="318"/>
      <c r="S7029" s="318"/>
      <c r="T7029" s="318"/>
      <c r="U7029" s="318"/>
      <c r="V7029" s="318"/>
      <c r="W7029" s="318"/>
      <c r="X7029" s="318"/>
      <c r="Y7029" s="318"/>
      <c r="Z7029" s="318"/>
      <c r="AA7029" s="318"/>
      <c r="AB7029" s="318"/>
      <c r="AC7029" s="318"/>
      <c r="AD7029" s="318"/>
    </row>
    <row r="7030" spans="2:30" s="323" customFormat="1" ht="12" customHeight="1">
      <c r="B7030" s="324"/>
      <c r="C7030" s="325"/>
      <c r="D7030" s="326"/>
      <c r="E7030" s="326"/>
      <c r="F7030" s="326"/>
      <c r="G7030" s="326"/>
      <c r="H7030" s="326"/>
      <c r="P7030" s="318"/>
      <c r="Q7030" s="318"/>
      <c r="R7030" s="318"/>
      <c r="S7030" s="318"/>
      <c r="T7030" s="318"/>
      <c r="U7030" s="318"/>
      <c r="V7030" s="318"/>
      <c r="W7030" s="318"/>
      <c r="X7030" s="318"/>
      <c r="Y7030" s="318"/>
      <c r="Z7030" s="318"/>
      <c r="AA7030" s="318"/>
      <c r="AB7030" s="318"/>
      <c r="AC7030" s="318"/>
      <c r="AD7030" s="318"/>
    </row>
    <row r="7031" spans="2:30" s="323" customFormat="1" ht="12" customHeight="1">
      <c r="B7031" s="324"/>
      <c r="C7031" s="325"/>
      <c r="D7031" s="326"/>
      <c r="E7031" s="326"/>
      <c r="F7031" s="326"/>
      <c r="G7031" s="326"/>
      <c r="H7031" s="326"/>
      <c r="P7031" s="318"/>
      <c r="Q7031" s="318"/>
      <c r="R7031" s="318"/>
      <c r="S7031" s="318"/>
      <c r="T7031" s="318"/>
      <c r="U7031" s="318"/>
      <c r="V7031" s="318"/>
      <c r="W7031" s="318"/>
      <c r="X7031" s="318"/>
      <c r="Y7031" s="318"/>
      <c r="Z7031" s="318"/>
      <c r="AA7031" s="318"/>
      <c r="AB7031" s="318"/>
      <c r="AC7031" s="318"/>
      <c r="AD7031" s="318"/>
    </row>
    <row r="7032" spans="2:30" s="323" customFormat="1" ht="12" customHeight="1">
      <c r="B7032" s="324"/>
      <c r="C7032" s="325"/>
      <c r="D7032" s="326"/>
      <c r="E7032" s="326"/>
      <c r="F7032" s="326"/>
      <c r="G7032" s="326"/>
      <c r="H7032" s="326"/>
      <c r="P7032" s="318"/>
      <c r="Q7032" s="318"/>
      <c r="R7032" s="318"/>
      <c r="S7032" s="318"/>
      <c r="T7032" s="318"/>
      <c r="U7032" s="318"/>
      <c r="V7032" s="318"/>
      <c r="W7032" s="318"/>
      <c r="X7032" s="318"/>
      <c r="Y7032" s="318"/>
      <c r="Z7032" s="318"/>
      <c r="AA7032" s="318"/>
      <c r="AB7032" s="318"/>
      <c r="AC7032" s="318"/>
      <c r="AD7032" s="318"/>
    </row>
    <row r="7033" spans="2:30" s="323" customFormat="1" ht="12" customHeight="1">
      <c r="B7033" s="324"/>
      <c r="C7033" s="325"/>
      <c r="D7033" s="326"/>
      <c r="E7033" s="326"/>
      <c r="F7033" s="326"/>
      <c r="G7033" s="326"/>
      <c r="H7033" s="326"/>
      <c r="P7033" s="318"/>
      <c r="Q7033" s="318"/>
      <c r="R7033" s="318"/>
      <c r="S7033" s="318"/>
      <c r="T7033" s="318"/>
      <c r="U7033" s="318"/>
      <c r="V7033" s="318"/>
      <c r="W7033" s="318"/>
      <c r="X7033" s="318"/>
      <c r="Y7033" s="318"/>
      <c r="Z7033" s="318"/>
      <c r="AA7033" s="318"/>
      <c r="AB7033" s="318"/>
      <c r="AC7033" s="318"/>
      <c r="AD7033" s="318"/>
    </row>
    <row r="7034" spans="2:30" s="323" customFormat="1" ht="12" customHeight="1">
      <c r="B7034" s="324"/>
      <c r="C7034" s="325"/>
      <c r="D7034" s="326"/>
      <c r="E7034" s="326"/>
      <c r="F7034" s="326"/>
      <c r="G7034" s="326"/>
      <c r="H7034" s="326"/>
      <c r="P7034" s="318"/>
      <c r="Q7034" s="318"/>
      <c r="R7034" s="318"/>
      <c r="S7034" s="318"/>
      <c r="T7034" s="318"/>
      <c r="U7034" s="318"/>
      <c r="V7034" s="318"/>
      <c r="W7034" s="318"/>
      <c r="X7034" s="318"/>
      <c r="Y7034" s="318"/>
      <c r="Z7034" s="318"/>
      <c r="AA7034" s="318"/>
      <c r="AB7034" s="318"/>
      <c r="AC7034" s="318"/>
      <c r="AD7034" s="318"/>
    </row>
    <row r="7035" spans="2:30" s="323" customFormat="1" ht="12" customHeight="1">
      <c r="B7035" s="324"/>
      <c r="C7035" s="325"/>
      <c r="D7035" s="326"/>
      <c r="E7035" s="326"/>
      <c r="F7035" s="326"/>
      <c r="G7035" s="326"/>
      <c r="H7035" s="326"/>
      <c r="P7035" s="318"/>
      <c r="Q7035" s="318"/>
      <c r="R7035" s="318"/>
      <c r="S7035" s="318"/>
      <c r="T7035" s="318"/>
      <c r="U7035" s="318"/>
      <c r="V7035" s="318"/>
      <c r="W7035" s="318"/>
      <c r="X7035" s="318"/>
      <c r="Y7035" s="318"/>
      <c r="Z7035" s="318"/>
      <c r="AA7035" s="318"/>
      <c r="AB7035" s="318"/>
      <c r="AC7035" s="318"/>
      <c r="AD7035" s="318"/>
    </row>
    <row r="7036" spans="2:30" s="323" customFormat="1" ht="12" customHeight="1">
      <c r="B7036" s="324"/>
      <c r="C7036" s="325"/>
      <c r="D7036" s="326"/>
      <c r="E7036" s="326"/>
      <c r="F7036" s="326"/>
      <c r="G7036" s="326"/>
      <c r="H7036" s="326"/>
      <c r="P7036" s="318"/>
      <c r="Q7036" s="318"/>
      <c r="R7036" s="318"/>
      <c r="S7036" s="318"/>
      <c r="T7036" s="318"/>
      <c r="U7036" s="318"/>
      <c r="V7036" s="318"/>
      <c r="W7036" s="318"/>
      <c r="X7036" s="318"/>
      <c r="Y7036" s="318"/>
      <c r="Z7036" s="318"/>
      <c r="AA7036" s="318"/>
      <c r="AB7036" s="318"/>
      <c r="AC7036" s="318"/>
      <c r="AD7036" s="318"/>
    </row>
    <row r="7037" spans="2:30" s="323" customFormat="1" ht="12" customHeight="1">
      <c r="B7037" s="324"/>
      <c r="C7037" s="325"/>
      <c r="D7037" s="326"/>
      <c r="E7037" s="326"/>
      <c r="F7037" s="326"/>
      <c r="G7037" s="326"/>
      <c r="H7037" s="326"/>
      <c r="P7037" s="318"/>
      <c r="Q7037" s="318"/>
      <c r="R7037" s="318"/>
      <c r="S7037" s="318"/>
      <c r="T7037" s="318"/>
      <c r="U7037" s="318"/>
      <c r="V7037" s="318"/>
      <c r="W7037" s="318"/>
      <c r="X7037" s="318"/>
      <c r="Y7037" s="318"/>
      <c r="Z7037" s="318"/>
      <c r="AA7037" s="318"/>
      <c r="AB7037" s="318"/>
      <c r="AC7037" s="318"/>
      <c r="AD7037" s="318"/>
    </row>
    <row r="7038" spans="2:30" s="323" customFormat="1" ht="12" customHeight="1">
      <c r="B7038" s="324"/>
      <c r="C7038" s="325"/>
      <c r="D7038" s="326"/>
      <c r="E7038" s="326"/>
      <c r="F7038" s="326"/>
      <c r="G7038" s="326"/>
      <c r="H7038" s="326"/>
      <c r="P7038" s="318"/>
      <c r="Q7038" s="318"/>
      <c r="R7038" s="318"/>
      <c r="S7038" s="318"/>
      <c r="T7038" s="318"/>
      <c r="U7038" s="318"/>
      <c r="V7038" s="318"/>
      <c r="W7038" s="318"/>
      <c r="X7038" s="318"/>
      <c r="Y7038" s="318"/>
      <c r="Z7038" s="318"/>
      <c r="AA7038" s="318"/>
      <c r="AB7038" s="318"/>
      <c r="AC7038" s="318"/>
      <c r="AD7038" s="318"/>
    </row>
    <row r="7039" spans="2:30" s="323" customFormat="1" ht="12" customHeight="1">
      <c r="B7039" s="324"/>
      <c r="C7039" s="325"/>
      <c r="D7039" s="326"/>
      <c r="E7039" s="326"/>
      <c r="F7039" s="326"/>
      <c r="G7039" s="326"/>
      <c r="H7039" s="326"/>
      <c r="P7039" s="318"/>
      <c r="Q7039" s="318"/>
      <c r="R7039" s="318"/>
      <c r="S7039" s="318"/>
      <c r="T7039" s="318"/>
      <c r="U7039" s="318"/>
      <c r="V7039" s="318"/>
      <c r="W7039" s="318"/>
      <c r="X7039" s="318"/>
      <c r="Y7039" s="318"/>
      <c r="Z7039" s="318"/>
      <c r="AA7039" s="318"/>
      <c r="AB7039" s="318"/>
      <c r="AC7039" s="318"/>
      <c r="AD7039" s="318"/>
    </row>
    <row r="7040" spans="2:30" s="323" customFormat="1" ht="12" customHeight="1">
      <c r="B7040" s="324"/>
      <c r="C7040" s="325"/>
      <c r="D7040" s="326"/>
      <c r="E7040" s="326"/>
      <c r="F7040" s="326"/>
      <c r="G7040" s="326"/>
      <c r="H7040" s="326"/>
      <c r="P7040" s="318"/>
      <c r="Q7040" s="318"/>
      <c r="R7040" s="318"/>
      <c r="S7040" s="318"/>
      <c r="T7040" s="318"/>
      <c r="U7040" s="318"/>
      <c r="V7040" s="318"/>
      <c r="W7040" s="318"/>
      <c r="X7040" s="318"/>
      <c r="Y7040" s="318"/>
      <c r="Z7040" s="318"/>
      <c r="AA7040" s="318"/>
      <c r="AB7040" s="318"/>
      <c r="AC7040" s="318"/>
      <c r="AD7040" s="318"/>
    </row>
    <row r="7041" spans="2:30" s="323" customFormat="1" ht="12" customHeight="1">
      <c r="B7041" s="324"/>
      <c r="C7041" s="325"/>
      <c r="D7041" s="326"/>
      <c r="E7041" s="326"/>
      <c r="F7041" s="326"/>
      <c r="G7041" s="326"/>
      <c r="H7041" s="326"/>
      <c r="P7041" s="318"/>
      <c r="Q7041" s="318"/>
      <c r="R7041" s="318"/>
      <c r="S7041" s="318"/>
      <c r="T7041" s="318"/>
      <c r="U7041" s="318"/>
      <c r="V7041" s="318"/>
      <c r="W7041" s="318"/>
      <c r="X7041" s="318"/>
      <c r="Y7041" s="318"/>
      <c r="Z7041" s="318"/>
      <c r="AA7041" s="318"/>
      <c r="AB7041" s="318"/>
      <c r="AC7041" s="318"/>
      <c r="AD7041" s="318"/>
    </row>
    <row r="7042" spans="2:30" s="323" customFormat="1" ht="12" customHeight="1">
      <c r="B7042" s="324"/>
      <c r="C7042" s="325"/>
      <c r="D7042" s="326"/>
      <c r="E7042" s="326"/>
      <c r="F7042" s="326"/>
      <c r="G7042" s="326"/>
      <c r="H7042" s="326"/>
      <c r="P7042" s="318"/>
      <c r="Q7042" s="318"/>
      <c r="R7042" s="318"/>
      <c r="S7042" s="318"/>
      <c r="T7042" s="318"/>
      <c r="U7042" s="318"/>
      <c r="V7042" s="318"/>
      <c r="W7042" s="318"/>
      <c r="X7042" s="318"/>
      <c r="Y7042" s="318"/>
      <c r="Z7042" s="318"/>
      <c r="AA7042" s="318"/>
      <c r="AB7042" s="318"/>
      <c r="AC7042" s="318"/>
      <c r="AD7042" s="318"/>
    </row>
    <row r="7043" spans="2:30" s="323" customFormat="1" ht="12" customHeight="1">
      <c r="B7043" s="324"/>
      <c r="C7043" s="325"/>
      <c r="D7043" s="326"/>
      <c r="E7043" s="326"/>
      <c r="F7043" s="326"/>
      <c r="G7043" s="326"/>
      <c r="H7043" s="326"/>
      <c r="P7043" s="318"/>
      <c r="Q7043" s="318"/>
      <c r="R7043" s="318"/>
      <c r="S7043" s="318"/>
      <c r="T7043" s="318"/>
      <c r="U7043" s="318"/>
      <c r="V7043" s="318"/>
      <c r="W7043" s="318"/>
      <c r="X7043" s="318"/>
      <c r="Y7043" s="318"/>
      <c r="Z7043" s="318"/>
      <c r="AA7043" s="318"/>
      <c r="AB7043" s="318"/>
      <c r="AC7043" s="318"/>
      <c r="AD7043" s="318"/>
    </row>
    <row r="7044" spans="2:30" s="323" customFormat="1" ht="12" customHeight="1">
      <c r="B7044" s="324"/>
      <c r="C7044" s="325"/>
      <c r="D7044" s="326"/>
      <c r="E7044" s="326"/>
      <c r="F7044" s="326"/>
      <c r="G7044" s="326"/>
      <c r="H7044" s="326"/>
      <c r="P7044" s="318"/>
      <c r="Q7044" s="318"/>
      <c r="R7044" s="318"/>
      <c r="S7044" s="318"/>
      <c r="T7044" s="318"/>
      <c r="U7044" s="318"/>
      <c r="V7044" s="318"/>
      <c r="W7044" s="318"/>
      <c r="X7044" s="318"/>
      <c r="Y7044" s="318"/>
      <c r="Z7044" s="318"/>
      <c r="AA7044" s="318"/>
      <c r="AB7044" s="318"/>
      <c r="AC7044" s="318"/>
      <c r="AD7044" s="318"/>
    </row>
    <row r="7045" spans="2:30" s="323" customFormat="1" ht="12" customHeight="1">
      <c r="B7045" s="324"/>
      <c r="C7045" s="325"/>
      <c r="D7045" s="326"/>
      <c r="E7045" s="326"/>
      <c r="F7045" s="326"/>
      <c r="G7045" s="326"/>
      <c r="H7045" s="326"/>
      <c r="P7045" s="318"/>
      <c r="Q7045" s="318"/>
      <c r="R7045" s="318"/>
      <c r="S7045" s="318"/>
      <c r="T7045" s="318"/>
      <c r="U7045" s="318"/>
      <c r="V7045" s="318"/>
      <c r="W7045" s="318"/>
      <c r="X7045" s="318"/>
      <c r="Y7045" s="318"/>
      <c r="Z7045" s="318"/>
      <c r="AA7045" s="318"/>
      <c r="AB7045" s="318"/>
      <c r="AC7045" s="318"/>
      <c r="AD7045" s="318"/>
    </row>
    <row r="7046" spans="2:30" s="323" customFormat="1" ht="12" customHeight="1">
      <c r="B7046" s="324"/>
      <c r="C7046" s="325"/>
      <c r="D7046" s="326"/>
      <c r="E7046" s="326"/>
      <c r="F7046" s="326"/>
      <c r="G7046" s="326"/>
      <c r="H7046" s="326"/>
      <c r="P7046" s="318"/>
      <c r="Q7046" s="318"/>
      <c r="R7046" s="318"/>
      <c r="S7046" s="318"/>
      <c r="T7046" s="318"/>
      <c r="U7046" s="318"/>
      <c r="V7046" s="318"/>
      <c r="W7046" s="318"/>
      <c r="X7046" s="318"/>
      <c r="Y7046" s="318"/>
      <c r="Z7046" s="318"/>
      <c r="AA7046" s="318"/>
      <c r="AB7046" s="318"/>
      <c r="AC7046" s="318"/>
      <c r="AD7046" s="318"/>
    </row>
    <row r="7047" spans="2:30" s="323" customFormat="1" ht="12" customHeight="1">
      <c r="B7047" s="324"/>
      <c r="C7047" s="325"/>
      <c r="D7047" s="326"/>
      <c r="E7047" s="326"/>
      <c r="F7047" s="326"/>
      <c r="G7047" s="326"/>
      <c r="H7047" s="326"/>
      <c r="P7047" s="318"/>
      <c r="Q7047" s="318"/>
      <c r="R7047" s="318"/>
      <c r="S7047" s="318"/>
      <c r="T7047" s="318"/>
      <c r="U7047" s="318"/>
      <c r="V7047" s="318"/>
      <c r="W7047" s="318"/>
      <c r="X7047" s="318"/>
      <c r="Y7047" s="318"/>
      <c r="Z7047" s="318"/>
      <c r="AA7047" s="318"/>
      <c r="AB7047" s="318"/>
      <c r="AC7047" s="318"/>
      <c r="AD7047" s="318"/>
    </row>
    <row r="7048" spans="2:30" s="323" customFormat="1" ht="12" customHeight="1">
      <c r="B7048" s="324"/>
      <c r="C7048" s="325"/>
      <c r="D7048" s="326"/>
      <c r="E7048" s="326"/>
      <c r="F7048" s="326"/>
      <c r="G7048" s="326"/>
      <c r="H7048" s="326"/>
      <c r="P7048" s="318"/>
      <c r="Q7048" s="318"/>
      <c r="R7048" s="318"/>
      <c r="S7048" s="318"/>
      <c r="T7048" s="318"/>
      <c r="U7048" s="318"/>
      <c r="V7048" s="318"/>
      <c r="W7048" s="318"/>
      <c r="X7048" s="318"/>
      <c r="Y7048" s="318"/>
      <c r="Z7048" s="318"/>
      <c r="AA7048" s="318"/>
      <c r="AB7048" s="318"/>
      <c r="AC7048" s="318"/>
      <c r="AD7048" s="318"/>
    </row>
    <row r="7049" spans="2:30" s="323" customFormat="1" ht="12" customHeight="1">
      <c r="B7049" s="324"/>
      <c r="C7049" s="325"/>
      <c r="D7049" s="326"/>
      <c r="E7049" s="326"/>
      <c r="F7049" s="326"/>
      <c r="G7049" s="326"/>
      <c r="H7049" s="326"/>
      <c r="P7049" s="318"/>
      <c r="Q7049" s="318"/>
      <c r="R7049" s="318"/>
      <c r="S7049" s="318"/>
      <c r="T7049" s="318"/>
      <c r="U7049" s="318"/>
      <c r="V7049" s="318"/>
      <c r="W7049" s="318"/>
      <c r="X7049" s="318"/>
      <c r="Y7049" s="318"/>
      <c r="Z7049" s="318"/>
      <c r="AA7049" s="318"/>
      <c r="AB7049" s="318"/>
      <c r="AC7049" s="318"/>
      <c r="AD7049" s="318"/>
    </row>
    <row r="7050" spans="2:30" s="323" customFormat="1" ht="12" customHeight="1">
      <c r="B7050" s="324"/>
      <c r="C7050" s="325"/>
      <c r="D7050" s="326"/>
      <c r="E7050" s="326"/>
      <c r="F7050" s="326"/>
      <c r="G7050" s="326"/>
      <c r="H7050" s="326"/>
      <c r="P7050" s="318"/>
      <c r="Q7050" s="318"/>
      <c r="R7050" s="318"/>
      <c r="S7050" s="318"/>
      <c r="T7050" s="318"/>
      <c r="U7050" s="318"/>
      <c r="V7050" s="318"/>
      <c r="W7050" s="318"/>
      <c r="X7050" s="318"/>
      <c r="Y7050" s="318"/>
      <c r="Z7050" s="318"/>
      <c r="AA7050" s="318"/>
      <c r="AB7050" s="318"/>
      <c r="AC7050" s="318"/>
      <c r="AD7050" s="318"/>
    </row>
    <row r="7051" spans="2:30" s="323" customFormat="1" ht="12" customHeight="1">
      <c r="B7051" s="324"/>
      <c r="C7051" s="325"/>
      <c r="D7051" s="326"/>
      <c r="E7051" s="326"/>
      <c r="F7051" s="326"/>
      <c r="G7051" s="326"/>
      <c r="H7051" s="326"/>
      <c r="P7051" s="318"/>
      <c r="Q7051" s="318"/>
      <c r="R7051" s="318"/>
      <c r="S7051" s="318"/>
      <c r="T7051" s="318"/>
      <c r="U7051" s="318"/>
      <c r="V7051" s="318"/>
      <c r="W7051" s="318"/>
      <c r="X7051" s="318"/>
      <c r="Y7051" s="318"/>
      <c r="Z7051" s="318"/>
      <c r="AA7051" s="318"/>
      <c r="AB7051" s="318"/>
      <c r="AC7051" s="318"/>
      <c r="AD7051" s="318"/>
    </row>
    <row r="7052" spans="2:30" s="323" customFormat="1" ht="12" customHeight="1">
      <c r="B7052" s="324"/>
      <c r="C7052" s="325"/>
      <c r="D7052" s="326"/>
      <c r="E7052" s="326"/>
      <c r="F7052" s="326"/>
      <c r="G7052" s="326"/>
      <c r="H7052" s="326"/>
      <c r="P7052" s="318"/>
      <c r="Q7052" s="318"/>
      <c r="R7052" s="318"/>
      <c r="S7052" s="318"/>
      <c r="T7052" s="318"/>
      <c r="U7052" s="318"/>
      <c r="V7052" s="318"/>
      <c r="W7052" s="318"/>
      <c r="X7052" s="318"/>
      <c r="Y7052" s="318"/>
      <c r="Z7052" s="318"/>
      <c r="AA7052" s="318"/>
      <c r="AB7052" s="318"/>
      <c r="AC7052" s="318"/>
      <c r="AD7052" s="318"/>
    </row>
    <row r="7053" spans="2:30" s="323" customFormat="1" ht="12" customHeight="1">
      <c r="B7053" s="324"/>
      <c r="C7053" s="325"/>
      <c r="D7053" s="326"/>
      <c r="E7053" s="326"/>
      <c r="F7053" s="326"/>
      <c r="G7053" s="326"/>
      <c r="H7053" s="326"/>
      <c r="P7053" s="318"/>
      <c r="Q7053" s="318"/>
      <c r="R7053" s="318"/>
      <c r="S7053" s="318"/>
      <c r="T7053" s="318"/>
      <c r="U7053" s="318"/>
      <c r="V7053" s="318"/>
      <c r="W7053" s="318"/>
      <c r="X7053" s="318"/>
      <c r="Y7053" s="318"/>
      <c r="Z7053" s="318"/>
      <c r="AA7053" s="318"/>
      <c r="AB7053" s="318"/>
      <c r="AC7053" s="318"/>
      <c r="AD7053" s="318"/>
    </row>
    <row r="7054" spans="2:30" s="323" customFormat="1" ht="12" customHeight="1">
      <c r="B7054" s="324"/>
      <c r="C7054" s="325"/>
      <c r="D7054" s="326"/>
      <c r="E7054" s="326"/>
      <c r="F7054" s="326"/>
      <c r="G7054" s="326"/>
      <c r="H7054" s="326"/>
      <c r="P7054" s="318"/>
      <c r="Q7054" s="318"/>
      <c r="R7054" s="318"/>
      <c r="S7054" s="318"/>
      <c r="T7054" s="318"/>
      <c r="U7054" s="318"/>
      <c r="V7054" s="318"/>
      <c r="W7054" s="318"/>
      <c r="X7054" s="318"/>
      <c r="Y7054" s="318"/>
      <c r="Z7054" s="318"/>
      <c r="AA7054" s="318"/>
      <c r="AB7054" s="318"/>
      <c r="AC7054" s="318"/>
      <c r="AD7054" s="318"/>
    </row>
    <row r="7055" spans="2:30" s="323" customFormat="1" ht="12" customHeight="1">
      <c r="B7055" s="324"/>
      <c r="C7055" s="325"/>
      <c r="D7055" s="326"/>
      <c r="E7055" s="326"/>
      <c r="F7055" s="326"/>
      <c r="G7055" s="326"/>
      <c r="H7055" s="326"/>
      <c r="P7055" s="318"/>
      <c r="Q7055" s="318"/>
      <c r="R7055" s="318"/>
      <c r="S7055" s="318"/>
      <c r="T7055" s="318"/>
      <c r="U7055" s="318"/>
      <c r="V7055" s="318"/>
      <c r="W7055" s="318"/>
      <c r="X7055" s="318"/>
      <c r="Y7055" s="318"/>
      <c r="Z7055" s="318"/>
      <c r="AA7055" s="318"/>
      <c r="AB7055" s="318"/>
      <c r="AC7055" s="318"/>
      <c r="AD7055" s="318"/>
    </row>
    <row r="7056" spans="2:30" s="323" customFormat="1" ht="12" customHeight="1">
      <c r="B7056" s="324"/>
      <c r="C7056" s="325"/>
      <c r="D7056" s="326"/>
      <c r="E7056" s="326"/>
      <c r="F7056" s="326"/>
      <c r="G7056" s="326"/>
      <c r="H7056" s="326"/>
      <c r="P7056" s="318"/>
      <c r="Q7056" s="318"/>
      <c r="R7056" s="318"/>
      <c r="S7056" s="318"/>
      <c r="T7056" s="318"/>
      <c r="U7056" s="318"/>
      <c r="V7056" s="318"/>
      <c r="W7056" s="318"/>
      <c r="X7056" s="318"/>
      <c r="Y7056" s="318"/>
      <c r="Z7056" s="318"/>
      <c r="AA7056" s="318"/>
      <c r="AB7056" s="318"/>
      <c r="AC7056" s="318"/>
      <c r="AD7056" s="318"/>
    </row>
    <row r="7057" spans="2:30" s="323" customFormat="1" ht="12" customHeight="1">
      <c r="B7057" s="324"/>
      <c r="C7057" s="325"/>
      <c r="D7057" s="326"/>
      <c r="E7057" s="326"/>
      <c r="F7057" s="326"/>
      <c r="G7057" s="326"/>
      <c r="H7057" s="326"/>
      <c r="P7057" s="318"/>
      <c r="Q7057" s="318"/>
      <c r="R7057" s="318"/>
      <c r="S7057" s="318"/>
      <c r="T7057" s="318"/>
      <c r="U7057" s="318"/>
      <c r="V7057" s="318"/>
      <c r="W7057" s="318"/>
      <c r="X7057" s="318"/>
      <c r="Y7057" s="318"/>
      <c r="Z7057" s="318"/>
      <c r="AA7057" s="318"/>
      <c r="AB7057" s="318"/>
      <c r="AC7057" s="318"/>
      <c r="AD7057" s="318"/>
    </row>
    <row r="7058" spans="2:30" s="323" customFormat="1" ht="12" customHeight="1">
      <c r="B7058" s="324"/>
      <c r="C7058" s="325"/>
      <c r="D7058" s="326"/>
      <c r="E7058" s="326"/>
      <c r="F7058" s="326"/>
      <c r="G7058" s="326"/>
      <c r="H7058" s="326"/>
      <c r="P7058" s="318"/>
      <c r="Q7058" s="318"/>
      <c r="R7058" s="318"/>
      <c r="S7058" s="318"/>
      <c r="T7058" s="318"/>
      <c r="U7058" s="318"/>
      <c r="V7058" s="318"/>
      <c r="W7058" s="318"/>
      <c r="X7058" s="318"/>
      <c r="Y7058" s="318"/>
      <c r="Z7058" s="318"/>
      <c r="AA7058" s="318"/>
      <c r="AB7058" s="318"/>
      <c r="AC7058" s="318"/>
      <c r="AD7058" s="318"/>
    </row>
    <row r="7059" spans="2:30" s="323" customFormat="1" ht="12" customHeight="1">
      <c r="B7059" s="324"/>
      <c r="C7059" s="325"/>
      <c r="D7059" s="326"/>
      <c r="E7059" s="326"/>
      <c r="F7059" s="326"/>
      <c r="G7059" s="326"/>
      <c r="H7059" s="326"/>
      <c r="P7059" s="318"/>
      <c r="Q7059" s="318"/>
      <c r="R7059" s="318"/>
      <c r="S7059" s="318"/>
      <c r="T7059" s="318"/>
      <c r="U7059" s="318"/>
      <c r="V7059" s="318"/>
      <c r="W7059" s="318"/>
      <c r="X7059" s="318"/>
      <c r="Y7059" s="318"/>
      <c r="Z7059" s="318"/>
      <c r="AA7059" s="318"/>
      <c r="AB7059" s="318"/>
      <c r="AC7059" s="318"/>
      <c r="AD7059" s="318"/>
    </row>
    <row r="7060" spans="2:30" s="323" customFormat="1" ht="12" customHeight="1">
      <c r="B7060" s="324"/>
      <c r="C7060" s="325"/>
      <c r="D7060" s="326"/>
      <c r="E7060" s="326"/>
      <c r="F7060" s="326"/>
      <c r="G7060" s="326"/>
      <c r="H7060" s="326"/>
      <c r="P7060" s="318"/>
      <c r="Q7060" s="318"/>
      <c r="R7060" s="318"/>
      <c r="S7060" s="318"/>
      <c r="T7060" s="318"/>
      <c r="U7060" s="318"/>
      <c r="V7060" s="318"/>
      <c r="W7060" s="318"/>
      <c r="X7060" s="318"/>
      <c r="Y7060" s="318"/>
      <c r="Z7060" s="318"/>
      <c r="AA7060" s="318"/>
      <c r="AB7060" s="318"/>
      <c r="AC7060" s="318"/>
      <c r="AD7060" s="318"/>
    </row>
    <row r="7061" spans="2:30" s="323" customFormat="1" ht="12" customHeight="1">
      <c r="B7061" s="324"/>
      <c r="C7061" s="325"/>
      <c r="D7061" s="326"/>
      <c r="E7061" s="326"/>
      <c r="F7061" s="326"/>
      <c r="G7061" s="326"/>
      <c r="H7061" s="326"/>
      <c r="P7061" s="318"/>
      <c r="Q7061" s="318"/>
      <c r="R7061" s="318"/>
      <c r="S7061" s="318"/>
      <c r="T7061" s="318"/>
      <c r="U7061" s="318"/>
      <c r="V7061" s="318"/>
      <c r="W7061" s="318"/>
      <c r="X7061" s="318"/>
      <c r="Y7061" s="318"/>
      <c r="Z7061" s="318"/>
      <c r="AA7061" s="318"/>
      <c r="AB7061" s="318"/>
      <c r="AC7061" s="318"/>
      <c r="AD7061" s="318"/>
    </row>
    <row r="7062" spans="2:30" s="323" customFormat="1" ht="12" customHeight="1">
      <c r="B7062" s="324"/>
      <c r="C7062" s="325"/>
      <c r="D7062" s="326"/>
      <c r="E7062" s="326"/>
      <c r="F7062" s="326"/>
      <c r="G7062" s="326"/>
      <c r="H7062" s="326"/>
      <c r="P7062" s="318"/>
      <c r="Q7062" s="318"/>
      <c r="R7062" s="318"/>
      <c r="S7062" s="318"/>
      <c r="T7062" s="318"/>
      <c r="U7062" s="318"/>
      <c r="V7062" s="318"/>
      <c r="W7062" s="318"/>
      <c r="X7062" s="318"/>
      <c r="Y7062" s="318"/>
      <c r="Z7062" s="318"/>
      <c r="AA7062" s="318"/>
      <c r="AB7062" s="318"/>
      <c r="AC7062" s="318"/>
      <c r="AD7062" s="318"/>
    </row>
    <row r="7063" spans="2:30" s="323" customFormat="1" ht="12" customHeight="1">
      <c r="B7063" s="324"/>
      <c r="C7063" s="325"/>
      <c r="D7063" s="326"/>
      <c r="E7063" s="326"/>
      <c r="F7063" s="326"/>
      <c r="G7063" s="326"/>
      <c r="H7063" s="326"/>
      <c r="P7063" s="318"/>
      <c r="Q7063" s="318"/>
      <c r="R7063" s="318"/>
      <c r="S7063" s="318"/>
      <c r="T7063" s="318"/>
      <c r="U7063" s="318"/>
      <c r="V7063" s="318"/>
      <c r="W7063" s="318"/>
      <c r="X7063" s="318"/>
      <c r="Y7063" s="318"/>
      <c r="Z7063" s="318"/>
      <c r="AA7063" s="318"/>
      <c r="AB7063" s="318"/>
      <c r="AC7063" s="318"/>
      <c r="AD7063" s="318"/>
    </row>
    <row r="7064" spans="2:30" s="323" customFormat="1" ht="12" customHeight="1">
      <c r="B7064" s="324"/>
      <c r="C7064" s="325"/>
      <c r="D7064" s="326"/>
      <c r="E7064" s="326"/>
      <c r="F7064" s="326"/>
      <c r="G7064" s="326"/>
      <c r="H7064" s="326"/>
      <c r="P7064" s="318"/>
      <c r="Q7064" s="318"/>
      <c r="R7064" s="318"/>
      <c r="S7064" s="318"/>
      <c r="T7064" s="318"/>
      <c r="U7064" s="318"/>
      <c r="V7064" s="318"/>
      <c r="W7064" s="318"/>
      <c r="X7064" s="318"/>
      <c r="Y7064" s="318"/>
      <c r="Z7064" s="318"/>
      <c r="AA7064" s="318"/>
      <c r="AB7064" s="318"/>
      <c r="AC7064" s="318"/>
      <c r="AD7064" s="318"/>
    </row>
    <row r="7065" spans="2:30" s="323" customFormat="1" ht="12" customHeight="1">
      <c r="B7065" s="324"/>
      <c r="C7065" s="325"/>
      <c r="D7065" s="326"/>
      <c r="E7065" s="326"/>
      <c r="F7065" s="326"/>
      <c r="G7065" s="326"/>
      <c r="H7065" s="326"/>
      <c r="P7065" s="318"/>
      <c r="Q7065" s="318"/>
      <c r="R7065" s="318"/>
      <c r="S7065" s="318"/>
      <c r="T7065" s="318"/>
      <c r="U7065" s="318"/>
      <c r="V7065" s="318"/>
      <c r="W7065" s="318"/>
      <c r="X7065" s="318"/>
      <c r="Y7065" s="318"/>
      <c r="Z7065" s="318"/>
      <c r="AA7065" s="318"/>
      <c r="AB7065" s="318"/>
      <c r="AC7065" s="318"/>
      <c r="AD7065" s="318"/>
    </row>
    <row r="7066" spans="2:30" s="323" customFormat="1" ht="12" customHeight="1">
      <c r="B7066" s="324"/>
      <c r="C7066" s="325"/>
      <c r="D7066" s="326"/>
      <c r="E7066" s="326"/>
      <c r="F7066" s="326"/>
      <c r="G7066" s="326"/>
      <c r="H7066" s="326"/>
      <c r="P7066" s="318"/>
      <c r="Q7066" s="318"/>
      <c r="R7066" s="318"/>
      <c r="S7066" s="318"/>
      <c r="T7066" s="318"/>
      <c r="U7066" s="318"/>
      <c r="V7066" s="318"/>
      <c r="W7066" s="318"/>
      <c r="X7066" s="318"/>
      <c r="Y7066" s="318"/>
      <c r="Z7066" s="318"/>
      <c r="AA7066" s="318"/>
      <c r="AB7066" s="318"/>
      <c r="AC7066" s="318"/>
      <c r="AD7066" s="318"/>
    </row>
    <row r="7067" spans="2:30" s="323" customFormat="1" ht="12" customHeight="1">
      <c r="B7067" s="324"/>
      <c r="C7067" s="325"/>
      <c r="D7067" s="326"/>
      <c r="E7067" s="326"/>
      <c r="F7067" s="326"/>
      <c r="G7067" s="326"/>
      <c r="H7067" s="326"/>
      <c r="P7067" s="318"/>
      <c r="Q7067" s="318"/>
      <c r="R7067" s="318"/>
      <c r="S7067" s="318"/>
      <c r="T7067" s="318"/>
      <c r="U7067" s="318"/>
      <c r="V7067" s="318"/>
      <c r="W7067" s="318"/>
      <c r="X7067" s="318"/>
      <c r="Y7067" s="318"/>
      <c r="Z7067" s="318"/>
      <c r="AA7067" s="318"/>
      <c r="AB7067" s="318"/>
      <c r="AC7067" s="318"/>
      <c r="AD7067" s="318"/>
    </row>
    <row r="7068" spans="2:30" s="323" customFormat="1" ht="12" customHeight="1">
      <c r="B7068" s="324"/>
      <c r="C7068" s="325"/>
      <c r="D7068" s="326"/>
      <c r="E7068" s="326"/>
      <c r="F7068" s="326"/>
      <c r="G7068" s="326"/>
      <c r="H7068" s="326"/>
      <c r="P7068" s="318"/>
      <c r="Q7068" s="318"/>
      <c r="R7068" s="318"/>
      <c r="S7068" s="318"/>
      <c r="T7068" s="318"/>
      <c r="U7068" s="318"/>
      <c r="V7068" s="318"/>
      <c r="W7068" s="318"/>
      <c r="X7068" s="318"/>
      <c r="Y7068" s="318"/>
      <c r="Z7068" s="318"/>
      <c r="AA7068" s="318"/>
      <c r="AB7068" s="318"/>
      <c r="AC7068" s="318"/>
      <c r="AD7068" s="318"/>
    </row>
    <row r="7069" spans="2:30" s="323" customFormat="1" ht="12" customHeight="1">
      <c r="B7069" s="324"/>
      <c r="C7069" s="325"/>
      <c r="D7069" s="326"/>
      <c r="E7069" s="326"/>
      <c r="F7069" s="326"/>
      <c r="G7069" s="326"/>
      <c r="H7069" s="326"/>
      <c r="P7069" s="318"/>
      <c r="Q7069" s="318"/>
      <c r="R7069" s="318"/>
      <c r="S7069" s="318"/>
      <c r="T7069" s="318"/>
      <c r="U7069" s="318"/>
      <c r="V7069" s="318"/>
      <c r="W7069" s="318"/>
      <c r="X7069" s="318"/>
      <c r="Y7069" s="318"/>
      <c r="Z7069" s="318"/>
      <c r="AA7069" s="318"/>
      <c r="AB7069" s="318"/>
      <c r="AC7069" s="318"/>
      <c r="AD7069" s="318"/>
    </row>
    <row r="7070" spans="2:30" s="323" customFormat="1" ht="12" customHeight="1">
      <c r="B7070" s="324"/>
      <c r="C7070" s="325"/>
      <c r="D7070" s="326"/>
      <c r="E7070" s="326"/>
      <c r="F7070" s="326"/>
      <c r="G7070" s="326"/>
      <c r="H7070" s="326"/>
      <c r="P7070" s="318"/>
      <c r="Q7070" s="318"/>
      <c r="R7070" s="318"/>
      <c r="S7070" s="318"/>
      <c r="T7070" s="318"/>
      <c r="U7070" s="318"/>
      <c r="V7070" s="318"/>
      <c r="W7070" s="318"/>
      <c r="X7070" s="318"/>
      <c r="Y7070" s="318"/>
      <c r="Z7070" s="318"/>
      <c r="AA7070" s="318"/>
      <c r="AB7070" s="318"/>
      <c r="AC7070" s="318"/>
      <c r="AD7070" s="318"/>
    </row>
    <row r="7071" spans="2:30" s="323" customFormat="1" ht="12" customHeight="1">
      <c r="B7071" s="324"/>
      <c r="C7071" s="325"/>
      <c r="D7071" s="326"/>
      <c r="E7071" s="326"/>
      <c r="F7071" s="326"/>
      <c r="G7071" s="326"/>
      <c r="H7071" s="326"/>
      <c r="P7071" s="318"/>
      <c r="Q7071" s="318"/>
      <c r="R7071" s="318"/>
      <c r="S7071" s="318"/>
      <c r="T7071" s="318"/>
      <c r="U7071" s="318"/>
      <c r="V7071" s="318"/>
      <c r="W7071" s="318"/>
      <c r="X7071" s="318"/>
      <c r="Y7071" s="318"/>
      <c r="Z7071" s="318"/>
      <c r="AA7071" s="318"/>
      <c r="AB7071" s="318"/>
      <c r="AC7071" s="318"/>
      <c r="AD7071" s="318"/>
    </row>
    <row r="7072" spans="2:30" s="323" customFormat="1" ht="12" customHeight="1">
      <c r="B7072" s="324"/>
      <c r="C7072" s="325"/>
      <c r="D7072" s="326"/>
      <c r="E7072" s="326"/>
      <c r="F7072" s="326"/>
      <c r="G7072" s="326"/>
      <c r="H7072" s="326"/>
      <c r="P7072" s="318"/>
      <c r="Q7072" s="318"/>
      <c r="R7072" s="318"/>
      <c r="S7072" s="318"/>
      <c r="T7072" s="318"/>
      <c r="U7072" s="318"/>
      <c r="V7072" s="318"/>
      <c r="W7072" s="318"/>
      <c r="X7072" s="318"/>
      <c r="Y7072" s="318"/>
      <c r="Z7072" s="318"/>
      <c r="AA7072" s="318"/>
      <c r="AB7072" s="318"/>
      <c r="AC7072" s="318"/>
      <c r="AD7072" s="318"/>
    </row>
    <row r="7073" spans="2:30" s="323" customFormat="1" ht="12" customHeight="1">
      <c r="B7073" s="324"/>
      <c r="C7073" s="325"/>
      <c r="D7073" s="326"/>
      <c r="E7073" s="326"/>
      <c r="F7073" s="326"/>
      <c r="G7073" s="326"/>
      <c r="H7073" s="326"/>
      <c r="P7073" s="318"/>
      <c r="Q7073" s="318"/>
      <c r="R7073" s="318"/>
      <c r="S7073" s="318"/>
      <c r="T7073" s="318"/>
      <c r="U7073" s="318"/>
      <c r="V7073" s="318"/>
      <c r="W7073" s="318"/>
      <c r="X7073" s="318"/>
      <c r="Y7073" s="318"/>
      <c r="Z7073" s="318"/>
      <c r="AA7073" s="318"/>
      <c r="AB7073" s="318"/>
      <c r="AC7073" s="318"/>
      <c r="AD7073" s="318"/>
    </row>
    <row r="7074" spans="2:30" s="323" customFormat="1" ht="12" customHeight="1">
      <c r="B7074" s="324"/>
      <c r="C7074" s="325"/>
      <c r="D7074" s="326"/>
      <c r="E7074" s="326"/>
      <c r="F7074" s="326"/>
      <c r="G7074" s="326"/>
      <c r="H7074" s="326"/>
      <c r="P7074" s="318"/>
      <c r="Q7074" s="318"/>
      <c r="R7074" s="318"/>
      <c r="S7074" s="318"/>
      <c r="T7074" s="318"/>
      <c r="U7074" s="318"/>
      <c r="V7074" s="318"/>
      <c r="W7074" s="318"/>
      <c r="X7074" s="318"/>
      <c r="Y7074" s="318"/>
      <c r="Z7074" s="318"/>
      <c r="AA7074" s="318"/>
      <c r="AB7074" s="318"/>
      <c r="AC7074" s="318"/>
      <c r="AD7074" s="318"/>
    </row>
    <row r="7075" spans="2:30" s="323" customFormat="1" ht="12" customHeight="1">
      <c r="B7075" s="324"/>
      <c r="C7075" s="325"/>
      <c r="D7075" s="326"/>
      <c r="E7075" s="326"/>
      <c r="F7075" s="326"/>
      <c r="G7075" s="326"/>
      <c r="H7075" s="326"/>
      <c r="P7075" s="318"/>
      <c r="Q7075" s="318"/>
      <c r="R7075" s="318"/>
      <c r="S7075" s="318"/>
      <c r="T7075" s="318"/>
      <c r="U7075" s="318"/>
      <c r="V7075" s="318"/>
      <c r="W7075" s="318"/>
      <c r="X7075" s="318"/>
      <c r="Y7075" s="318"/>
      <c r="Z7075" s="318"/>
      <c r="AA7075" s="318"/>
      <c r="AB7075" s="318"/>
      <c r="AC7075" s="318"/>
      <c r="AD7075" s="318"/>
    </row>
    <row r="7076" spans="2:30" s="323" customFormat="1" ht="12" customHeight="1">
      <c r="B7076" s="324"/>
      <c r="C7076" s="325"/>
      <c r="D7076" s="326"/>
      <c r="E7076" s="326"/>
      <c r="F7076" s="326"/>
      <c r="G7076" s="326"/>
      <c r="H7076" s="326"/>
      <c r="P7076" s="318"/>
      <c r="Q7076" s="318"/>
      <c r="R7076" s="318"/>
      <c r="S7076" s="318"/>
      <c r="T7076" s="318"/>
      <c r="U7076" s="318"/>
      <c r="V7076" s="318"/>
      <c r="W7076" s="318"/>
      <c r="X7076" s="318"/>
      <c r="Y7076" s="318"/>
      <c r="Z7076" s="318"/>
      <c r="AA7076" s="318"/>
      <c r="AB7076" s="318"/>
      <c r="AC7076" s="318"/>
      <c r="AD7076" s="318"/>
    </row>
    <row r="7077" spans="2:30" s="323" customFormat="1" ht="12" customHeight="1">
      <c r="B7077" s="324"/>
      <c r="C7077" s="325"/>
      <c r="D7077" s="326"/>
      <c r="E7077" s="326"/>
      <c r="F7077" s="326"/>
      <c r="G7077" s="326"/>
      <c r="H7077" s="326"/>
      <c r="P7077" s="318"/>
      <c r="Q7077" s="318"/>
      <c r="R7077" s="318"/>
      <c r="S7077" s="318"/>
      <c r="T7077" s="318"/>
      <c r="U7077" s="318"/>
      <c r="V7077" s="318"/>
      <c r="W7077" s="318"/>
      <c r="X7077" s="318"/>
      <c r="Y7077" s="318"/>
      <c r="Z7077" s="318"/>
      <c r="AA7077" s="318"/>
      <c r="AB7077" s="318"/>
      <c r="AC7077" s="318"/>
      <c r="AD7077" s="318"/>
    </row>
    <row r="7078" spans="2:30" s="323" customFormat="1" ht="12" customHeight="1">
      <c r="B7078" s="324"/>
      <c r="C7078" s="325"/>
      <c r="D7078" s="326"/>
      <c r="E7078" s="326"/>
      <c r="F7078" s="326"/>
      <c r="G7078" s="326"/>
      <c r="H7078" s="326"/>
      <c r="P7078" s="318"/>
      <c r="Q7078" s="318"/>
      <c r="R7078" s="318"/>
      <c r="S7078" s="318"/>
      <c r="T7078" s="318"/>
      <c r="U7078" s="318"/>
      <c r="V7078" s="318"/>
      <c r="W7078" s="318"/>
      <c r="X7078" s="318"/>
      <c r="Y7078" s="318"/>
      <c r="Z7078" s="318"/>
      <c r="AA7078" s="318"/>
      <c r="AB7078" s="318"/>
      <c r="AC7078" s="318"/>
      <c r="AD7078" s="318"/>
    </row>
    <row r="7079" spans="2:30" s="323" customFormat="1" ht="12" customHeight="1">
      <c r="B7079" s="324"/>
      <c r="C7079" s="325"/>
      <c r="D7079" s="326"/>
      <c r="E7079" s="326"/>
      <c r="F7079" s="326"/>
      <c r="G7079" s="326"/>
      <c r="H7079" s="326"/>
      <c r="P7079" s="318"/>
      <c r="Q7079" s="318"/>
      <c r="R7079" s="318"/>
      <c r="S7079" s="318"/>
      <c r="T7079" s="318"/>
      <c r="U7079" s="318"/>
      <c r="V7079" s="318"/>
      <c r="W7079" s="318"/>
      <c r="X7079" s="318"/>
      <c r="Y7079" s="318"/>
      <c r="Z7079" s="318"/>
      <c r="AA7079" s="318"/>
      <c r="AB7079" s="318"/>
      <c r="AC7079" s="318"/>
      <c r="AD7079" s="318"/>
    </row>
    <row r="7080" spans="2:30" s="323" customFormat="1" ht="12" customHeight="1">
      <c r="B7080" s="324"/>
      <c r="C7080" s="325"/>
      <c r="D7080" s="326"/>
      <c r="E7080" s="326"/>
      <c r="F7080" s="326"/>
      <c r="G7080" s="326"/>
      <c r="H7080" s="326"/>
      <c r="P7080" s="318"/>
      <c r="Q7080" s="318"/>
      <c r="R7080" s="318"/>
      <c r="S7080" s="318"/>
      <c r="T7080" s="318"/>
      <c r="U7080" s="318"/>
      <c r="V7080" s="318"/>
      <c r="W7080" s="318"/>
      <c r="X7080" s="318"/>
      <c r="Y7080" s="318"/>
      <c r="Z7080" s="318"/>
      <c r="AA7080" s="318"/>
      <c r="AB7080" s="318"/>
      <c r="AC7080" s="318"/>
      <c r="AD7080" s="318"/>
    </row>
    <row r="7081" spans="2:30" s="323" customFormat="1" ht="12" customHeight="1">
      <c r="B7081" s="324"/>
      <c r="C7081" s="325"/>
      <c r="D7081" s="326"/>
      <c r="E7081" s="326"/>
      <c r="F7081" s="326"/>
      <c r="G7081" s="326"/>
      <c r="H7081" s="326"/>
      <c r="P7081" s="318"/>
      <c r="Q7081" s="318"/>
      <c r="R7081" s="318"/>
      <c r="S7081" s="318"/>
      <c r="T7081" s="318"/>
      <c r="U7081" s="318"/>
      <c r="V7081" s="318"/>
      <c r="W7081" s="318"/>
      <c r="X7081" s="318"/>
      <c r="Y7081" s="318"/>
      <c r="Z7081" s="318"/>
      <c r="AA7081" s="318"/>
      <c r="AB7081" s="318"/>
      <c r="AC7081" s="318"/>
      <c r="AD7081" s="318"/>
    </row>
    <row r="7082" spans="2:30" s="323" customFormat="1" ht="12" customHeight="1">
      <c r="B7082" s="324"/>
      <c r="C7082" s="325"/>
      <c r="D7082" s="326"/>
      <c r="E7082" s="326"/>
      <c r="F7082" s="326"/>
      <c r="G7082" s="326"/>
      <c r="H7082" s="326"/>
      <c r="P7082" s="318"/>
      <c r="Q7082" s="318"/>
      <c r="R7082" s="318"/>
      <c r="S7082" s="318"/>
      <c r="T7082" s="318"/>
      <c r="U7082" s="318"/>
      <c r="V7082" s="318"/>
      <c r="W7082" s="318"/>
      <c r="X7082" s="318"/>
      <c r="Y7082" s="318"/>
      <c r="Z7082" s="318"/>
      <c r="AA7082" s="318"/>
      <c r="AB7082" s="318"/>
      <c r="AC7082" s="318"/>
      <c r="AD7082" s="318"/>
    </row>
    <row r="7083" spans="2:30" s="323" customFormat="1" ht="12" customHeight="1">
      <c r="B7083" s="324"/>
      <c r="C7083" s="325"/>
      <c r="D7083" s="326"/>
      <c r="E7083" s="326"/>
      <c r="F7083" s="326"/>
      <c r="G7083" s="326"/>
      <c r="H7083" s="326"/>
      <c r="P7083" s="318"/>
      <c r="Q7083" s="318"/>
      <c r="R7083" s="318"/>
      <c r="S7083" s="318"/>
      <c r="T7083" s="318"/>
      <c r="U7083" s="318"/>
      <c r="V7083" s="318"/>
      <c r="W7083" s="318"/>
      <c r="X7083" s="318"/>
      <c r="Y7083" s="318"/>
      <c r="Z7083" s="318"/>
      <c r="AA7083" s="318"/>
      <c r="AB7083" s="318"/>
      <c r="AC7083" s="318"/>
      <c r="AD7083" s="318"/>
    </row>
    <row r="7084" spans="2:30" s="323" customFormat="1" ht="12" customHeight="1">
      <c r="B7084" s="324"/>
      <c r="C7084" s="325"/>
      <c r="D7084" s="326"/>
      <c r="E7084" s="326"/>
      <c r="F7084" s="326"/>
      <c r="G7084" s="326"/>
      <c r="H7084" s="326"/>
      <c r="P7084" s="318"/>
      <c r="Q7084" s="318"/>
      <c r="R7084" s="318"/>
      <c r="S7084" s="318"/>
      <c r="T7084" s="318"/>
      <c r="U7084" s="318"/>
      <c r="V7084" s="318"/>
      <c r="W7084" s="318"/>
      <c r="X7084" s="318"/>
      <c r="Y7084" s="318"/>
      <c r="Z7084" s="318"/>
      <c r="AA7084" s="318"/>
      <c r="AB7084" s="318"/>
      <c r="AC7084" s="318"/>
      <c r="AD7084" s="318"/>
    </row>
    <row r="7085" spans="2:30" s="323" customFormat="1" ht="12" customHeight="1">
      <c r="B7085" s="324"/>
      <c r="C7085" s="325"/>
      <c r="D7085" s="326"/>
      <c r="E7085" s="326"/>
      <c r="F7085" s="326"/>
      <c r="G7085" s="326"/>
      <c r="H7085" s="326"/>
      <c r="P7085" s="318"/>
      <c r="Q7085" s="318"/>
      <c r="R7085" s="318"/>
      <c r="S7085" s="318"/>
      <c r="T7085" s="318"/>
      <c r="U7085" s="318"/>
      <c r="V7085" s="318"/>
      <c r="W7085" s="318"/>
      <c r="X7085" s="318"/>
      <c r="Y7085" s="318"/>
      <c r="Z7085" s="318"/>
      <c r="AA7085" s="318"/>
      <c r="AB7085" s="318"/>
      <c r="AC7085" s="318"/>
      <c r="AD7085" s="318"/>
    </row>
    <row r="7086" spans="2:30" s="323" customFormat="1" ht="12" customHeight="1">
      <c r="B7086" s="324"/>
      <c r="C7086" s="325"/>
      <c r="D7086" s="326"/>
      <c r="E7086" s="326"/>
      <c r="F7086" s="326"/>
      <c r="G7086" s="326"/>
      <c r="H7086" s="326"/>
      <c r="P7086" s="318"/>
      <c r="Q7086" s="318"/>
      <c r="R7086" s="318"/>
      <c r="S7086" s="318"/>
      <c r="T7086" s="318"/>
      <c r="U7086" s="318"/>
      <c r="V7086" s="318"/>
      <c r="W7086" s="318"/>
      <c r="X7086" s="318"/>
      <c r="Y7086" s="318"/>
      <c r="Z7086" s="318"/>
      <c r="AA7086" s="318"/>
      <c r="AB7086" s="318"/>
      <c r="AC7086" s="318"/>
      <c r="AD7086" s="318"/>
    </row>
    <row r="7087" spans="2:30" s="323" customFormat="1" ht="12" customHeight="1">
      <c r="B7087" s="324"/>
      <c r="C7087" s="325"/>
      <c r="D7087" s="326"/>
      <c r="E7087" s="326"/>
      <c r="F7087" s="326"/>
      <c r="G7087" s="326"/>
      <c r="H7087" s="326"/>
      <c r="P7087" s="318"/>
      <c r="Q7087" s="318"/>
      <c r="R7087" s="318"/>
      <c r="S7087" s="318"/>
      <c r="T7087" s="318"/>
      <c r="U7087" s="318"/>
      <c r="V7087" s="318"/>
      <c r="W7087" s="318"/>
      <c r="X7087" s="318"/>
      <c r="Y7087" s="318"/>
      <c r="Z7087" s="318"/>
      <c r="AA7087" s="318"/>
      <c r="AB7087" s="318"/>
      <c r="AC7087" s="318"/>
      <c r="AD7087" s="318"/>
    </row>
    <row r="7088" spans="2:30" s="323" customFormat="1" ht="12" customHeight="1">
      <c r="B7088" s="324"/>
      <c r="C7088" s="325"/>
      <c r="D7088" s="326"/>
      <c r="E7088" s="326"/>
      <c r="F7088" s="326"/>
      <c r="G7088" s="326"/>
      <c r="H7088" s="326"/>
      <c r="P7088" s="318"/>
      <c r="Q7088" s="318"/>
      <c r="R7088" s="318"/>
      <c r="S7088" s="318"/>
      <c r="T7088" s="318"/>
      <c r="U7088" s="318"/>
      <c r="V7088" s="318"/>
      <c r="W7088" s="318"/>
      <c r="X7088" s="318"/>
      <c r="Y7088" s="318"/>
      <c r="Z7088" s="318"/>
      <c r="AA7088" s="318"/>
      <c r="AB7088" s="318"/>
      <c r="AC7088" s="318"/>
      <c r="AD7088" s="318"/>
    </row>
    <row r="7089" spans="2:30" s="323" customFormat="1" ht="12" customHeight="1">
      <c r="B7089" s="324"/>
      <c r="C7089" s="325"/>
      <c r="D7089" s="326"/>
      <c r="E7089" s="326"/>
      <c r="F7089" s="326"/>
      <c r="G7089" s="326"/>
      <c r="H7089" s="326"/>
      <c r="P7089" s="318"/>
      <c r="Q7089" s="318"/>
      <c r="R7089" s="318"/>
      <c r="S7089" s="318"/>
      <c r="T7089" s="318"/>
      <c r="U7089" s="318"/>
      <c r="V7089" s="318"/>
      <c r="W7089" s="318"/>
      <c r="X7089" s="318"/>
      <c r="Y7089" s="318"/>
      <c r="Z7089" s="318"/>
      <c r="AA7089" s="318"/>
      <c r="AB7089" s="318"/>
      <c r="AC7089" s="318"/>
      <c r="AD7089" s="318"/>
    </row>
    <row r="7090" spans="2:30" s="323" customFormat="1" ht="12" customHeight="1">
      <c r="B7090" s="324"/>
      <c r="C7090" s="325"/>
      <c r="D7090" s="326"/>
      <c r="E7090" s="326"/>
      <c r="F7090" s="326"/>
      <c r="G7090" s="326"/>
      <c r="H7090" s="326"/>
      <c r="P7090" s="318"/>
      <c r="Q7090" s="318"/>
      <c r="R7090" s="318"/>
      <c r="S7090" s="318"/>
      <c r="T7090" s="318"/>
      <c r="U7090" s="318"/>
      <c r="V7090" s="318"/>
      <c r="W7090" s="318"/>
      <c r="X7090" s="318"/>
      <c r="Y7090" s="318"/>
      <c r="Z7090" s="318"/>
      <c r="AA7090" s="318"/>
      <c r="AB7090" s="318"/>
      <c r="AC7090" s="318"/>
      <c r="AD7090" s="318"/>
    </row>
    <row r="7091" spans="2:30" s="323" customFormat="1" ht="12" customHeight="1">
      <c r="B7091" s="324"/>
      <c r="C7091" s="325"/>
      <c r="D7091" s="326"/>
      <c r="E7091" s="326"/>
      <c r="F7091" s="326"/>
      <c r="G7091" s="326"/>
      <c r="H7091" s="326"/>
      <c r="P7091" s="318"/>
      <c r="Q7091" s="318"/>
      <c r="R7091" s="318"/>
      <c r="S7091" s="318"/>
      <c r="T7091" s="318"/>
      <c r="U7091" s="318"/>
      <c r="V7091" s="318"/>
      <c r="W7091" s="318"/>
      <c r="X7091" s="318"/>
      <c r="Y7091" s="318"/>
      <c r="Z7091" s="318"/>
      <c r="AA7091" s="318"/>
      <c r="AB7091" s="318"/>
      <c r="AC7091" s="318"/>
      <c r="AD7091" s="318"/>
    </row>
    <row r="7092" spans="2:30" s="323" customFormat="1" ht="12" customHeight="1">
      <c r="B7092" s="324"/>
      <c r="C7092" s="325"/>
      <c r="D7092" s="326"/>
      <c r="E7092" s="326"/>
      <c r="F7092" s="326"/>
      <c r="G7092" s="326"/>
      <c r="H7092" s="326"/>
      <c r="P7092" s="318"/>
      <c r="Q7092" s="318"/>
      <c r="R7092" s="318"/>
      <c r="S7092" s="318"/>
      <c r="T7092" s="318"/>
      <c r="U7092" s="318"/>
      <c r="V7092" s="318"/>
      <c r="W7092" s="318"/>
      <c r="X7092" s="318"/>
      <c r="Y7092" s="318"/>
      <c r="Z7092" s="318"/>
      <c r="AA7092" s="318"/>
      <c r="AB7092" s="318"/>
      <c r="AC7092" s="318"/>
      <c r="AD7092" s="318"/>
    </row>
    <row r="7093" spans="2:30" s="323" customFormat="1" ht="12" customHeight="1">
      <c r="B7093" s="324"/>
      <c r="C7093" s="325"/>
      <c r="D7093" s="326"/>
      <c r="E7093" s="326"/>
      <c r="F7093" s="326"/>
      <c r="G7093" s="326"/>
      <c r="H7093" s="326"/>
      <c r="P7093" s="318"/>
      <c r="Q7093" s="318"/>
      <c r="R7093" s="318"/>
      <c r="S7093" s="318"/>
      <c r="T7093" s="318"/>
      <c r="U7093" s="318"/>
      <c r="V7093" s="318"/>
      <c r="W7093" s="318"/>
      <c r="X7093" s="318"/>
      <c r="Y7093" s="318"/>
      <c r="Z7093" s="318"/>
      <c r="AA7093" s="318"/>
      <c r="AB7093" s="318"/>
      <c r="AC7093" s="318"/>
      <c r="AD7093" s="318"/>
    </row>
    <row r="7094" spans="2:30" s="323" customFormat="1" ht="12" customHeight="1">
      <c r="B7094" s="324"/>
      <c r="C7094" s="325"/>
      <c r="D7094" s="326"/>
      <c r="E7094" s="326"/>
      <c r="F7094" s="326"/>
      <c r="G7094" s="326"/>
      <c r="H7094" s="326"/>
      <c r="P7094" s="318"/>
      <c r="Q7094" s="318"/>
      <c r="R7094" s="318"/>
      <c r="S7094" s="318"/>
      <c r="T7094" s="318"/>
      <c r="U7094" s="318"/>
      <c r="V7094" s="318"/>
      <c r="W7094" s="318"/>
      <c r="X7094" s="318"/>
      <c r="Y7094" s="318"/>
      <c r="Z7094" s="318"/>
      <c r="AA7094" s="318"/>
      <c r="AB7094" s="318"/>
      <c r="AC7094" s="318"/>
      <c r="AD7094" s="318"/>
    </row>
    <row r="7095" spans="2:30" s="323" customFormat="1" ht="12" customHeight="1">
      <c r="B7095" s="324"/>
      <c r="C7095" s="325"/>
      <c r="D7095" s="326"/>
      <c r="E7095" s="326"/>
      <c r="F7095" s="326"/>
      <c r="G7095" s="326"/>
      <c r="H7095" s="326"/>
      <c r="P7095" s="318"/>
      <c r="Q7095" s="318"/>
      <c r="R7095" s="318"/>
      <c r="S7095" s="318"/>
      <c r="T7095" s="318"/>
      <c r="U7095" s="318"/>
      <c r="V7095" s="318"/>
      <c r="W7095" s="318"/>
      <c r="X7095" s="318"/>
      <c r="Y7095" s="318"/>
      <c r="Z7095" s="318"/>
      <c r="AA7095" s="318"/>
      <c r="AB7095" s="318"/>
      <c r="AC7095" s="318"/>
      <c r="AD7095" s="318"/>
    </row>
    <row r="7096" spans="2:30" s="323" customFormat="1" ht="12" customHeight="1">
      <c r="B7096" s="324"/>
      <c r="C7096" s="325"/>
      <c r="D7096" s="326"/>
      <c r="E7096" s="326"/>
      <c r="F7096" s="326"/>
      <c r="G7096" s="326"/>
      <c r="H7096" s="326"/>
      <c r="P7096" s="318"/>
      <c r="Q7096" s="318"/>
      <c r="R7096" s="318"/>
      <c r="S7096" s="318"/>
      <c r="T7096" s="318"/>
      <c r="U7096" s="318"/>
      <c r="V7096" s="318"/>
      <c r="W7096" s="318"/>
      <c r="X7096" s="318"/>
      <c r="Y7096" s="318"/>
      <c r="Z7096" s="318"/>
      <c r="AA7096" s="318"/>
      <c r="AB7096" s="318"/>
      <c r="AC7096" s="318"/>
      <c r="AD7096" s="318"/>
    </row>
    <row r="7097" spans="2:30" s="323" customFormat="1" ht="12" customHeight="1">
      <c r="B7097" s="324"/>
      <c r="C7097" s="325"/>
      <c r="D7097" s="326"/>
      <c r="E7097" s="326"/>
      <c r="F7097" s="326"/>
      <c r="G7097" s="326"/>
      <c r="H7097" s="326"/>
      <c r="P7097" s="318"/>
      <c r="Q7097" s="318"/>
      <c r="R7097" s="318"/>
      <c r="S7097" s="318"/>
      <c r="T7097" s="318"/>
      <c r="U7097" s="318"/>
      <c r="V7097" s="318"/>
      <c r="W7097" s="318"/>
      <c r="X7097" s="318"/>
      <c r="Y7097" s="318"/>
      <c r="Z7097" s="318"/>
      <c r="AA7097" s="318"/>
      <c r="AB7097" s="318"/>
      <c r="AC7097" s="318"/>
      <c r="AD7097" s="318"/>
    </row>
    <row r="7098" spans="2:30" s="323" customFormat="1" ht="12" customHeight="1">
      <c r="B7098" s="324"/>
      <c r="C7098" s="325"/>
      <c r="D7098" s="326"/>
      <c r="E7098" s="326"/>
      <c r="F7098" s="326"/>
      <c r="G7098" s="326"/>
      <c r="H7098" s="326"/>
      <c r="P7098" s="318"/>
      <c r="Q7098" s="318"/>
      <c r="R7098" s="318"/>
      <c r="S7098" s="318"/>
      <c r="T7098" s="318"/>
      <c r="U7098" s="318"/>
      <c r="V7098" s="318"/>
      <c r="W7098" s="318"/>
      <c r="X7098" s="318"/>
      <c r="Y7098" s="318"/>
      <c r="Z7098" s="318"/>
      <c r="AA7098" s="318"/>
      <c r="AB7098" s="318"/>
      <c r="AC7098" s="318"/>
      <c r="AD7098" s="318"/>
    </row>
    <row r="7099" spans="2:30" s="323" customFormat="1" ht="12" customHeight="1">
      <c r="B7099" s="324"/>
      <c r="C7099" s="325"/>
      <c r="D7099" s="326"/>
      <c r="E7099" s="326"/>
      <c r="F7099" s="326"/>
      <c r="G7099" s="326"/>
      <c r="H7099" s="326"/>
      <c r="P7099" s="318"/>
      <c r="Q7099" s="318"/>
      <c r="R7099" s="318"/>
      <c r="S7099" s="318"/>
      <c r="T7099" s="318"/>
      <c r="U7099" s="318"/>
      <c r="V7099" s="318"/>
      <c r="W7099" s="318"/>
      <c r="X7099" s="318"/>
      <c r="Y7099" s="318"/>
      <c r="Z7099" s="318"/>
      <c r="AA7099" s="318"/>
      <c r="AB7099" s="318"/>
      <c r="AC7099" s="318"/>
      <c r="AD7099" s="318"/>
    </row>
    <row r="7100" spans="2:30" s="323" customFormat="1" ht="12" customHeight="1">
      <c r="B7100" s="324"/>
      <c r="C7100" s="325"/>
      <c r="D7100" s="326"/>
      <c r="E7100" s="326"/>
      <c r="F7100" s="326"/>
      <c r="G7100" s="326"/>
      <c r="H7100" s="326"/>
      <c r="P7100" s="318"/>
      <c r="Q7100" s="318"/>
      <c r="R7100" s="318"/>
      <c r="S7100" s="318"/>
      <c r="T7100" s="318"/>
      <c r="U7100" s="318"/>
      <c r="V7100" s="318"/>
      <c r="W7100" s="318"/>
      <c r="X7100" s="318"/>
      <c r="Y7100" s="318"/>
      <c r="Z7100" s="318"/>
      <c r="AA7100" s="318"/>
      <c r="AB7100" s="318"/>
      <c r="AC7100" s="318"/>
      <c r="AD7100" s="318"/>
    </row>
    <row r="7101" spans="2:30" s="323" customFormat="1" ht="12" customHeight="1">
      <c r="B7101" s="324"/>
      <c r="C7101" s="325"/>
      <c r="D7101" s="326"/>
      <c r="E7101" s="326"/>
      <c r="F7101" s="326"/>
      <c r="G7101" s="326"/>
      <c r="H7101" s="326"/>
      <c r="P7101" s="318"/>
      <c r="Q7101" s="318"/>
      <c r="R7101" s="318"/>
      <c r="S7101" s="318"/>
      <c r="T7101" s="318"/>
      <c r="U7101" s="318"/>
      <c r="V7101" s="318"/>
      <c r="W7101" s="318"/>
      <c r="X7101" s="318"/>
      <c r="Y7101" s="318"/>
      <c r="Z7101" s="318"/>
      <c r="AA7101" s="318"/>
      <c r="AB7101" s="318"/>
      <c r="AC7101" s="318"/>
      <c r="AD7101" s="318"/>
    </row>
    <row r="7102" spans="2:30" s="323" customFormat="1" ht="12" customHeight="1">
      <c r="B7102" s="324"/>
      <c r="C7102" s="325"/>
      <c r="D7102" s="326"/>
      <c r="E7102" s="326"/>
      <c r="F7102" s="326"/>
      <c r="G7102" s="326"/>
      <c r="H7102" s="326"/>
      <c r="P7102" s="318"/>
      <c r="Q7102" s="318"/>
      <c r="R7102" s="318"/>
      <c r="S7102" s="318"/>
      <c r="T7102" s="318"/>
      <c r="U7102" s="318"/>
      <c r="V7102" s="318"/>
      <c r="W7102" s="318"/>
      <c r="X7102" s="318"/>
      <c r="Y7102" s="318"/>
      <c r="Z7102" s="318"/>
      <c r="AA7102" s="318"/>
      <c r="AB7102" s="318"/>
      <c r="AC7102" s="318"/>
      <c r="AD7102" s="318"/>
    </row>
    <row r="7103" spans="2:30" s="323" customFormat="1" ht="12" customHeight="1">
      <c r="B7103" s="324"/>
      <c r="C7103" s="325"/>
      <c r="D7103" s="326"/>
      <c r="E7103" s="326"/>
      <c r="F7103" s="326"/>
      <c r="G7103" s="326"/>
      <c r="H7103" s="326"/>
      <c r="P7103" s="318"/>
      <c r="Q7103" s="318"/>
      <c r="R7103" s="318"/>
      <c r="S7103" s="318"/>
      <c r="T7103" s="318"/>
      <c r="U7103" s="318"/>
      <c r="V7103" s="318"/>
      <c r="W7103" s="318"/>
      <c r="X7103" s="318"/>
      <c r="Y7103" s="318"/>
      <c r="Z7103" s="318"/>
      <c r="AA7103" s="318"/>
      <c r="AB7103" s="318"/>
      <c r="AC7103" s="318"/>
      <c r="AD7103" s="318"/>
    </row>
    <row r="7104" spans="2:30" s="323" customFormat="1" ht="12" customHeight="1">
      <c r="B7104" s="324"/>
      <c r="C7104" s="325"/>
      <c r="D7104" s="326"/>
      <c r="E7104" s="326"/>
      <c r="F7104" s="326"/>
      <c r="G7104" s="326"/>
      <c r="H7104" s="326"/>
      <c r="P7104" s="318"/>
      <c r="Q7104" s="318"/>
      <c r="R7104" s="318"/>
      <c r="S7104" s="318"/>
      <c r="T7104" s="318"/>
      <c r="U7104" s="318"/>
      <c r="V7104" s="318"/>
      <c r="W7104" s="318"/>
      <c r="X7104" s="318"/>
      <c r="Y7104" s="318"/>
      <c r="Z7104" s="318"/>
      <c r="AA7104" s="318"/>
      <c r="AB7104" s="318"/>
      <c r="AC7104" s="318"/>
      <c r="AD7104" s="318"/>
    </row>
    <row r="7105" spans="2:30" s="323" customFormat="1" ht="12" customHeight="1">
      <c r="B7105" s="324"/>
      <c r="C7105" s="325"/>
      <c r="D7105" s="326"/>
      <c r="E7105" s="326"/>
      <c r="F7105" s="326"/>
      <c r="G7105" s="326"/>
      <c r="H7105" s="326"/>
      <c r="P7105" s="318"/>
      <c r="Q7105" s="318"/>
      <c r="R7105" s="318"/>
      <c r="S7105" s="318"/>
      <c r="T7105" s="318"/>
      <c r="U7105" s="318"/>
      <c r="V7105" s="318"/>
      <c r="W7105" s="318"/>
      <c r="X7105" s="318"/>
      <c r="Y7105" s="318"/>
      <c r="Z7105" s="318"/>
      <c r="AA7105" s="318"/>
      <c r="AB7105" s="318"/>
      <c r="AC7105" s="318"/>
      <c r="AD7105" s="318"/>
    </row>
    <row r="7106" spans="2:30" s="323" customFormat="1" ht="12" customHeight="1">
      <c r="B7106" s="324"/>
      <c r="C7106" s="325"/>
      <c r="D7106" s="326"/>
      <c r="E7106" s="326"/>
      <c r="F7106" s="326"/>
      <c r="G7106" s="326"/>
      <c r="H7106" s="326"/>
      <c r="P7106" s="318"/>
      <c r="Q7106" s="318"/>
      <c r="R7106" s="318"/>
      <c r="S7106" s="318"/>
      <c r="T7106" s="318"/>
      <c r="U7106" s="318"/>
      <c r="V7106" s="318"/>
      <c r="W7106" s="318"/>
      <c r="X7106" s="318"/>
      <c r="Y7106" s="318"/>
      <c r="Z7106" s="318"/>
      <c r="AA7106" s="318"/>
      <c r="AB7106" s="318"/>
      <c r="AC7106" s="318"/>
      <c r="AD7106" s="318"/>
    </row>
    <row r="7107" spans="2:30" s="323" customFormat="1" ht="12" customHeight="1">
      <c r="B7107" s="324"/>
      <c r="C7107" s="325"/>
      <c r="D7107" s="326"/>
      <c r="E7107" s="326"/>
      <c r="F7107" s="326"/>
      <c r="G7107" s="326"/>
      <c r="H7107" s="326"/>
      <c r="P7107" s="318"/>
      <c r="Q7107" s="318"/>
      <c r="R7107" s="318"/>
      <c r="S7107" s="318"/>
      <c r="T7107" s="318"/>
      <c r="U7107" s="318"/>
      <c r="V7107" s="318"/>
      <c r="W7107" s="318"/>
      <c r="X7107" s="318"/>
      <c r="Y7107" s="318"/>
      <c r="Z7107" s="318"/>
      <c r="AA7107" s="318"/>
      <c r="AB7107" s="318"/>
      <c r="AC7107" s="318"/>
      <c r="AD7107" s="318"/>
    </row>
    <row r="7108" spans="2:30" s="323" customFormat="1" ht="12" customHeight="1">
      <c r="B7108" s="324"/>
      <c r="C7108" s="325"/>
      <c r="D7108" s="326"/>
      <c r="E7108" s="326"/>
      <c r="F7108" s="326"/>
      <c r="G7108" s="326"/>
      <c r="H7108" s="326"/>
      <c r="P7108" s="318"/>
      <c r="Q7108" s="318"/>
      <c r="R7108" s="318"/>
      <c r="S7108" s="318"/>
      <c r="T7108" s="318"/>
      <c r="U7108" s="318"/>
      <c r="V7108" s="318"/>
      <c r="W7108" s="318"/>
      <c r="X7108" s="318"/>
      <c r="Y7108" s="318"/>
      <c r="Z7108" s="318"/>
      <c r="AA7108" s="318"/>
      <c r="AB7108" s="318"/>
      <c r="AC7108" s="318"/>
      <c r="AD7108" s="318"/>
    </row>
    <row r="7109" spans="2:30" s="323" customFormat="1" ht="12" customHeight="1">
      <c r="B7109" s="324"/>
      <c r="C7109" s="325"/>
      <c r="D7109" s="326"/>
      <c r="E7109" s="326"/>
      <c r="F7109" s="326"/>
      <c r="G7109" s="326"/>
      <c r="H7109" s="326"/>
      <c r="P7109" s="318"/>
      <c r="Q7109" s="318"/>
      <c r="R7109" s="318"/>
      <c r="S7109" s="318"/>
      <c r="T7109" s="318"/>
      <c r="U7109" s="318"/>
      <c r="V7109" s="318"/>
      <c r="W7109" s="318"/>
      <c r="X7109" s="318"/>
      <c r="Y7109" s="318"/>
      <c r="Z7109" s="318"/>
      <c r="AA7109" s="318"/>
      <c r="AB7109" s="318"/>
      <c r="AC7109" s="318"/>
      <c r="AD7109" s="318"/>
    </row>
    <row r="7110" spans="2:30" s="323" customFormat="1" ht="12" customHeight="1">
      <c r="B7110" s="324"/>
      <c r="C7110" s="325"/>
      <c r="D7110" s="326"/>
      <c r="E7110" s="326"/>
      <c r="F7110" s="326"/>
      <c r="G7110" s="326"/>
      <c r="H7110" s="326"/>
      <c r="P7110" s="318"/>
      <c r="Q7110" s="318"/>
      <c r="R7110" s="318"/>
      <c r="S7110" s="318"/>
      <c r="T7110" s="318"/>
      <c r="U7110" s="318"/>
      <c r="V7110" s="318"/>
      <c r="W7110" s="318"/>
      <c r="X7110" s="318"/>
      <c r="Y7110" s="318"/>
      <c r="Z7110" s="318"/>
      <c r="AA7110" s="318"/>
      <c r="AB7110" s="318"/>
      <c r="AC7110" s="318"/>
      <c r="AD7110" s="318"/>
    </row>
    <row r="7111" spans="2:30" s="323" customFormat="1" ht="12" customHeight="1">
      <c r="B7111" s="324"/>
      <c r="C7111" s="325"/>
      <c r="D7111" s="326"/>
      <c r="E7111" s="326"/>
      <c r="F7111" s="326"/>
      <c r="G7111" s="326"/>
      <c r="H7111" s="326"/>
      <c r="P7111" s="318"/>
      <c r="Q7111" s="318"/>
      <c r="R7111" s="318"/>
      <c r="S7111" s="318"/>
      <c r="T7111" s="318"/>
      <c r="U7111" s="318"/>
      <c r="V7111" s="318"/>
      <c r="W7111" s="318"/>
      <c r="X7111" s="318"/>
      <c r="Y7111" s="318"/>
      <c r="Z7111" s="318"/>
      <c r="AA7111" s="318"/>
      <c r="AB7111" s="318"/>
      <c r="AC7111" s="318"/>
      <c r="AD7111" s="318"/>
    </row>
    <row r="7112" spans="2:30" s="323" customFormat="1" ht="12" customHeight="1">
      <c r="B7112" s="324"/>
      <c r="C7112" s="325"/>
      <c r="D7112" s="326"/>
      <c r="E7112" s="326"/>
      <c r="F7112" s="326"/>
      <c r="G7112" s="326"/>
      <c r="H7112" s="326"/>
      <c r="P7112" s="318"/>
      <c r="Q7112" s="318"/>
      <c r="R7112" s="318"/>
      <c r="S7112" s="318"/>
      <c r="T7112" s="318"/>
      <c r="U7112" s="318"/>
      <c r="V7112" s="318"/>
      <c r="W7112" s="318"/>
      <c r="X7112" s="318"/>
      <c r="Y7112" s="318"/>
      <c r="Z7112" s="318"/>
      <c r="AA7112" s="318"/>
      <c r="AB7112" s="318"/>
      <c r="AC7112" s="318"/>
      <c r="AD7112" s="318"/>
    </row>
    <row r="7113" spans="2:30" s="323" customFormat="1" ht="12" customHeight="1">
      <c r="B7113" s="324"/>
      <c r="C7113" s="325"/>
      <c r="D7113" s="326"/>
      <c r="E7113" s="326"/>
      <c r="F7113" s="326"/>
      <c r="G7113" s="326"/>
      <c r="H7113" s="326"/>
      <c r="P7113" s="318"/>
      <c r="Q7113" s="318"/>
      <c r="R7113" s="318"/>
      <c r="S7113" s="318"/>
      <c r="T7113" s="318"/>
      <c r="U7113" s="318"/>
      <c r="V7113" s="318"/>
      <c r="W7113" s="318"/>
      <c r="X7113" s="318"/>
      <c r="Y7113" s="318"/>
      <c r="Z7113" s="318"/>
      <c r="AA7113" s="318"/>
      <c r="AB7113" s="318"/>
      <c r="AC7113" s="318"/>
      <c r="AD7113" s="318"/>
    </row>
    <row r="7114" spans="2:30" s="323" customFormat="1" ht="12" customHeight="1">
      <c r="B7114" s="324"/>
      <c r="C7114" s="325"/>
      <c r="D7114" s="326"/>
      <c r="E7114" s="326"/>
      <c r="F7114" s="326"/>
      <c r="G7114" s="326"/>
      <c r="H7114" s="326"/>
      <c r="P7114" s="318"/>
      <c r="Q7114" s="318"/>
      <c r="R7114" s="318"/>
      <c r="S7114" s="318"/>
      <c r="T7114" s="318"/>
      <c r="U7114" s="318"/>
      <c r="V7114" s="318"/>
      <c r="W7114" s="318"/>
      <c r="X7114" s="318"/>
      <c r="Y7114" s="318"/>
      <c r="Z7114" s="318"/>
      <c r="AA7114" s="318"/>
      <c r="AB7114" s="318"/>
      <c r="AC7114" s="318"/>
      <c r="AD7114" s="318"/>
    </row>
    <row r="7115" spans="2:30" s="323" customFormat="1" ht="12" customHeight="1">
      <c r="B7115" s="324"/>
      <c r="C7115" s="325"/>
      <c r="D7115" s="326"/>
      <c r="E7115" s="326"/>
      <c r="F7115" s="326"/>
      <c r="G7115" s="326"/>
      <c r="H7115" s="326"/>
      <c r="P7115" s="318"/>
      <c r="Q7115" s="318"/>
      <c r="R7115" s="318"/>
      <c r="S7115" s="318"/>
      <c r="T7115" s="318"/>
      <c r="U7115" s="318"/>
      <c r="V7115" s="318"/>
      <c r="W7115" s="318"/>
      <c r="X7115" s="318"/>
      <c r="Y7115" s="318"/>
      <c r="Z7115" s="318"/>
      <c r="AA7115" s="318"/>
      <c r="AB7115" s="318"/>
      <c r="AC7115" s="318"/>
      <c r="AD7115" s="318"/>
    </row>
    <row r="7116" spans="2:30" s="323" customFormat="1" ht="12" customHeight="1">
      <c r="B7116" s="324"/>
      <c r="C7116" s="325"/>
      <c r="D7116" s="326"/>
      <c r="E7116" s="326"/>
      <c r="F7116" s="326"/>
      <c r="G7116" s="326"/>
      <c r="H7116" s="326"/>
      <c r="P7116" s="318"/>
      <c r="Q7116" s="318"/>
      <c r="R7116" s="318"/>
      <c r="S7116" s="318"/>
      <c r="T7116" s="318"/>
      <c r="U7116" s="318"/>
      <c r="V7116" s="318"/>
      <c r="W7116" s="318"/>
      <c r="X7116" s="318"/>
      <c r="Y7116" s="318"/>
      <c r="Z7116" s="318"/>
      <c r="AA7116" s="318"/>
      <c r="AB7116" s="318"/>
      <c r="AC7116" s="318"/>
      <c r="AD7116" s="318"/>
    </row>
    <row r="7117" spans="2:30" s="323" customFormat="1" ht="12" customHeight="1">
      <c r="B7117" s="324"/>
      <c r="C7117" s="325"/>
      <c r="D7117" s="326"/>
      <c r="E7117" s="326"/>
      <c r="F7117" s="326"/>
      <c r="G7117" s="326"/>
      <c r="H7117" s="326"/>
      <c r="P7117" s="318"/>
      <c r="Q7117" s="318"/>
      <c r="R7117" s="318"/>
      <c r="S7117" s="318"/>
      <c r="T7117" s="318"/>
      <c r="U7117" s="318"/>
      <c r="V7117" s="318"/>
      <c r="W7117" s="318"/>
      <c r="X7117" s="318"/>
      <c r="Y7117" s="318"/>
      <c r="Z7117" s="318"/>
      <c r="AA7117" s="318"/>
      <c r="AB7117" s="318"/>
      <c r="AC7117" s="318"/>
      <c r="AD7117" s="318"/>
    </row>
    <row r="7118" spans="2:30" s="323" customFormat="1" ht="12" customHeight="1">
      <c r="B7118" s="324"/>
      <c r="C7118" s="325"/>
      <c r="D7118" s="326"/>
      <c r="E7118" s="326"/>
      <c r="F7118" s="326"/>
      <c r="G7118" s="326"/>
      <c r="H7118" s="326"/>
      <c r="P7118" s="318"/>
      <c r="Q7118" s="318"/>
      <c r="R7118" s="318"/>
      <c r="S7118" s="318"/>
      <c r="T7118" s="318"/>
      <c r="U7118" s="318"/>
      <c r="V7118" s="318"/>
      <c r="W7118" s="318"/>
      <c r="X7118" s="318"/>
      <c r="Y7118" s="318"/>
      <c r="Z7118" s="318"/>
      <c r="AA7118" s="318"/>
      <c r="AB7118" s="318"/>
      <c r="AC7118" s="318"/>
      <c r="AD7118" s="318"/>
    </row>
    <row r="7119" spans="2:30" s="323" customFormat="1" ht="12" customHeight="1">
      <c r="B7119" s="324"/>
      <c r="C7119" s="325"/>
      <c r="D7119" s="326"/>
      <c r="E7119" s="326"/>
      <c r="F7119" s="326"/>
      <c r="G7119" s="326"/>
      <c r="H7119" s="326"/>
      <c r="P7119" s="318"/>
      <c r="Q7119" s="318"/>
      <c r="R7119" s="318"/>
      <c r="S7119" s="318"/>
      <c r="T7119" s="318"/>
      <c r="U7119" s="318"/>
      <c r="V7119" s="318"/>
      <c r="W7119" s="318"/>
      <c r="X7119" s="318"/>
      <c r="Y7119" s="318"/>
      <c r="Z7119" s="318"/>
      <c r="AA7119" s="318"/>
      <c r="AB7119" s="318"/>
      <c r="AC7119" s="318"/>
      <c r="AD7119" s="318"/>
    </row>
    <row r="7120" spans="2:30" s="323" customFormat="1" ht="12" customHeight="1">
      <c r="B7120" s="324"/>
      <c r="C7120" s="325"/>
      <c r="D7120" s="326"/>
      <c r="E7120" s="326"/>
      <c r="F7120" s="326"/>
      <c r="G7120" s="326"/>
      <c r="H7120" s="326"/>
      <c r="P7120" s="318"/>
      <c r="Q7120" s="318"/>
      <c r="R7120" s="318"/>
      <c r="S7120" s="318"/>
      <c r="T7120" s="318"/>
      <c r="U7120" s="318"/>
      <c r="V7120" s="318"/>
      <c r="W7120" s="318"/>
      <c r="X7120" s="318"/>
      <c r="Y7120" s="318"/>
      <c r="Z7120" s="318"/>
      <c r="AA7120" s="318"/>
      <c r="AB7120" s="318"/>
      <c r="AC7120" s="318"/>
      <c r="AD7120" s="318"/>
    </row>
    <row r="7121" spans="2:30" s="323" customFormat="1" ht="12" customHeight="1">
      <c r="B7121" s="324"/>
      <c r="C7121" s="325"/>
      <c r="D7121" s="326"/>
      <c r="E7121" s="326"/>
      <c r="F7121" s="326"/>
      <c r="G7121" s="326"/>
      <c r="H7121" s="326"/>
      <c r="P7121" s="318"/>
      <c r="Q7121" s="318"/>
      <c r="R7121" s="318"/>
      <c r="S7121" s="318"/>
      <c r="T7121" s="318"/>
      <c r="U7121" s="318"/>
      <c r="V7121" s="318"/>
      <c r="W7121" s="318"/>
      <c r="X7121" s="318"/>
      <c r="Y7121" s="318"/>
      <c r="Z7121" s="318"/>
      <c r="AA7121" s="318"/>
      <c r="AB7121" s="318"/>
      <c r="AC7121" s="318"/>
      <c r="AD7121" s="318"/>
    </row>
    <row r="7122" spans="2:30" s="323" customFormat="1" ht="12" customHeight="1">
      <c r="B7122" s="324"/>
      <c r="C7122" s="325"/>
      <c r="D7122" s="326"/>
      <c r="E7122" s="326"/>
      <c r="F7122" s="326"/>
      <c r="G7122" s="326"/>
      <c r="H7122" s="326"/>
      <c r="P7122" s="318"/>
      <c r="Q7122" s="318"/>
      <c r="R7122" s="318"/>
      <c r="S7122" s="318"/>
      <c r="T7122" s="318"/>
      <c r="U7122" s="318"/>
      <c r="V7122" s="318"/>
      <c r="W7122" s="318"/>
      <c r="X7122" s="318"/>
      <c r="Y7122" s="318"/>
      <c r="Z7122" s="318"/>
      <c r="AA7122" s="318"/>
      <c r="AB7122" s="318"/>
      <c r="AC7122" s="318"/>
      <c r="AD7122" s="318"/>
    </row>
    <row r="7123" spans="2:30" s="323" customFormat="1" ht="12" customHeight="1">
      <c r="B7123" s="324"/>
      <c r="C7123" s="325"/>
      <c r="D7123" s="326"/>
      <c r="E7123" s="326"/>
      <c r="F7123" s="326"/>
      <c r="G7123" s="326"/>
      <c r="H7123" s="326"/>
      <c r="P7123" s="318"/>
      <c r="Q7123" s="318"/>
      <c r="R7123" s="318"/>
      <c r="S7123" s="318"/>
      <c r="T7123" s="318"/>
      <c r="U7123" s="318"/>
      <c r="V7123" s="318"/>
      <c r="W7123" s="318"/>
      <c r="X7123" s="318"/>
      <c r="Y7123" s="318"/>
      <c r="Z7123" s="318"/>
      <c r="AA7123" s="318"/>
      <c r="AB7123" s="318"/>
      <c r="AC7123" s="318"/>
      <c r="AD7123" s="318"/>
    </row>
    <row r="7124" spans="2:30" s="323" customFormat="1" ht="12" customHeight="1">
      <c r="B7124" s="324"/>
      <c r="C7124" s="325"/>
      <c r="D7124" s="326"/>
      <c r="E7124" s="326"/>
      <c r="F7124" s="326"/>
      <c r="G7124" s="326"/>
      <c r="H7124" s="326"/>
      <c r="P7124" s="318"/>
      <c r="Q7124" s="318"/>
      <c r="R7124" s="318"/>
      <c r="S7124" s="318"/>
      <c r="T7124" s="318"/>
      <c r="U7124" s="318"/>
      <c r="V7124" s="318"/>
      <c r="W7124" s="318"/>
      <c r="X7124" s="318"/>
      <c r="Y7124" s="318"/>
      <c r="Z7124" s="318"/>
      <c r="AA7124" s="318"/>
      <c r="AB7124" s="318"/>
      <c r="AC7124" s="318"/>
      <c r="AD7124" s="318"/>
    </row>
    <row r="7125" spans="2:30" s="323" customFormat="1" ht="12" customHeight="1">
      <c r="B7125" s="324"/>
      <c r="C7125" s="325"/>
      <c r="D7125" s="326"/>
      <c r="E7125" s="326"/>
      <c r="F7125" s="326"/>
      <c r="G7125" s="326"/>
      <c r="H7125" s="326"/>
      <c r="P7125" s="318"/>
      <c r="Q7125" s="318"/>
      <c r="R7125" s="318"/>
      <c r="S7125" s="318"/>
      <c r="T7125" s="318"/>
      <c r="U7125" s="318"/>
      <c r="V7125" s="318"/>
      <c r="W7125" s="318"/>
      <c r="X7125" s="318"/>
      <c r="Y7125" s="318"/>
      <c r="Z7125" s="318"/>
      <c r="AA7125" s="318"/>
      <c r="AB7125" s="318"/>
      <c r="AC7125" s="318"/>
      <c r="AD7125" s="318"/>
    </row>
    <row r="7126" spans="2:30" s="323" customFormat="1" ht="12" customHeight="1">
      <c r="B7126" s="324"/>
      <c r="C7126" s="325"/>
      <c r="D7126" s="326"/>
      <c r="E7126" s="326"/>
      <c r="F7126" s="326"/>
      <c r="G7126" s="326"/>
      <c r="H7126" s="326"/>
      <c r="P7126" s="318"/>
      <c r="Q7126" s="318"/>
      <c r="R7126" s="318"/>
      <c r="S7126" s="318"/>
      <c r="T7126" s="318"/>
      <c r="U7126" s="318"/>
      <c r="V7126" s="318"/>
      <c r="W7126" s="318"/>
      <c r="X7126" s="318"/>
      <c r="Y7126" s="318"/>
      <c r="Z7126" s="318"/>
      <c r="AA7126" s="318"/>
      <c r="AB7126" s="318"/>
      <c r="AC7126" s="318"/>
      <c r="AD7126" s="318"/>
    </row>
    <row r="7127" spans="2:30" s="323" customFormat="1" ht="12" customHeight="1">
      <c r="B7127" s="324"/>
      <c r="C7127" s="325"/>
      <c r="D7127" s="326"/>
      <c r="E7127" s="326"/>
      <c r="F7127" s="326"/>
      <c r="G7127" s="326"/>
      <c r="H7127" s="326"/>
      <c r="P7127" s="318"/>
      <c r="Q7127" s="318"/>
      <c r="R7127" s="318"/>
      <c r="S7127" s="318"/>
      <c r="T7127" s="318"/>
      <c r="U7127" s="318"/>
      <c r="V7127" s="318"/>
      <c r="W7127" s="318"/>
      <c r="X7127" s="318"/>
      <c r="Y7127" s="318"/>
      <c r="Z7127" s="318"/>
      <c r="AA7127" s="318"/>
      <c r="AB7127" s="318"/>
      <c r="AC7127" s="318"/>
      <c r="AD7127" s="318"/>
    </row>
    <row r="7128" spans="2:30" s="323" customFormat="1" ht="12" customHeight="1">
      <c r="B7128" s="324"/>
      <c r="C7128" s="325"/>
      <c r="D7128" s="326"/>
      <c r="E7128" s="326"/>
      <c r="F7128" s="326"/>
      <c r="G7128" s="326"/>
      <c r="H7128" s="326"/>
      <c r="P7128" s="318"/>
      <c r="Q7128" s="318"/>
      <c r="R7128" s="318"/>
      <c r="S7128" s="318"/>
      <c r="T7128" s="318"/>
      <c r="U7128" s="318"/>
      <c r="V7128" s="318"/>
      <c r="W7128" s="318"/>
      <c r="X7128" s="318"/>
      <c r="Y7128" s="318"/>
      <c r="Z7128" s="318"/>
      <c r="AA7128" s="318"/>
      <c r="AB7128" s="318"/>
      <c r="AC7128" s="318"/>
      <c r="AD7128" s="318"/>
    </row>
    <row r="7129" spans="2:30" s="323" customFormat="1" ht="12" customHeight="1">
      <c r="B7129" s="324"/>
      <c r="C7129" s="325"/>
      <c r="D7129" s="326"/>
      <c r="E7129" s="326"/>
      <c r="F7129" s="326"/>
      <c r="G7129" s="326"/>
      <c r="H7129" s="326"/>
      <c r="P7129" s="318"/>
      <c r="Q7129" s="318"/>
      <c r="R7129" s="318"/>
      <c r="S7129" s="318"/>
      <c r="T7129" s="318"/>
      <c r="U7129" s="318"/>
      <c r="V7129" s="318"/>
      <c r="W7129" s="318"/>
      <c r="X7129" s="318"/>
      <c r="Y7129" s="318"/>
      <c r="Z7129" s="318"/>
      <c r="AA7129" s="318"/>
      <c r="AB7129" s="318"/>
      <c r="AC7129" s="318"/>
      <c r="AD7129" s="318"/>
    </row>
    <row r="7130" spans="2:30" s="323" customFormat="1" ht="12" customHeight="1">
      <c r="B7130" s="324"/>
      <c r="C7130" s="325"/>
      <c r="D7130" s="326"/>
      <c r="E7130" s="326"/>
      <c r="F7130" s="326"/>
      <c r="G7130" s="326"/>
      <c r="H7130" s="326"/>
      <c r="P7130" s="318"/>
      <c r="Q7130" s="318"/>
      <c r="R7130" s="318"/>
      <c r="S7130" s="318"/>
      <c r="T7130" s="318"/>
      <c r="U7130" s="318"/>
      <c r="V7130" s="318"/>
      <c r="W7130" s="318"/>
      <c r="X7130" s="318"/>
      <c r="Y7130" s="318"/>
      <c r="Z7130" s="318"/>
      <c r="AA7130" s="318"/>
      <c r="AB7130" s="318"/>
      <c r="AC7130" s="318"/>
      <c r="AD7130" s="318"/>
    </row>
    <row r="7131" spans="2:30" s="323" customFormat="1" ht="12" customHeight="1">
      <c r="B7131" s="324"/>
      <c r="C7131" s="325"/>
      <c r="D7131" s="326"/>
      <c r="E7131" s="326"/>
      <c r="F7131" s="326"/>
      <c r="G7131" s="326"/>
      <c r="H7131" s="326"/>
      <c r="P7131" s="318"/>
      <c r="Q7131" s="318"/>
      <c r="R7131" s="318"/>
      <c r="S7131" s="318"/>
      <c r="T7131" s="318"/>
      <c r="U7131" s="318"/>
      <c r="V7131" s="318"/>
      <c r="W7131" s="318"/>
      <c r="X7131" s="318"/>
      <c r="Y7131" s="318"/>
      <c r="Z7131" s="318"/>
      <c r="AA7131" s="318"/>
      <c r="AB7131" s="318"/>
      <c r="AC7131" s="318"/>
      <c r="AD7131" s="318"/>
    </row>
    <row r="7132" spans="2:30" s="323" customFormat="1" ht="12" customHeight="1">
      <c r="B7132" s="324"/>
      <c r="C7132" s="325"/>
      <c r="D7132" s="326"/>
      <c r="E7132" s="326"/>
      <c r="F7132" s="326"/>
      <c r="G7132" s="326"/>
      <c r="H7132" s="326"/>
      <c r="P7132" s="318"/>
      <c r="Q7132" s="318"/>
      <c r="R7132" s="318"/>
      <c r="S7132" s="318"/>
      <c r="T7132" s="318"/>
      <c r="U7132" s="318"/>
      <c r="V7132" s="318"/>
      <c r="W7132" s="318"/>
      <c r="X7132" s="318"/>
      <c r="Y7132" s="318"/>
      <c r="Z7132" s="318"/>
      <c r="AA7132" s="318"/>
      <c r="AB7132" s="318"/>
      <c r="AC7132" s="318"/>
      <c r="AD7132" s="318"/>
    </row>
    <row r="7133" spans="2:30" s="323" customFormat="1" ht="12" customHeight="1">
      <c r="B7133" s="324"/>
      <c r="C7133" s="325"/>
      <c r="D7133" s="326"/>
      <c r="E7133" s="326"/>
      <c r="F7133" s="326"/>
      <c r="G7133" s="326"/>
      <c r="H7133" s="326"/>
      <c r="P7133" s="318"/>
      <c r="Q7133" s="318"/>
      <c r="R7133" s="318"/>
      <c r="S7133" s="318"/>
      <c r="T7133" s="318"/>
      <c r="U7133" s="318"/>
      <c r="V7133" s="318"/>
      <c r="W7133" s="318"/>
      <c r="X7133" s="318"/>
      <c r="Y7133" s="318"/>
      <c r="Z7133" s="318"/>
      <c r="AA7133" s="318"/>
      <c r="AB7133" s="318"/>
      <c r="AC7133" s="318"/>
      <c r="AD7133" s="318"/>
    </row>
    <row r="7134" spans="2:30" s="323" customFormat="1" ht="12" customHeight="1">
      <c r="B7134" s="324"/>
      <c r="C7134" s="325"/>
      <c r="D7134" s="326"/>
      <c r="E7134" s="326"/>
      <c r="F7134" s="326"/>
      <c r="G7134" s="326"/>
      <c r="H7134" s="326"/>
      <c r="P7134" s="318"/>
      <c r="Q7134" s="318"/>
      <c r="R7134" s="318"/>
      <c r="S7134" s="318"/>
      <c r="T7134" s="318"/>
      <c r="U7134" s="318"/>
      <c r="V7134" s="318"/>
      <c r="W7134" s="318"/>
      <c r="X7134" s="318"/>
      <c r="Y7134" s="318"/>
      <c r="Z7134" s="318"/>
      <c r="AA7134" s="318"/>
      <c r="AB7134" s="318"/>
      <c r="AC7134" s="318"/>
      <c r="AD7134" s="318"/>
    </row>
    <row r="7135" spans="2:30" s="323" customFormat="1" ht="12" customHeight="1">
      <c r="B7135" s="324"/>
      <c r="C7135" s="325"/>
      <c r="D7135" s="326"/>
      <c r="E7135" s="326"/>
      <c r="F7135" s="326"/>
      <c r="G7135" s="326"/>
      <c r="H7135" s="326"/>
      <c r="P7135" s="318"/>
      <c r="Q7135" s="318"/>
      <c r="R7135" s="318"/>
      <c r="S7135" s="318"/>
      <c r="T7135" s="318"/>
      <c r="U7135" s="318"/>
      <c r="V7135" s="318"/>
      <c r="W7135" s="318"/>
      <c r="X7135" s="318"/>
      <c r="Y7135" s="318"/>
      <c r="Z7135" s="318"/>
      <c r="AA7135" s="318"/>
      <c r="AB7135" s="318"/>
      <c r="AC7135" s="318"/>
      <c r="AD7135" s="318"/>
    </row>
    <row r="7136" spans="2:30" s="323" customFormat="1" ht="12" customHeight="1">
      <c r="B7136" s="324"/>
      <c r="C7136" s="325"/>
      <c r="D7136" s="326"/>
      <c r="E7136" s="326"/>
      <c r="F7136" s="326"/>
      <c r="G7136" s="326"/>
      <c r="H7136" s="326"/>
      <c r="P7136" s="318"/>
      <c r="Q7136" s="318"/>
      <c r="R7136" s="318"/>
      <c r="S7136" s="318"/>
      <c r="T7136" s="318"/>
      <c r="U7136" s="318"/>
      <c r="V7136" s="318"/>
      <c r="W7136" s="318"/>
      <c r="X7136" s="318"/>
      <c r="Y7136" s="318"/>
      <c r="Z7136" s="318"/>
      <c r="AA7136" s="318"/>
      <c r="AB7136" s="318"/>
      <c r="AC7136" s="318"/>
      <c r="AD7136" s="318"/>
    </row>
    <row r="7137" spans="2:30" s="323" customFormat="1" ht="12" customHeight="1">
      <c r="B7137" s="324"/>
      <c r="C7137" s="325"/>
      <c r="D7137" s="326"/>
      <c r="E7137" s="326"/>
      <c r="F7137" s="326"/>
      <c r="G7137" s="326"/>
      <c r="H7137" s="326"/>
      <c r="P7137" s="318"/>
      <c r="Q7137" s="318"/>
      <c r="R7137" s="318"/>
      <c r="S7137" s="318"/>
      <c r="T7137" s="318"/>
      <c r="U7137" s="318"/>
      <c r="V7137" s="318"/>
      <c r="W7137" s="318"/>
      <c r="X7137" s="318"/>
      <c r="Y7137" s="318"/>
      <c r="Z7137" s="318"/>
      <c r="AA7137" s="318"/>
      <c r="AB7137" s="318"/>
      <c r="AC7137" s="318"/>
      <c r="AD7137" s="318"/>
    </row>
    <row r="7138" spans="2:30" s="323" customFormat="1" ht="12" customHeight="1">
      <c r="B7138" s="324"/>
      <c r="C7138" s="325"/>
      <c r="D7138" s="326"/>
      <c r="E7138" s="326"/>
      <c r="F7138" s="326"/>
      <c r="G7138" s="326"/>
      <c r="H7138" s="326"/>
      <c r="P7138" s="318"/>
      <c r="Q7138" s="318"/>
      <c r="R7138" s="318"/>
      <c r="S7138" s="318"/>
      <c r="T7138" s="318"/>
      <c r="U7138" s="318"/>
      <c r="V7138" s="318"/>
      <c r="W7138" s="318"/>
      <c r="X7138" s="318"/>
      <c r="Y7138" s="318"/>
      <c r="Z7138" s="318"/>
      <c r="AA7138" s="318"/>
      <c r="AB7138" s="318"/>
      <c r="AC7138" s="318"/>
      <c r="AD7138" s="318"/>
    </row>
    <row r="7139" spans="2:30" s="323" customFormat="1" ht="12" customHeight="1">
      <c r="B7139" s="324"/>
      <c r="C7139" s="325"/>
      <c r="D7139" s="326"/>
      <c r="E7139" s="326"/>
      <c r="F7139" s="326"/>
      <c r="G7139" s="326"/>
      <c r="H7139" s="326"/>
      <c r="P7139" s="318"/>
      <c r="Q7139" s="318"/>
      <c r="R7139" s="318"/>
      <c r="S7139" s="318"/>
      <c r="T7139" s="318"/>
      <c r="U7139" s="318"/>
      <c r="V7139" s="318"/>
      <c r="W7139" s="318"/>
      <c r="X7139" s="318"/>
      <c r="Y7139" s="318"/>
      <c r="Z7139" s="318"/>
      <c r="AA7139" s="318"/>
      <c r="AB7139" s="318"/>
      <c r="AC7139" s="318"/>
      <c r="AD7139" s="318"/>
    </row>
    <row r="7140" spans="2:30" s="323" customFormat="1" ht="12" customHeight="1">
      <c r="B7140" s="324"/>
      <c r="C7140" s="325"/>
      <c r="D7140" s="326"/>
      <c r="E7140" s="326"/>
      <c r="F7140" s="326"/>
      <c r="G7140" s="326"/>
      <c r="H7140" s="326"/>
      <c r="P7140" s="318"/>
      <c r="Q7140" s="318"/>
      <c r="R7140" s="318"/>
      <c r="S7140" s="318"/>
      <c r="T7140" s="318"/>
      <c r="U7140" s="318"/>
      <c r="V7140" s="318"/>
      <c r="W7140" s="318"/>
      <c r="X7140" s="318"/>
      <c r="Y7140" s="318"/>
      <c r="Z7140" s="318"/>
      <c r="AA7140" s="318"/>
      <c r="AB7140" s="318"/>
      <c r="AC7140" s="318"/>
      <c r="AD7140" s="318"/>
    </row>
    <row r="7141" spans="2:30" s="323" customFormat="1" ht="12" customHeight="1">
      <c r="B7141" s="324"/>
      <c r="C7141" s="325"/>
      <c r="D7141" s="326"/>
      <c r="E7141" s="326"/>
      <c r="F7141" s="326"/>
      <c r="G7141" s="326"/>
      <c r="H7141" s="326"/>
      <c r="P7141" s="318"/>
      <c r="Q7141" s="318"/>
      <c r="R7141" s="318"/>
      <c r="S7141" s="318"/>
      <c r="T7141" s="318"/>
      <c r="U7141" s="318"/>
      <c r="V7141" s="318"/>
      <c r="W7141" s="318"/>
      <c r="X7141" s="318"/>
      <c r="Y7141" s="318"/>
      <c r="Z7141" s="318"/>
      <c r="AA7141" s="318"/>
      <c r="AB7141" s="318"/>
      <c r="AC7141" s="318"/>
      <c r="AD7141" s="318"/>
    </row>
    <row r="7142" spans="2:30" s="323" customFormat="1" ht="12" customHeight="1">
      <c r="B7142" s="324"/>
      <c r="C7142" s="325"/>
      <c r="D7142" s="326"/>
      <c r="E7142" s="326"/>
      <c r="F7142" s="326"/>
      <c r="G7142" s="326"/>
      <c r="H7142" s="326"/>
      <c r="P7142" s="318"/>
      <c r="Q7142" s="318"/>
      <c r="R7142" s="318"/>
      <c r="S7142" s="318"/>
      <c r="T7142" s="318"/>
      <c r="U7142" s="318"/>
      <c r="V7142" s="318"/>
      <c r="W7142" s="318"/>
      <c r="X7142" s="318"/>
      <c r="Y7142" s="318"/>
      <c r="Z7142" s="318"/>
      <c r="AA7142" s="318"/>
      <c r="AB7142" s="318"/>
      <c r="AC7142" s="318"/>
      <c r="AD7142" s="318"/>
    </row>
    <row r="7143" spans="2:30" s="323" customFormat="1" ht="12" customHeight="1">
      <c r="B7143" s="324"/>
      <c r="C7143" s="325"/>
      <c r="D7143" s="326"/>
      <c r="E7143" s="326"/>
      <c r="F7143" s="326"/>
      <c r="G7143" s="326"/>
      <c r="H7143" s="326"/>
      <c r="P7143" s="318"/>
      <c r="Q7143" s="318"/>
      <c r="R7143" s="318"/>
      <c r="S7143" s="318"/>
      <c r="T7143" s="318"/>
      <c r="U7143" s="318"/>
      <c r="V7143" s="318"/>
      <c r="W7143" s="318"/>
      <c r="X7143" s="318"/>
      <c r="Y7143" s="318"/>
      <c r="Z7143" s="318"/>
      <c r="AA7143" s="318"/>
      <c r="AB7143" s="318"/>
      <c r="AC7143" s="318"/>
      <c r="AD7143" s="318"/>
    </row>
    <row r="7144" spans="2:30" s="323" customFormat="1" ht="12" customHeight="1">
      <c r="B7144" s="324"/>
      <c r="C7144" s="325"/>
      <c r="D7144" s="326"/>
      <c r="E7144" s="326"/>
      <c r="F7144" s="326"/>
      <c r="G7144" s="326"/>
      <c r="H7144" s="326"/>
      <c r="P7144" s="318"/>
      <c r="Q7144" s="318"/>
      <c r="R7144" s="318"/>
      <c r="S7144" s="318"/>
      <c r="T7144" s="318"/>
      <c r="U7144" s="318"/>
      <c r="V7144" s="318"/>
      <c r="W7144" s="318"/>
      <c r="X7144" s="318"/>
      <c r="Y7144" s="318"/>
      <c r="Z7144" s="318"/>
      <c r="AA7144" s="318"/>
      <c r="AB7144" s="318"/>
      <c r="AC7144" s="318"/>
      <c r="AD7144" s="318"/>
    </row>
    <row r="7145" spans="2:30" s="323" customFormat="1" ht="12" customHeight="1">
      <c r="B7145" s="324"/>
      <c r="C7145" s="325"/>
      <c r="D7145" s="326"/>
      <c r="E7145" s="326"/>
      <c r="F7145" s="326"/>
      <c r="G7145" s="326"/>
      <c r="H7145" s="326"/>
      <c r="P7145" s="318"/>
      <c r="Q7145" s="318"/>
      <c r="R7145" s="318"/>
      <c r="S7145" s="318"/>
      <c r="T7145" s="318"/>
      <c r="U7145" s="318"/>
      <c r="V7145" s="318"/>
      <c r="W7145" s="318"/>
      <c r="X7145" s="318"/>
      <c r="Y7145" s="318"/>
      <c r="Z7145" s="318"/>
      <c r="AA7145" s="318"/>
      <c r="AB7145" s="318"/>
      <c r="AC7145" s="318"/>
      <c r="AD7145" s="318"/>
    </row>
    <row r="7146" spans="2:30" s="323" customFormat="1" ht="12" customHeight="1">
      <c r="B7146" s="324"/>
      <c r="C7146" s="325"/>
      <c r="D7146" s="326"/>
      <c r="E7146" s="326"/>
      <c r="F7146" s="326"/>
      <c r="G7146" s="326"/>
      <c r="H7146" s="326"/>
      <c r="P7146" s="318"/>
      <c r="Q7146" s="318"/>
      <c r="R7146" s="318"/>
      <c r="S7146" s="318"/>
      <c r="T7146" s="318"/>
      <c r="U7146" s="318"/>
      <c r="V7146" s="318"/>
      <c r="W7146" s="318"/>
      <c r="X7146" s="318"/>
      <c r="Y7146" s="318"/>
      <c r="Z7146" s="318"/>
      <c r="AA7146" s="318"/>
      <c r="AB7146" s="318"/>
      <c r="AC7146" s="318"/>
      <c r="AD7146" s="318"/>
    </row>
    <row r="7147" spans="2:30" s="323" customFormat="1" ht="12" customHeight="1">
      <c r="B7147" s="324"/>
      <c r="C7147" s="325"/>
      <c r="D7147" s="326"/>
      <c r="E7147" s="326"/>
      <c r="F7147" s="326"/>
      <c r="G7147" s="326"/>
      <c r="H7147" s="326"/>
      <c r="P7147" s="318"/>
      <c r="Q7147" s="318"/>
      <c r="R7147" s="318"/>
      <c r="S7147" s="318"/>
      <c r="T7147" s="318"/>
      <c r="U7147" s="318"/>
      <c r="V7147" s="318"/>
      <c r="W7147" s="318"/>
      <c r="X7147" s="318"/>
      <c r="Y7147" s="318"/>
      <c r="Z7147" s="318"/>
      <c r="AA7147" s="318"/>
      <c r="AB7147" s="318"/>
      <c r="AC7147" s="318"/>
      <c r="AD7147" s="318"/>
    </row>
    <row r="7148" spans="2:30" s="323" customFormat="1" ht="12" customHeight="1">
      <c r="B7148" s="324"/>
      <c r="C7148" s="325"/>
      <c r="D7148" s="326"/>
      <c r="E7148" s="326"/>
      <c r="F7148" s="326"/>
      <c r="G7148" s="326"/>
      <c r="H7148" s="326"/>
      <c r="P7148" s="318"/>
      <c r="Q7148" s="318"/>
      <c r="R7148" s="318"/>
      <c r="S7148" s="318"/>
      <c r="T7148" s="318"/>
      <c r="U7148" s="318"/>
      <c r="V7148" s="318"/>
      <c r="W7148" s="318"/>
      <c r="X7148" s="318"/>
      <c r="Y7148" s="318"/>
      <c r="Z7148" s="318"/>
      <c r="AA7148" s="318"/>
      <c r="AB7148" s="318"/>
      <c r="AC7148" s="318"/>
      <c r="AD7148" s="318"/>
    </row>
    <row r="7149" spans="2:30" s="323" customFormat="1" ht="12" customHeight="1">
      <c r="B7149" s="324"/>
      <c r="C7149" s="325"/>
      <c r="D7149" s="326"/>
      <c r="E7149" s="326"/>
      <c r="F7149" s="326"/>
      <c r="G7149" s="326"/>
      <c r="H7149" s="326"/>
      <c r="P7149" s="318"/>
      <c r="Q7149" s="318"/>
      <c r="R7149" s="318"/>
      <c r="S7149" s="318"/>
      <c r="T7149" s="318"/>
      <c r="U7149" s="318"/>
      <c r="V7149" s="318"/>
      <c r="W7149" s="318"/>
      <c r="X7149" s="318"/>
      <c r="Y7149" s="318"/>
      <c r="Z7149" s="318"/>
      <c r="AA7149" s="318"/>
      <c r="AB7149" s="318"/>
      <c r="AC7149" s="318"/>
      <c r="AD7149" s="318"/>
    </row>
    <row r="7150" spans="2:30" s="323" customFormat="1" ht="12" customHeight="1">
      <c r="B7150" s="324"/>
      <c r="C7150" s="325"/>
      <c r="D7150" s="326"/>
      <c r="E7150" s="326"/>
      <c r="F7150" s="326"/>
      <c r="G7150" s="326"/>
      <c r="H7150" s="326"/>
      <c r="P7150" s="318"/>
      <c r="Q7150" s="318"/>
      <c r="R7150" s="318"/>
      <c r="S7150" s="318"/>
      <c r="T7150" s="318"/>
      <c r="U7150" s="318"/>
      <c r="V7150" s="318"/>
      <c r="W7150" s="318"/>
      <c r="X7150" s="318"/>
      <c r="Y7150" s="318"/>
      <c r="Z7150" s="318"/>
      <c r="AA7150" s="318"/>
      <c r="AB7150" s="318"/>
      <c r="AC7150" s="318"/>
      <c r="AD7150" s="318"/>
    </row>
    <row r="7151" spans="2:30" s="323" customFormat="1" ht="12" customHeight="1">
      <c r="B7151" s="324"/>
      <c r="C7151" s="325"/>
      <c r="D7151" s="326"/>
      <c r="E7151" s="326"/>
      <c r="F7151" s="326"/>
      <c r="G7151" s="326"/>
      <c r="H7151" s="326"/>
      <c r="P7151" s="318"/>
      <c r="Q7151" s="318"/>
      <c r="R7151" s="318"/>
      <c r="S7151" s="318"/>
      <c r="T7151" s="318"/>
      <c r="U7151" s="318"/>
      <c r="V7151" s="318"/>
      <c r="W7151" s="318"/>
      <c r="X7151" s="318"/>
      <c r="Y7151" s="318"/>
      <c r="Z7151" s="318"/>
      <c r="AA7151" s="318"/>
      <c r="AB7151" s="318"/>
      <c r="AC7151" s="318"/>
      <c r="AD7151" s="318"/>
    </row>
    <row r="7152" spans="2:30" s="323" customFormat="1" ht="12" customHeight="1">
      <c r="B7152" s="324"/>
      <c r="C7152" s="325"/>
      <c r="D7152" s="326"/>
      <c r="E7152" s="326"/>
      <c r="F7152" s="326"/>
      <c r="G7152" s="326"/>
      <c r="H7152" s="326"/>
      <c r="P7152" s="318"/>
      <c r="Q7152" s="318"/>
      <c r="R7152" s="318"/>
      <c r="S7152" s="318"/>
      <c r="T7152" s="318"/>
      <c r="U7152" s="318"/>
      <c r="V7152" s="318"/>
      <c r="W7152" s="318"/>
      <c r="X7152" s="318"/>
      <c r="Y7152" s="318"/>
      <c r="Z7152" s="318"/>
      <c r="AA7152" s="318"/>
      <c r="AB7152" s="318"/>
      <c r="AC7152" s="318"/>
      <c r="AD7152" s="318"/>
    </row>
    <row r="7153" spans="2:30" s="323" customFormat="1" ht="12" customHeight="1">
      <c r="B7153" s="324"/>
      <c r="C7153" s="325"/>
      <c r="D7153" s="326"/>
      <c r="E7153" s="326"/>
      <c r="F7153" s="326"/>
      <c r="G7153" s="326"/>
      <c r="H7153" s="326"/>
      <c r="P7153" s="318"/>
      <c r="Q7153" s="318"/>
      <c r="R7153" s="318"/>
      <c r="S7153" s="318"/>
      <c r="T7153" s="318"/>
      <c r="U7153" s="318"/>
      <c r="V7153" s="318"/>
      <c r="W7153" s="318"/>
      <c r="X7153" s="318"/>
      <c r="Y7153" s="318"/>
      <c r="Z7153" s="318"/>
      <c r="AA7153" s="318"/>
      <c r="AB7153" s="318"/>
      <c r="AC7153" s="318"/>
      <c r="AD7153" s="318"/>
    </row>
    <row r="7154" spans="2:30" s="323" customFormat="1" ht="12" customHeight="1">
      <c r="B7154" s="324"/>
      <c r="C7154" s="325"/>
      <c r="D7154" s="326"/>
      <c r="E7154" s="326"/>
      <c r="F7154" s="326"/>
      <c r="G7154" s="326"/>
      <c r="H7154" s="326"/>
      <c r="P7154" s="318"/>
      <c r="Q7154" s="318"/>
      <c r="R7154" s="318"/>
      <c r="S7154" s="318"/>
      <c r="T7154" s="318"/>
      <c r="U7154" s="318"/>
      <c r="V7154" s="318"/>
      <c r="W7154" s="318"/>
      <c r="X7154" s="318"/>
      <c r="Y7154" s="318"/>
      <c r="Z7154" s="318"/>
      <c r="AA7154" s="318"/>
      <c r="AB7154" s="318"/>
      <c r="AC7154" s="318"/>
      <c r="AD7154" s="318"/>
    </row>
    <row r="7155" spans="2:30" s="323" customFormat="1" ht="12" customHeight="1">
      <c r="B7155" s="324"/>
      <c r="C7155" s="325"/>
      <c r="D7155" s="326"/>
      <c r="E7155" s="326"/>
      <c r="F7155" s="326"/>
      <c r="G7155" s="326"/>
      <c r="H7155" s="326"/>
      <c r="P7155" s="318"/>
      <c r="Q7155" s="318"/>
      <c r="R7155" s="318"/>
      <c r="S7155" s="318"/>
      <c r="T7155" s="318"/>
      <c r="U7155" s="318"/>
      <c r="V7155" s="318"/>
      <c r="W7155" s="318"/>
      <c r="X7155" s="318"/>
      <c r="Y7155" s="318"/>
      <c r="Z7155" s="318"/>
      <c r="AA7155" s="318"/>
      <c r="AB7155" s="318"/>
      <c r="AC7155" s="318"/>
      <c r="AD7155" s="318"/>
    </row>
    <row r="7156" spans="2:30" s="323" customFormat="1" ht="12" customHeight="1">
      <c r="B7156" s="324"/>
      <c r="C7156" s="325"/>
      <c r="D7156" s="326"/>
      <c r="E7156" s="326"/>
      <c r="F7156" s="326"/>
      <c r="G7156" s="326"/>
      <c r="H7156" s="326"/>
      <c r="P7156" s="318"/>
      <c r="Q7156" s="318"/>
      <c r="R7156" s="318"/>
      <c r="S7156" s="318"/>
      <c r="T7156" s="318"/>
      <c r="U7156" s="318"/>
      <c r="V7156" s="318"/>
      <c r="W7156" s="318"/>
      <c r="X7156" s="318"/>
      <c r="Y7156" s="318"/>
      <c r="Z7156" s="318"/>
      <c r="AA7156" s="318"/>
      <c r="AB7156" s="318"/>
      <c r="AC7156" s="318"/>
      <c r="AD7156" s="318"/>
    </row>
    <row r="7157" spans="2:30" s="323" customFormat="1" ht="12" customHeight="1">
      <c r="B7157" s="324"/>
      <c r="C7157" s="325"/>
      <c r="D7157" s="326"/>
      <c r="E7157" s="326"/>
      <c r="F7157" s="326"/>
      <c r="G7157" s="326"/>
      <c r="H7157" s="326"/>
      <c r="P7157" s="318"/>
      <c r="Q7157" s="318"/>
      <c r="R7157" s="318"/>
      <c r="S7157" s="318"/>
      <c r="T7157" s="318"/>
      <c r="U7157" s="318"/>
      <c r="V7157" s="318"/>
      <c r="W7157" s="318"/>
      <c r="X7157" s="318"/>
      <c r="Y7157" s="318"/>
      <c r="Z7157" s="318"/>
      <c r="AA7157" s="318"/>
      <c r="AB7157" s="318"/>
      <c r="AC7157" s="318"/>
      <c r="AD7157" s="318"/>
    </row>
    <row r="7158" spans="2:30" s="323" customFormat="1" ht="12" customHeight="1">
      <c r="B7158" s="324"/>
      <c r="C7158" s="325"/>
      <c r="D7158" s="326"/>
      <c r="E7158" s="326"/>
      <c r="F7158" s="326"/>
      <c r="G7158" s="326"/>
      <c r="H7158" s="326"/>
      <c r="P7158" s="318"/>
      <c r="Q7158" s="318"/>
      <c r="R7158" s="318"/>
      <c r="S7158" s="318"/>
      <c r="T7158" s="318"/>
      <c r="U7158" s="318"/>
      <c r="V7158" s="318"/>
      <c r="W7158" s="318"/>
      <c r="X7158" s="318"/>
      <c r="Y7158" s="318"/>
      <c r="Z7158" s="318"/>
      <c r="AA7158" s="318"/>
      <c r="AB7158" s="318"/>
      <c r="AC7158" s="318"/>
      <c r="AD7158" s="318"/>
    </row>
    <row r="7159" spans="2:30" s="323" customFormat="1" ht="12" customHeight="1">
      <c r="B7159" s="324"/>
      <c r="C7159" s="325"/>
      <c r="D7159" s="326"/>
      <c r="E7159" s="326"/>
      <c r="F7159" s="326"/>
      <c r="G7159" s="326"/>
      <c r="H7159" s="326"/>
      <c r="P7159" s="318"/>
      <c r="Q7159" s="318"/>
      <c r="R7159" s="318"/>
      <c r="S7159" s="318"/>
      <c r="T7159" s="318"/>
      <c r="U7159" s="318"/>
      <c r="V7159" s="318"/>
      <c r="W7159" s="318"/>
      <c r="X7159" s="318"/>
      <c r="Y7159" s="318"/>
      <c r="Z7159" s="318"/>
      <c r="AA7159" s="318"/>
      <c r="AB7159" s="318"/>
      <c r="AC7159" s="318"/>
      <c r="AD7159" s="318"/>
    </row>
    <row r="7160" spans="2:30" s="323" customFormat="1" ht="12" customHeight="1">
      <c r="B7160" s="324"/>
      <c r="C7160" s="325"/>
      <c r="D7160" s="326"/>
      <c r="E7160" s="326"/>
      <c r="F7160" s="326"/>
      <c r="G7160" s="326"/>
      <c r="H7160" s="326"/>
      <c r="P7160" s="318"/>
      <c r="Q7160" s="318"/>
      <c r="R7160" s="318"/>
      <c r="S7160" s="318"/>
      <c r="T7160" s="318"/>
      <c r="U7160" s="318"/>
      <c r="V7160" s="318"/>
      <c r="W7160" s="318"/>
      <c r="X7160" s="318"/>
      <c r="Y7160" s="318"/>
      <c r="Z7160" s="318"/>
      <c r="AA7160" s="318"/>
      <c r="AB7160" s="318"/>
      <c r="AC7160" s="318"/>
      <c r="AD7160" s="318"/>
    </row>
    <row r="7161" spans="2:30" s="323" customFormat="1" ht="12" customHeight="1">
      <c r="B7161" s="324"/>
      <c r="C7161" s="325"/>
      <c r="D7161" s="326"/>
      <c r="E7161" s="326"/>
      <c r="F7161" s="326"/>
      <c r="G7161" s="326"/>
      <c r="H7161" s="326"/>
      <c r="P7161" s="318"/>
      <c r="Q7161" s="318"/>
      <c r="R7161" s="318"/>
      <c r="S7161" s="318"/>
      <c r="T7161" s="318"/>
      <c r="U7161" s="318"/>
      <c r="V7161" s="318"/>
      <c r="W7161" s="318"/>
      <c r="X7161" s="318"/>
      <c r="Y7161" s="318"/>
      <c r="Z7161" s="318"/>
      <c r="AA7161" s="318"/>
      <c r="AB7161" s="318"/>
      <c r="AC7161" s="318"/>
      <c r="AD7161" s="318"/>
    </row>
    <row r="7162" spans="2:30" s="323" customFormat="1" ht="12" customHeight="1">
      <c r="B7162" s="324"/>
      <c r="C7162" s="325"/>
      <c r="D7162" s="326"/>
      <c r="E7162" s="326"/>
      <c r="F7162" s="326"/>
      <c r="G7162" s="326"/>
      <c r="H7162" s="326"/>
      <c r="P7162" s="318"/>
      <c r="Q7162" s="318"/>
      <c r="R7162" s="318"/>
      <c r="S7162" s="318"/>
      <c r="T7162" s="318"/>
      <c r="U7162" s="318"/>
      <c r="V7162" s="318"/>
      <c r="W7162" s="318"/>
      <c r="X7162" s="318"/>
      <c r="Y7162" s="318"/>
      <c r="Z7162" s="318"/>
      <c r="AA7162" s="318"/>
      <c r="AB7162" s="318"/>
      <c r="AC7162" s="318"/>
      <c r="AD7162" s="318"/>
    </row>
    <row r="7163" spans="2:30" s="323" customFormat="1" ht="12" customHeight="1">
      <c r="B7163" s="324"/>
      <c r="C7163" s="325"/>
      <c r="D7163" s="326"/>
      <c r="E7163" s="326"/>
      <c r="F7163" s="326"/>
      <c r="G7163" s="326"/>
      <c r="H7163" s="326"/>
      <c r="P7163" s="318"/>
      <c r="Q7163" s="318"/>
      <c r="R7163" s="318"/>
      <c r="S7163" s="318"/>
      <c r="T7163" s="318"/>
      <c r="U7163" s="318"/>
      <c r="V7163" s="318"/>
      <c r="W7163" s="318"/>
      <c r="X7163" s="318"/>
      <c r="Y7163" s="318"/>
      <c r="Z7163" s="318"/>
      <c r="AA7163" s="318"/>
      <c r="AB7163" s="318"/>
      <c r="AC7163" s="318"/>
      <c r="AD7163" s="318"/>
    </row>
    <row r="7164" spans="2:30" s="323" customFormat="1" ht="12" customHeight="1">
      <c r="B7164" s="324"/>
      <c r="C7164" s="325"/>
      <c r="D7164" s="326"/>
      <c r="E7164" s="326"/>
      <c r="F7164" s="326"/>
      <c r="G7164" s="326"/>
      <c r="H7164" s="326"/>
      <c r="P7164" s="318"/>
      <c r="Q7164" s="318"/>
      <c r="R7164" s="318"/>
      <c r="S7164" s="318"/>
      <c r="T7164" s="318"/>
      <c r="U7164" s="318"/>
      <c r="V7164" s="318"/>
      <c r="W7164" s="318"/>
      <c r="X7164" s="318"/>
      <c r="Y7164" s="318"/>
      <c r="Z7164" s="318"/>
      <c r="AA7164" s="318"/>
      <c r="AB7164" s="318"/>
      <c r="AC7164" s="318"/>
      <c r="AD7164" s="318"/>
    </row>
    <row r="7165" spans="2:30" s="323" customFormat="1" ht="12" customHeight="1">
      <c r="B7165" s="324"/>
      <c r="C7165" s="325"/>
      <c r="D7165" s="326"/>
      <c r="E7165" s="326"/>
      <c r="F7165" s="326"/>
      <c r="G7165" s="326"/>
      <c r="H7165" s="326"/>
      <c r="P7165" s="318"/>
      <c r="Q7165" s="318"/>
      <c r="R7165" s="318"/>
      <c r="S7165" s="318"/>
      <c r="T7165" s="318"/>
      <c r="U7165" s="318"/>
      <c r="V7165" s="318"/>
      <c r="W7165" s="318"/>
      <c r="X7165" s="318"/>
      <c r="Y7165" s="318"/>
      <c r="Z7165" s="318"/>
      <c r="AA7165" s="318"/>
      <c r="AB7165" s="318"/>
      <c r="AC7165" s="318"/>
      <c r="AD7165" s="318"/>
    </row>
    <row r="7166" spans="2:30" s="323" customFormat="1" ht="12" customHeight="1">
      <c r="B7166" s="324"/>
      <c r="C7166" s="325"/>
      <c r="D7166" s="326"/>
      <c r="E7166" s="326"/>
      <c r="F7166" s="326"/>
      <c r="G7166" s="326"/>
      <c r="H7166" s="326"/>
      <c r="P7166" s="318"/>
      <c r="Q7166" s="318"/>
      <c r="R7166" s="318"/>
      <c r="S7166" s="318"/>
      <c r="T7166" s="318"/>
      <c r="U7166" s="318"/>
      <c r="V7166" s="318"/>
      <c r="W7166" s="318"/>
      <c r="X7166" s="318"/>
      <c r="Y7166" s="318"/>
      <c r="Z7166" s="318"/>
      <c r="AA7166" s="318"/>
      <c r="AB7166" s="318"/>
      <c r="AC7166" s="318"/>
      <c r="AD7166" s="318"/>
    </row>
    <row r="7167" spans="2:30" s="323" customFormat="1" ht="12" customHeight="1">
      <c r="B7167" s="324"/>
      <c r="C7167" s="325"/>
      <c r="D7167" s="326"/>
      <c r="E7167" s="326"/>
      <c r="F7167" s="326"/>
      <c r="G7167" s="326"/>
      <c r="H7167" s="326"/>
      <c r="P7167" s="318"/>
      <c r="Q7167" s="318"/>
      <c r="R7167" s="318"/>
      <c r="S7167" s="318"/>
      <c r="T7167" s="318"/>
      <c r="U7167" s="318"/>
      <c r="V7167" s="318"/>
      <c r="W7167" s="318"/>
      <c r="X7167" s="318"/>
      <c r="Y7167" s="318"/>
      <c r="Z7167" s="318"/>
      <c r="AA7167" s="318"/>
      <c r="AB7167" s="318"/>
      <c r="AC7167" s="318"/>
      <c r="AD7167" s="318"/>
    </row>
    <row r="7168" spans="2:30" s="323" customFormat="1" ht="12" customHeight="1">
      <c r="B7168" s="324"/>
      <c r="C7168" s="325"/>
      <c r="D7168" s="326"/>
      <c r="E7168" s="326"/>
      <c r="F7168" s="326"/>
      <c r="G7168" s="326"/>
      <c r="H7168" s="326"/>
      <c r="P7168" s="318"/>
      <c r="Q7168" s="318"/>
      <c r="R7168" s="318"/>
      <c r="S7168" s="318"/>
      <c r="T7168" s="318"/>
      <c r="U7168" s="318"/>
      <c r="V7168" s="318"/>
      <c r="W7168" s="318"/>
      <c r="X7168" s="318"/>
      <c r="Y7168" s="318"/>
      <c r="Z7168" s="318"/>
      <c r="AA7168" s="318"/>
      <c r="AB7168" s="318"/>
      <c r="AC7168" s="318"/>
      <c r="AD7168" s="318"/>
    </row>
    <row r="7169" spans="2:30" s="323" customFormat="1" ht="12" customHeight="1">
      <c r="B7169" s="324"/>
      <c r="C7169" s="325"/>
      <c r="D7169" s="326"/>
      <c r="E7169" s="326"/>
      <c r="F7169" s="326"/>
      <c r="G7169" s="326"/>
      <c r="H7169" s="326"/>
      <c r="P7169" s="318"/>
      <c r="Q7169" s="318"/>
      <c r="R7169" s="318"/>
      <c r="S7169" s="318"/>
      <c r="T7169" s="318"/>
      <c r="U7169" s="318"/>
      <c r="V7169" s="318"/>
      <c r="W7169" s="318"/>
      <c r="X7169" s="318"/>
      <c r="Y7169" s="318"/>
      <c r="Z7169" s="318"/>
      <c r="AA7169" s="318"/>
      <c r="AB7169" s="318"/>
      <c r="AC7169" s="318"/>
      <c r="AD7169" s="318"/>
    </row>
    <row r="7170" spans="2:30" s="323" customFormat="1" ht="12" customHeight="1">
      <c r="B7170" s="324"/>
      <c r="C7170" s="325"/>
      <c r="D7170" s="326"/>
      <c r="E7170" s="326"/>
      <c r="F7170" s="326"/>
      <c r="G7170" s="326"/>
      <c r="H7170" s="326"/>
      <c r="P7170" s="318"/>
      <c r="Q7170" s="318"/>
      <c r="R7170" s="318"/>
      <c r="S7170" s="318"/>
      <c r="T7170" s="318"/>
      <c r="U7170" s="318"/>
      <c r="V7170" s="318"/>
      <c r="W7170" s="318"/>
      <c r="X7170" s="318"/>
      <c r="Y7170" s="318"/>
      <c r="Z7170" s="318"/>
      <c r="AA7170" s="318"/>
      <c r="AB7170" s="318"/>
      <c r="AC7170" s="318"/>
      <c r="AD7170" s="318"/>
    </row>
    <row r="7171" spans="2:30" s="323" customFormat="1" ht="12" customHeight="1">
      <c r="B7171" s="324"/>
      <c r="C7171" s="325"/>
      <c r="D7171" s="326"/>
      <c r="E7171" s="326"/>
      <c r="F7171" s="326"/>
      <c r="G7171" s="326"/>
      <c r="H7171" s="326"/>
      <c r="P7171" s="318"/>
      <c r="Q7171" s="318"/>
      <c r="R7171" s="318"/>
      <c r="S7171" s="318"/>
      <c r="T7171" s="318"/>
      <c r="U7171" s="318"/>
      <c r="V7171" s="318"/>
      <c r="W7171" s="318"/>
      <c r="X7171" s="318"/>
      <c r="Y7171" s="318"/>
      <c r="Z7171" s="318"/>
      <c r="AA7171" s="318"/>
      <c r="AB7171" s="318"/>
      <c r="AC7171" s="318"/>
      <c r="AD7171" s="318"/>
    </row>
    <row r="7172" spans="2:30" s="323" customFormat="1" ht="12" customHeight="1">
      <c r="B7172" s="324"/>
      <c r="C7172" s="325"/>
      <c r="D7172" s="326"/>
      <c r="E7172" s="326"/>
      <c r="F7172" s="326"/>
      <c r="G7172" s="326"/>
      <c r="H7172" s="326"/>
      <c r="P7172" s="318"/>
      <c r="Q7172" s="318"/>
      <c r="R7172" s="318"/>
      <c r="S7172" s="318"/>
      <c r="T7172" s="318"/>
      <c r="U7172" s="318"/>
      <c r="V7172" s="318"/>
      <c r="W7172" s="318"/>
      <c r="X7172" s="318"/>
      <c r="Y7172" s="318"/>
      <c r="Z7172" s="318"/>
      <c r="AA7172" s="318"/>
      <c r="AB7172" s="318"/>
      <c r="AC7172" s="318"/>
      <c r="AD7172" s="318"/>
    </row>
    <row r="7173" spans="2:30" s="323" customFormat="1" ht="12" customHeight="1">
      <c r="B7173" s="324"/>
      <c r="C7173" s="325"/>
      <c r="D7173" s="326"/>
      <c r="E7173" s="326"/>
      <c r="F7173" s="326"/>
      <c r="G7173" s="326"/>
      <c r="H7173" s="326"/>
      <c r="P7173" s="318"/>
      <c r="Q7173" s="318"/>
      <c r="R7173" s="318"/>
      <c r="S7173" s="318"/>
      <c r="T7173" s="318"/>
      <c r="U7173" s="318"/>
      <c r="V7173" s="318"/>
      <c r="W7173" s="318"/>
      <c r="X7173" s="318"/>
      <c r="Y7173" s="318"/>
      <c r="Z7173" s="318"/>
      <c r="AA7173" s="318"/>
      <c r="AB7173" s="318"/>
      <c r="AC7173" s="318"/>
      <c r="AD7173" s="318"/>
    </row>
    <row r="7174" spans="2:30" s="323" customFormat="1" ht="12" customHeight="1">
      <c r="B7174" s="324"/>
      <c r="C7174" s="325"/>
      <c r="D7174" s="326"/>
      <c r="E7174" s="326"/>
      <c r="F7174" s="326"/>
      <c r="G7174" s="326"/>
      <c r="H7174" s="326"/>
      <c r="P7174" s="318"/>
      <c r="Q7174" s="318"/>
      <c r="R7174" s="318"/>
      <c r="S7174" s="318"/>
      <c r="T7174" s="318"/>
      <c r="U7174" s="318"/>
      <c r="V7174" s="318"/>
      <c r="W7174" s="318"/>
      <c r="X7174" s="318"/>
      <c r="Y7174" s="318"/>
      <c r="Z7174" s="318"/>
      <c r="AA7174" s="318"/>
      <c r="AB7174" s="318"/>
      <c r="AC7174" s="318"/>
      <c r="AD7174" s="318"/>
    </row>
    <row r="7175" spans="2:30" s="323" customFormat="1" ht="12" customHeight="1">
      <c r="B7175" s="324"/>
      <c r="C7175" s="325"/>
      <c r="D7175" s="326"/>
      <c r="E7175" s="326"/>
      <c r="F7175" s="326"/>
      <c r="G7175" s="326"/>
      <c r="H7175" s="326"/>
      <c r="P7175" s="318"/>
      <c r="Q7175" s="318"/>
      <c r="R7175" s="318"/>
      <c r="S7175" s="318"/>
      <c r="T7175" s="318"/>
      <c r="U7175" s="318"/>
      <c r="V7175" s="318"/>
      <c r="W7175" s="318"/>
      <c r="X7175" s="318"/>
      <c r="Y7175" s="318"/>
      <c r="Z7175" s="318"/>
      <c r="AA7175" s="318"/>
      <c r="AB7175" s="318"/>
      <c r="AC7175" s="318"/>
      <c r="AD7175" s="318"/>
    </row>
    <row r="7176" spans="2:30" s="323" customFormat="1" ht="12" customHeight="1">
      <c r="B7176" s="324"/>
      <c r="C7176" s="325"/>
      <c r="D7176" s="326"/>
      <c r="E7176" s="326"/>
      <c r="F7176" s="326"/>
      <c r="G7176" s="326"/>
      <c r="H7176" s="326"/>
      <c r="P7176" s="318"/>
      <c r="Q7176" s="318"/>
      <c r="R7176" s="318"/>
      <c r="S7176" s="318"/>
      <c r="T7176" s="318"/>
      <c r="U7176" s="318"/>
      <c r="V7176" s="318"/>
      <c r="W7176" s="318"/>
      <c r="X7176" s="318"/>
      <c r="Y7176" s="318"/>
      <c r="Z7176" s="318"/>
      <c r="AA7176" s="318"/>
      <c r="AB7176" s="318"/>
      <c r="AC7176" s="318"/>
      <c r="AD7176" s="318"/>
    </row>
    <row r="7177" spans="2:30" s="323" customFormat="1" ht="12" customHeight="1">
      <c r="B7177" s="324"/>
      <c r="C7177" s="325"/>
      <c r="D7177" s="326"/>
      <c r="E7177" s="326"/>
      <c r="F7177" s="326"/>
      <c r="G7177" s="326"/>
      <c r="H7177" s="326"/>
      <c r="P7177" s="318"/>
      <c r="Q7177" s="318"/>
      <c r="R7177" s="318"/>
      <c r="S7177" s="318"/>
      <c r="T7177" s="318"/>
      <c r="U7177" s="318"/>
      <c r="V7177" s="318"/>
      <c r="W7177" s="318"/>
      <c r="X7177" s="318"/>
      <c r="Y7177" s="318"/>
      <c r="Z7177" s="318"/>
      <c r="AA7177" s="318"/>
      <c r="AB7177" s="318"/>
      <c r="AC7177" s="318"/>
      <c r="AD7177" s="318"/>
    </row>
    <row r="7178" spans="2:30" s="323" customFormat="1" ht="12" customHeight="1">
      <c r="B7178" s="324"/>
      <c r="C7178" s="325"/>
      <c r="D7178" s="326"/>
      <c r="E7178" s="326"/>
      <c r="F7178" s="326"/>
      <c r="G7178" s="326"/>
      <c r="H7178" s="326"/>
      <c r="P7178" s="318"/>
      <c r="Q7178" s="318"/>
      <c r="R7178" s="318"/>
      <c r="S7178" s="318"/>
      <c r="T7178" s="318"/>
      <c r="U7178" s="318"/>
      <c r="V7178" s="318"/>
      <c r="W7178" s="318"/>
      <c r="X7178" s="318"/>
      <c r="Y7178" s="318"/>
      <c r="Z7178" s="318"/>
      <c r="AA7178" s="318"/>
      <c r="AB7178" s="318"/>
      <c r="AC7178" s="318"/>
      <c r="AD7178" s="318"/>
    </row>
    <row r="7179" spans="2:30" s="323" customFormat="1" ht="12" customHeight="1">
      <c r="B7179" s="324"/>
      <c r="C7179" s="325"/>
      <c r="D7179" s="326"/>
      <c r="E7179" s="326"/>
      <c r="F7179" s="326"/>
      <c r="G7179" s="326"/>
      <c r="H7179" s="326"/>
      <c r="P7179" s="318"/>
      <c r="Q7179" s="318"/>
      <c r="R7179" s="318"/>
      <c r="S7179" s="318"/>
      <c r="T7179" s="318"/>
      <c r="U7179" s="318"/>
      <c r="V7179" s="318"/>
      <c r="W7179" s="318"/>
      <c r="X7179" s="318"/>
      <c r="Y7179" s="318"/>
      <c r="Z7179" s="318"/>
      <c r="AA7179" s="318"/>
      <c r="AB7179" s="318"/>
      <c r="AC7179" s="318"/>
      <c r="AD7179" s="318"/>
    </row>
    <row r="7180" spans="2:30" s="323" customFormat="1" ht="12" customHeight="1">
      <c r="B7180" s="324"/>
      <c r="C7180" s="325"/>
      <c r="D7180" s="326"/>
      <c r="E7180" s="326"/>
      <c r="F7180" s="326"/>
      <c r="G7180" s="326"/>
      <c r="H7180" s="326"/>
      <c r="P7180" s="318"/>
      <c r="Q7180" s="318"/>
      <c r="R7180" s="318"/>
      <c r="S7180" s="318"/>
      <c r="T7180" s="318"/>
      <c r="U7180" s="318"/>
      <c r="V7180" s="318"/>
      <c r="W7180" s="318"/>
      <c r="X7180" s="318"/>
      <c r="Y7180" s="318"/>
      <c r="Z7180" s="318"/>
      <c r="AA7180" s="318"/>
      <c r="AB7180" s="318"/>
      <c r="AC7180" s="318"/>
      <c r="AD7180" s="318"/>
    </row>
    <row r="7181" spans="2:30" s="323" customFormat="1" ht="12" customHeight="1">
      <c r="B7181" s="324"/>
      <c r="C7181" s="325"/>
      <c r="D7181" s="326"/>
      <c r="E7181" s="326"/>
      <c r="F7181" s="326"/>
      <c r="G7181" s="326"/>
      <c r="H7181" s="326"/>
      <c r="P7181" s="318"/>
      <c r="Q7181" s="318"/>
      <c r="R7181" s="318"/>
      <c r="S7181" s="318"/>
      <c r="T7181" s="318"/>
      <c r="U7181" s="318"/>
      <c r="V7181" s="318"/>
      <c r="W7181" s="318"/>
      <c r="X7181" s="318"/>
      <c r="Y7181" s="318"/>
      <c r="Z7181" s="318"/>
      <c r="AA7181" s="318"/>
      <c r="AB7181" s="318"/>
      <c r="AC7181" s="318"/>
      <c r="AD7181" s="318"/>
    </row>
    <row r="7182" spans="2:30" s="323" customFormat="1" ht="12" customHeight="1">
      <c r="B7182" s="324"/>
      <c r="C7182" s="325"/>
      <c r="D7182" s="326"/>
      <c r="E7182" s="326"/>
      <c r="F7182" s="326"/>
      <c r="G7182" s="326"/>
      <c r="H7182" s="326"/>
      <c r="P7182" s="318"/>
      <c r="Q7182" s="318"/>
      <c r="R7182" s="318"/>
      <c r="S7182" s="318"/>
      <c r="T7182" s="318"/>
      <c r="U7182" s="318"/>
      <c r="V7182" s="318"/>
      <c r="W7182" s="318"/>
      <c r="X7182" s="318"/>
      <c r="Y7182" s="318"/>
      <c r="Z7182" s="318"/>
      <c r="AA7182" s="318"/>
      <c r="AB7182" s="318"/>
      <c r="AC7182" s="318"/>
      <c r="AD7182" s="318"/>
    </row>
    <row r="7183" spans="2:30" s="323" customFormat="1" ht="12" customHeight="1">
      <c r="B7183" s="324"/>
      <c r="C7183" s="325"/>
      <c r="D7183" s="326"/>
      <c r="E7183" s="326"/>
      <c r="F7183" s="326"/>
      <c r="G7183" s="326"/>
      <c r="H7183" s="326"/>
      <c r="P7183" s="318"/>
      <c r="Q7183" s="318"/>
      <c r="R7183" s="318"/>
      <c r="S7183" s="318"/>
      <c r="T7183" s="318"/>
      <c r="U7183" s="318"/>
      <c r="V7183" s="318"/>
      <c r="W7183" s="318"/>
      <c r="X7183" s="318"/>
      <c r="Y7183" s="318"/>
      <c r="Z7183" s="318"/>
      <c r="AA7183" s="318"/>
      <c r="AB7183" s="318"/>
      <c r="AC7183" s="318"/>
      <c r="AD7183" s="318"/>
    </row>
    <row r="7184" spans="2:30" s="323" customFormat="1" ht="12" customHeight="1">
      <c r="B7184" s="324"/>
      <c r="C7184" s="325"/>
      <c r="D7184" s="326"/>
      <c r="E7184" s="326"/>
      <c r="F7184" s="326"/>
      <c r="G7184" s="326"/>
      <c r="H7184" s="326"/>
      <c r="P7184" s="318"/>
      <c r="Q7184" s="318"/>
      <c r="R7184" s="318"/>
      <c r="S7184" s="318"/>
      <c r="T7184" s="318"/>
      <c r="U7184" s="318"/>
      <c r="V7184" s="318"/>
      <c r="W7184" s="318"/>
      <c r="X7184" s="318"/>
      <c r="Y7184" s="318"/>
      <c r="Z7184" s="318"/>
      <c r="AA7184" s="318"/>
      <c r="AB7184" s="318"/>
      <c r="AC7184" s="318"/>
      <c r="AD7184" s="318"/>
    </row>
    <row r="7185" spans="2:30" s="323" customFormat="1" ht="12" customHeight="1">
      <c r="B7185" s="324"/>
      <c r="C7185" s="325"/>
      <c r="D7185" s="326"/>
      <c r="E7185" s="326"/>
      <c r="F7185" s="326"/>
      <c r="G7185" s="326"/>
      <c r="H7185" s="326"/>
      <c r="P7185" s="318"/>
      <c r="Q7185" s="318"/>
      <c r="R7185" s="318"/>
      <c r="S7185" s="318"/>
      <c r="T7185" s="318"/>
      <c r="U7185" s="318"/>
      <c r="V7185" s="318"/>
      <c r="W7185" s="318"/>
      <c r="X7185" s="318"/>
      <c r="Y7185" s="318"/>
      <c r="Z7185" s="318"/>
      <c r="AA7185" s="318"/>
      <c r="AB7185" s="318"/>
      <c r="AC7185" s="318"/>
      <c r="AD7185" s="318"/>
    </row>
    <row r="7186" spans="2:30" s="323" customFormat="1" ht="12" customHeight="1">
      <c r="B7186" s="324"/>
      <c r="C7186" s="325"/>
      <c r="D7186" s="326"/>
      <c r="E7186" s="326"/>
      <c r="F7186" s="326"/>
      <c r="G7186" s="326"/>
      <c r="H7186" s="326"/>
      <c r="P7186" s="318"/>
      <c r="Q7186" s="318"/>
      <c r="R7186" s="318"/>
      <c r="S7186" s="318"/>
      <c r="T7186" s="318"/>
      <c r="U7186" s="318"/>
      <c r="V7186" s="318"/>
      <c r="W7186" s="318"/>
      <c r="X7186" s="318"/>
      <c r="Y7186" s="318"/>
      <c r="Z7186" s="318"/>
      <c r="AA7186" s="318"/>
      <c r="AB7186" s="318"/>
      <c r="AC7186" s="318"/>
      <c r="AD7186" s="318"/>
    </row>
    <row r="7187" spans="2:30" s="323" customFormat="1" ht="12" customHeight="1">
      <c r="B7187" s="324"/>
      <c r="C7187" s="325"/>
      <c r="D7187" s="326"/>
      <c r="E7187" s="326"/>
      <c r="F7187" s="326"/>
      <c r="G7187" s="326"/>
      <c r="H7187" s="326"/>
      <c r="P7187" s="318"/>
      <c r="Q7187" s="318"/>
      <c r="R7187" s="318"/>
      <c r="S7187" s="318"/>
      <c r="T7187" s="318"/>
      <c r="U7187" s="318"/>
      <c r="V7187" s="318"/>
      <c r="W7187" s="318"/>
      <c r="X7187" s="318"/>
      <c r="Y7187" s="318"/>
      <c r="Z7187" s="318"/>
      <c r="AA7187" s="318"/>
      <c r="AB7187" s="318"/>
      <c r="AC7187" s="318"/>
      <c r="AD7187" s="318"/>
    </row>
    <row r="7188" spans="2:30" s="323" customFormat="1" ht="12" customHeight="1">
      <c r="B7188" s="324"/>
      <c r="C7188" s="325"/>
      <c r="D7188" s="326"/>
      <c r="E7188" s="326"/>
      <c r="F7188" s="326"/>
      <c r="G7188" s="326"/>
      <c r="H7188" s="326"/>
      <c r="P7188" s="318"/>
      <c r="Q7188" s="318"/>
      <c r="R7188" s="318"/>
      <c r="S7188" s="318"/>
      <c r="T7188" s="318"/>
      <c r="U7188" s="318"/>
      <c r="V7188" s="318"/>
      <c r="W7188" s="318"/>
      <c r="X7188" s="318"/>
      <c r="Y7188" s="318"/>
      <c r="Z7188" s="318"/>
      <c r="AA7188" s="318"/>
      <c r="AB7188" s="318"/>
      <c r="AC7188" s="318"/>
      <c r="AD7188" s="318"/>
    </row>
    <row r="7189" spans="2:30" s="323" customFormat="1" ht="12" customHeight="1">
      <c r="B7189" s="324"/>
      <c r="C7189" s="325"/>
      <c r="D7189" s="326"/>
      <c r="E7189" s="326"/>
      <c r="F7189" s="326"/>
      <c r="G7189" s="326"/>
      <c r="H7189" s="326"/>
      <c r="P7189" s="318"/>
      <c r="Q7189" s="318"/>
      <c r="R7189" s="318"/>
      <c r="S7189" s="318"/>
      <c r="T7189" s="318"/>
      <c r="U7189" s="318"/>
      <c r="V7189" s="318"/>
      <c r="W7189" s="318"/>
      <c r="X7189" s="318"/>
      <c r="Y7189" s="318"/>
      <c r="Z7189" s="318"/>
      <c r="AA7189" s="318"/>
      <c r="AB7189" s="318"/>
      <c r="AC7189" s="318"/>
      <c r="AD7189" s="318"/>
    </row>
    <row r="7190" spans="2:30" s="323" customFormat="1" ht="12" customHeight="1">
      <c r="B7190" s="324"/>
      <c r="C7190" s="325"/>
      <c r="D7190" s="326"/>
      <c r="E7190" s="326"/>
      <c r="F7190" s="326"/>
      <c r="G7190" s="326"/>
      <c r="H7190" s="326"/>
      <c r="P7190" s="318"/>
      <c r="Q7190" s="318"/>
      <c r="R7190" s="318"/>
      <c r="S7190" s="318"/>
      <c r="T7190" s="318"/>
      <c r="U7190" s="318"/>
      <c r="V7190" s="318"/>
      <c r="W7190" s="318"/>
      <c r="X7190" s="318"/>
      <c r="Y7190" s="318"/>
      <c r="Z7190" s="318"/>
      <c r="AA7190" s="318"/>
      <c r="AB7190" s="318"/>
      <c r="AC7190" s="318"/>
      <c r="AD7190" s="318"/>
    </row>
    <row r="7191" spans="2:30" s="323" customFormat="1" ht="12" customHeight="1">
      <c r="B7191" s="324"/>
      <c r="C7191" s="325"/>
      <c r="D7191" s="326"/>
      <c r="E7191" s="326"/>
      <c r="F7191" s="326"/>
      <c r="G7191" s="326"/>
      <c r="H7191" s="326"/>
      <c r="P7191" s="318"/>
      <c r="Q7191" s="318"/>
      <c r="R7191" s="318"/>
      <c r="S7191" s="318"/>
      <c r="T7191" s="318"/>
      <c r="U7191" s="318"/>
      <c r="V7191" s="318"/>
      <c r="W7191" s="318"/>
      <c r="X7191" s="318"/>
      <c r="Y7191" s="318"/>
      <c r="Z7191" s="318"/>
      <c r="AA7191" s="318"/>
      <c r="AB7191" s="318"/>
      <c r="AC7191" s="318"/>
      <c r="AD7191" s="318"/>
    </row>
    <row r="7192" spans="2:30" s="323" customFormat="1" ht="12" customHeight="1">
      <c r="B7192" s="324"/>
      <c r="C7192" s="325"/>
      <c r="D7192" s="326"/>
      <c r="E7192" s="326"/>
      <c r="F7192" s="326"/>
      <c r="G7192" s="326"/>
      <c r="H7192" s="326"/>
      <c r="P7192" s="318"/>
      <c r="Q7192" s="318"/>
      <c r="R7192" s="318"/>
      <c r="S7192" s="318"/>
      <c r="T7192" s="318"/>
      <c r="U7192" s="318"/>
      <c r="V7192" s="318"/>
      <c r="W7192" s="318"/>
      <c r="X7192" s="318"/>
      <c r="Y7192" s="318"/>
      <c r="Z7192" s="318"/>
      <c r="AA7192" s="318"/>
      <c r="AB7192" s="318"/>
      <c r="AC7192" s="318"/>
      <c r="AD7192" s="318"/>
    </row>
    <row r="7193" spans="2:30" s="323" customFormat="1" ht="12" customHeight="1">
      <c r="B7193" s="324"/>
      <c r="C7193" s="325"/>
      <c r="D7193" s="326"/>
      <c r="E7193" s="326"/>
      <c r="F7193" s="326"/>
      <c r="G7193" s="326"/>
      <c r="H7193" s="326"/>
      <c r="P7193" s="318"/>
      <c r="Q7193" s="318"/>
      <c r="R7193" s="318"/>
      <c r="S7193" s="318"/>
      <c r="T7193" s="318"/>
      <c r="U7193" s="318"/>
      <c r="V7193" s="318"/>
      <c r="W7193" s="318"/>
      <c r="X7193" s="318"/>
      <c r="Y7193" s="318"/>
      <c r="Z7193" s="318"/>
      <c r="AA7193" s="318"/>
      <c r="AB7193" s="318"/>
      <c r="AC7193" s="318"/>
      <c r="AD7193" s="318"/>
    </row>
    <row r="7194" spans="2:30" s="323" customFormat="1" ht="12" customHeight="1">
      <c r="B7194" s="324"/>
      <c r="C7194" s="325"/>
      <c r="D7194" s="326"/>
      <c r="E7194" s="326"/>
      <c r="F7194" s="326"/>
      <c r="G7194" s="326"/>
      <c r="H7194" s="326"/>
      <c r="P7194" s="318"/>
      <c r="Q7194" s="318"/>
      <c r="R7194" s="318"/>
      <c r="S7194" s="318"/>
      <c r="T7194" s="318"/>
      <c r="U7194" s="318"/>
      <c r="V7194" s="318"/>
      <c r="W7194" s="318"/>
      <c r="X7194" s="318"/>
      <c r="Y7194" s="318"/>
      <c r="Z7194" s="318"/>
      <c r="AA7194" s="318"/>
      <c r="AB7194" s="318"/>
      <c r="AC7194" s="318"/>
      <c r="AD7194" s="318"/>
    </row>
    <row r="7195" spans="2:30" s="323" customFormat="1" ht="12" customHeight="1">
      <c r="B7195" s="324"/>
      <c r="C7195" s="325"/>
      <c r="D7195" s="326"/>
      <c r="E7195" s="326"/>
      <c r="F7195" s="326"/>
      <c r="G7195" s="326"/>
      <c r="H7195" s="326"/>
      <c r="P7195" s="318"/>
      <c r="Q7195" s="318"/>
      <c r="R7195" s="318"/>
      <c r="S7195" s="318"/>
      <c r="T7195" s="318"/>
      <c r="U7195" s="318"/>
      <c r="V7195" s="318"/>
      <c r="W7195" s="318"/>
      <c r="X7195" s="318"/>
      <c r="Y7195" s="318"/>
      <c r="Z7195" s="318"/>
      <c r="AA7195" s="318"/>
      <c r="AB7195" s="318"/>
      <c r="AC7195" s="318"/>
      <c r="AD7195" s="318"/>
    </row>
    <row r="7196" spans="2:30" s="323" customFormat="1" ht="12" customHeight="1">
      <c r="B7196" s="324"/>
      <c r="C7196" s="325"/>
      <c r="D7196" s="326"/>
      <c r="E7196" s="326"/>
      <c r="F7196" s="326"/>
      <c r="G7196" s="326"/>
      <c r="H7196" s="326"/>
      <c r="P7196" s="318"/>
      <c r="Q7196" s="318"/>
      <c r="R7196" s="318"/>
      <c r="S7196" s="318"/>
      <c r="T7196" s="318"/>
      <c r="U7196" s="318"/>
      <c r="V7196" s="318"/>
      <c r="W7196" s="318"/>
      <c r="X7196" s="318"/>
      <c r="Y7196" s="318"/>
      <c r="Z7196" s="318"/>
      <c r="AA7196" s="318"/>
      <c r="AB7196" s="318"/>
      <c r="AC7196" s="318"/>
      <c r="AD7196" s="318"/>
    </row>
    <row r="7197" spans="2:30" s="323" customFormat="1" ht="12" customHeight="1">
      <c r="B7197" s="324"/>
      <c r="C7197" s="325"/>
      <c r="D7197" s="326"/>
      <c r="E7197" s="326"/>
      <c r="F7197" s="326"/>
      <c r="G7197" s="326"/>
      <c r="H7197" s="326"/>
      <c r="P7197" s="318"/>
      <c r="Q7197" s="318"/>
      <c r="R7197" s="318"/>
      <c r="S7197" s="318"/>
      <c r="T7197" s="318"/>
      <c r="U7197" s="318"/>
      <c r="V7197" s="318"/>
      <c r="W7197" s="318"/>
      <c r="X7197" s="318"/>
      <c r="Y7197" s="318"/>
      <c r="Z7197" s="318"/>
      <c r="AA7197" s="318"/>
      <c r="AB7197" s="318"/>
      <c r="AC7197" s="318"/>
      <c r="AD7197" s="318"/>
    </row>
    <row r="7198" spans="2:30" s="323" customFormat="1" ht="12" customHeight="1">
      <c r="B7198" s="324"/>
      <c r="C7198" s="325"/>
      <c r="D7198" s="326"/>
      <c r="E7198" s="326"/>
      <c r="F7198" s="326"/>
      <c r="G7198" s="326"/>
      <c r="H7198" s="326"/>
      <c r="P7198" s="318"/>
      <c r="Q7198" s="318"/>
      <c r="R7198" s="318"/>
      <c r="S7198" s="318"/>
      <c r="T7198" s="318"/>
      <c r="U7198" s="318"/>
      <c r="V7198" s="318"/>
      <c r="W7198" s="318"/>
      <c r="X7198" s="318"/>
      <c r="Y7198" s="318"/>
      <c r="Z7198" s="318"/>
      <c r="AA7198" s="318"/>
      <c r="AB7198" s="318"/>
      <c r="AC7198" s="318"/>
      <c r="AD7198" s="318"/>
    </row>
    <row r="7199" spans="2:30" s="323" customFormat="1" ht="12" customHeight="1">
      <c r="B7199" s="324"/>
      <c r="C7199" s="325"/>
      <c r="D7199" s="326"/>
      <c r="E7199" s="326"/>
      <c r="F7199" s="326"/>
      <c r="G7199" s="326"/>
      <c r="H7199" s="326"/>
      <c r="P7199" s="318"/>
      <c r="Q7199" s="318"/>
      <c r="R7199" s="318"/>
      <c r="S7199" s="318"/>
      <c r="T7199" s="318"/>
      <c r="U7199" s="318"/>
      <c r="V7199" s="318"/>
      <c r="W7199" s="318"/>
      <c r="X7199" s="318"/>
      <c r="Y7199" s="318"/>
      <c r="Z7199" s="318"/>
      <c r="AA7199" s="318"/>
      <c r="AB7199" s="318"/>
      <c r="AC7199" s="318"/>
      <c r="AD7199" s="318"/>
    </row>
    <row r="7200" spans="2:30" s="323" customFormat="1" ht="12" customHeight="1">
      <c r="B7200" s="324"/>
      <c r="C7200" s="325"/>
      <c r="D7200" s="326"/>
      <c r="E7200" s="326"/>
      <c r="F7200" s="326"/>
      <c r="G7200" s="326"/>
      <c r="H7200" s="326"/>
      <c r="P7200" s="318"/>
      <c r="Q7200" s="318"/>
      <c r="R7200" s="318"/>
      <c r="S7200" s="318"/>
      <c r="T7200" s="318"/>
      <c r="U7200" s="318"/>
      <c r="V7200" s="318"/>
      <c r="W7200" s="318"/>
      <c r="X7200" s="318"/>
      <c r="Y7200" s="318"/>
      <c r="Z7200" s="318"/>
      <c r="AA7200" s="318"/>
      <c r="AB7200" s="318"/>
      <c r="AC7200" s="318"/>
      <c r="AD7200" s="318"/>
    </row>
    <row r="7201" spans="2:30" s="323" customFormat="1" ht="12" customHeight="1">
      <c r="B7201" s="324"/>
      <c r="C7201" s="325"/>
      <c r="D7201" s="326"/>
      <c r="E7201" s="326"/>
      <c r="F7201" s="326"/>
      <c r="G7201" s="326"/>
      <c r="H7201" s="326"/>
      <c r="P7201" s="318"/>
      <c r="Q7201" s="318"/>
      <c r="R7201" s="318"/>
      <c r="S7201" s="318"/>
      <c r="T7201" s="318"/>
      <c r="U7201" s="318"/>
      <c r="V7201" s="318"/>
      <c r="W7201" s="318"/>
      <c r="X7201" s="318"/>
      <c r="Y7201" s="318"/>
      <c r="Z7201" s="318"/>
      <c r="AA7201" s="318"/>
      <c r="AB7201" s="318"/>
      <c r="AC7201" s="318"/>
      <c r="AD7201" s="318"/>
    </row>
    <row r="7202" spans="2:30" s="323" customFormat="1" ht="12" customHeight="1">
      <c r="B7202" s="324"/>
      <c r="C7202" s="325"/>
      <c r="D7202" s="326"/>
      <c r="E7202" s="326"/>
      <c r="F7202" s="326"/>
      <c r="G7202" s="326"/>
      <c r="H7202" s="326"/>
      <c r="P7202" s="318"/>
      <c r="Q7202" s="318"/>
      <c r="R7202" s="318"/>
      <c r="S7202" s="318"/>
      <c r="T7202" s="318"/>
      <c r="U7202" s="318"/>
      <c r="V7202" s="318"/>
      <c r="W7202" s="318"/>
      <c r="X7202" s="318"/>
      <c r="Y7202" s="318"/>
      <c r="Z7202" s="318"/>
      <c r="AA7202" s="318"/>
      <c r="AB7202" s="318"/>
      <c r="AC7202" s="318"/>
      <c r="AD7202" s="318"/>
    </row>
    <row r="7203" spans="2:30" s="323" customFormat="1" ht="12" customHeight="1">
      <c r="B7203" s="324"/>
      <c r="C7203" s="325"/>
      <c r="D7203" s="326"/>
      <c r="E7203" s="326"/>
      <c r="F7203" s="326"/>
      <c r="G7203" s="326"/>
      <c r="H7203" s="326"/>
      <c r="P7203" s="318"/>
      <c r="Q7203" s="318"/>
      <c r="R7203" s="318"/>
      <c r="S7203" s="318"/>
      <c r="T7203" s="318"/>
      <c r="U7203" s="318"/>
      <c r="V7203" s="318"/>
      <c r="W7203" s="318"/>
      <c r="X7203" s="318"/>
      <c r="Y7203" s="318"/>
      <c r="Z7203" s="318"/>
      <c r="AA7203" s="318"/>
      <c r="AB7203" s="318"/>
      <c r="AC7203" s="318"/>
      <c r="AD7203" s="318"/>
    </row>
    <row r="7204" spans="2:30" s="323" customFormat="1" ht="12" customHeight="1">
      <c r="B7204" s="324"/>
      <c r="C7204" s="325"/>
      <c r="D7204" s="326"/>
      <c r="E7204" s="326"/>
      <c r="F7204" s="326"/>
      <c r="G7204" s="326"/>
      <c r="H7204" s="326"/>
      <c r="P7204" s="318"/>
      <c r="Q7204" s="318"/>
      <c r="R7204" s="318"/>
      <c r="S7204" s="318"/>
      <c r="T7204" s="318"/>
      <c r="U7204" s="318"/>
      <c r="V7204" s="318"/>
      <c r="W7204" s="318"/>
      <c r="X7204" s="318"/>
      <c r="Y7204" s="318"/>
      <c r="Z7204" s="318"/>
      <c r="AA7204" s="318"/>
      <c r="AB7204" s="318"/>
      <c r="AC7204" s="318"/>
      <c r="AD7204" s="318"/>
    </row>
    <row r="7205" spans="2:30" s="323" customFormat="1" ht="12" customHeight="1">
      <c r="B7205" s="324"/>
      <c r="C7205" s="325"/>
      <c r="D7205" s="326"/>
      <c r="E7205" s="326"/>
      <c r="F7205" s="326"/>
      <c r="G7205" s="326"/>
      <c r="H7205" s="326"/>
      <c r="P7205" s="318"/>
      <c r="Q7205" s="318"/>
      <c r="R7205" s="318"/>
      <c r="S7205" s="318"/>
      <c r="T7205" s="318"/>
      <c r="U7205" s="318"/>
      <c r="V7205" s="318"/>
      <c r="W7205" s="318"/>
      <c r="X7205" s="318"/>
      <c r="Y7205" s="318"/>
      <c r="Z7205" s="318"/>
      <c r="AA7205" s="318"/>
      <c r="AB7205" s="318"/>
      <c r="AC7205" s="318"/>
      <c r="AD7205" s="318"/>
    </row>
    <row r="7206" spans="2:30" s="323" customFormat="1" ht="12" customHeight="1">
      <c r="B7206" s="324"/>
      <c r="C7206" s="325"/>
      <c r="D7206" s="326"/>
      <c r="E7206" s="326"/>
      <c r="F7206" s="326"/>
      <c r="G7206" s="326"/>
      <c r="H7206" s="326"/>
      <c r="P7206" s="318"/>
      <c r="Q7206" s="318"/>
      <c r="R7206" s="318"/>
      <c r="S7206" s="318"/>
      <c r="T7206" s="318"/>
      <c r="U7206" s="318"/>
      <c r="V7206" s="318"/>
      <c r="W7206" s="318"/>
      <c r="X7206" s="318"/>
      <c r="Y7206" s="318"/>
      <c r="Z7206" s="318"/>
      <c r="AA7206" s="318"/>
      <c r="AB7206" s="318"/>
      <c r="AC7206" s="318"/>
      <c r="AD7206" s="318"/>
    </row>
    <row r="7207" spans="2:30" s="323" customFormat="1" ht="12" customHeight="1">
      <c r="B7207" s="324"/>
      <c r="C7207" s="325"/>
      <c r="D7207" s="326"/>
      <c r="E7207" s="326"/>
      <c r="F7207" s="326"/>
      <c r="G7207" s="326"/>
      <c r="H7207" s="326"/>
      <c r="P7207" s="318"/>
      <c r="Q7207" s="318"/>
      <c r="R7207" s="318"/>
      <c r="S7207" s="318"/>
      <c r="T7207" s="318"/>
      <c r="U7207" s="318"/>
      <c r="V7207" s="318"/>
      <c r="W7207" s="318"/>
      <c r="X7207" s="318"/>
      <c r="Y7207" s="318"/>
      <c r="Z7207" s="318"/>
      <c r="AA7207" s="318"/>
      <c r="AB7207" s="318"/>
      <c r="AC7207" s="318"/>
      <c r="AD7207" s="318"/>
    </row>
    <row r="7208" spans="2:30" s="323" customFormat="1" ht="12" customHeight="1">
      <c r="B7208" s="324"/>
      <c r="C7208" s="325"/>
      <c r="D7208" s="326"/>
      <c r="E7208" s="326"/>
      <c r="F7208" s="326"/>
      <c r="G7208" s="326"/>
      <c r="H7208" s="326"/>
      <c r="P7208" s="318"/>
      <c r="Q7208" s="318"/>
      <c r="R7208" s="318"/>
      <c r="S7208" s="318"/>
      <c r="T7208" s="318"/>
      <c r="U7208" s="318"/>
      <c r="V7208" s="318"/>
      <c r="W7208" s="318"/>
      <c r="X7208" s="318"/>
      <c r="Y7208" s="318"/>
      <c r="Z7208" s="318"/>
      <c r="AA7208" s="318"/>
      <c r="AB7208" s="318"/>
      <c r="AC7208" s="318"/>
      <c r="AD7208" s="318"/>
    </row>
    <row r="7209" spans="2:30" s="323" customFormat="1" ht="12" customHeight="1">
      <c r="B7209" s="324"/>
      <c r="C7209" s="325"/>
      <c r="D7209" s="326"/>
      <c r="E7209" s="326"/>
      <c r="F7209" s="326"/>
      <c r="G7209" s="326"/>
      <c r="H7209" s="326"/>
      <c r="P7209" s="318"/>
      <c r="Q7209" s="318"/>
      <c r="R7209" s="318"/>
      <c r="S7209" s="318"/>
      <c r="T7209" s="318"/>
      <c r="U7209" s="318"/>
      <c r="V7209" s="318"/>
      <c r="W7209" s="318"/>
      <c r="X7209" s="318"/>
      <c r="Y7209" s="318"/>
      <c r="Z7209" s="318"/>
      <c r="AA7209" s="318"/>
      <c r="AB7209" s="318"/>
      <c r="AC7209" s="318"/>
      <c r="AD7209" s="318"/>
    </row>
    <row r="7210" spans="2:30" s="323" customFormat="1" ht="12" customHeight="1">
      <c r="B7210" s="324"/>
      <c r="C7210" s="325"/>
      <c r="D7210" s="326"/>
      <c r="E7210" s="326"/>
      <c r="F7210" s="326"/>
      <c r="G7210" s="326"/>
      <c r="H7210" s="326"/>
      <c r="P7210" s="318"/>
      <c r="Q7210" s="318"/>
      <c r="R7210" s="318"/>
      <c r="S7210" s="318"/>
      <c r="T7210" s="318"/>
      <c r="U7210" s="318"/>
      <c r="V7210" s="318"/>
      <c r="W7210" s="318"/>
      <c r="X7210" s="318"/>
      <c r="Y7210" s="318"/>
      <c r="Z7210" s="318"/>
      <c r="AA7210" s="318"/>
      <c r="AB7210" s="318"/>
      <c r="AC7210" s="318"/>
      <c r="AD7210" s="318"/>
    </row>
    <row r="7211" spans="2:30" s="323" customFormat="1" ht="12" customHeight="1">
      <c r="B7211" s="324"/>
      <c r="C7211" s="325"/>
      <c r="D7211" s="326"/>
      <c r="E7211" s="326"/>
      <c r="F7211" s="326"/>
      <c r="G7211" s="326"/>
      <c r="H7211" s="326"/>
      <c r="P7211" s="318"/>
      <c r="Q7211" s="318"/>
      <c r="R7211" s="318"/>
      <c r="S7211" s="318"/>
      <c r="T7211" s="318"/>
      <c r="U7211" s="318"/>
      <c r="V7211" s="318"/>
      <c r="W7211" s="318"/>
      <c r="X7211" s="318"/>
      <c r="Y7211" s="318"/>
      <c r="Z7211" s="318"/>
      <c r="AA7211" s="318"/>
      <c r="AB7211" s="318"/>
      <c r="AC7211" s="318"/>
      <c r="AD7211" s="318"/>
    </row>
    <row r="7212" spans="2:30" s="323" customFormat="1" ht="12" customHeight="1">
      <c r="B7212" s="324"/>
      <c r="C7212" s="325"/>
      <c r="D7212" s="326"/>
      <c r="E7212" s="326"/>
      <c r="F7212" s="326"/>
      <c r="G7212" s="326"/>
      <c r="H7212" s="326"/>
      <c r="P7212" s="318"/>
      <c r="Q7212" s="318"/>
      <c r="R7212" s="318"/>
      <c r="S7212" s="318"/>
      <c r="T7212" s="318"/>
      <c r="U7212" s="318"/>
      <c r="V7212" s="318"/>
      <c r="W7212" s="318"/>
      <c r="X7212" s="318"/>
      <c r="Y7212" s="318"/>
      <c r="Z7212" s="318"/>
      <c r="AA7212" s="318"/>
      <c r="AB7212" s="318"/>
      <c r="AC7212" s="318"/>
      <c r="AD7212" s="318"/>
    </row>
    <row r="7213" spans="2:30" s="323" customFormat="1" ht="12" customHeight="1">
      <c r="B7213" s="324"/>
      <c r="C7213" s="325"/>
      <c r="D7213" s="326"/>
      <c r="E7213" s="326"/>
      <c r="F7213" s="326"/>
      <c r="G7213" s="326"/>
      <c r="H7213" s="326"/>
      <c r="P7213" s="318"/>
      <c r="Q7213" s="318"/>
      <c r="R7213" s="318"/>
      <c r="S7213" s="318"/>
      <c r="T7213" s="318"/>
      <c r="U7213" s="318"/>
      <c r="V7213" s="318"/>
      <c r="W7213" s="318"/>
      <c r="X7213" s="318"/>
      <c r="Y7213" s="318"/>
      <c r="Z7213" s="318"/>
      <c r="AA7213" s="318"/>
      <c r="AB7213" s="318"/>
      <c r="AC7213" s="318"/>
      <c r="AD7213" s="318"/>
    </row>
    <row r="7214" spans="2:30" s="323" customFormat="1" ht="12" customHeight="1">
      <c r="B7214" s="324"/>
      <c r="C7214" s="325"/>
      <c r="D7214" s="326"/>
      <c r="E7214" s="326"/>
      <c r="F7214" s="326"/>
      <c r="G7214" s="326"/>
      <c r="H7214" s="326"/>
      <c r="P7214" s="318"/>
      <c r="Q7214" s="318"/>
      <c r="R7214" s="318"/>
      <c r="S7214" s="318"/>
      <c r="T7214" s="318"/>
      <c r="U7214" s="318"/>
      <c r="V7214" s="318"/>
      <c r="W7214" s="318"/>
      <c r="X7214" s="318"/>
      <c r="Y7214" s="318"/>
      <c r="Z7214" s="318"/>
      <c r="AA7214" s="318"/>
      <c r="AB7214" s="318"/>
      <c r="AC7214" s="318"/>
      <c r="AD7214" s="318"/>
    </row>
    <row r="7215" spans="2:30" s="323" customFormat="1" ht="12" customHeight="1">
      <c r="B7215" s="324"/>
      <c r="C7215" s="325"/>
      <c r="D7215" s="326"/>
      <c r="E7215" s="326"/>
      <c r="F7215" s="326"/>
      <c r="G7215" s="326"/>
      <c r="H7215" s="326"/>
      <c r="P7215" s="318"/>
      <c r="Q7215" s="318"/>
      <c r="R7215" s="318"/>
      <c r="S7215" s="318"/>
      <c r="T7215" s="318"/>
      <c r="U7215" s="318"/>
      <c r="V7215" s="318"/>
      <c r="W7215" s="318"/>
      <c r="X7215" s="318"/>
      <c r="Y7215" s="318"/>
      <c r="Z7215" s="318"/>
      <c r="AA7215" s="318"/>
      <c r="AB7215" s="318"/>
      <c r="AC7215" s="318"/>
      <c r="AD7215" s="318"/>
    </row>
    <row r="7216" spans="2:30" s="323" customFormat="1" ht="12" customHeight="1">
      <c r="B7216" s="324"/>
      <c r="C7216" s="325"/>
      <c r="D7216" s="326"/>
      <c r="E7216" s="326"/>
      <c r="F7216" s="326"/>
      <c r="G7216" s="326"/>
      <c r="H7216" s="326"/>
      <c r="P7216" s="318"/>
      <c r="Q7216" s="318"/>
      <c r="R7216" s="318"/>
      <c r="S7216" s="318"/>
      <c r="T7216" s="318"/>
      <c r="U7216" s="318"/>
      <c r="V7216" s="318"/>
      <c r="W7216" s="318"/>
      <c r="X7216" s="318"/>
      <c r="Y7216" s="318"/>
      <c r="Z7216" s="318"/>
      <c r="AA7216" s="318"/>
      <c r="AB7216" s="318"/>
      <c r="AC7216" s="318"/>
      <c r="AD7216" s="318"/>
    </row>
    <row r="7217" spans="2:30" s="323" customFormat="1" ht="12" customHeight="1">
      <c r="B7217" s="324"/>
      <c r="C7217" s="325"/>
      <c r="D7217" s="326"/>
      <c r="E7217" s="326"/>
      <c r="F7217" s="326"/>
      <c r="G7217" s="326"/>
      <c r="H7217" s="326"/>
      <c r="P7217" s="318"/>
      <c r="Q7217" s="318"/>
      <c r="R7217" s="318"/>
      <c r="S7217" s="318"/>
      <c r="T7217" s="318"/>
      <c r="U7217" s="318"/>
      <c r="V7217" s="318"/>
      <c r="W7217" s="318"/>
      <c r="X7217" s="318"/>
      <c r="Y7217" s="318"/>
      <c r="Z7217" s="318"/>
      <c r="AA7217" s="318"/>
      <c r="AB7217" s="318"/>
      <c r="AC7217" s="318"/>
      <c r="AD7217" s="318"/>
    </row>
    <row r="7218" spans="2:30" s="323" customFormat="1" ht="12" customHeight="1">
      <c r="B7218" s="324"/>
      <c r="C7218" s="325"/>
      <c r="D7218" s="326"/>
      <c r="E7218" s="326"/>
      <c r="F7218" s="326"/>
      <c r="G7218" s="326"/>
      <c r="H7218" s="326"/>
      <c r="P7218" s="318"/>
      <c r="Q7218" s="318"/>
      <c r="R7218" s="318"/>
      <c r="S7218" s="318"/>
      <c r="T7218" s="318"/>
      <c r="U7218" s="318"/>
      <c r="V7218" s="318"/>
      <c r="W7218" s="318"/>
      <c r="X7218" s="318"/>
      <c r="Y7218" s="318"/>
      <c r="Z7218" s="318"/>
      <c r="AA7218" s="318"/>
      <c r="AB7218" s="318"/>
      <c r="AC7218" s="318"/>
      <c r="AD7218" s="318"/>
    </row>
    <row r="7219" spans="2:30" s="323" customFormat="1" ht="12" customHeight="1">
      <c r="B7219" s="324"/>
      <c r="C7219" s="325"/>
      <c r="D7219" s="326"/>
      <c r="E7219" s="326"/>
      <c r="F7219" s="326"/>
      <c r="G7219" s="326"/>
      <c r="H7219" s="326"/>
      <c r="P7219" s="318"/>
      <c r="Q7219" s="318"/>
      <c r="R7219" s="318"/>
      <c r="S7219" s="318"/>
      <c r="T7219" s="318"/>
      <c r="U7219" s="318"/>
      <c r="V7219" s="318"/>
      <c r="W7219" s="318"/>
      <c r="X7219" s="318"/>
      <c r="Y7219" s="318"/>
      <c r="Z7219" s="318"/>
      <c r="AA7219" s="318"/>
      <c r="AB7219" s="318"/>
      <c r="AC7219" s="318"/>
      <c r="AD7219" s="318"/>
    </row>
    <row r="7220" spans="2:30" s="323" customFormat="1" ht="12" customHeight="1">
      <c r="B7220" s="324"/>
      <c r="C7220" s="325"/>
      <c r="D7220" s="326"/>
      <c r="E7220" s="326"/>
      <c r="F7220" s="326"/>
      <c r="G7220" s="326"/>
      <c r="H7220" s="326"/>
      <c r="P7220" s="318"/>
      <c r="Q7220" s="318"/>
      <c r="R7220" s="318"/>
      <c r="S7220" s="318"/>
      <c r="T7220" s="318"/>
      <c r="U7220" s="318"/>
      <c r="V7220" s="318"/>
      <c r="W7220" s="318"/>
      <c r="X7220" s="318"/>
      <c r="Y7220" s="318"/>
      <c r="Z7220" s="318"/>
      <c r="AA7220" s="318"/>
      <c r="AB7220" s="318"/>
      <c r="AC7220" s="318"/>
      <c r="AD7220" s="318"/>
    </row>
    <row r="7221" spans="2:30" s="323" customFormat="1" ht="12" customHeight="1">
      <c r="B7221" s="324"/>
      <c r="C7221" s="325"/>
      <c r="D7221" s="326"/>
      <c r="E7221" s="326"/>
      <c r="F7221" s="326"/>
      <c r="G7221" s="326"/>
      <c r="H7221" s="326"/>
      <c r="P7221" s="318"/>
      <c r="Q7221" s="318"/>
      <c r="R7221" s="318"/>
      <c r="S7221" s="318"/>
      <c r="T7221" s="318"/>
      <c r="U7221" s="318"/>
      <c r="V7221" s="318"/>
      <c r="W7221" s="318"/>
      <c r="X7221" s="318"/>
      <c r="Y7221" s="318"/>
      <c r="Z7221" s="318"/>
      <c r="AA7221" s="318"/>
      <c r="AB7221" s="318"/>
      <c r="AC7221" s="318"/>
      <c r="AD7221" s="318"/>
    </row>
    <row r="7222" spans="2:30" s="323" customFormat="1" ht="12" customHeight="1">
      <c r="B7222" s="324"/>
      <c r="C7222" s="325"/>
      <c r="D7222" s="326"/>
      <c r="E7222" s="326"/>
      <c r="F7222" s="326"/>
      <c r="G7222" s="326"/>
      <c r="H7222" s="326"/>
      <c r="P7222" s="318"/>
      <c r="Q7222" s="318"/>
      <c r="R7222" s="318"/>
      <c r="S7222" s="318"/>
      <c r="T7222" s="318"/>
      <c r="U7222" s="318"/>
      <c r="V7222" s="318"/>
      <c r="W7222" s="318"/>
      <c r="X7222" s="318"/>
      <c r="Y7222" s="318"/>
      <c r="Z7222" s="318"/>
      <c r="AA7222" s="318"/>
      <c r="AB7222" s="318"/>
      <c r="AC7222" s="318"/>
      <c r="AD7222" s="318"/>
    </row>
    <row r="7223" spans="2:30" s="323" customFormat="1" ht="12" customHeight="1">
      <c r="B7223" s="324"/>
      <c r="C7223" s="325"/>
      <c r="D7223" s="326"/>
      <c r="E7223" s="326"/>
      <c r="F7223" s="326"/>
      <c r="G7223" s="326"/>
      <c r="H7223" s="326"/>
      <c r="P7223" s="318"/>
      <c r="Q7223" s="318"/>
      <c r="R7223" s="318"/>
      <c r="S7223" s="318"/>
      <c r="T7223" s="318"/>
      <c r="U7223" s="318"/>
      <c r="V7223" s="318"/>
      <c r="W7223" s="318"/>
      <c r="X7223" s="318"/>
      <c r="Y7223" s="318"/>
      <c r="Z7223" s="318"/>
      <c r="AA7223" s="318"/>
      <c r="AB7223" s="318"/>
      <c r="AC7223" s="318"/>
      <c r="AD7223" s="318"/>
    </row>
    <row r="7224" spans="2:30" s="323" customFormat="1" ht="12" customHeight="1">
      <c r="B7224" s="324"/>
      <c r="C7224" s="325"/>
      <c r="D7224" s="326"/>
      <c r="E7224" s="326"/>
      <c r="F7224" s="326"/>
      <c r="G7224" s="326"/>
      <c r="H7224" s="326"/>
      <c r="P7224" s="318"/>
      <c r="Q7224" s="318"/>
      <c r="R7224" s="318"/>
      <c r="S7224" s="318"/>
      <c r="T7224" s="318"/>
      <c r="U7224" s="318"/>
      <c r="V7224" s="318"/>
      <c r="W7224" s="318"/>
      <c r="X7224" s="318"/>
      <c r="Y7224" s="318"/>
      <c r="Z7224" s="318"/>
      <c r="AA7224" s="318"/>
      <c r="AB7224" s="318"/>
      <c r="AC7224" s="318"/>
      <c r="AD7224" s="318"/>
    </row>
    <row r="7225" spans="2:30" s="323" customFormat="1" ht="12" customHeight="1">
      <c r="B7225" s="324"/>
      <c r="C7225" s="325"/>
      <c r="D7225" s="326"/>
      <c r="E7225" s="326"/>
      <c r="F7225" s="326"/>
      <c r="G7225" s="326"/>
      <c r="H7225" s="326"/>
      <c r="P7225" s="318"/>
      <c r="Q7225" s="318"/>
      <c r="R7225" s="318"/>
      <c r="S7225" s="318"/>
      <c r="T7225" s="318"/>
      <c r="U7225" s="318"/>
      <c r="V7225" s="318"/>
      <c r="W7225" s="318"/>
      <c r="X7225" s="318"/>
      <c r="Y7225" s="318"/>
      <c r="Z7225" s="318"/>
      <c r="AA7225" s="318"/>
      <c r="AB7225" s="318"/>
      <c r="AC7225" s="318"/>
      <c r="AD7225" s="318"/>
    </row>
    <row r="7226" spans="2:30" s="323" customFormat="1" ht="12" customHeight="1">
      <c r="B7226" s="324"/>
      <c r="C7226" s="325"/>
      <c r="D7226" s="326"/>
      <c r="E7226" s="326"/>
      <c r="F7226" s="326"/>
      <c r="G7226" s="326"/>
      <c r="H7226" s="326"/>
      <c r="P7226" s="318"/>
      <c r="Q7226" s="318"/>
      <c r="R7226" s="318"/>
      <c r="S7226" s="318"/>
      <c r="T7226" s="318"/>
      <c r="U7226" s="318"/>
      <c r="V7226" s="318"/>
      <c r="W7226" s="318"/>
      <c r="X7226" s="318"/>
      <c r="Y7226" s="318"/>
      <c r="Z7226" s="318"/>
      <c r="AA7226" s="318"/>
      <c r="AB7226" s="318"/>
      <c r="AC7226" s="318"/>
      <c r="AD7226" s="318"/>
    </row>
    <row r="7227" spans="2:30" s="323" customFormat="1" ht="12" customHeight="1">
      <c r="B7227" s="324"/>
      <c r="C7227" s="325"/>
      <c r="D7227" s="326"/>
      <c r="E7227" s="326"/>
      <c r="F7227" s="326"/>
      <c r="G7227" s="326"/>
      <c r="H7227" s="326"/>
      <c r="P7227" s="318"/>
      <c r="Q7227" s="318"/>
      <c r="R7227" s="318"/>
      <c r="S7227" s="318"/>
      <c r="T7227" s="318"/>
      <c r="U7227" s="318"/>
      <c r="V7227" s="318"/>
      <c r="W7227" s="318"/>
      <c r="X7227" s="318"/>
      <c r="Y7227" s="318"/>
      <c r="Z7227" s="318"/>
      <c r="AA7227" s="318"/>
      <c r="AB7227" s="318"/>
      <c r="AC7227" s="318"/>
      <c r="AD7227" s="318"/>
    </row>
    <row r="7228" spans="2:30" s="323" customFormat="1" ht="12" customHeight="1">
      <c r="B7228" s="324"/>
      <c r="C7228" s="325"/>
      <c r="D7228" s="326"/>
      <c r="E7228" s="326"/>
      <c r="F7228" s="326"/>
      <c r="G7228" s="326"/>
      <c r="H7228" s="326"/>
      <c r="P7228" s="318"/>
      <c r="Q7228" s="318"/>
      <c r="R7228" s="318"/>
      <c r="S7228" s="318"/>
      <c r="T7228" s="318"/>
      <c r="U7228" s="318"/>
      <c r="V7228" s="318"/>
      <c r="W7228" s="318"/>
      <c r="X7228" s="318"/>
      <c r="Y7228" s="318"/>
      <c r="Z7228" s="318"/>
      <c r="AA7228" s="318"/>
      <c r="AB7228" s="318"/>
      <c r="AC7228" s="318"/>
      <c r="AD7228" s="318"/>
    </row>
    <row r="7229" spans="2:30" s="323" customFormat="1" ht="12" customHeight="1">
      <c r="B7229" s="324"/>
      <c r="C7229" s="325"/>
      <c r="D7229" s="326"/>
      <c r="E7229" s="326"/>
      <c r="F7229" s="326"/>
      <c r="G7229" s="326"/>
      <c r="H7229" s="326"/>
      <c r="P7229" s="318"/>
      <c r="Q7229" s="318"/>
      <c r="R7229" s="318"/>
      <c r="S7229" s="318"/>
      <c r="T7229" s="318"/>
      <c r="U7229" s="318"/>
      <c r="V7229" s="318"/>
      <c r="W7229" s="318"/>
      <c r="X7229" s="318"/>
      <c r="Y7229" s="318"/>
      <c r="Z7229" s="318"/>
      <c r="AA7229" s="318"/>
      <c r="AB7229" s="318"/>
      <c r="AC7229" s="318"/>
      <c r="AD7229" s="318"/>
    </row>
    <row r="7230" spans="2:30" s="323" customFormat="1" ht="12" customHeight="1">
      <c r="B7230" s="324"/>
      <c r="C7230" s="325"/>
      <c r="D7230" s="326"/>
      <c r="E7230" s="326"/>
      <c r="F7230" s="326"/>
      <c r="G7230" s="326"/>
      <c r="H7230" s="326"/>
      <c r="P7230" s="318"/>
      <c r="Q7230" s="318"/>
      <c r="R7230" s="318"/>
      <c r="S7230" s="318"/>
      <c r="T7230" s="318"/>
      <c r="U7230" s="318"/>
      <c r="V7230" s="318"/>
      <c r="W7230" s="318"/>
      <c r="X7230" s="318"/>
      <c r="Y7230" s="318"/>
      <c r="Z7230" s="318"/>
      <c r="AA7230" s="318"/>
      <c r="AB7230" s="318"/>
      <c r="AC7230" s="318"/>
      <c r="AD7230" s="318"/>
    </row>
    <row r="7231" spans="2:30" s="323" customFormat="1" ht="12" customHeight="1">
      <c r="B7231" s="324"/>
      <c r="C7231" s="325"/>
      <c r="D7231" s="326"/>
      <c r="E7231" s="326"/>
      <c r="F7231" s="326"/>
      <c r="G7231" s="326"/>
      <c r="H7231" s="326"/>
      <c r="P7231" s="318"/>
      <c r="Q7231" s="318"/>
      <c r="R7231" s="318"/>
      <c r="S7231" s="318"/>
      <c r="T7231" s="318"/>
      <c r="U7231" s="318"/>
      <c r="V7231" s="318"/>
      <c r="W7231" s="318"/>
      <c r="X7231" s="318"/>
      <c r="Y7231" s="318"/>
      <c r="Z7231" s="318"/>
      <c r="AA7231" s="318"/>
      <c r="AB7231" s="318"/>
      <c r="AC7231" s="318"/>
      <c r="AD7231" s="318"/>
    </row>
    <row r="7232" spans="2:30" s="323" customFormat="1" ht="12" customHeight="1">
      <c r="B7232" s="324"/>
      <c r="C7232" s="325"/>
      <c r="D7232" s="326"/>
      <c r="E7232" s="326"/>
      <c r="F7232" s="326"/>
      <c r="G7232" s="326"/>
      <c r="H7232" s="326"/>
      <c r="P7232" s="318"/>
      <c r="Q7232" s="318"/>
      <c r="R7232" s="318"/>
      <c r="S7232" s="318"/>
      <c r="T7232" s="318"/>
      <c r="U7232" s="318"/>
      <c r="V7232" s="318"/>
      <c r="W7232" s="318"/>
      <c r="X7232" s="318"/>
      <c r="Y7232" s="318"/>
      <c r="Z7232" s="318"/>
      <c r="AA7232" s="318"/>
      <c r="AB7232" s="318"/>
      <c r="AC7232" s="318"/>
      <c r="AD7232" s="318"/>
    </row>
    <row r="7233" spans="2:30" s="323" customFormat="1" ht="12" customHeight="1">
      <c r="B7233" s="324"/>
      <c r="C7233" s="325"/>
      <c r="D7233" s="326"/>
      <c r="E7233" s="326"/>
      <c r="F7233" s="326"/>
      <c r="G7233" s="326"/>
      <c r="H7233" s="326"/>
      <c r="P7233" s="318"/>
      <c r="Q7233" s="318"/>
      <c r="R7233" s="318"/>
      <c r="S7233" s="318"/>
      <c r="T7233" s="318"/>
      <c r="U7233" s="318"/>
      <c r="V7233" s="318"/>
      <c r="W7233" s="318"/>
      <c r="X7233" s="318"/>
      <c r="Y7233" s="318"/>
      <c r="Z7233" s="318"/>
      <c r="AA7233" s="318"/>
      <c r="AB7233" s="318"/>
      <c r="AC7233" s="318"/>
      <c r="AD7233" s="318"/>
    </row>
    <row r="7234" spans="2:30" s="323" customFormat="1" ht="12" customHeight="1">
      <c r="B7234" s="324"/>
      <c r="C7234" s="325"/>
      <c r="D7234" s="326"/>
      <c r="E7234" s="326"/>
      <c r="F7234" s="326"/>
      <c r="G7234" s="326"/>
      <c r="H7234" s="326"/>
      <c r="P7234" s="318"/>
      <c r="Q7234" s="318"/>
      <c r="R7234" s="318"/>
      <c r="S7234" s="318"/>
      <c r="T7234" s="318"/>
      <c r="U7234" s="318"/>
      <c r="V7234" s="318"/>
      <c r="W7234" s="318"/>
      <c r="X7234" s="318"/>
      <c r="Y7234" s="318"/>
      <c r="Z7234" s="318"/>
      <c r="AA7234" s="318"/>
      <c r="AB7234" s="318"/>
      <c r="AC7234" s="318"/>
      <c r="AD7234" s="318"/>
    </row>
    <row r="7235" spans="2:30" s="323" customFormat="1" ht="12" customHeight="1">
      <c r="B7235" s="324"/>
      <c r="C7235" s="325"/>
      <c r="D7235" s="326"/>
      <c r="E7235" s="326"/>
      <c r="F7235" s="326"/>
      <c r="G7235" s="326"/>
      <c r="H7235" s="326"/>
      <c r="P7235" s="318"/>
      <c r="Q7235" s="318"/>
      <c r="R7235" s="318"/>
      <c r="S7235" s="318"/>
      <c r="T7235" s="318"/>
      <c r="U7235" s="318"/>
      <c r="V7235" s="318"/>
      <c r="W7235" s="318"/>
      <c r="X7235" s="318"/>
      <c r="Y7235" s="318"/>
      <c r="Z7235" s="318"/>
      <c r="AA7235" s="318"/>
      <c r="AB7235" s="318"/>
      <c r="AC7235" s="318"/>
      <c r="AD7235" s="318"/>
    </row>
    <row r="7236" spans="2:30" s="323" customFormat="1" ht="12" customHeight="1">
      <c r="B7236" s="324"/>
      <c r="C7236" s="325"/>
      <c r="D7236" s="326"/>
      <c r="E7236" s="326"/>
      <c r="F7236" s="326"/>
      <c r="G7236" s="326"/>
      <c r="H7236" s="326"/>
      <c r="P7236" s="318"/>
      <c r="Q7236" s="318"/>
      <c r="R7236" s="318"/>
      <c r="S7236" s="318"/>
      <c r="T7236" s="318"/>
      <c r="U7236" s="318"/>
      <c r="V7236" s="318"/>
      <c r="W7236" s="318"/>
      <c r="X7236" s="318"/>
      <c r="Y7236" s="318"/>
      <c r="Z7236" s="318"/>
      <c r="AA7236" s="318"/>
      <c r="AB7236" s="318"/>
      <c r="AC7236" s="318"/>
      <c r="AD7236" s="318"/>
    </row>
    <row r="7237" spans="2:30" s="323" customFormat="1" ht="12" customHeight="1">
      <c r="B7237" s="324"/>
      <c r="C7237" s="325"/>
      <c r="D7237" s="326"/>
      <c r="E7237" s="326"/>
      <c r="F7237" s="326"/>
      <c r="G7237" s="326"/>
      <c r="H7237" s="326"/>
      <c r="P7237" s="318"/>
      <c r="Q7237" s="318"/>
      <c r="R7237" s="318"/>
      <c r="S7237" s="318"/>
      <c r="T7237" s="318"/>
      <c r="U7237" s="318"/>
      <c r="V7237" s="318"/>
      <c r="W7237" s="318"/>
      <c r="X7237" s="318"/>
      <c r="Y7237" s="318"/>
      <c r="Z7237" s="318"/>
      <c r="AA7237" s="318"/>
      <c r="AB7237" s="318"/>
      <c r="AC7237" s="318"/>
      <c r="AD7237" s="318"/>
    </row>
    <row r="7238" spans="2:30" s="323" customFormat="1" ht="12" customHeight="1">
      <c r="B7238" s="324"/>
      <c r="C7238" s="325"/>
      <c r="D7238" s="326"/>
      <c r="E7238" s="326"/>
      <c r="F7238" s="326"/>
      <c r="G7238" s="326"/>
      <c r="H7238" s="326"/>
      <c r="P7238" s="318"/>
      <c r="Q7238" s="318"/>
      <c r="R7238" s="318"/>
      <c r="S7238" s="318"/>
      <c r="T7238" s="318"/>
      <c r="U7238" s="318"/>
      <c r="V7238" s="318"/>
      <c r="W7238" s="318"/>
      <c r="X7238" s="318"/>
      <c r="Y7238" s="318"/>
      <c r="Z7238" s="318"/>
      <c r="AA7238" s="318"/>
      <c r="AB7238" s="318"/>
      <c r="AC7238" s="318"/>
      <c r="AD7238" s="318"/>
    </row>
    <row r="7239" spans="2:30" s="323" customFormat="1" ht="12" customHeight="1">
      <c r="B7239" s="324"/>
      <c r="C7239" s="325"/>
      <c r="D7239" s="326"/>
      <c r="E7239" s="326"/>
      <c r="F7239" s="326"/>
      <c r="G7239" s="326"/>
      <c r="H7239" s="326"/>
      <c r="P7239" s="318"/>
      <c r="Q7239" s="318"/>
      <c r="R7239" s="318"/>
      <c r="S7239" s="318"/>
      <c r="T7239" s="318"/>
      <c r="U7239" s="318"/>
      <c r="V7239" s="318"/>
      <c r="W7239" s="318"/>
      <c r="X7239" s="318"/>
      <c r="Y7239" s="318"/>
      <c r="Z7239" s="318"/>
      <c r="AA7239" s="318"/>
      <c r="AB7239" s="318"/>
      <c r="AC7239" s="318"/>
      <c r="AD7239" s="318"/>
    </row>
    <row r="7240" spans="2:30" s="323" customFormat="1" ht="12" customHeight="1">
      <c r="B7240" s="324"/>
      <c r="C7240" s="325"/>
      <c r="D7240" s="326"/>
      <c r="E7240" s="326"/>
      <c r="F7240" s="326"/>
      <c r="G7240" s="326"/>
      <c r="H7240" s="326"/>
      <c r="P7240" s="318"/>
      <c r="Q7240" s="318"/>
      <c r="R7240" s="318"/>
      <c r="S7240" s="318"/>
      <c r="T7240" s="318"/>
      <c r="U7240" s="318"/>
      <c r="V7240" s="318"/>
      <c r="W7240" s="318"/>
      <c r="X7240" s="318"/>
      <c r="Y7240" s="318"/>
      <c r="Z7240" s="318"/>
      <c r="AA7240" s="318"/>
      <c r="AB7240" s="318"/>
      <c r="AC7240" s="318"/>
      <c r="AD7240" s="318"/>
    </row>
    <row r="7241" spans="2:30" s="323" customFormat="1" ht="12" customHeight="1">
      <c r="B7241" s="324"/>
      <c r="C7241" s="325"/>
      <c r="D7241" s="326"/>
      <c r="E7241" s="326"/>
      <c r="F7241" s="326"/>
      <c r="G7241" s="326"/>
      <c r="H7241" s="326"/>
      <c r="P7241" s="318"/>
      <c r="Q7241" s="318"/>
      <c r="R7241" s="318"/>
      <c r="S7241" s="318"/>
      <c r="T7241" s="318"/>
      <c r="U7241" s="318"/>
      <c r="V7241" s="318"/>
      <c r="W7241" s="318"/>
      <c r="X7241" s="318"/>
      <c r="Y7241" s="318"/>
      <c r="Z7241" s="318"/>
      <c r="AA7241" s="318"/>
      <c r="AB7241" s="318"/>
      <c r="AC7241" s="318"/>
      <c r="AD7241" s="318"/>
    </row>
    <row r="7242" spans="2:30" s="323" customFormat="1" ht="12" customHeight="1">
      <c r="B7242" s="324"/>
      <c r="C7242" s="325"/>
      <c r="D7242" s="326"/>
      <c r="E7242" s="326"/>
      <c r="F7242" s="326"/>
      <c r="G7242" s="326"/>
      <c r="H7242" s="326"/>
      <c r="P7242" s="318"/>
      <c r="Q7242" s="318"/>
      <c r="R7242" s="318"/>
      <c r="S7242" s="318"/>
      <c r="T7242" s="318"/>
      <c r="U7242" s="318"/>
      <c r="V7242" s="318"/>
      <c r="W7242" s="318"/>
      <c r="X7242" s="318"/>
      <c r="Y7242" s="318"/>
      <c r="Z7242" s="318"/>
      <c r="AA7242" s="318"/>
      <c r="AB7242" s="318"/>
      <c r="AC7242" s="318"/>
      <c r="AD7242" s="318"/>
    </row>
    <row r="7243" spans="2:30" s="323" customFormat="1" ht="12" customHeight="1">
      <c r="B7243" s="324"/>
      <c r="C7243" s="325"/>
      <c r="D7243" s="326"/>
      <c r="E7243" s="326"/>
      <c r="F7243" s="326"/>
      <c r="G7243" s="326"/>
      <c r="H7243" s="326"/>
      <c r="P7243" s="318"/>
      <c r="Q7243" s="318"/>
      <c r="R7243" s="318"/>
      <c r="S7243" s="318"/>
      <c r="T7243" s="318"/>
      <c r="U7243" s="318"/>
      <c r="V7243" s="318"/>
      <c r="W7243" s="318"/>
      <c r="X7243" s="318"/>
      <c r="Y7243" s="318"/>
      <c r="Z7243" s="318"/>
      <c r="AA7243" s="318"/>
      <c r="AB7243" s="318"/>
      <c r="AC7243" s="318"/>
      <c r="AD7243" s="318"/>
    </row>
    <row r="7244" spans="2:30" s="323" customFormat="1" ht="12" customHeight="1">
      <c r="B7244" s="324"/>
      <c r="C7244" s="325"/>
      <c r="D7244" s="326"/>
      <c r="E7244" s="326"/>
      <c r="F7244" s="326"/>
      <c r="G7244" s="326"/>
      <c r="H7244" s="326"/>
      <c r="P7244" s="318"/>
      <c r="Q7244" s="318"/>
      <c r="R7244" s="318"/>
      <c r="S7244" s="318"/>
      <c r="T7244" s="318"/>
      <c r="U7244" s="318"/>
      <c r="V7244" s="318"/>
      <c r="W7244" s="318"/>
      <c r="X7244" s="318"/>
      <c r="Y7244" s="318"/>
      <c r="Z7244" s="318"/>
      <c r="AA7244" s="318"/>
      <c r="AB7244" s="318"/>
      <c r="AC7244" s="318"/>
      <c r="AD7244" s="318"/>
    </row>
    <row r="7245" spans="2:30" s="323" customFormat="1" ht="12" customHeight="1">
      <c r="B7245" s="324"/>
      <c r="C7245" s="325"/>
      <c r="D7245" s="326"/>
      <c r="E7245" s="326"/>
      <c r="F7245" s="326"/>
      <c r="G7245" s="326"/>
      <c r="H7245" s="326"/>
      <c r="P7245" s="318"/>
      <c r="Q7245" s="318"/>
      <c r="R7245" s="318"/>
      <c r="S7245" s="318"/>
      <c r="T7245" s="318"/>
      <c r="U7245" s="318"/>
      <c r="V7245" s="318"/>
      <c r="W7245" s="318"/>
      <c r="X7245" s="318"/>
      <c r="Y7245" s="318"/>
      <c r="Z7245" s="318"/>
      <c r="AA7245" s="318"/>
      <c r="AB7245" s="318"/>
      <c r="AC7245" s="318"/>
      <c r="AD7245" s="318"/>
    </row>
    <row r="7246" spans="2:30" s="323" customFormat="1" ht="12" customHeight="1">
      <c r="B7246" s="324"/>
      <c r="C7246" s="325"/>
      <c r="D7246" s="326"/>
      <c r="E7246" s="326"/>
      <c r="F7246" s="326"/>
      <c r="G7246" s="326"/>
      <c r="H7246" s="326"/>
      <c r="P7246" s="318"/>
      <c r="Q7246" s="318"/>
      <c r="R7246" s="318"/>
      <c r="S7246" s="318"/>
      <c r="T7246" s="318"/>
      <c r="U7246" s="318"/>
      <c r="V7246" s="318"/>
      <c r="W7246" s="318"/>
      <c r="X7246" s="318"/>
      <c r="Y7246" s="318"/>
      <c r="Z7246" s="318"/>
      <c r="AA7246" s="318"/>
      <c r="AB7246" s="318"/>
      <c r="AC7246" s="318"/>
      <c r="AD7246" s="318"/>
    </row>
    <row r="7247" spans="2:30" s="323" customFormat="1" ht="12" customHeight="1">
      <c r="B7247" s="324"/>
      <c r="C7247" s="325"/>
      <c r="D7247" s="326"/>
      <c r="E7247" s="326"/>
      <c r="F7247" s="326"/>
      <c r="G7247" s="326"/>
      <c r="H7247" s="326"/>
      <c r="P7247" s="318"/>
      <c r="Q7247" s="318"/>
      <c r="R7247" s="318"/>
      <c r="S7247" s="318"/>
      <c r="T7247" s="318"/>
      <c r="U7247" s="318"/>
      <c r="V7247" s="318"/>
      <c r="W7247" s="318"/>
      <c r="X7247" s="318"/>
      <c r="Y7247" s="318"/>
      <c r="Z7247" s="318"/>
      <c r="AA7247" s="318"/>
      <c r="AB7247" s="318"/>
      <c r="AC7247" s="318"/>
      <c r="AD7247" s="318"/>
    </row>
    <row r="7248" spans="2:30" s="323" customFormat="1" ht="12" customHeight="1">
      <c r="B7248" s="324"/>
      <c r="C7248" s="325"/>
      <c r="D7248" s="326"/>
      <c r="E7248" s="326"/>
      <c r="F7248" s="326"/>
      <c r="G7248" s="326"/>
      <c r="H7248" s="326"/>
      <c r="P7248" s="318"/>
      <c r="Q7248" s="318"/>
      <c r="R7248" s="318"/>
      <c r="S7248" s="318"/>
      <c r="T7248" s="318"/>
      <c r="U7248" s="318"/>
      <c r="V7248" s="318"/>
      <c r="W7248" s="318"/>
      <c r="X7248" s="318"/>
      <c r="Y7248" s="318"/>
      <c r="Z7248" s="318"/>
      <c r="AA7248" s="318"/>
      <c r="AB7248" s="318"/>
      <c r="AC7248" s="318"/>
      <c r="AD7248" s="318"/>
    </row>
    <row r="7249" spans="2:30" s="323" customFormat="1" ht="12" customHeight="1">
      <c r="B7249" s="324"/>
      <c r="C7249" s="325"/>
      <c r="D7249" s="326"/>
      <c r="E7249" s="326"/>
      <c r="F7249" s="326"/>
      <c r="G7249" s="326"/>
      <c r="H7249" s="326"/>
      <c r="P7249" s="318"/>
      <c r="Q7249" s="318"/>
      <c r="R7249" s="318"/>
      <c r="S7249" s="318"/>
      <c r="T7249" s="318"/>
      <c r="U7249" s="318"/>
      <c r="V7249" s="318"/>
      <c r="W7249" s="318"/>
      <c r="X7249" s="318"/>
      <c r="Y7249" s="318"/>
      <c r="Z7249" s="318"/>
      <c r="AA7249" s="318"/>
      <c r="AB7249" s="318"/>
      <c r="AC7249" s="318"/>
      <c r="AD7249" s="318"/>
    </row>
    <row r="7250" spans="2:30" s="323" customFormat="1" ht="12" customHeight="1">
      <c r="B7250" s="324"/>
      <c r="C7250" s="325"/>
      <c r="D7250" s="326"/>
      <c r="E7250" s="326"/>
      <c r="F7250" s="326"/>
      <c r="G7250" s="326"/>
      <c r="H7250" s="326"/>
      <c r="P7250" s="318"/>
      <c r="Q7250" s="318"/>
      <c r="R7250" s="318"/>
      <c r="S7250" s="318"/>
      <c r="T7250" s="318"/>
      <c r="U7250" s="318"/>
      <c r="V7250" s="318"/>
      <c r="W7250" s="318"/>
      <c r="X7250" s="318"/>
      <c r="Y7250" s="318"/>
      <c r="Z7250" s="318"/>
      <c r="AA7250" s="318"/>
      <c r="AB7250" s="318"/>
      <c r="AC7250" s="318"/>
      <c r="AD7250" s="318"/>
    </row>
    <row r="7251" spans="2:30" s="323" customFormat="1" ht="12" customHeight="1">
      <c r="B7251" s="324"/>
      <c r="C7251" s="325"/>
      <c r="D7251" s="326"/>
      <c r="E7251" s="326"/>
      <c r="F7251" s="326"/>
      <c r="G7251" s="326"/>
      <c r="H7251" s="326"/>
      <c r="P7251" s="318"/>
      <c r="Q7251" s="318"/>
      <c r="R7251" s="318"/>
      <c r="S7251" s="318"/>
      <c r="T7251" s="318"/>
      <c r="U7251" s="318"/>
      <c r="V7251" s="318"/>
      <c r="W7251" s="318"/>
      <c r="X7251" s="318"/>
      <c r="Y7251" s="318"/>
      <c r="Z7251" s="318"/>
      <c r="AA7251" s="318"/>
      <c r="AB7251" s="318"/>
      <c r="AC7251" s="318"/>
      <c r="AD7251" s="318"/>
    </row>
    <row r="7252" spans="2:30" s="323" customFormat="1" ht="12" customHeight="1">
      <c r="B7252" s="324"/>
      <c r="C7252" s="325"/>
      <c r="D7252" s="326"/>
      <c r="E7252" s="326"/>
      <c r="F7252" s="326"/>
      <c r="G7252" s="326"/>
      <c r="H7252" s="326"/>
      <c r="P7252" s="318"/>
      <c r="Q7252" s="318"/>
      <c r="R7252" s="318"/>
      <c r="S7252" s="318"/>
      <c r="T7252" s="318"/>
      <c r="U7252" s="318"/>
      <c r="V7252" s="318"/>
      <c r="W7252" s="318"/>
      <c r="X7252" s="318"/>
      <c r="Y7252" s="318"/>
      <c r="Z7252" s="318"/>
      <c r="AA7252" s="318"/>
      <c r="AB7252" s="318"/>
      <c r="AC7252" s="318"/>
      <c r="AD7252" s="318"/>
    </row>
    <row r="7253" spans="2:30" s="323" customFormat="1" ht="12" customHeight="1">
      <c r="B7253" s="324"/>
      <c r="C7253" s="325"/>
      <c r="D7253" s="326"/>
      <c r="E7253" s="326"/>
      <c r="F7253" s="326"/>
      <c r="G7253" s="326"/>
      <c r="H7253" s="326"/>
      <c r="P7253" s="318"/>
      <c r="Q7253" s="318"/>
      <c r="R7253" s="318"/>
      <c r="S7253" s="318"/>
      <c r="T7253" s="318"/>
      <c r="U7253" s="318"/>
      <c r="V7253" s="318"/>
      <c r="W7253" s="318"/>
      <c r="X7253" s="318"/>
      <c r="Y7253" s="318"/>
      <c r="Z7253" s="318"/>
      <c r="AA7253" s="318"/>
      <c r="AB7253" s="318"/>
      <c r="AC7253" s="318"/>
      <c r="AD7253" s="318"/>
    </row>
    <row r="7254" spans="2:30" s="323" customFormat="1" ht="12" customHeight="1">
      <c r="B7254" s="324"/>
      <c r="C7254" s="325"/>
      <c r="D7254" s="326"/>
      <c r="E7254" s="326"/>
      <c r="F7254" s="326"/>
      <c r="G7254" s="326"/>
      <c r="H7254" s="326"/>
      <c r="P7254" s="318"/>
      <c r="Q7254" s="318"/>
      <c r="R7254" s="318"/>
      <c r="S7254" s="318"/>
      <c r="T7254" s="318"/>
      <c r="U7254" s="318"/>
      <c r="V7254" s="318"/>
      <c r="W7254" s="318"/>
      <c r="X7254" s="318"/>
      <c r="Y7254" s="318"/>
      <c r="Z7254" s="318"/>
      <c r="AA7254" s="318"/>
      <c r="AB7254" s="318"/>
      <c r="AC7254" s="318"/>
      <c r="AD7254" s="318"/>
    </row>
    <row r="7255" spans="2:30" s="323" customFormat="1" ht="12" customHeight="1">
      <c r="B7255" s="324"/>
      <c r="C7255" s="325"/>
      <c r="D7255" s="326"/>
      <c r="E7255" s="326"/>
      <c r="F7255" s="326"/>
      <c r="G7255" s="326"/>
      <c r="H7255" s="326"/>
      <c r="P7255" s="318"/>
      <c r="Q7255" s="318"/>
      <c r="R7255" s="318"/>
      <c r="S7255" s="318"/>
      <c r="T7255" s="318"/>
      <c r="U7255" s="318"/>
      <c r="V7255" s="318"/>
      <c r="W7255" s="318"/>
      <c r="X7255" s="318"/>
      <c r="Y7255" s="318"/>
      <c r="Z7255" s="318"/>
      <c r="AA7255" s="318"/>
      <c r="AB7255" s="318"/>
      <c r="AC7255" s="318"/>
      <c r="AD7255" s="318"/>
    </row>
    <row r="7256" spans="2:30" s="323" customFormat="1" ht="12" customHeight="1">
      <c r="B7256" s="324"/>
      <c r="C7256" s="325"/>
      <c r="D7256" s="326"/>
      <c r="E7256" s="326"/>
      <c r="F7256" s="326"/>
      <c r="G7256" s="326"/>
      <c r="H7256" s="326"/>
      <c r="P7256" s="318"/>
      <c r="Q7256" s="318"/>
      <c r="R7256" s="318"/>
      <c r="S7256" s="318"/>
      <c r="T7256" s="318"/>
      <c r="U7256" s="318"/>
      <c r="V7256" s="318"/>
      <c r="W7256" s="318"/>
      <c r="X7256" s="318"/>
      <c r="Y7256" s="318"/>
      <c r="Z7256" s="318"/>
      <c r="AA7256" s="318"/>
      <c r="AB7256" s="318"/>
      <c r="AC7256" s="318"/>
      <c r="AD7256" s="318"/>
    </row>
    <row r="7257" spans="2:30" s="323" customFormat="1" ht="12" customHeight="1">
      <c r="B7257" s="324"/>
      <c r="C7257" s="325"/>
      <c r="D7257" s="326"/>
      <c r="E7257" s="326"/>
      <c r="F7257" s="326"/>
      <c r="G7257" s="326"/>
      <c r="H7257" s="326"/>
      <c r="P7257" s="318"/>
      <c r="Q7257" s="318"/>
      <c r="R7257" s="318"/>
      <c r="S7257" s="318"/>
      <c r="T7257" s="318"/>
      <c r="U7257" s="318"/>
      <c r="V7257" s="318"/>
      <c r="W7257" s="318"/>
      <c r="X7257" s="318"/>
      <c r="Y7257" s="318"/>
      <c r="Z7257" s="318"/>
      <c r="AA7257" s="318"/>
      <c r="AB7257" s="318"/>
      <c r="AC7257" s="318"/>
      <c r="AD7257" s="318"/>
    </row>
    <row r="7258" spans="2:30" s="323" customFormat="1" ht="12" customHeight="1">
      <c r="B7258" s="324"/>
      <c r="C7258" s="325"/>
      <c r="D7258" s="326"/>
      <c r="E7258" s="326"/>
      <c r="F7258" s="326"/>
      <c r="G7258" s="326"/>
      <c r="H7258" s="326"/>
      <c r="P7258" s="318"/>
      <c r="Q7258" s="318"/>
      <c r="R7258" s="318"/>
      <c r="S7258" s="318"/>
      <c r="T7258" s="318"/>
      <c r="U7258" s="318"/>
      <c r="V7258" s="318"/>
      <c r="W7258" s="318"/>
      <c r="X7258" s="318"/>
      <c r="Y7258" s="318"/>
      <c r="Z7258" s="318"/>
      <c r="AA7258" s="318"/>
      <c r="AB7258" s="318"/>
      <c r="AC7258" s="318"/>
      <c r="AD7258" s="318"/>
    </row>
    <row r="7259" spans="2:30" s="323" customFormat="1" ht="12" customHeight="1">
      <c r="B7259" s="324"/>
      <c r="C7259" s="325"/>
      <c r="D7259" s="326"/>
      <c r="E7259" s="326"/>
      <c r="F7259" s="326"/>
      <c r="G7259" s="326"/>
      <c r="H7259" s="326"/>
      <c r="P7259" s="318"/>
      <c r="Q7259" s="318"/>
      <c r="R7259" s="318"/>
      <c r="S7259" s="318"/>
      <c r="T7259" s="318"/>
      <c r="U7259" s="318"/>
      <c r="V7259" s="318"/>
      <c r="W7259" s="318"/>
      <c r="X7259" s="318"/>
      <c r="Y7259" s="318"/>
      <c r="Z7259" s="318"/>
      <c r="AA7259" s="318"/>
      <c r="AB7259" s="318"/>
      <c r="AC7259" s="318"/>
      <c r="AD7259" s="318"/>
    </row>
    <row r="7260" spans="2:30" s="323" customFormat="1" ht="12" customHeight="1">
      <c r="B7260" s="324"/>
      <c r="C7260" s="325"/>
      <c r="D7260" s="326"/>
      <c r="E7260" s="326"/>
      <c r="F7260" s="326"/>
      <c r="G7260" s="326"/>
      <c r="H7260" s="326"/>
      <c r="P7260" s="318"/>
      <c r="Q7260" s="318"/>
      <c r="R7260" s="318"/>
      <c r="S7260" s="318"/>
      <c r="T7260" s="318"/>
      <c r="U7260" s="318"/>
      <c r="V7260" s="318"/>
      <c r="W7260" s="318"/>
      <c r="X7260" s="318"/>
      <c r="Y7260" s="318"/>
      <c r="Z7260" s="318"/>
      <c r="AA7260" s="318"/>
      <c r="AB7260" s="318"/>
      <c r="AC7260" s="318"/>
      <c r="AD7260" s="318"/>
    </row>
    <row r="7261" spans="2:30" s="323" customFormat="1" ht="12" customHeight="1">
      <c r="B7261" s="324"/>
      <c r="C7261" s="325"/>
      <c r="D7261" s="326"/>
      <c r="E7261" s="326"/>
      <c r="F7261" s="326"/>
      <c r="G7261" s="326"/>
      <c r="H7261" s="326"/>
      <c r="P7261" s="318"/>
      <c r="Q7261" s="318"/>
      <c r="R7261" s="318"/>
      <c r="S7261" s="318"/>
      <c r="T7261" s="318"/>
      <c r="U7261" s="318"/>
      <c r="V7261" s="318"/>
      <c r="W7261" s="318"/>
      <c r="X7261" s="318"/>
      <c r="Y7261" s="318"/>
      <c r="Z7261" s="318"/>
      <c r="AA7261" s="318"/>
      <c r="AB7261" s="318"/>
      <c r="AC7261" s="318"/>
      <c r="AD7261" s="318"/>
    </row>
    <row r="7262" spans="2:30" s="323" customFormat="1" ht="12" customHeight="1">
      <c r="B7262" s="324"/>
      <c r="C7262" s="325"/>
      <c r="D7262" s="326"/>
      <c r="E7262" s="326"/>
      <c r="F7262" s="326"/>
      <c r="G7262" s="326"/>
      <c r="H7262" s="326"/>
      <c r="P7262" s="318"/>
      <c r="Q7262" s="318"/>
      <c r="R7262" s="318"/>
      <c r="S7262" s="318"/>
      <c r="T7262" s="318"/>
      <c r="U7262" s="318"/>
      <c r="V7262" s="318"/>
      <c r="W7262" s="318"/>
      <c r="X7262" s="318"/>
      <c r="Y7262" s="318"/>
      <c r="Z7262" s="318"/>
      <c r="AA7262" s="318"/>
      <c r="AB7262" s="318"/>
      <c r="AC7262" s="318"/>
      <c r="AD7262" s="318"/>
    </row>
    <row r="7263" spans="2:30" s="323" customFormat="1" ht="12" customHeight="1">
      <c r="B7263" s="324"/>
      <c r="C7263" s="325"/>
      <c r="D7263" s="326"/>
      <c r="E7263" s="326"/>
      <c r="F7263" s="326"/>
      <c r="G7263" s="326"/>
      <c r="H7263" s="326"/>
      <c r="P7263" s="318"/>
      <c r="Q7263" s="318"/>
      <c r="R7263" s="318"/>
      <c r="S7263" s="318"/>
      <c r="T7263" s="318"/>
      <c r="U7263" s="318"/>
      <c r="V7263" s="318"/>
      <c r="W7263" s="318"/>
      <c r="X7263" s="318"/>
      <c r="Y7263" s="318"/>
      <c r="Z7263" s="318"/>
      <c r="AA7263" s="318"/>
      <c r="AB7263" s="318"/>
      <c r="AC7263" s="318"/>
      <c r="AD7263" s="318"/>
    </row>
    <row r="7264" spans="2:30" s="323" customFormat="1" ht="12" customHeight="1">
      <c r="B7264" s="324"/>
      <c r="C7264" s="325"/>
      <c r="D7264" s="326"/>
      <c r="E7264" s="326"/>
      <c r="F7264" s="326"/>
      <c r="G7264" s="326"/>
      <c r="H7264" s="326"/>
      <c r="P7264" s="318"/>
      <c r="Q7264" s="318"/>
      <c r="R7264" s="318"/>
      <c r="S7264" s="318"/>
      <c r="T7264" s="318"/>
      <c r="U7264" s="318"/>
      <c r="V7264" s="318"/>
      <c r="W7264" s="318"/>
      <c r="X7264" s="318"/>
      <c r="Y7264" s="318"/>
      <c r="Z7264" s="318"/>
      <c r="AA7264" s="318"/>
      <c r="AB7264" s="318"/>
      <c r="AC7264" s="318"/>
      <c r="AD7264" s="318"/>
    </row>
    <row r="7265" spans="2:30" s="323" customFormat="1" ht="12" customHeight="1">
      <c r="B7265" s="324"/>
      <c r="C7265" s="325"/>
      <c r="D7265" s="326"/>
      <c r="E7265" s="326"/>
      <c r="F7265" s="326"/>
      <c r="G7265" s="326"/>
      <c r="H7265" s="326"/>
      <c r="P7265" s="318"/>
      <c r="Q7265" s="318"/>
      <c r="R7265" s="318"/>
      <c r="S7265" s="318"/>
      <c r="T7265" s="318"/>
      <c r="U7265" s="318"/>
      <c r="V7265" s="318"/>
      <c r="W7265" s="318"/>
      <c r="X7265" s="318"/>
      <c r="Y7265" s="318"/>
      <c r="Z7265" s="318"/>
      <c r="AA7265" s="318"/>
      <c r="AB7265" s="318"/>
      <c r="AC7265" s="318"/>
      <c r="AD7265" s="318"/>
    </row>
    <row r="7266" spans="2:30" s="323" customFormat="1" ht="12" customHeight="1">
      <c r="B7266" s="324"/>
      <c r="C7266" s="325"/>
      <c r="D7266" s="326"/>
      <c r="E7266" s="326"/>
      <c r="F7266" s="326"/>
      <c r="G7266" s="326"/>
      <c r="H7266" s="326"/>
      <c r="P7266" s="318"/>
      <c r="Q7266" s="318"/>
      <c r="R7266" s="318"/>
      <c r="S7266" s="318"/>
      <c r="T7266" s="318"/>
      <c r="U7266" s="318"/>
      <c r="V7266" s="318"/>
      <c r="W7266" s="318"/>
      <c r="X7266" s="318"/>
      <c r="Y7266" s="318"/>
      <c r="Z7266" s="318"/>
      <c r="AA7266" s="318"/>
      <c r="AB7266" s="318"/>
      <c r="AC7266" s="318"/>
      <c r="AD7266" s="318"/>
    </row>
    <row r="7267" spans="2:30" s="323" customFormat="1" ht="12" customHeight="1">
      <c r="B7267" s="324"/>
      <c r="C7267" s="325"/>
      <c r="D7267" s="326"/>
      <c r="E7267" s="326"/>
      <c r="F7267" s="326"/>
      <c r="G7267" s="326"/>
      <c r="H7267" s="326"/>
      <c r="P7267" s="318"/>
      <c r="Q7267" s="318"/>
      <c r="R7267" s="318"/>
      <c r="S7267" s="318"/>
      <c r="T7267" s="318"/>
      <c r="U7267" s="318"/>
      <c r="V7267" s="318"/>
      <c r="W7267" s="318"/>
      <c r="X7267" s="318"/>
      <c r="Y7267" s="318"/>
      <c r="Z7267" s="318"/>
      <c r="AA7267" s="318"/>
      <c r="AB7267" s="318"/>
      <c r="AC7267" s="318"/>
      <c r="AD7267" s="318"/>
    </row>
    <row r="7268" spans="2:30" s="323" customFormat="1" ht="12" customHeight="1">
      <c r="B7268" s="324"/>
      <c r="C7268" s="325"/>
      <c r="D7268" s="326"/>
      <c r="E7268" s="326"/>
      <c r="F7268" s="326"/>
      <c r="G7268" s="326"/>
      <c r="H7268" s="326"/>
      <c r="P7268" s="318"/>
      <c r="Q7268" s="318"/>
      <c r="R7268" s="318"/>
      <c r="S7268" s="318"/>
      <c r="T7268" s="318"/>
      <c r="U7268" s="318"/>
      <c r="V7268" s="318"/>
      <c r="W7268" s="318"/>
      <c r="X7268" s="318"/>
      <c r="Y7268" s="318"/>
      <c r="Z7268" s="318"/>
      <c r="AA7268" s="318"/>
      <c r="AB7268" s="318"/>
      <c r="AC7268" s="318"/>
      <c r="AD7268" s="318"/>
    </row>
    <row r="7269" spans="2:30" s="323" customFormat="1" ht="12" customHeight="1">
      <c r="B7269" s="324"/>
      <c r="C7269" s="325"/>
      <c r="D7269" s="326"/>
      <c r="E7269" s="326"/>
      <c r="F7269" s="326"/>
      <c r="G7269" s="326"/>
      <c r="H7269" s="326"/>
      <c r="P7269" s="318"/>
      <c r="Q7269" s="318"/>
      <c r="R7269" s="318"/>
      <c r="S7269" s="318"/>
      <c r="T7269" s="318"/>
      <c r="U7269" s="318"/>
      <c r="V7269" s="318"/>
      <c r="W7269" s="318"/>
      <c r="X7269" s="318"/>
      <c r="Y7269" s="318"/>
      <c r="Z7269" s="318"/>
      <c r="AA7269" s="318"/>
      <c r="AB7269" s="318"/>
      <c r="AC7269" s="318"/>
      <c r="AD7269" s="318"/>
    </row>
    <row r="7270" spans="2:30" s="323" customFormat="1" ht="12" customHeight="1">
      <c r="B7270" s="324"/>
      <c r="C7270" s="325"/>
      <c r="D7270" s="326"/>
      <c r="E7270" s="326"/>
      <c r="F7270" s="326"/>
      <c r="G7270" s="326"/>
      <c r="H7270" s="326"/>
      <c r="P7270" s="318"/>
      <c r="Q7270" s="318"/>
      <c r="R7270" s="318"/>
      <c r="S7270" s="318"/>
      <c r="T7270" s="318"/>
      <c r="U7270" s="318"/>
      <c r="V7270" s="318"/>
      <c r="W7270" s="318"/>
      <c r="X7270" s="318"/>
      <c r="Y7270" s="318"/>
      <c r="Z7270" s="318"/>
      <c r="AA7270" s="318"/>
      <c r="AB7270" s="318"/>
      <c r="AC7270" s="318"/>
      <c r="AD7270" s="318"/>
    </row>
    <row r="7271" spans="2:30" s="323" customFormat="1" ht="12" customHeight="1">
      <c r="B7271" s="324"/>
      <c r="C7271" s="325"/>
      <c r="D7271" s="326"/>
      <c r="E7271" s="326"/>
      <c r="F7271" s="326"/>
      <c r="G7271" s="326"/>
      <c r="H7271" s="326"/>
      <c r="P7271" s="318"/>
      <c r="Q7271" s="318"/>
      <c r="R7271" s="318"/>
      <c r="S7271" s="318"/>
      <c r="T7271" s="318"/>
      <c r="U7271" s="318"/>
      <c r="V7271" s="318"/>
      <c r="W7271" s="318"/>
      <c r="X7271" s="318"/>
      <c r="Y7271" s="318"/>
      <c r="Z7271" s="318"/>
      <c r="AA7271" s="318"/>
      <c r="AB7271" s="318"/>
      <c r="AC7271" s="318"/>
      <c r="AD7271" s="318"/>
    </row>
    <row r="7272" spans="2:30" s="323" customFormat="1" ht="12" customHeight="1">
      <c r="B7272" s="324"/>
      <c r="C7272" s="325"/>
      <c r="D7272" s="326"/>
      <c r="E7272" s="326"/>
      <c r="F7272" s="326"/>
      <c r="G7272" s="326"/>
      <c r="H7272" s="326"/>
      <c r="P7272" s="318"/>
      <c r="Q7272" s="318"/>
      <c r="R7272" s="318"/>
      <c r="S7272" s="318"/>
      <c r="T7272" s="318"/>
      <c r="U7272" s="318"/>
      <c r="V7272" s="318"/>
      <c r="W7272" s="318"/>
      <c r="X7272" s="318"/>
      <c r="Y7272" s="318"/>
      <c r="Z7272" s="318"/>
      <c r="AA7272" s="318"/>
      <c r="AB7272" s="318"/>
      <c r="AC7272" s="318"/>
      <c r="AD7272" s="318"/>
    </row>
    <row r="7273" spans="2:30" s="323" customFormat="1" ht="12" customHeight="1">
      <c r="B7273" s="324"/>
      <c r="C7273" s="325"/>
      <c r="D7273" s="326"/>
      <c r="E7273" s="326"/>
      <c r="F7273" s="326"/>
      <c r="G7273" s="326"/>
      <c r="H7273" s="326"/>
      <c r="P7273" s="318"/>
      <c r="Q7273" s="318"/>
      <c r="R7273" s="318"/>
      <c r="S7273" s="318"/>
      <c r="T7273" s="318"/>
      <c r="U7273" s="318"/>
      <c r="V7273" s="318"/>
      <c r="W7273" s="318"/>
      <c r="X7273" s="318"/>
      <c r="Y7273" s="318"/>
      <c r="Z7273" s="318"/>
      <c r="AA7273" s="318"/>
      <c r="AB7273" s="318"/>
      <c r="AC7273" s="318"/>
      <c r="AD7273" s="318"/>
    </row>
    <row r="7274" spans="2:30" s="323" customFormat="1" ht="12" customHeight="1">
      <c r="B7274" s="324"/>
      <c r="C7274" s="325"/>
      <c r="D7274" s="326"/>
      <c r="E7274" s="326"/>
      <c r="F7274" s="326"/>
      <c r="G7274" s="326"/>
      <c r="H7274" s="326"/>
      <c r="P7274" s="318"/>
      <c r="Q7274" s="318"/>
      <c r="R7274" s="318"/>
      <c r="S7274" s="318"/>
      <c r="T7274" s="318"/>
      <c r="U7274" s="318"/>
      <c r="V7274" s="318"/>
      <c r="W7274" s="318"/>
      <c r="X7274" s="318"/>
      <c r="Y7274" s="318"/>
      <c r="Z7274" s="318"/>
      <c r="AA7274" s="318"/>
      <c r="AB7274" s="318"/>
      <c r="AC7274" s="318"/>
      <c r="AD7274" s="318"/>
    </row>
    <row r="7275" spans="2:30" s="323" customFormat="1" ht="12" customHeight="1">
      <c r="B7275" s="324"/>
      <c r="C7275" s="325"/>
      <c r="D7275" s="326"/>
      <c r="E7275" s="326"/>
      <c r="F7275" s="326"/>
      <c r="G7275" s="326"/>
      <c r="H7275" s="326"/>
      <c r="P7275" s="318"/>
      <c r="Q7275" s="318"/>
      <c r="R7275" s="318"/>
      <c r="S7275" s="318"/>
      <c r="T7275" s="318"/>
      <c r="U7275" s="318"/>
      <c r="V7275" s="318"/>
      <c r="W7275" s="318"/>
      <c r="X7275" s="318"/>
      <c r="Y7275" s="318"/>
      <c r="Z7275" s="318"/>
      <c r="AA7275" s="318"/>
      <c r="AB7275" s="318"/>
      <c r="AC7275" s="318"/>
      <c r="AD7275" s="318"/>
    </row>
    <row r="7276" spans="2:30" s="323" customFormat="1" ht="12" customHeight="1">
      <c r="B7276" s="324"/>
      <c r="C7276" s="325"/>
      <c r="D7276" s="326"/>
      <c r="E7276" s="326"/>
      <c r="F7276" s="326"/>
      <c r="G7276" s="326"/>
      <c r="H7276" s="326"/>
      <c r="P7276" s="318"/>
      <c r="Q7276" s="318"/>
      <c r="R7276" s="318"/>
      <c r="S7276" s="318"/>
      <c r="T7276" s="318"/>
      <c r="U7276" s="318"/>
      <c r="V7276" s="318"/>
      <c r="W7276" s="318"/>
      <c r="X7276" s="318"/>
      <c r="Y7276" s="318"/>
      <c r="Z7276" s="318"/>
      <c r="AA7276" s="318"/>
      <c r="AB7276" s="318"/>
      <c r="AC7276" s="318"/>
      <c r="AD7276" s="318"/>
    </row>
    <row r="7277" spans="2:30" s="323" customFormat="1" ht="12" customHeight="1">
      <c r="B7277" s="324"/>
      <c r="C7277" s="325"/>
      <c r="D7277" s="326"/>
      <c r="E7277" s="326"/>
      <c r="F7277" s="326"/>
      <c r="G7277" s="326"/>
      <c r="H7277" s="326"/>
      <c r="P7277" s="318"/>
      <c r="Q7277" s="318"/>
      <c r="R7277" s="318"/>
      <c r="S7277" s="318"/>
      <c r="T7277" s="318"/>
      <c r="U7277" s="318"/>
      <c r="V7277" s="318"/>
      <c r="W7277" s="318"/>
      <c r="X7277" s="318"/>
      <c r="Y7277" s="318"/>
      <c r="Z7277" s="318"/>
      <c r="AA7277" s="318"/>
      <c r="AB7277" s="318"/>
      <c r="AC7277" s="318"/>
      <c r="AD7277" s="318"/>
    </row>
    <row r="7278" spans="2:30" s="323" customFormat="1" ht="12" customHeight="1">
      <c r="B7278" s="324"/>
      <c r="C7278" s="325"/>
      <c r="D7278" s="326"/>
      <c r="E7278" s="326"/>
      <c r="F7278" s="326"/>
      <c r="G7278" s="326"/>
      <c r="H7278" s="326"/>
      <c r="P7278" s="318"/>
      <c r="Q7278" s="318"/>
      <c r="R7278" s="318"/>
      <c r="S7278" s="318"/>
      <c r="T7278" s="318"/>
      <c r="U7278" s="318"/>
      <c r="V7278" s="318"/>
      <c r="W7278" s="318"/>
      <c r="X7278" s="318"/>
      <c r="Y7278" s="318"/>
      <c r="Z7278" s="318"/>
      <c r="AA7278" s="318"/>
      <c r="AB7278" s="318"/>
      <c r="AC7278" s="318"/>
      <c r="AD7278" s="318"/>
    </row>
    <row r="7279" spans="2:30" s="323" customFormat="1" ht="12" customHeight="1">
      <c r="B7279" s="324"/>
      <c r="C7279" s="325"/>
      <c r="D7279" s="326"/>
      <c r="E7279" s="326"/>
      <c r="F7279" s="326"/>
      <c r="G7279" s="326"/>
      <c r="H7279" s="326"/>
      <c r="P7279" s="318"/>
      <c r="Q7279" s="318"/>
      <c r="R7279" s="318"/>
      <c r="S7279" s="318"/>
      <c r="T7279" s="318"/>
      <c r="U7279" s="318"/>
      <c r="V7279" s="318"/>
      <c r="W7279" s="318"/>
      <c r="X7279" s="318"/>
      <c r="Y7279" s="318"/>
      <c r="Z7279" s="318"/>
      <c r="AA7279" s="318"/>
      <c r="AB7279" s="318"/>
      <c r="AC7279" s="318"/>
      <c r="AD7279" s="318"/>
    </row>
    <row r="7280" spans="2:30" s="323" customFormat="1" ht="12" customHeight="1">
      <c r="B7280" s="324"/>
      <c r="C7280" s="325"/>
      <c r="D7280" s="326"/>
      <c r="E7280" s="326"/>
      <c r="F7280" s="326"/>
      <c r="G7280" s="326"/>
      <c r="H7280" s="326"/>
      <c r="P7280" s="318"/>
      <c r="Q7280" s="318"/>
      <c r="R7280" s="318"/>
      <c r="S7280" s="318"/>
      <c r="T7280" s="318"/>
      <c r="U7280" s="318"/>
      <c r="V7280" s="318"/>
      <c r="W7280" s="318"/>
      <c r="X7280" s="318"/>
      <c r="Y7280" s="318"/>
      <c r="Z7280" s="318"/>
      <c r="AA7280" s="318"/>
      <c r="AB7280" s="318"/>
      <c r="AC7280" s="318"/>
      <c r="AD7280" s="318"/>
    </row>
    <row r="7281" spans="2:30" s="323" customFormat="1" ht="12" customHeight="1">
      <c r="B7281" s="324"/>
      <c r="C7281" s="325"/>
      <c r="D7281" s="326"/>
      <c r="E7281" s="326"/>
      <c r="F7281" s="326"/>
      <c r="G7281" s="326"/>
      <c r="H7281" s="326"/>
      <c r="P7281" s="318"/>
      <c r="Q7281" s="318"/>
      <c r="R7281" s="318"/>
      <c r="S7281" s="318"/>
      <c r="T7281" s="318"/>
      <c r="U7281" s="318"/>
      <c r="V7281" s="318"/>
      <c r="W7281" s="318"/>
      <c r="X7281" s="318"/>
      <c r="Y7281" s="318"/>
      <c r="Z7281" s="318"/>
      <c r="AA7281" s="318"/>
      <c r="AB7281" s="318"/>
      <c r="AC7281" s="318"/>
      <c r="AD7281" s="318"/>
    </row>
    <row r="7282" spans="2:30" s="323" customFormat="1" ht="12" customHeight="1">
      <c r="B7282" s="324"/>
      <c r="C7282" s="325"/>
      <c r="D7282" s="326"/>
      <c r="E7282" s="326"/>
      <c r="F7282" s="326"/>
      <c r="G7282" s="326"/>
      <c r="H7282" s="326"/>
      <c r="P7282" s="318"/>
      <c r="Q7282" s="318"/>
      <c r="R7282" s="318"/>
      <c r="S7282" s="318"/>
      <c r="T7282" s="318"/>
      <c r="U7282" s="318"/>
      <c r="V7282" s="318"/>
      <c r="W7282" s="318"/>
      <c r="X7282" s="318"/>
      <c r="Y7282" s="318"/>
      <c r="Z7282" s="318"/>
      <c r="AA7282" s="318"/>
      <c r="AB7282" s="318"/>
      <c r="AC7282" s="318"/>
      <c r="AD7282" s="318"/>
    </row>
    <row r="7283" spans="2:30" s="323" customFormat="1" ht="12" customHeight="1">
      <c r="B7283" s="324"/>
      <c r="C7283" s="325"/>
      <c r="D7283" s="326"/>
      <c r="E7283" s="326"/>
      <c r="F7283" s="326"/>
      <c r="G7283" s="326"/>
      <c r="H7283" s="326"/>
      <c r="P7283" s="318"/>
      <c r="Q7283" s="318"/>
      <c r="R7283" s="318"/>
      <c r="S7283" s="318"/>
      <c r="T7283" s="318"/>
      <c r="U7283" s="318"/>
      <c r="V7283" s="318"/>
      <c r="W7283" s="318"/>
      <c r="X7283" s="318"/>
      <c r="Y7283" s="318"/>
      <c r="Z7283" s="318"/>
      <c r="AA7283" s="318"/>
      <c r="AB7283" s="318"/>
      <c r="AC7283" s="318"/>
      <c r="AD7283" s="318"/>
    </row>
    <row r="7284" spans="2:30" s="323" customFormat="1" ht="12" customHeight="1">
      <c r="B7284" s="324"/>
      <c r="C7284" s="325"/>
      <c r="D7284" s="326"/>
      <c r="E7284" s="326"/>
      <c r="F7284" s="326"/>
      <c r="G7284" s="326"/>
      <c r="H7284" s="326"/>
      <c r="P7284" s="318"/>
      <c r="Q7284" s="318"/>
      <c r="R7284" s="318"/>
      <c r="S7284" s="318"/>
      <c r="T7284" s="318"/>
      <c r="U7284" s="318"/>
      <c r="V7284" s="318"/>
      <c r="W7284" s="318"/>
      <c r="X7284" s="318"/>
      <c r="Y7284" s="318"/>
      <c r="Z7284" s="318"/>
      <c r="AA7284" s="318"/>
      <c r="AB7284" s="318"/>
      <c r="AC7284" s="318"/>
      <c r="AD7284" s="318"/>
    </row>
    <row r="7285" spans="2:30" s="323" customFormat="1" ht="12" customHeight="1">
      <c r="B7285" s="324"/>
      <c r="C7285" s="325"/>
      <c r="D7285" s="326"/>
      <c r="E7285" s="326"/>
      <c r="F7285" s="326"/>
      <c r="G7285" s="326"/>
      <c r="H7285" s="326"/>
      <c r="P7285" s="318"/>
      <c r="Q7285" s="318"/>
      <c r="R7285" s="318"/>
      <c r="S7285" s="318"/>
      <c r="T7285" s="318"/>
      <c r="U7285" s="318"/>
      <c r="V7285" s="318"/>
      <c r="W7285" s="318"/>
      <c r="X7285" s="318"/>
      <c r="Y7285" s="318"/>
      <c r="Z7285" s="318"/>
      <c r="AA7285" s="318"/>
      <c r="AB7285" s="318"/>
      <c r="AC7285" s="318"/>
      <c r="AD7285" s="318"/>
    </row>
    <row r="7286" spans="2:30" s="323" customFormat="1" ht="12" customHeight="1">
      <c r="B7286" s="324"/>
      <c r="C7286" s="325"/>
      <c r="D7286" s="326"/>
      <c r="E7286" s="326"/>
      <c r="F7286" s="326"/>
      <c r="G7286" s="326"/>
      <c r="H7286" s="326"/>
      <c r="P7286" s="318"/>
      <c r="Q7286" s="318"/>
      <c r="R7286" s="318"/>
      <c r="S7286" s="318"/>
      <c r="T7286" s="318"/>
      <c r="U7286" s="318"/>
      <c r="V7286" s="318"/>
      <c r="W7286" s="318"/>
      <c r="X7286" s="318"/>
      <c r="Y7286" s="318"/>
      <c r="Z7286" s="318"/>
      <c r="AA7286" s="318"/>
      <c r="AB7286" s="318"/>
      <c r="AC7286" s="318"/>
      <c r="AD7286" s="318"/>
    </row>
    <row r="7287" spans="2:30" s="323" customFormat="1" ht="12" customHeight="1">
      <c r="B7287" s="324"/>
      <c r="C7287" s="325"/>
      <c r="D7287" s="326"/>
      <c r="E7287" s="326"/>
      <c r="F7287" s="326"/>
      <c r="G7287" s="326"/>
      <c r="H7287" s="326"/>
      <c r="P7287" s="318"/>
      <c r="Q7287" s="318"/>
      <c r="R7287" s="318"/>
      <c r="S7287" s="318"/>
      <c r="T7287" s="318"/>
      <c r="U7287" s="318"/>
      <c r="V7287" s="318"/>
      <c r="W7287" s="318"/>
      <c r="X7287" s="318"/>
      <c r="Y7287" s="318"/>
      <c r="Z7287" s="318"/>
      <c r="AA7287" s="318"/>
      <c r="AB7287" s="318"/>
      <c r="AC7287" s="318"/>
      <c r="AD7287" s="318"/>
    </row>
    <row r="7288" spans="2:30" s="323" customFormat="1" ht="12" customHeight="1">
      <c r="B7288" s="324"/>
      <c r="C7288" s="325"/>
      <c r="D7288" s="326"/>
      <c r="E7288" s="326"/>
      <c r="F7288" s="326"/>
      <c r="G7288" s="326"/>
      <c r="H7288" s="326"/>
      <c r="P7288" s="318"/>
      <c r="Q7288" s="318"/>
      <c r="R7288" s="318"/>
      <c r="S7288" s="318"/>
      <c r="T7288" s="318"/>
      <c r="U7288" s="318"/>
      <c r="V7288" s="318"/>
      <c r="W7288" s="318"/>
      <c r="X7288" s="318"/>
      <c r="Y7288" s="318"/>
      <c r="Z7288" s="318"/>
      <c r="AA7288" s="318"/>
      <c r="AB7288" s="318"/>
      <c r="AC7288" s="318"/>
      <c r="AD7288" s="318"/>
    </row>
    <row r="7289" spans="2:30" s="323" customFormat="1" ht="12" customHeight="1">
      <c r="B7289" s="324"/>
      <c r="C7289" s="325"/>
      <c r="D7289" s="326"/>
      <c r="E7289" s="326"/>
      <c r="F7289" s="326"/>
      <c r="G7289" s="326"/>
      <c r="H7289" s="326"/>
      <c r="P7289" s="318"/>
      <c r="Q7289" s="318"/>
      <c r="R7289" s="318"/>
      <c r="S7289" s="318"/>
      <c r="T7289" s="318"/>
      <c r="U7289" s="318"/>
      <c r="V7289" s="318"/>
      <c r="W7289" s="318"/>
      <c r="X7289" s="318"/>
      <c r="Y7289" s="318"/>
      <c r="Z7289" s="318"/>
      <c r="AA7289" s="318"/>
      <c r="AB7289" s="318"/>
      <c r="AC7289" s="318"/>
      <c r="AD7289" s="318"/>
    </row>
    <row r="7290" spans="2:30" s="323" customFormat="1" ht="12" customHeight="1">
      <c r="B7290" s="324"/>
      <c r="C7290" s="325"/>
      <c r="D7290" s="326"/>
      <c r="E7290" s="326"/>
      <c r="F7290" s="326"/>
      <c r="G7290" s="326"/>
      <c r="H7290" s="326"/>
      <c r="P7290" s="318"/>
      <c r="Q7290" s="318"/>
      <c r="R7290" s="318"/>
      <c r="S7290" s="318"/>
      <c r="T7290" s="318"/>
      <c r="U7290" s="318"/>
      <c r="V7290" s="318"/>
      <c r="W7290" s="318"/>
      <c r="X7290" s="318"/>
      <c r="Y7290" s="318"/>
      <c r="Z7290" s="318"/>
      <c r="AA7290" s="318"/>
      <c r="AB7290" s="318"/>
      <c r="AC7290" s="318"/>
      <c r="AD7290" s="318"/>
    </row>
    <row r="7291" spans="2:30" s="323" customFormat="1" ht="12" customHeight="1">
      <c r="B7291" s="324"/>
      <c r="C7291" s="325"/>
      <c r="D7291" s="326"/>
      <c r="E7291" s="326"/>
      <c r="F7291" s="326"/>
      <c r="G7291" s="326"/>
      <c r="H7291" s="326"/>
      <c r="P7291" s="318"/>
      <c r="Q7291" s="318"/>
      <c r="R7291" s="318"/>
      <c r="S7291" s="318"/>
      <c r="T7291" s="318"/>
      <c r="U7291" s="318"/>
      <c r="V7291" s="318"/>
      <c r="W7291" s="318"/>
      <c r="X7291" s="318"/>
      <c r="Y7291" s="318"/>
      <c r="Z7291" s="318"/>
      <c r="AA7291" s="318"/>
      <c r="AB7291" s="318"/>
      <c r="AC7291" s="318"/>
      <c r="AD7291" s="318"/>
    </row>
    <row r="7292" spans="2:30" s="323" customFormat="1" ht="12" customHeight="1">
      <c r="B7292" s="324"/>
      <c r="C7292" s="325"/>
      <c r="D7292" s="326"/>
      <c r="E7292" s="326"/>
      <c r="F7292" s="326"/>
      <c r="G7292" s="326"/>
      <c r="H7292" s="326"/>
      <c r="P7292" s="318"/>
      <c r="Q7292" s="318"/>
      <c r="R7292" s="318"/>
      <c r="S7292" s="318"/>
      <c r="T7292" s="318"/>
      <c r="U7292" s="318"/>
      <c r="V7292" s="318"/>
      <c r="W7292" s="318"/>
      <c r="X7292" s="318"/>
      <c r="Y7292" s="318"/>
      <c r="Z7292" s="318"/>
      <c r="AA7292" s="318"/>
      <c r="AB7292" s="318"/>
      <c r="AC7292" s="318"/>
      <c r="AD7292" s="318"/>
    </row>
    <row r="7293" spans="2:30" s="323" customFormat="1" ht="12" customHeight="1">
      <c r="B7293" s="324"/>
      <c r="C7293" s="325"/>
      <c r="D7293" s="326"/>
      <c r="E7293" s="326"/>
      <c r="F7293" s="326"/>
      <c r="G7293" s="326"/>
      <c r="H7293" s="326"/>
      <c r="P7293" s="318"/>
      <c r="Q7293" s="318"/>
      <c r="R7293" s="318"/>
      <c r="S7293" s="318"/>
      <c r="T7293" s="318"/>
      <c r="U7293" s="318"/>
      <c r="V7293" s="318"/>
      <c r="W7293" s="318"/>
      <c r="X7293" s="318"/>
      <c r="Y7293" s="318"/>
      <c r="Z7293" s="318"/>
      <c r="AA7293" s="318"/>
      <c r="AB7293" s="318"/>
      <c r="AC7293" s="318"/>
      <c r="AD7293" s="318"/>
    </row>
    <row r="7294" spans="2:30" s="323" customFormat="1" ht="12" customHeight="1">
      <c r="B7294" s="324"/>
      <c r="C7294" s="325"/>
      <c r="D7294" s="326"/>
      <c r="E7294" s="326"/>
      <c r="F7294" s="326"/>
      <c r="G7294" s="326"/>
      <c r="H7294" s="326"/>
      <c r="P7294" s="318"/>
      <c r="Q7294" s="318"/>
      <c r="R7294" s="318"/>
      <c r="S7294" s="318"/>
      <c r="T7294" s="318"/>
      <c r="U7294" s="318"/>
      <c r="V7294" s="318"/>
      <c r="W7294" s="318"/>
      <c r="X7294" s="318"/>
      <c r="Y7294" s="318"/>
      <c r="Z7294" s="318"/>
      <c r="AA7294" s="318"/>
      <c r="AB7294" s="318"/>
      <c r="AC7294" s="318"/>
      <c r="AD7294" s="318"/>
    </row>
    <row r="7295" spans="2:30" s="323" customFormat="1" ht="12" customHeight="1">
      <c r="B7295" s="324"/>
      <c r="C7295" s="325"/>
      <c r="D7295" s="326"/>
      <c r="E7295" s="326"/>
      <c r="F7295" s="326"/>
      <c r="G7295" s="326"/>
      <c r="H7295" s="326"/>
      <c r="P7295" s="318"/>
      <c r="Q7295" s="318"/>
      <c r="R7295" s="318"/>
      <c r="S7295" s="318"/>
      <c r="T7295" s="318"/>
      <c r="U7295" s="318"/>
      <c r="V7295" s="318"/>
      <c r="W7295" s="318"/>
      <c r="X7295" s="318"/>
      <c r="Y7295" s="318"/>
      <c r="Z7295" s="318"/>
      <c r="AA7295" s="318"/>
      <c r="AB7295" s="318"/>
      <c r="AC7295" s="318"/>
      <c r="AD7295" s="318"/>
    </row>
    <row r="7296" spans="2:30" s="323" customFormat="1" ht="12" customHeight="1">
      <c r="B7296" s="324"/>
      <c r="C7296" s="325"/>
      <c r="D7296" s="326"/>
      <c r="E7296" s="326"/>
      <c r="F7296" s="326"/>
      <c r="G7296" s="326"/>
      <c r="H7296" s="326"/>
      <c r="P7296" s="318"/>
      <c r="Q7296" s="318"/>
      <c r="R7296" s="318"/>
      <c r="S7296" s="318"/>
      <c r="T7296" s="318"/>
      <c r="U7296" s="318"/>
      <c r="V7296" s="318"/>
      <c r="W7296" s="318"/>
      <c r="X7296" s="318"/>
      <c r="Y7296" s="318"/>
      <c r="Z7296" s="318"/>
      <c r="AA7296" s="318"/>
      <c r="AB7296" s="318"/>
      <c r="AC7296" s="318"/>
      <c r="AD7296" s="318"/>
    </row>
    <row r="7297" spans="2:30" s="323" customFormat="1" ht="12" customHeight="1">
      <c r="B7297" s="324"/>
      <c r="C7297" s="325"/>
      <c r="D7297" s="326"/>
      <c r="E7297" s="326"/>
      <c r="F7297" s="326"/>
      <c r="G7297" s="326"/>
      <c r="H7297" s="326"/>
      <c r="P7297" s="318"/>
      <c r="Q7297" s="318"/>
      <c r="R7297" s="318"/>
      <c r="S7297" s="318"/>
      <c r="T7297" s="318"/>
      <c r="U7297" s="318"/>
      <c r="V7297" s="318"/>
      <c r="W7297" s="318"/>
      <c r="X7297" s="318"/>
      <c r="Y7297" s="318"/>
      <c r="Z7297" s="318"/>
      <c r="AA7297" s="318"/>
      <c r="AB7297" s="318"/>
      <c r="AC7297" s="318"/>
      <c r="AD7297" s="318"/>
    </row>
    <row r="7298" spans="2:30" s="323" customFormat="1" ht="12" customHeight="1">
      <c r="B7298" s="324"/>
      <c r="C7298" s="325"/>
      <c r="D7298" s="326"/>
      <c r="E7298" s="326"/>
      <c r="F7298" s="326"/>
      <c r="G7298" s="326"/>
      <c r="H7298" s="326"/>
      <c r="P7298" s="318"/>
      <c r="Q7298" s="318"/>
      <c r="R7298" s="318"/>
      <c r="S7298" s="318"/>
      <c r="T7298" s="318"/>
      <c r="U7298" s="318"/>
      <c r="V7298" s="318"/>
      <c r="W7298" s="318"/>
      <c r="X7298" s="318"/>
      <c r="Y7298" s="318"/>
      <c r="Z7298" s="318"/>
      <c r="AA7298" s="318"/>
      <c r="AB7298" s="318"/>
      <c r="AC7298" s="318"/>
      <c r="AD7298" s="318"/>
    </row>
    <row r="7299" spans="2:30" s="323" customFormat="1" ht="12" customHeight="1">
      <c r="B7299" s="324"/>
      <c r="C7299" s="325"/>
      <c r="D7299" s="326"/>
      <c r="E7299" s="326"/>
      <c r="F7299" s="326"/>
      <c r="G7299" s="326"/>
      <c r="H7299" s="326"/>
      <c r="P7299" s="318"/>
      <c r="Q7299" s="318"/>
      <c r="R7299" s="318"/>
      <c r="S7299" s="318"/>
      <c r="T7299" s="318"/>
      <c r="U7299" s="318"/>
      <c r="V7299" s="318"/>
      <c r="W7299" s="318"/>
      <c r="X7299" s="318"/>
      <c r="Y7299" s="318"/>
      <c r="Z7299" s="318"/>
      <c r="AA7299" s="318"/>
      <c r="AB7299" s="318"/>
      <c r="AC7299" s="318"/>
      <c r="AD7299" s="318"/>
    </row>
    <row r="7300" spans="2:30" s="323" customFormat="1" ht="12" customHeight="1">
      <c r="B7300" s="324"/>
      <c r="C7300" s="325"/>
      <c r="D7300" s="326"/>
      <c r="E7300" s="326"/>
      <c r="F7300" s="326"/>
      <c r="G7300" s="326"/>
      <c r="H7300" s="326"/>
      <c r="P7300" s="318"/>
      <c r="Q7300" s="318"/>
      <c r="R7300" s="318"/>
      <c r="S7300" s="318"/>
      <c r="T7300" s="318"/>
      <c r="U7300" s="318"/>
      <c r="V7300" s="318"/>
      <c r="W7300" s="318"/>
      <c r="X7300" s="318"/>
      <c r="Y7300" s="318"/>
      <c r="Z7300" s="318"/>
      <c r="AA7300" s="318"/>
      <c r="AB7300" s="318"/>
      <c r="AC7300" s="318"/>
      <c r="AD7300" s="318"/>
    </row>
    <row r="7301" spans="2:30" s="323" customFormat="1" ht="12" customHeight="1">
      <c r="B7301" s="324"/>
      <c r="C7301" s="325"/>
      <c r="D7301" s="326"/>
      <c r="E7301" s="326"/>
      <c r="F7301" s="326"/>
      <c r="G7301" s="326"/>
      <c r="H7301" s="326"/>
      <c r="P7301" s="318"/>
      <c r="Q7301" s="318"/>
      <c r="R7301" s="318"/>
      <c r="S7301" s="318"/>
      <c r="T7301" s="318"/>
      <c r="U7301" s="318"/>
      <c r="V7301" s="318"/>
      <c r="W7301" s="318"/>
      <c r="X7301" s="318"/>
      <c r="Y7301" s="318"/>
      <c r="Z7301" s="318"/>
      <c r="AA7301" s="318"/>
      <c r="AB7301" s="318"/>
      <c r="AC7301" s="318"/>
      <c r="AD7301" s="318"/>
    </row>
    <row r="7302" spans="2:30" s="323" customFormat="1" ht="12" customHeight="1">
      <c r="B7302" s="324"/>
      <c r="C7302" s="325"/>
      <c r="D7302" s="326"/>
      <c r="E7302" s="326"/>
      <c r="F7302" s="326"/>
      <c r="G7302" s="326"/>
      <c r="H7302" s="326"/>
      <c r="P7302" s="318"/>
      <c r="Q7302" s="318"/>
      <c r="R7302" s="318"/>
      <c r="S7302" s="318"/>
      <c r="T7302" s="318"/>
      <c r="U7302" s="318"/>
      <c r="V7302" s="318"/>
      <c r="W7302" s="318"/>
      <c r="X7302" s="318"/>
      <c r="Y7302" s="318"/>
      <c r="Z7302" s="318"/>
      <c r="AA7302" s="318"/>
      <c r="AB7302" s="318"/>
      <c r="AC7302" s="318"/>
      <c r="AD7302" s="318"/>
    </row>
    <row r="7303" spans="2:30" s="323" customFormat="1" ht="12" customHeight="1">
      <c r="B7303" s="324"/>
      <c r="C7303" s="325"/>
      <c r="D7303" s="326"/>
      <c r="E7303" s="326"/>
      <c r="F7303" s="326"/>
      <c r="G7303" s="326"/>
      <c r="H7303" s="326"/>
      <c r="P7303" s="318"/>
      <c r="Q7303" s="318"/>
      <c r="R7303" s="318"/>
      <c r="S7303" s="318"/>
      <c r="T7303" s="318"/>
      <c r="U7303" s="318"/>
      <c r="V7303" s="318"/>
      <c r="W7303" s="318"/>
      <c r="X7303" s="318"/>
      <c r="Y7303" s="318"/>
      <c r="Z7303" s="318"/>
      <c r="AA7303" s="318"/>
      <c r="AB7303" s="318"/>
      <c r="AC7303" s="318"/>
      <c r="AD7303" s="318"/>
    </row>
    <row r="7304" spans="2:30" s="323" customFormat="1" ht="12" customHeight="1">
      <c r="B7304" s="324"/>
      <c r="C7304" s="325"/>
      <c r="D7304" s="326"/>
      <c r="E7304" s="326"/>
      <c r="F7304" s="326"/>
      <c r="G7304" s="326"/>
      <c r="H7304" s="326"/>
      <c r="P7304" s="318"/>
      <c r="Q7304" s="318"/>
      <c r="R7304" s="318"/>
      <c r="S7304" s="318"/>
      <c r="T7304" s="318"/>
      <c r="U7304" s="318"/>
      <c r="V7304" s="318"/>
      <c r="W7304" s="318"/>
      <c r="X7304" s="318"/>
      <c r="Y7304" s="318"/>
      <c r="Z7304" s="318"/>
      <c r="AA7304" s="318"/>
      <c r="AB7304" s="318"/>
      <c r="AC7304" s="318"/>
      <c r="AD7304" s="318"/>
    </row>
    <row r="7305" spans="2:30" s="323" customFormat="1" ht="12" customHeight="1">
      <c r="B7305" s="324"/>
      <c r="C7305" s="325"/>
      <c r="D7305" s="326"/>
      <c r="E7305" s="326"/>
      <c r="F7305" s="326"/>
      <c r="G7305" s="326"/>
      <c r="H7305" s="326"/>
      <c r="P7305" s="318"/>
      <c r="Q7305" s="318"/>
      <c r="R7305" s="318"/>
      <c r="S7305" s="318"/>
      <c r="T7305" s="318"/>
      <c r="U7305" s="318"/>
      <c r="V7305" s="318"/>
      <c r="W7305" s="318"/>
      <c r="X7305" s="318"/>
      <c r="Y7305" s="318"/>
      <c r="Z7305" s="318"/>
      <c r="AA7305" s="318"/>
      <c r="AB7305" s="318"/>
      <c r="AC7305" s="318"/>
      <c r="AD7305" s="318"/>
    </row>
    <row r="7306" spans="2:30" s="323" customFormat="1" ht="12" customHeight="1">
      <c r="B7306" s="324"/>
      <c r="C7306" s="325"/>
      <c r="D7306" s="326"/>
      <c r="E7306" s="326"/>
      <c r="F7306" s="326"/>
      <c r="G7306" s="326"/>
      <c r="H7306" s="326"/>
      <c r="P7306" s="318"/>
      <c r="Q7306" s="318"/>
      <c r="R7306" s="318"/>
      <c r="S7306" s="318"/>
      <c r="T7306" s="318"/>
      <c r="U7306" s="318"/>
      <c r="V7306" s="318"/>
      <c r="W7306" s="318"/>
      <c r="X7306" s="318"/>
      <c r="Y7306" s="318"/>
      <c r="Z7306" s="318"/>
      <c r="AA7306" s="318"/>
      <c r="AB7306" s="318"/>
      <c r="AC7306" s="318"/>
      <c r="AD7306" s="318"/>
    </row>
    <row r="7307" spans="2:30" s="323" customFormat="1" ht="12" customHeight="1">
      <c r="B7307" s="324"/>
      <c r="C7307" s="325"/>
      <c r="D7307" s="326"/>
      <c r="E7307" s="326"/>
      <c r="F7307" s="326"/>
      <c r="G7307" s="326"/>
      <c r="H7307" s="326"/>
      <c r="P7307" s="318"/>
      <c r="Q7307" s="318"/>
      <c r="R7307" s="318"/>
      <c r="S7307" s="318"/>
      <c r="T7307" s="318"/>
      <c r="U7307" s="318"/>
      <c r="V7307" s="318"/>
      <c r="W7307" s="318"/>
      <c r="X7307" s="318"/>
      <c r="Y7307" s="318"/>
      <c r="Z7307" s="318"/>
      <c r="AA7307" s="318"/>
      <c r="AB7307" s="318"/>
      <c r="AC7307" s="318"/>
      <c r="AD7307" s="318"/>
    </row>
    <row r="7308" spans="2:30" s="323" customFormat="1" ht="12" customHeight="1">
      <c r="B7308" s="324"/>
      <c r="C7308" s="325"/>
      <c r="D7308" s="326"/>
      <c r="E7308" s="326"/>
      <c r="F7308" s="326"/>
      <c r="G7308" s="326"/>
      <c r="H7308" s="326"/>
      <c r="P7308" s="318"/>
      <c r="Q7308" s="318"/>
      <c r="R7308" s="318"/>
      <c r="S7308" s="318"/>
      <c r="T7308" s="318"/>
      <c r="U7308" s="318"/>
      <c r="V7308" s="318"/>
      <c r="W7308" s="318"/>
      <c r="X7308" s="318"/>
      <c r="Y7308" s="318"/>
      <c r="Z7308" s="318"/>
      <c r="AA7308" s="318"/>
      <c r="AB7308" s="318"/>
      <c r="AC7308" s="318"/>
      <c r="AD7308" s="318"/>
    </row>
    <row r="7309" spans="2:30" s="323" customFormat="1" ht="12" customHeight="1">
      <c r="B7309" s="324"/>
      <c r="C7309" s="325"/>
      <c r="D7309" s="326"/>
      <c r="E7309" s="326"/>
      <c r="F7309" s="326"/>
      <c r="G7309" s="326"/>
      <c r="H7309" s="326"/>
      <c r="P7309" s="318"/>
      <c r="Q7309" s="318"/>
      <c r="R7309" s="318"/>
      <c r="S7309" s="318"/>
      <c r="T7309" s="318"/>
      <c r="U7309" s="318"/>
      <c r="V7309" s="318"/>
      <c r="W7309" s="318"/>
      <c r="X7309" s="318"/>
      <c r="Y7309" s="318"/>
      <c r="Z7309" s="318"/>
      <c r="AA7309" s="318"/>
      <c r="AB7309" s="318"/>
      <c r="AC7309" s="318"/>
      <c r="AD7309" s="318"/>
    </row>
    <row r="7310" spans="2:30" s="323" customFormat="1" ht="12" customHeight="1">
      <c r="B7310" s="324"/>
      <c r="C7310" s="325"/>
      <c r="D7310" s="326"/>
      <c r="E7310" s="326"/>
      <c r="F7310" s="326"/>
      <c r="G7310" s="326"/>
      <c r="H7310" s="326"/>
      <c r="P7310" s="318"/>
      <c r="Q7310" s="318"/>
      <c r="R7310" s="318"/>
      <c r="S7310" s="318"/>
      <c r="T7310" s="318"/>
      <c r="U7310" s="318"/>
      <c r="V7310" s="318"/>
      <c r="W7310" s="318"/>
      <c r="X7310" s="318"/>
      <c r="Y7310" s="318"/>
      <c r="Z7310" s="318"/>
      <c r="AA7310" s="318"/>
      <c r="AB7310" s="318"/>
      <c r="AC7310" s="318"/>
      <c r="AD7310" s="318"/>
    </row>
    <row r="7311" spans="2:30" s="323" customFormat="1" ht="12" customHeight="1">
      <c r="B7311" s="324"/>
      <c r="C7311" s="325"/>
      <c r="D7311" s="326"/>
      <c r="E7311" s="326"/>
      <c r="F7311" s="326"/>
      <c r="G7311" s="326"/>
      <c r="H7311" s="326"/>
      <c r="P7311" s="318"/>
      <c r="Q7311" s="318"/>
      <c r="R7311" s="318"/>
      <c r="S7311" s="318"/>
      <c r="T7311" s="318"/>
      <c r="U7311" s="318"/>
      <c r="V7311" s="318"/>
      <c r="W7311" s="318"/>
      <c r="X7311" s="318"/>
      <c r="Y7311" s="318"/>
      <c r="Z7311" s="318"/>
      <c r="AA7311" s="318"/>
      <c r="AB7311" s="318"/>
      <c r="AC7311" s="318"/>
      <c r="AD7311" s="318"/>
    </row>
    <row r="7312" spans="2:30" s="323" customFormat="1" ht="12" customHeight="1">
      <c r="B7312" s="324"/>
      <c r="C7312" s="325"/>
      <c r="D7312" s="326"/>
      <c r="E7312" s="326"/>
      <c r="F7312" s="326"/>
      <c r="G7312" s="326"/>
      <c r="H7312" s="326"/>
      <c r="P7312" s="318"/>
      <c r="Q7312" s="318"/>
      <c r="R7312" s="318"/>
      <c r="S7312" s="318"/>
      <c r="T7312" s="318"/>
      <c r="U7312" s="318"/>
      <c r="V7312" s="318"/>
      <c r="W7312" s="318"/>
      <c r="X7312" s="318"/>
      <c r="Y7312" s="318"/>
      <c r="Z7312" s="318"/>
      <c r="AA7312" s="318"/>
      <c r="AB7312" s="318"/>
      <c r="AC7312" s="318"/>
      <c r="AD7312" s="318"/>
    </row>
    <row r="7313" spans="2:30" s="323" customFormat="1" ht="12" customHeight="1">
      <c r="B7313" s="324"/>
      <c r="C7313" s="325"/>
      <c r="D7313" s="326"/>
      <c r="E7313" s="326"/>
      <c r="F7313" s="326"/>
      <c r="G7313" s="326"/>
      <c r="H7313" s="326"/>
      <c r="P7313" s="318"/>
      <c r="Q7313" s="318"/>
      <c r="R7313" s="318"/>
      <c r="S7313" s="318"/>
      <c r="T7313" s="318"/>
      <c r="U7313" s="318"/>
      <c r="V7313" s="318"/>
      <c r="W7313" s="318"/>
      <c r="X7313" s="318"/>
      <c r="Y7313" s="318"/>
      <c r="Z7313" s="318"/>
      <c r="AA7313" s="318"/>
      <c r="AB7313" s="318"/>
      <c r="AC7313" s="318"/>
      <c r="AD7313" s="318"/>
    </row>
    <row r="7314" spans="2:30" s="323" customFormat="1" ht="12" customHeight="1">
      <c r="B7314" s="324"/>
      <c r="C7314" s="325"/>
      <c r="D7314" s="326"/>
      <c r="E7314" s="326"/>
      <c r="F7314" s="326"/>
      <c r="G7314" s="326"/>
      <c r="H7314" s="326"/>
      <c r="P7314" s="318"/>
      <c r="Q7314" s="318"/>
      <c r="R7314" s="318"/>
      <c r="S7314" s="318"/>
      <c r="T7314" s="318"/>
      <c r="U7314" s="318"/>
      <c r="V7314" s="318"/>
      <c r="W7314" s="318"/>
      <c r="X7314" s="318"/>
      <c r="Y7314" s="318"/>
      <c r="Z7314" s="318"/>
      <c r="AA7314" s="318"/>
      <c r="AB7314" s="318"/>
      <c r="AC7314" s="318"/>
      <c r="AD7314" s="318"/>
    </row>
    <row r="7315" spans="2:30" s="323" customFormat="1" ht="12" customHeight="1">
      <c r="B7315" s="324"/>
      <c r="C7315" s="325"/>
      <c r="D7315" s="326"/>
      <c r="E7315" s="326"/>
      <c r="F7315" s="326"/>
      <c r="G7315" s="326"/>
      <c r="H7315" s="326"/>
      <c r="P7315" s="318"/>
      <c r="Q7315" s="318"/>
      <c r="R7315" s="318"/>
      <c r="S7315" s="318"/>
      <c r="T7315" s="318"/>
      <c r="U7315" s="318"/>
      <c r="V7315" s="318"/>
      <c r="W7315" s="318"/>
      <c r="X7315" s="318"/>
      <c r="Y7315" s="318"/>
      <c r="Z7315" s="318"/>
      <c r="AA7315" s="318"/>
      <c r="AB7315" s="318"/>
      <c r="AC7315" s="318"/>
      <c r="AD7315" s="318"/>
    </row>
    <row r="7316" spans="2:30" s="323" customFormat="1" ht="12" customHeight="1">
      <c r="B7316" s="324"/>
      <c r="C7316" s="325"/>
      <c r="D7316" s="326"/>
      <c r="E7316" s="326"/>
      <c r="F7316" s="326"/>
      <c r="G7316" s="326"/>
      <c r="H7316" s="326"/>
      <c r="P7316" s="318"/>
      <c r="Q7316" s="318"/>
      <c r="R7316" s="318"/>
      <c r="S7316" s="318"/>
      <c r="T7316" s="318"/>
      <c r="U7316" s="318"/>
      <c r="V7316" s="318"/>
      <c r="W7316" s="318"/>
      <c r="X7316" s="318"/>
      <c r="Y7316" s="318"/>
      <c r="Z7316" s="318"/>
      <c r="AA7316" s="318"/>
      <c r="AB7316" s="318"/>
      <c r="AC7316" s="318"/>
      <c r="AD7316" s="318"/>
    </row>
    <row r="7317" spans="2:30" s="323" customFormat="1" ht="12" customHeight="1">
      <c r="B7317" s="324"/>
      <c r="C7317" s="325"/>
      <c r="D7317" s="326"/>
      <c r="E7317" s="326"/>
      <c r="F7317" s="326"/>
      <c r="G7317" s="326"/>
      <c r="H7317" s="326"/>
      <c r="P7317" s="318"/>
      <c r="Q7317" s="318"/>
      <c r="R7317" s="318"/>
      <c r="S7317" s="318"/>
      <c r="T7317" s="318"/>
      <c r="U7317" s="318"/>
      <c r="V7317" s="318"/>
      <c r="W7317" s="318"/>
      <c r="X7317" s="318"/>
      <c r="Y7317" s="318"/>
      <c r="Z7317" s="318"/>
      <c r="AA7317" s="318"/>
      <c r="AB7317" s="318"/>
      <c r="AC7317" s="318"/>
      <c r="AD7317" s="318"/>
    </row>
    <row r="7318" spans="2:30" s="323" customFormat="1" ht="12" customHeight="1">
      <c r="B7318" s="324"/>
      <c r="C7318" s="325"/>
      <c r="D7318" s="326"/>
      <c r="E7318" s="326"/>
      <c r="F7318" s="326"/>
      <c r="G7318" s="326"/>
      <c r="H7318" s="326"/>
      <c r="P7318" s="318"/>
      <c r="Q7318" s="318"/>
      <c r="R7318" s="318"/>
      <c r="S7318" s="318"/>
      <c r="T7318" s="318"/>
      <c r="U7318" s="318"/>
      <c r="V7318" s="318"/>
      <c r="W7318" s="318"/>
      <c r="X7318" s="318"/>
      <c r="Y7318" s="318"/>
      <c r="Z7318" s="318"/>
      <c r="AA7318" s="318"/>
      <c r="AB7318" s="318"/>
      <c r="AC7318" s="318"/>
      <c r="AD7318" s="318"/>
    </row>
    <row r="7319" spans="2:30" s="323" customFormat="1" ht="12" customHeight="1">
      <c r="B7319" s="324"/>
      <c r="C7319" s="325"/>
      <c r="D7319" s="326"/>
      <c r="E7319" s="326"/>
      <c r="F7319" s="326"/>
      <c r="G7319" s="326"/>
      <c r="H7319" s="326"/>
      <c r="P7319" s="318"/>
      <c r="Q7319" s="318"/>
      <c r="R7319" s="318"/>
      <c r="S7319" s="318"/>
      <c r="T7319" s="318"/>
      <c r="U7319" s="318"/>
      <c r="V7319" s="318"/>
      <c r="W7319" s="318"/>
      <c r="X7319" s="318"/>
      <c r="Y7319" s="318"/>
      <c r="Z7319" s="318"/>
      <c r="AA7319" s="318"/>
      <c r="AB7319" s="318"/>
      <c r="AC7319" s="318"/>
      <c r="AD7319" s="318"/>
    </row>
    <row r="7320" spans="2:30" s="323" customFormat="1" ht="12" customHeight="1">
      <c r="B7320" s="324"/>
      <c r="C7320" s="325"/>
      <c r="D7320" s="326"/>
      <c r="E7320" s="326"/>
      <c r="F7320" s="326"/>
      <c r="G7320" s="326"/>
      <c r="H7320" s="326"/>
      <c r="P7320" s="318"/>
      <c r="Q7320" s="318"/>
      <c r="R7320" s="318"/>
      <c r="S7320" s="318"/>
      <c r="T7320" s="318"/>
      <c r="U7320" s="318"/>
      <c r="V7320" s="318"/>
      <c r="W7320" s="318"/>
      <c r="X7320" s="318"/>
      <c r="Y7320" s="318"/>
      <c r="Z7320" s="318"/>
      <c r="AA7320" s="318"/>
      <c r="AB7320" s="318"/>
      <c r="AC7320" s="318"/>
      <c r="AD7320" s="318"/>
    </row>
    <row r="7321" spans="2:30" s="323" customFormat="1" ht="12" customHeight="1">
      <c r="B7321" s="324"/>
      <c r="C7321" s="325"/>
      <c r="D7321" s="326"/>
      <c r="E7321" s="326"/>
      <c r="F7321" s="326"/>
      <c r="G7321" s="326"/>
      <c r="H7321" s="326"/>
      <c r="P7321" s="318"/>
      <c r="Q7321" s="318"/>
      <c r="R7321" s="318"/>
      <c r="S7321" s="318"/>
      <c r="T7321" s="318"/>
      <c r="U7321" s="318"/>
      <c r="V7321" s="318"/>
      <c r="W7321" s="318"/>
      <c r="X7321" s="318"/>
      <c r="Y7321" s="318"/>
      <c r="Z7321" s="318"/>
      <c r="AA7321" s="318"/>
      <c r="AB7321" s="318"/>
      <c r="AC7321" s="318"/>
      <c r="AD7321" s="318"/>
    </row>
    <row r="7322" spans="2:30" s="323" customFormat="1" ht="12" customHeight="1">
      <c r="B7322" s="324"/>
      <c r="C7322" s="325"/>
      <c r="D7322" s="326"/>
      <c r="E7322" s="326"/>
      <c r="F7322" s="326"/>
      <c r="G7322" s="326"/>
      <c r="H7322" s="326"/>
      <c r="P7322" s="318"/>
      <c r="Q7322" s="318"/>
      <c r="R7322" s="318"/>
      <c r="S7322" s="318"/>
      <c r="T7322" s="318"/>
      <c r="U7322" s="318"/>
      <c r="V7322" s="318"/>
      <c r="W7322" s="318"/>
      <c r="X7322" s="318"/>
      <c r="Y7322" s="318"/>
      <c r="Z7322" s="318"/>
      <c r="AA7322" s="318"/>
      <c r="AB7322" s="318"/>
      <c r="AC7322" s="318"/>
      <c r="AD7322" s="318"/>
    </row>
    <row r="7323" spans="2:30" s="323" customFormat="1" ht="12" customHeight="1">
      <c r="B7323" s="324"/>
      <c r="C7323" s="325"/>
      <c r="D7323" s="326"/>
      <c r="E7323" s="326"/>
      <c r="F7323" s="326"/>
      <c r="G7323" s="326"/>
      <c r="H7323" s="326"/>
      <c r="P7323" s="318"/>
      <c r="Q7323" s="318"/>
      <c r="R7323" s="318"/>
      <c r="S7323" s="318"/>
      <c r="T7323" s="318"/>
      <c r="U7323" s="318"/>
      <c r="V7323" s="318"/>
      <c r="W7323" s="318"/>
      <c r="X7323" s="318"/>
      <c r="Y7323" s="318"/>
      <c r="Z7323" s="318"/>
      <c r="AA7323" s="318"/>
      <c r="AB7323" s="318"/>
      <c r="AC7323" s="318"/>
      <c r="AD7323" s="318"/>
    </row>
    <row r="7324" spans="2:30" s="323" customFormat="1" ht="12" customHeight="1">
      <c r="B7324" s="324"/>
      <c r="C7324" s="325"/>
      <c r="D7324" s="326"/>
      <c r="E7324" s="326"/>
      <c r="F7324" s="326"/>
      <c r="G7324" s="326"/>
      <c r="H7324" s="326"/>
      <c r="P7324" s="318"/>
      <c r="Q7324" s="318"/>
      <c r="R7324" s="318"/>
      <c r="S7324" s="318"/>
      <c r="T7324" s="318"/>
      <c r="U7324" s="318"/>
      <c r="V7324" s="318"/>
      <c r="W7324" s="318"/>
      <c r="X7324" s="318"/>
      <c r="Y7324" s="318"/>
      <c r="Z7324" s="318"/>
      <c r="AA7324" s="318"/>
      <c r="AB7324" s="318"/>
      <c r="AC7324" s="318"/>
      <c r="AD7324" s="318"/>
    </row>
    <row r="7325" spans="2:30" s="323" customFormat="1" ht="12" customHeight="1">
      <c r="B7325" s="324"/>
      <c r="C7325" s="325"/>
      <c r="D7325" s="326"/>
      <c r="E7325" s="326"/>
      <c r="F7325" s="326"/>
      <c r="G7325" s="326"/>
      <c r="H7325" s="326"/>
      <c r="P7325" s="318"/>
      <c r="Q7325" s="318"/>
      <c r="R7325" s="318"/>
      <c r="S7325" s="318"/>
      <c r="T7325" s="318"/>
      <c r="U7325" s="318"/>
      <c r="V7325" s="318"/>
      <c r="W7325" s="318"/>
      <c r="X7325" s="318"/>
      <c r="Y7325" s="318"/>
      <c r="Z7325" s="318"/>
      <c r="AA7325" s="318"/>
      <c r="AB7325" s="318"/>
      <c r="AC7325" s="318"/>
      <c r="AD7325" s="318"/>
    </row>
    <row r="7326" spans="2:30" s="323" customFormat="1" ht="12" customHeight="1">
      <c r="B7326" s="324"/>
      <c r="C7326" s="325"/>
      <c r="D7326" s="326"/>
      <c r="E7326" s="326"/>
      <c r="F7326" s="326"/>
      <c r="G7326" s="326"/>
      <c r="H7326" s="326"/>
      <c r="P7326" s="318"/>
      <c r="Q7326" s="318"/>
      <c r="R7326" s="318"/>
      <c r="S7326" s="318"/>
      <c r="T7326" s="318"/>
      <c r="U7326" s="318"/>
      <c r="V7326" s="318"/>
      <c r="W7326" s="318"/>
      <c r="X7326" s="318"/>
      <c r="Y7326" s="318"/>
      <c r="Z7326" s="318"/>
      <c r="AA7326" s="318"/>
      <c r="AB7326" s="318"/>
      <c r="AC7326" s="318"/>
      <c r="AD7326" s="318"/>
    </row>
    <row r="7327" spans="2:30" s="323" customFormat="1" ht="12" customHeight="1">
      <c r="B7327" s="324"/>
      <c r="C7327" s="325"/>
      <c r="D7327" s="326"/>
      <c r="E7327" s="326"/>
      <c r="F7327" s="326"/>
      <c r="G7327" s="326"/>
      <c r="H7327" s="326"/>
      <c r="P7327" s="318"/>
      <c r="Q7327" s="318"/>
      <c r="R7327" s="318"/>
      <c r="S7327" s="318"/>
      <c r="T7327" s="318"/>
      <c r="U7327" s="318"/>
      <c r="V7327" s="318"/>
      <c r="W7327" s="318"/>
      <c r="X7327" s="318"/>
      <c r="Y7327" s="318"/>
      <c r="Z7327" s="318"/>
      <c r="AA7327" s="318"/>
      <c r="AB7327" s="318"/>
      <c r="AC7327" s="318"/>
      <c r="AD7327" s="318"/>
    </row>
    <row r="7328" spans="2:30" s="323" customFormat="1" ht="12" customHeight="1">
      <c r="B7328" s="324"/>
      <c r="C7328" s="325"/>
      <c r="D7328" s="326"/>
      <c r="E7328" s="326"/>
      <c r="F7328" s="326"/>
      <c r="G7328" s="326"/>
      <c r="H7328" s="326"/>
      <c r="P7328" s="318"/>
      <c r="Q7328" s="318"/>
      <c r="R7328" s="318"/>
      <c r="S7328" s="318"/>
      <c r="T7328" s="318"/>
      <c r="U7328" s="318"/>
      <c r="V7328" s="318"/>
      <c r="W7328" s="318"/>
      <c r="X7328" s="318"/>
      <c r="Y7328" s="318"/>
      <c r="Z7328" s="318"/>
      <c r="AA7328" s="318"/>
      <c r="AB7328" s="318"/>
      <c r="AC7328" s="318"/>
      <c r="AD7328" s="318"/>
    </row>
    <row r="7329" spans="2:30" s="323" customFormat="1" ht="12" customHeight="1">
      <c r="B7329" s="324"/>
      <c r="C7329" s="325"/>
      <c r="D7329" s="326"/>
      <c r="E7329" s="326"/>
      <c r="F7329" s="326"/>
      <c r="G7329" s="326"/>
      <c r="H7329" s="326"/>
      <c r="P7329" s="318"/>
      <c r="Q7329" s="318"/>
      <c r="R7329" s="318"/>
      <c r="S7329" s="318"/>
      <c r="T7329" s="318"/>
      <c r="U7329" s="318"/>
      <c r="V7329" s="318"/>
      <c r="W7329" s="318"/>
      <c r="X7329" s="318"/>
      <c r="Y7329" s="318"/>
      <c r="Z7329" s="318"/>
      <c r="AA7329" s="318"/>
      <c r="AB7329" s="318"/>
      <c r="AC7329" s="318"/>
      <c r="AD7329" s="318"/>
    </row>
    <row r="7330" spans="2:30" s="323" customFormat="1" ht="12" customHeight="1">
      <c r="B7330" s="324"/>
      <c r="C7330" s="325"/>
      <c r="D7330" s="326"/>
      <c r="E7330" s="326"/>
      <c r="F7330" s="326"/>
      <c r="G7330" s="326"/>
      <c r="H7330" s="326"/>
      <c r="P7330" s="318"/>
      <c r="Q7330" s="318"/>
      <c r="R7330" s="318"/>
      <c r="S7330" s="318"/>
      <c r="T7330" s="318"/>
      <c r="U7330" s="318"/>
      <c r="V7330" s="318"/>
      <c r="W7330" s="318"/>
      <c r="X7330" s="318"/>
      <c r="Y7330" s="318"/>
      <c r="Z7330" s="318"/>
      <c r="AA7330" s="318"/>
      <c r="AB7330" s="318"/>
      <c r="AC7330" s="318"/>
      <c r="AD7330" s="318"/>
    </row>
    <row r="7331" spans="2:30" s="323" customFormat="1" ht="12" customHeight="1">
      <c r="B7331" s="324"/>
      <c r="C7331" s="325"/>
      <c r="D7331" s="326"/>
      <c r="E7331" s="326"/>
      <c r="F7331" s="326"/>
      <c r="G7331" s="326"/>
      <c r="H7331" s="326"/>
      <c r="P7331" s="318"/>
      <c r="Q7331" s="318"/>
      <c r="R7331" s="318"/>
      <c r="S7331" s="318"/>
      <c r="T7331" s="318"/>
      <c r="U7331" s="318"/>
      <c r="V7331" s="318"/>
      <c r="W7331" s="318"/>
      <c r="X7331" s="318"/>
      <c r="Y7331" s="318"/>
      <c r="Z7331" s="318"/>
      <c r="AA7331" s="318"/>
      <c r="AB7331" s="318"/>
      <c r="AC7331" s="318"/>
      <c r="AD7331" s="318"/>
    </row>
    <row r="7332" spans="2:30" s="323" customFormat="1" ht="12" customHeight="1">
      <c r="B7332" s="324"/>
      <c r="C7332" s="325"/>
      <c r="D7332" s="326"/>
      <c r="E7332" s="326"/>
      <c r="F7332" s="326"/>
      <c r="G7332" s="326"/>
      <c r="H7332" s="326"/>
      <c r="P7332" s="318"/>
      <c r="Q7332" s="318"/>
      <c r="R7332" s="318"/>
      <c r="S7332" s="318"/>
      <c r="T7332" s="318"/>
      <c r="U7332" s="318"/>
      <c r="V7332" s="318"/>
      <c r="W7332" s="318"/>
      <c r="X7332" s="318"/>
      <c r="Y7332" s="318"/>
      <c r="Z7332" s="318"/>
      <c r="AA7332" s="318"/>
      <c r="AB7332" s="318"/>
      <c r="AC7332" s="318"/>
      <c r="AD7332" s="318"/>
    </row>
    <row r="7333" spans="2:30" s="323" customFormat="1" ht="12" customHeight="1">
      <c r="B7333" s="324"/>
      <c r="C7333" s="325"/>
      <c r="D7333" s="326"/>
      <c r="E7333" s="326"/>
      <c r="F7333" s="326"/>
      <c r="G7333" s="326"/>
      <c r="H7333" s="326"/>
      <c r="P7333" s="318"/>
      <c r="Q7333" s="318"/>
      <c r="R7333" s="318"/>
      <c r="S7333" s="318"/>
      <c r="T7333" s="318"/>
      <c r="U7333" s="318"/>
      <c r="V7333" s="318"/>
      <c r="W7333" s="318"/>
      <c r="X7333" s="318"/>
      <c r="Y7333" s="318"/>
      <c r="Z7333" s="318"/>
      <c r="AA7333" s="318"/>
      <c r="AB7333" s="318"/>
      <c r="AC7333" s="318"/>
      <c r="AD7333" s="318"/>
    </row>
    <row r="7334" spans="2:30" s="323" customFormat="1" ht="12" customHeight="1">
      <c r="B7334" s="324"/>
      <c r="C7334" s="325"/>
      <c r="D7334" s="326"/>
      <c r="E7334" s="326"/>
      <c r="F7334" s="326"/>
      <c r="G7334" s="326"/>
      <c r="H7334" s="326"/>
      <c r="P7334" s="318"/>
      <c r="Q7334" s="318"/>
      <c r="R7334" s="318"/>
      <c r="S7334" s="318"/>
      <c r="T7334" s="318"/>
      <c r="U7334" s="318"/>
      <c r="V7334" s="318"/>
      <c r="W7334" s="318"/>
      <c r="X7334" s="318"/>
      <c r="Y7334" s="318"/>
      <c r="Z7334" s="318"/>
      <c r="AA7334" s="318"/>
      <c r="AB7334" s="318"/>
      <c r="AC7334" s="318"/>
      <c r="AD7334" s="318"/>
    </row>
    <row r="7335" spans="2:30" s="323" customFormat="1" ht="12" customHeight="1">
      <c r="B7335" s="324"/>
      <c r="C7335" s="325"/>
      <c r="D7335" s="326"/>
      <c r="E7335" s="326"/>
      <c r="F7335" s="326"/>
      <c r="G7335" s="326"/>
      <c r="H7335" s="326"/>
      <c r="P7335" s="318"/>
      <c r="Q7335" s="318"/>
      <c r="R7335" s="318"/>
      <c r="S7335" s="318"/>
      <c r="T7335" s="318"/>
      <c r="U7335" s="318"/>
      <c r="V7335" s="318"/>
      <c r="W7335" s="318"/>
      <c r="X7335" s="318"/>
      <c r="Y7335" s="318"/>
      <c r="Z7335" s="318"/>
      <c r="AA7335" s="318"/>
      <c r="AB7335" s="318"/>
      <c r="AC7335" s="318"/>
      <c r="AD7335" s="318"/>
    </row>
    <row r="7336" spans="2:30" s="323" customFormat="1" ht="12" customHeight="1">
      <c r="B7336" s="324"/>
      <c r="C7336" s="325"/>
      <c r="D7336" s="326"/>
      <c r="E7336" s="326"/>
      <c r="F7336" s="326"/>
      <c r="G7336" s="326"/>
      <c r="H7336" s="326"/>
      <c r="P7336" s="318"/>
      <c r="Q7336" s="318"/>
      <c r="R7336" s="318"/>
      <c r="S7336" s="318"/>
      <c r="T7336" s="318"/>
      <c r="U7336" s="318"/>
      <c r="V7336" s="318"/>
      <c r="W7336" s="318"/>
      <c r="X7336" s="318"/>
      <c r="Y7336" s="318"/>
      <c r="Z7336" s="318"/>
      <c r="AA7336" s="318"/>
      <c r="AB7336" s="318"/>
      <c r="AC7336" s="318"/>
      <c r="AD7336" s="318"/>
    </row>
    <row r="7337" spans="2:30" s="323" customFormat="1" ht="12" customHeight="1">
      <c r="B7337" s="324"/>
      <c r="C7337" s="325"/>
      <c r="D7337" s="326"/>
      <c r="E7337" s="326"/>
      <c r="F7337" s="326"/>
      <c r="G7337" s="326"/>
      <c r="H7337" s="326"/>
      <c r="P7337" s="318"/>
      <c r="Q7337" s="318"/>
      <c r="R7337" s="318"/>
      <c r="S7337" s="318"/>
      <c r="T7337" s="318"/>
      <c r="U7337" s="318"/>
      <c r="V7337" s="318"/>
      <c r="W7337" s="318"/>
      <c r="X7337" s="318"/>
      <c r="Y7337" s="318"/>
      <c r="Z7337" s="318"/>
      <c r="AA7337" s="318"/>
      <c r="AB7337" s="318"/>
      <c r="AC7337" s="318"/>
      <c r="AD7337" s="318"/>
    </row>
    <row r="7338" spans="2:30" s="323" customFormat="1" ht="12" customHeight="1">
      <c r="B7338" s="324"/>
      <c r="C7338" s="325"/>
      <c r="D7338" s="326"/>
      <c r="E7338" s="326"/>
      <c r="F7338" s="326"/>
      <c r="G7338" s="326"/>
      <c r="H7338" s="326"/>
      <c r="P7338" s="318"/>
      <c r="Q7338" s="318"/>
      <c r="R7338" s="318"/>
      <c r="S7338" s="318"/>
      <c r="T7338" s="318"/>
      <c r="U7338" s="318"/>
      <c r="V7338" s="318"/>
      <c r="W7338" s="318"/>
      <c r="X7338" s="318"/>
      <c r="Y7338" s="318"/>
      <c r="Z7338" s="318"/>
      <c r="AA7338" s="318"/>
      <c r="AB7338" s="318"/>
      <c r="AC7338" s="318"/>
      <c r="AD7338" s="318"/>
    </row>
    <row r="7339" spans="2:30" s="323" customFormat="1" ht="12" customHeight="1">
      <c r="B7339" s="324"/>
      <c r="C7339" s="325"/>
      <c r="D7339" s="326"/>
      <c r="E7339" s="326"/>
      <c r="F7339" s="326"/>
      <c r="G7339" s="326"/>
      <c r="H7339" s="326"/>
      <c r="P7339" s="318"/>
      <c r="Q7339" s="318"/>
      <c r="R7339" s="318"/>
      <c r="S7339" s="318"/>
      <c r="T7339" s="318"/>
      <c r="U7339" s="318"/>
      <c r="V7339" s="318"/>
      <c r="W7339" s="318"/>
      <c r="X7339" s="318"/>
      <c r="Y7339" s="318"/>
      <c r="Z7339" s="318"/>
      <c r="AA7339" s="318"/>
      <c r="AB7339" s="318"/>
      <c r="AC7339" s="318"/>
      <c r="AD7339" s="318"/>
    </row>
    <row r="7340" spans="2:30" s="323" customFormat="1" ht="12" customHeight="1">
      <c r="B7340" s="324"/>
      <c r="C7340" s="325"/>
      <c r="D7340" s="326"/>
      <c r="E7340" s="326"/>
      <c r="F7340" s="326"/>
      <c r="G7340" s="326"/>
      <c r="H7340" s="326"/>
      <c r="P7340" s="318"/>
      <c r="Q7340" s="318"/>
      <c r="R7340" s="318"/>
      <c r="S7340" s="318"/>
      <c r="T7340" s="318"/>
      <c r="U7340" s="318"/>
      <c r="V7340" s="318"/>
      <c r="W7340" s="318"/>
      <c r="X7340" s="318"/>
      <c r="Y7340" s="318"/>
      <c r="Z7340" s="318"/>
      <c r="AA7340" s="318"/>
      <c r="AB7340" s="318"/>
      <c r="AC7340" s="318"/>
      <c r="AD7340" s="318"/>
    </row>
    <row r="7341" spans="2:30" s="323" customFormat="1" ht="12" customHeight="1">
      <c r="B7341" s="324"/>
      <c r="C7341" s="325"/>
      <c r="D7341" s="326"/>
      <c r="E7341" s="326"/>
      <c r="F7341" s="326"/>
      <c r="G7341" s="326"/>
      <c r="H7341" s="326"/>
      <c r="P7341" s="318"/>
      <c r="Q7341" s="318"/>
      <c r="R7341" s="318"/>
      <c r="S7341" s="318"/>
      <c r="T7341" s="318"/>
      <c r="U7341" s="318"/>
      <c r="V7341" s="318"/>
      <c r="W7341" s="318"/>
      <c r="X7341" s="318"/>
      <c r="Y7341" s="318"/>
      <c r="Z7341" s="318"/>
      <c r="AA7341" s="318"/>
      <c r="AB7341" s="318"/>
      <c r="AC7341" s="318"/>
      <c r="AD7341" s="318"/>
    </row>
    <row r="7342" spans="2:30" s="323" customFormat="1" ht="12" customHeight="1">
      <c r="B7342" s="324"/>
      <c r="C7342" s="325"/>
      <c r="D7342" s="326"/>
      <c r="E7342" s="326"/>
      <c r="F7342" s="326"/>
      <c r="G7342" s="326"/>
      <c r="H7342" s="326"/>
      <c r="P7342" s="318"/>
      <c r="Q7342" s="318"/>
      <c r="R7342" s="318"/>
      <c r="S7342" s="318"/>
      <c r="T7342" s="318"/>
      <c r="U7342" s="318"/>
      <c r="V7342" s="318"/>
      <c r="W7342" s="318"/>
      <c r="X7342" s="318"/>
      <c r="Y7342" s="318"/>
      <c r="Z7342" s="318"/>
      <c r="AA7342" s="318"/>
      <c r="AB7342" s="318"/>
      <c r="AC7342" s="318"/>
      <c r="AD7342" s="318"/>
    </row>
    <row r="7343" spans="2:30" s="323" customFormat="1" ht="12" customHeight="1">
      <c r="B7343" s="324"/>
      <c r="C7343" s="325"/>
      <c r="D7343" s="326"/>
      <c r="E7343" s="326"/>
      <c r="F7343" s="326"/>
      <c r="G7343" s="326"/>
      <c r="H7343" s="326"/>
      <c r="P7343" s="318"/>
      <c r="Q7343" s="318"/>
      <c r="R7343" s="318"/>
      <c r="S7343" s="318"/>
      <c r="T7343" s="318"/>
      <c r="U7343" s="318"/>
      <c r="V7343" s="318"/>
      <c r="W7343" s="318"/>
      <c r="X7343" s="318"/>
      <c r="Y7343" s="318"/>
      <c r="Z7343" s="318"/>
      <c r="AA7343" s="318"/>
      <c r="AB7343" s="318"/>
      <c r="AC7343" s="318"/>
      <c r="AD7343" s="318"/>
    </row>
    <row r="7344" spans="2:30" s="323" customFormat="1" ht="12" customHeight="1">
      <c r="B7344" s="324"/>
      <c r="C7344" s="325"/>
      <c r="D7344" s="326"/>
      <c r="E7344" s="326"/>
      <c r="F7344" s="326"/>
      <c r="G7344" s="326"/>
      <c r="H7344" s="326"/>
      <c r="P7344" s="318"/>
      <c r="Q7344" s="318"/>
      <c r="R7344" s="318"/>
      <c r="S7344" s="318"/>
      <c r="T7344" s="318"/>
      <c r="U7344" s="318"/>
      <c r="V7344" s="318"/>
      <c r="W7344" s="318"/>
      <c r="X7344" s="318"/>
      <c r="Y7344" s="318"/>
      <c r="Z7344" s="318"/>
      <c r="AA7344" s="318"/>
      <c r="AB7344" s="318"/>
      <c r="AC7344" s="318"/>
      <c r="AD7344" s="318"/>
    </row>
    <row r="7345" spans="2:30" s="323" customFormat="1" ht="12" customHeight="1">
      <c r="B7345" s="324"/>
      <c r="C7345" s="325"/>
      <c r="D7345" s="326"/>
      <c r="E7345" s="326"/>
      <c r="F7345" s="326"/>
      <c r="G7345" s="326"/>
      <c r="H7345" s="326"/>
      <c r="P7345" s="318"/>
      <c r="Q7345" s="318"/>
      <c r="R7345" s="318"/>
      <c r="S7345" s="318"/>
      <c r="T7345" s="318"/>
      <c r="U7345" s="318"/>
      <c r="V7345" s="318"/>
      <c r="W7345" s="318"/>
      <c r="X7345" s="318"/>
      <c r="Y7345" s="318"/>
      <c r="Z7345" s="318"/>
      <c r="AA7345" s="318"/>
      <c r="AB7345" s="318"/>
      <c r="AC7345" s="318"/>
      <c r="AD7345" s="318"/>
    </row>
    <row r="7346" spans="2:30" s="323" customFormat="1" ht="12" customHeight="1">
      <c r="B7346" s="324"/>
      <c r="C7346" s="325"/>
      <c r="D7346" s="326"/>
      <c r="E7346" s="326"/>
      <c r="F7346" s="326"/>
      <c r="G7346" s="326"/>
      <c r="H7346" s="326"/>
      <c r="P7346" s="318"/>
      <c r="Q7346" s="318"/>
      <c r="R7346" s="318"/>
      <c r="S7346" s="318"/>
      <c r="T7346" s="318"/>
      <c r="U7346" s="318"/>
      <c r="V7346" s="318"/>
      <c r="W7346" s="318"/>
      <c r="X7346" s="318"/>
      <c r="Y7346" s="318"/>
      <c r="Z7346" s="318"/>
      <c r="AA7346" s="318"/>
      <c r="AB7346" s="318"/>
      <c r="AC7346" s="318"/>
      <c r="AD7346" s="318"/>
    </row>
    <row r="7347" spans="2:30" s="323" customFormat="1" ht="12" customHeight="1">
      <c r="B7347" s="324"/>
      <c r="C7347" s="325"/>
      <c r="D7347" s="326"/>
      <c r="E7347" s="326"/>
      <c r="F7347" s="326"/>
      <c r="G7347" s="326"/>
      <c r="H7347" s="326"/>
      <c r="P7347" s="318"/>
      <c r="Q7347" s="318"/>
      <c r="R7347" s="318"/>
      <c r="S7347" s="318"/>
      <c r="T7347" s="318"/>
      <c r="U7347" s="318"/>
      <c r="V7347" s="318"/>
      <c r="W7347" s="318"/>
      <c r="X7347" s="318"/>
      <c r="Y7347" s="318"/>
      <c r="Z7347" s="318"/>
      <c r="AA7347" s="318"/>
      <c r="AB7347" s="318"/>
      <c r="AC7347" s="318"/>
      <c r="AD7347" s="318"/>
    </row>
    <row r="7348" spans="2:30" s="323" customFormat="1" ht="12" customHeight="1">
      <c r="B7348" s="324"/>
      <c r="C7348" s="325"/>
      <c r="D7348" s="326"/>
      <c r="E7348" s="326"/>
      <c r="F7348" s="326"/>
      <c r="G7348" s="326"/>
      <c r="H7348" s="326"/>
      <c r="P7348" s="318"/>
      <c r="Q7348" s="318"/>
      <c r="R7348" s="318"/>
      <c r="S7348" s="318"/>
      <c r="T7348" s="318"/>
      <c r="U7348" s="318"/>
      <c r="V7348" s="318"/>
      <c r="W7348" s="318"/>
      <c r="X7348" s="318"/>
      <c r="Y7348" s="318"/>
      <c r="Z7348" s="318"/>
      <c r="AA7348" s="318"/>
      <c r="AB7348" s="318"/>
      <c r="AC7348" s="318"/>
      <c r="AD7348" s="318"/>
    </row>
    <row r="7349" spans="2:30" s="323" customFormat="1" ht="12" customHeight="1">
      <c r="B7349" s="324"/>
      <c r="C7349" s="325"/>
      <c r="D7349" s="326"/>
      <c r="E7349" s="326"/>
      <c r="F7349" s="326"/>
      <c r="G7349" s="326"/>
      <c r="H7349" s="326"/>
      <c r="P7349" s="318"/>
      <c r="Q7349" s="318"/>
      <c r="R7349" s="318"/>
      <c r="S7349" s="318"/>
      <c r="T7349" s="318"/>
      <c r="U7349" s="318"/>
      <c r="V7349" s="318"/>
      <c r="W7349" s="318"/>
      <c r="X7349" s="318"/>
      <c r="Y7349" s="318"/>
      <c r="Z7349" s="318"/>
      <c r="AA7349" s="318"/>
      <c r="AB7349" s="318"/>
      <c r="AC7349" s="318"/>
      <c r="AD7349" s="318"/>
    </row>
    <row r="7350" spans="2:30" s="323" customFormat="1" ht="12" customHeight="1">
      <c r="B7350" s="324"/>
      <c r="C7350" s="325"/>
      <c r="D7350" s="326"/>
      <c r="E7350" s="326"/>
      <c r="F7350" s="326"/>
      <c r="G7350" s="326"/>
      <c r="H7350" s="326"/>
      <c r="P7350" s="318"/>
      <c r="Q7350" s="318"/>
      <c r="R7350" s="318"/>
      <c r="S7350" s="318"/>
      <c r="T7350" s="318"/>
      <c r="U7350" s="318"/>
      <c r="V7350" s="318"/>
      <c r="W7350" s="318"/>
      <c r="X7350" s="318"/>
      <c r="Y7350" s="318"/>
      <c r="Z7350" s="318"/>
      <c r="AA7350" s="318"/>
      <c r="AB7350" s="318"/>
      <c r="AC7350" s="318"/>
      <c r="AD7350" s="318"/>
    </row>
    <row r="7351" spans="2:30" s="323" customFormat="1" ht="12" customHeight="1">
      <c r="B7351" s="324"/>
      <c r="C7351" s="325"/>
      <c r="D7351" s="326"/>
      <c r="E7351" s="326"/>
      <c r="F7351" s="326"/>
      <c r="G7351" s="326"/>
      <c r="H7351" s="326"/>
      <c r="P7351" s="318"/>
      <c r="Q7351" s="318"/>
      <c r="R7351" s="318"/>
      <c r="S7351" s="318"/>
      <c r="T7351" s="318"/>
      <c r="U7351" s="318"/>
      <c r="V7351" s="318"/>
      <c r="W7351" s="318"/>
      <c r="X7351" s="318"/>
      <c r="Y7351" s="318"/>
      <c r="Z7351" s="318"/>
      <c r="AA7351" s="318"/>
      <c r="AB7351" s="318"/>
      <c r="AC7351" s="318"/>
      <c r="AD7351" s="318"/>
    </row>
    <row r="7352" spans="2:30" s="323" customFormat="1" ht="12" customHeight="1">
      <c r="B7352" s="324"/>
      <c r="C7352" s="325"/>
      <c r="D7352" s="326"/>
      <c r="E7352" s="326"/>
      <c r="F7352" s="326"/>
      <c r="G7352" s="326"/>
      <c r="H7352" s="326"/>
      <c r="P7352" s="318"/>
      <c r="Q7352" s="318"/>
      <c r="R7352" s="318"/>
      <c r="S7352" s="318"/>
      <c r="T7352" s="318"/>
      <c r="U7352" s="318"/>
      <c r="V7352" s="318"/>
      <c r="W7352" s="318"/>
      <c r="X7352" s="318"/>
      <c r="Y7352" s="318"/>
      <c r="Z7352" s="318"/>
      <c r="AA7352" s="318"/>
      <c r="AB7352" s="318"/>
      <c r="AC7352" s="318"/>
      <c r="AD7352" s="318"/>
    </row>
    <row r="7353" spans="2:30" s="323" customFormat="1" ht="12" customHeight="1">
      <c r="B7353" s="324"/>
      <c r="C7353" s="325"/>
      <c r="D7353" s="326"/>
      <c r="E7353" s="326"/>
      <c r="F7353" s="326"/>
      <c r="G7353" s="326"/>
      <c r="H7353" s="326"/>
      <c r="P7353" s="318"/>
      <c r="Q7353" s="318"/>
      <c r="R7353" s="318"/>
      <c r="S7353" s="318"/>
      <c r="T7353" s="318"/>
      <c r="U7353" s="318"/>
      <c r="V7353" s="318"/>
      <c r="W7353" s="318"/>
      <c r="X7353" s="318"/>
      <c r="Y7353" s="318"/>
      <c r="Z7353" s="318"/>
      <c r="AA7353" s="318"/>
      <c r="AB7353" s="318"/>
      <c r="AC7353" s="318"/>
      <c r="AD7353" s="318"/>
    </row>
    <row r="7354" spans="2:30" s="323" customFormat="1" ht="12" customHeight="1">
      <c r="B7354" s="324"/>
      <c r="C7354" s="325"/>
      <c r="D7354" s="326"/>
      <c r="E7354" s="326"/>
      <c r="F7354" s="326"/>
      <c r="G7354" s="326"/>
      <c r="H7354" s="326"/>
      <c r="P7354" s="318"/>
      <c r="Q7354" s="318"/>
      <c r="R7354" s="318"/>
      <c r="S7354" s="318"/>
      <c r="T7354" s="318"/>
      <c r="U7354" s="318"/>
      <c r="V7354" s="318"/>
      <c r="W7354" s="318"/>
      <c r="X7354" s="318"/>
      <c r="Y7354" s="318"/>
      <c r="Z7354" s="318"/>
      <c r="AA7354" s="318"/>
      <c r="AB7354" s="318"/>
      <c r="AC7354" s="318"/>
      <c r="AD7354" s="318"/>
    </row>
    <row r="7355" spans="2:30" s="323" customFormat="1" ht="12" customHeight="1">
      <c r="B7355" s="324"/>
      <c r="C7355" s="325"/>
      <c r="D7355" s="326"/>
      <c r="E7355" s="326"/>
      <c r="F7355" s="326"/>
      <c r="G7355" s="326"/>
      <c r="H7355" s="326"/>
      <c r="P7355" s="318"/>
      <c r="Q7355" s="318"/>
      <c r="R7355" s="318"/>
      <c r="S7355" s="318"/>
      <c r="T7355" s="318"/>
      <c r="U7355" s="318"/>
      <c r="V7355" s="318"/>
      <c r="W7355" s="318"/>
      <c r="X7355" s="318"/>
      <c r="Y7355" s="318"/>
      <c r="Z7355" s="318"/>
      <c r="AA7355" s="318"/>
      <c r="AB7355" s="318"/>
      <c r="AC7355" s="318"/>
      <c r="AD7355" s="318"/>
    </row>
    <row r="7356" spans="2:30" s="323" customFormat="1" ht="12" customHeight="1">
      <c r="B7356" s="324"/>
      <c r="C7356" s="325"/>
      <c r="D7356" s="326"/>
      <c r="E7356" s="326"/>
      <c r="F7356" s="326"/>
      <c r="G7356" s="326"/>
      <c r="H7356" s="326"/>
      <c r="P7356" s="318"/>
      <c r="Q7356" s="318"/>
      <c r="R7356" s="318"/>
      <c r="S7356" s="318"/>
      <c r="T7356" s="318"/>
      <c r="U7356" s="318"/>
      <c r="V7356" s="318"/>
      <c r="W7356" s="318"/>
      <c r="X7356" s="318"/>
      <c r="Y7356" s="318"/>
      <c r="Z7356" s="318"/>
      <c r="AA7356" s="318"/>
      <c r="AB7356" s="318"/>
      <c r="AC7356" s="318"/>
      <c r="AD7356" s="318"/>
    </row>
    <row r="7357" spans="2:30" s="323" customFormat="1" ht="12" customHeight="1">
      <c r="B7357" s="324"/>
      <c r="C7357" s="325"/>
      <c r="D7357" s="326"/>
      <c r="E7357" s="326"/>
      <c r="F7357" s="326"/>
      <c r="G7357" s="326"/>
      <c r="H7357" s="326"/>
      <c r="P7357" s="318"/>
      <c r="Q7357" s="318"/>
      <c r="R7357" s="318"/>
      <c r="S7357" s="318"/>
      <c r="T7357" s="318"/>
      <c r="U7357" s="318"/>
      <c r="V7357" s="318"/>
      <c r="W7357" s="318"/>
      <c r="X7357" s="318"/>
      <c r="Y7357" s="318"/>
      <c r="Z7357" s="318"/>
      <c r="AA7357" s="318"/>
      <c r="AB7357" s="318"/>
      <c r="AC7357" s="318"/>
      <c r="AD7357" s="318"/>
    </row>
    <row r="7358" spans="2:30" s="323" customFormat="1" ht="12" customHeight="1">
      <c r="B7358" s="324"/>
      <c r="C7358" s="325"/>
      <c r="D7358" s="326"/>
      <c r="E7358" s="326"/>
      <c r="F7358" s="326"/>
      <c r="G7358" s="326"/>
      <c r="H7358" s="326"/>
      <c r="P7358" s="318"/>
      <c r="Q7358" s="318"/>
      <c r="R7358" s="318"/>
      <c r="S7358" s="318"/>
      <c r="T7358" s="318"/>
      <c r="U7358" s="318"/>
      <c r="V7358" s="318"/>
      <c r="W7358" s="318"/>
      <c r="X7358" s="318"/>
      <c r="Y7358" s="318"/>
      <c r="Z7358" s="318"/>
      <c r="AA7358" s="318"/>
      <c r="AB7358" s="318"/>
      <c r="AC7358" s="318"/>
      <c r="AD7358" s="318"/>
    </row>
    <row r="7359" spans="2:30" s="323" customFormat="1" ht="12" customHeight="1">
      <c r="B7359" s="324"/>
      <c r="C7359" s="325"/>
      <c r="D7359" s="326"/>
      <c r="E7359" s="326"/>
      <c r="F7359" s="326"/>
      <c r="G7359" s="326"/>
      <c r="H7359" s="326"/>
      <c r="P7359" s="318"/>
      <c r="Q7359" s="318"/>
      <c r="R7359" s="318"/>
      <c r="S7359" s="318"/>
      <c r="T7359" s="318"/>
      <c r="U7359" s="318"/>
      <c r="V7359" s="318"/>
      <c r="W7359" s="318"/>
      <c r="X7359" s="318"/>
      <c r="Y7359" s="318"/>
      <c r="Z7359" s="318"/>
      <c r="AA7359" s="318"/>
      <c r="AB7359" s="318"/>
      <c r="AC7359" s="318"/>
      <c r="AD7359" s="318"/>
    </row>
    <row r="7360" spans="2:30" s="323" customFormat="1" ht="12" customHeight="1">
      <c r="B7360" s="324"/>
      <c r="C7360" s="325"/>
      <c r="D7360" s="326"/>
      <c r="E7360" s="326"/>
      <c r="F7360" s="326"/>
      <c r="G7360" s="326"/>
      <c r="H7360" s="326"/>
      <c r="P7360" s="318"/>
      <c r="Q7360" s="318"/>
      <c r="R7360" s="318"/>
      <c r="S7360" s="318"/>
      <c r="T7360" s="318"/>
      <c r="U7360" s="318"/>
      <c r="V7360" s="318"/>
      <c r="W7360" s="318"/>
      <c r="X7360" s="318"/>
      <c r="Y7360" s="318"/>
      <c r="Z7360" s="318"/>
      <c r="AA7360" s="318"/>
      <c r="AB7360" s="318"/>
      <c r="AC7360" s="318"/>
      <c r="AD7360" s="318"/>
    </row>
    <row r="7361" spans="2:30" s="323" customFormat="1" ht="12" customHeight="1">
      <c r="B7361" s="324"/>
      <c r="C7361" s="325"/>
      <c r="D7361" s="326"/>
      <c r="E7361" s="326"/>
      <c r="F7361" s="326"/>
      <c r="G7361" s="326"/>
      <c r="H7361" s="326"/>
      <c r="P7361" s="318"/>
      <c r="Q7361" s="318"/>
      <c r="R7361" s="318"/>
      <c r="S7361" s="318"/>
      <c r="T7361" s="318"/>
      <c r="U7361" s="318"/>
      <c r="V7361" s="318"/>
      <c r="W7361" s="318"/>
      <c r="X7361" s="318"/>
      <c r="Y7361" s="318"/>
      <c r="Z7361" s="318"/>
      <c r="AA7361" s="318"/>
      <c r="AB7361" s="318"/>
      <c r="AC7361" s="318"/>
      <c r="AD7361" s="318"/>
    </row>
    <row r="7362" spans="2:30" s="323" customFormat="1" ht="12" customHeight="1">
      <c r="B7362" s="324"/>
      <c r="C7362" s="325"/>
      <c r="D7362" s="326"/>
      <c r="E7362" s="326"/>
      <c r="F7362" s="326"/>
      <c r="G7362" s="326"/>
      <c r="H7362" s="326"/>
      <c r="P7362" s="318"/>
      <c r="Q7362" s="318"/>
      <c r="R7362" s="318"/>
      <c r="S7362" s="318"/>
      <c r="T7362" s="318"/>
      <c r="U7362" s="318"/>
      <c r="V7362" s="318"/>
      <c r="W7362" s="318"/>
      <c r="X7362" s="318"/>
      <c r="Y7362" s="318"/>
      <c r="Z7362" s="318"/>
      <c r="AA7362" s="318"/>
      <c r="AB7362" s="318"/>
      <c r="AC7362" s="318"/>
      <c r="AD7362" s="318"/>
    </row>
    <row r="7363" spans="2:30" s="323" customFormat="1" ht="12" customHeight="1">
      <c r="B7363" s="324"/>
      <c r="C7363" s="325"/>
      <c r="D7363" s="326"/>
      <c r="E7363" s="326"/>
      <c r="F7363" s="326"/>
      <c r="G7363" s="326"/>
      <c r="H7363" s="326"/>
      <c r="P7363" s="318"/>
      <c r="Q7363" s="318"/>
      <c r="R7363" s="318"/>
      <c r="S7363" s="318"/>
      <c r="T7363" s="318"/>
      <c r="U7363" s="318"/>
      <c r="V7363" s="318"/>
      <c r="W7363" s="318"/>
      <c r="X7363" s="318"/>
      <c r="Y7363" s="318"/>
      <c r="Z7363" s="318"/>
      <c r="AA7363" s="318"/>
      <c r="AB7363" s="318"/>
      <c r="AC7363" s="318"/>
      <c r="AD7363" s="318"/>
    </row>
    <row r="7364" spans="2:30" s="323" customFormat="1" ht="12" customHeight="1">
      <c r="B7364" s="324"/>
      <c r="C7364" s="325"/>
      <c r="D7364" s="326"/>
      <c r="E7364" s="326"/>
      <c r="F7364" s="326"/>
      <c r="G7364" s="326"/>
      <c r="H7364" s="326"/>
      <c r="P7364" s="318"/>
      <c r="Q7364" s="318"/>
      <c r="R7364" s="318"/>
      <c r="S7364" s="318"/>
      <c r="T7364" s="318"/>
      <c r="U7364" s="318"/>
      <c r="V7364" s="318"/>
      <c r="W7364" s="318"/>
      <c r="X7364" s="318"/>
      <c r="Y7364" s="318"/>
      <c r="Z7364" s="318"/>
      <c r="AA7364" s="318"/>
      <c r="AB7364" s="318"/>
      <c r="AC7364" s="318"/>
      <c r="AD7364" s="318"/>
    </row>
    <row r="7365" spans="2:30" s="323" customFormat="1" ht="12" customHeight="1">
      <c r="B7365" s="324"/>
      <c r="C7365" s="325"/>
      <c r="D7365" s="326"/>
      <c r="E7365" s="326"/>
      <c r="F7365" s="326"/>
      <c r="G7365" s="326"/>
      <c r="H7365" s="326"/>
      <c r="P7365" s="318"/>
      <c r="Q7365" s="318"/>
      <c r="R7365" s="318"/>
      <c r="S7365" s="318"/>
      <c r="T7365" s="318"/>
      <c r="U7365" s="318"/>
      <c r="V7365" s="318"/>
      <c r="W7365" s="318"/>
      <c r="X7365" s="318"/>
      <c r="Y7365" s="318"/>
      <c r="Z7365" s="318"/>
      <c r="AA7365" s="318"/>
      <c r="AB7365" s="318"/>
      <c r="AC7365" s="318"/>
      <c r="AD7365" s="318"/>
    </row>
    <row r="7366" spans="2:30" s="323" customFormat="1" ht="12" customHeight="1">
      <c r="B7366" s="324"/>
      <c r="C7366" s="325"/>
      <c r="D7366" s="326"/>
      <c r="E7366" s="326"/>
      <c r="F7366" s="326"/>
      <c r="G7366" s="326"/>
      <c r="H7366" s="326"/>
      <c r="P7366" s="318"/>
      <c r="Q7366" s="318"/>
      <c r="R7366" s="318"/>
      <c r="S7366" s="318"/>
      <c r="T7366" s="318"/>
      <c r="U7366" s="318"/>
      <c r="V7366" s="318"/>
      <c r="W7366" s="318"/>
      <c r="X7366" s="318"/>
      <c r="Y7366" s="318"/>
      <c r="Z7366" s="318"/>
      <c r="AA7366" s="318"/>
      <c r="AB7366" s="318"/>
      <c r="AC7366" s="318"/>
      <c r="AD7366" s="318"/>
    </row>
    <row r="7367" spans="2:30" s="323" customFormat="1" ht="12" customHeight="1">
      <c r="B7367" s="324"/>
      <c r="C7367" s="325"/>
      <c r="D7367" s="326"/>
      <c r="E7367" s="326"/>
      <c r="F7367" s="326"/>
      <c r="G7367" s="326"/>
      <c r="H7367" s="326"/>
      <c r="P7367" s="318"/>
      <c r="Q7367" s="318"/>
      <c r="R7367" s="318"/>
      <c r="S7367" s="318"/>
      <c r="T7367" s="318"/>
      <c r="U7367" s="318"/>
      <c r="V7367" s="318"/>
      <c r="W7367" s="318"/>
      <c r="X7367" s="318"/>
      <c r="Y7367" s="318"/>
      <c r="Z7367" s="318"/>
      <c r="AA7367" s="318"/>
      <c r="AB7367" s="318"/>
      <c r="AC7367" s="318"/>
      <c r="AD7367" s="318"/>
    </row>
    <row r="7368" spans="2:30" s="323" customFormat="1" ht="12" customHeight="1">
      <c r="B7368" s="324"/>
      <c r="C7368" s="325"/>
      <c r="D7368" s="326"/>
      <c r="E7368" s="326"/>
      <c r="F7368" s="326"/>
      <c r="G7368" s="326"/>
      <c r="H7368" s="326"/>
      <c r="P7368" s="318"/>
      <c r="Q7368" s="318"/>
      <c r="R7368" s="318"/>
      <c r="S7368" s="318"/>
      <c r="T7368" s="318"/>
      <c r="U7368" s="318"/>
      <c r="V7368" s="318"/>
      <c r="W7368" s="318"/>
      <c r="X7368" s="318"/>
      <c r="Y7368" s="318"/>
      <c r="Z7368" s="318"/>
      <c r="AA7368" s="318"/>
      <c r="AB7368" s="318"/>
      <c r="AC7368" s="318"/>
      <c r="AD7368" s="318"/>
    </row>
    <row r="7369" spans="2:30" s="323" customFormat="1" ht="12" customHeight="1">
      <c r="B7369" s="324"/>
      <c r="C7369" s="325"/>
      <c r="D7369" s="326"/>
      <c r="E7369" s="326"/>
      <c r="F7369" s="326"/>
      <c r="G7369" s="326"/>
      <c r="H7369" s="326"/>
      <c r="P7369" s="318"/>
      <c r="Q7369" s="318"/>
      <c r="R7369" s="318"/>
      <c r="S7369" s="318"/>
      <c r="T7369" s="318"/>
      <c r="U7369" s="318"/>
      <c r="V7369" s="318"/>
      <c r="W7369" s="318"/>
      <c r="X7369" s="318"/>
      <c r="Y7369" s="318"/>
      <c r="Z7369" s="318"/>
      <c r="AA7369" s="318"/>
      <c r="AB7369" s="318"/>
      <c r="AC7369" s="318"/>
      <c r="AD7369" s="318"/>
    </row>
    <row r="7370" spans="2:30" s="323" customFormat="1" ht="12" customHeight="1">
      <c r="B7370" s="324"/>
      <c r="C7370" s="325"/>
      <c r="D7370" s="326"/>
      <c r="E7370" s="326"/>
      <c r="F7370" s="326"/>
      <c r="G7370" s="326"/>
      <c r="H7370" s="326"/>
      <c r="P7370" s="318"/>
      <c r="Q7370" s="318"/>
      <c r="R7370" s="318"/>
      <c r="S7370" s="318"/>
      <c r="T7370" s="318"/>
      <c r="U7370" s="318"/>
      <c r="V7370" s="318"/>
      <c r="W7370" s="318"/>
      <c r="X7370" s="318"/>
      <c r="Y7370" s="318"/>
      <c r="Z7370" s="318"/>
      <c r="AA7370" s="318"/>
      <c r="AB7370" s="318"/>
      <c r="AC7370" s="318"/>
      <c r="AD7370" s="318"/>
    </row>
    <row r="7371" spans="2:30" s="323" customFormat="1" ht="12" customHeight="1">
      <c r="B7371" s="324"/>
      <c r="C7371" s="325"/>
      <c r="D7371" s="326"/>
      <c r="E7371" s="326"/>
      <c r="F7371" s="326"/>
      <c r="G7371" s="326"/>
      <c r="H7371" s="326"/>
      <c r="P7371" s="318"/>
      <c r="Q7371" s="318"/>
      <c r="R7371" s="318"/>
      <c r="S7371" s="318"/>
      <c r="T7371" s="318"/>
      <c r="U7371" s="318"/>
      <c r="V7371" s="318"/>
      <c r="W7371" s="318"/>
      <c r="X7371" s="318"/>
      <c r="Y7371" s="318"/>
      <c r="Z7371" s="318"/>
      <c r="AA7371" s="318"/>
      <c r="AB7371" s="318"/>
      <c r="AC7371" s="318"/>
      <c r="AD7371" s="318"/>
    </row>
    <row r="7372" spans="2:30" s="323" customFormat="1" ht="12" customHeight="1">
      <c r="B7372" s="324"/>
      <c r="C7372" s="325"/>
      <c r="D7372" s="326"/>
      <c r="E7372" s="326"/>
      <c r="F7372" s="326"/>
      <c r="G7372" s="326"/>
      <c r="H7372" s="326"/>
      <c r="P7372" s="318"/>
      <c r="Q7372" s="318"/>
      <c r="R7372" s="318"/>
      <c r="S7372" s="318"/>
      <c r="T7372" s="318"/>
      <c r="U7372" s="318"/>
      <c r="V7372" s="318"/>
      <c r="W7372" s="318"/>
      <c r="X7372" s="318"/>
      <c r="Y7372" s="318"/>
      <c r="Z7372" s="318"/>
      <c r="AA7372" s="318"/>
      <c r="AB7372" s="318"/>
      <c r="AC7372" s="318"/>
      <c r="AD7372" s="318"/>
    </row>
    <row r="7373" spans="2:30" s="323" customFormat="1" ht="12" customHeight="1">
      <c r="B7373" s="324"/>
      <c r="C7373" s="325"/>
      <c r="D7373" s="326"/>
      <c r="E7373" s="326"/>
      <c r="F7373" s="326"/>
      <c r="G7373" s="326"/>
      <c r="H7373" s="326"/>
      <c r="P7373" s="318"/>
      <c r="Q7373" s="318"/>
      <c r="R7373" s="318"/>
      <c r="S7373" s="318"/>
      <c r="T7373" s="318"/>
      <c r="U7373" s="318"/>
      <c r="V7373" s="318"/>
      <c r="W7373" s="318"/>
      <c r="X7373" s="318"/>
      <c r="Y7373" s="318"/>
      <c r="Z7373" s="318"/>
      <c r="AA7373" s="318"/>
      <c r="AB7373" s="318"/>
      <c r="AC7373" s="318"/>
      <c r="AD7373" s="318"/>
    </row>
    <row r="7374" spans="2:30" s="323" customFormat="1" ht="12" customHeight="1">
      <c r="B7374" s="324"/>
      <c r="C7374" s="325"/>
      <c r="D7374" s="326"/>
      <c r="E7374" s="326"/>
      <c r="F7374" s="326"/>
      <c r="G7374" s="326"/>
      <c r="H7374" s="326"/>
      <c r="P7374" s="318"/>
      <c r="Q7374" s="318"/>
      <c r="R7374" s="318"/>
      <c r="S7374" s="318"/>
      <c r="T7374" s="318"/>
      <c r="U7374" s="318"/>
      <c r="V7374" s="318"/>
      <c r="W7374" s="318"/>
      <c r="X7374" s="318"/>
      <c r="Y7374" s="318"/>
      <c r="Z7374" s="318"/>
      <c r="AA7374" s="318"/>
      <c r="AB7374" s="318"/>
      <c r="AC7374" s="318"/>
      <c r="AD7374" s="318"/>
    </row>
    <row r="7375" spans="2:30" s="323" customFormat="1" ht="12" customHeight="1">
      <c r="B7375" s="324"/>
      <c r="C7375" s="325"/>
      <c r="D7375" s="326"/>
      <c r="E7375" s="326"/>
      <c r="F7375" s="326"/>
      <c r="G7375" s="326"/>
      <c r="H7375" s="326"/>
      <c r="P7375" s="318"/>
      <c r="Q7375" s="318"/>
      <c r="R7375" s="318"/>
      <c r="S7375" s="318"/>
      <c r="T7375" s="318"/>
      <c r="U7375" s="318"/>
      <c r="V7375" s="318"/>
      <c r="W7375" s="318"/>
      <c r="X7375" s="318"/>
      <c r="Y7375" s="318"/>
      <c r="Z7375" s="318"/>
      <c r="AA7375" s="318"/>
      <c r="AB7375" s="318"/>
      <c r="AC7375" s="318"/>
      <c r="AD7375" s="318"/>
    </row>
    <row r="7376" spans="2:30" s="323" customFormat="1" ht="12" customHeight="1">
      <c r="B7376" s="324"/>
      <c r="C7376" s="325"/>
      <c r="D7376" s="326"/>
      <c r="E7376" s="326"/>
      <c r="F7376" s="326"/>
      <c r="G7376" s="326"/>
      <c r="H7376" s="326"/>
      <c r="P7376" s="318"/>
      <c r="Q7376" s="318"/>
      <c r="R7376" s="318"/>
      <c r="S7376" s="318"/>
      <c r="T7376" s="318"/>
      <c r="U7376" s="318"/>
      <c r="V7376" s="318"/>
      <c r="W7376" s="318"/>
      <c r="X7376" s="318"/>
      <c r="Y7376" s="318"/>
      <c r="Z7376" s="318"/>
      <c r="AA7376" s="318"/>
      <c r="AB7376" s="318"/>
      <c r="AC7376" s="318"/>
      <c r="AD7376" s="318"/>
    </row>
    <row r="7377" spans="2:30" s="323" customFormat="1" ht="12" customHeight="1">
      <c r="B7377" s="324"/>
      <c r="C7377" s="325"/>
      <c r="D7377" s="326"/>
      <c r="E7377" s="326"/>
      <c r="F7377" s="326"/>
      <c r="G7377" s="326"/>
      <c r="H7377" s="326"/>
      <c r="P7377" s="318"/>
      <c r="Q7377" s="318"/>
      <c r="R7377" s="318"/>
      <c r="S7377" s="318"/>
      <c r="T7377" s="318"/>
      <c r="U7377" s="318"/>
      <c r="V7377" s="318"/>
      <c r="W7377" s="318"/>
      <c r="X7377" s="318"/>
      <c r="Y7377" s="318"/>
      <c r="Z7377" s="318"/>
      <c r="AA7377" s="318"/>
      <c r="AB7377" s="318"/>
      <c r="AC7377" s="318"/>
      <c r="AD7377" s="318"/>
    </row>
    <row r="7378" spans="2:30" s="323" customFormat="1" ht="12" customHeight="1">
      <c r="B7378" s="324"/>
      <c r="C7378" s="325"/>
      <c r="D7378" s="326"/>
      <c r="E7378" s="326"/>
      <c r="F7378" s="326"/>
      <c r="G7378" s="326"/>
      <c r="H7378" s="326"/>
      <c r="P7378" s="318"/>
      <c r="Q7378" s="318"/>
      <c r="R7378" s="318"/>
      <c r="S7378" s="318"/>
      <c r="T7378" s="318"/>
      <c r="U7378" s="318"/>
      <c r="V7378" s="318"/>
      <c r="W7378" s="318"/>
      <c r="X7378" s="318"/>
      <c r="Y7378" s="318"/>
      <c r="Z7378" s="318"/>
      <c r="AA7378" s="318"/>
      <c r="AB7378" s="318"/>
      <c r="AC7378" s="318"/>
      <c r="AD7378" s="318"/>
    </row>
    <row r="7379" spans="2:30" s="323" customFormat="1" ht="12" customHeight="1">
      <c r="B7379" s="324"/>
      <c r="C7379" s="325"/>
      <c r="D7379" s="326"/>
      <c r="E7379" s="326"/>
      <c r="F7379" s="326"/>
      <c r="G7379" s="326"/>
      <c r="H7379" s="326"/>
      <c r="P7379" s="318"/>
      <c r="Q7379" s="318"/>
      <c r="R7379" s="318"/>
      <c r="S7379" s="318"/>
      <c r="T7379" s="318"/>
      <c r="U7379" s="318"/>
      <c r="V7379" s="318"/>
      <c r="W7379" s="318"/>
      <c r="X7379" s="318"/>
      <c r="Y7379" s="318"/>
      <c r="Z7379" s="318"/>
      <c r="AA7379" s="318"/>
      <c r="AB7379" s="318"/>
      <c r="AC7379" s="318"/>
      <c r="AD7379" s="318"/>
    </row>
    <row r="7380" spans="2:30" s="323" customFormat="1" ht="12" customHeight="1">
      <c r="B7380" s="324"/>
      <c r="C7380" s="325"/>
      <c r="D7380" s="326"/>
      <c r="E7380" s="326"/>
      <c r="F7380" s="326"/>
      <c r="G7380" s="326"/>
      <c r="H7380" s="326"/>
      <c r="P7380" s="318"/>
      <c r="Q7380" s="318"/>
      <c r="R7380" s="318"/>
      <c r="S7380" s="318"/>
      <c r="T7380" s="318"/>
      <c r="U7380" s="318"/>
      <c r="V7380" s="318"/>
      <c r="W7380" s="318"/>
      <c r="X7380" s="318"/>
      <c r="Y7380" s="318"/>
      <c r="Z7380" s="318"/>
      <c r="AA7380" s="318"/>
      <c r="AB7380" s="318"/>
      <c r="AC7380" s="318"/>
      <c r="AD7380" s="318"/>
    </row>
    <row r="7381" spans="2:30" s="323" customFormat="1" ht="12" customHeight="1">
      <c r="B7381" s="324"/>
      <c r="C7381" s="325"/>
      <c r="D7381" s="326"/>
      <c r="E7381" s="326"/>
      <c r="F7381" s="326"/>
      <c r="G7381" s="326"/>
      <c r="H7381" s="326"/>
      <c r="P7381" s="318"/>
      <c r="Q7381" s="318"/>
      <c r="R7381" s="318"/>
      <c r="S7381" s="318"/>
      <c r="T7381" s="318"/>
      <c r="U7381" s="318"/>
      <c r="V7381" s="318"/>
      <c r="W7381" s="318"/>
      <c r="X7381" s="318"/>
      <c r="Y7381" s="318"/>
      <c r="Z7381" s="318"/>
      <c r="AA7381" s="318"/>
      <c r="AB7381" s="318"/>
      <c r="AC7381" s="318"/>
      <c r="AD7381" s="318"/>
    </row>
    <row r="7382" spans="2:30" s="323" customFormat="1" ht="12" customHeight="1">
      <c r="B7382" s="324"/>
      <c r="C7382" s="325"/>
      <c r="D7382" s="326"/>
      <c r="E7382" s="326"/>
      <c r="F7382" s="326"/>
      <c r="G7382" s="326"/>
      <c r="H7382" s="326"/>
      <c r="P7382" s="318"/>
      <c r="Q7382" s="318"/>
      <c r="R7382" s="318"/>
      <c r="S7382" s="318"/>
      <c r="T7382" s="318"/>
      <c r="U7382" s="318"/>
      <c r="V7382" s="318"/>
      <c r="W7382" s="318"/>
      <c r="X7382" s="318"/>
      <c r="Y7382" s="318"/>
      <c r="Z7382" s="318"/>
      <c r="AA7382" s="318"/>
      <c r="AB7382" s="318"/>
      <c r="AC7382" s="318"/>
      <c r="AD7382" s="318"/>
    </row>
    <row r="7383" spans="2:30" s="323" customFormat="1" ht="12" customHeight="1">
      <c r="B7383" s="324"/>
      <c r="C7383" s="325"/>
      <c r="D7383" s="326"/>
      <c r="E7383" s="326"/>
      <c r="F7383" s="326"/>
      <c r="G7383" s="326"/>
      <c r="H7383" s="326"/>
      <c r="P7383" s="318"/>
      <c r="Q7383" s="318"/>
      <c r="R7383" s="318"/>
      <c r="S7383" s="318"/>
      <c r="T7383" s="318"/>
      <c r="U7383" s="318"/>
      <c r="V7383" s="318"/>
      <c r="W7383" s="318"/>
      <c r="X7383" s="318"/>
      <c r="Y7383" s="318"/>
      <c r="Z7383" s="318"/>
      <c r="AA7383" s="318"/>
      <c r="AB7383" s="318"/>
      <c r="AC7383" s="318"/>
      <c r="AD7383" s="318"/>
    </row>
    <row r="7384" spans="2:30" s="323" customFormat="1" ht="12" customHeight="1">
      <c r="B7384" s="324"/>
      <c r="C7384" s="325"/>
      <c r="D7384" s="326"/>
      <c r="E7384" s="326"/>
      <c r="F7384" s="326"/>
      <c r="G7384" s="326"/>
      <c r="H7384" s="326"/>
      <c r="P7384" s="318"/>
      <c r="Q7384" s="318"/>
      <c r="R7384" s="318"/>
      <c r="S7384" s="318"/>
      <c r="T7384" s="318"/>
      <c r="U7384" s="318"/>
      <c r="V7384" s="318"/>
      <c r="W7384" s="318"/>
      <c r="X7384" s="318"/>
      <c r="Y7384" s="318"/>
      <c r="Z7384" s="318"/>
      <c r="AA7384" s="318"/>
      <c r="AB7384" s="318"/>
      <c r="AC7384" s="318"/>
      <c r="AD7384" s="318"/>
    </row>
    <row r="7385" spans="2:30" s="323" customFormat="1" ht="12" customHeight="1">
      <c r="B7385" s="324"/>
      <c r="C7385" s="325"/>
      <c r="D7385" s="326"/>
      <c r="E7385" s="326"/>
      <c r="F7385" s="326"/>
      <c r="G7385" s="326"/>
      <c r="H7385" s="326"/>
      <c r="P7385" s="318"/>
      <c r="Q7385" s="318"/>
      <c r="R7385" s="318"/>
      <c r="S7385" s="318"/>
      <c r="T7385" s="318"/>
      <c r="U7385" s="318"/>
      <c r="V7385" s="318"/>
      <c r="W7385" s="318"/>
      <c r="X7385" s="318"/>
      <c r="Y7385" s="318"/>
      <c r="Z7385" s="318"/>
      <c r="AA7385" s="318"/>
      <c r="AB7385" s="318"/>
      <c r="AC7385" s="318"/>
      <c r="AD7385" s="318"/>
    </row>
    <row r="7386" spans="2:30" s="323" customFormat="1" ht="12" customHeight="1">
      <c r="B7386" s="324"/>
      <c r="C7386" s="325"/>
      <c r="D7386" s="326"/>
      <c r="E7386" s="326"/>
      <c r="F7386" s="326"/>
      <c r="G7386" s="326"/>
      <c r="H7386" s="326"/>
      <c r="P7386" s="318"/>
      <c r="Q7386" s="318"/>
      <c r="R7386" s="318"/>
      <c r="S7386" s="318"/>
      <c r="T7386" s="318"/>
      <c r="U7386" s="318"/>
      <c r="V7386" s="318"/>
      <c r="W7386" s="318"/>
      <c r="X7386" s="318"/>
      <c r="Y7386" s="318"/>
      <c r="Z7386" s="318"/>
      <c r="AA7386" s="318"/>
      <c r="AB7386" s="318"/>
      <c r="AC7386" s="318"/>
      <c r="AD7386" s="318"/>
    </row>
    <row r="7387" spans="2:30" s="323" customFormat="1" ht="12" customHeight="1">
      <c r="B7387" s="324"/>
      <c r="C7387" s="325"/>
      <c r="D7387" s="326"/>
      <c r="E7387" s="326"/>
      <c r="F7387" s="326"/>
      <c r="G7387" s="326"/>
      <c r="H7387" s="326"/>
      <c r="P7387" s="318"/>
      <c r="Q7387" s="318"/>
      <c r="R7387" s="318"/>
      <c r="S7387" s="318"/>
      <c r="T7387" s="318"/>
      <c r="U7387" s="318"/>
      <c r="V7387" s="318"/>
      <c r="W7387" s="318"/>
      <c r="X7387" s="318"/>
      <c r="Y7387" s="318"/>
      <c r="Z7387" s="318"/>
      <c r="AA7387" s="318"/>
      <c r="AB7387" s="318"/>
      <c r="AC7387" s="318"/>
      <c r="AD7387" s="318"/>
    </row>
    <row r="7388" spans="2:30" s="323" customFormat="1" ht="12" customHeight="1">
      <c r="B7388" s="324"/>
      <c r="C7388" s="325"/>
      <c r="D7388" s="326"/>
      <c r="E7388" s="326"/>
      <c r="F7388" s="326"/>
      <c r="G7388" s="326"/>
      <c r="H7388" s="326"/>
      <c r="P7388" s="318"/>
      <c r="Q7388" s="318"/>
      <c r="R7388" s="318"/>
      <c r="S7388" s="318"/>
      <c r="T7388" s="318"/>
      <c r="U7388" s="318"/>
      <c r="V7388" s="318"/>
      <c r="W7388" s="318"/>
      <c r="X7388" s="318"/>
      <c r="Y7388" s="318"/>
      <c r="Z7388" s="318"/>
      <c r="AA7388" s="318"/>
      <c r="AB7388" s="318"/>
      <c r="AC7388" s="318"/>
      <c r="AD7388" s="318"/>
    </row>
    <row r="7389" spans="2:30" s="323" customFormat="1" ht="12" customHeight="1">
      <c r="B7389" s="324"/>
      <c r="C7389" s="325"/>
      <c r="D7389" s="326"/>
      <c r="E7389" s="326"/>
      <c r="F7389" s="326"/>
      <c r="G7389" s="326"/>
      <c r="H7389" s="326"/>
      <c r="P7389" s="318"/>
      <c r="Q7389" s="318"/>
      <c r="R7389" s="318"/>
      <c r="S7389" s="318"/>
      <c r="T7389" s="318"/>
      <c r="U7389" s="318"/>
      <c r="V7389" s="318"/>
      <c r="W7389" s="318"/>
      <c r="X7389" s="318"/>
      <c r="Y7389" s="318"/>
      <c r="Z7389" s="318"/>
      <c r="AA7389" s="318"/>
      <c r="AB7389" s="318"/>
      <c r="AC7389" s="318"/>
      <c r="AD7389" s="318"/>
    </row>
    <row r="7390" spans="2:30" s="323" customFormat="1" ht="12" customHeight="1">
      <c r="B7390" s="324"/>
      <c r="C7390" s="325"/>
      <c r="D7390" s="326"/>
      <c r="E7390" s="326"/>
      <c r="F7390" s="326"/>
      <c r="G7390" s="326"/>
      <c r="H7390" s="326"/>
      <c r="P7390" s="318"/>
      <c r="Q7390" s="318"/>
      <c r="R7390" s="318"/>
      <c r="S7390" s="318"/>
      <c r="T7390" s="318"/>
      <c r="U7390" s="318"/>
      <c r="V7390" s="318"/>
      <c r="W7390" s="318"/>
      <c r="X7390" s="318"/>
      <c r="Y7390" s="318"/>
      <c r="Z7390" s="318"/>
      <c r="AA7390" s="318"/>
      <c r="AB7390" s="318"/>
      <c r="AC7390" s="318"/>
      <c r="AD7390" s="318"/>
    </row>
    <row r="7391" spans="2:30" s="323" customFormat="1" ht="12" customHeight="1">
      <c r="B7391" s="324"/>
      <c r="C7391" s="325"/>
      <c r="D7391" s="326"/>
      <c r="E7391" s="326"/>
      <c r="F7391" s="326"/>
      <c r="G7391" s="326"/>
      <c r="H7391" s="326"/>
      <c r="P7391" s="318"/>
      <c r="Q7391" s="318"/>
      <c r="R7391" s="318"/>
      <c r="S7391" s="318"/>
      <c r="T7391" s="318"/>
      <c r="U7391" s="318"/>
      <c r="V7391" s="318"/>
      <c r="W7391" s="318"/>
      <c r="X7391" s="318"/>
      <c r="Y7391" s="318"/>
      <c r="Z7391" s="318"/>
      <c r="AA7391" s="318"/>
      <c r="AB7391" s="318"/>
      <c r="AC7391" s="318"/>
      <c r="AD7391" s="318"/>
    </row>
    <row r="7392" spans="2:30" s="323" customFormat="1" ht="12" customHeight="1">
      <c r="B7392" s="324"/>
      <c r="C7392" s="325"/>
      <c r="D7392" s="326"/>
      <c r="E7392" s="326"/>
      <c r="F7392" s="326"/>
      <c r="G7392" s="326"/>
      <c r="H7392" s="326"/>
      <c r="P7392" s="318"/>
      <c r="Q7392" s="318"/>
      <c r="R7392" s="318"/>
      <c r="S7392" s="318"/>
      <c r="T7392" s="318"/>
      <c r="U7392" s="318"/>
      <c r="V7392" s="318"/>
      <c r="W7392" s="318"/>
      <c r="X7392" s="318"/>
      <c r="Y7392" s="318"/>
      <c r="Z7392" s="318"/>
      <c r="AA7392" s="318"/>
      <c r="AB7392" s="318"/>
      <c r="AC7392" s="318"/>
      <c r="AD7392" s="318"/>
    </row>
    <row r="7393" spans="2:30" s="323" customFormat="1" ht="12" customHeight="1">
      <c r="B7393" s="324"/>
      <c r="C7393" s="325"/>
      <c r="D7393" s="326"/>
      <c r="E7393" s="326"/>
      <c r="F7393" s="326"/>
      <c r="G7393" s="326"/>
      <c r="H7393" s="326"/>
      <c r="P7393" s="318"/>
      <c r="Q7393" s="318"/>
      <c r="R7393" s="318"/>
      <c r="S7393" s="318"/>
      <c r="T7393" s="318"/>
      <c r="U7393" s="318"/>
      <c r="V7393" s="318"/>
      <c r="W7393" s="318"/>
      <c r="X7393" s="318"/>
      <c r="Y7393" s="318"/>
      <c r="Z7393" s="318"/>
      <c r="AA7393" s="318"/>
      <c r="AB7393" s="318"/>
      <c r="AC7393" s="318"/>
      <c r="AD7393" s="318"/>
    </row>
    <row r="7394" spans="2:30" s="323" customFormat="1" ht="12" customHeight="1">
      <c r="B7394" s="324"/>
      <c r="C7394" s="325"/>
      <c r="D7394" s="326"/>
      <c r="E7394" s="326"/>
      <c r="F7394" s="326"/>
      <c r="G7394" s="326"/>
      <c r="H7394" s="326"/>
      <c r="P7394" s="318"/>
      <c r="Q7394" s="318"/>
      <c r="R7394" s="318"/>
      <c r="S7394" s="318"/>
      <c r="T7394" s="318"/>
      <c r="U7394" s="318"/>
      <c r="V7394" s="318"/>
      <c r="W7394" s="318"/>
      <c r="X7394" s="318"/>
      <c r="Y7394" s="318"/>
      <c r="Z7394" s="318"/>
      <c r="AA7394" s="318"/>
      <c r="AB7394" s="318"/>
      <c r="AC7394" s="318"/>
      <c r="AD7394" s="318"/>
    </row>
    <row r="7395" spans="2:30" s="323" customFormat="1" ht="12" customHeight="1">
      <c r="B7395" s="324"/>
      <c r="C7395" s="325"/>
      <c r="D7395" s="326"/>
      <c r="E7395" s="326"/>
      <c r="F7395" s="326"/>
      <c r="G7395" s="326"/>
      <c r="H7395" s="326"/>
      <c r="P7395" s="318"/>
      <c r="Q7395" s="318"/>
      <c r="R7395" s="318"/>
      <c r="S7395" s="318"/>
      <c r="T7395" s="318"/>
      <c r="U7395" s="318"/>
      <c r="V7395" s="318"/>
      <c r="W7395" s="318"/>
      <c r="X7395" s="318"/>
      <c r="Y7395" s="318"/>
      <c r="Z7395" s="318"/>
      <c r="AA7395" s="318"/>
      <c r="AB7395" s="318"/>
      <c r="AC7395" s="318"/>
      <c r="AD7395" s="318"/>
    </row>
    <row r="7396" spans="2:30" s="323" customFormat="1" ht="12" customHeight="1">
      <c r="B7396" s="324"/>
      <c r="C7396" s="325"/>
      <c r="D7396" s="326"/>
      <c r="E7396" s="326"/>
      <c r="F7396" s="326"/>
      <c r="G7396" s="326"/>
      <c r="H7396" s="326"/>
      <c r="P7396" s="318"/>
      <c r="Q7396" s="318"/>
      <c r="R7396" s="318"/>
      <c r="S7396" s="318"/>
      <c r="T7396" s="318"/>
      <c r="U7396" s="318"/>
      <c r="V7396" s="318"/>
      <c r="W7396" s="318"/>
      <c r="X7396" s="318"/>
      <c r="Y7396" s="318"/>
      <c r="Z7396" s="318"/>
      <c r="AA7396" s="318"/>
      <c r="AB7396" s="318"/>
      <c r="AC7396" s="318"/>
      <c r="AD7396" s="318"/>
    </row>
    <row r="7397" spans="2:30" s="323" customFormat="1" ht="12" customHeight="1">
      <c r="B7397" s="324"/>
      <c r="C7397" s="325"/>
      <c r="D7397" s="326"/>
      <c r="E7397" s="326"/>
      <c r="F7397" s="326"/>
      <c r="G7397" s="326"/>
      <c r="H7397" s="326"/>
      <c r="P7397" s="318"/>
      <c r="Q7397" s="318"/>
      <c r="R7397" s="318"/>
      <c r="S7397" s="318"/>
      <c r="T7397" s="318"/>
      <c r="U7397" s="318"/>
      <c r="V7397" s="318"/>
      <c r="W7397" s="318"/>
      <c r="X7397" s="318"/>
      <c r="Y7397" s="318"/>
      <c r="Z7397" s="318"/>
      <c r="AA7397" s="318"/>
      <c r="AB7397" s="318"/>
      <c r="AC7397" s="318"/>
      <c r="AD7397" s="318"/>
    </row>
    <row r="7398" spans="2:30" s="323" customFormat="1" ht="12" customHeight="1">
      <c r="B7398" s="324"/>
      <c r="C7398" s="325"/>
      <c r="D7398" s="326"/>
      <c r="E7398" s="326"/>
      <c r="F7398" s="326"/>
      <c r="G7398" s="326"/>
      <c r="H7398" s="326"/>
      <c r="P7398" s="318"/>
      <c r="Q7398" s="318"/>
      <c r="R7398" s="318"/>
      <c r="S7398" s="318"/>
      <c r="T7398" s="318"/>
      <c r="U7398" s="318"/>
      <c r="V7398" s="318"/>
      <c r="W7398" s="318"/>
      <c r="X7398" s="318"/>
      <c r="Y7398" s="318"/>
      <c r="Z7398" s="318"/>
      <c r="AA7398" s="318"/>
      <c r="AB7398" s="318"/>
      <c r="AC7398" s="318"/>
      <c r="AD7398" s="318"/>
    </row>
    <row r="7399" spans="2:30" s="323" customFormat="1" ht="12" customHeight="1">
      <c r="B7399" s="324"/>
      <c r="C7399" s="325"/>
      <c r="D7399" s="326"/>
      <c r="E7399" s="326"/>
      <c r="F7399" s="326"/>
      <c r="G7399" s="326"/>
      <c r="H7399" s="326"/>
      <c r="P7399" s="318"/>
      <c r="Q7399" s="318"/>
      <c r="R7399" s="318"/>
      <c r="S7399" s="318"/>
      <c r="T7399" s="318"/>
      <c r="U7399" s="318"/>
      <c r="V7399" s="318"/>
      <c r="W7399" s="318"/>
      <c r="X7399" s="318"/>
      <c r="Y7399" s="318"/>
      <c r="Z7399" s="318"/>
      <c r="AA7399" s="318"/>
      <c r="AB7399" s="318"/>
      <c r="AC7399" s="318"/>
      <c r="AD7399" s="318"/>
    </row>
    <row r="7400" spans="2:30" s="323" customFormat="1" ht="12" customHeight="1">
      <c r="B7400" s="324"/>
      <c r="C7400" s="325"/>
      <c r="D7400" s="326"/>
      <c r="E7400" s="326"/>
      <c r="F7400" s="326"/>
      <c r="G7400" s="326"/>
      <c r="H7400" s="326"/>
      <c r="P7400" s="318"/>
      <c r="Q7400" s="318"/>
      <c r="R7400" s="318"/>
      <c r="S7400" s="318"/>
      <c r="T7400" s="318"/>
      <c r="U7400" s="318"/>
      <c r="V7400" s="318"/>
      <c r="W7400" s="318"/>
      <c r="X7400" s="318"/>
      <c r="Y7400" s="318"/>
      <c r="Z7400" s="318"/>
      <c r="AA7400" s="318"/>
      <c r="AB7400" s="318"/>
      <c r="AC7400" s="318"/>
      <c r="AD7400" s="318"/>
    </row>
    <row r="7401" spans="2:30" s="323" customFormat="1" ht="12" customHeight="1">
      <c r="B7401" s="324"/>
      <c r="C7401" s="325"/>
      <c r="D7401" s="326"/>
      <c r="E7401" s="326"/>
      <c r="F7401" s="326"/>
      <c r="G7401" s="326"/>
      <c r="H7401" s="326"/>
      <c r="P7401" s="318"/>
      <c r="Q7401" s="318"/>
      <c r="R7401" s="318"/>
      <c r="S7401" s="318"/>
      <c r="T7401" s="318"/>
      <c r="U7401" s="318"/>
      <c r="V7401" s="318"/>
      <c r="W7401" s="318"/>
      <c r="X7401" s="318"/>
      <c r="Y7401" s="318"/>
      <c r="Z7401" s="318"/>
      <c r="AA7401" s="318"/>
      <c r="AB7401" s="318"/>
      <c r="AC7401" s="318"/>
      <c r="AD7401" s="318"/>
    </row>
    <row r="7402" spans="2:30" s="323" customFormat="1" ht="12" customHeight="1">
      <c r="B7402" s="324"/>
      <c r="C7402" s="325"/>
      <c r="D7402" s="326"/>
      <c r="E7402" s="326"/>
      <c r="F7402" s="326"/>
      <c r="G7402" s="326"/>
      <c r="H7402" s="326"/>
      <c r="P7402" s="318"/>
      <c r="Q7402" s="318"/>
      <c r="R7402" s="318"/>
      <c r="S7402" s="318"/>
      <c r="T7402" s="318"/>
      <c r="U7402" s="318"/>
      <c r="V7402" s="318"/>
      <c r="W7402" s="318"/>
      <c r="X7402" s="318"/>
      <c r="Y7402" s="318"/>
      <c r="Z7402" s="318"/>
      <c r="AA7402" s="318"/>
      <c r="AB7402" s="318"/>
      <c r="AC7402" s="318"/>
      <c r="AD7402" s="318"/>
    </row>
    <row r="7403" spans="2:30" s="323" customFormat="1" ht="12" customHeight="1">
      <c r="B7403" s="324"/>
      <c r="C7403" s="325"/>
      <c r="D7403" s="326"/>
      <c r="E7403" s="326"/>
      <c r="F7403" s="326"/>
      <c r="G7403" s="326"/>
      <c r="H7403" s="326"/>
      <c r="P7403" s="318"/>
      <c r="Q7403" s="318"/>
      <c r="R7403" s="318"/>
      <c r="S7403" s="318"/>
      <c r="T7403" s="318"/>
      <c r="U7403" s="318"/>
      <c r="V7403" s="318"/>
      <c r="W7403" s="318"/>
      <c r="X7403" s="318"/>
      <c r="Y7403" s="318"/>
      <c r="Z7403" s="318"/>
      <c r="AA7403" s="318"/>
      <c r="AB7403" s="318"/>
      <c r="AC7403" s="318"/>
      <c r="AD7403" s="318"/>
    </row>
    <row r="7404" spans="2:30" s="323" customFormat="1" ht="12" customHeight="1">
      <c r="B7404" s="324"/>
      <c r="C7404" s="325"/>
      <c r="D7404" s="326"/>
      <c r="E7404" s="326"/>
      <c r="F7404" s="326"/>
      <c r="G7404" s="326"/>
      <c r="H7404" s="326"/>
      <c r="P7404" s="318"/>
      <c r="Q7404" s="318"/>
      <c r="R7404" s="318"/>
      <c r="S7404" s="318"/>
      <c r="T7404" s="318"/>
      <c r="U7404" s="318"/>
      <c r="V7404" s="318"/>
      <c r="W7404" s="318"/>
      <c r="X7404" s="318"/>
      <c r="Y7404" s="318"/>
      <c r="Z7404" s="318"/>
      <c r="AA7404" s="318"/>
      <c r="AB7404" s="318"/>
      <c r="AC7404" s="318"/>
      <c r="AD7404" s="318"/>
    </row>
    <row r="7405" spans="2:30" s="323" customFormat="1" ht="12" customHeight="1">
      <c r="B7405" s="324"/>
      <c r="C7405" s="325"/>
      <c r="D7405" s="326"/>
      <c r="E7405" s="326"/>
      <c r="F7405" s="326"/>
      <c r="G7405" s="326"/>
      <c r="H7405" s="326"/>
      <c r="P7405" s="318"/>
      <c r="Q7405" s="318"/>
      <c r="R7405" s="318"/>
      <c r="S7405" s="318"/>
      <c r="T7405" s="318"/>
      <c r="U7405" s="318"/>
      <c r="V7405" s="318"/>
      <c r="W7405" s="318"/>
      <c r="X7405" s="318"/>
      <c r="Y7405" s="318"/>
      <c r="Z7405" s="318"/>
      <c r="AA7405" s="318"/>
      <c r="AB7405" s="318"/>
      <c r="AC7405" s="318"/>
      <c r="AD7405" s="318"/>
    </row>
    <row r="7406" spans="2:30" s="323" customFormat="1" ht="12" customHeight="1">
      <c r="B7406" s="324"/>
      <c r="C7406" s="325"/>
      <c r="D7406" s="326"/>
      <c r="E7406" s="326"/>
      <c r="F7406" s="326"/>
      <c r="G7406" s="326"/>
      <c r="H7406" s="326"/>
      <c r="P7406" s="318"/>
      <c r="Q7406" s="318"/>
      <c r="R7406" s="318"/>
      <c r="S7406" s="318"/>
      <c r="T7406" s="318"/>
      <c r="U7406" s="318"/>
      <c r="V7406" s="318"/>
      <c r="W7406" s="318"/>
      <c r="X7406" s="318"/>
      <c r="Y7406" s="318"/>
      <c r="Z7406" s="318"/>
      <c r="AA7406" s="318"/>
      <c r="AB7406" s="318"/>
      <c r="AC7406" s="318"/>
      <c r="AD7406" s="318"/>
    </row>
    <row r="7407" spans="2:30" s="323" customFormat="1" ht="12" customHeight="1">
      <c r="B7407" s="324"/>
      <c r="C7407" s="325"/>
      <c r="D7407" s="326"/>
      <c r="E7407" s="326"/>
      <c r="F7407" s="326"/>
      <c r="G7407" s="326"/>
      <c r="H7407" s="326"/>
      <c r="P7407" s="318"/>
      <c r="Q7407" s="318"/>
      <c r="R7407" s="318"/>
      <c r="S7407" s="318"/>
      <c r="T7407" s="318"/>
      <c r="U7407" s="318"/>
      <c r="V7407" s="318"/>
      <c r="W7407" s="318"/>
      <c r="X7407" s="318"/>
      <c r="Y7407" s="318"/>
      <c r="Z7407" s="318"/>
      <c r="AA7407" s="318"/>
      <c r="AB7407" s="318"/>
      <c r="AC7407" s="318"/>
      <c r="AD7407" s="318"/>
    </row>
    <row r="7408" spans="2:30" s="323" customFormat="1" ht="12" customHeight="1">
      <c r="B7408" s="324"/>
      <c r="C7408" s="325"/>
      <c r="D7408" s="326"/>
      <c r="E7408" s="326"/>
      <c r="F7408" s="326"/>
      <c r="G7408" s="326"/>
      <c r="H7408" s="326"/>
      <c r="P7408" s="318"/>
      <c r="Q7408" s="318"/>
      <c r="R7408" s="318"/>
      <c r="S7408" s="318"/>
      <c r="T7408" s="318"/>
      <c r="U7408" s="318"/>
      <c r="V7408" s="318"/>
      <c r="W7408" s="318"/>
      <c r="X7408" s="318"/>
      <c r="Y7408" s="318"/>
      <c r="Z7408" s="318"/>
      <c r="AA7408" s="318"/>
      <c r="AB7408" s="318"/>
      <c r="AC7408" s="318"/>
      <c r="AD7408" s="318"/>
    </row>
    <row r="7409" spans="2:30" s="323" customFormat="1" ht="12" customHeight="1">
      <c r="B7409" s="324"/>
      <c r="C7409" s="325"/>
      <c r="D7409" s="326"/>
      <c r="E7409" s="326"/>
      <c r="F7409" s="326"/>
      <c r="G7409" s="326"/>
      <c r="H7409" s="326"/>
      <c r="P7409" s="318"/>
      <c r="Q7409" s="318"/>
      <c r="R7409" s="318"/>
      <c r="S7409" s="318"/>
      <c r="T7409" s="318"/>
      <c r="U7409" s="318"/>
      <c r="V7409" s="318"/>
      <c r="W7409" s="318"/>
      <c r="X7409" s="318"/>
      <c r="Y7409" s="318"/>
      <c r="Z7409" s="318"/>
      <c r="AA7409" s="318"/>
      <c r="AB7409" s="318"/>
      <c r="AC7409" s="318"/>
      <c r="AD7409" s="318"/>
    </row>
    <row r="7410" spans="2:30" s="323" customFormat="1" ht="12" customHeight="1">
      <c r="B7410" s="324"/>
      <c r="C7410" s="325"/>
      <c r="D7410" s="326"/>
      <c r="E7410" s="326"/>
      <c r="F7410" s="326"/>
      <c r="G7410" s="326"/>
      <c r="H7410" s="326"/>
      <c r="P7410" s="318"/>
      <c r="Q7410" s="318"/>
      <c r="R7410" s="318"/>
      <c r="S7410" s="318"/>
      <c r="T7410" s="318"/>
      <c r="U7410" s="318"/>
      <c r="V7410" s="318"/>
      <c r="W7410" s="318"/>
      <c r="X7410" s="318"/>
      <c r="Y7410" s="318"/>
      <c r="Z7410" s="318"/>
      <c r="AA7410" s="318"/>
      <c r="AB7410" s="318"/>
      <c r="AC7410" s="318"/>
      <c r="AD7410" s="318"/>
    </row>
    <row r="7411" spans="2:30" s="323" customFormat="1" ht="12" customHeight="1">
      <c r="B7411" s="324"/>
      <c r="C7411" s="325"/>
      <c r="D7411" s="326"/>
      <c r="E7411" s="326"/>
      <c r="F7411" s="326"/>
      <c r="G7411" s="326"/>
      <c r="H7411" s="326"/>
      <c r="P7411" s="318"/>
      <c r="Q7411" s="318"/>
      <c r="R7411" s="318"/>
      <c r="S7411" s="318"/>
      <c r="T7411" s="318"/>
      <c r="U7411" s="318"/>
      <c r="V7411" s="318"/>
      <c r="W7411" s="318"/>
      <c r="X7411" s="318"/>
      <c r="Y7411" s="318"/>
      <c r="Z7411" s="318"/>
      <c r="AA7411" s="318"/>
      <c r="AB7411" s="318"/>
      <c r="AC7411" s="318"/>
      <c r="AD7411" s="318"/>
    </row>
    <row r="7412" spans="2:30" s="323" customFormat="1" ht="12" customHeight="1">
      <c r="B7412" s="324"/>
      <c r="C7412" s="325"/>
      <c r="D7412" s="326"/>
      <c r="E7412" s="326"/>
      <c r="F7412" s="326"/>
      <c r="G7412" s="326"/>
      <c r="H7412" s="326"/>
      <c r="P7412" s="318"/>
      <c r="Q7412" s="318"/>
      <c r="R7412" s="318"/>
      <c r="S7412" s="318"/>
      <c r="T7412" s="318"/>
      <c r="U7412" s="318"/>
      <c r="V7412" s="318"/>
      <c r="W7412" s="318"/>
      <c r="X7412" s="318"/>
      <c r="Y7412" s="318"/>
      <c r="Z7412" s="318"/>
      <c r="AA7412" s="318"/>
      <c r="AB7412" s="318"/>
      <c r="AC7412" s="318"/>
      <c r="AD7412" s="318"/>
    </row>
    <row r="7413" spans="2:30" s="323" customFormat="1" ht="12" customHeight="1">
      <c r="B7413" s="324"/>
      <c r="C7413" s="325"/>
      <c r="D7413" s="326"/>
      <c r="E7413" s="326"/>
      <c r="F7413" s="326"/>
      <c r="G7413" s="326"/>
      <c r="H7413" s="326"/>
      <c r="P7413" s="318"/>
      <c r="Q7413" s="318"/>
      <c r="R7413" s="318"/>
      <c r="S7413" s="318"/>
      <c r="T7413" s="318"/>
      <c r="U7413" s="318"/>
      <c r="V7413" s="318"/>
      <c r="W7413" s="318"/>
      <c r="X7413" s="318"/>
      <c r="Y7413" s="318"/>
      <c r="Z7413" s="318"/>
      <c r="AA7413" s="318"/>
      <c r="AB7413" s="318"/>
      <c r="AC7413" s="318"/>
      <c r="AD7413" s="318"/>
    </row>
    <row r="7414" spans="2:30" s="323" customFormat="1" ht="12" customHeight="1">
      <c r="B7414" s="324"/>
      <c r="C7414" s="325"/>
      <c r="D7414" s="326"/>
      <c r="E7414" s="326"/>
      <c r="F7414" s="326"/>
      <c r="G7414" s="326"/>
      <c r="H7414" s="326"/>
      <c r="P7414" s="318"/>
      <c r="Q7414" s="318"/>
      <c r="R7414" s="318"/>
      <c r="S7414" s="318"/>
      <c r="T7414" s="318"/>
      <c r="U7414" s="318"/>
      <c r="V7414" s="318"/>
      <c r="W7414" s="318"/>
      <c r="X7414" s="318"/>
      <c r="Y7414" s="318"/>
      <c r="Z7414" s="318"/>
      <c r="AA7414" s="318"/>
      <c r="AB7414" s="318"/>
      <c r="AC7414" s="318"/>
      <c r="AD7414" s="318"/>
    </row>
    <row r="7415" spans="2:30" s="323" customFormat="1" ht="12" customHeight="1">
      <c r="B7415" s="324"/>
      <c r="C7415" s="325"/>
      <c r="D7415" s="326"/>
      <c r="E7415" s="326"/>
      <c r="F7415" s="326"/>
      <c r="G7415" s="326"/>
      <c r="H7415" s="326"/>
      <c r="P7415" s="318"/>
      <c r="Q7415" s="318"/>
      <c r="R7415" s="318"/>
      <c r="S7415" s="318"/>
      <c r="T7415" s="318"/>
      <c r="U7415" s="318"/>
      <c r="V7415" s="318"/>
      <c r="W7415" s="318"/>
      <c r="X7415" s="318"/>
      <c r="Y7415" s="318"/>
      <c r="Z7415" s="318"/>
      <c r="AA7415" s="318"/>
      <c r="AB7415" s="318"/>
      <c r="AC7415" s="318"/>
      <c r="AD7415" s="318"/>
    </row>
    <row r="7416" spans="2:30" s="323" customFormat="1" ht="12" customHeight="1">
      <c r="B7416" s="324"/>
      <c r="C7416" s="325"/>
      <c r="D7416" s="326"/>
      <c r="E7416" s="326"/>
      <c r="F7416" s="326"/>
      <c r="G7416" s="326"/>
      <c r="H7416" s="326"/>
      <c r="P7416" s="318"/>
      <c r="Q7416" s="318"/>
      <c r="R7416" s="318"/>
      <c r="S7416" s="318"/>
      <c r="T7416" s="318"/>
      <c r="U7416" s="318"/>
      <c r="V7416" s="318"/>
      <c r="W7416" s="318"/>
      <c r="X7416" s="318"/>
      <c r="Y7416" s="318"/>
      <c r="Z7416" s="318"/>
      <c r="AA7416" s="318"/>
      <c r="AB7416" s="318"/>
      <c r="AC7416" s="318"/>
      <c r="AD7416" s="318"/>
    </row>
    <row r="7417" spans="2:30" s="323" customFormat="1" ht="12" customHeight="1">
      <c r="B7417" s="324"/>
      <c r="C7417" s="325"/>
      <c r="D7417" s="326"/>
      <c r="E7417" s="326"/>
      <c r="F7417" s="326"/>
      <c r="G7417" s="326"/>
      <c r="H7417" s="326"/>
      <c r="P7417" s="318"/>
      <c r="Q7417" s="318"/>
      <c r="R7417" s="318"/>
      <c r="S7417" s="318"/>
      <c r="T7417" s="318"/>
      <c r="U7417" s="318"/>
      <c r="V7417" s="318"/>
      <c r="W7417" s="318"/>
      <c r="X7417" s="318"/>
      <c r="Y7417" s="318"/>
      <c r="Z7417" s="318"/>
      <c r="AA7417" s="318"/>
      <c r="AB7417" s="318"/>
      <c r="AC7417" s="318"/>
      <c r="AD7417" s="318"/>
    </row>
    <row r="7418" spans="2:30" s="323" customFormat="1" ht="12" customHeight="1">
      <c r="B7418" s="324"/>
      <c r="C7418" s="325"/>
      <c r="D7418" s="326"/>
      <c r="E7418" s="326"/>
      <c r="F7418" s="326"/>
      <c r="G7418" s="326"/>
      <c r="H7418" s="326"/>
      <c r="P7418" s="318"/>
      <c r="Q7418" s="318"/>
      <c r="R7418" s="318"/>
      <c r="S7418" s="318"/>
      <c r="T7418" s="318"/>
      <c r="U7418" s="318"/>
      <c r="V7418" s="318"/>
      <c r="W7418" s="318"/>
      <c r="X7418" s="318"/>
      <c r="Y7418" s="318"/>
      <c r="Z7418" s="318"/>
      <c r="AA7418" s="318"/>
      <c r="AB7418" s="318"/>
      <c r="AC7418" s="318"/>
      <c r="AD7418" s="318"/>
    </row>
    <row r="7419" spans="2:30" s="323" customFormat="1" ht="12" customHeight="1">
      <c r="B7419" s="324"/>
      <c r="C7419" s="325"/>
      <c r="D7419" s="326"/>
      <c r="E7419" s="326"/>
      <c r="F7419" s="326"/>
      <c r="G7419" s="326"/>
      <c r="H7419" s="326"/>
      <c r="P7419" s="318"/>
      <c r="Q7419" s="318"/>
      <c r="R7419" s="318"/>
      <c r="S7419" s="318"/>
      <c r="T7419" s="318"/>
      <c r="U7419" s="318"/>
      <c r="V7419" s="318"/>
      <c r="W7419" s="318"/>
      <c r="X7419" s="318"/>
      <c r="Y7419" s="318"/>
      <c r="Z7419" s="318"/>
      <c r="AA7419" s="318"/>
      <c r="AB7419" s="318"/>
      <c r="AC7419" s="318"/>
      <c r="AD7419" s="318"/>
    </row>
    <row r="7420" spans="2:30" s="323" customFormat="1" ht="12" customHeight="1">
      <c r="B7420" s="324"/>
      <c r="C7420" s="325"/>
      <c r="D7420" s="326"/>
      <c r="E7420" s="326"/>
      <c r="F7420" s="326"/>
      <c r="G7420" s="326"/>
      <c r="H7420" s="326"/>
      <c r="P7420" s="318"/>
      <c r="Q7420" s="318"/>
      <c r="R7420" s="318"/>
      <c r="S7420" s="318"/>
      <c r="T7420" s="318"/>
      <c r="U7420" s="318"/>
      <c r="V7420" s="318"/>
      <c r="W7420" s="318"/>
      <c r="X7420" s="318"/>
      <c r="Y7420" s="318"/>
      <c r="Z7420" s="318"/>
      <c r="AA7420" s="318"/>
      <c r="AB7420" s="318"/>
      <c r="AC7420" s="318"/>
      <c r="AD7420" s="318"/>
    </row>
    <row r="7421" spans="2:30" s="323" customFormat="1" ht="12" customHeight="1">
      <c r="B7421" s="324"/>
      <c r="C7421" s="325"/>
      <c r="D7421" s="326"/>
      <c r="E7421" s="326"/>
      <c r="F7421" s="326"/>
      <c r="G7421" s="326"/>
      <c r="H7421" s="326"/>
      <c r="P7421" s="318"/>
      <c r="Q7421" s="318"/>
      <c r="R7421" s="318"/>
      <c r="S7421" s="318"/>
      <c r="T7421" s="318"/>
      <c r="U7421" s="318"/>
      <c r="V7421" s="318"/>
      <c r="W7421" s="318"/>
      <c r="X7421" s="318"/>
      <c r="Y7421" s="318"/>
      <c r="Z7421" s="318"/>
      <c r="AA7421" s="318"/>
      <c r="AB7421" s="318"/>
      <c r="AC7421" s="318"/>
      <c r="AD7421" s="318"/>
    </row>
    <row r="7422" spans="2:30" s="323" customFormat="1" ht="12" customHeight="1">
      <c r="B7422" s="324"/>
      <c r="C7422" s="325"/>
      <c r="D7422" s="326"/>
      <c r="E7422" s="326"/>
      <c r="F7422" s="326"/>
      <c r="G7422" s="326"/>
      <c r="H7422" s="326"/>
      <c r="P7422" s="318"/>
      <c r="Q7422" s="318"/>
      <c r="R7422" s="318"/>
      <c r="S7422" s="318"/>
      <c r="T7422" s="318"/>
      <c r="U7422" s="318"/>
      <c r="V7422" s="318"/>
      <c r="W7422" s="318"/>
      <c r="X7422" s="318"/>
      <c r="Y7422" s="318"/>
      <c r="Z7422" s="318"/>
      <c r="AA7422" s="318"/>
      <c r="AB7422" s="318"/>
      <c r="AC7422" s="318"/>
      <c r="AD7422" s="318"/>
    </row>
    <row r="7423" spans="2:30" s="323" customFormat="1" ht="12" customHeight="1">
      <c r="B7423" s="324"/>
      <c r="C7423" s="325"/>
      <c r="D7423" s="326"/>
      <c r="E7423" s="326"/>
      <c r="F7423" s="326"/>
      <c r="G7423" s="326"/>
      <c r="H7423" s="326"/>
      <c r="P7423" s="318"/>
      <c r="Q7423" s="318"/>
      <c r="R7423" s="318"/>
      <c r="S7423" s="318"/>
      <c r="T7423" s="318"/>
      <c r="U7423" s="318"/>
      <c r="V7423" s="318"/>
      <c r="W7423" s="318"/>
      <c r="X7423" s="318"/>
      <c r="Y7423" s="318"/>
      <c r="Z7423" s="318"/>
      <c r="AA7423" s="318"/>
      <c r="AB7423" s="318"/>
      <c r="AC7423" s="318"/>
      <c r="AD7423" s="318"/>
    </row>
    <row r="7424" spans="2:30" s="323" customFormat="1" ht="12" customHeight="1">
      <c r="B7424" s="324"/>
      <c r="C7424" s="325"/>
      <c r="D7424" s="326"/>
      <c r="E7424" s="326"/>
      <c r="F7424" s="326"/>
      <c r="G7424" s="326"/>
      <c r="H7424" s="326"/>
      <c r="P7424" s="318"/>
      <c r="Q7424" s="318"/>
      <c r="R7424" s="318"/>
      <c r="S7424" s="318"/>
      <c r="T7424" s="318"/>
      <c r="U7424" s="318"/>
      <c r="V7424" s="318"/>
      <c r="W7424" s="318"/>
      <c r="X7424" s="318"/>
      <c r="Y7424" s="318"/>
      <c r="Z7424" s="318"/>
      <c r="AA7424" s="318"/>
      <c r="AB7424" s="318"/>
      <c r="AC7424" s="318"/>
      <c r="AD7424" s="318"/>
    </row>
    <row r="7425" spans="2:30" s="323" customFormat="1" ht="12" customHeight="1">
      <c r="B7425" s="324"/>
      <c r="C7425" s="325"/>
      <c r="D7425" s="326"/>
      <c r="E7425" s="326"/>
      <c r="F7425" s="326"/>
      <c r="G7425" s="326"/>
      <c r="H7425" s="326"/>
      <c r="P7425" s="318"/>
      <c r="Q7425" s="318"/>
      <c r="R7425" s="318"/>
      <c r="S7425" s="318"/>
      <c r="T7425" s="318"/>
      <c r="U7425" s="318"/>
      <c r="V7425" s="318"/>
      <c r="W7425" s="318"/>
      <c r="X7425" s="318"/>
      <c r="Y7425" s="318"/>
      <c r="Z7425" s="318"/>
      <c r="AA7425" s="318"/>
      <c r="AB7425" s="318"/>
      <c r="AC7425" s="318"/>
      <c r="AD7425" s="318"/>
    </row>
    <row r="7426" spans="2:30" s="323" customFormat="1" ht="12" customHeight="1">
      <c r="B7426" s="324"/>
      <c r="C7426" s="325"/>
      <c r="D7426" s="326"/>
      <c r="E7426" s="326"/>
      <c r="F7426" s="326"/>
      <c r="G7426" s="326"/>
      <c r="H7426" s="326"/>
      <c r="P7426" s="318"/>
      <c r="Q7426" s="318"/>
      <c r="R7426" s="318"/>
      <c r="S7426" s="318"/>
      <c r="T7426" s="318"/>
      <c r="U7426" s="318"/>
      <c r="V7426" s="318"/>
      <c r="W7426" s="318"/>
      <c r="X7426" s="318"/>
      <c r="Y7426" s="318"/>
      <c r="Z7426" s="318"/>
      <c r="AA7426" s="318"/>
      <c r="AB7426" s="318"/>
      <c r="AC7426" s="318"/>
      <c r="AD7426" s="318"/>
    </row>
    <row r="7427" spans="2:30" s="323" customFormat="1" ht="12" customHeight="1">
      <c r="B7427" s="324"/>
      <c r="C7427" s="325"/>
      <c r="D7427" s="326"/>
      <c r="E7427" s="326"/>
      <c r="F7427" s="326"/>
      <c r="G7427" s="326"/>
      <c r="H7427" s="326"/>
      <c r="P7427" s="318"/>
      <c r="Q7427" s="318"/>
      <c r="R7427" s="318"/>
      <c r="S7427" s="318"/>
      <c r="T7427" s="318"/>
      <c r="U7427" s="318"/>
      <c r="V7427" s="318"/>
      <c r="W7427" s="318"/>
      <c r="X7427" s="318"/>
      <c r="Y7427" s="318"/>
      <c r="Z7427" s="318"/>
      <c r="AA7427" s="318"/>
      <c r="AB7427" s="318"/>
      <c r="AC7427" s="318"/>
      <c r="AD7427" s="318"/>
    </row>
    <row r="7428" spans="2:30" s="323" customFormat="1" ht="12" customHeight="1">
      <c r="B7428" s="324"/>
      <c r="C7428" s="325"/>
      <c r="D7428" s="326"/>
      <c r="E7428" s="326"/>
      <c r="F7428" s="326"/>
      <c r="G7428" s="326"/>
      <c r="H7428" s="326"/>
      <c r="P7428" s="318"/>
      <c r="Q7428" s="318"/>
      <c r="R7428" s="318"/>
      <c r="S7428" s="318"/>
      <c r="T7428" s="318"/>
      <c r="U7428" s="318"/>
      <c r="V7428" s="318"/>
      <c r="W7428" s="318"/>
      <c r="X7428" s="318"/>
      <c r="Y7428" s="318"/>
      <c r="Z7428" s="318"/>
      <c r="AA7428" s="318"/>
      <c r="AB7428" s="318"/>
      <c r="AC7428" s="318"/>
      <c r="AD7428" s="318"/>
    </row>
    <row r="7429" spans="2:30" s="323" customFormat="1" ht="12" customHeight="1">
      <c r="B7429" s="324"/>
      <c r="C7429" s="325"/>
      <c r="D7429" s="326"/>
      <c r="E7429" s="326"/>
      <c r="F7429" s="326"/>
      <c r="G7429" s="326"/>
      <c r="H7429" s="326"/>
      <c r="P7429" s="318"/>
      <c r="Q7429" s="318"/>
      <c r="R7429" s="318"/>
      <c r="S7429" s="318"/>
      <c r="T7429" s="318"/>
      <c r="U7429" s="318"/>
      <c r="V7429" s="318"/>
      <c r="W7429" s="318"/>
      <c r="X7429" s="318"/>
      <c r="Y7429" s="318"/>
      <c r="Z7429" s="318"/>
      <c r="AA7429" s="318"/>
      <c r="AB7429" s="318"/>
      <c r="AC7429" s="318"/>
      <c r="AD7429" s="318"/>
    </row>
    <row r="7430" spans="2:30" s="323" customFormat="1" ht="12" customHeight="1">
      <c r="B7430" s="324"/>
      <c r="C7430" s="325"/>
      <c r="D7430" s="326"/>
      <c r="E7430" s="326"/>
      <c r="F7430" s="326"/>
      <c r="G7430" s="326"/>
      <c r="H7430" s="326"/>
      <c r="P7430" s="318"/>
      <c r="Q7430" s="318"/>
      <c r="R7430" s="318"/>
      <c r="S7430" s="318"/>
      <c r="T7430" s="318"/>
      <c r="U7430" s="318"/>
      <c r="V7430" s="318"/>
      <c r="W7430" s="318"/>
      <c r="X7430" s="318"/>
      <c r="Y7430" s="318"/>
      <c r="Z7430" s="318"/>
      <c r="AA7430" s="318"/>
      <c r="AB7430" s="318"/>
      <c r="AC7430" s="318"/>
      <c r="AD7430" s="318"/>
    </row>
    <row r="7431" spans="2:30" s="323" customFormat="1" ht="12" customHeight="1">
      <c r="B7431" s="324"/>
      <c r="C7431" s="325"/>
      <c r="D7431" s="326"/>
      <c r="E7431" s="326"/>
      <c r="F7431" s="326"/>
      <c r="G7431" s="326"/>
      <c r="H7431" s="326"/>
      <c r="P7431" s="318"/>
      <c r="Q7431" s="318"/>
      <c r="R7431" s="318"/>
      <c r="S7431" s="318"/>
      <c r="T7431" s="318"/>
      <c r="U7431" s="318"/>
      <c r="V7431" s="318"/>
      <c r="W7431" s="318"/>
      <c r="X7431" s="318"/>
      <c r="Y7431" s="318"/>
      <c r="Z7431" s="318"/>
      <c r="AA7431" s="318"/>
      <c r="AB7431" s="318"/>
      <c r="AC7431" s="318"/>
      <c r="AD7431" s="318"/>
    </row>
    <row r="7432" spans="2:30" s="323" customFormat="1" ht="12" customHeight="1">
      <c r="B7432" s="324"/>
      <c r="C7432" s="325"/>
      <c r="D7432" s="326"/>
      <c r="E7432" s="326"/>
      <c r="F7432" s="326"/>
      <c r="G7432" s="326"/>
      <c r="H7432" s="326"/>
      <c r="P7432" s="318"/>
      <c r="Q7432" s="318"/>
      <c r="R7432" s="318"/>
      <c r="S7432" s="318"/>
      <c r="T7432" s="318"/>
      <c r="U7432" s="318"/>
      <c r="V7432" s="318"/>
      <c r="W7432" s="318"/>
      <c r="X7432" s="318"/>
      <c r="Y7432" s="318"/>
      <c r="Z7432" s="318"/>
      <c r="AA7432" s="318"/>
      <c r="AB7432" s="318"/>
      <c r="AC7432" s="318"/>
      <c r="AD7432" s="318"/>
    </row>
    <row r="7433" spans="2:30" s="323" customFormat="1" ht="12" customHeight="1">
      <c r="B7433" s="324"/>
      <c r="C7433" s="325"/>
      <c r="D7433" s="326"/>
      <c r="E7433" s="326"/>
      <c r="F7433" s="326"/>
      <c r="G7433" s="326"/>
      <c r="H7433" s="326"/>
      <c r="P7433" s="318"/>
      <c r="Q7433" s="318"/>
      <c r="R7433" s="318"/>
      <c r="S7433" s="318"/>
      <c r="T7433" s="318"/>
      <c r="U7433" s="318"/>
      <c r="V7433" s="318"/>
      <c r="W7433" s="318"/>
      <c r="X7433" s="318"/>
      <c r="Y7433" s="318"/>
      <c r="Z7433" s="318"/>
      <c r="AA7433" s="318"/>
      <c r="AB7433" s="318"/>
      <c r="AC7433" s="318"/>
      <c r="AD7433" s="318"/>
    </row>
    <row r="7434" spans="2:30" s="323" customFormat="1" ht="12" customHeight="1">
      <c r="B7434" s="324"/>
      <c r="C7434" s="325"/>
      <c r="D7434" s="326"/>
      <c r="E7434" s="326"/>
      <c r="F7434" s="326"/>
      <c r="G7434" s="326"/>
      <c r="H7434" s="326"/>
      <c r="P7434" s="318"/>
      <c r="Q7434" s="318"/>
      <c r="R7434" s="318"/>
      <c r="S7434" s="318"/>
      <c r="T7434" s="318"/>
      <c r="U7434" s="318"/>
      <c r="V7434" s="318"/>
      <c r="W7434" s="318"/>
      <c r="X7434" s="318"/>
      <c r="Y7434" s="318"/>
      <c r="Z7434" s="318"/>
      <c r="AA7434" s="318"/>
      <c r="AB7434" s="318"/>
      <c r="AC7434" s="318"/>
      <c r="AD7434" s="318"/>
    </row>
    <row r="7435" spans="2:30" s="323" customFormat="1" ht="12" customHeight="1">
      <c r="B7435" s="324"/>
      <c r="C7435" s="325"/>
      <c r="D7435" s="326"/>
      <c r="E7435" s="326"/>
      <c r="F7435" s="326"/>
      <c r="G7435" s="326"/>
      <c r="H7435" s="326"/>
      <c r="P7435" s="318"/>
      <c r="Q7435" s="318"/>
      <c r="R7435" s="318"/>
      <c r="S7435" s="318"/>
      <c r="T7435" s="318"/>
      <c r="U7435" s="318"/>
      <c r="V7435" s="318"/>
      <c r="W7435" s="318"/>
      <c r="X7435" s="318"/>
      <c r="Y7435" s="318"/>
      <c r="Z7435" s="318"/>
      <c r="AA7435" s="318"/>
      <c r="AB7435" s="318"/>
      <c r="AC7435" s="318"/>
      <c r="AD7435" s="318"/>
    </row>
    <row r="7436" spans="2:30" s="323" customFormat="1" ht="12" customHeight="1">
      <c r="B7436" s="324"/>
      <c r="C7436" s="325"/>
      <c r="D7436" s="326"/>
      <c r="E7436" s="326"/>
      <c r="F7436" s="326"/>
      <c r="G7436" s="326"/>
      <c r="H7436" s="326"/>
      <c r="P7436" s="318"/>
      <c r="Q7436" s="318"/>
      <c r="R7436" s="318"/>
      <c r="S7436" s="318"/>
      <c r="T7436" s="318"/>
      <c r="U7436" s="318"/>
      <c r="V7436" s="318"/>
      <c r="W7436" s="318"/>
      <c r="X7436" s="318"/>
      <c r="Y7436" s="318"/>
      <c r="Z7436" s="318"/>
      <c r="AA7436" s="318"/>
      <c r="AB7436" s="318"/>
      <c r="AC7436" s="318"/>
      <c r="AD7436" s="318"/>
    </row>
    <row r="7437" spans="2:30" s="323" customFormat="1" ht="12" customHeight="1">
      <c r="B7437" s="324"/>
      <c r="C7437" s="325"/>
      <c r="D7437" s="326"/>
      <c r="E7437" s="326"/>
      <c r="F7437" s="326"/>
      <c r="G7437" s="326"/>
      <c r="H7437" s="326"/>
      <c r="P7437" s="318"/>
      <c r="Q7437" s="318"/>
      <c r="R7437" s="318"/>
      <c r="S7437" s="318"/>
      <c r="T7437" s="318"/>
      <c r="U7437" s="318"/>
      <c r="V7437" s="318"/>
      <c r="W7437" s="318"/>
      <c r="X7437" s="318"/>
      <c r="Y7437" s="318"/>
      <c r="Z7437" s="318"/>
      <c r="AA7437" s="318"/>
      <c r="AB7437" s="318"/>
      <c r="AC7437" s="318"/>
      <c r="AD7437" s="318"/>
    </row>
    <row r="7438" spans="2:30" s="323" customFormat="1" ht="12" customHeight="1">
      <c r="B7438" s="324"/>
      <c r="C7438" s="325"/>
      <c r="D7438" s="326"/>
      <c r="E7438" s="326"/>
      <c r="F7438" s="326"/>
      <c r="G7438" s="326"/>
      <c r="H7438" s="326"/>
      <c r="P7438" s="318"/>
      <c r="Q7438" s="318"/>
      <c r="R7438" s="318"/>
      <c r="S7438" s="318"/>
      <c r="T7438" s="318"/>
      <c r="U7438" s="318"/>
      <c r="V7438" s="318"/>
      <c r="W7438" s="318"/>
      <c r="X7438" s="318"/>
      <c r="Y7438" s="318"/>
      <c r="Z7438" s="318"/>
      <c r="AA7438" s="318"/>
      <c r="AB7438" s="318"/>
      <c r="AC7438" s="318"/>
      <c r="AD7438" s="318"/>
    </row>
    <row r="7439" spans="2:30" s="323" customFormat="1" ht="12" customHeight="1">
      <c r="B7439" s="324"/>
      <c r="C7439" s="325"/>
      <c r="D7439" s="326"/>
      <c r="E7439" s="326"/>
      <c r="F7439" s="326"/>
      <c r="G7439" s="326"/>
      <c r="H7439" s="326"/>
      <c r="P7439" s="318"/>
      <c r="Q7439" s="318"/>
      <c r="R7439" s="318"/>
      <c r="S7439" s="318"/>
      <c r="T7439" s="318"/>
      <c r="U7439" s="318"/>
      <c r="V7439" s="318"/>
      <c r="W7439" s="318"/>
      <c r="X7439" s="318"/>
      <c r="Y7439" s="318"/>
      <c r="Z7439" s="318"/>
      <c r="AA7439" s="318"/>
      <c r="AB7439" s="318"/>
      <c r="AC7439" s="318"/>
      <c r="AD7439" s="318"/>
    </row>
    <row r="7440" spans="2:30" s="323" customFormat="1" ht="12" customHeight="1">
      <c r="B7440" s="324"/>
      <c r="C7440" s="325"/>
      <c r="D7440" s="326"/>
      <c r="E7440" s="326"/>
      <c r="F7440" s="326"/>
      <c r="G7440" s="326"/>
      <c r="H7440" s="326"/>
      <c r="P7440" s="318"/>
      <c r="Q7440" s="318"/>
      <c r="R7440" s="318"/>
      <c r="S7440" s="318"/>
      <c r="T7440" s="318"/>
      <c r="U7440" s="318"/>
      <c r="V7440" s="318"/>
      <c r="W7440" s="318"/>
      <c r="X7440" s="318"/>
      <c r="Y7440" s="318"/>
      <c r="Z7440" s="318"/>
      <c r="AA7440" s="318"/>
      <c r="AB7440" s="318"/>
      <c r="AC7440" s="318"/>
      <c r="AD7440" s="318"/>
    </row>
    <row r="7441" spans="2:30" s="323" customFormat="1" ht="12" customHeight="1">
      <c r="B7441" s="324"/>
      <c r="C7441" s="325"/>
      <c r="D7441" s="326"/>
      <c r="E7441" s="326"/>
      <c r="F7441" s="326"/>
      <c r="G7441" s="326"/>
      <c r="H7441" s="326"/>
      <c r="P7441" s="318"/>
      <c r="Q7441" s="318"/>
      <c r="R7441" s="318"/>
      <c r="S7441" s="318"/>
      <c r="T7441" s="318"/>
      <c r="U7441" s="318"/>
      <c r="V7441" s="318"/>
      <c r="W7441" s="318"/>
      <c r="X7441" s="318"/>
      <c r="Y7441" s="318"/>
      <c r="Z7441" s="318"/>
      <c r="AA7441" s="318"/>
      <c r="AB7441" s="318"/>
      <c r="AC7441" s="318"/>
      <c r="AD7441" s="318"/>
    </row>
    <row r="7442" spans="2:30" s="323" customFormat="1" ht="12" customHeight="1">
      <c r="B7442" s="324"/>
      <c r="C7442" s="325"/>
      <c r="D7442" s="326"/>
      <c r="E7442" s="326"/>
      <c r="F7442" s="326"/>
      <c r="G7442" s="326"/>
      <c r="H7442" s="326"/>
      <c r="P7442" s="318"/>
      <c r="Q7442" s="318"/>
      <c r="R7442" s="318"/>
      <c r="S7442" s="318"/>
      <c r="T7442" s="318"/>
      <c r="U7442" s="318"/>
      <c r="V7442" s="318"/>
      <c r="W7442" s="318"/>
      <c r="X7442" s="318"/>
      <c r="Y7442" s="318"/>
      <c r="Z7442" s="318"/>
      <c r="AA7442" s="318"/>
      <c r="AB7442" s="318"/>
      <c r="AC7442" s="318"/>
      <c r="AD7442" s="318"/>
    </row>
    <row r="7443" spans="2:30" s="323" customFormat="1" ht="12" customHeight="1">
      <c r="B7443" s="324"/>
      <c r="C7443" s="325"/>
      <c r="D7443" s="326"/>
      <c r="E7443" s="326"/>
      <c r="F7443" s="326"/>
      <c r="G7443" s="326"/>
      <c r="H7443" s="326"/>
      <c r="P7443" s="318"/>
      <c r="Q7443" s="318"/>
      <c r="R7443" s="318"/>
      <c r="S7443" s="318"/>
      <c r="T7443" s="318"/>
      <c r="U7443" s="318"/>
      <c r="V7443" s="318"/>
      <c r="W7443" s="318"/>
      <c r="X7443" s="318"/>
      <c r="Y7443" s="318"/>
      <c r="Z7443" s="318"/>
      <c r="AA7443" s="318"/>
      <c r="AB7443" s="318"/>
      <c r="AC7443" s="318"/>
      <c r="AD7443" s="318"/>
    </row>
    <row r="7444" spans="2:30" s="323" customFormat="1" ht="12" customHeight="1">
      <c r="B7444" s="324"/>
      <c r="C7444" s="325"/>
      <c r="D7444" s="326"/>
      <c r="E7444" s="326"/>
      <c r="F7444" s="326"/>
      <c r="G7444" s="326"/>
      <c r="H7444" s="326"/>
      <c r="P7444" s="318"/>
      <c r="Q7444" s="318"/>
      <c r="R7444" s="318"/>
      <c r="S7444" s="318"/>
      <c r="T7444" s="318"/>
      <c r="U7444" s="318"/>
      <c r="V7444" s="318"/>
      <c r="W7444" s="318"/>
      <c r="X7444" s="318"/>
      <c r="Y7444" s="318"/>
      <c r="Z7444" s="318"/>
      <c r="AA7444" s="318"/>
      <c r="AB7444" s="318"/>
      <c r="AC7444" s="318"/>
      <c r="AD7444" s="318"/>
    </row>
    <row r="7445" spans="2:30" s="323" customFormat="1" ht="12" customHeight="1">
      <c r="B7445" s="324"/>
      <c r="C7445" s="325"/>
      <c r="D7445" s="326"/>
      <c r="E7445" s="326"/>
      <c r="F7445" s="326"/>
      <c r="G7445" s="326"/>
      <c r="H7445" s="326"/>
      <c r="P7445" s="318"/>
      <c r="Q7445" s="318"/>
      <c r="R7445" s="318"/>
      <c r="S7445" s="318"/>
      <c r="T7445" s="318"/>
      <c r="U7445" s="318"/>
      <c r="V7445" s="318"/>
      <c r="W7445" s="318"/>
      <c r="X7445" s="318"/>
      <c r="Y7445" s="318"/>
      <c r="Z7445" s="318"/>
      <c r="AA7445" s="318"/>
      <c r="AB7445" s="318"/>
      <c r="AC7445" s="318"/>
      <c r="AD7445" s="318"/>
    </row>
    <row r="7446" spans="2:30" s="323" customFormat="1" ht="12" customHeight="1">
      <c r="B7446" s="324"/>
      <c r="C7446" s="325"/>
      <c r="D7446" s="326"/>
      <c r="E7446" s="326"/>
      <c r="F7446" s="326"/>
      <c r="G7446" s="326"/>
      <c r="H7446" s="326"/>
      <c r="P7446" s="318"/>
      <c r="Q7446" s="318"/>
      <c r="R7446" s="318"/>
      <c r="S7446" s="318"/>
      <c r="T7446" s="318"/>
      <c r="U7446" s="318"/>
      <c r="V7446" s="318"/>
      <c r="W7446" s="318"/>
      <c r="X7446" s="318"/>
      <c r="Y7446" s="318"/>
      <c r="Z7446" s="318"/>
      <c r="AA7446" s="318"/>
      <c r="AB7446" s="318"/>
      <c r="AC7446" s="318"/>
      <c r="AD7446" s="318"/>
    </row>
    <row r="7447" spans="2:30" s="323" customFormat="1" ht="12" customHeight="1">
      <c r="B7447" s="324"/>
      <c r="C7447" s="325"/>
      <c r="D7447" s="326"/>
      <c r="E7447" s="326"/>
      <c r="F7447" s="326"/>
      <c r="G7447" s="326"/>
      <c r="H7447" s="326"/>
      <c r="P7447" s="318"/>
      <c r="Q7447" s="318"/>
      <c r="R7447" s="318"/>
      <c r="S7447" s="318"/>
      <c r="T7447" s="318"/>
      <c r="U7447" s="318"/>
      <c r="V7447" s="318"/>
      <c r="W7447" s="318"/>
      <c r="X7447" s="318"/>
      <c r="Y7447" s="318"/>
      <c r="Z7447" s="318"/>
      <c r="AA7447" s="318"/>
      <c r="AB7447" s="318"/>
      <c r="AC7447" s="318"/>
      <c r="AD7447" s="318"/>
    </row>
    <row r="7448" spans="2:30" s="323" customFormat="1" ht="12" customHeight="1">
      <c r="B7448" s="324"/>
      <c r="C7448" s="325"/>
      <c r="D7448" s="326"/>
      <c r="E7448" s="326"/>
      <c r="F7448" s="326"/>
      <c r="G7448" s="326"/>
      <c r="H7448" s="326"/>
      <c r="P7448" s="318"/>
      <c r="Q7448" s="318"/>
      <c r="R7448" s="318"/>
      <c r="S7448" s="318"/>
      <c r="T7448" s="318"/>
      <c r="U7448" s="318"/>
      <c r="V7448" s="318"/>
      <c r="W7448" s="318"/>
      <c r="X7448" s="318"/>
      <c r="Y7448" s="318"/>
      <c r="Z7448" s="318"/>
      <c r="AA7448" s="318"/>
      <c r="AB7448" s="318"/>
      <c r="AC7448" s="318"/>
      <c r="AD7448" s="318"/>
    </row>
    <row r="7449" spans="2:30" s="323" customFormat="1" ht="12" customHeight="1">
      <c r="B7449" s="324"/>
      <c r="C7449" s="325"/>
      <c r="D7449" s="326"/>
      <c r="E7449" s="326"/>
      <c r="F7449" s="326"/>
      <c r="G7449" s="326"/>
      <c r="H7449" s="326"/>
      <c r="P7449" s="318"/>
      <c r="Q7449" s="318"/>
      <c r="R7449" s="318"/>
      <c r="S7449" s="318"/>
      <c r="T7449" s="318"/>
      <c r="U7449" s="318"/>
      <c r="V7449" s="318"/>
      <c r="W7449" s="318"/>
      <c r="X7449" s="318"/>
      <c r="Y7449" s="318"/>
      <c r="Z7449" s="318"/>
      <c r="AA7449" s="318"/>
      <c r="AB7449" s="318"/>
      <c r="AC7449" s="318"/>
      <c r="AD7449" s="318"/>
    </row>
    <row r="7450" spans="2:30" s="323" customFormat="1" ht="12" customHeight="1">
      <c r="B7450" s="324"/>
      <c r="C7450" s="325"/>
      <c r="D7450" s="326"/>
      <c r="E7450" s="326"/>
      <c r="F7450" s="326"/>
      <c r="G7450" s="326"/>
      <c r="H7450" s="326"/>
      <c r="P7450" s="318"/>
      <c r="Q7450" s="318"/>
      <c r="R7450" s="318"/>
      <c r="S7450" s="318"/>
      <c r="T7450" s="318"/>
      <c r="U7450" s="318"/>
      <c r="V7450" s="318"/>
      <c r="W7450" s="318"/>
      <c r="X7450" s="318"/>
      <c r="Y7450" s="318"/>
      <c r="Z7450" s="318"/>
      <c r="AA7450" s="318"/>
      <c r="AB7450" s="318"/>
      <c r="AC7450" s="318"/>
      <c r="AD7450" s="318"/>
    </row>
    <row r="7451" spans="2:30" s="323" customFormat="1" ht="12" customHeight="1">
      <c r="B7451" s="324"/>
      <c r="C7451" s="325"/>
      <c r="D7451" s="326"/>
      <c r="E7451" s="326"/>
      <c r="F7451" s="326"/>
      <c r="G7451" s="326"/>
      <c r="H7451" s="326"/>
      <c r="P7451" s="318"/>
      <c r="Q7451" s="318"/>
      <c r="R7451" s="318"/>
      <c r="S7451" s="318"/>
      <c r="T7451" s="318"/>
      <c r="U7451" s="318"/>
      <c r="V7451" s="318"/>
      <c r="W7451" s="318"/>
      <c r="X7451" s="318"/>
      <c r="Y7451" s="318"/>
      <c r="Z7451" s="318"/>
      <c r="AA7451" s="318"/>
      <c r="AB7451" s="318"/>
      <c r="AC7451" s="318"/>
      <c r="AD7451" s="318"/>
    </row>
    <row r="7452" spans="2:30" s="323" customFormat="1" ht="12" customHeight="1">
      <c r="B7452" s="324"/>
      <c r="C7452" s="325"/>
      <c r="D7452" s="326"/>
      <c r="E7452" s="326"/>
      <c r="F7452" s="326"/>
      <c r="G7452" s="326"/>
      <c r="H7452" s="326"/>
      <c r="P7452" s="318"/>
      <c r="Q7452" s="318"/>
      <c r="R7452" s="318"/>
      <c r="S7452" s="318"/>
      <c r="T7452" s="318"/>
      <c r="U7452" s="318"/>
      <c r="V7452" s="318"/>
      <c r="W7452" s="318"/>
      <c r="X7452" s="318"/>
      <c r="Y7452" s="318"/>
      <c r="Z7452" s="318"/>
      <c r="AA7452" s="318"/>
      <c r="AB7452" s="318"/>
      <c r="AC7452" s="318"/>
      <c r="AD7452" s="318"/>
    </row>
    <row r="7453" spans="2:30" s="323" customFormat="1" ht="12" customHeight="1">
      <c r="B7453" s="324"/>
      <c r="C7453" s="325"/>
      <c r="D7453" s="326"/>
      <c r="E7453" s="326"/>
      <c r="F7453" s="326"/>
      <c r="G7453" s="326"/>
      <c r="H7453" s="326"/>
      <c r="P7453" s="318"/>
      <c r="Q7453" s="318"/>
      <c r="R7453" s="318"/>
      <c r="S7453" s="318"/>
      <c r="T7453" s="318"/>
      <c r="U7453" s="318"/>
      <c r="V7453" s="318"/>
      <c r="W7453" s="318"/>
      <c r="X7453" s="318"/>
      <c r="Y7453" s="318"/>
      <c r="Z7453" s="318"/>
      <c r="AA7453" s="318"/>
      <c r="AB7453" s="318"/>
      <c r="AC7453" s="318"/>
      <c r="AD7453" s="318"/>
    </row>
    <row r="7454" spans="2:30" s="323" customFormat="1" ht="12" customHeight="1">
      <c r="B7454" s="324"/>
      <c r="C7454" s="325"/>
      <c r="D7454" s="326"/>
      <c r="E7454" s="326"/>
      <c r="F7454" s="326"/>
      <c r="G7454" s="326"/>
      <c r="H7454" s="326"/>
      <c r="P7454" s="318"/>
      <c r="Q7454" s="318"/>
      <c r="R7454" s="318"/>
      <c r="S7454" s="318"/>
      <c r="T7454" s="318"/>
      <c r="U7454" s="318"/>
      <c r="V7454" s="318"/>
      <c r="W7454" s="318"/>
      <c r="X7454" s="318"/>
      <c r="Y7454" s="318"/>
      <c r="Z7454" s="318"/>
      <c r="AA7454" s="318"/>
      <c r="AB7454" s="318"/>
      <c r="AC7454" s="318"/>
      <c r="AD7454" s="318"/>
    </row>
    <row r="7455" spans="2:30" s="323" customFormat="1" ht="12" customHeight="1">
      <c r="B7455" s="324"/>
      <c r="C7455" s="325"/>
      <c r="D7455" s="326"/>
      <c r="E7455" s="326"/>
      <c r="F7455" s="326"/>
      <c r="G7455" s="326"/>
      <c r="H7455" s="326"/>
      <c r="P7455" s="318"/>
      <c r="Q7455" s="318"/>
      <c r="R7455" s="318"/>
      <c r="S7455" s="318"/>
      <c r="T7455" s="318"/>
      <c r="U7455" s="318"/>
      <c r="V7455" s="318"/>
      <c r="W7455" s="318"/>
      <c r="X7455" s="318"/>
      <c r="Y7455" s="318"/>
      <c r="Z7455" s="318"/>
      <c r="AA7455" s="318"/>
      <c r="AB7455" s="318"/>
      <c r="AC7455" s="318"/>
      <c r="AD7455" s="318"/>
    </row>
    <row r="7456" spans="2:30" s="323" customFormat="1" ht="12" customHeight="1">
      <c r="B7456" s="324"/>
      <c r="C7456" s="325"/>
      <c r="D7456" s="326"/>
      <c r="E7456" s="326"/>
      <c r="F7456" s="326"/>
      <c r="G7456" s="326"/>
      <c r="H7456" s="326"/>
      <c r="P7456" s="318"/>
      <c r="Q7456" s="318"/>
      <c r="R7456" s="318"/>
      <c r="S7456" s="318"/>
      <c r="T7456" s="318"/>
      <c r="U7456" s="318"/>
      <c r="V7456" s="318"/>
      <c r="W7456" s="318"/>
      <c r="X7456" s="318"/>
      <c r="Y7456" s="318"/>
      <c r="Z7456" s="318"/>
      <c r="AA7456" s="318"/>
      <c r="AB7456" s="318"/>
      <c r="AC7456" s="318"/>
      <c r="AD7456" s="318"/>
    </row>
    <row r="7457" spans="2:30" s="323" customFormat="1" ht="12" customHeight="1">
      <c r="B7457" s="324"/>
      <c r="C7457" s="325"/>
      <c r="D7457" s="326"/>
      <c r="E7457" s="326"/>
      <c r="F7457" s="326"/>
      <c r="G7457" s="326"/>
      <c r="H7457" s="326"/>
      <c r="P7457" s="318"/>
      <c r="Q7457" s="318"/>
      <c r="R7457" s="318"/>
      <c r="S7457" s="318"/>
      <c r="T7457" s="318"/>
      <c r="U7457" s="318"/>
      <c r="V7457" s="318"/>
      <c r="W7457" s="318"/>
      <c r="X7457" s="318"/>
      <c r="Y7457" s="318"/>
      <c r="Z7457" s="318"/>
      <c r="AA7457" s="318"/>
      <c r="AB7457" s="318"/>
      <c r="AC7457" s="318"/>
      <c r="AD7457" s="318"/>
    </row>
    <row r="7458" spans="2:30" s="323" customFormat="1" ht="12" customHeight="1">
      <c r="B7458" s="324"/>
      <c r="C7458" s="325"/>
      <c r="D7458" s="326"/>
      <c r="E7458" s="326"/>
      <c r="F7458" s="326"/>
      <c r="G7458" s="326"/>
      <c r="H7458" s="326"/>
      <c r="P7458" s="318"/>
      <c r="Q7458" s="318"/>
      <c r="R7458" s="318"/>
      <c r="S7458" s="318"/>
      <c r="T7458" s="318"/>
      <c r="U7458" s="318"/>
      <c r="V7458" s="318"/>
      <c r="W7458" s="318"/>
      <c r="X7458" s="318"/>
      <c r="Y7458" s="318"/>
      <c r="Z7458" s="318"/>
      <c r="AA7458" s="318"/>
      <c r="AB7458" s="318"/>
      <c r="AC7458" s="318"/>
      <c r="AD7458" s="318"/>
    </row>
    <row r="7459" spans="2:30" s="323" customFormat="1" ht="12" customHeight="1">
      <c r="B7459" s="324"/>
      <c r="C7459" s="325"/>
      <c r="D7459" s="326"/>
      <c r="E7459" s="326"/>
      <c r="F7459" s="326"/>
      <c r="G7459" s="326"/>
      <c r="H7459" s="326"/>
      <c r="P7459" s="318"/>
      <c r="Q7459" s="318"/>
      <c r="R7459" s="318"/>
      <c r="S7459" s="318"/>
      <c r="T7459" s="318"/>
      <c r="U7459" s="318"/>
      <c r="V7459" s="318"/>
      <c r="W7459" s="318"/>
      <c r="X7459" s="318"/>
      <c r="Y7459" s="318"/>
      <c r="Z7459" s="318"/>
      <c r="AA7459" s="318"/>
      <c r="AB7459" s="318"/>
      <c r="AC7459" s="318"/>
      <c r="AD7459" s="318"/>
    </row>
    <row r="7460" spans="2:30" s="323" customFormat="1" ht="12" customHeight="1">
      <c r="B7460" s="324"/>
      <c r="C7460" s="325"/>
      <c r="D7460" s="326"/>
      <c r="E7460" s="326"/>
      <c r="F7460" s="326"/>
      <c r="G7460" s="326"/>
      <c r="H7460" s="326"/>
      <c r="P7460" s="318"/>
      <c r="Q7460" s="318"/>
      <c r="R7460" s="318"/>
      <c r="S7460" s="318"/>
      <c r="T7460" s="318"/>
      <c r="U7460" s="318"/>
      <c r="V7460" s="318"/>
      <c r="W7460" s="318"/>
      <c r="X7460" s="318"/>
      <c r="Y7460" s="318"/>
      <c r="Z7460" s="318"/>
      <c r="AA7460" s="318"/>
      <c r="AB7460" s="318"/>
      <c r="AC7460" s="318"/>
      <c r="AD7460" s="318"/>
    </row>
    <row r="7461" spans="2:30" s="323" customFormat="1" ht="12" customHeight="1">
      <c r="B7461" s="324"/>
      <c r="C7461" s="325"/>
      <c r="D7461" s="326"/>
      <c r="E7461" s="326"/>
      <c r="F7461" s="326"/>
      <c r="G7461" s="326"/>
      <c r="H7461" s="326"/>
      <c r="P7461" s="318"/>
      <c r="Q7461" s="318"/>
      <c r="R7461" s="318"/>
      <c r="S7461" s="318"/>
      <c r="T7461" s="318"/>
      <c r="U7461" s="318"/>
      <c r="V7461" s="318"/>
      <c r="W7461" s="318"/>
      <c r="X7461" s="318"/>
      <c r="Y7461" s="318"/>
      <c r="Z7461" s="318"/>
      <c r="AA7461" s="318"/>
      <c r="AB7461" s="318"/>
      <c r="AC7461" s="318"/>
      <c r="AD7461" s="318"/>
    </row>
    <row r="7462" spans="2:30" s="323" customFormat="1" ht="12" customHeight="1">
      <c r="B7462" s="324"/>
      <c r="C7462" s="325"/>
      <c r="D7462" s="326"/>
      <c r="E7462" s="326"/>
      <c r="F7462" s="326"/>
      <c r="G7462" s="326"/>
      <c r="H7462" s="326"/>
      <c r="P7462" s="318"/>
      <c r="Q7462" s="318"/>
      <c r="R7462" s="318"/>
      <c r="S7462" s="318"/>
      <c r="T7462" s="318"/>
      <c r="U7462" s="318"/>
      <c r="V7462" s="318"/>
      <c r="W7462" s="318"/>
      <c r="X7462" s="318"/>
      <c r="Y7462" s="318"/>
      <c r="Z7462" s="318"/>
      <c r="AA7462" s="318"/>
      <c r="AB7462" s="318"/>
      <c r="AC7462" s="318"/>
      <c r="AD7462" s="318"/>
    </row>
    <row r="7463" spans="2:30" s="323" customFormat="1" ht="12" customHeight="1">
      <c r="B7463" s="324"/>
      <c r="C7463" s="325"/>
      <c r="D7463" s="326"/>
      <c r="E7463" s="326"/>
      <c r="F7463" s="326"/>
      <c r="G7463" s="326"/>
      <c r="H7463" s="326"/>
      <c r="P7463" s="318"/>
      <c r="Q7463" s="318"/>
      <c r="R7463" s="318"/>
      <c r="S7463" s="318"/>
      <c r="T7463" s="318"/>
      <c r="U7463" s="318"/>
      <c r="V7463" s="318"/>
      <c r="W7463" s="318"/>
      <c r="X7463" s="318"/>
      <c r="Y7463" s="318"/>
      <c r="Z7463" s="318"/>
      <c r="AA7463" s="318"/>
      <c r="AB7463" s="318"/>
      <c r="AC7463" s="318"/>
      <c r="AD7463" s="318"/>
    </row>
    <row r="7464" spans="2:30" s="323" customFormat="1" ht="12" customHeight="1">
      <c r="B7464" s="324"/>
      <c r="C7464" s="325"/>
      <c r="D7464" s="326"/>
      <c r="E7464" s="326"/>
      <c r="F7464" s="326"/>
      <c r="G7464" s="326"/>
      <c r="H7464" s="326"/>
      <c r="P7464" s="318"/>
      <c r="Q7464" s="318"/>
      <c r="R7464" s="318"/>
      <c r="S7464" s="318"/>
      <c r="T7464" s="318"/>
      <c r="U7464" s="318"/>
      <c r="V7464" s="318"/>
      <c r="W7464" s="318"/>
      <c r="X7464" s="318"/>
      <c r="Y7464" s="318"/>
      <c r="Z7464" s="318"/>
      <c r="AA7464" s="318"/>
      <c r="AB7464" s="318"/>
      <c r="AC7464" s="318"/>
      <c r="AD7464" s="318"/>
    </row>
    <row r="7465" spans="2:30" s="323" customFormat="1" ht="12" customHeight="1">
      <c r="B7465" s="324"/>
      <c r="C7465" s="325"/>
      <c r="D7465" s="326"/>
      <c r="E7465" s="326"/>
      <c r="F7465" s="326"/>
      <c r="G7465" s="326"/>
      <c r="H7465" s="326"/>
      <c r="P7465" s="318"/>
      <c r="Q7465" s="318"/>
      <c r="R7465" s="318"/>
      <c r="S7465" s="318"/>
      <c r="T7465" s="318"/>
      <c r="U7465" s="318"/>
      <c r="V7465" s="318"/>
      <c r="W7465" s="318"/>
      <c r="X7465" s="318"/>
      <c r="Y7465" s="318"/>
      <c r="Z7465" s="318"/>
      <c r="AA7465" s="318"/>
      <c r="AB7465" s="318"/>
      <c r="AC7465" s="318"/>
      <c r="AD7465" s="318"/>
    </row>
    <row r="7466" spans="2:30" s="323" customFormat="1" ht="12" customHeight="1">
      <c r="B7466" s="324"/>
      <c r="C7466" s="325"/>
      <c r="D7466" s="326"/>
      <c r="E7466" s="326"/>
      <c r="F7466" s="326"/>
      <c r="G7466" s="326"/>
      <c r="H7466" s="326"/>
      <c r="P7466" s="318"/>
      <c r="Q7466" s="318"/>
      <c r="R7466" s="318"/>
      <c r="S7466" s="318"/>
      <c r="T7466" s="318"/>
      <c r="U7466" s="318"/>
      <c r="V7466" s="318"/>
      <c r="W7466" s="318"/>
      <c r="X7466" s="318"/>
      <c r="Y7466" s="318"/>
      <c r="Z7466" s="318"/>
      <c r="AA7466" s="318"/>
      <c r="AB7466" s="318"/>
      <c r="AC7466" s="318"/>
      <c r="AD7466" s="318"/>
    </row>
    <row r="7467" spans="2:30" s="323" customFormat="1" ht="12" customHeight="1">
      <c r="B7467" s="324"/>
      <c r="C7467" s="325"/>
      <c r="D7467" s="326"/>
      <c r="E7467" s="326"/>
      <c r="F7467" s="326"/>
      <c r="G7467" s="326"/>
      <c r="H7467" s="326"/>
      <c r="P7467" s="318"/>
      <c r="Q7467" s="318"/>
      <c r="R7467" s="318"/>
      <c r="S7467" s="318"/>
      <c r="T7467" s="318"/>
      <c r="U7467" s="318"/>
      <c r="V7467" s="318"/>
      <c r="W7467" s="318"/>
      <c r="X7467" s="318"/>
      <c r="Y7467" s="318"/>
      <c r="Z7467" s="318"/>
      <c r="AA7467" s="318"/>
      <c r="AB7467" s="318"/>
      <c r="AC7467" s="318"/>
      <c r="AD7467" s="318"/>
    </row>
    <row r="7468" spans="2:30" s="323" customFormat="1" ht="12" customHeight="1">
      <c r="B7468" s="324"/>
      <c r="C7468" s="325"/>
      <c r="D7468" s="326"/>
      <c r="E7468" s="326"/>
      <c r="F7468" s="326"/>
      <c r="G7468" s="326"/>
      <c r="H7468" s="326"/>
      <c r="P7468" s="318"/>
      <c r="Q7468" s="318"/>
      <c r="R7468" s="318"/>
      <c r="S7468" s="318"/>
      <c r="T7468" s="318"/>
      <c r="U7468" s="318"/>
      <c r="V7468" s="318"/>
      <c r="W7468" s="318"/>
      <c r="X7468" s="318"/>
      <c r="Y7468" s="318"/>
      <c r="Z7468" s="318"/>
      <c r="AA7468" s="318"/>
      <c r="AB7468" s="318"/>
      <c r="AC7468" s="318"/>
      <c r="AD7468" s="318"/>
    </row>
    <row r="7469" spans="2:30" s="323" customFormat="1" ht="12" customHeight="1">
      <c r="B7469" s="324"/>
      <c r="C7469" s="325"/>
      <c r="D7469" s="326"/>
      <c r="E7469" s="326"/>
      <c r="F7469" s="326"/>
      <c r="G7469" s="326"/>
      <c r="H7469" s="326"/>
      <c r="P7469" s="318"/>
      <c r="Q7469" s="318"/>
      <c r="R7469" s="318"/>
      <c r="S7469" s="318"/>
      <c r="T7469" s="318"/>
      <c r="U7469" s="318"/>
      <c r="V7469" s="318"/>
      <c r="W7469" s="318"/>
      <c r="X7469" s="318"/>
      <c r="Y7469" s="318"/>
      <c r="Z7469" s="318"/>
      <c r="AA7469" s="318"/>
      <c r="AB7469" s="318"/>
      <c r="AC7469" s="318"/>
      <c r="AD7469" s="318"/>
    </row>
    <row r="7470" spans="2:30" s="323" customFormat="1" ht="12" customHeight="1">
      <c r="B7470" s="324"/>
      <c r="C7470" s="325"/>
      <c r="D7470" s="326"/>
      <c r="E7470" s="326"/>
      <c r="F7470" s="326"/>
      <c r="G7470" s="326"/>
      <c r="H7470" s="326"/>
      <c r="P7470" s="318"/>
      <c r="Q7470" s="318"/>
      <c r="R7470" s="318"/>
      <c r="S7470" s="318"/>
      <c r="T7470" s="318"/>
      <c r="U7470" s="318"/>
      <c r="V7470" s="318"/>
      <c r="W7470" s="318"/>
      <c r="X7470" s="318"/>
      <c r="Y7470" s="318"/>
      <c r="Z7470" s="318"/>
      <c r="AA7470" s="318"/>
      <c r="AB7470" s="318"/>
      <c r="AC7470" s="318"/>
      <c r="AD7470" s="318"/>
    </row>
    <row r="7471" spans="2:30" s="323" customFormat="1" ht="12" customHeight="1">
      <c r="B7471" s="324"/>
      <c r="C7471" s="325"/>
      <c r="D7471" s="326"/>
      <c r="E7471" s="326"/>
      <c r="F7471" s="326"/>
      <c r="G7471" s="326"/>
      <c r="H7471" s="326"/>
      <c r="P7471" s="318"/>
      <c r="Q7471" s="318"/>
      <c r="R7471" s="318"/>
      <c r="S7471" s="318"/>
      <c r="T7471" s="318"/>
      <c r="U7471" s="318"/>
      <c r="V7471" s="318"/>
      <c r="W7471" s="318"/>
      <c r="X7471" s="318"/>
      <c r="Y7471" s="318"/>
      <c r="Z7471" s="318"/>
      <c r="AA7471" s="318"/>
      <c r="AB7471" s="318"/>
      <c r="AC7471" s="318"/>
      <c r="AD7471" s="318"/>
    </row>
    <row r="7472" spans="2:30" s="323" customFormat="1" ht="12" customHeight="1">
      <c r="B7472" s="324"/>
      <c r="C7472" s="325"/>
      <c r="D7472" s="326"/>
      <c r="E7472" s="326"/>
      <c r="F7472" s="326"/>
      <c r="G7472" s="326"/>
      <c r="H7472" s="326"/>
      <c r="P7472" s="318"/>
      <c r="Q7472" s="318"/>
      <c r="R7472" s="318"/>
      <c r="S7472" s="318"/>
      <c r="T7472" s="318"/>
      <c r="U7472" s="318"/>
      <c r="V7472" s="318"/>
      <c r="W7472" s="318"/>
      <c r="X7472" s="318"/>
      <c r="Y7472" s="318"/>
      <c r="Z7472" s="318"/>
      <c r="AA7472" s="318"/>
      <c r="AB7472" s="318"/>
      <c r="AC7472" s="318"/>
      <c r="AD7472" s="318"/>
    </row>
    <row r="7473" spans="2:30" s="323" customFormat="1" ht="12" customHeight="1">
      <c r="B7473" s="324"/>
      <c r="C7473" s="325"/>
      <c r="D7473" s="326"/>
      <c r="E7473" s="326"/>
      <c r="F7473" s="326"/>
      <c r="G7473" s="326"/>
      <c r="H7473" s="326"/>
      <c r="P7473" s="318"/>
      <c r="Q7473" s="318"/>
      <c r="R7473" s="318"/>
      <c r="S7473" s="318"/>
      <c r="T7473" s="318"/>
      <c r="U7473" s="318"/>
      <c r="V7473" s="318"/>
      <c r="W7473" s="318"/>
      <c r="X7473" s="318"/>
      <c r="Y7473" s="318"/>
      <c r="Z7473" s="318"/>
      <c r="AA7473" s="318"/>
      <c r="AB7473" s="318"/>
      <c r="AC7473" s="318"/>
      <c r="AD7473" s="318"/>
    </row>
    <row r="7474" spans="2:30" s="323" customFormat="1" ht="12" customHeight="1">
      <c r="B7474" s="324"/>
      <c r="C7474" s="325"/>
      <c r="D7474" s="326"/>
      <c r="E7474" s="326"/>
      <c r="F7474" s="326"/>
      <c r="G7474" s="326"/>
      <c r="H7474" s="326"/>
      <c r="P7474" s="318"/>
      <c r="Q7474" s="318"/>
      <c r="R7474" s="318"/>
      <c r="S7474" s="318"/>
      <c r="T7474" s="318"/>
      <c r="U7474" s="318"/>
      <c r="V7474" s="318"/>
      <c r="W7474" s="318"/>
      <c r="X7474" s="318"/>
      <c r="Y7474" s="318"/>
      <c r="Z7474" s="318"/>
      <c r="AA7474" s="318"/>
      <c r="AB7474" s="318"/>
      <c r="AC7474" s="318"/>
      <c r="AD7474" s="318"/>
    </row>
    <row r="7475" spans="2:30" s="323" customFormat="1" ht="12" customHeight="1">
      <c r="B7475" s="324"/>
      <c r="C7475" s="325"/>
      <c r="D7475" s="326"/>
      <c r="E7475" s="326"/>
      <c r="F7475" s="326"/>
      <c r="G7475" s="326"/>
      <c r="H7475" s="326"/>
      <c r="P7475" s="318"/>
      <c r="Q7475" s="318"/>
      <c r="R7475" s="318"/>
      <c r="S7475" s="318"/>
      <c r="T7475" s="318"/>
      <c r="U7475" s="318"/>
      <c r="V7475" s="318"/>
      <c r="W7475" s="318"/>
      <c r="X7475" s="318"/>
      <c r="Y7475" s="318"/>
      <c r="Z7475" s="318"/>
      <c r="AA7475" s="318"/>
      <c r="AB7475" s="318"/>
      <c r="AC7475" s="318"/>
      <c r="AD7475" s="318"/>
    </row>
    <row r="7476" spans="2:30" s="323" customFormat="1" ht="12" customHeight="1">
      <c r="B7476" s="324"/>
      <c r="C7476" s="325"/>
      <c r="D7476" s="326"/>
      <c r="E7476" s="326"/>
      <c r="F7476" s="326"/>
      <c r="G7476" s="326"/>
      <c r="H7476" s="326"/>
      <c r="P7476" s="318"/>
      <c r="Q7476" s="318"/>
      <c r="R7476" s="318"/>
      <c r="S7476" s="318"/>
      <c r="T7476" s="318"/>
      <c r="U7476" s="318"/>
      <c r="V7476" s="318"/>
      <c r="W7476" s="318"/>
      <c r="X7476" s="318"/>
      <c r="Y7476" s="318"/>
      <c r="Z7476" s="318"/>
      <c r="AA7476" s="318"/>
      <c r="AB7476" s="318"/>
      <c r="AC7476" s="318"/>
      <c r="AD7476" s="318"/>
    </row>
    <row r="7477" spans="2:30" s="323" customFormat="1" ht="12" customHeight="1">
      <c r="B7477" s="324"/>
      <c r="C7477" s="325"/>
      <c r="D7477" s="326"/>
      <c r="E7477" s="326"/>
      <c r="F7477" s="326"/>
      <c r="G7477" s="326"/>
      <c r="H7477" s="326"/>
      <c r="P7477" s="318"/>
      <c r="Q7477" s="318"/>
      <c r="R7477" s="318"/>
      <c r="S7477" s="318"/>
      <c r="T7477" s="318"/>
      <c r="U7477" s="318"/>
      <c r="V7477" s="318"/>
      <c r="W7477" s="318"/>
      <c r="X7477" s="318"/>
      <c r="Y7477" s="318"/>
      <c r="Z7477" s="318"/>
      <c r="AA7477" s="318"/>
      <c r="AB7477" s="318"/>
      <c r="AC7477" s="318"/>
      <c r="AD7477" s="318"/>
    </row>
    <row r="7478" spans="2:30" s="323" customFormat="1" ht="12" customHeight="1">
      <c r="B7478" s="324"/>
      <c r="C7478" s="325"/>
      <c r="D7478" s="326"/>
      <c r="E7478" s="326"/>
      <c r="F7478" s="326"/>
      <c r="G7478" s="326"/>
      <c r="H7478" s="326"/>
      <c r="P7478" s="318"/>
      <c r="Q7478" s="318"/>
      <c r="R7478" s="318"/>
      <c r="S7478" s="318"/>
      <c r="T7478" s="318"/>
      <c r="U7478" s="318"/>
      <c r="V7478" s="318"/>
      <c r="W7478" s="318"/>
      <c r="X7478" s="318"/>
      <c r="Y7478" s="318"/>
      <c r="Z7478" s="318"/>
      <c r="AA7478" s="318"/>
      <c r="AB7478" s="318"/>
      <c r="AC7478" s="318"/>
      <c r="AD7478" s="318"/>
    </row>
    <row r="7479" spans="2:30" s="323" customFormat="1" ht="12" customHeight="1">
      <c r="B7479" s="324"/>
      <c r="C7479" s="325"/>
      <c r="D7479" s="326"/>
      <c r="E7479" s="326"/>
      <c r="F7479" s="326"/>
      <c r="G7479" s="326"/>
      <c r="H7479" s="326"/>
      <c r="P7479" s="318"/>
      <c r="Q7479" s="318"/>
      <c r="R7479" s="318"/>
      <c r="S7479" s="318"/>
      <c r="T7479" s="318"/>
      <c r="U7479" s="318"/>
      <c r="V7479" s="318"/>
      <c r="W7479" s="318"/>
      <c r="X7479" s="318"/>
      <c r="Y7479" s="318"/>
      <c r="Z7479" s="318"/>
      <c r="AA7479" s="318"/>
      <c r="AB7479" s="318"/>
      <c r="AC7479" s="318"/>
      <c r="AD7479" s="318"/>
    </row>
    <row r="7480" spans="2:30" s="323" customFormat="1" ht="12" customHeight="1">
      <c r="B7480" s="324"/>
      <c r="C7480" s="325"/>
      <c r="D7480" s="326"/>
      <c r="E7480" s="326"/>
      <c r="F7480" s="326"/>
      <c r="G7480" s="326"/>
      <c r="H7480" s="326"/>
      <c r="P7480" s="318"/>
      <c r="Q7480" s="318"/>
      <c r="R7480" s="318"/>
      <c r="S7480" s="318"/>
      <c r="T7480" s="318"/>
      <c r="U7480" s="318"/>
      <c r="V7480" s="318"/>
      <c r="W7480" s="318"/>
      <c r="X7480" s="318"/>
      <c r="Y7480" s="318"/>
      <c r="Z7480" s="318"/>
      <c r="AA7480" s="318"/>
      <c r="AB7480" s="318"/>
      <c r="AC7480" s="318"/>
      <c r="AD7480" s="318"/>
    </row>
    <row r="7481" spans="2:30" s="323" customFormat="1" ht="12" customHeight="1">
      <c r="B7481" s="324"/>
      <c r="C7481" s="325"/>
      <c r="D7481" s="326"/>
      <c r="E7481" s="326"/>
      <c r="F7481" s="326"/>
      <c r="G7481" s="326"/>
      <c r="H7481" s="326"/>
      <c r="P7481" s="318"/>
      <c r="Q7481" s="318"/>
      <c r="R7481" s="318"/>
      <c r="S7481" s="318"/>
      <c r="T7481" s="318"/>
      <c r="U7481" s="318"/>
      <c r="V7481" s="318"/>
      <c r="W7481" s="318"/>
      <c r="X7481" s="318"/>
      <c r="Y7481" s="318"/>
      <c r="Z7481" s="318"/>
      <c r="AA7481" s="318"/>
      <c r="AB7481" s="318"/>
      <c r="AC7481" s="318"/>
      <c r="AD7481" s="318"/>
    </row>
    <row r="7482" spans="2:30" s="323" customFormat="1" ht="12" customHeight="1">
      <c r="B7482" s="324"/>
      <c r="C7482" s="325"/>
      <c r="D7482" s="326"/>
      <c r="E7482" s="326"/>
      <c r="F7482" s="326"/>
      <c r="G7482" s="326"/>
      <c r="H7482" s="326"/>
      <c r="P7482" s="318"/>
      <c r="Q7482" s="318"/>
      <c r="R7482" s="318"/>
      <c r="S7482" s="318"/>
      <c r="T7482" s="318"/>
      <c r="U7482" s="318"/>
      <c r="V7482" s="318"/>
      <c r="W7482" s="318"/>
      <c r="X7482" s="318"/>
      <c r="Y7482" s="318"/>
      <c r="Z7482" s="318"/>
      <c r="AA7482" s="318"/>
      <c r="AB7482" s="318"/>
      <c r="AC7482" s="318"/>
      <c r="AD7482" s="318"/>
    </row>
    <row r="7483" spans="2:30" s="323" customFormat="1" ht="12" customHeight="1">
      <c r="B7483" s="324"/>
      <c r="C7483" s="325"/>
      <c r="D7483" s="326"/>
      <c r="E7483" s="326"/>
      <c r="F7483" s="326"/>
      <c r="G7483" s="326"/>
      <c r="H7483" s="326"/>
      <c r="P7483" s="318"/>
      <c r="Q7483" s="318"/>
      <c r="R7483" s="318"/>
      <c r="S7483" s="318"/>
      <c r="T7483" s="318"/>
      <c r="U7483" s="318"/>
      <c r="V7483" s="318"/>
      <c r="W7483" s="318"/>
      <c r="X7483" s="318"/>
      <c r="Y7483" s="318"/>
      <c r="Z7483" s="318"/>
      <c r="AA7483" s="318"/>
      <c r="AB7483" s="318"/>
      <c r="AC7483" s="318"/>
      <c r="AD7483" s="318"/>
    </row>
    <row r="7484" spans="2:30" s="323" customFormat="1" ht="12" customHeight="1">
      <c r="B7484" s="324"/>
      <c r="C7484" s="325"/>
      <c r="D7484" s="326"/>
      <c r="E7484" s="326"/>
      <c r="F7484" s="326"/>
      <c r="G7484" s="326"/>
      <c r="H7484" s="326"/>
      <c r="P7484" s="318"/>
      <c r="Q7484" s="318"/>
      <c r="R7484" s="318"/>
      <c r="S7484" s="318"/>
      <c r="T7484" s="318"/>
      <c r="U7484" s="318"/>
      <c r="V7484" s="318"/>
      <c r="W7484" s="318"/>
      <c r="X7484" s="318"/>
      <c r="Y7484" s="318"/>
      <c r="Z7484" s="318"/>
      <c r="AA7484" s="318"/>
      <c r="AB7484" s="318"/>
      <c r="AC7484" s="318"/>
      <c r="AD7484" s="318"/>
    </row>
    <row r="7485" spans="2:30" s="323" customFormat="1" ht="12" customHeight="1">
      <c r="B7485" s="324"/>
      <c r="C7485" s="325"/>
      <c r="D7485" s="326"/>
      <c r="E7485" s="326"/>
      <c r="F7485" s="326"/>
      <c r="G7485" s="326"/>
      <c r="H7485" s="326"/>
      <c r="P7485" s="318"/>
      <c r="Q7485" s="318"/>
      <c r="R7485" s="318"/>
      <c r="S7485" s="318"/>
      <c r="T7485" s="318"/>
      <c r="U7485" s="318"/>
      <c r="V7485" s="318"/>
      <c r="W7485" s="318"/>
      <c r="X7485" s="318"/>
      <c r="Y7485" s="318"/>
      <c r="Z7485" s="318"/>
      <c r="AA7485" s="318"/>
      <c r="AB7485" s="318"/>
      <c r="AC7485" s="318"/>
      <c r="AD7485" s="318"/>
    </row>
    <row r="7486" spans="2:30" s="323" customFormat="1" ht="12" customHeight="1">
      <c r="B7486" s="324"/>
      <c r="C7486" s="325"/>
      <c r="D7486" s="326"/>
      <c r="E7486" s="326"/>
      <c r="F7486" s="326"/>
      <c r="G7486" s="326"/>
      <c r="H7486" s="326"/>
      <c r="P7486" s="318"/>
      <c r="Q7486" s="318"/>
      <c r="R7486" s="318"/>
      <c r="S7486" s="318"/>
      <c r="T7486" s="318"/>
      <c r="U7486" s="318"/>
      <c r="V7486" s="318"/>
      <c r="W7486" s="318"/>
      <c r="X7486" s="318"/>
      <c r="Y7486" s="318"/>
      <c r="Z7486" s="318"/>
      <c r="AA7486" s="318"/>
      <c r="AB7486" s="318"/>
      <c r="AC7486" s="318"/>
      <c r="AD7486" s="318"/>
    </row>
    <row r="7487" spans="2:30" s="323" customFormat="1" ht="12" customHeight="1">
      <c r="B7487" s="324"/>
      <c r="C7487" s="325"/>
      <c r="D7487" s="326"/>
      <c r="E7487" s="326"/>
      <c r="F7487" s="326"/>
      <c r="G7487" s="326"/>
      <c r="H7487" s="326"/>
      <c r="P7487" s="318"/>
      <c r="Q7487" s="318"/>
      <c r="R7487" s="318"/>
      <c r="S7487" s="318"/>
      <c r="T7487" s="318"/>
      <c r="U7487" s="318"/>
      <c r="V7487" s="318"/>
      <c r="W7487" s="318"/>
      <c r="X7487" s="318"/>
      <c r="Y7487" s="318"/>
      <c r="Z7487" s="318"/>
      <c r="AA7487" s="318"/>
      <c r="AB7487" s="318"/>
      <c r="AC7487" s="318"/>
      <c r="AD7487" s="318"/>
    </row>
    <row r="7488" spans="2:30" s="323" customFormat="1" ht="12" customHeight="1">
      <c r="B7488" s="324"/>
      <c r="C7488" s="325"/>
      <c r="D7488" s="326"/>
      <c r="E7488" s="326"/>
      <c r="F7488" s="326"/>
      <c r="G7488" s="326"/>
      <c r="H7488" s="326"/>
      <c r="P7488" s="318"/>
      <c r="Q7488" s="318"/>
      <c r="R7488" s="318"/>
      <c r="S7488" s="318"/>
      <c r="T7488" s="318"/>
      <c r="U7488" s="318"/>
      <c r="V7488" s="318"/>
      <c r="W7488" s="318"/>
      <c r="X7488" s="318"/>
      <c r="Y7488" s="318"/>
      <c r="Z7488" s="318"/>
      <c r="AA7488" s="318"/>
      <c r="AB7488" s="318"/>
      <c r="AC7488" s="318"/>
      <c r="AD7488" s="318"/>
    </row>
    <row r="7489" spans="2:30" s="323" customFormat="1" ht="12" customHeight="1">
      <c r="B7489" s="324"/>
      <c r="C7489" s="325"/>
      <c r="D7489" s="326"/>
      <c r="E7489" s="326"/>
      <c r="F7489" s="326"/>
      <c r="G7489" s="326"/>
      <c r="H7489" s="326"/>
      <c r="P7489" s="318"/>
      <c r="Q7489" s="318"/>
      <c r="R7489" s="318"/>
      <c r="S7489" s="318"/>
      <c r="T7489" s="318"/>
      <c r="U7489" s="318"/>
      <c r="V7489" s="318"/>
      <c r="W7489" s="318"/>
      <c r="X7489" s="318"/>
      <c r="Y7489" s="318"/>
      <c r="Z7489" s="318"/>
      <c r="AA7489" s="318"/>
      <c r="AB7489" s="318"/>
      <c r="AC7489" s="318"/>
      <c r="AD7489" s="318"/>
    </row>
    <row r="7490" spans="2:30" s="323" customFormat="1" ht="12" customHeight="1">
      <c r="B7490" s="324"/>
      <c r="C7490" s="325"/>
      <c r="D7490" s="326"/>
      <c r="E7490" s="326"/>
      <c r="F7490" s="326"/>
      <c r="G7490" s="326"/>
      <c r="H7490" s="326"/>
      <c r="P7490" s="318"/>
      <c r="Q7490" s="318"/>
      <c r="R7490" s="318"/>
      <c r="S7490" s="318"/>
      <c r="T7490" s="318"/>
      <c r="U7490" s="318"/>
      <c r="V7490" s="318"/>
      <c r="W7490" s="318"/>
      <c r="X7490" s="318"/>
      <c r="Y7490" s="318"/>
      <c r="Z7490" s="318"/>
      <c r="AA7490" s="318"/>
      <c r="AB7490" s="318"/>
      <c r="AC7490" s="318"/>
      <c r="AD7490" s="318"/>
    </row>
    <row r="7491" spans="2:30" s="323" customFormat="1" ht="12" customHeight="1">
      <c r="B7491" s="324"/>
      <c r="C7491" s="325"/>
      <c r="D7491" s="326"/>
      <c r="E7491" s="326"/>
      <c r="F7491" s="326"/>
      <c r="G7491" s="326"/>
      <c r="H7491" s="326"/>
      <c r="P7491" s="318"/>
      <c r="Q7491" s="318"/>
      <c r="R7491" s="318"/>
      <c r="S7491" s="318"/>
      <c r="T7491" s="318"/>
      <c r="U7491" s="318"/>
      <c r="V7491" s="318"/>
      <c r="W7491" s="318"/>
      <c r="X7491" s="318"/>
      <c r="Y7491" s="318"/>
      <c r="Z7491" s="318"/>
      <c r="AA7491" s="318"/>
      <c r="AB7491" s="318"/>
      <c r="AC7491" s="318"/>
      <c r="AD7491" s="318"/>
    </row>
    <row r="7492" spans="2:30" s="323" customFormat="1" ht="12" customHeight="1">
      <c r="B7492" s="324"/>
      <c r="C7492" s="325"/>
      <c r="D7492" s="326"/>
      <c r="E7492" s="326"/>
      <c r="F7492" s="326"/>
      <c r="G7492" s="326"/>
      <c r="H7492" s="326"/>
      <c r="P7492" s="318"/>
      <c r="Q7492" s="318"/>
      <c r="R7492" s="318"/>
      <c r="S7492" s="318"/>
      <c r="T7492" s="318"/>
      <c r="U7492" s="318"/>
      <c r="V7492" s="318"/>
      <c r="W7492" s="318"/>
      <c r="X7492" s="318"/>
      <c r="Y7492" s="318"/>
      <c r="Z7492" s="318"/>
      <c r="AA7492" s="318"/>
      <c r="AB7492" s="318"/>
      <c r="AC7492" s="318"/>
      <c r="AD7492" s="318"/>
    </row>
    <row r="7493" spans="2:30" s="323" customFormat="1" ht="12" customHeight="1">
      <c r="B7493" s="324"/>
      <c r="C7493" s="325"/>
      <c r="D7493" s="326"/>
      <c r="E7493" s="326"/>
      <c r="F7493" s="326"/>
      <c r="G7493" s="326"/>
      <c r="H7493" s="326"/>
      <c r="P7493" s="318"/>
      <c r="Q7493" s="318"/>
      <c r="R7493" s="318"/>
      <c r="S7493" s="318"/>
      <c r="T7493" s="318"/>
      <c r="U7493" s="318"/>
      <c r="V7493" s="318"/>
      <c r="W7493" s="318"/>
      <c r="X7493" s="318"/>
      <c r="Y7493" s="318"/>
      <c r="Z7493" s="318"/>
      <c r="AA7493" s="318"/>
      <c r="AB7493" s="318"/>
      <c r="AC7493" s="318"/>
      <c r="AD7493" s="318"/>
    </row>
    <row r="7494" spans="2:30" s="323" customFormat="1" ht="12" customHeight="1">
      <c r="B7494" s="324"/>
      <c r="C7494" s="325"/>
      <c r="D7494" s="326"/>
      <c r="E7494" s="326"/>
      <c r="F7494" s="326"/>
      <c r="G7494" s="326"/>
      <c r="H7494" s="326"/>
      <c r="P7494" s="318"/>
      <c r="Q7494" s="318"/>
      <c r="R7494" s="318"/>
      <c r="S7494" s="318"/>
      <c r="T7494" s="318"/>
      <c r="U7494" s="318"/>
      <c r="V7494" s="318"/>
      <c r="W7494" s="318"/>
      <c r="X7494" s="318"/>
      <c r="Y7494" s="318"/>
      <c r="Z7494" s="318"/>
      <c r="AA7494" s="318"/>
      <c r="AB7494" s="318"/>
      <c r="AC7494" s="318"/>
      <c r="AD7494" s="318"/>
    </row>
    <row r="7495" spans="2:30" s="323" customFormat="1" ht="12" customHeight="1">
      <c r="B7495" s="324"/>
      <c r="C7495" s="325"/>
      <c r="D7495" s="326"/>
      <c r="E7495" s="326"/>
      <c r="F7495" s="326"/>
      <c r="G7495" s="326"/>
      <c r="H7495" s="326"/>
      <c r="P7495" s="318"/>
      <c r="Q7495" s="318"/>
      <c r="R7495" s="318"/>
      <c r="S7495" s="318"/>
      <c r="T7495" s="318"/>
      <c r="U7495" s="318"/>
      <c r="V7495" s="318"/>
      <c r="W7495" s="318"/>
      <c r="X7495" s="318"/>
      <c r="Y7495" s="318"/>
      <c r="Z7495" s="318"/>
      <c r="AA7495" s="318"/>
      <c r="AB7495" s="318"/>
      <c r="AC7495" s="318"/>
      <c r="AD7495" s="318"/>
    </row>
    <row r="7496" spans="2:30" s="323" customFormat="1" ht="12" customHeight="1">
      <c r="B7496" s="324"/>
      <c r="C7496" s="325"/>
      <c r="D7496" s="326"/>
      <c r="E7496" s="326"/>
      <c r="F7496" s="326"/>
      <c r="G7496" s="326"/>
      <c r="H7496" s="326"/>
      <c r="P7496" s="318"/>
      <c r="Q7496" s="318"/>
      <c r="R7496" s="318"/>
      <c r="S7496" s="318"/>
      <c r="T7496" s="318"/>
      <c r="U7496" s="318"/>
      <c r="V7496" s="318"/>
      <c r="W7496" s="318"/>
      <c r="X7496" s="318"/>
      <c r="Y7496" s="318"/>
      <c r="Z7496" s="318"/>
      <c r="AA7496" s="318"/>
      <c r="AB7496" s="318"/>
      <c r="AC7496" s="318"/>
      <c r="AD7496" s="318"/>
    </row>
    <row r="7497" spans="2:30" s="323" customFormat="1" ht="12" customHeight="1">
      <c r="B7497" s="324"/>
      <c r="C7497" s="325"/>
      <c r="D7497" s="326"/>
      <c r="E7497" s="326"/>
      <c r="F7497" s="326"/>
      <c r="G7497" s="326"/>
      <c r="H7497" s="326"/>
      <c r="P7497" s="318"/>
      <c r="Q7497" s="318"/>
      <c r="R7497" s="318"/>
      <c r="S7497" s="318"/>
      <c r="T7497" s="318"/>
      <c r="U7497" s="318"/>
      <c r="V7497" s="318"/>
      <c r="W7497" s="318"/>
      <c r="X7497" s="318"/>
      <c r="Y7497" s="318"/>
      <c r="Z7497" s="318"/>
      <c r="AA7497" s="318"/>
      <c r="AB7497" s="318"/>
      <c r="AC7497" s="318"/>
      <c r="AD7497" s="318"/>
    </row>
    <row r="7498" spans="2:30" s="323" customFormat="1" ht="12" customHeight="1">
      <c r="B7498" s="324"/>
      <c r="C7498" s="325"/>
      <c r="D7498" s="326"/>
      <c r="E7498" s="326"/>
      <c r="F7498" s="326"/>
      <c r="G7498" s="326"/>
      <c r="H7498" s="326"/>
      <c r="P7498" s="318"/>
      <c r="Q7498" s="318"/>
      <c r="R7498" s="318"/>
      <c r="S7498" s="318"/>
      <c r="T7498" s="318"/>
      <c r="U7498" s="318"/>
      <c r="V7498" s="318"/>
      <c r="W7498" s="318"/>
      <c r="X7498" s="318"/>
      <c r="Y7498" s="318"/>
      <c r="Z7498" s="318"/>
      <c r="AA7498" s="318"/>
      <c r="AB7498" s="318"/>
      <c r="AC7498" s="318"/>
      <c r="AD7498" s="318"/>
    </row>
    <row r="7499" spans="2:30" s="323" customFormat="1" ht="12" customHeight="1">
      <c r="B7499" s="324"/>
      <c r="C7499" s="325"/>
      <c r="D7499" s="326"/>
      <c r="E7499" s="326"/>
      <c r="F7499" s="326"/>
      <c r="G7499" s="326"/>
      <c r="H7499" s="326"/>
      <c r="P7499" s="318"/>
      <c r="Q7499" s="318"/>
      <c r="R7499" s="318"/>
      <c r="S7499" s="318"/>
      <c r="T7499" s="318"/>
      <c r="U7499" s="318"/>
      <c r="V7499" s="318"/>
      <c r="W7499" s="318"/>
      <c r="X7499" s="318"/>
      <c r="Y7499" s="318"/>
      <c r="Z7499" s="318"/>
      <c r="AA7499" s="318"/>
      <c r="AB7499" s="318"/>
      <c r="AC7499" s="318"/>
      <c r="AD7499" s="318"/>
    </row>
    <row r="7500" spans="2:30" s="323" customFormat="1" ht="12" customHeight="1">
      <c r="B7500" s="324"/>
      <c r="C7500" s="325"/>
      <c r="D7500" s="326"/>
      <c r="E7500" s="326"/>
      <c r="F7500" s="326"/>
      <c r="G7500" s="326"/>
      <c r="H7500" s="326"/>
      <c r="P7500" s="318"/>
      <c r="Q7500" s="318"/>
      <c r="R7500" s="318"/>
      <c r="S7500" s="318"/>
      <c r="T7500" s="318"/>
      <c r="U7500" s="318"/>
      <c r="V7500" s="318"/>
      <c r="W7500" s="318"/>
      <c r="X7500" s="318"/>
      <c r="Y7500" s="318"/>
      <c r="Z7500" s="318"/>
      <c r="AA7500" s="318"/>
      <c r="AB7500" s="318"/>
      <c r="AC7500" s="318"/>
      <c r="AD7500" s="318"/>
    </row>
    <row r="7501" spans="2:30" s="323" customFormat="1" ht="12" customHeight="1">
      <c r="B7501" s="324"/>
      <c r="C7501" s="325"/>
      <c r="D7501" s="326"/>
      <c r="E7501" s="326"/>
      <c r="F7501" s="326"/>
      <c r="G7501" s="326"/>
      <c r="H7501" s="326"/>
      <c r="P7501" s="318"/>
      <c r="Q7501" s="318"/>
      <c r="R7501" s="318"/>
      <c r="S7501" s="318"/>
      <c r="T7501" s="318"/>
      <c r="U7501" s="318"/>
      <c r="V7501" s="318"/>
      <c r="W7501" s="318"/>
      <c r="X7501" s="318"/>
      <c r="Y7501" s="318"/>
      <c r="Z7501" s="318"/>
      <c r="AA7501" s="318"/>
      <c r="AB7501" s="318"/>
      <c r="AC7501" s="318"/>
      <c r="AD7501" s="318"/>
    </row>
    <row r="7502" spans="2:30" s="323" customFormat="1" ht="12" customHeight="1">
      <c r="B7502" s="324"/>
      <c r="C7502" s="325"/>
      <c r="D7502" s="326"/>
      <c r="E7502" s="326"/>
      <c r="F7502" s="326"/>
      <c r="G7502" s="326"/>
      <c r="H7502" s="326"/>
      <c r="P7502" s="318"/>
      <c r="Q7502" s="318"/>
      <c r="R7502" s="318"/>
      <c r="S7502" s="318"/>
      <c r="T7502" s="318"/>
      <c r="U7502" s="318"/>
      <c r="V7502" s="318"/>
      <c r="W7502" s="318"/>
      <c r="X7502" s="318"/>
      <c r="Y7502" s="318"/>
      <c r="Z7502" s="318"/>
      <c r="AA7502" s="318"/>
      <c r="AB7502" s="318"/>
      <c r="AC7502" s="318"/>
      <c r="AD7502" s="318"/>
    </row>
    <row r="7503" spans="2:30" s="323" customFormat="1" ht="12" customHeight="1">
      <c r="B7503" s="324"/>
      <c r="C7503" s="325"/>
      <c r="D7503" s="326"/>
      <c r="E7503" s="326"/>
      <c r="F7503" s="326"/>
      <c r="G7503" s="326"/>
      <c r="H7503" s="326"/>
      <c r="P7503" s="318"/>
      <c r="Q7503" s="318"/>
      <c r="R7503" s="318"/>
      <c r="S7503" s="318"/>
      <c r="T7503" s="318"/>
      <c r="U7503" s="318"/>
      <c r="V7503" s="318"/>
      <c r="W7503" s="318"/>
      <c r="X7503" s="318"/>
      <c r="Y7503" s="318"/>
      <c r="Z7503" s="318"/>
      <c r="AA7503" s="318"/>
      <c r="AB7503" s="318"/>
      <c r="AC7503" s="318"/>
      <c r="AD7503" s="318"/>
    </row>
    <row r="7504" spans="2:30" s="323" customFormat="1" ht="12" customHeight="1">
      <c r="B7504" s="324"/>
      <c r="C7504" s="325"/>
      <c r="D7504" s="326"/>
      <c r="E7504" s="326"/>
      <c r="F7504" s="326"/>
      <c r="G7504" s="326"/>
      <c r="H7504" s="326"/>
      <c r="P7504" s="318"/>
      <c r="Q7504" s="318"/>
      <c r="R7504" s="318"/>
      <c r="S7504" s="318"/>
      <c r="T7504" s="318"/>
      <c r="U7504" s="318"/>
      <c r="V7504" s="318"/>
      <c r="W7504" s="318"/>
      <c r="X7504" s="318"/>
      <c r="Y7504" s="318"/>
      <c r="Z7504" s="318"/>
      <c r="AA7504" s="318"/>
      <c r="AB7504" s="318"/>
      <c r="AC7504" s="318"/>
      <c r="AD7504" s="318"/>
    </row>
    <row r="7505" spans="2:30" s="323" customFormat="1" ht="12" customHeight="1">
      <c r="B7505" s="324"/>
      <c r="C7505" s="325"/>
      <c r="D7505" s="326"/>
      <c r="E7505" s="326"/>
      <c r="F7505" s="326"/>
      <c r="G7505" s="326"/>
      <c r="H7505" s="326"/>
      <c r="P7505" s="318"/>
      <c r="Q7505" s="318"/>
      <c r="R7505" s="318"/>
      <c r="S7505" s="318"/>
      <c r="T7505" s="318"/>
      <c r="U7505" s="318"/>
      <c r="V7505" s="318"/>
      <c r="W7505" s="318"/>
      <c r="X7505" s="318"/>
      <c r="Y7505" s="318"/>
      <c r="Z7505" s="318"/>
      <c r="AA7505" s="318"/>
      <c r="AB7505" s="318"/>
      <c r="AC7505" s="318"/>
      <c r="AD7505" s="318"/>
    </row>
    <row r="7506" spans="2:30" s="323" customFormat="1" ht="12" customHeight="1">
      <c r="B7506" s="324"/>
      <c r="C7506" s="325"/>
      <c r="D7506" s="326"/>
      <c r="E7506" s="326"/>
      <c r="F7506" s="326"/>
      <c r="G7506" s="326"/>
      <c r="H7506" s="326"/>
      <c r="P7506" s="318"/>
      <c r="Q7506" s="318"/>
      <c r="R7506" s="318"/>
      <c r="S7506" s="318"/>
      <c r="T7506" s="318"/>
      <c r="U7506" s="318"/>
      <c r="V7506" s="318"/>
      <c r="W7506" s="318"/>
      <c r="X7506" s="318"/>
      <c r="Y7506" s="318"/>
      <c r="Z7506" s="318"/>
      <c r="AA7506" s="318"/>
      <c r="AB7506" s="318"/>
      <c r="AC7506" s="318"/>
      <c r="AD7506" s="318"/>
    </row>
    <row r="7507" spans="2:30" s="323" customFormat="1" ht="12" customHeight="1">
      <c r="B7507" s="324"/>
      <c r="C7507" s="325"/>
      <c r="D7507" s="326"/>
      <c r="E7507" s="326"/>
      <c r="F7507" s="326"/>
      <c r="G7507" s="326"/>
      <c r="H7507" s="326"/>
      <c r="P7507" s="318"/>
      <c r="Q7507" s="318"/>
      <c r="R7507" s="318"/>
      <c r="S7507" s="318"/>
      <c r="T7507" s="318"/>
      <c r="U7507" s="318"/>
      <c r="V7507" s="318"/>
      <c r="W7507" s="318"/>
      <c r="X7507" s="318"/>
      <c r="Y7507" s="318"/>
      <c r="Z7507" s="318"/>
      <c r="AA7507" s="318"/>
      <c r="AB7507" s="318"/>
      <c r="AC7507" s="318"/>
      <c r="AD7507" s="318"/>
    </row>
    <row r="7508" spans="2:30" s="323" customFormat="1" ht="12" customHeight="1">
      <c r="B7508" s="324"/>
      <c r="C7508" s="325"/>
      <c r="D7508" s="326"/>
      <c r="E7508" s="326"/>
      <c r="F7508" s="326"/>
      <c r="G7508" s="326"/>
      <c r="H7508" s="326"/>
      <c r="P7508" s="318"/>
      <c r="Q7508" s="318"/>
      <c r="R7508" s="318"/>
      <c r="S7508" s="318"/>
      <c r="T7508" s="318"/>
      <c r="U7508" s="318"/>
      <c r="V7508" s="318"/>
      <c r="W7508" s="318"/>
      <c r="X7508" s="318"/>
      <c r="Y7508" s="318"/>
      <c r="Z7508" s="318"/>
      <c r="AA7508" s="318"/>
      <c r="AB7508" s="318"/>
      <c r="AC7508" s="318"/>
      <c r="AD7508" s="318"/>
    </row>
    <row r="7509" spans="2:30" s="323" customFormat="1" ht="12" customHeight="1">
      <c r="B7509" s="324"/>
      <c r="C7509" s="325"/>
      <c r="D7509" s="326"/>
      <c r="E7509" s="326"/>
      <c r="F7509" s="326"/>
      <c r="G7509" s="326"/>
      <c r="H7509" s="326"/>
      <c r="P7509" s="318"/>
      <c r="Q7509" s="318"/>
      <c r="R7509" s="318"/>
      <c r="S7509" s="318"/>
      <c r="T7509" s="318"/>
      <c r="U7509" s="318"/>
      <c r="V7509" s="318"/>
      <c r="W7509" s="318"/>
      <c r="X7509" s="318"/>
      <c r="Y7509" s="318"/>
      <c r="Z7509" s="318"/>
      <c r="AA7509" s="318"/>
      <c r="AB7509" s="318"/>
      <c r="AC7509" s="318"/>
      <c r="AD7509" s="318"/>
    </row>
    <row r="7510" spans="2:30" s="323" customFormat="1" ht="12" customHeight="1">
      <c r="B7510" s="324"/>
      <c r="C7510" s="325"/>
      <c r="D7510" s="326"/>
      <c r="E7510" s="326"/>
      <c r="F7510" s="326"/>
      <c r="G7510" s="326"/>
      <c r="H7510" s="326"/>
      <c r="P7510" s="318"/>
      <c r="Q7510" s="318"/>
      <c r="R7510" s="318"/>
      <c r="S7510" s="318"/>
      <c r="T7510" s="318"/>
      <c r="U7510" s="318"/>
      <c r="V7510" s="318"/>
      <c r="W7510" s="318"/>
      <c r="X7510" s="318"/>
      <c r="Y7510" s="318"/>
      <c r="Z7510" s="318"/>
      <c r="AA7510" s="318"/>
      <c r="AB7510" s="318"/>
      <c r="AC7510" s="318"/>
      <c r="AD7510" s="318"/>
    </row>
    <row r="7511" spans="2:30" s="323" customFormat="1" ht="12" customHeight="1">
      <c r="B7511" s="324"/>
      <c r="C7511" s="325"/>
      <c r="D7511" s="326"/>
      <c r="E7511" s="326"/>
      <c r="F7511" s="326"/>
      <c r="G7511" s="326"/>
      <c r="H7511" s="326"/>
      <c r="P7511" s="318"/>
      <c r="Q7511" s="318"/>
      <c r="R7511" s="318"/>
      <c r="S7511" s="318"/>
      <c r="T7511" s="318"/>
      <c r="U7511" s="318"/>
      <c r="V7511" s="318"/>
      <c r="W7511" s="318"/>
      <c r="X7511" s="318"/>
      <c r="Y7511" s="318"/>
      <c r="Z7511" s="318"/>
      <c r="AA7511" s="318"/>
      <c r="AB7511" s="318"/>
      <c r="AC7511" s="318"/>
      <c r="AD7511" s="318"/>
    </row>
    <row r="7512" spans="2:30" s="323" customFormat="1" ht="12" customHeight="1">
      <c r="B7512" s="324"/>
      <c r="C7512" s="325"/>
      <c r="D7512" s="326"/>
      <c r="E7512" s="326"/>
      <c r="F7512" s="326"/>
      <c r="G7512" s="326"/>
      <c r="H7512" s="326"/>
      <c r="P7512" s="318"/>
      <c r="Q7512" s="318"/>
      <c r="R7512" s="318"/>
      <c r="S7512" s="318"/>
      <c r="T7512" s="318"/>
      <c r="U7512" s="318"/>
      <c r="V7512" s="318"/>
      <c r="W7512" s="318"/>
      <c r="X7512" s="318"/>
      <c r="Y7512" s="318"/>
      <c r="Z7512" s="318"/>
      <c r="AA7512" s="318"/>
      <c r="AB7512" s="318"/>
      <c r="AC7512" s="318"/>
      <c r="AD7512" s="318"/>
    </row>
    <row r="7513" spans="2:30" s="323" customFormat="1" ht="12" customHeight="1">
      <c r="B7513" s="324"/>
      <c r="C7513" s="325"/>
      <c r="D7513" s="326"/>
      <c r="E7513" s="326"/>
      <c r="F7513" s="326"/>
      <c r="G7513" s="326"/>
      <c r="H7513" s="326"/>
      <c r="P7513" s="318"/>
      <c r="Q7513" s="318"/>
      <c r="R7513" s="318"/>
      <c r="S7513" s="318"/>
      <c r="T7513" s="318"/>
      <c r="U7513" s="318"/>
      <c r="V7513" s="318"/>
      <c r="W7513" s="318"/>
      <c r="X7513" s="318"/>
      <c r="Y7513" s="318"/>
      <c r="Z7513" s="318"/>
      <c r="AA7513" s="318"/>
      <c r="AB7513" s="318"/>
      <c r="AC7513" s="318"/>
      <c r="AD7513" s="318"/>
    </row>
    <row r="7514" spans="2:30" s="323" customFormat="1" ht="12" customHeight="1">
      <c r="B7514" s="324"/>
      <c r="C7514" s="325"/>
      <c r="D7514" s="326"/>
      <c r="E7514" s="326"/>
      <c r="F7514" s="326"/>
      <c r="G7514" s="326"/>
      <c r="H7514" s="326"/>
      <c r="P7514" s="318"/>
      <c r="Q7514" s="318"/>
      <c r="R7514" s="318"/>
      <c r="S7514" s="318"/>
      <c r="T7514" s="318"/>
      <c r="U7514" s="318"/>
      <c r="V7514" s="318"/>
      <c r="W7514" s="318"/>
      <c r="X7514" s="318"/>
      <c r="Y7514" s="318"/>
      <c r="Z7514" s="318"/>
      <c r="AA7514" s="318"/>
      <c r="AB7514" s="318"/>
      <c r="AC7514" s="318"/>
      <c r="AD7514" s="318"/>
    </row>
    <row r="7515" spans="2:30" s="323" customFormat="1" ht="12" customHeight="1">
      <c r="B7515" s="324"/>
      <c r="C7515" s="325"/>
      <c r="D7515" s="326"/>
      <c r="E7515" s="326"/>
      <c r="F7515" s="326"/>
      <c r="G7515" s="326"/>
      <c r="H7515" s="326"/>
      <c r="P7515" s="318"/>
      <c r="Q7515" s="318"/>
      <c r="R7515" s="318"/>
      <c r="S7515" s="318"/>
      <c r="T7515" s="318"/>
      <c r="U7515" s="318"/>
      <c r="V7515" s="318"/>
      <c r="W7515" s="318"/>
      <c r="X7515" s="318"/>
      <c r="Y7515" s="318"/>
      <c r="Z7515" s="318"/>
      <c r="AA7515" s="318"/>
      <c r="AB7515" s="318"/>
      <c r="AC7515" s="318"/>
      <c r="AD7515" s="318"/>
    </row>
    <row r="7516" spans="2:30" s="323" customFormat="1" ht="12" customHeight="1">
      <c r="B7516" s="324"/>
      <c r="C7516" s="325"/>
      <c r="D7516" s="326"/>
      <c r="E7516" s="326"/>
      <c r="F7516" s="326"/>
      <c r="G7516" s="326"/>
      <c r="H7516" s="326"/>
      <c r="P7516" s="318"/>
      <c r="Q7516" s="318"/>
      <c r="R7516" s="318"/>
      <c r="S7516" s="318"/>
      <c r="T7516" s="318"/>
      <c r="U7516" s="318"/>
      <c r="V7516" s="318"/>
      <c r="W7516" s="318"/>
      <c r="X7516" s="318"/>
      <c r="Y7516" s="318"/>
      <c r="Z7516" s="318"/>
      <c r="AA7516" s="318"/>
      <c r="AB7516" s="318"/>
      <c r="AC7516" s="318"/>
      <c r="AD7516" s="318"/>
    </row>
    <row r="7517" spans="2:30" s="323" customFormat="1" ht="12" customHeight="1">
      <c r="B7517" s="324"/>
      <c r="C7517" s="325"/>
      <c r="D7517" s="326"/>
      <c r="E7517" s="326"/>
      <c r="F7517" s="326"/>
      <c r="G7517" s="326"/>
      <c r="H7517" s="326"/>
      <c r="P7517" s="318"/>
      <c r="Q7517" s="318"/>
      <c r="R7517" s="318"/>
      <c r="S7517" s="318"/>
      <c r="T7517" s="318"/>
      <c r="U7517" s="318"/>
      <c r="V7517" s="318"/>
      <c r="W7517" s="318"/>
      <c r="X7517" s="318"/>
      <c r="Y7517" s="318"/>
      <c r="Z7517" s="318"/>
      <c r="AA7517" s="318"/>
      <c r="AB7517" s="318"/>
      <c r="AC7517" s="318"/>
      <c r="AD7517" s="318"/>
    </row>
    <row r="7518" spans="2:30" s="323" customFormat="1" ht="12" customHeight="1">
      <c r="B7518" s="324"/>
      <c r="C7518" s="325"/>
      <c r="D7518" s="326"/>
      <c r="E7518" s="326"/>
      <c r="F7518" s="326"/>
      <c r="G7518" s="326"/>
      <c r="H7518" s="326"/>
      <c r="P7518" s="318"/>
      <c r="Q7518" s="318"/>
      <c r="R7518" s="318"/>
      <c r="S7518" s="318"/>
      <c r="T7518" s="318"/>
      <c r="U7518" s="318"/>
      <c r="V7518" s="318"/>
      <c r="W7518" s="318"/>
      <c r="X7518" s="318"/>
      <c r="Y7518" s="318"/>
      <c r="Z7518" s="318"/>
      <c r="AA7518" s="318"/>
      <c r="AB7518" s="318"/>
      <c r="AC7518" s="318"/>
      <c r="AD7518" s="318"/>
    </row>
    <row r="7519" spans="2:30" s="323" customFormat="1" ht="12" customHeight="1">
      <c r="B7519" s="324"/>
      <c r="C7519" s="325"/>
      <c r="D7519" s="326"/>
      <c r="E7519" s="326"/>
      <c r="F7519" s="326"/>
      <c r="G7519" s="326"/>
      <c r="H7519" s="326"/>
      <c r="P7519" s="318"/>
      <c r="Q7519" s="318"/>
      <c r="R7519" s="318"/>
      <c r="S7519" s="318"/>
      <c r="T7519" s="318"/>
      <c r="U7519" s="318"/>
      <c r="V7519" s="318"/>
      <c r="W7519" s="318"/>
      <c r="X7519" s="318"/>
      <c r="Y7519" s="318"/>
      <c r="Z7519" s="318"/>
      <c r="AA7519" s="318"/>
      <c r="AB7519" s="318"/>
      <c r="AC7519" s="318"/>
      <c r="AD7519" s="318"/>
    </row>
    <row r="7520" spans="2:30" s="323" customFormat="1" ht="12" customHeight="1">
      <c r="B7520" s="324"/>
      <c r="C7520" s="325"/>
      <c r="D7520" s="326"/>
      <c r="E7520" s="326"/>
      <c r="F7520" s="326"/>
      <c r="G7520" s="326"/>
      <c r="H7520" s="326"/>
      <c r="P7520" s="318"/>
      <c r="Q7520" s="318"/>
      <c r="R7520" s="318"/>
      <c r="S7520" s="318"/>
      <c r="T7520" s="318"/>
      <c r="U7520" s="318"/>
      <c r="V7520" s="318"/>
      <c r="W7520" s="318"/>
      <c r="X7520" s="318"/>
      <c r="Y7520" s="318"/>
      <c r="Z7520" s="318"/>
      <c r="AA7520" s="318"/>
      <c r="AB7520" s="318"/>
      <c r="AC7520" s="318"/>
      <c r="AD7520" s="318"/>
    </row>
    <row r="7521" spans="2:30" s="323" customFormat="1" ht="12" customHeight="1">
      <c r="B7521" s="324"/>
      <c r="C7521" s="325"/>
      <c r="D7521" s="326"/>
      <c r="E7521" s="326"/>
      <c r="F7521" s="326"/>
      <c r="G7521" s="326"/>
      <c r="H7521" s="326"/>
      <c r="P7521" s="318"/>
      <c r="Q7521" s="318"/>
      <c r="R7521" s="318"/>
      <c r="S7521" s="318"/>
      <c r="T7521" s="318"/>
      <c r="U7521" s="318"/>
      <c r="V7521" s="318"/>
      <c r="W7521" s="318"/>
      <c r="X7521" s="318"/>
      <c r="Y7521" s="318"/>
      <c r="Z7521" s="318"/>
      <c r="AA7521" s="318"/>
      <c r="AB7521" s="318"/>
      <c r="AC7521" s="318"/>
      <c r="AD7521" s="318"/>
    </row>
    <row r="7522" spans="2:30" s="323" customFormat="1" ht="12" customHeight="1">
      <c r="B7522" s="324"/>
      <c r="C7522" s="325"/>
      <c r="D7522" s="326"/>
      <c r="E7522" s="326"/>
      <c r="F7522" s="326"/>
      <c r="G7522" s="326"/>
      <c r="H7522" s="326"/>
      <c r="P7522" s="318"/>
      <c r="Q7522" s="318"/>
      <c r="R7522" s="318"/>
      <c r="S7522" s="318"/>
      <c r="T7522" s="318"/>
      <c r="U7522" s="318"/>
      <c r="V7522" s="318"/>
      <c r="W7522" s="318"/>
      <c r="X7522" s="318"/>
      <c r="Y7522" s="318"/>
      <c r="Z7522" s="318"/>
      <c r="AA7522" s="318"/>
      <c r="AB7522" s="318"/>
      <c r="AC7522" s="318"/>
      <c r="AD7522" s="318"/>
    </row>
    <row r="7523" spans="2:30" s="323" customFormat="1" ht="12" customHeight="1">
      <c r="B7523" s="324"/>
      <c r="C7523" s="325"/>
      <c r="D7523" s="326"/>
      <c r="E7523" s="326"/>
      <c r="F7523" s="326"/>
      <c r="G7523" s="326"/>
      <c r="H7523" s="326"/>
      <c r="P7523" s="318"/>
      <c r="Q7523" s="318"/>
      <c r="R7523" s="318"/>
      <c r="S7523" s="318"/>
      <c r="T7523" s="318"/>
      <c r="U7523" s="318"/>
      <c r="V7523" s="318"/>
      <c r="W7523" s="318"/>
      <c r="X7523" s="318"/>
      <c r="Y7523" s="318"/>
      <c r="Z7523" s="318"/>
      <c r="AA7523" s="318"/>
      <c r="AB7523" s="318"/>
      <c r="AC7523" s="318"/>
      <c r="AD7523" s="318"/>
    </row>
    <row r="7524" spans="2:30" s="323" customFormat="1" ht="12" customHeight="1">
      <c r="B7524" s="324"/>
      <c r="C7524" s="325"/>
      <c r="D7524" s="326"/>
      <c r="E7524" s="326"/>
      <c r="F7524" s="326"/>
      <c r="G7524" s="326"/>
      <c r="H7524" s="326"/>
      <c r="P7524" s="318"/>
      <c r="Q7524" s="318"/>
      <c r="R7524" s="318"/>
      <c r="S7524" s="318"/>
      <c r="T7524" s="318"/>
      <c r="U7524" s="318"/>
      <c r="V7524" s="318"/>
      <c r="W7524" s="318"/>
      <c r="X7524" s="318"/>
      <c r="Y7524" s="318"/>
      <c r="Z7524" s="318"/>
      <c r="AA7524" s="318"/>
      <c r="AB7524" s="318"/>
      <c r="AC7524" s="318"/>
      <c r="AD7524" s="318"/>
    </row>
    <row r="7525" spans="2:30" s="323" customFormat="1" ht="12" customHeight="1">
      <c r="B7525" s="324"/>
      <c r="C7525" s="325"/>
      <c r="D7525" s="326"/>
      <c r="E7525" s="326"/>
      <c r="F7525" s="326"/>
      <c r="G7525" s="326"/>
      <c r="H7525" s="326"/>
      <c r="P7525" s="318"/>
      <c r="Q7525" s="318"/>
      <c r="R7525" s="318"/>
      <c r="S7525" s="318"/>
      <c r="T7525" s="318"/>
      <c r="U7525" s="318"/>
      <c r="V7525" s="318"/>
      <c r="W7525" s="318"/>
      <c r="X7525" s="318"/>
      <c r="Y7525" s="318"/>
      <c r="Z7525" s="318"/>
      <c r="AA7525" s="318"/>
      <c r="AB7525" s="318"/>
      <c r="AC7525" s="318"/>
      <c r="AD7525" s="318"/>
    </row>
    <row r="7526" spans="2:30" s="323" customFormat="1" ht="12" customHeight="1">
      <c r="B7526" s="324"/>
      <c r="C7526" s="325"/>
      <c r="D7526" s="326"/>
      <c r="E7526" s="326"/>
      <c r="F7526" s="326"/>
      <c r="G7526" s="326"/>
      <c r="H7526" s="326"/>
      <c r="P7526" s="318"/>
      <c r="Q7526" s="318"/>
      <c r="R7526" s="318"/>
      <c r="S7526" s="318"/>
      <c r="T7526" s="318"/>
      <c r="U7526" s="318"/>
      <c r="V7526" s="318"/>
      <c r="W7526" s="318"/>
      <c r="X7526" s="318"/>
      <c r="Y7526" s="318"/>
      <c r="Z7526" s="318"/>
      <c r="AA7526" s="318"/>
      <c r="AB7526" s="318"/>
      <c r="AC7526" s="318"/>
      <c r="AD7526" s="318"/>
    </row>
    <row r="7527" spans="2:30" s="323" customFormat="1" ht="12" customHeight="1">
      <c r="B7527" s="324"/>
      <c r="C7527" s="325"/>
      <c r="D7527" s="326"/>
      <c r="E7527" s="326"/>
      <c r="F7527" s="326"/>
      <c r="G7527" s="326"/>
      <c r="H7527" s="326"/>
      <c r="P7527" s="318"/>
      <c r="Q7527" s="318"/>
      <c r="R7527" s="318"/>
      <c r="S7527" s="318"/>
      <c r="T7527" s="318"/>
      <c r="U7527" s="318"/>
      <c r="V7527" s="318"/>
      <c r="W7527" s="318"/>
      <c r="X7527" s="318"/>
      <c r="Y7527" s="318"/>
      <c r="Z7527" s="318"/>
      <c r="AA7527" s="318"/>
      <c r="AB7527" s="318"/>
      <c r="AC7527" s="318"/>
      <c r="AD7527" s="318"/>
    </row>
    <row r="7528" spans="2:30" s="323" customFormat="1" ht="12" customHeight="1">
      <c r="B7528" s="324"/>
      <c r="C7528" s="325"/>
      <c r="D7528" s="326"/>
      <c r="E7528" s="326"/>
      <c r="F7528" s="326"/>
      <c r="G7528" s="326"/>
      <c r="H7528" s="326"/>
      <c r="P7528" s="318"/>
      <c r="Q7528" s="318"/>
      <c r="R7528" s="318"/>
      <c r="S7528" s="318"/>
      <c r="T7528" s="318"/>
      <c r="U7528" s="318"/>
      <c r="V7528" s="318"/>
      <c r="W7528" s="318"/>
      <c r="X7528" s="318"/>
      <c r="Y7528" s="318"/>
      <c r="Z7528" s="318"/>
      <c r="AA7528" s="318"/>
      <c r="AB7528" s="318"/>
      <c r="AC7528" s="318"/>
      <c r="AD7528" s="318"/>
    </row>
    <row r="7529" spans="2:30" s="323" customFormat="1" ht="12" customHeight="1">
      <c r="B7529" s="324"/>
      <c r="C7529" s="325"/>
      <c r="D7529" s="326"/>
      <c r="E7529" s="326"/>
      <c r="F7529" s="326"/>
      <c r="G7529" s="326"/>
      <c r="H7529" s="326"/>
      <c r="P7529" s="318"/>
      <c r="Q7529" s="318"/>
      <c r="R7529" s="318"/>
      <c r="S7529" s="318"/>
      <c r="T7529" s="318"/>
      <c r="U7529" s="318"/>
      <c r="V7529" s="318"/>
      <c r="W7529" s="318"/>
      <c r="X7529" s="318"/>
      <c r="Y7529" s="318"/>
      <c r="Z7529" s="318"/>
      <c r="AA7529" s="318"/>
      <c r="AB7529" s="318"/>
      <c r="AC7529" s="318"/>
      <c r="AD7529" s="318"/>
    </row>
    <row r="7530" spans="2:30" s="323" customFormat="1" ht="12" customHeight="1">
      <c r="B7530" s="324"/>
      <c r="C7530" s="325"/>
      <c r="D7530" s="326"/>
      <c r="E7530" s="326"/>
      <c r="F7530" s="326"/>
      <c r="G7530" s="326"/>
      <c r="H7530" s="326"/>
      <c r="P7530" s="318"/>
      <c r="Q7530" s="318"/>
      <c r="R7530" s="318"/>
      <c r="S7530" s="318"/>
      <c r="T7530" s="318"/>
      <c r="U7530" s="318"/>
      <c r="V7530" s="318"/>
      <c r="W7530" s="318"/>
      <c r="X7530" s="318"/>
      <c r="Y7530" s="318"/>
      <c r="Z7530" s="318"/>
      <c r="AA7530" s="318"/>
      <c r="AB7530" s="318"/>
      <c r="AC7530" s="318"/>
      <c r="AD7530" s="318"/>
    </row>
    <row r="7531" spans="2:30" s="323" customFormat="1" ht="12" customHeight="1">
      <c r="B7531" s="324"/>
      <c r="C7531" s="325"/>
      <c r="D7531" s="326"/>
      <c r="E7531" s="326"/>
      <c r="F7531" s="326"/>
      <c r="G7531" s="326"/>
      <c r="H7531" s="326"/>
      <c r="P7531" s="318"/>
      <c r="Q7531" s="318"/>
      <c r="R7531" s="318"/>
      <c r="S7531" s="318"/>
      <c r="T7531" s="318"/>
      <c r="U7531" s="318"/>
      <c r="V7531" s="318"/>
      <c r="W7531" s="318"/>
      <c r="X7531" s="318"/>
      <c r="Y7531" s="318"/>
      <c r="Z7531" s="318"/>
      <c r="AA7531" s="318"/>
      <c r="AB7531" s="318"/>
      <c r="AC7531" s="318"/>
      <c r="AD7531" s="318"/>
    </row>
    <row r="7532" spans="2:30" s="323" customFormat="1" ht="12" customHeight="1">
      <c r="B7532" s="324"/>
      <c r="C7532" s="325"/>
      <c r="D7532" s="326"/>
      <c r="E7532" s="326"/>
      <c r="F7532" s="326"/>
      <c r="G7532" s="326"/>
      <c r="H7532" s="326"/>
      <c r="P7532" s="318"/>
      <c r="Q7532" s="318"/>
      <c r="R7532" s="318"/>
      <c r="S7532" s="318"/>
      <c r="T7532" s="318"/>
      <c r="U7532" s="318"/>
      <c r="V7532" s="318"/>
      <c r="W7532" s="318"/>
      <c r="X7532" s="318"/>
      <c r="Y7532" s="318"/>
      <c r="Z7532" s="318"/>
      <c r="AA7532" s="318"/>
      <c r="AB7532" s="318"/>
      <c r="AC7532" s="318"/>
      <c r="AD7532" s="318"/>
    </row>
    <row r="7533" spans="2:30" s="323" customFormat="1" ht="12" customHeight="1">
      <c r="B7533" s="324"/>
      <c r="C7533" s="325"/>
      <c r="D7533" s="326"/>
      <c r="E7533" s="326"/>
      <c r="F7533" s="326"/>
      <c r="G7533" s="326"/>
      <c r="H7533" s="326"/>
      <c r="P7533" s="318"/>
      <c r="Q7533" s="318"/>
      <c r="R7533" s="318"/>
      <c r="S7533" s="318"/>
      <c r="T7533" s="318"/>
      <c r="U7533" s="318"/>
      <c r="V7533" s="318"/>
      <c r="W7533" s="318"/>
      <c r="X7533" s="318"/>
      <c r="Y7533" s="318"/>
      <c r="Z7533" s="318"/>
      <c r="AA7533" s="318"/>
      <c r="AB7533" s="318"/>
      <c r="AC7533" s="318"/>
      <c r="AD7533" s="318"/>
    </row>
    <row r="7534" spans="2:30" s="323" customFormat="1" ht="12" customHeight="1">
      <c r="B7534" s="324"/>
      <c r="C7534" s="325"/>
      <c r="D7534" s="326"/>
      <c r="E7534" s="326"/>
      <c r="F7534" s="326"/>
      <c r="G7534" s="326"/>
      <c r="H7534" s="326"/>
      <c r="P7534" s="318"/>
      <c r="Q7534" s="318"/>
      <c r="R7534" s="318"/>
      <c r="S7534" s="318"/>
      <c r="T7534" s="318"/>
      <c r="U7534" s="318"/>
      <c r="V7534" s="318"/>
      <c r="W7534" s="318"/>
      <c r="X7534" s="318"/>
      <c r="Y7534" s="318"/>
      <c r="Z7534" s="318"/>
      <c r="AA7534" s="318"/>
      <c r="AB7534" s="318"/>
      <c r="AC7534" s="318"/>
      <c r="AD7534" s="318"/>
    </row>
    <row r="7535" spans="2:30" s="323" customFormat="1" ht="12" customHeight="1">
      <c r="B7535" s="324"/>
      <c r="C7535" s="325"/>
      <c r="D7535" s="326"/>
      <c r="E7535" s="326"/>
      <c r="F7535" s="326"/>
      <c r="G7535" s="326"/>
      <c r="H7535" s="326"/>
      <c r="P7535" s="318"/>
      <c r="Q7535" s="318"/>
      <c r="R7535" s="318"/>
      <c r="S7535" s="318"/>
      <c r="T7535" s="318"/>
      <c r="U7535" s="318"/>
      <c r="V7535" s="318"/>
      <c r="W7535" s="318"/>
      <c r="X7535" s="318"/>
      <c r="Y7535" s="318"/>
      <c r="Z7535" s="318"/>
      <c r="AA7535" s="318"/>
      <c r="AB7535" s="318"/>
      <c r="AC7535" s="318"/>
      <c r="AD7535" s="318"/>
    </row>
    <row r="7536" spans="2:30" s="323" customFormat="1" ht="12" customHeight="1">
      <c r="B7536" s="324"/>
      <c r="C7536" s="325"/>
      <c r="D7536" s="326"/>
      <c r="E7536" s="326"/>
      <c r="F7536" s="326"/>
      <c r="G7536" s="326"/>
      <c r="H7536" s="326"/>
      <c r="P7536" s="318"/>
      <c r="Q7536" s="318"/>
      <c r="R7536" s="318"/>
      <c r="S7536" s="318"/>
      <c r="T7536" s="318"/>
      <c r="U7536" s="318"/>
      <c r="V7536" s="318"/>
      <c r="W7536" s="318"/>
      <c r="X7536" s="318"/>
      <c r="Y7536" s="318"/>
      <c r="Z7536" s="318"/>
      <c r="AA7536" s="318"/>
      <c r="AB7536" s="318"/>
      <c r="AC7536" s="318"/>
      <c r="AD7536" s="318"/>
    </row>
    <row r="7537" spans="2:30" s="323" customFormat="1" ht="12" customHeight="1">
      <c r="B7537" s="324"/>
      <c r="C7537" s="325"/>
      <c r="D7537" s="326"/>
      <c r="E7537" s="326"/>
      <c r="F7537" s="326"/>
      <c r="G7537" s="326"/>
      <c r="H7537" s="326"/>
      <c r="P7537" s="318"/>
      <c r="Q7537" s="318"/>
      <c r="R7537" s="318"/>
      <c r="S7537" s="318"/>
      <c r="T7537" s="318"/>
      <c r="U7537" s="318"/>
      <c r="V7537" s="318"/>
      <c r="W7537" s="318"/>
      <c r="X7537" s="318"/>
      <c r="Y7537" s="318"/>
      <c r="Z7537" s="318"/>
      <c r="AA7537" s="318"/>
      <c r="AB7537" s="318"/>
      <c r="AC7537" s="318"/>
      <c r="AD7537" s="318"/>
    </row>
    <row r="7538" spans="2:30" s="323" customFormat="1" ht="12" customHeight="1">
      <c r="B7538" s="324"/>
      <c r="C7538" s="325"/>
      <c r="D7538" s="326"/>
      <c r="E7538" s="326"/>
      <c r="F7538" s="326"/>
      <c r="G7538" s="326"/>
      <c r="H7538" s="326"/>
      <c r="P7538" s="318"/>
      <c r="Q7538" s="318"/>
      <c r="R7538" s="318"/>
      <c r="S7538" s="318"/>
      <c r="T7538" s="318"/>
      <c r="U7538" s="318"/>
      <c r="V7538" s="318"/>
      <c r="W7538" s="318"/>
      <c r="X7538" s="318"/>
      <c r="Y7538" s="318"/>
      <c r="Z7538" s="318"/>
      <c r="AA7538" s="318"/>
      <c r="AB7538" s="318"/>
      <c r="AC7538" s="318"/>
      <c r="AD7538" s="318"/>
    </row>
    <row r="7539" spans="2:30" s="323" customFormat="1" ht="12" customHeight="1">
      <c r="B7539" s="324"/>
      <c r="C7539" s="325"/>
      <c r="D7539" s="326"/>
      <c r="E7539" s="326"/>
      <c r="F7539" s="326"/>
      <c r="G7539" s="326"/>
      <c r="H7539" s="326"/>
      <c r="P7539" s="318"/>
      <c r="Q7539" s="318"/>
      <c r="R7539" s="318"/>
      <c r="S7539" s="318"/>
      <c r="T7539" s="318"/>
      <c r="U7539" s="318"/>
      <c r="V7539" s="318"/>
      <c r="W7539" s="318"/>
      <c r="X7539" s="318"/>
      <c r="Y7539" s="318"/>
      <c r="Z7539" s="318"/>
      <c r="AA7539" s="318"/>
      <c r="AB7539" s="318"/>
      <c r="AC7539" s="318"/>
      <c r="AD7539" s="318"/>
    </row>
    <row r="7540" spans="2:30" s="323" customFormat="1" ht="12" customHeight="1">
      <c r="B7540" s="324"/>
      <c r="C7540" s="325"/>
      <c r="D7540" s="326"/>
      <c r="E7540" s="326"/>
      <c r="F7540" s="326"/>
      <c r="G7540" s="326"/>
      <c r="H7540" s="326"/>
      <c r="P7540" s="318"/>
      <c r="Q7540" s="318"/>
      <c r="R7540" s="318"/>
      <c r="S7540" s="318"/>
      <c r="T7540" s="318"/>
      <c r="U7540" s="318"/>
      <c r="V7540" s="318"/>
      <c r="W7540" s="318"/>
      <c r="X7540" s="318"/>
      <c r="Y7540" s="318"/>
      <c r="Z7540" s="318"/>
      <c r="AA7540" s="318"/>
      <c r="AB7540" s="318"/>
      <c r="AC7540" s="318"/>
      <c r="AD7540" s="318"/>
    </row>
    <row r="7541" spans="2:30" s="323" customFormat="1" ht="12" customHeight="1">
      <c r="B7541" s="324"/>
      <c r="C7541" s="325"/>
      <c r="D7541" s="326"/>
      <c r="E7541" s="326"/>
      <c r="F7541" s="326"/>
      <c r="G7541" s="326"/>
      <c r="H7541" s="326"/>
      <c r="P7541" s="318"/>
      <c r="Q7541" s="318"/>
      <c r="R7541" s="318"/>
      <c r="S7541" s="318"/>
      <c r="T7541" s="318"/>
      <c r="U7541" s="318"/>
      <c r="V7541" s="318"/>
      <c r="W7541" s="318"/>
      <c r="X7541" s="318"/>
      <c r="Y7541" s="318"/>
      <c r="Z7541" s="318"/>
      <c r="AA7541" s="318"/>
      <c r="AB7541" s="318"/>
      <c r="AC7541" s="318"/>
      <c r="AD7541" s="318"/>
    </row>
    <row r="7542" spans="2:30" s="323" customFormat="1" ht="12" customHeight="1">
      <c r="B7542" s="324"/>
      <c r="C7542" s="325"/>
      <c r="D7542" s="326"/>
      <c r="E7542" s="326"/>
      <c r="F7542" s="326"/>
      <c r="G7542" s="326"/>
      <c r="H7542" s="326"/>
      <c r="P7542" s="318"/>
      <c r="Q7542" s="318"/>
      <c r="R7542" s="318"/>
      <c r="S7542" s="318"/>
      <c r="T7542" s="318"/>
      <c r="U7542" s="318"/>
      <c r="V7542" s="318"/>
      <c r="W7542" s="318"/>
      <c r="X7542" s="318"/>
      <c r="Y7542" s="318"/>
      <c r="Z7542" s="318"/>
      <c r="AA7542" s="318"/>
      <c r="AB7542" s="318"/>
      <c r="AC7542" s="318"/>
      <c r="AD7542" s="318"/>
    </row>
    <row r="7543" spans="2:30" s="323" customFormat="1" ht="12" customHeight="1">
      <c r="B7543" s="324"/>
      <c r="C7543" s="325"/>
      <c r="D7543" s="326"/>
      <c r="E7543" s="326"/>
      <c r="F7543" s="326"/>
      <c r="G7543" s="326"/>
      <c r="H7543" s="326"/>
      <c r="P7543" s="318"/>
      <c r="Q7543" s="318"/>
      <c r="R7543" s="318"/>
      <c r="S7543" s="318"/>
      <c r="T7543" s="318"/>
      <c r="U7543" s="318"/>
      <c r="V7543" s="318"/>
      <c r="W7543" s="318"/>
      <c r="X7543" s="318"/>
      <c r="Y7543" s="318"/>
      <c r="Z7543" s="318"/>
      <c r="AA7543" s="318"/>
      <c r="AB7543" s="318"/>
      <c r="AC7543" s="318"/>
      <c r="AD7543" s="318"/>
    </row>
    <row r="7544" spans="2:30" s="323" customFormat="1" ht="12" customHeight="1">
      <c r="B7544" s="324"/>
      <c r="C7544" s="325"/>
      <c r="D7544" s="326"/>
      <c r="E7544" s="326"/>
      <c r="F7544" s="326"/>
      <c r="G7544" s="326"/>
      <c r="H7544" s="326"/>
      <c r="P7544" s="318"/>
      <c r="Q7544" s="318"/>
      <c r="R7544" s="318"/>
      <c r="S7544" s="318"/>
      <c r="T7544" s="318"/>
      <c r="U7544" s="318"/>
      <c r="V7544" s="318"/>
      <c r="W7544" s="318"/>
      <c r="X7544" s="318"/>
      <c r="Y7544" s="318"/>
      <c r="Z7544" s="318"/>
      <c r="AA7544" s="318"/>
      <c r="AB7544" s="318"/>
      <c r="AC7544" s="318"/>
      <c r="AD7544" s="318"/>
    </row>
    <row r="7545" spans="2:30" s="323" customFormat="1" ht="12" customHeight="1">
      <c r="B7545" s="324"/>
      <c r="C7545" s="325"/>
      <c r="D7545" s="326"/>
      <c r="E7545" s="326"/>
      <c r="F7545" s="326"/>
      <c r="G7545" s="326"/>
      <c r="H7545" s="326"/>
      <c r="P7545" s="318"/>
      <c r="Q7545" s="318"/>
      <c r="R7545" s="318"/>
      <c r="S7545" s="318"/>
      <c r="T7545" s="318"/>
      <c r="U7545" s="318"/>
      <c r="V7545" s="318"/>
      <c r="W7545" s="318"/>
      <c r="X7545" s="318"/>
      <c r="Y7545" s="318"/>
      <c r="Z7545" s="318"/>
      <c r="AA7545" s="318"/>
      <c r="AB7545" s="318"/>
      <c r="AC7545" s="318"/>
      <c r="AD7545" s="318"/>
    </row>
    <row r="7546" spans="2:30" s="323" customFormat="1" ht="12" customHeight="1">
      <c r="B7546" s="324"/>
      <c r="C7546" s="325"/>
      <c r="D7546" s="326"/>
      <c r="E7546" s="326"/>
      <c r="F7546" s="326"/>
      <c r="G7546" s="326"/>
      <c r="H7546" s="326"/>
      <c r="P7546" s="318"/>
      <c r="Q7546" s="318"/>
      <c r="R7546" s="318"/>
      <c r="S7546" s="318"/>
      <c r="T7546" s="318"/>
      <c r="U7546" s="318"/>
      <c r="V7546" s="318"/>
      <c r="W7546" s="318"/>
      <c r="X7546" s="318"/>
      <c r="Y7546" s="318"/>
      <c r="Z7546" s="318"/>
      <c r="AA7546" s="318"/>
      <c r="AB7546" s="318"/>
      <c r="AC7546" s="318"/>
      <c r="AD7546" s="318"/>
    </row>
    <row r="7547" spans="2:30" s="323" customFormat="1" ht="12" customHeight="1">
      <c r="B7547" s="324"/>
      <c r="C7547" s="325"/>
      <c r="D7547" s="326"/>
      <c r="E7547" s="326"/>
      <c r="F7547" s="326"/>
      <c r="G7547" s="326"/>
      <c r="H7547" s="326"/>
      <c r="P7547" s="318"/>
      <c r="Q7547" s="318"/>
      <c r="R7547" s="318"/>
      <c r="S7547" s="318"/>
      <c r="T7547" s="318"/>
      <c r="U7547" s="318"/>
      <c r="V7547" s="318"/>
      <c r="W7547" s="318"/>
      <c r="X7547" s="318"/>
      <c r="Y7547" s="318"/>
      <c r="Z7547" s="318"/>
      <c r="AA7547" s="318"/>
      <c r="AB7547" s="318"/>
      <c r="AC7547" s="318"/>
      <c r="AD7547" s="318"/>
    </row>
    <row r="7548" spans="2:30" s="323" customFormat="1" ht="12" customHeight="1">
      <c r="B7548" s="324"/>
      <c r="C7548" s="325"/>
      <c r="D7548" s="326"/>
      <c r="E7548" s="326"/>
      <c r="F7548" s="326"/>
      <c r="G7548" s="326"/>
      <c r="H7548" s="326"/>
      <c r="P7548" s="318"/>
      <c r="Q7548" s="318"/>
      <c r="R7548" s="318"/>
      <c r="S7548" s="318"/>
      <c r="T7548" s="318"/>
      <c r="U7548" s="318"/>
      <c r="V7548" s="318"/>
      <c r="W7548" s="318"/>
      <c r="X7548" s="318"/>
      <c r="Y7548" s="318"/>
      <c r="Z7548" s="318"/>
      <c r="AA7548" s="318"/>
      <c r="AB7548" s="318"/>
      <c r="AC7548" s="318"/>
      <c r="AD7548" s="318"/>
    </row>
    <row r="7549" spans="2:30" s="323" customFormat="1" ht="12" customHeight="1">
      <c r="B7549" s="324"/>
      <c r="C7549" s="325"/>
      <c r="D7549" s="326"/>
      <c r="E7549" s="326"/>
      <c r="F7549" s="326"/>
      <c r="G7549" s="326"/>
      <c r="H7549" s="326"/>
      <c r="P7549" s="318"/>
      <c r="Q7549" s="318"/>
      <c r="R7549" s="318"/>
      <c r="S7549" s="318"/>
      <c r="T7549" s="318"/>
      <c r="U7549" s="318"/>
      <c r="V7549" s="318"/>
      <c r="W7549" s="318"/>
      <c r="X7549" s="318"/>
      <c r="Y7549" s="318"/>
      <c r="Z7549" s="318"/>
      <c r="AA7549" s="318"/>
      <c r="AB7549" s="318"/>
      <c r="AC7549" s="318"/>
      <c r="AD7549" s="318"/>
    </row>
    <row r="7550" spans="2:30" s="323" customFormat="1" ht="12" customHeight="1">
      <c r="B7550" s="324"/>
      <c r="C7550" s="325"/>
      <c r="D7550" s="326"/>
      <c r="E7550" s="326"/>
      <c r="F7550" s="326"/>
      <c r="G7550" s="326"/>
      <c r="H7550" s="326"/>
      <c r="P7550" s="318"/>
      <c r="Q7550" s="318"/>
      <c r="R7550" s="318"/>
      <c r="S7550" s="318"/>
      <c r="T7550" s="318"/>
      <c r="U7550" s="318"/>
      <c r="V7550" s="318"/>
      <c r="W7550" s="318"/>
      <c r="X7550" s="318"/>
      <c r="Y7550" s="318"/>
      <c r="Z7550" s="318"/>
      <c r="AA7550" s="318"/>
      <c r="AB7550" s="318"/>
      <c r="AC7550" s="318"/>
      <c r="AD7550" s="318"/>
    </row>
    <row r="7551" spans="2:30" s="323" customFormat="1" ht="12" customHeight="1">
      <c r="B7551" s="324"/>
      <c r="C7551" s="325"/>
      <c r="D7551" s="326"/>
      <c r="E7551" s="326"/>
      <c r="F7551" s="326"/>
      <c r="G7551" s="326"/>
      <c r="H7551" s="326"/>
      <c r="P7551" s="318"/>
      <c r="Q7551" s="318"/>
      <c r="R7551" s="318"/>
      <c r="S7551" s="318"/>
      <c r="T7551" s="318"/>
      <c r="U7551" s="318"/>
      <c r="V7551" s="318"/>
      <c r="W7551" s="318"/>
      <c r="X7551" s="318"/>
      <c r="Y7551" s="318"/>
      <c r="Z7551" s="318"/>
      <c r="AA7551" s="318"/>
      <c r="AB7551" s="318"/>
      <c r="AC7551" s="318"/>
      <c r="AD7551" s="318"/>
    </row>
    <row r="7552" spans="2:30" s="323" customFormat="1" ht="12" customHeight="1">
      <c r="B7552" s="324"/>
      <c r="C7552" s="325"/>
      <c r="D7552" s="326"/>
      <c r="E7552" s="326"/>
      <c r="F7552" s="326"/>
      <c r="G7552" s="326"/>
      <c r="H7552" s="326"/>
      <c r="P7552" s="318"/>
      <c r="Q7552" s="318"/>
      <c r="R7552" s="318"/>
      <c r="S7552" s="318"/>
      <c r="T7552" s="318"/>
      <c r="U7552" s="318"/>
      <c r="V7552" s="318"/>
      <c r="W7552" s="318"/>
      <c r="X7552" s="318"/>
      <c r="Y7552" s="318"/>
      <c r="Z7552" s="318"/>
      <c r="AA7552" s="318"/>
      <c r="AB7552" s="318"/>
      <c r="AC7552" s="318"/>
      <c r="AD7552" s="318"/>
    </row>
    <row r="7553" spans="2:30" s="323" customFormat="1" ht="12" customHeight="1">
      <c r="B7553" s="324"/>
      <c r="C7553" s="325"/>
      <c r="D7553" s="326"/>
      <c r="E7553" s="326"/>
      <c r="F7553" s="326"/>
      <c r="G7553" s="326"/>
      <c r="H7553" s="326"/>
      <c r="P7553" s="318"/>
      <c r="Q7553" s="318"/>
      <c r="R7553" s="318"/>
      <c r="S7553" s="318"/>
      <c r="T7553" s="318"/>
      <c r="U7553" s="318"/>
      <c r="V7553" s="318"/>
      <c r="W7553" s="318"/>
      <c r="X7553" s="318"/>
      <c r="Y7553" s="318"/>
      <c r="Z7553" s="318"/>
      <c r="AA7553" s="318"/>
      <c r="AB7553" s="318"/>
      <c r="AC7553" s="318"/>
      <c r="AD7553" s="318"/>
    </row>
    <row r="7554" spans="2:30" s="323" customFormat="1" ht="12" customHeight="1">
      <c r="B7554" s="324"/>
      <c r="C7554" s="325"/>
      <c r="D7554" s="326"/>
      <c r="E7554" s="326"/>
      <c r="F7554" s="326"/>
      <c r="G7554" s="326"/>
      <c r="H7554" s="326"/>
      <c r="P7554" s="318"/>
      <c r="Q7554" s="318"/>
      <c r="R7554" s="318"/>
      <c r="S7554" s="318"/>
      <c r="T7554" s="318"/>
      <c r="U7554" s="318"/>
      <c r="V7554" s="318"/>
      <c r="W7554" s="318"/>
      <c r="X7554" s="318"/>
      <c r="Y7554" s="318"/>
      <c r="Z7554" s="318"/>
      <c r="AA7554" s="318"/>
      <c r="AB7554" s="318"/>
      <c r="AC7554" s="318"/>
      <c r="AD7554" s="318"/>
    </row>
    <row r="7555" spans="2:30" s="323" customFormat="1" ht="12" customHeight="1">
      <c r="B7555" s="324"/>
      <c r="C7555" s="325"/>
      <c r="D7555" s="326"/>
      <c r="E7555" s="326"/>
      <c r="F7555" s="326"/>
      <c r="G7555" s="326"/>
      <c r="H7555" s="326"/>
      <c r="P7555" s="318"/>
      <c r="Q7555" s="318"/>
      <c r="R7555" s="318"/>
      <c r="S7555" s="318"/>
      <c r="T7555" s="318"/>
      <c r="U7555" s="318"/>
      <c r="V7555" s="318"/>
      <c r="W7555" s="318"/>
      <c r="X7555" s="318"/>
      <c r="Y7555" s="318"/>
      <c r="Z7555" s="318"/>
      <c r="AA7555" s="318"/>
      <c r="AB7555" s="318"/>
      <c r="AC7555" s="318"/>
      <c r="AD7555" s="318"/>
    </row>
    <row r="7556" spans="2:30" s="323" customFormat="1" ht="12" customHeight="1">
      <c r="B7556" s="324"/>
      <c r="C7556" s="325"/>
      <c r="D7556" s="326"/>
      <c r="E7556" s="326"/>
      <c r="F7556" s="326"/>
      <c r="G7556" s="326"/>
      <c r="H7556" s="326"/>
      <c r="P7556" s="318"/>
      <c r="Q7556" s="318"/>
      <c r="R7556" s="318"/>
      <c r="S7556" s="318"/>
      <c r="T7556" s="318"/>
      <c r="U7556" s="318"/>
      <c r="V7556" s="318"/>
      <c r="W7556" s="318"/>
      <c r="X7556" s="318"/>
      <c r="Y7556" s="318"/>
      <c r="Z7556" s="318"/>
      <c r="AA7556" s="318"/>
      <c r="AB7556" s="318"/>
      <c r="AC7556" s="318"/>
      <c r="AD7556" s="318"/>
    </row>
    <row r="7557" spans="2:30" s="323" customFormat="1" ht="12" customHeight="1">
      <c r="B7557" s="324"/>
      <c r="C7557" s="325"/>
      <c r="D7557" s="326"/>
      <c r="E7557" s="326"/>
      <c r="F7557" s="326"/>
      <c r="G7557" s="326"/>
      <c r="H7557" s="326"/>
      <c r="P7557" s="318"/>
      <c r="Q7557" s="318"/>
      <c r="R7557" s="318"/>
      <c r="S7557" s="318"/>
      <c r="T7557" s="318"/>
      <c r="U7557" s="318"/>
      <c r="V7557" s="318"/>
      <c r="W7557" s="318"/>
      <c r="X7557" s="318"/>
      <c r="Y7557" s="318"/>
      <c r="Z7557" s="318"/>
      <c r="AA7557" s="318"/>
      <c r="AB7557" s="318"/>
      <c r="AC7557" s="318"/>
      <c r="AD7557" s="318"/>
    </row>
    <row r="7558" spans="2:30" s="323" customFormat="1" ht="12" customHeight="1">
      <c r="B7558" s="324"/>
      <c r="C7558" s="325"/>
      <c r="D7558" s="326"/>
      <c r="E7558" s="326"/>
      <c r="F7558" s="326"/>
      <c r="G7558" s="326"/>
      <c r="H7558" s="326"/>
      <c r="P7558" s="318"/>
      <c r="Q7558" s="318"/>
      <c r="R7558" s="318"/>
      <c r="S7558" s="318"/>
      <c r="T7558" s="318"/>
      <c r="U7558" s="318"/>
      <c r="V7558" s="318"/>
      <c r="W7558" s="318"/>
      <c r="X7558" s="318"/>
      <c r="Y7558" s="318"/>
      <c r="Z7558" s="318"/>
      <c r="AA7558" s="318"/>
      <c r="AB7558" s="318"/>
      <c r="AC7558" s="318"/>
      <c r="AD7558" s="318"/>
    </row>
    <row r="7559" spans="2:30" s="323" customFormat="1" ht="12" customHeight="1">
      <c r="B7559" s="324"/>
      <c r="C7559" s="325"/>
      <c r="D7559" s="326"/>
      <c r="E7559" s="326"/>
      <c r="F7559" s="326"/>
      <c r="G7559" s="326"/>
      <c r="H7559" s="326"/>
      <c r="P7559" s="318"/>
      <c r="Q7559" s="318"/>
      <c r="R7559" s="318"/>
      <c r="S7559" s="318"/>
      <c r="T7559" s="318"/>
      <c r="U7559" s="318"/>
      <c r="V7559" s="318"/>
      <c r="W7559" s="318"/>
      <c r="X7559" s="318"/>
      <c r="Y7559" s="318"/>
      <c r="Z7559" s="318"/>
      <c r="AA7559" s="318"/>
      <c r="AB7559" s="318"/>
      <c r="AC7559" s="318"/>
      <c r="AD7559" s="318"/>
    </row>
    <row r="7560" spans="2:30" s="323" customFormat="1" ht="12" customHeight="1">
      <c r="B7560" s="324"/>
      <c r="C7560" s="325"/>
      <c r="D7560" s="326"/>
      <c r="E7560" s="326"/>
      <c r="F7560" s="326"/>
      <c r="G7560" s="326"/>
      <c r="H7560" s="326"/>
      <c r="P7560" s="318"/>
      <c r="Q7560" s="318"/>
      <c r="R7560" s="318"/>
      <c r="S7560" s="318"/>
      <c r="T7560" s="318"/>
      <c r="U7560" s="318"/>
      <c r="V7560" s="318"/>
      <c r="W7560" s="318"/>
      <c r="X7560" s="318"/>
      <c r="Y7560" s="318"/>
      <c r="Z7560" s="318"/>
      <c r="AA7560" s="318"/>
      <c r="AB7560" s="318"/>
      <c r="AC7560" s="318"/>
      <c r="AD7560" s="318"/>
    </row>
    <row r="7561" spans="2:30" s="323" customFormat="1" ht="12" customHeight="1">
      <c r="B7561" s="324"/>
      <c r="C7561" s="325"/>
      <c r="D7561" s="326"/>
      <c r="E7561" s="326"/>
      <c r="F7561" s="326"/>
      <c r="G7561" s="326"/>
      <c r="H7561" s="326"/>
      <c r="P7561" s="318"/>
      <c r="Q7561" s="318"/>
      <c r="R7561" s="318"/>
      <c r="S7561" s="318"/>
      <c r="T7561" s="318"/>
      <c r="U7561" s="318"/>
      <c r="V7561" s="318"/>
      <c r="W7561" s="318"/>
      <c r="X7561" s="318"/>
      <c r="Y7561" s="318"/>
      <c r="Z7561" s="318"/>
      <c r="AA7561" s="318"/>
      <c r="AB7561" s="318"/>
      <c r="AC7561" s="318"/>
      <c r="AD7561" s="318"/>
    </row>
    <row r="7562" spans="2:30" s="323" customFormat="1" ht="12" customHeight="1">
      <c r="B7562" s="324"/>
      <c r="C7562" s="325"/>
      <c r="D7562" s="326"/>
      <c r="E7562" s="326"/>
      <c r="F7562" s="326"/>
      <c r="G7562" s="326"/>
      <c r="H7562" s="326"/>
      <c r="P7562" s="318"/>
      <c r="Q7562" s="318"/>
      <c r="R7562" s="318"/>
      <c r="S7562" s="318"/>
      <c r="T7562" s="318"/>
      <c r="U7562" s="318"/>
      <c r="V7562" s="318"/>
      <c r="W7562" s="318"/>
      <c r="X7562" s="318"/>
      <c r="Y7562" s="318"/>
      <c r="Z7562" s="318"/>
      <c r="AA7562" s="318"/>
      <c r="AB7562" s="318"/>
      <c r="AC7562" s="318"/>
      <c r="AD7562" s="318"/>
    </row>
    <row r="7563" spans="2:30" s="323" customFormat="1" ht="12" customHeight="1">
      <c r="B7563" s="324"/>
      <c r="C7563" s="325"/>
      <c r="D7563" s="326"/>
      <c r="E7563" s="326"/>
      <c r="F7563" s="326"/>
      <c r="G7563" s="326"/>
      <c r="H7563" s="326"/>
      <c r="P7563" s="318"/>
      <c r="Q7563" s="318"/>
      <c r="R7563" s="318"/>
      <c r="S7563" s="318"/>
      <c r="T7563" s="318"/>
      <c r="U7563" s="318"/>
      <c r="V7563" s="318"/>
      <c r="W7563" s="318"/>
      <c r="X7563" s="318"/>
      <c r="Y7563" s="318"/>
      <c r="Z7563" s="318"/>
      <c r="AA7563" s="318"/>
      <c r="AB7563" s="318"/>
      <c r="AC7563" s="318"/>
      <c r="AD7563" s="318"/>
    </row>
    <row r="7564" spans="2:30" s="323" customFormat="1" ht="12" customHeight="1">
      <c r="B7564" s="324"/>
      <c r="C7564" s="325"/>
      <c r="D7564" s="326"/>
      <c r="E7564" s="326"/>
      <c r="F7564" s="326"/>
      <c r="G7564" s="326"/>
      <c r="H7564" s="326"/>
      <c r="P7564" s="318"/>
      <c r="Q7564" s="318"/>
      <c r="R7564" s="318"/>
      <c r="S7564" s="318"/>
      <c r="T7564" s="318"/>
      <c r="U7564" s="318"/>
      <c r="V7564" s="318"/>
      <c r="W7564" s="318"/>
      <c r="X7564" s="318"/>
      <c r="Y7564" s="318"/>
      <c r="Z7564" s="318"/>
      <c r="AA7564" s="318"/>
      <c r="AB7564" s="318"/>
      <c r="AC7564" s="318"/>
      <c r="AD7564" s="318"/>
    </row>
    <row r="7565" spans="2:30" s="323" customFormat="1" ht="12" customHeight="1">
      <c r="B7565" s="324"/>
      <c r="C7565" s="325"/>
      <c r="D7565" s="326"/>
      <c r="E7565" s="326"/>
      <c r="F7565" s="326"/>
      <c r="G7565" s="326"/>
      <c r="H7565" s="326"/>
      <c r="P7565" s="318"/>
      <c r="Q7565" s="318"/>
      <c r="R7565" s="318"/>
      <c r="S7565" s="318"/>
      <c r="T7565" s="318"/>
      <c r="U7565" s="318"/>
      <c r="V7565" s="318"/>
      <c r="W7565" s="318"/>
      <c r="X7565" s="318"/>
      <c r="Y7565" s="318"/>
      <c r="Z7565" s="318"/>
      <c r="AA7565" s="318"/>
      <c r="AB7565" s="318"/>
      <c r="AC7565" s="318"/>
      <c r="AD7565" s="318"/>
    </row>
    <row r="7566" spans="2:30" s="323" customFormat="1" ht="12" customHeight="1">
      <c r="B7566" s="324"/>
      <c r="C7566" s="325"/>
      <c r="D7566" s="326"/>
      <c r="E7566" s="326"/>
      <c r="F7566" s="326"/>
      <c r="G7566" s="326"/>
      <c r="H7566" s="326"/>
      <c r="P7566" s="318"/>
      <c r="Q7566" s="318"/>
      <c r="R7566" s="318"/>
      <c r="S7566" s="318"/>
      <c r="T7566" s="318"/>
      <c r="U7566" s="318"/>
      <c r="V7566" s="318"/>
      <c r="W7566" s="318"/>
      <c r="X7566" s="318"/>
      <c r="Y7566" s="318"/>
      <c r="Z7566" s="318"/>
      <c r="AA7566" s="318"/>
      <c r="AB7566" s="318"/>
      <c r="AC7566" s="318"/>
      <c r="AD7566" s="318"/>
    </row>
    <row r="7567" spans="2:30" s="323" customFormat="1" ht="12" customHeight="1">
      <c r="B7567" s="324"/>
      <c r="C7567" s="325"/>
      <c r="D7567" s="326"/>
      <c r="E7567" s="326"/>
      <c r="F7567" s="326"/>
      <c r="G7567" s="326"/>
      <c r="H7567" s="326"/>
      <c r="P7567" s="318"/>
      <c r="Q7567" s="318"/>
      <c r="R7567" s="318"/>
      <c r="S7567" s="318"/>
      <c r="T7567" s="318"/>
      <c r="U7567" s="318"/>
      <c r="V7567" s="318"/>
      <c r="W7567" s="318"/>
      <c r="X7567" s="318"/>
      <c r="Y7567" s="318"/>
      <c r="Z7567" s="318"/>
      <c r="AA7567" s="318"/>
      <c r="AB7567" s="318"/>
      <c r="AC7567" s="318"/>
      <c r="AD7567" s="318"/>
    </row>
    <row r="7568" spans="2:30" s="323" customFormat="1" ht="12" customHeight="1">
      <c r="B7568" s="324"/>
      <c r="C7568" s="325"/>
      <c r="D7568" s="326"/>
      <c r="E7568" s="326"/>
      <c r="F7568" s="326"/>
      <c r="G7568" s="326"/>
      <c r="H7568" s="326"/>
      <c r="P7568" s="318"/>
      <c r="Q7568" s="318"/>
      <c r="R7568" s="318"/>
      <c r="S7568" s="318"/>
      <c r="T7568" s="318"/>
      <c r="U7568" s="318"/>
      <c r="V7568" s="318"/>
      <c r="W7568" s="318"/>
      <c r="X7568" s="318"/>
      <c r="Y7568" s="318"/>
      <c r="Z7568" s="318"/>
      <c r="AA7568" s="318"/>
      <c r="AB7568" s="318"/>
      <c r="AC7568" s="318"/>
      <c r="AD7568" s="318"/>
    </row>
    <row r="7569" spans="2:30" s="323" customFormat="1" ht="12" customHeight="1">
      <c r="B7569" s="324"/>
      <c r="C7569" s="325"/>
      <c r="D7569" s="326"/>
      <c r="E7569" s="326"/>
      <c r="F7569" s="326"/>
      <c r="G7569" s="326"/>
      <c r="H7569" s="326"/>
      <c r="P7569" s="318"/>
      <c r="Q7569" s="318"/>
      <c r="R7569" s="318"/>
      <c r="S7569" s="318"/>
      <c r="T7569" s="318"/>
      <c r="U7569" s="318"/>
      <c r="V7569" s="318"/>
      <c r="W7569" s="318"/>
      <c r="X7569" s="318"/>
      <c r="Y7569" s="318"/>
      <c r="Z7569" s="318"/>
      <c r="AA7569" s="318"/>
      <c r="AB7569" s="318"/>
      <c r="AC7569" s="318"/>
      <c r="AD7569" s="318"/>
    </row>
    <row r="7570" spans="2:30" s="323" customFormat="1" ht="12" customHeight="1">
      <c r="B7570" s="324"/>
      <c r="C7570" s="325"/>
      <c r="D7570" s="326"/>
      <c r="E7570" s="326"/>
      <c r="F7570" s="326"/>
      <c r="G7570" s="326"/>
      <c r="H7570" s="326"/>
      <c r="P7570" s="318"/>
      <c r="Q7570" s="318"/>
      <c r="R7570" s="318"/>
      <c r="S7570" s="318"/>
      <c r="T7570" s="318"/>
      <c r="U7570" s="318"/>
      <c r="V7570" s="318"/>
      <c r="W7570" s="318"/>
      <c r="X7570" s="318"/>
      <c r="Y7570" s="318"/>
      <c r="Z7570" s="318"/>
      <c r="AA7570" s="318"/>
      <c r="AB7570" s="318"/>
      <c r="AC7570" s="318"/>
      <c r="AD7570" s="318"/>
    </row>
    <row r="7571" spans="2:30" s="323" customFormat="1" ht="12" customHeight="1">
      <c r="B7571" s="324"/>
      <c r="C7571" s="325"/>
      <c r="D7571" s="326"/>
      <c r="E7571" s="326"/>
      <c r="F7571" s="326"/>
      <c r="G7571" s="326"/>
      <c r="H7571" s="326"/>
      <c r="P7571" s="318"/>
      <c r="Q7571" s="318"/>
      <c r="R7571" s="318"/>
      <c r="S7571" s="318"/>
      <c r="T7571" s="318"/>
      <c r="U7571" s="318"/>
      <c r="V7571" s="318"/>
      <c r="W7571" s="318"/>
      <c r="X7571" s="318"/>
      <c r="Y7571" s="318"/>
      <c r="Z7571" s="318"/>
      <c r="AA7571" s="318"/>
      <c r="AB7571" s="318"/>
      <c r="AC7571" s="318"/>
      <c r="AD7571" s="318"/>
    </row>
    <row r="7572" spans="2:30" s="323" customFormat="1" ht="12" customHeight="1">
      <c r="B7572" s="324"/>
      <c r="C7572" s="325"/>
      <c r="D7572" s="326"/>
      <c r="E7572" s="326"/>
      <c r="F7572" s="326"/>
      <c r="G7572" s="326"/>
      <c r="H7572" s="326"/>
      <c r="P7572" s="318"/>
      <c r="Q7572" s="318"/>
      <c r="R7572" s="318"/>
      <c r="S7572" s="318"/>
      <c r="T7572" s="318"/>
      <c r="U7572" s="318"/>
      <c r="V7572" s="318"/>
      <c r="W7572" s="318"/>
      <c r="X7572" s="318"/>
      <c r="Y7572" s="318"/>
      <c r="Z7572" s="318"/>
      <c r="AA7572" s="318"/>
      <c r="AB7572" s="318"/>
      <c r="AC7572" s="318"/>
      <c r="AD7572" s="318"/>
    </row>
    <row r="7573" spans="2:30" s="323" customFormat="1" ht="12" customHeight="1">
      <c r="B7573" s="324"/>
      <c r="C7573" s="325"/>
      <c r="D7573" s="326"/>
      <c r="E7573" s="326"/>
      <c r="F7573" s="326"/>
      <c r="G7573" s="326"/>
      <c r="H7573" s="326"/>
      <c r="P7573" s="318"/>
      <c r="Q7573" s="318"/>
      <c r="R7573" s="318"/>
      <c r="S7573" s="318"/>
      <c r="T7573" s="318"/>
      <c r="U7573" s="318"/>
      <c r="V7573" s="318"/>
      <c r="W7573" s="318"/>
      <c r="X7573" s="318"/>
      <c r="Y7573" s="318"/>
      <c r="Z7573" s="318"/>
      <c r="AA7573" s="318"/>
      <c r="AB7573" s="318"/>
      <c r="AC7573" s="318"/>
      <c r="AD7573" s="318"/>
    </row>
    <row r="7574" spans="2:30" s="323" customFormat="1" ht="12" customHeight="1">
      <c r="B7574" s="324"/>
      <c r="C7574" s="325"/>
      <c r="D7574" s="326"/>
      <c r="E7574" s="326"/>
      <c r="F7574" s="326"/>
      <c r="G7574" s="326"/>
      <c r="H7574" s="326"/>
      <c r="P7574" s="318"/>
      <c r="Q7574" s="318"/>
      <c r="R7574" s="318"/>
      <c r="S7574" s="318"/>
      <c r="T7574" s="318"/>
      <c r="U7574" s="318"/>
      <c r="V7574" s="318"/>
      <c r="W7574" s="318"/>
      <c r="X7574" s="318"/>
      <c r="Y7574" s="318"/>
      <c r="Z7574" s="318"/>
      <c r="AA7574" s="318"/>
      <c r="AB7574" s="318"/>
      <c r="AC7574" s="318"/>
      <c r="AD7574" s="318"/>
    </row>
    <row r="7575" spans="2:30" s="323" customFormat="1" ht="12" customHeight="1">
      <c r="B7575" s="324"/>
      <c r="C7575" s="325"/>
      <c r="D7575" s="326"/>
      <c r="E7575" s="326"/>
      <c r="F7575" s="326"/>
      <c r="G7575" s="326"/>
      <c r="H7575" s="326"/>
      <c r="P7575" s="318"/>
      <c r="Q7575" s="318"/>
      <c r="R7575" s="318"/>
      <c r="S7575" s="318"/>
      <c r="T7575" s="318"/>
      <c r="U7575" s="318"/>
      <c r="V7575" s="318"/>
      <c r="W7575" s="318"/>
      <c r="X7575" s="318"/>
      <c r="Y7575" s="318"/>
      <c r="Z7575" s="318"/>
      <c r="AA7575" s="318"/>
      <c r="AB7575" s="318"/>
      <c r="AC7575" s="318"/>
      <c r="AD7575" s="318"/>
    </row>
    <row r="7576" spans="2:30" s="323" customFormat="1" ht="12" customHeight="1">
      <c r="B7576" s="324"/>
      <c r="C7576" s="325"/>
      <c r="D7576" s="326"/>
      <c r="E7576" s="326"/>
      <c r="F7576" s="326"/>
      <c r="G7576" s="326"/>
      <c r="H7576" s="326"/>
      <c r="P7576" s="318"/>
      <c r="Q7576" s="318"/>
      <c r="R7576" s="318"/>
      <c r="S7576" s="318"/>
      <c r="T7576" s="318"/>
      <c r="U7576" s="318"/>
      <c r="V7576" s="318"/>
      <c r="W7576" s="318"/>
      <c r="X7576" s="318"/>
      <c r="Y7576" s="318"/>
      <c r="Z7576" s="318"/>
      <c r="AA7576" s="318"/>
      <c r="AB7576" s="318"/>
      <c r="AC7576" s="318"/>
      <c r="AD7576" s="318"/>
    </row>
    <row r="7577" spans="2:30" s="323" customFormat="1" ht="12" customHeight="1">
      <c r="B7577" s="324"/>
      <c r="C7577" s="325"/>
      <c r="D7577" s="326"/>
      <c r="E7577" s="326"/>
      <c r="F7577" s="326"/>
      <c r="G7577" s="326"/>
      <c r="H7577" s="326"/>
      <c r="P7577" s="318"/>
      <c r="Q7577" s="318"/>
      <c r="R7577" s="318"/>
      <c r="S7577" s="318"/>
      <c r="T7577" s="318"/>
      <c r="U7577" s="318"/>
      <c r="V7577" s="318"/>
      <c r="W7577" s="318"/>
      <c r="X7577" s="318"/>
      <c r="Y7577" s="318"/>
      <c r="Z7577" s="318"/>
      <c r="AA7577" s="318"/>
      <c r="AB7577" s="318"/>
      <c r="AC7577" s="318"/>
      <c r="AD7577" s="318"/>
    </row>
    <row r="7578" spans="2:30" s="323" customFormat="1" ht="12" customHeight="1">
      <c r="B7578" s="324"/>
      <c r="C7578" s="325"/>
      <c r="D7578" s="326"/>
      <c r="E7578" s="326"/>
      <c r="F7578" s="326"/>
      <c r="G7578" s="326"/>
      <c r="H7578" s="326"/>
      <c r="P7578" s="318"/>
      <c r="Q7578" s="318"/>
      <c r="R7578" s="318"/>
      <c r="S7578" s="318"/>
      <c r="T7578" s="318"/>
      <c r="U7578" s="318"/>
      <c r="V7578" s="318"/>
      <c r="W7578" s="318"/>
      <c r="X7578" s="318"/>
      <c r="Y7578" s="318"/>
      <c r="Z7578" s="318"/>
      <c r="AA7578" s="318"/>
      <c r="AB7578" s="318"/>
      <c r="AC7578" s="318"/>
      <c r="AD7578" s="318"/>
    </row>
    <row r="7579" spans="2:30" s="323" customFormat="1" ht="12" customHeight="1">
      <c r="B7579" s="324"/>
      <c r="C7579" s="325"/>
      <c r="D7579" s="326"/>
      <c r="E7579" s="326"/>
      <c r="F7579" s="326"/>
      <c r="G7579" s="326"/>
      <c r="H7579" s="326"/>
      <c r="P7579" s="318"/>
      <c r="Q7579" s="318"/>
      <c r="R7579" s="318"/>
      <c r="S7579" s="318"/>
      <c r="T7579" s="318"/>
      <c r="U7579" s="318"/>
      <c r="V7579" s="318"/>
      <c r="W7579" s="318"/>
      <c r="X7579" s="318"/>
      <c r="Y7579" s="318"/>
      <c r="Z7579" s="318"/>
      <c r="AA7579" s="318"/>
      <c r="AB7579" s="318"/>
      <c r="AC7579" s="318"/>
      <c r="AD7579" s="318"/>
    </row>
    <row r="7580" spans="2:30" s="323" customFormat="1" ht="12" customHeight="1">
      <c r="B7580" s="324"/>
      <c r="C7580" s="325"/>
      <c r="D7580" s="326"/>
      <c r="E7580" s="326"/>
      <c r="F7580" s="326"/>
      <c r="G7580" s="326"/>
      <c r="H7580" s="326"/>
      <c r="P7580" s="318"/>
      <c r="Q7580" s="318"/>
      <c r="R7580" s="318"/>
      <c r="S7580" s="318"/>
      <c r="T7580" s="318"/>
      <c r="U7580" s="318"/>
      <c r="V7580" s="318"/>
      <c r="W7580" s="318"/>
      <c r="X7580" s="318"/>
      <c r="Y7580" s="318"/>
      <c r="Z7580" s="318"/>
      <c r="AA7580" s="318"/>
      <c r="AB7580" s="318"/>
      <c r="AC7580" s="318"/>
      <c r="AD7580" s="318"/>
    </row>
    <row r="7581" spans="2:30" s="323" customFormat="1" ht="12" customHeight="1">
      <c r="B7581" s="324"/>
      <c r="C7581" s="325"/>
      <c r="D7581" s="326"/>
      <c r="E7581" s="326"/>
      <c r="F7581" s="326"/>
      <c r="G7581" s="326"/>
      <c r="H7581" s="326"/>
      <c r="P7581" s="318"/>
      <c r="Q7581" s="318"/>
      <c r="R7581" s="318"/>
      <c r="S7581" s="318"/>
      <c r="T7581" s="318"/>
      <c r="U7581" s="318"/>
      <c r="V7581" s="318"/>
      <c r="W7581" s="318"/>
      <c r="X7581" s="318"/>
      <c r="Y7581" s="318"/>
      <c r="Z7581" s="318"/>
      <c r="AA7581" s="318"/>
      <c r="AB7581" s="318"/>
      <c r="AC7581" s="318"/>
      <c r="AD7581" s="318"/>
    </row>
    <row r="7582" spans="2:30" s="323" customFormat="1" ht="12" customHeight="1">
      <c r="B7582" s="324"/>
      <c r="C7582" s="325"/>
      <c r="D7582" s="326"/>
      <c r="E7582" s="326"/>
      <c r="F7582" s="326"/>
      <c r="G7582" s="326"/>
      <c r="H7582" s="326"/>
      <c r="P7582" s="318"/>
      <c r="Q7582" s="318"/>
      <c r="R7582" s="318"/>
      <c r="S7582" s="318"/>
      <c r="T7582" s="318"/>
      <c r="U7582" s="318"/>
      <c r="V7582" s="318"/>
      <c r="W7582" s="318"/>
      <c r="X7582" s="318"/>
      <c r="Y7582" s="318"/>
      <c r="Z7582" s="318"/>
      <c r="AA7582" s="318"/>
      <c r="AB7582" s="318"/>
      <c r="AC7582" s="318"/>
      <c r="AD7582" s="318"/>
    </row>
    <row r="7583" spans="2:30" s="323" customFormat="1" ht="12" customHeight="1">
      <c r="B7583" s="324"/>
      <c r="C7583" s="325"/>
      <c r="D7583" s="326"/>
      <c r="E7583" s="326"/>
      <c r="F7583" s="326"/>
      <c r="G7583" s="326"/>
      <c r="H7583" s="326"/>
      <c r="P7583" s="318"/>
      <c r="Q7583" s="318"/>
      <c r="R7583" s="318"/>
      <c r="S7583" s="318"/>
      <c r="T7583" s="318"/>
      <c r="U7583" s="318"/>
      <c r="V7583" s="318"/>
      <c r="W7583" s="318"/>
      <c r="X7583" s="318"/>
      <c r="Y7583" s="318"/>
      <c r="Z7583" s="318"/>
      <c r="AA7583" s="318"/>
      <c r="AB7583" s="318"/>
      <c r="AC7583" s="318"/>
      <c r="AD7583" s="318"/>
    </row>
    <row r="7584" spans="2:30" s="323" customFormat="1" ht="12" customHeight="1">
      <c r="B7584" s="324"/>
      <c r="C7584" s="325"/>
      <c r="D7584" s="326"/>
      <c r="E7584" s="326"/>
      <c r="F7584" s="326"/>
      <c r="G7584" s="326"/>
      <c r="H7584" s="326"/>
      <c r="P7584" s="318"/>
      <c r="Q7584" s="318"/>
      <c r="R7584" s="318"/>
      <c r="S7584" s="318"/>
      <c r="T7584" s="318"/>
      <c r="U7584" s="318"/>
      <c r="V7584" s="318"/>
      <c r="W7584" s="318"/>
      <c r="X7584" s="318"/>
      <c r="Y7584" s="318"/>
      <c r="Z7584" s="318"/>
      <c r="AA7584" s="318"/>
      <c r="AB7584" s="318"/>
      <c r="AC7584" s="318"/>
      <c r="AD7584" s="318"/>
    </row>
    <row r="7585" spans="2:30" s="323" customFormat="1" ht="12" customHeight="1">
      <c r="B7585" s="324"/>
      <c r="C7585" s="325"/>
      <c r="D7585" s="326"/>
      <c r="E7585" s="326"/>
      <c r="F7585" s="326"/>
      <c r="G7585" s="326"/>
      <c r="H7585" s="326"/>
      <c r="P7585" s="318"/>
      <c r="Q7585" s="318"/>
      <c r="R7585" s="318"/>
      <c r="S7585" s="318"/>
      <c r="T7585" s="318"/>
      <c r="U7585" s="318"/>
      <c r="V7585" s="318"/>
      <c r="W7585" s="318"/>
      <c r="X7585" s="318"/>
      <c r="Y7585" s="318"/>
      <c r="Z7585" s="318"/>
      <c r="AA7585" s="318"/>
      <c r="AB7585" s="318"/>
      <c r="AC7585" s="318"/>
      <c r="AD7585" s="318"/>
    </row>
    <row r="7586" spans="2:30" s="323" customFormat="1" ht="12" customHeight="1">
      <c r="B7586" s="324"/>
      <c r="C7586" s="325"/>
      <c r="D7586" s="326"/>
      <c r="E7586" s="326"/>
      <c r="F7586" s="326"/>
      <c r="G7586" s="326"/>
      <c r="H7586" s="326"/>
      <c r="P7586" s="318"/>
      <c r="Q7586" s="318"/>
      <c r="R7586" s="318"/>
      <c r="S7586" s="318"/>
      <c r="T7586" s="318"/>
      <c r="U7586" s="318"/>
      <c r="V7586" s="318"/>
      <c r="W7586" s="318"/>
      <c r="X7586" s="318"/>
      <c r="Y7586" s="318"/>
      <c r="Z7586" s="318"/>
      <c r="AA7586" s="318"/>
      <c r="AB7586" s="318"/>
      <c r="AC7586" s="318"/>
      <c r="AD7586" s="318"/>
    </row>
    <row r="7587" spans="2:30" s="323" customFormat="1" ht="12" customHeight="1">
      <c r="B7587" s="324"/>
      <c r="C7587" s="325"/>
      <c r="D7587" s="326"/>
      <c r="E7587" s="326"/>
      <c r="F7587" s="326"/>
      <c r="G7587" s="326"/>
      <c r="H7587" s="326"/>
      <c r="P7587" s="318"/>
      <c r="Q7587" s="318"/>
      <c r="R7587" s="318"/>
      <c r="S7587" s="318"/>
      <c r="T7587" s="318"/>
      <c r="U7587" s="318"/>
      <c r="V7587" s="318"/>
      <c r="W7587" s="318"/>
      <c r="X7587" s="318"/>
      <c r="Y7587" s="318"/>
      <c r="Z7587" s="318"/>
      <c r="AA7587" s="318"/>
      <c r="AB7587" s="318"/>
      <c r="AC7587" s="318"/>
      <c r="AD7587" s="318"/>
    </row>
    <row r="7588" spans="2:30" s="323" customFormat="1" ht="12" customHeight="1">
      <c r="B7588" s="324"/>
      <c r="C7588" s="325"/>
      <c r="D7588" s="326"/>
      <c r="E7588" s="326"/>
      <c r="F7588" s="326"/>
      <c r="G7588" s="326"/>
      <c r="H7588" s="326"/>
      <c r="P7588" s="318"/>
      <c r="Q7588" s="318"/>
      <c r="R7588" s="318"/>
      <c r="S7588" s="318"/>
      <c r="T7588" s="318"/>
      <c r="U7588" s="318"/>
      <c r="V7588" s="318"/>
      <c r="W7588" s="318"/>
      <c r="X7588" s="318"/>
      <c r="Y7588" s="318"/>
      <c r="Z7588" s="318"/>
      <c r="AA7588" s="318"/>
      <c r="AB7588" s="318"/>
      <c r="AC7588" s="318"/>
      <c r="AD7588" s="318"/>
    </row>
    <row r="7589" spans="2:30" s="323" customFormat="1" ht="12" customHeight="1">
      <c r="B7589" s="324"/>
      <c r="C7589" s="325"/>
      <c r="D7589" s="326"/>
      <c r="E7589" s="326"/>
      <c r="F7589" s="326"/>
      <c r="G7589" s="326"/>
      <c r="H7589" s="326"/>
      <c r="P7589" s="318"/>
      <c r="Q7589" s="318"/>
      <c r="R7589" s="318"/>
      <c r="S7589" s="318"/>
      <c r="T7589" s="318"/>
      <c r="U7589" s="318"/>
      <c r="V7589" s="318"/>
      <c r="W7589" s="318"/>
      <c r="X7589" s="318"/>
      <c r="Y7589" s="318"/>
      <c r="Z7589" s="318"/>
      <c r="AA7589" s="318"/>
      <c r="AB7589" s="318"/>
      <c r="AC7589" s="318"/>
      <c r="AD7589" s="318"/>
    </row>
    <row r="7590" spans="2:30" s="323" customFormat="1" ht="12" customHeight="1">
      <c r="B7590" s="324"/>
      <c r="C7590" s="325"/>
      <c r="D7590" s="326"/>
      <c r="E7590" s="326"/>
      <c r="F7590" s="326"/>
      <c r="G7590" s="326"/>
      <c r="H7590" s="326"/>
      <c r="P7590" s="318"/>
      <c r="Q7590" s="318"/>
      <c r="R7590" s="318"/>
      <c r="S7590" s="318"/>
      <c r="T7590" s="318"/>
      <c r="U7590" s="318"/>
      <c r="V7590" s="318"/>
      <c r="W7590" s="318"/>
      <c r="X7590" s="318"/>
      <c r="Y7590" s="318"/>
      <c r="Z7590" s="318"/>
      <c r="AA7590" s="318"/>
      <c r="AB7590" s="318"/>
      <c r="AC7590" s="318"/>
      <c r="AD7590" s="318"/>
    </row>
    <row r="7591" spans="2:30" s="323" customFormat="1" ht="12" customHeight="1">
      <c r="B7591" s="324"/>
      <c r="C7591" s="325"/>
      <c r="D7591" s="326"/>
      <c r="E7591" s="326"/>
      <c r="F7591" s="326"/>
      <c r="G7591" s="326"/>
      <c r="H7591" s="326"/>
      <c r="P7591" s="318"/>
      <c r="Q7591" s="318"/>
      <c r="R7591" s="318"/>
      <c r="S7591" s="318"/>
      <c r="T7591" s="318"/>
      <c r="U7591" s="318"/>
      <c r="V7591" s="318"/>
      <c r="W7591" s="318"/>
      <c r="X7591" s="318"/>
      <c r="Y7591" s="318"/>
      <c r="Z7591" s="318"/>
      <c r="AA7591" s="318"/>
      <c r="AB7591" s="318"/>
      <c r="AC7591" s="318"/>
      <c r="AD7591" s="318"/>
    </row>
    <row r="7592" spans="2:30" s="323" customFormat="1" ht="12" customHeight="1">
      <c r="B7592" s="324"/>
      <c r="C7592" s="325"/>
      <c r="D7592" s="326"/>
      <c r="E7592" s="326"/>
      <c r="F7592" s="326"/>
      <c r="G7592" s="326"/>
      <c r="H7592" s="326"/>
      <c r="P7592" s="318"/>
      <c r="Q7592" s="318"/>
      <c r="R7592" s="318"/>
      <c r="S7592" s="318"/>
      <c r="T7592" s="318"/>
      <c r="U7592" s="318"/>
      <c r="V7592" s="318"/>
      <c r="W7592" s="318"/>
      <c r="X7592" s="318"/>
      <c r="Y7592" s="318"/>
      <c r="Z7592" s="318"/>
      <c r="AA7592" s="318"/>
      <c r="AB7592" s="318"/>
      <c r="AC7592" s="318"/>
      <c r="AD7592" s="318"/>
    </row>
    <row r="7593" spans="2:30" s="323" customFormat="1" ht="12" customHeight="1">
      <c r="B7593" s="324"/>
      <c r="C7593" s="325"/>
      <c r="D7593" s="326"/>
      <c r="E7593" s="326"/>
      <c r="F7593" s="326"/>
      <c r="G7593" s="326"/>
      <c r="H7593" s="326"/>
      <c r="P7593" s="318"/>
      <c r="Q7593" s="318"/>
      <c r="R7593" s="318"/>
      <c r="S7593" s="318"/>
      <c r="T7593" s="318"/>
      <c r="U7593" s="318"/>
      <c r="V7593" s="318"/>
      <c r="W7593" s="318"/>
      <c r="X7593" s="318"/>
      <c r="Y7593" s="318"/>
      <c r="Z7593" s="318"/>
      <c r="AA7593" s="318"/>
      <c r="AB7593" s="318"/>
      <c r="AC7593" s="318"/>
      <c r="AD7593" s="318"/>
    </row>
    <row r="7594" spans="2:30" s="323" customFormat="1" ht="12" customHeight="1">
      <c r="B7594" s="324"/>
      <c r="C7594" s="325"/>
      <c r="D7594" s="326"/>
      <c r="E7594" s="326"/>
      <c r="F7594" s="326"/>
      <c r="G7594" s="326"/>
      <c r="H7594" s="326"/>
      <c r="P7594" s="318"/>
      <c r="Q7594" s="318"/>
      <c r="R7594" s="318"/>
      <c r="S7594" s="318"/>
      <c r="T7594" s="318"/>
      <c r="U7594" s="318"/>
      <c r="V7594" s="318"/>
      <c r="W7594" s="318"/>
      <c r="X7594" s="318"/>
      <c r="Y7594" s="318"/>
      <c r="Z7594" s="318"/>
      <c r="AA7594" s="318"/>
      <c r="AB7594" s="318"/>
      <c r="AC7594" s="318"/>
      <c r="AD7594" s="318"/>
    </row>
    <row r="7595" spans="2:30" s="323" customFormat="1" ht="12" customHeight="1">
      <c r="B7595" s="324"/>
      <c r="C7595" s="325"/>
      <c r="D7595" s="326"/>
      <c r="E7595" s="326"/>
      <c r="F7595" s="326"/>
      <c r="G7595" s="326"/>
      <c r="H7595" s="326"/>
      <c r="P7595" s="318"/>
      <c r="Q7595" s="318"/>
      <c r="R7595" s="318"/>
      <c r="S7595" s="318"/>
      <c r="T7595" s="318"/>
      <c r="U7595" s="318"/>
      <c r="V7595" s="318"/>
      <c r="W7595" s="318"/>
      <c r="X7595" s="318"/>
      <c r="Y7595" s="318"/>
      <c r="Z7595" s="318"/>
      <c r="AA7595" s="318"/>
      <c r="AB7595" s="318"/>
      <c r="AC7595" s="318"/>
      <c r="AD7595" s="318"/>
    </row>
    <row r="7596" spans="2:30" s="323" customFormat="1" ht="12" customHeight="1">
      <c r="B7596" s="324"/>
      <c r="C7596" s="325"/>
      <c r="D7596" s="326"/>
      <c r="E7596" s="326"/>
      <c r="F7596" s="326"/>
      <c r="G7596" s="326"/>
      <c r="H7596" s="326"/>
      <c r="P7596" s="318"/>
      <c r="Q7596" s="318"/>
      <c r="R7596" s="318"/>
      <c r="S7596" s="318"/>
      <c r="T7596" s="318"/>
      <c r="U7596" s="318"/>
      <c r="V7596" s="318"/>
      <c r="W7596" s="318"/>
      <c r="X7596" s="318"/>
      <c r="Y7596" s="318"/>
      <c r="Z7596" s="318"/>
      <c r="AA7596" s="318"/>
      <c r="AB7596" s="318"/>
      <c r="AC7596" s="318"/>
      <c r="AD7596" s="318"/>
    </row>
    <row r="7597" spans="2:30" s="323" customFormat="1" ht="12" customHeight="1">
      <c r="B7597" s="324"/>
      <c r="C7597" s="325"/>
      <c r="D7597" s="326"/>
      <c r="E7597" s="326"/>
      <c r="F7597" s="326"/>
      <c r="G7597" s="326"/>
      <c r="H7597" s="326"/>
      <c r="P7597" s="318"/>
      <c r="Q7597" s="318"/>
      <c r="R7597" s="318"/>
      <c r="S7597" s="318"/>
      <c r="T7597" s="318"/>
      <c r="U7597" s="318"/>
      <c r="V7597" s="318"/>
      <c r="W7597" s="318"/>
      <c r="X7597" s="318"/>
      <c r="Y7597" s="318"/>
      <c r="Z7597" s="318"/>
      <c r="AA7597" s="318"/>
      <c r="AB7597" s="318"/>
      <c r="AC7597" s="318"/>
      <c r="AD7597" s="318"/>
    </row>
    <row r="7598" spans="2:30" s="323" customFormat="1" ht="12" customHeight="1">
      <c r="B7598" s="324"/>
      <c r="C7598" s="325"/>
      <c r="D7598" s="326"/>
      <c r="E7598" s="326"/>
      <c r="F7598" s="326"/>
      <c r="G7598" s="326"/>
      <c r="H7598" s="326"/>
      <c r="P7598" s="318"/>
      <c r="Q7598" s="318"/>
      <c r="R7598" s="318"/>
      <c r="S7598" s="318"/>
      <c r="T7598" s="318"/>
      <c r="U7598" s="318"/>
      <c r="V7598" s="318"/>
      <c r="W7598" s="318"/>
      <c r="X7598" s="318"/>
      <c r="Y7598" s="318"/>
      <c r="Z7598" s="318"/>
      <c r="AA7598" s="318"/>
      <c r="AB7598" s="318"/>
      <c r="AC7598" s="318"/>
      <c r="AD7598" s="318"/>
    </row>
    <row r="7599" spans="2:30" s="323" customFormat="1" ht="12" customHeight="1">
      <c r="B7599" s="324"/>
      <c r="C7599" s="325"/>
      <c r="D7599" s="326"/>
      <c r="E7599" s="326"/>
      <c r="F7599" s="326"/>
      <c r="G7599" s="326"/>
      <c r="H7599" s="326"/>
      <c r="P7599" s="318"/>
      <c r="Q7599" s="318"/>
      <c r="R7599" s="318"/>
      <c r="S7599" s="318"/>
      <c r="T7599" s="318"/>
      <c r="U7599" s="318"/>
      <c r="V7599" s="318"/>
      <c r="W7599" s="318"/>
      <c r="X7599" s="318"/>
      <c r="Y7599" s="318"/>
      <c r="Z7599" s="318"/>
      <c r="AA7599" s="318"/>
      <c r="AB7599" s="318"/>
      <c r="AC7599" s="318"/>
      <c r="AD7599" s="318"/>
    </row>
    <row r="7600" spans="2:30" s="323" customFormat="1" ht="12" customHeight="1">
      <c r="B7600" s="324"/>
      <c r="C7600" s="325"/>
      <c r="D7600" s="326"/>
      <c r="E7600" s="326"/>
      <c r="F7600" s="326"/>
      <c r="G7600" s="326"/>
      <c r="H7600" s="326"/>
      <c r="P7600" s="318"/>
      <c r="Q7600" s="318"/>
      <c r="R7600" s="318"/>
      <c r="S7600" s="318"/>
      <c r="T7600" s="318"/>
      <c r="U7600" s="318"/>
      <c r="V7600" s="318"/>
      <c r="W7600" s="318"/>
      <c r="X7600" s="318"/>
      <c r="Y7600" s="318"/>
      <c r="Z7600" s="318"/>
      <c r="AA7600" s="318"/>
      <c r="AB7600" s="318"/>
      <c r="AC7600" s="318"/>
      <c r="AD7600" s="318"/>
    </row>
    <row r="7601" spans="2:30" s="323" customFormat="1" ht="12" customHeight="1">
      <c r="B7601" s="324"/>
      <c r="C7601" s="325"/>
      <c r="D7601" s="326"/>
      <c r="E7601" s="326"/>
      <c r="F7601" s="326"/>
      <c r="G7601" s="326"/>
      <c r="H7601" s="326"/>
      <c r="P7601" s="318"/>
      <c r="Q7601" s="318"/>
      <c r="R7601" s="318"/>
      <c r="S7601" s="318"/>
      <c r="T7601" s="318"/>
      <c r="U7601" s="318"/>
      <c r="V7601" s="318"/>
      <c r="W7601" s="318"/>
      <c r="X7601" s="318"/>
      <c r="Y7601" s="318"/>
      <c r="Z7601" s="318"/>
      <c r="AA7601" s="318"/>
      <c r="AB7601" s="318"/>
      <c r="AC7601" s="318"/>
      <c r="AD7601" s="318"/>
    </row>
    <row r="7602" spans="2:30" s="323" customFormat="1" ht="12" customHeight="1">
      <c r="B7602" s="324"/>
      <c r="C7602" s="325"/>
      <c r="D7602" s="326"/>
      <c r="E7602" s="326"/>
      <c r="F7602" s="326"/>
      <c r="G7602" s="326"/>
      <c r="H7602" s="326"/>
      <c r="P7602" s="318"/>
      <c r="Q7602" s="318"/>
      <c r="R7602" s="318"/>
      <c r="S7602" s="318"/>
      <c r="T7602" s="318"/>
      <c r="U7602" s="318"/>
      <c r="V7602" s="318"/>
      <c r="W7602" s="318"/>
      <c r="X7602" s="318"/>
      <c r="Y7602" s="318"/>
      <c r="Z7602" s="318"/>
      <c r="AA7602" s="318"/>
      <c r="AB7602" s="318"/>
      <c r="AC7602" s="318"/>
      <c r="AD7602" s="318"/>
    </row>
    <row r="7603" spans="2:30" s="323" customFormat="1" ht="12" customHeight="1">
      <c r="B7603" s="324"/>
      <c r="C7603" s="325"/>
      <c r="D7603" s="326"/>
      <c r="E7603" s="326"/>
      <c r="F7603" s="326"/>
      <c r="G7603" s="326"/>
      <c r="H7603" s="326"/>
      <c r="P7603" s="318"/>
      <c r="Q7603" s="318"/>
      <c r="R7603" s="318"/>
      <c r="S7603" s="318"/>
      <c r="T7603" s="318"/>
      <c r="U7603" s="318"/>
      <c r="V7603" s="318"/>
      <c r="W7603" s="318"/>
      <c r="X7603" s="318"/>
      <c r="Y7603" s="318"/>
      <c r="Z7603" s="318"/>
      <c r="AA7603" s="318"/>
      <c r="AB7603" s="318"/>
      <c r="AC7603" s="318"/>
      <c r="AD7603" s="318"/>
    </row>
    <row r="7604" spans="2:30" s="323" customFormat="1" ht="12" customHeight="1">
      <c r="B7604" s="324"/>
      <c r="C7604" s="325"/>
      <c r="D7604" s="326"/>
      <c r="E7604" s="326"/>
      <c r="F7604" s="326"/>
      <c r="G7604" s="326"/>
      <c r="H7604" s="326"/>
      <c r="P7604" s="318"/>
      <c r="Q7604" s="318"/>
      <c r="R7604" s="318"/>
      <c r="S7604" s="318"/>
      <c r="T7604" s="318"/>
      <c r="U7604" s="318"/>
      <c r="V7604" s="318"/>
      <c r="W7604" s="318"/>
      <c r="X7604" s="318"/>
      <c r="Y7604" s="318"/>
      <c r="Z7604" s="318"/>
      <c r="AA7604" s="318"/>
      <c r="AB7604" s="318"/>
      <c r="AC7604" s="318"/>
      <c r="AD7604" s="318"/>
    </row>
    <row r="7605" spans="2:30" s="323" customFormat="1" ht="12" customHeight="1">
      <c r="B7605" s="324"/>
      <c r="C7605" s="325"/>
      <c r="D7605" s="326"/>
      <c r="E7605" s="326"/>
      <c r="F7605" s="326"/>
      <c r="G7605" s="326"/>
      <c r="H7605" s="326"/>
      <c r="P7605" s="318"/>
      <c r="Q7605" s="318"/>
      <c r="R7605" s="318"/>
      <c r="S7605" s="318"/>
      <c r="T7605" s="318"/>
      <c r="U7605" s="318"/>
      <c r="V7605" s="318"/>
      <c r="W7605" s="318"/>
      <c r="X7605" s="318"/>
      <c r="Y7605" s="318"/>
      <c r="Z7605" s="318"/>
      <c r="AA7605" s="318"/>
      <c r="AB7605" s="318"/>
      <c r="AC7605" s="318"/>
      <c r="AD7605" s="318"/>
    </row>
    <row r="7606" spans="2:30" s="323" customFormat="1" ht="12" customHeight="1">
      <c r="B7606" s="324"/>
      <c r="C7606" s="325"/>
      <c r="D7606" s="326"/>
      <c r="E7606" s="326"/>
      <c r="F7606" s="326"/>
      <c r="G7606" s="326"/>
      <c r="H7606" s="326"/>
      <c r="P7606" s="318"/>
      <c r="Q7606" s="318"/>
      <c r="R7606" s="318"/>
      <c r="S7606" s="318"/>
      <c r="T7606" s="318"/>
      <c r="U7606" s="318"/>
      <c r="V7606" s="318"/>
      <c r="W7606" s="318"/>
      <c r="X7606" s="318"/>
      <c r="Y7606" s="318"/>
      <c r="Z7606" s="318"/>
      <c r="AA7606" s="318"/>
      <c r="AB7606" s="318"/>
      <c r="AC7606" s="318"/>
      <c r="AD7606" s="318"/>
    </row>
    <row r="7607" spans="2:30" s="323" customFormat="1" ht="12" customHeight="1">
      <c r="B7607" s="324"/>
      <c r="C7607" s="325"/>
      <c r="D7607" s="326"/>
      <c r="E7607" s="326"/>
      <c r="F7607" s="326"/>
      <c r="G7607" s="326"/>
      <c r="H7607" s="326"/>
      <c r="P7607" s="318"/>
      <c r="Q7607" s="318"/>
      <c r="R7607" s="318"/>
      <c r="S7607" s="318"/>
      <c r="T7607" s="318"/>
      <c r="U7607" s="318"/>
      <c r="V7607" s="318"/>
      <c r="W7607" s="318"/>
      <c r="X7607" s="318"/>
      <c r="Y7607" s="318"/>
      <c r="Z7607" s="318"/>
      <c r="AA7607" s="318"/>
      <c r="AB7607" s="318"/>
      <c r="AC7607" s="318"/>
      <c r="AD7607" s="318"/>
    </row>
    <row r="7608" spans="2:30" s="323" customFormat="1" ht="12" customHeight="1">
      <c r="B7608" s="324"/>
      <c r="C7608" s="325"/>
      <c r="D7608" s="326"/>
      <c r="E7608" s="326"/>
      <c r="F7608" s="326"/>
      <c r="G7608" s="326"/>
      <c r="H7608" s="326"/>
      <c r="P7608" s="318"/>
      <c r="Q7608" s="318"/>
      <c r="R7608" s="318"/>
      <c r="S7608" s="318"/>
      <c r="T7608" s="318"/>
      <c r="U7608" s="318"/>
      <c r="V7608" s="318"/>
      <c r="W7608" s="318"/>
      <c r="X7608" s="318"/>
      <c r="Y7608" s="318"/>
      <c r="Z7608" s="318"/>
      <c r="AA7608" s="318"/>
      <c r="AB7608" s="318"/>
      <c r="AC7608" s="318"/>
      <c r="AD7608" s="318"/>
    </row>
    <row r="7609" spans="2:30" s="323" customFormat="1" ht="12" customHeight="1">
      <c r="B7609" s="324"/>
      <c r="C7609" s="325"/>
      <c r="D7609" s="326"/>
      <c r="E7609" s="326"/>
      <c r="F7609" s="326"/>
      <c r="G7609" s="326"/>
      <c r="H7609" s="326"/>
      <c r="P7609" s="318"/>
      <c r="Q7609" s="318"/>
      <c r="R7609" s="318"/>
      <c r="S7609" s="318"/>
      <c r="T7609" s="318"/>
      <c r="U7609" s="318"/>
      <c r="V7609" s="318"/>
      <c r="W7609" s="318"/>
      <c r="X7609" s="318"/>
      <c r="Y7609" s="318"/>
      <c r="Z7609" s="318"/>
      <c r="AA7609" s="318"/>
      <c r="AB7609" s="318"/>
      <c r="AC7609" s="318"/>
      <c r="AD7609" s="318"/>
    </row>
    <row r="7610" spans="2:30" s="323" customFormat="1" ht="12" customHeight="1">
      <c r="B7610" s="324"/>
      <c r="C7610" s="325"/>
      <c r="D7610" s="326"/>
      <c r="E7610" s="326"/>
      <c r="F7610" s="326"/>
      <c r="G7610" s="326"/>
      <c r="H7610" s="326"/>
      <c r="P7610" s="318"/>
      <c r="Q7610" s="318"/>
      <c r="R7610" s="318"/>
      <c r="S7610" s="318"/>
      <c r="T7610" s="318"/>
      <c r="U7610" s="318"/>
      <c r="V7610" s="318"/>
      <c r="W7610" s="318"/>
      <c r="X7610" s="318"/>
      <c r="Y7610" s="318"/>
      <c r="Z7610" s="318"/>
      <c r="AA7610" s="318"/>
      <c r="AB7610" s="318"/>
      <c r="AC7610" s="318"/>
      <c r="AD7610" s="318"/>
    </row>
    <row r="7611" spans="2:30" s="323" customFormat="1" ht="12" customHeight="1">
      <c r="B7611" s="324"/>
      <c r="C7611" s="325"/>
      <c r="D7611" s="326"/>
      <c r="E7611" s="326"/>
      <c r="F7611" s="326"/>
      <c r="G7611" s="326"/>
      <c r="H7611" s="326"/>
      <c r="P7611" s="318"/>
      <c r="Q7611" s="318"/>
      <c r="R7611" s="318"/>
      <c r="S7611" s="318"/>
      <c r="T7611" s="318"/>
      <c r="U7611" s="318"/>
      <c r="V7611" s="318"/>
      <c r="W7611" s="318"/>
      <c r="X7611" s="318"/>
      <c r="Y7611" s="318"/>
      <c r="Z7611" s="318"/>
      <c r="AA7611" s="318"/>
      <c r="AB7611" s="318"/>
      <c r="AC7611" s="318"/>
      <c r="AD7611" s="318"/>
    </row>
    <row r="7612" spans="2:30" s="323" customFormat="1" ht="12" customHeight="1">
      <c r="B7612" s="324"/>
      <c r="C7612" s="325"/>
      <c r="D7612" s="326"/>
      <c r="E7612" s="326"/>
      <c r="F7612" s="326"/>
      <c r="G7612" s="326"/>
      <c r="H7612" s="326"/>
      <c r="P7612" s="318"/>
      <c r="Q7612" s="318"/>
      <c r="R7612" s="318"/>
      <c r="S7612" s="318"/>
      <c r="T7612" s="318"/>
      <c r="U7612" s="318"/>
      <c r="V7612" s="318"/>
      <c r="W7612" s="318"/>
      <c r="X7612" s="318"/>
      <c r="Y7612" s="318"/>
      <c r="Z7612" s="318"/>
      <c r="AA7612" s="318"/>
      <c r="AB7612" s="318"/>
      <c r="AC7612" s="318"/>
      <c r="AD7612" s="318"/>
    </row>
    <row r="7613" spans="2:30" s="323" customFormat="1" ht="12" customHeight="1">
      <c r="B7613" s="324"/>
      <c r="C7613" s="325"/>
      <c r="D7613" s="326"/>
      <c r="E7613" s="326"/>
      <c r="F7613" s="326"/>
      <c r="G7613" s="326"/>
      <c r="H7613" s="326"/>
      <c r="P7613" s="318"/>
      <c r="Q7613" s="318"/>
      <c r="R7613" s="318"/>
      <c r="S7613" s="318"/>
      <c r="T7613" s="318"/>
      <c r="U7613" s="318"/>
      <c r="V7613" s="318"/>
      <c r="W7613" s="318"/>
      <c r="X7613" s="318"/>
      <c r="Y7613" s="318"/>
      <c r="Z7613" s="318"/>
      <c r="AA7613" s="318"/>
      <c r="AB7613" s="318"/>
      <c r="AC7613" s="318"/>
      <c r="AD7613" s="318"/>
    </row>
    <row r="7614" spans="2:30" s="323" customFormat="1" ht="12" customHeight="1">
      <c r="B7614" s="324"/>
      <c r="C7614" s="325"/>
      <c r="D7614" s="326"/>
      <c r="E7614" s="326"/>
      <c r="F7614" s="326"/>
      <c r="G7614" s="326"/>
      <c r="H7614" s="326"/>
      <c r="P7614" s="318"/>
      <c r="Q7614" s="318"/>
      <c r="R7614" s="318"/>
      <c r="S7614" s="318"/>
      <c r="T7614" s="318"/>
      <c r="U7614" s="318"/>
      <c r="V7614" s="318"/>
      <c r="W7614" s="318"/>
      <c r="X7614" s="318"/>
      <c r="Y7614" s="318"/>
      <c r="Z7614" s="318"/>
      <c r="AA7614" s="318"/>
      <c r="AB7614" s="318"/>
      <c r="AC7614" s="318"/>
      <c r="AD7614" s="318"/>
    </row>
    <row r="7615" spans="2:30" s="323" customFormat="1" ht="12" customHeight="1">
      <c r="B7615" s="324"/>
      <c r="C7615" s="325"/>
      <c r="D7615" s="326"/>
      <c r="E7615" s="326"/>
      <c r="F7615" s="326"/>
      <c r="G7615" s="326"/>
      <c r="H7615" s="326"/>
      <c r="P7615" s="318"/>
      <c r="Q7615" s="318"/>
      <c r="R7615" s="318"/>
      <c r="S7615" s="318"/>
      <c r="T7615" s="318"/>
      <c r="U7615" s="318"/>
      <c r="V7615" s="318"/>
      <c r="W7615" s="318"/>
      <c r="X7615" s="318"/>
      <c r="Y7615" s="318"/>
      <c r="Z7615" s="318"/>
      <c r="AA7615" s="318"/>
      <c r="AB7615" s="318"/>
      <c r="AC7615" s="318"/>
      <c r="AD7615" s="318"/>
    </row>
    <row r="7616" spans="2:30" s="323" customFormat="1" ht="12" customHeight="1">
      <c r="B7616" s="324"/>
      <c r="C7616" s="325"/>
      <c r="D7616" s="326"/>
      <c r="E7616" s="326"/>
      <c r="F7616" s="326"/>
      <c r="G7616" s="326"/>
      <c r="H7616" s="326"/>
      <c r="P7616" s="318"/>
      <c r="Q7616" s="318"/>
      <c r="R7616" s="318"/>
      <c r="S7616" s="318"/>
      <c r="T7616" s="318"/>
      <c r="U7616" s="318"/>
      <c r="V7616" s="318"/>
      <c r="W7616" s="318"/>
      <c r="X7616" s="318"/>
      <c r="Y7616" s="318"/>
      <c r="Z7616" s="318"/>
      <c r="AA7616" s="318"/>
      <c r="AB7616" s="318"/>
      <c r="AC7616" s="318"/>
      <c r="AD7616" s="318"/>
    </row>
    <row r="7617" spans="2:30" s="323" customFormat="1" ht="12" customHeight="1">
      <c r="B7617" s="324"/>
      <c r="C7617" s="325"/>
      <c r="D7617" s="326"/>
      <c r="E7617" s="326"/>
      <c r="F7617" s="326"/>
      <c r="G7617" s="326"/>
      <c r="H7617" s="326"/>
      <c r="P7617" s="318"/>
      <c r="Q7617" s="318"/>
      <c r="R7617" s="318"/>
      <c r="S7617" s="318"/>
      <c r="T7617" s="318"/>
      <c r="U7617" s="318"/>
      <c r="V7617" s="318"/>
      <c r="W7617" s="318"/>
      <c r="X7617" s="318"/>
      <c r="Y7617" s="318"/>
      <c r="Z7617" s="318"/>
      <c r="AA7617" s="318"/>
      <c r="AB7617" s="318"/>
      <c r="AC7617" s="318"/>
      <c r="AD7617" s="318"/>
    </row>
    <row r="7618" spans="2:30" s="323" customFormat="1" ht="12" customHeight="1">
      <c r="B7618" s="324"/>
      <c r="C7618" s="325"/>
      <c r="D7618" s="326"/>
      <c r="E7618" s="326"/>
      <c r="F7618" s="326"/>
      <c r="G7618" s="326"/>
      <c r="H7618" s="326"/>
      <c r="P7618" s="318"/>
      <c r="Q7618" s="318"/>
      <c r="R7618" s="318"/>
      <c r="S7618" s="318"/>
      <c r="T7618" s="318"/>
      <c r="U7618" s="318"/>
      <c r="V7618" s="318"/>
      <c r="W7618" s="318"/>
      <c r="X7618" s="318"/>
      <c r="Y7618" s="318"/>
      <c r="Z7618" s="318"/>
      <c r="AA7618" s="318"/>
      <c r="AB7618" s="318"/>
      <c r="AC7618" s="318"/>
      <c r="AD7618" s="318"/>
    </row>
    <row r="7619" spans="2:30" s="323" customFormat="1" ht="12" customHeight="1">
      <c r="B7619" s="324"/>
      <c r="C7619" s="325"/>
      <c r="D7619" s="326"/>
      <c r="E7619" s="326"/>
      <c r="F7619" s="326"/>
      <c r="G7619" s="326"/>
      <c r="H7619" s="326"/>
      <c r="P7619" s="318"/>
      <c r="Q7619" s="318"/>
      <c r="R7619" s="318"/>
      <c r="S7619" s="318"/>
      <c r="T7619" s="318"/>
      <c r="U7619" s="318"/>
      <c r="V7619" s="318"/>
      <c r="W7619" s="318"/>
      <c r="X7619" s="318"/>
      <c r="Y7619" s="318"/>
      <c r="Z7619" s="318"/>
      <c r="AA7619" s="318"/>
      <c r="AB7619" s="318"/>
      <c r="AC7619" s="318"/>
      <c r="AD7619" s="318"/>
    </row>
    <row r="7620" spans="2:30" s="323" customFormat="1" ht="12" customHeight="1">
      <c r="B7620" s="324"/>
      <c r="C7620" s="325"/>
      <c r="D7620" s="326"/>
      <c r="E7620" s="326"/>
      <c r="F7620" s="326"/>
      <c r="G7620" s="326"/>
      <c r="H7620" s="326"/>
      <c r="P7620" s="318"/>
      <c r="Q7620" s="318"/>
      <c r="R7620" s="318"/>
      <c r="S7620" s="318"/>
      <c r="T7620" s="318"/>
      <c r="U7620" s="318"/>
      <c r="V7620" s="318"/>
      <c r="W7620" s="318"/>
      <c r="X7620" s="318"/>
      <c r="Y7620" s="318"/>
      <c r="Z7620" s="318"/>
      <c r="AA7620" s="318"/>
      <c r="AB7620" s="318"/>
      <c r="AC7620" s="318"/>
      <c r="AD7620" s="318"/>
    </row>
    <row r="7621" spans="2:30" s="323" customFormat="1" ht="12" customHeight="1">
      <c r="B7621" s="324"/>
      <c r="C7621" s="325"/>
      <c r="D7621" s="326"/>
      <c r="E7621" s="326"/>
      <c r="F7621" s="326"/>
      <c r="G7621" s="326"/>
      <c r="H7621" s="326"/>
      <c r="P7621" s="318"/>
      <c r="Q7621" s="318"/>
      <c r="R7621" s="318"/>
      <c r="S7621" s="318"/>
      <c r="T7621" s="318"/>
      <c r="U7621" s="318"/>
      <c r="V7621" s="318"/>
      <c r="W7621" s="318"/>
      <c r="X7621" s="318"/>
      <c r="Y7621" s="318"/>
      <c r="Z7621" s="318"/>
      <c r="AA7621" s="318"/>
      <c r="AB7621" s="318"/>
      <c r="AC7621" s="318"/>
      <c r="AD7621" s="318"/>
    </row>
    <row r="7622" spans="2:30" s="323" customFormat="1" ht="12" customHeight="1">
      <c r="B7622" s="324"/>
      <c r="C7622" s="325"/>
      <c r="D7622" s="326"/>
      <c r="E7622" s="326"/>
      <c r="F7622" s="326"/>
      <c r="G7622" s="326"/>
      <c r="H7622" s="326"/>
      <c r="P7622" s="318"/>
      <c r="Q7622" s="318"/>
      <c r="R7622" s="318"/>
      <c r="S7622" s="318"/>
      <c r="T7622" s="318"/>
      <c r="U7622" s="318"/>
      <c r="V7622" s="318"/>
      <c r="W7622" s="318"/>
      <c r="X7622" s="318"/>
      <c r="Y7622" s="318"/>
      <c r="Z7622" s="318"/>
      <c r="AA7622" s="318"/>
      <c r="AB7622" s="318"/>
      <c r="AC7622" s="318"/>
      <c r="AD7622" s="318"/>
    </row>
    <row r="7623" spans="2:30" s="323" customFormat="1" ht="12" customHeight="1">
      <c r="B7623" s="324"/>
      <c r="C7623" s="325"/>
      <c r="D7623" s="326"/>
      <c r="E7623" s="326"/>
      <c r="F7623" s="326"/>
      <c r="G7623" s="326"/>
      <c r="H7623" s="326"/>
      <c r="P7623" s="318"/>
      <c r="Q7623" s="318"/>
      <c r="R7623" s="318"/>
      <c r="S7623" s="318"/>
      <c r="T7623" s="318"/>
      <c r="U7623" s="318"/>
      <c r="V7623" s="318"/>
      <c r="W7623" s="318"/>
      <c r="X7623" s="318"/>
      <c r="Y7623" s="318"/>
      <c r="Z7623" s="318"/>
      <c r="AA7623" s="318"/>
      <c r="AB7623" s="318"/>
      <c r="AC7623" s="318"/>
      <c r="AD7623" s="318"/>
    </row>
    <row r="7624" spans="2:30" s="323" customFormat="1" ht="12" customHeight="1">
      <c r="B7624" s="324"/>
      <c r="C7624" s="325"/>
      <c r="D7624" s="326"/>
      <c r="E7624" s="326"/>
      <c r="F7624" s="326"/>
      <c r="G7624" s="326"/>
      <c r="H7624" s="326"/>
      <c r="P7624" s="318"/>
      <c r="Q7624" s="318"/>
      <c r="R7624" s="318"/>
      <c r="S7624" s="318"/>
      <c r="T7624" s="318"/>
      <c r="U7624" s="318"/>
      <c r="V7624" s="318"/>
      <c r="W7624" s="318"/>
      <c r="X7624" s="318"/>
      <c r="Y7624" s="318"/>
      <c r="Z7624" s="318"/>
      <c r="AA7624" s="318"/>
      <c r="AB7624" s="318"/>
      <c r="AC7624" s="318"/>
      <c r="AD7624" s="318"/>
    </row>
    <row r="7625" spans="2:30" s="323" customFormat="1" ht="12" customHeight="1">
      <c r="B7625" s="324"/>
      <c r="C7625" s="325"/>
      <c r="D7625" s="326"/>
      <c r="E7625" s="326"/>
      <c r="F7625" s="326"/>
      <c r="G7625" s="326"/>
      <c r="H7625" s="326"/>
      <c r="P7625" s="318"/>
      <c r="Q7625" s="318"/>
      <c r="R7625" s="318"/>
      <c r="S7625" s="318"/>
      <c r="T7625" s="318"/>
      <c r="U7625" s="318"/>
      <c r="V7625" s="318"/>
      <c r="W7625" s="318"/>
      <c r="X7625" s="318"/>
      <c r="Y7625" s="318"/>
      <c r="Z7625" s="318"/>
      <c r="AA7625" s="318"/>
      <c r="AB7625" s="318"/>
      <c r="AC7625" s="318"/>
      <c r="AD7625" s="318"/>
    </row>
    <row r="7626" spans="2:30" s="323" customFormat="1" ht="12" customHeight="1">
      <c r="B7626" s="324"/>
      <c r="C7626" s="325"/>
      <c r="D7626" s="326"/>
      <c r="E7626" s="326"/>
      <c r="F7626" s="326"/>
      <c r="G7626" s="326"/>
      <c r="H7626" s="326"/>
      <c r="P7626" s="318"/>
      <c r="Q7626" s="318"/>
      <c r="R7626" s="318"/>
      <c r="S7626" s="318"/>
      <c r="T7626" s="318"/>
      <c r="U7626" s="318"/>
      <c r="V7626" s="318"/>
      <c r="W7626" s="318"/>
      <c r="X7626" s="318"/>
      <c r="Y7626" s="318"/>
      <c r="Z7626" s="318"/>
      <c r="AA7626" s="318"/>
      <c r="AB7626" s="318"/>
      <c r="AC7626" s="318"/>
      <c r="AD7626" s="318"/>
    </row>
    <row r="7627" spans="2:30" s="323" customFormat="1" ht="12" customHeight="1">
      <c r="B7627" s="324"/>
      <c r="C7627" s="325"/>
      <c r="D7627" s="326"/>
      <c r="E7627" s="326"/>
      <c r="F7627" s="326"/>
      <c r="G7627" s="326"/>
      <c r="H7627" s="326"/>
      <c r="P7627" s="318"/>
      <c r="Q7627" s="318"/>
      <c r="R7627" s="318"/>
      <c r="S7627" s="318"/>
      <c r="T7627" s="318"/>
      <c r="U7627" s="318"/>
      <c r="V7627" s="318"/>
      <c r="W7627" s="318"/>
      <c r="X7627" s="318"/>
      <c r="Y7627" s="318"/>
      <c r="Z7627" s="318"/>
      <c r="AA7627" s="318"/>
      <c r="AB7627" s="318"/>
      <c r="AC7627" s="318"/>
      <c r="AD7627" s="318"/>
    </row>
    <row r="7628" spans="2:30" s="323" customFormat="1" ht="12" customHeight="1">
      <c r="B7628" s="324"/>
      <c r="C7628" s="325"/>
      <c r="D7628" s="326"/>
      <c r="E7628" s="326"/>
      <c r="F7628" s="326"/>
      <c r="G7628" s="326"/>
      <c r="H7628" s="326"/>
      <c r="P7628" s="318"/>
      <c r="Q7628" s="318"/>
      <c r="R7628" s="318"/>
      <c r="S7628" s="318"/>
      <c r="T7628" s="318"/>
      <c r="U7628" s="318"/>
      <c r="V7628" s="318"/>
      <c r="W7628" s="318"/>
      <c r="X7628" s="318"/>
      <c r="Y7628" s="318"/>
      <c r="Z7628" s="318"/>
      <c r="AA7628" s="318"/>
      <c r="AB7628" s="318"/>
      <c r="AC7628" s="318"/>
      <c r="AD7628" s="318"/>
    </row>
    <row r="7629" spans="2:30" s="323" customFormat="1" ht="12" customHeight="1">
      <c r="B7629" s="324"/>
      <c r="C7629" s="325"/>
      <c r="D7629" s="326"/>
      <c r="E7629" s="326"/>
      <c r="F7629" s="326"/>
      <c r="G7629" s="326"/>
      <c r="H7629" s="326"/>
      <c r="P7629" s="318"/>
      <c r="Q7629" s="318"/>
      <c r="R7629" s="318"/>
      <c r="S7629" s="318"/>
      <c r="T7629" s="318"/>
      <c r="U7629" s="318"/>
      <c r="V7629" s="318"/>
      <c r="W7629" s="318"/>
      <c r="X7629" s="318"/>
      <c r="Y7629" s="318"/>
      <c r="Z7629" s="318"/>
      <c r="AA7629" s="318"/>
      <c r="AB7629" s="318"/>
      <c r="AC7629" s="318"/>
      <c r="AD7629" s="318"/>
    </row>
    <row r="7630" spans="2:30" s="323" customFormat="1" ht="12" customHeight="1">
      <c r="B7630" s="324"/>
      <c r="C7630" s="325"/>
      <c r="D7630" s="326"/>
      <c r="E7630" s="326"/>
      <c r="F7630" s="326"/>
      <c r="G7630" s="326"/>
      <c r="H7630" s="326"/>
      <c r="P7630" s="318"/>
      <c r="Q7630" s="318"/>
      <c r="R7630" s="318"/>
      <c r="S7630" s="318"/>
      <c r="T7630" s="318"/>
      <c r="U7630" s="318"/>
      <c r="V7630" s="318"/>
      <c r="W7630" s="318"/>
      <c r="X7630" s="318"/>
      <c r="Y7630" s="318"/>
      <c r="Z7630" s="318"/>
      <c r="AA7630" s="318"/>
      <c r="AB7630" s="318"/>
      <c r="AC7630" s="318"/>
      <c r="AD7630" s="318"/>
    </row>
    <row r="7631" spans="2:30" s="323" customFormat="1" ht="12" customHeight="1">
      <c r="B7631" s="324"/>
      <c r="C7631" s="325"/>
      <c r="D7631" s="326"/>
      <c r="E7631" s="326"/>
      <c r="F7631" s="326"/>
      <c r="G7631" s="326"/>
      <c r="H7631" s="326"/>
      <c r="P7631" s="318"/>
      <c r="Q7631" s="318"/>
      <c r="R7631" s="318"/>
      <c r="S7631" s="318"/>
      <c r="T7631" s="318"/>
      <c r="U7631" s="318"/>
      <c r="V7631" s="318"/>
      <c r="W7631" s="318"/>
      <c r="X7631" s="318"/>
      <c r="Y7631" s="318"/>
      <c r="Z7631" s="318"/>
      <c r="AA7631" s="318"/>
      <c r="AB7631" s="318"/>
      <c r="AC7631" s="318"/>
      <c r="AD7631" s="318"/>
    </row>
    <row r="7632" spans="2:30" s="323" customFormat="1" ht="12" customHeight="1">
      <c r="B7632" s="324"/>
      <c r="C7632" s="325"/>
      <c r="D7632" s="326"/>
      <c r="E7632" s="326"/>
      <c r="F7632" s="326"/>
      <c r="G7632" s="326"/>
      <c r="H7632" s="326"/>
      <c r="P7632" s="318"/>
      <c r="Q7632" s="318"/>
      <c r="R7632" s="318"/>
      <c r="S7632" s="318"/>
      <c r="T7632" s="318"/>
      <c r="U7632" s="318"/>
      <c r="V7632" s="318"/>
      <c r="W7632" s="318"/>
      <c r="X7632" s="318"/>
      <c r="Y7632" s="318"/>
      <c r="Z7632" s="318"/>
      <c r="AA7632" s="318"/>
      <c r="AB7632" s="318"/>
      <c r="AC7632" s="318"/>
      <c r="AD7632" s="318"/>
    </row>
    <row r="7633" spans="2:30" s="323" customFormat="1" ht="12" customHeight="1">
      <c r="B7633" s="324"/>
      <c r="C7633" s="325"/>
      <c r="D7633" s="326"/>
      <c r="E7633" s="326"/>
      <c r="F7633" s="326"/>
      <c r="G7633" s="326"/>
      <c r="H7633" s="326"/>
      <c r="P7633" s="318"/>
      <c r="Q7633" s="318"/>
      <c r="R7633" s="318"/>
      <c r="S7633" s="318"/>
      <c r="T7633" s="318"/>
      <c r="U7633" s="318"/>
      <c r="V7633" s="318"/>
      <c r="W7633" s="318"/>
      <c r="X7633" s="318"/>
      <c r="Y7633" s="318"/>
      <c r="Z7633" s="318"/>
      <c r="AA7633" s="318"/>
      <c r="AB7633" s="318"/>
      <c r="AC7633" s="318"/>
      <c r="AD7633" s="318"/>
    </row>
    <row r="7634" spans="2:30" s="323" customFormat="1" ht="12" customHeight="1">
      <c r="B7634" s="324"/>
      <c r="C7634" s="325"/>
      <c r="D7634" s="326"/>
      <c r="E7634" s="326"/>
      <c r="F7634" s="326"/>
      <c r="G7634" s="326"/>
      <c r="H7634" s="326"/>
      <c r="P7634" s="318"/>
      <c r="Q7634" s="318"/>
      <c r="R7634" s="318"/>
      <c r="S7634" s="318"/>
      <c r="T7634" s="318"/>
      <c r="U7634" s="318"/>
      <c r="V7634" s="318"/>
      <c r="W7634" s="318"/>
      <c r="X7634" s="318"/>
      <c r="Y7634" s="318"/>
      <c r="Z7634" s="318"/>
      <c r="AA7634" s="318"/>
      <c r="AB7634" s="318"/>
      <c r="AC7634" s="318"/>
      <c r="AD7634" s="318"/>
    </row>
    <row r="7635" spans="2:30" s="323" customFormat="1" ht="12" customHeight="1">
      <c r="B7635" s="324"/>
      <c r="C7635" s="325"/>
      <c r="D7635" s="326"/>
      <c r="E7635" s="326"/>
      <c r="F7635" s="326"/>
      <c r="G7635" s="326"/>
      <c r="H7635" s="326"/>
      <c r="P7635" s="318"/>
      <c r="Q7635" s="318"/>
      <c r="R7635" s="318"/>
      <c r="S7635" s="318"/>
      <c r="T7635" s="318"/>
      <c r="U7635" s="318"/>
      <c r="V7635" s="318"/>
      <c r="W7635" s="318"/>
      <c r="X7635" s="318"/>
      <c r="Y7635" s="318"/>
      <c r="Z7635" s="318"/>
      <c r="AA7635" s="318"/>
      <c r="AB7635" s="318"/>
      <c r="AC7635" s="318"/>
      <c r="AD7635" s="318"/>
    </row>
    <row r="7636" spans="2:30" s="323" customFormat="1" ht="12" customHeight="1">
      <c r="B7636" s="324"/>
      <c r="C7636" s="325"/>
      <c r="D7636" s="326"/>
      <c r="E7636" s="326"/>
      <c r="F7636" s="326"/>
      <c r="G7636" s="326"/>
      <c r="H7636" s="326"/>
      <c r="P7636" s="318"/>
      <c r="Q7636" s="318"/>
      <c r="R7636" s="318"/>
      <c r="S7636" s="318"/>
      <c r="T7636" s="318"/>
      <c r="U7636" s="318"/>
      <c r="V7636" s="318"/>
      <c r="W7636" s="318"/>
      <c r="X7636" s="318"/>
      <c r="Y7636" s="318"/>
      <c r="Z7636" s="318"/>
      <c r="AA7636" s="318"/>
      <c r="AB7636" s="318"/>
      <c r="AC7636" s="318"/>
      <c r="AD7636" s="318"/>
    </row>
    <row r="7637" spans="2:30" s="323" customFormat="1" ht="12" customHeight="1">
      <c r="B7637" s="324"/>
      <c r="C7637" s="325"/>
      <c r="D7637" s="326"/>
      <c r="E7637" s="326"/>
      <c r="F7637" s="326"/>
      <c r="G7637" s="326"/>
      <c r="H7637" s="326"/>
      <c r="P7637" s="318"/>
      <c r="Q7637" s="318"/>
      <c r="R7637" s="318"/>
      <c r="S7637" s="318"/>
      <c r="T7637" s="318"/>
      <c r="U7637" s="318"/>
      <c r="V7637" s="318"/>
      <c r="W7637" s="318"/>
      <c r="X7637" s="318"/>
      <c r="Y7637" s="318"/>
      <c r="Z7637" s="318"/>
      <c r="AA7637" s="318"/>
      <c r="AB7637" s="318"/>
      <c r="AC7637" s="318"/>
      <c r="AD7637" s="318"/>
    </row>
    <row r="7638" spans="2:30" s="323" customFormat="1" ht="12" customHeight="1">
      <c r="B7638" s="324"/>
      <c r="C7638" s="325"/>
      <c r="D7638" s="326"/>
      <c r="E7638" s="326"/>
      <c r="F7638" s="326"/>
      <c r="G7638" s="326"/>
      <c r="H7638" s="326"/>
      <c r="P7638" s="318"/>
      <c r="Q7638" s="318"/>
      <c r="R7638" s="318"/>
      <c r="S7638" s="318"/>
      <c r="T7638" s="318"/>
      <c r="U7638" s="318"/>
      <c r="V7638" s="318"/>
      <c r="W7638" s="318"/>
      <c r="X7638" s="318"/>
      <c r="Y7638" s="318"/>
      <c r="Z7638" s="318"/>
      <c r="AA7638" s="318"/>
      <c r="AB7638" s="318"/>
      <c r="AC7638" s="318"/>
      <c r="AD7638" s="318"/>
    </row>
    <row r="7639" spans="2:30" s="323" customFormat="1" ht="12" customHeight="1">
      <c r="B7639" s="324"/>
      <c r="C7639" s="325"/>
      <c r="D7639" s="326"/>
      <c r="E7639" s="326"/>
      <c r="F7639" s="326"/>
      <c r="G7639" s="326"/>
      <c r="H7639" s="326"/>
      <c r="P7639" s="318"/>
      <c r="Q7639" s="318"/>
      <c r="R7639" s="318"/>
      <c r="S7639" s="318"/>
      <c r="T7639" s="318"/>
      <c r="U7639" s="318"/>
      <c r="V7639" s="318"/>
      <c r="W7639" s="318"/>
      <c r="X7639" s="318"/>
      <c r="Y7639" s="318"/>
      <c r="Z7639" s="318"/>
      <c r="AA7639" s="318"/>
      <c r="AB7639" s="318"/>
      <c r="AC7639" s="318"/>
      <c r="AD7639" s="318"/>
    </row>
    <row r="7640" spans="2:30" s="323" customFormat="1" ht="12" customHeight="1">
      <c r="B7640" s="324"/>
      <c r="C7640" s="325"/>
      <c r="D7640" s="326"/>
      <c r="E7640" s="326"/>
      <c r="F7640" s="326"/>
      <c r="G7640" s="326"/>
      <c r="H7640" s="326"/>
      <c r="P7640" s="318"/>
      <c r="Q7640" s="318"/>
      <c r="R7640" s="318"/>
      <c r="S7640" s="318"/>
      <c r="T7640" s="318"/>
      <c r="U7640" s="318"/>
      <c r="V7640" s="318"/>
      <c r="W7640" s="318"/>
      <c r="X7640" s="318"/>
      <c r="Y7640" s="318"/>
      <c r="Z7640" s="318"/>
      <c r="AA7640" s="318"/>
      <c r="AB7640" s="318"/>
      <c r="AC7640" s="318"/>
      <c r="AD7640" s="318"/>
    </row>
    <row r="7641" spans="2:30" s="323" customFormat="1" ht="12" customHeight="1">
      <c r="B7641" s="324"/>
      <c r="C7641" s="325"/>
      <c r="D7641" s="326"/>
      <c r="E7641" s="326"/>
      <c r="F7641" s="326"/>
      <c r="G7641" s="326"/>
      <c r="H7641" s="326"/>
      <c r="P7641" s="318"/>
      <c r="Q7641" s="318"/>
      <c r="R7641" s="318"/>
      <c r="S7641" s="318"/>
      <c r="T7641" s="318"/>
      <c r="U7641" s="318"/>
      <c r="V7641" s="318"/>
      <c r="W7641" s="318"/>
      <c r="X7641" s="318"/>
      <c r="Y7641" s="318"/>
      <c r="Z7641" s="318"/>
      <c r="AA7641" s="318"/>
      <c r="AB7641" s="318"/>
      <c r="AC7641" s="318"/>
      <c r="AD7641" s="318"/>
    </row>
    <row r="7642" spans="2:30" s="323" customFormat="1" ht="12" customHeight="1">
      <c r="B7642" s="324"/>
      <c r="C7642" s="325"/>
      <c r="D7642" s="326"/>
      <c r="E7642" s="326"/>
      <c r="F7642" s="326"/>
      <c r="G7642" s="326"/>
      <c r="H7642" s="326"/>
      <c r="P7642" s="318"/>
      <c r="Q7642" s="318"/>
      <c r="R7642" s="318"/>
      <c r="S7642" s="318"/>
      <c r="T7642" s="318"/>
      <c r="U7642" s="318"/>
      <c r="V7642" s="318"/>
      <c r="W7642" s="318"/>
      <c r="X7642" s="318"/>
      <c r="Y7642" s="318"/>
      <c r="Z7642" s="318"/>
      <c r="AA7642" s="318"/>
      <c r="AB7642" s="318"/>
      <c r="AC7642" s="318"/>
      <c r="AD7642" s="318"/>
    </row>
    <row r="7643" spans="2:30" s="323" customFormat="1" ht="12" customHeight="1">
      <c r="B7643" s="324"/>
      <c r="C7643" s="325"/>
      <c r="D7643" s="326"/>
      <c r="E7643" s="326"/>
      <c r="F7643" s="326"/>
      <c r="G7643" s="326"/>
      <c r="H7643" s="326"/>
      <c r="P7643" s="318"/>
      <c r="Q7643" s="318"/>
      <c r="R7643" s="318"/>
      <c r="S7643" s="318"/>
      <c r="T7643" s="318"/>
      <c r="U7643" s="318"/>
      <c r="V7643" s="318"/>
      <c r="W7643" s="318"/>
      <c r="X7643" s="318"/>
      <c r="Y7643" s="318"/>
      <c r="Z7643" s="318"/>
      <c r="AA7643" s="318"/>
      <c r="AB7643" s="318"/>
      <c r="AC7643" s="318"/>
      <c r="AD7643" s="318"/>
    </row>
    <row r="7644" spans="2:30" s="323" customFormat="1" ht="12" customHeight="1">
      <c r="B7644" s="324"/>
      <c r="C7644" s="325"/>
      <c r="D7644" s="326"/>
      <c r="E7644" s="326"/>
      <c r="F7644" s="326"/>
      <c r="G7644" s="326"/>
      <c r="H7644" s="326"/>
      <c r="P7644" s="318"/>
      <c r="Q7644" s="318"/>
      <c r="R7644" s="318"/>
      <c r="S7644" s="318"/>
      <c r="T7644" s="318"/>
      <c r="U7644" s="318"/>
      <c r="V7644" s="318"/>
      <c r="W7644" s="318"/>
      <c r="X7644" s="318"/>
      <c r="Y7644" s="318"/>
      <c r="Z7644" s="318"/>
      <c r="AA7644" s="318"/>
      <c r="AB7644" s="318"/>
      <c r="AC7644" s="318"/>
      <c r="AD7644" s="318"/>
    </row>
    <row r="7645" spans="2:30" s="323" customFormat="1" ht="12" customHeight="1">
      <c r="B7645" s="324"/>
      <c r="C7645" s="325"/>
      <c r="D7645" s="326"/>
      <c r="E7645" s="326"/>
      <c r="F7645" s="326"/>
      <c r="G7645" s="326"/>
      <c r="H7645" s="326"/>
      <c r="P7645" s="318"/>
      <c r="Q7645" s="318"/>
      <c r="R7645" s="318"/>
      <c r="S7645" s="318"/>
      <c r="T7645" s="318"/>
      <c r="U7645" s="318"/>
      <c r="V7645" s="318"/>
      <c r="W7645" s="318"/>
      <c r="X7645" s="318"/>
      <c r="Y7645" s="318"/>
      <c r="Z7645" s="318"/>
      <c r="AA7645" s="318"/>
      <c r="AB7645" s="318"/>
      <c r="AC7645" s="318"/>
      <c r="AD7645" s="318"/>
    </row>
    <row r="7646" spans="2:30" s="323" customFormat="1" ht="12" customHeight="1">
      <c r="B7646" s="324"/>
      <c r="C7646" s="325"/>
      <c r="D7646" s="326"/>
      <c r="E7646" s="326"/>
      <c r="F7646" s="326"/>
      <c r="G7646" s="326"/>
      <c r="H7646" s="326"/>
      <c r="P7646" s="318"/>
      <c r="Q7646" s="318"/>
      <c r="R7646" s="318"/>
      <c r="S7646" s="318"/>
      <c r="T7646" s="318"/>
      <c r="U7646" s="318"/>
      <c r="V7646" s="318"/>
      <c r="W7646" s="318"/>
      <c r="X7646" s="318"/>
      <c r="Y7646" s="318"/>
      <c r="Z7646" s="318"/>
      <c r="AA7646" s="318"/>
      <c r="AB7646" s="318"/>
      <c r="AC7646" s="318"/>
      <c r="AD7646" s="318"/>
    </row>
    <row r="7647" spans="2:30" s="323" customFormat="1" ht="12" customHeight="1">
      <c r="B7647" s="324"/>
      <c r="C7647" s="325"/>
      <c r="D7647" s="326"/>
      <c r="E7647" s="326"/>
      <c r="F7647" s="326"/>
      <c r="G7647" s="326"/>
      <c r="H7647" s="326"/>
      <c r="P7647" s="318"/>
      <c r="Q7647" s="318"/>
      <c r="R7647" s="318"/>
      <c r="S7647" s="318"/>
      <c r="T7647" s="318"/>
      <c r="U7647" s="318"/>
      <c r="V7647" s="318"/>
      <c r="W7647" s="318"/>
      <c r="X7647" s="318"/>
      <c r="Y7647" s="318"/>
      <c r="Z7647" s="318"/>
      <c r="AA7647" s="318"/>
      <c r="AB7647" s="318"/>
      <c r="AC7647" s="318"/>
      <c r="AD7647" s="318"/>
    </row>
    <row r="7648" spans="2:30" s="323" customFormat="1" ht="12" customHeight="1">
      <c r="B7648" s="324"/>
      <c r="C7648" s="325"/>
      <c r="D7648" s="326"/>
      <c r="E7648" s="326"/>
      <c r="F7648" s="326"/>
      <c r="G7648" s="326"/>
      <c r="H7648" s="326"/>
      <c r="P7648" s="318"/>
      <c r="Q7648" s="318"/>
      <c r="R7648" s="318"/>
      <c r="S7648" s="318"/>
      <c r="T7648" s="318"/>
      <c r="U7648" s="318"/>
      <c r="V7648" s="318"/>
      <c r="W7648" s="318"/>
      <c r="X7648" s="318"/>
      <c r="Y7648" s="318"/>
      <c r="Z7648" s="318"/>
      <c r="AA7648" s="318"/>
      <c r="AB7648" s="318"/>
      <c r="AC7648" s="318"/>
      <c r="AD7648" s="318"/>
    </row>
    <row r="7649" spans="2:30" s="323" customFormat="1" ht="12" customHeight="1">
      <c r="B7649" s="324"/>
      <c r="C7649" s="325"/>
      <c r="D7649" s="326"/>
      <c r="E7649" s="326"/>
      <c r="F7649" s="326"/>
      <c r="G7649" s="326"/>
      <c r="H7649" s="326"/>
      <c r="P7649" s="318"/>
      <c r="Q7649" s="318"/>
      <c r="R7649" s="318"/>
      <c r="S7649" s="318"/>
      <c r="T7649" s="318"/>
      <c r="U7649" s="318"/>
      <c r="V7649" s="318"/>
      <c r="W7649" s="318"/>
      <c r="X7649" s="318"/>
      <c r="Y7649" s="318"/>
      <c r="Z7649" s="318"/>
      <c r="AA7649" s="318"/>
      <c r="AB7649" s="318"/>
      <c r="AC7649" s="318"/>
      <c r="AD7649" s="318"/>
    </row>
    <row r="7650" spans="2:30" s="323" customFormat="1" ht="12" customHeight="1">
      <c r="B7650" s="324"/>
      <c r="C7650" s="325"/>
      <c r="D7650" s="326"/>
      <c r="E7650" s="326"/>
      <c r="F7650" s="326"/>
      <c r="G7650" s="326"/>
      <c r="H7650" s="326"/>
      <c r="P7650" s="318"/>
      <c r="Q7650" s="318"/>
      <c r="R7650" s="318"/>
      <c r="S7650" s="318"/>
      <c r="T7650" s="318"/>
      <c r="U7650" s="318"/>
      <c r="V7650" s="318"/>
      <c r="W7650" s="318"/>
      <c r="X7650" s="318"/>
      <c r="Y7650" s="318"/>
      <c r="Z7650" s="318"/>
      <c r="AA7650" s="318"/>
      <c r="AB7650" s="318"/>
      <c r="AC7650" s="318"/>
      <c r="AD7650" s="318"/>
    </row>
    <row r="7651" spans="2:30" s="323" customFormat="1" ht="12" customHeight="1">
      <c r="B7651" s="324"/>
      <c r="C7651" s="325"/>
      <c r="D7651" s="326"/>
      <c r="E7651" s="326"/>
      <c r="F7651" s="326"/>
      <c r="G7651" s="326"/>
      <c r="H7651" s="326"/>
      <c r="P7651" s="318"/>
      <c r="Q7651" s="318"/>
      <c r="R7651" s="318"/>
      <c r="S7651" s="318"/>
      <c r="T7651" s="318"/>
      <c r="U7651" s="318"/>
      <c r="V7651" s="318"/>
      <c r="W7651" s="318"/>
      <c r="X7651" s="318"/>
      <c r="Y7651" s="318"/>
      <c r="Z7651" s="318"/>
      <c r="AA7651" s="318"/>
      <c r="AB7651" s="318"/>
      <c r="AC7651" s="318"/>
      <c r="AD7651" s="318"/>
    </row>
    <row r="7652" spans="2:30" s="323" customFormat="1" ht="12" customHeight="1">
      <c r="B7652" s="324"/>
      <c r="C7652" s="325"/>
      <c r="D7652" s="326"/>
      <c r="E7652" s="326"/>
      <c r="F7652" s="326"/>
      <c r="G7652" s="326"/>
      <c r="H7652" s="326"/>
      <c r="P7652" s="318"/>
      <c r="Q7652" s="318"/>
      <c r="R7652" s="318"/>
      <c r="S7652" s="318"/>
      <c r="T7652" s="318"/>
      <c r="U7652" s="318"/>
      <c r="V7652" s="318"/>
      <c r="W7652" s="318"/>
      <c r="X7652" s="318"/>
      <c r="Y7652" s="318"/>
      <c r="Z7652" s="318"/>
      <c r="AA7652" s="318"/>
      <c r="AB7652" s="318"/>
      <c r="AC7652" s="318"/>
      <c r="AD7652" s="318"/>
    </row>
    <row r="7653" spans="2:30" s="323" customFormat="1" ht="12" customHeight="1">
      <c r="B7653" s="324"/>
      <c r="C7653" s="325"/>
      <c r="D7653" s="326"/>
      <c r="E7653" s="326"/>
      <c r="F7653" s="326"/>
      <c r="G7653" s="326"/>
      <c r="H7653" s="326"/>
      <c r="P7653" s="318"/>
      <c r="Q7653" s="318"/>
      <c r="R7653" s="318"/>
      <c r="S7653" s="318"/>
      <c r="T7653" s="318"/>
      <c r="U7653" s="318"/>
      <c r="V7653" s="318"/>
      <c r="W7653" s="318"/>
      <c r="X7653" s="318"/>
      <c r="Y7653" s="318"/>
      <c r="Z7653" s="318"/>
      <c r="AA7653" s="318"/>
      <c r="AB7653" s="318"/>
      <c r="AC7653" s="318"/>
      <c r="AD7653" s="318"/>
    </row>
    <row r="7654" spans="2:30" s="323" customFormat="1" ht="12" customHeight="1">
      <c r="B7654" s="324"/>
      <c r="C7654" s="325"/>
      <c r="D7654" s="326"/>
      <c r="E7654" s="326"/>
      <c r="F7654" s="326"/>
      <c r="G7654" s="326"/>
      <c r="H7654" s="326"/>
      <c r="P7654" s="318"/>
      <c r="Q7654" s="318"/>
      <c r="R7654" s="318"/>
      <c r="S7654" s="318"/>
      <c r="T7654" s="318"/>
      <c r="U7654" s="318"/>
      <c r="V7654" s="318"/>
      <c r="W7654" s="318"/>
      <c r="X7654" s="318"/>
      <c r="Y7654" s="318"/>
      <c r="Z7654" s="318"/>
      <c r="AA7654" s="318"/>
      <c r="AB7654" s="318"/>
      <c r="AC7654" s="318"/>
      <c r="AD7654" s="318"/>
    </row>
    <row r="7655" spans="2:30" s="323" customFormat="1" ht="12" customHeight="1">
      <c r="B7655" s="324"/>
      <c r="C7655" s="325"/>
      <c r="D7655" s="326"/>
      <c r="E7655" s="326"/>
      <c r="F7655" s="326"/>
      <c r="G7655" s="326"/>
      <c r="H7655" s="326"/>
      <c r="P7655" s="318"/>
      <c r="Q7655" s="318"/>
      <c r="R7655" s="318"/>
      <c r="S7655" s="318"/>
      <c r="T7655" s="318"/>
      <c r="U7655" s="318"/>
      <c r="V7655" s="318"/>
      <c r="W7655" s="318"/>
      <c r="X7655" s="318"/>
      <c r="Y7655" s="318"/>
      <c r="Z7655" s="318"/>
      <c r="AA7655" s="318"/>
      <c r="AB7655" s="318"/>
      <c r="AC7655" s="318"/>
      <c r="AD7655" s="318"/>
    </row>
    <row r="7656" spans="2:30" s="323" customFormat="1" ht="12" customHeight="1">
      <c r="B7656" s="324"/>
      <c r="C7656" s="325"/>
      <c r="D7656" s="326"/>
      <c r="E7656" s="326"/>
      <c r="F7656" s="326"/>
      <c r="G7656" s="326"/>
      <c r="H7656" s="326"/>
      <c r="P7656" s="318"/>
      <c r="Q7656" s="318"/>
      <c r="R7656" s="318"/>
      <c r="S7656" s="318"/>
      <c r="T7656" s="318"/>
      <c r="U7656" s="318"/>
      <c r="V7656" s="318"/>
      <c r="W7656" s="318"/>
      <c r="X7656" s="318"/>
      <c r="Y7656" s="318"/>
      <c r="Z7656" s="318"/>
      <c r="AA7656" s="318"/>
      <c r="AB7656" s="318"/>
      <c r="AC7656" s="318"/>
      <c r="AD7656" s="318"/>
    </row>
    <row r="7657" spans="2:30" s="323" customFormat="1" ht="12" customHeight="1">
      <c r="B7657" s="324"/>
      <c r="C7657" s="325"/>
      <c r="D7657" s="326"/>
      <c r="E7657" s="326"/>
      <c r="F7657" s="326"/>
      <c r="G7657" s="326"/>
      <c r="H7657" s="326"/>
      <c r="P7657" s="318"/>
      <c r="Q7657" s="318"/>
      <c r="R7657" s="318"/>
      <c r="S7657" s="318"/>
      <c r="T7657" s="318"/>
      <c r="U7657" s="318"/>
      <c r="V7657" s="318"/>
      <c r="W7657" s="318"/>
      <c r="X7657" s="318"/>
      <c r="Y7657" s="318"/>
      <c r="Z7657" s="318"/>
      <c r="AA7657" s="318"/>
      <c r="AB7657" s="318"/>
      <c r="AC7657" s="318"/>
      <c r="AD7657" s="318"/>
    </row>
    <row r="7658" spans="2:30" s="323" customFormat="1" ht="12" customHeight="1">
      <c r="B7658" s="324"/>
      <c r="C7658" s="325"/>
      <c r="D7658" s="326"/>
      <c r="E7658" s="326"/>
      <c r="F7658" s="326"/>
      <c r="G7658" s="326"/>
      <c r="H7658" s="326"/>
      <c r="P7658" s="318"/>
      <c r="Q7658" s="318"/>
      <c r="R7658" s="318"/>
      <c r="S7658" s="318"/>
      <c r="T7658" s="318"/>
      <c r="U7658" s="318"/>
      <c r="V7658" s="318"/>
      <c r="W7658" s="318"/>
      <c r="X7658" s="318"/>
      <c r="Y7658" s="318"/>
      <c r="Z7658" s="318"/>
      <c r="AA7658" s="318"/>
      <c r="AB7658" s="318"/>
      <c r="AC7658" s="318"/>
      <c r="AD7658" s="318"/>
    </row>
    <row r="7659" spans="2:30" s="323" customFormat="1" ht="12" customHeight="1">
      <c r="B7659" s="324"/>
      <c r="C7659" s="325"/>
      <c r="D7659" s="326"/>
      <c r="E7659" s="326"/>
      <c r="F7659" s="326"/>
      <c r="G7659" s="326"/>
      <c r="H7659" s="326"/>
      <c r="P7659" s="318"/>
      <c r="Q7659" s="318"/>
      <c r="R7659" s="318"/>
      <c r="S7659" s="318"/>
      <c r="T7659" s="318"/>
      <c r="U7659" s="318"/>
      <c r="V7659" s="318"/>
      <c r="W7659" s="318"/>
      <c r="X7659" s="318"/>
      <c r="Y7659" s="318"/>
      <c r="Z7659" s="318"/>
      <c r="AA7659" s="318"/>
      <c r="AB7659" s="318"/>
      <c r="AC7659" s="318"/>
      <c r="AD7659" s="318"/>
    </row>
    <row r="7660" spans="2:30" s="323" customFormat="1" ht="12" customHeight="1">
      <c r="B7660" s="324"/>
      <c r="C7660" s="325"/>
      <c r="D7660" s="326"/>
      <c r="E7660" s="326"/>
      <c r="F7660" s="326"/>
      <c r="G7660" s="326"/>
      <c r="H7660" s="326"/>
      <c r="P7660" s="318"/>
      <c r="Q7660" s="318"/>
      <c r="R7660" s="318"/>
      <c r="S7660" s="318"/>
      <c r="T7660" s="318"/>
      <c r="U7660" s="318"/>
      <c r="V7660" s="318"/>
      <c r="W7660" s="318"/>
      <c r="X7660" s="318"/>
      <c r="Y7660" s="318"/>
      <c r="Z7660" s="318"/>
      <c r="AA7660" s="318"/>
      <c r="AB7660" s="318"/>
      <c r="AC7660" s="318"/>
      <c r="AD7660" s="318"/>
    </row>
    <row r="7661" spans="2:30" s="323" customFormat="1" ht="12" customHeight="1">
      <c r="B7661" s="324"/>
      <c r="C7661" s="325"/>
      <c r="D7661" s="326"/>
      <c r="E7661" s="326"/>
      <c r="F7661" s="326"/>
      <c r="G7661" s="326"/>
      <c r="H7661" s="326"/>
      <c r="P7661" s="318"/>
      <c r="Q7661" s="318"/>
      <c r="R7661" s="318"/>
      <c r="S7661" s="318"/>
      <c r="T7661" s="318"/>
      <c r="U7661" s="318"/>
      <c r="V7661" s="318"/>
      <c r="W7661" s="318"/>
      <c r="X7661" s="318"/>
      <c r="Y7661" s="318"/>
      <c r="Z7661" s="318"/>
      <c r="AA7661" s="318"/>
      <c r="AB7661" s="318"/>
      <c r="AC7661" s="318"/>
      <c r="AD7661" s="318"/>
    </row>
    <row r="7662" spans="2:30" s="323" customFormat="1" ht="12" customHeight="1">
      <c r="B7662" s="324"/>
      <c r="C7662" s="325"/>
      <c r="D7662" s="326"/>
      <c r="E7662" s="326"/>
      <c r="F7662" s="326"/>
      <c r="G7662" s="326"/>
      <c r="H7662" s="326"/>
      <c r="P7662" s="318"/>
      <c r="Q7662" s="318"/>
      <c r="R7662" s="318"/>
      <c r="S7662" s="318"/>
      <c r="T7662" s="318"/>
      <c r="U7662" s="318"/>
      <c r="V7662" s="318"/>
      <c r="W7662" s="318"/>
      <c r="X7662" s="318"/>
      <c r="Y7662" s="318"/>
      <c r="Z7662" s="318"/>
      <c r="AA7662" s="318"/>
      <c r="AB7662" s="318"/>
      <c r="AC7662" s="318"/>
      <c r="AD7662" s="318"/>
    </row>
    <row r="7663" spans="2:30" s="323" customFormat="1" ht="12" customHeight="1">
      <c r="B7663" s="324"/>
      <c r="C7663" s="325"/>
      <c r="D7663" s="326"/>
      <c r="E7663" s="326"/>
      <c r="F7663" s="326"/>
      <c r="G7663" s="326"/>
      <c r="H7663" s="326"/>
      <c r="P7663" s="318"/>
      <c r="Q7663" s="318"/>
      <c r="R7663" s="318"/>
      <c r="S7663" s="318"/>
      <c r="T7663" s="318"/>
      <c r="U7663" s="318"/>
      <c r="V7663" s="318"/>
      <c r="W7663" s="318"/>
      <c r="X7663" s="318"/>
      <c r="Y7663" s="318"/>
      <c r="Z7663" s="318"/>
      <c r="AA7663" s="318"/>
      <c r="AB7663" s="318"/>
      <c r="AC7663" s="318"/>
      <c r="AD7663" s="318"/>
    </row>
    <row r="7664" spans="2:30" s="323" customFormat="1" ht="12" customHeight="1">
      <c r="B7664" s="324"/>
      <c r="C7664" s="325"/>
      <c r="D7664" s="326"/>
      <c r="E7664" s="326"/>
      <c r="F7664" s="326"/>
      <c r="G7664" s="326"/>
      <c r="H7664" s="326"/>
      <c r="P7664" s="318"/>
      <c r="Q7664" s="318"/>
      <c r="R7664" s="318"/>
      <c r="S7664" s="318"/>
      <c r="T7664" s="318"/>
      <c r="U7664" s="318"/>
      <c r="V7664" s="318"/>
      <c r="W7664" s="318"/>
      <c r="X7664" s="318"/>
      <c r="Y7664" s="318"/>
      <c r="Z7664" s="318"/>
      <c r="AA7664" s="318"/>
      <c r="AB7664" s="318"/>
      <c r="AC7664" s="318"/>
      <c r="AD7664" s="318"/>
    </row>
    <row r="7665" spans="2:30" s="323" customFormat="1" ht="12" customHeight="1">
      <c r="B7665" s="324"/>
      <c r="C7665" s="325"/>
      <c r="D7665" s="326"/>
      <c r="E7665" s="326"/>
      <c r="F7665" s="326"/>
      <c r="G7665" s="326"/>
      <c r="H7665" s="326"/>
      <c r="P7665" s="318"/>
      <c r="Q7665" s="318"/>
      <c r="R7665" s="318"/>
      <c r="S7665" s="318"/>
      <c r="T7665" s="318"/>
      <c r="U7665" s="318"/>
      <c r="V7665" s="318"/>
      <c r="W7665" s="318"/>
      <c r="X7665" s="318"/>
      <c r="Y7665" s="318"/>
      <c r="Z7665" s="318"/>
      <c r="AA7665" s="318"/>
      <c r="AB7665" s="318"/>
      <c r="AC7665" s="318"/>
      <c r="AD7665" s="318"/>
    </row>
    <row r="7666" spans="2:30" s="323" customFormat="1" ht="12" customHeight="1">
      <c r="B7666" s="324"/>
      <c r="C7666" s="325"/>
      <c r="D7666" s="326"/>
      <c r="E7666" s="326"/>
      <c r="F7666" s="326"/>
      <c r="G7666" s="326"/>
      <c r="H7666" s="326"/>
      <c r="P7666" s="318"/>
      <c r="Q7666" s="318"/>
      <c r="R7666" s="318"/>
      <c r="S7666" s="318"/>
      <c r="T7666" s="318"/>
      <c r="U7666" s="318"/>
      <c r="V7666" s="318"/>
      <c r="W7666" s="318"/>
      <c r="X7666" s="318"/>
      <c r="Y7666" s="318"/>
      <c r="Z7666" s="318"/>
      <c r="AA7666" s="318"/>
      <c r="AB7666" s="318"/>
      <c r="AC7666" s="318"/>
      <c r="AD7666" s="318"/>
    </row>
    <row r="7667" spans="2:30" s="323" customFormat="1" ht="12" customHeight="1">
      <c r="B7667" s="324"/>
      <c r="C7667" s="325"/>
      <c r="D7667" s="326"/>
      <c r="E7667" s="326"/>
      <c r="F7667" s="326"/>
      <c r="G7667" s="326"/>
      <c r="H7667" s="326"/>
      <c r="P7667" s="318"/>
      <c r="Q7667" s="318"/>
      <c r="R7667" s="318"/>
      <c r="S7667" s="318"/>
      <c r="T7667" s="318"/>
      <c r="U7667" s="318"/>
      <c r="V7667" s="318"/>
      <c r="W7667" s="318"/>
      <c r="X7667" s="318"/>
      <c r="Y7667" s="318"/>
      <c r="Z7667" s="318"/>
      <c r="AA7667" s="318"/>
      <c r="AB7667" s="318"/>
      <c r="AC7667" s="318"/>
      <c r="AD7667" s="318"/>
    </row>
    <row r="7668" spans="2:30" s="323" customFormat="1" ht="12" customHeight="1">
      <c r="B7668" s="324"/>
      <c r="C7668" s="325"/>
      <c r="D7668" s="326"/>
      <c r="E7668" s="326"/>
      <c r="F7668" s="326"/>
      <c r="G7668" s="326"/>
      <c r="H7668" s="326"/>
      <c r="P7668" s="318"/>
      <c r="Q7668" s="318"/>
      <c r="R7668" s="318"/>
      <c r="S7668" s="318"/>
      <c r="T7668" s="318"/>
      <c r="U7668" s="318"/>
      <c r="V7668" s="318"/>
      <c r="W7668" s="318"/>
      <c r="X7668" s="318"/>
      <c r="Y7668" s="318"/>
      <c r="Z7668" s="318"/>
      <c r="AA7668" s="318"/>
      <c r="AB7668" s="318"/>
      <c r="AC7668" s="318"/>
      <c r="AD7668" s="318"/>
    </row>
    <row r="7669" spans="2:30" s="323" customFormat="1" ht="12" customHeight="1">
      <c r="B7669" s="324"/>
      <c r="C7669" s="325"/>
      <c r="D7669" s="326"/>
      <c r="E7669" s="326"/>
      <c r="F7669" s="326"/>
      <c r="G7669" s="326"/>
      <c r="H7669" s="326"/>
      <c r="P7669" s="318"/>
      <c r="Q7669" s="318"/>
      <c r="R7669" s="318"/>
      <c r="S7669" s="318"/>
      <c r="T7669" s="318"/>
      <c r="U7669" s="318"/>
      <c r="V7669" s="318"/>
      <c r="W7669" s="318"/>
      <c r="X7669" s="318"/>
      <c r="Y7669" s="318"/>
      <c r="Z7669" s="318"/>
      <c r="AA7669" s="318"/>
      <c r="AB7669" s="318"/>
      <c r="AC7669" s="318"/>
      <c r="AD7669" s="318"/>
    </row>
    <row r="7670" spans="2:30" s="323" customFormat="1" ht="12" customHeight="1">
      <c r="B7670" s="324"/>
      <c r="C7670" s="325"/>
      <c r="D7670" s="326"/>
      <c r="E7670" s="326"/>
      <c r="F7670" s="326"/>
      <c r="G7670" s="326"/>
      <c r="H7670" s="326"/>
      <c r="P7670" s="318"/>
      <c r="Q7670" s="318"/>
      <c r="R7670" s="318"/>
      <c r="S7670" s="318"/>
      <c r="T7670" s="318"/>
      <c r="U7670" s="318"/>
      <c r="V7670" s="318"/>
      <c r="W7670" s="318"/>
      <c r="X7670" s="318"/>
      <c r="Y7670" s="318"/>
      <c r="Z7670" s="318"/>
      <c r="AA7670" s="318"/>
      <c r="AB7670" s="318"/>
      <c r="AC7670" s="318"/>
      <c r="AD7670" s="318"/>
    </row>
    <row r="7671" spans="2:30" s="323" customFormat="1" ht="12" customHeight="1">
      <c r="B7671" s="324"/>
      <c r="C7671" s="325"/>
      <c r="D7671" s="326"/>
      <c r="E7671" s="326"/>
      <c r="F7671" s="326"/>
      <c r="G7671" s="326"/>
      <c r="H7671" s="326"/>
      <c r="P7671" s="318"/>
      <c r="Q7671" s="318"/>
      <c r="R7671" s="318"/>
      <c r="S7671" s="318"/>
      <c r="T7671" s="318"/>
      <c r="U7671" s="318"/>
      <c r="V7671" s="318"/>
      <c r="W7671" s="318"/>
      <c r="X7671" s="318"/>
      <c r="Y7671" s="318"/>
      <c r="Z7671" s="318"/>
      <c r="AA7671" s="318"/>
      <c r="AB7671" s="318"/>
      <c r="AC7671" s="318"/>
      <c r="AD7671" s="318"/>
    </row>
    <row r="7672" spans="2:30" s="323" customFormat="1" ht="12" customHeight="1">
      <c r="B7672" s="324"/>
      <c r="C7672" s="325"/>
      <c r="D7672" s="326"/>
      <c r="E7672" s="326"/>
      <c r="F7672" s="326"/>
      <c r="G7672" s="326"/>
      <c r="H7672" s="326"/>
      <c r="P7672" s="318"/>
      <c r="Q7672" s="318"/>
      <c r="R7672" s="318"/>
      <c r="S7672" s="318"/>
      <c r="T7672" s="318"/>
      <c r="U7672" s="318"/>
      <c r="V7672" s="318"/>
      <c r="W7672" s="318"/>
      <c r="X7672" s="318"/>
      <c r="Y7672" s="318"/>
      <c r="Z7672" s="318"/>
      <c r="AA7672" s="318"/>
      <c r="AB7672" s="318"/>
      <c r="AC7672" s="318"/>
      <c r="AD7672" s="318"/>
    </row>
    <row r="7673" spans="2:30" s="323" customFormat="1" ht="12" customHeight="1">
      <c r="B7673" s="324"/>
      <c r="C7673" s="325"/>
      <c r="D7673" s="326"/>
      <c r="E7673" s="326"/>
      <c r="F7673" s="326"/>
      <c r="G7673" s="326"/>
      <c r="H7673" s="326"/>
      <c r="P7673" s="318"/>
      <c r="Q7673" s="318"/>
      <c r="R7673" s="318"/>
      <c r="S7673" s="318"/>
      <c r="T7673" s="318"/>
      <c r="U7673" s="318"/>
      <c r="V7673" s="318"/>
      <c r="W7673" s="318"/>
      <c r="X7673" s="318"/>
      <c r="Y7673" s="318"/>
      <c r="Z7673" s="318"/>
      <c r="AA7673" s="318"/>
      <c r="AB7673" s="318"/>
      <c r="AC7673" s="318"/>
      <c r="AD7673" s="318"/>
    </row>
    <row r="7674" spans="2:30" s="323" customFormat="1" ht="12" customHeight="1">
      <c r="B7674" s="324"/>
      <c r="C7674" s="325"/>
      <c r="D7674" s="326"/>
      <c r="E7674" s="326"/>
      <c r="F7674" s="326"/>
      <c r="G7674" s="326"/>
      <c r="H7674" s="326"/>
      <c r="P7674" s="318"/>
      <c r="Q7674" s="318"/>
      <c r="R7674" s="318"/>
      <c r="S7674" s="318"/>
      <c r="T7674" s="318"/>
      <c r="U7674" s="318"/>
      <c r="V7674" s="318"/>
      <c r="W7674" s="318"/>
      <c r="X7674" s="318"/>
      <c r="Y7674" s="318"/>
      <c r="Z7674" s="318"/>
      <c r="AA7674" s="318"/>
      <c r="AB7674" s="318"/>
      <c r="AC7674" s="318"/>
      <c r="AD7674" s="318"/>
    </row>
    <row r="7675" spans="2:30" s="323" customFormat="1" ht="12" customHeight="1">
      <c r="B7675" s="324"/>
      <c r="C7675" s="325"/>
      <c r="D7675" s="326"/>
      <c r="E7675" s="326"/>
      <c r="F7675" s="326"/>
      <c r="G7675" s="326"/>
      <c r="H7675" s="326"/>
      <c r="P7675" s="318"/>
      <c r="Q7675" s="318"/>
      <c r="R7675" s="318"/>
      <c r="S7675" s="318"/>
      <c r="T7675" s="318"/>
      <c r="U7675" s="318"/>
      <c r="V7675" s="318"/>
      <c r="W7675" s="318"/>
      <c r="X7675" s="318"/>
      <c r="Y7675" s="318"/>
      <c r="Z7675" s="318"/>
      <c r="AA7675" s="318"/>
      <c r="AB7675" s="318"/>
      <c r="AC7675" s="318"/>
      <c r="AD7675" s="318"/>
    </row>
    <row r="7676" spans="2:30" s="323" customFormat="1" ht="12" customHeight="1">
      <c r="B7676" s="324"/>
      <c r="C7676" s="325"/>
      <c r="D7676" s="326"/>
      <c r="E7676" s="326"/>
      <c r="F7676" s="326"/>
      <c r="G7676" s="326"/>
      <c r="H7676" s="326"/>
      <c r="P7676" s="318"/>
      <c r="Q7676" s="318"/>
      <c r="R7676" s="318"/>
      <c r="S7676" s="318"/>
      <c r="T7676" s="318"/>
      <c r="U7676" s="318"/>
      <c r="V7676" s="318"/>
      <c r="W7676" s="318"/>
      <c r="X7676" s="318"/>
      <c r="Y7676" s="318"/>
      <c r="Z7676" s="318"/>
      <c r="AA7676" s="318"/>
      <c r="AB7676" s="318"/>
      <c r="AC7676" s="318"/>
      <c r="AD7676" s="318"/>
    </row>
    <row r="7677" spans="2:30" s="323" customFormat="1" ht="12" customHeight="1">
      <c r="B7677" s="324"/>
      <c r="C7677" s="325"/>
      <c r="D7677" s="326"/>
      <c r="E7677" s="326"/>
      <c r="F7677" s="326"/>
      <c r="G7677" s="326"/>
      <c r="H7677" s="326"/>
      <c r="P7677" s="318"/>
      <c r="Q7677" s="318"/>
      <c r="R7677" s="318"/>
      <c r="S7677" s="318"/>
      <c r="T7677" s="318"/>
      <c r="U7677" s="318"/>
      <c r="V7677" s="318"/>
      <c r="W7677" s="318"/>
      <c r="X7677" s="318"/>
      <c r="Y7677" s="318"/>
      <c r="Z7677" s="318"/>
      <c r="AA7677" s="318"/>
      <c r="AB7677" s="318"/>
      <c r="AC7677" s="318"/>
      <c r="AD7677" s="318"/>
    </row>
    <row r="7678" spans="2:30" s="323" customFormat="1" ht="12" customHeight="1">
      <c r="B7678" s="324"/>
      <c r="C7678" s="325"/>
      <c r="D7678" s="326"/>
      <c r="E7678" s="326"/>
      <c r="F7678" s="326"/>
      <c r="G7678" s="326"/>
      <c r="H7678" s="326"/>
      <c r="P7678" s="318"/>
      <c r="Q7678" s="318"/>
      <c r="R7678" s="318"/>
      <c r="S7678" s="318"/>
      <c r="T7678" s="318"/>
      <c r="U7678" s="318"/>
      <c r="V7678" s="318"/>
      <c r="W7678" s="318"/>
      <c r="X7678" s="318"/>
      <c r="Y7678" s="318"/>
      <c r="Z7678" s="318"/>
      <c r="AA7678" s="318"/>
      <c r="AB7678" s="318"/>
      <c r="AC7678" s="318"/>
      <c r="AD7678" s="318"/>
    </row>
    <row r="7679" spans="2:30" s="323" customFormat="1" ht="12" customHeight="1">
      <c r="B7679" s="324"/>
      <c r="C7679" s="325"/>
      <c r="D7679" s="326"/>
      <c r="E7679" s="326"/>
      <c r="F7679" s="326"/>
      <c r="G7679" s="326"/>
      <c r="H7679" s="326"/>
      <c r="P7679" s="318"/>
      <c r="Q7679" s="318"/>
      <c r="R7679" s="318"/>
      <c r="S7679" s="318"/>
      <c r="T7679" s="318"/>
      <c r="U7679" s="318"/>
      <c r="V7679" s="318"/>
      <c r="W7679" s="318"/>
      <c r="X7679" s="318"/>
      <c r="Y7679" s="318"/>
      <c r="Z7679" s="318"/>
      <c r="AA7679" s="318"/>
      <c r="AB7679" s="318"/>
      <c r="AC7679" s="318"/>
      <c r="AD7679" s="318"/>
    </row>
    <row r="7680" spans="2:30" s="323" customFormat="1" ht="12" customHeight="1">
      <c r="B7680" s="324"/>
      <c r="C7680" s="325"/>
      <c r="D7680" s="326"/>
      <c r="E7680" s="326"/>
      <c r="F7680" s="326"/>
      <c r="G7680" s="326"/>
      <c r="H7680" s="326"/>
      <c r="P7680" s="318"/>
      <c r="Q7680" s="318"/>
      <c r="R7680" s="318"/>
      <c r="S7680" s="318"/>
      <c r="T7680" s="318"/>
      <c r="U7680" s="318"/>
      <c r="V7680" s="318"/>
      <c r="W7680" s="318"/>
      <c r="X7680" s="318"/>
      <c r="Y7680" s="318"/>
      <c r="Z7680" s="318"/>
      <c r="AA7680" s="318"/>
      <c r="AB7680" s="318"/>
      <c r="AC7680" s="318"/>
      <c r="AD7680" s="318"/>
    </row>
    <row r="7681" spans="2:30" s="323" customFormat="1" ht="12" customHeight="1">
      <c r="B7681" s="324"/>
      <c r="C7681" s="325"/>
      <c r="D7681" s="326"/>
      <c r="E7681" s="326"/>
      <c r="F7681" s="326"/>
      <c r="G7681" s="326"/>
      <c r="H7681" s="326"/>
      <c r="P7681" s="318"/>
      <c r="Q7681" s="318"/>
      <c r="R7681" s="318"/>
      <c r="S7681" s="318"/>
      <c r="T7681" s="318"/>
      <c r="U7681" s="318"/>
      <c r="V7681" s="318"/>
      <c r="W7681" s="318"/>
      <c r="X7681" s="318"/>
      <c r="Y7681" s="318"/>
      <c r="Z7681" s="318"/>
      <c r="AA7681" s="318"/>
      <c r="AB7681" s="318"/>
      <c r="AC7681" s="318"/>
      <c r="AD7681" s="318"/>
    </row>
    <row r="7682" spans="2:30" s="323" customFormat="1" ht="12" customHeight="1">
      <c r="B7682" s="324"/>
      <c r="C7682" s="325"/>
      <c r="D7682" s="326"/>
      <c r="E7682" s="326"/>
      <c r="F7682" s="326"/>
      <c r="G7682" s="326"/>
      <c r="H7682" s="326"/>
      <c r="P7682" s="318"/>
      <c r="Q7682" s="318"/>
      <c r="R7682" s="318"/>
      <c r="S7682" s="318"/>
      <c r="T7682" s="318"/>
      <c r="U7682" s="318"/>
      <c r="V7682" s="318"/>
      <c r="W7682" s="318"/>
      <c r="X7682" s="318"/>
      <c r="Y7682" s="318"/>
      <c r="Z7682" s="318"/>
      <c r="AA7682" s="318"/>
      <c r="AB7682" s="318"/>
      <c r="AC7682" s="318"/>
      <c r="AD7682" s="318"/>
    </row>
    <row r="7683" spans="2:30" s="323" customFormat="1" ht="12" customHeight="1">
      <c r="B7683" s="324"/>
      <c r="C7683" s="325"/>
      <c r="D7683" s="326"/>
      <c r="E7683" s="326"/>
      <c r="F7683" s="326"/>
      <c r="G7683" s="326"/>
      <c r="H7683" s="326"/>
      <c r="P7683" s="318"/>
      <c r="Q7683" s="318"/>
      <c r="R7683" s="318"/>
      <c r="S7683" s="318"/>
      <c r="T7683" s="318"/>
      <c r="U7683" s="318"/>
      <c r="V7683" s="318"/>
      <c r="W7683" s="318"/>
      <c r="X7683" s="318"/>
      <c r="Y7683" s="318"/>
      <c r="Z7683" s="318"/>
      <c r="AA7683" s="318"/>
      <c r="AB7683" s="318"/>
      <c r="AC7683" s="318"/>
      <c r="AD7683" s="318"/>
    </row>
    <row r="7684" spans="2:30" s="323" customFormat="1" ht="12" customHeight="1">
      <c r="B7684" s="324"/>
      <c r="C7684" s="325"/>
      <c r="D7684" s="326"/>
      <c r="E7684" s="326"/>
      <c r="F7684" s="326"/>
      <c r="G7684" s="326"/>
      <c r="H7684" s="326"/>
      <c r="P7684" s="318"/>
      <c r="Q7684" s="318"/>
      <c r="R7684" s="318"/>
      <c r="S7684" s="318"/>
      <c r="T7684" s="318"/>
      <c r="U7684" s="318"/>
      <c r="V7684" s="318"/>
      <c r="W7684" s="318"/>
      <c r="X7684" s="318"/>
      <c r="Y7684" s="318"/>
      <c r="Z7684" s="318"/>
      <c r="AA7684" s="318"/>
      <c r="AB7684" s="318"/>
      <c r="AC7684" s="318"/>
      <c r="AD7684" s="318"/>
    </row>
    <row r="7685" spans="2:30" s="323" customFormat="1" ht="12" customHeight="1">
      <c r="B7685" s="324"/>
      <c r="C7685" s="325"/>
      <c r="D7685" s="326"/>
      <c r="E7685" s="326"/>
      <c r="F7685" s="326"/>
      <c r="G7685" s="326"/>
      <c r="H7685" s="326"/>
      <c r="P7685" s="318"/>
      <c r="Q7685" s="318"/>
      <c r="R7685" s="318"/>
      <c r="S7685" s="318"/>
      <c r="T7685" s="318"/>
      <c r="U7685" s="318"/>
      <c r="V7685" s="318"/>
      <c r="W7685" s="318"/>
      <c r="X7685" s="318"/>
      <c r="Y7685" s="318"/>
      <c r="Z7685" s="318"/>
      <c r="AA7685" s="318"/>
      <c r="AB7685" s="318"/>
      <c r="AC7685" s="318"/>
      <c r="AD7685" s="318"/>
    </row>
    <row r="7686" spans="2:30" s="323" customFormat="1" ht="12" customHeight="1">
      <c r="B7686" s="324"/>
      <c r="C7686" s="325"/>
      <c r="D7686" s="326"/>
      <c r="E7686" s="326"/>
      <c r="F7686" s="326"/>
      <c r="G7686" s="326"/>
      <c r="H7686" s="326"/>
      <c r="P7686" s="318"/>
      <c r="Q7686" s="318"/>
      <c r="R7686" s="318"/>
      <c r="S7686" s="318"/>
      <c r="T7686" s="318"/>
      <c r="U7686" s="318"/>
      <c r="V7686" s="318"/>
      <c r="W7686" s="318"/>
      <c r="X7686" s="318"/>
      <c r="Y7686" s="318"/>
      <c r="Z7686" s="318"/>
      <c r="AA7686" s="318"/>
      <c r="AB7686" s="318"/>
      <c r="AC7686" s="318"/>
      <c r="AD7686" s="318"/>
    </row>
    <row r="7687" spans="2:30" s="323" customFormat="1" ht="12" customHeight="1">
      <c r="B7687" s="324"/>
      <c r="C7687" s="325"/>
      <c r="D7687" s="326"/>
      <c r="E7687" s="326"/>
      <c r="F7687" s="326"/>
      <c r="G7687" s="326"/>
      <c r="H7687" s="326"/>
      <c r="P7687" s="318"/>
      <c r="Q7687" s="318"/>
      <c r="R7687" s="318"/>
      <c r="S7687" s="318"/>
      <c r="T7687" s="318"/>
      <c r="U7687" s="318"/>
      <c r="V7687" s="318"/>
      <c r="W7687" s="318"/>
      <c r="X7687" s="318"/>
      <c r="Y7687" s="318"/>
      <c r="Z7687" s="318"/>
      <c r="AA7687" s="318"/>
      <c r="AB7687" s="318"/>
      <c r="AC7687" s="318"/>
      <c r="AD7687" s="318"/>
    </row>
    <row r="7688" spans="2:30" s="323" customFormat="1" ht="12" customHeight="1">
      <c r="B7688" s="324"/>
      <c r="C7688" s="325"/>
      <c r="D7688" s="326"/>
      <c r="E7688" s="326"/>
      <c r="F7688" s="326"/>
      <c r="G7688" s="326"/>
      <c r="H7688" s="326"/>
      <c r="P7688" s="318"/>
      <c r="Q7688" s="318"/>
      <c r="R7688" s="318"/>
      <c r="S7688" s="318"/>
      <c r="T7688" s="318"/>
      <c r="U7688" s="318"/>
      <c r="V7688" s="318"/>
      <c r="W7688" s="318"/>
      <c r="X7688" s="318"/>
      <c r="Y7688" s="318"/>
      <c r="Z7688" s="318"/>
      <c r="AA7688" s="318"/>
      <c r="AB7688" s="318"/>
      <c r="AC7688" s="318"/>
      <c r="AD7688" s="318"/>
    </row>
    <row r="7689" spans="2:30" s="323" customFormat="1" ht="12" customHeight="1">
      <c r="B7689" s="324"/>
      <c r="C7689" s="325"/>
      <c r="D7689" s="326"/>
      <c r="E7689" s="326"/>
      <c r="F7689" s="326"/>
      <c r="G7689" s="326"/>
      <c r="H7689" s="326"/>
      <c r="P7689" s="318"/>
      <c r="Q7689" s="318"/>
      <c r="R7689" s="318"/>
      <c r="S7689" s="318"/>
      <c r="T7689" s="318"/>
      <c r="U7689" s="318"/>
      <c r="V7689" s="318"/>
      <c r="W7689" s="318"/>
      <c r="X7689" s="318"/>
      <c r="Y7689" s="318"/>
      <c r="Z7689" s="318"/>
      <c r="AA7689" s="318"/>
      <c r="AB7689" s="318"/>
      <c r="AC7689" s="318"/>
      <c r="AD7689" s="318"/>
    </row>
    <row r="7690" spans="2:30" s="323" customFormat="1" ht="12" customHeight="1">
      <c r="B7690" s="324"/>
      <c r="C7690" s="325"/>
      <c r="D7690" s="326"/>
      <c r="E7690" s="326"/>
      <c r="F7690" s="326"/>
      <c r="G7690" s="326"/>
      <c r="H7690" s="326"/>
      <c r="P7690" s="318"/>
      <c r="Q7690" s="318"/>
      <c r="R7690" s="318"/>
      <c r="S7690" s="318"/>
      <c r="T7690" s="318"/>
      <c r="U7690" s="318"/>
      <c r="V7690" s="318"/>
      <c r="W7690" s="318"/>
      <c r="X7690" s="318"/>
      <c r="Y7690" s="318"/>
      <c r="Z7690" s="318"/>
      <c r="AA7690" s="318"/>
      <c r="AB7690" s="318"/>
      <c r="AC7690" s="318"/>
      <c r="AD7690" s="318"/>
    </row>
    <row r="7691" spans="2:30" s="323" customFormat="1" ht="12" customHeight="1">
      <c r="B7691" s="324"/>
      <c r="C7691" s="325"/>
      <c r="D7691" s="326"/>
      <c r="E7691" s="326"/>
      <c r="F7691" s="326"/>
      <c r="G7691" s="326"/>
      <c r="H7691" s="326"/>
      <c r="P7691" s="318"/>
      <c r="Q7691" s="318"/>
      <c r="R7691" s="318"/>
      <c r="S7691" s="318"/>
      <c r="T7691" s="318"/>
      <c r="U7691" s="318"/>
      <c r="V7691" s="318"/>
      <c r="W7691" s="318"/>
      <c r="X7691" s="318"/>
      <c r="Y7691" s="318"/>
      <c r="Z7691" s="318"/>
      <c r="AA7691" s="318"/>
      <c r="AB7691" s="318"/>
      <c r="AC7691" s="318"/>
      <c r="AD7691" s="318"/>
    </row>
    <row r="7692" spans="2:30" s="323" customFormat="1" ht="12" customHeight="1">
      <c r="B7692" s="324"/>
      <c r="C7692" s="325"/>
      <c r="D7692" s="326"/>
      <c r="E7692" s="326"/>
      <c r="F7692" s="326"/>
      <c r="G7692" s="326"/>
      <c r="H7692" s="326"/>
      <c r="P7692" s="318"/>
      <c r="Q7692" s="318"/>
      <c r="R7692" s="318"/>
      <c r="S7692" s="318"/>
      <c r="T7692" s="318"/>
      <c r="U7692" s="318"/>
      <c r="V7692" s="318"/>
      <c r="W7692" s="318"/>
      <c r="X7692" s="318"/>
      <c r="Y7692" s="318"/>
      <c r="Z7692" s="318"/>
      <c r="AA7692" s="318"/>
      <c r="AB7692" s="318"/>
      <c r="AC7692" s="318"/>
      <c r="AD7692" s="318"/>
    </row>
    <row r="7693" spans="2:30" s="323" customFormat="1" ht="12" customHeight="1">
      <c r="B7693" s="324"/>
      <c r="C7693" s="325"/>
      <c r="D7693" s="326"/>
      <c r="E7693" s="326"/>
      <c r="F7693" s="326"/>
      <c r="G7693" s="326"/>
      <c r="H7693" s="326"/>
      <c r="P7693" s="318"/>
      <c r="Q7693" s="318"/>
      <c r="R7693" s="318"/>
      <c r="S7693" s="318"/>
      <c r="T7693" s="318"/>
      <c r="U7693" s="318"/>
      <c r="V7693" s="318"/>
      <c r="W7693" s="318"/>
      <c r="X7693" s="318"/>
      <c r="Y7693" s="318"/>
      <c r="Z7693" s="318"/>
      <c r="AA7693" s="318"/>
      <c r="AB7693" s="318"/>
      <c r="AC7693" s="318"/>
      <c r="AD7693" s="318"/>
    </row>
    <row r="7694" spans="2:30" s="323" customFormat="1" ht="12" customHeight="1">
      <c r="B7694" s="324"/>
      <c r="C7694" s="325"/>
      <c r="D7694" s="326"/>
      <c r="E7694" s="326"/>
      <c r="F7694" s="326"/>
      <c r="G7694" s="326"/>
      <c r="H7694" s="326"/>
      <c r="P7694" s="318"/>
      <c r="Q7694" s="318"/>
      <c r="R7694" s="318"/>
      <c r="S7694" s="318"/>
      <c r="T7694" s="318"/>
      <c r="U7694" s="318"/>
      <c r="V7694" s="318"/>
      <c r="W7694" s="318"/>
      <c r="X7694" s="318"/>
      <c r="Y7694" s="318"/>
      <c r="Z7694" s="318"/>
      <c r="AA7694" s="318"/>
      <c r="AB7694" s="318"/>
      <c r="AC7694" s="318"/>
      <c r="AD7694" s="318"/>
    </row>
    <row r="7695" spans="2:30" s="323" customFormat="1" ht="12" customHeight="1">
      <c r="B7695" s="324"/>
      <c r="C7695" s="325"/>
      <c r="D7695" s="326"/>
      <c r="E7695" s="326"/>
      <c r="F7695" s="326"/>
      <c r="G7695" s="326"/>
      <c r="H7695" s="326"/>
      <c r="P7695" s="318"/>
      <c r="Q7695" s="318"/>
      <c r="R7695" s="318"/>
      <c r="S7695" s="318"/>
      <c r="T7695" s="318"/>
      <c r="U7695" s="318"/>
      <c r="V7695" s="318"/>
      <c r="W7695" s="318"/>
      <c r="X7695" s="318"/>
      <c r="Y7695" s="318"/>
      <c r="Z7695" s="318"/>
      <c r="AA7695" s="318"/>
      <c r="AB7695" s="318"/>
      <c r="AC7695" s="318"/>
      <c r="AD7695" s="318"/>
    </row>
    <row r="7696" spans="2:30" s="323" customFormat="1" ht="12" customHeight="1">
      <c r="B7696" s="324"/>
      <c r="C7696" s="325"/>
      <c r="D7696" s="326"/>
      <c r="E7696" s="326"/>
      <c r="F7696" s="326"/>
      <c r="G7696" s="326"/>
      <c r="H7696" s="326"/>
      <c r="P7696" s="318"/>
      <c r="Q7696" s="318"/>
      <c r="R7696" s="318"/>
      <c r="S7696" s="318"/>
      <c r="T7696" s="318"/>
      <c r="U7696" s="318"/>
      <c r="V7696" s="318"/>
      <c r="W7696" s="318"/>
      <c r="X7696" s="318"/>
      <c r="Y7696" s="318"/>
      <c r="Z7696" s="318"/>
      <c r="AA7696" s="318"/>
      <c r="AB7696" s="318"/>
      <c r="AC7696" s="318"/>
      <c r="AD7696" s="318"/>
    </row>
    <row r="7697" spans="2:30" s="323" customFormat="1" ht="12" customHeight="1">
      <c r="B7697" s="324"/>
      <c r="C7697" s="325"/>
      <c r="D7697" s="326"/>
      <c r="E7697" s="326"/>
      <c r="F7697" s="326"/>
      <c r="G7697" s="326"/>
      <c r="H7697" s="326"/>
      <c r="P7697" s="318"/>
      <c r="Q7697" s="318"/>
      <c r="R7697" s="318"/>
      <c r="S7697" s="318"/>
      <c r="T7697" s="318"/>
      <c r="U7697" s="318"/>
      <c r="V7697" s="318"/>
      <c r="W7697" s="318"/>
      <c r="X7697" s="318"/>
      <c r="Y7697" s="318"/>
      <c r="Z7697" s="318"/>
      <c r="AA7697" s="318"/>
      <c r="AB7697" s="318"/>
      <c r="AC7697" s="318"/>
      <c r="AD7697" s="318"/>
    </row>
    <row r="7698" spans="2:30" s="323" customFormat="1" ht="12" customHeight="1">
      <c r="B7698" s="324"/>
      <c r="C7698" s="325"/>
      <c r="D7698" s="326"/>
      <c r="E7698" s="326"/>
      <c r="F7698" s="326"/>
      <c r="G7698" s="326"/>
      <c r="H7698" s="326"/>
      <c r="P7698" s="318"/>
      <c r="Q7698" s="318"/>
      <c r="R7698" s="318"/>
      <c r="S7698" s="318"/>
      <c r="T7698" s="318"/>
      <c r="U7698" s="318"/>
      <c r="V7698" s="318"/>
      <c r="W7698" s="318"/>
      <c r="X7698" s="318"/>
      <c r="Y7698" s="318"/>
      <c r="Z7698" s="318"/>
      <c r="AA7698" s="318"/>
      <c r="AB7698" s="318"/>
      <c r="AC7698" s="318"/>
      <c r="AD7698" s="318"/>
    </row>
    <row r="7699" spans="2:30" s="323" customFormat="1" ht="12" customHeight="1">
      <c r="B7699" s="324"/>
      <c r="C7699" s="325"/>
      <c r="D7699" s="326"/>
      <c r="E7699" s="326"/>
      <c r="F7699" s="326"/>
      <c r="G7699" s="326"/>
      <c r="H7699" s="326"/>
      <c r="P7699" s="318"/>
      <c r="Q7699" s="318"/>
      <c r="R7699" s="318"/>
      <c r="S7699" s="318"/>
      <c r="T7699" s="318"/>
      <c r="U7699" s="318"/>
      <c r="V7699" s="318"/>
      <c r="W7699" s="318"/>
      <c r="X7699" s="318"/>
      <c r="Y7699" s="318"/>
      <c r="Z7699" s="318"/>
      <c r="AA7699" s="318"/>
      <c r="AB7699" s="318"/>
      <c r="AC7699" s="318"/>
      <c r="AD7699" s="318"/>
    </row>
    <row r="7700" spans="2:30" s="323" customFormat="1" ht="12" customHeight="1">
      <c r="B7700" s="324"/>
      <c r="C7700" s="325"/>
      <c r="D7700" s="326"/>
      <c r="E7700" s="326"/>
      <c r="F7700" s="326"/>
      <c r="G7700" s="326"/>
      <c r="H7700" s="326"/>
      <c r="P7700" s="318"/>
      <c r="Q7700" s="318"/>
      <c r="R7700" s="318"/>
      <c r="S7700" s="318"/>
      <c r="T7700" s="318"/>
      <c r="U7700" s="318"/>
      <c r="V7700" s="318"/>
      <c r="W7700" s="318"/>
      <c r="X7700" s="318"/>
      <c r="Y7700" s="318"/>
      <c r="Z7700" s="318"/>
      <c r="AA7700" s="318"/>
      <c r="AB7700" s="318"/>
      <c r="AC7700" s="318"/>
      <c r="AD7700" s="318"/>
    </row>
    <row r="7701" spans="2:30" s="323" customFormat="1" ht="12" customHeight="1">
      <c r="B7701" s="324"/>
      <c r="C7701" s="325"/>
      <c r="D7701" s="326"/>
      <c r="E7701" s="326"/>
      <c r="F7701" s="326"/>
      <c r="G7701" s="326"/>
      <c r="H7701" s="326"/>
      <c r="P7701" s="318"/>
      <c r="Q7701" s="318"/>
      <c r="R7701" s="318"/>
      <c r="S7701" s="318"/>
      <c r="T7701" s="318"/>
      <c r="U7701" s="318"/>
      <c r="V7701" s="318"/>
      <c r="W7701" s="318"/>
      <c r="X7701" s="318"/>
      <c r="Y7701" s="318"/>
      <c r="Z7701" s="318"/>
      <c r="AA7701" s="318"/>
      <c r="AB7701" s="318"/>
      <c r="AC7701" s="318"/>
      <c r="AD7701" s="318"/>
    </row>
    <row r="7702" spans="2:30" s="323" customFormat="1" ht="12" customHeight="1">
      <c r="B7702" s="324"/>
      <c r="C7702" s="325"/>
      <c r="D7702" s="326"/>
      <c r="E7702" s="326"/>
      <c r="F7702" s="326"/>
      <c r="G7702" s="326"/>
      <c r="H7702" s="326"/>
      <c r="P7702" s="318"/>
      <c r="Q7702" s="318"/>
      <c r="R7702" s="318"/>
      <c r="S7702" s="318"/>
      <c r="T7702" s="318"/>
      <c r="U7702" s="318"/>
      <c r="V7702" s="318"/>
      <c r="W7702" s="318"/>
      <c r="X7702" s="318"/>
      <c r="Y7702" s="318"/>
      <c r="Z7702" s="318"/>
      <c r="AA7702" s="318"/>
      <c r="AB7702" s="318"/>
      <c r="AC7702" s="318"/>
      <c r="AD7702" s="318"/>
    </row>
    <row r="7703" spans="2:30" s="323" customFormat="1" ht="12" customHeight="1">
      <c r="B7703" s="324"/>
      <c r="C7703" s="325"/>
      <c r="D7703" s="326"/>
      <c r="E7703" s="326"/>
      <c r="F7703" s="326"/>
      <c r="G7703" s="326"/>
      <c r="H7703" s="326"/>
      <c r="P7703" s="318"/>
      <c r="Q7703" s="318"/>
      <c r="R7703" s="318"/>
      <c r="S7703" s="318"/>
      <c r="T7703" s="318"/>
      <c r="U7703" s="318"/>
      <c r="V7703" s="318"/>
      <c r="W7703" s="318"/>
      <c r="X7703" s="318"/>
      <c r="Y7703" s="318"/>
      <c r="Z7703" s="318"/>
      <c r="AA7703" s="318"/>
      <c r="AB7703" s="318"/>
      <c r="AC7703" s="318"/>
      <c r="AD7703" s="318"/>
    </row>
    <row r="7704" spans="2:30" s="323" customFormat="1" ht="12" customHeight="1">
      <c r="B7704" s="324"/>
      <c r="C7704" s="325"/>
      <c r="D7704" s="326"/>
      <c r="E7704" s="326"/>
      <c r="F7704" s="326"/>
      <c r="G7704" s="326"/>
      <c r="H7704" s="326"/>
      <c r="P7704" s="318"/>
      <c r="Q7704" s="318"/>
      <c r="R7704" s="318"/>
      <c r="S7704" s="318"/>
      <c r="T7704" s="318"/>
      <c r="U7704" s="318"/>
      <c r="V7704" s="318"/>
      <c r="W7704" s="318"/>
      <c r="X7704" s="318"/>
      <c r="Y7704" s="318"/>
      <c r="Z7704" s="318"/>
      <c r="AA7704" s="318"/>
      <c r="AB7704" s="318"/>
      <c r="AC7704" s="318"/>
      <c r="AD7704" s="318"/>
    </row>
    <row r="7705" spans="2:30" s="323" customFormat="1" ht="12" customHeight="1">
      <c r="B7705" s="324"/>
      <c r="C7705" s="325"/>
      <c r="D7705" s="326"/>
      <c r="E7705" s="326"/>
      <c r="F7705" s="326"/>
      <c r="G7705" s="326"/>
      <c r="H7705" s="326"/>
      <c r="P7705" s="318"/>
      <c r="Q7705" s="318"/>
      <c r="R7705" s="318"/>
      <c r="S7705" s="318"/>
      <c r="T7705" s="318"/>
      <c r="U7705" s="318"/>
      <c r="V7705" s="318"/>
      <c r="W7705" s="318"/>
      <c r="X7705" s="318"/>
      <c r="Y7705" s="318"/>
      <c r="Z7705" s="318"/>
      <c r="AA7705" s="318"/>
      <c r="AB7705" s="318"/>
      <c r="AC7705" s="318"/>
      <c r="AD7705" s="318"/>
    </row>
    <row r="7706" spans="2:30" s="323" customFormat="1" ht="12" customHeight="1">
      <c r="B7706" s="324"/>
      <c r="C7706" s="325"/>
      <c r="D7706" s="326"/>
      <c r="E7706" s="326"/>
      <c r="F7706" s="326"/>
      <c r="G7706" s="326"/>
      <c r="H7706" s="326"/>
      <c r="P7706" s="318"/>
      <c r="Q7706" s="318"/>
      <c r="R7706" s="318"/>
      <c r="S7706" s="318"/>
      <c r="T7706" s="318"/>
      <c r="U7706" s="318"/>
      <c r="V7706" s="318"/>
      <c r="W7706" s="318"/>
      <c r="X7706" s="318"/>
      <c r="Y7706" s="318"/>
      <c r="Z7706" s="318"/>
      <c r="AA7706" s="318"/>
      <c r="AB7706" s="318"/>
      <c r="AC7706" s="318"/>
      <c r="AD7706" s="318"/>
    </row>
    <row r="7707" spans="2:30" s="323" customFormat="1" ht="12" customHeight="1">
      <c r="B7707" s="324"/>
      <c r="C7707" s="325"/>
      <c r="D7707" s="326"/>
      <c r="E7707" s="326"/>
      <c r="F7707" s="326"/>
      <c r="G7707" s="326"/>
      <c r="H7707" s="326"/>
      <c r="P7707" s="318"/>
      <c r="Q7707" s="318"/>
      <c r="R7707" s="318"/>
      <c r="S7707" s="318"/>
      <c r="T7707" s="318"/>
      <c r="U7707" s="318"/>
      <c r="V7707" s="318"/>
      <c r="W7707" s="318"/>
      <c r="X7707" s="318"/>
      <c r="Y7707" s="318"/>
      <c r="Z7707" s="318"/>
      <c r="AA7707" s="318"/>
      <c r="AB7707" s="318"/>
      <c r="AC7707" s="318"/>
      <c r="AD7707" s="318"/>
    </row>
    <row r="7708" spans="2:30" s="323" customFormat="1" ht="12" customHeight="1">
      <c r="B7708" s="324"/>
      <c r="C7708" s="325"/>
      <c r="D7708" s="326"/>
      <c r="E7708" s="326"/>
      <c r="F7708" s="326"/>
      <c r="G7708" s="326"/>
      <c r="H7708" s="326"/>
      <c r="P7708" s="318"/>
      <c r="Q7708" s="318"/>
      <c r="R7708" s="318"/>
      <c r="S7708" s="318"/>
      <c r="T7708" s="318"/>
      <c r="U7708" s="318"/>
      <c r="V7708" s="318"/>
      <c r="W7708" s="318"/>
      <c r="X7708" s="318"/>
      <c r="Y7708" s="318"/>
      <c r="Z7708" s="318"/>
      <c r="AA7708" s="318"/>
      <c r="AB7708" s="318"/>
      <c r="AC7708" s="318"/>
      <c r="AD7708" s="318"/>
    </row>
    <row r="7709" spans="2:30" s="323" customFormat="1" ht="12" customHeight="1">
      <c r="B7709" s="324"/>
      <c r="C7709" s="325"/>
      <c r="D7709" s="326"/>
      <c r="E7709" s="326"/>
      <c r="F7709" s="326"/>
      <c r="G7709" s="326"/>
      <c r="H7709" s="326"/>
      <c r="P7709" s="318"/>
      <c r="Q7709" s="318"/>
      <c r="R7709" s="318"/>
      <c r="S7709" s="318"/>
      <c r="T7709" s="318"/>
      <c r="U7709" s="318"/>
      <c r="V7709" s="318"/>
      <c r="W7709" s="318"/>
      <c r="X7709" s="318"/>
      <c r="Y7709" s="318"/>
      <c r="Z7709" s="318"/>
      <c r="AA7709" s="318"/>
      <c r="AB7709" s="318"/>
      <c r="AC7709" s="318"/>
      <c r="AD7709" s="318"/>
    </row>
    <row r="7710" spans="2:30" s="323" customFormat="1" ht="12" customHeight="1">
      <c r="B7710" s="324"/>
      <c r="C7710" s="325"/>
      <c r="D7710" s="326"/>
      <c r="E7710" s="326"/>
      <c r="F7710" s="326"/>
      <c r="G7710" s="326"/>
      <c r="H7710" s="326"/>
      <c r="P7710" s="318"/>
      <c r="Q7710" s="318"/>
      <c r="R7710" s="318"/>
      <c r="S7710" s="318"/>
      <c r="T7710" s="318"/>
      <c r="U7710" s="318"/>
      <c r="V7710" s="318"/>
      <c r="W7710" s="318"/>
      <c r="X7710" s="318"/>
      <c r="Y7710" s="318"/>
      <c r="Z7710" s="318"/>
      <c r="AA7710" s="318"/>
      <c r="AB7710" s="318"/>
      <c r="AC7710" s="318"/>
      <c r="AD7710" s="318"/>
    </row>
    <row r="7711" spans="2:30" s="323" customFormat="1" ht="12" customHeight="1">
      <c r="B7711" s="324"/>
      <c r="C7711" s="325"/>
      <c r="D7711" s="326"/>
      <c r="E7711" s="326"/>
      <c r="F7711" s="326"/>
      <c r="G7711" s="326"/>
      <c r="H7711" s="326"/>
      <c r="P7711" s="318"/>
      <c r="Q7711" s="318"/>
      <c r="R7711" s="318"/>
      <c r="S7711" s="318"/>
      <c r="T7711" s="318"/>
      <c r="U7711" s="318"/>
      <c r="V7711" s="318"/>
      <c r="W7711" s="318"/>
      <c r="X7711" s="318"/>
      <c r="Y7711" s="318"/>
      <c r="Z7711" s="318"/>
      <c r="AA7711" s="318"/>
      <c r="AB7711" s="318"/>
      <c r="AC7711" s="318"/>
      <c r="AD7711" s="318"/>
    </row>
    <row r="7712" spans="2:30" s="323" customFormat="1" ht="12" customHeight="1">
      <c r="B7712" s="324"/>
      <c r="C7712" s="325"/>
      <c r="D7712" s="326"/>
      <c r="E7712" s="326"/>
      <c r="F7712" s="326"/>
      <c r="G7712" s="326"/>
      <c r="H7712" s="326"/>
      <c r="P7712" s="318"/>
      <c r="Q7712" s="318"/>
      <c r="R7712" s="318"/>
      <c r="S7712" s="318"/>
      <c r="T7712" s="318"/>
      <c r="U7712" s="318"/>
      <c r="V7712" s="318"/>
      <c r="W7712" s="318"/>
      <c r="X7712" s="318"/>
      <c r="Y7712" s="318"/>
      <c r="Z7712" s="318"/>
      <c r="AA7712" s="318"/>
      <c r="AB7712" s="318"/>
      <c r="AC7712" s="318"/>
      <c r="AD7712" s="318"/>
    </row>
    <row r="7713" spans="2:30" s="323" customFormat="1" ht="12" customHeight="1">
      <c r="B7713" s="324"/>
      <c r="C7713" s="325"/>
      <c r="D7713" s="326"/>
      <c r="E7713" s="326"/>
      <c r="F7713" s="326"/>
      <c r="G7713" s="326"/>
      <c r="H7713" s="326"/>
      <c r="P7713" s="318"/>
      <c r="Q7713" s="318"/>
      <c r="R7713" s="318"/>
      <c r="S7713" s="318"/>
      <c r="T7713" s="318"/>
      <c r="U7713" s="318"/>
      <c r="V7713" s="318"/>
      <c r="W7713" s="318"/>
      <c r="X7713" s="318"/>
      <c r="Y7713" s="318"/>
      <c r="Z7713" s="318"/>
      <c r="AA7713" s="318"/>
      <c r="AB7713" s="318"/>
      <c r="AC7713" s="318"/>
      <c r="AD7713" s="318"/>
    </row>
    <row r="7714" spans="2:30" s="323" customFormat="1" ht="12" customHeight="1">
      <c r="B7714" s="324"/>
      <c r="C7714" s="325"/>
      <c r="D7714" s="326"/>
      <c r="E7714" s="326"/>
      <c r="F7714" s="326"/>
      <c r="G7714" s="326"/>
      <c r="H7714" s="326"/>
      <c r="P7714" s="318"/>
      <c r="Q7714" s="318"/>
      <c r="R7714" s="318"/>
      <c r="S7714" s="318"/>
      <c r="T7714" s="318"/>
      <c r="U7714" s="318"/>
      <c r="V7714" s="318"/>
      <c r="W7714" s="318"/>
      <c r="X7714" s="318"/>
      <c r="Y7714" s="318"/>
      <c r="Z7714" s="318"/>
      <c r="AA7714" s="318"/>
      <c r="AB7714" s="318"/>
      <c r="AC7714" s="318"/>
      <c r="AD7714" s="318"/>
    </row>
    <row r="7715" spans="2:30" s="323" customFormat="1" ht="12" customHeight="1">
      <c r="B7715" s="324"/>
      <c r="C7715" s="325"/>
      <c r="D7715" s="326"/>
      <c r="E7715" s="326"/>
      <c r="F7715" s="326"/>
      <c r="G7715" s="326"/>
      <c r="H7715" s="326"/>
      <c r="P7715" s="318"/>
      <c r="Q7715" s="318"/>
      <c r="R7715" s="318"/>
      <c r="S7715" s="318"/>
      <c r="T7715" s="318"/>
      <c r="U7715" s="318"/>
      <c r="V7715" s="318"/>
      <c r="W7715" s="318"/>
      <c r="X7715" s="318"/>
      <c r="Y7715" s="318"/>
      <c r="Z7715" s="318"/>
      <c r="AA7715" s="318"/>
      <c r="AB7715" s="318"/>
      <c r="AC7715" s="318"/>
      <c r="AD7715" s="318"/>
    </row>
    <row r="7716" spans="2:30" s="323" customFormat="1" ht="12" customHeight="1">
      <c r="B7716" s="324"/>
      <c r="C7716" s="325"/>
      <c r="D7716" s="326"/>
      <c r="E7716" s="326"/>
      <c r="F7716" s="326"/>
      <c r="G7716" s="326"/>
      <c r="H7716" s="326"/>
      <c r="P7716" s="318"/>
      <c r="Q7716" s="318"/>
      <c r="R7716" s="318"/>
      <c r="S7716" s="318"/>
      <c r="T7716" s="318"/>
      <c r="U7716" s="318"/>
      <c r="V7716" s="318"/>
      <c r="W7716" s="318"/>
      <c r="X7716" s="318"/>
      <c r="Y7716" s="318"/>
      <c r="Z7716" s="318"/>
      <c r="AA7716" s="318"/>
      <c r="AB7716" s="318"/>
      <c r="AC7716" s="318"/>
      <c r="AD7716" s="318"/>
    </row>
    <row r="7717" spans="2:30" s="323" customFormat="1" ht="12" customHeight="1">
      <c r="B7717" s="324"/>
      <c r="C7717" s="325"/>
      <c r="D7717" s="326"/>
      <c r="E7717" s="326"/>
      <c r="F7717" s="326"/>
      <c r="G7717" s="326"/>
      <c r="H7717" s="326"/>
      <c r="P7717" s="318"/>
      <c r="Q7717" s="318"/>
      <c r="R7717" s="318"/>
      <c r="S7717" s="318"/>
      <c r="T7717" s="318"/>
      <c r="U7717" s="318"/>
      <c r="V7717" s="318"/>
      <c r="W7717" s="318"/>
      <c r="X7717" s="318"/>
      <c r="Y7717" s="318"/>
      <c r="Z7717" s="318"/>
      <c r="AA7717" s="318"/>
      <c r="AB7717" s="318"/>
      <c r="AC7717" s="318"/>
      <c r="AD7717" s="318"/>
    </row>
    <row r="7718" spans="2:30" s="323" customFormat="1" ht="12" customHeight="1">
      <c r="B7718" s="324"/>
      <c r="C7718" s="325"/>
      <c r="D7718" s="326"/>
      <c r="E7718" s="326"/>
      <c r="F7718" s="326"/>
      <c r="G7718" s="326"/>
      <c r="H7718" s="326"/>
      <c r="P7718" s="318"/>
      <c r="Q7718" s="318"/>
      <c r="R7718" s="318"/>
      <c r="S7718" s="318"/>
      <c r="T7718" s="318"/>
      <c r="U7718" s="318"/>
      <c r="V7718" s="318"/>
      <c r="W7718" s="318"/>
      <c r="X7718" s="318"/>
      <c r="Y7718" s="318"/>
      <c r="Z7718" s="318"/>
      <c r="AA7718" s="318"/>
      <c r="AB7718" s="318"/>
      <c r="AC7718" s="318"/>
      <c r="AD7718" s="318"/>
    </row>
    <row r="7719" spans="2:30" s="323" customFormat="1" ht="12" customHeight="1">
      <c r="B7719" s="324"/>
      <c r="C7719" s="325"/>
      <c r="D7719" s="326"/>
      <c r="E7719" s="326"/>
      <c r="F7719" s="326"/>
      <c r="G7719" s="326"/>
      <c r="H7719" s="326"/>
      <c r="P7719" s="318"/>
      <c r="Q7719" s="318"/>
      <c r="R7719" s="318"/>
      <c r="S7719" s="318"/>
      <c r="T7719" s="318"/>
      <c r="U7719" s="318"/>
      <c r="V7719" s="318"/>
      <c r="W7719" s="318"/>
      <c r="X7719" s="318"/>
      <c r="Y7719" s="318"/>
      <c r="Z7719" s="318"/>
      <c r="AA7719" s="318"/>
      <c r="AB7719" s="318"/>
      <c r="AC7719" s="318"/>
      <c r="AD7719" s="318"/>
    </row>
    <row r="7720" spans="2:30" s="323" customFormat="1" ht="12" customHeight="1">
      <c r="B7720" s="324"/>
      <c r="C7720" s="325"/>
      <c r="D7720" s="326"/>
      <c r="E7720" s="326"/>
      <c r="F7720" s="326"/>
      <c r="G7720" s="326"/>
      <c r="H7720" s="326"/>
      <c r="P7720" s="318"/>
      <c r="Q7720" s="318"/>
      <c r="R7720" s="318"/>
      <c r="S7720" s="318"/>
      <c r="T7720" s="318"/>
      <c r="U7720" s="318"/>
      <c r="V7720" s="318"/>
      <c r="W7720" s="318"/>
      <c r="X7720" s="318"/>
      <c r="Y7720" s="318"/>
      <c r="Z7720" s="318"/>
      <c r="AA7720" s="318"/>
      <c r="AB7720" s="318"/>
      <c r="AC7720" s="318"/>
      <c r="AD7720" s="318"/>
    </row>
    <row r="7721" spans="2:30" s="323" customFormat="1" ht="12" customHeight="1">
      <c r="B7721" s="324"/>
      <c r="C7721" s="325"/>
      <c r="D7721" s="326"/>
      <c r="E7721" s="326"/>
      <c r="F7721" s="326"/>
      <c r="G7721" s="326"/>
      <c r="H7721" s="326"/>
      <c r="P7721" s="318"/>
      <c r="Q7721" s="318"/>
      <c r="R7721" s="318"/>
      <c r="S7721" s="318"/>
      <c r="T7721" s="318"/>
      <c r="U7721" s="318"/>
      <c r="V7721" s="318"/>
      <c r="W7721" s="318"/>
      <c r="X7721" s="318"/>
      <c r="Y7721" s="318"/>
      <c r="Z7721" s="318"/>
      <c r="AA7721" s="318"/>
      <c r="AB7721" s="318"/>
      <c r="AC7721" s="318"/>
      <c r="AD7721" s="318"/>
    </row>
    <row r="7722" spans="2:30" s="323" customFormat="1" ht="12" customHeight="1">
      <c r="B7722" s="324"/>
      <c r="C7722" s="325"/>
      <c r="D7722" s="326"/>
      <c r="E7722" s="326"/>
      <c r="F7722" s="326"/>
      <c r="G7722" s="326"/>
      <c r="H7722" s="326"/>
      <c r="P7722" s="318"/>
      <c r="Q7722" s="318"/>
      <c r="R7722" s="318"/>
      <c r="S7722" s="318"/>
      <c r="T7722" s="318"/>
      <c r="U7722" s="318"/>
      <c r="V7722" s="318"/>
      <c r="W7722" s="318"/>
      <c r="X7722" s="318"/>
      <c r="Y7722" s="318"/>
      <c r="Z7722" s="318"/>
      <c r="AA7722" s="318"/>
      <c r="AB7722" s="318"/>
      <c r="AC7722" s="318"/>
      <c r="AD7722" s="318"/>
    </row>
    <row r="7723" spans="2:30" s="323" customFormat="1" ht="12" customHeight="1">
      <c r="B7723" s="324"/>
      <c r="C7723" s="325"/>
      <c r="D7723" s="326"/>
      <c r="E7723" s="326"/>
      <c r="F7723" s="326"/>
      <c r="G7723" s="326"/>
      <c r="H7723" s="326"/>
      <c r="P7723" s="318"/>
      <c r="Q7723" s="318"/>
      <c r="R7723" s="318"/>
      <c r="S7723" s="318"/>
      <c r="T7723" s="318"/>
      <c r="U7723" s="318"/>
      <c r="V7723" s="318"/>
      <c r="W7723" s="318"/>
      <c r="X7723" s="318"/>
      <c r="Y7723" s="318"/>
      <c r="Z7723" s="318"/>
      <c r="AA7723" s="318"/>
      <c r="AB7723" s="318"/>
      <c r="AC7723" s="318"/>
      <c r="AD7723" s="318"/>
    </row>
    <row r="7724" spans="2:30" s="323" customFormat="1" ht="12" customHeight="1">
      <c r="B7724" s="324"/>
      <c r="C7724" s="325"/>
      <c r="D7724" s="326"/>
      <c r="E7724" s="326"/>
      <c r="F7724" s="326"/>
      <c r="G7724" s="326"/>
      <c r="H7724" s="326"/>
      <c r="P7724" s="318"/>
      <c r="Q7724" s="318"/>
      <c r="R7724" s="318"/>
      <c r="S7724" s="318"/>
      <c r="T7724" s="318"/>
      <c r="U7724" s="318"/>
      <c r="V7724" s="318"/>
      <c r="W7724" s="318"/>
      <c r="X7724" s="318"/>
      <c r="Y7724" s="318"/>
      <c r="Z7724" s="318"/>
      <c r="AA7724" s="318"/>
      <c r="AB7724" s="318"/>
      <c r="AC7724" s="318"/>
      <c r="AD7724" s="318"/>
    </row>
    <row r="7725" spans="2:30" s="323" customFormat="1" ht="12" customHeight="1">
      <c r="B7725" s="324"/>
      <c r="C7725" s="325"/>
      <c r="D7725" s="326"/>
      <c r="E7725" s="326"/>
      <c r="F7725" s="326"/>
      <c r="G7725" s="326"/>
      <c r="H7725" s="326"/>
      <c r="P7725" s="318"/>
      <c r="Q7725" s="318"/>
      <c r="R7725" s="318"/>
      <c r="S7725" s="318"/>
      <c r="T7725" s="318"/>
      <c r="U7725" s="318"/>
      <c r="V7725" s="318"/>
      <c r="W7725" s="318"/>
      <c r="X7725" s="318"/>
      <c r="Y7725" s="318"/>
      <c r="Z7725" s="318"/>
      <c r="AA7725" s="318"/>
      <c r="AB7725" s="318"/>
      <c r="AC7725" s="318"/>
      <c r="AD7725" s="318"/>
    </row>
    <row r="7726" spans="2:30" s="323" customFormat="1" ht="12" customHeight="1">
      <c r="B7726" s="324"/>
      <c r="C7726" s="325"/>
      <c r="D7726" s="326"/>
      <c r="E7726" s="326"/>
      <c r="F7726" s="326"/>
      <c r="G7726" s="326"/>
      <c r="H7726" s="326"/>
      <c r="P7726" s="318"/>
      <c r="Q7726" s="318"/>
      <c r="R7726" s="318"/>
      <c r="S7726" s="318"/>
      <c r="T7726" s="318"/>
      <c r="U7726" s="318"/>
      <c r="V7726" s="318"/>
      <c r="W7726" s="318"/>
      <c r="X7726" s="318"/>
      <c r="Y7726" s="318"/>
      <c r="Z7726" s="318"/>
      <c r="AA7726" s="318"/>
      <c r="AB7726" s="318"/>
      <c r="AC7726" s="318"/>
      <c r="AD7726" s="318"/>
    </row>
    <row r="7727" spans="2:30" s="323" customFormat="1" ht="12" customHeight="1">
      <c r="B7727" s="324"/>
      <c r="C7727" s="325"/>
      <c r="D7727" s="326"/>
      <c r="E7727" s="326"/>
      <c r="F7727" s="326"/>
      <c r="G7727" s="326"/>
      <c r="H7727" s="326"/>
      <c r="P7727" s="318"/>
      <c r="Q7727" s="318"/>
      <c r="R7727" s="318"/>
      <c r="S7727" s="318"/>
      <c r="T7727" s="318"/>
      <c r="U7727" s="318"/>
      <c r="V7727" s="318"/>
      <c r="W7727" s="318"/>
      <c r="X7727" s="318"/>
      <c r="Y7727" s="318"/>
      <c r="Z7727" s="318"/>
      <c r="AA7727" s="318"/>
      <c r="AB7727" s="318"/>
      <c r="AC7727" s="318"/>
      <c r="AD7727" s="318"/>
    </row>
    <row r="7728" spans="2:30" s="323" customFormat="1" ht="12" customHeight="1">
      <c r="B7728" s="324"/>
      <c r="C7728" s="325"/>
      <c r="D7728" s="326"/>
      <c r="E7728" s="326"/>
      <c r="F7728" s="326"/>
      <c r="G7728" s="326"/>
      <c r="H7728" s="326"/>
      <c r="P7728" s="318"/>
      <c r="Q7728" s="318"/>
      <c r="R7728" s="318"/>
      <c r="S7728" s="318"/>
      <c r="T7728" s="318"/>
      <c r="U7728" s="318"/>
      <c r="V7728" s="318"/>
      <c r="W7728" s="318"/>
      <c r="X7728" s="318"/>
      <c r="Y7728" s="318"/>
      <c r="Z7728" s="318"/>
      <c r="AA7728" s="318"/>
      <c r="AB7728" s="318"/>
      <c r="AC7728" s="318"/>
      <c r="AD7728" s="318"/>
    </row>
    <row r="7729" spans="2:30" s="323" customFormat="1" ht="12" customHeight="1">
      <c r="B7729" s="324"/>
      <c r="C7729" s="325"/>
      <c r="D7729" s="326"/>
      <c r="E7729" s="326"/>
      <c r="F7729" s="326"/>
      <c r="G7729" s="326"/>
      <c r="H7729" s="326"/>
      <c r="P7729" s="318"/>
      <c r="Q7729" s="318"/>
      <c r="R7729" s="318"/>
      <c r="S7729" s="318"/>
      <c r="T7729" s="318"/>
      <c r="U7729" s="318"/>
      <c r="V7729" s="318"/>
      <c r="W7729" s="318"/>
      <c r="X7729" s="318"/>
      <c r="Y7729" s="318"/>
      <c r="Z7729" s="318"/>
      <c r="AA7729" s="318"/>
      <c r="AB7729" s="318"/>
      <c r="AC7729" s="318"/>
      <c r="AD7729" s="318"/>
    </row>
    <row r="7730" spans="2:30" s="323" customFormat="1" ht="12" customHeight="1">
      <c r="B7730" s="324"/>
      <c r="C7730" s="325"/>
      <c r="D7730" s="326"/>
      <c r="E7730" s="326"/>
      <c r="F7730" s="326"/>
      <c r="G7730" s="326"/>
      <c r="H7730" s="326"/>
      <c r="P7730" s="318"/>
      <c r="Q7730" s="318"/>
      <c r="R7730" s="318"/>
      <c r="S7730" s="318"/>
      <c r="T7730" s="318"/>
      <c r="U7730" s="318"/>
      <c r="V7730" s="318"/>
      <c r="W7730" s="318"/>
      <c r="X7730" s="318"/>
      <c r="Y7730" s="318"/>
      <c r="Z7730" s="318"/>
      <c r="AA7730" s="318"/>
      <c r="AB7730" s="318"/>
      <c r="AC7730" s="318"/>
      <c r="AD7730" s="318"/>
    </row>
    <row r="7731" spans="2:30" s="323" customFormat="1" ht="12" customHeight="1">
      <c r="B7731" s="324"/>
      <c r="C7731" s="325"/>
      <c r="D7731" s="326"/>
      <c r="E7731" s="326"/>
      <c r="F7731" s="326"/>
      <c r="G7731" s="326"/>
      <c r="H7731" s="326"/>
      <c r="P7731" s="318"/>
      <c r="Q7731" s="318"/>
      <c r="R7731" s="318"/>
      <c r="S7731" s="318"/>
      <c r="T7731" s="318"/>
      <c r="U7731" s="318"/>
      <c r="V7731" s="318"/>
      <c r="W7731" s="318"/>
      <c r="X7731" s="318"/>
      <c r="Y7731" s="318"/>
      <c r="Z7731" s="318"/>
      <c r="AA7731" s="318"/>
      <c r="AB7731" s="318"/>
      <c r="AC7731" s="318"/>
      <c r="AD7731" s="318"/>
    </row>
    <row r="7732" spans="2:30" s="323" customFormat="1" ht="12" customHeight="1">
      <c r="B7732" s="324"/>
      <c r="C7732" s="325"/>
      <c r="D7732" s="326"/>
      <c r="E7732" s="326"/>
      <c r="F7732" s="326"/>
      <c r="G7732" s="326"/>
      <c r="H7732" s="326"/>
      <c r="P7732" s="318"/>
      <c r="Q7732" s="318"/>
      <c r="R7732" s="318"/>
      <c r="S7732" s="318"/>
      <c r="T7732" s="318"/>
      <c r="U7732" s="318"/>
      <c r="V7732" s="318"/>
      <c r="W7732" s="318"/>
      <c r="X7732" s="318"/>
      <c r="Y7732" s="318"/>
      <c r="Z7732" s="318"/>
      <c r="AA7732" s="318"/>
      <c r="AB7732" s="318"/>
      <c r="AC7732" s="318"/>
      <c r="AD7732" s="318"/>
    </row>
    <row r="7733" spans="2:30" s="323" customFormat="1" ht="12" customHeight="1">
      <c r="B7733" s="324"/>
      <c r="C7733" s="325"/>
      <c r="D7733" s="326"/>
      <c r="E7733" s="326"/>
      <c r="F7733" s="326"/>
      <c r="G7733" s="326"/>
      <c r="H7733" s="326"/>
      <c r="P7733" s="318"/>
      <c r="Q7733" s="318"/>
      <c r="R7733" s="318"/>
      <c r="S7733" s="318"/>
      <c r="T7733" s="318"/>
      <c r="U7733" s="318"/>
      <c r="V7733" s="318"/>
      <c r="W7733" s="318"/>
      <c r="X7733" s="318"/>
      <c r="Y7733" s="318"/>
      <c r="Z7733" s="318"/>
      <c r="AA7733" s="318"/>
      <c r="AB7733" s="318"/>
      <c r="AC7733" s="318"/>
      <c r="AD7733" s="318"/>
    </row>
    <row r="7734" spans="2:30" s="323" customFormat="1" ht="12" customHeight="1">
      <c r="B7734" s="324"/>
      <c r="C7734" s="325"/>
      <c r="D7734" s="326"/>
      <c r="E7734" s="326"/>
      <c r="F7734" s="326"/>
      <c r="G7734" s="326"/>
      <c r="H7734" s="326"/>
      <c r="P7734" s="318"/>
      <c r="Q7734" s="318"/>
      <c r="R7734" s="318"/>
      <c r="S7734" s="318"/>
      <c r="T7734" s="318"/>
      <c r="U7734" s="318"/>
      <c r="V7734" s="318"/>
      <c r="W7734" s="318"/>
      <c r="X7734" s="318"/>
      <c r="Y7734" s="318"/>
      <c r="Z7734" s="318"/>
      <c r="AA7734" s="318"/>
      <c r="AB7734" s="318"/>
      <c r="AC7734" s="318"/>
      <c r="AD7734" s="318"/>
    </row>
    <row r="7735" spans="2:30" s="323" customFormat="1" ht="12" customHeight="1">
      <c r="B7735" s="324"/>
      <c r="C7735" s="325"/>
      <c r="D7735" s="326"/>
      <c r="E7735" s="326"/>
      <c r="F7735" s="326"/>
      <c r="G7735" s="326"/>
      <c r="H7735" s="326"/>
      <c r="P7735" s="318"/>
      <c r="Q7735" s="318"/>
      <c r="R7735" s="318"/>
      <c r="S7735" s="318"/>
      <c r="T7735" s="318"/>
      <c r="U7735" s="318"/>
      <c r="V7735" s="318"/>
      <c r="W7735" s="318"/>
      <c r="X7735" s="318"/>
      <c r="Y7735" s="318"/>
      <c r="Z7735" s="318"/>
      <c r="AA7735" s="318"/>
      <c r="AB7735" s="318"/>
      <c r="AC7735" s="318"/>
      <c r="AD7735" s="318"/>
    </row>
    <row r="7736" spans="2:30" s="323" customFormat="1" ht="12" customHeight="1">
      <c r="B7736" s="324"/>
      <c r="C7736" s="325"/>
      <c r="D7736" s="326"/>
      <c r="E7736" s="326"/>
      <c r="F7736" s="326"/>
      <c r="G7736" s="326"/>
      <c r="H7736" s="326"/>
      <c r="P7736" s="318"/>
      <c r="Q7736" s="318"/>
      <c r="R7736" s="318"/>
      <c r="S7736" s="318"/>
      <c r="T7736" s="318"/>
      <c r="U7736" s="318"/>
      <c r="V7736" s="318"/>
      <c r="W7736" s="318"/>
      <c r="X7736" s="318"/>
      <c r="Y7736" s="318"/>
      <c r="Z7736" s="318"/>
      <c r="AA7736" s="318"/>
      <c r="AB7736" s="318"/>
      <c r="AC7736" s="318"/>
      <c r="AD7736" s="318"/>
    </row>
    <row r="7737" spans="2:30" s="323" customFormat="1" ht="12" customHeight="1">
      <c r="B7737" s="324"/>
      <c r="C7737" s="325"/>
      <c r="D7737" s="326"/>
      <c r="E7737" s="326"/>
      <c r="F7737" s="326"/>
      <c r="G7737" s="326"/>
      <c r="H7737" s="326"/>
      <c r="P7737" s="318"/>
      <c r="Q7737" s="318"/>
      <c r="R7737" s="318"/>
      <c r="S7737" s="318"/>
      <c r="T7737" s="318"/>
      <c r="U7737" s="318"/>
      <c r="V7737" s="318"/>
      <c r="W7737" s="318"/>
      <c r="X7737" s="318"/>
      <c r="Y7737" s="318"/>
      <c r="Z7737" s="318"/>
      <c r="AA7737" s="318"/>
      <c r="AB7737" s="318"/>
      <c r="AC7737" s="318"/>
      <c r="AD7737" s="318"/>
    </row>
    <row r="7738" spans="2:30" s="323" customFormat="1" ht="12" customHeight="1">
      <c r="B7738" s="324"/>
      <c r="C7738" s="325"/>
      <c r="D7738" s="326"/>
      <c r="E7738" s="326"/>
      <c r="F7738" s="326"/>
      <c r="G7738" s="326"/>
      <c r="H7738" s="326"/>
      <c r="P7738" s="318"/>
      <c r="Q7738" s="318"/>
      <c r="R7738" s="318"/>
      <c r="S7738" s="318"/>
      <c r="T7738" s="318"/>
      <c r="U7738" s="318"/>
      <c r="V7738" s="318"/>
      <c r="W7738" s="318"/>
      <c r="X7738" s="318"/>
      <c r="Y7738" s="318"/>
      <c r="Z7738" s="318"/>
      <c r="AA7738" s="318"/>
      <c r="AB7738" s="318"/>
      <c r="AC7738" s="318"/>
      <c r="AD7738" s="318"/>
    </row>
    <row r="7739" spans="2:30" s="323" customFormat="1" ht="12" customHeight="1">
      <c r="B7739" s="324"/>
      <c r="C7739" s="325"/>
      <c r="D7739" s="326"/>
      <c r="E7739" s="326"/>
      <c r="F7739" s="326"/>
      <c r="G7739" s="326"/>
      <c r="H7739" s="326"/>
      <c r="P7739" s="318"/>
      <c r="Q7739" s="318"/>
      <c r="R7739" s="318"/>
      <c r="S7739" s="318"/>
      <c r="T7739" s="318"/>
      <c r="U7739" s="318"/>
      <c r="V7739" s="318"/>
      <c r="W7739" s="318"/>
      <c r="X7739" s="318"/>
      <c r="Y7739" s="318"/>
      <c r="Z7739" s="318"/>
      <c r="AA7739" s="318"/>
      <c r="AB7739" s="318"/>
      <c r="AC7739" s="318"/>
      <c r="AD7739" s="318"/>
    </row>
    <row r="7740" spans="2:30" s="323" customFormat="1" ht="12" customHeight="1">
      <c r="B7740" s="324"/>
      <c r="C7740" s="325"/>
      <c r="D7740" s="326"/>
      <c r="E7740" s="326"/>
      <c r="F7740" s="326"/>
      <c r="G7740" s="326"/>
      <c r="H7740" s="326"/>
      <c r="P7740" s="318"/>
      <c r="Q7740" s="318"/>
      <c r="R7740" s="318"/>
      <c r="S7740" s="318"/>
      <c r="T7740" s="318"/>
      <c r="U7740" s="318"/>
      <c r="V7740" s="318"/>
      <c r="W7740" s="318"/>
      <c r="X7740" s="318"/>
      <c r="Y7740" s="318"/>
      <c r="Z7740" s="318"/>
      <c r="AA7740" s="318"/>
      <c r="AB7740" s="318"/>
      <c r="AC7740" s="318"/>
      <c r="AD7740" s="318"/>
    </row>
    <row r="7741" spans="2:30" s="323" customFormat="1" ht="12" customHeight="1">
      <c r="B7741" s="324"/>
      <c r="C7741" s="325"/>
      <c r="D7741" s="326"/>
      <c r="E7741" s="326"/>
      <c r="F7741" s="326"/>
      <c r="G7741" s="326"/>
      <c r="H7741" s="326"/>
      <c r="P7741" s="318"/>
      <c r="Q7741" s="318"/>
      <c r="R7741" s="318"/>
      <c r="S7741" s="318"/>
      <c r="T7741" s="318"/>
      <c r="U7741" s="318"/>
      <c r="V7741" s="318"/>
      <c r="W7741" s="318"/>
      <c r="X7741" s="318"/>
      <c r="Y7741" s="318"/>
      <c r="Z7741" s="318"/>
      <c r="AA7741" s="318"/>
      <c r="AB7741" s="318"/>
      <c r="AC7741" s="318"/>
      <c r="AD7741" s="318"/>
    </row>
    <row r="7742" spans="2:30" s="323" customFormat="1" ht="12" customHeight="1">
      <c r="B7742" s="324"/>
      <c r="C7742" s="325"/>
      <c r="D7742" s="326"/>
      <c r="E7742" s="326"/>
      <c r="F7742" s="326"/>
      <c r="G7742" s="326"/>
      <c r="H7742" s="326"/>
      <c r="P7742" s="318"/>
      <c r="Q7742" s="318"/>
      <c r="R7742" s="318"/>
      <c r="S7742" s="318"/>
      <c r="T7742" s="318"/>
      <c r="U7742" s="318"/>
      <c r="V7742" s="318"/>
      <c r="W7742" s="318"/>
      <c r="X7742" s="318"/>
      <c r="Y7742" s="318"/>
      <c r="Z7742" s="318"/>
      <c r="AA7742" s="318"/>
      <c r="AB7742" s="318"/>
      <c r="AC7742" s="318"/>
      <c r="AD7742" s="318"/>
    </row>
    <row r="7743" spans="2:30" s="323" customFormat="1" ht="12" customHeight="1">
      <c r="B7743" s="324"/>
      <c r="C7743" s="325"/>
      <c r="D7743" s="326"/>
      <c r="E7743" s="326"/>
      <c r="F7743" s="326"/>
      <c r="G7743" s="326"/>
      <c r="H7743" s="326"/>
      <c r="P7743" s="318"/>
      <c r="Q7743" s="318"/>
      <c r="R7743" s="318"/>
      <c r="S7743" s="318"/>
      <c r="T7743" s="318"/>
      <c r="U7743" s="318"/>
      <c r="V7743" s="318"/>
      <c r="W7743" s="318"/>
      <c r="X7743" s="318"/>
      <c r="Y7743" s="318"/>
      <c r="Z7743" s="318"/>
      <c r="AA7743" s="318"/>
      <c r="AB7743" s="318"/>
      <c r="AC7743" s="318"/>
      <c r="AD7743" s="318"/>
    </row>
    <row r="7744" spans="2:30" s="323" customFormat="1" ht="12" customHeight="1">
      <c r="B7744" s="324"/>
      <c r="C7744" s="325"/>
      <c r="D7744" s="326"/>
      <c r="E7744" s="326"/>
      <c r="F7744" s="326"/>
      <c r="G7744" s="326"/>
      <c r="H7744" s="326"/>
      <c r="P7744" s="318"/>
      <c r="Q7744" s="318"/>
      <c r="R7744" s="318"/>
      <c r="S7744" s="318"/>
      <c r="T7744" s="318"/>
      <c r="U7744" s="318"/>
      <c r="V7744" s="318"/>
      <c r="W7744" s="318"/>
      <c r="X7744" s="318"/>
      <c r="Y7744" s="318"/>
      <c r="Z7744" s="318"/>
      <c r="AA7744" s="318"/>
      <c r="AB7744" s="318"/>
      <c r="AC7744" s="318"/>
      <c r="AD7744" s="318"/>
    </row>
    <row r="7745" spans="2:30" s="323" customFormat="1" ht="12" customHeight="1">
      <c r="B7745" s="324"/>
      <c r="C7745" s="325"/>
      <c r="D7745" s="326"/>
      <c r="E7745" s="326"/>
      <c r="F7745" s="326"/>
      <c r="G7745" s="326"/>
      <c r="H7745" s="326"/>
      <c r="P7745" s="318"/>
      <c r="Q7745" s="318"/>
      <c r="R7745" s="318"/>
      <c r="S7745" s="318"/>
      <c r="T7745" s="318"/>
      <c r="U7745" s="318"/>
      <c r="V7745" s="318"/>
      <c r="W7745" s="318"/>
      <c r="X7745" s="318"/>
      <c r="Y7745" s="318"/>
      <c r="Z7745" s="318"/>
      <c r="AA7745" s="318"/>
      <c r="AB7745" s="318"/>
      <c r="AC7745" s="318"/>
      <c r="AD7745" s="318"/>
    </row>
    <row r="7746" spans="2:30" s="323" customFormat="1" ht="12" customHeight="1">
      <c r="B7746" s="324"/>
      <c r="C7746" s="325"/>
      <c r="D7746" s="326"/>
      <c r="E7746" s="326"/>
      <c r="F7746" s="326"/>
      <c r="G7746" s="326"/>
      <c r="H7746" s="326"/>
      <c r="P7746" s="318"/>
      <c r="Q7746" s="318"/>
      <c r="R7746" s="318"/>
      <c r="S7746" s="318"/>
      <c r="T7746" s="318"/>
      <c r="U7746" s="318"/>
      <c r="V7746" s="318"/>
      <c r="W7746" s="318"/>
      <c r="X7746" s="318"/>
      <c r="Y7746" s="318"/>
      <c r="Z7746" s="318"/>
      <c r="AA7746" s="318"/>
      <c r="AB7746" s="318"/>
      <c r="AC7746" s="318"/>
      <c r="AD7746" s="318"/>
    </row>
    <row r="7747" spans="2:30" s="323" customFormat="1" ht="12" customHeight="1">
      <c r="B7747" s="324"/>
      <c r="C7747" s="325"/>
      <c r="D7747" s="326"/>
      <c r="E7747" s="326"/>
      <c r="F7747" s="326"/>
      <c r="G7747" s="326"/>
      <c r="H7747" s="326"/>
      <c r="P7747" s="318"/>
      <c r="Q7747" s="318"/>
      <c r="R7747" s="318"/>
      <c r="S7747" s="318"/>
      <c r="T7747" s="318"/>
      <c r="U7747" s="318"/>
      <c r="V7747" s="318"/>
      <c r="W7747" s="318"/>
      <c r="X7747" s="318"/>
      <c r="Y7747" s="318"/>
      <c r="Z7747" s="318"/>
      <c r="AA7747" s="318"/>
      <c r="AB7747" s="318"/>
      <c r="AC7747" s="318"/>
      <c r="AD7747" s="318"/>
    </row>
    <row r="7748" spans="2:30" s="323" customFormat="1" ht="12" customHeight="1">
      <c r="B7748" s="324"/>
      <c r="C7748" s="325"/>
      <c r="D7748" s="326"/>
      <c r="E7748" s="326"/>
      <c r="F7748" s="326"/>
      <c r="G7748" s="326"/>
      <c r="H7748" s="326"/>
      <c r="P7748" s="318"/>
      <c r="Q7748" s="318"/>
      <c r="R7748" s="318"/>
      <c r="S7748" s="318"/>
      <c r="T7748" s="318"/>
      <c r="U7748" s="318"/>
      <c r="V7748" s="318"/>
      <c r="W7748" s="318"/>
      <c r="X7748" s="318"/>
      <c r="Y7748" s="318"/>
      <c r="Z7748" s="318"/>
      <c r="AA7748" s="318"/>
      <c r="AB7748" s="318"/>
      <c r="AC7748" s="318"/>
      <c r="AD7748" s="318"/>
    </row>
    <row r="7749" spans="2:30" s="323" customFormat="1" ht="12" customHeight="1">
      <c r="B7749" s="324"/>
      <c r="C7749" s="325"/>
      <c r="D7749" s="326"/>
      <c r="E7749" s="326"/>
      <c r="F7749" s="326"/>
      <c r="G7749" s="326"/>
      <c r="H7749" s="326"/>
      <c r="P7749" s="318"/>
      <c r="Q7749" s="318"/>
      <c r="R7749" s="318"/>
      <c r="S7749" s="318"/>
      <c r="T7749" s="318"/>
      <c r="U7749" s="318"/>
      <c r="V7749" s="318"/>
      <c r="W7749" s="318"/>
      <c r="X7749" s="318"/>
      <c r="Y7749" s="318"/>
      <c r="Z7749" s="318"/>
      <c r="AA7749" s="318"/>
      <c r="AB7749" s="318"/>
      <c r="AC7749" s="318"/>
      <c r="AD7749" s="318"/>
    </row>
    <row r="7750" spans="2:30" s="323" customFormat="1" ht="12" customHeight="1">
      <c r="B7750" s="324"/>
      <c r="C7750" s="325"/>
      <c r="D7750" s="326"/>
      <c r="E7750" s="326"/>
      <c r="F7750" s="326"/>
      <c r="G7750" s="326"/>
      <c r="H7750" s="326"/>
      <c r="P7750" s="318"/>
      <c r="Q7750" s="318"/>
      <c r="R7750" s="318"/>
      <c r="S7750" s="318"/>
      <c r="T7750" s="318"/>
      <c r="U7750" s="318"/>
      <c r="V7750" s="318"/>
      <c r="W7750" s="318"/>
      <c r="X7750" s="318"/>
      <c r="Y7750" s="318"/>
      <c r="Z7750" s="318"/>
      <c r="AA7750" s="318"/>
      <c r="AB7750" s="318"/>
      <c r="AC7750" s="318"/>
      <c r="AD7750" s="318"/>
    </row>
    <row r="7751" spans="2:30" s="323" customFormat="1" ht="12" customHeight="1">
      <c r="B7751" s="324"/>
      <c r="C7751" s="325"/>
      <c r="D7751" s="326"/>
      <c r="E7751" s="326"/>
      <c r="F7751" s="326"/>
      <c r="G7751" s="326"/>
      <c r="H7751" s="326"/>
      <c r="P7751" s="318"/>
      <c r="Q7751" s="318"/>
      <c r="R7751" s="318"/>
      <c r="S7751" s="318"/>
      <c r="T7751" s="318"/>
      <c r="U7751" s="318"/>
      <c r="V7751" s="318"/>
      <c r="W7751" s="318"/>
      <c r="X7751" s="318"/>
      <c r="Y7751" s="318"/>
      <c r="Z7751" s="318"/>
      <c r="AA7751" s="318"/>
      <c r="AB7751" s="318"/>
      <c r="AC7751" s="318"/>
      <c r="AD7751" s="318"/>
    </row>
    <row r="7752" spans="2:30" s="323" customFormat="1" ht="12" customHeight="1">
      <c r="B7752" s="324"/>
      <c r="C7752" s="325"/>
      <c r="D7752" s="326"/>
      <c r="E7752" s="326"/>
      <c r="F7752" s="326"/>
      <c r="G7752" s="326"/>
      <c r="H7752" s="326"/>
      <c r="P7752" s="318"/>
      <c r="Q7752" s="318"/>
      <c r="R7752" s="318"/>
      <c r="S7752" s="318"/>
      <c r="T7752" s="318"/>
      <c r="U7752" s="318"/>
      <c r="V7752" s="318"/>
      <c r="W7752" s="318"/>
      <c r="X7752" s="318"/>
      <c r="Y7752" s="318"/>
      <c r="Z7752" s="318"/>
      <c r="AA7752" s="318"/>
      <c r="AB7752" s="318"/>
      <c r="AC7752" s="318"/>
      <c r="AD7752" s="318"/>
    </row>
    <row r="7753" spans="2:30" s="323" customFormat="1" ht="12" customHeight="1">
      <c r="B7753" s="324"/>
      <c r="C7753" s="325"/>
      <c r="D7753" s="326"/>
      <c r="E7753" s="326"/>
      <c r="F7753" s="326"/>
      <c r="G7753" s="326"/>
      <c r="H7753" s="326"/>
      <c r="P7753" s="318"/>
      <c r="Q7753" s="318"/>
      <c r="R7753" s="318"/>
      <c r="S7753" s="318"/>
      <c r="T7753" s="318"/>
      <c r="U7753" s="318"/>
      <c r="V7753" s="318"/>
      <c r="W7753" s="318"/>
      <c r="X7753" s="318"/>
      <c r="Y7753" s="318"/>
      <c r="Z7753" s="318"/>
      <c r="AA7753" s="318"/>
      <c r="AB7753" s="318"/>
      <c r="AC7753" s="318"/>
      <c r="AD7753" s="318"/>
    </row>
    <row r="7754" spans="2:30" s="323" customFormat="1" ht="12" customHeight="1">
      <c r="B7754" s="324"/>
      <c r="C7754" s="325"/>
      <c r="D7754" s="326"/>
      <c r="E7754" s="326"/>
      <c r="F7754" s="326"/>
      <c r="G7754" s="326"/>
      <c r="H7754" s="326"/>
      <c r="P7754" s="318"/>
      <c r="Q7754" s="318"/>
      <c r="R7754" s="318"/>
      <c r="S7754" s="318"/>
      <c r="T7754" s="318"/>
      <c r="U7754" s="318"/>
      <c r="V7754" s="318"/>
      <c r="W7754" s="318"/>
      <c r="X7754" s="318"/>
      <c r="Y7754" s="318"/>
      <c r="Z7754" s="318"/>
      <c r="AA7754" s="318"/>
      <c r="AB7754" s="318"/>
      <c r="AC7754" s="318"/>
      <c r="AD7754" s="318"/>
    </row>
    <row r="7755" spans="2:30" s="323" customFormat="1" ht="12" customHeight="1">
      <c r="B7755" s="324"/>
      <c r="C7755" s="325"/>
      <c r="D7755" s="326"/>
      <c r="E7755" s="326"/>
      <c r="F7755" s="326"/>
      <c r="G7755" s="326"/>
      <c r="H7755" s="326"/>
      <c r="P7755" s="318"/>
      <c r="Q7755" s="318"/>
      <c r="R7755" s="318"/>
      <c r="S7755" s="318"/>
      <c r="T7755" s="318"/>
      <c r="U7755" s="318"/>
      <c r="V7755" s="318"/>
      <c r="W7755" s="318"/>
      <c r="X7755" s="318"/>
      <c r="Y7755" s="318"/>
      <c r="Z7755" s="318"/>
      <c r="AA7755" s="318"/>
      <c r="AB7755" s="318"/>
      <c r="AC7755" s="318"/>
      <c r="AD7755" s="318"/>
    </row>
    <row r="7756" spans="2:30" s="323" customFormat="1" ht="12" customHeight="1">
      <c r="B7756" s="324"/>
      <c r="C7756" s="325"/>
      <c r="D7756" s="326"/>
      <c r="E7756" s="326"/>
      <c r="F7756" s="326"/>
      <c r="G7756" s="326"/>
      <c r="H7756" s="326"/>
      <c r="P7756" s="318"/>
      <c r="Q7756" s="318"/>
      <c r="R7756" s="318"/>
      <c r="S7756" s="318"/>
      <c r="T7756" s="318"/>
      <c r="U7756" s="318"/>
      <c r="V7756" s="318"/>
      <c r="W7756" s="318"/>
      <c r="X7756" s="318"/>
      <c r="Y7756" s="318"/>
      <c r="Z7756" s="318"/>
      <c r="AA7756" s="318"/>
      <c r="AB7756" s="318"/>
      <c r="AC7756" s="318"/>
      <c r="AD7756" s="318"/>
    </row>
    <row r="7757" spans="2:30" s="323" customFormat="1" ht="12" customHeight="1">
      <c r="B7757" s="324"/>
      <c r="C7757" s="325"/>
      <c r="D7757" s="326"/>
      <c r="E7757" s="326"/>
      <c r="F7757" s="326"/>
      <c r="G7757" s="326"/>
      <c r="H7757" s="326"/>
      <c r="P7757" s="318"/>
      <c r="Q7757" s="318"/>
      <c r="R7757" s="318"/>
      <c r="S7757" s="318"/>
      <c r="T7757" s="318"/>
      <c r="U7757" s="318"/>
      <c r="V7757" s="318"/>
      <c r="W7757" s="318"/>
      <c r="X7757" s="318"/>
      <c r="Y7757" s="318"/>
      <c r="Z7757" s="318"/>
      <c r="AA7757" s="318"/>
      <c r="AB7757" s="318"/>
      <c r="AC7757" s="318"/>
      <c r="AD7757" s="318"/>
    </row>
    <row r="7758" spans="2:30" s="323" customFormat="1" ht="12" customHeight="1">
      <c r="B7758" s="324"/>
      <c r="C7758" s="325"/>
      <c r="D7758" s="326"/>
      <c r="E7758" s="326"/>
      <c r="F7758" s="326"/>
      <c r="G7758" s="326"/>
      <c r="H7758" s="326"/>
      <c r="P7758" s="318"/>
      <c r="Q7758" s="318"/>
      <c r="R7758" s="318"/>
      <c r="S7758" s="318"/>
      <c r="T7758" s="318"/>
      <c r="U7758" s="318"/>
      <c r="V7758" s="318"/>
      <c r="W7758" s="318"/>
      <c r="X7758" s="318"/>
      <c r="Y7758" s="318"/>
      <c r="Z7758" s="318"/>
      <c r="AA7758" s="318"/>
      <c r="AB7758" s="318"/>
      <c r="AC7758" s="318"/>
      <c r="AD7758" s="318"/>
    </row>
    <row r="7759" spans="2:30" s="323" customFormat="1" ht="12" customHeight="1">
      <c r="B7759" s="324"/>
      <c r="C7759" s="325"/>
      <c r="D7759" s="326"/>
      <c r="E7759" s="326"/>
      <c r="F7759" s="326"/>
      <c r="G7759" s="326"/>
      <c r="H7759" s="326"/>
      <c r="P7759" s="318"/>
      <c r="Q7759" s="318"/>
      <c r="R7759" s="318"/>
      <c r="S7759" s="318"/>
      <c r="T7759" s="318"/>
      <c r="U7759" s="318"/>
      <c r="V7759" s="318"/>
      <c r="W7759" s="318"/>
      <c r="X7759" s="318"/>
      <c r="Y7759" s="318"/>
      <c r="Z7759" s="318"/>
      <c r="AA7759" s="318"/>
      <c r="AB7759" s="318"/>
      <c r="AC7759" s="318"/>
      <c r="AD7759" s="318"/>
    </row>
    <row r="7760" spans="2:30" s="323" customFormat="1" ht="12" customHeight="1">
      <c r="B7760" s="324"/>
      <c r="C7760" s="325"/>
      <c r="D7760" s="326"/>
      <c r="E7760" s="326"/>
      <c r="F7760" s="326"/>
      <c r="G7760" s="326"/>
      <c r="H7760" s="326"/>
      <c r="P7760" s="318"/>
      <c r="Q7760" s="318"/>
      <c r="R7760" s="318"/>
      <c r="S7760" s="318"/>
      <c r="T7760" s="318"/>
      <c r="U7760" s="318"/>
      <c r="V7760" s="318"/>
      <c r="W7760" s="318"/>
      <c r="X7760" s="318"/>
      <c r="Y7760" s="318"/>
      <c r="Z7760" s="318"/>
      <c r="AA7760" s="318"/>
      <c r="AB7760" s="318"/>
      <c r="AC7760" s="318"/>
      <c r="AD7760" s="318"/>
    </row>
    <row r="7761" spans="2:30" s="323" customFormat="1" ht="12" customHeight="1">
      <c r="B7761" s="324"/>
      <c r="C7761" s="325"/>
      <c r="D7761" s="326"/>
      <c r="E7761" s="326"/>
      <c r="F7761" s="326"/>
      <c r="G7761" s="326"/>
      <c r="H7761" s="326"/>
      <c r="P7761" s="318"/>
      <c r="Q7761" s="318"/>
      <c r="R7761" s="318"/>
      <c r="S7761" s="318"/>
      <c r="T7761" s="318"/>
      <c r="U7761" s="318"/>
      <c r="V7761" s="318"/>
      <c r="W7761" s="318"/>
      <c r="X7761" s="318"/>
      <c r="Y7761" s="318"/>
      <c r="Z7761" s="318"/>
      <c r="AA7761" s="318"/>
      <c r="AB7761" s="318"/>
      <c r="AC7761" s="318"/>
      <c r="AD7761" s="318"/>
    </row>
    <row r="7762" spans="2:30" s="323" customFormat="1" ht="12" customHeight="1">
      <c r="B7762" s="324"/>
      <c r="C7762" s="325"/>
      <c r="D7762" s="326"/>
      <c r="E7762" s="326"/>
      <c r="F7762" s="326"/>
      <c r="G7762" s="326"/>
      <c r="H7762" s="326"/>
      <c r="P7762" s="318"/>
      <c r="Q7762" s="318"/>
      <c r="R7762" s="318"/>
      <c r="S7762" s="318"/>
      <c r="T7762" s="318"/>
      <c r="U7762" s="318"/>
      <c r="V7762" s="318"/>
      <c r="W7762" s="318"/>
      <c r="X7762" s="318"/>
      <c r="Y7762" s="318"/>
      <c r="Z7762" s="318"/>
      <c r="AA7762" s="318"/>
      <c r="AB7762" s="318"/>
      <c r="AC7762" s="318"/>
      <c r="AD7762" s="318"/>
    </row>
    <row r="7763" spans="2:30" s="323" customFormat="1" ht="12" customHeight="1">
      <c r="B7763" s="324"/>
      <c r="C7763" s="325"/>
      <c r="D7763" s="326"/>
      <c r="E7763" s="326"/>
      <c r="F7763" s="326"/>
      <c r="G7763" s="326"/>
      <c r="H7763" s="326"/>
      <c r="P7763" s="318"/>
      <c r="Q7763" s="318"/>
      <c r="R7763" s="318"/>
      <c r="S7763" s="318"/>
      <c r="T7763" s="318"/>
      <c r="U7763" s="318"/>
      <c r="V7763" s="318"/>
      <c r="W7763" s="318"/>
      <c r="X7763" s="318"/>
      <c r="Y7763" s="318"/>
      <c r="Z7763" s="318"/>
      <c r="AA7763" s="318"/>
      <c r="AB7763" s="318"/>
      <c r="AC7763" s="318"/>
      <c r="AD7763" s="318"/>
    </row>
    <row r="7764" spans="2:30" s="323" customFormat="1" ht="12" customHeight="1">
      <c r="B7764" s="324"/>
      <c r="C7764" s="325"/>
      <c r="D7764" s="326"/>
      <c r="E7764" s="326"/>
      <c r="F7764" s="326"/>
      <c r="G7764" s="326"/>
      <c r="H7764" s="326"/>
      <c r="P7764" s="318"/>
      <c r="Q7764" s="318"/>
      <c r="R7764" s="318"/>
      <c r="S7764" s="318"/>
      <c r="T7764" s="318"/>
      <c r="U7764" s="318"/>
      <c r="V7764" s="318"/>
      <c r="W7764" s="318"/>
      <c r="X7764" s="318"/>
      <c r="Y7764" s="318"/>
      <c r="Z7764" s="318"/>
      <c r="AA7764" s="318"/>
      <c r="AB7764" s="318"/>
      <c r="AC7764" s="318"/>
      <c r="AD7764" s="318"/>
    </row>
    <row r="7765" spans="2:30" s="323" customFormat="1" ht="12" customHeight="1">
      <c r="B7765" s="324"/>
      <c r="C7765" s="325"/>
      <c r="D7765" s="326"/>
      <c r="E7765" s="326"/>
      <c r="F7765" s="326"/>
      <c r="G7765" s="326"/>
      <c r="H7765" s="326"/>
      <c r="P7765" s="318"/>
      <c r="Q7765" s="318"/>
      <c r="R7765" s="318"/>
      <c r="S7765" s="318"/>
      <c r="T7765" s="318"/>
      <c r="U7765" s="318"/>
      <c r="V7765" s="318"/>
      <c r="W7765" s="318"/>
      <c r="X7765" s="318"/>
      <c r="Y7765" s="318"/>
      <c r="Z7765" s="318"/>
      <c r="AA7765" s="318"/>
      <c r="AB7765" s="318"/>
      <c r="AC7765" s="318"/>
      <c r="AD7765" s="318"/>
    </row>
    <row r="7766" spans="2:30" s="323" customFormat="1" ht="12" customHeight="1">
      <c r="B7766" s="324"/>
      <c r="C7766" s="325"/>
      <c r="D7766" s="326"/>
      <c r="E7766" s="326"/>
      <c r="F7766" s="326"/>
      <c r="G7766" s="326"/>
      <c r="H7766" s="326"/>
      <c r="P7766" s="318"/>
      <c r="Q7766" s="318"/>
      <c r="R7766" s="318"/>
      <c r="S7766" s="318"/>
      <c r="T7766" s="318"/>
      <c r="U7766" s="318"/>
      <c r="V7766" s="318"/>
      <c r="W7766" s="318"/>
      <c r="X7766" s="318"/>
      <c r="Y7766" s="318"/>
      <c r="Z7766" s="318"/>
      <c r="AA7766" s="318"/>
      <c r="AB7766" s="318"/>
      <c r="AC7766" s="318"/>
      <c r="AD7766" s="318"/>
    </row>
    <row r="7767" spans="2:30" s="323" customFormat="1" ht="12" customHeight="1">
      <c r="B7767" s="324"/>
      <c r="C7767" s="325"/>
      <c r="D7767" s="326"/>
      <c r="E7767" s="326"/>
      <c r="F7767" s="326"/>
      <c r="G7767" s="326"/>
      <c r="H7767" s="326"/>
      <c r="P7767" s="318"/>
      <c r="Q7767" s="318"/>
      <c r="R7767" s="318"/>
      <c r="S7767" s="318"/>
      <c r="T7767" s="318"/>
      <c r="U7767" s="318"/>
      <c r="V7767" s="318"/>
      <c r="W7767" s="318"/>
      <c r="X7767" s="318"/>
      <c r="Y7767" s="318"/>
      <c r="Z7767" s="318"/>
      <c r="AA7767" s="318"/>
      <c r="AB7767" s="318"/>
      <c r="AC7767" s="318"/>
      <c r="AD7767" s="318"/>
    </row>
    <row r="7768" spans="2:30" s="323" customFormat="1" ht="12" customHeight="1">
      <c r="B7768" s="324"/>
      <c r="C7768" s="325"/>
      <c r="D7768" s="326"/>
      <c r="E7768" s="326"/>
      <c r="F7768" s="326"/>
      <c r="G7768" s="326"/>
      <c r="H7768" s="326"/>
      <c r="P7768" s="318"/>
      <c r="Q7768" s="318"/>
      <c r="R7768" s="318"/>
      <c r="S7768" s="318"/>
      <c r="T7768" s="318"/>
      <c r="U7768" s="318"/>
      <c r="V7768" s="318"/>
      <c r="W7768" s="318"/>
      <c r="X7768" s="318"/>
      <c r="Y7768" s="318"/>
      <c r="Z7768" s="318"/>
      <c r="AA7768" s="318"/>
      <c r="AB7768" s="318"/>
      <c r="AC7768" s="318"/>
      <c r="AD7768" s="318"/>
    </row>
    <row r="7769" spans="2:30" s="323" customFormat="1" ht="12" customHeight="1">
      <c r="B7769" s="324"/>
      <c r="C7769" s="325"/>
      <c r="D7769" s="326"/>
      <c r="E7769" s="326"/>
      <c r="F7769" s="326"/>
      <c r="G7769" s="326"/>
      <c r="H7769" s="326"/>
      <c r="P7769" s="318"/>
      <c r="Q7769" s="318"/>
      <c r="R7769" s="318"/>
      <c r="S7769" s="318"/>
      <c r="T7769" s="318"/>
      <c r="U7769" s="318"/>
      <c r="V7769" s="318"/>
      <c r="W7769" s="318"/>
      <c r="X7769" s="318"/>
      <c r="Y7769" s="318"/>
      <c r="Z7769" s="318"/>
      <c r="AA7769" s="318"/>
      <c r="AB7769" s="318"/>
      <c r="AC7769" s="318"/>
      <c r="AD7769" s="318"/>
    </row>
    <row r="7770" spans="2:30" s="323" customFormat="1" ht="12" customHeight="1">
      <c r="B7770" s="324"/>
      <c r="C7770" s="325"/>
      <c r="D7770" s="326"/>
      <c r="E7770" s="326"/>
      <c r="F7770" s="326"/>
      <c r="G7770" s="326"/>
      <c r="H7770" s="326"/>
      <c r="P7770" s="318"/>
      <c r="Q7770" s="318"/>
      <c r="R7770" s="318"/>
      <c r="S7770" s="318"/>
      <c r="T7770" s="318"/>
      <c r="U7770" s="318"/>
      <c r="V7770" s="318"/>
      <c r="W7770" s="318"/>
      <c r="X7770" s="318"/>
      <c r="Y7770" s="318"/>
      <c r="Z7770" s="318"/>
      <c r="AA7770" s="318"/>
      <c r="AB7770" s="318"/>
      <c r="AC7770" s="318"/>
      <c r="AD7770" s="318"/>
    </row>
    <row r="7771" spans="2:30" s="323" customFormat="1" ht="12" customHeight="1">
      <c r="B7771" s="324"/>
      <c r="C7771" s="325"/>
      <c r="D7771" s="326"/>
      <c r="E7771" s="326"/>
      <c r="F7771" s="326"/>
      <c r="G7771" s="326"/>
      <c r="H7771" s="326"/>
      <c r="P7771" s="318"/>
      <c r="Q7771" s="318"/>
      <c r="R7771" s="318"/>
      <c r="S7771" s="318"/>
      <c r="T7771" s="318"/>
      <c r="U7771" s="318"/>
      <c r="V7771" s="318"/>
      <c r="W7771" s="318"/>
      <c r="X7771" s="318"/>
      <c r="Y7771" s="318"/>
      <c r="Z7771" s="318"/>
      <c r="AA7771" s="318"/>
      <c r="AB7771" s="318"/>
      <c r="AC7771" s="318"/>
      <c r="AD7771" s="318"/>
    </row>
    <row r="7772" spans="2:30" s="323" customFormat="1" ht="12" customHeight="1">
      <c r="B7772" s="324"/>
      <c r="C7772" s="325"/>
      <c r="D7772" s="326"/>
      <c r="E7772" s="326"/>
      <c r="F7772" s="326"/>
      <c r="G7772" s="326"/>
      <c r="H7772" s="326"/>
      <c r="P7772" s="318"/>
      <c r="Q7772" s="318"/>
      <c r="R7772" s="318"/>
      <c r="S7772" s="318"/>
      <c r="T7772" s="318"/>
      <c r="U7772" s="318"/>
      <c r="V7772" s="318"/>
      <c r="W7772" s="318"/>
      <c r="X7772" s="318"/>
      <c r="Y7772" s="318"/>
      <c r="Z7772" s="318"/>
      <c r="AA7772" s="318"/>
      <c r="AB7772" s="318"/>
      <c r="AC7772" s="318"/>
      <c r="AD7772" s="318"/>
    </row>
    <row r="7773" spans="2:30" s="323" customFormat="1" ht="12" customHeight="1">
      <c r="B7773" s="324"/>
      <c r="C7773" s="325"/>
      <c r="D7773" s="326"/>
      <c r="E7773" s="326"/>
      <c r="F7773" s="326"/>
      <c r="G7773" s="326"/>
      <c r="H7773" s="326"/>
      <c r="P7773" s="318"/>
      <c r="Q7773" s="318"/>
      <c r="R7773" s="318"/>
      <c r="S7773" s="318"/>
      <c r="T7773" s="318"/>
      <c r="U7773" s="318"/>
      <c r="V7773" s="318"/>
      <c r="W7773" s="318"/>
      <c r="X7773" s="318"/>
      <c r="Y7773" s="318"/>
      <c r="Z7773" s="318"/>
      <c r="AA7773" s="318"/>
      <c r="AB7773" s="318"/>
      <c r="AC7773" s="318"/>
      <c r="AD7773" s="318"/>
    </row>
    <row r="7774" spans="2:30" s="323" customFormat="1" ht="12" customHeight="1">
      <c r="B7774" s="324"/>
      <c r="C7774" s="325"/>
      <c r="D7774" s="326"/>
      <c r="E7774" s="326"/>
      <c r="F7774" s="326"/>
      <c r="G7774" s="326"/>
      <c r="H7774" s="326"/>
      <c r="P7774" s="318"/>
      <c r="Q7774" s="318"/>
      <c r="R7774" s="318"/>
      <c r="S7774" s="318"/>
      <c r="T7774" s="318"/>
      <c r="U7774" s="318"/>
      <c r="V7774" s="318"/>
      <c r="W7774" s="318"/>
      <c r="X7774" s="318"/>
      <c r="Y7774" s="318"/>
      <c r="Z7774" s="318"/>
      <c r="AA7774" s="318"/>
      <c r="AB7774" s="318"/>
      <c r="AC7774" s="318"/>
      <c r="AD7774" s="318"/>
    </row>
    <row r="7775" spans="2:30" s="323" customFormat="1" ht="12" customHeight="1">
      <c r="B7775" s="324"/>
      <c r="C7775" s="325"/>
      <c r="D7775" s="326"/>
      <c r="E7775" s="326"/>
      <c r="F7775" s="326"/>
      <c r="G7775" s="326"/>
      <c r="H7775" s="326"/>
      <c r="P7775" s="318"/>
      <c r="Q7775" s="318"/>
      <c r="R7775" s="318"/>
      <c r="S7775" s="318"/>
      <c r="T7775" s="318"/>
      <c r="U7775" s="318"/>
      <c r="V7775" s="318"/>
      <c r="W7775" s="318"/>
      <c r="X7775" s="318"/>
      <c r="Y7775" s="318"/>
      <c r="Z7775" s="318"/>
      <c r="AA7775" s="318"/>
      <c r="AB7775" s="318"/>
      <c r="AC7775" s="318"/>
      <c r="AD7775" s="318"/>
    </row>
    <row r="7776" spans="2:30" s="323" customFormat="1" ht="12" customHeight="1">
      <c r="B7776" s="324"/>
      <c r="C7776" s="325"/>
      <c r="D7776" s="326"/>
      <c r="E7776" s="326"/>
      <c r="F7776" s="326"/>
      <c r="G7776" s="326"/>
      <c r="H7776" s="326"/>
      <c r="P7776" s="318"/>
      <c r="Q7776" s="318"/>
      <c r="R7776" s="318"/>
      <c r="S7776" s="318"/>
      <c r="T7776" s="318"/>
      <c r="U7776" s="318"/>
      <c r="V7776" s="318"/>
      <c r="W7776" s="318"/>
      <c r="X7776" s="318"/>
      <c r="Y7776" s="318"/>
      <c r="Z7776" s="318"/>
      <c r="AA7776" s="318"/>
      <c r="AB7776" s="318"/>
      <c r="AC7776" s="318"/>
      <c r="AD7776" s="318"/>
    </row>
    <row r="7777" spans="2:30" s="323" customFormat="1" ht="12" customHeight="1">
      <c r="B7777" s="324"/>
      <c r="C7777" s="325"/>
      <c r="D7777" s="326"/>
      <c r="E7777" s="326"/>
      <c r="F7777" s="326"/>
      <c r="G7777" s="326"/>
      <c r="H7777" s="326"/>
      <c r="P7777" s="318"/>
      <c r="Q7777" s="318"/>
      <c r="R7777" s="318"/>
      <c r="S7777" s="318"/>
      <c r="T7777" s="318"/>
      <c r="U7777" s="318"/>
      <c r="V7777" s="318"/>
      <c r="W7777" s="318"/>
      <c r="X7777" s="318"/>
      <c r="Y7777" s="318"/>
      <c r="Z7777" s="318"/>
      <c r="AA7777" s="318"/>
      <c r="AB7777" s="318"/>
      <c r="AC7777" s="318"/>
      <c r="AD7777" s="318"/>
    </row>
    <row r="7778" spans="2:30" s="323" customFormat="1" ht="12" customHeight="1">
      <c r="B7778" s="324"/>
      <c r="C7778" s="325"/>
      <c r="D7778" s="326"/>
      <c r="E7778" s="326"/>
      <c r="F7778" s="326"/>
      <c r="G7778" s="326"/>
      <c r="H7778" s="326"/>
      <c r="P7778" s="318"/>
      <c r="Q7778" s="318"/>
      <c r="R7778" s="318"/>
      <c r="S7778" s="318"/>
      <c r="T7778" s="318"/>
      <c r="U7778" s="318"/>
      <c r="V7778" s="318"/>
      <c r="W7778" s="318"/>
      <c r="X7778" s="318"/>
      <c r="Y7778" s="318"/>
      <c r="Z7778" s="318"/>
      <c r="AA7778" s="318"/>
      <c r="AB7778" s="318"/>
      <c r="AC7778" s="318"/>
      <c r="AD7778" s="318"/>
    </row>
    <row r="7779" spans="2:30" s="323" customFormat="1" ht="12" customHeight="1">
      <c r="B7779" s="324"/>
      <c r="C7779" s="325"/>
      <c r="D7779" s="326"/>
      <c r="E7779" s="326"/>
      <c r="F7779" s="326"/>
      <c r="G7779" s="326"/>
      <c r="H7779" s="326"/>
      <c r="P7779" s="318"/>
      <c r="Q7779" s="318"/>
      <c r="R7779" s="318"/>
      <c r="S7779" s="318"/>
      <c r="T7779" s="318"/>
      <c r="U7779" s="318"/>
      <c r="V7779" s="318"/>
      <c r="W7779" s="318"/>
      <c r="X7779" s="318"/>
      <c r="Y7779" s="318"/>
      <c r="Z7779" s="318"/>
      <c r="AA7779" s="318"/>
      <c r="AB7779" s="318"/>
      <c r="AC7779" s="318"/>
      <c r="AD7779" s="318"/>
    </row>
    <row r="7780" spans="2:30" s="323" customFormat="1" ht="12" customHeight="1">
      <c r="B7780" s="324"/>
      <c r="C7780" s="325"/>
      <c r="D7780" s="326"/>
      <c r="E7780" s="326"/>
      <c r="F7780" s="326"/>
      <c r="G7780" s="326"/>
      <c r="H7780" s="326"/>
      <c r="P7780" s="318"/>
      <c r="Q7780" s="318"/>
      <c r="R7780" s="318"/>
      <c r="S7780" s="318"/>
      <c r="T7780" s="318"/>
      <c r="U7780" s="318"/>
      <c r="V7780" s="318"/>
      <c r="W7780" s="318"/>
      <c r="X7780" s="318"/>
      <c r="Y7780" s="318"/>
      <c r="Z7780" s="318"/>
      <c r="AA7780" s="318"/>
      <c r="AB7780" s="318"/>
      <c r="AC7780" s="318"/>
      <c r="AD7780" s="318"/>
    </row>
    <row r="7781" spans="2:30" s="323" customFormat="1" ht="12" customHeight="1">
      <c r="B7781" s="324"/>
      <c r="C7781" s="325"/>
      <c r="D7781" s="326"/>
      <c r="E7781" s="326"/>
      <c r="F7781" s="326"/>
      <c r="G7781" s="326"/>
      <c r="H7781" s="326"/>
      <c r="P7781" s="318"/>
      <c r="Q7781" s="318"/>
      <c r="R7781" s="318"/>
      <c r="S7781" s="318"/>
      <c r="T7781" s="318"/>
      <c r="U7781" s="318"/>
      <c r="V7781" s="318"/>
      <c r="W7781" s="318"/>
      <c r="X7781" s="318"/>
      <c r="Y7781" s="318"/>
      <c r="Z7781" s="318"/>
      <c r="AA7781" s="318"/>
      <c r="AB7781" s="318"/>
      <c r="AC7781" s="318"/>
      <c r="AD7781" s="318"/>
    </row>
    <row r="7782" spans="2:30" s="323" customFormat="1" ht="12" customHeight="1">
      <c r="B7782" s="324"/>
      <c r="C7782" s="325"/>
      <c r="D7782" s="326"/>
      <c r="E7782" s="326"/>
      <c r="F7782" s="326"/>
      <c r="G7782" s="326"/>
      <c r="H7782" s="326"/>
      <c r="P7782" s="318"/>
      <c r="Q7782" s="318"/>
      <c r="R7782" s="318"/>
      <c r="S7782" s="318"/>
      <c r="T7782" s="318"/>
      <c r="U7782" s="318"/>
      <c r="V7782" s="318"/>
      <c r="W7782" s="318"/>
      <c r="X7782" s="318"/>
      <c r="Y7782" s="318"/>
      <c r="Z7782" s="318"/>
      <c r="AA7782" s="318"/>
      <c r="AB7782" s="318"/>
      <c r="AC7782" s="318"/>
      <c r="AD7782" s="318"/>
    </row>
    <row r="7783" spans="2:30" s="323" customFormat="1" ht="12" customHeight="1">
      <c r="B7783" s="324"/>
      <c r="C7783" s="325"/>
      <c r="D7783" s="326"/>
      <c r="E7783" s="326"/>
      <c r="F7783" s="326"/>
      <c r="G7783" s="326"/>
      <c r="H7783" s="326"/>
      <c r="P7783" s="318"/>
      <c r="Q7783" s="318"/>
      <c r="R7783" s="318"/>
      <c r="S7783" s="318"/>
      <c r="T7783" s="318"/>
      <c r="U7783" s="318"/>
      <c r="V7783" s="318"/>
      <c r="W7783" s="318"/>
      <c r="X7783" s="318"/>
      <c r="Y7783" s="318"/>
      <c r="Z7783" s="318"/>
      <c r="AA7783" s="318"/>
      <c r="AB7783" s="318"/>
      <c r="AC7783" s="318"/>
      <c r="AD7783" s="318"/>
    </row>
    <row r="7784" spans="2:30" s="323" customFormat="1" ht="12" customHeight="1">
      <c r="B7784" s="324"/>
      <c r="C7784" s="325"/>
      <c r="D7784" s="326"/>
      <c r="E7784" s="326"/>
      <c r="F7784" s="326"/>
      <c r="G7784" s="326"/>
      <c r="H7784" s="326"/>
      <c r="P7784" s="318"/>
      <c r="Q7784" s="318"/>
      <c r="R7784" s="318"/>
      <c r="S7784" s="318"/>
      <c r="T7784" s="318"/>
      <c r="U7784" s="318"/>
      <c r="V7784" s="318"/>
      <c r="W7784" s="318"/>
      <c r="X7784" s="318"/>
      <c r="Y7784" s="318"/>
      <c r="Z7784" s="318"/>
      <c r="AA7784" s="318"/>
      <c r="AB7784" s="318"/>
      <c r="AC7784" s="318"/>
      <c r="AD7784" s="318"/>
    </row>
    <row r="7785" spans="2:30" s="323" customFormat="1" ht="12" customHeight="1">
      <c r="B7785" s="324"/>
      <c r="C7785" s="325"/>
      <c r="D7785" s="326"/>
      <c r="E7785" s="326"/>
      <c r="F7785" s="326"/>
      <c r="G7785" s="326"/>
      <c r="H7785" s="326"/>
      <c r="P7785" s="318"/>
      <c r="Q7785" s="318"/>
      <c r="R7785" s="318"/>
      <c r="S7785" s="318"/>
      <c r="T7785" s="318"/>
      <c r="U7785" s="318"/>
      <c r="V7785" s="318"/>
      <c r="W7785" s="318"/>
      <c r="X7785" s="318"/>
      <c r="Y7785" s="318"/>
      <c r="Z7785" s="318"/>
      <c r="AA7785" s="318"/>
      <c r="AB7785" s="318"/>
      <c r="AC7785" s="318"/>
      <c r="AD7785" s="318"/>
    </row>
    <row r="7786" spans="2:30" s="323" customFormat="1" ht="12" customHeight="1">
      <c r="B7786" s="324"/>
      <c r="C7786" s="325"/>
      <c r="D7786" s="326"/>
      <c r="E7786" s="326"/>
      <c r="F7786" s="326"/>
      <c r="G7786" s="326"/>
      <c r="H7786" s="326"/>
      <c r="P7786" s="318"/>
      <c r="Q7786" s="318"/>
      <c r="R7786" s="318"/>
      <c r="S7786" s="318"/>
      <c r="T7786" s="318"/>
      <c r="U7786" s="318"/>
      <c r="V7786" s="318"/>
      <c r="W7786" s="318"/>
      <c r="X7786" s="318"/>
      <c r="Y7786" s="318"/>
      <c r="Z7786" s="318"/>
      <c r="AA7786" s="318"/>
      <c r="AB7786" s="318"/>
      <c r="AC7786" s="318"/>
      <c r="AD7786" s="318"/>
    </row>
    <row r="7787" spans="2:30" s="323" customFormat="1" ht="12" customHeight="1">
      <c r="B7787" s="324"/>
      <c r="C7787" s="325"/>
      <c r="D7787" s="326"/>
      <c r="E7787" s="326"/>
      <c r="F7787" s="326"/>
      <c r="G7787" s="326"/>
      <c r="H7787" s="326"/>
      <c r="P7787" s="318"/>
      <c r="Q7787" s="318"/>
      <c r="R7787" s="318"/>
      <c r="S7787" s="318"/>
      <c r="T7787" s="318"/>
      <c r="U7787" s="318"/>
      <c r="V7787" s="318"/>
      <c r="W7787" s="318"/>
      <c r="X7787" s="318"/>
      <c r="Y7787" s="318"/>
      <c r="Z7787" s="318"/>
      <c r="AA7787" s="318"/>
      <c r="AB7787" s="318"/>
      <c r="AC7787" s="318"/>
      <c r="AD7787" s="318"/>
    </row>
    <row r="7788" spans="2:30" s="323" customFormat="1" ht="12" customHeight="1">
      <c r="B7788" s="324"/>
      <c r="C7788" s="325"/>
      <c r="D7788" s="326"/>
      <c r="E7788" s="326"/>
      <c r="F7788" s="326"/>
      <c r="G7788" s="326"/>
      <c r="H7788" s="326"/>
      <c r="P7788" s="318"/>
      <c r="Q7788" s="318"/>
      <c r="R7788" s="318"/>
      <c r="S7788" s="318"/>
      <c r="T7788" s="318"/>
      <c r="U7788" s="318"/>
      <c r="V7788" s="318"/>
      <c r="W7788" s="318"/>
      <c r="X7788" s="318"/>
      <c r="Y7788" s="318"/>
      <c r="Z7788" s="318"/>
      <c r="AA7788" s="318"/>
      <c r="AB7788" s="318"/>
      <c r="AC7788" s="318"/>
      <c r="AD7788" s="318"/>
    </row>
    <row r="7789" spans="2:30" s="323" customFormat="1" ht="12" customHeight="1">
      <c r="B7789" s="324"/>
      <c r="C7789" s="325"/>
      <c r="D7789" s="326"/>
      <c r="E7789" s="326"/>
      <c r="F7789" s="326"/>
      <c r="G7789" s="326"/>
      <c r="H7789" s="326"/>
      <c r="P7789" s="318"/>
      <c r="Q7789" s="318"/>
      <c r="R7789" s="318"/>
      <c r="S7789" s="318"/>
      <c r="T7789" s="318"/>
      <c r="U7789" s="318"/>
      <c r="V7789" s="318"/>
      <c r="W7789" s="318"/>
      <c r="X7789" s="318"/>
      <c r="Y7789" s="318"/>
      <c r="Z7789" s="318"/>
      <c r="AA7789" s="318"/>
      <c r="AB7789" s="318"/>
      <c r="AC7789" s="318"/>
      <c r="AD7789" s="318"/>
    </row>
    <row r="7790" spans="2:30" s="323" customFormat="1" ht="12" customHeight="1">
      <c r="B7790" s="324"/>
      <c r="C7790" s="325"/>
      <c r="D7790" s="326"/>
      <c r="E7790" s="326"/>
      <c r="F7790" s="326"/>
      <c r="G7790" s="326"/>
      <c r="H7790" s="326"/>
      <c r="P7790" s="318"/>
      <c r="Q7790" s="318"/>
      <c r="R7790" s="318"/>
      <c r="S7790" s="318"/>
      <c r="T7790" s="318"/>
      <c r="U7790" s="318"/>
      <c r="V7790" s="318"/>
      <c r="W7790" s="318"/>
      <c r="X7790" s="318"/>
      <c r="Y7790" s="318"/>
      <c r="Z7790" s="318"/>
      <c r="AA7790" s="318"/>
      <c r="AB7790" s="318"/>
      <c r="AC7790" s="318"/>
      <c r="AD7790" s="318"/>
    </row>
    <row r="7791" spans="2:30" s="323" customFormat="1" ht="12" customHeight="1">
      <c r="B7791" s="324"/>
      <c r="C7791" s="325"/>
      <c r="D7791" s="326"/>
      <c r="E7791" s="326"/>
      <c r="F7791" s="326"/>
      <c r="G7791" s="326"/>
      <c r="H7791" s="326"/>
      <c r="P7791" s="318"/>
      <c r="Q7791" s="318"/>
      <c r="R7791" s="318"/>
      <c r="S7791" s="318"/>
      <c r="T7791" s="318"/>
      <c r="U7791" s="318"/>
      <c r="V7791" s="318"/>
      <c r="W7791" s="318"/>
      <c r="X7791" s="318"/>
      <c r="Y7791" s="318"/>
      <c r="Z7791" s="318"/>
      <c r="AA7791" s="318"/>
      <c r="AB7791" s="318"/>
      <c r="AC7791" s="318"/>
      <c r="AD7791" s="318"/>
    </row>
    <row r="7792" spans="2:30" s="323" customFormat="1" ht="12" customHeight="1">
      <c r="B7792" s="324"/>
      <c r="C7792" s="325"/>
      <c r="D7792" s="326"/>
      <c r="E7792" s="326"/>
      <c r="F7792" s="326"/>
      <c r="G7792" s="326"/>
      <c r="H7792" s="326"/>
      <c r="P7792" s="318"/>
      <c r="Q7792" s="318"/>
      <c r="R7792" s="318"/>
      <c r="S7792" s="318"/>
      <c r="T7792" s="318"/>
      <c r="U7792" s="318"/>
      <c r="V7792" s="318"/>
      <c r="W7792" s="318"/>
      <c r="X7792" s="318"/>
      <c r="Y7792" s="318"/>
      <c r="Z7792" s="318"/>
      <c r="AA7792" s="318"/>
      <c r="AB7792" s="318"/>
      <c r="AC7792" s="318"/>
      <c r="AD7792" s="318"/>
    </row>
    <row r="7793" spans="2:30" s="323" customFormat="1" ht="12" customHeight="1">
      <c r="B7793" s="324"/>
      <c r="C7793" s="325"/>
      <c r="D7793" s="326"/>
      <c r="E7793" s="326"/>
      <c r="F7793" s="326"/>
      <c r="G7793" s="326"/>
      <c r="H7793" s="326"/>
      <c r="P7793" s="318"/>
      <c r="Q7793" s="318"/>
      <c r="R7793" s="318"/>
      <c r="S7793" s="318"/>
      <c r="T7793" s="318"/>
      <c r="U7793" s="318"/>
      <c r="V7793" s="318"/>
      <c r="W7793" s="318"/>
      <c r="X7793" s="318"/>
      <c r="Y7793" s="318"/>
      <c r="Z7793" s="318"/>
      <c r="AA7793" s="318"/>
      <c r="AB7793" s="318"/>
      <c r="AC7793" s="318"/>
      <c r="AD7793" s="318"/>
    </row>
    <row r="7794" spans="2:30" s="323" customFormat="1" ht="12" customHeight="1">
      <c r="B7794" s="324"/>
      <c r="C7794" s="325"/>
      <c r="D7794" s="326"/>
      <c r="E7794" s="326"/>
      <c r="F7794" s="326"/>
      <c r="G7794" s="326"/>
      <c r="H7794" s="326"/>
      <c r="P7794" s="318"/>
      <c r="Q7794" s="318"/>
      <c r="R7794" s="318"/>
      <c r="S7794" s="318"/>
      <c r="T7794" s="318"/>
      <c r="U7794" s="318"/>
      <c r="V7794" s="318"/>
      <c r="W7794" s="318"/>
      <c r="X7794" s="318"/>
      <c r="Y7794" s="318"/>
      <c r="Z7794" s="318"/>
      <c r="AA7794" s="318"/>
      <c r="AB7794" s="318"/>
      <c r="AC7794" s="318"/>
      <c r="AD7794" s="318"/>
    </row>
    <row r="7795" spans="2:30" s="323" customFormat="1" ht="12" customHeight="1">
      <c r="B7795" s="324"/>
      <c r="C7795" s="325"/>
      <c r="D7795" s="326"/>
      <c r="E7795" s="326"/>
      <c r="F7795" s="326"/>
      <c r="G7795" s="326"/>
      <c r="H7795" s="326"/>
      <c r="P7795" s="318"/>
      <c r="Q7795" s="318"/>
      <c r="R7795" s="318"/>
      <c r="S7795" s="318"/>
      <c r="T7795" s="318"/>
      <c r="U7795" s="318"/>
      <c r="V7795" s="318"/>
      <c r="W7795" s="318"/>
      <c r="X7795" s="318"/>
      <c r="Y7795" s="318"/>
      <c r="Z7795" s="318"/>
      <c r="AA7795" s="318"/>
      <c r="AB7795" s="318"/>
      <c r="AC7795" s="318"/>
      <c r="AD7795" s="318"/>
    </row>
    <row r="7796" spans="2:30" s="323" customFormat="1" ht="12" customHeight="1">
      <c r="B7796" s="324"/>
      <c r="C7796" s="325"/>
      <c r="D7796" s="326"/>
      <c r="E7796" s="326"/>
      <c r="F7796" s="326"/>
      <c r="G7796" s="326"/>
      <c r="H7796" s="326"/>
      <c r="P7796" s="318"/>
      <c r="Q7796" s="318"/>
      <c r="R7796" s="318"/>
      <c r="S7796" s="318"/>
      <c r="T7796" s="318"/>
      <c r="U7796" s="318"/>
      <c r="V7796" s="318"/>
      <c r="W7796" s="318"/>
      <c r="X7796" s="318"/>
      <c r="Y7796" s="318"/>
      <c r="Z7796" s="318"/>
      <c r="AA7796" s="318"/>
      <c r="AB7796" s="318"/>
      <c r="AC7796" s="318"/>
      <c r="AD7796" s="318"/>
    </row>
    <row r="7797" spans="2:30" s="323" customFormat="1" ht="12" customHeight="1">
      <c r="B7797" s="324"/>
      <c r="C7797" s="325"/>
      <c r="D7797" s="326"/>
      <c r="E7797" s="326"/>
      <c r="F7797" s="326"/>
      <c r="G7797" s="326"/>
      <c r="H7797" s="326"/>
      <c r="P7797" s="318"/>
      <c r="Q7797" s="318"/>
      <c r="R7797" s="318"/>
      <c r="S7797" s="318"/>
      <c r="T7797" s="318"/>
      <c r="U7797" s="318"/>
      <c r="V7797" s="318"/>
      <c r="W7797" s="318"/>
      <c r="X7797" s="318"/>
      <c r="Y7797" s="318"/>
      <c r="Z7797" s="318"/>
      <c r="AA7797" s="318"/>
      <c r="AB7797" s="318"/>
      <c r="AC7797" s="318"/>
      <c r="AD7797" s="318"/>
    </row>
    <row r="7798" spans="2:30" s="323" customFormat="1" ht="12" customHeight="1">
      <c r="B7798" s="324"/>
      <c r="C7798" s="325"/>
      <c r="D7798" s="326"/>
      <c r="E7798" s="326"/>
      <c r="F7798" s="326"/>
      <c r="G7798" s="326"/>
      <c r="H7798" s="326"/>
      <c r="P7798" s="318"/>
      <c r="Q7798" s="318"/>
      <c r="R7798" s="318"/>
      <c r="S7798" s="318"/>
      <c r="T7798" s="318"/>
      <c r="U7798" s="318"/>
      <c r="V7798" s="318"/>
      <c r="W7798" s="318"/>
      <c r="X7798" s="318"/>
      <c r="Y7798" s="318"/>
      <c r="Z7798" s="318"/>
      <c r="AA7798" s="318"/>
      <c r="AB7798" s="318"/>
      <c r="AC7798" s="318"/>
      <c r="AD7798" s="318"/>
    </row>
    <row r="7799" spans="2:30" s="323" customFormat="1" ht="12" customHeight="1">
      <c r="B7799" s="324"/>
      <c r="C7799" s="325"/>
      <c r="D7799" s="326"/>
      <c r="E7799" s="326"/>
      <c r="F7799" s="326"/>
      <c r="G7799" s="326"/>
      <c r="H7799" s="326"/>
      <c r="P7799" s="318"/>
      <c r="Q7799" s="318"/>
      <c r="R7799" s="318"/>
      <c r="S7799" s="318"/>
      <c r="T7799" s="318"/>
      <c r="U7799" s="318"/>
      <c r="V7799" s="318"/>
      <c r="W7799" s="318"/>
      <c r="X7799" s="318"/>
      <c r="Y7799" s="318"/>
      <c r="Z7799" s="318"/>
      <c r="AA7799" s="318"/>
      <c r="AB7799" s="318"/>
      <c r="AC7799" s="318"/>
      <c r="AD7799" s="318"/>
    </row>
    <row r="7800" spans="2:30" s="323" customFormat="1" ht="12" customHeight="1">
      <c r="B7800" s="324"/>
      <c r="C7800" s="325"/>
      <c r="D7800" s="326"/>
      <c r="E7800" s="326"/>
      <c r="F7800" s="326"/>
      <c r="G7800" s="326"/>
      <c r="H7800" s="326"/>
      <c r="P7800" s="318"/>
      <c r="Q7800" s="318"/>
      <c r="R7800" s="318"/>
      <c r="S7800" s="318"/>
      <c r="T7800" s="318"/>
      <c r="U7800" s="318"/>
      <c r="V7800" s="318"/>
      <c r="W7800" s="318"/>
      <c r="X7800" s="318"/>
      <c r="Y7800" s="318"/>
      <c r="Z7800" s="318"/>
      <c r="AA7800" s="318"/>
      <c r="AB7800" s="318"/>
      <c r="AC7800" s="318"/>
      <c r="AD7800" s="318"/>
    </row>
    <row r="7801" spans="2:30" s="323" customFormat="1" ht="12" customHeight="1">
      <c r="B7801" s="324"/>
      <c r="C7801" s="325"/>
      <c r="D7801" s="326"/>
      <c r="E7801" s="326"/>
      <c r="F7801" s="326"/>
      <c r="G7801" s="326"/>
      <c r="H7801" s="326"/>
      <c r="P7801" s="318"/>
      <c r="Q7801" s="318"/>
      <c r="R7801" s="318"/>
      <c r="S7801" s="318"/>
      <c r="T7801" s="318"/>
      <c r="U7801" s="318"/>
      <c r="V7801" s="318"/>
      <c r="W7801" s="318"/>
      <c r="X7801" s="318"/>
      <c r="Y7801" s="318"/>
      <c r="Z7801" s="318"/>
      <c r="AA7801" s="318"/>
      <c r="AB7801" s="318"/>
      <c r="AC7801" s="318"/>
      <c r="AD7801" s="318"/>
    </row>
    <row r="7802" spans="2:30" s="323" customFormat="1" ht="12" customHeight="1">
      <c r="B7802" s="324"/>
      <c r="C7802" s="325"/>
      <c r="D7802" s="326"/>
      <c r="E7802" s="326"/>
      <c r="F7802" s="326"/>
      <c r="G7802" s="326"/>
      <c r="H7802" s="326"/>
      <c r="P7802" s="318"/>
      <c r="Q7802" s="318"/>
      <c r="R7802" s="318"/>
      <c r="S7802" s="318"/>
      <c r="T7802" s="318"/>
      <c r="U7802" s="318"/>
      <c r="V7802" s="318"/>
      <c r="W7802" s="318"/>
      <c r="X7802" s="318"/>
      <c r="Y7802" s="318"/>
      <c r="Z7802" s="318"/>
      <c r="AA7802" s="318"/>
      <c r="AB7802" s="318"/>
      <c r="AC7802" s="318"/>
      <c r="AD7802" s="318"/>
    </row>
    <row r="7803" spans="2:30" s="323" customFormat="1" ht="12" customHeight="1">
      <c r="B7803" s="324"/>
      <c r="C7803" s="325"/>
      <c r="D7803" s="326"/>
      <c r="E7803" s="326"/>
      <c r="F7803" s="326"/>
      <c r="G7803" s="326"/>
      <c r="H7803" s="326"/>
      <c r="P7803" s="318"/>
      <c r="Q7803" s="318"/>
      <c r="R7803" s="318"/>
      <c r="S7803" s="318"/>
      <c r="T7803" s="318"/>
      <c r="U7803" s="318"/>
      <c r="V7803" s="318"/>
      <c r="W7803" s="318"/>
      <c r="X7803" s="318"/>
      <c r="Y7803" s="318"/>
      <c r="Z7803" s="318"/>
      <c r="AA7803" s="318"/>
      <c r="AB7803" s="318"/>
      <c r="AC7803" s="318"/>
      <c r="AD7803" s="318"/>
    </row>
    <row r="7804" spans="2:30" s="323" customFormat="1" ht="12" customHeight="1">
      <c r="B7804" s="324"/>
      <c r="C7804" s="325"/>
      <c r="D7804" s="326"/>
      <c r="E7804" s="326"/>
      <c r="F7804" s="326"/>
      <c r="G7804" s="326"/>
      <c r="H7804" s="326"/>
      <c r="P7804" s="318"/>
      <c r="Q7804" s="318"/>
      <c r="R7804" s="318"/>
      <c r="S7804" s="318"/>
      <c r="T7804" s="318"/>
      <c r="U7804" s="318"/>
      <c r="V7804" s="318"/>
      <c r="W7804" s="318"/>
      <c r="X7804" s="318"/>
      <c r="Y7804" s="318"/>
      <c r="Z7804" s="318"/>
      <c r="AA7804" s="318"/>
      <c r="AB7804" s="318"/>
      <c r="AC7804" s="318"/>
      <c r="AD7804" s="318"/>
    </row>
    <row r="7805" spans="2:30" s="323" customFormat="1" ht="12" customHeight="1">
      <c r="B7805" s="324"/>
      <c r="C7805" s="325"/>
      <c r="D7805" s="326"/>
      <c r="E7805" s="326"/>
      <c r="F7805" s="326"/>
      <c r="G7805" s="326"/>
      <c r="H7805" s="326"/>
      <c r="P7805" s="318"/>
      <c r="Q7805" s="318"/>
      <c r="R7805" s="318"/>
      <c r="S7805" s="318"/>
      <c r="T7805" s="318"/>
      <c r="U7805" s="318"/>
      <c r="V7805" s="318"/>
      <c r="W7805" s="318"/>
      <c r="X7805" s="318"/>
      <c r="Y7805" s="318"/>
      <c r="Z7805" s="318"/>
      <c r="AA7805" s="318"/>
      <c r="AB7805" s="318"/>
      <c r="AC7805" s="318"/>
      <c r="AD7805" s="318"/>
    </row>
    <row r="7806" spans="2:30" s="323" customFormat="1" ht="12" customHeight="1">
      <c r="B7806" s="324"/>
      <c r="C7806" s="325"/>
      <c r="D7806" s="326"/>
      <c r="E7806" s="326"/>
      <c r="F7806" s="326"/>
      <c r="G7806" s="326"/>
      <c r="H7806" s="326"/>
      <c r="P7806" s="318"/>
      <c r="Q7806" s="318"/>
      <c r="R7806" s="318"/>
      <c r="S7806" s="318"/>
      <c r="T7806" s="318"/>
      <c r="U7806" s="318"/>
      <c r="V7806" s="318"/>
      <c r="W7806" s="318"/>
      <c r="X7806" s="318"/>
      <c r="Y7806" s="318"/>
      <c r="Z7806" s="318"/>
      <c r="AA7806" s="318"/>
      <c r="AB7806" s="318"/>
      <c r="AC7806" s="318"/>
      <c r="AD7806" s="318"/>
    </row>
    <row r="7807" spans="2:30" s="323" customFormat="1" ht="12" customHeight="1">
      <c r="B7807" s="324"/>
      <c r="C7807" s="325"/>
      <c r="D7807" s="326"/>
      <c r="E7807" s="326"/>
      <c r="F7807" s="326"/>
      <c r="G7807" s="326"/>
      <c r="H7807" s="326"/>
      <c r="P7807" s="318"/>
      <c r="Q7807" s="318"/>
      <c r="R7807" s="318"/>
      <c r="S7807" s="318"/>
      <c r="T7807" s="318"/>
      <c r="U7807" s="318"/>
      <c r="V7807" s="318"/>
      <c r="W7807" s="318"/>
      <c r="X7807" s="318"/>
      <c r="Y7807" s="318"/>
      <c r="Z7807" s="318"/>
      <c r="AA7807" s="318"/>
      <c r="AB7807" s="318"/>
      <c r="AC7807" s="318"/>
      <c r="AD7807" s="318"/>
    </row>
    <row r="7808" spans="2:30" s="323" customFormat="1" ht="12" customHeight="1">
      <c r="B7808" s="324"/>
      <c r="C7808" s="325"/>
      <c r="D7808" s="326"/>
      <c r="E7808" s="326"/>
      <c r="F7808" s="326"/>
      <c r="G7808" s="326"/>
      <c r="H7808" s="326"/>
      <c r="P7808" s="318"/>
      <c r="Q7808" s="318"/>
      <c r="R7808" s="318"/>
      <c r="S7808" s="318"/>
      <c r="T7808" s="318"/>
      <c r="U7808" s="318"/>
      <c r="V7808" s="318"/>
      <c r="W7808" s="318"/>
      <c r="X7808" s="318"/>
      <c r="Y7808" s="318"/>
      <c r="Z7808" s="318"/>
      <c r="AA7808" s="318"/>
      <c r="AB7808" s="318"/>
      <c r="AC7808" s="318"/>
      <c r="AD7808" s="318"/>
    </row>
    <row r="7809" spans="2:30" s="323" customFormat="1" ht="12" customHeight="1">
      <c r="B7809" s="324"/>
      <c r="C7809" s="325"/>
      <c r="D7809" s="326"/>
      <c r="E7809" s="326"/>
      <c r="F7809" s="326"/>
      <c r="G7809" s="326"/>
      <c r="H7809" s="326"/>
      <c r="P7809" s="318"/>
      <c r="Q7809" s="318"/>
      <c r="R7809" s="318"/>
      <c r="S7809" s="318"/>
      <c r="T7809" s="318"/>
      <c r="U7809" s="318"/>
      <c r="V7809" s="318"/>
      <c r="W7809" s="318"/>
      <c r="X7809" s="318"/>
      <c r="Y7809" s="318"/>
      <c r="Z7809" s="318"/>
      <c r="AA7809" s="318"/>
      <c r="AB7809" s="318"/>
      <c r="AC7809" s="318"/>
      <c r="AD7809" s="318"/>
    </row>
    <row r="7810" spans="2:30" s="323" customFormat="1" ht="12" customHeight="1">
      <c r="B7810" s="324"/>
      <c r="C7810" s="325"/>
      <c r="D7810" s="326"/>
      <c r="E7810" s="326"/>
      <c r="F7810" s="326"/>
      <c r="G7810" s="326"/>
      <c r="H7810" s="326"/>
      <c r="P7810" s="318"/>
      <c r="Q7810" s="318"/>
      <c r="R7810" s="318"/>
      <c r="S7810" s="318"/>
      <c r="T7810" s="318"/>
      <c r="U7810" s="318"/>
      <c r="V7810" s="318"/>
      <c r="W7810" s="318"/>
      <c r="X7810" s="318"/>
      <c r="Y7810" s="318"/>
      <c r="Z7810" s="318"/>
      <c r="AA7810" s="318"/>
      <c r="AB7810" s="318"/>
      <c r="AC7810" s="318"/>
      <c r="AD7810" s="318"/>
    </row>
    <row r="7811" spans="2:30" s="323" customFormat="1" ht="12" customHeight="1">
      <c r="B7811" s="324"/>
      <c r="C7811" s="325"/>
      <c r="D7811" s="326"/>
      <c r="E7811" s="326"/>
      <c r="F7811" s="326"/>
      <c r="G7811" s="326"/>
      <c r="H7811" s="326"/>
      <c r="P7811" s="318"/>
      <c r="Q7811" s="318"/>
      <c r="R7811" s="318"/>
      <c r="S7811" s="318"/>
      <c r="T7811" s="318"/>
      <c r="U7811" s="318"/>
      <c r="V7811" s="318"/>
      <c r="W7811" s="318"/>
      <c r="X7811" s="318"/>
      <c r="Y7811" s="318"/>
      <c r="Z7811" s="318"/>
      <c r="AA7811" s="318"/>
      <c r="AB7811" s="318"/>
      <c r="AC7811" s="318"/>
      <c r="AD7811" s="318"/>
    </row>
    <row r="7812" spans="2:30" s="323" customFormat="1" ht="12" customHeight="1">
      <c r="B7812" s="324"/>
      <c r="C7812" s="325"/>
      <c r="D7812" s="326"/>
      <c r="E7812" s="326"/>
      <c r="F7812" s="326"/>
      <c r="G7812" s="326"/>
      <c r="H7812" s="326"/>
      <c r="P7812" s="318"/>
      <c r="Q7812" s="318"/>
      <c r="R7812" s="318"/>
      <c r="S7812" s="318"/>
      <c r="T7812" s="318"/>
      <c r="U7812" s="318"/>
      <c r="V7812" s="318"/>
      <c r="W7812" s="318"/>
      <c r="X7812" s="318"/>
      <c r="Y7812" s="318"/>
      <c r="Z7812" s="318"/>
      <c r="AA7812" s="318"/>
      <c r="AB7812" s="318"/>
      <c r="AC7812" s="318"/>
      <c r="AD7812" s="318"/>
    </row>
    <row r="7813" spans="2:30" s="323" customFormat="1" ht="12" customHeight="1">
      <c r="B7813" s="324"/>
      <c r="C7813" s="325"/>
      <c r="D7813" s="326"/>
      <c r="E7813" s="326"/>
      <c r="F7813" s="326"/>
      <c r="G7813" s="326"/>
      <c r="H7813" s="326"/>
      <c r="P7813" s="318"/>
      <c r="Q7813" s="318"/>
      <c r="R7813" s="318"/>
      <c r="S7813" s="318"/>
      <c r="T7813" s="318"/>
      <c r="U7813" s="318"/>
      <c r="V7813" s="318"/>
      <c r="W7813" s="318"/>
      <c r="X7813" s="318"/>
      <c r="Y7813" s="318"/>
      <c r="Z7813" s="318"/>
      <c r="AA7813" s="318"/>
      <c r="AB7813" s="318"/>
      <c r="AC7813" s="318"/>
      <c r="AD7813" s="318"/>
    </row>
    <row r="7814" spans="2:30" s="323" customFormat="1" ht="12" customHeight="1">
      <c r="B7814" s="324"/>
      <c r="C7814" s="325"/>
      <c r="D7814" s="326"/>
      <c r="E7814" s="326"/>
      <c r="F7814" s="326"/>
      <c r="G7814" s="326"/>
      <c r="H7814" s="326"/>
      <c r="P7814" s="318"/>
      <c r="Q7814" s="318"/>
      <c r="R7814" s="318"/>
      <c r="S7814" s="318"/>
      <c r="T7814" s="318"/>
      <c r="U7814" s="318"/>
      <c r="V7814" s="318"/>
      <c r="W7814" s="318"/>
      <c r="X7814" s="318"/>
      <c r="Y7814" s="318"/>
      <c r="Z7814" s="318"/>
      <c r="AA7814" s="318"/>
      <c r="AB7814" s="318"/>
      <c r="AC7814" s="318"/>
      <c r="AD7814" s="318"/>
    </row>
    <row r="7815" spans="2:30" s="323" customFormat="1" ht="12" customHeight="1">
      <c r="B7815" s="324"/>
      <c r="C7815" s="325"/>
      <c r="D7815" s="326"/>
      <c r="E7815" s="326"/>
      <c r="F7815" s="326"/>
      <c r="G7815" s="326"/>
      <c r="H7815" s="326"/>
      <c r="P7815" s="318"/>
      <c r="Q7815" s="318"/>
      <c r="R7815" s="318"/>
      <c r="S7815" s="318"/>
      <c r="T7815" s="318"/>
      <c r="U7815" s="318"/>
      <c r="V7815" s="318"/>
      <c r="W7815" s="318"/>
      <c r="X7815" s="318"/>
      <c r="Y7815" s="318"/>
      <c r="Z7815" s="318"/>
      <c r="AA7815" s="318"/>
      <c r="AB7815" s="318"/>
      <c r="AC7815" s="318"/>
      <c r="AD7815" s="318"/>
    </row>
    <row r="7816" spans="2:30" s="323" customFormat="1" ht="12" customHeight="1">
      <c r="B7816" s="324"/>
      <c r="C7816" s="325"/>
      <c r="D7816" s="326"/>
      <c r="E7816" s="326"/>
      <c r="F7816" s="326"/>
      <c r="G7816" s="326"/>
      <c r="H7816" s="326"/>
      <c r="P7816" s="318"/>
      <c r="Q7816" s="318"/>
      <c r="R7816" s="318"/>
      <c r="S7816" s="318"/>
      <c r="T7816" s="318"/>
      <c r="U7816" s="318"/>
      <c r="V7816" s="318"/>
      <c r="W7816" s="318"/>
      <c r="X7816" s="318"/>
      <c r="Y7816" s="318"/>
      <c r="Z7816" s="318"/>
      <c r="AA7816" s="318"/>
      <c r="AB7816" s="318"/>
      <c r="AC7816" s="318"/>
      <c r="AD7816" s="318"/>
    </row>
    <row r="7817" spans="2:30" s="323" customFormat="1" ht="12" customHeight="1">
      <c r="B7817" s="324"/>
      <c r="C7817" s="325"/>
      <c r="D7817" s="326"/>
      <c r="E7817" s="326"/>
      <c r="F7817" s="326"/>
      <c r="G7817" s="326"/>
      <c r="H7817" s="326"/>
      <c r="P7817" s="318"/>
      <c r="Q7817" s="318"/>
      <c r="R7817" s="318"/>
      <c r="S7817" s="318"/>
      <c r="T7817" s="318"/>
      <c r="U7817" s="318"/>
      <c r="V7817" s="318"/>
      <c r="W7817" s="318"/>
      <c r="X7817" s="318"/>
      <c r="Y7817" s="318"/>
      <c r="Z7817" s="318"/>
      <c r="AA7817" s="318"/>
      <c r="AB7817" s="318"/>
      <c r="AC7817" s="318"/>
      <c r="AD7817" s="318"/>
    </row>
    <row r="7818" spans="2:30" s="323" customFormat="1" ht="12" customHeight="1">
      <c r="B7818" s="324"/>
      <c r="C7818" s="325"/>
      <c r="D7818" s="326"/>
      <c r="E7818" s="326"/>
      <c r="F7818" s="326"/>
      <c r="G7818" s="326"/>
      <c r="H7818" s="326"/>
      <c r="P7818" s="318"/>
      <c r="Q7818" s="318"/>
      <c r="R7818" s="318"/>
      <c r="S7818" s="318"/>
      <c r="T7818" s="318"/>
      <c r="U7818" s="318"/>
      <c r="V7818" s="318"/>
      <c r="W7818" s="318"/>
      <c r="X7818" s="318"/>
      <c r="Y7818" s="318"/>
      <c r="Z7818" s="318"/>
      <c r="AA7818" s="318"/>
      <c r="AB7818" s="318"/>
      <c r="AC7818" s="318"/>
      <c r="AD7818" s="318"/>
    </row>
    <row r="7819" spans="2:30" s="323" customFormat="1" ht="12" customHeight="1">
      <c r="B7819" s="324"/>
      <c r="C7819" s="325"/>
      <c r="D7819" s="326"/>
      <c r="E7819" s="326"/>
      <c r="F7819" s="326"/>
      <c r="G7819" s="326"/>
      <c r="H7819" s="326"/>
      <c r="P7819" s="318"/>
      <c r="Q7819" s="318"/>
      <c r="R7819" s="318"/>
      <c r="S7819" s="318"/>
      <c r="T7819" s="318"/>
      <c r="U7819" s="318"/>
      <c r="V7819" s="318"/>
      <c r="W7819" s="318"/>
      <c r="X7819" s="318"/>
      <c r="Y7819" s="318"/>
      <c r="Z7819" s="318"/>
      <c r="AA7819" s="318"/>
      <c r="AB7819" s="318"/>
      <c r="AC7819" s="318"/>
      <c r="AD7819" s="318"/>
    </row>
    <row r="7820" spans="2:30" s="323" customFormat="1" ht="12" customHeight="1">
      <c r="B7820" s="324"/>
      <c r="C7820" s="325"/>
      <c r="D7820" s="326"/>
      <c r="E7820" s="326"/>
      <c r="F7820" s="326"/>
      <c r="G7820" s="326"/>
      <c r="H7820" s="326"/>
      <c r="P7820" s="318"/>
      <c r="Q7820" s="318"/>
      <c r="R7820" s="318"/>
      <c r="S7820" s="318"/>
      <c r="T7820" s="318"/>
      <c r="U7820" s="318"/>
      <c r="V7820" s="318"/>
      <c r="W7820" s="318"/>
      <c r="X7820" s="318"/>
      <c r="Y7820" s="318"/>
      <c r="Z7820" s="318"/>
      <c r="AA7820" s="318"/>
      <c r="AB7820" s="318"/>
      <c r="AC7820" s="318"/>
      <c r="AD7820" s="318"/>
    </row>
    <row r="7821" spans="2:30" s="323" customFormat="1" ht="12" customHeight="1">
      <c r="B7821" s="324"/>
      <c r="C7821" s="325"/>
      <c r="D7821" s="326"/>
      <c r="E7821" s="326"/>
      <c r="F7821" s="326"/>
      <c r="G7821" s="326"/>
      <c r="H7821" s="326"/>
      <c r="P7821" s="318"/>
      <c r="Q7821" s="318"/>
      <c r="R7821" s="318"/>
      <c r="S7821" s="318"/>
      <c r="T7821" s="318"/>
      <c r="U7821" s="318"/>
      <c r="V7821" s="318"/>
      <c r="W7821" s="318"/>
      <c r="X7821" s="318"/>
      <c r="Y7821" s="318"/>
      <c r="Z7821" s="318"/>
      <c r="AA7821" s="318"/>
      <c r="AB7821" s="318"/>
      <c r="AC7821" s="318"/>
      <c r="AD7821" s="318"/>
    </row>
    <row r="7822" spans="2:30" s="323" customFormat="1" ht="12" customHeight="1">
      <c r="B7822" s="324"/>
      <c r="C7822" s="325"/>
      <c r="D7822" s="326"/>
      <c r="E7822" s="326"/>
      <c r="F7822" s="326"/>
      <c r="G7822" s="326"/>
      <c r="H7822" s="326"/>
      <c r="P7822" s="318"/>
      <c r="Q7822" s="318"/>
      <c r="R7822" s="318"/>
      <c r="S7822" s="318"/>
      <c r="T7822" s="318"/>
      <c r="U7822" s="318"/>
      <c r="V7822" s="318"/>
      <c r="W7822" s="318"/>
      <c r="X7822" s="318"/>
      <c r="Y7822" s="318"/>
      <c r="Z7822" s="318"/>
      <c r="AA7822" s="318"/>
      <c r="AB7822" s="318"/>
      <c r="AC7822" s="318"/>
      <c r="AD7822" s="318"/>
    </row>
    <row r="7823" spans="2:30" s="323" customFormat="1" ht="12" customHeight="1">
      <c r="B7823" s="324"/>
      <c r="C7823" s="325"/>
      <c r="D7823" s="326"/>
      <c r="E7823" s="326"/>
      <c r="F7823" s="326"/>
      <c r="G7823" s="326"/>
      <c r="H7823" s="326"/>
      <c r="P7823" s="318"/>
      <c r="Q7823" s="318"/>
      <c r="R7823" s="318"/>
      <c r="S7823" s="318"/>
      <c r="T7823" s="318"/>
      <c r="U7823" s="318"/>
      <c r="V7823" s="318"/>
      <c r="W7823" s="318"/>
      <c r="X7823" s="318"/>
      <c r="Y7823" s="318"/>
      <c r="Z7823" s="318"/>
      <c r="AA7823" s="318"/>
      <c r="AB7823" s="318"/>
      <c r="AC7823" s="318"/>
      <c r="AD7823" s="318"/>
    </row>
    <row r="7824" spans="2:30" s="323" customFormat="1" ht="12" customHeight="1">
      <c r="B7824" s="324"/>
      <c r="C7824" s="325"/>
      <c r="D7824" s="326"/>
      <c r="E7824" s="326"/>
      <c r="F7824" s="326"/>
      <c r="G7824" s="326"/>
      <c r="H7824" s="326"/>
      <c r="P7824" s="318"/>
      <c r="Q7824" s="318"/>
      <c r="R7824" s="318"/>
      <c r="S7824" s="318"/>
      <c r="T7824" s="318"/>
      <c r="U7824" s="318"/>
      <c r="V7824" s="318"/>
      <c r="W7824" s="318"/>
      <c r="X7824" s="318"/>
      <c r="Y7824" s="318"/>
      <c r="Z7824" s="318"/>
      <c r="AA7824" s="318"/>
      <c r="AB7824" s="318"/>
      <c r="AC7824" s="318"/>
      <c r="AD7824" s="318"/>
    </row>
    <row r="7825" spans="2:30" s="323" customFormat="1" ht="12" customHeight="1">
      <c r="B7825" s="324"/>
      <c r="C7825" s="325"/>
      <c r="D7825" s="326"/>
      <c r="E7825" s="326"/>
      <c r="F7825" s="326"/>
      <c r="G7825" s="326"/>
      <c r="H7825" s="326"/>
      <c r="P7825" s="318"/>
      <c r="Q7825" s="318"/>
      <c r="R7825" s="318"/>
      <c r="S7825" s="318"/>
      <c r="T7825" s="318"/>
      <c r="U7825" s="318"/>
      <c r="V7825" s="318"/>
      <c r="W7825" s="318"/>
      <c r="X7825" s="318"/>
      <c r="Y7825" s="318"/>
      <c r="Z7825" s="318"/>
      <c r="AA7825" s="318"/>
      <c r="AB7825" s="318"/>
      <c r="AC7825" s="318"/>
      <c r="AD7825" s="318"/>
    </row>
    <row r="7826" spans="2:30" s="323" customFormat="1" ht="12" customHeight="1">
      <c r="B7826" s="324"/>
      <c r="C7826" s="325"/>
      <c r="D7826" s="326"/>
      <c r="E7826" s="326"/>
      <c r="F7826" s="326"/>
      <c r="G7826" s="326"/>
      <c r="H7826" s="326"/>
      <c r="P7826" s="318"/>
      <c r="Q7826" s="318"/>
      <c r="R7826" s="318"/>
      <c r="S7826" s="318"/>
      <c r="T7826" s="318"/>
      <c r="U7826" s="318"/>
      <c r="V7826" s="318"/>
      <c r="W7826" s="318"/>
      <c r="X7826" s="318"/>
      <c r="Y7826" s="318"/>
      <c r="Z7826" s="318"/>
      <c r="AA7826" s="318"/>
      <c r="AB7826" s="318"/>
      <c r="AC7826" s="318"/>
      <c r="AD7826" s="318"/>
    </row>
    <row r="7827" spans="2:30" s="323" customFormat="1" ht="12" customHeight="1">
      <c r="B7827" s="324"/>
      <c r="C7827" s="325"/>
      <c r="D7827" s="326"/>
      <c r="E7827" s="326"/>
      <c r="F7827" s="326"/>
      <c r="G7827" s="326"/>
      <c r="H7827" s="326"/>
      <c r="P7827" s="318"/>
      <c r="Q7827" s="318"/>
      <c r="R7827" s="318"/>
      <c r="S7827" s="318"/>
      <c r="T7827" s="318"/>
      <c r="U7827" s="318"/>
      <c r="V7827" s="318"/>
      <c r="W7827" s="318"/>
      <c r="X7827" s="318"/>
      <c r="Y7827" s="318"/>
      <c r="Z7827" s="318"/>
      <c r="AA7827" s="318"/>
      <c r="AB7827" s="318"/>
      <c r="AC7827" s="318"/>
      <c r="AD7827" s="318"/>
    </row>
    <row r="7828" spans="2:30" s="323" customFormat="1" ht="12" customHeight="1">
      <c r="B7828" s="324"/>
      <c r="C7828" s="325"/>
      <c r="D7828" s="326"/>
      <c r="E7828" s="326"/>
      <c r="F7828" s="326"/>
      <c r="G7828" s="326"/>
      <c r="H7828" s="326"/>
      <c r="P7828" s="318"/>
      <c r="Q7828" s="318"/>
      <c r="R7828" s="318"/>
      <c r="S7828" s="318"/>
      <c r="T7828" s="318"/>
      <c r="U7828" s="318"/>
      <c r="V7828" s="318"/>
      <c r="W7828" s="318"/>
      <c r="X7828" s="318"/>
      <c r="Y7828" s="318"/>
      <c r="Z7828" s="318"/>
      <c r="AA7828" s="318"/>
      <c r="AB7828" s="318"/>
      <c r="AC7828" s="318"/>
      <c r="AD7828" s="318"/>
    </row>
    <row r="7829" spans="2:30" s="323" customFormat="1" ht="12" customHeight="1">
      <c r="B7829" s="324"/>
      <c r="C7829" s="325"/>
      <c r="D7829" s="326"/>
      <c r="E7829" s="326"/>
      <c r="F7829" s="326"/>
      <c r="G7829" s="326"/>
      <c r="H7829" s="326"/>
      <c r="P7829" s="318"/>
      <c r="Q7829" s="318"/>
      <c r="R7829" s="318"/>
      <c r="S7829" s="318"/>
      <c r="T7829" s="318"/>
      <c r="U7829" s="318"/>
      <c r="V7829" s="318"/>
      <c r="W7829" s="318"/>
      <c r="X7829" s="318"/>
      <c r="Y7829" s="318"/>
      <c r="Z7829" s="318"/>
      <c r="AA7829" s="318"/>
      <c r="AB7829" s="318"/>
      <c r="AC7829" s="318"/>
      <c r="AD7829" s="318"/>
    </row>
    <row r="7830" spans="2:30" s="323" customFormat="1" ht="12" customHeight="1">
      <c r="B7830" s="324"/>
      <c r="C7830" s="325"/>
      <c r="D7830" s="326"/>
      <c r="E7830" s="326"/>
      <c r="F7830" s="326"/>
      <c r="G7830" s="326"/>
      <c r="H7830" s="326"/>
      <c r="P7830" s="318"/>
      <c r="Q7830" s="318"/>
      <c r="R7830" s="318"/>
      <c r="S7830" s="318"/>
      <c r="T7830" s="318"/>
      <c r="U7830" s="318"/>
      <c r="V7830" s="318"/>
      <c r="W7830" s="318"/>
      <c r="X7830" s="318"/>
      <c r="Y7830" s="318"/>
      <c r="Z7830" s="318"/>
      <c r="AA7830" s="318"/>
      <c r="AB7830" s="318"/>
      <c r="AC7830" s="318"/>
      <c r="AD7830" s="318"/>
    </row>
    <row r="7831" spans="2:30" s="323" customFormat="1" ht="12" customHeight="1">
      <c r="B7831" s="324"/>
      <c r="C7831" s="325"/>
      <c r="D7831" s="326"/>
      <c r="E7831" s="326"/>
      <c r="F7831" s="326"/>
      <c r="G7831" s="326"/>
      <c r="H7831" s="326"/>
      <c r="P7831" s="318"/>
      <c r="Q7831" s="318"/>
      <c r="R7831" s="318"/>
      <c r="S7831" s="318"/>
      <c r="T7831" s="318"/>
      <c r="U7831" s="318"/>
      <c r="V7831" s="318"/>
      <c r="W7831" s="318"/>
      <c r="X7831" s="318"/>
      <c r="Y7831" s="318"/>
      <c r="Z7831" s="318"/>
      <c r="AA7831" s="318"/>
      <c r="AB7831" s="318"/>
      <c r="AC7831" s="318"/>
      <c r="AD7831" s="318"/>
    </row>
    <row r="7832" spans="2:30" s="323" customFormat="1" ht="12" customHeight="1">
      <c r="B7832" s="324"/>
      <c r="C7832" s="325"/>
      <c r="D7832" s="326"/>
      <c r="E7832" s="326"/>
      <c r="F7832" s="326"/>
      <c r="G7832" s="326"/>
      <c r="H7832" s="326"/>
      <c r="P7832" s="318"/>
      <c r="Q7832" s="318"/>
      <c r="R7832" s="318"/>
      <c r="S7832" s="318"/>
      <c r="T7832" s="318"/>
      <c r="U7832" s="318"/>
      <c r="V7832" s="318"/>
      <c r="W7832" s="318"/>
      <c r="X7832" s="318"/>
      <c r="Y7832" s="318"/>
      <c r="Z7832" s="318"/>
      <c r="AA7832" s="318"/>
      <c r="AB7832" s="318"/>
      <c r="AC7832" s="318"/>
      <c r="AD7832" s="318"/>
    </row>
    <row r="7833" spans="2:30" s="323" customFormat="1" ht="12" customHeight="1">
      <c r="B7833" s="324"/>
      <c r="C7833" s="325"/>
      <c r="D7833" s="326"/>
      <c r="E7833" s="326"/>
      <c r="F7833" s="326"/>
      <c r="G7833" s="326"/>
      <c r="H7833" s="326"/>
      <c r="P7833" s="318"/>
      <c r="Q7833" s="318"/>
      <c r="R7833" s="318"/>
      <c r="S7833" s="318"/>
      <c r="T7833" s="318"/>
      <c r="U7833" s="318"/>
      <c r="V7833" s="318"/>
      <c r="W7833" s="318"/>
      <c r="X7833" s="318"/>
      <c r="Y7833" s="318"/>
      <c r="Z7833" s="318"/>
      <c r="AA7833" s="318"/>
      <c r="AB7833" s="318"/>
      <c r="AC7833" s="318"/>
      <c r="AD7833" s="318"/>
    </row>
    <row r="7834" spans="2:30" s="323" customFormat="1" ht="12" customHeight="1">
      <c r="B7834" s="324"/>
      <c r="C7834" s="325"/>
      <c r="D7834" s="326"/>
      <c r="E7834" s="326"/>
      <c r="F7834" s="326"/>
      <c r="G7834" s="326"/>
      <c r="H7834" s="326"/>
      <c r="P7834" s="318"/>
      <c r="Q7834" s="318"/>
      <c r="R7834" s="318"/>
      <c r="S7834" s="318"/>
      <c r="T7834" s="318"/>
      <c r="U7834" s="318"/>
      <c r="V7834" s="318"/>
      <c r="W7834" s="318"/>
      <c r="X7834" s="318"/>
      <c r="Y7834" s="318"/>
      <c r="Z7834" s="318"/>
      <c r="AA7834" s="318"/>
      <c r="AB7834" s="318"/>
      <c r="AC7834" s="318"/>
      <c r="AD7834" s="318"/>
    </row>
    <row r="7835" spans="2:30" s="323" customFormat="1" ht="12" customHeight="1">
      <c r="B7835" s="324"/>
      <c r="C7835" s="325"/>
      <c r="D7835" s="326"/>
      <c r="E7835" s="326"/>
      <c r="F7835" s="326"/>
      <c r="G7835" s="326"/>
      <c r="H7835" s="326"/>
      <c r="P7835" s="318"/>
      <c r="Q7835" s="318"/>
      <c r="R7835" s="318"/>
      <c r="S7835" s="318"/>
      <c r="T7835" s="318"/>
      <c r="U7835" s="318"/>
      <c r="V7835" s="318"/>
      <c r="W7835" s="318"/>
      <c r="X7835" s="318"/>
      <c r="Y7835" s="318"/>
      <c r="Z7835" s="318"/>
      <c r="AA7835" s="318"/>
      <c r="AB7835" s="318"/>
      <c r="AC7835" s="318"/>
      <c r="AD7835" s="318"/>
    </row>
    <row r="7836" spans="2:30" s="323" customFormat="1" ht="12" customHeight="1">
      <c r="B7836" s="324"/>
      <c r="C7836" s="325"/>
      <c r="D7836" s="326"/>
      <c r="E7836" s="326"/>
      <c r="F7836" s="326"/>
      <c r="G7836" s="326"/>
      <c r="H7836" s="326"/>
      <c r="P7836" s="318"/>
      <c r="Q7836" s="318"/>
      <c r="R7836" s="318"/>
      <c r="S7836" s="318"/>
      <c r="T7836" s="318"/>
      <c r="U7836" s="318"/>
      <c r="V7836" s="318"/>
      <c r="W7836" s="318"/>
      <c r="X7836" s="318"/>
      <c r="Y7836" s="318"/>
      <c r="Z7836" s="318"/>
      <c r="AA7836" s="318"/>
      <c r="AB7836" s="318"/>
      <c r="AC7836" s="318"/>
      <c r="AD7836" s="318"/>
    </row>
    <row r="7837" spans="2:30" s="323" customFormat="1" ht="12" customHeight="1">
      <c r="B7837" s="324"/>
      <c r="C7837" s="325"/>
      <c r="D7837" s="326"/>
      <c r="E7837" s="326"/>
      <c r="F7837" s="326"/>
      <c r="G7837" s="326"/>
      <c r="H7837" s="326"/>
      <c r="P7837" s="318"/>
      <c r="Q7837" s="318"/>
      <c r="R7837" s="318"/>
      <c r="S7837" s="318"/>
      <c r="T7837" s="318"/>
      <c r="U7837" s="318"/>
      <c r="V7837" s="318"/>
      <c r="W7837" s="318"/>
      <c r="X7837" s="318"/>
      <c r="Y7837" s="318"/>
      <c r="Z7837" s="318"/>
      <c r="AA7837" s="318"/>
      <c r="AB7837" s="318"/>
      <c r="AC7837" s="318"/>
      <c r="AD7837" s="318"/>
    </row>
    <row r="7838" spans="2:30" s="323" customFormat="1" ht="12" customHeight="1">
      <c r="B7838" s="324"/>
      <c r="C7838" s="325"/>
      <c r="D7838" s="326"/>
      <c r="E7838" s="326"/>
      <c r="F7838" s="326"/>
      <c r="G7838" s="326"/>
      <c r="H7838" s="326"/>
      <c r="P7838" s="318"/>
      <c r="Q7838" s="318"/>
      <c r="R7838" s="318"/>
      <c r="S7838" s="318"/>
      <c r="T7838" s="318"/>
      <c r="U7838" s="318"/>
      <c r="V7838" s="318"/>
      <c r="W7838" s="318"/>
      <c r="X7838" s="318"/>
      <c r="Y7838" s="318"/>
      <c r="Z7838" s="318"/>
      <c r="AA7838" s="318"/>
      <c r="AB7838" s="318"/>
      <c r="AC7838" s="318"/>
      <c r="AD7838" s="318"/>
    </row>
    <row r="7839" spans="2:30" s="323" customFormat="1" ht="12" customHeight="1">
      <c r="B7839" s="324"/>
      <c r="C7839" s="325"/>
      <c r="D7839" s="326"/>
      <c r="E7839" s="326"/>
      <c r="F7839" s="326"/>
      <c r="G7839" s="326"/>
      <c r="H7839" s="326"/>
      <c r="P7839" s="318"/>
      <c r="Q7839" s="318"/>
      <c r="R7839" s="318"/>
      <c r="S7839" s="318"/>
      <c r="T7839" s="318"/>
      <c r="U7839" s="318"/>
      <c r="V7839" s="318"/>
      <c r="W7839" s="318"/>
      <c r="X7839" s="318"/>
      <c r="Y7839" s="318"/>
      <c r="Z7839" s="318"/>
      <c r="AA7839" s="318"/>
      <c r="AB7839" s="318"/>
      <c r="AC7839" s="318"/>
      <c r="AD7839" s="318"/>
    </row>
    <row r="7840" spans="2:30" s="323" customFormat="1" ht="12" customHeight="1">
      <c r="B7840" s="324"/>
      <c r="C7840" s="325"/>
      <c r="D7840" s="326"/>
      <c r="E7840" s="326"/>
      <c r="F7840" s="326"/>
      <c r="G7840" s="326"/>
      <c r="H7840" s="326"/>
      <c r="P7840" s="318"/>
      <c r="Q7840" s="318"/>
      <c r="R7840" s="318"/>
      <c r="S7840" s="318"/>
      <c r="T7840" s="318"/>
      <c r="U7840" s="318"/>
      <c r="V7840" s="318"/>
      <c r="W7840" s="318"/>
      <c r="X7840" s="318"/>
      <c r="Y7840" s="318"/>
      <c r="Z7840" s="318"/>
      <c r="AA7840" s="318"/>
      <c r="AB7840" s="318"/>
      <c r="AC7840" s="318"/>
      <c r="AD7840" s="318"/>
    </row>
    <row r="7841" spans="2:30" s="323" customFormat="1" ht="12" customHeight="1">
      <c r="B7841" s="324"/>
      <c r="C7841" s="325"/>
      <c r="D7841" s="326"/>
      <c r="E7841" s="326"/>
      <c r="F7841" s="326"/>
      <c r="G7841" s="326"/>
      <c r="H7841" s="326"/>
      <c r="P7841" s="318"/>
      <c r="Q7841" s="318"/>
      <c r="R7841" s="318"/>
      <c r="S7841" s="318"/>
      <c r="T7841" s="318"/>
      <c r="U7841" s="318"/>
      <c r="V7841" s="318"/>
      <c r="W7841" s="318"/>
      <c r="X7841" s="318"/>
      <c r="Y7841" s="318"/>
      <c r="Z7841" s="318"/>
      <c r="AA7841" s="318"/>
      <c r="AB7841" s="318"/>
      <c r="AC7841" s="318"/>
      <c r="AD7841" s="318"/>
    </row>
    <row r="7842" spans="2:30" s="323" customFormat="1" ht="12" customHeight="1">
      <c r="B7842" s="324"/>
      <c r="C7842" s="325"/>
      <c r="D7842" s="326"/>
      <c r="E7842" s="326"/>
      <c r="F7842" s="326"/>
      <c r="G7842" s="326"/>
      <c r="H7842" s="326"/>
      <c r="P7842" s="318"/>
      <c r="Q7842" s="318"/>
      <c r="R7842" s="318"/>
      <c r="S7842" s="318"/>
      <c r="T7842" s="318"/>
      <c r="U7842" s="318"/>
      <c r="V7842" s="318"/>
      <c r="W7842" s="318"/>
      <c r="X7842" s="318"/>
      <c r="Y7842" s="318"/>
      <c r="Z7842" s="318"/>
      <c r="AA7842" s="318"/>
      <c r="AB7842" s="318"/>
      <c r="AC7842" s="318"/>
      <c r="AD7842" s="318"/>
    </row>
    <row r="7843" spans="2:30" s="323" customFormat="1" ht="12" customHeight="1">
      <c r="B7843" s="324"/>
      <c r="C7843" s="325"/>
      <c r="D7843" s="326"/>
      <c r="E7843" s="326"/>
      <c r="F7843" s="326"/>
      <c r="G7843" s="326"/>
      <c r="H7843" s="326"/>
      <c r="P7843" s="318"/>
      <c r="Q7843" s="318"/>
      <c r="R7843" s="318"/>
      <c r="S7843" s="318"/>
      <c r="T7843" s="318"/>
      <c r="U7843" s="318"/>
      <c r="V7843" s="318"/>
      <c r="W7843" s="318"/>
      <c r="X7843" s="318"/>
      <c r="Y7843" s="318"/>
      <c r="Z7843" s="318"/>
      <c r="AA7843" s="318"/>
      <c r="AB7843" s="318"/>
      <c r="AC7843" s="318"/>
      <c r="AD7843" s="318"/>
    </row>
    <row r="7844" spans="2:30" s="323" customFormat="1" ht="12" customHeight="1">
      <c r="B7844" s="324"/>
      <c r="C7844" s="325"/>
      <c r="D7844" s="326"/>
      <c r="E7844" s="326"/>
      <c r="F7844" s="326"/>
      <c r="G7844" s="326"/>
      <c r="H7844" s="326"/>
      <c r="P7844" s="318"/>
      <c r="Q7844" s="318"/>
      <c r="R7844" s="318"/>
      <c r="S7844" s="318"/>
      <c r="T7844" s="318"/>
      <c r="U7844" s="318"/>
      <c r="V7844" s="318"/>
      <c r="W7844" s="318"/>
      <c r="X7844" s="318"/>
      <c r="Y7844" s="318"/>
      <c r="Z7844" s="318"/>
      <c r="AA7844" s="318"/>
      <c r="AB7844" s="318"/>
      <c r="AC7844" s="318"/>
      <c r="AD7844" s="318"/>
    </row>
    <row r="7845" spans="2:30" s="323" customFormat="1" ht="12" customHeight="1">
      <c r="B7845" s="324"/>
      <c r="C7845" s="325"/>
      <c r="D7845" s="326"/>
      <c r="E7845" s="326"/>
      <c r="F7845" s="326"/>
      <c r="G7845" s="326"/>
      <c r="H7845" s="326"/>
      <c r="P7845" s="318"/>
      <c r="Q7845" s="318"/>
      <c r="R7845" s="318"/>
      <c r="S7845" s="318"/>
      <c r="T7845" s="318"/>
      <c r="U7845" s="318"/>
      <c r="V7845" s="318"/>
      <c r="W7845" s="318"/>
      <c r="X7845" s="318"/>
      <c r="Y7845" s="318"/>
      <c r="Z7845" s="318"/>
      <c r="AA7845" s="318"/>
      <c r="AB7845" s="318"/>
      <c r="AC7845" s="318"/>
      <c r="AD7845" s="318"/>
    </row>
    <row r="7846" spans="2:30" s="323" customFormat="1" ht="12" customHeight="1">
      <c r="B7846" s="324"/>
      <c r="C7846" s="325"/>
      <c r="D7846" s="326"/>
      <c r="E7846" s="326"/>
      <c r="F7846" s="326"/>
      <c r="G7846" s="326"/>
      <c r="H7846" s="326"/>
      <c r="P7846" s="318"/>
      <c r="Q7846" s="318"/>
      <c r="R7846" s="318"/>
      <c r="S7846" s="318"/>
      <c r="T7846" s="318"/>
      <c r="U7846" s="318"/>
      <c r="V7846" s="318"/>
      <c r="W7846" s="318"/>
      <c r="X7846" s="318"/>
      <c r="Y7846" s="318"/>
      <c r="Z7846" s="318"/>
      <c r="AA7846" s="318"/>
      <c r="AB7846" s="318"/>
      <c r="AC7846" s="318"/>
      <c r="AD7846" s="318"/>
    </row>
    <row r="7847" spans="2:30" s="323" customFormat="1" ht="12" customHeight="1">
      <c r="B7847" s="324"/>
      <c r="C7847" s="325"/>
      <c r="D7847" s="326"/>
      <c r="E7847" s="326"/>
      <c r="F7847" s="326"/>
      <c r="G7847" s="326"/>
      <c r="H7847" s="326"/>
      <c r="P7847" s="318"/>
      <c r="Q7847" s="318"/>
      <c r="R7847" s="318"/>
      <c r="S7847" s="318"/>
      <c r="T7847" s="318"/>
      <c r="U7847" s="318"/>
      <c r="V7847" s="318"/>
      <c r="W7847" s="318"/>
      <c r="X7847" s="318"/>
      <c r="Y7847" s="318"/>
      <c r="Z7847" s="318"/>
      <c r="AA7847" s="318"/>
      <c r="AB7847" s="318"/>
      <c r="AC7847" s="318"/>
      <c r="AD7847" s="318"/>
    </row>
    <row r="7848" spans="2:30" s="323" customFormat="1" ht="12" customHeight="1">
      <c r="B7848" s="324"/>
      <c r="C7848" s="325"/>
      <c r="D7848" s="326"/>
      <c r="E7848" s="326"/>
      <c r="F7848" s="326"/>
      <c r="G7848" s="326"/>
      <c r="H7848" s="326"/>
      <c r="P7848" s="318"/>
      <c r="Q7848" s="318"/>
      <c r="R7848" s="318"/>
      <c r="S7848" s="318"/>
      <c r="T7848" s="318"/>
      <c r="U7848" s="318"/>
      <c r="V7848" s="318"/>
      <c r="W7848" s="318"/>
      <c r="X7848" s="318"/>
      <c r="Y7848" s="318"/>
      <c r="Z7848" s="318"/>
      <c r="AA7848" s="318"/>
      <c r="AB7848" s="318"/>
      <c r="AC7848" s="318"/>
      <c r="AD7848" s="318"/>
    </row>
    <row r="7849" spans="2:30" s="323" customFormat="1" ht="12" customHeight="1">
      <c r="B7849" s="324"/>
      <c r="C7849" s="325"/>
      <c r="D7849" s="326"/>
      <c r="E7849" s="326"/>
      <c r="F7849" s="326"/>
      <c r="G7849" s="326"/>
      <c r="H7849" s="326"/>
      <c r="P7849" s="318"/>
      <c r="Q7849" s="318"/>
      <c r="R7849" s="318"/>
      <c r="S7849" s="318"/>
      <c r="T7849" s="318"/>
      <c r="U7849" s="318"/>
      <c r="V7849" s="318"/>
      <c r="W7849" s="318"/>
      <c r="X7849" s="318"/>
      <c r="Y7849" s="318"/>
      <c r="Z7849" s="318"/>
      <c r="AA7849" s="318"/>
      <c r="AB7849" s="318"/>
      <c r="AC7849" s="318"/>
      <c r="AD7849" s="318"/>
    </row>
    <row r="7850" spans="2:30" s="323" customFormat="1" ht="12" customHeight="1">
      <c r="B7850" s="324"/>
      <c r="C7850" s="325"/>
      <c r="D7850" s="326"/>
      <c r="E7850" s="326"/>
      <c r="F7850" s="326"/>
      <c r="G7850" s="326"/>
      <c r="H7850" s="326"/>
      <c r="P7850" s="318"/>
      <c r="Q7850" s="318"/>
      <c r="R7850" s="318"/>
      <c r="S7850" s="318"/>
      <c r="T7850" s="318"/>
      <c r="U7850" s="318"/>
      <c r="V7850" s="318"/>
      <c r="W7850" s="318"/>
      <c r="X7850" s="318"/>
      <c r="Y7850" s="318"/>
      <c r="Z7850" s="318"/>
      <c r="AA7850" s="318"/>
      <c r="AB7850" s="318"/>
      <c r="AC7850" s="318"/>
      <c r="AD7850" s="318"/>
    </row>
    <row r="7851" spans="2:30" s="323" customFormat="1" ht="12" customHeight="1">
      <c r="B7851" s="324"/>
      <c r="C7851" s="325"/>
      <c r="D7851" s="326"/>
      <c r="E7851" s="326"/>
      <c r="F7851" s="326"/>
      <c r="G7851" s="326"/>
      <c r="H7851" s="326"/>
      <c r="P7851" s="318"/>
      <c r="Q7851" s="318"/>
      <c r="R7851" s="318"/>
      <c r="S7851" s="318"/>
      <c r="T7851" s="318"/>
      <c r="U7851" s="318"/>
      <c r="V7851" s="318"/>
      <c r="W7851" s="318"/>
      <c r="X7851" s="318"/>
      <c r="Y7851" s="318"/>
      <c r="Z7851" s="318"/>
      <c r="AA7851" s="318"/>
      <c r="AB7851" s="318"/>
      <c r="AC7851" s="318"/>
      <c r="AD7851" s="318"/>
    </row>
    <row r="7852" spans="2:30" s="323" customFormat="1" ht="12" customHeight="1">
      <c r="B7852" s="324"/>
      <c r="C7852" s="325"/>
      <c r="D7852" s="326"/>
      <c r="E7852" s="326"/>
      <c r="F7852" s="326"/>
      <c r="G7852" s="326"/>
      <c r="H7852" s="326"/>
      <c r="P7852" s="318"/>
      <c r="Q7852" s="318"/>
      <c r="R7852" s="318"/>
      <c r="S7852" s="318"/>
      <c r="T7852" s="318"/>
      <c r="U7852" s="318"/>
      <c r="V7852" s="318"/>
      <c r="W7852" s="318"/>
      <c r="X7852" s="318"/>
      <c r="Y7852" s="318"/>
      <c r="Z7852" s="318"/>
      <c r="AA7852" s="318"/>
      <c r="AB7852" s="318"/>
      <c r="AC7852" s="318"/>
      <c r="AD7852" s="318"/>
    </row>
    <row r="7853" spans="2:30" s="323" customFormat="1" ht="12" customHeight="1">
      <c r="B7853" s="324"/>
      <c r="C7853" s="325"/>
      <c r="D7853" s="326"/>
      <c r="E7853" s="326"/>
      <c r="F7853" s="326"/>
      <c r="G7853" s="326"/>
      <c r="H7853" s="326"/>
      <c r="P7853" s="318"/>
      <c r="Q7853" s="318"/>
      <c r="R7853" s="318"/>
      <c r="S7853" s="318"/>
      <c r="T7853" s="318"/>
      <c r="U7853" s="318"/>
      <c r="V7853" s="318"/>
      <c r="W7853" s="318"/>
      <c r="X7853" s="318"/>
      <c r="Y7853" s="318"/>
      <c r="Z7853" s="318"/>
      <c r="AA7853" s="318"/>
      <c r="AB7853" s="318"/>
      <c r="AC7853" s="318"/>
      <c r="AD7853" s="318"/>
    </row>
    <row r="7854" spans="2:30" s="323" customFormat="1" ht="12" customHeight="1">
      <c r="B7854" s="324"/>
      <c r="C7854" s="325"/>
      <c r="D7854" s="326"/>
      <c r="E7854" s="326"/>
      <c r="F7854" s="326"/>
      <c r="G7854" s="326"/>
      <c r="H7854" s="326"/>
      <c r="P7854" s="318"/>
      <c r="Q7854" s="318"/>
      <c r="R7854" s="318"/>
      <c r="S7854" s="318"/>
      <c r="T7854" s="318"/>
      <c r="U7854" s="318"/>
      <c r="V7854" s="318"/>
      <c r="W7854" s="318"/>
      <c r="X7854" s="318"/>
      <c r="Y7854" s="318"/>
      <c r="Z7854" s="318"/>
      <c r="AA7854" s="318"/>
      <c r="AB7854" s="318"/>
      <c r="AC7854" s="318"/>
      <c r="AD7854" s="318"/>
    </row>
    <row r="7855" spans="2:30" s="323" customFormat="1" ht="12" customHeight="1">
      <c r="B7855" s="324"/>
      <c r="C7855" s="325"/>
      <c r="D7855" s="326"/>
      <c r="E7855" s="326"/>
      <c r="F7855" s="326"/>
      <c r="G7855" s="326"/>
      <c r="H7855" s="326"/>
      <c r="P7855" s="318"/>
      <c r="Q7855" s="318"/>
      <c r="R7855" s="318"/>
      <c r="S7855" s="318"/>
      <c r="T7855" s="318"/>
      <c r="U7855" s="318"/>
      <c r="V7855" s="318"/>
      <c r="W7855" s="318"/>
      <c r="X7855" s="318"/>
      <c r="Y7855" s="318"/>
      <c r="Z7855" s="318"/>
      <c r="AA7855" s="318"/>
      <c r="AB7855" s="318"/>
      <c r="AC7855" s="318"/>
      <c r="AD7855" s="318"/>
    </row>
    <row r="7856" spans="2:30" s="323" customFormat="1" ht="12" customHeight="1">
      <c r="B7856" s="324"/>
      <c r="C7856" s="325"/>
      <c r="D7856" s="326"/>
      <c r="E7856" s="326"/>
      <c r="F7856" s="326"/>
      <c r="G7856" s="326"/>
      <c r="H7856" s="326"/>
      <c r="P7856" s="318"/>
      <c r="Q7856" s="318"/>
      <c r="R7856" s="318"/>
      <c r="S7856" s="318"/>
      <c r="T7856" s="318"/>
      <c r="U7856" s="318"/>
      <c r="V7856" s="318"/>
      <c r="W7856" s="318"/>
      <c r="X7856" s="318"/>
      <c r="Y7856" s="318"/>
      <c r="Z7856" s="318"/>
      <c r="AA7856" s="318"/>
      <c r="AB7856" s="318"/>
      <c r="AC7856" s="318"/>
      <c r="AD7856" s="318"/>
    </row>
    <row r="7857" spans="2:30" s="323" customFormat="1" ht="12" customHeight="1">
      <c r="B7857" s="324"/>
      <c r="C7857" s="325"/>
      <c r="D7857" s="326"/>
      <c r="E7857" s="326"/>
      <c r="F7857" s="326"/>
      <c r="G7857" s="326"/>
      <c r="H7857" s="326"/>
      <c r="P7857" s="318"/>
      <c r="Q7857" s="318"/>
      <c r="R7857" s="318"/>
      <c r="S7857" s="318"/>
      <c r="T7857" s="318"/>
      <c r="U7857" s="318"/>
      <c r="V7857" s="318"/>
      <c r="W7857" s="318"/>
      <c r="X7857" s="318"/>
      <c r="Y7857" s="318"/>
      <c r="Z7857" s="318"/>
      <c r="AA7857" s="318"/>
      <c r="AB7857" s="318"/>
      <c r="AC7857" s="318"/>
      <c r="AD7857" s="318"/>
    </row>
    <row r="7858" spans="2:30" s="323" customFormat="1" ht="12" customHeight="1">
      <c r="B7858" s="324"/>
      <c r="C7858" s="325"/>
      <c r="D7858" s="326"/>
      <c r="E7858" s="326"/>
      <c r="F7858" s="326"/>
      <c r="G7858" s="326"/>
      <c r="H7858" s="326"/>
      <c r="P7858" s="318"/>
      <c r="Q7858" s="318"/>
      <c r="R7858" s="318"/>
      <c r="S7858" s="318"/>
      <c r="T7858" s="318"/>
      <c r="U7858" s="318"/>
      <c r="V7858" s="318"/>
      <c r="W7858" s="318"/>
      <c r="X7858" s="318"/>
      <c r="Y7858" s="318"/>
      <c r="Z7858" s="318"/>
      <c r="AA7858" s="318"/>
      <c r="AB7858" s="318"/>
      <c r="AC7858" s="318"/>
      <c r="AD7858" s="318"/>
    </row>
    <row r="7859" spans="2:30" s="323" customFormat="1" ht="12" customHeight="1">
      <c r="B7859" s="324"/>
      <c r="C7859" s="325"/>
      <c r="D7859" s="326"/>
      <c r="E7859" s="326"/>
      <c r="F7859" s="326"/>
      <c r="G7859" s="326"/>
      <c r="H7859" s="326"/>
      <c r="P7859" s="318"/>
      <c r="Q7859" s="318"/>
      <c r="R7859" s="318"/>
      <c r="S7859" s="318"/>
      <c r="T7859" s="318"/>
      <c r="U7859" s="318"/>
      <c r="V7859" s="318"/>
      <c r="W7859" s="318"/>
      <c r="X7859" s="318"/>
      <c r="Y7859" s="318"/>
      <c r="Z7859" s="318"/>
      <c r="AA7859" s="318"/>
      <c r="AB7859" s="318"/>
      <c r="AC7859" s="318"/>
      <c r="AD7859" s="318"/>
    </row>
    <row r="7860" spans="2:30" s="323" customFormat="1" ht="12" customHeight="1">
      <c r="B7860" s="324"/>
      <c r="C7860" s="325"/>
      <c r="D7860" s="326"/>
      <c r="E7860" s="326"/>
      <c r="F7860" s="326"/>
      <c r="G7860" s="326"/>
      <c r="H7860" s="326"/>
      <c r="P7860" s="318"/>
      <c r="Q7860" s="318"/>
      <c r="R7860" s="318"/>
      <c r="S7860" s="318"/>
      <c r="T7860" s="318"/>
      <c r="U7860" s="318"/>
      <c r="V7860" s="318"/>
      <c r="W7860" s="318"/>
      <c r="X7860" s="318"/>
      <c r="Y7860" s="318"/>
      <c r="Z7860" s="318"/>
      <c r="AA7860" s="318"/>
      <c r="AB7860" s="318"/>
      <c r="AC7860" s="318"/>
      <c r="AD7860" s="318"/>
    </row>
    <row r="7861" spans="2:30" s="323" customFormat="1" ht="12" customHeight="1">
      <c r="B7861" s="324"/>
      <c r="C7861" s="325"/>
      <c r="D7861" s="326"/>
      <c r="E7861" s="326"/>
      <c r="F7861" s="326"/>
      <c r="G7861" s="326"/>
      <c r="H7861" s="326"/>
      <c r="P7861" s="318"/>
      <c r="Q7861" s="318"/>
      <c r="R7861" s="318"/>
      <c r="S7861" s="318"/>
      <c r="T7861" s="318"/>
      <c r="U7861" s="318"/>
      <c r="V7861" s="318"/>
      <c r="W7861" s="318"/>
      <c r="X7861" s="318"/>
      <c r="Y7861" s="318"/>
      <c r="Z7861" s="318"/>
      <c r="AA7861" s="318"/>
      <c r="AB7861" s="318"/>
      <c r="AC7861" s="318"/>
      <c r="AD7861" s="318"/>
    </row>
    <row r="7862" spans="2:30" s="323" customFormat="1" ht="12" customHeight="1">
      <c r="B7862" s="324"/>
      <c r="C7862" s="325"/>
      <c r="D7862" s="326"/>
      <c r="E7862" s="326"/>
      <c r="F7862" s="326"/>
      <c r="G7862" s="326"/>
      <c r="H7862" s="326"/>
      <c r="P7862" s="318"/>
      <c r="Q7862" s="318"/>
      <c r="R7862" s="318"/>
      <c r="S7862" s="318"/>
      <c r="T7862" s="318"/>
      <c r="U7862" s="318"/>
      <c r="V7862" s="318"/>
      <c r="W7862" s="318"/>
      <c r="X7862" s="318"/>
      <c r="Y7862" s="318"/>
      <c r="Z7862" s="318"/>
      <c r="AA7862" s="318"/>
      <c r="AB7862" s="318"/>
      <c r="AC7862" s="318"/>
      <c r="AD7862" s="318"/>
    </row>
    <row r="7863" spans="2:30" s="323" customFormat="1" ht="12" customHeight="1">
      <c r="B7863" s="324"/>
      <c r="C7863" s="325"/>
      <c r="D7863" s="326"/>
      <c r="E7863" s="326"/>
      <c r="F7863" s="326"/>
      <c r="G7863" s="326"/>
      <c r="H7863" s="326"/>
      <c r="P7863" s="318"/>
      <c r="Q7863" s="318"/>
      <c r="R7863" s="318"/>
      <c r="S7863" s="318"/>
      <c r="T7863" s="318"/>
      <c r="U7863" s="318"/>
      <c r="V7863" s="318"/>
      <c r="W7863" s="318"/>
      <c r="X7863" s="318"/>
      <c r="Y7863" s="318"/>
      <c r="Z7863" s="318"/>
      <c r="AA7863" s="318"/>
      <c r="AB7863" s="318"/>
      <c r="AC7863" s="318"/>
      <c r="AD7863" s="318"/>
    </row>
    <row r="7864" spans="2:30" s="323" customFormat="1" ht="12" customHeight="1">
      <c r="B7864" s="324"/>
      <c r="C7864" s="325"/>
      <c r="D7864" s="326"/>
      <c r="E7864" s="326"/>
      <c r="F7864" s="326"/>
      <c r="G7864" s="326"/>
      <c r="H7864" s="326"/>
      <c r="P7864" s="318"/>
      <c r="Q7864" s="318"/>
      <c r="R7864" s="318"/>
      <c r="S7864" s="318"/>
      <c r="T7864" s="318"/>
      <c r="U7864" s="318"/>
      <c r="V7864" s="318"/>
      <c r="W7864" s="318"/>
      <c r="X7864" s="318"/>
      <c r="Y7864" s="318"/>
      <c r="Z7864" s="318"/>
      <c r="AA7864" s="318"/>
      <c r="AB7864" s="318"/>
      <c r="AC7864" s="318"/>
      <c r="AD7864" s="318"/>
    </row>
    <row r="7865" spans="2:30" s="323" customFormat="1" ht="12" customHeight="1">
      <c r="B7865" s="324"/>
      <c r="C7865" s="325"/>
      <c r="D7865" s="326"/>
      <c r="E7865" s="326"/>
      <c r="F7865" s="326"/>
      <c r="G7865" s="326"/>
      <c r="H7865" s="326"/>
      <c r="P7865" s="318"/>
      <c r="Q7865" s="318"/>
      <c r="R7865" s="318"/>
      <c r="S7865" s="318"/>
      <c r="T7865" s="318"/>
      <c r="U7865" s="318"/>
      <c r="V7865" s="318"/>
      <c r="W7865" s="318"/>
      <c r="X7865" s="318"/>
      <c r="Y7865" s="318"/>
      <c r="Z7865" s="318"/>
      <c r="AA7865" s="318"/>
      <c r="AB7865" s="318"/>
      <c r="AC7865" s="318"/>
      <c r="AD7865" s="318"/>
    </row>
    <row r="7866" spans="2:30" s="323" customFormat="1" ht="12" customHeight="1">
      <c r="B7866" s="324"/>
      <c r="C7866" s="325"/>
      <c r="D7866" s="326"/>
      <c r="E7866" s="326"/>
      <c r="F7866" s="326"/>
      <c r="G7866" s="326"/>
      <c r="H7866" s="326"/>
      <c r="P7866" s="318"/>
      <c r="Q7866" s="318"/>
      <c r="R7866" s="318"/>
      <c r="S7866" s="318"/>
      <c r="T7866" s="318"/>
      <c r="U7866" s="318"/>
      <c r="V7866" s="318"/>
      <c r="W7866" s="318"/>
      <c r="X7866" s="318"/>
      <c r="Y7866" s="318"/>
      <c r="Z7866" s="318"/>
      <c r="AA7866" s="318"/>
      <c r="AB7866" s="318"/>
      <c r="AC7866" s="318"/>
      <c r="AD7866" s="318"/>
    </row>
    <row r="7867" spans="2:30" s="323" customFormat="1" ht="12" customHeight="1">
      <c r="B7867" s="324"/>
      <c r="C7867" s="325"/>
      <c r="D7867" s="326"/>
      <c r="E7867" s="326"/>
      <c r="F7867" s="326"/>
      <c r="G7867" s="326"/>
      <c r="H7867" s="326"/>
      <c r="P7867" s="318"/>
      <c r="Q7867" s="318"/>
      <c r="R7867" s="318"/>
      <c r="S7867" s="318"/>
      <c r="T7867" s="318"/>
      <c r="U7867" s="318"/>
      <c r="V7867" s="318"/>
      <c r="W7867" s="318"/>
      <c r="X7867" s="318"/>
      <c r="Y7867" s="318"/>
      <c r="Z7867" s="318"/>
      <c r="AA7867" s="318"/>
      <c r="AB7867" s="318"/>
      <c r="AC7867" s="318"/>
      <c r="AD7867" s="318"/>
    </row>
    <row r="7868" spans="2:30" s="323" customFormat="1" ht="12" customHeight="1">
      <c r="B7868" s="324"/>
      <c r="C7868" s="325"/>
      <c r="D7868" s="326"/>
      <c r="E7868" s="326"/>
      <c r="F7868" s="326"/>
      <c r="G7868" s="326"/>
      <c r="H7868" s="326"/>
      <c r="P7868" s="318"/>
      <c r="Q7868" s="318"/>
      <c r="R7868" s="318"/>
      <c r="S7868" s="318"/>
      <c r="T7868" s="318"/>
      <c r="U7868" s="318"/>
      <c r="V7868" s="318"/>
      <c r="W7868" s="318"/>
      <c r="X7868" s="318"/>
      <c r="Y7868" s="318"/>
      <c r="Z7868" s="318"/>
      <c r="AA7868" s="318"/>
      <c r="AB7868" s="318"/>
      <c r="AC7868" s="318"/>
      <c r="AD7868" s="318"/>
    </row>
    <row r="7869" spans="2:30" s="323" customFormat="1" ht="12" customHeight="1">
      <c r="B7869" s="324"/>
      <c r="C7869" s="325"/>
      <c r="D7869" s="326"/>
      <c r="E7869" s="326"/>
      <c r="F7869" s="326"/>
      <c r="G7869" s="326"/>
      <c r="H7869" s="326"/>
      <c r="P7869" s="318"/>
      <c r="Q7869" s="318"/>
      <c r="R7869" s="318"/>
      <c r="S7869" s="318"/>
      <c r="T7869" s="318"/>
      <c r="U7869" s="318"/>
      <c r="V7869" s="318"/>
      <c r="W7869" s="318"/>
      <c r="X7869" s="318"/>
      <c r="Y7869" s="318"/>
      <c r="Z7869" s="318"/>
      <c r="AA7869" s="318"/>
      <c r="AB7869" s="318"/>
      <c r="AC7869" s="318"/>
      <c r="AD7869" s="318"/>
    </row>
    <row r="7870" spans="2:30" s="323" customFormat="1" ht="12" customHeight="1">
      <c r="B7870" s="324"/>
      <c r="C7870" s="325"/>
      <c r="D7870" s="326"/>
      <c r="E7870" s="326"/>
      <c r="F7870" s="326"/>
      <c r="G7870" s="326"/>
      <c r="H7870" s="326"/>
      <c r="P7870" s="318"/>
      <c r="Q7870" s="318"/>
      <c r="R7870" s="318"/>
      <c r="S7870" s="318"/>
      <c r="T7870" s="318"/>
      <c r="U7870" s="318"/>
      <c r="V7870" s="318"/>
      <c r="W7870" s="318"/>
      <c r="X7870" s="318"/>
      <c r="Y7870" s="318"/>
      <c r="Z7870" s="318"/>
      <c r="AA7870" s="318"/>
      <c r="AB7870" s="318"/>
      <c r="AC7870" s="318"/>
      <c r="AD7870" s="318"/>
    </row>
    <row r="7871" spans="2:30" s="323" customFormat="1" ht="12" customHeight="1">
      <c r="B7871" s="324"/>
      <c r="C7871" s="325"/>
      <c r="D7871" s="326"/>
      <c r="E7871" s="326"/>
      <c r="F7871" s="326"/>
      <c r="G7871" s="326"/>
      <c r="H7871" s="326"/>
      <c r="P7871" s="318"/>
      <c r="Q7871" s="318"/>
      <c r="R7871" s="318"/>
      <c r="S7871" s="318"/>
      <c r="T7871" s="318"/>
      <c r="U7871" s="318"/>
      <c r="V7871" s="318"/>
      <c r="W7871" s="318"/>
      <c r="X7871" s="318"/>
      <c r="Y7871" s="318"/>
      <c r="Z7871" s="318"/>
      <c r="AA7871" s="318"/>
      <c r="AB7871" s="318"/>
      <c r="AC7871" s="318"/>
      <c r="AD7871" s="318"/>
    </row>
    <row r="7872" spans="2:30" s="323" customFormat="1" ht="12" customHeight="1">
      <c r="B7872" s="324"/>
      <c r="C7872" s="325"/>
      <c r="D7872" s="326"/>
      <c r="E7872" s="326"/>
      <c r="F7872" s="326"/>
      <c r="G7872" s="326"/>
      <c r="H7872" s="326"/>
      <c r="P7872" s="318"/>
      <c r="Q7872" s="318"/>
      <c r="R7872" s="318"/>
      <c r="S7872" s="318"/>
      <c r="T7872" s="318"/>
      <c r="U7872" s="318"/>
      <c r="V7872" s="318"/>
      <c r="W7872" s="318"/>
      <c r="X7872" s="318"/>
      <c r="Y7872" s="318"/>
      <c r="Z7872" s="318"/>
      <c r="AA7872" s="318"/>
      <c r="AB7872" s="318"/>
      <c r="AC7872" s="318"/>
      <c r="AD7872" s="318"/>
    </row>
    <row r="7873" spans="2:30" s="323" customFormat="1" ht="12" customHeight="1">
      <c r="B7873" s="324"/>
      <c r="C7873" s="325"/>
      <c r="D7873" s="326"/>
      <c r="E7873" s="326"/>
      <c r="F7873" s="326"/>
      <c r="G7873" s="326"/>
      <c r="H7873" s="326"/>
      <c r="P7873" s="318"/>
      <c r="Q7873" s="318"/>
      <c r="R7873" s="318"/>
      <c r="S7873" s="318"/>
      <c r="T7873" s="318"/>
      <c r="U7873" s="318"/>
      <c r="V7873" s="318"/>
      <c r="W7873" s="318"/>
      <c r="X7873" s="318"/>
      <c r="Y7873" s="318"/>
      <c r="Z7873" s="318"/>
      <c r="AA7873" s="318"/>
      <c r="AB7873" s="318"/>
      <c r="AC7873" s="318"/>
      <c r="AD7873" s="318"/>
    </row>
    <row r="7874" spans="2:30" s="323" customFormat="1" ht="12" customHeight="1">
      <c r="B7874" s="324"/>
      <c r="C7874" s="325"/>
      <c r="D7874" s="326"/>
      <c r="E7874" s="326"/>
      <c r="F7874" s="326"/>
      <c r="G7874" s="326"/>
      <c r="H7874" s="326"/>
      <c r="P7874" s="318"/>
      <c r="Q7874" s="318"/>
      <c r="R7874" s="318"/>
      <c r="S7874" s="318"/>
      <c r="T7874" s="318"/>
      <c r="U7874" s="318"/>
      <c r="V7874" s="318"/>
      <c r="W7874" s="318"/>
      <c r="X7874" s="318"/>
      <c r="Y7874" s="318"/>
      <c r="Z7874" s="318"/>
      <c r="AA7874" s="318"/>
      <c r="AB7874" s="318"/>
      <c r="AC7874" s="318"/>
      <c r="AD7874" s="318"/>
    </row>
    <row r="7875" spans="2:30" s="323" customFormat="1" ht="12" customHeight="1">
      <c r="B7875" s="324"/>
      <c r="C7875" s="325"/>
      <c r="D7875" s="326"/>
      <c r="E7875" s="326"/>
      <c r="F7875" s="326"/>
      <c r="G7875" s="326"/>
      <c r="H7875" s="326"/>
      <c r="P7875" s="318"/>
      <c r="Q7875" s="318"/>
      <c r="R7875" s="318"/>
      <c r="S7875" s="318"/>
      <c r="T7875" s="318"/>
      <c r="U7875" s="318"/>
      <c r="V7875" s="318"/>
      <c r="W7875" s="318"/>
      <c r="X7875" s="318"/>
      <c r="Y7875" s="318"/>
      <c r="Z7875" s="318"/>
      <c r="AA7875" s="318"/>
      <c r="AB7875" s="318"/>
      <c r="AC7875" s="318"/>
      <c r="AD7875" s="318"/>
    </row>
    <row r="7876" spans="2:30" s="323" customFormat="1" ht="12" customHeight="1">
      <c r="B7876" s="324"/>
      <c r="C7876" s="325"/>
      <c r="D7876" s="326"/>
      <c r="E7876" s="326"/>
      <c r="F7876" s="326"/>
      <c r="G7876" s="326"/>
      <c r="H7876" s="326"/>
      <c r="P7876" s="318"/>
      <c r="Q7876" s="318"/>
      <c r="R7876" s="318"/>
      <c r="S7876" s="318"/>
      <c r="T7876" s="318"/>
      <c r="U7876" s="318"/>
      <c r="V7876" s="318"/>
      <c r="W7876" s="318"/>
      <c r="X7876" s="318"/>
      <c r="Y7876" s="318"/>
      <c r="Z7876" s="318"/>
      <c r="AA7876" s="318"/>
      <c r="AB7876" s="318"/>
      <c r="AC7876" s="318"/>
      <c r="AD7876" s="318"/>
    </row>
    <row r="7877" spans="2:30" s="323" customFormat="1" ht="12" customHeight="1">
      <c r="B7877" s="324"/>
      <c r="C7877" s="325"/>
      <c r="D7877" s="326"/>
      <c r="E7877" s="326"/>
      <c r="F7877" s="326"/>
      <c r="G7877" s="326"/>
      <c r="H7877" s="326"/>
      <c r="P7877" s="318"/>
      <c r="Q7877" s="318"/>
      <c r="R7877" s="318"/>
      <c r="S7877" s="318"/>
      <c r="T7877" s="318"/>
      <c r="U7877" s="318"/>
      <c r="V7877" s="318"/>
      <c r="W7877" s="318"/>
      <c r="X7877" s="318"/>
      <c r="Y7877" s="318"/>
      <c r="Z7877" s="318"/>
      <c r="AA7877" s="318"/>
      <c r="AB7877" s="318"/>
      <c r="AC7877" s="318"/>
      <c r="AD7877" s="318"/>
    </row>
    <row r="7878" spans="2:30" s="323" customFormat="1" ht="12" customHeight="1">
      <c r="B7878" s="324"/>
      <c r="C7878" s="325"/>
      <c r="D7878" s="326"/>
      <c r="E7878" s="326"/>
      <c r="F7878" s="326"/>
      <c r="G7878" s="326"/>
      <c r="H7878" s="326"/>
      <c r="P7878" s="318"/>
      <c r="Q7878" s="318"/>
      <c r="R7878" s="318"/>
      <c r="S7878" s="318"/>
      <c r="T7878" s="318"/>
      <c r="U7878" s="318"/>
      <c r="V7878" s="318"/>
      <c r="W7878" s="318"/>
      <c r="X7878" s="318"/>
      <c r="Y7878" s="318"/>
      <c r="Z7878" s="318"/>
      <c r="AA7878" s="318"/>
      <c r="AB7878" s="318"/>
      <c r="AC7878" s="318"/>
      <c r="AD7878" s="318"/>
    </row>
    <row r="7879" spans="2:30" s="323" customFormat="1" ht="12" customHeight="1">
      <c r="B7879" s="324"/>
      <c r="C7879" s="325"/>
      <c r="D7879" s="326"/>
      <c r="E7879" s="326"/>
      <c r="F7879" s="326"/>
      <c r="G7879" s="326"/>
      <c r="H7879" s="326"/>
      <c r="P7879" s="318"/>
      <c r="Q7879" s="318"/>
      <c r="R7879" s="318"/>
      <c r="S7879" s="318"/>
      <c r="T7879" s="318"/>
      <c r="U7879" s="318"/>
      <c r="V7879" s="318"/>
      <c r="W7879" s="318"/>
      <c r="X7879" s="318"/>
      <c r="Y7879" s="318"/>
      <c r="Z7879" s="318"/>
      <c r="AA7879" s="318"/>
      <c r="AB7879" s="318"/>
      <c r="AC7879" s="318"/>
      <c r="AD7879" s="318"/>
    </row>
    <row r="7880" spans="2:30" s="323" customFormat="1" ht="12" customHeight="1">
      <c r="B7880" s="324"/>
      <c r="C7880" s="325"/>
      <c r="D7880" s="326"/>
      <c r="E7880" s="326"/>
      <c r="F7880" s="326"/>
      <c r="G7880" s="326"/>
      <c r="H7880" s="326"/>
      <c r="P7880" s="318"/>
      <c r="Q7880" s="318"/>
      <c r="R7880" s="318"/>
      <c r="S7880" s="318"/>
      <c r="T7880" s="318"/>
      <c r="U7880" s="318"/>
      <c r="V7880" s="318"/>
      <c r="W7880" s="318"/>
      <c r="X7880" s="318"/>
      <c r="Y7880" s="318"/>
      <c r="Z7880" s="318"/>
      <c r="AA7880" s="318"/>
      <c r="AB7880" s="318"/>
      <c r="AC7880" s="318"/>
      <c r="AD7880" s="318"/>
    </row>
    <row r="7881" spans="2:30" s="323" customFormat="1" ht="12" customHeight="1">
      <c r="B7881" s="324"/>
      <c r="C7881" s="325"/>
      <c r="D7881" s="326"/>
      <c r="E7881" s="326"/>
      <c r="F7881" s="326"/>
      <c r="G7881" s="326"/>
      <c r="H7881" s="326"/>
      <c r="P7881" s="318"/>
      <c r="Q7881" s="318"/>
      <c r="R7881" s="318"/>
      <c r="S7881" s="318"/>
      <c r="T7881" s="318"/>
      <c r="U7881" s="318"/>
      <c r="V7881" s="318"/>
      <c r="W7881" s="318"/>
      <c r="X7881" s="318"/>
      <c r="Y7881" s="318"/>
      <c r="Z7881" s="318"/>
      <c r="AA7881" s="318"/>
      <c r="AB7881" s="318"/>
      <c r="AC7881" s="318"/>
      <c r="AD7881" s="318"/>
    </row>
    <row r="7882" spans="2:30" s="323" customFormat="1" ht="12" customHeight="1">
      <c r="B7882" s="324"/>
      <c r="C7882" s="325"/>
      <c r="D7882" s="326"/>
      <c r="E7882" s="326"/>
      <c r="F7882" s="326"/>
      <c r="G7882" s="326"/>
      <c r="H7882" s="326"/>
      <c r="P7882" s="318"/>
      <c r="Q7882" s="318"/>
      <c r="R7882" s="318"/>
      <c r="S7882" s="318"/>
      <c r="T7882" s="318"/>
      <c r="U7882" s="318"/>
      <c r="V7882" s="318"/>
      <c r="W7882" s="318"/>
      <c r="X7882" s="318"/>
      <c r="Y7882" s="318"/>
      <c r="Z7882" s="318"/>
      <c r="AA7882" s="318"/>
      <c r="AB7882" s="318"/>
      <c r="AC7882" s="318"/>
      <c r="AD7882" s="318"/>
    </row>
    <row r="7883" spans="2:30" s="323" customFormat="1" ht="12" customHeight="1">
      <c r="B7883" s="324"/>
      <c r="C7883" s="325"/>
      <c r="D7883" s="326"/>
      <c r="E7883" s="326"/>
      <c r="F7883" s="326"/>
      <c r="G7883" s="326"/>
      <c r="H7883" s="326"/>
      <c r="P7883" s="318"/>
      <c r="Q7883" s="318"/>
      <c r="R7883" s="318"/>
      <c r="S7883" s="318"/>
      <c r="T7883" s="318"/>
      <c r="U7883" s="318"/>
      <c r="V7883" s="318"/>
      <c r="W7883" s="318"/>
      <c r="X7883" s="318"/>
      <c r="Y7883" s="318"/>
      <c r="Z7883" s="318"/>
      <c r="AA7883" s="318"/>
      <c r="AB7883" s="318"/>
      <c r="AC7883" s="318"/>
      <c r="AD7883" s="318"/>
    </row>
    <row r="7884" spans="2:30" s="323" customFormat="1" ht="12" customHeight="1">
      <c r="B7884" s="324"/>
      <c r="C7884" s="325"/>
      <c r="D7884" s="326"/>
      <c r="E7884" s="326"/>
      <c r="F7884" s="326"/>
      <c r="G7884" s="326"/>
      <c r="H7884" s="326"/>
      <c r="P7884" s="318"/>
      <c r="Q7884" s="318"/>
      <c r="R7884" s="318"/>
      <c r="S7884" s="318"/>
      <c r="T7884" s="318"/>
      <c r="U7884" s="318"/>
      <c r="V7884" s="318"/>
      <c r="W7884" s="318"/>
      <c r="X7884" s="318"/>
      <c r="Y7884" s="318"/>
      <c r="Z7884" s="318"/>
      <c r="AA7884" s="318"/>
      <c r="AB7884" s="318"/>
      <c r="AC7884" s="318"/>
      <c r="AD7884" s="318"/>
    </row>
    <row r="7885" spans="2:30" s="323" customFormat="1" ht="12" customHeight="1">
      <c r="B7885" s="324"/>
      <c r="C7885" s="325"/>
      <c r="D7885" s="326"/>
      <c r="E7885" s="326"/>
      <c r="F7885" s="326"/>
      <c r="G7885" s="326"/>
      <c r="H7885" s="326"/>
      <c r="P7885" s="318"/>
      <c r="Q7885" s="318"/>
      <c r="R7885" s="318"/>
      <c r="S7885" s="318"/>
      <c r="T7885" s="318"/>
      <c r="U7885" s="318"/>
      <c r="V7885" s="318"/>
      <c r="W7885" s="318"/>
      <c r="X7885" s="318"/>
      <c r="Y7885" s="318"/>
      <c r="Z7885" s="318"/>
      <c r="AA7885" s="318"/>
      <c r="AB7885" s="318"/>
      <c r="AC7885" s="318"/>
      <c r="AD7885" s="318"/>
    </row>
    <row r="7886" spans="2:30" s="323" customFormat="1" ht="12" customHeight="1">
      <c r="B7886" s="324"/>
      <c r="C7886" s="325"/>
      <c r="D7886" s="326"/>
      <c r="E7886" s="326"/>
      <c r="F7886" s="326"/>
      <c r="G7886" s="326"/>
      <c r="H7886" s="326"/>
      <c r="P7886" s="318"/>
      <c r="Q7886" s="318"/>
      <c r="R7886" s="318"/>
      <c r="S7886" s="318"/>
      <c r="T7886" s="318"/>
      <c r="U7886" s="318"/>
      <c r="V7886" s="318"/>
      <c r="W7886" s="318"/>
      <c r="X7886" s="318"/>
      <c r="Y7886" s="318"/>
      <c r="Z7886" s="318"/>
      <c r="AA7886" s="318"/>
      <c r="AB7886" s="318"/>
      <c r="AC7886" s="318"/>
      <c r="AD7886" s="318"/>
    </row>
    <row r="7887" spans="2:30" s="323" customFormat="1" ht="12" customHeight="1">
      <c r="B7887" s="324"/>
      <c r="C7887" s="325"/>
      <c r="D7887" s="326"/>
      <c r="E7887" s="326"/>
      <c r="F7887" s="326"/>
      <c r="G7887" s="326"/>
      <c r="H7887" s="326"/>
      <c r="P7887" s="318"/>
      <c r="Q7887" s="318"/>
      <c r="R7887" s="318"/>
      <c r="S7887" s="318"/>
      <c r="T7887" s="318"/>
      <c r="U7887" s="318"/>
      <c r="V7887" s="318"/>
      <c r="W7887" s="318"/>
      <c r="X7887" s="318"/>
      <c r="Y7887" s="318"/>
      <c r="Z7887" s="318"/>
      <c r="AA7887" s="318"/>
      <c r="AB7887" s="318"/>
      <c r="AC7887" s="318"/>
      <c r="AD7887" s="318"/>
    </row>
    <row r="7888" spans="2:30" s="323" customFormat="1" ht="12" customHeight="1">
      <c r="B7888" s="324"/>
      <c r="C7888" s="325"/>
      <c r="D7888" s="326"/>
      <c r="E7888" s="326"/>
      <c r="F7888" s="326"/>
      <c r="G7888" s="326"/>
      <c r="H7888" s="326"/>
      <c r="P7888" s="318"/>
      <c r="Q7888" s="318"/>
      <c r="R7888" s="318"/>
      <c r="S7888" s="318"/>
      <c r="T7888" s="318"/>
      <c r="U7888" s="318"/>
      <c r="V7888" s="318"/>
      <c r="W7888" s="318"/>
      <c r="X7888" s="318"/>
      <c r="Y7888" s="318"/>
      <c r="Z7888" s="318"/>
      <c r="AA7888" s="318"/>
      <c r="AB7888" s="318"/>
      <c r="AC7888" s="318"/>
      <c r="AD7888" s="318"/>
    </row>
    <row r="7889" spans="2:30" s="323" customFormat="1" ht="12" customHeight="1">
      <c r="B7889" s="324"/>
      <c r="C7889" s="325"/>
      <c r="D7889" s="326"/>
      <c r="E7889" s="326"/>
      <c r="F7889" s="326"/>
      <c r="G7889" s="326"/>
      <c r="H7889" s="326"/>
      <c r="P7889" s="318"/>
      <c r="Q7889" s="318"/>
      <c r="R7889" s="318"/>
      <c r="S7889" s="318"/>
      <c r="T7889" s="318"/>
      <c r="U7889" s="318"/>
      <c r="V7889" s="318"/>
      <c r="W7889" s="318"/>
      <c r="X7889" s="318"/>
      <c r="Y7889" s="318"/>
      <c r="Z7889" s="318"/>
      <c r="AA7889" s="318"/>
      <c r="AB7889" s="318"/>
      <c r="AC7889" s="318"/>
      <c r="AD7889" s="318"/>
    </row>
    <row r="7890" spans="2:30" s="323" customFormat="1" ht="12" customHeight="1">
      <c r="B7890" s="324"/>
      <c r="C7890" s="325"/>
      <c r="D7890" s="326"/>
      <c r="E7890" s="326"/>
      <c r="F7890" s="326"/>
      <c r="G7890" s="326"/>
      <c r="H7890" s="326"/>
      <c r="P7890" s="318"/>
      <c r="Q7890" s="318"/>
      <c r="R7890" s="318"/>
      <c r="S7890" s="318"/>
      <c r="T7890" s="318"/>
      <c r="U7890" s="318"/>
      <c r="V7890" s="318"/>
      <c r="W7890" s="318"/>
      <c r="X7890" s="318"/>
      <c r="Y7890" s="318"/>
      <c r="Z7890" s="318"/>
      <c r="AA7890" s="318"/>
      <c r="AB7890" s="318"/>
      <c r="AC7890" s="318"/>
      <c r="AD7890" s="318"/>
    </row>
    <row r="7891" spans="2:30" s="323" customFormat="1" ht="12" customHeight="1">
      <c r="B7891" s="324"/>
      <c r="C7891" s="325"/>
      <c r="D7891" s="326"/>
      <c r="E7891" s="326"/>
      <c r="F7891" s="326"/>
      <c r="G7891" s="326"/>
      <c r="H7891" s="326"/>
      <c r="P7891" s="318"/>
      <c r="Q7891" s="318"/>
      <c r="R7891" s="318"/>
      <c r="S7891" s="318"/>
      <c r="T7891" s="318"/>
      <c r="U7891" s="318"/>
      <c r="V7891" s="318"/>
      <c r="W7891" s="318"/>
      <c r="X7891" s="318"/>
      <c r="Y7891" s="318"/>
      <c r="Z7891" s="318"/>
      <c r="AA7891" s="318"/>
      <c r="AB7891" s="318"/>
      <c r="AC7891" s="318"/>
      <c r="AD7891" s="318"/>
    </row>
    <row r="7892" spans="2:30" s="323" customFormat="1" ht="12" customHeight="1">
      <c r="B7892" s="324"/>
      <c r="C7892" s="325"/>
      <c r="D7892" s="326"/>
      <c r="E7892" s="326"/>
      <c r="F7892" s="326"/>
      <c r="G7892" s="326"/>
      <c r="H7892" s="326"/>
      <c r="P7892" s="318"/>
      <c r="Q7892" s="318"/>
      <c r="R7892" s="318"/>
      <c r="S7892" s="318"/>
      <c r="T7892" s="318"/>
      <c r="U7892" s="318"/>
      <c r="V7892" s="318"/>
      <c r="W7892" s="318"/>
      <c r="X7892" s="318"/>
      <c r="Y7892" s="318"/>
      <c r="Z7892" s="318"/>
      <c r="AA7892" s="318"/>
      <c r="AB7892" s="318"/>
      <c r="AC7892" s="318"/>
      <c r="AD7892" s="318"/>
    </row>
    <row r="7893" spans="2:30" s="323" customFormat="1" ht="12" customHeight="1">
      <c r="B7893" s="324"/>
      <c r="C7893" s="325"/>
      <c r="D7893" s="326"/>
      <c r="E7893" s="326"/>
      <c r="F7893" s="326"/>
      <c r="G7893" s="326"/>
      <c r="H7893" s="326"/>
      <c r="P7893" s="318"/>
      <c r="Q7893" s="318"/>
      <c r="R7893" s="318"/>
      <c r="S7893" s="318"/>
      <c r="T7893" s="318"/>
      <c r="U7893" s="318"/>
      <c r="V7893" s="318"/>
      <c r="W7893" s="318"/>
      <c r="X7893" s="318"/>
      <c r="Y7893" s="318"/>
      <c r="Z7893" s="318"/>
      <c r="AA7893" s="318"/>
      <c r="AB7893" s="318"/>
      <c r="AC7893" s="318"/>
      <c r="AD7893" s="318"/>
    </row>
    <row r="7894" spans="2:30" s="323" customFormat="1" ht="12" customHeight="1">
      <c r="B7894" s="324"/>
      <c r="C7894" s="325"/>
      <c r="D7894" s="326"/>
      <c r="E7894" s="326"/>
      <c r="F7894" s="326"/>
      <c r="G7894" s="326"/>
      <c r="H7894" s="326"/>
      <c r="P7894" s="318"/>
      <c r="Q7894" s="318"/>
      <c r="R7894" s="318"/>
      <c r="S7894" s="318"/>
      <c r="T7894" s="318"/>
      <c r="U7894" s="318"/>
      <c r="V7894" s="318"/>
      <c r="W7894" s="318"/>
      <c r="X7894" s="318"/>
      <c r="Y7894" s="318"/>
      <c r="Z7894" s="318"/>
      <c r="AA7894" s="318"/>
      <c r="AB7894" s="318"/>
      <c r="AC7894" s="318"/>
      <c r="AD7894" s="318"/>
    </row>
    <row r="7895" spans="2:30" s="323" customFormat="1" ht="12" customHeight="1">
      <c r="B7895" s="324"/>
      <c r="C7895" s="325"/>
      <c r="D7895" s="326"/>
      <c r="E7895" s="326"/>
      <c r="F7895" s="326"/>
      <c r="G7895" s="326"/>
      <c r="H7895" s="326"/>
      <c r="P7895" s="318"/>
      <c r="Q7895" s="318"/>
      <c r="R7895" s="318"/>
      <c r="S7895" s="318"/>
      <c r="T7895" s="318"/>
      <c r="U7895" s="318"/>
      <c r="V7895" s="318"/>
      <c r="W7895" s="318"/>
      <c r="X7895" s="318"/>
      <c r="Y7895" s="318"/>
      <c r="Z7895" s="318"/>
      <c r="AA7895" s="318"/>
      <c r="AB7895" s="318"/>
      <c r="AC7895" s="318"/>
      <c r="AD7895" s="318"/>
    </row>
    <row r="7896" spans="2:30" s="323" customFormat="1" ht="12" customHeight="1">
      <c r="B7896" s="324"/>
      <c r="C7896" s="325"/>
      <c r="D7896" s="326"/>
      <c r="E7896" s="326"/>
      <c r="F7896" s="326"/>
      <c r="G7896" s="326"/>
      <c r="H7896" s="326"/>
      <c r="P7896" s="318"/>
      <c r="Q7896" s="318"/>
      <c r="R7896" s="318"/>
      <c r="S7896" s="318"/>
      <c r="T7896" s="318"/>
      <c r="U7896" s="318"/>
      <c r="V7896" s="318"/>
      <c r="W7896" s="318"/>
      <c r="X7896" s="318"/>
      <c r="Y7896" s="318"/>
      <c r="Z7896" s="318"/>
      <c r="AA7896" s="318"/>
      <c r="AB7896" s="318"/>
      <c r="AC7896" s="318"/>
      <c r="AD7896" s="318"/>
    </row>
    <row r="7897" spans="2:30" s="323" customFormat="1" ht="12" customHeight="1">
      <c r="B7897" s="324"/>
      <c r="C7897" s="325"/>
      <c r="D7897" s="326"/>
      <c r="E7897" s="326"/>
      <c r="F7897" s="326"/>
      <c r="G7897" s="326"/>
      <c r="H7897" s="326"/>
      <c r="P7897" s="318"/>
      <c r="Q7897" s="318"/>
      <c r="R7897" s="318"/>
      <c r="S7897" s="318"/>
      <c r="T7897" s="318"/>
      <c r="U7897" s="318"/>
      <c r="V7897" s="318"/>
      <c r="W7897" s="318"/>
      <c r="X7897" s="318"/>
      <c r="Y7897" s="318"/>
      <c r="Z7897" s="318"/>
      <c r="AA7897" s="318"/>
      <c r="AB7897" s="318"/>
      <c r="AC7897" s="318"/>
      <c r="AD7897" s="318"/>
    </row>
    <row r="7898" spans="2:30" s="323" customFormat="1" ht="12" customHeight="1">
      <c r="B7898" s="324"/>
      <c r="C7898" s="325"/>
      <c r="D7898" s="326"/>
      <c r="E7898" s="326"/>
      <c r="F7898" s="326"/>
      <c r="G7898" s="326"/>
      <c r="H7898" s="326"/>
      <c r="P7898" s="318"/>
      <c r="Q7898" s="318"/>
      <c r="R7898" s="318"/>
      <c r="S7898" s="318"/>
      <c r="T7898" s="318"/>
      <c r="U7898" s="318"/>
      <c r="V7898" s="318"/>
      <c r="W7898" s="318"/>
      <c r="X7898" s="318"/>
      <c r="Y7898" s="318"/>
      <c r="Z7898" s="318"/>
      <c r="AA7898" s="318"/>
      <c r="AB7898" s="318"/>
      <c r="AC7898" s="318"/>
      <c r="AD7898" s="318"/>
    </row>
    <row r="7899" spans="2:30" s="323" customFormat="1" ht="12" customHeight="1">
      <c r="B7899" s="324"/>
      <c r="C7899" s="325"/>
      <c r="D7899" s="326"/>
      <c r="E7899" s="326"/>
      <c r="F7899" s="326"/>
      <c r="G7899" s="326"/>
      <c r="H7899" s="326"/>
      <c r="P7899" s="318"/>
      <c r="Q7899" s="318"/>
      <c r="R7899" s="318"/>
      <c r="S7899" s="318"/>
      <c r="T7899" s="318"/>
      <c r="U7899" s="318"/>
      <c r="V7899" s="318"/>
      <c r="W7899" s="318"/>
      <c r="X7899" s="318"/>
      <c r="Y7899" s="318"/>
      <c r="Z7899" s="318"/>
      <c r="AA7899" s="318"/>
      <c r="AB7899" s="318"/>
      <c r="AC7899" s="318"/>
      <c r="AD7899" s="318"/>
    </row>
    <row r="7900" spans="2:30" s="323" customFormat="1" ht="12" customHeight="1">
      <c r="B7900" s="324"/>
      <c r="C7900" s="325"/>
      <c r="D7900" s="326"/>
      <c r="E7900" s="326"/>
      <c r="F7900" s="326"/>
      <c r="G7900" s="326"/>
      <c r="H7900" s="326"/>
      <c r="P7900" s="318"/>
      <c r="Q7900" s="318"/>
      <c r="R7900" s="318"/>
      <c r="S7900" s="318"/>
      <c r="T7900" s="318"/>
      <c r="U7900" s="318"/>
      <c r="V7900" s="318"/>
      <c r="W7900" s="318"/>
      <c r="X7900" s="318"/>
      <c r="Y7900" s="318"/>
      <c r="Z7900" s="318"/>
      <c r="AA7900" s="318"/>
      <c r="AB7900" s="318"/>
      <c r="AC7900" s="318"/>
      <c r="AD7900" s="318"/>
    </row>
    <row r="7901" spans="2:30" s="323" customFormat="1" ht="12" customHeight="1">
      <c r="B7901" s="324"/>
      <c r="C7901" s="325"/>
      <c r="D7901" s="326"/>
      <c r="E7901" s="326"/>
      <c r="F7901" s="326"/>
      <c r="G7901" s="326"/>
      <c r="H7901" s="326"/>
      <c r="P7901" s="318"/>
      <c r="Q7901" s="318"/>
      <c r="R7901" s="318"/>
      <c r="S7901" s="318"/>
      <c r="T7901" s="318"/>
      <c r="U7901" s="318"/>
      <c r="V7901" s="318"/>
      <c r="W7901" s="318"/>
      <c r="X7901" s="318"/>
      <c r="Y7901" s="318"/>
      <c r="Z7901" s="318"/>
      <c r="AA7901" s="318"/>
      <c r="AB7901" s="318"/>
      <c r="AC7901" s="318"/>
      <c r="AD7901" s="318"/>
    </row>
    <row r="7902" spans="2:30" s="323" customFormat="1" ht="12" customHeight="1">
      <c r="B7902" s="324"/>
      <c r="C7902" s="325"/>
      <c r="D7902" s="326"/>
      <c r="E7902" s="326"/>
      <c r="F7902" s="326"/>
      <c r="G7902" s="326"/>
      <c r="H7902" s="326"/>
      <c r="P7902" s="318"/>
      <c r="Q7902" s="318"/>
      <c r="R7902" s="318"/>
      <c r="S7902" s="318"/>
      <c r="T7902" s="318"/>
      <c r="U7902" s="318"/>
      <c r="V7902" s="318"/>
      <c r="W7902" s="318"/>
      <c r="X7902" s="318"/>
      <c r="Y7902" s="318"/>
      <c r="Z7902" s="318"/>
      <c r="AA7902" s="318"/>
      <c r="AB7902" s="318"/>
      <c r="AC7902" s="318"/>
      <c r="AD7902" s="318"/>
    </row>
    <row r="7903" spans="2:30" s="323" customFormat="1" ht="12" customHeight="1">
      <c r="B7903" s="324"/>
      <c r="C7903" s="325"/>
      <c r="D7903" s="326"/>
      <c r="E7903" s="326"/>
      <c r="F7903" s="326"/>
      <c r="G7903" s="326"/>
      <c r="H7903" s="326"/>
      <c r="P7903" s="318"/>
      <c r="Q7903" s="318"/>
      <c r="R7903" s="318"/>
      <c r="S7903" s="318"/>
      <c r="T7903" s="318"/>
      <c r="U7903" s="318"/>
      <c r="V7903" s="318"/>
      <c r="W7903" s="318"/>
      <c r="X7903" s="318"/>
      <c r="Y7903" s="318"/>
      <c r="Z7903" s="318"/>
      <c r="AA7903" s="318"/>
      <c r="AB7903" s="318"/>
      <c r="AC7903" s="318"/>
      <c r="AD7903" s="318"/>
    </row>
    <row r="7904" spans="2:30" s="323" customFormat="1" ht="12" customHeight="1">
      <c r="B7904" s="324"/>
      <c r="C7904" s="325"/>
      <c r="D7904" s="326"/>
      <c r="E7904" s="326"/>
      <c r="F7904" s="326"/>
      <c r="G7904" s="326"/>
      <c r="H7904" s="326"/>
      <c r="P7904" s="318"/>
      <c r="Q7904" s="318"/>
      <c r="R7904" s="318"/>
      <c r="S7904" s="318"/>
      <c r="T7904" s="318"/>
      <c r="U7904" s="318"/>
      <c r="V7904" s="318"/>
      <c r="W7904" s="318"/>
      <c r="X7904" s="318"/>
      <c r="Y7904" s="318"/>
      <c r="Z7904" s="318"/>
      <c r="AA7904" s="318"/>
      <c r="AB7904" s="318"/>
      <c r="AC7904" s="318"/>
      <c r="AD7904" s="318"/>
    </row>
    <row r="7905" spans="2:30" s="323" customFormat="1" ht="12" customHeight="1">
      <c r="B7905" s="324"/>
      <c r="C7905" s="325"/>
      <c r="D7905" s="326"/>
      <c r="E7905" s="326"/>
      <c r="F7905" s="326"/>
      <c r="G7905" s="326"/>
      <c r="H7905" s="326"/>
      <c r="P7905" s="318"/>
      <c r="Q7905" s="318"/>
      <c r="R7905" s="318"/>
      <c r="S7905" s="318"/>
      <c r="T7905" s="318"/>
      <c r="U7905" s="318"/>
      <c r="V7905" s="318"/>
      <c r="W7905" s="318"/>
      <c r="X7905" s="318"/>
      <c r="Y7905" s="318"/>
      <c r="Z7905" s="318"/>
      <c r="AA7905" s="318"/>
      <c r="AB7905" s="318"/>
      <c r="AC7905" s="318"/>
      <c r="AD7905" s="318"/>
    </row>
    <row r="7906" spans="2:30" s="323" customFormat="1" ht="12" customHeight="1">
      <c r="B7906" s="324"/>
      <c r="C7906" s="325"/>
      <c r="D7906" s="326"/>
      <c r="E7906" s="326"/>
      <c r="F7906" s="326"/>
      <c r="G7906" s="326"/>
      <c r="H7906" s="326"/>
      <c r="P7906" s="318"/>
      <c r="Q7906" s="318"/>
      <c r="R7906" s="318"/>
      <c r="S7906" s="318"/>
      <c r="T7906" s="318"/>
      <c r="U7906" s="318"/>
      <c r="V7906" s="318"/>
      <c r="W7906" s="318"/>
      <c r="X7906" s="318"/>
      <c r="Y7906" s="318"/>
      <c r="Z7906" s="318"/>
      <c r="AA7906" s="318"/>
      <c r="AB7906" s="318"/>
      <c r="AC7906" s="318"/>
      <c r="AD7906" s="318"/>
    </row>
    <row r="7907" spans="2:30" s="323" customFormat="1" ht="12" customHeight="1">
      <c r="B7907" s="324"/>
      <c r="C7907" s="325"/>
      <c r="D7907" s="326"/>
      <c r="E7907" s="326"/>
      <c r="F7907" s="326"/>
      <c r="G7907" s="326"/>
      <c r="H7907" s="326"/>
      <c r="P7907" s="318"/>
      <c r="Q7907" s="318"/>
      <c r="R7907" s="318"/>
      <c r="S7907" s="318"/>
      <c r="T7907" s="318"/>
      <c r="U7907" s="318"/>
      <c r="V7907" s="318"/>
      <c r="W7907" s="318"/>
      <c r="X7907" s="318"/>
      <c r="Y7907" s="318"/>
      <c r="Z7907" s="318"/>
      <c r="AA7907" s="318"/>
      <c r="AB7907" s="318"/>
      <c r="AC7907" s="318"/>
      <c r="AD7907" s="318"/>
    </row>
    <row r="7908" spans="2:30" s="323" customFormat="1" ht="12" customHeight="1">
      <c r="B7908" s="324"/>
      <c r="C7908" s="325"/>
      <c r="D7908" s="326"/>
      <c r="E7908" s="326"/>
      <c r="F7908" s="326"/>
      <c r="G7908" s="326"/>
      <c r="H7908" s="326"/>
      <c r="P7908" s="318"/>
      <c r="Q7908" s="318"/>
      <c r="R7908" s="318"/>
      <c r="S7908" s="318"/>
      <c r="T7908" s="318"/>
      <c r="U7908" s="318"/>
      <c r="V7908" s="318"/>
      <c r="W7908" s="318"/>
      <c r="X7908" s="318"/>
      <c r="Y7908" s="318"/>
      <c r="Z7908" s="318"/>
      <c r="AA7908" s="318"/>
      <c r="AB7908" s="318"/>
      <c r="AC7908" s="318"/>
      <c r="AD7908" s="318"/>
    </row>
    <row r="7909" spans="2:30" s="323" customFormat="1" ht="12" customHeight="1">
      <c r="B7909" s="324"/>
      <c r="C7909" s="325"/>
      <c r="D7909" s="326"/>
      <c r="E7909" s="326"/>
      <c r="F7909" s="326"/>
      <c r="G7909" s="326"/>
      <c r="H7909" s="326"/>
      <c r="P7909" s="318"/>
      <c r="Q7909" s="318"/>
      <c r="R7909" s="318"/>
      <c r="S7909" s="318"/>
      <c r="T7909" s="318"/>
      <c r="U7909" s="318"/>
      <c r="V7909" s="318"/>
      <c r="W7909" s="318"/>
      <c r="X7909" s="318"/>
      <c r="Y7909" s="318"/>
      <c r="Z7909" s="318"/>
      <c r="AA7909" s="318"/>
      <c r="AB7909" s="318"/>
      <c r="AC7909" s="318"/>
      <c r="AD7909" s="318"/>
    </row>
    <row r="7910" spans="2:30" s="323" customFormat="1" ht="12" customHeight="1">
      <c r="B7910" s="324"/>
      <c r="C7910" s="325"/>
      <c r="D7910" s="326"/>
      <c r="E7910" s="326"/>
      <c r="F7910" s="326"/>
      <c r="G7910" s="326"/>
      <c r="H7910" s="326"/>
      <c r="P7910" s="318"/>
      <c r="Q7910" s="318"/>
      <c r="R7910" s="318"/>
      <c r="S7910" s="318"/>
      <c r="T7910" s="318"/>
      <c r="U7910" s="318"/>
      <c r="V7910" s="318"/>
      <c r="W7910" s="318"/>
      <c r="X7910" s="318"/>
      <c r="Y7910" s="318"/>
      <c r="Z7910" s="318"/>
      <c r="AA7910" s="318"/>
      <c r="AB7910" s="318"/>
      <c r="AC7910" s="318"/>
      <c r="AD7910" s="318"/>
    </row>
    <row r="7911" spans="2:30" s="323" customFormat="1" ht="12" customHeight="1">
      <c r="B7911" s="324"/>
      <c r="C7911" s="325"/>
      <c r="D7911" s="326"/>
      <c r="E7911" s="326"/>
      <c r="F7911" s="326"/>
      <c r="G7911" s="326"/>
      <c r="H7911" s="326"/>
      <c r="P7911" s="318"/>
      <c r="Q7911" s="318"/>
      <c r="R7911" s="318"/>
      <c r="S7911" s="318"/>
      <c r="T7911" s="318"/>
      <c r="U7911" s="318"/>
      <c r="V7911" s="318"/>
      <c r="W7911" s="318"/>
      <c r="X7911" s="318"/>
      <c r="Y7911" s="318"/>
      <c r="Z7911" s="318"/>
      <c r="AA7911" s="318"/>
      <c r="AB7911" s="318"/>
      <c r="AC7911" s="318"/>
      <c r="AD7911" s="318"/>
    </row>
    <row r="7912" spans="2:30" s="323" customFormat="1" ht="12" customHeight="1">
      <c r="B7912" s="324"/>
      <c r="C7912" s="325"/>
      <c r="D7912" s="326"/>
      <c r="E7912" s="326"/>
      <c r="F7912" s="326"/>
      <c r="G7912" s="326"/>
      <c r="H7912" s="326"/>
      <c r="P7912" s="318"/>
      <c r="Q7912" s="318"/>
      <c r="R7912" s="318"/>
      <c r="S7912" s="318"/>
      <c r="T7912" s="318"/>
      <c r="U7912" s="318"/>
      <c r="V7912" s="318"/>
      <c r="W7912" s="318"/>
      <c r="X7912" s="318"/>
      <c r="Y7912" s="318"/>
      <c r="Z7912" s="318"/>
      <c r="AA7912" s="318"/>
      <c r="AB7912" s="318"/>
      <c r="AC7912" s="318"/>
      <c r="AD7912" s="318"/>
    </row>
    <row r="7913" spans="2:30" s="323" customFormat="1" ht="12" customHeight="1">
      <c r="B7913" s="324"/>
      <c r="C7913" s="325"/>
      <c r="D7913" s="326"/>
      <c r="E7913" s="326"/>
      <c r="F7913" s="326"/>
      <c r="G7913" s="326"/>
      <c r="H7913" s="326"/>
      <c r="P7913" s="318"/>
      <c r="Q7913" s="318"/>
      <c r="R7913" s="318"/>
      <c r="S7913" s="318"/>
      <c r="T7913" s="318"/>
      <c r="U7913" s="318"/>
      <c r="V7913" s="318"/>
      <c r="W7913" s="318"/>
      <c r="X7913" s="318"/>
      <c r="Y7913" s="318"/>
      <c r="Z7913" s="318"/>
      <c r="AA7913" s="318"/>
      <c r="AB7913" s="318"/>
      <c r="AC7913" s="318"/>
      <c r="AD7913" s="318"/>
    </row>
    <row r="7914" spans="2:30" s="323" customFormat="1" ht="12" customHeight="1">
      <c r="B7914" s="324"/>
      <c r="C7914" s="325"/>
      <c r="D7914" s="326"/>
      <c r="E7914" s="326"/>
      <c r="F7914" s="326"/>
      <c r="G7914" s="326"/>
      <c r="H7914" s="326"/>
      <c r="P7914" s="318"/>
      <c r="Q7914" s="318"/>
      <c r="R7914" s="318"/>
      <c r="S7914" s="318"/>
      <c r="T7914" s="318"/>
      <c r="U7914" s="318"/>
      <c r="V7914" s="318"/>
      <c r="W7914" s="318"/>
      <c r="X7914" s="318"/>
      <c r="Y7914" s="318"/>
      <c r="Z7914" s="318"/>
      <c r="AA7914" s="318"/>
      <c r="AB7914" s="318"/>
      <c r="AC7914" s="318"/>
      <c r="AD7914" s="318"/>
    </row>
    <row r="7915" spans="2:30" s="323" customFormat="1" ht="12" customHeight="1">
      <c r="B7915" s="324"/>
      <c r="C7915" s="325"/>
      <c r="D7915" s="326"/>
      <c r="E7915" s="326"/>
      <c r="F7915" s="326"/>
      <c r="G7915" s="326"/>
      <c r="H7915" s="326"/>
      <c r="P7915" s="318"/>
      <c r="Q7915" s="318"/>
      <c r="R7915" s="318"/>
      <c r="S7915" s="318"/>
      <c r="T7915" s="318"/>
      <c r="U7915" s="318"/>
      <c r="V7915" s="318"/>
      <c r="W7915" s="318"/>
      <c r="X7915" s="318"/>
      <c r="Y7915" s="318"/>
      <c r="Z7915" s="318"/>
      <c r="AA7915" s="318"/>
      <c r="AB7915" s="318"/>
      <c r="AC7915" s="318"/>
      <c r="AD7915" s="318"/>
    </row>
    <row r="7916" spans="2:30" s="323" customFormat="1" ht="12" customHeight="1">
      <c r="B7916" s="324"/>
      <c r="C7916" s="325"/>
      <c r="D7916" s="326"/>
      <c r="E7916" s="326"/>
      <c r="F7916" s="326"/>
      <c r="G7916" s="326"/>
      <c r="H7916" s="326"/>
      <c r="P7916" s="318"/>
      <c r="Q7916" s="318"/>
      <c r="R7916" s="318"/>
      <c r="S7916" s="318"/>
      <c r="T7916" s="318"/>
      <c r="U7916" s="318"/>
      <c r="V7916" s="318"/>
      <c r="W7916" s="318"/>
      <c r="X7916" s="318"/>
      <c r="Y7916" s="318"/>
      <c r="Z7916" s="318"/>
      <c r="AA7916" s="318"/>
      <c r="AB7916" s="318"/>
      <c r="AC7916" s="318"/>
      <c r="AD7916" s="318"/>
    </row>
    <row r="7917" spans="2:30" s="323" customFormat="1" ht="12" customHeight="1">
      <c r="B7917" s="324"/>
      <c r="C7917" s="325"/>
      <c r="D7917" s="326"/>
      <c r="E7917" s="326"/>
      <c r="F7917" s="326"/>
      <c r="G7917" s="326"/>
      <c r="H7917" s="326"/>
      <c r="P7917" s="318"/>
      <c r="Q7917" s="318"/>
      <c r="R7917" s="318"/>
      <c r="S7917" s="318"/>
      <c r="T7917" s="318"/>
      <c r="U7917" s="318"/>
      <c r="V7917" s="318"/>
      <c r="W7917" s="318"/>
      <c r="X7917" s="318"/>
      <c r="Y7917" s="318"/>
      <c r="Z7917" s="318"/>
      <c r="AA7917" s="318"/>
      <c r="AB7917" s="318"/>
      <c r="AC7917" s="318"/>
      <c r="AD7917" s="318"/>
    </row>
    <row r="7918" spans="2:30" s="323" customFormat="1" ht="12" customHeight="1">
      <c r="B7918" s="324"/>
      <c r="C7918" s="325"/>
      <c r="D7918" s="326"/>
      <c r="E7918" s="326"/>
      <c r="F7918" s="326"/>
      <c r="G7918" s="326"/>
      <c r="H7918" s="326"/>
      <c r="P7918" s="318"/>
      <c r="Q7918" s="318"/>
      <c r="R7918" s="318"/>
      <c r="S7918" s="318"/>
      <c r="T7918" s="318"/>
      <c r="U7918" s="318"/>
      <c r="V7918" s="318"/>
      <c r="W7918" s="318"/>
      <c r="X7918" s="318"/>
      <c r="Y7918" s="318"/>
      <c r="Z7918" s="318"/>
      <c r="AA7918" s="318"/>
      <c r="AB7918" s="318"/>
      <c r="AC7918" s="318"/>
      <c r="AD7918" s="318"/>
    </row>
    <row r="7919" spans="2:30" s="323" customFormat="1" ht="12" customHeight="1">
      <c r="B7919" s="324"/>
      <c r="C7919" s="325"/>
      <c r="D7919" s="326"/>
      <c r="E7919" s="326"/>
      <c r="F7919" s="326"/>
      <c r="G7919" s="326"/>
      <c r="H7919" s="326"/>
      <c r="P7919" s="318"/>
      <c r="Q7919" s="318"/>
      <c r="R7919" s="318"/>
      <c r="S7919" s="318"/>
      <c r="T7919" s="318"/>
      <c r="U7919" s="318"/>
      <c r="V7919" s="318"/>
      <c r="W7919" s="318"/>
      <c r="X7919" s="318"/>
      <c r="Y7919" s="318"/>
      <c r="Z7919" s="318"/>
      <c r="AA7919" s="318"/>
      <c r="AB7919" s="318"/>
      <c r="AC7919" s="318"/>
      <c r="AD7919" s="318"/>
    </row>
    <row r="7920" spans="2:30" s="323" customFormat="1" ht="12" customHeight="1">
      <c r="B7920" s="324"/>
      <c r="C7920" s="325"/>
      <c r="D7920" s="326"/>
      <c r="E7920" s="326"/>
      <c r="F7920" s="326"/>
      <c r="G7920" s="326"/>
      <c r="H7920" s="326"/>
      <c r="P7920" s="318"/>
      <c r="Q7920" s="318"/>
      <c r="R7920" s="318"/>
      <c r="S7920" s="318"/>
      <c r="T7920" s="318"/>
      <c r="U7920" s="318"/>
      <c r="V7920" s="318"/>
      <c r="W7920" s="318"/>
      <c r="X7920" s="318"/>
      <c r="Y7920" s="318"/>
      <c r="Z7920" s="318"/>
      <c r="AA7920" s="318"/>
      <c r="AB7920" s="318"/>
      <c r="AC7920" s="318"/>
      <c r="AD7920" s="318"/>
    </row>
    <row r="7921" spans="2:30" s="323" customFormat="1" ht="12" customHeight="1">
      <c r="B7921" s="324"/>
      <c r="C7921" s="325"/>
      <c r="D7921" s="326"/>
      <c r="E7921" s="326"/>
      <c r="F7921" s="326"/>
      <c r="G7921" s="326"/>
      <c r="H7921" s="326"/>
      <c r="P7921" s="318"/>
      <c r="Q7921" s="318"/>
      <c r="R7921" s="318"/>
      <c r="S7921" s="318"/>
      <c r="T7921" s="318"/>
      <c r="U7921" s="318"/>
      <c r="V7921" s="318"/>
      <c r="W7921" s="318"/>
      <c r="X7921" s="318"/>
      <c r="Y7921" s="318"/>
      <c r="Z7921" s="318"/>
      <c r="AA7921" s="318"/>
      <c r="AB7921" s="318"/>
      <c r="AC7921" s="318"/>
      <c r="AD7921" s="318"/>
    </row>
    <row r="7922" spans="2:30" s="323" customFormat="1" ht="12" customHeight="1">
      <c r="B7922" s="324"/>
      <c r="C7922" s="325"/>
      <c r="D7922" s="326"/>
      <c r="E7922" s="326"/>
      <c r="F7922" s="326"/>
      <c r="G7922" s="326"/>
      <c r="H7922" s="326"/>
      <c r="P7922" s="318"/>
      <c r="Q7922" s="318"/>
      <c r="R7922" s="318"/>
      <c r="S7922" s="318"/>
      <c r="T7922" s="318"/>
      <c r="U7922" s="318"/>
      <c r="V7922" s="318"/>
      <c r="W7922" s="318"/>
      <c r="X7922" s="318"/>
      <c r="Y7922" s="318"/>
      <c r="Z7922" s="318"/>
      <c r="AA7922" s="318"/>
      <c r="AB7922" s="318"/>
      <c r="AC7922" s="318"/>
      <c r="AD7922" s="318"/>
    </row>
    <row r="7923" spans="2:30" s="323" customFormat="1" ht="12" customHeight="1">
      <c r="B7923" s="324"/>
      <c r="C7923" s="325"/>
      <c r="D7923" s="326"/>
      <c r="E7923" s="326"/>
      <c r="F7923" s="326"/>
      <c r="G7923" s="326"/>
      <c r="H7923" s="326"/>
      <c r="P7923" s="318"/>
      <c r="Q7923" s="318"/>
      <c r="R7923" s="318"/>
      <c r="S7923" s="318"/>
      <c r="T7923" s="318"/>
      <c r="U7923" s="318"/>
      <c r="V7923" s="318"/>
      <c r="W7923" s="318"/>
      <c r="X7923" s="318"/>
      <c r="Y7923" s="318"/>
      <c r="Z7923" s="318"/>
      <c r="AA7923" s="318"/>
      <c r="AB7923" s="318"/>
      <c r="AC7923" s="318"/>
      <c r="AD7923" s="318"/>
    </row>
    <row r="7924" spans="2:30" s="323" customFormat="1" ht="12" customHeight="1">
      <c r="B7924" s="324"/>
      <c r="C7924" s="325"/>
      <c r="D7924" s="326"/>
      <c r="E7924" s="326"/>
      <c r="F7924" s="326"/>
      <c r="G7924" s="326"/>
      <c r="H7924" s="326"/>
      <c r="P7924" s="318"/>
      <c r="Q7924" s="318"/>
      <c r="R7924" s="318"/>
      <c r="S7924" s="318"/>
      <c r="T7924" s="318"/>
      <c r="U7924" s="318"/>
      <c r="V7924" s="318"/>
      <c r="W7924" s="318"/>
      <c r="X7924" s="318"/>
      <c r="Y7924" s="318"/>
      <c r="Z7924" s="318"/>
      <c r="AA7924" s="318"/>
      <c r="AB7924" s="318"/>
      <c r="AC7924" s="318"/>
      <c r="AD7924" s="318"/>
    </row>
    <row r="7925" spans="2:30" s="323" customFormat="1" ht="12" customHeight="1">
      <c r="B7925" s="324"/>
      <c r="C7925" s="325"/>
      <c r="D7925" s="326"/>
      <c r="E7925" s="326"/>
      <c r="F7925" s="326"/>
      <c r="G7925" s="326"/>
      <c r="H7925" s="326"/>
      <c r="P7925" s="318"/>
      <c r="Q7925" s="318"/>
      <c r="R7925" s="318"/>
      <c r="S7925" s="318"/>
      <c r="T7925" s="318"/>
      <c r="U7925" s="318"/>
      <c r="V7925" s="318"/>
      <c r="W7925" s="318"/>
      <c r="X7925" s="318"/>
      <c r="Y7925" s="318"/>
      <c r="Z7925" s="318"/>
      <c r="AA7925" s="318"/>
      <c r="AB7925" s="318"/>
      <c r="AC7925" s="318"/>
      <c r="AD7925" s="318"/>
    </row>
    <row r="7926" spans="2:30" s="323" customFormat="1" ht="12" customHeight="1">
      <c r="B7926" s="324"/>
      <c r="C7926" s="325"/>
      <c r="D7926" s="326"/>
      <c r="E7926" s="326"/>
      <c r="F7926" s="326"/>
      <c r="G7926" s="326"/>
      <c r="H7926" s="326"/>
      <c r="P7926" s="318"/>
      <c r="Q7926" s="318"/>
      <c r="R7926" s="318"/>
      <c r="S7926" s="318"/>
      <c r="T7926" s="318"/>
      <c r="U7926" s="318"/>
      <c r="V7926" s="318"/>
      <c r="W7926" s="318"/>
      <c r="X7926" s="318"/>
      <c r="Y7926" s="318"/>
      <c r="Z7926" s="318"/>
      <c r="AA7926" s="318"/>
      <c r="AB7926" s="318"/>
      <c r="AC7926" s="318"/>
      <c r="AD7926" s="318"/>
    </row>
    <row r="7927" spans="2:30" s="323" customFormat="1" ht="12" customHeight="1">
      <c r="B7927" s="324"/>
      <c r="C7927" s="325"/>
      <c r="D7927" s="326"/>
      <c r="E7927" s="326"/>
      <c r="F7927" s="326"/>
      <c r="G7927" s="326"/>
      <c r="H7927" s="326"/>
      <c r="P7927" s="318"/>
      <c r="Q7927" s="318"/>
      <c r="R7927" s="318"/>
      <c r="S7927" s="318"/>
      <c r="T7927" s="318"/>
      <c r="U7927" s="318"/>
      <c r="V7927" s="318"/>
      <c r="W7927" s="318"/>
      <c r="X7927" s="318"/>
      <c r="Y7927" s="318"/>
      <c r="Z7927" s="318"/>
      <c r="AA7927" s="318"/>
      <c r="AB7927" s="318"/>
      <c r="AC7927" s="318"/>
      <c r="AD7927" s="318"/>
    </row>
    <row r="7928" spans="2:30" s="323" customFormat="1" ht="12" customHeight="1">
      <c r="B7928" s="324"/>
      <c r="C7928" s="325"/>
      <c r="D7928" s="326"/>
      <c r="E7928" s="326"/>
      <c r="F7928" s="326"/>
      <c r="G7928" s="326"/>
      <c r="H7928" s="326"/>
      <c r="P7928" s="318"/>
      <c r="Q7928" s="318"/>
      <c r="R7928" s="318"/>
      <c r="S7928" s="318"/>
      <c r="T7928" s="318"/>
      <c r="U7928" s="318"/>
      <c r="V7928" s="318"/>
      <c r="W7928" s="318"/>
      <c r="X7928" s="318"/>
      <c r="Y7928" s="318"/>
      <c r="Z7928" s="318"/>
      <c r="AA7928" s="318"/>
      <c r="AB7928" s="318"/>
      <c r="AC7928" s="318"/>
      <c r="AD7928" s="318"/>
    </row>
    <row r="7929" spans="2:30" s="323" customFormat="1" ht="12" customHeight="1">
      <c r="B7929" s="324"/>
      <c r="C7929" s="325"/>
      <c r="D7929" s="326"/>
      <c r="E7929" s="326"/>
      <c r="F7929" s="326"/>
      <c r="G7929" s="326"/>
      <c r="H7929" s="326"/>
      <c r="P7929" s="318"/>
      <c r="Q7929" s="318"/>
      <c r="R7929" s="318"/>
      <c r="S7929" s="318"/>
      <c r="T7929" s="318"/>
      <c r="U7929" s="318"/>
      <c r="V7929" s="318"/>
      <c r="W7929" s="318"/>
      <c r="X7929" s="318"/>
      <c r="Y7929" s="318"/>
      <c r="Z7929" s="318"/>
      <c r="AA7929" s="318"/>
      <c r="AB7929" s="318"/>
      <c r="AC7929" s="318"/>
      <c r="AD7929" s="318"/>
    </row>
    <row r="7930" spans="2:30" s="323" customFormat="1" ht="12" customHeight="1">
      <c r="B7930" s="324"/>
      <c r="C7930" s="325"/>
      <c r="D7930" s="326"/>
      <c r="E7930" s="326"/>
      <c r="F7930" s="326"/>
      <c r="G7930" s="326"/>
      <c r="H7930" s="326"/>
      <c r="P7930" s="318"/>
      <c r="Q7930" s="318"/>
      <c r="R7930" s="318"/>
      <c r="S7930" s="318"/>
      <c r="T7930" s="318"/>
      <c r="U7930" s="318"/>
      <c r="V7930" s="318"/>
      <c r="W7930" s="318"/>
      <c r="X7930" s="318"/>
      <c r="Y7930" s="318"/>
      <c r="Z7930" s="318"/>
      <c r="AA7930" s="318"/>
      <c r="AB7930" s="318"/>
      <c r="AC7930" s="318"/>
      <c r="AD7930" s="318"/>
    </row>
    <row r="7931" spans="2:30" s="323" customFormat="1" ht="12" customHeight="1">
      <c r="B7931" s="324"/>
      <c r="C7931" s="325"/>
      <c r="D7931" s="326"/>
      <c r="E7931" s="326"/>
      <c r="F7931" s="326"/>
      <c r="G7931" s="326"/>
      <c r="H7931" s="326"/>
      <c r="P7931" s="318"/>
      <c r="Q7931" s="318"/>
      <c r="R7931" s="318"/>
      <c r="S7931" s="318"/>
      <c r="T7931" s="318"/>
      <c r="U7931" s="318"/>
      <c r="V7931" s="318"/>
      <c r="W7931" s="318"/>
      <c r="X7931" s="318"/>
      <c r="Y7931" s="318"/>
      <c r="Z7931" s="318"/>
      <c r="AA7931" s="318"/>
      <c r="AB7931" s="318"/>
      <c r="AC7931" s="318"/>
      <c r="AD7931" s="318"/>
    </row>
    <row r="7932" spans="2:30" s="323" customFormat="1" ht="12" customHeight="1">
      <c r="B7932" s="324"/>
      <c r="C7932" s="325"/>
      <c r="D7932" s="326"/>
      <c r="E7932" s="326"/>
      <c r="F7932" s="326"/>
      <c r="G7932" s="326"/>
      <c r="H7932" s="326"/>
      <c r="P7932" s="318"/>
      <c r="Q7932" s="318"/>
      <c r="R7932" s="318"/>
      <c r="S7932" s="318"/>
      <c r="T7932" s="318"/>
      <c r="U7932" s="318"/>
      <c r="V7932" s="318"/>
      <c r="W7932" s="318"/>
      <c r="X7932" s="318"/>
      <c r="Y7932" s="318"/>
      <c r="Z7932" s="318"/>
      <c r="AA7932" s="318"/>
      <c r="AB7932" s="318"/>
      <c r="AC7932" s="318"/>
      <c r="AD7932" s="318"/>
    </row>
    <row r="7933" spans="2:30" s="323" customFormat="1" ht="12" customHeight="1">
      <c r="B7933" s="324"/>
      <c r="C7933" s="325"/>
      <c r="D7933" s="326"/>
      <c r="E7933" s="326"/>
      <c r="F7933" s="326"/>
      <c r="G7933" s="326"/>
      <c r="H7933" s="326"/>
      <c r="P7933" s="318"/>
      <c r="Q7933" s="318"/>
      <c r="R7933" s="318"/>
      <c r="S7933" s="318"/>
      <c r="T7933" s="318"/>
      <c r="U7933" s="318"/>
      <c r="V7933" s="318"/>
      <c r="W7933" s="318"/>
      <c r="X7933" s="318"/>
      <c r="Y7933" s="318"/>
      <c r="Z7933" s="318"/>
      <c r="AA7933" s="318"/>
      <c r="AB7933" s="318"/>
      <c r="AC7933" s="318"/>
      <c r="AD7933" s="318"/>
    </row>
    <row r="7934" spans="2:30" s="323" customFormat="1" ht="12" customHeight="1">
      <c r="B7934" s="324"/>
      <c r="C7934" s="325"/>
      <c r="D7934" s="326"/>
      <c r="E7934" s="326"/>
      <c r="F7934" s="326"/>
      <c r="G7934" s="326"/>
      <c r="H7934" s="326"/>
      <c r="P7934" s="318"/>
      <c r="Q7934" s="318"/>
      <c r="R7934" s="318"/>
      <c r="S7934" s="318"/>
      <c r="T7934" s="318"/>
      <c r="U7934" s="318"/>
      <c r="V7934" s="318"/>
      <c r="W7934" s="318"/>
      <c r="X7934" s="318"/>
      <c r="Y7934" s="318"/>
      <c r="Z7934" s="318"/>
      <c r="AA7934" s="318"/>
      <c r="AB7934" s="318"/>
      <c r="AC7934" s="318"/>
      <c r="AD7934" s="318"/>
    </row>
    <row r="7935" spans="2:30" s="323" customFormat="1" ht="12" customHeight="1">
      <c r="B7935" s="324"/>
      <c r="C7935" s="325"/>
      <c r="D7935" s="326"/>
      <c r="E7935" s="326"/>
      <c r="F7935" s="326"/>
      <c r="G7935" s="326"/>
      <c r="H7935" s="326"/>
      <c r="P7935" s="318"/>
      <c r="Q7935" s="318"/>
      <c r="R7935" s="318"/>
      <c r="S7935" s="318"/>
      <c r="T7935" s="318"/>
      <c r="U7935" s="318"/>
      <c r="V7935" s="318"/>
      <c r="W7935" s="318"/>
      <c r="X7935" s="318"/>
      <c r="Y7935" s="318"/>
      <c r="Z7935" s="318"/>
      <c r="AA7935" s="318"/>
      <c r="AB7935" s="318"/>
      <c r="AC7935" s="318"/>
      <c r="AD7935" s="318"/>
    </row>
    <row r="7936" spans="2:30" s="323" customFormat="1" ht="12" customHeight="1">
      <c r="B7936" s="324"/>
      <c r="C7936" s="325"/>
      <c r="D7936" s="326"/>
      <c r="E7936" s="326"/>
      <c r="F7936" s="326"/>
      <c r="G7936" s="326"/>
      <c r="H7936" s="326"/>
      <c r="P7936" s="318"/>
      <c r="Q7936" s="318"/>
      <c r="R7936" s="318"/>
      <c r="S7936" s="318"/>
      <c r="T7936" s="318"/>
      <c r="U7936" s="318"/>
      <c r="V7936" s="318"/>
      <c r="W7936" s="318"/>
      <c r="X7936" s="318"/>
      <c r="Y7936" s="318"/>
      <c r="Z7936" s="318"/>
      <c r="AA7936" s="318"/>
      <c r="AB7936" s="318"/>
      <c r="AC7936" s="318"/>
      <c r="AD7936" s="318"/>
    </row>
    <row r="7937" spans="2:30" s="323" customFormat="1" ht="12" customHeight="1">
      <c r="B7937" s="324"/>
      <c r="C7937" s="325"/>
      <c r="D7937" s="326"/>
      <c r="E7937" s="326"/>
      <c r="F7937" s="326"/>
      <c r="G7937" s="326"/>
      <c r="H7937" s="326"/>
      <c r="P7937" s="318"/>
      <c r="Q7937" s="318"/>
      <c r="R7937" s="318"/>
      <c r="S7937" s="318"/>
      <c r="T7937" s="318"/>
      <c r="U7937" s="318"/>
      <c r="V7937" s="318"/>
      <c r="W7937" s="318"/>
      <c r="X7937" s="318"/>
      <c r="Y7937" s="318"/>
      <c r="Z7937" s="318"/>
      <c r="AA7937" s="318"/>
      <c r="AB7937" s="318"/>
      <c r="AC7937" s="318"/>
      <c r="AD7937" s="318"/>
    </row>
    <row r="7938" spans="2:30" s="323" customFormat="1" ht="12" customHeight="1">
      <c r="B7938" s="324"/>
      <c r="C7938" s="325"/>
      <c r="D7938" s="326"/>
      <c r="E7938" s="326"/>
      <c r="F7938" s="326"/>
      <c r="G7938" s="326"/>
      <c r="H7938" s="326"/>
      <c r="P7938" s="318"/>
      <c r="Q7938" s="318"/>
      <c r="R7938" s="318"/>
      <c r="S7938" s="318"/>
      <c r="T7938" s="318"/>
      <c r="U7938" s="318"/>
      <c r="V7938" s="318"/>
      <c r="W7938" s="318"/>
      <c r="X7938" s="318"/>
      <c r="Y7938" s="318"/>
      <c r="Z7938" s="318"/>
      <c r="AA7938" s="318"/>
      <c r="AB7938" s="318"/>
      <c r="AC7938" s="318"/>
      <c r="AD7938" s="318"/>
    </row>
    <row r="7939" spans="2:30" s="323" customFormat="1" ht="12" customHeight="1">
      <c r="B7939" s="324"/>
      <c r="C7939" s="325"/>
      <c r="D7939" s="326"/>
      <c r="E7939" s="326"/>
      <c r="F7939" s="326"/>
      <c r="G7939" s="326"/>
      <c r="H7939" s="326"/>
      <c r="P7939" s="318"/>
      <c r="Q7939" s="318"/>
      <c r="R7939" s="318"/>
      <c r="S7939" s="318"/>
      <c r="T7939" s="318"/>
      <c r="U7939" s="318"/>
      <c r="V7939" s="318"/>
      <c r="W7939" s="318"/>
      <c r="X7939" s="318"/>
      <c r="Y7939" s="318"/>
      <c r="Z7939" s="318"/>
      <c r="AA7939" s="318"/>
      <c r="AB7939" s="318"/>
      <c r="AC7939" s="318"/>
      <c r="AD7939" s="318"/>
    </row>
    <row r="7940" spans="2:30" s="323" customFormat="1" ht="12" customHeight="1">
      <c r="B7940" s="324"/>
      <c r="C7940" s="325"/>
      <c r="D7940" s="326"/>
      <c r="E7940" s="326"/>
      <c r="F7940" s="326"/>
      <c r="G7940" s="326"/>
      <c r="H7940" s="326"/>
      <c r="P7940" s="318"/>
      <c r="Q7940" s="318"/>
      <c r="R7940" s="318"/>
      <c r="S7940" s="318"/>
      <c r="T7940" s="318"/>
      <c r="U7940" s="318"/>
      <c r="V7940" s="318"/>
      <c r="W7940" s="318"/>
      <c r="X7940" s="318"/>
      <c r="Y7940" s="318"/>
      <c r="Z7940" s="318"/>
      <c r="AA7940" s="318"/>
      <c r="AB7940" s="318"/>
      <c r="AC7940" s="318"/>
      <c r="AD7940" s="318"/>
    </row>
    <row r="7941" spans="2:30" s="323" customFormat="1" ht="12" customHeight="1">
      <c r="B7941" s="324"/>
      <c r="C7941" s="325"/>
      <c r="D7941" s="326"/>
      <c r="E7941" s="326"/>
      <c r="F7941" s="326"/>
      <c r="G7941" s="326"/>
      <c r="H7941" s="326"/>
      <c r="P7941" s="318"/>
      <c r="Q7941" s="318"/>
      <c r="R7941" s="318"/>
      <c r="S7941" s="318"/>
      <c r="T7941" s="318"/>
      <c r="U7941" s="318"/>
      <c r="V7941" s="318"/>
      <c r="W7941" s="318"/>
      <c r="X7941" s="318"/>
      <c r="Y7941" s="318"/>
      <c r="Z7941" s="318"/>
      <c r="AA7941" s="318"/>
      <c r="AB7941" s="318"/>
      <c r="AC7941" s="318"/>
      <c r="AD7941" s="318"/>
    </row>
    <row r="7942" spans="2:30" s="323" customFormat="1" ht="12" customHeight="1">
      <c r="B7942" s="324"/>
      <c r="C7942" s="325"/>
      <c r="D7942" s="326"/>
      <c r="E7942" s="326"/>
      <c r="F7942" s="326"/>
      <c r="G7942" s="326"/>
      <c r="H7942" s="326"/>
      <c r="P7942" s="318"/>
      <c r="Q7942" s="318"/>
      <c r="R7942" s="318"/>
      <c r="S7942" s="318"/>
      <c r="T7942" s="318"/>
      <c r="U7942" s="318"/>
      <c r="V7942" s="318"/>
      <c r="W7942" s="318"/>
      <c r="X7942" s="318"/>
      <c r="Y7942" s="318"/>
      <c r="Z7942" s="318"/>
      <c r="AA7942" s="318"/>
      <c r="AB7942" s="318"/>
      <c r="AC7942" s="318"/>
      <c r="AD7942" s="318"/>
    </row>
    <row r="7943" spans="2:30" s="323" customFormat="1" ht="12" customHeight="1">
      <c r="B7943" s="324"/>
      <c r="C7943" s="325"/>
      <c r="D7943" s="326"/>
      <c r="E7943" s="326"/>
      <c r="F7943" s="326"/>
      <c r="G7943" s="326"/>
      <c r="H7943" s="326"/>
      <c r="P7943" s="318"/>
      <c r="Q7943" s="318"/>
      <c r="R7943" s="318"/>
      <c r="S7943" s="318"/>
      <c r="T7943" s="318"/>
      <c r="U7943" s="318"/>
      <c r="V7943" s="318"/>
      <c r="W7943" s="318"/>
      <c r="X7943" s="318"/>
      <c r="Y7943" s="318"/>
      <c r="Z7943" s="318"/>
      <c r="AA7943" s="318"/>
      <c r="AB7943" s="318"/>
      <c r="AC7943" s="318"/>
      <c r="AD7943" s="318"/>
    </row>
    <row r="7944" spans="2:30" s="323" customFormat="1" ht="12" customHeight="1">
      <c r="B7944" s="324"/>
      <c r="C7944" s="325"/>
      <c r="D7944" s="326"/>
      <c r="E7944" s="326"/>
      <c r="F7944" s="326"/>
      <c r="G7944" s="326"/>
      <c r="H7944" s="326"/>
      <c r="P7944" s="318"/>
      <c r="Q7944" s="318"/>
      <c r="R7944" s="318"/>
      <c r="S7944" s="318"/>
      <c r="T7944" s="318"/>
      <c r="U7944" s="318"/>
      <c r="V7944" s="318"/>
      <c r="W7944" s="318"/>
      <c r="X7944" s="318"/>
      <c r="Y7944" s="318"/>
      <c r="Z7944" s="318"/>
      <c r="AA7944" s="318"/>
      <c r="AB7944" s="318"/>
      <c r="AC7944" s="318"/>
      <c r="AD7944" s="318"/>
    </row>
    <row r="7945" spans="2:30" s="323" customFormat="1" ht="12" customHeight="1">
      <c r="B7945" s="324"/>
      <c r="C7945" s="325"/>
      <c r="D7945" s="326"/>
      <c r="E7945" s="326"/>
      <c r="F7945" s="326"/>
      <c r="G7945" s="326"/>
      <c r="H7945" s="326"/>
      <c r="P7945" s="318"/>
      <c r="Q7945" s="318"/>
      <c r="R7945" s="318"/>
      <c r="S7945" s="318"/>
      <c r="T7945" s="318"/>
      <c r="U7945" s="318"/>
      <c r="V7945" s="318"/>
      <c r="W7945" s="318"/>
      <c r="X7945" s="318"/>
      <c r="Y7945" s="318"/>
      <c r="Z7945" s="318"/>
      <c r="AA7945" s="318"/>
      <c r="AB7945" s="318"/>
      <c r="AC7945" s="318"/>
      <c r="AD7945" s="318"/>
    </row>
    <row r="7946" spans="2:30" s="323" customFormat="1" ht="12" customHeight="1">
      <c r="B7946" s="324"/>
      <c r="C7946" s="325"/>
      <c r="D7946" s="326"/>
      <c r="E7946" s="326"/>
      <c r="F7946" s="326"/>
      <c r="G7946" s="326"/>
      <c r="H7946" s="326"/>
      <c r="P7946" s="318"/>
      <c r="Q7946" s="318"/>
      <c r="R7946" s="318"/>
      <c r="S7946" s="318"/>
      <c r="T7946" s="318"/>
      <c r="U7946" s="318"/>
      <c r="V7946" s="318"/>
      <c r="W7946" s="318"/>
      <c r="X7946" s="318"/>
      <c r="Y7946" s="318"/>
      <c r="Z7946" s="318"/>
      <c r="AA7946" s="318"/>
      <c r="AB7946" s="318"/>
      <c r="AC7946" s="318"/>
      <c r="AD7946" s="318"/>
    </row>
    <row r="7947" spans="2:30" s="323" customFormat="1" ht="12" customHeight="1">
      <c r="B7947" s="324"/>
      <c r="C7947" s="325"/>
      <c r="D7947" s="326"/>
      <c r="E7947" s="326"/>
      <c r="F7947" s="326"/>
      <c r="G7947" s="326"/>
      <c r="H7947" s="326"/>
      <c r="P7947" s="318"/>
      <c r="Q7947" s="318"/>
      <c r="R7947" s="318"/>
      <c r="S7947" s="318"/>
      <c r="T7947" s="318"/>
      <c r="U7947" s="318"/>
      <c r="V7947" s="318"/>
      <c r="W7947" s="318"/>
      <c r="X7947" s="318"/>
      <c r="Y7947" s="318"/>
      <c r="Z7947" s="318"/>
      <c r="AA7947" s="318"/>
      <c r="AB7947" s="318"/>
      <c r="AC7947" s="318"/>
      <c r="AD7947" s="318"/>
    </row>
    <row r="7948" spans="2:30" s="323" customFormat="1" ht="12" customHeight="1">
      <c r="B7948" s="324"/>
      <c r="C7948" s="325"/>
      <c r="D7948" s="326"/>
      <c r="E7948" s="326"/>
      <c r="F7948" s="326"/>
      <c r="G7948" s="326"/>
      <c r="H7948" s="326"/>
      <c r="P7948" s="318"/>
      <c r="Q7948" s="318"/>
      <c r="R7948" s="318"/>
      <c r="S7948" s="318"/>
      <c r="T7948" s="318"/>
      <c r="U7948" s="318"/>
      <c r="V7948" s="318"/>
      <c r="W7948" s="318"/>
      <c r="X7948" s="318"/>
      <c r="Y7948" s="318"/>
      <c r="Z7948" s="318"/>
      <c r="AA7948" s="318"/>
      <c r="AB7948" s="318"/>
      <c r="AC7948" s="318"/>
      <c r="AD7948" s="318"/>
    </row>
    <row r="7949" spans="2:30" s="323" customFormat="1" ht="12" customHeight="1">
      <c r="B7949" s="324"/>
      <c r="C7949" s="325"/>
      <c r="D7949" s="326"/>
      <c r="E7949" s="326"/>
      <c r="F7949" s="326"/>
      <c r="G7949" s="326"/>
      <c r="H7949" s="326"/>
      <c r="P7949" s="318"/>
      <c r="Q7949" s="318"/>
      <c r="R7949" s="318"/>
      <c r="S7949" s="318"/>
      <c r="T7949" s="318"/>
      <c r="U7949" s="318"/>
      <c r="V7949" s="318"/>
      <c r="W7949" s="318"/>
      <c r="X7949" s="318"/>
      <c r="Y7949" s="318"/>
      <c r="Z7949" s="318"/>
      <c r="AA7949" s="318"/>
      <c r="AB7949" s="318"/>
      <c r="AC7949" s="318"/>
      <c r="AD7949" s="318"/>
    </row>
    <row r="7950" spans="2:30" s="323" customFormat="1" ht="12" customHeight="1">
      <c r="B7950" s="324"/>
      <c r="C7950" s="325"/>
      <c r="D7950" s="326"/>
      <c r="E7950" s="326"/>
      <c r="F7950" s="326"/>
      <c r="G7950" s="326"/>
      <c r="H7950" s="326"/>
      <c r="P7950" s="318"/>
      <c r="Q7950" s="318"/>
      <c r="R7950" s="318"/>
      <c r="S7950" s="318"/>
      <c r="T7950" s="318"/>
      <c r="U7950" s="318"/>
      <c r="V7950" s="318"/>
      <c r="W7950" s="318"/>
      <c r="X7950" s="318"/>
      <c r="Y7950" s="318"/>
      <c r="Z7950" s="318"/>
      <c r="AA7950" s="318"/>
      <c r="AB7950" s="318"/>
      <c r="AC7950" s="318"/>
      <c r="AD7950" s="318"/>
    </row>
    <row r="7951" spans="2:30" s="323" customFormat="1" ht="12" customHeight="1">
      <c r="B7951" s="324"/>
      <c r="C7951" s="325"/>
      <c r="D7951" s="326"/>
      <c r="E7951" s="326"/>
      <c r="F7951" s="326"/>
      <c r="G7951" s="326"/>
      <c r="H7951" s="326"/>
      <c r="P7951" s="318"/>
      <c r="Q7951" s="318"/>
      <c r="R7951" s="318"/>
      <c r="S7951" s="318"/>
      <c r="T7951" s="318"/>
      <c r="U7951" s="318"/>
      <c r="V7951" s="318"/>
      <c r="W7951" s="318"/>
      <c r="X7951" s="318"/>
      <c r="Y7951" s="318"/>
      <c r="Z7951" s="318"/>
      <c r="AA7951" s="318"/>
      <c r="AB7951" s="318"/>
      <c r="AC7951" s="318"/>
      <c r="AD7951" s="318"/>
    </row>
    <row r="7952" spans="2:30" s="323" customFormat="1" ht="12" customHeight="1">
      <c r="B7952" s="324"/>
      <c r="C7952" s="325"/>
      <c r="D7952" s="326"/>
      <c r="E7952" s="326"/>
      <c r="F7952" s="326"/>
      <c r="G7952" s="326"/>
      <c r="H7952" s="326"/>
      <c r="P7952" s="318"/>
      <c r="Q7952" s="318"/>
      <c r="R7952" s="318"/>
      <c r="S7952" s="318"/>
      <c r="T7952" s="318"/>
      <c r="U7952" s="318"/>
      <c r="V7952" s="318"/>
      <c r="W7952" s="318"/>
      <c r="X7952" s="318"/>
      <c r="Y7952" s="318"/>
      <c r="Z7952" s="318"/>
      <c r="AA7952" s="318"/>
      <c r="AB7952" s="318"/>
      <c r="AC7952" s="318"/>
      <c r="AD7952" s="318"/>
    </row>
    <row r="7953" spans="2:30" s="323" customFormat="1" ht="12" customHeight="1">
      <c r="B7953" s="324"/>
      <c r="C7953" s="325"/>
      <c r="D7953" s="326"/>
      <c r="E7953" s="326"/>
      <c r="F7953" s="326"/>
      <c r="G7953" s="326"/>
      <c r="H7953" s="326"/>
      <c r="P7953" s="318"/>
      <c r="Q7953" s="318"/>
      <c r="R7953" s="318"/>
      <c r="S7953" s="318"/>
      <c r="T7953" s="318"/>
      <c r="U7953" s="318"/>
      <c r="V7953" s="318"/>
      <c r="W7953" s="318"/>
      <c r="X7953" s="318"/>
      <c r="Y7953" s="318"/>
      <c r="Z7953" s="318"/>
      <c r="AA7953" s="318"/>
      <c r="AB7953" s="318"/>
      <c r="AC7953" s="318"/>
      <c r="AD7953" s="318"/>
    </row>
    <row r="7954" spans="2:30" s="323" customFormat="1" ht="12" customHeight="1">
      <c r="B7954" s="324"/>
      <c r="C7954" s="325"/>
      <c r="D7954" s="326"/>
      <c r="E7954" s="326"/>
      <c r="F7954" s="326"/>
      <c r="G7954" s="326"/>
      <c r="H7954" s="326"/>
      <c r="P7954" s="318"/>
      <c r="Q7954" s="318"/>
      <c r="R7954" s="318"/>
      <c r="S7954" s="318"/>
      <c r="T7954" s="318"/>
      <c r="U7954" s="318"/>
      <c r="V7954" s="318"/>
      <c r="W7954" s="318"/>
      <c r="X7954" s="318"/>
      <c r="Y7954" s="318"/>
      <c r="Z7954" s="318"/>
      <c r="AA7954" s="318"/>
      <c r="AB7954" s="318"/>
      <c r="AC7954" s="318"/>
      <c r="AD7954" s="318"/>
    </row>
    <row r="7955" spans="2:30" s="323" customFormat="1" ht="12" customHeight="1">
      <c r="B7955" s="324"/>
      <c r="C7955" s="325"/>
      <c r="D7955" s="326"/>
      <c r="E7955" s="326"/>
      <c r="F7955" s="326"/>
      <c r="G7955" s="326"/>
      <c r="H7955" s="326"/>
      <c r="P7955" s="318"/>
      <c r="Q7955" s="318"/>
      <c r="R7955" s="318"/>
      <c r="S7955" s="318"/>
      <c r="T7955" s="318"/>
      <c r="U7955" s="318"/>
      <c r="V7955" s="318"/>
      <c r="W7955" s="318"/>
      <c r="X7955" s="318"/>
      <c r="Y7955" s="318"/>
      <c r="Z7955" s="318"/>
      <c r="AA7955" s="318"/>
      <c r="AB7955" s="318"/>
      <c r="AC7955" s="318"/>
      <c r="AD7955" s="318"/>
    </row>
    <row r="7956" spans="2:30" s="323" customFormat="1" ht="12" customHeight="1">
      <c r="B7956" s="324"/>
      <c r="C7956" s="325"/>
      <c r="D7956" s="326"/>
      <c r="E7956" s="326"/>
      <c r="F7956" s="326"/>
      <c r="G7956" s="326"/>
      <c r="H7956" s="326"/>
      <c r="P7956" s="318"/>
      <c r="Q7956" s="318"/>
      <c r="R7956" s="318"/>
      <c r="S7956" s="318"/>
      <c r="T7956" s="318"/>
      <c r="U7956" s="318"/>
      <c r="V7956" s="318"/>
      <c r="W7956" s="318"/>
      <c r="X7956" s="318"/>
      <c r="Y7956" s="318"/>
      <c r="Z7956" s="318"/>
      <c r="AA7956" s="318"/>
      <c r="AB7956" s="318"/>
      <c r="AC7956" s="318"/>
      <c r="AD7956" s="318"/>
    </row>
    <row r="7957" spans="2:30" s="323" customFormat="1" ht="12" customHeight="1">
      <c r="B7957" s="324"/>
      <c r="C7957" s="325"/>
      <c r="D7957" s="326"/>
      <c r="E7957" s="326"/>
      <c r="F7957" s="326"/>
      <c r="G7957" s="326"/>
      <c r="H7957" s="326"/>
      <c r="P7957" s="318"/>
      <c r="Q7957" s="318"/>
      <c r="R7957" s="318"/>
      <c r="S7957" s="318"/>
      <c r="T7957" s="318"/>
      <c r="U7957" s="318"/>
      <c r="V7957" s="318"/>
      <c r="W7957" s="318"/>
      <c r="X7957" s="318"/>
      <c r="Y7957" s="318"/>
      <c r="Z7957" s="318"/>
      <c r="AA7957" s="318"/>
      <c r="AB7957" s="318"/>
      <c r="AC7957" s="318"/>
      <c r="AD7957" s="318"/>
    </row>
    <row r="7958" spans="2:30" s="323" customFormat="1" ht="12" customHeight="1">
      <c r="B7958" s="324"/>
      <c r="C7958" s="325"/>
      <c r="D7958" s="326"/>
      <c r="E7958" s="326"/>
      <c r="F7958" s="326"/>
      <c r="G7958" s="326"/>
      <c r="H7958" s="326"/>
      <c r="P7958" s="318"/>
      <c r="Q7958" s="318"/>
      <c r="R7958" s="318"/>
      <c r="S7958" s="318"/>
      <c r="T7958" s="318"/>
      <c r="U7958" s="318"/>
      <c r="V7958" s="318"/>
      <c r="W7958" s="318"/>
      <c r="X7958" s="318"/>
      <c r="Y7958" s="318"/>
      <c r="Z7958" s="318"/>
      <c r="AA7958" s="318"/>
      <c r="AB7958" s="318"/>
      <c r="AC7958" s="318"/>
      <c r="AD7958" s="318"/>
    </row>
    <row r="7959" spans="2:30" s="323" customFormat="1" ht="12" customHeight="1">
      <c r="B7959" s="324"/>
      <c r="C7959" s="325"/>
      <c r="D7959" s="326"/>
      <c r="E7959" s="326"/>
      <c r="F7959" s="326"/>
      <c r="G7959" s="326"/>
      <c r="H7959" s="326"/>
      <c r="P7959" s="318"/>
      <c r="Q7959" s="318"/>
      <c r="R7959" s="318"/>
      <c r="S7959" s="318"/>
      <c r="T7959" s="318"/>
      <c r="U7959" s="318"/>
      <c r="V7959" s="318"/>
      <c r="W7959" s="318"/>
      <c r="X7959" s="318"/>
      <c r="Y7959" s="318"/>
      <c r="Z7959" s="318"/>
      <c r="AA7959" s="318"/>
      <c r="AB7959" s="318"/>
      <c r="AC7959" s="318"/>
      <c r="AD7959" s="318"/>
    </row>
    <row r="7960" spans="2:30" s="323" customFormat="1" ht="12" customHeight="1">
      <c r="B7960" s="324"/>
      <c r="C7960" s="325"/>
      <c r="D7960" s="326"/>
      <c r="E7960" s="326"/>
      <c r="F7960" s="326"/>
      <c r="G7960" s="326"/>
      <c r="H7960" s="326"/>
      <c r="P7960" s="318"/>
      <c r="Q7960" s="318"/>
      <c r="R7960" s="318"/>
      <c r="S7960" s="318"/>
      <c r="T7960" s="318"/>
      <c r="U7960" s="318"/>
      <c r="V7960" s="318"/>
      <c r="W7960" s="318"/>
      <c r="X7960" s="318"/>
      <c r="Y7960" s="318"/>
      <c r="Z7960" s="318"/>
      <c r="AA7960" s="318"/>
      <c r="AB7960" s="318"/>
      <c r="AC7960" s="318"/>
      <c r="AD7960" s="318"/>
    </row>
    <row r="7961" spans="2:30" s="323" customFormat="1" ht="12" customHeight="1">
      <c r="B7961" s="324"/>
      <c r="C7961" s="325"/>
      <c r="D7961" s="326"/>
      <c r="E7961" s="326"/>
      <c r="F7961" s="326"/>
      <c r="G7961" s="326"/>
      <c r="H7961" s="326"/>
      <c r="P7961" s="318"/>
      <c r="Q7961" s="318"/>
      <c r="R7961" s="318"/>
      <c r="S7961" s="318"/>
      <c r="T7961" s="318"/>
      <c r="U7961" s="318"/>
      <c r="V7961" s="318"/>
      <c r="W7961" s="318"/>
      <c r="X7961" s="318"/>
      <c r="Y7961" s="318"/>
      <c r="Z7961" s="318"/>
      <c r="AA7961" s="318"/>
      <c r="AB7961" s="318"/>
      <c r="AC7961" s="318"/>
      <c r="AD7961" s="318"/>
    </row>
    <row r="7962" spans="2:30" s="323" customFormat="1" ht="12" customHeight="1">
      <c r="B7962" s="324"/>
      <c r="C7962" s="325"/>
      <c r="D7962" s="326"/>
      <c r="E7962" s="326"/>
      <c r="F7962" s="326"/>
      <c r="G7962" s="326"/>
      <c r="H7962" s="326"/>
      <c r="P7962" s="318"/>
      <c r="Q7962" s="318"/>
      <c r="R7962" s="318"/>
      <c r="S7962" s="318"/>
      <c r="T7962" s="318"/>
      <c r="U7962" s="318"/>
      <c r="V7962" s="318"/>
      <c r="W7962" s="318"/>
      <c r="X7962" s="318"/>
      <c r="Y7962" s="318"/>
      <c r="Z7962" s="318"/>
      <c r="AA7962" s="318"/>
      <c r="AB7962" s="318"/>
      <c r="AC7962" s="318"/>
      <c r="AD7962" s="318"/>
    </row>
    <row r="7963" spans="2:30" s="323" customFormat="1" ht="12" customHeight="1">
      <c r="B7963" s="324"/>
      <c r="C7963" s="325"/>
      <c r="D7963" s="326"/>
      <c r="E7963" s="326"/>
      <c r="F7963" s="326"/>
      <c r="G7963" s="326"/>
      <c r="H7963" s="326"/>
      <c r="P7963" s="318"/>
      <c r="Q7963" s="318"/>
      <c r="R7963" s="318"/>
      <c r="S7963" s="318"/>
      <c r="T7963" s="318"/>
      <c r="U7963" s="318"/>
      <c r="V7963" s="318"/>
      <c r="W7963" s="318"/>
      <c r="X7963" s="318"/>
      <c r="Y7963" s="318"/>
      <c r="Z7963" s="318"/>
      <c r="AA7963" s="318"/>
      <c r="AB7963" s="318"/>
      <c r="AC7963" s="318"/>
      <c r="AD7963" s="318"/>
    </row>
    <row r="7964" spans="2:30" s="323" customFormat="1" ht="12" customHeight="1">
      <c r="B7964" s="324"/>
      <c r="C7964" s="325"/>
      <c r="D7964" s="326"/>
      <c r="E7964" s="326"/>
      <c r="F7964" s="326"/>
      <c r="G7964" s="326"/>
      <c r="H7964" s="326"/>
      <c r="P7964" s="318"/>
      <c r="Q7964" s="318"/>
      <c r="R7964" s="318"/>
      <c r="S7964" s="318"/>
      <c r="T7964" s="318"/>
      <c r="U7964" s="318"/>
      <c r="V7964" s="318"/>
      <c r="W7964" s="318"/>
      <c r="X7964" s="318"/>
      <c r="Y7964" s="318"/>
      <c r="Z7964" s="318"/>
      <c r="AA7964" s="318"/>
      <c r="AB7964" s="318"/>
      <c r="AC7964" s="318"/>
      <c r="AD7964" s="318"/>
    </row>
    <row r="7965" spans="2:30" s="323" customFormat="1" ht="12" customHeight="1">
      <c r="B7965" s="324"/>
      <c r="C7965" s="325"/>
      <c r="D7965" s="326"/>
      <c r="E7965" s="326"/>
      <c r="F7965" s="326"/>
      <c r="G7965" s="326"/>
      <c r="H7965" s="326"/>
      <c r="P7965" s="318"/>
      <c r="Q7965" s="318"/>
      <c r="R7965" s="318"/>
      <c r="S7965" s="318"/>
      <c r="T7965" s="318"/>
      <c r="U7965" s="318"/>
      <c r="V7965" s="318"/>
      <c r="W7965" s="318"/>
      <c r="X7965" s="318"/>
      <c r="Y7965" s="318"/>
      <c r="Z7965" s="318"/>
      <c r="AA7965" s="318"/>
      <c r="AB7965" s="318"/>
      <c r="AC7965" s="318"/>
      <c r="AD7965" s="318"/>
    </row>
    <row r="7966" spans="2:30" s="323" customFormat="1" ht="12" customHeight="1">
      <c r="B7966" s="324"/>
      <c r="C7966" s="325"/>
      <c r="D7966" s="326"/>
      <c r="E7966" s="326"/>
      <c r="F7966" s="326"/>
      <c r="G7966" s="326"/>
      <c r="H7966" s="326"/>
      <c r="P7966" s="318"/>
      <c r="Q7966" s="318"/>
      <c r="R7966" s="318"/>
      <c r="S7966" s="318"/>
      <c r="T7966" s="318"/>
      <c r="U7966" s="318"/>
      <c r="V7966" s="318"/>
      <c r="W7966" s="318"/>
      <c r="X7966" s="318"/>
      <c r="Y7966" s="318"/>
      <c r="Z7966" s="318"/>
      <c r="AA7966" s="318"/>
      <c r="AB7966" s="318"/>
      <c r="AC7966" s="318"/>
      <c r="AD7966" s="318"/>
    </row>
    <row r="7967" spans="2:30" s="323" customFormat="1" ht="12" customHeight="1">
      <c r="B7967" s="324"/>
      <c r="C7967" s="325"/>
      <c r="D7967" s="326"/>
      <c r="E7967" s="326"/>
      <c r="F7967" s="326"/>
      <c r="G7967" s="326"/>
      <c r="H7967" s="326"/>
      <c r="P7967" s="318"/>
      <c r="Q7967" s="318"/>
      <c r="R7967" s="318"/>
      <c r="S7967" s="318"/>
      <c r="T7967" s="318"/>
      <c r="U7967" s="318"/>
      <c r="V7967" s="318"/>
      <c r="W7967" s="318"/>
      <c r="X7967" s="318"/>
      <c r="Y7967" s="318"/>
      <c r="Z7967" s="318"/>
      <c r="AA7967" s="318"/>
      <c r="AB7967" s="318"/>
      <c r="AC7967" s="318"/>
      <c r="AD7967" s="318"/>
    </row>
    <row r="7968" spans="2:30" s="323" customFormat="1" ht="12" customHeight="1">
      <c r="B7968" s="324"/>
      <c r="C7968" s="325"/>
      <c r="D7968" s="326"/>
      <c r="E7968" s="326"/>
      <c r="F7968" s="326"/>
      <c r="G7968" s="326"/>
      <c r="H7968" s="326"/>
      <c r="P7968" s="318"/>
      <c r="Q7968" s="318"/>
      <c r="R7968" s="318"/>
      <c r="S7968" s="318"/>
      <c r="T7968" s="318"/>
      <c r="U7968" s="318"/>
      <c r="V7968" s="318"/>
      <c r="W7968" s="318"/>
      <c r="X7968" s="318"/>
      <c r="Y7968" s="318"/>
      <c r="Z7968" s="318"/>
      <c r="AA7968" s="318"/>
      <c r="AB7968" s="318"/>
      <c r="AC7968" s="318"/>
      <c r="AD7968" s="318"/>
    </row>
    <row r="7969" spans="2:30" s="323" customFormat="1" ht="12" customHeight="1">
      <c r="B7969" s="324"/>
      <c r="C7969" s="325"/>
      <c r="D7969" s="326"/>
      <c r="E7969" s="326"/>
      <c r="F7969" s="326"/>
      <c r="G7969" s="326"/>
      <c r="H7969" s="326"/>
      <c r="P7969" s="318"/>
      <c r="Q7969" s="318"/>
      <c r="R7969" s="318"/>
      <c r="S7969" s="318"/>
      <c r="T7969" s="318"/>
      <c r="U7969" s="318"/>
      <c r="V7969" s="318"/>
      <c r="W7969" s="318"/>
      <c r="X7969" s="318"/>
      <c r="Y7969" s="318"/>
      <c r="Z7969" s="318"/>
      <c r="AA7969" s="318"/>
      <c r="AB7969" s="318"/>
      <c r="AC7969" s="318"/>
      <c r="AD7969" s="318"/>
    </row>
    <row r="7970" spans="2:30" s="323" customFormat="1" ht="12" customHeight="1">
      <c r="B7970" s="324"/>
      <c r="C7970" s="325"/>
      <c r="D7970" s="326"/>
      <c r="E7970" s="326"/>
      <c r="F7970" s="326"/>
      <c r="G7970" s="326"/>
      <c r="H7970" s="326"/>
      <c r="P7970" s="318"/>
      <c r="Q7970" s="318"/>
      <c r="R7970" s="318"/>
      <c r="S7970" s="318"/>
      <c r="T7970" s="318"/>
      <c r="U7970" s="318"/>
      <c r="V7970" s="318"/>
      <c r="W7970" s="318"/>
      <c r="X7970" s="318"/>
      <c r="Y7970" s="318"/>
      <c r="Z7970" s="318"/>
      <c r="AA7970" s="318"/>
      <c r="AB7970" s="318"/>
      <c r="AC7970" s="318"/>
      <c r="AD7970" s="318"/>
    </row>
    <row r="7971" spans="2:30" s="323" customFormat="1" ht="12" customHeight="1">
      <c r="B7971" s="324"/>
      <c r="C7971" s="325"/>
      <c r="D7971" s="326"/>
      <c r="E7971" s="326"/>
      <c r="F7971" s="326"/>
      <c r="G7971" s="326"/>
      <c r="H7971" s="326"/>
      <c r="P7971" s="318"/>
      <c r="Q7971" s="318"/>
      <c r="R7971" s="318"/>
      <c r="S7971" s="318"/>
      <c r="T7971" s="318"/>
      <c r="U7971" s="318"/>
      <c r="V7971" s="318"/>
      <c r="W7971" s="318"/>
      <c r="X7971" s="318"/>
      <c r="Y7971" s="318"/>
      <c r="Z7971" s="318"/>
      <c r="AA7971" s="318"/>
      <c r="AB7971" s="318"/>
      <c r="AC7971" s="318"/>
      <c r="AD7971" s="318"/>
    </row>
    <row r="7972" spans="2:30" s="323" customFormat="1" ht="12" customHeight="1">
      <c r="B7972" s="324"/>
      <c r="C7972" s="325"/>
      <c r="D7972" s="326"/>
      <c r="E7972" s="326"/>
      <c r="F7972" s="326"/>
      <c r="G7972" s="326"/>
      <c r="H7972" s="326"/>
      <c r="P7972" s="318"/>
      <c r="Q7972" s="318"/>
      <c r="R7972" s="318"/>
      <c r="S7972" s="318"/>
      <c r="T7972" s="318"/>
      <c r="U7972" s="318"/>
      <c r="V7972" s="318"/>
      <c r="W7972" s="318"/>
      <c r="X7972" s="318"/>
      <c r="Y7972" s="318"/>
      <c r="Z7972" s="318"/>
      <c r="AA7972" s="318"/>
      <c r="AB7972" s="318"/>
      <c r="AC7972" s="318"/>
      <c r="AD7972" s="318"/>
    </row>
    <row r="7973" spans="2:30" s="323" customFormat="1" ht="12" customHeight="1">
      <c r="B7973" s="324"/>
      <c r="C7973" s="325"/>
      <c r="D7973" s="326"/>
      <c r="E7973" s="326"/>
      <c r="F7973" s="326"/>
      <c r="G7973" s="326"/>
      <c r="H7973" s="326"/>
      <c r="P7973" s="318"/>
      <c r="Q7973" s="318"/>
      <c r="R7973" s="318"/>
      <c r="S7973" s="318"/>
      <c r="T7973" s="318"/>
      <c r="U7973" s="318"/>
      <c r="V7973" s="318"/>
      <c r="W7973" s="318"/>
      <c r="X7973" s="318"/>
      <c r="Y7973" s="318"/>
      <c r="Z7973" s="318"/>
      <c r="AA7973" s="318"/>
      <c r="AB7973" s="318"/>
      <c r="AC7973" s="318"/>
      <c r="AD7973" s="318"/>
    </row>
    <row r="7974" spans="2:30" s="323" customFormat="1" ht="12" customHeight="1">
      <c r="B7974" s="324"/>
      <c r="C7974" s="325"/>
      <c r="D7974" s="326"/>
      <c r="E7974" s="326"/>
      <c r="F7974" s="326"/>
      <c r="G7974" s="326"/>
      <c r="H7974" s="326"/>
      <c r="P7974" s="318"/>
      <c r="Q7974" s="318"/>
      <c r="R7974" s="318"/>
      <c r="S7974" s="318"/>
      <c r="T7974" s="318"/>
      <c r="U7974" s="318"/>
      <c r="V7974" s="318"/>
      <c r="W7974" s="318"/>
      <c r="X7974" s="318"/>
      <c r="Y7974" s="318"/>
      <c r="Z7974" s="318"/>
      <c r="AA7974" s="318"/>
      <c r="AB7974" s="318"/>
      <c r="AC7974" s="318"/>
      <c r="AD7974" s="318"/>
    </row>
    <row r="7975" spans="2:30" s="323" customFormat="1" ht="12" customHeight="1">
      <c r="B7975" s="324"/>
      <c r="C7975" s="325"/>
      <c r="D7975" s="326"/>
      <c r="E7975" s="326"/>
      <c r="F7975" s="326"/>
      <c r="G7975" s="326"/>
      <c r="H7975" s="326"/>
      <c r="P7975" s="318"/>
      <c r="Q7975" s="318"/>
      <c r="R7975" s="318"/>
      <c r="S7975" s="318"/>
      <c r="T7975" s="318"/>
      <c r="U7975" s="318"/>
      <c r="V7975" s="318"/>
      <c r="W7975" s="318"/>
      <c r="X7975" s="318"/>
      <c r="Y7975" s="318"/>
      <c r="Z7975" s="318"/>
      <c r="AA7975" s="318"/>
      <c r="AB7975" s="318"/>
      <c r="AC7975" s="318"/>
      <c r="AD7975" s="318"/>
    </row>
    <row r="7976" spans="2:30" s="323" customFormat="1" ht="12" customHeight="1">
      <c r="B7976" s="324"/>
      <c r="C7976" s="325"/>
      <c r="D7976" s="326"/>
      <c r="E7976" s="326"/>
      <c r="F7976" s="326"/>
      <c r="G7976" s="326"/>
      <c r="H7976" s="326"/>
      <c r="P7976" s="318"/>
      <c r="Q7976" s="318"/>
      <c r="R7976" s="318"/>
      <c r="S7976" s="318"/>
      <c r="T7976" s="318"/>
      <c r="U7976" s="318"/>
      <c r="V7976" s="318"/>
      <c r="W7976" s="318"/>
      <c r="X7976" s="318"/>
      <c r="Y7976" s="318"/>
      <c r="Z7976" s="318"/>
      <c r="AA7976" s="318"/>
      <c r="AB7976" s="318"/>
      <c r="AC7976" s="318"/>
      <c r="AD7976" s="318"/>
    </row>
    <row r="7977" spans="2:30" s="323" customFormat="1" ht="12" customHeight="1">
      <c r="B7977" s="324"/>
      <c r="C7977" s="325"/>
      <c r="D7977" s="326"/>
      <c r="E7977" s="326"/>
      <c r="F7977" s="326"/>
      <c r="G7977" s="326"/>
      <c r="H7977" s="326"/>
      <c r="P7977" s="318"/>
      <c r="Q7977" s="318"/>
      <c r="R7977" s="318"/>
      <c r="S7977" s="318"/>
      <c r="T7977" s="318"/>
      <c r="U7977" s="318"/>
      <c r="V7977" s="318"/>
      <c r="W7977" s="318"/>
      <c r="X7977" s="318"/>
      <c r="Y7977" s="318"/>
      <c r="Z7977" s="318"/>
      <c r="AA7977" s="318"/>
      <c r="AB7977" s="318"/>
      <c r="AC7977" s="318"/>
      <c r="AD7977" s="318"/>
    </row>
    <row r="7978" spans="2:30" s="323" customFormat="1" ht="12" customHeight="1">
      <c r="B7978" s="324"/>
      <c r="C7978" s="325"/>
      <c r="D7978" s="326"/>
      <c r="E7978" s="326"/>
      <c r="F7978" s="326"/>
      <c r="G7978" s="326"/>
      <c r="H7978" s="326"/>
      <c r="P7978" s="318"/>
      <c r="Q7978" s="318"/>
      <c r="R7978" s="318"/>
      <c r="S7978" s="318"/>
      <c r="T7978" s="318"/>
      <c r="U7978" s="318"/>
      <c r="V7978" s="318"/>
      <c r="W7978" s="318"/>
      <c r="X7978" s="318"/>
      <c r="Y7978" s="318"/>
      <c r="Z7978" s="318"/>
      <c r="AA7978" s="318"/>
      <c r="AB7978" s="318"/>
      <c r="AC7978" s="318"/>
      <c r="AD7978" s="318"/>
    </row>
    <row r="7979" spans="2:30" s="323" customFormat="1" ht="12" customHeight="1">
      <c r="B7979" s="324"/>
      <c r="C7979" s="325"/>
      <c r="D7979" s="326"/>
      <c r="E7979" s="326"/>
      <c r="F7979" s="326"/>
      <c r="G7979" s="326"/>
      <c r="H7979" s="326"/>
      <c r="P7979" s="318"/>
      <c r="Q7979" s="318"/>
      <c r="R7979" s="318"/>
      <c r="S7979" s="318"/>
      <c r="T7979" s="318"/>
      <c r="U7979" s="318"/>
      <c r="V7979" s="318"/>
      <c r="W7979" s="318"/>
      <c r="X7979" s="318"/>
      <c r="Y7979" s="318"/>
      <c r="Z7979" s="318"/>
      <c r="AA7979" s="318"/>
      <c r="AB7979" s="318"/>
      <c r="AC7979" s="318"/>
      <c r="AD7979" s="318"/>
    </row>
    <row r="7980" spans="2:30" s="323" customFormat="1" ht="12" customHeight="1">
      <c r="B7980" s="324"/>
      <c r="C7980" s="325"/>
      <c r="D7980" s="326"/>
      <c r="E7980" s="326"/>
      <c r="F7980" s="326"/>
      <c r="G7980" s="326"/>
      <c r="H7980" s="326"/>
      <c r="P7980" s="318"/>
      <c r="Q7980" s="318"/>
      <c r="R7980" s="318"/>
      <c r="S7980" s="318"/>
      <c r="T7980" s="318"/>
      <c r="U7980" s="318"/>
      <c r="V7980" s="318"/>
      <c r="W7980" s="318"/>
      <c r="X7980" s="318"/>
      <c r="Y7980" s="318"/>
      <c r="Z7980" s="318"/>
      <c r="AA7980" s="318"/>
      <c r="AB7980" s="318"/>
      <c r="AC7980" s="318"/>
      <c r="AD7980" s="318"/>
    </row>
    <row r="7981" spans="2:30" s="323" customFormat="1" ht="12" customHeight="1">
      <c r="B7981" s="324"/>
      <c r="C7981" s="325"/>
      <c r="D7981" s="326"/>
      <c r="E7981" s="326"/>
      <c r="F7981" s="326"/>
      <c r="G7981" s="326"/>
      <c r="H7981" s="326"/>
      <c r="P7981" s="318"/>
      <c r="Q7981" s="318"/>
      <c r="R7981" s="318"/>
      <c r="S7981" s="318"/>
      <c r="T7981" s="318"/>
      <c r="U7981" s="318"/>
      <c r="V7981" s="318"/>
      <c r="W7981" s="318"/>
      <c r="X7981" s="318"/>
      <c r="Y7981" s="318"/>
      <c r="Z7981" s="318"/>
      <c r="AA7981" s="318"/>
      <c r="AB7981" s="318"/>
      <c r="AC7981" s="318"/>
      <c r="AD7981" s="318"/>
    </row>
    <row r="7982" spans="2:30" s="323" customFormat="1" ht="12" customHeight="1">
      <c r="B7982" s="324"/>
      <c r="C7982" s="325"/>
      <c r="D7982" s="326"/>
      <c r="E7982" s="326"/>
      <c r="F7982" s="326"/>
      <c r="G7982" s="326"/>
      <c r="H7982" s="326"/>
      <c r="P7982" s="318"/>
      <c r="Q7982" s="318"/>
      <c r="R7982" s="318"/>
      <c r="S7982" s="318"/>
      <c r="T7982" s="318"/>
      <c r="U7982" s="318"/>
      <c r="V7982" s="318"/>
      <c r="W7982" s="318"/>
      <c r="X7982" s="318"/>
      <c r="Y7982" s="318"/>
      <c r="Z7982" s="318"/>
      <c r="AA7982" s="318"/>
      <c r="AB7982" s="318"/>
      <c r="AC7982" s="318"/>
      <c r="AD7982" s="318"/>
    </row>
    <row r="7983" spans="2:30" s="323" customFormat="1" ht="12" customHeight="1">
      <c r="B7983" s="324"/>
      <c r="C7983" s="325"/>
      <c r="D7983" s="326"/>
      <c r="E7983" s="326"/>
      <c r="F7983" s="326"/>
      <c r="G7983" s="326"/>
      <c r="H7983" s="326"/>
      <c r="P7983" s="318"/>
      <c r="Q7983" s="318"/>
      <c r="R7983" s="318"/>
      <c r="S7983" s="318"/>
      <c r="T7983" s="318"/>
      <c r="U7983" s="318"/>
      <c r="V7983" s="318"/>
      <c r="W7983" s="318"/>
      <c r="X7983" s="318"/>
      <c r="Y7983" s="318"/>
      <c r="Z7983" s="318"/>
      <c r="AA7983" s="318"/>
      <c r="AB7983" s="318"/>
      <c r="AC7983" s="318"/>
      <c r="AD7983" s="318"/>
    </row>
    <row r="7984" spans="2:30" s="323" customFormat="1" ht="12" customHeight="1">
      <c r="B7984" s="324"/>
      <c r="C7984" s="325"/>
      <c r="D7984" s="326"/>
      <c r="E7984" s="326"/>
      <c r="F7984" s="326"/>
      <c r="G7984" s="326"/>
      <c r="H7984" s="326"/>
      <c r="P7984" s="318"/>
      <c r="Q7984" s="318"/>
      <c r="R7984" s="318"/>
      <c r="S7984" s="318"/>
      <c r="T7984" s="318"/>
      <c r="U7984" s="318"/>
      <c r="V7984" s="318"/>
      <c r="W7984" s="318"/>
      <c r="X7984" s="318"/>
      <c r="Y7984" s="318"/>
      <c r="Z7984" s="318"/>
      <c r="AA7984" s="318"/>
      <c r="AB7984" s="318"/>
      <c r="AC7984" s="318"/>
      <c r="AD7984" s="318"/>
    </row>
    <row r="7985" spans="2:30" s="323" customFormat="1" ht="12" customHeight="1">
      <c r="B7985" s="324"/>
      <c r="C7985" s="325"/>
      <c r="D7985" s="326"/>
      <c r="E7985" s="326"/>
      <c r="F7985" s="326"/>
      <c r="G7985" s="326"/>
      <c r="H7985" s="326"/>
      <c r="P7985" s="318"/>
      <c r="Q7985" s="318"/>
      <c r="R7985" s="318"/>
      <c r="S7985" s="318"/>
      <c r="T7985" s="318"/>
      <c r="U7985" s="318"/>
      <c r="V7985" s="318"/>
      <c r="W7985" s="318"/>
      <c r="X7985" s="318"/>
      <c r="Y7985" s="318"/>
      <c r="Z7985" s="318"/>
      <c r="AA7985" s="318"/>
      <c r="AB7985" s="318"/>
      <c r="AC7985" s="318"/>
      <c r="AD7985" s="318"/>
    </row>
    <row r="7986" spans="2:30" s="323" customFormat="1" ht="12" customHeight="1">
      <c r="B7986" s="324"/>
      <c r="C7986" s="325"/>
      <c r="D7986" s="326"/>
      <c r="E7986" s="326"/>
      <c r="F7986" s="326"/>
      <c r="G7986" s="326"/>
      <c r="H7986" s="326"/>
      <c r="P7986" s="318"/>
      <c r="Q7986" s="318"/>
      <c r="R7986" s="318"/>
      <c r="S7986" s="318"/>
      <c r="T7986" s="318"/>
      <c r="U7986" s="318"/>
      <c r="V7986" s="318"/>
      <c r="W7986" s="318"/>
      <c r="X7986" s="318"/>
      <c r="Y7986" s="318"/>
      <c r="Z7986" s="318"/>
      <c r="AA7986" s="318"/>
      <c r="AB7986" s="318"/>
      <c r="AC7986" s="318"/>
      <c r="AD7986" s="318"/>
    </row>
    <row r="7987" spans="2:30" s="323" customFormat="1" ht="12" customHeight="1">
      <c r="B7987" s="324"/>
      <c r="C7987" s="325"/>
      <c r="D7987" s="326"/>
      <c r="E7987" s="326"/>
      <c r="F7987" s="326"/>
      <c r="G7987" s="326"/>
      <c r="H7987" s="326"/>
      <c r="P7987" s="318"/>
      <c r="Q7987" s="318"/>
      <c r="R7987" s="318"/>
      <c r="S7987" s="318"/>
      <c r="T7987" s="318"/>
      <c r="U7987" s="318"/>
      <c r="V7987" s="318"/>
      <c r="W7987" s="318"/>
      <c r="X7987" s="318"/>
      <c r="Y7987" s="318"/>
      <c r="Z7987" s="318"/>
      <c r="AA7987" s="318"/>
      <c r="AB7987" s="318"/>
      <c r="AC7987" s="318"/>
      <c r="AD7987" s="318"/>
    </row>
    <row r="7988" spans="2:30" s="323" customFormat="1" ht="12" customHeight="1">
      <c r="B7988" s="324"/>
      <c r="C7988" s="325"/>
      <c r="D7988" s="326"/>
      <c r="E7988" s="326"/>
      <c r="F7988" s="326"/>
      <c r="G7988" s="326"/>
      <c r="H7988" s="326"/>
      <c r="P7988" s="318"/>
      <c r="Q7988" s="318"/>
      <c r="R7988" s="318"/>
      <c r="S7988" s="318"/>
      <c r="T7988" s="318"/>
      <c r="U7988" s="318"/>
      <c r="V7988" s="318"/>
      <c r="W7988" s="318"/>
      <c r="X7988" s="318"/>
      <c r="Y7988" s="318"/>
      <c r="Z7988" s="318"/>
      <c r="AA7988" s="318"/>
      <c r="AB7988" s="318"/>
      <c r="AC7988" s="318"/>
      <c r="AD7988" s="318"/>
    </row>
    <row r="7989" spans="2:30" s="323" customFormat="1" ht="12" customHeight="1">
      <c r="B7989" s="324"/>
      <c r="C7989" s="325"/>
      <c r="D7989" s="326"/>
      <c r="E7989" s="326"/>
      <c r="F7989" s="326"/>
      <c r="G7989" s="326"/>
      <c r="H7989" s="326"/>
      <c r="P7989" s="318"/>
      <c r="Q7989" s="318"/>
      <c r="R7989" s="318"/>
      <c r="S7989" s="318"/>
      <c r="T7989" s="318"/>
      <c r="U7989" s="318"/>
      <c r="V7989" s="318"/>
      <c r="W7989" s="318"/>
      <c r="X7989" s="318"/>
      <c r="Y7989" s="318"/>
      <c r="Z7989" s="318"/>
      <c r="AA7989" s="318"/>
      <c r="AB7989" s="318"/>
      <c r="AC7989" s="318"/>
      <c r="AD7989" s="318"/>
    </row>
    <row r="7990" spans="2:30" s="323" customFormat="1" ht="12" customHeight="1">
      <c r="B7990" s="324"/>
      <c r="C7990" s="325"/>
      <c r="D7990" s="326"/>
      <c r="E7990" s="326"/>
      <c r="F7990" s="326"/>
      <c r="G7990" s="326"/>
      <c r="H7990" s="326"/>
      <c r="P7990" s="318"/>
      <c r="Q7990" s="318"/>
      <c r="R7990" s="318"/>
      <c r="S7990" s="318"/>
      <c r="T7990" s="318"/>
      <c r="U7990" s="318"/>
      <c r="V7990" s="318"/>
      <c r="W7990" s="318"/>
      <c r="X7990" s="318"/>
      <c r="Y7990" s="318"/>
      <c r="Z7990" s="318"/>
      <c r="AA7990" s="318"/>
      <c r="AB7990" s="318"/>
      <c r="AC7990" s="318"/>
      <c r="AD7990" s="318"/>
    </row>
    <row r="7991" spans="2:30" s="323" customFormat="1" ht="12" customHeight="1">
      <c r="B7991" s="324"/>
      <c r="C7991" s="325"/>
      <c r="D7991" s="326"/>
      <c r="E7991" s="326"/>
      <c r="F7991" s="326"/>
      <c r="G7991" s="326"/>
      <c r="H7991" s="326"/>
      <c r="P7991" s="318"/>
      <c r="Q7991" s="318"/>
      <c r="R7991" s="318"/>
      <c r="S7991" s="318"/>
      <c r="T7991" s="318"/>
      <c r="U7991" s="318"/>
      <c r="V7991" s="318"/>
      <c r="W7991" s="318"/>
      <c r="X7991" s="318"/>
      <c r="Y7991" s="318"/>
      <c r="Z7991" s="318"/>
      <c r="AA7991" s="318"/>
      <c r="AB7991" s="318"/>
      <c r="AC7991" s="318"/>
      <c r="AD7991" s="318"/>
    </row>
    <row r="7992" spans="2:30" s="323" customFormat="1" ht="12" customHeight="1">
      <c r="B7992" s="324"/>
      <c r="C7992" s="325"/>
      <c r="D7992" s="326"/>
      <c r="E7992" s="326"/>
      <c r="F7992" s="326"/>
      <c r="G7992" s="326"/>
      <c r="H7992" s="326"/>
      <c r="P7992" s="318"/>
      <c r="Q7992" s="318"/>
      <c r="R7992" s="318"/>
      <c r="S7992" s="318"/>
      <c r="T7992" s="318"/>
      <c r="U7992" s="318"/>
      <c r="V7992" s="318"/>
      <c r="W7992" s="318"/>
      <c r="X7992" s="318"/>
      <c r="Y7992" s="318"/>
      <c r="Z7992" s="318"/>
      <c r="AA7992" s="318"/>
      <c r="AB7992" s="318"/>
      <c r="AC7992" s="318"/>
      <c r="AD7992" s="318"/>
    </row>
    <row r="7993" spans="2:30" s="323" customFormat="1" ht="12" customHeight="1">
      <c r="B7993" s="324"/>
      <c r="C7993" s="325"/>
      <c r="D7993" s="326"/>
      <c r="E7993" s="326"/>
      <c r="F7993" s="326"/>
      <c r="G7993" s="326"/>
      <c r="H7993" s="326"/>
      <c r="P7993" s="318"/>
      <c r="Q7993" s="318"/>
      <c r="R7993" s="318"/>
      <c r="S7993" s="318"/>
      <c r="T7993" s="318"/>
      <c r="U7993" s="318"/>
      <c r="V7993" s="318"/>
      <c r="W7993" s="318"/>
      <c r="X7993" s="318"/>
      <c r="Y7993" s="318"/>
      <c r="Z7993" s="318"/>
      <c r="AA7993" s="318"/>
      <c r="AB7993" s="318"/>
      <c r="AC7993" s="318"/>
      <c r="AD7993" s="318"/>
    </row>
    <row r="7994" spans="2:30" s="323" customFormat="1" ht="12" customHeight="1">
      <c r="B7994" s="324"/>
      <c r="C7994" s="325"/>
      <c r="D7994" s="326"/>
      <c r="E7994" s="326"/>
      <c r="F7994" s="326"/>
      <c r="G7994" s="326"/>
      <c r="H7994" s="326"/>
      <c r="P7994" s="318"/>
      <c r="Q7994" s="318"/>
      <c r="R7994" s="318"/>
      <c r="S7994" s="318"/>
      <c r="T7994" s="318"/>
      <c r="U7994" s="318"/>
      <c r="V7994" s="318"/>
      <c r="W7994" s="318"/>
      <c r="X7994" s="318"/>
      <c r="Y7994" s="318"/>
      <c r="Z7994" s="318"/>
      <c r="AA7994" s="318"/>
      <c r="AB7994" s="318"/>
      <c r="AC7994" s="318"/>
      <c r="AD7994" s="318"/>
    </row>
    <row r="7995" spans="2:30" s="323" customFormat="1" ht="12" customHeight="1">
      <c r="B7995" s="324"/>
      <c r="C7995" s="325"/>
      <c r="D7995" s="326"/>
      <c r="E7995" s="326"/>
      <c r="F7995" s="326"/>
      <c r="G7995" s="326"/>
      <c r="H7995" s="326"/>
      <c r="P7995" s="318"/>
      <c r="Q7995" s="318"/>
      <c r="R7995" s="318"/>
      <c r="S7995" s="318"/>
      <c r="T7995" s="318"/>
      <c r="U7995" s="318"/>
      <c r="V7995" s="318"/>
      <c r="W7995" s="318"/>
      <c r="X7995" s="318"/>
      <c r="Y7995" s="318"/>
      <c r="Z7995" s="318"/>
      <c r="AA7995" s="318"/>
      <c r="AB7995" s="318"/>
      <c r="AC7995" s="318"/>
      <c r="AD7995" s="318"/>
    </row>
    <row r="7996" spans="2:30" s="323" customFormat="1" ht="12" customHeight="1">
      <c r="B7996" s="324"/>
      <c r="C7996" s="325"/>
      <c r="D7996" s="326"/>
      <c r="E7996" s="326"/>
      <c r="F7996" s="326"/>
      <c r="G7996" s="326"/>
      <c r="H7996" s="326"/>
      <c r="P7996" s="318"/>
      <c r="Q7996" s="318"/>
      <c r="R7996" s="318"/>
      <c r="S7996" s="318"/>
      <c r="T7996" s="318"/>
      <c r="U7996" s="318"/>
      <c r="V7996" s="318"/>
      <c r="W7996" s="318"/>
      <c r="X7996" s="318"/>
      <c r="Y7996" s="318"/>
      <c r="Z7996" s="318"/>
      <c r="AA7996" s="318"/>
      <c r="AB7996" s="318"/>
      <c r="AC7996" s="318"/>
      <c r="AD7996" s="318"/>
    </row>
    <row r="7997" spans="2:30" s="323" customFormat="1" ht="12" customHeight="1">
      <c r="B7997" s="324"/>
      <c r="C7997" s="325"/>
      <c r="D7997" s="326"/>
      <c r="E7997" s="326"/>
      <c r="F7997" s="326"/>
      <c r="G7997" s="326"/>
      <c r="H7997" s="326"/>
      <c r="P7997" s="318"/>
      <c r="Q7997" s="318"/>
      <c r="R7997" s="318"/>
      <c r="S7997" s="318"/>
      <c r="T7997" s="318"/>
      <c r="U7997" s="318"/>
      <c r="V7997" s="318"/>
      <c r="W7997" s="318"/>
      <c r="X7997" s="318"/>
      <c r="Y7997" s="318"/>
      <c r="Z7997" s="318"/>
      <c r="AA7997" s="318"/>
      <c r="AB7997" s="318"/>
      <c r="AC7997" s="318"/>
      <c r="AD7997" s="318"/>
    </row>
    <row r="7998" spans="2:30" s="323" customFormat="1" ht="12" customHeight="1">
      <c r="B7998" s="324"/>
      <c r="C7998" s="325"/>
      <c r="D7998" s="326"/>
      <c r="E7998" s="326"/>
      <c r="F7998" s="326"/>
      <c r="G7998" s="326"/>
      <c r="H7998" s="326"/>
      <c r="P7998" s="318"/>
      <c r="Q7998" s="318"/>
      <c r="R7998" s="318"/>
      <c r="S7998" s="318"/>
      <c r="T7998" s="318"/>
      <c r="U7998" s="318"/>
      <c r="V7998" s="318"/>
      <c r="W7998" s="318"/>
      <c r="X7998" s="318"/>
      <c r="Y7998" s="318"/>
      <c r="Z7998" s="318"/>
      <c r="AA7998" s="318"/>
      <c r="AB7998" s="318"/>
      <c r="AC7998" s="318"/>
      <c r="AD7998" s="318"/>
    </row>
    <row r="7999" spans="2:30" s="323" customFormat="1" ht="12" customHeight="1">
      <c r="B7999" s="324"/>
      <c r="C7999" s="325"/>
      <c r="D7999" s="326"/>
      <c r="E7999" s="326"/>
      <c r="F7999" s="326"/>
      <c r="G7999" s="326"/>
      <c r="H7999" s="326"/>
      <c r="P7999" s="318"/>
      <c r="Q7999" s="318"/>
      <c r="R7999" s="318"/>
      <c r="S7999" s="318"/>
      <c r="T7999" s="318"/>
      <c r="U7999" s="318"/>
      <c r="V7999" s="318"/>
      <c r="W7999" s="318"/>
      <c r="X7999" s="318"/>
      <c r="Y7999" s="318"/>
      <c r="Z7999" s="318"/>
      <c r="AA7999" s="318"/>
      <c r="AB7999" s="318"/>
      <c r="AC7999" s="318"/>
      <c r="AD7999" s="318"/>
    </row>
    <row r="8000" spans="2:30" s="323" customFormat="1" ht="12" customHeight="1">
      <c r="B8000" s="324"/>
      <c r="C8000" s="325"/>
      <c r="D8000" s="326"/>
      <c r="E8000" s="326"/>
      <c r="F8000" s="326"/>
      <c r="G8000" s="326"/>
      <c r="H8000" s="326"/>
      <c r="P8000" s="318"/>
      <c r="Q8000" s="318"/>
      <c r="R8000" s="318"/>
      <c r="S8000" s="318"/>
      <c r="T8000" s="318"/>
      <c r="U8000" s="318"/>
      <c r="V8000" s="318"/>
      <c r="W8000" s="318"/>
      <c r="X8000" s="318"/>
      <c r="Y8000" s="318"/>
      <c r="Z8000" s="318"/>
      <c r="AA8000" s="318"/>
      <c r="AB8000" s="318"/>
      <c r="AC8000" s="318"/>
      <c r="AD8000" s="318"/>
    </row>
    <row r="8001" spans="2:30" s="323" customFormat="1" ht="12" customHeight="1">
      <c r="B8001" s="324"/>
      <c r="C8001" s="325"/>
      <c r="D8001" s="326"/>
      <c r="E8001" s="326"/>
      <c r="F8001" s="326"/>
      <c r="G8001" s="326"/>
      <c r="H8001" s="326"/>
      <c r="P8001" s="318"/>
      <c r="Q8001" s="318"/>
      <c r="R8001" s="318"/>
      <c r="S8001" s="318"/>
      <c r="T8001" s="318"/>
      <c r="U8001" s="318"/>
      <c r="V8001" s="318"/>
      <c r="W8001" s="318"/>
      <c r="X8001" s="318"/>
      <c r="Y8001" s="318"/>
      <c r="Z8001" s="318"/>
      <c r="AA8001" s="318"/>
      <c r="AB8001" s="318"/>
      <c r="AC8001" s="318"/>
      <c r="AD8001" s="318"/>
    </row>
    <row r="8002" spans="2:30" s="323" customFormat="1" ht="12" customHeight="1">
      <c r="B8002" s="324"/>
      <c r="C8002" s="325"/>
      <c r="D8002" s="326"/>
      <c r="E8002" s="326"/>
      <c r="F8002" s="326"/>
      <c r="G8002" s="326"/>
      <c r="H8002" s="326"/>
      <c r="P8002" s="318"/>
      <c r="Q8002" s="318"/>
      <c r="R8002" s="318"/>
      <c r="S8002" s="318"/>
      <c r="T8002" s="318"/>
      <c r="U8002" s="318"/>
      <c r="V8002" s="318"/>
      <c r="W8002" s="318"/>
      <c r="X8002" s="318"/>
      <c r="Y8002" s="318"/>
      <c r="Z8002" s="318"/>
      <c r="AA8002" s="318"/>
      <c r="AB8002" s="318"/>
      <c r="AC8002" s="318"/>
      <c r="AD8002" s="318"/>
    </row>
    <row r="8003" spans="2:30" s="323" customFormat="1" ht="12" customHeight="1">
      <c r="B8003" s="324"/>
      <c r="C8003" s="325"/>
      <c r="D8003" s="326"/>
      <c r="E8003" s="326"/>
      <c r="F8003" s="326"/>
      <c r="G8003" s="326"/>
      <c r="H8003" s="326"/>
      <c r="P8003" s="318"/>
      <c r="Q8003" s="318"/>
      <c r="R8003" s="318"/>
      <c r="S8003" s="318"/>
      <c r="T8003" s="318"/>
      <c r="U8003" s="318"/>
      <c r="V8003" s="318"/>
      <c r="W8003" s="318"/>
      <c r="X8003" s="318"/>
      <c r="Y8003" s="318"/>
      <c r="Z8003" s="318"/>
      <c r="AA8003" s="318"/>
      <c r="AB8003" s="318"/>
      <c r="AC8003" s="318"/>
      <c r="AD8003" s="318"/>
    </row>
    <row r="8004" spans="2:30" s="323" customFormat="1" ht="12" customHeight="1">
      <c r="B8004" s="324"/>
      <c r="C8004" s="325"/>
      <c r="D8004" s="326"/>
      <c r="E8004" s="326"/>
      <c r="F8004" s="326"/>
      <c r="G8004" s="326"/>
      <c r="H8004" s="326"/>
      <c r="P8004" s="318"/>
      <c r="Q8004" s="318"/>
      <c r="R8004" s="318"/>
      <c r="S8004" s="318"/>
      <c r="T8004" s="318"/>
      <c r="U8004" s="318"/>
      <c r="V8004" s="318"/>
      <c r="W8004" s="318"/>
      <c r="X8004" s="318"/>
      <c r="Y8004" s="318"/>
      <c r="Z8004" s="318"/>
      <c r="AA8004" s="318"/>
      <c r="AB8004" s="318"/>
      <c r="AC8004" s="318"/>
      <c r="AD8004" s="318"/>
    </row>
    <row r="8005" spans="2:30" s="323" customFormat="1" ht="12" customHeight="1">
      <c r="B8005" s="324"/>
      <c r="C8005" s="325"/>
      <c r="D8005" s="326"/>
      <c r="E8005" s="326"/>
      <c r="F8005" s="326"/>
      <c r="G8005" s="326"/>
      <c r="H8005" s="326"/>
      <c r="P8005" s="318"/>
      <c r="Q8005" s="318"/>
      <c r="R8005" s="318"/>
      <c r="S8005" s="318"/>
      <c r="T8005" s="318"/>
      <c r="U8005" s="318"/>
      <c r="V8005" s="318"/>
      <c r="W8005" s="318"/>
      <c r="X8005" s="318"/>
      <c r="Y8005" s="318"/>
      <c r="Z8005" s="318"/>
      <c r="AA8005" s="318"/>
      <c r="AB8005" s="318"/>
      <c r="AC8005" s="318"/>
      <c r="AD8005" s="318"/>
    </row>
    <row r="8006" spans="2:30" s="323" customFormat="1" ht="12" customHeight="1">
      <c r="B8006" s="324"/>
      <c r="C8006" s="325"/>
      <c r="D8006" s="326"/>
      <c r="E8006" s="326"/>
      <c r="F8006" s="326"/>
      <c r="G8006" s="326"/>
      <c r="H8006" s="326"/>
      <c r="P8006" s="318"/>
      <c r="Q8006" s="318"/>
      <c r="R8006" s="318"/>
      <c r="S8006" s="318"/>
      <c r="T8006" s="318"/>
      <c r="U8006" s="318"/>
      <c r="V8006" s="318"/>
      <c r="W8006" s="318"/>
      <c r="X8006" s="318"/>
      <c r="Y8006" s="318"/>
      <c r="Z8006" s="318"/>
      <c r="AA8006" s="318"/>
      <c r="AB8006" s="318"/>
      <c r="AC8006" s="318"/>
      <c r="AD8006" s="318"/>
    </row>
    <row r="8007" spans="2:30" s="323" customFormat="1" ht="12" customHeight="1">
      <c r="B8007" s="324"/>
      <c r="C8007" s="325"/>
      <c r="D8007" s="326"/>
      <c r="E8007" s="326"/>
      <c r="F8007" s="326"/>
      <c r="G8007" s="326"/>
      <c r="H8007" s="326"/>
      <c r="P8007" s="318"/>
      <c r="Q8007" s="318"/>
      <c r="R8007" s="318"/>
      <c r="S8007" s="318"/>
      <c r="T8007" s="318"/>
      <c r="U8007" s="318"/>
      <c r="V8007" s="318"/>
      <c r="W8007" s="318"/>
      <c r="X8007" s="318"/>
      <c r="Y8007" s="318"/>
      <c r="Z8007" s="318"/>
      <c r="AA8007" s="318"/>
      <c r="AB8007" s="318"/>
      <c r="AC8007" s="318"/>
      <c r="AD8007" s="318"/>
    </row>
    <row r="8008" spans="2:30" s="323" customFormat="1" ht="12" customHeight="1">
      <c r="B8008" s="324"/>
      <c r="C8008" s="325"/>
      <c r="D8008" s="326"/>
      <c r="E8008" s="326"/>
      <c r="F8008" s="326"/>
      <c r="G8008" s="326"/>
      <c r="H8008" s="326"/>
      <c r="P8008" s="318"/>
      <c r="Q8008" s="318"/>
      <c r="R8008" s="318"/>
      <c r="S8008" s="318"/>
      <c r="T8008" s="318"/>
      <c r="U8008" s="318"/>
      <c r="V8008" s="318"/>
      <c r="W8008" s="318"/>
      <c r="X8008" s="318"/>
      <c r="Y8008" s="318"/>
      <c r="Z8008" s="318"/>
      <c r="AA8008" s="318"/>
      <c r="AB8008" s="318"/>
      <c r="AC8008" s="318"/>
      <c r="AD8008" s="318"/>
    </row>
    <row r="8009" spans="2:30" s="323" customFormat="1" ht="12" customHeight="1">
      <c r="B8009" s="324"/>
      <c r="C8009" s="325"/>
      <c r="D8009" s="326"/>
      <c r="E8009" s="326"/>
      <c r="F8009" s="326"/>
      <c r="G8009" s="326"/>
      <c r="H8009" s="326"/>
      <c r="P8009" s="318"/>
      <c r="Q8009" s="318"/>
      <c r="R8009" s="318"/>
      <c r="S8009" s="318"/>
      <c r="T8009" s="318"/>
      <c r="U8009" s="318"/>
      <c r="V8009" s="318"/>
      <c r="W8009" s="318"/>
      <c r="X8009" s="318"/>
      <c r="Y8009" s="318"/>
      <c r="Z8009" s="318"/>
      <c r="AA8009" s="318"/>
      <c r="AB8009" s="318"/>
      <c r="AC8009" s="318"/>
      <c r="AD8009" s="318"/>
    </row>
    <row r="8010" spans="2:30" s="323" customFormat="1" ht="12" customHeight="1">
      <c r="B8010" s="324"/>
      <c r="C8010" s="325"/>
      <c r="D8010" s="326"/>
      <c r="E8010" s="326"/>
      <c r="F8010" s="326"/>
      <c r="G8010" s="326"/>
      <c r="H8010" s="326"/>
      <c r="P8010" s="318"/>
      <c r="Q8010" s="318"/>
      <c r="R8010" s="318"/>
      <c r="S8010" s="318"/>
      <c r="T8010" s="318"/>
      <c r="U8010" s="318"/>
      <c r="V8010" s="318"/>
      <c r="W8010" s="318"/>
      <c r="X8010" s="318"/>
      <c r="Y8010" s="318"/>
      <c r="Z8010" s="318"/>
      <c r="AA8010" s="318"/>
      <c r="AB8010" s="318"/>
      <c r="AC8010" s="318"/>
      <c r="AD8010" s="318"/>
    </row>
    <row r="8011" spans="2:30" s="323" customFormat="1" ht="12" customHeight="1">
      <c r="B8011" s="324"/>
      <c r="C8011" s="325"/>
      <c r="D8011" s="326"/>
      <c r="E8011" s="326"/>
      <c r="F8011" s="326"/>
      <c r="G8011" s="326"/>
      <c r="H8011" s="326"/>
      <c r="P8011" s="318"/>
      <c r="Q8011" s="318"/>
      <c r="R8011" s="318"/>
      <c r="S8011" s="318"/>
      <c r="T8011" s="318"/>
      <c r="U8011" s="318"/>
      <c r="V8011" s="318"/>
      <c r="W8011" s="318"/>
      <c r="X8011" s="318"/>
      <c r="Y8011" s="318"/>
      <c r="Z8011" s="318"/>
      <c r="AA8011" s="318"/>
      <c r="AB8011" s="318"/>
      <c r="AC8011" s="318"/>
      <c r="AD8011" s="318"/>
    </row>
    <row r="8012" spans="2:30" s="323" customFormat="1" ht="12" customHeight="1">
      <c r="B8012" s="324"/>
      <c r="C8012" s="325"/>
      <c r="D8012" s="326"/>
      <c r="E8012" s="326"/>
      <c r="F8012" s="326"/>
      <c r="G8012" s="326"/>
      <c r="H8012" s="326"/>
      <c r="P8012" s="318"/>
      <c r="Q8012" s="318"/>
      <c r="R8012" s="318"/>
      <c r="S8012" s="318"/>
      <c r="T8012" s="318"/>
      <c r="U8012" s="318"/>
      <c r="V8012" s="318"/>
      <c r="W8012" s="318"/>
      <c r="X8012" s="318"/>
      <c r="Y8012" s="318"/>
      <c r="Z8012" s="318"/>
      <c r="AA8012" s="318"/>
      <c r="AB8012" s="318"/>
      <c r="AC8012" s="318"/>
      <c r="AD8012" s="318"/>
    </row>
    <row r="8013" spans="2:30" s="323" customFormat="1" ht="12" customHeight="1">
      <c r="B8013" s="324"/>
      <c r="C8013" s="325"/>
      <c r="D8013" s="326"/>
      <c r="E8013" s="326"/>
      <c r="F8013" s="326"/>
      <c r="G8013" s="326"/>
      <c r="H8013" s="326"/>
      <c r="P8013" s="318"/>
      <c r="Q8013" s="318"/>
      <c r="R8013" s="318"/>
      <c r="S8013" s="318"/>
      <c r="T8013" s="318"/>
      <c r="U8013" s="318"/>
      <c r="V8013" s="318"/>
      <c r="W8013" s="318"/>
      <c r="X8013" s="318"/>
      <c r="Y8013" s="318"/>
      <c r="Z8013" s="318"/>
      <c r="AA8013" s="318"/>
      <c r="AB8013" s="318"/>
      <c r="AC8013" s="318"/>
      <c r="AD8013" s="318"/>
    </row>
    <row r="8014" spans="2:30" s="323" customFormat="1" ht="12" customHeight="1">
      <c r="B8014" s="324"/>
      <c r="C8014" s="325"/>
      <c r="D8014" s="326"/>
      <c r="E8014" s="326"/>
      <c r="F8014" s="326"/>
      <c r="G8014" s="326"/>
      <c r="H8014" s="326"/>
      <c r="P8014" s="318"/>
      <c r="Q8014" s="318"/>
      <c r="R8014" s="318"/>
      <c r="S8014" s="318"/>
      <c r="T8014" s="318"/>
      <c r="U8014" s="318"/>
      <c r="V8014" s="318"/>
      <c r="W8014" s="318"/>
      <c r="X8014" s="318"/>
      <c r="Y8014" s="318"/>
      <c r="Z8014" s="318"/>
      <c r="AA8014" s="318"/>
      <c r="AB8014" s="318"/>
      <c r="AC8014" s="318"/>
      <c r="AD8014" s="318"/>
    </row>
    <row r="8015" spans="2:30" s="323" customFormat="1" ht="12" customHeight="1">
      <c r="B8015" s="324"/>
      <c r="C8015" s="325"/>
      <c r="D8015" s="326"/>
      <c r="E8015" s="326"/>
      <c r="F8015" s="326"/>
      <c r="G8015" s="326"/>
      <c r="H8015" s="326"/>
      <c r="P8015" s="318"/>
      <c r="Q8015" s="318"/>
      <c r="R8015" s="318"/>
      <c r="S8015" s="318"/>
      <c r="T8015" s="318"/>
      <c r="U8015" s="318"/>
      <c r="V8015" s="318"/>
      <c r="W8015" s="318"/>
      <c r="X8015" s="318"/>
      <c r="Y8015" s="318"/>
      <c r="Z8015" s="318"/>
      <c r="AA8015" s="318"/>
      <c r="AB8015" s="318"/>
      <c r="AC8015" s="318"/>
      <c r="AD8015" s="318"/>
    </row>
    <row r="8016" spans="2:30" s="323" customFormat="1" ht="12" customHeight="1">
      <c r="B8016" s="324"/>
      <c r="C8016" s="325"/>
      <c r="D8016" s="326"/>
      <c r="E8016" s="326"/>
      <c r="F8016" s="326"/>
      <c r="G8016" s="326"/>
      <c r="H8016" s="326"/>
      <c r="P8016" s="318"/>
      <c r="Q8016" s="318"/>
      <c r="R8016" s="318"/>
      <c r="S8016" s="318"/>
      <c r="T8016" s="318"/>
      <c r="U8016" s="318"/>
      <c r="V8016" s="318"/>
      <c r="W8016" s="318"/>
      <c r="X8016" s="318"/>
      <c r="Y8016" s="318"/>
      <c r="Z8016" s="318"/>
      <c r="AA8016" s="318"/>
      <c r="AB8016" s="318"/>
      <c r="AC8016" s="318"/>
      <c r="AD8016" s="318"/>
    </row>
    <row r="8017" spans="2:30" s="323" customFormat="1" ht="12" customHeight="1">
      <c r="B8017" s="324"/>
      <c r="C8017" s="325"/>
      <c r="D8017" s="326"/>
      <c r="E8017" s="326"/>
      <c r="F8017" s="326"/>
      <c r="G8017" s="326"/>
      <c r="H8017" s="326"/>
      <c r="P8017" s="318"/>
      <c r="Q8017" s="318"/>
      <c r="R8017" s="318"/>
      <c r="S8017" s="318"/>
      <c r="T8017" s="318"/>
      <c r="U8017" s="318"/>
      <c r="V8017" s="318"/>
      <c r="W8017" s="318"/>
      <c r="X8017" s="318"/>
      <c r="Y8017" s="318"/>
      <c r="Z8017" s="318"/>
      <c r="AA8017" s="318"/>
      <c r="AB8017" s="318"/>
      <c r="AC8017" s="318"/>
      <c r="AD8017" s="318"/>
    </row>
    <row r="8018" spans="2:30" s="323" customFormat="1" ht="12" customHeight="1">
      <c r="B8018" s="324"/>
      <c r="C8018" s="325"/>
      <c r="D8018" s="326"/>
      <c r="E8018" s="326"/>
      <c r="F8018" s="326"/>
      <c r="G8018" s="326"/>
      <c r="H8018" s="326"/>
      <c r="P8018" s="318"/>
      <c r="Q8018" s="318"/>
      <c r="R8018" s="318"/>
      <c r="S8018" s="318"/>
      <c r="T8018" s="318"/>
      <c r="U8018" s="318"/>
      <c r="V8018" s="318"/>
      <c r="W8018" s="318"/>
      <c r="X8018" s="318"/>
      <c r="Y8018" s="318"/>
      <c r="Z8018" s="318"/>
      <c r="AA8018" s="318"/>
      <c r="AB8018" s="318"/>
      <c r="AC8018" s="318"/>
      <c r="AD8018" s="318"/>
    </row>
    <row r="8019" spans="2:30" s="323" customFormat="1" ht="12" customHeight="1">
      <c r="B8019" s="324"/>
      <c r="C8019" s="325"/>
      <c r="D8019" s="326"/>
      <c r="E8019" s="326"/>
      <c r="F8019" s="326"/>
      <c r="G8019" s="326"/>
      <c r="H8019" s="326"/>
      <c r="P8019" s="318"/>
      <c r="Q8019" s="318"/>
      <c r="R8019" s="318"/>
      <c r="S8019" s="318"/>
      <c r="T8019" s="318"/>
      <c r="U8019" s="318"/>
      <c r="V8019" s="318"/>
      <c r="W8019" s="318"/>
      <c r="X8019" s="318"/>
      <c r="Y8019" s="318"/>
      <c r="Z8019" s="318"/>
      <c r="AA8019" s="318"/>
      <c r="AB8019" s="318"/>
      <c r="AC8019" s="318"/>
      <c r="AD8019" s="318"/>
    </row>
    <row r="8020" spans="2:30" s="323" customFormat="1" ht="12" customHeight="1">
      <c r="B8020" s="324"/>
      <c r="C8020" s="325"/>
      <c r="D8020" s="326"/>
      <c r="E8020" s="326"/>
      <c r="F8020" s="326"/>
      <c r="G8020" s="326"/>
      <c r="H8020" s="326"/>
      <c r="P8020" s="318"/>
      <c r="Q8020" s="318"/>
      <c r="R8020" s="318"/>
      <c r="S8020" s="318"/>
      <c r="T8020" s="318"/>
      <c r="U8020" s="318"/>
      <c r="V8020" s="318"/>
      <c r="W8020" s="318"/>
      <c r="X8020" s="318"/>
      <c r="Y8020" s="318"/>
      <c r="Z8020" s="318"/>
      <c r="AA8020" s="318"/>
      <c r="AB8020" s="318"/>
      <c r="AC8020" s="318"/>
      <c r="AD8020" s="318"/>
    </row>
    <row r="8021" spans="2:30" s="323" customFormat="1" ht="12" customHeight="1">
      <c r="B8021" s="324"/>
      <c r="C8021" s="325"/>
      <c r="D8021" s="326"/>
      <c r="E8021" s="326"/>
      <c r="F8021" s="326"/>
      <c r="G8021" s="326"/>
      <c r="H8021" s="326"/>
      <c r="P8021" s="318"/>
      <c r="Q8021" s="318"/>
      <c r="R8021" s="318"/>
      <c r="S8021" s="318"/>
      <c r="T8021" s="318"/>
      <c r="U8021" s="318"/>
      <c r="V8021" s="318"/>
      <c r="W8021" s="318"/>
      <c r="X8021" s="318"/>
      <c r="Y8021" s="318"/>
      <c r="Z8021" s="318"/>
      <c r="AA8021" s="318"/>
      <c r="AB8021" s="318"/>
      <c r="AC8021" s="318"/>
      <c r="AD8021" s="318"/>
    </row>
    <row r="8022" spans="2:30" s="323" customFormat="1" ht="12" customHeight="1">
      <c r="B8022" s="324"/>
      <c r="C8022" s="325"/>
      <c r="D8022" s="326"/>
      <c r="E8022" s="326"/>
      <c r="F8022" s="326"/>
      <c r="G8022" s="326"/>
      <c r="H8022" s="326"/>
      <c r="P8022" s="318"/>
      <c r="Q8022" s="318"/>
      <c r="R8022" s="318"/>
      <c r="S8022" s="318"/>
      <c r="T8022" s="318"/>
      <c r="U8022" s="318"/>
      <c r="V8022" s="318"/>
      <c r="W8022" s="318"/>
      <c r="X8022" s="318"/>
      <c r="Y8022" s="318"/>
      <c r="Z8022" s="318"/>
      <c r="AA8022" s="318"/>
      <c r="AB8022" s="318"/>
      <c r="AC8022" s="318"/>
      <c r="AD8022" s="318"/>
    </row>
    <row r="8023" spans="2:30" s="323" customFormat="1" ht="12" customHeight="1">
      <c r="B8023" s="324"/>
      <c r="C8023" s="325"/>
      <c r="D8023" s="326"/>
      <c r="E8023" s="326"/>
      <c r="F8023" s="326"/>
      <c r="G8023" s="326"/>
      <c r="H8023" s="326"/>
      <c r="P8023" s="318"/>
      <c r="Q8023" s="318"/>
      <c r="R8023" s="318"/>
      <c r="S8023" s="318"/>
      <c r="T8023" s="318"/>
      <c r="U8023" s="318"/>
      <c r="V8023" s="318"/>
      <c r="W8023" s="318"/>
      <c r="X8023" s="318"/>
      <c r="Y8023" s="318"/>
      <c r="Z8023" s="318"/>
      <c r="AA8023" s="318"/>
      <c r="AB8023" s="318"/>
      <c r="AC8023" s="318"/>
      <c r="AD8023" s="318"/>
    </row>
    <row r="8024" spans="2:30" s="323" customFormat="1" ht="12" customHeight="1">
      <c r="B8024" s="324"/>
      <c r="C8024" s="325"/>
      <c r="D8024" s="326"/>
      <c r="E8024" s="326"/>
      <c r="F8024" s="326"/>
      <c r="G8024" s="326"/>
      <c r="H8024" s="326"/>
      <c r="P8024" s="318"/>
      <c r="Q8024" s="318"/>
      <c r="R8024" s="318"/>
      <c r="S8024" s="318"/>
      <c r="T8024" s="318"/>
      <c r="U8024" s="318"/>
      <c r="V8024" s="318"/>
      <c r="W8024" s="318"/>
      <c r="X8024" s="318"/>
      <c r="Y8024" s="318"/>
      <c r="Z8024" s="318"/>
      <c r="AA8024" s="318"/>
      <c r="AB8024" s="318"/>
      <c r="AC8024" s="318"/>
      <c r="AD8024" s="318"/>
    </row>
    <row r="8025" spans="2:30" s="323" customFormat="1" ht="12" customHeight="1">
      <c r="B8025" s="324"/>
      <c r="C8025" s="325"/>
      <c r="D8025" s="326"/>
      <c r="E8025" s="326"/>
      <c r="F8025" s="326"/>
      <c r="G8025" s="326"/>
      <c r="H8025" s="326"/>
      <c r="P8025" s="318"/>
      <c r="Q8025" s="318"/>
      <c r="R8025" s="318"/>
      <c r="S8025" s="318"/>
      <c r="T8025" s="318"/>
      <c r="U8025" s="318"/>
      <c r="V8025" s="318"/>
      <c r="W8025" s="318"/>
      <c r="X8025" s="318"/>
      <c r="Y8025" s="318"/>
      <c r="Z8025" s="318"/>
      <c r="AA8025" s="318"/>
      <c r="AB8025" s="318"/>
      <c r="AC8025" s="318"/>
      <c r="AD8025" s="318"/>
    </row>
    <row r="8026" spans="2:30" s="323" customFormat="1" ht="12" customHeight="1">
      <c r="B8026" s="324"/>
      <c r="C8026" s="325"/>
      <c r="D8026" s="326"/>
      <c r="E8026" s="326"/>
      <c r="F8026" s="326"/>
      <c r="G8026" s="326"/>
      <c r="H8026" s="326"/>
      <c r="P8026" s="318"/>
      <c r="Q8026" s="318"/>
      <c r="R8026" s="318"/>
      <c r="S8026" s="318"/>
      <c r="T8026" s="318"/>
      <c r="U8026" s="318"/>
      <c r="V8026" s="318"/>
      <c r="W8026" s="318"/>
      <c r="X8026" s="318"/>
      <c r="Y8026" s="318"/>
      <c r="Z8026" s="318"/>
      <c r="AA8026" s="318"/>
      <c r="AB8026" s="318"/>
      <c r="AC8026" s="318"/>
      <c r="AD8026" s="318"/>
    </row>
    <row r="8027" spans="2:30" s="323" customFormat="1" ht="12" customHeight="1">
      <c r="B8027" s="324"/>
      <c r="C8027" s="325"/>
      <c r="D8027" s="326"/>
      <c r="E8027" s="326"/>
      <c r="F8027" s="326"/>
      <c r="G8027" s="326"/>
      <c r="H8027" s="326"/>
      <c r="P8027" s="318"/>
      <c r="Q8027" s="318"/>
      <c r="R8027" s="318"/>
      <c r="S8027" s="318"/>
      <c r="T8027" s="318"/>
      <c r="U8027" s="318"/>
      <c r="V8027" s="318"/>
      <c r="W8027" s="318"/>
      <c r="X8027" s="318"/>
      <c r="Y8027" s="318"/>
      <c r="Z8027" s="318"/>
      <c r="AA8027" s="318"/>
      <c r="AB8027" s="318"/>
      <c r="AC8027" s="318"/>
      <c r="AD8027" s="318"/>
    </row>
    <row r="8028" spans="2:30" s="323" customFormat="1" ht="12" customHeight="1">
      <c r="B8028" s="324"/>
      <c r="C8028" s="325"/>
      <c r="D8028" s="326"/>
      <c r="E8028" s="326"/>
      <c r="F8028" s="326"/>
      <c r="G8028" s="326"/>
      <c r="H8028" s="326"/>
      <c r="P8028" s="318"/>
      <c r="Q8028" s="318"/>
      <c r="R8028" s="318"/>
      <c r="S8028" s="318"/>
      <c r="T8028" s="318"/>
      <c r="U8028" s="318"/>
      <c r="V8028" s="318"/>
      <c r="W8028" s="318"/>
      <c r="X8028" s="318"/>
      <c r="Y8028" s="318"/>
      <c r="Z8028" s="318"/>
      <c r="AA8028" s="318"/>
      <c r="AB8028" s="318"/>
      <c r="AC8028" s="318"/>
      <c r="AD8028" s="318"/>
    </row>
    <row r="8029" spans="2:30" s="323" customFormat="1" ht="12" customHeight="1">
      <c r="B8029" s="324"/>
      <c r="C8029" s="325"/>
      <c r="D8029" s="326"/>
      <c r="E8029" s="326"/>
      <c r="F8029" s="326"/>
      <c r="G8029" s="326"/>
      <c r="H8029" s="326"/>
      <c r="P8029" s="318"/>
      <c r="Q8029" s="318"/>
      <c r="R8029" s="318"/>
      <c r="S8029" s="318"/>
      <c r="T8029" s="318"/>
      <c r="U8029" s="318"/>
      <c r="V8029" s="318"/>
      <c r="W8029" s="318"/>
      <c r="X8029" s="318"/>
      <c r="Y8029" s="318"/>
      <c r="Z8029" s="318"/>
      <c r="AA8029" s="318"/>
      <c r="AB8029" s="318"/>
      <c r="AC8029" s="318"/>
      <c r="AD8029" s="318"/>
    </row>
    <row r="8030" spans="2:30" s="323" customFormat="1" ht="12" customHeight="1">
      <c r="B8030" s="324"/>
      <c r="C8030" s="325"/>
      <c r="D8030" s="326"/>
      <c r="E8030" s="326"/>
      <c r="F8030" s="326"/>
      <c r="G8030" s="326"/>
      <c r="H8030" s="326"/>
      <c r="P8030" s="318"/>
      <c r="Q8030" s="318"/>
      <c r="R8030" s="318"/>
      <c r="S8030" s="318"/>
      <c r="T8030" s="318"/>
      <c r="U8030" s="318"/>
      <c r="V8030" s="318"/>
      <c r="W8030" s="318"/>
      <c r="X8030" s="318"/>
      <c r="Y8030" s="318"/>
      <c r="Z8030" s="318"/>
      <c r="AA8030" s="318"/>
      <c r="AB8030" s="318"/>
      <c r="AC8030" s="318"/>
      <c r="AD8030" s="318"/>
    </row>
    <row r="8031" spans="2:30" s="323" customFormat="1" ht="12" customHeight="1">
      <c r="B8031" s="324"/>
      <c r="C8031" s="325"/>
      <c r="D8031" s="326"/>
      <c r="E8031" s="326"/>
      <c r="F8031" s="326"/>
      <c r="G8031" s="326"/>
      <c r="H8031" s="326"/>
      <c r="P8031" s="318"/>
      <c r="Q8031" s="318"/>
      <c r="R8031" s="318"/>
      <c r="S8031" s="318"/>
      <c r="T8031" s="318"/>
      <c r="U8031" s="318"/>
      <c r="V8031" s="318"/>
      <c r="W8031" s="318"/>
      <c r="X8031" s="318"/>
      <c r="Y8031" s="318"/>
      <c r="Z8031" s="318"/>
      <c r="AA8031" s="318"/>
      <c r="AB8031" s="318"/>
      <c r="AC8031" s="318"/>
      <c r="AD8031" s="318"/>
    </row>
    <row r="8032" spans="2:30" s="323" customFormat="1" ht="12" customHeight="1">
      <c r="B8032" s="324"/>
      <c r="C8032" s="325"/>
      <c r="D8032" s="326"/>
      <c r="E8032" s="326"/>
      <c r="F8032" s="326"/>
      <c r="G8032" s="326"/>
      <c r="H8032" s="326"/>
      <c r="P8032" s="318"/>
      <c r="Q8032" s="318"/>
      <c r="R8032" s="318"/>
      <c r="S8032" s="318"/>
      <c r="T8032" s="318"/>
      <c r="U8032" s="318"/>
      <c r="V8032" s="318"/>
      <c r="W8032" s="318"/>
      <c r="X8032" s="318"/>
      <c r="Y8032" s="318"/>
      <c r="Z8032" s="318"/>
      <c r="AA8032" s="318"/>
      <c r="AB8032" s="318"/>
      <c r="AC8032" s="318"/>
      <c r="AD8032" s="318"/>
    </row>
    <row r="8033" spans="2:30" s="323" customFormat="1" ht="12" customHeight="1">
      <c r="B8033" s="324"/>
      <c r="C8033" s="325"/>
      <c r="D8033" s="326"/>
      <c r="E8033" s="326"/>
      <c r="F8033" s="326"/>
      <c r="G8033" s="326"/>
      <c r="H8033" s="326"/>
      <c r="P8033" s="318"/>
      <c r="Q8033" s="318"/>
      <c r="R8033" s="318"/>
      <c r="S8033" s="318"/>
      <c r="T8033" s="318"/>
      <c r="U8033" s="318"/>
      <c r="V8033" s="318"/>
      <c r="W8033" s="318"/>
      <c r="X8033" s="318"/>
      <c r="Y8033" s="318"/>
      <c r="Z8033" s="318"/>
      <c r="AA8033" s="318"/>
      <c r="AB8033" s="318"/>
      <c r="AC8033" s="318"/>
      <c r="AD8033" s="318"/>
    </row>
    <row r="8034" spans="2:30" s="323" customFormat="1" ht="12" customHeight="1">
      <c r="B8034" s="324"/>
      <c r="C8034" s="325"/>
      <c r="D8034" s="326"/>
      <c r="E8034" s="326"/>
      <c r="F8034" s="326"/>
      <c r="G8034" s="326"/>
      <c r="H8034" s="326"/>
      <c r="P8034" s="318"/>
      <c r="Q8034" s="318"/>
      <c r="R8034" s="318"/>
      <c r="S8034" s="318"/>
      <c r="T8034" s="318"/>
      <c r="U8034" s="318"/>
      <c r="V8034" s="318"/>
      <c r="W8034" s="318"/>
      <c r="X8034" s="318"/>
      <c r="Y8034" s="318"/>
      <c r="Z8034" s="318"/>
      <c r="AA8034" s="318"/>
      <c r="AB8034" s="318"/>
      <c r="AC8034" s="318"/>
      <c r="AD8034" s="318"/>
    </row>
    <row r="8035" spans="2:30" s="323" customFormat="1" ht="12" customHeight="1">
      <c r="B8035" s="324"/>
      <c r="C8035" s="325"/>
      <c r="D8035" s="326"/>
      <c r="E8035" s="326"/>
      <c r="F8035" s="326"/>
      <c r="G8035" s="326"/>
      <c r="H8035" s="326"/>
      <c r="P8035" s="318"/>
      <c r="Q8035" s="318"/>
      <c r="R8035" s="318"/>
      <c r="S8035" s="318"/>
      <c r="T8035" s="318"/>
      <c r="U8035" s="318"/>
      <c r="V8035" s="318"/>
      <c r="W8035" s="318"/>
      <c r="X8035" s="318"/>
      <c r="Y8035" s="318"/>
      <c r="Z8035" s="318"/>
      <c r="AA8035" s="318"/>
      <c r="AB8035" s="318"/>
      <c r="AC8035" s="318"/>
      <c r="AD8035" s="318"/>
    </row>
    <row r="8036" spans="2:30" s="323" customFormat="1" ht="12" customHeight="1">
      <c r="B8036" s="324"/>
      <c r="C8036" s="325"/>
      <c r="D8036" s="326"/>
      <c r="E8036" s="326"/>
      <c r="F8036" s="326"/>
      <c r="G8036" s="326"/>
      <c r="H8036" s="326"/>
      <c r="P8036" s="318"/>
      <c r="Q8036" s="318"/>
      <c r="R8036" s="318"/>
      <c r="S8036" s="318"/>
      <c r="T8036" s="318"/>
      <c r="U8036" s="318"/>
      <c r="V8036" s="318"/>
      <c r="W8036" s="318"/>
      <c r="X8036" s="318"/>
      <c r="Y8036" s="318"/>
      <c r="Z8036" s="318"/>
      <c r="AA8036" s="318"/>
      <c r="AB8036" s="318"/>
      <c r="AC8036" s="318"/>
      <c r="AD8036" s="318"/>
    </row>
    <row r="8037" spans="2:30" s="323" customFormat="1" ht="12" customHeight="1">
      <c r="B8037" s="324"/>
      <c r="C8037" s="325"/>
      <c r="D8037" s="326"/>
      <c r="E8037" s="326"/>
      <c r="F8037" s="326"/>
      <c r="G8037" s="326"/>
      <c r="H8037" s="326"/>
      <c r="P8037" s="318"/>
      <c r="Q8037" s="318"/>
      <c r="R8037" s="318"/>
      <c r="S8037" s="318"/>
      <c r="T8037" s="318"/>
      <c r="U8037" s="318"/>
      <c r="V8037" s="318"/>
      <c r="W8037" s="318"/>
      <c r="X8037" s="318"/>
      <c r="Y8037" s="318"/>
      <c r="Z8037" s="318"/>
      <c r="AA8037" s="318"/>
      <c r="AB8037" s="318"/>
      <c r="AC8037" s="318"/>
      <c r="AD8037" s="318"/>
    </row>
    <row r="8038" spans="2:30" s="323" customFormat="1" ht="12" customHeight="1">
      <c r="B8038" s="324"/>
      <c r="C8038" s="325"/>
      <c r="D8038" s="326"/>
      <c r="E8038" s="326"/>
      <c r="F8038" s="326"/>
      <c r="G8038" s="326"/>
      <c r="H8038" s="326"/>
      <c r="P8038" s="318"/>
      <c r="Q8038" s="318"/>
      <c r="R8038" s="318"/>
      <c r="S8038" s="318"/>
      <c r="T8038" s="318"/>
      <c r="U8038" s="318"/>
      <c r="V8038" s="318"/>
      <c r="W8038" s="318"/>
      <c r="X8038" s="318"/>
      <c r="Y8038" s="318"/>
      <c r="Z8038" s="318"/>
      <c r="AA8038" s="318"/>
      <c r="AB8038" s="318"/>
      <c r="AC8038" s="318"/>
      <c r="AD8038" s="318"/>
    </row>
    <row r="8039" spans="2:30" s="323" customFormat="1" ht="12" customHeight="1">
      <c r="B8039" s="324"/>
      <c r="C8039" s="325"/>
      <c r="D8039" s="326"/>
      <c r="E8039" s="326"/>
      <c r="F8039" s="326"/>
      <c r="G8039" s="326"/>
      <c r="H8039" s="326"/>
      <c r="P8039" s="318"/>
      <c r="Q8039" s="318"/>
      <c r="R8039" s="318"/>
      <c r="S8039" s="318"/>
      <c r="T8039" s="318"/>
      <c r="U8039" s="318"/>
      <c r="V8039" s="318"/>
      <c r="W8039" s="318"/>
      <c r="X8039" s="318"/>
      <c r="Y8039" s="318"/>
      <c r="Z8039" s="318"/>
      <c r="AA8039" s="318"/>
      <c r="AB8039" s="318"/>
      <c r="AC8039" s="318"/>
      <c r="AD8039" s="318"/>
    </row>
    <row r="8040" spans="2:30" s="323" customFormat="1" ht="12" customHeight="1">
      <c r="B8040" s="324"/>
      <c r="C8040" s="325"/>
      <c r="D8040" s="326"/>
      <c r="E8040" s="326"/>
      <c r="F8040" s="326"/>
      <c r="G8040" s="326"/>
      <c r="H8040" s="326"/>
      <c r="P8040" s="318"/>
      <c r="Q8040" s="318"/>
      <c r="R8040" s="318"/>
      <c r="S8040" s="318"/>
      <c r="T8040" s="318"/>
      <c r="U8040" s="318"/>
      <c r="V8040" s="318"/>
      <c r="W8040" s="318"/>
      <c r="X8040" s="318"/>
      <c r="Y8040" s="318"/>
      <c r="Z8040" s="318"/>
      <c r="AA8040" s="318"/>
      <c r="AB8040" s="318"/>
      <c r="AC8040" s="318"/>
      <c r="AD8040" s="318"/>
    </row>
    <row r="8041" spans="2:30" s="323" customFormat="1" ht="12" customHeight="1">
      <c r="B8041" s="324"/>
      <c r="C8041" s="325"/>
      <c r="D8041" s="326"/>
      <c r="E8041" s="326"/>
      <c r="F8041" s="326"/>
      <c r="G8041" s="326"/>
      <c r="H8041" s="326"/>
      <c r="P8041" s="318"/>
      <c r="Q8041" s="318"/>
      <c r="R8041" s="318"/>
      <c r="S8041" s="318"/>
      <c r="T8041" s="318"/>
      <c r="U8041" s="318"/>
      <c r="V8041" s="318"/>
      <c r="W8041" s="318"/>
      <c r="X8041" s="318"/>
      <c r="Y8041" s="318"/>
      <c r="Z8041" s="318"/>
      <c r="AA8041" s="318"/>
      <c r="AB8041" s="318"/>
      <c r="AC8041" s="318"/>
      <c r="AD8041" s="318"/>
    </row>
    <row r="8042" spans="2:30" s="323" customFormat="1" ht="12" customHeight="1">
      <c r="B8042" s="324"/>
      <c r="C8042" s="325"/>
      <c r="D8042" s="326"/>
      <c r="E8042" s="326"/>
      <c r="F8042" s="326"/>
      <c r="G8042" s="326"/>
      <c r="H8042" s="326"/>
      <c r="P8042" s="318"/>
      <c r="Q8042" s="318"/>
      <c r="R8042" s="318"/>
      <c r="S8042" s="318"/>
      <c r="T8042" s="318"/>
      <c r="U8042" s="318"/>
      <c r="V8042" s="318"/>
      <c r="W8042" s="318"/>
      <c r="X8042" s="318"/>
      <c r="Y8042" s="318"/>
      <c r="Z8042" s="318"/>
      <c r="AA8042" s="318"/>
      <c r="AB8042" s="318"/>
      <c r="AC8042" s="318"/>
      <c r="AD8042" s="318"/>
    </row>
    <row r="8043" spans="2:30" s="323" customFormat="1" ht="12" customHeight="1">
      <c r="B8043" s="324"/>
      <c r="C8043" s="325"/>
      <c r="D8043" s="326"/>
      <c r="E8043" s="326"/>
      <c r="F8043" s="326"/>
      <c r="G8043" s="326"/>
      <c r="H8043" s="326"/>
      <c r="P8043" s="318"/>
      <c r="Q8043" s="318"/>
      <c r="R8043" s="318"/>
      <c r="S8043" s="318"/>
      <c r="T8043" s="318"/>
      <c r="U8043" s="318"/>
      <c r="V8043" s="318"/>
      <c r="W8043" s="318"/>
      <c r="X8043" s="318"/>
      <c r="Y8043" s="318"/>
      <c r="Z8043" s="318"/>
      <c r="AA8043" s="318"/>
      <c r="AB8043" s="318"/>
      <c r="AC8043" s="318"/>
      <c r="AD8043" s="318"/>
    </row>
    <row r="8044" spans="2:30" s="323" customFormat="1" ht="12" customHeight="1">
      <c r="B8044" s="324"/>
      <c r="C8044" s="325"/>
      <c r="D8044" s="326"/>
      <c r="E8044" s="326"/>
      <c r="F8044" s="326"/>
      <c r="G8044" s="326"/>
      <c r="H8044" s="326"/>
      <c r="P8044" s="318"/>
      <c r="Q8044" s="318"/>
      <c r="R8044" s="318"/>
      <c r="S8044" s="318"/>
      <c r="T8044" s="318"/>
      <c r="U8044" s="318"/>
      <c r="V8044" s="318"/>
      <c r="W8044" s="318"/>
      <c r="X8044" s="318"/>
      <c r="Y8044" s="318"/>
      <c r="Z8044" s="318"/>
      <c r="AA8044" s="318"/>
      <c r="AB8044" s="318"/>
      <c r="AC8044" s="318"/>
      <c r="AD8044" s="318"/>
    </row>
    <row r="8045" spans="2:30" s="323" customFormat="1" ht="12" customHeight="1">
      <c r="B8045" s="324"/>
      <c r="C8045" s="325"/>
      <c r="D8045" s="326"/>
      <c r="E8045" s="326"/>
      <c r="F8045" s="326"/>
      <c r="G8045" s="326"/>
      <c r="H8045" s="326"/>
      <c r="P8045" s="318"/>
      <c r="Q8045" s="318"/>
      <c r="R8045" s="318"/>
      <c r="S8045" s="318"/>
      <c r="T8045" s="318"/>
      <c r="U8045" s="318"/>
      <c r="V8045" s="318"/>
      <c r="W8045" s="318"/>
      <c r="X8045" s="318"/>
      <c r="Y8045" s="318"/>
      <c r="Z8045" s="318"/>
      <c r="AA8045" s="318"/>
      <c r="AB8045" s="318"/>
      <c r="AC8045" s="318"/>
      <c r="AD8045" s="318"/>
    </row>
    <row r="8046" spans="2:30" s="323" customFormat="1" ht="12" customHeight="1">
      <c r="B8046" s="324"/>
      <c r="C8046" s="325"/>
      <c r="D8046" s="326"/>
      <c r="E8046" s="326"/>
      <c r="F8046" s="326"/>
      <c r="G8046" s="326"/>
      <c r="H8046" s="326"/>
      <c r="P8046" s="318"/>
      <c r="Q8046" s="318"/>
      <c r="R8046" s="318"/>
      <c r="S8046" s="318"/>
      <c r="T8046" s="318"/>
      <c r="U8046" s="318"/>
      <c r="V8046" s="318"/>
      <c r="W8046" s="318"/>
      <c r="X8046" s="318"/>
      <c r="Y8046" s="318"/>
      <c r="Z8046" s="318"/>
      <c r="AA8046" s="318"/>
      <c r="AB8046" s="318"/>
      <c r="AC8046" s="318"/>
      <c r="AD8046" s="318"/>
    </row>
    <row r="8047" spans="2:30" s="323" customFormat="1" ht="12" customHeight="1">
      <c r="B8047" s="324"/>
      <c r="C8047" s="325"/>
      <c r="D8047" s="326"/>
      <c r="E8047" s="326"/>
      <c r="F8047" s="326"/>
      <c r="G8047" s="326"/>
      <c r="H8047" s="326"/>
      <c r="P8047" s="318"/>
      <c r="Q8047" s="318"/>
      <c r="R8047" s="318"/>
      <c r="S8047" s="318"/>
      <c r="T8047" s="318"/>
      <c r="U8047" s="318"/>
      <c r="V8047" s="318"/>
      <c r="W8047" s="318"/>
      <c r="X8047" s="318"/>
      <c r="Y8047" s="318"/>
      <c r="Z8047" s="318"/>
      <c r="AA8047" s="318"/>
      <c r="AB8047" s="318"/>
      <c r="AC8047" s="318"/>
      <c r="AD8047" s="318"/>
    </row>
    <row r="8048" spans="2:30" s="323" customFormat="1" ht="12" customHeight="1">
      <c r="B8048" s="324"/>
      <c r="C8048" s="325"/>
      <c r="D8048" s="326"/>
      <c r="E8048" s="326"/>
      <c r="F8048" s="326"/>
      <c r="G8048" s="326"/>
      <c r="H8048" s="326"/>
      <c r="P8048" s="318"/>
      <c r="Q8048" s="318"/>
      <c r="R8048" s="318"/>
      <c r="S8048" s="318"/>
      <c r="T8048" s="318"/>
      <c r="U8048" s="318"/>
      <c r="V8048" s="318"/>
      <c r="W8048" s="318"/>
      <c r="X8048" s="318"/>
      <c r="Y8048" s="318"/>
      <c r="Z8048" s="318"/>
      <c r="AA8048" s="318"/>
      <c r="AB8048" s="318"/>
      <c r="AC8048" s="318"/>
      <c r="AD8048" s="318"/>
    </row>
    <row r="8049" spans="2:30" s="323" customFormat="1" ht="12" customHeight="1">
      <c r="B8049" s="324"/>
      <c r="C8049" s="325"/>
      <c r="D8049" s="326"/>
      <c r="E8049" s="326"/>
      <c r="F8049" s="326"/>
      <c r="G8049" s="326"/>
      <c r="H8049" s="326"/>
      <c r="P8049" s="318"/>
      <c r="Q8049" s="318"/>
      <c r="R8049" s="318"/>
      <c r="S8049" s="318"/>
      <c r="T8049" s="318"/>
      <c r="U8049" s="318"/>
      <c r="V8049" s="318"/>
      <c r="W8049" s="318"/>
      <c r="X8049" s="318"/>
      <c r="Y8049" s="318"/>
      <c r="Z8049" s="318"/>
      <c r="AA8049" s="318"/>
      <c r="AB8049" s="318"/>
      <c r="AC8049" s="318"/>
      <c r="AD8049" s="318"/>
    </row>
    <row r="8050" spans="2:30" s="323" customFormat="1" ht="12" customHeight="1">
      <c r="B8050" s="324"/>
      <c r="C8050" s="325"/>
      <c r="D8050" s="326"/>
      <c r="E8050" s="326"/>
      <c r="F8050" s="326"/>
      <c r="G8050" s="326"/>
      <c r="H8050" s="326"/>
      <c r="P8050" s="318"/>
      <c r="Q8050" s="318"/>
      <c r="R8050" s="318"/>
      <c r="S8050" s="318"/>
      <c r="T8050" s="318"/>
      <c r="U8050" s="318"/>
      <c r="V8050" s="318"/>
      <c r="W8050" s="318"/>
      <c r="X8050" s="318"/>
      <c r="Y8050" s="318"/>
      <c r="Z8050" s="318"/>
      <c r="AA8050" s="318"/>
      <c r="AB8050" s="318"/>
      <c r="AC8050" s="318"/>
      <c r="AD8050" s="318"/>
    </row>
    <row r="8051" spans="2:30" s="323" customFormat="1" ht="12" customHeight="1">
      <c r="B8051" s="324"/>
      <c r="C8051" s="325"/>
      <c r="D8051" s="326"/>
      <c r="E8051" s="326"/>
      <c r="F8051" s="326"/>
      <c r="G8051" s="326"/>
      <c r="H8051" s="326"/>
      <c r="P8051" s="318"/>
      <c r="Q8051" s="318"/>
      <c r="R8051" s="318"/>
      <c r="S8051" s="318"/>
      <c r="T8051" s="318"/>
      <c r="U8051" s="318"/>
      <c r="V8051" s="318"/>
      <c r="W8051" s="318"/>
      <c r="X8051" s="318"/>
      <c r="Y8051" s="318"/>
      <c r="Z8051" s="318"/>
      <c r="AA8051" s="318"/>
      <c r="AB8051" s="318"/>
      <c r="AC8051" s="318"/>
      <c r="AD8051" s="318"/>
    </row>
    <row r="8052" spans="2:30" s="323" customFormat="1" ht="12" customHeight="1">
      <c r="B8052" s="324"/>
      <c r="C8052" s="325"/>
      <c r="D8052" s="326"/>
      <c r="E8052" s="326"/>
      <c r="F8052" s="326"/>
      <c r="G8052" s="326"/>
      <c r="H8052" s="326"/>
      <c r="P8052" s="318"/>
      <c r="Q8052" s="318"/>
      <c r="R8052" s="318"/>
      <c r="S8052" s="318"/>
      <c r="T8052" s="318"/>
      <c r="U8052" s="318"/>
      <c r="V8052" s="318"/>
      <c r="W8052" s="318"/>
      <c r="X8052" s="318"/>
      <c r="Y8052" s="318"/>
      <c r="Z8052" s="318"/>
      <c r="AA8052" s="318"/>
      <c r="AB8052" s="318"/>
      <c r="AC8052" s="318"/>
      <c r="AD8052" s="318"/>
    </row>
    <row r="8053" spans="2:30" s="323" customFormat="1" ht="12" customHeight="1">
      <c r="B8053" s="324"/>
      <c r="C8053" s="325"/>
      <c r="D8053" s="326"/>
      <c r="E8053" s="326"/>
      <c r="F8053" s="326"/>
      <c r="G8053" s="326"/>
      <c r="H8053" s="326"/>
      <c r="P8053" s="318"/>
      <c r="Q8053" s="318"/>
      <c r="R8053" s="318"/>
      <c r="S8053" s="318"/>
      <c r="T8053" s="318"/>
      <c r="U8053" s="318"/>
      <c r="V8053" s="318"/>
      <c r="W8053" s="318"/>
      <c r="X8053" s="318"/>
      <c r="Y8053" s="318"/>
      <c r="Z8053" s="318"/>
      <c r="AA8053" s="318"/>
      <c r="AB8053" s="318"/>
      <c r="AC8053" s="318"/>
      <c r="AD8053" s="318"/>
    </row>
    <row r="8054" spans="2:30" s="323" customFormat="1" ht="12" customHeight="1">
      <c r="B8054" s="324"/>
      <c r="C8054" s="325"/>
      <c r="D8054" s="326"/>
      <c r="E8054" s="326"/>
      <c r="F8054" s="326"/>
      <c r="G8054" s="326"/>
      <c r="H8054" s="326"/>
      <c r="P8054" s="318"/>
      <c r="Q8054" s="318"/>
      <c r="R8054" s="318"/>
      <c r="S8054" s="318"/>
      <c r="T8054" s="318"/>
      <c r="U8054" s="318"/>
      <c r="V8054" s="318"/>
      <c r="W8054" s="318"/>
      <c r="X8054" s="318"/>
      <c r="Y8054" s="318"/>
      <c r="Z8054" s="318"/>
      <c r="AA8054" s="318"/>
      <c r="AB8054" s="318"/>
      <c r="AC8054" s="318"/>
      <c r="AD8054" s="318"/>
    </row>
    <row r="8055" spans="2:30" s="323" customFormat="1" ht="12" customHeight="1">
      <c r="B8055" s="324"/>
      <c r="C8055" s="325"/>
      <c r="D8055" s="326"/>
      <c r="E8055" s="326"/>
      <c r="F8055" s="326"/>
      <c r="G8055" s="326"/>
      <c r="H8055" s="326"/>
      <c r="P8055" s="318"/>
      <c r="Q8055" s="318"/>
      <c r="R8055" s="318"/>
      <c r="S8055" s="318"/>
      <c r="T8055" s="318"/>
      <c r="U8055" s="318"/>
      <c r="V8055" s="318"/>
      <c r="W8055" s="318"/>
      <c r="X8055" s="318"/>
      <c r="Y8055" s="318"/>
      <c r="Z8055" s="318"/>
      <c r="AA8055" s="318"/>
      <c r="AB8055" s="318"/>
      <c r="AC8055" s="318"/>
      <c r="AD8055" s="318"/>
    </row>
    <row r="8056" spans="2:30" s="323" customFormat="1" ht="12" customHeight="1">
      <c r="B8056" s="324"/>
      <c r="C8056" s="325"/>
      <c r="D8056" s="326"/>
      <c r="E8056" s="326"/>
      <c r="F8056" s="326"/>
      <c r="G8056" s="326"/>
      <c r="H8056" s="326"/>
      <c r="P8056" s="318"/>
      <c r="Q8056" s="318"/>
      <c r="R8056" s="318"/>
      <c r="S8056" s="318"/>
      <c r="T8056" s="318"/>
      <c r="U8056" s="318"/>
      <c r="V8056" s="318"/>
      <c r="W8056" s="318"/>
      <c r="X8056" s="318"/>
      <c r="Y8056" s="318"/>
      <c r="Z8056" s="318"/>
      <c r="AA8056" s="318"/>
      <c r="AB8056" s="318"/>
      <c r="AC8056" s="318"/>
      <c r="AD8056" s="318"/>
    </row>
    <row r="8057" spans="2:30" s="323" customFormat="1" ht="12" customHeight="1">
      <c r="B8057" s="324"/>
      <c r="C8057" s="325"/>
      <c r="D8057" s="326"/>
      <c r="E8057" s="326"/>
      <c r="F8057" s="326"/>
      <c r="G8057" s="326"/>
      <c r="H8057" s="326"/>
      <c r="P8057" s="318"/>
      <c r="Q8057" s="318"/>
      <c r="R8057" s="318"/>
      <c r="S8057" s="318"/>
      <c r="T8057" s="318"/>
      <c r="U8057" s="318"/>
      <c r="V8057" s="318"/>
      <c r="W8057" s="318"/>
      <c r="X8057" s="318"/>
      <c r="Y8057" s="318"/>
      <c r="Z8057" s="318"/>
      <c r="AA8057" s="318"/>
      <c r="AB8057" s="318"/>
      <c r="AC8057" s="318"/>
      <c r="AD8057" s="318"/>
    </row>
    <row r="8058" spans="2:30" s="323" customFormat="1" ht="12" customHeight="1">
      <c r="B8058" s="324"/>
      <c r="C8058" s="325"/>
      <c r="D8058" s="326"/>
      <c r="E8058" s="326"/>
      <c r="F8058" s="326"/>
      <c r="G8058" s="326"/>
      <c r="H8058" s="326"/>
      <c r="P8058" s="318"/>
      <c r="Q8058" s="318"/>
      <c r="R8058" s="318"/>
      <c r="S8058" s="318"/>
      <c r="T8058" s="318"/>
      <c r="U8058" s="318"/>
      <c r="V8058" s="318"/>
      <c r="W8058" s="318"/>
      <c r="X8058" s="318"/>
      <c r="Y8058" s="318"/>
      <c r="Z8058" s="318"/>
      <c r="AA8058" s="318"/>
      <c r="AB8058" s="318"/>
      <c r="AC8058" s="318"/>
      <c r="AD8058" s="318"/>
    </row>
    <row r="8059" spans="2:30" s="323" customFormat="1" ht="12" customHeight="1">
      <c r="B8059" s="324"/>
      <c r="C8059" s="325"/>
      <c r="D8059" s="326"/>
      <c r="E8059" s="326"/>
      <c r="F8059" s="326"/>
      <c r="G8059" s="326"/>
      <c r="H8059" s="326"/>
      <c r="P8059" s="318"/>
      <c r="Q8059" s="318"/>
      <c r="R8059" s="318"/>
      <c r="S8059" s="318"/>
      <c r="T8059" s="318"/>
      <c r="U8059" s="318"/>
      <c r="V8059" s="318"/>
      <c r="W8059" s="318"/>
      <c r="X8059" s="318"/>
      <c r="Y8059" s="318"/>
      <c r="Z8059" s="318"/>
      <c r="AA8059" s="318"/>
      <c r="AB8059" s="318"/>
      <c r="AC8059" s="318"/>
      <c r="AD8059" s="318"/>
    </row>
    <row r="8060" spans="2:30" s="323" customFormat="1" ht="12" customHeight="1">
      <c r="B8060" s="324"/>
      <c r="C8060" s="325"/>
      <c r="D8060" s="326"/>
      <c r="E8060" s="326"/>
      <c r="F8060" s="326"/>
      <c r="G8060" s="326"/>
      <c r="H8060" s="326"/>
      <c r="P8060" s="318"/>
      <c r="Q8060" s="318"/>
      <c r="R8060" s="318"/>
      <c r="S8060" s="318"/>
      <c r="T8060" s="318"/>
      <c r="U8060" s="318"/>
      <c r="V8060" s="318"/>
      <c r="W8060" s="318"/>
      <c r="X8060" s="318"/>
      <c r="Y8060" s="318"/>
      <c r="Z8060" s="318"/>
      <c r="AA8060" s="318"/>
      <c r="AB8060" s="318"/>
      <c r="AC8060" s="318"/>
      <c r="AD8060" s="318"/>
    </row>
    <row r="8061" spans="2:30" s="323" customFormat="1" ht="12" customHeight="1">
      <c r="B8061" s="324"/>
      <c r="C8061" s="325"/>
      <c r="D8061" s="326"/>
      <c r="E8061" s="326"/>
      <c r="F8061" s="326"/>
      <c r="G8061" s="326"/>
      <c r="H8061" s="326"/>
      <c r="P8061" s="318"/>
      <c r="Q8061" s="318"/>
      <c r="R8061" s="318"/>
      <c r="S8061" s="318"/>
      <c r="T8061" s="318"/>
      <c r="U8061" s="318"/>
      <c r="V8061" s="318"/>
      <c r="W8061" s="318"/>
      <c r="X8061" s="318"/>
      <c r="Y8061" s="318"/>
      <c r="Z8061" s="318"/>
      <c r="AA8061" s="318"/>
      <c r="AB8061" s="318"/>
      <c r="AC8061" s="318"/>
      <c r="AD8061" s="318"/>
    </row>
    <row r="8062" spans="2:30" s="323" customFormat="1" ht="12" customHeight="1">
      <c r="B8062" s="324"/>
      <c r="C8062" s="325"/>
      <c r="D8062" s="326"/>
      <c r="E8062" s="326"/>
      <c r="F8062" s="326"/>
      <c r="G8062" s="326"/>
      <c r="H8062" s="326"/>
      <c r="P8062" s="318"/>
      <c r="Q8062" s="318"/>
      <c r="R8062" s="318"/>
      <c r="S8062" s="318"/>
      <c r="T8062" s="318"/>
      <c r="U8062" s="318"/>
      <c r="V8062" s="318"/>
      <c r="W8062" s="318"/>
      <c r="X8062" s="318"/>
      <c r="Y8062" s="318"/>
      <c r="Z8062" s="318"/>
      <c r="AA8062" s="318"/>
      <c r="AB8062" s="318"/>
      <c r="AC8062" s="318"/>
      <c r="AD8062" s="318"/>
    </row>
    <row r="8063" spans="2:30" s="323" customFormat="1" ht="12" customHeight="1">
      <c r="B8063" s="324"/>
      <c r="C8063" s="325"/>
      <c r="D8063" s="326"/>
      <c r="E8063" s="326"/>
      <c r="F8063" s="326"/>
      <c r="G8063" s="326"/>
      <c r="H8063" s="326"/>
      <c r="P8063" s="318"/>
      <c r="Q8063" s="318"/>
      <c r="R8063" s="318"/>
      <c r="S8063" s="318"/>
      <c r="T8063" s="318"/>
      <c r="U8063" s="318"/>
      <c r="V8063" s="318"/>
      <c r="W8063" s="318"/>
      <c r="X8063" s="318"/>
      <c r="Y8063" s="318"/>
      <c r="Z8063" s="318"/>
      <c r="AA8063" s="318"/>
      <c r="AB8063" s="318"/>
      <c r="AC8063" s="318"/>
      <c r="AD8063" s="318"/>
    </row>
    <row r="8064" spans="2:30" s="323" customFormat="1" ht="12" customHeight="1">
      <c r="B8064" s="324"/>
      <c r="C8064" s="325"/>
      <c r="D8064" s="326"/>
      <c r="E8064" s="326"/>
      <c r="F8064" s="326"/>
      <c r="G8064" s="326"/>
      <c r="H8064" s="326"/>
      <c r="P8064" s="318"/>
      <c r="Q8064" s="318"/>
      <c r="R8064" s="318"/>
      <c r="S8064" s="318"/>
      <c r="T8064" s="318"/>
      <c r="U8064" s="318"/>
      <c r="V8064" s="318"/>
      <c r="W8064" s="318"/>
      <c r="X8064" s="318"/>
      <c r="Y8064" s="318"/>
      <c r="Z8064" s="318"/>
      <c r="AA8064" s="318"/>
      <c r="AB8064" s="318"/>
      <c r="AC8064" s="318"/>
      <c r="AD8064" s="318"/>
    </row>
    <row r="8065" spans="2:30" s="323" customFormat="1" ht="12" customHeight="1">
      <c r="B8065" s="324"/>
      <c r="C8065" s="325"/>
      <c r="D8065" s="326"/>
      <c r="E8065" s="326"/>
      <c r="F8065" s="326"/>
      <c r="G8065" s="326"/>
      <c r="H8065" s="326"/>
      <c r="P8065" s="318"/>
      <c r="Q8065" s="318"/>
      <c r="R8065" s="318"/>
      <c r="S8065" s="318"/>
      <c r="T8065" s="318"/>
      <c r="U8065" s="318"/>
      <c r="V8065" s="318"/>
      <c r="W8065" s="318"/>
      <c r="X8065" s="318"/>
      <c r="Y8065" s="318"/>
      <c r="Z8065" s="318"/>
      <c r="AA8065" s="318"/>
      <c r="AB8065" s="318"/>
      <c r="AC8065" s="318"/>
      <c r="AD8065" s="318"/>
    </row>
    <row r="8066" spans="2:30" s="323" customFormat="1" ht="12" customHeight="1">
      <c r="B8066" s="324"/>
      <c r="C8066" s="325"/>
      <c r="D8066" s="326"/>
      <c r="E8066" s="326"/>
      <c r="F8066" s="326"/>
      <c r="G8066" s="326"/>
      <c r="H8066" s="326"/>
      <c r="P8066" s="318"/>
      <c r="Q8066" s="318"/>
      <c r="R8066" s="318"/>
      <c r="S8066" s="318"/>
      <c r="T8066" s="318"/>
      <c r="U8066" s="318"/>
      <c r="V8066" s="318"/>
      <c r="W8066" s="318"/>
      <c r="X8066" s="318"/>
      <c r="Y8066" s="318"/>
      <c r="Z8066" s="318"/>
      <c r="AA8066" s="318"/>
      <c r="AB8066" s="318"/>
      <c r="AC8066" s="318"/>
      <c r="AD8066" s="318"/>
    </row>
    <row r="8067" spans="2:30" s="323" customFormat="1" ht="12" customHeight="1">
      <c r="B8067" s="324"/>
      <c r="C8067" s="325"/>
      <c r="D8067" s="326"/>
      <c r="E8067" s="326"/>
      <c r="F8067" s="326"/>
      <c r="G8067" s="326"/>
      <c r="H8067" s="326"/>
      <c r="P8067" s="318"/>
      <c r="Q8067" s="318"/>
      <c r="R8067" s="318"/>
      <c r="S8067" s="318"/>
      <c r="T8067" s="318"/>
      <c r="U8067" s="318"/>
      <c r="V8067" s="318"/>
      <c r="W8067" s="318"/>
      <c r="X8067" s="318"/>
      <c r="Y8067" s="318"/>
      <c r="Z8067" s="318"/>
      <c r="AA8067" s="318"/>
      <c r="AB8067" s="318"/>
      <c r="AC8067" s="318"/>
      <c r="AD8067" s="318"/>
    </row>
    <row r="8068" spans="2:30" s="323" customFormat="1" ht="12" customHeight="1">
      <c r="B8068" s="324"/>
      <c r="C8068" s="325"/>
      <c r="D8068" s="326"/>
      <c r="E8068" s="326"/>
      <c r="F8068" s="326"/>
      <c r="G8068" s="326"/>
      <c r="H8068" s="326"/>
      <c r="P8068" s="318"/>
      <c r="Q8068" s="318"/>
      <c r="R8068" s="318"/>
      <c r="S8068" s="318"/>
      <c r="T8068" s="318"/>
      <c r="U8068" s="318"/>
      <c r="V8068" s="318"/>
      <c r="W8068" s="318"/>
      <c r="X8068" s="318"/>
      <c r="Y8068" s="318"/>
      <c r="Z8068" s="318"/>
      <c r="AA8068" s="318"/>
      <c r="AB8068" s="318"/>
      <c r="AC8068" s="318"/>
      <c r="AD8068" s="318"/>
    </row>
    <row r="8069" spans="2:30" s="323" customFormat="1" ht="12" customHeight="1">
      <c r="B8069" s="324"/>
      <c r="C8069" s="325"/>
      <c r="D8069" s="326"/>
      <c r="E8069" s="326"/>
      <c r="F8069" s="326"/>
      <c r="G8069" s="326"/>
      <c r="H8069" s="326"/>
      <c r="P8069" s="318"/>
      <c r="Q8069" s="318"/>
      <c r="R8069" s="318"/>
      <c r="S8069" s="318"/>
      <c r="T8069" s="318"/>
      <c r="U8069" s="318"/>
      <c r="V8069" s="318"/>
      <c r="W8069" s="318"/>
      <c r="X8069" s="318"/>
      <c r="Y8069" s="318"/>
      <c r="Z8069" s="318"/>
      <c r="AA8069" s="318"/>
      <c r="AB8069" s="318"/>
      <c r="AC8069" s="318"/>
      <c r="AD8069" s="318"/>
    </row>
    <row r="8070" spans="2:30" s="323" customFormat="1" ht="12" customHeight="1">
      <c r="B8070" s="324"/>
      <c r="C8070" s="325"/>
      <c r="D8070" s="326"/>
      <c r="E8070" s="326"/>
      <c r="F8070" s="326"/>
      <c r="G8070" s="326"/>
      <c r="H8070" s="326"/>
      <c r="P8070" s="318"/>
      <c r="Q8070" s="318"/>
      <c r="R8070" s="318"/>
      <c r="S8070" s="318"/>
      <c r="T8070" s="318"/>
      <c r="U8070" s="318"/>
      <c r="V8070" s="318"/>
      <c r="W8070" s="318"/>
      <c r="X8070" s="318"/>
      <c r="Y8070" s="318"/>
      <c r="Z8070" s="318"/>
      <c r="AA8070" s="318"/>
      <c r="AB8070" s="318"/>
      <c r="AC8070" s="318"/>
      <c r="AD8070" s="318"/>
    </row>
    <row r="8071" spans="2:30" s="323" customFormat="1" ht="12" customHeight="1">
      <c r="B8071" s="324"/>
      <c r="C8071" s="325"/>
      <c r="D8071" s="326"/>
      <c r="E8071" s="326"/>
      <c r="F8071" s="326"/>
      <c r="G8071" s="326"/>
      <c r="H8071" s="326"/>
      <c r="P8071" s="318"/>
      <c r="Q8071" s="318"/>
      <c r="R8071" s="318"/>
      <c r="S8071" s="318"/>
      <c r="T8071" s="318"/>
      <c r="U8071" s="318"/>
      <c r="V8071" s="318"/>
      <c r="W8071" s="318"/>
      <c r="X8071" s="318"/>
      <c r="Y8071" s="318"/>
      <c r="Z8071" s="318"/>
      <c r="AA8071" s="318"/>
      <c r="AB8071" s="318"/>
      <c r="AC8071" s="318"/>
      <c r="AD8071" s="318"/>
    </row>
    <row r="8072" spans="2:30" s="323" customFormat="1" ht="12" customHeight="1">
      <c r="B8072" s="324"/>
      <c r="C8072" s="325"/>
      <c r="D8072" s="326"/>
      <c r="E8072" s="326"/>
      <c r="F8072" s="326"/>
      <c r="G8072" s="326"/>
      <c r="H8072" s="326"/>
      <c r="P8072" s="318"/>
      <c r="Q8072" s="318"/>
      <c r="R8072" s="318"/>
      <c r="S8072" s="318"/>
      <c r="T8072" s="318"/>
      <c r="U8072" s="318"/>
      <c r="V8072" s="318"/>
      <c r="W8072" s="318"/>
      <c r="X8072" s="318"/>
      <c r="Y8072" s="318"/>
      <c r="Z8072" s="318"/>
      <c r="AA8072" s="318"/>
      <c r="AB8072" s="318"/>
      <c r="AC8072" s="318"/>
      <c r="AD8072" s="318"/>
    </row>
    <row r="8073" spans="2:30" s="323" customFormat="1" ht="12" customHeight="1">
      <c r="B8073" s="324"/>
      <c r="C8073" s="325"/>
      <c r="D8073" s="326"/>
      <c r="E8073" s="326"/>
      <c r="F8073" s="326"/>
      <c r="G8073" s="326"/>
      <c r="H8073" s="326"/>
      <c r="P8073" s="318"/>
      <c r="Q8073" s="318"/>
      <c r="R8073" s="318"/>
      <c r="S8073" s="318"/>
      <c r="T8073" s="318"/>
      <c r="U8073" s="318"/>
      <c r="V8073" s="318"/>
      <c r="W8073" s="318"/>
      <c r="X8073" s="318"/>
      <c r="Y8073" s="318"/>
      <c r="Z8073" s="318"/>
      <c r="AA8073" s="318"/>
      <c r="AB8073" s="318"/>
      <c r="AC8073" s="318"/>
      <c r="AD8073" s="318"/>
    </row>
    <row r="8074" spans="2:30" s="323" customFormat="1" ht="12" customHeight="1">
      <c r="B8074" s="324"/>
      <c r="C8074" s="325"/>
      <c r="D8074" s="326"/>
      <c r="E8074" s="326"/>
      <c r="F8074" s="326"/>
      <c r="G8074" s="326"/>
      <c r="H8074" s="326"/>
      <c r="P8074" s="318"/>
      <c r="Q8074" s="318"/>
      <c r="R8074" s="318"/>
      <c r="S8074" s="318"/>
      <c r="T8074" s="318"/>
      <c r="U8074" s="318"/>
      <c r="V8074" s="318"/>
      <c r="W8074" s="318"/>
      <c r="X8074" s="318"/>
      <c r="Y8074" s="318"/>
      <c r="Z8074" s="318"/>
      <c r="AA8074" s="318"/>
      <c r="AB8074" s="318"/>
      <c r="AC8074" s="318"/>
      <c r="AD8074" s="318"/>
    </row>
    <row r="8075" spans="2:30" s="323" customFormat="1" ht="12" customHeight="1">
      <c r="B8075" s="324"/>
      <c r="C8075" s="325"/>
      <c r="D8075" s="326"/>
      <c r="E8075" s="326"/>
      <c r="F8075" s="326"/>
      <c r="G8075" s="326"/>
      <c r="H8075" s="326"/>
      <c r="P8075" s="318"/>
      <c r="Q8075" s="318"/>
      <c r="R8075" s="318"/>
      <c r="S8075" s="318"/>
      <c r="T8075" s="318"/>
      <c r="U8075" s="318"/>
      <c r="V8075" s="318"/>
      <c r="W8075" s="318"/>
      <c r="X8075" s="318"/>
      <c r="Y8075" s="318"/>
      <c r="Z8075" s="318"/>
      <c r="AA8075" s="318"/>
      <c r="AB8075" s="318"/>
      <c r="AC8075" s="318"/>
      <c r="AD8075" s="318"/>
    </row>
    <row r="8076" spans="2:30" s="323" customFormat="1" ht="12" customHeight="1">
      <c r="B8076" s="324"/>
      <c r="C8076" s="325"/>
      <c r="D8076" s="326"/>
      <c r="E8076" s="326"/>
      <c r="F8076" s="326"/>
      <c r="G8076" s="326"/>
      <c r="H8076" s="326"/>
      <c r="P8076" s="318"/>
      <c r="Q8076" s="318"/>
      <c r="R8076" s="318"/>
      <c r="S8076" s="318"/>
      <c r="T8076" s="318"/>
      <c r="U8076" s="318"/>
      <c r="V8076" s="318"/>
      <c r="W8076" s="318"/>
      <c r="X8076" s="318"/>
      <c r="Y8076" s="318"/>
      <c r="Z8076" s="318"/>
      <c r="AA8076" s="318"/>
      <c r="AB8076" s="318"/>
      <c r="AC8076" s="318"/>
      <c r="AD8076" s="318"/>
    </row>
    <row r="8077" spans="2:30" s="323" customFormat="1" ht="12" customHeight="1">
      <c r="B8077" s="324"/>
      <c r="C8077" s="325"/>
      <c r="D8077" s="326"/>
      <c r="E8077" s="326"/>
      <c r="F8077" s="326"/>
      <c r="G8077" s="326"/>
      <c r="H8077" s="326"/>
      <c r="P8077" s="318"/>
      <c r="Q8077" s="318"/>
      <c r="R8077" s="318"/>
      <c r="S8077" s="318"/>
      <c r="T8077" s="318"/>
      <c r="U8077" s="318"/>
      <c r="V8077" s="318"/>
      <c r="W8077" s="318"/>
      <c r="X8077" s="318"/>
      <c r="Y8077" s="318"/>
      <c r="Z8077" s="318"/>
      <c r="AA8077" s="318"/>
      <c r="AB8077" s="318"/>
      <c r="AC8077" s="318"/>
      <c r="AD8077" s="318"/>
    </row>
    <row r="8078" spans="2:30" s="323" customFormat="1" ht="12" customHeight="1">
      <c r="B8078" s="324"/>
      <c r="C8078" s="325"/>
      <c r="D8078" s="326"/>
      <c r="E8078" s="326"/>
      <c r="F8078" s="326"/>
      <c r="G8078" s="326"/>
      <c r="H8078" s="326"/>
      <c r="P8078" s="318"/>
      <c r="Q8078" s="318"/>
      <c r="R8078" s="318"/>
      <c r="S8078" s="318"/>
      <c r="T8078" s="318"/>
      <c r="U8078" s="318"/>
      <c r="V8078" s="318"/>
      <c r="W8078" s="318"/>
      <c r="X8078" s="318"/>
      <c r="Y8078" s="318"/>
      <c r="Z8078" s="318"/>
      <c r="AA8078" s="318"/>
      <c r="AB8078" s="318"/>
      <c r="AC8078" s="318"/>
      <c r="AD8078" s="318"/>
    </row>
    <row r="8079" spans="2:30" s="323" customFormat="1" ht="12" customHeight="1">
      <c r="B8079" s="324"/>
      <c r="C8079" s="325"/>
      <c r="D8079" s="326"/>
      <c r="E8079" s="326"/>
      <c r="F8079" s="326"/>
      <c r="G8079" s="326"/>
      <c r="H8079" s="326"/>
      <c r="P8079" s="318"/>
      <c r="Q8079" s="318"/>
      <c r="R8079" s="318"/>
      <c r="S8079" s="318"/>
      <c r="T8079" s="318"/>
      <c r="U8079" s="318"/>
      <c r="V8079" s="318"/>
      <c r="W8079" s="318"/>
      <c r="X8079" s="318"/>
      <c r="Y8079" s="318"/>
      <c r="Z8079" s="318"/>
      <c r="AA8079" s="318"/>
      <c r="AB8079" s="318"/>
      <c r="AC8079" s="318"/>
      <c r="AD8079" s="318"/>
    </row>
    <row r="8080" spans="2:30" s="323" customFormat="1" ht="12" customHeight="1">
      <c r="B8080" s="324"/>
      <c r="C8080" s="325"/>
      <c r="D8080" s="326"/>
      <c r="E8080" s="326"/>
      <c r="F8080" s="326"/>
      <c r="G8080" s="326"/>
      <c r="H8080" s="326"/>
      <c r="P8080" s="318"/>
      <c r="Q8080" s="318"/>
      <c r="R8080" s="318"/>
      <c r="S8080" s="318"/>
      <c r="T8080" s="318"/>
      <c r="U8080" s="318"/>
      <c r="V8080" s="318"/>
      <c r="W8080" s="318"/>
      <c r="X8080" s="318"/>
      <c r="Y8080" s="318"/>
      <c r="Z8080" s="318"/>
      <c r="AA8080" s="318"/>
      <c r="AB8080" s="318"/>
      <c r="AC8080" s="318"/>
      <c r="AD8080" s="318"/>
    </row>
    <row r="8081" spans="2:30" s="323" customFormat="1" ht="12" customHeight="1">
      <c r="B8081" s="324"/>
      <c r="C8081" s="325"/>
      <c r="D8081" s="326"/>
      <c r="E8081" s="326"/>
      <c r="F8081" s="326"/>
      <c r="G8081" s="326"/>
      <c r="H8081" s="326"/>
      <c r="P8081" s="318"/>
      <c r="Q8081" s="318"/>
      <c r="R8081" s="318"/>
      <c r="S8081" s="318"/>
      <c r="T8081" s="318"/>
      <c r="U8081" s="318"/>
      <c r="V8081" s="318"/>
      <c r="W8081" s="318"/>
      <c r="X8081" s="318"/>
      <c r="Y8081" s="318"/>
      <c r="Z8081" s="318"/>
      <c r="AA8081" s="318"/>
      <c r="AB8081" s="318"/>
      <c r="AC8081" s="318"/>
      <c r="AD8081" s="318"/>
    </row>
    <row r="8082" spans="2:30" s="323" customFormat="1" ht="12" customHeight="1">
      <c r="B8082" s="324"/>
      <c r="C8082" s="325"/>
      <c r="D8082" s="326"/>
      <c r="E8082" s="326"/>
      <c r="F8082" s="326"/>
      <c r="G8082" s="326"/>
      <c r="H8082" s="326"/>
      <c r="P8082" s="318"/>
      <c r="Q8082" s="318"/>
      <c r="R8082" s="318"/>
      <c r="S8082" s="318"/>
      <c r="T8082" s="318"/>
      <c r="U8082" s="318"/>
      <c r="V8082" s="318"/>
      <c r="W8082" s="318"/>
      <c r="X8082" s="318"/>
      <c r="Y8082" s="318"/>
      <c r="Z8082" s="318"/>
      <c r="AA8082" s="318"/>
      <c r="AB8082" s="318"/>
      <c r="AC8082" s="318"/>
      <c r="AD8082" s="318"/>
    </row>
    <row r="8083" spans="2:30" s="323" customFormat="1" ht="12" customHeight="1">
      <c r="B8083" s="324"/>
      <c r="C8083" s="325"/>
      <c r="D8083" s="326"/>
      <c r="E8083" s="326"/>
      <c r="F8083" s="326"/>
      <c r="G8083" s="326"/>
      <c r="H8083" s="326"/>
      <c r="P8083" s="318"/>
      <c r="Q8083" s="318"/>
      <c r="R8083" s="318"/>
      <c r="S8083" s="318"/>
      <c r="T8083" s="318"/>
      <c r="U8083" s="318"/>
      <c r="V8083" s="318"/>
      <c r="W8083" s="318"/>
      <c r="X8083" s="318"/>
      <c r="Y8083" s="318"/>
      <c r="Z8083" s="318"/>
      <c r="AA8083" s="318"/>
      <c r="AB8083" s="318"/>
      <c r="AC8083" s="318"/>
      <c r="AD8083" s="318"/>
    </row>
    <row r="8084" spans="2:30" s="323" customFormat="1" ht="12" customHeight="1">
      <c r="B8084" s="324"/>
      <c r="C8084" s="325"/>
      <c r="D8084" s="326"/>
      <c r="E8084" s="326"/>
      <c r="F8084" s="326"/>
      <c r="G8084" s="326"/>
      <c r="H8084" s="326"/>
      <c r="P8084" s="318"/>
      <c r="Q8084" s="318"/>
      <c r="R8084" s="318"/>
      <c r="S8084" s="318"/>
      <c r="T8084" s="318"/>
      <c r="U8084" s="318"/>
      <c r="V8084" s="318"/>
      <c r="W8084" s="318"/>
      <c r="X8084" s="318"/>
      <c r="Y8084" s="318"/>
      <c r="Z8084" s="318"/>
      <c r="AA8084" s="318"/>
      <c r="AB8084" s="318"/>
      <c r="AC8084" s="318"/>
      <c r="AD8084" s="318"/>
    </row>
    <row r="8085" spans="2:30" s="323" customFormat="1" ht="12" customHeight="1">
      <c r="B8085" s="324"/>
      <c r="C8085" s="325"/>
      <c r="D8085" s="326"/>
      <c r="E8085" s="326"/>
      <c r="F8085" s="326"/>
      <c r="G8085" s="326"/>
      <c r="H8085" s="326"/>
      <c r="P8085" s="318"/>
      <c r="Q8085" s="318"/>
      <c r="R8085" s="318"/>
      <c r="S8085" s="318"/>
      <c r="T8085" s="318"/>
      <c r="U8085" s="318"/>
      <c r="V8085" s="318"/>
      <c r="W8085" s="318"/>
      <c r="X8085" s="318"/>
      <c r="Y8085" s="318"/>
      <c r="Z8085" s="318"/>
      <c r="AA8085" s="318"/>
      <c r="AB8085" s="318"/>
      <c r="AC8085" s="318"/>
      <c r="AD8085" s="318"/>
    </row>
    <row r="8086" spans="2:30" s="323" customFormat="1" ht="12" customHeight="1">
      <c r="B8086" s="324"/>
      <c r="C8086" s="325"/>
      <c r="D8086" s="326"/>
      <c r="E8086" s="326"/>
      <c r="F8086" s="326"/>
      <c r="G8086" s="326"/>
      <c r="H8086" s="326"/>
      <c r="P8086" s="318"/>
      <c r="Q8086" s="318"/>
      <c r="R8086" s="318"/>
      <c r="S8086" s="318"/>
      <c r="T8086" s="318"/>
      <c r="U8086" s="318"/>
      <c r="V8086" s="318"/>
      <c r="W8086" s="318"/>
      <c r="X8086" s="318"/>
      <c r="Y8086" s="318"/>
      <c r="Z8086" s="318"/>
      <c r="AA8086" s="318"/>
      <c r="AB8086" s="318"/>
      <c r="AC8086" s="318"/>
      <c r="AD8086" s="318"/>
    </row>
    <row r="8087" spans="2:30" s="323" customFormat="1" ht="12" customHeight="1">
      <c r="B8087" s="324"/>
      <c r="C8087" s="325"/>
      <c r="D8087" s="326"/>
      <c r="E8087" s="326"/>
      <c r="F8087" s="326"/>
      <c r="G8087" s="326"/>
      <c r="H8087" s="326"/>
      <c r="P8087" s="318"/>
      <c r="Q8087" s="318"/>
      <c r="R8087" s="318"/>
      <c r="S8087" s="318"/>
      <c r="T8087" s="318"/>
      <c r="U8087" s="318"/>
      <c r="V8087" s="318"/>
      <c r="W8087" s="318"/>
      <c r="X8087" s="318"/>
      <c r="Y8087" s="318"/>
      <c r="Z8087" s="318"/>
      <c r="AA8087" s="318"/>
      <c r="AB8087" s="318"/>
      <c r="AC8087" s="318"/>
      <c r="AD8087" s="318"/>
    </row>
    <row r="8088" spans="2:30" s="323" customFormat="1" ht="12" customHeight="1">
      <c r="B8088" s="324"/>
      <c r="C8088" s="325"/>
      <c r="D8088" s="326"/>
      <c r="E8088" s="326"/>
      <c r="F8088" s="326"/>
      <c r="G8088" s="326"/>
      <c r="H8088" s="326"/>
      <c r="P8088" s="318"/>
      <c r="Q8088" s="318"/>
      <c r="R8088" s="318"/>
      <c r="S8088" s="318"/>
      <c r="T8088" s="318"/>
      <c r="U8088" s="318"/>
      <c r="V8088" s="318"/>
      <c r="W8088" s="318"/>
      <c r="X8088" s="318"/>
      <c r="Y8088" s="318"/>
      <c r="Z8088" s="318"/>
      <c r="AA8088" s="318"/>
      <c r="AB8088" s="318"/>
      <c r="AC8088" s="318"/>
      <c r="AD8088" s="318"/>
    </row>
    <row r="8089" spans="2:30" s="323" customFormat="1" ht="12" customHeight="1">
      <c r="B8089" s="324"/>
      <c r="C8089" s="325"/>
      <c r="D8089" s="326"/>
      <c r="E8089" s="326"/>
      <c r="F8089" s="326"/>
      <c r="G8089" s="326"/>
      <c r="H8089" s="326"/>
      <c r="P8089" s="318"/>
      <c r="Q8089" s="318"/>
      <c r="R8089" s="318"/>
      <c r="S8089" s="318"/>
      <c r="T8089" s="318"/>
      <c r="U8089" s="318"/>
      <c r="V8089" s="318"/>
      <c r="W8089" s="318"/>
      <c r="X8089" s="318"/>
      <c r="Y8089" s="318"/>
      <c r="Z8089" s="318"/>
      <c r="AA8089" s="318"/>
      <c r="AB8089" s="318"/>
      <c r="AC8089" s="318"/>
      <c r="AD8089" s="318"/>
    </row>
    <row r="8090" spans="2:30" s="323" customFormat="1" ht="12" customHeight="1">
      <c r="B8090" s="324"/>
      <c r="C8090" s="325"/>
      <c r="D8090" s="326"/>
      <c r="E8090" s="326"/>
      <c r="F8090" s="326"/>
      <c r="G8090" s="326"/>
      <c r="H8090" s="326"/>
      <c r="P8090" s="318"/>
      <c r="Q8090" s="318"/>
      <c r="R8090" s="318"/>
      <c r="S8090" s="318"/>
      <c r="T8090" s="318"/>
      <c r="U8090" s="318"/>
      <c r="V8090" s="318"/>
      <c r="W8090" s="318"/>
      <c r="X8090" s="318"/>
      <c r="Y8090" s="318"/>
      <c r="Z8090" s="318"/>
      <c r="AA8090" s="318"/>
      <c r="AB8090" s="318"/>
      <c r="AC8090" s="318"/>
      <c r="AD8090" s="318"/>
    </row>
    <row r="8091" spans="2:30" s="323" customFormat="1" ht="12" customHeight="1">
      <c r="B8091" s="324"/>
      <c r="C8091" s="325"/>
      <c r="D8091" s="326"/>
      <c r="E8091" s="326"/>
      <c r="F8091" s="326"/>
      <c r="G8091" s="326"/>
      <c r="H8091" s="326"/>
      <c r="P8091" s="318"/>
      <c r="Q8091" s="318"/>
      <c r="R8091" s="318"/>
      <c r="S8091" s="318"/>
      <c r="T8091" s="318"/>
      <c r="U8091" s="318"/>
      <c r="V8091" s="318"/>
      <c r="W8091" s="318"/>
      <c r="X8091" s="318"/>
      <c r="Y8091" s="318"/>
      <c r="Z8091" s="318"/>
      <c r="AA8091" s="318"/>
      <c r="AB8091" s="318"/>
      <c r="AC8091" s="318"/>
      <c r="AD8091" s="318"/>
    </row>
    <row r="8092" spans="2:30" s="323" customFormat="1" ht="12" customHeight="1">
      <c r="B8092" s="324"/>
      <c r="C8092" s="325"/>
      <c r="D8092" s="326"/>
      <c r="E8092" s="326"/>
      <c r="F8092" s="326"/>
      <c r="G8092" s="326"/>
      <c r="H8092" s="326"/>
      <c r="P8092" s="318"/>
      <c r="Q8092" s="318"/>
      <c r="R8092" s="318"/>
      <c r="S8092" s="318"/>
      <c r="T8092" s="318"/>
      <c r="U8092" s="318"/>
      <c r="V8092" s="318"/>
      <c r="W8092" s="318"/>
      <c r="X8092" s="318"/>
      <c r="Y8092" s="318"/>
      <c r="Z8092" s="318"/>
      <c r="AA8092" s="318"/>
      <c r="AB8092" s="318"/>
      <c r="AC8092" s="318"/>
      <c r="AD8092" s="318"/>
    </row>
    <row r="8093" spans="2:30" s="323" customFormat="1" ht="12" customHeight="1">
      <c r="B8093" s="324"/>
      <c r="C8093" s="325"/>
      <c r="D8093" s="326"/>
      <c r="E8093" s="326"/>
      <c r="F8093" s="326"/>
      <c r="G8093" s="326"/>
      <c r="H8093" s="326"/>
      <c r="P8093" s="318"/>
      <c r="Q8093" s="318"/>
      <c r="R8093" s="318"/>
      <c r="S8093" s="318"/>
      <c r="T8093" s="318"/>
      <c r="U8093" s="318"/>
      <c r="V8093" s="318"/>
      <c r="W8093" s="318"/>
      <c r="X8093" s="318"/>
      <c r="Y8093" s="318"/>
      <c r="Z8093" s="318"/>
      <c r="AA8093" s="318"/>
      <c r="AB8093" s="318"/>
      <c r="AC8093" s="318"/>
      <c r="AD8093" s="318"/>
    </row>
    <row r="8094" spans="2:30" s="323" customFormat="1" ht="12" customHeight="1">
      <c r="B8094" s="324"/>
      <c r="C8094" s="325"/>
      <c r="D8094" s="326"/>
      <c r="E8094" s="326"/>
      <c r="F8094" s="326"/>
      <c r="G8094" s="326"/>
      <c r="H8094" s="326"/>
      <c r="P8094" s="318"/>
      <c r="Q8094" s="318"/>
      <c r="R8094" s="318"/>
      <c r="S8094" s="318"/>
      <c r="T8094" s="318"/>
      <c r="U8094" s="318"/>
      <c r="V8094" s="318"/>
      <c r="W8094" s="318"/>
      <c r="X8094" s="318"/>
      <c r="Y8094" s="318"/>
      <c r="Z8094" s="318"/>
      <c r="AA8094" s="318"/>
      <c r="AB8094" s="318"/>
      <c r="AC8094" s="318"/>
      <c r="AD8094" s="318"/>
    </row>
    <row r="8095" spans="2:30" s="323" customFormat="1" ht="12" customHeight="1">
      <c r="B8095" s="324"/>
      <c r="C8095" s="325"/>
      <c r="D8095" s="326"/>
      <c r="E8095" s="326"/>
      <c r="F8095" s="326"/>
      <c r="G8095" s="326"/>
      <c r="H8095" s="326"/>
      <c r="P8095" s="318"/>
      <c r="Q8095" s="318"/>
      <c r="R8095" s="318"/>
      <c r="S8095" s="318"/>
      <c r="T8095" s="318"/>
      <c r="U8095" s="318"/>
      <c r="V8095" s="318"/>
      <c r="W8095" s="318"/>
      <c r="X8095" s="318"/>
      <c r="Y8095" s="318"/>
      <c r="Z8095" s="318"/>
      <c r="AA8095" s="318"/>
      <c r="AB8095" s="318"/>
      <c r="AC8095" s="318"/>
      <c r="AD8095" s="318"/>
    </row>
    <row r="8096" spans="2:30" s="323" customFormat="1" ht="12" customHeight="1">
      <c r="B8096" s="324"/>
      <c r="C8096" s="325"/>
      <c r="D8096" s="326"/>
      <c r="E8096" s="326"/>
      <c r="F8096" s="326"/>
      <c r="G8096" s="326"/>
      <c r="H8096" s="326"/>
      <c r="P8096" s="318"/>
      <c r="Q8096" s="318"/>
      <c r="R8096" s="318"/>
      <c r="S8096" s="318"/>
      <c r="T8096" s="318"/>
      <c r="U8096" s="318"/>
      <c r="V8096" s="318"/>
      <c r="W8096" s="318"/>
      <c r="X8096" s="318"/>
      <c r="Y8096" s="318"/>
      <c r="Z8096" s="318"/>
      <c r="AA8096" s="318"/>
      <c r="AB8096" s="318"/>
      <c r="AC8096" s="318"/>
      <c r="AD8096" s="318"/>
    </row>
    <row r="8097" spans="2:30" s="323" customFormat="1" ht="12" customHeight="1">
      <c r="B8097" s="324"/>
      <c r="C8097" s="325"/>
      <c r="D8097" s="326"/>
      <c r="E8097" s="326"/>
      <c r="F8097" s="326"/>
      <c r="G8097" s="326"/>
      <c r="H8097" s="326"/>
      <c r="P8097" s="318"/>
      <c r="Q8097" s="318"/>
      <c r="R8097" s="318"/>
      <c r="S8097" s="318"/>
      <c r="T8097" s="318"/>
      <c r="U8097" s="318"/>
      <c r="V8097" s="318"/>
      <c r="W8097" s="318"/>
      <c r="X8097" s="318"/>
      <c r="Y8097" s="318"/>
      <c r="Z8097" s="318"/>
      <c r="AA8097" s="318"/>
      <c r="AB8097" s="318"/>
      <c r="AC8097" s="318"/>
      <c r="AD8097" s="318"/>
    </row>
    <row r="8098" spans="2:30" s="323" customFormat="1" ht="12" customHeight="1">
      <c r="B8098" s="324"/>
      <c r="C8098" s="325"/>
      <c r="D8098" s="326"/>
      <c r="E8098" s="326"/>
      <c r="F8098" s="326"/>
      <c r="G8098" s="326"/>
      <c r="H8098" s="326"/>
      <c r="P8098" s="318"/>
      <c r="Q8098" s="318"/>
      <c r="R8098" s="318"/>
      <c r="S8098" s="318"/>
      <c r="T8098" s="318"/>
      <c r="U8098" s="318"/>
      <c r="V8098" s="318"/>
      <c r="W8098" s="318"/>
      <c r="X8098" s="318"/>
      <c r="Y8098" s="318"/>
      <c r="Z8098" s="318"/>
      <c r="AA8098" s="318"/>
      <c r="AB8098" s="318"/>
      <c r="AC8098" s="318"/>
      <c r="AD8098" s="318"/>
    </row>
    <row r="8099" spans="2:30" s="323" customFormat="1" ht="12" customHeight="1">
      <c r="B8099" s="324"/>
      <c r="C8099" s="325"/>
      <c r="D8099" s="326"/>
      <c r="E8099" s="326"/>
      <c r="F8099" s="326"/>
      <c r="G8099" s="326"/>
      <c r="H8099" s="326"/>
      <c r="P8099" s="318"/>
      <c r="Q8099" s="318"/>
      <c r="R8099" s="318"/>
      <c r="S8099" s="318"/>
      <c r="T8099" s="318"/>
      <c r="U8099" s="318"/>
      <c r="V8099" s="318"/>
      <c r="W8099" s="318"/>
      <c r="X8099" s="318"/>
      <c r="Y8099" s="318"/>
      <c r="Z8099" s="318"/>
      <c r="AA8099" s="318"/>
      <c r="AB8099" s="318"/>
      <c r="AC8099" s="318"/>
      <c r="AD8099" s="318"/>
    </row>
    <row r="8100" spans="2:30" s="323" customFormat="1" ht="12" customHeight="1">
      <c r="B8100" s="324"/>
      <c r="C8100" s="325"/>
      <c r="D8100" s="326"/>
      <c r="E8100" s="326"/>
      <c r="F8100" s="326"/>
      <c r="G8100" s="326"/>
      <c r="H8100" s="326"/>
      <c r="P8100" s="318"/>
      <c r="Q8100" s="318"/>
      <c r="R8100" s="318"/>
      <c r="S8100" s="318"/>
      <c r="T8100" s="318"/>
      <c r="U8100" s="318"/>
      <c r="V8100" s="318"/>
      <c r="W8100" s="318"/>
      <c r="X8100" s="318"/>
      <c r="Y8100" s="318"/>
      <c r="Z8100" s="318"/>
      <c r="AA8100" s="318"/>
      <c r="AB8100" s="318"/>
      <c r="AC8100" s="318"/>
      <c r="AD8100" s="318"/>
    </row>
    <row r="8101" spans="2:30" s="323" customFormat="1" ht="12" customHeight="1">
      <c r="B8101" s="324"/>
      <c r="C8101" s="325"/>
      <c r="D8101" s="326"/>
      <c r="E8101" s="326"/>
      <c r="F8101" s="326"/>
      <c r="G8101" s="326"/>
      <c r="H8101" s="326"/>
      <c r="P8101" s="318"/>
      <c r="Q8101" s="318"/>
      <c r="R8101" s="318"/>
      <c r="S8101" s="318"/>
      <c r="T8101" s="318"/>
      <c r="U8101" s="318"/>
      <c r="V8101" s="318"/>
      <c r="W8101" s="318"/>
      <c r="X8101" s="318"/>
      <c r="Y8101" s="318"/>
      <c r="Z8101" s="318"/>
      <c r="AA8101" s="318"/>
      <c r="AB8101" s="318"/>
      <c r="AC8101" s="318"/>
      <c r="AD8101" s="318"/>
    </row>
    <row r="8102" spans="2:30" s="323" customFormat="1" ht="12" customHeight="1">
      <c r="B8102" s="324"/>
      <c r="C8102" s="325"/>
      <c r="D8102" s="326"/>
      <c r="E8102" s="326"/>
      <c r="F8102" s="326"/>
      <c r="G8102" s="326"/>
      <c r="H8102" s="326"/>
      <c r="P8102" s="318"/>
      <c r="Q8102" s="318"/>
      <c r="R8102" s="318"/>
      <c r="S8102" s="318"/>
      <c r="T8102" s="318"/>
      <c r="U8102" s="318"/>
      <c r="V8102" s="318"/>
      <c r="W8102" s="318"/>
      <c r="X8102" s="318"/>
      <c r="Y8102" s="318"/>
      <c r="Z8102" s="318"/>
      <c r="AA8102" s="318"/>
      <c r="AB8102" s="318"/>
      <c r="AC8102" s="318"/>
      <c r="AD8102" s="318"/>
    </row>
    <row r="8103" spans="2:30" s="323" customFormat="1" ht="12" customHeight="1">
      <c r="B8103" s="324"/>
      <c r="C8103" s="325"/>
      <c r="D8103" s="326"/>
      <c r="E8103" s="326"/>
      <c r="F8103" s="326"/>
      <c r="G8103" s="326"/>
      <c r="H8103" s="326"/>
      <c r="P8103" s="318"/>
      <c r="Q8103" s="318"/>
      <c r="R8103" s="318"/>
      <c r="S8103" s="318"/>
      <c r="T8103" s="318"/>
      <c r="U8103" s="318"/>
      <c r="V8103" s="318"/>
      <c r="W8103" s="318"/>
      <c r="X8103" s="318"/>
      <c r="Y8103" s="318"/>
      <c r="Z8103" s="318"/>
      <c r="AA8103" s="318"/>
      <c r="AB8103" s="318"/>
      <c r="AC8103" s="318"/>
      <c r="AD8103" s="318"/>
    </row>
    <row r="8104" spans="2:30" s="323" customFormat="1" ht="12" customHeight="1">
      <c r="B8104" s="324"/>
      <c r="C8104" s="325"/>
      <c r="D8104" s="326"/>
      <c r="E8104" s="326"/>
      <c r="F8104" s="326"/>
      <c r="G8104" s="326"/>
      <c r="H8104" s="326"/>
      <c r="P8104" s="318"/>
      <c r="Q8104" s="318"/>
      <c r="R8104" s="318"/>
      <c r="S8104" s="318"/>
      <c r="T8104" s="318"/>
      <c r="U8104" s="318"/>
      <c r="V8104" s="318"/>
      <c r="W8104" s="318"/>
      <c r="X8104" s="318"/>
      <c r="Y8104" s="318"/>
      <c r="Z8104" s="318"/>
      <c r="AA8104" s="318"/>
      <c r="AB8104" s="318"/>
      <c r="AC8104" s="318"/>
      <c r="AD8104" s="318"/>
    </row>
    <row r="8105" spans="2:30" s="323" customFormat="1" ht="12" customHeight="1">
      <c r="B8105" s="324"/>
      <c r="C8105" s="325"/>
      <c r="D8105" s="326"/>
      <c r="E8105" s="326"/>
      <c r="F8105" s="326"/>
      <c r="G8105" s="326"/>
      <c r="H8105" s="326"/>
      <c r="P8105" s="318"/>
      <c r="Q8105" s="318"/>
      <c r="R8105" s="318"/>
      <c r="S8105" s="318"/>
      <c r="T8105" s="318"/>
      <c r="U8105" s="318"/>
      <c r="V8105" s="318"/>
      <c r="W8105" s="318"/>
      <c r="X8105" s="318"/>
      <c r="Y8105" s="318"/>
      <c r="Z8105" s="318"/>
      <c r="AA8105" s="318"/>
      <c r="AB8105" s="318"/>
      <c r="AC8105" s="318"/>
      <c r="AD8105" s="318"/>
    </row>
    <row r="8106" spans="2:30" s="323" customFormat="1" ht="12" customHeight="1">
      <c r="B8106" s="324"/>
      <c r="C8106" s="325"/>
      <c r="D8106" s="326"/>
      <c r="E8106" s="326"/>
      <c r="F8106" s="326"/>
      <c r="G8106" s="326"/>
      <c r="H8106" s="326"/>
      <c r="P8106" s="318"/>
      <c r="Q8106" s="318"/>
      <c r="R8106" s="318"/>
      <c r="S8106" s="318"/>
      <c r="T8106" s="318"/>
      <c r="U8106" s="318"/>
      <c r="V8106" s="318"/>
      <c r="W8106" s="318"/>
      <c r="X8106" s="318"/>
      <c r="Y8106" s="318"/>
      <c r="Z8106" s="318"/>
      <c r="AA8106" s="318"/>
      <c r="AB8106" s="318"/>
      <c r="AC8106" s="318"/>
      <c r="AD8106" s="318"/>
    </row>
    <row r="8107" spans="2:30" s="323" customFormat="1" ht="12" customHeight="1">
      <c r="B8107" s="324"/>
      <c r="C8107" s="325"/>
      <c r="D8107" s="326"/>
      <c r="E8107" s="326"/>
      <c r="F8107" s="326"/>
      <c r="G8107" s="326"/>
      <c r="H8107" s="326"/>
      <c r="P8107" s="318"/>
      <c r="Q8107" s="318"/>
      <c r="R8107" s="318"/>
      <c r="S8107" s="318"/>
      <c r="T8107" s="318"/>
      <c r="U8107" s="318"/>
      <c r="V8107" s="318"/>
      <c r="W8107" s="318"/>
      <c r="X8107" s="318"/>
      <c r="Y8107" s="318"/>
      <c r="Z8107" s="318"/>
      <c r="AA8107" s="318"/>
      <c r="AB8107" s="318"/>
      <c r="AC8107" s="318"/>
      <c r="AD8107" s="318"/>
    </row>
    <row r="8108" spans="2:30" s="323" customFormat="1" ht="12" customHeight="1">
      <c r="B8108" s="324"/>
      <c r="C8108" s="325"/>
      <c r="D8108" s="326"/>
      <c r="E8108" s="326"/>
      <c r="F8108" s="326"/>
      <c r="G8108" s="326"/>
      <c r="H8108" s="326"/>
      <c r="P8108" s="318"/>
      <c r="Q8108" s="318"/>
      <c r="R8108" s="318"/>
      <c r="S8108" s="318"/>
      <c r="T8108" s="318"/>
      <c r="U8108" s="318"/>
      <c r="V8108" s="318"/>
      <c r="W8108" s="318"/>
      <c r="X8108" s="318"/>
      <c r="Y8108" s="318"/>
      <c r="Z8108" s="318"/>
      <c r="AA8108" s="318"/>
      <c r="AB8108" s="318"/>
      <c r="AC8108" s="318"/>
      <c r="AD8108" s="318"/>
    </row>
    <row r="8109" spans="2:30" s="323" customFormat="1" ht="12" customHeight="1">
      <c r="B8109" s="324"/>
      <c r="C8109" s="325"/>
      <c r="D8109" s="326"/>
      <c r="E8109" s="326"/>
      <c r="F8109" s="326"/>
      <c r="G8109" s="326"/>
      <c r="H8109" s="326"/>
      <c r="P8109" s="318"/>
      <c r="Q8109" s="318"/>
      <c r="R8109" s="318"/>
      <c r="S8109" s="318"/>
      <c r="T8109" s="318"/>
      <c r="U8109" s="318"/>
      <c r="V8109" s="318"/>
      <c r="W8109" s="318"/>
      <c r="X8109" s="318"/>
      <c r="Y8109" s="318"/>
      <c r="Z8109" s="318"/>
      <c r="AA8109" s="318"/>
      <c r="AB8109" s="318"/>
      <c r="AC8109" s="318"/>
      <c r="AD8109" s="318"/>
    </row>
    <row r="8110" spans="2:30" s="323" customFormat="1" ht="12" customHeight="1">
      <c r="B8110" s="324"/>
      <c r="C8110" s="325"/>
      <c r="D8110" s="326"/>
      <c r="E8110" s="326"/>
      <c r="F8110" s="326"/>
      <c r="G8110" s="326"/>
      <c r="H8110" s="326"/>
      <c r="P8110" s="318"/>
      <c r="Q8110" s="318"/>
      <c r="R8110" s="318"/>
      <c r="S8110" s="318"/>
      <c r="T8110" s="318"/>
      <c r="U8110" s="318"/>
      <c r="V8110" s="318"/>
      <c r="W8110" s="318"/>
      <c r="X8110" s="318"/>
      <c r="Y8110" s="318"/>
      <c r="Z8110" s="318"/>
      <c r="AA8110" s="318"/>
      <c r="AB8110" s="318"/>
      <c r="AC8110" s="318"/>
      <c r="AD8110" s="318"/>
    </row>
    <row r="8111" spans="2:30" s="323" customFormat="1" ht="12" customHeight="1">
      <c r="B8111" s="324"/>
      <c r="C8111" s="325"/>
      <c r="D8111" s="326"/>
      <c r="E8111" s="326"/>
      <c r="F8111" s="326"/>
      <c r="G8111" s="326"/>
      <c r="H8111" s="326"/>
      <c r="P8111" s="318"/>
      <c r="Q8111" s="318"/>
      <c r="R8111" s="318"/>
      <c r="S8111" s="318"/>
      <c r="T8111" s="318"/>
      <c r="U8111" s="318"/>
      <c r="V8111" s="318"/>
      <c r="W8111" s="318"/>
      <c r="X8111" s="318"/>
      <c r="Y8111" s="318"/>
      <c r="Z8111" s="318"/>
      <c r="AA8111" s="318"/>
      <c r="AB8111" s="318"/>
      <c r="AC8111" s="318"/>
      <c r="AD8111" s="318"/>
    </row>
    <row r="8112" spans="2:30" s="323" customFormat="1" ht="12" customHeight="1">
      <c r="B8112" s="324"/>
      <c r="C8112" s="325"/>
      <c r="D8112" s="326"/>
      <c r="E8112" s="326"/>
      <c r="F8112" s="326"/>
      <c r="G8112" s="326"/>
      <c r="H8112" s="326"/>
      <c r="P8112" s="318"/>
      <c r="Q8112" s="318"/>
      <c r="R8112" s="318"/>
      <c r="S8112" s="318"/>
      <c r="T8112" s="318"/>
      <c r="U8112" s="318"/>
      <c r="V8112" s="318"/>
      <c r="W8112" s="318"/>
      <c r="X8112" s="318"/>
      <c r="Y8112" s="318"/>
      <c r="Z8112" s="318"/>
      <c r="AA8112" s="318"/>
      <c r="AB8112" s="318"/>
      <c r="AC8112" s="318"/>
      <c r="AD8112" s="318"/>
    </row>
    <row r="8113" spans="2:30" s="323" customFormat="1" ht="12" customHeight="1">
      <c r="B8113" s="324"/>
      <c r="C8113" s="325"/>
      <c r="D8113" s="326"/>
      <c r="E8113" s="326"/>
      <c r="F8113" s="326"/>
      <c r="G8113" s="326"/>
      <c r="H8113" s="326"/>
      <c r="P8113" s="318"/>
      <c r="Q8113" s="318"/>
      <c r="R8113" s="318"/>
      <c r="S8113" s="318"/>
      <c r="T8113" s="318"/>
      <c r="U8113" s="318"/>
      <c r="V8113" s="318"/>
      <c r="W8113" s="318"/>
      <c r="X8113" s="318"/>
      <c r="Y8113" s="318"/>
      <c r="Z8113" s="318"/>
      <c r="AA8113" s="318"/>
      <c r="AB8113" s="318"/>
      <c r="AC8113" s="318"/>
      <c r="AD8113" s="318"/>
    </row>
    <row r="8114" spans="2:30" s="323" customFormat="1" ht="12" customHeight="1">
      <c r="B8114" s="324"/>
      <c r="C8114" s="325"/>
      <c r="D8114" s="326"/>
      <c r="E8114" s="326"/>
      <c r="F8114" s="326"/>
      <c r="G8114" s="326"/>
      <c r="H8114" s="326"/>
      <c r="P8114" s="318"/>
      <c r="Q8114" s="318"/>
      <c r="R8114" s="318"/>
      <c r="S8114" s="318"/>
      <c r="T8114" s="318"/>
      <c r="U8114" s="318"/>
      <c r="V8114" s="318"/>
      <c r="W8114" s="318"/>
      <c r="X8114" s="318"/>
      <c r="Y8114" s="318"/>
      <c r="Z8114" s="318"/>
      <c r="AA8114" s="318"/>
      <c r="AB8114" s="318"/>
      <c r="AC8114" s="318"/>
      <c r="AD8114" s="318"/>
    </row>
    <row r="8115" spans="2:30" s="323" customFormat="1" ht="12" customHeight="1">
      <c r="B8115" s="324"/>
      <c r="C8115" s="325"/>
      <c r="D8115" s="326"/>
      <c r="E8115" s="326"/>
      <c r="F8115" s="326"/>
      <c r="G8115" s="326"/>
      <c r="H8115" s="326"/>
      <c r="P8115" s="318"/>
      <c r="Q8115" s="318"/>
      <c r="R8115" s="318"/>
      <c r="S8115" s="318"/>
      <c r="T8115" s="318"/>
      <c r="U8115" s="318"/>
      <c r="V8115" s="318"/>
      <c r="W8115" s="318"/>
      <c r="X8115" s="318"/>
      <c r="Y8115" s="318"/>
      <c r="Z8115" s="318"/>
      <c r="AA8115" s="318"/>
      <c r="AB8115" s="318"/>
      <c r="AC8115" s="318"/>
      <c r="AD8115" s="318"/>
    </row>
    <row r="8116" spans="2:30" s="323" customFormat="1" ht="12" customHeight="1">
      <c r="B8116" s="324"/>
      <c r="C8116" s="325"/>
      <c r="D8116" s="326"/>
      <c r="E8116" s="326"/>
      <c r="F8116" s="326"/>
      <c r="G8116" s="326"/>
      <c r="H8116" s="326"/>
      <c r="P8116" s="318"/>
      <c r="Q8116" s="318"/>
      <c r="R8116" s="318"/>
      <c r="S8116" s="318"/>
      <c r="T8116" s="318"/>
      <c r="U8116" s="318"/>
      <c r="V8116" s="318"/>
      <c r="W8116" s="318"/>
      <c r="X8116" s="318"/>
      <c r="Y8116" s="318"/>
      <c r="Z8116" s="318"/>
      <c r="AA8116" s="318"/>
      <c r="AB8116" s="318"/>
      <c r="AC8116" s="318"/>
      <c r="AD8116" s="318"/>
    </row>
    <row r="8117" spans="2:30" s="323" customFormat="1" ht="12" customHeight="1">
      <c r="B8117" s="324"/>
      <c r="C8117" s="325"/>
      <c r="D8117" s="326"/>
      <c r="E8117" s="326"/>
      <c r="F8117" s="326"/>
      <c r="G8117" s="326"/>
      <c r="H8117" s="326"/>
      <c r="P8117" s="318"/>
      <c r="Q8117" s="318"/>
      <c r="R8117" s="318"/>
      <c r="S8117" s="318"/>
      <c r="T8117" s="318"/>
      <c r="U8117" s="318"/>
      <c r="V8117" s="318"/>
      <c r="W8117" s="318"/>
      <c r="X8117" s="318"/>
      <c r="Y8117" s="318"/>
      <c r="Z8117" s="318"/>
      <c r="AA8117" s="318"/>
      <c r="AB8117" s="318"/>
      <c r="AC8117" s="318"/>
      <c r="AD8117" s="318"/>
    </row>
    <row r="8118" spans="2:30" s="323" customFormat="1" ht="12" customHeight="1">
      <c r="B8118" s="324"/>
      <c r="C8118" s="325"/>
      <c r="D8118" s="326"/>
      <c r="E8118" s="326"/>
      <c r="F8118" s="326"/>
      <c r="G8118" s="326"/>
      <c r="H8118" s="326"/>
      <c r="P8118" s="318"/>
      <c r="Q8118" s="318"/>
      <c r="R8118" s="318"/>
      <c r="S8118" s="318"/>
      <c r="T8118" s="318"/>
      <c r="U8118" s="318"/>
      <c r="V8118" s="318"/>
      <c r="W8118" s="318"/>
      <c r="X8118" s="318"/>
      <c r="Y8118" s="318"/>
      <c r="Z8118" s="318"/>
      <c r="AA8118" s="318"/>
      <c r="AB8118" s="318"/>
      <c r="AC8118" s="318"/>
      <c r="AD8118" s="318"/>
    </row>
    <row r="8119" spans="2:30" s="323" customFormat="1" ht="12" customHeight="1">
      <c r="B8119" s="324"/>
      <c r="C8119" s="325"/>
      <c r="D8119" s="326"/>
      <c r="E8119" s="326"/>
      <c r="F8119" s="326"/>
      <c r="G8119" s="326"/>
      <c r="H8119" s="326"/>
      <c r="P8119" s="318"/>
      <c r="Q8119" s="318"/>
      <c r="R8119" s="318"/>
      <c r="S8119" s="318"/>
      <c r="T8119" s="318"/>
      <c r="U8119" s="318"/>
      <c r="V8119" s="318"/>
      <c r="W8119" s="318"/>
      <c r="X8119" s="318"/>
      <c r="Y8119" s="318"/>
      <c r="Z8119" s="318"/>
      <c r="AA8119" s="318"/>
      <c r="AB8119" s="318"/>
      <c r="AC8119" s="318"/>
      <c r="AD8119" s="318"/>
    </row>
    <row r="8120" spans="2:30" s="323" customFormat="1" ht="12" customHeight="1">
      <c r="B8120" s="324"/>
      <c r="C8120" s="325"/>
      <c r="D8120" s="326"/>
      <c r="E8120" s="326"/>
      <c r="F8120" s="326"/>
      <c r="G8120" s="326"/>
      <c r="H8120" s="326"/>
      <c r="P8120" s="318"/>
      <c r="Q8120" s="318"/>
      <c r="R8120" s="318"/>
      <c r="S8120" s="318"/>
      <c r="T8120" s="318"/>
      <c r="U8120" s="318"/>
      <c r="V8120" s="318"/>
      <c r="W8120" s="318"/>
      <c r="X8120" s="318"/>
      <c r="Y8120" s="318"/>
      <c r="Z8120" s="318"/>
      <c r="AA8120" s="318"/>
      <c r="AB8120" s="318"/>
      <c r="AC8120" s="318"/>
      <c r="AD8120" s="318"/>
    </row>
    <row r="8121" spans="2:30" s="323" customFormat="1" ht="12" customHeight="1">
      <c r="B8121" s="324"/>
      <c r="C8121" s="325"/>
      <c r="D8121" s="326"/>
      <c r="E8121" s="326"/>
      <c r="F8121" s="326"/>
      <c r="G8121" s="326"/>
      <c r="H8121" s="326"/>
      <c r="P8121" s="318"/>
      <c r="Q8121" s="318"/>
      <c r="R8121" s="318"/>
      <c r="S8121" s="318"/>
      <c r="T8121" s="318"/>
      <c r="U8121" s="318"/>
      <c r="V8121" s="318"/>
      <c r="W8121" s="318"/>
      <c r="X8121" s="318"/>
      <c r="Y8121" s="318"/>
      <c r="Z8121" s="318"/>
      <c r="AA8121" s="318"/>
      <c r="AB8121" s="318"/>
      <c r="AC8121" s="318"/>
      <c r="AD8121" s="318"/>
    </row>
    <row r="8122" spans="2:30" s="323" customFormat="1" ht="12" customHeight="1">
      <c r="B8122" s="324"/>
      <c r="C8122" s="325"/>
      <c r="D8122" s="326"/>
      <c r="E8122" s="326"/>
      <c r="F8122" s="326"/>
      <c r="G8122" s="326"/>
      <c r="H8122" s="326"/>
      <c r="P8122" s="318"/>
      <c r="Q8122" s="318"/>
      <c r="R8122" s="318"/>
      <c r="S8122" s="318"/>
      <c r="T8122" s="318"/>
      <c r="U8122" s="318"/>
      <c r="V8122" s="318"/>
      <c r="W8122" s="318"/>
      <c r="X8122" s="318"/>
      <c r="Y8122" s="318"/>
      <c r="Z8122" s="318"/>
      <c r="AA8122" s="318"/>
      <c r="AB8122" s="318"/>
      <c r="AC8122" s="318"/>
      <c r="AD8122" s="318"/>
    </row>
    <row r="8123" spans="2:30" s="323" customFormat="1" ht="12" customHeight="1">
      <c r="B8123" s="324"/>
      <c r="C8123" s="325"/>
      <c r="D8123" s="326"/>
      <c r="E8123" s="326"/>
      <c r="F8123" s="326"/>
      <c r="G8123" s="326"/>
      <c r="H8123" s="326"/>
      <c r="P8123" s="318"/>
      <c r="Q8123" s="318"/>
      <c r="R8123" s="318"/>
      <c r="S8123" s="318"/>
      <c r="T8123" s="318"/>
      <c r="U8123" s="318"/>
      <c r="V8123" s="318"/>
      <c r="W8123" s="318"/>
      <c r="X8123" s="318"/>
      <c r="Y8123" s="318"/>
      <c r="Z8123" s="318"/>
      <c r="AA8123" s="318"/>
      <c r="AB8123" s="318"/>
      <c r="AC8123" s="318"/>
      <c r="AD8123" s="318"/>
    </row>
    <row r="8124" spans="2:30" s="323" customFormat="1" ht="12" customHeight="1">
      <c r="B8124" s="324"/>
      <c r="C8124" s="325"/>
      <c r="D8124" s="326"/>
      <c r="E8124" s="326"/>
      <c r="F8124" s="326"/>
      <c r="G8124" s="326"/>
      <c r="H8124" s="326"/>
      <c r="P8124" s="318"/>
      <c r="Q8124" s="318"/>
      <c r="R8124" s="318"/>
      <c r="S8124" s="318"/>
      <c r="T8124" s="318"/>
      <c r="U8124" s="318"/>
      <c r="V8124" s="318"/>
      <c r="W8124" s="318"/>
      <c r="X8124" s="318"/>
      <c r="Y8124" s="318"/>
      <c r="Z8124" s="318"/>
      <c r="AA8124" s="318"/>
      <c r="AB8124" s="318"/>
      <c r="AC8124" s="318"/>
      <c r="AD8124" s="318"/>
    </row>
    <row r="8125" spans="2:30" s="323" customFormat="1" ht="12" customHeight="1">
      <c r="B8125" s="324"/>
      <c r="C8125" s="325"/>
      <c r="D8125" s="326"/>
      <c r="E8125" s="326"/>
      <c r="F8125" s="326"/>
      <c r="G8125" s="326"/>
      <c r="H8125" s="326"/>
      <c r="P8125" s="318"/>
      <c r="Q8125" s="318"/>
      <c r="R8125" s="318"/>
      <c r="S8125" s="318"/>
      <c r="T8125" s="318"/>
      <c r="U8125" s="318"/>
      <c r="V8125" s="318"/>
      <c r="W8125" s="318"/>
      <c r="X8125" s="318"/>
      <c r="Y8125" s="318"/>
      <c r="Z8125" s="318"/>
      <c r="AA8125" s="318"/>
      <c r="AB8125" s="318"/>
      <c r="AC8125" s="318"/>
      <c r="AD8125" s="318"/>
    </row>
    <row r="8126" spans="2:30" s="323" customFormat="1" ht="12" customHeight="1">
      <c r="B8126" s="324"/>
      <c r="C8126" s="325"/>
      <c r="D8126" s="326"/>
      <c r="E8126" s="326"/>
      <c r="F8126" s="326"/>
      <c r="G8126" s="326"/>
      <c r="H8126" s="326"/>
      <c r="P8126" s="318"/>
      <c r="Q8126" s="318"/>
      <c r="R8126" s="318"/>
      <c r="S8126" s="318"/>
      <c r="T8126" s="318"/>
      <c r="U8126" s="318"/>
      <c r="V8126" s="318"/>
      <c r="W8126" s="318"/>
      <c r="X8126" s="318"/>
      <c r="Y8126" s="318"/>
      <c r="Z8126" s="318"/>
      <c r="AA8126" s="318"/>
      <c r="AB8126" s="318"/>
      <c r="AC8126" s="318"/>
      <c r="AD8126" s="318"/>
    </row>
    <row r="8127" spans="2:30" s="323" customFormat="1" ht="12" customHeight="1">
      <c r="B8127" s="324"/>
      <c r="C8127" s="325"/>
      <c r="D8127" s="326"/>
      <c r="E8127" s="326"/>
      <c r="F8127" s="326"/>
      <c r="G8127" s="326"/>
      <c r="H8127" s="326"/>
      <c r="P8127" s="318"/>
      <c r="Q8127" s="318"/>
      <c r="R8127" s="318"/>
      <c r="S8127" s="318"/>
      <c r="T8127" s="318"/>
      <c r="U8127" s="318"/>
      <c r="V8127" s="318"/>
      <c r="W8127" s="318"/>
      <c r="X8127" s="318"/>
      <c r="Y8127" s="318"/>
      <c r="Z8127" s="318"/>
      <c r="AA8127" s="318"/>
      <c r="AB8127" s="318"/>
      <c r="AC8127" s="318"/>
      <c r="AD8127" s="318"/>
    </row>
    <row r="8128" spans="2:30" s="323" customFormat="1" ht="12" customHeight="1">
      <c r="B8128" s="324"/>
      <c r="C8128" s="325"/>
      <c r="D8128" s="326"/>
      <c r="E8128" s="326"/>
      <c r="F8128" s="326"/>
      <c r="G8128" s="326"/>
      <c r="H8128" s="326"/>
      <c r="P8128" s="318"/>
      <c r="Q8128" s="318"/>
      <c r="R8128" s="318"/>
      <c r="S8128" s="318"/>
      <c r="T8128" s="318"/>
      <c r="U8128" s="318"/>
      <c r="V8128" s="318"/>
      <c r="W8128" s="318"/>
      <c r="X8128" s="318"/>
      <c r="Y8128" s="318"/>
      <c r="Z8128" s="318"/>
      <c r="AA8128" s="318"/>
      <c r="AB8128" s="318"/>
      <c r="AC8128" s="318"/>
      <c r="AD8128" s="318"/>
    </row>
    <row r="8129" spans="2:30" s="323" customFormat="1" ht="12" customHeight="1">
      <c r="B8129" s="324"/>
      <c r="C8129" s="325"/>
      <c r="D8129" s="326"/>
      <c r="E8129" s="326"/>
      <c r="F8129" s="326"/>
      <c r="G8129" s="326"/>
      <c r="H8129" s="326"/>
      <c r="P8129" s="318"/>
      <c r="Q8129" s="318"/>
      <c r="R8129" s="318"/>
      <c r="S8129" s="318"/>
      <c r="T8129" s="318"/>
      <c r="U8129" s="318"/>
      <c r="V8129" s="318"/>
      <c r="W8129" s="318"/>
      <c r="X8129" s="318"/>
      <c r="Y8129" s="318"/>
      <c r="Z8129" s="318"/>
      <c r="AA8129" s="318"/>
      <c r="AB8129" s="318"/>
      <c r="AC8129" s="318"/>
      <c r="AD8129" s="318"/>
    </row>
    <row r="8130" spans="2:30" s="323" customFormat="1" ht="12" customHeight="1">
      <c r="B8130" s="324"/>
      <c r="C8130" s="325"/>
      <c r="D8130" s="326"/>
      <c r="E8130" s="326"/>
      <c r="F8130" s="326"/>
      <c r="G8130" s="326"/>
      <c r="H8130" s="326"/>
      <c r="P8130" s="318"/>
      <c r="Q8130" s="318"/>
      <c r="R8130" s="318"/>
      <c r="S8130" s="318"/>
      <c r="T8130" s="318"/>
      <c r="U8130" s="318"/>
      <c r="V8130" s="318"/>
      <c r="W8130" s="318"/>
      <c r="X8130" s="318"/>
      <c r="Y8130" s="318"/>
      <c r="Z8130" s="318"/>
      <c r="AA8130" s="318"/>
      <c r="AB8130" s="318"/>
      <c r="AC8130" s="318"/>
      <c r="AD8130" s="318"/>
    </row>
    <row r="8131" spans="2:30" s="323" customFormat="1" ht="12" customHeight="1">
      <c r="B8131" s="324"/>
      <c r="C8131" s="325"/>
      <c r="D8131" s="326"/>
      <c r="E8131" s="326"/>
      <c r="F8131" s="326"/>
      <c r="G8131" s="326"/>
      <c r="H8131" s="326"/>
      <c r="P8131" s="318"/>
      <c r="Q8131" s="318"/>
      <c r="R8131" s="318"/>
      <c r="S8131" s="318"/>
      <c r="T8131" s="318"/>
      <c r="U8131" s="318"/>
      <c r="V8131" s="318"/>
      <c r="W8131" s="318"/>
      <c r="X8131" s="318"/>
      <c r="Y8131" s="318"/>
      <c r="Z8131" s="318"/>
      <c r="AA8131" s="318"/>
      <c r="AB8131" s="318"/>
      <c r="AC8131" s="318"/>
      <c r="AD8131" s="318"/>
    </row>
    <row r="8132" spans="2:30" s="323" customFormat="1" ht="12" customHeight="1">
      <c r="B8132" s="324"/>
      <c r="C8132" s="325"/>
      <c r="D8132" s="326"/>
      <c r="E8132" s="326"/>
      <c r="F8132" s="326"/>
      <c r="G8132" s="326"/>
      <c r="H8132" s="326"/>
      <c r="P8132" s="318"/>
      <c r="Q8132" s="318"/>
      <c r="R8132" s="318"/>
      <c r="S8132" s="318"/>
      <c r="T8132" s="318"/>
      <c r="U8132" s="318"/>
      <c r="V8132" s="318"/>
      <c r="W8132" s="318"/>
      <c r="X8132" s="318"/>
      <c r="Y8132" s="318"/>
      <c r="Z8132" s="318"/>
      <c r="AA8132" s="318"/>
      <c r="AB8132" s="318"/>
      <c r="AC8132" s="318"/>
      <c r="AD8132" s="318"/>
    </row>
    <row r="8133" spans="2:30" s="323" customFormat="1" ht="12" customHeight="1">
      <c r="B8133" s="324"/>
      <c r="C8133" s="325"/>
      <c r="D8133" s="326"/>
      <c r="E8133" s="326"/>
      <c r="F8133" s="326"/>
      <c r="G8133" s="326"/>
      <c r="H8133" s="326"/>
      <c r="P8133" s="318"/>
      <c r="Q8133" s="318"/>
      <c r="R8133" s="318"/>
      <c r="S8133" s="318"/>
      <c r="T8133" s="318"/>
      <c r="U8133" s="318"/>
      <c r="V8133" s="318"/>
      <c r="W8133" s="318"/>
      <c r="X8133" s="318"/>
      <c r="Y8133" s="318"/>
      <c r="Z8133" s="318"/>
      <c r="AA8133" s="318"/>
      <c r="AB8133" s="318"/>
      <c r="AC8133" s="318"/>
      <c r="AD8133" s="318"/>
    </row>
    <row r="8134" spans="2:30" s="323" customFormat="1" ht="12" customHeight="1">
      <c r="B8134" s="324"/>
      <c r="C8134" s="325"/>
      <c r="D8134" s="326"/>
      <c r="E8134" s="326"/>
      <c r="F8134" s="326"/>
      <c r="G8134" s="326"/>
      <c r="H8134" s="326"/>
      <c r="P8134" s="318"/>
      <c r="Q8134" s="318"/>
      <c r="R8134" s="318"/>
      <c r="S8134" s="318"/>
      <c r="T8134" s="318"/>
      <c r="U8134" s="318"/>
      <c r="V8134" s="318"/>
      <c r="W8134" s="318"/>
      <c r="X8134" s="318"/>
      <c r="Y8134" s="318"/>
      <c r="Z8134" s="318"/>
      <c r="AA8134" s="318"/>
      <c r="AB8134" s="318"/>
      <c r="AC8134" s="318"/>
      <c r="AD8134" s="318"/>
    </row>
    <row r="8135" spans="2:30" s="323" customFormat="1" ht="12" customHeight="1">
      <c r="B8135" s="324"/>
      <c r="C8135" s="325"/>
      <c r="D8135" s="326"/>
      <c r="E8135" s="326"/>
      <c r="F8135" s="326"/>
      <c r="G8135" s="326"/>
      <c r="H8135" s="326"/>
      <c r="P8135" s="318"/>
      <c r="Q8135" s="318"/>
      <c r="R8135" s="318"/>
      <c r="S8135" s="318"/>
      <c r="T8135" s="318"/>
      <c r="U8135" s="318"/>
      <c r="V8135" s="318"/>
      <c r="W8135" s="318"/>
      <c r="X8135" s="318"/>
      <c r="Y8135" s="318"/>
      <c r="Z8135" s="318"/>
      <c r="AA8135" s="318"/>
      <c r="AB8135" s="318"/>
      <c r="AC8135" s="318"/>
      <c r="AD8135" s="318"/>
    </row>
    <row r="8136" spans="2:30" s="323" customFormat="1" ht="12" customHeight="1">
      <c r="B8136" s="324"/>
      <c r="C8136" s="325"/>
      <c r="D8136" s="326"/>
      <c r="E8136" s="326"/>
      <c r="F8136" s="326"/>
      <c r="G8136" s="326"/>
      <c r="H8136" s="326"/>
      <c r="P8136" s="318"/>
      <c r="Q8136" s="318"/>
      <c r="R8136" s="318"/>
      <c r="S8136" s="318"/>
      <c r="T8136" s="318"/>
      <c r="U8136" s="318"/>
      <c r="V8136" s="318"/>
      <c r="W8136" s="318"/>
      <c r="X8136" s="318"/>
      <c r="Y8136" s="318"/>
      <c r="Z8136" s="318"/>
      <c r="AA8136" s="318"/>
      <c r="AB8136" s="318"/>
      <c r="AC8136" s="318"/>
      <c r="AD8136" s="318"/>
    </row>
    <row r="8137" spans="2:30" s="323" customFormat="1" ht="12" customHeight="1">
      <c r="B8137" s="324"/>
      <c r="C8137" s="325"/>
      <c r="D8137" s="326"/>
      <c r="E8137" s="326"/>
      <c r="F8137" s="326"/>
      <c r="G8137" s="326"/>
      <c r="H8137" s="326"/>
      <c r="P8137" s="318"/>
      <c r="Q8137" s="318"/>
      <c r="R8137" s="318"/>
      <c r="S8137" s="318"/>
      <c r="T8137" s="318"/>
      <c r="U8137" s="318"/>
      <c r="V8137" s="318"/>
      <c r="W8137" s="318"/>
      <c r="X8137" s="318"/>
      <c r="Y8137" s="318"/>
      <c r="Z8137" s="318"/>
      <c r="AA8137" s="318"/>
      <c r="AB8137" s="318"/>
      <c r="AC8137" s="318"/>
      <c r="AD8137" s="318"/>
    </row>
    <row r="8138" spans="2:30" s="323" customFormat="1" ht="12" customHeight="1">
      <c r="B8138" s="324"/>
      <c r="C8138" s="325"/>
      <c r="D8138" s="326"/>
      <c r="E8138" s="326"/>
      <c r="F8138" s="326"/>
      <c r="G8138" s="326"/>
      <c r="H8138" s="326"/>
      <c r="P8138" s="318"/>
      <c r="Q8138" s="318"/>
      <c r="R8138" s="318"/>
      <c r="S8138" s="318"/>
      <c r="T8138" s="318"/>
      <c r="U8138" s="318"/>
      <c r="V8138" s="318"/>
      <c r="W8138" s="318"/>
      <c r="X8138" s="318"/>
      <c r="Y8138" s="318"/>
      <c r="Z8138" s="318"/>
      <c r="AA8138" s="318"/>
      <c r="AB8138" s="318"/>
      <c r="AC8138" s="318"/>
      <c r="AD8138" s="318"/>
    </row>
    <row r="8139" spans="2:30" s="323" customFormat="1" ht="12" customHeight="1">
      <c r="B8139" s="324"/>
      <c r="C8139" s="325"/>
      <c r="D8139" s="326"/>
      <c r="E8139" s="326"/>
      <c r="F8139" s="326"/>
      <c r="G8139" s="326"/>
      <c r="H8139" s="326"/>
      <c r="P8139" s="318"/>
      <c r="Q8139" s="318"/>
      <c r="R8139" s="318"/>
      <c r="S8139" s="318"/>
      <c r="T8139" s="318"/>
      <c r="U8139" s="318"/>
      <c r="V8139" s="318"/>
      <c r="W8139" s="318"/>
      <c r="X8139" s="318"/>
      <c r="Y8139" s="318"/>
      <c r="Z8139" s="318"/>
      <c r="AA8139" s="318"/>
      <c r="AB8139" s="318"/>
      <c r="AC8139" s="318"/>
      <c r="AD8139" s="318"/>
    </row>
    <row r="8140" spans="2:30" s="323" customFormat="1" ht="12" customHeight="1">
      <c r="B8140" s="324"/>
      <c r="C8140" s="325"/>
      <c r="D8140" s="326"/>
      <c r="E8140" s="326"/>
      <c r="F8140" s="326"/>
      <c r="G8140" s="326"/>
      <c r="H8140" s="326"/>
      <c r="P8140" s="318"/>
      <c r="Q8140" s="318"/>
      <c r="R8140" s="318"/>
      <c r="S8140" s="318"/>
      <c r="T8140" s="318"/>
      <c r="U8140" s="318"/>
      <c r="V8140" s="318"/>
      <c r="W8140" s="318"/>
      <c r="X8140" s="318"/>
      <c r="Y8140" s="318"/>
      <c r="Z8140" s="318"/>
      <c r="AA8140" s="318"/>
      <c r="AB8140" s="318"/>
      <c r="AC8140" s="318"/>
      <c r="AD8140" s="318"/>
    </row>
    <row r="8141" spans="2:30" s="323" customFormat="1" ht="12" customHeight="1">
      <c r="B8141" s="324"/>
      <c r="C8141" s="325"/>
      <c r="D8141" s="326"/>
      <c r="E8141" s="326"/>
      <c r="F8141" s="326"/>
      <c r="G8141" s="326"/>
      <c r="H8141" s="326"/>
      <c r="P8141" s="318"/>
      <c r="Q8141" s="318"/>
      <c r="R8141" s="318"/>
      <c r="S8141" s="318"/>
      <c r="T8141" s="318"/>
      <c r="U8141" s="318"/>
      <c r="V8141" s="318"/>
      <c r="W8141" s="318"/>
      <c r="X8141" s="318"/>
      <c r="Y8141" s="318"/>
      <c r="Z8141" s="318"/>
      <c r="AA8141" s="318"/>
      <c r="AB8141" s="318"/>
      <c r="AC8141" s="318"/>
      <c r="AD8141" s="318"/>
    </row>
    <row r="8142" spans="2:30" s="323" customFormat="1" ht="12" customHeight="1">
      <c r="B8142" s="324"/>
      <c r="C8142" s="325"/>
      <c r="D8142" s="326"/>
      <c r="E8142" s="326"/>
      <c r="F8142" s="326"/>
      <c r="G8142" s="326"/>
      <c r="H8142" s="326"/>
      <c r="P8142" s="318"/>
      <c r="Q8142" s="318"/>
      <c r="R8142" s="318"/>
      <c r="S8142" s="318"/>
      <c r="T8142" s="318"/>
      <c r="U8142" s="318"/>
      <c r="V8142" s="318"/>
      <c r="W8142" s="318"/>
      <c r="X8142" s="318"/>
      <c r="Y8142" s="318"/>
      <c r="Z8142" s="318"/>
      <c r="AA8142" s="318"/>
      <c r="AB8142" s="318"/>
      <c r="AC8142" s="318"/>
      <c r="AD8142" s="318"/>
    </row>
    <row r="8143" spans="2:30" s="323" customFormat="1" ht="12" customHeight="1">
      <c r="B8143" s="324"/>
      <c r="C8143" s="325"/>
      <c r="D8143" s="326"/>
      <c r="E8143" s="326"/>
      <c r="F8143" s="326"/>
      <c r="G8143" s="326"/>
      <c r="H8143" s="326"/>
      <c r="P8143" s="318"/>
      <c r="Q8143" s="318"/>
      <c r="R8143" s="318"/>
      <c r="S8143" s="318"/>
      <c r="T8143" s="318"/>
      <c r="U8143" s="318"/>
      <c r="V8143" s="318"/>
      <c r="W8143" s="318"/>
      <c r="X8143" s="318"/>
      <c r="Y8143" s="318"/>
      <c r="Z8143" s="318"/>
      <c r="AA8143" s="318"/>
      <c r="AB8143" s="318"/>
      <c r="AC8143" s="318"/>
      <c r="AD8143" s="318"/>
    </row>
    <row r="8144" spans="2:30" s="323" customFormat="1" ht="12" customHeight="1">
      <c r="B8144" s="324"/>
      <c r="C8144" s="325"/>
      <c r="D8144" s="326"/>
      <c r="E8144" s="326"/>
      <c r="F8144" s="326"/>
      <c r="G8144" s="326"/>
      <c r="H8144" s="326"/>
      <c r="P8144" s="318"/>
      <c r="Q8144" s="318"/>
      <c r="R8144" s="318"/>
      <c r="S8144" s="318"/>
      <c r="T8144" s="318"/>
      <c r="U8144" s="318"/>
      <c r="V8144" s="318"/>
      <c r="W8144" s="318"/>
      <c r="X8144" s="318"/>
      <c r="Y8144" s="318"/>
      <c r="Z8144" s="318"/>
      <c r="AA8144" s="318"/>
      <c r="AB8144" s="318"/>
      <c r="AC8144" s="318"/>
      <c r="AD8144" s="318"/>
    </row>
    <row r="8145" spans="2:30" s="323" customFormat="1" ht="12" customHeight="1">
      <c r="B8145" s="324"/>
      <c r="C8145" s="325"/>
      <c r="D8145" s="326"/>
      <c r="E8145" s="326"/>
      <c r="F8145" s="326"/>
      <c r="G8145" s="326"/>
      <c r="H8145" s="326"/>
      <c r="P8145" s="318"/>
      <c r="Q8145" s="318"/>
      <c r="R8145" s="318"/>
      <c r="S8145" s="318"/>
      <c r="T8145" s="318"/>
      <c r="U8145" s="318"/>
      <c r="V8145" s="318"/>
      <c r="W8145" s="318"/>
      <c r="X8145" s="318"/>
      <c r="Y8145" s="318"/>
      <c r="Z8145" s="318"/>
      <c r="AA8145" s="318"/>
      <c r="AB8145" s="318"/>
      <c r="AC8145" s="318"/>
      <c r="AD8145" s="318"/>
    </row>
    <row r="8146" spans="2:30" s="323" customFormat="1" ht="12" customHeight="1">
      <c r="B8146" s="324"/>
      <c r="C8146" s="325"/>
      <c r="D8146" s="326"/>
      <c r="E8146" s="326"/>
      <c r="F8146" s="326"/>
      <c r="G8146" s="326"/>
      <c r="H8146" s="326"/>
      <c r="P8146" s="318"/>
      <c r="Q8146" s="318"/>
      <c r="R8146" s="318"/>
      <c r="S8146" s="318"/>
      <c r="T8146" s="318"/>
      <c r="U8146" s="318"/>
      <c r="V8146" s="318"/>
      <c r="W8146" s="318"/>
      <c r="X8146" s="318"/>
      <c r="Y8146" s="318"/>
      <c r="Z8146" s="318"/>
      <c r="AA8146" s="318"/>
      <c r="AB8146" s="318"/>
      <c r="AC8146" s="318"/>
      <c r="AD8146" s="318"/>
    </row>
    <row r="8147" spans="2:30" s="323" customFormat="1" ht="12" customHeight="1">
      <c r="B8147" s="324"/>
      <c r="C8147" s="325"/>
      <c r="D8147" s="326"/>
      <c r="E8147" s="326"/>
      <c r="F8147" s="326"/>
      <c r="G8147" s="326"/>
      <c r="H8147" s="326"/>
      <c r="P8147" s="318"/>
      <c r="Q8147" s="318"/>
      <c r="R8147" s="318"/>
      <c r="S8147" s="318"/>
      <c r="T8147" s="318"/>
      <c r="U8147" s="318"/>
      <c r="V8147" s="318"/>
      <c r="W8147" s="318"/>
      <c r="X8147" s="318"/>
      <c r="Y8147" s="318"/>
      <c r="Z8147" s="318"/>
      <c r="AA8147" s="318"/>
      <c r="AB8147" s="318"/>
      <c r="AC8147" s="318"/>
      <c r="AD8147" s="318"/>
    </row>
    <row r="8148" spans="2:30" s="323" customFormat="1" ht="12" customHeight="1">
      <c r="B8148" s="324"/>
      <c r="C8148" s="325"/>
      <c r="D8148" s="326"/>
      <c r="E8148" s="326"/>
      <c r="F8148" s="326"/>
      <c r="G8148" s="326"/>
      <c r="H8148" s="326"/>
      <c r="P8148" s="318"/>
      <c r="Q8148" s="318"/>
      <c r="R8148" s="318"/>
      <c r="S8148" s="318"/>
      <c r="T8148" s="318"/>
      <c r="U8148" s="318"/>
      <c r="V8148" s="318"/>
      <c r="W8148" s="318"/>
      <c r="X8148" s="318"/>
      <c r="Y8148" s="318"/>
      <c r="Z8148" s="318"/>
      <c r="AA8148" s="318"/>
      <c r="AB8148" s="318"/>
      <c r="AC8148" s="318"/>
      <c r="AD8148" s="318"/>
    </row>
    <row r="8149" spans="2:30" s="323" customFormat="1" ht="12" customHeight="1">
      <c r="B8149" s="324"/>
      <c r="C8149" s="325"/>
      <c r="D8149" s="326"/>
      <c r="E8149" s="326"/>
      <c r="F8149" s="326"/>
      <c r="G8149" s="326"/>
      <c r="H8149" s="326"/>
      <c r="P8149" s="318"/>
      <c r="Q8149" s="318"/>
      <c r="R8149" s="318"/>
      <c r="S8149" s="318"/>
      <c r="T8149" s="318"/>
      <c r="U8149" s="318"/>
      <c r="V8149" s="318"/>
      <c r="W8149" s="318"/>
      <c r="X8149" s="318"/>
      <c r="Y8149" s="318"/>
      <c r="Z8149" s="318"/>
      <c r="AA8149" s="318"/>
      <c r="AB8149" s="318"/>
      <c r="AC8149" s="318"/>
      <c r="AD8149" s="318"/>
    </row>
    <row r="8150" spans="2:30" s="323" customFormat="1" ht="12" customHeight="1">
      <c r="B8150" s="324"/>
      <c r="C8150" s="325"/>
      <c r="D8150" s="326"/>
      <c r="E8150" s="326"/>
      <c r="F8150" s="326"/>
      <c r="G8150" s="326"/>
      <c r="H8150" s="326"/>
      <c r="P8150" s="318"/>
      <c r="Q8150" s="318"/>
      <c r="R8150" s="318"/>
      <c r="S8150" s="318"/>
      <c r="T8150" s="318"/>
      <c r="U8150" s="318"/>
      <c r="V8150" s="318"/>
      <c r="W8150" s="318"/>
      <c r="X8150" s="318"/>
      <c r="Y8150" s="318"/>
      <c r="Z8150" s="318"/>
      <c r="AA8150" s="318"/>
      <c r="AB8150" s="318"/>
      <c r="AC8150" s="318"/>
      <c r="AD8150" s="318"/>
    </row>
    <row r="8151" spans="2:30" s="323" customFormat="1" ht="12" customHeight="1">
      <c r="B8151" s="324"/>
      <c r="C8151" s="325"/>
      <c r="D8151" s="326"/>
      <c r="E8151" s="326"/>
      <c r="F8151" s="326"/>
      <c r="G8151" s="326"/>
      <c r="H8151" s="326"/>
      <c r="P8151" s="318"/>
      <c r="Q8151" s="318"/>
      <c r="R8151" s="318"/>
      <c r="S8151" s="318"/>
      <c r="T8151" s="318"/>
      <c r="U8151" s="318"/>
      <c r="V8151" s="318"/>
      <c r="W8151" s="318"/>
      <c r="X8151" s="318"/>
      <c r="Y8151" s="318"/>
      <c r="Z8151" s="318"/>
      <c r="AA8151" s="318"/>
      <c r="AB8151" s="318"/>
      <c r="AC8151" s="318"/>
      <c r="AD8151" s="318"/>
    </row>
    <row r="8152" spans="2:30" s="323" customFormat="1" ht="12" customHeight="1">
      <c r="B8152" s="324"/>
      <c r="C8152" s="325"/>
      <c r="D8152" s="326"/>
      <c r="E8152" s="326"/>
      <c r="F8152" s="326"/>
      <c r="G8152" s="326"/>
      <c r="H8152" s="326"/>
      <c r="P8152" s="318"/>
      <c r="Q8152" s="318"/>
      <c r="R8152" s="318"/>
      <c r="S8152" s="318"/>
      <c r="T8152" s="318"/>
      <c r="U8152" s="318"/>
      <c r="V8152" s="318"/>
      <c r="W8152" s="318"/>
      <c r="X8152" s="318"/>
      <c r="Y8152" s="318"/>
      <c r="Z8152" s="318"/>
      <c r="AA8152" s="318"/>
      <c r="AB8152" s="318"/>
      <c r="AC8152" s="318"/>
      <c r="AD8152" s="318"/>
    </row>
    <row r="8153" spans="2:30" s="323" customFormat="1" ht="12" customHeight="1">
      <c r="B8153" s="324"/>
      <c r="C8153" s="325"/>
      <c r="D8153" s="326"/>
      <c r="E8153" s="326"/>
      <c r="F8153" s="326"/>
      <c r="G8153" s="326"/>
      <c r="H8153" s="326"/>
      <c r="P8153" s="318"/>
      <c r="Q8153" s="318"/>
      <c r="R8153" s="318"/>
      <c r="S8153" s="318"/>
      <c r="T8153" s="318"/>
      <c r="U8153" s="318"/>
      <c r="V8153" s="318"/>
      <c r="W8153" s="318"/>
      <c r="X8153" s="318"/>
      <c r="Y8153" s="318"/>
      <c r="Z8153" s="318"/>
      <c r="AA8153" s="318"/>
      <c r="AB8153" s="318"/>
      <c r="AC8153" s="318"/>
      <c r="AD8153" s="318"/>
    </row>
    <row r="8154" spans="2:30" s="323" customFormat="1" ht="12" customHeight="1">
      <c r="B8154" s="324"/>
      <c r="C8154" s="325"/>
      <c r="D8154" s="326"/>
      <c r="E8154" s="326"/>
      <c r="F8154" s="326"/>
      <c r="G8154" s="326"/>
      <c r="H8154" s="326"/>
      <c r="P8154" s="318"/>
      <c r="Q8154" s="318"/>
      <c r="R8154" s="318"/>
      <c r="S8154" s="318"/>
      <c r="T8154" s="318"/>
      <c r="U8154" s="318"/>
      <c r="V8154" s="318"/>
      <c r="W8154" s="318"/>
      <c r="X8154" s="318"/>
      <c r="Y8154" s="318"/>
      <c r="Z8154" s="318"/>
      <c r="AA8154" s="318"/>
      <c r="AB8154" s="318"/>
      <c r="AC8154" s="318"/>
      <c r="AD8154" s="318"/>
    </row>
    <row r="8155" spans="2:30" s="323" customFormat="1" ht="12" customHeight="1">
      <c r="B8155" s="324"/>
      <c r="C8155" s="325"/>
      <c r="D8155" s="326"/>
      <c r="E8155" s="326"/>
      <c r="F8155" s="326"/>
      <c r="G8155" s="326"/>
      <c r="H8155" s="326"/>
      <c r="P8155" s="318"/>
      <c r="Q8155" s="318"/>
      <c r="R8155" s="318"/>
      <c r="S8155" s="318"/>
      <c r="T8155" s="318"/>
      <c r="U8155" s="318"/>
      <c r="V8155" s="318"/>
      <c r="W8155" s="318"/>
      <c r="X8155" s="318"/>
      <c r="Y8155" s="318"/>
      <c r="Z8155" s="318"/>
      <c r="AA8155" s="318"/>
      <c r="AB8155" s="318"/>
      <c r="AC8155" s="318"/>
      <c r="AD8155" s="318"/>
    </row>
    <row r="8156" spans="2:30" s="323" customFormat="1" ht="12" customHeight="1">
      <c r="B8156" s="324"/>
      <c r="C8156" s="325"/>
      <c r="D8156" s="326"/>
      <c r="E8156" s="326"/>
      <c r="F8156" s="326"/>
      <c r="G8156" s="326"/>
      <c r="H8156" s="326"/>
      <c r="P8156" s="318"/>
      <c r="Q8156" s="318"/>
      <c r="R8156" s="318"/>
      <c r="S8156" s="318"/>
      <c r="T8156" s="318"/>
      <c r="U8156" s="318"/>
      <c r="V8156" s="318"/>
      <c r="W8156" s="318"/>
      <c r="X8156" s="318"/>
      <c r="Y8156" s="318"/>
      <c r="Z8156" s="318"/>
      <c r="AA8156" s="318"/>
      <c r="AB8156" s="318"/>
      <c r="AC8156" s="318"/>
      <c r="AD8156" s="318"/>
    </row>
    <row r="8157" spans="2:30" s="323" customFormat="1" ht="12" customHeight="1">
      <c r="B8157" s="324"/>
      <c r="C8157" s="325"/>
      <c r="D8157" s="326"/>
      <c r="E8157" s="326"/>
      <c r="F8157" s="326"/>
      <c r="G8157" s="326"/>
      <c r="H8157" s="326"/>
      <c r="P8157" s="318"/>
      <c r="Q8157" s="318"/>
      <c r="R8157" s="318"/>
      <c r="S8157" s="318"/>
      <c r="T8157" s="318"/>
      <c r="U8157" s="318"/>
      <c r="V8157" s="318"/>
      <c r="W8157" s="318"/>
      <c r="X8157" s="318"/>
      <c r="Y8157" s="318"/>
      <c r="Z8157" s="318"/>
      <c r="AA8157" s="318"/>
      <c r="AB8157" s="318"/>
      <c r="AC8157" s="318"/>
      <c r="AD8157" s="318"/>
    </row>
    <row r="8158" spans="2:30" s="323" customFormat="1" ht="12" customHeight="1">
      <c r="B8158" s="324"/>
      <c r="C8158" s="325"/>
      <c r="D8158" s="326"/>
      <c r="E8158" s="326"/>
      <c r="F8158" s="326"/>
      <c r="G8158" s="326"/>
      <c r="H8158" s="326"/>
      <c r="P8158" s="318"/>
      <c r="Q8158" s="318"/>
      <c r="R8158" s="318"/>
      <c r="S8158" s="318"/>
      <c r="T8158" s="318"/>
      <c r="U8158" s="318"/>
      <c r="V8158" s="318"/>
      <c r="W8158" s="318"/>
      <c r="X8158" s="318"/>
      <c r="Y8158" s="318"/>
      <c r="Z8158" s="318"/>
      <c r="AA8158" s="318"/>
      <c r="AB8158" s="318"/>
      <c r="AC8158" s="318"/>
      <c r="AD8158" s="318"/>
    </row>
    <row r="8159" spans="2:30" s="323" customFormat="1" ht="12" customHeight="1">
      <c r="B8159" s="324"/>
      <c r="C8159" s="325"/>
      <c r="D8159" s="326"/>
      <c r="E8159" s="326"/>
      <c r="F8159" s="326"/>
      <c r="G8159" s="326"/>
      <c r="H8159" s="326"/>
      <c r="P8159" s="318"/>
      <c r="Q8159" s="318"/>
      <c r="R8159" s="318"/>
      <c r="S8159" s="318"/>
      <c r="T8159" s="318"/>
      <c r="U8159" s="318"/>
      <c r="V8159" s="318"/>
      <c r="W8159" s="318"/>
      <c r="X8159" s="318"/>
      <c r="Y8159" s="318"/>
      <c r="Z8159" s="318"/>
      <c r="AA8159" s="318"/>
      <c r="AB8159" s="318"/>
      <c r="AC8159" s="318"/>
      <c r="AD8159" s="318"/>
    </row>
    <row r="8160" spans="2:30" s="323" customFormat="1" ht="12" customHeight="1">
      <c r="B8160" s="324"/>
      <c r="C8160" s="325"/>
      <c r="D8160" s="326"/>
      <c r="E8160" s="326"/>
      <c r="F8160" s="326"/>
      <c r="G8160" s="326"/>
      <c r="H8160" s="326"/>
      <c r="P8160" s="318"/>
      <c r="Q8160" s="318"/>
      <c r="R8160" s="318"/>
      <c r="S8160" s="318"/>
      <c r="T8160" s="318"/>
      <c r="U8160" s="318"/>
      <c r="V8160" s="318"/>
      <c r="W8160" s="318"/>
      <c r="X8160" s="318"/>
      <c r="Y8160" s="318"/>
      <c r="Z8160" s="318"/>
      <c r="AA8160" s="318"/>
      <c r="AB8160" s="318"/>
      <c r="AC8160" s="318"/>
      <c r="AD8160" s="318"/>
    </row>
    <row r="8161" spans="2:30" s="323" customFormat="1" ht="12" customHeight="1">
      <c r="B8161" s="324"/>
      <c r="C8161" s="325"/>
      <c r="D8161" s="326"/>
      <c r="E8161" s="326"/>
      <c r="F8161" s="326"/>
      <c r="G8161" s="326"/>
      <c r="H8161" s="326"/>
      <c r="P8161" s="318"/>
      <c r="Q8161" s="318"/>
      <c r="R8161" s="318"/>
      <c r="S8161" s="318"/>
      <c r="T8161" s="318"/>
      <c r="U8161" s="318"/>
      <c r="V8161" s="318"/>
      <c r="W8161" s="318"/>
      <c r="X8161" s="318"/>
      <c r="Y8161" s="318"/>
      <c r="Z8161" s="318"/>
      <c r="AA8161" s="318"/>
      <c r="AB8161" s="318"/>
      <c r="AC8161" s="318"/>
      <c r="AD8161" s="318"/>
    </row>
    <row r="8162" spans="2:30" s="323" customFormat="1" ht="12" customHeight="1">
      <c r="B8162" s="324"/>
      <c r="C8162" s="325"/>
      <c r="D8162" s="326"/>
      <c r="E8162" s="326"/>
      <c r="F8162" s="326"/>
      <c r="G8162" s="326"/>
      <c r="H8162" s="326"/>
      <c r="P8162" s="318"/>
      <c r="Q8162" s="318"/>
      <c r="R8162" s="318"/>
      <c r="S8162" s="318"/>
      <c r="T8162" s="318"/>
      <c r="U8162" s="318"/>
      <c r="V8162" s="318"/>
      <c r="W8162" s="318"/>
      <c r="X8162" s="318"/>
      <c r="Y8162" s="318"/>
      <c r="Z8162" s="318"/>
      <c r="AA8162" s="318"/>
      <c r="AB8162" s="318"/>
      <c r="AC8162" s="318"/>
      <c r="AD8162" s="318"/>
    </row>
    <row r="8163" spans="2:30" s="323" customFormat="1" ht="12" customHeight="1">
      <c r="B8163" s="324"/>
      <c r="C8163" s="325"/>
      <c r="D8163" s="326"/>
      <c r="E8163" s="326"/>
      <c r="F8163" s="326"/>
      <c r="G8163" s="326"/>
      <c r="H8163" s="326"/>
      <c r="P8163" s="318"/>
      <c r="Q8163" s="318"/>
      <c r="R8163" s="318"/>
      <c r="S8163" s="318"/>
      <c r="T8163" s="318"/>
      <c r="U8163" s="318"/>
      <c r="V8163" s="318"/>
      <c r="W8163" s="318"/>
      <c r="X8163" s="318"/>
      <c r="Y8163" s="318"/>
      <c r="Z8163" s="318"/>
      <c r="AA8163" s="318"/>
      <c r="AB8163" s="318"/>
      <c r="AC8163" s="318"/>
      <c r="AD8163" s="318"/>
    </row>
    <row r="8164" spans="2:30" s="323" customFormat="1" ht="12" customHeight="1">
      <c r="B8164" s="324"/>
      <c r="C8164" s="325"/>
      <c r="D8164" s="326"/>
      <c r="E8164" s="326"/>
      <c r="F8164" s="326"/>
      <c r="G8164" s="326"/>
      <c r="H8164" s="326"/>
      <c r="P8164" s="318"/>
      <c r="Q8164" s="318"/>
      <c r="R8164" s="318"/>
      <c r="S8164" s="318"/>
      <c r="T8164" s="318"/>
      <c r="U8164" s="318"/>
      <c r="V8164" s="318"/>
      <c r="W8164" s="318"/>
      <c r="X8164" s="318"/>
      <c r="Y8164" s="318"/>
      <c r="Z8164" s="318"/>
      <c r="AA8164" s="318"/>
      <c r="AB8164" s="318"/>
      <c r="AC8164" s="318"/>
      <c r="AD8164" s="318"/>
    </row>
    <row r="8165" spans="2:30" s="323" customFormat="1" ht="12" customHeight="1">
      <c r="B8165" s="324"/>
      <c r="C8165" s="325"/>
      <c r="D8165" s="326"/>
      <c r="E8165" s="326"/>
      <c r="F8165" s="326"/>
      <c r="G8165" s="326"/>
      <c r="H8165" s="326"/>
      <c r="P8165" s="318"/>
      <c r="Q8165" s="318"/>
      <c r="R8165" s="318"/>
      <c r="S8165" s="318"/>
      <c r="T8165" s="318"/>
      <c r="U8165" s="318"/>
      <c r="V8165" s="318"/>
      <c r="W8165" s="318"/>
      <c r="X8165" s="318"/>
      <c r="Y8165" s="318"/>
      <c r="Z8165" s="318"/>
      <c r="AA8165" s="318"/>
      <c r="AB8165" s="318"/>
      <c r="AC8165" s="318"/>
      <c r="AD8165" s="318"/>
    </row>
    <row r="8166" spans="2:30" s="323" customFormat="1" ht="12" customHeight="1">
      <c r="B8166" s="324"/>
      <c r="C8166" s="325"/>
      <c r="D8166" s="326"/>
      <c r="E8166" s="326"/>
      <c r="F8166" s="326"/>
      <c r="G8166" s="326"/>
      <c r="H8166" s="326"/>
      <c r="P8166" s="318"/>
      <c r="Q8166" s="318"/>
      <c r="R8166" s="318"/>
      <c r="S8166" s="318"/>
      <c r="T8166" s="318"/>
      <c r="U8166" s="318"/>
      <c r="V8166" s="318"/>
      <c r="W8166" s="318"/>
      <c r="X8166" s="318"/>
      <c r="Y8166" s="318"/>
      <c r="Z8166" s="318"/>
      <c r="AA8166" s="318"/>
      <c r="AB8166" s="318"/>
      <c r="AC8166" s="318"/>
      <c r="AD8166" s="318"/>
    </row>
    <row r="8167" spans="2:30" s="323" customFormat="1" ht="12" customHeight="1">
      <c r="B8167" s="324"/>
      <c r="C8167" s="325"/>
      <c r="D8167" s="326"/>
      <c r="E8167" s="326"/>
      <c r="F8167" s="326"/>
      <c r="G8167" s="326"/>
      <c r="H8167" s="326"/>
      <c r="P8167" s="318"/>
      <c r="Q8167" s="318"/>
      <c r="R8167" s="318"/>
      <c r="S8167" s="318"/>
      <c r="T8167" s="318"/>
      <c r="U8167" s="318"/>
      <c r="V8167" s="318"/>
      <c r="W8167" s="318"/>
      <c r="X8167" s="318"/>
      <c r="Y8167" s="318"/>
      <c r="Z8167" s="318"/>
      <c r="AA8167" s="318"/>
      <c r="AB8167" s="318"/>
      <c r="AC8167" s="318"/>
      <c r="AD8167" s="318"/>
    </row>
    <row r="8168" spans="2:30" s="323" customFormat="1" ht="12" customHeight="1">
      <c r="B8168" s="324"/>
      <c r="C8168" s="325"/>
      <c r="D8168" s="326"/>
      <c r="E8168" s="326"/>
      <c r="F8168" s="326"/>
      <c r="G8168" s="326"/>
      <c r="H8168" s="326"/>
      <c r="P8168" s="318"/>
      <c r="Q8168" s="318"/>
      <c r="R8168" s="318"/>
      <c r="S8168" s="318"/>
      <c r="T8168" s="318"/>
      <c r="U8168" s="318"/>
      <c r="V8168" s="318"/>
      <c r="W8168" s="318"/>
      <c r="X8168" s="318"/>
      <c r="Y8168" s="318"/>
      <c r="Z8168" s="318"/>
      <c r="AA8168" s="318"/>
      <c r="AB8168" s="318"/>
      <c r="AC8168" s="318"/>
      <c r="AD8168" s="318"/>
    </row>
    <row r="8169" spans="2:30" s="323" customFormat="1" ht="12" customHeight="1">
      <c r="B8169" s="324"/>
      <c r="C8169" s="325"/>
      <c r="D8169" s="326"/>
      <c r="E8169" s="326"/>
      <c r="F8169" s="326"/>
      <c r="G8169" s="326"/>
      <c r="H8169" s="326"/>
      <c r="P8169" s="318"/>
      <c r="Q8169" s="318"/>
      <c r="R8169" s="318"/>
      <c r="S8169" s="318"/>
      <c r="T8169" s="318"/>
      <c r="U8169" s="318"/>
      <c r="V8169" s="318"/>
      <c r="W8169" s="318"/>
      <c r="X8169" s="318"/>
      <c r="Y8169" s="318"/>
      <c r="Z8169" s="318"/>
      <c r="AA8169" s="318"/>
      <c r="AB8169" s="318"/>
      <c r="AC8169" s="318"/>
      <c r="AD8169" s="318"/>
    </row>
    <row r="8170" spans="2:30" s="323" customFormat="1" ht="12" customHeight="1">
      <c r="B8170" s="324"/>
      <c r="C8170" s="325"/>
      <c r="D8170" s="326"/>
      <c r="E8170" s="326"/>
      <c r="F8170" s="326"/>
      <c r="G8170" s="326"/>
      <c r="H8170" s="326"/>
      <c r="P8170" s="318"/>
      <c r="Q8170" s="318"/>
      <c r="R8170" s="318"/>
      <c r="S8170" s="318"/>
      <c r="T8170" s="318"/>
      <c r="U8170" s="318"/>
      <c r="V8170" s="318"/>
      <c r="W8170" s="318"/>
      <c r="X8170" s="318"/>
      <c r="Y8170" s="318"/>
      <c r="Z8170" s="318"/>
      <c r="AA8170" s="318"/>
      <c r="AB8170" s="318"/>
      <c r="AC8170" s="318"/>
      <c r="AD8170" s="318"/>
    </row>
    <row r="8171" spans="2:30" s="323" customFormat="1" ht="12" customHeight="1">
      <c r="B8171" s="324"/>
      <c r="C8171" s="325"/>
      <c r="D8171" s="326"/>
      <c r="E8171" s="326"/>
      <c r="F8171" s="326"/>
      <c r="G8171" s="326"/>
      <c r="H8171" s="326"/>
      <c r="P8171" s="318"/>
      <c r="Q8171" s="318"/>
      <c r="R8171" s="318"/>
      <c r="S8171" s="318"/>
      <c r="T8171" s="318"/>
      <c r="U8171" s="318"/>
      <c r="V8171" s="318"/>
      <c r="W8171" s="318"/>
      <c r="X8171" s="318"/>
      <c r="Y8171" s="318"/>
      <c r="Z8171" s="318"/>
      <c r="AA8171" s="318"/>
      <c r="AB8171" s="318"/>
      <c r="AC8171" s="318"/>
      <c r="AD8171" s="318"/>
    </row>
    <row r="8172" spans="2:30" s="323" customFormat="1" ht="12" customHeight="1">
      <c r="B8172" s="324"/>
      <c r="C8172" s="325"/>
      <c r="D8172" s="326"/>
      <c r="E8172" s="326"/>
      <c r="F8172" s="326"/>
      <c r="G8172" s="326"/>
      <c r="H8172" s="326"/>
      <c r="P8172" s="318"/>
      <c r="Q8172" s="318"/>
      <c r="R8172" s="318"/>
      <c r="S8172" s="318"/>
      <c r="T8172" s="318"/>
      <c r="U8172" s="318"/>
      <c r="V8172" s="318"/>
      <c r="W8172" s="318"/>
      <c r="X8172" s="318"/>
      <c r="Y8172" s="318"/>
      <c r="Z8172" s="318"/>
      <c r="AA8172" s="318"/>
      <c r="AB8172" s="318"/>
      <c r="AC8172" s="318"/>
      <c r="AD8172" s="318"/>
    </row>
    <row r="8173" spans="2:30" s="323" customFormat="1" ht="12" customHeight="1">
      <c r="B8173" s="324"/>
      <c r="C8173" s="325"/>
      <c r="D8173" s="326"/>
      <c r="E8173" s="326"/>
      <c r="F8173" s="326"/>
      <c r="G8173" s="326"/>
      <c r="H8173" s="326"/>
      <c r="P8173" s="318"/>
      <c r="Q8173" s="318"/>
      <c r="R8173" s="318"/>
      <c r="S8173" s="318"/>
      <c r="T8173" s="318"/>
      <c r="U8173" s="318"/>
      <c r="V8173" s="318"/>
      <c r="W8173" s="318"/>
      <c r="X8173" s="318"/>
      <c r="Y8173" s="318"/>
      <c r="Z8173" s="318"/>
      <c r="AA8173" s="318"/>
      <c r="AB8173" s="318"/>
      <c r="AC8173" s="318"/>
      <c r="AD8173" s="318"/>
    </row>
    <row r="8174" spans="2:30" s="323" customFormat="1" ht="12" customHeight="1">
      <c r="B8174" s="324"/>
      <c r="C8174" s="325"/>
      <c r="D8174" s="326"/>
      <c r="E8174" s="326"/>
      <c r="F8174" s="326"/>
      <c r="G8174" s="326"/>
      <c r="H8174" s="326"/>
      <c r="P8174" s="318"/>
      <c r="Q8174" s="318"/>
      <c r="R8174" s="318"/>
      <c r="S8174" s="318"/>
      <c r="T8174" s="318"/>
      <c r="U8174" s="318"/>
      <c r="V8174" s="318"/>
      <c r="W8174" s="318"/>
      <c r="X8174" s="318"/>
      <c r="Y8174" s="318"/>
      <c r="Z8174" s="318"/>
      <c r="AA8174" s="318"/>
      <c r="AB8174" s="318"/>
      <c r="AC8174" s="318"/>
      <c r="AD8174" s="318"/>
    </row>
    <row r="8175" spans="2:30" s="323" customFormat="1" ht="12" customHeight="1">
      <c r="B8175" s="324"/>
      <c r="C8175" s="325"/>
      <c r="D8175" s="326"/>
      <c r="E8175" s="326"/>
      <c r="F8175" s="326"/>
      <c r="G8175" s="326"/>
      <c r="H8175" s="326"/>
      <c r="P8175" s="318"/>
      <c r="Q8175" s="318"/>
      <c r="R8175" s="318"/>
      <c r="S8175" s="318"/>
      <c r="T8175" s="318"/>
      <c r="U8175" s="318"/>
      <c r="V8175" s="318"/>
      <c r="W8175" s="318"/>
      <c r="X8175" s="318"/>
      <c r="Y8175" s="318"/>
      <c r="Z8175" s="318"/>
      <c r="AA8175" s="318"/>
      <c r="AB8175" s="318"/>
      <c r="AC8175" s="318"/>
      <c r="AD8175" s="318"/>
    </row>
    <row r="8176" spans="2:30" s="323" customFormat="1" ht="12" customHeight="1">
      <c r="B8176" s="324"/>
      <c r="C8176" s="325"/>
      <c r="D8176" s="326"/>
      <c r="E8176" s="326"/>
      <c r="F8176" s="326"/>
      <c r="G8176" s="326"/>
      <c r="H8176" s="326"/>
      <c r="P8176" s="318"/>
      <c r="Q8176" s="318"/>
      <c r="R8176" s="318"/>
      <c r="S8176" s="318"/>
      <c r="T8176" s="318"/>
      <c r="U8176" s="318"/>
      <c r="V8176" s="318"/>
      <c r="W8176" s="318"/>
      <c r="X8176" s="318"/>
      <c r="Y8176" s="318"/>
      <c r="Z8176" s="318"/>
      <c r="AA8176" s="318"/>
      <c r="AB8176" s="318"/>
      <c r="AC8176" s="318"/>
      <c r="AD8176" s="318"/>
    </row>
    <row r="8177" spans="2:30" s="323" customFormat="1" ht="12" customHeight="1">
      <c r="B8177" s="324"/>
      <c r="C8177" s="325"/>
      <c r="D8177" s="326"/>
      <c r="E8177" s="326"/>
      <c r="F8177" s="326"/>
      <c r="G8177" s="326"/>
      <c r="H8177" s="326"/>
      <c r="P8177" s="318"/>
      <c r="Q8177" s="318"/>
      <c r="R8177" s="318"/>
      <c r="S8177" s="318"/>
      <c r="T8177" s="318"/>
      <c r="U8177" s="318"/>
      <c r="V8177" s="318"/>
      <c r="W8177" s="318"/>
      <c r="X8177" s="318"/>
      <c r="Y8177" s="318"/>
      <c r="Z8177" s="318"/>
      <c r="AA8177" s="318"/>
      <c r="AB8177" s="318"/>
      <c r="AC8177" s="318"/>
      <c r="AD8177" s="318"/>
    </row>
    <row r="8178" spans="2:30" s="323" customFormat="1" ht="12" customHeight="1">
      <c r="B8178" s="324"/>
      <c r="C8178" s="325"/>
      <c r="D8178" s="326"/>
      <c r="E8178" s="326"/>
      <c r="F8178" s="326"/>
      <c r="G8178" s="326"/>
      <c r="H8178" s="326"/>
      <c r="P8178" s="318"/>
      <c r="Q8178" s="318"/>
      <c r="R8178" s="318"/>
      <c r="S8178" s="318"/>
      <c r="T8178" s="318"/>
      <c r="U8178" s="318"/>
      <c r="V8178" s="318"/>
      <c r="W8178" s="318"/>
      <c r="X8178" s="318"/>
      <c r="Y8178" s="318"/>
      <c r="Z8178" s="318"/>
      <c r="AA8178" s="318"/>
      <c r="AB8178" s="318"/>
      <c r="AC8178" s="318"/>
      <c r="AD8178" s="318"/>
    </row>
    <row r="8179" spans="2:30" s="323" customFormat="1" ht="12" customHeight="1">
      <c r="B8179" s="324"/>
      <c r="C8179" s="325"/>
      <c r="D8179" s="326"/>
      <c r="E8179" s="326"/>
      <c r="F8179" s="326"/>
      <c r="G8179" s="326"/>
      <c r="H8179" s="326"/>
      <c r="P8179" s="318"/>
      <c r="Q8179" s="318"/>
      <c r="R8179" s="318"/>
      <c r="S8179" s="318"/>
      <c r="T8179" s="318"/>
      <c r="U8179" s="318"/>
      <c r="V8179" s="318"/>
      <c r="W8179" s="318"/>
      <c r="X8179" s="318"/>
      <c r="Y8179" s="318"/>
      <c r="Z8179" s="318"/>
      <c r="AA8179" s="318"/>
      <c r="AB8179" s="318"/>
      <c r="AC8179" s="318"/>
      <c r="AD8179" s="318"/>
    </row>
    <row r="8180" spans="2:30" s="323" customFormat="1" ht="12" customHeight="1">
      <c r="B8180" s="324"/>
      <c r="C8180" s="325"/>
      <c r="D8180" s="326"/>
      <c r="E8180" s="326"/>
      <c r="F8180" s="326"/>
      <c r="G8180" s="326"/>
      <c r="H8180" s="326"/>
      <c r="P8180" s="318"/>
      <c r="Q8180" s="318"/>
      <c r="R8180" s="318"/>
      <c r="S8180" s="318"/>
      <c r="T8180" s="318"/>
      <c r="U8180" s="318"/>
      <c r="V8180" s="318"/>
      <c r="W8180" s="318"/>
      <c r="X8180" s="318"/>
      <c r="Y8180" s="318"/>
      <c r="Z8180" s="318"/>
      <c r="AA8180" s="318"/>
      <c r="AB8180" s="318"/>
      <c r="AC8180" s="318"/>
      <c r="AD8180" s="318"/>
    </row>
    <row r="8181" spans="2:30" s="323" customFormat="1" ht="12" customHeight="1">
      <c r="B8181" s="324"/>
      <c r="C8181" s="325"/>
      <c r="D8181" s="326"/>
      <c r="E8181" s="326"/>
      <c r="F8181" s="326"/>
      <c r="G8181" s="326"/>
      <c r="H8181" s="326"/>
      <c r="P8181" s="318"/>
      <c r="Q8181" s="318"/>
      <c r="R8181" s="318"/>
      <c r="S8181" s="318"/>
      <c r="T8181" s="318"/>
      <c r="U8181" s="318"/>
      <c r="V8181" s="318"/>
      <c r="W8181" s="318"/>
      <c r="X8181" s="318"/>
      <c r="Y8181" s="318"/>
      <c r="Z8181" s="318"/>
      <c r="AA8181" s="318"/>
      <c r="AB8181" s="318"/>
      <c r="AC8181" s="318"/>
      <c r="AD8181" s="318"/>
    </row>
    <row r="8182" spans="2:30" s="323" customFormat="1" ht="12" customHeight="1">
      <c r="B8182" s="324"/>
      <c r="C8182" s="325"/>
      <c r="D8182" s="326"/>
      <c r="E8182" s="326"/>
      <c r="F8182" s="326"/>
      <c r="G8182" s="326"/>
      <c r="H8182" s="326"/>
      <c r="P8182" s="318"/>
      <c r="Q8182" s="318"/>
      <c r="R8182" s="318"/>
      <c r="S8182" s="318"/>
      <c r="T8182" s="318"/>
      <c r="U8182" s="318"/>
      <c r="V8182" s="318"/>
      <c r="W8182" s="318"/>
      <c r="X8182" s="318"/>
      <c r="Y8182" s="318"/>
      <c r="Z8182" s="318"/>
      <c r="AA8182" s="318"/>
      <c r="AB8182" s="318"/>
      <c r="AC8182" s="318"/>
      <c r="AD8182" s="318"/>
    </row>
    <row r="8183" spans="2:30" s="323" customFormat="1" ht="12" customHeight="1">
      <c r="B8183" s="324"/>
      <c r="C8183" s="325"/>
      <c r="D8183" s="326"/>
      <c r="E8183" s="326"/>
      <c r="F8183" s="326"/>
      <c r="G8183" s="326"/>
      <c r="H8183" s="326"/>
      <c r="P8183" s="318"/>
      <c r="Q8183" s="318"/>
      <c r="R8183" s="318"/>
      <c r="S8183" s="318"/>
      <c r="T8183" s="318"/>
      <c r="U8183" s="318"/>
      <c r="V8183" s="318"/>
      <c r="W8183" s="318"/>
      <c r="X8183" s="318"/>
      <c r="Y8183" s="318"/>
      <c r="Z8183" s="318"/>
      <c r="AA8183" s="318"/>
      <c r="AB8183" s="318"/>
      <c r="AC8183" s="318"/>
      <c r="AD8183" s="318"/>
    </row>
    <row r="8184" spans="2:30" s="323" customFormat="1" ht="12" customHeight="1">
      <c r="B8184" s="324"/>
      <c r="C8184" s="325"/>
      <c r="D8184" s="326"/>
      <c r="E8184" s="326"/>
      <c r="F8184" s="326"/>
      <c r="G8184" s="326"/>
      <c r="H8184" s="326"/>
      <c r="P8184" s="318"/>
      <c r="Q8184" s="318"/>
      <c r="R8184" s="318"/>
      <c r="S8184" s="318"/>
      <c r="T8184" s="318"/>
      <c r="U8184" s="318"/>
      <c r="V8184" s="318"/>
      <c r="W8184" s="318"/>
      <c r="X8184" s="318"/>
      <c r="Y8184" s="318"/>
      <c r="Z8184" s="318"/>
      <c r="AA8184" s="318"/>
      <c r="AB8184" s="318"/>
      <c r="AC8184" s="318"/>
      <c r="AD8184" s="318"/>
    </row>
    <row r="8185" spans="2:30" s="323" customFormat="1" ht="12" customHeight="1">
      <c r="B8185" s="324"/>
      <c r="C8185" s="325"/>
      <c r="D8185" s="326"/>
      <c r="E8185" s="326"/>
      <c r="F8185" s="326"/>
      <c r="G8185" s="326"/>
      <c r="H8185" s="326"/>
      <c r="P8185" s="318"/>
      <c r="Q8185" s="318"/>
      <c r="R8185" s="318"/>
      <c r="S8185" s="318"/>
      <c r="T8185" s="318"/>
      <c r="U8185" s="318"/>
      <c r="V8185" s="318"/>
      <c r="W8185" s="318"/>
      <c r="X8185" s="318"/>
      <c r="Y8185" s="318"/>
      <c r="Z8185" s="318"/>
      <c r="AA8185" s="318"/>
      <c r="AB8185" s="318"/>
      <c r="AC8185" s="318"/>
      <c r="AD8185" s="318"/>
    </row>
    <row r="8186" spans="2:30" s="323" customFormat="1" ht="12" customHeight="1">
      <c r="B8186" s="324"/>
      <c r="C8186" s="325"/>
      <c r="D8186" s="326"/>
      <c r="E8186" s="326"/>
      <c r="F8186" s="326"/>
      <c r="G8186" s="326"/>
      <c r="H8186" s="326"/>
      <c r="P8186" s="318"/>
      <c r="Q8186" s="318"/>
      <c r="R8186" s="318"/>
      <c r="S8186" s="318"/>
      <c r="T8186" s="318"/>
      <c r="U8186" s="318"/>
      <c r="V8186" s="318"/>
      <c r="W8186" s="318"/>
      <c r="X8186" s="318"/>
      <c r="Y8186" s="318"/>
      <c r="Z8186" s="318"/>
      <c r="AA8186" s="318"/>
      <c r="AB8186" s="318"/>
      <c r="AC8186" s="318"/>
      <c r="AD8186" s="318"/>
    </row>
    <row r="8187" spans="2:30" s="323" customFormat="1" ht="12" customHeight="1">
      <c r="B8187" s="324"/>
      <c r="C8187" s="325"/>
      <c r="D8187" s="326"/>
      <c r="E8187" s="326"/>
      <c r="F8187" s="326"/>
      <c r="G8187" s="326"/>
      <c r="H8187" s="326"/>
      <c r="P8187" s="318"/>
      <c r="Q8187" s="318"/>
      <c r="R8187" s="318"/>
      <c r="S8187" s="318"/>
      <c r="T8187" s="318"/>
      <c r="U8187" s="318"/>
      <c r="V8187" s="318"/>
      <c r="W8187" s="318"/>
      <c r="X8187" s="318"/>
      <c r="Y8187" s="318"/>
      <c r="Z8187" s="318"/>
      <c r="AA8187" s="318"/>
      <c r="AB8187" s="318"/>
      <c r="AC8187" s="318"/>
      <c r="AD8187" s="318"/>
    </row>
    <row r="8188" spans="2:30" s="323" customFormat="1" ht="12" customHeight="1">
      <c r="B8188" s="324"/>
      <c r="C8188" s="325"/>
      <c r="D8188" s="326"/>
      <c r="E8188" s="326"/>
      <c r="F8188" s="326"/>
      <c r="G8188" s="326"/>
      <c r="H8188" s="326"/>
      <c r="P8188" s="318"/>
      <c r="Q8188" s="318"/>
      <c r="R8188" s="318"/>
      <c r="S8188" s="318"/>
      <c r="T8188" s="318"/>
      <c r="U8188" s="318"/>
      <c r="V8188" s="318"/>
      <c r="W8188" s="318"/>
      <c r="X8188" s="318"/>
      <c r="Y8188" s="318"/>
      <c r="Z8188" s="318"/>
      <c r="AA8188" s="318"/>
      <c r="AB8188" s="318"/>
      <c r="AC8188" s="318"/>
      <c r="AD8188" s="318"/>
    </row>
    <row r="8189" spans="2:30" s="323" customFormat="1" ht="12" customHeight="1">
      <c r="B8189" s="324"/>
      <c r="C8189" s="325"/>
      <c r="D8189" s="326"/>
      <c r="E8189" s="326"/>
      <c r="F8189" s="326"/>
      <c r="G8189" s="326"/>
      <c r="H8189" s="326"/>
      <c r="P8189" s="318"/>
      <c r="Q8189" s="318"/>
      <c r="R8189" s="318"/>
      <c r="S8189" s="318"/>
      <c r="T8189" s="318"/>
      <c r="U8189" s="318"/>
      <c r="V8189" s="318"/>
      <c r="W8189" s="318"/>
      <c r="X8189" s="318"/>
      <c r="Y8189" s="318"/>
      <c r="Z8189" s="318"/>
      <c r="AA8189" s="318"/>
      <c r="AB8189" s="318"/>
      <c r="AC8189" s="318"/>
      <c r="AD8189" s="318"/>
    </row>
    <row r="8190" spans="2:30" s="323" customFormat="1" ht="12" customHeight="1">
      <c r="B8190" s="324"/>
      <c r="C8190" s="325"/>
      <c r="D8190" s="326"/>
      <c r="E8190" s="326"/>
      <c r="F8190" s="326"/>
      <c r="G8190" s="326"/>
      <c r="H8190" s="326"/>
      <c r="P8190" s="318"/>
      <c r="Q8190" s="318"/>
      <c r="R8190" s="318"/>
      <c r="S8190" s="318"/>
      <c r="T8190" s="318"/>
      <c r="U8190" s="318"/>
      <c r="V8190" s="318"/>
      <c r="W8190" s="318"/>
      <c r="X8190" s="318"/>
      <c r="Y8190" s="318"/>
      <c r="Z8190" s="318"/>
      <c r="AA8190" s="318"/>
      <c r="AB8190" s="318"/>
      <c r="AC8190" s="318"/>
      <c r="AD8190" s="318"/>
    </row>
    <row r="8191" spans="2:30" s="323" customFormat="1" ht="12" customHeight="1">
      <c r="B8191" s="324"/>
      <c r="C8191" s="325"/>
      <c r="D8191" s="326"/>
      <c r="E8191" s="326"/>
      <c r="F8191" s="326"/>
      <c r="G8191" s="326"/>
      <c r="H8191" s="326"/>
      <c r="P8191" s="318"/>
      <c r="Q8191" s="318"/>
      <c r="R8191" s="318"/>
      <c r="S8191" s="318"/>
      <c r="T8191" s="318"/>
      <c r="U8191" s="318"/>
      <c r="V8191" s="318"/>
      <c r="W8191" s="318"/>
      <c r="X8191" s="318"/>
      <c r="Y8191" s="318"/>
      <c r="Z8191" s="318"/>
      <c r="AA8191" s="318"/>
      <c r="AB8191" s="318"/>
      <c r="AC8191" s="318"/>
      <c r="AD8191" s="318"/>
    </row>
    <row r="8192" spans="2:30" s="323" customFormat="1" ht="12" customHeight="1">
      <c r="B8192" s="324"/>
      <c r="C8192" s="325"/>
      <c r="D8192" s="326"/>
      <c r="E8192" s="326"/>
      <c r="F8192" s="326"/>
      <c r="G8192" s="326"/>
      <c r="H8192" s="326"/>
      <c r="P8192" s="318"/>
      <c r="Q8192" s="318"/>
      <c r="R8192" s="318"/>
      <c r="S8192" s="318"/>
      <c r="T8192" s="318"/>
      <c r="U8192" s="318"/>
      <c r="V8192" s="318"/>
      <c r="W8192" s="318"/>
      <c r="X8192" s="318"/>
      <c r="Y8192" s="318"/>
      <c r="Z8192" s="318"/>
      <c r="AA8192" s="318"/>
      <c r="AB8192" s="318"/>
      <c r="AC8192" s="318"/>
      <c r="AD8192" s="318"/>
    </row>
    <row r="8193" spans="2:30" s="323" customFormat="1" ht="12" customHeight="1">
      <c r="B8193" s="324"/>
      <c r="C8193" s="325"/>
      <c r="D8193" s="326"/>
      <c r="E8193" s="326"/>
      <c r="F8193" s="326"/>
      <c r="G8193" s="326"/>
      <c r="H8193" s="326"/>
      <c r="P8193" s="318"/>
      <c r="Q8193" s="318"/>
      <c r="R8193" s="318"/>
      <c r="S8193" s="318"/>
      <c r="T8193" s="318"/>
      <c r="U8193" s="318"/>
      <c r="V8193" s="318"/>
      <c r="W8193" s="318"/>
      <c r="X8193" s="318"/>
      <c r="Y8193" s="318"/>
      <c r="Z8193" s="318"/>
      <c r="AA8193" s="318"/>
      <c r="AB8193" s="318"/>
      <c r="AC8193" s="318"/>
      <c r="AD8193" s="318"/>
    </row>
    <row r="8194" spans="2:30" s="323" customFormat="1" ht="12" customHeight="1">
      <c r="B8194" s="324"/>
      <c r="C8194" s="325"/>
      <c r="D8194" s="326"/>
      <c r="E8194" s="326"/>
      <c r="F8194" s="326"/>
      <c r="G8194" s="326"/>
      <c r="H8194" s="326"/>
      <c r="P8194" s="318"/>
      <c r="Q8194" s="318"/>
      <c r="R8194" s="318"/>
      <c r="S8194" s="318"/>
      <c r="T8194" s="318"/>
      <c r="U8194" s="318"/>
      <c r="V8194" s="318"/>
      <c r="W8194" s="318"/>
      <c r="X8194" s="318"/>
      <c r="Y8194" s="318"/>
      <c r="Z8194" s="318"/>
      <c r="AA8194" s="318"/>
      <c r="AB8194" s="318"/>
      <c r="AC8194" s="318"/>
      <c r="AD8194" s="318"/>
    </row>
    <row r="8195" spans="2:30" s="323" customFormat="1" ht="12" customHeight="1">
      <c r="B8195" s="324"/>
      <c r="C8195" s="325"/>
      <c r="D8195" s="326"/>
      <c r="E8195" s="326"/>
      <c r="F8195" s="326"/>
      <c r="G8195" s="326"/>
      <c r="H8195" s="326"/>
      <c r="P8195" s="318"/>
      <c r="Q8195" s="318"/>
      <c r="R8195" s="318"/>
      <c r="S8195" s="318"/>
      <c r="T8195" s="318"/>
      <c r="U8195" s="318"/>
      <c r="V8195" s="318"/>
      <c r="W8195" s="318"/>
      <c r="X8195" s="318"/>
      <c r="Y8195" s="318"/>
      <c r="Z8195" s="318"/>
      <c r="AA8195" s="318"/>
      <c r="AB8195" s="318"/>
      <c r="AC8195" s="318"/>
      <c r="AD8195" s="318"/>
    </row>
    <row r="8196" spans="2:30" s="323" customFormat="1" ht="12" customHeight="1">
      <c r="B8196" s="324"/>
      <c r="C8196" s="325"/>
      <c r="D8196" s="326"/>
      <c r="E8196" s="326"/>
      <c r="F8196" s="326"/>
      <c r="G8196" s="326"/>
      <c r="H8196" s="326"/>
      <c r="P8196" s="318"/>
      <c r="Q8196" s="318"/>
      <c r="R8196" s="318"/>
      <c r="S8196" s="318"/>
      <c r="T8196" s="318"/>
      <c r="U8196" s="318"/>
      <c r="V8196" s="318"/>
      <c r="W8196" s="318"/>
      <c r="X8196" s="318"/>
      <c r="Y8196" s="318"/>
      <c r="Z8196" s="318"/>
      <c r="AA8196" s="318"/>
      <c r="AB8196" s="318"/>
      <c r="AC8196" s="318"/>
      <c r="AD8196" s="318"/>
    </row>
    <row r="8197" spans="2:30" s="323" customFormat="1" ht="12" customHeight="1">
      <c r="B8197" s="324"/>
      <c r="C8197" s="325"/>
      <c r="D8197" s="326"/>
      <c r="E8197" s="326"/>
      <c r="F8197" s="326"/>
      <c r="G8197" s="326"/>
      <c r="H8197" s="326"/>
      <c r="P8197" s="318"/>
      <c r="Q8197" s="318"/>
      <c r="R8197" s="318"/>
      <c r="S8197" s="318"/>
      <c r="T8197" s="318"/>
      <c r="U8197" s="318"/>
      <c r="V8197" s="318"/>
      <c r="W8197" s="318"/>
      <c r="X8197" s="318"/>
      <c r="Y8197" s="318"/>
      <c r="Z8197" s="318"/>
      <c r="AA8197" s="318"/>
      <c r="AB8197" s="318"/>
      <c r="AC8197" s="318"/>
      <c r="AD8197" s="318"/>
    </row>
    <row r="8198" spans="2:30" s="323" customFormat="1" ht="12" customHeight="1">
      <c r="B8198" s="324"/>
      <c r="C8198" s="325"/>
      <c r="D8198" s="326"/>
      <c r="E8198" s="326"/>
      <c r="F8198" s="326"/>
      <c r="G8198" s="326"/>
      <c r="H8198" s="326"/>
      <c r="P8198" s="318"/>
      <c r="Q8198" s="318"/>
      <c r="R8198" s="318"/>
      <c r="S8198" s="318"/>
      <c r="T8198" s="318"/>
      <c r="U8198" s="318"/>
      <c r="V8198" s="318"/>
      <c r="W8198" s="318"/>
      <c r="X8198" s="318"/>
      <c r="Y8198" s="318"/>
      <c r="Z8198" s="318"/>
      <c r="AA8198" s="318"/>
      <c r="AB8198" s="318"/>
      <c r="AC8198" s="318"/>
      <c r="AD8198" s="318"/>
    </row>
    <row r="8199" spans="2:30" s="323" customFormat="1" ht="12" customHeight="1">
      <c r="B8199" s="324"/>
      <c r="C8199" s="325"/>
      <c r="D8199" s="326"/>
      <c r="E8199" s="326"/>
      <c r="F8199" s="326"/>
      <c r="G8199" s="326"/>
      <c r="H8199" s="326"/>
      <c r="P8199" s="318"/>
      <c r="Q8199" s="318"/>
      <c r="R8199" s="318"/>
      <c r="S8199" s="318"/>
      <c r="T8199" s="318"/>
      <c r="U8199" s="318"/>
      <c r="V8199" s="318"/>
      <c r="W8199" s="318"/>
      <c r="X8199" s="318"/>
      <c r="Y8199" s="318"/>
      <c r="Z8199" s="318"/>
      <c r="AA8199" s="318"/>
      <c r="AB8199" s="318"/>
      <c r="AC8199" s="318"/>
      <c r="AD8199" s="318"/>
    </row>
    <row r="8200" spans="2:30" s="323" customFormat="1" ht="12" customHeight="1">
      <c r="B8200" s="324"/>
      <c r="C8200" s="325"/>
      <c r="D8200" s="326"/>
      <c r="E8200" s="326"/>
      <c r="F8200" s="326"/>
      <c r="G8200" s="326"/>
      <c r="H8200" s="326"/>
      <c r="P8200" s="318"/>
      <c r="Q8200" s="318"/>
      <c r="R8200" s="318"/>
      <c r="S8200" s="318"/>
      <c r="T8200" s="318"/>
      <c r="U8200" s="318"/>
      <c r="V8200" s="318"/>
      <c r="W8200" s="318"/>
      <c r="X8200" s="318"/>
      <c r="Y8200" s="318"/>
      <c r="Z8200" s="318"/>
      <c r="AA8200" s="318"/>
      <c r="AB8200" s="318"/>
      <c r="AC8200" s="318"/>
      <c r="AD8200" s="318"/>
    </row>
    <row r="8201" spans="2:30" s="323" customFormat="1" ht="12" customHeight="1">
      <c r="B8201" s="324"/>
      <c r="C8201" s="325"/>
      <c r="D8201" s="326"/>
      <c r="E8201" s="326"/>
      <c r="F8201" s="326"/>
      <c r="G8201" s="326"/>
      <c r="H8201" s="326"/>
      <c r="P8201" s="318"/>
      <c r="Q8201" s="318"/>
      <c r="R8201" s="318"/>
      <c r="S8201" s="318"/>
      <c r="T8201" s="318"/>
      <c r="U8201" s="318"/>
      <c r="V8201" s="318"/>
      <c r="W8201" s="318"/>
      <c r="X8201" s="318"/>
      <c r="Y8201" s="318"/>
      <c r="Z8201" s="318"/>
      <c r="AA8201" s="318"/>
      <c r="AB8201" s="318"/>
      <c r="AC8201" s="318"/>
      <c r="AD8201" s="318"/>
    </row>
    <row r="8202" spans="2:30" s="323" customFormat="1" ht="12" customHeight="1">
      <c r="B8202" s="324"/>
      <c r="C8202" s="325"/>
      <c r="D8202" s="326"/>
      <c r="E8202" s="326"/>
      <c r="F8202" s="326"/>
      <c r="G8202" s="326"/>
      <c r="H8202" s="326"/>
      <c r="P8202" s="318"/>
      <c r="Q8202" s="318"/>
      <c r="R8202" s="318"/>
      <c r="S8202" s="318"/>
      <c r="T8202" s="318"/>
      <c r="U8202" s="318"/>
      <c r="V8202" s="318"/>
      <c r="W8202" s="318"/>
      <c r="X8202" s="318"/>
      <c r="Y8202" s="318"/>
      <c r="Z8202" s="318"/>
      <c r="AA8202" s="318"/>
      <c r="AB8202" s="318"/>
      <c r="AC8202" s="318"/>
      <c r="AD8202" s="318"/>
    </row>
    <row r="8203" spans="2:30" s="323" customFormat="1" ht="12" customHeight="1">
      <c r="B8203" s="324"/>
      <c r="C8203" s="325"/>
      <c r="D8203" s="326"/>
      <c r="E8203" s="326"/>
      <c r="F8203" s="326"/>
      <c r="G8203" s="326"/>
      <c r="H8203" s="326"/>
      <c r="P8203" s="318"/>
      <c r="Q8203" s="318"/>
      <c r="R8203" s="318"/>
      <c r="S8203" s="318"/>
      <c r="T8203" s="318"/>
      <c r="U8203" s="318"/>
      <c r="V8203" s="318"/>
      <c r="W8203" s="318"/>
      <c r="X8203" s="318"/>
      <c r="Y8203" s="318"/>
      <c r="Z8203" s="318"/>
      <c r="AA8203" s="318"/>
      <c r="AB8203" s="318"/>
      <c r="AC8203" s="318"/>
      <c r="AD8203" s="318"/>
    </row>
    <row r="8204" spans="2:30" s="323" customFormat="1" ht="12" customHeight="1">
      <c r="B8204" s="324"/>
      <c r="C8204" s="325"/>
      <c r="D8204" s="326"/>
      <c r="E8204" s="326"/>
      <c r="F8204" s="326"/>
      <c r="G8204" s="326"/>
      <c r="H8204" s="326"/>
      <c r="P8204" s="318"/>
      <c r="Q8204" s="318"/>
      <c r="R8204" s="318"/>
      <c r="S8204" s="318"/>
      <c r="T8204" s="318"/>
      <c r="U8204" s="318"/>
      <c r="V8204" s="318"/>
      <c r="W8204" s="318"/>
      <c r="X8204" s="318"/>
      <c r="Y8204" s="318"/>
      <c r="Z8204" s="318"/>
      <c r="AA8204" s="318"/>
      <c r="AB8204" s="318"/>
      <c r="AC8204" s="318"/>
      <c r="AD8204" s="318"/>
    </row>
    <row r="8205" spans="2:30" s="323" customFormat="1" ht="12" customHeight="1">
      <c r="B8205" s="324"/>
      <c r="C8205" s="325"/>
      <c r="D8205" s="326"/>
      <c r="E8205" s="326"/>
      <c r="F8205" s="326"/>
      <c r="G8205" s="326"/>
      <c r="H8205" s="326"/>
      <c r="P8205" s="318"/>
      <c r="Q8205" s="318"/>
      <c r="R8205" s="318"/>
      <c r="S8205" s="318"/>
      <c r="T8205" s="318"/>
      <c r="U8205" s="318"/>
      <c r="V8205" s="318"/>
      <c r="W8205" s="318"/>
      <c r="X8205" s="318"/>
      <c r="Y8205" s="318"/>
      <c r="Z8205" s="318"/>
      <c r="AA8205" s="318"/>
      <c r="AB8205" s="318"/>
      <c r="AC8205" s="318"/>
      <c r="AD8205" s="318"/>
    </row>
    <row r="8206" spans="2:30" s="323" customFormat="1" ht="12" customHeight="1">
      <c r="B8206" s="324"/>
      <c r="C8206" s="325"/>
      <c r="D8206" s="326"/>
      <c r="E8206" s="326"/>
      <c r="F8206" s="326"/>
      <c r="G8206" s="326"/>
      <c r="H8206" s="326"/>
      <c r="P8206" s="318"/>
      <c r="Q8206" s="318"/>
      <c r="R8206" s="318"/>
      <c r="S8206" s="318"/>
      <c r="T8206" s="318"/>
      <c r="U8206" s="318"/>
      <c r="V8206" s="318"/>
      <c r="W8206" s="318"/>
      <c r="X8206" s="318"/>
      <c r="Y8206" s="318"/>
      <c r="Z8206" s="318"/>
      <c r="AA8206" s="318"/>
      <c r="AB8206" s="318"/>
      <c r="AC8206" s="318"/>
      <c r="AD8206" s="318"/>
    </row>
    <row r="8207" spans="2:30" s="323" customFormat="1" ht="12" customHeight="1">
      <c r="B8207" s="324"/>
      <c r="C8207" s="325"/>
      <c r="D8207" s="326"/>
      <c r="E8207" s="326"/>
      <c r="F8207" s="326"/>
      <c r="G8207" s="326"/>
      <c r="H8207" s="326"/>
      <c r="P8207" s="318"/>
      <c r="Q8207" s="318"/>
      <c r="R8207" s="318"/>
      <c r="S8207" s="318"/>
      <c r="T8207" s="318"/>
      <c r="U8207" s="318"/>
      <c r="V8207" s="318"/>
      <c r="W8207" s="318"/>
      <c r="X8207" s="318"/>
      <c r="Y8207" s="318"/>
      <c r="Z8207" s="318"/>
      <c r="AA8207" s="318"/>
      <c r="AB8207" s="318"/>
      <c r="AC8207" s="318"/>
      <c r="AD8207" s="318"/>
    </row>
    <row r="8208" spans="2:30" s="323" customFormat="1" ht="12" customHeight="1">
      <c r="B8208" s="324"/>
      <c r="C8208" s="325"/>
      <c r="D8208" s="326"/>
      <c r="E8208" s="326"/>
      <c r="F8208" s="326"/>
      <c r="G8208" s="326"/>
      <c r="H8208" s="326"/>
      <c r="P8208" s="318"/>
      <c r="Q8208" s="318"/>
      <c r="R8208" s="318"/>
      <c r="S8208" s="318"/>
      <c r="T8208" s="318"/>
      <c r="U8208" s="318"/>
      <c r="V8208" s="318"/>
      <c r="W8208" s="318"/>
      <c r="X8208" s="318"/>
      <c r="Y8208" s="318"/>
      <c r="Z8208" s="318"/>
      <c r="AA8208" s="318"/>
      <c r="AB8208" s="318"/>
      <c r="AC8208" s="318"/>
      <c r="AD8208" s="318"/>
    </row>
    <row r="8209" spans="2:30" s="323" customFormat="1" ht="12" customHeight="1">
      <c r="B8209" s="324"/>
      <c r="C8209" s="325"/>
      <c r="D8209" s="326"/>
      <c r="E8209" s="326"/>
      <c r="F8209" s="326"/>
      <c r="G8209" s="326"/>
      <c r="H8209" s="326"/>
      <c r="P8209" s="318"/>
      <c r="Q8209" s="318"/>
      <c r="R8209" s="318"/>
      <c r="S8209" s="318"/>
      <c r="T8209" s="318"/>
      <c r="U8209" s="318"/>
      <c r="V8209" s="318"/>
      <c r="W8209" s="318"/>
      <c r="X8209" s="318"/>
      <c r="Y8209" s="318"/>
      <c r="Z8209" s="318"/>
      <c r="AA8209" s="318"/>
      <c r="AB8209" s="318"/>
      <c r="AC8209" s="318"/>
      <c r="AD8209" s="318"/>
    </row>
    <row r="8210" spans="2:30" s="323" customFormat="1" ht="12" customHeight="1">
      <c r="B8210" s="324"/>
      <c r="C8210" s="325"/>
      <c r="D8210" s="326"/>
      <c r="E8210" s="326"/>
      <c r="F8210" s="326"/>
      <c r="G8210" s="326"/>
      <c r="H8210" s="326"/>
      <c r="P8210" s="318"/>
      <c r="Q8210" s="318"/>
      <c r="R8210" s="318"/>
      <c r="S8210" s="318"/>
      <c r="T8210" s="318"/>
      <c r="U8210" s="318"/>
      <c r="V8210" s="318"/>
      <c r="W8210" s="318"/>
      <c r="X8210" s="318"/>
      <c r="Y8210" s="318"/>
      <c r="Z8210" s="318"/>
      <c r="AA8210" s="318"/>
      <c r="AB8210" s="318"/>
      <c r="AC8210" s="318"/>
      <c r="AD8210" s="318"/>
    </row>
    <row r="8211" spans="2:30" s="323" customFormat="1" ht="12" customHeight="1">
      <c r="B8211" s="324"/>
      <c r="C8211" s="325"/>
      <c r="D8211" s="326"/>
      <c r="E8211" s="326"/>
      <c r="F8211" s="326"/>
      <c r="G8211" s="326"/>
      <c r="H8211" s="326"/>
      <c r="P8211" s="318"/>
      <c r="Q8211" s="318"/>
      <c r="R8211" s="318"/>
      <c r="S8211" s="318"/>
      <c r="T8211" s="318"/>
      <c r="U8211" s="318"/>
      <c r="V8211" s="318"/>
      <c r="W8211" s="318"/>
      <c r="X8211" s="318"/>
      <c r="Y8211" s="318"/>
      <c r="Z8211" s="318"/>
      <c r="AA8211" s="318"/>
      <c r="AB8211" s="318"/>
      <c r="AC8211" s="318"/>
      <c r="AD8211" s="318"/>
    </row>
    <row r="8212" spans="2:30" s="323" customFormat="1" ht="12" customHeight="1">
      <c r="B8212" s="324"/>
      <c r="C8212" s="325"/>
      <c r="D8212" s="326"/>
      <c r="E8212" s="326"/>
      <c r="F8212" s="326"/>
      <c r="G8212" s="326"/>
      <c r="H8212" s="326"/>
      <c r="P8212" s="318"/>
      <c r="Q8212" s="318"/>
      <c r="R8212" s="318"/>
      <c r="S8212" s="318"/>
      <c r="T8212" s="318"/>
      <c r="U8212" s="318"/>
      <c r="V8212" s="318"/>
      <c r="W8212" s="318"/>
      <c r="X8212" s="318"/>
      <c r="Y8212" s="318"/>
      <c r="Z8212" s="318"/>
      <c r="AA8212" s="318"/>
      <c r="AB8212" s="318"/>
      <c r="AC8212" s="318"/>
      <c r="AD8212" s="318"/>
    </row>
    <row r="8213" spans="2:30" s="323" customFormat="1" ht="12" customHeight="1">
      <c r="B8213" s="324"/>
      <c r="C8213" s="325"/>
      <c r="D8213" s="326"/>
      <c r="E8213" s="326"/>
      <c r="F8213" s="326"/>
      <c r="G8213" s="326"/>
      <c r="H8213" s="326"/>
      <c r="P8213" s="318"/>
      <c r="Q8213" s="318"/>
      <c r="R8213" s="318"/>
      <c r="S8213" s="318"/>
      <c r="T8213" s="318"/>
      <c r="U8213" s="318"/>
      <c r="V8213" s="318"/>
      <c r="W8213" s="318"/>
      <c r="X8213" s="318"/>
      <c r="Y8213" s="318"/>
      <c r="Z8213" s="318"/>
      <c r="AA8213" s="318"/>
      <c r="AB8213" s="318"/>
      <c r="AC8213" s="318"/>
      <c r="AD8213" s="318"/>
    </row>
    <row r="8214" spans="2:30" s="323" customFormat="1" ht="12" customHeight="1">
      <c r="B8214" s="324"/>
      <c r="C8214" s="325"/>
      <c r="D8214" s="326"/>
      <c r="E8214" s="326"/>
      <c r="F8214" s="326"/>
      <c r="G8214" s="326"/>
      <c r="H8214" s="326"/>
      <c r="P8214" s="318"/>
      <c r="Q8214" s="318"/>
      <c r="R8214" s="318"/>
      <c r="S8214" s="318"/>
      <c r="T8214" s="318"/>
      <c r="U8214" s="318"/>
      <c r="V8214" s="318"/>
      <c r="W8214" s="318"/>
      <c r="X8214" s="318"/>
      <c r="Y8214" s="318"/>
      <c r="Z8214" s="318"/>
      <c r="AA8214" s="318"/>
      <c r="AB8214" s="318"/>
      <c r="AC8214" s="318"/>
      <c r="AD8214" s="318"/>
    </row>
    <row r="8215" spans="2:30" s="323" customFormat="1" ht="12" customHeight="1">
      <c r="B8215" s="324"/>
      <c r="C8215" s="325"/>
      <c r="D8215" s="326"/>
      <c r="E8215" s="326"/>
      <c r="F8215" s="326"/>
      <c r="G8215" s="326"/>
      <c r="H8215" s="326"/>
      <c r="P8215" s="318"/>
      <c r="Q8215" s="318"/>
      <c r="R8215" s="318"/>
      <c r="S8215" s="318"/>
      <c r="T8215" s="318"/>
      <c r="U8215" s="318"/>
      <c r="V8215" s="318"/>
      <c r="W8215" s="318"/>
      <c r="X8215" s="318"/>
      <c r="Y8215" s="318"/>
      <c r="Z8215" s="318"/>
      <c r="AA8215" s="318"/>
      <c r="AB8215" s="318"/>
      <c r="AC8215" s="318"/>
      <c r="AD8215" s="318"/>
    </row>
    <row r="8216" spans="2:30" s="323" customFormat="1" ht="12" customHeight="1">
      <c r="B8216" s="324"/>
      <c r="C8216" s="325"/>
      <c r="D8216" s="326"/>
      <c r="E8216" s="326"/>
      <c r="F8216" s="326"/>
      <c r="G8216" s="326"/>
      <c r="H8216" s="326"/>
      <c r="P8216" s="318"/>
      <c r="Q8216" s="318"/>
      <c r="R8216" s="318"/>
      <c r="S8216" s="318"/>
      <c r="T8216" s="318"/>
      <c r="U8216" s="318"/>
      <c r="V8216" s="318"/>
      <c r="W8216" s="318"/>
      <c r="X8216" s="318"/>
      <c r="Y8216" s="318"/>
      <c r="Z8216" s="318"/>
      <c r="AA8216" s="318"/>
      <c r="AB8216" s="318"/>
      <c r="AC8216" s="318"/>
      <c r="AD8216" s="318"/>
    </row>
    <row r="8217" spans="2:30" s="323" customFormat="1" ht="12" customHeight="1">
      <c r="B8217" s="324"/>
      <c r="C8217" s="325"/>
      <c r="D8217" s="326"/>
      <c r="E8217" s="326"/>
      <c r="F8217" s="326"/>
      <c r="G8217" s="326"/>
      <c r="H8217" s="326"/>
      <c r="P8217" s="318"/>
      <c r="Q8217" s="318"/>
      <c r="R8217" s="318"/>
      <c r="S8217" s="318"/>
      <c r="T8217" s="318"/>
      <c r="U8217" s="318"/>
      <c r="V8217" s="318"/>
      <c r="W8217" s="318"/>
      <c r="X8217" s="318"/>
      <c r="Y8217" s="318"/>
      <c r="Z8217" s="318"/>
      <c r="AA8217" s="318"/>
      <c r="AB8217" s="318"/>
      <c r="AC8217" s="318"/>
      <c r="AD8217" s="318"/>
    </row>
    <row r="8218" spans="2:30" s="323" customFormat="1" ht="12" customHeight="1">
      <c r="B8218" s="324"/>
      <c r="C8218" s="325"/>
      <c r="D8218" s="326"/>
      <c r="E8218" s="326"/>
      <c r="F8218" s="326"/>
      <c r="G8218" s="326"/>
      <c r="H8218" s="326"/>
      <c r="P8218" s="318"/>
      <c r="Q8218" s="318"/>
      <c r="R8218" s="318"/>
      <c r="S8218" s="318"/>
      <c r="T8218" s="318"/>
      <c r="U8218" s="318"/>
      <c r="V8218" s="318"/>
      <c r="W8218" s="318"/>
      <c r="X8218" s="318"/>
      <c r="Y8218" s="318"/>
      <c r="Z8218" s="318"/>
      <c r="AA8218" s="318"/>
      <c r="AB8218" s="318"/>
      <c r="AC8218" s="318"/>
      <c r="AD8218" s="318"/>
    </row>
    <row r="8219" spans="2:30" s="323" customFormat="1" ht="12" customHeight="1">
      <c r="B8219" s="324"/>
      <c r="C8219" s="325"/>
      <c r="D8219" s="326"/>
      <c r="E8219" s="326"/>
      <c r="F8219" s="326"/>
      <c r="G8219" s="326"/>
      <c r="H8219" s="326"/>
      <c r="P8219" s="318"/>
      <c r="Q8219" s="318"/>
      <c r="R8219" s="318"/>
      <c r="S8219" s="318"/>
      <c r="T8219" s="318"/>
      <c r="U8219" s="318"/>
      <c r="V8219" s="318"/>
      <c r="W8219" s="318"/>
      <c r="X8219" s="318"/>
      <c r="Y8219" s="318"/>
      <c r="Z8219" s="318"/>
      <c r="AA8219" s="318"/>
      <c r="AB8219" s="318"/>
      <c r="AC8219" s="318"/>
      <c r="AD8219" s="318"/>
    </row>
    <row r="8220" spans="2:30" s="323" customFormat="1" ht="12" customHeight="1">
      <c r="B8220" s="324"/>
      <c r="C8220" s="325"/>
      <c r="D8220" s="326"/>
      <c r="E8220" s="326"/>
      <c r="F8220" s="326"/>
      <c r="G8220" s="326"/>
      <c r="H8220" s="326"/>
      <c r="P8220" s="318"/>
      <c r="Q8220" s="318"/>
      <c r="R8220" s="318"/>
      <c r="S8220" s="318"/>
      <c r="T8220" s="318"/>
      <c r="U8220" s="318"/>
      <c r="V8220" s="318"/>
      <c r="W8220" s="318"/>
      <c r="X8220" s="318"/>
      <c r="Y8220" s="318"/>
      <c r="Z8220" s="318"/>
      <c r="AA8220" s="318"/>
      <c r="AB8220" s="318"/>
      <c r="AC8220" s="318"/>
      <c r="AD8220" s="318"/>
    </row>
    <row r="8221" spans="2:30" s="323" customFormat="1" ht="12" customHeight="1">
      <c r="B8221" s="324"/>
      <c r="C8221" s="325"/>
      <c r="D8221" s="326"/>
      <c r="E8221" s="326"/>
      <c r="F8221" s="326"/>
      <c r="G8221" s="326"/>
      <c r="H8221" s="326"/>
      <c r="P8221" s="318"/>
      <c r="Q8221" s="318"/>
      <c r="R8221" s="318"/>
      <c r="S8221" s="318"/>
      <c r="T8221" s="318"/>
      <c r="U8221" s="318"/>
      <c r="V8221" s="318"/>
      <c r="W8221" s="318"/>
      <c r="X8221" s="318"/>
      <c r="Y8221" s="318"/>
      <c r="Z8221" s="318"/>
      <c r="AA8221" s="318"/>
      <c r="AB8221" s="318"/>
      <c r="AC8221" s="318"/>
      <c r="AD8221" s="318"/>
    </row>
    <row r="8222" spans="2:30" s="323" customFormat="1" ht="12" customHeight="1">
      <c r="B8222" s="324"/>
      <c r="C8222" s="325"/>
      <c r="D8222" s="326"/>
      <c r="E8222" s="326"/>
      <c r="F8222" s="326"/>
      <c r="G8222" s="326"/>
      <c r="H8222" s="326"/>
      <c r="P8222" s="318"/>
      <c r="Q8222" s="318"/>
      <c r="R8222" s="318"/>
      <c r="S8222" s="318"/>
      <c r="T8222" s="318"/>
      <c r="U8222" s="318"/>
      <c r="V8222" s="318"/>
      <c r="W8222" s="318"/>
      <c r="X8222" s="318"/>
      <c r="Y8222" s="318"/>
      <c r="Z8222" s="318"/>
      <c r="AA8222" s="318"/>
      <c r="AB8222" s="318"/>
      <c r="AC8222" s="318"/>
      <c r="AD8222" s="318"/>
    </row>
    <row r="8223" spans="2:30" s="323" customFormat="1" ht="12" customHeight="1">
      <c r="B8223" s="324"/>
      <c r="C8223" s="325"/>
      <c r="D8223" s="326"/>
      <c r="E8223" s="326"/>
      <c r="F8223" s="326"/>
      <c r="G8223" s="326"/>
      <c r="H8223" s="326"/>
      <c r="P8223" s="318"/>
      <c r="Q8223" s="318"/>
      <c r="R8223" s="318"/>
      <c r="S8223" s="318"/>
      <c r="T8223" s="318"/>
      <c r="U8223" s="318"/>
      <c r="V8223" s="318"/>
      <c r="W8223" s="318"/>
      <c r="X8223" s="318"/>
      <c r="Y8223" s="318"/>
      <c r="Z8223" s="318"/>
      <c r="AA8223" s="318"/>
      <c r="AB8223" s="318"/>
      <c r="AC8223" s="318"/>
      <c r="AD8223" s="318"/>
    </row>
    <row r="8224" spans="2:30" s="323" customFormat="1" ht="12" customHeight="1">
      <c r="B8224" s="324"/>
      <c r="C8224" s="325"/>
      <c r="D8224" s="326"/>
      <c r="E8224" s="326"/>
      <c r="F8224" s="326"/>
      <c r="G8224" s="326"/>
      <c r="H8224" s="326"/>
      <c r="P8224" s="318"/>
      <c r="Q8224" s="318"/>
      <c r="R8224" s="318"/>
      <c r="S8224" s="318"/>
      <c r="T8224" s="318"/>
      <c r="U8224" s="318"/>
      <c r="V8224" s="318"/>
      <c r="W8224" s="318"/>
      <c r="X8224" s="318"/>
      <c r="Y8224" s="318"/>
      <c r="Z8224" s="318"/>
      <c r="AA8224" s="318"/>
      <c r="AB8224" s="318"/>
      <c r="AC8224" s="318"/>
      <c r="AD8224" s="318"/>
    </row>
    <row r="8225" spans="2:30" s="323" customFormat="1" ht="12" customHeight="1">
      <c r="B8225" s="324"/>
      <c r="C8225" s="325"/>
      <c r="D8225" s="326"/>
      <c r="E8225" s="326"/>
      <c r="F8225" s="326"/>
      <c r="G8225" s="326"/>
      <c r="H8225" s="326"/>
      <c r="P8225" s="318"/>
      <c r="Q8225" s="318"/>
      <c r="R8225" s="318"/>
      <c r="S8225" s="318"/>
      <c r="T8225" s="318"/>
      <c r="U8225" s="318"/>
      <c r="V8225" s="318"/>
      <c r="W8225" s="318"/>
      <c r="X8225" s="318"/>
      <c r="Y8225" s="318"/>
      <c r="Z8225" s="318"/>
      <c r="AA8225" s="318"/>
      <c r="AB8225" s="318"/>
      <c r="AC8225" s="318"/>
      <c r="AD8225" s="318"/>
    </row>
    <row r="8226" spans="2:30" s="323" customFormat="1" ht="12" customHeight="1">
      <c r="B8226" s="324"/>
      <c r="C8226" s="325"/>
      <c r="D8226" s="326"/>
      <c r="E8226" s="326"/>
      <c r="F8226" s="326"/>
      <c r="G8226" s="326"/>
      <c r="H8226" s="326"/>
      <c r="P8226" s="318"/>
      <c r="Q8226" s="318"/>
      <c r="R8226" s="318"/>
      <c r="S8226" s="318"/>
      <c r="T8226" s="318"/>
      <c r="U8226" s="318"/>
      <c r="V8226" s="318"/>
      <c r="W8226" s="318"/>
      <c r="X8226" s="318"/>
      <c r="Y8226" s="318"/>
      <c r="Z8226" s="318"/>
      <c r="AA8226" s="318"/>
      <c r="AB8226" s="318"/>
      <c r="AC8226" s="318"/>
      <c r="AD8226" s="318"/>
    </row>
    <row r="8227" spans="2:30" s="323" customFormat="1" ht="12" customHeight="1">
      <c r="B8227" s="324"/>
      <c r="C8227" s="325"/>
      <c r="D8227" s="326"/>
      <c r="E8227" s="326"/>
      <c r="F8227" s="326"/>
      <c r="G8227" s="326"/>
      <c r="H8227" s="326"/>
      <c r="P8227" s="318"/>
      <c r="Q8227" s="318"/>
      <c r="R8227" s="318"/>
      <c r="S8227" s="318"/>
      <c r="T8227" s="318"/>
      <c r="U8227" s="318"/>
      <c r="V8227" s="318"/>
      <c r="W8227" s="318"/>
      <c r="X8227" s="318"/>
      <c r="Y8227" s="318"/>
      <c r="Z8227" s="318"/>
      <c r="AA8227" s="318"/>
      <c r="AB8227" s="318"/>
      <c r="AC8227" s="318"/>
      <c r="AD8227" s="318"/>
    </row>
    <row r="8228" spans="2:30" s="323" customFormat="1" ht="12" customHeight="1">
      <c r="B8228" s="324"/>
      <c r="C8228" s="325"/>
      <c r="D8228" s="326"/>
      <c r="E8228" s="326"/>
      <c r="F8228" s="326"/>
      <c r="G8228" s="326"/>
      <c r="H8228" s="326"/>
      <c r="P8228" s="318"/>
      <c r="Q8228" s="318"/>
      <c r="R8228" s="318"/>
      <c r="S8228" s="318"/>
      <c r="T8228" s="318"/>
      <c r="U8228" s="318"/>
      <c r="V8228" s="318"/>
      <c r="W8228" s="318"/>
      <c r="X8228" s="318"/>
      <c r="Y8228" s="318"/>
      <c r="Z8228" s="318"/>
      <c r="AA8228" s="318"/>
      <c r="AB8228" s="318"/>
      <c r="AC8228" s="318"/>
      <c r="AD8228" s="318"/>
    </row>
    <row r="8229" spans="2:30" s="323" customFormat="1" ht="12" customHeight="1">
      <c r="B8229" s="324"/>
      <c r="C8229" s="325"/>
      <c r="D8229" s="326"/>
      <c r="E8229" s="326"/>
      <c r="F8229" s="326"/>
      <c r="G8229" s="326"/>
      <c r="H8229" s="326"/>
      <c r="P8229" s="318"/>
      <c r="Q8229" s="318"/>
      <c r="R8229" s="318"/>
      <c r="S8229" s="318"/>
      <c r="T8229" s="318"/>
      <c r="U8229" s="318"/>
      <c r="V8229" s="318"/>
      <c r="W8229" s="318"/>
      <c r="X8229" s="318"/>
      <c r="Y8229" s="318"/>
      <c r="Z8229" s="318"/>
      <c r="AA8229" s="318"/>
      <c r="AB8229" s="318"/>
      <c r="AC8229" s="318"/>
      <c r="AD8229" s="318"/>
    </row>
    <row r="8230" spans="2:30" s="323" customFormat="1" ht="12" customHeight="1">
      <c r="B8230" s="324"/>
      <c r="C8230" s="325"/>
      <c r="D8230" s="326"/>
      <c r="E8230" s="326"/>
      <c r="F8230" s="326"/>
      <c r="G8230" s="326"/>
      <c r="H8230" s="326"/>
      <c r="P8230" s="318"/>
      <c r="Q8230" s="318"/>
      <c r="R8230" s="318"/>
      <c r="S8230" s="318"/>
      <c r="T8230" s="318"/>
      <c r="U8230" s="318"/>
      <c r="V8230" s="318"/>
      <c r="W8230" s="318"/>
      <c r="X8230" s="318"/>
      <c r="Y8230" s="318"/>
      <c r="Z8230" s="318"/>
      <c r="AA8230" s="318"/>
      <c r="AB8230" s="318"/>
      <c r="AC8230" s="318"/>
      <c r="AD8230" s="318"/>
    </row>
    <row r="8231" spans="2:30" s="323" customFormat="1" ht="12" customHeight="1">
      <c r="B8231" s="324"/>
      <c r="C8231" s="325"/>
      <c r="D8231" s="326"/>
      <c r="E8231" s="326"/>
      <c r="F8231" s="326"/>
      <c r="G8231" s="326"/>
      <c r="H8231" s="326"/>
      <c r="P8231" s="318"/>
      <c r="Q8231" s="318"/>
      <c r="R8231" s="318"/>
      <c r="S8231" s="318"/>
      <c r="T8231" s="318"/>
      <c r="U8231" s="318"/>
      <c r="V8231" s="318"/>
      <c r="W8231" s="318"/>
      <c r="X8231" s="318"/>
      <c r="Y8231" s="318"/>
      <c r="Z8231" s="318"/>
      <c r="AA8231" s="318"/>
      <c r="AB8231" s="318"/>
      <c r="AC8231" s="318"/>
      <c r="AD8231" s="318"/>
    </row>
    <row r="8232" spans="2:30" s="323" customFormat="1" ht="12" customHeight="1">
      <c r="B8232" s="324"/>
      <c r="C8232" s="325"/>
      <c r="D8232" s="326"/>
      <c r="E8232" s="326"/>
      <c r="F8232" s="326"/>
      <c r="G8232" s="326"/>
      <c r="H8232" s="326"/>
      <c r="P8232" s="318"/>
      <c r="Q8232" s="318"/>
      <c r="R8232" s="318"/>
      <c r="S8232" s="318"/>
      <c r="T8232" s="318"/>
      <c r="U8232" s="318"/>
      <c r="V8232" s="318"/>
      <c r="W8232" s="318"/>
      <c r="X8232" s="318"/>
      <c r="Y8232" s="318"/>
      <c r="Z8232" s="318"/>
      <c r="AA8232" s="318"/>
      <c r="AB8232" s="318"/>
      <c r="AC8232" s="318"/>
      <c r="AD8232" s="318"/>
    </row>
    <row r="8233" spans="2:30" s="323" customFormat="1" ht="12" customHeight="1">
      <c r="B8233" s="324"/>
      <c r="C8233" s="325"/>
      <c r="D8233" s="326"/>
      <c r="E8233" s="326"/>
      <c r="F8233" s="326"/>
      <c r="G8233" s="326"/>
      <c r="H8233" s="326"/>
      <c r="P8233" s="318"/>
      <c r="Q8233" s="318"/>
      <c r="R8233" s="318"/>
      <c r="S8233" s="318"/>
      <c r="T8233" s="318"/>
      <c r="U8233" s="318"/>
      <c r="V8233" s="318"/>
      <c r="W8233" s="318"/>
      <c r="X8233" s="318"/>
      <c r="Y8233" s="318"/>
      <c r="Z8233" s="318"/>
      <c r="AA8233" s="318"/>
      <c r="AB8233" s="318"/>
      <c r="AC8233" s="318"/>
      <c r="AD8233" s="318"/>
    </row>
    <row r="8234" spans="2:30" s="323" customFormat="1" ht="12" customHeight="1">
      <c r="B8234" s="324"/>
      <c r="C8234" s="325"/>
      <c r="D8234" s="326"/>
      <c r="E8234" s="326"/>
      <c r="F8234" s="326"/>
      <c r="G8234" s="326"/>
      <c r="H8234" s="326"/>
      <c r="P8234" s="318"/>
      <c r="Q8234" s="318"/>
      <c r="R8234" s="318"/>
      <c r="S8234" s="318"/>
      <c r="T8234" s="318"/>
      <c r="U8234" s="318"/>
      <c r="V8234" s="318"/>
      <c r="W8234" s="318"/>
      <c r="X8234" s="318"/>
      <c r="Y8234" s="318"/>
      <c r="Z8234" s="318"/>
      <c r="AA8234" s="318"/>
      <c r="AB8234" s="318"/>
      <c r="AC8234" s="318"/>
      <c r="AD8234" s="318"/>
    </row>
    <row r="8235" spans="2:30" s="323" customFormat="1" ht="12" customHeight="1">
      <c r="B8235" s="324"/>
      <c r="C8235" s="325"/>
      <c r="D8235" s="326"/>
      <c r="E8235" s="326"/>
      <c r="F8235" s="326"/>
      <c r="G8235" s="326"/>
      <c r="H8235" s="326"/>
      <c r="P8235" s="318"/>
      <c r="Q8235" s="318"/>
      <c r="R8235" s="318"/>
      <c r="S8235" s="318"/>
      <c r="T8235" s="318"/>
      <c r="U8235" s="318"/>
      <c r="V8235" s="318"/>
      <c r="W8235" s="318"/>
      <c r="X8235" s="318"/>
      <c r="Y8235" s="318"/>
      <c r="Z8235" s="318"/>
      <c r="AA8235" s="318"/>
      <c r="AB8235" s="318"/>
      <c r="AC8235" s="318"/>
      <c r="AD8235" s="318"/>
    </row>
    <row r="8236" spans="2:30" s="323" customFormat="1" ht="12" customHeight="1">
      <c r="B8236" s="324"/>
      <c r="C8236" s="325"/>
      <c r="D8236" s="326"/>
      <c r="E8236" s="326"/>
      <c r="F8236" s="326"/>
      <c r="G8236" s="326"/>
      <c r="H8236" s="326"/>
      <c r="P8236" s="318"/>
      <c r="Q8236" s="318"/>
      <c r="R8236" s="318"/>
      <c r="S8236" s="318"/>
      <c r="T8236" s="318"/>
      <c r="U8236" s="318"/>
      <c r="V8236" s="318"/>
      <c r="W8236" s="318"/>
      <c r="X8236" s="318"/>
      <c r="Y8236" s="318"/>
      <c r="Z8236" s="318"/>
      <c r="AA8236" s="318"/>
      <c r="AB8236" s="318"/>
      <c r="AC8236" s="318"/>
      <c r="AD8236" s="318"/>
    </row>
    <row r="8237" spans="2:30" s="323" customFormat="1" ht="12" customHeight="1">
      <c r="B8237" s="324"/>
      <c r="C8237" s="325"/>
      <c r="D8237" s="326"/>
      <c r="E8237" s="326"/>
      <c r="F8237" s="326"/>
      <c r="G8237" s="326"/>
      <c r="H8237" s="326"/>
      <c r="P8237" s="318"/>
      <c r="Q8237" s="318"/>
      <c r="R8237" s="318"/>
      <c r="S8237" s="318"/>
      <c r="T8237" s="318"/>
      <c r="U8237" s="318"/>
      <c r="V8237" s="318"/>
      <c r="W8237" s="318"/>
      <c r="X8237" s="318"/>
      <c r="Y8237" s="318"/>
      <c r="Z8237" s="318"/>
      <c r="AA8237" s="318"/>
      <c r="AB8237" s="318"/>
      <c r="AC8237" s="318"/>
      <c r="AD8237" s="318"/>
    </row>
    <row r="8238" spans="2:30" s="323" customFormat="1" ht="12" customHeight="1">
      <c r="B8238" s="324"/>
      <c r="C8238" s="325"/>
      <c r="D8238" s="326"/>
      <c r="E8238" s="326"/>
      <c r="F8238" s="326"/>
      <c r="G8238" s="326"/>
      <c r="H8238" s="326"/>
      <c r="P8238" s="318"/>
      <c r="Q8238" s="318"/>
      <c r="R8238" s="318"/>
      <c r="S8238" s="318"/>
      <c r="T8238" s="318"/>
      <c r="U8238" s="318"/>
      <c r="V8238" s="318"/>
      <c r="W8238" s="318"/>
      <c r="X8238" s="318"/>
      <c r="Y8238" s="318"/>
      <c r="Z8238" s="318"/>
      <c r="AA8238" s="318"/>
      <c r="AB8238" s="318"/>
      <c r="AC8238" s="318"/>
      <c r="AD8238" s="318"/>
    </row>
    <row r="8239" spans="2:30" s="323" customFormat="1" ht="12" customHeight="1">
      <c r="B8239" s="324"/>
      <c r="C8239" s="325"/>
      <c r="D8239" s="326"/>
      <c r="E8239" s="326"/>
      <c r="F8239" s="326"/>
      <c r="G8239" s="326"/>
      <c r="H8239" s="326"/>
      <c r="P8239" s="318"/>
      <c r="Q8239" s="318"/>
      <c r="R8239" s="318"/>
      <c r="S8239" s="318"/>
      <c r="T8239" s="318"/>
      <c r="U8239" s="318"/>
      <c r="V8239" s="318"/>
      <c r="W8239" s="318"/>
      <c r="X8239" s="318"/>
      <c r="Y8239" s="318"/>
      <c r="Z8239" s="318"/>
      <c r="AA8239" s="318"/>
      <c r="AB8239" s="318"/>
      <c r="AC8239" s="318"/>
      <c r="AD8239" s="318"/>
    </row>
    <row r="8240" spans="2:30" s="323" customFormat="1" ht="12" customHeight="1">
      <c r="B8240" s="324"/>
      <c r="C8240" s="325"/>
      <c r="D8240" s="326"/>
      <c r="E8240" s="326"/>
      <c r="F8240" s="326"/>
      <c r="G8240" s="326"/>
      <c r="H8240" s="326"/>
      <c r="P8240" s="318"/>
      <c r="Q8240" s="318"/>
      <c r="R8240" s="318"/>
      <c r="S8240" s="318"/>
      <c r="T8240" s="318"/>
      <c r="U8240" s="318"/>
      <c r="V8240" s="318"/>
      <c r="W8240" s="318"/>
      <c r="X8240" s="318"/>
      <c r="Y8240" s="318"/>
      <c r="Z8240" s="318"/>
      <c r="AA8240" s="318"/>
      <c r="AB8240" s="318"/>
      <c r="AC8240" s="318"/>
      <c r="AD8240" s="318"/>
    </row>
    <row r="8241" spans="2:30" s="323" customFormat="1" ht="12" customHeight="1">
      <c r="B8241" s="324"/>
      <c r="C8241" s="325"/>
      <c r="D8241" s="326"/>
      <c r="E8241" s="326"/>
      <c r="F8241" s="326"/>
      <c r="G8241" s="326"/>
      <c r="H8241" s="326"/>
      <c r="P8241" s="318"/>
      <c r="Q8241" s="318"/>
      <c r="R8241" s="318"/>
      <c r="S8241" s="318"/>
      <c r="T8241" s="318"/>
      <c r="U8241" s="318"/>
      <c r="V8241" s="318"/>
      <c r="W8241" s="318"/>
      <c r="X8241" s="318"/>
      <c r="Y8241" s="318"/>
      <c r="Z8241" s="318"/>
      <c r="AA8241" s="318"/>
      <c r="AB8241" s="318"/>
      <c r="AC8241" s="318"/>
      <c r="AD8241" s="318"/>
    </row>
    <row r="8242" spans="2:30" s="323" customFormat="1" ht="12" customHeight="1">
      <c r="B8242" s="324"/>
      <c r="C8242" s="325"/>
      <c r="D8242" s="326"/>
      <c r="E8242" s="326"/>
      <c r="F8242" s="326"/>
      <c r="G8242" s="326"/>
      <c r="H8242" s="326"/>
      <c r="P8242" s="318"/>
      <c r="Q8242" s="318"/>
      <c r="R8242" s="318"/>
      <c r="S8242" s="318"/>
      <c r="T8242" s="318"/>
      <c r="U8242" s="318"/>
      <c r="V8242" s="318"/>
      <c r="W8242" s="318"/>
      <c r="X8242" s="318"/>
      <c r="Y8242" s="318"/>
      <c r="Z8242" s="318"/>
      <c r="AA8242" s="318"/>
      <c r="AB8242" s="318"/>
      <c r="AC8242" s="318"/>
      <c r="AD8242" s="318"/>
    </row>
    <row r="8243" spans="2:30" s="323" customFormat="1" ht="12" customHeight="1">
      <c r="B8243" s="324"/>
      <c r="C8243" s="325"/>
      <c r="D8243" s="326"/>
      <c r="E8243" s="326"/>
      <c r="F8243" s="326"/>
      <c r="G8243" s="326"/>
      <c r="H8243" s="326"/>
      <c r="P8243" s="318"/>
      <c r="Q8243" s="318"/>
      <c r="R8243" s="318"/>
      <c r="S8243" s="318"/>
      <c r="T8243" s="318"/>
      <c r="U8243" s="318"/>
      <c r="V8243" s="318"/>
      <c r="W8243" s="318"/>
      <c r="X8243" s="318"/>
      <c r="Y8243" s="318"/>
      <c r="Z8243" s="318"/>
      <c r="AA8243" s="318"/>
      <c r="AB8243" s="318"/>
      <c r="AC8243" s="318"/>
      <c r="AD8243" s="318"/>
    </row>
    <row r="8244" spans="2:30" s="323" customFormat="1" ht="12" customHeight="1">
      <c r="B8244" s="324"/>
      <c r="C8244" s="325"/>
      <c r="D8244" s="326"/>
      <c r="E8244" s="326"/>
      <c r="F8244" s="326"/>
      <c r="G8244" s="326"/>
      <c r="H8244" s="326"/>
      <c r="P8244" s="318"/>
      <c r="Q8244" s="318"/>
      <c r="R8244" s="318"/>
      <c r="S8244" s="318"/>
      <c r="T8244" s="318"/>
      <c r="U8244" s="318"/>
      <c r="V8244" s="318"/>
      <c r="W8244" s="318"/>
      <c r="X8244" s="318"/>
      <c r="Y8244" s="318"/>
      <c r="Z8244" s="318"/>
      <c r="AA8244" s="318"/>
      <c r="AB8244" s="318"/>
      <c r="AC8244" s="318"/>
      <c r="AD8244" s="318"/>
    </row>
    <row r="8245" spans="2:30" s="323" customFormat="1" ht="12" customHeight="1">
      <c r="B8245" s="324"/>
      <c r="C8245" s="325"/>
      <c r="D8245" s="326"/>
      <c r="E8245" s="326"/>
      <c r="F8245" s="326"/>
      <c r="G8245" s="326"/>
      <c r="H8245" s="326"/>
      <c r="P8245" s="318"/>
      <c r="Q8245" s="318"/>
      <c r="R8245" s="318"/>
      <c r="S8245" s="318"/>
      <c r="T8245" s="318"/>
      <c r="U8245" s="318"/>
      <c r="V8245" s="318"/>
      <c r="W8245" s="318"/>
      <c r="X8245" s="318"/>
      <c r="Y8245" s="318"/>
      <c r="Z8245" s="318"/>
      <c r="AA8245" s="318"/>
      <c r="AB8245" s="318"/>
      <c r="AC8245" s="318"/>
      <c r="AD8245" s="318"/>
    </row>
    <row r="8246" spans="2:30" s="323" customFormat="1" ht="12" customHeight="1">
      <c r="B8246" s="324"/>
      <c r="C8246" s="325"/>
      <c r="D8246" s="326"/>
      <c r="E8246" s="326"/>
      <c r="F8246" s="326"/>
      <c r="G8246" s="326"/>
      <c r="H8246" s="326"/>
      <c r="P8246" s="318"/>
      <c r="Q8246" s="318"/>
      <c r="R8246" s="318"/>
      <c r="S8246" s="318"/>
      <c r="T8246" s="318"/>
      <c r="U8246" s="318"/>
      <c r="V8246" s="318"/>
      <c r="W8246" s="318"/>
      <c r="X8246" s="318"/>
      <c r="Y8246" s="318"/>
      <c r="Z8246" s="318"/>
      <c r="AA8246" s="318"/>
      <c r="AB8246" s="318"/>
      <c r="AC8246" s="318"/>
      <c r="AD8246" s="318"/>
    </row>
    <row r="8247" spans="2:30" s="323" customFormat="1" ht="12" customHeight="1">
      <c r="B8247" s="324"/>
      <c r="C8247" s="325"/>
      <c r="D8247" s="326"/>
      <c r="E8247" s="326"/>
      <c r="F8247" s="326"/>
      <c r="G8247" s="326"/>
      <c r="H8247" s="326"/>
      <c r="P8247" s="318"/>
      <c r="Q8247" s="318"/>
      <c r="R8247" s="318"/>
      <c r="S8247" s="318"/>
      <c r="T8247" s="318"/>
      <c r="U8247" s="318"/>
      <c r="V8247" s="318"/>
      <c r="W8247" s="318"/>
      <c r="X8247" s="318"/>
      <c r="Y8247" s="318"/>
      <c r="Z8247" s="318"/>
      <c r="AA8247" s="318"/>
      <c r="AB8247" s="318"/>
      <c r="AC8247" s="318"/>
      <c r="AD8247" s="318"/>
    </row>
    <row r="8248" spans="2:30" s="323" customFormat="1" ht="12" customHeight="1">
      <c r="B8248" s="324"/>
      <c r="C8248" s="325"/>
      <c r="D8248" s="326"/>
      <c r="E8248" s="326"/>
      <c r="F8248" s="326"/>
      <c r="G8248" s="326"/>
      <c r="H8248" s="326"/>
      <c r="P8248" s="318"/>
      <c r="Q8248" s="318"/>
      <c r="R8248" s="318"/>
      <c r="S8248" s="318"/>
      <c r="T8248" s="318"/>
      <c r="U8248" s="318"/>
      <c r="V8248" s="318"/>
      <c r="W8248" s="318"/>
      <c r="X8248" s="318"/>
      <c r="Y8248" s="318"/>
      <c r="Z8248" s="318"/>
      <c r="AA8248" s="318"/>
      <c r="AB8248" s="318"/>
      <c r="AC8248" s="318"/>
      <c r="AD8248" s="318"/>
    </row>
    <row r="8249" spans="2:30" s="323" customFormat="1" ht="12" customHeight="1">
      <c r="B8249" s="324"/>
      <c r="C8249" s="325"/>
      <c r="D8249" s="326"/>
      <c r="E8249" s="326"/>
      <c r="F8249" s="326"/>
      <c r="G8249" s="326"/>
      <c r="H8249" s="326"/>
      <c r="P8249" s="318"/>
      <c r="Q8249" s="318"/>
      <c r="R8249" s="318"/>
      <c r="S8249" s="318"/>
      <c r="T8249" s="318"/>
      <c r="U8249" s="318"/>
      <c r="V8249" s="318"/>
      <c r="W8249" s="318"/>
      <c r="X8249" s="318"/>
      <c r="Y8249" s="318"/>
      <c r="Z8249" s="318"/>
      <c r="AA8249" s="318"/>
      <c r="AB8249" s="318"/>
      <c r="AC8249" s="318"/>
      <c r="AD8249" s="318"/>
    </row>
    <row r="8250" spans="2:30" s="323" customFormat="1" ht="12" customHeight="1">
      <c r="B8250" s="324"/>
      <c r="C8250" s="325"/>
      <c r="D8250" s="326"/>
      <c r="E8250" s="326"/>
      <c r="F8250" s="326"/>
      <c r="G8250" s="326"/>
      <c r="H8250" s="326"/>
      <c r="P8250" s="318"/>
      <c r="Q8250" s="318"/>
      <c r="R8250" s="318"/>
      <c r="S8250" s="318"/>
      <c r="T8250" s="318"/>
      <c r="U8250" s="318"/>
      <c r="V8250" s="318"/>
      <c r="W8250" s="318"/>
      <c r="X8250" s="318"/>
      <c r="Y8250" s="318"/>
      <c r="Z8250" s="318"/>
      <c r="AA8250" s="318"/>
      <c r="AB8250" s="318"/>
      <c r="AC8250" s="318"/>
      <c r="AD8250" s="318"/>
    </row>
    <row r="8251" spans="2:30" s="323" customFormat="1" ht="12" customHeight="1">
      <c r="B8251" s="324"/>
      <c r="C8251" s="325"/>
      <c r="D8251" s="326"/>
      <c r="E8251" s="326"/>
      <c r="F8251" s="326"/>
      <c r="G8251" s="326"/>
      <c r="H8251" s="326"/>
      <c r="P8251" s="318"/>
      <c r="Q8251" s="318"/>
      <c r="R8251" s="318"/>
      <c r="S8251" s="318"/>
      <c r="T8251" s="318"/>
      <c r="U8251" s="318"/>
      <c r="V8251" s="318"/>
      <c r="W8251" s="318"/>
      <c r="X8251" s="318"/>
      <c r="Y8251" s="318"/>
      <c r="Z8251" s="318"/>
      <c r="AA8251" s="318"/>
      <c r="AB8251" s="318"/>
      <c r="AC8251" s="318"/>
      <c r="AD8251" s="318"/>
    </row>
    <row r="8252" spans="2:30" s="323" customFormat="1" ht="12" customHeight="1">
      <c r="B8252" s="324"/>
      <c r="C8252" s="325"/>
      <c r="D8252" s="326"/>
      <c r="E8252" s="326"/>
      <c r="F8252" s="326"/>
      <c r="G8252" s="326"/>
      <c r="H8252" s="326"/>
      <c r="P8252" s="318"/>
      <c r="Q8252" s="318"/>
      <c r="R8252" s="318"/>
      <c r="S8252" s="318"/>
      <c r="T8252" s="318"/>
      <c r="U8252" s="318"/>
      <c r="V8252" s="318"/>
      <c r="W8252" s="318"/>
      <c r="X8252" s="318"/>
      <c r="Y8252" s="318"/>
      <c r="Z8252" s="318"/>
      <c r="AA8252" s="318"/>
      <c r="AB8252" s="318"/>
      <c r="AC8252" s="318"/>
      <c r="AD8252" s="318"/>
    </row>
    <row r="8253" spans="2:30" s="323" customFormat="1" ht="12" customHeight="1">
      <c r="B8253" s="324"/>
      <c r="C8253" s="325"/>
      <c r="D8253" s="326"/>
      <c r="E8253" s="326"/>
      <c r="F8253" s="326"/>
      <c r="G8253" s="326"/>
      <c r="H8253" s="326"/>
      <c r="P8253" s="318"/>
      <c r="Q8253" s="318"/>
      <c r="R8253" s="318"/>
      <c r="S8253" s="318"/>
      <c r="T8253" s="318"/>
      <c r="U8253" s="318"/>
      <c r="V8253" s="318"/>
      <c r="W8253" s="318"/>
      <c r="X8253" s="318"/>
      <c r="Y8253" s="318"/>
      <c r="Z8253" s="318"/>
      <c r="AA8253" s="318"/>
      <c r="AB8253" s="318"/>
      <c r="AC8253" s="318"/>
      <c r="AD8253" s="318"/>
    </row>
    <row r="8254" spans="2:30" s="323" customFormat="1" ht="12" customHeight="1">
      <c r="B8254" s="324"/>
      <c r="C8254" s="325"/>
      <c r="D8254" s="326"/>
      <c r="E8254" s="326"/>
      <c r="F8254" s="326"/>
      <c r="G8254" s="326"/>
      <c r="H8254" s="326"/>
      <c r="P8254" s="318"/>
      <c r="Q8254" s="318"/>
      <c r="R8254" s="318"/>
      <c r="S8254" s="318"/>
      <c r="T8254" s="318"/>
      <c r="U8254" s="318"/>
      <c r="V8254" s="318"/>
      <c r="W8254" s="318"/>
      <c r="X8254" s="318"/>
      <c r="Y8254" s="318"/>
      <c r="Z8254" s="318"/>
      <c r="AA8254" s="318"/>
      <c r="AB8254" s="318"/>
      <c r="AC8254" s="318"/>
      <c r="AD8254" s="318"/>
    </row>
    <row r="8255" spans="2:30" s="323" customFormat="1" ht="12" customHeight="1">
      <c r="B8255" s="324"/>
      <c r="C8255" s="325"/>
      <c r="D8255" s="326"/>
      <c r="E8255" s="326"/>
      <c r="F8255" s="326"/>
      <c r="G8255" s="326"/>
      <c r="H8255" s="326"/>
      <c r="P8255" s="318"/>
      <c r="Q8255" s="318"/>
      <c r="R8255" s="318"/>
      <c r="S8255" s="318"/>
      <c r="T8255" s="318"/>
      <c r="U8255" s="318"/>
      <c r="V8255" s="318"/>
      <c r="W8255" s="318"/>
      <c r="X8255" s="318"/>
      <c r="Y8255" s="318"/>
      <c r="Z8255" s="318"/>
      <c r="AA8255" s="318"/>
      <c r="AB8255" s="318"/>
      <c r="AC8255" s="318"/>
      <c r="AD8255" s="318"/>
    </row>
    <row r="8256" spans="2:30" s="323" customFormat="1" ht="12" customHeight="1">
      <c r="B8256" s="324"/>
      <c r="C8256" s="325"/>
      <c r="D8256" s="326"/>
      <c r="E8256" s="326"/>
      <c r="F8256" s="326"/>
      <c r="G8256" s="326"/>
      <c r="H8256" s="326"/>
      <c r="P8256" s="318"/>
      <c r="Q8256" s="318"/>
      <c r="R8256" s="318"/>
      <c r="S8256" s="318"/>
      <c r="T8256" s="318"/>
      <c r="U8256" s="318"/>
      <c r="V8256" s="318"/>
      <c r="W8256" s="318"/>
      <c r="X8256" s="318"/>
      <c r="Y8256" s="318"/>
      <c r="Z8256" s="318"/>
      <c r="AA8256" s="318"/>
      <c r="AB8256" s="318"/>
      <c r="AC8256" s="318"/>
      <c r="AD8256" s="318"/>
    </row>
    <row r="8257" spans="2:30" s="323" customFormat="1" ht="12" customHeight="1">
      <c r="B8257" s="324"/>
      <c r="C8257" s="325"/>
      <c r="D8257" s="326"/>
      <c r="E8257" s="326"/>
      <c r="F8257" s="326"/>
      <c r="G8257" s="326"/>
      <c r="H8257" s="326"/>
      <c r="P8257" s="318"/>
      <c r="Q8257" s="318"/>
      <c r="R8257" s="318"/>
      <c r="S8257" s="318"/>
      <c r="T8257" s="318"/>
      <c r="U8257" s="318"/>
      <c r="V8257" s="318"/>
      <c r="W8257" s="318"/>
      <c r="X8257" s="318"/>
      <c r="Y8257" s="318"/>
      <c r="Z8257" s="318"/>
      <c r="AA8257" s="318"/>
      <c r="AB8257" s="318"/>
      <c r="AC8257" s="318"/>
      <c r="AD8257" s="318"/>
    </row>
    <row r="8258" spans="2:30" s="323" customFormat="1" ht="12" customHeight="1">
      <c r="B8258" s="324"/>
      <c r="C8258" s="325"/>
      <c r="D8258" s="326"/>
      <c r="E8258" s="326"/>
      <c r="F8258" s="326"/>
      <c r="G8258" s="326"/>
      <c r="H8258" s="326"/>
      <c r="P8258" s="318"/>
      <c r="Q8258" s="318"/>
      <c r="R8258" s="318"/>
      <c r="S8258" s="318"/>
      <c r="T8258" s="318"/>
      <c r="U8258" s="318"/>
      <c r="V8258" s="318"/>
      <c r="W8258" s="318"/>
      <c r="X8258" s="318"/>
      <c r="Y8258" s="318"/>
      <c r="Z8258" s="318"/>
      <c r="AA8258" s="318"/>
      <c r="AB8258" s="318"/>
      <c r="AC8258" s="318"/>
      <c r="AD8258" s="318"/>
    </row>
    <row r="8259" spans="2:30" s="323" customFormat="1" ht="12" customHeight="1">
      <c r="B8259" s="324"/>
      <c r="C8259" s="325"/>
      <c r="D8259" s="326"/>
      <c r="E8259" s="326"/>
      <c r="F8259" s="326"/>
      <c r="G8259" s="326"/>
      <c r="H8259" s="326"/>
      <c r="P8259" s="318"/>
      <c r="Q8259" s="318"/>
      <c r="R8259" s="318"/>
      <c r="S8259" s="318"/>
      <c r="T8259" s="318"/>
      <c r="U8259" s="318"/>
      <c r="V8259" s="318"/>
      <c r="W8259" s="318"/>
      <c r="X8259" s="318"/>
      <c r="Y8259" s="318"/>
      <c r="Z8259" s="318"/>
      <c r="AA8259" s="318"/>
      <c r="AB8259" s="318"/>
      <c r="AC8259" s="318"/>
      <c r="AD8259" s="318"/>
    </row>
    <row r="8260" spans="2:30" s="323" customFormat="1" ht="12" customHeight="1">
      <c r="B8260" s="324"/>
      <c r="C8260" s="325"/>
      <c r="D8260" s="326"/>
      <c r="E8260" s="326"/>
      <c r="F8260" s="326"/>
      <c r="G8260" s="326"/>
      <c r="H8260" s="326"/>
      <c r="P8260" s="318"/>
      <c r="Q8260" s="318"/>
      <c r="R8260" s="318"/>
      <c r="S8260" s="318"/>
      <c r="T8260" s="318"/>
      <c r="U8260" s="318"/>
      <c r="V8260" s="318"/>
      <c r="W8260" s="318"/>
      <c r="X8260" s="318"/>
      <c r="Y8260" s="318"/>
      <c r="Z8260" s="318"/>
      <c r="AA8260" s="318"/>
      <c r="AB8260" s="318"/>
      <c r="AC8260" s="318"/>
      <c r="AD8260" s="318"/>
    </row>
    <row r="8261" spans="2:30" s="323" customFormat="1" ht="12" customHeight="1">
      <c r="B8261" s="324"/>
      <c r="C8261" s="325"/>
      <c r="D8261" s="326"/>
      <c r="E8261" s="326"/>
      <c r="F8261" s="326"/>
      <c r="G8261" s="326"/>
      <c r="H8261" s="326"/>
      <c r="P8261" s="318"/>
      <c r="Q8261" s="318"/>
      <c r="R8261" s="318"/>
      <c r="S8261" s="318"/>
      <c r="T8261" s="318"/>
      <c r="U8261" s="318"/>
      <c r="V8261" s="318"/>
      <c r="W8261" s="318"/>
      <c r="X8261" s="318"/>
      <c r="Y8261" s="318"/>
      <c r="Z8261" s="318"/>
      <c r="AA8261" s="318"/>
      <c r="AB8261" s="318"/>
      <c r="AC8261" s="318"/>
      <c r="AD8261" s="318"/>
    </row>
    <row r="8262" spans="2:30" s="323" customFormat="1" ht="12" customHeight="1">
      <c r="B8262" s="324"/>
      <c r="C8262" s="325"/>
      <c r="D8262" s="326"/>
      <c r="E8262" s="326"/>
      <c r="F8262" s="326"/>
      <c r="G8262" s="326"/>
      <c r="H8262" s="326"/>
      <c r="P8262" s="318"/>
      <c r="Q8262" s="318"/>
      <c r="R8262" s="318"/>
      <c r="S8262" s="318"/>
      <c r="T8262" s="318"/>
      <c r="U8262" s="318"/>
      <c r="V8262" s="318"/>
      <c r="W8262" s="318"/>
      <c r="X8262" s="318"/>
      <c r="Y8262" s="318"/>
      <c r="Z8262" s="318"/>
      <c r="AA8262" s="318"/>
      <c r="AB8262" s="318"/>
      <c r="AC8262" s="318"/>
      <c r="AD8262" s="318"/>
    </row>
    <row r="8263" spans="2:30" s="323" customFormat="1" ht="12" customHeight="1">
      <c r="B8263" s="324"/>
      <c r="C8263" s="325"/>
      <c r="D8263" s="326"/>
      <c r="E8263" s="326"/>
      <c r="F8263" s="326"/>
      <c r="G8263" s="326"/>
      <c r="H8263" s="326"/>
      <c r="P8263" s="318"/>
      <c r="Q8263" s="318"/>
      <c r="R8263" s="318"/>
      <c r="S8263" s="318"/>
      <c r="T8263" s="318"/>
      <c r="U8263" s="318"/>
      <c r="V8263" s="318"/>
      <c r="W8263" s="318"/>
      <c r="X8263" s="318"/>
      <c r="Y8263" s="318"/>
      <c r="Z8263" s="318"/>
      <c r="AA8263" s="318"/>
      <c r="AB8263" s="318"/>
      <c r="AC8263" s="318"/>
      <c r="AD8263" s="318"/>
    </row>
    <row r="8264" spans="2:30" s="323" customFormat="1" ht="12" customHeight="1">
      <c r="B8264" s="324"/>
      <c r="C8264" s="325"/>
      <c r="D8264" s="326"/>
      <c r="E8264" s="326"/>
      <c r="F8264" s="326"/>
      <c r="G8264" s="326"/>
      <c r="H8264" s="326"/>
      <c r="P8264" s="318"/>
      <c r="Q8264" s="318"/>
      <c r="R8264" s="318"/>
      <c r="S8264" s="318"/>
      <c r="T8264" s="318"/>
      <c r="U8264" s="318"/>
      <c r="V8264" s="318"/>
      <c r="W8264" s="318"/>
      <c r="X8264" s="318"/>
      <c r="Y8264" s="318"/>
      <c r="Z8264" s="318"/>
      <c r="AA8264" s="318"/>
      <c r="AB8264" s="318"/>
      <c r="AC8264" s="318"/>
      <c r="AD8264" s="318"/>
    </row>
    <row r="8265" spans="2:30" s="323" customFormat="1" ht="12" customHeight="1">
      <c r="B8265" s="324"/>
      <c r="C8265" s="325"/>
      <c r="D8265" s="326"/>
      <c r="E8265" s="326"/>
      <c r="F8265" s="326"/>
      <c r="G8265" s="326"/>
      <c r="H8265" s="326"/>
      <c r="P8265" s="318"/>
      <c r="Q8265" s="318"/>
      <c r="R8265" s="318"/>
      <c r="S8265" s="318"/>
      <c r="T8265" s="318"/>
      <c r="U8265" s="318"/>
      <c r="V8265" s="318"/>
      <c r="W8265" s="318"/>
      <c r="X8265" s="318"/>
      <c r="Y8265" s="318"/>
      <c r="Z8265" s="318"/>
      <c r="AA8265" s="318"/>
      <c r="AB8265" s="318"/>
      <c r="AC8265" s="318"/>
      <c r="AD8265" s="318"/>
    </row>
    <row r="8266" spans="2:30" s="323" customFormat="1" ht="12" customHeight="1">
      <c r="B8266" s="324"/>
      <c r="C8266" s="325"/>
      <c r="D8266" s="326"/>
      <c r="E8266" s="326"/>
      <c r="F8266" s="326"/>
      <c r="G8266" s="326"/>
      <c r="H8266" s="326"/>
      <c r="P8266" s="318"/>
      <c r="Q8266" s="318"/>
      <c r="R8266" s="318"/>
      <c r="S8266" s="318"/>
      <c r="T8266" s="318"/>
      <c r="U8266" s="318"/>
      <c r="V8266" s="318"/>
      <c r="W8266" s="318"/>
      <c r="X8266" s="318"/>
      <c r="Y8266" s="318"/>
      <c r="Z8266" s="318"/>
      <c r="AA8266" s="318"/>
      <c r="AB8266" s="318"/>
      <c r="AC8266" s="318"/>
      <c r="AD8266" s="318"/>
    </row>
    <row r="8267" spans="2:30" s="323" customFormat="1" ht="12" customHeight="1">
      <c r="B8267" s="324"/>
      <c r="C8267" s="325"/>
      <c r="D8267" s="326"/>
      <c r="E8267" s="326"/>
      <c r="F8267" s="326"/>
      <c r="G8267" s="326"/>
      <c r="H8267" s="326"/>
      <c r="P8267" s="318"/>
      <c r="Q8267" s="318"/>
      <c r="R8267" s="318"/>
      <c r="S8267" s="318"/>
      <c r="T8267" s="318"/>
      <c r="U8267" s="318"/>
      <c r="V8267" s="318"/>
      <c r="W8267" s="318"/>
      <c r="X8267" s="318"/>
      <c r="Y8267" s="318"/>
      <c r="Z8267" s="318"/>
      <c r="AA8267" s="318"/>
      <c r="AB8267" s="318"/>
      <c r="AC8267" s="318"/>
      <c r="AD8267" s="318"/>
    </row>
    <row r="8268" spans="2:30" s="323" customFormat="1" ht="12" customHeight="1">
      <c r="B8268" s="324"/>
      <c r="C8268" s="325"/>
      <c r="D8268" s="326"/>
      <c r="E8268" s="326"/>
      <c r="F8268" s="326"/>
      <c r="G8268" s="326"/>
      <c r="H8268" s="326"/>
      <c r="P8268" s="318"/>
      <c r="Q8268" s="318"/>
      <c r="R8268" s="318"/>
      <c r="S8268" s="318"/>
      <c r="T8268" s="318"/>
      <c r="U8268" s="318"/>
      <c r="V8268" s="318"/>
      <c r="W8268" s="318"/>
      <c r="X8268" s="318"/>
      <c r="Y8268" s="318"/>
      <c r="Z8268" s="318"/>
      <c r="AA8268" s="318"/>
      <c r="AB8268" s="318"/>
      <c r="AC8268" s="318"/>
      <c r="AD8268" s="318"/>
    </row>
    <row r="8269" spans="2:30" s="323" customFormat="1" ht="12" customHeight="1">
      <c r="B8269" s="324"/>
      <c r="C8269" s="325"/>
      <c r="D8269" s="326"/>
      <c r="E8269" s="326"/>
      <c r="F8269" s="326"/>
      <c r="G8269" s="326"/>
      <c r="H8269" s="326"/>
      <c r="P8269" s="318"/>
      <c r="Q8269" s="318"/>
      <c r="R8269" s="318"/>
      <c r="S8269" s="318"/>
      <c r="T8269" s="318"/>
      <c r="U8269" s="318"/>
      <c r="V8269" s="318"/>
      <c r="W8269" s="318"/>
      <c r="X8269" s="318"/>
      <c r="Y8269" s="318"/>
      <c r="Z8269" s="318"/>
      <c r="AA8269" s="318"/>
      <c r="AB8269" s="318"/>
      <c r="AC8269" s="318"/>
      <c r="AD8269" s="318"/>
    </row>
    <row r="8270" spans="2:30" s="323" customFormat="1" ht="12" customHeight="1">
      <c r="B8270" s="324"/>
      <c r="C8270" s="325"/>
      <c r="D8270" s="326"/>
      <c r="E8270" s="326"/>
      <c r="F8270" s="326"/>
      <c r="G8270" s="326"/>
      <c r="H8270" s="326"/>
      <c r="P8270" s="318"/>
      <c r="Q8270" s="318"/>
      <c r="R8270" s="318"/>
      <c r="S8270" s="318"/>
      <c r="T8270" s="318"/>
      <c r="U8270" s="318"/>
      <c r="V8270" s="318"/>
      <c r="W8270" s="318"/>
      <c r="X8270" s="318"/>
      <c r="Y8270" s="318"/>
      <c r="Z8270" s="318"/>
      <c r="AA8270" s="318"/>
      <c r="AB8270" s="318"/>
      <c r="AC8270" s="318"/>
      <c r="AD8270" s="318"/>
    </row>
    <row r="8271" spans="2:30" s="323" customFormat="1" ht="12" customHeight="1">
      <c r="B8271" s="324"/>
      <c r="C8271" s="325"/>
      <c r="D8271" s="326"/>
      <c r="E8271" s="326"/>
      <c r="F8271" s="326"/>
      <c r="G8271" s="326"/>
      <c r="H8271" s="326"/>
      <c r="P8271" s="318"/>
      <c r="Q8271" s="318"/>
      <c r="R8271" s="318"/>
      <c r="S8271" s="318"/>
      <c r="T8271" s="318"/>
      <c r="U8271" s="318"/>
      <c r="V8271" s="318"/>
      <c r="W8271" s="318"/>
      <c r="X8271" s="318"/>
      <c r="Y8271" s="318"/>
      <c r="Z8271" s="318"/>
      <c r="AA8271" s="318"/>
      <c r="AB8271" s="318"/>
      <c r="AC8271" s="318"/>
      <c r="AD8271" s="318"/>
    </row>
    <row r="8272" spans="2:30" s="323" customFormat="1" ht="12" customHeight="1">
      <c r="B8272" s="324"/>
      <c r="C8272" s="325"/>
      <c r="D8272" s="326"/>
      <c r="E8272" s="326"/>
      <c r="F8272" s="326"/>
      <c r="G8272" s="326"/>
      <c r="H8272" s="326"/>
      <c r="P8272" s="318"/>
      <c r="Q8272" s="318"/>
      <c r="R8272" s="318"/>
      <c r="S8272" s="318"/>
      <c r="T8272" s="318"/>
      <c r="U8272" s="318"/>
      <c r="V8272" s="318"/>
      <c r="W8272" s="318"/>
      <c r="X8272" s="318"/>
      <c r="Y8272" s="318"/>
      <c r="Z8272" s="318"/>
      <c r="AA8272" s="318"/>
      <c r="AB8272" s="318"/>
      <c r="AC8272" s="318"/>
      <c r="AD8272" s="318"/>
    </row>
    <row r="8273" spans="2:30" s="323" customFormat="1" ht="12" customHeight="1">
      <c r="B8273" s="324"/>
      <c r="C8273" s="325"/>
      <c r="D8273" s="326"/>
      <c r="E8273" s="326"/>
      <c r="F8273" s="326"/>
      <c r="G8273" s="326"/>
      <c r="H8273" s="326"/>
      <c r="P8273" s="318"/>
      <c r="Q8273" s="318"/>
      <c r="R8273" s="318"/>
      <c r="S8273" s="318"/>
      <c r="T8273" s="318"/>
      <c r="U8273" s="318"/>
      <c r="V8273" s="318"/>
      <c r="W8273" s="318"/>
      <c r="X8273" s="318"/>
      <c r="Y8273" s="318"/>
      <c r="Z8273" s="318"/>
      <c r="AA8273" s="318"/>
      <c r="AB8273" s="318"/>
      <c r="AC8273" s="318"/>
      <c r="AD8273" s="318"/>
    </row>
    <row r="8274" spans="2:30" s="323" customFormat="1" ht="12" customHeight="1">
      <c r="B8274" s="324"/>
      <c r="C8274" s="325"/>
      <c r="D8274" s="326"/>
      <c r="E8274" s="326"/>
      <c r="F8274" s="326"/>
      <c r="G8274" s="326"/>
      <c r="H8274" s="326"/>
      <c r="P8274" s="318"/>
      <c r="Q8274" s="318"/>
      <c r="R8274" s="318"/>
      <c r="S8274" s="318"/>
      <c r="T8274" s="318"/>
      <c r="U8274" s="318"/>
      <c r="V8274" s="318"/>
      <c r="W8274" s="318"/>
      <c r="X8274" s="318"/>
      <c r="Y8274" s="318"/>
      <c r="Z8274" s="318"/>
      <c r="AA8274" s="318"/>
      <c r="AB8274" s="318"/>
      <c r="AC8274" s="318"/>
      <c r="AD8274" s="318"/>
    </row>
    <row r="8275" spans="2:30" s="323" customFormat="1" ht="12" customHeight="1">
      <c r="B8275" s="324"/>
      <c r="C8275" s="325"/>
      <c r="D8275" s="326"/>
      <c r="E8275" s="326"/>
      <c r="F8275" s="326"/>
      <c r="G8275" s="326"/>
      <c r="H8275" s="326"/>
      <c r="P8275" s="318"/>
      <c r="Q8275" s="318"/>
      <c r="R8275" s="318"/>
      <c r="S8275" s="318"/>
      <c r="T8275" s="318"/>
      <c r="U8275" s="318"/>
      <c r="V8275" s="318"/>
      <c r="W8275" s="318"/>
      <c r="X8275" s="318"/>
      <c r="Y8275" s="318"/>
      <c r="Z8275" s="318"/>
      <c r="AA8275" s="318"/>
      <c r="AB8275" s="318"/>
      <c r="AC8275" s="318"/>
      <c r="AD8275" s="318"/>
    </row>
    <row r="8276" spans="2:30" s="323" customFormat="1" ht="12" customHeight="1">
      <c r="B8276" s="324"/>
      <c r="C8276" s="325"/>
      <c r="D8276" s="326"/>
      <c r="E8276" s="326"/>
      <c r="F8276" s="326"/>
      <c r="G8276" s="326"/>
      <c r="H8276" s="326"/>
      <c r="P8276" s="318"/>
      <c r="Q8276" s="318"/>
      <c r="R8276" s="318"/>
      <c r="S8276" s="318"/>
      <c r="T8276" s="318"/>
      <c r="U8276" s="318"/>
      <c r="V8276" s="318"/>
      <c r="W8276" s="318"/>
      <c r="X8276" s="318"/>
      <c r="Y8276" s="318"/>
      <c r="Z8276" s="318"/>
      <c r="AA8276" s="318"/>
      <c r="AB8276" s="318"/>
      <c r="AC8276" s="318"/>
      <c r="AD8276" s="318"/>
    </row>
    <row r="8277" spans="2:30" s="323" customFormat="1" ht="12" customHeight="1">
      <c r="B8277" s="324"/>
      <c r="C8277" s="325"/>
      <c r="D8277" s="326"/>
      <c r="E8277" s="326"/>
      <c r="F8277" s="326"/>
      <c r="G8277" s="326"/>
      <c r="H8277" s="326"/>
      <c r="P8277" s="318"/>
      <c r="Q8277" s="318"/>
      <c r="R8277" s="318"/>
      <c r="S8277" s="318"/>
      <c r="T8277" s="318"/>
      <c r="U8277" s="318"/>
      <c r="V8277" s="318"/>
      <c r="W8277" s="318"/>
      <c r="X8277" s="318"/>
      <c r="Y8277" s="318"/>
      <c r="Z8277" s="318"/>
      <c r="AA8277" s="318"/>
      <c r="AB8277" s="318"/>
      <c r="AC8277" s="318"/>
      <c r="AD8277" s="318"/>
    </row>
    <row r="8278" spans="2:30" s="323" customFormat="1" ht="12" customHeight="1">
      <c r="B8278" s="324"/>
      <c r="C8278" s="325"/>
      <c r="D8278" s="326"/>
      <c r="E8278" s="326"/>
      <c r="F8278" s="326"/>
      <c r="G8278" s="326"/>
      <c r="H8278" s="326"/>
      <c r="P8278" s="318"/>
      <c r="Q8278" s="318"/>
      <c r="R8278" s="318"/>
      <c r="S8278" s="318"/>
      <c r="T8278" s="318"/>
      <c r="U8278" s="318"/>
      <c r="V8278" s="318"/>
      <c r="W8278" s="318"/>
      <c r="X8278" s="318"/>
      <c r="Y8278" s="318"/>
      <c r="Z8278" s="318"/>
      <c r="AA8278" s="318"/>
      <c r="AB8278" s="318"/>
      <c r="AC8278" s="318"/>
      <c r="AD8278" s="318"/>
    </row>
    <row r="8279" spans="2:30" s="323" customFormat="1" ht="12" customHeight="1">
      <c r="B8279" s="324"/>
      <c r="C8279" s="325"/>
      <c r="D8279" s="326"/>
      <c r="E8279" s="326"/>
      <c r="F8279" s="326"/>
      <c r="G8279" s="326"/>
      <c r="H8279" s="326"/>
      <c r="P8279" s="318"/>
      <c r="Q8279" s="318"/>
      <c r="R8279" s="318"/>
      <c r="S8279" s="318"/>
      <c r="T8279" s="318"/>
      <c r="U8279" s="318"/>
      <c r="V8279" s="318"/>
      <c r="W8279" s="318"/>
      <c r="X8279" s="318"/>
      <c r="Y8279" s="318"/>
      <c r="Z8279" s="318"/>
      <c r="AA8279" s="318"/>
      <c r="AB8279" s="318"/>
      <c r="AC8279" s="318"/>
      <c r="AD8279" s="318"/>
    </row>
    <row r="8280" spans="2:30" s="323" customFormat="1" ht="12" customHeight="1">
      <c r="B8280" s="324"/>
      <c r="C8280" s="325"/>
      <c r="D8280" s="326"/>
      <c r="E8280" s="326"/>
      <c r="F8280" s="326"/>
      <c r="G8280" s="326"/>
      <c r="H8280" s="326"/>
      <c r="P8280" s="318"/>
      <c r="Q8280" s="318"/>
      <c r="R8280" s="318"/>
      <c r="S8280" s="318"/>
      <c r="T8280" s="318"/>
      <c r="U8280" s="318"/>
      <c r="V8280" s="318"/>
      <c r="W8280" s="318"/>
      <c r="X8280" s="318"/>
      <c r="Y8280" s="318"/>
      <c r="Z8280" s="318"/>
      <c r="AA8280" s="318"/>
      <c r="AB8280" s="318"/>
      <c r="AC8280" s="318"/>
      <c r="AD8280" s="318"/>
    </row>
    <row r="8281" spans="2:30" s="323" customFormat="1" ht="12" customHeight="1">
      <c r="B8281" s="324"/>
      <c r="C8281" s="325"/>
      <c r="D8281" s="326"/>
      <c r="E8281" s="326"/>
      <c r="F8281" s="326"/>
      <c r="G8281" s="326"/>
      <c r="H8281" s="326"/>
      <c r="P8281" s="318"/>
      <c r="Q8281" s="318"/>
      <c r="R8281" s="318"/>
      <c r="S8281" s="318"/>
      <c r="T8281" s="318"/>
      <c r="U8281" s="318"/>
      <c r="V8281" s="318"/>
      <c r="W8281" s="318"/>
      <c r="X8281" s="318"/>
      <c r="Y8281" s="318"/>
      <c r="Z8281" s="318"/>
      <c r="AA8281" s="318"/>
      <c r="AB8281" s="318"/>
      <c r="AC8281" s="318"/>
      <c r="AD8281" s="318"/>
    </row>
    <row r="8282" spans="2:30" s="323" customFormat="1" ht="12" customHeight="1">
      <c r="B8282" s="324"/>
      <c r="C8282" s="325"/>
      <c r="D8282" s="326"/>
      <c r="E8282" s="326"/>
      <c r="F8282" s="326"/>
      <c r="G8282" s="326"/>
      <c r="H8282" s="326"/>
      <c r="P8282" s="318"/>
      <c r="Q8282" s="318"/>
      <c r="R8282" s="318"/>
      <c r="S8282" s="318"/>
      <c r="T8282" s="318"/>
      <c r="U8282" s="318"/>
      <c r="V8282" s="318"/>
      <c r="W8282" s="318"/>
      <c r="X8282" s="318"/>
      <c r="Y8282" s="318"/>
      <c r="Z8282" s="318"/>
      <c r="AA8282" s="318"/>
      <c r="AB8282" s="318"/>
      <c r="AC8282" s="318"/>
      <c r="AD8282" s="318"/>
    </row>
    <row r="8283" spans="2:30" s="323" customFormat="1" ht="12" customHeight="1">
      <c r="B8283" s="324"/>
      <c r="C8283" s="325"/>
      <c r="D8283" s="326"/>
      <c r="E8283" s="326"/>
      <c r="F8283" s="326"/>
      <c r="G8283" s="326"/>
      <c r="H8283" s="326"/>
      <c r="P8283" s="318"/>
      <c r="Q8283" s="318"/>
      <c r="R8283" s="318"/>
      <c r="S8283" s="318"/>
      <c r="T8283" s="318"/>
      <c r="U8283" s="318"/>
      <c r="V8283" s="318"/>
      <c r="W8283" s="318"/>
      <c r="X8283" s="318"/>
      <c r="Y8283" s="318"/>
      <c r="Z8283" s="318"/>
      <c r="AA8283" s="318"/>
      <c r="AB8283" s="318"/>
      <c r="AC8283" s="318"/>
      <c r="AD8283" s="318"/>
    </row>
    <row r="8284" spans="2:30" s="323" customFormat="1" ht="12" customHeight="1">
      <c r="B8284" s="324"/>
      <c r="C8284" s="325"/>
      <c r="D8284" s="326"/>
      <c r="E8284" s="326"/>
      <c r="F8284" s="326"/>
      <c r="G8284" s="326"/>
      <c r="H8284" s="326"/>
      <c r="P8284" s="318"/>
      <c r="Q8284" s="318"/>
      <c r="R8284" s="318"/>
      <c r="S8284" s="318"/>
      <c r="T8284" s="318"/>
      <c r="U8284" s="318"/>
      <c r="V8284" s="318"/>
      <c r="W8284" s="318"/>
      <c r="X8284" s="318"/>
      <c r="Y8284" s="318"/>
      <c r="Z8284" s="318"/>
      <c r="AA8284" s="318"/>
      <c r="AB8284" s="318"/>
      <c r="AC8284" s="318"/>
      <c r="AD8284" s="318"/>
    </row>
    <row r="8285" spans="2:30" s="323" customFormat="1" ht="12" customHeight="1">
      <c r="B8285" s="324"/>
      <c r="C8285" s="325"/>
      <c r="D8285" s="326"/>
      <c r="E8285" s="326"/>
      <c r="F8285" s="326"/>
      <c r="G8285" s="326"/>
      <c r="H8285" s="326"/>
      <c r="P8285" s="318"/>
      <c r="Q8285" s="318"/>
      <c r="R8285" s="318"/>
      <c r="S8285" s="318"/>
      <c r="T8285" s="318"/>
      <c r="U8285" s="318"/>
      <c r="V8285" s="318"/>
      <c r="W8285" s="318"/>
      <c r="X8285" s="318"/>
      <c r="Y8285" s="318"/>
      <c r="Z8285" s="318"/>
      <c r="AA8285" s="318"/>
      <c r="AB8285" s="318"/>
      <c r="AC8285" s="318"/>
      <c r="AD8285" s="318"/>
    </row>
    <row r="8286" spans="2:30" s="323" customFormat="1" ht="12" customHeight="1">
      <c r="B8286" s="324"/>
      <c r="C8286" s="325"/>
      <c r="D8286" s="326"/>
      <c r="E8286" s="326"/>
      <c r="F8286" s="326"/>
      <c r="G8286" s="326"/>
      <c r="H8286" s="326"/>
      <c r="P8286" s="318"/>
      <c r="Q8286" s="318"/>
      <c r="R8286" s="318"/>
      <c r="S8286" s="318"/>
      <c r="T8286" s="318"/>
      <c r="U8286" s="318"/>
      <c r="V8286" s="318"/>
      <c r="W8286" s="318"/>
      <c r="X8286" s="318"/>
      <c r="Y8286" s="318"/>
      <c r="Z8286" s="318"/>
      <c r="AA8286" s="318"/>
      <c r="AB8286" s="318"/>
      <c r="AC8286" s="318"/>
      <c r="AD8286" s="318"/>
    </row>
    <row r="8287" spans="2:30" s="323" customFormat="1" ht="12" customHeight="1">
      <c r="B8287" s="324"/>
      <c r="C8287" s="325"/>
      <c r="D8287" s="326"/>
      <c r="E8287" s="326"/>
      <c r="F8287" s="326"/>
      <c r="G8287" s="326"/>
      <c r="H8287" s="326"/>
      <c r="P8287" s="318"/>
      <c r="Q8287" s="318"/>
      <c r="R8287" s="318"/>
      <c r="S8287" s="318"/>
      <c r="T8287" s="318"/>
      <c r="U8287" s="318"/>
      <c r="V8287" s="318"/>
      <c r="W8287" s="318"/>
      <c r="X8287" s="318"/>
      <c r="Y8287" s="318"/>
      <c r="Z8287" s="318"/>
      <c r="AA8287" s="318"/>
      <c r="AB8287" s="318"/>
      <c r="AC8287" s="318"/>
      <c r="AD8287" s="318"/>
    </row>
    <row r="8288" spans="2:30" s="323" customFormat="1" ht="12" customHeight="1">
      <c r="B8288" s="324"/>
      <c r="C8288" s="325"/>
      <c r="D8288" s="326"/>
      <c r="E8288" s="326"/>
      <c r="F8288" s="326"/>
      <c r="G8288" s="326"/>
      <c r="H8288" s="326"/>
      <c r="P8288" s="318"/>
      <c r="Q8288" s="318"/>
      <c r="R8288" s="318"/>
      <c r="S8288" s="318"/>
      <c r="T8288" s="318"/>
      <c r="U8288" s="318"/>
      <c r="V8288" s="318"/>
      <c r="W8288" s="318"/>
      <c r="X8288" s="318"/>
      <c r="Y8288" s="318"/>
      <c r="Z8288" s="318"/>
      <c r="AA8288" s="318"/>
      <c r="AB8288" s="318"/>
      <c r="AC8288" s="318"/>
      <c r="AD8288" s="318"/>
    </row>
    <row r="8289" spans="2:30" s="323" customFormat="1" ht="12" customHeight="1">
      <c r="B8289" s="324"/>
      <c r="C8289" s="325"/>
      <c r="D8289" s="326"/>
      <c r="E8289" s="326"/>
      <c r="F8289" s="326"/>
      <c r="G8289" s="326"/>
      <c r="H8289" s="326"/>
      <c r="P8289" s="318"/>
      <c r="Q8289" s="318"/>
      <c r="R8289" s="318"/>
      <c r="S8289" s="318"/>
      <c r="T8289" s="318"/>
      <c r="U8289" s="318"/>
      <c r="V8289" s="318"/>
      <c r="W8289" s="318"/>
      <c r="X8289" s="318"/>
      <c r="Y8289" s="318"/>
      <c r="Z8289" s="318"/>
      <c r="AA8289" s="318"/>
      <c r="AB8289" s="318"/>
      <c r="AC8289" s="318"/>
      <c r="AD8289" s="318"/>
    </row>
    <row r="8290" spans="2:30" s="323" customFormat="1" ht="12" customHeight="1">
      <c r="B8290" s="324"/>
      <c r="C8290" s="325"/>
      <c r="D8290" s="326"/>
      <c r="E8290" s="326"/>
      <c r="F8290" s="326"/>
      <c r="G8290" s="326"/>
      <c r="H8290" s="326"/>
      <c r="P8290" s="318"/>
      <c r="Q8290" s="318"/>
      <c r="R8290" s="318"/>
      <c r="S8290" s="318"/>
      <c r="T8290" s="318"/>
      <c r="U8290" s="318"/>
      <c r="V8290" s="318"/>
      <c r="W8290" s="318"/>
      <c r="X8290" s="318"/>
      <c r="Y8290" s="318"/>
      <c r="Z8290" s="318"/>
      <c r="AA8290" s="318"/>
      <c r="AB8290" s="318"/>
      <c r="AC8290" s="318"/>
      <c r="AD8290" s="318"/>
    </row>
    <row r="8291" spans="2:30" s="323" customFormat="1" ht="12" customHeight="1">
      <c r="B8291" s="324"/>
      <c r="C8291" s="325"/>
      <c r="D8291" s="326"/>
      <c r="E8291" s="326"/>
      <c r="F8291" s="326"/>
      <c r="G8291" s="326"/>
      <c r="H8291" s="326"/>
      <c r="P8291" s="318"/>
      <c r="Q8291" s="318"/>
      <c r="R8291" s="318"/>
      <c r="S8291" s="318"/>
      <c r="T8291" s="318"/>
      <c r="U8291" s="318"/>
      <c r="V8291" s="318"/>
      <c r="W8291" s="318"/>
      <c r="X8291" s="318"/>
      <c r="Y8291" s="318"/>
      <c r="Z8291" s="318"/>
      <c r="AA8291" s="318"/>
      <c r="AB8291" s="318"/>
      <c r="AC8291" s="318"/>
      <c r="AD8291" s="318"/>
    </row>
    <row r="8292" spans="2:30" s="323" customFormat="1" ht="12" customHeight="1">
      <c r="B8292" s="324"/>
      <c r="C8292" s="325"/>
      <c r="D8292" s="326"/>
      <c r="E8292" s="326"/>
      <c r="F8292" s="326"/>
      <c r="G8292" s="326"/>
      <c r="H8292" s="326"/>
      <c r="P8292" s="318"/>
      <c r="Q8292" s="318"/>
      <c r="R8292" s="318"/>
      <c r="S8292" s="318"/>
      <c r="T8292" s="318"/>
      <c r="U8292" s="318"/>
      <c r="V8292" s="318"/>
      <c r="W8292" s="318"/>
      <c r="X8292" s="318"/>
      <c r="Y8292" s="318"/>
      <c r="Z8292" s="318"/>
      <c r="AA8292" s="318"/>
      <c r="AB8292" s="318"/>
      <c r="AC8292" s="318"/>
      <c r="AD8292" s="318"/>
    </row>
    <row r="8293" spans="2:30" s="323" customFormat="1" ht="12" customHeight="1">
      <c r="B8293" s="324"/>
      <c r="C8293" s="325"/>
      <c r="D8293" s="326"/>
      <c r="E8293" s="326"/>
      <c r="F8293" s="326"/>
      <c r="G8293" s="326"/>
      <c r="H8293" s="326"/>
      <c r="P8293" s="318"/>
      <c r="Q8293" s="318"/>
      <c r="R8293" s="318"/>
      <c r="S8293" s="318"/>
      <c r="T8293" s="318"/>
      <c r="U8293" s="318"/>
      <c r="V8293" s="318"/>
      <c r="W8293" s="318"/>
      <c r="X8293" s="318"/>
      <c r="Y8293" s="318"/>
      <c r="Z8293" s="318"/>
      <c r="AA8293" s="318"/>
      <c r="AB8293" s="318"/>
      <c r="AC8293" s="318"/>
      <c r="AD8293" s="318"/>
    </row>
    <row r="8294" spans="2:30" s="323" customFormat="1" ht="12" customHeight="1">
      <c r="B8294" s="324"/>
      <c r="C8294" s="325"/>
      <c r="D8294" s="326"/>
      <c r="E8294" s="326"/>
      <c r="F8294" s="326"/>
      <c r="G8294" s="326"/>
      <c r="H8294" s="326"/>
      <c r="P8294" s="318"/>
      <c r="Q8294" s="318"/>
      <c r="R8294" s="318"/>
      <c r="S8294" s="318"/>
      <c r="T8294" s="318"/>
      <c r="U8294" s="318"/>
      <c r="V8294" s="318"/>
      <c r="W8294" s="318"/>
      <c r="X8294" s="318"/>
      <c r="Y8294" s="318"/>
      <c r="Z8294" s="318"/>
      <c r="AA8294" s="318"/>
      <c r="AB8294" s="318"/>
      <c r="AC8294" s="318"/>
      <c r="AD8294" s="318"/>
    </row>
    <row r="8295" spans="2:30" s="323" customFormat="1" ht="12" customHeight="1">
      <c r="B8295" s="324"/>
      <c r="C8295" s="325"/>
      <c r="D8295" s="326"/>
      <c r="E8295" s="326"/>
      <c r="F8295" s="326"/>
      <c r="G8295" s="326"/>
      <c r="H8295" s="326"/>
      <c r="P8295" s="318"/>
      <c r="Q8295" s="318"/>
      <c r="R8295" s="318"/>
      <c r="S8295" s="318"/>
      <c r="T8295" s="318"/>
      <c r="U8295" s="318"/>
      <c r="V8295" s="318"/>
      <c r="W8295" s="318"/>
      <c r="X8295" s="318"/>
      <c r="Y8295" s="318"/>
      <c r="Z8295" s="318"/>
      <c r="AA8295" s="318"/>
      <c r="AB8295" s="318"/>
      <c r="AC8295" s="318"/>
      <c r="AD8295" s="318"/>
    </row>
    <row r="8296" spans="2:30" s="323" customFormat="1" ht="12" customHeight="1">
      <c r="B8296" s="324"/>
      <c r="C8296" s="325"/>
      <c r="D8296" s="326"/>
      <c r="E8296" s="326"/>
      <c r="F8296" s="326"/>
      <c r="G8296" s="326"/>
      <c r="H8296" s="326"/>
      <c r="P8296" s="318"/>
      <c r="Q8296" s="318"/>
      <c r="R8296" s="318"/>
      <c r="S8296" s="318"/>
      <c r="T8296" s="318"/>
      <c r="U8296" s="318"/>
      <c r="V8296" s="318"/>
      <c r="W8296" s="318"/>
      <c r="X8296" s="318"/>
      <c r="Y8296" s="318"/>
      <c r="Z8296" s="318"/>
      <c r="AA8296" s="318"/>
      <c r="AB8296" s="318"/>
      <c r="AC8296" s="318"/>
      <c r="AD8296" s="318"/>
    </row>
    <row r="8297" spans="2:30" s="323" customFormat="1" ht="12" customHeight="1">
      <c r="B8297" s="324"/>
      <c r="C8297" s="325"/>
      <c r="D8297" s="326"/>
      <c r="E8297" s="326"/>
      <c r="F8297" s="326"/>
      <c r="G8297" s="326"/>
      <c r="H8297" s="326"/>
      <c r="P8297" s="318"/>
      <c r="Q8297" s="318"/>
      <c r="R8297" s="318"/>
      <c r="S8297" s="318"/>
      <c r="T8297" s="318"/>
      <c r="U8297" s="318"/>
      <c r="V8297" s="318"/>
      <c r="W8297" s="318"/>
      <c r="X8297" s="318"/>
      <c r="Y8297" s="318"/>
      <c r="Z8297" s="318"/>
      <c r="AA8297" s="318"/>
      <c r="AB8297" s="318"/>
      <c r="AC8297" s="318"/>
      <c r="AD8297" s="318"/>
    </row>
    <row r="8298" spans="2:30" s="323" customFormat="1" ht="12" customHeight="1">
      <c r="B8298" s="324"/>
      <c r="C8298" s="325"/>
      <c r="D8298" s="326"/>
      <c r="E8298" s="326"/>
      <c r="F8298" s="326"/>
      <c r="G8298" s="326"/>
      <c r="H8298" s="326"/>
      <c r="P8298" s="318"/>
      <c r="Q8298" s="318"/>
      <c r="R8298" s="318"/>
      <c r="S8298" s="318"/>
      <c r="T8298" s="318"/>
      <c r="U8298" s="318"/>
      <c r="V8298" s="318"/>
      <c r="W8298" s="318"/>
      <c r="X8298" s="318"/>
      <c r="Y8298" s="318"/>
      <c r="Z8298" s="318"/>
      <c r="AA8298" s="318"/>
      <c r="AB8298" s="318"/>
      <c r="AC8298" s="318"/>
      <c r="AD8298" s="318"/>
    </row>
    <row r="8299" spans="2:30" s="323" customFormat="1" ht="12" customHeight="1">
      <c r="B8299" s="324"/>
      <c r="C8299" s="325"/>
      <c r="D8299" s="326"/>
      <c r="E8299" s="326"/>
      <c r="F8299" s="326"/>
      <c r="G8299" s="326"/>
      <c r="H8299" s="326"/>
      <c r="P8299" s="318"/>
      <c r="Q8299" s="318"/>
      <c r="R8299" s="318"/>
      <c r="S8299" s="318"/>
      <c r="T8299" s="318"/>
      <c r="U8299" s="318"/>
      <c r="V8299" s="318"/>
      <c r="W8299" s="318"/>
      <c r="X8299" s="318"/>
      <c r="Y8299" s="318"/>
      <c r="Z8299" s="318"/>
      <c r="AA8299" s="318"/>
      <c r="AB8299" s="318"/>
      <c r="AC8299" s="318"/>
      <c r="AD8299" s="318"/>
    </row>
    <row r="8300" spans="2:30" s="323" customFormat="1" ht="12" customHeight="1">
      <c r="B8300" s="324"/>
      <c r="C8300" s="325"/>
      <c r="D8300" s="326"/>
      <c r="E8300" s="326"/>
      <c r="F8300" s="326"/>
      <c r="G8300" s="326"/>
      <c r="H8300" s="326"/>
      <c r="P8300" s="318"/>
      <c r="Q8300" s="318"/>
      <c r="R8300" s="318"/>
      <c r="S8300" s="318"/>
      <c r="T8300" s="318"/>
      <c r="U8300" s="318"/>
      <c r="V8300" s="318"/>
      <c r="W8300" s="318"/>
      <c r="X8300" s="318"/>
      <c r="Y8300" s="318"/>
      <c r="Z8300" s="318"/>
      <c r="AA8300" s="318"/>
      <c r="AB8300" s="318"/>
      <c r="AC8300" s="318"/>
      <c r="AD8300" s="318"/>
    </row>
    <row r="8301" spans="2:30" s="323" customFormat="1" ht="12" customHeight="1">
      <c r="B8301" s="324"/>
      <c r="C8301" s="325"/>
      <c r="D8301" s="326"/>
      <c r="E8301" s="326"/>
      <c r="F8301" s="326"/>
      <c r="G8301" s="326"/>
      <c r="H8301" s="326"/>
      <c r="P8301" s="318"/>
      <c r="Q8301" s="318"/>
      <c r="R8301" s="318"/>
      <c r="S8301" s="318"/>
      <c r="T8301" s="318"/>
      <c r="U8301" s="318"/>
      <c r="V8301" s="318"/>
      <c r="W8301" s="318"/>
      <c r="X8301" s="318"/>
      <c r="Y8301" s="318"/>
      <c r="Z8301" s="318"/>
      <c r="AA8301" s="318"/>
      <c r="AB8301" s="318"/>
      <c r="AC8301" s="318"/>
      <c r="AD8301" s="318"/>
    </row>
    <row r="8302" spans="2:30" s="323" customFormat="1" ht="12" customHeight="1">
      <c r="B8302" s="324"/>
      <c r="C8302" s="325"/>
      <c r="D8302" s="326"/>
      <c r="E8302" s="326"/>
      <c r="F8302" s="326"/>
      <c r="G8302" s="326"/>
      <c r="H8302" s="326"/>
      <c r="P8302" s="318"/>
      <c r="Q8302" s="318"/>
      <c r="R8302" s="318"/>
      <c r="S8302" s="318"/>
      <c r="T8302" s="318"/>
      <c r="U8302" s="318"/>
      <c r="V8302" s="318"/>
      <c r="W8302" s="318"/>
      <c r="X8302" s="318"/>
      <c r="Y8302" s="318"/>
      <c r="Z8302" s="318"/>
      <c r="AA8302" s="318"/>
      <c r="AB8302" s="318"/>
      <c r="AC8302" s="318"/>
      <c r="AD8302" s="318"/>
    </row>
    <row r="8303" spans="2:30" s="323" customFormat="1" ht="12" customHeight="1">
      <c r="B8303" s="324"/>
      <c r="C8303" s="325"/>
      <c r="D8303" s="326"/>
      <c r="E8303" s="326"/>
      <c r="F8303" s="326"/>
      <c r="G8303" s="326"/>
      <c r="H8303" s="326"/>
      <c r="P8303" s="318"/>
      <c r="Q8303" s="318"/>
      <c r="R8303" s="318"/>
      <c r="S8303" s="318"/>
      <c r="T8303" s="318"/>
      <c r="U8303" s="318"/>
      <c r="V8303" s="318"/>
      <c r="W8303" s="318"/>
      <c r="X8303" s="318"/>
      <c r="Y8303" s="318"/>
      <c r="Z8303" s="318"/>
      <c r="AA8303" s="318"/>
      <c r="AB8303" s="318"/>
      <c r="AC8303" s="318"/>
      <c r="AD8303" s="318"/>
    </row>
    <row r="8304" spans="2:30" s="323" customFormat="1" ht="12" customHeight="1">
      <c r="B8304" s="324"/>
      <c r="C8304" s="325"/>
      <c r="D8304" s="326"/>
      <c r="E8304" s="326"/>
      <c r="F8304" s="326"/>
      <c r="G8304" s="326"/>
      <c r="H8304" s="326"/>
      <c r="P8304" s="318"/>
      <c r="Q8304" s="318"/>
      <c r="R8304" s="318"/>
      <c r="S8304" s="318"/>
      <c r="T8304" s="318"/>
      <c r="U8304" s="318"/>
      <c r="V8304" s="318"/>
      <c r="W8304" s="318"/>
      <c r="X8304" s="318"/>
      <c r="Y8304" s="318"/>
      <c r="Z8304" s="318"/>
      <c r="AA8304" s="318"/>
      <c r="AB8304" s="318"/>
      <c r="AC8304" s="318"/>
      <c r="AD8304" s="318"/>
    </row>
    <row r="8305" spans="2:30" s="323" customFormat="1" ht="12" customHeight="1">
      <c r="B8305" s="324"/>
      <c r="C8305" s="325"/>
      <c r="D8305" s="326"/>
      <c r="E8305" s="326"/>
      <c r="F8305" s="326"/>
      <c r="G8305" s="326"/>
      <c r="H8305" s="326"/>
      <c r="P8305" s="318"/>
      <c r="Q8305" s="318"/>
      <c r="R8305" s="318"/>
      <c r="S8305" s="318"/>
      <c r="T8305" s="318"/>
      <c r="U8305" s="318"/>
      <c r="V8305" s="318"/>
      <c r="W8305" s="318"/>
      <c r="X8305" s="318"/>
      <c r="Y8305" s="318"/>
      <c r="Z8305" s="318"/>
      <c r="AA8305" s="318"/>
      <c r="AB8305" s="318"/>
      <c r="AC8305" s="318"/>
      <c r="AD8305" s="318"/>
    </row>
    <row r="8306" spans="2:30" s="323" customFormat="1" ht="12" customHeight="1">
      <c r="B8306" s="324"/>
      <c r="C8306" s="325"/>
      <c r="D8306" s="326"/>
      <c r="E8306" s="326"/>
      <c r="F8306" s="326"/>
      <c r="G8306" s="326"/>
      <c r="H8306" s="326"/>
      <c r="P8306" s="318"/>
      <c r="Q8306" s="318"/>
      <c r="R8306" s="318"/>
      <c r="S8306" s="318"/>
      <c r="T8306" s="318"/>
      <c r="U8306" s="318"/>
      <c r="V8306" s="318"/>
      <c r="W8306" s="318"/>
      <c r="X8306" s="318"/>
      <c r="Y8306" s="318"/>
      <c r="Z8306" s="318"/>
      <c r="AA8306" s="318"/>
      <c r="AB8306" s="318"/>
      <c r="AC8306" s="318"/>
      <c r="AD8306" s="318"/>
    </row>
    <row r="8307" spans="2:30" s="323" customFormat="1" ht="12" customHeight="1">
      <c r="B8307" s="324"/>
      <c r="C8307" s="325"/>
      <c r="D8307" s="326"/>
      <c r="E8307" s="326"/>
      <c r="F8307" s="326"/>
      <c r="G8307" s="326"/>
      <c r="H8307" s="326"/>
      <c r="P8307" s="318"/>
      <c r="Q8307" s="318"/>
      <c r="R8307" s="318"/>
      <c r="S8307" s="318"/>
      <c r="T8307" s="318"/>
      <c r="U8307" s="318"/>
      <c r="V8307" s="318"/>
      <c r="W8307" s="318"/>
      <c r="X8307" s="318"/>
      <c r="Y8307" s="318"/>
      <c r="Z8307" s="318"/>
      <c r="AA8307" s="318"/>
      <c r="AB8307" s="318"/>
      <c r="AC8307" s="318"/>
      <c r="AD8307" s="318"/>
    </row>
    <row r="8308" spans="2:30" s="323" customFormat="1" ht="12" customHeight="1">
      <c r="B8308" s="324"/>
      <c r="C8308" s="325"/>
      <c r="D8308" s="326"/>
      <c r="E8308" s="326"/>
      <c r="F8308" s="326"/>
      <c r="G8308" s="326"/>
      <c r="H8308" s="326"/>
      <c r="P8308" s="318"/>
      <c r="Q8308" s="318"/>
      <c r="R8308" s="318"/>
      <c r="S8308" s="318"/>
      <c r="T8308" s="318"/>
      <c r="U8308" s="318"/>
      <c r="V8308" s="318"/>
      <c r="W8308" s="318"/>
      <c r="X8308" s="318"/>
      <c r="Y8308" s="318"/>
      <c r="Z8308" s="318"/>
      <c r="AA8308" s="318"/>
      <c r="AB8308" s="318"/>
      <c r="AC8308" s="318"/>
      <c r="AD8308" s="318"/>
    </row>
    <row r="8309" spans="2:30" s="323" customFormat="1" ht="12" customHeight="1">
      <c r="B8309" s="324"/>
      <c r="C8309" s="325"/>
      <c r="D8309" s="326"/>
      <c r="E8309" s="326"/>
      <c r="F8309" s="326"/>
      <c r="G8309" s="326"/>
      <c r="H8309" s="326"/>
      <c r="P8309" s="318"/>
      <c r="Q8309" s="318"/>
      <c r="R8309" s="318"/>
      <c r="S8309" s="318"/>
      <c r="T8309" s="318"/>
      <c r="U8309" s="318"/>
      <c r="V8309" s="318"/>
      <c r="W8309" s="318"/>
      <c r="X8309" s="318"/>
      <c r="Y8309" s="318"/>
      <c r="Z8309" s="318"/>
      <c r="AA8309" s="318"/>
      <c r="AB8309" s="318"/>
      <c r="AC8309" s="318"/>
      <c r="AD8309" s="318"/>
    </row>
    <row r="8310" spans="2:30" s="323" customFormat="1" ht="12" customHeight="1">
      <c r="B8310" s="324"/>
      <c r="C8310" s="325"/>
      <c r="D8310" s="326"/>
      <c r="E8310" s="326"/>
      <c r="F8310" s="326"/>
      <c r="G8310" s="326"/>
      <c r="H8310" s="326"/>
      <c r="P8310" s="318"/>
      <c r="Q8310" s="318"/>
      <c r="R8310" s="318"/>
      <c r="S8310" s="318"/>
      <c r="T8310" s="318"/>
      <c r="U8310" s="318"/>
      <c r="V8310" s="318"/>
      <c r="W8310" s="318"/>
      <c r="X8310" s="318"/>
      <c r="Y8310" s="318"/>
      <c r="Z8310" s="318"/>
      <c r="AA8310" s="318"/>
      <c r="AB8310" s="318"/>
      <c r="AC8310" s="318"/>
      <c r="AD8310" s="318"/>
    </row>
    <row r="8311" spans="2:30" s="323" customFormat="1" ht="12" customHeight="1">
      <c r="B8311" s="324"/>
      <c r="C8311" s="325"/>
      <c r="D8311" s="326"/>
      <c r="E8311" s="326"/>
      <c r="F8311" s="326"/>
      <c r="G8311" s="326"/>
      <c r="H8311" s="326"/>
      <c r="P8311" s="318"/>
      <c r="Q8311" s="318"/>
      <c r="R8311" s="318"/>
      <c r="S8311" s="318"/>
      <c r="T8311" s="318"/>
      <c r="U8311" s="318"/>
      <c r="V8311" s="318"/>
      <c r="W8311" s="318"/>
      <c r="X8311" s="318"/>
      <c r="Y8311" s="318"/>
      <c r="Z8311" s="318"/>
      <c r="AA8311" s="318"/>
      <c r="AB8311" s="318"/>
      <c r="AC8311" s="318"/>
      <c r="AD8311" s="318"/>
    </row>
    <row r="8312" spans="2:30" s="323" customFormat="1" ht="12" customHeight="1">
      <c r="B8312" s="324"/>
      <c r="C8312" s="325"/>
      <c r="D8312" s="326"/>
      <c r="E8312" s="326"/>
      <c r="F8312" s="326"/>
      <c r="G8312" s="326"/>
      <c r="H8312" s="326"/>
      <c r="P8312" s="318"/>
      <c r="Q8312" s="318"/>
      <c r="R8312" s="318"/>
      <c r="S8312" s="318"/>
      <c r="T8312" s="318"/>
      <c r="U8312" s="318"/>
      <c r="V8312" s="318"/>
      <c r="W8312" s="318"/>
      <c r="X8312" s="318"/>
      <c r="Y8312" s="318"/>
      <c r="Z8312" s="318"/>
      <c r="AA8312" s="318"/>
      <c r="AB8312" s="318"/>
      <c r="AC8312" s="318"/>
      <c r="AD8312" s="318"/>
    </row>
    <row r="8313" spans="2:30" s="323" customFormat="1" ht="12" customHeight="1">
      <c r="B8313" s="324"/>
      <c r="C8313" s="325"/>
      <c r="D8313" s="326"/>
      <c r="E8313" s="326"/>
      <c r="F8313" s="326"/>
      <c r="G8313" s="326"/>
      <c r="H8313" s="326"/>
      <c r="P8313" s="318"/>
      <c r="Q8313" s="318"/>
      <c r="R8313" s="318"/>
      <c r="S8313" s="318"/>
      <c r="T8313" s="318"/>
      <c r="U8313" s="318"/>
      <c r="V8313" s="318"/>
      <c r="W8313" s="318"/>
      <c r="X8313" s="318"/>
      <c r="Y8313" s="318"/>
      <c r="Z8313" s="318"/>
      <c r="AA8313" s="318"/>
      <c r="AB8313" s="318"/>
      <c r="AC8313" s="318"/>
      <c r="AD8313" s="318"/>
    </row>
    <row r="8314" spans="2:30" s="323" customFormat="1" ht="12" customHeight="1">
      <c r="B8314" s="324"/>
      <c r="C8314" s="325"/>
      <c r="D8314" s="326"/>
      <c r="E8314" s="326"/>
      <c r="F8314" s="326"/>
      <c r="G8314" s="326"/>
      <c r="H8314" s="326"/>
      <c r="P8314" s="318"/>
      <c r="Q8314" s="318"/>
      <c r="R8314" s="318"/>
      <c r="S8314" s="318"/>
      <c r="T8314" s="318"/>
      <c r="U8314" s="318"/>
      <c r="V8314" s="318"/>
      <c r="W8314" s="318"/>
      <c r="X8314" s="318"/>
      <c r="Y8314" s="318"/>
      <c r="Z8314" s="318"/>
      <c r="AA8314" s="318"/>
      <c r="AB8314" s="318"/>
      <c r="AC8314" s="318"/>
      <c r="AD8314" s="318"/>
    </row>
    <row r="8315" spans="2:30" s="323" customFormat="1" ht="12" customHeight="1">
      <c r="B8315" s="324"/>
      <c r="C8315" s="325"/>
      <c r="D8315" s="326"/>
      <c r="E8315" s="326"/>
      <c r="F8315" s="326"/>
      <c r="G8315" s="326"/>
      <c r="H8315" s="326"/>
      <c r="P8315" s="318"/>
      <c r="Q8315" s="318"/>
      <c r="R8315" s="318"/>
      <c r="S8315" s="318"/>
      <c r="T8315" s="318"/>
      <c r="U8315" s="318"/>
      <c r="V8315" s="318"/>
      <c r="W8315" s="318"/>
      <c r="X8315" s="318"/>
      <c r="Y8315" s="318"/>
      <c r="Z8315" s="318"/>
      <c r="AA8315" s="318"/>
      <c r="AB8315" s="318"/>
      <c r="AC8315" s="318"/>
      <c r="AD8315" s="318"/>
    </row>
    <row r="8316" spans="2:30" s="323" customFormat="1" ht="12" customHeight="1">
      <c r="B8316" s="324"/>
      <c r="C8316" s="325"/>
      <c r="D8316" s="326"/>
      <c r="E8316" s="326"/>
      <c r="F8316" s="326"/>
      <c r="G8316" s="326"/>
      <c r="H8316" s="326"/>
      <c r="P8316" s="318"/>
      <c r="Q8316" s="318"/>
      <c r="R8316" s="318"/>
      <c r="S8316" s="318"/>
      <c r="T8316" s="318"/>
      <c r="U8316" s="318"/>
      <c r="V8316" s="318"/>
      <c r="W8316" s="318"/>
      <c r="X8316" s="318"/>
      <c r="Y8316" s="318"/>
      <c r="Z8316" s="318"/>
      <c r="AA8316" s="318"/>
      <c r="AB8316" s="318"/>
      <c r="AC8316" s="318"/>
      <c r="AD8316" s="318"/>
    </row>
    <row r="8317" spans="2:30" s="323" customFormat="1" ht="12" customHeight="1">
      <c r="B8317" s="324"/>
      <c r="C8317" s="325"/>
      <c r="D8317" s="326"/>
      <c r="E8317" s="326"/>
      <c r="F8317" s="326"/>
      <c r="G8317" s="326"/>
      <c r="H8317" s="326"/>
      <c r="P8317" s="318"/>
      <c r="Q8317" s="318"/>
      <c r="R8317" s="318"/>
      <c r="S8317" s="318"/>
      <c r="T8317" s="318"/>
      <c r="U8317" s="318"/>
      <c r="V8317" s="318"/>
      <c r="W8317" s="318"/>
      <c r="X8317" s="318"/>
      <c r="Y8317" s="318"/>
      <c r="Z8317" s="318"/>
      <c r="AA8317" s="318"/>
      <c r="AB8317" s="318"/>
      <c r="AC8317" s="318"/>
      <c r="AD8317" s="318"/>
    </row>
    <row r="8318" spans="2:30" s="323" customFormat="1" ht="12" customHeight="1">
      <c r="B8318" s="324"/>
      <c r="C8318" s="325"/>
      <c r="D8318" s="326"/>
      <c r="E8318" s="326"/>
      <c r="F8318" s="326"/>
      <c r="G8318" s="326"/>
      <c r="H8318" s="326"/>
      <c r="P8318" s="318"/>
      <c r="Q8318" s="318"/>
      <c r="R8318" s="318"/>
      <c r="S8318" s="318"/>
      <c r="T8318" s="318"/>
      <c r="U8318" s="318"/>
      <c r="V8318" s="318"/>
      <c r="W8318" s="318"/>
      <c r="X8318" s="318"/>
      <c r="Y8318" s="318"/>
      <c r="Z8318" s="318"/>
      <c r="AA8318" s="318"/>
      <c r="AB8318" s="318"/>
      <c r="AC8318" s="318"/>
      <c r="AD8318" s="318"/>
    </row>
    <row r="8319" spans="2:30" s="323" customFormat="1" ht="12" customHeight="1">
      <c r="B8319" s="324"/>
      <c r="C8319" s="325"/>
      <c r="D8319" s="326"/>
      <c r="E8319" s="326"/>
      <c r="F8319" s="326"/>
      <c r="G8319" s="326"/>
      <c r="H8319" s="326"/>
      <c r="P8319" s="318"/>
      <c r="Q8319" s="318"/>
      <c r="R8319" s="318"/>
      <c r="S8319" s="318"/>
      <c r="T8319" s="318"/>
      <c r="U8319" s="318"/>
      <c r="V8319" s="318"/>
      <c r="W8319" s="318"/>
      <c r="X8319" s="318"/>
      <c r="Y8319" s="318"/>
      <c r="Z8319" s="318"/>
      <c r="AA8319" s="318"/>
      <c r="AB8319" s="318"/>
      <c r="AC8319" s="318"/>
      <c r="AD8319" s="318"/>
    </row>
    <row r="8320" spans="2:30" s="323" customFormat="1" ht="12" customHeight="1">
      <c r="B8320" s="324"/>
      <c r="C8320" s="325"/>
      <c r="D8320" s="326"/>
      <c r="E8320" s="326"/>
      <c r="F8320" s="326"/>
      <c r="G8320" s="326"/>
      <c r="H8320" s="326"/>
      <c r="P8320" s="318"/>
      <c r="Q8320" s="318"/>
      <c r="R8320" s="318"/>
      <c r="S8320" s="318"/>
      <c r="T8320" s="318"/>
      <c r="U8320" s="318"/>
      <c r="V8320" s="318"/>
      <c r="W8320" s="318"/>
      <c r="X8320" s="318"/>
      <c r="Y8320" s="318"/>
      <c r="Z8320" s="318"/>
      <c r="AA8320" s="318"/>
      <c r="AB8320" s="318"/>
      <c r="AC8320" s="318"/>
      <c r="AD8320" s="318"/>
    </row>
    <row r="8321" spans="2:30" s="323" customFormat="1" ht="12" customHeight="1">
      <c r="B8321" s="324"/>
      <c r="C8321" s="325"/>
      <c r="D8321" s="326"/>
      <c r="E8321" s="326"/>
      <c r="F8321" s="326"/>
      <c r="G8321" s="326"/>
      <c r="H8321" s="326"/>
      <c r="P8321" s="318"/>
      <c r="Q8321" s="318"/>
      <c r="R8321" s="318"/>
      <c r="S8321" s="318"/>
      <c r="T8321" s="318"/>
      <c r="U8321" s="318"/>
      <c r="V8321" s="318"/>
      <c r="W8321" s="318"/>
      <c r="X8321" s="318"/>
      <c r="Y8321" s="318"/>
      <c r="Z8321" s="318"/>
      <c r="AA8321" s="318"/>
      <c r="AB8321" s="318"/>
      <c r="AC8321" s="318"/>
      <c r="AD8321" s="318"/>
    </row>
    <row r="8322" spans="2:30" s="323" customFormat="1" ht="12" customHeight="1">
      <c r="B8322" s="324"/>
      <c r="C8322" s="325"/>
      <c r="D8322" s="326"/>
      <c r="E8322" s="326"/>
      <c r="F8322" s="326"/>
      <c r="G8322" s="326"/>
      <c r="H8322" s="326"/>
      <c r="P8322" s="318"/>
      <c r="Q8322" s="318"/>
      <c r="R8322" s="318"/>
      <c r="S8322" s="318"/>
      <c r="T8322" s="318"/>
      <c r="U8322" s="318"/>
      <c r="V8322" s="318"/>
      <c r="W8322" s="318"/>
      <c r="X8322" s="318"/>
      <c r="Y8322" s="318"/>
      <c r="Z8322" s="318"/>
      <c r="AA8322" s="318"/>
      <c r="AB8322" s="318"/>
      <c r="AC8322" s="318"/>
      <c r="AD8322" s="318"/>
    </row>
    <row r="8323" spans="2:30" s="323" customFormat="1" ht="12" customHeight="1">
      <c r="B8323" s="324"/>
      <c r="C8323" s="325"/>
      <c r="D8323" s="326"/>
      <c r="E8323" s="326"/>
      <c r="F8323" s="326"/>
      <c r="G8323" s="326"/>
      <c r="H8323" s="326"/>
      <c r="P8323" s="318"/>
      <c r="Q8323" s="318"/>
      <c r="R8323" s="318"/>
      <c r="S8323" s="318"/>
      <c r="T8323" s="318"/>
      <c r="U8323" s="318"/>
      <c r="V8323" s="318"/>
      <c r="W8323" s="318"/>
      <c r="X8323" s="318"/>
      <c r="Y8323" s="318"/>
      <c r="Z8323" s="318"/>
      <c r="AA8323" s="318"/>
      <c r="AB8323" s="318"/>
      <c r="AC8323" s="318"/>
      <c r="AD8323" s="318"/>
    </row>
    <row r="8324" spans="2:30" s="323" customFormat="1" ht="12" customHeight="1">
      <c r="B8324" s="324"/>
      <c r="C8324" s="325"/>
      <c r="D8324" s="326"/>
      <c r="E8324" s="326"/>
      <c r="F8324" s="326"/>
      <c r="G8324" s="326"/>
      <c r="H8324" s="326"/>
      <c r="P8324" s="318"/>
      <c r="Q8324" s="318"/>
      <c r="R8324" s="318"/>
      <c r="S8324" s="318"/>
      <c r="T8324" s="318"/>
      <c r="U8324" s="318"/>
      <c r="V8324" s="318"/>
      <c r="W8324" s="318"/>
      <c r="X8324" s="318"/>
      <c r="Y8324" s="318"/>
      <c r="Z8324" s="318"/>
      <c r="AA8324" s="318"/>
      <c r="AB8324" s="318"/>
      <c r="AC8324" s="318"/>
      <c r="AD8324" s="318"/>
    </row>
    <row r="8325" spans="2:30" s="323" customFormat="1" ht="12" customHeight="1">
      <c r="B8325" s="324"/>
      <c r="C8325" s="325"/>
      <c r="D8325" s="326"/>
      <c r="E8325" s="326"/>
      <c r="F8325" s="326"/>
      <c r="G8325" s="326"/>
      <c r="H8325" s="326"/>
      <c r="P8325" s="318"/>
      <c r="Q8325" s="318"/>
      <c r="R8325" s="318"/>
      <c r="S8325" s="318"/>
      <c r="T8325" s="318"/>
      <c r="U8325" s="318"/>
      <c r="V8325" s="318"/>
      <c r="W8325" s="318"/>
      <c r="X8325" s="318"/>
      <c r="Y8325" s="318"/>
      <c r="Z8325" s="318"/>
      <c r="AA8325" s="318"/>
      <c r="AB8325" s="318"/>
      <c r="AC8325" s="318"/>
      <c r="AD8325" s="318"/>
    </row>
    <row r="8326" spans="2:30" s="323" customFormat="1" ht="12" customHeight="1">
      <c r="B8326" s="324"/>
      <c r="C8326" s="325"/>
      <c r="D8326" s="326"/>
      <c r="E8326" s="326"/>
      <c r="F8326" s="326"/>
      <c r="G8326" s="326"/>
      <c r="H8326" s="326"/>
      <c r="P8326" s="318"/>
      <c r="Q8326" s="318"/>
      <c r="R8326" s="318"/>
      <c r="S8326" s="318"/>
      <c r="T8326" s="318"/>
      <c r="U8326" s="318"/>
      <c r="V8326" s="318"/>
      <c r="W8326" s="318"/>
      <c r="X8326" s="318"/>
      <c r="Y8326" s="318"/>
      <c r="Z8326" s="318"/>
      <c r="AA8326" s="318"/>
      <c r="AB8326" s="318"/>
      <c r="AC8326" s="318"/>
      <c r="AD8326" s="318"/>
    </row>
    <row r="8327" spans="2:30" s="323" customFormat="1" ht="12" customHeight="1">
      <c r="B8327" s="324"/>
      <c r="C8327" s="325"/>
      <c r="D8327" s="326"/>
      <c r="E8327" s="326"/>
      <c r="F8327" s="326"/>
      <c r="G8327" s="326"/>
      <c r="H8327" s="326"/>
      <c r="P8327" s="318"/>
      <c r="Q8327" s="318"/>
      <c r="R8327" s="318"/>
      <c r="S8327" s="318"/>
      <c r="T8327" s="318"/>
      <c r="U8327" s="318"/>
      <c r="V8327" s="318"/>
      <c r="W8327" s="318"/>
      <c r="X8327" s="318"/>
      <c r="Y8327" s="318"/>
      <c r="Z8327" s="318"/>
      <c r="AA8327" s="318"/>
      <c r="AB8327" s="318"/>
      <c r="AC8327" s="318"/>
      <c r="AD8327" s="318"/>
    </row>
    <row r="8328" spans="2:30" s="323" customFormat="1" ht="12" customHeight="1">
      <c r="B8328" s="324"/>
      <c r="C8328" s="325"/>
      <c r="D8328" s="326"/>
      <c r="E8328" s="326"/>
      <c r="F8328" s="326"/>
      <c r="G8328" s="326"/>
      <c r="H8328" s="326"/>
      <c r="P8328" s="318"/>
      <c r="Q8328" s="318"/>
      <c r="R8328" s="318"/>
      <c r="S8328" s="318"/>
      <c r="T8328" s="318"/>
      <c r="U8328" s="318"/>
      <c r="V8328" s="318"/>
      <c r="W8328" s="318"/>
      <c r="X8328" s="318"/>
      <c r="Y8328" s="318"/>
      <c r="Z8328" s="318"/>
      <c r="AA8328" s="318"/>
      <c r="AB8328" s="318"/>
      <c r="AC8328" s="318"/>
      <c r="AD8328" s="318"/>
    </row>
    <row r="8329" spans="2:30" s="323" customFormat="1" ht="12" customHeight="1">
      <c r="B8329" s="324"/>
      <c r="C8329" s="325"/>
      <c r="D8329" s="326"/>
      <c r="E8329" s="326"/>
      <c r="F8329" s="326"/>
      <c r="G8329" s="326"/>
      <c r="H8329" s="326"/>
      <c r="P8329" s="318"/>
      <c r="Q8329" s="318"/>
      <c r="R8329" s="318"/>
      <c r="S8329" s="318"/>
      <c r="T8329" s="318"/>
      <c r="U8329" s="318"/>
      <c r="V8329" s="318"/>
      <c r="W8329" s="318"/>
      <c r="X8329" s="318"/>
      <c r="Y8329" s="318"/>
      <c r="Z8329" s="318"/>
      <c r="AA8329" s="318"/>
      <c r="AB8329" s="318"/>
      <c r="AC8329" s="318"/>
      <c r="AD8329" s="318"/>
    </row>
    <row r="8330" spans="2:30" s="323" customFormat="1" ht="12" customHeight="1">
      <c r="B8330" s="324"/>
      <c r="C8330" s="325"/>
      <c r="D8330" s="326"/>
      <c r="E8330" s="326"/>
      <c r="F8330" s="326"/>
      <c r="G8330" s="326"/>
      <c r="H8330" s="326"/>
      <c r="P8330" s="318"/>
      <c r="Q8330" s="318"/>
      <c r="R8330" s="318"/>
      <c r="S8330" s="318"/>
      <c r="T8330" s="318"/>
      <c r="U8330" s="318"/>
      <c r="V8330" s="318"/>
      <c r="W8330" s="318"/>
      <c r="X8330" s="318"/>
      <c r="Y8330" s="318"/>
      <c r="Z8330" s="318"/>
      <c r="AA8330" s="318"/>
      <c r="AB8330" s="318"/>
      <c r="AC8330" s="318"/>
      <c r="AD8330" s="318"/>
    </row>
    <row r="8331" spans="2:30" s="323" customFormat="1" ht="12" customHeight="1">
      <c r="B8331" s="324"/>
      <c r="C8331" s="325"/>
      <c r="D8331" s="326"/>
      <c r="E8331" s="326"/>
      <c r="F8331" s="326"/>
      <c r="G8331" s="326"/>
      <c r="H8331" s="326"/>
      <c r="P8331" s="318"/>
      <c r="Q8331" s="318"/>
      <c r="R8331" s="318"/>
      <c r="S8331" s="318"/>
      <c r="T8331" s="318"/>
      <c r="U8331" s="318"/>
      <c r="V8331" s="318"/>
      <c r="W8331" s="318"/>
      <c r="X8331" s="318"/>
      <c r="Y8331" s="318"/>
      <c r="Z8331" s="318"/>
      <c r="AA8331" s="318"/>
      <c r="AB8331" s="318"/>
      <c r="AC8331" s="318"/>
      <c r="AD8331" s="318"/>
    </row>
    <row r="8332" spans="2:30" s="323" customFormat="1" ht="12" customHeight="1">
      <c r="B8332" s="324"/>
      <c r="C8332" s="325"/>
      <c r="D8332" s="326"/>
      <c r="E8332" s="326"/>
      <c r="F8332" s="326"/>
      <c r="G8332" s="326"/>
      <c r="H8332" s="326"/>
      <c r="P8332" s="318"/>
      <c r="Q8332" s="318"/>
      <c r="R8332" s="318"/>
      <c r="S8332" s="318"/>
      <c r="T8332" s="318"/>
      <c r="U8332" s="318"/>
      <c r="V8332" s="318"/>
      <c r="W8332" s="318"/>
      <c r="X8332" s="318"/>
      <c r="Y8332" s="318"/>
      <c r="Z8332" s="318"/>
      <c r="AA8332" s="318"/>
      <c r="AB8332" s="318"/>
      <c r="AC8332" s="318"/>
      <c r="AD8332" s="318"/>
    </row>
    <row r="8333" spans="2:30" s="323" customFormat="1" ht="12" customHeight="1">
      <c r="B8333" s="324"/>
      <c r="C8333" s="325"/>
      <c r="D8333" s="326"/>
      <c r="E8333" s="326"/>
      <c r="F8333" s="326"/>
      <c r="G8333" s="326"/>
      <c r="H8333" s="326"/>
      <c r="P8333" s="318"/>
      <c r="Q8333" s="318"/>
      <c r="R8333" s="318"/>
      <c r="S8333" s="318"/>
      <c r="T8333" s="318"/>
      <c r="U8333" s="318"/>
      <c r="V8333" s="318"/>
      <c r="W8333" s="318"/>
      <c r="X8333" s="318"/>
      <c r="Y8333" s="318"/>
      <c r="Z8333" s="318"/>
      <c r="AA8333" s="318"/>
      <c r="AB8333" s="318"/>
      <c r="AC8333" s="318"/>
      <c r="AD8333" s="318"/>
    </row>
    <row r="8334" spans="2:30" s="323" customFormat="1" ht="12" customHeight="1">
      <c r="B8334" s="324"/>
      <c r="C8334" s="325"/>
      <c r="D8334" s="326"/>
      <c r="E8334" s="326"/>
      <c r="F8334" s="326"/>
      <c r="G8334" s="326"/>
      <c r="H8334" s="326"/>
      <c r="P8334" s="318"/>
      <c r="Q8334" s="318"/>
      <c r="R8334" s="318"/>
      <c r="S8334" s="318"/>
      <c r="T8334" s="318"/>
      <c r="U8334" s="318"/>
      <c r="V8334" s="318"/>
      <c r="W8334" s="318"/>
      <c r="X8334" s="318"/>
      <c r="Y8334" s="318"/>
      <c r="Z8334" s="318"/>
      <c r="AA8334" s="318"/>
      <c r="AB8334" s="318"/>
      <c r="AC8334" s="318"/>
      <c r="AD8334" s="318"/>
    </row>
    <row r="8335" spans="2:30" s="323" customFormat="1" ht="12" customHeight="1">
      <c r="B8335" s="324"/>
      <c r="C8335" s="325"/>
      <c r="D8335" s="326"/>
      <c r="E8335" s="326"/>
      <c r="F8335" s="326"/>
      <c r="G8335" s="326"/>
      <c r="H8335" s="326"/>
      <c r="P8335" s="318"/>
      <c r="Q8335" s="318"/>
      <c r="R8335" s="318"/>
      <c r="S8335" s="318"/>
      <c r="T8335" s="318"/>
      <c r="U8335" s="318"/>
      <c r="V8335" s="318"/>
      <c r="W8335" s="318"/>
      <c r="X8335" s="318"/>
      <c r="Y8335" s="318"/>
      <c r="Z8335" s="318"/>
      <c r="AA8335" s="318"/>
      <c r="AB8335" s="318"/>
      <c r="AC8335" s="318"/>
      <c r="AD8335" s="318"/>
    </row>
    <row r="8336" spans="2:30" s="323" customFormat="1" ht="12" customHeight="1">
      <c r="B8336" s="324"/>
      <c r="C8336" s="325"/>
      <c r="D8336" s="326"/>
      <c r="E8336" s="326"/>
      <c r="F8336" s="326"/>
      <c r="G8336" s="326"/>
      <c r="H8336" s="326"/>
      <c r="P8336" s="318"/>
      <c r="Q8336" s="318"/>
      <c r="R8336" s="318"/>
      <c r="S8336" s="318"/>
      <c r="T8336" s="318"/>
      <c r="U8336" s="318"/>
      <c r="V8336" s="318"/>
      <c r="W8336" s="318"/>
      <c r="X8336" s="318"/>
      <c r="Y8336" s="318"/>
      <c r="Z8336" s="318"/>
      <c r="AA8336" s="318"/>
      <c r="AB8336" s="318"/>
      <c r="AC8336" s="318"/>
      <c r="AD8336" s="318"/>
    </row>
    <row r="8337" spans="2:30" s="323" customFormat="1" ht="12" customHeight="1">
      <c r="B8337" s="324"/>
      <c r="C8337" s="325"/>
      <c r="D8337" s="326"/>
      <c r="E8337" s="326"/>
      <c r="F8337" s="326"/>
      <c r="G8337" s="326"/>
      <c r="H8337" s="326"/>
      <c r="P8337" s="318"/>
      <c r="Q8337" s="318"/>
      <c r="R8337" s="318"/>
      <c r="S8337" s="318"/>
      <c r="T8337" s="318"/>
      <c r="U8337" s="318"/>
      <c r="V8337" s="318"/>
      <c r="W8337" s="318"/>
      <c r="X8337" s="318"/>
      <c r="Y8337" s="318"/>
      <c r="Z8337" s="318"/>
      <c r="AA8337" s="318"/>
      <c r="AB8337" s="318"/>
      <c r="AC8337" s="318"/>
      <c r="AD8337" s="318"/>
    </row>
    <row r="8338" spans="2:30" s="323" customFormat="1" ht="12" customHeight="1">
      <c r="B8338" s="324"/>
      <c r="C8338" s="325"/>
      <c r="D8338" s="326"/>
      <c r="E8338" s="326"/>
      <c r="F8338" s="326"/>
      <c r="G8338" s="326"/>
      <c r="H8338" s="326"/>
      <c r="P8338" s="318"/>
      <c r="Q8338" s="318"/>
      <c r="R8338" s="318"/>
      <c r="S8338" s="318"/>
      <c r="T8338" s="318"/>
      <c r="U8338" s="318"/>
      <c r="V8338" s="318"/>
      <c r="W8338" s="318"/>
      <c r="X8338" s="318"/>
      <c r="Y8338" s="318"/>
      <c r="Z8338" s="318"/>
      <c r="AA8338" s="318"/>
      <c r="AB8338" s="318"/>
      <c r="AC8338" s="318"/>
      <c r="AD8338" s="318"/>
    </row>
    <row r="8339" spans="2:30" s="323" customFormat="1" ht="12" customHeight="1">
      <c r="B8339" s="324"/>
      <c r="C8339" s="325"/>
      <c r="D8339" s="326"/>
      <c r="E8339" s="326"/>
      <c r="F8339" s="326"/>
      <c r="G8339" s="326"/>
      <c r="H8339" s="326"/>
      <c r="P8339" s="318"/>
      <c r="Q8339" s="318"/>
      <c r="R8339" s="318"/>
      <c r="S8339" s="318"/>
      <c r="T8339" s="318"/>
      <c r="U8339" s="318"/>
      <c r="V8339" s="318"/>
      <c r="W8339" s="318"/>
      <c r="X8339" s="318"/>
      <c r="Y8339" s="318"/>
      <c r="Z8339" s="318"/>
      <c r="AA8339" s="318"/>
      <c r="AB8339" s="318"/>
      <c r="AC8339" s="318"/>
      <c r="AD8339" s="318"/>
    </row>
    <row r="8340" spans="2:30" s="323" customFormat="1" ht="12" customHeight="1">
      <c r="B8340" s="324"/>
      <c r="C8340" s="325"/>
      <c r="D8340" s="326"/>
      <c r="E8340" s="326"/>
      <c r="F8340" s="326"/>
      <c r="G8340" s="326"/>
      <c r="H8340" s="326"/>
      <c r="P8340" s="318"/>
      <c r="Q8340" s="318"/>
      <c r="R8340" s="318"/>
      <c r="S8340" s="318"/>
      <c r="T8340" s="318"/>
      <c r="U8340" s="318"/>
      <c r="V8340" s="318"/>
      <c r="W8340" s="318"/>
      <c r="X8340" s="318"/>
      <c r="Y8340" s="318"/>
      <c r="Z8340" s="318"/>
      <c r="AA8340" s="318"/>
      <c r="AB8340" s="318"/>
      <c r="AC8340" s="318"/>
      <c r="AD8340" s="318"/>
    </row>
    <row r="8341" spans="2:30" s="323" customFormat="1" ht="12" customHeight="1">
      <c r="B8341" s="324"/>
      <c r="C8341" s="325"/>
      <c r="D8341" s="326"/>
      <c r="E8341" s="326"/>
      <c r="F8341" s="326"/>
      <c r="G8341" s="326"/>
      <c r="H8341" s="326"/>
      <c r="P8341" s="318"/>
      <c r="Q8341" s="318"/>
      <c r="R8341" s="318"/>
      <c r="S8341" s="318"/>
      <c r="T8341" s="318"/>
      <c r="U8341" s="318"/>
      <c r="V8341" s="318"/>
      <c r="W8341" s="318"/>
      <c r="X8341" s="318"/>
      <c r="Y8341" s="318"/>
      <c r="Z8341" s="318"/>
      <c r="AA8341" s="318"/>
      <c r="AB8341" s="318"/>
      <c r="AC8341" s="318"/>
      <c r="AD8341" s="318"/>
    </row>
    <row r="8342" spans="2:30" s="323" customFormat="1" ht="12" customHeight="1">
      <c r="B8342" s="324"/>
      <c r="C8342" s="325"/>
      <c r="D8342" s="326"/>
      <c r="E8342" s="326"/>
      <c r="F8342" s="326"/>
      <c r="G8342" s="326"/>
      <c r="H8342" s="326"/>
      <c r="P8342" s="318"/>
      <c r="Q8342" s="318"/>
      <c r="R8342" s="318"/>
      <c r="S8342" s="318"/>
      <c r="T8342" s="318"/>
      <c r="U8342" s="318"/>
      <c r="V8342" s="318"/>
      <c r="W8342" s="318"/>
      <c r="X8342" s="318"/>
      <c r="Y8342" s="318"/>
      <c r="Z8342" s="318"/>
      <c r="AA8342" s="318"/>
      <c r="AB8342" s="318"/>
      <c r="AC8342" s="318"/>
      <c r="AD8342" s="318"/>
    </row>
    <row r="8343" spans="2:30" s="323" customFormat="1" ht="12" customHeight="1">
      <c r="B8343" s="324"/>
      <c r="C8343" s="325"/>
      <c r="D8343" s="326"/>
      <c r="E8343" s="326"/>
      <c r="F8343" s="326"/>
      <c r="G8343" s="326"/>
      <c r="H8343" s="326"/>
      <c r="P8343" s="318"/>
      <c r="Q8343" s="318"/>
      <c r="R8343" s="318"/>
      <c r="S8343" s="318"/>
      <c r="T8343" s="318"/>
      <c r="U8343" s="318"/>
      <c r="V8343" s="318"/>
      <c r="W8343" s="318"/>
      <c r="X8343" s="318"/>
      <c r="Y8343" s="318"/>
      <c r="Z8343" s="318"/>
      <c r="AA8343" s="318"/>
      <c r="AB8343" s="318"/>
      <c r="AC8343" s="318"/>
      <c r="AD8343" s="318"/>
    </row>
    <row r="8344" spans="2:30" s="323" customFormat="1" ht="12" customHeight="1">
      <c r="B8344" s="324"/>
      <c r="C8344" s="325"/>
      <c r="D8344" s="326"/>
      <c r="E8344" s="326"/>
      <c r="F8344" s="326"/>
      <c r="G8344" s="326"/>
      <c r="H8344" s="326"/>
      <c r="P8344" s="318"/>
      <c r="Q8344" s="318"/>
      <c r="R8344" s="318"/>
      <c r="S8344" s="318"/>
      <c r="T8344" s="318"/>
      <c r="U8344" s="318"/>
      <c r="V8344" s="318"/>
      <c r="W8344" s="318"/>
      <c r="X8344" s="318"/>
      <c r="Y8344" s="318"/>
      <c r="Z8344" s="318"/>
      <c r="AA8344" s="318"/>
      <c r="AB8344" s="318"/>
      <c r="AC8344" s="318"/>
      <c r="AD8344" s="318"/>
    </row>
    <row r="8345" spans="2:30" s="323" customFormat="1" ht="12" customHeight="1">
      <c r="B8345" s="324"/>
      <c r="C8345" s="325"/>
      <c r="D8345" s="326"/>
      <c r="E8345" s="326"/>
      <c r="F8345" s="326"/>
      <c r="G8345" s="326"/>
      <c r="H8345" s="326"/>
      <c r="P8345" s="318"/>
      <c r="Q8345" s="318"/>
      <c r="R8345" s="318"/>
      <c r="S8345" s="318"/>
      <c r="T8345" s="318"/>
      <c r="U8345" s="318"/>
      <c r="V8345" s="318"/>
      <c r="W8345" s="318"/>
      <c r="X8345" s="318"/>
      <c r="Y8345" s="318"/>
      <c r="Z8345" s="318"/>
      <c r="AA8345" s="318"/>
      <c r="AB8345" s="318"/>
      <c r="AC8345" s="318"/>
      <c r="AD8345" s="318"/>
    </row>
    <row r="8346" spans="2:30" s="323" customFormat="1" ht="12" customHeight="1">
      <c r="B8346" s="324"/>
      <c r="C8346" s="325"/>
      <c r="D8346" s="326"/>
      <c r="E8346" s="326"/>
      <c r="F8346" s="326"/>
      <c r="G8346" s="326"/>
      <c r="H8346" s="326"/>
      <c r="P8346" s="318"/>
      <c r="Q8346" s="318"/>
      <c r="R8346" s="318"/>
      <c r="S8346" s="318"/>
      <c r="T8346" s="318"/>
      <c r="U8346" s="318"/>
      <c r="V8346" s="318"/>
      <c r="W8346" s="318"/>
      <c r="X8346" s="318"/>
      <c r="Y8346" s="318"/>
      <c r="Z8346" s="318"/>
      <c r="AA8346" s="318"/>
      <c r="AB8346" s="318"/>
      <c r="AC8346" s="318"/>
      <c r="AD8346" s="318"/>
    </row>
    <row r="8347" spans="2:30" s="323" customFormat="1" ht="12" customHeight="1">
      <c r="B8347" s="324"/>
      <c r="C8347" s="325"/>
      <c r="D8347" s="326"/>
      <c r="E8347" s="326"/>
      <c r="F8347" s="326"/>
      <c r="G8347" s="326"/>
      <c r="H8347" s="326"/>
      <c r="P8347" s="318"/>
      <c r="Q8347" s="318"/>
      <c r="R8347" s="318"/>
      <c r="S8347" s="318"/>
      <c r="T8347" s="318"/>
      <c r="U8347" s="318"/>
      <c r="V8347" s="318"/>
      <c r="W8347" s="318"/>
      <c r="X8347" s="318"/>
      <c r="Y8347" s="318"/>
      <c r="Z8347" s="318"/>
      <c r="AA8347" s="318"/>
      <c r="AB8347" s="318"/>
      <c r="AC8347" s="318"/>
      <c r="AD8347" s="318"/>
    </row>
    <row r="8348" spans="2:30" s="323" customFormat="1" ht="12" customHeight="1">
      <c r="B8348" s="324"/>
      <c r="C8348" s="325"/>
      <c r="D8348" s="326"/>
      <c r="E8348" s="326"/>
      <c r="F8348" s="326"/>
      <c r="G8348" s="326"/>
      <c r="H8348" s="326"/>
      <c r="P8348" s="318"/>
      <c r="Q8348" s="318"/>
      <c r="R8348" s="318"/>
      <c r="S8348" s="318"/>
      <c r="T8348" s="318"/>
      <c r="U8348" s="318"/>
      <c r="V8348" s="318"/>
      <c r="W8348" s="318"/>
      <c r="X8348" s="318"/>
      <c r="Y8348" s="318"/>
      <c r="Z8348" s="318"/>
      <c r="AA8348" s="318"/>
      <c r="AB8348" s="318"/>
      <c r="AC8348" s="318"/>
      <c r="AD8348" s="318"/>
    </row>
    <row r="8349" spans="2:30" s="323" customFormat="1" ht="12" customHeight="1">
      <c r="B8349" s="324"/>
      <c r="C8349" s="325"/>
      <c r="D8349" s="326"/>
      <c r="E8349" s="326"/>
      <c r="F8349" s="326"/>
      <c r="G8349" s="326"/>
      <c r="H8349" s="326"/>
      <c r="P8349" s="318"/>
      <c r="Q8349" s="318"/>
      <c r="R8349" s="318"/>
      <c r="S8349" s="318"/>
      <c r="T8349" s="318"/>
      <c r="U8349" s="318"/>
      <c r="V8349" s="318"/>
      <c r="W8349" s="318"/>
      <c r="X8349" s="318"/>
      <c r="Y8349" s="318"/>
      <c r="Z8349" s="318"/>
      <c r="AA8349" s="318"/>
      <c r="AB8349" s="318"/>
      <c r="AC8349" s="318"/>
      <c r="AD8349" s="318"/>
    </row>
    <row r="8350" spans="2:30" s="323" customFormat="1" ht="12" customHeight="1">
      <c r="B8350" s="324"/>
      <c r="C8350" s="325"/>
      <c r="D8350" s="326"/>
      <c r="E8350" s="326"/>
      <c r="F8350" s="326"/>
      <c r="G8350" s="326"/>
      <c r="H8350" s="326"/>
      <c r="P8350" s="318"/>
      <c r="Q8350" s="318"/>
      <c r="R8350" s="318"/>
      <c r="S8350" s="318"/>
      <c r="T8350" s="318"/>
      <c r="U8350" s="318"/>
      <c r="V8350" s="318"/>
      <c r="W8350" s="318"/>
      <c r="X8350" s="318"/>
      <c r="Y8350" s="318"/>
      <c r="Z8350" s="318"/>
      <c r="AA8350" s="318"/>
      <c r="AB8350" s="318"/>
      <c r="AC8350" s="318"/>
      <c r="AD8350" s="318"/>
    </row>
    <row r="8351" spans="2:30" s="323" customFormat="1" ht="12" customHeight="1">
      <c r="B8351" s="324"/>
      <c r="C8351" s="325"/>
      <c r="D8351" s="326"/>
      <c r="E8351" s="326"/>
      <c r="F8351" s="326"/>
      <c r="G8351" s="326"/>
      <c r="H8351" s="326"/>
      <c r="P8351" s="318"/>
      <c r="Q8351" s="318"/>
      <c r="R8351" s="318"/>
      <c r="S8351" s="318"/>
      <c r="T8351" s="318"/>
      <c r="U8351" s="318"/>
      <c r="V8351" s="318"/>
      <c r="W8351" s="318"/>
      <c r="X8351" s="318"/>
      <c r="Y8351" s="318"/>
      <c r="Z8351" s="318"/>
      <c r="AA8351" s="318"/>
      <c r="AB8351" s="318"/>
      <c r="AC8351" s="318"/>
      <c r="AD8351" s="318"/>
    </row>
    <row r="8352" spans="2:30" s="323" customFormat="1" ht="12" customHeight="1">
      <c r="B8352" s="324"/>
      <c r="C8352" s="325"/>
      <c r="D8352" s="326"/>
      <c r="E8352" s="326"/>
      <c r="F8352" s="326"/>
      <c r="G8352" s="326"/>
      <c r="H8352" s="326"/>
      <c r="P8352" s="318"/>
      <c r="Q8352" s="318"/>
      <c r="R8352" s="318"/>
      <c r="S8352" s="318"/>
      <c r="T8352" s="318"/>
      <c r="U8352" s="318"/>
      <c r="V8352" s="318"/>
      <c r="W8352" s="318"/>
      <c r="X8352" s="318"/>
      <c r="Y8352" s="318"/>
      <c r="Z8352" s="318"/>
      <c r="AA8352" s="318"/>
      <c r="AB8352" s="318"/>
      <c r="AC8352" s="318"/>
      <c r="AD8352" s="318"/>
    </row>
    <row r="8353" spans="2:30" s="323" customFormat="1" ht="12" customHeight="1">
      <c r="B8353" s="324"/>
      <c r="C8353" s="325"/>
      <c r="D8353" s="326"/>
      <c r="E8353" s="326"/>
      <c r="F8353" s="326"/>
      <c r="G8353" s="326"/>
      <c r="H8353" s="326"/>
      <c r="P8353" s="318"/>
      <c r="Q8353" s="318"/>
      <c r="R8353" s="318"/>
      <c r="S8353" s="318"/>
      <c r="T8353" s="318"/>
      <c r="U8353" s="318"/>
      <c r="V8353" s="318"/>
      <c r="W8353" s="318"/>
      <c r="X8353" s="318"/>
      <c r="Y8353" s="318"/>
      <c r="Z8353" s="318"/>
      <c r="AA8353" s="318"/>
      <c r="AB8353" s="318"/>
      <c r="AC8353" s="318"/>
      <c r="AD8353" s="318"/>
    </row>
    <row r="8354" spans="2:30" s="323" customFormat="1" ht="12" customHeight="1">
      <c r="B8354" s="324"/>
      <c r="C8354" s="325"/>
      <c r="D8354" s="326"/>
      <c r="E8354" s="326"/>
      <c r="F8354" s="326"/>
      <c r="G8354" s="326"/>
      <c r="H8354" s="326"/>
      <c r="P8354" s="318"/>
      <c r="Q8354" s="318"/>
      <c r="R8354" s="318"/>
      <c r="S8354" s="318"/>
      <c r="T8354" s="318"/>
      <c r="U8354" s="318"/>
      <c r="V8354" s="318"/>
      <c r="W8354" s="318"/>
      <c r="X8354" s="318"/>
      <c r="Y8354" s="318"/>
      <c r="Z8354" s="318"/>
      <c r="AA8354" s="318"/>
      <c r="AB8354" s="318"/>
      <c r="AC8354" s="318"/>
      <c r="AD8354" s="318"/>
    </row>
    <row r="8355" spans="2:30" s="323" customFormat="1" ht="12" customHeight="1">
      <c r="B8355" s="324"/>
      <c r="C8355" s="325"/>
      <c r="D8355" s="326"/>
      <c r="E8355" s="326"/>
      <c r="F8355" s="326"/>
      <c r="G8355" s="326"/>
      <c r="H8355" s="326"/>
      <c r="P8355" s="318"/>
      <c r="Q8355" s="318"/>
      <c r="R8355" s="318"/>
      <c r="S8355" s="318"/>
      <c r="T8355" s="318"/>
      <c r="U8355" s="318"/>
      <c r="V8355" s="318"/>
      <c r="W8355" s="318"/>
      <c r="X8355" s="318"/>
      <c r="Y8355" s="318"/>
      <c r="Z8355" s="318"/>
      <c r="AA8355" s="318"/>
      <c r="AB8355" s="318"/>
      <c r="AC8355" s="318"/>
      <c r="AD8355" s="318"/>
    </row>
    <row r="8356" spans="2:30" s="323" customFormat="1" ht="12" customHeight="1">
      <c r="B8356" s="324"/>
      <c r="C8356" s="325"/>
      <c r="D8356" s="326"/>
      <c r="E8356" s="326"/>
      <c r="F8356" s="326"/>
      <c r="G8356" s="326"/>
      <c r="H8356" s="326"/>
      <c r="P8356" s="318"/>
      <c r="Q8356" s="318"/>
      <c r="R8356" s="318"/>
      <c r="S8356" s="318"/>
      <c r="T8356" s="318"/>
      <c r="U8356" s="318"/>
      <c r="V8356" s="318"/>
      <c r="W8356" s="318"/>
      <c r="X8356" s="318"/>
      <c r="Y8356" s="318"/>
      <c r="Z8356" s="318"/>
      <c r="AA8356" s="318"/>
      <c r="AB8356" s="318"/>
      <c r="AC8356" s="318"/>
      <c r="AD8356" s="318"/>
    </row>
    <row r="8357" spans="2:30" s="323" customFormat="1" ht="12" customHeight="1">
      <c r="B8357" s="324"/>
      <c r="C8357" s="325"/>
      <c r="D8357" s="326"/>
      <c r="E8357" s="326"/>
      <c r="F8357" s="326"/>
      <c r="G8357" s="326"/>
      <c r="H8357" s="326"/>
      <c r="P8357" s="318"/>
      <c r="Q8357" s="318"/>
      <c r="R8357" s="318"/>
      <c r="S8357" s="318"/>
      <c r="T8357" s="318"/>
      <c r="U8357" s="318"/>
      <c r="V8357" s="318"/>
      <c r="W8357" s="318"/>
      <c r="X8357" s="318"/>
      <c r="Y8357" s="318"/>
      <c r="Z8357" s="318"/>
      <c r="AA8357" s="318"/>
      <c r="AB8357" s="318"/>
      <c r="AC8357" s="318"/>
      <c r="AD8357" s="318"/>
    </row>
    <row r="8358" spans="2:30" s="323" customFormat="1" ht="12" customHeight="1">
      <c r="B8358" s="324"/>
      <c r="C8358" s="325"/>
      <c r="D8358" s="326"/>
      <c r="E8358" s="326"/>
      <c r="F8358" s="326"/>
      <c r="G8358" s="326"/>
      <c r="H8358" s="326"/>
      <c r="P8358" s="318"/>
      <c r="Q8358" s="318"/>
      <c r="R8358" s="318"/>
      <c r="S8358" s="318"/>
      <c r="T8358" s="318"/>
      <c r="U8358" s="318"/>
      <c r="V8358" s="318"/>
      <c r="W8358" s="318"/>
      <c r="X8358" s="318"/>
      <c r="Y8358" s="318"/>
      <c r="Z8358" s="318"/>
      <c r="AA8358" s="318"/>
      <c r="AB8358" s="318"/>
      <c r="AC8358" s="318"/>
      <c r="AD8358" s="318"/>
    </row>
    <row r="8359" spans="2:30" s="323" customFormat="1" ht="12" customHeight="1">
      <c r="B8359" s="324"/>
      <c r="C8359" s="325"/>
      <c r="D8359" s="326"/>
      <c r="E8359" s="326"/>
      <c r="F8359" s="326"/>
      <c r="G8359" s="326"/>
      <c r="H8359" s="326"/>
      <c r="P8359" s="318"/>
      <c r="Q8359" s="318"/>
      <c r="R8359" s="318"/>
      <c r="S8359" s="318"/>
      <c r="T8359" s="318"/>
      <c r="U8359" s="318"/>
      <c r="V8359" s="318"/>
      <c r="W8359" s="318"/>
      <c r="X8359" s="318"/>
      <c r="Y8359" s="318"/>
      <c r="Z8359" s="318"/>
      <c r="AA8359" s="318"/>
      <c r="AB8359" s="318"/>
      <c r="AC8359" s="318"/>
      <c r="AD8359" s="318"/>
    </row>
    <row r="8360" spans="2:30" s="323" customFormat="1" ht="12" customHeight="1">
      <c r="B8360" s="324"/>
      <c r="C8360" s="325"/>
      <c r="D8360" s="326"/>
      <c r="E8360" s="326"/>
      <c r="F8360" s="326"/>
      <c r="G8360" s="326"/>
      <c r="H8360" s="326"/>
      <c r="P8360" s="318"/>
      <c r="Q8360" s="318"/>
      <c r="R8360" s="318"/>
      <c r="S8360" s="318"/>
      <c r="T8360" s="318"/>
      <c r="U8360" s="318"/>
      <c r="V8360" s="318"/>
      <c r="W8360" s="318"/>
      <c r="X8360" s="318"/>
      <c r="Y8360" s="318"/>
      <c r="Z8360" s="318"/>
      <c r="AA8360" s="318"/>
      <c r="AB8360" s="318"/>
      <c r="AC8360" s="318"/>
      <c r="AD8360" s="318"/>
    </row>
    <row r="8361" spans="2:30" s="323" customFormat="1" ht="12" customHeight="1">
      <c r="B8361" s="324"/>
      <c r="C8361" s="325"/>
      <c r="D8361" s="326"/>
      <c r="E8361" s="326"/>
      <c r="F8361" s="326"/>
      <c r="G8361" s="326"/>
      <c r="H8361" s="326"/>
      <c r="P8361" s="318"/>
      <c r="Q8361" s="318"/>
      <c r="R8361" s="318"/>
      <c r="S8361" s="318"/>
      <c r="T8361" s="318"/>
      <c r="U8361" s="318"/>
      <c r="V8361" s="318"/>
      <c r="W8361" s="318"/>
      <c r="X8361" s="318"/>
      <c r="Y8361" s="318"/>
      <c r="Z8361" s="318"/>
      <c r="AA8361" s="318"/>
      <c r="AB8361" s="318"/>
      <c r="AC8361" s="318"/>
      <c r="AD8361" s="318"/>
    </row>
    <row r="8362" spans="2:30" s="323" customFormat="1" ht="12" customHeight="1">
      <c r="B8362" s="324"/>
      <c r="C8362" s="325"/>
      <c r="D8362" s="326"/>
      <c r="E8362" s="326"/>
      <c r="F8362" s="326"/>
      <c r="G8362" s="326"/>
      <c r="H8362" s="326"/>
      <c r="P8362" s="318"/>
      <c r="Q8362" s="318"/>
      <c r="R8362" s="318"/>
      <c r="S8362" s="318"/>
      <c r="T8362" s="318"/>
      <c r="U8362" s="318"/>
      <c r="V8362" s="318"/>
      <c r="W8362" s="318"/>
      <c r="X8362" s="318"/>
      <c r="Y8362" s="318"/>
      <c r="Z8362" s="318"/>
      <c r="AA8362" s="318"/>
      <c r="AB8362" s="318"/>
      <c r="AC8362" s="318"/>
      <c r="AD8362" s="318"/>
    </row>
    <row r="8363" spans="2:30" s="323" customFormat="1" ht="12" customHeight="1">
      <c r="B8363" s="324"/>
      <c r="C8363" s="325"/>
      <c r="D8363" s="326"/>
      <c r="E8363" s="326"/>
      <c r="F8363" s="326"/>
      <c r="G8363" s="326"/>
      <c r="H8363" s="326"/>
      <c r="P8363" s="318"/>
      <c r="Q8363" s="318"/>
      <c r="R8363" s="318"/>
      <c r="S8363" s="318"/>
      <c r="T8363" s="318"/>
      <c r="U8363" s="318"/>
      <c r="V8363" s="318"/>
      <c r="W8363" s="318"/>
      <c r="X8363" s="318"/>
      <c r="Y8363" s="318"/>
      <c r="Z8363" s="318"/>
      <c r="AA8363" s="318"/>
      <c r="AB8363" s="318"/>
      <c r="AC8363" s="318"/>
      <c r="AD8363" s="318"/>
    </row>
    <row r="8364" spans="2:30" s="323" customFormat="1" ht="12" customHeight="1">
      <c r="B8364" s="324"/>
      <c r="C8364" s="325"/>
      <c r="D8364" s="326"/>
      <c r="E8364" s="326"/>
      <c r="F8364" s="326"/>
      <c r="G8364" s="326"/>
      <c r="H8364" s="326"/>
      <c r="P8364" s="318"/>
      <c r="Q8364" s="318"/>
      <c r="R8364" s="318"/>
      <c r="S8364" s="318"/>
      <c r="T8364" s="318"/>
      <c r="U8364" s="318"/>
      <c r="V8364" s="318"/>
      <c r="W8364" s="318"/>
      <c r="X8364" s="318"/>
      <c r="Y8364" s="318"/>
      <c r="Z8364" s="318"/>
      <c r="AA8364" s="318"/>
      <c r="AB8364" s="318"/>
      <c r="AC8364" s="318"/>
      <c r="AD8364" s="318"/>
    </row>
    <row r="8365" spans="2:30" s="323" customFormat="1" ht="12" customHeight="1">
      <c r="B8365" s="324"/>
      <c r="C8365" s="325"/>
      <c r="D8365" s="326"/>
      <c r="E8365" s="326"/>
      <c r="F8365" s="326"/>
      <c r="G8365" s="326"/>
      <c r="H8365" s="326"/>
      <c r="P8365" s="318"/>
      <c r="Q8365" s="318"/>
      <c r="R8365" s="318"/>
      <c r="S8365" s="318"/>
      <c r="T8365" s="318"/>
      <c r="U8365" s="318"/>
      <c r="V8365" s="318"/>
      <c r="W8365" s="318"/>
      <c r="X8365" s="318"/>
      <c r="Y8365" s="318"/>
      <c r="Z8365" s="318"/>
      <c r="AA8365" s="318"/>
      <c r="AB8365" s="318"/>
      <c r="AC8365" s="318"/>
      <c r="AD8365" s="318"/>
    </row>
    <row r="8366" spans="2:30" s="323" customFormat="1" ht="12" customHeight="1">
      <c r="B8366" s="324"/>
      <c r="C8366" s="325"/>
      <c r="D8366" s="326"/>
      <c r="E8366" s="326"/>
      <c r="F8366" s="326"/>
      <c r="G8366" s="326"/>
      <c r="H8366" s="326"/>
      <c r="P8366" s="318"/>
      <c r="Q8366" s="318"/>
      <c r="R8366" s="318"/>
      <c r="S8366" s="318"/>
      <c r="T8366" s="318"/>
      <c r="U8366" s="318"/>
      <c r="V8366" s="318"/>
      <c r="W8366" s="318"/>
      <c r="X8366" s="318"/>
      <c r="Y8366" s="318"/>
      <c r="Z8366" s="318"/>
      <c r="AA8366" s="318"/>
      <c r="AB8366" s="318"/>
      <c r="AC8366" s="318"/>
      <c r="AD8366" s="318"/>
    </row>
    <row r="8367" spans="2:30" s="323" customFormat="1" ht="12" customHeight="1">
      <c r="B8367" s="324"/>
      <c r="C8367" s="325"/>
      <c r="D8367" s="326"/>
      <c r="E8367" s="326"/>
      <c r="F8367" s="326"/>
      <c r="G8367" s="326"/>
      <c r="H8367" s="326"/>
      <c r="P8367" s="318"/>
      <c r="Q8367" s="318"/>
      <c r="R8367" s="318"/>
      <c r="S8367" s="318"/>
      <c r="T8367" s="318"/>
      <c r="U8367" s="318"/>
      <c r="V8367" s="318"/>
      <c r="W8367" s="318"/>
      <c r="X8367" s="318"/>
      <c r="Y8367" s="318"/>
      <c r="Z8367" s="318"/>
      <c r="AA8367" s="318"/>
      <c r="AB8367" s="318"/>
      <c r="AC8367" s="318"/>
      <c r="AD8367" s="318"/>
    </row>
    <row r="8368" spans="2:30" s="323" customFormat="1" ht="12" customHeight="1">
      <c r="B8368" s="324"/>
      <c r="C8368" s="325"/>
      <c r="D8368" s="326"/>
      <c r="E8368" s="326"/>
      <c r="F8368" s="326"/>
      <c r="G8368" s="326"/>
      <c r="H8368" s="326"/>
      <c r="P8368" s="318"/>
      <c r="Q8368" s="318"/>
      <c r="R8368" s="318"/>
      <c r="S8368" s="318"/>
      <c r="T8368" s="318"/>
      <c r="U8368" s="318"/>
      <c r="V8368" s="318"/>
      <c r="W8368" s="318"/>
      <c r="X8368" s="318"/>
      <c r="Y8368" s="318"/>
      <c r="Z8368" s="318"/>
      <c r="AA8368" s="318"/>
      <c r="AB8368" s="318"/>
      <c r="AC8368" s="318"/>
      <c r="AD8368" s="318"/>
    </row>
    <row r="8369" spans="2:30" s="323" customFormat="1" ht="12" customHeight="1">
      <c r="B8369" s="324"/>
      <c r="C8369" s="325"/>
      <c r="D8369" s="326"/>
      <c r="E8369" s="326"/>
      <c r="F8369" s="326"/>
      <c r="G8369" s="326"/>
      <c r="H8369" s="326"/>
      <c r="P8369" s="318"/>
      <c r="Q8369" s="318"/>
      <c r="R8369" s="318"/>
      <c r="S8369" s="318"/>
      <c r="T8369" s="318"/>
      <c r="U8369" s="318"/>
      <c r="V8369" s="318"/>
      <c r="W8369" s="318"/>
      <c r="X8369" s="318"/>
      <c r="Y8369" s="318"/>
      <c r="Z8369" s="318"/>
      <c r="AA8369" s="318"/>
      <c r="AB8369" s="318"/>
      <c r="AC8369" s="318"/>
      <c r="AD8369" s="318"/>
    </row>
    <row r="8370" spans="2:30" s="323" customFormat="1" ht="12" customHeight="1">
      <c r="B8370" s="324"/>
      <c r="C8370" s="325"/>
      <c r="D8370" s="326"/>
      <c r="E8370" s="326"/>
      <c r="F8370" s="326"/>
      <c r="G8370" s="326"/>
      <c r="H8370" s="326"/>
      <c r="P8370" s="318"/>
      <c r="Q8370" s="318"/>
      <c r="R8370" s="318"/>
      <c r="S8370" s="318"/>
      <c r="T8370" s="318"/>
      <c r="U8370" s="318"/>
      <c r="V8370" s="318"/>
      <c r="W8370" s="318"/>
      <c r="X8370" s="318"/>
      <c r="Y8370" s="318"/>
      <c r="Z8370" s="318"/>
      <c r="AA8370" s="318"/>
      <c r="AB8370" s="318"/>
      <c r="AC8370" s="318"/>
      <c r="AD8370" s="318"/>
    </row>
    <row r="8371" spans="2:30" s="323" customFormat="1" ht="12" customHeight="1">
      <c r="B8371" s="324"/>
      <c r="C8371" s="325"/>
      <c r="D8371" s="326"/>
      <c r="E8371" s="326"/>
      <c r="F8371" s="326"/>
      <c r="G8371" s="326"/>
      <c r="H8371" s="326"/>
      <c r="P8371" s="318"/>
      <c r="Q8371" s="318"/>
      <c r="R8371" s="318"/>
      <c r="S8371" s="318"/>
      <c r="T8371" s="318"/>
      <c r="U8371" s="318"/>
      <c r="V8371" s="318"/>
      <c r="W8371" s="318"/>
      <c r="X8371" s="318"/>
      <c r="Y8371" s="318"/>
      <c r="Z8371" s="318"/>
      <c r="AA8371" s="318"/>
      <c r="AB8371" s="318"/>
      <c r="AC8371" s="318"/>
      <c r="AD8371" s="318"/>
    </row>
    <row r="8372" spans="2:30" s="323" customFormat="1" ht="12" customHeight="1">
      <c r="B8372" s="324"/>
      <c r="C8372" s="325"/>
      <c r="D8372" s="326"/>
      <c r="E8372" s="326"/>
      <c r="F8372" s="326"/>
      <c r="G8372" s="326"/>
      <c r="H8372" s="326"/>
      <c r="P8372" s="318"/>
      <c r="Q8372" s="318"/>
      <c r="R8372" s="318"/>
      <c r="S8372" s="318"/>
      <c r="T8372" s="318"/>
      <c r="U8372" s="318"/>
      <c r="V8372" s="318"/>
      <c r="W8372" s="318"/>
      <c r="X8372" s="318"/>
      <c r="Y8372" s="318"/>
      <c r="Z8372" s="318"/>
      <c r="AA8372" s="318"/>
      <c r="AB8372" s="318"/>
      <c r="AC8372" s="318"/>
      <c r="AD8372" s="318"/>
    </row>
    <row r="8373" spans="2:30" s="323" customFormat="1" ht="12" customHeight="1">
      <c r="B8373" s="324"/>
      <c r="C8373" s="325"/>
      <c r="D8373" s="326"/>
      <c r="E8373" s="326"/>
      <c r="F8373" s="326"/>
      <c r="G8373" s="326"/>
      <c r="H8373" s="326"/>
      <c r="P8373" s="318"/>
      <c r="Q8373" s="318"/>
      <c r="R8373" s="318"/>
      <c r="S8373" s="318"/>
      <c r="T8373" s="318"/>
      <c r="U8373" s="318"/>
      <c r="V8373" s="318"/>
      <c r="W8373" s="318"/>
      <c r="X8373" s="318"/>
      <c r="Y8373" s="318"/>
      <c r="Z8373" s="318"/>
      <c r="AA8373" s="318"/>
      <c r="AB8373" s="318"/>
      <c r="AC8373" s="318"/>
      <c r="AD8373" s="318"/>
    </row>
    <row r="8374" spans="2:30" s="323" customFormat="1" ht="12" customHeight="1">
      <c r="B8374" s="324"/>
      <c r="C8374" s="325"/>
      <c r="D8374" s="326"/>
      <c r="E8374" s="326"/>
      <c r="F8374" s="326"/>
      <c r="G8374" s="326"/>
      <c r="H8374" s="326"/>
      <c r="P8374" s="318"/>
      <c r="Q8374" s="318"/>
      <c r="R8374" s="318"/>
      <c r="S8374" s="318"/>
      <c r="T8374" s="318"/>
      <c r="U8374" s="318"/>
      <c r="V8374" s="318"/>
      <c r="W8374" s="318"/>
      <c r="X8374" s="318"/>
      <c r="Y8374" s="318"/>
      <c r="Z8374" s="318"/>
      <c r="AA8374" s="318"/>
      <c r="AB8374" s="318"/>
      <c r="AC8374" s="318"/>
      <c r="AD8374" s="318"/>
    </row>
    <row r="8375" spans="2:30" s="323" customFormat="1" ht="12" customHeight="1">
      <c r="B8375" s="324"/>
      <c r="C8375" s="325"/>
      <c r="D8375" s="326"/>
      <c r="E8375" s="326"/>
      <c r="F8375" s="326"/>
      <c r="G8375" s="326"/>
      <c r="H8375" s="326"/>
      <c r="P8375" s="318"/>
      <c r="Q8375" s="318"/>
      <c r="R8375" s="318"/>
      <c r="S8375" s="318"/>
      <c r="T8375" s="318"/>
      <c r="U8375" s="318"/>
      <c r="V8375" s="318"/>
      <c r="W8375" s="318"/>
      <c r="X8375" s="318"/>
      <c r="Y8375" s="318"/>
      <c r="Z8375" s="318"/>
      <c r="AA8375" s="318"/>
      <c r="AB8375" s="318"/>
      <c r="AC8375" s="318"/>
      <c r="AD8375" s="318"/>
    </row>
    <row r="8376" spans="2:30" s="323" customFormat="1" ht="12" customHeight="1">
      <c r="B8376" s="324"/>
      <c r="C8376" s="325"/>
      <c r="D8376" s="326"/>
      <c r="E8376" s="326"/>
      <c r="F8376" s="326"/>
      <c r="G8376" s="326"/>
      <c r="H8376" s="326"/>
      <c r="P8376" s="318"/>
      <c r="Q8376" s="318"/>
      <c r="R8376" s="318"/>
      <c r="S8376" s="318"/>
      <c r="T8376" s="318"/>
      <c r="U8376" s="318"/>
      <c r="V8376" s="318"/>
      <c r="W8376" s="318"/>
      <c r="X8376" s="318"/>
      <c r="Y8376" s="318"/>
      <c r="Z8376" s="318"/>
      <c r="AA8376" s="318"/>
      <c r="AB8376" s="318"/>
      <c r="AC8376" s="318"/>
      <c r="AD8376" s="318"/>
    </row>
    <row r="8377" spans="2:30" s="323" customFormat="1" ht="12" customHeight="1">
      <c r="B8377" s="324"/>
      <c r="C8377" s="325"/>
      <c r="D8377" s="326"/>
      <c r="E8377" s="326"/>
      <c r="F8377" s="326"/>
      <c r="G8377" s="326"/>
      <c r="H8377" s="326"/>
      <c r="P8377" s="318"/>
      <c r="Q8377" s="318"/>
      <c r="R8377" s="318"/>
      <c r="S8377" s="318"/>
      <c r="T8377" s="318"/>
      <c r="U8377" s="318"/>
      <c r="V8377" s="318"/>
      <c r="W8377" s="318"/>
      <c r="X8377" s="318"/>
      <c r="Y8377" s="318"/>
      <c r="Z8377" s="318"/>
      <c r="AA8377" s="318"/>
      <c r="AB8377" s="318"/>
      <c r="AC8377" s="318"/>
      <c r="AD8377" s="318"/>
    </row>
    <row r="8378" spans="2:30" s="323" customFormat="1" ht="12" customHeight="1">
      <c r="B8378" s="324"/>
      <c r="C8378" s="325"/>
      <c r="D8378" s="326"/>
      <c r="E8378" s="326"/>
      <c r="F8378" s="326"/>
      <c r="G8378" s="326"/>
      <c r="H8378" s="326"/>
      <c r="P8378" s="318"/>
      <c r="Q8378" s="318"/>
      <c r="R8378" s="318"/>
      <c r="S8378" s="318"/>
      <c r="T8378" s="318"/>
      <c r="U8378" s="318"/>
      <c r="V8378" s="318"/>
      <c r="W8378" s="318"/>
      <c r="X8378" s="318"/>
      <c r="Y8378" s="318"/>
      <c r="Z8378" s="318"/>
      <c r="AA8378" s="318"/>
      <c r="AB8378" s="318"/>
      <c r="AC8378" s="318"/>
      <c r="AD8378" s="318"/>
    </row>
    <row r="8379" spans="2:30" s="323" customFormat="1" ht="12" customHeight="1">
      <c r="B8379" s="324"/>
      <c r="C8379" s="325"/>
      <c r="D8379" s="326"/>
      <c r="E8379" s="326"/>
      <c r="F8379" s="326"/>
      <c r="G8379" s="326"/>
      <c r="H8379" s="326"/>
      <c r="P8379" s="318"/>
      <c r="Q8379" s="318"/>
      <c r="R8379" s="318"/>
      <c r="S8379" s="318"/>
      <c r="T8379" s="318"/>
      <c r="U8379" s="318"/>
      <c r="V8379" s="318"/>
      <c r="W8379" s="318"/>
      <c r="X8379" s="318"/>
      <c r="Y8379" s="318"/>
      <c r="Z8379" s="318"/>
      <c r="AA8379" s="318"/>
      <c r="AB8379" s="318"/>
      <c r="AC8379" s="318"/>
      <c r="AD8379" s="318"/>
    </row>
    <row r="8380" spans="2:30" s="323" customFormat="1" ht="12" customHeight="1">
      <c r="B8380" s="324"/>
      <c r="C8380" s="325"/>
      <c r="D8380" s="326"/>
      <c r="E8380" s="326"/>
      <c r="F8380" s="326"/>
      <c r="G8380" s="326"/>
      <c r="H8380" s="326"/>
      <c r="P8380" s="318"/>
      <c r="Q8380" s="318"/>
      <c r="R8380" s="318"/>
      <c r="S8380" s="318"/>
      <c r="T8380" s="318"/>
      <c r="U8380" s="318"/>
      <c r="V8380" s="318"/>
      <c r="W8380" s="318"/>
      <c r="X8380" s="318"/>
      <c r="Y8380" s="318"/>
      <c r="Z8380" s="318"/>
      <c r="AA8380" s="318"/>
      <c r="AB8380" s="318"/>
      <c r="AC8380" s="318"/>
      <c r="AD8380" s="318"/>
    </row>
    <row r="8381" spans="2:30" s="323" customFormat="1" ht="12" customHeight="1">
      <c r="B8381" s="324"/>
      <c r="C8381" s="325"/>
      <c r="D8381" s="326"/>
      <c r="E8381" s="326"/>
      <c r="F8381" s="326"/>
      <c r="G8381" s="326"/>
      <c r="H8381" s="326"/>
      <c r="P8381" s="318"/>
      <c r="Q8381" s="318"/>
      <c r="R8381" s="318"/>
      <c r="S8381" s="318"/>
      <c r="T8381" s="318"/>
      <c r="U8381" s="318"/>
      <c r="V8381" s="318"/>
      <c r="W8381" s="318"/>
      <c r="X8381" s="318"/>
      <c r="Y8381" s="318"/>
      <c r="Z8381" s="318"/>
      <c r="AA8381" s="318"/>
      <c r="AB8381" s="318"/>
      <c r="AC8381" s="318"/>
      <c r="AD8381" s="318"/>
    </row>
    <row r="8382" spans="2:30" s="323" customFormat="1" ht="12" customHeight="1">
      <c r="B8382" s="324"/>
      <c r="C8382" s="325"/>
      <c r="D8382" s="326"/>
      <c r="E8382" s="326"/>
      <c r="F8382" s="326"/>
      <c r="G8382" s="326"/>
      <c r="H8382" s="326"/>
      <c r="P8382" s="318"/>
      <c r="Q8382" s="318"/>
      <c r="R8382" s="318"/>
      <c r="S8382" s="318"/>
      <c r="T8382" s="318"/>
      <c r="U8382" s="318"/>
      <c r="V8382" s="318"/>
      <c r="W8382" s="318"/>
      <c r="X8382" s="318"/>
      <c r="Y8382" s="318"/>
      <c r="Z8382" s="318"/>
      <c r="AA8382" s="318"/>
      <c r="AB8382" s="318"/>
      <c r="AC8382" s="318"/>
      <c r="AD8382" s="318"/>
    </row>
    <row r="8383" spans="2:30" s="323" customFormat="1" ht="12" customHeight="1">
      <c r="B8383" s="324"/>
      <c r="C8383" s="325"/>
      <c r="D8383" s="326"/>
      <c r="E8383" s="326"/>
      <c r="F8383" s="326"/>
      <c r="G8383" s="326"/>
      <c r="H8383" s="326"/>
      <c r="P8383" s="318"/>
      <c r="Q8383" s="318"/>
      <c r="R8383" s="318"/>
      <c r="S8383" s="318"/>
      <c r="T8383" s="318"/>
      <c r="U8383" s="318"/>
      <c r="V8383" s="318"/>
      <c r="W8383" s="318"/>
      <c r="X8383" s="318"/>
      <c r="Y8383" s="318"/>
      <c r="Z8383" s="318"/>
      <c r="AA8383" s="318"/>
      <c r="AB8383" s="318"/>
      <c r="AC8383" s="318"/>
      <c r="AD8383" s="318"/>
    </row>
    <row r="8384" spans="2:30" s="323" customFormat="1" ht="12" customHeight="1">
      <c r="B8384" s="324"/>
      <c r="C8384" s="325"/>
      <c r="D8384" s="326"/>
      <c r="E8384" s="326"/>
      <c r="F8384" s="326"/>
      <c r="G8384" s="326"/>
      <c r="H8384" s="326"/>
      <c r="P8384" s="318"/>
      <c r="Q8384" s="318"/>
      <c r="R8384" s="318"/>
      <c r="S8384" s="318"/>
      <c r="T8384" s="318"/>
      <c r="U8384" s="318"/>
      <c r="V8384" s="318"/>
      <c r="W8384" s="318"/>
      <c r="X8384" s="318"/>
      <c r="Y8384" s="318"/>
      <c r="Z8384" s="318"/>
      <c r="AA8384" s="318"/>
      <c r="AB8384" s="318"/>
      <c r="AC8384" s="318"/>
      <c r="AD8384" s="318"/>
    </row>
    <row r="8385" spans="2:30" s="323" customFormat="1" ht="12" customHeight="1">
      <c r="B8385" s="324"/>
      <c r="C8385" s="325"/>
      <c r="D8385" s="326"/>
      <c r="E8385" s="326"/>
      <c r="F8385" s="326"/>
      <c r="G8385" s="326"/>
      <c r="H8385" s="326"/>
      <c r="P8385" s="318"/>
      <c r="Q8385" s="318"/>
      <c r="R8385" s="318"/>
      <c r="S8385" s="318"/>
      <c r="T8385" s="318"/>
      <c r="U8385" s="318"/>
      <c r="V8385" s="318"/>
      <c r="W8385" s="318"/>
      <c r="X8385" s="318"/>
      <c r="Y8385" s="318"/>
      <c r="Z8385" s="318"/>
      <c r="AA8385" s="318"/>
      <c r="AB8385" s="318"/>
      <c r="AC8385" s="318"/>
      <c r="AD8385" s="318"/>
    </row>
    <row r="8386" spans="2:30" s="323" customFormat="1" ht="12" customHeight="1">
      <c r="B8386" s="324"/>
      <c r="C8386" s="325"/>
      <c r="D8386" s="326"/>
      <c r="E8386" s="326"/>
      <c r="F8386" s="326"/>
      <c r="G8386" s="326"/>
      <c r="H8386" s="326"/>
      <c r="P8386" s="318"/>
      <c r="Q8386" s="318"/>
      <c r="R8386" s="318"/>
      <c r="S8386" s="318"/>
      <c r="T8386" s="318"/>
      <c r="U8386" s="318"/>
      <c r="V8386" s="318"/>
      <c r="W8386" s="318"/>
      <c r="X8386" s="318"/>
      <c r="Y8386" s="318"/>
      <c r="Z8386" s="318"/>
      <c r="AA8386" s="318"/>
      <c r="AB8386" s="318"/>
      <c r="AC8386" s="318"/>
      <c r="AD8386" s="318"/>
    </row>
    <row r="8387" spans="2:30" s="323" customFormat="1" ht="12" customHeight="1">
      <c r="B8387" s="324"/>
      <c r="C8387" s="325"/>
      <c r="D8387" s="326"/>
      <c r="E8387" s="326"/>
      <c r="F8387" s="326"/>
      <c r="G8387" s="326"/>
      <c r="H8387" s="326"/>
      <c r="P8387" s="318"/>
      <c r="Q8387" s="318"/>
      <c r="R8387" s="318"/>
      <c r="S8387" s="318"/>
      <c r="T8387" s="318"/>
      <c r="U8387" s="318"/>
      <c r="V8387" s="318"/>
      <c r="W8387" s="318"/>
      <c r="X8387" s="318"/>
      <c r="Y8387" s="318"/>
      <c r="Z8387" s="318"/>
      <c r="AA8387" s="318"/>
      <c r="AB8387" s="318"/>
      <c r="AC8387" s="318"/>
      <c r="AD8387" s="318"/>
    </row>
    <row r="8388" spans="2:30" s="323" customFormat="1" ht="12" customHeight="1">
      <c r="B8388" s="324"/>
      <c r="C8388" s="325"/>
      <c r="D8388" s="326"/>
      <c r="E8388" s="326"/>
      <c r="F8388" s="326"/>
      <c r="G8388" s="326"/>
      <c r="H8388" s="326"/>
      <c r="P8388" s="318"/>
      <c r="Q8388" s="318"/>
      <c r="R8388" s="318"/>
      <c r="S8388" s="318"/>
      <c r="T8388" s="318"/>
      <c r="U8388" s="318"/>
      <c r="V8388" s="318"/>
      <c r="W8388" s="318"/>
      <c r="X8388" s="318"/>
      <c r="Y8388" s="318"/>
      <c r="Z8388" s="318"/>
      <c r="AA8388" s="318"/>
      <c r="AB8388" s="318"/>
      <c r="AC8388" s="318"/>
      <c r="AD8388" s="318"/>
    </row>
    <row r="8389" spans="2:30" s="323" customFormat="1" ht="12" customHeight="1">
      <c r="B8389" s="324"/>
      <c r="C8389" s="325"/>
      <c r="D8389" s="326"/>
      <c r="E8389" s="326"/>
      <c r="F8389" s="326"/>
      <c r="G8389" s="326"/>
      <c r="H8389" s="326"/>
      <c r="P8389" s="318"/>
      <c r="Q8389" s="318"/>
      <c r="R8389" s="318"/>
      <c r="S8389" s="318"/>
      <c r="T8389" s="318"/>
      <c r="U8389" s="318"/>
      <c r="V8389" s="318"/>
      <c r="W8389" s="318"/>
      <c r="X8389" s="318"/>
      <c r="Y8389" s="318"/>
      <c r="Z8389" s="318"/>
      <c r="AA8389" s="318"/>
      <c r="AB8389" s="318"/>
      <c r="AC8389" s="318"/>
      <c r="AD8389" s="318"/>
    </row>
    <row r="8390" spans="2:30" s="323" customFormat="1" ht="12" customHeight="1">
      <c r="B8390" s="324"/>
      <c r="C8390" s="325"/>
      <c r="D8390" s="326"/>
      <c r="E8390" s="326"/>
      <c r="F8390" s="326"/>
      <c r="G8390" s="326"/>
      <c r="H8390" s="326"/>
      <c r="P8390" s="318"/>
      <c r="Q8390" s="318"/>
      <c r="R8390" s="318"/>
      <c r="S8390" s="318"/>
      <c r="T8390" s="318"/>
      <c r="U8390" s="318"/>
      <c r="V8390" s="318"/>
      <c r="W8390" s="318"/>
      <c r="X8390" s="318"/>
      <c r="Y8390" s="318"/>
      <c r="Z8390" s="318"/>
      <c r="AA8390" s="318"/>
      <c r="AB8390" s="318"/>
      <c r="AC8390" s="318"/>
      <c r="AD8390" s="318"/>
    </row>
    <row r="8391" spans="2:30" s="323" customFormat="1" ht="12" customHeight="1">
      <c r="B8391" s="324"/>
      <c r="C8391" s="325"/>
      <c r="D8391" s="326"/>
      <c r="E8391" s="326"/>
      <c r="F8391" s="326"/>
      <c r="G8391" s="326"/>
      <c r="H8391" s="326"/>
      <c r="P8391" s="318"/>
      <c r="Q8391" s="318"/>
      <c r="R8391" s="318"/>
      <c r="S8391" s="318"/>
      <c r="T8391" s="318"/>
      <c r="U8391" s="318"/>
      <c r="V8391" s="318"/>
      <c r="W8391" s="318"/>
      <c r="X8391" s="318"/>
      <c r="Y8391" s="318"/>
      <c r="Z8391" s="318"/>
      <c r="AA8391" s="318"/>
      <c r="AB8391" s="318"/>
      <c r="AC8391" s="318"/>
      <c r="AD8391" s="318"/>
    </row>
    <row r="8392" spans="2:30" s="323" customFormat="1" ht="12" customHeight="1">
      <c r="B8392" s="324"/>
      <c r="C8392" s="325"/>
      <c r="D8392" s="326"/>
      <c r="E8392" s="326"/>
      <c r="F8392" s="326"/>
      <c r="G8392" s="326"/>
      <c r="H8392" s="326"/>
      <c r="P8392" s="318"/>
      <c r="Q8392" s="318"/>
      <c r="R8392" s="318"/>
      <c r="S8392" s="318"/>
      <c r="T8392" s="318"/>
      <c r="U8392" s="318"/>
      <c r="V8392" s="318"/>
      <c r="W8392" s="318"/>
      <c r="X8392" s="318"/>
      <c r="Y8392" s="318"/>
      <c r="Z8392" s="318"/>
      <c r="AA8392" s="318"/>
      <c r="AB8392" s="318"/>
      <c r="AC8392" s="318"/>
      <c r="AD8392" s="318"/>
    </row>
    <row r="8393" spans="2:30" s="323" customFormat="1" ht="12" customHeight="1">
      <c r="B8393" s="324"/>
      <c r="C8393" s="325"/>
      <c r="D8393" s="326"/>
      <c r="E8393" s="326"/>
      <c r="F8393" s="326"/>
      <c r="G8393" s="326"/>
      <c r="H8393" s="326"/>
      <c r="P8393" s="318"/>
      <c r="Q8393" s="318"/>
      <c r="R8393" s="318"/>
      <c r="S8393" s="318"/>
      <c r="T8393" s="318"/>
      <c r="U8393" s="318"/>
      <c r="V8393" s="318"/>
      <c r="W8393" s="318"/>
      <c r="X8393" s="318"/>
      <c r="Y8393" s="318"/>
      <c r="Z8393" s="318"/>
      <c r="AA8393" s="318"/>
      <c r="AB8393" s="318"/>
      <c r="AC8393" s="318"/>
      <c r="AD8393" s="318"/>
    </row>
    <row r="8394" spans="2:30" s="323" customFormat="1" ht="12" customHeight="1">
      <c r="B8394" s="324"/>
      <c r="C8394" s="325"/>
      <c r="D8394" s="326"/>
      <c r="E8394" s="326"/>
      <c r="F8394" s="326"/>
      <c r="G8394" s="326"/>
      <c r="H8394" s="326"/>
      <c r="P8394" s="318"/>
      <c r="Q8394" s="318"/>
      <c r="R8394" s="318"/>
      <c r="S8394" s="318"/>
      <c r="T8394" s="318"/>
      <c r="U8394" s="318"/>
      <c r="V8394" s="318"/>
      <c r="W8394" s="318"/>
      <c r="X8394" s="318"/>
      <c r="Y8394" s="318"/>
      <c r="Z8394" s="318"/>
      <c r="AA8394" s="318"/>
      <c r="AB8394" s="318"/>
      <c r="AC8394" s="318"/>
      <c r="AD8394" s="318"/>
    </row>
    <row r="8395" spans="2:30" s="323" customFormat="1" ht="12" customHeight="1">
      <c r="B8395" s="324"/>
      <c r="C8395" s="325"/>
      <c r="D8395" s="326"/>
      <c r="E8395" s="326"/>
      <c r="F8395" s="326"/>
      <c r="G8395" s="326"/>
      <c r="H8395" s="326"/>
      <c r="P8395" s="318"/>
      <c r="Q8395" s="318"/>
      <c r="R8395" s="318"/>
      <c r="S8395" s="318"/>
      <c r="T8395" s="318"/>
      <c r="U8395" s="318"/>
      <c r="V8395" s="318"/>
      <c r="W8395" s="318"/>
      <c r="X8395" s="318"/>
      <c r="Y8395" s="318"/>
      <c r="Z8395" s="318"/>
      <c r="AA8395" s="318"/>
      <c r="AB8395" s="318"/>
      <c r="AC8395" s="318"/>
      <c r="AD8395" s="318"/>
    </row>
    <row r="8396" spans="2:30" s="323" customFormat="1" ht="12" customHeight="1">
      <c r="B8396" s="324"/>
      <c r="C8396" s="325"/>
      <c r="D8396" s="326"/>
      <c r="E8396" s="326"/>
      <c r="F8396" s="326"/>
      <c r="G8396" s="326"/>
      <c r="H8396" s="326"/>
      <c r="P8396" s="318"/>
      <c r="Q8396" s="318"/>
      <c r="R8396" s="318"/>
      <c r="S8396" s="318"/>
      <c r="T8396" s="318"/>
      <c r="U8396" s="318"/>
      <c r="V8396" s="318"/>
      <c r="W8396" s="318"/>
      <c r="X8396" s="318"/>
      <c r="Y8396" s="318"/>
      <c r="Z8396" s="318"/>
      <c r="AA8396" s="318"/>
      <c r="AB8396" s="318"/>
      <c r="AC8396" s="318"/>
      <c r="AD8396" s="318"/>
    </row>
    <row r="8397" spans="2:30" s="323" customFormat="1" ht="12" customHeight="1">
      <c r="B8397" s="324"/>
      <c r="C8397" s="325"/>
      <c r="D8397" s="326"/>
      <c r="E8397" s="326"/>
      <c r="F8397" s="326"/>
      <c r="G8397" s="326"/>
      <c r="H8397" s="326"/>
      <c r="P8397" s="318"/>
      <c r="Q8397" s="318"/>
      <c r="R8397" s="318"/>
      <c r="S8397" s="318"/>
      <c r="T8397" s="318"/>
      <c r="U8397" s="318"/>
      <c r="V8397" s="318"/>
      <c r="W8397" s="318"/>
      <c r="X8397" s="318"/>
      <c r="Y8397" s="318"/>
      <c r="Z8397" s="318"/>
      <c r="AA8397" s="318"/>
      <c r="AB8397" s="318"/>
      <c r="AC8397" s="318"/>
      <c r="AD8397" s="318"/>
    </row>
    <row r="8398" spans="2:30" s="323" customFormat="1" ht="12" customHeight="1">
      <c r="B8398" s="324"/>
      <c r="C8398" s="325"/>
      <c r="D8398" s="326"/>
      <c r="E8398" s="326"/>
      <c r="F8398" s="326"/>
      <c r="G8398" s="326"/>
      <c r="H8398" s="326"/>
      <c r="P8398" s="318"/>
      <c r="Q8398" s="318"/>
      <c r="R8398" s="318"/>
      <c r="S8398" s="318"/>
      <c r="T8398" s="318"/>
      <c r="U8398" s="318"/>
      <c r="V8398" s="318"/>
      <c r="W8398" s="318"/>
      <c r="X8398" s="318"/>
      <c r="Y8398" s="318"/>
      <c r="Z8398" s="318"/>
      <c r="AA8398" s="318"/>
      <c r="AB8398" s="318"/>
      <c r="AC8398" s="318"/>
      <c r="AD8398" s="318"/>
    </row>
    <row r="8399" spans="2:30" s="323" customFormat="1" ht="12" customHeight="1">
      <c r="B8399" s="324"/>
      <c r="C8399" s="325"/>
      <c r="D8399" s="326"/>
      <c r="E8399" s="326"/>
      <c r="F8399" s="326"/>
      <c r="G8399" s="326"/>
      <c r="H8399" s="326"/>
      <c r="P8399" s="318"/>
      <c r="Q8399" s="318"/>
      <c r="R8399" s="318"/>
      <c r="S8399" s="318"/>
      <c r="T8399" s="318"/>
      <c r="U8399" s="318"/>
      <c r="V8399" s="318"/>
      <c r="W8399" s="318"/>
      <c r="X8399" s="318"/>
      <c r="Y8399" s="318"/>
      <c r="Z8399" s="318"/>
      <c r="AA8399" s="318"/>
      <c r="AB8399" s="318"/>
      <c r="AC8399" s="318"/>
      <c r="AD8399" s="318"/>
    </row>
    <row r="8400" spans="2:30" s="323" customFormat="1" ht="12" customHeight="1">
      <c r="B8400" s="324"/>
      <c r="C8400" s="325"/>
      <c r="D8400" s="326"/>
      <c r="E8400" s="326"/>
      <c r="F8400" s="326"/>
      <c r="G8400" s="326"/>
      <c r="H8400" s="326"/>
      <c r="P8400" s="318"/>
      <c r="Q8400" s="318"/>
      <c r="R8400" s="318"/>
      <c r="S8400" s="318"/>
      <c r="T8400" s="318"/>
      <c r="U8400" s="318"/>
      <c r="V8400" s="318"/>
      <c r="W8400" s="318"/>
      <c r="X8400" s="318"/>
      <c r="Y8400" s="318"/>
      <c r="Z8400" s="318"/>
      <c r="AA8400" s="318"/>
      <c r="AB8400" s="318"/>
      <c r="AC8400" s="318"/>
      <c r="AD8400" s="318"/>
    </row>
    <row r="8401" spans="2:30" s="323" customFormat="1" ht="12" customHeight="1">
      <c r="B8401" s="324"/>
      <c r="C8401" s="325"/>
      <c r="D8401" s="326"/>
      <c r="E8401" s="326"/>
      <c r="F8401" s="326"/>
      <c r="G8401" s="326"/>
      <c r="H8401" s="326"/>
      <c r="P8401" s="318"/>
      <c r="Q8401" s="318"/>
      <c r="R8401" s="318"/>
      <c r="S8401" s="318"/>
      <c r="T8401" s="318"/>
      <c r="U8401" s="318"/>
      <c r="V8401" s="318"/>
      <c r="W8401" s="318"/>
      <c r="X8401" s="318"/>
      <c r="Y8401" s="318"/>
      <c r="Z8401" s="318"/>
      <c r="AA8401" s="318"/>
      <c r="AB8401" s="318"/>
      <c r="AC8401" s="318"/>
      <c r="AD8401" s="318"/>
    </row>
    <row r="8402" spans="2:30" s="323" customFormat="1" ht="12" customHeight="1">
      <c r="B8402" s="324"/>
      <c r="C8402" s="325"/>
      <c r="D8402" s="326"/>
      <c r="E8402" s="326"/>
      <c r="F8402" s="326"/>
      <c r="G8402" s="326"/>
      <c r="H8402" s="326"/>
      <c r="P8402" s="318"/>
      <c r="Q8402" s="318"/>
      <c r="R8402" s="318"/>
      <c r="S8402" s="318"/>
      <c r="T8402" s="318"/>
      <c r="U8402" s="318"/>
      <c r="V8402" s="318"/>
      <c r="W8402" s="318"/>
      <c r="X8402" s="318"/>
      <c r="Y8402" s="318"/>
      <c r="Z8402" s="318"/>
      <c r="AA8402" s="318"/>
      <c r="AB8402" s="318"/>
      <c r="AC8402" s="318"/>
      <c r="AD8402" s="318"/>
    </row>
    <row r="8403" spans="2:30" s="323" customFormat="1" ht="12" customHeight="1">
      <c r="B8403" s="324"/>
      <c r="C8403" s="325"/>
      <c r="D8403" s="326"/>
      <c r="E8403" s="326"/>
      <c r="F8403" s="326"/>
      <c r="G8403" s="326"/>
      <c r="H8403" s="326"/>
      <c r="P8403" s="318"/>
      <c r="Q8403" s="318"/>
      <c r="R8403" s="318"/>
      <c r="S8403" s="318"/>
      <c r="T8403" s="318"/>
      <c r="U8403" s="318"/>
      <c r="V8403" s="318"/>
      <c r="W8403" s="318"/>
      <c r="X8403" s="318"/>
      <c r="Y8403" s="318"/>
      <c r="Z8403" s="318"/>
      <c r="AA8403" s="318"/>
      <c r="AB8403" s="318"/>
      <c r="AC8403" s="318"/>
      <c r="AD8403" s="318"/>
    </row>
    <row r="8404" spans="2:30" s="323" customFormat="1" ht="12" customHeight="1">
      <c r="B8404" s="324"/>
      <c r="C8404" s="325"/>
      <c r="D8404" s="326"/>
      <c r="E8404" s="326"/>
      <c r="F8404" s="326"/>
      <c r="G8404" s="326"/>
      <c r="H8404" s="326"/>
      <c r="P8404" s="318"/>
      <c r="Q8404" s="318"/>
      <c r="R8404" s="318"/>
      <c r="S8404" s="318"/>
      <c r="T8404" s="318"/>
      <c r="U8404" s="318"/>
      <c r="V8404" s="318"/>
      <c r="W8404" s="318"/>
      <c r="X8404" s="318"/>
      <c r="Y8404" s="318"/>
      <c r="Z8404" s="318"/>
      <c r="AA8404" s="318"/>
      <c r="AB8404" s="318"/>
      <c r="AC8404" s="318"/>
      <c r="AD8404" s="318"/>
    </row>
    <row r="8405" spans="2:30" s="323" customFormat="1" ht="12" customHeight="1">
      <c r="B8405" s="324"/>
      <c r="C8405" s="325"/>
      <c r="D8405" s="326"/>
      <c r="E8405" s="326"/>
      <c r="F8405" s="326"/>
      <c r="G8405" s="326"/>
      <c r="H8405" s="326"/>
      <c r="P8405" s="318"/>
      <c r="Q8405" s="318"/>
      <c r="R8405" s="318"/>
      <c r="S8405" s="318"/>
      <c r="T8405" s="318"/>
      <c r="U8405" s="318"/>
      <c r="V8405" s="318"/>
      <c r="W8405" s="318"/>
      <c r="X8405" s="318"/>
      <c r="Y8405" s="318"/>
      <c r="Z8405" s="318"/>
      <c r="AA8405" s="318"/>
      <c r="AB8405" s="318"/>
      <c r="AC8405" s="318"/>
      <c r="AD8405" s="318"/>
    </row>
    <row r="8406" spans="2:30" s="323" customFormat="1" ht="12" customHeight="1">
      <c r="B8406" s="324"/>
      <c r="C8406" s="325"/>
      <c r="D8406" s="326"/>
      <c r="E8406" s="326"/>
      <c r="F8406" s="326"/>
      <c r="G8406" s="326"/>
      <c r="H8406" s="326"/>
      <c r="P8406" s="318"/>
      <c r="Q8406" s="318"/>
      <c r="R8406" s="318"/>
      <c r="S8406" s="318"/>
      <c r="T8406" s="318"/>
      <c r="U8406" s="318"/>
      <c r="V8406" s="318"/>
      <c r="W8406" s="318"/>
      <c r="X8406" s="318"/>
      <c r="Y8406" s="318"/>
      <c r="Z8406" s="318"/>
      <c r="AA8406" s="318"/>
      <c r="AB8406" s="318"/>
      <c r="AC8406" s="318"/>
      <c r="AD8406" s="318"/>
    </row>
    <row r="8407" spans="2:30" s="323" customFormat="1" ht="12" customHeight="1">
      <c r="B8407" s="324"/>
      <c r="C8407" s="325"/>
      <c r="D8407" s="326"/>
      <c r="E8407" s="326"/>
      <c r="F8407" s="326"/>
      <c r="G8407" s="326"/>
      <c r="H8407" s="326"/>
      <c r="P8407" s="318"/>
      <c r="Q8407" s="318"/>
      <c r="R8407" s="318"/>
      <c r="S8407" s="318"/>
      <c r="T8407" s="318"/>
      <c r="U8407" s="318"/>
      <c r="V8407" s="318"/>
      <c r="W8407" s="318"/>
      <c r="X8407" s="318"/>
      <c r="Y8407" s="318"/>
      <c r="Z8407" s="318"/>
      <c r="AA8407" s="318"/>
      <c r="AB8407" s="318"/>
      <c r="AC8407" s="318"/>
      <c r="AD8407" s="318"/>
    </row>
    <row r="8408" spans="2:30" s="323" customFormat="1" ht="12" customHeight="1">
      <c r="B8408" s="324"/>
      <c r="C8408" s="325"/>
      <c r="D8408" s="326"/>
      <c r="E8408" s="326"/>
      <c r="F8408" s="326"/>
      <c r="G8408" s="326"/>
      <c r="H8408" s="326"/>
      <c r="P8408" s="318"/>
      <c r="Q8408" s="318"/>
      <c r="R8408" s="318"/>
      <c r="S8408" s="318"/>
      <c r="T8408" s="318"/>
      <c r="U8408" s="318"/>
      <c r="V8408" s="318"/>
      <c r="W8408" s="318"/>
      <c r="X8408" s="318"/>
      <c r="Y8408" s="318"/>
      <c r="Z8408" s="318"/>
      <c r="AA8408" s="318"/>
      <c r="AB8408" s="318"/>
      <c r="AC8408" s="318"/>
      <c r="AD8408" s="318"/>
    </row>
    <row r="8409" spans="2:30" s="323" customFormat="1" ht="12" customHeight="1">
      <c r="B8409" s="324"/>
      <c r="C8409" s="325"/>
      <c r="D8409" s="326"/>
      <c r="E8409" s="326"/>
      <c r="F8409" s="326"/>
      <c r="G8409" s="326"/>
      <c r="H8409" s="326"/>
      <c r="P8409" s="318"/>
      <c r="Q8409" s="318"/>
      <c r="R8409" s="318"/>
      <c r="S8409" s="318"/>
      <c r="T8409" s="318"/>
      <c r="U8409" s="318"/>
      <c r="V8409" s="318"/>
      <c r="W8409" s="318"/>
      <c r="X8409" s="318"/>
      <c r="Y8409" s="318"/>
      <c r="Z8409" s="318"/>
      <c r="AA8409" s="318"/>
      <c r="AB8409" s="318"/>
      <c r="AC8409" s="318"/>
      <c r="AD8409" s="318"/>
    </row>
    <row r="8410" spans="2:30" s="323" customFormat="1" ht="12" customHeight="1">
      <c r="B8410" s="324"/>
      <c r="C8410" s="325"/>
      <c r="D8410" s="326"/>
      <c r="E8410" s="326"/>
      <c r="F8410" s="326"/>
      <c r="G8410" s="326"/>
      <c r="H8410" s="326"/>
      <c r="P8410" s="318"/>
      <c r="Q8410" s="318"/>
      <c r="R8410" s="318"/>
      <c r="S8410" s="318"/>
      <c r="T8410" s="318"/>
      <c r="U8410" s="318"/>
      <c r="V8410" s="318"/>
      <c r="W8410" s="318"/>
      <c r="X8410" s="318"/>
      <c r="Y8410" s="318"/>
      <c r="Z8410" s="318"/>
      <c r="AA8410" s="318"/>
      <c r="AB8410" s="318"/>
      <c r="AC8410" s="318"/>
      <c r="AD8410" s="318"/>
    </row>
    <row r="8411" spans="2:30" s="323" customFormat="1" ht="12" customHeight="1">
      <c r="B8411" s="324"/>
      <c r="C8411" s="325"/>
      <c r="D8411" s="326"/>
      <c r="E8411" s="326"/>
      <c r="F8411" s="326"/>
      <c r="G8411" s="326"/>
      <c r="H8411" s="326"/>
      <c r="P8411" s="318"/>
      <c r="Q8411" s="318"/>
      <c r="R8411" s="318"/>
      <c r="S8411" s="318"/>
      <c r="T8411" s="318"/>
      <c r="U8411" s="318"/>
      <c r="V8411" s="318"/>
      <c r="W8411" s="318"/>
      <c r="X8411" s="318"/>
      <c r="Y8411" s="318"/>
      <c r="Z8411" s="318"/>
      <c r="AA8411" s="318"/>
      <c r="AB8411" s="318"/>
      <c r="AC8411" s="318"/>
      <c r="AD8411" s="318"/>
    </row>
    <row r="8412" spans="2:30" s="323" customFormat="1" ht="12" customHeight="1">
      <c r="B8412" s="324"/>
      <c r="C8412" s="325"/>
      <c r="D8412" s="326"/>
      <c r="E8412" s="326"/>
      <c r="F8412" s="326"/>
      <c r="G8412" s="326"/>
      <c r="H8412" s="326"/>
      <c r="P8412" s="318"/>
      <c r="Q8412" s="318"/>
      <c r="R8412" s="318"/>
      <c r="S8412" s="318"/>
      <c r="T8412" s="318"/>
      <c r="U8412" s="318"/>
      <c r="V8412" s="318"/>
      <c r="W8412" s="318"/>
      <c r="X8412" s="318"/>
      <c r="Y8412" s="318"/>
      <c r="Z8412" s="318"/>
      <c r="AA8412" s="318"/>
      <c r="AB8412" s="318"/>
      <c r="AC8412" s="318"/>
      <c r="AD8412" s="318"/>
    </row>
    <row r="8413" spans="2:30" s="323" customFormat="1" ht="12" customHeight="1">
      <c r="B8413" s="324"/>
      <c r="C8413" s="325"/>
      <c r="D8413" s="326"/>
      <c r="E8413" s="326"/>
      <c r="F8413" s="326"/>
      <c r="G8413" s="326"/>
      <c r="H8413" s="326"/>
      <c r="P8413" s="318"/>
      <c r="Q8413" s="318"/>
      <c r="R8413" s="318"/>
      <c r="S8413" s="318"/>
      <c r="T8413" s="318"/>
      <c r="U8413" s="318"/>
      <c r="V8413" s="318"/>
      <c r="W8413" s="318"/>
      <c r="X8413" s="318"/>
      <c r="Y8413" s="318"/>
      <c r="Z8413" s="318"/>
      <c r="AA8413" s="318"/>
      <c r="AB8413" s="318"/>
      <c r="AC8413" s="318"/>
      <c r="AD8413" s="318"/>
    </row>
    <row r="8414" spans="2:30" s="323" customFormat="1" ht="12" customHeight="1">
      <c r="B8414" s="324"/>
      <c r="C8414" s="325"/>
      <c r="D8414" s="326"/>
      <c r="E8414" s="326"/>
      <c r="F8414" s="326"/>
      <c r="G8414" s="326"/>
      <c r="H8414" s="326"/>
      <c r="P8414" s="318"/>
      <c r="Q8414" s="318"/>
      <c r="R8414" s="318"/>
      <c r="S8414" s="318"/>
      <c r="T8414" s="318"/>
      <c r="U8414" s="318"/>
      <c r="V8414" s="318"/>
      <c r="W8414" s="318"/>
      <c r="X8414" s="318"/>
      <c r="Y8414" s="318"/>
      <c r="Z8414" s="318"/>
      <c r="AA8414" s="318"/>
      <c r="AB8414" s="318"/>
      <c r="AC8414" s="318"/>
      <c r="AD8414" s="318"/>
    </row>
    <row r="8415" spans="2:30" s="323" customFormat="1" ht="12" customHeight="1">
      <c r="B8415" s="324"/>
      <c r="C8415" s="325"/>
      <c r="D8415" s="326"/>
      <c r="E8415" s="326"/>
      <c r="F8415" s="326"/>
      <c r="G8415" s="326"/>
      <c r="H8415" s="326"/>
      <c r="P8415" s="318"/>
      <c r="Q8415" s="318"/>
      <c r="R8415" s="318"/>
      <c r="S8415" s="318"/>
      <c r="T8415" s="318"/>
      <c r="U8415" s="318"/>
      <c r="V8415" s="318"/>
      <c r="W8415" s="318"/>
      <c r="X8415" s="318"/>
      <c r="Y8415" s="318"/>
      <c r="Z8415" s="318"/>
      <c r="AA8415" s="318"/>
      <c r="AB8415" s="318"/>
      <c r="AC8415" s="318"/>
      <c r="AD8415" s="318"/>
    </row>
    <row r="8416" spans="2:30" s="323" customFormat="1" ht="12" customHeight="1">
      <c r="B8416" s="324"/>
      <c r="C8416" s="325"/>
      <c r="D8416" s="326"/>
      <c r="E8416" s="326"/>
      <c r="F8416" s="326"/>
      <c r="G8416" s="326"/>
      <c r="H8416" s="326"/>
      <c r="P8416" s="318"/>
      <c r="Q8416" s="318"/>
      <c r="R8416" s="318"/>
      <c r="S8416" s="318"/>
      <c r="T8416" s="318"/>
      <c r="U8416" s="318"/>
      <c r="V8416" s="318"/>
      <c r="W8416" s="318"/>
      <c r="X8416" s="318"/>
      <c r="Y8416" s="318"/>
      <c r="Z8416" s="318"/>
      <c r="AA8416" s="318"/>
      <c r="AB8416" s="318"/>
      <c r="AC8416" s="318"/>
      <c r="AD8416" s="318"/>
    </row>
    <row r="8417" spans="2:30" s="323" customFormat="1" ht="12" customHeight="1">
      <c r="B8417" s="324"/>
      <c r="C8417" s="325"/>
      <c r="D8417" s="326"/>
      <c r="E8417" s="326"/>
      <c r="F8417" s="326"/>
      <c r="G8417" s="326"/>
      <c r="H8417" s="326"/>
      <c r="P8417" s="318"/>
      <c r="Q8417" s="318"/>
      <c r="R8417" s="318"/>
      <c r="S8417" s="318"/>
      <c r="T8417" s="318"/>
      <c r="U8417" s="318"/>
      <c r="V8417" s="318"/>
      <c r="W8417" s="318"/>
      <c r="X8417" s="318"/>
      <c r="Y8417" s="318"/>
      <c r="Z8417" s="318"/>
      <c r="AA8417" s="318"/>
      <c r="AB8417" s="318"/>
      <c r="AC8417" s="318"/>
      <c r="AD8417" s="318"/>
    </row>
    <row r="8418" spans="2:30" s="323" customFormat="1" ht="12" customHeight="1">
      <c r="B8418" s="324"/>
      <c r="C8418" s="325"/>
      <c r="D8418" s="326"/>
      <c r="E8418" s="326"/>
      <c r="F8418" s="326"/>
      <c r="G8418" s="326"/>
      <c r="H8418" s="326"/>
      <c r="P8418" s="318"/>
      <c r="Q8418" s="318"/>
      <c r="R8418" s="318"/>
      <c r="S8418" s="318"/>
      <c r="T8418" s="318"/>
      <c r="U8418" s="318"/>
      <c r="V8418" s="318"/>
      <c r="W8418" s="318"/>
      <c r="X8418" s="318"/>
      <c r="Y8418" s="318"/>
      <c r="Z8418" s="318"/>
      <c r="AA8418" s="318"/>
      <c r="AB8418" s="318"/>
      <c r="AC8418" s="318"/>
      <c r="AD8418" s="318"/>
    </row>
    <row r="8419" spans="2:30" s="323" customFormat="1" ht="12" customHeight="1">
      <c r="B8419" s="324"/>
      <c r="C8419" s="325"/>
      <c r="D8419" s="326"/>
      <c r="E8419" s="326"/>
      <c r="F8419" s="326"/>
      <c r="G8419" s="326"/>
      <c r="H8419" s="326"/>
      <c r="P8419" s="318"/>
      <c r="Q8419" s="318"/>
      <c r="R8419" s="318"/>
      <c r="S8419" s="318"/>
      <c r="T8419" s="318"/>
      <c r="U8419" s="318"/>
      <c r="V8419" s="318"/>
      <c r="W8419" s="318"/>
      <c r="X8419" s="318"/>
      <c r="Y8419" s="318"/>
      <c r="Z8419" s="318"/>
      <c r="AA8419" s="318"/>
      <c r="AB8419" s="318"/>
      <c r="AC8419" s="318"/>
      <c r="AD8419" s="318"/>
    </row>
    <row r="8420" spans="2:30" s="323" customFormat="1" ht="12" customHeight="1">
      <c r="B8420" s="324"/>
      <c r="C8420" s="325"/>
      <c r="D8420" s="326"/>
      <c r="E8420" s="326"/>
      <c r="F8420" s="326"/>
      <c r="G8420" s="326"/>
      <c r="H8420" s="326"/>
      <c r="P8420" s="318"/>
      <c r="Q8420" s="318"/>
      <c r="R8420" s="318"/>
      <c r="S8420" s="318"/>
      <c r="T8420" s="318"/>
      <c r="U8420" s="318"/>
      <c r="V8420" s="318"/>
      <c r="W8420" s="318"/>
      <c r="X8420" s="318"/>
      <c r="Y8420" s="318"/>
      <c r="Z8420" s="318"/>
      <c r="AA8420" s="318"/>
      <c r="AB8420" s="318"/>
      <c r="AC8420" s="318"/>
      <c r="AD8420" s="318"/>
    </row>
    <row r="8421" spans="2:30" s="323" customFormat="1" ht="12" customHeight="1">
      <c r="B8421" s="324"/>
      <c r="C8421" s="325"/>
      <c r="D8421" s="326"/>
      <c r="E8421" s="326"/>
      <c r="F8421" s="326"/>
      <c r="G8421" s="326"/>
      <c r="H8421" s="326"/>
      <c r="P8421" s="318"/>
      <c r="Q8421" s="318"/>
      <c r="R8421" s="318"/>
      <c r="S8421" s="318"/>
      <c r="T8421" s="318"/>
      <c r="U8421" s="318"/>
      <c r="V8421" s="318"/>
      <c r="W8421" s="318"/>
      <c r="X8421" s="318"/>
      <c r="Y8421" s="318"/>
      <c r="Z8421" s="318"/>
      <c r="AA8421" s="318"/>
      <c r="AB8421" s="318"/>
      <c r="AC8421" s="318"/>
      <c r="AD8421" s="318"/>
    </row>
    <row r="8422" spans="2:30" s="323" customFormat="1" ht="12" customHeight="1">
      <c r="B8422" s="324"/>
      <c r="C8422" s="325"/>
      <c r="D8422" s="326"/>
      <c r="E8422" s="326"/>
      <c r="F8422" s="326"/>
      <c r="G8422" s="326"/>
      <c r="H8422" s="326"/>
      <c r="P8422" s="318"/>
      <c r="Q8422" s="318"/>
      <c r="R8422" s="318"/>
      <c r="S8422" s="318"/>
      <c r="T8422" s="318"/>
      <c r="U8422" s="318"/>
      <c r="V8422" s="318"/>
      <c r="W8422" s="318"/>
      <c r="X8422" s="318"/>
      <c r="Y8422" s="318"/>
      <c r="Z8422" s="318"/>
      <c r="AA8422" s="318"/>
      <c r="AB8422" s="318"/>
      <c r="AC8422" s="318"/>
      <c r="AD8422" s="318"/>
    </row>
    <row r="8423" spans="2:30" s="323" customFormat="1" ht="12" customHeight="1">
      <c r="B8423" s="324"/>
      <c r="C8423" s="325"/>
      <c r="D8423" s="326"/>
      <c r="E8423" s="326"/>
      <c r="F8423" s="326"/>
      <c r="G8423" s="326"/>
      <c r="H8423" s="326"/>
      <c r="P8423" s="318"/>
      <c r="Q8423" s="318"/>
      <c r="R8423" s="318"/>
      <c r="S8423" s="318"/>
      <c r="T8423" s="318"/>
      <c r="U8423" s="318"/>
      <c r="V8423" s="318"/>
      <c r="W8423" s="318"/>
      <c r="X8423" s="318"/>
      <c r="Y8423" s="318"/>
      <c r="Z8423" s="318"/>
      <c r="AA8423" s="318"/>
      <c r="AB8423" s="318"/>
      <c r="AC8423" s="318"/>
      <c r="AD8423" s="318"/>
    </row>
    <row r="8424" spans="2:30" s="323" customFormat="1" ht="12" customHeight="1">
      <c r="B8424" s="324"/>
      <c r="C8424" s="325"/>
      <c r="D8424" s="326"/>
      <c r="E8424" s="326"/>
      <c r="F8424" s="326"/>
      <c r="G8424" s="326"/>
      <c r="H8424" s="326"/>
      <c r="P8424" s="318"/>
      <c r="Q8424" s="318"/>
      <c r="R8424" s="318"/>
      <c r="S8424" s="318"/>
      <c r="T8424" s="318"/>
      <c r="U8424" s="318"/>
      <c r="V8424" s="318"/>
      <c r="W8424" s="318"/>
      <c r="X8424" s="318"/>
      <c r="Y8424" s="318"/>
      <c r="Z8424" s="318"/>
      <c r="AA8424" s="318"/>
      <c r="AB8424" s="318"/>
      <c r="AC8424" s="318"/>
      <c r="AD8424" s="318"/>
    </row>
    <row r="8425" spans="2:30" s="323" customFormat="1" ht="12" customHeight="1">
      <c r="B8425" s="324"/>
      <c r="C8425" s="325"/>
      <c r="D8425" s="326"/>
      <c r="E8425" s="326"/>
      <c r="F8425" s="326"/>
      <c r="G8425" s="326"/>
      <c r="H8425" s="326"/>
      <c r="P8425" s="318"/>
      <c r="Q8425" s="318"/>
      <c r="R8425" s="318"/>
      <c r="S8425" s="318"/>
      <c r="T8425" s="318"/>
      <c r="U8425" s="318"/>
      <c r="V8425" s="318"/>
      <c r="W8425" s="318"/>
      <c r="X8425" s="318"/>
      <c r="Y8425" s="318"/>
      <c r="Z8425" s="318"/>
      <c r="AA8425" s="318"/>
      <c r="AB8425" s="318"/>
      <c r="AC8425" s="318"/>
      <c r="AD8425" s="318"/>
    </row>
    <row r="8426" spans="2:30" s="323" customFormat="1" ht="12" customHeight="1">
      <c r="B8426" s="324"/>
      <c r="C8426" s="325"/>
      <c r="D8426" s="326"/>
      <c r="E8426" s="326"/>
      <c r="F8426" s="326"/>
      <c r="G8426" s="326"/>
      <c r="H8426" s="326"/>
      <c r="P8426" s="318"/>
      <c r="Q8426" s="318"/>
      <c r="R8426" s="318"/>
      <c r="S8426" s="318"/>
      <c r="T8426" s="318"/>
      <c r="U8426" s="318"/>
      <c r="V8426" s="318"/>
      <c r="W8426" s="318"/>
      <c r="X8426" s="318"/>
      <c r="Y8426" s="318"/>
      <c r="Z8426" s="318"/>
      <c r="AA8426" s="318"/>
      <c r="AB8426" s="318"/>
      <c r="AC8426" s="318"/>
      <c r="AD8426" s="318"/>
    </row>
    <row r="8427" spans="2:30" s="323" customFormat="1" ht="12" customHeight="1">
      <c r="B8427" s="324"/>
      <c r="C8427" s="325"/>
      <c r="D8427" s="326"/>
      <c r="E8427" s="326"/>
      <c r="F8427" s="326"/>
      <c r="G8427" s="326"/>
      <c r="H8427" s="326"/>
      <c r="P8427" s="318"/>
      <c r="Q8427" s="318"/>
      <c r="R8427" s="318"/>
      <c r="S8427" s="318"/>
      <c r="T8427" s="318"/>
      <c r="U8427" s="318"/>
      <c r="V8427" s="318"/>
      <c r="W8427" s="318"/>
      <c r="X8427" s="318"/>
      <c r="Y8427" s="318"/>
      <c r="Z8427" s="318"/>
      <c r="AA8427" s="318"/>
      <c r="AB8427" s="318"/>
      <c r="AC8427" s="318"/>
      <c r="AD8427" s="318"/>
    </row>
    <row r="8428" spans="2:30" s="323" customFormat="1" ht="12" customHeight="1">
      <c r="B8428" s="324"/>
      <c r="C8428" s="325"/>
      <c r="D8428" s="326"/>
      <c r="E8428" s="326"/>
      <c r="F8428" s="326"/>
      <c r="G8428" s="326"/>
      <c r="H8428" s="326"/>
      <c r="P8428" s="318"/>
      <c r="Q8428" s="318"/>
      <c r="R8428" s="318"/>
      <c r="S8428" s="318"/>
      <c r="T8428" s="318"/>
      <c r="U8428" s="318"/>
      <c r="V8428" s="318"/>
      <c r="W8428" s="318"/>
      <c r="X8428" s="318"/>
      <c r="Y8428" s="318"/>
      <c r="Z8428" s="318"/>
      <c r="AA8428" s="318"/>
      <c r="AB8428" s="318"/>
      <c r="AC8428" s="318"/>
      <c r="AD8428" s="318"/>
    </row>
    <row r="8429" spans="2:30" s="323" customFormat="1" ht="12" customHeight="1">
      <c r="B8429" s="324"/>
      <c r="C8429" s="325"/>
      <c r="D8429" s="326"/>
      <c r="E8429" s="326"/>
      <c r="F8429" s="326"/>
      <c r="G8429" s="326"/>
      <c r="H8429" s="326"/>
      <c r="P8429" s="318"/>
      <c r="Q8429" s="318"/>
      <c r="R8429" s="318"/>
      <c r="S8429" s="318"/>
      <c r="T8429" s="318"/>
      <c r="U8429" s="318"/>
      <c r="V8429" s="318"/>
      <c r="W8429" s="318"/>
      <c r="X8429" s="318"/>
      <c r="Y8429" s="318"/>
      <c r="Z8429" s="318"/>
      <c r="AA8429" s="318"/>
      <c r="AB8429" s="318"/>
      <c r="AC8429" s="318"/>
      <c r="AD8429" s="318"/>
    </row>
    <row r="8430" spans="2:30" s="323" customFormat="1" ht="12" customHeight="1">
      <c r="B8430" s="324"/>
      <c r="C8430" s="325"/>
      <c r="D8430" s="326"/>
      <c r="E8430" s="326"/>
      <c r="F8430" s="326"/>
      <c r="G8430" s="326"/>
      <c r="H8430" s="326"/>
      <c r="P8430" s="318"/>
      <c r="Q8430" s="318"/>
      <c r="R8430" s="318"/>
      <c r="S8430" s="318"/>
      <c r="T8430" s="318"/>
      <c r="U8430" s="318"/>
      <c r="V8430" s="318"/>
      <c r="W8430" s="318"/>
      <c r="X8430" s="318"/>
      <c r="Y8430" s="318"/>
      <c r="Z8430" s="318"/>
      <c r="AA8430" s="318"/>
      <c r="AB8430" s="318"/>
      <c r="AC8430" s="318"/>
      <c r="AD8430" s="318"/>
    </row>
    <row r="8431" spans="2:30" s="323" customFormat="1" ht="12" customHeight="1">
      <c r="B8431" s="324"/>
      <c r="C8431" s="325"/>
      <c r="D8431" s="326"/>
      <c r="E8431" s="326"/>
      <c r="F8431" s="326"/>
      <c r="G8431" s="326"/>
      <c r="H8431" s="326"/>
      <c r="P8431" s="318"/>
      <c r="Q8431" s="318"/>
      <c r="R8431" s="318"/>
      <c r="S8431" s="318"/>
      <c r="T8431" s="318"/>
      <c r="U8431" s="318"/>
      <c r="V8431" s="318"/>
      <c r="W8431" s="318"/>
      <c r="X8431" s="318"/>
      <c r="Y8431" s="318"/>
      <c r="Z8431" s="318"/>
      <c r="AA8431" s="318"/>
      <c r="AB8431" s="318"/>
      <c r="AC8431" s="318"/>
      <c r="AD8431" s="318"/>
    </row>
    <row r="8432" spans="2:30" s="323" customFormat="1" ht="12" customHeight="1">
      <c r="B8432" s="324"/>
      <c r="C8432" s="325"/>
      <c r="D8432" s="326"/>
      <c r="E8432" s="326"/>
      <c r="F8432" s="326"/>
      <c r="G8432" s="326"/>
      <c r="H8432" s="326"/>
      <c r="P8432" s="318"/>
      <c r="Q8432" s="318"/>
      <c r="R8432" s="318"/>
      <c r="S8432" s="318"/>
      <c r="T8432" s="318"/>
      <c r="U8432" s="318"/>
      <c r="V8432" s="318"/>
      <c r="W8432" s="318"/>
      <c r="X8432" s="318"/>
      <c r="Y8432" s="318"/>
      <c r="Z8432" s="318"/>
      <c r="AA8432" s="318"/>
      <c r="AB8432" s="318"/>
      <c r="AC8432" s="318"/>
      <c r="AD8432" s="318"/>
    </row>
    <row r="8433" spans="2:30" s="323" customFormat="1" ht="12" customHeight="1">
      <c r="B8433" s="324"/>
      <c r="C8433" s="325"/>
      <c r="D8433" s="326"/>
      <c r="E8433" s="326"/>
      <c r="F8433" s="326"/>
      <c r="G8433" s="326"/>
      <c r="H8433" s="326"/>
      <c r="P8433" s="318"/>
      <c r="Q8433" s="318"/>
      <c r="R8433" s="318"/>
      <c r="S8433" s="318"/>
      <c r="T8433" s="318"/>
      <c r="U8433" s="318"/>
      <c r="V8433" s="318"/>
      <c r="W8433" s="318"/>
      <c r="X8433" s="318"/>
      <c r="Y8433" s="318"/>
      <c r="Z8433" s="318"/>
      <c r="AA8433" s="318"/>
      <c r="AB8433" s="318"/>
      <c r="AC8433" s="318"/>
      <c r="AD8433" s="318"/>
    </row>
    <row r="8434" spans="2:30" s="323" customFormat="1" ht="12" customHeight="1">
      <c r="B8434" s="324"/>
      <c r="C8434" s="325"/>
      <c r="D8434" s="326"/>
      <c r="E8434" s="326"/>
      <c r="F8434" s="326"/>
      <c r="G8434" s="326"/>
      <c r="H8434" s="326"/>
      <c r="P8434" s="318"/>
      <c r="Q8434" s="318"/>
      <c r="R8434" s="318"/>
      <c r="S8434" s="318"/>
      <c r="T8434" s="318"/>
      <c r="U8434" s="318"/>
      <c r="V8434" s="318"/>
      <c r="W8434" s="318"/>
      <c r="X8434" s="318"/>
      <c r="Y8434" s="318"/>
      <c r="Z8434" s="318"/>
      <c r="AA8434" s="318"/>
      <c r="AB8434" s="318"/>
      <c r="AC8434" s="318"/>
      <c r="AD8434" s="318"/>
    </row>
    <row r="8435" spans="2:30" s="323" customFormat="1" ht="12" customHeight="1">
      <c r="B8435" s="324"/>
      <c r="C8435" s="325"/>
      <c r="D8435" s="326"/>
      <c r="E8435" s="326"/>
      <c r="F8435" s="326"/>
      <c r="G8435" s="326"/>
      <c r="H8435" s="326"/>
      <c r="P8435" s="318"/>
      <c r="Q8435" s="318"/>
      <c r="R8435" s="318"/>
      <c r="S8435" s="318"/>
      <c r="T8435" s="318"/>
      <c r="U8435" s="318"/>
      <c r="V8435" s="318"/>
      <c r="W8435" s="318"/>
      <c r="X8435" s="318"/>
      <c r="Y8435" s="318"/>
      <c r="Z8435" s="318"/>
      <c r="AA8435" s="318"/>
      <c r="AB8435" s="318"/>
      <c r="AC8435" s="318"/>
      <c r="AD8435" s="318"/>
    </row>
    <row r="8436" spans="2:30" s="323" customFormat="1" ht="12" customHeight="1">
      <c r="B8436" s="324"/>
      <c r="C8436" s="325"/>
      <c r="D8436" s="326"/>
      <c r="E8436" s="326"/>
      <c r="F8436" s="326"/>
      <c r="G8436" s="326"/>
      <c r="H8436" s="326"/>
      <c r="P8436" s="318"/>
      <c r="Q8436" s="318"/>
      <c r="R8436" s="318"/>
      <c r="S8436" s="318"/>
      <c r="T8436" s="318"/>
      <c r="U8436" s="318"/>
      <c r="V8436" s="318"/>
      <c r="W8436" s="318"/>
      <c r="X8436" s="318"/>
      <c r="Y8436" s="318"/>
      <c r="Z8436" s="318"/>
      <c r="AA8436" s="318"/>
      <c r="AB8436" s="318"/>
      <c r="AC8436" s="318"/>
      <c r="AD8436" s="318"/>
    </row>
    <row r="8437" spans="2:30" s="323" customFormat="1" ht="12" customHeight="1">
      <c r="B8437" s="324"/>
      <c r="C8437" s="325"/>
      <c r="D8437" s="326"/>
      <c r="E8437" s="326"/>
      <c r="F8437" s="326"/>
      <c r="G8437" s="326"/>
      <c r="H8437" s="326"/>
      <c r="P8437" s="318"/>
      <c r="Q8437" s="318"/>
      <c r="R8437" s="318"/>
      <c r="S8437" s="318"/>
      <c r="T8437" s="318"/>
      <c r="U8437" s="318"/>
      <c r="V8437" s="318"/>
      <c r="W8437" s="318"/>
      <c r="X8437" s="318"/>
      <c r="Y8437" s="318"/>
      <c r="Z8437" s="318"/>
      <c r="AA8437" s="318"/>
      <c r="AB8437" s="318"/>
      <c r="AC8437" s="318"/>
      <c r="AD8437" s="318"/>
    </row>
    <row r="8438" spans="2:30" s="323" customFormat="1" ht="12" customHeight="1">
      <c r="B8438" s="324"/>
      <c r="C8438" s="325"/>
      <c r="D8438" s="326"/>
      <c r="E8438" s="326"/>
      <c r="F8438" s="326"/>
      <c r="G8438" s="326"/>
      <c r="H8438" s="326"/>
      <c r="P8438" s="318"/>
      <c r="Q8438" s="318"/>
      <c r="R8438" s="318"/>
      <c r="S8438" s="318"/>
      <c r="T8438" s="318"/>
      <c r="U8438" s="318"/>
      <c r="V8438" s="318"/>
      <c r="W8438" s="318"/>
      <c r="X8438" s="318"/>
      <c r="Y8438" s="318"/>
      <c r="Z8438" s="318"/>
      <c r="AA8438" s="318"/>
      <c r="AB8438" s="318"/>
      <c r="AC8438" s="318"/>
      <c r="AD8438" s="318"/>
    </row>
    <row r="8439" spans="2:30" s="323" customFormat="1" ht="12" customHeight="1">
      <c r="B8439" s="324"/>
      <c r="C8439" s="325"/>
      <c r="D8439" s="326"/>
      <c r="E8439" s="326"/>
      <c r="F8439" s="326"/>
      <c r="G8439" s="326"/>
      <c r="H8439" s="326"/>
      <c r="P8439" s="318"/>
      <c r="Q8439" s="318"/>
      <c r="R8439" s="318"/>
      <c r="S8439" s="318"/>
      <c r="T8439" s="318"/>
      <c r="U8439" s="318"/>
      <c r="V8439" s="318"/>
      <c r="W8439" s="318"/>
      <c r="X8439" s="318"/>
      <c r="Y8439" s="318"/>
      <c r="Z8439" s="318"/>
      <c r="AA8439" s="318"/>
      <c r="AB8439" s="318"/>
      <c r="AC8439" s="318"/>
      <c r="AD8439" s="318"/>
    </row>
    <row r="8440" spans="2:30" s="323" customFormat="1" ht="12" customHeight="1">
      <c r="B8440" s="324"/>
      <c r="C8440" s="325"/>
      <c r="D8440" s="326"/>
      <c r="E8440" s="326"/>
      <c r="F8440" s="326"/>
      <c r="G8440" s="326"/>
      <c r="H8440" s="326"/>
      <c r="P8440" s="318"/>
      <c r="Q8440" s="318"/>
      <c r="R8440" s="318"/>
      <c r="S8440" s="318"/>
      <c r="T8440" s="318"/>
      <c r="U8440" s="318"/>
      <c r="V8440" s="318"/>
      <c r="W8440" s="318"/>
      <c r="X8440" s="318"/>
      <c r="Y8440" s="318"/>
      <c r="Z8440" s="318"/>
      <c r="AA8440" s="318"/>
      <c r="AB8440" s="318"/>
      <c r="AC8440" s="318"/>
      <c r="AD8440" s="318"/>
    </row>
    <row r="8441" spans="2:30" s="323" customFormat="1" ht="12" customHeight="1">
      <c r="B8441" s="324"/>
      <c r="C8441" s="325"/>
      <c r="D8441" s="326"/>
      <c r="E8441" s="326"/>
      <c r="F8441" s="326"/>
      <c r="G8441" s="326"/>
      <c r="H8441" s="326"/>
      <c r="P8441" s="318"/>
      <c r="Q8441" s="318"/>
      <c r="R8441" s="318"/>
      <c r="S8441" s="318"/>
      <c r="T8441" s="318"/>
      <c r="U8441" s="318"/>
      <c r="V8441" s="318"/>
      <c r="W8441" s="318"/>
      <c r="X8441" s="318"/>
      <c r="Y8441" s="318"/>
      <c r="Z8441" s="318"/>
      <c r="AA8441" s="318"/>
      <c r="AB8441" s="318"/>
      <c r="AC8441" s="318"/>
      <c r="AD8441" s="318"/>
    </row>
    <row r="8442" spans="2:30" s="323" customFormat="1" ht="12" customHeight="1">
      <c r="B8442" s="324"/>
      <c r="C8442" s="325"/>
      <c r="D8442" s="326"/>
      <c r="E8442" s="326"/>
      <c r="F8442" s="326"/>
      <c r="G8442" s="326"/>
      <c r="H8442" s="326"/>
      <c r="P8442" s="318"/>
      <c r="Q8442" s="318"/>
      <c r="R8442" s="318"/>
      <c r="S8442" s="318"/>
      <c r="T8442" s="318"/>
      <c r="U8442" s="318"/>
      <c r="V8442" s="318"/>
      <c r="W8442" s="318"/>
      <c r="X8442" s="318"/>
      <c r="Y8442" s="318"/>
      <c r="Z8442" s="318"/>
      <c r="AA8442" s="318"/>
      <c r="AB8442" s="318"/>
      <c r="AC8442" s="318"/>
      <c r="AD8442" s="318"/>
    </row>
    <row r="8443" spans="2:30" s="323" customFormat="1" ht="12" customHeight="1">
      <c r="B8443" s="324"/>
      <c r="C8443" s="325"/>
      <c r="D8443" s="326"/>
      <c r="E8443" s="326"/>
      <c r="F8443" s="326"/>
      <c r="G8443" s="326"/>
      <c r="H8443" s="326"/>
      <c r="P8443" s="318"/>
      <c r="Q8443" s="318"/>
      <c r="R8443" s="318"/>
      <c r="S8443" s="318"/>
      <c r="T8443" s="318"/>
      <c r="U8443" s="318"/>
      <c r="V8443" s="318"/>
      <c r="W8443" s="318"/>
      <c r="X8443" s="318"/>
      <c r="Y8443" s="318"/>
      <c r="Z8443" s="318"/>
      <c r="AA8443" s="318"/>
      <c r="AB8443" s="318"/>
      <c r="AC8443" s="318"/>
      <c r="AD8443" s="318"/>
    </row>
    <row r="8444" spans="2:30" s="323" customFormat="1" ht="12" customHeight="1">
      <c r="B8444" s="324"/>
      <c r="C8444" s="325"/>
      <c r="D8444" s="326"/>
      <c r="E8444" s="326"/>
      <c r="F8444" s="326"/>
      <c r="G8444" s="326"/>
      <c r="H8444" s="326"/>
      <c r="P8444" s="318"/>
      <c r="Q8444" s="318"/>
      <c r="R8444" s="318"/>
      <c r="S8444" s="318"/>
      <c r="T8444" s="318"/>
      <c r="U8444" s="318"/>
      <c r="V8444" s="318"/>
      <c r="W8444" s="318"/>
      <c r="X8444" s="318"/>
      <c r="Y8444" s="318"/>
      <c r="Z8444" s="318"/>
      <c r="AA8444" s="318"/>
      <c r="AB8444" s="318"/>
      <c r="AC8444" s="318"/>
      <c r="AD8444" s="318"/>
    </row>
    <row r="8445" spans="2:30" s="323" customFormat="1" ht="12" customHeight="1">
      <c r="B8445" s="324"/>
      <c r="C8445" s="325"/>
      <c r="D8445" s="326"/>
      <c r="E8445" s="326"/>
      <c r="F8445" s="326"/>
      <c r="G8445" s="326"/>
      <c r="H8445" s="326"/>
      <c r="P8445" s="318"/>
      <c r="Q8445" s="318"/>
      <c r="R8445" s="318"/>
      <c r="S8445" s="318"/>
      <c r="T8445" s="318"/>
      <c r="U8445" s="318"/>
      <c r="V8445" s="318"/>
      <c r="W8445" s="318"/>
      <c r="X8445" s="318"/>
      <c r="Y8445" s="318"/>
      <c r="Z8445" s="318"/>
      <c r="AA8445" s="318"/>
      <c r="AB8445" s="318"/>
      <c r="AC8445" s="318"/>
      <c r="AD8445" s="318"/>
    </row>
    <row r="8446" spans="2:30" s="323" customFormat="1" ht="12" customHeight="1">
      <c r="B8446" s="324"/>
      <c r="C8446" s="325"/>
      <c r="D8446" s="326"/>
      <c r="E8446" s="326"/>
      <c r="F8446" s="326"/>
      <c r="G8446" s="326"/>
      <c r="H8446" s="326"/>
      <c r="P8446" s="318"/>
      <c r="Q8446" s="318"/>
      <c r="R8446" s="318"/>
      <c r="S8446" s="318"/>
      <c r="T8446" s="318"/>
      <c r="U8446" s="318"/>
      <c r="V8446" s="318"/>
      <c r="W8446" s="318"/>
      <c r="X8446" s="318"/>
      <c r="Y8446" s="318"/>
      <c r="Z8446" s="318"/>
      <c r="AA8446" s="318"/>
      <c r="AB8446" s="318"/>
      <c r="AC8446" s="318"/>
      <c r="AD8446" s="318"/>
    </row>
    <row r="8447" spans="2:30" s="323" customFormat="1" ht="12" customHeight="1">
      <c r="B8447" s="324"/>
      <c r="C8447" s="325"/>
      <c r="D8447" s="326"/>
      <c r="E8447" s="326"/>
      <c r="F8447" s="326"/>
      <c r="G8447" s="326"/>
      <c r="H8447" s="326"/>
      <c r="P8447" s="318"/>
      <c r="Q8447" s="318"/>
      <c r="R8447" s="318"/>
      <c r="S8447" s="318"/>
      <c r="T8447" s="318"/>
      <c r="U8447" s="318"/>
      <c r="V8447" s="318"/>
      <c r="W8447" s="318"/>
      <c r="X8447" s="318"/>
      <c r="Y8447" s="318"/>
      <c r="Z8447" s="318"/>
      <c r="AA8447" s="318"/>
      <c r="AB8447" s="318"/>
      <c r="AC8447" s="318"/>
      <c r="AD8447" s="318"/>
    </row>
    <row r="8448" spans="2:30" s="323" customFormat="1" ht="12" customHeight="1">
      <c r="B8448" s="324"/>
      <c r="C8448" s="325"/>
      <c r="D8448" s="326"/>
      <c r="E8448" s="326"/>
      <c r="F8448" s="326"/>
      <c r="G8448" s="326"/>
      <c r="H8448" s="326"/>
      <c r="P8448" s="318"/>
      <c r="Q8448" s="318"/>
      <c r="R8448" s="318"/>
      <c r="S8448" s="318"/>
      <c r="T8448" s="318"/>
      <c r="U8448" s="318"/>
      <c r="V8448" s="318"/>
      <c r="W8448" s="318"/>
      <c r="X8448" s="318"/>
      <c r="Y8448" s="318"/>
      <c r="Z8448" s="318"/>
      <c r="AA8448" s="318"/>
      <c r="AB8448" s="318"/>
      <c r="AC8448" s="318"/>
      <c r="AD8448" s="318"/>
    </row>
    <row r="8449" spans="2:30" s="323" customFormat="1" ht="12" customHeight="1">
      <c r="B8449" s="324"/>
      <c r="C8449" s="325"/>
      <c r="D8449" s="326"/>
      <c r="E8449" s="326"/>
      <c r="F8449" s="326"/>
      <c r="G8449" s="326"/>
      <c r="H8449" s="326"/>
      <c r="P8449" s="318"/>
      <c r="Q8449" s="318"/>
      <c r="R8449" s="318"/>
      <c r="S8449" s="318"/>
      <c r="T8449" s="318"/>
      <c r="U8449" s="318"/>
      <c r="V8449" s="318"/>
      <c r="W8449" s="318"/>
      <c r="X8449" s="318"/>
      <c r="Y8449" s="318"/>
      <c r="Z8449" s="318"/>
      <c r="AA8449" s="318"/>
      <c r="AB8449" s="318"/>
      <c r="AC8449" s="318"/>
      <c r="AD8449" s="318"/>
    </row>
    <row r="8450" spans="2:30" s="323" customFormat="1" ht="12" customHeight="1">
      <c r="B8450" s="324"/>
      <c r="C8450" s="325"/>
      <c r="D8450" s="326"/>
      <c r="E8450" s="326"/>
      <c r="F8450" s="326"/>
      <c r="G8450" s="326"/>
      <c r="H8450" s="326"/>
      <c r="P8450" s="318"/>
      <c r="Q8450" s="318"/>
      <c r="R8450" s="318"/>
      <c r="S8450" s="318"/>
      <c r="T8450" s="318"/>
      <c r="U8450" s="318"/>
      <c r="V8450" s="318"/>
      <c r="W8450" s="318"/>
      <c r="X8450" s="318"/>
      <c r="Y8450" s="318"/>
      <c r="Z8450" s="318"/>
      <c r="AA8450" s="318"/>
      <c r="AB8450" s="318"/>
      <c r="AC8450" s="318"/>
      <c r="AD8450" s="318"/>
    </row>
    <row r="8451" spans="2:30" s="323" customFormat="1" ht="12" customHeight="1">
      <c r="B8451" s="324"/>
      <c r="C8451" s="325"/>
      <c r="D8451" s="326"/>
      <c r="E8451" s="326"/>
      <c r="F8451" s="326"/>
      <c r="G8451" s="326"/>
      <c r="H8451" s="326"/>
      <c r="P8451" s="318"/>
      <c r="Q8451" s="318"/>
      <c r="R8451" s="318"/>
      <c r="S8451" s="318"/>
      <c r="T8451" s="318"/>
      <c r="U8451" s="318"/>
      <c r="V8451" s="318"/>
      <c r="W8451" s="318"/>
      <c r="X8451" s="318"/>
      <c r="Y8451" s="318"/>
      <c r="Z8451" s="318"/>
      <c r="AA8451" s="318"/>
      <c r="AB8451" s="318"/>
      <c r="AC8451" s="318"/>
      <c r="AD8451" s="318"/>
    </row>
    <row r="8452" spans="2:30" s="323" customFormat="1" ht="12" customHeight="1">
      <c r="B8452" s="324"/>
      <c r="C8452" s="325"/>
      <c r="D8452" s="326"/>
      <c r="E8452" s="326"/>
      <c r="F8452" s="326"/>
      <c r="G8452" s="326"/>
      <c r="H8452" s="326"/>
      <c r="P8452" s="318"/>
      <c r="Q8452" s="318"/>
      <c r="R8452" s="318"/>
      <c r="S8452" s="318"/>
      <c r="T8452" s="318"/>
      <c r="U8452" s="318"/>
      <c r="V8452" s="318"/>
      <c r="W8452" s="318"/>
      <c r="X8452" s="318"/>
      <c r="Y8452" s="318"/>
      <c r="Z8452" s="318"/>
      <c r="AA8452" s="318"/>
      <c r="AB8452" s="318"/>
      <c r="AC8452" s="318"/>
      <c r="AD8452" s="318"/>
    </row>
    <row r="8453" spans="2:30" s="323" customFormat="1" ht="12" customHeight="1">
      <c r="B8453" s="324"/>
      <c r="C8453" s="325"/>
      <c r="D8453" s="326"/>
      <c r="E8453" s="326"/>
      <c r="F8453" s="326"/>
      <c r="G8453" s="326"/>
      <c r="H8453" s="326"/>
      <c r="P8453" s="318"/>
      <c r="Q8453" s="318"/>
      <c r="R8453" s="318"/>
      <c r="S8453" s="318"/>
      <c r="T8453" s="318"/>
      <c r="U8453" s="318"/>
      <c r="V8453" s="318"/>
      <c r="W8453" s="318"/>
      <c r="X8453" s="318"/>
      <c r="Y8453" s="318"/>
      <c r="Z8453" s="318"/>
      <c r="AA8453" s="318"/>
      <c r="AB8453" s="318"/>
      <c r="AC8453" s="318"/>
      <c r="AD8453" s="318"/>
    </row>
    <row r="8454" spans="2:30" s="323" customFormat="1" ht="12" customHeight="1">
      <c r="B8454" s="324"/>
      <c r="C8454" s="325"/>
      <c r="D8454" s="326"/>
      <c r="E8454" s="326"/>
      <c r="F8454" s="326"/>
      <c r="G8454" s="326"/>
      <c r="H8454" s="326"/>
      <c r="P8454" s="318"/>
      <c r="Q8454" s="318"/>
      <c r="R8454" s="318"/>
      <c r="S8454" s="318"/>
      <c r="T8454" s="318"/>
      <c r="U8454" s="318"/>
      <c r="V8454" s="318"/>
      <c r="W8454" s="318"/>
      <c r="X8454" s="318"/>
      <c r="Y8454" s="318"/>
      <c r="Z8454" s="318"/>
      <c r="AA8454" s="318"/>
      <c r="AB8454" s="318"/>
      <c r="AC8454" s="318"/>
      <c r="AD8454" s="318"/>
    </row>
    <row r="8455" spans="2:30" s="323" customFormat="1" ht="12" customHeight="1">
      <c r="B8455" s="324"/>
      <c r="C8455" s="325"/>
      <c r="D8455" s="326"/>
      <c r="E8455" s="326"/>
      <c r="F8455" s="326"/>
      <c r="G8455" s="326"/>
      <c r="H8455" s="326"/>
      <c r="P8455" s="318"/>
      <c r="Q8455" s="318"/>
      <c r="R8455" s="318"/>
      <c r="S8455" s="318"/>
      <c r="T8455" s="318"/>
      <c r="U8455" s="318"/>
      <c r="V8455" s="318"/>
      <c r="W8455" s="318"/>
      <c r="X8455" s="318"/>
      <c r="Y8455" s="318"/>
      <c r="Z8455" s="318"/>
      <c r="AA8455" s="318"/>
      <c r="AB8455" s="318"/>
      <c r="AC8455" s="318"/>
      <c r="AD8455" s="318"/>
    </row>
    <row r="8456" spans="2:30" s="323" customFormat="1" ht="12" customHeight="1">
      <c r="B8456" s="324"/>
      <c r="C8456" s="325"/>
      <c r="D8456" s="326"/>
      <c r="E8456" s="326"/>
      <c r="F8456" s="326"/>
      <c r="G8456" s="326"/>
      <c r="H8456" s="326"/>
      <c r="P8456" s="318"/>
      <c r="Q8456" s="318"/>
      <c r="R8456" s="318"/>
      <c r="S8456" s="318"/>
      <c r="T8456" s="318"/>
      <c r="U8456" s="318"/>
      <c r="V8456" s="318"/>
      <c r="W8456" s="318"/>
      <c r="X8456" s="318"/>
      <c r="Y8456" s="318"/>
      <c r="Z8456" s="318"/>
      <c r="AA8456" s="318"/>
      <c r="AB8456" s="318"/>
      <c r="AC8456" s="318"/>
      <c r="AD8456" s="318"/>
    </row>
    <row r="8457" spans="2:30" s="323" customFormat="1" ht="12" customHeight="1">
      <c r="B8457" s="324"/>
      <c r="C8457" s="325"/>
      <c r="D8457" s="326"/>
      <c r="E8457" s="326"/>
      <c r="F8457" s="326"/>
      <c r="G8457" s="326"/>
      <c r="H8457" s="326"/>
      <c r="P8457" s="318"/>
      <c r="Q8457" s="318"/>
      <c r="R8457" s="318"/>
      <c r="S8457" s="318"/>
      <c r="T8457" s="318"/>
      <c r="U8457" s="318"/>
      <c r="V8457" s="318"/>
      <c r="W8457" s="318"/>
      <c r="X8457" s="318"/>
      <c r="Y8457" s="318"/>
      <c r="Z8457" s="318"/>
      <c r="AA8457" s="318"/>
      <c r="AB8457" s="318"/>
      <c r="AC8457" s="318"/>
      <c r="AD8457" s="318"/>
    </row>
    <row r="8458" spans="2:30" s="323" customFormat="1" ht="12" customHeight="1">
      <c r="B8458" s="324"/>
      <c r="C8458" s="325"/>
      <c r="D8458" s="326"/>
      <c r="E8458" s="326"/>
      <c r="F8458" s="326"/>
      <c r="G8458" s="326"/>
      <c r="H8458" s="326"/>
      <c r="P8458" s="318"/>
      <c r="Q8458" s="318"/>
      <c r="R8458" s="318"/>
      <c r="S8458" s="318"/>
      <c r="T8458" s="318"/>
      <c r="U8458" s="318"/>
      <c r="V8458" s="318"/>
      <c r="W8458" s="318"/>
      <c r="X8458" s="318"/>
      <c r="Y8458" s="318"/>
      <c r="Z8458" s="318"/>
      <c r="AA8458" s="318"/>
      <c r="AB8458" s="318"/>
      <c r="AC8458" s="318"/>
      <c r="AD8458" s="318"/>
    </row>
    <row r="8459" spans="2:30" s="323" customFormat="1" ht="12" customHeight="1">
      <c r="B8459" s="324"/>
      <c r="C8459" s="325"/>
      <c r="D8459" s="326"/>
      <c r="E8459" s="326"/>
      <c r="F8459" s="326"/>
      <c r="G8459" s="326"/>
      <c r="H8459" s="326"/>
      <c r="P8459" s="318"/>
      <c r="Q8459" s="318"/>
      <c r="R8459" s="318"/>
      <c r="S8459" s="318"/>
      <c r="T8459" s="318"/>
      <c r="U8459" s="318"/>
      <c r="V8459" s="318"/>
      <c r="W8459" s="318"/>
      <c r="X8459" s="318"/>
      <c r="Y8459" s="318"/>
      <c r="Z8459" s="318"/>
      <c r="AA8459" s="318"/>
      <c r="AB8459" s="318"/>
      <c r="AC8459" s="318"/>
      <c r="AD8459" s="318"/>
    </row>
    <row r="8460" spans="2:30" s="323" customFormat="1" ht="12" customHeight="1">
      <c r="B8460" s="324"/>
      <c r="C8460" s="325"/>
      <c r="D8460" s="326"/>
      <c r="E8460" s="326"/>
      <c r="F8460" s="326"/>
      <c r="G8460" s="326"/>
      <c r="H8460" s="326"/>
      <c r="P8460" s="318"/>
      <c r="Q8460" s="318"/>
      <c r="R8460" s="318"/>
      <c r="S8460" s="318"/>
      <c r="T8460" s="318"/>
      <c r="U8460" s="318"/>
      <c r="V8460" s="318"/>
      <c r="W8460" s="318"/>
      <c r="X8460" s="318"/>
      <c r="Y8460" s="318"/>
      <c r="Z8460" s="318"/>
      <c r="AA8460" s="318"/>
      <c r="AB8460" s="318"/>
      <c r="AC8460" s="318"/>
      <c r="AD8460" s="318"/>
    </row>
    <row r="8461" spans="2:30" s="323" customFormat="1" ht="12" customHeight="1">
      <c r="B8461" s="324"/>
      <c r="C8461" s="325"/>
      <c r="D8461" s="326"/>
      <c r="E8461" s="326"/>
      <c r="F8461" s="326"/>
      <c r="G8461" s="326"/>
      <c r="H8461" s="326"/>
      <c r="P8461" s="318"/>
      <c r="Q8461" s="318"/>
      <c r="R8461" s="318"/>
      <c r="S8461" s="318"/>
      <c r="T8461" s="318"/>
      <c r="U8461" s="318"/>
      <c r="V8461" s="318"/>
      <c r="W8461" s="318"/>
      <c r="X8461" s="318"/>
      <c r="Y8461" s="318"/>
      <c r="Z8461" s="318"/>
      <c r="AA8461" s="318"/>
      <c r="AB8461" s="318"/>
      <c r="AC8461" s="318"/>
      <c r="AD8461" s="318"/>
    </row>
    <row r="8462" spans="2:30" s="323" customFormat="1" ht="12" customHeight="1">
      <c r="B8462" s="324"/>
      <c r="C8462" s="325"/>
      <c r="D8462" s="326"/>
      <c r="E8462" s="326"/>
      <c r="F8462" s="326"/>
      <c r="G8462" s="326"/>
      <c r="H8462" s="326"/>
      <c r="P8462" s="318"/>
      <c r="Q8462" s="318"/>
      <c r="R8462" s="318"/>
      <c r="S8462" s="318"/>
      <c r="T8462" s="318"/>
      <c r="U8462" s="318"/>
      <c r="V8462" s="318"/>
      <c r="W8462" s="318"/>
      <c r="X8462" s="318"/>
      <c r="Y8462" s="318"/>
      <c r="Z8462" s="318"/>
      <c r="AA8462" s="318"/>
      <c r="AB8462" s="318"/>
      <c r="AC8462" s="318"/>
      <c r="AD8462" s="318"/>
    </row>
    <row r="8463" spans="2:30" s="323" customFormat="1" ht="12" customHeight="1">
      <c r="B8463" s="324"/>
      <c r="C8463" s="325"/>
      <c r="D8463" s="326"/>
      <c r="E8463" s="326"/>
      <c r="F8463" s="326"/>
      <c r="G8463" s="326"/>
      <c r="H8463" s="326"/>
      <c r="P8463" s="318"/>
      <c r="Q8463" s="318"/>
      <c r="R8463" s="318"/>
      <c r="S8463" s="318"/>
      <c r="T8463" s="318"/>
      <c r="U8463" s="318"/>
      <c r="V8463" s="318"/>
      <c r="W8463" s="318"/>
      <c r="X8463" s="318"/>
      <c r="Y8463" s="318"/>
      <c r="Z8463" s="318"/>
      <c r="AA8463" s="318"/>
      <c r="AB8463" s="318"/>
      <c r="AC8463" s="318"/>
      <c r="AD8463" s="318"/>
    </row>
    <row r="8464" spans="2:30" s="323" customFormat="1" ht="12" customHeight="1">
      <c r="B8464" s="324"/>
      <c r="C8464" s="325"/>
      <c r="D8464" s="326"/>
      <c r="E8464" s="326"/>
      <c r="F8464" s="326"/>
      <c r="G8464" s="326"/>
      <c r="H8464" s="326"/>
      <c r="P8464" s="318"/>
      <c r="Q8464" s="318"/>
      <c r="R8464" s="318"/>
      <c r="S8464" s="318"/>
      <c r="T8464" s="318"/>
      <c r="U8464" s="318"/>
      <c r="V8464" s="318"/>
      <c r="W8464" s="318"/>
      <c r="X8464" s="318"/>
      <c r="Y8464" s="318"/>
      <c r="Z8464" s="318"/>
      <c r="AA8464" s="318"/>
      <c r="AB8464" s="318"/>
      <c r="AC8464" s="318"/>
      <c r="AD8464" s="318"/>
    </row>
    <row r="8465" spans="2:30" s="323" customFormat="1" ht="12" customHeight="1">
      <c r="B8465" s="324"/>
      <c r="C8465" s="325"/>
      <c r="D8465" s="326"/>
      <c r="E8465" s="326"/>
      <c r="F8465" s="326"/>
      <c r="G8465" s="326"/>
      <c r="H8465" s="326"/>
      <c r="P8465" s="318"/>
      <c r="Q8465" s="318"/>
      <c r="R8465" s="318"/>
      <c r="S8465" s="318"/>
      <c r="T8465" s="318"/>
      <c r="U8465" s="318"/>
      <c r="V8465" s="318"/>
      <c r="W8465" s="318"/>
      <c r="X8465" s="318"/>
      <c r="Y8465" s="318"/>
      <c r="Z8465" s="318"/>
      <c r="AA8465" s="318"/>
      <c r="AB8465" s="318"/>
      <c r="AC8465" s="318"/>
      <c r="AD8465" s="318"/>
    </row>
    <row r="8466" spans="2:30" s="323" customFormat="1" ht="12" customHeight="1">
      <c r="B8466" s="324"/>
      <c r="C8466" s="325"/>
      <c r="D8466" s="326"/>
      <c r="E8466" s="326"/>
      <c r="F8466" s="326"/>
      <c r="G8466" s="326"/>
      <c r="H8466" s="326"/>
      <c r="P8466" s="318"/>
      <c r="Q8466" s="318"/>
      <c r="R8466" s="318"/>
      <c r="S8466" s="318"/>
      <c r="T8466" s="318"/>
      <c r="U8466" s="318"/>
      <c r="V8466" s="318"/>
      <c r="W8466" s="318"/>
      <c r="X8466" s="318"/>
      <c r="Y8466" s="318"/>
      <c r="Z8466" s="318"/>
      <c r="AA8466" s="318"/>
      <c r="AB8466" s="318"/>
      <c r="AC8466" s="318"/>
      <c r="AD8466" s="318"/>
    </row>
    <row r="8467" spans="2:30" s="323" customFormat="1" ht="12" customHeight="1">
      <c r="B8467" s="324"/>
      <c r="C8467" s="325"/>
      <c r="D8467" s="326"/>
      <c r="E8467" s="326"/>
      <c r="F8467" s="326"/>
      <c r="G8467" s="326"/>
      <c r="H8467" s="326"/>
      <c r="P8467" s="318"/>
      <c r="Q8467" s="318"/>
      <c r="R8467" s="318"/>
      <c r="S8467" s="318"/>
      <c r="T8467" s="318"/>
      <c r="U8467" s="318"/>
      <c r="V8467" s="318"/>
      <c r="W8467" s="318"/>
      <c r="X8467" s="318"/>
      <c r="Y8467" s="318"/>
      <c r="Z8467" s="318"/>
      <c r="AA8467" s="318"/>
      <c r="AB8467" s="318"/>
      <c r="AC8467" s="318"/>
      <c r="AD8467" s="318"/>
    </row>
    <row r="8468" spans="2:30" s="323" customFormat="1" ht="12" customHeight="1">
      <c r="B8468" s="324"/>
      <c r="C8468" s="325"/>
      <c r="D8468" s="326"/>
      <c r="E8468" s="326"/>
      <c r="F8468" s="326"/>
      <c r="G8468" s="326"/>
      <c r="H8468" s="326"/>
      <c r="P8468" s="318"/>
      <c r="Q8468" s="318"/>
      <c r="R8468" s="318"/>
      <c r="S8468" s="318"/>
      <c r="T8468" s="318"/>
      <c r="U8468" s="318"/>
      <c r="V8468" s="318"/>
      <c r="W8468" s="318"/>
      <c r="X8468" s="318"/>
      <c r="Y8468" s="318"/>
      <c r="Z8468" s="318"/>
      <c r="AA8468" s="318"/>
      <c r="AB8468" s="318"/>
      <c r="AC8468" s="318"/>
      <c r="AD8468" s="318"/>
    </row>
    <row r="8469" spans="2:30" s="323" customFormat="1" ht="12" customHeight="1">
      <c r="B8469" s="324"/>
      <c r="C8469" s="325"/>
      <c r="D8469" s="326"/>
      <c r="E8469" s="326"/>
      <c r="F8469" s="326"/>
      <c r="G8469" s="326"/>
      <c r="H8469" s="326"/>
      <c r="P8469" s="318"/>
      <c r="Q8469" s="318"/>
      <c r="R8469" s="318"/>
      <c r="S8469" s="318"/>
      <c r="T8469" s="318"/>
      <c r="U8469" s="318"/>
      <c r="V8469" s="318"/>
      <c r="W8469" s="318"/>
      <c r="X8469" s="318"/>
      <c r="Y8469" s="318"/>
      <c r="Z8469" s="318"/>
      <c r="AA8469" s="318"/>
      <c r="AB8469" s="318"/>
      <c r="AC8469" s="318"/>
      <c r="AD8469" s="318"/>
    </row>
    <row r="8470" spans="2:30" s="323" customFormat="1" ht="12" customHeight="1">
      <c r="B8470" s="324"/>
      <c r="C8470" s="325"/>
      <c r="D8470" s="326"/>
      <c r="E8470" s="326"/>
      <c r="F8470" s="326"/>
      <c r="G8470" s="326"/>
      <c r="H8470" s="326"/>
      <c r="P8470" s="318"/>
      <c r="Q8470" s="318"/>
      <c r="R8470" s="318"/>
      <c r="S8470" s="318"/>
      <c r="T8470" s="318"/>
      <c r="U8470" s="318"/>
      <c r="V8470" s="318"/>
      <c r="W8470" s="318"/>
      <c r="X8470" s="318"/>
      <c r="Y8470" s="318"/>
      <c r="Z8470" s="318"/>
      <c r="AA8470" s="318"/>
      <c r="AB8470" s="318"/>
      <c r="AC8470" s="318"/>
      <c r="AD8470" s="318"/>
    </row>
    <row r="8471" spans="2:30" s="323" customFormat="1" ht="12" customHeight="1">
      <c r="B8471" s="324"/>
      <c r="C8471" s="325"/>
      <c r="D8471" s="326"/>
      <c r="E8471" s="326"/>
      <c r="F8471" s="326"/>
      <c r="G8471" s="326"/>
      <c r="H8471" s="326"/>
      <c r="P8471" s="318"/>
      <c r="Q8471" s="318"/>
      <c r="R8471" s="318"/>
      <c r="S8471" s="318"/>
      <c r="T8471" s="318"/>
      <c r="U8471" s="318"/>
      <c r="V8471" s="318"/>
      <c r="W8471" s="318"/>
      <c r="X8471" s="318"/>
      <c r="Y8471" s="318"/>
      <c r="Z8471" s="318"/>
      <c r="AA8471" s="318"/>
      <c r="AB8471" s="318"/>
      <c r="AC8471" s="318"/>
      <c r="AD8471" s="318"/>
    </row>
    <row r="8472" spans="2:30" s="323" customFormat="1" ht="12" customHeight="1">
      <c r="B8472" s="324"/>
      <c r="C8472" s="325"/>
      <c r="D8472" s="326"/>
      <c r="E8472" s="326"/>
      <c r="F8472" s="326"/>
      <c r="G8472" s="326"/>
      <c r="H8472" s="326"/>
      <c r="P8472" s="318"/>
      <c r="Q8472" s="318"/>
      <c r="R8472" s="318"/>
      <c r="S8472" s="318"/>
      <c r="T8472" s="318"/>
      <c r="U8472" s="318"/>
      <c r="V8472" s="318"/>
      <c r="W8472" s="318"/>
      <c r="X8472" s="318"/>
      <c r="Y8472" s="318"/>
      <c r="Z8472" s="318"/>
      <c r="AA8472" s="318"/>
      <c r="AB8472" s="318"/>
      <c r="AC8472" s="318"/>
      <c r="AD8472" s="318"/>
    </row>
    <row r="8473" spans="2:30" s="323" customFormat="1" ht="12" customHeight="1">
      <c r="B8473" s="324"/>
      <c r="C8473" s="325"/>
      <c r="D8473" s="326"/>
      <c r="E8473" s="326"/>
      <c r="F8473" s="326"/>
      <c r="G8473" s="326"/>
      <c r="H8473" s="326"/>
      <c r="P8473" s="318"/>
      <c r="Q8473" s="318"/>
      <c r="R8473" s="318"/>
      <c r="S8473" s="318"/>
      <c r="T8473" s="318"/>
      <c r="U8473" s="318"/>
      <c r="V8473" s="318"/>
      <c r="W8473" s="318"/>
      <c r="X8473" s="318"/>
      <c r="Y8473" s="318"/>
      <c r="Z8473" s="318"/>
      <c r="AA8473" s="318"/>
      <c r="AB8473" s="318"/>
      <c r="AC8473" s="318"/>
      <c r="AD8473" s="318"/>
    </row>
    <row r="8474" spans="2:30" s="323" customFormat="1" ht="12" customHeight="1">
      <c r="B8474" s="324"/>
      <c r="C8474" s="325"/>
      <c r="D8474" s="326"/>
      <c r="E8474" s="326"/>
      <c r="F8474" s="326"/>
      <c r="G8474" s="326"/>
      <c r="H8474" s="326"/>
      <c r="P8474" s="318"/>
      <c r="Q8474" s="318"/>
      <c r="R8474" s="318"/>
      <c r="S8474" s="318"/>
      <c r="T8474" s="318"/>
      <c r="U8474" s="318"/>
      <c r="V8474" s="318"/>
      <c r="W8474" s="318"/>
      <c r="X8474" s="318"/>
      <c r="Y8474" s="318"/>
      <c r="Z8474" s="318"/>
      <c r="AA8474" s="318"/>
      <c r="AB8474" s="318"/>
      <c r="AC8474" s="318"/>
      <c r="AD8474" s="318"/>
    </row>
    <row r="8475" spans="2:30" s="323" customFormat="1" ht="12" customHeight="1">
      <c r="B8475" s="324"/>
      <c r="C8475" s="325"/>
      <c r="D8475" s="326"/>
      <c r="E8475" s="326"/>
      <c r="F8475" s="326"/>
      <c r="G8475" s="326"/>
      <c r="H8475" s="326"/>
      <c r="P8475" s="318"/>
      <c r="Q8475" s="318"/>
      <c r="R8475" s="318"/>
      <c r="S8475" s="318"/>
      <c r="T8475" s="318"/>
      <c r="U8475" s="318"/>
      <c r="V8475" s="318"/>
      <c r="W8475" s="318"/>
      <c r="X8475" s="318"/>
      <c r="Y8475" s="318"/>
      <c r="Z8475" s="318"/>
      <c r="AA8475" s="318"/>
      <c r="AB8475" s="318"/>
      <c r="AC8475" s="318"/>
      <c r="AD8475" s="318"/>
    </row>
    <row r="8476" spans="2:30" s="323" customFormat="1" ht="12" customHeight="1">
      <c r="B8476" s="324"/>
      <c r="C8476" s="325"/>
      <c r="D8476" s="326"/>
      <c r="E8476" s="326"/>
      <c r="F8476" s="326"/>
      <c r="G8476" s="326"/>
      <c r="H8476" s="326"/>
      <c r="P8476" s="318"/>
      <c r="Q8476" s="318"/>
      <c r="R8476" s="318"/>
      <c r="S8476" s="318"/>
      <c r="T8476" s="318"/>
      <c r="U8476" s="318"/>
      <c r="V8476" s="318"/>
      <c r="W8476" s="318"/>
      <c r="X8476" s="318"/>
      <c r="Y8476" s="318"/>
      <c r="Z8476" s="318"/>
      <c r="AA8476" s="318"/>
      <c r="AB8476" s="318"/>
      <c r="AC8476" s="318"/>
      <c r="AD8476" s="318"/>
    </row>
    <row r="8477" spans="2:30" s="323" customFormat="1" ht="12" customHeight="1">
      <c r="B8477" s="324"/>
      <c r="C8477" s="325"/>
      <c r="D8477" s="326"/>
      <c r="E8477" s="326"/>
      <c r="F8477" s="326"/>
      <c r="G8477" s="326"/>
      <c r="H8477" s="326"/>
      <c r="P8477" s="318"/>
      <c r="Q8477" s="318"/>
      <c r="R8477" s="318"/>
      <c r="S8477" s="318"/>
      <c r="T8477" s="318"/>
      <c r="U8477" s="318"/>
      <c r="V8477" s="318"/>
      <c r="W8477" s="318"/>
      <c r="X8477" s="318"/>
      <c r="Y8477" s="318"/>
      <c r="Z8477" s="318"/>
      <c r="AA8477" s="318"/>
      <c r="AB8477" s="318"/>
      <c r="AC8477" s="318"/>
      <c r="AD8477" s="318"/>
    </row>
    <row r="8478" spans="2:30" s="323" customFormat="1" ht="12" customHeight="1">
      <c r="B8478" s="324"/>
      <c r="C8478" s="325"/>
      <c r="D8478" s="326"/>
      <c r="E8478" s="326"/>
      <c r="F8478" s="326"/>
      <c r="G8478" s="326"/>
      <c r="H8478" s="326"/>
      <c r="P8478" s="318"/>
      <c r="Q8478" s="318"/>
      <c r="R8478" s="318"/>
      <c r="S8478" s="318"/>
      <c r="T8478" s="318"/>
      <c r="U8478" s="318"/>
      <c r="V8478" s="318"/>
      <c r="W8478" s="318"/>
      <c r="X8478" s="318"/>
      <c r="Y8478" s="318"/>
      <c r="Z8478" s="318"/>
      <c r="AA8478" s="318"/>
      <c r="AB8478" s="318"/>
      <c r="AC8478" s="318"/>
      <c r="AD8478" s="318"/>
    </row>
    <row r="8479" spans="2:30" s="323" customFormat="1" ht="12" customHeight="1">
      <c r="B8479" s="324"/>
      <c r="C8479" s="325"/>
      <c r="D8479" s="326"/>
      <c r="E8479" s="326"/>
      <c r="F8479" s="326"/>
      <c r="G8479" s="326"/>
      <c r="H8479" s="326"/>
      <c r="P8479" s="318"/>
      <c r="Q8479" s="318"/>
      <c r="R8479" s="318"/>
      <c r="S8479" s="318"/>
      <c r="T8479" s="318"/>
      <c r="U8479" s="318"/>
      <c r="V8479" s="318"/>
      <c r="W8479" s="318"/>
      <c r="X8479" s="318"/>
      <c r="Y8479" s="318"/>
      <c r="Z8479" s="318"/>
      <c r="AA8479" s="318"/>
      <c r="AB8479" s="318"/>
      <c r="AC8479" s="318"/>
      <c r="AD8479" s="318"/>
    </row>
    <row r="8480" spans="2:30" s="323" customFormat="1" ht="12" customHeight="1">
      <c r="B8480" s="324"/>
      <c r="C8480" s="325"/>
      <c r="D8480" s="326"/>
      <c r="E8480" s="326"/>
      <c r="F8480" s="326"/>
      <c r="G8480" s="326"/>
      <c r="H8480" s="326"/>
      <c r="P8480" s="318"/>
      <c r="Q8480" s="318"/>
      <c r="R8480" s="318"/>
      <c r="S8480" s="318"/>
      <c r="T8480" s="318"/>
      <c r="U8480" s="318"/>
      <c r="V8480" s="318"/>
      <c r="W8480" s="318"/>
      <c r="X8480" s="318"/>
      <c r="Y8480" s="318"/>
      <c r="Z8480" s="318"/>
      <c r="AA8480" s="318"/>
      <c r="AB8480" s="318"/>
      <c r="AC8480" s="318"/>
      <c r="AD8480" s="318"/>
    </row>
    <row r="8481" spans="2:30" s="323" customFormat="1" ht="12" customHeight="1">
      <c r="B8481" s="324"/>
      <c r="C8481" s="325"/>
      <c r="D8481" s="326"/>
      <c r="E8481" s="326"/>
      <c r="F8481" s="326"/>
      <c r="G8481" s="326"/>
      <c r="H8481" s="326"/>
      <c r="P8481" s="318"/>
      <c r="Q8481" s="318"/>
      <c r="R8481" s="318"/>
      <c r="S8481" s="318"/>
      <c r="T8481" s="318"/>
      <c r="U8481" s="318"/>
      <c r="V8481" s="318"/>
      <c r="W8481" s="318"/>
      <c r="X8481" s="318"/>
      <c r="Y8481" s="318"/>
      <c r="Z8481" s="318"/>
      <c r="AA8481" s="318"/>
      <c r="AB8481" s="318"/>
      <c r="AC8481" s="318"/>
      <c r="AD8481" s="318"/>
    </row>
    <row r="8482" spans="2:30" s="323" customFormat="1" ht="12" customHeight="1">
      <c r="B8482" s="324"/>
      <c r="C8482" s="325"/>
      <c r="D8482" s="326"/>
      <c r="E8482" s="326"/>
      <c r="F8482" s="326"/>
      <c r="G8482" s="326"/>
      <c r="H8482" s="326"/>
      <c r="P8482" s="318"/>
      <c r="Q8482" s="318"/>
      <c r="R8482" s="318"/>
      <c r="S8482" s="318"/>
      <c r="T8482" s="318"/>
      <c r="U8482" s="318"/>
      <c r="V8482" s="318"/>
      <c r="W8482" s="318"/>
      <c r="X8482" s="318"/>
      <c r="Y8482" s="318"/>
      <c r="Z8482" s="318"/>
      <c r="AA8482" s="318"/>
      <c r="AB8482" s="318"/>
      <c r="AC8482" s="318"/>
      <c r="AD8482" s="318"/>
    </row>
    <row r="8483" spans="2:30" s="323" customFormat="1" ht="12" customHeight="1">
      <c r="B8483" s="324"/>
      <c r="C8483" s="325"/>
      <c r="D8483" s="326"/>
      <c r="E8483" s="326"/>
      <c r="F8483" s="326"/>
      <c r="G8483" s="326"/>
      <c r="H8483" s="326"/>
      <c r="P8483" s="318"/>
      <c r="Q8483" s="318"/>
      <c r="R8483" s="318"/>
      <c r="S8483" s="318"/>
      <c r="T8483" s="318"/>
      <c r="U8483" s="318"/>
      <c r="V8483" s="318"/>
      <c r="W8483" s="318"/>
      <c r="X8483" s="318"/>
      <c r="Y8483" s="318"/>
      <c r="Z8483" s="318"/>
      <c r="AA8483" s="318"/>
      <c r="AB8483" s="318"/>
      <c r="AC8483" s="318"/>
      <c r="AD8483" s="318"/>
    </row>
    <row r="8484" spans="2:30" s="323" customFormat="1" ht="12" customHeight="1">
      <c r="B8484" s="324"/>
      <c r="C8484" s="325"/>
      <c r="D8484" s="326"/>
      <c r="E8484" s="326"/>
      <c r="F8484" s="326"/>
      <c r="G8484" s="326"/>
      <c r="H8484" s="326"/>
      <c r="P8484" s="318"/>
      <c r="Q8484" s="318"/>
      <c r="R8484" s="318"/>
      <c r="S8484" s="318"/>
      <c r="T8484" s="318"/>
      <c r="U8484" s="318"/>
      <c r="V8484" s="318"/>
      <c r="W8484" s="318"/>
      <c r="X8484" s="318"/>
      <c r="Y8484" s="318"/>
      <c r="Z8484" s="318"/>
      <c r="AA8484" s="318"/>
      <c r="AB8484" s="318"/>
      <c r="AC8484" s="318"/>
      <c r="AD8484" s="318"/>
    </row>
    <row r="8485" spans="2:30" s="323" customFormat="1" ht="12" customHeight="1">
      <c r="B8485" s="324"/>
      <c r="C8485" s="325"/>
      <c r="D8485" s="326"/>
      <c r="E8485" s="326"/>
      <c r="F8485" s="326"/>
      <c r="G8485" s="326"/>
      <c r="H8485" s="326"/>
      <c r="P8485" s="318"/>
      <c r="Q8485" s="318"/>
      <c r="R8485" s="318"/>
      <c r="S8485" s="318"/>
      <c r="T8485" s="318"/>
      <c r="U8485" s="318"/>
      <c r="V8485" s="318"/>
      <c r="W8485" s="318"/>
      <c r="X8485" s="318"/>
      <c r="Y8485" s="318"/>
      <c r="Z8485" s="318"/>
      <c r="AA8485" s="318"/>
      <c r="AB8485" s="318"/>
      <c r="AC8485" s="318"/>
      <c r="AD8485" s="318"/>
    </row>
    <row r="8486" spans="2:30" s="323" customFormat="1" ht="12" customHeight="1">
      <c r="B8486" s="324"/>
      <c r="C8486" s="325"/>
      <c r="D8486" s="326"/>
      <c r="E8486" s="326"/>
      <c r="F8486" s="326"/>
      <c r="G8486" s="326"/>
      <c r="H8486" s="326"/>
      <c r="P8486" s="318"/>
      <c r="Q8486" s="318"/>
      <c r="R8486" s="318"/>
      <c r="S8486" s="318"/>
      <c r="T8486" s="318"/>
      <c r="U8486" s="318"/>
      <c r="V8486" s="318"/>
      <c r="W8486" s="318"/>
      <c r="X8486" s="318"/>
      <c r="Y8486" s="318"/>
      <c r="Z8486" s="318"/>
      <c r="AA8486" s="318"/>
      <c r="AB8486" s="318"/>
      <c r="AC8486" s="318"/>
      <c r="AD8486" s="318"/>
    </row>
    <row r="8487" spans="2:30" s="323" customFormat="1" ht="12" customHeight="1">
      <c r="B8487" s="324"/>
      <c r="C8487" s="325"/>
      <c r="D8487" s="326"/>
      <c r="E8487" s="326"/>
      <c r="F8487" s="326"/>
      <c r="G8487" s="326"/>
      <c r="H8487" s="326"/>
      <c r="P8487" s="318"/>
      <c r="Q8487" s="318"/>
      <c r="R8487" s="318"/>
      <c r="S8487" s="318"/>
      <c r="T8487" s="318"/>
      <c r="U8487" s="318"/>
      <c r="V8487" s="318"/>
      <c r="W8487" s="318"/>
      <c r="X8487" s="318"/>
      <c r="Y8487" s="318"/>
      <c r="Z8487" s="318"/>
      <c r="AA8487" s="318"/>
      <c r="AB8487" s="318"/>
      <c r="AC8487" s="318"/>
      <c r="AD8487" s="318"/>
    </row>
    <row r="8488" spans="2:30" s="323" customFormat="1" ht="12" customHeight="1">
      <c r="B8488" s="324"/>
      <c r="C8488" s="325"/>
      <c r="D8488" s="326"/>
      <c r="E8488" s="326"/>
      <c r="F8488" s="326"/>
      <c r="G8488" s="326"/>
      <c r="H8488" s="326"/>
      <c r="P8488" s="318"/>
      <c r="Q8488" s="318"/>
      <c r="R8488" s="318"/>
      <c r="S8488" s="318"/>
      <c r="T8488" s="318"/>
      <c r="U8488" s="318"/>
      <c r="V8488" s="318"/>
      <c r="W8488" s="318"/>
      <c r="X8488" s="318"/>
      <c r="Y8488" s="318"/>
      <c r="Z8488" s="318"/>
      <c r="AA8488" s="318"/>
      <c r="AB8488" s="318"/>
      <c r="AC8488" s="318"/>
      <c r="AD8488" s="318"/>
    </row>
    <row r="8489" spans="2:30" s="323" customFormat="1" ht="12" customHeight="1">
      <c r="B8489" s="324"/>
      <c r="C8489" s="325"/>
      <c r="D8489" s="326"/>
      <c r="E8489" s="326"/>
      <c r="F8489" s="326"/>
      <c r="G8489" s="326"/>
      <c r="H8489" s="326"/>
      <c r="P8489" s="318"/>
      <c r="Q8489" s="318"/>
      <c r="R8489" s="318"/>
      <c r="S8489" s="318"/>
      <c r="T8489" s="318"/>
      <c r="U8489" s="318"/>
      <c r="V8489" s="318"/>
      <c r="W8489" s="318"/>
      <c r="X8489" s="318"/>
      <c r="Y8489" s="318"/>
      <c r="Z8489" s="318"/>
      <c r="AA8489" s="318"/>
      <c r="AB8489" s="318"/>
      <c r="AC8489" s="318"/>
      <c r="AD8489" s="318"/>
    </row>
    <row r="8490" spans="2:30" s="323" customFormat="1" ht="12" customHeight="1">
      <c r="B8490" s="324"/>
      <c r="C8490" s="325"/>
      <c r="D8490" s="326"/>
      <c r="E8490" s="326"/>
      <c r="F8490" s="326"/>
      <c r="G8490" s="326"/>
      <c r="H8490" s="326"/>
      <c r="P8490" s="318"/>
      <c r="Q8490" s="318"/>
      <c r="R8490" s="318"/>
      <c r="S8490" s="318"/>
      <c r="T8490" s="318"/>
      <c r="U8490" s="318"/>
      <c r="V8490" s="318"/>
      <c r="W8490" s="318"/>
      <c r="X8490" s="318"/>
      <c r="Y8490" s="318"/>
      <c r="Z8490" s="318"/>
      <c r="AA8490" s="318"/>
      <c r="AB8490" s="318"/>
      <c r="AC8490" s="318"/>
      <c r="AD8490" s="318"/>
    </row>
    <row r="8491" spans="2:30" s="323" customFormat="1" ht="12" customHeight="1">
      <c r="B8491" s="324"/>
      <c r="C8491" s="325"/>
      <c r="D8491" s="326"/>
      <c r="E8491" s="326"/>
      <c r="F8491" s="326"/>
      <c r="G8491" s="326"/>
      <c r="H8491" s="326"/>
      <c r="P8491" s="318"/>
      <c r="Q8491" s="318"/>
      <c r="R8491" s="318"/>
      <c r="S8491" s="318"/>
      <c r="T8491" s="318"/>
      <c r="U8491" s="318"/>
      <c r="V8491" s="318"/>
      <c r="W8491" s="318"/>
      <c r="X8491" s="318"/>
      <c r="Y8491" s="318"/>
      <c r="Z8491" s="318"/>
      <c r="AA8491" s="318"/>
      <c r="AB8491" s="318"/>
      <c r="AC8491" s="318"/>
      <c r="AD8491" s="318"/>
    </row>
    <row r="8492" spans="2:30" s="323" customFormat="1" ht="12" customHeight="1">
      <c r="B8492" s="324"/>
      <c r="C8492" s="325"/>
      <c r="D8492" s="326"/>
      <c r="E8492" s="326"/>
      <c r="F8492" s="326"/>
      <c r="G8492" s="326"/>
      <c r="H8492" s="326"/>
      <c r="P8492" s="318"/>
      <c r="Q8492" s="318"/>
      <c r="R8492" s="318"/>
      <c r="S8492" s="318"/>
      <c r="T8492" s="318"/>
      <c r="U8492" s="318"/>
      <c r="V8492" s="318"/>
      <c r="W8492" s="318"/>
      <c r="X8492" s="318"/>
      <c r="Y8492" s="318"/>
      <c r="Z8492" s="318"/>
      <c r="AA8492" s="318"/>
      <c r="AB8492" s="318"/>
      <c r="AC8492" s="318"/>
      <c r="AD8492" s="318"/>
    </row>
    <row r="8493" spans="2:30" s="323" customFormat="1" ht="12" customHeight="1">
      <c r="B8493" s="324"/>
      <c r="C8493" s="325"/>
      <c r="D8493" s="326"/>
      <c r="E8493" s="326"/>
      <c r="F8493" s="326"/>
      <c r="G8493" s="326"/>
      <c r="H8493" s="326"/>
      <c r="P8493" s="318"/>
      <c r="Q8493" s="318"/>
      <c r="R8493" s="318"/>
      <c r="S8493" s="318"/>
      <c r="T8493" s="318"/>
      <c r="U8493" s="318"/>
      <c r="V8493" s="318"/>
      <c r="W8493" s="318"/>
      <c r="X8493" s="318"/>
      <c r="Y8493" s="318"/>
      <c r="Z8493" s="318"/>
      <c r="AA8493" s="318"/>
      <c r="AB8493" s="318"/>
      <c r="AC8493" s="318"/>
      <c r="AD8493" s="318"/>
    </row>
    <row r="8494" spans="2:30" s="323" customFormat="1" ht="12" customHeight="1">
      <c r="B8494" s="324"/>
      <c r="C8494" s="325"/>
      <c r="D8494" s="326"/>
      <c r="E8494" s="326"/>
      <c r="F8494" s="326"/>
      <c r="G8494" s="326"/>
      <c r="H8494" s="326"/>
      <c r="P8494" s="318"/>
      <c r="Q8494" s="318"/>
      <c r="R8494" s="318"/>
      <c r="S8494" s="318"/>
      <c r="T8494" s="318"/>
      <c r="U8494" s="318"/>
      <c r="V8494" s="318"/>
      <c r="W8494" s="318"/>
      <c r="X8494" s="318"/>
      <c r="Y8494" s="318"/>
      <c r="Z8494" s="318"/>
      <c r="AA8494" s="318"/>
      <c r="AB8494" s="318"/>
      <c r="AC8494" s="318"/>
      <c r="AD8494" s="318"/>
    </row>
    <row r="8495" spans="2:30" s="323" customFormat="1" ht="12" customHeight="1">
      <c r="B8495" s="324"/>
      <c r="C8495" s="325"/>
      <c r="D8495" s="326"/>
      <c r="E8495" s="326"/>
      <c r="F8495" s="326"/>
      <c r="G8495" s="326"/>
      <c r="H8495" s="326"/>
      <c r="P8495" s="318"/>
      <c r="Q8495" s="318"/>
      <c r="R8495" s="318"/>
      <c r="S8495" s="318"/>
      <c r="T8495" s="318"/>
      <c r="U8495" s="318"/>
      <c r="V8495" s="318"/>
      <c r="W8495" s="318"/>
      <c r="X8495" s="318"/>
      <c r="Y8495" s="318"/>
      <c r="Z8495" s="318"/>
      <c r="AA8495" s="318"/>
      <c r="AB8495" s="318"/>
      <c r="AC8495" s="318"/>
      <c r="AD8495" s="318"/>
    </row>
    <row r="8496" spans="2:30" s="323" customFormat="1" ht="12" customHeight="1">
      <c r="B8496" s="324"/>
      <c r="C8496" s="325"/>
      <c r="D8496" s="326"/>
      <c r="E8496" s="326"/>
      <c r="F8496" s="326"/>
      <c r="G8496" s="326"/>
      <c r="H8496" s="326"/>
      <c r="P8496" s="318"/>
      <c r="Q8496" s="318"/>
      <c r="R8496" s="318"/>
      <c r="S8496" s="318"/>
      <c r="T8496" s="318"/>
      <c r="U8496" s="318"/>
      <c r="V8496" s="318"/>
      <c r="W8496" s="318"/>
      <c r="X8496" s="318"/>
      <c r="Y8496" s="318"/>
      <c r="Z8496" s="318"/>
      <c r="AA8496" s="318"/>
      <c r="AB8496" s="318"/>
      <c r="AC8496" s="318"/>
      <c r="AD8496" s="318"/>
    </row>
    <row r="8497" spans="2:30" s="323" customFormat="1" ht="12" customHeight="1">
      <c r="B8497" s="324"/>
      <c r="C8497" s="325"/>
      <c r="D8497" s="326"/>
      <c r="E8497" s="326"/>
      <c r="F8497" s="326"/>
      <c r="G8497" s="326"/>
      <c r="H8497" s="326"/>
      <c r="P8497" s="318"/>
      <c r="Q8497" s="318"/>
      <c r="R8497" s="318"/>
      <c r="S8497" s="318"/>
      <c r="T8497" s="318"/>
      <c r="U8497" s="318"/>
      <c r="V8497" s="318"/>
      <c r="W8497" s="318"/>
      <c r="X8497" s="318"/>
      <c r="Y8497" s="318"/>
      <c r="Z8497" s="318"/>
      <c r="AA8497" s="318"/>
      <c r="AB8497" s="318"/>
      <c r="AC8497" s="318"/>
      <c r="AD8497" s="318"/>
    </row>
    <row r="8498" spans="2:30" s="323" customFormat="1" ht="12" customHeight="1">
      <c r="B8498" s="324"/>
      <c r="C8498" s="325"/>
      <c r="D8498" s="326"/>
      <c r="E8498" s="326"/>
      <c r="F8498" s="326"/>
      <c r="G8498" s="326"/>
      <c r="H8498" s="326"/>
      <c r="P8498" s="318"/>
      <c r="Q8498" s="318"/>
      <c r="R8498" s="318"/>
      <c r="S8498" s="318"/>
      <c r="T8498" s="318"/>
      <c r="U8498" s="318"/>
      <c r="V8498" s="318"/>
      <c r="W8498" s="318"/>
      <c r="X8498" s="318"/>
      <c r="Y8498" s="318"/>
      <c r="Z8498" s="318"/>
      <c r="AA8498" s="318"/>
      <c r="AB8498" s="318"/>
      <c r="AC8498" s="318"/>
      <c r="AD8498" s="318"/>
    </row>
    <row r="8499" spans="2:30" s="323" customFormat="1" ht="12" customHeight="1">
      <c r="B8499" s="324"/>
      <c r="C8499" s="325"/>
      <c r="D8499" s="326"/>
      <c r="E8499" s="326"/>
      <c r="F8499" s="326"/>
      <c r="G8499" s="326"/>
      <c r="H8499" s="326"/>
      <c r="P8499" s="318"/>
      <c r="Q8499" s="318"/>
      <c r="R8499" s="318"/>
      <c r="S8499" s="318"/>
      <c r="T8499" s="318"/>
      <c r="U8499" s="318"/>
      <c r="V8499" s="318"/>
      <c r="W8499" s="318"/>
      <c r="X8499" s="318"/>
      <c r="Y8499" s="318"/>
      <c r="Z8499" s="318"/>
      <c r="AA8499" s="318"/>
      <c r="AB8499" s="318"/>
      <c r="AC8499" s="318"/>
      <c r="AD8499" s="318"/>
    </row>
    <row r="8500" spans="2:30" s="323" customFormat="1" ht="12" customHeight="1">
      <c r="B8500" s="324"/>
      <c r="C8500" s="325"/>
      <c r="D8500" s="326"/>
      <c r="E8500" s="326"/>
      <c r="F8500" s="326"/>
      <c r="G8500" s="326"/>
      <c r="H8500" s="326"/>
      <c r="P8500" s="318"/>
      <c r="Q8500" s="318"/>
      <c r="R8500" s="318"/>
      <c r="S8500" s="318"/>
      <c r="T8500" s="318"/>
      <c r="U8500" s="318"/>
      <c r="V8500" s="318"/>
      <c r="W8500" s="318"/>
      <c r="X8500" s="318"/>
      <c r="Y8500" s="318"/>
      <c r="Z8500" s="318"/>
      <c r="AA8500" s="318"/>
      <c r="AB8500" s="318"/>
      <c r="AC8500" s="318"/>
      <c r="AD8500" s="318"/>
    </row>
    <row r="8501" spans="2:30" s="323" customFormat="1" ht="12" customHeight="1">
      <c r="B8501" s="324"/>
      <c r="C8501" s="325"/>
      <c r="D8501" s="326"/>
      <c r="E8501" s="326"/>
      <c r="F8501" s="326"/>
      <c r="G8501" s="326"/>
      <c r="H8501" s="326"/>
      <c r="P8501" s="318"/>
      <c r="Q8501" s="318"/>
      <c r="R8501" s="318"/>
      <c r="S8501" s="318"/>
      <c r="T8501" s="318"/>
      <c r="U8501" s="318"/>
      <c r="V8501" s="318"/>
      <c r="W8501" s="318"/>
      <c r="X8501" s="318"/>
      <c r="Y8501" s="318"/>
      <c r="Z8501" s="318"/>
      <c r="AA8501" s="318"/>
      <c r="AB8501" s="318"/>
      <c r="AC8501" s="318"/>
      <c r="AD8501" s="318"/>
    </row>
    <row r="8502" spans="2:30" s="323" customFormat="1" ht="12" customHeight="1">
      <c r="B8502" s="324"/>
      <c r="C8502" s="325"/>
      <c r="D8502" s="326"/>
      <c r="E8502" s="326"/>
      <c r="F8502" s="326"/>
      <c r="G8502" s="326"/>
      <c r="H8502" s="326"/>
      <c r="P8502" s="318"/>
      <c r="Q8502" s="318"/>
      <c r="R8502" s="318"/>
      <c r="S8502" s="318"/>
      <c r="T8502" s="318"/>
      <c r="U8502" s="318"/>
      <c r="V8502" s="318"/>
      <c r="W8502" s="318"/>
      <c r="X8502" s="318"/>
      <c r="Y8502" s="318"/>
      <c r="Z8502" s="318"/>
      <c r="AA8502" s="318"/>
      <c r="AB8502" s="318"/>
      <c r="AC8502" s="318"/>
      <c r="AD8502" s="318"/>
    </row>
    <row r="8503" spans="2:30" s="323" customFormat="1" ht="12" customHeight="1">
      <c r="B8503" s="324"/>
      <c r="C8503" s="325"/>
      <c r="D8503" s="326"/>
      <c r="E8503" s="326"/>
      <c r="F8503" s="326"/>
      <c r="G8503" s="326"/>
      <c r="H8503" s="326"/>
      <c r="P8503" s="318"/>
      <c r="Q8503" s="318"/>
      <c r="R8503" s="318"/>
      <c r="S8503" s="318"/>
      <c r="T8503" s="318"/>
      <c r="U8503" s="318"/>
      <c r="V8503" s="318"/>
      <c r="W8503" s="318"/>
      <c r="X8503" s="318"/>
      <c r="Y8503" s="318"/>
      <c r="Z8503" s="318"/>
      <c r="AA8503" s="318"/>
      <c r="AB8503" s="318"/>
      <c r="AC8503" s="318"/>
      <c r="AD8503" s="318"/>
    </row>
    <row r="8504" spans="2:30" s="323" customFormat="1" ht="12" customHeight="1">
      <c r="B8504" s="324"/>
      <c r="C8504" s="325"/>
      <c r="D8504" s="326"/>
      <c r="E8504" s="326"/>
      <c r="F8504" s="326"/>
      <c r="G8504" s="326"/>
      <c r="H8504" s="326"/>
      <c r="P8504" s="318"/>
      <c r="Q8504" s="318"/>
      <c r="R8504" s="318"/>
      <c r="S8504" s="318"/>
      <c r="T8504" s="318"/>
      <c r="U8504" s="318"/>
      <c r="V8504" s="318"/>
      <c r="W8504" s="318"/>
      <c r="X8504" s="318"/>
      <c r="Y8504" s="318"/>
      <c r="Z8504" s="318"/>
      <c r="AA8504" s="318"/>
      <c r="AB8504" s="318"/>
      <c r="AC8504" s="318"/>
      <c r="AD8504" s="318"/>
    </row>
    <row r="8505" spans="2:30" s="323" customFormat="1" ht="12" customHeight="1">
      <c r="B8505" s="324"/>
      <c r="C8505" s="325"/>
      <c r="D8505" s="326"/>
      <c r="E8505" s="326"/>
      <c r="F8505" s="326"/>
      <c r="G8505" s="326"/>
      <c r="H8505" s="326"/>
      <c r="P8505" s="318"/>
      <c r="Q8505" s="318"/>
      <c r="R8505" s="318"/>
      <c r="S8505" s="318"/>
      <c r="T8505" s="318"/>
      <c r="U8505" s="318"/>
      <c r="V8505" s="318"/>
      <c r="W8505" s="318"/>
      <c r="X8505" s="318"/>
      <c r="Y8505" s="318"/>
      <c r="Z8505" s="318"/>
      <c r="AA8505" s="318"/>
      <c r="AB8505" s="318"/>
      <c r="AC8505" s="318"/>
      <c r="AD8505" s="318"/>
    </row>
    <row r="8506" spans="2:30" s="323" customFormat="1" ht="12" customHeight="1">
      <c r="B8506" s="324"/>
      <c r="C8506" s="325"/>
      <c r="D8506" s="326"/>
      <c r="E8506" s="326"/>
      <c r="F8506" s="326"/>
      <c r="G8506" s="326"/>
      <c r="H8506" s="326"/>
      <c r="P8506" s="318"/>
      <c r="Q8506" s="318"/>
      <c r="R8506" s="318"/>
      <c r="S8506" s="318"/>
      <c r="T8506" s="318"/>
      <c r="U8506" s="318"/>
      <c r="V8506" s="318"/>
      <c r="W8506" s="318"/>
      <c r="X8506" s="318"/>
      <c r="Y8506" s="318"/>
      <c r="Z8506" s="318"/>
      <c r="AA8506" s="318"/>
      <c r="AB8506" s="318"/>
      <c r="AC8506" s="318"/>
      <c r="AD8506" s="318"/>
    </row>
    <row r="8507" spans="2:30" s="323" customFormat="1" ht="12" customHeight="1">
      <c r="B8507" s="324"/>
      <c r="C8507" s="325"/>
      <c r="D8507" s="326"/>
      <c r="E8507" s="326"/>
      <c r="F8507" s="326"/>
      <c r="G8507" s="326"/>
      <c r="H8507" s="326"/>
      <c r="P8507" s="318"/>
      <c r="Q8507" s="318"/>
      <c r="R8507" s="318"/>
      <c r="S8507" s="318"/>
      <c r="T8507" s="318"/>
      <c r="U8507" s="318"/>
      <c r="V8507" s="318"/>
      <c r="W8507" s="318"/>
      <c r="X8507" s="318"/>
      <c r="Y8507" s="318"/>
      <c r="Z8507" s="318"/>
      <c r="AA8507" s="318"/>
      <c r="AB8507" s="318"/>
      <c r="AC8507" s="318"/>
      <c r="AD8507" s="318"/>
    </row>
    <row r="8508" spans="2:30" s="323" customFormat="1" ht="12" customHeight="1">
      <c r="B8508" s="324"/>
      <c r="C8508" s="325"/>
      <c r="D8508" s="326"/>
      <c r="E8508" s="326"/>
      <c r="F8508" s="326"/>
      <c r="G8508" s="326"/>
      <c r="H8508" s="326"/>
      <c r="P8508" s="318"/>
      <c r="Q8508" s="318"/>
      <c r="R8508" s="318"/>
      <c r="S8508" s="318"/>
      <c r="T8508" s="318"/>
      <c r="U8508" s="318"/>
      <c r="V8508" s="318"/>
      <c r="W8508" s="318"/>
      <c r="X8508" s="318"/>
      <c r="Y8508" s="318"/>
      <c r="Z8508" s="318"/>
      <c r="AA8508" s="318"/>
      <c r="AB8508" s="318"/>
      <c r="AC8508" s="318"/>
      <c r="AD8508" s="318"/>
    </row>
    <row r="8509" spans="2:30" s="323" customFormat="1" ht="12" customHeight="1">
      <c r="B8509" s="324"/>
      <c r="C8509" s="325"/>
      <c r="D8509" s="326"/>
      <c r="E8509" s="326"/>
      <c r="F8509" s="326"/>
      <c r="G8509" s="326"/>
      <c r="H8509" s="326"/>
      <c r="P8509" s="318"/>
      <c r="Q8509" s="318"/>
      <c r="R8509" s="318"/>
      <c r="S8509" s="318"/>
      <c r="T8509" s="318"/>
      <c r="U8509" s="318"/>
      <c r="V8509" s="318"/>
      <c r="W8509" s="318"/>
      <c r="X8509" s="318"/>
      <c r="Y8509" s="318"/>
      <c r="Z8509" s="318"/>
      <c r="AA8509" s="318"/>
      <c r="AB8509" s="318"/>
      <c r="AC8509" s="318"/>
      <c r="AD8509" s="318"/>
    </row>
    <row r="8510" spans="2:30" s="323" customFormat="1" ht="12" customHeight="1">
      <c r="B8510" s="324"/>
      <c r="C8510" s="325"/>
      <c r="D8510" s="326"/>
      <c r="E8510" s="326"/>
      <c r="F8510" s="326"/>
      <c r="G8510" s="326"/>
      <c r="H8510" s="326"/>
      <c r="P8510" s="318"/>
      <c r="Q8510" s="318"/>
      <c r="R8510" s="318"/>
      <c r="S8510" s="318"/>
      <c r="T8510" s="318"/>
      <c r="U8510" s="318"/>
      <c r="V8510" s="318"/>
      <c r="W8510" s="318"/>
      <c r="X8510" s="318"/>
      <c r="Y8510" s="318"/>
      <c r="Z8510" s="318"/>
      <c r="AA8510" s="318"/>
      <c r="AB8510" s="318"/>
      <c r="AC8510" s="318"/>
      <c r="AD8510" s="318"/>
    </row>
    <row r="8511" spans="2:30" s="323" customFormat="1" ht="12" customHeight="1">
      <c r="B8511" s="324"/>
      <c r="C8511" s="325"/>
      <c r="D8511" s="326"/>
      <c r="E8511" s="326"/>
      <c r="F8511" s="326"/>
      <c r="G8511" s="326"/>
      <c r="H8511" s="326"/>
      <c r="P8511" s="318"/>
      <c r="Q8511" s="318"/>
      <c r="R8511" s="318"/>
      <c r="S8511" s="318"/>
      <c r="T8511" s="318"/>
      <c r="U8511" s="318"/>
      <c r="V8511" s="318"/>
      <c r="W8511" s="318"/>
      <c r="X8511" s="318"/>
      <c r="Y8511" s="318"/>
      <c r="Z8511" s="318"/>
      <c r="AA8511" s="318"/>
      <c r="AB8511" s="318"/>
      <c r="AC8511" s="318"/>
      <c r="AD8511" s="318"/>
    </row>
    <row r="8512" spans="2:30" s="323" customFormat="1" ht="12" customHeight="1">
      <c r="B8512" s="324"/>
      <c r="C8512" s="325"/>
      <c r="D8512" s="326"/>
      <c r="E8512" s="326"/>
      <c r="F8512" s="326"/>
      <c r="G8512" s="326"/>
      <c r="H8512" s="326"/>
      <c r="P8512" s="318"/>
      <c r="Q8512" s="318"/>
      <c r="R8512" s="318"/>
      <c r="S8512" s="318"/>
      <c r="T8512" s="318"/>
      <c r="U8512" s="318"/>
      <c r="V8512" s="318"/>
      <c r="W8512" s="318"/>
      <c r="X8512" s="318"/>
      <c r="Y8512" s="318"/>
      <c r="Z8512" s="318"/>
      <c r="AA8512" s="318"/>
      <c r="AB8512" s="318"/>
      <c r="AC8512" s="318"/>
      <c r="AD8512" s="318"/>
    </row>
    <row r="8513" spans="2:30" s="323" customFormat="1" ht="12" customHeight="1">
      <c r="B8513" s="324"/>
      <c r="C8513" s="325"/>
      <c r="D8513" s="326"/>
      <c r="E8513" s="326"/>
      <c r="F8513" s="326"/>
      <c r="G8513" s="326"/>
      <c r="H8513" s="326"/>
      <c r="P8513" s="318"/>
      <c r="Q8513" s="318"/>
      <c r="R8513" s="318"/>
      <c r="S8513" s="318"/>
      <c r="T8513" s="318"/>
      <c r="U8513" s="318"/>
      <c r="V8513" s="318"/>
      <c r="W8513" s="318"/>
      <c r="X8513" s="318"/>
      <c r="Y8513" s="318"/>
      <c r="Z8513" s="318"/>
      <c r="AA8513" s="318"/>
      <c r="AB8513" s="318"/>
      <c r="AC8513" s="318"/>
      <c r="AD8513" s="318"/>
    </row>
    <row r="8514" spans="2:30" s="323" customFormat="1" ht="12" customHeight="1">
      <c r="B8514" s="324"/>
      <c r="C8514" s="325"/>
      <c r="D8514" s="326"/>
      <c r="E8514" s="326"/>
      <c r="F8514" s="326"/>
      <c r="G8514" s="326"/>
      <c r="H8514" s="326"/>
      <c r="P8514" s="318"/>
      <c r="Q8514" s="318"/>
      <c r="R8514" s="318"/>
      <c r="S8514" s="318"/>
      <c r="T8514" s="318"/>
      <c r="U8514" s="318"/>
      <c r="V8514" s="318"/>
      <c r="W8514" s="318"/>
      <c r="X8514" s="318"/>
      <c r="Y8514" s="318"/>
      <c r="Z8514" s="318"/>
      <c r="AA8514" s="318"/>
      <c r="AB8514" s="318"/>
      <c r="AC8514" s="318"/>
      <c r="AD8514" s="318"/>
    </row>
    <row r="8515" spans="2:30" s="323" customFormat="1" ht="12" customHeight="1">
      <c r="B8515" s="324"/>
      <c r="C8515" s="325"/>
      <c r="D8515" s="326"/>
      <c r="E8515" s="326"/>
      <c r="F8515" s="326"/>
      <c r="G8515" s="326"/>
      <c r="H8515" s="326"/>
      <c r="P8515" s="318"/>
      <c r="Q8515" s="318"/>
      <c r="R8515" s="318"/>
      <c r="S8515" s="318"/>
      <c r="T8515" s="318"/>
      <c r="U8515" s="318"/>
      <c r="V8515" s="318"/>
      <c r="W8515" s="318"/>
      <c r="X8515" s="318"/>
      <c r="Y8515" s="318"/>
      <c r="Z8515" s="318"/>
      <c r="AA8515" s="318"/>
      <c r="AB8515" s="318"/>
      <c r="AC8515" s="318"/>
      <c r="AD8515" s="318"/>
    </row>
    <row r="8516" spans="2:30" s="323" customFormat="1" ht="12" customHeight="1">
      <c r="B8516" s="324"/>
      <c r="C8516" s="325"/>
      <c r="D8516" s="326"/>
      <c r="E8516" s="326"/>
      <c r="F8516" s="326"/>
      <c r="G8516" s="326"/>
      <c r="H8516" s="326"/>
      <c r="P8516" s="318"/>
      <c r="Q8516" s="318"/>
      <c r="R8516" s="318"/>
      <c r="S8516" s="318"/>
      <c r="T8516" s="318"/>
      <c r="U8516" s="318"/>
      <c r="V8516" s="318"/>
      <c r="W8516" s="318"/>
      <c r="X8516" s="318"/>
      <c r="Y8516" s="318"/>
      <c r="Z8516" s="318"/>
      <c r="AA8516" s="318"/>
      <c r="AB8516" s="318"/>
      <c r="AC8516" s="318"/>
      <c r="AD8516" s="318"/>
    </row>
    <row r="8517" spans="2:30" s="323" customFormat="1" ht="12" customHeight="1">
      <c r="B8517" s="324"/>
      <c r="C8517" s="325"/>
      <c r="D8517" s="326"/>
      <c r="E8517" s="326"/>
      <c r="F8517" s="326"/>
      <c r="G8517" s="326"/>
      <c r="H8517" s="326"/>
      <c r="P8517" s="318"/>
      <c r="Q8517" s="318"/>
      <c r="R8517" s="318"/>
      <c r="S8517" s="318"/>
      <c r="T8517" s="318"/>
      <c r="U8517" s="318"/>
      <c r="V8517" s="318"/>
      <c r="W8517" s="318"/>
      <c r="X8517" s="318"/>
      <c r="Y8517" s="318"/>
      <c r="Z8517" s="318"/>
      <c r="AA8517" s="318"/>
      <c r="AB8517" s="318"/>
      <c r="AC8517" s="318"/>
      <c r="AD8517" s="318"/>
    </row>
    <row r="8518" spans="2:30" s="323" customFormat="1" ht="12" customHeight="1">
      <c r="B8518" s="324"/>
      <c r="C8518" s="325"/>
      <c r="D8518" s="326"/>
      <c r="E8518" s="326"/>
      <c r="F8518" s="326"/>
      <c r="G8518" s="326"/>
      <c r="H8518" s="326"/>
      <c r="P8518" s="318"/>
      <c r="Q8518" s="318"/>
      <c r="R8518" s="318"/>
      <c r="S8518" s="318"/>
      <c r="T8518" s="318"/>
      <c r="U8518" s="318"/>
      <c r="V8518" s="318"/>
      <c r="W8518" s="318"/>
      <c r="X8518" s="318"/>
      <c r="Y8518" s="318"/>
      <c r="Z8518" s="318"/>
      <c r="AA8518" s="318"/>
      <c r="AB8518" s="318"/>
      <c r="AC8518" s="318"/>
      <c r="AD8518" s="318"/>
    </row>
    <row r="8519" spans="2:30" s="323" customFormat="1" ht="12" customHeight="1">
      <c r="B8519" s="324"/>
      <c r="C8519" s="325"/>
      <c r="D8519" s="326"/>
      <c r="E8519" s="326"/>
      <c r="F8519" s="326"/>
      <c r="G8519" s="326"/>
      <c r="H8519" s="326"/>
      <c r="P8519" s="318"/>
      <c r="Q8519" s="318"/>
      <c r="R8519" s="318"/>
      <c r="S8519" s="318"/>
      <c r="T8519" s="318"/>
      <c r="U8519" s="318"/>
      <c r="V8519" s="318"/>
      <c r="W8519" s="318"/>
      <c r="X8519" s="318"/>
      <c r="Y8519" s="318"/>
      <c r="Z8519" s="318"/>
      <c r="AA8519" s="318"/>
      <c r="AB8519" s="318"/>
      <c r="AC8519" s="318"/>
      <c r="AD8519" s="318"/>
    </row>
    <row r="8520" spans="2:30" s="323" customFormat="1" ht="12" customHeight="1">
      <c r="B8520" s="324"/>
      <c r="C8520" s="325"/>
      <c r="D8520" s="326"/>
      <c r="E8520" s="326"/>
      <c r="F8520" s="326"/>
      <c r="G8520" s="326"/>
      <c r="H8520" s="326"/>
      <c r="P8520" s="318"/>
      <c r="Q8520" s="318"/>
      <c r="R8520" s="318"/>
      <c r="S8520" s="318"/>
      <c r="T8520" s="318"/>
      <c r="U8520" s="318"/>
      <c r="V8520" s="318"/>
      <c r="W8520" s="318"/>
      <c r="X8520" s="318"/>
      <c r="Y8520" s="318"/>
      <c r="Z8520" s="318"/>
      <c r="AA8520" s="318"/>
      <c r="AB8520" s="318"/>
      <c r="AC8520" s="318"/>
      <c r="AD8520" s="318"/>
    </row>
    <row r="8521" spans="2:30" s="323" customFormat="1" ht="12" customHeight="1">
      <c r="B8521" s="324"/>
      <c r="C8521" s="325"/>
      <c r="D8521" s="326"/>
      <c r="E8521" s="326"/>
      <c r="F8521" s="326"/>
      <c r="G8521" s="326"/>
      <c r="H8521" s="326"/>
      <c r="P8521" s="318"/>
      <c r="Q8521" s="318"/>
      <c r="R8521" s="318"/>
      <c r="S8521" s="318"/>
      <c r="T8521" s="318"/>
      <c r="U8521" s="318"/>
      <c r="V8521" s="318"/>
      <c r="W8521" s="318"/>
      <c r="X8521" s="318"/>
      <c r="Y8521" s="318"/>
      <c r="Z8521" s="318"/>
      <c r="AA8521" s="318"/>
      <c r="AB8521" s="318"/>
      <c r="AC8521" s="318"/>
      <c r="AD8521" s="318"/>
    </row>
    <row r="8522" spans="2:30" s="323" customFormat="1" ht="12" customHeight="1">
      <c r="B8522" s="324"/>
      <c r="C8522" s="325"/>
      <c r="D8522" s="326"/>
      <c r="E8522" s="326"/>
      <c r="F8522" s="326"/>
      <c r="G8522" s="326"/>
      <c r="H8522" s="326"/>
      <c r="P8522" s="318"/>
      <c r="Q8522" s="318"/>
      <c r="R8522" s="318"/>
      <c r="S8522" s="318"/>
      <c r="T8522" s="318"/>
      <c r="U8522" s="318"/>
      <c r="V8522" s="318"/>
      <c r="W8522" s="318"/>
      <c r="X8522" s="318"/>
      <c r="Y8522" s="318"/>
      <c r="Z8522" s="318"/>
      <c r="AA8522" s="318"/>
      <c r="AB8522" s="318"/>
      <c r="AC8522" s="318"/>
      <c r="AD8522" s="318"/>
    </row>
    <row r="8523" spans="2:30" s="323" customFormat="1" ht="12" customHeight="1">
      <c r="B8523" s="324"/>
      <c r="C8523" s="325"/>
      <c r="D8523" s="326"/>
      <c r="E8523" s="326"/>
      <c r="F8523" s="326"/>
      <c r="G8523" s="326"/>
      <c r="H8523" s="326"/>
      <c r="P8523" s="318"/>
      <c r="Q8523" s="318"/>
      <c r="R8523" s="318"/>
      <c r="S8523" s="318"/>
      <c r="T8523" s="318"/>
      <c r="U8523" s="318"/>
      <c r="V8523" s="318"/>
      <c r="W8523" s="318"/>
      <c r="X8523" s="318"/>
      <c r="Y8523" s="318"/>
      <c r="Z8523" s="318"/>
      <c r="AA8523" s="318"/>
      <c r="AB8523" s="318"/>
      <c r="AC8523" s="318"/>
      <c r="AD8523" s="318"/>
    </row>
    <row r="8524" spans="2:30" s="323" customFormat="1" ht="12" customHeight="1">
      <c r="B8524" s="324"/>
      <c r="C8524" s="325"/>
      <c r="D8524" s="326"/>
      <c r="E8524" s="326"/>
      <c r="F8524" s="326"/>
      <c r="G8524" s="326"/>
      <c r="H8524" s="326"/>
      <c r="P8524" s="318"/>
      <c r="Q8524" s="318"/>
      <c r="R8524" s="318"/>
      <c r="S8524" s="318"/>
      <c r="T8524" s="318"/>
      <c r="U8524" s="318"/>
      <c r="V8524" s="318"/>
      <c r="W8524" s="318"/>
      <c r="X8524" s="318"/>
      <c r="Y8524" s="318"/>
      <c r="Z8524" s="318"/>
      <c r="AA8524" s="318"/>
      <c r="AB8524" s="318"/>
      <c r="AC8524" s="318"/>
      <c r="AD8524" s="318"/>
    </row>
    <row r="8525" spans="2:30" s="323" customFormat="1" ht="12" customHeight="1">
      <c r="B8525" s="324"/>
      <c r="C8525" s="325"/>
      <c r="D8525" s="326"/>
      <c r="E8525" s="326"/>
      <c r="F8525" s="326"/>
      <c r="G8525" s="326"/>
      <c r="H8525" s="326"/>
      <c r="P8525" s="318"/>
      <c r="Q8525" s="318"/>
      <c r="R8525" s="318"/>
      <c r="S8525" s="318"/>
      <c r="T8525" s="318"/>
      <c r="U8525" s="318"/>
      <c r="V8525" s="318"/>
      <c r="W8525" s="318"/>
      <c r="X8525" s="318"/>
      <c r="Y8525" s="318"/>
      <c r="Z8525" s="318"/>
      <c r="AA8525" s="318"/>
      <c r="AB8525" s="318"/>
      <c r="AC8525" s="318"/>
      <c r="AD8525" s="318"/>
    </row>
    <row r="8526" spans="2:30" s="323" customFormat="1" ht="12" customHeight="1">
      <c r="B8526" s="324"/>
      <c r="C8526" s="325"/>
      <c r="D8526" s="326"/>
      <c r="E8526" s="326"/>
      <c r="F8526" s="326"/>
      <c r="G8526" s="326"/>
      <c r="H8526" s="326"/>
      <c r="P8526" s="318"/>
      <c r="Q8526" s="318"/>
      <c r="R8526" s="318"/>
      <c r="S8526" s="318"/>
      <c r="T8526" s="318"/>
      <c r="U8526" s="318"/>
      <c r="V8526" s="318"/>
      <c r="W8526" s="318"/>
      <c r="X8526" s="318"/>
      <c r="Y8526" s="318"/>
      <c r="Z8526" s="318"/>
      <c r="AA8526" s="318"/>
      <c r="AB8526" s="318"/>
      <c r="AC8526" s="318"/>
      <c r="AD8526" s="318"/>
    </row>
    <row r="8527" spans="2:30" s="323" customFormat="1" ht="12" customHeight="1">
      <c r="B8527" s="324"/>
      <c r="C8527" s="325"/>
      <c r="D8527" s="326"/>
      <c r="E8527" s="326"/>
      <c r="F8527" s="326"/>
      <c r="G8527" s="326"/>
      <c r="H8527" s="326"/>
      <c r="P8527" s="318"/>
      <c r="Q8527" s="318"/>
      <c r="R8527" s="318"/>
      <c r="S8527" s="318"/>
      <c r="T8527" s="318"/>
      <c r="U8527" s="318"/>
      <c r="V8527" s="318"/>
      <c r="W8527" s="318"/>
      <c r="X8527" s="318"/>
      <c r="Y8527" s="318"/>
      <c r="Z8527" s="318"/>
      <c r="AA8527" s="318"/>
      <c r="AB8527" s="318"/>
      <c r="AC8527" s="318"/>
      <c r="AD8527" s="318"/>
    </row>
    <row r="8528" spans="2:30" s="323" customFormat="1" ht="12" customHeight="1">
      <c r="B8528" s="324"/>
      <c r="C8528" s="325"/>
      <c r="D8528" s="326"/>
      <c r="E8528" s="326"/>
      <c r="F8528" s="326"/>
      <c r="G8528" s="326"/>
      <c r="H8528" s="326"/>
      <c r="P8528" s="318"/>
      <c r="Q8528" s="318"/>
      <c r="R8528" s="318"/>
      <c r="S8528" s="318"/>
      <c r="T8528" s="318"/>
      <c r="U8528" s="318"/>
      <c r="V8528" s="318"/>
      <c r="W8528" s="318"/>
      <c r="X8528" s="318"/>
      <c r="Y8528" s="318"/>
      <c r="Z8528" s="318"/>
      <c r="AA8528" s="318"/>
      <c r="AB8528" s="318"/>
      <c r="AC8528" s="318"/>
      <c r="AD8528" s="318"/>
    </row>
    <row r="8529" spans="2:30" s="323" customFormat="1" ht="12" customHeight="1">
      <c r="B8529" s="324"/>
      <c r="C8529" s="325"/>
      <c r="D8529" s="326"/>
      <c r="E8529" s="326"/>
      <c r="F8529" s="326"/>
      <c r="G8529" s="326"/>
      <c r="H8529" s="326"/>
      <c r="P8529" s="318"/>
      <c r="Q8529" s="318"/>
      <c r="R8529" s="318"/>
      <c r="S8529" s="318"/>
      <c r="T8529" s="318"/>
      <c r="U8529" s="318"/>
      <c r="V8529" s="318"/>
      <c r="W8529" s="318"/>
      <c r="X8529" s="318"/>
      <c r="Y8529" s="318"/>
      <c r="Z8529" s="318"/>
      <c r="AA8529" s="318"/>
      <c r="AB8529" s="318"/>
      <c r="AC8529" s="318"/>
      <c r="AD8529" s="318"/>
    </row>
    <row r="8530" spans="2:30" s="323" customFormat="1" ht="12" customHeight="1">
      <c r="B8530" s="324"/>
      <c r="C8530" s="325"/>
      <c r="D8530" s="326"/>
      <c r="E8530" s="326"/>
      <c r="F8530" s="326"/>
      <c r="G8530" s="326"/>
      <c r="H8530" s="326"/>
      <c r="P8530" s="318"/>
      <c r="Q8530" s="318"/>
      <c r="R8530" s="318"/>
      <c r="S8530" s="318"/>
      <c r="T8530" s="318"/>
      <c r="U8530" s="318"/>
      <c r="V8530" s="318"/>
      <c r="W8530" s="318"/>
      <c r="X8530" s="318"/>
      <c r="Y8530" s="318"/>
      <c r="Z8530" s="318"/>
      <c r="AA8530" s="318"/>
      <c r="AB8530" s="318"/>
      <c r="AC8530" s="318"/>
      <c r="AD8530" s="318"/>
    </row>
    <row r="8531" spans="2:30" s="323" customFormat="1" ht="12" customHeight="1">
      <c r="B8531" s="324"/>
      <c r="C8531" s="325"/>
      <c r="D8531" s="326"/>
      <c r="E8531" s="326"/>
      <c r="F8531" s="326"/>
      <c r="G8531" s="326"/>
      <c r="H8531" s="326"/>
      <c r="P8531" s="318"/>
      <c r="Q8531" s="318"/>
      <c r="R8531" s="318"/>
      <c r="S8531" s="318"/>
      <c r="T8531" s="318"/>
      <c r="U8531" s="318"/>
      <c r="V8531" s="318"/>
      <c r="W8531" s="318"/>
      <c r="X8531" s="318"/>
      <c r="Y8531" s="318"/>
      <c r="Z8531" s="318"/>
      <c r="AA8531" s="318"/>
      <c r="AB8531" s="318"/>
      <c r="AC8531" s="318"/>
      <c r="AD8531" s="318"/>
    </row>
    <row r="8532" spans="2:30" s="323" customFormat="1" ht="12" customHeight="1">
      <c r="B8532" s="324"/>
      <c r="C8532" s="325"/>
      <c r="D8532" s="326"/>
      <c r="E8532" s="326"/>
      <c r="F8532" s="326"/>
      <c r="G8532" s="326"/>
      <c r="H8532" s="326"/>
      <c r="P8532" s="318"/>
      <c r="Q8532" s="318"/>
      <c r="R8532" s="318"/>
      <c r="S8532" s="318"/>
      <c r="T8532" s="318"/>
      <c r="U8532" s="318"/>
      <c r="V8532" s="318"/>
      <c r="W8532" s="318"/>
      <c r="X8532" s="318"/>
      <c r="Y8532" s="318"/>
      <c r="Z8532" s="318"/>
      <c r="AA8532" s="318"/>
      <c r="AB8532" s="318"/>
      <c r="AC8532" s="318"/>
      <c r="AD8532" s="318"/>
    </row>
    <row r="8533" spans="2:30" s="323" customFormat="1" ht="12" customHeight="1">
      <c r="B8533" s="324"/>
      <c r="C8533" s="325"/>
      <c r="D8533" s="326"/>
      <c r="E8533" s="326"/>
      <c r="F8533" s="326"/>
      <c r="G8533" s="326"/>
      <c r="H8533" s="326"/>
      <c r="P8533" s="318"/>
      <c r="Q8533" s="318"/>
      <c r="R8533" s="318"/>
      <c r="S8533" s="318"/>
      <c r="T8533" s="318"/>
      <c r="U8533" s="318"/>
      <c r="V8533" s="318"/>
      <c r="W8533" s="318"/>
      <c r="X8533" s="318"/>
      <c r="Y8533" s="318"/>
      <c r="Z8533" s="318"/>
      <c r="AA8533" s="318"/>
      <c r="AB8533" s="318"/>
      <c r="AC8533" s="318"/>
      <c r="AD8533" s="318"/>
    </row>
    <row r="8534" spans="2:30" s="323" customFormat="1" ht="12" customHeight="1">
      <c r="B8534" s="324"/>
      <c r="C8534" s="325"/>
      <c r="D8534" s="326"/>
      <c r="E8534" s="326"/>
      <c r="F8534" s="326"/>
      <c r="G8534" s="326"/>
      <c r="H8534" s="326"/>
      <c r="P8534" s="318"/>
      <c r="Q8534" s="318"/>
      <c r="R8534" s="318"/>
      <c r="S8534" s="318"/>
      <c r="T8534" s="318"/>
      <c r="U8534" s="318"/>
      <c r="V8534" s="318"/>
      <c r="W8534" s="318"/>
      <c r="X8534" s="318"/>
      <c r="Y8534" s="318"/>
      <c r="Z8534" s="318"/>
      <c r="AA8534" s="318"/>
      <c r="AB8534" s="318"/>
      <c r="AC8534" s="318"/>
      <c r="AD8534" s="318"/>
    </row>
    <row r="8535" spans="2:30" s="323" customFormat="1" ht="12" customHeight="1">
      <c r="B8535" s="324"/>
      <c r="C8535" s="325"/>
      <c r="D8535" s="326"/>
      <c r="E8535" s="326"/>
      <c r="F8535" s="326"/>
      <c r="G8535" s="326"/>
      <c r="H8535" s="326"/>
      <c r="P8535" s="318"/>
      <c r="Q8535" s="318"/>
      <c r="R8535" s="318"/>
      <c r="S8535" s="318"/>
      <c r="T8535" s="318"/>
      <c r="U8535" s="318"/>
      <c r="V8535" s="318"/>
      <c r="W8535" s="318"/>
      <c r="X8535" s="318"/>
      <c r="Y8535" s="318"/>
      <c r="Z8535" s="318"/>
      <c r="AA8535" s="318"/>
      <c r="AB8535" s="318"/>
      <c r="AC8535" s="318"/>
      <c r="AD8535" s="318"/>
    </row>
    <row r="8536" spans="2:30" s="323" customFormat="1" ht="12" customHeight="1">
      <c r="B8536" s="324"/>
      <c r="C8536" s="325"/>
      <c r="D8536" s="326"/>
      <c r="E8536" s="326"/>
      <c r="F8536" s="326"/>
      <c r="G8536" s="326"/>
      <c r="H8536" s="326"/>
      <c r="P8536" s="318"/>
      <c r="Q8536" s="318"/>
      <c r="R8536" s="318"/>
      <c r="S8536" s="318"/>
      <c r="T8536" s="318"/>
      <c r="U8536" s="318"/>
      <c r="V8536" s="318"/>
      <c r="W8536" s="318"/>
      <c r="X8536" s="318"/>
      <c r="Y8536" s="318"/>
      <c r="Z8536" s="318"/>
      <c r="AA8536" s="318"/>
      <c r="AB8536" s="318"/>
      <c r="AC8536" s="318"/>
      <c r="AD8536" s="318"/>
    </row>
    <row r="8537" spans="2:30" s="323" customFormat="1" ht="12" customHeight="1">
      <c r="B8537" s="324"/>
      <c r="C8537" s="325"/>
      <c r="D8537" s="326"/>
      <c r="E8537" s="326"/>
      <c r="F8537" s="326"/>
      <c r="G8537" s="326"/>
      <c r="H8537" s="326"/>
      <c r="P8537" s="318"/>
      <c r="Q8537" s="318"/>
      <c r="R8537" s="318"/>
      <c r="S8537" s="318"/>
      <c r="T8537" s="318"/>
      <c r="U8537" s="318"/>
      <c r="V8537" s="318"/>
      <c r="W8537" s="318"/>
      <c r="X8537" s="318"/>
      <c r="Y8537" s="318"/>
      <c r="Z8537" s="318"/>
      <c r="AA8537" s="318"/>
      <c r="AB8537" s="318"/>
      <c r="AC8537" s="318"/>
      <c r="AD8537" s="318"/>
    </row>
    <row r="8538" spans="2:30" s="323" customFormat="1" ht="12" customHeight="1">
      <c r="B8538" s="324"/>
      <c r="C8538" s="325"/>
      <c r="D8538" s="326"/>
      <c r="E8538" s="326"/>
      <c r="F8538" s="326"/>
      <c r="G8538" s="326"/>
      <c r="H8538" s="326"/>
      <c r="P8538" s="318"/>
      <c r="Q8538" s="318"/>
      <c r="R8538" s="318"/>
      <c r="S8538" s="318"/>
      <c r="T8538" s="318"/>
      <c r="U8538" s="318"/>
      <c r="V8538" s="318"/>
      <c r="W8538" s="318"/>
      <c r="X8538" s="318"/>
      <c r="Y8538" s="318"/>
      <c r="Z8538" s="318"/>
      <c r="AA8538" s="318"/>
      <c r="AB8538" s="318"/>
      <c r="AC8538" s="318"/>
      <c r="AD8538" s="318"/>
    </row>
    <row r="8539" spans="2:30" s="323" customFormat="1" ht="12" customHeight="1">
      <c r="B8539" s="324"/>
      <c r="C8539" s="325"/>
      <c r="D8539" s="326"/>
      <c r="E8539" s="326"/>
      <c r="F8539" s="326"/>
      <c r="G8539" s="326"/>
      <c r="H8539" s="326"/>
      <c r="P8539" s="318"/>
      <c r="Q8539" s="318"/>
      <c r="R8539" s="318"/>
      <c r="S8539" s="318"/>
      <c r="T8539" s="318"/>
      <c r="U8539" s="318"/>
      <c r="V8539" s="318"/>
      <c r="W8539" s="318"/>
      <c r="X8539" s="318"/>
      <c r="Y8539" s="318"/>
      <c r="Z8539" s="318"/>
      <c r="AA8539" s="318"/>
      <c r="AB8539" s="318"/>
      <c r="AC8539" s="318"/>
      <c r="AD8539" s="318"/>
    </row>
    <row r="8540" spans="2:30" s="323" customFormat="1" ht="12" customHeight="1">
      <c r="B8540" s="324"/>
      <c r="C8540" s="325"/>
      <c r="D8540" s="326"/>
      <c r="E8540" s="326"/>
      <c r="F8540" s="326"/>
      <c r="G8540" s="326"/>
      <c r="H8540" s="326"/>
      <c r="P8540" s="318"/>
      <c r="Q8540" s="318"/>
      <c r="R8540" s="318"/>
      <c r="S8540" s="318"/>
      <c r="T8540" s="318"/>
      <c r="U8540" s="318"/>
      <c r="V8540" s="318"/>
      <c r="W8540" s="318"/>
      <c r="X8540" s="318"/>
      <c r="Y8540" s="318"/>
      <c r="Z8540" s="318"/>
      <c r="AA8540" s="318"/>
      <c r="AB8540" s="318"/>
      <c r="AC8540" s="318"/>
      <c r="AD8540" s="318"/>
    </row>
    <row r="8541" spans="2:30" s="323" customFormat="1" ht="12" customHeight="1">
      <c r="B8541" s="324"/>
      <c r="C8541" s="325"/>
      <c r="D8541" s="326"/>
      <c r="E8541" s="326"/>
      <c r="F8541" s="326"/>
      <c r="G8541" s="326"/>
      <c r="H8541" s="326"/>
      <c r="P8541" s="318"/>
      <c r="Q8541" s="318"/>
      <c r="R8541" s="318"/>
      <c r="S8541" s="318"/>
      <c r="T8541" s="318"/>
      <c r="U8541" s="318"/>
      <c r="V8541" s="318"/>
      <c r="W8541" s="318"/>
      <c r="X8541" s="318"/>
      <c r="Y8541" s="318"/>
      <c r="Z8541" s="318"/>
      <c r="AA8541" s="318"/>
      <c r="AB8541" s="318"/>
      <c r="AC8541" s="318"/>
      <c r="AD8541" s="318"/>
    </row>
    <row r="8542" spans="2:30" s="323" customFormat="1" ht="12" customHeight="1">
      <c r="B8542" s="324"/>
      <c r="C8542" s="325"/>
      <c r="D8542" s="326"/>
      <c r="E8542" s="326"/>
      <c r="F8542" s="326"/>
      <c r="G8542" s="326"/>
      <c r="H8542" s="326"/>
      <c r="P8542" s="318"/>
      <c r="Q8542" s="318"/>
      <c r="R8542" s="318"/>
      <c r="S8542" s="318"/>
      <c r="T8542" s="318"/>
      <c r="U8542" s="318"/>
      <c r="V8542" s="318"/>
      <c r="W8542" s="318"/>
      <c r="X8542" s="318"/>
      <c r="Y8542" s="318"/>
      <c r="Z8542" s="318"/>
      <c r="AA8542" s="318"/>
      <c r="AB8542" s="318"/>
      <c r="AC8542" s="318"/>
      <c r="AD8542" s="318"/>
    </row>
    <row r="8543" spans="2:30" s="323" customFormat="1" ht="12" customHeight="1">
      <c r="B8543" s="324"/>
      <c r="C8543" s="325"/>
      <c r="D8543" s="326"/>
      <c r="E8543" s="326"/>
      <c r="F8543" s="326"/>
      <c r="G8543" s="326"/>
      <c r="H8543" s="326"/>
      <c r="P8543" s="318"/>
      <c r="Q8543" s="318"/>
      <c r="R8543" s="318"/>
      <c r="S8543" s="318"/>
      <c r="T8543" s="318"/>
      <c r="U8543" s="318"/>
      <c r="V8543" s="318"/>
      <c r="W8543" s="318"/>
      <c r="X8543" s="318"/>
      <c r="Y8543" s="318"/>
      <c r="Z8543" s="318"/>
      <c r="AA8543" s="318"/>
      <c r="AB8543" s="318"/>
      <c r="AC8543" s="318"/>
      <c r="AD8543" s="318"/>
    </row>
    <row r="8544" spans="2:30" s="323" customFormat="1" ht="12" customHeight="1">
      <c r="B8544" s="324"/>
      <c r="C8544" s="325"/>
      <c r="D8544" s="326"/>
      <c r="E8544" s="326"/>
      <c r="F8544" s="326"/>
      <c r="G8544" s="326"/>
      <c r="H8544" s="326"/>
      <c r="P8544" s="318"/>
      <c r="Q8544" s="318"/>
      <c r="R8544" s="318"/>
      <c r="S8544" s="318"/>
      <c r="T8544" s="318"/>
      <c r="U8544" s="318"/>
      <c r="V8544" s="318"/>
      <c r="W8544" s="318"/>
      <c r="X8544" s="318"/>
      <c r="Y8544" s="318"/>
      <c r="Z8544" s="318"/>
      <c r="AA8544" s="318"/>
      <c r="AB8544" s="318"/>
      <c r="AC8544" s="318"/>
      <c r="AD8544" s="318"/>
    </row>
    <row r="8545" spans="2:30" s="323" customFormat="1" ht="12" customHeight="1">
      <c r="B8545" s="324"/>
      <c r="C8545" s="325"/>
      <c r="D8545" s="326"/>
      <c r="E8545" s="326"/>
      <c r="F8545" s="326"/>
      <c r="G8545" s="326"/>
      <c r="H8545" s="326"/>
      <c r="P8545" s="318"/>
      <c r="Q8545" s="318"/>
      <c r="R8545" s="318"/>
      <c r="S8545" s="318"/>
      <c r="T8545" s="318"/>
      <c r="U8545" s="318"/>
      <c r="V8545" s="318"/>
      <c r="W8545" s="318"/>
      <c r="X8545" s="318"/>
      <c r="Y8545" s="318"/>
      <c r="Z8545" s="318"/>
      <c r="AA8545" s="318"/>
      <c r="AB8545" s="318"/>
      <c r="AC8545" s="318"/>
      <c r="AD8545" s="318"/>
    </row>
    <row r="8546" spans="2:30" s="323" customFormat="1" ht="12" customHeight="1">
      <c r="B8546" s="324"/>
      <c r="C8546" s="325"/>
      <c r="D8546" s="326"/>
      <c r="E8546" s="326"/>
      <c r="F8546" s="326"/>
      <c r="G8546" s="326"/>
      <c r="H8546" s="326"/>
      <c r="P8546" s="318"/>
      <c r="Q8546" s="318"/>
      <c r="R8546" s="318"/>
      <c r="S8546" s="318"/>
      <c r="T8546" s="318"/>
      <c r="U8546" s="318"/>
      <c r="V8546" s="318"/>
      <c r="W8546" s="318"/>
      <c r="X8546" s="318"/>
      <c r="Y8546" s="318"/>
      <c r="Z8546" s="318"/>
      <c r="AA8546" s="318"/>
      <c r="AB8546" s="318"/>
      <c r="AC8546" s="318"/>
      <c r="AD8546" s="318"/>
    </row>
    <row r="8547" spans="2:30" s="323" customFormat="1" ht="12" customHeight="1">
      <c r="B8547" s="324"/>
      <c r="C8547" s="325"/>
      <c r="D8547" s="326"/>
      <c r="E8547" s="326"/>
      <c r="F8547" s="326"/>
      <c r="G8547" s="326"/>
      <c r="H8547" s="326"/>
      <c r="P8547" s="318"/>
      <c r="Q8547" s="318"/>
      <c r="R8547" s="318"/>
      <c r="S8547" s="318"/>
      <c r="T8547" s="318"/>
      <c r="U8547" s="318"/>
      <c r="V8547" s="318"/>
      <c r="W8547" s="318"/>
      <c r="X8547" s="318"/>
      <c r="Y8547" s="318"/>
      <c r="Z8547" s="318"/>
      <c r="AA8547" s="318"/>
      <c r="AB8547" s="318"/>
      <c r="AC8547" s="318"/>
      <c r="AD8547" s="318"/>
    </row>
    <row r="8548" spans="2:30" s="323" customFormat="1" ht="12" customHeight="1">
      <c r="B8548" s="324"/>
      <c r="C8548" s="325"/>
      <c r="D8548" s="326"/>
      <c r="E8548" s="326"/>
      <c r="F8548" s="326"/>
      <c r="G8548" s="326"/>
      <c r="H8548" s="326"/>
      <c r="P8548" s="318"/>
      <c r="Q8548" s="318"/>
      <c r="R8548" s="318"/>
      <c r="S8548" s="318"/>
      <c r="T8548" s="318"/>
      <c r="U8548" s="318"/>
      <c r="V8548" s="318"/>
      <c r="W8548" s="318"/>
      <c r="X8548" s="318"/>
      <c r="Y8548" s="318"/>
      <c r="Z8548" s="318"/>
      <c r="AA8548" s="318"/>
      <c r="AB8548" s="318"/>
      <c r="AC8548" s="318"/>
      <c r="AD8548" s="318"/>
    </row>
    <row r="8549" spans="2:30" s="323" customFormat="1" ht="12" customHeight="1">
      <c r="B8549" s="324"/>
      <c r="C8549" s="325"/>
      <c r="D8549" s="326"/>
      <c r="E8549" s="326"/>
      <c r="F8549" s="326"/>
      <c r="G8549" s="326"/>
      <c r="H8549" s="326"/>
      <c r="P8549" s="318"/>
      <c r="Q8549" s="318"/>
      <c r="R8549" s="318"/>
      <c r="S8549" s="318"/>
      <c r="T8549" s="318"/>
      <c r="U8549" s="318"/>
      <c r="V8549" s="318"/>
      <c r="W8549" s="318"/>
      <c r="X8549" s="318"/>
      <c r="Y8549" s="318"/>
      <c r="Z8549" s="318"/>
      <c r="AA8549" s="318"/>
      <c r="AB8549" s="318"/>
      <c r="AC8549" s="318"/>
      <c r="AD8549" s="318"/>
    </row>
    <row r="8550" spans="2:30" s="323" customFormat="1" ht="12" customHeight="1">
      <c r="B8550" s="324"/>
      <c r="C8550" s="325"/>
      <c r="D8550" s="326"/>
      <c r="E8550" s="326"/>
      <c r="F8550" s="326"/>
      <c r="G8550" s="326"/>
      <c r="H8550" s="326"/>
      <c r="P8550" s="318"/>
      <c r="Q8550" s="318"/>
      <c r="R8550" s="318"/>
      <c r="S8550" s="318"/>
      <c r="T8550" s="318"/>
      <c r="U8550" s="318"/>
      <c r="V8550" s="318"/>
      <c r="W8550" s="318"/>
      <c r="X8550" s="318"/>
      <c r="Y8550" s="318"/>
      <c r="Z8550" s="318"/>
      <c r="AA8550" s="318"/>
      <c r="AB8550" s="318"/>
      <c r="AC8550" s="318"/>
      <c r="AD8550" s="318"/>
    </row>
    <row r="8551" spans="2:30" s="323" customFormat="1" ht="12" customHeight="1">
      <c r="B8551" s="324"/>
      <c r="C8551" s="325"/>
      <c r="D8551" s="326"/>
      <c r="E8551" s="326"/>
      <c r="F8551" s="326"/>
      <c r="G8551" s="326"/>
      <c r="H8551" s="326"/>
      <c r="P8551" s="318"/>
      <c r="Q8551" s="318"/>
      <c r="R8551" s="318"/>
      <c r="S8551" s="318"/>
      <c r="T8551" s="318"/>
      <c r="U8551" s="318"/>
      <c r="V8551" s="318"/>
      <c r="W8551" s="318"/>
      <c r="X8551" s="318"/>
      <c r="Y8551" s="318"/>
      <c r="Z8551" s="318"/>
      <c r="AA8551" s="318"/>
      <c r="AB8551" s="318"/>
      <c r="AC8551" s="318"/>
      <c r="AD8551" s="318"/>
    </row>
    <row r="8552" spans="2:30" s="323" customFormat="1" ht="12" customHeight="1">
      <c r="B8552" s="324"/>
      <c r="C8552" s="325"/>
      <c r="D8552" s="326"/>
      <c r="E8552" s="326"/>
      <c r="F8552" s="326"/>
      <c r="G8552" s="326"/>
      <c r="H8552" s="326"/>
      <c r="P8552" s="318"/>
      <c r="Q8552" s="318"/>
      <c r="R8552" s="318"/>
      <c r="S8552" s="318"/>
      <c r="T8552" s="318"/>
      <c r="U8552" s="318"/>
      <c r="V8552" s="318"/>
      <c r="W8552" s="318"/>
      <c r="X8552" s="318"/>
      <c r="Y8552" s="318"/>
      <c r="Z8552" s="318"/>
      <c r="AA8552" s="318"/>
      <c r="AB8552" s="318"/>
      <c r="AC8552" s="318"/>
      <c r="AD8552" s="318"/>
    </row>
    <row r="8553" spans="2:30" s="323" customFormat="1" ht="12" customHeight="1">
      <c r="B8553" s="324"/>
      <c r="C8553" s="325"/>
      <c r="D8553" s="326"/>
      <c r="E8553" s="326"/>
      <c r="F8553" s="326"/>
      <c r="G8553" s="326"/>
      <c r="H8553" s="326"/>
      <c r="P8553" s="318"/>
      <c r="Q8553" s="318"/>
      <c r="R8553" s="318"/>
      <c r="S8553" s="318"/>
      <c r="T8553" s="318"/>
      <c r="U8553" s="318"/>
      <c r="V8553" s="318"/>
      <c r="W8553" s="318"/>
      <c r="X8553" s="318"/>
      <c r="Y8553" s="318"/>
      <c r="Z8553" s="318"/>
      <c r="AA8553" s="318"/>
      <c r="AB8553" s="318"/>
      <c r="AC8553" s="318"/>
      <c r="AD8553" s="318"/>
    </row>
    <row r="8554" spans="2:30" s="323" customFormat="1" ht="12" customHeight="1">
      <c r="B8554" s="324"/>
      <c r="C8554" s="325"/>
      <c r="D8554" s="326"/>
      <c r="E8554" s="326"/>
      <c r="F8554" s="326"/>
      <c r="G8554" s="326"/>
      <c r="H8554" s="326"/>
      <c r="P8554" s="318"/>
      <c r="Q8554" s="318"/>
      <c r="R8554" s="318"/>
      <c r="S8554" s="318"/>
      <c r="T8554" s="318"/>
      <c r="U8554" s="318"/>
      <c r="V8554" s="318"/>
      <c r="W8554" s="318"/>
      <c r="X8554" s="318"/>
      <c r="Y8554" s="318"/>
      <c r="Z8554" s="318"/>
      <c r="AA8554" s="318"/>
      <c r="AB8554" s="318"/>
      <c r="AC8554" s="318"/>
      <c r="AD8554" s="318"/>
    </row>
    <row r="8555" spans="2:30" s="323" customFormat="1" ht="12" customHeight="1">
      <c r="B8555" s="324"/>
      <c r="C8555" s="325"/>
      <c r="D8555" s="326"/>
      <c r="E8555" s="326"/>
      <c r="F8555" s="326"/>
      <c r="G8555" s="326"/>
      <c r="H8555" s="326"/>
      <c r="P8555" s="318"/>
      <c r="Q8555" s="318"/>
      <c r="R8555" s="318"/>
      <c r="S8555" s="318"/>
      <c r="T8555" s="318"/>
      <c r="U8555" s="318"/>
      <c r="V8555" s="318"/>
      <c r="W8555" s="318"/>
      <c r="X8555" s="318"/>
      <c r="Y8555" s="318"/>
      <c r="Z8555" s="318"/>
      <c r="AA8555" s="318"/>
      <c r="AB8555" s="318"/>
      <c r="AC8555" s="318"/>
      <c r="AD8555" s="318"/>
    </row>
    <row r="8556" spans="2:30" s="323" customFormat="1" ht="12" customHeight="1">
      <c r="B8556" s="324"/>
      <c r="C8556" s="325"/>
      <c r="D8556" s="326"/>
      <c r="E8556" s="326"/>
      <c r="F8556" s="326"/>
      <c r="G8556" s="326"/>
      <c r="H8556" s="326"/>
      <c r="P8556" s="318"/>
      <c r="Q8556" s="318"/>
      <c r="R8556" s="318"/>
      <c r="S8556" s="318"/>
      <c r="T8556" s="318"/>
      <c r="U8556" s="318"/>
      <c r="V8556" s="318"/>
      <c r="W8556" s="318"/>
      <c r="X8556" s="318"/>
      <c r="Y8556" s="318"/>
      <c r="Z8556" s="318"/>
      <c r="AA8556" s="318"/>
      <c r="AB8556" s="318"/>
      <c r="AC8556" s="318"/>
      <c r="AD8556" s="318"/>
    </row>
    <row r="8557" spans="2:30" s="323" customFormat="1" ht="12" customHeight="1">
      <c r="B8557" s="324"/>
      <c r="C8557" s="325"/>
      <c r="D8557" s="326"/>
      <c r="E8557" s="326"/>
      <c r="F8557" s="326"/>
      <c r="G8557" s="326"/>
      <c r="H8557" s="326"/>
      <c r="P8557" s="318"/>
      <c r="Q8557" s="318"/>
      <c r="R8557" s="318"/>
      <c r="S8557" s="318"/>
      <c r="T8557" s="318"/>
      <c r="U8557" s="318"/>
      <c r="V8557" s="318"/>
      <c r="W8557" s="318"/>
      <c r="X8557" s="318"/>
      <c r="Y8557" s="318"/>
      <c r="Z8557" s="318"/>
      <c r="AA8557" s="318"/>
      <c r="AB8557" s="318"/>
      <c r="AC8557" s="318"/>
      <c r="AD8557" s="318"/>
    </row>
    <row r="8558" spans="2:30" s="323" customFormat="1" ht="12" customHeight="1">
      <c r="B8558" s="324"/>
      <c r="C8558" s="325"/>
      <c r="D8558" s="326"/>
      <c r="E8558" s="326"/>
      <c r="F8558" s="326"/>
      <c r="G8558" s="326"/>
      <c r="H8558" s="326"/>
      <c r="P8558" s="318"/>
      <c r="Q8558" s="318"/>
      <c r="R8558" s="318"/>
      <c r="S8558" s="318"/>
      <c r="T8558" s="318"/>
      <c r="U8558" s="318"/>
      <c r="V8558" s="318"/>
      <c r="W8558" s="318"/>
      <c r="X8558" s="318"/>
      <c r="Y8558" s="318"/>
      <c r="Z8558" s="318"/>
      <c r="AA8558" s="318"/>
      <c r="AB8558" s="318"/>
      <c r="AC8558" s="318"/>
      <c r="AD8558" s="318"/>
    </row>
    <row r="8559" spans="2:30" s="323" customFormat="1" ht="12" customHeight="1">
      <c r="B8559" s="324"/>
      <c r="C8559" s="325"/>
      <c r="D8559" s="326"/>
      <c r="E8559" s="326"/>
      <c r="F8559" s="326"/>
      <c r="G8559" s="326"/>
      <c r="H8559" s="326"/>
      <c r="P8559" s="318"/>
      <c r="Q8559" s="318"/>
      <c r="R8559" s="318"/>
      <c r="S8559" s="318"/>
      <c r="T8559" s="318"/>
      <c r="U8559" s="318"/>
      <c r="V8559" s="318"/>
      <c r="W8559" s="318"/>
      <c r="X8559" s="318"/>
      <c r="Y8559" s="318"/>
      <c r="Z8559" s="318"/>
      <c r="AA8559" s="318"/>
      <c r="AB8559" s="318"/>
      <c r="AC8559" s="318"/>
      <c r="AD8559" s="318"/>
    </row>
    <row r="8560" spans="2:30" s="323" customFormat="1" ht="12" customHeight="1">
      <c r="B8560" s="324"/>
      <c r="C8560" s="325"/>
      <c r="D8560" s="326"/>
      <c r="E8560" s="326"/>
      <c r="F8560" s="326"/>
      <c r="G8560" s="326"/>
      <c r="H8560" s="326"/>
      <c r="P8560" s="318"/>
      <c r="Q8560" s="318"/>
      <c r="R8560" s="318"/>
      <c r="S8560" s="318"/>
      <c r="T8560" s="318"/>
      <c r="U8560" s="318"/>
      <c r="V8560" s="318"/>
      <c r="W8560" s="318"/>
      <c r="X8560" s="318"/>
      <c r="Y8560" s="318"/>
      <c r="Z8560" s="318"/>
      <c r="AA8560" s="318"/>
      <c r="AB8560" s="318"/>
      <c r="AC8560" s="318"/>
      <c r="AD8560" s="318"/>
    </row>
    <row r="8561" spans="2:30" s="323" customFormat="1" ht="12" customHeight="1">
      <c r="B8561" s="324"/>
      <c r="C8561" s="325"/>
      <c r="D8561" s="326"/>
      <c r="E8561" s="326"/>
      <c r="F8561" s="326"/>
      <c r="G8561" s="326"/>
      <c r="H8561" s="326"/>
      <c r="P8561" s="318"/>
      <c r="Q8561" s="318"/>
      <c r="R8561" s="318"/>
      <c r="S8561" s="318"/>
      <c r="T8561" s="318"/>
      <c r="U8561" s="318"/>
      <c r="V8561" s="318"/>
      <c r="W8561" s="318"/>
      <c r="X8561" s="318"/>
      <c r="Y8561" s="318"/>
      <c r="Z8561" s="318"/>
      <c r="AA8561" s="318"/>
      <c r="AB8561" s="318"/>
      <c r="AC8561" s="318"/>
      <c r="AD8561" s="318"/>
    </row>
    <row r="8562" spans="2:30" s="323" customFormat="1" ht="12" customHeight="1">
      <c r="B8562" s="324"/>
      <c r="C8562" s="325"/>
      <c r="D8562" s="326"/>
      <c r="E8562" s="326"/>
      <c r="F8562" s="326"/>
      <c r="G8562" s="326"/>
      <c r="H8562" s="326"/>
      <c r="P8562" s="318"/>
      <c r="Q8562" s="318"/>
      <c r="R8562" s="318"/>
      <c r="S8562" s="318"/>
      <c r="T8562" s="318"/>
      <c r="U8562" s="318"/>
      <c r="V8562" s="318"/>
      <c r="W8562" s="318"/>
      <c r="X8562" s="318"/>
      <c r="Y8562" s="318"/>
      <c r="Z8562" s="318"/>
      <c r="AA8562" s="318"/>
      <c r="AB8562" s="318"/>
      <c r="AC8562" s="318"/>
      <c r="AD8562" s="318"/>
    </row>
    <row r="8563" spans="2:30" s="323" customFormat="1" ht="12" customHeight="1">
      <c r="B8563" s="324"/>
      <c r="C8563" s="325"/>
      <c r="D8563" s="326"/>
      <c r="E8563" s="326"/>
      <c r="F8563" s="326"/>
      <c r="G8563" s="326"/>
      <c r="H8563" s="326"/>
      <c r="P8563" s="318"/>
      <c r="Q8563" s="318"/>
      <c r="R8563" s="318"/>
      <c r="S8563" s="318"/>
      <c r="T8563" s="318"/>
      <c r="U8563" s="318"/>
      <c r="V8563" s="318"/>
      <c r="W8563" s="318"/>
      <c r="X8563" s="318"/>
      <c r="Y8563" s="318"/>
      <c r="Z8563" s="318"/>
      <c r="AA8563" s="318"/>
      <c r="AB8563" s="318"/>
      <c r="AC8563" s="318"/>
      <c r="AD8563" s="318"/>
    </row>
    <row r="8564" spans="2:30" s="323" customFormat="1" ht="12" customHeight="1">
      <c r="B8564" s="324"/>
      <c r="C8564" s="325"/>
      <c r="D8564" s="326"/>
      <c r="E8564" s="326"/>
      <c r="F8564" s="326"/>
      <c r="G8564" s="326"/>
      <c r="H8564" s="326"/>
      <c r="P8564" s="318"/>
      <c r="Q8564" s="318"/>
      <c r="R8564" s="318"/>
      <c r="S8564" s="318"/>
      <c r="T8564" s="318"/>
      <c r="U8564" s="318"/>
      <c r="V8564" s="318"/>
      <c r="W8564" s="318"/>
      <c r="X8564" s="318"/>
      <c r="Y8564" s="318"/>
      <c r="Z8564" s="318"/>
      <c r="AA8564" s="318"/>
      <c r="AB8564" s="318"/>
      <c r="AC8564" s="318"/>
      <c r="AD8564" s="318"/>
    </row>
    <row r="8565" spans="2:30" s="323" customFormat="1" ht="12" customHeight="1">
      <c r="B8565" s="324"/>
      <c r="C8565" s="325"/>
      <c r="D8565" s="326"/>
      <c r="E8565" s="326"/>
      <c r="F8565" s="326"/>
      <c r="G8565" s="326"/>
      <c r="H8565" s="326"/>
      <c r="P8565" s="318"/>
      <c r="Q8565" s="318"/>
      <c r="R8565" s="318"/>
      <c r="S8565" s="318"/>
      <c r="T8565" s="318"/>
      <c r="U8565" s="318"/>
      <c r="V8565" s="318"/>
      <c r="W8565" s="318"/>
      <c r="X8565" s="318"/>
      <c r="Y8565" s="318"/>
      <c r="Z8565" s="318"/>
      <c r="AA8565" s="318"/>
      <c r="AB8565" s="318"/>
      <c r="AC8565" s="318"/>
      <c r="AD8565" s="318"/>
    </row>
    <row r="8566" spans="2:30" s="323" customFormat="1" ht="12" customHeight="1">
      <c r="B8566" s="324"/>
      <c r="C8566" s="325"/>
      <c r="D8566" s="326"/>
      <c r="E8566" s="326"/>
      <c r="F8566" s="326"/>
      <c r="G8566" s="326"/>
      <c r="H8566" s="326"/>
      <c r="P8566" s="318"/>
      <c r="Q8566" s="318"/>
      <c r="R8566" s="318"/>
      <c r="S8566" s="318"/>
      <c r="T8566" s="318"/>
      <c r="U8566" s="318"/>
      <c r="V8566" s="318"/>
      <c r="W8566" s="318"/>
      <c r="X8566" s="318"/>
      <c r="Y8566" s="318"/>
      <c r="Z8566" s="318"/>
      <c r="AA8566" s="318"/>
      <c r="AB8566" s="318"/>
      <c r="AC8566" s="318"/>
      <c r="AD8566" s="318"/>
    </row>
    <row r="8567" spans="2:30" s="323" customFormat="1" ht="12" customHeight="1">
      <c r="B8567" s="324"/>
      <c r="C8567" s="325"/>
      <c r="D8567" s="326"/>
      <c r="E8567" s="326"/>
      <c r="F8567" s="326"/>
      <c r="G8567" s="326"/>
      <c r="H8567" s="326"/>
      <c r="P8567" s="318"/>
      <c r="Q8567" s="318"/>
      <c r="R8567" s="318"/>
      <c r="S8567" s="318"/>
      <c r="T8567" s="318"/>
      <c r="U8567" s="318"/>
      <c r="V8567" s="318"/>
      <c r="W8567" s="318"/>
      <c r="X8567" s="318"/>
      <c r="Y8567" s="318"/>
      <c r="Z8567" s="318"/>
      <c r="AA8567" s="318"/>
      <c r="AB8567" s="318"/>
      <c r="AC8567" s="318"/>
      <c r="AD8567" s="318"/>
    </row>
    <row r="8568" spans="2:30" s="323" customFormat="1" ht="12" customHeight="1">
      <c r="B8568" s="324"/>
      <c r="C8568" s="325"/>
      <c r="D8568" s="326"/>
      <c r="E8568" s="326"/>
      <c r="F8568" s="326"/>
      <c r="G8568" s="326"/>
      <c r="H8568" s="326"/>
      <c r="P8568" s="318"/>
      <c r="Q8568" s="318"/>
      <c r="R8568" s="318"/>
      <c r="S8568" s="318"/>
      <c r="T8568" s="318"/>
      <c r="U8568" s="318"/>
      <c r="V8568" s="318"/>
      <c r="W8568" s="318"/>
      <c r="X8568" s="318"/>
      <c r="Y8568" s="318"/>
      <c r="Z8568" s="318"/>
      <c r="AA8568" s="318"/>
      <c r="AB8568" s="318"/>
      <c r="AC8568" s="318"/>
      <c r="AD8568" s="318"/>
    </row>
    <row r="8569" spans="2:30" s="323" customFormat="1" ht="12" customHeight="1">
      <c r="B8569" s="324"/>
      <c r="C8569" s="325"/>
      <c r="D8569" s="326"/>
      <c r="E8569" s="326"/>
      <c r="F8569" s="326"/>
      <c r="G8569" s="326"/>
      <c r="H8569" s="326"/>
      <c r="P8569" s="318"/>
      <c r="Q8569" s="318"/>
      <c r="R8569" s="318"/>
      <c r="S8569" s="318"/>
      <c r="T8569" s="318"/>
      <c r="U8569" s="318"/>
      <c r="V8569" s="318"/>
      <c r="W8569" s="318"/>
      <c r="X8569" s="318"/>
      <c r="Y8569" s="318"/>
      <c r="Z8569" s="318"/>
      <c r="AA8569" s="318"/>
      <c r="AB8569" s="318"/>
      <c r="AC8569" s="318"/>
      <c r="AD8569" s="318"/>
    </row>
    <row r="8570" spans="2:30" s="323" customFormat="1" ht="12" customHeight="1">
      <c r="B8570" s="324"/>
      <c r="C8570" s="325"/>
      <c r="D8570" s="326"/>
      <c r="E8570" s="326"/>
      <c r="F8570" s="326"/>
      <c r="G8570" s="326"/>
      <c r="H8570" s="326"/>
      <c r="P8570" s="318"/>
      <c r="Q8570" s="318"/>
      <c r="R8570" s="318"/>
      <c r="S8570" s="318"/>
      <c r="T8570" s="318"/>
      <c r="U8570" s="318"/>
      <c r="V8570" s="318"/>
      <c r="W8570" s="318"/>
      <c r="X8570" s="318"/>
      <c r="Y8570" s="318"/>
      <c r="Z8570" s="318"/>
      <c r="AA8570" s="318"/>
      <c r="AB8570" s="318"/>
      <c r="AC8570" s="318"/>
      <c r="AD8570" s="318"/>
    </row>
    <row r="8571" spans="2:30" s="323" customFormat="1" ht="12" customHeight="1">
      <c r="B8571" s="324"/>
      <c r="C8571" s="325"/>
      <c r="D8571" s="326"/>
      <c r="E8571" s="326"/>
      <c r="F8571" s="326"/>
      <c r="G8571" s="326"/>
      <c r="H8571" s="326"/>
      <c r="P8571" s="318"/>
      <c r="Q8571" s="318"/>
      <c r="R8571" s="318"/>
      <c r="S8571" s="318"/>
      <c r="T8571" s="318"/>
      <c r="U8571" s="318"/>
      <c r="V8571" s="318"/>
      <c r="W8571" s="318"/>
      <c r="X8571" s="318"/>
      <c r="Y8571" s="318"/>
      <c r="Z8571" s="318"/>
      <c r="AA8571" s="318"/>
      <c r="AB8571" s="318"/>
      <c r="AC8571" s="318"/>
      <c r="AD8571" s="318"/>
    </row>
    <row r="8572" spans="2:30" s="323" customFormat="1" ht="12" customHeight="1">
      <c r="B8572" s="324"/>
      <c r="C8572" s="325"/>
      <c r="D8572" s="326"/>
      <c r="E8572" s="326"/>
      <c r="F8572" s="326"/>
      <c r="G8572" s="326"/>
      <c r="H8572" s="326"/>
      <c r="P8572" s="318"/>
      <c r="Q8572" s="318"/>
      <c r="R8572" s="318"/>
      <c r="S8572" s="318"/>
      <c r="T8572" s="318"/>
      <c r="U8572" s="318"/>
      <c r="V8572" s="318"/>
      <c r="W8572" s="318"/>
      <c r="X8572" s="318"/>
      <c r="Y8572" s="318"/>
      <c r="Z8572" s="318"/>
      <c r="AA8572" s="318"/>
      <c r="AB8572" s="318"/>
      <c r="AC8572" s="318"/>
      <c r="AD8572" s="318"/>
    </row>
    <row r="8573" spans="2:30" s="323" customFormat="1" ht="12" customHeight="1">
      <c r="B8573" s="324"/>
      <c r="C8573" s="325"/>
      <c r="D8573" s="326"/>
      <c r="E8573" s="326"/>
      <c r="F8573" s="326"/>
      <c r="G8573" s="326"/>
      <c r="H8573" s="326"/>
      <c r="P8573" s="318"/>
      <c r="Q8573" s="318"/>
      <c r="R8573" s="318"/>
      <c r="S8573" s="318"/>
      <c r="T8573" s="318"/>
      <c r="U8573" s="318"/>
      <c r="V8573" s="318"/>
      <c r="W8573" s="318"/>
      <c r="X8573" s="318"/>
      <c r="Y8573" s="318"/>
      <c r="Z8573" s="318"/>
      <c r="AA8573" s="318"/>
      <c r="AB8573" s="318"/>
      <c r="AC8573" s="318"/>
      <c r="AD8573" s="318"/>
    </row>
    <row r="8574" spans="2:30" s="323" customFormat="1" ht="12" customHeight="1">
      <c r="B8574" s="324"/>
      <c r="C8574" s="325"/>
      <c r="D8574" s="326"/>
      <c r="E8574" s="326"/>
      <c r="F8574" s="326"/>
      <c r="G8574" s="326"/>
      <c r="H8574" s="326"/>
      <c r="P8574" s="318"/>
      <c r="Q8574" s="318"/>
      <c r="R8574" s="318"/>
      <c r="S8574" s="318"/>
      <c r="T8574" s="318"/>
      <c r="U8574" s="318"/>
      <c r="V8574" s="318"/>
      <c r="W8574" s="318"/>
      <c r="X8574" s="318"/>
      <c r="Y8574" s="318"/>
      <c r="Z8574" s="318"/>
      <c r="AA8574" s="318"/>
      <c r="AB8574" s="318"/>
      <c r="AC8574" s="318"/>
      <c r="AD8574" s="318"/>
    </row>
    <row r="8575" spans="2:30" s="323" customFormat="1" ht="12" customHeight="1">
      <c r="B8575" s="324"/>
      <c r="C8575" s="325"/>
      <c r="D8575" s="326"/>
      <c r="E8575" s="326"/>
      <c r="F8575" s="326"/>
      <c r="G8575" s="326"/>
      <c r="H8575" s="326"/>
      <c r="P8575" s="318"/>
      <c r="Q8575" s="318"/>
      <c r="R8575" s="318"/>
      <c r="S8575" s="318"/>
      <c r="T8575" s="318"/>
      <c r="U8575" s="318"/>
      <c r="V8575" s="318"/>
      <c r="W8575" s="318"/>
      <c r="X8575" s="318"/>
      <c r="Y8575" s="318"/>
      <c r="Z8575" s="318"/>
      <c r="AA8575" s="318"/>
      <c r="AB8575" s="318"/>
      <c r="AC8575" s="318"/>
      <c r="AD8575" s="318"/>
    </row>
    <row r="8576" spans="2:30" s="323" customFormat="1" ht="12" customHeight="1">
      <c r="B8576" s="324"/>
      <c r="C8576" s="325"/>
      <c r="D8576" s="326"/>
      <c r="E8576" s="326"/>
      <c r="F8576" s="326"/>
      <c r="G8576" s="326"/>
      <c r="H8576" s="326"/>
      <c r="P8576" s="318"/>
      <c r="Q8576" s="318"/>
      <c r="R8576" s="318"/>
      <c r="S8576" s="318"/>
      <c r="T8576" s="318"/>
      <c r="U8576" s="318"/>
      <c r="V8576" s="318"/>
      <c r="W8576" s="318"/>
      <c r="X8576" s="318"/>
      <c r="Y8576" s="318"/>
      <c r="Z8576" s="318"/>
      <c r="AA8576" s="318"/>
      <c r="AB8576" s="318"/>
      <c r="AC8576" s="318"/>
      <c r="AD8576" s="318"/>
    </row>
    <row r="8577" spans="2:30" s="323" customFormat="1" ht="12" customHeight="1">
      <c r="B8577" s="324"/>
      <c r="C8577" s="325"/>
      <c r="D8577" s="326"/>
      <c r="E8577" s="326"/>
      <c r="F8577" s="326"/>
      <c r="G8577" s="326"/>
      <c r="H8577" s="326"/>
      <c r="P8577" s="318"/>
      <c r="Q8577" s="318"/>
      <c r="R8577" s="318"/>
      <c r="S8577" s="318"/>
      <c r="T8577" s="318"/>
      <c r="U8577" s="318"/>
      <c r="V8577" s="318"/>
      <c r="W8577" s="318"/>
      <c r="X8577" s="318"/>
      <c r="Y8577" s="318"/>
      <c r="Z8577" s="318"/>
      <c r="AA8577" s="318"/>
      <c r="AB8577" s="318"/>
      <c r="AC8577" s="318"/>
      <c r="AD8577" s="318"/>
    </row>
    <row r="8578" spans="2:30" s="323" customFormat="1" ht="12" customHeight="1">
      <c r="B8578" s="324"/>
      <c r="C8578" s="325"/>
      <c r="D8578" s="326"/>
      <c r="E8578" s="326"/>
      <c r="F8578" s="326"/>
      <c r="G8578" s="326"/>
      <c r="H8578" s="326"/>
      <c r="P8578" s="318"/>
      <c r="Q8578" s="318"/>
      <c r="R8578" s="318"/>
      <c r="S8578" s="318"/>
      <c r="T8578" s="318"/>
      <c r="U8578" s="318"/>
      <c r="V8578" s="318"/>
      <c r="W8578" s="318"/>
      <c r="X8578" s="318"/>
      <c r="Y8578" s="318"/>
      <c r="Z8578" s="318"/>
      <c r="AA8578" s="318"/>
      <c r="AB8578" s="318"/>
      <c r="AC8578" s="318"/>
      <c r="AD8578" s="318"/>
    </row>
    <row r="8579" spans="2:30" s="323" customFormat="1" ht="12" customHeight="1">
      <c r="B8579" s="324"/>
      <c r="C8579" s="325"/>
      <c r="D8579" s="326"/>
      <c r="E8579" s="326"/>
      <c r="F8579" s="326"/>
      <c r="G8579" s="326"/>
      <c r="H8579" s="326"/>
      <c r="P8579" s="318"/>
      <c r="Q8579" s="318"/>
      <c r="R8579" s="318"/>
      <c r="S8579" s="318"/>
      <c r="T8579" s="318"/>
      <c r="U8579" s="318"/>
      <c r="V8579" s="318"/>
      <c r="W8579" s="318"/>
      <c r="X8579" s="318"/>
      <c r="Y8579" s="318"/>
      <c r="Z8579" s="318"/>
      <c r="AA8579" s="318"/>
      <c r="AB8579" s="318"/>
      <c r="AC8579" s="318"/>
      <c r="AD8579" s="318"/>
    </row>
    <row r="8580" spans="2:30" s="323" customFormat="1" ht="12" customHeight="1">
      <c r="B8580" s="324"/>
      <c r="C8580" s="325"/>
      <c r="D8580" s="326"/>
      <c r="E8580" s="326"/>
      <c r="F8580" s="326"/>
      <c r="G8580" s="326"/>
      <c r="H8580" s="326"/>
      <c r="P8580" s="318"/>
      <c r="Q8580" s="318"/>
      <c r="R8580" s="318"/>
      <c r="S8580" s="318"/>
      <c r="T8580" s="318"/>
      <c r="U8580" s="318"/>
      <c r="V8580" s="318"/>
      <c r="W8580" s="318"/>
      <c r="X8580" s="318"/>
      <c r="Y8580" s="318"/>
      <c r="Z8580" s="318"/>
      <c r="AA8580" s="318"/>
      <c r="AB8580" s="318"/>
      <c r="AC8580" s="318"/>
      <c r="AD8580" s="318"/>
    </row>
    <row r="8581" spans="2:30" s="323" customFormat="1" ht="12" customHeight="1">
      <c r="B8581" s="324"/>
      <c r="C8581" s="325"/>
      <c r="D8581" s="326"/>
      <c r="E8581" s="326"/>
      <c r="F8581" s="326"/>
      <c r="G8581" s="326"/>
      <c r="H8581" s="326"/>
      <c r="P8581" s="318"/>
      <c r="Q8581" s="318"/>
      <c r="R8581" s="318"/>
      <c r="S8581" s="318"/>
      <c r="T8581" s="318"/>
      <c r="U8581" s="318"/>
      <c r="V8581" s="318"/>
      <c r="W8581" s="318"/>
      <c r="X8581" s="318"/>
      <c r="Y8581" s="318"/>
      <c r="Z8581" s="318"/>
      <c r="AA8581" s="318"/>
      <c r="AB8581" s="318"/>
      <c r="AC8581" s="318"/>
      <c r="AD8581" s="318"/>
    </row>
    <row r="8582" spans="2:30" s="323" customFormat="1" ht="12" customHeight="1">
      <c r="B8582" s="324"/>
      <c r="C8582" s="325"/>
      <c r="D8582" s="326"/>
      <c r="E8582" s="326"/>
      <c r="F8582" s="326"/>
      <c r="G8582" s="326"/>
      <c r="H8582" s="326"/>
      <c r="P8582" s="318"/>
      <c r="Q8582" s="318"/>
      <c r="R8582" s="318"/>
      <c r="S8582" s="318"/>
      <c r="T8582" s="318"/>
      <c r="U8582" s="318"/>
      <c r="V8582" s="318"/>
      <c r="W8582" s="318"/>
      <c r="X8582" s="318"/>
      <c r="Y8582" s="318"/>
      <c r="Z8582" s="318"/>
      <c r="AA8582" s="318"/>
      <c r="AB8582" s="318"/>
      <c r="AC8582" s="318"/>
      <c r="AD8582" s="318"/>
    </row>
    <row r="8583" spans="2:30" s="323" customFormat="1" ht="12" customHeight="1">
      <c r="B8583" s="324"/>
      <c r="C8583" s="325"/>
      <c r="D8583" s="326"/>
      <c r="E8583" s="326"/>
      <c r="F8583" s="326"/>
      <c r="G8583" s="326"/>
      <c r="H8583" s="326"/>
      <c r="P8583" s="318"/>
      <c r="Q8583" s="318"/>
      <c r="R8583" s="318"/>
      <c r="S8583" s="318"/>
      <c r="T8583" s="318"/>
      <c r="U8583" s="318"/>
      <c r="V8583" s="318"/>
      <c r="W8583" s="318"/>
      <c r="X8583" s="318"/>
      <c r="Y8583" s="318"/>
      <c r="Z8583" s="318"/>
      <c r="AA8583" s="318"/>
      <c r="AB8583" s="318"/>
      <c r="AC8583" s="318"/>
      <c r="AD8583" s="318"/>
    </row>
    <row r="8584" spans="2:30" s="323" customFormat="1" ht="12" customHeight="1">
      <c r="B8584" s="324"/>
      <c r="C8584" s="325"/>
      <c r="D8584" s="326"/>
      <c r="E8584" s="326"/>
      <c r="F8584" s="326"/>
      <c r="G8584" s="326"/>
      <c r="H8584" s="326"/>
      <c r="P8584" s="318"/>
      <c r="Q8584" s="318"/>
      <c r="R8584" s="318"/>
      <c r="S8584" s="318"/>
      <c r="T8584" s="318"/>
      <c r="U8584" s="318"/>
      <c r="V8584" s="318"/>
      <c r="W8584" s="318"/>
      <c r="X8584" s="318"/>
      <c r="Y8584" s="318"/>
      <c r="Z8584" s="318"/>
      <c r="AA8584" s="318"/>
      <c r="AB8584" s="318"/>
      <c r="AC8584" s="318"/>
      <c r="AD8584" s="318"/>
    </row>
    <row r="8585" spans="2:30" s="323" customFormat="1" ht="12" customHeight="1">
      <c r="B8585" s="324"/>
      <c r="C8585" s="325"/>
      <c r="D8585" s="326"/>
      <c r="E8585" s="326"/>
      <c r="F8585" s="326"/>
      <c r="G8585" s="326"/>
      <c r="H8585" s="326"/>
      <c r="P8585" s="318"/>
      <c r="Q8585" s="318"/>
      <c r="R8585" s="318"/>
      <c r="S8585" s="318"/>
      <c r="T8585" s="318"/>
      <c r="U8585" s="318"/>
      <c r="V8585" s="318"/>
      <c r="W8585" s="318"/>
      <c r="X8585" s="318"/>
      <c r="Y8585" s="318"/>
      <c r="Z8585" s="318"/>
      <c r="AA8585" s="318"/>
      <c r="AB8585" s="318"/>
      <c r="AC8585" s="318"/>
      <c r="AD8585" s="318"/>
    </row>
    <row r="8586" spans="2:30" s="323" customFormat="1" ht="12" customHeight="1">
      <c r="B8586" s="324"/>
      <c r="C8586" s="325"/>
      <c r="D8586" s="326"/>
      <c r="E8586" s="326"/>
      <c r="F8586" s="326"/>
      <c r="G8586" s="326"/>
      <c r="H8586" s="326"/>
      <c r="P8586" s="318"/>
      <c r="Q8586" s="318"/>
      <c r="R8586" s="318"/>
      <c r="S8586" s="318"/>
      <c r="T8586" s="318"/>
      <c r="U8586" s="318"/>
      <c r="V8586" s="318"/>
      <c r="W8586" s="318"/>
      <c r="X8586" s="318"/>
      <c r="Y8586" s="318"/>
      <c r="Z8586" s="318"/>
      <c r="AA8586" s="318"/>
      <c r="AB8586" s="318"/>
      <c r="AC8586" s="318"/>
      <c r="AD8586" s="318"/>
    </row>
    <row r="8587" spans="2:30" s="323" customFormat="1" ht="12" customHeight="1">
      <c r="B8587" s="324"/>
      <c r="C8587" s="325"/>
      <c r="D8587" s="326"/>
      <c r="E8587" s="326"/>
      <c r="F8587" s="326"/>
      <c r="G8587" s="326"/>
      <c r="H8587" s="326"/>
      <c r="P8587" s="318"/>
      <c r="Q8587" s="318"/>
      <c r="R8587" s="318"/>
      <c r="S8587" s="318"/>
      <c r="T8587" s="318"/>
      <c r="U8587" s="318"/>
      <c r="V8587" s="318"/>
      <c r="W8587" s="318"/>
      <c r="X8587" s="318"/>
      <c r="Y8587" s="318"/>
      <c r="Z8587" s="318"/>
      <c r="AA8587" s="318"/>
      <c r="AB8587" s="318"/>
      <c r="AC8587" s="318"/>
      <c r="AD8587" s="318"/>
    </row>
    <row r="8588" spans="2:30" s="323" customFormat="1" ht="12" customHeight="1">
      <c r="B8588" s="324"/>
      <c r="C8588" s="325"/>
      <c r="D8588" s="326"/>
      <c r="E8588" s="326"/>
      <c r="F8588" s="326"/>
      <c r="G8588" s="326"/>
      <c r="H8588" s="326"/>
      <c r="P8588" s="318"/>
      <c r="Q8588" s="318"/>
      <c r="R8588" s="318"/>
      <c r="S8588" s="318"/>
      <c r="T8588" s="318"/>
      <c r="U8588" s="318"/>
      <c r="V8588" s="318"/>
      <c r="W8588" s="318"/>
      <c r="X8588" s="318"/>
      <c r="Y8588" s="318"/>
      <c r="Z8588" s="318"/>
      <c r="AA8588" s="318"/>
      <c r="AB8588" s="318"/>
      <c r="AC8588" s="318"/>
      <c r="AD8588" s="318"/>
    </row>
    <row r="8589" spans="2:30" s="323" customFormat="1" ht="12" customHeight="1">
      <c r="B8589" s="324"/>
      <c r="C8589" s="325"/>
      <c r="D8589" s="326"/>
      <c r="E8589" s="326"/>
      <c r="F8589" s="326"/>
      <c r="G8589" s="326"/>
      <c r="H8589" s="326"/>
      <c r="P8589" s="318"/>
      <c r="Q8589" s="318"/>
      <c r="R8589" s="318"/>
      <c r="S8589" s="318"/>
      <c r="T8589" s="318"/>
      <c r="U8589" s="318"/>
      <c r="V8589" s="318"/>
      <c r="W8589" s="318"/>
      <c r="X8589" s="318"/>
      <c r="Y8589" s="318"/>
      <c r="Z8589" s="318"/>
      <c r="AA8589" s="318"/>
      <c r="AB8589" s="318"/>
      <c r="AC8589" s="318"/>
      <c r="AD8589" s="318"/>
    </row>
    <row r="8590" spans="2:30" s="323" customFormat="1" ht="12" customHeight="1">
      <c r="B8590" s="324"/>
      <c r="C8590" s="325"/>
      <c r="D8590" s="326"/>
      <c r="E8590" s="326"/>
      <c r="F8590" s="326"/>
      <c r="G8590" s="326"/>
      <c r="H8590" s="326"/>
      <c r="P8590" s="318"/>
      <c r="Q8590" s="318"/>
      <c r="R8590" s="318"/>
      <c r="S8590" s="318"/>
      <c r="T8590" s="318"/>
      <c r="U8590" s="318"/>
      <c r="V8590" s="318"/>
      <c r="W8590" s="318"/>
      <c r="X8590" s="318"/>
      <c r="Y8590" s="318"/>
      <c r="Z8590" s="318"/>
      <c r="AA8590" s="318"/>
      <c r="AB8590" s="318"/>
      <c r="AC8590" s="318"/>
      <c r="AD8590" s="318"/>
    </row>
    <row r="8591" spans="2:30" s="323" customFormat="1" ht="12" customHeight="1">
      <c r="B8591" s="324"/>
      <c r="C8591" s="325"/>
      <c r="D8591" s="326"/>
      <c r="E8591" s="326"/>
      <c r="F8591" s="326"/>
      <c r="G8591" s="326"/>
      <c r="H8591" s="326"/>
      <c r="P8591" s="318"/>
      <c r="Q8591" s="318"/>
      <c r="R8591" s="318"/>
      <c r="S8591" s="318"/>
      <c r="T8591" s="318"/>
      <c r="U8591" s="318"/>
      <c r="V8591" s="318"/>
      <c r="W8591" s="318"/>
      <c r="X8591" s="318"/>
      <c r="Y8591" s="318"/>
      <c r="Z8591" s="318"/>
      <c r="AA8591" s="318"/>
      <c r="AB8591" s="318"/>
      <c r="AC8591" s="318"/>
      <c r="AD8591" s="318"/>
    </row>
    <row r="8592" spans="2:30" s="323" customFormat="1" ht="12" customHeight="1">
      <c r="B8592" s="324"/>
      <c r="C8592" s="325"/>
      <c r="D8592" s="326"/>
      <c r="E8592" s="326"/>
      <c r="F8592" s="326"/>
      <c r="G8592" s="326"/>
      <c r="H8592" s="326"/>
      <c r="P8592" s="318"/>
      <c r="Q8592" s="318"/>
      <c r="R8592" s="318"/>
      <c r="S8592" s="318"/>
      <c r="T8592" s="318"/>
      <c r="U8592" s="318"/>
      <c r="V8592" s="318"/>
      <c r="W8592" s="318"/>
      <c r="X8592" s="318"/>
      <c r="Y8592" s="318"/>
      <c r="Z8592" s="318"/>
      <c r="AA8592" s="318"/>
      <c r="AB8592" s="318"/>
      <c r="AC8592" s="318"/>
      <c r="AD8592" s="318"/>
    </row>
    <row r="8593" spans="2:30" s="323" customFormat="1" ht="12" customHeight="1">
      <c r="B8593" s="324"/>
      <c r="C8593" s="325"/>
      <c r="D8593" s="326"/>
      <c r="E8593" s="326"/>
      <c r="F8593" s="326"/>
      <c r="G8593" s="326"/>
      <c r="H8593" s="326"/>
      <c r="P8593" s="318"/>
      <c r="Q8593" s="318"/>
      <c r="R8593" s="318"/>
      <c r="S8593" s="318"/>
      <c r="T8593" s="318"/>
      <c r="U8593" s="318"/>
      <c r="V8593" s="318"/>
      <c r="W8593" s="318"/>
      <c r="X8593" s="318"/>
      <c r="Y8593" s="318"/>
      <c r="Z8593" s="318"/>
      <c r="AA8593" s="318"/>
      <c r="AB8593" s="318"/>
      <c r="AC8593" s="318"/>
      <c r="AD8593" s="318"/>
    </row>
    <row r="8594" spans="2:30" s="323" customFormat="1" ht="12" customHeight="1">
      <c r="B8594" s="324"/>
      <c r="C8594" s="325"/>
      <c r="D8594" s="326"/>
      <c r="E8594" s="326"/>
      <c r="F8594" s="326"/>
      <c r="G8594" s="326"/>
      <c r="H8594" s="326"/>
      <c r="P8594" s="318"/>
      <c r="Q8594" s="318"/>
      <c r="R8594" s="318"/>
      <c r="S8594" s="318"/>
      <c r="T8594" s="318"/>
      <c r="U8594" s="318"/>
      <c r="V8594" s="318"/>
      <c r="W8594" s="318"/>
      <c r="X8594" s="318"/>
      <c r="Y8594" s="318"/>
      <c r="Z8594" s="318"/>
      <c r="AA8594" s="318"/>
      <c r="AB8594" s="318"/>
      <c r="AC8594" s="318"/>
      <c r="AD8594" s="318"/>
    </row>
    <row r="8595" spans="2:30" s="323" customFormat="1" ht="12" customHeight="1">
      <c r="B8595" s="324"/>
      <c r="C8595" s="325"/>
      <c r="D8595" s="326"/>
      <c r="E8595" s="326"/>
      <c r="F8595" s="326"/>
      <c r="G8595" s="326"/>
      <c r="H8595" s="326"/>
      <c r="P8595" s="318"/>
      <c r="Q8595" s="318"/>
      <c r="R8595" s="318"/>
      <c r="S8595" s="318"/>
      <c r="T8595" s="318"/>
      <c r="U8595" s="318"/>
      <c r="V8595" s="318"/>
      <c r="W8595" s="318"/>
      <c r="X8595" s="318"/>
      <c r="Y8595" s="318"/>
      <c r="Z8595" s="318"/>
      <c r="AA8595" s="318"/>
      <c r="AB8595" s="318"/>
      <c r="AC8595" s="318"/>
      <c r="AD8595" s="318"/>
    </row>
    <row r="8596" spans="2:30" s="323" customFormat="1" ht="12" customHeight="1">
      <c r="B8596" s="324"/>
      <c r="C8596" s="325"/>
      <c r="D8596" s="326"/>
      <c r="E8596" s="326"/>
      <c r="F8596" s="326"/>
      <c r="G8596" s="326"/>
      <c r="H8596" s="326"/>
      <c r="P8596" s="318"/>
      <c r="Q8596" s="318"/>
      <c r="R8596" s="318"/>
      <c r="S8596" s="318"/>
      <c r="T8596" s="318"/>
      <c r="U8596" s="318"/>
      <c r="V8596" s="318"/>
      <c r="W8596" s="318"/>
      <c r="X8596" s="318"/>
      <c r="Y8596" s="318"/>
      <c r="Z8596" s="318"/>
      <c r="AA8596" s="318"/>
      <c r="AB8596" s="318"/>
      <c r="AC8596" s="318"/>
      <c r="AD8596" s="318"/>
    </row>
    <row r="8597" spans="2:30" s="323" customFormat="1" ht="12" customHeight="1">
      <c r="B8597" s="324"/>
      <c r="C8597" s="325"/>
      <c r="D8597" s="326"/>
      <c r="E8597" s="326"/>
      <c r="F8597" s="326"/>
      <c r="G8597" s="326"/>
      <c r="H8597" s="326"/>
      <c r="P8597" s="318"/>
      <c r="Q8597" s="318"/>
      <c r="R8597" s="318"/>
      <c r="S8597" s="318"/>
      <c r="T8597" s="318"/>
      <c r="U8597" s="318"/>
      <c r="V8597" s="318"/>
      <c r="W8597" s="318"/>
      <c r="X8597" s="318"/>
      <c r="Y8597" s="318"/>
      <c r="Z8597" s="318"/>
      <c r="AA8597" s="318"/>
      <c r="AB8597" s="318"/>
      <c r="AC8597" s="318"/>
      <c r="AD8597" s="318"/>
    </row>
    <row r="8598" spans="2:30" s="323" customFormat="1" ht="12" customHeight="1">
      <c r="B8598" s="324"/>
      <c r="C8598" s="325"/>
      <c r="D8598" s="326"/>
      <c r="E8598" s="326"/>
      <c r="F8598" s="326"/>
      <c r="G8598" s="326"/>
      <c r="H8598" s="326"/>
      <c r="P8598" s="318"/>
      <c r="Q8598" s="318"/>
      <c r="R8598" s="318"/>
      <c r="S8598" s="318"/>
      <c r="T8598" s="318"/>
      <c r="U8598" s="318"/>
      <c r="V8598" s="318"/>
      <c r="W8598" s="318"/>
      <c r="X8598" s="318"/>
      <c r="Y8598" s="318"/>
      <c r="Z8598" s="318"/>
      <c r="AA8598" s="318"/>
      <c r="AB8598" s="318"/>
      <c r="AC8598" s="318"/>
      <c r="AD8598" s="318"/>
    </row>
    <row r="8599" spans="2:30" s="323" customFormat="1" ht="12" customHeight="1">
      <c r="B8599" s="324"/>
      <c r="C8599" s="325"/>
      <c r="D8599" s="326"/>
      <c r="E8599" s="326"/>
      <c r="F8599" s="326"/>
      <c r="G8599" s="326"/>
      <c r="H8599" s="326"/>
      <c r="P8599" s="318"/>
      <c r="Q8599" s="318"/>
      <c r="R8599" s="318"/>
      <c r="S8599" s="318"/>
      <c r="T8599" s="318"/>
      <c r="U8599" s="318"/>
      <c r="V8599" s="318"/>
      <c r="W8599" s="318"/>
      <c r="X8599" s="318"/>
      <c r="Y8599" s="318"/>
      <c r="Z8599" s="318"/>
      <c r="AA8599" s="318"/>
      <c r="AB8599" s="318"/>
      <c r="AC8599" s="318"/>
      <c r="AD8599" s="318"/>
    </row>
    <row r="8600" spans="2:30" s="323" customFormat="1" ht="12" customHeight="1">
      <c r="B8600" s="324"/>
      <c r="C8600" s="325"/>
      <c r="D8600" s="326"/>
      <c r="E8600" s="326"/>
      <c r="F8600" s="326"/>
      <c r="G8600" s="326"/>
      <c r="H8600" s="326"/>
      <c r="P8600" s="318"/>
      <c r="Q8600" s="318"/>
      <c r="R8600" s="318"/>
      <c r="S8600" s="318"/>
      <c r="T8600" s="318"/>
      <c r="U8600" s="318"/>
      <c r="V8600" s="318"/>
      <c r="W8600" s="318"/>
      <c r="X8600" s="318"/>
      <c r="Y8600" s="318"/>
      <c r="Z8600" s="318"/>
      <c r="AA8600" s="318"/>
      <c r="AB8600" s="318"/>
      <c r="AC8600" s="318"/>
      <c r="AD8600" s="318"/>
    </row>
    <row r="8601" spans="2:30" s="323" customFormat="1" ht="12" customHeight="1">
      <c r="B8601" s="324"/>
      <c r="C8601" s="325"/>
      <c r="D8601" s="326"/>
      <c r="E8601" s="326"/>
      <c r="F8601" s="326"/>
      <c r="G8601" s="326"/>
      <c r="H8601" s="326"/>
      <c r="P8601" s="318"/>
      <c r="Q8601" s="318"/>
      <c r="R8601" s="318"/>
      <c r="S8601" s="318"/>
      <c r="T8601" s="318"/>
      <c r="U8601" s="318"/>
      <c r="V8601" s="318"/>
      <c r="W8601" s="318"/>
      <c r="X8601" s="318"/>
      <c r="Y8601" s="318"/>
      <c r="Z8601" s="318"/>
      <c r="AA8601" s="318"/>
      <c r="AB8601" s="318"/>
      <c r="AC8601" s="318"/>
      <c r="AD8601" s="318"/>
    </row>
    <row r="8602" spans="2:30" s="323" customFormat="1" ht="12" customHeight="1">
      <c r="B8602" s="324"/>
      <c r="C8602" s="325"/>
      <c r="D8602" s="326"/>
      <c r="E8602" s="326"/>
      <c r="F8602" s="326"/>
      <c r="G8602" s="326"/>
      <c r="H8602" s="326"/>
      <c r="P8602" s="318"/>
      <c r="Q8602" s="318"/>
      <c r="R8602" s="318"/>
      <c r="S8602" s="318"/>
      <c r="T8602" s="318"/>
      <c r="U8602" s="318"/>
      <c r="V8602" s="318"/>
      <c r="W8602" s="318"/>
      <c r="X8602" s="318"/>
      <c r="Y8602" s="318"/>
      <c r="Z8602" s="318"/>
      <c r="AA8602" s="318"/>
      <c r="AB8602" s="318"/>
      <c r="AC8602" s="318"/>
      <c r="AD8602" s="318"/>
    </row>
    <row r="8603" spans="2:30" s="323" customFormat="1" ht="12" customHeight="1">
      <c r="B8603" s="324"/>
      <c r="C8603" s="325"/>
      <c r="D8603" s="326"/>
      <c r="E8603" s="326"/>
      <c r="F8603" s="326"/>
      <c r="G8603" s="326"/>
      <c r="H8603" s="326"/>
      <c r="P8603" s="318"/>
      <c r="Q8603" s="318"/>
      <c r="R8603" s="318"/>
      <c r="S8603" s="318"/>
      <c r="T8603" s="318"/>
      <c r="U8603" s="318"/>
      <c r="V8603" s="318"/>
      <c r="W8603" s="318"/>
      <c r="X8603" s="318"/>
      <c r="Y8603" s="318"/>
      <c r="Z8603" s="318"/>
      <c r="AA8603" s="318"/>
      <c r="AB8603" s="318"/>
      <c r="AC8603" s="318"/>
      <c r="AD8603" s="318"/>
    </row>
    <row r="8604" spans="2:30" s="323" customFormat="1" ht="12" customHeight="1">
      <c r="B8604" s="324"/>
      <c r="C8604" s="325"/>
      <c r="D8604" s="326"/>
      <c r="E8604" s="326"/>
      <c r="F8604" s="326"/>
      <c r="G8604" s="326"/>
      <c r="H8604" s="326"/>
      <c r="P8604" s="318"/>
      <c r="Q8604" s="318"/>
      <c r="R8604" s="318"/>
      <c r="S8604" s="318"/>
      <c r="T8604" s="318"/>
      <c r="U8604" s="318"/>
      <c r="V8604" s="318"/>
      <c r="W8604" s="318"/>
      <c r="X8604" s="318"/>
      <c r="Y8604" s="318"/>
      <c r="Z8604" s="318"/>
      <c r="AA8604" s="318"/>
      <c r="AB8604" s="318"/>
      <c r="AC8604" s="318"/>
      <c r="AD8604" s="318"/>
    </row>
    <row r="8605" spans="2:30" s="323" customFormat="1" ht="12" customHeight="1">
      <c r="B8605" s="324"/>
      <c r="C8605" s="325"/>
      <c r="D8605" s="326"/>
      <c r="E8605" s="326"/>
      <c r="F8605" s="326"/>
      <c r="G8605" s="326"/>
      <c r="H8605" s="326"/>
      <c r="P8605" s="318"/>
      <c r="Q8605" s="318"/>
      <c r="R8605" s="318"/>
      <c r="S8605" s="318"/>
      <c r="T8605" s="318"/>
      <c r="U8605" s="318"/>
      <c r="V8605" s="318"/>
      <c r="W8605" s="318"/>
      <c r="X8605" s="318"/>
      <c r="Y8605" s="318"/>
      <c r="Z8605" s="318"/>
      <c r="AA8605" s="318"/>
      <c r="AB8605" s="318"/>
      <c r="AC8605" s="318"/>
      <c r="AD8605" s="318"/>
    </row>
    <row r="8606" spans="2:30" s="323" customFormat="1" ht="12" customHeight="1">
      <c r="B8606" s="324"/>
      <c r="C8606" s="325"/>
      <c r="D8606" s="326"/>
      <c r="E8606" s="326"/>
      <c r="F8606" s="326"/>
      <c r="G8606" s="326"/>
      <c r="H8606" s="326"/>
      <c r="P8606" s="318"/>
      <c r="Q8606" s="318"/>
      <c r="R8606" s="318"/>
      <c r="S8606" s="318"/>
      <c r="T8606" s="318"/>
      <c r="U8606" s="318"/>
      <c r="V8606" s="318"/>
      <c r="W8606" s="318"/>
      <c r="X8606" s="318"/>
      <c r="Y8606" s="318"/>
      <c r="Z8606" s="318"/>
      <c r="AA8606" s="318"/>
      <c r="AB8606" s="318"/>
      <c r="AC8606" s="318"/>
      <c r="AD8606" s="318"/>
    </row>
    <row r="8607" spans="2:30" s="323" customFormat="1" ht="12" customHeight="1">
      <c r="B8607" s="324"/>
      <c r="C8607" s="325"/>
      <c r="D8607" s="326"/>
      <c r="E8607" s="326"/>
      <c r="F8607" s="326"/>
      <c r="G8607" s="326"/>
      <c r="H8607" s="326"/>
      <c r="P8607" s="318"/>
      <c r="Q8607" s="318"/>
      <c r="R8607" s="318"/>
      <c r="S8607" s="318"/>
      <c r="T8607" s="318"/>
      <c r="U8607" s="318"/>
      <c r="V8607" s="318"/>
      <c r="W8607" s="318"/>
      <c r="X8607" s="318"/>
      <c r="Y8607" s="318"/>
      <c r="Z8607" s="318"/>
      <c r="AA8607" s="318"/>
      <c r="AB8607" s="318"/>
      <c r="AC8607" s="318"/>
      <c r="AD8607" s="318"/>
    </row>
    <row r="8608" spans="2:30" s="323" customFormat="1" ht="12" customHeight="1">
      <c r="B8608" s="324"/>
      <c r="C8608" s="325"/>
      <c r="D8608" s="326"/>
      <c r="E8608" s="326"/>
      <c r="F8608" s="326"/>
      <c r="G8608" s="326"/>
      <c r="H8608" s="326"/>
      <c r="P8608" s="318"/>
      <c r="Q8608" s="318"/>
      <c r="R8608" s="318"/>
      <c r="S8608" s="318"/>
      <c r="T8608" s="318"/>
      <c r="U8608" s="318"/>
      <c r="V8608" s="318"/>
      <c r="W8608" s="318"/>
      <c r="X8608" s="318"/>
      <c r="Y8608" s="318"/>
      <c r="Z8608" s="318"/>
      <c r="AA8608" s="318"/>
      <c r="AB8608" s="318"/>
      <c r="AC8608" s="318"/>
      <c r="AD8608" s="318"/>
    </row>
    <row r="8609" spans="2:30" s="323" customFormat="1" ht="12" customHeight="1">
      <c r="B8609" s="324"/>
      <c r="C8609" s="325"/>
      <c r="D8609" s="326"/>
      <c r="E8609" s="326"/>
      <c r="F8609" s="326"/>
      <c r="G8609" s="326"/>
      <c r="H8609" s="326"/>
      <c r="P8609" s="318"/>
      <c r="Q8609" s="318"/>
      <c r="R8609" s="318"/>
      <c r="S8609" s="318"/>
      <c r="T8609" s="318"/>
      <c r="U8609" s="318"/>
      <c r="V8609" s="318"/>
      <c r="W8609" s="318"/>
      <c r="X8609" s="318"/>
      <c r="Y8609" s="318"/>
      <c r="Z8609" s="318"/>
      <c r="AA8609" s="318"/>
      <c r="AB8609" s="318"/>
      <c r="AC8609" s="318"/>
      <c r="AD8609" s="318"/>
    </row>
    <row r="8610" spans="2:30" s="323" customFormat="1" ht="12" customHeight="1">
      <c r="B8610" s="324"/>
      <c r="C8610" s="325"/>
      <c r="D8610" s="326"/>
      <c r="E8610" s="326"/>
      <c r="F8610" s="326"/>
      <c r="G8610" s="326"/>
      <c r="H8610" s="326"/>
      <c r="P8610" s="318"/>
      <c r="Q8610" s="318"/>
      <c r="R8610" s="318"/>
      <c r="S8610" s="318"/>
      <c r="T8610" s="318"/>
      <c r="U8610" s="318"/>
      <c r="V8610" s="318"/>
      <c r="W8610" s="318"/>
      <c r="X8610" s="318"/>
      <c r="Y8610" s="318"/>
      <c r="Z8610" s="318"/>
      <c r="AA8610" s="318"/>
      <c r="AB8610" s="318"/>
      <c r="AC8610" s="318"/>
      <c r="AD8610" s="318"/>
    </row>
    <row r="8611" spans="2:30" s="323" customFormat="1" ht="12" customHeight="1">
      <c r="B8611" s="324"/>
      <c r="C8611" s="325"/>
      <c r="D8611" s="326"/>
      <c r="E8611" s="326"/>
      <c r="F8611" s="326"/>
      <c r="G8611" s="326"/>
      <c r="H8611" s="326"/>
      <c r="P8611" s="318"/>
      <c r="Q8611" s="318"/>
      <c r="R8611" s="318"/>
      <c r="S8611" s="318"/>
      <c r="T8611" s="318"/>
      <c r="U8611" s="318"/>
      <c r="V8611" s="318"/>
      <c r="W8611" s="318"/>
      <c r="X8611" s="318"/>
      <c r="Y8611" s="318"/>
      <c r="Z8611" s="318"/>
      <c r="AA8611" s="318"/>
      <c r="AB8611" s="318"/>
      <c r="AC8611" s="318"/>
      <c r="AD8611" s="318"/>
    </row>
    <row r="8612" spans="2:30" s="323" customFormat="1" ht="12" customHeight="1">
      <c r="B8612" s="324"/>
      <c r="C8612" s="325"/>
      <c r="D8612" s="326"/>
      <c r="E8612" s="326"/>
      <c r="F8612" s="326"/>
      <c r="G8612" s="326"/>
      <c r="H8612" s="326"/>
      <c r="P8612" s="318"/>
      <c r="Q8612" s="318"/>
      <c r="R8612" s="318"/>
      <c r="S8612" s="318"/>
      <c r="T8612" s="318"/>
      <c r="U8612" s="318"/>
      <c r="V8612" s="318"/>
      <c r="W8612" s="318"/>
      <c r="X8612" s="318"/>
      <c r="Y8612" s="318"/>
      <c r="Z8612" s="318"/>
      <c r="AA8612" s="318"/>
      <c r="AB8612" s="318"/>
      <c r="AC8612" s="318"/>
      <c r="AD8612" s="318"/>
    </row>
    <row r="8613" spans="2:30" s="323" customFormat="1" ht="12" customHeight="1">
      <c r="B8613" s="324"/>
      <c r="C8613" s="325"/>
      <c r="D8613" s="326"/>
      <c r="E8613" s="326"/>
      <c r="F8613" s="326"/>
      <c r="G8613" s="326"/>
      <c r="H8613" s="326"/>
      <c r="P8613" s="318"/>
      <c r="Q8613" s="318"/>
      <c r="R8613" s="318"/>
      <c r="S8613" s="318"/>
      <c r="T8613" s="318"/>
      <c r="U8613" s="318"/>
      <c r="V8613" s="318"/>
      <c r="W8613" s="318"/>
      <c r="X8613" s="318"/>
      <c r="Y8613" s="318"/>
      <c r="Z8613" s="318"/>
      <c r="AA8613" s="318"/>
      <c r="AB8613" s="318"/>
      <c r="AC8613" s="318"/>
      <c r="AD8613" s="318"/>
    </row>
    <row r="8614" spans="2:30" s="323" customFormat="1" ht="12" customHeight="1">
      <c r="B8614" s="324"/>
      <c r="C8614" s="325"/>
      <c r="D8614" s="326"/>
      <c r="E8614" s="326"/>
      <c r="F8614" s="326"/>
      <c r="G8614" s="326"/>
      <c r="H8614" s="326"/>
      <c r="P8614" s="318"/>
      <c r="Q8614" s="318"/>
      <c r="R8614" s="318"/>
      <c r="S8614" s="318"/>
      <c r="T8614" s="318"/>
      <c r="U8614" s="318"/>
      <c r="V8614" s="318"/>
      <c r="W8614" s="318"/>
      <c r="X8614" s="318"/>
      <c r="Y8614" s="318"/>
      <c r="Z8614" s="318"/>
      <c r="AA8614" s="318"/>
      <c r="AB8614" s="318"/>
      <c r="AC8614" s="318"/>
      <c r="AD8614" s="318"/>
    </row>
    <row r="8615" spans="2:30" s="323" customFormat="1" ht="12" customHeight="1">
      <c r="B8615" s="324"/>
      <c r="C8615" s="325"/>
      <c r="D8615" s="326"/>
      <c r="E8615" s="326"/>
      <c r="F8615" s="326"/>
      <c r="G8615" s="326"/>
      <c r="H8615" s="326"/>
      <c r="P8615" s="318"/>
      <c r="Q8615" s="318"/>
      <c r="R8615" s="318"/>
      <c r="S8615" s="318"/>
      <c r="T8615" s="318"/>
      <c r="U8615" s="318"/>
      <c r="V8615" s="318"/>
      <c r="W8615" s="318"/>
      <c r="X8615" s="318"/>
      <c r="Y8615" s="318"/>
      <c r="Z8615" s="318"/>
      <c r="AA8615" s="318"/>
      <c r="AB8615" s="318"/>
      <c r="AC8615" s="318"/>
      <c r="AD8615" s="318"/>
    </row>
    <row r="8616" spans="2:30" s="323" customFormat="1" ht="12" customHeight="1">
      <c r="B8616" s="324"/>
      <c r="C8616" s="325"/>
      <c r="D8616" s="326"/>
      <c r="E8616" s="326"/>
      <c r="F8616" s="326"/>
      <c r="G8616" s="326"/>
      <c r="H8616" s="326"/>
      <c r="P8616" s="318"/>
      <c r="Q8616" s="318"/>
      <c r="R8616" s="318"/>
      <c r="S8616" s="318"/>
      <c r="T8616" s="318"/>
      <c r="U8616" s="318"/>
      <c r="V8616" s="318"/>
      <c r="W8616" s="318"/>
      <c r="X8616" s="318"/>
      <c r="Y8616" s="318"/>
      <c r="Z8616" s="318"/>
      <c r="AA8616" s="318"/>
      <c r="AB8616" s="318"/>
      <c r="AC8616" s="318"/>
      <c r="AD8616" s="318"/>
    </row>
    <row r="8617" spans="2:30" s="323" customFormat="1" ht="12" customHeight="1">
      <c r="B8617" s="324"/>
      <c r="C8617" s="325"/>
      <c r="D8617" s="326"/>
      <c r="E8617" s="326"/>
      <c r="F8617" s="326"/>
      <c r="G8617" s="326"/>
      <c r="H8617" s="326"/>
      <c r="P8617" s="318"/>
      <c r="Q8617" s="318"/>
      <c r="R8617" s="318"/>
      <c r="S8617" s="318"/>
      <c r="T8617" s="318"/>
      <c r="U8617" s="318"/>
      <c r="V8617" s="318"/>
      <c r="W8617" s="318"/>
      <c r="X8617" s="318"/>
      <c r="Y8617" s="318"/>
      <c r="Z8617" s="318"/>
      <c r="AA8617" s="318"/>
      <c r="AB8617" s="318"/>
      <c r="AC8617" s="318"/>
      <c r="AD8617" s="318"/>
    </row>
    <row r="8618" spans="2:30" s="323" customFormat="1" ht="12" customHeight="1">
      <c r="B8618" s="324"/>
      <c r="C8618" s="325"/>
      <c r="D8618" s="326"/>
      <c r="E8618" s="326"/>
      <c r="F8618" s="326"/>
      <c r="G8618" s="326"/>
      <c r="H8618" s="326"/>
      <c r="P8618" s="318"/>
      <c r="Q8618" s="318"/>
      <c r="R8618" s="318"/>
      <c r="S8618" s="318"/>
      <c r="T8618" s="318"/>
      <c r="U8618" s="318"/>
      <c r="V8618" s="318"/>
      <c r="W8618" s="318"/>
      <c r="X8618" s="318"/>
      <c r="Y8618" s="318"/>
      <c r="Z8618" s="318"/>
      <c r="AA8618" s="318"/>
      <c r="AB8618" s="318"/>
      <c r="AC8618" s="318"/>
      <c r="AD8618" s="318"/>
    </row>
    <row r="8619" spans="2:30" s="323" customFormat="1" ht="12" customHeight="1">
      <c r="B8619" s="324"/>
      <c r="C8619" s="325"/>
      <c r="D8619" s="326"/>
      <c r="E8619" s="326"/>
      <c r="F8619" s="326"/>
      <c r="G8619" s="326"/>
      <c r="H8619" s="326"/>
      <c r="P8619" s="318"/>
      <c r="Q8619" s="318"/>
      <c r="R8619" s="318"/>
      <c r="S8619" s="318"/>
      <c r="T8619" s="318"/>
      <c r="U8619" s="318"/>
      <c r="V8619" s="318"/>
      <c r="W8619" s="318"/>
      <c r="X8619" s="318"/>
      <c r="Y8619" s="318"/>
      <c r="Z8619" s="318"/>
      <c r="AA8619" s="318"/>
      <c r="AB8619" s="318"/>
      <c r="AC8619" s="318"/>
      <c r="AD8619" s="318"/>
    </row>
    <row r="8620" spans="2:30" s="323" customFormat="1" ht="12" customHeight="1">
      <c r="B8620" s="324"/>
      <c r="C8620" s="325"/>
      <c r="D8620" s="326"/>
      <c r="E8620" s="326"/>
      <c r="F8620" s="326"/>
      <c r="G8620" s="326"/>
      <c r="H8620" s="326"/>
      <c r="P8620" s="318"/>
      <c r="Q8620" s="318"/>
      <c r="R8620" s="318"/>
      <c r="S8620" s="318"/>
      <c r="T8620" s="318"/>
      <c r="U8620" s="318"/>
      <c r="V8620" s="318"/>
      <c r="W8620" s="318"/>
      <c r="X8620" s="318"/>
      <c r="Y8620" s="318"/>
      <c r="Z8620" s="318"/>
      <c r="AA8620" s="318"/>
      <c r="AB8620" s="318"/>
      <c r="AC8620" s="318"/>
      <c r="AD8620" s="318"/>
    </row>
    <row r="8621" spans="2:30" s="323" customFormat="1" ht="12" customHeight="1">
      <c r="B8621" s="324"/>
      <c r="C8621" s="325"/>
      <c r="D8621" s="326"/>
      <c r="E8621" s="326"/>
      <c r="F8621" s="326"/>
      <c r="G8621" s="326"/>
      <c r="H8621" s="326"/>
      <c r="P8621" s="318"/>
      <c r="Q8621" s="318"/>
      <c r="R8621" s="318"/>
      <c r="S8621" s="318"/>
      <c r="T8621" s="318"/>
      <c r="U8621" s="318"/>
      <c r="V8621" s="318"/>
      <c r="W8621" s="318"/>
      <c r="X8621" s="318"/>
      <c r="Y8621" s="318"/>
      <c r="Z8621" s="318"/>
      <c r="AA8621" s="318"/>
      <c r="AB8621" s="318"/>
      <c r="AC8621" s="318"/>
      <c r="AD8621" s="318"/>
    </row>
    <row r="8622" spans="2:30" s="323" customFormat="1" ht="12" customHeight="1">
      <c r="B8622" s="324"/>
      <c r="C8622" s="325"/>
      <c r="D8622" s="326"/>
      <c r="E8622" s="326"/>
      <c r="F8622" s="326"/>
      <c r="G8622" s="326"/>
      <c r="H8622" s="326"/>
      <c r="P8622" s="318"/>
      <c r="Q8622" s="318"/>
      <c r="R8622" s="318"/>
      <c r="S8622" s="318"/>
      <c r="T8622" s="318"/>
      <c r="U8622" s="318"/>
      <c r="V8622" s="318"/>
      <c r="W8622" s="318"/>
      <c r="X8622" s="318"/>
      <c r="Y8622" s="318"/>
      <c r="Z8622" s="318"/>
      <c r="AA8622" s="318"/>
      <c r="AB8622" s="318"/>
      <c r="AC8622" s="318"/>
      <c r="AD8622" s="318"/>
    </row>
    <row r="8623" spans="2:30" s="323" customFormat="1" ht="12" customHeight="1">
      <c r="B8623" s="324"/>
      <c r="C8623" s="325"/>
      <c r="D8623" s="326"/>
      <c r="E8623" s="326"/>
      <c r="F8623" s="326"/>
      <c r="G8623" s="326"/>
      <c r="H8623" s="326"/>
      <c r="P8623" s="318"/>
      <c r="Q8623" s="318"/>
      <c r="R8623" s="318"/>
      <c r="S8623" s="318"/>
      <c r="T8623" s="318"/>
      <c r="U8623" s="318"/>
      <c r="V8623" s="318"/>
      <c r="W8623" s="318"/>
      <c r="X8623" s="318"/>
      <c r="Y8623" s="318"/>
      <c r="Z8623" s="318"/>
      <c r="AA8623" s="318"/>
      <c r="AB8623" s="318"/>
      <c r="AC8623" s="318"/>
      <c r="AD8623" s="318"/>
    </row>
    <row r="8624" spans="2:30" s="323" customFormat="1" ht="12" customHeight="1">
      <c r="B8624" s="324"/>
      <c r="C8624" s="325"/>
      <c r="D8624" s="326"/>
      <c r="E8624" s="326"/>
      <c r="F8624" s="326"/>
      <c r="G8624" s="326"/>
      <c r="H8624" s="326"/>
      <c r="P8624" s="318"/>
      <c r="Q8624" s="318"/>
      <c r="R8624" s="318"/>
      <c r="S8624" s="318"/>
      <c r="T8624" s="318"/>
      <c r="U8624" s="318"/>
      <c r="V8624" s="318"/>
      <c r="W8624" s="318"/>
      <c r="X8624" s="318"/>
      <c r="Y8624" s="318"/>
      <c r="Z8624" s="318"/>
      <c r="AA8624" s="318"/>
      <c r="AB8624" s="318"/>
      <c r="AC8624" s="318"/>
      <c r="AD8624" s="318"/>
    </row>
    <row r="8625" spans="2:30" s="323" customFormat="1" ht="12" customHeight="1">
      <c r="B8625" s="324"/>
      <c r="C8625" s="325"/>
      <c r="D8625" s="326"/>
      <c r="E8625" s="326"/>
      <c r="F8625" s="326"/>
      <c r="G8625" s="326"/>
      <c r="H8625" s="326"/>
      <c r="P8625" s="318"/>
      <c r="Q8625" s="318"/>
      <c r="R8625" s="318"/>
      <c r="S8625" s="318"/>
      <c r="T8625" s="318"/>
      <c r="U8625" s="318"/>
      <c r="V8625" s="318"/>
      <c r="W8625" s="318"/>
      <c r="X8625" s="318"/>
      <c r="Y8625" s="318"/>
      <c r="Z8625" s="318"/>
      <c r="AA8625" s="318"/>
      <c r="AB8625" s="318"/>
      <c r="AC8625" s="318"/>
      <c r="AD8625" s="318"/>
    </row>
    <row r="8626" spans="2:30" s="323" customFormat="1" ht="12" customHeight="1">
      <c r="B8626" s="324"/>
      <c r="C8626" s="325"/>
      <c r="D8626" s="326"/>
      <c r="E8626" s="326"/>
      <c r="F8626" s="326"/>
      <c r="G8626" s="326"/>
      <c r="H8626" s="326"/>
      <c r="P8626" s="318"/>
      <c r="Q8626" s="318"/>
      <c r="R8626" s="318"/>
      <c r="S8626" s="318"/>
      <c r="T8626" s="318"/>
      <c r="U8626" s="318"/>
      <c r="V8626" s="318"/>
      <c r="W8626" s="318"/>
      <c r="X8626" s="318"/>
      <c r="Y8626" s="318"/>
      <c r="Z8626" s="318"/>
      <c r="AA8626" s="318"/>
      <c r="AB8626" s="318"/>
      <c r="AC8626" s="318"/>
      <c r="AD8626" s="318"/>
    </row>
    <row r="8627" spans="2:30" s="323" customFormat="1" ht="12" customHeight="1">
      <c r="B8627" s="324"/>
      <c r="C8627" s="325"/>
      <c r="D8627" s="326"/>
      <c r="E8627" s="326"/>
      <c r="F8627" s="326"/>
      <c r="G8627" s="326"/>
      <c r="H8627" s="326"/>
      <c r="P8627" s="318"/>
      <c r="Q8627" s="318"/>
      <c r="R8627" s="318"/>
      <c r="S8627" s="318"/>
      <c r="T8627" s="318"/>
      <c r="U8627" s="318"/>
      <c r="V8627" s="318"/>
      <c r="W8627" s="318"/>
      <c r="X8627" s="318"/>
      <c r="Y8627" s="318"/>
      <c r="Z8627" s="318"/>
      <c r="AA8627" s="318"/>
      <c r="AB8627" s="318"/>
      <c r="AC8627" s="318"/>
      <c r="AD8627" s="318"/>
    </row>
    <row r="8628" spans="2:30" s="323" customFormat="1" ht="12" customHeight="1">
      <c r="B8628" s="324"/>
      <c r="C8628" s="325"/>
      <c r="D8628" s="326"/>
      <c r="E8628" s="326"/>
      <c r="F8628" s="326"/>
      <c r="G8628" s="326"/>
      <c r="H8628" s="326"/>
      <c r="P8628" s="318"/>
      <c r="Q8628" s="318"/>
      <c r="R8628" s="318"/>
      <c r="S8628" s="318"/>
      <c r="T8628" s="318"/>
      <c r="U8628" s="318"/>
      <c r="V8628" s="318"/>
      <c r="W8628" s="318"/>
      <c r="X8628" s="318"/>
      <c r="Y8628" s="318"/>
      <c r="Z8628" s="318"/>
      <c r="AA8628" s="318"/>
      <c r="AB8628" s="318"/>
      <c r="AC8628" s="318"/>
      <c r="AD8628" s="318"/>
    </row>
    <row r="8629" spans="2:30" s="323" customFormat="1" ht="12" customHeight="1">
      <c r="B8629" s="324"/>
      <c r="C8629" s="325"/>
      <c r="D8629" s="326"/>
      <c r="E8629" s="326"/>
      <c r="F8629" s="326"/>
      <c r="G8629" s="326"/>
      <c r="H8629" s="326"/>
      <c r="P8629" s="318"/>
      <c r="Q8629" s="318"/>
      <c r="R8629" s="318"/>
      <c r="S8629" s="318"/>
      <c r="T8629" s="318"/>
      <c r="U8629" s="318"/>
      <c r="V8629" s="318"/>
      <c r="W8629" s="318"/>
      <c r="X8629" s="318"/>
      <c r="Y8629" s="318"/>
      <c r="Z8629" s="318"/>
      <c r="AA8629" s="318"/>
      <c r="AB8629" s="318"/>
      <c r="AC8629" s="318"/>
      <c r="AD8629" s="318"/>
    </row>
    <row r="8630" spans="2:30" s="323" customFormat="1" ht="12" customHeight="1">
      <c r="B8630" s="324"/>
      <c r="C8630" s="325"/>
      <c r="D8630" s="326"/>
      <c r="E8630" s="326"/>
      <c r="F8630" s="326"/>
      <c r="G8630" s="326"/>
      <c r="H8630" s="326"/>
      <c r="P8630" s="318"/>
      <c r="Q8630" s="318"/>
      <c r="R8630" s="318"/>
      <c r="S8630" s="318"/>
      <c r="T8630" s="318"/>
      <c r="U8630" s="318"/>
      <c r="V8630" s="318"/>
      <c r="W8630" s="318"/>
      <c r="X8630" s="318"/>
      <c r="Y8630" s="318"/>
      <c r="Z8630" s="318"/>
      <c r="AA8630" s="318"/>
      <c r="AB8630" s="318"/>
      <c r="AC8630" s="318"/>
      <c r="AD8630" s="318"/>
    </row>
    <row r="8631" spans="2:30" s="323" customFormat="1" ht="12" customHeight="1">
      <c r="B8631" s="324"/>
      <c r="C8631" s="325"/>
      <c r="D8631" s="326"/>
      <c r="E8631" s="326"/>
      <c r="F8631" s="326"/>
      <c r="G8631" s="326"/>
      <c r="H8631" s="326"/>
      <c r="P8631" s="318"/>
      <c r="Q8631" s="318"/>
      <c r="R8631" s="318"/>
      <c r="S8631" s="318"/>
      <c r="T8631" s="318"/>
      <c r="U8631" s="318"/>
      <c r="V8631" s="318"/>
      <c r="W8631" s="318"/>
      <c r="X8631" s="318"/>
      <c r="Y8631" s="318"/>
      <c r="Z8631" s="318"/>
      <c r="AA8631" s="318"/>
      <c r="AB8631" s="318"/>
      <c r="AC8631" s="318"/>
      <c r="AD8631" s="318"/>
    </row>
    <row r="8632" spans="2:30" s="323" customFormat="1" ht="12" customHeight="1">
      <c r="B8632" s="324"/>
      <c r="C8632" s="325"/>
      <c r="D8632" s="326"/>
      <c r="E8632" s="326"/>
      <c r="F8632" s="326"/>
      <c r="G8632" s="326"/>
      <c r="H8632" s="326"/>
      <c r="P8632" s="318"/>
      <c r="Q8632" s="318"/>
      <c r="R8632" s="318"/>
      <c r="S8632" s="318"/>
      <c r="T8632" s="318"/>
      <c r="U8632" s="318"/>
      <c r="V8632" s="318"/>
      <c r="W8632" s="318"/>
      <c r="X8632" s="318"/>
      <c r="Y8632" s="318"/>
      <c r="Z8632" s="318"/>
      <c r="AA8632" s="318"/>
      <c r="AB8632" s="318"/>
      <c r="AC8632" s="318"/>
      <c r="AD8632" s="318"/>
    </row>
    <row r="8633" spans="2:30" s="323" customFormat="1" ht="12" customHeight="1">
      <c r="B8633" s="324"/>
      <c r="C8633" s="325"/>
      <c r="D8633" s="326"/>
      <c r="E8633" s="326"/>
      <c r="F8633" s="326"/>
      <c r="G8633" s="326"/>
      <c r="H8633" s="326"/>
      <c r="P8633" s="318"/>
      <c r="Q8633" s="318"/>
      <c r="R8633" s="318"/>
      <c r="S8633" s="318"/>
      <c r="T8633" s="318"/>
      <c r="U8633" s="318"/>
      <c r="V8633" s="318"/>
      <c r="W8633" s="318"/>
      <c r="X8633" s="318"/>
      <c r="Y8633" s="318"/>
      <c r="Z8633" s="318"/>
      <c r="AA8633" s="318"/>
      <c r="AB8633" s="318"/>
      <c r="AC8633" s="318"/>
      <c r="AD8633" s="318"/>
    </row>
    <row r="8634" spans="2:30" s="323" customFormat="1" ht="12" customHeight="1">
      <c r="B8634" s="324"/>
      <c r="C8634" s="325"/>
      <c r="D8634" s="326"/>
      <c r="E8634" s="326"/>
      <c r="F8634" s="326"/>
      <c r="G8634" s="326"/>
      <c r="H8634" s="326"/>
      <c r="P8634" s="318"/>
      <c r="Q8634" s="318"/>
      <c r="R8634" s="318"/>
      <c r="S8634" s="318"/>
      <c r="T8634" s="318"/>
      <c r="U8634" s="318"/>
      <c r="V8634" s="318"/>
      <c r="W8634" s="318"/>
      <c r="X8634" s="318"/>
      <c r="Y8634" s="318"/>
      <c r="Z8634" s="318"/>
      <c r="AA8634" s="318"/>
      <c r="AB8634" s="318"/>
      <c r="AC8634" s="318"/>
      <c r="AD8634" s="318"/>
    </row>
    <row r="8635" spans="2:30" s="323" customFormat="1" ht="12" customHeight="1">
      <c r="B8635" s="324"/>
      <c r="C8635" s="325"/>
      <c r="D8635" s="326"/>
      <c r="E8635" s="326"/>
      <c r="F8635" s="326"/>
      <c r="G8635" s="326"/>
      <c r="H8635" s="326"/>
      <c r="P8635" s="318"/>
      <c r="Q8635" s="318"/>
      <c r="R8635" s="318"/>
      <c r="S8635" s="318"/>
      <c r="T8635" s="318"/>
      <c r="U8635" s="318"/>
      <c r="V8635" s="318"/>
      <c r="W8635" s="318"/>
      <c r="X8635" s="318"/>
      <c r="Y8635" s="318"/>
      <c r="Z8635" s="318"/>
      <c r="AA8635" s="318"/>
      <c r="AB8635" s="318"/>
      <c r="AC8635" s="318"/>
      <c r="AD8635" s="318"/>
    </row>
    <row r="8636" spans="2:30" s="323" customFormat="1" ht="12" customHeight="1">
      <c r="B8636" s="324"/>
      <c r="C8636" s="325"/>
      <c r="D8636" s="326"/>
      <c r="E8636" s="326"/>
      <c r="F8636" s="326"/>
      <c r="G8636" s="326"/>
      <c r="H8636" s="326"/>
      <c r="P8636" s="318"/>
      <c r="Q8636" s="318"/>
      <c r="R8636" s="318"/>
      <c r="S8636" s="318"/>
      <c r="T8636" s="318"/>
      <c r="U8636" s="318"/>
      <c r="V8636" s="318"/>
      <c r="W8636" s="318"/>
      <c r="X8636" s="318"/>
      <c r="Y8636" s="318"/>
      <c r="Z8636" s="318"/>
      <c r="AA8636" s="318"/>
      <c r="AB8636" s="318"/>
      <c r="AC8636" s="318"/>
      <c r="AD8636" s="318"/>
    </row>
    <row r="8637" spans="2:30" s="323" customFormat="1" ht="12" customHeight="1">
      <c r="B8637" s="324"/>
      <c r="C8637" s="325"/>
      <c r="D8637" s="326"/>
      <c r="E8637" s="326"/>
      <c r="F8637" s="326"/>
      <c r="G8637" s="326"/>
      <c r="H8637" s="326"/>
      <c r="P8637" s="318"/>
      <c r="Q8637" s="318"/>
      <c r="R8637" s="318"/>
      <c r="S8637" s="318"/>
      <c r="T8637" s="318"/>
      <c r="U8637" s="318"/>
      <c r="V8637" s="318"/>
      <c r="W8637" s="318"/>
      <c r="X8637" s="318"/>
      <c r="Y8637" s="318"/>
      <c r="Z8637" s="318"/>
      <c r="AA8637" s="318"/>
      <c r="AB8637" s="318"/>
      <c r="AC8637" s="318"/>
      <c r="AD8637" s="318"/>
    </row>
    <row r="8638" spans="2:30" s="323" customFormat="1" ht="12" customHeight="1">
      <c r="B8638" s="324"/>
      <c r="C8638" s="325"/>
      <c r="D8638" s="326"/>
      <c r="E8638" s="326"/>
      <c r="F8638" s="326"/>
      <c r="G8638" s="326"/>
      <c r="H8638" s="326"/>
      <c r="P8638" s="318"/>
      <c r="Q8638" s="318"/>
      <c r="R8638" s="318"/>
      <c r="S8638" s="318"/>
      <c r="T8638" s="318"/>
      <c r="U8638" s="318"/>
      <c r="V8638" s="318"/>
      <c r="W8638" s="318"/>
      <c r="X8638" s="318"/>
      <c r="Y8638" s="318"/>
      <c r="Z8638" s="318"/>
      <c r="AA8638" s="318"/>
      <c r="AB8638" s="318"/>
      <c r="AC8638" s="318"/>
      <c r="AD8638" s="318"/>
    </row>
    <row r="8639" spans="2:30" s="323" customFormat="1" ht="12" customHeight="1">
      <c r="B8639" s="324"/>
      <c r="C8639" s="325"/>
      <c r="D8639" s="326"/>
      <c r="E8639" s="326"/>
      <c r="F8639" s="326"/>
      <c r="G8639" s="326"/>
      <c r="H8639" s="326"/>
      <c r="P8639" s="318"/>
      <c r="Q8639" s="318"/>
      <c r="R8639" s="318"/>
      <c r="S8639" s="318"/>
      <c r="T8639" s="318"/>
      <c r="U8639" s="318"/>
      <c r="V8639" s="318"/>
      <c r="W8639" s="318"/>
      <c r="X8639" s="318"/>
      <c r="Y8639" s="318"/>
      <c r="Z8639" s="318"/>
      <c r="AA8639" s="318"/>
      <c r="AB8639" s="318"/>
      <c r="AC8639" s="318"/>
      <c r="AD8639" s="318"/>
    </row>
    <row r="8640" spans="2:30" s="323" customFormat="1" ht="12" customHeight="1">
      <c r="B8640" s="324"/>
      <c r="C8640" s="325"/>
      <c r="D8640" s="326"/>
      <c r="E8640" s="326"/>
      <c r="F8640" s="326"/>
      <c r="G8640" s="326"/>
      <c r="H8640" s="326"/>
      <c r="P8640" s="318"/>
      <c r="Q8640" s="318"/>
      <c r="R8640" s="318"/>
      <c r="S8640" s="318"/>
      <c r="T8640" s="318"/>
      <c r="U8640" s="318"/>
      <c r="V8640" s="318"/>
      <c r="W8640" s="318"/>
      <c r="X8640" s="318"/>
      <c r="Y8640" s="318"/>
      <c r="Z8640" s="318"/>
      <c r="AA8640" s="318"/>
      <c r="AB8640" s="318"/>
      <c r="AC8640" s="318"/>
      <c r="AD8640" s="318"/>
    </row>
    <row r="8641" spans="2:30" s="323" customFormat="1" ht="12" customHeight="1">
      <c r="B8641" s="324"/>
      <c r="C8641" s="325"/>
      <c r="D8641" s="326"/>
      <c r="E8641" s="326"/>
      <c r="F8641" s="326"/>
      <c r="G8641" s="326"/>
      <c r="H8641" s="326"/>
      <c r="P8641" s="318"/>
      <c r="Q8641" s="318"/>
      <c r="R8641" s="318"/>
      <c r="S8641" s="318"/>
      <c r="T8641" s="318"/>
      <c r="U8641" s="318"/>
      <c r="V8641" s="318"/>
      <c r="W8641" s="318"/>
      <c r="X8641" s="318"/>
      <c r="Y8641" s="318"/>
      <c r="Z8641" s="318"/>
      <c r="AA8641" s="318"/>
      <c r="AB8641" s="318"/>
      <c r="AC8641" s="318"/>
      <c r="AD8641" s="318"/>
    </row>
    <row r="8642" spans="2:30" s="323" customFormat="1" ht="12" customHeight="1">
      <c r="B8642" s="324"/>
      <c r="C8642" s="325"/>
      <c r="D8642" s="326"/>
      <c r="E8642" s="326"/>
      <c r="F8642" s="326"/>
      <c r="G8642" s="326"/>
      <c r="H8642" s="326"/>
      <c r="P8642" s="318"/>
      <c r="Q8642" s="318"/>
      <c r="R8642" s="318"/>
      <c r="S8642" s="318"/>
      <c r="T8642" s="318"/>
      <c r="U8642" s="318"/>
      <c r="V8642" s="318"/>
      <c r="W8642" s="318"/>
      <c r="X8642" s="318"/>
      <c r="Y8642" s="318"/>
      <c r="Z8642" s="318"/>
      <c r="AA8642" s="318"/>
      <c r="AB8642" s="318"/>
      <c r="AC8642" s="318"/>
      <c r="AD8642" s="318"/>
    </row>
    <row r="8643" spans="2:30" s="323" customFormat="1" ht="12" customHeight="1">
      <c r="B8643" s="324"/>
      <c r="C8643" s="325"/>
      <c r="D8643" s="326"/>
      <c r="E8643" s="326"/>
      <c r="F8643" s="326"/>
      <c r="G8643" s="326"/>
      <c r="H8643" s="326"/>
      <c r="P8643" s="318"/>
      <c r="Q8643" s="318"/>
      <c r="R8643" s="318"/>
      <c r="S8643" s="318"/>
      <c r="T8643" s="318"/>
      <c r="U8643" s="318"/>
      <c r="V8643" s="318"/>
      <c r="W8643" s="318"/>
      <c r="X8643" s="318"/>
      <c r="Y8643" s="318"/>
      <c r="Z8643" s="318"/>
      <c r="AA8643" s="318"/>
      <c r="AB8643" s="318"/>
      <c r="AC8643" s="318"/>
      <c r="AD8643" s="318"/>
    </row>
    <row r="8644" spans="2:30" s="323" customFormat="1" ht="12" customHeight="1">
      <c r="B8644" s="324"/>
      <c r="C8644" s="325"/>
      <c r="D8644" s="326"/>
      <c r="E8644" s="326"/>
      <c r="F8644" s="326"/>
      <c r="G8644" s="326"/>
      <c r="H8644" s="326"/>
      <c r="P8644" s="318"/>
      <c r="Q8644" s="318"/>
      <c r="R8644" s="318"/>
      <c r="S8644" s="318"/>
      <c r="T8644" s="318"/>
      <c r="U8644" s="318"/>
      <c r="V8644" s="318"/>
      <c r="W8644" s="318"/>
      <c r="X8644" s="318"/>
      <c r="Y8644" s="318"/>
      <c r="Z8644" s="318"/>
      <c r="AA8644" s="318"/>
      <c r="AB8644" s="318"/>
      <c r="AC8644" s="318"/>
      <c r="AD8644" s="318"/>
    </row>
    <row r="8645" spans="2:30" s="323" customFormat="1" ht="12" customHeight="1">
      <c r="B8645" s="324"/>
      <c r="C8645" s="325"/>
      <c r="D8645" s="326"/>
      <c r="E8645" s="326"/>
      <c r="F8645" s="326"/>
      <c r="G8645" s="326"/>
      <c r="H8645" s="326"/>
      <c r="P8645" s="318"/>
      <c r="Q8645" s="318"/>
      <c r="R8645" s="318"/>
      <c r="S8645" s="318"/>
      <c r="T8645" s="318"/>
      <c r="U8645" s="318"/>
      <c r="V8645" s="318"/>
      <c r="W8645" s="318"/>
      <c r="X8645" s="318"/>
      <c r="Y8645" s="318"/>
      <c r="Z8645" s="318"/>
      <c r="AA8645" s="318"/>
      <c r="AB8645" s="318"/>
      <c r="AC8645" s="318"/>
      <c r="AD8645" s="318"/>
    </row>
    <row r="8646" spans="2:30" s="323" customFormat="1" ht="12" customHeight="1">
      <c r="B8646" s="324"/>
      <c r="C8646" s="325"/>
      <c r="D8646" s="326"/>
      <c r="E8646" s="326"/>
      <c r="F8646" s="326"/>
      <c r="G8646" s="326"/>
      <c r="H8646" s="326"/>
      <c r="P8646" s="318"/>
      <c r="Q8646" s="318"/>
      <c r="R8646" s="318"/>
      <c r="S8646" s="318"/>
      <c r="T8646" s="318"/>
      <c r="U8646" s="318"/>
      <c r="V8646" s="318"/>
      <c r="W8646" s="318"/>
      <c r="X8646" s="318"/>
      <c r="Y8646" s="318"/>
      <c r="Z8646" s="318"/>
      <c r="AA8646" s="318"/>
      <c r="AB8646" s="318"/>
      <c r="AC8646" s="318"/>
      <c r="AD8646" s="318"/>
    </row>
    <row r="8647" spans="2:30" s="323" customFormat="1" ht="12" customHeight="1">
      <c r="B8647" s="324"/>
      <c r="C8647" s="325"/>
      <c r="D8647" s="326"/>
      <c r="E8647" s="326"/>
      <c r="F8647" s="326"/>
      <c r="G8647" s="326"/>
      <c r="H8647" s="326"/>
      <c r="P8647" s="318"/>
      <c r="Q8647" s="318"/>
      <c r="R8647" s="318"/>
      <c r="S8647" s="318"/>
      <c r="T8647" s="318"/>
      <c r="U8647" s="318"/>
      <c r="V8647" s="318"/>
      <c r="W8647" s="318"/>
      <c r="X8647" s="318"/>
      <c r="Y8647" s="318"/>
      <c r="Z8647" s="318"/>
      <c r="AA8647" s="318"/>
      <c r="AB8647" s="318"/>
      <c r="AC8647" s="318"/>
      <c r="AD8647" s="318"/>
    </row>
    <row r="8648" spans="2:30" s="323" customFormat="1" ht="12" customHeight="1">
      <c r="B8648" s="324"/>
      <c r="C8648" s="325"/>
      <c r="D8648" s="326"/>
      <c r="E8648" s="326"/>
      <c r="F8648" s="326"/>
      <c r="G8648" s="326"/>
      <c r="H8648" s="326"/>
      <c r="P8648" s="318"/>
      <c r="Q8648" s="318"/>
      <c r="R8648" s="318"/>
      <c r="S8648" s="318"/>
      <c r="T8648" s="318"/>
      <c r="U8648" s="318"/>
      <c r="V8648" s="318"/>
      <c r="W8648" s="318"/>
      <c r="X8648" s="318"/>
      <c r="Y8648" s="318"/>
      <c r="Z8648" s="318"/>
      <c r="AA8648" s="318"/>
      <c r="AB8648" s="318"/>
      <c r="AC8648" s="318"/>
      <c r="AD8648" s="318"/>
    </row>
    <row r="8649" spans="2:30" s="323" customFormat="1" ht="12" customHeight="1">
      <c r="B8649" s="324"/>
      <c r="C8649" s="325"/>
      <c r="D8649" s="326"/>
      <c r="E8649" s="326"/>
      <c r="F8649" s="326"/>
      <c r="G8649" s="326"/>
      <c r="H8649" s="326"/>
      <c r="P8649" s="318"/>
      <c r="Q8649" s="318"/>
      <c r="R8649" s="318"/>
      <c r="S8649" s="318"/>
      <c r="T8649" s="318"/>
      <c r="U8649" s="318"/>
      <c r="V8649" s="318"/>
      <c r="W8649" s="318"/>
      <c r="X8649" s="318"/>
      <c r="Y8649" s="318"/>
      <c r="Z8649" s="318"/>
      <c r="AA8649" s="318"/>
      <c r="AB8649" s="318"/>
      <c r="AC8649" s="318"/>
      <c r="AD8649" s="318"/>
    </row>
    <row r="8650" spans="2:30" s="323" customFormat="1" ht="12" customHeight="1">
      <c r="B8650" s="324"/>
      <c r="C8650" s="325"/>
      <c r="D8650" s="326"/>
      <c r="E8650" s="326"/>
      <c r="F8650" s="326"/>
      <c r="G8650" s="326"/>
      <c r="H8650" s="326"/>
      <c r="P8650" s="318"/>
      <c r="Q8650" s="318"/>
      <c r="R8650" s="318"/>
      <c r="S8650" s="318"/>
      <c r="T8650" s="318"/>
      <c r="U8650" s="318"/>
      <c r="V8650" s="318"/>
      <c r="W8650" s="318"/>
      <c r="X8650" s="318"/>
      <c r="Y8650" s="318"/>
      <c r="Z8650" s="318"/>
      <c r="AA8650" s="318"/>
      <c r="AB8650" s="318"/>
      <c r="AC8650" s="318"/>
      <c r="AD8650" s="318"/>
    </row>
    <row r="8651" spans="2:30" s="323" customFormat="1" ht="12" customHeight="1">
      <c r="B8651" s="324"/>
      <c r="C8651" s="325"/>
      <c r="D8651" s="326"/>
      <c r="E8651" s="326"/>
      <c r="F8651" s="326"/>
      <c r="G8651" s="326"/>
      <c r="H8651" s="326"/>
      <c r="P8651" s="318"/>
      <c r="Q8651" s="318"/>
      <c r="R8651" s="318"/>
      <c r="S8651" s="318"/>
      <c r="T8651" s="318"/>
      <c r="U8651" s="318"/>
      <c r="V8651" s="318"/>
      <c r="W8651" s="318"/>
      <c r="X8651" s="318"/>
      <c r="Y8651" s="318"/>
      <c r="Z8651" s="318"/>
      <c r="AA8651" s="318"/>
      <c r="AB8651" s="318"/>
      <c r="AC8651" s="318"/>
      <c r="AD8651" s="318"/>
    </row>
    <row r="8652" spans="2:30" s="323" customFormat="1" ht="12" customHeight="1">
      <c r="B8652" s="324"/>
      <c r="C8652" s="325"/>
      <c r="D8652" s="326"/>
      <c r="E8652" s="326"/>
      <c r="F8652" s="326"/>
      <c r="G8652" s="326"/>
      <c r="H8652" s="326"/>
      <c r="P8652" s="318"/>
      <c r="Q8652" s="318"/>
      <c r="R8652" s="318"/>
      <c r="S8652" s="318"/>
      <c r="T8652" s="318"/>
      <c r="U8652" s="318"/>
      <c r="V8652" s="318"/>
      <c r="W8652" s="318"/>
      <c r="X8652" s="318"/>
      <c r="Y8652" s="318"/>
      <c r="Z8652" s="318"/>
      <c r="AA8652" s="318"/>
      <c r="AB8652" s="318"/>
      <c r="AC8652" s="318"/>
      <c r="AD8652" s="318"/>
    </row>
    <row r="8653" spans="2:30" s="323" customFormat="1" ht="12" customHeight="1">
      <c r="B8653" s="324"/>
      <c r="C8653" s="325"/>
      <c r="D8653" s="326"/>
      <c r="E8653" s="326"/>
      <c r="F8653" s="326"/>
      <c r="G8653" s="326"/>
      <c r="H8653" s="326"/>
      <c r="P8653" s="318"/>
      <c r="Q8653" s="318"/>
      <c r="R8653" s="318"/>
      <c r="S8653" s="318"/>
      <c r="T8653" s="318"/>
      <c r="U8653" s="318"/>
      <c r="V8653" s="318"/>
      <c r="W8653" s="318"/>
      <c r="X8653" s="318"/>
      <c r="Y8653" s="318"/>
      <c r="Z8653" s="318"/>
      <c r="AA8653" s="318"/>
      <c r="AB8653" s="318"/>
      <c r="AC8653" s="318"/>
      <c r="AD8653" s="318"/>
    </row>
    <row r="8654" spans="2:30" s="323" customFormat="1" ht="12" customHeight="1">
      <c r="B8654" s="324"/>
      <c r="C8654" s="325"/>
      <c r="D8654" s="326"/>
      <c r="E8654" s="326"/>
      <c r="F8654" s="326"/>
      <c r="G8654" s="326"/>
      <c r="H8654" s="326"/>
      <c r="P8654" s="318"/>
      <c r="Q8654" s="318"/>
      <c r="R8654" s="318"/>
      <c r="S8654" s="318"/>
      <c r="T8654" s="318"/>
      <c r="U8654" s="318"/>
      <c r="V8654" s="318"/>
      <c r="W8654" s="318"/>
      <c r="X8654" s="318"/>
      <c r="Y8654" s="318"/>
      <c r="Z8654" s="318"/>
      <c r="AA8654" s="318"/>
      <c r="AB8654" s="318"/>
      <c r="AC8654" s="318"/>
      <c r="AD8654" s="318"/>
    </row>
    <row r="8655" spans="2:30" s="323" customFormat="1" ht="12" customHeight="1">
      <c r="B8655" s="324"/>
      <c r="C8655" s="325"/>
      <c r="D8655" s="326"/>
      <c r="E8655" s="326"/>
      <c r="F8655" s="326"/>
      <c r="G8655" s="326"/>
      <c r="H8655" s="326"/>
      <c r="P8655" s="318"/>
      <c r="Q8655" s="318"/>
      <c r="R8655" s="318"/>
      <c r="S8655" s="318"/>
      <c r="T8655" s="318"/>
      <c r="U8655" s="318"/>
      <c r="V8655" s="318"/>
      <c r="W8655" s="318"/>
      <c r="X8655" s="318"/>
      <c r="Y8655" s="318"/>
      <c r="Z8655" s="318"/>
      <c r="AA8655" s="318"/>
      <c r="AB8655" s="318"/>
      <c r="AC8655" s="318"/>
      <c r="AD8655" s="318"/>
    </row>
    <row r="8656" spans="2:30" s="323" customFormat="1" ht="12" customHeight="1">
      <c r="B8656" s="324"/>
      <c r="C8656" s="325"/>
      <c r="D8656" s="326"/>
      <c r="E8656" s="326"/>
      <c r="F8656" s="326"/>
      <c r="G8656" s="326"/>
      <c r="H8656" s="326"/>
      <c r="P8656" s="318"/>
      <c r="Q8656" s="318"/>
      <c r="R8656" s="318"/>
      <c r="S8656" s="318"/>
      <c r="T8656" s="318"/>
      <c r="U8656" s="318"/>
      <c r="V8656" s="318"/>
      <c r="W8656" s="318"/>
      <c r="X8656" s="318"/>
      <c r="Y8656" s="318"/>
      <c r="Z8656" s="318"/>
      <c r="AA8656" s="318"/>
      <c r="AB8656" s="318"/>
      <c r="AC8656" s="318"/>
      <c r="AD8656" s="318"/>
    </row>
    <row r="8657" spans="2:30" s="323" customFormat="1" ht="12" customHeight="1">
      <c r="B8657" s="324"/>
      <c r="C8657" s="325"/>
      <c r="D8657" s="326"/>
      <c r="E8657" s="326"/>
      <c r="F8657" s="326"/>
      <c r="G8657" s="326"/>
      <c r="H8657" s="326"/>
      <c r="P8657" s="318"/>
      <c r="Q8657" s="318"/>
      <c r="R8657" s="318"/>
      <c r="S8657" s="318"/>
      <c r="T8657" s="318"/>
      <c r="U8657" s="318"/>
      <c r="V8657" s="318"/>
      <c r="W8657" s="318"/>
      <c r="X8657" s="318"/>
      <c r="Y8657" s="318"/>
      <c r="Z8657" s="318"/>
      <c r="AA8657" s="318"/>
      <c r="AB8657" s="318"/>
      <c r="AC8657" s="318"/>
      <c r="AD8657" s="318"/>
    </row>
    <row r="8658" spans="2:30" s="323" customFormat="1" ht="12" customHeight="1">
      <c r="B8658" s="324"/>
      <c r="C8658" s="325"/>
      <c r="D8658" s="326"/>
      <c r="E8658" s="326"/>
      <c r="F8658" s="326"/>
      <c r="G8658" s="326"/>
      <c r="H8658" s="326"/>
      <c r="P8658" s="318"/>
      <c r="Q8658" s="318"/>
      <c r="R8658" s="318"/>
      <c r="S8658" s="318"/>
      <c r="T8658" s="318"/>
      <c r="U8658" s="318"/>
      <c r="V8658" s="318"/>
      <c r="W8658" s="318"/>
      <c r="X8658" s="318"/>
      <c r="Y8658" s="318"/>
      <c r="Z8658" s="318"/>
      <c r="AA8658" s="318"/>
      <c r="AB8658" s="318"/>
      <c r="AC8658" s="318"/>
      <c r="AD8658" s="318"/>
    </row>
    <row r="8659" spans="2:30" s="323" customFormat="1" ht="12" customHeight="1">
      <c r="B8659" s="324"/>
      <c r="C8659" s="325"/>
      <c r="D8659" s="326"/>
      <c r="E8659" s="326"/>
      <c r="F8659" s="326"/>
      <c r="G8659" s="326"/>
      <c r="H8659" s="326"/>
      <c r="P8659" s="318"/>
      <c r="Q8659" s="318"/>
      <c r="R8659" s="318"/>
      <c r="S8659" s="318"/>
      <c r="T8659" s="318"/>
      <c r="U8659" s="318"/>
      <c r="V8659" s="318"/>
      <c r="W8659" s="318"/>
      <c r="X8659" s="318"/>
      <c r="Y8659" s="318"/>
      <c r="Z8659" s="318"/>
      <c r="AA8659" s="318"/>
      <c r="AB8659" s="318"/>
      <c r="AC8659" s="318"/>
      <c r="AD8659" s="318"/>
    </row>
    <row r="8660" spans="2:30" s="323" customFormat="1" ht="12" customHeight="1">
      <c r="B8660" s="324"/>
      <c r="C8660" s="325"/>
      <c r="D8660" s="326"/>
      <c r="E8660" s="326"/>
      <c r="F8660" s="326"/>
      <c r="G8660" s="326"/>
      <c r="H8660" s="326"/>
      <c r="P8660" s="318"/>
      <c r="Q8660" s="318"/>
      <c r="R8660" s="318"/>
      <c r="S8660" s="318"/>
      <c r="T8660" s="318"/>
      <c r="U8660" s="318"/>
      <c r="V8660" s="318"/>
      <c r="W8660" s="318"/>
      <c r="X8660" s="318"/>
      <c r="Y8660" s="318"/>
      <c r="Z8660" s="318"/>
      <c r="AA8660" s="318"/>
      <c r="AB8660" s="318"/>
      <c r="AC8660" s="318"/>
      <c r="AD8660" s="318"/>
    </row>
    <row r="8661" spans="2:30" s="323" customFormat="1" ht="12" customHeight="1">
      <c r="B8661" s="324"/>
      <c r="C8661" s="325"/>
      <c r="D8661" s="326"/>
      <c r="E8661" s="326"/>
      <c r="F8661" s="326"/>
      <c r="G8661" s="326"/>
      <c r="H8661" s="326"/>
      <c r="P8661" s="318"/>
      <c r="Q8661" s="318"/>
      <c r="R8661" s="318"/>
      <c r="S8661" s="318"/>
      <c r="T8661" s="318"/>
      <c r="U8661" s="318"/>
      <c r="V8661" s="318"/>
      <c r="W8661" s="318"/>
      <c r="X8661" s="318"/>
      <c r="Y8661" s="318"/>
      <c r="Z8661" s="318"/>
      <c r="AA8661" s="318"/>
      <c r="AB8661" s="318"/>
      <c r="AC8661" s="318"/>
      <c r="AD8661" s="318"/>
    </row>
    <row r="8662" spans="2:30" s="323" customFormat="1" ht="12" customHeight="1">
      <c r="B8662" s="324"/>
      <c r="C8662" s="325"/>
      <c r="D8662" s="326"/>
      <c r="E8662" s="326"/>
      <c r="F8662" s="326"/>
      <c r="G8662" s="326"/>
      <c r="H8662" s="326"/>
      <c r="P8662" s="318"/>
      <c r="Q8662" s="318"/>
      <c r="R8662" s="318"/>
      <c r="S8662" s="318"/>
      <c r="T8662" s="318"/>
      <c r="U8662" s="318"/>
      <c r="V8662" s="318"/>
      <c r="W8662" s="318"/>
      <c r="X8662" s="318"/>
      <c r="Y8662" s="318"/>
      <c r="Z8662" s="318"/>
      <c r="AA8662" s="318"/>
      <c r="AB8662" s="318"/>
      <c r="AC8662" s="318"/>
      <c r="AD8662" s="318"/>
    </row>
    <row r="8663" spans="2:30" s="323" customFormat="1" ht="12" customHeight="1">
      <c r="B8663" s="324"/>
      <c r="C8663" s="325"/>
      <c r="D8663" s="326"/>
      <c r="E8663" s="326"/>
      <c r="F8663" s="326"/>
      <c r="G8663" s="326"/>
      <c r="H8663" s="326"/>
      <c r="P8663" s="318"/>
      <c r="Q8663" s="318"/>
      <c r="R8663" s="318"/>
      <c r="S8663" s="318"/>
      <c r="T8663" s="318"/>
      <c r="U8663" s="318"/>
      <c r="V8663" s="318"/>
      <c r="W8663" s="318"/>
      <c r="X8663" s="318"/>
      <c r="Y8663" s="318"/>
      <c r="Z8663" s="318"/>
      <c r="AA8663" s="318"/>
      <c r="AB8663" s="318"/>
      <c r="AC8663" s="318"/>
      <c r="AD8663" s="318"/>
    </row>
    <row r="8664" spans="2:30" s="323" customFormat="1" ht="12" customHeight="1">
      <c r="B8664" s="324"/>
      <c r="C8664" s="325"/>
      <c r="D8664" s="326"/>
      <c r="E8664" s="326"/>
      <c r="F8664" s="326"/>
      <c r="G8664" s="326"/>
      <c r="H8664" s="326"/>
      <c r="P8664" s="318"/>
      <c r="Q8664" s="318"/>
      <c r="R8664" s="318"/>
      <c r="S8664" s="318"/>
      <c r="T8664" s="318"/>
      <c r="U8664" s="318"/>
      <c r="V8664" s="318"/>
      <c r="W8664" s="318"/>
      <c r="X8664" s="318"/>
      <c r="Y8664" s="318"/>
      <c r="Z8664" s="318"/>
      <c r="AA8664" s="318"/>
      <c r="AB8664" s="318"/>
      <c r="AC8664" s="318"/>
      <c r="AD8664" s="318"/>
    </row>
    <row r="8665" spans="2:30" s="323" customFormat="1" ht="12" customHeight="1">
      <c r="B8665" s="324"/>
      <c r="C8665" s="325"/>
      <c r="D8665" s="326"/>
      <c r="E8665" s="326"/>
      <c r="F8665" s="326"/>
      <c r="G8665" s="326"/>
      <c r="H8665" s="326"/>
      <c r="P8665" s="318"/>
      <c r="Q8665" s="318"/>
      <c r="R8665" s="318"/>
      <c r="S8665" s="318"/>
      <c r="T8665" s="318"/>
      <c r="U8665" s="318"/>
      <c r="V8665" s="318"/>
      <c r="W8665" s="318"/>
      <c r="X8665" s="318"/>
      <c r="Y8665" s="318"/>
      <c r="Z8665" s="318"/>
      <c r="AA8665" s="318"/>
      <c r="AB8665" s="318"/>
      <c r="AC8665" s="318"/>
      <c r="AD8665" s="318"/>
    </row>
    <row r="8666" spans="2:30" s="323" customFormat="1" ht="12" customHeight="1">
      <c r="B8666" s="324"/>
      <c r="C8666" s="325"/>
      <c r="D8666" s="326"/>
      <c r="E8666" s="326"/>
      <c r="F8666" s="326"/>
      <c r="G8666" s="326"/>
      <c r="H8666" s="326"/>
      <c r="P8666" s="318"/>
      <c r="Q8666" s="318"/>
      <c r="R8666" s="318"/>
      <c r="S8666" s="318"/>
      <c r="T8666" s="318"/>
      <c r="U8666" s="318"/>
      <c r="V8666" s="318"/>
      <c r="W8666" s="318"/>
      <c r="X8666" s="318"/>
      <c r="Y8666" s="318"/>
      <c r="Z8666" s="318"/>
      <c r="AA8666" s="318"/>
      <c r="AB8666" s="318"/>
      <c r="AC8666" s="318"/>
      <c r="AD8666" s="318"/>
    </row>
    <row r="8667" spans="2:30" s="323" customFormat="1" ht="12" customHeight="1">
      <c r="B8667" s="324"/>
      <c r="C8667" s="325"/>
      <c r="D8667" s="326"/>
      <c r="E8667" s="326"/>
      <c r="F8667" s="326"/>
      <c r="G8667" s="326"/>
      <c r="H8667" s="326"/>
      <c r="P8667" s="318"/>
      <c r="Q8667" s="318"/>
      <c r="R8667" s="318"/>
      <c r="S8667" s="318"/>
      <c r="T8667" s="318"/>
      <c r="U8667" s="318"/>
      <c r="V8667" s="318"/>
      <c r="W8667" s="318"/>
      <c r="X8667" s="318"/>
      <c r="Y8667" s="318"/>
      <c r="Z8667" s="318"/>
      <c r="AA8667" s="318"/>
      <c r="AB8667" s="318"/>
      <c r="AC8667" s="318"/>
      <c r="AD8667" s="318"/>
    </row>
    <row r="8668" spans="2:30" s="323" customFormat="1" ht="12" customHeight="1">
      <c r="B8668" s="324"/>
      <c r="C8668" s="325"/>
      <c r="D8668" s="326"/>
      <c r="E8668" s="326"/>
      <c r="F8668" s="326"/>
      <c r="G8668" s="326"/>
      <c r="H8668" s="326"/>
      <c r="P8668" s="318"/>
      <c r="Q8668" s="318"/>
      <c r="R8668" s="318"/>
      <c r="S8668" s="318"/>
      <c r="T8668" s="318"/>
      <c r="U8668" s="318"/>
      <c r="V8668" s="318"/>
      <c r="W8668" s="318"/>
      <c r="X8668" s="318"/>
      <c r="Y8668" s="318"/>
      <c r="Z8668" s="318"/>
      <c r="AA8668" s="318"/>
      <c r="AB8668" s="318"/>
      <c r="AC8668" s="318"/>
      <c r="AD8668" s="318"/>
    </row>
    <row r="8669" spans="2:30" s="323" customFormat="1" ht="12" customHeight="1">
      <c r="B8669" s="324"/>
      <c r="C8669" s="325"/>
      <c r="D8669" s="326"/>
      <c r="E8669" s="326"/>
      <c r="F8669" s="326"/>
      <c r="G8669" s="326"/>
      <c r="H8669" s="326"/>
      <c r="P8669" s="318"/>
      <c r="Q8669" s="318"/>
      <c r="R8669" s="318"/>
      <c r="S8669" s="318"/>
      <c r="T8669" s="318"/>
      <c r="U8669" s="318"/>
      <c r="V8669" s="318"/>
      <c r="W8669" s="318"/>
      <c r="X8669" s="318"/>
      <c r="Y8669" s="318"/>
      <c r="Z8669" s="318"/>
      <c r="AA8669" s="318"/>
      <c r="AB8669" s="318"/>
      <c r="AC8669" s="318"/>
      <c r="AD8669" s="318"/>
    </row>
    <row r="8670" spans="2:30" s="323" customFormat="1" ht="12" customHeight="1">
      <c r="B8670" s="324"/>
      <c r="C8670" s="325"/>
      <c r="D8670" s="326"/>
      <c r="E8670" s="326"/>
      <c r="F8670" s="326"/>
      <c r="G8670" s="326"/>
      <c r="H8670" s="326"/>
      <c r="P8670" s="318"/>
      <c r="Q8670" s="318"/>
      <c r="R8670" s="318"/>
      <c r="S8670" s="318"/>
      <c r="T8670" s="318"/>
      <c r="U8670" s="318"/>
      <c r="V8670" s="318"/>
      <c r="W8670" s="318"/>
      <c r="X8670" s="318"/>
      <c r="Y8670" s="318"/>
      <c r="Z8670" s="318"/>
      <c r="AA8670" s="318"/>
      <c r="AB8670" s="318"/>
      <c r="AC8670" s="318"/>
      <c r="AD8670" s="318"/>
    </row>
    <row r="8671" spans="2:30" s="323" customFormat="1" ht="12" customHeight="1">
      <c r="B8671" s="324"/>
      <c r="C8671" s="325"/>
      <c r="D8671" s="326"/>
      <c r="E8671" s="326"/>
      <c r="F8671" s="326"/>
      <c r="G8671" s="326"/>
      <c r="H8671" s="326"/>
      <c r="P8671" s="318"/>
      <c r="Q8671" s="318"/>
      <c r="R8671" s="318"/>
      <c r="S8671" s="318"/>
      <c r="T8671" s="318"/>
      <c r="U8671" s="318"/>
      <c r="V8671" s="318"/>
      <c r="W8671" s="318"/>
      <c r="X8671" s="318"/>
      <c r="Y8671" s="318"/>
      <c r="Z8671" s="318"/>
      <c r="AA8671" s="318"/>
      <c r="AB8671" s="318"/>
      <c r="AC8671" s="318"/>
      <c r="AD8671" s="318"/>
    </row>
    <row r="8672" spans="2:30" s="323" customFormat="1" ht="12" customHeight="1">
      <c r="B8672" s="324"/>
      <c r="C8672" s="325"/>
      <c r="D8672" s="326"/>
      <c r="E8672" s="326"/>
      <c r="F8672" s="326"/>
      <c r="G8672" s="326"/>
      <c r="H8672" s="326"/>
      <c r="P8672" s="318"/>
      <c r="Q8672" s="318"/>
      <c r="R8672" s="318"/>
      <c r="S8672" s="318"/>
      <c r="T8672" s="318"/>
      <c r="U8672" s="318"/>
      <c r="V8672" s="318"/>
      <c r="W8672" s="318"/>
      <c r="X8672" s="318"/>
      <c r="Y8672" s="318"/>
      <c r="Z8672" s="318"/>
      <c r="AA8672" s="318"/>
      <c r="AB8672" s="318"/>
      <c r="AC8672" s="318"/>
      <c r="AD8672" s="318"/>
    </row>
    <row r="8673" spans="2:30" s="323" customFormat="1" ht="12" customHeight="1">
      <c r="B8673" s="324"/>
      <c r="C8673" s="325"/>
      <c r="D8673" s="326"/>
      <c r="E8673" s="326"/>
      <c r="F8673" s="326"/>
      <c r="G8673" s="326"/>
      <c r="H8673" s="326"/>
      <c r="P8673" s="318"/>
      <c r="Q8673" s="318"/>
      <c r="R8673" s="318"/>
      <c r="S8673" s="318"/>
      <c r="T8673" s="318"/>
      <c r="U8673" s="318"/>
      <c r="V8673" s="318"/>
      <c r="W8673" s="318"/>
      <c r="X8673" s="318"/>
      <c r="Y8673" s="318"/>
      <c r="Z8673" s="318"/>
      <c r="AA8673" s="318"/>
      <c r="AB8673" s="318"/>
      <c r="AC8673" s="318"/>
      <c r="AD8673" s="318"/>
    </row>
    <row r="8674" spans="2:30" s="323" customFormat="1" ht="12" customHeight="1">
      <c r="B8674" s="324"/>
      <c r="C8674" s="325"/>
      <c r="D8674" s="326"/>
      <c r="E8674" s="326"/>
      <c r="F8674" s="326"/>
      <c r="G8674" s="326"/>
      <c r="H8674" s="326"/>
      <c r="P8674" s="318"/>
      <c r="Q8674" s="318"/>
      <c r="R8674" s="318"/>
      <c r="S8674" s="318"/>
      <c r="T8674" s="318"/>
      <c r="U8674" s="318"/>
      <c r="V8674" s="318"/>
      <c r="W8674" s="318"/>
      <c r="X8674" s="318"/>
      <c r="Y8674" s="318"/>
      <c r="Z8674" s="318"/>
      <c r="AA8674" s="318"/>
      <c r="AB8674" s="318"/>
      <c r="AC8674" s="318"/>
      <c r="AD8674" s="318"/>
    </row>
    <row r="8675" spans="2:30" s="323" customFormat="1" ht="12" customHeight="1">
      <c r="B8675" s="324"/>
      <c r="C8675" s="325"/>
      <c r="D8675" s="326"/>
      <c r="E8675" s="326"/>
      <c r="F8675" s="326"/>
      <c r="G8675" s="326"/>
      <c r="H8675" s="326"/>
      <c r="P8675" s="318"/>
      <c r="Q8675" s="318"/>
      <c r="R8675" s="318"/>
      <c r="S8675" s="318"/>
      <c r="T8675" s="318"/>
      <c r="U8675" s="318"/>
      <c r="V8675" s="318"/>
      <c r="W8675" s="318"/>
      <c r="X8675" s="318"/>
      <c r="Y8675" s="318"/>
      <c r="Z8675" s="318"/>
      <c r="AA8675" s="318"/>
      <c r="AB8675" s="318"/>
      <c r="AC8675" s="318"/>
      <c r="AD8675" s="318"/>
    </row>
    <row r="8676" spans="2:30" s="323" customFormat="1" ht="12" customHeight="1">
      <c r="B8676" s="324"/>
      <c r="C8676" s="325"/>
      <c r="D8676" s="326"/>
      <c r="E8676" s="326"/>
      <c r="F8676" s="326"/>
      <c r="G8676" s="326"/>
      <c r="H8676" s="326"/>
      <c r="P8676" s="318"/>
      <c r="Q8676" s="318"/>
      <c r="R8676" s="318"/>
      <c r="S8676" s="318"/>
      <c r="T8676" s="318"/>
      <c r="U8676" s="318"/>
      <c r="V8676" s="318"/>
      <c r="W8676" s="318"/>
      <c r="X8676" s="318"/>
      <c r="Y8676" s="318"/>
      <c r="Z8676" s="318"/>
      <c r="AA8676" s="318"/>
      <c r="AB8676" s="318"/>
      <c r="AC8676" s="318"/>
      <c r="AD8676" s="318"/>
    </row>
    <row r="8677" spans="2:30" s="323" customFormat="1" ht="12" customHeight="1">
      <c r="B8677" s="324"/>
      <c r="C8677" s="325"/>
      <c r="D8677" s="326"/>
      <c r="E8677" s="326"/>
      <c r="F8677" s="326"/>
      <c r="G8677" s="326"/>
      <c r="H8677" s="326"/>
      <c r="P8677" s="318"/>
      <c r="Q8677" s="318"/>
      <c r="R8677" s="318"/>
      <c r="S8677" s="318"/>
      <c r="T8677" s="318"/>
      <c r="U8677" s="318"/>
      <c r="V8677" s="318"/>
      <c r="W8677" s="318"/>
      <c r="X8677" s="318"/>
      <c r="Y8677" s="318"/>
      <c r="Z8677" s="318"/>
      <c r="AA8677" s="318"/>
      <c r="AB8677" s="318"/>
      <c r="AC8677" s="318"/>
      <c r="AD8677" s="318"/>
    </row>
    <row r="8678" spans="2:30" s="323" customFormat="1" ht="12" customHeight="1">
      <c r="B8678" s="324"/>
      <c r="C8678" s="325"/>
      <c r="D8678" s="326"/>
      <c r="E8678" s="326"/>
      <c r="F8678" s="326"/>
      <c r="G8678" s="326"/>
      <c r="H8678" s="326"/>
      <c r="P8678" s="318"/>
      <c r="Q8678" s="318"/>
      <c r="R8678" s="318"/>
      <c r="S8678" s="318"/>
      <c r="T8678" s="318"/>
      <c r="U8678" s="318"/>
      <c r="V8678" s="318"/>
      <c r="W8678" s="318"/>
      <c r="X8678" s="318"/>
      <c r="Y8678" s="318"/>
      <c r="Z8678" s="318"/>
      <c r="AA8678" s="318"/>
      <c r="AB8678" s="318"/>
      <c r="AC8678" s="318"/>
      <c r="AD8678" s="318"/>
    </row>
    <row r="8679" spans="2:30" s="323" customFormat="1" ht="12" customHeight="1">
      <c r="B8679" s="324"/>
      <c r="C8679" s="325"/>
      <c r="D8679" s="326"/>
      <c r="E8679" s="326"/>
      <c r="F8679" s="326"/>
      <c r="G8679" s="326"/>
      <c r="H8679" s="326"/>
      <c r="P8679" s="318"/>
      <c r="Q8679" s="318"/>
      <c r="R8679" s="318"/>
      <c r="S8679" s="318"/>
      <c r="T8679" s="318"/>
      <c r="U8679" s="318"/>
      <c r="V8679" s="318"/>
      <c r="W8679" s="318"/>
      <c r="X8679" s="318"/>
      <c r="Y8679" s="318"/>
      <c r="Z8679" s="318"/>
      <c r="AA8679" s="318"/>
      <c r="AB8679" s="318"/>
      <c r="AC8679" s="318"/>
      <c r="AD8679" s="318"/>
    </row>
    <row r="8680" spans="2:30" s="323" customFormat="1" ht="12" customHeight="1">
      <c r="B8680" s="324"/>
      <c r="C8680" s="325"/>
      <c r="D8680" s="326"/>
      <c r="E8680" s="326"/>
      <c r="F8680" s="326"/>
      <c r="G8680" s="326"/>
      <c r="H8680" s="326"/>
      <c r="P8680" s="318"/>
      <c r="Q8680" s="318"/>
      <c r="R8680" s="318"/>
      <c r="S8680" s="318"/>
      <c r="T8680" s="318"/>
      <c r="U8680" s="318"/>
      <c r="V8680" s="318"/>
      <c r="W8680" s="318"/>
      <c r="X8680" s="318"/>
      <c r="Y8680" s="318"/>
      <c r="Z8680" s="318"/>
      <c r="AA8680" s="318"/>
      <c r="AB8680" s="318"/>
      <c r="AC8680" s="318"/>
      <c r="AD8680" s="318"/>
    </row>
    <row r="8681" spans="2:30" s="323" customFormat="1" ht="12" customHeight="1">
      <c r="B8681" s="324"/>
      <c r="C8681" s="325"/>
      <c r="D8681" s="326"/>
      <c r="E8681" s="326"/>
      <c r="F8681" s="326"/>
      <c r="G8681" s="326"/>
      <c r="H8681" s="326"/>
      <c r="P8681" s="318"/>
      <c r="Q8681" s="318"/>
      <c r="R8681" s="318"/>
      <c r="S8681" s="318"/>
      <c r="T8681" s="318"/>
      <c r="U8681" s="318"/>
      <c r="V8681" s="318"/>
      <c r="W8681" s="318"/>
      <c r="X8681" s="318"/>
      <c r="Y8681" s="318"/>
      <c r="Z8681" s="318"/>
      <c r="AA8681" s="318"/>
      <c r="AB8681" s="318"/>
      <c r="AC8681" s="318"/>
      <c r="AD8681" s="318"/>
    </row>
    <row r="8682" spans="2:30" s="323" customFormat="1" ht="12" customHeight="1">
      <c r="B8682" s="324"/>
      <c r="C8682" s="325"/>
      <c r="D8682" s="326"/>
      <c r="E8682" s="326"/>
      <c r="F8682" s="326"/>
      <c r="G8682" s="326"/>
      <c r="H8682" s="326"/>
      <c r="P8682" s="318"/>
      <c r="Q8682" s="318"/>
      <c r="R8682" s="318"/>
      <c r="S8682" s="318"/>
      <c r="T8682" s="318"/>
      <c r="U8682" s="318"/>
      <c r="V8682" s="318"/>
      <c r="W8682" s="318"/>
      <c r="X8682" s="318"/>
      <c r="Y8682" s="318"/>
      <c r="Z8682" s="318"/>
      <c r="AA8682" s="318"/>
      <c r="AB8682" s="318"/>
      <c r="AC8682" s="318"/>
      <c r="AD8682" s="318"/>
    </row>
    <row r="8683" spans="2:30" s="323" customFormat="1" ht="12" customHeight="1">
      <c r="B8683" s="324"/>
      <c r="C8683" s="325"/>
      <c r="D8683" s="326"/>
      <c r="E8683" s="326"/>
      <c r="F8683" s="326"/>
      <c r="G8683" s="326"/>
      <c r="H8683" s="326"/>
      <c r="P8683" s="318"/>
      <c r="Q8683" s="318"/>
      <c r="R8683" s="318"/>
      <c r="S8683" s="318"/>
      <c r="T8683" s="318"/>
      <c r="U8683" s="318"/>
      <c r="V8683" s="318"/>
      <c r="W8683" s="318"/>
      <c r="X8683" s="318"/>
      <c r="Y8683" s="318"/>
      <c r="Z8683" s="318"/>
      <c r="AA8683" s="318"/>
      <c r="AB8683" s="318"/>
      <c r="AC8683" s="318"/>
      <c r="AD8683" s="318"/>
    </row>
    <row r="8684" spans="2:30" s="323" customFormat="1" ht="12" customHeight="1">
      <c r="B8684" s="324"/>
      <c r="C8684" s="325"/>
      <c r="D8684" s="326"/>
      <c r="E8684" s="326"/>
      <c r="F8684" s="326"/>
      <c r="G8684" s="326"/>
      <c r="H8684" s="326"/>
      <c r="P8684" s="318"/>
      <c r="Q8684" s="318"/>
      <c r="R8684" s="318"/>
      <c r="S8684" s="318"/>
      <c r="T8684" s="318"/>
      <c r="U8684" s="318"/>
      <c r="V8684" s="318"/>
      <c r="W8684" s="318"/>
      <c r="X8684" s="318"/>
      <c r="Y8684" s="318"/>
      <c r="Z8684" s="318"/>
      <c r="AA8684" s="318"/>
      <c r="AB8684" s="318"/>
      <c r="AC8684" s="318"/>
      <c r="AD8684" s="318"/>
    </row>
    <row r="8685" spans="2:30" s="323" customFormat="1" ht="12" customHeight="1">
      <c r="B8685" s="324"/>
      <c r="C8685" s="325"/>
      <c r="D8685" s="326"/>
      <c r="E8685" s="326"/>
      <c r="F8685" s="326"/>
      <c r="G8685" s="326"/>
      <c r="H8685" s="326"/>
      <c r="P8685" s="318"/>
      <c r="Q8685" s="318"/>
      <c r="R8685" s="318"/>
      <c r="S8685" s="318"/>
      <c r="T8685" s="318"/>
      <c r="U8685" s="318"/>
      <c r="V8685" s="318"/>
      <c r="W8685" s="318"/>
      <c r="X8685" s="318"/>
      <c r="Y8685" s="318"/>
      <c r="Z8685" s="318"/>
      <c r="AA8685" s="318"/>
      <c r="AB8685" s="318"/>
      <c r="AC8685" s="318"/>
      <c r="AD8685" s="318"/>
    </row>
    <row r="8686" spans="2:30" s="323" customFormat="1" ht="12" customHeight="1">
      <c r="B8686" s="324"/>
      <c r="C8686" s="325"/>
      <c r="D8686" s="326"/>
      <c r="E8686" s="326"/>
      <c r="F8686" s="326"/>
      <c r="G8686" s="326"/>
      <c r="H8686" s="326"/>
      <c r="P8686" s="318"/>
      <c r="Q8686" s="318"/>
      <c r="R8686" s="318"/>
      <c r="S8686" s="318"/>
      <c r="T8686" s="318"/>
      <c r="U8686" s="318"/>
      <c r="V8686" s="318"/>
      <c r="W8686" s="318"/>
      <c r="X8686" s="318"/>
      <c r="Y8686" s="318"/>
      <c r="Z8686" s="318"/>
      <c r="AA8686" s="318"/>
      <c r="AB8686" s="318"/>
      <c r="AC8686" s="318"/>
      <c r="AD8686" s="318"/>
    </row>
    <row r="8687" spans="2:30" s="323" customFormat="1" ht="12" customHeight="1">
      <c r="B8687" s="324"/>
      <c r="C8687" s="325"/>
      <c r="D8687" s="326"/>
      <c r="E8687" s="326"/>
      <c r="F8687" s="326"/>
      <c r="G8687" s="326"/>
      <c r="H8687" s="326"/>
      <c r="P8687" s="318"/>
      <c r="Q8687" s="318"/>
      <c r="R8687" s="318"/>
      <c r="S8687" s="318"/>
      <c r="T8687" s="318"/>
      <c r="U8687" s="318"/>
      <c r="V8687" s="318"/>
      <c r="W8687" s="318"/>
      <c r="X8687" s="318"/>
      <c r="Y8687" s="318"/>
      <c r="Z8687" s="318"/>
      <c r="AA8687" s="318"/>
      <c r="AB8687" s="318"/>
      <c r="AC8687" s="318"/>
      <c r="AD8687" s="318"/>
    </row>
    <row r="8688" spans="2:30" s="323" customFormat="1" ht="12" customHeight="1">
      <c r="B8688" s="324"/>
      <c r="C8688" s="325"/>
      <c r="D8688" s="326"/>
      <c r="E8688" s="326"/>
      <c r="F8688" s="326"/>
      <c r="G8688" s="326"/>
      <c r="H8688" s="326"/>
      <c r="P8688" s="318"/>
      <c r="Q8688" s="318"/>
      <c r="R8688" s="318"/>
      <c r="S8688" s="318"/>
      <c r="T8688" s="318"/>
      <c r="U8688" s="318"/>
      <c r="V8688" s="318"/>
      <c r="W8688" s="318"/>
      <c r="X8688" s="318"/>
      <c r="Y8688" s="318"/>
      <c r="Z8688" s="318"/>
      <c r="AA8688" s="318"/>
      <c r="AB8688" s="318"/>
      <c r="AC8688" s="318"/>
      <c r="AD8688" s="318"/>
    </row>
    <row r="8689" spans="2:30" s="323" customFormat="1" ht="12" customHeight="1">
      <c r="B8689" s="324"/>
      <c r="C8689" s="325"/>
      <c r="D8689" s="326"/>
      <c r="E8689" s="326"/>
      <c r="F8689" s="326"/>
      <c r="G8689" s="326"/>
      <c r="H8689" s="326"/>
      <c r="P8689" s="318"/>
      <c r="Q8689" s="318"/>
      <c r="R8689" s="318"/>
      <c r="S8689" s="318"/>
      <c r="T8689" s="318"/>
      <c r="U8689" s="318"/>
      <c r="V8689" s="318"/>
      <c r="W8689" s="318"/>
      <c r="X8689" s="318"/>
      <c r="Y8689" s="318"/>
      <c r="Z8689" s="318"/>
      <c r="AA8689" s="318"/>
      <c r="AB8689" s="318"/>
      <c r="AC8689" s="318"/>
      <c r="AD8689" s="318"/>
    </row>
    <row r="8690" spans="2:30" s="323" customFormat="1" ht="12" customHeight="1">
      <c r="B8690" s="324"/>
      <c r="C8690" s="325"/>
      <c r="D8690" s="326"/>
      <c r="E8690" s="326"/>
      <c r="F8690" s="326"/>
      <c r="G8690" s="326"/>
      <c r="H8690" s="326"/>
      <c r="P8690" s="318"/>
      <c r="Q8690" s="318"/>
      <c r="R8690" s="318"/>
      <c r="S8690" s="318"/>
      <c r="T8690" s="318"/>
      <c r="U8690" s="318"/>
      <c r="V8690" s="318"/>
      <c r="W8690" s="318"/>
      <c r="X8690" s="318"/>
      <c r="Y8690" s="318"/>
      <c r="Z8690" s="318"/>
      <c r="AA8690" s="318"/>
      <c r="AB8690" s="318"/>
      <c r="AC8690" s="318"/>
      <c r="AD8690" s="318"/>
    </row>
    <row r="8691" spans="2:30" s="323" customFormat="1" ht="12" customHeight="1">
      <c r="B8691" s="324"/>
      <c r="C8691" s="325"/>
      <c r="D8691" s="326"/>
      <c r="E8691" s="326"/>
      <c r="F8691" s="326"/>
      <c r="G8691" s="326"/>
      <c r="H8691" s="326"/>
      <c r="P8691" s="318"/>
      <c r="Q8691" s="318"/>
      <c r="R8691" s="318"/>
      <c r="S8691" s="318"/>
      <c r="T8691" s="318"/>
      <c r="U8691" s="318"/>
      <c r="V8691" s="318"/>
      <c r="W8691" s="318"/>
      <c r="X8691" s="318"/>
      <c r="Y8691" s="318"/>
      <c r="Z8691" s="318"/>
      <c r="AA8691" s="318"/>
      <c r="AB8691" s="318"/>
      <c r="AC8691" s="318"/>
      <c r="AD8691" s="318"/>
    </row>
    <row r="8692" spans="2:30" s="323" customFormat="1" ht="12" customHeight="1">
      <c r="B8692" s="324"/>
      <c r="C8692" s="325"/>
      <c r="D8692" s="326"/>
      <c r="E8692" s="326"/>
      <c r="F8692" s="326"/>
      <c r="G8692" s="326"/>
      <c r="H8692" s="326"/>
      <c r="P8692" s="318"/>
      <c r="Q8692" s="318"/>
      <c r="R8692" s="318"/>
      <c r="S8692" s="318"/>
      <c r="T8692" s="318"/>
      <c r="U8692" s="318"/>
      <c r="V8692" s="318"/>
      <c r="W8692" s="318"/>
      <c r="X8692" s="318"/>
      <c r="Y8692" s="318"/>
      <c r="Z8692" s="318"/>
      <c r="AA8692" s="318"/>
      <c r="AB8692" s="318"/>
      <c r="AC8692" s="318"/>
      <c r="AD8692" s="318"/>
    </row>
    <row r="8693" spans="2:30" s="323" customFormat="1" ht="12" customHeight="1">
      <c r="B8693" s="324"/>
      <c r="C8693" s="325"/>
      <c r="D8693" s="326"/>
      <c r="E8693" s="326"/>
      <c r="F8693" s="326"/>
      <c r="G8693" s="326"/>
      <c r="H8693" s="326"/>
      <c r="P8693" s="318"/>
      <c r="Q8693" s="318"/>
      <c r="R8693" s="318"/>
      <c r="S8693" s="318"/>
      <c r="T8693" s="318"/>
      <c r="U8693" s="318"/>
      <c r="V8693" s="318"/>
      <c r="W8693" s="318"/>
      <c r="X8693" s="318"/>
      <c r="Y8693" s="318"/>
      <c r="Z8693" s="318"/>
      <c r="AA8693" s="318"/>
      <c r="AB8693" s="318"/>
      <c r="AC8693" s="318"/>
      <c r="AD8693" s="318"/>
    </row>
    <row r="8694" spans="2:30" s="323" customFormat="1" ht="12" customHeight="1">
      <c r="B8694" s="324"/>
      <c r="C8694" s="325"/>
      <c r="D8694" s="326"/>
      <c r="E8694" s="326"/>
      <c r="F8694" s="326"/>
      <c r="G8694" s="326"/>
      <c r="H8694" s="326"/>
      <c r="P8694" s="318"/>
      <c r="Q8694" s="318"/>
      <c r="R8694" s="318"/>
      <c r="S8694" s="318"/>
      <c r="T8694" s="318"/>
      <c r="U8694" s="318"/>
      <c r="V8694" s="318"/>
      <c r="W8694" s="318"/>
      <c r="X8694" s="318"/>
      <c r="Y8694" s="318"/>
      <c r="Z8694" s="318"/>
      <c r="AA8694" s="318"/>
      <c r="AB8694" s="318"/>
      <c r="AC8694" s="318"/>
      <c r="AD8694" s="318"/>
    </row>
    <row r="8695" spans="2:30" s="323" customFormat="1" ht="12" customHeight="1">
      <c r="B8695" s="324"/>
      <c r="C8695" s="325"/>
      <c r="D8695" s="326"/>
      <c r="E8695" s="326"/>
      <c r="F8695" s="326"/>
      <c r="G8695" s="326"/>
      <c r="H8695" s="326"/>
      <c r="P8695" s="318"/>
      <c r="Q8695" s="318"/>
      <c r="R8695" s="318"/>
      <c r="S8695" s="318"/>
      <c r="T8695" s="318"/>
      <c r="U8695" s="318"/>
      <c r="V8695" s="318"/>
      <c r="W8695" s="318"/>
      <c r="X8695" s="318"/>
      <c r="Y8695" s="318"/>
      <c r="Z8695" s="318"/>
      <c r="AA8695" s="318"/>
      <c r="AB8695" s="318"/>
      <c r="AC8695" s="318"/>
      <c r="AD8695" s="318"/>
    </row>
    <row r="8696" spans="2:30" s="323" customFormat="1" ht="12" customHeight="1">
      <c r="B8696" s="324"/>
      <c r="C8696" s="325"/>
      <c r="D8696" s="326"/>
      <c r="E8696" s="326"/>
      <c r="F8696" s="326"/>
      <c r="G8696" s="326"/>
      <c r="H8696" s="326"/>
      <c r="P8696" s="318"/>
      <c r="Q8696" s="318"/>
      <c r="R8696" s="318"/>
      <c r="S8696" s="318"/>
      <c r="T8696" s="318"/>
      <c r="U8696" s="318"/>
      <c r="V8696" s="318"/>
      <c r="W8696" s="318"/>
      <c r="X8696" s="318"/>
      <c r="Y8696" s="318"/>
      <c r="Z8696" s="318"/>
      <c r="AA8696" s="318"/>
      <c r="AB8696" s="318"/>
      <c r="AC8696" s="318"/>
      <c r="AD8696" s="318"/>
    </row>
    <row r="8697" spans="2:30" s="323" customFormat="1" ht="12" customHeight="1">
      <c r="B8697" s="324"/>
      <c r="C8697" s="325"/>
      <c r="D8697" s="326"/>
      <c r="E8697" s="326"/>
      <c r="F8697" s="326"/>
      <c r="G8697" s="326"/>
      <c r="H8697" s="326"/>
      <c r="P8697" s="318"/>
      <c r="Q8697" s="318"/>
      <c r="R8697" s="318"/>
      <c r="S8697" s="318"/>
      <c r="T8697" s="318"/>
      <c r="U8697" s="318"/>
      <c r="V8697" s="318"/>
      <c r="W8697" s="318"/>
      <c r="X8697" s="318"/>
      <c r="Y8697" s="318"/>
      <c r="Z8697" s="318"/>
      <c r="AA8697" s="318"/>
      <c r="AB8697" s="318"/>
      <c r="AC8697" s="318"/>
      <c r="AD8697" s="318"/>
    </row>
    <row r="8698" spans="2:30" s="323" customFormat="1" ht="12" customHeight="1">
      <c r="B8698" s="324"/>
      <c r="C8698" s="325"/>
      <c r="D8698" s="326"/>
      <c r="E8698" s="326"/>
      <c r="F8698" s="326"/>
      <c r="G8698" s="326"/>
      <c r="H8698" s="326"/>
      <c r="P8698" s="318"/>
      <c r="Q8698" s="318"/>
      <c r="R8698" s="318"/>
      <c r="S8698" s="318"/>
      <c r="T8698" s="318"/>
      <c r="U8698" s="318"/>
      <c r="V8698" s="318"/>
      <c r="W8698" s="318"/>
      <c r="X8698" s="318"/>
      <c r="Y8698" s="318"/>
      <c r="Z8698" s="318"/>
      <c r="AA8698" s="318"/>
      <c r="AB8698" s="318"/>
      <c r="AC8698" s="318"/>
      <c r="AD8698" s="318"/>
    </row>
    <row r="8699" spans="2:30" s="323" customFormat="1" ht="12" customHeight="1">
      <c r="B8699" s="324"/>
      <c r="C8699" s="325"/>
      <c r="D8699" s="326"/>
      <c r="E8699" s="326"/>
      <c r="F8699" s="326"/>
      <c r="G8699" s="326"/>
      <c r="H8699" s="326"/>
      <c r="P8699" s="318"/>
      <c r="Q8699" s="318"/>
      <c r="R8699" s="318"/>
      <c r="S8699" s="318"/>
      <c r="T8699" s="318"/>
      <c r="U8699" s="318"/>
      <c r="V8699" s="318"/>
      <c r="W8699" s="318"/>
      <c r="X8699" s="318"/>
      <c r="Y8699" s="318"/>
      <c r="Z8699" s="318"/>
      <c r="AA8699" s="318"/>
      <c r="AB8699" s="318"/>
      <c r="AC8699" s="318"/>
      <c r="AD8699" s="318"/>
    </row>
    <row r="8700" spans="2:30" s="323" customFormat="1" ht="12" customHeight="1">
      <c r="B8700" s="324"/>
      <c r="C8700" s="325"/>
      <c r="D8700" s="326"/>
      <c r="E8700" s="326"/>
      <c r="F8700" s="326"/>
      <c r="G8700" s="326"/>
      <c r="H8700" s="326"/>
      <c r="P8700" s="318"/>
      <c r="Q8700" s="318"/>
      <c r="R8700" s="318"/>
      <c r="S8700" s="318"/>
      <c r="T8700" s="318"/>
      <c r="U8700" s="318"/>
      <c r="V8700" s="318"/>
      <c r="W8700" s="318"/>
      <c r="X8700" s="318"/>
      <c r="Y8700" s="318"/>
      <c r="Z8700" s="318"/>
      <c r="AA8700" s="318"/>
      <c r="AB8700" s="318"/>
      <c r="AC8700" s="318"/>
      <c r="AD8700" s="318"/>
    </row>
    <row r="8701" spans="2:30" s="323" customFormat="1" ht="12" customHeight="1">
      <c r="B8701" s="324"/>
      <c r="C8701" s="325"/>
      <c r="D8701" s="326"/>
      <c r="E8701" s="326"/>
      <c r="F8701" s="326"/>
      <c r="G8701" s="326"/>
      <c r="H8701" s="326"/>
      <c r="P8701" s="318"/>
      <c r="Q8701" s="318"/>
      <c r="R8701" s="318"/>
      <c r="S8701" s="318"/>
      <c r="T8701" s="318"/>
      <c r="U8701" s="318"/>
      <c r="V8701" s="318"/>
      <c r="W8701" s="318"/>
      <c r="X8701" s="318"/>
      <c r="Y8701" s="318"/>
      <c r="Z8701" s="318"/>
      <c r="AA8701" s="318"/>
      <c r="AB8701" s="318"/>
      <c r="AC8701" s="318"/>
      <c r="AD8701" s="318"/>
    </row>
    <row r="8702" spans="2:30" s="323" customFormat="1" ht="12" customHeight="1">
      <c r="B8702" s="324"/>
      <c r="C8702" s="325"/>
      <c r="D8702" s="326"/>
      <c r="E8702" s="326"/>
      <c r="F8702" s="326"/>
      <c r="G8702" s="326"/>
      <c r="H8702" s="326"/>
      <c r="P8702" s="318"/>
      <c r="Q8702" s="318"/>
      <c r="R8702" s="318"/>
      <c r="S8702" s="318"/>
      <c r="T8702" s="318"/>
      <c r="U8702" s="318"/>
      <c r="V8702" s="318"/>
      <c r="W8702" s="318"/>
      <c r="X8702" s="318"/>
      <c r="Y8702" s="318"/>
      <c r="Z8702" s="318"/>
      <c r="AA8702" s="318"/>
      <c r="AB8702" s="318"/>
      <c r="AC8702" s="318"/>
      <c r="AD8702" s="318"/>
    </row>
    <row r="8703" spans="2:30" s="323" customFormat="1" ht="12" customHeight="1">
      <c r="B8703" s="324"/>
      <c r="C8703" s="325"/>
      <c r="D8703" s="326"/>
      <c r="E8703" s="326"/>
      <c r="F8703" s="326"/>
      <c r="G8703" s="326"/>
      <c r="H8703" s="326"/>
      <c r="P8703" s="318"/>
      <c r="Q8703" s="318"/>
      <c r="R8703" s="318"/>
      <c r="S8703" s="318"/>
      <c r="T8703" s="318"/>
      <c r="U8703" s="318"/>
      <c r="V8703" s="318"/>
      <c r="W8703" s="318"/>
      <c r="X8703" s="318"/>
      <c r="Y8703" s="318"/>
      <c r="Z8703" s="318"/>
      <c r="AA8703" s="318"/>
      <c r="AB8703" s="318"/>
      <c r="AC8703" s="318"/>
      <c r="AD8703" s="318"/>
    </row>
    <row r="8704" spans="2:30" s="323" customFormat="1" ht="12" customHeight="1">
      <c r="B8704" s="324"/>
      <c r="C8704" s="325"/>
      <c r="D8704" s="326"/>
      <c r="E8704" s="326"/>
      <c r="F8704" s="326"/>
      <c r="G8704" s="326"/>
      <c r="H8704" s="326"/>
      <c r="P8704" s="318"/>
      <c r="Q8704" s="318"/>
      <c r="R8704" s="318"/>
      <c r="S8704" s="318"/>
      <c r="T8704" s="318"/>
      <c r="U8704" s="318"/>
      <c r="V8704" s="318"/>
      <c r="W8704" s="318"/>
      <c r="X8704" s="318"/>
      <c r="Y8704" s="318"/>
      <c r="Z8704" s="318"/>
      <c r="AA8704" s="318"/>
      <c r="AB8704" s="318"/>
      <c r="AC8704" s="318"/>
      <c r="AD8704" s="318"/>
    </row>
    <row r="8705" spans="2:30" s="323" customFormat="1" ht="12" customHeight="1">
      <c r="B8705" s="324"/>
      <c r="C8705" s="325"/>
      <c r="D8705" s="326"/>
      <c r="E8705" s="326"/>
      <c r="F8705" s="326"/>
      <c r="G8705" s="326"/>
      <c r="H8705" s="326"/>
      <c r="P8705" s="318"/>
      <c r="Q8705" s="318"/>
      <c r="R8705" s="318"/>
      <c r="S8705" s="318"/>
      <c r="T8705" s="318"/>
      <c r="U8705" s="318"/>
      <c r="V8705" s="318"/>
      <c r="W8705" s="318"/>
      <c r="X8705" s="318"/>
      <c r="Y8705" s="318"/>
      <c r="Z8705" s="318"/>
      <c r="AA8705" s="318"/>
      <c r="AB8705" s="318"/>
      <c r="AC8705" s="318"/>
      <c r="AD8705" s="318"/>
    </row>
    <row r="8706" spans="2:30" s="323" customFormat="1" ht="12" customHeight="1">
      <c r="B8706" s="324"/>
      <c r="C8706" s="325"/>
      <c r="D8706" s="326"/>
      <c r="E8706" s="326"/>
      <c r="F8706" s="326"/>
      <c r="G8706" s="326"/>
      <c r="H8706" s="326"/>
      <c r="P8706" s="318"/>
      <c r="Q8706" s="318"/>
      <c r="R8706" s="318"/>
      <c r="S8706" s="318"/>
      <c r="T8706" s="318"/>
      <c r="U8706" s="318"/>
      <c r="V8706" s="318"/>
      <c r="W8706" s="318"/>
      <c r="X8706" s="318"/>
      <c r="Y8706" s="318"/>
      <c r="Z8706" s="318"/>
      <c r="AA8706" s="318"/>
      <c r="AB8706" s="318"/>
      <c r="AC8706" s="318"/>
      <c r="AD8706" s="318"/>
    </row>
    <row r="8707" spans="2:30" s="323" customFormat="1" ht="12" customHeight="1">
      <c r="B8707" s="324"/>
      <c r="C8707" s="325"/>
      <c r="D8707" s="326"/>
      <c r="E8707" s="326"/>
      <c r="F8707" s="326"/>
      <c r="G8707" s="326"/>
      <c r="H8707" s="326"/>
      <c r="P8707" s="318"/>
      <c r="Q8707" s="318"/>
      <c r="R8707" s="318"/>
      <c r="S8707" s="318"/>
      <c r="T8707" s="318"/>
      <c r="U8707" s="318"/>
      <c r="V8707" s="318"/>
      <c r="W8707" s="318"/>
      <c r="X8707" s="318"/>
      <c r="Y8707" s="318"/>
      <c r="Z8707" s="318"/>
      <c r="AA8707" s="318"/>
      <c r="AB8707" s="318"/>
      <c r="AC8707" s="318"/>
      <c r="AD8707" s="318"/>
    </row>
    <row r="8708" spans="2:30" s="323" customFormat="1" ht="12" customHeight="1">
      <c r="B8708" s="324"/>
      <c r="C8708" s="325"/>
      <c r="D8708" s="326"/>
      <c r="E8708" s="326"/>
      <c r="F8708" s="326"/>
      <c r="G8708" s="326"/>
      <c r="H8708" s="326"/>
      <c r="P8708" s="318"/>
      <c r="Q8708" s="318"/>
      <c r="R8708" s="318"/>
      <c r="S8708" s="318"/>
      <c r="T8708" s="318"/>
      <c r="U8708" s="318"/>
      <c r="V8708" s="318"/>
      <c r="W8708" s="318"/>
      <c r="X8708" s="318"/>
      <c r="Y8708" s="318"/>
      <c r="Z8708" s="318"/>
      <c r="AA8708" s="318"/>
      <c r="AB8708" s="318"/>
      <c r="AC8708" s="318"/>
      <c r="AD8708" s="318"/>
    </row>
    <row r="8709" spans="2:30" s="323" customFormat="1" ht="12" customHeight="1">
      <c r="B8709" s="324"/>
      <c r="C8709" s="325"/>
      <c r="D8709" s="326"/>
      <c r="E8709" s="326"/>
      <c r="F8709" s="326"/>
      <c r="G8709" s="326"/>
      <c r="H8709" s="326"/>
      <c r="P8709" s="318"/>
      <c r="Q8709" s="318"/>
      <c r="R8709" s="318"/>
      <c r="S8709" s="318"/>
      <c r="T8709" s="318"/>
      <c r="U8709" s="318"/>
      <c r="V8709" s="318"/>
      <c r="W8709" s="318"/>
      <c r="X8709" s="318"/>
      <c r="Y8709" s="318"/>
      <c r="Z8709" s="318"/>
      <c r="AA8709" s="318"/>
      <c r="AB8709" s="318"/>
      <c r="AC8709" s="318"/>
      <c r="AD8709" s="318"/>
    </row>
    <row r="8710" spans="2:30" s="323" customFormat="1" ht="12" customHeight="1">
      <c r="B8710" s="324"/>
      <c r="C8710" s="325"/>
      <c r="D8710" s="326"/>
      <c r="E8710" s="326"/>
      <c r="F8710" s="326"/>
      <c r="G8710" s="326"/>
      <c r="H8710" s="326"/>
      <c r="P8710" s="318"/>
      <c r="Q8710" s="318"/>
      <c r="R8710" s="318"/>
      <c r="S8710" s="318"/>
      <c r="T8710" s="318"/>
      <c r="U8710" s="318"/>
      <c r="V8710" s="318"/>
      <c r="W8710" s="318"/>
      <c r="X8710" s="318"/>
      <c r="Y8710" s="318"/>
      <c r="Z8710" s="318"/>
      <c r="AA8710" s="318"/>
      <c r="AB8710" s="318"/>
      <c r="AC8710" s="318"/>
      <c r="AD8710" s="318"/>
    </row>
    <row r="8711" spans="2:30" s="323" customFormat="1" ht="12" customHeight="1">
      <c r="B8711" s="324"/>
      <c r="C8711" s="325"/>
      <c r="D8711" s="326"/>
      <c r="E8711" s="326"/>
      <c r="F8711" s="326"/>
      <c r="G8711" s="326"/>
      <c r="H8711" s="326"/>
      <c r="P8711" s="318"/>
      <c r="Q8711" s="318"/>
      <c r="R8711" s="318"/>
      <c r="S8711" s="318"/>
      <c r="T8711" s="318"/>
      <c r="U8711" s="318"/>
      <c r="V8711" s="318"/>
      <c r="W8711" s="318"/>
      <c r="X8711" s="318"/>
      <c r="Y8711" s="318"/>
      <c r="Z8711" s="318"/>
      <c r="AA8711" s="318"/>
      <c r="AB8711" s="318"/>
      <c r="AC8711" s="318"/>
      <c r="AD8711" s="318"/>
    </row>
    <row r="8712" spans="2:30" s="323" customFormat="1" ht="12" customHeight="1">
      <c r="B8712" s="324"/>
      <c r="C8712" s="325"/>
      <c r="D8712" s="326"/>
      <c r="E8712" s="326"/>
      <c r="F8712" s="326"/>
      <c r="G8712" s="326"/>
      <c r="H8712" s="326"/>
      <c r="P8712" s="318"/>
      <c r="Q8712" s="318"/>
      <c r="R8712" s="318"/>
      <c r="S8712" s="318"/>
      <c r="T8712" s="318"/>
      <c r="U8712" s="318"/>
      <c r="V8712" s="318"/>
      <c r="W8712" s="318"/>
      <c r="X8712" s="318"/>
      <c r="Y8712" s="318"/>
      <c r="Z8712" s="318"/>
      <c r="AA8712" s="318"/>
      <c r="AB8712" s="318"/>
      <c r="AC8712" s="318"/>
      <c r="AD8712" s="318"/>
    </row>
    <row r="8713" spans="2:30" s="323" customFormat="1" ht="12" customHeight="1">
      <c r="B8713" s="324"/>
      <c r="C8713" s="325"/>
      <c r="D8713" s="326"/>
      <c r="E8713" s="326"/>
      <c r="F8713" s="326"/>
      <c r="G8713" s="326"/>
      <c r="H8713" s="326"/>
      <c r="P8713" s="318"/>
      <c r="Q8713" s="318"/>
      <c r="R8713" s="318"/>
      <c r="S8713" s="318"/>
      <c r="T8713" s="318"/>
      <c r="U8713" s="318"/>
      <c r="V8713" s="318"/>
      <c r="W8713" s="318"/>
      <c r="X8713" s="318"/>
      <c r="Y8713" s="318"/>
      <c r="Z8713" s="318"/>
      <c r="AA8713" s="318"/>
      <c r="AB8713" s="318"/>
      <c r="AC8713" s="318"/>
      <c r="AD8713" s="318"/>
    </row>
    <row r="8714" spans="2:30" s="323" customFormat="1" ht="12" customHeight="1">
      <c r="B8714" s="324"/>
      <c r="C8714" s="325"/>
      <c r="D8714" s="326"/>
      <c r="E8714" s="326"/>
      <c r="F8714" s="326"/>
      <c r="G8714" s="326"/>
      <c r="H8714" s="326"/>
      <c r="P8714" s="318"/>
      <c r="Q8714" s="318"/>
      <c r="R8714" s="318"/>
      <c r="S8714" s="318"/>
      <c r="T8714" s="318"/>
      <c r="U8714" s="318"/>
      <c r="V8714" s="318"/>
      <c r="W8714" s="318"/>
      <c r="X8714" s="318"/>
      <c r="Y8714" s="318"/>
      <c r="Z8714" s="318"/>
      <c r="AA8714" s="318"/>
      <c r="AB8714" s="318"/>
      <c r="AC8714" s="318"/>
      <c r="AD8714" s="318"/>
    </row>
    <row r="8715" spans="2:30" s="323" customFormat="1" ht="12" customHeight="1">
      <c r="B8715" s="324"/>
      <c r="C8715" s="325"/>
      <c r="D8715" s="326"/>
      <c r="E8715" s="326"/>
      <c r="F8715" s="326"/>
      <c r="G8715" s="326"/>
      <c r="H8715" s="326"/>
      <c r="P8715" s="318"/>
      <c r="Q8715" s="318"/>
      <c r="R8715" s="318"/>
      <c r="S8715" s="318"/>
      <c r="T8715" s="318"/>
      <c r="U8715" s="318"/>
      <c r="V8715" s="318"/>
      <c r="W8715" s="318"/>
      <c r="X8715" s="318"/>
      <c r="Y8715" s="318"/>
      <c r="Z8715" s="318"/>
      <c r="AA8715" s="318"/>
      <c r="AB8715" s="318"/>
      <c r="AC8715" s="318"/>
      <c r="AD8715" s="318"/>
    </row>
    <row r="8716" spans="2:30" s="323" customFormat="1" ht="12" customHeight="1">
      <c r="B8716" s="324"/>
      <c r="C8716" s="325"/>
      <c r="D8716" s="326"/>
      <c r="E8716" s="326"/>
      <c r="F8716" s="326"/>
      <c r="G8716" s="326"/>
      <c r="H8716" s="326"/>
      <c r="P8716" s="318"/>
      <c r="Q8716" s="318"/>
      <c r="R8716" s="318"/>
      <c r="S8716" s="318"/>
      <c r="T8716" s="318"/>
      <c r="U8716" s="318"/>
      <c r="V8716" s="318"/>
      <c r="W8716" s="318"/>
      <c r="X8716" s="318"/>
      <c r="Y8716" s="318"/>
      <c r="Z8716" s="318"/>
      <c r="AA8716" s="318"/>
      <c r="AB8716" s="318"/>
      <c r="AC8716" s="318"/>
      <c r="AD8716" s="318"/>
    </row>
    <row r="8717" spans="2:30" s="323" customFormat="1" ht="12" customHeight="1">
      <c r="B8717" s="324"/>
      <c r="C8717" s="325"/>
      <c r="D8717" s="326"/>
      <c r="E8717" s="326"/>
      <c r="F8717" s="326"/>
      <c r="G8717" s="326"/>
      <c r="H8717" s="326"/>
      <c r="P8717" s="318"/>
      <c r="Q8717" s="318"/>
      <c r="R8717" s="318"/>
      <c r="S8717" s="318"/>
      <c r="T8717" s="318"/>
      <c r="U8717" s="318"/>
      <c r="V8717" s="318"/>
      <c r="W8717" s="318"/>
      <c r="X8717" s="318"/>
      <c r="Y8717" s="318"/>
      <c r="Z8717" s="318"/>
      <c r="AA8717" s="318"/>
      <c r="AB8717" s="318"/>
      <c r="AC8717" s="318"/>
      <c r="AD8717" s="318"/>
    </row>
    <row r="8718" spans="2:30" s="323" customFormat="1" ht="12" customHeight="1">
      <c r="B8718" s="324"/>
      <c r="C8718" s="325"/>
      <c r="D8718" s="326"/>
      <c r="E8718" s="326"/>
      <c r="F8718" s="326"/>
      <c r="G8718" s="326"/>
      <c r="H8718" s="326"/>
      <c r="P8718" s="318"/>
      <c r="Q8718" s="318"/>
      <c r="R8718" s="318"/>
      <c r="S8718" s="318"/>
      <c r="T8718" s="318"/>
      <c r="U8718" s="318"/>
      <c r="V8718" s="318"/>
      <c r="W8718" s="318"/>
      <c r="X8718" s="318"/>
      <c r="Y8718" s="318"/>
      <c r="Z8718" s="318"/>
      <c r="AA8718" s="318"/>
      <c r="AB8718" s="318"/>
      <c r="AC8718" s="318"/>
      <c r="AD8718" s="318"/>
    </row>
    <row r="8719" spans="2:30" s="323" customFormat="1" ht="12" customHeight="1">
      <c r="B8719" s="324"/>
      <c r="C8719" s="325"/>
      <c r="D8719" s="326"/>
      <c r="E8719" s="326"/>
      <c r="F8719" s="326"/>
      <c r="G8719" s="326"/>
      <c r="H8719" s="326"/>
      <c r="P8719" s="318"/>
      <c r="Q8719" s="318"/>
      <c r="R8719" s="318"/>
      <c r="S8719" s="318"/>
      <c r="T8719" s="318"/>
      <c r="U8719" s="318"/>
      <c r="V8719" s="318"/>
      <c r="W8719" s="318"/>
      <c r="X8719" s="318"/>
      <c r="Y8719" s="318"/>
      <c r="Z8719" s="318"/>
      <c r="AA8719" s="318"/>
      <c r="AB8719" s="318"/>
      <c r="AC8719" s="318"/>
      <c r="AD8719" s="318"/>
    </row>
    <row r="8720" spans="2:30" s="323" customFormat="1" ht="12" customHeight="1">
      <c r="B8720" s="324"/>
      <c r="C8720" s="325"/>
      <c r="D8720" s="326"/>
      <c r="E8720" s="326"/>
      <c r="F8720" s="326"/>
      <c r="G8720" s="326"/>
      <c r="H8720" s="326"/>
      <c r="P8720" s="318"/>
      <c r="Q8720" s="318"/>
      <c r="R8720" s="318"/>
      <c r="S8720" s="318"/>
      <c r="T8720" s="318"/>
      <c r="U8720" s="318"/>
      <c r="V8720" s="318"/>
      <c r="W8720" s="318"/>
      <c r="X8720" s="318"/>
      <c r="Y8720" s="318"/>
      <c r="Z8720" s="318"/>
      <c r="AA8720" s="318"/>
      <c r="AB8720" s="318"/>
      <c r="AC8720" s="318"/>
      <c r="AD8720" s="318"/>
    </row>
    <row r="8721" spans="2:30" s="323" customFormat="1" ht="12" customHeight="1">
      <c r="B8721" s="324"/>
      <c r="C8721" s="325"/>
      <c r="D8721" s="326"/>
      <c r="E8721" s="326"/>
      <c r="F8721" s="326"/>
      <c r="G8721" s="326"/>
      <c r="H8721" s="326"/>
      <c r="P8721" s="318"/>
      <c r="Q8721" s="318"/>
      <c r="R8721" s="318"/>
      <c r="S8721" s="318"/>
      <c r="T8721" s="318"/>
      <c r="U8721" s="318"/>
      <c r="V8721" s="318"/>
      <c r="W8721" s="318"/>
      <c r="X8721" s="318"/>
      <c r="Y8721" s="318"/>
      <c r="Z8721" s="318"/>
      <c r="AA8721" s="318"/>
      <c r="AB8721" s="318"/>
      <c r="AC8721" s="318"/>
      <c r="AD8721" s="318"/>
    </row>
    <row r="8722" spans="2:30" s="323" customFormat="1" ht="12" customHeight="1">
      <c r="B8722" s="324"/>
      <c r="C8722" s="325"/>
      <c r="D8722" s="326"/>
      <c r="E8722" s="326"/>
      <c r="F8722" s="326"/>
      <c r="G8722" s="326"/>
      <c r="H8722" s="326"/>
      <c r="P8722" s="318"/>
      <c r="Q8722" s="318"/>
      <c r="R8722" s="318"/>
      <c r="S8722" s="318"/>
      <c r="T8722" s="318"/>
      <c r="U8722" s="318"/>
      <c r="V8722" s="318"/>
      <c r="W8722" s="318"/>
      <c r="X8722" s="318"/>
      <c r="Y8722" s="318"/>
      <c r="Z8722" s="318"/>
      <c r="AA8722" s="318"/>
      <c r="AB8722" s="318"/>
      <c r="AC8722" s="318"/>
      <c r="AD8722" s="318"/>
    </row>
    <row r="8723" spans="2:30" s="323" customFormat="1" ht="12" customHeight="1">
      <c r="B8723" s="324"/>
      <c r="C8723" s="325"/>
      <c r="D8723" s="326"/>
      <c r="E8723" s="326"/>
      <c r="F8723" s="326"/>
      <c r="G8723" s="326"/>
      <c r="H8723" s="326"/>
      <c r="P8723" s="318"/>
      <c r="Q8723" s="318"/>
      <c r="R8723" s="318"/>
      <c r="S8723" s="318"/>
      <c r="T8723" s="318"/>
      <c r="U8723" s="318"/>
      <c r="V8723" s="318"/>
      <c r="W8723" s="318"/>
      <c r="X8723" s="318"/>
      <c r="Y8723" s="318"/>
      <c r="Z8723" s="318"/>
      <c r="AA8723" s="318"/>
      <c r="AB8723" s="318"/>
      <c r="AC8723" s="318"/>
      <c r="AD8723" s="318"/>
    </row>
    <row r="8724" spans="2:30" s="323" customFormat="1" ht="12" customHeight="1">
      <c r="B8724" s="324"/>
      <c r="C8724" s="325"/>
      <c r="D8724" s="326"/>
      <c r="E8724" s="326"/>
      <c r="F8724" s="326"/>
      <c r="G8724" s="326"/>
      <c r="H8724" s="326"/>
      <c r="P8724" s="318"/>
      <c r="Q8724" s="318"/>
      <c r="R8724" s="318"/>
      <c r="S8724" s="318"/>
      <c r="T8724" s="318"/>
      <c r="U8724" s="318"/>
      <c r="V8724" s="318"/>
      <c r="W8724" s="318"/>
      <c r="X8724" s="318"/>
      <c r="Y8724" s="318"/>
      <c r="Z8724" s="318"/>
      <c r="AA8724" s="318"/>
      <c r="AB8724" s="318"/>
      <c r="AC8724" s="318"/>
      <c r="AD8724" s="318"/>
    </row>
    <row r="8725" spans="2:30" s="323" customFormat="1" ht="12" customHeight="1">
      <c r="B8725" s="324"/>
      <c r="C8725" s="325"/>
      <c r="D8725" s="326"/>
      <c r="E8725" s="326"/>
      <c r="F8725" s="326"/>
      <c r="G8725" s="326"/>
      <c r="H8725" s="326"/>
      <c r="P8725" s="318"/>
      <c r="Q8725" s="318"/>
      <c r="R8725" s="318"/>
      <c r="S8725" s="318"/>
      <c r="T8725" s="318"/>
      <c r="U8725" s="318"/>
      <c r="V8725" s="318"/>
      <c r="W8725" s="318"/>
      <c r="X8725" s="318"/>
      <c r="Y8725" s="318"/>
      <c r="Z8725" s="318"/>
      <c r="AA8725" s="318"/>
      <c r="AB8725" s="318"/>
      <c r="AC8725" s="318"/>
      <c r="AD8725" s="318"/>
    </row>
    <row r="8726" spans="2:30" s="323" customFormat="1" ht="12" customHeight="1">
      <c r="B8726" s="324"/>
      <c r="C8726" s="325"/>
      <c r="D8726" s="326"/>
      <c r="E8726" s="326"/>
      <c r="F8726" s="326"/>
      <c r="G8726" s="326"/>
      <c r="H8726" s="326"/>
      <c r="P8726" s="318"/>
      <c r="Q8726" s="318"/>
      <c r="R8726" s="318"/>
      <c r="S8726" s="318"/>
      <c r="T8726" s="318"/>
      <c r="U8726" s="318"/>
      <c r="V8726" s="318"/>
      <c r="W8726" s="318"/>
      <c r="X8726" s="318"/>
      <c r="Y8726" s="318"/>
      <c r="Z8726" s="318"/>
      <c r="AA8726" s="318"/>
      <c r="AB8726" s="318"/>
      <c r="AC8726" s="318"/>
      <c r="AD8726" s="318"/>
    </row>
    <row r="8727" spans="2:30" s="323" customFormat="1" ht="12" customHeight="1">
      <c r="B8727" s="324"/>
      <c r="C8727" s="325"/>
      <c r="D8727" s="326"/>
      <c r="E8727" s="326"/>
      <c r="F8727" s="326"/>
      <c r="G8727" s="326"/>
      <c r="H8727" s="326"/>
      <c r="P8727" s="318"/>
      <c r="Q8727" s="318"/>
      <c r="R8727" s="318"/>
      <c r="S8727" s="318"/>
      <c r="T8727" s="318"/>
      <c r="U8727" s="318"/>
      <c r="V8727" s="318"/>
      <c r="W8727" s="318"/>
      <c r="X8727" s="318"/>
      <c r="Y8727" s="318"/>
      <c r="Z8727" s="318"/>
      <c r="AA8727" s="318"/>
      <c r="AB8727" s="318"/>
      <c r="AC8727" s="318"/>
      <c r="AD8727" s="318"/>
    </row>
    <row r="8728" spans="2:30" s="323" customFormat="1" ht="12" customHeight="1">
      <c r="B8728" s="324"/>
      <c r="C8728" s="325"/>
      <c r="D8728" s="326"/>
      <c r="E8728" s="326"/>
      <c r="F8728" s="326"/>
      <c r="G8728" s="326"/>
      <c r="H8728" s="326"/>
      <c r="P8728" s="318"/>
      <c r="Q8728" s="318"/>
      <c r="R8728" s="318"/>
      <c r="S8728" s="318"/>
      <c r="T8728" s="318"/>
      <c r="U8728" s="318"/>
      <c r="V8728" s="318"/>
      <c r="W8728" s="318"/>
      <c r="X8728" s="318"/>
      <c r="Y8728" s="318"/>
      <c r="Z8728" s="318"/>
      <c r="AA8728" s="318"/>
      <c r="AB8728" s="318"/>
      <c r="AC8728" s="318"/>
      <c r="AD8728" s="318"/>
    </row>
    <row r="8729" spans="2:30" s="323" customFormat="1" ht="12" customHeight="1">
      <c r="B8729" s="324"/>
      <c r="C8729" s="325"/>
      <c r="D8729" s="326"/>
      <c r="E8729" s="326"/>
      <c r="F8729" s="326"/>
      <c r="G8729" s="326"/>
      <c r="H8729" s="326"/>
      <c r="P8729" s="318"/>
      <c r="Q8729" s="318"/>
      <c r="R8729" s="318"/>
      <c r="S8729" s="318"/>
      <c r="T8729" s="318"/>
      <c r="U8729" s="318"/>
      <c r="V8729" s="318"/>
      <c r="W8729" s="318"/>
      <c r="X8729" s="318"/>
      <c r="Y8729" s="318"/>
      <c r="Z8729" s="318"/>
      <c r="AA8729" s="318"/>
      <c r="AB8729" s="318"/>
      <c r="AC8729" s="318"/>
      <c r="AD8729" s="318"/>
    </row>
    <row r="8730" spans="2:30" s="323" customFormat="1" ht="12" customHeight="1">
      <c r="B8730" s="324"/>
      <c r="C8730" s="325"/>
      <c r="D8730" s="326"/>
      <c r="E8730" s="326"/>
      <c r="F8730" s="326"/>
      <c r="G8730" s="326"/>
      <c r="H8730" s="326"/>
      <c r="P8730" s="318"/>
      <c r="Q8730" s="318"/>
      <c r="R8730" s="318"/>
      <c r="S8730" s="318"/>
      <c r="T8730" s="318"/>
      <c r="U8730" s="318"/>
      <c r="V8730" s="318"/>
      <c r="W8730" s="318"/>
      <c r="X8730" s="318"/>
      <c r="Y8730" s="318"/>
      <c r="Z8730" s="318"/>
      <c r="AA8730" s="318"/>
      <c r="AB8730" s="318"/>
      <c r="AC8730" s="318"/>
      <c r="AD8730" s="318"/>
    </row>
    <row r="8731" spans="2:30" s="323" customFormat="1" ht="12" customHeight="1">
      <c r="B8731" s="324"/>
      <c r="C8731" s="325"/>
      <c r="D8731" s="326"/>
      <c r="E8731" s="326"/>
      <c r="F8731" s="326"/>
      <c r="G8731" s="326"/>
      <c r="H8731" s="326"/>
      <c r="P8731" s="318"/>
      <c r="Q8731" s="318"/>
      <c r="R8731" s="318"/>
      <c r="S8731" s="318"/>
      <c r="T8731" s="318"/>
      <c r="U8731" s="318"/>
      <c r="V8731" s="318"/>
      <c r="W8731" s="318"/>
      <c r="X8731" s="318"/>
      <c r="Y8731" s="318"/>
      <c r="Z8731" s="318"/>
      <c r="AA8731" s="318"/>
      <c r="AB8731" s="318"/>
      <c r="AC8731" s="318"/>
      <c r="AD8731" s="318"/>
    </row>
    <row r="8732" spans="2:30" s="323" customFormat="1" ht="12" customHeight="1">
      <c r="B8732" s="324"/>
      <c r="C8732" s="325"/>
      <c r="D8732" s="326"/>
      <c r="E8732" s="326"/>
      <c r="F8732" s="326"/>
      <c r="G8732" s="326"/>
      <c r="H8732" s="326"/>
      <c r="P8732" s="318"/>
      <c r="Q8732" s="318"/>
      <c r="R8732" s="318"/>
      <c r="S8732" s="318"/>
      <c r="T8732" s="318"/>
      <c r="U8732" s="318"/>
      <c r="V8732" s="318"/>
      <c r="W8732" s="318"/>
      <c r="X8732" s="318"/>
      <c r="Y8732" s="318"/>
      <c r="Z8732" s="318"/>
      <c r="AA8732" s="318"/>
      <c r="AB8732" s="318"/>
      <c r="AC8732" s="318"/>
      <c r="AD8732" s="318"/>
    </row>
    <row r="8733" spans="2:30" s="323" customFormat="1" ht="12" customHeight="1">
      <c r="B8733" s="324"/>
      <c r="C8733" s="325"/>
      <c r="D8733" s="326"/>
      <c r="E8733" s="326"/>
      <c r="F8733" s="326"/>
      <c r="G8733" s="326"/>
      <c r="H8733" s="326"/>
      <c r="P8733" s="318"/>
      <c r="Q8733" s="318"/>
      <c r="R8733" s="318"/>
      <c r="S8733" s="318"/>
      <c r="T8733" s="318"/>
      <c r="U8733" s="318"/>
      <c r="V8733" s="318"/>
      <c r="W8733" s="318"/>
      <c r="X8733" s="318"/>
      <c r="Y8733" s="318"/>
      <c r="Z8733" s="318"/>
      <c r="AA8733" s="318"/>
      <c r="AB8733" s="318"/>
      <c r="AC8733" s="318"/>
      <c r="AD8733" s="318"/>
    </row>
    <row r="8734" spans="2:30" s="323" customFormat="1" ht="12" customHeight="1">
      <c r="B8734" s="324"/>
      <c r="C8734" s="325"/>
      <c r="D8734" s="326"/>
      <c r="E8734" s="326"/>
      <c r="F8734" s="326"/>
      <c r="G8734" s="326"/>
      <c r="H8734" s="326"/>
      <c r="P8734" s="318"/>
      <c r="Q8734" s="318"/>
      <c r="R8734" s="318"/>
      <c r="S8734" s="318"/>
      <c r="T8734" s="318"/>
      <c r="U8734" s="318"/>
      <c r="V8734" s="318"/>
      <c r="W8734" s="318"/>
      <c r="X8734" s="318"/>
      <c r="Y8734" s="318"/>
      <c r="Z8734" s="318"/>
      <c r="AA8734" s="318"/>
      <c r="AB8734" s="318"/>
      <c r="AC8734" s="318"/>
      <c r="AD8734" s="318"/>
    </row>
    <row r="8735" spans="2:30" s="323" customFormat="1" ht="12" customHeight="1">
      <c r="B8735" s="324"/>
      <c r="C8735" s="325"/>
      <c r="D8735" s="326"/>
      <c r="E8735" s="326"/>
      <c r="F8735" s="326"/>
      <c r="G8735" s="326"/>
      <c r="H8735" s="326"/>
      <c r="P8735" s="318"/>
      <c r="Q8735" s="318"/>
      <c r="R8735" s="318"/>
      <c r="S8735" s="318"/>
      <c r="T8735" s="318"/>
      <c r="U8735" s="318"/>
      <c r="V8735" s="318"/>
      <c r="W8735" s="318"/>
      <c r="X8735" s="318"/>
      <c r="Y8735" s="318"/>
      <c r="Z8735" s="318"/>
      <c r="AA8735" s="318"/>
      <c r="AB8735" s="318"/>
      <c r="AC8735" s="318"/>
      <c r="AD8735" s="318"/>
    </row>
    <row r="8736" spans="2:30" s="323" customFormat="1" ht="12" customHeight="1">
      <c r="B8736" s="324"/>
      <c r="C8736" s="325"/>
      <c r="D8736" s="326"/>
      <c r="E8736" s="326"/>
      <c r="F8736" s="326"/>
      <c r="G8736" s="326"/>
      <c r="H8736" s="326"/>
      <c r="P8736" s="318"/>
      <c r="Q8736" s="318"/>
      <c r="R8736" s="318"/>
      <c r="S8736" s="318"/>
      <c r="T8736" s="318"/>
      <c r="U8736" s="318"/>
      <c r="V8736" s="318"/>
      <c r="W8736" s="318"/>
      <c r="X8736" s="318"/>
      <c r="Y8736" s="318"/>
      <c r="Z8736" s="318"/>
      <c r="AA8736" s="318"/>
      <c r="AB8736" s="318"/>
      <c r="AC8736" s="318"/>
      <c r="AD8736" s="318"/>
    </row>
    <row r="8737" spans="2:30" s="323" customFormat="1" ht="12" customHeight="1">
      <c r="B8737" s="324"/>
      <c r="C8737" s="325"/>
      <c r="D8737" s="326"/>
      <c r="E8737" s="326"/>
      <c r="F8737" s="326"/>
      <c r="G8737" s="326"/>
      <c r="H8737" s="326"/>
      <c r="P8737" s="318"/>
      <c r="Q8737" s="318"/>
      <c r="R8737" s="318"/>
      <c r="S8737" s="318"/>
      <c r="T8737" s="318"/>
      <c r="U8737" s="318"/>
      <c r="V8737" s="318"/>
      <c r="W8737" s="318"/>
      <c r="X8737" s="318"/>
      <c r="Y8737" s="318"/>
      <c r="Z8737" s="318"/>
      <c r="AA8737" s="318"/>
      <c r="AB8737" s="318"/>
      <c r="AC8737" s="318"/>
      <c r="AD8737" s="318"/>
    </row>
    <row r="8738" spans="2:30" s="323" customFormat="1" ht="12" customHeight="1">
      <c r="B8738" s="324"/>
      <c r="C8738" s="325"/>
      <c r="D8738" s="326"/>
      <c r="E8738" s="326"/>
      <c r="F8738" s="326"/>
      <c r="G8738" s="326"/>
      <c r="H8738" s="326"/>
      <c r="P8738" s="318"/>
      <c r="Q8738" s="318"/>
      <c r="R8738" s="318"/>
      <c r="S8738" s="318"/>
      <c r="T8738" s="318"/>
      <c r="U8738" s="318"/>
      <c r="V8738" s="318"/>
      <c r="W8738" s="318"/>
      <c r="X8738" s="318"/>
      <c r="Y8738" s="318"/>
      <c r="Z8738" s="318"/>
      <c r="AA8738" s="318"/>
      <c r="AB8738" s="318"/>
      <c r="AC8738" s="318"/>
      <c r="AD8738" s="318"/>
    </row>
    <row r="8739" spans="2:30" s="323" customFormat="1" ht="12" customHeight="1">
      <c r="B8739" s="324"/>
      <c r="C8739" s="325"/>
      <c r="D8739" s="326"/>
      <c r="E8739" s="326"/>
      <c r="F8739" s="326"/>
      <c r="G8739" s="326"/>
      <c r="H8739" s="326"/>
      <c r="P8739" s="318"/>
      <c r="Q8739" s="318"/>
      <c r="R8739" s="318"/>
      <c r="S8739" s="318"/>
      <c r="T8739" s="318"/>
      <c r="U8739" s="318"/>
      <c r="V8739" s="318"/>
      <c r="W8739" s="318"/>
      <c r="X8739" s="318"/>
      <c r="Y8739" s="318"/>
      <c r="Z8739" s="318"/>
      <c r="AA8739" s="318"/>
      <c r="AB8739" s="318"/>
      <c r="AC8739" s="318"/>
      <c r="AD8739" s="318"/>
    </row>
    <row r="8740" spans="2:30" s="323" customFormat="1" ht="12" customHeight="1">
      <c r="B8740" s="324"/>
      <c r="C8740" s="325"/>
      <c r="D8740" s="326"/>
      <c r="E8740" s="326"/>
      <c r="F8740" s="326"/>
      <c r="G8740" s="326"/>
      <c r="H8740" s="326"/>
      <c r="P8740" s="318"/>
      <c r="Q8740" s="318"/>
      <c r="R8740" s="318"/>
      <c r="S8740" s="318"/>
      <c r="T8740" s="318"/>
      <c r="U8740" s="318"/>
      <c r="V8740" s="318"/>
      <c r="W8740" s="318"/>
      <c r="X8740" s="318"/>
      <c r="Y8740" s="318"/>
      <c r="Z8740" s="318"/>
      <c r="AA8740" s="318"/>
      <c r="AB8740" s="318"/>
      <c r="AC8740" s="318"/>
      <c r="AD8740" s="318"/>
    </row>
    <row r="8741" spans="2:30" s="323" customFormat="1" ht="12" customHeight="1">
      <c r="B8741" s="324"/>
      <c r="C8741" s="325"/>
      <c r="D8741" s="326"/>
      <c r="E8741" s="326"/>
      <c r="F8741" s="326"/>
      <c r="G8741" s="326"/>
      <c r="H8741" s="326"/>
      <c r="P8741" s="318"/>
      <c r="Q8741" s="318"/>
      <c r="R8741" s="318"/>
      <c r="S8741" s="318"/>
      <c r="T8741" s="318"/>
      <c r="U8741" s="318"/>
      <c r="V8741" s="318"/>
      <c r="W8741" s="318"/>
      <c r="X8741" s="318"/>
      <c r="Y8741" s="318"/>
      <c r="Z8741" s="318"/>
      <c r="AA8741" s="318"/>
      <c r="AB8741" s="318"/>
      <c r="AC8741" s="318"/>
      <c r="AD8741" s="318"/>
    </row>
    <row r="8742" spans="2:30" s="323" customFormat="1" ht="12" customHeight="1">
      <c r="B8742" s="324"/>
      <c r="C8742" s="325"/>
      <c r="D8742" s="326"/>
      <c r="E8742" s="326"/>
      <c r="F8742" s="326"/>
      <c r="G8742" s="326"/>
      <c r="H8742" s="326"/>
      <c r="P8742" s="318"/>
      <c r="Q8742" s="318"/>
      <c r="R8742" s="318"/>
      <c r="S8742" s="318"/>
      <c r="T8742" s="318"/>
      <c r="U8742" s="318"/>
      <c r="V8742" s="318"/>
      <c r="W8742" s="318"/>
      <c r="X8742" s="318"/>
      <c r="Y8742" s="318"/>
      <c r="Z8742" s="318"/>
      <c r="AA8742" s="318"/>
      <c r="AB8742" s="318"/>
      <c r="AC8742" s="318"/>
      <c r="AD8742" s="318"/>
    </row>
    <row r="8743" spans="2:30" s="323" customFormat="1" ht="12" customHeight="1">
      <c r="B8743" s="324"/>
      <c r="C8743" s="325"/>
      <c r="D8743" s="326"/>
      <c r="E8743" s="326"/>
      <c r="F8743" s="326"/>
      <c r="G8743" s="326"/>
      <c r="H8743" s="326"/>
      <c r="P8743" s="318"/>
      <c r="Q8743" s="318"/>
      <c r="R8743" s="318"/>
      <c r="S8743" s="318"/>
      <c r="T8743" s="318"/>
      <c r="U8743" s="318"/>
      <c r="V8743" s="318"/>
      <c r="W8743" s="318"/>
      <c r="X8743" s="318"/>
      <c r="Y8743" s="318"/>
      <c r="Z8743" s="318"/>
      <c r="AA8743" s="318"/>
      <c r="AB8743" s="318"/>
      <c r="AC8743" s="318"/>
      <c r="AD8743" s="318"/>
    </row>
    <row r="8744" spans="2:30" s="323" customFormat="1" ht="12" customHeight="1">
      <c r="B8744" s="324"/>
      <c r="C8744" s="325"/>
      <c r="D8744" s="326"/>
      <c r="E8744" s="326"/>
      <c r="F8744" s="326"/>
      <c r="G8744" s="326"/>
      <c r="H8744" s="326"/>
      <c r="P8744" s="318"/>
      <c r="Q8744" s="318"/>
      <c r="R8744" s="318"/>
      <c r="S8744" s="318"/>
      <c r="T8744" s="318"/>
      <c r="U8744" s="318"/>
      <c r="V8744" s="318"/>
      <c r="W8744" s="318"/>
      <c r="X8744" s="318"/>
      <c r="Y8744" s="318"/>
      <c r="Z8744" s="318"/>
      <c r="AA8744" s="318"/>
      <c r="AB8744" s="318"/>
      <c r="AC8744" s="318"/>
      <c r="AD8744" s="318"/>
    </row>
    <row r="8745" spans="2:30" s="323" customFormat="1" ht="12" customHeight="1">
      <c r="B8745" s="324"/>
      <c r="C8745" s="325"/>
      <c r="D8745" s="326"/>
      <c r="E8745" s="326"/>
      <c r="F8745" s="326"/>
      <c r="G8745" s="326"/>
      <c r="H8745" s="326"/>
      <c r="P8745" s="318"/>
      <c r="Q8745" s="318"/>
      <c r="R8745" s="318"/>
      <c r="S8745" s="318"/>
      <c r="T8745" s="318"/>
      <c r="U8745" s="318"/>
      <c r="V8745" s="318"/>
      <c r="W8745" s="318"/>
      <c r="X8745" s="318"/>
      <c r="Y8745" s="318"/>
      <c r="Z8745" s="318"/>
      <c r="AA8745" s="318"/>
      <c r="AB8745" s="318"/>
      <c r="AC8745" s="318"/>
      <c r="AD8745" s="318"/>
    </row>
    <row r="8746" spans="2:30" s="323" customFormat="1" ht="12" customHeight="1">
      <c r="B8746" s="324"/>
      <c r="C8746" s="325"/>
      <c r="D8746" s="326"/>
      <c r="E8746" s="326"/>
      <c r="F8746" s="326"/>
      <c r="G8746" s="326"/>
      <c r="H8746" s="326"/>
      <c r="P8746" s="318"/>
      <c r="Q8746" s="318"/>
      <c r="R8746" s="318"/>
      <c r="S8746" s="318"/>
      <c r="T8746" s="318"/>
      <c r="U8746" s="318"/>
      <c r="V8746" s="318"/>
      <c r="W8746" s="318"/>
      <c r="X8746" s="318"/>
      <c r="Y8746" s="318"/>
      <c r="Z8746" s="318"/>
      <c r="AA8746" s="318"/>
      <c r="AB8746" s="318"/>
      <c r="AC8746" s="318"/>
      <c r="AD8746" s="318"/>
    </row>
    <row r="8747" spans="2:30" s="323" customFormat="1" ht="12" customHeight="1">
      <c r="B8747" s="324"/>
      <c r="C8747" s="325"/>
      <c r="D8747" s="326"/>
      <c r="E8747" s="326"/>
      <c r="F8747" s="326"/>
      <c r="G8747" s="326"/>
      <c r="H8747" s="326"/>
      <c r="P8747" s="318"/>
      <c r="Q8747" s="318"/>
      <c r="R8747" s="318"/>
      <c r="S8747" s="318"/>
      <c r="T8747" s="318"/>
      <c r="U8747" s="318"/>
      <c r="V8747" s="318"/>
      <c r="W8747" s="318"/>
      <c r="X8747" s="318"/>
      <c r="Y8747" s="318"/>
      <c r="Z8747" s="318"/>
      <c r="AA8747" s="318"/>
      <c r="AB8747" s="318"/>
      <c r="AC8747" s="318"/>
      <c r="AD8747" s="318"/>
    </row>
    <row r="8748" spans="2:30" s="323" customFormat="1" ht="12" customHeight="1">
      <c r="B8748" s="324"/>
      <c r="C8748" s="325"/>
      <c r="D8748" s="326"/>
      <c r="E8748" s="326"/>
      <c r="F8748" s="326"/>
      <c r="G8748" s="326"/>
      <c r="H8748" s="326"/>
      <c r="P8748" s="318"/>
      <c r="Q8748" s="318"/>
      <c r="R8748" s="318"/>
      <c r="S8748" s="318"/>
      <c r="T8748" s="318"/>
      <c r="U8748" s="318"/>
      <c r="V8748" s="318"/>
      <c r="W8748" s="318"/>
      <c r="X8748" s="318"/>
      <c r="Y8748" s="318"/>
      <c r="Z8748" s="318"/>
      <c r="AA8748" s="318"/>
      <c r="AB8748" s="318"/>
      <c r="AC8748" s="318"/>
      <c r="AD8748" s="318"/>
    </row>
    <row r="8749" spans="2:30" s="323" customFormat="1" ht="12" customHeight="1">
      <c r="B8749" s="324"/>
      <c r="C8749" s="325"/>
      <c r="D8749" s="326"/>
      <c r="E8749" s="326"/>
      <c r="F8749" s="326"/>
      <c r="G8749" s="326"/>
      <c r="H8749" s="326"/>
      <c r="P8749" s="318"/>
      <c r="Q8749" s="318"/>
      <c r="R8749" s="318"/>
      <c r="S8749" s="318"/>
      <c r="T8749" s="318"/>
      <c r="U8749" s="318"/>
      <c r="V8749" s="318"/>
      <c r="W8749" s="318"/>
      <c r="X8749" s="318"/>
      <c r="Y8749" s="318"/>
      <c r="Z8749" s="318"/>
      <c r="AA8749" s="318"/>
      <c r="AB8749" s="318"/>
      <c r="AC8749" s="318"/>
      <c r="AD8749" s="318"/>
    </row>
    <row r="8750" spans="2:30" s="323" customFormat="1" ht="12" customHeight="1">
      <c r="B8750" s="324"/>
      <c r="C8750" s="325"/>
      <c r="D8750" s="326"/>
      <c r="E8750" s="326"/>
      <c r="F8750" s="326"/>
      <c r="G8750" s="326"/>
      <c r="H8750" s="326"/>
      <c r="P8750" s="318"/>
      <c r="Q8750" s="318"/>
      <c r="R8750" s="318"/>
      <c r="S8750" s="318"/>
      <c r="T8750" s="318"/>
      <c r="U8750" s="318"/>
      <c r="V8750" s="318"/>
      <c r="W8750" s="318"/>
      <c r="X8750" s="318"/>
      <c r="Y8750" s="318"/>
      <c r="Z8750" s="318"/>
      <c r="AA8750" s="318"/>
      <c r="AB8750" s="318"/>
      <c r="AC8750" s="318"/>
      <c r="AD8750" s="318"/>
    </row>
    <row r="8751" spans="2:30" s="323" customFormat="1" ht="12" customHeight="1">
      <c r="B8751" s="324"/>
      <c r="C8751" s="325"/>
      <c r="D8751" s="326"/>
      <c r="E8751" s="326"/>
      <c r="F8751" s="326"/>
      <c r="G8751" s="326"/>
      <c r="H8751" s="326"/>
      <c r="P8751" s="318"/>
      <c r="Q8751" s="318"/>
      <c r="R8751" s="318"/>
      <c r="S8751" s="318"/>
      <c r="T8751" s="318"/>
      <c r="U8751" s="318"/>
      <c r="V8751" s="318"/>
      <c r="W8751" s="318"/>
      <c r="X8751" s="318"/>
      <c r="Y8751" s="318"/>
      <c r="Z8751" s="318"/>
      <c r="AA8751" s="318"/>
      <c r="AB8751" s="318"/>
      <c r="AC8751" s="318"/>
      <c r="AD8751" s="318"/>
    </row>
    <row r="8752" spans="2:30" s="323" customFormat="1" ht="12" customHeight="1">
      <c r="B8752" s="324"/>
      <c r="C8752" s="325"/>
      <c r="D8752" s="326"/>
      <c r="E8752" s="326"/>
      <c r="F8752" s="326"/>
      <c r="G8752" s="326"/>
      <c r="H8752" s="326"/>
      <c r="P8752" s="318"/>
      <c r="Q8752" s="318"/>
      <c r="R8752" s="318"/>
      <c r="S8752" s="318"/>
      <c r="T8752" s="318"/>
      <c r="U8752" s="318"/>
      <c r="V8752" s="318"/>
      <c r="W8752" s="318"/>
      <c r="X8752" s="318"/>
      <c r="Y8752" s="318"/>
      <c r="Z8752" s="318"/>
      <c r="AA8752" s="318"/>
      <c r="AB8752" s="318"/>
      <c r="AC8752" s="318"/>
      <c r="AD8752" s="318"/>
    </row>
    <row r="8753" spans="2:30" s="323" customFormat="1" ht="12" customHeight="1">
      <c r="B8753" s="324"/>
      <c r="C8753" s="325"/>
      <c r="D8753" s="326"/>
      <c r="E8753" s="326"/>
      <c r="F8753" s="326"/>
      <c r="G8753" s="326"/>
      <c r="H8753" s="326"/>
      <c r="P8753" s="318"/>
      <c r="Q8753" s="318"/>
      <c r="R8753" s="318"/>
      <c r="S8753" s="318"/>
      <c r="T8753" s="318"/>
      <c r="U8753" s="318"/>
      <c r="V8753" s="318"/>
      <c r="W8753" s="318"/>
      <c r="X8753" s="318"/>
      <c r="Y8753" s="318"/>
      <c r="Z8753" s="318"/>
      <c r="AA8753" s="318"/>
      <c r="AB8753" s="318"/>
      <c r="AC8753" s="318"/>
      <c r="AD8753" s="318"/>
    </row>
    <row r="8754" spans="2:30" s="323" customFormat="1" ht="12" customHeight="1">
      <c r="B8754" s="324"/>
      <c r="C8754" s="325"/>
      <c r="D8754" s="326"/>
      <c r="E8754" s="326"/>
      <c r="F8754" s="326"/>
      <c r="G8754" s="326"/>
      <c r="H8754" s="326"/>
      <c r="P8754" s="318"/>
      <c r="Q8754" s="318"/>
      <c r="R8754" s="318"/>
      <c r="S8754" s="318"/>
      <c r="T8754" s="318"/>
      <c r="U8754" s="318"/>
      <c r="V8754" s="318"/>
      <c r="W8754" s="318"/>
      <c r="X8754" s="318"/>
      <c r="Y8754" s="318"/>
      <c r="Z8754" s="318"/>
      <c r="AA8754" s="318"/>
      <c r="AB8754" s="318"/>
      <c r="AC8754" s="318"/>
      <c r="AD8754" s="318"/>
    </row>
    <row r="8755" spans="2:30" s="323" customFormat="1" ht="12" customHeight="1">
      <c r="B8755" s="324"/>
      <c r="C8755" s="325"/>
      <c r="D8755" s="326"/>
      <c r="E8755" s="326"/>
      <c r="F8755" s="326"/>
      <c r="G8755" s="326"/>
      <c r="H8755" s="326"/>
      <c r="P8755" s="318"/>
      <c r="Q8755" s="318"/>
      <c r="R8755" s="318"/>
      <c r="S8755" s="318"/>
      <c r="T8755" s="318"/>
      <c r="U8755" s="318"/>
      <c r="V8755" s="318"/>
      <c r="W8755" s="318"/>
      <c r="X8755" s="318"/>
      <c r="Y8755" s="318"/>
      <c r="Z8755" s="318"/>
      <c r="AA8755" s="318"/>
      <c r="AB8755" s="318"/>
      <c r="AC8755" s="318"/>
      <c r="AD8755" s="318"/>
    </row>
    <row r="8756" spans="2:30" s="323" customFormat="1" ht="12" customHeight="1">
      <c r="B8756" s="324"/>
      <c r="C8756" s="325"/>
      <c r="D8756" s="326"/>
      <c r="E8756" s="326"/>
      <c r="F8756" s="326"/>
      <c r="G8756" s="326"/>
      <c r="H8756" s="326"/>
      <c r="P8756" s="318"/>
      <c r="Q8756" s="318"/>
      <c r="R8756" s="318"/>
      <c r="S8756" s="318"/>
      <c r="T8756" s="318"/>
      <c r="U8756" s="318"/>
      <c r="V8756" s="318"/>
      <c r="W8756" s="318"/>
      <c r="X8756" s="318"/>
      <c r="Y8756" s="318"/>
      <c r="Z8756" s="318"/>
      <c r="AA8756" s="318"/>
      <c r="AB8756" s="318"/>
      <c r="AC8756" s="318"/>
      <c r="AD8756" s="318"/>
    </row>
    <row r="8757" spans="2:30" s="323" customFormat="1" ht="12" customHeight="1">
      <c r="B8757" s="324"/>
      <c r="C8757" s="325"/>
      <c r="D8757" s="326"/>
      <c r="E8757" s="326"/>
      <c r="F8757" s="326"/>
      <c r="G8757" s="326"/>
      <c r="H8757" s="326"/>
      <c r="P8757" s="318"/>
      <c r="Q8757" s="318"/>
      <c r="R8757" s="318"/>
      <c r="S8757" s="318"/>
      <c r="T8757" s="318"/>
      <c r="U8757" s="318"/>
      <c r="V8757" s="318"/>
      <c r="W8757" s="318"/>
      <c r="X8757" s="318"/>
      <c r="Y8757" s="318"/>
      <c r="Z8757" s="318"/>
      <c r="AA8757" s="318"/>
      <c r="AB8757" s="318"/>
      <c r="AC8757" s="318"/>
      <c r="AD8757" s="318"/>
    </row>
    <row r="8758" spans="2:30" s="323" customFormat="1" ht="12" customHeight="1">
      <c r="B8758" s="324"/>
      <c r="C8758" s="325"/>
      <c r="D8758" s="326"/>
      <c r="E8758" s="326"/>
      <c r="F8758" s="326"/>
      <c r="G8758" s="326"/>
      <c r="H8758" s="326"/>
      <c r="P8758" s="318"/>
      <c r="Q8758" s="318"/>
      <c r="R8758" s="318"/>
      <c r="S8758" s="318"/>
      <c r="T8758" s="318"/>
      <c r="U8758" s="318"/>
      <c r="V8758" s="318"/>
      <c r="W8758" s="318"/>
      <c r="X8758" s="318"/>
      <c r="Y8758" s="318"/>
      <c r="Z8758" s="318"/>
      <c r="AA8758" s="318"/>
      <c r="AB8758" s="318"/>
      <c r="AC8758" s="318"/>
      <c r="AD8758" s="318"/>
    </row>
    <row r="8759" spans="2:30" s="323" customFormat="1" ht="12" customHeight="1">
      <c r="B8759" s="324"/>
      <c r="C8759" s="325"/>
      <c r="D8759" s="326"/>
      <c r="E8759" s="326"/>
      <c r="F8759" s="326"/>
      <c r="G8759" s="326"/>
      <c r="H8759" s="326"/>
      <c r="P8759" s="318"/>
      <c r="Q8759" s="318"/>
      <c r="R8759" s="318"/>
      <c r="S8759" s="318"/>
      <c r="T8759" s="318"/>
      <c r="U8759" s="318"/>
      <c r="V8759" s="318"/>
      <c r="W8759" s="318"/>
      <c r="X8759" s="318"/>
      <c r="Y8759" s="318"/>
      <c r="Z8759" s="318"/>
      <c r="AA8759" s="318"/>
      <c r="AB8759" s="318"/>
      <c r="AC8759" s="318"/>
      <c r="AD8759" s="318"/>
    </row>
    <row r="8760" spans="2:30" s="323" customFormat="1" ht="12" customHeight="1">
      <c r="B8760" s="324"/>
      <c r="C8760" s="325"/>
      <c r="D8760" s="326"/>
      <c r="E8760" s="326"/>
      <c r="F8760" s="326"/>
      <c r="G8760" s="326"/>
      <c r="H8760" s="326"/>
      <c r="P8760" s="318"/>
      <c r="Q8760" s="318"/>
      <c r="R8760" s="318"/>
      <c r="S8760" s="318"/>
      <c r="T8760" s="318"/>
      <c r="U8760" s="318"/>
      <c r="V8760" s="318"/>
      <c r="W8760" s="318"/>
      <c r="X8760" s="318"/>
      <c r="Y8760" s="318"/>
      <c r="Z8760" s="318"/>
      <c r="AA8760" s="318"/>
      <c r="AB8760" s="318"/>
      <c r="AC8760" s="318"/>
      <c r="AD8760" s="318"/>
    </row>
    <row r="8761" spans="2:30" s="323" customFormat="1" ht="12" customHeight="1">
      <c r="B8761" s="324"/>
      <c r="C8761" s="325"/>
      <c r="D8761" s="326"/>
      <c r="E8761" s="326"/>
      <c r="F8761" s="326"/>
      <c r="G8761" s="326"/>
      <c r="H8761" s="326"/>
      <c r="P8761" s="318"/>
      <c r="Q8761" s="318"/>
      <c r="R8761" s="318"/>
      <c r="S8761" s="318"/>
      <c r="T8761" s="318"/>
      <c r="U8761" s="318"/>
      <c r="V8761" s="318"/>
      <c r="W8761" s="318"/>
      <c r="X8761" s="318"/>
      <c r="Y8761" s="318"/>
      <c r="Z8761" s="318"/>
      <c r="AA8761" s="318"/>
      <c r="AB8761" s="318"/>
      <c r="AC8761" s="318"/>
      <c r="AD8761" s="318"/>
    </row>
    <row r="8762" spans="2:30" s="323" customFormat="1" ht="12" customHeight="1">
      <c r="B8762" s="324"/>
      <c r="C8762" s="325"/>
      <c r="D8762" s="326"/>
      <c r="E8762" s="326"/>
      <c r="F8762" s="326"/>
      <c r="G8762" s="326"/>
      <c r="H8762" s="326"/>
      <c r="P8762" s="318"/>
      <c r="Q8762" s="318"/>
      <c r="R8762" s="318"/>
      <c r="S8762" s="318"/>
      <c r="T8762" s="318"/>
      <c r="U8762" s="318"/>
      <c r="V8762" s="318"/>
      <c r="W8762" s="318"/>
      <c r="X8762" s="318"/>
      <c r="Y8762" s="318"/>
      <c r="Z8762" s="318"/>
      <c r="AA8762" s="318"/>
      <c r="AB8762" s="318"/>
      <c r="AC8762" s="318"/>
      <c r="AD8762" s="318"/>
    </row>
    <row r="8763" spans="2:30" s="323" customFormat="1" ht="12" customHeight="1">
      <c r="B8763" s="324"/>
      <c r="C8763" s="325"/>
      <c r="D8763" s="326"/>
      <c r="E8763" s="326"/>
      <c r="F8763" s="326"/>
      <c r="G8763" s="326"/>
      <c r="H8763" s="326"/>
      <c r="P8763" s="318"/>
      <c r="Q8763" s="318"/>
      <c r="R8763" s="318"/>
      <c r="S8763" s="318"/>
      <c r="T8763" s="318"/>
      <c r="U8763" s="318"/>
      <c r="V8763" s="318"/>
      <c r="W8763" s="318"/>
      <c r="X8763" s="318"/>
      <c r="Y8763" s="318"/>
      <c r="Z8763" s="318"/>
      <c r="AA8763" s="318"/>
      <c r="AB8763" s="318"/>
      <c r="AC8763" s="318"/>
      <c r="AD8763" s="318"/>
    </row>
    <row r="8764" spans="2:30" s="323" customFormat="1" ht="12" customHeight="1">
      <c r="B8764" s="324"/>
      <c r="C8764" s="325"/>
      <c r="D8764" s="326"/>
      <c r="E8764" s="326"/>
      <c r="F8764" s="326"/>
      <c r="G8764" s="326"/>
      <c r="H8764" s="326"/>
      <c r="P8764" s="318"/>
      <c r="Q8764" s="318"/>
      <c r="R8764" s="318"/>
      <c r="S8764" s="318"/>
      <c r="T8764" s="318"/>
      <c r="U8764" s="318"/>
      <c r="V8764" s="318"/>
      <c r="W8764" s="318"/>
      <c r="X8764" s="318"/>
      <c r="Y8764" s="318"/>
      <c r="Z8764" s="318"/>
      <c r="AA8764" s="318"/>
      <c r="AB8764" s="318"/>
      <c r="AC8764" s="318"/>
      <c r="AD8764" s="318"/>
    </row>
    <row r="8765" spans="2:30" s="323" customFormat="1" ht="12" customHeight="1">
      <c r="B8765" s="324"/>
      <c r="C8765" s="325"/>
      <c r="D8765" s="326"/>
      <c r="E8765" s="326"/>
      <c r="F8765" s="326"/>
      <c r="G8765" s="326"/>
      <c r="H8765" s="326"/>
      <c r="P8765" s="318"/>
      <c r="Q8765" s="318"/>
      <c r="R8765" s="318"/>
      <c r="S8765" s="318"/>
      <c r="T8765" s="318"/>
      <c r="U8765" s="318"/>
      <c r="V8765" s="318"/>
      <c r="W8765" s="318"/>
      <c r="X8765" s="318"/>
      <c r="Y8765" s="318"/>
      <c r="Z8765" s="318"/>
      <c r="AA8765" s="318"/>
      <c r="AB8765" s="318"/>
      <c r="AC8765" s="318"/>
      <c r="AD8765" s="318"/>
    </row>
    <row r="8766" spans="2:30" s="323" customFormat="1" ht="12" customHeight="1">
      <c r="B8766" s="324"/>
      <c r="C8766" s="325"/>
      <c r="D8766" s="326"/>
      <c r="E8766" s="326"/>
      <c r="F8766" s="326"/>
      <c r="G8766" s="326"/>
      <c r="H8766" s="326"/>
      <c r="P8766" s="318"/>
      <c r="Q8766" s="318"/>
      <c r="R8766" s="318"/>
      <c r="S8766" s="318"/>
      <c r="T8766" s="318"/>
      <c r="U8766" s="318"/>
      <c r="V8766" s="318"/>
      <c r="W8766" s="318"/>
      <c r="X8766" s="318"/>
      <c r="Y8766" s="318"/>
      <c r="Z8766" s="318"/>
      <c r="AA8766" s="318"/>
      <c r="AB8766" s="318"/>
      <c r="AC8766" s="318"/>
      <c r="AD8766" s="318"/>
    </row>
    <row r="8767" spans="2:30" s="323" customFormat="1" ht="12" customHeight="1">
      <c r="B8767" s="324"/>
      <c r="C8767" s="325"/>
      <c r="D8767" s="326"/>
      <c r="E8767" s="326"/>
      <c r="F8767" s="326"/>
      <c r="G8767" s="326"/>
      <c r="H8767" s="326"/>
      <c r="P8767" s="318"/>
      <c r="Q8767" s="318"/>
      <c r="R8767" s="318"/>
      <c r="S8767" s="318"/>
      <c r="T8767" s="318"/>
      <c r="U8767" s="318"/>
      <c r="V8767" s="318"/>
      <c r="W8767" s="318"/>
      <c r="X8767" s="318"/>
      <c r="Y8767" s="318"/>
      <c r="Z8767" s="318"/>
      <c r="AA8767" s="318"/>
      <c r="AB8767" s="318"/>
      <c r="AC8767" s="318"/>
      <c r="AD8767" s="318"/>
    </row>
    <row r="8768" spans="2:30" s="323" customFormat="1" ht="12" customHeight="1">
      <c r="B8768" s="324"/>
      <c r="C8768" s="325"/>
      <c r="D8768" s="326"/>
      <c r="E8768" s="326"/>
      <c r="F8768" s="326"/>
      <c r="G8768" s="326"/>
      <c r="H8768" s="326"/>
      <c r="P8768" s="318"/>
      <c r="Q8768" s="318"/>
      <c r="R8768" s="318"/>
      <c r="S8768" s="318"/>
      <c r="T8768" s="318"/>
      <c r="U8768" s="318"/>
      <c r="V8768" s="318"/>
      <c r="W8768" s="318"/>
      <c r="X8768" s="318"/>
      <c r="Y8768" s="318"/>
      <c r="Z8768" s="318"/>
      <c r="AA8768" s="318"/>
      <c r="AB8768" s="318"/>
      <c r="AC8768" s="318"/>
      <c r="AD8768" s="318"/>
    </row>
    <row r="8769" spans="2:30" s="323" customFormat="1" ht="12" customHeight="1">
      <c r="B8769" s="324"/>
      <c r="C8769" s="325"/>
      <c r="D8769" s="326"/>
      <c r="E8769" s="326"/>
      <c r="F8769" s="326"/>
      <c r="G8769" s="326"/>
      <c r="H8769" s="326"/>
      <c r="P8769" s="318"/>
      <c r="Q8769" s="318"/>
      <c r="R8769" s="318"/>
      <c r="S8769" s="318"/>
      <c r="T8769" s="318"/>
      <c r="U8769" s="318"/>
      <c r="V8769" s="318"/>
      <c r="W8769" s="318"/>
      <c r="X8769" s="318"/>
      <c r="Y8769" s="318"/>
      <c r="Z8769" s="318"/>
      <c r="AA8769" s="318"/>
      <c r="AB8769" s="318"/>
      <c r="AC8769" s="318"/>
      <c r="AD8769" s="318"/>
    </row>
    <row r="8770" spans="2:30" s="323" customFormat="1" ht="12" customHeight="1">
      <c r="B8770" s="324"/>
      <c r="C8770" s="325"/>
      <c r="D8770" s="326"/>
      <c r="E8770" s="326"/>
      <c r="F8770" s="326"/>
      <c r="G8770" s="326"/>
      <c r="H8770" s="326"/>
      <c r="P8770" s="318"/>
      <c r="Q8770" s="318"/>
      <c r="R8770" s="318"/>
      <c r="S8770" s="318"/>
      <c r="T8770" s="318"/>
      <c r="U8770" s="318"/>
      <c r="V8770" s="318"/>
      <c r="W8770" s="318"/>
      <c r="X8770" s="318"/>
      <c r="Y8770" s="318"/>
      <c r="Z8770" s="318"/>
      <c r="AA8770" s="318"/>
      <c r="AB8770" s="318"/>
      <c r="AC8770" s="318"/>
      <c r="AD8770" s="318"/>
    </row>
    <row r="8771" spans="2:30" s="323" customFormat="1" ht="12" customHeight="1">
      <c r="B8771" s="324"/>
      <c r="C8771" s="325"/>
      <c r="D8771" s="326"/>
      <c r="E8771" s="326"/>
      <c r="F8771" s="326"/>
      <c r="G8771" s="326"/>
      <c r="H8771" s="326"/>
      <c r="P8771" s="318"/>
      <c r="Q8771" s="318"/>
      <c r="R8771" s="318"/>
      <c r="S8771" s="318"/>
      <c r="T8771" s="318"/>
      <c r="U8771" s="318"/>
      <c r="V8771" s="318"/>
      <c r="W8771" s="318"/>
      <c r="X8771" s="318"/>
      <c r="Y8771" s="318"/>
      <c r="Z8771" s="318"/>
      <c r="AA8771" s="318"/>
      <c r="AB8771" s="318"/>
      <c r="AC8771" s="318"/>
      <c r="AD8771" s="318"/>
    </row>
    <row r="8772" spans="2:30" s="323" customFormat="1" ht="12" customHeight="1">
      <c r="B8772" s="324"/>
      <c r="C8772" s="325"/>
      <c r="D8772" s="326"/>
      <c r="E8772" s="326"/>
      <c r="F8772" s="326"/>
      <c r="G8772" s="326"/>
      <c r="H8772" s="326"/>
      <c r="P8772" s="318"/>
      <c r="Q8772" s="318"/>
      <c r="R8772" s="318"/>
      <c r="S8772" s="318"/>
      <c r="T8772" s="318"/>
      <c r="U8772" s="318"/>
      <c r="V8772" s="318"/>
      <c r="W8772" s="318"/>
      <c r="X8772" s="318"/>
      <c r="Y8772" s="318"/>
      <c r="Z8772" s="318"/>
      <c r="AA8772" s="318"/>
      <c r="AB8772" s="318"/>
      <c r="AC8772" s="318"/>
      <c r="AD8772" s="318"/>
    </row>
    <row r="8773" spans="2:30" s="323" customFormat="1" ht="12" customHeight="1">
      <c r="B8773" s="324"/>
      <c r="C8773" s="325"/>
      <c r="D8773" s="326"/>
      <c r="E8773" s="326"/>
      <c r="F8773" s="326"/>
      <c r="G8773" s="326"/>
      <c r="H8773" s="326"/>
      <c r="P8773" s="318"/>
      <c r="Q8773" s="318"/>
      <c r="R8773" s="318"/>
      <c r="S8773" s="318"/>
      <c r="T8773" s="318"/>
      <c r="U8773" s="318"/>
      <c r="V8773" s="318"/>
      <c r="W8773" s="318"/>
      <c r="X8773" s="318"/>
      <c r="Y8773" s="318"/>
      <c r="Z8773" s="318"/>
      <c r="AA8773" s="318"/>
      <c r="AB8773" s="318"/>
      <c r="AC8773" s="318"/>
      <c r="AD8773" s="318"/>
    </row>
    <row r="8774" spans="2:30" s="323" customFormat="1" ht="12" customHeight="1">
      <c r="B8774" s="324"/>
      <c r="C8774" s="325"/>
      <c r="D8774" s="326"/>
      <c r="E8774" s="326"/>
      <c r="F8774" s="326"/>
      <c r="G8774" s="326"/>
      <c r="H8774" s="326"/>
      <c r="P8774" s="318"/>
      <c r="Q8774" s="318"/>
      <c r="R8774" s="318"/>
      <c r="S8774" s="318"/>
      <c r="T8774" s="318"/>
      <c r="U8774" s="318"/>
      <c r="V8774" s="318"/>
      <c r="W8774" s="318"/>
      <c r="X8774" s="318"/>
      <c r="Y8774" s="318"/>
      <c r="Z8774" s="318"/>
      <c r="AA8774" s="318"/>
      <c r="AB8774" s="318"/>
      <c r="AC8774" s="318"/>
      <c r="AD8774" s="318"/>
    </row>
    <row r="8775" spans="2:30" s="323" customFormat="1" ht="12" customHeight="1">
      <c r="B8775" s="324"/>
      <c r="C8775" s="325"/>
      <c r="D8775" s="326"/>
      <c r="E8775" s="326"/>
      <c r="F8775" s="326"/>
      <c r="G8775" s="326"/>
      <c r="H8775" s="326"/>
      <c r="P8775" s="318"/>
      <c r="Q8775" s="318"/>
      <c r="R8775" s="318"/>
      <c r="S8775" s="318"/>
      <c r="T8775" s="318"/>
      <c r="U8775" s="318"/>
      <c r="V8775" s="318"/>
      <c r="W8775" s="318"/>
      <c r="X8775" s="318"/>
      <c r="Y8775" s="318"/>
      <c r="Z8775" s="318"/>
      <c r="AA8775" s="318"/>
      <c r="AB8775" s="318"/>
      <c r="AC8775" s="318"/>
      <c r="AD8775" s="318"/>
    </row>
    <row r="8776" spans="2:30" s="323" customFormat="1" ht="12" customHeight="1">
      <c r="B8776" s="324"/>
      <c r="C8776" s="325"/>
      <c r="D8776" s="326"/>
      <c r="E8776" s="326"/>
      <c r="F8776" s="326"/>
      <c r="G8776" s="326"/>
      <c r="H8776" s="326"/>
      <c r="P8776" s="318"/>
      <c r="Q8776" s="318"/>
      <c r="R8776" s="318"/>
      <c r="S8776" s="318"/>
      <c r="T8776" s="318"/>
      <c r="U8776" s="318"/>
      <c r="V8776" s="318"/>
      <c r="W8776" s="318"/>
      <c r="X8776" s="318"/>
      <c r="Y8776" s="318"/>
      <c r="Z8776" s="318"/>
      <c r="AA8776" s="318"/>
      <c r="AB8776" s="318"/>
      <c r="AC8776" s="318"/>
      <c r="AD8776" s="318"/>
    </row>
    <row r="8777" spans="2:30" s="323" customFormat="1" ht="12" customHeight="1">
      <c r="B8777" s="324"/>
      <c r="C8777" s="325"/>
      <c r="D8777" s="326"/>
      <c r="E8777" s="326"/>
      <c r="F8777" s="326"/>
      <c r="G8777" s="326"/>
      <c r="H8777" s="326"/>
      <c r="P8777" s="318"/>
      <c r="Q8777" s="318"/>
      <c r="R8777" s="318"/>
      <c r="S8777" s="318"/>
      <c r="T8777" s="318"/>
      <c r="U8777" s="318"/>
      <c r="V8777" s="318"/>
      <c r="W8777" s="318"/>
      <c r="X8777" s="318"/>
      <c r="Y8777" s="318"/>
      <c r="Z8777" s="318"/>
      <c r="AA8777" s="318"/>
      <c r="AB8777" s="318"/>
      <c r="AC8777" s="318"/>
      <c r="AD8777" s="318"/>
    </row>
    <row r="8778" spans="2:30" s="323" customFormat="1" ht="12" customHeight="1">
      <c r="B8778" s="324"/>
      <c r="C8778" s="325"/>
      <c r="D8778" s="326"/>
      <c r="E8778" s="326"/>
      <c r="F8778" s="326"/>
      <c r="G8778" s="326"/>
      <c r="H8778" s="326"/>
      <c r="P8778" s="318"/>
      <c r="Q8778" s="318"/>
      <c r="R8778" s="318"/>
      <c r="S8778" s="318"/>
      <c r="T8778" s="318"/>
      <c r="U8778" s="318"/>
      <c r="V8778" s="318"/>
      <c r="W8778" s="318"/>
      <c r="X8778" s="318"/>
      <c r="Y8778" s="318"/>
      <c r="Z8778" s="318"/>
      <c r="AA8778" s="318"/>
      <c r="AB8778" s="318"/>
      <c r="AC8778" s="318"/>
      <c r="AD8778" s="318"/>
    </row>
    <row r="8779" spans="2:30" s="323" customFormat="1" ht="12" customHeight="1">
      <c r="B8779" s="324"/>
      <c r="C8779" s="325"/>
      <c r="D8779" s="326"/>
      <c r="E8779" s="326"/>
      <c r="F8779" s="326"/>
      <c r="G8779" s="326"/>
      <c r="H8779" s="326"/>
      <c r="P8779" s="318"/>
      <c r="Q8779" s="318"/>
      <c r="R8779" s="318"/>
      <c r="S8779" s="318"/>
      <c r="T8779" s="318"/>
      <c r="U8779" s="318"/>
      <c r="V8779" s="318"/>
      <c r="W8779" s="318"/>
      <c r="X8779" s="318"/>
      <c r="Y8779" s="318"/>
      <c r="Z8779" s="318"/>
      <c r="AA8779" s="318"/>
      <c r="AB8779" s="318"/>
      <c r="AC8779" s="318"/>
      <c r="AD8779" s="318"/>
    </row>
    <row r="8780" spans="2:30" s="323" customFormat="1" ht="12" customHeight="1">
      <c r="B8780" s="324"/>
      <c r="C8780" s="325"/>
      <c r="D8780" s="326"/>
      <c r="E8780" s="326"/>
      <c r="F8780" s="326"/>
      <c r="G8780" s="326"/>
      <c r="H8780" s="326"/>
      <c r="P8780" s="318"/>
      <c r="Q8780" s="318"/>
      <c r="R8780" s="318"/>
      <c r="S8780" s="318"/>
      <c r="T8780" s="318"/>
      <c r="U8780" s="318"/>
      <c r="V8780" s="318"/>
      <c r="W8780" s="318"/>
      <c r="X8780" s="318"/>
      <c r="Y8780" s="318"/>
      <c r="Z8780" s="318"/>
      <c r="AA8780" s="318"/>
      <c r="AB8780" s="318"/>
      <c r="AC8780" s="318"/>
      <c r="AD8780" s="318"/>
    </row>
    <row r="8781" spans="2:30" s="323" customFormat="1" ht="12" customHeight="1">
      <c r="B8781" s="324"/>
      <c r="C8781" s="325"/>
      <c r="D8781" s="326"/>
      <c r="E8781" s="326"/>
      <c r="F8781" s="326"/>
      <c r="G8781" s="326"/>
      <c r="H8781" s="326"/>
      <c r="P8781" s="318"/>
      <c r="Q8781" s="318"/>
      <c r="R8781" s="318"/>
      <c r="S8781" s="318"/>
      <c r="T8781" s="318"/>
      <c r="U8781" s="318"/>
      <c r="V8781" s="318"/>
      <c r="W8781" s="318"/>
      <c r="X8781" s="318"/>
      <c r="Y8781" s="318"/>
      <c r="Z8781" s="318"/>
      <c r="AA8781" s="318"/>
      <c r="AB8781" s="318"/>
      <c r="AC8781" s="318"/>
      <c r="AD8781" s="318"/>
    </row>
    <row r="8782" spans="2:30" s="323" customFormat="1" ht="12" customHeight="1">
      <c r="B8782" s="324"/>
      <c r="C8782" s="325"/>
      <c r="D8782" s="326"/>
      <c r="E8782" s="326"/>
      <c r="F8782" s="326"/>
      <c r="G8782" s="326"/>
      <c r="H8782" s="326"/>
      <c r="P8782" s="318"/>
      <c r="Q8782" s="318"/>
      <c r="R8782" s="318"/>
      <c r="S8782" s="318"/>
      <c r="T8782" s="318"/>
      <c r="U8782" s="318"/>
      <c r="V8782" s="318"/>
      <c r="W8782" s="318"/>
      <c r="X8782" s="318"/>
      <c r="Y8782" s="318"/>
      <c r="Z8782" s="318"/>
      <c r="AA8782" s="318"/>
      <c r="AB8782" s="318"/>
      <c r="AC8782" s="318"/>
      <c r="AD8782" s="318"/>
    </row>
    <row r="8783" spans="2:30" s="323" customFormat="1" ht="12" customHeight="1">
      <c r="B8783" s="324"/>
      <c r="C8783" s="325"/>
      <c r="D8783" s="326"/>
      <c r="E8783" s="326"/>
      <c r="F8783" s="326"/>
      <c r="G8783" s="326"/>
      <c r="H8783" s="326"/>
      <c r="P8783" s="318"/>
      <c r="Q8783" s="318"/>
      <c r="R8783" s="318"/>
      <c r="S8783" s="318"/>
      <c r="T8783" s="318"/>
      <c r="U8783" s="318"/>
      <c r="V8783" s="318"/>
      <c r="W8783" s="318"/>
      <c r="X8783" s="318"/>
      <c r="Y8783" s="318"/>
      <c r="Z8783" s="318"/>
      <c r="AA8783" s="318"/>
      <c r="AB8783" s="318"/>
      <c r="AC8783" s="318"/>
      <c r="AD8783" s="318"/>
    </row>
    <row r="8784" spans="2:30" s="323" customFormat="1" ht="12" customHeight="1">
      <c r="B8784" s="324"/>
      <c r="C8784" s="325"/>
      <c r="D8784" s="326"/>
      <c r="E8784" s="326"/>
      <c r="F8784" s="326"/>
      <c r="G8784" s="326"/>
      <c r="H8784" s="326"/>
      <c r="P8784" s="318"/>
      <c r="Q8784" s="318"/>
      <c r="R8784" s="318"/>
      <c r="S8784" s="318"/>
      <c r="T8784" s="318"/>
      <c r="U8784" s="318"/>
      <c r="V8784" s="318"/>
      <c r="W8784" s="318"/>
      <c r="X8784" s="318"/>
      <c r="Y8784" s="318"/>
      <c r="Z8784" s="318"/>
      <c r="AA8784" s="318"/>
      <c r="AB8784" s="318"/>
      <c r="AC8784" s="318"/>
      <c r="AD8784" s="318"/>
    </row>
    <row r="8785" spans="2:30" s="323" customFormat="1" ht="12" customHeight="1">
      <c r="B8785" s="324"/>
      <c r="C8785" s="325"/>
      <c r="D8785" s="326"/>
      <c r="E8785" s="326"/>
      <c r="F8785" s="326"/>
      <c r="G8785" s="326"/>
      <c r="H8785" s="326"/>
      <c r="P8785" s="318"/>
      <c r="Q8785" s="318"/>
      <c r="R8785" s="318"/>
      <c r="S8785" s="318"/>
      <c r="T8785" s="318"/>
      <c r="U8785" s="318"/>
      <c r="V8785" s="318"/>
      <c r="W8785" s="318"/>
      <c r="X8785" s="318"/>
      <c r="Y8785" s="318"/>
      <c r="Z8785" s="318"/>
      <c r="AA8785" s="318"/>
      <c r="AB8785" s="318"/>
      <c r="AC8785" s="318"/>
      <c r="AD8785" s="318"/>
    </row>
    <row r="8786" spans="2:30" s="323" customFormat="1" ht="12" customHeight="1">
      <c r="B8786" s="324"/>
      <c r="C8786" s="325"/>
      <c r="D8786" s="326"/>
      <c r="E8786" s="326"/>
      <c r="F8786" s="326"/>
      <c r="G8786" s="326"/>
      <c r="H8786" s="326"/>
      <c r="P8786" s="318"/>
      <c r="Q8786" s="318"/>
      <c r="R8786" s="318"/>
      <c r="S8786" s="318"/>
      <c r="T8786" s="318"/>
      <c r="U8786" s="318"/>
      <c r="V8786" s="318"/>
      <c r="W8786" s="318"/>
      <c r="X8786" s="318"/>
      <c r="Y8786" s="318"/>
      <c r="Z8786" s="318"/>
      <c r="AA8786" s="318"/>
      <c r="AB8786" s="318"/>
      <c r="AC8786" s="318"/>
      <c r="AD8786" s="318"/>
    </row>
    <row r="8787" spans="2:30" s="323" customFormat="1" ht="12" customHeight="1">
      <c r="B8787" s="324"/>
      <c r="C8787" s="325"/>
      <c r="D8787" s="326"/>
      <c r="E8787" s="326"/>
      <c r="F8787" s="326"/>
      <c r="G8787" s="326"/>
      <c r="H8787" s="326"/>
      <c r="P8787" s="318"/>
      <c r="Q8787" s="318"/>
      <c r="R8787" s="318"/>
      <c r="S8787" s="318"/>
      <c r="T8787" s="318"/>
      <c r="U8787" s="318"/>
      <c r="V8787" s="318"/>
      <c r="W8787" s="318"/>
      <c r="X8787" s="318"/>
      <c r="Y8787" s="318"/>
      <c r="Z8787" s="318"/>
      <c r="AA8787" s="318"/>
      <c r="AB8787" s="318"/>
      <c r="AC8787" s="318"/>
      <c r="AD8787" s="318"/>
    </row>
    <row r="8788" spans="2:30" s="323" customFormat="1" ht="12" customHeight="1">
      <c r="B8788" s="324"/>
      <c r="C8788" s="325"/>
      <c r="D8788" s="326"/>
      <c r="E8788" s="326"/>
      <c r="F8788" s="326"/>
      <c r="G8788" s="326"/>
      <c r="H8788" s="326"/>
      <c r="P8788" s="318"/>
      <c r="Q8788" s="318"/>
      <c r="R8788" s="318"/>
      <c r="S8788" s="318"/>
      <c r="T8788" s="318"/>
      <c r="U8788" s="318"/>
      <c r="V8788" s="318"/>
      <c r="W8788" s="318"/>
      <c r="X8788" s="318"/>
      <c r="Y8788" s="318"/>
      <c r="Z8788" s="318"/>
      <c r="AA8788" s="318"/>
      <c r="AB8788" s="318"/>
      <c r="AC8788" s="318"/>
      <c r="AD8788" s="318"/>
    </row>
    <row r="8789" spans="2:30" s="323" customFormat="1" ht="12" customHeight="1">
      <c r="B8789" s="324"/>
      <c r="C8789" s="325"/>
      <c r="D8789" s="326"/>
      <c r="E8789" s="326"/>
      <c r="F8789" s="326"/>
      <c r="G8789" s="326"/>
      <c r="H8789" s="326"/>
      <c r="P8789" s="318"/>
      <c r="Q8789" s="318"/>
      <c r="R8789" s="318"/>
      <c r="S8789" s="318"/>
      <c r="T8789" s="318"/>
      <c r="U8789" s="318"/>
      <c r="V8789" s="318"/>
      <c r="W8789" s="318"/>
      <c r="X8789" s="318"/>
      <c r="Y8789" s="318"/>
      <c r="Z8789" s="318"/>
      <c r="AA8789" s="318"/>
      <c r="AB8789" s="318"/>
      <c r="AC8789" s="318"/>
      <c r="AD8789" s="318"/>
    </row>
    <row r="8790" spans="2:30" s="323" customFormat="1" ht="12" customHeight="1">
      <c r="B8790" s="324"/>
      <c r="C8790" s="325"/>
      <c r="D8790" s="326"/>
      <c r="E8790" s="326"/>
      <c r="F8790" s="326"/>
      <c r="G8790" s="326"/>
      <c r="H8790" s="326"/>
      <c r="P8790" s="318"/>
      <c r="Q8790" s="318"/>
      <c r="R8790" s="318"/>
      <c r="S8790" s="318"/>
      <c r="T8790" s="318"/>
      <c r="U8790" s="318"/>
      <c r="V8790" s="318"/>
      <c r="W8790" s="318"/>
      <c r="X8790" s="318"/>
      <c r="Y8790" s="318"/>
      <c r="Z8790" s="318"/>
      <c r="AA8790" s="318"/>
      <c r="AB8790" s="318"/>
      <c r="AC8790" s="318"/>
      <c r="AD8790" s="318"/>
    </row>
    <row r="8791" spans="2:30" s="323" customFormat="1" ht="12" customHeight="1">
      <c r="B8791" s="324"/>
      <c r="C8791" s="325"/>
      <c r="D8791" s="326"/>
      <c r="E8791" s="326"/>
      <c r="F8791" s="326"/>
      <c r="G8791" s="326"/>
      <c r="H8791" s="326"/>
      <c r="P8791" s="318"/>
      <c r="Q8791" s="318"/>
      <c r="R8791" s="318"/>
      <c r="S8791" s="318"/>
      <c r="T8791" s="318"/>
      <c r="U8791" s="318"/>
      <c r="V8791" s="318"/>
      <c r="W8791" s="318"/>
      <c r="X8791" s="318"/>
      <c r="Y8791" s="318"/>
      <c r="Z8791" s="318"/>
      <c r="AA8791" s="318"/>
      <c r="AB8791" s="318"/>
      <c r="AC8791" s="318"/>
      <c r="AD8791" s="318"/>
    </row>
    <row r="8792" spans="2:30" s="323" customFormat="1" ht="12" customHeight="1">
      <c r="B8792" s="324"/>
      <c r="C8792" s="325"/>
      <c r="D8792" s="326"/>
      <c r="E8792" s="326"/>
      <c r="F8792" s="326"/>
      <c r="G8792" s="326"/>
      <c r="H8792" s="326"/>
      <c r="P8792" s="318"/>
      <c r="Q8792" s="318"/>
      <c r="R8792" s="318"/>
      <c r="S8792" s="318"/>
      <c r="T8792" s="318"/>
      <c r="U8792" s="318"/>
      <c r="V8792" s="318"/>
      <c r="W8792" s="318"/>
      <c r="X8792" s="318"/>
      <c r="Y8792" s="318"/>
      <c r="Z8792" s="318"/>
      <c r="AA8792" s="318"/>
      <c r="AB8792" s="318"/>
      <c r="AC8792" s="318"/>
      <c r="AD8792" s="318"/>
    </row>
    <row r="8793" spans="2:30" s="323" customFormat="1" ht="12" customHeight="1">
      <c r="B8793" s="324"/>
      <c r="C8793" s="325"/>
      <c r="D8793" s="326"/>
      <c r="E8793" s="326"/>
      <c r="F8793" s="326"/>
      <c r="G8793" s="326"/>
      <c r="H8793" s="326"/>
      <c r="P8793" s="318"/>
      <c r="Q8793" s="318"/>
      <c r="R8793" s="318"/>
      <c r="S8793" s="318"/>
      <c r="T8793" s="318"/>
      <c r="U8793" s="318"/>
      <c r="V8793" s="318"/>
      <c r="W8793" s="318"/>
      <c r="X8793" s="318"/>
      <c r="Y8793" s="318"/>
      <c r="Z8793" s="318"/>
      <c r="AA8793" s="318"/>
      <c r="AB8793" s="318"/>
      <c r="AC8793" s="318"/>
      <c r="AD8793" s="318"/>
    </row>
    <row r="8794" spans="2:30" s="323" customFormat="1" ht="12" customHeight="1">
      <c r="B8794" s="324"/>
      <c r="C8794" s="325"/>
      <c r="D8794" s="326"/>
      <c r="E8794" s="326"/>
      <c r="F8794" s="326"/>
      <c r="G8794" s="326"/>
      <c r="H8794" s="326"/>
      <c r="P8794" s="318"/>
      <c r="Q8794" s="318"/>
      <c r="R8794" s="318"/>
      <c r="S8794" s="318"/>
      <c r="T8794" s="318"/>
      <c r="U8794" s="318"/>
      <c r="V8794" s="318"/>
      <c r="W8794" s="318"/>
      <c r="X8794" s="318"/>
      <c r="Y8794" s="318"/>
      <c r="Z8794" s="318"/>
      <c r="AA8794" s="318"/>
      <c r="AB8794" s="318"/>
      <c r="AC8794" s="318"/>
      <c r="AD8794" s="318"/>
    </row>
    <row r="8795" spans="2:30" s="323" customFormat="1" ht="12" customHeight="1">
      <c r="B8795" s="324"/>
      <c r="C8795" s="325"/>
      <c r="D8795" s="326"/>
      <c r="E8795" s="326"/>
      <c r="F8795" s="326"/>
      <c r="G8795" s="326"/>
      <c r="H8795" s="326"/>
      <c r="P8795" s="318"/>
      <c r="Q8795" s="318"/>
      <c r="R8795" s="318"/>
      <c r="S8795" s="318"/>
      <c r="T8795" s="318"/>
      <c r="U8795" s="318"/>
      <c r="V8795" s="318"/>
      <c r="W8795" s="318"/>
      <c r="X8795" s="318"/>
      <c r="Y8795" s="318"/>
      <c r="Z8795" s="318"/>
      <c r="AA8795" s="318"/>
      <c r="AB8795" s="318"/>
      <c r="AC8795" s="318"/>
      <c r="AD8795" s="318"/>
    </row>
    <row r="8796" spans="2:30" s="323" customFormat="1" ht="12" customHeight="1">
      <c r="B8796" s="324"/>
      <c r="C8796" s="325"/>
      <c r="D8796" s="326"/>
      <c r="E8796" s="326"/>
      <c r="F8796" s="326"/>
      <c r="G8796" s="326"/>
      <c r="H8796" s="326"/>
      <c r="P8796" s="318"/>
      <c r="Q8796" s="318"/>
      <c r="R8796" s="318"/>
      <c r="S8796" s="318"/>
      <c r="T8796" s="318"/>
      <c r="U8796" s="318"/>
      <c r="V8796" s="318"/>
      <c r="W8796" s="318"/>
      <c r="X8796" s="318"/>
      <c r="Y8796" s="318"/>
      <c r="Z8796" s="318"/>
      <c r="AA8796" s="318"/>
      <c r="AB8796" s="318"/>
      <c r="AC8796" s="318"/>
      <c r="AD8796" s="318"/>
    </row>
    <row r="8797" spans="2:30" s="323" customFormat="1" ht="12" customHeight="1">
      <c r="B8797" s="324"/>
      <c r="C8797" s="325"/>
      <c r="D8797" s="326"/>
      <c r="E8797" s="326"/>
      <c r="F8797" s="326"/>
      <c r="G8797" s="326"/>
      <c r="H8797" s="326"/>
      <c r="P8797" s="318"/>
      <c r="Q8797" s="318"/>
      <c r="R8797" s="318"/>
      <c r="S8797" s="318"/>
      <c r="T8797" s="318"/>
      <c r="U8797" s="318"/>
      <c r="V8797" s="318"/>
      <c r="W8797" s="318"/>
      <c r="X8797" s="318"/>
      <c r="Y8797" s="318"/>
      <c r="Z8797" s="318"/>
      <c r="AA8797" s="318"/>
      <c r="AB8797" s="318"/>
      <c r="AC8797" s="318"/>
      <c r="AD8797" s="318"/>
    </row>
    <row r="8798" spans="2:30" s="323" customFormat="1" ht="12" customHeight="1">
      <c r="B8798" s="324"/>
      <c r="C8798" s="325"/>
      <c r="D8798" s="326"/>
      <c r="E8798" s="326"/>
      <c r="F8798" s="326"/>
      <c r="G8798" s="326"/>
      <c r="H8798" s="326"/>
      <c r="P8798" s="318"/>
      <c r="Q8798" s="318"/>
      <c r="R8798" s="318"/>
      <c r="S8798" s="318"/>
      <c r="T8798" s="318"/>
      <c r="U8798" s="318"/>
      <c r="V8798" s="318"/>
      <c r="W8798" s="318"/>
      <c r="X8798" s="318"/>
      <c r="Y8798" s="318"/>
      <c r="Z8798" s="318"/>
      <c r="AA8798" s="318"/>
      <c r="AB8798" s="318"/>
      <c r="AC8798" s="318"/>
      <c r="AD8798" s="318"/>
    </row>
    <row r="8799" spans="2:30" s="323" customFormat="1" ht="12" customHeight="1">
      <c r="B8799" s="324"/>
      <c r="C8799" s="325"/>
      <c r="D8799" s="326"/>
      <c r="E8799" s="326"/>
      <c r="F8799" s="326"/>
      <c r="G8799" s="326"/>
      <c r="H8799" s="326"/>
      <c r="P8799" s="318"/>
      <c r="Q8799" s="318"/>
      <c r="R8799" s="318"/>
      <c r="S8799" s="318"/>
      <c r="T8799" s="318"/>
      <c r="U8799" s="318"/>
      <c r="V8799" s="318"/>
      <c r="W8799" s="318"/>
      <c r="X8799" s="318"/>
      <c r="Y8799" s="318"/>
      <c r="Z8799" s="318"/>
      <c r="AA8799" s="318"/>
      <c r="AB8799" s="318"/>
      <c r="AC8799" s="318"/>
      <c r="AD8799" s="318"/>
    </row>
    <row r="8800" spans="2:30" s="323" customFormat="1" ht="12" customHeight="1">
      <c r="B8800" s="324"/>
      <c r="C8800" s="325"/>
      <c r="D8800" s="326"/>
      <c r="E8800" s="326"/>
      <c r="F8800" s="326"/>
      <c r="G8800" s="326"/>
      <c r="H8800" s="326"/>
      <c r="P8800" s="318"/>
      <c r="Q8800" s="318"/>
      <c r="R8800" s="318"/>
      <c r="S8800" s="318"/>
      <c r="T8800" s="318"/>
      <c r="U8800" s="318"/>
      <c r="V8800" s="318"/>
      <c r="W8800" s="318"/>
      <c r="X8800" s="318"/>
      <c r="Y8800" s="318"/>
      <c r="Z8800" s="318"/>
      <c r="AA8800" s="318"/>
      <c r="AB8800" s="318"/>
      <c r="AC8800" s="318"/>
      <c r="AD8800" s="318"/>
    </row>
    <row r="8801" spans="2:30" s="323" customFormat="1" ht="12" customHeight="1">
      <c r="B8801" s="324"/>
      <c r="C8801" s="325"/>
      <c r="D8801" s="326"/>
      <c r="E8801" s="326"/>
      <c r="F8801" s="326"/>
      <c r="G8801" s="326"/>
      <c r="H8801" s="326"/>
      <c r="P8801" s="318"/>
      <c r="Q8801" s="318"/>
      <c r="R8801" s="318"/>
      <c r="S8801" s="318"/>
      <c r="T8801" s="318"/>
      <c r="U8801" s="318"/>
      <c r="V8801" s="318"/>
      <c r="W8801" s="318"/>
      <c r="X8801" s="318"/>
      <c r="Y8801" s="318"/>
      <c r="Z8801" s="318"/>
      <c r="AA8801" s="318"/>
      <c r="AB8801" s="318"/>
      <c r="AC8801" s="318"/>
      <c r="AD8801" s="318"/>
    </row>
    <row r="8802" spans="2:30" s="323" customFormat="1" ht="12" customHeight="1">
      <c r="B8802" s="324"/>
      <c r="C8802" s="325"/>
      <c r="D8802" s="326"/>
      <c r="E8802" s="326"/>
      <c r="F8802" s="326"/>
      <c r="G8802" s="326"/>
      <c r="H8802" s="326"/>
      <c r="P8802" s="318"/>
      <c r="Q8802" s="318"/>
      <c r="R8802" s="318"/>
      <c r="S8802" s="318"/>
      <c r="T8802" s="318"/>
      <c r="U8802" s="318"/>
      <c r="V8802" s="318"/>
      <c r="W8802" s="318"/>
      <c r="X8802" s="318"/>
      <c r="Y8802" s="318"/>
      <c r="Z8802" s="318"/>
      <c r="AA8802" s="318"/>
      <c r="AB8802" s="318"/>
      <c r="AC8802" s="318"/>
      <c r="AD8802" s="318"/>
    </row>
    <row r="8803" spans="2:30" s="323" customFormat="1" ht="12" customHeight="1">
      <c r="B8803" s="324"/>
      <c r="C8803" s="325"/>
      <c r="D8803" s="326"/>
      <c r="E8803" s="326"/>
      <c r="F8803" s="326"/>
      <c r="G8803" s="326"/>
      <c r="H8803" s="326"/>
      <c r="P8803" s="318"/>
      <c r="Q8803" s="318"/>
      <c r="R8803" s="318"/>
      <c r="S8803" s="318"/>
      <c r="T8803" s="318"/>
      <c r="U8803" s="318"/>
      <c r="V8803" s="318"/>
      <c r="W8803" s="318"/>
      <c r="X8803" s="318"/>
      <c r="Y8803" s="318"/>
      <c r="Z8803" s="318"/>
      <c r="AA8803" s="318"/>
      <c r="AB8803" s="318"/>
      <c r="AC8803" s="318"/>
      <c r="AD8803" s="318"/>
    </row>
    <row r="8804" spans="2:30" s="323" customFormat="1" ht="12" customHeight="1">
      <c r="B8804" s="324"/>
      <c r="C8804" s="325"/>
      <c r="D8804" s="326"/>
      <c r="E8804" s="326"/>
      <c r="F8804" s="326"/>
      <c r="G8804" s="326"/>
      <c r="H8804" s="326"/>
      <c r="P8804" s="318"/>
      <c r="Q8804" s="318"/>
      <c r="R8804" s="318"/>
      <c r="S8804" s="318"/>
      <c r="T8804" s="318"/>
      <c r="U8804" s="318"/>
      <c r="V8804" s="318"/>
      <c r="W8804" s="318"/>
      <c r="X8804" s="318"/>
      <c r="Y8804" s="318"/>
      <c r="Z8804" s="318"/>
      <c r="AA8804" s="318"/>
      <c r="AB8804" s="318"/>
      <c r="AC8804" s="318"/>
      <c r="AD8804" s="318"/>
    </row>
    <row r="8805" spans="2:30" s="323" customFormat="1" ht="12" customHeight="1">
      <c r="B8805" s="324"/>
      <c r="C8805" s="325"/>
      <c r="D8805" s="326"/>
      <c r="E8805" s="326"/>
      <c r="F8805" s="326"/>
      <c r="G8805" s="326"/>
      <c r="H8805" s="326"/>
      <c r="P8805" s="318"/>
      <c r="Q8805" s="318"/>
      <c r="R8805" s="318"/>
      <c r="S8805" s="318"/>
      <c r="T8805" s="318"/>
      <c r="U8805" s="318"/>
      <c r="V8805" s="318"/>
      <c r="W8805" s="318"/>
      <c r="X8805" s="318"/>
      <c r="Y8805" s="318"/>
      <c r="Z8805" s="318"/>
      <c r="AA8805" s="318"/>
      <c r="AB8805" s="318"/>
      <c r="AC8805" s="318"/>
      <c r="AD8805" s="318"/>
    </row>
    <row r="8806" spans="2:30" s="323" customFormat="1" ht="12" customHeight="1">
      <c r="B8806" s="324"/>
      <c r="C8806" s="325"/>
      <c r="D8806" s="326"/>
      <c r="E8806" s="326"/>
      <c r="F8806" s="326"/>
      <c r="G8806" s="326"/>
      <c r="H8806" s="326"/>
      <c r="P8806" s="318"/>
      <c r="Q8806" s="318"/>
      <c r="R8806" s="318"/>
      <c r="S8806" s="318"/>
      <c r="T8806" s="318"/>
      <c r="U8806" s="318"/>
      <c r="V8806" s="318"/>
      <c r="W8806" s="318"/>
      <c r="X8806" s="318"/>
      <c r="Y8806" s="318"/>
      <c r="Z8806" s="318"/>
      <c r="AA8806" s="318"/>
      <c r="AB8806" s="318"/>
      <c r="AC8806" s="318"/>
      <c r="AD8806" s="318"/>
    </row>
    <row r="8807" spans="2:30" s="323" customFormat="1" ht="12" customHeight="1">
      <c r="B8807" s="324"/>
      <c r="C8807" s="325"/>
      <c r="D8807" s="326"/>
      <c r="E8807" s="326"/>
      <c r="F8807" s="326"/>
      <c r="G8807" s="326"/>
      <c r="H8807" s="326"/>
      <c r="P8807" s="318"/>
      <c r="Q8807" s="318"/>
      <c r="R8807" s="318"/>
      <c r="S8807" s="318"/>
      <c r="T8807" s="318"/>
      <c r="U8807" s="318"/>
      <c r="V8807" s="318"/>
      <c r="W8807" s="318"/>
      <c r="X8807" s="318"/>
      <c r="Y8807" s="318"/>
      <c r="Z8807" s="318"/>
      <c r="AA8807" s="318"/>
      <c r="AB8807" s="318"/>
      <c r="AC8807" s="318"/>
      <c r="AD8807" s="318"/>
    </row>
    <row r="8808" spans="2:30" s="323" customFormat="1" ht="12" customHeight="1">
      <c r="B8808" s="324"/>
      <c r="C8808" s="325"/>
      <c r="D8808" s="326"/>
      <c r="E8808" s="326"/>
      <c r="F8808" s="326"/>
      <c r="G8808" s="326"/>
      <c r="H8808" s="326"/>
      <c r="P8808" s="318"/>
      <c r="Q8808" s="318"/>
      <c r="R8808" s="318"/>
      <c r="S8808" s="318"/>
      <c r="T8808" s="318"/>
      <c r="U8808" s="318"/>
      <c r="V8808" s="318"/>
      <c r="W8808" s="318"/>
      <c r="X8808" s="318"/>
      <c r="Y8808" s="318"/>
      <c r="Z8808" s="318"/>
      <c r="AA8808" s="318"/>
      <c r="AB8808" s="318"/>
      <c r="AC8808" s="318"/>
      <c r="AD8808" s="318"/>
    </row>
    <row r="8809" spans="2:30" s="323" customFormat="1" ht="12" customHeight="1">
      <c r="B8809" s="324"/>
      <c r="C8809" s="325"/>
      <c r="D8809" s="326"/>
      <c r="E8809" s="326"/>
      <c r="F8809" s="326"/>
      <c r="G8809" s="326"/>
      <c r="H8809" s="326"/>
      <c r="P8809" s="318"/>
      <c r="Q8809" s="318"/>
      <c r="R8809" s="318"/>
      <c r="S8809" s="318"/>
      <c r="T8809" s="318"/>
      <c r="U8809" s="318"/>
      <c r="V8809" s="318"/>
      <c r="W8809" s="318"/>
      <c r="X8809" s="318"/>
      <c r="Y8809" s="318"/>
      <c r="Z8809" s="318"/>
      <c r="AA8809" s="318"/>
      <c r="AB8809" s="318"/>
      <c r="AC8809" s="318"/>
      <c r="AD8809" s="318"/>
    </row>
    <row r="8810" spans="2:30" s="323" customFormat="1" ht="12" customHeight="1">
      <c r="B8810" s="324"/>
      <c r="C8810" s="325"/>
      <c r="D8810" s="326"/>
      <c r="E8810" s="326"/>
      <c r="F8810" s="326"/>
      <c r="G8810" s="326"/>
      <c r="H8810" s="326"/>
      <c r="P8810" s="318"/>
      <c r="Q8810" s="318"/>
      <c r="R8810" s="318"/>
      <c r="S8810" s="318"/>
      <c r="T8810" s="318"/>
      <c r="U8810" s="318"/>
      <c r="V8810" s="318"/>
      <c r="W8810" s="318"/>
      <c r="X8810" s="318"/>
      <c r="Y8810" s="318"/>
      <c r="Z8810" s="318"/>
      <c r="AA8810" s="318"/>
      <c r="AB8810" s="318"/>
      <c r="AC8810" s="318"/>
      <c r="AD8810" s="318"/>
    </row>
    <row r="8811" spans="2:30" s="323" customFormat="1" ht="12" customHeight="1">
      <c r="B8811" s="324"/>
      <c r="C8811" s="325"/>
      <c r="D8811" s="326"/>
      <c r="E8811" s="326"/>
      <c r="F8811" s="326"/>
      <c r="G8811" s="326"/>
      <c r="H8811" s="326"/>
      <c r="P8811" s="318"/>
      <c r="Q8811" s="318"/>
      <c r="R8811" s="318"/>
      <c r="S8811" s="318"/>
      <c r="T8811" s="318"/>
      <c r="U8811" s="318"/>
      <c r="V8811" s="318"/>
      <c r="W8811" s="318"/>
      <c r="X8811" s="318"/>
      <c r="Y8811" s="318"/>
      <c r="Z8811" s="318"/>
      <c r="AA8811" s="318"/>
      <c r="AB8811" s="318"/>
      <c r="AC8811" s="318"/>
      <c r="AD8811" s="318"/>
    </row>
    <row r="8812" spans="2:30" s="323" customFormat="1" ht="12" customHeight="1">
      <c r="B8812" s="324"/>
      <c r="C8812" s="325"/>
      <c r="D8812" s="326"/>
      <c r="E8812" s="326"/>
      <c r="F8812" s="326"/>
      <c r="G8812" s="326"/>
      <c r="H8812" s="326"/>
      <c r="P8812" s="318"/>
      <c r="Q8812" s="318"/>
      <c r="R8812" s="318"/>
      <c r="S8812" s="318"/>
      <c r="T8812" s="318"/>
      <c r="U8812" s="318"/>
      <c r="V8812" s="318"/>
      <c r="W8812" s="318"/>
      <c r="X8812" s="318"/>
      <c r="Y8812" s="318"/>
      <c r="Z8812" s="318"/>
      <c r="AA8812" s="318"/>
      <c r="AB8812" s="318"/>
      <c r="AC8812" s="318"/>
      <c r="AD8812" s="318"/>
    </row>
    <row r="8813" spans="2:30" s="323" customFormat="1" ht="12" customHeight="1">
      <c r="B8813" s="324"/>
      <c r="C8813" s="325"/>
      <c r="D8813" s="326"/>
      <c r="E8813" s="326"/>
      <c r="F8813" s="326"/>
      <c r="G8813" s="326"/>
      <c r="H8813" s="326"/>
      <c r="P8813" s="318"/>
      <c r="Q8813" s="318"/>
      <c r="R8813" s="318"/>
      <c r="S8813" s="318"/>
      <c r="T8813" s="318"/>
      <c r="U8813" s="318"/>
      <c r="V8813" s="318"/>
      <c r="W8813" s="318"/>
      <c r="X8813" s="318"/>
      <c r="Y8813" s="318"/>
      <c r="Z8813" s="318"/>
      <c r="AA8813" s="318"/>
      <c r="AB8813" s="318"/>
      <c r="AC8813" s="318"/>
      <c r="AD8813" s="318"/>
    </row>
    <row r="8814" spans="2:30" s="323" customFormat="1" ht="12" customHeight="1">
      <c r="B8814" s="324"/>
      <c r="C8814" s="325"/>
      <c r="D8814" s="326"/>
      <c r="E8814" s="326"/>
      <c r="F8814" s="326"/>
      <c r="G8814" s="326"/>
      <c r="H8814" s="326"/>
      <c r="P8814" s="318"/>
      <c r="Q8814" s="318"/>
      <c r="R8814" s="318"/>
      <c r="S8814" s="318"/>
      <c r="T8814" s="318"/>
      <c r="U8814" s="318"/>
      <c r="V8814" s="318"/>
      <c r="W8814" s="318"/>
      <c r="X8814" s="318"/>
      <c r="Y8814" s="318"/>
      <c r="Z8814" s="318"/>
      <c r="AA8814" s="318"/>
      <c r="AB8814" s="318"/>
      <c r="AC8814" s="318"/>
      <c r="AD8814" s="318"/>
    </row>
    <row r="8815" spans="2:30" s="323" customFormat="1" ht="12" customHeight="1">
      <c r="B8815" s="324"/>
      <c r="C8815" s="325"/>
      <c r="D8815" s="326"/>
      <c r="E8815" s="326"/>
      <c r="F8815" s="326"/>
      <c r="G8815" s="326"/>
      <c r="H8815" s="326"/>
      <c r="P8815" s="318"/>
      <c r="Q8815" s="318"/>
      <c r="R8815" s="318"/>
      <c r="S8815" s="318"/>
      <c r="T8815" s="318"/>
      <c r="U8815" s="318"/>
      <c r="V8815" s="318"/>
      <c r="W8815" s="318"/>
      <c r="X8815" s="318"/>
      <c r="Y8815" s="318"/>
      <c r="Z8815" s="318"/>
      <c r="AA8815" s="318"/>
      <c r="AB8815" s="318"/>
      <c r="AC8815" s="318"/>
      <c r="AD8815" s="318"/>
    </row>
    <row r="8816" spans="2:30" s="323" customFormat="1" ht="12" customHeight="1">
      <c r="B8816" s="324"/>
      <c r="C8816" s="325"/>
      <c r="D8816" s="326"/>
      <c r="E8816" s="326"/>
      <c r="F8816" s="326"/>
      <c r="G8816" s="326"/>
      <c r="H8816" s="326"/>
      <c r="P8816" s="318"/>
      <c r="Q8816" s="318"/>
      <c r="R8816" s="318"/>
      <c r="S8816" s="318"/>
      <c r="T8816" s="318"/>
      <c r="U8816" s="318"/>
      <c r="V8816" s="318"/>
      <c r="W8816" s="318"/>
      <c r="X8816" s="318"/>
      <c r="Y8816" s="318"/>
      <c r="Z8816" s="318"/>
      <c r="AA8816" s="318"/>
      <c r="AB8816" s="318"/>
      <c r="AC8816" s="318"/>
      <c r="AD8816" s="318"/>
    </row>
    <row r="8817" spans="2:30" s="323" customFormat="1" ht="12" customHeight="1">
      <c r="B8817" s="324"/>
      <c r="C8817" s="325"/>
      <c r="D8817" s="326"/>
      <c r="E8817" s="326"/>
      <c r="F8817" s="326"/>
      <c r="G8817" s="326"/>
      <c r="H8817" s="326"/>
      <c r="P8817" s="318"/>
      <c r="Q8817" s="318"/>
      <c r="R8817" s="318"/>
      <c r="S8817" s="318"/>
      <c r="T8817" s="318"/>
      <c r="U8817" s="318"/>
      <c r="V8817" s="318"/>
      <c r="W8817" s="318"/>
      <c r="X8817" s="318"/>
      <c r="Y8817" s="318"/>
      <c r="Z8817" s="318"/>
      <c r="AA8817" s="318"/>
      <c r="AB8817" s="318"/>
      <c r="AC8817" s="318"/>
      <c r="AD8817" s="318"/>
    </row>
    <row r="8818" spans="2:30" s="323" customFormat="1" ht="12" customHeight="1">
      <c r="B8818" s="324"/>
      <c r="C8818" s="325"/>
      <c r="D8818" s="326"/>
      <c r="E8818" s="326"/>
      <c r="F8818" s="326"/>
      <c r="G8818" s="326"/>
      <c r="H8818" s="326"/>
      <c r="P8818" s="318"/>
      <c r="Q8818" s="318"/>
      <c r="R8818" s="318"/>
      <c r="S8818" s="318"/>
      <c r="T8818" s="318"/>
      <c r="U8818" s="318"/>
      <c r="V8818" s="318"/>
      <c r="W8818" s="318"/>
      <c r="X8818" s="318"/>
      <c r="Y8818" s="318"/>
      <c r="Z8818" s="318"/>
      <c r="AA8818" s="318"/>
      <c r="AB8818" s="318"/>
      <c r="AC8818" s="318"/>
      <c r="AD8818" s="318"/>
    </row>
    <row r="8819" spans="2:30" s="323" customFormat="1" ht="12" customHeight="1">
      <c r="B8819" s="324"/>
      <c r="C8819" s="325"/>
      <c r="D8819" s="326"/>
      <c r="E8819" s="326"/>
      <c r="F8819" s="326"/>
      <c r="G8819" s="326"/>
      <c r="H8819" s="326"/>
      <c r="P8819" s="318"/>
      <c r="Q8819" s="318"/>
      <c r="R8819" s="318"/>
      <c r="S8819" s="318"/>
      <c r="T8819" s="318"/>
      <c r="U8819" s="318"/>
      <c r="V8819" s="318"/>
      <c r="W8819" s="318"/>
      <c r="X8819" s="318"/>
      <c r="Y8819" s="318"/>
      <c r="Z8819" s="318"/>
      <c r="AA8819" s="318"/>
      <c r="AB8819" s="318"/>
      <c r="AC8819" s="318"/>
      <c r="AD8819" s="318"/>
    </row>
    <row r="8820" spans="2:30" s="323" customFormat="1" ht="12" customHeight="1">
      <c r="B8820" s="324"/>
      <c r="C8820" s="325"/>
      <c r="D8820" s="326"/>
      <c r="E8820" s="326"/>
      <c r="F8820" s="326"/>
      <c r="G8820" s="326"/>
      <c r="H8820" s="326"/>
      <c r="P8820" s="318"/>
      <c r="Q8820" s="318"/>
      <c r="R8820" s="318"/>
      <c r="S8820" s="318"/>
      <c r="T8820" s="318"/>
      <c r="U8820" s="318"/>
      <c r="V8820" s="318"/>
      <c r="W8820" s="318"/>
      <c r="X8820" s="318"/>
      <c r="Y8820" s="318"/>
      <c r="Z8820" s="318"/>
      <c r="AA8820" s="318"/>
      <c r="AB8820" s="318"/>
      <c r="AC8820" s="318"/>
      <c r="AD8820" s="318"/>
    </row>
    <row r="8821" spans="2:30" s="323" customFormat="1" ht="12" customHeight="1">
      <c r="B8821" s="324"/>
      <c r="C8821" s="325"/>
      <c r="D8821" s="326"/>
      <c r="E8821" s="326"/>
      <c r="F8821" s="326"/>
      <c r="G8821" s="326"/>
      <c r="H8821" s="326"/>
      <c r="P8821" s="318"/>
      <c r="Q8821" s="318"/>
      <c r="R8821" s="318"/>
      <c r="S8821" s="318"/>
      <c r="T8821" s="318"/>
      <c r="U8821" s="318"/>
      <c r="V8821" s="318"/>
      <c r="W8821" s="318"/>
      <c r="X8821" s="318"/>
      <c r="Y8821" s="318"/>
      <c r="Z8821" s="318"/>
      <c r="AA8821" s="318"/>
      <c r="AB8821" s="318"/>
      <c r="AC8821" s="318"/>
      <c r="AD8821" s="318"/>
    </row>
    <row r="8822" spans="2:30" s="323" customFormat="1" ht="12" customHeight="1">
      <c r="B8822" s="324"/>
      <c r="C8822" s="325"/>
      <c r="D8822" s="326"/>
      <c r="E8822" s="326"/>
      <c r="F8822" s="326"/>
      <c r="G8822" s="326"/>
      <c r="H8822" s="326"/>
      <c r="P8822" s="318"/>
      <c r="Q8822" s="318"/>
      <c r="R8822" s="318"/>
      <c r="S8822" s="318"/>
      <c r="T8822" s="318"/>
      <c r="U8822" s="318"/>
      <c r="V8822" s="318"/>
      <c r="W8822" s="318"/>
      <c r="X8822" s="318"/>
      <c r="Y8822" s="318"/>
      <c r="Z8822" s="318"/>
      <c r="AA8822" s="318"/>
      <c r="AB8822" s="318"/>
      <c r="AC8822" s="318"/>
      <c r="AD8822" s="318"/>
    </row>
    <row r="8823" spans="2:30" s="323" customFormat="1" ht="12" customHeight="1">
      <c r="B8823" s="324"/>
      <c r="C8823" s="325"/>
      <c r="D8823" s="326"/>
      <c r="E8823" s="326"/>
      <c r="F8823" s="326"/>
      <c r="G8823" s="326"/>
      <c r="H8823" s="326"/>
      <c r="P8823" s="318"/>
      <c r="Q8823" s="318"/>
      <c r="R8823" s="318"/>
      <c r="S8823" s="318"/>
      <c r="T8823" s="318"/>
      <c r="U8823" s="318"/>
      <c r="V8823" s="318"/>
      <c r="W8823" s="318"/>
      <c r="X8823" s="318"/>
      <c r="Y8823" s="318"/>
      <c r="Z8823" s="318"/>
      <c r="AA8823" s="318"/>
      <c r="AB8823" s="318"/>
      <c r="AC8823" s="318"/>
      <c r="AD8823" s="318"/>
    </row>
    <row r="8824" spans="2:30" s="323" customFormat="1" ht="12" customHeight="1">
      <c r="B8824" s="324"/>
      <c r="C8824" s="325"/>
      <c r="D8824" s="326"/>
      <c r="E8824" s="326"/>
      <c r="F8824" s="326"/>
      <c r="G8824" s="326"/>
      <c r="H8824" s="326"/>
      <c r="P8824" s="318"/>
      <c r="Q8824" s="318"/>
      <c r="R8824" s="318"/>
      <c r="S8824" s="318"/>
      <c r="T8824" s="318"/>
      <c r="U8824" s="318"/>
      <c r="V8824" s="318"/>
      <c r="W8824" s="318"/>
      <c r="X8824" s="318"/>
      <c r="Y8824" s="318"/>
      <c r="Z8824" s="318"/>
      <c r="AA8824" s="318"/>
      <c r="AB8824" s="318"/>
      <c r="AC8824" s="318"/>
      <c r="AD8824" s="318"/>
    </row>
    <row r="8825" spans="2:30" s="323" customFormat="1" ht="12" customHeight="1">
      <c r="B8825" s="324"/>
      <c r="C8825" s="325"/>
      <c r="D8825" s="326"/>
      <c r="E8825" s="326"/>
      <c r="F8825" s="326"/>
      <c r="G8825" s="326"/>
      <c r="H8825" s="326"/>
      <c r="P8825" s="318"/>
      <c r="Q8825" s="318"/>
      <c r="R8825" s="318"/>
      <c r="S8825" s="318"/>
      <c r="T8825" s="318"/>
      <c r="U8825" s="318"/>
      <c r="V8825" s="318"/>
      <c r="W8825" s="318"/>
      <c r="X8825" s="318"/>
      <c r="Y8825" s="318"/>
      <c r="Z8825" s="318"/>
      <c r="AA8825" s="318"/>
      <c r="AB8825" s="318"/>
      <c r="AC8825" s="318"/>
      <c r="AD8825" s="318"/>
    </row>
    <row r="8826" spans="2:30" s="323" customFormat="1" ht="12" customHeight="1">
      <c r="B8826" s="324"/>
      <c r="C8826" s="325"/>
      <c r="D8826" s="326"/>
      <c r="E8826" s="326"/>
      <c r="F8826" s="326"/>
      <c r="G8826" s="326"/>
      <c r="H8826" s="326"/>
      <c r="P8826" s="318"/>
      <c r="Q8826" s="318"/>
      <c r="R8826" s="318"/>
      <c r="S8826" s="318"/>
      <c r="T8826" s="318"/>
      <c r="U8826" s="318"/>
      <c r="V8826" s="318"/>
      <c r="W8826" s="318"/>
      <c r="X8826" s="318"/>
      <c r="Y8826" s="318"/>
      <c r="Z8826" s="318"/>
      <c r="AA8826" s="318"/>
      <c r="AB8826" s="318"/>
      <c r="AC8826" s="318"/>
      <c r="AD8826" s="318"/>
    </row>
    <row r="8827" spans="2:30" s="323" customFormat="1" ht="12" customHeight="1">
      <c r="B8827" s="324"/>
      <c r="C8827" s="325"/>
      <c r="D8827" s="326"/>
      <c r="E8827" s="326"/>
      <c r="F8827" s="326"/>
      <c r="G8827" s="326"/>
      <c r="H8827" s="326"/>
      <c r="P8827" s="318"/>
      <c r="Q8827" s="318"/>
      <c r="R8827" s="318"/>
      <c r="S8827" s="318"/>
      <c r="T8827" s="318"/>
      <c r="U8827" s="318"/>
      <c r="V8827" s="318"/>
      <c r="W8827" s="318"/>
      <c r="X8827" s="318"/>
      <c r="Y8827" s="318"/>
      <c r="Z8827" s="318"/>
      <c r="AA8827" s="318"/>
      <c r="AB8827" s="318"/>
      <c r="AC8827" s="318"/>
      <c r="AD8827" s="318"/>
    </row>
    <row r="8828" spans="2:30" s="323" customFormat="1" ht="12" customHeight="1">
      <c r="B8828" s="324"/>
      <c r="C8828" s="325"/>
      <c r="D8828" s="326"/>
      <c r="E8828" s="326"/>
      <c r="F8828" s="326"/>
      <c r="G8828" s="326"/>
      <c r="H8828" s="326"/>
      <c r="P8828" s="318"/>
      <c r="Q8828" s="318"/>
      <c r="R8828" s="318"/>
      <c r="S8828" s="318"/>
      <c r="T8828" s="318"/>
      <c r="U8828" s="318"/>
      <c r="V8828" s="318"/>
      <c r="W8828" s="318"/>
      <c r="X8828" s="318"/>
      <c r="Y8828" s="318"/>
      <c r="Z8828" s="318"/>
      <c r="AA8828" s="318"/>
      <c r="AB8828" s="318"/>
      <c r="AC8828" s="318"/>
      <c r="AD8828" s="318"/>
    </row>
    <row r="8829" spans="2:30" s="323" customFormat="1" ht="12" customHeight="1">
      <c r="B8829" s="324"/>
      <c r="C8829" s="325"/>
      <c r="D8829" s="326"/>
      <c r="E8829" s="326"/>
      <c r="F8829" s="326"/>
      <c r="G8829" s="326"/>
      <c r="H8829" s="326"/>
      <c r="P8829" s="318"/>
      <c r="Q8829" s="318"/>
      <c r="R8829" s="318"/>
      <c r="S8829" s="318"/>
      <c r="T8829" s="318"/>
      <c r="U8829" s="318"/>
      <c r="V8829" s="318"/>
      <c r="W8829" s="318"/>
      <c r="X8829" s="318"/>
      <c r="Y8829" s="318"/>
      <c r="Z8829" s="318"/>
      <c r="AA8829" s="318"/>
      <c r="AB8829" s="318"/>
      <c r="AC8829" s="318"/>
      <c r="AD8829" s="318"/>
    </row>
    <row r="8830" spans="2:30" s="323" customFormat="1" ht="12" customHeight="1">
      <c r="B8830" s="324"/>
      <c r="C8830" s="325"/>
      <c r="D8830" s="326"/>
      <c r="E8830" s="326"/>
      <c r="F8830" s="326"/>
      <c r="G8830" s="326"/>
      <c r="H8830" s="326"/>
      <c r="P8830" s="318"/>
      <c r="Q8830" s="318"/>
      <c r="R8830" s="318"/>
      <c r="S8830" s="318"/>
      <c r="T8830" s="318"/>
      <c r="U8830" s="318"/>
      <c r="V8830" s="318"/>
      <c r="W8830" s="318"/>
      <c r="X8830" s="318"/>
      <c r="Y8830" s="318"/>
      <c r="Z8830" s="318"/>
      <c r="AA8830" s="318"/>
      <c r="AB8830" s="318"/>
      <c r="AC8830" s="318"/>
      <c r="AD8830" s="318"/>
    </row>
    <row r="8831" spans="2:30" s="323" customFormat="1" ht="12" customHeight="1">
      <c r="B8831" s="324"/>
      <c r="C8831" s="325"/>
      <c r="D8831" s="326"/>
      <c r="E8831" s="326"/>
      <c r="F8831" s="326"/>
      <c r="G8831" s="326"/>
      <c r="H8831" s="326"/>
      <c r="P8831" s="318"/>
      <c r="Q8831" s="318"/>
      <c r="R8831" s="318"/>
      <c r="S8831" s="318"/>
      <c r="T8831" s="318"/>
      <c r="U8831" s="318"/>
      <c r="V8831" s="318"/>
      <c r="W8831" s="318"/>
      <c r="X8831" s="318"/>
      <c r="Y8831" s="318"/>
      <c r="Z8831" s="318"/>
      <c r="AA8831" s="318"/>
      <c r="AB8831" s="318"/>
      <c r="AC8831" s="318"/>
      <c r="AD8831" s="318"/>
    </row>
    <row r="8832" spans="2:30" s="323" customFormat="1" ht="12" customHeight="1">
      <c r="B8832" s="324"/>
      <c r="C8832" s="325"/>
      <c r="D8832" s="326"/>
      <c r="E8832" s="326"/>
      <c r="F8832" s="326"/>
      <c r="G8832" s="326"/>
      <c r="H8832" s="326"/>
      <c r="P8832" s="318"/>
      <c r="Q8832" s="318"/>
      <c r="R8832" s="318"/>
      <c r="S8832" s="318"/>
      <c r="T8832" s="318"/>
      <c r="U8832" s="318"/>
      <c r="V8832" s="318"/>
      <c r="W8832" s="318"/>
      <c r="X8832" s="318"/>
      <c r="Y8832" s="318"/>
      <c r="Z8832" s="318"/>
      <c r="AA8832" s="318"/>
      <c r="AB8832" s="318"/>
      <c r="AC8832" s="318"/>
      <c r="AD8832" s="318"/>
    </row>
    <row r="8833" spans="2:30" s="323" customFormat="1" ht="12" customHeight="1">
      <c r="B8833" s="324"/>
      <c r="C8833" s="325"/>
      <c r="D8833" s="326"/>
      <c r="E8833" s="326"/>
      <c r="F8833" s="326"/>
      <c r="G8833" s="326"/>
      <c r="H8833" s="326"/>
      <c r="P8833" s="318"/>
      <c r="Q8833" s="318"/>
      <c r="R8833" s="318"/>
      <c r="S8833" s="318"/>
      <c r="T8833" s="318"/>
      <c r="U8833" s="318"/>
      <c r="V8833" s="318"/>
      <c r="W8833" s="318"/>
      <c r="X8833" s="318"/>
      <c r="Y8833" s="318"/>
      <c r="Z8833" s="318"/>
      <c r="AA8833" s="318"/>
      <c r="AB8833" s="318"/>
      <c r="AC8833" s="318"/>
      <c r="AD8833" s="318"/>
    </row>
    <row r="8834" spans="2:30" s="323" customFormat="1" ht="12" customHeight="1">
      <c r="B8834" s="324"/>
      <c r="C8834" s="325"/>
      <c r="D8834" s="326"/>
      <c r="E8834" s="326"/>
      <c r="F8834" s="326"/>
      <c r="G8834" s="326"/>
      <c r="H8834" s="326"/>
      <c r="P8834" s="318"/>
      <c r="Q8834" s="318"/>
      <c r="R8834" s="318"/>
      <c r="S8834" s="318"/>
      <c r="T8834" s="318"/>
      <c r="U8834" s="318"/>
      <c r="V8834" s="318"/>
      <c r="W8834" s="318"/>
      <c r="X8834" s="318"/>
      <c r="Y8834" s="318"/>
      <c r="Z8834" s="318"/>
      <c r="AA8834" s="318"/>
      <c r="AB8834" s="318"/>
      <c r="AC8834" s="318"/>
      <c r="AD8834" s="318"/>
    </row>
    <row r="8835" spans="2:30" s="323" customFormat="1" ht="12" customHeight="1">
      <c r="B8835" s="324"/>
      <c r="C8835" s="325"/>
      <c r="D8835" s="326"/>
      <c r="E8835" s="326"/>
      <c r="F8835" s="326"/>
      <c r="G8835" s="326"/>
      <c r="H8835" s="326"/>
      <c r="P8835" s="318"/>
      <c r="Q8835" s="318"/>
      <c r="R8835" s="318"/>
      <c r="S8835" s="318"/>
      <c r="T8835" s="318"/>
      <c r="U8835" s="318"/>
      <c r="V8835" s="318"/>
      <c r="W8835" s="318"/>
      <c r="X8835" s="318"/>
      <c r="Y8835" s="318"/>
      <c r="Z8835" s="318"/>
      <c r="AA8835" s="318"/>
      <c r="AB8835" s="318"/>
      <c r="AC8835" s="318"/>
      <c r="AD8835" s="318"/>
    </row>
    <row r="8836" spans="2:30" s="323" customFormat="1" ht="12" customHeight="1">
      <c r="B8836" s="324"/>
      <c r="C8836" s="325"/>
      <c r="D8836" s="326"/>
      <c r="E8836" s="326"/>
      <c r="F8836" s="326"/>
      <c r="G8836" s="326"/>
      <c r="H8836" s="326"/>
      <c r="P8836" s="318"/>
      <c r="Q8836" s="318"/>
      <c r="R8836" s="318"/>
      <c r="S8836" s="318"/>
      <c r="T8836" s="318"/>
      <c r="U8836" s="318"/>
      <c r="V8836" s="318"/>
      <c r="W8836" s="318"/>
      <c r="X8836" s="318"/>
      <c r="Y8836" s="318"/>
      <c r="Z8836" s="318"/>
      <c r="AA8836" s="318"/>
      <c r="AB8836" s="318"/>
      <c r="AC8836" s="318"/>
      <c r="AD8836" s="318"/>
    </row>
    <row r="8837" spans="2:30" s="323" customFormat="1" ht="12" customHeight="1">
      <c r="B8837" s="324"/>
      <c r="C8837" s="325"/>
      <c r="D8837" s="326"/>
      <c r="E8837" s="326"/>
      <c r="F8837" s="326"/>
      <c r="G8837" s="326"/>
      <c r="H8837" s="326"/>
      <c r="P8837" s="318"/>
      <c r="Q8837" s="318"/>
      <c r="R8837" s="318"/>
      <c r="S8837" s="318"/>
      <c r="T8837" s="318"/>
      <c r="U8837" s="318"/>
      <c r="V8837" s="318"/>
      <c r="W8837" s="318"/>
      <c r="X8837" s="318"/>
      <c r="Y8837" s="318"/>
      <c r="Z8837" s="318"/>
      <c r="AA8837" s="318"/>
      <c r="AB8837" s="318"/>
      <c r="AC8837" s="318"/>
      <c r="AD8837" s="318"/>
    </row>
    <row r="8838" spans="2:30" s="323" customFormat="1" ht="12" customHeight="1">
      <c r="B8838" s="324"/>
      <c r="C8838" s="325"/>
      <c r="D8838" s="326"/>
      <c r="E8838" s="326"/>
      <c r="F8838" s="326"/>
      <c r="G8838" s="326"/>
      <c r="H8838" s="326"/>
      <c r="P8838" s="318"/>
      <c r="Q8838" s="318"/>
      <c r="R8838" s="318"/>
      <c r="S8838" s="318"/>
      <c r="T8838" s="318"/>
      <c r="U8838" s="318"/>
      <c r="V8838" s="318"/>
      <c r="W8838" s="318"/>
      <c r="X8838" s="318"/>
      <c r="Y8838" s="318"/>
      <c r="Z8838" s="318"/>
      <c r="AA8838" s="318"/>
      <c r="AB8838" s="318"/>
      <c r="AC8838" s="318"/>
      <c r="AD8838" s="318"/>
    </row>
    <row r="8839" spans="2:30" s="323" customFormat="1" ht="12" customHeight="1">
      <c r="B8839" s="324"/>
      <c r="C8839" s="325"/>
      <c r="D8839" s="326"/>
      <c r="E8839" s="326"/>
      <c r="F8839" s="326"/>
      <c r="G8839" s="326"/>
      <c r="H8839" s="326"/>
      <c r="P8839" s="318"/>
      <c r="Q8839" s="318"/>
      <c r="R8839" s="318"/>
      <c r="S8839" s="318"/>
      <c r="T8839" s="318"/>
      <c r="U8839" s="318"/>
      <c r="V8839" s="318"/>
      <c r="W8839" s="318"/>
      <c r="X8839" s="318"/>
      <c r="Y8839" s="318"/>
      <c r="Z8839" s="318"/>
      <c r="AA8839" s="318"/>
      <c r="AB8839" s="318"/>
      <c r="AC8839" s="318"/>
      <c r="AD8839" s="318"/>
    </row>
    <row r="8840" spans="2:30" s="323" customFormat="1" ht="12" customHeight="1">
      <c r="B8840" s="324"/>
      <c r="C8840" s="325"/>
      <c r="D8840" s="326"/>
      <c r="E8840" s="326"/>
      <c r="F8840" s="326"/>
      <c r="G8840" s="326"/>
      <c r="H8840" s="326"/>
      <c r="P8840" s="318"/>
      <c r="Q8840" s="318"/>
      <c r="R8840" s="318"/>
      <c r="S8840" s="318"/>
      <c r="T8840" s="318"/>
      <c r="U8840" s="318"/>
      <c r="V8840" s="318"/>
      <c r="W8840" s="318"/>
      <c r="X8840" s="318"/>
      <c r="Y8840" s="318"/>
      <c r="Z8840" s="318"/>
      <c r="AA8840" s="318"/>
      <c r="AB8840" s="318"/>
      <c r="AC8840" s="318"/>
      <c r="AD8840" s="318"/>
    </row>
    <row r="8841" spans="2:30" s="323" customFormat="1" ht="12" customHeight="1">
      <c r="B8841" s="324"/>
      <c r="C8841" s="325"/>
      <c r="D8841" s="326"/>
      <c r="E8841" s="326"/>
      <c r="F8841" s="326"/>
      <c r="G8841" s="326"/>
      <c r="H8841" s="326"/>
      <c r="P8841" s="318"/>
      <c r="Q8841" s="318"/>
      <c r="R8841" s="318"/>
      <c r="S8841" s="318"/>
      <c r="T8841" s="318"/>
      <c r="U8841" s="318"/>
      <c r="V8841" s="318"/>
      <c r="W8841" s="318"/>
      <c r="X8841" s="318"/>
      <c r="Y8841" s="318"/>
      <c r="Z8841" s="318"/>
      <c r="AA8841" s="318"/>
      <c r="AB8841" s="318"/>
      <c r="AC8841" s="318"/>
      <c r="AD8841" s="318"/>
    </row>
    <row r="8842" spans="2:30" s="323" customFormat="1" ht="12" customHeight="1">
      <c r="B8842" s="324"/>
      <c r="C8842" s="325"/>
      <c r="D8842" s="326"/>
      <c r="E8842" s="326"/>
      <c r="F8842" s="326"/>
      <c r="G8842" s="326"/>
      <c r="H8842" s="326"/>
      <c r="P8842" s="318"/>
      <c r="Q8842" s="318"/>
      <c r="R8842" s="318"/>
      <c r="S8842" s="318"/>
      <c r="T8842" s="318"/>
      <c r="U8842" s="318"/>
      <c r="V8842" s="318"/>
      <c r="W8842" s="318"/>
      <c r="X8842" s="318"/>
      <c r="Y8842" s="318"/>
      <c r="Z8842" s="318"/>
      <c r="AA8842" s="318"/>
      <c r="AB8842" s="318"/>
      <c r="AC8842" s="318"/>
      <c r="AD8842" s="318"/>
    </row>
    <row r="8843" spans="2:30" s="323" customFormat="1" ht="12" customHeight="1">
      <c r="B8843" s="324"/>
      <c r="C8843" s="325"/>
      <c r="D8843" s="326"/>
      <c r="E8843" s="326"/>
      <c r="F8843" s="326"/>
      <c r="G8843" s="326"/>
      <c r="H8843" s="326"/>
      <c r="P8843" s="318"/>
      <c r="Q8843" s="318"/>
      <c r="R8843" s="318"/>
      <c r="S8843" s="318"/>
      <c r="T8843" s="318"/>
      <c r="U8843" s="318"/>
      <c r="V8843" s="318"/>
      <c r="W8843" s="318"/>
      <c r="X8843" s="318"/>
      <c r="Y8843" s="318"/>
      <c r="Z8843" s="318"/>
      <c r="AA8843" s="318"/>
      <c r="AB8843" s="318"/>
      <c r="AC8843" s="318"/>
      <c r="AD8843" s="318"/>
    </row>
    <row r="8844" spans="2:30" s="323" customFormat="1" ht="12" customHeight="1">
      <c r="B8844" s="324"/>
      <c r="C8844" s="325"/>
      <c r="D8844" s="326"/>
      <c r="E8844" s="326"/>
      <c r="F8844" s="326"/>
      <c r="G8844" s="326"/>
      <c r="H8844" s="326"/>
      <c r="P8844" s="318"/>
      <c r="Q8844" s="318"/>
      <c r="R8844" s="318"/>
      <c r="S8844" s="318"/>
      <c r="T8844" s="318"/>
      <c r="U8844" s="318"/>
      <c r="V8844" s="318"/>
      <c r="W8844" s="318"/>
      <c r="X8844" s="318"/>
      <c r="Y8844" s="318"/>
      <c r="Z8844" s="318"/>
      <c r="AA8844" s="318"/>
      <c r="AB8844" s="318"/>
      <c r="AC8844" s="318"/>
      <c r="AD8844" s="318"/>
    </row>
    <row r="8845" spans="2:30" s="323" customFormat="1" ht="12" customHeight="1">
      <c r="B8845" s="324"/>
      <c r="C8845" s="325"/>
      <c r="D8845" s="326"/>
      <c r="E8845" s="326"/>
      <c r="F8845" s="326"/>
      <c r="G8845" s="326"/>
      <c r="H8845" s="326"/>
      <c r="P8845" s="318"/>
      <c r="Q8845" s="318"/>
      <c r="R8845" s="318"/>
      <c r="S8845" s="318"/>
      <c r="T8845" s="318"/>
      <c r="U8845" s="318"/>
      <c r="V8845" s="318"/>
      <c r="W8845" s="318"/>
      <c r="X8845" s="318"/>
      <c r="Y8845" s="318"/>
      <c r="Z8845" s="318"/>
      <c r="AA8845" s="318"/>
      <c r="AB8845" s="318"/>
      <c r="AC8845" s="318"/>
      <c r="AD8845" s="318"/>
    </row>
    <row r="8846" spans="2:30" s="323" customFormat="1" ht="12" customHeight="1">
      <c r="B8846" s="324"/>
      <c r="C8846" s="325"/>
      <c r="D8846" s="326"/>
      <c r="E8846" s="326"/>
      <c r="F8846" s="326"/>
      <c r="G8846" s="326"/>
      <c r="H8846" s="326"/>
      <c r="P8846" s="318"/>
      <c r="Q8846" s="318"/>
      <c r="R8846" s="318"/>
      <c r="S8846" s="318"/>
      <c r="T8846" s="318"/>
      <c r="U8846" s="318"/>
      <c r="V8846" s="318"/>
      <c r="W8846" s="318"/>
      <c r="X8846" s="318"/>
      <c r="Y8846" s="318"/>
      <c r="Z8846" s="318"/>
      <c r="AA8846" s="318"/>
      <c r="AB8846" s="318"/>
      <c r="AC8846" s="318"/>
      <c r="AD8846" s="318"/>
    </row>
    <row r="8847" spans="2:30" s="323" customFormat="1" ht="12" customHeight="1">
      <c r="B8847" s="324"/>
      <c r="C8847" s="325"/>
      <c r="D8847" s="326"/>
      <c r="E8847" s="326"/>
      <c r="F8847" s="326"/>
      <c r="G8847" s="326"/>
      <c r="H8847" s="326"/>
      <c r="P8847" s="318"/>
      <c r="Q8847" s="318"/>
      <c r="R8847" s="318"/>
      <c r="S8847" s="318"/>
      <c r="T8847" s="318"/>
      <c r="U8847" s="318"/>
      <c r="V8847" s="318"/>
      <c r="W8847" s="318"/>
      <c r="X8847" s="318"/>
      <c r="Y8847" s="318"/>
      <c r="Z8847" s="318"/>
      <c r="AA8847" s="318"/>
      <c r="AB8847" s="318"/>
      <c r="AC8847" s="318"/>
      <c r="AD8847" s="318"/>
    </row>
    <row r="8848" spans="2:30" s="323" customFormat="1" ht="12" customHeight="1">
      <c r="B8848" s="324"/>
      <c r="C8848" s="325"/>
      <c r="D8848" s="326"/>
      <c r="E8848" s="326"/>
      <c r="F8848" s="326"/>
      <c r="G8848" s="326"/>
      <c r="H8848" s="326"/>
      <c r="P8848" s="318"/>
      <c r="Q8848" s="318"/>
      <c r="R8848" s="318"/>
      <c r="S8848" s="318"/>
      <c r="T8848" s="318"/>
      <c r="U8848" s="318"/>
      <c r="V8848" s="318"/>
      <c r="W8848" s="318"/>
      <c r="X8848" s="318"/>
      <c r="Y8848" s="318"/>
      <c r="Z8848" s="318"/>
      <c r="AA8848" s="318"/>
      <c r="AB8848" s="318"/>
      <c r="AC8848" s="318"/>
      <c r="AD8848" s="318"/>
    </row>
    <row r="8849" spans="2:30" s="323" customFormat="1" ht="12" customHeight="1">
      <c r="B8849" s="324"/>
      <c r="C8849" s="325"/>
      <c r="D8849" s="326"/>
      <c r="E8849" s="326"/>
      <c r="F8849" s="326"/>
      <c r="G8849" s="326"/>
      <c r="H8849" s="326"/>
      <c r="P8849" s="318"/>
      <c r="Q8849" s="318"/>
      <c r="R8849" s="318"/>
      <c r="S8849" s="318"/>
      <c r="T8849" s="318"/>
      <c r="U8849" s="318"/>
      <c r="V8849" s="318"/>
      <c r="W8849" s="318"/>
      <c r="X8849" s="318"/>
      <c r="Y8849" s="318"/>
      <c r="Z8849" s="318"/>
      <c r="AA8849" s="318"/>
      <c r="AB8849" s="318"/>
      <c r="AC8849" s="318"/>
      <c r="AD8849" s="318"/>
    </row>
    <row r="8850" spans="2:30" s="323" customFormat="1" ht="12" customHeight="1">
      <c r="B8850" s="324"/>
      <c r="C8850" s="325"/>
      <c r="D8850" s="326"/>
      <c r="E8850" s="326"/>
      <c r="F8850" s="326"/>
      <c r="G8850" s="326"/>
      <c r="H8850" s="326"/>
      <c r="P8850" s="318"/>
      <c r="Q8850" s="318"/>
      <c r="R8850" s="318"/>
      <c r="S8850" s="318"/>
      <c r="T8850" s="318"/>
      <c r="U8850" s="318"/>
      <c r="V8850" s="318"/>
      <c r="W8850" s="318"/>
      <c r="X8850" s="318"/>
      <c r="Y8850" s="318"/>
      <c r="Z8850" s="318"/>
      <c r="AA8850" s="318"/>
      <c r="AB8850" s="318"/>
      <c r="AC8850" s="318"/>
      <c r="AD8850" s="318"/>
    </row>
    <row r="8851" spans="2:30" s="323" customFormat="1" ht="12" customHeight="1">
      <c r="B8851" s="324"/>
      <c r="C8851" s="325"/>
      <c r="D8851" s="326"/>
      <c r="E8851" s="326"/>
      <c r="F8851" s="326"/>
      <c r="G8851" s="326"/>
      <c r="H8851" s="326"/>
      <c r="P8851" s="318"/>
      <c r="Q8851" s="318"/>
      <c r="R8851" s="318"/>
      <c r="S8851" s="318"/>
      <c r="T8851" s="318"/>
      <c r="U8851" s="318"/>
      <c r="V8851" s="318"/>
      <c r="W8851" s="318"/>
      <c r="X8851" s="318"/>
      <c r="Y8851" s="318"/>
      <c r="Z8851" s="318"/>
      <c r="AA8851" s="318"/>
      <c r="AB8851" s="318"/>
      <c r="AC8851" s="318"/>
      <c r="AD8851" s="318"/>
    </row>
    <row r="8852" spans="2:30" s="323" customFormat="1" ht="12" customHeight="1">
      <c r="B8852" s="324"/>
      <c r="C8852" s="325"/>
      <c r="D8852" s="326"/>
      <c r="E8852" s="326"/>
      <c r="F8852" s="326"/>
      <c r="G8852" s="326"/>
      <c r="H8852" s="326"/>
      <c r="P8852" s="318"/>
      <c r="Q8852" s="318"/>
      <c r="R8852" s="318"/>
      <c r="S8852" s="318"/>
      <c r="T8852" s="318"/>
      <c r="U8852" s="318"/>
      <c r="V8852" s="318"/>
      <c r="W8852" s="318"/>
      <c r="X8852" s="318"/>
      <c r="Y8852" s="318"/>
      <c r="Z8852" s="318"/>
      <c r="AA8852" s="318"/>
      <c r="AB8852" s="318"/>
      <c r="AC8852" s="318"/>
      <c r="AD8852" s="318"/>
    </row>
    <row r="8853" spans="2:30" s="323" customFormat="1" ht="12" customHeight="1">
      <c r="B8853" s="324"/>
      <c r="C8853" s="325"/>
      <c r="D8853" s="326"/>
      <c r="E8853" s="326"/>
      <c r="F8853" s="326"/>
      <c r="G8853" s="326"/>
      <c r="H8853" s="326"/>
      <c r="P8853" s="318"/>
      <c r="Q8853" s="318"/>
      <c r="R8853" s="318"/>
      <c r="S8853" s="318"/>
      <c r="T8853" s="318"/>
      <c r="U8853" s="318"/>
      <c r="V8853" s="318"/>
      <c r="W8853" s="318"/>
      <c r="X8853" s="318"/>
      <c r="Y8853" s="318"/>
      <c r="Z8853" s="318"/>
      <c r="AA8853" s="318"/>
      <c r="AB8853" s="318"/>
      <c r="AC8853" s="318"/>
      <c r="AD8853" s="318"/>
    </row>
    <row r="8854" spans="2:30" s="323" customFormat="1" ht="12" customHeight="1">
      <c r="B8854" s="324"/>
      <c r="C8854" s="325"/>
      <c r="D8854" s="326"/>
      <c r="E8854" s="326"/>
      <c r="F8854" s="326"/>
      <c r="G8854" s="326"/>
      <c r="H8854" s="326"/>
      <c r="P8854" s="318"/>
      <c r="Q8854" s="318"/>
      <c r="R8854" s="318"/>
      <c r="S8854" s="318"/>
      <c r="T8854" s="318"/>
      <c r="U8854" s="318"/>
      <c r="V8854" s="318"/>
      <c r="W8854" s="318"/>
      <c r="X8854" s="318"/>
      <c r="Y8854" s="318"/>
      <c r="Z8854" s="318"/>
      <c r="AA8854" s="318"/>
      <c r="AB8854" s="318"/>
      <c r="AC8854" s="318"/>
      <c r="AD8854" s="318"/>
    </row>
    <row r="8855" spans="2:30" s="323" customFormat="1" ht="12" customHeight="1">
      <c r="B8855" s="324"/>
      <c r="C8855" s="325"/>
      <c r="D8855" s="326"/>
      <c r="E8855" s="326"/>
      <c r="F8855" s="326"/>
      <c r="G8855" s="326"/>
      <c r="H8855" s="326"/>
      <c r="P8855" s="318"/>
      <c r="Q8855" s="318"/>
      <c r="R8855" s="318"/>
      <c r="S8855" s="318"/>
      <c r="T8855" s="318"/>
      <c r="U8855" s="318"/>
      <c r="V8855" s="318"/>
      <c r="W8855" s="318"/>
      <c r="X8855" s="318"/>
      <c r="Y8855" s="318"/>
      <c r="Z8855" s="318"/>
      <c r="AA8855" s="318"/>
      <c r="AB8855" s="318"/>
      <c r="AC8855" s="318"/>
      <c r="AD8855" s="318"/>
    </row>
    <row r="8856" spans="2:30" s="323" customFormat="1" ht="12" customHeight="1">
      <c r="B8856" s="324"/>
      <c r="C8856" s="325"/>
      <c r="D8856" s="326"/>
      <c r="E8856" s="326"/>
      <c r="F8856" s="326"/>
      <c r="G8856" s="326"/>
      <c r="H8856" s="326"/>
      <c r="P8856" s="318"/>
      <c r="Q8856" s="318"/>
      <c r="R8856" s="318"/>
      <c r="S8856" s="318"/>
      <c r="T8856" s="318"/>
      <c r="U8856" s="318"/>
      <c r="V8856" s="318"/>
      <c r="W8856" s="318"/>
      <c r="X8856" s="318"/>
      <c r="Y8856" s="318"/>
      <c r="Z8856" s="318"/>
      <c r="AA8856" s="318"/>
      <c r="AB8856" s="318"/>
      <c r="AC8856" s="318"/>
      <c r="AD8856" s="318"/>
    </row>
    <row r="8857" spans="2:30" s="323" customFormat="1" ht="12" customHeight="1">
      <c r="B8857" s="324"/>
      <c r="C8857" s="325"/>
      <c r="D8857" s="326"/>
      <c r="E8857" s="326"/>
      <c r="F8857" s="326"/>
      <c r="G8857" s="326"/>
      <c r="H8857" s="326"/>
      <c r="P8857" s="318"/>
      <c r="Q8857" s="318"/>
      <c r="R8857" s="318"/>
      <c r="S8857" s="318"/>
      <c r="T8857" s="318"/>
      <c r="U8857" s="318"/>
      <c r="V8857" s="318"/>
      <c r="W8857" s="318"/>
      <c r="X8857" s="318"/>
      <c r="Y8857" s="318"/>
      <c r="Z8857" s="318"/>
      <c r="AA8857" s="318"/>
      <c r="AB8857" s="318"/>
      <c r="AC8857" s="318"/>
      <c r="AD8857" s="318"/>
    </row>
    <row r="8858" spans="2:30" s="323" customFormat="1" ht="12" customHeight="1">
      <c r="B8858" s="324"/>
      <c r="C8858" s="325"/>
      <c r="D8858" s="326"/>
      <c r="E8858" s="326"/>
      <c r="F8858" s="326"/>
      <c r="G8858" s="326"/>
      <c r="H8858" s="326"/>
      <c r="P8858" s="318"/>
      <c r="Q8858" s="318"/>
      <c r="R8858" s="318"/>
      <c r="S8858" s="318"/>
      <c r="T8858" s="318"/>
      <c r="U8858" s="318"/>
      <c r="V8858" s="318"/>
      <c r="W8858" s="318"/>
      <c r="X8858" s="318"/>
      <c r="Y8858" s="318"/>
      <c r="Z8858" s="318"/>
      <c r="AA8858" s="318"/>
      <c r="AB8858" s="318"/>
      <c r="AC8858" s="318"/>
      <c r="AD8858" s="318"/>
    </row>
    <row r="8859" spans="2:30" s="323" customFormat="1" ht="12" customHeight="1">
      <c r="B8859" s="324"/>
      <c r="C8859" s="325"/>
      <c r="D8859" s="326"/>
      <c r="E8859" s="326"/>
      <c r="F8859" s="326"/>
      <c r="G8859" s="326"/>
      <c r="H8859" s="326"/>
      <c r="P8859" s="318"/>
      <c r="Q8859" s="318"/>
      <c r="R8859" s="318"/>
      <c r="S8859" s="318"/>
      <c r="T8859" s="318"/>
      <c r="U8859" s="318"/>
      <c r="V8859" s="318"/>
      <c r="W8859" s="318"/>
      <c r="X8859" s="318"/>
      <c r="Y8859" s="318"/>
      <c r="Z8859" s="318"/>
      <c r="AA8859" s="318"/>
      <c r="AB8859" s="318"/>
      <c r="AC8859" s="318"/>
      <c r="AD8859" s="318"/>
    </row>
    <row r="8860" spans="2:30" s="323" customFormat="1" ht="12" customHeight="1">
      <c r="B8860" s="324"/>
      <c r="C8860" s="325"/>
      <c r="D8860" s="326"/>
      <c r="E8860" s="326"/>
      <c r="F8860" s="326"/>
      <c r="G8860" s="326"/>
      <c r="H8860" s="326"/>
      <c r="P8860" s="318"/>
      <c r="Q8860" s="318"/>
      <c r="R8860" s="318"/>
      <c r="S8860" s="318"/>
      <c r="T8860" s="318"/>
      <c r="U8860" s="318"/>
      <c r="V8860" s="318"/>
      <c r="W8860" s="318"/>
      <c r="X8860" s="318"/>
      <c r="Y8860" s="318"/>
      <c r="Z8860" s="318"/>
      <c r="AA8860" s="318"/>
      <c r="AB8860" s="318"/>
      <c r="AC8860" s="318"/>
      <c r="AD8860" s="318"/>
    </row>
    <row r="8861" spans="2:30" s="323" customFormat="1" ht="12" customHeight="1">
      <c r="B8861" s="324"/>
      <c r="C8861" s="325"/>
      <c r="D8861" s="326"/>
      <c r="E8861" s="326"/>
      <c r="F8861" s="326"/>
      <c r="G8861" s="326"/>
      <c r="H8861" s="326"/>
      <c r="P8861" s="318"/>
      <c r="Q8861" s="318"/>
      <c r="R8861" s="318"/>
      <c r="S8861" s="318"/>
      <c r="T8861" s="318"/>
      <c r="U8861" s="318"/>
      <c r="V8861" s="318"/>
      <c r="W8861" s="318"/>
      <c r="X8861" s="318"/>
      <c r="Y8861" s="318"/>
      <c r="Z8861" s="318"/>
      <c r="AA8861" s="318"/>
      <c r="AB8861" s="318"/>
      <c r="AC8861" s="318"/>
      <c r="AD8861" s="318"/>
    </row>
    <row r="8862" spans="2:30" s="323" customFormat="1" ht="12" customHeight="1">
      <c r="B8862" s="324"/>
      <c r="C8862" s="325"/>
      <c r="D8862" s="326"/>
      <c r="E8862" s="326"/>
      <c r="F8862" s="326"/>
      <c r="G8862" s="326"/>
      <c r="H8862" s="326"/>
      <c r="P8862" s="318"/>
      <c r="Q8862" s="318"/>
      <c r="R8862" s="318"/>
      <c r="S8862" s="318"/>
      <c r="T8862" s="318"/>
      <c r="U8862" s="318"/>
      <c r="V8862" s="318"/>
      <c r="W8862" s="318"/>
      <c r="X8862" s="318"/>
      <c r="Y8862" s="318"/>
      <c r="Z8862" s="318"/>
      <c r="AA8862" s="318"/>
      <c r="AB8862" s="318"/>
      <c r="AC8862" s="318"/>
      <c r="AD8862" s="318"/>
    </row>
    <row r="8863" spans="2:30" s="323" customFormat="1" ht="12" customHeight="1">
      <c r="B8863" s="324"/>
      <c r="C8863" s="325"/>
      <c r="D8863" s="326"/>
      <c r="E8863" s="326"/>
      <c r="F8863" s="326"/>
      <c r="G8863" s="326"/>
      <c r="H8863" s="326"/>
      <c r="P8863" s="318"/>
      <c r="Q8863" s="318"/>
      <c r="R8863" s="318"/>
      <c r="S8863" s="318"/>
      <c r="T8863" s="318"/>
      <c r="U8863" s="318"/>
      <c r="V8863" s="318"/>
      <c r="W8863" s="318"/>
      <c r="X8863" s="318"/>
      <c r="Y8863" s="318"/>
      <c r="Z8863" s="318"/>
      <c r="AA8863" s="318"/>
      <c r="AB8863" s="318"/>
      <c r="AC8863" s="318"/>
      <c r="AD8863" s="318"/>
    </row>
    <row r="8864" spans="2:30" s="323" customFormat="1" ht="12" customHeight="1">
      <c r="B8864" s="324"/>
      <c r="C8864" s="325"/>
      <c r="D8864" s="326"/>
      <c r="E8864" s="326"/>
      <c r="F8864" s="326"/>
      <c r="G8864" s="326"/>
      <c r="H8864" s="326"/>
      <c r="P8864" s="318"/>
      <c r="Q8864" s="318"/>
      <c r="R8864" s="318"/>
      <c r="S8864" s="318"/>
      <c r="T8864" s="318"/>
      <c r="U8864" s="318"/>
      <c r="V8864" s="318"/>
      <c r="W8864" s="318"/>
      <c r="X8864" s="318"/>
      <c r="Y8864" s="318"/>
      <c r="Z8864" s="318"/>
      <c r="AA8864" s="318"/>
      <c r="AB8864" s="318"/>
      <c r="AC8864" s="318"/>
      <c r="AD8864" s="318"/>
    </row>
    <row r="8865" spans="2:30" s="323" customFormat="1" ht="12" customHeight="1">
      <c r="B8865" s="324"/>
      <c r="C8865" s="325"/>
      <c r="D8865" s="326"/>
      <c r="E8865" s="326"/>
      <c r="F8865" s="326"/>
      <c r="G8865" s="326"/>
      <c r="H8865" s="326"/>
      <c r="P8865" s="318"/>
      <c r="Q8865" s="318"/>
      <c r="R8865" s="318"/>
      <c r="S8865" s="318"/>
      <c r="T8865" s="318"/>
      <c r="U8865" s="318"/>
      <c r="V8865" s="318"/>
      <c r="W8865" s="318"/>
      <c r="X8865" s="318"/>
      <c r="Y8865" s="318"/>
      <c r="Z8865" s="318"/>
      <c r="AA8865" s="318"/>
      <c r="AB8865" s="318"/>
      <c r="AC8865" s="318"/>
      <c r="AD8865" s="318"/>
    </row>
    <row r="8866" spans="2:30" s="323" customFormat="1" ht="12" customHeight="1">
      <c r="B8866" s="324"/>
      <c r="C8866" s="325"/>
      <c r="D8866" s="326"/>
      <c r="E8866" s="326"/>
      <c r="F8866" s="326"/>
      <c r="G8866" s="326"/>
      <c r="H8866" s="326"/>
      <c r="P8866" s="318"/>
      <c r="Q8866" s="318"/>
      <c r="R8866" s="318"/>
      <c r="S8866" s="318"/>
      <c r="T8866" s="318"/>
      <c r="U8866" s="318"/>
      <c r="V8866" s="318"/>
      <c r="W8866" s="318"/>
      <c r="X8866" s="318"/>
      <c r="Y8866" s="318"/>
      <c r="Z8866" s="318"/>
      <c r="AA8866" s="318"/>
      <c r="AB8866" s="318"/>
      <c r="AC8866" s="318"/>
      <c r="AD8866" s="318"/>
    </row>
    <row r="8867" spans="2:30" s="323" customFormat="1" ht="12" customHeight="1">
      <c r="B8867" s="324"/>
      <c r="C8867" s="325"/>
      <c r="D8867" s="326"/>
      <c r="E8867" s="326"/>
      <c r="F8867" s="326"/>
      <c r="G8867" s="326"/>
      <c r="H8867" s="326"/>
      <c r="P8867" s="318"/>
      <c r="Q8867" s="318"/>
      <c r="R8867" s="318"/>
      <c r="S8867" s="318"/>
      <c r="T8867" s="318"/>
      <c r="U8867" s="318"/>
      <c r="V8867" s="318"/>
      <c r="W8867" s="318"/>
      <c r="X8867" s="318"/>
      <c r="Y8867" s="318"/>
      <c r="Z8867" s="318"/>
      <c r="AA8867" s="318"/>
      <c r="AB8867" s="318"/>
      <c r="AC8867" s="318"/>
      <c r="AD8867" s="318"/>
    </row>
    <row r="8868" spans="2:30" s="323" customFormat="1" ht="12" customHeight="1">
      <c r="B8868" s="324"/>
      <c r="C8868" s="325"/>
      <c r="D8868" s="326"/>
      <c r="E8868" s="326"/>
      <c r="F8868" s="326"/>
      <c r="G8868" s="326"/>
      <c r="H8868" s="326"/>
      <c r="P8868" s="318"/>
      <c r="Q8868" s="318"/>
      <c r="R8868" s="318"/>
      <c r="S8868" s="318"/>
      <c r="T8868" s="318"/>
      <c r="U8868" s="318"/>
      <c r="V8868" s="318"/>
      <c r="W8868" s="318"/>
      <c r="X8868" s="318"/>
      <c r="Y8868" s="318"/>
      <c r="Z8868" s="318"/>
      <c r="AA8868" s="318"/>
      <c r="AB8868" s="318"/>
      <c r="AC8868" s="318"/>
      <c r="AD8868" s="318"/>
    </row>
    <row r="8869" spans="2:30" s="323" customFormat="1" ht="12" customHeight="1">
      <c r="B8869" s="324"/>
      <c r="C8869" s="325"/>
      <c r="D8869" s="326"/>
      <c r="E8869" s="326"/>
      <c r="F8869" s="326"/>
      <c r="G8869" s="326"/>
      <c r="H8869" s="326"/>
      <c r="P8869" s="318"/>
      <c r="Q8869" s="318"/>
      <c r="R8869" s="318"/>
      <c r="S8869" s="318"/>
      <c r="T8869" s="318"/>
      <c r="U8869" s="318"/>
      <c r="V8869" s="318"/>
      <c r="W8869" s="318"/>
      <c r="X8869" s="318"/>
      <c r="Y8869" s="318"/>
      <c r="Z8869" s="318"/>
      <c r="AA8869" s="318"/>
      <c r="AB8869" s="318"/>
      <c r="AC8869" s="318"/>
      <c r="AD8869" s="318"/>
    </row>
    <row r="8870" spans="2:30" s="323" customFormat="1" ht="12" customHeight="1">
      <c r="B8870" s="324"/>
      <c r="C8870" s="325"/>
      <c r="D8870" s="326"/>
      <c r="E8870" s="326"/>
      <c r="F8870" s="326"/>
      <c r="G8870" s="326"/>
      <c r="H8870" s="326"/>
      <c r="P8870" s="318"/>
      <c r="Q8870" s="318"/>
      <c r="R8870" s="318"/>
      <c r="S8870" s="318"/>
      <c r="T8870" s="318"/>
      <c r="U8870" s="318"/>
      <c r="V8870" s="318"/>
      <c r="W8870" s="318"/>
      <c r="X8870" s="318"/>
      <c r="Y8870" s="318"/>
      <c r="Z8870" s="318"/>
      <c r="AA8870" s="318"/>
      <c r="AB8870" s="318"/>
      <c r="AC8870" s="318"/>
      <c r="AD8870" s="318"/>
    </row>
    <row r="8871" spans="2:30" s="323" customFormat="1" ht="12" customHeight="1">
      <c r="B8871" s="324"/>
      <c r="C8871" s="325"/>
      <c r="D8871" s="326"/>
      <c r="E8871" s="326"/>
      <c r="F8871" s="326"/>
      <c r="G8871" s="326"/>
      <c r="H8871" s="326"/>
      <c r="P8871" s="318"/>
      <c r="Q8871" s="318"/>
      <c r="R8871" s="318"/>
      <c r="S8871" s="318"/>
      <c r="T8871" s="318"/>
      <c r="U8871" s="318"/>
      <c r="V8871" s="318"/>
      <c r="W8871" s="318"/>
      <c r="X8871" s="318"/>
      <c r="Y8871" s="318"/>
      <c r="Z8871" s="318"/>
      <c r="AA8871" s="318"/>
      <c r="AB8871" s="318"/>
      <c r="AC8871" s="318"/>
      <c r="AD8871" s="318"/>
    </row>
    <row r="8872" spans="2:30" s="323" customFormat="1" ht="12" customHeight="1">
      <c r="B8872" s="324"/>
      <c r="C8872" s="325"/>
      <c r="D8872" s="326"/>
      <c r="E8872" s="326"/>
      <c r="F8872" s="326"/>
      <c r="G8872" s="326"/>
      <c r="H8872" s="326"/>
      <c r="P8872" s="318"/>
      <c r="Q8872" s="318"/>
      <c r="R8872" s="318"/>
      <c r="S8872" s="318"/>
      <c r="T8872" s="318"/>
      <c r="U8872" s="318"/>
      <c r="V8872" s="318"/>
      <c r="W8872" s="318"/>
      <c r="X8872" s="318"/>
      <c r="Y8872" s="318"/>
      <c r="Z8872" s="318"/>
      <c r="AA8872" s="318"/>
      <c r="AB8872" s="318"/>
      <c r="AC8872" s="318"/>
      <c r="AD8872" s="318"/>
    </row>
    <row r="8873" spans="2:30" s="323" customFormat="1" ht="12" customHeight="1">
      <c r="B8873" s="324"/>
      <c r="C8873" s="325"/>
      <c r="D8873" s="326"/>
      <c r="E8873" s="326"/>
      <c r="F8873" s="326"/>
      <c r="G8873" s="326"/>
      <c r="H8873" s="326"/>
      <c r="P8873" s="318"/>
      <c r="Q8873" s="318"/>
      <c r="R8873" s="318"/>
      <c r="S8873" s="318"/>
      <c r="T8873" s="318"/>
      <c r="U8873" s="318"/>
      <c r="V8873" s="318"/>
      <c r="W8873" s="318"/>
      <c r="X8873" s="318"/>
      <c r="Y8873" s="318"/>
      <c r="Z8873" s="318"/>
      <c r="AA8873" s="318"/>
      <c r="AB8873" s="318"/>
      <c r="AC8873" s="318"/>
      <c r="AD8873" s="318"/>
    </row>
    <row r="8874" spans="2:30" s="323" customFormat="1" ht="12" customHeight="1">
      <c r="B8874" s="324"/>
      <c r="C8874" s="325"/>
      <c r="D8874" s="326"/>
      <c r="E8874" s="326"/>
      <c r="F8874" s="326"/>
      <c r="G8874" s="326"/>
      <c r="H8874" s="326"/>
      <c r="P8874" s="318"/>
      <c r="Q8874" s="318"/>
      <c r="R8874" s="318"/>
      <c r="S8874" s="318"/>
      <c r="T8874" s="318"/>
      <c r="U8874" s="318"/>
      <c r="V8874" s="318"/>
      <c r="W8874" s="318"/>
      <c r="X8874" s="318"/>
      <c r="Y8874" s="318"/>
      <c r="Z8874" s="318"/>
      <c r="AA8874" s="318"/>
      <c r="AB8874" s="318"/>
      <c r="AC8874" s="318"/>
      <c r="AD8874" s="318"/>
    </row>
    <row r="8875" spans="2:30" s="323" customFormat="1" ht="12" customHeight="1">
      <c r="B8875" s="324"/>
      <c r="C8875" s="325"/>
      <c r="D8875" s="326"/>
      <c r="E8875" s="326"/>
      <c r="F8875" s="326"/>
      <c r="G8875" s="326"/>
      <c r="H8875" s="326"/>
      <c r="P8875" s="318"/>
      <c r="Q8875" s="318"/>
      <c r="R8875" s="318"/>
      <c r="S8875" s="318"/>
      <c r="T8875" s="318"/>
      <c r="U8875" s="318"/>
      <c r="V8875" s="318"/>
      <c r="W8875" s="318"/>
      <c r="X8875" s="318"/>
      <c r="Y8875" s="318"/>
      <c r="Z8875" s="318"/>
      <c r="AA8875" s="318"/>
      <c r="AB8875" s="318"/>
      <c r="AC8875" s="318"/>
      <c r="AD8875" s="318"/>
    </row>
    <row r="8876" spans="2:30" s="323" customFormat="1" ht="12" customHeight="1">
      <c r="B8876" s="324"/>
      <c r="C8876" s="325"/>
      <c r="D8876" s="326"/>
      <c r="E8876" s="326"/>
      <c r="F8876" s="326"/>
      <c r="G8876" s="326"/>
      <c r="H8876" s="326"/>
      <c r="P8876" s="318"/>
      <c r="Q8876" s="318"/>
      <c r="R8876" s="318"/>
      <c r="S8876" s="318"/>
      <c r="T8876" s="318"/>
      <c r="U8876" s="318"/>
      <c r="V8876" s="318"/>
      <c r="W8876" s="318"/>
      <c r="X8876" s="318"/>
      <c r="Y8876" s="318"/>
      <c r="Z8876" s="318"/>
      <c r="AA8876" s="318"/>
      <c r="AB8876" s="318"/>
      <c r="AC8876" s="318"/>
      <c r="AD8876" s="318"/>
    </row>
    <row r="8877" spans="2:30" s="323" customFormat="1" ht="12" customHeight="1">
      <c r="B8877" s="324"/>
      <c r="C8877" s="325"/>
      <c r="D8877" s="326"/>
      <c r="E8877" s="326"/>
      <c r="F8877" s="326"/>
      <c r="G8877" s="326"/>
      <c r="H8877" s="326"/>
      <c r="P8877" s="318"/>
      <c r="Q8877" s="318"/>
      <c r="R8877" s="318"/>
      <c r="S8877" s="318"/>
      <c r="T8877" s="318"/>
      <c r="U8877" s="318"/>
      <c r="V8877" s="318"/>
      <c r="W8877" s="318"/>
      <c r="X8877" s="318"/>
      <c r="Y8877" s="318"/>
      <c r="Z8877" s="318"/>
      <c r="AA8877" s="318"/>
      <c r="AB8877" s="318"/>
      <c r="AC8877" s="318"/>
      <c r="AD8877" s="318"/>
    </row>
    <row r="8878" spans="2:30" s="323" customFormat="1" ht="12" customHeight="1">
      <c r="B8878" s="324"/>
      <c r="C8878" s="325"/>
      <c r="D8878" s="326"/>
      <c r="E8878" s="326"/>
      <c r="F8878" s="326"/>
      <c r="G8878" s="326"/>
      <c r="H8878" s="326"/>
      <c r="P8878" s="318"/>
      <c r="Q8878" s="318"/>
      <c r="R8878" s="318"/>
      <c r="S8878" s="318"/>
      <c r="T8878" s="318"/>
      <c r="U8878" s="318"/>
      <c r="V8878" s="318"/>
      <c r="W8878" s="318"/>
      <c r="X8878" s="318"/>
      <c r="Y8878" s="318"/>
      <c r="Z8878" s="318"/>
      <c r="AA8878" s="318"/>
      <c r="AB8878" s="318"/>
      <c r="AC8878" s="318"/>
      <c r="AD8878" s="318"/>
    </row>
    <row r="8879" spans="2:30" s="323" customFormat="1" ht="12" customHeight="1">
      <c r="B8879" s="324"/>
      <c r="C8879" s="325"/>
      <c r="D8879" s="326"/>
      <c r="E8879" s="326"/>
      <c r="F8879" s="326"/>
      <c r="G8879" s="326"/>
      <c r="H8879" s="326"/>
      <c r="P8879" s="318"/>
      <c r="Q8879" s="318"/>
      <c r="R8879" s="318"/>
      <c r="S8879" s="318"/>
      <c r="T8879" s="318"/>
      <c r="U8879" s="318"/>
      <c r="V8879" s="318"/>
      <c r="W8879" s="318"/>
      <c r="X8879" s="318"/>
      <c r="Y8879" s="318"/>
      <c r="Z8879" s="318"/>
      <c r="AA8879" s="318"/>
      <c r="AB8879" s="318"/>
      <c r="AC8879" s="318"/>
      <c r="AD8879" s="318"/>
    </row>
    <row r="8880" spans="2:30" s="323" customFormat="1" ht="12" customHeight="1">
      <c r="B8880" s="324"/>
      <c r="C8880" s="325"/>
      <c r="D8880" s="326"/>
      <c r="E8880" s="326"/>
      <c r="F8880" s="326"/>
      <c r="G8880" s="326"/>
      <c r="H8880" s="326"/>
      <c r="P8880" s="318"/>
      <c r="Q8880" s="318"/>
      <c r="R8880" s="318"/>
      <c r="S8880" s="318"/>
      <c r="T8880" s="318"/>
      <c r="U8880" s="318"/>
      <c r="V8880" s="318"/>
      <c r="W8880" s="318"/>
      <c r="X8880" s="318"/>
      <c r="Y8880" s="318"/>
      <c r="Z8880" s="318"/>
      <c r="AA8880" s="318"/>
      <c r="AB8880" s="318"/>
      <c r="AC8880" s="318"/>
      <c r="AD8880" s="318"/>
    </row>
    <row r="8881" spans="2:30" s="323" customFormat="1" ht="12" customHeight="1">
      <c r="B8881" s="324"/>
      <c r="C8881" s="325"/>
      <c r="D8881" s="326"/>
      <c r="E8881" s="326"/>
      <c r="F8881" s="326"/>
      <c r="G8881" s="326"/>
      <c r="H8881" s="326"/>
      <c r="P8881" s="318"/>
      <c r="Q8881" s="318"/>
      <c r="R8881" s="318"/>
      <c r="S8881" s="318"/>
      <c r="T8881" s="318"/>
      <c r="U8881" s="318"/>
      <c r="V8881" s="318"/>
      <c r="W8881" s="318"/>
      <c r="X8881" s="318"/>
      <c r="Y8881" s="318"/>
      <c r="Z8881" s="318"/>
      <c r="AA8881" s="318"/>
      <c r="AB8881" s="318"/>
      <c r="AC8881" s="318"/>
      <c r="AD8881" s="318"/>
    </row>
    <row r="8882" spans="2:30" s="323" customFormat="1" ht="12" customHeight="1">
      <c r="B8882" s="324"/>
      <c r="C8882" s="325"/>
      <c r="D8882" s="326"/>
      <c r="E8882" s="326"/>
      <c r="F8882" s="326"/>
      <c r="G8882" s="326"/>
      <c r="H8882" s="326"/>
      <c r="P8882" s="318"/>
      <c r="Q8882" s="318"/>
      <c r="R8882" s="318"/>
      <c r="S8882" s="318"/>
      <c r="T8882" s="318"/>
      <c r="U8882" s="318"/>
      <c r="V8882" s="318"/>
      <c r="W8882" s="318"/>
      <c r="X8882" s="318"/>
      <c r="Y8882" s="318"/>
      <c r="Z8882" s="318"/>
      <c r="AA8882" s="318"/>
      <c r="AB8882" s="318"/>
      <c r="AC8882" s="318"/>
      <c r="AD8882" s="318"/>
    </row>
    <row r="8883" spans="2:30" s="323" customFormat="1" ht="12" customHeight="1">
      <c r="B8883" s="324"/>
      <c r="C8883" s="325"/>
      <c r="D8883" s="326"/>
      <c r="E8883" s="326"/>
      <c r="F8883" s="326"/>
      <c r="G8883" s="326"/>
      <c r="H8883" s="326"/>
      <c r="P8883" s="318"/>
      <c r="Q8883" s="318"/>
      <c r="R8883" s="318"/>
      <c r="S8883" s="318"/>
      <c r="T8883" s="318"/>
      <c r="U8883" s="318"/>
      <c r="V8883" s="318"/>
      <c r="W8883" s="318"/>
      <c r="X8883" s="318"/>
      <c r="Y8883" s="318"/>
      <c r="Z8883" s="318"/>
      <c r="AA8883" s="318"/>
      <c r="AB8883" s="318"/>
      <c r="AC8883" s="318"/>
      <c r="AD8883" s="318"/>
    </row>
    <row r="8884" spans="2:30" s="323" customFormat="1" ht="12" customHeight="1">
      <c r="B8884" s="324"/>
      <c r="C8884" s="325"/>
      <c r="D8884" s="326"/>
      <c r="E8884" s="326"/>
      <c r="F8884" s="326"/>
      <c r="G8884" s="326"/>
      <c r="H8884" s="326"/>
      <c r="P8884" s="318"/>
      <c r="Q8884" s="318"/>
      <c r="R8884" s="318"/>
      <c r="S8884" s="318"/>
      <c r="T8884" s="318"/>
      <c r="U8884" s="318"/>
      <c r="V8884" s="318"/>
      <c r="W8884" s="318"/>
      <c r="X8884" s="318"/>
      <c r="Y8884" s="318"/>
      <c r="Z8884" s="318"/>
      <c r="AA8884" s="318"/>
      <c r="AB8884" s="318"/>
      <c r="AC8884" s="318"/>
      <c r="AD8884" s="318"/>
    </row>
    <row r="8885" spans="2:30" s="323" customFormat="1" ht="12" customHeight="1">
      <c r="B8885" s="324"/>
      <c r="C8885" s="325"/>
      <c r="D8885" s="326"/>
      <c r="E8885" s="326"/>
      <c r="F8885" s="326"/>
      <c r="G8885" s="326"/>
      <c r="H8885" s="326"/>
      <c r="P8885" s="318"/>
      <c r="Q8885" s="318"/>
      <c r="R8885" s="318"/>
      <c r="S8885" s="318"/>
      <c r="T8885" s="318"/>
      <c r="U8885" s="318"/>
      <c r="V8885" s="318"/>
      <c r="W8885" s="318"/>
      <c r="X8885" s="318"/>
      <c r="Y8885" s="318"/>
      <c r="Z8885" s="318"/>
      <c r="AA8885" s="318"/>
      <c r="AB8885" s="318"/>
      <c r="AC8885" s="318"/>
      <c r="AD8885" s="318"/>
    </row>
    <row r="8886" spans="2:30" s="323" customFormat="1" ht="12" customHeight="1">
      <c r="B8886" s="324"/>
      <c r="C8886" s="325"/>
      <c r="D8886" s="326"/>
      <c r="E8886" s="326"/>
      <c r="F8886" s="326"/>
      <c r="G8886" s="326"/>
      <c r="H8886" s="326"/>
      <c r="P8886" s="318"/>
      <c r="Q8886" s="318"/>
      <c r="R8886" s="318"/>
      <c r="S8886" s="318"/>
      <c r="T8886" s="318"/>
      <c r="U8886" s="318"/>
      <c r="V8886" s="318"/>
      <c r="W8886" s="318"/>
      <c r="X8886" s="318"/>
      <c r="Y8886" s="318"/>
      <c r="Z8886" s="318"/>
      <c r="AA8886" s="318"/>
      <c r="AB8886" s="318"/>
      <c r="AC8886" s="318"/>
      <c r="AD8886" s="318"/>
    </row>
    <row r="8887" spans="2:30" s="323" customFormat="1" ht="12" customHeight="1">
      <c r="B8887" s="324"/>
      <c r="C8887" s="325"/>
      <c r="D8887" s="326"/>
      <c r="E8887" s="326"/>
      <c r="F8887" s="326"/>
      <c r="G8887" s="326"/>
      <c r="H8887" s="326"/>
      <c r="P8887" s="318"/>
      <c r="Q8887" s="318"/>
      <c r="R8887" s="318"/>
      <c r="S8887" s="318"/>
      <c r="T8887" s="318"/>
      <c r="U8887" s="318"/>
      <c r="V8887" s="318"/>
      <c r="W8887" s="318"/>
      <c r="X8887" s="318"/>
      <c r="Y8887" s="318"/>
      <c r="Z8887" s="318"/>
      <c r="AA8887" s="318"/>
      <c r="AB8887" s="318"/>
      <c r="AC8887" s="318"/>
      <c r="AD8887" s="318"/>
    </row>
    <row r="8888" spans="2:30" s="323" customFormat="1" ht="12" customHeight="1">
      <c r="B8888" s="324"/>
      <c r="C8888" s="325"/>
      <c r="D8888" s="326"/>
      <c r="E8888" s="326"/>
      <c r="F8888" s="326"/>
      <c r="G8888" s="326"/>
      <c r="H8888" s="326"/>
      <c r="P8888" s="318"/>
      <c r="Q8888" s="318"/>
      <c r="R8888" s="318"/>
      <c r="S8888" s="318"/>
      <c r="T8888" s="318"/>
      <c r="U8888" s="318"/>
      <c r="V8888" s="318"/>
      <c r="W8888" s="318"/>
      <c r="X8888" s="318"/>
      <c r="Y8888" s="318"/>
      <c r="Z8888" s="318"/>
      <c r="AA8888" s="318"/>
      <c r="AB8888" s="318"/>
      <c r="AC8888" s="318"/>
      <c r="AD8888" s="318"/>
    </row>
    <row r="8889" spans="2:30" s="323" customFormat="1" ht="12" customHeight="1">
      <c r="B8889" s="324"/>
      <c r="C8889" s="325"/>
      <c r="D8889" s="326"/>
      <c r="E8889" s="326"/>
      <c r="F8889" s="326"/>
      <c r="G8889" s="326"/>
      <c r="H8889" s="326"/>
      <c r="P8889" s="318"/>
      <c r="Q8889" s="318"/>
      <c r="R8889" s="318"/>
      <c r="S8889" s="318"/>
      <c r="T8889" s="318"/>
      <c r="U8889" s="318"/>
      <c r="V8889" s="318"/>
      <c r="W8889" s="318"/>
      <c r="X8889" s="318"/>
      <c r="Y8889" s="318"/>
      <c r="Z8889" s="318"/>
      <c r="AA8889" s="318"/>
      <c r="AB8889" s="318"/>
      <c r="AC8889" s="318"/>
      <c r="AD8889" s="318"/>
    </row>
    <row r="8890" spans="2:30" s="323" customFormat="1" ht="12" customHeight="1">
      <c r="B8890" s="324"/>
      <c r="C8890" s="325"/>
      <c r="D8890" s="326"/>
      <c r="E8890" s="326"/>
      <c r="F8890" s="326"/>
      <c r="G8890" s="326"/>
      <c r="H8890" s="326"/>
      <c r="P8890" s="318"/>
      <c r="Q8890" s="318"/>
      <c r="R8890" s="318"/>
      <c r="S8890" s="318"/>
      <c r="T8890" s="318"/>
      <c r="U8890" s="318"/>
      <c r="V8890" s="318"/>
      <c r="W8890" s="318"/>
      <c r="X8890" s="318"/>
      <c r="Y8890" s="318"/>
      <c r="Z8890" s="318"/>
      <c r="AA8890" s="318"/>
      <c r="AB8890" s="318"/>
      <c r="AC8890" s="318"/>
      <c r="AD8890" s="318"/>
    </row>
    <row r="8891" spans="2:30" s="323" customFormat="1" ht="12" customHeight="1">
      <c r="B8891" s="324"/>
      <c r="C8891" s="325"/>
      <c r="D8891" s="326"/>
      <c r="E8891" s="326"/>
      <c r="F8891" s="326"/>
      <c r="G8891" s="326"/>
      <c r="H8891" s="326"/>
      <c r="P8891" s="318"/>
      <c r="Q8891" s="318"/>
      <c r="R8891" s="318"/>
      <c r="S8891" s="318"/>
      <c r="T8891" s="318"/>
      <c r="U8891" s="318"/>
      <c r="V8891" s="318"/>
      <c r="W8891" s="318"/>
      <c r="X8891" s="318"/>
      <c r="Y8891" s="318"/>
      <c r="Z8891" s="318"/>
      <c r="AA8891" s="318"/>
      <c r="AB8891" s="318"/>
      <c r="AC8891" s="318"/>
      <c r="AD8891" s="318"/>
    </row>
    <row r="8892" spans="2:30" s="323" customFormat="1" ht="12" customHeight="1">
      <c r="B8892" s="324"/>
      <c r="C8892" s="325"/>
      <c r="D8892" s="326"/>
      <c r="E8892" s="326"/>
      <c r="F8892" s="326"/>
      <c r="G8892" s="326"/>
      <c r="H8892" s="326"/>
      <c r="P8892" s="318"/>
      <c r="Q8892" s="318"/>
      <c r="R8892" s="318"/>
      <c r="S8892" s="318"/>
      <c r="T8892" s="318"/>
      <c r="U8892" s="318"/>
      <c r="V8892" s="318"/>
      <c r="W8892" s="318"/>
      <c r="X8892" s="318"/>
      <c r="Y8892" s="318"/>
      <c r="Z8892" s="318"/>
      <c r="AA8892" s="318"/>
      <c r="AB8892" s="318"/>
      <c r="AC8892" s="318"/>
      <c r="AD8892" s="318"/>
    </row>
    <row r="8893" spans="2:30" s="323" customFormat="1" ht="12" customHeight="1">
      <c r="B8893" s="324"/>
      <c r="C8893" s="325"/>
      <c r="D8893" s="326"/>
      <c r="E8893" s="326"/>
      <c r="F8893" s="326"/>
      <c r="G8893" s="326"/>
      <c r="H8893" s="326"/>
      <c r="P8893" s="318"/>
      <c r="Q8893" s="318"/>
      <c r="R8893" s="318"/>
      <c r="S8893" s="318"/>
      <c r="T8893" s="318"/>
      <c r="U8893" s="318"/>
      <c r="V8893" s="318"/>
      <c r="W8893" s="318"/>
      <c r="X8893" s="318"/>
      <c r="Y8893" s="318"/>
      <c r="Z8893" s="318"/>
      <c r="AA8893" s="318"/>
      <c r="AB8893" s="318"/>
      <c r="AC8893" s="318"/>
      <c r="AD8893" s="318"/>
    </row>
    <row r="8894" spans="2:30" s="323" customFormat="1" ht="12" customHeight="1">
      <c r="B8894" s="324"/>
      <c r="C8894" s="325"/>
      <c r="D8894" s="326"/>
      <c r="E8894" s="326"/>
      <c r="F8894" s="326"/>
      <c r="G8894" s="326"/>
      <c r="H8894" s="326"/>
      <c r="P8894" s="318"/>
      <c r="Q8894" s="318"/>
      <c r="R8894" s="318"/>
      <c r="S8894" s="318"/>
      <c r="T8894" s="318"/>
      <c r="U8894" s="318"/>
      <c r="V8894" s="318"/>
      <c r="W8894" s="318"/>
      <c r="X8894" s="318"/>
      <c r="Y8894" s="318"/>
      <c r="Z8894" s="318"/>
      <c r="AA8894" s="318"/>
      <c r="AB8894" s="318"/>
      <c r="AC8894" s="318"/>
      <c r="AD8894" s="318"/>
    </row>
    <row r="8895" spans="2:30" s="323" customFormat="1" ht="12" customHeight="1">
      <c r="B8895" s="324"/>
      <c r="C8895" s="325"/>
      <c r="D8895" s="326"/>
      <c r="E8895" s="326"/>
      <c r="F8895" s="326"/>
      <c r="G8895" s="326"/>
      <c r="H8895" s="326"/>
      <c r="P8895" s="318"/>
      <c r="Q8895" s="318"/>
      <c r="R8895" s="318"/>
      <c r="S8895" s="318"/>
      <c r="T8895" s="318"/>
      <c r="U8895" s="318"/>
      <c r="V8895" s="318"/>
      <c r="W8895" s="318"/>
      <c r="X8895" s="318"/>
      <c r="Y8895" s="318"/>
      <c r="Z8895" s="318"/>
      <c r="AA8895" s="318"/>
      <c r="AB8895" s="318"/>
      <c r="AC8895" s="318"/>
      <c r="AD8895" s="318"/>
    </row>
    <row r="8896" spans="2:30" s="323" customFormat="1" ht="12" customHeight="1">
      <c r="B8896" s="324"/>
      <c r="C8896" s="325"/>
      <c r="D8896" s="326"/>
      <c r="E8896" s="326"/>
      <c r="F8896" s="326"/>
      <c r="G8896" s="326"/>
      <c r="H8896" s="326"/>
      <c r="P8896" s="318"/>
      <c r="Q8896" s="318"/>
      <c r="R8896" s="318"/>
      <c r="S8896" s="318"/>
      <c r="T8896" s="318"/>
      <c r="U8896" s="318"/>
      <c r="V8896" s="318"/>
      <c r="W8896" s="318"/>
      <c r="X8896" s="318"/>
      <c r="Y8896" s="318"/>
      <c r="Z8896" s="318"/>
      <c r="AA8896" s="318"/>
      <c r="AB8896" s="318"/>
      <c r="AC8896" s="318"/>
      <c r="AD8896" s="318"/>
    </row>
    <row r="8897" spans="2:30" s="323" customFormat="1" ht="12" customHeight="1">
      <c r="B8897" s="324"/>
      <c r="C8897" s="325"/>
      <c r="D8897" s="326"/>
      <c r="E8897" s="326"/>
      <c r="F8897" s="326"/>
      <c r="G8897" s="326"/>
      <c r="H8897" s="326"/>
      <c r="P8897" s="318"/>
      <c r="Q8897" s="318"/>
      <c r="R8897" s="318"/>
      <c r="S8897" s="318"/>
      <c r="T8897" s="318"/>
      <c r="U8897" s="318"/>
      <c r="V8897" s="318"/>
      <c r="W8897" s="318"/>
      <c r="X8897" s="318"/>
      <c r="Y8897" s="318"/>
      <c r="Z8897" s="318"/>
      <c r="AA8897" s="318"/>
      <c r="AB8897" s="318"/>
      <c r="AC8897" s="318"/>
      <c r="AD8897" s="318"/>
    </row>
    <row r="8898" spans="2:30" s="323" customFormat="1" ht="12" customHeight="1">
      <c r="B8898" s="324"/>
      <c r="C8898" s="325"/>
      <c r="D8898" s="326"/>
      <c r="E8898" s="326"/>
      <c r="F8898" s="326"/>
      <c r="G8898" s="326"/>
      <c r="H8898" s="326"/>
      <c r="P8898" s="318"/>
      <c r="Q8898" s="318"/>
      <c r="R8898" s="318"/>
      <c r="S8898" s="318"/>
      <c r="T8898" s="318"/>
      <c r="U8898" s="318"/>
      <c r="V8898" s="318"/>
      <c r="W8898" s="318"/>
      <c r="X8898" s="318"/>
      <c r="Y8898" s="318"/>
      <c r="Z8898" s="318"/>
      <c r="AA8898" s="318"/>
      <c r="AB8898" s="318"/>
      <c r="AC8898" s="318"/>
      <c r="AD8898" s="318"/>
    </row>
    <row r="8899" spans="2:30" s="323" customFormat="1" ht="12" customHeight="1">
      <c r="B8899" s="324"/>
      <c r="C8899" s="325"/>
      <c r="D8899" s="326"/>
      <c r="E8899" s="326"/>
      <c r="F8899" s="326"/>
      <c r="G8899" s="326"/>
      <c r="H8899" s="326"/>
      <c r="P8899" s="318"/>
      <c r="Q8899" s="318"/>
      <c r="R8899" s="318"/>
      <c r="S8899" s="318"/>
      <c r="T8899" s="318"/>
      <c r="U8899" s="318"/>
      <c r="V8899" s="318"/>
      <c r="W8899" s="318"/>
      <c r="X8899" s="318"/>
      <c r="Y8899" s="318"/>
      <c r="Z8899" s="318"/>
      <c r="AA8899" s="318"/>
      <c r="AB8899" s="318"/>
      <c r="AC8899" s="318"/>
      <c r="AD8899" s="318"/>
    </row>
    <row r="8900" spans="2:30" s="323" customFormat="1" ht="12" customHeight="1">
      <c r="B8900" s="324"/>
      <c r="C8900" s="325"/>
      <c r="D8900" s="326"/>
      <c r="E8900" s="326"/>
      <c r="F8900" s="326"/>
      <c r="G8900" s="326"/>
      <c r="H8900" s="326"/>
      <c r="P8900" s="318"/>
      <c r="Q8900" s="318"/>
      <c r="R8900" s="318"/>
      <c r="S8900" s="318"/>
      <c r="T8900" s="318"/>
      <c r="U8900" s="318"/>
      <c r="V8900" s="318"/>
      <c r="W8900" s="318"/>
      <c r="X8900" s="318"/>
      <c r="Y8900" s="318"/>
      <c r="Z8900" s="318"/>
      <c r="AA8900" s="318"/>
      <c r="AB8900" s="318"/>
      <c r="AC8900" s="318"/>
      <c r="AD8900" s="318"/>
    </row>
    <row r="8901" spans="2:30" s="323" customFormat="1" ht="12" customHeight="1">
      <c r="B8901" s="324"/>
      <c r="C8901" s="325"/>
      <c r="D8901" s="326"/>
      <c r="E8901" s="326"/>
      <c r="F8901" s="326"/>
      <c r="G8901" s="326"/>
      <c r="H8901" s="326"/>
      <c r="P8901" s="318"/>
      <c r="Q8901" s="318"/>
      <c r="R8901" s="318"/>
      <c r="S8901" s="318"/>
      <c r="T8901" s="318"/>
      <c r="U8901" s="318"/>
      <c r="V8901" s="318"/>
      <c r="W8901" s="318"/>
      <c r="X8901" s="318"/>
      <c r="Y8901" s="318"/>
      <c r="Z8901" s="318"/>
      <c r="AA8901" s="318"/>
      <c r="AB8901" s="318"/>
      <c r="AC8901" s="318"/>
      <c r="AD8901" s="318"/>
    </row>
    <row r="8902" spans="2:30" s="323" customFormat="1" ht="12" customHeight="1">
      <c r="B8902" s="324"/>
      <c r="C8902" s="325"/>
      <c r="D8902" s="326"/>
      <c r="E8902" s="326"/>
      <c r="F8902" s="326"/>
      <c r="G8902" s="326"/>
      <c r="H8902" s="326"/>
      <c r="P8902" s="318"/>
      <c r="Q8902" s="318"/>
      <c r="R8902" s="318"/>
      <c r="S8902" s="318"/>
      <c r="T8902" s="318"/>
      <c r="U8902" s="318"/>
      <c r="V8902" s="318"/>
      <c r="W8902" s="318"/>
      <c r="X8902" s="318"/>
      <c r="Y8902" s="318"/>
      <c r="Z8902" s="318"/>
      <c r="AA8902" s="318"/>
      <c r="AB8902" s="318"/>
      <c r="AC8902" s="318"/>
      <c r="AD8902" s="318"/>
    </row>
    <row r="8903" spans="2:30" s="323" customFormat="1" ht="12" customHeight="1">
      <c r="B8903" s="324"/>
      <c r="C8903" s="325"/>
      <c r="D8903" s="326"/>
      <c r="E8903" s="326"/>
      <c r="F8903" s="326"/>
      <c r="G8903" s="326"/>
      <c r="H8903" s="326"/>
      <c r="P8903" s="318"/>
      <c r="Q8903" s="318"/>
      <c r="R8903" s="318"/>
      <c r="S8903" s="318"/>
      <c r="T8903" s="318"/>
      <c r="U8903" s="318"/>
      <c r="V8903" s="318"/>
      <c r="W8903" s="318"/>
      <c r="X8903" s="318"/>
      <c r="Y8903" s="318"/>
      <c r="Z8903" s="318"/>
      <c r="AA8903" s="318"/>
      <c r="AB8903" s="318"/>
      <c r="AC8903" s="318"/>
      <c r="AD8903" s="318"/>
    </row>
    <row r="8904" spans="2:30" s="323" customFormat="1" ht="12" customHeight="1">
      <c r="B8904" s="324"/>
      <c r="C8904" s="325"/>
      <c r="D8904" s="326"/>
      <c r="E8904" s="326"/>
      <c r="F8904" s="326"/>
      <c r="G8904" s="326"/>
      <c r="H8904" s="326"/>
      <c r="P8904" s="318"/>
      <c r="Q8904" s="318"/>
      <c r="R8904" s="318"/>
      <c r="S8904" s="318"/>
      <c r="T8904" s="318"/>
      <c r="U8904" s="318"/>
      <c r="V8904" s="318"/>
      <c r="W8904" s="318"/>
      <c r="X8904" s="318"/>
      <c r="Y8904" s="318"/>
      <c r="Z8904" s="318"/>
      <c r="AA8904" s="318"/>
      <c r="AB8904" s="318"/>
      <c r="AC8904" s="318"/>
      <c r="AD8904" s="318"/>
    </row>
    <row r="8905" spans="2:30" s="323" customFormat="1" ht="12" customHeight="1">
      <c r="B8905" s="324"/>
      <c r="C8905" s="325"/>
      <c r="D8905" s="326"/>
      <c r="E8905" s="326"/>
      <c r="F8905" s="326"/>
      <c r="G8905" s="326"/>
      <c r="H8905" s="326"/>
      <c r="P8905" s="318"/>
      <c r="Q8905" s="318"/>
      <c r="R8905" s="318"/>
      <c r="S8905" s="318"/>
      <c r="T8905" s="318"/>
      <c r="U8905" s="318"/>
      <c r="V8905" s="318"/>
      <c r="W8905" s="318"/>
      <c r="X8905" s="318"/>
      <c r="Y8905" s="318"/>
      <c r="Z8905" s="318"/>
      <c r="AA8905" s="318"/>
      <c r="AB8905" s="318"/>
      <c r="AC8905" s="318"/>
      <c r="AD8905" s="318"/>
    </row>
    <row r="8906" spans="2:30" s="323" customFormat="1" ht="12" customHeight="1">
      <c r="B8906" s="324"/>
      <c r="C8906" s="325"/>
      <c r="D8906" s="326"/>
      <c r="E8906" s="326"/>
      <c r="F8906" s="326"/>
      <c r="G8906" s="326"/>
      <c r="H8906" s="326"/>
      <c r="P8906" s="318"/>
      <c r="Q8906" s="318"/>
      <c r="R8906" s="318"/>
      <c r="S8906" s="318"/>
      <c r="T8906" s="318"/>
      <c r="U8906" s="318"/>
      <c r="V8906" s="318"/>
      <c r="W8906" s="318"/>
      <c r="X8906" s="318"/>
      <c r="Y8906" s="318"/>
      <c r="Z8906" s="318"/>
      <c r="AA8906" s="318"/>
      <c r="AB8906" s="318"/>
      <c r="AC8906" s="318"/>
      <c r="AD8906" s="318"/>
    </row>
    <row r="8907" spans="2:30" s="323" customFormat="1" ht="12" customHeight="1">
      <c r="B8907" s="324"/>
      <c r="C8907" s="325"/>
      <c r="D8907" s="326"/>
      <c r="E8907" s="326"/>
      <c r="F8907" s="326"/>
      <c r="G8907" s="326"/>
      <c r="H8907" s="326"/>
      <c r="P8907" s="318"/>
      <c r="Q8907" s="318"/>
      <c r="R8907" s="318"/>
      <c r="S8907" s="318"/>
      <c r="T8907" s="318"/>
      <c r="U8907" s="318"/>
      <c r="V8907" s="318"/>
      <c r="W8907" s="318"/>
      <c r="X8907" s="318"/>
      <c r="Y8907" s="318"/>
      <c r="Z8907" s="318"/>
      <c r="AA8907" s="318"/>
      <c r="AB8907" s="318"/>
      <c r="AC8907" s="318"/>
      <c r="AD8907" s="318"/>
    </row>
    <row r="8908" spans="2:30" s="323" customFormat="1" ht="12" customHeight="1">
      <c r="B8908" s="324"/>
      <c r="C8908" s="325"/>
      <c r="D8908" s="326"/>
      <c r="E8908" s="326"/>
      <c r="F8908" s="326"/>
      <c r="G8908" s="326"/>
      <c r="H8908" s="326"/>
      <c r="P8908" s="318"/>
      <c r="Q8908" s="318"/>
      <c r="R8908" s="318"/>
      <c r="S8908" s="318"/>
      <c r="T8908" s="318"/>
      <c r="U8908" s="318"/>
      <c r="V8908" s="318"/>
      <c r="W8908" s="318"/>
      <c r="X8908" s="318"/>
      <c r="Y8908" s="318"/>
      <c r="Z8908" s="318"/>
      <c r="AA8908" s="318"/>
      <c r="AB8908" s="318"/>
      <c r="AC8908" s="318"/>
      <c r="AD8908" s="318"/>
    </row>
    <row r="8909" spans="2:30" s="323" customFormat="1" ht="12" customHeight="1">
      <c r="B8909" s="324"/>
      <c r="C8909" s="325"/>
      <c r="D8909" s="326"/>
      <c r="E8909" s="326"/>
      <c r="F8909" s="326"/>
      <c r="G8909" s="326"/>
      <c r="H8909" s="326"/>
      <c r="P8909" s="318"/>
      <c r="Q8909" s="318"/>
      <c r="R8909" s="318"/>
      <c r="S8909" s="318"/>
      <c r="T8909" s="318"/>
      <c r="U8909" s="318"/>
      <c r="V8909" s="318"/>
      <c r="W8909" s="318"/>
      <c r="X8909" s="318"/>
      <c r="Y8909" s="318"/>
      <c r="Z8909" s="318"/>
      <c r="AA8909" s="318"/>
      <c r="AB8909" s="318"/>
      <c r="AC8909" s="318"/>
      <c r="AD8909" s="318"/>
    </row>
    <row r="8910" spans="2:30" s="323" customFormat="1" ht="12" customHeight="1">
      <c r="B8910" s="324"/>
      <c r="C8910" s="325"/>
      <c r="D8910" s="326"/>
      <c r="E8910" s="326"/>
      <c r="F8910" s="326"/>
      <c r="G8910" s="326"/>
      <c r="H8910" s="326"/>
      <c r="P8910" s="318"/>
      <c r="Q8910" s="318"/>
      <c r="R8910" s="318"/>
      <c r="S8910" s="318"/>
      <c r="T8910" s="318"/>
      <c r="U8910" s="318"/>
      <c r="V8910" s="318"/>
      <c r="W8910" s="318"/>
      <c r="X8910" s="318"/>
      <c r="Y8910" s="318"/>
      <c r="Z8910" s="318"/>
      <c r="AA8910" s="318"/>
      <c r="AB8910" s="318"/>
      <c r="AC8910" s="318"/>
      <c r="AD8910" s="318"/>
    </row>
    <row r="8911" spans="2:30" s="323" customFormat="1" ht="12" customHeight="1">
      <c r="B8911" s="324"/>
      <c r="C8911" s="325"/>
      <c r="D8911" s="326"/>
      <c r="E8911" s="326"/>
      <c r="F8911" s="326"/>
      <c r="G8911" s="326"/>
      <c r="H8911" s="326"/>
      <c r="P8911" s="318"/>
      <c r="Q8911" s="318"/>
      <c r="R8911" s="318"/>
      <c r="S8911" s="318"/>
      <c r="T8911" s="318"/>
      <c r="U8911" s="318"/>
      <c r="V8911" s="318"/>
      <c r="W8911" s="318"/>
      <c r="X8911" s="318"/>
      <c r="Y8911" s="318"/>
      <c r="Z8911" s="318"/>
      <c r="AA8911" s="318"/>
      <c r="AB8911" s="318"/>
      <c r="AC8911" s="318"/>
      <c r="AD8911" s="318"/>
    </row>
    <row r="8912" spans="2:30" s="323" customFormat="1" ht="12" customHeight="1">
      <c r="B8912" s="324"/>
      <c r="C8912" s="325"/>
      <c r="D8912" s="326"/>
      <c r="E8912" s="326"/>
      <c r="F8912" s="326"/>
      <c r="G8912" s="326"/>
      <c r="H8912" s="326"/>
      <c r="P8912" s="318"/>
      <c r="Q8912" s="318"/>
      <c r="R8912" s="318"/>
      <c r="S8912" s="318"/>
      <c r="T8912" s="318"/>
      <c r="U8912" s="318"/>
      <c r="V8912" s="318"/>
      <c r="W8912" s="318"/>
      <c r="X8912" s="318"/>
      <c r="Y8912" s="318"/>
      <c r="Z8912" s="318"/>
      <c r="AA8912" s="318"/>
      <c r="AB8912" s="318"/>
      <c r="AC8912" s="318"/>
      <c r="AD8912" s="318"/>
    </row>
    <row r="8913" spans="2:30" s="323" customFormat="1" ht="12" customHeight="1">
      <c r="B8913" s="324"/>
      <c r="C8913" s="325"/>
      <c r="D8913" s="326"/>
      <c r="E8913" s="326"/>
      <c r="F8913" s="326"/>
      <c r="G8913" s="326"/>
      <c r="H8913" s="326"/>
      <c r="P8913" s="318"/>
      <c r="Q8913" s="318"/>
      <c r="R8913" s="318"/>
      <c r="S8913" s="318"/>
      <c r="T8913" s="318"/>
      <c r="U8913" s="318"/>
      <c r="V8913" s="318"/>
      <c r="W8913" s="318"/>
      <c r="X8913" s="318"/>
      <c r="Y8913" s="318"/>
      <c r="Z8913" s="318"/>
      <c r="AA8913" s="318"/>
      <c r="AB8913" s="318"/>
      <c r="AC8913" s="318"/>
      <c r="AD8913" s="318"/>
    </row>
    <row r="8914" spans="2:30" s="323" customFormat="1" ht="12" customHeight="1">
      <c r="B8914" s="324"/>
      <c r="C8914" s="325"/>
      <c r="D8914" s="326"/>
      <c r="E8914" s="326"/>
      <c r="F8914" s="326"/>
      <c r="G8914" s="326"/>
      <c r="H8914" s="326"/>
      <c r="P8914" s="318"/>
      <c r="Q8914" s="318"/>
      <c r="R8914" s="318"/>
      <c r="S8914" s="318"/>
      <c r="T8914" s="318"/>
      <c r="U8914" s="318"/>
      <c r="V8914" s="318"/>
      <c r="W8914" s="318"/>
      <c r="X8914" s="318"/>
      <c r="Y8914" s="318"/>
      <c r="Z8914" s="318"/>
      <c r="AA8914" s="318"/>
      <c r="AB8914" s="318"/>
      <c r="AC8914" s="318"/>
      <c r="AD8914" s="318"/>
    </row>
    <row r="8915" spans="2:30" s="323" customFormat="1" ht="12" customHeight="1">
      <c r="B8915" s="324"/>
      <c r="C8915" s="325"/>
      <c r="D8915" s="326"/>
      <c r="E8915" s="326"/>
      <c r="F8915" s="326"/>
      <c r="G8915" s="326"/>
      <c r="H8915" s="326"/>
      <c r="P8915" s="318"/>
      <c r="Q8915" s="318"/>
      <c r="R8915" s="318"/>
      <c r="S8915" s="318"/>
      <c r="T8915" s="318"/>
      <c r="U8915" s="318"/>
      <c r="V8915" s="318"/>
      <c r="W8915" s="318"/>
      <c r="X8915" s="318"/>
      <c r="Y8915" s="318"/>
      <c r="Z8915" s="318"/>
      <c r="AA8915" s="318"/>
      <c r="AB8915" s="318"/>
      <c r="AC8915" s="318"/>
      <c r="AD8915" s="318"/>
    </row>
    <row r="8916" spans="2:30" s="323" customFormat="1" ht="12" customHeight="1">
      <c r="B8916" s="324"/>
      <c r="C8916" s="325"/>
      <c r="D8916" s="326"/>
      <c r="E8916" s="326"/>
      <c r="F8916" s="326"/>
      <c r="G8916" s="326"/>
      <c r="H8916" s="326"/>
      <c r="P8916" s="318"/>
      <c r="Q8916" s="318"/>
      <c r="R8916" s="318"/>
      <c r="S8916" s="318"/>
      <c r="T8916" s="318"/>
      <c r="U8916" s="318"/>
      <c r="V8916" s="318"/>
      <c r="W8916" s="318"/>
      <c r="X8916" s="318"/>
      <c r="Y8916" s="318"/>
      <c r="Z8916" s="318"/>
      <c r="AA8916" s="318"/>
      <c r="AB8916" s="318"/>
      <c r="AC8916" s="318"/>
      <c r="AD8916" s="318"/>
    </row>
    <row r="8917" spans="2:30" s="323" customFormat="1" ht="12" customHeight="1">
      <c r="B8917" s="324"/>
      <c r="C8917" s="325"/>
      <c r="D8917" s="326"/>
      <c r="E8917" s="326"/>
      <c r="F8917" s="326"/>
      <c r="G8917" s="326"/>
      <c r="H8917" s="326"/>
      <c r="P8917" s="318"/>
      <c r="Q8917" s="318"/>
      <c r="R8917" s="318"/>
      <c r="S8917" s="318"/>
      <c r="T8917" s="318"/>
      <c r="U8917" s="318"/>
      <c r="V8917" s="318"/>
      <c r="W8917" s="318"/>
      <c r="X8917" s="318"/>
      <c r="Y8917" s="318"/>
      <c r="Z8917" s="318"/>
      <c r="AA8917" s="318"/>
      <c r="AB8917" s="318"/>
      <c r="AC8917" s="318"/>
      <c r="AD8917" s="318"/>
    </row>
    <row r="8918" spans="2:30" s="323" customFormat="1" ht="12" customHeight="1">
      <c r="B8918" s="324"/>
      <c r="C8918" s="325"/>
      <c r="D8918" s="326"/>
      <c r="E8918" s="326"/>
      <c r="F8918" s="326"/>
      <c r="G8918" s="326"/>
      <c r="H8918" s="326"/>
      <c r="P8918" s="318"/>
      <c r="Q8918" s="318"/>
      <c r="R8918" s="318"/>
      <c r="S8918" s="318"/>
      <c r="T8918" s="318"/>
      <c r="U8918" s="318"/>
      <c r="V8918" s="318"/>
      <c r="W8918" s="318"/>
      <c r="X8918" s="318"/>
      <c r="Y8918" s="318"/>
      <c r="Z8918" s="318"/>
      <c r="AA8918" s="318"/>
      <c r="AB8918" s="318"/>
      <c r="AC8918" s="318"/>
      <c r="AD8918" s="318"/>
    </row>
    <row r="8919" spans="2:30" s="323" customFormat="1" ht="12" customHeight="1">
      <c r="B8919" s="324"/>
      <c r="C8919" s="325"/>
      <c r="D8919" s="326"/>
      <c r="E8919" s="326"/>
      <c r="F8919" s="326"/>
      <c r="G8919" s="326"/>
      <c r="H8919" s="326"/>
      <c r="P8919" s="318"/>
      <c r="Q8919" s="318"/>
      <c r="R8919" s="318"/>
      <c r="S8919" s="318"/>
      <c r="T8919" s="318"/>
      <c r="U8919" s="318"/>
      <c r="V8919" s="318"/>
      <c r="W8919" s="318"/>
      <c r="X8919" s="318"/>
      <c r="Y8919" s="318"/>
      <c r="Z8919" s="318"/>
      <c r="AA8919" s="318"/>
      <c r="AB8919" s="318"/>
      <c r="AC8919" s="318"/>
      <c r="AD8919" s="318"/>
    </row>
    <row r="8920" spans="2:30" s="323" customFormat="1" ht="12" customHeight="1">
      <c r="B8920" s="324"/>
      <c r="C8920" s="325"/>
      <c r="D8920" s="326"/>
      <c r="E8920" s="326"/>
      <c r="F8920" s="326"/>
      <c r="G8920" s="326"/>
      <c r="H8920" s="326"/>
      <c r="P8920" s="318"/>
      <c r="Q8920" s="318"/>
      <c r="R8920" s="318"/>
      <c r="S8920" s="318"/>
      <c r="T8920" s="318"/>
      <c r="U8920" s="318"/>
      <c r="V8920" s="318"/>
      <c r="W8920" s="318"/>
      <c r="X8920" s="318"/>
      <c r="Y8920" s="318"/>
      <c r="Z8920" s="318"/>
      <c r="AA8920" s="318"/>
      <c r="AB8920" s="318"/>
      <c r="AC8920" s="318"/>
      <c r="AD8920" s="318"/>
    </row>
    <row r="8921" spans="2:30" s="323" customFormat="1" ht="12" customHeight="1">
      <c r="B8921" s="324"/>
      <c r="C8921" s="325"/>
      <c r="D8921" s="326"/>
      <c r="E8921" s="326"/>
      <c r="F8921" s="326"/>
      <c r="G8921" s="326"/>
      <c r="H8921" s="326"/>
      <c r="P8921" s="318"/>
      <c r="Q8921" s="318"/>
      <c r="R8921" s="318"/>
      <c r="S8921" s="318"/>
      <c r="T8921" s="318"/>
      <c r="U8921" s="318"/>
      <c r="V8921" s="318"/>
      <c r="W8921" s="318"/>
      <c r="X8921" s="318"/>
      <c r="Y8921" s="318"/>
      <c r="Z8921" s="318"/>
      <c r="AA8921" s="318"/>
      <c r="AB8921" s="318"/>
      <c r="AC8921" s="318"/>
      <c r="AD8921" s="318"/>
    </row>
    <row r="8922" spans="2:30" s="323" customFormat="1" ht="12" customHeight="1">
      <c r="B8922" s="324"/>
      <c r="C8922" s="325"/>
      <c r="D8922" s="326"/>
      <c r="E8922" s="326"/>
      <c r="F8922" s="326"/>
      <c r="G8922" s="326"/>
      <c r="H8922" s="326"/>
      <c r="P8922" s="318"/>
      <c r="Q8922" s="318"/>
      <c r="R8922" s="318"/>
      <c r="S8922" s="318"/>
      <c r="T8922" s="318"/>
      <c r="U8922" s="318"/>
      <c r="V8922" s="318"/>
      <c r="W8922" s="318"/>
      <c r="X8922" s="318"/>
      <c r="Y8922" s="318"/>
      <c r="Z8922" s="318"/>
      <c r="AA8922" s="318"/>
      <c r="AB8922" s="318"/>
      <c r="AC8922" s="318"/>
      <c r="AD8922" s="318"/>
    </row>
    <row r="8923" spans="2:30" s="323" customFormat="1" ht="12" customHeight="1">
      <c r="B8923" s="324"/>
      <c r="C8923" s="325"/>
      <c r="D8923" s="326"/>
      <c r="E8923" s="326"/>
      <c r="F8923" s="326"/>
      <c r="G8923" s="326"/>
      <c r="H8923" s="326"/>
      <c r="P8923" s="318"/>
      <c r="Q8923" s="318"/>
      <c r="R8923" s="318"/>
      <c r="S8923" s="318"/>
      <c r="T8923" s="318"/>
      <c r="U8923" s="318"/>
      <c r="V8923" s="318"/>
      <c r="W8923" s="318"/>
      <c r="X8923" s="318"/>
      <c r="Y8923" s="318"/>
      <c r="Z8923" s="318"/>
      <c r="AA8923" s="318"/>
      <c r="AB8923" s="318"/>
      <c r="AC8923" s="318"/>
      <c r="AD8923" s="318"/>
    </row>
    <row r="8924" spans="2:30" s="323" customFormat="1" ht="12" customHeight="1">
      <c r="B8924" s="324"/>
      <c r="C8924" s="325"/>
      <c r="D8924" s="326"/>
      <c r="E8924" s="326"/>
      <c r="F8924" s="326"/>
      <c r="G8924" s="326"/>
      <c r="H8924" s="326"/>
      <c r="P8924" s="318"/>
      <c r="Q8924" s="318"/>
      <c r="R8924" s="318"/>
      <c r="S8924" s="318"/>
      <c r="T8924" s="318"/>
      <c r="U8924" s="318"/>
      <c r="V8924" s="318"/>
      <c r="W8924" s="318"/>
      <c r="X8924" s="318"/>
      <c r="Y8924" s="318"/>
      <c r="Z8924" s="318"/>
      <c r="AA8924" s="318"/>
      <c r="AB8924" s="318"/>
      <c r="AC8924" s="318"/>
      <c r="AD8924" s="318"/>
    </row>
    <row r="8925" spans="2:30" s="323" customFormat="1" ht="12" customHeight="1">
      <c r="B8925" s="324"/>
      <c r="C8925" s="325"/>
      <c r="D8925" s="326"/>
      <c r="E8925" s="326"/>
      <c r="F8925" s="326"/>
      <c r="G8925" s="326"/>
      <c r="H8925" s="326"/>
      <c r="P8925" s="318"/>
      <c r="Q8925" s="318"/>
      <c r="R8925" s="318"/>
      <c r="S8925" s="318"/>
      <c r="T8925" s="318"/>
      <c r="U8925" s="318"/>
      <c r="V8925" s="318"/>
      <c r="W8925" s="318"/>
      <c r="X8925" s="318"/>
      <c r="Y8925" s="318"/>
      <c r="Z8925" s="318"/>
      <c r="AA8925" s="318"/>
      <c r="AB8925" s="318"/>
      <c r="AC8925" s="318"/>
      <c r="AD8925" s="318"/>
    </row>
    <row r="8926" spans="2:30" s="323" customFormat="1" ht="12" customHeight="1">
      <c r="B8926" s="324"/>
      <c r="C8926" s="325"/>
      <c r="D8926" s="326"/>
      <c r="E8926" s="326"/>
      <c r="F8926" s="326"/>
      <c r="G8926" s="326"/>
      <c r="H8926" s="326"/>
      <c r="P8926" s="318"/>
      <c r="Q8926" s="318"/>
      <c r="R8926" s="318"/>
      <c r="S8926" s="318"/>
      <c r="T8926" s="318"/>
      <c r="U8926" s="318"/>
      <c r="V8926" s="318"/>
      <c r="W8926" s="318"/>
      <c r="X8926" s="318"/>
      <c r="Y8926" s="318"/>
      <c r="Z8926" s="318"/>
      <c r="AA8926" s="318"/>
      <c r="AB8926" s="318"/>
      <c r="AC8926" s="318"/>
      <c r="AD8926" s="318"/>
    </row>
    <row r="8927" spans="2:30" s="323" customFormat="1" ht="12" customHeight="1">
      <c r="B8927" s="324"/>
      <c r="C8927" s="325"/>
      <c r="D8927" s="326"/>
      <c r="E8927" s="326"/>
      <c r="F8927" s="326"/>
      <c r="G8927" s="326"/>
      <c r="H8927" s="326"/>
      <c r="P8927" s="318"/>
      <c r="Q8927" s="318"/>
      <c r="R8927" s="318"/>
      <c r="S8927" s="318"/>
      <c r="T8927" s="318"/>
      <c r="U8927" s="318"/>
      <c r="V8927" s="318"/>
      <c r="W8927" s="318"/>
      <c r="X8927" s="318"/>
      <c r="Y8927" s="318"/>
      <c r="Z8927" s="318"/>
      <c r="AA8927" s="318"/>
      <c r="AB8927" s="318"/>
      <c r="AC8927" s="318"/>
      <c r="AD8927" s="318"/>
    </row>
    <row r="8928" spans="2:30" s="323" customFormat="1" ht="12" customHeight="1">
      <c r="B8928" s="324"/>
      <c r="C8928" s="325"/>
      <c r="D8928" s="326"/>
      <c r="E8928" s="326"/>
      <c r="F8928" s="326"/>
      <c r="G8928" s="326"/>
      <c r="H8928" s="326"/>
      <c r="P8928" s="318"/>
      <c r="Q8928" s="318"/>
      <c r="R8928" s="318"/>
      <c r="S8928" s="318"/>
      <c r="T8928" s="318"/>
      <c r="U8928" s="318"/>
      <c r="V8928" s="318"/>
      <c r="W8928" s="318"/>
      <c r="X8928" s="318"/>
      <c r="Y8928" s="318"/>
      <c r="Z8928" s="318"/>
      <c r="AA8928" s="318"/>
      <c r="AB8928" s="318"/>
      <c r="AC8928" s="318"/>
      <c r="AD8928" s="318"/>
    </row>
    <row r="8929" spans="2:30" s="323" customFormat="1" ht="12" customHeight="1">
      <c r="B8929" s="324"/>
      <c r="C8929" s="325"/>
      <c r="D8929" s="326"/>
      <c r="E8929" s="326"/>
      <c r="F8929" s="326"/>
      <c r="G8929" s="326"/>
      <c r="H8929" s="326"/>
      <c r="P8929" s="318"/>
      <c r="Q8929" s="318"/>
      <c r="R8929" s="318"/>
      <c r="S8929" s="318"/>
      <c r="T8929" s="318"/>
      <c r="U8929" s="318"/>
      <c r="V8929" s="318"/>
      <c r="W8929" s="318"/>
      <c r="X8929" s="318"/>
      <c r="Y8929" s="318"/>
      <c r="Z8929" s="318"/>
      <c r="AA8929" s="318"/>
      <c r="AB8929" s="318"/>
      <c r="AC8929" s="318"/>
      <c r="AD8929" s="318"/>
    </row>
    <row r="8930" spans="2:30" s="323" customFormat="1" ht="12" customHeight="1">
      <c r="B8930" s="324"/>
      <c r="C8930" s="325"/>
      <c r="D8930" s="326"/>
      <c r="E8930" s="326"/>
      <c r="F8930" s="326"/>
      <c r="G8930" s="326"/>
      <c r="H8930" s="326"/>
      <c r="P8930" s="318"/>
      <c r="Q8930" s="318"/>
      <c r="R8930" s="318"/>
      <c r="S8930" s="318"/>
      <c r="T8930" s="318"/>
      <c r="U8930" s="318"/>
      <c r="V8930" s="318"/>
      <c r="W8930" s="318"/>
      <c r="X8930" s="318"/>
      <c r="Y8930" s="318"/>
      <c r="Z8930" s="318"/>
      <c r="AA8930" s="318"/>
      <c r="AB8930" s="318"/>
      <c r="AC8930" s="318"/>
      <c r="AD8930" s="318"/>
    </row>
    <row r="8931" spans="2:30" s="323" customFormat="1" ht="12" customHeight="1">
      <c r="B8931" s="324"/>
      <c r="C8931" s="325"/>
      <c r="D8931" s="326"/>
      <c r="E8931" s="326"/>
      <c r="F8931" s="326"/>
      <c r="G8931" s="326"/>
      <c r="H8931" s="326"/>
      <c r="P8931" s="318"/>
      <c r="Q8931" s="318"/>
      <c r="R8931" s="318"/>
      <c r="S8931" s="318"/>
      <c r="T8931" s="318"/>
      <c r="U8931" s="318"/>
      <c r="V8931" s="318"/>
      <c r="W8931" s="318"/>
      <c r="X8931" s="318"/>
      <c r="Y8931" s="318"/>
      <c r="Z8931" s="318"/>
      <c r="AA8931" s="318"/>
      <c r="AB8931" s="318"/>
      <c r="AC8931" s="318"/>
      <c r="AD8931" s="318"/>
    </row>
    <row r="8932" spans="2:30" s="323" customFormat="1" ht="12" customHeight="1">
      <c r="B8932" s="324"/>
      <c r="C8932" s="325"/>
      <c r="D8932" s="326"/>
      <c r="E8932" s="326"/>
      <c r="F8932" s="326"/>
      <c r="G8932" s="326"/>
      <c r="H8932" s="326"/>
      <c r="P8932" s="318"/>
      <c r="Q8932" s="318"/>
      <c r="R8932" s="318"/>
      <c r="S8932" s="318"/>
      <c r="T8932" s="318"/>
      <c r="U8932" s="318"/>
      <c r="V8932" s="318"/>
      <c r="W8932" s="318"/>
      <c r="X8932" s="318"/>
      <c r="Y8932" s="318"/>
      <c r="Z8932" s="318"/>
      <c r="AA8932" s="318"/>
      <c r="AB8932" s="318"/>
      <c r="AC8932" s="318"/>
      <c r="AD8932" s="318"/>
    </row>
    <row r="8933" spans="2:30" s="323" customFormat="1" ht="12" customHeight="1">
      <c r="B8933" s="324"/>
      <c r="C8933" s="325"/>
      <c r="D8933" s="326"/>
      <c r="E8933" s="326"/>
      <c r="F8933" s="326"/>
      <c r="G8933" s="326"/>
      <c r="H8933" s="326"/>
      <c r="P8933" s="318"/>
      <c r="Q8933" s="318"/>
      <c r="R8933" s="318"/>
      <c r="S8933" s="318"/>
      <c r="T8933" s="318"/>
      <c r="U8933" s="318"/>
      <c r="V8933" s="318"/>
      <c r="W8933" s="318"/>
      <c r="X8933" s="318"/>
      <c r="Y8933" s="318"/>
      <c r="Z8933" s="318"/>
      <c r="AA8933" s="318"/>
      <c r="AB8933" s="318"/>
      <c r="AC8933" s="318"/>
      <c r="AD8933" s="318"/>
    </row>
    <row r="8934" spans="2:30" s="323" customFormat="1" ht="12" customHeight="1">
      <c r="B8934" s="324"/>
      <c r="C8934" s="325"/>
      <c r="D8934" s="326"/>
      <c r="E8934" s="326"/>
      <c r="F8934" s="326"/>
      <c r="G8934" s="326"/>
      <c r="H8934" s="326"/>
      <c r="P8934" s="318"/>
      <c r="Q8934" s="318"/>
      <c r="R8934" s="318"/>
      <c r="S8934" s="318"/>
      <c r="T8934" s="318"/>
      <c r="U8934" s="318"/>
      <c r="V8934" s="318"/>
      <c r="W8934" s="318"/>
      <c r="X8934" s="318"/>
      <c r="Y8934" s="318"/>
      <c r="Z8934" s="318"/>
      <c r="AA8934" s="318"/>
      <c r="AB8934" s="318"/>
      <c r="AC8934" s="318"/>
      <c r="AD8934" s="318"/>
    </row>
    <row r="8935" spans="2:30" s="323" customFormat="1" ht="12" customHeight="1">
      <c r="B8935" s="324"/>
      <c r="C8935" s="325"/>
      <c r="D8935" s="326"/>
      <c r="E8935" s="326"/>
      <c r="F8935" s="326"/>
      <c r="G8935" s="326"/>
      <c r="H8935" s="326"/>
      <c r="P8935" s="318"/>
      <c r="Q8935" s="318"/>
      <c r="R8935" s="318"/>
      <c r="S8935" s="318"/>
      <c r="T8935" s="318"/>
      <c r="U8935" s="318"/>
      <c r="V8935" s="318"/>
      <c r="W8935" s="318"/>
      <c r="X8935" s="318"/>
      <c r="Y8935" s="318"/>
      <c r="Z8935" s="318"/>
      <c r="AA8935" s="318"/>
      <c r="AB8935" s="318"/>
      <c r="AC8935" s="318"/>
      <c r="AD8935" s="318"/>
    </row>
    <row r="8936" spans="2:30" s="323" customFormat="1" ht="12" customHeight="1">
      <c r="B8936" s="324"/>
      <c r="C8936" s="325"/>
      <c r="D8936" s="326"/>
      <c r="E8936" s="326"/>
      <c r="F8936" s="326"/>
      <c r="G8936" s="326"/>
      <c r="H8936" s="326"/>
      <c r="P8936" s="318"/>
      <c r="Q8936" s="318"/>
      <c r="R8936" s="318"/>
      <c r="S8936" s="318"/>
      <c r="T8936" s="318"/>
      <c r="U8936" s="318"/>
      <c r="V8936" s="318"/>
      <c r="W8936" s="318"/>
      <c r="X8936" s="318"/>
      <c r="Y8936" s="318"/>
      <c r="Z8936" s="318"/>
      <c r="AA8936" s="318"/>
      <c r="AB8936" s="318"/>
      <c r="AC8936" s="318"/>
      <c r="AD8936" s="318"/>
    </row>
    <row r="8937" spans="2:30" s="323" customFormat="1" ht="12" customHeight="1">
      <c r="B8937" s="324"/>
      <c r="C8937" s="325"/>
      <c r="D8937" s="326"/>
      <c r="E8937" s="326"/>
      <c r="F8937" s="326"/>
      <c r="G8937" s="326"/>
      <c r="H8937" s="326"/>
      <c r="P8937" s="318"/>
      <c r="Q8937" s="318"/>
      <c r="R8937" s="318"/>
      <c r="S8937" s="318"/>
      <c r="T8937" s="318"/>
      <c r="U8937" s="318"/>
      <c r="V8937" s="318"/>
      <c r="W8937" s="318"/>
      <c r="X8937" s="318"/>
      <c r="Y8937" s="318"/>
      <c r="Z8937" s="318"/>
      <c r="AA8937" s="318"/>
      <c r="AB8937" s="318"/>
      <c r="AC8937" s="318"/>
      <c r="AD8937" s="318"/>
    </row>
    <row r="8938" spans="2:30" s="323" customFormat="1" ht="12" customHeight="1">
      <c r="B8938" s="324"/>
      <c r="C8938" s="325"/>
      <c r="D8938" s="326"/>
      <c r="E8938" s="326"/>
      <c r="F8938" s="326"/>
      <c r="G8938" s="326"/>
      <c r="H8938" s="326"/>
      <c r="P8938" s="318"/>
      <c r="Q8938" s="318"/>
      <c r="R8938" s="318"/>
      <c r="S8938" s="318"/>
      <c r="T8938" s="318"/>
      <c r="U8938" s="318"/>
      <c r="V8938" s="318"/>
      <c r="W8938" s="318"/>
      <c r="X8938" s="318"/>
      <c r="Y8938" s="318"/>
      <c r="Z8938" s="318"/>
      <c r="AA8938" s="318"/>
      <c r="AB8938" s="318"/>
      <c r="AC8938" s="318"/>
      <c r="AD8938" s="318"/>
    </row>
    <row r="8939" spans="2:30" s="323" customFormat="1" ht="12" customHeight="1">
      <c r="B8939" s="324"/>
      <c r="C8939" s="325"/>
      <c r="D8939" s="326"/>
      <c r="E8939" s="326"/>
      <c r="F8939" s="326"/>
      <c r="G8939" s="326"/>
      <c r="H8939" s="326"/>
      <c r="P8939" s="318"/>
      <c r="Q8939" s="318"/>
      <c r="R8939" s="318"/>
      <c r="S8939" s="318"/>
      <c r="T8939" s="318"/>
      <c r="U8939" s="318"/>
      <c r="V8939" s="318"/>
      <c r="W8939" s="318"/>
      <c r="X8939" s="318"/>
      <c r="Y8939" s="318"/>
      <c r="Z8939" s="318"/>
      <c r="AA8939" s="318"/>
      <c r="AB8939" s="318"/>
      <c r="AC8939" s="318"/>
      <c r="AD8939" s="318"/>
    </row>
    <row r="8940" spans="2:30" s="323" customFormat="1" ht="12" customHeight="1">
      <c r="B8940" s="324"/>
      <c r="C8940" s="325"/>
      <c r="D8940" s="326"/>
      <c r="E8940" s="326"/>
      <c r="F8940" s="326"/>
      <c r="G8940" s="326"/>
      <c r="H8940" s="326"/>
      <c r="P8940" s="318"/>
      <c r="Q8940" s="318"/>
      <c r="R8940" s="318"/>
      <c r="S8940" s="318"/>
      <c r="T8940" s="318"/>
      <c r="U8940" s="318"/>
      <c r="V8940" s="318"/>
      <c r="W8940" s="318"/>
      <c r="X8940" s="318"/>
      <c r="Y8940" s="318"/>
      <c r="Z8940" s="318"/>
      <c r="AA8940" s="318"/>
      <c r="AB8940" s="318"/>
      <c r="AC8940" s="318"/>
      <c r="AD8940" s="318"/>
    </row>
    <row r="8941" spans="2:30" s="323" customFormat="1" ht="12" customHeight="1">
      <c r="B8941" s="324"/>
      <c r="C8941" s="325"/>
      <c r="D8941" s="326"/>
      <c r="E8941" s="326"/>
      <c r="F8941" s="326"/>
      <c r="G8941" s="326"/>
      <c r="H8941" s="326"/>
      <c r="P8941" s="318"/>
      <c r="Q8941" s="318"/>
      <c r="R8941" s="318"/>
      <c r="S8941" s="318"/>
      <c r="T8941" s="318"/>
      <c r="U8941" s="318"/>
      <c r="V8941" s="318"/>
      <c r="W8941" s="318"/>
      <c r="X8941" s="318"/>
      <c r="Y8941" s="318"/>
      <c r="Z8941" s="318"/>
      <c r="AA8941" s="318"/>
      <c r="AB8941" s="318"/>
      <c r="AC8941" s="318"/>
      <c r="AD8941" s="318"/>
    </row>
    <row r="8942" spans="2:30" s="323" customFormat="1" ht="12" customHeight="1">
      <c r="B8942" s="324"/>
      <c r="C8942" s="325"/>
      <c r="D8942" s="326"/>
      <c r="E8942" s="326"/>
      <c r="F8942" s="326"/>
      <c r="G8942" s="326"/>
      <c r="H8942" s="326"/>
      <c r="P8942" s="318"/>
      <c r="Q8942" s="318"/>
      <c r="R8942" s="318"/>
      <c r="S8942" s="318"/>
      <c r="T8942" s="318"/>
      <c r="U8942" s="318"/>
      <c r="V8942" s="318"/>
      <c r="W8942" s="318"/>
      <c r="X8942" s="318"/>
      <c r="Y8942" s="318"/>
      <c r="Z8942" s="318"/>
      <c r="AA8942" s="318"/>
      <c r="AB8942" s="318"/>
      <c r="AC8942" s="318"/>
      <c r="AD8942" s="318"/>
    </row>
    <row r="8943" spans="2:30" s="323" customFormat="1" ht="12" customHeight="1">
      <c r="B8943" s="324"/>
      <c r="C8943" s="325"/>
      <c r="D8943" s="326"/>
      <c r="E8943" s="326"/>
      <c r="F8943" s="326"/>
      <c r="G8943" s="326"/>
      <c r="H8943" s="326"/>
      <c r="P8943" s="318"/>
      <c r="Q8943" s="318"/>
      <c r="R8943" s="318"/>
      <c r="S8943" s="318"/>
      <c r="T8943" s="318"/>
      <c r="U8943" s="318"/>
      <c r="V8943" s="318"/>
      <c r="W8943" s="318"/>
      <c r="X8943" s="318"/>
      <c r="Y8943" s="318"/>
      <c r="Z8943" s="318"/>
      <c r="AA8943" s="318"/>
      <c r="AB8943" s="318"/>
      <c r="AC8943" s="318"/>
      <c r="AD8943" s="318"/>
    </row>
    <row r="8944" spans="2:30" s="323" customFormat="1" ht="12" customHeight="1">
      <c r="B8944" s="324"/>
      <c r="C8944" s="325"/>
      <c r="D8944" s="326"/>
      <c r="E8944" s="326"/>
      <c r="F8944" s="326"/>
      <c r="G8944" s="326"/>
      <c r="H8944" s="326"/>
      <c r="P8944" s="318"/>
      <c r="Q8944" s="318"/>
      <c r="R8944" s="318"/>
      <c r="S8944" s="318"/>
      <c r="T8944" s="318"/>
      <c r="U8944" s="318"/>
      <c r="V8944" s="318"/>
      <c r="W8944" s="318"/>
      <c r="X8944" s="318"/>
      <c r="Y8944" s="318"/>
      <c r="Z8944" s="318"/>
      <c r="AA8944" s="318"/>
      <c r="AB8944" s="318"/>
      <c r="AC8944" s="318"/>
      <c r="AD8944" s="318"/>
    </row>
    <row r="8945" spans="2:30" s="323" customFormat="1" ht="12" customHeight="1">
      <c r="B8945" s="324"/>
      <c r="C8945" s="325"/>
      <c r="D8945" s="326"/>
      <c r="E8945" s="326"/>
      <c r="F8945" s="326"/>
      <c r="G8945" s="326"/>
      <c r="H8945" s="326"/>
      <c r="P8945" s="318"/>
      <c r="Q8945" s="318"/>
      <c r="R8945" s="318"/>
      <c r="S8945" s="318"/>
      <c r="T8945" s="318"/>
      <c r="U8945" s="318"/>
      <c r="V8945" s="318"/>
      <c r="W8945" s="318"/>
      <c r="X8945" s="318"/>
      <c r="Y8945" s="318"/>
      <c r="Z8945" s="318"/>
      <c r="AA8945" s="318"/>
      <c r="AB8945" s="318"/>
      <c r="AC8945" s="318"/>
      <c r="AD8945" s="318"/>
    </row>
    <row r="8946" spans="2:30" s="323" customFormat="1" ht="12" customHeight="1">
      <c r="B8946" s="324"/>
      <c r="C8946" s="325"/>
      <c r="D8946" s="326"/>
      <c r="E8946" s="326"/>
      <c r="F8946" s="326"/>
      <c r="G8946" s="326"/>
      <c r="H8946" s="326"/>
      <c r="P8946" s="318"/>
      <c r="Q8946" s="318"/>
      <c r="R8946" s="318"/>
      <c r="S8946" s="318"/>
      <c r="T8946" s="318"/>
      <c r="U8946" s="318"/>
      <c r="V8946" s="318"/>
      <c r="W8946" s="318"/>
      <c r="X8946" s="318"/>
      <c r="Y8946" s="318"/>
      <c r="Z8946" s="318"/>
      <c r="AA8946" s="318"/>
      <c r="AB8946" s="318"/>
      <c r="AC8946" s="318"/>
      <c r="AD8946" s="318"/>
    </row>
    <row r="8947" spans="2:30" s="323" customFormat="1" ht="12" customHeight="1">
      <c r="B8947" s="324"/>
      <c r="C8947" s="325"/>
      <c r="D8947" s="326"/>
      <c r="E8947" s="326"/>
      <c r="F8947" s="326"/>
      <c r="G8947" s="326"/>
      <c r="H8947" s="326"/>
      <c r="P8947" s="318"/>
      <c r="Q8947" s="318"/>
      <c r="R8947" s="318"/>
      <c r="S8947" s="318"/>
      <c r="T8947" s="318"/>
      <c r="U8947" s="318"/>
      <c r="V8947" s="318"/>
      <c r="W8947" s="318"/>
      <c r="X8947" s="318"/>
      <c r="Y8947" s="318"/>
      <c r="Z8947" s="318"/>
      <c r="AA8947" s="318"/>
      <c r="AB8947" s="318"/>
      <c r="AC8947" s="318"/>
      <c r="AD8947" s="318"/>
    </row>
    <row r="8948" spans="2:30" s="323" customFormat="1" ht="12" customHeight="1">
      <c r="B8948" s="324"/>
      <c r="C8948" s="325"/>
      <c r="D8948" s="326"/>
      <c r="E8948" s="326"/>
      <c r="F8948" s="326"/>
      <c r="G8948" s="326"/>
      <c r="H8948" s="326"/>
      <c r="P8948" s="318"/>
      <c r="Q8948" s="318"/>
      <c r="R8948" s="318"/>
      <c r="S8948" s="318"/>
      <c r="T8948" s="318"/>
      <c r="U8948" s="318"/>
      <c r="V8948" s="318"/>
      <c r="W8948" s="318"/>
      <c r="X8948" s="318"/>
      <c r="Y8948" s="318"/>
      <c r="Z8948" s="318"/>
      <c r="AA8948" s="318"/>
      <c r="AB8948" s="318"/>
      <c r="AC8948" s="318"/>
      <c r="AD8948" s="318"/>
    </row>
    <row r="8949" spans="2:30" s="323" customFormat="1" ht="12" customHeight="1">
      <c r="B8949" s="324"/>
      <c r="C8949" s="325"/>
      <c r="D8949" s="326"/>
      <c r="E8949" s="326"/>
      <c r="F8949" s="326"/>
      <c r="G8949" s="326"/>
      <c r="H8949" s="326"/>
      <c r="P8949" s="318"/>
      <c r="Q8949" s="318"/>
      <c r="R8949" s="318"/>
      <c r="S8949" s="318"/>
      <c r="T8949" s="318"/>
      <c r="U8949" s="318"/>
      <c r="V8949" s="318"/>
      <c r="W8949" s="318"/>
      <c r="X8949" s="318"/>
      <c r="Y8949" s="318"/>
      <c r="Z8949" s="318"/>
      <c r="AA8949" s="318"/>
      <c r="AB8949" s="318"/>
      <c r="AC8949" s="318"/>
      <c r="AD8949" s="318"/>
    </row>
    <row r="8950" spans="2:30" s="323" customFormat="1" ht="12" customHeight="1">
      <c r="B8950" s="324"/>
      <c r="C8950" s="325"/>
      <c r="D8950" s="326"/>
      <c r="E8950" s="326"/>
      <c r="F8950" s="326"/>
      <c r="G8950" s="326"/>
      <c r="H8950" s="326"/>
      <c r="P8950" s="318"/>
      <c r="Q8950" s="318"/>
      <c r="R8950" s="318"/>
      <c r="S8950" s="318"/>
      <c r="T8950" s="318"/>
      <c r="U8950" s="318"/>
      <c r="V8950" s="318"/>
      <c r="W8950" s="318"/>
      <c r="X8950" s="318"/>
      <c r="Y8950" s="318"/>
      <c r="Z8950" s="318"/>
      <c r="AA8950" s="318"/>
      <c r="AB8950" s="318"/>
      <c r="AC8950" s="318"/>
      <c r="AD8950" s="318"/>
    </row>
    <row r="8951" spans="2:30" s="323" customFormat="1" ht="12" customHeight="1">
      <c r="B8951" s="324"/>
      <c r="C8951" s="325"/>
      <c r="D8951" s="326"/>
      <c r="E8951" s="326"/>
      <c r="F8951" s="326"/>
      <c r="G8951" s="326"/>
      <c r="H8951" s="326"/>
      <c r="P8951" s="318"/>
      <c r="Q8951" s="318"/>
      <c r="R8951" s="318"/>
      <c r="S8951" s="318"/>
      <c r="T8951" s="318"/>
      <c r="U8951" s="318"/>
      <c r="V8951" s="318"/>
      <c r="W8951" s="318"/>
      <c r="X8951" s="318"/>
      <c r="Y8951" s="318"/>
      <c r="Z8951" s="318"/>
      <c r="AA8951" s="318"/>
      <c r="AB8951" s="318"/>
      <c r="AC8951" s="318"/>
      <c r="AD8951" s="318"/>
    </row>
    <row r="8952" spans="2:30" s="323" customFormat="1" ht="12" customHeight="1">
      <c r="B8952" s="324"/>
      <c r="C8952" s="325"/>
      <c r="D8952" s="326"/>
      <c r="E8952" s="326"/>
      <c r="F8952" s="326"/>
      <c r="G8952" s="326"/>
      <c r="H8952" s="326"/>
      <c r="P8952" s="318"/>
      <c r="Q8952" s="318"/>
      <c r="R8952" s="318"/>
      <c r="S8952" s="318"/>
      <c r="T8952" s="318"/>
      <c r="U8952" s="318"/>
      <c r="V8952" s="318"/>
      <c r="W8952" s="318"/>
      <c r="X8952" s="318"/>
      <c r="Y8952" s="318"/>
      <c r="Z8952" s="318"/>
      <c r="AA8952" s="318"/>
      <c r="AB8952" s="318"/>
      <c r="AC8952" s="318"/>
      <c r="AD8952" s="318"/>
    </row>
    <row r="8953" spans="2:30" s="323" customFormat="1" ht="12" customHeight="1">
      <c r="B8953" s="324"/>
      <c r="C8953" s="325"/>
      <c r="D8953" s="326"/>
      <c r="E8953" s="326"/>
      <c r="F8953" s="326"/>
      <c r="G8953" s="326"/>
      <c r="H8953" s="326"/>
      <c r="P8953" s="318"/>
      <c r="Q8953" s="318"/>
      <c r="R8953" s="318"/>
      <c r="S8953" s="318"/>
      <c r="T8953" s="318"/>
      <c r="U8953" s="318"/>
      <c r="V8953" s="318"/>
      <c r="W8953" s="318"/>
      <c r="X8953" s="318"/>
      <c r="Y8953" s="318"/>
      <c r="Z8953" s="318"/>
      <c r="AA8953" s="318"/>
      <c r="AB8953" s="318"/>
      <c r="AC8953" s="318"/>
      <c r="AD8953" s="318"/>
    </row>
    <row r="8954" spans="2:30" s="323" customFormat="1" ht="12" customHeight="1">
      <c r="B8954" s="324"/>
      <c r="C8954" s="325"/>
      <c r="D8954" s="326"/>
      <c r="E8954" s="326"/>
      <c r="F8954" s="326"/>
      <c r="G8954" s="326"/>
      <c r="H8954" s="326"/>
      <c r="P8954" s="318"/>
      <c r="Q8954" s="318"/>
      <c r="R8954" s="318"/>
      <c r="S8954" s="318"/>
      <c r="T8954" s="318"/>
      <c r="U8954" s="318"/>
      <c r="V8954" s="318"/>
      <c r="W8954" s="318"/>
      <c r="X8954" s="318"/>
      <c r="Y8954" s="318"/>
      <c r="Z8954" s="318"/>
      <c r="AA8954" s="318"/>
      <c r="AB8954" s="318"/>
      <c r="AC8954" s="318"/>
      <c r="AD8954" s="318"/>
    </row>
    <row r="8955" spans="2:30" s="323" customFormat="1" ht="12" customHeight="1">
      <c r="B8955" s="324"/>
      <c r="C8955" s="325"/>
      <c r="D8955" s="326"/>
      <c r="E8955" s="326"/>
      <c r="F8955" s="326"/>
      <c r="G8955" s="326"/>
      <c r="H8955" s="326"/>
      <c r="P8955" s="318"/>
      <c r="Q8955" s="318"/>
      <c r="R8955" s="318"/>
      <c r="S8955" s="318"/>
      <c r="T8955" s="318"/>
      <c r="U8955" s="318"/>
      <c r="V8955" s="318"/>
      <c r="W8955" s="318"/>
      <c r="X8955" s="318"/>
      <c r="Y8955" s="318"/>
      <c r="Z8955" s="318"/>
      <c r="AA8955" s="318"/>
      <c r="AB8955" s="318"/>
      <c r="AC8955" s="318"/>
      <c r="AD8955" s="318"/>
    </row>
    <row r="8956" spans="2:30" s="323" customFormat="1" ht="12" customHeight="1">
      <c r="B8956" s="324"/>
      <c r="C8956" s="325"/>
      <c r="D8956" s="326"/>
      <c r="E8956" s="326"/>
      <c r="F8956" s="326"/>
      <c r="G8956" s="326"/>
      <c r="H8956" s="326"/>
      <c r="P8956" s="318"/>
      <c r="Q8956" s="318"/>
      <c r="R8956" s="318"/>
      <c r="S8956" s="318"/>
      <c r="T8956" s="318"/>
      <c r="U8956" s="318"/>
      <c r="V8956" s="318"/>
      <c r="W8956" s="318"/>
      <c r="X8956" s="318"/>
      <c r="Y8956" s="318"/>
      <c r="Z8956" s="318"/>
      <c r="AA8956" s="318"/>
      <c r="AB8956" s="318"/>
      <c r="AC8956" s="318"/>
      <c r="AD8956" s="318"/>
    </row>
    <row r="8957" spans="2:30" s="323" customFormat="1" ht="12" customHeight="1">
      <c r="B8957" s="324"/>
      <c r="C8957" s="325"/>
      <c r="D8957" s="326"/>
      <c r="E8957" s="326"/>
      <c r="F8957" s="326"/>
      <c r="G8957" s="326"/>
      <c r="H8957" s="326"/>
      <c r="P8957" s="318"/>
      <c r="Q8957" s="318"/>
      <c r="R8957" s="318"/>
      <c r="S8957" s="318"/>
      <c r="T8957" s="318"/>
      <c r="U8957" s="318"/>
      <c r="V8957" s="318"/>
      <c r="W8957" s="318"/>
      <c r="X8957" s="318"/>
      <c r="Y8957" s="318"/>
      <c r="Z8957" s="318"/>
      <c r="AA8957" s="318"/>
      <c r="AB8957" s="318"/>
      <c r="AC8957" s="318"/>
      <c r="AD8957" s="318"/>
    </row>
    <row r="8958" spans="2:30" s="323" customFormat="1" ht="12" customHeight="1">
      <c r="B8958" s="324"/>
      <c r="C8958" s="325"/>
      <c r="D8958" s="326"/>
      <c r="E8958" s="326"/>
      <c r="F8958" s="326"/>
      <c r="G8958" s="326"/>
      <c r="H8958" s="326"/>
      <c r="P8958" s="318"/>
      <c r="Q8958" s="318"/>
      <c r="R8958" s="318"/>
      <c r="S8958" s="318"/>
      <c r="T8958" s="318"/>
      <c r="U8958" s="318"/>
      <c r="V8958" s="318"/>
      <c r="W8958" s="318"/>
      <c r="X8958" s="318"/>
      <c r="Y8958" s="318"/>
      <c r="Z8958" s="318"/>
      <c r="AA8958" s="318"/>
      <c r="AB8958" s="318"/>
      <c r="AC8958" s="318"/>
      <c r="AD8958" s="318"/>
    </row>
    <row r="8959" spans="2:30" s="323" customFormat="1" ht="12" customHeight="1">
      <c r="B8959" s="324"/>
      <c r="C8959" s="325"/>
      <c r="D8959" s="326"/>
      <c r="E8959" s="326"/>
      <c r="F8959" s="326"/>
      <c r="G8959" s="326"/>
      <c r="H8959" s="326"/>
      <c r="P8959" s="318"/>
      <c r="Q8959" s="318"/>
      <c r="R8959" s="318"/>
      <c r="S8959" s="318"/>
      <c r="T8959" s="318"/>
      <c r="U8959" s="318"/>
      <c r="V8959" s="318"/>
      <c r="W8959" s="318"/>
      <c r="X8959" s="318"/>
      <c r="Y8959" s="318"/>
      <c r="Z8959" s="318"/>
      <c r="AA8959" s="318"/>
      <c r="AB8959" s="318"/>
      <c r="AC8959" s="318"/>
      <c r="AD8959" s="318"/>
    </row>
    <row r="8960" spans="2:30" s="323" customFormat="1" ht="12" customHeight="1">
      <c r="B8960" s="324"/>
      <c r="C8960" s="325"/>
      <c r="D8960" s="326"/>
      <c r="E8960" s="326"/>
      <c r="F8960" s="326"/>
      <c r="G8960" s="326"/>
      <c r="H8960" s="326"/>
      <c r="P8960" s="318"/>
      <c r="Q8960" s="318"/>
      <c r="R8960" s="318"/>
      <c r="S8960" s="318"/>
      <c r="T8960" s="318"/>
      <c r="U8960" s="318"/>
      <c r="V8960" s="318"/>
      <c r="W8960" s="318"/>
      <c r="X8960" s="318"/>
      <c r="Y8960" s="318"/>
      <c r="Z8960" s="318"/>
      <c r="AA8960" s="318"/>
      <c r="AB8960" s="318"/>
      <c r="AC8960" s="318"/>
      <c r="AD8960" s="318"/>
    </row>
    <row r="8961" spans="2:30" s="323" customFormat="1" ht="12" customHeight="1">
      <c r="B8961" s="324"/>
      <c r="C8961" s="325"/>
      <c r="D8961" s="326"/>
      <c r="E8961" s="326"/>
      <c r="F8961" s="326"/>
      <c r="G8961" s="326"/>
      <c r="H8961" s="326"/>
      <c r="P8961" s="318"/>
      <c r="Q8961" s="318"/>
      <c r="R8961" s="318"/>
      <c r="S8961" s="318"/>
      <c r="T8961" s="318"/>
      <c r="U8961" s="318"/>
      <c r="V8961" s="318"/>
      <c r="W8961" s="318"/>
      <c r="X8961" s="318"/>
      <c r="Y8961" s="318"/>
      <c r="Z8961" s="318"/>
      <c r="AA8961" s="318"/>
      <c r="AB8961" s="318"/>
      <c r="AC8961" s="318"/>
      <c r="AD8961" s="318"/>
    </row>
    <row r="8962" spans="2:30" s="323" customFormat="1" ht="12" customHeight="1">
      <c r="B8962" s="324"/>
      <c r="C8962" s="325"/>
      <c r="D8962" s="326"/>
      <c r="E8962" s="326"/>
      <c r="F8962" s="326"/>
      <c r="G8962" s="326"/>
      <c r="H8962" s="326"/>
      <c r="P8962" s="318"/>
      <c r="Q8962" s="318"/>
      <c r="R8962" s="318"/>
      <c r="S8962" s="318"/>
      <c r="T8962" s="318"/>
      <c r="U8962" s="318"/>
      <c r="V8962" s="318"/>
      <c r="W8962" s="318"/>
      <c r="X8962" s="318"/>
      <c r="Y8962" s="318"/>
      <c r="Z8962" s="318"/>
      <c r="AA8962" s="318"/>
      <c r="AB8962" s="318"/>
      <c r="AC8962" s="318"/>
      <c r="AD8962" s="318"/>
    </row>
    <row r="8963" spans="2:30" s="323" customFormat="1" ht="12" customHeight="1">
      <c r="B8963" s="324"/>
      <c r="C8963" s="325"/>
      <c r="D8963" s="326"/>
      <c r="E8963" s="326"/>
      <c r="F8963" s="326"/>
      <c r="G8963" s="326"/>
      <c r="H8963" s="326"/>
      <c r="P8963" s="318"/>
      <c r="Q8963" s="318"/>
      <c r="R8963" s="318"/>
      <c r="S8963" s="318"/>
      <c r="T8963" s="318"/>
      <c r="U8963" s="318"/>
      <c r="V8963" s="318"/>
      <c r="W8963" s="318"/>
      <c r="X8963" s="318"/>
      <c r="Y8963" s="318"/>
      <c r="Z8963" s="318"/>
      <c r="AA8963" s="318"/>
      <c r="AB8963" s="318"/>
      <c r="AC8963" s="318"/>
      <c r="AD8963" s="318"/>
    </row>
    <row r="8964" spans="2:30" s="323" customFormat="1" ht="12" customHeight="1">
      <c r="B8964" s="324"/>
      <c r="C8964" s="325"/>
      <c r="D8964" s="326"/>
      <c r="E8964" s="326"/>
      <c r="F8964" s="326"/>
      <c r="G8964" s="326"/>
      <c r="H8964" s="326"/>
      <c r="P8964" s="318"/>
      <c r="Q8964" s="318"/>
      <c r="R8964" s="318"/>
      <c r="S8964" s="318"/>
      <c r="T8964" s="318"/>
      <c r="U8964" s="318"/>
      <c r="V8964" s="318"/>
      <c r="W8964" s="318"/>
      <c r="X8964" s="318"/>
      <c r="Y8964" s="318"/>
      <c r="Z8964" s="318"/>
      <c r="AA8964" s="318"/>
      <c r="AB8964" s="318"/>
      <c r="AC8964" s="318"/>
      <c r="AD8964" s="318"/>
    </row>
    <row r="8965" spans="2:30" s="323" customFormat="1" ht="12" customHeight="1">
      <c r="B8965" s="324"/>
      <c r="C8965" s="325"/>
      <c r="D8965" s="326"/>
      <c r="E8965" s="326"/>
      <c r="F8965" s="326"/>
      <c r="G8965" s="326"/>
      <c r="H8965" s="326"/>
      <c r="P8965" s="318"/>
      <c r="Q8965" s="318"/>
      <c r="R8965" s="318"/>
      <c r="S8965" s="318"/>
      <c r="T8965" s="318"/>
      <c r="U8965" s="318"/>
      <c r="V8965" s="318"/>
      <c r="W8965" s="318"/>
      <c r="X8965" s="318"/>
      <c r="Y8965" s="318"/>
      <c r="Z8965" s="318"/>
      <c r="AA8965" s="318"/>
      <c r="AB8965" s="318"/>
      <c r="AC8965" s="318"/>
      <c r="AD8965" s="318"/>
    </row>
    <row r="8966" spans="2:30" s="323" customFormat="1" ht="12" customHeight="1">
      <c r="B8966" s="324"/>
      <c r="C8966" s="325"/>
      <c r="D8966" s="326"/>
      <c r="E8966" s="326"/>
      <c r="F8966" s="326"/>
      <c r="G8966" s="326"/>
      <c r="H8966" s="326"/>
      <c r="P8966" s="318"/>
      <c r="Q8966" s="318"/>
      <c r="R8966" s="318"/>
      <c r="S8966" s="318"/>
      <c r="T8966" s="318"/>
      <c r="U8966" s="318"/>
      <c r="V8966" s="318"/>
      <c r="W8966" s="318"/>
      <c r="X8966" s="318"/>
      <c r="Y8966" s="318"/>
      <c r="Z8966" s="318"/>
      <c r="AA8966" s="318"/>
      <c r="AB8966" s="318"/>
      <c r="AC8966" s="318"/>
      <c r="AD8966" s="318"/>
    </row>
    <row r="8967" spans="2:30" s="323" customFormat="1" ht="12" customHeight="1">
      <c r="B8967" s="324"/>
      <c r="C8967" s="325"/>
      <c r="D8967" s="326"/>
      <c r="E8967" s="326"/>
      <c r="F8967" s="326"/>
      <c r="G8967" s="326"/>
      <c r="H8967" s="326"/>
      <c r="P8967" s="318"/>
      <c r="Q8967" s="318"/>
      <c r="R8967" s="318"/>
      <c r="S8967" s="318"/>
      <c r="T8967" s="318"/>
      <c r="U8967" s="318"/>
      <c r="V8967" s="318"/>
      <c r="W8967" s="318"/>
      <c r="X8967" s="318"/>
      <c r="Y8967" s="318"/>
      <c r="Z8967" s="318"/>
      <c r="AA8967" s="318"/>
      <c r="AB8967" s="318"/>
      <c r="AC8967" s="318"/>
      <c r="AD8967" s="318"/>
    </row>
    <row r="8968" spans="2:30" s="323" customFormat="1" ht="12" customHeight="1">
      <c r="B8968" s="324"/>
      <c r="C8968" s="325"/>
      <c r="D8968" s="326"/>
      <c r="E8968" s="326"/>
      <c r="F8968" s="326"/>
      <c r="G8968" s="326"/>
      <c r="H8968" s="326"/>
      <c r="P8968" s="318"/>
      <c r="Q8968" s="318"/>
      <c r="R8968" s="318"/>
      <c r="S8968" s="318"/>
      <c r="T8968" s="318"/>
      <c r="U8968" s="318"/>
      <c r="V8968" s="318"/>
      <c r="W8968" s="318"/>
      <c r="X8968" s="318"/>
      <c r="Y8968" s="318"/>
      <c r="Z8968" s="318"/>
      <c r="AA8968" s="318"/>
      <c r="AB8968" s="318"/>
      <c r="AC8968" s="318"/>
      <c r="AD8968" s="318"/>
    </row>
    <row r="8969" spans="2:30" s="323" customFormat="1" ht="12" customHeight="1">
      <c r="B8969" s="324"/>
      <c r="C8969" s="325"/>
      <c r="D8969" s="326"/>
      <c r="E8969" s="326"/>
      <c r="F8969" s="326"/>
      <c r="G8969" s="326"/>
      <c r="H8969" s="326"/>
      <c r="P8969" s="318"/>
      <c r="Q8969" s="318"/>
      <c r="R8969" s="318"/>
      <c r="S8969" s="318"/>
      <c r="T8969" s="318"/>
      <c r="U8969" s="318"/>
      <c r="V8969" s="318"/>
      <c r="W8969" s="318"/>
      <c r="X8969" s="318"/>
      <c r="Y8969" s="318"/>
      <c r="Z8969" s="318"/>
      <c r="AA8969" s="318"/>
      <c r="AB8969" s="318"/>
      <c r="AC8969" s="318"/>
      <c r="AD8969" s="318"/>
    </row>
    <row r="8970" spans="2:30" s="323" customFormat="1" ht="12" customHeight="1">
      <c r="B8970" s="324"/>
      <c r="C8970" s="325"/>
      <c r="D8970" s="326"/>
      <c r="E8970" s="326"/>
      <c r="F8970" s="326"/>
      <c r="G8970" s="326"/>
      <c r="H8970" s="326"/>
      <c r="P8970" s="318"/>
      <c r="Q8970" s="318"/>
      <c r="R8970" s="318"/>
      <c r="S8970" s="318"/>
      <c r="T8970" s="318"/>
      <c r="U8970" s="318"/>
      <c r="V8970" s="318"/>
      <c r="W8970" s="318"/>
      <c r="X8970" s="318"/>
      <c r="Y8970" s="318"/>
      <c r="Z8970" s="318"/>
      <c r="AA8970" s="318"/>
      <c r="AB8970" s="318"/>
      <c r="AC8970" s="318"/>
      <c r="AD8970" s="318"/>
    </row>
    <row r="8971" spans="2:30" s="323" customFormat="1" ht="12" customHeight="1">
      <c r="B8971" s="324"/>
      <c r="C8971" s="325"/>
      <c r="D8971" s="326"/>
      <c r="E8971" s="326"/>
      <c r="F8971" s="326"/>
      <c r="G8971" s="326"/>
      <c r="H8971" s="326"/>
      <c r="P8971" s="318"/>
      <c r="Q8971" s="318"/>
      <c r="R8971" s="318"/>
      <c r="S8971" s="318"/>
      <c r="T8971" s="318"/>
      <c r="U8971" s="318"/>
      <c r="V8971" s="318"/>
      <c r="W8971" s="318"/>
      <c r="X8971" s="318"/>
      <c r="Y8971" s="318"/>
      <c r="Z8971" s="318"/>
      <c r="AA8971" s="318"/>
      <c r="AB8971" s="318"/>
      <c r="AC8971" s="318"/>
      <c r="AD8971" s="318"/>
    </row>
    <row r="8972" spans="2:30" s="323" customFormat="1" ht="12" customHeight="1">
      <c r="B8972" s="324"/>
      <c r="C8972" s="325"/>
      <c r="D8972" s="326"/>
      <c r="E8972" s="326"/>
      <c r="F8972" s="326"/>
      <c r="G8972" s="326"/>
      <c r="H8972" s="326"/>
      <c r="P8972" s="318"/>
      <c r="Q8972" s="318"/>
      <c r="R8972" s="318"/>
      <c r="S8972" s="318"/>
      <c r="T8972" s="318"/>
      <c r="U8972" s="318"/>
      <c r="V8972" s="318"/>
      <c r="W8972" s="318"/>
      <c r="X8972" s="318"/>
      <c r="Y8972" s="318"/>
      <c r="Z8972" s="318"/>
      <c r="AA8972" s="318"/>
      <c r="AB8972" s="318"/>
      <c r="AC8972" s="318"/>
      <c r="AD8972" s="318"/>
    </row>
    <row r="8973" spans="2:30" s="323" customFormat="1" ht="12" customHeight="1">
      <c r="B8973" s="324"/>
      <c r="C8973" s="325"/>
      <c r="D8973" s="326"/>
      <c r="E8973" s="326"/>
      <c r="F8973" s="326"/>
      <c r="G8973" s="326"/>
      <c r="H8973" s="326"/>
      <c r="P8973" s="318"/>
      <c r="Q8973" s="318"/>
      <c r="R8973" s="318"/>
      <c r="S8973" s="318"/>
      <c r="T8973" s="318"/>
      <c r="U8973" s="318"/>
      <c r="V8973" s="318"/>
      <c r="W8973" s="318"/>
      <c r="X8973" s="318"/>
      <c r="Y8973" s="318"/>
      <c r="Z8973" s="318"/>
      <c r="AA8973" s="318"/>
      <c r="AB8973" s="318"/>
      <c r="AC8973" s="318"/>
      <c r="AD8973" s="318"/>
    </row>
    <row r="8974" spans="2:30" s="323" customFormat="1" ht="12" customHeight="1">
      <c r="B8974" s="324"/>
      <c r="C8974" s="325"/>
      <c r="D8974" s="326"/>
      <c r="E8974" s="326"/>
      <c r="F8974" s="326"/>
      <c r="G8974" s="326"/>
      <c r="H8974" s="326"/>
      <c r="P8974" s="318"/>
      <c r="Q8974" s="318"/>
      <c r="R8974" s="318"/>
      <c r="S8974" s="318"/>
      <c r="T8974" s="318"/>
      <c r="U8974" s="318"/>
      <c r="V8974" s="318"/>
      <c r="W8974" s="318"/>
      <c r="X8974" s="318"/>
      <c r="Y8974" s="318"/>
      <c r="Z8974" s="318"/>
      <c r="AA8974" s="318"/>
      <c r="AB8974" s="318"/>
      <c r="AC8974" s="318"/>
      <c r="AD8974" s="318"/>
    </row>
    <row r="8975" spans="2:30" s="323" customFormat="1" ht="12" customHeight="1">
      <c r="B8975" s="324"/>
      <c r="C8975" s="325"/>
      <c r="D8975" s="326"/>
      <c r="E8975" s="326"/>
      <c r="F8975" s="326"/>
      <c r="G8975" s="326"/>
      <c r="H8975" s="326"/>
      <c r="P8975" s="318"/>
      <c r="Q8975" s="318"/>
      <c r="R8975" s="318"/>
      <c r="S8975" s="318"/>
      <c r="T8975" s="318"/>
      <c r="U8975" s="318"/>
      <c r="V8975" s="318"/>
      <c r="W8975" s="318"/>
      <c r="X8975" s="318"/>
      <c r="Y8975" s="318"/>
      <c r="Z8975" s="318"/>
      <c r="AA8975" s="318"/>
      <c r="AB8975" s="318"/>
      <c r="AC8975" s="318"/>
      <c r="AD8975" s="318"/>
    </row>
    <row r="8976" spans="2:30" s="323" customFormat="1" ht="12" customHeight="1">
      <c r="B8976" s="324"/>
      <c r="C8976" s="325"/>
      <c r="D8976" s="326"/>
      <c r="E8976" s="326"/>
      <c r="F8976" s="326"/>
      <c r="G8976" s="326"/>
      <c r="H8976" s="326"/>
      <c r="P8976" s="318"/>
      <c r="Q8976" s="318"/>
      <c r="R8976" s="318"/>
      <c r="S8976" s="318"/>
      <c r="T8976" s="318"/>
      <c r="U8976" s="318"/>
      <c r="V8976" s="318"/>
      <c r="W8976" s="318"/>
      <c r="X8976" s="318"/>
      <c r="Y8976" s="318"/>
      <c r="Z8976" s="318"/>
      <c r="AA8976" s="318"/>
      <c r="AB8976" s="318"/>
      <c r="AC8976" s="318"/>
      <c r="AD8976" s="318"/>
    </row>
    <row r="8977" spans="2:30" s="323" customFormat="1" ht="12" customHeight="1">
      <c r="B8977" s="324"/>
      <c r="C8977" s="325"/>
      <c r="D8977" s="326"/>
      <c r="E8977" s="326"/>
      <c r="F8977" s="326"/>
      <c r="G8977" s="326"/>
      <c r="H8977" s="326"/>
      <c r="P8977" s="318"/>
      <c r="Q8977" s="318"/>
      <c r="R8977" s="318"/>
      <c r="S8977" s="318"/>
      <c r="T8977" s="318"/>
      <c r="U8977" s="318"/>
      <c r="V8977" s="318"/>
      <c r="W8977" s="318"/>
      <c r="X8977" s="318"/>
      <c r="Y8977" s="318"/>
      <c r="Z8977" s="318"/>
      <c r="AA8977" s="318"/>
      <c r="AB8977" s="318"/>
      <c r="AC8977" s="318"/>
      <c r="AD8977" s="318"/>
    </row>
    <row r="8978" spans="2:30" s="323" customFormat="1" ht="12" customHeight="1">
      <c r="B8978" s="324"/>
      <c r="C8978" s="325"/>
      <c r="D8978" s="326"/>
      <c r="E8978" s="326"/>
      <c r="F8978" s="326"/>
      <c r="G8978" s="326"/>
      <c r="H8978" s="326"/>
      <c r="P8978" s="318"/>
      <c r="Q8978" s="318"/>
      <c r="R8978" s="318"/>
      <c r="S8978" s="318"/>
      <c r="T8978" s="318"/>
      <c r="U8978" s="318"/>
      <c r="V8978" s="318"/>
      <c r="W8978" s="318"/>
      <c r="X8978" s="318"/>
      <c r="Y8978" s="318"/>
      <c r="Z8978" s="318"/>
      <c r="AA8978" s="318"/>
      <c r="AB8978" s="318"/>
      <c r="AC8978" s="318"/>
      <c r="AD8978" s="318"/>
    </row>
    <row r="8979" spans="2:30" s="323" customFormat="1" ht="12" customHeight="1">
      <c r="B8979" s="324"/>
      <c r="C8979" s="325"/>
      <c r="D8979" s="326"/>
      <c r="E8979" s="326"/>
      <c r="F8979" s="326"/>
      <c r="G8979" s="326"/>
      <c r="H8979" s="326"/>
      <c r="P8979" s="318"/>
      <c r="Q8979" s="318"/>
      <c r="R8979" s="318"/>
      <c r="S8979" s="318"/>
      <c r="T8979" s="318"/>
      <c r="U8979" s="318"/>
      <c r="V8979" s="318"/>
      <c r="W8979" s="318"/>
      <c r="X8979" s="318"/>
      <c r="Y8979" s="318"/>
      <c r="Z8979" s="318"/>
      <c r="AA8979" s="318"/>
      <c r="AB8979" s="318"/>
      <c r="AC8979" s="318"/>
      <c r="AD8979" s="318"/>
    </row>
    <row r="8980" spans="2:30" s="323" customFormat="1" ht="12" customHeight="1">
      <c r="B8980" s="324"/>
      <c r="C8980" s="325"/>
      <c r="D8980" s="326"/>
      <c r="E8980" s="326"/>
      <c r="F8980" s="326"/>
      <c r="G8980" s="326"/>
      <c r="H8980" s="326"/>
      <c r="P8980" s="318"/>
      <c r="Q8980" s="318"/>
      <c r="R8980" s="318"/>
      <c r="S8980" s="318"/>
      <c r="T8980" s="318"/>
      <c r="U8980" s="318"/>
      <c r="V8980" s="318"/>
      <c r="W8980" s="318"/>
      <c r="X8980" s="318"/>
      <c r="Y8980" s="318"/>
      <c r="Z8980" s="318"/>
      <c r="AA8980" s="318"/>
      <c r="AB8980" s="318"/>
      <c r="AC8980" s="318"/>
      <c r="AD8980" s="318"/>
    </row>
    <row r="8981" spans="2:30" s="323" customFormat="1" ht="12" customHeight="1">
      <c r="B8981" s="324"/>
      <c r="C8981" s="325"/>
      <c r="D8981" s="326"/>
      <c r="E8981" s="326"/>
      <c r="F8981" s="326"/>
      <c r="G8981" s="326"/>
      <c r="H8981" s="326"/>
      <c r="P8981" s="318"/>
      <c r="Q8981" s="318"/>
      <c r="R8981" s="318"/>
      <c r="S8981" s="318"/>
      <c r="T8981" s="318"/>
      <c r="U8981" s="318"/>
      <c r="V8981" s="318"/>
      <c r="W8981" s="318"/>
      <c r="X8981" s="318"/>
      <c r="Y8981" s="318"/>
      <c r="Z8981" s="318"/>
      <c r="AA8981" s="318"/>
      <c r="AB8981" s="318"/>
      <c r="AC8981" s="318"/>
      <c r="AD8981" s="318"/>
    </row>
    <row r="8982" spans="2:30" s="323" customFormat="1" ht="12" customHeight="1">
      <c r="B8982" s="324"/>
      <c r="C8982" s="325"/>
      <c r="D8982" s="326"/>
      <c r="E8982" s="326"/>
      <c r="F8982" s="326"/>
      <c r="G8982" s="326"/>
      <c r="H8982" s="326"/>
      <c r="P8982" s="318"/>
      <c r="Q8982" s="318"/>
      <c r="R8982" s="318"/>
      <c r="S8982" s="318"/>
      <c r="T8982" s="318"/>
      <c r="U8982" s="318"/>
      <c r="V8982" s="318"/>
      <c r="W8982" s="318"/>
      <c r="X8982" s="318"/>
      <c r="Y8982" s="318"/>
      <c r="Z8982" s="318"/>
      <c r="AA8982" s="318"/>
      <c r="AB8982" s="318"/>
      <c r="AC8982" s="318"/>
      <c r="AD8982" s="318"/>
    </row>
    <row r="8983" spans="2:30" s="323" customFormat="1" ht="12" customHeight="1">
      <c r="B8983" s="324"/>
      <c r="C8983" s="325"/>
      <c r="D8983" s="326"/>
      <c r="E8983" s="326"/>
      <c r="F8983" s="326"/>
      <c r="G8983" s="326"/>
      <c r="H8983" s="326"/>
      <c r="P8983" s="318"/>
      <c r="Q8983" s="318"/>
      <c r="R8983" s="318"/>
      <c r="S8983" s="318"/>
      <c r="T8983" s="318"/>
      <c r="U8983" s="318"/>
      <c r="V8983" s="318"/>
      <c r="W8983" s="318"/>
      <c r="X8983" s="318"/>
      <c r="Y8983" s="318"/>
      <c r="Z8983" s="318"/>
      <c r="AA8983" s="318"/>
      <c r="AB8983" s="318"/>
      <c r="AC8983" s="318"/>
      <c r="AD8983" s="318"/>
    </row>
    <row r="8984" spans="2:30" s="323" customFormat="1" ht="12" customHeight="1">
      <c r="B8984" s="324"/>
      <c r="C8984" s="325"/>
      <c r="D8984" s="326"/>
      <c r="E8984" s="326"/>
      <c r="F8984" s="326"/>
      <c r="G8984" s="326"/>
      <c r="H8984" s="326"/>
      <c r="P8984" s="318"/>
      <c r="Q8984" s="318"/>
      <c r="R8984" s="318"/>
      <c r="S8984" s="318"/>
      <c r="T8984" s="318"/>
      <c r="U8984" s="318"/>
      <c r="V8984" s="318"/>
      <c r="W8984" s="318"/>
      <c r="X8984" s="318"/>
      <c r="Y8984" s="318"/>
      <c r="Z8984" s="318"/>
      <c r="AA8984" s="318"/>
      <c r="AB8984" s="318"/>
      <c r="AC8984" s="318"/>
      <c r="AD8984" s="318"/>
    </row>
    <row r="8985" spans="2:30" s="323" customFormat="1" ht="12" customHeight="1">
      <c r="B8985" s="324"/>
      <c r="C8985" s="325"/>
      <c r="D8985" s="326"/>
      <c r="E8985" s="326"/>
      <c r="F8985" s="326"/>
      <c r="G8985" s="326"/>
      <c r="H8985" s="326"/>
      <c r="P8985" s="318"/>
      <c r="Q8985" s="318"/>
      <c r="R8985" s="318"/>
      <c r="S8985" s="318"/>
      <c r="T8985" s="318"/>
      <c r="U8985" s="318"/>
      <c r="V8985" s="318"/>
      <c r="W8985" s="318"/>
      <c r="X8985" s="318"/>
      <c r="Y8985" s="318"/>
      <c r="Z8985" s="318"/>
      <c r="AA8985" s="318"/>
      <c r="AB8985" s="318"/>
      <c r="AC8985" s="318"/>
      <c r="AD8985" s="318"/>
    </row>
    <row r="8986" spans="2:30" s="323" customFormat="1" ht="12" customHeight="1">
      <c r="B8986" s="324"/>
      <c r="C8986" s="325"/>
      <c r="D8986" s="326"/>
      <c r="E8986" s="326"/>
      <c r="F8986" s="326"/>
      <c r="G8986" s="326"/>
      <c r="H8986" s="326"/>
      <c r="P8986" s="318"/>
      <c r="Q8986" s="318"/>
      <c r="R8986" s="318"/>
      <c r="S8986" s="318"/>
      <c r="T8986" s="318"/>
      <c r="U8986" s="318"/>
      <c r="V8986" s="318"/>
      <c r="W8986" s="318"/>
      <c r="X8986" s="318"/>
      <c r="Y8986" s="318"/>
      <c r="Z8986" s="318"/>
      <c r="AA8986" s="318"/>
      <c r="AB8986" s="318"/>
      <c r="AC8986" s="318"/>
      <c r="AD8986" s="318"/>
    </row>
    <row r="8987" spans="2:30" s="323" customFormat="1" ht="12" customHeight="1">
      <c r="B8987" s="324"/>
      <c r="C8987" s="325"/>
      <c r="D8987" s="326"/>
      <c r="E8987" s="326"/>
      <c r="F8987" s="326"/>
      <c r="G8987" s="326"/>
      <c r="H8987" s="326"/>
      <c r="P8987" s="318"/>
      <c r="Q8987" s="318"/>
      <c r="R8987" s="318"/>
      <c r="S8987" s="318"/>
      <c r="T8987" s="318"/>
      <c r="U8987" s="318"/>
      <c r="V8987" s="318"/>
      <c r="W8987" s="318"/>
      <c r="X8987" s="318"/>
      <c r="Y8987" s="318"/>
      <c r="Z8987" s="318"/>
      <c r="AA8987" s="318"/>
      <c r="AB8987" s="318"/>
      <c r="AC8987" s="318"/>
      <c r="AD8987" s="318"/>
    </row>
    <row r="8988" spans="2:30" s="323" customFormat="1" ht="12" customHeight="1">
      <c r="B8988" s="324"/>
      <c r="C8988" s="325"/>
      <c r="D8988" s="326"/>
      <c r="E8988" s="326"/>
      <c r="F8988" s="326"/>
      <c r="G8988" s="326"/>
      <c r="H8988" s="326"/>
      <c r="P8988" s="318"/>
      <c r="Q8988" s="318"/>
      <c r="R8988" s="318"/>
      <c r="S8988" s="318"/>
      <c r="T8988" s="318"/>
      <c r="U8988" s="318"/>
      <c r="V8988" s="318"/>
      <c r="W8988" s="318"/>
      <c r="X8988" s="318"/>
      <c r="Y8988" s="318"/>
      <c r="Z8988" s="318"/>
      <c r="AA8988" s="318"/>
      <c r="AB8988" s="318"/>
      <c r="AC8988" s="318"/>
      <c r="AD8988" s="318"/>
    </row>
    <row r="8989" spans="2:30" s="323" customFormat="1" ht="12" customHeight="1">
      <c r="B8989" s="324"/>
      <c r="C8989" s="325"/>
      <c r="D8989" s="326"/>
      <c r="E8989" s="326"/>
      <c r="F8989" s="326"/>
      <c r="G8989" s="326"/>
      <c r="H8989" s="326"/>
      <c r="P8989" s="318"/>
      <c r="Q8989" s="318"/>
      <c r="R8989" s="318"/>
      <c r="S8989" s="318"/>
      <c r="T8989" s="318"/>
      <c r="U8989" s="318"/>
      <c r="V8989" s="318"/>
      <c r="W8989" s="318"/>
      <c r="X8989" s="318"/>
      <c r="Y8989" s="318"/>
      <c r="Z8989" s="318"/>
      <c r="AA8989" s="318"/>
      <c r="AB8989" s="318"/>
      <c r="AC8989" s="318"/>
      <c r="AD8989" s="318"/>
    </row>
    <row r="8990" spans="2:30" s="323" customFormat="1" ht="12" customHeight="1">
      <c r="B8990" s="324"/>
      <c r="C8990" s="325"/>
      <c r="D8990" s="326"/>
      <c r="E8990" s="326"/>
      <c r="F8990" s="326"/>
      <c r="G8990" s="326"/>
      <c r="H8990" s="326"/>
      <c r="P8990" s="318"/>
      <c r="Q8990" s="318"/>
      <c r="R8990" s="318"/>
      <c r="S8990" s="318"/>
      <c r="T8990" s="318"/>
      <c r="U8990" s="318"/>
      <c r="V8990" s="318"/>
      <c r="W8990" s="318"/>
      <c r="X8990" s="318"/>
      <c r="Y8990" s="318"/>
      <c r="Z8990" s="318"/>
      <c r="AA8990" s="318"/>
      <c r="AB8990" s="318"/>
      <c r="AC8990" s="318"/>
      <c r="AD8990" s="318"/>
    </row>
    <row r="8991" spans="2:30" s="323" customFormat="1" ht="12" customHeight="1">
      <c r="B8991" s="324"/>
      <c r="C8991" s="325"/>
      <c r="D8991" s="326"/>
      <c r="E8991" s="326"/>
      <c r="F8991" s="326"/>
      <c r="G8991" s="326"/>
      <c r="H8991" s="326"/>
      <c r="P8991" s="318"/>
      <c r="Q8991" s="318"/>
      <c r="R8991" s="318"/>
      <c r="S8991" s="318"/>
      <c r="T8991" s="318"/>
      <c r="U8991" s="318"/>
      <c r="V8991" s="318"/>
      <c r="W8991" s="318"/>
      <c r="X8991" s="318"/>
      <c r="Y8991" s="318"/>
      <c r="Z8991" s="318"/>
      <c r="AA8991" s="318"/>
      <c r="AB8991" s="318"/>
      <c r="AC8991" s="318"/>
      <c r="AD8991" s="318"/>
    </row>
    <row r="8992" spans="2:30" s="323" customFormat="1" ht="12" customHeight="1">
      <c r="B8992" s="324"/>
      <c r="C8992" s="325"/>
      <c r="D8992" s="326"/>
      <c r="E8992" s="326"/>
      <c r="F8992" s="326"/>
      <c r="G8992" s="326"/>
      <c r="H8992" s="326"/>
      <c r="P8992" s="318"/>
      <c r="Q8992" s="318"/>
      <c r="R8992" s="318"/>
      <c r="S8992" s="318"/>
      <c r="T8992" s="318"/>
      <c r="U8992" s="318"/>
      <c r="V8992" s="318"/>
      <c r="W8992" s="318"/>
      <c r="X8992" s="318"/>
      <c r="Y8992" s="318"/>
      <c r="Z8992" s="318"/>
      <c r="AA8992" s="318"/>
      <c r="AB8992" s="318"/>
      <c r="AC8992" s="318"/>
      <c r="AD8992" s="318"/>
    </row>
    <row r="8993" spans="2:30" s="323" customFormat="1" ht="12" customHeight="1">
      <c r="B8993" s="324"/>
      <c r="C8993" s="325"/>
      <c r="D8993" s="326"/>
      <c r="E8993" s="326"/>
      <c r="F8993" s="326"/>
      <c r="G8993" s="326"/>
      <c r="H8993" s="326"/>
      <c r="P8993" s="318"/>
      <c r="Q8993" s="318"/>
      <c r="R8993" s="318"/>
      <c r="S8993" s="318"/>
      <c r="T8993" s="318"/>
      <c r="U8993" s="318"/>
      <c r="V8993" s="318"/>
      <c r="W8993" s="318"/>
      <c r="X8993" s="318"/>
      <c r="Y8993" s="318"/>
      <c r="Z8993" s="318"/>
      <c r="AA8993" s="318"/>
      <c r="AB8993" s="318"/>
      <c r="AC8993" s="318"/>
      <c r="AD8993" s="318"/>
    </row>
    <row r="8994" spans="2:30" s="323" customFormat="1" ht="12" customHeight="1">
      <c r="B8994" s="324"/>
      <c r="C8994" s="325"/>
      <c r="D8994" s="326"/>
      <c r="E8994" s="326"/>
      <c r="F8994" s="326"/>
      <c r="G8994" s="326"/>
      <c r="H8994" s="326"/>
      <c r="P8994" s="318"/>
      <c r="Q8994" s="318"/>
      <c r="R8994" s="318"/>
      <c r="S8994" s="318"/>
      <c r="T8994" s="318"/>
      <c r="U8994" s="318"/>
      <c r="V8994" s="318"/>
      <c r="W8994" s="318"/>
      <c r="X8994" s="318"/>
      <c r="Y8994" s="318"/>
      <c r="Z8994" s="318"/>
      <c r="AA8994" s="318"/>
      <c r="AB8994" s="318"/>
      <c r="AC8994" s="318"/>
      <c r="AD8994" s="318"/>
    </row>
    <row r="8995" spans="2:30" s="323" customFormat="1" ht="12" customHeight="1">
      <c r="B8995" s="324"/>
      <c r="C8995" s="325"/>
      <c r="D8995" s="326"/>
      <c r="E8995" s="326"/>
      <c r="F8995" s="326"/>
      <c r="G8995" s="326"/>
      <c r="H8995" s="326"/>
      <c r="P8995" s="318"/>
      <c r="Q8995" s="318"/>
      <c r="R8995" s="318"/>
      <c r="S8995" s="318"/>
      <c r="T8995" s="318"/>
      <c r="U8995" s="318"/>
      <c r="V8995" s="318"/>
      <c r="W8995" s="318"/>
      <c r="X8995" s="318"/>
      <c r="Y8995" s="318"/>
      <c r="Z8995" s="318"/>
      <c r="AA8995" s="318"/>
      <c r="AB8995" s="318"/>
      <c r="AC8995" s="318"/>
      <c r="AD8995" s="318"/>
    </row>
    <row r="8996" spans="2:30" s="323" customFormat="1" ht="12" customHeight="1">
      <c r="B8996" s="324"/>
      <c r="C8996" s="325"/>
      <c r="D8996" s="326"/>
      <c r="E8996" s="326"/>
      <c r="F8996" s="326"/>
      <c r="G8996" s="326"/>
      <c r="H8996" s="326"/>
      <c r="P8996" s="318"/>
      <c r="Q8996" s="318"/>
      <c r="R8996" s="318"/>
      <c r="S8996" s="318"/>
      <c r="T8996" s="318"/>
      <c r="U8996" s="318"/>
      <c r="V8996" s="318"/>
      <c r="W8996" s="318"/>
      <c r="X8996" s="318"/>
      <c r="Y8996" s="318"/>
      <c r="Z8996" s="318"/>
      <c r="AA8996" s="318"/>
      <c r="AB8996" s="318"/>
      <c r="AC8996" s="318"/>
      <c r="AD8996" s="318"/>
    </row>
    <row r="8997" spans="2:30" s="323" customFormat="1" ht="12" customHeight="1">
      <c r="B8997" s="324"/>
      <c r="C8997" s="325"/>
      <c r="D8997" s="326"/>
      <c r="E8997" s="326"/>
      <c r="F8997" s="326"/>
      <c r="G8997" s="326"/>
      <c r="H8997" s="326"/>
      <c r="P8997" s="318"/>
      <c r="Q8997" s="318"/>
      <c r="R8997" s="318"/>
      <c r="S8997" s="318"/>
      <c r="T8997" s="318"/>
      <c r="U8997" s="318"/>
      <c r="V8997" s="318"/>
      <c r="W8997" s="318"/>
      <c r="X8997" s="318"/>
      <c r="Y8997" s="318"/>
      <c r="Z8997" s="318"/>
      <c r="AA8997" s="318"/>
      <c r="AB8997" s="318"/>
      <c r="AC8997" s="318"/>
      <c r="AD8997" s="318"/>
    </row>
    <row r="8998" spans="2:30" s="323" customFormat="1" ht="12" customHeight="1">
      <c r="B8998" s="324"/>
      <c r="C8998" s="325"/>
      <c r="D8998" s="326"/>
      <c r="E8998" s="326"/>
      <c r="F8998" s="326"/>
      <c r="G8998" s="326"/>
      <c r="H8998" s="326"/>
      <c r="P8998" s="318"/>
      <c r="Q8998" s="318"/>
      <c r="R8998" s="318"/>
      <c r="S8998" s="318"/>
      <c r="T8998" s="318"/>
      <c r="U8998" s="318"/>
      <c r="V8998" s="318"/>
      <c r="W8998" s="318"/>
      <c r="X8998" s="318"/>
      <c r="Y8998" s="318"/>
      <c r="Z8998" s="318"/>
      <c r="AA8998" s="318"/>
      <c r="AB8998" s="318"/>
      <c r="AC8998" s="318"/>
      <c r="AD8998" s="318"/>
    </row>
    <row r="8999" spans="2:30" s="323" customFormat="1" ht="12" customHeight="1">
      <c r="B8999" s="324"/>
      <c r="C8999" s="325"/>
      <c r="D8999" s="326"/>
      <c r="E8999" s="326"/>
      <c r="F8999" s="326"/>
      <c r="G8999" s="326"/>
      <c r="H8999" s="326"/>
      <c r="P8999" s="318"/>
      <c r="Q8999" s="318"/>
      <c r="R8999" s="318"/>
      <c r="S8999" s="318"/>
      <c r="T8999" s="318"/>
      <c r="U8999" s="318"/>
      <c r="V8999" s="318"/>
      <c r="W8999" s="318"/>
      <c r="X8999" s="318"/>
      <c r="Y8999" s="318"/>
      <c r="Z8999" s="318"/>
      <c r="AA8999" s="318"/>
      <c r="AB8999" s="318"/>
      <c r="AC8999" s="318"/>
      <c r="AD8999" s="318"/>
    </row>
    <row r="9000" spans="2:30" s="323" customFormat="1" ht="12" customHeight="1">
      <c r="B9000" s="324"/>
      <c r="C9000" s="325"/>
      <c r="D9000" s="326"/>
      <c r="E9000" s="326"/>
      <c r="F9000" s="326"/>
      <c r="G9000" s="326"/>
      <c r="H9000" s="326"/>
      <c r="P9000" s="318"/>
      <c r="Q9000" s="318"/>
      <c r="R9000" s="318"/>
      <c r="S9000" s="318"/>
      <c r="T9000" s="318"/>
      <c r="U9000" s="318"/>
      <c r="V9000" s="318"/>
      <c r="W9000" s="318"/>
      <c r="X9000" s="318"/>
      <c r="Y9000" s="318"/>
      <c r="Z9000" s="318"/>
      <c r="AA9000" s="318"/>
      <c r="AB9000" s="318"/>
      <c r="AC9000" s="318"/>
      <c r="AD9000" s="318"/>
    </row>
    <row r="9001" spans="2:30" s="323" customFormat="1" ht="12" customHeight="1">
      <c r="B9001" s="324"/>
      <c r="C9001" s="325"/>
      <c r="D9001" s="326"/>
      <c r="E9001" s="326"/>
      <c r="F9001" s="326"/>
      <c r="G9001" s="326"/>
      <c r="H9001" s="326"/>
      <c r="P9001" s="318"/>
      <c r="Q9001" s="318"/>
      <c r="R9001" s="318"/>
      <c r="S9001" s="318"/>
      <c r="T9001" s="318"/>
      <c r="U9001" s="318"/>
      <c r="V9001" s="318"/>
      <c r="W9001" s="318"/>
      <c r="X9001" s="318"/>
      <c r="Y9001" s="318"/>
      <c r="Z9001" s="318"/>
      <c r="AA9001" s="318"/>
      <c r="AB9001" s="318"/>
      <c r="AC9001" s="318"/>
      <c r="AD9001" s="318"/>
    </row>
    <row r="9002" spans="2:30" s="323" customFormat="1" ht="12" customHeight="1">
      <c r="B9002" s="324"/>
      <c r="C9002" s="325"/>
      <c r="D9002" s="326"/>
      <c r="E9002" s="326"/>
      <c r="F9002" s="326"/>
      <c r="G9002" s="326"/>
      <c r="H9002" s="326"/>
      <c r="P9002" s="318"/>
      <c r="Q9002" s="318"/>
      <c r="R9002" s="318"/>
      <c r="S9002" s="318"/>
      <c r="T9002" s="318"/>
      <c r="U9002" s="318"/>
      <c r="V9002" s="318"/>
      <c r="W9002" s="318"/>
      <c r="X9002" s="318"/>
      <c r="Y9002" s="318"/>
      <c r="Z9002" s="318"/>
      <c r="AA9002" s="318"/>
      <c r="AB9002" s="318"/>
      <c r="AC9002" s="318"/>
      <c r="AD9002" s="318"/>
    </row>
    <row r="9003" spans="2:30" s="323" customFormat="1" ht="12" customHeight="1">
      <c r="B9003" s="324"/>
      <c r="C9003" s="325"/>
      <c r="D9003" s="326"/>
      <c r="E9003" s="326"/>
      <c r="F9003" s="326"/>
      <c r="G9003" s="326"/>
      <c r="H9003" s="326"/>
      <c r="P9003" s="318"/>
      <c r="Q9003" s="318"/>
      <c r="R9003" s="318"/>
      <c r="S9003" s="318"/>
      <c r="T9003" s="318"/>
      <c r="U9003" s="318"/>
      <c r="V9003" s="318"/>
      <c r="W9003" s="318"/>
      <c r="X9003" s="318"/>
      <c r="Y9003" s="318"/>
      <c r="Z9003" s="318"/>
      <c r="AA9003" s="318"/>
      <c r="AB9003" s="318"/>
      <c r="AC9003" s="318"/>
      <c r="AD9003" s="318"/>
    </row>
    <row r="9004" spans="2:30" s="323" customFormat="1" ht="12" customHeight="1">
      <c r="B9004" s="324"/>
      <c r="C9004" s="325"/>
      <c r="D9004" s="326"/>
      <c r="E9004" s="326"/>
      <c r="F9004" s="326"/>
      <c r="G9004" s="326"/>
      <c r="H9004" s="326"/>
      <c r="P9004" s="318"/>
      <c r="Q9004" s="318"/>
      <c r="R9004" s="318"/>
      <c r="S9004" s="318"/>
      <c r="T9004" s="318"/>
      <c r="U9004" s="318"/>
      <c r="V9004" s="318"/>
      <c r="W9004" s="318"/>
      <c r="X9004" s="318"/>
      <c r="Y9004" s="318"/>
      <c r="Z9004" s="318"/>
      <c r="AA9004" s="318"/>
      <c r="AB9004" s="318"/>
      <c r="AC9004" s="318"/>
      <c r="AD9004" s="318"/>
    </row>
    <row r="9005" spans="2:30" s="323" customFormat="1" ht="12" customHeight="1">
      <c r="B9005" s="324"/>
      <c r="C9005" s="325"/>
      <c r="D9005" s="326"/>
      <c r="E9005" s="326"/>
      <c r="F9005" s="326"/>
      <c r="G9005" s="326"/>
      <c r="H9005" s="326"/>
      <c r="P9005" s="318"/>
      <c r="Q9005" s="318"/>
      <c r="R9005" s="318"/>
      <c r="S9005" s="318"/>
      <c r="T9005" s="318"/>
      <c r="U9005" s="318"/>
      <c r="V9005" s="318"/>
      <c r="W9005" s="318"/>
      <c r="X9005" s="318"/>
      <c r="Y9005" s="318"/>
      <c r="Z9005" s="318"/>
      <c r="AA9005" s="318"/>
      <c r="AB9005" s="318"/>
      <c r="AC9005" s="318"/>
      <c r="AD9005" s="318"/>
    </row>
    <row r="9006" spans="2:30" s="323" customFormat="1" ht="12" customHeight="1">
      <c r="B9006" s="324"/>
      <c r="C9006" s="325"/>
      <c r="D9006" s="326"/>
      <c r="E9006" s="326"/>
      <c r="F9006" s="326"/>
      <c r="G9006" s="326"/>
      <c r="H9006" s="326"/>
      <c r="P9006" s="318"/>
      <c r="Q9006" s="318"/>
      <c r="R9006" s="318"/>
      <c r="S9006" s="318"/>
      <c r="T9006" s="318"/>
      <c r="U9006" s="318"/>
      <c r="V9006" s="318"/>
      <c r="W9006" s="318"/>
      <c r="X9006" s="318"/>
      <c r="Y9006" s="318"/>
      <c r="Z9006" s="318"/>
      <c r="AA9006" s="318"/>
      <c r="AB9006" s="318"/>
      <c r="AC9006" s="318"/>
      <c r="AD9006" s="318"/>
    </row>
    <row r="9007" spans="2:30" s="323" customFormat="1" ht="12" customHeight="1">
      <c r="B9007" s="324"/>
      <c r="C9007" s="325"/>
      <c r="D9007" s="326"/>
      <c r="E9007" s="326"/>
      <c r="F9007" s="326"/>
      <c r="G9007" s="326"/>
      <c r="H9007" s="326"/>
      <c r="P9007" s="318"/>
      <c r="Q9007" s="318"/>
      <c r="R9007" s="318"/>
      <c r="S9007" s="318"/>
      <c r="T9007" s="318"/>
      <c r="U9007" s="318"/>
      <c r="V9007" s="318"/>
      <c r="W9007" s="318"/>
      <c r="X9007" s="318"/>
      <c r="Y9007" s="318"/>
      <c r="Z9007" s="318"/>
      <c r="AA9007" s="318"/>
      <c r="AB9007" s="318"/>
      <c r="AC9007" s="318"/>
      <c r="AD9007" s="318"/>
    </row>
    <row r="9008" spans="2:30" s="323" customFormat="1" ht="12" customHeight="1">
      <c r="B9008" s="324"/>
      <c r="C9008" s="325"/>
      <c r="D9008" s="326"/>
      <c r="E9008" s="326"/>
      <c r="F9008" s="326"/>
      <c r="G9008" s="326"/>
      <c r="H9008" s="326"/>
      <c r="P9008" s="318"/>
      <c r="Q9008" s="318"/>
      <c r="R9008" s="318"/>
      <c r="S9008" s="318"/>
      <c r="T9008" s="318"/>
      <c r="U9008" s="318"/>
      <c r="V9008" s="318"/>
      <c r="W9008" s="318"/>
      <c r="X9008" s="318"/>
      <c r="Y9008" s="318"/>
      <c r="Z9008" s="318"/>
      <c r="AA9008" s="318"/>
      <c r="AB9008" s="318"/>
      <c r="AC9008" s="318"/>
      <c r="AD9008" s="318"/>
    </row>
    <row r="9009" spans="2:30" s="323" customFormat="1" ht="12" customHeight="1">
      <c r="B9009" s="324"/>
      <c r="C9009" s="325"/>
      <c r="D9009" s="326"/>
      <c r="E9009" s="326"/>
      <c r="F9009" s="326"/>
      <c r="G9009" s="326"/>
      <c r="H9009" s="326"/>
      <c r="P9009" s="318"/>
      <c r="Q9009" s="318"/>
      <c r="R9009" s="318"/>
      <c r="S9009" s="318"/>
      <c r="T9009" s="318"/>
      <c r="U9009" s="318"/>
      <c r="V9009" s="318"/>
      <c r="W9009" s="318"/>
      <c r="X9009" s="318"/>
      <c r="Y9009" s="318"/>
      <c r="Z9009" s="318"/>
      <c r="AA9009" s="318"/>
      <c r="AB9009" s="318"/>
      <c r="AC9009" s="318"/>
      <c r="AD9009" s="318"/>
    </row>
    <row r="9010" spans="2:30" s="323" customFormat="1" ht="12" customHeight="1">
      <c r="B9010" s="324"/>
      <c r="C9010" s="325"/>
      <c r="D9010" s="326"/>
      <c r="E9010" s="326"/>
      <c r="F9010" s="326"/>
      <c r="G9010" s="326"/>
      <c r="H9010" s="326"/>
      <c r="P9010" s="318"/>
      <c r="Q9010" s="318"/>
      <c r="R9010" s="318"/>
      <c r="S9010" s="318"/>
      <c r="T9010" s="318"/>
      <c r="U9010" s="318"/>
      <c r="V9010" s="318"/>
      <c r="W9010" s="318"/>
      <c r="X9010" s="318"/>
      <c r="Y9010" s="318"/>
      <c r="Z9010" s="318"/>
      <c r="AA9010" s="318"/>
      <c r="AB9010" s="318"/>
      <c r="AC9010" s="318"/>
      <c r="AD9010" s="318"/>
    </row>
    <row r="9011" spans="2:30" s="323" customFormat="1" ht="12" customHeight="1">
      <c r="B9011" s="324"/>
      <c r="C9011" s="325"/>
      <c r="D9011" s="326"/>
      <c r="E9011" s="326"/>
      <c r="F9011" s="326"/>
      <c r="G9011" s="326"/>
      <c r="H9011" s="326"/>
      <c r="P9011" s="318"/>
      <c r="Q9011" s="318"/>
      <c r="R9011" s="318"/>
      <c r="S9011" s="318"/>
      <c r="T9011" s="318"/>
      <c r="U9011" s="318"/>
      <c r="V9011" s="318"/>
      <c r="W9011" s="318"/>
      <c r="X9011" s="318"/>
      <c r="Y9011" s="318"/>
      <c r="Z9011" s="318"/>
      <c r="AA9011" s="318"/>
      <c r="AB9011" s="318"/>
      <c r="AC9011" s="318"/>
      <c r="AD9011" s="318"/>
    </row>
    <row r="9012" spans="2:30" s="323" customFormat="1" ht="12" customHeight="1">
      <c r="B9012" s="324"/>
      <c r="C9012" s="325"/>
      <c r="D9012" s="326"/>
      <c r="E9012" s="326"/>
      <c r="F9012" s="326"/>
      <c r="G9012" s="326"/>
      <c r="H9012" s="326"/>
      <c r="P9012" s="318"/>
      <c r="Q9012" s="318"/>
      <c r="R9012" s="318"/>
      <c r="S9012" s="318"/>
      <c r="T9012" s="318"/>
      <c r="U9012" s="318"/>
      <c r="V9012" s="318"/>
      <c r="W9012" s="318"/>
      <c r="X9012" s="318"/>
      <c r="Y9012" s="318"/>
      <c r="Z9012" s="318"/>
      <c r="AA9012" s="318"/>
      <c r="AB9012" s="318"/>
      <c r="AC9012" s="318"/>
      <c r="AD9012" s="318"/>
    </row>
    <row r="9013" spans="2:30" s="323" customFormat="1" ht="12" customHeight="1">
      <c r="B9013" s="324"/>
      <c r="C9013" s="325"/>
      <c r="D9013" s="326"/>
      <c r="E9013" s="326"/>
      <c r="F9013" s="326"/>
      <c r="G9013" s="326"/>
      <c r="H9013" s="326"/>
      <c r="P9013" s="318"/>
      <c r="Q9013" s="318"/>
      <c r="R9013" s="318"/>
      <c r="S9013" s="318"/>
      <c r="T9013" s="318"/>
      <c r="U9013" s="318"/>
      <c r="V9013" s="318"/>
      <c r="W9013" s="318"/>
      <c r="X9013" s="318"/>
      <c r="Y9013" s="318"/>
      <c r="Z9013" s="318"/>
      <c r="AA9013" s="318"/>
      <c r="AB9013" s="318"/>
      <c r="AC9013" s="318"/>
      <c r="AD9013" s="318"/>
    </row>
    <row r="9014" spans="2:30" s="323" customFormat="1" ht="12" customHeight="1">
      <c r="B9014" s="324"/>
      <c r="C9014" s="325"/>
      <c r="D9014" s="326"/>
      <c r="E9014" s="326"/>
      <c r="F9014" s="326"/>
      <c r="G9014" s="326"/>
      <c r="H9014" s="326"/>
      <c r="P9014" s="318"/>
      <c r="Q9014" s="318"/>
      <c r="R9014" s="318"/>
      <c r="S9014" s="318"/>
      <c r="T9014" s="318"/>
      <c r="U9014" s="318"/>
      <c r="V9014" s="318"/>
      <c r="W9014" s="318"/>
      <c r="X9014" s="318"/>
      <c r="Y9014" s="318"/>
      <c r="Z9014" s="318"/>
      <c r="AA9014" s="318"/>
      <c r="AB9014" s="318"/>
      <c r="AC9014" s="318"/>
      <c r="AD9014" s="318"/>
    </row>
    <row r="9015" spans="2:30" s="323" customFormat="1" ht="12" customHeight="1">
      <c r="B9015" s="324"/>
      <c r="C9015" s="325"/>
      <c r="D9015" s="326"/>
      <c r="E9015" s="326"/>
      <c r="F9015" s="326"/>
      <c r="G9015" s="326"/>
      <c r="H9015" s="326"/>
      <c r="P9015" s="318"/>
      <c r="Q9015" s="318"/>
      <c r="R9015" s="318"/>
      <c r="S9015" s="318"/>
      <c r="T9015" s="318"/>
      <c r="U9015" s="318"/>
      <c r="V9015" s="318"/>
      <c r="W9015" s="318"/>
      <c r="X9015" s="318"/>
      <c r="Y9015" s="318"/>
      <c r="Z9015" s="318"/>
      <c r="AA9015" s="318"/>
      <c r="AB9015" s="318"/>
      <c r="AC9015" s="318"/>
      <c r="AD9015" s="318"/>
    </row>
    <row r="9016" spans="2:30" s="323" customFormat="1" ht="12" customHeight="1">
      <c r="B9016" s="324"/>
      <c r="C9016" s="325"/>
      <c r="D9016" s="326"/>
      <c r="E9016" s="326"/>
      <c r="F9016" s="326"/>
      <c r="G9016" s="326"/>
      <c r="H9016" s="326"/>
      <c r="P9016" s="318"/>
      <c r="Q9016" s="318"/>
      <c r="R9016" s="318"/>
      <c r="S9016" s="318"/>
      <c r="T9016" s="318"/>
      <c r="U9016" s="318"/>
      <c r="V9016" s="318"/>
      <c r="W9016" s="318"/>
      <c r="X9016" s="318"/>
      <c r="Y9016" s="318"/>
      <c r="Z9016" s="318"/>
      <c r="AA9016" s="318"/>
      <c r="AB9016" s="318"/>
      <c r="AC9016" s="318"/>
      <c r="AD9016" s="318"/>
    </row>
    <row r="9017" spans="2:30" s="323" customFormat="1" ht="12" customHeight="1">
      <c r="B9017" s="324"/>
      <c r="C9017" s="325"/>
      <c r="D9017" s="326"/>
      <c r="E9017" s="326"/>
      <c r="F9017" s="326"/>
      <c r="G9017" s="326"/>
      <c r="H9017" s="326"/>
      <c r="P9017" s="318"/>
      <c r="Q9017" s="318"/>
      <c r="R9017" s="318"/>
      <c r="S9017" s="318"/>
      <c r="T9017" s="318"/>
      <c r="U9017" s="318"/>
      <c r="V9017" s="318"/>
      <c r="W9017" s="318"/>
      <c r="X9017" s="318"/>
      <c r="Y9017" s="318"/>
      <c r="Z9017" s="318"/>
      <c r="AA9017" s="318"/>
      <c r="AB9017" s="318"/>
      <c r="AC9017" s="318"/>
      <c r="AD9017" s="318"/>
    </row>
    <row r="9018" spans="2:30" s="323" customFormat="1" ht="12" customHeight="1">
      <c r="B9018" s="324"/>
      <c r="C9018" s="325"/>
      <c r="D9018" s="326"/>
      <c r="E9018" s="326"/>
      <c r="F9018" s="326"/>
      <c r="G9018" s="326"/>
      <c r="H9018" s="326"/>
      <c r="P9018" s="318"/>
      <c r="Q9018" s="318"/>
      <c r="R9018" s="318"/>
      <c r="S9018" s="318"/>
      <c r="T9018" s="318"/>
      <c r="U9018" s="318"/>
      <c r="V9018" s="318"/>
      <c r="W9018" s="318"/>
      <c r="X9018" s="318"/>
      <c r="Y9018" s="318"/>
      <c r="Z9018" s="318"/>
      <c r="AA9018" s="318"/>
      <c r="AB9018" s="318"/>
      <c r="AC9018" s="318"/>
      <c r="AD9018" s="318"/>
    </row>
    <row r="9019" spans="2:30" s="323" customFormat="1" ht="12" customHeight="1">
      <c r="B9019" s="324"/>
      <c r="C9019" s="325"/>
      <c r="D9019" s="326"/>
      <c r="E9019" s="326"/>
      <c r="F9019" s="326"/>
      <c r="G9019" s="326"/>
      <c r="H9019" s="326"/>
      <c r="P9019" s="318"/>
      <c r="Q9019" s="318"/>
      <c r="R9019" s="318"/>
      <c r="S9019" s="318"/>
      <c r="T9019" s="318"/>
      <c r="U9019" s="318"/>
      <c r="V9019" s="318"/>
      <c r="W9019" s="318"/>
      <c r="X9019" s="318"/>
      <c r="Y9019" s="318"/>
      <c r="Z9019" s="318"/>
      <c r="AA9019" s="318"/>
      <c r="AB9019" s="318"/>
      <c r="AC9019" s="318"/>
      <c r="AD9019" s="318"/>
    </row>
    <row r="9020" spans="2:30" s="323" customFormat="1" ht="12" customHeight="1">
      <c r="B9020" s="324"/>
      <c r="C9020" s="325"/>
      <c r="D9020" s="326"/>
      <c r="E9020" s="326"/>
      <c r="F9020" s="326"/>
      <c r="G9020" s="326"/>
      <c r="H9020" s="326"/>
      <c r="P9020" s="318"/>
      <c r="Q9020" s="318"/>
      <c r="R9020" s="318"/>
      <c r="S9020" s="318"/>
      <c r="T9020" s="318"/>
      <c r="U9020" s="318"/>
      <c r="V9020" s="318"/>
      <c r="W9020" s="318"/>
      <c r="X9020" s="318"/>
      <c r="Y9020" s="318"/>
      <c r="Z9020" s="318"/>
      <c r="AA9020" s="318"/>
      <c r="AB9020" s="318"/>
      <c r="AC9020" s="318"/>
      <c r="AD9020" s="318"/>
    </row>
    <row r="9021" spans="2:30" s="323" customFormat="1" ht="12" customHeight="1">
      <c r="B9021" s="324"/>
      <c r="C9021" s="325"/>
      <c r="D9021" s="326"/>
      <c r="E9021" s="326"/>
      <c r="F9021" s="326"/>
      <c r="G9021" s="326"/>
      <c r="H9021" s="326"/>
      <c r="P9021" s="318"/>
      <c r="Q9021" s="318"/>
      <c r="R9021" s="318"/>
      <c r="S9021" s="318"/>
      <c r="T9021" s="318"/>
      <c r="U9021" s="318"/>
      <c r="V9021" s="318"/>
      <c r="W9021" s="318"/>
      <c r="X9021" s="318"/>
      <c r="Y9021" s="318"/>
      <c r="Z9021" s="318"/>
      <c r="AA9021" s="318"/>
      <c r="AB9021" s="318"/>
      <c r="AC9021" s="318"/>
      <c r="AD9021" s="318"/>
    </row>
    <row r="9022" spans="2:30" s="323" customFormat="1" ht="12" customHeight="1">
      <c r="B9022" s="324"/>
      <c r="C9022" s="325"/>
      <c r="D9022" s="326"/>
      <c r="E9022" s="326"/>
      <c r="F9022" s="326"/>
      <c r="G9022" s="326"/>
      <c r="H9022" s="326"/>
      <c r="P9022" s="318"/>
      <c r="Q9022" s="318"/>
      <c r="R9022" s="318"/>
      <c r="S9022" s="318"/>
      <c r="T9022" s="318"/>
      <c r="U9022" s="318"/>
      <c r="V9022" s="318"/>
      <c r="W9022" s="318"/>
      <c r="X9022" s="318"/>
      <c r="Y9022" s="318"/>
      <c r="Z9022" s="318"/>
      <c r="AA9022" s="318"/>
      <c r="AB9022" s="318"/>
      <c r="AC9022" s="318"/>
      <c r="AD9022" s="318"/>
    </row>
    <row r="9023" spans="2:30" s="323" customFormat="1" ht="12" customHeight="1">
      <c r="B9023" s="324"/>
      <c r="C9023" s="325"/>
      <c r="D9023" s="326"/>
      <c r="E9023" s="326"/>
      <c r="F9023" s="326"/>
      <c r="G9023" s="326"/>
      <c r="H9023" s="326"/>
      <c r="P9023" s="318"/>
      <c r="Q9023" s="318"/>
      <c r="R9023" s="318"/>
      <c r="S9023" s="318"/>
      <c r="T9023" s="318"/>
      <c r="U9023" s="318"/>
      <c r="V9023" s="318"/>
      <c r="W9023" s="318"/>
      <c r="X9023" s="318"/>
      <c r="Y9023" s="318"/>
      <c r="Z9023" s="318"/>
      <c r="AA9023" s="318"/>
      <c r="AB9023" s="318"/>
      <c r="AC9023" s="318"/>
      <c r="AD9023" s="318"/>
    </row>
    <row r="9024" spans="2:30" s="323" customFormat="1" ht="12" customHeight="1">
      <c r="B9024" s="324"/>
      <c r="C9024" s="325"/>
      <c r="D9024" s="326"/>
      <c r="E9024" s="326"/>
      <c r="F9024" s="326"/>
      <c r="G9024" s="326"/>
      <c r="H9024" s="326"/>
      <c r="P9024" s="318"/>
      <c r="Q9024" s="318"/>
      <c r="R9024" s="318"/>
      <c r="S9024" s="318"/>
      <c r="T9024" s="318"/>
      <c r="U9024" s="318"/>
      <c r="V9024" s="318"/>
      <c r="W9024" s="318"/>
      <c r="X9024" s="318"/>
      <c r="Y9024" s="318"/>
      <c r="Z9024" s="318"/>
      <c r="AA9024" s="318"/>
      <c r="AB9024" s="318"/>
      <c r="AC9024" s="318"/>
      <c r="AD9024" s="318"/>
    </row>
    <row r="9025" spans="2:30" s="323" customFormat="1" ht="12" customHeight="1">
      <c r="B9025" s="324"/>
      <c r="C9025" s="325"/>
      <c r="D9025" s="326"/>
      <c r="E9025" s="326"/>
      <c r="F9025" s="326"/>
      <c r="G9025" s="326"/>
      <c r="H9025" s="326"/>
      <c r="P9025" s="318"/>
      <c r="Q9025" s="318"/>
      <c r="R9025" s="318"/>
      <c r="S9025" s="318"/>
      <c r="T9025" s="318"/>
      <c r="U9025" s="318"/>
      <c r="V9025" s="318"/>
      <c r="W9025" s="318"/>
      <c r="X9025" s="318"/>
      <c r="Y9025" s="318"/>
      <c r="Z9025" s="318"/>
      <c r="AA9025" s="318"/>
      <c r="AB9025" s="318"/>
      <c r="AC9025" s="318"/>
      <c r="AD9025" s="318"/>
    </row>
    <row r="9026" spans="2:30" s="323" customFormat="1" ht="12" customHeight="1">
      <c r="B9026" s="324"/>
      <c r="C9026" s="325"/>
      <c r="D9026" s="326"/>
      <c r="E9026" s="326"/>
      <c r="F9026" s="326"/>
      <c r="G9026" s="326"/>
      <c r="H9026" s="326"/>
      <c r="P9026" s="318"/>
      <c r="Q9026" s="318"/>
      <c r="R9026" s="318"/>
      <c r="S9026" s="318"/>
      <c r="T9026" s="318"/>
      <c r="U9026" s="318"/>
      <c r="V9026" s="318"/>
      <c r="W9026" s="318"/>
      <c r="X9026" s="318"/>
      <c r="Y9026" s="318"/>
      <c r="Z9026" s="318"/>
      <c r="AA9026" s="318"/>
      <c r="AB9026" s="318"/>
      <c r="AC9026" s="318"/>
      <c r="AD9026" s="318"/>
    </row>
    <row r="9027" spans="2:30" s="323" customFormat="1" ht="12" customHeight="1">
      <c r="B9027" s="324"/>
      <c r="C9027" s="325"/>
      <c r="D9027" s="326"/>
      <c r="E9027" s="326"/>
      <c r="F9027" s="326"/>
      <c r="G9027" s="326"/>
      <c r="H9027" s="326"/>
      <c r="P9027" s="318"/>
      <c r="Q9027" s="318"/>
      <c r="R9027" s="318"/>
      <c r="S9027" s="318"/>
      <c r="T9027" s="318"/>
      <c r="U9027" s="318"/>
      <c r="V9027" s="318"/>
      <c r="W9027" s="318"/>
      <c r="X9027" s="318"/>
      <c r="Y9027" s="318"/>
      <c r="Z9027" s="318"/>
      <c r="AA9027" s="318"/>
      <c r="AB9027" s="318"/>
      <c r="AC9027" s="318"/>
      <c r="AD9027" s="318"/>
    </row>
    <row r="9028" spans="2:30" s="323" customFormat="1" ht="12" customHeight="1">
      <c r="B9028" s="324"/>
      <c r="C9028" s="325"/>
      <c r="D9028" s="326"/>
      <c r="E9028" s="326"/>
      <c r="F9028" s="326"/>
      <c r="G9028" s="326"/>
      <c r="H9028" s="326"/>
      <c r="P9028" s="318"/>
      <c r="Q9028" s="318"/>
      <c r="R9028" s="318"/>
      <c r="S9028" s="318"/>
      <c r="T9028" s="318"/>
      <c r="U9028" s="318"/>
      <c r="V9028" s="318"/>
      <c r="W9028" s="318"/>
      <c r="X9028" s="318"/>
      <c r="Y9028" s="318"/>
      <c r="Z9028" s="318"/>
      <c r="AA9028" s="318"/>
      <c r="AB9028" s="318"/>
      <c r="AC9028" s="318"/>
      <c r="AD9028" s="318"/>
    </row>
    <row r="9029" spans="2:30" s="323" customFormat="1" ht="12" customHeight="1">
      <c r="B9029" s="324"/>
      <c r="C9029" s="325"/>
      <c r="D9029" s="326"/>
      <c r="E9029" s="326"/>
      <c r="F9029" s="326"/>
      <c r="G9029" s="326"/>
      <c r="H9029" s="326"/>
      <c r="P9029" s="318"/>
      <c r="Q9029" s="318"/>
      <c r="R9029" s="318"/>
      <c r="S9029" s="318"/>
      <c r="T9029" s="318"/>
      <c r="U9029" s="318"/>
      <c r="V9029" s="318"/>
      <c r="W9029" s="318"/>
      <c r="X9029" s="318"/>
      <c r="Y9029" s="318"/>
      <c r="Z9029" s="318"/>
      <c r="AA9029" s="318"/>
      <c r="AB9029" s="318"/>
      <c r="AC9029" s="318"/>
      <c r="AD9029" s="318"/>
    </row>
    <row r="9030" spans="2:30" s="323" customFormat="1" ht="12" customHeight="1">
      <c r="B9030" s="324"/>
      <c r="C9030" s="325"/>
      <c r="D9030" s="326"/>
      <c r="E9030" s="326"/>
      <c r="F9030" s="326"/>
      <c r="G9030" s="326"/>
      <c r="H9030" s="326"/>
      <c r="P9030" s="318"/>
      <c r="Q9030" s="318"/>
      <c r="R9030" s="318"/>
      <c r="S9030" s="318"/>
      <c r="T9030" s="318"/>
      <c r="U9030" s="318"/>
      <c r="V9030" s="318"/>
      <c r="W9030" s="318"/>
      <c r="X9030" s="318"/>
      <c r="Y9030" s="318"/>
      <c r="Z9030" s="318"/>
      <c r="AA9030" s="318"/>
      <c r="AB9030" s="318"/>
      <c r="AC9030" s="318"/>
      <c r="AD9030" s="318"/>
    </row>
    <row r="9031" spans="2:30" s="323" customFormat="1" ht="12" customHeight="1">
      <c r="B9031" s="324"/>
      <c r="C9031" s="325"/>
      <c r="D9031" s="326"/>
      <c r="E9031" s="326"/>
      <c r="F9031" s="326"/>
      <c r="G9031" s="326"/>
      <c r="H9031" s="326"/>
      <c r="P9031" s="318"/>
      <c r="Q9031" s="318"/>
      <c r="R9031" s="318"/>
      <c r="S9031" s="318"/>
      <c r="T9031" s="318"/>
      <c r="U9031" s="318"/>
      <c r="V9031" s="318"/>
      <c r="W9031" s="318"/>
      <c r="X9031" s="318"/>
      <c r="Y9031" s="318"/>
      <c r="Z9031" s="318"/>
      <c r="AA9031" s="318"/>
      <c r="AB9031" s="318"/>
      <c r="AC9031" s="318"/>
      <c r="AD9031" s="318"/>
    </row>
    <row r="9032" spans="2:30" s="323" customFormat="1" ht="12" customHeight="1">
      <c r="B9032" s="324"/>
      <c r="C9032" s="325"/>
      <c r="D9032" s="326"/>
      <c r="E9032" s="326"/>
      <c r="F9032" s="326"/>
      <c r="G9032" s="326"/>
      <c r="H9032" s="326"/>
      <c r="P9032" s="318"/>
      <c r="Q9032" s="318"/>
      <c r="R9032" s="318"/>
      <c r="S9032" s="318"/>
      <c r="T9032" s="318"/>
      <c r="U9032" s="318"/>
      <c r="V9032" s="318"/>
      <c r="W9032" s="318"/>
      <c r="X9032" s="318"/>
      <c r="Y9032" s="318"/>
      <c r="Z9032" s="318"/>
      <c r="AA9032" s="318"/>
      <c r="AB9032" s="318"/>
      <c r="AC9032" s="318"/>
      <c r="AD9032" s="318"/>
    </row>
    <row r="9033" spans="2:30" s="323" customFormat="1" ht="12" customHeight="1">
      <c r="B9033" s="324"/>
      <c r="C9033" s="325"/>
      <c r="D9033" s="326"/>
      <c r="E9033" s="326"/>
      <c r="F9033" s="326"/>
      <c r="G9033" s="326"/>
      <c r="H9033" s="326"/>
      <c r="P9033" s="318"/>
      <c r="Q9033" s="318"/>
      <c r="R9033" s="318"/>
      <c r="S9033" s="318"/>
      <c r="T9033" s="318"/>
      <c r="U9033" s="318"/>
      <c r="V9033" s="318"/>
      <c r="W9033" s="318"/>
      <c r="X9033" s="318"/>
      <c r="Y9033" s="318"/>
      <c r="Z9033" s="318"/>
      <c r="AA9033" s="318"/>
      <c r="AB9033" s="318"/>
      <c r="AC9033" s="318"/>
      <c r="AD9033" s="318"/>
    </row>
    <row r="9034" spans="2:30" s="323" customFormat="1" ht="12" customHeight="1">
      <c r="B9034" s="324"/>
      <c r="C9034" s="325"/>
      <c r="D9034" s="326"/>
      <c r="E9034" s="326"/>
      <c r="F9034" s="326"/>
      <c r="G9034" s="326"/>
      <c r="H9034" s="326"/>
      <c r="P9034" s="318"/>
      <c r="Q9034" s="318"/>
      <c r="R9034" s="318"/>
      <c r="S9034" s="318"/>
      <c r="T9034" s="318"/>
      <c r="U9034" s="318"/>
      <c r="V9034" s="318"/>
      <c r="W9034" s="318"/>
      <c r="X9034" s="318"/>
      <c r="Y9034" s="318"/>
      <c r="Z9034" s="318"/>
      <c r="AA9034" s="318"/>
      <c r="AB9034" s="318"/>
      <c r="AC9034" s="318"/>
      <c r="AD9034" s="318"/>
    </row>
    <row r="9035" spans="2:30" s="323" customFormat="1" ht="12" customHeight="1">
      <c r="B9035" s="324"/>
      <c r="C9035" s="325"/>
      <c r="D9035" s="326"/>
      <c r="E9035" s="326"/>
      <c r="F9035" s="326"/>
      <c r="G9035" s="326"/>
      <c r="H9035" s="326"/>
      <c r="P9035" s="318"/>
      <c r="Q9035" s="318"/>
      <c r="R9035" s="318"/>
      <c r="S9035" s="318"/>
      <c r="T9035" s="318"/>
      <c r="U9035" s="318"/>
      <c r="V9035" s="318"/>
      <c r="W9035" s="318"/>
      <c r="X9035" s="318"/>
      <c r="Y9035" s="318"/>
      <c r="Z9035" s="318"/>
      <c r="AA9035" s="318"/>
      <c r="AB9035" s="318"/>
      <c r="AC9035" s="318"/>
      <c r="AD9035" s="318"/>
    </row>
    <row r="9036" spans="2:30" s="323" customFormat="1" ht="12" customHeight="1">
      <c r="B9036" s="324"/>
      <c r="C9036" s="325"/>
      <c r="D9036" s="326"/>
      <c r="E9036" s="326"/>
      <c r="F9036" s="326"/>
      <c r="G9036" s="326"/>
      <c r="H9036" s="326"/>
      <c r="P9036" s="318"/>
      <c r="Q9036" s="318"/>
      <c r="R9036" s="318"/>
      <c r="S9036" s="318"/>
      <c r="T9036" s="318"/>
      <c r="U9036" s="318"/>
      <c r="V9036" s="318"/>
      <c r="W9036" s="318"/>
      <c r="X9036" s="318"/>
      <c r="Y9036" s="318"/>
      <c r="Z9036" s="318"/>
      <c r="AA9036" s="318"/>
      <c r="AB9036" s="318"/>
      <c r="AC9036" s="318"/>
      <c r="AD9036" s="318"/>
    </row>
    <row r="9037" spans="2:30" s="323" customFormat="1" ht="12" customHeight="1">
      <c r="B9037" s="324"/>
      <c r="C9037" s="325"/>
      <c r="D9037" s="326"/>
      <c r="E9037" s="326"/>
      <c r="F9037" s="326"/>
      <c r="G9037" s="326"/>
      <c r="H9037" s="326"/>
      <c r="P9037" s="318"/>
      <c r="Q9037" s="318"/>
      <c r="R9037" s="318"/>
      <c r="S9037" s="318"/>
      <c r="T9037" s="318"/>
      <c r="U9037" s="318"/>
      <c r="V9037" s="318"/>
      <c r="W9037" s="318"/>
      <c r="X9037" s="318"/>
      <c r="Y9037" s="318"/>
      <c r="Z9037" s="318"/>
      <c r="AA9037" s="318"/>
      <c r="AB9037" s="318"/>
      <c r="AC9037" s="318"/>
      <c r="AD9037" s="318"/>
    </row>
    <row r="9038" spans="2:30" s="323" customFormat="1" ht="12" customHeight="1">
      <c r="B9038" s="324"/>
      <c r="C9038" s="325"/>
      <c r="D9038" s="326"/>
      <c r="E9038" s="326"/>
      <c r="F9038" s="326"/>
      <c r="G9038" s="326"/>
      <c r="H9038" s="326"/>
      <c r="P9038" s="318"/>
      <c r="Q9038" s="318"/>
      <c r="R9038" s="318"/>
      <c r="S9038" s="318"/>
      <c r="T9038" s="318"/>
      <c r="U9038" s="318"/>
      <c r="V9038" s="318"/>
      <c r="W9038" s="318"/>
      <c r="X9038" s="318"/>
      <c r="Y9038" s="318"/>
      <c r="Z9038" s="318"/>
      <c r="AA9038" s="318"/>
      <c r="AB9038" s="318"/>
      <c r="AC9038" s="318"/>
      <c r="AD9038" s="318"/>
    </row>
    <row r="9039" spans="2:30" s="323" customFormat="1" ht="12" customHeight="1">
      <c r="B9039" s="324"/>
      <c r="C9039" s="325"/>
      <c r="D9039" s="326"/>
      <c r="E9039" s="326"/>
      <c r="F9039" s="326"/>
      <c r="G9039" s="326"/>
      <c r="H9039" s="326"/>
      <c r="P9039" s="318"/>
      <c r="Q9039" s="318"/>
      <c r="R9039" s="318"/>
      <c r="S9039" s="318"/>
      <c r="T9039" s="318"/>
      <c r="U9039" s="318"/>
      <c r="V9039" s="318"/>
      <c r="W9039" s="318"/>
      <c r="X9039" s="318"/>
      <c r="Y9039" s="318"/>
      <c r="Z9039" s="318"/>
      <c r="AA9039" s="318"/>
      <c r="AB9039" s="318"/>
      <c r="AC9039" s="318"/>
      <c r="AD9039" s="318"/>
    </row>
    <row r="9040" spans="2:30" s="323" customFormat="1" ht="12" customHeight="1">
      <c r="B9040" s="324"/>
      <c r="C9040" s="325"/>
      <c r="D9040" s="326"/>
      <c r="E9040" s="326"/>
      <c r="F9040" s="326"/>
      <c r="G9040" s="326"/>
      <c r="H9040" s="326"/>
      <c r="P9040" s="318"/>
      <c r="Q9040" s="318"/>
      <c r="R9040" s="318"/>
      <c r="S9040" s="318"/>
      <c r="T9040" s="318"/>
      <c r="U9040" s="318"/>
      <c r="V9040" s="318"/>
      <c r="W9040" s="318"/>
      <c r="X9040" s="318"/>
      <c r="Y9040" s="318"/>
      <c r="Z9040" s="318"/>
      <c r="AA9040" s="318"/>
      <c r="AB9040" s="318"/>
      <c r="AC9040" s="318"/>
      <c r="AD9040" s="318"/>
    </row>
    <row r="9041" spans="2:30" s="323" customFormat="1" ht="12" customHeight="1">
      <c r="B9041" s="324"/>
      <c r="C9041" s="325"/>
      <c r="D9041" s="326"/>
      <c r="E9041" s="326"/>
      <c r="F9041" s="326"/>
      <c r="G9041" s="326"/>
      <c r="H9041" s="326"/>
      <c r="P9041" s="318"/>
      <c r="Q9041" s="318"/>
      <c r="R9041" s="318"/>
      <c r="S9041" s="318"/>
      <c r="T9041" s="318"/>
      <c r="U9041" s="318"/>
      <c r="V9041" s="318"/>
      <c r="W9041" s="318"/>
      <c r="X9041" s="318"/>
      <c r="Y9041" s="318"/>
      <c r="Z9041" s="318"/>
      <c r="AA9041" s="318"/>
      <c r="AB9041" s="318"/>
      <c r="AC9041" s="318"/>
      <c r="AD9041" s="318"/>
    </row>
    <row r="9042" spans="2:30" s="323" customFormat="1" ht="12" customHeight="1">
      <c r="B9042" s="324"/>
      <c r="C9042" s="325"/>
      <c r="D9042" s="326"/>
      <c r="E9042" s="326"/>
      <c r="F9042" s="326"/>
      <c r="G9042" s="326"/>
      <c r="H9042" s="326"/>
      <c r="P9042" s="318"/>
      <c r="Q9042" s="318"/>
      <c r="R9042" s="318"/>
      <c r="S9042" s="318"/>
      <c r="T9042" s="318"/>
      <c r="U9042" s="318"/>
      <c r="V9042" s="318"/>
      <c r="W9042" s="318"/>
      <c r="X9042" s="318"/>
      <c r="Y9042" s="318"/>
      <c r="Z9042" s="318"/>
      <c r="AA9042" s="318"/>
      <c r="AB9042" s="318"/>
      <c r="AC9042" s="318"/>
      <c r="AD9042" s="318"/>
    </row>
    <row r="9043" spans="2:30" s="323" customFormat="1" ht="12" customHeight="1">
      <c r="B9043" s="324"/>
      <c r="C9043" s="325"/>
      <c r="D9043" s="326"/>
      <c r="E9043" s="326"/>
      <c r="F9043" s="326"/>
      <c r="G9043" s="326"/>
      <c r="H9043" s="326"/>
      <c r="P9043" s="318"/>
      <c r="Q9043" s="318"/>
      <c r="R9043" s="318"/>
      <c r="S9043" s="318"/>
      <c r="T9043" s="318"/>
      <c r="U9043" s="318"/>
      <c r="V9043" s="318"/>
      <c r="W9043" s="318"/>
      <c r="X9043" s="318"/>
      <c r="Y9043" s="318"/>
      <c r="Z9043" s="318"/>
      <c r="AA9043" s="318"/>
      <c r="AB9043" s="318"/>
      <c r="AC9043" s="318"/>
      <c r="AD9043" s="318"/>
    </row>
    <row r="9044" spans="2:30" s="323" customFormat="1" ht="12" customHeight="1">
      <c r="B9044" s="324"/>
      <c r="C9044" s="325"/>
      <c r="D9044" s="326"/>
      <c r="E9044" s="326"/>
      <c r="F9044" s="326"/>
      <c r="G9044" s="326"/>
      <c r="H9044" s="326"/>
      <c r="P9044" s="318"/>
      <c r="Q9044" s="318"/>
      <c r="R9044" s="318"/>
      <c r="S9044" s="318"/>
      <c r="T9044" s="318"/>
      <c r="U9044" s="318"/>
      <c r="V9044" s="318"/>
      <c r="W9044" s="318"/>
      <c r="X9044" s="318"/>
      <c r="Y9044" s="318"/>
      <c r="Z9044" s="318"/>
      <c r="AA9044" s="318"/>
      <c r="AB9044" s="318"/>
      <c r="AC9044" s="318"/>
      <c r="AD9044" s="318"/>
    </row>
    <row r="9045" spans="2:30" s="323" customFormat="1" ht="12" customHeight="1">
      <c r="B9045" s="324"/>
      <c r="C9045" s="325"/>
      <c r="D9045" s="326"/>
      <c r="E9045" s="326"/>
      <c r="F9045" s="326"/>
      <c r="G9045" s="326"/>
      <c r="H9045" s="326"/>
      <c r="P9045" s="318"/>
      <c r="Q9045" s="318"/>
      <c r="R9045" s="318"/>
      <c r="S9045" s="318"/>
      <c r="T9045" s="318"/>
      <c r="U9045" s="318"/>
      <c r="V9045" s="318"/>
      <c r="W9045" s="318"/>
      <c r="X9045" s="318"/>
      <c r="Y9045" s="318"/>
      <c r="Z9045" s="318"/>
      <c r="AA9045" s="318"/>
      <c r="AB9045" s="318"/>
      <c r="AC9045" s="318"/>
      <c r="AD9045" s="318"/>
    </row>
    <row r="9046" spans="2:30" s="323" customFormat="1" ht="12" customHeight="1">
      <c r="B9046" s="324"/>
      <c r="C9046" s="325"/>
      <c r="D9046" s="326"/>
      <c r="E9046" s="326"/>
      <c r="F9046" s="326"/>
      <c r="G9046" s="326"/>
      <c r="H9046" s="326"/>
      <c r="P9046" s="318"/>
      <c r="Q9046" s="318"/>
      <c r="R9046" s="318"/>
      <c r="S9046" s="318"/>
      <c r="T9046" s="318"/>
      <c r="U9046" s="318"/>
      <c r="V9046" s="318"/>
      <c r="W9046" s="318"/>
      <c r="X9046" s="318"/>
      <c r="Y9046" s="318"/>
      <c r="Z9046" s="318"/>
      <c r="AA9046" s="318"/>
      <c r="AB9046" s="318"/>
      <c r="AC9046" s="318"/>
      <c r="AD9046" s="318"/>
    </row>
    <row r="9047" spans="2:30" s="323" customFormat="1" ht="12" customHeight="1">
      <c r="B9047" s="324"/>
      <c r="C9047" s="325"/>
      <c r="D9047" s="326"/>
      <c r="E9047" s="326"/>
      <c r="F9047" s="326"/>
      <c r="G9047" s="326"/>
      <c r="H9047" s="326"/>
      <c r="P9047" s="318"/>
      <c r="Q9047" s="318"/>
      <c r="R9047" s="318"/>
      <c r="S9047" s="318"/>
      <c r="T9047" s="318"/>
      <c r="U9047" s="318"/>
      <c r="V9047" s="318"/>
      <c r="W9047" s="318"/>
      <c r="X9047" s="318"/>
      <c r="Y9047" s="318"/>
      <c r="Z9047" s="318"/>
      <c r="AA9047" s="318"/>
      <c r="AB9047" s="318"/>
      <c r="AC9047" s="318"/>
      <c r="AD9047" s="318"/>
    </row>
    <row r="9048" spans="2:30" s="323" customFormat="1" ht="12" customHeight="1">
      <c r="B9048" s="324"/>
      <c r="C9048" s="325"/>
      <c r="D9048" s="326"/>
      <c r="E9048" s="326"/>
      <c r="F9048" s="326"/>
      <c r="G9048" s="326"/>
      <c r="H9048" s="326"/>
      <c r="P9048" s="318"/>
      <c r="Q9048" s="318"/>
      <c r="R9048" s="318"/>
      <c r="S9048" s="318"/>
      <c r="T9048" s="318"/>
      <c r="U9048" s="318"/>
      <c r="V9048" s="318"/>
      <c r="W9048" s="318"/>
      <c r="X9048" s="318"/>
      <c r="Y9048" s="318"/>
      <c r="Z9048" s="318"/>
      <c r="AA9048" s="318"/>
      <c r="AB9048" s="318"/>
      <c r="AC9048" s="318"/>
      <c r="AD9048" s="318"/>
    </row>
    <row r="9049" spans="2:30" s="323" customFormat="1" ht="12" customHeight="1">
      <c r="B9049" s="324"/>
      <c r="C9049" s="325"/>
      <c r="D9049" s="326"/>
      <c r="E9049" s="326"/>
      <c r="F9049" s="326"/>
      <c r="G9049" s="326"/>
      <c r="H9049" s="326"/>
      <c r="P9049" s="318"/>
      <c r="Q9049" s="318"/>
      <c r="R9049" s="318"/>
      <c r="S9049" s="318"/>
      <c r="T9049" s="318"/>
      <c r="U9049" s="318"/>
      <c r="V9049" s="318"/>
      <c r="W9049" s="318"/>
      <c r="X9049" s="318"/>
      <c r="Y9049" s="318"/>
      <c r="Z9049" s="318"/>
      <c r="AA9049" s="318"/>
      <c r="AB9049" s="318"/>
      <c r="AC9049" s="318"/>
      <c r="AD9049" s="318"/>
    </row>
    <row r="9050" spans="2:30" s="323" customFormat="1" ht="12" customHeight="1">
      <c r="B9050" s="324"/>
      <c r="C9050" s="325"/>
      <c r="D9050" s="326"/>
      <c r="E9050" s="326"/>
      <c r="F9050" s="326"/>
      <c r="G9050" s="326"/>
      <c r="H9050" s="326"/>
      <c r="P9050" s="318"/>
      <c r="Q9050" s="318"/>
      <c r="R9050" s="318"/>
      <c r="S9050" s="318"/>
      <c r="T9050" s="318"/>
      <c r="U9050" s="318"/>
      <c r="V9050" s="318"/>
      <c r="W9050" s="318"/>
      <c r="X9050" s="318"/>
      <c r="Y9050" s="318"/>
      <c r="Z9050" s="318"/>
      <c r="AA9050" s="318"/>
      <c r="AB9050" s="318"/>
      <c r="AC9050" s="318"/>
      <c r="AD9050" s="318"/>
    </row>
    <row r="9051" spans="2:30" s="323" customFormat="1" ht="12" customHeight="1">
      <c r="B9051" s="324"/>
      <c r="C9051" s="325"/>
      <c r="D9051" s="326"/>
      <c r="E9051" s="326"/>
      <c r="F9051" s="326"/>
      <c r="G9051" s="326"/>
      <c r="H9051" s="326"/>
      <c r="P9051" s="318"/>
      <c r="Q9051" s="318"/>
      <c r="R9051" s="318"/>
      <c r="S9051" s="318"/>
      <c r="T9051" s="318"/>
      <c r="U9051" s="318"/>
      <c r="V9051" s="318"/>
      <c r="W9051" s="318"/>
      <c r="X9051" s="318"/>
      <c r="Y9051" s="318"/>
      <c r="Z9051" s="318"/>
      <c r="AA9051" s="318"/>
      <c r="AB9051" s="318"/>
      <c r="AC9051" s="318"/>
      <c r="AD9051" s="318"/>
    </row>
    <row r="9052" spans="2:30" s="323" customFormat="1" ht="12" customHeight="1">
      <c r="B9052" s="324"/>
      <c r="C9052" s="325"/>
      <c r="D9052" s="326"/>
      <c r="E9052" s="326"/>
      <c r="F9052" s="326"/>
      <c r="G9052" s="326"/>
      <c r="H9052" s="326"/>
      <c r="P9052" s="318"/>
      <c r="Q9052" s="318"/>
      <c r="R9052" s="318"/>
      <c r="S9052" s="318"/>
      <c r="T9052" s="318"/>
      <c r="U9052" s="318"/>
      <c r="V9052" s="318"/>
      <c r="W9052" s="318"/>
      <c r="X9052" s="318"/>
      <c r="Y9052" s="318"/>
      <c r="Z9052" s="318"/>
      <c r="AA9052" s="318"/>
      <c r="AB9052" s="318"/>
      <c r="AC9052" s="318"/>
      <c r="AD9052" s="318"/>
    </row>
    <row r="9053" spans="2:30" s="323" customFormat="1" ht="12" customHeight="1">
      <c r="B9053" s="324"/>
      <c r="C9053" s="325"/>
      <c r="D9053" s="326"/>
      <c r="E9053" s="326"/>
      <c r="F9053" s="326"/>
      <c r="G9053" s="326"/>
      <c r="H9053" s="326"/>
      <c r="P9053" s="318"/>
      <c r="Q9053" s="318"/>
      <c r="R9053" s="318"/>
      <c r="S9053" s="318"/>
      <c r="T9053" s="318"/>
      <c r="U9053" s="318"/>
      <c r="V9053" s="318"/>
      <c r="W9053" s="318"/>
      <c r="X9053" s="318"/>
      <c r="Y9053" s="318"/>
      <c r="Z9053" s="318"/>
      <c r="AA9053" s="318"/>
      <c r="AB9053" s="318"/>
      <c r="AC9053" s="318"/>
      <c r="AD9053" s="318"/>
    </row>
    <row r="9054" spans="2:30" s="323" customFormat="1" ht="12" customHeight="1">
      <c r="B9054" s="324"/>
      <c r="C9054" s="325"/>
      <c r="D9054" s="326"/>
      <c r="E9054" s="326"/>
      <c r="F9054" s="326"/>
      <c r="G9054" s="326"/>
      <c r="H9054" s="326"/>
      <c r="P9054" s="318"/>
      <c r="Q9054" s="318"/>
      <c r="R9054" s="318"/>
      <c r="S9054" s="318"/>
      <c r="T9054" s="318"/>
      <c r="U9054" s="318"/>
      <c r="V9054" s="318"/>
      <c r="W9054" s="318"/>
      <c r="X9054" s="318"/>
      <c r="Y9054" s="318"/>
      <c r="Z9054" s="318"/>
      <c r="AA9054" s="318"/>
      <c r="AB9054" s="318"/>
      <c r="AC9054" s="318"/>
      <c r="AD9054" s="318"/>
    </row>
    <row r="9055" spans="2:30" s="323" customFormat="1" ht="12" customHeight="1">
      <c r="B9055" s="324"/>
      <c r="C9055" s="325"/>
      <c r="D9055" s="326"/>
      <c r="E9055" s="326"/>
      <c r="F9055" s="326"/>
      <c r="G9055" s="326"/>
      <c r="H9055" s="326"/>
      <c r="P9055" s="318"/>
      <c r="Q9055" s="318"/>
      <c r="R9055" s="318"/>
      <c r="S9055" s="318"/>
      <c r="T9055" s="318"/>
      <c r="U9055" s="318"/>
      <c r="V9055" s="318"/>
      <c r="W9055" s="318"/>
      <c r="X9055" s="318"/>
      <c r="Y9055" s="318"/>
      <c r="Z9055" s="318"/>
      <c r="AA9055" s="318"/>
      <c r="AB9055" s="318"/>
      <c r="AC9055" s="318"/>
      <c r="AD9055" s="318"/>
    </row>
    <row r="9056" spans="2:30" s="323" customFormat="1" ht="12" customHeight="1">
      <c r="B9056" s="324"/>
      <c r="C9056" s="325"/>
      <c r="D9056" s="326"/>
      <c r="E9056" s="326"/>
      <c r="F9056" s="326"/>
      <c r="G9056" s="326"/>
      <c r="H9056" s="326"/>
      <c r="P9056" s="318"/>
      <c r="Q9056" s="318"/>
      <c r="R9056" s="318"/>
      <c r="S9056" s="318"/>
      <c r="T9056" s="318"/>
      <c r="U9056" s="318"/>
      <c r="V9056" s="318"/>
      <c r="W9056" s="318"/>
      <c r="X9056" s="318"/>
      <c r="Y9056" s="318"/>
      <c r="Z9056" s="318"/>
      <c r="AA9056" s="318"/>
      <c r="AB9056" s="318"/>
      <c r="AC9056" s="318"/>
      <c r="AD9056" s="318"/>
    </row>
    <row r="9057" spans="2:30" s="323" customFormat="1" ht="12" customHeight="1">
      <c r="B9057" s="324"/>
      <c r="C9057" s="325"/>
      <c r="D9057" s="326"/>
      <c r="E9057" s="326"/>
      <c r="F9057" s="326"/>
      <c r="G9057" s="326"/>
      <c r="H9057" s="326"/>
      <c r="P9057" s="318"/>
      <c r="Q9057" s="318"/>
      <c r="R9057" s="318"/>
      <c r="S9057" s="318"/>
      <c r="T9057" s="318"/>
      <c r="U9057" s="318"/>
      <c r="V9057" s="318"/>
      <c r="W9057" s="318"/>
      <c r="X9057" s="318"/>
      <c r="Y9057" s="318"/>
      <c r="Z9057" s="318"/>
      <c r="AA9057" s="318"/>
      <c r="AB9057" s="318"/>
      <c r="AC9057" s="318"/>
      <c r="AD9057" s="318"/>
    </row>
    <row r="9058" spans="2:30" s="323" customFormat="1" ht="12" customHeight="1">
      <c r="B9058" s="324"/>
      <c r="C9058" s="325"/>
      <c r="D9058" s="326"/>
      <c r="E9058" s="326"/>
      <c r="F9058" s="326"/>
      <c r="G9058" s="326"/>
      <c r="H9058" s="326"/>
      <c r="P9058" s="318"/>
      <c r="Q9058" s="318"/>
      <c r="R9058" s="318"/>
      <c r="S9058" s="318"/>
      <c r="T9058" s="318"/>
      <c r="U9058" s="318"/>
      <c r="V9058" s="318"/>
      <c r="W9058" s="318"/>
      <c r="X9058" s="318"/>
      <c r="Y9058" s="318"/>
      <c r="Z9058" s="318"/>
      <c r="AA9058" s="318"/>
      <c r="AB9058" s="318"/>
      <c r="AC9058" s="318"/>
      <c r="AD9058" s="318"/>
    </row>
    <row r="9059" spans="2:30" s="323" customFormat="1" ht="12" customHeight="1">
      <c r="B9059" s="324"/>
      <c r="C9059" s="325"/>
      <c r="D9059" s="326"/>
      <c r="E9059" s="326"/>
      <c r="F9059" s="326"/>
      <c r="G9059" s="326"/>
      <c r="H9059" s="326"/>
      <c r="P9059" s="318"/>
      <c r="Q9059" s="318"/>
      <c r="R9059" s="318"/>
      <c r="S9059" s="318"/>
      <c r="T9059" s="318"/>
      <c r="U9059" s="318"/>
      <c r="V9059" s="318"/>
      <c r="W9059" s="318"/>
      <c r="X9059" s="318"/>
      <c r="Y9059" s="318"/>
      <c r="Z9059" s="318"/>
      <c r="AA9059" s="318"/>
      <c r="AB9059" s="318"/>
      <c r="AC9059" s="318"/>
      <c r="AD9059" s="318"/>
    </row>
    <row r="9060" spans="2:30" s="323" customFormat="1" ht="12" customHeight="1">
      <c r="B9060" s="324"/>
      <c r="C9060" s="325"/>
      <c r="D9060" s="326"/>
      <c r="E9060" s="326"/>
      <c r="F9060" s="326"/>
      <c r="G9060" s="326"/>
      <c r="H9060" s="326"/>
      <c r="P9060" s="318"/>
      <c r="Q9060" s="318"/>
      <c r="R9060" s="318"/>
      <c r="S9060" s="318"/>
      <c r="T9060" s="318"/>
      <c r="U9060" s="318"/>
      <c r="V9060" s="318"/>
      <c r="W9060" s="318"/>
      <c r="X9060" s="318"/>
      <c r="Y9060" s="318"/>
      <c r="Z9060" s="318"/>
      <c r="AA9060" s="318"/>
      <c r="AB9060" s="318"/>
      <c r="AC9060" s="318"/>
      <c r="AD9060" s="318"/>
    </row>
    <row r="9061" spans="2:30" s="323" customFormat="1" ht="12" customHeight="1">
      <c r="B9061" s="324"/>
      <c r="C9061" s="325"/>
      <c r="D9061" s="326"/>
      <c r="E9061" s="326"/>
      <c r="F9061" s="326"/>
      <c r="G9061" s="326"/>
      <c r="H9061" s="326"/>
      <c r="P9061" s="318"/>
      <c r="Q9061" s="318"/>
      <c r="R9061" s="318"/>
      <c r="S9061" s="318"/>
      <c r="T9061" s="318"/>
      <c r="U9061" s="318"/>
      <c r="V9061" s="318"/>
      <c r="W9061" s="318"/>
      <c r="X9061" s="318"/>
      <c r="Y9061" s="318"/>
      <c r="Z9061" s="318"/>
      <c r="AA9061" s="318"/>
      <c r="AB9061" s="318"/>
      <c r="AC9061" s="318"/>
      <c r="AD9061" s="318"/>
    </row>
    <row r="9062" spans="2:30" s="323" customFormat="1" ht="12" customHeight="1">
      <c r="B9062" s="324"/>
      <c r="C9062" s="325"/>
      <c r="D9062" s="326"/>
      <c r="E9062" s="326"/>
      <c r="F9062" s="326"/>
      <c r="G9062" s="326"/>
      <c r="H9062" s="326"/>
      <c r="P9062" s="318"/>
      <c r="Q9062" s="318"/>
      <c r="R9062" s="318"/>
      <c r="S9062" s="318"/>
      <c r="T9062" s="318"/>
      <c r="U9062" s="318"/>
      <c r="V9062" s="318"/>
      <c r="W9062" s="318"/>
      <c r="X9062" s="318"/>
      <c r="Y9062" s="318"/>
      <c r="Z9062" s="318"/>
      <c r="AA9062" s="318"/>
      <c r="AB9062" s="318"/>
      <c r="AC9062" s="318"/>
      <c r="AD9062" s="318"/>
    </row>
    <row r="9063" spans="2:30" s="323" customFormat="1" ht="12" customHeight="1">
      <c r="B9063" s="324"/>
      <c r="C9063" s="325"/>
      <c r="D9063" s="326"/>
      <c r="E9063" s="326"/>
      <c r="F9063" s="326"/>
      <c r="G9063" s="326"/>
      <c r="H9063" s="326"/>
      <c r="P9063" s="318"/>
      <c r="Q9063" s="318"/>
      <c r="R9063" s="318"/>
      <c r="S9063" s="318"/>
      <c r="T9063" s="318"/>
      <c r="U9063" s="318"/>
      <c r="V9063" s="318"/>
      <c r="W9063" s="318"/>
      <c r="X9063" s="318"/>
      <c r="Y9063" s="318"/>
      <c r="Z9063" s="318"/>
      <c r="AA9063" s="318"/>
      <c r="AB9063" s="318"/>
      <c r="AC9063" s="318"/>
      <c r="AD9063" s="318"/>
    </row>
    <row r="9064" spans="2:30" s="323" customFormat="1" ht="12" customHeight="1">
      <c r="B9064" s="324"/>
      <c r="C9064" s="325"/>
      <c r="D9064" s="326"/>
      <c r="E9064" s="326"/>
      <c r="F9064" s="326"/>
      <c r="G9064" s="326"/>
      <c r="H9064" s="326"/>
      <c r="P9064" s="318"/>
      <c r="Q9064" s="318"/>
      <c r="R9064" s="318"/>
      <c r="S9064" s="318"/>
      <c r="T9064" s="318"/>
      <c r="U9064" s="318"/>
      <c r="V9064" s="318"/>
      <c r="W9064" s="318"/>
      <c r="X9064" s="318"/>
      <c r="Y9064" s="318"/>
      <c r="Z9064" s="318"/>
      <c r="AA9064" s="318"/>
      <c r="AB9064" s="318"/>
      <c r="AC9064" s="318"/>
      <c r="AD9064" s="318"/>
    </row>
    <row r="9065" spans="2:30" s="323" customFormat="1" ht="12" customHeight="1">
      <c r="B9065" s="324"/>
      <c r="C9065" s="325"/>
      <c r="D9065" s="326"/>
      <c r="E9065" s="326"/>
      <c r="F9065" s="326"/>
      <c r="G9065" s="326"/>
      <c r="H9065" s="326"/>
      <c r="P9065" s="318"/>
      <c r="Q9065" s="318"/>
      <c r="R9065" s="318"/>
      <c r="S9065" s="318"/>
      <c r="T9065" s="318"/>
      <c r="U9065" s="318"/>
      <c r="V9065" s="318"/>
      <c r="W9065" s="318"/>
      <c r="X9065" s="318"/>
      <c r="Y9065" s="318"/>
      <c r="Z9065" s="318"/>
      <c r="AA9065" s="318"/>
      <c r="AB9065" s="318"/>
      <c r="AC9065" s="318"/>
      <c r="AD9065" s="318"/>
    </row>
    <row r="9066" spans="2:30" s="323" customFormat="1" ht="12" customHeight="1">
      <c r="B9066" s="324"/>
      <c r="C9066" s="325"/>
      <c r="D9066" s="326"/>
      <c r="E9066" s="326"/>
      <c r="F9066" s="326"/>
      <c r="G9066" s="326"/>
      <c r="H9066" s="326"/>
      <c r="P9066" s="318"/>
      <c r="Q9066" s="318"/>
      <c r="R9066" s="318"/>
      <c r="S9066" s="318"/>
      <c r="T9066" s="318"/>
      <c r="U9066" s="318"/>
      <c r="V9066" s="318"/>
      <c r="W9066" s="318"/>
      <c r="X9066" s="318"/>
      <c r="Y9066" s="318"/>
      <c r="Z9066" s="318"/>
      <c r="AA9066" s="318"/>
      <c r="AB9066" s="318"/>
      <c r="AC9066" s="318"/>
      <c r="AD9066" s="318"/>
    </row>
    <row r="9067" spans="2:30" s="323" customFormat="1" ht="12" customHeight="1">
      <c r="B9067" s="324"/>
      <c r="C9067" s="325"/>
      <c r="D9067" s="326"/>
      <c r="E9067" s="326"/>
      <c r="F9067" s="326"/>
      <c r="G9067" s="326"/>
      <c r="H9067" s="326"/>
      <c r="P9067" s="318"/>
      <c r="Q9067" s="318"/>
      <c r="R9067" s="318"/>
      <c r="S9067" s="318"/>
      <c r="T9067" s="318"/>
      <c r="U9067" s="318"/>
      <c r="V9067" s="318"/>
      <c r="W9067" s="318"/>
      <c r="X9067" s="318"/>
      <c r="Y9067" s="318"/>
      <c r="Z9067" s="318"/>
      <c r="AA9067" s="318"/>
      <c r="AB9067" s="318"/>
      <c r="AC9067" s="318"/>
      <c r="AD9067" s="318"/>
    </row>
    <row r="9068" spans="2:30" s="323" customFormat="1" ht="12" customHeight="1">
      <c r="B9068" s="324"/>
      <c r="C9068" s="325"/>
      <c r="D9068" s="326"/>
      <c r="E9068" s="326"/>
      <c r="F9068" s="326"/>
      <c r="G9068" s="326"/>
      <c r="H9068" s="326"/>
      <c r="P9068" s="318"/>
      <c r="Q9068" s="318"/>
      <c r="R9068" s="318"/>
      <c r="S9068" s="318"/>
      <c r="T9068" s="318"/>
      <c r="U9068" s="318"/>
      <c r="V9068" s="318"/>
      <c r="W9068" s="318"/>
      <c r="X9068" s="318"/>
      <c r="Y9068" s="318"/>
      <c r="Z9068" s="318"/>
      <c r="AA9068" s="318"/>
      <c r="AB9068" s="318"/>
      <c r="AC9068" s="318"/>
      <c r="AD9068" s="318"/>
    </row>
    <row r="9069" spans="2:30" s="323" customFormat="1" ht="12" customHeight="1">
      <c r="B9069" s="324"/>
      <c r="C9069" s="325"/>
      <c r="D9069" s="326"/>
      <c r="E9069" s="326"/>
      <c r="F9069" s="326"/>
      <c r="G9069" s="326"/>
      <c r="H9069" s="326"/>
      <c r="P9069" s="318"/>
      <c r="Q9069" s="318"/>
      <c r="R9069" s="318"/>
      <c r="S9069" s="318"/>
      <c r="T9069" s="318"/>
      <c r="U9069" s="318"/>
      <c r="V9069" s="318"/>
      <c r="W9069" s="318"/>
      <c r="X9069" s="318"/>
      <c r="Y9069" s="318"/>
      <c r="Z9069" s="318"/>
      <c r="AA9069" s="318"/>
      <c r="AB9069" s="318"/>
      <c r="AC9069" s="318"/>
      <c r="AD9069" s="318"/>
    </row>
    <row r="9070" spans="2:30" s="323" customFormat="1" ht="12" customHeight="1">
      <c r="B9070" s="324"/>
      <c r="C9070" s="325"/>
      <c r="D9070" s="326"/>
      <c r="E9070" s="326"/>
      <c r="F9070" s="326"/>
      <c r="G9070" s="326"/>
      <c r="H9070" s="326"/>
      <c r="P9070" s="318"/>
      <c r="Q9070" s="318"/>
      <c r="R9070" s="318"/>
      <c r="S9070" s="318"/>
      <c r="T9070" s="318"/>
      <c r="U9070" s="318"/>
      <c r="V9070" s="318"/>
      <c r="W9070" s="318"/>
      <c r="X9070" s="318"/>
      <c r="Y9070" s="318"/>
      <c r="Z9070" s="318"/>
      <c r="AA9070" s="318"/>
      <c r="AB9070" s="318"/>
      <c r="AC9070" s="318"/>
      <c r="AD9070" s="318"/>
    </row>
    <row r="9071" spans="2:30" s="323" customFormat="1" ht="12" customHeight="1">
      <c r="B9071" s="324"/>
      <c r="C9071" s="325"/>
      <c r="D9071" s="326"/>
      <c r="E9071" s="326"/>
      <c r="F9071" s="326"/>
      <c r="G9071" s="326"/>
      <c r="H9071" s="326"/>
      <c r="P9071" s="318"/>
      <c r="Q9071" s="318"/>
      <c r="R9071" s="318"/>
      <c r="S9071" s="318"/>
      <c r="T9071" s="318"/>
      <c r="U9071" s="318"/>
      <c r="V9071" s="318"/>
      <c r="W9071" s="318"/>
      <c r="X9071" s="318"/>
      <c r="Y9071" s="318"/>
      <c r="Z9071" s="318"/>
      <c r="AA9071" s="318"/>
      <c r="AB9071" s="318"/>
      <c r="AC9071" s="318"/>
      <c r="AD9071" s="318"/>
    </row>
    <row r="9072" spans="2:30" s="323" customFormat="1" ht="12" customHeight="1">
      <c r="B9072" s="324"/>
      <c r="C9072" s="325"/>
      <c r="D9072" s="326"/>
      <c r="E9072" s="326"/>
      <c r="F9072" s="326"/>
      <c r="G9072" s="326"/>
      <c r="H9072" s="326"/>
      <c r="P9072" s="318"/>
      <c r="Q9072" s="318"/>
      <c r="R9072" s="318"/>
      <c r="S9072" s="318"/>
      <c r="T9072" s="318"/>
      <c r="U9072" s="318"/>
      <c r="V9072" s="318"/>
      <c r="W9072" s="318"/>
      <c r="X9072" s="318"/>
      <c r="Y9072" s="318"/>
      <c r="Z9072" s="318"/>
      <c r="AA9072" s="318"/>
      <c r="AB9072" s="318"/>
      <c r="AC9072" s="318"/>
      <c r="AD9072" s="318"/>
    </row>
    <row r="9073" spans="2:30" s="323" customFormat="1" ht="12" customHeight="1">
      <c r="B9073" s="324"/>
      <c r="C9073" s="325"/>
      <c r="D9073" s="326"/>
      <c r="E9073" s="326"/>
      <c r="F9073" s="326"/>
      <c r="G9073" s="326"/>
      <c r="H9073" s="326"/>
      <c r="P9073" s="318"/>
      <c r="Q9073" s="318"/>
      <c r="R9073" s="318"/>
      <c r="S9073" s="318"/>
      <c r="T9073" s="318"/>
      <c r="U9073" s="318"/>
      <c r="V9073" s="318"/>
      <c r="W9073" s="318"/>
      <c r="X9073" s="318"/>
      <c r="Y9073" s="318"/>
      <c r="Z9073" s="318"/>
      <c r="AA9073" s="318"/>
      <c r="AB9073" s="318"/>
      <c r="AC9073" s="318"/>
      <c r="AD9073" s="318"/>
    </row>
    <row r="9074" spans="2:30" s="323" customFormat="1" ht="12" customHeight="1">
      <c r="B9074" s="324"/>
      <c r="C9074" s="325"/>
      <c r="D9074" s="326"/>
      <c r="E9074" s="326"/>
      <c r="F9074" s="326"/>
      <c r="G9074" s="326"/>
      <c r="H9074" s="326"/>
      <c r="P9074" s="318"/>
      <c r="Q9074" s="318"/>
      <c r="R9074" s="318"/>
      <c r="S9074" s="318"/>
      <c r="T9074" s="318"/>
      <c r="U9074" s="318"/>
      <c r="V9074" s="318"/>
      <c r="W9074" s="318"/>
      <c r="X9074" s="318"/>
      <c r="Y9074" s="318"/>
      <c r="Z9074" s="318"/>
      <c r="AA9074" s="318"/>
      <c r="AB9074" s="318"/>
      <c r="AC9074" s="318"/>
      <c r="AD9074" s="318"/>
    </row>
    <row r="9075" spans="2:30" s="323" customFormat="1" ht="12" customHeight="1">
      <c r="B9075" s="324"/>
      <c r="C9075" s="325"/>
      <c r="D9075" s="326"/>
      <c r="E9075" s="326"/>
      <c r="F9075" s="326"/>
      <c r="G9075" s="326"/>
      <c r="H9075" s="326"/>
      <c r="P9075" s="318"/>
      <c r="Q9075" s="318"/>
      <c r="R9075" s="318"/>
      <c r="S9075" s="318"/>
      <c r="T9075" s="318"/>
      <c r="U9075" s="318"/>
      <c r="V9075" s="318"/>
      <c r="W9075" s="318"/>
      <c r="X9075" s="318"/>
      <c r="Y9075" s="318"/>
      <c r="Z9075" s="318"/>
      <c r="AA9075" s="318"/>
      <c r="AB9075" s="318"/>
      <c r="AC9075" s="318"/>
      <c r="AD9075" s="318"/>
    </row>
    <row r="9076" spans="2:30" s="323" customFormat="1" ht="12" customHeight="1">
      <c r="B9076" s="324"/>
      <c r="C9076" s="325"/>
      <c r="D9076" s="326"/>
      <c r="E9076" s="326"/>
      <c r="F9076" s="326"/>
      <c r="G9076" s="326"/>
      <c r="H9076" s="326"/>
      <c r="P9076" s="318"/>
      <c r="Q9076" s="318"/>
      <c r="R9076" s="318"/>
      <c r="S9076" s="318"/>
      <c r="T9076" s="318"/>
      <c r="U9076" s="318"/>
      <c r="V9076" s="318"/>
      <c r="W9076" s="318"/>
      <c r="X9076" s="318"/>
      <c r="Y9076" s="318"/>
      <c r="Z9076" s="318"/>
      <c r="AA9076" s="318"/>
      <c r="AB9076" s="318"/>
      <c r="AC9076" s="318"/>
      <c r="AD9076" s="318"/>
    </row>
    <row r="9077" spans="2:30" s="323" customFormat="1" ht="12" customHeight="1">
      <c r="B9077" s="324"/>
      <c r="C9077" s="325"/>
      <c r="D9077" s="326"/>
      <c r="E9077" s="326"/>
      <c r="F9077" s="326"/>
      <c r="G9077" s="326"/>
      <c r="H9077" s="326"/>
      <c r="P9077" s="318"/>
      <c r="Q9077" s="318"/>
      <c r="R9077" s="318"/>
      <c r="S9077" s="318"/>
      <c r="T9077" s="318"/>
      <c r="U9077" s="318"/>
      <c r="V9077" s="318"/>
      <c r="W9077" s="318"/>
      <c r="X9077" s="318"/>
      <c r="Y9077" s="318"/>
      <c r="Z9077" s="318"/>
      <c r="AA9077" s="318"/>
      <c r="AB9077" s="318"/>
      <c r="AC9077" s="318"/>
      <c r="AD9077" s="318"/>
    </row>
    <row r="9078" spans="2:30" s="323" customFormat="1" ht="12" customHeight="1">
      <c r="B9078" s="324"/>
      <c r="C9078" s="325"/>
      <c r="D9078" s="326"/>
      <c r="E9078" s="326"/>
      <c r="F9078" s="326"/>
      <c r="G9078" s="326"/>
      <c r="H9078" s="326"/>
      <c r="P9078" s="318"/>
      <c r="Q9078" s="318"/>
      <c r="R9078" s="318"/>
      <c r="S9078" s="318"/>
      <c r="T9078" s="318"/>
      <c r="U9078" s="318"/>
      <c r="V9078" s="318"/>
      <c r="W9078" s="318"/>
      <c r="X9078" s="318"/>
      <c r="Y9078" s="318"/>
      <c r="Z9078" s="318"/>
      <c r="AA9078" s="318"/>
      <c r="AB9078" s="318"/>
      <c r="AC9078" s="318"/>
      <c r="AD9078" s="318"/>
    </row>
    <row r="9079" spans="2:30" s="323" customFormat="1" ht="12" customHeight="1">
      <c r="B9079" s="324"/>
      <c r="C9079" s="325"/>
      <c r="D9079" s="326"/>
      <c r="E9079" s="326"/>
      <c r="F9079" s="326"/>
      <c r="G9079" s="326"/>
      <c r="H9079" s="326"/>
      <c r="P9079" s="318"/>
      <c r="Q9079" s="318"/>
      <c r="R9079" s="318"/>
      <c r="S9079" s="318"/>
      <c r="T9079" s="318"/>
      <c r="U9079" s="318"/>
      <c r="V9079" s="318"/>
      <c r="W9079" s="318"/>
      <c r="X9079" s="318"/>
      <c r="Y9079" s="318"/>
      <c r="Z9079" s="318"/>
      <c r="AA9079" s="318"/>
      <c r="AB9079" s="318"/>
      <c r="AC9079" s="318"/>
      <c r="AD9079" s="318"/>
    </row>
    <row r="9080" spans="2:30" s="323" customFormat="1" ht="12" customHeight="1">
      <c r="B9080" s="324"/>
      <c r="C9080" s="325"/>
      <c r="D9080" s="326"/>
      <c r="E9080" s="326"/>
      <c r="F9080" s="326"/>
      <c r="G9080" s="326"/>
      <c r="H9080" s="326"/>
      <c r="P9080" s="318"/>
      <c r="Q9080" s="318"/>
      <c r="R9080" s="318"/>
      <c r="S9080" s="318"/>
      <c r="T9080" s="318"/>
      <c r="U9080" s="318"/>
      <c r="V9080" s="318"/>
      <c r="W9080" s="318"/>
      <c r="X9080" s="318"/>
      <c r="Y9080" s="318"/>
      <c r="Z9080" s="318"/>
      <c r="AA9080" s="318"/>
      <c r="AB9080" s="318"/>
      <c r="AC9080" s="318"/>
      <c r="AD9080" s="318"/>
    </row>
    <row r="9081" spans="2:30" s="323" customFormat="1" ht="12" customHeight="1">
      <c r="B9081" s="324"/>
      <c r="C9081" s="325"/>
      <c r="D9081" s="326"/>
      <c r="E9081" s="326"/>
      <c r="F9081" s="326"/>
      <c r="G9081" s="326"/>
      <c r="H9081" s="326"/>
      <c r="P9081" s="318"/>
      <c r="Q9081" s="318"/>
      <c r="R9081" s="318"/>
      <c r="S9081" s="318"/>
      <c r="T9081" s="318"/>
      <c r="U9081" s="318"/>
      <c r="V9081" s="318"/>
      <c r="W9081" s="318"/>
      <c r="X9081" s="318"/>
      <c r="Y9081" s="318"/>
      <c r="Z9081" s="318"/>
      <c r="AA9081" s="318"/>
      <c r="AB9081" s="318"/>
      <c r="AC9081" s="318"/>
      <c r="AD9081" s="318"/>
    </row>
    <row r="9082" spans="2:30" s="323" customFormat="1" ht="12" customHeight="1">
      <c r="B9082" s="324"/>
      <c r="C9082" s="325"/>
      <c r="D9082" s="326"/>
      <c r="E9082" s="326"/>
      <c r="F9082" s="326"/>
      <c r="G9082" s="326"/>
      <c r="H9082" s="326"/>
      <c r="P9082" s="318"/>
      <c r="Q9082" s="318"/>
      <c r="R9082" s="318"/>
      <c r="S9082" s="318"/>
      <c r="T9082" s="318"/>
      <c r="U9082" s="318"/>
      <c r="V9082" s="318"/>
      <c r="W9082" s="318"/>
      <c r="X9082" s="318"/>
      <c r="Y9082" s="318"/>
      <c r="Z9082" s="318"/>
      <c r="AA9082" s="318"/>
      <c r="AB9082" s="318"/>
      <c r="AC9082" s="318"/>
      <c r="AD9082" s="318"/>
    </row>
    <row r="9083" spans="2:30" s="323" customFormat="1" ht="12" customHeight="1">
      <c r="B9083" s="324"/>
      <c r="C9083" s="325"/>
      <c r="D9083" s="326"/>
      <c r="E9083" s="326"/>
      <c r="F9083" s="326"/>
      <c r="G9083" s="326"/>
      <c r="H9083" s="326"/>
      <c r="P9083" s="318"/>
      <c r="Q9083" s="318"/>
      <c r="R9083" s="318"/>
      <c r="S9083" s="318"/>
      <c r="T9083" s="318"/>
      <c r="U9083" s="318"/>
      <c r="V9083" s="318"/>
      <c r="W9083" s="318"/>
      <c r="X9083" s="318"/>
      <c r="Y9083" s="318"/>
      <c r="Z9083" s="318"/>
      <c r="AA9083" s="318"/>
      <c r="AB9083" s="318"/>
      <c r="AC9083" s="318"/>
      <c r="AD9083" s="318"/>
    </row>
    <row r="9084" spans="2:30" s="323" customFormat="1" ht="12" customHeight="1">
      <c r="B9084" s="324"/>
      <c r="C9084" s="325"/>
      <c r="D9084" s="326"/>
      <c r="E9084" s="326"/>
      <c r="F9084" s="326"/>
      <c r="G9084" s="326"/>
      <c r="H9084" s="326"/>
      <c r="P9084" s="318"/>
      <c r="Q9084" s="318"/>
      <c r="R9084" s="318"/>
      <c r="S9084" s="318"/>
      <c r="T9084" s="318"/>
      <c r="U9084" s="318"/>
      <c r="V9084" s="318"/>
      <c r="W9084" s="318"/>
      <c r="X9084" s="318"/>
      <c r="Y9084" s="318"/>
      <c r="Z9084" s="318"/>
      <c r="AA9084" s="318"/>
      <c r="AB9084" s="318"/>
      <c r="AC9084" s="318"/>
      <c r="AD9084" s="318"/>
    </row>
    <row r="9085" spans="2:30" s="323" customFormat="1" ht="12" customHeight="1">
      <c r="B9085" s="324"/>
      <c r="C9085" s="325"/>
      <c r="D9085" s="326"/>
      <c r="E9085" s="326"/>
      <c r="F9085" s="326"/>
      <c r="G9085" s="326"/>
      <c r="H9085" s="326"/>
      <c r="P9085" s="318"/>
      <c r="Q9085" s="318"/>
      <c r="R9085" s="318"/>
      <c r="S9085" s="318"/>
      <c r="T9085" s="318"/>
      <c r="U9085" s="318"/>
      <c r="V9085" s="318"/>
      <c r="W9085" s="318"/>
      <c r="X9085" s="318"/>
      <c r="Y9085" s="318"/>
      <c r="Z9085" s="318"/>
      <c r="AA9085" s="318"/>
      <c r="AB9085" s="318"/>
      <c r="AC9085" s="318"/>
      <c r="AD9085" s="318"/>
    </row>
    <row r="9086" spans="2:30" s="323" customFormat="1" ht="12" customHeight="1">
      <c r="B9086" s="324"/>
      <c r="C9086" s="325"/>
      <c r="D9086" s="326"/>
      <c r="E9086" s="326"/>
      <c r="F9086" s="326"/>
      <c r="G9086" s="326"/>
      <c r="H9086" s="326"/>
      <c r="P9086" s="318"/>
      <c r="Q9086" s="318"/>
      <c r="R9086" s="318"/>
      <c r="S9086" s="318"/>
      <c r="T9086" s="318"/>
      <c r="U9086" s="318"/>
      <c r="V9086" s="318"/>
      <c r="W9086" s="318"/>
      <c r="X9086" s="318"/>
      <c r="Y9086" s="318"/>
      <c r="Z9086" s="318"/>
      <c r="AA9086" s="318"/>
      <c r="AB9086" s="318"/>
      <c r="AC9086" s="318"/>
      <c r="AD9086" s="318"/>
    </row>
    <row r="9087" spans="2:30" s="323" customFormat="1" ht="12" customHeight="1">
      <c r="B9087" s="324"/>
      <c r="C9087" s="325"/>
      <c r="D9087" s="326"/>
      <c r="E9087" s="326"/>
      <c r="F9087" s="326"/>
      <c r="G9087" s="326"/>
      <c r="H9087" s="326"/>
      <c r="P9087" s="318"/>
      <c r="Q9087" s="318"/>
      <c r="R9087" s="318"/>
      <c r="S9087" s="318"/>
      <c r="T9087" s="318"/>
      <c r="U9087" s="318"/>
      <c r="V9087" s="318"/>
      <c r="W9087" s="318"/>
      <c r="X9087" s="318"/>
      <c r="Y9087" s="318"/>
      <c r="Z9087" s="318"/>
      <c r="AA9087" s="318"/>
      <c r="AB9087" s="318"/>
      <c r="AC9087" s="318"/>
      <c r="AD9087" s="318"/>
    </row>
    <row r="9088" spans="2:30" s="323" customFormat="1" ht="12" customHeight="1">
      <c r="B9088" s="324"/>
      <c r="C9088" s="325"/>
      <c r="D9088" s="326"/>
      <c r="E9088" s="326"/>
      <c r="F9088" s="326"/>
      <c r="G9088" s="326"/>
      <c r="H9088" s="326"/>
      <c r="P9088" s="318"/>
      <c r="Q9088" s="318"/>
      <c r="R9088" s="318"/>
      <c r="S9088" s="318"/>
      <c r="T9088" s="318"/>
      <c r="U9088" s="318"/>
      <c r="V9088" s="318"/>
      <c r="W9088" s="318"/>
      <c r="X9088" s="318"/>
      <c r="Y9088" s="318"/>
      <c r="Z9088" s="318"/>
      <c r="AA9088" s="318"/>
      <c r="AB9088" s="318"/>
      <c r="AC9088" s="318"/>
      <c r="AD9088" s="318"/>
    </row>
    <row r="9089" spans="2:30" s="323" customFormat="1" ht="12" customHeight="1">
      <c r="B9089" s="324"/>
      <c r="C9089" s="325"/>
      <c r="D9089" s="326"/>
      <c r="E9089" s="326"/>
      <c r="F9089" s="326"/>
      <c r="G9089" s="326"/>
      <c r="H9089" s="326"/>
      <c r="P9089" s="318"/>
      <c r="Q9089" s="318"/>
      <c r="R9089" s="318"/>
      <c r="S9089" s="318"/>
      <c r="T9089" s="318"/>
      <c r="U9089" s="318"/>
      <c r="V9089" s="318"/>
      <c r="W9089" s="318"/>
      <c r="X9089" s="318"/>
      <c r="Y9089" s="318"/>
      <c r="Z9089" s="318"/>
      <c r="AA9089" s="318"/>
      <c r="AB9089" s="318"/>
      <c r="AC9089" s="318"/>
      <c r="AD9089" s="318"/>
    </row>
    <row r="9090" spans="2:30" s="323" customFormat="1" ht="12" customHeight="1">
      <c r="B9090" s="324"/>
      <c r="C9090" s="325"/>
      <c r="D9090" s="326"/>
      <c r="E9090" s="326"/>
      <c r="F9090" s="326"/>
      <c r="G9090" s="326"/>
      <c r="H9090" s="326"/>
      <c r="P9090" s="318"/>
      <c r="Q9090" s="318"/>
      <c r="R9090" s="318"/>
      <c r="S9090" s="318"/>
      <c r="T9090" s="318"/>
      <c r="U9090" s="318"/>
      <c r="V9090" s="318"/>
      <c r="W9090" s="318"/>
      <c r="X9090" s="318"/>
      <c r="Y9090" s="318"/>
      <c r="Z9090" s="318"/>
      <c r="AA9090" s="318"/>
      <c r="AB9090" s="318"/>
      <c r="AC9090" s="318"/>
      <c r="AD9090" s="318"/>
    </row>
    <row r="9091" spans="2:30" s="323" customFormat="1" ht="12" customHeight="1">
      <c r="B9091" s="324"/>
      <c r="C9091" s="325"/>
      <c r="D9091" s="326"/>
      <c r="E9091" s="326"/>
      <c r="F9091" s="326"/>
      <c r="G9091" s="326"/>
      <c r="H9091" s="326"/>
      <c r="P9091" s="318"/>
      <c r="Q9091" s="318"/>
      <c r="R9091" s="318"/>
      <c r="S9091" s="318"/>
      <c r="T9091" s="318"/>
      <c r="U9091" s="318"/>
      <c r="V9091" s="318"/>
      <c r="W9091" s="318"/>
      <c r="X9091" s="318"/>
      <c r="Y9091" s="318"/>
      <c r="Z9091" s="318"/>
      <c r="AA9091" s="318"/>
      <c r="AB9091" s="318"/>
      <c r="AC9091" s="318"/>
      <c r="AD9091" s="318"/>
    </row>
    <row r="9092" spans="2:30" s="323" customFormat="1" ht="12" customHeight="1">
      <c r="B9092" s="324"/>
      <c r="C9092" s="325"/>
      <c r="D9092" s="326"/>
      <c r="E9092" s="326"/>
      <c r="F9092" s="326"/>
      <c r="G9092" s="326"/>
      <c r="H9092" s="326"/>
      <c r="P9092" s="318"/>
      <c r="Q9092" s="318"/>
      <c r="R9092" s="318"/>
      <c r="S9092" s="318"/>
      <c r="T9092" s="318"/>
      <c r="U9092" s="318"/>
      <c r="V9092" s="318"/>
      <c r="W9092" s="318"/>
      <c r="X9092" s="318"/>
      <c r="Y9092" s="318"/>
      <c r="Z9092" s="318"/>
      <c r="AA9092" s="318"/>
      <c r="AB9092" s="318"/>
      <c r="AC9092" s="318"/>
      <c r="AD9092" s="318"/>
    </row>
    <row r="9093" spans="2:30" s="323" customFormat="1" ht="12" customHeight="1">
      <c r="B9093" s="324"/>
      <c r="C9093" s="325"/>
      <c r="D9093" s="326"/>
      <c r="E9093" s="326"/>
      <c r="F9093" s="326"/>
      <c r="G9093" s="326"/>
      <c r="H9093" s="326"/>
      <c r="P9093" s="318"/>
      <c r="Q9093" s="318"/>
      <c r="R9093" s="318"/>
      <c r="S9093" s="318"/>
      <c r="T9093" s="318"/>
      <c r="U9093" s="318"/>
      <c r="V9093" s="318"/>
      <c r="W9093" s="318"/>
      <c r="X9093" s="318"/>
      <c r="Y9093" s="318"/>
      <c r="Z9093" s="318"/>
      <c r="AA9093" s="318"/>
      <c r="AB9093" s="318"/>
      <c r="AC9093" s="318"/>
      <c r="AD9093" s="318"/>
    </row>
    <row r="9094" spans="2:30" s="323" customFormat="1" ht="12" customHeight="1">
      <c r="B9094" s="324"/>
      <c r="C9094" s="325"/>
      <c r="D9094" s="326"/>
      <c r="E9094" s="326"/>
      <c r="F9094" s="326"/>
      <c r="G9094" s="326"/>
      <c r="H9094" s="326"/>
      <c r="P9094" s="318"/>
      <c r="Q9094" s="318"/>
      <c r="R9094" s="318"/>
      <c r="S9094" s="318"/>
      <c r="T9094" s="318"/>
      <c r="U9094" s="318"/>
      <c r="V9094" s="318"/>
      <c r="W9094" s="318"/>
      <c r="X9094" s="318"/>
      <c r="Y9094" s="318"/>
      <c r="Z9094" s="318"/>
      <c r="AA9094" s="318"/>
      <c r="AB9094" s="318"/>
      <c r="AC9094" s="318"/>
      <c r="AD9094" s="318"/>
    </row>
    <row r="9095" spans="2:30" s="323" customFormat="1" ht="12" customHeight="1">
      <c r="B9095" s="324"/>
      <c r="C9095" s="325"/>
      <c r="D9095" s="326"/>
      <c r="E9095" s="326"/>
      <c r="F9095" s="326"/>
      <c r="G9095" s="326"/>
      <c r="H9095" s="326"/>
      <c r="P9095" s="318"/>
      <c r="Q9095" s="318"/>
      <c r="R9095" s="318"/>
      <c r="S9095" s="318"/>
      <c r="T9095" s="318"/>
      <c r="U9095" s="318"/>
      <c r="V9095" s="318"/>
      <c r="W9095" s="318"/>
      <c r="X9095" s="318"/>
      <c r="Y9095" s="318"/>
      <c r="Z9095" s="318"/>
      <c r="AA9095" s="318"/>
      <c r="AB9095" s="318"/>
      <c r="AC9095" s="318"/>
      <c r="AD9095" s="318"/>
    </row>
    <row r="9096" spans="2:30" s="323" customFormat="1" ht="12" customHeight="1">
      <c r="B9096" s="324"/>
      <c r="C9096" s="325"/>
      <c r="D9096" s="326"/>
      <c r="E9096" s="326"/>
      <c r="F9096" s="326"/>
      <c r="G9096" s="326"/>
      <c r="H9096" s="326"/>
      <c r="P9096" s="318"/>
      <c r="Q9096" s="318"/>
      <c r="R9096" s="318"/>
      <c r="S9096" s="318"/>
      <c r="T9096" s="318"/>
      <c r="U9096" s="318"/>
      <c r="V9096" s="318"/>
      <c r="W9096" s="318"/>
      <c r="X9096" s="318"/>
      <c r="Y9096" s="318"/>
      <c r="Z9096" s="318"/>
      <c r="AA9096" s="318"/>
      <c r="AB9096" s="318"/>
      <c r="AC9096" s="318"/>
      <c r="AD9096" s="318"/>
    </row>
    <row r="9097" spans="2:30" s="323" customFormat="1" ht="12" customHeight="1">
      <c r="B9097" s="324"/>
      <c r="C9097" s="325"/>
      <c r="D9097" s="326"/>
      <c r="E9097" s="326"/>
      <c r="F9097" s="326"/>
      <c r="G9097" s="326"/>
      <c r="H9097" s="326"/>
      <c r="P9097" s="318"/>
      <c r="Q9097" s="318"/>
      <c r="R9097" s="318"/>
      <c r="S9097" s="318"/>
      <c r="T9097" s="318"/>
      <c r="U9097" s="318"/>
      <c r="V9097" s="318"/>
      <c r="W9097" s="318"/>
      <c r="X9097" s="318"/>
      <c r="Y9097" s="318"/>
      <c r="Z9097" s="318"/>
      <c r="AA9097" s="318"/>
      <c r="AB9097" s="318"/>
      <c r="AC9097" s="318"/>
      <c r="AD9097" s="318"/>
    </row>
    <row r="9098" spans="2:30" s="323" customFormat="1" ht="12" customHeight="1">
      <c r="B9098" s="324"/>
      <c r="C9098" s="325"/>
      <c r="D9098" s="326"/>
      <c r="E9098" s="326"/>
      <c r="F9098" s="326"/>
      <c r="G9098" s="326"/>
      <c r="H9098" s="326"/>
      <c r="P9098" s="318"/>
      <c r="Q9098" s="318"/>
      <c r="R9098" s="318"/>
      <c r="S9098" s="318"/>
      <c r="T9098" s="318"/>
      <c r="U9098" s="318"/>
      <c r="V9098" s="318"/>
      <c r="W9098" s="318"/>
      <c r="X9098" s="318"/>
      <c r="Y9098" s="318"/>
      <c r="Z9098" s="318"/>
      <c r="AA9098" s="318"/>
      <c r="AB9098" s="318"/>
      <c r="AC9098" s="318"/>
      <c r="AD9098" s="318"/>
    </row>
    <row r="9099" spans="2:30" s="323" customFormat="1" ht="12" customHeight="1">
      <c r="B9099" s="324"/>
      <c r="C9099" s="325"/>
      <c r="D9099" s="326"/>
      <c r="E9099" s="326"/>
      <c r="F9099" s="326"/>
      <c r="G9099" s="326"/>
      <c r="H9099" s="326"/>
      <c r="P9099" s="318"/>
      <c r="Q9099" s="318"/>
      <c r="R9099" s="318"/>
      <c r="S9099" s="318"/>
      <c r="T9099" s="318"/>
      <c r="U9099" s="318"/>
      <c r="V9099" s="318"/>
      <c r="W9099" s="318"/>
      <c r="X9099" s="318"/>
      <c r="Y9099" s="318"/>
      <c r="Z9099" s="318"/>
      <c r="AA9099" s="318"/>
      <c r="AB9099" s="318"/>
      <c r="AC9099" s="318"/>
      <c r="AD9099" s="318"/>
    </row>
    <row r="9100" spans="2:30" s="323" customFormat="1" ht="12" customHeight="1">
      <c r="B9100" s="324"/>
      <c r="C9100" s="325"/>
      <c r="D9100" s="326"/>
      <c r="E9100" s="326"/>
      <c r="F9100" s="326"/>
      <c r="G9100" s="326"/>
      <c r="H9100" s="326"/>
      <c r="P9100" s="318"/>
      <c r="Q9100" s="318"/>
      <c r="R9100" s="318"/>
      <c r="S9100" s="318"/>
      <c r="T9100" s="318"/>
      <c r="U9100" s="318"/>
      <c r="V9100" s="318"/>
      <c r="W9100" s="318"/>
      <c r="X9100" s="318"/>
      <c r="Y9100" s="318"/>
      <c r="Z9100" s="318"/>
      <c r="AA9100" s="318"/>
      <c r="AB9100" s="318"/>
      <c r="AC9100" s="318"/>
      <c r="AD9100" s="318"/>
    </row>
    <row r="9101" spans="2:30" s="323" customFormat="1" ht="12" customHeight="1">
      <c r="B9101" s="324"/>
      <c r="C9101" s="325"/>
      <c r="D9101" s="326"/>
      <c r="E9101" s="326"/>
      <c r="F9101" s="326"/>
      <c r="G9101" s="326"/>
      <c r="H9101" s="326"/>
      <c r="P9101" s="318"/>
      <c r="Q9101" s="318"/>
      <c r="R9101" s="318"/>
      <c r="S9101" s="318"/>
      <c r="T9101" s="318"/>
      <c r="U9101" s="318"/>
      <c r="V9101" s="318"/>
      <c r="W9101" s="318"/>
      <c r="X9101" s="318"/>
      <c r="Y9101" s="318"/>
      <c r="Z9101" s="318"/>
      <c r="AA9101" s="318"/>
      <c r="AB9101" s="318"/>
      <c r="AC9101" s="318"/>
      <c r="AD9101" s="318"/>
    </row>
    <row r="9102" spans="2:30" s="323" customFormat="1" ht="12" customHeight="1">
      <c r="B9102" s="324"/>
      <c r="C9102" s="325"/>
      <c r="D9102" s="326"/>
      <c r="E9102" s="326"/>
      <c r="F9102" s="326"/>
      <c r="G9102" s="326"/>
      <c r="H9102" s="326"/>
      <c r="P9102" s="318"/>
      <c r="Q9102" s="318"/>
      <c r="R9102" s="318"/>
      <c r="S9102" s="318"/>
      <c r="T9102" s="318"/>
      <c r="U9102" s="318"/>
      <c r="V9102" s="318"/>
      <c r="W9102" s="318"/>
      <c r="X9102" s="318"/>
      <c r="Y9102" s="318"/>
      <c r="Z9102" s="318"/>
      <c r="AA9102" s="318"/>
      <c r="AB9102" s="318"/>
      <c r="AC9102" s="318"/>
      <c r="AD9102" s="318"/>
    </row>
    <row r="9103" spans="2:30" s="323" customFormat="1" ht="12" customHeight="1">
      <c r="B9103" s="324"/>
      <c r="C9103" s="325"/>
      <c r="D9103" s="326"/>
      <c r="E9103" s="326"/>
      <c r="F9103" s="326"/>
      <c r="G9103" s="326"/>
      <c r="H9103" s="326"/>
      <c r="P9103" s="318"/>
      <c r="Q9103" s="318"/>
      <c r="R9103" s="318"/>
      <c r="S9103" s="318"/>
      <c r="T9103" s="318"/>
      <c r="U9103" s="318"/>
      <c r="V9103" s="318"/>
      <c r="W9103" s="318"/>
      <c r="X9103" s="318"/>
      <c r="Y9103" s="318"/>
      <c r="Z9103" s="318"/>
      <c r="AA9103" s="318"/>
      <c r="AB9103" s="318"/>
      <c r="AC9103" s="318"/>
      <c r="AD9103" s="318"/>
    </row>
    <row r="9104" spans="2:30" s="323" customFormat="1" ht="12" customHeight="1">
      <c r="B9104" s="324"/>
      <c r="C9104" s="325"/>
      <c r="D9104" s="326"/>
      <c r="E9104" s="326"/>
      <c r="F9104" s="326"/>
      <c r="G9104" s="326"/>
      <c r="H9104" s="326"/>
      <c r="P9104" s="318"/>
      <c r="Q9104" s="318"/>
      <c r="R9104" s="318"/>
      <c r="S9104" s="318"/>
      <c r="T9104" s="318"/>
      <c r="U9104" s="318"/>
      <c r="V9104" s="318"/>
      <c r="W9104" s="318"/>
      <c r="X9104" s="318"/>
      <c r="Y9104" s="318"/>
      <c r="Z9104" s="318"/>
      <c r="AA9104" s="318"/>
      <c r="AB9104" s="318"/>
      <c r="AC9104" s="318"/>
      <c r="AD9104" s="318"/>
    </row>
    <row r="9105" spans="2:30" s="323" customFormat="1" ht="12" customHeight="1">
      <c r="B9105" s="324"/>
      <c r="C9105" s="325"/>
      <c r="D9105" s="326"/>
      <c r="E9105" s="326"/>
      <c r="F9105" s="326"/>
      <c r="G9105" s="326"/>
      <c r="H9105" s="326"/>
      <c r="P9105" s="318"/>
      <c r="Q9105" s="318"/>
      <c r="R9105" s="318"/>
      <c r="S9105" s="318"/>
      <c r="T9105" s="318"/>
      <c r="U9105" s="318"/>
      <c r="V9105" s="318"/>
      <c r="W9105" s="318"/>
      <c r="X9105" s="318"/>
      <c r="Y9105" s="318"/>
      <c r="Z9105" s="318"/>
      <c r="AA9105" s="318"/>
      <c r="AB9105" s="318"/>
      <c r="AC9105" s="318"/>
      <c r="AD9105" s="318"/>
    </row>
    <row r="9106" spans="2:30" s="323" customFormat="1" ht="12" customHeight="1">
      <c r="B9106" s="324"/>
      <c r="C9106" s="325"/>
      <c r="D9106" s="326"/>
      <c r="E9106" s="326"/>
      <c r="F9106" s="326"/>
      <c r="G9106" s="326"/>
      <c r="H9106" s="326"/>
      <c r="P9106" s="318"/>
      <c r="Q9106" s="318"/>
      <c r="R9106" s="318"/>
      <c r="S9106" s="318"/>
      <c r="T9106" s="318"/>
      <c r="U9106" s="318"/>
      <c r="V9106" s="318"/>
      <c r="W9106" s="318"/>
      <c r="X9106" s="318"/>
      <c r="Y9106" s="318"/>
      <c r="Z9106" s="318"/>
      <c r="AA9106" s="318"/>
      <c r="AB9106" s="318"/>
      <c r="AC9106" s="318"/>
      <c r="AD9106" s="318"/>
    </row>
    <row r="9107" spans="2:30" s="323" customFormat="1" ht="12" customHeight="1">
      <c r="B9107" s="324"/>
      <c r="C9107" s="325"/>
      <c r="D9107" s="326"/>
      <c r="E9107" s="326"/>
      <c r="F9107" s="326"/>
      <c r="G9107" s="326"/>
      <c r="H9107" s="326"/>
      <c r="P9107" s="318"/>
      <c r="Q9107" s="318"/>
      <c r="R9107" s="318"/>
      <c r="S9107" s="318"/>
      <c r="T9107" s="318"/>
      <c r="U9107" s="318"/>
      <c r="V9107" s="318"/>
      <c r="W9107" s="318"/>
      <c r="X9107" s="318"/>
      <c r="Y9107" s="318"/>
      <c r="Z9107" s="318"/>
      <c r="AA9107" s="318"/>
      <c r="AB9107" s="318"/>
      <c r="AC9107" s="318"/>
      <c r="AD9107" s="318"/>
    </row>
    <row r="9108" spans="2:30" s="323" customFormat="1" ht="12" customHeight="1">
      <c r="B9108" s="324"/>
      <c r="C9108" s="325"/>
      <c r="D9108" s="326"/>
      <c r="E9108" s="326"/>
      <c r="F9108" s="326"/>
      <c r="G9108" s="326"/>
      <c r="H9108" s="326"/>
      <c r="P9108" s="318"/>
      <c r="Q9108" s="318"/>
      <c r="R9108" s="318"/>
      <c r="S9108" s="318"/>
      <c r="T9108" s="318"/>
      <c r="U9108" s="318"/>
      <c r="V9108" s="318"/>
      <c r="W9108" s="318"/>
      <c r="X9108" s="318"/>
      <c r="Y9108" s="318"/>
      <c r="Z9108" s="318"/>
      <c r="AA9108" s="318"/>
      <c r="AB9108" s="318"/>
      <c r="AC9108" s="318"/>
      <c r="AD9108" s="318"/>
    </row>
    <row r="9109" spans="2:30" s="323" customFormat="1" ht="12" customHeight="1">
      <c r="B9109" s="324"/>
      <c r="C9109" s="325"/>
      <c r="D9109" s="326"/>
      <c r="E9109" s="326"/>
      <c r="F9109" s="326"/>
      <c r="G9109" s="326"/>
      <c r="H9109" s="326"/>
      <c r="P9109" s="318"/>
      <c r="Q9109" s="318"/>
      <c r="R9109" s="318"/>
      <c r="S9109" s="318"/>
      <c r="T9109" s="318"/>
      <c r="U9109" s="318"/>
      <c r="V9109" s="318"/>
      <c r="W9109" s="318"/>
      <c r="X9109" s="318"/>
      <c r="Y9109" s="318"/>
      <c r="Z9109" s="318"/>
      <c r="AA9109" s="318"/>
      <c r="AB9109" s="318"/>
      <c r="AC9109" s="318"/>
      <c r="AD9109" s="318"/>
    </row>
    <row r="9110" spans="2:30" s="323" customFormat="1" ht="12" customHeight="1">
      <c r="B9110" s="324"/>
      <c r="C9110" s="325"/>
      <c r="D9110" s="326"/>
      <c r="E9110" s="326"/>
      <c r="F9110" s="326"/>
      <c r="G9110" s="326"/>
      <c r="H9110" s="326"/>
      <c r="P9110" s="318"/>
      <c r="Q9110" s="318"/>
      <c r="R9110" s="318"/>
      <c r="S9110" s="318"/>
      <c r="T9110" s="318"/>
      <c r="U9110" s="318"/>
      <c r="V9110" s="318"/>
      <c r="W9110" s="318"/>
      <c r="X9110" s="318"/>
      <c r="Y9110" s="318"/>
      <c r="Z9110" s="318"/>
      <c r="AA9110" s="318"/>
      <c r="AB9110" s="318"/>
      <c r="AC9110" s="318"/>
      <c r="AD9110" s="318"/>
    </row>
    <row r="9111" spans="2:30" s="323" customFormat="1" ht="12" customHeight="1">
      <c r="B9111" s="324"/>
      <c r="C9111" s="325"/>
      <c r="D9111" s="326"/>
      <c r="E9111" s="326"/>
      <c r="F9111" s="326"/>
      <c r="G9111" s="326"/>
      <c r="H9111" s="326"/>
      <c r="P9111" s="318"/>
      <c r="Q9111" s="318"/>
      <c r="R9111" s="318"/>
      <c r="S9111" s="318"/>
      <c r="T9111" s="318"/>
      <c r="U9111" s="318"/>
      <c r="V9111" s="318"/>
      <c r="W9111" s="318"/>
      <c r="X9111" s="318"/>
      <c r="Y9111" s="318"/>
      <c r="Z9111" s="318"/>
      <c r="AA9111" s="318"/>
      <c r="AB9111" s="318"/>
      <c r="AC9111" s="318"/>
      <c r="AD9111" s="318"/>
    </row>
    <row r="9112" spans="2:30" s="323" customFormat="1" ht="12" customHeight="1">
      <c r="B9112" s="324"/>
      <c r="C9112" s="325"/>
      <c r="D9112" s="326"/>
      <c r="E9112" s="326"/>
      <c r="F9112" s="326"/>
      <c r="G9112" s="326"/>
      <c r="H9112" s="326"/>
      <c r="P9112" s="318"/>
      <c r="Q9112" s="318"/>
      <c r="R9112" s="318"/>
      <c r="S9112" s="318"/>
      <c r="T9112" s="318"/>
      <c r="U9112" s="318"/>
      <c r="V9112" s="318"/>
      <c r="W9112" s="318"/>
      <c r="X9112" s="318"/>
      <c r="Y9112" s="318"/>
      <c r="Z9112" s="318"/>
      <c r="AA9112" s="318"/>
      <c r="AB9112" s="318"/>
      <c r="AC9112" s="318"/>
      <c r="AD9112" s="318"/>
    </row>
    <row r="9113" spans="2:30" s="323" customFormat="1" ht="12" customHeight="1">
      <c r="B9113" s="324"/>
      <c r="C9113" s="325"/>
      <c r="D9113" s="326"/>
      <c r="E9113" s="326"/>
      <c r="F9113" s="326"/>
      <c r="G9113" s="326"/>
      <c r="H9113" s="326"/>
      <c r="P9113" s="318"/>
      <c r="Q9113" s="318"/>
      <c r="R9113" s="318"/>
      <c r="S9113" s="318"/>
      <c r="T9113" s="318"/>
      <c r="U9113" s="318"/>
      <c r="V9113" s="318"/>
      <c r="W9113" s="318"/>
      <c r="X9113" s="318"/>
      <c r="Y9113" s="318"/>
      <c r="Z9113" s="318"/>
      <c r="AA9113" s="318"/>
      <c r="AB9113" s="318"/>
      <c r="AC9113" s="318"/>
      <c r="AD9113" s="318"/>
    </row>
    <row r="9114" spans="2:30" s="323" customFormat="1" ht="12" customHeight="1">
      <c r="B9114" s="324"/>
      <c r="C9114" s="325"/>
      <c r="D9114" s="326"/>
      <c r="E9114" s="326"/>
      <c r="F9114" s="326"/>
      <c r="G9114" s="326"/>
      <c r="H9114" s="326"/>
      <c r="P9114" s="318"/>
      <c r="Q9114" s="318"/>
      <c r="R9114" s="318"/>
      <c r="S9114" s="318"/>
      <c r="T9114" s="318"/>
      <c r="U9114" s="318"/>
      <c r="V9114" s="318"/>
      <c r="W9114" s="318"/>
      <c r="X9114" s="318"/>
      <c r="Y9114" s="318"/>
      <c r="Z9114" s="318"/>
      <c r="AA9114" s="318"/>
      <c r="AB9114" s="318"/>
      <c r="AC9114" s="318"/>
      <c r="AD9114" s="318"/>
    </row>
    <row r="9115" spans="2:30" s="323" customFormat="1" ht="12" customHeight="1">
      <c r="B9115" s="324"/>
      <c r="C9115" s="325"/>
      <c r="D9115" s="326"/>
      <c r="E9115" s="326"/>
      <c r="F9115" s="326"/>
      <c r="G9115" s="326"/>
      <c r="H9115" s="326"/>
      <c r="P9115" s="318"/>
      <c r="Q9115" s="318"/>
      <c r="R9115" s="318"/>
      <c r="S9115" s="318"/>
      <c r="T9115" s="318"/>
      <c r="U9115" s="318"/>
      <c r="V9115" s="318"/>
      <c r="W9115" s="318"/>
      <c r="X9115" s="318"/>
      <c r="Y9115" s="318"/>
      <c r="Z9115" s="318"/>
      <c r="AA9115" s="318"/>
      <c r="AB9115" s="318"/>
      <c r="AC9115" s="318"/>
      <c r="AD9115" s="318"/>
    </row>
    <row r="9116" spans="2:30" s="323" customFormat="1" ht="12" customHeight="1">
      <c r="B9116" s="324"/>
      <c r="C9116" s="325"/>
      <c r="D9116" s="326"/>
      <c r="E9116" s="326"/>
      <c r="F9116" s="326"/>
      <c r="G9116" s="326"/>
      <c r="H9116" s="326"/>
      <c r="P9116" s="318"/>
      <c r="Q9116" s="318"/>
      <c r="R9116" s="318"/>
      <c r="S9116" s="318"/>
      <c r="T9116" s="318"/>
      <c r="U9116" s="318"/>
      <c r="V9116" s="318"/>
      <c r="W9116" s="318"/>
      <c r="X9116" s="318"/>
      <c r="Y9116" s="318"/>
      <c r="Z9116" s="318"/>
      <c r="AA9116" s="318"/>
      <c r="AB9116" s="318"/>
      <c r="AC9116" s="318"/>
      <c r="AD9116" s="318"/>
    </row>
    <row r="9117" spans="2:30" s="323" customFormat="1" ht="12" customHeight="1">
      <c r="B9117" s="324"/>
      <c r="C9117" s="325"/>
      <c r="D9117" s="326"/>
      <c r="E9117" s="326"/>
      <c r="F9117" s="326"/>
      <c r="G9117" s="326"/>
      <c r="H9117" s="326"/>
      <c r="P9117" s="318"/>
      <c r="Q9117" s="318"/>
      <c r="R9117" s="318"/>
      <c r="S9117" s="318"/>
      <c r="T9117" s="318"/>
      <c r="U9117" s="318"/>
      <c r="V9117" s="318"/>
      <c r="W9117" s="318"/>
      <c r="X9117" s="318"/>
      <c r="Y9117" s="318"/>
      <c r="Z9117" s="318"/>
      <c r="AA9117" s="318"/>
      <c r="AB9117" s="318"/>
      <c r="AC9117" s="318"/>
      <c r="AD9117" s="318"/>
    </row>
    <row r="9118" spans="2:30" s="323" customFormat="1" ht="12" customHeight="1">
      <c r="B9118" s="324"/>
      <c r="C9118" s="325"/>
      <c r="D9118" s="326"/>
      <c r="E9118" s="326"/>
      <c r="F9118" s="326"/>
      <c r="G9118" s="326"/>
      <c r="H9118" s="326"/>
      <c r="P9118" s="318"/>
      <c r="Q9118" s="318"/>
      <c r="R9118" s="318"/>
      <c r="S9118" s="318"/>
      <c r="T9118" s="318"/>
      <c r="U9118" s="318"/>
      <c r="V9118" s="318"/>
      <c r="W9118" s="318"/>
      <c r="X9118" s="318"/>
      <c r="Y9118" s="318"/>
      <c r="Z9118" s="318"/>
      <c r="AA9118" s="318"/>
      <c r="AB9118" s="318"/>
      <c r="AC9118" s="318"/>
      <c r="AD9118" s="318"/>
    </row>
    <row r="9119" spans="2:30" s="323" customFormat="1" ht="12" customHeight="1">
      <c r="B9119" s="324"/>
      <c r="C9119" s="325"/>
      <c r="D9119" s="326"/>
      <c r="E9119" s="326"/>
      <c r="F9119" s="326"/>
      <c r="G9119" s="326"/>
      <c r="H9119" s="326"/>
      <c r="P9119" s="318"/>
      <c r="Q9119" s="318"/>
      <c r="R9119" s="318"/>
      <c r="S9119" s="318"/>
      <c r="T9119" s="318"/>
      <c r="U9119" s="318"/>
      <c r="V9119" s="318"/>
      <c r="W9119" s="318"/>
      <c r="X9119" s="318"/>
      <c r="Y9119" s="318"/>
      <c r="Z9119" s="318"/>
      <c r="AA9119" s="318"/>
      <c r="AB9119" s="318"/>
      <c r="AC9119" s="318"/>
      <c r="AD9119" s="318"/>
    </row>
    <row r="9120" spans="2:30" s="323" customFormat="1" ht="12" customHeight="1">
      <c r="B9120" s="324"/>
      <c r="C9120" s="325"/>
      <c r="D9120" s="326"/>
      <c r="E9120" s="326"/>
      <c r="F9120" s="326"/>
      <c r="G9120" s="326"/>
      <c r="H9120" s="326"/>
      <c r="P9120" s="318"/>
      <c r="Q9120" s="318"/>
      <c r="R9120" s="318"/>
      <c r="S9120" s="318"/>
      <c r="T9120" s="318"/>
      <c r="U9120" s="318"/>
      <c r="V9120" s="318"/>
      <c r="W9120" s="318"/>
      <c r="X9120" s="318"/>
      <c r="Y9120" s="318"/>
      <c r="Z9120" s="318"/>
      <c r="AA9120" s="318"/>
      <c r="AB9120" s="318"/>
      <c r="AC9120" s="318"/>
      <c r="AD9120" s="318"/>
    </row>
    <row r="9121" spans="2:30" s="323" customFormat="1" ht="12" customHeight="1">
      <c r="B9121" s="324"/>
      <c r="C9121" s="325"/>
      <c r="D9121" s="326"/>
      <c r="E9121" s="326"/>
      <c r="F9121" s="326"/>
      <c r="G9121" s="326"/>
      <c r="H9121" s="326"/>
      <c r="P9121" s="318"/>
      <c r="Q9121" s="318"/>
      <c r="R9121" s="318"/>
      <c r="S9121" s="318"/>
      <c r="T9121" s="318"/>
      <c r="U9121" s="318"/>
      <c r="V9121" s="318"/>
      <c r="W9121" s="318"/>
      <c r="X9121" s="318"/>
      <c r="Y9121" s="318"/>
      <c r="Z9121" s="318"/>
      <c r="AA9121" s="318"/>
      <c r="AB9121" s="318"/>
      <c r="AC9121" s="318"/>
      <c r="AD9121" s="318"/>
    </row>
    <row r="9122" spans="2:30" s="323" customFormat="1" ht="12" customHeight="1">
      <c r="B9122" s="324"/>
      <c r="C9122" s="325"/>
      <c r="D9122" s="326"/>
      <c r="E9122" s="326"/>
      <c r="F9122" s="326"/>
      <c r="G9122" s="326"/>
      <c r="H9122" s="326"/>
      <c r="P9122" s="318"/>
      <c r="Q9122" s="318"/>
      <c r="R9122" s="318"/>
      <c r="S9122" s="318"/>
      <c r="T9122" s="318"/>
      <c r="U9122" s="318"/>
      <c r="V9122" s="318"/>
      <c r="W9122" s="318"/>
      <c r="X9122" s="318"/>
      <c r="Y9122" s="318"/>
      <c r="Z9122" s="318"/>
      <c r="AA9122" s="318"/>
      <c r="AB9122" s="318"/>
      <c r="AC9122" s="318"/>
      <c r="AD9122" s="318"/>
    </row>
    <row r="9123" spans="2:30" s="323" customFormat="1" ht="12" customHeight="1">
      <c r="B9123" s="324"/>
      <c r="C9123" s="325"/>
      <c r="D9123" s="326"/>
      <c r="E9123" s="326"/>
      <c r="F9123" s="326"/>
      <c r="G9123" s="326"/>
      <c r="H9123" s="326"/>
      <c r="P9123" s="318"/>
      <c r="Q9123" s="318"/>
      <c r="R9123" s="318"/>
      <c r="S9123" s="318"/>
      <c r="T9123" s="318"/>
      <c r="U9123" s="318"/>
      <c r="V9123" s="318"/>
      <c r="W9123" s="318"/>
      <c r="X9123" s="318"/>
      <c r="Y9123" s="318"/>
      <c r="Z9123" s="318"/>
      <c r="AA9123" s="318"/>
      <c r="AB9123" s="318"/>
      <c r="AC9123" s="318"/>
      <c r="AD9123" s="318"/>
    </row>
    <row r="9124" spans="2:30" s="323" customFormat="1" ht="12" customHeight="1">
      <c r="B9124" s="324"/>
      <c r="C9124" s="325"/>
      <c r="D9124" s="326"/>
      <c r="E9124" s="326"/>
      <c r="F9124" s="326"/>
      <c r="G9124" s="326"/>
      <c r="H9124" s="326"/>
      <c r="P9124" s="318"/>
      <c r="Q9124" s="318"/>
      <c r="R9124" s="318"/>
      <c r="S9124" s="318"/>
      <c r="T9124" s="318"/>
      <c r="U9124" s="318"/>
      <c r="V9124" s="318"/>
      <c r="W9124" s="318"/>
      <c r="X9124" s="318"/>
      <c r="Y9124" s="318"/>
      <c r="Z9124" s="318"/>
      <c r="AA9124" s="318"/>
      <c r="AB9124" s="318"/>
      <c r="AC9124" s="318"/>
      <c r="AD9124" s="318"/>
    </row>
    <row r="9125" spans="2:30" s="323" customFormat="1" ht="12" customHeight="1">
      <c r="B9125" s="324"/>
      <c r="C9125" s="325"/>
      <c r="D9125" s="326"/>
      <c r="E9125" s="326"/>
      <c r="F9125" s="326"/>
      <c r="G9125" s="326"/>
      <c r="H9125" s="326"/>
      <c r="P9125" s="318"/>
      <c r="Q9125" s="318"/>
      <c r="R9125" s="318"/>
      <c r="S9125" s="318"/>
      <c r="T9125" s="318"/>
      <c r="U9125" s="318"/>
      <c r="V9125" s="318"/>
      <c r="W9125" s="318"/>
      <c r="X9125" s="318"/>
      <c r="Y9125" s="318"/>
      <c r="Z9125" s="318"/>
      <c r="AA9125" s="318"/>
      <c r="AB9125" s="318"/>
      <c r="AC9125" s="318"/>
      <c r="AD9125" s="318"/>
    </row>
    <row r="9126" spans="2:30" s="323" customFormat="1" ht="12" customHeight="1">
      <c r="B9126" s="324"/>
      <c r="C9126" s="325"/>
      <c r="D9126" s="326"/>
      <c r="E9126" s="326"/>
      <c r="F9126" s="326"/>
      <c r="G9126" s="326"/>
      <c r="H9126" s="326"/>
      <c r="P9126" s="318"/>
      <c r="Q9126" s="318"/>
      <c r="R9126" s="318"/>
      <c r="S9126" s="318"/>
      <c r="T9126" s="318"/>
      <c r="U9126" s="318"/>
      <c r="V9126" s="318"/>
      <c r="W9126" s="318"/>
      <c r="X9126" s="318"/>
      <c r="Y9126" s="318"/>
      <c r="Z9126" s="318"/>
      <c r="AA9126" s="318"/>
      <c r="AB9126" s="318"/>
      <c r="AC9126" s="318"/>
      <c r="AD9126" s="318"/>
    </row>
    <row r="9127" spans="2:30" s="323" customFormat="1" ht="12" customHeight="1">
      <c r="B9127" s="324"/>
      <c r="C9127" s="325"/>
      <c r="D9127" s="326"/>
      <c r="E9127" s="326"/>
      <c r="F9127" s="326"/>
      <c r="G9127" s="326"/>
      <c r="H9127" s="326"/>
      <c r="P9127" s="318"/>
      <c r="Q9127" s="318"/>
      <c r="R9127" s="318"/>
      <c r="S9127" s="318"/>
      <c r="T9127" s="318"/>
      <c r="U9127" s="318"/>
      <c r="V9127" s="318"/>
      <c r="W9127" s="318"/>
      <c r="X9127" s="318"/>
      <c r="Y9127" s="318"/>
      <c r="Z9127" s="318"/>
      <c r="AA9127" s="318"/>
      <c r="AB9127" s="318"/>
      <c r="AC9127" s="318"/>
      <c r="AD9127" s="318"/>
    </row>
    <row r="9128" spans="2:30" s="323" customFormat="1" ht="12" customHeight="1">
      <c r="B9128" s="324"/>
      <c r="C9128" s="325"/>
      <c r="D9128" s="326"/>
      <c r="E9128" s="326"/>
      <c r="F9128" s="326"/>
      <c r="G9128" s="326"/>
      <c r="H9128" s="326"/>
      <c r="P9128" s="318"/>
      <c r="Q9128" s="318"/>
      <c r="R9128" s="318"/>
      <c r="S9128" s="318"/>
      <c r="T9128" s="318"/>
      <c r="U9128" s="318"/>
      <c r="V9128" s="318"/>
      <c r="W9128" s="318"/>
      <c r="X9128" s="318"/>
      <c r="Y9128" s="318"/>
      <c r="Z9128" s="318"/>
      <c r="AA9128" s="318"/>
      <c r="AB9128" s="318"/>
      <c r="AC9128" s="318"/>
      <c r="AD9128" s="318"/>
    </row>
    <row r="9129" spans="2:30" s="323" customFormat="1" ht="12" customHeight="1">
      <c r="B9129" s="324"/>
      <c r="C9129" s="325"/>
      <c r="D9129" s="326"/>
      <c r="E9129" s="326"/>
      <c r="F9129" s="326"/>
      <c r="G9129" s="326"/>
      <c r="H9129" s="326"/>
      <c r="P9129" s="318"/>
      <c r="Q9129" s="318"/>
      <c r="R9129" s="318"/>
      <c r="S9129" s="318"/>
      <c r="T9129" s="318"/>
      <c r="U9129" s="318"/>
      <c r="V9129" s="318"/>
      <c r="W9129" s="318"/>
      <c r="X9129" s="318"/>
      <c r="Y9129" s="318"/>
      <c r="Z9129" s="318"/>
      <c r="AA9129" s="318"/>
      <c r="AB9129" s="318"/>
      <c r="AC9129" s="318"/>
      <c r="AD9129" s="318"/>
    </row>
    <row r="9130" spans="2:30" s="323" customFormat="1" ht="12" customHeight="1">
      <c r="B9130" s="324"/>
      <c r="C9130" s="325"/>
      <c r="D9130" s="326"/>
      <c r="E9130" s="326"/>
      <c r="F9130" s="326"/>
      <c r="G9130" s="326"/>
      <c r="H9130" s="326"/>
      <c r="P9130" s="318"/>
      <c r="Q9130" s="318"/>
      <c r="R9130" s="318"/>
      <c r="S9130" s="318"/>
      <c r="T9130" s="318"/>
      <c r="U9130" s="318"/>
      <c r="V9130" s="318"/>
      <c r="W9130" s="318"/>
      <c r="X9130" s="318"/>
      <c r="Y9130" s="318"/>
      <c r="Z9130" s="318"/>
      <c r="AA9130" s="318"/>
      <c r="AB9130" s="318"/>
      <c r="AC9130" s="318"/>
      <c r="AD9130" s="318"/>
    </row>
    <row r="9131" spans="2:30" s="323" customFormat="1" ht="12" customHeight="1">
      <c r="B9131" s="324"/>
      <c r="C9131" s="325"/>
      <c r="D9131" s="326"/>
      <c r="E9131" s="326"/>
      <c r="F9131" s="326"/>
      <c r="G9131" s="326"/>
      <c r="H9131" s="326"/>
      <c r="P9131" s="318"/>
      <c r="Q9131" s="318"/>
      <c r="R9131" s="318"/>
      <c r="S9131" s="318"/>
      <c r="T9131" s="318"/>
      <c r="U9131" s="318"/>
      <c r="V9131" s="318"/>
      <c r="W9131" s="318"/>
      <c r="X9131" s="318"/>
      <c r="Y9131" s="318"/>
      <c r="Z9131" s="318"/>
      <c r="AA9131" s="318"/>
      <c r="AB9131" s="318"/>
      <c r="AC9131" s="318"/>
      <c r="AD9131" s="318"/>
    </row>
    <row r="9132" spans="2:30" s="323" customFormat="1" ht="12" customHeight="1">
      <c r="B9132" s="324"/>
      <c r="C9132" s="325"/>
      <c r="D9132" s="326"/>
      <c r="E9132" s="326"/>
      <c r="F9132" s="326"/>
      <c r="G9132" s="326"/>
      <c r="H9132" s="326"/>
      <c r="P9132" s="318"/>
      <c r="Q9132" s="318"/>
      <c r="R9132" s="318"/>
      <c r="S9132" s="318"/>
      <c r="T9132" s="318"/>
      <c r="U9132" s="318"/>
      <c r="V9132" s="318"/>
      <c r="W9132" s="318"/>
      <c r="X9132" s="318"/>
      <c r="Y9132" s="318"/>
      <c r="Z9132" s="318"/>
      <c r="AA9132" s="318"/>
      <c r="AB9132" s="318"/>
      <c r="AC9132" s="318"/>
      <c r="AD9132" s="318"/>
    </row>
    <row r="9133" spans="2:30" s="323" customFormat="1" ht="12" customHeight="1">
      <c r="B9133" s="324"/>
      <c r="C9133" s="325"/>
      <c r="D9133" s="326"/>
      <c r="E9133" s="326"/>
      <c r="F9133" s="326"/>
      <c r="G9133" s="326"/>
      <c r="H9133" s="326"/>
      <c r="P9133" s="318"/>
      <c r="Q9133" s="318"/>
      <c r="R9133" s="318"/>
      <c r="S9133" s="318"/>
      <c r="T9133" s="318"/>
      <c r="U9133" s="318"/>
      <c r="V9133" s="318"/>
      <c r="W9133" s="318"/>
      <c r="X9133" s="318"/>
      <c r="Y9133" s="318"/>
      <c r="Z9133" s="318"/>
      <c r="AA9133" s="318"/>
      <c r="AB9133" s="318"/>
      <c r="AC9133" s="318"/>
      <c r="AD9133" s="318"/>
    </row>
    <row r="9134" spans="2:30" s="323" customFormat="1" ht="12" customHeight="1">
      <c r="B9134" s="324"/>
      <c r="C9134" s="325"/>
      <c r="D9134" s="326"/>
      <c r="E9134" s="326"/>
      <c r="F9134" s="326"/>
      <c r="G9134" s="326"/>
      <c r="H9134" s="326"/>
      <c r="P9134" s="318"/>
      <c r="Q9134" s="318"/>
      <c r="R9134" s="318"/>
      <c r="S9134" s="318"/>
      <c r="T9134" s="318"/>
      <c r="U9134" s="318"/>
      <c r="V9134" s="318"/>
      <c r="W9134" s="318"/>
      <c r="X9134" s="318"/>
      <c r="Y9134" s="318"/>
      <c r="Z9134" s="318"/>
      <c r="AA9134" s="318"/>
      <c r="AB9134" s="318"/>
      <c r="AC9134" s="318"/>
      <c r="AD9134" s="318"/>
    </row>
    <row r="9135" spans="2:30" s="323" customFormat="1" ht="12" customHeight="1">
      <c r="B9135" s="324"/>
      <c r="C9135" s="325"/>
      <c r="D9135" s="326"/>
      <c r="E9135" s="326"/>
      <c r="F9135" s="326"/>
      <c r="G9135" s="326"/>
      <c r="H9135" s="326"/>
      <c r="P9135" s="318"/>
      <c r="Q9135" s="318"/>
      <c r="R9135" s="318"/>
      <c r="S9135" s="318"/>
      <c r="T9135" s="318"/>
      <c r="U9135" s="318"/>
      <c r="V9135" s="318"/>
      <c r="W9135" s="318"/>
      <c r="X9135" s="318"/>
      <c r="Y9135" s="318"/>
      <c r="Z9135" s="318"/>
      <c r="AA9135" s="318"/>
      <c r="AB9135" s="318"/>
      <c r="AC9135" s="318"/>
      <c r="AD9135" s="318"/>
    </row>
    <row r="9136" spans="2:30" s="323" customFormat="1" ht="12" customHeight="1">
      <c r="B9136" s="324"/>
      <c r="C9136" s="325"/>
      <c r="D9136" s="326"/>
      <c r="E9136" s="326"/>
      <c r="F9136" s="326"/>
      <c r="G9136" s="326"/>
      <c r="H9136" s="326"/>
      <c r="P9136" s="318"/>
      <c r="Q9136" s="318"/>
      <c r="R9136" s="318"/>
      <c r="S9136" s="318"/>
      <c r="T9136" s="318"/>
      <c r="U9136" s="318"/>
      <c r="V9136" s="318"/>
      <c r="W9136" s="318"/>
      <c r="X9136" s="318"/>
      <c r="Y9136" s="318"/>
      <c r="Z9136" s="318"/>
      <c r="AA9136" s="318"/>
      <c r="AB9136" s="318"/>
      <c r="AC9136" s="318"/>
      <c r="AD9136" s="318"/>
    </row>
    <row r="9137" spans="2:30" s="323" customFormat="1" ht="12" customHeight="1">
      <c r="B9137" s="324"/>
      <c r="C9137" s="325"/>
      <c r="D9137" s="326"/>
      <c r="E9137" s="326"/>
      <c r="F9137" s="326"/>
      <c r="G9137" s="326"/>
      <c r="H9137" s="326"/>
      <c r="P9137" s="318"/>
      <c r="Q9137" s="318"/>
      <c r="R9137" s="318"/>
      <c r="S9137" s="318"/>
      <c r="T9137" s="318"/>
      <c r="U9137" s="318"/>
      <c r="V9137" s="318"/>
      <c r="W9137" s="318"/>
      <c r="X9137" s="318"/>
      <c r="Y9137" s="318"/>
      <c r="Z9137" s="318"/>
      <c r="AA9137" s="318"/>
      <c r="AB9137" s="318"/>
      <c r="AC9137" s="318"/>
      <c r="AD9137" s="318"/>
    </row>
    <row r="9138" spans="2:30" s="323" customFormat="1" ht="12" customHeight="1">
      <c r="B9138" s="324"/>
      <c r="C9138" s="325"/>
      <c r="D9138" s="326"/>
      <c r="E9138" s="326"/>
      <c r="F9138" s="326"/>
      <c r="G9138" s="326"/>
      <c r="H9138" s="326"/>
      <c r="P9138" s="318"/>
      <c r="Q9138" s="318"/>
      <c r="R9138" s="318"/>
      <c r="S9138" s="318"/>
      <c r="T9138" s="318"/>
      <c r="U9138" s="318"/>
      <c r="V9138" s="318"/>
      <c r="W9138" s="318"/>
      <c r="X9138" s="318"/>
      <c r="Y9138" s="318"/>
      <c r="Z9138" s="318"/>
      <c r="AA9138" s="318"/>
      <c r="AB9138" s="318"/>
      <c r="AC9138" s="318"/>
      <c r="AD9138" s="318"/>
    </row>
    <row r="9139" spans="2:30" s="323" customFormat="1" ht="12" customHeight="1">
      <c r="B9139" s="324"/>
      <c r="C9139" s="325"/>
      <c r="D9139" s="326"/>
      <c r="E9139" s="326"/>
      <c r="F9139" s="326"/>
      <c r="G9139" s="326"/>
      <c r="H9139" s="326"/>
      <c r="P9139" s="318"/>
      <c r="Q9139" s="318"/>
      <c r="R9139" s="318"/>
      <c r="S9139" s="318"/>
      <c r="T9139" s="318"/>
      <c r="U9139" s="318"/>
      <c r="V9139" s="318"/>
      <c r="W9139" s="318"/>
      <c r="X9139" s="318"/>
      <c r="Y9139" s="318"/>
      <c r="Z9139" s="318"/>
      <c r="AA9139" s="318"/>
      <c r="AB9139" s="318"/>
      <c r="AC9139" s="318"/>
      <c r="AD9139" s="318"/>
    </row>
    <row r="9140" spans="2:30" s="323" customFormat="1" ht="12" customHeight="1">
      <c r="B9140" s="324"/>
      <c r="C9140" s="325"/>
      <c r="D9140" s="326"/>
      <c r="E9140" s="326"/>
      <c r="F9140" s="326"/>
      <c r="G9140" s="326"/>
      <c r="H9140" s="326"/>
      <c r="P9140" s="318"/>
      <c r="Q9140" s="318"/>
      <c r="R9140" s="318"/>
      <c r="S9140" s="318"/>
      <c r="T9140" s="318"/>
      <c r="U9140" s="318"/>
      <c r="V9140" s="318"/>
      <c r="W9140" s="318"/>
      <c r="X9140" s="318"/>
      <c r="Y9140" s="318"/>
      <c r="Z9140" s="318"/>
      <c r="AA9140" s="318"/>
      <c r="AB9140" s="318"/>
      <c r="AC9140" s="318"/>
      <c r="AD9140" s="318"/>
    </row>
    <row r="9141" spans="2:30" s="323" customFormat="1" ht="12" customHeight="1">
      <c r="B9141" s="324"/>
      <c r="C9141" s="325"/>
      <c r="D9141" s="326"/>
      <c r="E9141" s="326"/>
      <c r="F9141" s="326"/>
      <c r="G9141" s="326"/>
      <c r="H9141" s="326"/>
      <c r="P9141" s="318"/>
      <c r="Q9141" s="318"/>
      <c r="R9141" s="318"/>
      <c r="S9141" s="318"/>
      <c r="T9141" s="318"/>
      <c r="U9141" s="318"/>
      <c r="V9141" s="318"/>
      <c r="W9141" s="318"/>
      <c r="X9141" s="318"/>
      <c r="Y9141" s="318"/>
      <c r="Z9141" s="318"/>
      <c r="AA9141" s="318"/>
      <c r="AB9141" s="318"/>
      <c r="AC9141" s="318"/>
      <c r="AD9141" s="318"/>
    </row>
    <row r="9142" spans="2:30" s="323" customFormat="1" ht="12" customHeight="1">
      <c r="B9142" s="324"/>
      <c r="C9142" s="325"/>
      <c r="D9142" s="326"/>
      <c r="E9142" s="326"/>
      <c r="F9142" s="326"/>
      <c r="G9142" s="326"/>
      <c r="H9142" s="326"/>
      <c r="P9142" s="318"/>
      <c r="Q9142" s="318"/>
      <c r="R9142" s="318"/>
      <c r="S9142" s="318"/>
      <c r="T9142" s="318"/>
      <c r="U9142" s="318"/>
      <c r="V9142" s="318"/>
      <c r="W9142" s="318"/>
      <c r="X9142" s="318"/>
      <c r="Y9142" s="318"/>
      <c r="Z9142" s="318"/>
      <c r="AA9142" s="318"/>
      <c r="AB9142" s="318"/>
      <c r="AC9142" s="318"/>
      <c r="AD9142" s="318"/>
    </row>
    <row r="9143" spans="2:30" s="323" customFormat="1" ht="12" customHeight="1">
      <c r="B9143" s="324"/>
      <c r="C9143" s="325"/>
      <c r="D9143" s="326"/>
      <c r="E9143" s="326"/>
      <c r="F9143" s="326"/>
      <c r="G9143" s="326"/>
      <c r="H9143" s="326"/>
      <c r="P9143" s="318"/>
      <c r="Q9143" s="318"/>
      <c r="R9143" s="318"/>
      <c r="S9143" s="318"/>
      <c r="T9143" s="318"/>
      <c r="U9143" s="318"/>
      <c r="V9143" s="318"/>
      <c r="W9143" s="318"/>
      <c r="X9143" s="318"/>
      <c r="Y9143" s="318"/>
      <c r="Z9143" s="318"/>
      <c r="AA9143" s="318"/>
      <c r="AB9143" s="318"/>
      <c r="AC9143" s="318"/>
      <c r="AD9143" s="318"/>
    </row>
    <row r="9144" spans="2:30" s="323" customFormat="1" ht="12" customHeight="1">
      <c r="B9144" s="324"/>
      <c r="C9144" s="325"/>
      <c r="D9144" s="326"/>
      <c r="E9144" s="326"/>
      <c r="F9144" s="326"/>
      <c r="G9144" s="326"/>
      <c r="H9144" s="326"/>
      <c r="P9144" s="318"/>
      <c r="Q9144" s="318"/>
      <c r="R9144" s="318"/>
      <c r="S9144" s="318"/>
      <c r="T9144" s="318"/>
      <c r="U9144" s="318"/>
      <c r="V9144" s="318"/>
      <c r="W9144" s="318"/>
      <c r="X9144" s="318"/>
      <c r="Y9144" s="318"/>
      <c r="Z9144" s="318"/>
      <c r="AA9144" s="318"/>
      <c r="AB9144" s="318"/>
      <c r="AC9144" s="318"/>
      <c r="AD9144" s="318"/>
    </row>
    <row r="9145" spans="2:30" s="323" customFormat="1" ht="12" customHeight="1">
      <c r="B9145" s="324"/>
      <c r="C9145" s="325"/>
      <c r="D9145" s="326"/>
      <c r="E9145" s="326"/>
      <c r="F9145" s="326"/>
      <c r="G9145" s="326"/>
      <c r="H9145" s="326"/>
      <c r="P9145" s="318"/>
      <c r="Q9145" s="318"/>
      <c r="R9145" s="318"/>
      <c r="S9145" s="318"/>
      <c r="T9145" s="318"/>
      <c r="U9145" s="318"/>
      <c r="V9145" s="318"/>
      <c r="W9145" s="318"/>
      <c r="X9145" s="318"/>
      <c r="Y9145" s="318"/>
      <c r="Z9145" s="318"/>
      <c r="AA9145" s="318"/>
      <c r="AB9145" s="318"/>
      <c r="AC9145" s="318"/>
      <c r="AD9145" s="318"/>
    </row>
    <row r="9146" spans="2:30" s="323" customFormat="1" ht="12" customHeight="1">
      <c r="B9146" s="324"/>
      <c r="C9146" s="325"/>
      <c r="D9146" s="326"/>
      <c r="E9146" s="326"/>
      <c r="F9146" s="326"/>
      <c r="G9146" s="326"/>
      <c r="H9146" s="326"/>
      <c r="P9146" s="318"/>
      <c r="Q9146" s="318"/>
      <c r="R9146" s="318"/>
      <c r="S9146" s="318"/>
      <c r="T9146" s="318"/>
      <c r="U9146" s="318"/>
      <c r="V9146" s="318"/>
      <c r="W9146" s="318"/>
      <c r="X9146" s="318"/>
      <c r="Y9146" s="318"/>
      <c r="Z9146" s="318"/>
      <c r="AA9146" s="318"/>
      <c r="AB9146" s="318"/>
      <c r="AC9146" s="318"/>
      <c r="AD9146" s="318"/>
    </row>
    <row r="9147" spans="2:30" s="323" customFormat="1" ht="12" customHeight="1">
      <c r="B9147" s="324"/>
      <c r="C9147" s="325"/>
      <c r="D9147" s="326"/>
      <c r="E9147" s="326"/>
      <c r="F9147" s="326"/>
      <c r="G9147" s="326"/>
      <c r="H9147" s="326"/>
      <c r="P9147" s="318"/>
      <c r="Q9147" s="318"/>
      <c r="R9147" s="318"/>
      <c r="S9147" s="318"/>
      <c r="T9147" s="318"/>
      <c r="U9147" s="318"/>
      <c r="V9147" s="318"/>
      <c r="W9147" s="318"/>
      <c r="X9147" s="318"/>
      <c r="Y9147" s="318"/>
      <c r="Z9147" s="318"/>
      <c r="AA9147" s="318"/>
      <c r="AB9147" s="318"/>
      <c r="AC9147" s="318"/>
      <c r="AD9147" s="318"/>
    </row>
    <row r="9148" spans="2:30" s="323" customFormat="1" ht="12" customHeight="1">
      <c r="B9148" s="324"/>
      <c r="C9148" s="325"/>
      <c r="D9148" s="326"/>
      <c r="E9148" s="326"/>
      <c r="F9148" s="326"/>
      <c r="G9148" s="326"/>
      <c r="H9148" s="326"/>
      <c r="P9148" s="318"/>
      <c r="Q9148" s="318"/>
      <c r="R9148" s="318"/>
      <c r="S9148" s="318"/>
      <c r="T9148" s="318"/>
      <c r="U9148" s="318"/>
      <c r="V9148" s="318"/>
      <c r="W9148" s="318"/>
      <c r="X9148" s="318"/>
      <c r="Y9148" s="318"/>
      <c r="Z9148" s="318"/>
      <c r="AA9148" s="318"/>
      <c r="AB9148" s="318"/>
      <c r="AC9148" s="318"/>
      <c r="AD9148" s="318"/>
    </row>
    <row r="9149" spans="2:30" s="323" customFormat="1" ht="12" customHeight="1">
      <c r="B9149" s="324"/>
      <c r="C9149" s="325"/>
      <c r="D9149" s="326"/>
      <c r="E9149" s="326"/>
      <c r="F9149" s="326"/>
      <c r="G9149" s="326"/>
      <c r="H9149" s="326"/>
      <c r="P9149" s="318"/>
      <c r="Q9149" s="318"/>
      <c r="R9149" s="318"/>
      <c r="S9149" s="318"/>
      <c r="T9149" s="318"/>
      <c r="U9149" s="318"/>
      <c r="V9149" s="318"/>
      <c r="W9149" s="318"/>
      <c r="X9149" s="318"/>
      <c r="Y9149" s="318"/>
      <c r="Z9149" s="318"/>
      <c r="AA9149" s="318"/>
      <c r="AB9149" s="318"/>
      <c r="AC9149" s="318"/>
      <c r="AD9149" s="318"/>
    </row>
    <row r="9150" spans="2:30" s="323" customFormat="1" ht="12" customHeight="1">
      <c r="B9150" s="324"/>
      <c r="C9150" s="325"/>
      <c r="D9150" s="326"/>
      <c r="E9150" s="326"/>
      <c r="F9150" s="326"/>
      <c r="G9150" s="326"/>
      <c r="H9150" s="326"/>
      <c r="P9150" s="318"/>
      <c r="Q9150" s="318"/>
      <c r="R9150" s="318"/>
      <c r="S9150" s="318"/>
      <c r="T9150" s="318"/>
      <c r="U9150" s="318"/>
      <c r="V9150" s="318"/>
      <c r="W9150" s="318"/>
      <c r="X9150" s="318"/>
      <c r="Y9150" s="318"/>
      <c r="Z9150" s="318"/>
      <c r="AA9150" s="318"/>
      <c r="AB9150" s="318"/>
      <c r="AC9150" s="318"/>
      <c r="AD9150" s="318"/>
    </row>
    <row r="9151" spans="2:30" s="323" customFormat="1" ht="12" customHeight="1">
      <c r="B9151" s="324"/>
      <c r="C9151" s="325"/>
      <c r="D9151" s="326"/>
      <c r="E9151" s="326"/>
      <c r="F9151" s="326"/>
      <c r="G9151" s="326"/>
      <c r="H9151" s="326"/>
      <c r="P9151" s="318"/>
      <c r="Q9151" s="318"/>
      <c r="R9151" s="318"/>
      <c r="S9151" s="318"/>
      <c r="T9151" s="318"/>
      <c r="U9151" s="318"/>
      <c r="V9151" s="318"/>
      <c r="W9151" s="318"/>
      <c r="X9151" s="318"/>
      <c r="Y9151" s="318"/>
      <c r="Z9151" s="318"/>
      <c r="AA9151" s="318"/>
      <c r="AB9151" s="318"/>
      <c r="AC9151" s="318"/>
      <c r="AD9151" s="318"/>
    </row>
    <row r="9152" spans="2:30" s="323" customFormat="1" ht="12" customHeight="1">
      <c r="B9152" s="324"/>
      <c r="C9152" s="325"/>
      <c r="D9152" s="326"/>
      <c r="E9152" s="326"/>
      <c r="F9152" s="326"/>
      <c r="G9152" s="326"/>
      <c r="H9152" s="326"/>
      <c r="P9152" s="318"/>
      <c r="Q9152" s="318"/>
      <c r="R9152" s="318"/>
      <c r="S9152" s="318"/>
      <c r="T9152" s="318"/>
      <c r="U9152" s="318"/>
      <c r="V9152" s="318"/>
      <c r="W9152" s="318"/>
      <c r="X9152" s="318"/>
      <c r="Y9152" s="318"/>
      <c r="Z9152" s="318"/>
      <c r="AA9152" s="318"/>
      <c r="AB9152" s="318"/>
      <c r="AC9152" s="318"/>
      <c r="AD9152" s="318"/>
    </row>
    <row r="9153" spans="2:30" s="323" customFormat="1" ht="12" customHeight="1">
      <c r="B9153" s="324"/>
      <c r="C9153" s="325"/>
      <c r="D9153" s="326"/>
      <c r="E9153" s="326"/>
      <c r="F9153" s="326"/>
      <c r="G9153" s="326"/>
      <c r="H9153" s="326"/>
      <c r="P9153" s="318"/>
      <c r="Q9153" s="318"/>
      <c r="R9153" s="318"/>
      <c r="S9153" s="318"/>
      <c r="T9153" s="318"/>
      <c r="U9153" s="318"/>
      <c r="V9153" s="318"/>
      <c r="W9153" s="318"/>
      <c r="X9153" s="318"/>
      <c r="Y9153" s="318"/>
      <c r="Z9153" s="318"/>
      <c r="AA9153" s="318"/>
      <c r="AB9153" s="318"/>
      <c r="AC9153" s="318"/>
      <c r="AD9153" s="318"/>
    </row>
    <row r="9154" spans="2:30" s="323" customFormat="1" ht="12" customHeight="1">
      <c r="B9154" s="324"/>
      <c r="C9154" s="325"/>
      <c r="D9154" s="326"/>
      <c r="E9154" s="326"/>
      <c r="F9154" s="326"/>
      <c r="G9154" s="326"/>
      <c r="H9154" s="326"/>
      <c r="P9154" s="318"/>
      <c r="Q9154" s="318"/>
      <c r="R9154" s="318"/>
      <c r="S9154" s="318"/>
      <c r="T9154" s="318"/>
      <c r="U9154" s="318"/>
      <c r="V9154" s="318"/>
      <c r="W9154" s="318"/>
      <c r="X9154" s="318"/>
      <c r="Y9154" s="318"/>
      <c r="Z9154" s="318"/>
      <c r="AA9154" s="318"/>
      <c r="AB9154" s="318"/>
      <c r="AC9154" s="318"/>
      <c r="AD9154" s="318"/>
    </row>
    <row r="9155" spans="2:30" s="323" customFormat="1" ht="12" customHeight="1">
      <c r="B9155" s="324"/>
      <c r="C9155" s="325"/>
      <c r="D9155" s="326"/>
      <c r="E9155" s="326"/>
      <c r="F9155" s="326"/>
      <c r="G9155" s="326"/>
      <c r="H9155" s="326"/>
      <c r="P9155" s="318"/>
      <c r="Q9155" s="318"/>
      <c r="R9155" s="318"/>
      <c r="S9155" s="318"/>
      <c r="T9155" s="318"/>
      <c r="U9155" s="318"/>
      <c r="V9155" s="318"/>
      <c r="W9155" s="318"/>
      <c r="X9155" s="318"/>
      <c r="Y9155" s="318"/>
      <c r="Z9155" s="318"/>
      <c r="AA9155" s="318"/>
      <c r="AB9155" s="318"/>
      <c r="AC9155" s="318"/>
      <c r="AD9155" s="318"/>
    </row>
    <row r="9156" spans="2:30" s="323" customFormat="1" ht="12" customHeight="1">
      <c r="B9156" s="324"/>
      <c r="C9156" s="325"/>
      <c r="D9156" s="326"/>
      <c r="E9156" s="326"/>
      <c r="F9156" s="326"/>
      <c r="G9156" s="326"/>
      <c r="H9156" s="326"/>
      <c r="P9156" s="318"/>
      <c r="Q9156" s="318"/>
      <c r="R9156" s="318"/>
      <c r="S9156" s="318"/>
      <c r="T9156" s="318"/>
      <c r="U9156" s="318"/>
      <c r="V9156" s="318"/>
      <c r="W9156" s="318"/>
      <c r="X9156" s="318"/>
      <c r="Y9156" s="318"/>
      <c r="Z9156" s="318"/>
      <c r="AA9156" s="318"/>
      <c r="AB9156" s="318"/>
      <c r="AC9156" s="318"/>
      <c r="AD9156" s="318"/>
    </row>
    <row r="9157" spans="2:30" s="323" customFormat="1" ht="12" customHeight="1">
      <c r="B9157" s="324"/>
      <c r="C9157" s="325"/>
      <c r="D9157" s="326"/>
      <c r="E9157" s="326"/>
      <c r="F9157" s="326"/>
      <c r="G9157" s="326"/>
      <c r="H9157" s="326"/>
      <c r="P9157" s="318"/>
      <c r="Q9157" s="318"/>
      <c r="R9157" s="318"/>
      <c r="S9157" s="318"/>
      <c r="T9157" s="318"/>
      <c r="U9157" s="318"/>
      <c r="V9157" s="318"/>
      <c r="W9157" s="318"/>
      <c r="X9157" s="318"/>
      <c r="Y9157" s="318"/>
      <c r="Z9157" s="318"/>
      <c r="AA9157" s="318"/>
      <c r="AB9157" s="318"/>
      <c r="AC9157" s="318"/>
      <c r="AD9157" s="318"/>
    </row>
    <row r="9158" spans="2:30" s="323" customFormat="1" ht="12" customHeight="1">
      <c r="B9158" s="324"/>
      <c r="C9158" s="325"/>
      <c r="D9158" s="326"/>
      <c r="E9158" s="326"/>
      <c r="F9158" s="326"/>
      <c r="G9158" s="326"/>
      <c r="H9158" s="326"/>
      <c r="P9158" s="318"/>
      <c r="Q9158" s="318"/>
      <c r="R9158" s="318"/>
      <c r="S9158" s="318"/>
      <c r="T9158" s="318"/>
      <c r="U9158" s="318"/>
      <c r="V9158" s="318"/>
      <c r="W9158" s="318"/>
      <c r="X9158" s="318"/>
      <c r="Y9158" s="318"/>
      <c r="Z9158" s="318"/>
      <c r="AA9158" s="318"/>
      <c r="AB9158" s="318"/>
      <c r="AC9158" s="318"/>
      <c r="AD9158" s="318"/>
    </row>
    <row r="9159" spans="2:30" s="323" customFormat="1" ht="12" customHeight="1">
      <c r="B9159" s="324"/>
      <c r="C9159" s="325"/>
      <c r="D9159" s="326"/>
      <c r="E9159" s="326"/>
      <c r="F9159" s="326"/>
      <c r="G9159" s="326"/>
      <c r="H9159" s="326"/>
      <c r="P9159" s="318"/>
      <c r="Q9159" s="318"/>
      <c r="R9159" s="318"/>
      <c r="S9159" s="318"/>
      <c r="T9159" s="318"/>
      <c r="U9159" s="318"/>
      <c r="V9159" s="318"/>
      <c r="W9159" s="318"/>
      <c r="X9159" s="318"/>
      <c r="Y9159" s="318"/>
      <c r="Z9159" s="318"/>
      <c r="AA9159" s="318"/>
      <c r="AB9159" s="318"/>
      <c r="AC9159" s="318"/>
      <c r="AD9159" s="318"/>
    </row>
    <row r="9160" spans="2:30" s="323" customFormat="1" ht="12" customHeight="1">
      <c r="B9160" s="324"/>
      <c r="C9160" s="325"/>
      <c r="D9160" s="326"/>
      <c r="E9160" s="326"/>
      <c r="F9160" s="326"/>
      <c r="G9160" s="326"/>
      <c r="H9160" s="326"/>
      <c r="P9160" s="318"/>
      <c r="Q9160" s="318"/>
      <c r="R9160" s="318"/>
      <c r="S9160" s="318"/>
      <c r="T9160" s="318"/>
      <c r="U9160" s="318"/>
      <c r="V9160" s="318"/>
      <c r="W9160" s="318"/>
      <c r="X9160" s="318"/>
      <c r="Y9160" s="318"/>
      <c r="Z9160" s="318"/>
      <c r="AA9160" s="318"/>
      <c r="AB9160" s="318"/>
      <c r="AC9160" s="318"/>
      <c r="AD9160" s="318"/>
    </row>
    <row r="9161" spans="2:30" s="323" customFormat="1" ht="12" customHeight="1">
      <c r="B9161" s="324"/>
      <c r="C9161" s="325"/>
      <c r="D9161" s="326"/>
      <c r="E9161" s="326"/>
      <c r="F9161" s="326"/>
      <c r="G9161" s="326"/>
      <c r="H9161" s="326"/>
      <c r="P9161" s="318"/>
      <c r="Q9161" s="318"/>
      <c r="R9161" s="318"/>
      <c r="S9161" s="318"/>
      <c r="T9161" s="318"/>
      <c r="U9161" s="318"/>
      <c r="V9161" s="318"/>
      <c r="W9161" s="318"/>
      <c r="X9161" s="318"/>
      <c r="Y9161" s="318"/>
      <c r="Z9161" s="318"/>
      <c r="AA9161" s="318"/>
      <c r="AB9161" s="318"/>
      <c r="AC9161" s="318"/>
      <c r="AD9161" s="318"/>
    </row>
    <row r="9162" spans="2:30" s="323" customFormat="1" ht="12" customHeight="1">
      <c r="B9162" s="324"/>
      <c r="C9162" s="325"/>
      <c r="D9162" s="326"/>
      <c r="E9162" s="326"/>
      <c r="F9162" s="326"/>
      <c r="G9162" s="326"/>
      <c r="H9162" s="326"/>
      <c r="P9162" s="318"/>
      <c r="Q9162" s="318"/>
      <c r="R9162" s="318"/>
      <c r="S9162" s="318"/>
      <c r="T9162" s="318"/>
      <c r="U9162" s="318"/>
      <c r="V9162" s="318"/>
      <c r="W9162" s="318"/>
      <c r="X9162" s="318"/>
      <c r="Y9162" s="318"/>
      <c r="Z9162" s="318"/>
      <c r="AA9162" s="318"/>
      <c r="AB9162" s="318"/>
      <c r="AC9162" s="318"/>
      <c r="AD9162" s="318"/>
    </row>
    <row r="9163" spans="2:30" s="323" customFormat="1" ht="12" customHeight="1">
      <c r="B9163" s="324"/>
      <c r="C9163" s="325"/>
      <c r="D9163" s="326"/>
      <c r="E9163" s="326"/>
      <c r="F9163" s="326"/>
      <c r="G9163" s="326"/>
      <c r="H9163" s="326"/>
      <c r="P9163" s="318"/>
      <c r="Q9163" s="318"/>
      <c r="R9163" s="318"/>
      <c r="S9163" s="318"/>
      <c r="T9163" s="318"/>
      <c r="U9163" s="318"/>
      <c r="V9163" s="318"/>
      <c r="W9163" s="318"/>
      <c r="X9163" s="318"/>
      <c r="Y9163" s="318"/>
      <c r="Z9163" s="318"/>
      <c r="AA9163" s="318"/>
      <c r="AB9163" s="318"/>
      <c r="AC9163" s="318"/>
      <c r="AD9163" s="318"/>
    </row>
    <row r="9164" spans="2:30" s="323" customFormat="1" ht="12" customHeight="1">
      <c r="B9164" s="324"/>
      <c r="C9164" s="325"/>
      <c r="D9164" s="326"/>
      <c r="E9164" s="326"/>
      <c r="F9164" s="326"/>
      <c r="G9164" s="326"/>
      <c r="H9164" s="326"/>
      <c r="P9164" s="318"/>
      <c r="Q9164" s="318"/>
      <c r="R9164" s="318"/>
      <c r="S9164" s="318"/>
      <c r="T9164" s="318"/>
      <c r="U9164" s="318"/>
      <c r="V9164" s="318"/>
      <c r="W9164" s="318"/>
      <c r="X9164" s="318"/>
      <c r="Y9164" s="318"/>
      <c r="Z9164" s="318"/>
      <c r="AA9164" s="318"/>
      <c r="AB9164" s="318"/>
      <c r="AC9164" s="318"/>
      <c r="AD9164" s="318"/>
    </row>
    <row r="9165" spans="2:30" s="323" customFormat="1" ht="12" customHeight="1">
      <c r="B9165" s="324"/>
      <c r="C9165" s="325"/>
      <c r="D9165" s="326"/>
      <c r="E9165" s="326"/>
      <c r="F9165" s="326"/>
      <c r="G9165" s="326"/>
      <c r="H9165" s="326"/>
      <c r="P9165" s="318"/>
      <c r="Q9165" s="318"/>
      <c r="R9165" s="318"/>
      <c r="S9165" s="318"/>
      <c r="T9165" s="318"/>
      <c r="U9165" s="318"/>
      <c r="V9165" s="318"/>
      <c r="W9165" s="318"/>
      <c r="X9165" s="318"/>
      <c r="Y9165" s="318"/>
      <c r="Z9165" s="318"/>
      <c r="AA9165" s="318"/>
      <c r="AB9165" s="318"/>
      <c r="AC9165" s="318"/>
      <c r="AD9165" s="318"/>
    </row>
    <row r="9166" spans="2:30" s="323" customFormat="1" ht="12" customHeight="1">
      <c r="B9166" s="324"/>
      <c r="C9166" s="325"/>
      <c r="D9166" s="326"/>
      <c r="E9166" s="326"/>
      <c r="F9166" s="326"/>
      <c r="G9166" s="326"/>
      <c r="H9166" s="326"/>
      <c r="P9166" s="318"/>
      <c r="Q9166" s="318"/>
      <c r="R9166" s="318"/>
      <c r="S9166" s="318"/>
      <c r="T9166" s="318"/>
      <c r="U9166" s="318"/>
      <c r="V9166" s="318"/>
      <c r="W9166" s="318"/>
      <c r="X9166" s="318"/>
      <c r="Y9166" s="318"/>
      <c r="Z9166" s="318"/>
      <c r="AA9166" s="318"/>
      <c r="AB9166" s="318"/>
      <c r="AC9166" s="318"/>
      <c r="AD9166" s="318"/>
    </row>
    <row r="9167" spans="2:30" s="323" customFormat="1" ht="12" customHeight="1">
      <c r="B9167" s="324"/>
      <c r="C9167" s="325"/>
      <c r="D9167" s="326"/>
      <c r="E9167" s="326"/>
      <c r="F9167" s="326"/>
      <c r="G9167" s="326"/>
      <c r="H9167" s="326"/>
      <c r="P9167" s="318"/>
      <c r="Q9167" s="318"/>
      <c r="R9167" s="318"/>
      <c r="S9167" s="318"/>
      <c r="T9167" s="318"/>
      <c r="U9167" s="318"/>
      <c r="V9167" s="318"/>
      <c r="W9167" s="318"/>
      <c r="X9167" s="318"/>
      <c r="Y9167" s="318"/>
      <c r="Z9167" s="318"/>
      <c r="AA9167" s="318"/>
      <c r="AB9167" s="318"/>
      <c r="AC9167" s="318"/>
      <c r="AD9167" s="318"/>
    </row>
    <row r="9168" spans="2:30" s="323" customFormat="1" ht="12" customHeight="1">
      <c r="B9168" s="324"/>
      <c r="C9168" s="325"/>
      <c r="D9168" s="326"/>
      <c r="E9168" s="326"/>
      <c r="F9168" s="326"/>
      <c r="G9168" s="326"/>
      <c r="H9168" s="326"/>
      <c r="P9168" s="318"/>
      <c r="Q9168" s="318"/>
      <c r="R9168" s="318"/>
      <c r="S9168" s="318"/>
      <c r="T9168" s="318"/>
      <c r="U9168" s="318"/>
      <c r="V9168" s="318"/>
      <c r="W9168" s="318"/>
      <c r="X9168" s="318"/>
      <c r="Y9168" s="318"/>
      <c r="Z9168" s="318"/>
      <c r="AA9168" s="318"/>
      <c r="AB9168" s="318"/>
      <c r="AC9168" s="318"/>
      <c r="AD9168" s="318"/>
    </row>
    <row r="9169" spans="2:30" s="323" customFormat="1" ht="12" customHeight="1">
      <c r="B9169" s="324"/>
      <c r="C9169" s="325"/>
      <c r="D9169" s="326"/>
      <c r="E9169" s="326"/>
      <c r="F9169" s="326"/>
      <c r="G9169" s="326"/>
      <c r="H9169" s="326"/>
      <c r="P9169" s="318"/>
      <c r="Q9169" s="318"/>
      <c r="R9169" s="318"/>
      <c r="S9169" s="318"/>
      <c r="T9169" s="318"/>
      <c r="U9169" s="318"/>
      <c r="V9169" s="318"/>
      <c r="W9169" s="318"/>
      <c r="X9169" s="318"/>
      <c r="Y9169" s="318"/>
      <c r="Z9169" s="318"/>
      <c r="AA9169" s="318"/>
      <c r="AB9169" s="318"/>
      <c r="AC9169" s="318"/>
      <c r="AD9169" s="318"/>
    </row>
    <row r="9170" spans="2:30" s="323" customFormat="1" ht="12" customHeight="1">
      <c r="B9170" s="324"/>
      <c r="C9170" s="325"/>
      <c r="D9170" s="326"/>
      <c r="E9170" s="326"/>
      <c r="F9170" s="326"/>
      <c r="G9170" s="326"/>
      <c r="H9170" s="326"/>
      <c r="P9170" s="318"/>
      <c r="Q9170" s="318"/>
      <c r="R9170" s="318"/>
      <c r="S9170" s="318"/>
      <c r="T9170" s="318"/>
      <c r="U9170" s="318"/>
      <c r="V9170" s="318"/>
      <c r="W9170" s="318"/>
      <c r="X9170" s="318"/>
      <c r="Y9170" s="318"/>
      <c r="Z9170" s="318"/>
      <c r="AA9170" s="318"/>
      <c r="AB9170" s="318"/>
      <c r="AC9170" s="318"/>
      <c r="AD9170" s="318"/>
    </row>
    <row r="9171" spans="2:30" s="323" customFormat="1" ht="12" customHeight="1">
      <c r="B9171" s="324"/>
      <c r="C9171" s="325"/>
      <c r="D9171" s="326"/>
      <c r="E9171" s="326"/>
      <c r="F9171" s="326"/>
      <c r="G9171" s="326"/>
      <c r="H9171" s="326"/>
      <c r="P9171" s="318"/>
      <c r="Q9171" s="318"/>
      <c r="R9171" s="318"/>
      <c r="S9171" s="318"/>
      <c r="T9171" s="318"/>
      <c r="U9171" s="318"/>
      <c r="V9171" s="318"/>
      <c r="W9171" s="318"/>
      <c r="X9171" s="318"/>
      <c r="Y9171" s="318"/>
      <c r="Z9171" s="318"/>
      <c r="AA9171" s="318"/>
      <c r="AB9171" s="318"/>
      <c r="AC9171" s="318"/>
      <c r="AD9171" s="318"/>
    </row>
    <row r="9172" spans="2:30" s="323" customFormat="1" ht="12" customHeight="1">
      <c r="B9172" s="324"/>
      <c r="C9172" s="325"/>
      <c r="D9172" s="326"/>
      <c r="E9172" s="326"/>
      <c r="F9172" s="326"/>
      <c r="G9172" s="326"/>
      <c r="H9172" s="326"/>
      <c r="P9172" s="318"/>
      <c r="Q9172" s="318"/>
      <c r="R9172" s="318"/>
      <c r="S9172" s="318"/>
      <c r="T9172" s="318"/>
      <c r="U9172" s="318"/>
      <c r="V9172" s="318"/>
      <c r="W9172" s="318"/>
      <c r="X9172" s="318"/>
      <c r="Y9172" s="318"/>
      <c r="Z9172" s="318"/>
      <c r="AA9172" s="318"/>
      <c r="AB9172" s="318"/>
      <c r="AC9172" s="318"/>
      <c r="AD9172" s="318"/>
    </row>
    <row r="9173" spans="2:30" s="323" customFormat="1" ht="12" customHeight="1">
      <c r="B9173" s="324"/>
      <c r="C9173" s="325"/>
      <c r="D9173" s="326"/>
      <c r="E9173" s="326"/>
      <c r="F9173" s="326"/>
      <c r="G9173" s="326"/>
      <c r="H9173" s="326"/>
      <c r="P9173" s="318"/>
      <c r="Q9173" s="318"/>
      <c r="R9173" s="318"/>
      <c r="S9173" s="318"/>
      <c r="T9173" s="318"/>
      <c r="U9173" s="318"/>
      <c r="V9173" s="318"/>
      <c r="W9173" s="318"/>
      <c r="X9173" s="318"/>
      <c r="Y9173" s="318"/>
      <c r="Z9173" s="318"/>
      <c r="AA9173" s="318"/>
      <c r="AB9173" s="318"/>
      <c r="AC9173" s="318"/>
      <c r="AD9173" s="318"/>
    </row>
    <row r="9174" spans="2:30" s="323" customFormat="1" ht="12" customHeight="1">
      <c r="B9174" s="324"/>
      <c r="C9174" s="325"/>
      <c r="D9174" s="326"/>
      <c r="E9174" s="326"/>
      <c r="F9174" s="326"/>
      <c r="G9174" s="326"/>
      <c r="H9174" s="326"/>
      <c r="P9174" s="318"/>
      <c r="Q9174" s="318"/>
      <c r="R9174" s="318"/>
      <c r="S9174" s="318"/>
      <c r="T9174" s="318"/>
      <c r="U9174" s="318"/>
      <c r="V9174" s="318"/>
      <c r="W9174" s="318"/>
      <c r="X9174" s="318"/>
      <c r="Y9174" s="318"/>
      <c r="Z9174" s="318"/>
      <c r="AA9174" s="318"/>
      <c r="AB9174" s="318"/>
      <c r="AC9174" s="318"/>
      <c r="AD9174" s="318"/>
    </row>
    <row r="9175" spans="2:30" s="323" customFormat="1" ht="12" customHeight="1">
      <c r="B9175" s="324"/>
      <c r="C9175" s="325"/>
      <c r="D9175" s="326"/>
      <c r="E9175" s="326"/>
      <c r="F9175" s="326"/>
      <c r="G9175" s="326"/>
      <c r="H9175" s="326"/>
      <c r="P9175" s="318"/>
      <c r="Q9175" s="318"/>
      <c r="R9175" s="318"/>
      <c r="S9175" s="318"/>
      <c r="T9175" s="318"/>
      <c r="U9175" s="318"/>
      <c r="V9175" s="318"/>
      <c r="W9175" s="318"/>
      <c r="X9175" s="318"/>
      <c r="Y9175" s="318"/>
      <c r="Z9175" s="318"/>
      <c r="AA9175" s="318"/>
      <c r="AB9175" s="318"/>
      <c r="AC9175" s="318"/>
      <c r="AD9175" s="318"/>
    </row>
    <row r="9176" spans="2:30" s="323" customFormat="1" ht="12" customHeight="1">
      <c r="B9176" s="324"/>
      <c r="C9176" s="325"/>
      <c r="D9176" s="326"/>
      <c r="E9176" s="326"/>
      <c r="F9176" s="326"/>
      <c r="G9176" s="326"/>
      <c r="H9176" s="326"/>
      <c r="P9176" s="318"/>
      <c r="Q9176" s="318"/>
      <c r="R9176" s="318"/>
      <c r="S9176" s="318"/>
      <c r="T9176" s="318"/>
      <c r="U9176" s="318"/>
      <c r="V9176" s="318"/>
      <c r="W9176" s="318"/>
      <c r="X9176" s="318"/>
      <c r="Y9176" s="318"/>
      <c r="Z9176" s="318"/>
      <c r="AA9176" s="318"/>
      <c r="AB9176" s="318"/>
      <c r="AC9176" s="318"/>
      <c r="AD9176" s="318"/>
    </row>
    <row r="9177" spans="2:30" s="323" customFormat="1" ht="12" customHeight="1">
      <c r="B9177" s="324"/>
      <c r="C9177" s="325"/>
      <c r="D9177" s="326"/>
      <c r="E9177" s="326"/>
      <c r="F9177" s="326"/>
      <c r="G9177" s="326"/>
      <c r="H9177" s="326"/>
      <c r="P9177" s="318"/>
      <c r="Q9177" s="318"/>
      <c r="R9177" s="318"/>
      <c r="S9177" s="318"/>
      <c r="T9177" s="318"/>
      <c r="U9177" s="318"/>
      <c r="V9177" s="318"/>
      <c r="W9177" s="318"/>
      <c r="X9177" s="318"/>
      <c r="Y9177" s="318"/>
      <c r="Z9177" s="318"/>
      <c r="AA9177" s="318"/>
      <c r="AB9177" s="318"/>
      <c r="AC9177" s="318"/>
      <c r="AD9177" s="318"/>
    </row>
    <row r="9178" spans="2:30" s="323" customFormat="1" ht="12" customHeight="1">
      <c r="B9178" s="324"/>
      <c r="C9178" s="325"/>
      <c r="D9178" s="326"/>
      <c r="E9178" s="326"/>
      <c r="F9178" s="326"/>
      <c r="G9178" s="326"/>
      <c r="H9178" s="326"/>
      <c r="P9178" s="318"/>
      <c r="Q9178" s="318"/>
      <c r="R9178" s="318"/>
      <c r="S9178" s="318"/>
      <c r="T9178" s="318"/>
      <c r="U9178" s="318"/>
      <c r="V9178" s="318"/>
      <c r="W9178" s="318"/>
      <c r="X9178" s="318"/>
      <c r="Y9178" s="318"/>
      <c r="Z9178" s="318"/>
      <c r="AA9178" s="318"/>
      <c r="AB9178" s="318"/>
      <c r="AC9178" s="318"/>
      <c r="AD9178" s="318"/>
    </row>
    <row r="9179" spans="2:30" s="323" customFormat="1" ht="12" customHeight="1">
      <c r="B9179" s="324"/>
      <c r="C9179" s="325"/>
      <c r="D9179" s="326"/>
      <c r="E9179" s="326"/>
      <c r="F9179" s="326"/>
      <c r="G9179" s="326"/>
      <c r="H9179" s="326"/>
      <c r="P9179" s="318"/>
      <c r="Q9179" s="318"/>
      <c r="R9179" s="318"/>
      <c r="S9179" s="318"/>
      <c r="T9179" s="318"/>
      <c r="U9179" s="318"/>
      <c r="V9179" s="318"/>
      <c r="W9179" s="318"/>
      <c r="X9179" s="318"/>
      <c r="Y9179" s="318"/>
      <c r="Z9179" s="318"/>
      <c r="AA9179" s="318"/>
      <c r="AB9179" s="318"/>
      <c r="AC9179" s="318"/>
      <c r="AD9179" s="318"/>
    </row>
    <row r="9180" spans="2:30" s="323" customFormat="1" ht="12" customHeight="1">
      <c r="B9180" s="324"/>
      <c r="C9180" s="325"/>
      <c r="D9180" s="326"/>
      <c r="E9180" s="326"/>
      <c r="F9180" s="326"/>
      <c r="G9180" s="326"/>
      <c r="H9180" s="326"/>
      <c r="P9180" s="318"/>
      <c r="Q9180" s="318"/>
      <c r="R9180" s="318"/>
      <c r="S9180" s="318"/>
      <c r="T9180" s="318"/>
      <c r="U9180" s="318"/>
      <c r="V9180" s="318"/>
      <c r="W9180" s="318"/>
      <c r="X9180" s="318"/>
      <c r="Y9180" s="318"/>
      <c r="Z9180" s="318"/>
      <c r="AA9180" s="318"/>
      <c r="AB9180" s="318"/>
      <c r="AC9180" s="318"/>
      <c r="AD9180" s="318"/>
    </row>
    <row r="9181" spans="2:30" s="323" customFormat="1" ht="12" customHeight="1">
      <c r="B9181" s="324"/>
      <c r="C9181" s="325"/>
      <c r="D9181" s="326"/>
      <c r="E9181" s="326"/>
      <c r="F9181" s="326"/>
      <c r="G9181" s="326"/>
      <c r="H9181" s="326"/>
      <c r="P9181" s="318"/>
      <c r="Q9181" s="318"/>
      <c r="R9181" s="318"/>
      <c r="S9181" s="318"/>
      <c r="T9181" s="318"/>
      <c r="U9181" s="318"/>
      <c r="V9181" s="318"/>
      <c r="W9181" s="318"/>
      <c r="X9181" s="318"/>
      <c r="Y9181" s="318"/>
      <c r="Z9181" s="318"/>
      <c r="AA9181" s="318"/>
      <c r="AB9181" s="318"/>
      <c r="AC9181" s="318"/>
      <c r="AD9181" s="318"/>
    </row>
    <row r="9182" spans="2:30" s="323" customFormat="1" ht="12" customHeight="1">
      <c r="B9182" s="324"/>
      <c r="C9182" s="325"/>
      <c r="D9182" s="326"/>
      <c r="E9182" s="326"/>
      <c r="F9182" s="326"/>
      <c r="G9182" s="326"/>
      <c r="H9182" s="326"/>
      <c r="P9182" s="318"/>
      <c r="Q9182" s="318"/>
      <c r="R9182" s="318"/>
      <c r="S9182" s="318"/>
      <c r="T9182" s="318"/>
      <c r="U9182" s="318"/>
      <c r="V9182" s="318"/>
      <c r="W9182" s="318"/>
      <c r="X9182" s="318"/>
      <c r="Y9182" s="318"/>
      <c r="Z9182" s="318"/>
      <c r="AA9182" s="318"/>
      <c r="AB9182" s="318"/>
      <c r="AC9182" s="318"/>
      <c r="AD9182" s="318"/>
    </row>
    <row r="9183" spans="2:30" s="323" customFormat="1" ht="12" customHeight="1">
      <c r="B9183" s="324"/>
      <c r="C9183" s="325"/>
      <c r="D9183" s="326"/>
      <c r="E9183" s="326"/>
      <c r="F9183" s="326"/>
      <c r="G9183" s="326"/>
      <c r="H9183" s="326"/>
      <c r="P9183" s="318"/>
      <c r="Q9183" s="318"/>
      <c r="R9183" s="318"/>
      <c r="S9183" s="318"/>
      <c r="T9183" s="318"/>
      <c r="U9183" s="318"/>
      <c r="V9183" s="318"/>
      <c r="W9183" s="318"/>
      <c r="X9183" s="318"/>
      <c r="Y9183" s="318"/>
      <c r="Z9183" s="318"/>
      <c r="AA9183" s="318"/>
      <c r="AB9183" s="318"/>
      <c r="AC9183" s="318"/>
      <c r="AD9183" s="318"/>
    </row>
    <row r="9184" spans="2:30" s="323" customFormat="1" ht="12" customHeight="1">
      <c r="B9184" s="324"/>
      <c r="C9184" s="325"/>
      <c r="D9184" s="326"/>
      <c r="E9184" s="326"/>
      <c r="F9184" s="326"/>
      <c r="G9184" s="326"/>
      <c r="H9184" s="326"/>
      <c r="P9184" s="318"/>
      <c r="Q9184" s="318"/>
      <c r="R9184" s="318"/>
      <c r="S9184" s="318"/>
      <c r="T9184" s="318"/>
      <c r="U9184" s="318"/>
      <c r="V9184" s="318"/>
      <c r="W9184" s="318"/>
      <c r="X9184" s="318"/>
      <c r="Y9184" s="318"/>
      <c r="Z9184" s="318"/>
      <c r="AA9184" s="318"/>
      <c r="AB9184" s="318"/>
      <c r="AC9184" s="318"/>
      <c r="AD9184" s="318"/>
    </row>
    <row r="9185" spans="2:30" s="323" customFormat="1" ht="12" customHeight="1">
      <c r="B9185" s="324"/>
      <c r="C9185" s="325"/>
      <c r="D9185" s="326"/>
      <c r="E9185" s="326"/>
      <c r="F9185" s="326"/>
      <c r="G9185" s="326"/>
      <c r="H9185" s="326"/>
      <c r="P9185" s="318"/>
      <c r="Q9185" s="318"/>
      <c r="R9185" s="318"/>
      <c r="S9185" s="318"/>
      <c r="T9185" s="318"/>
      <c r="U9185" s="318"/>
      <c r="V9185" s="318"/>
      <c r="W9185" s="318"/>
      <c r="X9185" s="318"/>
      <c r="Y9185" s="318"/>
      <c r="Z9185" s="318"/>
      <c r="AA9185" s="318"/>
      <c r="AB9185" s="318"/>
      <c r="AC9185" s="318"/>
      <c r="AD9185" s="318"/>
    </row>
    <row r="9186" spans="2:30" s="323" customFormat="1" ht="12" customHeight="1">
      <c r="B9186" s="324"/>
      <c r="C9186" s="325"/>
      <c r="D9186" s="326"/>
      <c r="E9186" s="326"/>
      <c r="F9186" s="326"/>
      <c r="G9186" s="326"/>
      <c r="H9186" s="326"/>
      <c r="P9186" s="318"/>
      <c r="Q9186" s="318"/>
      <c r="R9186" s="318"/>
      <c r="S9186" s="318"/>
      <c r="T9186" s="318"/>
      <c r="U9186" s="318"/>
      <c r="V9186" s="318"/>
      <c r="W9186" s="318"/>
      <c r="X9186" s="318"/>
      <c r="Y9186" s="318"/>
      <c r="Z9186" s="318"/>
      <c r="AA9186" s="318"/>
      <c r="AB9186" s="318"/>
      <c r="AC9186" s="318"/>
      <c r="AD9186" s="318"/>
    </row>
    <row r="9187" spans="2:30" s="323" customFormat="1" ht="12" customHeight="1">
      <c r="B9187" s="324"/>
      <c r="C9187" s="325"/>
      <c r="D9187" s="326"/>
      <c r="E9187" s="326"/>
      <c r="F9187" s="326"/>
      <c r="G9187" s="326"/>
      <c r="H9187" s="326"/>
      <c r="P9187" s="318"/>
      <c r="Q9187" s="318"/>
      <c r="R9187" s="318"/>
      <c r="S9187" s="318"/>
      <c r="T9187" s="318"/>
      <c r="U9187" s="318"/>
      <c r="V9187" s="318"/>
      <c r="W9187" s="318"/>
      <c r="X9187" s="318"/>
      <c r="Y9187" s="318"/>
      <c r="Z9187" s="318"/>
      <c r="AA9187" s="318"/>
      <c r="AB9187" s="318"/>
      <c r="AC9187" s="318"/>
      <c r="AD9187" s="318"/>
    </row>
    <row r="9188" spans="2:30" s="323" customFormat="1" ht="12" customHeight="1">
      <c r="B9188" s="324"/>
      <c r="C9188" s="325"/>
      <c r="D9188" s="326"/>
      <c r="E9188" s="326"/>
      <c r="F9188" s="326"/>
      <c r="G9188" s="326"/>
      <c r="H9188" s="326"/>
      <c r="P9188" s="318"/>
      <c r="Q9188" s="318"/>
      <c r="R9188" s="318"/>
      <c r="S9188" s="318"/>
      <c r="T9188" s="318"/>
      <c r="U9188" s="318"/>
      <c r="V9188" s="318"/>
      <c r="W9188" s="318"/>
      <c r="X9188" s="318"/>
      <c r="Y9188" s="318"/>
      <c r="Z9188" s="318"/>
      <c r="AA9188" s="318"/>
      <c r="AB9188" s="318"/>
      <c r="AC9188" s="318"/>
      <c r="AD9188" s="318"/>
    </row>
    <row r="9189" spans="2:30" s="323" customFormat="1" ht="12" customHeight="1">
      <c r="B9189" s="324"/>
      <c r="C9189" s="325"/>
      <c r="D9189" s="326"/>
      <c r="E9189" s="326"/>
      <c r="F9189" s="326"/>
      <c r="G9189" s="326"/>
      <c r="H9189" s="326"/>
      <c r="P9189" s="318"/>
      <c r="Q9189" s="318"/>
      <c r="R9189" s="318"/>
      <c r="S9189" s="318"/>
      <c r="T9189" s="318"/>
      <c r="U9189" s="318"/>
      <c r="V9189" s="318"/>
      <c r="W9189" s="318"/>
      <c r="X9189" s="318"/>
      <c r="Y9189" s="318"/>
      <c r="Z9189" s="318"/>
      <c r="AA9189" s="318"/>
      <c r="AB9189" s="318"/>
      <c r="AC9189" s="318"/>
      <c r="AD9189" s="318"/>
    </row>
    <row r="9190" spans="2:30" s="323" customFormat="1" ht="12" customHeight="1">
      <c r="B9190" s="324"/>
      <c r="C9190" s="325"/>
      <c r="D9190" s="326"/>
      <c r="E9190" s="326"/>
      <c r="F9190" s="326"/>
      <c r="G9190" s="326"/>
      <c r="H9190" s="326"/>
      <c r="P9190" s="318"/>
      <c r="Q9190" s="318"/>
      <c r="R9190" s="318"/>
      <c r="S9190" s="318"/>
      <c r="T9190" s="318"/>
      <c r="U9190" s="318"/>
      <c r="V9190" s="318"/>
      <c r="W9190" s="318"/>
      <c r="X9190" s="318"/>
      <c r="Y9190" s="318"/>
      <c r="Z9190" s="318"/>
      <c r="AA9190" s="318"/>
      <c r="AB9190" s="318"/>
      <c r="AC9190" s="318"/>
      <c r="AD9190" s="318"/>
    </row>
    <row r="9191" spans="2:30" s="323" customFormat="1" ht="12" customHeight="1">
      <c r="B9191" s="324"/>
      <c r="C9191" s="325"/>
      <c r="D9191" s="326"/>
      <c r="E9191" s="326"/>
      <c r="F9191" s="326"/>
      <c r="G9191" s="326"/>
      <c r="H9191" s="326"/>
      <c r="P9191" s="318"/>
      <c r="Q9191" s="318"/>
      <c r="R9191" s="318"/>
      <c r="S9191" s="318"/>
      <c r="T9191" s="318"/>
      <c r="U9191" s="318"/>
      <c r="V9191" s="318"/>
      <c r="W9191" s="318"/>
      <c r="X9191" s="318"/>
      <c r="Y9191" s="318"/>
      <c r="Z9191" s="318"/>
      <c r="AA9191" s="318"/>
      <c r="AB9191" s="318"/>
      <c r="AC9191" s="318"/>
      <c r="AD9191" s="318"/>
    </row>
    <row r="9192" spans="2:30" s="323" customFormat="1" ht="12" customHeight="1">
      <c r="B9192" s="324"/>
      <c r="C9192" s="325"/>
      <c r="D9192" s="326"/>
      <c r="E9192" s="326"/>
      <c r="F9192" s="326"/>
      <c r="G9192" s="326"/>
      <c r="H9192" s="326"/>
      <c r="P9192" s="318"/>
      <c r="Q9192" s="318"/>
      <c r="R9192" s="318"/>
      <c r="S9192" s="318"/>
      <c r="T9192" s="318"/>
      <c r="U9192" s="318"/>
      <c r="V9192" s="318"/>
      <c r="W9192" s="318"/>
      <c r="X9192" s="318"/>
      <c r="Y9192" s="318"/>
      <c r="Z9192" s="318"/>
      <c r="AA9192" s="318"/>
      <c r="AB9192" s="318"/>
      <c r="AC9192" s="318"/>
      <c r="AD9192" s="318"/>
    </row>
    <row r="9193" spans="2:30" s="323" customFormat="1" ht="12" customHeight="1">
      <c r="B9193" s="324"/>
      <c r="C9193" s="325"/>
      <c r="D9193" s="326"/>
      <c r="E9193" s="326"/>
      <c r="F9193" s="326"/>
      <c r="G9193" s="326"/>
      <c r="H9193" s="326"/>
      <c r="P9193" s="318"/>
      <c r="Q9193" s="318"/>
      <c r="R9193" s="318"/>
      <c r="S9193" s="318"/>
      <c r="T9193" s="318"/>
      <c r="U9193" s="318"/>
      <c r="V9193" s="318"/>
      <c r="W9193" s="318"/>
      <c r="X9193" s="318"/>
      <c r="Y9193" s="318"/>
      <c r="Z9193" s="318"/>
      <c r="AA9193" s="318"/>
      <c r="AB9193" s="318"/>
      <c r="AC9193" s="318"/>
      <c r="AD9193" s="318"/>
    </row>
    <row r="9194" spans="2:30" s="323" customFormat="1" ht="12" customHeight="1">
      <c r="B9194" s="324"/>
      <c r="C9194" s="325"/>
      <c r="D9194" s="326"/>
      <c r="E9194" s="326"/>
      <c r="F9194" s="326"/>
      <c r="G9194" s="326"/>
      <c r="H9194" s="326"/>
      <c r="P9194" s="318"/>
      <c r="Q9194" s="318"/>
      <c r="R9194" s="318"/>
      <c r="S9194" s="318"/>
      <c r="T9194" s="318"/>
      <c r="U9194" s="318"/>
      <c r="V9194" s="318"/>
      <c r="W9194" s="318"/>
      <c r="X9194" s="318"/>
      <c r="Y9194" s="318"/>
      <c r="Z9194" s="318"/>
      <c r="AA9194" s="318"/>
      <c r="AB9194" s="318"/>
      <c r="AC9194" s="318"/>
      <c r="AD9194" s="318"/>
    </row>
    <row r="9195" spans="2:30" s="323" customFormat="1" ht="12" customHeight="1">
      <c r="B9195" s="324"/>
      <c r="C9195" s="325"/>
      <c r="D9195" s="326"/>
      <c r="E9195" s="326"/>
      <c r="F9195" s="326"/>
      <c r="G9195" s="326"/>
      <c r="H9195" s="326"/>
      <c r="P9195" s="318"/>
      <c r="Q9195" s="318"/>
      <c r="R9195" s="318"/>
      <c r="S9195" s="318"/>
      <c r="T9195" s="318"/>
      <c r="U9195" s="318"/>
      <c r="V9195" s="318"/>
      <c r="W9195" s="318"/>
      <c r="X9195" s="318"/>
      <c r="Y9195" s="318"/>
      <c r="Z9195" s="318"/>
      <c r="AA9195" s="318"/>
      <c r="AB9195" s="318"/>
      <c r="AC9195" s="318"/>
      <c r="AD9195" s="318"/>
    </row>
    <row r="9196" spans="2:30" s="323" customFormat="1" ht="12" customHeight="1">
      <c r="B9196" s="324"/>
      <c r="C9196" s="325"/>
      <c r="D9196" s="326"/>
      <c r="E9196" s="326"/>
      <c r="F9196" s="326"/>
      <c r="G9196" s="326"/>
      <c r="H9196" s="326"/>
      <c r="P9196" s="318"/>
      <c r="Q9196" s="318"/>
      <c r="R9196" s="318"/>
      <c r="S9196" s="318"/>
      <c r="T9196" s="318"/>
      <c r="U9196" s="318"/>
      <c r="V9196" s="318"/>
      <c r="W9196" s="318"/>
      <c r="X9196" s="318"/>
      <c r="Y9196" s="318"/>
      <c r="Z9196" s="318"/>
      <c r="AA9196" s="318"/>
      <c r="AB9196" s="318"/>
      <c r="AC9196" s="318"/>
      <c r="AD9196" s="318"/>
    </row>
    <row r="9197" spans="2:30" s="323" customFormat="1" ht="12" customHeight="1">
      <c r="B9197" s="324"/>
      <c r="C9197" s="325"/>
      <c r="D9197" s="326"/>
      <c r="E9197" s="326"/>
      <c r="F9197" s="326"/>
      <c r="G9197" s="326"/>
      <c r="H9197" s="326"/>
      <c r="P9197" s="318"/>
      <c r="Q9197" s="318"/>
      <c r="R9197" s="318"/>
      <c r="S9197" s="318"/>
      <c r="T9197" s="318"/>
      <c r="U9197" s="318"/>
      <c r="V9197" s="318"/>
      <c r="W9197" s="318"/>
      <c r="X9197" s="318"/>
      <c r="Y9197" s="318"/>
      <c r="Z9197" s="318"/>
      <c r="AA9197" s="318"/>
      <c r="AB9197" s="318"/>
      <c r="AC9197" s="318"/>
      <c r="AD9197" s="318"/>
    </row>
    <row r="9198" spans="2:30" s="323" customFormat="1" ht="12" customHeight="1">
      <c r="B9198" s="324"/>
      <c r="C9198" s="325"/>
      <c r="D9198" s="326"/>
      <c r="E9198" s="326"/>
      <c r="F9198" s="326"/>
      <c r="G9198" s="326"/>
      <c r="H9198" s="326"/>
      <c r="P9198" s="318"/>
      <c r="Q9198" s="318"/>
      <c r="R9198" s="318"/>
      <c r="S9198" s="318"/>
      <c r="T9198" s="318"/>
      <c r="U9198" s="318"/>
      <c r="V9198" s="318"/>
      <c r="W9198" s="318"/>
      <c r="X9198" s="318"/>
      <c r="Y9198" s="318"/>
      <c r="Z9198" s="318"/>
      <c r="AA9198" s="318"/>
      <c r="AB9198" s="318"/>
      <c r="AC9198" s="318"/>
      <c r="AD9198" s="318"/>
    </row>
    <row r="9199" spans="2:30" s="323" customFormat="1" ht="12" customHeight="1">
      <c r="B9199" s="324"/>
      <c r="C9199" s="325"/>
      <c r="D9199" s="326"/>
      <c r="E9199" s="326"/>
      <c r="F9199" s="326"/>
      <c r="G9199" s="326"/>
      <c r="H9199" s="326"/>
      <c r="P9199" s="318"/>
      <c r="Q9199" s="318"/>
      <c r="R9199" s="318"/>
      <c r="S9199" s="318"/>
      <c r="T9199" s="318"/>
      <c r="U9199" s="318"/>
      <c r="V9199" s="318"/>
      <c r="W9199" s="318"/>
      <c r="X9199" s="318"/>
      <c r="Y9199" s="318"/>
      <c r="Z9199" s="318"/>
      <c r="AA9199" s="318"/>
      <c r="AB9199" s="318"/>
      <c r="AC9199" s="318"/>
      <c r="AD9199" s="318"/>
    </row>
    <row r="9200" spans="2:30" s="323" customFormat="1" ht="12" customHeight="1">
      <c r="B9200" s="324"/>
      <c r="C9200" s="325"/>
      <c r="D9200" s="326"/>
      <c r="E9200" s="326"/>
      <c r="F9200" s="326"/>
      <c r="G9200" s="326"/>
      <c r="H9200" s="326"/>
      <c r="P9200" s="318"/>
      <c r="Q9200" s="318"/>
      <c r="R9200" s="318"/>
      <c r="S9200" s="318"/>
      <c r="T9200" s="318"/>
      <c r="U9200" s="318"/>
      <c r="V9200" s="318"/>
      <c r="W9200" s="318"/>
      <c r="X9200" s="318"/>
      <c r="Y9200" s="318"/>
      <c r="Z9200" s="318"/>
      <c r="AA9200" s="318"/>
      <c r="AB9200" s="318"/>
      <c r="AC9200" s="318"/>
      <c r="AD9200" s="318"/>
    </row>
    <row r="9201" spans="2:30" s="323" customFormat="1" ht="12" customHeight="1">
      <c r="B9201" s="324"/>
      <c r="C9201" s="325"/>
      <c r="D9201" s="326"/>
      <c r="E9201" s="326"/>
      <c r="F9201" s="326"/>
      <c r="G9201" s="326"/>
      <c r="H9201" s="326"/>
      <c r="P9201" s="318"/>
      <c r="Q9201" s="318"/>
      <c r="R9201" s="318"/>
      <c r="S9201" s="318"/>
      <c r="T9201" s="318"/>
      <c r="U9201" s="318"/>
      <c r="V9201" s="318"/>
      <c r="W9201" s="318"/>
      <c r="X9201" s="318"/>
      <c r="Y9201" s="318"/>
      <c r="Z9201" s="318"/>
      <c r="AA9201" s="318"/>
      <c r="AB9201" s="318"/>
      <c r="AC9201" s="318"/>
      <c r="AD9201" s="318"/>
    </row>
    <row r="9202" spans="2:30" s="323" customFormat="1" ht="12" customHeight="1">
      <c r="B9202" s="324"/>
      <c r="C9202" s="325"/>
      <c r="D9202" s="326"/>
      <c r="E9202" s="326"/>
      <c r="F9202" s="326"/>
      <c r="G9202" s="326"/>
      <c r="H9202" s="326"/>
      <c r="P9202" s="318"/>
      <c r="Q9202" s="318"/>
      <c r="R9202" s="318"/>
      <c r="S9202" s="318"/>
      <c r="T9202" s="318"/>
      <c r="U9202" s="318"/>
      <c r="V9202" s="318"/>
      <c r="W9202" s="318"/>
      <c r="X9202" s="318"/>
      <c r="Y9202" s="318"/>
      <c r="Z9202" s="318"/>
      <c r="AA9202" s="318"/>
      <c r="AB9202" s="318"/>
      <c r="AC9202" s="318"/>
      <c r="AD9202" s="318"/>
    </row>
    <row r="9203" spans="2:30" s="323" customFormat="1" ht="12" customHeight="1">
      <c r="B9203" s="324"/>
      <c r="C9203" s="325"/>
      <c r="D9203" s="326"/>
      <c r="E9203" s="326"/>
      <c r="F9203" s="326"/>
      <c r="G9203" s="326"/>
      <c r="H9203" s="326"/>
      <c r="P9203" s="318"/>
      <c r="Q9203" s="318"/>
      <c r="R9203" s="318"/>
      <c r="S9203" s="318"/>
      <c r="T9203" s="318"/>
      <c r="U9203" s="318"/>
      <c r="V9203" s="318"/>
      <c r="W9203" s="318"/>
      <c r="X9203" s="318"/>
      <c r="Y9203" s="318"/>
      <c r="Z9203" s="318"/>
      <c r="AA9203" s="318"/>
      <c r="AB9203" s="318"/>
      <c r="AC9203" s="318"/>
      <c r="AD9203" s="318"/>
    </row>
    <row r="9204" spans="2:30" s="323" customFormat="1" ht="12" customHeight="1">
      <c r="B9204" s="324"/>
      <c r="C9204" s="325"/>
      <c r="D9204" s="326"/>
      <c r="E9204" s="326"/>
      <c r="F9204" s="326"/>
      <c r="G9204" s="326"/>
      <c r="H9204" s="326"/>
      <c r="P9204" s="318"/>
      <c r="Q9204" s="318"/>
      <c r="R9204" s="318"/>
      <c r="S9204" s="318"/>
      <c r="T9204" s="318"/>
      <c r="U9204" s="318"/>
      <c r="V9204" s="318"/>
      <c r="W9204" s="318"/>
      <c r="X9204" s="318"/>
      <c r="Y9204" s="318"/>
      <c r="Z9204" s="318"/>
      <c r="AA9204" s="318"/>
      <c r="AB9204" s="318"/>
      <c r="AC9204" s="318"/>
      <c r="AD9204" s="318"/>
    </row>
    <row r="9205" spans="2:30" s="323" customFormat="1" ht="12" customHeight="1">
      <c r="B9205" s="324"/>
      <c r="C9205" s="325"/>
      <c r="D9205" s="326"/>
      <c r="E9205" s="326"/>
      <c r="F9205" s="326"/>
      <c r="G9205" s="326"/>
      <c r="H9205" s="326"/>
      <c r="P9205" s="318"/>
      <c r="Q9205" s="318"/>
      <c r="R9205" s="318"/>
      <c r="S9205" s="318"/>
      <c r="T9205" s="318"/>
      <c r="U9205" s="318"/>
      <c r="V9205" s="318"/>
      <c r="W9205" s="318"/>
      <c r="X9205" s="318"/>
      <c r="Y9205" s="318"/>
      <c r="Z9205" s="318"/>
      <c r="AA9205" s="318"/>
      <c r="AB9205" s="318"/>
      <c r="AC9205" s="318"/>
      <c r="AD9205" s="318"/>
    </row>
    <row r="9206" spans="2:30" s="323" customFormat="1" ht="12" customHeight="1">
      <c r="B9206" s="324"/>
      <c r="C9206" s="325"/>
      <c r="D9206" s="326"/>
      <c r="E9206" s="326"/>
      <c r="F9206" s="326"/>
      <c r="G9206" s="326"/>
      <c r="H9206" s="326"/>
      <c r="P9206" s="318"/>
      <c r="Q9206" s="318"/>
      <c r="R9206" s="318"/>
      <c r="S9206" s="318"/>
      <c r="T9206" s="318"/>
      <c r="U9206" s="318"/>
      <c r="V9206" s="318"/>
      <c r="W9206" s="318"/>
      <c r="X9206" s="318"/>
      <c r="Y9206" s="318"/>
      <c r="Z9206" s="318"/>
      <c r="AA9206" s="318"/>
      <c r="AB9206" s="318"/>
      <c r="AC9206" s="318"/>
      <c r="AD9206" s="318"/>
    </row>
    <row r="9207" spans="2:30" s="323" customFormat="1" ht="12" customHeight="1">
      <c r="B9207" s="324"/>
      <c r="C9207" s="325"/>
      <c r="D9207" s="326"/>
      <c r="E9207" s="326"/>
      <c r="F9207" s="326"/>
      <c r="G9207" s="326"/>
      <c r="H9207" s="326"/>
      <c r="P9207" s="318"/>
      <c r="Q9207" s="318"/>
      <c r="R9207" s="318"/>
      <c r="S9207" s="318"/>
      <c r="T9207" s="318"/>
      <c r="U9207" s="318"/>
      <c r="V9207" s="318"/>
      <c r="W9207" s="318"/>
      <c r="X9207" s="318"/>
      <c r="Y9207" s="318"/>
      <c r="Z9207" s="318"/>
      <c r="AA9207" s="318"/>
      <c r="AB9207" s="318"/>
      <c r="AC9207" s="318"/>
      <c r="AD9207" s="318"/>
    </row>
    <row r="9208" spans="2:30" s="323" customFormat="1" ht="12" customHeight="1">
      <c r="B9208" s="324"/>
      <c r="C9208" s="325"/>
      <c r="D9208" s="326"/>
      <c r="E9208" s="326"/>
      <c r="F9208" s="326"/>
      <c r="G9208" s="326"/>
      <c r="H9208" s="326"/>
      <c r="P9208" s="318"/>
      <c r="Q9208" s="318"/>
      <c r="R9208" s="318"/>
      <c r="S9208" s="318"/>
      <c r="T9208" s="318"/>
      <c r="U9208" s="318"/>
      <c r="V9208" s="318"/>
      <c r="W9208" s="318"/>
      <c r="X9208" s="318"/>
      <c r="Y9208" s="318"/>
      <c r="Z9208" s="318"/>
      <c r="AA9208" s="318"/>
      <c r="AB9208" s="318"/>
      <c r="AC9208" s="318"/>
      <c r="AD9208" s="318"/>
    </row>
    <row r="9209" spans="2:30" s="323" customFormat="1" ht="12" customHeight="1">
      <c r="B9209" s="324"/>
      <c r="C9209" s="325"/>
      <c r="D9209" s="326"/>
      <c r="E9209" s="326"/>
      <c r="F9209" s="326"/>
      <c r="G9209" s="326"/>
      <c r="H9209" s="326"/>
      <c r="P9209" s="318"/>
      <c r="Q9209" s="318"/>
      <c r="R9209" s="318"/>
      <c r="S9209" s="318"/>
      <c r="T9209" s="318"/>
      <c r="U9209" s="318"/>
      <c r="V9209" s="318"/>
      <c r="W9209" s="318"/>
      <c r="X9209" s="318"/>
      <c r="Y9209" s="318"/>
      <c r="Z9209" s="318"/>
      <c r="AA9209" s="318"/>
      <c r="AB9209" s="318"/>
      <c r="AC9209" s="318"/>
      <c r="AD9209" s="318"/>
    </row>
    <row r="9210" spans="2:30" s="323" customFormat="1" ht="12" customHeight="1">
      <c r="B9210" s="324"/>
      <c r="C9210" s="325"/>
      <c r="D9210" s="326"/>
      <c r="E9210" s="326"/>
      <c r="F9210" s="326"/>
      <c r="G9210" s="326"/>
      <c r="H9210" s="326"/>
      <c r="P9210" s="318"/>
      <c r="Q9210" s="318"/>
      <c r="R9210" s="318"/>
      <c r="S9210" s="318"/>
      <c r="T9210" s="318"/>
      <c r="U9210" s="318"/>
      <c r="V9210" s="318"/>
      <c r="W9210" s="318"/>
      <c r="X9210" s="318"/>
      <c r="Y9210" s="318"/>
      <c r="Z9210" s="318"/>
      <c r="AA9210" s="318"/>
      <c r="AB9210" s="318"/>
      <c r="AC9210" s="318"/>
      <c r="AD9210" s="318"/>
    </row>
    <row r="9211" spans="2:30" s="323" customFormat="1" ht="12" customHeight="1">
      <c r="B9211" s="324"/>
      <c r="C9211" s="325"/>
      <c r="D9211" s="326"/>
      <c r="E9211" s="326"/>
      <c r="F9211" s="326"/>
      <c r="G9211" s="326"/>
      <c r="H9211" s="326"/>
      <c r="P9211" s="318"/>
      <c r="Q9211" s="318"/>
      <c r="R9211" s="318"/>
      <c r="S9211" s="318"/>
      <c r="T9211" s="318"/>
      <c r="U9211" s="318"/>
      <c r="V9211" s="318"/>
      <c r="W9211" s="318"/>
      <c r="X9211" s="318"/>
      <c r="Y9211" s="318"/>
      <c r="Z9211" s="318"/>
      <c r="AA9211" s="318"/>
      <c r="AB9211" s="318"/>
      <c r="AC9211" s="318"/>
      <c r="AD9211" s="318"/>
    </row>
    <row r="9212" spans="2:30" s="323" customFormat="1" ht="12" customHeight="1">
      <c r="B9212" s="324"/>
      <c r="C9212" s="325"/>
      <c r="D9212" s="326"/>
      <c r="E9212" s="326"/>
      <c r="F9212" s="326"/>
      <c r="G9212" s="326"/>
      <c r="H9212" s="326"/>
      <c r="P9212" s="318"/>
      <c r="Q9212" s="318"/>
      <c r="R9212" s="318"/>
      <c r="S9212" s="318"/>
      <c r="T9212" s="318"/>
      <c r="U9212" s="318"/>
      <c r="V9212" s="318"/>
      <c r="W9212" s="318"/>
      <c r="X9212" s="318"/>
      <c r="Y9212" s="318"/>
      <c r="Z9212" s="318"/>
      <c r="AA9212" s="318"/>
      <c r="AB9212" s="318"/>
      <c r="AC9212" s="318"/>
      <c r="AD9212" s="318"/>
    </row>
    <row r="9213" spans="2:30" s="323" customFormat="1" ht="12" customHeight="1">
      <c r="B9213" s="324"/>
      <c r="C9213" s="325"/>
      <c r="D9213" s="326"/>
      <c r="E9213" s="326"/>
      <c r="F9213" s="326"/>
      <c r="G9213" s="326"/>
      <c r="H9213" s="326"/>
      <c r="P9213" s="318"/>
      <c r="Q9213" s="318"/>
      <c r="R9213" s="318"/>
      <c r="S9213" s="318"/>
      <c r="T9213" s="318"/>
      <c r="U9213" s="318"/>
      <c r="V9213" s="318"/>
      <c r="W9213" s="318"/>
      <c r="X9213" s="318"/>
      <c r="Y9213" s="318"/>
      <c r="Z9213" s="318"/>
      <c r="AA9213" s="318"/>
      <c r="AB9213" s="318"/>
      <c r="AC9213" s="318"/>
      <c r="AD9213" s="318"/>
    </row>
    <row r="9214" spans="2:30" s="323" customFormat="1" ht="12" customHeight="1">
      <c r="B9214" s="324"/>
      <c r="C9214" s="325"/>
      <c r="D9214" s="326"/>
      <c r="E9214" s="326"/>
      <c r="F9214" s="326"/>
      <c r="G9214" s="326"/>
      <c r="H9214" s="326"/>
      <c r="P9214" s="318"/>
      <c r="Q9214" s="318"/>
      <c r="R9214" s="318"/>
      <c r="S9214" s="318"/>
      <c r="T9214" s="318"/>
      <c r="U9214" s="318"/>
      <c r="V9214" s="318"/>
      <c r="W9214" s="318"/>
      <c r="X9214" s="318"/>
      <c r="Y9214" s="318"/>
      <c r="Z9214" s="318"/>
      <c r="AA9214" s="318"/>
      <c r="AB9214" s="318"/>
      <c r="AC9214" s="318"/>
      <c r="AD9214" s="318"/>
    </row>
    <row r="9215" spans="2:30" s="323" customFormat="1" ht="12" customHeight="1">
      <c r="B9215" s="324"/>
      <c r="C9215" s="325"/>
      <c r="D9215" s="326"/>
      <c r="E9215" s="326"/>
      <c r="F9215" s="326"/>
      <c r="G9215" s="326"/>
      <c r="H9215" s="326"/>
      <c r="P9215" s="318"/>
      <c r="Q9215" s="318"/>
      <c r="R9215" s="318"/>
      <c r="S9215" s="318"/>
      <c r="T9215" s="318"/>
      <c r="U9215" s="318"/>
      <c r="V9215" s="318"/>
      <c r="W9215" s="318"/>
      <c r="X9215" s="318"/>
      <c r="Y9215" s="318"/>
      <c r="Z9215" s="318"/>
      <c r="AA9215" s="318"/>
      <c r="AB9215" s="318"/>
      <c r="AC9215" s="318"/>
      <c r="AD9215" s="318"/>
    </row>
    <row r="9216" spans="2:30" s="323" customFormat="1" ht="12" customHeight="1">
      <c r="B9216" s="324"/>
      <c r="C9216" s="325"/>
      <c r="D9216" s="326"/>
      <c r="E9216" s="326"/>
      <c r="F9216" s="326"/>
      <c r="G9216" s="326"/>
      <c r="H9216" s="326"/>
      <c r="P9216" s="318"/>
      <c r="Q9216" s="318"/>
      <c r="R9216" s="318"/>
      <c r="S9216" s="318"/>
      <c r="T9216" s="318"/>
      <c r="U9216" s="318"/>
      <c r="V9216" s="318"/>
      <c r="W9216" s="318"/>
      <c r="X9216" s="318"/>
      <c r="Y9216" s="318"/>
      <c r="Z9216" s="318"/>
      <c r="AA9216" s="318"/>
      <c r="AB9216" s="318"/>
      <c r="AC9216" s="318"/>
      <c r="AD9216" s="318"/>
    </row>
    <row r="9217" spans="2:30" s="323" customFormat="1" ht="12" customHeight="1">
      <c r="B9217" s="324"/>
      <c r="C9217" s="325"/>
      <c r="D9217" s="326"/>
      <c r="E9217" s="326"/>
      <c r="F9217" s="326"/>
      <c r="G9217" s="326"/>
      <c r="H9217" s="326"/>
      <c r="P9217" s="318"/>
      <c r="Q9217" s="318"/>
      <c r="R9217" s="318"/>
      <c r="S9217" s="318"/>
      <c r="T9217" s="318"/>
      <c r="U9217" s="318"/>
      <c r="V9217" s="318"/>
      <c r="W9217" s="318"/>
      <c r="X9217" s="318"/>
      <c r="Y9217" s="318"/>
      <c r="Z9217" s="318"/>
      <c r="AA9217" s="318"/>
      <c r="AB9217" s="318"/>
      <c r="AC9217" s="318"/>
      <c r="AD9217" s="318"/>
    </row>
    <row r="9218" spans="2:30" s="323" customFormat="1" ht="12" customHeight="1">
      <c r="B9218" s="324"/>
      <c r="C9218" s="325"/>
      <c r="D9218" s="326"/>
      <c r="E9218" s="326"/>
      <c r="F9218" s="326"/>
      <c r="G9218" s="326"/>
      <c r="H9218" s="326"/>
      <c r="P9218" s="318"/>
      <c r="Q9218" s="318"/>
      <c r="R9218" s="318"/>
      <c r="S9218" s="318"/>
      <c r="T9218" s="318"/>
      <c r="U9218" s="318"/>
      <c r="V9218" s="318"/>
      <c r="W9218" s="318"/>
      <c r="X9218" s="318"/>
      <c r="Y9218" s="318"/>
      <c r="Z9218" s="318"/>
      <c r="AA9218" s="318"/>
      <c r="AB9218" s="318"/>
      <c r="AC9218" s="318"/>
      <c r="AD9218" s="318"/>
    </row>
    <row r="9219" spans="2:30" s="323" customFormat="1" ht="12" customHeight="1">
      <c r="B9219" s="324"/>
      <c r="C9219" s="325"/>
      <c r="D9219" s="326"/>
      <c r="E9219" s="326"/>
      <c r="F9219" s="326"/>
      <c r="G9219" s="326"/>
      <c r="H9219" s="326"/>
      <c r="P9219" s="318"/>
      <c r="Q9219" s="318"/>
      <c r="R9219" s="318"/>
      <c r="S9219" s="318"/>
      <c r="T9219" s="318"/>
      <c r="U9219" s="318"/>
      <c r="V9219" s="318"/>
      <c r="W9219" s="318"/>
      <c r="X9219" s="318"/>
      <c r="Y9219" s="318"/>
      <c r="Z9219" s="318"/>
      <c r="AA9219" s="318"/>
      <c r="AB9219" s="318"/>
      <c r="AC9219" s="318"/>
      <c r="AD9219" s="318"/>
    </row>
    <row r="9220" spans="2:30" s="323" customFormat="1" ht="12" customHeight="1">
      <c r="B9220" s="324"/>
      <c r="C9220" s="325"/>
      <c r="D9220" s="326"/>
      <c r="E9220" s="326"/>
      <c r="F9220" s="326"/>
      <c r="G9220" s="326"/>
      <c r="H9220" s="326"/>
      <c r="P9220" s="318"/>
      <c r="Q9220" s="318"/>
      <c r="R9220" s="318"/>
      <c r="S9220" s="318"/>
      <c r="T9220" s="318"/>
      <c r="U9220" s="318"/>
      <c r="V9220" s="318"/>
      <c r="W9220" s="318"/>
      <c r="X9220" s="318"/>
      <c r="Y9220" s="318"/>
      <c r="Z9220" s="318"/>
      <c r="AA9220" s="318"/>
      <c r="AB9220" s="318"/>
      <c r="AC9220" s="318"/>
      <c r="AD9220" s="318"/>
    </row>
    <row r="9221" spans="2:30" s="323" customFormat="1" ht="12" customHeight="1">
      <c r="B9221" s="324"/>
      <c r="C9221" s="325"/>
      <c r="D9221" s="326"/>
      <c r="E9221" s="326"/>
      <c r="F9221" s="326"/>
      <c r="G9221" s="326"/>
      <c r="H9221" s="326"/>
      <c r="P9221" s="318"/>
      <c r="Q9221" s="318"/>
      <c r="R9221" s="318"/>
      <c r="S9221" s="318"/>
      <c r="T9221" s="318"/>
      <c r="U9221" s="318"/>
      <c r="V9221" s="318"/>
      <c r="W9221" s="318"/>
      <c r="X9221" s="318"/>
      <c r="Y9221" s="318"/>
      <c r="Z9221" s="318"/>
      <c r="AA9221" s="318"/>
      <c r="AB9221" s="318"/>
      <c r="AC9221" s="318"/>
      <c r="AD9221" s="318"/>
    </row>
    <row r="9222" spans="2:30" s="323" customFormat="1" ht="12" customHeight="1">
      <c r="B9222" s="324"/>
      <c r="C9222" s="325"/>
      <c r="D9222" s="326"/>
      <c r="E9222" s="326"/>
      <c r="F9222" s="326"/>
      <c r="G9222" s="326"/>
      <c r="H9222" s="326"/>
      <c r="P9222" s="318"/>
      <c r="Q9222" s="318"/>
      <c r="R9222" s="318"/>
      <c r="S9222" s="318"/>
      <c r="T9222" s="318"/>
      <c r="U9222" s="318"/>
      <c r="V9222" s="318"/>
      <c r="W9222" s="318"/>
      <c r="X9222" s="318"/>
      <c r="Y9222" s="318"/>
      <c r="Z9222" s="318"/>
      <c r="AA9222" s="318"/>
      <c r="AB9222" s="318"/>
      <c r="AC9222" s="318"/>
      <c r="AD9222" s="318"/>
    </row>
    <row r="9223" spans="2:30" s="323" customFormat="1" ht="12" customHeight="1">
      <c r="B9223" s="324"/>
      <c r="C9223" s="325"/>
      <c r="D9223" s="326"/>
      <c r="E9223" s="326"/>
      <c r="F9223" s="326"/>
      <c r="G9223" s="326"/>
      <c r="H9223" s="326"/>
      <c r="P9223" s="318"/>
      <c r="Q9223" s="318"/>
      <c r="R9223" s="318"/>
      <c r="S9223" s="318"/>
      <c r="T9223" s="318"/>
      <c r="U9223" s="318"/>
      <c r="V9223" s="318"/>
      <c r="W9223" s="318"/>
      <c r="X9223" s="318"/>
      <c r="Y9223" s="318"/>
      <c r="Z9223" s="318"/>
      <c r="AA9223" s="318"/>
      <c r="AB9223" s="318"/>
      <c r="AC9223" s="318"/>
      <c r="AD9223" s="318"/>
    </row>
    <row r="9224" spans="2:30" s="323" customFormat="1" ht="12" customHeight="1">
      <c r="B9224" s="324"/>
      <c r="C9224" s="325"/>
      <c r="D9224" s="326"/>
      <c r="E9224" s="326"/>
      <c r="F9224" s="326"/>
      <c r="G9224" s="326"/>
      <c r="H9224" s="326"/>
      <c r="P9224" s="318"/>
      <c r="Q9224" s="318"/>
      <c r="R9224" s="318"/>
      <c r="S9224" s="318"/>
      <c r="T9224" s="318"/>
      <c r="U9224" s="318"/>
      <c r="V9224" s="318"/>
      <c r="W9224" s="318"/>
      <c r="X9224" s="318"/>
      <c r="Y9224" s="318"/>
      <c r="Z9224" s="318"/>
      <c r="AA9224" s="318"/>
      <c r="AB9224" s="318"/>
      <c r="AC9224" s="318"/>
      <c r="AD9224" s="318"/>
    </row>
    <row r="9225" spans="2:30" s="323" customFormat="1" ht="12" customHeight="1">
      <c r="B9225" s="324"/>
      <c r="C9225" s="325"/>
      <c r="D9225" s="326"/>
      <c r="E9225" s="326"/>
      <c r="F9225" s="326"/>
      <c r="G9225" s="326"/>
      <c r="H9225" s="326"/>
      <c r="P9225" s="318"/>
      <c r="Q9225" s="318"/>
      <c r="R9225" s="318"/>
      <c r="S9225" s="318"/>
      <c r="T9225" s="318"/>
      <c r="U9225" s="318"/>
      <c r="V9225" s="318"/>
      <c r="W9225" s="318"/>
      <c r="X9225" s="318"/>
      <c r="Y9225" s="318"/>
      <c r="Z9225" s="318"/>
      <c r="AA9225" s="318"/>
      <c r="AB9225" s="318"/>
      <c r="AC9225" s="318"/>
      <c r="AD9225" s="318"/>
    </row>
    <row r="9226" spans="2:30" s="323" customFormat="1" ht="12" customHeight="1">
      <c r="B9226" s="324"/>
      <c r="C9226" s="325"/>
      <c r="D9226" s="326"/>
      <c r="E9226" s="326"/>
      <c r="F9226" s="326"/>
      <c r="G9226" s="326"/>
      <c r="H9226" s="326"/>
      <c r="P9226" s="318"/>
      <c r="Q9226" s="318"/>
      <c r="R9226" s="318"/>
      <c r="S9226" s="318"/>
      <c r="T9226" s="318"/>
      <c r="U9226" s="318"/>
      <c r="V9226" s="318"/>
      <c r="W9226" s="318"/>
      <c r="X9226" s="318"/>
      <c r="Y9226" s="318"/>
      <c r="Z9226" s="318"/>
      <c r="AA9226" s="318"/>
      <c r="AB9226" s="318"/>
      <c r="AC9226" s="318"/>
      <c r="AD9226" s="318"/>
    </row>
    <row r="9227" spans="2:30" s="323" customFormat="1" ht="12" customHeight="1">
      <c r="B9227" s="324"/>
      <c r="C9227" s="325"/>
      <c r="D9227" s="326"/>
      <c r="E9227" s="326"/>
      <c r="F9227" s="326"/>
      <c r="G9227" s="326"/>
      <c r="H9227" s="326"/>
      <c r="P9227" s="318"/>
      <c r="Q9227" s="318"/>
      <c r="R9227" s="318"/>
      <c r="S9227" s="318"/>
      <c r="T9227" s="318"/>
      <c r="U9227" s="318"/>
      <c r="V9227" s="318"/>
      <c r="W9227" s="318"/>
      <c r="X9227" s="318"/>
      <c r="Y9227" s="318"/>
      <c r="Z9227" s="318"/>
      <c r="AA9227" s="318"/>
      <c r="AB9227" s="318"/>
      <c r="AC9227" s="318"/>
      <c r="AD9227" s="318"/>
    </row>
    <row r="9228" spans="2:30" s="323" customFormat="1" ht="12" customHeight="1">
      <c r="B9228" s="324"/>
      <c r="C9228" s="325"/>
      <c r="D9228" s="326"/>
      <c r="E9228" s="326"/>
      <c r="F9228" s="326"/>
      <c r="G9228" s="326"/>
      <c r="H9228" s="326"/>
      <c r="P9228" s="318"/>
      <c r="Q9228" s="318"/>
      <c r="R9228" s="318"/>
      <c r="S9228" s="318"/>
      <c r="T9228" s="318"/>
      <c r="U9228" s="318"/>
      <c r="V9228" s="318"/>
      <c r="W9228" s="318"/>
      <c r="X9228" s="318"/>
      <c r="Y9228" s="318"/>
      <c r="Z9228" s="318"/>
      <c r="AA9228" s="318"/>
      <c r="AB9228" s="318"/>
      <c r="AC9228" s="318"/>
      <c r="AD9228" s="318"/>
    </row>
    <row r="9229" spans="2:30" s="323" customFormat="1" ht="12" customHeight="1">
      <c r="B9229" s="324"/>
      <c r="C9229" s="325"/>
      <c r="D9229" s="326"/>
      <c r="E9229" s="326"/>
      <c r="F9229" s="326"/>
      <c r="G9229" s="326"/>
      <c r="H9229" s="326"/>
      <c r="P9229" s="318"/>
      <c r="Q9229" s="318"/>
      <c r="R9229" s="318"/>
      <c r="S9229" s="318"/>
      <c r="T9229" s="318"/>
      <c r="U9229" s="318"/>
      <c r="V9229" s="318"/>
      <c r="W9229" s="318"/>
      <c r="X9229" s="318"/>
      <c r="Y9229" s="318"/>
      <c r="Z9229" s="318"/>
      <c r="AA9229" s="318"/>
      <c r="AB9229" s="318"/>
      <c r="AC9229" s="318"/>
      <c r="AD9229" s="318"/>
    </row>
    <row r="9230" spans="2:30" s="323" customFormat="1" ht="12" customHeight="1">
      <c r="B9230" s="324"/>
      <c r="C9230" s="325"/>
      <c r="D9230" s="326"/>
      <c r="E9230" s="326"/>
      <c r="F9230" s="326"/>
      <c r="G9230" s="326"/>
      <c r="H9230" s="326"/>
      <c r="P9230" s="318"/>
      <c r="Q9230" s="318"/>
      <c r="R9230" s="318"/>
      <c r="S9230" s="318"/>
      <c r="T9230" s="318"/>
      <c r="U9230" s="318"/>
      <c r="V9230" s="318"/>
      <c r="W9230" s="318"/>
      <c r="X9230" s="318"/>
      <c r="Y9230" s="318"/>
      <c r="Z9230" s="318"/>
      <c r="AA9230" s="318"/>
      <c r="AB9230" s="318"/>
      <c r="AC9230" s="318"/>
      <c r="AD9230" s="318"/>
    </row>
    <row r="9231" spans="2:30" s="323" customFormat="1" ht="12" customHeight="1">
      <c r="B9231" s="324"/>
      <c r="C9231" s="325"/>
      <c r="D9231" s="326"/>
      <c r="E9231" s="326"/>
      <c r="F9231" s="326"/>
      <c r="G9231" s="326"/>
      <c r="H9231" s="326"/>
      <c r="P9231" s="318"/>
      <c r="Q9231" s="318"/>
      <c r="R9231" s="318"/>
      <c r="S9231" s="318"/>
      <c r="T9231" s="318"/>
      <c r="U9231" s="318"/>
      <c r="V9231" s="318"/>
      <c r="W9231" s="318"/>
      <c r="X9231" s="318"/>
      <c r="Y9231" s="318"/>
      <c r="Z9231" s="318"/>
      <c r="AA9231" s="318"/>
      <c r="AB9231" s="318"/>
      <c r="AC9231" s="318"/>
      <c r="AD9231" s="318"/>
    </row>
    <row r="9232" spans="2:30" s="323" customFormat="1" ht="12" customHeight="1">
      <c r="B9232" s="324"/>
      <c r="C9232" s="325"/>
      <c r="D9232" s="326"/>
      <c r="E9232" s="326"/>
      <c r="F9232" s="326"/>
      <c r="G9232" s="326"/>
      <c r="H9232" s="326"/>
      <c r="P9232" s="318"/>
      <c r="Q9232" s="318"/>
      <c r="R9232" s="318"/>
      <c r="S9232" s="318"/>
      <c r="T9232" s="318"/>
      <c r="U9232" s="318"/>
      <c r="V9232" s="318"/>
      <c r="W9232" s="318"/>
      <c r="X9232" s="318"/>
      <c r="Y9232" s="318"/>
      <c r="Z9232" s="318"/>
      <c r="AA9232" s="318"/>
      <c r="AB9232" s="318"/>
      <c r="AC9232" s="318"/>
      <c r="AD9232" s="318"/>
    </row>
    <row r="9233" spans="2:30" s="323" customFormat="1" ht="12" customHeight="1">
      <c r="B9233" s="324"/>
      <c r="C9233" s="325"/>
      <c r="D9233" s="326"/>
      <c r="E9233" s="326"/>
      <c r="F9233" s="326"/>
      <c r="G9233" s="326"/>
      <c r="H9233" s="326"/>
      <c r="P9233" s="318"/>
      <c r="Q9233" s="318"/>
      <c r="R9233" s="318"/>
      <c r="S9233" s="318"/>
      <c r="T9233" s="318"/>
      <c r="U9233" s="318"/>
      <c r="V9233" s="318"/>
      <c r="W9233" s="318"/>
      <c r="X9233" s="318"/>
      <c r="Y9233" s="318"/>
      <c r="Z9233" s="318"/>
      <c r="AA9233" s="318"/>
      <c r="AB9233" s="318"/>
      <c r="AC9233" s="318"/>
      <c r="AD9233" s="318"/>
    </row>
    <row r="9234" spans="2:30" s="323" customFormat="1" ht="12" customHeight="1">
      <c r="B9234" s="324"/>
      <c r="C9234" s="325"/>
      <c r="D9234" s="326"/>
      <c r="E9234" s="326"/>
      <c r="F9234" s="326"/>
      <c r="G9234" s="326"/>
      <c r="H9234" s="326"/>
      <c r="P9234" s="318"/>
      <c r="Q9234" s="318"/>
      <c r="R9234" s="318"/>
      <c r="S9234" s="318"/>
      <c r="T9234" s="318"/>
      <c r="U9234" s="318"/>
      <c r="V9234" s="318"/>
      <c r="W9234" s="318"/>
      <c r="X9234" s="318"/>
      <c r="Y9234" s="318"/>
      <c r="Z9234" s="318"/>
      <c r="AA9234" s="318"/>
      <c r="AB9234" s="318"/>
      <c r="AC9234" s="318"/>
      <c r="AD9234" s="318"/>
    </row>
    <row r="9235" spans="2:30" s="323" customFormat="1" ht="12" customHeight="1">
      <c r="B9235" s="324"/>
      <c r="C9235" s="325"/>
      <c r="D9235" s="326"/>
      <c r="E9235" s="326"/>
      <c r="F9235" s="326"/>
      <c r="G9235" s="326"/>
      <c r="H9235" s="326"/>
      <c r="P9235" s="318"/>
      <c r="Q9235" s="318"/>
      <c r="R9235" s="318"/>
      <c r="S9235" s="318"/>
      <c r="T9235" s="318"/>
      <c r="U9235" s="318"/>
      <c r="V9235" s="318"/>
      <c r="W9235" s="318"/>
      <c r="X9235" s="318"/>
      <c r="Y9235" s="318"/>
      <c r="Z9235" s="318"/>
      <c r="AA9235" s="318"/>
      <c r="AB9235" s="318"/>
      <c r="AC9235" s="318"/>
      <c r="AD9235" s="318"/>
    </row>
    <row r="9236" spans="2:30" s="323" customFormat="1" ht="12" customHeight="1">
      <c r="B9236" s="324"/>
      <c r="C9236" s="325"/>
      <c r="D9236" s="326"/>
      <c r="E9236" s="326"/>
      <c r="F9236" s="326"/>
      <c r="G9236" s="326"/>
      <c r="H9236" s="326"/>
      <c r="P9236" s="318"/>
      <c r="Q9236" s="318"/>
      <c r="R9236" s="318"/>
      <c r="S9236" s="318"/>
      <c r="T9236" s="318"/>
      <c r="U9236" s="318"/>
      <c r="V9236" s="318"/>
      <c r="W9236" s="318"/>
      <c r="X9236" s="318"/>
      <c r="Y9236" s="318"/>
      <c r="Z9236" s="318"/>
      <c r="AA9236" s="318"/>
      <c r="AB9236" s="318"/>
      <c r="AC9236" s="318"/>
      <c r="AD9236" s="318"/>
    </row>
    <row r="9237" spans="2:30" s="323" customFormat="1" ht="12" customHeight="1">
      <c r="B9237" s="324"/>
      <c r="C9237" s="325"/>
      <c r="D9237" s="326"/>
      <c r="E9237" s="326"/>
      <c r="F9237" s="326"/>
      <c r="G9237" s="326"/>
      <c r="H9237" s="326"/>
      <c r="P9237" s="318"/>
      <c r="Q9237" s="318"/>
      <c r="R9237" s="318"/>
      <c r="S9237" s="318"/>
      <c r="T9237" s="318"/>
      <c r="U9237" s="318"/>
      <c r="V9237" s="318"/>
      <c r="W9237" s="318"/>
      <c r="X9237" s="318"/>
      <c r="Y9237" s="318"/>
      <c r="Z9237" s="318"/>
      <c r="AA9237" s="318"/>
      <c r="AB9237" s="318"/>
      <c r="AC9237" s="318"/>
      <c r="AD9237" s="318"/>
    </row>
    <row r="9238" spans="2:30" s="323" customFormat="1" ht="12" customHeight="1">
      <c r="B9238" s="324"/>
      <c r="C9238" s="325"/>
      <c r="D9238" s="326"/>
      <c r="E9238" s="326"/>
      <c r="F9238" s="326"/>
      <c r="G9238" s="326"/>
      <c r="H9238" s="326"/>
      <c r="P9238" s="318"/>
      <c r="Q9238" s="318"/>
      <c r="R9238" s="318"/>
      <c r="S9238" s="318"/>
      <c r="T9238" s="318"/>
      <c r="U9238" s="318"/>
      <c r="V9238" s="318"/>
      <c r="W9238" s="318"/>
      <c r="X9238" s="318"/>
      <c r="Y9238" s="318"/>
      <c r="Z9238" s="318"/>
      <c r="AA9238" s="318"/>
      <c r="AB9238" s="318"/>
      <c r="AC9238" s="318"/>
      <c r="AD9238" s="318"/>
    </row>
    <row r="9239" spans="2:30" s="323" customFormat="1" ht="12" customHeight="1">
      <c r="B9239" s="324"/>
      <c r="C9239" s="325"/>
      <c r="D9239" s="326"/>
      <c r="E9239" s="326"/>
      <c r="F9239" s="326"/>
      <c r="G9239" s="326"/>
      <c r="H9239" s="326"/>
      <c r="P9239" s="318"/>
      <c r="Q9239" s="318"/>
      <c r="R9239" s="318"/>
      <c r="S9239" s="318"/>
      <c r="T9239" s="318"/>
      <c r="U9239" s="318"/>
      <c r="V9239" s="318"/>
      <c r="W9239" s="318"/>
      <c r="X9239" s="318"/>
      <c r="Y9239" s="318"/>
      <c r="Z9239" s="318"/>
      <c r="AA9239" s="318"/>
      <c r="AB9239" s="318"/>
      <c r="AC9239" s="318"/>
      <c r="AD9239" s="318"/>
    </row>
    <row r="9240" spans="2:30" s="323" customFormat="1" ht="12" customHeight="1">
      <c r="B9240" s="324"/>
      <c r="C9240" s="325"/>
      <c r="D9240" s="326"/>
      <c r="E9240" s="326"/>
      <c r="F9240" s="326"/>
      <c r="G9240" s="326"/>
      <c r="H9240" s="326"/>
      <c r="P9240" s="318"/>
      <c r="Q9240" s="318"/>
      <c r="R9240" s="318"/>
      <c r="S9240" s="318"/>
      <c r="T9240" s="318"/>
      <c r="U9240" s="318"/>
      <c r="V9240" s="318"/>
      <c r="W9240" s="318"/>
      <c r="X9240" s="318"/>
      <c r="Y9240" s="318"/>
      <c r="Z9240" s="318"/>
      <c r="AA9240" s="318"/>
      <c r="AB9240" s="318"/>
      <c r="AC9240" s="318"/>
      <c r="AD9240" s="318"/>
    </row>
    <row r="9241" spans="2:30" s="323" customFormat="1" ht="12" customHeight="1">
      <c r="B9241" s="324"/>
      <c r="C9241" s="325"/>
      <c r="D9241" s="326"/>
      <c r="E9241" s="326"/>
      <c r="F9241" s="326"/>
      <c r="G9241" s="326"/>
      <c r="H9241" s="326"/>
      <c r="P9241" s="318"/>
      <c r="Q9241" s="318"/>
      <c r="R9241" s="318"/>
      <c r="S9241" s="318"/>
      <c r="T9241" s="318"/>
      <c r="U9241" s="318"/>
      <c r="V9241" s="318"/>
      <c r="W9241" s="318"/>
      <c r="X9241" s="318"/>
      <c r="Y9241" s="318"/>
      <c r="Z9241" s="318"/>
      <c r="AA9241" s="318"/>
      <c r="AB9241" s="318"/>
      <c r="AC9241" s="318"/>
      <c r="AD9241" s="318"/>
    </row>
    <row r="9242" spans="2:30" s="323" customFormat="1" ht="12" customHeight="1">
      <c r="B9242" s="324"/>
      <c r="C9242" s="325"/>
      <c r="D9242" s="326"/>
      <c r="E9242" s="326"/>
      <c r="F9242" s="326"/>
      <c r="G9242" s="326"/>
      <c r="H9242" s="326"/>
      <c r="P9242" s="318"/>
      <c r="Q9242" s="318"/>
      <c r="R9242" s="318"/>
      <c r="S9242" s="318"/>
      <c r="T9242" s="318"/>
      <c r="U9242" s="318"/>
      <c r="V9242" s="318"/>
      <c r="W9242" s="318"/>
      <c r="X9242" s="318"/>
      <c r="Y9242" s="318"/>
      <c r="Z9242" s="318"/>
      <c r="AA9242" s="318"/>
      <c r="AB9242" s="318"/>
      <c r="AC9242" s="318"/>
      <c r="AD9242" s="318"/>
    </row>
    <row r="9243" spans="2:30" s="323" customFormat="1" ht="12" customHeight="1">
      <c r="B9243" s="324"/>
      <c r="C9243" s="325"/>
      <c r="D9243" s="326"/>
      <c r="E9243" s="326"/>
      <c r="F9243" s="326"/>
      <c r="G9243" s="326"/>
      <c r="H9243" s="326"/>
      <c r="P9243" s="318"/>
      <c r="Q9243" s="318"/>
      <c r="R9243" s="318"/>
      <c r="S9243" s="318"/>
      <c r="T9243" s="318"/>
      <c r="U9243" s="318"/>
      <c r="V9243" s="318"/>
      <c r="W9243" s="318"/>
      <c r="X9243" s="318"/>
      <c r="Y9243" s="318"/>
      <c r="Z9243" s="318"/>
      <c r="AA9243" s="318"/>
      <c r="AB9243" s="318"/>
      <c r="AC9243" s="318"/>
      <c r="AD9243" s="318"/>
    </row>
    <row r="9244" spans="2:30" s="323" customFormat="1" ht="12" customHeight="1">
      <c r="B9244" s="324"/>
      <c r="C9244" s="325"/>
      <c r="D9244" s="326"/>
      <c r="E9244" s="326"/>
      <c r="F9244" s="326"/>
      <c r="G9244" s="326"/>
      <c r="H9244" s="326"/>
      <c r="P9244" s="318"/>
      <c r="Q9244" s="318"/>
      <c r="R9244" s="318"/>
      <c r="S9244" s="318"/>
      <c r="T9244" s="318"/>
      <c r="U9244" s="318"/>
      <c r="V9244" s="318"/>
      <c r="W9244" s="318"/>
      <c r="X9244" s="318"/>
      <c r="Y9244" s="318"/>
      <c r="Z9244" s="318"/>
      <c r="AA9244" s="318"/>
      <c r="AB9244" s="318"/>
      <c r="AC9244" s="318"/>
      <c r="AD9244" s="318"/>
    </row>
    <row r="9245" spans="2:30" s="323" customFormat="1" ht="12" customHeight="1">
      <c r="B9245" s="324"/>
      <c r="C9245" s="325"/>
      <c r="D9245" s="326"/>
      <c r="E9245" s="326"/>
      <c r="F9245" s="326"/>
      <c r="G9245" s="326"/>
      <c r="H9245" s="326"/>
      <c r="P9245" s="318"/>
      <c r="Q9245" s="318"/>
      <c r="R9245" s="318"/>
      <c r="S9245" s="318"/>
      <c r="T9245" s="318"/>
      <c r="U9245" s="318"/>
      <c r="V9245" s="318"/>
      <c r="W9245" s="318"/>
      <c r="X9245" s="318"/>
      <c r="Y9245" s="318"/>
      <c r="Z9245" s="318"/>
      <c r="AA9245" s="318"/>
      <c r="AB9245" s="318"/>
      <c r="AC9245" s="318"/>
      <c r="AD9245" s="318"/>
    </row>
    <row r="9246" spans="2:30" s="323" customFormat="1" ht="12" customHeight="1">
      <c r="B9246" s="324"/>
      <c r="C9246" s="325"/>
      <c r="D9246" s="326"/>
      <c r="E9246" s="326"/>
      <c r="F9246" s="326"/>
      <c r="G9246" s="326"/>
      <c r="H9246" s="326"/>
      <c r="P9246" s="318"/>
      <c r="Q9246" s="318"/>
      <c r="R9246" s="318"/>
      <c r="S9246" s="318"/>
      <c r="T9246" s="318"/>
      <c r="U9246" s="318"/>
      <c r="V9246" s="318"/>
      <c r="W9246" s="318"/>
      <c r="X9246" s="318"/>
      <c r="Y9246" s="318"/>
      <c r="Z9246" s="318"/>
      <c r="AA9246" s="318"/>
      <c r="AB9246" s="318"/>
      <c r="AC9246" s="318"/>
      <c r="AD9246" s="318"/>
    </row>
    <row r="9247" spans="2:30" s="323" customFormat="1" ht="12" customHeight="1">
      <c r="B9247" s="324"/>
      <c r="C9247" s="325"/>
      <c r="D9247" s="326"/>
      <c r="E9247" s="326"/>
      <c r="F9247" s="326"/>
      <c r="G9247" s="326"/>
      <c r="H9247" s="326"/>
      <c r="P9247" s="318"/>
      <c r="Q9247" s="318"/>
      <c r="R9247" s="318"/>
      <c r="S9247" s="318"/>
      <c r="T9247" s="318"/>
      <c r="U9247" s="318"/>
      <c r="V9247" s="318"/>
      <c r="W9247" s="318"/>
      <c r="X9247" s="318"/>
      <c r="Y9247" s="318"/>
      <c r="Z9247" s="318"/>
      <c r="AA9247" s="318"/>
      <c r="AB9247" s="318"/>
      <c r="AC9247" s="318"/>
      <c r="AD9247" s="318"/>
    </row>
    <row r="9248" spans="2:30" s="323" customFormat="1" ht="12" customHeight="1">
      <c r="B9248" s="324"/>
      <c r="C9248" s="325"/>
      <c r="D9248" s="326"/>
      <c r="E9248" s="326"/>
      <c r="F9248" s="326"/>
      <c r="G9248" s="326"/>
      <c r="H9248" s="326"/>
      <c r="P9248" s="318"/>
      <c r="Q9248" s="318"/>
      <c r="R9248" s="318"/>
      <c r="S9248" s="318"/>
      <c r="T9248" s="318"/>
      <c r="U9248" s="318"/>
      <c r="V9248" s="318"/>
      <c r="W9248" s="318"/>
      <c r="X9248" s="318"/>
      <c r="Y9248" s="318"/>
      <c r="Z9248" s="318"/>
      <c r="AA9248" s="318"/>
      <c r="AB9248" s="318"/>
      <c r="AC9248" s="318"/>
      <c r="AD9248" s="318"/>
    </row>
    <row r="9249" spans="2:30" s="323" customFormat="1" ht="12" customHeight="1">
      <c r="B9249" s="324"/>
      <c r="C9249" s="325"/>
      <c r="D9249" s="326"/>
      <c r="E9249" s="326"/>
      <c r="F9249" s="326"/>
      <c r="G9249" s="326"/>
      <c r="H9249" s="326"/>
      <c r="P9249" s="318"/>
      <c r="Q9249" s="318"/>
      <c r="R9249" s="318"/>
      <c r="S9249" s="318"/>
      <c r="T9249" s="318"/>
      <c r="U9249" s="318"/>
      <c r="V9249" s="318"/>
      <c r="W9249" s="318"/>
      <c r="X9249" s="318"/>
      <c r="Y9249" s="318"/>
      <c r="Z9249" s="318"/>
      <c r="AA9249" s="318"/>
      <c r="AB9249" s="318"/>
      <c r="AC9249" s="318"/>
      <c r="AD9249" s="318"/>
    </row>
    <row r="9250" spans="2:30" s="323" customFormat="1" ht="12" customHeight="1">
      <c r="B9250" s="324"/>
      <c r="C9250" s="325"/>
      <c r="D9250" s="326"/>
      <c r="E9250" s="326"/>
      <c r="F9250" s="326"/>
      <c r="G9250" s="326"/>
      <c r="H9250" s="326"/>
      <c r="P9250" s="318"/>
      <c r="Q9250" s="318"/>
      <c r="R9250" s="318"/>
      <c r="S9250" s="318"/>
      <c r="T9250" s="318"/>
      <c r="U9250" s="318"/>
      <c r="V9250" s="318"/>
      <c r="W9250" s="318"/>
      <c r="X9250" s="318"/>
      <c r="Y9250" s="318"/>
      <c r="Z9250" s="318"/>
      <c r="AA9250" s="318"/>
      <c r="AB9250" s="318"/>
      <c r="AC9250" s="318"/>
      <c r="AD9250" s="318"/>
    </row>
    <row r="9251" spans="2:30" s="323" customFormat="1" ht="12" customHeight="1">
      <c r="B9251" s="324"/>
      <c r="C9251" s="325"/>
      <c r="D9251" s="326"/>
      <c r="E9251" s="326"/>
      <c r="F9251" s="326"/>
      <c r="G9251" s="326"/>
      <c r="H9251" s="326"/>
      <c r="P9251" s="318"/>
      <c r="Q9251" s="318"/>
      <c r="R9251" s="318"/>
      <c r="S9251" s="318"/>
      <c r="T9251" s="318"/>
      <c r="U9251" s="318"/>
      <c r="V9251" s="318"/>
      <c r="W9251" s="318"/>
      <c r="X9251" s="318"/>
      <c r="Y9251" s="318"/>
      <c r="Z9251" s="318"/>
      <c r="AA9251" s="318"/>
      <c r="AB9251" s="318"/>
      <c r="AC9251" s="318"/>
      <c r="AD9251" s="318"/>
    </row>
    <row r="9252" spans="2:30" s="323" customFormat="1" ht="12" customHeight="1">
      <c r="B9252" s="324"/>
      <c r="C9252" s="325"/>
      <c r="D9252" s="326"/>
      <c r="E9252" s="326"/>
      <c r="F9252" s="326"/>
      <c r="G9252" s="326"/>
      <c r="H9252" s="326"/>
      <c r="P9252" s="318"/>
      <c r="Q9252" s="318"/>
      <c r="R9252" s="318"/>
      <c r="S9252" s="318"/>
      <c r="T9252" s="318"/>
      <c r="U9252" s="318"/>
      <c r="V9252" s="318"/>
      <c r="W9252" s="318"/>
      <c r="X9252" s="318"/>
      <c r="Y9252" s="318"/>
      <c r="Z9252" s="318"/>
      <c r="AA9252" s="318"/>
      <c r="AB9252" s="318"/>
      <c r="AC9252" s="318"/>
      <c r="AD9252" s="318"/>
    </row>
    <row r="9253" spans="2:30" s="323" customFormat="1" ht="12" customHeight="1">
      <c r="B9253" s="324"/>
      <c r="C9253" s="325"/>
      <c r="D9253" s="326"/>
      <c r="E9253" s="326"/>
      <c r="F9253" s="326"/>
      <c r="G9253" s="326"/>
      <c r="H9253" s="326"/>
      <c r="P9253" s="318"/>
      <c r="Q9253" s="318"/>
      <c r="R9253" s="318"/>
      <c r="S9253" s="318"/>
      <c r="T9253" s="318"/>
      <c r="U9253" s="318"/>
      <c r="V9253" s="318"/>
      <c r="W9253" s="318"/>
      <c r="X9253" s="318"/>
      <c r="Y9253" s="318"/>
      <c r="Z9253" s="318"/>
      <c r="AA9253" s="318"/>
      <c r="AB9253" s="318"/>
      <c r="AC9253" s="318"/>
      <c r="AD9253" s="318"/>
    </row>
    <row r="9254" spans="2:30" s="323" customFormat="1" ht="12" customHeight="1">
      <c r="B9254" s="324"/>
      <c r="C9254" s="325"/>
      <c r="D9254" s="326"/>
      <c r="E9254" s="326"/>
      <c r="F9254" s="326"/>
      <c r="G9254" s="326"/>
      <c r="H9254" s="326"/>
      <c r="P9254" s="318"/>
      <c r="Q9254" s="318"/>
      <c r="R9254" s="318"/>
      <c r="S9254" s="318"/>
      <c r="T9254" s="318"/>
      <c r="U9254" s="318"/>
      <c r="V9254" s="318"/>
      <c r="W9254" s="318"/>
      <c r="X9254" s="318"/>
      <c r="Y9254" s="318"/>
      <c r="Z9254" s="318"/>
      <c r="AA9254" s="318"/>
      <c r="AB9254" s="318"/>
      <c r="AC9254" s="318"/>
      <c r="AD9254" s="318"/>
    </row>
    <row r="9255" spans="2:30" s="323" customFormat="1" ht="12" customHeight="1">
      <c r="B9255" s="324"/>
      <c r="C9255" s="325"/>
      <c r="D9255" s="326"/>
      <c r="E9255" s="326"/>
      <c r="F9255" s="326"/>
      <c r="G9255" s="326"/>
      <c r="H9255" s="326"/>
      <c r="P9255" s="318"/>
      <c r="Q9255" s="318"/>
      <c r="R9255" s="318"/>
      <c r="S9255" s="318"/>
      <c r="T9255" s="318"/>
      <c r="U9255" s="318"/>
      <c r="V9255" s="318"/>
      <c r="W9255" s="318"/>
      <c r="X9255" s="318"/>
      <c r="Y9255" s="318"/>
      <c r="Z9255" s="318"/>
      <c r="AA9255" s="318"/>
      <c r="AB9255" s="318"/>
      <c r="AC9255" s="318"/>
      <c r="AD9255" s="318"/>
    </row>
    <row r="9256" spans="2:30" s="323" customFormat="1" ht="12" customHeight="1">
      <c r="B9256" s="324"/>
      <c r="C9256" s="325"/>
      <c r="D9256" s="326"/>
      <c r="E9256" s="326"/>
      <c r="F9256" s="326"/>
      <c r="G9256" s="326"/>
      <c r="H9256" s="326"/>
      <c r="P9256" s="318"/>
      <c r="Q9256" s="318"/>
      <c r="R9256" s="318"/>
      <c r="S9256" s="318"/>
      <c r="T9256" s="318"/>
      <c r="U9256" s="318"/>
      <c r="V9256" s="318"/>
      <c r="W9256" s="318"/>
      <c r="X9256" s="318"/>
      <c r="Y9256" s="318"/>
      <c r="Z9256" s="318"/>
      <c r="AA9256" s="318"/>
      <c r="AB9256" s="318"/>
      <c r="AC9256" s="318"/>
      <c r="AD9256" s="318"/>
    </row>
    <row r="9257" spans="2:30" s="323" customFormat="1" ht="12" customHeight="1">
      <c r="B9257" s="324"/>
      <c r="C9257" s="325"/>
      <c r="D9257" s="326"/>
      <c r="E9257" s="326"/>
      <c r="F9257" s="326"/>
      <c r="G9257" s="326"/>
      <c r="H9257" s="326"/>
      <c r="P9257" s="318"/>
      <c r="Q9257" s="318"/>
      <c r="R9257" s="318"/>
      <c r="S9257" s="318"/>
      <c r="T9257" s="318"/>
      <c r="U9257" s="318"/>
      <c r="V9257" s="318"/>
      <c r="W9257" s="318"/>
      <c r="X9257" s="318"/>
      <c r="Y9257" s="318"/>
      <c r="Z9257" s="318"/>
      <c r="AA9257" s="318"/>
      <c r="AB9257" s="318"/>
      <c r="AC9257" s="318"/>
      <c r="AD9257" s="318"/>
    </row>
    <row r="9258" spans="2:30" s="323" customFormat="1" ht="12" customHeight="1">
      <c r="B9258" s="324"/>
      <c r="C9258" s="325"/>
      <c r="D9258" s="326"/>
      <c r="E9258" s="326"/>
      <c r="F9258" s="326"/>
      <c r="G9258" s="326"/>
      <c r="H9258" s="326"/>
      <c r="P9258" s="318"/>
      <c r="Q9258" s="318"/>
      <c r="R9258" s="318"/>
      <c r="S9258" s="318"/>
      <c r="T9258" s="318"/>
      <c r="U9258" s="318"/>
      <c r="V9258" s="318"/>
      <c r="W9258" s="318"/>
      <c r="X9258" s="318"/>
      <c r="Y9258" s="318"/>
      <c r="Z9258" s="318"/>
      <c r="AA9258" s="318"/>
      <c r="AB9258" s="318"/>
      <c r="AC9258" s="318"/>
      <c r="AD9258" s="318"/>
    </row>
    <row r="9259" spans="2:30" s="323" customFormat="1" ht="12" customHeight="1">
      <c r="B9259" s="324"/>
      <c r="C9259" s="325"/>
      <c r="D9259" s="326"/>
      <c r="E9259" s="326"/>
      <c r="F9259" s="326"/>
      <c r="G9259" s="326"/>
      <c r="H9259" s="326"/>
      <c r="P9259" s="318"/>
      <c r="Q9259" s="318"/>
      <c r="R9259" s="318"/>
      <c r="S9259" s="318"/>
      <c r="T9259" s="318"/>
      <c r="U9259" s="318"/>
      <c r="V9259" s="318"/>
      <c r="W9259" s="318"/>
      <c r="X9259" s="318"/>
      <c r="Y9259" s="318"/>
      <c r="Z9259" s="318"/>
      <c r="AA9259" s="318"/>
      <c r="AB9259" s="318"/>
      <c r="AC9259" s="318"/>
      <c r="AD9259" s="318"/>
    </row>
    <row r="9260" spans="2:30" s="323" customFormat="1" ht="12" customHeight="1">
      <c r="B9260" s="324"/>
      <c r="C9260" s="325"/>
      <c r="D9260" s="326"/>
      <c r="E9260" s="326"/>
      <c r="F9260" s="326"/>
      <c r="G9260" s="326"/>
      <c r="H9260" s="326"/>
      <c r="P9260" s="318"/>
      <c r="Q9260" s="318"/>
      <c r="R9260" s="318"/>
      <c r="S9260" s="318"/>
      <c r="T9260" s="318"/>
      <c r="U9260" s="318"/>
      <c r="V9260" s="318"/>
      <c r="W9260" s="318"/>
      <c r="X9260" s="318"/>
      <c r="Y9260" s="318"/>
      <c r="Z9260" s="318"/>
      <c r="AA9260" s="318"/>
      <c r="AB9260" s="318"/>
      <c r="AC9260" s="318"/>
      <c r="AD9260" s="318"/>
    </row>
    <row r="9261" spans="2:30" s="323" customFormat="1" ht="12" customHeight="1">
      <c r="B9261" s="324"/>
      <c r="C9261" s="325"/>
      <c r="D9261" s="326"/>
      <c r="E9261" s="326"/>
      <c r="F9261" s="326"/>
      <c r="G9261" s="326"/>
      <c r="H9261" s="326"/>
      <c r="P9261" s="318"/>
      <c r="Q9261" s="318"/>
      <c r="R9261" s="318"/>
      <c r="S9261" s="318"/>
      <c r="T9261" s="318"/>
      <c r="U9261" s="318"/>
      <c r="V9261" s="318"/>
      <c r="W9261" s="318"/>
      <c r="X9261" s="318"/>
      <c r="Y9261" s="318"/>
      <c r="Z9261" s="318"/>
      <c r="AA9261" s="318"/>
      <c r="AB9261" s="318"/>
      <c r="AC9261" s="318"/>
      <c r="AD9261" s="318"/>
    </row>
    <row r="9262" spans="2:30" s="323" customFormat="1" ht="12" customHeight="1">
      <c r="B9262" s="324"/>
      <c r="C9262" s="325"/>
      <c r="D9262" s="326"/>
      <c r="E9262" s="326"/>
      <c r="F9262" s="326"/>
      <c r="G9262" s="326"/>
      <c r="H9262" s="326"/>
      <c r="P9262" s="318"/>
      <c r="Q9262" s="318"/>
      <c r="R9262" s="318"/>
      <c r="S9262" s="318"/>
      <c r="T9262" s="318"/>
      <c r="U9262" s="318"/>
      <c r="V9262" s="318"/>
      <c r="W9262" s="318"/>
      <c r="X9262" s="318"/>
      <c r="Y9262" s="318"/>
      <c r="Z9262" s="318"/>
      <c r="AA9262" s="318"/>
      <c r="AB9262" s="318"/>
      <c r="AC9262" s="318"/>
      <c r="AD9262" s="318"/>
    </row>
    <row r="9263" spans="2:30" s="323" customFormat="1" ht="12" customHeight="1">
      <c r="B9263" s="324"/>
      <c r="C9263" s="325"/>
      <c r="D9263" s="326"/>
      <c r="E9263" s="326"/>
      <c r="F9263" s="326"/>
      <c r="G9263" s="326"/>
      <c r="H9263" s="326"/>
      <c r="P9263" s="318"/>
      <c r="Q9263" s="318"/>
      <c r="R9263" s="318"/>
      <c r="S9263" s="318"/>
      <c r="T9263" s="318"/>
      <c r="U9263" s="318"/>
      <c r="V9263" s="318"/>
      <c r="W9263" s="318"/>
      <c r="X9263" s="318"/>
      <c r="Y9263" s="318"/>
      <c r="Z9263" s="318"/>
      <c r="AA9263" s="318"/>
      <c r="AB9263" s="318"/>
      <c r="AC9263" s="318"/>
      <c r="AD9263" s="318"/>
    </row>
    <row r="9264" spans="2:30" s="323" customFormat="1" ht="12" customHeight="1">
      <c r="B9264" s="324"/>
      <c r="C9264" s="325"/>
      <c r="D9264" s="326"/>
      <c r="E9264" s="326"/>
      <c r="F9264" s="326"/>
      <c r="G9264" s="326"/>
      <c r="H9264" s="326"/>
      <c r="P9264" s="318"/>
      <c r="Q9264" s="318"/>
      <c r="R9264" s="318"/>
      <c r="S9264" s="318"/>
      <c r="T9264" s="318"/>
      <c r="U9264" s="318"/>
      <c r="V9264" s="318"/>
      <c r="W9264" s="318"/>
      <c r="X9264" s="318"/>
      <c r="Y9264" s="318"/>
      <c r="Z9264" s="318"/>
      <c r="AA9264" s="318"/>
      <c r="AB9264" s="318"/>
      <c r="AC9264" s="318"/>
      <c r="AD9264" s="318"/>
    </row>
    <row r="9265" spans="2:30" s="323" customFormat="1" ht="12" customHeight="1">
      <c r="B9265" s="324"/>
      <c r="C9265" s="325"/>
      <c r="D9265" s="326"/>
      <c r="E9265" s="326"/>
      <c r="F9265" s="326"/>
      <c r="G9265" s="326"/>
      <c r="H9265" s="326"/>
      <c r="P9265" s="318"/>
      <c r="Q9265" s="318"/>
      <c r="R9265" s="318"/>
      <c r="S9265" s="318"/>
      <c r="T9265" s="318"/>
      <c r="U9265" s="318"/>
      <c r="V9265" s="318"/>
      <c r="W9265" s="318"/>
      <c r="X9265" s="318"/>
      <c r="Y9265" s="318"/>
      <c r="Z9265" s="318"/>
      <c r="AA9265" s="318"/>
      <c r="AB9265" s="318"/>
      <c r="AC9265" s="318"/>
      <c r="AD9265" s="318"/>
    </row>
    <row r="9266" spans="2:30" s="323" customFormat="1" ht="12" customHeight="1">
      <c r="B9266" s="324"/>
      <c r="C9266" s="325"/>
      <c r="D9266" s="326"/>
      <c r="E9266" s="326"/>
      <c r="F9266" s="326"/>
      <c r="G9266" s="326"/>
      <c r="H9266" s="326"/>
      <c r="P9266" s="318"/>
      <c r="Q9266" s="318"/>
      <c r="R9266" s="318"/>
      <c r="S9266" s="318"/>
      <c r="T9266" s="318"/>
      <c r="U9266" s="318"/>
      <c r="V9266" s="318"/>
      <c r="W9266" s="318"/>
      <c r="X9266" s="318"/>
      <c r="Y9266" s="318"/>
      <c r="Z9266" s="318"/>
      <c r="AA9266" s="318"/>
      <c r="AB9266" s="318"/>
      <c r="AC9266" s="318"/>
      <c r="AD9266" s="318"/>
    </row>
    <row r="9267" spans="2:30" s="323" customFormat="1" ht="12" customHeight="1">
      <c r="B9267" s="324"/>
      <c r="C9267" s="325"/>
      <c r="D9267" s="326"/>
      <c r="E9267" s="326"/>
      <c r="F9267" s="326"/>
      <c r="G9267" s="326"/>
      <c r="H9267" s="326"/>
      <c r="P9267" s="318"/>
      <c r="Q9267" s="318"/>
      <c r="R9267" s="318"/>
      <c r="S9267" s="318"/>
      <c r="T9267" s="318"/>
      <c r="U9267" s="318"/>
      <c r="V9267" s="318"/>
      <c r="W9267" s="318"/>
      <c r="X9267" s="318"/>
      <c r="Y9267" s="318"/>
      <c r="Z9267" s="318"/>
      <c r="AA9267" s="318"/>
      <c r="AB9267" s="318"/>
      <c r="AC9267" s="318"/>
      <c r="AD9267" s="318"/>
    </row>
    <row r="9268" spans="2:30" s="323" customFormat="1" ht="12" customHeight="1">
      <c r="B9268" s="324"/>
      <c r="C9268" s="325"/>
      <c r="D9268" s="326"/>
      <c r="E9268" s="326"/>
      <c r="F9268" s="326"/>
      <c r="G9268" s="326"/>
      <c r="H9268" s="326"/>
      <c r="P9268" s="318"/>
      <c r="Q9268" s="318"/>
      <c r="R9268" s="318"/>
      <c r="S9268" s="318"/>
      <c r="T9268" s="318"/>
      <c r="U9268" s="318"/>
      <c r="V9268" s="318"/>
      <c r="W9268" s="318"/>
      <c r="X9268" s="318"/>
      <c r="Y9268" s="318"/>
      <c r="Z9268" s="318"/>
      <c r="AA9268" s="318"/>
      <c r="AB9268" s="318"/>
      <c r="AC9268" s="318"/>
      <c r="AD9268" s="318"/>
    </row>
    <row r="9269" spans="2:30" s="323" customFormat="1" ht="12" customHeight="1">
      <c r="B9269" s="324"/>
      <c r="C9269" s="325"/>
      <c r="D9269" s="326"/>
      <c r="E9269" s="326"/>
      <c r="F9269" s="326"/>
      <c r="G9269" s="326"/>
      <c r="H9269" s="326"/>
      <c r="P9269" s="318"/>
      <c r="Q9269" s="318"/>
      <c r="R9269" s="318"/>
      <c r="S9269" s="318"/>
      <c r="T9269" s="318"/>
      <c r="U9269" s="318"/>
      <c r="V9269" s="318"/>
      <c r="W9269" s="318"/>
      <c r="X9269" s="318"/>
      <c r="Y9269" s="318"/>
      <c r="Z9269" s="318"/>
      <c r="AA9269" s="318"/>
      <c r="AB9269" s="318"/>
      <c r="AC9269" s="318"/>
      <c r="AD9269" s="318"/>
    </row>
    <row r="9270" spans="2:30" s="323" customFormat="1" ht="12" customHeight="1">
      <c r="B9270" s="324"/>
      <c r="C9270" s="325"/>
      <c r="D9270" s="326"/>
      <c r="E9270" s="326"/>
      <c r="F9270" s="326"/>
      <c r="G9270" s="326"/>
      <c r="H9270" s="326"/>
      <c r="P9270" s="318"/>
      <c r="Q9270" s="318"/>
      <c r="R9270" s="318"/>
      <c r="S9270" s="318"/>
      <c r="T9270" s="318"/>
      <c r="U9270" s="318"/>
      <c r="V9270" s="318"/>
      <c r="W9270" s="318"/>
      <c r="X9270" s="318"/>
      <c r="Y9270" s="318"/>
      <c r="Z9270" s="318"/>
      <c r="AA9270" s="318"/>
      <c r="AB9270" s="318"/>
      <c r="AC9270" s="318"/>
      <c r="AD9270" s="318"/>
    </row>
    <row r="9271" spans="2:30" s="323" customFormat="1" ht="12" customHeight="1">
      <c r="B9271" s="324"/>
      <c r="C9271" s="325"/>
      <c r="D9271" s="326"/>
      <c r="E9271" s="326"/>
      <c r="F9271" s="326"/>
      <c r="G9271" s="326"/>
      <c r="H9271" s="326"/>
      <c r="P9271" s="318"/>
      <c r="Q9271" s="318"/>
      <c r="R9271" s="318"/>
      <c r="S9271" s="318"/>
      <c r="T9271" s="318"/>
      <c r="U9271" s="318"/>
      <c r="V9271" s="318"/>
      <c r="W9271" s="318"/>
      <c r="X9271" s="318"/>
      <c r="Y9271" s="318"/>
      <c r="Z9271" s="318"/>
      <c r="AA9271" s="318"/>
      <c r="AB9271" s="318"/>
      <c r="AC9271" s="318"/>
      <c r="AD9271" s="318"/>
    </row>
    <row r="9272" spans="2:30" s="323" customFormat="1" ht="12" customHeight="1">
      <c r="B9272" s="324"/>
      <c r="C9272" s="325"/>
      <c r="D9272" s="326"/>
      <c r="E9272" s="326"/>
      <c r="F9272" s="326"/>
      <c r="G9272" s="326"/>
      <c r="H9272" s="326"/>
      <c r="P9272" s="318"/>
      <c r="Q9272" s="318"/>
      <c r="R9272" s="318"/>
      <c r="S9272" s="318"/>
      <c r="T9272" s="318"/>
      <c r="U9272" s="318"/>
      <c r="V9272" s="318"/>
      <c r="W9272" s="318"/>
      <c r="X9272" s="318"/>
      <c r="Y9272" s="318"/>
      <c r="Z9272" s="318"/>
      <c r="AA9272" s="318"/>
      <c r="AB9272" s="318"/>
      <c r="AC9272" s="318"/>
      <c r="AD9272" s="318"/>
    </row>
    <row r="9273" spans="2:30" s="323" customFormat="1" ht="12" customHeight="1">
      <c r="B9273" s="324"/>
      <c r="C9273" s="325"/>
      <c r="D9273" s="326"/>
      <c r="E9273" s="326"/>
      <c r="F9273" s="326"/>
      <c r="G9273" s="326"/>
      <c r="H9273" s="326"/>
      <c r="P9273" s="318"/>
      <c r="Q9273" s="318"/>
      <c r="R9273" s="318"/>
      <c r="S9273" s="318"/>
      <c r="T9273" s="318"/>
      <c r="U9273" s="318"/>
      <c r="V9273" s="318"/>
      <c r="W9273" s="318"/>
      <c r="X9273" s="318"/>
      <c r="Y9273" s="318"/>
      <c r="Z9273" s="318"/>
      <c r="AA9273" s="318"/>
      <c r="AB9273" s="318"/>
      <c r="AC9273" s="318"/>
      <c r="AD9273" s="318"/>
    </row>
    <row r="9274" spans="2:30" s="323" customFormat="1" ht="12" customHeight="1">
      <c r="B9274" s="324"/>
      <c r="C9274" s="325"/>
      <c r="D9274" s="326"/>
      <c r="E9274" s="326"/>
      <c r="F9274" s="326"/>
      <c r="G9274" s="326"/>
      <c r="H9274" s="326"/>
      <c r="P9274" s="318"/>
      <c r="Q9274" s="318"/>
      <c r="R9274" s="318"/>
      <c r="S9274" s="318"/>
      <c r="T9274" s="318"/>
      <c r="U9274" s="318"/>
      <c r="V9274" s="318"/>
      <c r="W9274" s="318"/>
      <c r="X9274" s="318"/>
      <c r="Y9274" s="318"/>
      <c r="Z9274" s="318"/>
      <c r="AA9274" s="318"/>
      <c r="AB9274" s="318"/>
      <c r="AC9274" s="318"/>
      <c r="AD9274" s="318"/>
    </row>
    <row r="9275" spans="2:30" s="323" customFormat="1" ht="12" customHeight="1">
      <c r="B9275" s="324"/>
      <c r="C9275" s="325"/>
      <c r="D9275" s="326"/>
      <c r="E9275" s="326"/>
      <c r="F9275" s="326"/>
      <c r="G9275" s="326"/>
      <c r="H9275" s="326"/>
      <c r="P9275" s="318"/>
      <c r="Q9275" s="318"/>
      <c r="R9275" s="318"/>
      <c r="S9275" s="318"/>
      <c r="T9275" s="318"/>
      <c r="U9275" s="318"/>
      <c r="V9275" s="318"/>
      <c r="W9275" s="318"/>
      <c r="X9275" s="318"/>
      <c r="Y9275" s="318"/>
      <c r="Z9275" s="318"/>
      <c r="AA9275" s="318"/>
      <c r="AB9275" s="318"/>
      <c r="AC9275" s="318"/>
      <c r="AD9275" s="318"/>
    </row>
    <row r="9276" spans="2:30" s="323" customFormat="1" ht="12" customHeight="1">
      <c r="B9276" s="324"/>
      <c r="C9276" s="325"/>
      <c r="D9276" s="326"/>
      <c r="E9276" s="326"/>
      <c r="F9276" s="326"/>
      <c r="G9276" s="326"/>
      <c r="H9276" s="326"/>
      <c r="P9276" s="318"/>
      <c r="Q9276" s="318"/>
      <c r="R9276" s="318"/>
      <c r="S9276" s="318"/>
      <c r="T9276" s="318"/>
      <c r="U9276" s="318"/>
      <c r="V9276" s="318"/>
      <c r="W9276" s="318"/>
      <c r="X9276" s="318"/>
      <c r="Y9276" s="318"/>
      <c r="Z9276" s="318"/>
      <c r="AA9276" s="318"/>
      <c r="AB9276" s="318"/>
      <c r="AC9276" s="318"/>
      <c r="AD9276" s="318"/>
    </row>
    <row r="9277" spans="2:30" s="323" customFormat="1" ht="12" customHeight="1">
      <c r="B9277" s="324"/>
      <c r="C9277" s="325"/>
      <c r="D9277" s="326"/>
      <c r="E9277" s="326"/>
      <c r="F9277" s="326"/>
      <c r="G9277" s="326"/>
      <c r="H9277" s="326"/>
      <c r="P9277" s="318"/>
      <c r="Q9277" s="318"/>
      <c r="R9277" s="318"/>
      <c r="S9277" s="318"/>
      <c r="T9277" s="318"/>
      <c r="U9277" s="318"/>
      <c r="V9277" s="318"/>
      <c r="W9277" s="318"/>
      <c r="X9277" s="318"/>
      <c r="Y9277" s="318"/>
      <c r="Z9277" s="318"/>
      <c r="AA9277" s="318"/>
      <c r="AB9277" s="318"/>
      <c r="AC9277" s="318"/>
      <c r="AD9277" s="318"/>
    </row>
    <row r="9278" spans="2:30" s="323" customFormat="1" ht="12" customHeight="1">
      <c r="B9278" s="324"/>
      <c r="C9278" s="325"/>
      <c r="D9278" s="326"/>
      <c r="E9278" s="326"/>
      <c r="F9278" s="326"/>
      <c r="G9278" s="326"/>
      <c r="H9278" s="326"/>
      <c r="P9278" s="318"/>
      <c r="Q9278" s="318"/>
      <c r="R9278" s="318"/>
      <c r="S9278" s="318"/>
      <c r="T9278" s="318"/>
      <c r="U9278" s="318"/>
      <c r="V9278" s="318"/>
      <c r="W9278" s="318"/>
      <c r="X9278" s="318"/>
      <c r="Y9278" s="318"/>
      <c r="Z9278" s="318"/>
      <c r="AA9278" s="318"/>
      <c r="AB9278" s="318"/>
      <c r="AC9278" s="318"/>
      <c r="AD9278" s="318"/>
    </row>
    <row r="9279" spans="2:30" s="323" customFormat="1" ht="12" customHeight="1">
      <c r="B9279" s="324"/>
      <c r="C9279" s="325"/>
      <c r="D9279" s="326"/>
      <c r="E9279" s="326"/>
      <c r="F9279" s="326"/>
      <c r="G9279" s="326"/>
      <c r="H9279" s="326"/>
      <c r="P9279" s="318"/>
      <c r="Q9279" s="318"/>
      <c r="R9279" s="318"/>
      <c r="S9279" s="318"/>
      <c r="T9279" s="318"/>
      <c r="U9279" s="318"/>
      <c r="V9279" s="318"/>
      <c r="W9279" s="318"/>
      <c r="X9279" s="318"/>
      <c r="Y9279" s="318"/>
      <c r="Z9279" s="318"/>
      <c r="AA9279" s="318"/>
      <c r="AB9279" s="318"/>
      <c r="AC9279" s="318"/>
      <c r="AD9279" s="318"/>
    </row>
    <row r="9280" spans="2:30" s="323" customFormat="1" ht="12" customHeight="1">
      <c r="B9280" s="324"/>
      <c r="C9280" s="325"/>
      <c r="D9280" s="326"/>
      <c r="E9280" s="326"/>
      <c r="F9280" s="326"/>
      <c r="G9280" s="326"/>
      <c r="H9280" s="326"/>
      <c r="P9280" s="318"/>
      <c r="Q9280" s="318"/>
      <c r="R9280" s="318"/>
      <c r="S9280" s="318"/>
      <c r="T9280" s="318"/>
      <c r="U9280" s="318"/>
      <c r="V9280" s="318"/>
      <c r="W9280" s="318"/>
      <c r="X9280" s="318"/>
      <c r="Y9280" s="318"/>
      <c r="Z9280" s="318"/>
      <c r="AA9280" s="318"/>
      <c r="AB9280" s="318"/>
      <c r="AC9280" s="318"/>
      <c r="AD9280" s="318"/>
    </row>
    <row r="9281" spans="2:30" s="323" customFormat="1" ht="12" customHeight="1">
      <c r="B9281" s="324"/>
      <c r="C9281" s="325"/>
      <c r="D9281" s="326"/>
      <c r="E9281" s="326"/>
      <c r="F9281" s="326"/>
      <c r="G9281" s="326"/>
      <c r="H9281" s="326"/>
      <c r="P9281" s="318"/>
      <c r="Q9281" s="318"/>
      <c r="R9281" s="318"/>
      <c r="S9281" s="318"/>
      <c r="T9281" s="318"/>
      <c r="U9281" s="318"/>
      <c r="V9281" s="318"/>
      <c r="W9281" s="318"/>
      <c r="X9281" s="318"/>
      <c r="Y9281" s="318"/>
      <c r="Z9281" s="318"/>
      <c r="AA9281" s="318"/>
      <c r="AB9281" s="318"/>
      <c r="AC9281" s="318"/>
      <c r="AD9281" s="318"/>
    </row>
    <row r="9282" spans="2:30" s="323" customFormat="1" ht="12" customHeight="1">
      <c r="B9282" s="324"/>
      <c r="C9282" s="325"/>
      <c r="D9282" s="326"/>
      <c r="E9282" s="326"/>
      <c r="F9282" s="326"/>
      <c r="G9282" s="326"/>
      <c r="H9282" s="326"/>
      <c r="P9282" s="318"/>
      <c r="Q9282" s="318"/>
      <c r="R9282" s="318"/>
      <c r="S9282" s="318"/>
      <c r="T9282" s="318"/>
      <c r="U9282" s="318"/>
      <c r="V9282" s="318"/>
      <c r="W9282" s="318"/>
      <c r="X9282" s="318"/>
      <c r="Y9282" s="318"/>
      <c r="Z9282" s="318"/>
      <c r="AA9282" s="318"/>
      <c r="AB9282" s="318"/>
      <c r="AC9282" s="318"/>
      <c r="AD9282" s="318"/>
    </row>
    <row r="9283" spans="2:30" s="323" customFormat="1" ht="12" customHeight="1">
      <c r="B9283" s="324"/>
      <c r="C9283" s="325"/>
      <c r="D9283" s="326"/>
      <c r="E9283" s="326"/>
      <c r="F9283" s="326"/>
      <c r="G9283" s="326"/>
      <c r="H9283" s="326"/>
      <c r="P9283" s="318"/>
      <c r="Q9283" s="318"/>
      <c r="R9283" s="318"/>
      <c r="S9283" s="318"/>
      <c r="T9283" s="318"/>
      <c r="U9283" s="318"/>
      <c r="V9283" s="318"/>
      <c r="W9283" s="318"/>
      <c r="X9283" s="318"/>
      <c r="Y9283" s="318"/>
      <c r="Z9283" s="318"/>
      <c r="AA9283" s="318"/>
      <c r="AB9283" s="318"/>
      <c r="AC9283" s="318"/>
      <c r="AD9283" s="318"/>
    </row>
    <row r="9284" spans="2:30" s="323" customFormat="1" ht="12" customHeight="1">
      <c r="B9284" s="324"/>
      <c r="C9284" s="325"/>
      <c r="D9284" s="326"/>
      <c r="E9284" s="326"/>
      <c r="F9284" s="326"/>
      <c r="G9284" s="326"/>
      <c r="H9284" s="326"/>
      <c r="P9284" s="318"/>
      <c r="Q9284" s="318"/>
      <c r="R9284" s="318"/>
      <c r="S9284" s="318"/>
      <c r="T9284" s="318"/>
      <c r="U9284" s="318"/>
      <c r="V9284" s="318"/>
      <c r="W9284" s="318"/>
      <c r="X9284" s="318"/>
      <c r="Y9284" s="318"/>
      <c r="Z9284" s="318"/>
      <c r="AA9284" s="318"/>
      <c r="AB9284" s="318"/>
      <c r="AC9284" s="318"/>
      <c r="AD9284" s="318"/>
    </row>
    <row r="9285" spans="2:30" s="323" customFormat="1" ht="12" customHeight="1">
      <c r="B9285" s="324"/>
      <c r="C9285" s="325"/>
      <c r="D9285" s="326"/>
      <c r="E9285" s="326"/>
      <c r="F9285" s="326"/>
      <c r="G9285" s="326"/>
      <c r="H9285" s="326"/>
      <c r="P9285" s="318"/>
      <c r="Q9285" s="318"/>
      <c r="R9285" s="318"/>
      <c r="S9285" s="318"/>
      <c r="T9285" s="318"/>
      <c r="U9285" s="318"/>
      <c r="V9285" s="318"/>
      <c r="W9285" s="318"/>
      <c r="X9285" s="318"/>
      <c r="Y9285" s="318"/>
      <c r="Z9285" s="318"/>
      <c r="AA9285" s="318"/>
      <c r="AB9285" s="318"/>
      <c r="AC9285" s="318"/>
      <c r="AD9285" s="318"/>
    </row>
    <row r="9286" spans="2:30" s="323" customFormat="1" ht="12" customHeight="1">
      <c r="B9286" s="324"/>
      <c r="C9286" s="325"/>
      <c r="D9286" s="326"/>
      <c r="E9286" s="326"/>
      <c r="F9286" s="326"/>
      <c r="G9286" s="326"/>
      <c r="H9286" s="326"/>
      <c r="P9286" s="318"/>
      <c r="Q9286" s="318"/>
      <c r="R9286" s="318"/>
      <c r="S9286" s="318"/>
      <c r="T9286" s="318"/>
      <c r="U9286" s="318"/>
      <c r="V9286" s="318"/>
      <c r="W9286" s="318"/>
      <c r="X9286" s="318"/>
      <c r="Y9286" s="318"/>
      <c r="Z9286" s="318"/>
      <c r="AA9286" s="318"/>
      <c r="AB9286" s="318"/>
      <c r="AC9286" s="318"/>
      <c r="AD9286" s="318"/>
    </row>
    <row r="9287" spans="2:30" s="323" customFormat="1" ht="12" customHeight="1">
      <c r="B9287" s="324"/>
      <c r="C9287" s="325"/>
      <c r="D9287" s="326"/>
      <c r="E9287" s="326"/>
      <c r="F9287" s="326"/>
      <c r="G9287" s="326"/>
      <c r="H9287" s="326"/>
      <c r="P9287" s="318"/>
      <c r="Q9287" s="318"/>
      <c r="R9287" s="318"/>
      <c r="S9287" s="318"/>
      <c r="T9287" s="318"/>
      <c r="U9287" s="318"/>
      <c r="V9287" s="318"/>
      <c r="W9287" s="318"/>
      <c r="X9287" s="318"/>
      <c r="Y9287" s="318"/>
      <c r="Z9287" s="318"/>
      <c r="AA9287" s="318"/>
      <c r="AB9287" s="318"/>
      <c r="AC9287" s="318"/>
      <c r="AD9287" s="318"/>
    </row>
    <row r="9288" spans="2:30" s="323" customFormat="1" ht="12" customHeight="1">
      <c r="B9288" s="324"/>
      <c r="C9288" s="325"/>
      <c r="D9288" s="326"/>
      <c r="E9288" s="326"/>
      <c r="F9288" s="326"/>
      <c r="G9288" s="326"/>
      <c r="H9288" s="326"/>
      <c r="P9288" s="318"/>
      <c r="Q9288" s="318"/>
      <c r="R9288" s="318"/>
      <c r="S9288" s="318"/>
      <c r="T9288" s="318"/>
      <c r="U9288" s="318"/>
      <c r="V9288" s="318"/>
      <c r="W9288" s="318"/>
      <c r="X9288" s="318"/>
      <c r="Y9288" s="318"/>
      <c r="Z9288" s="318"/>
      <c r="AA9288" s="318"/>
      <c r="AB9288" s="318"/>
      <c r="AC9288" s="318"/>
      <c r="AD9288" s="318"/>
    </row>
    <row r="9289" spans="2:30" s="323" customFormat="1" ht="12" customHeight="1">
      <c r="B9289" s="324"/>
      <c r="C9289" s="325"/>
      <c r="D9289" s="326"/>
      <c r="E9289" s="326"/>
      <c r="F9289" s="326"/>
      <c r="G9289" s="326"/>
      <c r="H9289" s="326"/>
      <c r="P9289" s="318"/>
      <c r="Q9289" s="318"/>
      <c r="R9289" s="318"/>
      <c r="S9289" s="318"/>
      <c r="T9289" s="318"/>
      <c r="U9289" s="318"/>
      <c r="V9289" s="318"/>
      <c r="W9289" s="318"/>
      <c r="X9289" s="318"/>
      <c r="Y9289" s="318"/>
      <c r="Z9289" s="318"/>
      <c r="AA9289" s="318"/>
      <c r="AB9289" s="318"/>
      <c r="AC9289" s="318"/>
      <c r="AD9289" s="318"/>
    </row>
    <row r="9290" spans="2:30" s="323" customFormat="1" ht="12" customHeight="1">
      <c r="B9290" s="324"/>
      <c r="C9290" s="325"/>
      <c r="D9290" s="326"/>
      <c r="E9290" s="326"/>
      <c r="F9290" s="326"/>
      <c r="G9290" s="326"/>
      <c r="H9290" s="326"/>
      <c r="P9290" s="318"/>
      <c r="Q9290" s="318"/>
      <c r="R9290" s="318"/>
      <c r="S9290" s="318"/>
      <c r="T9290" s="318"/>
      <c r="U9290" s="318"/>
      <c r="V9290" s="318"/>
      <c r="W9290" s="318"/>
      <c r="X9290" s="318"/>
      <c r="Y9290" s="318"/>
      <c r="Z9290" s="318"/>
      <c r="AA9290" s="318"/>
      <c r="AB9290" s="318"/>
      <c r="AC9290" s="318"/>
      <c r="AD9290" s="318"/>
    </row>
    <row r="9291" spans="2:30" s="323" customFormat="1" ht="12" customHeight="1">
      <c r="B9291" s="324"/>
      <c r="C9291" s="325"/>
      <c r="D9291" s="326"/>
      <c r="E9291" s="326"/>
      <c r="F9291" s="326"/>
      <c r="G9291" s="326"/>
      <c r="H9291" s="326"/>
      <c r="P9291" s="318"/>
      <c r="Q9291" s="318"/>
      <c r="R9291" s="318"/>
      <c r="S9291" s="318"/>
      <c r="T9291" s="318"/>
      <c r="U9291" s="318"/>
      <c r="V9291" s="318"/>
      <c r="W9291" s="318"/>
      <c r="X9291" s="318"/>
      <c r="Y9291" s="318"/>
      <c r="Z9291" s="318"/>
      <c r="AA9291" s="318"/>
      <c r="AB9291" s="318"/>
      <c r="AC9291" s="318"/>
      <c r="AD9291" s="318"/>
    </row>
    <row r="9292" spans="2:30" s="323" customFormat="1" ht="12" customHeight="1">
      <c r="B9292" s="324"/>
      <c r="C9292" s="325"/>
      <c r="D9292" s="326"/>
      <c r="E9292" s="326"/>
      <c r="F9292" s="326"/>
      <c r="G9292" s="326"/>
      <c r="H9292" s="326"/>
      <c r="P9292" s="318"/>
      <c r="Q9292" s="318"/>
      <c r="R9292" s="318"/>
      <c r="S9292" s="318"/>
      <c r="T9292" s="318"/>
      <c r="U9292" s="318"/>
      <c r="V9292" s="318"/>
      <c r="W9292" s="318"/>
      <c r="X9292" s="318"/>
      <c r="Y9292" s="318"/>
      <c r="Z9292" s="318"/>
      <c r="AA9292" s="318"/>
      <c r="AB9292" s="318"/>
      <c r="AC9292" s="318"/>
      <c r="AD9292" s="318"/>
    </row>
    <row r="9293" spans="2:30" s="323" customFormat="1" ht="12" customHeight="1">
      <c r="B9293" s="324"/>
      <c r="C9293" s="325"/>
      <c r="D9293" s="326"/>
      <c r="E9293" s="326"/>
      <c r="F9293" s="326"/>
      <c r="G9293" s="326"/>
      <c r="H9293" s="326"/>
      <c r="P9293" s="318"/>
      <c r="Q9293" s="318"/>
      <c r="R9293" s="318"/>
      <c r="S9293" s="318"/>
      <c r="T9293" s="318"/>
      <c r="U9293" s="318"/>
      <c r="V9293" s="318"/>
      <c r="W9293" s="318"/>
      <c r="X9293" s="318"/>
      <c r="Y9293" s="318"/>
      <c r="Z9293" s="318"/>
      <c r="AA9293" s="318"/>
      <c r="AB9293" s="318"/>
      <c r="AC9293" s="318"/>
      <c r="AD9293" s="318"/>
    </row>
    <row r="9294" spans="2:30" s="323" customFormat="1" ht="12" customHeight="1">
      <c r="B9294" s="324"/>
      <c r="C9294" s="325"/>
      <c r="D9294" s="326"/>
      <c r="E9294" s="326"/>
      <c r="F9294" s="326"/>
      <c r="G9294" s="326"/>
      <c r="H9294" s="326"/>
      <c r="P9294" s="318"/>
      <c r="Q9294" s="318"/>
      <c r="R9294" s="318"/>
      <c r="S9294" s="318"/>
      <c r="T9294" s="318"/>
      <c r="U9294" s="318"/>
      <c r="V9294" s="318"/>
      <c r="W9294" s="318"/>
      <c r="X9294" s="318"/>
      <c r="Y9294" s="318"/>
      <c r="Z9294" s="318"/>
      <c r="AA9294" s="318"/>
      <c r="AB9294" s="318"/>
      <c r="AC9294" s="318"/>
      <c r="AD9294" s="318"/>
    </row>
    <row r="9295" spans="2:30" s="323" customFormat="1" ht="12" customHeight="1">
      <c r="B9295" s="324"/>
      <c r="C9295" s="325"/>
      <c r="D9295" s="326"/>
      <c r="E9295" s="326"/>
      <c r="F9295" s="326"/>
      <c r="G9295" s="326"/>
      <c r="H9295" s="326"/>
      <c r="P9295" s="318"/>
      <c r="Q9295" s="318"/>
      <c r="R9295" s="318"/>
      <c r="S9295" s="318"/>
      <c r="T9295" s="318"/>
      <c r="U9295" s="318"/>
      <c r="V9295" s="318"/>
      <c r="W9295" s="318"/>
      <c r="X9295" s="318"/>
      <c r="Y9295" s="318"/>
      <c r="Z9295" s="318"/>
      <c r="AA9295" s="318"/>
      <c r="AB9295" s="318"/>
      <c r="AC9295" s="318"/>
      <c r="AD9295" s="318"/>
    </row>
    <row r="9296" spans="2:30" s="323" customFormat="1" ht="12" customHeight="1">
      <c r="B9296" s="324"/>
      <c r="C9296" s="325"/>
      <c r="D9296" s="326"/>
      <c r="E9296" s="326"/>
      <c r="F9296" s="326"/>
      <c r="G9296" s="326"/>
      <c r="H9296" s="326"/>
      <c r="P9296" s="318"/>
      <c r="Q9296" s="318"/>
      <c r="R9296" s="318"/>
      <c r="S9296" s="318"/>
      <c r="T9296" s="318"/>
      <c r="U9296" s="318"/>
      <c r="V9296" s="318"/>
      <c r="W9296" s="318"/>
      <c r="X9296" s="318"/>
      <c r="Y9296" s="318"/>
      <c r="Z9296" s="318"/>
      <c r="AA9296" s="318"/>
      <c r="AB9296" s="318"/>
      <c r="AC9296" s="318"/>
      <c r="AD9296" s="318"/>
    </row>
    <row r="9297" spans="2:30" s="323" customFormat="1" ht="12" customHeight="1">
      <c r="B9297" s="324"/>
      <c r="C9297" s="325"/>
      <c r="D9297" s="326"/>
      <c r="E9297" s="326"/>
      <c r="F9297" s="326"/>
      <c r="G9297" s="326"/>
      <c r="H9297" s="326"/>
      <c r="P9297" s="318"/>
      <c r="Q9297" s="318"/>
      <c r="R9297" s="318"/>
      <c r="S9297" s="318"/>
      <c r="T9297" s="318"/>
      <c r="U9297" s="318"/>
      <c r="V9297" s="318"/>
      <c r="W9297" s="318"/>
      <c r="X9297" s="318"/>
      <c r="Y9297" s="318"/>
      <c r="Z9297" s="318"/>
      <c r="AA9297" s="318"/>
      <c r="AB9297" s="318"/>
      <c r="AC9297" s="318"/>
      <c r="AD9297" s="318"/>
    </row>
    <row r="9298" spans="2:30" s="323" customFormat="1" ht="12" customHeight="1">
      <c r="B9298" s="324"/>
      <c r="C9298" s="325"/>
      <c r="D9298" s="326"/>
      <c r="E9298" s="326"/>
      <c r="F9298" s="326"/>
      <c r="G9298" s="326"/>
      <c r="H9298" s="326"/>
      <c r="P9298" s="318"/>
      <c r="Q9298" s="318"/>
      <c r="R9298" s="318"/>
      <c r="S9298" s="318"/>
      <c r="T9298" s="318"/>
      <c r="U9298" s="318"/>
      <c r="V9298" s="318"/>
      <c r="W9298" s="318"/>
      <c r="X9298" s="318"/>
      <c r="Y9298" s="318"/>
      <c r="Z9298" s="318"/>
      <c r="AA9298" s="318"/>
      <c r="AB9298" s="318"/>
      <c r="AC9298" s="318"/>
      <c r="AD9298" s="318"/>
    </row>
    <row r="9299" spans="2:30" s="323" customFormat="1" ht="12" customHeight="1">
      <c r="B9299" s="324"/>
      <c r="C9299" s="325"/>
      <c r="D9299" s="326"/>
      <c r="E9299" s="326"/>
      <c r="F9299" s="326"/>
      <c r="G9299" s="326"/>
      <c r="H9299" s="326"/>
      <c r="P9299" s="318"/>
      <c r="Q9299" s="318"/>
      <c r="R9299" s="318"/>
      <c r="S9299" s="318"/>
      <c r="T9299" s="318"/>
      <c r="U9299" s="318"/>
      <c r="V9299" s="318"/>
      <c r="W9299" s="318"/>
      <c r="X9299" s="318"/>
      <c r="Y9299" s="318"/>
      <c r="Z9299" s="318"/>
      <c r="AA9299" s="318"/>
      <c r="AB9299" s="318"/>
      <c r="AC9299" s="318"/>
      <c r="AD9299" s="318"/>
    </row>
    <row r="9300" spans="2:30" s="323" customFormat="1" ht="12" customHeight="1">
      <c r="B9300" s="324"/>
      <c r="C9300" s="325"/>
      <c r="D9300" s="326"/>
      <c r="E9300" s="326"/>
      <c r="F9300" s="326"/>
      <c r="G9300" s="326"/>
      <c r="H9300" s="326"/>
      <c r="P9300" s="318"/>
      <c r="Q9300" s="318"/>
      <c r="R9300" s="318"/>
      <c r="S9300" s="318"/>
      <c r="T9300" s="318"/>
      <c r="U9300" s="318"/>
      <c r="V9300" s="318"/>
      <c r="W9300" s="318"/>
      <c r="X9300" s="318"/>
      <c r="Y9300" s="318"/>
      <c r="Z9300" s="318"/>
      <c r="AA9300" s="318"/>
      <c r="AB9300" s="318"/>
      <c r="AC9300" s="318"/>
      <c r="AD9300" s="318"/>
    </row>
    <row r="9301" spans="2:30" s="323" customFormat="1" ht="12" customHeight="1">
      <c r="B9301" s="324"/>
      <c r="C9301" s="325"/>
      <c r="D9301" s="326"/>
      <c r="E9301" s="326"/>
      <c r="F9301" s="326"/>
      <c r="G9301" s="326"/>
      <c r="H9301" s="326"/>
      <c r="P9301" s="318"/>
      <c r="Q9301" s="318"/>
      <c r="R9301" s="318"/>
      <c r="S9301" s="318"/>
      <c r="T9301" s="318"/>
      <c r="U9301" s="318"/>
      <c r="V9301" s="318"/>
      <c r="W9301" s="318"/>
      <c r="X9301" s="318"/>
      <c r="Y9301" s="318"/>
      <c r="Z9301" s="318"/>
      <c r="AA9301" s="318"/>
      <c r="AB9301" s="318"/>
      <c r="AC9301" s="318"/>
      <c r="AD9301" s="318"/>
    </row>
    <row r="9302" spans="2:30" s="323" customFormat="1" ht="12" customHeight="1">
      <c r="B9302" s="324"/>
      <c r="C9302" s="325"/>
      <c r="D9302" s="326"/>
      <c r="E9302" s="326"/>
      <c r="F9302" s="326"/>
      <c r="G9302" s="326"/>
      <c r="H9302" s="326"/>
      <c r="P9302" s="318"/>
      <c r="Q9302" s="318"/>
      <c r="R9302" s="318"/>
      <c r="S9302" s="318"/>
      <c r="T9302" s="318"/>
      <c r="U9302" s="318"/>
      <c r="V9302" s="318"/>
      <c r="W9302" s="318"/>
      <c r="X9302" s="318"/>
      <c r="Y9302" s="318"/>
      <c r="Z9302" s="318"/>
      <c r="AA9302" s="318"/>
      <c r="AB9302" s="318"/>
      <c r="AC9302" s="318"/>
      <c r="AD9302" s="318"/>
    </row>
    <row r="9303" spans="2:30" s="323" customFormat="1" ht="12" customHeight="1">
      <c r="B9303" s="324"/>
      <c r="C9303" s="325"/>
      <c r="D9303" s="326"/>
      <c r="E9303" s="326"/>
      <c r="F9303" s="326"/>
      <c r="G9303" s="326"/>
      <c r="H9303" s="326"/>
      <c r="P9303" s="318"/>
      <c r="Q9303" s="318"/>
      <c r="R9303" s="318"/>
      <c r="S9303" s="318"/>
      <c r="T9303" s="318"/>
      <c r="U9303" s="318"/>
      <c r="V9303" s="318"/>
      <c r="W9303" s="318"/>
      <c r="X9303" s="318"/>
      <c r="Y9303" s="318"/>
      <c r="Z9303" s="318"/>
      <c r="AA9303" s="318"/>
      <c r="AB9303" s="318"/>
      <c r="AC9303" s="318"/>
      <c r="AD9303" s="318"/>
    </row>
    <row r="9304" spans="2:30" s="323" customFormat="1" ht="12" customHeight="1">
      <c r="B9304" s="324"/>
      <c r="C9304" s="325"/>
      <c r="D9304" s="326"/>
      <c r="E9304" s="326"/>
      <c r="F9304" s="326"/>
      <c r="G9304" s="326"/>
      <c r="H9304" s="326"/>
      <c r="P9304" s="318"/>
      <c r="Q9304" s="318"/>
      <c r="R9304" s="318"/>
      <c r="S9304" s="318"/>
      <c r="T9304" s="318"/>
      <c r="U9304" s="318"/>
      <c r="V9304" s="318"/>
      <c r="W9304" s="318"/>
      <c r="X9304" s="318"/>
      <c r="Y9304" s="318"/>
      <c r="Z9304" s="318"/>
      <c r="AA9304" s="318"/>
      <c r="AB9304" s="318"/>
      <c r="AC9304" s="318"/>
      <c r="AD9304" s="318"/>
    </row>
    <row r="9305" spans="2:30" s="323" customFormat="1" ht="12" customHeight="1">
      <c r="B9305" s="324"/>
      <c r="C9305" s="325"/>
      <c r="D9305" s="326"/>
      <c r="E9305" s="326"/>
      <c r="F9305" s="326"/>
      <c r="G9305" s="326"/>
      <c r="H9305" s="326"/>
      <c r="P9305" s="318"/>
      <c r="Q9305" s="318"/>
      <c r="R9305" s="318"/>
      <c r="S9305" s="318"/>
      <c r="T9305" s="318"/>
      <c r="U9305" s="318"/>
      <c r="V9305" s="318"/>
      <c r="W9305" s="318"/>
      <c r="X9305" s="318"/>
      <c r="Y9305" s="318"/>
      <c r="Z9305" s="318"/>
      <c r="AA9305" s="318"/>
      <c r="AB9305" s="318"/>
      <c r="AC9305" s="318"/>
      <c r="AD9305" s="318"/>
    </row>
    <row r="9306" spans="2:30" s="323" customFormat="1" ht="12" customHeight="1">
      <c r="B9306" s="324"/>
      <c r="C9306" s="325"/>
      <c r="D9306" s="326"/>
      <c r="E9306" s="326"/>
      <c r="F9306" s="326"/>
      <c r="G9306" s="326"/>
      <c r="H9306" s="326"/>
      <c r="P9306" s="318"/>
      <c r="Q9306" s="318"/>
      <c r="R9306" s="318"/>
      <c r="S9306" s="318"/>
      <c r="T9306" s="318"/>
      <c r="U9306" s="318"/>
      <c r="V9306" s="318"/>
      <c r="W9306" s="318"/>
      <c r="X9306" s="318"/>
      <c r="Y9306" s="318"/>
      <c r="Z9306" s="318"/>
      <c r="AA9306" s="318"/>
      <c r="AB9306" s="318"/>
      <c r="AC9306" s="318"/>
      <c r="AD9306" s="318"/>
    </row>
    <row r="9307" spans="2:30" s="323" customFormat="1" ht="12" customHeight="1">
      <c r="B9307" s="324"/>
      <c r="C9307" s="325"/>
      <c r="D9307" s="326"/>
      <c r="E9307" s="326"/>
      <c r="F9307" s="326"/>
      <c r="G9307" s="326"/>
      <c r="H9307" s="326"/>
      <c r="P9307" s="318"/>
      <c r="Q9307" s="318"/>
      <c r="R9307" s="318"/>
      <c r="S9307" s="318"/>
      <c r="T9307" s="318"/>
      <c r="U9307" s="318"/>
      <c r="V9307" s="318"/>
      <c r="W9307" s="318"/>
      <c r="X9307" s="318"/>
      <c r="Y9307" s="318"/>
      <c r="Z9307" s="318"/>
      <c r="AA9307" s="318"/>
      <c r="AB9307" s="318"/>
      <c r="AC9307" s="318"/>
      <c r="AD9307" s="318"/>
    </row>
    <row r="9308" spans="2:30" s="323" customFormat="1" ht="12" customHeight="1">
      <c r="B9308" s="324"/>
      <c r="C9308" s="325"/>
      <c r="D9308" s="326"/>
      <c r="E9308" s="326"/>
      <c r="F9308" s="326"/>
      <c r="G9308" s="326"/>
      <c r="H9308" s="326"/>
      <c r="P9308" s="318"/>
      <c r="Q9308" s="318"/>
      <c r="R9308" s="318"/>
      <c r="S9308" s="318"/>
      <c r="T9308" s="318"/>
      <c r="U9308" s="318"/>
      <c r="V9308" s="318"/>
      <c r="W9308" s="318"/>
      <c r="X9308" s="318"/>
      <c r="Y9308" s="318"/>
      <c r="Z9308" s="318"/>
      <c r="AA9308" s="318"/>
      <c r="AB9308" s="318"/>
      <c r="AC9308" s="318"/>
      <c r="AD9308" s="318"/>
    </row>
    <row r="9309" spans="2:30" s="323" customFormat="1" ht="12" customHeight="1">
      <c r="B9309" s="324"/>
      <c r="C9309" s="325"/>
      <c r="D9309" s="326"/>
      <c r="E9309" s="326"/>
      <c r="F9309" s="326"/>
      <c r="G9309" s="326"/>
      <c r="H9309" s="326"/>
      <c r="P9309" s="318"/>
      <c r="Q9309" s="318"/>
      <c r="R9309" s="318"/>
      <c r="S9309" s="318"/>
      <c r="T9309" s="318"/>
      <c r="U9309" s="318"/>
      <c r="V9309" s="318"/>
      <c r="W9309" s="318"/>
      <c r="X9309" s="318"/>
      <c r="Y9309" s="318"/>
      <c r="Z9309" s="318"/>
      <c r="AA9309" s="318"/>
      <c r="AB9309" s="318"/>
      <c r="AC9309" s="318"/>
      <c r="AD9309" s="318"/>
    </row>
    <row r="9310" spans="2:30" s="323" customFormat="1" ht="12" customHeight="1">
      <c r="B9310" s="324"/>
      <c r="C9310" s="325"/>
      <c r="D9310" s="326"/>
      <c r="E9310" s="326"/>
      <c r="F9310" s="326"/>
      <c r="G9310" s="326"/>
      <c r="H9310" s="326"/>
      <c r="P9310" s="318"/>
      <c r="Q9310" s="318"/>
      <c r="R9310" s="318"/>
      <c r="S9310" s="318"/>
      <c r="T9310" s="318"/>
      <c r="U9310" s="318"/>
      <c r="V9310" s="318"/>
      <c r="W9310" s="318"/>
      <c r="X9310" s="318"/>
      <c r="Y9310" s="318"/>
      <c r="Z9310" s="318"/>
      <c r="AA9310" s="318"/>
      <c r="AB9310" s="318"/>
      <c r="AC9310" s="318"/>
      <c r="AD9310" s="318"/>
    </row>
    <row r="9311" spans="2:30" s="323" customFormat="1" ht="12" customHeight="1">
      <c r="B9311" s="324"/>
      <c r="C9311" s="325"/>
      <c r="D9311" s="326"/>
      <c r="E9311" s="326"/>
      <c r="F9311" s="326"/>
      <c r="G9311" s="326"/>
      <c r="H9311" s="326"/>
      <c r="P9311" s="318"/>
      <c r="Q9311" s="318"/>
      <c r="R9311" s="318"/>
      <c r="S9311" s="318"/>
      <c r="T9311" s="318"/>
      <c r="U9311" s="318"/>
      <c r="V9311" s="318"/>
      <c r="W9311" s="318"/>
      <c r="X9311" s="318"/>
      <c r="Y9311" s="318"/>
      <c r="Z9311" s="318"/>
      <c r="AA9311" s="318"/>
      <c r="AB9311" s="318"/>
      <c r="AC9311" s="318"/>
      <c r="AD9311" s="318"/>
    </row>
    <row r="9312" spans="2:30" s="323" customFormat="1" ht="12" customHeight="1">
      <c r="B9312" s="324"/>
      <c r="C9312" s="325"/>
      <c r="D9312" s="326"/>
      <c r="E9312" s="326"/>
      <c r="F9312" s="326"/>
      <c r="G9312" s="326"/>
      <c r="H9312" s="326"/>
      <c r="P9312" s="318"/>
      <c r="Q9312" s="318"/>
      <c r="R9312" s="318"/>
      <c r="S9312" s="318"/>
      <c r="T9312" s="318"/>
      <c r="U9312" s="318"/>
      <c r="V9312" s="318"/>
      <c r="W9312" s="318"/>
      <c r="X9312" s="318"/>
      <c r="Y9312" s="318"/>
      <c r="Z9312" s="318"/>
      <c r="AA9312" s="318"/>
      <c r="AB9312" s="318"/>
      <c r="AC9312" s="318"/>
      <c r="AD9312" s="318"/>
    </row>
    <row r="9313" spans="2:30" s="323" customFormat="1" ht="12" customHeight="1">
      <c r="B9313" s="324"/>
      <c r="C9313" s="325"/>
      <c r="D9313" s="326"/>
      <c r="E9313" s="326"/>
      <c r="F9313" s="326"/>
      <c r="G9313" s="326"/>
      <c r="H9313" s="326"/>
      <c r="P9313" s="318"/>
      <c r="Q9313" s="318"/>
      <c r="R9313" s="318"/>
      <c r="S9313" s="318"/>
      <c r="T9313" s="318"/>
      <c r="U9313" s="318"/>
      <c r="V9313" s="318"/>
      <c r="W9313" s="318"/>
      <c r="X9313" s="318"/>
      <c r="Y9313" s="318"/>
      <c r="Z9313" s="318"/>
      <c r="AA9313" s="318"/>
      <c r="AB9313" s="318"/>
      <c r="AC9313" s="318"/>
      <c r="AD9313" s="318"/>
    </row>
    <row r="9314" spans="2:30" s="323" customFormat="1" ht="12" customHeight="1">
      <c r="B9314" s="324"/>
      <c r="C9314" s="325"/>
      <c r="D9314" s="326"/>
      <c r="E9314" s="326"/>
      <c r="F9314" s="326"/>
      <c r="G9314" s="326"/>
      <c r="H9314" s="326"/>
      <c r="P9314" s="318"/>
      <c r="Q9314" s="318"/>
      <c r="R9314" s="318"/>
      <c r="S9314" s="318"/>
      <c r="T9314" s="318"/>
      <c r="U9314" s="318"/>
      <c r="V9314" s="318"/>
      <c r="W9314" s="318"/>
      <c r="X9314" s="318"/>
      <c r="Y9314" s="318"/>
      <c r="Z9314" s="318"/>
      <c r="AA9314" s="318"/>
      <c r="AB9314" s="318"/>
      <c r="AC9314" s="318"/>
      <c r="AD9314" s="318"/>
    </row>
    <row r="9315" spans="2:30" s="323" customFormat="1" ht="12" customHeight="1">
      <c r="B9315" s="324"/>
      <c r="C9315" s="325"/>
      <c r="D9315" s="326"/>
      <c r="E9315" s="326"/>
      <c r="F9315" s="326"/>
      <c r="G9315" s="326"/>
      <c r="H9315" s="326"/>
      <c r="P9315" s="318"/>
      <c r="Q9315" s="318"/>
      <c r="R9315" s="318"/>
      <c r="S9315" s="318"/>
      <c r="T9315" s="318"/>
      <c r="U9315" s="318"/>
      <c r="V9315" s="318"/>
      <c r="W9315" s="318"/>
      <c r="X9315" s="318"/>
      <c r="Y9315" s="318"/>
      <c r="Z9315" s="318"/>
      <c r="AA9315" s="318"/>
      <c r="AB9315" s="318"/>
      <c r="AC9315" s="318"/>
      <c r="AD9315" s="318"/>
    </row>
    <row r="9316" spans="2:30" s="323" customFormat="1" ht="12" customHeight="1">
      <c r="B9316" s="324"/>
      <c r="C9316" s="325"/>
      <c r="D9316" s="326"/>
      <c r="E9316" s="326"/>
      <c r="F9316" s="326"/>
      <c r="G9316" s="326"/>
      <c r="H9316" s="326"/>
      <c r="P9316" s="318"/>
      <c r="Q9316" s="318"/>
      <c r="R9316" s="318"/>
      <c r="S9316" s="318"/>
      <c r="T9316" s="318"/>
      <c r="U9316" s="318"/>
      <c r="V9316" s="318"/>
      <c r="W9316" s="318"/>
      <c r="X9316" s="318"/>
      <c r="Y9316" s="318"/>
      <c r="Z9316" s="318"/>
      <c r="AA9316" s="318"/>
      <c r="AB9316" s="318"/>
      <c r="AC9316" s="318"/>
      <c r="AD9316" s="318"/>
    </row>
    <row r="9317" spans="2:30" s="323" customFormat="1" ht="12" customHeight="1">
      <c r="B9317" s="324"/>
      <c r="C9317" s="325"/>
      <c r="D9317" s="326"/>
      <c r="E9317" s="326"/>
      <c r="F9317" s="326"/>
      <c r="G9317" s="326"/>
      <c r="H9317" s="326"/>
      <c r="P9317" s="318"/>
      <c r="Q9317" s="318"/>
      <c r="R9317" s="318"/>
      <c r="S9317" s="318"/>
      <c r="T9317" s="318"/>
      <c r="U9317" s="318"/>
      <c r="V9317" s="318"/>
      <c r="W9317" s="318"/>
      <c r="X9317" s="318"/>
      <c r="Y9317" s="318"/>
      <c r="Z9317" s="318"/>
      <c r="AA9317" s="318"/>
      <c r="AB9317" s="318"/>
      <c r="AC9317" s="318"/>
      <c r="AD9317" s="318"/>
    </row>
    <row r="9318" spans="2:30" s="323" customFormat="1" ht="12" customHeight="1">
      <c r="B9318" s="324"/>
      <c r="C9318" s="325"/>
      <c r="D9318" s="326"/>
      <c r="E9318" s="326"/>
      <c r="F9318" s="326"/>
      <c r="G9318" s="326"/>
      <c r="H9318" s="326"/>
      <c r="P9318" s="318"/>
      <c r="Q9318" s="318"/>
      <c r="R9318" s="318"/>
      <c r="S9318" s="318"/>
      <c r="T9318" s="318"/>
      <c r="U9318" s="318"/>
      <c r="V9318" s="318"/>
      <c r="W9318" s="318"/>
      <c r="X9318" s="318"/>
      <c r="Y9318" s="318"/>
      <c r="Z9318" s="318"/>
      <c r="AA9318" s="318"/>
      <c r="AB9318" s="318"/>
      <c r="AC9318" s="318"/>
      <c r="AD9318" s="318"/>
    </row>
    <row r="9319" spans="2:30" s="323" customFormat="1" ht="12" customHeight="1">
      <c r="B9319" s="324"/>
      <c r="C9319" s="325"/>
      <c r="D9319" s="326"/>
      <c r="E9319" s="326"/>
      <c r="F9319" s="326"/>
      <c r="G9319" s="326"/>
      <c r="H9319" s="326"/>
      <c r="P9319" s="318"/>
      <c r="Q9319" s="318"/>
      <c r="R9319" s="318"/>
      <c r="S9319" s="318"/>
      <c r="T9319" s="318"/>
      <c r="U9319" s="318"/>
      <c r="V9319" s="318"/>
      <c r="W9319" s="318"/>
      <c r="X9319" s="318"/>
      <c r="Y9319" s="318"/>
      <c r="Z9319" s="318"/>
      <c r="AA9319" s="318"/>
      <c r="AB9319" s="318"/>
      <c r="AC9319" s="318"/>
      <c r="AD9319" s="318"/>
    </row>
    <row r="9320" spans="2:30" s="323" customFormat="1" ht="12" customHeight="1">
      <c r="B9320" s="324"/>
      <c r="C9320" s="325"/>
      <c r="D9320" s="326"/>
      <c r="E9320" s="326"/>
      <c r="F9320" s="326"/>
      <c r="G9320" s="326"/>
      <c r="H9320" s="326"/>
      <c r="P9320" s="318"/>
      <c r="Q9320" s="318"/>
      <c r="R9320" s="318"/>
      <c r="S9320" s="318"/>
      <c r="T9320" s="318"/>
      <c r="U9320" s="318"/>
      <c r="V9320" s="318"/>
      <c r="W9320" s="318"/>
      <c r="X9320" s="318"/>
      <c r="Y9320" s="318"/>
      <c r="Z9320" s="318"/>
      <c r="AA9320" s="318"/>
      <c r="AB9320" s="318"/>
      <c r="AC9320" s="318"/>
      <c r="AD9320" s="318"/>
    </row>
    <row r="9321" spans="2:30" s="323" customFormat="1" ht="12" customHeight="1">
      <c r="B9321" s="324"/>
      <c r="C9321" s="325"/>
      <c r="D9321" s="326"/>
      <c r="E9321" s="326"/>
      <c r="F9321" s="326"/>
      <c r="G9321" s="326"/>
      <c r="H9321" s="326"/>
      <c r="P9321" s="318"/>
      <c r="Q9321" s="318"/>
      <c r="R9321" s="318"/>
      <c r="S9321" s="318"/>
      <c r="T9321" s="318"/>
      <c r="U9321" s="318"/>
      <c r="V9321" s="318"/>
      <c r="W9321" s="318"/>
      <c r="X9321" s="318"/>
      <c r="Y9321" s="318"/>
      <c r="Z9321" s="318"/>
      <c r="AA9321" s="318"/>
      <c r="AB9321" s="318"/>
      <c r="AC9321" s="318"/>
      <c r="AD9321" s="318"/>
    </row>
    <row r="9322" spans="2:30" s="323" customFormat="1" ht="12" customHeight="1">
      <c r="B9322" s="324"/>
      <c r="C9322" s="325"/>
      <c r="D9322" s="326"/>
      <c r="E9322" s="326"/>
      <c r="F9322" s="326"/>
      <c r="G9322" s="326"/>
      <c r="H9322" s="326"/>
      <c r="P9322" s="318"/>
      <c r="Q9322" s="318"/>
      <c r="R9322" s="318"/>
      <c r="S9322" s="318"/>
      <c r="T9322" s="318"/>
      <c r="U9322" s="318"/>
      <c r="V9322" s="318"/>
      <c r="W9322" s="318"/>
      <c r="X9322" s="318"/>
      <c r="Y9322" s="318"/>
      <c r="Z9322" s="318"/>
      <c r="AA9322" s="318"/>
      <c r="AB9322" s="318"/>
      <c r="AC9322" s="318"/>
      <c r="AD9322" s="318"/>
    </row>
    <row r="9323" spans="2:30" s="323" customFormat="1" ht="12" customHeight="1">
      <c r="B9323" s="324"/>
      <c r="C9323" s="325"/>
      <c r="D9323" s="326"/>
      <c r="E9323" s="326"/>
      <c r="F9323" s="326"/>
      <c r="G9323" s="326"/>
      <c r="H9323" s="326"/>
      <c r="P9323" s="318"/>
      <c r="Q9323" s="318"/>
      <c r="R9323" s="318"/>
      <c r="S9323" s="318"/>
      <c r="T9323" s="318"/>
      <c r="U9323" s="318"/>
      <c r="V9323" s="318"/>
      <c r="W9323" s="318"/>
      <c r="X9323" s="318"/>
      <c r="Y9323" s="318"/>
      <c r="Z9323" s="318"/>
      <c r="AA9323" s="318"/>
      <c r="AB9323" s="318"/>
      <c r="AC9323" s="318"/>
      <c r="AD9323" s="318"/>
    </row>
    <row r="9324" spans="2:30" s="323" customFormat="1" ht="12" customHeight="1">
      <c r="B9324" s="324"/>
      <c r="C9324" s="325"/>
      <c r="D9324" s="326"/>
      <c r="E9324" s="326"/>
      <c r="F9324" s="326"/>
      <c r="G9324" s="326"/>
      <c r="H9324" s="326"/>
      <c r="P9324" s="318"/>
      <c r="Q9324" s="318"/>
      <c r="R9324" s="318"/>
      <c r="S9324" s="318"/>
      <c r="T9324" s="318"/>
      <c r="U9324" s="318"/>
      <c r="V9324" s="318"/>
      <c r="W9324" s="318"/>
      <c r="X9324" s="318"/>
      <c r="Y9324" s="318"/>
      <c r="Z9324" s="318"/>
      <c r="AA9324" s="318"/>
      <c r="AB9324" s="318"/>
      <c r="AC9324" s="318"/>
      <c r="AD9324" s="318"/>
    </row>
    <row r="9325" spans="2:30" s="323" customFormat="1" ht="12" customHeight="1">
      <c r="B9325" s="324"/>
      <c r="C9325" s="325"/>
      <c r="D9325" s="326"/>
      <c r="E9325" s="326"/>
      <c r="F9325" s="326"/>
      <c r="G9325" s="326"/>
      <c r="H9325" s="326"/>
      <c r="P9325" s="318"/>
      <c r="Q9325" s="318"/>
      <c r="R9325" s="318"/>
      <c r="S9325" s="318"/>
      <c r="T9325" s="318"/>
      <c r="U9325" s="318"/>
      <c r="V9325" s="318"/>
      <c r="W9325" s="318"/>
      <c r="X9325" s="318"/>
      <c r="Y9325" s="318"/>
      <c r="Z9325" s="318"/>
      <c r="AA9325" s="318"/>
      <c r="AB9325" s="318"/>
      <c r="AC9325" s="318"/>
      <c r="AD9325" s="318"/>
    </row>
    <row r="9326" spans="2:30" s="323" customFormat="1" ht="12" customHeight="1">
      <c r="B9326" s="324"/>
      <c r="C9326" s="325"/>
      <c r="D9326" s="326"/>
      <c r="E9326" s="326"/>
      <c r="F9326" s="326"/>
      <c r="G9326" s="326"/>
      <c r="H9326" s="326"/>
      <c r="P9326" s="318"/>
      <c r="Q9326" s="318"/>
      <c r="R9326" s="318"/>
      <c r="S9326" s="318"/>
      <c r="T9326" s="318"/>
      <c r="U9326" s="318"/>
      <c r="V9326" s="318"/>
      <c r="W9326" s="318"/>
      <c r="X9326" s="318"/>
      <c r="Y9326" s="318"/>
      <c r="Z9326" s="318"/>
      <c r="AA9326" s="318"/>
      <c r="AB9326" s="318"/>
      <c r="AC9326" s="318"/>
      <c r="AD9326" s="318"/>
    </row>
    <row r="9327" spans="2:30" s="323" customFormat="1" ht="12" customHeight="1">
      <c r="B9327" s="324"/>
      <c r="C9327" s="325"/>
      <c r="D9327" s="326"/>
      <c r="E9327" s="326"/>
      <c r="F9327" s="326"/>
      <c r="G9327" s="326"/>
      <c r="H9327" s="326"/>
      <c r="P9327" s="318"/>
      <c r="Q9327" s="318"/>
      <c r="R9327" s="318"/>
      <c r="S9327" s="318"/>
      <c r="T9327" s="318"/>
      <c r="U9327" s="318"/>
      <c r="V9327" s="318"/>
      <c r="W9327" s="318"/>
      <c r="X9327" s="318"/>
      <c r="Y9327" s="318"/>
      <c r="Z9327" s="318"/>
      <c r="AA9327" s="318"/>
      <c r="AB9327" s="318"/>
      <c r="AC9327" s="318"/>
      <c r="AD9327" s="318"/>
    </row>
    <row r="9328" spans="2:30" s="323" customFormat="1" ht="12" customHeight="1">
      <c r="B9328" s="324"/>
      <c r="C9328" s="325"/>
      <c r="D9328" s="326"/>
      <c r="E9328" s="326"/>
      <c r="F9328" s="326"/>
      <c r="G9328" s="326"/>
      <c r="H9328" s="326"/>
      <c r="P9328" s="318"/>
      <c r="Q9328" s="318"/>
      <c r="R9328" s="318"/>
      <c r="S9328" s="318"/>
      <c r="T9328" s="318"/>
      <c r="U9328" s="318"/>
      <c r="V9328" s="318"/>
      <c r="W9328" s="318"/>
      <c r="X9328" s="318"/>
      <c r="Y9328" s="318"/>
      <c r="Z9328" s="318"/>
      <c r="AA9328" s="318"/>
      <c r="AB9328" s="318"/>
      <c r="AC9328" s="318"/>
      <c r="AD9328" s="318"/>
    </row>
    <row r="9329" spans="2:30" s="323" customFormat="1" ht="12" customHeight="1">
      <c r="B9329" s="324"/>
      <c r="C9329" s="325"/>
      <c r="D9329" s="326"/>
      <c r="E9329" s="326"/>
      <c r="F9329" s="326"/>
      <c r="G9329" s="326"/>
      <c r="H9329" s="326"/>
      <c r="P9329" s="318"/>
      <c r="Q9329" s="318"/>
      <c r="R9329" s="318"/>
      <c r="S9329" s="318"/>
      <c r="T9329" s="318"/>
      <c r="U9329" s="318"/>
      <c r="V9329" s="318"/>
      <c r="W9329" s="318"/>
      <c r="X9329" s="318"/>
      <c r="Y9329" s="318"/>
      <c r="Z9329" s="318"/>
      <c r="AA9329" s="318"/>
      <c r="AB9329" s="318"/>
      <c r="AC9329" s="318"/>
      <c r="AD9329" s="318"/>
    </row>
    <row r="9330" spans="2:30" s="323" customFormat="1" ht="12" customHeight="1">
      <c r="B9330" s="324"/>
      <c r="C9330" s="325"/>
      <c r="D9330" s="326"/>
      <c r="E9330" s="326"/>
      <c r="F9330" s="326"/>
      <c r="G9330" s="326"/>
      <c r="H9330" s="326"/>
      <c r="P9330" s="318"/>
      <c r="Q9330" s="318"/>
      <c r="R9330" s="318"/>
      <c r="S9330" s="318"/>
      <c r="T9330" s="318"/>
      <c r="U9330" s="318"/>
      <c r="V9330" s="318"/>
      <c r="W9330" s="318"/>
      <c r="X9330" s="318"/>
      <c r="Y9330" s="318"/>
      <c r="Z9330" s="318"/>
      <c r="AA9330" s="318"/>
      <c r="AB9330" s="318"/>
      <c r="AC9330" s="318"/>
      <c r="AD9330" s="318"/>
    </row>
    <row r="9331" spans="2:30" s="323" customFormat="1" ht="12" customHeight="1">
      <c r="B9331" s="324"/>
      <c r="C9331" s="325"/>
      <c r="D9331" s="326"/>
      <c r="E9331" s="326"/>
      <c r="F9331" s="326"/>
      <c r="G9331" s="326"/>
      <c r="H9331" s="326"/>
      <c r="P9331" s="318"/>
      <c r="Q9331" s="318"/>
      <c r="R9331" s="318"/>
      <c r="S9331" s="318"/>
      <c r="T9331" s="318"/>
      <c r="U9331" s="318"/>
      <c r="V9331" s="318"/>
      <c r="W9331" s="318"/>
      <c r="X9331" s="318"/>
      <c r="Y9331" s="318"/>
      <c r="Z9331" s="318"/>
      <c r="AA9331" s="318"/>
      <c r="AB9331" s="318"/>
      <c r="AC9331" s="318"/>
      <c r="AD9331" s="318"/>
    </row>
    <row r="9332" spans="2:30" s="323" customFormat="1" ht="12" customHeight="1">
      <c r="B9332" s="324"/>
      <c r="C9332" s="325"/>
      <c r="D9332" s="326"/>
      <c r="E9332" s="326"/>
      <c r="F9332" s="326"/>
      <c r="G9332" s="326"/>
      <c r="H9332" s="326"/>
      <c r="P9332" s="318"/>
      <c r="Q9332" s="318"/>
      <c r="R9332" s="318"/>
      <c r="S9332" s="318"/>
      <c r="T9332" s="318"/>
      <c r="U9332" s="318"/>
      <c r="V9332" s="318"/>
      <c r="W9332" s="318"/>
      <c r="X9332" s="318"/>
      <c r="Y9332" s="318"/>
      <c r="Z9332" s="318"/>
      <c r="AA9332" s="318"/>
      <c r="AB9332" s="318"/>
      <c r="AC9332" s="318"/>
      <c r="AD9332" s="318"/>
    </row>
    <row r="9333" spans="2:30" s="323" customFormat="1" ht="12" customHeight="1">
      <c r="B9333" s="324"/>
      <c r="C9333" s="325"/>
      <c r="D9333" s="326"/>
      <c r="E9333" s="326"/>
      <c r="F9333" s="326"/>
      <c r="G9333" s="326"/>
      <c r="H9333" s="326"/>
      <c r="P9333" s="318"/>
      <c r="Q9333" s="318"/>
      <c r="R9333" s="318"/>
      <c r="S9333" s="318"/>
      <c r="T9333" s="318"/>
      <c r="U9333" s="318"/>
      <c r="V9333" s="318"/>
      <c r="W9333" s="318"/>
      <c r="X9333" s="318"/>
      <c r="Y9333" s="318"/>
      <c r="Z9333" s="318"/>
      <c r="AA9333" s="318"/>
      <c r="AB9333" s="318"/>
      <c r="AC9333" s="318"/>
      <c r="AD9333" s="318"/>
    </row>
    <row r="9334" spans="2:30" s="323" customFormat="1" ht="12" customHeight="1">
      <c r="B9334" s="324"/>
      <c r="C9334" s="325"/>
      <c r="D9334" s="326"/>
      <c r="E9334" s="326"/>
      <c r="F9334" s="326"/>
      <c r="G9334" s="326"/>
      <c r="H9334" s="326"/>
      <c r="P9334" s="318"/>
      <c r="Q9334" s="318"/>
      <c r="R9334" s="318"/>
      <c r="S9334" s="318"/>
      <c r="T9334" s="318"/>
      <c r="U9334" s="318"/>
      <c r="V9334" s="318"/>
      <c r="W9334" s="318"/>
      <c r="X9334" s="318"/>
      <c r="Y9334" s="318"/>
      <c r="Z9334" s="318"/>
      <c r="AA9334" s="318"/>
      <c r="AB9334" s="318"/>
      <c r="AC9334" s="318"/>
      <c r="AD9334" s="318"/>
    </row>
    <row r="9335" spans="2:30" s="323" customFormat="1" ht="12" customHeight="1">
      <c r="B9335" s="324"/>
      <c r="C9335" s="325"/>
      <c r="D9335" s="326"/>
      <c r="E9335" s="326"/>
      <c r="F9335" s="326"/>
      <c r="G9335" s="326"/>
      <c r="H9335" s="326"/>
      <c r="P9335" s="318"/>
      <c r="Q9335" s="318"/>
      <c r="R9335" s="318"/>
      <c r="S9335" s="318"/>
      <c r="T9335" s="318"/>
      <c r="U9335" s="318"/>
      <c r="V9335" s="318"/>
      <c r="W9335" s="318"/>
      <c r="X9335" s="318"/>
      <c r="Y9335" s="318"/>
      <c r="Z9335" s="318"/>
      <c r="AA9335" s="318"/>
      <c r="AB9335" s="318"/>
      <c r="AC9335" s="318"/>
      <c r="AD9335" s="318"/>
    </row>
    <row r="9336" spans="2:30" s="323" customFormat="1" ht="12" customHeight="1">
      <c r="B9336" s="324"/>
      <c r="C9336" s="325"/>
      <c r="D9336" s="326"/>
      <c r="E9336" s="326"/>
      <c r="F9336" s="326"/>
      <c r="G9336" s="326"/>
      <c r="H9336" s="326"/>
      <c r="P9336" s="318"/>
      <c r="Q9336" s="318"/>
      <c r="R9336" s="318"/>
      <c r="S9336" s="318"/>
      <c r="T9336" s="318"/>
      <c r="U9336" s="318"/>
      <c r="V9336" s="318"/>
      <c r="W9336" s="318"/>
      <c r="X9336" s="318"/>
      <c r="Y9336" s="318"/>
      <c r="Z9336" s="318"/>
      <c r="AA9336" s="318"/>
      <c r="AB9336" s="318"/>
      <c r="AC9336" s="318"/>
      <c r="AD9336" s="318"/>
    </row>
    <row r="9337" spans="2:30" s="323" customFormat="1" ht="12" customHeight="1">
      <c r="B9337" s="324"/>
      <c r="C9337" s="325"/>
      <c r="D9337" s="326"/>
      <c r="E9337" s="326"/>
      <c r="F9337" s="326"/>
      <c r="G9337" s="326"/>
      <c r="H9337" s="326"/>
      <c r="P9337" s="318"/>
      <c r="Q9337" s="318"/>
      <c r="R9337" s="318"/>
      <c r="S9337" s="318"/>
      <c r="T9337" s="318"/>
      <c r="U9337" s="318"/>
      <c r="V9337" s="318"/>
      <c r="W9337" s="318"/>
      <c r="X9337" s="318"/>
      <c r="Y9337" s="318"/>
      <c r="Z9337" s="318"/>
      <c r="AA9337" s="318"/>
      <c r="AB9337" s="318"/>
      <c r="AC9337" s="318"/>
      <c r="AD9337" s="318"/>
    </row>
    <row r="9338" spans="2:30" s="323" customFormat="1" ht="12" customHeight="1">
      <c r="B9338" s="324"/>
      <c r="C9338" s="325"/>
      <c r="D9338" s="326"/>
      <c r="E9338" s="326"/>
      <c r="F9338" s="326"/>
      <c r="G9338" s="326"/>
      <c r="H9338" s="326"/>
      <c r="P9338" s="318"/>
      <c r="Q9338" s="318"/>
      <c r="R9338" s="318"/>
      <c r="S9338" s="318"/>
      <c r="T9338" s="318"/>
      <c r="U9338" s="318"/>
      <c r="V9338" s="318"/>
      <c r="W9338" s="318"/>
      <c r="X9338" s="318"/>
      <c r="Y9338" s="318"/>
      <c r="Z9338" s="318"/>
      <c r="AA9338" s="318"/>
      <c r="AB9338" s="318"/>
      <c r="AC9338" s="318"/>
      <c r="AD9338" s="318"/>
    </row>
    <row r="9339" spans="2:30" s="323" customFormat="1" ht="12" customHeight="1">
      <c r="B9339" s="324"/>
      <c r="C9339" s="325"/>
      <c r="D9339" s="326"/>
      <c r="E9339" s="326"/>
      <c r="F9339" s="326"/>
      <c r="G9339" s="326"/>
      <c r="H9339" s="326"/>
      <c r="P9339" s="318"/>
      <c r="Q9339" s="318"/>
      <c r="R9339" s="318"/>
      <c r="S9339" s="318"/>
      <c r="T9339" s="318"/>
      <c r="U9339" s="318"/>
      <c r="V9339" s="318"/>
      <c r="W9339" s="318"/>
      <c r="X9339" s="318"/>
      <c r="Y9339" s="318"/>
      <c r="Z9339" s="318"/>
      <c r="AA9339" s="318"/>
      <c r="AB9339" s="318"/>
      <c r="AC9339" s="318"/>
      <c r="AD9339" s="318"/>
    </row>
    <row r="9340" spans="2:30" s="323" customFormat="1" ht="12" customHeight="1">
      <c r="B9340" s="324"/>
      <c r="C9340" s="325"/>
      <c r="D9340" s="326"/>
      <c r="E9340" s="326"/>
      <c r="F9340" s="326"/>
      <c r="G9340" s="326"/>
      <c r="H9340" s="326"/>
      <c r="P9340" s="318"/>
      <c r="Q9340" s="318"/>
      <c r="R9340" s="318"/>
      <c r="S9340" s="318"/>
      <c r="T9340" s="318"/>
      <c r="U9340" s="318"/>
      <c r="V9340" s="318"/>
      <c r="W9340" s="318"/>
      <c r="X9340" s="318"/>
      <c r="Y9340" s="318"/>
      <c r="Z9340" s="318"/>
      <c r="AA9340" s="318"/>
      <c r="AB9340" s="318"/>
      <c r="AC9340" s="318"/>
      <c r="AD9340" s="318"/>
    </row>
    <row r="9341" spans="2:30" s="323" customFormat="1" ht="12" customHeight="1">
      <c r="B9341" s="324"/>
      <c r="C9341" s="325"/>
      <c r="D9341" s="326"/>
      <c r="E9341" s="326"/>
      <c r="F9341" s="326"/>
      <c r="G9341" s="326"/>
      <c r="H9341" s="326"/>
      <c r="P9341" s="318"/>
      <c r="Q9341" s="318"/>
      <c r="R9341" s="318"/>
      <c r="S9341" s="318"/>
      <c r="T9341" s="318"/>
      <c r="U9341" s="318"/>
      <c r="V9341" s="318"/>
      <c r="W9341" s="318"/>
      <c r="X9341" s="318"/>
      <c r="Y9341" s="318"/>
      <c r="Z9341" s="318"/>
      <c r="AA9341" s="318"/>
      <c r="AB9341" s="318"/>
      <c r="AC9341" s="318"/>
      <c r="AD9341" s="318"/>
    </row>
    <row r="9342" spans="2:30" s="323" customFormat="1" ht="12" customHeight="1">
      <c r="B9342" s="324"/>
      <c r="C9342" s="325"/>
      <c r="D9342" s="326"/>
      <c r="E9342" s="326"/>
      <c r="F9342" s="326"/>
      <c r="G9342" s="326"/>
      <c r="H9342" s="326"/>
      <c r="P9342" s="318"/>
      <c r="Q9342" s="318"/>
      <c r="R9342" s="318"/>
      <c r="S9342" s="318"/>
      <c r="T9342" s="318"/>
      <c r="U9342" s="318"/>
      <c r="V9342" s="318"/>
      <c r="W9342" s="318"/>
      <c r="X9342" s="318"/>
      <c r="Y9342" s="318"/>
      <c r="Z9342" s="318"/>
      <c r="AA9342" s="318"/>
      <c r="AB9342" s="318"/>
      <c r="AC9342" s="318"/>
      <c r="AD9342" s="318"/>
    </row>
    <row r="9343" spans="2:30" s="323" customFormat="1" ht="12" customHeight="1">
      <c r="B9343" s="324"/>
      <c r="C9343" s="325"/>
      <c r="D9343" s="326"/>
      <c r="E9343" s="326"/>
      <c r="F9343" s="326"/>
      <c r="G9343" s="326"/>
      <c r="H9343" s="326"/>
      <c r="P9343" s="318"/>
      <c r="Q9343" s="318"/>
      <c r="R9343" s="318"/>
      <c r="S9343" s="318"/>
      <c r="T9343" s="318"/>
      <c r="U9343" s="318"/>
      <c r="V9343" s="318"/>
      <c r="W9343" s="318"/>
      <c r="X9343" s="318"/>
      <c r="Y9343" s="318"/>
      <c r="Z9343" s="318"/>
      <c r="AA9343" s="318"/>
      <c r="AB9343" s="318"/>
      <c r="AC9343" s="318"/>
      <c r="AD9343" s="318"/>
    </row>
    <row r="9344" spans="2:30" s="323" customFormat="1" ht="12" customHeight="1">
      <c r="B9344" s="324"/>
      <c r="C9344" s="325"/>
      <c r="D9344" s="326"/>
      <c r="E9344" s="326"/>
      <c r="F9344" s="326"/>
      <c r="G9344" s="326"/>
      <c r="H9344" s="326"/>
      <c r="P9344" s="318"/>
      <c r="Q9344" s="318"/>
      <c r="R9344" s="318"/>
      <c r="S9344" s="318"/>
      <c r="T9344" s="318"/>
      <c r="U9344" s="318"/>
      <c r="V9344" s="318"/>
      <c r="W9344" s="318"/>
      <c r="X9344" s="318"/>
      <c r="Y9344" s="318"/>
      <c r="Z9344" s="318"/>
      <c r="AA9344" s="318"/>
      <c r="AB9344" s="318"/>
      <c r="AC9344" s="318"/>
      <c r="AD9344" s="318"/>
    </row>
    <row r="9345" spans="2:30" s="323" customFormat="1" ht="12" customHeight="1">
      <c r="B9345" s="324"/>
      <c r="C9345" s="325"/>
      <c r="D9345" s="326"/>
      <c r="E9345" s="326"/>
      <c r="F9345" s="326"/>
      <c r="G9345" s="326"/>
      <c r="H9345" s="326"/>
      <c r="P9345" s="318"/>
      <c r="Q9345" s="318"/>
      <c r="R9345" s="318"/>
      <c r="S9345" s="318"/>
      <c r="T9345" s="318"/>
      <c r="U9345" s="318"/>
      <c r="V9345" s="318"/>
      <c r="W9345" s="318"/>
      <c r="X9345" s="318"/>
      <c r="Y9345" s="318"/>
      <c r="Z9345" s="318"/>
      <c r="AA9345" s="318"/>
      <c r="AB9345" s="318"/>
      <c r="AC9345" s="318"/>
      <c r="AD9345" s="318"/>
    </row>
    <row r="9346" spans="2:30" s="323" customFormat="1" ht="12" customHeight="1">
      <c r="B9346" s="324"/>
      <c r="C9346" s="325"/>
      <c r="D9346" s="326"/>
      <c r="E9346" s="326"/>
      <c r="F9346" s="326"/>
      <c r="G9346" s="326"/>
      <c r="H9346" s="326"/>
      <c r="P9346" s="318"/>
      <c r="Q9346" s="318"/>
      <c r="R9346" s="318"/>
      <c r="S9346" s="318"/>
      <c r="T9346" s="318"/>
      <c r="U9346" s="318"/>
      <c r="V9346" s="318"/>
      <c r="W9346" s="318"/>
      <c r="X9346" s="318"/>
      <c r="Y9346" s="318"/>
      <c r="Z9346" s="318"/>
      <c r="AA9346" s="318"/>
      <c r="AB9346" s="318"/>
      <c r="AC9346" s="318"/>
      <c r="AD9346" s="318"/>
    </row>
    <row r="9347" spans="2:30" s="323" customFormat="1" ht="12" customHeight="1">
      <c r="B9347" s="324"/>
      <c r="C9347" s="325"/>
      <c r="D9347" s="326"/>
      <c r="E9347" s="326"/>
      <c r="F9347" s="326"/>
      <c r="G9347" s="326"/>
      <c r="H9347" s="326"/>
      <c r="P9347" s="318"/>
      <c r="Q9347" s="318"/>
      <c r="R9347" s="318"/>
      <c r="S9347" s="318"/>
      <c r="T9347" s="318"/>
      <c r="U9347" s="318"/>
      <c r="V9347" s="318"/>
      <c r="W9347" s="318"/>
      <c r="X9347" s="318"/>
      <c r="Y9347" s="318"/>
      <c r="Z9347" s="318"/>
      <c r="AA9347" s="318"/>
      <c r="AB9347" s="318"/>
      <c r="AC9347" s="318"/>
      <c r="AD9347" s="318"/>
    </row>
    <row r="9348" spans="2:30" s="323" customFormat="1" ht="12" customHeight="1">
      <c r="B9348" s="324"/>
      <c r="C9348" s="325"/>
      <c r="D9348" s="326"/>
      <c r="E9348" s="326"/>
      <c r="F9348" s="326"/>
      <c r="G9348" s="326"/>
      <c r="H9348" s="326"/>
      <c r="P9348" s="318"/>
      <c r="Q9348" s="318"/>
      <c r="R9348" s="318"/>
      <c r="S9348" s="318"/>
      <c r="T9348" s="318"/>
      <c r="U9348" s="318"/>
      <c r="V9348" s="318"/>
      <c r="W9348" s="318"/>
      <c r="X9348" s="318"/>
      <c r="Y9348" s="318"/>
      <c r="Z9348" s="318"/>
      <c r="AA9348" s="318"/>
      <c r="AB9348" s="318"/>
      <c r="AC9348" s="318"/>
      <c r="AD9348" s="318"/>
    </row>
    <row r="9349" spans="2:30" s="323" customFormat="1" ht="12" customHeight="1">
      <c r="B9349" s="324"/>
      <c r="C9349" s="325"/>
      <c r="D9349" s="326"/>
      <c r="E9349" s="326"/>
      <c r="F9349" s="326"/>
      <c r="G9349" s="326"/>
      <c r="H9349" s="326"/>
      <c r="P9349" s="318"/>
      <c r="Q9349" s="318"/>
      <c r="R9349" s="318"/>
      <c r="S9349" s="318"/>
      <c r="T9349" s="318"/>
      <c r="U9349" s="318"/>
      <c r="V9349" s="318"/>
      <c r="W9349" s="318"/>
      <c r="X9349" s="318"/>
      <c r="Y9349" s="318"/>
      <c r="Z9349" s="318"/>
      <c r="AA9349" s="318"/>
      <c r="AB9349" s="318"/>
      <c r="AC9349" s="318"/>
      <c r="AD9349" s="318"/>
    </row>
    <row r="9350" spans="2:30" s="323" customFormat="1" ht="12" customHeight="1">
      <c r="B9350" s="324"/>
      <c r="C9350" s="325"/>
      <c r="D9350" s="326"/>
      <c r="E9350" s="326"/>
      <c r="F9350" s="326"/>
      <c r="G9350" s="326"/>
      <c r="H9350" s="326"/>
      <c r="P9350" s="318"/>
      <c r="Q9350" s="318"/>
      <c r="R9350" s="318"/>
      <c r="S9350" s="318"/>
      <c r="T9350" s="318"/>
      <c r="U9350" s="318"/>
      <c r="V9350" s="318"/>
      <c r="W9350" s="318"/>
      <c r="X9350" s="318"/>
      <c r="Y9350" s="318"/>
      <c r="Z9350" s="318"/>
      <c r="AA9350" s="318"/>
      <c r="AB9350" s="318"/>
      <c r="AC9350" s="318"/>
      <c r="AD9350" s="318"/>
    </row>
    <row r="9351" spans="2:30" s="323" customFormat="1" ht="12" customHeight="1">
      <c r="B9351" s="324"/>
      <c r="C9351" s="325"/>
      <c r="D9351" s="326"/>
      <c r="E9351" s="326"/>
      <c r="F9351" s="326"/>
      <c r="G9351" s="326"/>
      <c r="H9351" s="326"/>
      <c r="P9351" s="318"/>
      <c r="Q9351" s="318"/>
      <c r="R9351" s="318"/>
      <c r="S9351" s="318"/>
      <c r="T9351" s="318"/>
      <c r="U9351" s="318"/>
      <c r="V9351" s="318"/>
      <c r="W9351" s="318"/>
      <c r="X9351" s="318"/>
      <c r="Y9351" s="318"/>
      <c r="Z9351" s="318"/>
      <c r="AA9351" s="318"/>
      <c r="AB9351" s="318"/>
      <c r="AC9351" s="318"/>
      <c r="AD9351" s="318"/>
    </row>
    <row r="9352" spans="2:30" s="323" customFormat="1" ht="12" customHeight="1">
      <c r="B9352" s="324"/>
      <c r="C9352" s="325"/>
      <c r="D9352" s="326"/>
      <c r="E9352" s="326"/>
      <c r="F9352" s="326"/>
      <c r="G9352" s="326"/>
      <c r="H9352" s="326"/>
      <c r="P9352" s="318"/>
      <c r="Q9352" s="318"/>
      <c r="R9352" s="318"/>
      <c r="S9352" s="318"/>
      <c r="T9352" s="318"/>
      <c r="U9352" s="318"/>
      <c r="V9352" s="318"/>
      <c r="W9352" s="318"/>
      <c r="X9352" s="318"/>
      <c r="Y9352" s="318"/>
      <c r="Z9352" s="318"/>
      <c r="AA9352" s="318"/>
      <c r="AB9352" s="318"/>
      <c r="AC9352" s="318"/>
      <c r="AD9352" s="318"/>
    </row>
    <row r="9353" spans="2:30" s="323" customFormat="1" ht="12" customHeight="1">
      <c r="B9353" s="324"/>
      <c r="C9353" s="325"/>
      <c r="D9353" s="326"/>
      <c r="E9353" s="326"/>
      <c r="F9353" s="326"/>
      <c r="G9353" s="326"/>
      <c r="H9353" s="326"/>
      <c r="P9353" s="318"/>
      <c r="Q9353" s="318"/>
      <c r="R9353" s="318"/>
      <c r="S9353" s="318"/>
      <c r="T9353" s="318"/>
      <c r="U9353" s="318"/>
      <c r="V9353" s="318"/>
      <c r="W9353" s="318"/>
      <c r="X9353" s="318"/>
      <c r="Y9353" s="318"/>
      <c r="Z9353" s="318"/>
      <c r="AA9353" s="318"/>
      <c r="AB9353" s="318"/>
      <c r="AC9353" s="318"/>
      <c r="AD9353" s="318"/>
    </row>
    <row r="9354" spans="2:30" s="323" customFormat="1" ht="12" customHeight="1">
      <c r="B9354" s="324"/>
      <c r="C9354" s="325"/>
      <c r="D9354" s="326"/>
      <c r="E9354" s="326"/>
      <c r="F9354" s="326"/>
      <c r="G9354" s="326"/>
      <c r="H9354" s="326"/>
      <c r="P9354" s="318"/>
      <c r="Q9354" s="318"/>
      <c r="R9354" s="318"/>
      <c r="S9354" s="318"/>
      <c r="T9354" s="318"/>
      <c r="U9354" s="318"/>
      <c r="V9354" s="318"/>
      <c r="W9354" s="318"/>
      <c r="X9354" s="318"/>
      <c r="Y9354" s="318"/>
      <c r="Z9354" s="318"/>
      <c r="AA9354" s="318"/>
      <c r="AB9354" s="318"/>
      <c r="AC9354" s="318"/>
      <c r="AD9354" s="318"/>
    </row>
    <row r="9355" spans="2:30" s="323" customFormat="1" ht="12" customHeight="1">
      <c r="B9355" s="324"/>
      <c r="C9355" s="325"/>
      <c r="D9355" s="326"/>
      <c r="E9355" s="326"/>
      <c r="F9355" s="326"/>
      <c r="G9355" s="326"/>
      <c r="H9355" s="326"/>
      <c r="P9355" s="318"/>
      <c r="Q9355" s="318"/>
      <c r="R9355" s="318"/>
      <c r="S9355" s="318"/>
      <c r="T9355" s="318"/>
      <c r="U9355" s="318"/>
      <c r="V9355" s="318"/>
      <c r="W9355" s="318"/>
      <c r="X9355" s="318"/>
      <c r="Y9355" s="318"/>
      <c r="Z9355" s="318"/>
      <c r="AA9355" s="318"/>
      <c r="AB9355" s="318"/>
      <c r="AC9355" s="318"/>
      <c r="AD9355" s="318"/>
    </row>
    <row r="9356" spans="2:30" s="323" customFormat="1" ht="12" customHeight="1">
      <c r="B9356" s="324"/>
      <c r="C9356" s="325"/>
      <c r="D9356" s="326"/>
      <c r="E9356" s="326"/>
      <c r="F9356" s="326"/>
      <c r="G9356" s="326"/>
      <c r="H9356" s="326"/>
      <c r="P9356" s="318"/>
      <c r="Q9356" s="318"/>
      <c r="R9356" s="318"/>
      <c r="S9356" s="318"/>
      <c r="T9356" s="318"/>
      <c r="U9356" s="318"/>
      <c r="V9356" s="318"/>
      <c r="W9356" s="318"/>
      <c r="X9356" s="318"/>
      <c r="Y9356" s="318"/>
      <c r="Z9356" s="318"/>
      <c r="AA9356" s="318"/>
      <c r="AB9356" s="318"/>
      <c r="AC9356" s="318"/>
      <c r="AD9356" s="318"/>
    </row>
    <row r="9357" spans="2:30" s="323" customFormat="1" ht="12" customHeight="1">
      <c r="B9357" s="324"/>
      <c r="C9357" s="325"/>
      <c r="D9357" s="326"/>
      <c r="E9357" s="326"/>
      <c r="F9357" s="326"/>
      <c r="G9357" s="326"/>
      <c r="H9357" s="326"/>
      <c r="P9357" s="318"/>
      <c r="Q9357" s="318"/>
      <c r="R9357" s="318"/>
      <c r="S9357" s="318"/>
      <c r="T9357" s="318"/>
      <c r="U9357" s="318"/>
      <c r="V9357" s="318"/>
      <c r="W9357" s="318"/>
      <c r="X9357" s="318"/>
      <c r="Y9357" s="318"/>
      <c r="Z9357" s="318"/>
      <c r="AA9357" s="318"/>
      <c r="AB9357" s="318"/>
      <c r="AC9357" s="318"/>
      <c r="AD9357" s="318"/>
    </row>
    <row r="9358" spans="2:30" s="323" customFormat="1" ht="12" customHeight="1">
      <c r="B9358" s="324"/>
      <c r="C9358" s="325"/>
      <c r="D9358" s="326"/>
      <c r="E9358" s="326"/>
      <c r="F9358" s="326"/>
      <c r="G9358" s="326"/>
      <c r="H9358" s="326"/>
      <c r="P9358" s="318"/>
      <c r="Q9358" s="318"/>
      <c r="R9358" s="318"/>
      <c r="S9358" s="318"/>
      <c r="T9358" s="318"/>
      <c r="U9358" s="318"/>
      <c r="V9358" s="318"/>
      <c r="W9358" s="318"/>
      <c r="X9358" s="318"/>
      <c r="Y9358" s="318"/>
      <c r="Z9358" s="318"/>
      <c r="AA9358" s="318"/>
      <c r="AB9358" s="318"/>
      <c r="AC9358" s="318"/>
      <c r="AD9358" s="318"/>
    </row>
    <row r="9359" spans="2:30" s="323" customFormat="1" ht="12" customHeight="1">
      <c r="B9359" s="324"/>
      <c r="C9359" s="325"/>
      <c r="D9359" s="326"/>
      <c r="E9359" s="326"/>
      <c r="F9359" s="326"/>
      <c r="G9359" s="326"/>
      <c r="H9359" s="326"/>
      <c r="P9359" s="318"/>
      <c r="Q9359" s="318"/>
      <c r="R9359" s="318"/>
      <c r="S9359" s="318"/>
      <c r="T9359" s="318"/>
      <c r="U9359" s="318"/>
      <c r="V9359" s="318"/>
      <c r="W9359" s="318"/>
      <c r="X9359" s="318"/>
      <c r="Y9359" s="318"/>
      <c r="Z9359" s="318"/>
      <c r="AA9359" s="318"/>
      <c r="AB9359" s="318"/>
      <c r="AC9359" s="318"/>
      <c r="AD9359" s="318"/>
    </row>
    <row r="9360" spans="2:30" s="323" customFormat="1" ht="12" customHeight="1">
      <c r="B9360" s="324"/>
      <c r="C9360" s="325"/>
      <c r="D9360" s="326"/>
      <c r="E9360" s="326"/>
      <c r="F9360" s="326"/>
      <c r="G9360" s="326"/>
      <c r="H9360" s="326"/>
      <c r="P9360" s="318"/>
      <c r="Q9360" s="318"/>
      <c r="R9360" s="318"/>
      <c r="S9360" s="318"/>
      <c r="T9360" s="318"/>
      <c r="U9360" s="318"/>
      <c r="V9360" s="318"/>
      <c r="W9360" s="318"/>
      <c r="X9360" s="318"/>
      <c r="Y9360" s="318"/>
      <c r="Z9360" s="318"/>
      <c r="AA9360" s="318"/>
      <c r="AB9360" s="318"/>
      <c r="AC9360" s="318"/>
      <c r="AD9360" s="318"/>
    </row>
    <row r="9361" spans="2:30" s="323" customFormat="1" ht="12" customHeight="1">
      <c r="B9361" s="324"/>
      <c r="C9361" s="325"/>
      <c r="D9361" s="326"/>
      <c r="E9361" s="326"/>
      <c r="F9361" s="326"/>
      <c r="G9361" s="326"/>
      <c r="H9361" s="326"/>
      <c r="P9361" s="318"/>
      <c r="Q9361" s="318"/>
      <c r="R9361" s="318"/>
      <c r="S9361" s="318"/>
      <c r="T9361" s="318"/>
      <c r="U9361" s="318"/>
      <c r="V9361" s="318"/>
      <c r="W9361" s="318"/>
      <c r="X9361" s="318"/>
      <c r="Y9361" s="318"/>
      <c r="Z9361" s="318"/>
      <c r="AA9361" s="318"/>
      <c r="AB9361" s="318"/>
      <c r="AC9361" s="318"/>
      <c r="AD9361" s="318"/>
    </row>
    <row r="9362" spans="2:30" s="323" customFormat="1" ht="12" customHeight="1">
      <c r="B9362" s="324"/>
      <c r="C9362" s="325"/>
      <c r="D9362" s="326"/>
      <c r="E9362" s="326"/>
      <c r="F9362" s="326"/>
      <c r="G9362" s="326"/>
      <c r="H9362" s="326"/>
      <c r="P9362" s="318"/>
      <c r="Q9362" s="318"/>
      <c r="R9362" s="318"/>
      <c r="S9362" s="318"/>
      <c r="T9362" s="318"/>
      <c r="U9362" s="318"/>
      <c r="V9362" s="318"/>
      <c r="W9362" s="318"/>
      <c r="X9362" s="318"/>
      <c r="Y9362" s="318"/>
      <c r="Z9362" s="318"/>
      <c r="AA9362" s="318"/>
      <c r="AB9362" s="318"/>
      <c r="AC9362" s="318"/>
      <c r="AD9362" s="318"/>
    </row>
    <row r="9363" spans="2:30" s="323" customFormat="1" ht="12" customHeight="1">
      <c r="B9363" s="324"/>
      <c r="C9363" s="325"/>
      <c r="D9363" s="326"/>
      <c r="E9363" s="326"/>
      <c r="F9363" s="326"/>
      <c r="G9363" s="326"/>
      <c r="H9363" s="326"/>
      <c r="P9363" s="318"/>
      <c r="Q9363" s="318"/>
      <c r="R9363" s="318"/>
      <c r="S9363" s="318"/>
      <c r="T9363" s="318"/>
      <c r="U9363" s="318"/>
      <c r="V9363" s="318"/>
      <c r="W9363" s="318"/>
      <c r="X9363" s="318"/>
      <c r="Y9363" s="318"/>
      <c r="Z9363" s="318"/>
      <c r="AA9363" s="318"/>
      <c r="AB9363" s="318"/>
      <c r="AC9363" s="318"/>
      <c r="AD9363" s="318"/>
    </row>
    <row r="9364" spans="2:30" s="323" customFormat="1" ht="12" customHeight="1">
      <c r="B9364" s="324"/>
      <c r="C9364" s="325"/>
      <c r="D9364" s="326"/>
      <c r="E9364" s="326"/>
      <c r="F9364" s="326"/>
      <c r="G9364" s="326"/>
      <c r="H9364" s="326"/>
      <c r="P9364" s="318"/>
      <c r="Q9364" s="318"/>
      <c r="R9364" s="318"/>
      <c r="S9364" s="318"/>
      <c r="T9364" s="318"/>
      <c r="U9364" s="318"/>
      <c r="V9364" s="318"/>
      <c r="W9364" s="318"/>
      <c r="X9364" s="318"/>
      <c r="Y9364" s="318"/>
      <c r="Z9364" s="318"/>
      <c r="AA9364" s="318"/>
      <c r="AB9364" s="318"/>
      <c r="AC9364" s="318"/>
      <c r="AD9364" s="318"/>
    </row>
    <row r="9365" spans="2:30" s="323" customFormat="1" ht="12" customHeight="1">
      <c r="B9365" s="324"/>
      <c r="C9365" s="325"/>
      <c r="D9365" s="326"/>
      <c r="E9365" s="326"/>
      <c r="F9365" s="326"/>
      <c r="G9365" s="326"/>
      <c r="H9365" s="326"/>
      <c r="P9365" s="318"/>
      <c r="Q9365" s="318"/>
      <c r="R9365" s="318"/>
      <c r="S9365" s="318"/>
      <c r="T9365" s="318"/>
      <c r="U9365" s="318"/>
      <c r="V9365" s="318"/>
      <c r="W9365" s="318"/>
      <c r="X9365" s="318"/>
      <c r="Y9365" s="318"/>
      <c r="Z9365" s="318"/>
      <c r="AA9365" s="318"/>
      <c r="AB9365" s="318"/>
      <c r="AC9365" s="318"/>
      <c r="AD9365" s="318"/>
    </row>
    <row r="9366" spans="2:30" s="323" customFormat="1" ht="12" customHeight="1">
      <c r="B9366" s="324"/>
      <c r="C9366" s="325"/>
      <c r="D9366" s="326"/>
      <c r="E9366" s="326"/>
      <c r="F9366" s="326"/>
      <c r="G9366" s="326"/>
      <c r="H9366" s="326"/>
      <c r="P9366" s="318"/>
      <c r="Q9366" s="318"/>
      <c r="R9366" s="318"/>
      <c r="S9366" s="318"/>
      <c r="T9366" s="318"/>
      <c r="U9366" s="318"/>
      <c r="V9366" s="318"/>
      <c r="W9366" s="318"/>
      <c r="X9366" s="318"/>
      <c r="Y9366" s="318"/>
      <c r="Z9366" s="318"/>
      <c r="AA9366" s="318"/>
      <c r="AB9366" s="318"/>
      <c r="AC9366" s="318"/>
      <c r="AD9366" s="318"/>
    </row>
    <row r="9367" spans="2:30" s="323" customFormat="1" ht="12" customHeight="1">
      <c r="B9367" s="324"/>
      <c r="C9367" s="325"/>
      <c r="D9367" s="326"/>
      <c r="E9367" s="326"/>
      <c r="F9367" s="326"/>
      <c r="G9367" s="326"/>
      <c r="H9367" s="326"/>
      <c r="P9367" s="318"/>
      <c r="Q9367" s="318"/>
      <c r="R9367" s="318"/>
      <c r="S9367" s="318"/>
      <c r="T9367" s="318"/>
      <c r="U9367" s="318"/>
      <c r="V9367" s="318"/>
      <c r="W9367" s="318"/>
      <c r="X9367" s="318"/>
      <c r="Y9367" s="318"/>
      <c r="Z9367" s="318"/>
      <c r="AA9367" s="318"/>
      <c r="AB9367" s="318"/>
      <c r="AC9367" s="318"/>
      <c r="AD9367" s="318"/>
    </row>
    <row r="9368" spans="2:30" s="323" customFormat="1" ht="12" customHeight="1">
      <c r="B9368" s="324"/>
      <c r="C9368" s="325"/>
      <c r="D9368" s="326"/>
      <c r="E9368" s="326"/>
      <c r="F9368" s="326"/>
      <c r="G9368" s="326"/>
      <c r="H9368" s="326"/>
      <c r="P9368" s="318"/>
      <c r="Q9368" s="318"/>
      <c r="R9368" s="318"/>
      <c r="S9368" s="318"/>
      <c r="T9368" s="318"/>
      <c r="U9368" s="318"/>
      <c r="V9368" s="318"/>
      <c r="W9368" s="318"/>
      <c r="X9368" s="318"/>
      <c r="Y9368" s="318"/>
      <c r="Z9368" s="318"/>
      <c r="AA9368" s="318"/>
      <c r="AB9368" s="318"/>
      <c r="AC9368" s="318"/>
      <c r="AD9368" s="318"/>
    </row>
    <row r="9369" spans="2:30" s="323" customFormat="1" ht="12" customHeight="1">
      <c r="B9369" s="324"/>
      <c r="C9369" s="325"/>
      <c r="D9369" s="326"/>
      <c r="E9369" s="326"/>
      <c r="F9369" s="326"/>
      <c r="G9369" s="326"/>
      <c r="H9369" s="326"/>
      <c r="P9369" s="318"/>
      <c r="Q9369" s="318"/>
      <c r="R9369" s="318"/>
      <c r="S9369" s="318"/>
      <c r="T9369" s="318"/>
      <c r="U9369" s="318"/>
      <c r="V9369" s="318"/>
      <c r="W9369" s="318"/>
      <c r="X9369" s="318"/>
      <c r="Y9369" s="318"/>
      <c r="Z9369" s="318"/>
      <c r="AA9369" s="318"/>
      <c r="AB9369" s="318"/>
      <c r="AC9369" s="318"/>
      <c r="AD9369" s="318"/>
    </row>
    <row r="9370" spans="2:30" s="323" customFormat="1" ht="12" customHeight="1">
      <c r="B9370" s="324"/>
      <c r="C9370" s="325"/>
      <c r="D9370" s="326"/>
      <c r="E9370" s="326"/>
      <c r="F9370" s="326"/>
      <c r="G9370" s="326"/>
      <c r="H9370" s="326"/>
      <c r="P9370" s="318"/>
      <c r="Q9370" s="318"/>
      <c r="R9370" s="318"/>
      <c r="S9370" s="318"/>
      <c r="T9370" s="318"/>
      <c r="U9370" s="318"/>
      <c r="V9370" s="318"/>
      <c r="W9370" s="318"/>
      <c r="X9370" s="318"/>
      <c r="Y9370" s="318"/>
      <c r="Z9370" s="318"/>
      <c r="AA9370" s="318"/>
      <c r="AB9370" s="318"/>
      <c r="AC9370" s="318"/>
      <c r="AD9370" s="318"/>
    </row>
    <row r="9371" spans="2:30" s="323" customFormat="1" ht="12" customHeight="1">
      <c r="B9371" s="324"/>
      <c r="C9371" s="325"/>
      <c r="D9371" s="326"/>
      <c r="E9371" s="326"/>
      <c r="F9371" s="326"/>
      <c r="G9371" s="326"/>
      <c r="H9371" s="326"/>
      <c r="P9371" s="318"/>
      <c r="Q9371" s="318"/>
      <c r="R9371" s="318"/>
      <c r="S9371" s="318"/>
      <c r="T9371" s="318"/>
      <c r="U9371" s="318"/>
      <c r="V9371" s="318"/>
      <c r="W9371" s="318"/>
      <c r="X9371" s="318"/>
      <c r="Y9371" s="318"/>
      <c r="Z9371" s="318"/>
      <c r="AA9371" s="318"/>
      <c r="AB9371" s="318"/>
      <c r="AC9371" s="318"/>
      <c r="AD9371" s="318"/>
    </row>
    <row r="9372" spans="2:30" s="323" customFormat="1" ht="12" customHeight="1">
      <c r="B9372" s="324"/>
      <c r="C9372" s="325"/>
      <c r="D9372" s="326"/>
      <c r="E9372" s="326"/>
      <c r="F9372" s="326"/>
      <c r="G9372" s="326"/>
      <c r="H9372" s="326"/>
      <c r="P9372" s="318"/>
      <c r="Q9372" s="318"/>
      <c r="R9372" s="318"/>
      <c r="S9372" s="318"/>
      <c r="T9372" s="318"/>
      <c r="U9372" s="318"/>
      <c r="V9372" s="318"/>
      <c r="W9372" s="318"/>
      <c r="X9372" s="318"/>
      <c r="Y9372" s="318"/>
      <c r="Z9372" s="318"/>
      <c r="AA9372" s="318"/>
      <c r="AB9372" s="318"/>
      <c r="AC9372" s="318"/>
      <c r="AD9372" s="318"/>
    </row>
    <row r="9373" spans="2:30" s="323" customFormat="1" ht="12" customHeight="1">
      <c r="B9373" s="324"/>
      <c r="C9373" s="325"/>
      <c r="D9373" s="326"/>
      <c r="E9373" s="326"/>
      <c r="F9373" s="326"/>
      <c r="G9373" s="326"/>
      <c r="H9373" s="326"/>
      <c r="P9373" s="318"/>
      <c r="Q9373" s="318"/>
      <c r="R9373" s="318"/>
      <c r="S9373" s="318"/>
      <c r="T9373" s="318"/>
      <c r="U9373" s="318"/>
      <c r="V9373" s="318"/>
      <c r="W9373" s="318"/>
      <c r="X9373" s="318"/>
      <c r="Y9373" s="318"/>
      <c r="Z9373" s="318"/>
      <c r="AA9373" s="318"/>
      <c r="AB9373" s="318"/>
      <c r="AC9373" s="318"/>
      <c r="AD9373" s="318"/>
    </row>
    <row r="9374" spans="2:30" s="323" customFormat="1" ht="12" customHeight="1">
      <c r="B9374" s="324"/>
      <c r="C9374" s="325"/>
      <c r="D9374" s="326"/>
      <c r="E9374" s="326"/>
      <c r="F9374" s="326"/>
      <c r="G9374" s="326"/>
      <c r="H9374" s="326"/>
      <c r="P9374" s="318"/>
      <c r="Q9374" s="318"/>
      <c r="R9374" s="318"/>
      <c r="S9374" s="318"/>
      <c r="T9374" s="318"/>
      <c r="U9374" s="318"/>
      <c r="V9374" s="318"/>
      <c r="W9374" s="318"/>
      <c r="X9374" s="318"/>
      <c r="Y9374" s="318"/>
      <c r="Z9374" s="318"/>
      <c r="AA9374" s="318"/>
      <c r="AB9374" s="318"/>
      <c r="AC9374" s="318"/>
      <c r="AD9374" s="318"/>
    </row>
    <row r="9375" spans="2:30" s="323" customFormat="1" ht="12" customHeight="1">
      <c r="B9375" s="324"/>
      <c r="C9375" s="325"/>
      <c r="D9375" s="326"/>
      <c r="E9375" s="326"/>
      <c r="F9375" s="326"/>
      <c r="G9375" s="326"/>
      <c r="H9375" s="326"/>
      <c r="P9375" s="318"/>
      <c r="Q9375" s="318"/>
      <c r="R9375" s="318"/>
      <c r="S9375" s="318"/>
      <c r="T9375" s="318"/>
      <c r="U9375" s="318"/>
      <c r="V9375" s="318"/>
      <c r="W9375" s="318"/>
      <c r="X9375" s="318"/>
      <c r="Y9375" s="318"/>
      <c r="Z9375" s="318"/>
      <c r="AA9375" s="318"/>
      <c r="AB9375" s="318"/>
      <c r="AC9375" s="318"/>
      <c r="AD9375" s="318"/>
    </row>
    <row r="9376" spans="2:30" s="323" customFormat="1" ht="12" customHeight="1">
      <c r="B9376" s="324"/>
      <c r="C9376" s="325"/>
      <c r="D9376" s="326"/>
      <c r="E9376" s="326"/>
      <c r="F9376" s="326"/>
      <c r="G9376" s="326"/>
      <c r="H9376" s="326"/>
      <c r="P9376" s="318"/>
      <c r="Q9376" s="318"/>
      <c r="R9376" s="318"/>
      <c r="S9376" s="318"/>
      <c r="T9376" s="318"/>
      <c r="U9376" s="318"/>
      <c r="V9376" s="318"/>
      <c r="W9376" s="318"/>
      <c r="X9376" s="318"/>
      <c r="Y9376" s="318"/>
      <c r="Z9376" s="318"/>
      <c r="AA9376" s="318"/>
      <c r="AB9376" s="318"/>
      <c r="AC9376" s="318"/>
      <c r="AD9376" s="318"/>
    </row>
    <row r="9377" spans="2:30" s="323" customFormat="1" ht="12" customHeight="1">
      <c r="B9377" s="324"/>
      <c r="C9377" s="325"/>
      <c r="D9377" s="326"/>
      <c r="E9377" s="326"/>
      <c r="F9377" s="326"/>
      <c r="G9377" s="326"/>
      <c r="H9377" s="326"/>
      <c r="P9377" s="318"/>
      <c r="Q9377" s="318"/>
      <c r="R9377" s="318"/>
      <c r="S9377" s="318"/>
      <c r="T9377" s="318"/>
      <c r="U9377" s="318"/>
      <c r="V9377" s="318"/>
      <c r="W9377" s="318"/>
      <c r="X9377" s="318"/>
      <c r="Y9377" s="318"/>
      <c r="Z9377" s="318"/>
      <c r="AA9377" s="318"/>
      <c r="AB9377" s="318"/>
      <c r="AC9377" s="318"/>
      <c r="AD9377" s="318"/>
    </row>
    <row r="9378" spans="2:30" s="323" customFormat="1" ht="12" customHeight="1">
      <c r="B9378" s="324"/>
      <c r="C9378" s="325"/>
      <c r="D9378" s="326"/>
      <c r="E9378" s="326"/>
      <c r="F9378" s="326"/>
      <c r="G9378" s="326"/>
      <c r="H9378" s="326"/>
      <c r="P9378" s="318"/>
      <c r="Q9378" s="318"/>
      <c r="R9378" s="318"/>
      <c r="S9378" s="318"/>
      <c r="T9378" s="318"/>
      <c r="U9378" s="318"/>
      <c r="V9378" s="318"/>
      <c r="W9378" s="318"/>
      <c r="X9378" s="318"/>
      <c r="Y9378" s="318"/>
      <c r="Z9378" s="318"/>
      <c r="AA9378" s="318"/>
      <c r="AB9378" s="318"/>
      <c r="AC9378" s="318"/>
      <c r="AD9378" s="318"/>
    </row>
    <row r="9379" spans="2:30" s="323" customFormat="1" ht="12" customHeight="1">
      <c r="B9379" s="324"/>
      <c r="C9379" s="325"/>
      <c r="D9379" s="326"/>
      <c r="E9379" s="326"/>
      <c r="F9379" s="326"/>
      <c r="G9379" s="326"/>
      <c r="H9379" s="326"/>
      <c r="P9379" s="318"/>
      <c r="Q9379" s="318"/>
      <c r="R9379" s="318"/>
      <c r="S9379" s="318"/>
      <c r="T9379" s="318"/>
      <c r="U9379" s="318"/>
      <c r="V9379" s="318"/>
      <c r="W9379" s="318"/>
      <c r="X9379" s="318"/>
      <c r="Y9379" s="318"/>
      <c r="Z9379" s="318"/>
      <c r="AA9379" s="318"/>
      <c r="AB9379" s="318"/>
      <c r="AC9379" s="318"/>
      <c r="AD9379" s="318"/>
    </row>
    <row r="9380" spans="2:30" s="323" customFormat="1" ht="12" customHeight="1">
      <c r="B9380" s="324"/>
      <c r="C9380" s="325"/>
      <c r="D9380" s="326"/>
      <c r="E9380" s="326"/>
      <c r="F9380" s="326"/>
      <c r="G9380" s="326"/>
      <c r="H9380" s="326"/>
      <c r="P9380" s="318"/>
      <c r="Q9380" s="318"/>
      <c r="R9380" s="318"/>
      <c r="S9380" s="318"/>
      <c r="T9380" s="318"/>
      <c r="U9380" s="318"/>
      <c r="V9380" s="318"/>
      <c r="W9380" s="318"/>
      <c r="X9380" s="318"/>
      <c r="Y9380" s="318"/>
      <c r="Z9380" s="318"/>
      <c r="AA9380" s="318"/>
      <c r="AB9380" s="318"/>
      <c r="AC9380" s="318"/>
      <c r="AD9380" s="318"/>
    </row>
    <row r="9381" spans="2:30" s="323" customFormat="1" ht="12" customHeight="1">
      <c r="B9381" s="324"/>
      <c r="C9381" s="325"/>
      <c r="D9381" s="326"/>
      <c r="E9381" s="326"/>
      <c r="F9381" s="326"/>
      <c r="G9381" s="326"/>
      <c r="H9381" s="326"/>
      <c r="P9381" s="318"/>
      <c r="Q9381" s="318"/>
      <c r="R9381" s="318"/>
      <c r="S9381" s="318"/>
      <c r="T9381" s="318"/>
      <c r="U9381" s="318"/>
      <c r="V9381" s="318"/>
      <c r="W9381" s="318"/>
      <c r="X9381" s="318"/>
      <c r="Y9381" s="318"/>
      <c r="Z9381" s="318"/>
      <c r="AA9381" s="318"/>
      <c r="AB9381" s="318"/>
      <c r="AC9381" s="318"/>
      <c r="AD9381" s="318"/>
    </row>
    <row r="9382" spans="2:30" s="323" customFormat="1" ht="12" customHeight="1">
      <c r="B9382" s="324"/>
      <c r="C9382" s="325"/>
      <c r="D9382" s="326"/>
      <c r="E9382" s="326"/>
      <c r="F9382" s="326"/>
      <c r="G9382" s="326"/>
      <c r="H9382" s="326"/>
      <c r="P9382" s="318"/>
      <c r="Q9382" s="318"/>
      <c r="R9382" s="318"/>
      <c r="S9382" s="318"/>
      <c r="T9382" s="318"/>
      <c r="U9382" s="318"/>
      <c r="V9382" s="318"/>
      <c r="W9382" s="318"/>
      <c r="X9382" s="318"/>
      <c r="Y9382" s="318"/>
      <c r="Z9382" s="318"/>
      <c r="AA9382" s="318"/>
      <c r="AB9382" s="318"/>
      <c r="AC9382" s="318"/>
      <c r="AD9382" s="318"/>
    </row>
    <row r="9383" spans="2:30" s="323" customFormat="1" ht="12" customHeight="1">
      <c r="B9383" s="324"/>
      <c r="C9383" s="325"/>
      <c r="D9383" s="326"/>
      <c r="E9383" s="326"/>
      <c r="F9383" s="326"/>
      <c r="G9383" s="326"/>
      <c r="H9383" s="326"/>
      <c r="P9383" s="318"/>
      <c r="Q9383" s="318"/>
      <c r="R9383" s="318"/>
      <c r="S9383" s="318"/>
      <c r="T9383" s="318"/>
      <c r="U9383" s="318"/>
      <c r="V9383" s="318"/>
      <c r="W9383" s="318"/>
      <c r="X9383" s="318"/>
      <c r="Y9383" s="318"/>
      <c r="Z9383" s="318"/>
      <c r="AA9383" s="318"/>
      <c r="AB9383" s="318"/>
      <c r="AC9383" s="318"/>
      <c r="AD9383" s="318"/>
    </row>
    <row r="9384" spans="2:30" s="323" customFormat="1" ht="12" customHeight="1">
      <c r="B9384" s="324"/>
      <c r="C9384" s="325"/>
      <c r="D9384" s="326"/>
      <c r="E9384" s="326"/>
      <c r="F9384" s="326"/>
      <c r="G9384" s="326"/>
      <c r="H9384" s="326"/>
      <c r="P9384" s="318"/>
      <c r="Q9384" s="318"/>
      <c r="R9384" s="318"/>
      <c r="S9384" s="318"/>
      <c r="T9384" s="318"/>
      <c r="U9384" s="318"/>
      <c r="V9384" s="318"/>
      <c r="W9384" s="318"/>
      <c r="X9384" s="318"/>
      <c r="Y9384" s="318"/>
      <c r="Z9384" s="318"/>
      <c r="AA9384" s="318"/>
      <c r="AB9384" s="318"/>
      <c r="AC9384" s="318"/>
      <c r="AD9384" s="318"/>
    </row>
    <row r="9385" spans="2:30" s="323" customFormat="1" ht="12" customHeight="1">
      <c r="B9385" s="324"/>
      <c r="C9385" s="325"/>
      <c r="D9385" s="326"/>
      <c r="E9385" s="326"/>
      <c r="F9385" s="326"/>
      <c r="G9385" s="326"/>
      <c r="H9385" s="326"/>
      <c r="P9385" s="318"/>
      <c r="Q9385" s="318"/>
      <c r="R9385" s="318"/>
      <c r="S9385" s="318"/>
      <c r="T9385" s="318"/>
      <c r="U9385" s="318"/>
      <c r="V9385" s="318"/>
      <c r="W9385" s="318"/>
      <c r="X9385" s="318"/>
      <c r="Y9385" s="318"/>
      <c r="Z9385" s="318"/>
      <c r="AA9385" s="318"/>
      <c r="AB9385" s="318"/>
      <c r="AC9385" s="318"/>
      <c r="AD9385" s="318"/>
    </row>
    <row r="9386" spans="2:30" s="323" customFormat="1" ht="12" customHeight="1">
      <c r="B9386" s="324"/>
      <c r="C9386" s="325"/>
      <c r="D9386" s="326"/>
      <c r="E9386" s="326"/>
      <c r="F9386" s="326"/>
      <c r="G9386" s="326"/>
      <c r="H9386" s="326"/>
      <c r="P9386" s="318"/>
      <c r="Q9386" s="318"/>
      <c r="R9386" s="318"/>
      <c r="S9386" s="318"/>
      <c r="T9386" s="318"/>
      <c r="U9386" s="318"/>
      <c r="V9386" s="318"/>
      <c r="W9386" s="318"/>
      <c r="X9386" s="318"/>
      <c r="Y9386" s="318"/>
      <c r="Z9386" s="318"/>
      <c r="AA9386" s="318"/>
      <c r="AB9386" s="318"/>
      <c r="AC9386" s="318"/>
      <c r="AD9386" s="318"/>
    </row>
    <row r="9387" spans="2:30" s="323" customFormat="1" ht="12" customHeight="1">
      <c r="B9387" s="324"/>
      <c r="C9387" s="325"/>
      <c r="D9387" s="326"/>
      <c r="E9387" s="326"/>
      <c r="F9387" s="326"/>
      <c r="G9387" s="326"/>
      <c r="H9387" s="326"/>
      <c r="P9387" s="318"/>
      <c r="Q9387" s="318"/>
      <c r="R9387" s="318"/>
      <c r="S9387" s="318"/>
      <c r="T9387" s="318"/>
      <c r="U9387" s="318"/>
      <c r="V9387" s="318"/>
      <c r="W9387" s="318"/>
      <c r="X9387" s="318"/>
      <c r="Y9387" s="318"/>
      <c r="Z9387" s="318"/>
      <c r="AA9387" s="318"/>
      <c r="AB9387" s="318"/>
      <c r="AC9387" s="318"/>
      <c r="AD9387" s="318"/>
    </row>
    <row r="9388" spans="2:30" s="323" customFormat="1" ht="12" customHeight="1">
      <c r="B9388" s="324"/>
      <c r="C9388" s="325"/>
      <c r="D9388" s="326"/>
      <c r="E9388" s="326"/>
      <c r="F9388" s="326"/>
      <c r="G9388" s="326"/>
      <c r="H9388" s="326"/>
      <c r="P9388" s="318"/>
      <c r="Q9388" s="318"/>
      <c r="R9388" s="318"/>
      <c r="S9388" s="318"/>
      <c r="T9388" s="318"/>
      <c r="U9388" s="318"/>
      <c r="V9388" s="318"/>
      <c r="W9388" s="318"/>
      <c r="X9388" s="318"/>
      <c r="Y9388" s="318"/>
      <c r="Z9388" s="318"/>
      <c r="AA9388" s="318"/>
      <c r="AB9388" s="318"/>
      <c r="AC9388" s="318"/>
      <c r="AD9388" s="318"/>
    </row>
    <row r="9389" spans="2:30" s="323" customFormat="1" ht="12" customHeight="1">
      <c r="B9389" s="324"/>
      <c r="C9389" s="325"/>
      <c r="D9389" s="326"/>
      <c r="E9389" s="326"/>
      <c r="F9389" s="326"/>
      <c r="G9389" s="326"/>
      <c r="H9389" s="326"/>
      <c r="P9389" s="318"/>
      <c r="Q9389" s="318"/>
      <c r="R9389" s="318"/>
      <c r="S9389" s="318"/>
      <c r="T9389" s="318"/>
      <c r="U9389" s="318"/>
      <c r="V9389" s="318"/>
      <c r="W9389" s="318"/>
      <c r="X9389" s="318"/>
      <c r="Y9389" s="318"/>
      <c r="Z9389" s="318"/>
      <c r="AA9389" s="318"/>
      <c r="AB9389" s="318"/>
      <c r="AC9389" s="318"/>
      <c r="AD9389" s="318"/>
    </row>
    <row r="9390" spans="2:30" s="323" customFormat="1" ht="12" customHeight="1">
      <c r="B9390" s="324"/>
      <c r="C9390" s="325"/>
      <c r="D9390" s="326"/>
      <c r="E9390" s="326"/>
      <c r="F9390" s="326"/>
      <c r="G9390" s="326"/>
      <c r="H9390" s="326"/>
      <c r="P9390" s="318"/>
      <c r="Q9390" s="318"/>
      <c r="R9390" s="318"/>
      <c r="S9390" s="318"/>
      <c r="T9390" s="318"/>
      <c r="U9390" s="318"/>
      <c r="V9390" s="318"/>
      <c r="W9390" s="318"/>
      <c r="X9390" s="318"/>
      <c r="Y9390" s="318"/>
      <c r="Z9390" s="318"/>
      <c r="AA9390" s="318"/>
      <c r="AB9390" s="318"/>
      <c r="AC9390" s="318"/>
      <c r="AD9390" s="318"/>
    </row>
    <row r="9391" spans="2:30" s="323" customFormat="1" ht="12" customHeight="1">
      <c r="B9391" s="324"/>
      <c r="C9391" s="325"/>
      <c r="D9391" s="326"/>
      <c r="E9391" s="326"/>
      <c r="F9391" s="326"/>
      <c r="G9391" s="326"/>
      <c r="H9391" s="326"/>
      <c r="P9391" s="318"/>
      <c r="Q9391" s="318"/>
      <c r="R9391" s="318"/>
      <c r="S9391" s="318"/>
      <c r="T9391" s="318"/>
      <c r="U9391" s="318"/>
      <c r="V9391" s="318"/>
      <c r="W9391" s="318"/>
      <c r="X9391" s="318"/>
      <c r="Y9391" s="318"/>
      <c r="Z9391" s="318"/>
      <c r="AA9391" s="318"/>
      <c r="AB9391" s="318"/>
      <c r="AC9391" s="318"/>
      <c r="AD9391" s="318"/>
    </row>
    <row r="9392" spans="2:30" s="323" customFormat="1" ht="12" customHeight="1">
      <c r="B9392" s="324"/>
      <c r="C9392" s="325"/>
      <c r="D9392" s="326"/>
      <c r="E9392" s="326"/>
      <c r="F9392" s="326"/>
      <c r="G9392" s="326"/>
      <c r="H9392" s="326"/>
      <c r="P9392" s="318"/>
      <c r="Q9392" s="318"/>
      <c r="R9392" s="318"/>
      <c r="S9392" s="318"/>
      <c r="T9392" s="318"/>
      <c r="U9392" s="318"/>
      <c r="V9392" s="318"/>
      <c r="W9392" s="318"/>
      <c r="X9392" s="318"/>
      <c r="Y9392" s="318"/>
      <c r="Z9392" s="318"/>
      <c r="AA9392" s="318"/>
      <c r="AB9392" s="318"/>
      <c r="AC9392" s="318"/>
      <c r="AD9392" s="318"/>
    </row>
    <row r="9393" spans="2:30" s="323" customFormat="1" ht="12" customHeight="1">
      <c r="B9393" s="324"/>
      <c r="C9393" s="325"/>
      <c r="D9393" s="326"/>
      <c r="E9393" s="326"/>
      <c r="F9393" s="326"/>
      <c r="G9393" s="326"/>
      <c r="H9393" s="326"/>
      <c r="P9393" s="318"/>
      <c r="Q9393" s="318"/>
      <c r="R9393" s="318"/>
      <c r="S9393" s="318"/>
      <c r="T9393" s="318"/>
      <c r="U9393" s="318"/>
      <c r="V9393" s="318"/>
      <c r="W9393" s="318"/>
      <c r="X9393" s="318"/>
      <c r="Y9393" s="318"/>
      <c r="Z9393" s="318"/>
      <c r="AA9393" s="318"/>
      <c r="AB9393" s="318"/>
      <c r="AC9393" s="318"/>
      <c r="AD9393" s="318"/>
    </row>
    <row r="9394" spans="2:30" s="323" customFormat="1" ht="12" customHeight="1">
      <c r="B9394" s="324"/>
      <c r="C9394" s="325"/>
      <c r="D9394" s="326"/>
      <c r="E9394" s="326"/>
      <c r="F9394" s="326"/>
      <c r="G9394" s="326"/>
      <c r="H9394" s="326"/>
      <c r="P9394" s="318"/>
      <c r="Q9394" s="318"/>
      <c r="R9394" s="318"/>
      <c r="S9394" s="318"/>
      <c r="T9394" s="318"/>
      <c r="U9394" s="318"/>
      <c r="V9394" s="318"/>
      <c r="W9394" s="318"/>
      <c r="X9394" s="318"/>
      <c r="Y9394" s="318"/>
      <c r="Z9394" s="318"/>
      <c r="AA9394" s="318"/>
      <c r="AB9394" s="318"/>
      <c r="AC9394" s="318"/>
      <c r="AD9394" s="318"/>
    </row>
    <row r="9395" spans="2:30" s="323" customFormat="1" ht="12" customHeight="1">
      <c r="B9395" s="324"/>
      <c r="C9395" s="325"/>
      <c r="D9395" s="326"/>
      <c r="E9395" s="326"/>
      <c r="F9395" s="326"/>
      <c r="G9395" s="326"/>
      <c r="H9395" s="326"/>
      <c r="P9395" s="318"/>
      <c r="Q9395" s="318"/>
      <c r="R9395" s="318"/>
      <c r="S9395" s="318"/>
      <c r="T9395" s="318"/>
      <c r="U9395" s="318"/>
      <c r="V9395" s="318"/>
      <c r="W9395" s="318"/>
      <c r="X9395" s="318"/>
      <c r="Y9395" s="318"/>
      <c r="Z9395" s="318"/>
      <c r="AA9395" s="318"/>
      <c r="AB9395" s="318"/>
      <c r="AC9395" s="318"/>
      <c r="AD9395" s="318"/>
    </row>
    <row r="9396" spans="2:30" s="323" customFormat="1" ht="12" customHeight="1">
      <c r="B9396" s="324"/>
      <c r="C9396" s="325"/>
      <c r="D9396" s="326"/>
      <c r="E9396" s="326"/>
      <c r="F9396" s="326"/>
      <c r="G9396" s="326"/>
      <c r="H9396" s="326"/>
      <c r="P9396" s="318"/>
      <c r="Q9396" s="318"/>
      <c r="R9396" s="318"/>
      <c r="S9396" s="318"/>
      <c r="T9396" s="318"/>
      <c r="U9396" s="318"/>
      <c r="V9396" s="318"/>
      <c r="W9396" s="318"/>
      <c r="X9396" s="318"/>
      <c r="Y9396" s="318"/>
      <c r="Z9396" s="318"/>
      <c r="AA9396" s="318"/>
      <c r="AB9396" s="318"/>
      <c r="AC9396" s="318"/>
      <c r="AD9396" s="318"/>
    </row>
    <row r="9397" spans="2:30" s="323" customFormat="1" ht="12" customHeight="1">
      <c r="B9397" s="324"/>
      <c r="C9397" s="325"/>
      <c r="D9397" s="326"/>
      <c r="E9397" s="326"/>
      <c r="F9397" s="326"/>
      <c r="G9397" s="326"/>
      <c r="H9397" s="326"/>
      <c r="P9397" s="318"/>
      <c r="Q9397" s="318"/>
      <c r="R9397" s="318"/>
      <c r="S9397" s="318"/>
      <c r="T9397" s="318"/>
      <c r="U9397" s="318"/>
      <c r="V9397" s="318"/>
      <c r="W9397" s="318"/>
      <c r="X9397" s="318"/>
      <c r="Y9397" s="318"/>
      <c r="Z9397" s="318"/>
      <c r="AA9397" s="318"/>
      <c r="AB9397" s="318"/>
      <c r="AC9397" s="318"/>
      <c r="AD9397" s="318"/>
    </row>
    <row r="9398" spans="2:30" s="323" customFormat="1" ht="12" customHeight="1">
      <c r="B9398" s="324"/>
      <c r="C9398" s="325"/>
      <c r="D9398" s="326"/>
      <c r="E9398" s="326"/>
      <c r="F9398" s="326"/>
      <c r="G9398" s="326"/>
      <c r="H9398" s="326"/>
      <c r="P9398" s="318"/>
      <c r="Q9398" s="318"/>
      <c r="R9398" s="318"/>
      <c r="S9398" s="318"/>
      <c r="T9398" s="318"/>
      <c r="U9398" s="318"/>
      <c r="V9398" s="318"/>
      <c r="W9398" s="318"/>
      <c r="X9398" s="318"/>
      <c r="Y9398" s="318"/>
      <c r="Z9398" s="318"/>
      <c r="AA9398" s="318"/>
      <c r="AB9398" s="318"/>
      <c r="AC9398" s="318"/>
      <c r="AD9398" s="318"/>
    </row>
    <row r="9399" spans="2:30" s="323" customFormat="1" ht="12" customHeight="1">
      <c r="B9399" s="324"/>
      <c r="C9399" s="325"/>
      <c r="D9399" s="326"/>
      <c r="E9399" s="326"/>
      <c r="F9399" s="326"/>
      <c r="G9399" s="326"/>
      <c r="H9399" s="326"/>
      <c r="P9399" s="318"/>
      <c r="Q9399" s="318"/>
      <c r="R9399" s="318"/>
      <c r="S9399" s="318"/>
      <c r="T9399" s="318"/>
      <c r="U9399" s="318"/>
      <c r="V9399" s="318"/>
      <c r="W9399" s="318"/>
      <c r="X9399" s="318"/>
      <c r="Y9399" s="318"/>
      <c r="Z9399" s="318"/>
      <c r="AA9399" s="318"/>
      <c r="AB9399" s="318"/>
      <c r="AC9399" s="318"/>
      <c r="AD9399" s="318"/>
    </row>
    <row r="9400" spans="2:30" s="323" customFormat="1" ht="12" customHeight="1">
      <c r="B9400" s="324"/>
      <c r="C9400" s="325"/>
      <c r="D9400" s="326"/>
      <c r="E9400" s="326"/>
      <c r="F9400" s="326"/>
      <c r="G9400" s="326"/>
      <c r="H9400" s="326"/>
      <c r="P9400" s="318"/>
      <c r="Q9400" s="318"/>
      <c r="R9400" s="318"/>
      <c r="S9400" s="318"/>
      <c r="T9400" s="318"/>
      <c r="U9400" s="318"/>
      <c r="V9400" s="318"/>
      <c r="W9400" s="318"/>
      <c r="X9400" s="318"/>
      <c r="Y9400" s="318"/>
      <c r="Z9400" s="318"/>
      <c r="AA9400" s="318"/>
      <c r="AB9400" s="318"/>
      <c r="AC9400" s="318"/>
      <c r="AD9400" s="318"/>
    </row>
    <row r="9401" spans="2:30" s="323" customFormat="1" ht="12" customHeight="1">
      <c r="B9401" s="324"/>
      <c r="C9401" s="325"/>
      <c r="D9401" s="326"/>
      <c r="E9401" s="326"/>
      <c r="F9401" s="326"/>
      <c r="G9401" s="326"/>
      <c r="H9401" s="326"/>
      <c r="P9401" s="318"/>
      <c r="Q9401" s="318"/>
      <c r="R9401" s="318"/>
      <c r="S9401" s="318"/>
      <c r="T9401" s="318"/>
      <c r="U9401" s="318"/>
      <c r="V9401" s="318"/>
      <c r="W9401" s="318"/>
      <c r="X9401" s="318"/>
      <c r="Y9401" s="318"/>
      <c r="Z9401" s="318"/>
      <c r="AA9401" s="318"/>
      <c r="AB9401" s="318"/>
      <c r="AC9401" s="318"/>
      <c r="AD9401" s="318"/>
    </row>
    <row r="9402" spans="2:30" s="323" customFormat="1" ht="12" customHeight="1">
      <c r="B9402" s="324"/>
      <c r="C9402" s="325"/>
      <c r="D9402" s="326"/>
      <c r="E9402" s="326"/>
      <c r="F9402" s="326"/>
      <c r="G9402" s="326"/>
      <c r="H9402" s="326"/>
      <c r="P9402" s="318"/>
      <c r="Q9402" s="318"/>
      <c r="R9402" s="318"/>
      <c r="S9402" s="318"/>
      <c r="T9402" s="318"/>
      <c r="U9402" s="318"/>
      <c r="V9402" s="318"/>
      <c r="W9402" s="318"/>
      <c r="X9402" s="318"/>
      <c r="Y9402" s="318"/>
      <c r="Z9402" s="318"/>
      <c r="AA9402" s="318"/>
      <c r="AB9402" s="318"/>
      <c r="AC9402" s="318"/>
      <c r="AD9402" s="318"/>
    </row>
    <row r="9403" spans="2:30" s="323" customFormat="1" ht="12" customHeight="1">
      <c r="B9403" s="324"/>
      <c r="C9403" s="325"/>
      <c r="D9403" s="326"/>
      <c r="E9403" s="326"/>
      <c r="F9403" s="326"/>
      <c r="G9403" s="326"/>
      <c r="H9403" s="326"/>
      <c r="P9403" s="318"/>
      <c r="Q9403" s="318"/>
      <c r="R9403" s="318"/>
      <c r="S9403" s="318"/>
      <c r="T9403" s="318"/>
      <c r="U9403" s="318"/>
      <c r="V9403" s="318"/>
      <c r="W9403" s="318"/>
      <c r="X9403" s="318"/>
      <c r="Y9403" s="318"/>
      <c r="Z9403" s="318"/>
      <c r="AA9403" s="318"/>
      <c r="AB9403" s="318"/>
      <c r="AC9403" s="318"/>
      <c r="AD9403" s="318"/>
    </row>
    <row r="9404" spans="2:30" s="323" customFormat="1" ht="12" customHeight="1">
      <c r="B9404" s="324"/>
      <c r="C9404" s="325"/>
      <c r="D9404" s="326"/>
      <c r="E9404" s="326"/>
      <c r="F9404" s="326"/>
      <c r="G9404" s="326"/>
      <c r="H9404" s="326"/>
      <c r="P9404" s="318"/>
      <c r="Q9404" s="318"/>
      <c r="R9404" s="318"/>
      <c r="S9404" s="318"/>
      <c r="T9404" s="318"/>
      <c r="U9404" s="318"/>
      <c r="V9404" s="318"/>
      <c r="W9404" s="318"/>
      <c r="X9404" s="318"/>
      <c r="Y9404" s="318"/>
      <c r="Z9404" s="318"/>
      <c r="AA9404" s="318"/>
      <c r="AB9404" s="318"/>
      <c r="AC9404" s="318"/>
      <c r="AD9404" s="318"/>
    </row>
    <row r="9405" spans="2:30" s="323" customFormat="1" ht="12" customHeight="1">
      <c r="B9405" s="324"/>
      <c r="C9405" s="325"/>
      <c r="D9405" s="326"/>
      <c r="E9405" s="326"/>
      <c r="F9405" s="326"/>
      <c r="G9405" s="326"/>
      <c r="H9405" s="326"/>
      <c r="P9405" s="318"/>
      <c r="Q9405" s="318"/>
      <c r="R9405" s="318"/>
      <c r="S9405" s="318"/>
      <c r="T9405" s="318"/>
      <c r="U9405" s="318"/>
      <c r="V9405" s="318"/>
      <c r="W9405" s="318"/>
      <c r="X9405" s="318"/>
      <c r="Y9405" s="318"/>
      <c r="Z9405" s="318"/>
      <c r="AA9405" s="318"/>
      <c r="AB9405" s="318"/>
      <c r="AC9405" s="318"/>
      <c r="AD9405" s="318"/>
    </row>
    <row r="9406" spans="2:30" s="323" customFormat="1" ht="12" customHeight="1">
      <c r="B9406" s="324"/>
      <c r="C9406" s="325"/>
      <c r="D9406" s="326"/>
      <c r="E9406" s="326"/>
      <c r="F9406" s="326"/>
      <c r="G9406" s="326"/>
      <c r="H9406" s="326"/>
      <c r="P9406" s="318"/>
      <c r="Q9406" s="318"/>
      <c r="R9406" s="318"/>
      <c r="S9406" s="318"/>
      <c r="T9406" s="318"/>
      <c r="U9406" s="318"/>
      <c r="V9406" s="318"/>
      <c r="W9406" s="318"/>
      <c r="X9406" s="318"/>
      <c r="Y9406" s="318"/>
      <c r="Z9406" s="318"/>
      <c r="AA9406" s="318"/>
      <c r="AB9406" s="318"/>
      <c r="AC9406" s="318"/>
      <c r="AD9406" s="318"/>
    </row>
    <row r="9407" spans="2:30" s="323" customFormat="1" ht="12" customHeight="1">
      <c r="B9407" s="324"/>
      <c r="C9407" s="325"/>
      <c r="D9407" s="326"/>
      <c r="E9407" s="326"/>
      <c r="F9407" s="326"/>
      <c r="G9407" s="326"/>
      <c r="H9407" s="326"/>
      <c r="P9407" s="318"/>
      <c r="Q9407" s="318"/>
      <c r="R9407" s="318"/>
      <c r="S9407" s="318"/>
      <c r="T9407" s="318"/>
      <c r="U9407" s="318"/>
      <c r="V9407" s="318"/>
      <c r="W9407" s="318"/>
      <c r="X9407" s="318"/>
      <c r="Y9407" s="318"/>
      <c r="Z9407" s="318"/>
      <c r="AA9407" s="318"/>
      <c r="AB9407" s="318"/>
      <c r="AC9407" s="318"/>
      <c r="AD9407" s="318"/>
    </row>
    <row r="9408" spans="2:30" s="323" customFormat="1" ht="12" customHeight="1">
      <c r="B9408" s="324"/>
      <c r="C9408" s="325"/>
      <c r="D9408" s="326"/>
      <c r="E9408" s="326"/>
      <c r="F9408" s="326"/>
      <c r="G9408" s="326"/>
      <c r="H9408" s="326"/>
      <c r="P9408" s="318"/>
      <c r="Q9408" s="318"/>
      <c r="R9408" s="318"/>
      <c r="S9408" s="318"/>
      <c r="T9408" s="318"/>
      <c r="U9408" s="318"/>
      <c r="V9408" s="318"/>
      <c r="W9408" s="318"/>
      <c r="X9408" s="318"/>
      <c r="Y9408" s="318"/>
      <c r="Z9408" s="318"/>
      <c r="AA9408" s="318"/>
      <c r="AB9408" s="318"/>
      <c r="AC9408" s="318"/>
      <c r="AD9408" s="318"/>
    </row>
    <row r="9409" spans="2:30" s="323" customFormat="1" ht="12" customHeight="1">
      <c r="B9409" s="324"/>
      <c r="C9409" s="325"/>
      <c r="D9409" s="326"/>
      <c r="E9409" s="326"/>
      <c r="F9409" s="326"/>
      <c r="G9409" s="326"/>
      <c r="H9409" s="326"/>
      <c r="P9409" s="318"/>
      <c r="Q9409" s="318"/>
      <c r="R9409" s="318"/>
      <c r="S9409" s="318"/>
      <c r="T9409" s="318"/>
      <c r="U9409" s="318"/>
      <c r="V9409" s="318"/>
      <c r="W9409" s="318"/>
      <c r="X9409" s="318"/>
      <c r="Y9409" s="318"/>
      <c r="Z9409" s="318"/>
      <c r="AA9409" s="318"/>
      <c r="AB9409" s="318"/>
      <c r="AC9409" s="318"/>
      <c r="AD9409" s="318"/>
    </row>
    <row r="9410" spans="2:30" s="323" customFormat="1" ht="12" customHeight="1">
      <c r="B9410" s="324"/>
      <c r="C9410" s="325"/>
      <c r="D9410" s="326"/>
      <c r="E9410" s="326"/>
      <c r="F9410" s="326"/>
      <c r="G9410" s="326"/>
      <c r="H9410" s="326"/>
      <c r="P9410" s="318"/>
      <c r="Q9410" s="318"/>
      <c r="R9410" s="318"/>
      <c r="S9410" s="318"/>
      <c r="T9410" s="318"/>
      <c r="U9410" s="318"/>
      <c r="V9410" s="318"/>
      <c r="W9410" s="318"/>
      <c r="X9410" s="318"/>
      <c r="Y9410" s="318"/>
      <c r="Z9410" s="318"/>
      <c r="AA9410" s="318"/>
      <c r="AB9410" s="318"/>
      <c r="AC9410" s="318"/>
      <c r="AD9410" s="318"/>
    </row>
    <row r="9411" spans="2:30" s="323" customFormat="1" ht="12" customHeight="1">
      <c r="B9411" s="324"/>
      <c r="C9411" s="325"/>
      <c r="D9411" s="326"/>
      <c r="E9411" s="326"/>
      <c r="F9411" s="326"/>
      <c r="G9411" s="326"/>
      <c r="H9411" s="326"/>
      <c r="P9411" s="318"/>
      <c r="Q9411" s="318"/>
      <c r="R9411" s="318"/>
      <c r="S9411" s="318"/>
      <c r="T9411" s="318"/>
      <c r="U9411" s="318"/>
      <c r="V9411" s="318"/>
      <c r="W9411" s="318"/>
      <c r="X9411" s="318"/>
      <c r="Y9411" s="318"/>
      <c r="Z9411" s="318"/>
      <c r="AA9411" s="318"/>
      <c r="AB9411" s="318"/>
      <c r="AC9411" s="318"/>
      <c r="AD9411" s="318"/>
    </row>
    <row r="9412" spans="2:30" s="323" customFormat="1" ht="12" customHeight="1">
      <c r="B9412" s="324"/>
      <c r="C9412" s="325"/>
      <c r="D9412" s="326"/>
      <c r="E9412" s="326"/>
      <c r="F9412" s="326"/>
      <c r="G9412" s="326"/>
      <c r="H9412" s="326"/>
      <c r="P9412" s="318"/>
      <c r="Q9412" s="318"/>
      <c r="R9412" s="318"/>
      <c r="S9412" s="318"/>
      <c r="T9412" s="318"/>
      <c r="U9412" s="318"/>
      <c r="V9412" s="318"/>
      <c r="W9412" s="318"/>
      <c r="X9412" s="318"/>
      <c r="Y9412" s="318"/>
      <c r="Z9412" s="318"/>
      <c r="AA9412" s="318"/>
      <c r="AB9412" s="318"/>
      <c r="AC9412" s="318"/>
      <c r="AD9412" s="318"/>
    </row>
    <row r="9413" spans="2:30" s="323" customFormat="1" ht="12" customHeight="1">
      <c r="B9413" s="324"/>
      <c r="C9413" s="325"/>
      <c r="D9413" s="326"/>
      <c r="E9413" s="326"/>
      <c r="F9413" s="326"/>
      <c r="G9413" s="326"/>
      <c r="H9413" s="326"/>
      <c r="P9413" s="318"/>
      <c r="Q9413" s="318"/>
      <c r="R9413" s="318"/>
      <c r="S9413" s="318"/>
      <c r="T9413" s="318"/>
      <c r="U9413" s="318"/>
      <c r="V9413" s="318"/>
      <c r="W9413" s="318"/>
      <c r="X9413" s="318"/>
      <c r="Y9413" s="318"/>
      <c r="Z9413" s="318"/>
      <c r="AA9413" s="318"/>
      <c r="AB9413" s="318"/>
      <c r="AC9413" s="318"/>
      <c r="AD9413" s="318"/>
    </row>
    <row r="9414" spans="2:30" s="323" customFormat="1" ht="12" customHeight="1">
      <c r="B9414" s="324"/>
      <c r="C9414" s="325"/>
      <c r="D9414" s="326"/>
      <c r="E9414" s="326"/>
      <c r="F9414" s="326"/>
      <c r="G9414" s="326"/>
      <c r="H9414" s="326"/>
      <c r="P9414" s="318"/>
      <c r="Q9414" s="318"/>
      <c r="R9414" s="318"/>
      <c r="S9414" s="318"/>
      <c r="T9414" s="318"/>
      <c r="U9414" s="318"/>
      <c r="V9414" s="318"/>
      <c r="W9414" s="318"/>
      <c r="X9414" s="318"/>
      <c r="Y9414" s="318"/>
      <c r="Z9414" s="318"/>
      <c r="AA9414" s="318"/>
      <c r="AB9414" s="318"/>
      <c r="AC9414" s="318"/>
      <c r="AD9414" s="318"/>
    </row>
    <row r="9415" spans="2:30" s="323" customFormat="1" ht="12" customHeight="1">
      <c r="B9415" s="324"/>
      <c r="C9415" s="325"/>
      <c r="D9415" s="326"/>
      <c r="E9415" s="326"/>
      <c r="F9415" s="326"/>
      <c r="G9415" s="326"/>
      <c r="H9415" s="326"/>
      <c r="P9415" s="318"/>
      <c r="Q9415" s="318"/>
      <c r="R9415" s="318"/>
      <c r="S9415" s="318"/>
      <c r="T9415" s="318"/>
      <c r="U9415" s="318"/>
      <c r="V9415" s="318"/>
      <c r="W9415" s="318"/>
      <c r="X9415" s="318"/>
      <c r="Y9415" s="318"/>
      <c r="Z9415" s="318"/>
      <c r="AA9415" s="318"/>
      <c r="AB9415" s="318"/>
      <c r="AC9415" s="318"/>
      <c r="AD9415" s="318"/>
    </row>
    <row r="9416" spans="2:30" s="323" customFormat="1" ht="12" customHeight="1">
      <c r="B9416" s="324"/>
      <c r="C9416" s="325"/>
      <c r="D9416" s="326"/>
      <c r="E9416" s="326"/>
      <c r="F9416" s="326"/>
      <c r="G9416" s="326"/>
      <c r="H9416" s="326"/>
      <c r="P9416" s="318"/>
      <c r="Q9416" s="318"/>
      <c r="R9416" s="318"/>
      <c r="S9416" s="318"/>
      <c r="T9416" s="318"/>
      <c r="U9416" s="318"/>
      <c r="V9416" s="318"/>
      <c r="W9416" s="318"/>
      <c r="X9416" s="318"/>
      <c r="Y9416" s="318"/>
      <c r="Z9416" s="318"/>
      <c r="AA9416" s="318"/>
      <c r="AB9416" s="318"/>
      <c r="AC9416" s="318"/>
      <c r="AD9416" s="318"/>
    </row>
    <row r="9417" spans="2:30" s="323" customFormat="1" ht="12" customHeight="1">
      <c r="B9417" s="324"/>
      <c r="C9417" s="325"/>
      <c r="D9417" s="326"/>
      <c r="E9417" s="326"/>
      <c r="F9417" s="326"/>
      <c r="G9417" s="326"/>
      <c r="H9417" s="326"/>
      <c r="P9417" s="318"/>
      <c r="Q9417" s="318"/>
      <c r="R9417" s="318"/>
      <c r="S9417" s="318"/>
      <c r="T9417" s="318"/>
      <c r="U9417" s="318"/>
      <c r="V9417" s="318"/>
      <c r="W9417" s="318"/>
      <c r="X9417" s="318"/>
      <c r="Y9417" s="318"/>
      <c r="Z9417" s="318"/>
      <c r="AA9417" s="318"/>
      <c r="AB9417" s="318"/>
      <c r="AC9417" s="318"/>
      <c r="AD9417" s="318"/>
    </row>
    <row r="9418" spans="2:30" s="323" customFormat="1" ht="12" customHeight="1">
      <c r="B9418" s="324"/>
      <c r="C9418" s="325"/>
      <c r="D9418" s="326"/>
      <c r="E9418" s="326"/>
      <c r="F9418" s="326"/>
      <c r="G9418" s="326"/>
      <c r="H9418" s="326"/>
      <c r="P9418" s="318"/>
      <c r="Q9418" s="318"/>
      <c r="R9418" s="318"/>
      <c r="S9418" s="318"/>
      <c r="T9418" s="318"/>
      <c r="U9418" s="318"/>
      <c r="V9418" s="318"/>
      <c r="W9418" s="318"/>
      <c r="X9418" s="318"/>
      <c r="Y9418" s="318"/>
      <c r="Z9418" s="318"/>
      <c r="AA9418" s="318"/>
      <c r="AB9418" s="318"/>
      <c r="AC9418" s="318"/>
      <c r="AD9418" s="318"/>
    </row>
    <row r="9419" spans="2:30" s="323" customFormat="1" ht="12" customHeight="1">
      <c r="B9419" s="324"/>
      <c r="C9419" s="325"/>
      <c r="D9419" s="326"/>
      <c r="E9419" s="326"/>
      <c r="F9419" s="326"/>
      <c r="G9419" s="326"/>
      <c r="H9419" s="326"/>
      <c r="P9419" s="318"/>
      <c r="Q9419" s="318"/>
      <c r="R9419" s="318"/>
      <c r="S9419" s="318"/>
      <c r="T9419" s="318"/>
      <c r="U9419" s="318"/>
      <c r="V9419" s="318"/>
      <c r="W9419" s="318"/>
      <c r="X9419" s="318"/>
      <c r="Y9419" s="318"/>
      <c r="Z9419" s="318"/>
      <c r="AA9419" s="318"/>
      <c r="AB9419" s="318"/>
      <c r="AC9419" s="318"/>
      <c r="AD9419" s="318"/>
    </row>
    <row r="9420" spans="2:30" s="323" customFormat="1" ht="12" customHeight="1">
      <c r="B9420" s="324"/>
      <c r="C9420" s="325"/>
      <c r="D9420" s="326"/>
      <c r="E9420" s="326"/>
      <c r="F9420" s="326"/>
      <c r="G9420" s="326"/>
      <c r="H9420" s="326"/>
      <c r="P9420" s="318"/>
      <c r="Q9420" s="318"/>
      <c r="R9420" s="318"/>
      <c r="S9420" s="318"/>
      <c r="T9420" s="318"/>
      <c r="U9420" s="318"/>
      <c r="V9420" s="318"/>
      <c r="W9420" s="318"/>
      <c r="X9420" s="318"/>
      <c r="Y9420" s="318"/>
      <c r="Z9420" s="318"/>
      <c r="AA9420" s="318"/>
      <c r="AB9420" s="318"/>
      <c r="AC9420" s="318"/>
      <c r="AD9420" s="318"/>
    </row>
    <row r="9421" spans="2:30" s="323" customFormat="1" ht="12" customHeight="1">
      <c r="B9421" s="324"/>
      <c r="C9421" s="325"/>
      <c r="D9421" s="326"/>
      <c r="E9421" s="326"/>
      <c r="F9421" s="326"/>
      <c r="G9421" s="326"/>
      <c r="H9421" s="326"/>
      <c r="P9421" s="318"/>
      <c r="Q9421" s="318"/>
      <c r="R9421" s="318"/>
      <c r="S9421" s="318"/>
      <c r="T9421" s="318"/>
      <c r="U9421" s="318"/>
      <c r="V9421" s="318"/>
      <c r="W9421" s="318"/>
      <c r="X9421" s="318"/>
      <c r="Y9421" s="318"/>
      <c r="Z9421" s="318"/>
      <c r="AA9421" s="318"/>
      <c r="AB9421" s="318"/>
      <c r="AC9421" s="318"/>
      <c r="AD9421" s="318"/>
    </row>
    <row r="9422" spans="2:30" s="323" customFormat="1" ht="12" customHeight="1">
      <c r="B9422" s="324"/>
      <c r="C9422" s="325"/>
      <c r="D9422" s="326"/>
      <c r="E9422" s="326"/>
      <c r="F9422" s="326"/>
      <c r="G9422" s="326"/>
      <c r="H9422" s="326"/>
      <c r="P9422" s="318"/>
      <c r="Q9422" s="318"/>
      <c r="R9422" s="318"/>
      <c r="S9422" s="318"/>
      <c r="T9422" s="318"/>
      <c r="U9422" s="318"/>
      <c r="V9422" s="318"/>
      <c r="W9422" s="318"/>
      <c r="X9422" s="318"/>
      <c r="Y9422" s="318"/>
      <c r="Z9422" s="318"/>
      <c r="AA9422" s="318"/>
      <c r="AB9422" s="318"/>
      <c r="AC9422" s="318"/>
      <c r="AD9422" s="318"/>
    </row>
    <row r="9423" spans="2:30" s="323" customFormat="1" ht="12" customHeight="1">
      <c r="B9423" s="324"/>
      <c r="C9423" s="325"/>
      <c r="D9423" s="326"/>
      <c r="E9423" s="326"/>
      <c r="F9423" s="326"/>
      <c r="G9423" s="326"/>
      <c r="H9423" s="326"/>
      <c r="P9423" s="318"/>
      <c r="Q9423" s="318"/>
      <c r="R9423" s="318"/>
      <c r="S9423" s="318"/>
      <c r="T9423" s="318"/>
      <c r="U9423" s="318"/>
      <c r="V9423" s="318"/>
      <c r="W9423" s="318"/>
      <c r="X9423" s="318"/>
      <c r="Y9423" s="318"/>
      <c r="Z9423" s="318"/>
      <c r="AA9423" s="318"/>
      <c r="AB9423" s="318"/>
      <c r="AC9423" s="318"/>
      <c r="AD9423" s="318"/>
    </row>
    <row r="9424" spans="2:30" s="323" customFormat="1" ht="12" customHeight="1">
      <c r="B9424" s="324"/>
      <c r="C9424" s="325"/>
      <c r="D9424" s="326"/>
      <c r="E9424" s="326"/>
      <c r="F9424" s="326"/>
      <c r="G9424" s="326"/>
      <c r="H9424" s="326"/>
      <c r="P9424" s="318"/>
      <c r="Q9424" s="318"/>
      <c r="R9424" s="318"/>
      <c r="S9424" s="318"/>
      <c r="T9424" s="318"/>
      <c r="U9424" s="318"/>
      <c r="V9424" s="318"/>
      <c r="W9424" s="318"/>
      <c r="X9424" s="318"/>
      <c r="Y9424" s="318"/>
      <c r="Z9424" s="318"/>
      <c r="AA9424" s="318"/>
      <c r="AB9424" s="318"/>
      <c r="AC9424" s="318"/>
      <c r="AD9424" s="318"/>
    </row>
    <row r="9425" spans="2:30" s="323" customFormat="1" ht="12" customHeight="1">
      <c r="B9425" s="324"/>
      <c r="C9425" s="325"/>
      <c r="D9425" s="326"/>
      <c r="E9425" s="326"/>
      <c r="F9425" s="326"/>
      <c r="G9425" s="326"/>
      <c r="H9425" s="326"/>
      <c r="P9425" s="318"/>
      <c r="Q9425" s="318"/>
      <c r="R9425" s="318"/>
      <c r="S9425" s="318"/>
      <c r="T9425" s="318"/>
      <c r="U9425" s="318"/>
      <c r="V9425" s="318"/>
      <c r="W9425" s="318"/>
      <c r="X9425" s="318"/>
      <c r="Y9425" s="318"/>
      <c r="Z9425" s="318"/>
      <c r="AA9425" s="318"/>
      <c r="AB9425" s="318"/>
      <c r="AC9425" s="318"/>
      <c r="AD9425" s="318"/>
    </row>
    <row r="9426" spans="2:30" s="323" customFormat="1" ht="12" customHeight="1">
      <c r="B9426" s="324"/>
      <c r="C9426" s="325"/>
      <c r="D9426" s="326"/>
      <c r="E9426" s="326"/>
      <c r="F9426" s="326"/>
      <c r="G9426" s="326"/>
      <c r="H9426" s="326"/>
      <c r="P9426" s="318"/>
      <c r="Q9426" s="318"/>
      <c r="R9426" s="318"/>
      <c r="S9426" s="318"/>
      <c r="T9426" s="318"/>
      <c r="U9426" s="318"/>
      <c r="V9426" s="318"/>
      <c r="W9426" s="318"/>
      <c r="X9426" s="318"/>
      <c r="Y9426" s="318"/>
      <c r="Z9426" s="318"/>
      <c r="AA9426" s="318"/>
      <c r="AB9426" s="318"/>
      <c r="AC9426" s="318"/>
      <c r="AD9426" s="318"/>
    </row>
    <row r="9427" spans="2:30" s="323" customFormat="1" ht="12" customHeight="1">
      <c r="B9427" s="324"/>
      <c r="C9427" s="325"/>
      <c r="D9427" s="326"/>
      <c r="E9427" s="326"/>
      <c r="F9427" s="326"/>
      <c r="G9427" s="326"/>
      <c r="H9427" s="326"/>
      <c r="P9427" s="318"/>
      <c r="Q9427" s="318"/>
      <c r="R9427" s="318"/>
      <c r="S9427" s="318"/>
      <c r="T9427" s="318"/>
      <c r="U9427" s="318"/>
      <c r="V9427" s="318"/>
      <c r="W9427" s="318"/>
      <c r="X9427" s="318"/>
      <c r="Y9427" s="318"/>
      <c r="Z9427" s="318"/>
      <c r="AA9427" s="318"/>
      <c r="AB9427" s="318"/>
      <c r="AC9427" s="318"/>
      <c r="AD9427" s="318"/>
    </row>
    <row r="9428" spans="2:30" s="323" customFormat="1" ht="12" customHeight="1">
      <c r="B9428" s="324"/>
      <c r="C9428" s="325"/>
      <c r="D9428" s="326"/>
      <c r="E9428" s="326"/>
      <c r="F9428" s="326"/>
      <c r="G9428" s="326"/>
      <c r="H9428" s="326"/>
      <c r="P9428" s="318"/>
      <c r="Q9428" s="318"/>
      <c r="R9428" s="318"/>
      <c r="S9428" s="318"/>
      <c r="T9428" s="318"/>
      <c r="U9428" s="318"/>
      <c r="V9428" s="318"/>
      <c r="W9428" s="318"/>
      <c r="X9428" s="318"/>
      <c r="Y9428" s="318"/>
      <c r="Z9428" s="318"/>
      <c r="AA9428" s="318"/>
      <c r="AB9428" s="318"/>
      <c r="AC9428" s="318"/>
      <c r="AD9428" s="318"/>
    </row>
    <row r="9429" spans="2:30" s="323" customFormat="1" ht="12" customHeight="1">
      <c r="B9429" s="324"/>
      <c r="C9429" s="325"/>
      <c r="D9429" s="326"/>
      <c r="E9429" s="326"/>
      <c r="F9429" s="326"/>
      <c r="G9429" s="326"/>
      <c r="H9429" s="326"/>
      <c r="P9429" s="318"/>
      <c r="Q9429" s="318"/>
      <c r="R9429" s="318"/>
      <c r="S9429" s="318"/>
      <c r="T9429" s="318"/>
      <c r="U9429" s="318"/>
      <c r="V9429" s="318"/>
      <c r="W9429" s="318"/>
      <c r="X9429" s="318"/>
      <c r="Y9429" s="318"/>
      <c r="Z9429" s="318"/>
      <c r="AA9429" s="318"/>
      <c r="AB9429" s="318"/>
      <c r="AC9429" s="318"/>
      <c r="AD9429" s="318"/>
    </row>
    <row r="9430" spans="2:30" s="323" customFormat="1" ht="12" customHeight="1">
      <c r="B9430" s="324"/>
      <c r="C9430" s="325"/>
      <c r="D9430" s="326"/>
      <c r="E9430" s="326"/>
      <c r="F9430" s="326"/>
      <c r="G9430" s="326"/>
      <c r="H9430" s="326"/>
      <c r="P9430" s="318"/>
      <c r="Q9430" s="318"/>
      <c r="R9430" s="318"/>
      <c r="S9430" s="318"/>
      <c r="T9430" s="318"/>
      <c r="U9430" s="318"/>
      <c r="V9430" s="318"/>
      <c r="W9430" s="318"/>
      <c r="X9430" s="318"/>
      <c r="Y9430" s="318"/>
      <c r="Z9430" s="318"/>
      <c r="AA9430" s="318"/>
      <c r="AB9430" s="318"/>
      <c r="AC9430" s="318"/>
      <c r="AD9430" s="318"/>
    </row>
    <row r="9431" spans="2:30" s="323" customFormat="1" ht="12" customHeight="1">
      <c r="B9431" s="324"/>
      <c r="C9431" s="325"/>
      <c r="D9431" s="326"/>
      <c r="E9431" s="326"/>
      <c r="F9431" s="326"/>
      <c r="G9431" s="326"/>
      <c r="H9431" s="326"/>
      <c r="P9431" s="318"/>
      <c r="Q9431" s="318"/>
      <c r="R9431" s="318"/>
      <c r="S9431" s="318"/>
      <c r="T9431" s="318"/>
      <c r="U9431" s="318"/>
      <c r="V9431" s="318"/>
      <c r="W9431" s="318"/>
      <c r="X9431" s="318"/>
      <c r="Y9431" s="318"/>
      <c r="Z9431" s="318"/>
      <c r="AA9431" s="318"/>
      <c r="AB9431" s="318"/>
      <c r="AC9431" s="318"/>
      <c r="AD9431" s="318"/>
    </row>
    <row r="9432" spans="2:30" s="323" customFormat="1" ht="12" customHeight="1">
      <c r="B9432" s="324"/>
      <c r="C9432" s="325"/>
      <c r="D9432" s="326"/>
      <c r="E9432" s="326"/>
      <c r="F9432" s="326"/>
      <c r="G9432" s="326"/>
      <c r="H9432" s="326"/>
      <c r="P9432" s="318"/>
      <c r="Q9432" s="318"/>
      <c r="R9432" s="318"/>
      <c r="S9432" s="318"/>
      <c r="T9432" s="318"/>
      <c r="U9432" s="318"/>
      <c r="V9432" s="318"/>
      <c r="W9432" s="318"/>
      <c r="X9432" s="318"/>
      <c r="Y9432" s="318"/>
      <c r="Z9432" s="318"/>
      <c r="AA9432" s="318"/>
      <c r="AB9432" s="318"/>
      <c r="AC9432" s="318"/>
      <c r="AD9432" s="318"/>
    </row>
    <row r="9433" spans="2:30" s="323" customFormat="1" ht="12" customHeight="1">
      <c r="B9433" s="324"/>
      <c r="C9433" s="325"/>
      <c r="D9433" s="326"/>
      <c r="E9433" s="326"/>
      <c r="F9433" s="326"/>
      <c r="G9433" s="326"/>
      <c r="H9433" s="326"/>
      <c r="P9433" s="318"/>
      <c r="Q9433" s="318"/>
      <c r="R9433" s="318"/>
      <c r="S9433" s="318"/>
      <c r="T9433" s="318"/>
      <c r="U9433" s="318"/>
      <c r="V9433" s="318"/>
      <c r="W9433" s="318"/>
      <c r="X9433" s="318"/>
      <c r="Y9433" s="318"/>
      <c r="Z9433" s="318"/>
      <c r="AA9433" s="318"/>
      <c r="AB9433" s="318"/>
      <c r="AC9433" s="318"/>
      <c r="AD9433" s="318"/>
    </row>
    <row r="9434" spans="2:30" s="323" customFormat="1" ht="12" customHeight="1">
      <c r="B9434" s="324"/>
      <c r="C9434" s="325"/>
      <c r="D9434" s="326"/>
      <c r="E9434" s="326"/>
      <c r="F9434" s="326"/>
      <c r="G9434" s="326"/>
      <c r="H9434" s="326"/>
      <c r="P9434" s="318"/>
      <c r="Q9434" s="318"/>
      <c r="R9434" s="318"/>
      <c r="S9434" s="318"/>
      <c r="T9434" s="318"/>
      <c r="U9434" s="318"/>
      <c r="V9434" s="318"/>
      <c r="W9434" s="318"/>
      <c r="X9434" s="318"/>
      <c r="Y9434" s="318"/>
      <c r="Z9434" s="318"/>
      <c r="AA9434" s="318"/>
      <c r="AB9434" s="318"/>
      <c r="AC9434" s="318"/>
      <c r="AD9434" s="318"/>
    </row>
    <row r="9435" spans="2:30" s="323" customFormat="1" ht="12" customHeight="1">
      <c r="B9435" s="324"/>
      <c r="C9435" s="325"/>
      <c r="D9435" s="326"/>
      <c r="E9435" s="326"/>
      <c r="F9435" s="326"/>
      <c r="G9435" s="326"/>
      <c r="H9435" s="326"/>
      <c r="P9435" s="318"/>
      <c r="Q9435" s="318"/>
      <c r="R9435" s="318"/>
      <c r="S9435" s="318"/>
      <c r="T9435" s="318"/>
      <c r="U9435" s="318"/>
      <c r="V9435" s="318"/>
      <c r="W9435" s="318"/>
      <c r="X9435" s="318"/>
      <c r="Y9435" s="318"/>
      <c r="Z9435" s="318"/>
      <c r="AA9435" s="318"/>
      <c r="AB9435" s="318"/>
      <c r="AC9435" s="318"/>
      <c r="AD9435" s="318"/>
    </row>
    <row r="9436" spans="2:30" s="323" customFormat="1" ht="12" customHeight="1">
      <c r="B9436" s="324"/>
      <c r="C9436" s="325"/>
      <c r="D9436" s="326"/>
      <c r="E9436" s="326"/>
      <c r="F9436" s="326"/>
      <c r="G9436" s="326"/>
      <c r="H9436" s="326"/>
      <c r="P9436" s="318"/>
      <c r="Q9436" s="318"/>
      <c r="R9436" s="318"/>
      <c r="S9436" s="318"/>
      <c r="T9436" s="318"/>
      <c r="U9436" s="318"/>
      <c r="V9436" s="318"/>
      <c r="W9436" s="318"/>
      <c r="X9436" s="318"/>
      <c r="Y9436" s="318"/>
      <c r="Z9436" s="318"/>
      <c r="AA9436" s="318"/>
      <c r="AB9436" s="318"/>
      <c r="AC9436" s="318"/>
      <c r="AD9436" s="318"/>
    </row>
    <row r="9437" spans="2:30" s="323" customFormat="1" ht="12" customHeight="1">
      <c r="B9437" s="324"/>
      <c r="C9437" s="325"/>
      <c r="D9437" s="326"/>
      <c r="E9437" s="326"/>
      <c r="F9437" s="326"/>
      <c r="G9437" s="326"/>
      <c r="H9437" s="326"/>
      <c r="P9437" s="318"/>
      <c r="Q9437" s="318"/>
      <c r="R9437" s="318"/>
      <c r="S9437" s="318"/>
      <c r="T9437" s="318"/>
      <c r="U9437" s="318"/>
      <c r="V9437" s="318"/>
      <c r="W9437" s="318"/>
      <c r="X9437" s="318"/>
      <c r="Y9437" s="318"/>
      <c r="Z9437" s="318"/>
      <c r="AA9437" s="318"/>
      <c r="AB9437" s="318"/>
      <c r="AC9437" s="318"/>
      <c r="AD9437" s="318"/>
    </row>
    <row r="9438" spans="2:30" s="323" customFormat="1" ht="12" customHeight="1">
      <c r="B9438" s="324"/>
      <c r="C9438" s="325"/>
      <c r="D9438" s="326"/>
      <c r="E9438" s="326"/>
      <c r="F9438" s="326"/>
      <c r="G9438" s="326"/>
      <c r="H9438" s="326"/>
      <c r="P9438" s="318"/>
      <c r="Q9438" s="318"/>
      <c r="R9438" s="318"/>
      <c r="S9438" s="318"/>
      <c r="T9438" s="318"/>
      <c r="U9438" s="318"/>
      <c r="V9438" s="318"/>
      <c r="W9438" s="318"/>
      <c r="X9438" s="318"/>
      <c r="Y9438" s="318"/>
      <c r="Z9438" s="318"/>
      <c r="AA9438" s="318"/>
      <c r="AB9438" s="318"/>
      <c r="AC9438" s="318"/>
      <c r="AD9438" s="318"/>
    </row>
    <row r="9439" spans="2:30" s="323" customFormat="1" ht="12" customHeight="1">
      <c r="B9439" s="324"/>
      <c r="C9439" s="325"/>
      <c r="D9439" s="326"/>
      <c r="E9439" s="326"/>
      <c r="F9439" s="326"/>
      <c r="G9439" s="326"/>
      <c r="H9439" s="326"/>
      <c r="P9439" s="318"/>
      <c r="Q9439" s="318"/>
      <c r="R9439" s="318"/>
      <c r="S9439" s="318"/>
      <c r="T9439" s="318"/>
      <c r="U9439" s="318"/>
      <c r="V9439" s="318"/>
      <c r="W9439" s="318"/>
      <c r="X9439" s="318"/>
      <c r="Y9439" s="318"/>
      <c r="Z9439" s="318"/>
      <c r="AA9439" s="318"/>
      <c r="AB9439" s="318"/>
      <c r="AC9439" s="318"/>
      <c r="AD9439" s="318"/>
    </row>
    <row r="9440" spans="2:30" s="323" customFormat="1" ht="12" customHeight="1">
      <c r="B9440" s="324"/>
      <c r="C9440" s="325"/>
      <c r="D9440" s="326"/>
      <c r="E9440" s="326"/>
      <c r="F9440" s="326"/>
      <c r="G9440" s="326"/>
      <c r="H9440" s="326"/>
      <c r="P9440" s="318"/>
      <c r="Q9440" s="318"/>
      <c r="R9440" s="318"/>
      <c r="S9440" s="318"/>
      <c r="T9440" s="318"/>
      <c r="U9440" s="318"/>
      <c r="V9440" s="318"/>
      <c r="W9440" s="318"/>
      <c r="X9440" s="318"/>
      <c r="Y9440" s="318"/>
      <c r="Z9440" s="318"/>
      <c r="AA9440" s="318"/>
      <c r="AB9440" s="318"/>
      <c r="AC9440" s="318"/>
      <c r="AD9440" s="318"/>
    </row>
    <row r="9441" spans="2:30" s="323" customFormat="1" ht="12" customHeight="1">
      <c r="B9441" s="324"/>
      <c r="C9441" s="325"/>
      <c r="D9441" s="326"/>
      <c r="E9441" s="326"/>
      <c r="F9441" s="326"/>
      <c r="G9441" s="326"/>
      <c r="H9441" s="326"/>
      <c r="P9441" s="318"/>
      <c r="Q9441" s="318"/>
      <c r="R9441" s="318"/>
      <c r="S9441" s="318"/>
      <c r="T9441" s="318"/>
      <c r="U9441" s="318"/>
      <c r="V9441" s="318"/>
      <c r="W9441" s="318"/>
      <c r="X9441" s="318"/>
      <c r="Y9441" s="318"/>
      <c r="Z9441" s="318"/>
      <c r="AA9441" s="318"/>
      <c r="AB9441" s="318"/>
      <c r="AC9441" s="318"/>
      <c r="AD9441" s="318"/>
    </row>
    <row r="9442" spans="2:30" s="323" customFormat="1" ht="12" customHeight="1">
      <c r="B9442" s="324"/>
      <c r="C9442" s="325"/>
      <c r="D9442" s="326"/>
      <c r="E9442" s="326"/>
      <c r="F9442" s="326"/>
      <c r="G9442" s="326"/>
      <c r="H9442" s="326"/>
      <c r="P9442" s="318"/>
      <c r="Q9442" s="318"/>
      <c r="R9442" s="318"/>
      <c r="S9442" s="318"/>
      <c r="T9442" s="318"/>
      <c r="U9442" s="318"/>
      <c r="V9442" s="318"/>
      <c r="W9442" s="318"/>
      <c r="X9442" s="318"/>
      <c r="Y9442" s="318"/>
      <c r="Z9442" s="318"/>
      <c r="AA9442" s="318"/>
      <c r="AB9442" s="318"/>
      <c r="AC9442" s="318"/>
      <c r="AD9442" s="318"/>
    </row>
    <row r="9443" spans="2:30" s="323" customFormat="1" ht="12" customHeight="1">
      <c r="B9443" s="324"/>
      <c r="C9443" s="325"/>
      <c r="D9443" s="326"/>
      <c r="E9443" s="326"/>
      <c r="F9443" s="326"/>
      <c r="G9443" s="326"/>
      <c r="H9443" s="326"/>
      <c r="P9443" s="318"/>
      <c r="Q9443" s="318"/>
      <c r="R9443" s="318"/>
      <c r="S9443" s="318"/>
      <c r="T9443" s="318"/>
      <c r="U9443" s="318"/>
      <c r="V9443" s="318"/>
      <c r="W9443" s="318"/>
      <c r="X9443" s="318"/>
      <c r="Y9443" s="318"/>
      <c r="Z9443" s="318"/>
      <c r="AA9443" s="318"/>
      <c r="AB9443" s="318"/>
      <c r="AC9443" s="318"/>
      <c r="AD9443" s="318"/>
    </row>
    <row r="9444" spans="2:30" s="323" customFormat="1" ht="12" customHeight="1">
      <c r="B9444" s="324"/>
      <c r="C9444" s="325"/>
      <c r="D9444" s="326"/>
      <c r="E9444" s="326"/>
      <c r="F9444" s="326"/>
      <c r="G9444" s="326"/>
      <c r="H9444" s="326"/>
      <c r="P9444" s="318"/>
      <c r="Q9444" s="318"/>
      <c r="R9444" s="318"/>
      <c r="S9444" s="318"/>
      <c r="T9444" s="318"/>
      <c r="U9444" s="318"/>
      <c r="V9444" s="318"/>
      <c r="W9444" s="318"/>
      <c r="X9444" s="318"/>
      <c r="Y9444" s="318"/>
      <c r="Z9444" s="318"/>
      <c r="AA9444" s="318"/>
      <c r="AB9444" s="318"/>
      <c r="AC9444" s="318"/>
      <c r="AD9444" s="318"/>
    </row>
    <row r="9445" spans="2:30" s="323" customFormat="1" ht="12" customHeight="1">
      <c r="B9445" s="324"/>
      <c r="C9445" s="325"/>
      <c r="D9445" s="326"/>
      <c r="E9445" s="326"/>
      <c r="F9445" s="326"/>
      <c r="G9445" s="326"/>
      <c r="H9445" s="326"/>
      <c r="P9445" s="318"/>
      <c r="Q9445" s="318"/>
      <c r="R9445" s="318"/>
      <c r="S9445" s="318"/>
      <c r="T9445" s="318"/>
      <c r="U9445" s="318"/>
      <c r="V9445" s="318"/>
      <c r="W9445" s="318"/>
      <c r="X9445" s="318"/>
      <c r="Y9445" s="318"/>
      <c r="Z9445" s="318"/>
      <c r="AA9445" s="318"/>
      <c r="AB9445" s="318"/>
      <c r="AC9445" s="318"/>
      <c r="AD9445" s="318"/>
    </row>
    <row r="9446" spans="2:30" s="323" customFormat="1" ht="12" customHeight="1">
      <c r="B9446" s="324"/>
      <c r="C9446" s="325"/>
      <c r="D9446" s="326"/>
      <c r="E9446" s="326"/>
      <c r="F9446" s="326"/>
      <c r="G9446" s="326"/>
      <c r="H9446" s="326"/>
      <c r="P9446" s="318"/>
      <c r="Q9446" s="318"/>
      <c r="R9446" s="318"/>
      <c r="S9446" s="318"/>
      <c r="T9446" s="318"/>
      <c r="U9446" s="318"/>
      <c r="V9446" s="318"/>
      <c r="W9446" s="318"/>
      <c r="X9446" s="318"/>
      <c r="Y9446" s="318"/>
      <c r="Z9446" s="318"/>
      <c r="AA9446" s="318"/>
      <c r="AB9446" s="318"/>
      <c r="AC9446" s="318"/>
      <c r="AD9446" s="318"/>
    </row>
    <row r="9447" spans="2:30" s="323" customFormat="1" ht="12" customHeight="1">
      <c r="B9447" s="324"/>
      <c r="C9447" s="325"/>
      <c r="D9447" s="326"/>
      <c r="E9447" s="326"/>
      <c r="F9447" s="326"/>
      <c r="G9447" s="326"/>
      <c r="H9447" s="326"/>
      <c r="P9447" s="318"/>
      <c r="Q9447" s="318"/>
      <c r="R9447" s="318"/>
      <c r="S9447" s="318"/>
      <c r="T9447" s="318"/>
      <c r="U9447" s="318"/>
      <c r="V9447" s="318"/>
      <c r="W9447" s="318"/>
      <c r="X9447" s="318"/>
      <c r="Y9447" s="318"/>
      <c r="Z9447" s="318"/>
      <c r="AA9447" s="318"/>
      <c r="AB9447" s="318"/>
      <c r="AC9447" s="318"/>
      <c r="AD9447" s="318"/>
    </row>
    <row r="9448" spans="2:30" s="323" customFormat="1" ht="12" customHeight="1">
      <c r="B9448" s="324"/>
      <c r="C9448" s="325"/>
      <c r="D9448" s="326"/>
      <c r="E9448" s="326"/>
      <c r="F9448" s="326"/>
      <c r="G9448" s="326"/>
      <c r="H9448" s="326"/>
      <c r="P9448" s="318"/>
      <c r="Q9448" s="318"/>
      <c r="R9448" s="318"/>
      <c r="S9448" s="318"/>
      <c r="T9448" s="318"/>
      <c r="U9448" s="318"/>
      <c r="V9448" s="318"/>
      <c r="W9448" s="318"/>
      <c r="X9448" s="318"/>
      <c r="Y9448" s="318"/>
      <c r="Z9448" s="318"/>
      <c r="AA9448" s="318"/>
      <c r="AB9448" s="318"/>
      <c r="AC9448" s="318"/>
      <c r="AD9448" s="318"/>
    </row>
    <row r="9449" spans="2:30" s="323" customFormat="1" ht="12" customHeight="1">
      <c r="B9449" s="324"/>
      <c r="C9449" s="325"/>
      <c r="D9449" s="326"/>
      <c r="E9449" s="326"/>
      <c r="F9449" s="326"/>
      <c r="G9449" s="326"/>
      <c r="H9449" s="326"/>
      <c r="P9449" s="318"/>
      <c r="Q9449" s="318"/>
      <c r="R9449" s="318"/>
      <c r="S9449" s="318"/>
      <c r="T9449" s="318"/>
      <c r="U9449" s="318"/>
      <c r="V9449" s="318"/>
      <c r="W9449" s="318"/>
      <c r="X9449" s="318"/>
      <c r="Y9449" s="318"/>
      <c r="Z9449" s="318"/>
      <c r="AA9449" s="318"/>
      <c r="AB9449" s="318"/>
      <c r="AC9449" s="318"/>
      <c r="AD9449" s="318"/>
    </row>
    <row r="9450" spans="2:30" s="323" customFormat="1" ht="12" customHeight="1">
      <c r="B9450" s="324"/>
      <c r="C9450" s="325"/>
      <c r="D9450" s="326"/>
      <c r="E9450" s="326"/>
      <c r="F9450" s="326"/>
      <c r="G9450" s="326"/>
      <c r="H9450" s="326"/>
      <c r="P9450" s="318"/>
      <c r="Q9450" s="318"/>
      <c r="R9450" s="318"/>
      <c r="S9450" s="318"/>
      <c r="T9450" s="318"/>
      <c r="U9450" s="318"/>
      <c r="V9450" s="318"/>
      <c r="W9450" s="318"/>
      <c r="X9450" s="318"/>
      <c r="Y9450" s="318"/>
      <c r="Z9450" s="318"/>
      <c r="AA9450" s="318"/>
      <c r="AB9450" s="318"/>
      <c r="AC9450" s="318"/>
      <c r="AD9450" s="318"/>
    </row>
    <row r="9451" spans="2:30" s="323" customFormat="1" ht="12" customHeight="1">
      <c r="B9451" s="324"/>
      <c r="C9451" s="325"/>
      <c r="D9451" s="326"/>
      <c r="E9451" s="326"/>
      <c r="F9451" s="326"/>
      <c r="G9451" s="326"/>
      <c r="H9451" s="326"/>
      <c r="P9451" s="318"/>
      <c r="Q9451" s="318"/>
      <c r="R9451" s="318"/>
      <c r="S9451" s="318"/>
      <c r="T9451" s="318"/>
      <c r="U9451" s="318"/>
      <c r="V9451" s="318"/>
      <c r="W9451" s="318"/>
      <c r="X9451" s="318"/>
      <c r="Y9451" s="318"/>
      <c r="Z9451" s="318"/>
      <c r="AA9451" s="318"/>
      <c r="AB9451" s="318"/>
      <c r="AC9451" s="318"/>
      <c r="AD9451" s="318"/>
    </row>
    <row r="9452" spans="2:30" s="323" customFormat="1" ht="12" customHeight="1">
      <c r="B9452" s="324"/>
      <c r="C9452" s="325"/>
      <c r="D9452" s="326"/>
      <c r="E9452" s="326"/>
      <c r="F9452" s="326"/>
      <c r="G9452" s="326"/>
      <c r="H9452" s="326"/>
      <c r="P9452" s="318"/>
      <c r="Q9452" s="318"/>
      <c r="R9452" s="318"/>
      <c r="S9452" s="318"/>
      <c r="T9452" s="318"/>
      <c r="U9452" s="318"/>
      <c r="V9452" s="318"/>
      <c r="W9452" s="318"/>
      <c r="X9452" s="318"/>
      <c r="Y9452" s="318"/>
      <c r="Z9452" s="318"/>
      <c r="AA9452" s="318"/>
      <c r="AB9452" s="318"/>
      <c r="AC9452" s="318"/>
      <c r="AD9452" s="318"/>
    </row>
    <row r="9453" spans="2:30" s="323" customFormat="1" ht="12" customHeight="1">
      <c r="B9453" s="324"/>
      <c r="C9453" s="325"/>
      <c r="D9453" s="326"/>
      <c r="E9453" s="326"/>
      <c r="F9453" s="326"/>
      <c r="G9453" s="326"/>
      <c r="H9453" s="326"/>
      <c r="P9453" s="318"/>
      <c r="Q9453" s="318"/>
      <c r="R9453" s="318"/>
      <c r="S9453" s="318"/>
      <c r="T9453" s="318"/>
      <c r="U9453" s="318"/>
      <c r="V9453" s="318"/>
      <c r="W9453" s="318"/>
      <c r="X9453" s="318"/>
      <c r="Y9453" s="318"/>
      <c r="Z9453" s="318"/>
      <c r="AA9453" s="318"/>
      <c r="AB9453" s="318"/>
      <c r="AC9453" s="318"/>
      <c r="AD9453" s="318"/>
    </row>
    <row r="9454" spans="2:30" s="323" customFormat="1" ht="12" customHeight="1">
      <c r="B9454" s="324"/>
      <c r="C9454" s="325"/>
      <c r="D9454" s="326"/>
      <c r="E9454" s="326"/>
      <c r="F9454" s="326"/>
      <c r="G9454" s="326"/>
      <c r="H9454" s="326"/>
      <c r="P9454" s="318"/>
      <c r="Q9454" s="318"/>
      <c r="R9454" s="318"/>
      <c r="S9454" s="318"/>
      <c r="T9454" s="318"/>
      <c r="U9454" s="318"/>
      <c r="V9454" s="318"/>
      <c r="W9454" s="318"/>
      <c r="X9454" s="318"/>
      <c r="Y9454" s="318"/>
      <c r="Z9454" s="318"/>
      <c r="AA9454" s="318"/>
      <c r="AB9454" s="318"/>
      <c r="AC9454" s="318"/>
      <c r="AD9454" s="318"/>
    </row>
    <row r="9455" spans="2:30" s="323" customFormat="1" ht="12" customHeight="1">
      <c r="B9455" s="324"/>
      <c r="C9455" s="325"/>
      <c r="D9455" s="326"/>
      <c r="E9455" s="326"/>
      <c r="F9455" s="326"/>
      <c r="G9455" s="326"/>
      <c r="H9455" s="326"/>
      <c r="P9455" s="318"/>
      <c r="Q9455" s="318"/>
      <c r="R9455" s="318"/>
      <c r="S9455" s="318"/>
      <c r="T9455" s="318"/>
      <c r="U9455" s="318"/>
      <c r="V9455" s="318"/>
      <c r="W9455" s="318"/>
      <c r="X9455" s="318"/>
      <c r="Y9455" s="318"/>
      <c r="Z9455" s="318"/>
      <c r="AA9455" s="318"/>
      <c r="AB9455" s="318"/>
      <c r="AC9455" s="318"/>
      <c r="AD9455" s="318"/>
    </row>
    <row r="9456" spans="2:30" s="323" customFormat="1" ht="12" customHeight="1">
      <c r="B9456" s="324"/>
      <c r="C9456" s="325"/>
      <c r="D9456" s="326"/>
      <c r="E9456" s="326"/>
      <c r="F9456" s="326"/>
      <c r="G9456" s="326"/>
      <c r="H9456" s="326"/>
      <c r="P9456" s="318"/>
      <c r="Q9456" s="318"/>
      <c r="R9456" s="318"/>
      <c r="S9456" s="318"/>
      <c r="T9456" s="318"/>
      <c r="U9456" s="318"/>
      <c r="V9456" s="318"/>
      <c r="W9456" s="318"/>
      <c r="X9456" s="318"/>
      <c r="Y9456" s="318"/>
      <c r="Z9456" s="318"/>
      <c r="AA9456" s="318"/>
      <c r="AB9456" s="318"/>
      <c r="AC9456" s="318"/>
      <c r="AD9456" s="318"/>
    </row>
    <row r="9457" spans="2:30" s="323" customFormat="1" ht="12" customHeight="1">
      <c r="B9457" s="324"/>
      <c r="C9457" s="325"/>
      <c r="D9457" s="326"/>
      <c r="E9457" s="326"/>
      <c r="F9457" s="326"/>
      <c r="G9457" s="326"/>
      <c r="H9457" s="326"/>
      <c r="P9457" s="318"/>
      <c r="Q9457" s="318"/>
      <c r="R9457" s="318"/>
      <c r="S9457" s="318"/>
      <c r="T9457" s="318"/>
      <c r="U9457" s="318"/>
      <c r="V9457" s="318"/>
      <c r="W9457" s="318"/>
      <c r="X9457" s="318"/>
      <c r="Y9457" s="318"/>
      <c r="Z9457" s="318"/>
      <c r="AA9457" s="318"/>
      <c r="AB9457" s="318"/>
      <c r="AC9457" s="318"/>
      <c r="AD9457" s="318"/>
    </row>
    <row r="9458" spans="2:30" s="323" customFormat="1" ht="12" customHeight="1">
      <c r="B9458" s="324"/>
      <c r="C9458" s="325"/>
      <c r="D9458" s="326"/>
      <c r="E9458" s="326"/>
      <c r="F9458" s="326"/>
      <c r="G9458" s="326"/>
      <c r="H9458" s="326"/>
      <c r="P9458" s="318"/>
      <c r="Q9458" s="318"/>
      <c r="R9458" s="318"/>
      <c r="S9458" s="318"/>
      <c r="T9458" s="318"/>
      <c r="U9458" s="318"/>
      <c r="V9458" s="318"/>
      <c r="W9458" s="318"/>
      <c r="X9458" s="318"/>
      <c r="Y9458" s="318"/>
      <c r="Z9458" s="318"/>
      <c r="AA9458" s="318"/>
      <c r="AB9458" s="318"/>
      <c r="AC9458" s="318"/>
      <c r="AD9458" s="318"/>
    </row>
    <row r="9459" spans="2:30" s="323" customFormat="1" ht="12" customHeight="1">
      <c r="B9459" s="324"/>
      <c r="C9459" s="325"/>
      <c r="D9459" s="326"/>
      <c r="E9459" s="326"/>
      <c r="F9459" s="326"/>
      <c r="G9459" s="326"/>
      <c r="H9459" s="326"/>
      <c r="P9459" s="318"/>
      <c r="Q9459" s="318"/>
      <c r="R9459" s="318"/>
      <c r="S9459" s="318"/>
      <c r="T9459" s="318"/>
      <c r="U9459" s="318"/>
      <c r="V9459" s="318"/>
      <c r="W9459" s="318"/>
      <c r="X9459" s="318"/>
      <c r="Y9459" s="318"/>
      <c r="Z9459" s="318"/>
      <c r="AA9459" s="318"/>
      <c r="AB9459" s="318"/>
      <c r="AC9459" s="318"/>
      <c r="AD9459" s="318"/>
    </row>
    <row r="9460" spans="2:30" s="323" customFormat="1" ht="12" customHeight="1">
      <c r="B9460" s="324"/>
      <c r="C9460" s="325"/>
      <c r="D9460" s="326"/>
      <c r="E9460" s="326"/>
      <c r="F9460" s="326"/>
      <c r="G9460" s="326"/>
      <c r="H9460" s="326"/>
      <c r="P9460" s="318"/>
      <c r="Q9460" s="318"/>
      <c r="R9460" s="318"/>
      <c r="S9460" s="318"/>
      <c r="T9460" s="318"/>
      <c r="U9460" s="318"/>
      <c r="V9460" s="318"/>
      <c r="W9460" s="318"/>
      <c r="X9460" s="318"/>
      <c r="Y9460" s="318"/>
      <c r="Z9460" s="318"/>
      <c r="AA9460" s="318"/>
      <c r="AB9460" s="318"/>
      <c r="AC9460" s="318"/>
      <c r="AD9460" s="318"/>
    </row>
    <row r="9461" spans="2:30" s="323" customFormat="1" ht="12" customHeight="1">
      <c r="B9461" s="324"/>
      <c r="C9461" s="325"/>
      <c r="D9461" s="326"/>
      <c r="E9461" s="326"/>
      <c r="F9461" s="326"/>
      <c r="G9461" s="326"/>
      <c r="H9461" s="326"/>
      <c r="P9461" s="318"/>
      <c r="Q9461" s="318"/>
      <c r="R9461" s="318"/>
      <c r="S9461" s="318"/>
      <c r="T9461" s="318"/>
      <c r="U9461" s="318"/>
      <c r="V9461" s="318"/>
      <c r="W9461" s="318"/>
      <c r="X9461" s="318"/>
      <c r="Y9461" s="318"/>
      <c r="Z9461" s="318"/>
      <c r="AA9461" s="318"/>
      <c r="AB9461" s="318"/>
      <c r="AC9461" s="318"/>
      <c r="AD9461" s="318"/>
    </row>
    <row r="9462" spans="2:30" s="323" customFormat="1" ht="12" customHeight="1">
      <c r="B9462" s="324"/>
      <c r="C9462" s="325"/>
      <c r="D9462" s="326"/>
      <c r="E9462" s="326"/>
      <c r="F9462" s="326"/>
      <c r="G9462" s="326"/>
      <c r="H9462" s="326"/>
      <c r="P9462" s="318"/>
      <c r="Q9462" s="318"/>
      <c r="R9462" s="318"/>
      <c r="S9462" s="318"/>
      <c r="T9462" s="318"/>
      <c r="U9462" s="318"/>
      <c r="V9462" s="318"/>
      <c r="W9462" s="318"/>
      <c r="X9462" s="318"/>
      <c r="Y9462" s="318"/>
      <c r="Z9462" s="318"/>
      <c r="AA9462" s="318"/>
      <c r="AB9462" s="318"/>
      <c r="AC9462" s="318"/>
      <c r="AD9462" s="318"/>
    </row>
    <row r="9463" spans="2:30" s="323" customFormat="1" ht="12" customHeight="1">
      <c r="B9463" s="324"/>
      <c r="C9463" s="325"/>
      <c r="D9463" s="326"/>
      <c r="E9463" s="326"/>
      <c r="F9463" s="326"/>
      <c r="G9463" s="326"/>
      <c r="H9463" s="326"/>
      <c r="P9463" s="318"/>
      <c r="Q9463" s="318"/>
      <c r="R9463" s="318"/>
      <c r="S9463" s="318"/>
      <c r="T9463" s="318"/>
      <c r="U9463" s="318"/>
      <c r="V9463" s="318"/>
      <c r="W9463" s="318"/>
      <c r="X9463" s="318"/>
      <c r="Y9463" s="318"/>
      <c r="Z9463" s="318"/>
      <c r="AA9463" s="318"/>
      <c r="AB9463" s="318"/>
      <c r="AC9463" s="318"/>
      <c r="AD9463" s="318"/>
    </row>
    <row r="9464" spans="2:30" s="323" customFormat="1" ht="12" customHeight="1">
      <c r="B9464" s="324"/>
      <c r="C9464" s="325"/>
      <c r="D9464" s="326"/>
      <c r="E9464" s="326"/>
      <c r="F9464" s="326"/>
      <c r="G9464" s="326"/>
      <c r="H9464" s="326"/>
      <c r="P9464" s="318"/>
      <c r="Q9464" s="318"/>
      <c r="R9464" s="318"/>
      <c r="S9464" s="318"/>
      <c r="T9464" s="318"/>
      <c r="U9464" s="318"/>
      <c r="V9464" s="318"/>
      <c r="W9464" s="318"/>
      <c r="X9464" s="318"/>
      <c r="Y9464" s="318"/>
      <c r="Z9464" s="318"/>
      <c r="AA9464" s="318"/>
      <c r="AB9464" s="318"/>
      <c r="AC9464" s="318"/>
      <c r="AD9464" s="318"/>
    </row>
    <row r="9465" spans="2:30" s="323" customFormat="1" ht="12" customHeight="1">
      <c r="B9465" s="324"/>
      <c r="C9465" s="325"/>
      <c r="D9465" s="326"/>
      <c r="E9465" s="326"/>
      <c r="F9465" s="326"/>
      <c r="G9465" s="326"/>
      <c r="H9465" s="326"/>
      <c r="P9465" s="318"/>
      <c r="Q9465" s="318"/>
      <c r="R9465" s="318"/>
      <c r="S9465" s="318"/>
      <c r="T9465" s="318"/>
      <c r="U9465" s="318"/>
      <c r="V9465" s="318"/>
      <c r="W9465" s="318"/>
      <c r="X9465" s="318"/>
      <c r="Y9465" s="318"/>
      <c r="Z9465" s="318"/>
      <c r="AA9465" s="318"/>
      <c r="AB9465" s="318"/>
      <c r="AC9465" s="318"/>
      <c r="AD9465" s="318"/>
    </row>
    <row r="9466" spans="2:30" s="323" customFormat="1" ht="12" customHeight="1">
      <c r="B9466" s="324"/>
      <c r="C9466" s="325"/>
      <c r="D9466" s="326"/>
      <c r="E9466" s="326"/>
      <c r="F9466" s="326"/>
      <c r="G9466" s="326"/>
      <c r="H9466" s="326"/>
      <c r="P9466" s="318"/>
      <c r="Q9466" s="318"/>
      <c r="R9466" s="318"/>
      <c r="S9466" s="318"/>
      <c r="T9466" s="318"/>
      <c r="U9466" s="318"/>
      <c r="V9466" s="318"/>
      <c r="W9466" s="318"/>
      <c r="X9466" s="318"/>
      <c r="Y9466" s="318"/>
      <c r="Z9466" s="318"/>
      <c r="AA9466" s="318"/>
      <c r="AB9466" s="318"/>
      <c r="AC9466" s="318"/>
      <c r="AD9466" s="318"/>
    </row>
    <row r="9467" spans="2:30" s="323" customFormat="1" ht="12" customHeight="1">
      <c r="B9467" s="324"/>
      <c r="C9467" s="325"/>
      <c r="D9467" s="326"/>
      <c r="E9467" s="326"/>
      <c r="F9467" s="326"/>
      <c r="G9467" s="326"/>
      <c r="H9467" s="326"/>
      <c r="P9467" s="318"/>
      <c r="Q9467" s="318"/>
      <c r="R9467" s="318"/>
      <c r="S9467" s="318"/>
      <c r="T9467" s="318"/>
      <c r="U9467" s="318"/>
      <c r="V9467" s="318"/>
      <c r="W9467" s="318"/>
      <c r="X9467" s="318"/>
      <c r="Y9467" s="318"/>
      <c r="Z9467" s="318"/>
      <c r="AA9467" s="318"/>
      <c r="AB9467" s="318"/>
      <c r="AC9467" s="318"/>
      <c r="AD9467" s="318"/>
    </row>
    <row r="9468" spans="2:30" s="323" customFormat="1" ht="12" customHeight="1">
      <c r="B9468" s="324"/>
      <c r="C9468" s="325"/>
      <c r="D9468" s="326"/>
      <c r="E9468" s="326"/>
      <c r="F9468" s="326"/>
      <c r="G9468" s="326"/>
      <c r="H9468" s="326"/>
      <c r="P9468" s="318"/>
      <c r="Q9468" s="318"/>
      <c r="R9468" s="318"/>
      <c r="S9468" s="318"/>
      <c r="T9468" s="318"/>
      <c r="U9468" s="318"/>
      <c r="V9468" s="318"/>
      <c r="W9468" s="318"/>
      <c r="X9468" s="318"/>
      <c r="Y9468" s="318"/>
      <c r="Z9468" s="318"/>
      <c r="AA9468" s="318"/>
      <c r="AB9468" s="318"/>
      <c r="AC9468" s="318"/>
      <c r="AD9468" s="318"/>
    </row>
    <row r="9469" spans="2:30" s="323" customFormat="1" ht="12" customHeight="1">
      <c r="B9469" s="324"/>
      <c r="C9469" s="325"/>
      <c r="D9469" s="326"/>
      <c r="E9469" s="326"/>
      <c r="F9469" s="326"/>
      <c r="G9469" s="326"/>
      <c r="H9469" s="326"/>
      <c r="P9469" s="318"/>
      <c r="Q9469" s="318"/>
      <c r="R9469" s="318"/>
      <c r="S9469" s="318"/>
      <c r="T9469" s="318"/>
      <c r="U9469" s="318"/>
      <c r="V9469" s="318"/>
      <c r="W9469" s="318"/>
      <c r="X9469" s="318"/>
      <c r="Y9469" s="318"/>
      <c r="Z9469" s="318"/>
      <c r="AA9469" s="318"/>
      <c r="AB9469" s="318"/>
      <c r="AC9469" s="318"/>
      <c r="AD9469" s="318"/>
    </row>
    <row r="9470" spans="2:30" s="323" customFormat="1" ht="12" customHeight="1">
      <c r="B9470" s="324"/>
      <c r="C9470" s="325"/>
      <c r="D9470" s="326"/>
      <c r="E9470" s="326"/>
      <c r="F9470" s="326"/>
      <c r="G9470" s="326"/>
      <c r="H9470" s="326"/>
      <c r="P9470" s="318"/>
      <c r="Q9470" s="318"/>
      <c r="R9470" s="318"/>
      <c r="S9470" s="318"/>
      <c r="T9470" s="318"/>
      <c r="U9470" s="318"/>
      <c r="V9470" s="318"/>
      <c r="W9470" s="318"/>
      <c r="X9470" s="318"/>
      <c r="Y9470" s="318"/>
      <c r="Z9470" s="318"/>
      <c r="AA9470" s="318"/>
      <c r="AB9470" s="318"/>
      <c r="AC9470" s="318"/>
      <c r="AD9470" s="318"/>
    </row>
    <row r="9471" spans="2:30" s="323" customFormat="1" ht="12" customHeight="1">
      <c r="B9471" s="324"/>
      <c r="C9471" s="325"/>
      <c r="D9471" s="326"/>
      <c r="E9471" s="326"/>
      <c r="F9471" s="326"/>
      <c r="G9471" s="326"/>
      <c r="H9471" s="326"/>
      <c r="P9471" s="318"/>
      <c r="Q9471" s="318"/>
      <c r="R9471" s="318"/>
      <c r="S9471" s="318"/>
      <c r="T9471" s="318"/>
      <c r="U9471" s="318"/>
      <c r="V9471" s="318"/>
      <c r="W9471" s="318"/>
      <c r="X9471" s="318"/>
      <c r="Y9471" s="318"/>
      <c r="Z9471" s="318"/>
      <c r="AA9471" s="318"/>
      <c r="AB9471" s="318"/>
      <c r="AC9471" s="318"/>
      <c r="AD9471" s="318"/>
    </row>
    <row r="9472" spans="2:30" s="323" customFormat="1" ht="12" customHeight="1">
      <c r="B9472" s="324"/>
      <c r="C9472" s="325"/>
      <c r="D9472" s="326"/>
      <c r="E9472" s="326"/>
      <c r="F9472" s="326"/>
      <c r="G9472" s="326"/>
      <c r="H9472" s="326"/>
      <c r="P9472" s="318"/>
      <c r="Q9472" s="318"/>
      <c r="R9472" s="318"/>
      <c r="S9472" s="318"/>
      <c r="T9472" s="318"/>
      <c r="U9472" s="318"/>
      <c r="V9472" s="318"/>
      <c r="W9472" s="318"/>
      <c r="X9472" s="318"/>
      <c r="Y9472" s="318"/>
      <c r="Z9472" s="318"/>
      <c r="AA9472" s="318"/>
      <c r="AB9472" s="318"/>
      <c r="AC9472" s="318"/>
      <c r="AD9472" s="318"/>
    </row>
    <row r="9473" spans="2:30" s="323" customFormat="1" ht="12" customHeight="1">
      <c r="B9473" s="324"/>
      <c r="C9473" s="325"/>
      <c r="D9473" s="326"/>
      <c r="E9473" s="326"/>
      <c r="F9473" s="326"/>
      <c r="G9473" s="326"/>
      <c r="H9473" s="326"/>
      <c r="P9473" s="318"/>
      <c r="Q9473" s="318"/>
      <c r="R9473" s="318"/>
      <c r="S9473" s="318"/>
      <c r="T9473" s="318"/>
      <c r="U9473" s="318"/>
      <c r="V9473" s="318"/>
      <c r="W9473" s="318"/>
      <c r="X9473" s="318"/>
      <c r="Y9473" s="318"/>
      <c r="Z9473" s="318"/>
      <c r="AA9473" s="318"/>
      <c r="AB9473" s="318"/>
      <c r="AC9473" s="318"/>
      <c r="AD9473" s="318"/>
    </row>
    <row r="9474" spans="2:30" s="323" customFormat="1" ht="12" customHeight="1">
      <c r="B9474" s="324"/>
      <c r="C9474" s="325"/>
      <c r="D9474" s="326"/>
      <c r="E9474" s="326"/>
      <c r="F9474" s="326"/>
      <c r="G9474" s="326"/>
      <c r="H9474" s="326"/>
      <c r="P9474" s="318"/>
      <c r="Q9474" s="318"/>
      <c r="R9474" s="318"/>
      <c r="S9474" s="318"/>
      <c r="T9474" s="318"/>
      <c r="U9474" s="318"/>
      <c r="V9474" s="318"/>
      <c r="W9474" s="318"/>
      <c r="X9474" s="318"/>
      <c r="Y9474" s="318"/>
      <c r="Z9474" s="318"/>
      <c r="AA9474" s="318"/>
      <c r="AB9474" s="318"/>
      <c r="AC9474" s="318"/>
      <c r="AD9474" s="318"/>
    </row>
    <row r="9475" spans="2:30" s="323" customFormat="1" ht="12" customHeight="1">
      <c r="B9475" s="324"/>
      <c r="C9475" s="325"/>
      <c r="D9475" s="326"/>
      <c r="E9475" s="326"/>
      <c r="F9475" s="326"/>
      <c r="G9475" s="326"/>
      <c r="H9475" s="326"/>
      <c r="P9475" s="318"/>
      <c r="Q9475" s="318"/>
      <c r="R9475" s="318"/>
      <c r="S9475" s="318"/>
      <c r="T9475" s="318"/>
      <c r="U9475" s="318"/>
      <c r="V9475" s="318"/>
      <c r="W9475" s="318"/>
      <c r="X9475" s="318"/>
      <c r="Y9475" s="318"/>
      <c r="Z9475" s="318"/>
      <c r="AA9475" s="318"/>
      <c r="AB9475" s="318"/>
      <c r="AC9475" s="318"/>
      <c r="AD9475" s="318"/>
    </row>
    <row r="9476" spans="2:30" s="323" customFormat="1" ht="12" customHeight="1">
      <c r="B9476" s="324"/>
      <c r="C9476" s="325"/>
      <c r="D9476" s="326"/>
      <c r="E9476" s="326"/>
      <c r="F9476" s="326"/>
      <c r="G9476" s="326"/>
      <c r="H9476" s="326"/>
      <c r="P9476" s="318"/>
      <c r="Q9476" s="318"/>
      <c r="R9476" s="318"/>
      <c r="S9476" s="318"/>
      <c r="T9476" s="318"/>
      <c r="U9476" s="318"/>
      <c r="V9476" s="318"/>
      <c r="W9476" s="318"/>
      <c r="X9476" s="318"/>
      <c r="Y9476" s="318"/>
      <c r="Z9476" s="318"/>
      <c r="AA9476" s="318"/>
      <c r="AB9476" s="318"/>
      <c r="AC9476" s="318"/>
      <c r="AD9476" s="318"/>
    </row>
    <row r="9477" spans="2:30" s="323" customFormat="1" ht="12" customHeight="1">
      <c r="B9477" s="324"/>
      <c r="C9477" s="325"/>
      <c r="D9477" s="326"/>
      <c r="E9477" s="326"/>
      <c r="F9477" s="326"/>
      <c r="G9477" s="326"/>
      <c r="H9477" s="326"/>
      <c r="P9477" s="318"/>
      <c r="Q9477" s="318"/>
      <c r="R9477" s="318"/>
      <c r="S9477" s="318"/>
      <c r="T9477" s="318"/>
      <c r="U9477" s="318"/>
      <c r="V9477" s="318"/>
      <c r="W9477" s="318"/>
      <c r="X9477" s="318"/>
      <c r="Y9477" s="318"/>
      <c r="Z9477" s="318"/>
      <c r="AA9477" s="318"/>
      <c r="AB9477" s="318"/>
      <c r="AC9477" s="318"/>
      <c r="AD9477" s="318"/>
    </row>
    <row r="9478" spans="2:30" s="323" customFormat="1" ht="12" customHeight="1">
      <c r="B9478" s="324"/>
      <c r="C9478" s="325"/>
      <c r="D9478" s="326"/>
      <c r="E9478" s="326"/>
      <c r="F9478" s="326"/>
      <c r="G9478" s="326"/>
      <c r="H9478" s="326"/>
      <c r="P9478" s="318"/>
      <c r="Q9478" s="318"/>
      <c r="R9478" s="318"/>
      <c r="S9478" s="318"/>
      <c r="T9478" s="318"/>
      <c r="U9478" s="318"/>
      <c r="V9478" s="318"/>
      <c r="W9478" s="318"/>
      <c r="X9478" s="318"/>
      <c r="Y9478" s="318"/>
      <c r="Z9478" s="318"/>
      <c r="AA9478" s="318"/>
      <c r="AB9478" s="318"/>
      <c r="AC9478" s="318"/>
      <c r="AD9478" s="318"/>
    </row>
    <row r="9479" spans="2:30" s="323" customFormat="1" ht="12" customHeight="1">
      <c r="B9479" s="324"/>
      <c r="C9479" s="325"/>
      <c r="D9479" s="326"/>
      <c r="E9479" s="326"/>
      <c r="F9479" s="326"/>
      <c r="G9479" s="326"/>
      <c r="H9479" s="326"/>
      <c r="P9479" s="318"/>
      <c r="Q9479" s="318"/>
      <c r="R9479" s="318"/>
      <c r="S9479" s="318"/>
      <c r="T9479" s="318"/>
      <c r="U9479" s="318"/>
      <c r="V9479" s="318"/>
      <c r="W9479" s="318"/>
      <c r="X9479" s="318"/>
      <c r="Y9479" s="318"/>
      <c r="Z9479" s="318"/>
      <c r="AA9479" s="318"/>
      <c r="AB9479" s="318"/>
      <c r="AC9479" s="318"/>
      <c r="AD9479" s="318"/>
    </row>
    <row r="9480" spans="2:30" s="323" customFormat="1" ht="12" customHeight="1">
      <c r="B9480" s="324"/>
      <c r="C9480" s="325"/>
      <c r="D9480" s="326"/>
      <c r="E9480" s="326"/>
      <c r="F9480" s="326"/>
      <c r="G9480" s="326"/>
      <c r="H9480" s="326"/>
      <c r="P9480" s="318"/>
      <c r="Q9480" s="318"/>
      <c r="R9480" s="318"/>
      <c r="S9480" s="318"/>
      <c r="T9480" s="318"/>
      <c r="U9480" s="318"/>
      <c r="V9480" s="318"/>
      <c r="W9480" s="318"/>
      <c r="X9480" s="318"/>
      <c r="Y9480" s="318"/>
      <c r="Z9480" s="318"/>
      <c r="AA9480" s="318"/>
      <c r="AB9480" s="318"/>
      <c r="AC9480" s="318"/>
      <c r="AD9480" s="318"/>
    </row>
    <row r="9481" spans="2:30" s="323" customFormat="1" ht="12" customHeight="1">
      <c r="B9481" s="324"/>
      <c r="C9481" s="325"/>
      <c r="D9481" s="326"/>
      <c r="E9481" s="326"/>
      <c r="F9481" s="326"/>
      <c r="G9481" s="326"/>
      <c r="H9481" s="326"/>
      <c r="P9481" s="318"/>
      <c r="Q9481" s="318"/>
      <c r="R9481" s="318"/>
      <c r="S9481" s="318"/>
      <c r="T9481" s="318"/>
      <c r="U9481" s="318"/>
      <c r="V9481" s="318"/>
      <c r="W9481" s="318"/>
      <c r="X9481" s="318"/>
      <c r="Y9481" s="318"/>
      <c r="Z9481" s="318"/>
      <c r="AA9481" s="318"/>
      <c r="AB9481" s="318"/>
      <c r="AC9481" s="318"/>
      <c r="AD9481" s="318"/>
    </row>
    <row r="9482" spans="2:30" s="323" customFormat="1" ht="12" customHeight="1">
      <c r="B9482" s="324"/>
      <c r="C9482" s="325"/>
      <c r="D9482" s="326"/>
      <c r="E9482" s="326"/>
      <c r="F9482" s="326"/>
      <c r="G9482" s="326"/>
      <c r="H9482" s="326"/>
      <c r="P9482" s="318"/>
      <c r="Q9482" s="318"/>
      <c r="R9482" s="318"/>
      <c r="S9482" s="318"/>
      <c r="T9482" s="318"/>
      <c r="U9482" s="318"/>
      <c r="V9482" s="318"/>
      <c r="W9482" s="318"/>
      <c r="X9482" s="318"/>
      <c r="Y9482" s="318"/>
      <c r="Z9482" s="318"/>
      <c r="AA9482" s="318"/>
      <c r="AB9482" s="318"/>
      <c r="AC9482" s="318"/>
      <c r="AD9482" s="318"/>
    </row>
    <row r="9483" spans="2:30" s="323" customFormat="1" ht="12" customHeight="1">
      <c r="B9483" s="324"/>
      <c r="C9483" s="325"/>
      <c r="D9483" s="326"/>
      <c r="E9483" s="326"/>
      <c r="F9483" s="326"/>
      <c r="G9483" s="326"/>
      <c r="H9483" s="326"/>
      <c r="P9483" s="318"/>
      <c r="Q9483" s="318"/>
      <c r="R9483" s="318"/>
      <c r="S9483" s="318"/>
      <c r="T9483" s="318"/>
      <c r="U9483" s="318"/>
      <c r="V9483" s="318"/>
      <c r="W9483" s="318"/>
      <c r="X9483" s="318"/>
      <c r="Y9483" s="318"/>
      <c r="Z9483" s="318"/>
      <c r="AA9483" s="318"/>
      <c r="AB9483" s="318"/>
      <c r="AC9483" s="318"/>
      <c r="AD9483" s="318"/>
    </row>
    <row r="9484" spans="2:30" s="323" customFormat="1" ht="12" customHeight="1">
      <c r="B9484" s="324"/>
      <c r="C9484" s="325"/>
      <c r="D9484" s="326"/>
      <c r="E9484" s="326"/>
      <c r="F9484" s="326"/>
      <c r="G9484" s="326"/>
      <c r="H9484" s="326"/>
      <c r="P9484" s="318"/>
      <c r="Q9484" s="318"/>
      <c r="R9484" s="318"/>
      <c r="S9484" s="318"/>
      <c r="T9484" s="318"/>
      <c r="U9484" s="318"/>
      <c r="V9484" s="318"/>
      <c r="W9484" s="318"/>
      <c r="X9484" s="318"/>
      <c r="Y9484" s="318"/>
      <c r="Z9484" s="318"/>
      <c r="AA9484" s="318"/>
      <c r="AB9484" s="318"/>
      <c r="AC9484" s="318"/>
      <c r="AD9484" s="318"/>
    </row>
    <row r="9485" spans="2:30" s="323" customFormat="1" ht="12" customHeight="1">
      <c r="B9485" s="324"/>
      <c r="C9485" s="325"/>
      <c r="D9485" s="326"/>
      <c r="E9485" s="326"/>
      <c r="F9485" s="326"/>
      <c r="G9485" s="326"/>
      <c r="H9485" s="326"/>
      <c r="P9485" s="318"/>
      <c r="Q9485" s="318"/>
      <c r="R9485" s="318"/>
      <c r="S9485" s="318"/>
      <c r="T9485" s="318"/>
      <c r="U9485" s="318"/>
      <c r="V9485" s="318"/>
      <c r="W9485" s="318"/>
      <c r="X9485" s="318"/>
      <c r="Y9485" s="318"/>
      <c r="Z9485" s="318"/>
      <c r="AA9485" s="318"/>
      <c r="AB9485" s="318"/>
      <c r="AC9485" s="318"/>
      <c r="AD9485" s="318"/>
    </row>
    <row r="9486" spans="2:30" s="323" customFormat="1" ht="12" customHeight="1">
      <c r="B9486" s="324"/>
      <c r="C9486" s="325"/>
      <c r="D9486" s="326"/>
      <c r="E9486" s="326"/>
      <c r="F9486" s="326"/>
      <c r="G9486" s="326"/>
      <c r="H9486" s="326"/>
      <c r="P9486" s="318"/>
      <c r="Q9486" s="318"/>
      <c r="R9486" s="318"/>
      <c r="S9486" s="318"/>
      <c r="T9486" s="318"/>
      <c r="U9486" s="318"/>
      <c r="V9486" s="318"/>
      <c r="W9486" s="318"/>
      <c r="X9486" s="318"/>
      <c r="Y9486" s="318"/>
      <c r="Z9486" s="318"/>
      <c r="AA9486" s="318"/>
      <c r="AB9486" s="318"/>
      <c r="AC9486" s="318"/>
      <c r="AD9486" s="318"/>
    </row>
    <row r="9487" spans="2:30" s="323" customFormat="1" ht="12" customHeight="1">
      <c r="B9487" s="324"/>
      <c r="C9487" s="325"/>
      <c r="D9487" s="326"/>
      <c r="E9487" s="326"/>
      <c r="F9487" s="326"/>
      <c r="G9487" s="326"/>
      <c r="H9487" s="326"/>
      <c r="P9487" s="318"/>
      <c r="Q9487" s="318"/>
      <c r="R9487" s="318"/>
      <c r="S9487" s="318"/>
      <c r="T9487" s="318"/>
      <c r="U9487" s="318"/>
      <c r="V9487" s="318"/>
      <c r="W9487" s="318"/>
      <c r="X9487" s="318"/>
      <c r="Y9487" s="318"/>
      <c r="Z9487" s="318"/>
      <c r="AA9487" s="318"/>
      <c r="AB9487" s="318"/>
      <c r="AC9487" s="318"/>
      <c r="AD9487" s="318"/>
    </row>
    <row r="9488" spans="2:30" s="323" customFormat="1" ht="12" customHeight="1">
      <c r="B9488" s="324"/>
      <c r="C9488" s="325"/>
      <c r="D9488" s="326"/>
      <c r="E9488" s="326"/>
      <c r="F9488" s="326"/>
      <c r="G9488" s="326"/>
      <c r="H9488" s="326"/>
      <c r="P9488" s="318"/>
      <c r="Q9488" s="318"/>
      <c r="R9488" s="318"/>
      <c r="S9488" s="318"/>
      <c r="T9488" s="318"/>
      <c r="U9488" s="318"/>
      <c r="V9488" s="318"/>
      <c r="W9488" s="318"/>
      <c r="X9488" s="318"/>
      <c r="Y9488" s="318"/>
      <c r="Z9488" s="318"/>
      <c r="AA9488" s="318"/>
      <c r="AB9488" s="318"/>
      <c r="AC9488" s="318"/>
      <c r="AD9488" s="318"/>
    </row>
    <row r="9489" spans="2:30" s="323" customFormat="1" ht="12" customHeight="1">
      <c r="B9489" s="324"/>
      <c r="C9489" s="325"/>
      <c r="D9489" s="326"/>
      <c r="E9489" s="326"/>
      <c r="F9489" s="326"/>
      <c r="G9489" s="326"/>
      <c r="H9489" s="326"/>
      <c r="P9489" s="318"/>
      <c r="Q9489" s="318"/>
      <c r="R9489" s="318"/>
      <c r="S9489" s="318"/>
      <c r="T9489" s="318"/>
      <c r="U9489" s="318"/>
      <c r="V9489" s="318"/>
      <c r="W9489" s="318"/>
      <c r="X9489" s="318"/>
      <c r="Y9489" s="318"/>
      <c r="Z9489" s="318"/>
      <c r="AA9489" s="318"/>
      <c r="AB9489" s="318"/>
      <c r="AC9489" s="318"/>
      <c r="AD9489" s="318"/>
    </row>
    <row r="9490" spans="2:30" s="323" customFormat="1" ht="12" customHeight="1">
      <c r="B9490" s="324"/>
      <c r="C9490" s="325"/>
      <c r="D9490" s="326"/>
      <c r="E9490" s="326"/>
      <c r="F9490" s="326"/>
      <c r="G9490" s="326"/>
      <c r="H9490" s="326"/>
      <c r="P9490" s="318"/>
      <c r="Q9490" s="318"/>
      <c r="R9490" s="318"/>
      <c r="S9490" s="318"/>
      <c r="T9490" s="318"/>
      <c r="U9490" s="318"/>
      <c r="V9490" s="318"/>
      <c r="W9490" s="318"/>
      <c r="X9490" s="318"/>
      <c r="Y9490" s="318"/>
      <c r="Z9490" s="318"/>
      <c r="AA9490" s="318"/>
      <c r="AB9490" s="318"/>
      <c r="AC9490" s="318"/>
      <c r="AD9490" s="318"/>
    </row>
    <row r="9491" spans="2:30" s="323" customFormat="1" ht="12" customHeight="1">
      <c r="B9491" s="324"/>
      <c r="C9491" s="325"/>
      <c r="D9491" s="326"/>
      <c r="E9491" s="326"/>
      <c r="F9491" s="326"/>
      <c r="G9491" s="326"/>
      <c r="H9491" s="326"/>
      <c r="P9491" s="318"/>
      <c r="Q9491" s="318"/>
      <c r="R9491" s="318"/>
      <c r="S9491" s="318"/>
      <c r="T9491" s="318"/>
      <c r="U9491" s="318"/>
      <c r="V9491" s="318"/>
      <c r="W9491" s="318"/>
      <c r="X9491" s="318"/>
      <c r="Y9491" s="318"/>
      <c r="Z9491" s="318"/>
      <c r="AA9491" s="318"/>
      <c r="AB9491" s="318"/>
      <c r="AC9491" s="318"/>
      <c r="AD9491" s="318"/>
    </row>
    <row r="9492" spans="2:30" s="323" customFormat="1" ht="12" customHeight="1">
      <c r="B9492" s="324"/>
      <c r="C9492" s="325"/>
      <c r="D9492" s="326"/>
      <c r="E9492" s="326"/>
      <c r="F9492" s="326"/>
      <c r="G9492" s="326"/>
      <c r="H9492" s="326"/>
      <c r="P9492" s="318"/>
      <c r="Q9492" s="318"/>
      <c r="R9492" s="318"/>
      <c r="S9492" s="318"/>
      <c r="T9492" s="318"/>
      <c r="U9492" s="318"/>
      <c r="V9492" s="318"/>
      <c r="W9492" s="318"/>
      <c r="X9492" s="318"/>
      <c r="Y9492" s="318"/>
      <c r="Z9492" s="318"/>
      <c r="AA9492" s="318"/>
      <c r="AB9492" s="318"/>
      <c r="AC9492" s="318"/>
      <c r="AD9492" s="318"/>
    </row>
    <row r="9493" spans="2:30" s="323" customFormat="1" ht="12" customHeight="1">
      <c r="B9493" s="324"/>
      <c r="C9493" s="325"/>
      <c r="D9493" s="326"/>
      <c r="E9493" s="326"/>
      <c r="F9493" s="326"/>
      <c r="G9493" s="326"/>
      <c r="H9493" s="326"/>
      <c r="P9493" s="318"/>
      <c r="Q9493" s="318"/>
      <c r="R9493" s="318"/>
      <c r="S9493" s="318"/>
      <c r="T9493" s="318"/>
      <c r="U9493" s="318"/>
      <c r="V9493" s="318"/>
      <c r="W9493" s="318"/>
      <c r="X9493" s="318"/>
      <c r="Y9493" s="318"/>
      <c r="Z9493" s="318"/>
      <c r="AA9493" s="318"/>
      <c r="AB9493" s="318"/>
      <c r="AC9493" s="318"/>
      <c r="AD9493" s="318"/>
    </row>
    <row r="9494" spans="2:30" s="323" customFormat="1" ht="12" customHeight="1">
      <c r="B9494" s="324"/>
      <c r="C9494" s="325"/>
      <c r="D9494" s="326"/>
      <c r="E9494" s="326"/>
      <c r="F9494" s="326"/>
      <c r="G9494" s="326"/>
      <c r="H9494" s="326"/>
      <c r="P9494" s="318"/>
      <c r="Q9494" s="318"/>
      <c r="R9494" s="318"/>
      <c r="S9494" s="318"/>
      <c r="T9494" s="318"/>
      <c r="U9494" s="318"/>
      <c r="V9494" s="318"/>
      <c r="W9494" s="318"/>
      <c r="X9494" s="318"/>
      <c r="Y9494" s="318"/>
      <c r="Z9494" s="318"/>
      <c r="AA9494" s="318"/>
      <c r="AB9494" s="318"/>
      <c r="AC9494" s="318"/>
      <c r="AD9494" s="318"/>
    </row>
    <row r="9495" spans="2:30" s="323" customFormat="1" ht="12" customHeight="1">
      <c r="B9495" s="324"/>
      <c r="C9495" s="325"/>
      <c r="D9495" s="326"/>
      <c r="E9495" s="326"/>
      <c r="F9495" s="326"/>
      <c r="G9495" s="326"/>
      <c r="H9495" s="326"/>
      <c r="P9495" s="318"/>
      <c r="Q9495" s="318"/>
      <c r="R9495" s="318"/>
      <c r="S9495" s="318"/>
      <c r="T9495" s="318"/>
      <c r="U9495" s="318"/>
      <c r="V9495" s="318"/>
      <c r="W9495" s="318"/>
      <c r="X9495" s="318"/>
      <c r="Y9495" s="318"/>
      <c r="Z9495" s="318"/>
      <c r="AA9495" s="318"/>
      <c r="AB9495" s="318"/>
      <c r="AC9495" s="318"/>
      <c r="AD9495" s="318"/>
    </row>
    <row r="9496" spans="2:30" s="323" customFormat="1" ht="12" customHeight="1">
      <c r="B9496" s="324"/>
      <c r="C9496" s="325"/>
      <c r="D9496" s="326"/>
      <c r="E9496" s="326"/>
      <c r="F9496" s="326"/>
      <c r="G9496" s="326"/>
      <c r="H9496" s="326"/>
      <c r="P9496" s="318"/>
      <c r="Q9496" s="318"/>
      <c r="R9496" s="318"/>
      <c r="S9496" s="318"/>
      <c r="T9496" s="318"/>
      <c r="U9496" s="318"/>
      <c r="V9496" s="318"/>
      <c r="W9496" s="318"/>
      <c r="X9496" s="318"/>
      <c r="Y9496" s="318"/>
      <c r="Z9496" s="318"/>
      <c r="AA9496" s="318"/>
      <c r="AB9496" s="318"/>
      <c r="AC9496" s="318"/>
      <c r="AD9496" s="318"/>
    </row>
    <row r="9497" spans="2:30" s="323" customFormat="1" ht="12" customHeight="1">
      <c r="B9497" s="324"/>
      <c r="C9497" s="325"/>
      <c r="D9497" s="326"/>
      <c r="E9497" s="326"/>
      <c r="F9497" s="326"/>
      <c r="G9497" s="326"/>
      <c r="H9497" s="326"/>
      <c r="P9497" s="318"/>
      <c r="Q9497" s="318"/>
      <c r="R9497" s="318"/>
      <c r="S9497" s="318"/>
      <c r="T9497" s="318"/>
      <c r="U9497" s="318"/>
      <c r="V9497" s="318"/>
      <c r="W9497" s="318"/>
      <c r="X9497" s="318"/>
      <c r="Y9497" s="318"/>
      <c r="Z9497" s="318"/>
      <c r="AA9497" s="318"/>
      <c r="AB9497" s="318"/>
      <c r="AC9497" s="318"/>
      <c r="AD9497" s="318"/>
    </row>
    <row r="9498" spans="2:30" s="323" customFormat="1" ht="12" customHeight="1">
      <c r="B9498" s="324"/>
      <c r="C9498" s="325"/>
      <c r="D9498" s="326"/>
      <c r="E9498" s="326"/>
      <c r="F9498" s="326"/>
      <c r="G9498" s="326"/>
      <c r="H9498" s="326"/>
      <c r="P9498" s="318"/>
      <c r="Q9498" s="318"/>
      <c r="R9498" s="318"/>
      <c r="S9498" s="318"/>
      <c r="T9498" s="318"/>
      <c r="U9498" s="318"/>
      <c r="V9498" s="318"/>
      <c r="W9498" s="318"/>
      <c r="X9498" s="318"/>
      <c r="Y9498" s="318"/>
      <c r="Z9498" s="318"/>
      <c r="AA9498" s="318"/>
      <c r="AB9498" s="318"/>
      <c r="AC9498" s="318"/>
      <c r="AD9498" s="318"/>
    </row>
    <row r="9499" spans="2:30" s="323" customFormat="1" ht="12" customHeight="1">
      <c r="B9499" s="324"/>
      <c r="C9499" s="325"/>
      <c r="D9499" s="326"/>
      <c r="E9499" s="326"/>
      <c r="F9499" s="326"/>
      <c r="G9499" s="326"/>
      <c r="H9499" s="326"/>
      <c r="P9499" s="318"/>
      <c r="Q9499" s="318"/>
      <c r="R9499" s="318"/>
      <c r="S9499" s="318"/>
      <c r="T9499" s="318"/>
      <c r="U9499" s="318"/>
      <c r="V9499" s="318"/>
      <c r="W9499" s="318"/>
      <c r="X9499" s="318"/>
      <c r="Y9499" s="318"/>
      <c r="Z9499" s="318"/>
      <c r="AA9499" s="318"/>
      <c r="AB9499" s="318"/>
      <c r="AC9499" s="318"/>
      <c r="AD9499" s="318"/>
    </row>
    <row r="9500" spans="2:30" s="323" customFormat="1" ht="12" customHeight="1">
      <c r="B9500" s="324"/>
      <c r="C9500" s="325"/>
      <c r="D9500" s="326"/>
      <c r="E9500" s="326"/>
      <c r="F9500" s="326"/>
      <c r="G9500" s="326"/>
      <c r="H9500" s="326"/>
      <c r="P9500" s="318"/>
      <c r="Q9500" s="318"/>
      <c r="R9500" s="318"/>
      <c r="S9500" s="318"/>
      <c r="T9500" s="318"/>
      <c r="U9500" s="318"/>
      <c r="V9500" s="318"/>
      <c r="W9500" s="318"/>
      <c r="X9500" s="318"/>
      <c r="Y9500" s="318"/>
      <c r="Z9500" s="318"/>
      <c r="AA9500" s="318"/>
      <c r="AB9500" s="318"/>
      <c r="AC9500" s="318"/>
      <c r="AD9500" s="318"/>
    </row>
    <row r="9501" spans="2:30" s="323" customFormat="1" ht="12" customHeight="1">
      <c r="B9501" s="324"/>
      <c r="C9501" s="325"/>
      <c r="D9501" s="326"/>
      <c r="E9501" s="326"/>
      <c r="F9501" s="326"/>
      <c r="G9501" s="326"/>
      <c r="H9501" s="326"/>
      <c r="P9501" s="318"/>
      <c r="Q9501" s="318"/>
      <c r="R9501" s="318"/>
      <c r="S9501" s="318"/>
      <c r="T9501" s="318"/>
      <c r="U9501" s="318"/>
      <c r="V9501" s="318"/>
      <c r="W9501" s="318"/>
      <c r="X9501" s="318"/>
      <c r="Y9501" s="318"/>
      <c r="Z9501" s="318"/>
      <c r="AA9501" s="318"/>
      <c r="AB9501" s="318"/>
      <c r="AC9501" s="318"/>
      <c r="AD9501" s="318"/>
    </row>
    <row r="9502" spans="2:30" s="323" customFormat="1" ht="12" customHeight="1">
      <c r="B9502" s="324"/>
      <c r="C9502" s="325"/>
      <c r="D9502" s="326"/>
      <c r="E9502" s="326"/>
      <c r="F9502" s="326"/>
      <c r="G9502" s="326"/>
      <c r="H9502" s="326"/>
      <c r="P9502" s="318"/>
      <c r="Q9502" s="318"/>
      <c r="R9502" s="318"/>
      <c r="S9502" s="318"/>
      <c r="T9502" s="318"/>
      <c r="U9502" s="318"/>
      <c r="V9502" s="318"/>
      <c r="W9502" s="318"/>
      <c r="X9502" s="318"/>
      <c r="Y9502" s="318"/>
      <c r="Z9502" s="318"/>
      <c r="AA9502" s="318"/>
      <c r="AB9502" s="318"/>
      <c r="AC9502" s="318"/>
      <c r="AD9502" s="318"/>
    </row>
    <row r="9503" spans="2:30" s="323" customFormat="1" ht="12" customHeight="1">
      <c r="B9503" s="324"/>
      <c r="C9503" s="325"/>
      <c r="D9503" s="326"/>
      <c r="E9503" s="326"/>
      <c r="F9503" s="326"/>
      <c r="G9503" s="326"/>
      <c r="H9503" s="326"/>
      <c r="P9503" s="318"/>
      <c r="Q9503" s="318"/>
      <c r="R9503" s="318"/>
      <c r="S9503" s="318"/>
      <c r="T9503" s="318"/>
      <c r="U9503" s="318"/>
      <c r="V9503" s="318"/>
      <c r="W9503" s="318"/>
      <c r="X9503" s="318"/>
      <c r="Y9503" s="318"/>
      <c r="Z9503" s="318"/>
      <c r="AA9503" s="318"/>
      <c r="AB9503" s="318"/>
      <c r="AC9503" s="318"/>
      <c r="AD9503" s="318"/>
    </row>
    <row r="9504" spans="2:30" s="323" customFormat="1" ht="12" customHeight="1">
      <c r="B9504" s="324"/>
      <c r="C9504" s="325"/>
      <c r="D9504" s="326"/>
      <c r="E9504" s="326"/>
      <c r="F9504" s="326"/>
      <c r="G9504" s="326"/>
      <c r="H9504" s="326"/>
      <c r="P9504" s="318"/>
      <c r="Q9504" s="318"/>
      <c r="R9504" s="318"/>
      <c r="S9504" s="318"/>
      <c r="T9504" s="318"/>
      <c r="U9504" s="318"/>
      <c r="V9504" s="318"/>
      <c r="W9504" s="318"/>
      <c r="X9504" s="318"/>
      <c r="Y9504" s="318"/>
      <c r="Z9504" s="318"/>
      <c r="AA9504" s="318"/>
      <c r="AB9504" s="318"/>
      <c r="AC9504" s="318"/>
      <c r="AD9504" s="318"/>
    </row>
    <row r="9505" spans="2:30" s="323" customFormat="1" ht="12" customHeight="1">
      <c r="B9505" s="324"/>
      <c r="C9505" s="325"/>
      <c r="D9505" s="326"/>
      <c r="E9505" s="326"/>
      <c r="F9505" s="326"/>
      <c r="G9505" s="326"/>
      <c r="H9505" s="326"/>
      <c r="P9505" s="318"/>
      <c r="Q9505" s="318"/>
      <c r="R9505" s="318"/>
      <c r="S9505" s="318"/>
      <c r="T9505" s="318"/>
      <c r="U9505" s="318"/>
      <c r="V9505" s="318"/>
      <c r="W9505" s="318"/>
      <c r="X9505" s="318"/>
      <c r="Y9505" s="318"/>
      <c r="Z9505" s="318"/>
      <c r="AA9505" s="318"/>
      <c r="AB9505" s="318"/>
      <c r="AC9505" s="318"/>
      <c r="AD9505" s="318"/>
    </row>
    <row r="9506" spans="2:30" s="323" customFormat="1" ht="12" customHeight="1">
      <c r="B9506" s="324"/>
      <c r="C9506" s="325"/>
      <c r="D9506" s="326"/>
      <c r="E9506" s="326"/>
      <c r="F9506" s="326"/>
      <c r="G9506" s="326"/>
      <c r="H9506" s="326"/>
      <c r="P9506" s="318"/>
      <c r="Q9506" s="318"/>
      <c r="R9506" s="318"/>
      <c r="S9506" s="318"/>
      <c r="T9506" s="318"/>
      <c r="U9506" s="318"/>
      <c r="V9506" s="318"/>
      <c r="W9506" s="318"/>
      <c r="X9506" s="318"/>
      <c r="Y9506" s="318"/>
      <c r="Z9506" s="318"/>
      <c r="AA9506" s="318"/>
      <c r="AB9506" s="318"/>
      <c r="AC9506" s="318"/>
      <c r="AD9506" s="318"/>
    </row>
    <row r="9507" spans="2:30" s="323" customFormat="1" ht="12" customHeight="1">
      <c r="B9507" s="324"/>
      <c r="C9507" s="325"/>
      <c r="D9507" s="326"/>
      <c r="E9507" s="326"/>
      <c r="F9507" s="326"/>
      <c r="G9507" s="326"/>
      <c r="H9507" s="326"/>
      <c r="P9507" s="318"/>
      <c r="Q9507" s="318"/>
      <c r="R9507" s="318"/>
      <c r="S9507" s="318"/>
      <c r="T9507" s="318"/>
      <c r="U9507" s="318"/>
      <c r="V9507" s="318"/>
      <c r="W9507" s="318"/>
      <c r="X9507" s="318"/>
      <c r="Y9507" s="318"/>
      <c r="Z9507" s="318"/>
      <c r="AA9507" s="318"/>
      <c r="AB9507" s="318"/>
      <c r="AC9507" s="318"/>
      <c r="AD9507" s="318"/>
    </row>
    <row r="9508" spans="2:30" s="323" customFormat="1" ht="12" customHeight="1">
      <c r="B9508" s="324"/>
      <c r="C9508" s="325"/>
      <c r="D9508" s="326"/>
      <c r="E9508" s="326"/>
      <c r="F9508" s="326"/>
      <c r="G9508" s="326"/>
      <c r="H9508" s="326"/>
      <c r="P9508" s="318"/>
      <c r="Q9508" s="318"/>
      <c r="R9508" s="318"/>
      <c r="S9508" s="318"/>
      <c r="T9508" s="318"/>
      <c r="U9508" s="318"/>
      <c r="V9508" s="318"/>
      <c r="W9508" s="318"/>
      <c r="X9508" s="318"/>
      <c r="Y9508" s="318"/>
      <c r="Z9508" s="318"/>
      <c r="AA9508" s="318"/>
      <c r="AB9508" s="318"/>
      <c r="AC9508" s="318"/>
      <c r="AD9508" s="318"/>
    </row>
    <row r="9509" spans="2:30" s="323" customFormat="1" ht="12" customHeight="1">
      <c r="B9509" s="324"/>
      <c r="C9509" s="325"/>
      <c r="D9509" s="326"/>
      <c r="E9509" s="326"/>
      <c r="F9509" s="326"/>
      <c r="G9509" s="326"/>
      <c r="H9509" s="326"/>
      <c r="P9509" s="318"/>
      <c r="Q9509" s="318"/>
      <c r="R9509" s="318"/>
      <c r="S9509" s="318"/>
      <c r="T9509" s="318"/>
      <c r="U9509" s="318"/>
      <c r="V9509" s="318"/>
      <c r="W9509" s="318"/>
      <c r="X9509" s="318"/>
      <c r="Y9509" s="318"/>
      <c r="Z9509" s="318"/>
      <c r="AA9509" s="318"/>
      <c r="AB9509" s="318"/>
      <c r="AC9509" s="318"/>
      <c r="AD9509" s="318"/>
    </row>
    <row r="9510" spans="2:30" s="323" customFormat="1" ht="12" customHeight="1">
      <c r="B9510" s="324"/>
      <c r="C9510" s="325"/>
      <c r="D9510" s="326"/>
      <c r="E9510" s="326"/>
      <c r="F9510" s="326"/>
      <c r="G9510" s="326"/>
      <c r="H9510" s="326"/>
      <c r="P9510" s="318"/>
      <c r="Q9510" s="318"/>
      <c r="R9510" s="318"/>
      <c r="S9510" s="318"/>
      <c r="T9510" s="318"/>
      <c r="U9510" s="318"/>
      <c r="V9510" s="318"/>
      <c r="W9510" s="318"/>
      <c r="X9510" s="318"/>
      <c r="Y9510" s="318"/>
      <c r="Z9510" s="318"/>
      <c r="AA9510" s="318"/>
      <c r="AB9510" s="318"/>
      <c r="AC9510" s="318"/>
      <c r="AD9510" s="318"/>
    </row>
    <row r="9511" spans="2:30" s="323" customFormat="1" ht="12" customHeight="1">
      <c r="B9511" s="324"/>
      <c r="C9511" s="325"/>
      <c r="D9511" s="326"/>
      <c r="E9511" s="326"/>
      <c r="F9511" s="326"/>
      <c r="G9511" s="326"/>
      <c r="H9511" s="326"/>
      <c r="P9511" s="318"/>
      <c r="Q9511" s="318"/>
      <c r="R9511" s="318"/>
      <c r="S9511" s="318"/>
      <c r="T9511" s="318"/>
      <c r="U9511" s="318"/>
      <c r="V9511" s="318"/>
      <c r="W9511" s="318"/>
      <c r="X9511" s="318"/>
      <c r="Y9511" s="318"/>
      <c r="Z9511" s="318"/>
      <c r="AA9511" s="318"/>
      <c r="AB9511" s="318"/>
      <c r="AC9511" s="318"/>
      <c r="AD9511" s="318"/>
    </row>
    <row r="9512" spans="2:30" s="323" customFormat="1" ht="12" customHeight="1">
      <c r="B9512" s="324"/>
      <c r="C9512" s="325"/>
      <c r="D9512" s="326"/>
      <c r="E9512" s="326"/>
      <c r="F9512" s="326"/>
      <c r="G9512" s="326"/>
      <c r="H9512" s="326"/>
      <c r="P9512" s="318"/>
      <c r="Q9512" s="318"/>
      <c r="R9512" s="318"/>
      <c r="S9512" s="318"/>
      <c r="T9512" s="318"/>
      <c r="U9512" s="318"/>
      <c r="V9512" s="318"/>
      <c r="W9512" s="318"/>
      <c r="X9512" s="318"/>
      <c r="Y9512" s="318"/>
      <c r="Z9512" s="318"/>
      <c r="AA9512" s="318"/>
      <c r="AB9512" s="318"/>
      <c r="AC9512" s="318"/>
      <c r="AD9512" s="318"/>
    </row>
    <row r="9513" spans="2:30" s="323" customFormat="1" ht="12" customHeight="1">
      <c r="B9513" s="324"/>
      <c r="C9513" s="325"/>
      <c r="D9513" s="326"/>
      <c r="E9513" s="326"/>
      <c r="F9513" s="326"/>
      <c r="G9513" s="326"/>
      <c r="H9513" s="326"/>
      <c r="P9513" s="318"/>
      <c r="Q9513" s="318"/>
      <c r="R9513" s="318"/>
      <c r="S9513" s="318"/>
      <c r="T9513" s="318"/>
      <c r="U9513" s="318"/>
      <c r="V9513" s="318"/>
      <c r="W9513" s="318"/>
      <c r="X9513" s="318"/>
      <c r="Y9513" s="318"/>
      <c r="Z9513" s="318"/>
      <c r="AA9513" s="318"/>
      <c r="AB9513" s="318"/>
      <c r="AC9513" s="318"/>
      <c r="AD9513" s="318"/>
    </row>
    <row r="9514" spans="2:30" s="323" customFormat="1" ht="12" customHeight="1">
      <c r="B9514" s="324"/>
      <c r="C9514" s="325"/>
      <c r="D9514" s="326"/>
      <c r="E9514" s="326"/>
      <c r="F9514" s="326"/>
      <c r="G9514" s="326"/>
      <c r="H9514" s="326"/>
      <c r="P9514" s="318"/>
      <c r="Q9514" s="318"/>
      <c r="R9514" s="318"/>
      <c r="S9514" s="318"/>
      <c r="T9514" s="318"/>
      <c r="U9514" s="318"/>
      <c r="V9514" s="318"/>
      <c r="W9514" s="318"/>
      <c r="X9514" s="318"/>
      <c r="Y9514" s="318"/>
      <c r="Z9514" s="318"/>
      <c r="AA9514" s="318"/>
      <c r="AB9514" s="318"/>
      <c r="AC9514" s="318"/>
      <c r="AD9514" s="318"/>
    </row>
    <row r="9515" spans="2:30" s="323" customFormat="1" ht="12" customHeight="1">
      <c r="B9515" s="324"/>
      <c r="C9515" s="325"/>
      <c r="D9515" s="326"/>
      <c r="E9515" s="326"/>
      <c r="F9515" s="326"/>
      <c r="G9515" s="326"/>
      <c r="H9515" s="326"/>
      <c r="P9515" s="318"/>
      <c r="Q9515" s="318"/>
      <c r="R9515" s="318"/>
      <c r="S9515" s="318"/>
      <c r="T9515" s="318"/>
      <c r="U9515" s="318"/>
      <c r="V9515" s="318"/>
      <c r="W9515" s="318"/>
      <c r="X9515" s="318"/>
      <c r="Y9515" s="318"/>
      <c r="Z9515" s="318"/>
      <c r="AA9515" s="318"/>
      <c r="AB9515" s="318"/>
      <c r="AC9515" s="318"/>
      <c r="AD9515" s="318"/>
    </row>
    <row r="9516" spans="2:30" s="323" customFormat="1" ht="12" customHeight="1">
      <c r="B9516" s="324"/>
      <c r="C9516" s="325"/>
      <c r="D9516" s="326"/>
      <c r="E9516" s="326"/>
      <c r="F9516" s="326"/>
      <c r="G9516" s="326"/>
      <c r="H9516" s="326"/>
      <c r="P9516" s="318"/>
      <c r="Q9516" s="318"/>
      <c r="R9516" s="318"/>
      <c r="S9516" s="318"/>
      <c r="T9516" s="318"/>
      <c r="U9516" s="318"/>
      <c r="V9516" s="318"/>
      <c r="W9516" s="318"/>
      <c r="X9516" s="318"/>
      <c r="Y9516" s="318"/>
      <c r="Z9516" s="318"/>
      <c r="AA9516" s="318"/>
      <c r="AB9516" s="318"/>
      <c r="AC9516" s="318"/>
      <c r="AD9516" s="318"/>
    </row>
    <row r="9517" spans="2:30" s="323" customFormat="1" ht="12" customHeight="1">
      <c r="B9517" s="324"/>
      <c r="C9517" s="325"/>
      <c r="D9517" s="326"/>
      <c r="E9517" s="326"/>
      <c r="F9517" s="326"/>
      <c r="G9517" s="326"/>
      <c r="H9517" s="326"/>
      <c r="P9517" s="318"/>
      <c r="Q9517" s="318"/>
      <c r="R9517" s="318"/>
      <c r="S9517" s="318"/>
      <c r="T9517" s="318"/>
      <c r="U9517" s="318"/>
      <c r="V9517" s="318"/>
      <c r="W9517" s="318"/>
      <c r="X9517" s="318"/>
      <c r="Y9517" s="318"/>
      <c r="Z9517" s="318"/>
      <c r="AA9517" s="318"/>
      <c r="AB9517" s="318"/>
      <c r="AC9517" s="318"/>
      <c r="AD9517" s="318"/>
    </row>
    <row r="9518" spans="2:30" s="323" customFormat="1" ht="12" customHeight="1">
      <c r="B9518" s="324"/>
      <c r="C9518" s="325"/>
      <c r="D9518" s="326"/>
      <c r="E9518" s="326"/>
      <c r="F9518" s="326"/>
      <c r="G9518" s="326"/>
      <c r="H9518" s="326"/>
      <c r="P9518" s="318"/>
      <c r="Q9518" s="318"/>
      <c r="R9518" s="318"/>
      <c r="S9518" s="318"/>
      <c r="T9518" s="318"/>
      <c r="U9518" s="318"/>
      <c r="V9518" s="318"/>
      <c r="W9518" s="318"/>
      <c r="X9518" s="318"/>
      <c r="Y9518" s="318"/>
      <c r="Z9518" s="318"/>
      <c r="AA9518" s="318"/>
      <c r="AB9518" s="318"/>
      <c r="AC9518" s="318"/>
      <c r="AD9518" s="318"/>
    </row>
    <row r="9519" spans="2:30" s="323" customFormat="1" ht="12" customHeight="1">
      <c r="B9519" s="324"/>
      <c r="C9519" s="325"/>
      <c r="D9519" s="326"/>
      <c r="E9519" s="326"/>
      <c r="F9519" s="326"/>
      <c r="G9519" s="326"/>
      <c r="H9519" s="326"/>
      <c r="P9519" s="318"/>
      <c r="Q9519" s="318"/>
      <c r="R9519" s="318"/>
      <c r="S9519" s="318"/>
      <c r="T9519" s="318"/>
      <c r="U9519" s="318"/>
      <c r="V9519" s="318"/>
      <c r="W9519" s="318"/>
      <c r="X9519" s="318"/>
      <c r="Y9519" s="318"/>
      <c r="Z9519" s="318"/>
      <c r="AA9519" s="318"/>
      <c r="AB9519" s="318"/>
      <c r="AC9519" s="318"/>
      <c r="AD9519" s="318"/>
    </row>
    <row r="9520" spans="2:30" s="323" customFormat="1" ht="12" customHeight="1">
      <c r="B9520" s="324"/>
      <c r="C9520" s="325"/>
      <c r="D9520" s="326"/>
      <c r="E9520" s="326"/>
      <c r="F9520" s="326"/>
      <c r="G9520" s="326"/>
      <c r="H9520" s="326"/>
      <c r="P9520" s="318"/>
      <c r="Q9520" s="318"/>
      <c r="R9520" s="318"/>
      <c r="S9520" s="318"/>
      <c r="T9520" s="318"/>
      <c r="U9520" s="318"/>
      <c r="V9520" s="318"/>
      <c r="W9520" s="318"/>
      <c r="X9520" s="318"/>
      <c r="Y9520" s="318"/>
      <c r="Z9520" s="318"/>
      <c r="AA9520" s="318"/>
      <c r="AB9520" s="318"/>
      <c r="AC9520" s="318"/>
      <c r="AD9520" s="318"/>
    </row>
    <row r="9521" spans="2:30" s="323" customFormat="1" ht="12" customHeight="1">
      <c r="B9521" s="324"/>
      <c r="C9521" s="325"/>
      <c r="D9521" s="326"/>
      <c r="E9521" s="326"/>
      <c r="F9521" s="326"/>
      <c r="G9521" s="326"/>
      <c r="H9521" s="326"/>
      <c r="P9521" s="318"/>
      <c r="Q9521" s="318"/>
      <c r="R9521" s="318"/>
      <c r="S9521" s="318"/>
      <c r="T9521" s="318"/>
      <c r="U9521" s="318"/>
      <c r="V9521" s="318"/>
      <c r="W9521" s="318"/>
      <c r="X9521" s="318"/>
      <c r="Y9521" s="318"/>
      <c r="Z9521" s="318"/>
      <c r="AA9521" s="318"/>
      <c r="AB9521" s="318"/>
      <c r="AC9521" s="318"/>
      <c r="AD9521" s="318"/>
    </row>
    <row r="9522" spans="2:30" s="323" customFormat="1" ht="12" customHeight="1">
      <c r="B9522" s="324"/>
      <c r="C9522" s="325"/>
      <c r="D9522" s="326"/>
      <c r="E9522" s="326"/>
      <c r="F9522" s="326"/>
      <c r="G9522" s="326"/>
      <c r="H9522" s="326"/>
      <c r="P9522" s="318"/>
      <c r="Q9522" s="318"/>
      <c r="R9522" s="318"/>
      <c r="S9522" s="318"/>
      <c r="T9522" s="318"/>
      <c r="U9522" s="318"/>
      <c r="V9522" s="318"/>
      <c r="W9522" s="318"/>
      <c r="X9522" s="318"/>
      <c r="Y9522" s="318"/>
      <c r="Z9522" s="318"/>
      <c r="AA9522" s="318"/>
      <c r="AB9522" s="318"/>
      <c r="AC9522" s="318"/>
      <c r="AD9522" s="318"/>
    </row>
    <row r="9523" spans="2:30" s="323" customFormat="1" ht="12" customHeight="1">
      <c r="B9523" s="324"/>
      <c r="C9523" s="325"/>
      <c r="D9523" s="326"/>
      <c r="E9523" s="326"/>
      <c r="F9523" s="326"/>
      <c r="G9523" s="326"/>
      <c r="H9523" s="326"/>
      <c r="P9523" s="318"/>
      <c r="Q9523" s="318"/>
      <c r="R9523" s="318"/>
      <c r="S9523" s="318"/>
      <c r="T9523" s="318"/>
      <c r="U9523" s="318"/>
      <c r="V9523" s="318"/>
      <c r="W9523" s="318"/>
      <c r="X9523" s="318"/>
      <c r="Y9523" s="318"/>
      <c r="Z9523" s="318"/>
      <c r="AA9523" s="318"/>
      <c r="AB9523" s="318"/>
      <c r="AC9523" s="318"/>
      <c r="AD9523" s="318"/>
    </row>
    <row r="9524" spans="2:30" s="323" customFormat="1" ht="12" customHeight="1">
      <c r="B9524" s="324"/>
      <c r="C9524" s="325"/>
      <c r="D9524" s="326"/>
      <c r="E9524" s="326"/>
      <c r="F9524" s="326"/>
      <c r="G9524" s="326"/>
      <c r="H9524" s="326"/>
      <c r="P9524" s="318"/>
      <c r="Q9524" s="318"/>
      <c r="R9524" s="318"/>
      <c r="S9524" s="318"/>
      <c r="T9524" s="318"/>
      <c r="U9524" s="318"/>
      <c r="V9524" s="318"/>
      <c r="W9524" s="318"/>
      <c r="X9524" s="318"/>
      <c r="Y9524" s="318"/>
      <c r="Z9524" s="318"/>
      <c r="AA9524" s="318"/>
      <c r="AB9524" s="318"/>
      <c r="AC9524" s="318"/>
      <c r="AD9524" s="318"/>
    </row>
    <row r="9525" spans="2:30" s="323" customFormat="1" ht="12" customHeight="1">
      <c r="B9525" s="324"/>
      <c r="C9525" s="325"/>
      <c r="D9525" s="326"/>
      <c r="E9525" s="326"/>
      <c r="F9525" s="326"/>
      <c r="G9525" s="326"/>
      <c r="H9525" s="326"/>
      <c r="P9525" s="318"/>
      <c r="Q9525" s="318"/>
      <c r="R9525" s="318"/>
      <c r="S9525" s="318"/>
      <c r="T9525" s="318"/>
      <c r="U9525" s="318"/>
      <c r="V9525" s="318"/>
      <c r="W9525" s="318"/>
      <c r="X9525" s="318"/>
      <c r="Y9525" s="318"/>
      <c r="Z9525" s="318"/>
      <c r="AA9525" s="318"/>
      <c r="AB9525" s="318"/>
      <c r="AC9525" s="318"/>
      <c r="AD9525" s="318"/>
    </row>
    <row r="9526" spans="2:30" s="323" customFormat="1" ht="12" customHeight="1">
      <c r="B9526" s="324"/>
      <c r="C9526" s="325"/>
      <c r="D9526" s="326"/>
      <c r="E9526" s="326"/>
      <c r="F9526" s="326"/>
      <c r="G9526" s="326"/>
      <c r="H9526" s="326"/>
      <c r="P9526" s="318"/>
      <c r="Q9526" s="318"/>
      <c r="R9526" s="318"/>
      <c r="S9526" s="318"/>
      <c r="T9526" s="318"/>
      <c r="U9526" s="318"/>
      <c r="V9526" s="318"/>
      <c r="W9526" s="318"/>
      <c r="X9526" s="318"/>
      <c r="Y9526" s="318"/>
      <c r="Z9526" s="318"/>
      <c r="AA9526" s="318"/>
      <c r="AB9526" s="318"/>
      <c r="AC9526" s="318"/>
      <c r="AD9526" s="318"/>
    </row>
    <row r="9527" spans="2:30" s="323" customFormat="1" ht="12" customHeight="1">
      <c r="B9527" s="324"/>
      <c r="C9527" s="325"/>
      <c r="D9527" s="326"/>
      <c r="E9527" s="326"/>
      <c r="F9527" s="326"/>
      <c r="G9527" s="326"/>
      <c r="H9527" s="326"/>
      <c r="P9527" s="318"/>
      <c r="Q9527" s="318"/>
      <c r="R9527" s="318"/>
      <c r="S9527" s="318"/>
      <c r="T9527" s="318"/>
      <c r="U9527" s="318"/>
      <c r="V9527" s="318"/>
      <c r="W9527" s="318"/>
      <c r="X9527" s="318"/>
      <c r="Y9527" s="318"/>
      <c r="Z9527" s="318"/>
      <c r="AA9527" s="318"/>
      <c r="AB9527" s="318"/>
      <c r="AC9527" s="318"/>
      <c r="AD9527" s="318"/>
    </row>
    <row r="9528" spans="2:30" s="323" customFormat="1" ht="12" customHeight="1">
      <c r="B9528" s="324"/>
      <c r="C9528" s="325"/>
      <c r="D9528" s="326"/>
      <c r="E9528" s="326"/>
      <c r="F9528" s="326"/>
      <c r="G9528" s="326"/>
      <c r="H9528" s="326"/>
      <c r="P9528" s="318"/>
      <c r="Q9528" s="318"/>
      <c r="R9528" s="318"/>
      <c r="S9528" s="318"/>
      <c r="T9528" s="318"/>
      <c r="U9528" s="318"/>
      <c r="V9528" s="318"/>
      <c r="W9528" s="318"/>
      <c r="X9528" s="318"/>
      <c r="Y9528" s="318"/>
      <c r="Z9528" s="318"/>
      <c r="AA9528" s="318"/>
      <c r="AB9528" s="318"/>
      <c r="AC9528" s="318"/>
      <c r="AD9528" s="318"/>
    </row>
    <row r="9529" spans="2:30" s="323" customFormat="1" ht="12" customHeight="1">
      <c r="B9529" s="324"/>
      <c r="C9529" s="325"/>
      <c r="D9529" s="326"/>
      <c r="E9529" s="326"/>
      <c r="F9529" s="326"/>
      <c r="G9529" s="326"/>
      <c r="H9529" s="326"/>
      <c r="P9529" s="318"/>
      <c r="Q9529" s="318"/>
      <c r="R9529" s="318"/>
      <c r="S9529" s="318"/>
      <c r="T9529" s="318"/>
      <c r="U9529" s="318"/>
      <c r="V9529" s="318"/>
      <c r="W9529" s="318"/>
      <c r="X9529" s="318"/>
      <c r="Y9529" s="318"/>
      <c r="Z9529" s="318"/>
      <c r="AA9529" s="318"/>
      <c r="AB9529" s="318"/>
      <c r="AC9529" s="318"/>
      <c r="AD9529" s="318"/>
    </row>
    <row r="9530" spans="2:30" s="323" customFormat="1" ht="12" customHeight="1">
      <c r="B9530" s="324"/>
      <c r="C9530" s="325"/>
      <c r="D9530" s="326"/>
      <c r="E9530" s="326"/>
      <c r="F9530" s="326"/>
      <c r="G9530" s="326"/>
      <c r="H9530" s="326"/>
      <c r="P9530" s="318"/>
      <c r="Q9530" s="318"/>
      <c r="R9530" s="318"/>
      <c r="S9530" s="318"/>
      <c r="T9530" s="318"/>
      <c r="U9530" s="318"/>
      <c r="V9530" s="318"/>
      <c r="W9530" s="318"/>
      <c r="X9530" s="318"/>
      <c r="Y9530" s="318"/>
      <c r="Z9530" s="318"/>
      <c r="AA9530" s="318"/>
      <c r="AB9530" s="318"/>
      <c r="AC9530" s="318"/>
      <c r="AD9530" s="318"/>
    </row>
    <row r="9531" spans="2:30" s="323" customFormat="1" ht="12" customHeight="1">
      <c r="B9531" s="324"/>
      <c r="C9531" s="325"/>
      <c r="D9531" s="326"/>
      <c r="E9531" s="326"/>
      <c r="F9531" s="326"/>
      <c r="G9531" s="326"/>
      <c r="H9531" s="326"/>
      <c r="P9531" s="318"/>
      <c r="Q9531" s="318"/>
      <c r="R9531" s="318"/>
      <c r="S9531" s="318"/>
      <c r="T9531" s="318"/>
      <c r="U9531" s="318"/>
      <c r="V9531" s="318"/>
      <c r="W9531" s="318"/>
      <c r="X9531" s="318"/>
      <c r="Y9531" s="318"/>
      <c r="Z9531" s="318"/>
      <c r="AA9531" s="318"/>
      <c r="AB9531" s="318"/>
      <c r="AC9531" s="318"/>
      <c r="AD9531" s="318"/>
    </row>
    <row r="9532" spans="2:30" s="323" customFormat="1" ht="12" customHeight="1">
      <c r="B9532" s="324"/>
      <c r="C9532" s="325"/>
      <c r="D9532" s="326"/>
      <c r="E9532" s="326"/>
      <c r="F9532" s="326"/>
      <c r="G9532" s="326"/>
      <c r="H9532" s="326"/>
      <c r="P9532" s="318"/>
      <c r="Q9532" s="318"/>
      <c r="R9532" s="318"/>
      <c r="S9532" s="318"/>
      <c r="T9532" s="318"/>
      <c r="U9532" s="318"/>
      <c r="V9532" s="318"/>
      <c r="W9532" s="318"/>
      <c r="X9532" s="318"/>
      <c r="Y9532" s="318"/>
      <c r="Z9532" s="318"/>
      <c r="AA9532" s="318"/>
      <c r="AB9532" s="318"/>
      <c r="AC9532" s="318"/>
      <c r="AD9532" s="318"/>
    </row>
    <row r="9533" spans="2:30" s="323" customFormat="1" ht="12" customHeight="1">
      <c r="B9533" s="324"/>
      <c r="C9533" s="325"/>
      <c r="D9533" s="326"/>
      <c r="E9533" s="326"/>
      <c r="F9533" s="326"/>
      <c r="G9533" s="326"/>
      <c r="H9533" s="326"/>
      <c r="P9533" s="318"/>
      <c r="Q9533" s="318"/>
      <c r="R9533" s="318"/>
      <c r="S9533" s="318"/>
      <c r="T9533" s="318"/>
      <c r="U9533" s="318"/>
      <c r="V9533" s="318"/>
      <c r="W9533" s="318"/>
      <c r="X9533" s="318"/>
      <c r="Y9533" s="318"/>
      <c r="Z9533" s="318"/>
      <c r="AA9533" s="318"/>
      <c r="AB9533" s="318"/>
      <c r="AC9533" s="318"/>
      <c r="AD9533" s="318"/>
    </row>
    <row r="9534" spans="2:30" s="323" customFormat="1" ht="12" customHeight="1">
      <c r="B9534" s="324"/>
      <c r="C9534" s="325"/>
      <c r="D9534" s="326"/>
      <c r="E9534" s="326"/>
      <c r="F9534" s="326"/>
      <c r="G9534" s="326"/>
      <c r="H9534" s="326"/>
      <c r="P9534" s="318"/>
      <c r="Q9534" s="318"/>
      <c r="R9534" s="318"/>
      <c r="S9534" s="318"/>
      <c r="T9534" s="318"/>
      <c r="U9534" s="318"/>
      <c r="V9534" s="318"/>
      <c r="W9534" s="318"/>
      <c r="X9534" s="318"/>
      <c r="Y9534" s="318"/>
      <c r="Z9534" s="318"/>
      <c r="AA9534" s="318"/>
      <c r="AB9534" s="318"/>
      <c r="AC9534" s="318"/>
      <c r="AD9534" s="318"/>
    </row>
    <row r="9535" spans="2:30" s="323" customFormat="1" ht="12" customHeight="1">
      <c r="B9535" s="324"/>
      <c r="C9535" s="325"/>
      <c r="D9535" s="326"/>
      <c r="E9535" s="326"/>
      <c r="F9535" s="326"/>
      <c r="G9535" s="326"/>
      <c r="H9535" s="326"/>
      <c r="P9535" s="318"/>
      <c r="Q9535" s="318"/>
      <c r="R9535" s="318"/>
      <c r="S9535" s="318"/>
      <c r="T9535" s="318"/>
      <c r="U9535" s="318"/>
      <c r="V9535" s="318"/>
      <c r="W9535" s="318"/>
      <c r="X9535" s="318"/>
      <c r="Y9535" s="318"/>
      <c r="Z9535" s="318"/>
      <c r="AA9535" s="318"/>
      <c r="AB9535" s="318"/>
      <c r="AC9535" s="318"/>
      <c r="AD9535" s="318"/>
    </row>
    <row r="9536" spans="2:30" s="323" customFormat="1" ht="12" customHeight="1">
      <c r="B9536" s="324"/>
      <c r="C9536" s="325"/>
      <c r="D9536" s="326"/>
      <c r="E9536" s="326"/>
      <c r="F9536" s="326"/>
      <c r="G9536" s="326"/>
      <c r="H9536" s="326"/>
      <c r="P9536" s="318"/>
      <c r="Q9536" s="318"/>
      <c r="R9536" s="318"/>
      <c r="S9536" s="318"/>
      <c r="T9536" s="318"/>
      <c r="U9536" s="318"/>
      <c r="V9536" s="318"/>
      <c r="W9536" s="318"/>
      <c r="X9536" s="318"/>
      <c r="Y9536" s="318"/>
      <c r="Z9536" s="318"/>
      <c r="AA9536" s="318"/>
      <c r="AB9536" s="318"/>
      <c r="AC9536" s="318"/>
      <c r="AD9536" s="318"/>
    </row>
    <row r="9537" spans="2:30" s="323" customFormat="1" ht="12" customHeight="1">
      <c r="B9537" s="324"/>
      <c r="C9537" s="325"/>
      <c r="D9537" s="326"/>
      <c r="E9537" s="326"/>
      <c r="F9537" s="326"/>
      <c r="G9537" s="326"/>
      <c r="H9537" s="326"/>
      <c r="P9537" s="318"/>
      <c r="Q9537" s="318"/>
      <c r="R9537" s="318"/>
      <c r="S9537" s="318"/>
      <c r="T9537" s="318"/>
      <c r="U9537" s="318"/>
      <c r="V9537" s="318"/>
      <c r="W9537" s="318"/>
      <c r="X9537" s="318"/>
      <c r="Y9537" s="318"/>
      <c r="Z9537" s="318"/>
      <c r="AA9537" s="318"/>
      <c r="AB9537" s="318"/>
      <c r="AC9537" s="318"/>
      <c r="AD9537" s="318"/>
    </row>
    <row r="9538" spans="2:30" s="323" customFormat="1" ht="12" customHeight="1">
      <c r="B9538" s="324"/>
      <c r="C9538" s="325"/>
      <c r="D9538" s="326"/>
      <c r="E9538" s="326"/>
      <c r="F9538" s="326"/>
      <c r="G9538" s="326"/>
      <c r="H9538" s="326"/>
      <c r="P9538" s="318"/>
      <c r="Q9538" s="318"/>
      <c r="R9538" s="318"/>
      <c r="S9538" s="318"/>
      <c r="T9538" s="318"/>
      <c r="U9538" s="318"/>
      <c r="V9538" s="318"/>
      <c r="W9538" s="318"/>
      <c r="X9538" s="318"/>
      <c r="Y9538" s="318"/>
      <c r="Z9538" s="318"/>
      <c r="AA9538" s="318"/>
      <c r="AB9538" s="318"/>
      <c r="AC9538" s="318"/>
      <c r="AD9538" s="318"/>
    </row>
    <row r="9539" spans="2:30" s="323" customFormat="1" ht="12" customHeight="1">
      <c r="B9539" s="324"/>
      <c r="C9539" s="325"/>
      <c r="D9539" s="326"/>
      <c r="E9539" s="326"/>
      <c r="F9539" s="326"/>
      <c r="G9539" s="326"/>
      <c r="H9539" s="326"/>
      <c r="P9539" s="318"/>
      <c r="Q9539" s="318"/>
      <c r="R9539" s="318"/>
      <c r="S9539" s="318"/>
      <c r="T9539" s="318"/>
      <c r="U9539" s="318"/>
      <c r="V9539" s="318"/>
      <c r="W9539" s="318"/>
      <c r="X9539" s="318"/>
      <c r="Y9539" s="318"/>
      <c r="Z9539" s="318"/>
      <c r="AA9539" s="318"/>
      <c r="AB9539" s="318"/>
      <c r="AC9539" s="318"/>
      <c r="AD9539" s="318"/>
    </row>
    <row r="9540" spans="2:30" s="323" customFormat="1" ht="12" customHeight="1">
      <c r="B9540" s="324"/>
      <c r="C9540" s="325"/>
      <c r="D9540" s="326"/>
      <c r="E9540" s="326"/>
      <c r="F9540" s="326"/>
      <c r="G9540" s="326"/>
      <c r="H9540" s="326"/>
      <c r="P9540" s="318"/>
      <c r="Q9540" s="318"/>
      <c r="R9540" s="318"/>
      <c r="S9540" s="318"/>
      <c r="T9540" s="318"/>
      <c r="U9540" s="318"/>
      <c r="V9540" s="318"/>
      <c r="W9540" s="318"/>
      <c r="X9540" s="318"/>
      <c r="Y9540" s="318"/>
      <c r="Z9540" s="318"/>
      <c r="AA9540" s="318"/>
      <c r="AB9540" s="318"/>
      <c r="AC9540" s="318"/>
      <c r="AD9540" s="318"/>
    </row>
    <row r="9541" spans="2:30" s="323" customFormat="1" ht="12" customHeight="1">
      <c r="B9541" s="324"/>
      <c r="C9541" s="325"/>
      <c r="D9541" s="326"/>
      <c r="E9541" s="326"/>
      <c r="F9541" s="326"/>
      <c r="G9541" s="326"/>
      <c r="H9541" s="326"/>
      <c r="P9541" s="318"/>
      <c r="Q9541" s="318"/>
      <c r="R9541" s="318"/>
      <c r="S9541" s="318"/>
      <c r="T9541" s="318"/>
      <c r="U9541" s="318"/>
      <c r="V9541" s="318"/>
      <c r="W9541" s="318"/>
      <c r="X9541" s="318"/>
      <c r="Y9541" s="318"/>
      <c r="Z9541" s="318"/>
      <c r="AA9541" s="318"/>
      <c r="AB9541" s="318"/>
      <c r="AC9541" s="318"/>
      <c r="AD9541" s="318"/>
    </row>
    <row r="9542" spans="2:30" s="323" customFormat="1" ht="12" customHeight="1">
      <c r="B9542" s="324"/>
      <c r="C9542" s="325"/>
      <c r="D9542" s="326"/>
      <c r="E9542" s="326"/>
      <c r="F9542" s="326"/>
      <c r="G9542" s="326"/>
      <c r="H9542" s="326"/>
      <c r="P9542" s="318"/>
      <c r="Q9542" s="318"/>
      <c r="R9542" s="318"/>
      <c r="S9542" s="318"/>
      <c r="T9542" s="318"/>
      <c r="U9542" s="318"/>
      <c r="V9542" s="318"/>
      <c r="W9542" s="318"/>
      <c r="X9542" s="318"/>
      <c r="Y9542" s="318"/>
      <c r="Z9542" s="318"/>
      <c r="AA9542" s="318"/>
      <c r="AB9542" s="318"/>
      <c r="AC9542" s="318"/>
      <c r="AD9542" s="318"/>
    </row>
    <row r="9543" spans="2:30" s="323" customFormat="1" ht="12" customHeight="1">
      <c r="B9543" s="324"/>
      <c r="C9543" s="325"/>
      <c r="D9543" s="326"/>
      <c r="E9543" s="326"/>
      <c r="F9543" s="326"/>
      <c r="G9543" s="326"/>
      <c r="H9543" s="326"/>
      <c r="P9543" s="318"/>
      <c r="Q9543" s="318"/>
      <c r="R9543" s="318"/>
      <c r="S9543" s="318"/>
      <c r="T9543" s="318"/>
      <c r="U9543" s="318"/>
      <c r="V9543" s="318"/>
      <c r="W9543" s="318"/>
      <c r="X9543" s="318"/>
      <c r="Y9543" s="318"/>
      <c r="Z9543" s="318"/>
      <c r="AA9543" s="318"/>
      <c r="AB9543" s="318"/>
      <c r="AC9543" s="318"/>
      <c r="AD9543" s="318"/>
    </row>
    <row r="9544" spans="2:30" s="323" customFormat="1" ht="12" customHeight="1">
      <c r="B9544" s="324"/>
      <c r="C9544" s="325"/>
      <c r="D9544" s="326"/>
      <c r="E9544" s="326"/>
      <c r="F9544" s="326"/>
      <c r="G9544" s="326"/>
      <c r="H9544" s="326"/>
      <c r="P9544" s="318"/>
      <c r="Q9544" s="318"/>
      <c r="R9544" s="318"/>
      <c r="S9544" s="318"/>
      <c r="T9544" s="318"/>
      <c r="U9544" s="318"/>
      <c r="V9544" s="318"/>
      <c r="W9544" s="318"/>
      <c r="X9544" s="318"/>
      <c r="Y9544" s="318"/>
      <c r="Z9544" s="318"/>
      <c r="AA9544" s="318"/>
      <c r="AB9544" s="318"/>
      <c r="AC9544" s="318"/>
      <c r="AD9544" s="318"/>
    </row>
    <row r="9545" spans="2:30" s="323" customFormat="1" ht="12" customHeight="1">
      <c r="B9545" s="324"/>
      <c r="C9545" s="325"/>
      <c r="D9545" s="326"/>
      <c r="E9545" s="326"/>
      <c r="F9545" s="326"/>
      <c r="G9545" s="326"/>
      <c r="H9545" s="326"/>
      <c r="P9545" s="318"/>
      <c r="Q9545" s="318"/>
      <c r="R9545" s="318"/>
      <c r="S9545" s="318"/>
      <c r="T9545" s="318"/>
      <c r="U9545" s="318"/>
      <c r="V9545" s="318"/>
      <c r="W9545" s="318"/>
      <c r="X9545" s="318"/>
      <c r="Y9545" s="318"/>
      <c r="Z9545" s="318"/>
      <c r="AA9545" s="318"/>
      <c r="AB9545" s="318"/>
      <c r="AC9545" s="318"/>
      <c r="AD9545" s="318"/>
    </row>
    <row r="9546" spans="2:30" s="323" customFormat="1" ht="12" customHeight="1">
      <c r="B9546" s="324"/>
      <c r="C9546" s="325"/>
      <c r="D9546" s="326"/>
      <c r="E9546" s="326"/>
      <c r="F9546" s="326"/>
      <c r="G9546" s="326"/>
      <c r="H9546" s="326"/>
      <c r="P9546" s="318"/>
      <c r="Q9546" s="318"/>
      <c r="R9546" s="318"/>
      <c r="S9546" s="318"/>
      <c r="T9546" s="318"/>
      <c r="U9546" s="318"/>
      <c r="V9546" s="318"/>
      <c r="W9546" s="318"/>
      <c r="X9546" s="318"/>
      <c r="Y9546" s="318"/>
      <c r="Z9546" s="318"/>
      <c r="AA9546" s="318"/>
      <c r="AB9546" s="318"/>
      <c r="AC9546" s="318"/>
      <c r="AD9546" s="318"/>
    </row>
    <row r="9547" spans="2:30" s="323" customFormat="1" ht="12" customHeight="1">
      <c r="B9547" s="324"/>
      <c r="C9547" s="325"/>
      <c r="D9547" s="326"/>
      <c r="E9547" s="326"/>
      <c r="F9547" s="326"/>
      <c r="G9547" s="326"/>
      <c r="H9547" s="326"/>
      <c r="P9547" s="318"/>
      <c r="Q9547" s="318"/>
      <c r="R9547" s="318"/>
      <c r="S9547" s="318"/>
      <c r="T9547" s="318"/>
      <c r="U9547" s="318"/>
      <c r="V9547" s="318"/>
      <c r="W9547" s="318"/>
      <c r="X9547" s="318"/>
      <c r="Y9547" s="318"/>
      <c r="Z9547" s="318"/>
      <c r="AA9547" s="318"/>
      <c r="AB9547" s="318"/>
      <c r="AC9547" s="318"/>
      <c r="AD9547" s="318"/>
    </row>
    <row r="9548" spans="2:30" s="323" customFormat="1" ht="12" customHeight="1">
      <c r="B9548" s="324"/>
      <c r="C9548" s="325"/>
      <c r="D9548" s="326"/>
      <c r="E9548" s="326"/>
      <c r="F9548" s="326"/>
      <c r="G9548" s="326"/>
      <c r="H9548" s="326"/>
      <c r="P9548" s="318"/>
      <c r="Q9548" s="318"/>
      <c r="R9548" s="318"/>
      <c r="S9548" s="318"/>
      <c r="T9548" s="318"/>
      <c r="U9548" s="318"/>
      <c r="V9548" s="318"/>
      <c r="W9548" s="318"/>
      <c r="X9548" s="318"/>
      <c r="Y9548" s="318"/>
      <c r="Z9548" s="318"/>
      <c r="AA9548" s="318"/>
      <c r="AB9548" s="318"/>
      <c r="AC9548" s="318"/>
      <c r="AD9548" s="318"/>
    </row>
    <row r="9549" spans="2:30" s="323" customFormat="1" ht="12" customHeight="1">
      <c r="B9549" s="324"/>
      <c r="C9549" s="325"/>
      <c r="D9549" s="326"/>
      <c r="E9549" s="326"/>
      <c r="F9549" s="326"/>
      <c r="G9549" s="326"/>
      <c r="H9549" s="326"/>
      <c r="P9549" s="318"/>
      <c r="Q9549" s="318"/>
      <c r="R9549" s="318"/>
      <c r="S9549" s="318"/>
      <c r="T9549" s="318"/>
      <c r="U9549" s="318"/>
      <c r="V9549" s="318"/>
      <c r="W9549" s="318"/>
      <c r="X9549" s="318"/>
      <c r="Y9549" s="318"/>
      <c r="Z9549" s="318"/>
      <c r="AA9549" s="318"/>
      <c r="AB9549" s="318"/>
      <c r="AC9549" s="318"/>
      <c r="AD9549" s="318"/>
    </row>
    <row r="9550" spans="2:30" s="323" customFormat="1" ht="12" customHeight="1">
      <c r="B9550" s="324"/>
      <c r="C9550" s="325"/>
      <c r="D9550" s="326"/>
      <c r="E9550" s="326"/>
      <c r="F9550" s="326"/>
      <c r="G9550" s="326"/>
      <c r="H9550" s="326"/>
      <c r="P9550" s="318"/>
      <c r="Q9550" s="318"/>
      <c r="R9550" s="318"/>
      <c r="S9550" s="318"/>
      <c r="T9550" s="318"/>
      <c r="U9550" s="318"/>
      <c r="V9550" s="318"/>
      <c r="W9550" s="318"/>
      <c r="X9550" s="318"/>
      <c r="Y9550" s="318"/>
      <c r="Z9550" s="318"/>
      <c r="AA9550" s="318"/>
      <c r="AB9550" s="318"/>
      <c r="AC9550" s="318"/>
      <c r="AD9550" s="318"/>
    </row>
    <row r="9551" spans="2:30" s="323" customFormat="1" ht="12" customHeight="1">
      <c r="B9551" s="324"/>
      <c r="C9551" s="325"/>
      <c r="D9551" s="326"/>
      <c r="E9551" s="326"/>
      <c r="F9551" s="326"/>
      <c r="G9551" s="326"/>
      <c r="H9551" s="326"/>
      <c r="P9551" s="318"/>
      <c r="Q9551" s="318"/>
      <c r="R9551" s="318"/>
      <c r="S9551" s="318"/>
      <c r="T9551" s="318"/>
      <c r="U9551" s="318"/>
      <c r="V9551" s="318"/>
      <c r="W9551" s="318"/>
      <c r="X9551" s="318"/>
      <c r="Y9551" s="318"/>
      <c r="Z9551" s="318"/>
      <c r="AA9551" s="318"/>
      <c r="AB9551" s="318"/>
      <c r="AC9551" s="318"/>
      <c r="AD9551" s="318"/>
    </row>
    <row r="9552" spans="2:30" s="323" customFormat="1" ht="12" customHeight="1">
      <c r="B9552" s="324"/>
      <c r="C9552" s="325"/>
      <c r="D9552" s="326"/>
      <c r="E9552" s="326"/>
      <c r="F9552" s="326"/>
      <c r="G9552" s="326"/>
      <c r="H9552" s="326"/>
      <c r="P9552" s="318"/>
      <c r="Q9552" s="318"/>
      <c r="R9552" s="318"/>
      <c r="S9552" s="318"/>
      <c r="T9552" s="318"/>
      <c r="U9552" s="318"/>
      <c r="V9552" s="318"/>
      <c r="W9552" s="318"/>
      <c r="X9552" s="318"/>
      <c r="Y9552" s="318"/>
      <c r="Z9552" s="318"/>
      <c r="AA9552" s="318"/>
      <c r="AB9552" s="318"/>
      <c r="AC9552" s="318"/>
      <c r="AD9552" s="318"/>
    </row>
    <row r="9553" spans="2:30" s="323" customFormat="1" ht="12" customHeight="1">
      <c r="B9553" s="324"/>
      <c r="C9553" s="325"/>
      <c r="D9553" s="326"/>
      <c r="E9553" s="326"/>
      <c r="F9553" s="326"/>
      <c r="G9553" s="326"/>
      <c r="H9553" s="326"/>
      <c r="P9553" s="318"/>
      <c r="Q9553" s="318"/>
      <c r="R9553" s="318"/>
      <c r="S9553" s="318"/>
      <c r="T9553" s="318"/>
      <c r="U9553" s="318"/>
      <c r="V9553" s="318"/>
      <c r="W9553" s="318"/>
      <c r="X9553" s="318"/>
      <c r="Y9553" s="318"/>
      <c r="Z9553" s="318"/>
      <c r="AA9553" s="318"/>
      <c r="AB9553" s="318"/>
      <c r="AC9553" s="318"/>
      <c r="AD9553" s="318"/>
    </row>
    <row r="9554" spans="2:30" s="323" customFormat="1" ht="12" customHeight="1">
      <c r="B9554" s="324"/>
      <c r="C9554" s="325"/>
      <c r="D9554" s="326"/>
      <c r="E9554" s="326"/>
      <c r="F9554" s="326"/>
      <c r="G9554" s="326"/>
      <c r="H9554" s="326"/>
      <c r="P9554" s="318"/>
      <c r="Q9554" s="318"/>
      <c r="R9554" s="318"/>
      <c r="S9554" s="318"/>
      <c r="T9554" s="318"/>
      <c r="U9554" s="318"/>
      <c r="V9554" s="318"/>
      <c r="W9554" s="318"/>
      <c r="X9554" s="318"/>
      <c r="Y9554" s="318"/>
      <c r="Z9554" s="318"/>
      <c r="AA9554" s="318"/>
      <c r="AB9554" s="318"/>
      <c r="AC9554" s="318"/>
      <c r="AD9554" s="318"/>
    </row>
    <row r="9555" spans="2:30" s="323" customFormat="1" ht="12" customHeight="1">
      <c r="B9555" s="324"/>
      <c r="C9555" s="325"/>
      <c r="D9555" s="326"/>
      <c r="E9555" s="326"/>
      <c r="F9555" s="326"/>
      <c r="G9555" s="326"/>
      <c r="H9555" s="326"/>
      <c r="P9555" s="318"/>
      <c r="Q9555" s="318"/>
      <c r="R9555" s="318"/>
      <c r="S9555" s="318"/>
      <c r="T9555" s="318"/>
      <c r="U9555" s="318"/>
      <c r="V9555" s="318"/>
      <c r="W9555" s="318"/>
      <c r="X9555" s="318"/>
      <c r="Y9555" s="318"/>
      <c r="Z9555" s="318"/>
      <c r="AA9555" s="318"/>
      <c r="AB9555" s="318"/>
      <c r="AC9555" s="318"/>
      <c r="AD9555" s="318"/>
    </row>
    <row r="9556" spans="2:30" s="323" customFormat="1" ht="12" customHeight="1">
      <c r="B9556" s="324"/>
      <c r="C9556" s="325"/>
      <c r="D9556" s="326"/>
      <c r="E9556" s="326"/>
      <c r="F9556" s="326"/>
      <c r="G9556" s="326"/>
      <c r="H9556" s="326"/>
      <c r="P9556" s="318"/>
      <c r="Q9556" s="318"/>
      <c r="R9556" s="318"/>
      <c r="S9556" s="318"/>
      <c r="T9556" s="318"/>
      <c r="U9556" s="318"/>
      <c r="V9556" s="318"/>
      <c r="W9556" s="318"/>
      <c r="X9556" s="318"/>
      <c r="Y9556" s="318"/>
      <c r="Z9556" s="318"/>
      <c r="AA9556" s="318"/>
      <c r="AB9556" s="318"/>
      <c r="AC9556" s="318"/>
      <c r="AD9556" s="318"/>
    </row>
    <row r="9557" spans="2:30" s="323" customFormat="1" ht="12" customHeight="1">
      <c r="B9557" s="324"/>
      <c r="C9557" s="325"/>
      <c r="D9557" s="326"/>
      <c r="E9557" s="326"/>
      <c r="F9557" s="326"/>
      <c r="G9557" s="326"/>
      <c r="H9557" s="326"/>
      <c r="P9557" s="318"/>
      <c r="Q9557" s="318"/>
      <c r="R9557" s="318"/>
      <c r="S9557" s="318"/>
      <c r="T9557" s="318"/>
      <c r="U9557" s="318"/>
      <c r="V9557" s="318"/>
      <c r="W9557" s="318"/>
      <c r="X9557" s="318"/>
      <c r="Y9557" s="318"/>
      <c r="Z9557" s="318"/>
      <c r="AA9557" s="318"/>
      <c r="AB9557" s="318"/>
      <c r="AC9557" s="318"/>
      <c r="AD9557" s="318"/>
    </row>
    <row r="9558" spans="2:30" s="323" customFormat="1" ht="12" customHeight="1">
      <c r="B9558" s="324"/>
      <c r="C9558" s="325"/>
      <c r="D9558" s="326"/>
      <c r="E9558" s="326"/>
      <c r="F9558" s="326"/>
      <c r="G9558" s="326"/>
      <c r="H9558" s="326"/>
      <c r="P9558" s="318"/>
      <c r="Q9558" s="318"/>
      <c r="R9558" s="318"/>
      <c r="S9558" s="318"/>
      <c r="T9558" s="318"/>
      <c r="U9558" s="318"/>
      <c r="V9558" s="318"/>
      <c r="W9558" s="318"/>
      <c r="X9558" s="318"/>
      <c r="Y9558" s="318"/>
      <c r="Z9558" s="318"/>
      <c r="AA9558" s="318"/>
      <c r="AB9558" s="318"/>
      <c r="AC9558" s="318"/>
      <c r="AD9558" s="318"/>
    </row>
    <row r="9559" spans="2:30" s="323" customFormat="1" ht="12" customHeight="1">
      <c r="B9559" s="324"/>
      <c r="C9559" s="325"/>
      <c r="D9559" s="326"/>
      <c r="E9559" s="326"/>
      <c r="F9559" s="326"/>
      <c r="G9559" s="326"/>
      <c r="H9559" s="326"/>
      <c r="P9559" s="318"/>
      <c r="Q9559" s="318"/>
      <c r="R9559" s="318"/>
      <c r="S9559" s="318"/>
      <c r="T9559" s="318"/>
      <c r="U9559" s="318"/>
      <c r="V9559" s="318"/>
      <c r="W9559" s="318"/>
      <c r="X9559" s="318"/>
      <c r="Y9559" s="318"/>
      <c r="Z9559" s="318"/>
      <c r="AA9559" s="318"/>
      <c r="AB9559" s="318"/>
      <c r="AC9559" s="318"/>
      <c r="AD9559" s="318"/>
    </row>
    <row r="9560" spans="2:30" s="323" customFormat="1" ht="12" customHeight="1">
      <c r="B9560" s="324"/>
      <c r="C9560" s="325"/>
      <c r="D9560" s="326"/>
      <c r="E9560" s="326"/>
      <c r="F9560" s="326"/>
      <c r="G9560" s="326"/>
      <c r="H9560" s="326"/>
      <c r="P9560" s="318"/>
      <c r="Q9560" s="318"/>
      <c r="R9560" s="318"/>
      <c r="S9560" s="318"/>
      <c r="T9560" s="318"/>
      <c r="U9560" s="318"/>
      <c r="V9560" s="318"/>
      <c r="W9560" s="318"/>
      <c r="X9560" s="318"/>
      <c r="Y9560" s="318"/>
      <c r="Z9560" s="318"/>
      <c r="AA9560" s="318"/>
      <c r="AB9560" s="318"/>
      <c r="AC9560" s="318"/>
      <c r="AD9560" s="318"/>
    </row>
    <row r="9561" spans="2:30" s="323" customFormat="1" ht="12" customHeight="1">
      <c r="B9561" s="324"/>
      <c r="C9561" s="325"/>
      <c r="D9561" s="326"/>
      <c r="E9561" s="326"/>
      <c r="F9561" s="326"/>
      <c r="G9561" s="326"/>
      <c r="H9561" s="326"/>
      <c r="P9561" s="318"/>
      <c r="Q9561" s="318"/>
      <c r="R9561" s="318"/>
      <c r="S9561" s="318"/>
      <c r="T9561" s="318"/>
      <c r="U9561" s="318"/>
      <c r="V9561" s="318"/>
      <c r="W9561" s="318"/>
      <c r="X9561" s="318"/>
      <c r="Y9561" s="318"/>
      <c r="Z9561" s="318"/>
      <c r="AA9561" s="318"/>
      <c r="AB9561" s="318"/>
      <c r="AC9561" s="318"/>
      <c r="AD9561" s="318"/>
    </row>
    <row r="9562" spans="2:30" s="323" customFormat="1" ht="12" customHeight="1">
      <c r="B9562" s="324"/>
      <c r="C9562" s="325"/>
      <c r="D9562" s="326"/>
      <c r="E9562" s="326"/>
      <c r="F9562" s="326"/>
      <c r="G9562" s="326"/>
      <c r="H9562" s="326"/>
      <c r="P9562" s="318"/>
      <c r="Q9562" s="318"/>
      <c r="R9562" s="318"/>
      <c r="S9562" s="318"/>
      <c r="T9562" s="318"/>
      <c r="U9562" s="318"/>
      <c r="V9562" s="318"/>
      <c r="W9562" s="318"/>
      <c r="X9562" s="318"/>
      <c r="Y9562" s="318"/>
      <c r="Z9562" s="318"/>
      <c r="AA9562" s="318"/>
      <c r="AB9562" s="318"/>
      <c r="AC9562" s="318"/>
      <c r="AD9562" s="318"/>
    </row>
    <row r="9563" spans="2:30" s="323" customFormat="1" ht="12" customHeight="1">
      <c r="B9563" s="324"/>
      <c r="C9563" s="325"/>
      <c r="D9563" s="326"/>
      <c r="E9563" s="326"/>
      <c r="F9563" s="326"/>
      <c r="G9563" s="326"/>
      <c r="H9563" s="326"/>
      <c r="P9563" s="318"/>
      <c r="Q9563" s="318"/>
      <c r="R9563" s="318"/>
      <c r="S9563" s="318"/>
      <c r="T9563" s="318"/>
      <c r="U9563" s="318"/>
      <c r="V9563" s="318"/>
      <c r="W9563" s="318"/>
      <c r="X9563" s="318"/>
      <c r="Y9563" s="318"/>
      <c r="Z9563" s="318"/>
      <c r="AA9563" s="318"/>
      <c r="AB9563" s="318"/>
      <c r="AC9563" s="318"/>
      <c r="AD9563" s="318"/>
    </row>
    <row r="9564" spans="2:30" s="323" customFormat="1" ht="12" customHeight="1">
      <c r="B9564" s="324"/>
      <c r="C9564" s="325"/>
      <c r="D9564" s="326"/>
      <c r="E9564" s="326"/>
      <c r="F9564" s="326"/>
      <c r="G9564" s="326"/>
      <c r="H9564" s="326"/>
      <c r="P9564" s="318"/>
      <c r="Q9564" s="318"/>
      <c r="R9564" s="318"/>
      <c r="S9564" s="318"/>
      <c r="T9564" s="318"/>
      <c r="U9564" s="318"/>
      <c r="V9564" s="318"/>
      <c r="W9564" s="318"/>
      <c r="X9564" s="318"/>
      <c r="Y9564" s="318"/>
      <c r="Z9564" s="318"/>
      <c r="AA9564" s="318"/>
      <c r="AB9564" s="318"/>
      <c r="AC9564" s="318"/>
      <c r="AD9564" s="318"/>
    </row>
    <row r="9565" spans="2:30" s="323" customFormat="1" ht="12" customHeight="1">
      <c r="B9565" s="324"/>
      <c r="C9565" s="325"/>
      <c r="D9565" s="326"/>
      <c r="E9565" s="326"/>
      <c r="F9565" s="326"/>
      <c r="G9565" s="326"/>
      <c r="H9565" s="326"/>
      <c r="P9565" s="318"/>
      <c r="Q9565" s="318"/>
      <c r="R9565" s="318"/>
      <c r="S9565" s="318"/>
      <c r="T9565" s="318"/>
      <c r="U9565" s="318"/>
      <c r="V9565" s="318"/>
      <c r="W9565" s="318"/>
      <c r="X9565" s="318"/>
      <c r="Y9565" s="318"/>
      <c r="Z9565" s="318"/>
      <c r="AA9565" s="318"/>
      <c r="AB9565" s="318"/>
      <c r="AC9565" s="318"/>
      <c r="AD9565" s="318"/>
    </row>
    <row r="9566" spans="2:30" s="323" customFormat="1" ht="12" customHeight="1">
      <c r="B9566" s="324"/>
      <c r="C9566" s="325"/>
      <c r="D9566" s="326"/>
      <c r="E9566" s="326"/>
      <c r="F9566" s="326"/>
      <c r="G9566" s="326"/>
      <c r="H9566" s="326"/>
      <c r="P9566" s="318"/>
      <c r="Q9566" s="318"/>
      <c r="R9566" s="318"/>
      <c r="S9566" s="318"/>
      <c r="T9566" s="318"/>
      <c r="U9566" s="318"/>
      <c r="V9566" s="318"/>
      <c r="W9566" s="318"/>
      <c r="X9566" s="318"/>
      <c r="Y9566" s="318"/>
      <c r="Z9566" s="318"/>
      <c r="AA9566" s="318"/>
      <c r="AB9566" s="318"/>
      <c r="AC9566" s="318"/>
      <c r="AD9566" s="318"/>
    </row>
    <row r="9567" spans="2:30" s="323" customFormat="1" ht="12" customHeight="1">
      <c r="B9567" s="324"/>
      <c r="C9567" s="325"/>
      <c r="D9567" s="326"/>
      <c r="E9567" s="326"/>
      <c r="F9567" s="326"/>
      <c r="G9567" s="326"/>
      <c r="H9567" s="326"/>
      <c r="P9567" s="318"/>
      <c r="Q9567" s="318"/>
      <c r="R9567" s="318"/>
      <c r="S9567" s="318"/>
      <c r="T9567" s="318"/>
      <c r="U9567" s="318"/>
      <c r="V9567" s="318"/>
      <c r="W9567" s="318"/>
      <c r="X9567" s="318"/>
      <c r="Y9567" s="318"/>
      <c r="Z9567" s="318"/>
      <c r="AA9567" s="318"/>
      <c r="AB9567" s="318"/>
      <c r="AC9567" s="318"/>
      <c r="AD9567" s="318"/>
    </row>
    <row r="9568" spans="2:30" s="323" customFormat="1" ht="12" customHeight="1">
      <c r="B9568" s="324"/>
      <c r="C9568" s="325"/>
      <c r="D9568" s="326"/>
      <c r="E9568" s="326"/>
      <c r="F9568" s="326"/>
      <c r="G9568" s="326"/>
      <c r="H9568" s="326"/>
      <c r="P9568" s="318"/>
      <c r="Q9568" s="318"/>
      <c r="R9568" s="318"/>
      <c r="S9568" s="318"/>
      <c r="T9568" s="318"/>
      <c r="U9568" s="318"/>
      <c r="V9568" s="318"/>
      <c r="W9568" s="318"/>
      <c r="X9568" s="318"/>
      <c r="Y9568" s="318"/>
      <c r="Z9568" s="318"/>
      <c r="AA9568" s="318"/>
      <c r="AB9568" s="318"/>
      <c r="AC9568" s="318"/>
      <c r="AD9568" s="318"/>
    </row>
    <row r="9569" spans="2:30" s="323" customFormat="1" ht="12" customHeight="1">
      <c r="B9569" s="324"/>
      <c r="C9569" s="325"/>
      <c r="D9569" s="326"/>
      <c r="E9569" s="326"/>
      <c r="F9569" s="326"/>
      <c r="G9569" s="326"/>
      <c r="H9569" s="326"/>
      <c r="P9569" s="318"/>
      <c r="Q9569" s="318"/>
      <c r="R9569" s="318"/>
      <c r="S9569" s="318"/>
      <c r="T9569" s="318"/>
      <c r="U9569" s="318"/>
      <c r="V9569" s="318"/>
      <c r="W9569" s="318"/>
      <c r="X9569" s="318"/>
      <c r="Y9569" s="318"/>
      <c r="Z9569" s="318"/>
      <c r="AA9569" s="318"/>
      <c r="AB9569" s="318"/>
      <c r="AC9569" s="318"/>
      <c r="AD9569" s="318"/>
    </row>
    <row r="9570" spans="2:30" s="323" customFormat="1" ht="12" customHeight="1">
      <c r="B9570" s="324"/>
      <c r="C9570" s="325"/>
      <c r="D9570" s="326"/>
      <c r="E9570" s="326"/>
      <c r="F9570" s="326"/>
      <c r="G9570" s="326"/>
      <c r="H9570" s="326"/>
      <c r="P9570" s="318"/>
      <c r="Q9570" s="318"/>
      <c r="R9570" s="318"/>
      <c r="S9570" s="318"/>
      <c r="T9570" s="318"/>
      <c r="U9570" s="318"/>
      <c r="V9570" s="318"/>
      <c r="W9570" s="318"/>
      <c r="X9570" s="318"/>
      <c r="Y9570" s="318"/>
      <c r="Z9570" s="318"/>
      <c r="AA9570" s="318"/>
      <c r="AB9570" s="318"/>
      <c r="AC9570" s="318"/>
      <c r="AD9570" s="318"/>
    </row>
    <row r="9571" spans="2:30" s="323" customFormat="1" ht="12" customHeight="1">
      <c r="B9571" s="324"/>
      <c r="C9571" s="325"/>
      <c r="D9571" s="326"/>
      <c r="E9571" s="326"/>
      <c r="F9571" s="326"/>
      <c r="G9571" s="326"/>
      <c r="H9571" s="326"/>
      <c r="P9571" s="318"/>
      <c r="Q9571" s="318"/>
      <c r="R9571" s="318"/>
      <c r="S9571" s="318"/>
      <c r="T9571" s="318"/>
      <c r="U9571" s="318"/>
      <c r="V9571" s="318"/>
      <c r="W9571" s="318"/>
      <c r="X9571" s="318"/>
      <c r="Y9571" s="318"/>
      <c r="Z9571" s="318"/>
      <c r="AA9571" s="318"/>
      <c r="AB9571" s="318"/>
      <c r="AC9571" s="318"/>
      <c r="AD9571" s="318"/>
    </row>
    <row r="9572" spans="2:30" s="323" customFormat="1" ht="12" customHeight="1">
      <c r="B9572" s="324"/>
      <c r="C9572" s="325"/>
      <c r="D9572" s="326"/>
      <c r="E9572" s="326"/>
      <c r="F9572" s="326"/>
      <c r="G9572" s="326"/>
      <c r="H9572" s="326"/>
      <c r="P9572" s="318"/>
      <c r="Q9572" s="318"/>
      <c r="R9572" s="318"/>
      <c r="S9572" s="318"/>
      <c r="T9572" s="318"/>
      <c r="U9572" s="318"/>
      <c r="V9572" s="318"/>
      <c r="W9572" s="318"/>
      <c r="X9572" s="318"/>
      <c r="Y9572" s="318"/>
      <c r="Z9572" s="318"/>
      <c r="AA9572" s="318"/>
      <c r="AB9572" s="318"/>
      <c r="AC9572" s="318"/>
      <c r="AD9572" s="318"/>
    </row>
    <row r="9573" spans="2:30" s="323" customFormat="1" ht="12" customHeight="1">
      <c r="B9573" s="324"/>
      <c r="C9573" s="325"/>
      <c r="D9573" s="326"/>
      <c r="E9573" s="326"/>
      <c r="F9573" s="326"/>
      <c r="G9573" s="326"/>
      <c r="H9573" s="326"/>
      <c r="P9573" s="318"/>
      <c r="Q9573" s="318"/>
      <c r="R9573" s="318"/>
      <c r="S9573" s="318"/>
      <c r="T9573" s="318"/>
      <c r="U9573" s="318"/>
      <c r="V9573" s="318"/>
      <c r="W9573" s="318"/>
      <c r="X9573" s="318"/>
      <c r="Y9573" s="318"/>
      <c r="Z9573" s="318"/>
      <c r="AA9573" s="318"/>
      <c r="AB9573" s="318"/>
      <c r="AC9573" s="318"/>
      <c r="AD9573" s="318"/>
    </row>
    <row r="9574" spans="2:30" s="323" customFormat="1" ht="12" customHeight="1">
      <c r="B9574" s="324"/>
      <c r="C9574" s="325"/>
      <c r="D9574" s="326"/>
      <c r="E9574" s="326"/>
      <c r="F9574" s="326"/>
      <c r="G9574" s="326"/>
      <c r="H9574" s="326"/>
      <c r="P9574" s="318"/>
      <c r="Q9574" s="318"/>
      <c r="R9574" s="318"/>
      <c r="S9574" s="318"/>
      <c r="T9574" s="318"/>
      <c r="U9574" s="318"/>
      <c r="V9574" s="318"/>
      <c r="W9574" s="318"/>
      <c r="X9574" s="318"/>
      <c r="Y9574" s="318"/>
      <c r="Z9574" s="318"/>
      <c r="AA9574" s="318"/>
      <c r="AB9574" s="318"/>
      <c r="AC9574" s="318"/>
      <c r="AD9574" s="318"/>
    </row>
    <row r="9575" spans="2:30" s="323" customFormat="1" ht="12" customHeight="1">
      <c r="B9575" s="324"/>
      <c r="C9575" s="325"/>
      <c r="D9575" s="326"/>
      <c r="E9575" s="326"/>
      <c r="F9575" s="326"/>
      <c r="G9575" s="326"/>
      <c r="H9575" s="326"/>
      <c r="P9575" s="318"/>
      <c r="Q9575" s="318"/>
      <c r="R9575" s="318"/>
      <c r="S9575" s="318"/>
      <c r="T9575" s="318"/>
      <c r="U9575" s="318"/>
      <c r="V9575" s="318"/>
      <c r="W9575" s="318"/>
      <c r="X9575" s="318"/>
      <c r="Y9575" s="318"/>
      <c r="Z9575" s="318"/>
      <c r="AA9575" s="318"/>
      <c r="AB9575" s="318"/>
      <c r="AC9575" s="318"/>
      <c r="AD9575" s="318"/>
    </row>
    <row r="9576" spans="2:30" s="323" customFormat="1" ht="12" customHeight="1">
      <c r="B9576" s="324"/>
      <c r="C9576" s="325"/>
      <c r="D9576" s="326"/>
      <c r="E9576" s="326"/>
      <c r="F9576" s="326"/>
      <c r="G9576" s="326"/>
      <c r="H9576" s="326"/>
      <c r="P9576" s="318"/>
      <c r="Q9576" s="318"/>
      <c r="R9576" s="318"/>
      <c r="S9576" s="318"/>
      <c r="T9576" s="318"/>
      <c r="U9576" s="318"/>
      <c r="V9576" s="318"/>
      <c r="W9576" s="318"/>
      <c r="X9576" s="318"/>
      <c r="Y9576" s="318"/>
      <c r="Z9576" s="318"/>
      <c r="AA9576" s="318"/>
      <c r="AB9576" s="318"/>
      <c r="AC9576" s="318"/>
      <c r="AD9576" s="318"/>
    </row>
    <row r="9577" spans="2:30" s="323" customFormat="1" ht="12" customHeight="1">
      <c r="B9577" s="324"/>
      <c r="C9577" s="325"/>
      <c r="D9577" s="326"/>
      <c r="E9577" s="326"/>
      <c r="F9577" s="326"/>
      <c r="G9577" s="326"/>
      <c r="H9577" s="326"/>
      <c r="P9577" s="318"/>
      <c r="Q9577" s="318"/>
      <c r="R9577" s="318"/>
      <c r="S9577" s="318"/>
      <c r="T9577" s="318"/>
      <c r="U9577" s="318"/>
      <c r="V9577" s="318"/>
      <c r="W9577" s="318"/>
      <c r="X9577" s="318"/>
      <c r="Y9577" s="318"/>
      <c r="Z9577" s="318"/>
      <c r="AA9577" s="318"/>
      <c r="AB9577" s="318"/>
      <c r="AC9577" s="318"/>
      <c r="AD9577" s="318"/>
    </row>
    <row r="9578" spans="2:30" s="323" customFormat="1" ht="12" customHeight="1">
      <c r="B9578" s="324"/>
      <c r="C9578" s="325"/>
      <c r="D9578" s="326"/>
      <c r="E9578" s="326"/>
      <c r="F9578" s="326"/>
      <c r="G9578" s="326"/>
      <c r="H9578" s="326"/>
      <c r="P9578" s="318"/>
      <c r="Q9578" s="318"/>
      <c r="R9578" s="318"/>
      <c r="S9578" s="318"/>
      <c r="T9578" s="318"/>
      <c r="U9578" s="318"/>
      <c r="V9578" s="318"/>
      <c r="W9578" s="318"/>
      <c r="X9578" s="318"/>
      <c r="Y9578" s="318"/>
      <c r="Z9578" s="318"/>
      <c r="AA9578" s="318"/>
      <c r="AB9578" s="318"/>
      <c r="AC9578" s="318"/>
      <c r="AD9578" s="318"/>
    </row>
    <row r="9579" spans="2:30" s="323" customFormat="1" ht="12" customHeight="1">
      <c r="B9579" s="324"/>
      <c r="C9579" s="325"/>
      <c r="D9579" s="326"/>
      <c r="E9579" s="326"/>
      <c r="F9579" s="326"/>
      <c r="G9579" s="326"/>
      <c r="H9579" s="326"/>
      <c r="P9579" s="318"/>
      <c r="Q9579" s="318"/>
      <c r="R9579" s="318"/>
      <c r="S9579" s="318"/>
      <c r="T9579" s="318"/>
      <c r="U9579" s="318"/>
      <c r="V9579" s="318"/>
      <c r="W9579" s="318"/>
      <c r="X9579" s="318"/>
      <c r="Y9579" s="318"/>
      <c r="Z9579" s="318"/>
      <c r="AA9579" s="318"/>
      <c r="AB9579" s="318"/>
      <c r="AC9579" s="318"/>
      <c r="AD9579" s="318"/>
    </row>
    <row r="9580" spans="2:30" s="323" customFormat="1" ht="12" customHeight="1">
      <c r="B9580" s="324"/>
      <c r="C9580" s="325"/>
      <c r="D9580" s="326"/>
      <c r="E9580" s="326"/>
      <c r="F9580" s="326"/>
      <c r="G9580" s="326"/>
      <c r="H9580" s="326"/>
      <c r="P9580" s="318"/>
      <c r="Q9580" s="318"/>
      <c r="R9580" s="318"/>
      <c r="S9580" s="318"/>
      <c r="T9580" s="318"/>
      <c r="U9580" s="318"/>
      <c r="V9580" s="318"/>
      <c r="W9580" s="318"/>
      <c r="X9580" s="318"/>
      <c r="Y9580" s="318"/>
      <c r="Z9580" s="318"/>
      <c r="AA9580" s="318"/>
      <c r="AB9580" s="318"/>
      <c r="AC9580" s="318"/>
      <c r="AD9580" s="318"/>
    </row>
    <row r="9581" spans="2:30" s="323" customFormat="1" ht="12" customHeight="1">
      <c r="B9581" s="324"/>
      <c r="C9581" s="325"/>
      <c r="D9581" s="326"/>
      <c r="E9581" s="326"/>
      <c r="F9581" s="326"/>
      <c r="G9581" s="326"/>
      <c r="H9581" s="326"/>
      <c r="P9581" s="318"/>
      <c r="Q9581" s="318"/>
      <c r="R9581" s="318"/>
      <c r="S9581" s="318"/>
      <c r="T9581" s="318"/>
      <c r="U9581" s="318"/>
      <c r="V9581" s="318"/>
      <c r="W9581" s="318"/>
      <c r="X9581" s="318"/>
      <c r="Y9581" s="318"/>
      <c r="Z9581" s="318"/>
      <c r="AA9581" s="318"/>
      <c r="AB9581" s="318"/>
      <c r="AC9581" s="318"/>
      <c r="AD9581" s="318"/>
    </row>
    <row r="9582" spans="2:30" s="323" customFormat="1" ht="12" customHeight="1">
      <c r="B9582" s="324"/>
      <c r="C9582" s="325"/>
      <c r="D9582" s="326"/>
      <c r="E9582" s="326"/>
      <c r="F9582" s="326"/>
      <c r="G9582" s="326"/>
      <c r="H9582" s="326"/>
      <c r="P9582" s="318"/>
      <c r="Q9582" s="318"/>
      <c r="R9582" s="318"/>
      <c r="S9582" s="318"/>
      <c r="T9582" s="318"/>
      <c r="U9582" s="318"/>
      <c r="V9582" s="318"/>
      <c r="W9582" s="318"/>
      <c r="X9582" s="318"/>
      <c r="Y9582" s="318"/>
      <c r="Z9582" s="318"/>
      <c r="AA9582" s="318"/>
      <c r="AB9582" s="318"/>
      <c r="AC9582" s="318"/>
      <c r="AD9582" s="318"/>
    </row>
    <row r="9583" spans="2:30" s="323" customFormat="1" ht="12" customHeight="1">
      <c r="B9583" s="324"/>
      <c r="C9583" s="325"/>
      <c r="D9583" s="326"/>
      <c r="E9583" s="326"/>
      <c r="F9583" s="326"/>
      <c r="G9583" s="326"/>
      <c r="H9583" s="326"/>
      <c r="P9583" s="318"/>
      <c r="Q9583" s="318"/>
      <c r="R9583" s="318"/>
      <c r="S9583" s="318"/>
      <c r="T9583" s="318"/>
      <c r="U9583" s="318"/>
      <c r="V9583" s="318"/>
      <c r="W9583" s="318"/>
      <c r="X9583" s="318"/>
      <c r="Y9583" s="318"/>
      <c r="Z9583" s="318"/>
      <c r="AA9583" s="318"/>
      <c r="AB9583" s="318"/>
      <c r="AC9583" s="318"/>
      <c r="AD9583" s="318"/>
    </row>
    <row r="9584" spans="2:30" s="323" customFormat="1" ht="12" customHeight="1">
      <c r="B9584" s="324"/>
      <c r="C9584" s="325"/>
      <c r="D9584" s="326"/>
      <c r="E9584" s="326"/>
      <c r="F9584" s="326"/>
      <c r="G9584" s="326"/>
      <c r="H9584" s="326"/>
      <c r="P9584" s="318"/>
      <c r="Q9584" s="318"/>
      <c r="R9584" s="318"/>
      <c r="S9584" s="318"/>
      <c r="T9584" s="318"/>
      <c r="U9584" s="318"/>
      <c r="V9584" s="318"/>
      <c r="W9584" s="318"/>
      <c r="X9584" s="318"/>
      <c r="Y9584" s="318"/>
      <c r="Z9584" s="318"/>
      <c r="AA9584" s="318"/>
      <c r="AB9584" s="318"/>
      <c r="AC9584" s="318"/>
      <c r="AD9584" s="318"/>
    </row>
    <row r="9585" spans="2:30" s="323" customFormat="1" ht="12" customHeight="1">
      <c r="B9585" s="324"/>
      <c r="C9585" s="325"/>
      <c r="D9585" s="326"/>
      <c r="E9585" s="326"/>
      <c r="F9585" s="326"/>
      <c r="G9585" s="326"/>
      <c r="H9585" s="326"/>
      <c r="P9585" s="318"/>
      <c r="Q9585" s="318"/>
      <c r="R9585" s="318"/>
      <c r="S9585" s="318"/>
      <c r="T9585" s="318"/>
      <c r="U9585" s="318"/>
      <c r="V9585" s="318"/>
      <c r="W9585" s="318"/>
      <c r="X9585" s="318"/>
      <c r="Y9585" s="318"/>
      <c r="Z9585" s="318"/>
      <c r="AA9585" s="318"/>
      <c r="AB9585" s="318"/>
      <c r="AC9585" s="318"/>
      <c r="AD9585" s="318"/>
    </row>
    <row r="9586" spans="2:30" s="323" customFormat="1" ht="12" customHeight="1">
      <c r="B9586" s="324"/>
      <c r="C9586" s="325"/>
      <c r="D9586" s="326"/>
      <c r="E9586" s="326"/>
      <c r="F9586" s="326"/>
      <c r="G9586" s="326"/>
      <c r="H9586" s="326"/>
      <c r="P9586" s="318"/>
      <c r="Q9586" s="318"/>
      <c r="R9586" s="318"/>
      <c r="S9586" s="318"/>
      <c r="T9586" s="318"/>
      <c r="U9586" s="318"/>
      <c r="V9586" s="318"/>
      <c r="W9586" s="318"/>
      <c r="X9586" s="318"/>
      <c r="Y9586" s="318"/>
      <c r="Z9586" s="318"/>
      <c r="AA9586" s="318"/>
      <c r="AB9586" s="318"/>
      <c r="AC9586" s="318"/>
      <c r="AD9586" s="318"/>
    </row>
    <row r="9587" spans="2:30" s="323" customFormat="1" ht="12" customHeight="1">
      <c r="B9587" s="324"/>
      <c r="C9587" s="325"/>
      <c r="D9587" s="326"/>
      <c r="E9587" s="326"/>
      <c r="F9587" s="326"/>
      <c r="G9587" s="326"/>
      <c r="H9587" s="326"/>
      <c r="P9587" s="318"/>
      <c r="Q9587" s="318"/>
      <c r="R9587" s="318"/>
      <c r="S9587" s="318"/>
      <c r="T9587" s="318"/>
      <c r="U9587" s="318"/>
      <c r="V9587" s="318"/>
      <c r="W9587" s="318"/>
      <c r="X9587" s="318"/>
      <c r="Y9587" s="318"/>
      <c r="Z9587" s="318"/>
      <c r="AA9587" s="318"/>
      <c r="AB9587" s="318"/>
      <c r="AC9587" s="318"/>
      <c r="AD9587" s="318"/>
    </row>
    <row r="9588" spans="2:30" s="323" customFormat="1" ht="12" customHeight="1">
      <c r="B9588" s="324"/>
      <c r="C9588" s="325"/>
      <c r="D9588" s="326"/>
      <c r="E9588" s="326"/>
      <c r="F9588" s="326"/>
      <c r="G9588" s="326"/>
      <c r="H9588" s="326"/>
      <c r="P9588" s="318"/>
      <c r="Q9588" s="318"/>
      <c r="R9588" s="318"/>
      <c r="S9588" s="318"/>
      <c r="T9588" s="318"/>
      <c r="U9588" s="318"/>
      <c r="V9588" s="318"/>
      <c r="W9588" s="318"/>
      <c r="X9588" s="318"/>
      <c r="Y9588" s="318"/>
      <c r="Z9588" s="318"/>
      <c r="AA9588" s="318"/>
      <c r="AB9588" s="318"/>
      <c r="AC9588" s="318"/>
      <c r="AD9588" s="318"/>
    </row>
    <row r="9589" spans="2:30" s="323" customFormat="1" ht="12" customHeight="1">
      <c r="B9589" s="324"/>
      <c r="C9589" s="325"/>
      <c r="D9589" s="326"/>
      <c r="E9589" s="326"/>
      <c r="F9589" s="326"/>
      <c r="G9589" s="326"/>
      <c r="H9589" s="326"/>
      <c r="P9589" s="318"/>
      <c r="Q9589" s="318"/>
      <c r="R9589" s="318"/>
      <c r="S9589" s="318"/>
      <c r="T9589" s="318"/>
      <c r="U9589" s="318"/>
      <c r="V9589" s="318"/>
      <c r="W9589" s="318"/>
      <c r="X9589" s="318"/>
      <c r="Y9589" s="318"/>
      <c r="Z9589" s="318"/>
      <c r="AA9589" s="318"/>
      <c r="AB9589" s="318"/>
      <c r="AC9589" s="318"/>
      <c r="AD9589" s="318"/>
    </row>
    <row r="9590" spans="2:30" s="323" customFormat="1" ht="12" customHeight="1">
      <c r="B9590" s="324"/>
      <c r="C9590" s="325"/>
      <c r="D9590" s="326"/>
      <c r="E9590" s="326"/>
      <c r="F9590" s="326"/>
      <c r="G9590" s="326"/>
      <c r="H9590" s="326"/>
      <c r="P9590" s="318"/>
      <c r="Q9590" s="318"/>
      <c r="R9590" s="318"/>
      <c r="S9590" s="318"/>
      <c r="T9590" s="318"/>
      <c r="U9590" s="318"/>
      <c r="V9590" s="318"/>
      <c r="W9590" s="318"/>
      <c r="X9590" s="318"/>
      <c r="Y9590" s="318"/>
      <c r="Z9590" s="318"/>
      <c r="AA9590" s="318"/>
      <c r="AB9590" s="318"/>
      <c r="AC9590" s="318"/>
      <c r="AD9590" s="318"/>
    </row>
    <row r="9591" spans="2:30" s="323" customFormat="1" ht="12" customHeight="1">
      <c r="B9591" s="324"/>
      <c r="C9591" s="325"/>
      <c r="D9591" s="326"/>
      <c r="E9591" s="326"/>
      <c r="F9591" s="326"/>
      <c r="G9591" s="326"/>
      <c r="H9591" s="326"/>
      <c r="P9591" s="318"/>
      <c r="Q9591" s="318"/>
      <c r="R9591" s="318"/>
      <c r="S9591" s="318"/>
      <c r="T9591" s="318"/>
      <c r="U9591" s="318"/>
      <c r="V9591" s="318"/>
      <c r="W9591" s="318"/>
      <c r="X9591" s="318"/>
      <c r="Y9591" s="318"/>
      <c r="Z9591" s="318"/>
      <c r="AA9591" s="318"/>
      <c r="AB9591" s="318"/>
      <c r="AC9591" s="318"/>
      <c r="AD9591" s="318"/>
    </row>
    <row r="9592" spans="2:30" s="323" customFormat="1" ht="12" customHeight="1">
      <c r="B9592" s="324"/>
      <c r="C9592" s="325"/>
      <c r="D9592" s="326"/>
      <c r="E9592" s="326"/>
      <c r="F9592" s="326"/>
      <c r="G9592" s="326"/>
      <c r="H9592" s="326"/>
      <c r="P9592" s="318"/>
      <c r="Q9592" s="318"/>
      <c r="R9592" s="318"/>
      <c r="S9592" s="318"/>
      <c r="T9592" s="318"/>
      <c r="U9592" s="318"/>
      <c r="V9592" s="318"/>
      <c r="W9592" s="318"/>
      <c r="X9592" s="318"/>
      <c r="Y9592" s="318"/>
      <c r="Z9592" s="318"/>
      <c r="AA9592" s="318"/>
      <c r="AB9592" s="318"/>
      <c r="AC9592" s="318"/>
      <c r="AD9592" s="318"/>
    </row>
    <row r="9593" spans="2:30" s="323" customFormat="1" ht="12" customHeight="1">
      <c r="B9593" s="324"/>
      <c r="C9593" s="325"/>
      <c r="D9593" s="326"/>
      <c r="E9593" s="326"/>
      <c r="F9593" s="326"/>
      <c r="G9593" s="326"/>
      <c r="H9593" s="326"/>
      <c r="P9593" s="318"/>
      <c r="Q9593" s="318"/>
      <c r="R9593" s="318"/>
      <c r="S9593" s="318"/>
      <c r="T9593" s="318"/>
      <c r="U9593" s="318"/>
      <c r="V9593" s="318"/>
      <c r="W9593" s="318"/>
      <c r="X9593" s="318"/>
      <c r="Y9593" s="318"/>
      <c r="Z9593" s="318"/>
      <c r="AA9593" s="318"/>
      <c r="AB9593" s="318"/>
      <c r="AC9593" s="318"/>
      <c r="AD9593" s="318"/>
    </row>
    <row r="9594" spans="2:30" s="323" customFormat="1" ht="12" customHeight="1">
      <c r="B9594" s="324"/>
      <c r="C9594" s="325"/>
      <c r="D9594" s="326"/>
      <c r="E9594" s="326"/>
      <c r="F9594" s="326"/>
      <c r="G9594" s="326"/>
      <c r="H9594" s="326"/>
      <c r="P9594" s="318"/>
      <c r="Q9594" s="318"/>
      <c r="R9594" s="318"/>
      <c r="S9594" s="318"/>
      <c r="T9594" s="318"/>
      <c r="U9594" s="318"/>
      <c r="V9594" s="318"/>
      <c r="W9594" s="318"/>
      <c r="X9594" s="318"/>
      <c r="Y9594" s="318"/>
      <c r="Z9594" s="318"/>
      <c r="AA9594" s="318"/>
      <c r="AB9594" s="318"/>
      <c r="AC9594" s="318"/>
      <c r="AD9594" s="318"/>
    </row>
    <row r="9595" spans="2:30" s="323" customFormat="1" ht="12" customHeight="1">
      <c r="B9595" s="324"/>
      <c r="C9595" s="325"/>
      <c r="D9595" s="326"/>
      <c r="E9595" s="326"/>
      <c r="F9595" s="326"/>
      <c r="G9595" s="326"/>
      <c r="H9595" s="326"/>
      <c r="P9595" s="318"/>
      <c r="Q9595" s="318"/>
      <c r="R9595" s="318"/>
      <c r="S9595" s="318"/>
      <c r="T9595" s="318"/>
      <c r="U9595" s="318"/>
      <c r="V9595" s="318"/>
      <c r="W9595" s="318"/>
      <c r="X9595" s="318"/>
      <c r="Y9595" s="318"/>
      <c r="Z9595" s="318"/>
      <c r="AA9595" s="318"/>
      <c r="AB9595" s="318"/>
      <c r="AC9595" s="318"/>
      <c r="AD9595" s="318"/>
    </row>
    <row r="9596" spans="2:30" s="323" customFormat="1" ht="12" customHeight="1">
      <c r="B9596" s="324"/>
      <c r="C9596" s="325"/>
      <c r="D9596" s="326"/>
      <c r="E9596" s="326"/>
      <c r="F9596" s="326"/>
      <c r="G9596" s="326"/>
      <c r="H9596" s="326"/>
      <c r="P9596" s="318"/>
      <c r="Q9596" s="318"/>
      <c r="R9596" s="318"/>
      <c r="S9596" s="318"/>
      <c r="T9596" s="318"/>
      <c r="U9596" s="318"/>
      <c r="V9596" s="318"/>
      <c r="W9596" s="318"/>
      <c r="X9596" s="318"/>
      <c r="Y9596" s="318"/>
      <c r="Z9596" s="318"/>
      <c r="AA9596" s="318"/>
      <c r="AB9596" s="318"/>
      <c r="AC9596" s="318"/>
      <c r="AD9596" s="318"/>
    </row>
    <row r="9597" spans="2:30" s="323" customFormat="1" ht="12" customHeight="1">
      <c r="B9597" s="324"/>
      <c r="C9597" s="325"/>
      <c r="D9597" s="326"/>
      <c r="E9597" s="326"/>
      <c r="F9597" s="326"/>
      <c r="G9597" s="326"/>
      <c r="H9597" s="326"/>
      <c r="P9597" s="318"/>
      <c r="Q9597" s="318"/>
      <c r="R9597" s="318"/>
      <c r="S9597" s="318"/>
      <c r="T9597" s="318"/>
      <c r="U9597" s="318"/>
      <c r="V9597" s="318"/>
      <c r="W9597" s="318"/>
      <c r="X9597" s="318"/>
      <c r="Y9597" s="318"/>
      <c r="Z9597" s="318"/>
      <c r="AA9597" s="318"/>
      <c r="AB9597" s="318"/>
      <c r="AC9597" s="318"/>
      <c r="AD9597" s="318"/>
    </row>
    <row r="9598" spans="2:30" s="323" customFormat="1" ht="12" customHeight="1">
      <c r="B9598" s="324"/>
      <c r="C9598" s="325"/>
      <c r="D9598" s="326"/>
      <c r="E9598" s="326"/>
      <c r="F9598" s="326"/>
      <c r="G9598" s="326"/>
      <c r="H9598" s="326"/>
      <c r="P9598" s="318"/>
      <c r="Q9598" s="318"/>
      <c r="R9598" s="318"/>
      <c r="S9598" s="318"/>
      <c r="T9598" s="318"/>
      <c r="U9598" s="318"/>
      <c r="V9598" s="318"/>
      <c r="W9598" s="318"/>
      <c r="X9598" s="318"/>
      <c r="Y9598" s="318"/>
      <c r="Z9598" s="318"/>
      <c r="AA9598" s="318"/>
      <c r="AB9598" s="318"/>
      <c r="AC9598" s="318"/>
      <c r="AD9598" s="318"/>
    </row>
    <row r="9599" spans="2:30" s="323" customFormat="1" ht="12" customHeight="1">
      <c r="B9599" s="324"/>
      <c r="C9599" s="325"/>
      <c r="D9599" s="326"/>
      <c r="E9599" s="326"/>
      <c r="F9599" s="326"/>
      <c r="G9599" s="326"/>
      <c r="H9599" s="326"/>
      <c r="P9599" s="318"/>
      <c r="Q9599" s="318"/>
      <c r="R9599" s="318"/>
      <c r="S9599" s="318"/>
      <c r="T9599" s="318"/>
      <c r="U9599" s="318"/>
      <c r="V9599" s="318"/>
      <c r="W9599" s="318"/>
      <c r="X9599" s="318"/>
      <c r="Y9599" s="318"/>
      <c r="Z9599" s="318"/>
      <c r="AA9599" s="318"/>
      <c r="AB9599" s="318"/>
      <c r="AC9599" s="318"/>
      <c r="AD9599" s="318"/>
    </row>
    <row r="9600" spans="2:30" s="323" customFormat="1" ht="12" customHeight="1">
      <c r="B9600" s="324"/>
      <c r="C9600" s="325"/>
      <c r="D9600" s="326"/>
      <c r="E9600" s="326"/>
      <c r="F9600" s="326"/>
      <c r="G9600" s="326"/>
      <c r="H9600" s="326"/>
      <c r="P9600" s="318"/>
      <c r="Q9600" s="318"/>
      <c r="R9600" s="318"/>
      <c r="S9600" s="318"/>
      <c r="T9600" s="318"/>
      <c r="U9600" s="318"/>
      <c r="V9600" s="318"/>
      <c r="W9600" s="318"/>
      <c r="X9600" s="318"/>
      <c r="Y9600" s="318"/>
      <c r="Z9600" s="318"/>
      <c r="AA9600" s="318"/>
      <c r="AB9600" s="318"/>
      <c r="AC9600" s="318"/>
      <c r="AD9600" s="318"/>
    </row>
    <row r="9601" spans="2:30" s="323" customFormat="1" ht="12" customHeight="1">
      <c r="B9601" s="324"/>
      <c r="C9601" s="325"/>
      <c r="D9601" s="326"/>
      <c r="E9601" s="326"/>
      <c r="F9601" s="326"/>
      <c r="G9601" s="326"/>
      <c r="H9601" s="326"/>
      <c r="P9601" s="318"/>
      <c r="Q9601" s="318"/>
      <c r="R9601" s="318"/>
      <c r="S9601" s="318"/>
      <c r="T9601" s="318"/>
      <c r="U9601" s="318"/>
      <c r="V9601" s="318"/>
      <c r="W9601" s="318"/>
      <c r="X9601" s="318"/>
      <c r="Y9601" s="318"/>
      <c r="Z9601" s="318"/>
      <c r="AA9601" s="318"/>
      <c r="AB9601" s="318"/>
      <c r="AC9601" s="318"/>
      <c r="AD9601" s="318"/>
    </row>
    <row r="9602" spans="2:30" s="323" customFormat="1" ht="12" customHeight="1">
      <c r="B9602" s="324"/>
      <c r="C9602" s="325"/>
      <c r="D9602" s="326"/>
      <c r="E9602" s="326"/>
      <c r="F9602" s="326"/>
      <c r="G9602" s="326"/>
      <c r="H9602" s="326"/>
      <c r="P9602" s="318"/>
      <c r="Q9602" s="318"/>
      <c r="R9602" s="318"/>
      <c r="S9602" s="318"/>
      <c r="T9602" s="318"/>
      <c r="U9602" s="318"/>
      <c r="V9602" s="318"/>
      <c r="W9602" s="318"/>
      <c r="X9602" s="318"/>
      <c r="Y9602" s="318"/>
      <c r="Z9602" s="318"/>
      <c r="AA9602" s="318"/>
      <c r="AB9602" s="318"/>
      <c r="AC9602" s="318"/>
      <c r="AD9602" s="318"/>
    </row>
    <row r="9603" spans="2:30" s="323" customFormat="1" ht="12" customHeight="1">
      <c r="B9603" s="324"/>
      <c r="C9603" s="325"/>
      <c r="D9603" s="326"/>
      <c r="E9603" s="326"/>
      <c r="F9603" s="326"/>
      <c r="G9603" s="326"/>
      <c r="H9603" s="326"/>
      <c r="P9603" s="318"/>
      <c r="Q9603" s="318"/>
      <c r="R9603" s="318"/>
      <c r="S9603" s="318"/>
      <c r="T9603" s="318"/>
      <c r="U9603" s="318"/>
      <c r="V9603" s="318"/>
      <c r="W9603" s="318"/>
      <c r="X9603" s="318"/>
      <c r="Y9603" s="318"/>
      <c r="Z9603" s="318"/>
      <c r="AA9603" s="318"/>
      <c r="AB9603" s="318"/>
      <c r="AC9603" s="318"/>
      <c r="AD9603" s="318"/>
    </row>
    <row r="9604" spans="2:30" s="323" customFormat="1" ht="12" customHeight="1">
      <c r="B9604" s="324"/>
      <c r="C9604" s="325"/>
      <c r="D9604" s="326"/>
      <c r="E9604" s="326"/>
      <c r="F9604" s="326"/>
      <c r="G9604" s="326"/>
      <c r="H9604" s="326"/>
      <c r="P9604" s="318"/>
      <c r="Q9604" s="318"/>
      <c r="R9604" s="318"/>
      <c r="S9604" s="318"/>
      <c r="T9604" s="318"/>
      <c r="U9604" s="318"/>
      <c r="V9604" s="318"/>
      <c r="W9604" s="318"/>
      <c r="X9604" s="318"/>
      <c r="Y9604" s="318"/>
      <c r="Z9604" s="318"/>
      <c r="AA9604" s="318"/>
      <c r="AB9604" s="318"/>
      <c r="AC9604" s="318"/>
      <c r="AD9604" s="318"/>
    </row>
    <row r="9605" spans="2:30" s="323" customFormat="1" ht="12" customHeight="1">
      <c r="B9605" s="324"/>
      <c r="C9605" s="325"/>
      <c r="D9605" s="326"/>
      <c r="E9605" s="326"/>
      <c r="F9605" s="326"/>
      <c r="G9605" s="326"/>
      <c r="H9605" s="326"/>
      <c r="P9605" s="318"/>
      <c r="Q9605" s="318"/>
      <c r="R9605" s="318"/>
      <c r="S9605" s="318"/>
      <c r="T9605" s="318"/>
      <c r="U9605" s="318"/>
      <c r="V9605" s="318"/>
      <c r="W9605" s="318"/>
      <c r="X9605" s="318"/>
      <c r="Y9605" s="318"/>
      <c r="Z9605" s="318"/>
      <c r="AA9605" s="318"/>
      <c r="AB9605" s="318"/>
      <c r="AC9605" s="318"/>
      <c r="AD9605" s="318"/>
    </row>
    <row r="9606" spans="2:30" s="323" customFormat="1" ht="12" customHeight="1">
      <c r="B9606" s="324"/>
      <c r="C9606" s="325"/>
      <c r="D9606" s="326"/>
      <c r="E9606" s="326"/>
      <c r="F9606" s="326"/>
      <c r="G9606" s="326"/>
      <c r="H9606" s="326"/>
      <c r="P9606" s="318"/>
      <c r="Q9606" s="318"/>
      <c r="R9606" s="318"/>
      <c r="S9606" s="318"/>
      <c r="T9606" s="318"/>
      <c r="U9606" s="318"/>
      <c r="V9606" s="318"/>
      <c r="W9606" s="318"/>
      <c r="X9606" s="318"/>
      <c r="Y9606" s="318"/>
      <c r="Z9606" s="318"/>
      <c r="AA9606" s="318"/>
      <c r="AB9606" s="318"/>
      <c r="AC9606" s="318"/>
      <c r="AD9606" s="318"/>
    </row>
    <row r="9607" spans="2:30" s="323" customFormat="1" ht="12" customHeight="1">
      <c r="B9607" s="324"/>
      <c r="C9607" s="325"/>
      <c r="D9607" s="326"/>
      <c r="E9607" s="326"/>
      <c r="F9607" s="326"/>
      <c r="G9607" s="326"/>
      <c r="H9607" s="326"/>
      <c r="P9607" s="318"/>
      <c r="Q9607" s="318"/>
      <c r="R9607" s="318"/>
      <c r="S9607" s="318"/>
      <c r="T9607" s="318"/>
      <c r="U9607" s="318"/>
      <c r="V9607" s="318"/>
      <c r="W9607" s="318"/>
      <c r="X9607" s="318"/>
      <c r="Y9607" s="318"/>
      <c r="Z9607" s="318"/>
      <c r="AA9607" s="318"/>
      <c r="AB9607" s="318"/>
      <c r="AC9607" s="318"/>
      <c r="AD9607" s="318"/>
    </row>
    <row r="9608" spans="2:30" s="323" customFormat="1" ht="12" customHeight="1">
      <c r="B9608" s="324"/>
      <c r="C9608" s="325"/>
      <c r="D9608" s="326"/>
      <c r="E9608" s="326"/>
      <c r="F9608" s="326"/>
      <c r="G9608" s="326"/>
      <c r="H9608" s="326"/>
      <c r="P9608" s="318"/>
      <c r="Q9608" s="318"/>
      <c r="R9608" s="318"/>
      <c r="S9608" s="318"/>
      <c r="T9608" s="318"/>
      <c r="U9608" s="318"/>
      <c r="V9608" s="318"/>
      <c r="W9608" s="318"/>
      <c r="X9608" s="318"/>
      <c r="Y9608" s="318"/>
      <c r="Z9608" s="318"/>
      <c r="AA9608" s="318"/>
      <c r="AB9608" s="318"/>
      <c r="AC9608" s="318"/>
      <c r="AD9608" s="318"/>
    </row>
    <row r="9609" spans="2:30" s="323" customFormat="1" ht="12" customHeight="1">
      <c r="B9609" s="324"/>
      <c r="C9609" s="325"/>
      <c r="D9609" s="326"/>
      <c r="E9609" s="326"/>
      <c r="F9609" s="326"/>
      <c r="G9609" s="326"/>
      <c r="H9609" s="326"/>
      <c r="P9609" s="318"/>
      <c r="Q9609" s="318"/>
      <c r="R9609" s="318"/>
      <c r="S9609" s="318"/>
      <c r="T9609" s="318"/>
      <c r="U9609" s="318"/>
      <c r="V9609" s="318"/>
      <c r="W9609" s="318"/>
      <c r="X9609" s="318"/>
      <c r="Y9609" s="318"/>
      <c r="Z9609" s="318"/>
      <c r="AA9609" s="318"/>
      <c r="AB9609" s="318"/>
      <c r="AC9609" s="318"/>
      <c r="AD9609" s="318"/>
    </row>
    <row r="9610" spans="2:30" s="323" customFormat="1" ht="12" customHeight="1">
      <c r="B9610" s="324"/>
      <c r="C9610" s="325"/>
      <c r="D9610" s="326"/>
      <c r="E9610" s="326"/>
      <c r="F9610" s="326"/>
      <c r="G9610" s="326"/>
      <c r="H9610" s="326"/>
      <c r="P9610" s="318"/>
      <c r="Q9610" s="318"/>
      <c r="R9610" s="318"/>
      <c r="S9610" s="318"/>
      <c r="T9610" s="318"/>
      <c r="U9610" s="318"/>
      <c r="V9610" s="318"/>
      <c r="W9610" s="318"/>
      <c r="X9610" s="318"/>
      <c r="Y9610" s="318"/>
      <c r="Z9610" s="318"/>
      <c r="AA9610" s="318"/>
      <c r="AB9610" s="318"/>
      <c r="AC9610" s="318"/>
      <c r="AD9610" s="318"/>
    </row>
    <row r="9611" spans="2:30" s="323" customFormat="1" ht="12" customHeight="1">
      <c r="B9611" s="324"/>
      <c r="C9611" s="325"/>
      <c r="D9611" s="326"/>
      <c r="E9611" s="326"/>
      <c r="F9611" s="326"/>
      <c r="G9611" s="326"/>
      <c r="H9611" s="326"/>
      <c r="P9611" s="318"/>
      <c r="Q9611" s="318"/>
      <c r="R9611" s="318"/>
      <c r="S9611" s="318"/>
      <c r="T9611" s="318"/>
      <c r="U9611" s="318"/>
      <c r="V9611" s="318"/>
      <c r="W9611" s="318"/>
      <c r="X9611" s="318"/>
      <c r="Y9611" s="318"/>
      <c r="Z9611" s="318"/>
      <c r="AA9611" s="318"/>
      <c r="AB9611" s="318"/>
      <c r="AC9611" s="318"/>
      <c r="AD9611" s="318"/>
    </row>
    <row r="9612" spans="2:30" s="323" customFormat="1" ht="12" customHeight="1">
      <c r="B9612" s="324"/>
      <c r="C9612" s="325"/>
      <c r="D9612" s="326"/>
      <c r="E9612" s="326"/>
      <c r="F9612" s="326"/>
      <c r="G9612" s="326"/>
      <c r="H9612" s="326"/>
      <c r="P9612" s="318"/>
      <c r="Q9612" s="318"/>
      <c r="R9612" s="318"/>
      <c r="S9612" s="318"/>
      <c r="T9612" s="318"/>
      <c r="U9612" s="318"/>
      <c r="V9612" s="318"/>
      <c r="W9612" s="318"/>
      <c r="X9612" s="318"/>
      <c r="Y9612" s="318"/>
      <c r="Z9612" s="318"/>
      <c r="AA9612" s="318"/>
      <c r="AB9612" s="318"/>
      <c r="AC9612" s="318"/>
      <c r="AD9612" s="318"/>
    </row>
    <row r="9613" spans="2:30" s="323" customFormat="1" ht="12" customHeight="1">
      <c r="B9613" s="324"/>
      <c r="C9613" s="325"/>
      <c r="D9613" s="326"/>
      <c r="E9613" s="326"/>
      <c r="F9613" s="326"/>
      <c r="G9613" s="326"/>
      <c r="H9613" s="326"/>
      <c r="P9613" s="318"/>
      <c r="Q9613" s="318"/>
      <c r="R9613" s="318"/>
      <c r="S9613" s="318"/>
      <c r="T9613" s="318"/>
      <c r="U9613" s="318"/>
      <c r="V9613" s="318"/>
      <c r="W9613" s="318"/>
      <c r="X9613" s="318"/>
      <c r="Y9613" s="318"/>
      <c r="Z9613" s="318"/>
      <c r="AA9613" s="318"/>
      <c r="AB9613" s="318"/>
      <c r="AC9613" s="318"/>
      <c r="AD9613" s="318"/>
    </row>
    <row r="9614" spans="2:30" s="323" customFormat="1" ht="12" customHeight="1">
      <c r="B9614" s="324"/>
      <c r="C9614" s="325"/>
      <c r="D9614" s="326"/>
      <c r="E9614" s="326"/>
      <c r="F9614" s="326"/>
      <c r="G9614" s="326"/>
      <c r="H9614" s="326"/>
      <c r="P9614" s="318"/>
      <c r="Q9614" s="318"/>
      <c r="R9614" s="318"/>
      <c r="S9614" s="318"/>
      <c r="T9614" s="318"/>
      <c r="U9614" s="318"/>
      <c r="V9614" s="318"/>
      <c r="W9614" s="318"/>
      <c r="X9614" s="318"/>
      <c r="Y9614" s="318"/>
      <c r="Z9614" s="318"/>
      <c r="AA9614" s="318"/>
      <c r="AB9614" s="318"/>
      <c r="AC9614" s="318"/>
      <c r="AD9614" s="318"/>
    </row>
    <row r="9615" spans="2:30" s="323" customFormat="1" ht="12" customHeight="1">
      <c r="B9615" s="324"/>
      <c r="C9615" s="325"/>
      <c r="D9615" s="326"/>
      <c r="E9615" s="326"/>
      <c r="F9615" s="326"/>
      <c r="G9615" s="326"/>
      <c r="H9615" s="326"/>
      <c r="P9615" s="318"/>
      <c r="Q9615" s="318"/>
      <c r="R9615" s="318"/>
      <c r="S9615" s="318"/>
      <c r="T9615" s="318"/>
      <c r="U9615" s="318"/>
      <c r="V9615" s="318"/>
      <c r="W9615" s="318"/>
      <c r="X9615" s="318"/>
      <c r="Y9615" s="318"/>
      <c r="Z9615" s="318"/>
      <c r="AA9615" s="318"/>
      <c r="AB9615" s="318"/>
      <c r="AC9615" s="318"/>
      <c r="AD9615" s="318"/>
    </row>
    <row r="9616" spans="2:30" s="323" customFormat="1" ht="12" customHeight="1">
      <c r="B9616" s="324"/>
      <c r="C9616" s="325"/>
      <c r="D9616" s="326"/>
      <c r="E9616" s="326"/>
      <c r="F9616" s="326"/>
      <c r="G9616" s="326"/>
      <c r="H9616" s="326"/>
      <c r="P9616" s="318"/>
      <c r="Q9616" s="318"/>
      <c r="R9616" s="318"/>
      <c r="S9616" s="318"/>
      <c r="T9616" s="318"/>
      <c r="U9616" s="318"/>
      <c r="V9616" s="318"/>
      <c r="W9616" s="318"/>
      <c r="X9616" s="318"/>
      <c r="Y9616" s="318"/>
      <c r="Z9616" s="318"/>
      <c r="AA9616" s="318"/>
      <c r="AB9616" s="318"/>
      <c r="AC9616" s="318"/>
      <c r="AD9616" s="318"/>
    </row>
    <row r="9617" spans="2:30" s="323" customFormat="1" ht="12" customHeight="1">
      <c r="B9617" s="324"/>
      <c r="C9617" s="325"/>
      <c r="D9617" s="326"/>
      <c r="E9617" s="326"/>
      <c r="F9617" s="326"/>
      <c r="G9617" s="326"/>
      <c r="H9617" s="326"/>
      <c r="P9617" s="318"/>
      <c r="Q9617" s="318"/>
      <c r="R9617" s="318"/>
      <c r="S9617" s="318"/>
      <c r="T9617" s="318"/>
      <c r="U9617" s="318"/>
      <c r="V9617" s="318"/>
      <c r="W9617" s="318"/>
      <c r="X9617" s="318"/>
      <c r="Y9617" s="318"/>
      <c r="Z9617" s="318"/>
      <c r="AA9617" s="318"/>
      <c r="AB9617" s="318"/>
      <c r="AC9617" s="318"/>
      <c r="AD9617" s="318"/>
    </row>
    <row r="9618" spans="2:30" s="323" customFormat="1" ht="12" customHeight="1">
      <c r="B9618" s="324"/>
      <c r="C9618" s="325"/>
      <c r="D9618" s="326"/>
      <c r="E9618" s="326"/>
      <c r="F9618" s="326"/>
      <c r="G9618" s="326"/>
      <c r="H9618" s="326"/>
      <c r="P9618" s="318"/>
      <c r="Q9618" s="318"/>
      <c r="R9618" s="318"/>
      <c r="S9618" s="318"/>
      <c r="T9618" s="318"/>
      <c r="U9618" s="318"/>
      <c r="V9618" s="318"/>
      <c r="W9618" s="318"/>
      <c r="X9618" s="318"/>
      <c r="Y9618" s="318"/>
      <c r="Z9618" s="318"/>
      <c r="AA9618" s="318"/>
      <c r="AB9618" s="318"/>
      <c r="AC9618" s="318"/>
      <c r="AD9618" s="318"/>
    </row>
    <row r="9619" spans="2:30" s="323" customFormat="1" ht="12" customHeight="1">
      <c r="B9619" s="324"/>
      <c r="C9619" s="325"/>
      <c r="D9619" s="326"/>
      <c r="E9619" s="326"/>
      <c r="F9619" s="326"/>
      <c r="G9619" s="326"/>
      <c r="H9619" s="326"/>
      <c r="P9619" s="318"/>
      <c r="Q9619" s="318"/>
      <c r="R9619" s="318"/>
      <c r="S9619" s="318"/>
      <c r="T9619" s="318"/>
      <c r="U9619" s="318"/>
      <c r="V9619" s="318"/>
      <c r="W9619" s="318"/>
      <c r="X9619" s="318"/>
      <c r="Y9619" s="318"/>
      <c r="Z9619" s="318"/>
      <c r="AA9619" s="318"/>
      <c r="AB9619" s="318"/>
      <c r="AC9619" s="318"/>
      <c r="AD9619" s="318"/>
    </row>
    <row r="9620" spans="2:30" s="323" customFormat="1" ht="12" customHeight="1">
      <c r="B9620" s="324"/>
      <c r="C9620" s="325"/>
      <c r="D9620" s="326"/>
      <c r="E9620" s="326"/>
      <c r="F9620" s="326"/>
      <c r="G9620" s="326"/>
      <c r="H9620" s="326"/>
      <c r="P9620" s="318"/>
      <c r="Q9620" s="318"/>
      <c r="R9620" s="318"/>
      <c r="S9620" s="318"/>
      <c r="T9620" s="318"/>
      <c r="U9620" s="318"/>
      <c r="V9620" s="318"/>
      <c r="W9620" s="318"/>
      <c r="X9620" s="318"/>
      <c r="Y9620" s="318"/>
      <c r="Z9620" s="318"/>
      <c r="AA9620" s="318"/>
      <c r="AB9620" s="318"/>
      <c r="AC9620" s="318"/>
      <c r="AD9620" s="318"/>
    </row>
    <row r="9621" spans="2:30" s="323" customFormat="1" ht="12" customHeight="1">
      <c r="B9621" s="324"/>
      <c r="C9621" s="325"/>
      <c r="D9621" s="326"/>
      <c r="E9621" s="326"/>
      <c r="F9621" s="326"/>
      <c r="G9621" s="326"/>
      <c r="H9621" s="326"/>
      <c r="P9621" s="318"/>
      <c r="Q9621" s="318"/>
      <c r="R9621" s="318"/>
      <c r="S9621" s="318"/>
      <c r="T9621" s="318"/>
      <c r="U9621" s="318"/>
      <c r="V9621" s="318"/>
      <c r="W9621" s="318"/>
      <c r="X9621" s="318"/>
      <c r="Y9621" s="318"/>
      <c r="Z9621" s="318"/>
      <c r="AA9621" s="318"/>
      <c r="AB9621" s="318"/>
      <c r="AC9621" s="318"/>
      <c r="AD9621" s="318"/>
    </row>
    <row r="9622" spans="2:30" s="323" customFormat="1" ht="12" customHeight="1">
      <c r="B9622" s="324"/>
      <c r="C9622" s="325"/>
      <c r="D9622" s="326"/>
      <c r="E9622" s="326"/>
      <c r="F9622" s="326"/>
      <c r="G9622" s="326"/>
      <c r="H9622" s="326"/>
      <c r="P9622" s="318"/>
      <c r="Q9622" s="318"/>
      <c r="R9622" s="318"/>
      <c r="S9622" s="318"/>
      <c r="T9622" s="318"/>
      <c r="U9622" s="318"/>
      <c r="V9622" s="318"/>
      <c r="W9622" s="318"/>
      <c r="X9622" s="318"/>
      <c r="Y9622" s="318"/>
      <c r="Z9622" s="318"/>
      <c r="AA9622" s="318"/>
      <c r="AB9622" s="318"/>
      <c r="AC9622" s="318"/>
      <c r="AD9622" s="318"/>
    </row>
    <row r="9623" spans="2:30" s="323" customFormat="1" ht="12" customHeight="1">
      <c r="B9623" s="324"/>
      <c r="C9623" s="325"/>
      <c r="D9623" s="326"/>
      <c r="E9623" s="326"/>
      <c r="F9623" s="326"/>
      <c r="G9623" s="326"/>
      <c r="H9623" s="326"/>
      <c r="P9623" s="318"/>
      <c r="Q9623" s="318"/>
      <c r="R9623" s="318"/>
      <c r="S9623" s="318"/>
      <c r="T9623" s="318"/>
      <c r="U9623" s="318"/>
      <c r="V9623" s="318"/>
      <c r="W9623" s="318"/>
      <c r="X9623" s="318"/>
      <c r="Y9623" s="318"/>
      <c r="Z9623" s="318"/>
      <c r="AA9623" s="318"/>
      <c r="AB9623" s="318"/>
      <c r="AC9623" s="318"/>
      <c r="AD9623" s="318"/>
    </row>
    <row r="9624" spans="2:30" s="323" customFormat="1" ht="12" customHeight="1">
      <c r="B9624" s="324"/>
      <c r="C9624" s="325"/>
      <c r="D9624" s="326"/>
      <c r="E9624" s="326"/>
      <c r="F9624" s="326"/>
      <c r="G9624" s="326"/>
      <c r="H9624" s="326"/>
      <c r="P9624" s="318"/>
      <c r="Q9624" s="318"/>
      <c r="R9624" s="318"/>
      <c r="S9624" s="318"/>
      <c r="T9624" s="318"/>
      <c r="U9624" s="318"/>
      <c r="V9624" s="318"/>
      <c r="W9624" s="318"/>
      <c r="X9624" s="318"/>
      <c r="Y9624" s="318"/>
      <c r="Z9624" s="318"/>
      <c r="AA9624" s="318"/>
      <c r="AB9624" s="318"/>
      <c r="AC9624" s="318"/>
      <c r="AD9624" s="318"/>
    </row>
    <row r="9625" spans="2:30" s="323" customFormat="1" ht="12" customHeight="1">
      <c r="B9625" s="324"/>
      <c r="C9625" s="325"/>
      <c r="D9625" s="326"/>
      <c r="E9625" s="326"/>
      <c r="F9625" s="326"/>
      <c r="G9625" s="326"/>
      <c r="H9625" s="326"/>
      <c r="P9625" s="318"/>
      <c r="Q9625" s="318"/>
      <c r="R9625" s="318"/>
      <c r="S9625" s="318"/>
      <c r="T9625" s="318"/>
      <c r="U9625" s="318"/>
      <c r="V9625" s="318"/>
      <c r="W9625" s="318"/>
      <c r="X9625" s="318"/>
      <c r="Y9625" s="318"/>
      <c r="Z9625" s="318"/>
      <c r="AA9625" s="318"/>
      <c r="AB9625" s="318"/>
      <c r="AC9625" s="318"/>
      <c r="AD9625" s="318"/>
    </row>
    <row r="9626" spans="2:30" s="323" customFormat="1" ht="12" customHeight="1">
      <c r="B9626" s="324"/>
      <c r="C9626" s="325"/>
      <c r="D9626" s="326"/>
      <c r="E9626" s="326"/>
      <c r="F9626" s="326"/>
      <c r="G9626" s="326"/>
      <c r="H9626" s="326"/>
      <c r="P9626" s="318"/>
      <c r="Q9626" s="318"/>
      <c r="R9626" s="318"/>
      <c r="S9626" s="318"/>
      <c r="T9626" s="318"/>
      <c r="U9626" s="318"/>
      <c r="V9626" s="318"/>
      <c r="W9626" s="318"/>
      <c r="X9626" s="318"/>
      <c r="Y9626" s="318"/>
      <c r="Z9626" s="318"/>
      <c r="AA9626" s="318"/>
      <c r="AB9626" s="318"/>
      <c r="AC9626" s="318"/>
      <c r="AD9626" s="318"/>
    </row>
    <row r="9627" spans="2:30" s="323" customFormat="1" ht="12" customHeight="1">
      <c r="B9627" s="324"/>
      <c r="C9627" s="325"/>
      <c r="D9627" s="326"/>
      <c r="E9627" s="326"/>
      <c r="F9627" s="326"/>
      <c r="G9627" s="326"/>
      <c r="H9627" s="326"/>
      <c r="P9627" s="318"/>
      <c r="Q9627" s="318"/>
      <c r="R9627" s="318"/>
      <c r="S9627" s="318"/>
      <c r="T9627" s="318"/>
      <c r="U9627" s="318"/>
      <c r="V9627" s="318"/>
      <c r="W9627" s="318"/>
      <c r="X9627" s="318"/>
      <c r="Y9627" s="318"/>
      <c r="Z9627" s="318"/>
      <c r="AA9627" s="318"/>
      <c r="AB9627" s="318"/>
      <c r="AC9627" s="318"/>
      <c r="AD9627" s="318"/>
    </row>
    <row r="9628" spans="2:30" s="323" customFormat="1" ht="12" customHeight="1">
      <c r="B9628" s="324"/>
      <c r="C9628" s="325"/>
      <c r="D9628" s="326"/>
      <c r="E9628" s="326"/>
      <c r="F9628" s="326"/>
      <c r="G9628" s="326"/>
      <c r="H9628" s="326"/>
      <c r="P9628" s="318"/>
      <c r="Q9628" s="318"/>
      <c r="R9628" s="318"/>
      <c r="S9628" s="318"/>
      <c r="T9628" s="318"/>
      <c r="U9628" s="318"/>
      <c r="V9628" s="318"/>
      <c r="W9628" s="318"/>
      <c r="X9628" s="318"/>
      <c r="Y9628" s="318"/>
      <c r="Z9628" s="318"/>
      <c r="AA9628" s="318"/>
      <c r="AB9628" s="318"/>
      <c r="AC9628" s="318"/>
      <c r="AD9628" s="318"/>
    </row>
    <row r="9629" spans="2:30" s="323" customFormat="1" ht="12" customHeight="1">
      <c r="B9629" s="324"/>
      <c r="C9629" s="325"/>
      <c r="D9629" s="326"/>
      <c r="E9629" s="326"/>
      <c r="F9629" s="326"/>
      <c r="G9629" s="326"/>
      <c r="H9629" s="326"/>
      <c r="P9629" s="318"/>
      <c r="Q9629" s="318"/>
      <c r="R9629" s="318"/>
      <c r="S9629" s="318"/>
      <c r="T9629" s="318"/>
      <c r="U9629" s="318"/>
      <c r="V9629" s="318"/>
      <c r="W9629" s="318"/>
      <c r="X9629" s="318"/>
      <c r="Y9629" s="318"/>
      <c r="Z9629" s="318"/>
      <c r="AA9629" s="318"/>
      <c r="AB9629" s="318"/>
      <c r="AC9629" s="318"/>
      <c r="AD9629" s="318"/>
    </row>
    <row r="9630" spans="2:30" s="323" customFormat="1" ht="12" customHeight="1">
      <c r="B9630" s="324"/>
      <c r="C9630" s="325"/>
      <c r="D9630" s="326"/>
      <c r="E9630" s="326"/>
      <c r="F9630" s="326"/>
      <c r="G9630" s="326"/>
      <c r="H9630" s="326"/>
      <c r="P9630" s="318"/>
      <c r="Q9630" s="318"/>
      <c r="R9630" s="318"/>
      <c r="S9630" s="318"/>
      <c r="T9630" s="318"/>
      <c r="U9630" s="318"/>
      <c r="V9630" s="318"/>
      <c r="W9630" s="318"/>
      <c r="X9630" s="318"/>
      <c r="Y9630" s="318"/>
      <c r="Z9630" s="318"/>
      <c r="AA9630" s="318"/>
      <c r="AB9630" s="318"/>
      <c r="AC9630" s="318"/>
      <c r="AD9630" s="318"/>
    </row>
    <row r="9631" spans="2:30" s="323" customFormat="1" ht="12" customHeight="1">
      <c r="B9631" s="324"/>
      <c r="C9631" s="325"/>
      <c r="D9631" s="326"/>
      <c r="E9631" s="326"/>
      <c r="F9631" s="326"/>
      <c r="G9631" s="326"/>
      <c r="H9631" s="326"/>
      <c r="P9631" s="318"/>
      <c r="Q9631" s="318"/>
      <c r="R9631" s="318"/>
      <c r="S9631" s="318"/>
      <c r="T9631" s="318"/>
      <c r="U9631" s="318"/>
      <c r="V9631" s="318"/>
      <c r="W9631" s="318"/>
      <c r="X9631" s="318"/>
      <c r="Y9631" s="318"/>
      <c r="Z9631" s="318"/>
      <c r="AA9631" s="318"/>
      <c r="AB9631" s="318"/>
      <c r="AC9631" s="318"/>
      <c r="AD9631" s="318"/>
    </row>
    <row r="9632" spans="2:30" s="323" customFormat="1" ht="12" customHeight="1">
      <c r="B9632" s="324"/>
      <c r="C9632" s="325"/>
      <c r="D9632" s="326"/>
      <c r="E9632" s="326"/>
      <c r="F9632" s="326"/>
      <c r="G9632" s="326"/>
      <c r="H9632" s="326"/>
      <c r="P9632" s="318"/>
      <c r="Q9632" s="318"/>
      <c r="R9632" s="318"/>
      <c r="S9632" s="318"/>
      <c r="T9632" s="318"/>
      <c r="U9632" s="318"/>
      <c r="V9632" s="318"/>
      <c r="W9632" s="318"/>
      <c r="X9632" s="318"/>
      <c r="Y9632" s="318"/>
      <c r="Z9632" s="318"/>
      <c r="AA9632" s="318"/>
      <c r="AB9632" s="318"/>
      <c r="AC9632" s="318"/>
      <c r="AD9632" s="318"/>
    </row>
    <row r="9633" spans="2:30" s="323" customFormat="1" ht="12" customHeight="1">
      <c r="B9633" s="324"/>
      <c r="C9633" s="325"/>
      <c r="D9633" s="326"/>
      <c r="E9633" s="326"/>
      <c r="F9633" s="326"/>
      <c r="G9633" s="326"/>
      <c r="H9633" s="326"/>
      <c r="P9633" s="318"/>
      <c r="Q9633" s="318"/>
      <c r="R9633" s="318"/>
      <c r="S9633" s="318"/>
      <c r="T9633" s="318"/>
      <c r="U9633" s="318"/>
      <c r="V9633" s="318"/>
      <c r="W9633" s="318"/>
      <c r="X9633" s="318"/>
      <c r="Y9633" s="318"/>
      <c r="Z9633" s="318"/>
      <c r="AA9633" s="318"/>
      <c r="AB9633" s="318"/>
      <c r="AC9633" s="318"/>
      <c r="AD9633" s="318"/>
    </row>
    <row r="9634" spans="2:30" s="323" customFormat="1" ht="12" customHeight="1">
      <c r="B9634" s="324"/>
      <c r="C9634" s="325"/>
      <c r="D9634" s="326"/>
      <c r="E9634" s="326"/>
      <c r="F9634" s="326"/>
      <c r="G9634" s="326"/>
      <c r="H9634" s="326"/>
      <c r="P9634" s="318"/>
      <c r="Q9634" s="318"/>
      <c r="R9634" s="318"/>
      <c r="S9634" s="318"/>
      <c r="T9634" s="318"/>
      <c r="U9634" s="318"/>
      <c r="V9634" s="318"/>
      <c r="W9634" s="318"/>
      <c r="X9634" s="318"/>
      <c r="Y9634" s="318"/>
      <c r="Z9634" s="318"/>
      <c r="AA9634" s="318"/>
      <c r="AB9634" s="318"/>
      <c r="AC9634" s="318"/>
      <c r="AD9634" s="318"/>
    </row>
    <row r="9635" spans="2:30" s="323" customFormat="1" ht="12" customHeight="1">
      <c r="B9635" s="324"/>
      <c r="C9635" s="325"/>
      <c r="D9635" s="326"/>
      <c r="E9635" s="326"/>
      <c r="F9635" s="326"/>
      <c r="G9635" s="326"/>
      <c r="H9635" s="326"/>
      <c r="P9635" s="318"/>
      <c r="Q9635" s="318"/>
      <c r="R9635" s="318"/>
      <c r="S9635" s="318"/>
      <c r="T9635" s="318"/>
      <c r="U9635" s="318"/>
      <c r="V9635" s="318"/>
      <c r="W9635" s="318"/>
      <c r="X9635" s="318"/>
      <c r="Y9635" s="318"/>
      <c r="Z9635" s="318"/>
      <c r="AA9635" s="318"/>
      <c r="AB9635" s="318"/>
      <c r="AC9635" s="318"/>
      <c r="AD9635" s="318"/>
    </row>
    <row r="9636" spans="2:30" s="323" customFormat="1" ht="12" customHeight="1">
      <c r="B9636" s="324"/>
      <c r="C9636" s="325"/>
      <c r="D9636" s="326"/>
      <c r="E9636" s="326"/>
      <c r="F9636" s="326"/>
      <c r="G9636" s="326"/>
      <c r="H9636" s="326"/>
      <c r="P9636" s="318"/>
      <c r="Q9636" s="318"/>
      <c r="R9636" s="318"/>
      <c r="S9636" s="318"/>
      <c r="T9636" s="318"/>
      <c r="U9636" s="318"/>
      <c r="V9636" s="318"/>
      <c r="W9636" s="318"/>
      <c r="X9636" s="318"/>
      <c r="Y9636" s="318"/>
      <c r="Z9636" s="318"/>
      <c r="AA9636" s="318"/>
      <c r="AB9636" s="318"/>
      <c r="AC9636" s="318"/>
      <c r="AD9636" s="318"/>
    </row>
    <row r="9637" spans="2:30" s="323" customFormat="1" ht="12" customHeight="1">
      <c r="B9637" s="324"/>
      <c r="C9637" s="325"/>
      <c r="D9637" s="326"/>
      <c r="E9637" s="326"/>
      <c r="F9637" s="326"/>
      <c r="G9637" s="326"/>
      <c r="H9637" s="326"/>
      <c r="P9637" s="318"/>
      <c r="Q9637" s="318"/>
      <c r="R9637" s="318"/>
      <c r="S9637" s="318"/>
      <c r="T9637" s="318"/>
      <c r="U9637" s="318"/>
      <c r="V9637" s="318"/>
      <c r="W9637" s="318"/>
      <c r="X9637" s="318"/>
      <c r="Y9637" s="318"/>
      <c r="Z9637" s="318"/>
      <c r="AA9637" s="318"/>
      <c r="AB9637" s="318"/>
      <c r="AC9637" s="318"/>
      <c r="AD9637" s="318"/>
    </row>
    <row r="9638" spans="2:30" s="323" customFormat="1" ht="12" customHeight="1">
      <c r="B9638" s="324"/>
      <c r="C9638" s="325"/>
      <c r="D9638" s="326"/>
      <c r="E9638" s="326"/>
      <c r="F9638" s="326"/>
      <c r="G9638" s="326"/>
      <c r="H9638" s="326"/>
      <c r="P9638" s="318"/>
      <c r="Q9638" s="318"/>
      <c r="R9638" s="318"/>
      <c r="S9638" s="318"/>
      <c r="T9638" s="318"/>
      <c r="U9638" s="318"/>
      <c r="V9638" s="318"/>
      <c r="W9638" s="318"/>
      <c r="X9638" s="318"/>
      <c r="Y9638" s="318"/>
      <c r="Z9638" s="318"/>
      <c r="AA9638" s="318"/>
      <c r="AB9638" s="318"/>
      <c r="AC9638" s="318"/>
      <c r="AD9638" s="318"/>
    </row>
    <row r="9639" spans="2:30" s="323" customFormat="1" ht="12" customHeight="1">
      <c r="B9639" s="324"/>
      <c r="C9639" s="325"/>
      <c r="D9639" s="326"/>
      <c r="E9639" s="326"/>
      <c r="F9639" s="326"/>
      <c r="G9639" s="326"/>
      <c r="H9639" s="326"/>
      <c r="P9639" s="318"/>
      <c r="Q9639" s="318"/>
      <c r="R9639" s="318"/>
      <c r="S9639" s="318"/>
      <c r="T9639" s="318"/>
      <c r="U9639" s="318"/>
      <c r="V9639" s="318"/>
      <c r="W9639" s="318"/>
      <c r="X9639" s="318"/>
      <c r="Y9639" s="318"/>
      <c r="Z9639" s="318"/>
      <c r="AA9639" s="318"/>
      <c r="AB9639" s="318"/>
      <c r="AC9639" s="318"/>
      <c r="AD9639" s="318"/>
    </row>
    <row r="9640" spans="2:30" s="323" customFormat="1" ht="12" customHeight="1">
      <c r="B9640" s="324"/>
      <c r="C9640" s="325"/>
      <c r="D9640" s="326"/>
      <c r="E9640" s="326"/>
      <c r="F9640" s="326"/>
      <c r="G9640" s="326"/>
      <c r="H9640" s="326"/>
      <c r="P9640" s="318"/>
      <c r="Q9640" s="318"/>
      <c r="R9640" s="318"/>
      <c r="S9640" s="318"/>
      <c r="T9640" s="318"/>
      <c r="U9640" s="318"/>
      <c r="V9640" s="318"/>
      <c r="W9640" s="318"/>
      <c r="X9640" s="318"/>
      <c r="Y9640" s="318"/>
      <c r="Z9640" s="318"/>
      <c r="AA9640" s="318"/>
      <c r="AB9640" s="318"/>
      <c r="AC9640" s="318"/>
      <c r="AD9640" s="318"/>
    </row>
    <row r="9641" spans="2:30" s="323" customFormat="1" ht="12" customHeight="1">
      <c r="B9641" s="324"/>
      <c r="C9641" s="325"/>
      <c r="D9641" s="326"/>
      <c r="E9641" s="326"/>
      <c r="F9641" s="326"/>
      <c r="G9641" s="326"/>
      <c r="H9641" s="326"/>
      <c r="P9641" s="318"/>
      <c r="Q9641" s="318"/>
      <c r="R9641" s="318"/>
      <c r="S9641" s="318"/>
      <c r="T9641" s="318"/>
      <c r="U9641" s="318"/>
      <c r="V9641" s="318"/>
      <c r="W9641" s="318"/>
      <c r="X9641" s="318"/>
      <c r="Y9641" s="318"/>
      <c r="Z9641" s="318"/>
      <c r="AA9641" s="318"/>
      <c r="AB9641" s="318"/>
      <c r="AC9641" s="318"/>
      <c r="AD9641" s="318"/>
    </row>
    <row r="9642" spans="2:30" s="323" customFormat="1" ht="12" customHeight="1">
      <c r="B9642" s="324"/>
      <c r="C9642" s="325"/>
      <c r="D9642" s="326"/>
      <c r="E9642" s="326"/>
      <c r="F9642" s="326"/>
      <c r="G9642" s="326"/>
      <c r="H9642" s="326"/>
      <c r="P9642" s="318"/>
      <c r="Q9642" s="318"/>
      <c r="R9642" s="318"/>
      <c r="S9642" s="318"/>
      <c r="T9642" s="318"/>
      <c r="U9642" s="318"/>
      <c r="V9642" s="318"/>
      <c r="W9642" s="318"/>
      <c r="X9642" s="318"/>
      <c r="Y9642" s="318"/>
      <c r="Z9642" s="318"/>
      <c r="AA9642" s="318"/>
      <c r="AB9642" s="318"/>
      <c r="AC9642" s="318"/>
      <c r="AD9642" s="318"/>
    </row>
    <row r="9643" spans="2:30" s="323" customFormat="1" ht="12" customHeight="1">
      <c r="B9643" s="324"/>
      <c r="C9643" s="325"/>
      <c r="D9643" s="326"/>
      <c r="E9643" s="326"/>
      <c r="F9643" s="326"/>
      <c r="G9643" s="326"/>
      <c r="H9643" s="326"/>
      <c r="P9643" s="318"/>
      <c r="Q9643" s="318"/>
      <c r="R9643" s="318"/>
      <c r="S9643" s="318"/>
      <c r="T9643" s="318"/>
      <c r="U9643" s="318"/>
      <c r="V9643" s="318"/>
      <c r="W9643" s="318"/>
      <c r="X9643" s="318"/>
      <c r="Y9643" s="318"/>
      <c r="Z9643" s="318"/>
      <c r="AA9643" s="318"/>
      <c r="AB9643" s="318"/>
      <c r="AC9643" s="318"/>
      <c r="AD9643" s="318"/>
    </row>
    <row r="9644" spans="2:30" s="323" customFormat="1" ht="12" customHeight="1">
      <c r="B9644" s="324"/>
      <c r="C9644" s="325"/>
      <c r="D9644" s="326"/>
      <c r="E9644" s="326"/>
      <c r="F9644" s="326"/>
      <c r="G9644" s="326"/>
      <c r="H9644" s="326"/>
      <c r="P9644" s="318"/>
      <c r="Q9644" s="318"/>
      <c r="R9644" s="318"/>
      <c r="S9644" s="318"/>
      <c r="T9644" s="318"/>
      <c r="U9644" s="318"/>
      <c r="V9644" s="318"/>
      <c r="W9644" s="318"/>
      <c r="X9644" s="318"/>
      <c r="Y9644" s="318"/>
      <c r="Z9644" s="318"/>
      <c r="AA9644" s="318"/>
      <c r="AB9644" s="318"/>
      <c r="AC9644" s="318"/>
      <c r="AD9644" s="318"/>
    </row>
    <row r="9645" spans="2:30" s="323" customFormat="1" ht="12" customHeight="1">
      <c r="B9645" s="324"/>
      <c r="C9645" s="325"/>
      <c r="D9645" s="326"/>
      <c r="E9645" s="326"/>
      <c r="F9645" s="326"/>
      <c r="G9645" s="326"/>
      <c r="H9645" s="326"/>
      <c r="P9645" s="318"/>
      <c r="Q9645" s="318"/>
      <c r="R9645" s="318"/>
      <c r="S9645" s="318"/>
      <c r="T9645" s="318"/>
      <c r="U9645" s="318"/>
      <c r="V9645" s="318"/>
      <c r="W9645" s="318"/>
      <c r="X9645" s="318"/>
      <c r="Y9645" s="318"/>
      <c r="Z9645" s="318"/>
      <c r="AA9645" s="318"/>
      <c r="AB9645" s="318"/>
      <c r="AC9645" s="318"/>
      <c r="AD9645" s="318"/>
    </row>
    <row r="9646" spans="2:30" s="323" customFormat="1" ht="12" customHeight="1">
      <c r="B9646" s="324"/>
      <c r="C9646" s="325"/>
      <c r="D9646" s="326"/>
      <c r="E9646" s="326"/>
      <c r="F9646" s="326"/>
      <c r="G9646" s="326"/>
      <c r="H9646" s="326"/>
      <c r="P9646" s="318"/>
      <c r="Q9646" s="318"/>
      <c r="R9646" s="318"/>
      <c r="S9646" s="318"/>
      <c r="T9646" s="318"/>
      <c r="U9646" s="318"/>
      <c r="V9646" s="318"/>
      <c r="W9646" s="318"/>
      <c r="X9646" s="318"/>
      <c r="Y9646" s="318"/>
      <c r="Z9646" s="318"/>
      <c r="AA9646" s="318"/>
      <c r="AB9646" s="318"/>
      <c r="AC9646" s="318"/>
      <c r="AD9646" s="318"/>
    </row>
    <row r="9647" spans="2:30" s="323" customFormat="1" ht="12" customHeight="1">
      <c r="B9647" s="324"/>
      <c r="C9647" s="325"/>
      <c r="D9647" s="326"/>
      <c r="E9647" s="326"/>
      <c r="F9647" s="326"/>
      <c r="G9647" s="326"/>
      <c r="H9647" s="326"/>
      <c r="P9647" s="318"/>
      <c r="Q9647" s="318"/>
      <c r="R9647" s="318"/>
      <c r="S9647" s="318"/>
      <c r="T9647" s="318"/>
      <c r="U9647" s="318"/>
      <c r="V9647" s="318"/>
      <c r="W9647" s="318"/>
      <c r="X9647" s="318"/>
      <c r="Y9647" s="318"/>
      <c r="Z9647" s="318"/>
      <c r="AA9647" s="318"/>
      <c r="AB9647" s="318"/>
      <c r="AC9647" s="318"/>
      <c r="AD9647" s="318"/>
    </row>
    <row r="9648" spans="2:30" s="323" customFormat="1" ht="12" customHeight="1">
      <c r="B9648" s="324"/>
      <c r="C9648" s="325"/>
      <c r="D9648" s="326"/>
      <c r="E9648" s="326"/>
      <c r="F9648" s="326"/>
      <c r="G9648" s="326"/>
      <c r="H9648" s="326"/>
      <c r="P9648" s="318"/>
      <c r="Q9648" s="318"/>
      <c r="R9648" s="318"/>
      <c r="S9648" s="318"/>
      <c r="T9648" s="318"/>
      <c r="U9648" s="318"/>
      <c r="V9648" s="318"/>
      <c r="W9648" s="318"/>
      <c r="X9648" s="318"/>
      <c r="Y9648" s="318"/>
      <c r="Z9648" s="318"/>
      <c r="AA9648" s="318"/>
      <c r="AB9648" s="318"/>
      <c r="AC9648" s="318"/>
      <c r="AD9648" s="318"/>
    </row>
    <row r="9649" spans="2:30" s="323" customFormat="1" ht="12" customHeight="1">
      <c r="B9649" s="324"/>
      <c r="C9649" s="325"/>
      <c r="D9649" s="326"/>
      <c r="E9649" s="326"/>
      <c r="F9649" s="326"/>
      <c r="G9649" s="326"/>
      <c r="H9649" s="326"/>
      <c r="P9649" s="318"/>
      <c r="Q9649" s="318"/>
      <c r="R9649" s="318"/>
      <c r="S9649" s="318"/>
      <c r="T9649" s="318"/>
      <c r="U9649" s="318"/>
      <c r="V9649" s="318"/>
      <c r="W9649" s="318"/>
      <c r="X9649" s="318"/>
      <c r="Y9649" s="318"/>
      <c r="Z9649" s="318"/>
      <c r="AA9649" s="318"/>
      <c r="AB9649" s="318"/>
      <c r="AC9649" s="318"/>
      <c r="AD9649" s="318"/>
    </row>
    <row r="9650" spans="2:30" s="323" customFormat="1" ht="12" customHeight="1">
      <c r="B9650" s="324"/>
      <c r="C9650" s="325"/>
      <c r="D9650" s="326"/>
      <c r="E9650" s="326"/>
      <c r="F9650" s="326"/>
      <c r="G9650" s="326"/>
      <c r="H9650" s="326"/>
      <c r="P9650" s="318"/>
      <c r="Q9650" s="318"/>
      <c r="R9650" s="318"/>
      <c r="S9650" s="318"/>
      <c r="T9650" s="318"/>
      <c r="U9650" s="318"/>
      <c r="V9650" s="318"/>
      <c r="W9650" s="318"/>
      <c r="X9650" s="318"/>
      <c r="Y9650" s="318"/>
      <c r="Z9650" s="318"/>
      <c r="AA9650" s="318"/>
      <c r="AB9650" s="318"/>
      <c r="AC9650" s="318"/>
      <c r="AD9650" s="318"/>
    </row>
    <row r="9651" spans="2:30" s="323" customFormat="1" ht="12" customHeight="1">
      <c r="B9651" s="324"/>
      <c r="C9651" s="325"/>
      <c r="D9651" s="326"/>
      <c r="E9651" s="326"/>
      <c r="F9651" s="326"/>
      <c r="G9651" s="326"/>
      <c r="H9651" s="326"/>
      <c r="P9651" s="318"/>
      <c r="Q9651" s="318"/>
      <c r="R9651" s="318"/>
      <c r="S9651" s="318"/>
      <c r="T9651" s="318"/>
      <c r="U9651" s="318"/>
      <c r="V9651" s="318"/>
      <c r="W9651" s="318"/>
      <c r="X9651" s="318"/>
      <c r="Y9651" s="318"/>
      <c r="Z9651" s="318"/>
      <c r="AA9651" s="318"/>
      <c r="AB9651" s="318"/>
      <c r="AC9651" s="318"/>
      <c r="AD9651" s="318"/>
    </row>
    <row r="9652" spans="2:30" s="323" customFormat="1" ht="12" customHeight="1">
      <c r="B9652" s="324"/>
      <c r="C9652" s="325"/>
      <c r="D9652" s="326"/>
      <c r="E9652" s="326"/>
      <c r="F9652" s="326"/>
      <c r="G9652" s="326"/>
      <c r="H9652" s="326"/>
      <c r="P9652" s="318"/>
      <c r="Q9652" s="318"/>
      <c r="R9652" s="318"/>
      <c r="S9652" s="318"/>
      <c r="T9652" s="318"/>
      <c r="U9652" s="318"/>
      <c r="V9652" s="318"/>
      <c r="W9652" s="318"/>
      <c r="X9652" s="318"/>
      <c r="Y9652" s="318"/>
      <c r="Z9652" s="318"/>
      <c r="AA9652" s="318"/>
      <c r="AB9652" s="318"/>
      <c r="AC9652" s="318"/>
      <c r="AD9652" s="318"/>
    </row>
    <row r="9653" spans="2:30" s="323" customFormat="1" ht="12" customHeight="1">
      <c r="B9653" s="324"/>
      <c r="C9653" s="325"/>
      <c r="D9653" s="326"/>
      <c r="E9653" s="326"/>
      <c r="F9653" s="326"/>
      <c r="G9653" s="326"/>
      <c r="H9653" s="326"/>
      <c r="P9653" s="318"/>
      <c r="Q9653" s="318"/>
      <c r="R9653" s="318"/>
      <c r="S9653" s="318"/>
      <c r="T9653" s="318"/>
      <c r="U9653" s="318"/>
      <c r="V9653" s="318"/>
      <c r="W9653" s="318"/>
      <c r="X9653" s="318"/>
      <c r="Y9653" s="318"/>
      <c r="Z9653" s="318"/>
      <c r="AA9653" s="318"/>
      <c r="AB9653" s="318"/>
      <c r="AC9653" s="318"/>
      <c r="AD9653" s="318"/>
    </row>
    <row r="9654" spans="2:30" s="323" customFormat="1" ht="12" customHeight="1">
      <c r="B9654" s="324"/>
      <c r="C9654" s="325"/>
      <c r="D9654" s="326"/>
      <c r="E9654" s="326"/>
      <c r="F9654" s="326"/>
      <c r="G9654" s="326"/>
      <c r="H9654" s="326"/>
      <c r="P9654" s="318"/>
      <c r="Q9654" s="318"/>
      <c r="R9654" s="318"/>
      <c r="S9654" s="318"/>
      <c r="T9654" s="318"/>
      <c r="U9654" s="318"/>
      <c r="V9654" s="318"/>
      <c r="W9654" s="318"/>
      <c r="X9654" s="318"/>
      <c r="Y9654" s="318"/>
      <c r="Z9654" s="318"/>
      <c r="AA9654" s="318"/>
      <c r="AB9654" s="318"/>
      <c r="AC9654" s="318"/>
      <c r="AD9654" s="318"/>
    </row>
    <row r="9655" spans="2:30" s="323" customFormat="1" ht="12" customHeight="1">
      <c r="B9655" s="324"/>
      <c r="C9655" s="325"/>
      <c r="D9655" s="326"/>
      <c r="E9655" s="326"/>
      <c r="F9655" s="326"/>
      <c r="G9655" s="326"/>
      <c r="H9655" s="326"/>
      <c r="P9655" s="318"/>
      <c r="Q9655" s="318"/>
      <c r="R9655" s="318"/>
      <c r="S9655" s="318"/>
      <c r="T9655" s="318"/>
      <c r="U9655" s="318"/>
      <c r="V9655" s="318"/>
      <c r="W9655" s="318"/>
      <c r="X9655" s="318"/>
      <c r="Y9655" s="318"/>
      <c r="Z9655" s="318"/>
      <c r="AA9655" s="318"/>
      <c r="AB9655" s="318"/>
      <c r="AC9655" s="318"/>
      <c r="AD9655" s="318"/>
    </row>
    <row r="9656" spans="2:30" s="323" customFormat="1" ht="12" customHeight="1">
      <c r="B9656" s="324"/>
      <c r="C9656" s="325"/>
      <c r="D9656" s="326"/>
      <c r="E9656" s="326"/>
      <c r="F9656" s="326"/>
      <c r="G9656" s="326"/>
      <c r="H9656" s="326"/>
      <c r="P9656" s="318"/>
      <c r="Q9656" s="318"/>
      <c r="R9656" s="318"/>
      <c r="S9656" s="318"/>
      <c r="T9656" s="318"/>
      <c r="U9656" s="318"/>
      <c r="V9656" s="318"/>
      <c r="W9656" s="318"/>
      <c r="X9656" s="318"/>
      <c r="Y9656" s="318"/>
      <c r="Z9656" s="318"/>
      <c r="AA9656" s="318"/>
      <c r="AB9656" s="318"/>
      <c r="AC9656" s="318"/>
      <c r="AD9656" s="318"/>
    </row>
    <row r="9657" spans="2:30" s="323" customFormat="1" ht="12" customHeight="1">
      <c r="B9657" s="324"/>
      <c r="C9657" s="325"/>
      <c r="D9657" s="326"/>
      <c r="E9657" s="326"/>
      <c r="F9657" s="326"/>
      <c r="G9657" s="326"/>
      <c r="H9657" s="326"/>
      <c r="P9657" s="318"/>
      <c r="Q9657" s="318"/>
      <c r="R9657" s="318"/>
      <c r="S9657" s="318"/>
      <c r="T9657" s="318"/>
      <c r="U9657" s="318"/>
      <c r="V9657" s="318"/>
      <c r="W9657" s="318"/>
      <c r="X9657" s="318"/>
      <c r="Y9657" s="318"/>
      <c r="Z9657" s="318"/>
      <c r="AA9657" s="318"/>
      <c r="AB9657" s="318"/>
      <c r="AC9657" s="318"/>
      <c r="AD9657" s="318"/>
    </row>
    <row r="9658" spans="2:30" s="323" customFormat="1" ht="12" customHeight="1">
      <c r="B9658" s="324"/>
      <c r="C9658" s="325"/>
      <c r="D9658" s="326"/>
      <c r="E9658" s="326"/>
      <c r="F9658" s="326"/>
      <c r="G9658" s="326"/>
      <c r="H9658" s="326"/>
      <c r="P9658" s="318"/>
      <c r="Q9658" s="318"/>
      <c r="R9658" s="318"/>
      <c r="S9658" s="318"/>
      <c r="T9658" s="318"/>
      <c r="U9658" s="318"/>
      <c r="V9658" s="318"/>
      <c r="W9658" s="318"/>
      <c r="X9658" s="318"/>
      <c r="Y9658" s="318"/>
      <c r="Z9658" s="318"/>
      <c r="AA9658" s="318"/>
      <c r="AB9658" s="318"/>
      <c r="AC9658" s="318"/>
      <c r="AD9658" s="318"/>
    </row>
    <row r="9659" spans="2:30" s="323" customFormat="1" ht="12" customHeight="1">
      <c r="B9659" s="324"/>
      <c r="C9659" s="325"/>
      <c r="D9659" s="326"/>
      <c r="E9659" s="326"/>
      <c r="F9659" s="326"/>
      <c r="G9659" s="326"/>
      <c r="H9659" s="326"/>
      <c r="P9659" s="318"/>
      <c r="Q9659" s="318"/>
      <c r="R9659" s="318"/>
      <c r="S9659" s="318"/>
      <c r="T9659" s="318"/>
      <c r="U9659" s="318"/>
      <c r="V9659" s="318"/>
      <c r="W9659" s="318"/>
      <c r="X9659" s="318"/>
      <c r="Y9659" s="318"/>
      <c r="Z9659" s="318"/>
      <c r="AA9659" s="318"/>
      <c r="AB9659" s="318"/>
      <c r="AC9659" s="318"/>
      <c r="AD9659" s="318"/>
    </row>
    <row r="9660" spans="2:30" s="323" customFormat="1" ht="12" customHeight="1">
      <c r="B9660" s="324"/>
      <c r="C9660" s="325"/>
      <c r="D9660" s="326"/>
      <c r="E9660" s="326"/>
      <c r="F9660" s="326"/>
      <c r="G9660" s="326"/>
      <c r="H9660" s="326"/>
      <c r="P9660" s="318"/>
      <c r="Q9660" s="318"/>
      <c r="R9660" s="318"/>
      <c r="S9660" s="318"/>
      <c r="T9660" s="318"/>
      <c r="U9660" s="318"/>
      <c r="V9660" s="318"/>
      <c r="W9660" s="318"/>
      <c r="X9660" s="318"/>
      <c r="Y9660" s="318"/>
      <c r="Z9660" s="318"/>
      <c r="AA9660" s="318"/>
      <c r="AB9660" s="318"/>
      <c r="AC9660" s="318"/>
      <c r="AD9660" s="318"/>
    </row>
    <row r="9661" spans="2:30" s="323" customFormat="1" ht="12" customHeight="1">
      <c r="B9661" s="324"/>
      <c r="C9661" s="325"/>
      <c r="D9661" s="326"/>
      <c r="E9661" s="326"/>
      <c r="F9661" s="326"/>
      <c r="G9661" s="326"/>
      <c r="H9661" s="326"/>
      <c r="P9661" s="318"/>
      <c r="Q9661" s="318"/>
      <c r="R9661" s="318"/>
      <c r="S9661" s="318"/>
      <c r="T9661" s="318"/>
      <c r="U9661" s="318"/>
      <c r="V9661" s="318"/>
      <c r="W9661" s="318"/>
      <c r="X9661" s="318"/>
      <c r="Y9661" s="318"/>
      <c r="Z9661" s="318"/>
      <c r="AA9661" s="318"/>
      <c r="AB9661" s="318"/>
      <c r="AC9661" s="318"/>
      <c r="AD9661" s="318"/>
    </row>
    <row r="9662" spans="2:30" s="323" customFormat="1" ht="12" customHeight="1">
      <c r="B9662" s="324"/>
      <c r="C9662" s="325"/>
      <c r="D9662" s="326"/>
      <c r="E9662" s="326"/>
      <c r="F9662" s="326"/>
      <c r="G9662" s="326"/>
      <c r="H9662" s="326"/>
      <c r="P9662" s="318"/>
      <c r="Q9662" s="318"/>
      <c r="R9662" s="318"/>
      <c r="S9662" s="318"/>
      <c r="T9662" s="318"/>
      <c r="U9662" s="318"/>
      <c r="V9662" s="318"/>
      <c r="W9662" s="318"/>
      <c r="X9662" s="318"/>
      <c r="Y9662" s="318"/>
      <c r="Z9662" s="318"/>
      <c r="AA9662" s="318"/>
      <c r="AB9662" s="318"/>
      <c r="AC9662" s="318"/>
      <c r="AD9662" s="318"/>
    </row>
    <row r="9663" spans="2:30" s="323" customFormat="1" ht="12" customHeight="1">
      <c r="B9663" s="324"/>
      <c r="C9663" s="325"/>
      <c r="D9663" s="326"/>
      <c r="E9663" s="326"/>
      <c r="F9663" s="326"/>
      <c r="G9663" s="326"/>
      <c r="H9663" s="326"/>
      <c r="P9663" s="318"/>
      <c r="Q9663" s="318"/>
      <c r="R9663" s="318"/>
      <c r="S9663" s="318"/>
      <c r="T9663" s="318"/>
      <c r="U9663" s="318"/>
      <c r="V9663" s="318"/>
      <c r="W9663" s="318"/>
      <c r="X9663" s="318"/>
      <c r="Y9663" s="318"/>
      <c r="Z9663" s="318"/>
      <c r="AA9663" s="318"/>
      <c r="AB9663" s="318"/>
      <c r="AC9663" s="318"/>
      <c r="AD9663" s="318"/>
    </row>
    <row r="9664" spans="2:30" s="323" customFormat="1" ht="12" customHeight="1">
      <c r="B9664" s="324"/>
      <c r="C9664" s="325"/>
      <c r="D9664" s="326"/>
      <c r="E9664" s="326"/>
      <c r="F9664" s="326"/>
      <c r="G9664" s="326"/>
      <c r="H9664" s="326"/>
      <c r="P9664" s="318"/>
      <c r="Q9664" s="318"/>
      <c r="R9664" s="318"/>
      <c r="S9664" s="318"/>
      <c r="T9664" s="318"/>
      <c r="U9664" s="318"/>
      <c r="V9664" s="318"/>
      <c r="W9664" s="318"/>
      <c r="X9664" s="318"/>
      <c r="Y9664" s="318"/>
      <c r="Z9664" s="318"/>
      <c r="AA9664" s="318"/>
      <c r="AB9664" s="318"/>
      <c r="AC9664" s="318"/>
      <c r="AD9664" s="318"/>
    </row>
    <row r="9665" spans="2:30" s="323" customFormat="1" ht="12" customHeight="1">
      <c r="B9665" s="324"/>
      <c r="C9665" s="325"/>
      <c r="D9665" s="326"/>
      <c r="E9665" s="326"/>
      <c r="F9665" s="326"/>
      <c r="G9665" s="326"/>
      <c r="H9665" s="326"/>
      <c r="P9665" s="318"/>
      <c r="Q9665" s="318"/>
      <c r="R9665" s="318"/>
      <c r="S9665" s="318"/>
      <c r="T9665" s="318"/>
      <c r="U9665" s="318"/>
      <c r="V9665" s="318"/>
      <c r="W9665" s="318"/>
      <c r="X9665" s="318"/>
      <c r="Y9665" s="318"/>
      <c r="Z9665" s="318"/>
      <c r="AA9665" s="318"/>
      <c r="AB9665" s="318"/>
      <c r="AC9665" s="318"/>
      <c r="AD9665" s="318"/>
    </row>
    <row r="9666" spans="2:30" s="323" customFormat="1" ht="12" customHeight="1">
      <c r="B9666" s="324"/>
      <c r="C9666" s="325"/>
      <c r="D9666" s="326"/>
      <c r="E9666" s="326"/>
      <c r="F9666" s="326"/>
      <c r="G9666" s="326"/>
      <c r="H9666" s="326"/>
      <c r="P9666" s="318"/>
      <c r="Q9666" s="318"/>
      <c r="R9666" s="318"/>
      <c r="S9666" s="318"/>
      <c r="T9666" s="318"/>
      <c r="U9666" s="318"/>
      <c r="V9666" s="318"/>
      <c r="W9666" s="318"/>
      <c r="X9666" s="318"/>
      <c r="Y9666" s="318"/>
      <c r="Z9666" s="318"/>
      <c r="AA9666" s="318"/>
      <c r="AB9666" s="318"/>
      <c r="AC9666" s="318"/>
      <c r="AD9666" s="318"/>
    </row>
    <row r="9667" spans="2:30" s="323" customFormat="1" ht="12" customHeight="1">
      <c r="B9667" s="324"/>
      <c r="C9667" s="325"/>
      <c r="D9667" s="326"/>
      <c r="E9667" s="326"/>
      <c r="F9667" s="326"/>
      <c r="G9667" s="326"/>
      <c r="H9667" s="326"/>
      <c r="P9667" s="318"/>
      <c r="Q9667" s="318"/>
      <c r="R9667" s="318"/>
      <c r="S9667" s="318"/>
      <c r="T9667" s="318"/>
      <c r="U9667" s="318"/>
      <c r="V9667" s="318"/>
      <c r="W9667" s="318"/>
      <c r="X9667" s="318"/>
      <c r="Y9667" s="318"/>
      <c r="Z9667" s="318"/>
      <c r="AA9667" s="318"/>
      <c r="AB9667" s="318"/>
      <c r="AC9667" s="318"/>
      <c r="AD9667" s="318"/>
    </row>
    <row r="9668" spans="2:30" s="323" customFormat="1" ht="12" customHeight="1">
      <c r="B9668" s="324"/>
      <c r="C9668" s="325"/>
      <c r="D9668" s="326"/>
      <c r="E9668" s="326"/>
      <c r="F9668" s="326"/>
      <c r="G9668" s="326"/>
      <c r="H9668" s="326"/>
      <c r="P9668" s="318"/>
      <c r="Q9668" s="318"/>
      <c r="R9668" s="318"/>
      <c r="S9668" s="318"/>
      <c r="T9668" s="318"/>
      <c r="U9668" s="318"/>
      <c r="V9668" s="318"/>
      <c r="W9668" s="318"/>
      <c r="X9668" s="318"/>
      <c r="Y9668" s="318"/>
      <c r="Z9668" s="318"/>
      <c r="AA9668" s="318"/>
      <c r="AB9668" s="318"/>
      <c r="AC9668" s="318"/>
      <c r="AD9668" s="318"/>
    </row>
    <row r="9669" spans="2:30" s="323" customFormat="1" ht="12" customHeight="1">
      <c r="B9669" s="324"/>
      <c r="C9669" s="325"/>
      <c r="D9669" s="326"/>
      <c r="E9669" s="326"/>
      <c r="F9669" s="326"/>
      <c r="G9669" s="326"/>
      <c r="H9669" s="326"/>
      <c r="P9669" s="318"/>
      <c r="Q9669" s="318"/>
      <c r="R9669" s="318"/>
      <c r="S9669" s="318"/>
      <c r="T9669" s="318"/>
      <c r="U9669" s="318"/>
      <c r="V9669" s="318"/>
      <c r="W9669" s="318"/>
      <c r="X9669" s="318"/>
      <c r="Y9669" s="318"/>
      <c r="Z9669" s="318"/>
      <c r="AA9669" s="318"/>
      <c r="AB9669" s="318"/>
      <c r="AC9669" s="318"/>
      <c r="AD9669" s="318"/>
    </row>
    <row r="9670" spans="2:30" s="323" customFormat="1" ht="12" customHeight="1">
      <c r="B9670" s="324"/>
      <c r="C9670" s="325"/>
      <c r="D9670" s="326"/>
      <c r="E9670" s="326"/>
      <c r="F9670" s="326"/>
      <c r="G9670" s="326"/>
      <c r="H9670" s="326"/>
      <c r="P9670" s="318"/>
      <c r="Q9670" s="318"/>
      <c r="R9670" s="318"/>
      <c r="S9670" s="318"/>
      <c r="T9670" s="318"/>
      <c r="U9670" s="318"/>
      <c r="V9670" s="318"/>
      <c r="W9670" s="318"/>
      <c r="X9670" s="318"/>
      <c r="Y9670" s="318"/>
      <c r="Z9670" s="318"/>
      <c r="AA9670" s="318"/>
      <c r="AB9670" s="318"/>
      <c r="AC9670" s="318"/>
      <c r="AD9670" s="318"/>
    </row>
    <row r="9671" spans="2:30" s="323" customFormat="1" ht="12" customHeight="1">
      <c r="B9671" s="324"/>
      <c r="C9671" s="325"/>
      <c r="D9671" s="326"/>
      <c r="E9671" s="326"/>
      <c r="F9671" s="326"/>
      <c r="G9671" s="326"/>
      <c r="H9671" s="326"/>
      <c r="P9671" s="318"/>
      <c r="Q9671" s="318"/>
      <c r="R9671" s="318"/>
      <c r="S9671" s="318"/>
      <c r="T9671" s="318"/>
      <c r="U9671" s="318"/>
      <c r="V9671" s="318"/>
      <c r="W9671" s="318"/>
      <c r="X9671" s="318"/>
      <c r="Y9671" s="318"/>
      <c r="Z9671" s="318"/>
      <c r="AA9671" s="318"/>
      <c r="AB9671" s="318"/>
      <c r="AC9671" s="318"/>
      <c r="AD9671" s="318"/>
    </row>
    <row r="9672" spans="2:30" s="323" customFormat="1" ht="12" customHeight="1">
      <c r="B9672" s="324"/>
      <c r="C9672" s="325"/>
      <c r="D9672" s="326"/>
      <c r="E9672" s="326"/>
      <c r="F9672" s="326"/>
      <c r="G9672" s="326"/>
      <c r="H9672" s="326"/>
      <c r="P9672" s="318"/>
      <c r="Q9672" s="318"/>
      <c r="R9672" s="318"/>
      <c r="S9672" s="318"/>
      <c r="T9672" s="318"/>
      <c r="U9672" s="318"/>
      <c r="V9672" s="318"/>
      <c r="W9672" s="318"/>
      <c r="X9672" s="318"/>
      <c r="Y9672" s="318"/>
      <c r="Z9672" s="318"/>
      <c r="AA9672" s="318"/>
      <c r="AB9672" s="318"/>
      <c r="AC9672" s="318"/>
      <c r="AD9672" s="318"/>
    </row>
    <row r="9673" spans="2:30" s="323" customFormat="1" ht="12" customHeight="1">
      <c r="B9673" s="324"/>
      <c r="C9673" s="325"/>
      <c r="D9673" s="326"/>
      <c r="E9673" s="326"/>
      <c r="F9673" s="326"/>
      <c r="G9673" s="326"/>
      <c r="H9673" s="326"/>
      <c r="P9673" s="318"/>
      <c r="Q9673" s="318"/>
      <c r="R9673" s="318"/>
      <c r="S9673" s="318"/>
      <c r="T9673" s="318"/>
      <c r="U9673" s="318"/>
      <c r="V9673" s="318"/>
      <c r="W9673" s="318"/>
      <c r="X9673" s="318"/>
      <c r="Y9673" s="318"/>
      <c r="Z9673" s="318"/>
      <c r="AA9673" s="318"/>
      <c r="AB9673" s="318"/>
      <c r="AC9673" s="318"/>
      <c r="AD9673" s="318"/>
    </row>
    <row r="9674" spans="2:30" s="323" customFormat="1" ht="12" customHeight="1">
      <c r="B9674" s="324"/>
      <c r="C9674" s="325"/>
      <c r="D9674" s="326"/>
      <c r="E9674" s="326"/>
      <c r="F9674" s="326"/>
      <c r="G9674" s="326"/>
      <c r="H9674" s="326"/>
      <c r="P9674" s="318"/>
      <c r="Q9674" s="318"/>
      <c r="R9674" s="318"/>
      <c r="S9674" s="318"/>
      <c r="T9674" s="318"/>
      <c r="U9674" s="318"/>
      <c r="V9674" s="318"/>
      <c r="W9674" s="318"/>
      <c r="X9674" s="318"/>
      <c r="Y9674" s="318"/>
      <c r="Z9674" s="318"/>
      <c r="AA9674" s="318"/>
      <c r="AB9674" s="318"/>
      <c r="AC9674" s="318"/>
      <c r="AD9674" s="318"/>
    </row>
    <row r="9675" spans="2:30" s="323" customFormat="1" ht="12" customHeight="1">
      <c r="B9675" s="324"/>
      <c r="C9675" s="325"/>
      <c r="D9675" s="326"/>
      <c r="E9675" s="326"/>
      <c r="F9675" s="326"/>
      <c r="G9675" s="326"/>
      <c r="H9675" s="326"/>
      <c r="P9675" s="318"/>
      <c r="Q9675" s="318"/>
      <c r="R9675" s="318"/>
      <c r="S9675" s="318"/>
      <c r="T9675" s="318"/>
      <c r="U9675" s="318"/>
      <c r="V9675" s="318"/>
      <c r="W9675" s="318"/>
      <c r="X9675" s="318"/>
      <c r="Y9675" s="318"/>
      <c r="Z9675" s="318"/>
      <c r="AA9675" s="318"/>
      <c r="AB9675" s="318"/>
      <c r="AC9675" s="318"/>
      <c r="AD9675" s="318"/>
    </row>
    <row r="9676" spans="2:30" s="323" customFormat="1" ht="12" customHeight="1">
      <c r="B9676" s="324"/>
      <c r="C9676" s="325"/>
      <c r="D9676" s="326"/>
      <c r="E9676" s="326"/>
      <c r="F9676" s="326"/>
      <c r="G9676" s="326"/>
      <c r="H9676" s="326"/>
      <c r="P9676" s="318"/>
      <c r="Q9676" s="318"/>
      <c r="R9676" s="318"/>
      <c r="S9676" s="318"/>
      <c r="T9676" s="318"/>
      <c r="U9676" s="318"/>
      <c r="V9676" s="318"/>
      <c r="W9676" s="318"/>
      <c r="X9676" s="318"/>
      <c r="Y9676" s="318"/>
      <c r="Z9676" s="318"/>
      <c r="AA9676" s="318"/>
      <c r="AB9676" s="318"/>
      <c r="AC9676" s="318"/>
      <c r="AD9676" s="318"/>
    </row>
    <row r="9677" spans="2:30" s="323" customFormat="1" ht="12" customHeight="1">
      <c r="B9677" s="324"/>
      <c r="C9677" s="325"/>
      <c r="D9677" s="326"/>
      <c r="E9677" s="326"/>
      <c r="F9677" s="326"/>
      <c r="G9677" s="326"/>
      <c r="H9677" s="326"/>
      <c r="P9677" s="318"/>
      <c r="Q9677" s="318"/>
      <c r="R9677" s="318"/>
      <c r="S9677" s="318"/>
      <c r="T9677" s="318"/>
      <c r="U9677" s="318"/>
      <c r="V9677" s="318"/>
      <c r="W9677" s="318"/>
      <c r="X9677" s="318"/>
      <c r="Y9677" s="318"/>
      <c r="Z9677" s="318"/>
      <c r="AA9677" s="318"/>
      <c r="AB9677" s="318"/>
      <c r="AC9677" s="318"/>
      <c r="AD9677" s="318"/>
    </row>
    <row r="9678" spans="2:30" s="323" customFormat="1" ht="12" customHeight="1">
      <c r="B9678" s="324"/>
      <c r="C9678" s="325"/>
      <c r="D9678" s="326"/>
      <c r="E9678" s="326"/>
      <c r="F9678" s="326"/>
      <c r="G9678" s="326"/>
      <c r="H9678" s="326"/>
      <c r="P9678" s="318"/>
      <c r="Q9678" s="318"/>
      <c r="R9678" s="318"/>
      <c r="S9678" s="318"/>
      <c r="T9678" s="318"/>
      <c r="U9678" s="318"/>
      <c r="V9678" s="318"/>
      <c r="W9678" s="318"/>
      <c r="X9678" s="318"/>
      <c r="Y9678" s="318"/>
      <c r="Z9678" s="318"/>
      <c r="AA9678" s="318"/>
      <c r="AB9678" s="318"/>
      <c r="AC9678" s="318"/>
      <c r="AD9678" s="318"/>
    </row>
    <row r="9679" spans="2:30" s="323" customFormat="1" ht="12" customHeight="1">
      <c r="B9679" s="324"/>
      <c r="C9679" s="325"/>
      <c r="D9679" s="326"/>
      <c r="E9679" s="326"/>
      <c r="F9679" s="326"/>
      <c r="G9679" s="326"/>
      <c r="H9679" s="326"/>
      <c r="P9679" s="318"/>
      <c r="Q9679" s="318"/>
      <c r="R9679" s="318"/>
      <c r="S9679" s="318"/>
      <c r="T9679" s="318"/>
      <c r="U9679" s="318"/>
      <c r="V9679" s="318"/>
      <c r="W9679" s="318"/>
      <c r="X9679" s="318"/>
      <c r="Y9679" s="318"/>
      <c r="Z9679" s="318"/>
      <c r="AA9679" s="318"/>
      <c r="AB9679" s="318"/>
      <c r="AC9679" s="318"/>
      <c r="AD9679" s="318"/>
    </row>
    <row r="9680" spans="2:30" s="323" customFormat="1" ht="12" customHeight="1">
      <c r="B9680" s="324"/>
      <c r="C9680" s="325"/>
      <c r="D9680" s="326"/>
      <c r="E9680" s="326"/>
      <c r="F9680" s="326"/>
      <c r="G9680" s="326"/>
      <c r="H9680" s="326"/>
      <c r="P9680" s="318"/>
      <c r="Q9680" s="318"/>
      <c r="R9680" s="318"/>
      <c r="S9680" s="318"/>
      <c r="T9680" s="318"/>
      <c r="U9680" s="318"/>
      <c r="V9680" s="318"/>
      <c r="W9680" s="318"/>
      <c r="X9680" s="318"/>
      <c r="Y9680" s="318"/>
      <c r="Z9680" s="318"/>
      <c r="AA9680" s="318"/>
      <c r="AB9680" s="318"/>
      <c r="AC9680" s="318"/>
      <c r="AD9680" s="318"/>
    </row>
    <row r="9681" spans="2:30" s="323" customFormat="1" ht="12" customHeight="1">
      <c r="B9681" s="324"/>
      <c r="C9681" s="325"/>
      <c r="D9681" s="326"/>
      <c r="E9681" s="326"/>
      <c r="F9681" s="326"/>
      <c r="G9681" s="326"/>
      <c r="H9681" s="326"/>
      <c r="P9681" s="318"/>
      <c r="Q9681" s="318"/>
      <c r="R9681" s="318"/>
      <c r="S9681" s="318"/>
      <c r="T9681" s="318"/>
      <c r="U9681" s="318"/>
      <c r="V9681" s="318"/>
      <c r="W9681" s="318"/>
      <c r="X9681" s="318"/>
      <c r="Y9681" s="318"/>
      <c r="Z9681" s="318"/>
      <c r="AA9681" s="318"/>
      <c r="AB9681" s="318"/>
      <c r="AC9681" s="318"/>
      <c r="AD9681" s="318"/>
    </row>
    <row r="9682" spans="2:30" s="323" customFormat="1" ht="12" customHeight="1">
      <c r="B9682" s="324"/>
      <c r="C9682" s="325"/>
      <c r="D9682" s="326"/>
      <c r="E9682" s="326"/>
      <c r="F9682" s="326"/>
      <c r="G9682" s="326"/>
      <c r="H9682" s="326"/>
      <c r="P9682" s="318"/>
      <c r="Q9682" s="318"/>
      <c r="R9682" s="318"/>
      <c r="S9682" s="318"/>
      <c r="T9682" s="318"/>
      <c r="U9682" s="318"/>
      <c r="V9682" s="318"/>
      <c r="W9682" s="318"/>
      <c r="X9682" s="318"/>
      <c r="Y9682" s="318"/>
      <c r="Z9682" s="318"/>
      <c r="AA9682" s="318"/>
      <c r="AB9682" s="318"/>
      <c r="AC9682" s="318"/>
      <c r="AD9682" s="318"/>
    </row>
    <row r="9683" spans="2:30" s="323" customFormat="1" ht="12" customHeight="1">
      <c r="B9683" s="324"/>
      <c r="C9683" s="325"/>
      <c r="D9683" s="326"/>
      <c r="E9683" s="326"/>
      <c r="F9683" s="326"/>
      <c r="G9683" s="326"/>
      <c r="H9683" s="326"/>
      <c r="P9683" s="318"/>
      <c r="Q9683" s="318"/>
      <c r="R9683" s="318"/>
      <c r="S9683" s="318"/>
      <c r="T9683" s="318"/>
      <c r="U9683" s="318"/>
      <c r="V9683" s="318"/>
      <c r="W9683" s="318"/>
      <c r="X9683" s="318"/>
      <c r="Y9683" s="318"/>
      <c r="Z9683" s="318"/>
      <c r="AA9683" s="318"/>
      <c r="AB9683" s="318"/>
      <c r="AC9683" s="318"/>
      <c r="AD9683" s="318"/>
    </row>
    <row r="9684" spans="2:30" s="323" customFormat="1" ht="12" customHeight="1">
      <c r="B9684" s="324"/>
      <c r="C9684" s="325"/>
      <c r="D9684" s="326"/>
      <c r="E9684" s="326"/>
      <c r="F9684" s="326"/>
      <c r="G9684" s="326"/>
      <c r="H9684" s="326"/>
      <c r="P9684" s="318"/>
      <c r="Q9684" s="318"/>
      <c r="R9684" s="318"/>
      <c r="S9684" s="318"/>
      <c r="T9684" s="318"/>
      <c r="U9684" s="318"/>
      <c r="V9684" s="318"/>
      <c r="W9684" s="318"/>
      <c r="X9684" s="318"/>
      <c r="Y9684" s="318"/>
      <c r="Z9684" s="318"/>
      <c r="AA9684" s="318"/>
      <c r="AB9684" s="318"/>
      <c r="AC9684" s="318"/>
      <c r="AD9684" s="318"/>
    </row>
    <row r="9685" spans="2:30" s="323" customFormat="1" ht="12" customHeight="1">
      <c r="B9685" s="324"/>
      <c r="C9685" s="325"/>
      <c r="D9685" s="326"/>
      <c r="E9685" s="326"/>
      <c r="F9685" s="326"/>
      <c r="G9685" s="326"/>
      <c r="H9685" s="326"/>
      <c r="P9685" s="318"/>
      <c r="Q9685" s="318"/>
      <c r="R9685" s="318"/>
      <c r="S9685" s="318"/>
      <c r="T9685" s="318"/>
      <c r="U9685" s="318"/>
      <c r="V9685" s="318"/>
      <c r="W9685" s="318"/>
      <c r="X9685" s="318"/>
      <c r="Y9685" s="318"/>
      <c r="Z9685" s="318"/>
      <c r="AA9685" s="318"/>
      <c r="AB9685" s="318"/>
      <c r="AC9685" s="318"/>
      <c r="AD9685" s="318"/>
    </row>
    <row r="9686" spans="2:30" s="323" customFormat="1" ht="12" customHeight="1">
      <c r="B9686" s="324"/>
      <c r="C9686" s="325"/>
      <c r="D9686" s="326"/>
      <c r="E9686" s="326"/>
      <c r="F9686" s="326"/>
      <c r="G9686" s="326"/>
      <c r="H9686" s="326"/>
      <c r="P9686" s="318"/>
      <c r="Q9686" s="318"/>
      <c r="R9686" s="318"/>
      <c r="S9686" s="318"/>
      <c r="T9686" s="318"/>
      <c r="U9686" s="318"/>
      <c r="V9686" s="318"/>
      <c r="W9686" s="318"/>
      <c r="X9686" s="318"/>
      <c r="Y9686" s="318"/>
      <c r="Z9686" s="318"/>
      <c r="AA9686" s="318"/>
      <c r="AB9686" s="318"/>
      <c r="AC9686" s="318"/>
      <c r="AD9686" s="318"/>
    </row>
    <row r="9687" spans="2:30" s="323" customFormat="1" ht="12" customHeight="1">
      <c r="B9687" s="324"/>
      <c r="C9687" s="325"/>
      <c r="D9687" s="326"/>
      <c r="E9687" s="326"/>
      <c r="F9687" s="326"/>
      <c r="G9687" s="326"/>
      <c r="H9687" s="326"/>
      <c r="P9687" s="318"/>
      <c r="Q9687" s="318"/>
      <c r="R9687" s="318"/>
      <c r="S9687" s="318"/>
      <c r="T9687" s="318"/>
      <c r="U9687" s="318"/>
      <c r="V9687" s="318"/>
      <c r="W9687" s="318"/>
      <c r="X9687" s="318"/>
      <c r="Y9687" s="318"/>
      <c r="Z9687" s="318"/>
      <c r="AA9687" s="318"/>
      <c r="AB9687" s="318"/>
      <c r="AC9687" s="318"/>
      <c r="AD9687" s="318"/>
    </row>
    <row r="9688" spans="2:30" s="323" customFormat="1" ht="12" customHeight="1">
      <c r="B9688" s="324"/>
      <c r="C9688" s="325"/>
      <c r="D9688" s="326"/>
      <c r="E9688" s="326"/>
      <c r="F9688" s="326"/>
      <c r="G9688" s="326"/>
      <c r="H9688" s="326"/>
      <c r="P9688" s="318"/>
      <c r="Q9688" s="318"/>
      <c r="R9688" s="318"/>
      <c r="S9688" s="318"/>
      <c r="T9688" s="318"/>
      <c r="U9688" s="318"/>
      <c r="V9688" s="318"/>
      <c r="W9688" s="318"/>
      <c r="X9688" s="318"/>
      <c r="Y9688" s="318"/>
      <c r="Z9688" s="318"/>
      <c r="AA9688" s="318"/>
      <c r="AB9688" s="318"/>
      <c r="AC9688" s="318"/>
      <c r="AD9688" s="318"/>
    </row>
    <row r="9689" spans="2:30" s="323" customFormat="1" ht="12" customHeight="1">
      <c r="B9689" s="324"/>
      <c r="C9689" s="325"/>
      <c r="D9689" s="326"/>
      <c r="E9689" s="326"/>
      <c r="F9689" s="326"/>
      <c r="G9689" s="326"/>
      <c r="H9689" s="326"/>
      <c r="P9689" s="318"/>
      <c r="Q9689" s="318"/>
      <c r="R9689" s="318"/>
      <c r="S9689" s="318"/>
      <c r="T9689" s="318"/>
      <c r="U9689" s="318"/>
      <c r="V9689" s="318"/>
      <c r="W9689" s="318"/>
      <c r="X9689" s="318"/>
      <c r="Y9689" s="318"/>
      <c r="Z9689" s="318"/>
      <c r="AA9689" s="318"/>
      <c r="AB9689" s="318"/>
      <c r="AC9689" s="318"/>
      <c r="AD9689" s="318"/>
    </row>
    <row r="9690" spans="2:30" s="323" customFormat="1" ht="12" customHeight="1">
      <c r="B9690" s="324"/>
      <c r="C9690" s="325"/>
      <c r="D9690" s="326"/>
      <c r="E9690" s="326"/>
      <c r="F9690" s="326"/>
      <c r="G9690" s="326"/>
      <c r="H9690" s="326"/>
      <c r="P9690" s="318"/>
      <c r="Q9690" s="318"/>
      <c r="R9690" s="318"/>
      <c r="S9690" s="318"/>
      <c r="T9690" s="318"/>
      <c r="U9690" s="318"/>
      <c r="V9690" s="318"/>
      <c r="W9690" s="318"/>
      <c r="X9690" s="318"/>
      <c r="Y9690" s="318"/>
      <c r="Z9690" s="318"/>
      <c r="AA9690" s="318"/>
      <c r="AB9690" s="318"/>
      <c r="AC9690" s="318"/>
      <c r="AD9690" s="318"/>
    </row>
    <row r="9691" spans="2:30" s="323" customFormat="1" ht="12" customHeight="1">
      <c r="B9691" s="324"/>
      <c r="C9691" s="325"/>
      <c r="D9691" s="326"/>
      <c r="E9691" s="326"/>
      <c r="F9691" s="326"/>
      <c r="G9691" s="326"/>
      <c r="H9691" s="326"/>
      <c r="P9691" s="318"/>
      <c r="Q9691" s="318"/>
      <c r="R9691" s="318"/>
      <c r="S9691" s="318"/>
      <c r="T9691" s="318"/>
      <c r="U9691" s="318"/>
      <c r="V9691" s="318"/>
      <c r="W9691" s="318"/>
      <c r="X9691" s="318"/>
      <c r="Y9691" s="318"/>
      <c r="Z9691" s="318"/>
      <c r="AA9691" s="318"/>
      <c r="AB9691" s="318"/>
      <c r="AC9691" s="318"/>
      <c r="AD9691" s="318"/>
    </row>
    <row r="9692" spans="2:30" s="323" customFormat="1" ht="12" customHeight="1">
      <c r="B9692" s="324"/>
      <c r="C9692" s="325"/>
      <c r="D9692" s="326"/>
      <c r="E9692" s="326"/>
      <c r="F9692" s="326"/>
      <c r="G9692" s="326"/>
      <c r="H9692" s="326"/>
      <c r="P9692" s="318"/>
      <c r="Q9692" s="318"/>
      <c r="R9692" s="318"/>
      <c r="S9692" s="318"/>
      <c r="T9692" s="318"/>
      <c r="U9692" s="318"/>
      <c r="V9692" s="318"/>
      <c r="W9692" s="318"/>
      <c r="X9692" s="318"/>
      <c r="Y9692" s="318"/>
      <c r="Z9692" s="318"/>
      <c r="AA9692" s="318"/>
      <c r="AB9692" s="318"/>
      <c r="AC9692" s="318"/>
      <c r="AD9692" s="318"/>
    </row>
    <row r="9693" spans="2:30" s="323" customFormat="1" ht="12" customHeight="1">
      <c r="B9693" s="324"/>
      <c r="C9693" s="325"/>
      <c r="D9693" s="326"/>
      <c r="E9693" s="326"/>
      <c r="F9693" s="326"/>
      <c r="G9693" s="326"/>
      <c r="H9693" s="326"/>
      <c r="P9693" s="318"/>
      <c r="Q9693" s="318"/>
      <c r="R9693" s="318"/>
      <c r="S9693" s="318"/>
      <c r="T9693" s="318"/>
      <c r="U9693" s="318"/>
      <c r="V9693" s="318"/>
      <c r="W9693" s="318"/>
      <c r="X9693" s="318"/>
      <c r="Y9693" s="318"/>
      <c r="Z9693" s="318"/>
      <c r="AA9693" s="318"/>
      <c r="AB9693" s="318"/>
      <c r="AC9693" s="318"/>
      <c r="AD9693" s="318"/>
    </row>
    <row r="9694" spans="2:30" s="323" customFormat="1" ht="12" customHeight="1">
      <c r="B9694" s="324"/>
      <c r="C9694" s="325"/>
      <c r="D9694" s="326"/>
      <c r="E9694" s="326"/>
      <c r="F9694" s="326"/>
      <c r="G9694" s="326"/>
      <c r="H9694" s="326"/>
      <c r="P9694" s="318"/>
      <c r="Q9694" s="318"/>
      <c r="R9694" s="318"/>
      <c r="S9694" s="318"/>
      <c r="T9694" s="318"/>
      <c r="U9694" s="318"/>
      <c r="V9694" s="318"/>
      <c r="W9694" s="318"/>
      <c r="X9694" s="318"/>
      <c r="Y9694" s="318"/>
      <c r="Z9694" s="318"/>
      <c r="AA9694" s="318"/>
      <c r="AB9694" s="318"/>
      <c r="AC9694" s="318"/>
      <c r="AD9694" s="318"/>
    </row>
    <row r="9695" spans="2:30" s="323" customFormat="1" ht="12" customHeight="1">
      <c r="B9695" s="324"/>
      <c r="C9695" s="325"/>
      <c r="D9695" s="326"/>
      <c r="E9695" s="326"/>
      <c r="F9695" s="326"/>
      <c r="G9695" s="326"/>
      <c r="H9695" s="326"/>
      <c r="P9695" s="318"/>
      <c r="Q9695" s="318"/>
      <c r="R9695" s="318"/>
      <c r="S9695" s="318"/>
      <c r="T9695" s="318"/>
      <c r="U9695" s="318"/>
      <c r="V9695" s="318"/>
      <c r="W9695" s="318"/>
      <c r="X9695" s="318"/>
      <c r="Y9695" s="318"/>
      <c r="Z9695" s="318"/>
      <c r="AA9695" s="318"/>
      <c r="AB9695" s="318"/>
      <c r="AC9695" s="318"/>
      <c r="AD9695" s="318"/>
    </row>
    <row r="9696" spans="2:30" s="323" customFormat="1" ht="12" customHeight="1">
      <c r="B9696" s="324"/>
      <c r="C9696" s="325"/>
      <c r="D9696" s="326"/>
      <c r="E9696" s="326"/>
      <c r="F9696" s="326"/>
      <c r="G9696" s="326"/>
      <c r="H9696" s="326"/>
      <c r="P9696" s="318"/>
      <c r="Q9696" s="318"/>
      <c r="R9696" s="318"/>
      <c r="S9696" s="318"/>
      <c r="T9696" s="318"/>
      <c r="U9696" s="318"/>
      <c r="V9696" s="318"/>
      <c r="W9696" s="318"/>
      <c r="X9696" s="318"/>
      <c r="Y9696" s="318"/>
      <c r="Z9696" s="318"/>
      <c r="AA9696" s="318"/>
      <c r="AB9696" s="318"/>
      <c r="AC9696" s="318"/>
      <c r="AD9696" s="318"/>
    </row>
    <row r="9697" spans="2:30" s="323" customFormat="1" ht="12" customHeight="1">
      <c r="B9697" s="324"/>
      <c r="C9697" s="325"/>
      <c r="D9697" s="326"/>
      <c r="E9697" s="326"/>
      <c r="F9697" s="326"/>
      <c r="G9697" s="326"/>
      <c r="H9697" s="326"/>
      <c r="P9697" s="318"/>
      <c r="Q9697" s="318"/>
      <c r="R9697" s="318"/>
      <c r="S9697" s="318"/>
      <c r="T9697" s="318"/>
      <c r="U9697" s="318"/>
      <c r="V9697" s="318"/>
      <c r="W9697" s="318"/>
      <c r="X9697" s="318"/>
      <c r="Y9697" s="318"/>
      <c r="Z9697" s="318"/>
      <c r="AA9697" s="318"/>
      <c r="AB9697" s="318"/>
      <c r="AC9697" s="318"/>
      <c r="AD9697" s="318"/>
    </row>
    <row r="9698" spans="2:30" s="323" customFormat="1" ht="12" customHeight="1">
      <c r="B9698" s="324"/>
      <c r="C9698" s="325"/>
      <c r="D9698" s="326"/>
      <c r="E9698" s="326"/>
      <c r="F9698" s="326"/>
      <c r="G9698" s="326"/>
      <c r="H9698" s="326"/>
      <c r="P9698" s="318"/>
      <c r="Q9698" s="318"/>
      <c r="R9698" s="318"/>
      <c r="S9698" s="318"/>
      <c r="T9698" s="318"/>
      <c r="U9698" s="318"/>
      <c r="V9698" s="318"/>
      <c r="W9698" s="318"/>
      <c r="X9698" s="318"/>
      <c r="Y9698" s="318"/>
      <c r="Z9698" s="318"/>
      <c r="AA9698" s="318"/>
      <c r="AB9698" s="318"/>
      <c r="AC9698" s="318"/>
      <c r="AD9698" s="318"/>
    </row>
    <row r="9699" spans="2:30" s="323" customFormat="1" ht="12" customHeight="1">
      <c r="B9699" s="324"/>
      <c r="C9699" s="325"/>
      <c r="D9699" s="326"/>
      <c r="E9699" s="326"/>
      <c r="F9699" s="326"/>
      <c r="G9699" s="326"/>
      <c r="H9699" s="326"/>
      <c r="P9699" s="318"/>
      <c r="Q9699" s="318"/>
      <c r="R9699" s="318"/>
      <c r="S9699" s="318"/>
      <c r="T9699" s="318"/>
      <c r="U9699" s="318"/>
      <c r="V9699" s="318"/>
      <c r="W9699" s="318"/>
      <c r="X9699" s="318"/>
      <c r="Y9699" s="318"/>
      <c r="Z9699" s="318"/>
      <c r="AA9699" s="318"/>
      <c r="AB9699" s="318"/>
      <c r="AC9699" s="318"/>
      <c r="AD9699" s="318"/>
    </row>
    <row r="9700" spans="2:30" s="323" customFormat="1" ht="12" customHeight="1">
      <c r="B9700" s="324"/>
      <c r="C9700" s="325"/>
      <c r="D9700" s="326"/>
      <c r="E9700" s="326"/>
      <c r="F9700" s="326"/>
      <c r="G9700" s="326"/>
      <c r="H9700" s="326"/>
      <c r="P9700" s="318"/>
      <c r="Q9700" s="318"/>
      <c r="R9700" s="318"/>
      <c r="S9700" s="318"/>
      <c r="T9700" s="318"/>
      <c r="U9700" s="318"/>
      <c r="V9700" s="318"/>
      <c r="W9700" s="318"/>
      <c r="X9700" s="318"/>
      <c r="Y9700" s="318"/>
      <c r="Z9700" s="318"/>
      <c r="AA9700" s="318"/>
      <c r="AB9700" s="318"/>
      <c r="AC9700" s="318"/>
      <c r="AD9700" s="318"/>
    </row>
    <row r="9701" spans="2:30" s="323" customFormat="1" ht="12" customHeight="1">
      <c r="B9701" s="324"/>
      <c r="C9701" s="325"/>
      <c r="D9701" s="326"/>
      <c r="E9701" s="326"/>
      <c r="F9701" s="326"/>
      <c r="G9701" s="326"/>
      <c r="H9701" s="326"/>
      <c r="P9701" s="318"/>
      <c r="Q9701" s="318"/>
      <c r="R9701" s="318"/>
      <c r="S9701" s="318"/>
      <c r="T9701" s="318"/>
      <c r="U9701" s="318"/>
      <c r="V9701" s="318"/>
      <c r="W9701" s="318"/>
      <c r="X9701" s="318"/>
      <c r="Y9701" s="318"/>
      <c r="Z9701" s="318"/>
      <c r="AA9701" s="318"/>
      <c r="AB9701" s="318"/>
      <c r="AC9701" s="318"/>
      <c r="AD9701" s="318"/>
    </row>
    <row r="9702" spans="2:30" s="323" customFormat="1" ht="12" customHeight="1">
      <c r="B9702" s="324"/>
      <c r="C9702" s="325"/>
      <c r="D9702" s="326"/>
      <c r="E9702" s="326"/>
      <c r="F9702" s="326"/>
      <c r="G9702" s="326"/>
      <c r="H9702" s="326"/>
      <c r="P9702" s="318"/>
      <c r="Q9702" s="318"/>
      <c r="R9702" s="318"/>
      <c r="S9702" s="318"/>
      <c r="T9702" s="318"/>
      <c r="U9702" s="318"/>
      <c r="V9702" s="318"/>
      <c r="W9702" s="318"/>
      <c r="X9702" s="318"/>
      <c r="Y9702" s="318"/>
      <c r="Z9702" s="318"/>
      <c r="AA9702" s="318"/>
      <c r="AB9702" s="318"/>
      <c r="AC9702" s="318"/>
      <c r="AD9702" s="318"/>
    </row>
    <row r="9703" spans="2:30" s="323" customFormat="1" ht="12" customHeight="1">
      <c r="B9703" s="324"/>
      <c r="C9703" s="325"/>
      <c r="D9703" s="326"/>
      <c r="E9703" s="326"/>
      <c r="F9703" s="326"/>
      <c r="G9703" s="326"/>
      <c r="H9703" s="326"/>
      <c r="P9703" s="318"/>
      <c r="Q9703" s="318"/>
      <c r="R9703" s="318"/>
      <c r="S9703" s="318"/>
      <c r="T9703" s="318"/>
      <c r="U9703" s="318"/>
      <c r="V9703" s="318"/>
      <c r="W9703" s="318"/>
      <c r="X9703" s="318"/>
      <c r="Y9703" s="318"/>
      <c r="Z9703" s="318"/>
      <c r="AA9703" s="318"/>
      <c r="AB9703" s="318"/>
      <c r="AC9703" s="318"/>
      <c r="AD9703" s="318"/>
    </row>
    <row r="9704" spans="2:30" s="323" customFormat="1" ht="12" customHeight="1">
      <c r="B9704" s="324"/>
      <c r="C9704" s="325"/>
      <c r="D9704" s="326"/>
      <c r="E9704" s="326"/>
      <c r="F9704" s="326"/>
      <c r="G9704" s="326"/>
      <c r="H9704" s="326"/>
      <c r="P9704" s="318"/>
      <c r="Q9704" s="318"/>
      <c r="R9704" s="318"/>
      <c r="S9704" s="318"/>
      <c r="T9704" s="318"/>
      <c r="U9704" s="318"/>
      <c r="V9704" s="318"/>
      <c r="W9704" s="318"/>
      <c r="X9704" s="318"/>
      <c r="Y9704" s="318"/>
      <c r="Z9704" s="318"/>
      <c r="AA9704" s="318"/>
      <c r="AB9704" s="318"/>
      <c r="AC9704" s="318"/>
      <c r="AD9704" s="318"/>
    </row>
    <row r="9705" spans="2:30" s="323" customFormat="1" ht="12" customHeight="1">
      <c r="B9705" s="324"/>
      <c r="C9705" s="325"/>
      <c r="D9705" s="326"/>
      <c r="E9705" s="326"/>
      <c r="F9705" s="326"/>
      <c r="G9705" s="326"/>
      <c r="H9705" s="326"/>
      <c r="P9705" s="318"/>
      <c r="Q9705" s="318"/>
      <c r="R9705" s="318"/>
      <c r="S9705" s="318"/>
      <c r="T9705" s="318"/>
      <c r="U9705" s="318"/>
      <c r="V9705" s="318"/>
      <c r="W9705" s="318"/>
      <c r="X9705" s="318"/>
      <c r="Y9705" s="318"/>
      <c r="Z9705" s="318"/>
      <c r="AA9705" s="318"/>
      <c r="AB9705" s="318"/>
      <c r="AC9705" s="318"/>
      <c r="AD9705" s="318"/>
    </row>
    <row r="9706" spans="2:30" s="323" customFormat="1" ht="12" customHeight="1">
      <c r="B9706" s="324"/>
      <c r="C9706" s="325"/>
      <c r="D9706" s="326"/>
      <c r="E9706" s="326"/>
      <c r="F9706" s="326"/>
      <c r="G9706" s="326"/>
      <c r="H9706" s="326"/>
      <c r="P9706" s="318"/>
      <c r="Q9706" s="318"/>
      <c r="R9706" s="318"/>
      <c r="S9706" s="318"/>
      <c r="T9706" s="318"/>
      <c r="U9706" s="318"/>
      <c r="V9706" s="318"/>
      <c r="W9706" s="318"/>
      <c r="X9706" s="318"/>
      <c r="Y9706" s="318"/>
      <c r="Z9706" s="318"/>
      <c r="AA9706" s="318"/>
      <c r="AB9706" s="318"/>
      <c r="AC9706" s="318"/>
      <c r="AD9706" s="318"/>
    </row>
    <row r="9707" spans="2:30" s="323" customFormat="1" ht="12" customHeight="1">
      <c r="B9707" s="324"/>
      <c r="C9707" s="325"/>
      <c r="D9707" s="326"/>
      <c r="E9707" s="326"/>
      <c r="F9707" s="326"/>
      <c r="G9707" s="326"/>
      <c r="H9707" s="326"/>
      <c r="P9707" s="318"/>
      <c r="Q9707" s="318"/>
      <c r="R9707" s="318"/>
      <c r="S9707" s="318"/>
      <c r="T9707" s="318"/>
      <c r="U9707" s="318"/>
      <c r="V9707" s="318"/>
      <c r="W9707" s="318"/>
      <c r="X9707" s="318"/>
      <c r="Y9707" s="318"/>
      <c r="Z9707" s="318"/>
      <c r="AA9707" s="318"/>
      <c r="AB9707" s="318"/>
      <c r="AC9707" s="318"/>
      <c r="AD9707" s="318"/>
    </row>
    <row r="9708" spans="2:30" s="323" customFormat="1" ht="12" customHeight="1">
      <c r="B9708" s="324"/>
      <c r="C9708" s="325"/>
      <c r="D9708" s="326"/>
      <c r="E9708" s="326"/>
      <c r="F9708" s="326"/>
      <c r="G9708" s="326"/>
      <c r="H9708" s="326"/>
      <c r="P9708" s="318"/>
      <c r="Q9708" s="318"/>
      <c r="R9708" s="318"/>
      <c r="S9708" s="318"/>
      <c r="T9708" s="318"/>
      <c r="U9708" s="318"/>
      <c r="V9708" s="318"/>
      <c r="W9708" s="318"/>
      <c r="X9708" s="318"/>
      <c r="Y9708" s="318"/>
      <c r="Z9708" s="318"/>
      <c r="AA9708" s="318"/>
      <c r="AB9708" s="318"/>
      <c r="AC9708" s="318"/>
      <c r="AD9708" s="318"/>
    </row>
    <row r="9709" spans="2:30" s="323" customFormat="1" ht="12" customHeight="1">
      <c r="B9709" s="324"/>
      <c r="C9709" s="325"/>
      <c r="D9709" s="326"/>
      <c r="E9709" s="326"/>
      <c r="F9709" s="326"/>
      <c r="G9709" s="326"/>
      <c r="H9709" s="326"/>
      <c r="P9709" s="318"/>
      <c r="Q9709" s="318"/>
      <c r="R9709" s="318"/>
      <c r="S9709" s="318"/>
      <c r="T9709" s="318"/>
      <c r="U9709" s="318"/>
      <c r="V9709" s="318"/>
      <c r="W9709" s="318"/>
      <c r="X9709" s="318"/>
      <c r="Y9709" s="318"/>
      <c r="Z9709" s="318"/>
      <c r="AA9709" s="318"/>
      <c r="AB9709" s="318"/>
      <c r="AC9709" s="318"/>
      <c r="AD9709" s="318"/>
    </row>
    <row r="9710" spans="2:30" s="323" customFormat="1" ht="12" customHeight="1">
      <c r="B9710" s="324"/>
      <c r="C9710" s="325"/>
      <c r="D9710" s="326"/>
      <c r="E9710" s="326"/>
      <c r="F9710" s="326"/>
      <c r="G9710" s="326"/>
      <c r="H9710" s="326"/>
      <c r="P9710" s="318"/>
      <c r="Q9710" s="318"/>
      <c r="R9710" s="318"/>
      <c r="S9710" s="318"/>
      <c r="T9710" s="318"/>
      <c r="U9710" s="318"/>
      <c r="V9710" s="318"/>
      <c r="W9710" s="318"/>
      <c r="X9710" s="318"/>
      <c r="Y9710" s="318"/>
      <c r="Z9710" s="318"/>
      <c r="AA9710" s="318"/>
      <c r="AB9710" s="318"/>
      <c r="AC9710" s="318"/>
      <c r="AD9710" s="318"/>
    </row>
    <row r="9711" spans="2:30" s="323" customFormat="1" ht="12" customHeight="1">
      <c r="B9711" s="324"/>
      <c r="C9711" s="325"/>
      <c r="D9711" s="326"/>
      <c r="E9711" s="326"/>
      <c r="F9711" s="326"/>
      <c r="G9711" s="326"/>
      <c r="H9711" s="326"/>
      <c r="P9711" s="318"/>
      <c r="Q9711" s="318"/>
      <c r="R9711" s="318"/>
      <c r="S9711" s="318"/>
      <c r="T9711" s="318"/>
      <c r="U9711" s="318"/>
      <c r="V9711" s="318"/>
      <c r="W9711" s="318"/>
      <c r="X9711" s="318"/>
      <c r="Y9711" s="318"/>
      <c r="Z9711" s="318"/>
      <c r="AA9711" s="318"/>
      <c r="AB9711" s="318"/>
      <c r="AC9711" s="318"/>
      <c r="AD9711" s="318"/>
    </row>
    <row r="9712" spans="2:30" s="323" customFormat="1" ht="12" customHeight="1">
      <c r="B9712" s="324"/>
      <c r="C9712" s="325"/>
      <c r="D9712" s="326"/>
      <c r="E9712" s="326"/>
      <c r="F9712" s="326"/>
      <c r="G9712" s="326"/>
      <c r="H9712" s="326"/>
      <c r="P9712" s="318"/>
      <c r="Q9712" s="318"/>
      <c r="R9712" s="318"/>
      <c r="S9712" s="318"/>
      <c r="T9712" s="318"/>
      <c r="U9712" s="318"/>
      <c r="V9712" s="318"/>
      <c r="W9712" s="318"/>
      <c r="X9712" s="318"/>
      <c r="Y9712" s="318"/>
      <c r="Z9712" s="318"/>
      <c r="AA9712" s="318"/>
      <c r="AB9712" s="318"/>
      <c r="AC9712" s="318"/>
      <c r="AD9712" s="318"/>
    </row>
    <row r="9713" spans="2:30" s="323" customFormat="1" ht="12" customHeight="1">
      <c r="B9713" s="324"/>
      <c r="C9713" s="325"/>
      <c r="D9713" s="326"/>
      <c r="E9713" s="326"/>
      <c r="F9713" s="326"/>
      <c r="G9713" s="326"/>
      <c r="H9713" s="326"/>
      <c r="P9713" s="318"/>
      <c r="Q9713" s="318"/>
      <c r="R9713" s="318"/>
      <c r="S9713" s="318"/>
      <c r="T9713" s="318"/>
      <c r="U9713" s="318"/>
      <c r="V9713" s="318"/>
      <c r="W9713" s="318"/>
      <c r="X9713" s="318"/>
      <c r="Y9713" s="318"/>
      <c r="Z9713" s="318"/>
      <c r="AA9713" s="318"/>
      <c r="AB9713" s="318"/>
      <c r="AC9713" s="318"/>
      <c r="AD9713" s="318"/>
    </row>
    <row r="9714" spans="2:30" s="323" customFormat="1" ht="12" customHeight="1">
      <c r="B9714" s="324"/>
      <c r="C9714" s="325"/>
      <c r="D9714" s="326"/>
      <c r="E9714" s="326"/>
      <c r="F9714" s="326"/>
      <c r="G9714" s="326"/>
      <c r="H9714" s="326"/>
      <c r="P9714" s="318"/>
      <c r="Q9714" s="318"/>
      <c r="R9714" s="318"/>
      <c r="S9714" s="318"/>
      <c r="T9714" s="318"/>
      <c r="U9714" s="318"/>
      <c r="V9714" s="318"/>
      <c r="W9714" s="318"/>
      <c r="X9714" s="318"/>
      <c r="Y9714" s="318"/>
      <c r="Z9714" s="318"/>
      <c r="AA9714" s="318"/>
      <c r="AB9714" s="318"/>
      <c r="AC9714" s="318"/>
      <c r="AD9714" s="318"/>
    </row>
    <row r="9715" spans="2:30" s="323" customFormat="1" ht="12" customHeight="1">
      <c r="B9715" s="324"/>
      <c r="C9715" s="325"/>
      <c r="D9715" s="326"/>
      <c r="E9715" s="326"/>
      <c r="F9715" s="326"/>
      <c r="G9715" s="326"/>
      <c r="H9715" s="326"/>
      <c r="P9715" s="318"/>
      <c r="Q9715" s="318"/>
      <c r="R9715" s="318"/>
      <c r="S9715" s="318"/>
      <c r="T9715" s="318"/>
      <c r="U9715" s="318"/>
      <c r="V9715" s="318"/>
      <c r="W9715" s="318"/>
      <c r="X9715" s="318"/>
      <c r="Y9715" s="318"/>
      <c r="Z9715" s="318"/>
      <c r="AA9715" s="318"/>
      <c r="AB9715" s="318"/>
      <c r="AC9715" s="318"/>
      <c r="AD9715" s="318"/>
    </row>
    <row r="9716" spans="2:30" s="323" customFormat="1" ht="12" customHeight="1">
      <c r="B9716" s="324"/>
      <c r="C9716" s="325"/>
      <c r="D9716" s="326"/>
      <c r="E9716" s="326"/>
      <c r="F9716" s="326"/>
      <c r="G9716" s="326"/>
      <c r="H9716" s="326"/>
      <c r="P9716" s="318"/>
      <c r="Q9716" s="318"/>
      <c r="R9716" s="318"/>
      <c r="S9716" s="318"/>
      <c r="T9716" s="318"/>
      <c r="U9716" s="318"/>
      <c r="V9716" s="318"/>
      <c r="W9716" s="318"/>
      <c r="X9716" s="318"/>
      <c r="Y9716" s="318"/>
      <c r="Z9716" s="318"/>
      <c r="AA9716" s="318"/>
      <c r="AB9716" s="318"/>
      <c r="AC9716" s="318"/>
      <c r="AD9716" s="318"/>
    </row>
    <row r="9717" spans="2:30" s="323" customFormat="1" ht="12" customHeight="1">
      <c r="B9717" s="324"/>
      <c r="C9717" s="325"/>
      <c r="D9717" s="326"/>
      <c r="E9717" s="326"/>
      <c r="F9717" s="326"/>
      <c r="G9717" s="326"/>
      <c r="H9717" s="326"/>
      <c r="P9717" s="318"/>
      <c r="Q9717" s="318"/>
      <c r="R9717" s="318"/>
      <c r="S9717" s="318"/>
      <c r="T9717" s="318"/>
      <c r="U9717" s="318"/>
      <c r="V9717" s="318"/>
      <c r="W9717" s="318"/>
      <c r="X9717" s="318"/>
      <c r="Y9717" s="318"/>
      <c r="Z9717" s="318"/>
      <c r="AA9717" s="318"/>
      <c r="AB9717" s="318"/>
      <c r="AC9717" s="318"/>
      <c r="AD9717" s="318"/>
    </row>
    <row r="9718" spans="2:30" s="323" customFormat="1" ht="12" customHeight="1">
      <c r="B9718" s="324"/>
      <c r="C9718" s="325"/>
      <c r="D9718" s="326"/>
      <c r="E9718" s="326"/>
      <c r="F9718" s="326"/>
      <c r="G9718" s="326"/>
      <c r="H9718" s="326"/>
      <c r="P9718" s="318"/>
      <c r="Q9718" s="318"/>
      <c r="R9718" s="318"/>
      <c r="S9718" s="318"/>
      <c r="T9718" s="318"/>
      <c r="U9718" s="318"/>
      <c r="V9718" s="318"/>
      <c r="W9718" s="318"/>
      <c r="X9718" s="318"/>
      <c r="Y9718" s="318"/>
      <c r="Z9718" s="318"/>
      <c r="AA9718" s="318"/>
      <c r="AB9718" s="318"/>
      <c r="AC9718" s="318"/>
      <c r="AD9718" s="318"/>
    </row>
    <row r="9719" spans="2:30" s="323" customFormat="1" ht="12" customHeight="1">
      <c r="B9719" s="324"/>
      <c r="C9719" s="325"/>
      <c r="D9719" s="326"/>
      <c r="E9719" s="326"/>
      <c r="F9719" s="326"/>
      <c r="G9719" s="326"/>
      <c r="H9719" s="326"/>
      <c r="P9719" s="318"/>
      <c r="Q9719" s="318"/>
      <c r="R9719" s="318"/>
      <c r="S9719" s="318"/>
      <c r="T9719" s="318"/>
      <c r="U9719" s="318"/>
      <c r="V9719" s="318"/>
      <c r="W9719" s="318"/>
      <c r="X9719" s="318"/>
      <c r="Y9719" s="318"/>
      <c r="Z9719" s="318"/>
      <c r="AA9719" s="318"/>
      <c r="AB9719" s="318"/>
      <c r="AC9719" s="318"/>
      <c r="AD9719" s="318"/>
    </row>
    <row r="9720" spans="2:30" s="323" customFormat="1" ht="12" customHeight="1">
      <c r="B9720" s="324"/>
      <c r="C9720" s="325"/>
      <c r="D9720" s="326"/>
      <c r="E9720" s="326"/>
      <c r="F9720" s="326"/>
      <c r="G9720" s="326"/>
      <c r="H9720" s="326"/>
      <c r="P9720" s="318"/>
      <c r="Q9720" s="318"/>
      <c r="R9720" s="318"/>
      <c r="S9720" s="318"/>
      <c r="T9720" s="318"/>
      <c r="U9720" s="318"/>
      <c r="V9720" s="318"/>
      <c r="W9720" s="318"/>
      <c r="X9720" s="318"/>
      <c r="Y9720" s="318"/>
      <c r="Z9720" s="318"/>
      <c r="AA9720" s="318"/>
      <c r="AB9720" s="318"/>
      <c r="AC9720" s="318"/>
      <c r="AD9720" s="318"/>
    </row>
    <row r="9721" spans="2:30" s="323" customFormat="1" ht="12" customHeight="1">
      <c r="B9721" s="324"/>
      <c r="C9721" s="325"/>
      <c r="D9721" s="326"/>
      <c r="E9721" s="326"/>
      <c r="F9721" s="326"/>
      <c r="G9721" s="326"/>
      <c r="H9721" s="326"/>
      <c r="P9721" s="318"/>
      <c r="Q9721" s="318"/>
      <c r="R9721" s="318"/>
      <c r="S9721" s="318"/>
      <c r="T9721" s="318"/>
      <c r="U9721" s="318"/>
      <c r="V9721" s="318"/>
      <c r="W9721" s="318"/>
      <c r="X9721" s="318"/>
      <c r="Y9721" s="318"/>
      <c r="Z9721" s="318"/>
      <c r="AA9721" s="318"/>
      <c r="AB9721" s="318"/>
      <c r="AC9721" s="318"/>
      <c r="AD9721" s="318"/>
    </row>
    <row r="9722" spans="2:30" s="323" customFormat="1" ht="12" customHeight="1">
      <c r="B9722" s="324"/>
      <c r="C9722" s="325"/>
      <c r="D9722" s="326"/>
      <c r="E9722" s="326"/>
      <c r="F9722" s="326"/>
      <c r="G9722" s="326"/>
      <c r="H9722" s="326"/>
      <c r="P9722" s="318"/>
      <c r="Q9722" s="318"/>
      <c r="R9722" s="318"/>
      <c r="S9722" s="318"/>
      <c r="T9722" s="318"/>
      <c r="U9722" s="318"/>
      <c r="V9722" s="318"/>
      <c r="W9722" s="318"/>
      <c r="X9722" s="318"/>
      <c r="Y9722" s="318"/>
      <c r="Z9722" s="318"/>
      <c r="AA9722" s="318"/>
      <c r="AB9722" s="318"/>
      <c r="AC9722" s="318"/>
      <c r="AD9722" s="318"/>
    </row>
    <row r="9723" spans="2:30" s="323" customFormat="1" ht="12" customHeight="1">
      <c r="B9723" s="324"/>
      <c r="C9723" s="325"/>
      <c r="D9723" s="326"/>
      <c r="E9723" s="326"/>
      <c r="F9723" s="326"/>
      <c r="G9723" s="326"/>
      <c r="H9723" s="326"/>
      <c r="P9723" s="318"/>
      <c r="Q9723" s="318"/>
      <c r="R9723" s="318"/>
      <c r="S9723" s="318"/>
      <c r="T9723" s="318"/>
      <c r="U9723" s="318"/>
      <c r="V9723" s="318"/>
      <c r="W9723" s="318"/>
      <c r="X9723" s="318"/>
      <c r="Y9723" s="318"/>
      <c r="Z9723" s="318"/>
      <c r="AA9723" s="318"/>
      <c r="AB9723" s="318"/>
      <c r="AC9723" s="318"/>
      <c r="AD9723" s="318"/>
    </row>
    <row r="9724" spans="2:30" s="323" customFormat="1" ht="12" customHeight="1">
      <c r="B9724" s="324"/>
      <c r="C9724" s="325"/>
      <c r="D9724" s="326"/>
      <c r="E9724" s="326"/>
      <c r="F9724" s="326"/>
      <c r="G9724" s="326"/>
      <c r="H9724" s="326"/>
      <c r="P9724" s="318"/>
      <c r="Q9724" s="318"/>
      <c r="R9724" s="318"/>
      <c r="S9724" s="318"/>
      <c r="T9724" s="318"/>
      <c r="U9724" s="318"/>
      <c r="V9724" s="318"/>
      <c r="W9724" s="318"/>
      <c r="X9724" s="318"/>
      <c r="Y9724" s="318"/>
      <c r="Z9724" s="318"/>
      <c r="AA9724" s="318"/>
      <c r="AB9724" s="318"/>
      <c r="AC9724" s="318"/>
      <c r="AD9724" s="318"/>
    </row>
    <row r="9725" spans="2:30" s="323" customFormat="1" ht="12" customHeight="1">
      <c r="B9725" s="324"/>
      <c r="C9725" s="325"/>
      <c r="D9725" s="326"/>
      <c r="E9725" s="326"/>
      <c r="F9725" s="326"/>
      <c r="G9725" s="326"/>
      <c r="H9725" s="326"/>
      <c r="P9725" s="318"/>
      <c r="Q9725" s="318"/>
      <c r="R9725" s="318"/>
      <c r="S9725" s="318"/>
      <c r="T9725" s="318"/>
      <c r="U9725" s="318"/>
      <c r="V9725" s="318"/>
      <c r="W9725" s="318"/>
      <c r="X9725" s="318"/>
      <c r="Y9725" s="318"/>
      <c r="Z9725" s="318"/>
      <c r="AA9725" s="318"/>
      <c r="AB9725" s="318"/>
      <c r="AC9725" s="318"/>
      <c r="AD9725" s="318"/>
    </row>
    <row r="9726" spans="2:30" s="323" customFormat="1" ht="12" customHeight="1">
      <c r="B9726" s="324"/>
      <c r="C9726" s="325"/>
      <c r="D9726" s="326"/>
      <c r="E9726" s="326"/>
      <c r="F9726" s="326"/>
      <c r="G9726" s="326"/>
      <c r="H9726" s="326"/>
      <c r="P9726" s="318"/>
      <c r="Q9726" s="318"/>
      <c r="R9726" s="318"/>
      <c r="S9726" s="318"/>
      <c r="T9726" s="318"/>
      <c r="U9726" s="318"/>
      <c r="V9726" s="318"/>
      <c r="W9726" s="318"/>
      <c r="X9726" s="318"/>
      <c r="Y9726" s="318"/>
      <c r="Z9726" s="318"/>
      <c r="AA9726" s="318"/>
      <c r="AB9726" s="318"/>
      <c r="AC9726" s="318"/>
      <c r="AD9726" s="318"/>
    </row>
    <row r="9727" spans="2:30" s="323" customFormat="1" ht="12" customHeight="1">
      <c r="B9727" s="324"/>
      <c r="C9727" s="325"/>
      <c r="D9727" s="326"/>
      <c r="E9727" s="326"/>
      <c r="F9727" s="326"/>
      <c r="G9727" s="326"/>
      <c r="H9727" s="326"/>
      <c r="P9727" s="318"/>
      <c r="Q9727" s="318"/>
      <c r="R9727" s="318"/>
      <c r="S9727" s="318"/>
      <c r="T9727" s="318"/>
      <c r="U9727" s="318"/>
      <c r="V9727" s="318"/>
      <c r="W9727" s="318"/>
      <c r="X9727" s="318"/>
      <c r="Y9727" s="318"/>
      <c r="Z9727" s="318"/>
      <c r="AA9727" s="318"/>
      <c r="AB9727" s="318"/>
      <c r="AC9727" s="318"/>
      <c r="AD9727" s="318"/>
    </row>
    <row r="9728" spans="2:30" s="323" customFormat="1" ht="12" customHeight="1">
      <c r="B9728" s="324"/>
      <c r="C9728" s="325"/>
      <c r="D9728" s="326"/>
      <c r="E9728" s="326"/>
      <c r="F9728" s="326"/>
      <c r="G9728" s="326"/>
      <c r="H9728" s="326"/>
      <c r="P9728" s="318"/>
      <c r="Q9728" s="318"/>
      <c r="R9728" s="318"/>
      <c r="S9728" s="318"/>
      <c r="T9728" s="318"/>
      <c r="U9728" s="318"/>
      <c r="V9728" s="318"/>
      <c r="W9728" s="318"/>
      <c r="X9728" s="318"/>
      <c r="Y9728" s="318"/>
      <c r="Z9728" s="318"/>
      <c r="AA9728" s="318"/>
      <c r="AB9728" s="318"/>
      <c r="AC9728" s="318"/>
      <c r="AD9728" s="318"/>
    </row>
    <row r="9729" spans="2:30" s="323" customFormat="1" ht="12" customHeight="1">
      <c r="B9729" s="324"/>
      <c r="C9729" s="325"/>
      <c r="D9729" s="326"/>
      <c r="E9729" s="326"/>
      <c r="F9729" s="326"/>
      <c r="G9729" s="326"/>
      <c r="H9729" s="326"/>
      <c r="P9729" s="318"/>
      <c r="Q9729" s="318"/>
      <c r="R9729" s="318"/>
      <c r="S9729" s="318"/>
      <c r="T9729" s="318"/>
      <c r="U9729" s="318"/>
      <c r="V9729" s="318"/>
      <c r="W9729" s="318"/>
      <c r="X9729" s="318"/>
      <c r="Y9729" s="318"/>
      <c r="Z9729" s="318"/>
      <c r="AA9729" s="318"/>
      <c r="AB9729" s="318"/>
      <c r="AC9729" s="318"/>
      <c r="AD9729" s="318"/>
    </row>
    <row r="9730" spans="2:30" s="323" customFormat="1" ht="12" customHeight="1">
      <c r="B9730" s="324"/>
      <c r="C9730" s="325"/>
      <c r="D9730" s="326"/>
      <c r="E9730" s="326"/>
      <c r="F9730" s="326"/>
      <c r="G9730" s="326"/>
      <c r="H9730" s="326"/>
      <c r="P9730" s="318"/>
      <c r="Q9730" s="318"/>
      <c r="R9730" s="318"/>
      <c r="S9730" s="318"/>
      <c r="T9730" s="318"/>
      <c r="U9730" s="318"/>
      <c r="V9730" s="318"/>
      <c r="W9730" s="318"/>
      <c r="X9730" s="318"/>
      <c r="Y9730" s="318"/>
      <c r="Z9730" s="318"/>
      <c r="AA9730" s="318"/>
      <c r="AB9730" s="318"/>
      <c r="AC9730" s="318"/>
      <c r="AD9730" s="318"/>
    </row>
    <row r="9731" spans="2:30" s="323" customFormat="1" ht="12" customHeight="1">
      <c r="B9731" s="324"/>
      <c r="C9731" s="325"/>
      <c r="D9731" s="326"/>
      <c r="E9731" s="326"/>
      <c r="F9731" s="326"/>
      <c r="G9731" s="326"/>
      <c r="H9731" s="326"/>
      <c r="P9731" s="318"/>
      <c r="Q9731" s="318"/>
      <c r="R9731" s="318"/>
      <c r="S9731" s="318"/>
      <c r="T9731" s="318"/>
      <c r="U9731" s="318"/>
      <c r="V9731" s="318"/>
      <c r="W9731" s="318"/>
      <c r="X9731" s="318"/>
      <c r="Y9731" s="318"/>
      <c r="Z9731" s="318"/>
      <c r="AA9731" s="318"/>
      <c r="AB9731" s="318"/>
      <c r="AC9731" s="318"/>
      <c r="AD9731" s="318"/>
    </row>
    <row r="9732" spans="2:30" s="323" customFormat="1" ht="12" customHeight="1">
      <c r="B9732" s="324"/>
      <c r="C9732" s="325"/>
      <c r="D9732" s="326"/>
      <c r="E9732" s="326"/>
      <c r="F9732" s="326"/>
      <c r="G9732" s="326"/>
      <c r="H9732" s="326"/>
      <c r="P9732" s="318"/>
      <c r="Q9732" s="318"/>
      <c r="R9732" s="318"/>
      <c r="S9732" s="318"/>
      <c r="T9732" s="318"/>
      <c r="U9732" s="318"/>
      <c r="V9732" s="318"/>
      <c r="W9732" s="318"/>
      <c r="X9732" s="318"/>
      <c r="Y9732" s="318"/>
      <c r="Z9732" s="318"/>
      <c r="AA9732" s="318"/>
      <c r="AB9732" s="318"/>
      <c r="AC9732" s="318"/>
      <c r="AD9732" s="318"/>
    </row>
    <row r="9733" spans="2:30" s="323" customFormat="1" ht="12" customHeight="1">
      <c r="B9733" s="324"/>
      <c r="C9733" s="325"/>
      <c r="D9733" s="326"/>
      <c r="E9733" s="326"/>
      <c r="F9733" s="326"/>
      <c r="G9733" s="326"/>
      <c r="H9733" s="326"/>
      <c r="P9733" s="318"/>
      <c r="Q9733" s="318"/>
      <c r="R9733" s="318"/>
      <c r="S9733" s="318"/>
      <c r="T9733" s="318"/>
      <c r="U9733" s="318"/>
      <c r="V9733" s="318"/>
      <c r="W9733" s="318"/>
      <c r="X9733" s="318"/>
      <c r="Y9733" s="318"/>
      <c r="Z9733" s="318"/>
      <c r="AA9733" s="318"/>
      <c r="AB9733" s="318"/>
      <c r="AC9733" s="318"/>
      <c r="AD9733" s="318"/>
    </row>
    <row r="9734" spans="2:30" s="323" customFormat="1" ht="12" customHeight="1">
      <c r="B9734" s="324"/>
      <c r="C9734" s="325"/>
      <c r="D9734" s="326"/>
      <c r="E9734" s="326"/>
      <c r="F9734" s="326"/>
      <c r="G9734" s="326"/>
      <c r="H9734" s="326"/>
      <c r="P9734" s="318"/>
      <c r="Q9734" s="318"/>
      <c r="R9734" s="318"/>
      <c r="S9734" s="318"/>
      <c r="T9734" s="318"/>
      <c r="U9734" s="318"/>
      <c r="V9734" s="318"/>
      <c r="W9734" s="318"/>
      <c r="X9734" s="318"/>
      <c r="Y9734" s="318"/>
      <c r="Z9734" s="318"/>
      <c r="AA9734" s="318"/>
      <c r="AB9734" s="318"/>
      <c r="AC9734" s="318"/>
      <c r="AD9734" s="318"/>
    </row>
    <row r="9735" spans="2:30" s="323" customFormat="1" ht="12" customHeight="1">
      <c r="B9735" s="324"/>
      <c r="C9735" s="325"/>
      <c r="D9735" s="326"/>
      <c r="E9735" s="326"/>
      <c r="F9735" s="326"/>
      <c r="G9735" s="326"/>
      <c r="H9735" s="326"/>
      <c r="P9735" s="318"/>
      <c r="Q9735" s="318"/>
      <c r="R9735" s="318"/>
      <c r="S9735" s="318"/>
      <c r="T9735" s="318"/>
      <c r="U9735" s="318"/>
      <c r="V9735" s="318"/>
      <c r="W9735" s="318"/>
      <c r="X9735" s="318"/>
      <c r="Y9735" s="318"/>
      <c r="Z9735" s="318"/>
      <c r="AA9735" s="318"/>
      <c r="AB9735" s="318"/>
      <c r="AC9735" s="318"/>
      <c r="AD9735" s="318"/>
    </row>
    <row r="9736" spans="2:30" s="323" customFormat="1" ht="12" customHeight="1">
      <c r="B9736" s="324"/>
      <c r="C9736" s="325"/>
      <c r="D9736" s="326"/>
      <c r="E9736" s="326"/>
      <c r="F9736" s="326"/>
      <c r="G9736" s="326"/>
      <c r="H9736" s="326"/>
      <c r="P9736" s="318"/>
      <c r="Q9736" s="318"/>
      <c r="R9736" s="318"/>
      <c r="S9736" s="318"/>
      <c r="T9736" s="318"/>
      <c r="U9736" s="318"/>
      <c r="V9736" s="318"/>
      <c r="W9736" s="318"/>
      <c r="X9736" s="318"/>
      <c r="Y9736" s="318"/>
      <c r="Z9736" s="318"/>
      <c r="AA9736" s="318"/>
      <c r="AB9736" s="318"/>
      <c r="AC9736" s="318"/>
      <c r="AD9736" s="318"/>
    </row>
    <row r="9737" spans="2:30" s="323" customFormat="1" ht="12" customHeight="1">
      <c r="B9737" s="324"/>
      <c r="C9737" s="325"/>
      <c r="D9737" s="326"/>
      <c r="E9737" s="326"/>
      <c r="F9737" s="326"/>
      <c r="G9737" s="326"/>
      <c r="H9737" s="326"/>
      <c r="P9737" s="318"/>
      <c r="Q9737" s="318"/>
      <c r="R9737" s="318"/>
      <c r="S9737" s="318"/>
      <c r="T9737" s="318"/>
      <c r="U9737" s="318"/>
      <c r="V9737" s="318"/>
      <c r="W9737" s="318"/>
      <c r="X9737" s="318"/>
      <c r="Y9737" s="318"/>
      <c r="Z9737" s="318"/>
      <c r="AA9737" s="318"/>
      <c r="AB9737" s="318"/>
      <c r="AC9737" s="318"/>
      <c r="AD9737" s="318"/>
    </row>
    <row r="9738" spans="2:30" s="323" customFormat="1" ht="12" customHeight="1">
      <c r="B9738" s="324"/>
      <c r="C9738" s="325"/>
      <c r="D9738" s="326"/>
      <c r="E9738" s="326"/>
      <c r="F9738" s="326"/>
      <c r="G9738" s="326"/>
      <c r="H9738" s="326"/>
      <c r="P9738" s="318"/>
      <c r="Q9738" s="318"/>
      <c r="R9738" s="318"/>
      <c r="S9738" s="318"/>
      <c r="T9738" s="318"/>
      <c r="U9738" s="318"/>
      <c r="V9738" s="318"/>
      <c r="W9738" s="318"/>
      <c r="X9738" s="318"/>
      <c r="Y9738" s="318"/>
      <c r="Z9738" s="318"/>
      <c r="AA9738" s="318"/>
      <c r="AB9738" s="318"/>
      <c r="AC9738" s="318"/>
      <c r="AD9738" s="318"/>
    </row>
    <row r="9739" spans="2:30" s="323" customFormat="1" ht="12" customHeight="1">
      <c r="B9739" s="324"/>
      <c r="C9739" s="325"/>
      <c r="D9739" s="326"/>
      <c r="E9739" s="326"/>
      <c r="F9739" s="326"/>
      <c r="G9739" s="326"/>
      <c r="H9739" s="326"/>
      <c r="P9739" s="318"/>
      <c r="Q9739" s="318"/>
      <c r="R9739" s="318"/>
      <c r="S9739" s="318"/>
      <c r="T9739" s="318"/>
      <c r="U9739" s="318"/>
      <c r="V9739" s="318"/>
      <c r="W9739" s="318"/>
      <c r="X9739" s="318"/>
      <c r="Y9739" s="318"/>
      <c r="Z9739" s="318"/>
      <c r="AA9739" s="318"/>
      <c r="AB9739" s="318"/>
      <c r="AC9739" s="318"/>
      <c r="AD9739" s="318"/>
    </row>
    <row r="9740" spans="2:30" s="323" customFormat="1" ht="12" customHeight="1">
      <c r="B9740" s="324"/>
      <c r="C9740" s="325"/>
      <c r="D9740" s="326"/>
      <c r="E9740" s="326"/>
      <c r="F9740" s="326"/>
      <c r="G9740" s="326"/>
      <c r="H9740" s="326"/>
      <c r="P9740" s="318"/>
      <c r="Q9740" s="318"/>
      <c r="R9740" s="318"/>
      <c r="S9740" s="318"/>
      <c r="T9740" s="318"/>
      <c r="U9740" s="318"/>
      <c r="V9740" s="318"/>
      <c r="W9740" s="318"/>
      <c r="X9740" s="318"/>
      <c r="Y9740" s="318"/>
      <c r="Z9740" s="318"/>
      <c r="AA9740" s="318"/>
      <c r="AB9740" s="318"/>
      <c r="AC9740" s="318"/>
      <c r="AD9740" s="318"/>
    </row>
    <row r="9741" spans="2:30" s="323" customFormat="1" ht="12" customHeight="1">
      <c r="B9741" s="324"/>
      <c r="C9741" s="325"/>
      <c r="D9741" s="326"/>
      <c r="E9741" s="326"/>
      <c r="F9741" s="326"/>
      <c r="G9741" s="326"/>
      <c r="H9741" s="326"/>
      <c r="P9741" s="318"/>
      <c r="Q9741" s="318"/>
      <c r="R9741" s="318"/>
      <c r="S9741" s="318"/>
      <c r="T9741" s="318"/>
      <c r="U9741" s="318"/>
      <c r="V9741" s="318"/>
      <c r="W9741" s="318"/>
      <c r="X9741" s="318"/>
      <c r="Y9741" s="318"/>
      <c r="Z9741" s="318"/>
      <c r="AA9741" s="318"/>
      <c r="AB9741" s="318"/>
      <c r="AC9741" s="318"/>
      <c r="AD9741" s="318"/>
    </row>
    <row r="9742" spans="2:30" s="323" customFormat="1" ht="12" customHeight="1">
      <c r="B9742" s="324"/>
      <c r="C9742" s="325"/>
      <c r="D9742" s="326"/>
      <c r="E9742" s="326"/>
      <c r="F9742" s="326"/>
      <c r="G9742" s="326"/>
      <c r="H9742" s="326"/>
      <c r="P9742" s="318"/>
      <c r="Q9742" s="318"/>
      <c r="R9742" s="318"/>
      <c r="S9742" s="318"/>
      <c r="T9742" s="318"/>
      <c r="U9742" s="318"/>
      <c r="V9742" s="318"/>
      <c r="W9742" s="318"/>
      <c r="X9742" s="318"/>
      <c r="Y9742" s="318"/>
      <c r="Z9742" s="318"/>
      <c r="AA9742" s="318"/>
      <c r="AB9742" s="318"/>
      <c r="AC9742" s="318"/>
      <c r="AD9742" s="318"/>
    </row>
    <row r="9743" spans="2:30" s="323" customFormat="1" ht="12" customHeight="1">
      <c r="B9743" s="324"/>
      <c r="C9743" s="325"/>
      <c r="D9743" s="326"/>
      <c r="E9743" s="326"/>
      <c r="F9743" s="326"/>
      <c r="G9743" s="326"/>
      <c r="H9743" s="326"/>
      <c r="P9743" s="318"/>
      <c r="Q9743" s="318"/>
      <c r="R9743" s="318"/>
      <c r="S9743" s="318"/>
      <c r="T9743" s="318"/>
      <c r="U9743" s="318"/>
      <c r="V9743" s="318"/>
      <c r="W9743" s="318"/>
      <c r="X9743" s="318"/>
      <c r="Y9743" s="318"/>
      <c r="Z9743" s="318"/>
      <c r="AA9743" s="318"/>
      <c r="AB9743" s="318"/>
      <c r="AC9743" s="318"/>
      <c r="AD9743" s="318"/>
    </row>
    <row r="9744" spans="2:30" s="323" customFormat="1" ht="12" customHeight="1">
      <c r="B9744" s="324"/>
      <c r="C9744" s="325"/>
      <c r="D9744" s="326"/>
      <c r="E9744" s="326"/>
      <c r="F9744" s="326"/>
      <c r="G9744" s="326"/>
      <c r="H9744" s="326"/>
      <c r="P9744" s="318"/>
      <c r="Q9744" s="318"/>
      <c r="R9744" s="318"/>
      <c r="S9744" s="318"/>
      <c r="T9744" s="318"/>
      <c r="U9744" s="318"/>
      <c r="V9744" s="318"/>
      <c r="W9744" s="318"/>
      <c r="X9744" s="318"/>
      <c r="Y9744" s="318"/>
      <c r="Z9744" s="318"/>
      <c r="AA9744" s="318"/>
      <c r="AB9744" s="318"/>
      <c r="AC9744" s="318"/>
      <c r="AD9744" s="318"/>
    </row>
    <row r="9745" spans="2:30" s="323" customFormat="1" ht="12" customHeight="1">
      <c r="B9745" s="324"/>
      <c r="C9745" s="325"/>
      <c r="D9745" s="326"/>
      <c r="E9745" s="326"/>
      <c r="F9745" s="326"/>
      <c r="G9745" s="326"/>
      <c r="H9745" s="326"/>
      <c r="P9745" s="318"/>
      <c r="Q9745" s="318"/>
      <c r="R9745" s="318"/>
      <c r="S9745" s="318"/>
      <c r="T9745" s="318"/>
      <c r="U9745" s="318"/>
      <c r="V9745" s="318"/>
      <c r="W9745" s="318"/>
      <c r="X9745" s="318"/>
      <c r="Y9745" s="318"/>
      <c r="Z9745" s="318"/>
      <c r="AA9745" s="318"/>
      <c r="AB9745" s="318"/>
      <c r="AC9745" s="318"/>
      <c r="AD9745" s="318"/>
    </row>
    <row r="9746" spans="2:30" s="323" customFormat="1" ht="12" customHeight="1">
      <c r="B9746" s="324"/>
      <c r="C9746" s="325"/>
      <c r="D9746" s="326"/>
      <c r="E9746" s="326"/>
      <c r="F9746" s="326"/>
      <c r="G9746" s="326"/>
      <c r="H9746" s="326"/>
      <c r="P9746" s="318"/>
      <c r="Q9746" s="318"/>
      <c r="R9746" s="318"/>
      <c r="S9746" s="318"/>
      <c r="T9746" s="318"/>
      <c r="U9746" s="318"/>
      <c r="V9746" s="318"/>
      <c r="W9746" s="318"/>
      <c r="X9746" s="318"/>
      <c r="Y9746" s="318"/>
      <c r="Z9746" s="318"/>
      <c r="AA9746" s="318"/>
      <c r="AB9746" s="318"/>
      <c r="AC9746" s="318"/>
      <c r="AD9746" s="318"/>
    </row>
    <row r="9747" spans="2:30" s="323" customFormat="1" ht="12" customHeight="1">
      <c r="B9747" s="324"/>
      <c r="C9747" s="325"/>
      <c r="D9747" s="326"/>
      <c r="E9747" s="326"/>
      <c r="F9747" s="326"/>
      <c r="G9747" s="326"/>
      <c r="H9747" s="326"/>
      <c r="P9747" s="318"/>
      <c r="Q9747" s="318"/>
      <c r="R9747" s="318"/>
      <c r="S9747" s="318"/>
      <c r="T9747" s="318"/>
      <c r="U9747" s="318"/>
      <c r="V9747" s="318"/>
      <c r="W9747" s="318"/>
      <c r="X9747" s="318"/>
      <c r="Y9747" s="318"/>
      <c r="Z9747" s="318"/>
      <c r="AA9747" s="318"/>
      <c r="AB9747" s="318"/>
      <c r="AC9747" s="318"/>
      <c r="AD9747" s="318"/>
    </row>
    <row r="9748" spans="2:30" s="323" customFormat="1" ht="12" customHeight="1">
      <c r="B9748" s="324"/>
      <c r="C9748" s="325"/>
      <c r="D9748" s="326"/>
      <c r="E9748" s="326"/>
      <c r="F9748" s="326"/>
      <c r="G9748" s="326"/>
      <c r="H9748" s="326"/>
      <c r="P9748" s="318"/>
      <c r="Q9748" s="318"/>
      <c r="R9748" s="318"/>
      <c r="S9748" s="318"/>
      <c r="T9748" s="318"/>
      <c r="U9748" s="318"/>
      <c r="V9748" s="318"/>
      <c r="W9748" s="318"/>
      <c r="X9748" s="318"/>
      <c r="Y9748" s="318"/>
      <c r="Z9748" s="318"/>
      <c r="AA9748" s="318"/>
      <c r="AB9748" s="318"/>
      <c r="AC9748" s="318"/>
      <c r="AD9748" s="318"/>
    </row>
    <row r="9749" spans="2:30" s="323" customFormat="1" ht="12" customHeight="1">
      <c r="B9749" s="324"/>
      <c r="C9749" s="325"/>
      <c r="D9749" s="326"/>
      <c r="E9749" s="326"/>
      <c r="F9749" s="326"/>
      <c r="G9749" s="326"/>
      <c r="H9749" s="326"/>
      <c r="P9749" s="318"/>
      <c r="Q9749" s="318"/>
      <c r="R9749" s="318"/>
      <c r="S9749" s="318"/>
      <c r="T9749" s="318"/>
      <c r="U9749" s="318"/>
      <c r="V9749" s="318"/>
      <c r="W9749" s="318"/>
      <c r="X9749" s="318"/>
      <c r="Y9749" s="318"/>
      <c r="Z9749" s="318"/>
      <c r="AA9749" s="318"/>
      <c r="AB9749" s="318"/>
      <c r="AC9749" s="318"/>
      <c r="AD9749" s="318"/>
    </row>
    <row r="9750" spans="2:30" s="323" customFormat="1" ht="12" customHeight="1">
      <c r="B9750" s="324"/>
      <c r="C9750" s="325"/>
      <c r="D9750" s="326"/>
      <c r="E9750" s="326"/>
      <c r="F9750" s="326"/>
      <c r="G9750" s="326"/>
      <c r="H9750" s="326"/>
      <c r="P9750" s="318"/>
      <c r="Q9750" s="318"/>
      <c r="R9750" s="318"/>
      <c r="S9750" s="318"/>
      <c r="T9750" s="318"/>
      <c r="U9750" s="318"/>
      <c r="V9750" s="318"/>
      <c r="W9750" s="318"/>
      <c r="X9750" s="318"/>
      <c r="Y9750" s="318"/>
      <c r="Z9750" s="318"/>
      <c r="AA9750" s="318"/>
      <c r="AB9750" s="318"/>
      <c r="AC9750" s="318"/>
      <c r="AD9750" s="318"/>
    </row>
    <row r="9751" spans="2:30" s="323" customFormat="1" ht="12" customHeight="1">
      <c r="B9751" s="324"/>
      <c r="C9751" s="325"/>
      <c r="D9751" s="326"/>
      <c r="E9751" s="326"/>
      <c r="F9751" s="326"/>
      <c r="G9751" s="326"/>
      <c r="H9751" s="326"/>
      <c r="P9751" s="318"/>
      <c r="Q9751" s="318"/>
      <c r="R9751" s="318"/>
      <c r="S9751" s="318"/>
      <c r="T9751" s="318"/>
      <c r="U9751" s="318"/>
      <c r="V9751" s="318"/>
      <c r="W9751" s="318"/>
      <c r="X9751" s="318"/>
      <c r="Y9751" s="318"/>
      <c r="Z9751" s="318"/>
      <c r="AA9751" s="318"/>
      <c r="AB9751" s="318"/>
      <c r="AC9751" s="318"/>
      <c r="AD9751" s="318"/>
    </row>
    <row r="9752" spans="2:30" s="323" customFormat="1" ht="12" customHeight="1">
      <c r="B9752" s="324"/>
      <c r="C9752" s="325"/>
      <c r="D9752" s="326"/>
      <c r="E9752" s="326"/>
      <c r="F9752" s="326"/>
      <c r="G9752" s="326"/>
      <c r="H9752" s="326"/>
      <c r="P9752" s="318"/>
      <c r="Q9752" s="318"/>
      <c r="R9752" s="318"/>
      <c r="S9752" s="318"/>
      <c r="T9752" s="318"/>
      <c r="U9752" s="318"/>
      <c r="V9752" s="318"/>
      <c r="W9752" s="318"/>
      <c r="X9752" s="318"/>
      <c r="Y9752" s="318"/>
      <c r="Z9752" s="318"/>
      <c r="AA9752" s="318"/>
      <c r="AB9752" s="318"/>
      <c r="AC9752" s="318"/>
      <c r="AD9752" s="318"/>
    </row>
    <row r="9753" spans="2:30" s="323" customFormat="1" ht="12" customHeight="1">
      <c r="B9753" s="324"/>
      <c r="C9753" s="325"/>
      <c r="D9753" s="326"/>
      <c r="E9753" s="326"/>
      <c r="F9753" s="326"/>
      <c r="G9753" s="326"/>
      <c r="H9753" s="326"/>
      <c r="P9753" s="318"/>
      <c r="Q9753" s="318"/>
      <c r="R9753" s="318"/>
      <c r="S9753" s="318"/>
      <c r="T9753" s="318"/>
      <c r="U9753" s="318"/>
      <c r="V9753" s="318"/>
      <c r="W9753" s="318"/>
      <c r="X9753" s="318"/>
      <c r="Y9753" s="318"/>
      <c r="Z9753" s="318"/>
      <c r="AA9753" s="318"/>
      <c r="AB9753" s="318"/>
      <c r="AC9753" s="318"/>
      <c r="AD9753" s="318"/>
    </row>
    <row r="9754" spans="2:30" s="323" customFormat="1" ht="12" customHeight="1">
      <c r="B9754" s="324"/>
      <c r="C9754" s="325"/>
      <c r="D9754" s="326"/>
      <c r="E9754" s="326"/>
      <c r="F9754" s="326"/>
      <c r="G9754" s="326"/>
      <c r="H9754" s="326"/>
      <c r="P9754" s="318"/>
      <c r="Q9754" s="318"/>
      <c r="R9754" s="318"/>
      <c r="S9754" s="318"/>
      <c r="T9754" s="318"/>
      <c r="U9754" s="318"/>
      <c r="V9754" s="318"/>
      <c r="W9754" s="318"/>
      <c r="X9754" s="318"/>
      <c r="Y9754" s="318"/>
      <c r="Z9754" s="318"/>
      <c r="AA9754" s="318"/>
      <c r="AB9754" s="318"/>
      <c r="AC9754" s="318"/>
      <c r="AD9754" s="318"/>
    </row>
    <row r="9755" spans="2:30" s="323" customFormat="1" ht="12" customHeight="1">
      <c r="B9755" s="324"/>
      <c r="C9755" s="325"/>
      <c r="D9755" s="326"/>
      <c r="E9755" s="326"/>
      <c r="F9755" s="326"/>
      <c r="G9755" s="326"/>
      <c r="H9755" s="326"/>
      <c r="P9755" s="318"/>
      <c r="Q9755" s="318"/>
      <c r="R9755" s="318"/>
      <c r="S9755" s="318"/>
      <c r="T9755" s="318"/>
      <c r="U9755" s="318"/>
      <c r="V9755" s="318"/>
      <c r="W9755" s="318"/>
      <c r="X9755" s="318"/>
      <c r="Y9755" s="318"/>
      <c r="Z9755" s="318"/>
      <c r="AA9755" s="318"/>
      <c r="AB9755" s="318"/>
      <c r="AC9755" s="318"/>
      <c r="AD9755" s="318"/>
    </row>
    <row r="9756" spans="2:30" s="323" customFormat="1" ht="12" customHeight="1">
      <c r="B9756" s="324"/>
      <c r="C9756" s="325"/>
      <c r="D9756" s="326"/>
      <c r="E9756" s="326"/>
      <c r="F9756" s="326"/>
      <c r="G9756" s="326"/>
      <c r="H9756" s="326"/>
      <c r="P9756" s="318"/>
      <c r="Q9756" s="318"/>
      <c r="R9756" s="318"/>
      <c r="S9756" s="318"/>
      <c r="T9756" s="318"/>
      <c r="U9756" s="318"/>
      <c r="V9756" s="318"/>
      <c r="W9756" s="318"/>
      <c r="X9756" s="318"/>
      <c r="Y9756" s="318"/>
      <c r="Z9756" s="318"/>
      <c r="AA9756" s="318"/>
      <c r="AB9756" s="318"/>
      <c r="AC9756" s="318"/>
      <c r="AD9756" s="318"/>
    </row>
    <row r="9757" spans="2:30" s="323" customFormat="1" ht="12" customHeight="1">
      <c r="B9757" s="324"/>
      <c r="C9757" s="325"/>
      <c r="D9757" s="326"/>
      <c r="E9757" s="326"/>
      <c r="F9757" s="326"/>
      <c r="G9757" s="326"/>
      <c r="H9757" s="326"/>
      <c r="P9757" s="318"/>
      <c r="Q9757" s="318"/>
      <c r="R9757" s="318"/>
      <c r="S9757" s="318"/>
      <c r="T9757" s="318"/>
      <c r="U9757" s="318"/>
      <c r="V9757" s="318"/>
      <c r="W9757" s="318"/>
      <c r="X9757" s="318"/>
      <c r="Y9757" s="318"/>
      <c r="Z9757" s="318"/>
      <c r="AA9757" s="318"/>
      <c r="AB9757" s="318"/>
      <c r="AC9757" s="318"/>
      <c r="AD9757" s="318"/>
    </row>
    <row r="9758" spans="2:30" s="323" customFormat="1" ht="12" customHeight="1">
      <c r="B9758" s="324"/>
      <c r="C9758" s="325"/>
      <c r="D9758" s="326"/>
      <c r="E9758" s="326"/>
      <c r="F9758" s="326"/>
      <c r="G9758" s="326"/>
      <c r="H9758" s="326"/>
      <c r="P9758" s="318"/>
      <c r="Q9758" s="318"/>
      <c r="R9758" s="318"/>
      <c r="S9758" s="318"/>
      <c r="T9758" s="318"/>
      <c r="U9758" s="318"/>
      <c r="V9758" s="318"/>
      <c r="W9758" s="318"/>
      <c r="X9758" s="318"/>
      <c r="Y9758" s="318"/>
      <c r="Z9758" s="318"/>
      <c r="AA9758" s="318"/>
      <c r="AB9758" s="318"/>
      <c r="AC9758" s="318"/>
      <c r="AD9758" s="318"/>
    </row>
    <row r="9759" spans="2:30" s="323" customFormat="1" ht="12" customHeight="1">
      <c r="B9759" s="324"/>
      <c r="C9759" s="325"/>
      <c r="D9759" s="326"/>
      <c r="E9759" s="326"/>
      <c r="F9759" s="326"/>
      <c r="G9759" s="326"/>
      <c r="H9759" s="326"/>
      <c r="P9759" s="318"/>
      <c r="Q9759" s="318"/>
      <c r="R9759" s="318"/>
      <c r="S9759" s="318"/>
      <c r="T9759" s="318"/>
      <c r="U9759" s="318"/>
      <c r="V9759" s="318"/>
      <c r="W9759" s="318"/>
      <c r="X9759" s="318"/>
      <c r="Y9759" s="318"/>
      <c r="Z9759" s="318"/>
      <c r="AA9759" s="318"/>
      <c r="AB9759" s="318"/>
      <c r="AC9759" s="318"/>
      <c r="AD9759" s="318"/>
    </row>
    <row r="9760" spans="2:30" s="323" customFormat="1" ht="12" customHeight="1">
      <c r="B9760" s="324"/>
      <c r="C9760" s="325"/>
      <c r="D9760" s="326"/>
      <c r="E9760" s="326"/>
      <c r="F9760" s="326"/>
      <c r="G9760" s="326"/>
      <c r="H9760" s="326"/>
      <c r="P9760" s="318"/>
      <c r="Q9760" s="318"/>
      <c r="R9760" s="318"/>
      <c r="S9760" s="318"/>
      <c r="T9760" s="318"/>
      <c r="U9760" s="318"/>
      <c r="V9760" s="318"/>
      <c r="W9760" s="318"/>
      <c r="X9760" s="318"/>
      <c r="Y9760" s="318"/>
      <c r="Z9760" s="318"/>
      <c r="AA9760" s="318"/>
      <c r="AB9760" s="318"/>
      <c r="AC9760" s="318"/>
      <c r="AD9760" s="318"/>
    </row>
    <row r="9761" spans="2:30" s="323" customFormat="1" ht="12" customHeight="1">
      <c r="B9761" s="324"/>
      <c r="C9761" s="325"/>
      <c r="D9761" s="326"/>
      <c r="E9761" s="326"/>
      <c r="F9761" s="326"/>
      <c r="G9761" s="326"/>
      <c r="H9761" s="326"/>
      <c r="P9761" s="318"/>
      <c r="Q9761" s="318"/>
      <c r="R9761" s="318"/>
      <c r="S9761" s="318"/>
      <c r="T9761" s="318"/>
      <c r="U9761" s="318"/>
      <c r="V9761" s="318"/>
      <c r="W9761" s="318"/>
      <c r="X9761" s="318"/>
      <c r="Y9761" s="318"/>
      <c r="Z9761" s="318"/>
      <c r="AA9761" s="318"/>
      <c r="AB9761" s="318"/>
      <c r="AC9761" s="318"/>
      <c r="AD9761" s="318"/>
    </row>
    <row r="9762" spans="2:30" s="323" customFormat="1" ht="12" customHeight="1">
      <c r="B9762" s="324"/>
      <c r="C9762" s="325"/>
      <c r="D9762" s="326"/>
      <c r="E9762" s="326"/>
      <c r="F9762" s="326"/>
      <c r="G9762" s="326"/>
      <c r="H9762" s="326"/>
      <c r="P9762" s="318"/>
      <c r="Q9762" s="318"/>
      <c r="R9762" s="318"/>
      <c r="S9762" s="318"/>
      <c r="T9762" s="318"/>
      <c r="U9762" s="318"/>
      <c r="V9762" s="318"/>
      <c r="W9762" s="318"/>
      <c r="X9762" s="318"/>
      <c r="Y9762" s="318"/>
      <c r="Z9762" s="318"/>
      <c r="AA9762" s="318"/>
      <c r="AB9762" s="318"/>
      <c r="AC9762" s="318"/>
      <c r="AD9762" s="318"/>
    </row>
    <row r="9763" spans="2:30" s="323" customFormat="1" ht="12" customHeight="1">
      <c r="B9763" s="324"/>
      <c r="C9763" s="325"/>
      <c r="D9763" s="326"/>
      <c r="E9763" s="326"/>
      <c r="F9763" s="326"/>
      <c r="G9763" s="326"/>
      <c r="H9763" s="326"/>
      <c r="P9763" s="318"/>
      <c r="Q9763" s="318"/>
      <c r="R9763" s="318"/>
      <c r="S9763" s="318"/>
      <c r="T9763" s="318"/>
      <c r="U9763" s="318"/>
      <c r="V9763" s="318"/>
      <c r="W9763" s="318"/>
      <c r="X9763" s="318"/>
      <c r="Y9763" s="318"/>
      <c r="Z9763" s="318"/>
      <c r="AA9763" s="318"/>
      <c r="AB9763" s="318"/>
      <c r="AC9763" s="318"/>
      <c r="AD9763" s="318"/>
    </row>
    <row r="9764" spans="2:30" s="323" customFormat="1" ht="12" customHeight="1">
      <c r="B9764" s="324"/>
      <c r="C9764" s="325"/>
      <c r="D9764" s="326"/>
      <c r="E9764" s="326"/>
      <c r="F9764" s="326"/>
      <c r="G9764" s="326"/>
      <c r="H9764" s="326"/>
      <c r="P9764" s="318"/>
      <c r="Q9764" s="318"/>
      <c r="R9764" s="318"/>
      <c r="S9764" s="318"/>
      <c r="T9764" s="318"/>
      <c r="U9764" s="318"/>
      <c r="V9764" s="318"/>
      <c r="W9764" s="318"/>
      <c r="X9764" s="318"/>
      <c r="Y9764" s="318"/>
      <c r="Z9764" s="318"/>
      <c r="AA9764" s="318"/>
      <c r="AB9764" s="318"/>
      <c r="AC9764" s="318"/>
      <c r="AD9764" s="318"/>
    </row>
    <row r="9765" spans="2:30" s="323" customFormat="1" ht="12" customHeight="1">
      <c r="B9765" s="324"/>
      <c r="C9765" s="325"/>
      <c r="D9765" s="326"/>
      <c r="E9765" s="326"/>
      <c r="F9765" s="326"/>
      <c r="G9765" s="326"/>
      <c r="H9765" s="326"/>
      <c r="P9765" s="318"/>
      <c r="Q9765" s="318"/>
      <c r="R9765" s="318"/>
      <c r="S9765" s="318"/>
      <c r="T9765" s="318"/>
      <c r="U9765" s="318"/>
      <c r="V9765" s="318"/>
      <c r="W9765" s="318"/>
      <c r="X9765" s="318"/>
      <c r="Y9765" s="318"/>
      <c r="Z9765" s="318"/>
      <c r="AA9765" s="318"/>
      <c r="AB9765" s="318"/>
      <c r="AC9765" s="318"/>
      <c r="AD9765" s="318"/>
    </row>
    <row r="9766" spans="2:30" s="323" customFormat="1" ht="12" customHeight="1">
      <c r="B9766" s="324"/>
      <c r="C9766" s="325"/>
      <c r="D9766" s="326"/>
      <c r="E9766" s="326"/>
      <c r="F9766" s="326"/>
      <c r="G9766" s="326"/>
      <c r="H9766" s="326"/>
      <c r="P9766" s="318"/>
      <c r="Q9766" s="318"/>
      <c r="R9766" s="318"/>
      <c r="S9766" s="318"/>
      <c r="T9766" s="318"/>
      <c r="U9766" s="318"/>
      <c r="V9766" s="318"/>
      <c r="W9766" s="318"/>
      <c r="X9766" s="318"/>
      <c r="Y9766" s="318"/>
      <c r="Z9766" s="318"/>
      <c r="AA9766" s="318"/>
      <c r="AB9766" s="318"/>
      <c r="AC9766" s="318"/>
      <c r="AD9766" s="318"/>
    </row>
    <row r="9767" spans="2:30" s="323" customFormat="1" ht="12" customHeight="1">
      <c r="B9767" s="324"/>
      <c r="C9767" s="325"/>
      <c r="D9767" s="326"/>
      <c r="E9767" s="326"/>
      <c r="F9767" s="326"/>
      <c r="G9767" s="326"/>
      <c r="H9767" s="326"/>
      <c r="P9767" s="318"/>
      <c r="Q9767" s="318"/>
      <c r="R9767" s="318"/>
      <c r="S9767" s="318"/>
      <c r="T9767" s="318"/>
      <c r="U9767" s="318"/>
      <c r="V9767" s="318"/>
      <c r="W9767" s="318"/>
      <c r="X9767" s="318"/>
      <c r="Y9767" s="318"/>
      <c r="Z9767" s="318"/>
      <c r="AA9767" s="318"/>
      <c r="AB9767" s="318"/>
      <c r="AC9767" s="318"/>
      <c r="AD9767" s="318"/>
    </row>
    <row r="9768" spans="2:30" s="323" customFormat="1" ht="12" customHeight="1">
      <c r="B9768" s="324"/>
      <c r="C9768" s="325"/>
      <c r="D9768" s="326"/>
      <c r="E9768" s="326"/>
      <c r="F9768" s="326"/>
      <c r="G9768" s="326"/>
      <c r="H9768" s="326"/>
      <c r="P9768" s="318"/>
      <c r="Q9768" s="318"/>
      <c r="R9768" s="318"/>
      <c r="S9768" s="318"/>
      <c r="T9768" s="318"/>
      <c r="U9768" s="318"/>
      <c r="V9768" s="318"/>
      <c r="W9768" s="318"/>
      <c r="X9768" s="318"/>
      <c r="Y9768" s="318"/>
      <c r="Z9768" s="318"/>
      <c r="AA9768" s="318"/>
      <c r="AB9768" s="318"/>
      <c r="AC9768" s="318"/>
      <c r="AD9768" s="318"/>
    </row>
    <row r="9769" spans="2:30" s="323" customFormat="1" ht="12" customHeight="1">
      <c r="B9769" s="324"/>
      <c r="C9769" s="325"/>
      <c r="D9769" s="326"/>
      <c r="E9769" s="326"/>
      <c r="F9769" s="326"/>
      <c r="G9769" s="326"/>
      <c r="H9769" s="326"/>
      <c r="P9769" s="318"/>
      <c r="Q9769" s="318"/>
      <c r="R9769" s="318"/>
      <c r="S9769" s="318"/>
      <c r="T9769" s="318"/>
      <c r="U9769" s="318"/>
      <c r="V9769" s="318"/>
      <c r="W9769" s="318"/>
      <c r="X9769" s="318"/>
      <c r="Y9769" s="318"/>
      <c r="Z9769" s="318"/>
      <c r="AA9769" s="318"/>
      <c r="AB9769" s="318"/>
      <c r="AC9769" s="318"/>
      <c r="AD9769" s="318"/>
    </row>
    <row r="9770" spans="2:30" s="323" customFormat="1" ht="12" customHeight="1">
      <c r="B9770" s="324"/>
      <c r="C9770" s="325"/>
      <c r="D9770" s="326"/>
      <c r="E9770" s="326"/>
      <c r="F9770" s="326"/>
      <c r="G9770" s="326"/>
      <c r="H9770" s="326"/>
      <c r="P9770" s="318"/>
      <c r="Q9770" s="318"/>
      <c r="R9770" s="318"/>
      <c r="S9770" s="318"/>
      <c r="T9770" s="318"/>
      <c r="U9770" s="318"/>
      <c r="V9770" s="318"/>
      <c r="W9770" s="318"/>
      <c r="X9770" s="318"/>
      <c r="Y9770" s="318"/>
      <c r="Z9770" s="318"/>
      <c r="AA9770" s="318"/>
      <c r="AB9770" s="318"/>
      <c r="AC9770" s="318"/>
      <c r="AD9770" s="318"/>
    </row>
    <row r="9771" spans="2:30" s="323" customFormat="1" ht="12" customHeight="1">
      <c r="B9771" s="324"/>
      <c r="C9771" s="325"/>
      <c r="D9771" s="326"/>
      <c r="E9771" s="326"/>
      <c r="F9771" s="326"/>
      <c r="G9771" s="326"/>
      <c r="H9771" s="326"/>
      <c r="P9771" s="318"/>
      <c r="Q9771" s="318"/>
      <c r="R9771" s="318"/>
      <c r="S9771" s="318"/>
      <c r="T9771" s="318"/>
      <c r="U9771" s="318"/>
      <c r="V9771" s="318"/>
      <c r="W9771" s="318"/>
      <c r="X9771" s="318"/>
      <c r="Y9771" s="318"/>
      <c r="Z9771" s="318"/>
      <c r="AA9771" s="318"/>
      <c r="AB9771" s="318"/>
      <c r="AC9771" s="318"/>
      <c r="AD9771" s="318"/>
    </row>
    <row r="9772" spans="2:30" s="323" customFormat="1" ht="12" customHeight="1">
      <c r="B9772" s="324"/>
      <c r="C9772" s="325"/>
      <c r="D9772" s="326"/>
      <c r="E9772" s="326"/>
      <c r="F9772" s="326"/>
      <c r="G9772" s="326"/>
      <c r="H9772" s="326"/>
      <c r="P9772" s="318"/>
      <c r="Q9772" s="318"/>
      <c r="R9772" s="318"/>
      <c r="S9772" s="318"/>
      <c r="T9772" s="318"/>
      <c r="U9772" s="318"/>
      <c r="V9772" s="318"/>
      <c r="W9772" s="318"/>
      <c r="X9772" s="318"/>
      <c r="Y9772" s="318"/>
      <c r="Z9772" s="318"/>
      <c r="AA9772" s="318"/>
      <c r="AB9772" s="318"/>
      <c r="AC9772" s="318"/>
      <c r="AD9772" s="318"/>
    </row>
    <row r="9773" spans="2:30" s="323" customFormat="1" ht="12" customHeight="1">
      <c r="B9773" s="324"/>
      <c r="C9773" s="325"/>
      <c r="D9773" s="326"/>
      <c r="E9773" s="326"/>
      <c r="F9773" s="326"/>
      <c r="G9773" s="326"/>
      <c r="H9773" s="326"/>
      <c r="P9773" s="318"/>
      <c r="Q9773" s="318"/>
      <c r="R9773" s="318"/>
      <c r="S9773" s="318"/>
      <c r="T9773" s="318"/>
      <c r="U9773" s="318"/>
      <c r="V9773" s="318"/>
      <c r="W9773" s="318"/>
      <c r="X9773" s="318"/>
      <c r="Y9773" s="318"/>
      <c r="Z9773" s="318"/>
      <c r="AA9773" s="318"/>
      <c r="AB9773" s="318"/>
      <c r="AC9773" s="318"/>
      <c r="AD9773" s="318"/>
    </row>
    <row r="9774" spans="2:30" s="323" customFormat="1" ht="12" customHeight="1">
      <c r="B9774" s="324"/>
      <c r="C9774" s="325"/>
      <c r="D9774" s="326"/>
      <c r="E9774" s="326"/>
      <c r="F9774" s="326"/>
      <c r="G9774" s="326"/>
      <c r="H9774" s="326"/>
      <c r="P9774" s="318"/>
      <c r="Q9774" s="318"/>
      <c r="R9774" s="318"/>
      <c r="S9774" s="318"/>
      <c r="T9774" s="318"/>
      <c r="U9774" s="318"/>
      <c r="V9774" s="318"/>
      <c r="W9774" s="318"/>
      <c r="X9774" s="318"/>
      <c r="Y9774" s="318"/>
      <c r="Z9774" s="318"/>
      <c r="AA9774" s="318"/>
      <c r="AB9774" s="318"/>
      <c r="AC9774" s="318"/>
      <c r="AD9774" s="318"/>
    </row>
    <row r="9775" spans="2:30" s="323" customFormat="1" ht="12" customHeight="1">
      <c r="B9775" s="324"/>
      <c r="C9775" s="325"/>
      <c r="D9775" s="326"/>
      <c r="E9775" s="326"/>
      <c r="F9775" s="326"/>
      <c r="G9775" s="326"/>
      <c r="H9775" s="326"/>
      <c r="P9775" s="318"/>
      <c r="Q9775" s="318"/>
      <c r="R9775" s="318"/>
      <c r="S9775" s="318"/>
      <c r="T9775" s="318"/>
      <c r="U9775" s="318"/>
      <c r="V9775" s="318"/>
      <c r="W9775" s="318"/>
      <c r="X9775" s="318"/>
      <c r="Y9775" s="318"/>
      <c r="Z9775" s="318"/>
      <c r="AA9775" s="318"/>
      <c r="AB9775" s="318"/>
      <c r="AC9775" s="318"/>
      <c r="AD9775" s="318"/>
    </row>
    <row r="9776" spans="2:30" s="323" customFormat="1" ht="12" customHeight="1">
      <c r="B9776" s="324"/>
      <c r="C9776" s="325"/>
      <c r="D9776" s="326"/>
      <c r="E9776" s="326"/>
      <c r="F9776" s="326"/>
      <c r="G9776" s="326"/>
      <c r="H9776" s="326"/>
      <c r="P9776" s="318"/>
      <c r="Q9776" s="318"/>
      <c r="R9776" s="318"/>
      <c r="S9776" s="318"/>
      <c r="T9776" s="318"/>
      <c r="U9776" s="318"/>
      <c r="V9776" s="318"/>
      <c r="W9776" s="318"/>
      <c r="X9776" s="318"/>
      <c r="Y9776" s="318"/>
      <c r="Z9776" s="318"/>
      <c r="AA9776" s="318"/>
      <c r="AB9776" s="318"/>
      <c r="AC9776" s="318"/>
      <c r="AD9776" s="318"/>
    </row>
    <row r="9777" spans="2:30" s="323" customFormat="1" ht="12" customHeight="1">
      <c r="B9777" s="324"/>
      <c r="C9777" s="325"/>
      <c r="D9777" s="326"/>
      <c r="E9777" s="326"/>
      <c r="F9777" s="326"/>
      <c r="G9777" s="326"/>
      <c r="H9777" s="326"/>
      <c r="P9777" s="318"/>
      <c r="Q9777" s="318"/>
      <c r="R9777" s="318"/>
      <c r="S9777" s="318"/>
      <c r="T9777" s="318"/>
      <c r="U9777" s="318"/>
      <c r="V9777" s="318"/>
      <c r="W9777" s="318"/>
      <c r="X9777" s="318"/>
      <c r="Y9777" s="318"/>
      <c r="Z9777" s="318"/>
      <c r="AA9777" s="318"/>
      <c r="AB9777" s="318"/>
      <c r="AC9777" s="318"/>
      <c r="AD9777" s="318"/>
    </row>
    <row r="9778" spans="2:30" s="323" customFormat="1" ht="12" customHeight="1">
      <c r="B9778" s="324"/>
      <c r="C9778" s="325"/>
      <c r="D9778" s="326"/>
      <c r="E9778" s="326"/>
      <c r="F9778" s="326"/>
      <c r="G9778" s="326"/>
      <c r="H9778" s="326"/>
      <c r="P9778" s="318"/>
      <c r="Q9778" s="318"/>
      <c r="R9778" s="318"/>
      <c r="S9778" s="318"/>
      <c r="T9778" s="318"/>
      <c r="U9778" s="318"/>
      <c r="V9778" s="318"/>
      <c r="W9778" s="318"/>
      <c r="X9778" s="318"/>
      <c r="Y9778" s="318"/>
      <c r="Z9778" s="318"/>
      <c r="AA9778" s="318"/>
      <c r="AB9778" s="318"/>
      <c r="AC9778" s="318"/>
      <c r="AD9778" s="318"/>
    </row>
    <row r="9779" spans="2:30" s="323" customFormat="1" ht="12" customHeight="1">
      <c r="B9779" s="324"/>
      <c r="C9779" s="325"/>
      <c r="D9779" s="326"/>
      <c r="E9779" s="326"/>
      <c r="F9779" s="326"/>
      <c r="G9779" s="326"/>
      <c r="H9779" s="326"/>
      <c r="P9779" s="318"/>
      <c r="Q9779" s="318"/>
      <c r="R9779" s="318"/>
      <c r="S9779" s="318"/>
      <c r="T9779" s="318"/>
      <c r="U9779" s="318"/>
      <c r="V9779" s="318"/>
      <c r="W9779" s="318"/>
      <c r="X9779" s="318"/>
      <c r="Y9779" s="318"/>
      <c r="Z9779" s="318"/>
      <c r="AA9779" s="318"/>
      <c r="AB9779" s="318"/>
      <c r="AC9779" s="318"/>
      <c r="AD9779" s="318"/>
    </row>
    <row r="9780" spans="2:30" s="323" customFormat="1" ht="12" customHeight="1">
      <c r="B9780" s="324"/>
      <c r="C9780" s="325"/>
      <c r="D9780" s="326"/>
      <c r="E9780" s="326"/>
      <c r="F9780" s="326"/>
      <c r="G9780" s="326"/>
      <c r="H9780" s="326"/>
      <c r="P9780" s="318"/>
      <c r="Q9780" s="318"/>
      <c r="R9780" s="318"/>
      <c r="S9780" s="318"/>
      <c r="T9780" s="318"/>
      <c r="U9780" s="318"/>
      <c r="V9780" s="318"/>
      <c r="W9780" s="318"/>
      <c r="X9780" s="318"/>
      <c r="Y9780" s="318"/>
      <c r="Z9780" s="318"/>
      <c r="AA9780" s="318"/>
      <c r="AB9780" s="318"/>
      <c r="AC9780" s="318"/>
      <c r="AD9780" s="318"/>
    </row>
    <row r="9781" spans="2:30" s="323" customFormat="1" ht="12" customHeight="1">
      <c r="B9781" s="324"/>
      <c r="C9781" s="325"/>
      <c r="D9781" s="326"/>
      <c r="E9781" s="326"/>
      <c r="F9781" s="326"/>
      <c r="G9781" s="326"/>
      <c r="H9781" s="326"/>
      <c r="P9781" s="318"/>
      <c r="Q9781" s="318"/>
      <c r="R9781" s="318"/>
      <c r="S9781" s="318"/>
      <c r="T9781" s="318"/>
      <c r="U9781" s="318"/>
      <c r="V9781" s="318"/>
      <c r="W9781" s="318"/>
      <c r="X9781" s="318"/>
      <c r="Y9781" s="318"/>
      <c r="Z9781" s="318"/>
      <c r="AA9781" s="318"/>
      <c r="AB9781" s="318"/>
      <c r="AC9781" s="318"/>
      <c r="AD9781" s="318"/>
    </row>
    <row r="9782" spans="2:30" s="323" customFormat="1" ht="12" customHeight="1">
      <c r="B9782" s="324"/>
      <c r="C9782" s="325"/>
      <c r="D9782" s="326"/>
      <c r="E9782" s="326"/>
      <c r="F9782" s="326"/>
      <c r="G9782" s="326"/>
      <c r="H9782" s="326"/>
      <c r="P9782" s="318"/>
      <c r="Q9782" s="318"/>
      <c r="R9782" s="318"/>
      <c r="S9782" s="318"/>
      <c r="T9782" s="318"/>
      <c r="U9782" s="318"/>
      <c r="V9782" s="318"/>
      <c r="W9782" s="318"/>
      <c r="X9782" s="318"/>
      <c r="Y9782" s="318"/>
      <c r="Z9782" s="318"/>
      <c r="AA9782" s="318"/>
      <c r="AB9782" s="318"/>
      <c r="AC9782" s="318"/>
      <c r="AD9782" s="318"/>
    </row>
    <row r="9783" spans="2:30" s="323" customFormat="1" ht="12" customHeight="1">
      <c r="B9783" s="324"/>
      <c r="C9783" s="325"/>
      <c r="D9783" s="326"/>
      <c r="E9783" s="326"/>
      <c r="F9783" s="326"/>
      <c r="G9783" s="326"/>
      <c r="H9783" s="326"/>
      <c r="P9783" s="318"/>
      <c r="Q9783" s="318"/>
      <c r="R9783" s="318"/>
      <c r="S9783" s="318"/>
      <c r="T9783" s="318"/>
      <c r="U9783" s="318"/>
      <c r="V9783" s="318"/>
      <c r="W9783" s="318"/>
      <c r="X9783" s="318"/>
      <c r="Y9783" s="318"/>
      <c r="Z9783" s="318"/>
      <c r="AA9783" s="318"/>
      <c r="AB9783" s="318"/>
      <c r="AC9783" s="318"/>
      <c r="AD9783" s="318"/>
    </row>
    <row r="9784" spans="2:30" s="323" customFormat="1" ht="12" customHeight="1">
      <c r="B9784" s="324"/>
      <c r="C9784" s="325"/>
      <c r="D9784" s="326"/>
      <c r="E9784" s="326"/>
      <c r="F9784" s="326"/>
      <c r="G9784" s="326"/>
      <c r="H9784" s="326"/>
      <c r="P9784" s="318"/>
      <c r="Q9784" s="318"/>
      <c r="R9784" s="318"/>
      <c r="S9784" s="318"/>
      <c r="T9784" s="318"/>
      <c r="U9784" s="318"/>
      <c r="V9784" s="318"/>
      <c r="W9784" s="318"/>
      <c r="X9784" s="318"/>
      <c r="Y9784" s="318"/>
      <c r="Z9784" s="318"/>
      <c r="AA9784" s="318"/>
      <c r="AB9784" s="318"/>
      <c r="AC9784" s="318"/>
      <c r="AD9784" s="318"/>
    </row>
    <row r="9785" spans="2:30" s="323" customFormat="1" ht="12" customHeight="1">
      <c r="B9785" s="324"/>
      <c r="C9785" s="325"/>
      <c r="D9785" s="326"/>
      <c r="E9785" s="326"/>
      <c r="F9785" s="326"/>
      <c r="G9785" s="326"/>
      <c r="H9785" s="326"/>
      <c r="P9785" s="318"/>
      <c r="Q9785" s="318"/>
      <c r="R9785" s="318"/>
      <c r="S9785" s="318"/>
      <c r="T9785" s="318"/>
      <c r="U9785" s="318"/>
      <c r="V9785" s="318"/>
      <c r="W9785" s="318"/>
      <c r="X9785" s="318"/>
      <c r="Y9785" s="318"/>
      <c r="Z9785" s="318"/>
      <c r="AA9785" s="318"/>
      <c r="AB9785" s="318"/>
      <c r="AC9785" s="318"/>
      <c r="AD9785" s="318"/>
    </row>
    <row r="9786" spans="2:30" s="323" customFormat="1" ht="12" customHeight="1">
      <c r="B9786" s="324"/>
      <c r="C9786" s="325"/>
      <c r="D9786" s="326"/>
      <c r="E9786" s="326"/>
      <c r="F9786" s="326"/>
      <c r="G9786" s="326"/>
      <c r="H9786" s="326"/>
      <c r="P9786" s="318"/>
      <c r="Q9786" s="318"/>
      <c r="R9786" s="318"/>
      <c r="S9786" s="318"/>
      <c r="T9786" s="318"/>
      <c r="U9786" s="318"/>
      <c r="V9786" s="318"/>
      <c r="W9786" s="318"/>
      <c r="X9786" s="318"/>
      <c r="Y9786" s="318"/>
      <c r="Z9786" s="318"/>
      <c r="AA9786" s="318"/>
      <c r="AB9786" s="318"/>
      <c r="AC9786" s="318"/>
      <c r="AD9786" s="318"/>
    </row>
    <row r="9787" spans="2:30" s="323" customFormat="1" ht="12" customHeight="1">
      <c r="B9787" s="324"/>
      <c r="C9787" s="325"/>
      <c r="D9787" s="326"/>
      <c r="E9787" s="326"/>
      <c r="F9787" s="326"/>
      <c r="G9787" s="326"/>
      <c r="H9787" s="326"/>
      <c r="P9787" s="318"/>
      <c r="Q9787" s="318"/>
      <c r="R9787" s="318"/>
      <c r="S9787" s="318"/>
      <c r="T9787" s="318"/>
      <c r="U9787" s="318"/>
      <c r="V9787" s="318"/>
      <c r="W9787" s="318"/>
      <c r="X9787" s="318"/>
      <c r="Y9787" s="318"/>
      <c r="Z9787" s="318"/>
      <c r="AA9787" s="318"/>
      <c r="AB9787" s="318"/>
      <c r="AC9787" s="318"/>
      <c r="AD9787" s="318"/>
    </row>
    <row r="9788" spans="2:30" s="323" customFormat="1" ht="12" customHeight="1">
      <c r="B9788" s="324"/>
      <c r="C9788" s="325"/>
      <c r="D9788" s="326"/>
      <c r="E9788" s="326"/>
      <c r="F9788" s="326"/>
      <c r="G9788" s="326"/>
      <c r="H9788" s="326"/>
      <c r="P9788" s="318"/>
      <c r="Q9788" s="318"/>
      <c r="R9788" s="318"/>
      <c r="S9788" s="318"/>
      <c r="T9788" s="318"/>
      <c r="U9788" s="318"/>
      <c r="V9788" s="318"/>
      <c r="W9788" s="318"/>
      <c r="X9788" s="318"/>
      <c r="Y9788" s="318"/>
      <c r="Z9788" s="318"/>
      <c r="AA9788" s="318"/>
      <c r="AB9788" s="318"/>
      <c r="AC9788" s="318"/>
      <c r="AD9788" s="318"/>
    </row>
    <row r="9789" spans="2:30" s="323" customFormat="1" ht="12" customHeight="1">
      <c r="B9789" s="324"/>
      <c r="C9789" s="325"/>
      <c r="D9789" s="326"/>
      <c r="E9789" s="326"/>
      <c r="F9789" s="326"/>
      <c r="G9789" s="326"/>
      <c r="H9789" s="326"/>
      <c r="P9789" s="318"/>
      <c r="Q9789" s="318"/>
      <c r="R9789" s="318"/>
      <c r="S9789" s="318"/>
      <c r="T9789" s="318"/>
      <c r="U9789" s="318"/>
      <c r="V9789" s="318"/>
      <c r="W9789" s="318"/>
      <c r="X9789" s="318"/>
      <c r="Y9789" s="318"/>
      <c r="Z9789" s="318"/>
      <c r="AA9789" s="318"/>
      <c r="AB9789" s="318"/>
      <c r="AC9789" s="318"/>
      <c r="AD9789" s="318"/>
    </row>
    <row r="9790" spans="2:30" s="323" customFormat="1" ht="12" customHeight="1">
      <c r="B9790" s="324"/>
      <c r="C9790" s="325"/>
      <c r="D9790" s="326"/>
      <c r="E9790" s="326"/>
      <c r="F9790" s="326"/>
      <c r="G9790" s="326"/>
      <c r="H9790" s="326"/>
      <c r="P9790" s="318"/>
      <c r="Q9790" s="318"/>
      <c r="R9790" s="318"/>
      <c r="S9790" s="318"/>
      <c r="T9790" s="318"/>
      <c r="U9790" s="318"/>
      <c r="V9790" s="318"/>
      <c r="W9790" s="318"/>
      <c r="X9790" s="318"/>
      <c r="Y9790" s="318"/>
      <c r="Z9790" s="318"/>
      <c r="AA9790" s="318"/>
      <c r="AB9790" s="318"/>
      <c r="AC9790" s="318"/>
      <c r="AD9790" s="318"/>
    </row>
    <row r="9791" spans="2:30" s="323" customFormat="1" ht="12" customHeight="1">
      <c r="B9791" s="324"/>
      <c r="C9791" s="325"/>
      <c r="D9791" s="326"/>
      <c r="E9791" s="326"/>
      <c r="F9791" s="326"/>
      <c r="G9791" s="326"/>
      <c r="H9791" s="326"/>
      <c r="P9791" s="318"/>
      <c r="Q9791" s="318"/>
      <c r="R9791" s="318"/>
      <c r="S9791" s="318"/>
      <c r="T9791" s="318"/>
      <c r="U9791" s="318"/>
      <c r="V9791" s="318"/>
      <c r="W9791" s="318"/>
      <c r="X9791" s="318"/>
      <c r="Y9791" s="318"/>
      <c r="Z9791" s="318"/>
      <c r="AA9791" s="318"/>
      <c r="AB9791" s="318"/>
      <c r="AC9791" s="318"/>
      <c r="AD9791" s="318"/>
    </row>
    <row r="9792" spans="2:30" s="323" customFormat="1" ht="12" customHeight="1">
      <c r="B9792" s="324"/>
      <c r="C9792" s="325"/>
      <c r="D9792" s="326"/>
      <c r="E9792" s="326"/>
      <c r="F9792" s="326"/>
      <c r="G9792" s="326"/>
      <c r="H9792" s="326"/>
      <c r="P9792" s="318"/>
      <c r="Q9792" s="318"/>
      <c r="R9792" s="318"/>
      <c r="S9792" s="318"/>
      <c r="T9792" s="318"/>
      <c r="U9792" s="318"/>
      <c r="V9792" s="318"/>
      <c r="W9792" s="318"/>
      <c r="X9792" s="318"/>
      <c r="Y9792" s="318"/>
      <c r="Z9792" s="318"/>
      <c r="AA9792" s="318"/>
      <c r="AB9792" s="318"/>
      <c r="AC9792" s="318"/>
      <c r="AD9792" s="318"/>
    </row>
    <row r="9793" spans="2:30" s="323" customFormat="1" ht="12" customHeight="1">
      <c r="B9793" s="324"/>
      <c r="C9793" s="325"/>
      <c r="D9793" s="326"/>
      <c r="E9793" s="326"/>
      <c r="F9793" s="326"/>
      <c r="G9793" s="326"/>
      <c r="H9793" s="326"/>
      <c r="P9793" s="318"/>
      <c r="Q9793" s="318"/>
      <c r="R9793" s="318"/>
      <c r="S9793" s="318"/>
      <c r="T9793" s="318"/>
      <c r="U9793" s="318"/>
      <c r="V9793" s="318"/>
      <c r="W9793" s="318"/>
      <c r="X9793" s="318"/>
      <c r="Y9793" s="318"/>
      <c r="Z9793" s="318"/>
      <c r="AA9793" s="318"/>
      <c r="AB9793" s="318"/>
      <c r="AC9793" s="318"/>
      <c r="AD9793" s="318"/>
    </row>
    <row r="9794" spans="2:30" s="323" customFormat="1" ht="12" customHeight="1">
      <c r="B9794" s="324"/>
      <c r="C9794" s="325"/>
      <c r="D9794" s="326"/>
      <c r="E9794" s="326"/>
      <c r="F9794" s="326"/>
      <c r="G9794" s="326"/>
      <c r="H9794" s="326"/>
      <c r="P9794" s="318"/>
      <c r="Q9794" s="318"/>
      <c r="R9794" s="318"/>
      <c r="S9794" s="318"/>
      <c r="T9794" s="318"/>
      <c r="U9794" s="318"/>
      <c r="V9794" s="318"/>
      <c r="W9794" s="318"/>
      <c r="X9794" s="318"/>
      <c r="Y9794" s="318"/>
      <c r="Z9794" s="318"/>
      <c r="AA9794" s="318"/>
      <c r="AB9794" s="318"/>
      <c r="AC9794" s="318"/>
      <c r="AD9794" s="318"/>
    </row>
    <row r="9795" spans="2:30" s="323" customFormat="1" ht="12" customHeight="1">
      <c r="B9795" s="324"/>
      <c r="C9795" s="325"/>
      <c r="D9795" s="326"/>
      <c r="E9795" s="326"/>
      <c r="F9795" s="326"/>
      <c r="G9795" s="326"/>
      <c r="H9795" s="326"/>
      <c r="P9795" s="318"/>
      <c r="Q9795" s="318"/>
      <c r="R9795" s="318"/>
      <c r="S9795" s="318"/>
      <c r="T9795" s="318"/>
      <c r="U9795" s="318"/>
      <c r="V9795" s="318"/>
      <c r="W9795" s="318"/>
      <c r="X9795" s="318"/>
      <c r="Y9795" s="318"/>
      <c r="Z9795" s="318"/>
      <c r="AA9795" s="318"/>
      <c r="AB9795" s="318"/>
      <c r="AC9795" s="318"/>
      <c r="AD9795" s="318"/>
    </row>
    <row r="9796" spans="2:30" s="323" customFormat="1" ht="12" customHeight="1">
      <c r="B9796" s="324"/>
      <c r="C9796" s="325"/>
      <c r="D9796" s="326"/>
      <c r="E9796" s="326"/>
      <c r="F9796" s="326"/>
      <c r="G9796" s="326"/>
      <c r="H9796" s="326"/>
      <c r="P9796" s="318"/>
      <c r="Q9796" s="318"/>
      <c r="R9796" s="318"/>
      <c r="S9796" s="318"/>
      <c r="T9796" s="318"/>
      <c r="U9796" s="318"/>
      <c r="V9796" s="318"/>
      <c r="W9796" s="318"/>
      <c r="X9796" s="318"/>
      <c r="Y9796" s="318"/>
      <c r="Z9796" s="318"/>
      <c r="AA9796" s="318"/>
      <c r="AB9796" s="318"/>
      <c r="AC9796" s="318"/>
      <c r="AD9796" s="318"/>
    </row>
    <row r="9797" spans="2:30" s="323" customFormat="1" ht="12" customHeight="1">
      <c r="B9797" s="324"/>
      <c r="C9797" s="325"/>
      <c r="D9797" s="326"/>
      <c r="E9797" s="326"/>
      <c r="F9797" s="326"/>
      <c r="G9797" s="326"/>
      <c r="H9797" s="326"/>
      <c r="P9797" s="318"/>
      <c r="Q9797" s="318"/>
      <c r="R9797" s="318"/>
      <c r="S9797" s="318"/>
      <c r="T9797" s="318"/>
      <c r="U9797" s="318"/>
      <c r="V9797" s="318"/>
      <c r="W9797" s="318"/>
      <c r="X9797" s="318"/>
      <c r="Y9797" s="318"/>
      <c r="Z9797" s="318"/>
      <c r="AA9797" s="318"/>
      <c r="AB9797" s="318"/>
      <c r="AC9797" s="318"/>
      <c r="AD9797" s="318"/>
    </row>
    <row r="9798" spans="2:30" s="323" customFormat="1" ht="12" customHeight="1">
      <c r="B9798" s="324"/>
      <c r="C9798" s="325"/>
      <c r="D9798" s="326"/>
      <c r="E9798" s="326"/>
      <c r="F9798" s="326"/>
      <c r="G9798" s="326"/>
      <c r="H9798" s="326"/>
      <c r="P9798" s="318"/>
      <c r="Q9798" s="318"/>
      <c r="R9798" s="318"/>
      <c r="S9798" s="318"/>
      <c r="T9798" s="318"/>
      <c r="U9798" s="318"/>
      <c r="V9798" s="318"/>
      <c r="W9798" s="318"/>
      <c r="X9798" s="318"/>
      <c r="Y9798" s="318"/>
      <c r="Z9798" s="318"/>
      <c r="AA9798" s="318"/>
      <c r="AB9798" s="318"/>
      <c r="AC9798" s="318"/>
      <c r="AD9798" s="318"/>
    </row>
    <row r="9799" spans="2:30" s="323" customFormat="1" ht="12" customHeight="1">
      <c r="B9799" s="324"/>
      <c r="C9799" s="325"/>
      <c r="D9799" s="326"/>
      <c r="E9799" s="326"/>
      <c r="F9799" s="326"/>
      <c r="G9799" s="326"/>
      <c r="H9799" s="326"/>
      <c r="P9799" s="318"/>
      <c r="Q9799" s="318"/>
      <c r="R9799" s="318"/>
      <c r="S9799" s="318"/>
      <c r="T9799" s="318"/>
      <c r="U9799" s="318"/>
      <c r="V9799" s="318"/>
      <c r="W9799" s="318"/>
      <c r="X9799" s="318"/>
      <c r="Y9799" s="318"/>
      <c r="Z9799" s="318"/>
      <c r="AA9799" s="318"/>
      <c r="AB9799" s="318"/>
      <c r="AC9799" s="318"/>
      <c r="AD9799" s="318"/>
    </row>
    <row r="9800" spans="2:30" s="323" customFormat="1" ht="12" customHeight="1">
      <c r="B9800" s="324"/>
      <c r="C9800" s="325"/>
      <c r="D9800" s="326"/>
      <c r="E9800" s="326"/>
      <c r="F9800" s="326"/>
      <c r="G9800" s="326"/>
      <c r="H9800" s="326"/>
      <c r="P9800" s="318"/>
      <c r="Q9800" s="318"/>
      <c r="R9800" s="318"/>
      <c r="S9800" s="318"/>
      <c r="T9800" s="318"/>
      <c r="U9800" s="318"/>
      <c r="V9800" s="318"/>
      <c r="W9800" s="318"/>
      <c r="X9800" s="318"/>
      <c r="Y9800" s="318"/>
      <c r="Z9800" s="318"/>
      <c r="AA9800" s="318"/>
      <c r="AB9800" s="318"/>
      <c r="AC9800" s="318"/>
      <c r="AD9800" s="318"/>
    </row>
    <row r="9801" spans="2:30" s="323" customFormat="1" ht="12" customHeight="1">
      <c r="B9801" s="324"/>
      <c r="C9801" s="325"/>
      <c r="D9801" s="326"/>
      <c r="E9801" s="326"/>
      <c r="F9801" s="326"/>
      <c r="G9801" s="326"/>
      <c r="H9801" s="326"/>
      <c r="P9801" s="318"/>
      <c r="Q9801" s="318"/>
      <c r="R9801" s="318"/>
      <c r="S9801" s="318"/>
      <c r="T9801" s="318"/>
      <c r="U9801" s="318"/>
      <c r="V9801" s="318"/>
      <c r="W9801" s="318"/>
      <c r="X9801" s="318"/>
      <c r="Y9801" s="318"/>
      <c r="Z9801" s="318"/>
      <c r="AA9801" s="318"/>
      <c r="AB9801" s="318"/>
      <c r="AC9801" s="318"/>
      <c r="AD9801" s="318"/>
    </row>
    <row r="9802" spans="2:30" s="323" customFormat="1" ht="12" customHeight="1">
      <c r="B9802" s="324"/>
      <c r="C9802" s="325"/>
      <c r="D9802" s="326"/>
      <c r="E9802" s="326"/>
      <c r="F9802" s="326"/>
      <c r="G9802" s="326"/>
      <c r="H9802" s="326"/>
      <c r="P9802" s="318"/>
      <c r="Q9802" s="318"/>
      <c r="R9802" s="318"/>
      <c r="S9802" s="318"/>
      <c r="T9802" s="318"/>
      <c r="U9802" s="318"/>
      <c r="V9802" s="318"/>
      <c r="W9802" s="318"/>
      <c r="X9802" s="318"/>
      <c r="Y9802" s="318"/>
      <c r="Z9802" s="318"/>
      <c r="AA9802" s="318"/>
      <c r="AB9802" s="318"/>
      <c r="AC9802" s="318"/>
      <c r="AD9802" s="318"/>
    </row>
    <row r="9803" spans="2:30" s="323" customFormat="1" ht="12" customHeight="1">
      <c r="B9803" s="324"/>
      <c r="C9803" s="325"/>
      <c r="D9803" s="326"/>
      <c r="E9803" s="326"/>
      <c r="F9803" s="326"/>
      <c r="G9803" s="326"/>
      <c r="H9803" s="326"/>
      <c r="P9803" s="318"/>
      <c r="Q9803" s="318"/>
      <c r="R9803" s="318"/>
      <c r="S9803" s="318"/>
      <c r="T9803" s="318"/>
      <c r="U9803" s="318"/>
      <c r="V9803" s="318"/>
      <c r="W9803" s="318"/>
      <c r="X9803" s="318"/>
      <c r="Y9803" s="318"/>
      <c r="Z9803" s="318"/>
      <c r="AA9803" s="318"/>
      <c r="AB9803" s="318"/>
      <c r="AC9803" s="318"/>
      <c r="AD9803" s="318"/>
    </row>
    <row r="9804" spans="2:30" s="323" customFormat="1" ht="12" customHeight="1">
      <c r="B9804" s="324"/>
      <c r="C9804" s="325"/>
      <c r="D9804" s="326"/>
      <c r="E9804" s="326"/>
      <c r="F9804" s="326"/>
      <c r="G9804" s="326"/>
      <c r="H9804" s="326"/>
      <c r="P9804" s="318"/>
      <c r="Q9804" s="318"/>
      <c r="R9804" s="318"/>
      <c r="S9804" s="318"/>
      <c r="T9804" s="318"/>
      <c r="U9804" s="318"/>
      <c r="V9804" s="318"/>
      <c r="W9804" s="318"/>
      <c r="X9804" s="318"/>
      <c r="Y9804" s="318"/>
      <c r="Z9804" s="318"/>
      <c r="AA9804" s="318"/>
      <c r="AB9804" s="318"/>
      <c r="AC9804" s="318"/>
      <c r="AD9804" s="318"/>
    </row>
    <row r="9805" spans="2:30" s="323" customFormat="1" ht="12" customHeight="1">
      <c r="B9805" s="324"/>
      <c r="C9805" s="325"/>
      <c r="D9805" s="326"/>
      <c r="E9805" s="326"/>
      <c r="F9805" s="326"/>
      <c r="G9805" s="326"/>
      <c r="H9805" s="326"/>
      <c r="P9805" s="318"/>
      <c r="Q9805" s="318"/>
      <c r="R9805" s="318"/>
      <c r="S9805" s="318"/>
      <c r="T9805" s="318"/>
      <c r="U9805" s="318"/>
      <c r="V9805" s="318"/>
      <c r="W9805" s="318"/>
      <c r="X9805" s="318"/>
      <c r="Y9805" s="318"/>
      <c r="Z9805" s="318"/>
      <c r="AA9805" s="318"/>
      <c r="AB9805" s="318"/>
      <c r="AC9805" s="318"/>
      <c r="AD9805" s="318"/>
    </row>
    <row r="9806" spans="2:30" s="323" customFormat="1" ht="12" customHeight="1">
      <c r="B9806" s="324"/>
      <c r="C9806" s="325"/>
      <c r="D9806" s="326"/>
      <c r="E9806" s="326"/>
      <c r="F9806" s="326"/>
      <c r="G9806" s="326"/>
      <c r="H9806" s="326"/>
      <c r="P9806" s="318"/>
      <c r="Q9806" s="318"/>
      <c r="R9806" s="318"/>
      <c r="S9806" s="318"/>
      <c r="T9806" s="318"/>
      <c r="U9806" s="318"/>
      <c r="V9806" s="318"/>
      <c r="W9806" s="318"/>
      <c r="X9806" s="318"/>
      <c r="Y9806" s="318"/>
      <c r="Z9806" s="318"/>
      <c r="AA9806" s="318"/>
      <c r="AB9806" s="318"/>
      <c r="AC9806" s="318"/>
      <c r="AD9806" s="318"/>
    </row>
    <row r="9807" spans="2:30" s="323" customFormat="1" ht="12" customHeight="1">
      <c r="B9807" s="324"/>
      <c r="C9807" s="325"/>
      <c r="D9807" s="326"/>
      <c r="E9807" s="326"/>
      <c r="F9807" s="326"/>
      <c r="G9807" s="326"/>
      <c r="H9807" s="326"/>
      <c r="P9807" s="318"/>
      <c r="Q9807" s="318"/>
      <c r="R9807" s="318"/>
      <c r="S9807" s="318"/>
      <c r="T9807" s="318"/>
      <c r="U9807" s="318"/>
      <c r="V9807" s="318"/>
      <c r="W9807" s="318"/>
      <c r="X9807" s="318"/>
      <c r="Y9807" s="318"/>
      <c r="Z9807" s="318"/>
      <c r="AA9807" s="318"/>
      <c r="AB9807" s="318"/>
      <c r="AC9807" s="318"/>
      <c r="AD9807" s="318"/>
    </row>
    <row r="9808" spans="2:30" s="323" customFormat="1" ht="12" customHeight="1">
      <c r="B9808" s="324"/>
      <c r="C9808" s="325"/>
      <c r="D9808" s="326"/>
      <c r="E9808" s="326"/>
      <c r="F9808" s="326"/>
      <c r="G9808" s="326"/>
      <c r="H9808" s="326"/>
      <c r="P9808" s="318"/>
      <c r="Q9808" s="318"/>
      <c r="R9808" s="318"/>
      <c r="S9808" s="318"/>
      <c r="T9808" s="318"/>
      <c r="U9808" s="318"/>
      <c r="V9808" s="318"/>
      <c r="W9808" s="318"/>
      <c r="X9808" s="318"/>
      <c r="Y9808" s="318"/>
      <c r="Z9808" s="318"/>
      <c r="AA9808" s="318"/>
      <c r="AB9808" s="318"/>
      <c r="AC9808" s="318"/>
      <c r="AD9808" s="318"/>
    </row>
    <row r="9809" spans="2:30" s="323" customFormat="1" ht="12" customHeight="1">
      <c r="B9809" s="324"/>
      <c r="C9809" s="325"/>
      <c r="D9809" s="326"/>
      <c r="E9809" s="326"/>
      <c r="F9809" s="326"/>
      <c r="G9809" s="326"/>
      <c r="H9809" s="326"/>
      <c r="P9809" s="318"/>
      <c r="Q9809" s="318"/>
      <c r="R9809" s="318"/>
      <c r="S9809" s="318"/>
      <c r="T9809" s="318"/>
      <c r="U9809" s="318"/>
      <c r="V9809" s="318"/>
      <c r="W9809" s="318"/>
      <c r="X9809" s="318"/>
      <c r="Y9809" s="318"/>
      <c r="Z9809" s="318"/>
      <c r="AA9809" s="318"/>
      <c r="AB9809" s="318"/>
      <c r="AC9809" s="318"/>
      <c r="AD9809" s="318"/>
    </row>
    <row r="9810" spans="2:30" s="323" customFormat="1" ht="12" customHeight="1">
      <c r="B9810" s="324"/>
      <c r="C9810" s="325"/>
      <c r="D9810" s="326"/>
      <c r="E9810" s="326"/>
      <c r="F9810" s="326"/>
      <c r="G9810" s="326"/>
      <c r="H9810" s="326"/>
      <c r="P9810" s="318"/>
      <c r="Q9810" s="318"/>
      <c r="R9810" s="318"/>
      <c r="S9810" s="318"/>
      <c r="T9810" s="318"/>
      <c r="U9810" s="318"/>
      <c r="V9810" s="318"/>
      <c r="W9810" s="318"/>
      <c r="X9810" s="318"/>
      <c r="Y9810" s="318"/>
      <c r="Z9810" s="318"/>
      <c r="AA9810" s="318"/>
      <c r="AB9810" s="318"/>
      <c r="AC9810" s="318"/>
      <c r="AD9810" s="318"/>
    </row>
    <row r="9811" spans="2:30" s="323" customFormat="1" ht="12" customHeight="1">
      <c r="B9811" s="324"/>
      <c r="C9811" s="325"/>
      <c r="D9811" s="326"/>
      <c r="E9811" s="326"/>
      <c r="F9811" s="326"/>
      <c r="G9811" s="326"/>
      <c r="H9811" s="326"/>
      <c r="P9811" s="318"/>
      <c r="Q9811" s="318"/>
      <c r="R9811" s="318"/>
      <c r="S9811" s="318"/>
      <c r="T9811" s="318"/>
      <c r="U9811" s="318"/>
      <c r="V9811" s="318"/>
      <c r="W9811" s="318"/>
      <c r="X9811" s="318"/>
      <c r="Y9811" s="318"/>
      <c r="Z9811" s="318"/>
      <c r="AA9811" s="318"/>
      <c r="AB9811" s="318"/>
      <c r="AC9811" s="318"/>
      <c r="AD9811" s="318"/>
    </row>
    <row r="9812" spans="2:30" s="323" customFormat="1" ht="12" customHeight="1">
      <c r="B9812" s="324"/>
      <c r="C9812" s="325"/>
      <c r="D9812" s="326"/>
      <c r="E9812" s="326"/>
      <c r="F9812" s="326"/>
      <c r="G9812" s="326"/>
      <c r="H9812" s="326"/>
      <c r="P9812" s="318"/>
      <c r="Q9812" s="318"/>
      <c r="R9812" s="318"/>
      <c r="S9812" s="318"/>
      <c r="T9812" s="318"/>
      <c r="U9812" s="318"/>
      <c r="V9812" s="318"/>
      <c r="W9812" s="318"/>
      <c r="X9812" s="318"/>
      <c r="Y9812" s="318"/>
      <c r="Z9812" s="318"/>
      <c r="AA9812" s="318"/>
      <c r="AB9812" s="318"/>
      <c r="AC9812" s="318"/>
      <c r="AD9812" s="318"/>
    </row>
    <row r="9813" spans="2:30" s="323" customFormat="1" ht="12" customHeight="1">
      <c r="B9813" s="324"/>
      <c r="C9813" s="325"/>
      <c r="D9813" s="326"/>
      <c r="E9813" s="326"/>
      <c r="F9813" s="326"/>
      <c r="G9813" s="326"/>
      <c r="H9813" s="326"/>
      <c r="P9813" s="318"/>
      <c r="Q9813" s="318"/>
      <c r="R9813" s="318"/>
      <c r="S9813" s="318"/>
      <c r="T9813" s="318"/>
      <c r="U9813" s="318"/>
      <c r="V9813" s="318"/>
      <c r="W9813" s="318"/>
      <c r="X9813" s="318"/>
      <c r="Y9813" s="318"/>
      <c r="Z9813" s="318"/>
      <c r="AA9813" s="318"/>
      <c r="AB9813" s="318"/>
      <c r="AC9813" s="318"/>
      <c r="AD9813" s="318"/>
    </row>
    <row r="9814" spans="2:30" s="323" customFormat="1" ht="12" customHeight="1">
      <c r="B9814" s="324"/>
      <c r="C9814" s="325"/>
      <c r="D9814" s="326"/>
      <c r="E9814" s="326"/>
      <c r="F9814" s="326"/>
      <c r="G9814" s="326"/>
      <c r="H9814" s="326"/>
      <c r="P9814" s="318"/>
      <c r="Q9814" s="318"/>
      <c r="R9814" s="318"/>
      <c r="S9814" s="318"/>
      <c r="T9814" s="318"/>
      <c r="U9814" s="318"/>
      <c r="V9814" s="318"/>
      <c r="W9814" s="318"/>
      <c r="X9814" s="318"/>
      <c r="Y9814" s="318"/>
      <c r="Z9814" s="318"/>
      <c r="AA9814" s="318"/>
      <c r="AB9814" s="318"/>
      <c r="AC9814" s="318"/>
      <c r="AD9814" s="318"/>
    </row>
    <row r="9815" spans="2:30" s="323" customFormat="1" ht="12" customHeight="1">
      <c r="B9815" s="324"/>
      <c r="C9815" s="325"/>
      <c r="D9815" s="326"/>
      <c r="E9815" s="326"/>
      <c r="F9815" s="326"/>
      <c r="G9815" s="326"/>
      <c r="H9815" s="326"/>
      <c r="P9815" s="318"/>
      <c r="Q9815" s="318"/>
      <c r="R9815" s="318"/>
      <c r="S9815" s="318"/>
      <c r="T9815" s="318"/>
      <c r="U9815" s="318"/>
      <c r="V9815" s="318"/>
      <c r="W9815" s="318"/>
      <c r="X9815" s="318"/>
      <c r="Y9815" s="318"/>
      <c r="Z9815" s="318"/>
      <c r="AA9815" s="318"/>
      <c r="AB9815" s="318"/>
      <c r="AC9815" s="318"/>
      <c r="AD9815" s="318"/>
    </row>
    <row r="9816" spans="2:30" s="323" customFormat="1" ht="12" customHeight="1">
      <c r="B9816" s="324"/>
      <c r="C9816" s="325"/>
      <c r="D9816" s="326"/>
      <c r="E9816" s="326"/>
      <c r="F9816" s="326"/>
      <c r="G9816" s="326"/>
      <c r="H9816" s="326"/>
      <c r="P9816" s="318"/>
      <c r="Q9816" s="318"/>
      <c r="R9816" s="318"/>
      <c r="S9816" s="318"/>
      <c r="T9816" s="318"/>
      <c r="U9816" s="318"/>
      <c r="V9816" s="318"/>
      <c r="W9816" s="318"/>
      <c r="X9816" s="318"/>
      <c r="Y9816" s="318"/>
      <c r="Z9816" s="318"/>
      <c r="AA9816" s="318"/>
      <c r="AB9816" s="318"/>
      <c r="AC9816" s="318"/>
      <c r="AD9816" s="318"/>
    </row>
    <row r="9817" spans="2:30" s="323" customFormat="1" ht="12" customHeight="1">
      <c r="B9817" s="324"/>
      <c r="C9817" s="325"/>
      <c r="D9817" s="326"/>
      <c r="E9817" s="326"/>
      <c r="F9817" s="326"/>
      <c r="G9817" s="326"/>
      <c r="H9817" s="326"/>
      <c r="P9817" s="318"/>
      <c r="Q9817" s="318"/>
      <c r="R9817" s="318"/>
      <c r="S9817" s="318"/>
      <c r="T9817" s="318"/>
      <c r="U9817" s="318"/>
      <c r="V9817" s="318"/>
      <c r="W9817" s="318"/>
      <c r="X9817" s="318"/>
      <c r="Y9817" s="318"/>
      <c r="Z9817" s="318"/>
      <c r="AA9817" s="318"/>
      <c r="AB9817" s="318"/>
      <c r="AC9817" s="318"/>
      <c r="AD9817" s="318"/>
    </row>
    <row r="9818" spans="2:30" s="323" customFormat="1" ht="12" customHeight="1">
      <c r="B9818" s="324"/>
      <c r="C9818" s="325"/>
      <c r="D9818" s="326"/>
      <c r="E9818" s="326"/>
      <c r="F9818" s="326"/>
      <c r="G9818" s="326"/>
      <c r="H9818" s="326"/>
      <c r="P9818" s="318"/>
      <c r="Q9818" s="318"/>
      <c r="R9818" s="318"/>
      <c r="S9818" s="318"/>
      <c r="T9818" s="318"/>
      <c r="U9818" s="318"/>
      <c r="V9818" s="318"/>
      <c r="W9818" s="318"/>
      <c r="X9818" s="318"/>
      <c r="Y9818" s="318"/>
      <c r="Z9818" s="318"/>
      <c r="AA9818" s="318"/>
      <c r="AB9818" s="318"/>
      <c r="AC9818" s="318"/>
      <c r="AD9818" s="318"/>
    </row>
    <row r="9819" spans="2:30" s="323" customFormat="1" ht="12" customHeight="1">
      <c r="B9819" s="324"/>
      <c r="C9819" s="325"/>
      <c r="D9819" s="326"/>
      <c r="E9819" s="326"/>
      <c r="F9819" s="326"/>
      <c r="G9819" s="326"/>
      <c r="H9819" s="326"/>
      <c r="P9819" s="318"/>
      <c r="Q9819" s="318"/>
      <c r="R9819" s="318"/>
      <c r="S9819" s="318"/>
      <c r="T9819" s="318"/>
      <c r="U9819" s="318"/>
      <c r="V9819" s="318"/>
      <c r="W9819" s="318"/>
      <c r="X9819" s="318"/>
      <c r="Y9819" s="318"/>
      <c r="Z9819" s="318"/>
      <c r="AA9819" s="318"/>
      <c r="AB9819" s="318"/>
      <c r="AC9819" s="318"/>
      <c r="AD9819" s="318"/>
    </row>
    <row r="9820" spans="2:30" s="323" customFormat="1" ht="12" customHeight="1">
      <c r="B9820" s="324"/>
      <c r="C9820" s="325"/>
      <c r="D9820" s="326"/>
      <c r="E9820" s="326"/>
      <c r="F9820" s="326"/>
      <c r="G9820" s="326"/>
      <c r="H9820" s="326"/>
      <c r="P9820" s="318"/>
      <c r="Q9820" s="318"/>
      <c r="R9820" s="318"/>
      <c r="S9820" s="318"/>
      <c r="T9820" s="318"/>
      <c r="U9820" s="318"/>
      <c r="V9820" s="318"/>
      <c r="W9820" s="318"/>
      <c r="X9820" s="318"/>
      <c r="Y9820" s="318"/>
      <c r="Z9820" s="318"/>
      <c r="AA9820" s="318"/>
      <c r="AB9820" s="318"/>
      <c r="AC9820" s="318"/>
      <c r="AD9820" s="318"/>
    </row>
    <row r="9821" spans="2:30" s="323" customFormat="1" ht="12" customHeight="1">
      <c r="B9821" s="324"/>
      <c r="C9821" s="325"/>
      <c r="D9821" s="326"/>
      <c r="E9821" s="326"/>
      <c r="F9821" s="326"/>
      <c r="G9821" s="326"/>
      <c r="H9821" s="326"/>
      <c r="P9821" s="318"/>
      <c r="Q9821" s="318"/>
      <c r="R9821" s="318"/>
      <c r="S9821" s="318"/>
      <c r="T9821" s="318"/>
      <c r="U9821" s="318"/>
      <c r="V9821" s="318"/>
      <c r="W9821" s="318"/>
      <c r="X9821" s="318"/>
      <c r="Y9821" s="318"/>
      <c r="Z9821" s="318"/>
      <c r="AA9821" s="318"/>
      <c r="AB9821" s="318"/>
      <c r="AC9821" s="318"/>
      <c r="AD9821" s="318"/>
    </row>
    <row r="9822" spans="2:30" s="323" customFormat="1" ht="12" customHeight="1">
      <c r="B9822" s="324"/>
      <c r="C9822" s="325"/>
      <c r="D9822" s="326"/>
      <c r="E9822" s="326"/>
      <c r="F9822" s="326"/>
      <c r="G9822" s="326"/>
      <c r="H9822" s="326"/>
      <c r="P9822" s="318"/>
      <c r="Q9822" s="318"/>
      <c r="R9822" s="318"/>
      <c r="S9822" s="318"/>
      <c r="T9822" s="318"/>
      <c r="U9822" s="318"/>
      <c r="V9822" s="318"/>
      <c r="W9822" s="318"/>
      <c r="X9822" s="318"/>
      <c r="Y9822" s="318"/>
      <c r="Z9822" s="318"/>
      <c r="AA9822" s="318"/>
      <c r="AB9822" s="318"/>
      <c r="AC9822" s="318"/>
      <c r="AD9822" s="318"/>
    </row>
    <row r="9823" spans="2:30" s="323" customFormat="1" ht="12" customHeight="1">
      <c r="B9823" s="324"/>
      <c r="C9823" s="325"/>
      <c r="D9823" s="326"/>
      <c r="E9823" s="326"/>
      <c r="F9823" s="326"/>
      <c r="G9823" s="326"/>
      <c r="H9823" s="326"/>
      <c r="P9823" s="318"/>
      <c r="Q9823" s="318"/>
      <c r="R9823" s="318"/>
      <c r="S9823" s="318"/>
      <c r="T9823" s="318"/>
      <c r="U9823" s="318"/>
      <c r="V9823" s="318"/>
      <c r="W9823" s="318"/>
      <c r="X9823" s="318"/>
      <c r="Y9823" s="318"/>
      <c r="Z9823" s="318"/>
      <c r="AA9823" s="318"/>
      <c r="AB9823" s="318"/>
      <c r="AC9823" s="318"/>
      <c r="AD9823" s="318"/>
    </row>
    <row r="9824" spans="2:30" s="323" customFormat="1" ht="12" customHeight="1">
      <c r="B9824" s="324"/>
      <c r="C9824" s="325"/>
      <c r="D9824" s="326"/>
      <c r="E9824" s="326"/>
      <c r="F9824" s="326"/>
      <c r="G9824" s="326"/>
      <c r="H9824" s="326"/>
      <c r="P9824" s="318"/>
      <c r="Q9824" s="318"/>
      <c r="R9824" s="318"/>
      <c r="S9824" s="318"/>
      <c r="T9824" s="318"/>
      <c r="U9824" s="318"/>
      <c r="V9824" s="318"/>
      <c r="W9824" s="318"/>
      <c r="X9824" s="318"/>
      <c r="Y9824" s="318"/>
      <c r="Z9824" s="318"/>
      <c r="AA9824" s="318"/>
      <c r="AB9824" s="318"/>
      <c r="AC9824" s="318"/>
      <c r="AD9824" s="318"/>
    </row>
    <row r="9825" spans="2:30" s="323" customFormat="1" ht="12" customHeight="1">
      <c r="B9825" s="324"/>
      <c r="C9825" s="325"/>
      <c r="D9825" s="326"/>
      <c r="E9825" s="326"/>
      <c r="F9825" s="326"/>
      <c r="G9825" s="326"/>
      <c r="H9825" s="326"/>
      <c r="P9825" s="318"/>
      <c r="Q9825" s="318"/>
      <c r="R9825" s="318"/>
      <c r="S9825" s="318"/>
      <c r="T9825" s="318"/>
      <c r="U9825" s="318"/>
      <c r="V9825" s="318"/>
      <c r="W9825" s="318"/>
      <c r="X9825" s="318"/>
      <c r="Y9825" s="318"/>
      <c r="Z9825" s="318"/>
      <c r="AA9825" s="318"/>
      <c r="AB9825" s="318"/>
      <c r="AC9825" s="318"/>
      <c r="AD9825" s="318"/>
    </row>
    <row r="9826" spans="2:30" s="323" customFormat="1" ht="12" customHeight="1">
      <c r="B9826" s="324"/>
      <c r="C9826" s="325"/>
      <c r="D9826" s="326"/>
      <c r="E9826" s="326"/>
      <c r="F9826" s="326"/>
      <c r="G9826" s="326"/>
      <c r="H9826" s="326"/>
      <c r="P9826" s="318"/>
      <c r="Q9826" s="318"/>
      <c r="R9826" s="318"/>
      <c r="S9826" s="318"/>
      <c r="T9826" s="318"/>
      <c r="U9826" s="318"/>
      <c r="V9826" s="318"/>
      <c r="W9826" s="318"/>
      <c r="X9826" s="318"/>
      <c r="Y9826" s="318"/>
      <c r="Z9826" s="318"/>
      <c r="AA9826" s="318"/>
      <c r="AB9826" s="318"/>
      <c r="AC9826" s="318"/>
      <c r="AD9826" s="318"/>
    </row>
    <row r="9827" spans="2:30" s="323" customFormat="1" ht="12" customHeight="1">
      <c r="B9827" s="324"/>
      <c r="C9827" s="325"/>
      <c r="D9827" s="326"/>
      <c r="E9827" s="326"/>
      <c r="F9827" s="326"/>
      <c r="G9827" s="326"/>
      <c r="H9827" s="326"/>
      <c r="P9827" s="318"/>
      <c r="Q9827" s="318"/>
      <c r="R9827" s="318"/>
      <c r="S9827" s="318"/>
      <c r="T9827" s="318"/>
      <c r="U9827" s="318"/>
      <c r="V9827" s="318"/>
      <c r="W9827" s="318"/>
      <c r="X9827" s="318"/>
      <c r="Y9827" s="318"/>
      <c r="Z9827" s="318"/>
      <c r="AA9827" s="318"/>
      <c r="AB9827" s="318"/>
      <c r="AC9827" s="318"/>
      <c r="AD9827" s="318"/>
    </row>
    <row r="9828" spans="2:30" s="323" customFormat="1" ht="12" customHeight="1">
      <c r="B9828" s="324"/>
      <c r="C9828" s="325"/>
      <c r="D9828" s="326"/>
      <c r="E9828" s="326"/>
      <c r="F9828" s="326"/>
      <c r="G9828" s="326"/>
      <c r="H9828" s="326"/>
      <c r="P9828" s="318"/>
      <c r="Q9828" s="318"/>
      <c r="R9828" s="318"/>
      <c r="S9828" s="318"/>
      <c r="T9828" s="318"/>
      <c r="U9828" s="318"/>
      <c r="V9828" s="318"/>
      <c r="W9828" s="318"/>
      <c r="X9828" s="318"/>
      <c r="Y9828" s="318"/>
      <c r="Z9828" s="318"/>
      <c r="AA9828" s="318"/>
      <c r="AB9828" s="318"/>
      <c r="AC9828" s="318"/>
      <c r="AD9828" s="318"/>
    </row>
    <row r="9829" spans="2:30" s="323" customFormat="1" ht="12" customHeight="1">
      <c r="B9829" s="324"/>
      <c r="C9829" s="325"/>
      <c r="D9829" s="326"/>
      <c r="E9829" s="326"/>
      <c r="F9829" s="326"/>
      <c r="G9829" s="326"/>
      <c r="H9829" s="326"/>
      <c r="P9829" s="318"/>
      <c r="Q9829" s="318"/>
      <c r="R9829" s="318"/>
      <c r="S9829" s="318"/>
      <c r="T9829" s="318"/>
      <c r="U9829" s="318"/>
      <c r="V9829" s="318"/>
      <c r="W9829" s="318"/>
      <c r="X9829" s="318"/>
      <c r="Y9829" s="318"/>
      <c r="Z9829" s="318"/>
      <c r="AA9829" s="318"/>
      <c r="AB9829" s="318"/>
      <c r="AC9829" s="318"/>
      <c r="AD9829" s="318"/>
    </row>
    <row r="9830" spans="2:30" s="323" customFormat="1" ht="12" customHeight="1">
      <c r="B9830" s="324"/>
      <c r="C9830" s="325"/>
      <c r="D9830" s="326"/>
      <c r="E9830" s="326"/>
      <c r="F9830" s="326"/>
      <c r="G9830" s="326"/>
      <c r="H9830" s="326"/>
      <c r="P9830" s="318"/>
      <c r="Q9830" s="318"/>
      <c r="R9830" s="318"/>
      <c r="S9830" s="318"/>
      <c r="T9830" s="318"/>
      <c r="U9830" s="318"/>
      <c r="V9830" s="318"/>
      <c r="W9830" s="318"/>
      <c r="X9830" s="318"/>
      <c r="Y9830" s="318"/>
      <c r="Z9830" s="318"/>
      <c r="AA9830" s="318"/>
      <c r="AB9830" s="318"/>
      <c r="AC9830" s="318"/>
      <c r="AD9830" s="318"/>
    </row>
    <row r="9831" spans="2:30" s="323" customFormat="1" ht="12" customHeight="1">
      <c r="B9831" s="324"/>
      <c r="C9831" s="325"/>
      <c r="D9831" s="326"/>
      <c r="E9831" s="326"/>
      <c r="F9831" s="326"/>
      <c r="G9831" s="326"/>
      <c r="H9831" s="326"/>
      <c r="P9831" s="318"/>
      <c r="Q9831" s="318"/>
      <c r="R9831" s="318"/>
      <c r="S9831" s="318"/>
      <c r="T9831" s="318"/>
      <c r="U9831" s="318"/>
      <c r="V9831" s="318"/>
      <c r="W9831" s="318"/>
      <c r="X9831" s="318"/>
      <c r="Y9831" s="318"/>
      <c r="Z9831" s="318"/>
      <c r="AA9831" s="318"/>
      <c r="AB9831" s="318"/>
      <c r="AC9831" s="318"/>
      <c r="AD9831" s="318"/>
    </row>
    <row r="9832" spans="2:30" s="323" customFormat="1" ht="12" customHeight="1">
      <c r="B9832" s="324"/>
      <c r="C9832" s="325"/>
      <c r="D9832" s="326"/>
      <c r="E9832" s="326"/>
      <c r="F9832" s="326"/>
      <c r="G9832" s="326"/>
      <c r="H9832" s="326"/>
      <c r="P9832" s="318"/>
      <c r="Q9832" s="318"/>
      <c r="R9832" s="318"/>
      <c r="S9832" s="318"/>
      <c r="T9832" s="318"/>
      <c r="U9832" s="318"/>
      <c r="V9832" s="318"/>
      <c r="W9832" s="318"/>
      <c r="X9832" s="318"/>
      <c r="Y9832" s="318"/>
      <c r="Z9832" s="318"/>
      <c r="AA9832" s="318"/>
      <c r="AB9832" s="318"/>
      <c r="AC9832" s="318"/>
      <c r="AD9832" s="318"/>
    </row>
    <row r="9833" spans="2:30" s="323" customFormat="1" ht="12" customHeight="1">
      <c r="B9833" s="324"/>
      <c r="C9833" s="325"/>
      <c r="D9833" s="326"/>
      <c r="E9833" s="326"/>
      <c r="F9833" s="326"/>
      <c r="G9833" s="326"/>
      <c r="H9833" s="326"/>
      <c r="P9833" s="318"/>
      <c r="Q9833" s="318"/>
      <c r="R9833" s="318"/>
      <c r="S9833" s="318"/>
      <c r="T9833" s="318"/>
      <c r="U9833" s="318"/>
      <c r="V9833" s="318"/>
      <c r="W9833" s="318"/>
      <c r="X9833" s="318"/>
      <c r="Y9833" s="318"/>
      <c r="Z9833" s="318"/>
      <c r="AA9833" s="318"/>
      <c r="AB9833" s="318"/>
      <c r="AC9833" s="318"/>
      <c r="AD9833" s="318"/>
    </row>
    <row r="9834" spans="2:30" s="323" customFormat="1" ht="12" customHeight="1">
      <c r="B9834" s="324"/>
      <c r="C9834" s="325"/>
      <c r="D9834" s="326"/>
      <c r="E9834" s="326"/>
      <c r="F9834" s="326"/>
      <c r="G9834" s="326"/>
      <c r="H9834" s="326"/>
      <c r="P9834" s="318"/>
      <c r="Q9834" s="318"/>
      <c r="R9834" s="318"/>
      <c r="S9834" s="318"/>
      <c r="T9834" s="318"/>
      <c r="U9834" s="318"/>
      <c r="V9834" s="318"/>
      <c r="W9834" s="318"/>
      <c r="X9834" s="318"/>
      <c r="Y9834" s="318"/>
      <c r="Z9834" s="318"/>
      <c r="AA9834" s="318"/>
      <c r="AB9834" s="318"/>
      <c r="AC9834" s="318"/>
      <c r="AD9834" s="318"/>
    </row>
    <row r="9835" spans="2:30" s="323" customFormat="1" ht="12" customHeight="1">
      <c r="B9835" s="324"/>
      <c r="C9835" s="325"/>
      <c r="D9835" s="326"/>
      <c r="E9835" s="326"/>
      <c r="F9835" s="326"/>
      <c r="G9835" s="326"/>
      <c r="H9835" s="326"/>
      <c r="P9835" s="318"/>
      <c r="Q9835" s="318"/>
      <c r="R9835" s="318"/>
      <c r="S9835" s="318"/>
      <c r="T9835" s="318"/>
      <c r="U9835" s="318"/>
      <c r="V9835" s="318"/>
      <c r="W9835" s="318"/>
      <c r="X9835" s="318"/>
      <c r="Y9835" s="318"/>
      <c r="Z9835" s="318"/>
      <c r="AA9835" s="318"/>
      <c r="AB9835" s="318"/>
      <c r="AC9835" s="318"/>
      <c r="AD9835" s="318"/>
    </row>
    <row r="9836" spans="2:30" s="323" customFormat="1" ht="12" customHeight="1">
      <c r="B9836" s="324"/>
      <c r="C9836" s="325"/>
      <c r="D9836" s="326"/>
      <c r="E9836" s="326"/>
      <c r="F9836" s="326"/>
      <c r="G9836" s="326"/>
      <c r="H9836" s="326"/>
      <c r="P9836" s="318"/>
      <c r="Q9836" s="318"/>
      <c r="R9836" s="318"/>
      <c r="S9836" s="318"/>
      <c r="T9836" s="318"/>
      <c r="U9836" s="318"/>
      <c r="V9836" s="318"/>
      <c r="W9836" s="318"/>
      <c r="X9836" s="318"/>
      <c r="Y9836" s="318"/>
      <c r="Z9836" s="318"/>
      <c r="AA9836" s="318"/>
      <c r="AB9836" s="318"/>
      <c r="AC9836" s="318"/>
      <c r="AD9836" s="318"/>
    </row>
    <row r="9837" spans="2:30" s="323" customFormat="1" ht="12" customHeight="1">
      <c r="B9837" s="324"/>
      <c r="C9837" s="325"/>
      <c r="D9837" s="326"/>
      <c r="E9837" s="326"/>
      <c r="F9837" s="326"/>
      <c r="G9837" s="326"/>
      <c r="H9837" s="326"/>
      <c r="P9837" s="318"/>
      <c r="Q9837" s="318"/>
      <c r="R9837" s="318"/>
      <c r="S9837" s="318"/>
      <c r="T9837" s="318"/>
      <c r="U9837" s="318"/>
      <c r="V9837" s="318"/>
      <c r="W9837" s="318"/>
      <c r="X9837" s="318"/>
      <c r="Y9837" s="318"/>
      <c r="Z9837" s="318"/>
      <c r="AA9837" s="318"/>
      <c r="AB9837" s="318"/>
      <c r="AC9837" s="318"/>
      <c r="AD9837" s="318"/>
    </row>
    <row r="9838" spans="2:30" s="323" customFormat="1" ht="12" customHeight="1">
      <c r="B9838" s="324"/>
      <c r="C9838" s="325"/>
      <c r="D9838" s="326"/>
      <c r="E9838" s="326"/>
      <c r="F9838" s="326"/>
      <c r="G9838" s="326"/>
      <c r="H9838" s="326"/>
      <c r="P9838" s="318"/>
      <c r="Q9838" s="318"/>
      <c r="R9838" s="318"/>
      <c r="S9838" s="318"/>
      <c r="T9838" s="318"/>
      <c r="U9838" s="318"/>
      <c r="V9838" s="318"/>
      <c r="W9838" s="318"/>
      <c r="X9838" s="318"/>
      <c r="Y9838" s="318"/>
      <c r="Z9838" s="318"/>
      <c r="AA9838" s="318"/>
      <c r="AB9838" s="318"/>
      <c r="AC9838" s="318"/>
      <c r="AD9838" s="318"/>
    </row>
    <row r="9839" spans="2:30" s="323" customFormat="1" ht="12" customHeight="1">
      <c r="B9839" s="324"/>
      <c r="C9839" s="325"/>
      <c r="D9839" s="326"/>
      <c r="E9839" s="326"/>
      <c r="F9839" s="326"/>
      <c r="G9839" s="326"/>
      <c r="H9839" s="326"/>
      <c r="P9839" s="318"/>
      <c r="Q9839" s="318"/>
      <c r="R9839" s="318"/>
      <c r="S9839" s="318"/>
      <c r="T9839" s="318"/>
      <c r="U9839" s="318"/>
      <c r="V9839" s="318"/>
      <c r="W9839" s="318"/>
      <c r="X9839" s="318"/>
      <c r="Y9839" s="318"/>
      <c r="Z9839" s="318"/>
      <c r="AA9839" s="318"/>
      <c r="AB9839" s="318"/>
      <c r="AC9839" s="318"/>
      <c r="AD9839" s="318"/>
    </row>
    <row r="9840" spans="2:30" s="323" customFormat="1" ht="12" customHeight="1">
      <c r="B9840" s="324"/>
      <c r="C9840" s="325"/>
      <c r="D9840" s="326"/>
      <c r="E9840" s="326"/>
      <c r="F9840" s="326"/>
      <c r="G9840" s="326"/>
      <c r="H9840" s="326"/>
      <c r="P9840" s="318"/>
      <c r="Q9840" s="318"/>
      <c r="R9840" s="318"/>
      <c r="S9840" s="318"/>
      <c r="T9840" s="318"/>
      <c r="U9840" s="318"/>
      <c r="V9840" s="318"/>
      <c r="W9840" s="318"/>
      <c r="X9840" s="318"/>
      <c r="Y9840" s="318"/>
      <c r="Z9840" s="318"/>
      <c r="AA9840" s="318"/>
      <c r="AB9840" s="318"/>
      <c r="AC9840" s="318"/>
      <c r="AD9840" s="318"/>
    </row>
    <row r="9841" spans="2:30" s="323" customFormat="1" ht="12" customHeight="1">
      <c r="B9841" s="324"/>
      <c r="C9841" s="325"/>
      <c r="D9841" s="326"/>
      <c r="E9841" s="326"/>
      <c r="F9841" s="326"/>
      <c r="G9841" s="326"/>
      <c r="H9841" s="326"/>
      <c r="P9841" s="318"/>
      <c r="Q9841" s="318"/>
      <c r="R9841" s="318"/>
      <c r="S9841" s="318"/>
      <c r="T9841" s="318"/>
      <c r="U9841" s="318"/>
      <c r="V9841" s="318"/>
      <c r="W9841" s="318"/>
      <c r="X9841" s="318"/>
      <c r="Y9841" s="318"/>
      <c r="Z9841" s="318"/>
      <c r="AA9841" s="318"/>
      <c r="AB9841" s="318"/>
      <c r="AC9841" s="318"/>
      <c r="AD9841" s="318"/>
    </row>
    <row r="9842" spans="2:30" s="323" customFormat="1" ht="12" customHeight="1">
      <c r="B9842" s="324"/>
      <c r="C9842" s="325"/>
      <c r="D9842" s="326"/>
      <c r="E9842" s="326"/>
      <c r="F9842" s="326"/>
      <c r="G9842" s="326"/>
      <c r="H9842" s="326"/>
      <c r="P9842" s="318"/>
      <c r="Q9842" s="318"/>
      <c r="R9842" s="318"/>
      <c r="S9842" s="318"/>
      <c r="T9842" s="318"/>
      <c r="U9842" s="318"/>
      <c r="V9842" s="318"/>
      <c r="W9842" s="318"/>
      <c r="X9842" s="318"/>
      <c r="Y9842" s="318"/>
      <c r="Z9842" s="318"/>
      <c r="AA9842" s="318"/>
      <c r="AB9842" s="318"/>
      <c r="AC9842" s="318"/>
      <c r="AD9842" s="318"/>
    </row>
    <row r="9843" spans="2:30" s="323" customFormat="1" ht="12" customHeight="1">
      <c r="B9843" s="324"/>
      <c r="C9843" s="325"/>
      <c r="D9843" s="326"/>
      <c r="E9843" s="326"/>
      <c r="F9843" s="326"/>
      <c r="G9843" s="326"/>
      <c r="H9843" s="326"/>
      <c r="P9843" s="318"/>
      <c r="Q9843" s="318"/>
      <c r="R9843" s="318"/>
      <c r="S9843" s="318"/>
      <c r="T9843" s="318"/>
      <c r="U9843" s="318"/>
      <c r="V9843" s="318"/>
      <c r="W9843" s="318"/>
      <c r="X9843" s="318"/>
      <c r="Y9843" s="318"/>
      <c r="Z9843" s="318"/>
      <c r="AA9843" s="318"/>
      <c r="AB9843" s="318"/>
      <c r="AC9843" s="318"/>
      <c r="AD9843" s="318"/>
    </row>
    <row r="9844" spans="2:30" s="323" customFormat="1" ht="12" customHeight="1">
      <c r="B9844" s="324"/>
      <c r="C9844" s="325"/>
      <c r="D9844" s="326"/>
      <c r="E9844" s="326"/>
      <c r="F9844" s="326"/>
      <c r="G9844" s="326"/>
      <c r="H9844" s="326"/>
      <c r="P9844" s="318"/>
      <c r="Q9844" s="318"/>
      <c r="R9844" s="318"/>
      <c r="S9844" s="318"/>
      <c r="T9844" s="318"/>
      <c r="U9844" s="318"/>
      <c r="V9844" s="318"/>
      <c r="W9844" s="318"/>
      <c r="X9844" s="318"/>
      <c r="Y9844" s="318"/>
      <c r="Z9844" s="318"/>
      <c r="AA9844" s="318"/>
      <c r="AB9844" s="318"/>
      <c r="AC9844" s="318"/>
      <c r="AD9844" s="318"/>
    </row>
    <row r="9845" spans="2:30" s="323" customFormat="1" ht="12" customHeight="1">
      <c r="B9845" s="324"/>
      <c r="C9845" s="325"/>
      <c r="D9845" s="326"/>
      <c r="E9845" s="326"/>
      <c r="F9845" s="326"/>
      <c r="G9845" s="326"/>
      <c r="H9845" s="326"/>
      <c r="P9845" s="318"/>
      <c r="Q9845" s="318"/>
      <c r="R9845" s="318"/>
      <c r="S9845" s="318"/>
      <c r="T9845" s="318"/>
      <c r="U9845" s="318"/>
      <c r="V9845" s="318"/>
      <c r="W9845" s="318"/>
      <c r="X9845" s="318"/>
      <c r="Y9845" s="318"/>
      <c r="Z9845" s="318"/>
      <c r="AA9845" s="318"/>
      <c r="AB9845" s="318"/>
      <c r="AC9845" s="318"/>
      <c r="AD9845" s="318"/>
    </row>
    <row r="9846" spans="2:30" s="323" customFormat="1" ht="12" customHeight="1">
      <c r="B9846" s="324"/>
      <c r="C9846" s="325"/>
      <c r="D9846" s="326"/>
      <c r="E9846" s="326"/>
      <c r="F9846" s="326"/>
      <c r="G9846" s="326"/>
      <c r="H9846" s="326"/>
      <c r="P9846" s="318"/>
      <c r="Q9846" s="318"/>
      <c r="R9846" s="318"/>
      <c r="S9846" s="318"/>
      <c r="T9846" s="318"/>
      <c r="U9846" s="318"/>
      <c r="V9846" s="318"/>
      <c r="W9846" s="318"/>
      <c r="X9846" s="318"/>
      <c r="Y9846" s="318"/>
      <c r="Z9846" s="318"/>
      <c r="AA9846" s="318"/>
      <c r="AB9846" s="318"/>
      <c r="AC9846" s="318"/>
      <c r="AD9846" s="318"/>
    </row>
    <row r="9847" spans="2:30" s="323" customFormat="1" ht="12" customHeight="1">
      <c r="B9847" s="324"/>
      <c r="C9847" s="325"/>
      <c r="D9847" s="326"/>
      <c r="E9847" s="326"/>
      <c r="F9847" s="326"/>
      <c r="G9847" s="326"/>
      <c r="H9847" s="326"/>
      <c r="P9847" s="318"/>
      <c r="Q9847" s="318"/>
      <c r="R9847" s="318"/>
      <c r="S9847" s="318"/>
      <c r="T9847" s="318"/>
      <c r="U9847" s="318"/>
      <c r="V9847" s="318"/>
      <c r="W9847" s="318"/>
      <c r="X9847" s="318"/>
      <c r="Y9847" s="318"/>
      <c r="Z9847" s="318"/>
      <c r="AA9847" s="318"/>
      <c r="AB9847" s="318"/>
      <c r="AC9847" s="318"/>
      <c r="AD9847" s="318"/>
    </row>
    <row r="9848" spans="2:30" s="323" customFormat="1" ht="12" customHeight="1">
      <c r="B9848" s="324"/>
      <c r="C9848" s="325"/>
      <c r="D9848" s="326"/>
      <c r="E9848" s="326"/>
      <c r="F9848" s="326"/>
      <c r="G9848" s="326"/>
      <c r="H9848" s="326"/>
      <c r="P9848" s="318"/>
      <c r="Q9848" s="318"/>
      <c r="R9848" s="318"/>
      <c r="S9848" s="318"/>
      <c r="T9848" s="318"/>
      <c r="U9848" s="318"/>
      <c r="V9848" s="318"/>
      <c r="W9848" s="318"/>
      <c r="X9848" s="318"/>
      <c r="Y9848" s="318"/>
      <c r="Z9848" s="318"/>
      <c r="AA9848" s="318"/>
      <c r="AB9848" s="318"/>
      <c r="AC9848" s="318"/>
      <c r="AD9848" s="318"/>
    </row>
    <row r="9849" spans="2:30" s="323" customFormat="1" ht="12" customHeight="1">
      <c r="B9849" s="324"/>
      <c r="C9849" s="325"/>
      <c r="D9849" s="326"/>
      <c r="E9849" s="326"/>
      <c r="F9849" s="326"/>
      <c r="G9849" s="326"/>
      <c r="H9849" s="326"/>
      <c r="P9849" s="318"/>
      <c r="Q9849" s="318"/>
      <c r="R9849" s="318"/>
      <c r="S9849" s="318"/>
      <c r="T9849" s="318"/>
      <c r="U9849" s="318"/>
      <c r="V9849" s="318"/>
      <c r="W9849" s="318"/>
      <c r="X9849" s="318"/>
      <c r="Y9849" s="318"/>
      <c r="Z9849" s="318"/>
      <c r="AA9849" s="318"/>
      <c r="AB9849" s="318"/>
      <c r="AC9849" s="318"/>
      <c r="AD9849" s="318"/>
    </row>
    <row r="9850" spans="2:30" s="323" customFormat="1" ht="12" customHeight="1">
      <c r="B9850" s="324"/>
      <c r="C9850" s="325"/>
      <c r="D9850" s="326"/>
      <c r="E9850" s="326"/>
      <c r="F9850" s="326"/>
      <c r="G9850" s="326"/>
      <c r="H9850" s="326"/>
      <c r="P9850" s="318"/>
      <c r="Q9850" s="318"/>
      <c r="R9850" s="318"/>
      <c r="S9850" s="318"/>
      <c r="T9850" s="318"/>
      <c r="U9850" s="318"/>
      <c r="V9850" s="318"/>
      <c r="W9850" s="318"/>
      <c r="X9850" s="318"/>
      <c r="Y9850" s="318"/>
      <c r="Z9850" s="318"/>
      <c r="AA9850" s="318"/>
      <c r="AB9850" s="318"/>
      <c r="AC9850" s="318"/>
      <c r="AD9850" s="318"/>
    </row>
    <row r="9851" spans="2:30" s="323" customFormat="1" ht="12" customHeight="1">
      <c r="B9851" s="324"/>
      <c r="C9851" s="325"/>
      <c r="D9851" s="326"/>
      <c r="E9851" s="326"/>
      <c r="F9851" s="326"/>
      <c r="G9851" s="326"/>
      <c r="H9851" s="326"/>
      <c r="P9851" s="318"/>
      <c r="Q9851" s="318"/>
      <c r="R9851" s="318"/>
      <c r="S9851" s="318"/>
      <c r="T9851" s="318"/>
      <c r="U9851" s="318"/>
      <c r="V9851" s="318"/>
      <c r="W9851" s="318"/>
      <c r="X9851" s="318"/>
      <c r="Y9851" s="318"/>
      <c r="Z9851" s="318"/>
      <c r="AA9851" s="318"/>
      <c r="AB9851" s="318"/>
      <c r="AC9851" s="318"/>
      <c r="AD9851" s="318"/>
    </row>
    <row r="9852" spans="2:30" s="323" customFormat="1" ht="12" customHeight="1">
      <c r="B9852" s="324"/>
      <c r="C9852" s="325"/>
      <c r="D9852" s="326"/>
      <c r="E9852" s="326"/>
      <c r="F9852" s="326"/>
      <c r="G9852" s="326"/>
      <c r="H9852" s="326"/>
      <c r="P9852" s="318"/>
      <c r="Q9852" s="318"/>
      <c r="R9852" s="318"/>
      <c r="S9852" s="318"/>
      <c r="T9852" s="318"/>
      <c r="U9852" s="318"/>
      <c r="V9852" s="318"/>
      <c r="W9852" s="318"/>
      <c r="X9852" s="318"/>
      <c r="Y9852" s="318"/>
      <c r="Z9852" s="318"/>
      <c r="AA9852" s="318"/>
      <c r="AB9852" s="318"/>
      <c r="AC9852" s="318"/>
      <c r="AD9852" s="318"/>
    </row>
    <row r="9853" spans="2:30" s="323" customFormat="1" ht="12" customHeight="1">
      <c r="B9853" s="324"/>
      <c r="C9853" s="325"/>
      <c r="D9853" s="326"/>
      <c r="E9853" s="326"/>
      <c r="F9853" s="326"/>
      <c r="G9853" s="326"/>
      <c r="H9853" s="326"/>
      <c r="P9853" s="318"/>
      <c r="Q9853" s="318"/>
      <c r="R9853" s="318"/>
      <c r="S9853" s="318"/>
      <c r="T9853" s="318"/>
      <c r="U9853" s="318"/>
      <c r="V9853" s="318"/>
      <c r="W9853" s="318"/>
      <c r="X9853" s="318"/>
      <c r="Y9853" s="318"/>
      <c r="Z9853" s="318"/>
      <c r="AA9853" s="318"/>
      <c r="AB9853" s="318"/>
      <c r="AC9853" s="318"/>
      <c r="AD9853" s="318"/>
    </row>
    <row r="9854" spans="2:30" s="323" customFormat="1" ht="12" customHeight="1">
      <c r="B9854" s="324"/>
      <c r="C9854" s="325"/>
      <c r="D9854" s="326"/>
      <c r="E9854" s="326"/>
      <c r="F9854" s="326"/>
      <c r="G9854" s="326"/>
      <c r="H9854" s="326"/>
      <c r="P9854" s="318"/>
      <c r="Q9854" s="318"/>
      <c r="R9854" s="318"/>
      <c r="S9854" s="318"/>
      <c r="T9854" s="318"/>
      <c r="U9854" s="318"/>
      <c r="V9854" s="318"/>
      <c r="W9854" s="318"/>
      <c r="X9854" s="318"/>
      <c r="Y9854" s="318"/>
      <c r="Z9854" s="318"/>
      <c r="AA9854" s="318"/>
      <c r="AB9854" s="318"/>
      <c r="AC9854" s="318"/>
      <c r="AD9854" s="318"/>
    </row>
    <row r="9855" spans="2:30" s="323" customFormat="1" ht="12" customHeight="1">
      <c r="B9855" s="324"/>
      <c r="C9855" s="325"/>
      <c r="D9855" s="326"/>
      <c r="E9855" s="326"/>
      <c r="F9855" s="326"/>
      <c r="G9855" s="326"/>
      <c r="H9855" s="326"/>
      <c r="P9855" s="318"/>
      <c r="Q9855" s="318"/>
      <c r="R9855" s="318"/>
      <c r="S9855" s="318"/>
      <c r="T9855" s="318"/>
      <c r="U9855" s="318"/>
      <c r="V9855" s="318"/>
      <c r="W9855" s="318"/>
      <c r="X9855" s="318"/>
      <c r="Y9855" s="318"/>
      <c r="Z9855" s="318"/>
      <c r="AA9855" s="318"/>
      <c r="AB9855" s="318"/>
      <c r="AC9855" s="318"/>
      <c r="AD9855" s="318"/>
    </row>
    <row r="9856" spans="2:30" s="323" customFormat="1" ht="12" customHeight="1">
      <c r="B9856" s="324"/>
      <c r="C9856" s="325"/>
      <c r="D9856" s="326"/>
      <c r="E9856" s="326"/>
      <c r="F9856" s="326"/>
      <c r="G9856" s="326"/>
      <c r="H9856" s="326"/>
      <c r="P9856" s="318"/>
      <c r="Q9856" s="318"/>
      <c r="R9856" s="318"/>
      <c r="S9856" s="318"/>
      <c r="T9856" s="318"/>
      <c r="U9856" s="318"/>
      <c r="V9856" s="318"/>
      <c r="W9856" s="318"/>
      <c r="X9856" s="318"/>
      <c r="Y9856" s="318"/>
      <c r="Z9856" s="318"/>
      <c r="AA9856" s="318"/>
      <c r="AB9856" s="318"/>
      <c r="AC9856" s="318"/>
      <c r="AD9856" s="318"/>
    </row>
    <row r="9857" spans="2:30" s="323" customFormat="1" ht="12" customHeight="1">
      <c r="B9857" s="324"/>
      <c r="C9857" s="325"/>
      <c r="D9857" s="326"/>
      <c r="E9857" s="326"/>
      <c r="F9857" s="326"/>
      <c r="G9857" s="326"/>
      <c r="H9857" s="326"/>
      <c r="P9857" s="318"/>
      <c r="Q9857" s="318"/>
      <c r="R9857" s="318"/>
      <c r="S9857" s="318"/>
      <c r="T9857" s="318"/>
      <c r="U9857" s="318"/>
      <c r="V9857" s="318"/>
      <c r="W9857" s="318"/>
      <c r="X9857" s="318"/>
      <c r="Y9857" s="318"/>
      <c r="Z9857" s="318"/>
      <c r="AA9857" s="318"/>
      <c r="AB9857" s="318"/>
      <c r="AC9857" s="318"/>
      <c r="AD9857" s="318"/>
    </row>
    <row r="9858" spans="2:30" s="323" customFormat="1" ht="12" customHeight="1">
      <c r="B9858" s="324"/>
      <c r="C9858" s="325"/>
      <c r="D9858" s="326"/>
      <c r="E9858" s="326"/>
      <c r="F9858" s="326"/>
      <c r="G9858" s="326"/>
      <c r="H9858" s="326"/>
      <c r="P9858" s="318"/>
      <c r="Q9858" s="318"/>
      <c r="R9858" s="318"/>
      <c r="S9858" s="318"/>
      <c r="T9858" s="318"/>
      <c r="U9858" s="318"/>
      <c r="V9858" s="318"/>
      <c r="W9858" s="318"/>
      <c r="X9858" s="318"/>
      <c r="Y9858" s="318"/>
      <c r="Z9858" s="318"/>
      <c r="AA9858" s="318"/>
      <c r="AB9858" s="318"/>
      <c r="AC9858" s="318"/>
      <c r="AD9858" s="318"/>
    </row>
    <row r="9859" spans="2:30" s="323" customFormat="1" ht="12" customHeight="1">
      <c r="B9859" s="324"/>
      <c r="C9859" s="325"/>
      <c r="D9859" s="326"/>
      <c r="E9859" s="326"/>
      <c r="F9859" s="326"/>
      <c r="G9859" s="326"/>
      <c r="H9859" s="326"/>
      <c r="P9859" s="318"/>
      <c r="Q9859" s="318"/>
      <c r="R9859" s="318"/>
      <c r="S9859" s="318"/>
      <c r="T9859" s="318"/>
      <c r="U9859" s="318"/>
      <c r="V9859" s="318"/>
      <c r="W9859" s="318"/>
      <c r="X9859" s="318"/>
      <c r="Y9859" s="318"/>
      <c r="Z9859" s="318"/>
      <c r="AA9859" s="318"/>
      <c r="AB9859" s="318"/>
      <c r="AC9859" s="318"/>
      <c r="AD9859" s="318"/>
    </row>
    <row r="9860" spans="2:30" s="323" customFormat="1" ht="12" customHeight="1">
      <c r="B9860" s="324"/>
      <c r="C9860" s="325"/>
      <c r="D9860" s="326"/>
      <c r="E9860" s="326"/>
      <c r="F9860" s="326"/>
      <c r="G9860" s="326"/>
      <c r="H9860" s="326"/>
      <c r="P9860" s="318"/>
      <c r="Q9860" s="318"/>
      <c r="R9860" s="318"/>
      <c r="S9860" s="318"/>
      <c r="T9860" s="318"/>
      <c r="U9860" s="318"/>
      <c r="V9860" s="318"/>
      <c r="W9860" s="318"/>
      <c r="X9860" s="318"/>
      <c r="Y9860" s="318"/>
      <c r="Z9860" s="318"/>
      <c r="AA9860" s="318"/>
      <c r="AB9860" s="318"/>
      <c r="AC9860" s="318"/>
      <c r="AD9860" s="318"/>
    </row>
    <row r="9861" spans="2:30" s="323" customFormat="1" ht="12" customHeight="1">
      <c r="B9861" s="324"/>
      <c r="C9861" s="325"/>
      <c r="D9861" s="326"/>
      <c r="E9861" s="326"/>
      <c r="F9861" s="326"/>
      <c r="G9861" s="326"/>
      <c r="H9861" s="326"/>
      <c r="P9861" s="318"/>
      <c r="Q9861" s="318"/>
      <c r="R9861" s="318"/>
      <c r="S9861" s="318"/>
      <c r="T9861" s="318"/>
      <c r="U9861" s="318"/>
      <c r="V9861" s="318"/>
      <c r="W9861" s="318"/>
      <c r="X9861" s="318"/>
      <c r="Y9861" s="318"/>
      <c r="Z9861" s="318"/>
      <c r="AA9861" s="318"/>
      <c r="AB9861" s="318"/>
      <c r="AC9861" s="318"/>
      <c r="AD9861" s="318"/>
    </row>
    <row r="9862" spans="2:30" s="323" customFormat="1" ht="12" customHeight="1">
      <c r="B9862" s="324"/>
      <c r="C9862" s="325"/>
      <c r="D9862" s="326"/>
      <c r="E9862" s="326"/>
      <c r="F9862" s="326"/>
      <c r="G9862" s="326"/>
      <c r="H9862" s="326"/>
      <c r="P9862" s="318"/>
      <c r="Q9862" s="318"/>
      <c r="R9862" s="318"/>
      <c r="S9862" s="318"/>
      <c r="T9862" s="318"/>
      <c r="U9862" s="318"/>
      <c r="V9862" s="318"/>
      <c r="W9862" s="318"/>
      <c r="X9862" s="318"/>
      <c r="Y9862" s="318"/>
      <c r="Z9862" s="318"/>
      <c r="AA9862" s="318"/>
      <c r="AB9862" s="318"/>
      <c r="AC9862" s="318"/>
      <c r="AD9862" s="318"/>
    </row>
    <row r="9863" spans="2:30" s="323" customFormat="1" ht="12" customHeight="1">
      <c r="B9863" s="324"/>
      <c r="C9863" s="325"/>
      <c r="D9863" s="326"/>
      <c r="E9863" s="326"/>
      <c r="F9863" s="326"/>
      <c r="G9863" s="326"/>
      <c r="H9863" s="326"/>
      <c r="P9863" s="318"/>
      <c r="Q9863" s="318"/>
      <c r="R9863" s="318"/>
      <c r="S9863" s="318"/>
      <c r="T9863" s="318"/>
      <c r="U9863" s="318"/>
      <c r="V9863" s="318"/>
      <c r="W9863" s="318"/>
      <c r="X9863" s="318"/>
      <c r="Y9863" s="318"/>
      <c r="Z9863" s="318"/>
      <c r="AA9863" s="318"/>
      <c r="AB9863" s="318"/>
      <c r="AC9863" s="318"/>
      <c r="AD9863" s="318"/>
    </row>
    <row r="9864" spans="2:30" s="323" customFormat="1" ht="12" customHeight="1">
      <c r="B9864" s="324"/>
      <c r="C9864" s="325"/>
      <c r="D9864" s="326"/>
      <c r="E9864" s="326"/>
      <c r="F9864" s="326"/>
      <c r="G9864" s="326"/>
      <c r="H9864" s="326"/>
      <c r="P9864" s="318"/>
      <c r="Q9864" s="318"/>
      <c r="R9864" s="318"/>
      <c r="S9864" s="318"/>
      <c r="T9864" s="318"/>
      <c r="U9864" s="318"/>
      <c r="V9864" s="318"/>
      <c r="W9864" s="318"/>
      <c r="X9864" s="318"/>
      <c r="Y9864" s="318"/>
      <c r="Z9864" s="318"/>
      <c r="AA9864" s="318"/>
      <c r="AB9864" s="318"/>
      <c r="AC9864" s="318"/>
      <c r="AD9864" s="318"/>
    </row>
    <row r="9865" spans="2:30" s="323" customFormat="1" ht="12" customHeight="1">
      <c r="B9865" s="324"/>
      <c r="C9865" s="325"/>
      <c r="D9865" s="326"/>
      <c r="E9865" s="326"/>
      <c r="F9865" s="326"/>
      <c r="G9865" s="326"/>
      <c r="H9865" s="326"/>
      <c r="P9865" s="318"/>
      <c r="Q9865" s="318"/>
      <c r="R9865" s="318"/>
      <c r="S9865" s="318"/>
      <c r="T9865" s="318"/>
      <c r="U9865" s="318"/>
      <c r="V9865" s="318"/>
      <c r="W9865" s="318"/>
      <c r="X9865" s="318"/>
      <c r="Y9865" s="318"/>
      <c r="Z9865" s="318"/>
      <c r="AA9865" s="318"/>
      <c r="AB9865" s="318"/>
      <c r="AC9865" s="318"/>
      <c r="AD9865" s="318"/>
    </row>
    <row r="9866" spans="2:30" s="323" customFormat="1" ht="12" customHeight="1">
      <c r="B9866" s="324"/>
      <c r="C9866" s="325"/>
      <c r="D9866" s="326"/>
      <c r="E9866" s="326"/>
      <c r="F9866" s="326"/>
      <c r="G9866" s="326"/>
      <c r="H9866" s="326"/>
      <c r="P9866" s="318"/>
      <c r="Q9866" s="318"/>
      <c r="R9866" s="318"/>
      <c r="S9866" s="318"/>
      <c r="T9866" s="318"/>
      <c r="U9866" s="318"/>
      <c r="V9866" s="318"/>
      <c r="W9866" s="318"/>
      <c r="X9866" s="318"/>
      <c r="Y9866" s="318"/>
      <c r="Z9866" s="318"/>
      <c r="AA9866" s="318"/>
      <c r="AB9866" s="318"/>
      <c r="AC9866" s="318"/>
      <c r="AD9866" s="318"/>
    </row>
    <row r="9867" spans="2:30" s="323" customFormat="1" ht="12" customHeight="1">
      <c r="B9867" s="324"/>
      <c r="C9867" s="325"/>
      <c r="D9867" s="326"/>
      <c r="E9867" s="326"/>
      <c r="F9867" s="326"/>
      <c r="G9867" s="326"/>
      <c r="H9867" s="326"/>
      <c r="P9867" s="318"/>
      <c r="Q9867" s="318"/>
      <c r="R9867" s="318"/>
      <c r="S9867" s="318"/>
      <c r="T9867" s="318"/>
      <c r="U9867" s="318"/>
      <c r="V9867" s="318"/>
      <c r="W9867" s="318"/>
      <c r="X9867" s="318"/>
      <c r="Y9867" s="318"/>
      <c r="Z9867" s="318"/>
      <c r="AA9867" s="318"/>
      <c r="AB9867" s="318"/>
      <c r="AC9867" s="318"/>
      <c r="AD9867" s="318"/>
    </row>
    <row r="9868" spans="2:30" s="323" customFormat="1" ht="12" customHeight="1">
      <c r="B9868" s="324"/>
      <c r="C9868" s="325"/>
      <c r="D9868" s="326"/>
      <c r="E9868" s="326"/>
      <c r="F9868" s="326"/>
      <c r="G9868" s="326"/>
      <c r="H9868" s="326"/>
      <c r="P9868" s="318"/>
      <c r="Q9868" s="318"/>
      <c r="R9868" s="318"/>
      <c r="S9868" s="318"/>
      <c r="T9868" s="318"/>
      <c r="U9868" s="318"/>
      <c r="V9868" s="318"/>
      <c r="W9868" s="318"/>
      <c r="X9868" s="318"/>
      <c r="Y9868" s="318"/>
      <c r="Z9868" s="318"/>
      <c r="AA9868" s="318"/>
      <c r="AB9868" s="318"/>
      <c r="AC9868" s="318"/>
      <c r="AD9868" s="318"/>
    </row>
    <row r="9869" spans="2:30" s="323" customFormat="1" ht="12" customHeight="1">
      <c r="B9869" s="324"/>
      <c r="C9869" s="325"/>
      <c r="D9869" s="326"/>
      <c r="E9869" s="326"/>
      <c r="F9869" s="326"/>
      <c r="G9869" s="326"/>
      <c r="H9869" s="326"/>
      <c r="P9869" s="318"/>
      <c r="Q9869" s="318"/>
      <c r="R9869" s="318"/>
      <c r="S9869" s="318"/>
      <c r="T9869" s="318"/>
      <c r="U9869" s="318"/>
      <c r="V9869" s="318"/>
      <c r="W9869" s="318"/>
      <c r="X9869" s="318"/>
      <c r="Y9869" s="318"/>
      <c r="Z9869" s="318"/>
      <c r="AA9869" s="318"/>
      <c r="AB9869" s="318"/>
      <c r="AC9869" s="318"/>
      <c r="AD9869" s="318"/>
    </row>
    <row r="9870" spans="2:30" s="323" customFormat="1" ht="12" customHeight="1">
      <c r="B9870" s="324"/>
      <c r="C9870" s="325"/>
      <c r="D9870" s="326"/>
      <c r="E9870" s="326"/>
      <c r="F9870" s="326"/>
      <c r="G9870" s="326"/>
      <c r="H9870" s="326"/>
      <c r="P9870" s="318"/>
      <c r="Q9870" s="318"/>
      <c r="R9870" s="318"/>
      <c r="S9870" s="318"/>
      <c r="T9870" s="318"/>
      <c r="U9870" s="318"/>
      <c r="V9870" s="318"/>
      <c r="W9870" s="318"/>
      <c r="X9870" s="318"/>
      <c r="Y9870" s="318"/>
      <c r="Z9870" s="318"/>
      <c r="AA9870" s="318"/>
      <c r="AB9870" s="318"/>
      <c r="AC9870" s="318"/>
      <c r="AD9870" s="318"/>
    </row>
    <row r="9871" spans="2:30" s="323" customFormat="1" ht="12" customHeight="1">
      <c r="B9871" s="324"/>
      <c r="C9871" s="325"/>
      <c r="D9871" s="326"/>
      <c r="E9871" s="326"/>
      <c r="F9871" s="326"/>
      <c r="G9871" s="326"/>
      <c r="H9871" s="326"/>
      <c r="P9871" s="318"/>
      <c r="Q9871" s="318"/>
      <c r="R9871" s="318"/>
      <c r="S9871" s="318"/>
      <c r="T9871" s="318"/>
      <c r="U9871" s="318"/>
      <c r="V9871" s="318"/>
      <c r="W9871" s="318"/>
      <c r="X9871" s="318"/>
      <c r="Y9871" s="318"/>
      <c r="Z9871" s="318"/>
      <c r="AA9871" s="318"/>
      <c r="AB9871" s="318"/>
      <c r="AC9871" s="318"/>
      <c r="AD9871" s="318"/>
    </row>
    <row r="9872" spans="2:30" s="323" customFormat="1" ht="12" customHeight="1">
      <c r="B9872" s="324"/>
      <c r="C9872" s="325"/>
      <c r="D9872" s="326"/>
      <c r="E9872" s="326"/>
      <c r="F9872" s="326"/>
      <c r="G9872" s="326"/>
      <c r="H9872" s="326"/>
      <c r="P9872" s="318"/>
      <c r="Q9872" s="318"/>
      <c r="R9872" s="318"/>
      <c r="S9872" s="318"/>
      <c r="T9872" s="318"/>
      <c r="U9872" s="318"/>
      <c r="V9872" s="318"/>
      <c r="W9872" s="318"/>
      <c r="X9872" s="318"/>
      <c r="Y9872" s="318"/>
      <c r="Z9872" s="318"/>
      <c r="AA9872" s="318"/>
      <c r="AB9872" s="318"/>
      <c r="AC9872" s="318"/>
      <c r="AD9872" s="318"/>
    </row>
    <row r="9873" spans="2:30" s="323" customFormat="1" ht="12" customHeight="1">
      <c r="B9873" s="324"/>
      <c r="C9873" s="325"/>
      <c r="D9873" s="326"/>
      <c r="E9873" s="326"/>
      <c r="F9873" s="326"/>
      <c r="G9873" s="326"/>
      <c r="H9873" s="326"/>
      <c r="P9873" s="318"/>
      <c r="Q9873" s="318"/>
      <c r="R9873" s="318"/>
      <c r="S9873" s="318"/>
      <c r="T9873" s="318"/>
      <c r="U9873" s="318"/>
      <c r="V9873" s="318"/>
      <c r="W9873" s="318"/>
      <c r="X9873" s="318"/>
      <c r="Y9873" s="318"/>
      <c r="Z9873" s="318"/>
      <c r="AA9873" s="318"/>
      <c r="AB9873" s="318"/>
      <c r="AC9873" s="318"/>
      <c r="AD9873" s="318"/>
    </row>
    <row r="9874" spans="2:30" s="323" customFormat="1" ht="12" customHeight="1">
      <c r="B9874" s="324"/>
      <c r="C9874" s="325"/>
      <c r="D9874" s="326"/>
      <c r="E9874" s="326"/>
      <c r="F9874" s="326"/>
      <c r="G9874" s="326"/>
      <c r="H9874" s="326"/>
      <c r="P9874" s="318"/>
      <c r="Q9874" s="318"/>
      <c r="R9874" s="318"/>
      <c r="S9874" s="318"/>
      <c r="T9874" s="318"/>
      <c r="U9874" s="318"/>
      <c r="V9874" s="318"/>
      <c r="W9874" s="318"/>
      <c r="X9874" s="318"/>
      <c r="Y9874" s="318"/>
      <c r="Z9874" s="318"/>
      <c r="AA9874" s="318"/>
      <c r="AB9874" s="318"/>
      <c r="AC9874" s="318"/>
      <c r="AD9874" s="318"/>
    </row>
    <row r="9875" spans="2:30" s="323" customFormat="1" ht="12" customHeight="1">
      <c r="B9875" s="324"/>
      <c r="C9875" s="325"/>
      <c r="D9875" s="326"/>
      <c r="E9875" s="326"/>
      <c r="F9875" s="326"/>
      <c r="G9875" s="326"/>
      <c r="H9875" s="326"/>
      <c r="P9875" s="318"/>
      <c r="Q9875" s="318"/>
      <c r="R9875" s="318"/>
      <c r="S9875" s="318"/>
      <c r="T9875" s="318"/>
      <c r="U9875" s="318"/>
      <c r="V9875" s="318"/>
      <c r="W9875" s="318"/>
      <c r="X9875" s="318"/>
      <c r="Y9875" s="318"/>
      <c r="Z9875" s="318"/>
      <c r="AA9875" s="318"/>
      <c r="AB9875" s="318"/>
      <c r="AC9875" s="318"/>
      <c r="AD9875" s="318"/>
    </row>
    <row r="9876" spans="2:30" s="323" customFormat="1" ht="12" customHeight="1">
      <c r="B9876" s="324"/>
      <c r="C9876" s="325"/>
      <c r="D9876" s="326"/>
      <c r="E9876" s="326"/>
      <c r="F9876" s="326"/>
      <c r="G9876" s="326"/>
      <c r="H9876" s="326"/>
      <c r="P9876" s="318"/>
      <c r="Q9876" s="318"/>
      <c r="R9876" s="318"/>
      <c r="S9876" s="318"/>
      <c r="T9876" s="318"/>
      <c r="U9876" s="318"/>
      <c r="V9876" s="318"/>
      <c r="W9876" s="318"/>
      <c r="X9876" s="318"/>
      <c r="Y9876" s="318"/>
      <c r="Z9876" s="318"/>
      <c r="AA9876" s="318"/>
      <c r="AB9876" s="318"/>
      <c r="AC9876" s="318"/>
      <c r="AD9876" s="318"/>
    </row>
    <row r="9877" spans="2:30" s="323" customFormat="1" ht="12" customHeight="1">
      <c r="B9877" s="324"/>
      <c r="C9877" s="325"/>
      <c r="D9877" s="326"/>
      <c r="E9877" s="326"/>
      <c r="F9877" s="326"/>
      <c r="G9877" s="326"/>
      <c r="H9877" s="326"/>
      <c r="P9877" s="318"/>
      <c r="Q9877" s="318"/>
      <c r="R9877" s="318"/>
      <c r="S9877" s="318"/>
      <c r="T9877" s="318"/>
      <c r="U9877" s="318"/>
      <c r="V9877" s="318"/>
      <c r="W9877" s="318"/>
      <c r="X9877" s="318"/>
      <c r="Y9877" s="318"/>
      <c r="Z9877" s="318"/>
      <c r="AA9877" s="318"/>
      <c r="AB9877" s="318"/>
      <c r="AC9877" s="318"/>
      <c r="AD9877" s="318"/>
    </row>
    <row r="9878" spans="2:30" s="323" customFormat="1" ht="12" customHeight="1">
      <c r="B9878" s="324"/>
      <c r="C9878" s="325"/>
      <c r="D9878" s="326"/>
      <c r="E9878" s="326"/>
      <c r="F9878" s="326"/>
      <c r="G9878" s="326"/>
      <c r="H9878" s="326"/>
      <c r="P9878" s="318"/>
      <c r="Q9878" s="318"/>
      <c r="R9878" s="318"/>
      <c r="S9878" s="318"/>
      <c r="T9878" s="318"/>
      <c r="U9878" s="318"/>
      <c r="V9878" s="318"/>
      <c r="W9878" s="318"/>
      <c r="X9878" s="318"/>
      <c r="Y9878" s="318"/>
      <c r="Z9878" s="318"/>
      <c r="AA9878" s="318"/>
      <c r="AB9878" s="318"/>
      <c r="AC9878" s="318"/>
      <c r="AD9878" s="318"/>
    </row>
    <row r="9879" spans="2:30" s="323" customFormat="1" ht="12" customHeight="1">
      <c r="B9879" s="324"/>
      <c r="C9879" s="325"/>
      <c r="D9879" s="326"/>
      <c r="E9879" s="326"/>
      <c r="F9879" s="326"/>
      <c r="G9879" s="326"/>
      <c r="H9879" s="326"/>
      <c r="P9879" s="318"/>
      <c r="Q9879" s="318"/>
      <c r="R9879" s="318"/>
      <c r="S9879" s="318"/>
      <c r="T9879" s="318"/>
      <c r="U9879" s="318"/>
      <c r="V9879" s="318"/>
      <c r="W9879" s="318"/>
      <c r="X9879" s="318"/>
      <c r="Y9879" s="318"/>
      <c r="Z9879" s="318"/>
      <c r="AA9879" s="318"/>
      <c r="AB9879" s="318"/>
      <c r="AC9879" s="318"/>
      <c r="AD9879" s="318"/>
    </row>
    <row r="9880" spans="2:30" s="323" customFormat="1" ht="12" customHeight="1">
      <c r="B9880" s="324"/>
      <c r="C9880" s="325"/>
      <c r="D9880" s="326"/>
      <c r="E9880" s="326"/>
      <c r="F9880" s="326"/>
      <c r="G9880" s="326"/>
      <c r="H9880" s="326"/>
      <c r="P9880" s="318"/>
      <c r="Q9880" s="318"/>
      <c r="R9880" s="318"/>
      <c r="S9880" s="318"/>
      <c r="T9880" s="318"/>
      <c r="U9880" s="318"/>
      <c r="V9880" s="318"/>
      <c r="W9880" s="318"/>
      <c r="X9880" s="318"/>
      <c r="Y9880" s="318"/>
      <c r="Z9880" s="318"/>
      <c r="AA9880" s="318"/>
      <c r="AB9880" s="318"/>
      <c r="AC9880" s="318"/>
      <c r="AD9880" s="318"/>
    </row>
    <row r="9881" spans="2:30" s="323" customFormat="1" ht="12" customHeight="1">
      <c r="B9881" s="324"/>
      <c r="C9881" s="325"/>
      <c r="D9881" s="326"/>
      <c r="E9881" s="326"/>
      <c r="F9881" s="326"/>
      <c r="G9881" s="326"/>
      <c r="H9881" s="326"/>
      <c r="P9881" s="318"/>
      <c r="Q9881" s="318"/>
      <c r="R9881" s="318"/>
      <c r="S9881" s="318"/>
      <c r="T9881" s="318"/>
      <c r="U9881" s="318"/>
      <c r="V9881" s="318"/>
      <c r="W9881" s="318"/>
      <c r="X9881" s="318"/>
      <c r="Y9881" s="318"/>
      <c r="Z9881" s="318"/>
      <c r="AA9881" s="318"/>
      <c r="AB9881" s="318"/>
      <c r="AC9881" s="318"/>
      <c r="AD9881" s="318"/>
    </row>
    <row r="9882" spans="2:30" s="323" customFormat="1" ht="12" customHeight="1">
      <c r="B9882" s="324"/>
      <c r="C9882" s="325"/>
      <c r="D9882" s="326"/>
      <c r="E9882" s="326"/>
      <c r="F9882" s="326"/>
      <c r="G9882" s="326"/>
      <c r="H9882" s="326"/>
      <c r="P9882" s="318"/>
      <c r="Q9882" s="318"/>
      <c r="R9882" s="318"/>
      <c r="S9882" s="318"/>
      <c r="T9882" s="318"/>
      <c r="U9882" s="318"/>
      <c r="V9882" s="318"/>
      <c r="W9882" s="318"/>
      <c r="X9882" s="318"/>
      <c r="Y9882" s="318"/>
      <c r="Z9882" s="318"/>
      <c r="AA9882" s="318"/>
      <c r="AB9882" s="318"/>
      <c r="AC9882" s="318"/>
      <c r="AD9882" s="318"/>
    </row>
    <row r="9883" spans="2:30" s="323" customFormat="1" ht="12" customHeight="1">
      <c r="B9883" s="324"/>
      <c r="C9883" s="325"/>
      <c r="D9883" s="326"/>
      <c r="E9883" s="326"/>
      <c r="F9883" s="326"/>
      <c r="G9883" s="326"/>
      <c r="H9883" s="326"/>
      <c r="P9883" s="318"/>
      <c r="Q9883" s="318"/>
      <c r="R9883" s="318"/>
      <c r="S9883" s="318"/>
      <c r="T9883" s="318"/>
      <c r="U9883" s="318"/>
      <c r="V9883" s="318"/>
      <c r="W9883" s="318"/>
      <c r="X9883" s="318"/>
      <c r="Y9883" s="318"/>
      <c r="Z9883" s="318"/>
      <c r="AA9883" s="318"/>
      <c r="AB9883" s="318"/>
      <c r="AC9883" s="318"/>
      <c r="AD9883" s="318"/>
    </row>
    <row r="9884" spans="2:30" s="323" customFormat="1" ht="12" customHeight="1">
      <c r="B9884" s="324"/>
      <c r="C9884" s="325"/>
      <c r="D9884" s="326"/>
      <c r="E9884" s="326"/>
      <c r="F9884" s="326"/>
      <c r="G9884" s="326"/>
      <c r="H9884" s="326"/>
      <c r="P9884" s="318"/>
      <c r="Q9884" s="318"/>
      <c r="R9884" s="318"/>
      <c r="S9884" s="318"/>
      <c r="T9884" s="318"/>
      <c r="U9884" s="318"/>
      <c r="V9884" s="318"/>
      <c r="W9884" s="318"/>
      <c r="X9884" s="318"/>
      <c r="Y9884" s="318"/>
      <c r="Z9884" s="318"/>
      <c r="AA9884" s="318"/>
      <c r="AB9884" s="318"/>
      <c r="AC9884" s="318"/>
      <c r="AD9884" s="318"/>
    </row>
    <row r="9885" spans="2:30" s="323" customFormat="1" ht="12" customHeight="1">
      <c r="B9885" s="324"/>
      <c r="C9885" s="325"/>
      <c r="D9885" s="326"/>
      <c r="E9885" s="326"/>
      <c r="F9885" s="326"/>
      <c r="G9885" s="326"/>
      <c r="H9885" s="326"/>
      <c r="P9885" s="318"/>
      <c r="Q9885" s="318"/>
      <c r="R9885" s="318"/>
      <c r="S9885" s="318"/>
      <c r="T9885" s="318"/>
      <c r="U9885" s="318"/>
      <c r="V9885" s="318"/>
      <c r="W9885" s="318"/>
      <c r="X9885" s="318"/>
      <c r="Y9885" s="318"/>
      <c r="Z9885" s="318"/>
      <c r="AA9885" s="318"/>
      <c r="AB9885" s="318"/>
      <c r="AC9885" s="318"/>
      <c r="AD9885" s="318"/>
    </row>
    <row r="9886" spans="2:30" s="323" customFormat="1" ht="12" customHeight="1">
      <c r="B9886" s="324"/>
      <c r="C9886" s="325"/>
      <c r="D9886" s="326"/>
      <c r="E9886" s="326"/>
      <c r="F9886" s="326"/>
      <c r="G9886" s="326"/>
      <c r="H9886" s="326"/>
      <c r="P9886" s="318"/>
      <c r="Q9886" s="318"/>
      <c r="R9886" s="318"/>
      <c r="S9886" s="318"/>
      <c r="T9886" s="318"/>
      <c r="U9886" s="318"/>
      <c r="V9886" s="318"/>
      <c r="W9886" s="318"/>
      <c r="X9886" s="318"/>
      <c r="Y9886" s="318"/>
      <c r="Z9886" s="318"/>
      <c r="AA9886" s="318"/>
      <c r="AB9886" s="318"/>
      <c r="AC9886" s="318"/>
      <c r="AD9886" s="318"/>
    </row>
    <row r="9887" spans="2:30" s="323" customFormat="1" ht="12" customHeight="1">
      <c r="B9887" s="324"/>
      <c r="C9887" s="325"/>
      <c r="D9887" s="326"/>
      <c r="E9887" s="326"/>
      <c r="F9887" s="326"/>
      <c r="G9887" s="326"/>
      <c r="H9887" s="326"/>
      <c r="P9887" s="318"/>
      <c r="Q9887" s="318"/>
      <c r="R9887" s="318"/>
      <c r="S9887" s="318"/>
      <c r="T9887" s="318"/>
      <c r="U9887" s="318"/>
      <c r="V9887" s="318"/>
      <c r="W9887" s="318"/>
      <c r="X9887" s="318"/>
      <c r="Y9887" s="318"/>
      <c r="Z9887" s="318"/>
      <c r="AA9887" s="318"/>
      <c r="AB9887" s="318"/>
      <c r="AC9887" s="318"/>
      <c r="AD9887" s="318"/>
    </row>
    <row r="9888" spans="2:30" s="323" customFormat="1" ht="12" customHeight="1">
      <c r="B9888" s="324"/>
      <c r="C9888" s="325"/>
      <c r="D9888" s="326"/>
      <c r="E9888" s="326"/>
      <c r="F9888" s="326"/>
      <c r="G9888" s="326"/>
      <c r="H9888" s="326"/>
      <c r="P9888" s="318"/>
      <c r="Q9888" s="318"/>
      <c r="R9888" s="318"/>
      <c r="S9888" s="318"/>
      <c r="T9888" s="318"/>
      <c r="U9888" s="318"/>
      <c r="V9888" s="318"/>
      <c r="W9888" s="318"/>
      <c r="X9888" s="318"/>
      <c r="Y9888" s="318"/>
      <c r="Z9888" s="318"/>
      <c r="AA9888" s="318"/>
      <c r="AB9888" s="318"/>
      <c r="AC9888" s="318"/>
      <c r="AD9888" s="318"/>
    </row>
    <row r="9889" spans="2:30" s="323" customFormat="1" ht="12" customHeight="1">
      <c r="B9889" s="324"/>
      <c r="C9889" s="325"/>
      <c r="D9889" s="326"/>
      <c r="E9889" s="326"/>
      <c r="F9889" s="326"/>
      <c r="G9889" s="326"/>
      <c r="H9889" s="326"/>
      <c r="P9889" s="318"/>
      <c r="Q9889" s="318"/>
      <c r="R9889" s="318"/>
      <c r="S9889" s="318"/>
      <c r="T9889" s="318"/>
      <c r="U9889" s="318"/>
      <c r="V9889" s="318"/>
      <c r="W9889" s="318"/>
      <c r="X9889" s="318"/>
      <c r="Y9889" s="318"/>
      <c r="Z9889" s="318"/>
      <c r="AA9889" s="318"/>
      <c r="AB9889" s="318"/>
      <c r="AC9889" s="318"/>
      <c r="AD9889" s="318"/>
    </row>
    <row r="9890" spans="2:30" s="323" customFormat="1" ht="12" customHeight="1">
      <c r="B9890" s="324"/>
      <c r="C9890" s="325"/>
      <c r="D9890" s="326"/>
      <c r="E9890" s="326"/>
      <c r="F9890" s="326"/>
      <c r="G9890" s="326"/>
      <c r="H9890" s="326"/>
      <c r="P9890" s="318"/>
      <c r="Q9890" s="318"/>
      <c r="R9890" s="318"/>
      <c r="S9890" s="318"/>
      <c r="T9890" s="318"/>
      <c r="U9890" s="318"/>
      <c r="V9890" s="318"/>
      <c r="W9890" s="318"/>
      <c r="X9890" s="318"/>
      <c r="Y9890" s="318"/>
      <c r="Z9890" s="318"/>
      <c r="AA9890" s="318"/>
      <c r="AB9890" s="318"/>
      <c r="AC9890" s="318"/>
      <c r="AD9890" s="318"/>
    </row>
    <row r="9891" spans="2:30" s="323" customFormat="1" ht="12" customHeight="1">
      <c r="B9891" s="324"/>
      <c r="C9891" s="325"/>
      <c r="D9891" s="326"/>
      <c r="E9891" s="326"/>
      <c r="F9891" s="326"/>
      <c r="G9891" s="326"/>
      <c r="H9891" s="326"/>
      <c r="P9891" s="318"/>
      <c r="Q9891" s="318"/>
      <c r="R9891" s="318"/>
      <c r="S9891" s="318"/>
      <c r="T9891" s="318"/>
      <c r="U9891" s="318"/>
      <c r="V9891" s="318"/>
      <c r="W9891" s="318"/>
      <c r="X9891" s="318"/>
      <c r="Y9891" s="318"/>
      <c r="Z9891" s="318"/>
      <c r="AA9891" s="318"/>
      <c r="AB9891" s="318"/>
      <c r="AC9891" s="318"/>
      <c r="AD9891" s="318"/>
    </row>
    <row r="9892" spans="2:30" s="323" customFormat="1" ht="12" customHeight="1">
      <c r="B9892" s="324"/>
      <c r="C9892" s="325"/>
      <c r="D9892" s="326"/>
      <c r="E9892" s="326"/>
      <c r="F9892" s="326"/>
      <c r="G9892" s="326"/>
      <c r="H9892" s="326"/>
      <c r="P9892" s="318"/>
      <c r="Q9892" s="318"/>
      <c r="R9892" s="318"/>
      <c r="S9892" s="318"/>
      <c r="T9892" s="318"/>
      <c r="U9892" s="318"/>
      <c r="V9892" s="318"/>
      <c r="W9892" s="318"/>
      <c r="X9892" s="318"/>
      <c r="Y9892" s="318"/>
      <c r="Z9892" s="318"/>
      <c r="AA9892" s="318"/>
      <c r="AB9892" s="318"/>
      <c r="AC9892" s="318"/>
      <c r="AD9892" s="318"/>
    </row>
    <row r="9893" spans="2:30" s="323" customFormat="1" ht="12" customHeight="1">
      <c r="B9893" s="324"/>
      <c r="C9893" s="325"/>
      <c r="D9893" s="326"/>
      <c r="E9893" s="326"/>
      <c r="F9893" s="326"/>
      <c r="G9893" s="326"/>
      <c r="H9893" s="326"/>
      <c r="P9893" s="318"/>
      <c r="Q9893" s="318"/>
      <c r="R9893" s="318"/>
      <c r="S9893" s="318"/>
      <c r="T9893" s="318"/>
      <c r="U9893" s="318"/>
      <c r="V9893" s="318"/>
      <c r="W9893" s="318"/>
      <c r="X9893" s="318"/>
      <c r="Y9893" s="318"/>
      <c r="Z9893" s="318"/>
      <c r="AA9893" s="318"/>
      <c r="AB9893" s="318"/>
      <c r="AC9893" s="318"/>
      <c r="AD9893" s="318"/>
    </row>
    <row r="9894" spans="2:30" s="323" customFormat="1" ht="12" customHeight="1">
      <c r="B9894" s="324"/>
      <c r="C9894" s="325"/>
      <c r="D9894" s="326"/>
      <c r="E9894" s="326"/>
      <c r="F9894" s="326"/>
      <c r="G9894" s="326"/>
      <c r="H9894" s="326"/>
      <c r="P9894" s="318"/>
      <c r="Q9894" s="318"/>
      <c r="R9894" s="318"/>
      <c r="S9894" s="318"/>
      <c r="T9894" s="318"/>
      <c r="U9894" s="318"/>
      <c r="V9894" s="318"/>
      <c r="W9894" s="318"/>
      <c r="X9894" s="318"/>
      <c r="Y9894" s="318"/>
      <c r="Z9894" s="318"/>
      <c r="AA9894" s="318"/>
      <c r="AB9894" s="318"/>
      <c r="AC9894" s="318"/>
      <c r="AD9894" s="318"/>
    </row>
    <row r="9895" spans="2:30" s="323" customFormat="1" ht="12" customHeight="1">
      <c r="B9895" s="324"/>
      <c r="C9895" s="325"/>
      <c r="D9895" s="326"/>
      <c r="E9895" s="326"/>
      <c r="F9895" s="326"/>
      <c r="G9895" s="326"/>
      <c r="H9895" s="326"/>
      <c r="P9895" s="318"/>
      <c r="Q9895" s="318"/>
      <c r="R9895" s="318"/>
      <c r="S9895" s="318"/>
      <c r="T9895" s="318"/>
      <c r="U9895" s="318"/>
      <c r="V9895" s="318"/>
      <c r="W9895" s="318"/>
      <c r="X9895" s="318"/>
      <c r="Y9895" s="318"/>
      <c r="Z9895" s="318"/>
      <c r="AA9895" s="318"/>
      <c r="AB9895" s="318"/>
      <c r="AC9895" s="318"/>
      <c r="AD9895" s="318"/>
    </row>
    <row r="9896" spans="2:30" s="323" customFormat="1" ht="12" customHeight="1">
      <c r="B9896" s="324"/>
      <c r="C9896" s="325"/>
      <c r="D9896" s="326"/>
      <c r="E9896" s="326"/>
      <c r="F9896" s="326"/>
      <c r="G9896" s="326"/>
      <c r="H9896" s="326"/>
      <c r="P9896" s="318"/>
      <c r="Q9896" s="318"/>
      <c r="R9896" s="318"/>
      <c r="S9896" s="318"/>
      <c r="T9896" s="318"/>
      <c r="U9896" s="318"/>
      <c r="V9896" s="318"/>
      <c r="W9896" s="318"/>
      <c r="X9896" s="318"/>
      <c r="Y9896" s="318"/>
      <c r="Z9896" s="318"/>
      <c r="AA9896" s="318"/>
      <c r="AB9896" s="318"/>
      <c r="AC9896" s="318"/>
      <c r="AD9896" s="318"/>
    </row>
    <row r="9897" spans="2:30" s="323" customFormat="1" ht="12" customHeight="1">
      <c r="B9897" s="324"/>
      <c r="C9897" s="325"/>
      <c r="D9897" s="326"/>
      <c r="E9897" s="326"/>
      <c r="F9897" s="326"/>
      <c r="G9897" s="326"/>
      <c r="H9897" s="326"/>
      <c r="P9897" s="318"/>
      <c r="Q9897" s="318"/>
      <c r="R9897" s="318"/>
      <c r="S9897" s="318"/>
      <c r="T9897" s="318"/>
      <c r="U9897" s="318"/>
      <c r="V9897" s="318"/>
      <c r="W9897" s="318"/>
      <c r="X9897" s="318"/>
      <c r="Y9897" s="318"/>
      <c r="Z9897" s="318"/>
      <c r="AA9897" s="318"/>
      <c r="AB9897" s="318"/>
      <c r="AC9897" s="318"/>
      <c r="AD9897" s="318"/>
    </row>
    <row r="9898" spans="2:30" s="323" customFormat="1" ht="12" customHeight="1">
      <c r="B9898" s="324"/>
      <c r="C9898" s="325"/>
      <c r="D9898" s="326"/>
      <c r="E9898" s="326"/>
      <c r="F9898" s="326"/>
      <c r="G9898" s="326"/>
      <c r="H9898" s="326"/>
      <c r="P9898" s="318"/>
      <c r="Q9898" s="318"/>
      <c r="R9898" s="318"/>
      <c r="S9898" s="318"/>
      <c r="T9898" s="318"/>
      <c r="U9898" s="318"/>
      <c r="V9898" s="318"/>
      <c r="W9898" s="318"/>
      <c r="X9898" s="318"/>
      <c r="Y9898" s="318"/>
      <c r="Z9898" s="318"/>
      <c r="AA9898" s="318"/>
      <c r="AB9898" s="318"/>
      <c r="AC9898" s="318"/>
      <c r="AD9898" s="318"/>
    </row>
    <row r="9899" spans="2:30" s="323" customFormat="1" ht="12" customHeight="1">
      <c r="B9899" s="324"/>
      <c r="C9899" s="325"/>
      <c r="D9899" s="326"/>
      <c r="E9899" s="326"/>
      <c r="F9899" s="326"/>
      <c r="G9899" s="326"/>
      <c r="H9899" s="326"/>
      <c r="P9899" s="318"/>
      <c r="Q9899" s="318"/>
      <c r="R9899" s="318"/>
      <c r="S9899" s="318"/>
      <c r="T9899" s="318"/>
      <c r="U9899" s="318"/>
      <c r="V9899" s="318"/>
      <c r="W9899" s="318"/>
      <c r="X9899" s="318"/>
      <c r="Y9899" s="318"/>
      <c r="Z9899" s="318"/>
      <c r="AA9899" s="318"/>
      <c r="AB9899" s="318"/>
      <c r="AC9899" s="318"/>
      <c r="AD9899" s="318"/>
    </row>
    <row r="9900" spans="2:30" s="323" customFormat="1" ht="12" customHeight="1">
      <c r="B9900" s="324"/>
      <c r="C9900" s="325"/>
      <c r="D9900" s="326"/>
      <c r="E9900" s="326"/>
      <c r="F9900" s="326"/>
      <c r="G9900" s="326"/>
      <c r="H9900" s="326"/>
      <c r="P9900" s="318"/>
      <c r="Q9900" s="318"/>
      <c r="R9900" s="318"/>
      <c r="S9900" s="318"/>
      <c r="T9900" s="318"/>
      <c r="U9900" s="318"/>
      <c r="V9900" s="318"/>
      <c r="W9900" s="318"/>
      <c r="X9900" s="318"/>
      <c r="Y9900" s="318"/>
      <c r="Z9900" s="318"/>
      <c r="AA9900" s="318"/>
      <c r="AB9900" s="318"/>
      <c r="AC9900" s="318"/>
      <c r="AD9900" s="318"/>
    </row>
    <row r="9901" spans="2:30" s="323" customFormat="1" ht="12" customHeight="1">
      <c r="B9901" s="324"/>
      <c r="C9901" s="325"/>
      <c r="D9901" s="326"/>
      <c r="E9901" s="326"/>
      <c r="F9901" s="326"/>
      <c r="G9901" s="326"/>
      <c r="H9901" s="326"/>
      <c r="P9901" s="318"/>
      <c r="Q9901" s="318"/>
      <c r="R9901" s="318"/>
      <c r="S9901" s="318"/>
      <c r="T9901" s="318"/>
      <c r="U9901" s="318"/>
      <c r="V9901" s="318"/>
      <c r="W9901" s="318"/>
      <c r="X9901" s="318"/>
      <c r="Y9901" s="318"/>
      <c r="Z9901" s="318"/>
      <c r="AA9901" s="318"/>
      <c r="AB9901" s="318"/>
      <c r="AC9901" s="318"/>
      <c r="AD9901" s="318"/>
    </row>
    <row r="9902" spans="2:30" s="323" customFormat="1" ht="12" customHeight="1">
      <c r="B9902" s="324"/>
      <c r="C9902" s="325"/>
      <c r="D9902" s="326"/>
      <c r="E9902" s="326"/>
      <c r="F9902" s="326"/>
      <c r="G9902" s="326"/>
      <c r="H9902" s="326"/>
      <c r="P9902" s="318"/>
      <c r="Q9902" s="318"/>
      <c r="R9902" s="318"/>
      <c r="S9902" s="318"/>
      <c r="T9902" s="318"/>
      <c r="U9902" s="318"/>
      <c r="V9902" s="318"/>
      <c r="W9902" s="318"/>
      <c r="X9902" s="318"/>
      <c r="Y9902" s="318"/>
      <c r="Z9902" s="318"/>
      <c r="AA9902" s="318"/>
      <c r="AB9902" s="318"/>
      <c r="AC9902" s="318"/>
      <c r="AD9902" s="318"/>
    </row>
    <row r="9903" spans="2:30" s="323" customFormat="1" ht="12" customHeight="1">
      <c r="B9903" s="324"/>
      <c r="C9903" s="325"/>
      <c r="D9903" s="326"/>
      <c r="E9903" s="326"/>
      <c r="F9903" s="326"/>
      <c r="G9903" s="326"/>
      <c r="H9903" s="326"/>
      <c r="P9903" s="318"/>
      <c r="Q9903" s="318"/>
      <c r="R9903" s="318"/>
      <c r="S9903" s="318"/>
      <c r="T9903" s="318"/>
      <c r="U9903" s="318"/>
      <c r="V9903" s="318"/>
      <c r="W9903" s="318"/>
      <c r="X9903" s="318"/>
      <c r="Y9903" s="318"/>
      <c r="Z9903" s="318"/>
      <c r="AA9903" s="318"/>
      <c r="AB9903" s="318"/>
      <c r="AC9903" s="318"/>
      <c r="AD9903" s="318"/>
    </row>
    <row r="9904" spans="2:30" s="323" customFormat="1" ht="12" customHeight="1">
      <c r="B9904" s="324"/>
      <c r="C9904" s="325"/>
      <c r="D9904" s="326"/>
      <c r="E9904" s="326"/>
      <c r="F9904" s="326"/>
      <c r="G9904" s="326"/>
      <c r="H9904" s="326"/>
      <c r="P9904" s="318"/>
      <c r="Q9904" s="318"/>
      <c r="R9904" s="318"/>
      <c r="S9904" s="318"/>
      <c r="T9904" s="318"/>
      <c r="U9904" s="318"/>
      <c r="V9904" s="318"/>
      <c r="W9904" s="318"/>
      <c r="X9904" s="318"/>
      <c r="Y9904" s="318"/>
      <c r="Z9904" s="318"/>
      <c r="AA9904" s="318"/>
      <c r="AB9904" s="318"/>
      <c r="AC9904" s="318"/>
      <c r="AD9904" s="318"/>
    </row>
    <row r="9905" spans="2:30" s="323" customFormat="1" ht="12" customHeight="1">
      <c r="B9905" s="324"/>
      <c r="C9905" s="325"/>
      <c r="D9905" s="326"/>
      <c r="E9905" s="326"/>
      <c r="F9905" s="326"/>
      <c r="G9905" s="326"/>
      <c r="H9905" s="326"/>
      <c r="P9905" s="318"/>
      <c r="Q9905" s="318"/>
      <c r="R9905" s="318"/>
      <c r="S9905" s="318"/>
      <c r="T9905" s="318"/>
      <c r="U9905" s="318"/>
      <c r="V9905" s="318"/>
      <c r="W9905" s="318"/>
      <c r="X9905" s="318"/>
      <c r="Y9905" s="318"/>
      <c r="Z9905" s="318"/>
      <c r="AA9905" s="318"/>
      <c r="AB9905" s="318"/>
      <c r="AC9905" s="318"/>
      <c r="AD9905" s="318"/>
    </row>
    <row r="9906" spans="2:30" s="323" customFormat="1" ht="12" customHeight="1">
      <c r="B9906" s="324"/>
      <c r="C9906" s="325"/>
      <c r="D9906" s="326"/>
      <c r="E9906" s="326"/>
      <c r="F9906" s="326"/>
      <c r="G9906" s="326"/>
      <c r="H9906" s="326"/>
      <c r="P9906" s="318"/>
      <c r="Q9906" s="318"/>
      <c r="R9906" s="318"/>
      <c r="S9906" s="318"/>
      <c r="T9906" s="318"/>
      <c r="U9906" s="318"/>
      <c r="V9906" s="318"/>
      <c r="W9906" s="318"/>
      <c r="X9906" s="318"/>
      <c r="Y9906" s="318"/>
      <c r="Z9906" s="318"/>
      <c r="AA9906" s="318"/>
      <c r="AB9906" s="318"/>
      <c r="AC9906" s="318"/>
      <c r="AD9906" s="318"/>
    </row>
    <row r="9907" spans="2:30" s="323" customFormat="1" ht="12" customHeight="1">
      <c r="B9907" s="324"/>
      <c r="C9907" s="325"/>
      <c r="D9907" s="326"/>
      <c r="E9907" s="326"/>
      <c r="F9907" s="326"/>
      <c r="G9907" s="326"/>
      <c r="H9907" s="326"/>
      <c r="P9907" s="318"/>
      <c r="Q9907" s="318"/>
      <c r="R9907" s="318"/>
      <c r="S9907" s="318"/>
      <c r="T9907" s="318"/>
      <c r="U9907" s="318"/>
      <c r="V9907" s="318"/>
      <c r="W9907" s="318"/>
      <c r="X9907" s="318"/>
      <c r="Y9907" s="318"/>
      <c r="Z9907" s="318"/>
      <c r="AA9907" s="318"/>
      <c r="AB9907" s="318"/>
      <c r="AC9907" s="318"/>
      <c r="AD9907" s="318"/>
    </row>
    <row r="9908" spans="2:30" s="323" customFormat="1" ht="12" customHeight="1">
      <c r="B9908" s="324"/>
      <c r="C9908" s="325"/>
      <c r="D9908" s="326"/>
      <c r="E9908" s="326"/>
      <c r="F9908" s="326"/>
      <c r="G9908" s="326"/>
      <c r="H9908" s="326"/>
      <c r="P9908" s="318"/>
      <c r="Q9908" s="318"/>
      <c r="R9908" s="318"/>
      <c r="S9908" s="318"/>
      <c r="T9908" s="318"/>
      <c r="U9908" s="318"/>
      <c r="V9908" s="318"/>
      <c r="W9908" s="318"/>
      <c r="X9908" s="318"/>
      <c r="Y9908" s="318"/>
      <c r="Z9908" s="318"/>
      <c r="AA9908" s="318"/>
      <c r="AB9908" s="318"/>
      <c r="AC9908" s="318"/>
      <c r="AD9908" s="318"/>
    </row>
    <row r="9909" spans="2:30" s="323" customFormat="1" ht="12" customHeight="1">
      <c r="B9909" s="324"/>
      <c r="C9909" s="325"/>
      <c r="D9909" s="326"/>
      <c r="E9909" s="326"/>
      <c r="F9909" s="326"/>
      <c r="G9909" s="326"/>
      <c r="H9909" s="326"/>
      <c r="P9909" s="318"/>
      <c r="Q9909" s="318"/>
      <c r="R9909" s="318"/>
      <c r="S9909" s="318"/>
      <c r="T9909" s="318"/>
      <c r="U9909" s="318"/>
      <c r="V9909" s="318"/>
      <c r="W9909" s="318"/>
      <c r="X9909" s="318"/>
      <c r="Y9909" s="318"/>
      <c r="Z9909" s="318"/>
      <c r="AA9909" s="318"/>
      <c r="AB9909" s="318"/>
      <c r="AC9909" s="318"/>
      <c r="AD9909" s="318"/>
    </row>
    <row r="9910" spans="2:30" s="323" customFormat="1" ht="12" customHeight="1">
      <c r="B9910" s="324"/>
      <c r="C9910" s="325"/>
      <c r="D9910" s="326"/>
      <c r="E9910" s="326"/>
      <c r="F9910" s="326"/>
      <c r="G9910" s="326"/>
      <c r="H9910" s="326"/>
      <c r="P9910" s="318"/>
      <c r="Q9910" s="318"/>
      <c r="R9910" s="318"/>
      <c r="S9910" s="318"/>
      <c r="T9910" s="318"/>
      <c r="U9910" s="318"/>
      <c r="V9910" s="318"/>
      <c r="W9910" s="318"/>
      <c r="X9910" s="318"/>
      <c r="Y9910" s="318"/>
      <c r="Z9910" s="318"/>
      <c r="AA9910" s="318"/>
      <c r="AB9910" s="318"/>
      <c r="AC9910" s="318"/>
      <c r="AD9910" s="318"/>
    </row>
    <row r="9911" spans="2:30" s="323" customFormat="1" ht="12" customHeight="1">
      <c r="B9911" s="324"/>
      <c r="C9911" s="325"/>
      <c r="D9911" s="326"/>
      <c r="E9911" s="326"/>
      <c r="F9911" s="326"/>
      <c r="G9911" s="326"/>
      <c r="H9911" s="326"/>
      <c r="P9911" s="318"/>
      <c r="Q9911" s="318"/>
      <c r="R9911" s="318"/>
      <c r="S9911" s="318"/>
      <c r="T9911" s="318"/>
      <c r="U9911" s="318"/>
      <c r="V9911" s="318"/>
      <c r="W9911" s="318"/>
      <c r="X9911" s="318"/>
      <c r="Y9911" s="318"/>
      <c r="Z9911" s="318"/>
      <c r="AA9911" s="318"/>
      <c r="AB9911" s="318"/>
      <c r="AC9911" s="318"/>
      <c r="AD9911" s="318"/>
    </row>
    <row r="9912" spans="2:30" s="323" customFormat="1" ht="12" customHeight="1">
      <c r="B9912" s="324"/>
      <c r="C9912" s="325"/>
      <c r="D9912" s="326"/>
      <c r="E9912" s="326"/>
      <c r="F9912" s="326"/>
      <c r="G9912" s="326"/>
      <c r="H9912" s="326"/>
      <c r="P9912" s="318"/>
      <c r="Q9912" s="318"/>
      <c r="R9912" s="318"/>
      <c r="S9912" s="318"/>
      <c r="T9912" s="318"/>
      <c r="U9912" s="318"/>
      <c r="V9912" s="318"/>
      <c r="W9912" s="318"/>
      <c r="X9912" s="318"/>
      <c r="Y9912" s="318"/>
      <c r="Z9912" s="318"/>
      <c r="AA9912" s="318"/>
      <c r="AB9912" s="318"/>
      <c r="AC9912" s="318"/>
      <c r="AD9912" s="318"/>
    </row>
    <row r="9913" spans="2:30" s="323" customFormat="1" ht="12" customHeight="1">
      <c r="B9913" s="324"/>
      <c r="C9913" s="325"/>
      <c r="D9913" s="326"/>
      <c r="E9913" s="326"/>
      <c r="F9913" s="326"/>
      <c r="G9913" s="326"/>
      <c r="H9913" s="326"/>
      <c r="P9913" s="318"/>
      <c r="Q9913" s="318"/>
      <c r="R9913" s="318"/>
      <c r="S9913" s="318"/>
      <c r="T9913" s="318"/>
      <c r="U9913" s="318"/>
      <c r="V9913" s="318"/>
      <c r="W9913" s="318"/>
      <c r="X9913" s="318"/>
      <c r="Y9913" s="318"/>
      <c r="Z9913" s="318"/>
      <c r="AA9913" s="318"/>
      <c r="AB9913" s="318"/>
      <c r="AC9913" s="318"/>
      <c r="AD9913" s="318"/>
    </row>
    <row r="9914" spans="2:30" s="323" customFormat="1" ht="12" customHeight="1">
      <c r="B9914" s="324"/>
      <c r="C9914" s="325"/>
      <c r="D9914" s="326"/>
      <c r="E9914" s="326"/>
      <c r="F9914" s="326"/>
      <c r="G9914" s="326"/>
      <c r="H9914" s="326"/>
      <c r="P9914" s="318"/>
      <c r="Q9914" s="318"/>
      <c r="R9914" s="318"/>
      <c r="S9914" s="318"/>
      <c r="T9914" s="318"/>
      <c r="U9914" s="318"/>
      <c r="V9914" s="318"/>
      <c r="W9914" s="318"/>
      <c r="X9914" s="318"/>
      <c r="Y9914" s="318"/>
      <c r="Z9914" s="318"/>
      <c r="AA9914" s="318"/>
      <c r="AB9914" s="318"/>
      <c r="AC9914" s="318"/>
      <c r="AD9914" s="318"/>
    </row>
    <row r="9915" spans="2:30" s="323" customFormat="1" ht="12" customHeight="1">
      <c r="B9915" s="324"/>
      <c r="C9915" s="325"/>
      <c r="D9915" s="326"/>
      <c r="E9915" s="326"/>
      <c r="F9915" s="326"/>
      <c r="G9915" s="326"/>
      <c r="H9915" s="326"/>
      <c r="P9915" s="318"/>
      <c r="Q9915" s="318"/>
      <c r="R9915" s="318"/>
      <c r="S9915" s="318"/>
      <c r="T9915" s="318"/>
      <c r="U9915" s="318"/>
      <c r="V9915" s="318"/>
      <c r="W9915" s="318"/>
      <c r="X9915" s="318"/>
      <c r="Y9915" s="318"/>
      <c r="Z9915" s="318"/>
      <c r="AA9915" s="318"/>
      <c r="AB9915" s="318"/>
      <c r="AC9915" s="318"/>
      <c r="AD9915" s="318"/>
    </row>
    <row r="9916" spans="2:30" s="323" customFormat="1" ht="12" customHeight="1">
      <c r="B9916" s="324"/>
      <c r="C9916" s="325"/>
      <c r="D9916" s="326"/>
      <c r="E9916" s="326"/>
      <c r="F9916" s="326"/>
      <c r="G9916" s="326"/>
      <c r="H9916" s="326"/>
      <c r="P9916" s="318"/>
      <c r="Q9916" s="318"/>
      <c r="R9916" s="318"/>
      <c r="S9916" s="318"/>
      <c r="T9916" s="318"/>
      <c r="U9916" s="318"/>
      <c r="V9916" s="318"/>
      <c r="W9916" s="318"/>
      <c r="X9916" s="318"/>
      <c r="Y9916" s="318"/>
      <c r="Z9916" s="318"/>
      <c r="AA9916" s="318"/>
      <c r="AB9916" s="318"/>
      <c r="AC9916" s="318"/>
      <c r="AD9916" s="318"/>
    </row>
    <row r="9917" spans="2:30" s="323" customFormat="1" ht="12" customHeight="1">
      <c r="B9917" s="324"/>
      <c r="C9917" s="325"/>
      <c r="D9917" s="326"/>
      <c r="E9917" s="326"/>
      <c r="F9917" s="326"/>
      <c r="G9917" s="326"/>
      <c r="H9917" s="326"/>
      <c r="P9917" s="318"/>
      <c r="Q9917" s="318"/>
      <c r="R9917" s="318"/>
      <c r="S9917" s="318"/>
      <c r="T9917" s="318"/>
      <c r="U9917" s="318"/>
      <c r="V9917" s="318"/>
      <c r="W9917" s="318"/>
      <c r="X9917" s="318"/>
      <c r="Y9917" s="318"/>
      <c r="Z9917" s="318"/>
      <c r="AA9917" s="318"/>
      <c r="AB9917" s="318"/>
      <c r="AC9917" s="318"/>
      <c r="AD9917" s="318"/>
    </row>
    <row r="9918" spans="2:30" s="323" customFormat="1" ht="12" customHeight="1">
      <c r="B9918" s="324"/>
      <c r="C9918" s="325"/>
      <c r="D9918" s="326"/>
      <c r="E9918" s="326"/>
      <c r="F9918" s="326"/>
      <c r="G9918" s="326"/>
      <c r="H9918" s="326"/>
      <c r="P9918" s="318"/>
      <c r="Q9918" s="318"/>
      <c r="R9918" s="318"/>
      <c r="S9918" s="318"/>
      <c r="T9918" s="318"/>
      <c r="U9918" s="318"/>
      <c r="V9918" s="318"/>
      <c r="W9918" s="318"/>
      <c r="X9918" s="318"/>
      <c r="Y9918" s="318"/>
      <c r="Z9918" s="318"/>
      <c r="AA9918" s="318"/>
      <c r="AB9918" s="318"/>
      <c r="AC9918" s="318"/>
      <c r="AD9918" s="318"/>
    </row>
    <row r="9919" spans="2:30" s="323" customFormat="1" ht="12" customHeight="1">
      <c r="B9919" s="324"/>
      <c r="C9919" s="325"/>
      <c r="D9919" s="326"/>
      <c r="E9919" s="326"/>
      <c r="F9919" s="326"/>
      <c r="G9919" s="326"/>
      <c r="H9919" s="326"/>
      <c r="P9919" s="318"/>
      <c r="Q9919" s="318"/>
      <c r="R9919" s="318"/>
      <c r="S9919" s="318"/>
      <c r="T9919" s="318"/>
      <c r="U9919" s="318"/>
      <c r="V9919" s="318"/>
      <c r="W9919" s="318"/>
      <c r="X9919" s="318"/>
      <c r="Y9919" s="318"/>
      <c r="Z9919" s="318"/>
      <c r="AA9919" s="318"/>
      <c r="AB9919" s="318"/>
      <c r="AC9919" s="318"/>
      <c r="AD9919" s="318"/>
    </row>
    <row r="9920" spans="2:30" s="323" customFormat="1" ht="12" customHeight="1">
      <c r="B9920" s="324"/>
      <c r="C9920" s="325"/>
      <c r="D9920" s="326"/>
      <c r="E9920" s="326"/>
      <c r="F9920" s="326"/>
      <c r="G9920" s="326"/>
      <c r="H9920" s="326"/>
      <c r="P9920" s="318"/>
      <c r="Q9920" s="318"/>
      <c r="R9920" s="318"/>
      <c r="S9920" s="318"/>
      <c r="T9920" s="318"/>
      <c r="U9920" s="318"/>
      <c r="V9920" s="318"/>
      <c r="W9920" s="318"/>
      <c r="X9920" s="318"/>
      <c r="Y9920" s="318"/>
      <c r="Z9920" s="318"/>
      <c r="AA9920" s="318"/>
      <c r="AB9920" s="318"/>
      <c r="AC9920" s="318"/>
      <c r="AD9920" s="318"/>
    </row>
    <row r="9921" spans="2:30" s="323" customFormat="1" ht="12" customHeight="1">
      <c r="B9921" s="324"/>
      <c r="C9921" s="325"/>
      <c r="D9921" s="326"/>
      <c r="E9921" s="326"/>
      <c r="F9921" s="326"/>
      <c r="G9921" s="326"/>
      <c r="H9921" s="326"/>
      <c r="P9921" s="318"/>
      <c r="Q9921" s="318"/>
      <c r="R9921" s="318"/>
      <c r="S9921" s="318"/>
      <c r="T9921" s="318"/>
      <c r="U9921" s="318"/>
      <c r="V9921" s="318"/>
      <c r="W9921" s="318"/>
      <c r="X9921" s="318"/>
      <c r="Y9921" s="318"/>
      <c r="Z9921" s="318"/>
      <c r="AA9921" s="318"/>
      <c r="AB9921" s="318"/>
      <c r="AC9921" s="318"/>
      <c r="AD9921" s="318"/>
    </row>
    <row r="9922" spans="2:30" s="323" customFormat="1" ht="12" customHeight="1">
      <c r="B9922" s="324"/>
      <c r="C9922" s="325"/>
      <c r="D9922" s="326"/>
      <c r="E9922" s="326"/>
      <c r="F9922" s="326"/>
      <c r="G9922" s="326"/>
      <c r="H9922" s="326"/>
      <c r="P9922" s="318"/>
      <c r="Q9922" s="318"/>
      <c r="R9922" s="318"/>
      <c r="S9922" s="318"/>
      <c r="T9922" s="318"/>
      <c r="U9922" s="318"/>
      <c r="V9922" s="318"/>
      <c r="W9922" s="318"/>
      <c r="X9922" s="318"/>
      <c r="Y9922" s="318"/>
      <c r="Z9922" s="318"/>
      <c r="AA9922" s="318"/>
      <c r="AB9922" s="318"/>
      <c r="AC9922" s="318"/>
      <c r="AD9922" s="318"/>
    </row>
    <row r="9923" spans="2:30" s="323" customFormat="1" ht="12" customHeight="1">
      <c r="B9923" s="324"/>
      <c r="C9923" s="325"/>
      <c r="D9923" s="326"/>
      <c r="E9923" s="326"/>
      <c r="F9923" s="326"/>
      <c r="G9923" s="326"/>
      <c r="H9923" s="326"/>
      <c r="P9923" s="318"/>
      <c r="Q9923" s="318"/>
      <c r="R9923" s="318"/>
      <c r="S9923" s="318"/>
      <c r="T9923" s="318"/>
      <c r="U9923" s="318"/>
      <c r="V9923" s="318"/>
      <c r="W9923" s="318"/>
      <c r="X9923" s="318"/>
      <c r="Y9923" s="318"/>
      <c r="Z9923" s="318"/>
      <c r="AA9923" s="318"/>
      <c r="AB9923" s="318"/>
      <c r="AC9923" s="318"/>
      <c r="AD9923" s="318"/>
    </row>
    <row r="9924" spans="2:30" s="323" customFormat="1" ht="12" customHeight="1">
      <c r="B9924" s="324"/>
      <c r="C9924" s="325"/>
      <c r="D9924" s="326"/>
      <c r="E9924" s="326"/>
      <c r="F9924" s="326"/>
      <c r="G9924" s="326"/>
      <c r="H9924" s="326"/>
      <c r="P9924" s="318"/>
      <c r="Q9924" s="318"/>
      <c r="R9924" s="318"/>
      <c r="S9924" s="318"/>
      <c r="T9924" s="318"/>
      <c r="U9924" s="318"/>
      <c r="V9924" s="318"/>
      <c r="W9924" s="318"/>
      <c r="X9924" s="318"/>
      <c r="Y9924" s="318"/>
      <c r="Z9924" s="318"/>
      <c r="AA9924" s="318"/>
      <c r="AB9924" s="318"/>
      <c r="AC9924" s="318"/>
      <c r="AD9924" s="318"/>
    </row>
    <row r="9925" spans="2:30" s="323" customFormat="1" ht="12" customHeight="1">
      <c r="B9925" s="324"/>
      <c r="C9925" s="325"/>
      <c r="D9925" s="326"/>
      <c r="E9925" s="326"/>
      <c r="F9925" s="326"/>
      <c r="G9925" s="326"/>
      <c r="H9925" s="326"/>
      <c r="P9925" s="318"/>
      <c r="Q9925" s="318"/>
      <c r="R9925" s="318"/>
      <c r="S9925" s="318"/>
      <c r="T9925" s="318"/>
      <c r="U9925" s="318"/>
      <c r="V9925" s="318"/>
      <c r="W9925" s="318"/>
      <c r="X9925" s="318"/>
      <c r="Y9925" s="318"/>
      <c r="Z9925" s="318"/>
      <c r="AA9925" s="318"/>
      <c r="AB9925" s="318"/>
      <c r="AC9925" s="318"/>
      <c r="AD9925" s="318"/>
    </row>
    <row r="9926" spans="2:30" s="323" customFormat="1" ht="12" customHeight="1">
      <c r="B9926" s="324"/>
      <c r="C9926" s="325"/>
      <c r="D9926" s="326"/>
      <c r="E9926" s="326"/>
      <c r="F9926" s="326"/>
      <c r="G9926" s="326"/>
      <c r="H9926" s="326"/>
      <c r="P9926" s="318"/>
      <c r="Q9926" s="318"/>
      <c r="R9926" s="318"/>
      <c r="S9926" s="318"/>
      <c r="T9926" s="318"/>
      <c r="U9926" s="318"/>
      <c r="V9926" s="318"/>
      <c r="W9926" s="318"/>
      <c r="X9926" s="318"/>
      <c r="Y9926" s="318"/>
      <c r="Z9926" s="318"/>
      <c r="AA9926" s="318"/>
      <c r="AB9926" s="318"/>
      <c r="AC9926" s="318"/>
      <c r="AD9926" s="318"/>
    </row>
    <row r="9927" spans="2:30" s="323" customFormat="1" ht="12" customHeight="1">
      <c r="B9927" s="324"/>
      <c r="C9927" s="325"/>
      <c r="D9927" s="326"/>
      <c r="E9927" s="326"/>
      <c r="F9927" s="326"/>
      <c r="G9927" s="326"/>
      <c r="H9927" s="326"/>
      <c r="P9927" s="318"/>
      <c r="Q9927" s="318"/>
      <c r="R9927" s="318"/>
      <c r="S9927" s="318"/>
      <c r="T9927" s="318"/>
      <c r="U9927" s="318"/>
      <c r="V9927" s="318"/>
      <c r="W9927" s="318"/>
      <c r="X9927" s="318"/>
      <c r="Y9927" s="318"/>
      <c r="Z9927" s="318"/>
      <c r="AA9927" s="318"/>
      <c r="AB9927" s="318"/>
      <c r="AC9927" s="318"/>
      <c r="AD9927" s="318"/>
    </row>
    <row r="9928" spans="2:30" s="323" customFormat="1" ht="12" customHeight="1">
      <c r="B9928" s="324"/>
      <c r="C9928" s="325"/>
      <c r="D9928" s="326"/>
      <c r="E9928" s="326"/>
      <c r="F9928" s="326"/>
      <c r="G9928" s="326"/>
      <c r="H9928" s="326"/>
      <c r="P9928" s="318"/>
      <c r="Q9928" s="318"/>
      <c r="R9928" s="318"/>
      <c r="S9928" s="318"/>
      <c r="T9928" s="318"/>
      <c r="U9928" s="318"/>
      <c r="V9928" s="318"/>
      <c r="W9928" s="318"/>
      <c r="X9928" s="318"/>
      <c r="Y9928" s="318"/>
      <c r="Z9928" s="318"/>
      <c r="AA9928" s="318"/>
      <c r="AB9928" s="318"/>
      <c r="AC9928" s="318"/>
      <c r="AD9928" s="318"/>
    </row>
    <row r="9929" spans="2:30" s="323" customFormat="1" ht="12" customHeight="1">
      <c r="B9929" s="324"/>
      <c r="C9929" s="325"/>
      <c r="D9929" s="326"/>
      <c r="E9929" s="326"/>
      <c r="F9929" s="326"/>
      <c r="G9929" s="326"/>
      <c r="H9929" s="326"/>
      <c r="P9929" s="318"/>
      <c r="Q9929" s="318"/>
      <c r="R9929" s="318"/>
      <c r="S9929" s="318"/>
      <c r="T9929" s="318"/>
      <c r="U9929" s="318"/>
      <c r="V9929" s="318"/>
      <c r="W9929" s="318"/>
      <c r="X9929" s="318"/>
      <c r="Y9929" s="318"/>
      <c r="Z9929" s="318"/>
      <c r="AA9929" s="318"/>
      <c r="AB9929" s="318"/>
      <c r="AC9929" s="318"/>
      <c r="AD9929" s="318"/>
    </row>
    <row r="9930" spans="2:30" s="323" customFormat="1" ht="12" customHeight="1">
      <c r="B9930" s="324"/>
      <c r="C9930" s="325"/>
      <c r="D9930" s="326"/>
      <c r="E9930" s="326"/>
      <c r="F9930" s="326"/>
      <c r="G9930" s="326"/>
      <c r="H9930" s="326"/>
      <c r="P9930" s="318"/>
      <c r="Q9930" s="318"/>
      <c r="R9930" s="318"/>
      <c r="S9930" s="318"/>
      <c r="T9930" s="318"/>
      <c r="U9930" s="318"/>
      <c r="V9930" s="318"/>
      <c r="W9930" s="318"/>
      <c r="X9930" s="318"/>
      <c r="Y9930" s="318"/>
      <c r="Z9930" s="318"/>
      <c r="AA9930" s="318"/>
      <c r="AB9930" s="318"/>
      <c r="AC9930" s="318"/>
      <c r="AD9930" s="318"/>
    </row>
    <row r="9931" spans="2:30" s="323" customFormat="1" ht="12" customHeight="1">
      <c r="B9931" s="324"/>
      <c r="C9931" s="325"/>
      <c r="D9931" s="326"/>
      <c r="E9931" s="326"/>
      <c r="F9931" s="326"/>
      <c r="G9931" s="326"/>
      <c r="H9931" s="326"/>
      <c r="P9931" s="318"/>
      <c r="Q9931" s="318"/>
      <c r="R9931" s="318"/>
      <c r="S9931" s="318"/>
      <c r="T9931" s="318"/>
      <c r="U9931" s="318"/>
      <c r="V9931" s="318"/>
      <c r="W9931" s="318"/>
      <c r="X9931" s="318"/>
      <c r="Y9931" s="318"/>
      <c r="Z9931" s="318"/>
      <c r="AA9931" s="318"/>
      <c r="AB9931" s="318"/>
      <c r="AC9931" s="318"/>
      <c r="AD9931" s="318"/>
    </row>
    <row r="9932" spans="2:30" s="323" customFormat="1" ht="12" customHeight="1">
      <c r="B9932" s="324"/>
      <c r="C9932" s="325"/>
      <c r="D9932" s="326"/>
      <c r="E9932" s="326"/>
      <c r="F9932" s="326"/>
      <c r="G9932" s="326"/>
      <c r="H9932" s="326"/>
      <c r="P9932" s="318"/>
      <c r="Q9932" s="318"/>
      <c r="R9932" s="318"/>
      <c r="S9932" s="318"/>
      <c r="T9932" s="318"/>
      <c r="U9932" s="318"/>
      <c r="V9932" s="318"/>
      <c r="W9932" s="318"/>
      <c r="X9932" s="318"/>
      <c r="Y9932" s="318"/>
      <c r="Z9932" s="318"/>
      <c r="AA9932" s="318"/>
      <c r="AB9932" s="318"/>
      <c r="AC9932" s="318"/>
      <c r="AD9932" s="318"/>
    </row>
    <row r="9933" spans="2:30" s="323" customFormat="1" ht="12" customHeight="1">
      <c r="B9933" s="324"/>
      <c r="C9933" s="325"/>
      <c r="D9933" s="326"/>
      <c r="E9933" s="326"/>
      <c r="F9933" s="326"/>
      <c r="G9933" s="326"/>
      <c r="H9933" s="326"/>
      <c r="P9933" s="318"/>
      <c r="Q9933" s="318"/>
      <c r="R9933" s="318"/>
      <c r="S9933" s="318"/>
      <c r="T9933" s="318"/>
      <c r="U9933" s="318"/>
      <c r="V9933" s="318"/>
      <c r="W9933" s="318"/>
      <c r="X9933" s="318"/>
      <c r="Y9933" s="318"/>
      <c r="Z9933" s="318"/>
      <c r="AA9933" s="318"/>
      <c r="AB9933" s="318"/>
      <c r="AC9933" s="318"/>
      <c r="AD9933" s="318"/>
    </row>
    <row r="9934" spans="2:30" s="323" customFormat="1" ht="12" customHeight="1">
      <c r="B9934" s="324"/>
      <c r="C9934" s="325"/>
      <c r="D9934" s="326"/>
      <c r="E9934" s="326"/>
      <c r="F9934" s="326"/>
      <c r="G9934" s="326"/>
      <c r="H9934" s="326"/>
      <c r="P9934" s="318"/>
      <c r="Q9934" s="318"/>
      <c r="R9934" s="318"/>
      <c r="S9934" s="318"/>
      <c r="T9934" s="318"/>
      <c r="U9934" s="318"/>
      <c r="V9934" s="318"/>
      <c r="W9934" s="318"/>
      <c r="X9934" s="318"/>
      <c r="Y9934" s="318"/>
      <c r="Z9934" s="318"/>
      <c r="AA9934" s="318"/>
      <c r="AB9934" s="318"/>
      <c r="AC9934" s="318"/>
      <c r="AD9934" s="318"/>
    </row>
    <row r="9935" spans="2:30" s="323" customFormat="1" ht="12" customHeight="1">
      <c r="B9935" s="324"/>
      <c r="C9935" s="325"/>
      <c r="D9935" s="326"/>
      <c r="E9935" s="326"/>
      <c r="F9935" s="326"/>
      <c r="G9935" s="326"/>
      <c r="H9935" s="326"/>
      <c r="P9935" s="318"/>
      <c r="Q9935" s="318"/>
      <c r="R9935" s="318"/>
      <c r="S9935" s="318"/>
      <c r="T9935" s="318"/>
      <c r="U9935" s="318"/>
      <c r="V9935" s="318"/>
      <c r="W9935" s="318"/>
      <c r="X9935" s="318"/>
      <c r="Y9935" s="318"/>
      <c r="Z9935" s="318"/>
      <c r="AA9935" s="318"/>
      <c r="AB9935" s="318"/>
      <c r="AC9935" s="318"/>
      <c r="AD9935" s="318"/>
    </row>
    <row r="9936" spans="2:30" s="323" customFormat="1" ht="12" customHeight="1">
      <c r="B9936" s="324"/>
      <c r="C9936" s="325"/>
      <c r="D9936" s="326"/>
      <c r="E9936" s="326"/>
      <c r="F9936" s="326"/>
      <c r="G9936" s="326"/>
      <c r="H9936" s="326"/>
      <c r="P9936" s="318"/>
      <c r="Q9936" s="318"/>
      <c r="R9936" s="318"/>
      <c r="S9936" s="318"/>
      <c r="T9936" s="318"/>
      <c r="U9936" s="318"/>
      <c r="V9936" s="318"/>
      <c r="W9936" s="318"/>
      <c r="X9936" s="318"/>
      <c r="Y9936" s="318"/>
      <c r="Z9936" s="318"/>
      <c r="AA9936" s="318"/>
      <c r="AB9936" s="318"/>
      <c r="AC9936" s="318"/>
      <c r="AD9936" s="318"/>
    </row>
    <row r="9937" spans="2:30" s="323" customFormat="1" ht="12" customHeight="1">
      <c r="B9937" s="324"/>
      <c r="C9937" s="325"/>
      <c r="D9937" s="326"/>
      <c r="E9937" s="326"/>
      <c r="F9937" s="326"/>
      <c r="G9937" s="326"/>
      <c r="H9937" s="326"/>
      <c r="P9937" s="318"/>
      <c r="Q9937" s="318"/>
      <c r="R9937" s="318"/>
      <c r="S9937" s="318"/>
      <c r="T9937" s="318"/>
      <c r="U9937" s="318"/>
      <c r="V9937" s="318"/>
      <c r="W9937" s="318"/>
      <c r="X9937" s="318"/>
      <c r="Y9937" s="318"/>
      <c r="Z9937" s="318"/>
      <c r="AA9937" s="318"/>
      <c r="AB9937" s="318"/>
      <c r="AC9937" s="318"/>
      <c r="AD9937" s="318"/>
    </row>
    <row r="9938" spans="2:30" s="323" customFormat="1" ht="12" customHeight="1">
      <c r="B9938" s="324"/>
      <c r="C9938" s="325"/>
      <c r="D9938" s="326"/>
      <c r="E9938" s="326"/>
      <c r="F9938" s="326"/>
      <c r="G9938" s="326"/>
      <c r="H9938" s="326"/>
      <c r="P9938" s="318"/>
      <c r="Q9938" s="318"/>
      <c r="R9938" s="318"/>
      <c r="S9938" s="318"/>
      <c r="T9938" s="318"/>
      <c r="U9938" s="318"/>
      <c r="V9938" s="318"/>
      <c r="W9938" s="318"/>
      <c r="X9938" s="318"/>
      <c r="Y9938" s="318"/>
      <c r="Z9938" s="318"/>
      <c r="AA9938" s="318"/>
      <c r="AB9938" s="318"/>
      <c r="AC9938" s="318"/>
      <c r="AD9938" s="318"/>
    </row>
    <row r="9939" spans="2:30" s="323" customFormat="1" ht="12" customHeight="1">
      <c r="B9939" s="324"/>
      <c r="C9939" s="325"/>
      <c r="D9939" s="326"/>
      <c r="E9939" s="326"/>
      <c r="F9939" s="326"/>
      <c r="G9939" s="326"/>
      <c r="H9939" s="326"/>
      <c r="P9939" s="318"/>
      <c r="Q9939" s="318"/>
      <c r="R9939" s="318"/>
      <c r="S9939" s="318"/>
      <c r="T9939" s="318"/>
      <c r="U9939" s="318"/>
      <c r="V9939" s="318"/>
      <c r="W9939" s="318"/>
      <c r="X9939" s="318"/>
      <c r="Y9939" s="318"/>
      <c r="Z9939" s="318"/>
      <c r="AA9939" s="318"/>
      <c r="AB9939" s="318"/>
      <c r="AC9939" s="318"/>
      <c r="AD9939" s="318"/>
    </row>
    <row r="9940" spans="2:30" s="323" customFormat="1" ht="12" customHeight="1">
      <c r="B9940" s="324"/>
      <c r="C9940" s="325"/>
      <c r="D9940" s="326"/>
      <c r="E9940" s="326"/>
      <c r="F9940" s="326"/>
      <c r="G9940" s="326"/>
      <c r="H9940" s="326"/>
      <c r="P9940" s="318"/>
      <c r="Q9940" s="318"/>
      <c r="R9940" s="318"/>
      <c r="S9940" s="318"/>
      <c r="T9940" s="318"/>
      <c r="U9940" s="318"/>
      <c r="V9940" s="318"/>
      <c r="W9940" s="318"/>
      <c r="X9940" s="318"/>
      <c r="Y9940" s="318"/>
      <c r="Z9940" s="318"/>
      <c r="AA9940" s="318"/>
      <c r="AB9940" s="318"/>
      <c r="AC9940" s="318"/>
      <c r="AD9940" s="318"/>
    </row>
    <row r="9941" spans="2:30" s="323" customFormat="1" ht="12" customHeight="1">
      <c r="B9941" s="324"/>
      <c r="C9941" s="325"/>
      <c r="D9941" s="326"/>
      <c r="E9941" s="326"/>
      <c r="F9941" s="326"/>
      <c r="G9941" s="326"/>
      <c r="H9941" s="326"/>
      <c r="P9941" s="318"/>
      <c r="Q9941" s="318"/>
      <c r="R9941" s="318"/>
      <c r="S9941" s="318"/>
      <c r="T9941" s="318"/>
      <c r="U9941" s="318"/>
      <c r="V9941" s="318"/>
      <c r="W9941" s="318"/>
      <c r="X9941" s="318"/>
      <c r="Y9941" s="318"/>
      <c r="Z9941" s="318"/>
      <c r="AA9941" s="318"/>
      <c r="AB9941" s="318"/>
      <c r="AC9941" s="318"/>
      <c r="AD9941" s="318"/>
    </row>
    <row r="9942" spans="2:30" s="323" customFormat="1" ht="12" customHeight="1">
      <c r="B9942" s="324"/>
      <c r="C9942" s="325"/>
      <c r="D9942" s="326"/>
      <c r="E9942" s="326"/>
      <c r="F9942" s="326"/>
      <c r="G9942" s="326"/>
      <c r="H9942" s="326"/>
      <c r="P9942" s="318"/>
      <c r="Q9942" s="318"/>
      <c r="R9942" s="318"/>
      <c r="S9942" s="318"/>
      <c r="T9942" s="318"/>
      <c r="U9942" s="318"/>
      <c r="V9942" s="318"/>
      <c r="W9942" s="318"/>
      <c r="X9942" s="318"/>
      <c r="Y9942" s="318"/>
      <c r="Z9942" s="318"/>
      <c r="AA9942" s="318"/>
      <c r="AB9942" s="318"/>
      <c r="AC9942" s="318"/>
      <c r="AD9942" s="318"/>
    </row>
    <row r="9943" spans="2:30" s="323" customFormat="1" ht="12" customHeight="1">
      <c r="B9943" s="324"/>
      <c r="C9943" s="325"/>
      <c r="D9943" s="326"/>
      <c r="E9943" s="326"/>
      <c r="F9943" s="326"/>
      <c r="G9943" s="326"/>
      <c r="H9943" s="326"/>
      <c r="P9943" s="318"/>
      <c r="Q9943" s="318"/>
      <c r="R9943" s="318"/>
      <c r="S9943" s="318"/>
      <c r="T9943" s="318"/>
      <c r="U9943" s="318"/>
      <c r="V9943" s="318"/>
      <c r="W9943" s="318"/>
      <c r="X9943" s="318"/>
      <c r="Y9943" s="318"/>
      <c r="Z9943" s="318"/>
      <c r="AA9943" s="318"/>
      <c r="AB9943" s="318"/>
      <c r="AC9943" s="318"/>
      <c r="AD9943" s="318"/>
    </row>
    <row r="9944" spans="2:30" s="323" customFormat="1" ht="12" customHeight="1">
      <c r="B9944" s="324"/>
      <c r="C9944" s="325"/>
      <c r="D9944" s="326"/>
      <c r="E9944" s="326"/>
      <c r="F9944" s="326"/>
      <c r="G9944" s="326"/>
      <c r="H9944" s="326"/>
      <c r="P9944" s="318"/>
      <c r="Q9944" s="318"/>
      <c r="R9944" s="318"/>
      <c r="S9944" s="318"/>
      <c r="T9944" s="318"/>
      <c r="U9944" s="318"/>
      <c r="V9944" s="318"/>
      <c r="W9944" s="318"/>
      <c r="X9944" s="318"/>
      <c r="Y9944" s="318"/>
      <c r="Z9944" s="318"/>
      <c r="AA9944" s="318"/>
      <c r="AB9944" s="318"/>
      <c r="AC9944" s="318"/>
      <c r="AD9944" s="318"/>
    </row>
    <row r="9945" spans="2:30" s="323" customFormat="1" ht="12" customHeight="1">
      <c r="B9945" s="324"/>
      <c r="C9945" s="325"/>
      <c r="D9945" s="326"/>
      <c r="E9945" s="326"/>
      <c r="F9945" s="326"/>
      <c r="G9945" s="326"/>
      <c r="H9945" s="326"/>
      <c r="P9945" s="318"/>
      <c r="Q9945" s="318"/>
      <c r="R9945" s="318"/>
      <c r="S9945" s="318"/>
      <c r="T9945" s="318"/>
      <c r="U9945" s="318"/>
      <c r="V9945" s="318"/>
      <c r="W9945" s="318"/>
      <c r="X9945" s="318"/>
      <c r="Y9945" s="318"/>
      <c r="Z9945" s="318"/>
      <c r="AA9945" s="318"/>
      <c r="AB9945" s="318"/>
      <c r="AC9945" s="318"/>
      <c r="AD9945" s="318"/>
    </row>
    <row r="9946" spans="2:30" s="323" customFormat="1" ht="12" customHeight="1">
      <c r="B9946" s="324"/>
      <c r="C9946" s="325"/>
      <c r="D9946" s="326"/>
      <c r="E9946" s="326"/>
      <c r="F9946" s="326"/>
      <c r="G9946" s="326"/>
      <c r="H9946" s="326"/>
      <c r="P9946" s="318"/>
      <c r="Q9946" s="318"/>
      <c r="R9946" s="318"/>
      <c r="S9946" s="318"/>
      <c r="T9946" s="318"/>
      <c r="U9946" s="318"/>
      <c r="V9946" s="318"/>
      <c r="W9946" s="318"/>
      <c r="X9946" s="318"/>
      <c r="Y9946" s="318"/>
      <c r="Z9946" s="318"/>
      <c r="AA9946" s="318"/>
      <c r="AB9946" s="318"/>
      <c r="AC9946" s="318"/>
      <c r="AD9946" s="318"/>
    </row>
    <row r="9947" spans="2:30" s="323" customFormat="1" ht="12" customHeight="1">
      <c r="B9947" s="324"/>
      <c r="C9947" s="325"/>
      <c r="D9947" s="326"/>
      <c r="E9947" s="326"/>
      <c r="F9947" s="326"/>
      <c r="G9947" s="326"/>
      <c r="H9947" s="326"/>
      <c r="P9947" s="318"/>
      <c r="Q9947" s="318"/>
      <c r="R9947" s="318"/>
      <c r="S9947" s="318"/>
      <c r="T9947" s="318"/>
      <c r="U9947" s="318"/>
      <c r="V9947" s="318"/>
      <c r="W9947" s="318"/>
      <c r="X9947" s="318"/>
      <c r="Y9947" s="318"/>
      <c r="Z9947" s="318"/>
      <c r="AA9947" s="318"/>
      <c r="AB9947" s="318"/>
      <c r="AC9947" s="318"/>
      <c r="AD9947" s="318"/>
    </row>
    <row r="9948" spans="2:30" s="323" customFormat="1" ht="12" customHeight="1">
      <c r="B9948" s="324"/>
      <c r="C9948" s="325"/>
      <c r="D9948" s="326"/>
      <c r="E9948" s="326"/>
      <c r="F9948" s="326"/>
      <c r="G9948" s="326"/>
      <c r="H9948" s="326"/>
      <c r="P9948" s="318"/>
      <c r="Q9948" s="318"/>
      <c r="R9948" s="318"/>
      <c r="S9948" s="318"/>
      <c r="T9948" s="318"/>
      <c r="U9948" s="318"/>
      <c r="V9948" s="318"/>
      <c r="W9948" s="318"/>
      <c r="X9948" s="318"/>
      <c r="Y9948" s="318"/>
      <c r="Z9948" s="318"/>
      <c r="AA9948" s="318"/>
      <c r="AB9948" s="318"/>
      <c r="AC9948" s="318"/>
      <c r="AD9948" s="318"/>
    </row>
    <row r="9949" spans="2:30" s="323" customFormat="1" ht="12" customHeight="1">
      <c r="B9949" s="324"/>
      <c r="C9949" s="325"/>
      <c r="D9949" s="326"/>
      <c r="E9949" s="326"/>
      <c r="F9949" s="326"/>
      <c r="G9949" s="326"/>
      <c r="H9949" s="326"/>
      <c r="P9949" s="318"/>
      <c r="Q9949" s="318"/>
      <c r="R9949" s="318"/>
      <c r="S9949" s="318"/>
      <c r="T9949" s="318"/>
      <c r="U9949" s="318"/>
      <c r="V9949" s="318"/>
      <c r="W9949" s="318"/>
      <c r="X9949" s="318"/>
      <c r="Y9949" s="318"/>
      <c r="Z9949" s="318"/>
      <c r="AA9949" s="318"/>
      <c r="AB9949" s="318"/>
      <c r="AC9949" s="318"/>
      <c r="AD9949" s="318"/>
    </row>
    <row r="9950" spans="2:30" s="323" customFormat="1" ht="12" customHeight="1">
      <c r="B9950" s="324"/>
      <c r="C9950" s="325"/>
      <c r="D9950" s="326"/>
      <c r="E9950" s="326"/>
      <c r="F9950" s="326"/>
      <c r="G9950" s="326"/>
      <c r="H9950" s="326"/>
      <c r="P9950" s="318"/>
      <c r="Q9950" s="318"/>
      <c r="R9950" s="318"/>
      <c r="S9950" s="318"/>
      <c r="T9950" s="318"/>
      <c r="U9950" s="318"/>
      <c r="V9950" s="318"/>
      <c r="W9950" s="318"/>
      <c r="X9950" s="318"/>
      <c r="Y9950" s="318"/>
      <c r="Z9950" s="318"/>
      <c r="AA9950" s="318"/>
      <c r="AB9950" s="318"/>
      <c r="AC9950" s="318"/>
      <c r="AD9950" s="318"/>
    </row>
    <row r="9951" spans="2:30" s="323" customFormat="1" ht="12" customHeight="1">
      <c r="B9951" s="324"/>
      <c r="C9951" s="325"/>
      <c r="D9951" s="326"/>
      <c r="E9951" s="326"/>
      <c r="F9951" s="326"/>
      <c r="G9951" s="326"/>
      <c r="H9951" s="326"/>
      <c r="P9951" s="318"/>
      <c r="Q9951" s="318"/>
      <c r="R9951" s="318"/>
      <c r="S9951" s="318"/>
      <c r="T9951" s="318"/>
      <c r="U9951" s="318"/>
      <c r="V9951" s="318"/>
      <c r="W9951" s="318"/>
      <c r="X9951" s="318"/>
      <c r="Y9951" s="318"/>
      <c r="Z9951" s="318"/>
      <c r="AA9951" s="318"/>
      <c r="AB9951" s="318"/>
      <c r="AC9951" s="318"/>
      <c r="AD9951" s="318"/>
    </row>
    <row r="9952" spans="2:30" s="323" customFormat="1" ht="12" customHeight="1">
      <c r="B9952" s="324"/>
      <c r="C9952" s="325"/>
      <c r="D9952" s="326"/>
      <c r="E9952" s="326"/>
      <c r="F9952" s="326"/>
      <c r="G9952" s="326"/>
      <c r="H9952" s="326"/>
      <c r="P9952" s="318"/>
      <c r="Q9952" s="318"/>
      <c r="R9952" s="318"/>
      <c r="S9952" s="318"/>
      <c r="T9952" s="318"/>
      <c r="U9952" s="318"/>
      <c r="V9952" s="318"/>
      <c r="W9952" s="318"/>
      <c r="X9952" s="318"/>
      <c r="Y9952" s="318"/>
      <c r="Z9952" s="318"/>
      <c r="AA9952" s="318"/>
      <c r="AB9952" s="318"/>
      <c r="AC9952" s="318"/>
      <c r="AD9952" s="318"/>
    </row>
    <row r="9953" spans="2:30" s="323" customFormat="1" ht="12" customHeight="1">
      <c r="B9953" s="324"/>
      <c r="C9953" s="325"/>
      <c r="D9953" s="326"/>
      <c r="E9953" s="326"/>
      <c r="F9953" s="326"/>
      <c r="G9953" s="326"/>
      <c r="H9953" s="326"/>
      <c r="P9953" s="318"/>
      <c r="Q9953" s="318"/>
      <c r="R9953" s="318"/>
      <c r="S9953" s="318"/>
      <c r="T9953" s="318"/>
      <c r="U9953" s="318"/>
      <c r="V9953" s="318"/>
      <c r="W9953" s="318"/>
      <c r="X9953" s="318"/>
      <c r="Y9953" s="318"/>
      <c r="Z9953" s="318"/>
      <c r="AA9953" s="318"/>
      <c r="AB9953" s="318"/>
      <c r="AC9953" s="318"/>
      <c r="AD9953" s="318"/>
    </row>
    <row r="9954" spans="2:30" s="323" customFormat="1" ht="12" customHeight="1">
      <c r="B9954" s="324"/>
      <c r="C9954" s="325"/>
      <c r="D9954" s="326"/>
      <c r="E9954" s="326"/>
      <c r="F9954" s="326"/>
      <c r="G9954" s="326"/>
      <c r="H9954" s="326"/>
      <c r="P9954" s="318"/>
      <c r="Q9954" s="318"/>
      <c r="R9954" s="318"/>
      <c r="S9954" s="318"/>
      <c r="T9954" s="318"/>
      <c r="U9954" s="318"/>
      <c r="V9954" s="318"/>
      <c r="W9954" s="318"/>
      <c r="X9954" s="318"/>
      <c r="Y9954" s="318"/>
      <c r="Z9954" s="318"/>
      <c r="AA9954" s="318"/>
      <c r="AB9954" s="318"/>
      <c r="AC9954" s="318"/>
      <c r="AD9954" s="318"/>
    </row>
    <row r="9955" spans="2:30" s="323" customFormat="1" ht="12" customHeight="1">
      <c r="B9955" s="324"/>
      <c r="C9955" s="325"/>
      <c r="D9955" s="326"/>
      <c r="E9955" s="326"/>
      <c r="F9955" s="326"/>
      <c r="G9955" s="326"/>
      <c r="H9955" s="326"/>
      <c r="P9955" s="318"/>
      <c r="Q9955" s="318"/>
      <c r="R9955" s="318"/>
      <c r="S9955" s="318"/>
      <c r="T9955" s="318"/>
      <c r="U9955" s="318"/>
      <c r="V9955" s="318"/>
      <c r="W9955" s="318"/>
      <c r="X9955" s="318"/>
      <c r="Y9955" s="318"/>
      <c r="Z9955" s="318"/>
      <c r="AA9955" s="318"/>
      <c r="AB9955" s="318"/>
      <c r="AC9955" s="318"/>
      <c r="AD9955" s="318"/>
    </row>
    <row r="9956" spans="2:30" s="323" customFormat="1" ht="12" customHeight="1">
      <c r="B9956" s="324"/>
      <c r="C9956" s="325"/>
      <c r="D9956" s="326"/>
      <c r="E9956" s="326"/>
      <c r="F9956" s="326"/>
      <c r="G9956" s="326"/>
      <c r="H9956" s="326"/>
      <c r="P9956" s="318"/>
      <c r="Q9956" s="318"/>
      <c r="R9956" s="318"/>
      <c r="S9956" s="318"/>
      <c r="T9956" s="318"/>
      <c r="U9956" s="318"/>
      <c r="V9956" s="318"/>
      <c r="W9956" s="318"/>
      <c r="X9956" s="318"/>
      <c r="Y9956" s="318"/>
      <c r="Z9956" s="318"/>
      <c r="AA9956" s="318"/>
      <c r="AB9956" s="318"/>
      <c r="AC9956" s="318"/>
      <c r="AD9956" s="318"/>
    </row>
    <row r="9957" spans="2:30" s="323" customFormat="1" ht="12" customHeight="1">
      <c r="B9957" s="324"/>
      <c r="C9957" s="325"/>
      <c r="D9957" s="326"/>
      <c r="E9957" s="326"/>
      <c r="F9957" s="326"/>
      <c r="G9957" s="326"/>
      <c r="H9957" s="326"/>
      <c r="P9957" s="318"/>
      <c r="Q9957" s="318"/>
      <c r="R9957" s="318"/>
      <c r="S9957" s="318"/>
      <c r="T9957" s="318"/>
      <c r="U9957" s="318"/>
      <c r="V9957" s="318"/>
      <c r="W9957" s="318"/>
      <c r="X9957" s="318"/>
      <c r="Y9957" s="318"/>
      <c r="Z9957" s="318"/>
      <c r="AA9957" s="318"/>
      <c r="AB9957" s="318"/>
      <c r="AC9957" s="318"/>
      <c r="AD9957" s="318"/>
    </row>
    <row r="9958" spans="2:30" s="323" customFormat="1" ht="12" customHeight="1">
      <c r="B9958" s="324"/>
      <c r="C9958" s="325"/>
      <c r="D9958" s="326"/>
      <c r="E9958" s="326"/>
      <c r="F9958" s="326"/>
      <c r="G9958" s="326"/>
      <c r="H9958" s="326"/>
      <c r="P9958" s="318"/>
      <c r="Q9958" s="318"/>
      <c r="R9958" s="318"/>
      <c r="S9958" s="318"/>
      <c r="T9958" s="318"/>
      <c r="U9958" s="318"/>
      <c r="V9958" s="318"/>
      <c r="W9958" s="318"/>
      <c r="X9958" s="318"/>
      <c r="Y9958" s="318"/>
      <c r="Z9958" s="318"/>
      <c r="AA9958" s="318"/>
      <c r="AB9958" s="318"/>
      <c r="AC9958" s="318"/>
      <c r="AD9958" s="318"/>
    </row>
    <row r="9959" spans="2:30" s="323" customFormat="1" ht="12" customHeight="1">
      <c r="B9959" s="324"/>
      <c r="C9959" s="325"/>
      <c r="D9959" s="326"/>
      <c r="E9959" s="326"/>
      <c r="F9959" s="326"/>
      <c r="G9959" s="326"/>
      <c r="H9959" s="326"/>
      <c r="P9959" s="318"/>
      <c r="Q9959" s="318"/>
      <c r="R9959" s="318"/>
      <c r="S9959" s="318"/>
      <c r="T9959" s="318"/>
      <c r="U9959" s="318"/>
      <c r="V9959" s="318"/>
      <c r="W9959" s="318"/>
      <c r="X9959" s="318"/>
      <c r="Y9959" s="318"/>
      <c r="Z9959" s="318"/>
      <c r="AA9959" s="318"/>
      <c r="AB9959" s="318"/>
      <c r="AC9959" s="318"/>
      <c r="AD9959" s="318"/>
    </row>
    <row r="9960" spans="2:30" s="323" customFormat="1" ht="12" customHeight="1">
      <c r="B9960" s="324"/>
      <c r="C9960" s="325"/>
      <c r="D9960" s="326"/>
      <c r="E9960" s="326"/>
      <c r="F9960" s="326"/>
      <c r="G9960" s="326"/>
      <c r="H9960" s="326"/>
      <c r="P9960" s="318"/>
      <c r="Q9960" s="318"/>
      <c r="R9960" s="318"/>
      <c r="S9960" s="318"/>
      <c r="T9960" s="318"/>
      <c r="U9960" s="318"/>
      <c r="V9960" s="318"/>
      <c r="W9960" s="318"/>
      <c r="X9960" s="318"/>
      <c r="Y9960" s="318"/>
      <c r="Z9960" s="318"/>
      <c r="AA9960" s="318"/>
      <c r="AB9960" s="318"/>
      <c r="AC9960" s="318"/>
      <c r="AD9960" s="318"/>
    </row>
    <row r="9961" spans="2:30" s="323" customFormat="1" ht="12" customHeight="1">
      <c r="B9961" s="324"/>
      <c r="C9961" s="325"/>
      <c r="D9961" s="326"/>
      <c r="E9961" s="326"/>
      <c r="F9961" s="326"/>
      <c r="G9961" s="326"/>
      <c r="H9961" s="326"/>
      <c r="P9961" s="318"/>
      <c r="Q9961" s="318"/>
      <c r="R9961" s="318"/>
      <c r="S9961" s="318"/>
      <c r="T9961" s="318"/>
      <c r="U9961" s="318"/>
      <c r="V9961" s="318"/>
      <c r="W9961" s="318"/>
      <c r="X9961" s="318"/>
      <c r="Y9961" s="318"/>
      <c r="Z9961" s="318"/>
      <c r="AA9961" s="318"/>
      <c r="AB9961" s="318"/>
      <c r="AC9961" s="318"/>
      <c r="AD9961" s="318"/>
    </row>
    <row r="9962" spans="2:30" s="323" customFormat="1" ht="12" customHeight="1">
      <c r="B9962" s="324"/>
      <c r="C9962" s="325"/>
      <c r="D9962" s="326"/>
      <c r="E9962" s="326"/>
      <c r="F9962" s="326"/>
      <c r="G9962" s="326"/>
      <c r="H9962" s="326"/>
      <c r="P9962" s="318"/>
      <c r="Q9962" s="318"/>
      <c r="R9962" s="318"/>
      <c r="S9962" s="318"/>
      <c r="T9962" s="318"/>
      <c r="U9962" s="318"/>
      <c r="V9962" s="318"/>
      <c r="W9962" s="318"/>
      <c r="X9962" s="318"/>
      <c r="Y9962" s="318"/>
      <c r="Z9962" s="318"/>
      <c r="AA9962" s="318"/>
      <c r="AB9962" s="318"/>
      <c r="AC9962" s="318"/>
      <c r="AD9962" s="318"/>
    </row>
    <row r="9963" spans="2:30" s="323" customFormat="1" ht="12" customHeight="1">
      <c r="B9963" s="324"/>
      <c r="C9963" s="325"/>
      <c r="D9963" s="326"/>
      <c r="E9963" s="326"/>
      <c r="F9963" s="326"/>
      <c r="G9963" s="326"/>
      <c r="H9963" s="326"/>
      <c r="P9963" s="318"/>
      <c r="Q9963" s="318"/>
      <c r="R9963" s="318"/>
      <c r="S9963" s="318"/>
      <c r="T9963" s="318"/>
      <c r="U9963" s="318"/>
      <c r="V9963" s="318"/>
      <c r="W9963" s="318"/>
      <c r="X9963" s="318"/>
      <c r="Y9963" s="318"/>
      <c r="Z9963" s="318"/>
      <c r="AA9963" s="318"/>
      <c r="AB9963" s="318"/>
      <c r="AC9963" s="318"/>
      <c r="AD9963" s="318"/>
    </row>
    <row r="9964" spans="2:30" s="323" customFormat="1" ht="12" customHeight="1">
      <c r="B9964" s="324"/>
      <c r="C9964" s="325"/>
      <c r="D9964" s="326"/>
      <c r="E9964" s="326"/>
      <c r="F9964" s="326"/>
      <c r="G9964" s="326"/>
      <c r="H9964" s="326"/>
      <c r="P9964" s="318"/>
      <c r="Q9964" s="318"/>
      <c r="R9964" s="318"/>
      <c r="S9964" s="318"/>
      <c r="T9964" s="318"/>
      <c r="U9964" s="318"/>
      <c r="V9964" s="318"/>
      <c r="W9964" s="318"/>
      <c r="X9964" s="318"/>
      <c r="Y9964" s="318"/>
      <c r="Z9964" s="318"/>
      <c r="AA9964" s="318"/>
      <c r="AB9964" s="318"/>
      <c r="AC9964" s="318"/>
      <c r="AD9964" s="318"/>
    </row>
    <row r="9965" spans="2:30" s="323" customFormat="1" ht="12" customHeight="1">
      <c r="B9965" s="324"/>
      <c r="C9965" s="325"/>
      <c r="D9965" s="326"/>
      <c r="E9965" s="326"/>
      <c r="F9965" s="326"/>
      <c r="G9965" s="326"/>
      <c r="H9965" s="326"/>
      <c r="P9965" s="318"/>
      <c r="Q9965" s="318"/>
      <c r="R9965" s="318"/>
      <c r="S9965" s="318"/>
      <c r="T9965" s="318"/>
      <c r="U9965" s="318"/>
      <c r="V9965" s="318"/>
      <c r="W9965" s="318"/>
      <c r="X9965" s="318"/>
      <c r="Y9965" s="318"/>
      <c r="Z9965" s="318"/>
      <c r="AA9965" s="318"/>
      <c r="AB9965" s="318"/>
      <c r="AC9965" s="318"/>
      <c r="AD9965" s="318"/>
    </row>
    <row r="9966" spans="2:30" s="323" customFormat="1" ht="12" customHeight="1">
      <c r="B9966" s="324"/>
      <c r="C9966" s="325"/>
      <c r="D9966" s="326"/>
      <c r="E9966" s="326"/>
      <c r="F9966" s="326"/>
      <c r="G9966" s="326"/>
      <c r="H9966" s="326"/>
      <c r="P9966" s="318"/>
      <c r="Q9966" s="318"/>
      <c r="R9966" s="318"/>
      <c r="S9966" s="318"/>
      <c r="T9966" s="318"/>
      <c r="U9966" s="318"/>
      <c r="V9966" s="318"/>
      <c r="W9966" s="318"/>
      <c r="X9966" s="318"/>
      <c r="Y9966" s="318"/>
      <c r="Z9966" s="318"/>
      <c r="AA9966" s="318"/>
      <c r="AB9966" s="318"/>
      <c r="AC9966" s="318"/>
      <c r="AD9966" s="318"/>
    </row>
    <row r="9967" spans="2:30" s="323" customFormat="1" ht="12" customHeight="1">
      <c r="B9967" s="324"/>
      <c r="C9967" s="325"/>
      <c r="D9967" s="326"/>
      <c r="E9967" s="326"/>
      <c r="F9967" s="326"/>
      <c r="G9967" s="326"/>
      <c r="H9967" s="326"/>
      <c r="P9967" s="318"/>
      <c r="Q9967" s="318"/>
      <c r="R9967" s="318"/>
      <c r="S9967" s="318"/>
      <c r="T9967" s="318"/>
      <c r="U9967" s="318"/>
      <c r="V9967" s="318"/>
      <c r="W9967" s="318"/>
      <c r="X9967" s="318"/>
      <c r="Y9967" s="318"/>
      <c r="Z9967" s="318"/>
      <c r="AA9967" s="318"/>
      <c r="AB9967" s="318"/>
      <c r="AC9967" s="318"/>
      <c r="AD9967" s="318"/>
    </row>
    <row r="9968" spans="2:30" s="323" customFormat="1" ht="12" customHeight="1">
      <c r="B9968" s="324"/>
      <c r="C9968" s="325"/>
      <c r="D9968" s="326"/>
      <c r="E9968" s="326"/>
      <c r="F9968" s="326"/>
      <c r="G9968" s="326"/>
      <c r="H9968" s="326"/>
      <c r="P9968" s="318"/>
      <c r="Q9968" s="318"/>
      <c r="R9968" s="318"/>
      <c r="S9968" s="318"/>
      <c r="T9968" s="318"/>
      <c r="U9968" s="318"/>
      <c r="V9968" s="318"/>
      <c r="W9968" s="318"/>
      <c r="X9968" s="318"/>
      <c r="Y9968" s="318"/>
      <c r="Z9968" s="318"/>
      <c r="AA9968" s="318"/>
      <c r="AB9968" s="318"/>
      <c r="AC9968" s="318"/>
      <c r="AD9968" s="318"/>
    </row>
    <row r="9969" spans="2:30" s="323" customFormat="1" ht="12" customHeight="1">
      <c r="B9969" s="324"/>
      <c r="C9969" s="325"/>
      <c r="D9969" s="326"/>
      <c r="E9969" s="326"/>
      <c r="F9969" s="326"/>
      <c r="G9969" s="326"/>
      <c r="H9969" s="326"/>
      <c r="P9969" s="318"/>
      <c r="Q9969" s="318"/>
      <c r="R9969" s="318"/>
      <c r="S9969" s="318"/>
      <c r="T9969" s="318"/>
      <c r="U9969" s="318"/>
      <c r="V9969" s="318"/>
      <c r="W9969" s="318"/>
      <c r="X9969" s="318"/>
      <c r="Y9969" s="318"/>
      <c r="Z9969" s="318"/>
      <c r="AA9969" s="318"/>
      <c r="AB9969" s="318"/>
      <c r="AC9969" s="318"/>
      <c r="AD9969" s="318"/>
    </row>
    <row r="9970" spans="2:30" s="323" customFormat="1" ht="12" customHeight="1">
      <c r="B9970" s="324"/>
      <c r="C9970" s="325"/>
      <c r="D9970" s="326"/>
      <c r="E9970" s="326"/>
      <c r="F9970" s="326"/>
      <c r="G9970" s="326"/>
      <c r="H9970" s="326"/>
      <c r="P9970" s="318"/>
      <c r="Q9970" s="318"/>
      <c r="R9970" s="318"/>
      <c r="S9970" s="318"/>
      <c r="T9970" s="318"/>
      <c r="U9970" s="318"/>
      <c r="V9970" s="318"/>
      <c r="W9970" s="318"/>
      <c r="X9970" s="318"/>
      <c r="Y9970" s="318"/>
      <c r="Z9970" s="318"/>
      <c r="AA9970" s="318"/>
      <c r="AB9970" s="318"/>
      <c r="AC9970" s="318"/>
      <c r="AD9970" s="318"/>
    </row>
    <row r="9971" spans="2:30" s="323" customFormat="1" ht="12" customHeight="1">
      <c r="B9971" s="324"/>
      <c r="C9971" s="325"/>
      <c r="D9971" s="326"/>
      <c r="E9971" s="326"/>
      <c r="F9971" s="326"/>
      <c r="G9971" s="326"/>
      <c r="H9971" s="326"/>
      <c r="P9971" s="318"/>
      <c r="Q9971" s="318"/>
      <c r="R9971" s="318"/>
      <c r="S9971" s="318"/>
      <c r="T9971" s="318"/>
      <c r="U9971" s="318"/>
      <c r="V9971" s="318"/>
      <c r="W9971" s="318"/>
      <c r="X9971" s="318"/>
      <c r="Y9971" s="318"/>
      <c r="Z9971" s="318"/>
      <c r="AA9971" s="318"/>
      <c r="AB9971" s="318"/>
      <c r="AC9971" s="318"/>
      <c r="AD9971" s="318"/>
    </row>
    <row r="9972" spans="2:30" s="323" customFormat="1" ht="12" customHeight="1">
      <c r="B9972" s="324"/>
      <c r="C9972" s="325"/>
      <c r="D9972" s="326"/>
      <c r="E9972" s="326"/>
      <c r="F9972" s="326"/>
      <c r="G9972" s="326"/>
      <c r="H9972" s="326"/>
      <c r="P9972" s="318"/>
      <c r="Q9972" s="318"/>
      <c r="R9972" s="318"/>
      <c r="S9972" s="318"/>
      <c r="T9972" s="318"/>
      <c r="U9972" s="318"/>
      <c r="V9972" s="318"/>
      <c r="W9972" s="318"/>
      <c r="X9972" s="318"/>
      <c r="Y9972" s="318"/>
      <c r="Z9972" s="318"/>
      <c r="AA9972" s="318"/>
      <c r="AB9972" s="318"/>
      <c r="AC9972" s="318"/>
      <c r="AD9972" s="318"/>
    </row>
    <row r="9973" spans="2:30" s="323" customFormat="1" ht="12" customHeight="1">
      <c r="B9973" s="324"/>
      <c r="C9973" s="325"/>
      <c r="D9973" s="326"/>
      <c r="E9973" s="326"/>
      <c r="F9973" s="326"/>
      <c r="G9973" s="326"/>
      <c r="H9973" s="326"/>
      <c r="P9973" s="318"/>
      <c r="Q9973" s="318"/>
      <c r="R9973" s="318"/>
      <c r="S9973" s="318"/>
      <c r="T9973" s="318"/>
      <c r="U9973" s="318"/>
      <c r="V9973" s="318"/>
      <c r="W9973" s="318"/>
      <c r="X9973" s="318"/>
      <c r="Y9973" s="318"/>
      <c r="Z9973" s="318"/>
      <c r="AA9973" s="318"/>
      <c r="AB9973" s="318"/>
      <c r="AC9973" s="318"/>
      <c r="AD9973" s="318"/>
    </row>
    <row r="9974" spans="2:30" s="323" customFormat="1" ht="12" customHeight="1">
      <c r="B9974" s="324"/>
      <c r="C9974" s="325"/>
      <c r="D9974" s="326"/>
      <c r="E9974" s="326"/>
      <c r="F9974" s="326"/>
      <c r="G9974" s="326"/>
      <c r="H9974" s="326"/>
      <c r="P9974" s="318"/>
      <c r="Q9974" s="318"/>
      <c r="R9974" s="318"/>
      <c r="S9974" s="318"/>
      <c r="T9974" s="318"/>
      <c r="U9974" s="318"/>
      <c r="V9974" s="318"/>
      <c r="W9974" s="318"/>
      <c r="X9974" s="318"/>
      <c r="Y9974" s="318"/>
      <c r="Z9974" s="318"/>
      <c r="AA9974" s="318"/>
      <c r="AB9974" s="318"/>
      <c r="AC9974" s="318"/>
      <c r="AD9974" s="318"/>
    </row>
    <row r="9975" spans="2:30" s="323" customFormat="1" ht="12" customHeight="1">
      <c r="B9975" s="324"/>
      <c r="C9975" s="325"/>
      <c r="D9975" s="326"/>
      <c r="E9975" s="326"/>
      <c r="F9975" s="326"/>
      <c r="G9975" s="326"/>
      <c r="H9975" s="326"/>
      <c r="P9975" s="318"/>
      <c r="Q9975" s="318"/>
      <c r="R9975" s="318"/>
      <c r="S9975" s="318"/>
      <c r="T9975" s="318"/>
      <c r="U9975" s="318"/>
      <c r="V9975" s="318"/>
      <c r="W9975" s="318"/>
      <c r="X9975" s="318"/>
      <c r="Y9975" s="318"/>
      <c r="Z9975" s="318"/>
      <c r="AA9975" s="318"/>
      <c r="AB9975" s="318"/>
      <c r="AC9975" s="318"/>
      <c r="AD9975" s="318"/>
    </row>
    <row r="9976" spans="2:30" s="323" customFormat="1" ht="12" customHeight="1">
      <c r="B9976" s="324"/>
      <c r="C9976" s="325"/>
      <c r="D9976" s="326"/>
      <c r="E9976" s="326"/>
      <c r="F9976" s="326"/>
      <c r="G9976" s="326"/>
      <c r="H9976" s="326"/>
      <c r="P9976" s="318"/>
      <c r="Q9976" s="318"/>
      <c r="R9976" s="318"/>
      <c r="S9976" s="318"/>
      <c r="T9976" s="318"/>
      <c r="U9976" s="318"/>
      <c r="V9976" s="318"/>
      <c r="W9976" s="318"/>
      <c r="X9976" s="318"/>
      <c r="Y9976" s="318"/>
      <c r="Z9976" s="318"/>
      <c r="AA9976" s="318"/>
      <c r="AB9976" s="318"/>
      <c r="AC9976" s="318"/>
      <c r="AD9976" s="318"/>
    </row>
    <row r="9977" spans="2:30" s="323" customFormat="1" ht="12" customHeight="1">
      <c r="B9977" s="324"/>
      <c r="C9977" s="325"/>
      <c r="D9977" s="326"/>
      <c r="E9977" s="326"/>
      <c r="F9977" s="326"/>
      <c r="G9977" s="326"/>
      <c r="H9977" s="326"/>
      <c r="P9977" s="318"/>
      <c r="Q9977" s="318"/>
      <c r="R9977" s="318"/>
      <c r="S9977" s="318"/>
      <c r="T9977" s="318"/>
      <c r="U9977" s="318"/>
      <c r="V9977" s="318"/>
      <c r="W9977" s="318"/>
      <c r="X9977" s="318"/>
      <c r="Y9977" s="318"/>
      <c r="Z9977" s="318"/>
      <c r="AA9977" s="318"/>
      <c r="AB9977" s="318"/>
      <c r="AC9977" s="318"/>
      <c r="AD9977" s="318"/>
    </row>
    <row r="9978" spans="2:30" s="323" customFormat="1" ht="12" customHeight="1">
      <c r="B9978" s="324"/>
      <c r="C9978" s="325"/>
      <c r="D9978" s="326"/>
      <c r="E9978" s="326"/>
      <c r="F9978" s="326"/>
      <c r="G9978" s="326"/>
      <c r="H9978" s="326"/>
      <c r="P9978" s="318"/>
      <c r="Q9978" s="318"/>
      <c r="R9978" s="318"/>
      <c r="S9978" s="318"/>
      <c r="T9978" s="318"/>
      <c r="U9978" s="318"/>
      <c r="V9978" s="318"/>
      <c r="W9978" s="318"/>
      <c r="X9978" s="318"/>
      <c r="Y9978" s="318"/>
      <c r="Z9978" s="318"/>
      <c r="AA9978" s="318"/>
      <c r="AB9978" s="318"/>
      <c r="AC9978" s="318"/>
      <c r="AD9978" s="318"/>
    </row>
    <row r="9979" spans="2:30" s="323" customFormat="1" ht="12" customHeight="1">
      <c r="B9979" s="324"/>
      <c r="C9979" s="325"/>
      <c r="D9979" s="326"/>
      <c r="E9979" s="326"/>
      <c r="F9979" s="326"/>
      <c r="G9979" s="326"/>
      <c r="H9979" s="326"/>
      <c r="P9979" s="318"/>
      <c r="Q9979" s="318"/>
      <c r="R9979" s="318"/>
      <c r="S9979" s="318"/>
      <c r="T9979" s="318"/>
      <c r="U9979" s="318"/>
      <c r="V9979" s="318"/>
      <c r="W9979" s="318"/>
      <c r="X9979" s="318"/>
      <c r="Y9979" s="318"/>
      <c r="Z9979" s="318"/>
      <c r="AA9979" s="318"/>
      <c r="AB9979" s="318"/>
      <c r="AC9979" s="318"/>
      <c r="AD9979" s="318"/>
    </row>
    <row r="9980" spans="2:30" s="323" customFormat="1" ht="12" customHeight="1">
      <c r="B9980" s="324"/>
      <c r="C9980" s="325"/>
      <c r="D9980" s="326"/>
      <c r="E9980" s="326"/>
      <c r="F9980" s="326"/>
      <c r="G9980" s="326"/>
      <c r="H9980" s="326"/>
      <c r="P9980" s="318"/>
      <c r="Q9980" s="318"/>
      <c r="R9980" s="318"/>
      <c r="S9980" s="318"/>
      <c r="T9980" s="318"/>
      <c r="U9980" s="318"/>
      <c r="V9980" s="318"/>
      <c r="W9980" s="318"/>
      <c r="X9980" s="318"/>
      <c r="Y9980" s="318"/>
      <c r="Z9980" s="318"/>
      <c r="AA9980" s="318"/>
      <c r="AB9980" s="318"/>
      <c r="AC9980" s="318"/>
      <c r="AD9980" s="318"/>
    </row>
    <row r="9981" spans="2:30" s="323" customFormat="1" ht="12" customHeight="1">
      <c r="B9981" s="324"/>
      <c r="C9981" s="325"/>
      <c r="D9981" s="326"/>
      <c r="E9981" s="326"/>
      <c r="F9981" s="326"/>
      <c r="G9981" s="326"/>
      <c r="H9981" s="326"/>
      <c r="P9981" s="318"/>
      <c r="Q9981" s="318"/>
      <c r="R9981" s="318"/>
      <c r="S9981" s="318"/>
      <c r="T9981" s="318"/>
      <c r="U9981" s="318"/>
      <c r="V9981" s="318"/>
      <c r="W9981" s="318"/>
      <c r="X9981" s="318"/>
      <c r="Y9981" s="318"/>
      <c r="Z9981" s="318"/>
      <c r="AA9981" s="318"/>
      <c r="AB9981" s="318"/>
      <c r="AC9981" s="318"/>
      <c r="AD9981" s="318"/>
    </row>
    <row r="9982" spans="2:30" s="323" customFormat="1" ht="12" customHeight="1">
      <c r="B9982" s="324"/>
      <c r="C9982" s="325"/>
      <c r="D9982" s="326"/>
      <c r="E9982" s="326"/>
      <c r="F9982" s="326"/>
      <c r="G9982" s="326"/>
      <c r="H9982" s="326"/>
      <c r="P9982" s="318"/>
      <c r="Q9982" s="318"/>
      <c r="R9982" s="318"/>
      <c r="S9982" s="318"/>
      <c r="T9982" s="318"/>
      <c r="U9982" s="318"/>
      <c r="V9982" s="318"/>
      <c r="W9982" s="318"/>
      <c r="X9982" s="318"/>
      <c r="Y9982" s="318"/>
      <c r="Z9982" s="318"/>
      <c r="AA9982" s="318"/>
      <c r="AB9982" s="318"/>
      <c r="AC9982" s="318"/>
      <c r="AD9982" s="318"/>
    </row>
    <row r="9983" spans="2:30" s="323" customFormat="1" ht="12" customHeight="1">
      <c r="B9983" s="324"/>
      <c r="C9983" s="325"/>
      <c r="D9983" s="326"/>
      <c r="E9983" s="326"/>
      <c r="F9983" s="326"/>
      <c r="G9983" s="326"/>
      <c r="H9983" s="326"/>
      <c r="P9983" s="318"/>
      <c r="Q9983" s="318"/>
      <c r="R9983" s="318"/>
      <c r="S9983" s="318"/>
      <c r="T9983" s="318"/>
      <c r="U9983" s="318"/>
      <c r="V9983" s="318"/>
      <c r="W9983" s="318"/>
      <c r="X9983" s="318"/>
      <c r="Y9983" s="318"/>
      <c r="Z9983" s="318"/>
      <c r="AA9983" s="318"/>
      <c r="AB9983" s="318"/>
      <c r="AC9983" s="318"/>
      <c r="AD9983" s="318"/>
    </row>
    <row r="9984" spans="2:30" s="323" customFormat="1" ht="12" customHeight="1">
      <c r="B9984" s="324"/>
      <c r="C9984" s="325"/>
      <c r="D9984" s="326"/>
      <c r="E9984" s="326"/>
      <c r="F9984" s="326"/>
      <c r="G9984" s="326"/>
      <c r="H9984" s="326"/>
      <c r="P9984" s="318"/>
      <c r="Q9984" s="318"/>
      <c r="R9984" s="318"/>
      <c r="S9984" s="318"/>
      <c r="T9984" s="318"/>
      <c r="U9984" s="318"/>
      <c r="V9984" s="318"/>
      <c r="W9984" s="318"/>
      <c r="X9984" s="318"/>
      <c r="Y9984" s="318"/>
      <c r="Z9984" s="318"/>
      <c r="AA9984" s="318"/>
      <c r="AB9984" s="318"/>
      <c r="AC9984" s="318"/>
      <c r="AD9984" s="318"/>
    </row>
    <row r="9985" spans="2:30" s="323" customFormat="1" ht="12" customHeight="1">
      <c r="B9985" s="324"/>
      <c r="C9985" s="325"/>
      <c r="D9985" s="326"/>
      <c r="E9985" s="326"/>
      <c r="F9985" s="326"/>
      <c r="G9985" s="326"/>
      <c r="H9985" s="326"/>
      <c r="P9985" s="318"/>
      <c r="Q9985" s="318"/>
      <c r="R9985" s="318"/>
      <c r="S9985" s="318"/>
      <c r="T9985" s="318"/>
      <c r="U9985" s="318"/>
      <c r="V9985" s="318"/>
      <c r="W9985" s="318"/>
      <c r="X9985" s="318"/>
      <c r="Y9985" s="318"/>
      <c r="Z9985" s="318"/>
      <c r="AA9985" s="318"/>
      <c r="AB9985" s="318"/>
      <c r="AC9985" s="318"/>
      <c r="AD9985" s="318"/>
    </row>
    <row r="9986" spans="2:30" s="323" customFormat="1" ht="12" customHeight="1">
      <c r="B9986" s="324"/>
      <c r="C9986" s="325"/>
      <c r="D9986" s="326"/>
      <c r="E9986" s="326"/>
      <c r="F9986" s="326"/>
      <c r="G9986" s="326"/>
      <c r="H9986" s="326"/>
      <c r="P9986" s="318"/>
      <c r="Q9986" s="318"/>
      <c r="R9986" s="318"/>
      <c r="S9986" s="318"/>
      <c r="T9986" s="318"/>
      <c r="U9986" s="318"/>
      <c r="V9986" s="318"/>
      <c r="W9986" s="318"/>
      <c r="X9986" s="318"/>
      <c r="Y9986" s="318"/>
      <c r="Z9986" s="318"/>
      <c r="AA9986" s="318"/>
      <c r="AB9986" s="318"/>
      <c r="AC9986" s="318"/>
      <c r="AD9986" s="318"/>
    </row>
    <row r="9987" spans="2:30" s="323" customFormat="1" ht="12" customHeight="1">
      <c r="B9987" s="324"/>
      <c r="C9987" s="325"/>
      <c r="D9987" s="326"/>
      <c r="E9987" s="326"/>
      <c r="F9987" s="326"/>
      <c r="G9987" s="326"/>
      <c r="H9987" s="326"/>
      <c r="P9987" s="318"/>
      <c r="Q9987" s="318"/>
      <c r="R9987" s="318"/>
      <c r="S9987" s="318"/>
      <c r="T9987" s="318"/>
      <c r="U9987" s="318"/>
      <c r="V9987" s="318"/>
      <c r="W9987" s="318"/>
      <c r="X9987" s="318"/>
      <c r="Y9987" s="318"/>
      <c r="Z9987" s="318"/>
      <c r="AA9987" s="318"/>
      <c r="AB9987" s="318"/>
      <c r="AC9987" s="318"/>
      <c r="AD9987" s="318"/>
    </row>
    <row r="9988" spans="2:30" s="323" customFormat="1" ht="12" customHeight="1">
      <c r="B9988" s="324"/>
      <c r="C9988" s="325"/>
      <c r="D9988" s="326"/>
      <c r="E9988" s="326"/>
      <c r="F9988" s="326"/>
      <c r="G9988" s="326"/>
      <c r="H9988" s="326"/>
      <c r="P9988" s="318"/>
      <c r="Q9988" s="318"/>
      <c r="R9988" s="318"/>
      <c r="S9988" s="318"/>
      <c r="T9988" s="318"/>
      <c r="U9988" s="318"/>
      <c r="V9988" s="318"/>
      <c r="W9988" s="318"/>
      <c r="X9988" s="318"/>
      <c r="Y9988" s="318"/>
      <c r="Z9988" s="318"/>
      <c r="AA9988" s="318"/>
      <c r="AB9988" s="318"/>
      <c r="AC9988" s="318"/>
      <c r="AD9988" s="318"/>
    </row>
    <row r="9989" spans="2:30" s="323" customFormat="1" ht="12" customHeight="1">
      <c r="B9989" s="324"/>
      <c r="C9989" s="325"/>
      <c r="D9989" s="326"/>
      <c r="E9989" s="326"/>
      <c r="F9989" s="326"/>
      <c r="G9989" s="326"/>
      <c r="H9989" s="326"/>
      <c r="P9989" s="318"/>
      <c r="Q9989" s="318"/>
      <c r="R9989" s="318"/>
      <c r="S9989" s="318"/>
      <c r="T9989" s="318"/>
      <c r="U9989" s="318"/>
      <c r="V9989" s="318"/>
      <c r="W9989" s="318"/>
      <c r="X9989" s="318"/>
      <c r="Y9989" s="318"/>
      <c r="Z9989" s="318"/>
      <c r="AA9989" s="318"/>
      <c r="AB9989" s="318"/>
      <c r="AC9989" s="318"/>
      <c r="AD9989" s="318"/>
    </row>
    <row r="9990" spans="2:30" s="323" customFormat="1" ht="12" customHeight="1">
      <c r="B9990" s="324"/>
      <c r="C9990" s="325"/>
      <c r="D9990" s="326"/>
      <c r="E9990" s="326"/>
      <c r="F9990" s="326"/>
      <c r="G9990" s="326"/>
      <c r="H9990" s="326"/>
      <c r="P9990" s="318"/>
      <c r="Q9990" s="318"/>
      <c r="R9990" s="318"/>
      <c r="S9990" s="318"/>
      <c r="T9990" s="318"/>
      <c r="U9990" s="318"/>
      <c r="V9990" s="318"/>
      <c r="W9990" s="318"/>
      <c r="X9990" s="318"/>
      <c r="Y9990" s="318"/>
      <c r="Z9990" s="318"/>
      <c r="AA9990" s="318"/>
      <c r="AB9990" s="318"/>
      <c r="AC9990" s="318"/>
      <c r="AD9990" s="318"/>
    </row>
    <row r="9991" spans="2:30" s="323" customFormat="1" ht="12" customHeight="1">
      <c r="B9991" s="324"/>
      <c r="C9991" s="325"/>
      <c r="D9991" s="326"/>
      <c r="E9991" s="326"/>
      <c r="F9991" s="326"/>
      <c r="G9991" s="326"/>
      <c r="H9991" s="326"/>
      <c r="P9991" s="318"/>
      <c r="Q9991" s="318"/>
      <c r="R9991" s="318"/>
      <c r="S9991" s="318"/>
      <c r="T9991" s="318"/>
      <c r="U9991" s="318"/>
      <c r="V9991" s="318"/>
      <c r="W9991" s="318"/>
      <c r="X9991" s="318"/>
      <c r="Y9991" s="318"/>
      <c r="Z9991" s="318"/>
      <c r="AA9991" s="318"/>
      <c r="AB9991" s="318"/>
      <c r="AC9991" s="318"/>
      <c r="AD9991" s="318"/>
    </row>
    <row r="9992" spans="2:30" s="323" customFormat="1" ht="12" customHeight="1">
      <c r="B9992" s="324"/>
      <c r="C9992" s="325"/>
      <c r="D9992" s="326"/>
      <c r="E9992" s="326"/>
      <c r="F9992" s="326"/>
      <c r="G9992" s="326"/>
      <c r="H9992" s="326"/>
      <c r="P9992" s="318"/>
      <c r="Q9992" s="318"/>
      <c r="R9992" s="318"/>
      <c r="S9992" s="318"/>
      <c r="T9992" s="318"/>
      <c r="U9992" s="318"/>
      <c r="V9992" s="318"/>
      <c r="W9992" s="318"/>
      <c r="X9992" s="318"/>
      <c r="Y9992" s="318"/>
      <c r="Z9992" s="318"/>
      <c r="AA9992" s="318"/>
      <c r="AB9992" s="318"/>
      <c r="AC9992" s="318"/>
      <c r="AD9992" s="318"/>
    </row>
    <row r="9993" spans="2:30" s="323" customFormat="1" ht="12" customHeight="1">
      <c r="B9993" s="324"/>
      <c r="C9993" s="325"/>
      <c r="D9993" s="326"/>
      <c r="E9993" s="326"/>
      <c r="F9993" s="326"/>
      <c r="G9993" s="326"/>
      <c r="H9993" s="326"/>
      <c r="P9993" s="318"/>
      <c r="Q9993" s="318"/>
      <c r="R9993" s="318"/>
      <c r="S9993" s="318"/>
      <c r="T9993" s="318"/>
      <c r="U9993" s="318"/>
      <c r="V9993" s="318"/>
      <c r="W9993" s="318"/>
      <c r="X9993" s="318"/>
      <c r="Y9993" s="318"/>
      <c r="Z9993" s="318"/>
      <c r="AA9993" s="318"/>
      <c r="AB9993" s="318"/>
      <c r="AC9993" s="318"/>
      <c r="AD9993" s="318"/>
    </row>
    <row r="9994" spans="2:30" s="323" customFormat="1" ht="12" customHeight="1">
      <c r="B9994" s="324"/>
      <c r="C9994" s="325"/>
      <c r="D9994" s="326"/>
      <c r="E9994" s="326"/>
      <c r="F9994" s="326"/>
      <c r="G9994" s="326"/>
      <c r="H9994" s="326"/>
      <c r="P9994" s="318"/>
      <c r="Q9994" s="318"/>
      <c r="R9994" s="318"/>
      <c r="S9994" s="318"/>
      <c r="T9994" s="318"/>
      <c r="U9994" s="318"/>
      <c r="V9994" s="318"/>
      <c r="W9994" s="318"/>
      <c r="X9994" s="318"/>
      <c r="Y9994" s="318"/>
      <c r="Z9994" s="318"/>
      <c r="AA9994" s="318"/>
      <c r="AB9994" s="318"/>
      <c r="AC9994" s="318"/>
      <c r="AD9994" s="318"/>
    </row>
    <row r="9995" spans="2:30" s="323" customFormat="1" ht="12" customHeight="1">
      <c r="B9995" s="324"/>
      <c r="C9995" s="325"/>
      <c r="D9995" s="326"/>
      <c r="E9995" s="326"/>
      <c r="F9995" s="326"/>
      <c r="G9995" s="326"/>
      <c r="H9995" s="326"/>
      <c r="P9995" s="318"/>
      <c r="Q9995" s="318"/>
      <c r="R9995" s="318"/>
      <c r="S9995" s="318"/>
      <c r="T9995" s="318"/>
      <c r="U9995" s="318"/>
      <c r="V9995" s="318"/>
      <c r="W9995" s="318"/>
      <c r="X9995" s="318"/>
      <c r="Y9995" s="318"/>
      <c r="Z9995" s="318"/>
      <c r="AA9995" s="318"/>
      <c r="AB9995" s="318"/>
      <c r="AC9995" s="318"/>
      <c r="AD9995" s="318"/>
    </row>
    <row r="9996" spans="2:30" s="323" customFormat="1" ht="12" customHeight="1">
      <c r="B9996" s="324"/>
      <c r="C9996" s="325"/>
      <c r="D9996" s="326"/>
      <c r="E9996" s="326"/>
      <c r="F9996" s="326"/>
      <c r="G9996" s="326"/>
      <c r="H9996" s="326"/>
      <c r="P9996" s="318"/>
      <c r="Q9996" s="318"/>
      <c r="R9996" s="318"/>
      <c r="S9996" s="318"/>
      <c r="T9996" s="318"/>
      <c r="U9996" s="318"/>
      <c r="V9996" s="318"/>
      <c r="W9996" s="318"/>
      <c r="X9996" s="318"/>
      <c r="Y9996" s="318"/>
      <c r="Z9996" s="318"/>
      <c r="AA9996" s="318"/>
      <c r="AB9996" s="318"/>
      <c r="AC9996" s="318"/>
      <c r="AD9996" s="318"/>
    </row>
    <row r="9997" spans="2:30" s="323" customFormat="1" ht="12" customHeight="1">
      <c r="B9997" s="324"/>
      <c r="C9997" s="325"/>
      <c r="D9997" s="326"/>
      <c r="E9997" s="326"/>
      <c r="F9997" s="326"/>
      <c r="G9997" s="326"/>
      <c r="H9997" s="326"/>
      <c r="P9997" s="318"/>
      <c r="Q9997" s="318"/>
      <c r="R9997" s="318"/>
      <c r="S9997" s="318"/>
      <c r="T9997" s="318"/>
      <c r="U9997" s="318"/>
      <c r="V9997" s="318"/>
      <c r="W9997" s="318"/>
      <c r="X9997" s="318"/>
      <c r="Y9997" s="318"/>
      <c r="Z9997" s="318"/>
      <c r="AA9997" s="318"/>
      <c r="AB9997" s="318"/>
      <c r="AC9997" s="318"/>
      <c r="AD9997" s="318"/>
    </row>
    <row r="9998" spans="2:30" s="323" customFormat="1" ht="12" customHeight="1">
      <c r="B9998" s="324"/>
      <c r="C9998" s="325"/>
      <c r="D9998" s="326"/>
      <c r="E9998" s="326"/>
      <c r="F9998" s="326"/>
      <c r="G9998" s="326"/>
      <c r="H9998" s="326"/>
      <c r="P9998" s="318"/>
      <c r="Q9998" s="318"/>
      <c r="R9998" s="318"/>
      <c r="S9998" s="318"/>
      <c r="T9998" s="318"/>
      <c r="U9998" s="318"/>
      <c r="V9998" s="318"/>
      <c r="W9998" s="318"/>
      <c r="X9998" s="318"/>
      <c r="Y9998" s="318"/>
      <c r="Z9998" s="318"/>
      <c r="AA9998" s="318"/>
      <c r="AB9998" s="318"/>
      <c r="AC9998" s="318"/>
      <c r="AD9998" s="318"/>
    </row>
    <row r="9999" spans="2:30" s="323" customFormat="1" ht="12" customHeight="1">
      <c r="B9999" s="324"/>
      <c r="C9999" s="325"/>
      <c r="D9999" s="326"/>
      <c r="E9999" s="326"/>
      <c r="F9999" s="326"/>
      <c r="G9999" s="326"/>
      <c r="H9999" s="326"/>
      <c r="P9999" s="318"/>
      <c r="Q9999" s="318"/>
      <c r="R9999" s="318"/>
      <c r="S9999" s="318"/>
      <c r="T9999" s="318"/>
      <c r="U9999" s="318"/>
      <c r="V9999" s="318"/>
      <c r="W9999" s="318"/>
      <c r="X9999" s="318"/>
      <c r="Y9999" s="318"/>
      <c r="Z9999" s="318"/>
      <c r="AA9999" s="318"/>
      <c r="AB9999" s="318"/>
      <c r="AC9999" s="318"/>
      <c r="AD9999" s="318"/>
    </row>
    <row r="10000" spans="2:30" s="323" customFormat="1" ht="12" customHeight="1">
      <c r="B10000" s="324"/>
      <c r="C10000" s="325"/>
      <c r="D10000" s="326"/>
      <c r="E10000" s="326"/>
      <c r="F10000" s="326"/>
      <c r="G10000" s="326"/>
      <c r="H10000" s="326"/>
      <c r="P10000" s="318"/>
      <c r="Q10000" s="318"/>
      <c r="R10000" s="318"/>
      <c r="S10000" s="318"/>
      <c r="T10000" s="318"/>
      <c r="U10000" s="318"/>
      <c r="V10000" s="318"/>
      <c r="W10000" s="318"/>
      <c r="X10000" s="318"/>
      <c r="Y10000" s="318"/>
      <c r="Z10000" s="318"/>
      <c r="AA10000" s="318"/>
      <c r="AB10000" s="318"/>
      <c r="AC10000" s="318"/>
      <c r="AD10000" s="318"/>
    </row>
    <row r="10001" spans="2:30" s="323" customFormat="1" ht="12" customHeight="1">
      <c r="B10001" s="324"/>
      <c r="C10001" s="325"/>
      <c r="D10001" s="326"/>
      <c r="E10001" s="326"/>
      <c r="F10001" s="326"/>
      <c r="G10001" s="326"/>
      <c r="H10001" s="326"/>
      <c r="P10001" s="318"/>
      <c r="Q10001" s="318"/>
      <c r="R10001" s="318"/>
      <c r="S10001" s="318"/>
      <c r="T10001" s="318"/>
      <c r="U10001" s="318"/>
      <c r="V10001" s="318"/>
      <c r="W10001" s="318"/>
      <c r="X10001" s="318"/>
      <c r="Y10001" s="318"/>
      <c r="Z10001" s="318"/>
      <c r="AA10001" s="318"/>
      <c r="AB10001" s="318"/>
      <c r="AC10001" s="318"/>
      <c r="AD10001" s="318"/>
    </row>
    <row r="10002" spans="2:30" s="323" customFormat="1" ht="12" customHeight="1">
      <c r="B10002" s="324"/>
      <c r="C10002" s="325"/>
      <c r="D10002" s="326"/>
      <c r="E10002" s="326"/>
      <c r="F10002" s="326"/>
      <c r="G10002" s="326"/>
      <c r="H10002" s="326"/>
      <c r="P10002" s="318"/>
      <c r="Q10002" s="318"/>
      <c r="R10002" s="318"/>
      <c r="S10002" s="318"/>
      <c r="T10002" s="318"/>
      <c r="U10002" s="318"/>
      <c r="V10002" s="318"/>
      <c r="W10002" s="318"/>
      <c r="X10002" s="318"/>
      <c r="Y10002" s="318"/>
      <c r="Z10002" s="318"/>
      <c r="AA10002" s="318"/>
      <c r="AB10002" s="318"/>
      <c r="AC10002" s="318"/>
      <c r="AD10002" s="318"/>
    </row>
    <row r="10003" spans="2:30" s="323" customFormat="1" ht="12" customHeight="1">
      <c r="B10003" s="324"/>
      <c r="C10003" s="325"/>
      <c r="D10003" s="326"/>
      <c r="E10003" s="326"/>
      <c r="F10003" s="326"/>
      <c r="G10003" s="326"/>
      <c r="H10003" s="326"/>
      <c r="P10003" s="318"/>
      <c r="Q10003" s="318"/>
      <c r="R10003" s="318"/>
      <c r="S10003" s="318"/>
      <c r="T10003" s="318"/>
      <c r="U10003" s="318"/>
      <c r="V10003" s="318"/>
      <c r="W10003" s="318"/>
      <c r="X10003" s="318"/>
      <c r="Y10003" s="318"/>
      <c r="Z10003" s="318"/>
      <c r="AA10003" s="318"/>
      <c r="AB10003" s="318"/>
      <c r="AC10003" s="318"/>
      <c r="AD10003" s="318"/>
    </row>
    <row r="10004" spans="2:30" s="323" customFormat="1" ht="12" customHeight="1">
      <c r="B10004" s="324"/>
      <c r="C10004" s="325"/>
      <c r="D10004" s="326"/>
      <c r="E10004" s="326"/>
      <c r="F10004" s="326"/>
      <c r="G10004" s="326"/>
      <c r="H10004" s="326"/>
      <c r="P10004" s="318"/>
      <c r="Q10004" s="318"/>
      <c r="R10004" s="318"/>
      <c r="S10004" s="318"/>
      <c r="T10004" s="318"/>
      <c r="U10004" s="318"/>
      <c r="V10004" s="318"/>
      <c r="W10004" s="318"/>
      <c r="X10004" s="318"/>
      <c r="Y10004" s="318"/>
      <c r="Z10004" s="318"/>
      <c r="AA10004" s="318"/>
      <c r="AB10004" s="318"/>
      <c r="AC10004" s="318"/>
      <c r="AD10004" s="318"/>
    </row>
    <row r="10005" spans="2:30" s="323" customFormat="1" ht="12" customHeight="1">
      <c r="B10005" s="324"/>
      <c r="C10005" s="325"/>
      <c r="D10005" s="326"/>
      <c r="E10005" s="326"/>
      <c r="F10005" s="326"/>
      <c r="G10005" s="326"/>
      <c r="H10005" s="326"/>
      <c r="P10005" s="318"/>
      <c r="Q10005" s="318"/>
      <c r="R10005" s="318"/>
      <c r="S10005" s="318"/>
      <c r="T10005" s="318"/>
      <c r="U10005" s="318"/>
      <c r="V10005" s="318"/>
      <c r="W10005" s="318"/>
      <c r="X10005" s="318"/>
      <c r="Y10005" s="318"/>
      <c r="Z10005" s="318"/>
      <c r="AA10005" s="318"/>
      <c r="AB10005" s="318"/>
      <c r="AC10005" s="318"/>
      <c r="AD10005" s="318"/>
    </row>
    <row r="10006" spans="2:30" s="323" customFormat="1" ht="12" customHeight="1">
      <c r="B10006" s="324"/>
      <c r="C10006" s="325"/>
      <c r="D10006" s="326"/>
      <c r="E10006" s="326"/>
      <c r="F10006" s="326"/>
      <c r="G10006" s="326"/>
      <c r="H10006" s="326"/>
      <c r="P10006" s="318"/>
      <c r="Q10006" s="318"/>
      <c r="R10006" s="318"/>
      <c r="S10006" s="318"/>
      <c r="T10006" s="318"/>
      <c r="U10006" s="318"/>
      <c r="V10006" s="318"/>
      <c r="W10006" s="318"/>
      <c r="X10006" s="318"/>
      <c r="Y10006" s="318"/>
      <c r="Z10006" s="318"/>
      <c r="AA10006" s="318"/>
      <c r="AB10006" s="318"/>
      <c r="AC10006" s="318"/>
      <c r="AD10006" s="318"/>
    </row>
    <row r="10007" spans="2:30" s="323" customFormat="1" ht="12" customHeight="1">
      <c r="B10007" s="324"/>
      <c r="C10007" s="325"/>
      <c r="D10007" s="326"/>
      <c r="E10007" s="326"/>
      <c r="F10007" s="326"/>
      <c r="G10007" s="326"/>
      <c r="H10007" s="326"/>
      <c r="P10007" s="318"/>
      <c r="Q10007" s="318"/>
      <c r="R10007" s="318"/>
      <c r="S10007" s="318"/>
      <c r="T10007" s="318"/>
      <c r="U10007" s="318"/>
      <c r="V10007" s="318"/>
      <c r="W10007" s="318"/>
      <c r="X10007" s="318"/>
      <c r="Y10007" s="318"/>
      <c r="Z10007" s="318"/>
      <c r="AA10007" s="318"/>
      <c r="AB10007" s="318"/>
      <c r="AC10007" s="318"/>
      <c r="AD10007" s="318"/>
    </row>
    <row r="10008" spans="2:30" s="323" customFormat="1" ht="12" customHeight="1">
      <c r="B10008" s="324"/>
      <c r="C10008" s="325"/>
      <c r="D10008" s="326"/>
      <c r="E10008" s="326"/>
      <c r="F10008" s="326"/>
      <c r="G10008" s="326"/>
      <c r="H10008" s="326"/>
      <c r="P10008" s="318"/>
      <c r="Q10008" s="318"/>
      <c r="R10008" s="318"/>
      <c r="S10008" s="318"/>
      <c r="T10008" s="318"/>
      <c r="U10008" s="318"/>
      <c r="V10008" s="318"/>
      <c r="W10008" s="318"/>
      <c r="X10008" s="318"/>
      <c r="Y10008" s="318"/>
      <c r="Z10008" s="318"/>
      <c r="AA10008" s="318"/>
      <c r="AB10008" s="318"/>
      <c r="AC10008" s="318"/>
      <c r="AD10008" s="318"/>
    </row>
    <row r="10009" spans="2:30" s="323" customFormat="1" ht="12" customHeight="1">
      <c r="B10009" s="324"/>
      <c r="C10009" s="325"/>
      <c r="D10009" s="326"/>
      <c r="E10009" s="326"/>
      <c r="F10009" s="326"/>
      <c r="G10009" s="326"/>
      <c r="H10009" s="326"/>
      <c r="P10009" s="318"/>
      <c r="Q10009" s="318"/>
      <c r="R10009" s="318"/>
      <c r="S10009" s="318"/>
      <c r="T10009" s="318"/>
      <c r="U10009" s="318"/>
      <c r="V10009" s="318"/>
      <c r="W10009" s="318"/>
      <c r="X10009" s="318"/>
      <c r="Y10009" s="318"/>
      <c r="Z10009" s="318"/>
      <c r="AA10009" s="318"/>
      <c r="AB10009" s="318"/>
      <c r="AC10009" s="318"/>
      <c r="AD10009" s="318"/>
    </row>
    <row r="10010" spans="2:30" s="323" customFormat="1" ht="12" customHeight="1">
      <c r="B10010" s="324"/>
      <c r="C10010" s="325"/>
      <c r="D10010" s="326"/>
      <c r="E10010" s="326"/>
      <c r="F10010" s="326"/>
      <c r="G10010" s="326"/>
      <c r="H10010" s="326"/>
      <c r="P10010" s="318"/>
      <c r="Q10010" s="318"/>
      <c r="R10010" s="318"/>
      <c r="S10010" s="318"/>
      <c r="T10010" s="318"/>
      <c r="U10010" s="318"/>
      <c r="V10010" s="318"/>
      <c r="W10010" s="318"/>
      <c r="X10010" s="318"/>
      <c r="Y10010" s="318"/>
      <c r="Z10010" s="318"/>
      <c r="AA10010" s="318"/>
      <c r="AB10010" s="318"/>
      <c r="AC10010" s="318"/>
      <c r="AD10010" s="318"/>
    </row>
    <row r="10011" spans="2:30" s="323" customFormat="1" ht="12" customHeight="1">
      <c r="B10011" s="324"/>
      <c r="C10011" s="325"/>
      <c r="D10011" s="326"/>
      <c r="E10011" s="326"/>
      <c r="F10011" s="326"/>
      <c r="G10011" s="326"/>
      <c r="H10011" s="326"/>
      <c r="P10011" s="318"/>
      <c r="Q10011" s="318"/>
      <c r="R10011" s="318"/>
      <c r="S10011" s="318"/>
      <c r="T10011" s="318"/>
      <c r="U10011" s="318"/>
      <c r="V10011" s="318"/>
      <c r="W10011" s="318"/>
      <c r="X10011" s="318"/>
      <c r="Y10011" s="318"/>
      <c r="Z10011" s="318"/>
      <c r="AA10011" s="318"/>
      <c r="AB10011" s="318"/>
      <c r="AC10011" s="318"/>
      <c r="AD10011" s="318"/>
    </row>
    <row r="10012" spans="2:30" s="323" customFormat="1" ht="12" customHeight="1">
      <c r="B10012" s="324"/>
      <c r="C10012" s="325"/>
      <c r="D10012" s="326"/>
      <c r="E10012" s="326"/>
      <c r="F10012" s="326"/>
      <c r="G10012" s="326"/>
      <c r="H10012" s="326"/>
      <c r="P10012" s="318"/>
      <c r="Q10012" s="318"/>
      <c r="R10012" s="318"/>
      <c r="S10012" s="318"/>
      <c r="T10012" s="318"/>
      <c r="U10012" s="318"/>
      <c r="V10012" s="318"/>
      <c r="W10012" s="318"/>
      <c r="X10012" s="318"/>
      <c r="Y10012" s="318"/>
      <c r="Z10012" s="318"/>
      <c r="AA10012" s="318"/>
      <c r="AB10012" s="318"/>
      <c r="AC10012" s="318"/>
      <c r="AD10012" s="318"/>
    </row>
    <row r="10013" spans="2:30" s="323" customFormat="1" ht="12" customHeight="1">
      <c r="B10013" s="324"/>
      <c r="C10013" s="325"/>
      <c r="D10013" s="326"/>
      <c r="E10013" s="326"/>
      <c r="F10013" s="326"/>
      <c r="G10013" s="326"/>
      <c r="H10013" s="326"/>
      <c r="P10013" s="318"/>
      <c r="Q10013" s="318"/>
      <c r="R10013" s="318"/>
      <c r="S10013" s="318"/>
      <c r="T10013" s="318"/>
      <c r="U10013" s="318"/>
      <c r="V10013" s="318"/>
      <c r="W10013" s="318"/>
      <c r="X10013" s="318"/>
      <c r="Y10013" s="318"/>
      <c r="Z10013" s="318"/>
      <c r="AA10013" s="318"/>
      <c r="AB10013" s="318"/>
      <c r="AC10013" s="318"/>
      <c r="AD10013" s="318"/>
    </row>
    <row r="10014" spans="2:30" s="323" customFormat="1" ht="12" customHeight="1">
      <c r="B10014" s="324"/>
      <c r="C10014" s="325"/>
      <c r="D10014" s="326"/>
      <c r="E10014" s="326"/>
      <c r="F10014" s="326"/>
      <c r="G10014" s="326"/>
      <c r="H10014" s="326"/>
      <c r="P10014" s="318"/>
      <c r="Q10014" s="318"/>
      <c r="R10014" s="318"/>
      <c r="S10014" s="318"/>
      <c r="T10014" s="318"/>
      <c r="U10014" s="318"/>
      <c r="V10014" s="318"/>
      <c r="W10014" s="318"/>
      <c r="X10014" s="318"/>
      <c r="Y10014" s="318"/>
      <c r="Z10014" s="318"/>
      <c r="AA10014" s="318"/>
      <c r="AB10014" s="318"/>
      <c r="AC10014" s="318"/>
      <c r="AD10014" s="318"/>
    </row>
    <row r="10015" spans="2:30" s="323" customFormat="1" ht="12" customHeight="1">
      <c r="B10015" s="324"/>
      <c r="C10015" s="325"/>
      <c r="D10015" s="326"/>
      <c r="E10015" s="326"/>
      <c r="F10015" s="326"/>
      <c r="G10015" s="326"/>
      <c r="H10015" s="326"/>
      <c r="P10015" s="318"/>
      <c r="Q10015" s="318"/>
      <c r="R10015" s="318"/>
      <c r="S10015" s="318"/>
      <c r="T10015" s="318"/>
      <c r="U10015" s="318"/>
      <c r="V10015" s="318"/>
      <c r="W10015" s="318"/>
      <c r="X10015" s="318"/>
      <c r="Y10015" s="318"/>
      <c r="Z10015" s="318"/>
      <c r="AA10015" s="318"/>
      <c r="AB10015" s="318"/>
      <c r="AC10015" s="318"/>
      <c r="AD10015" s="318"/>
    </row>
    <row r="10016" spans="2:30" s="323" customFormat="1" ht="12" customHeight="1">
      <c r="B10016" s="324"/>
      <c r="C10016" s="325"/>
      <c r="D10016" s="326"/>
      <c r="E10016" s="326"/>
      <c r="F10016" s="326"/>
      <c r="G10016" s="326"/>
      <c r="H10016" s="326"/>
      <c r="P10016" s="318"/>
      <c r="Q10016" s="318"/>
      <c r="R10016" s="318"/>
      <c r="S10016" s="318"/>
      <c r="T10016" s="318"/>
      <c r="U10016" s="318"/>
      <c r="V10016" s="318"/>
      <c r="W10016" s="318"/>
      <c r="X10016" s="318"/>
      <c r="Y10016" s="318"/>
      <c r="Z10016" s="318"/>
      <c r="AA10016" s="318"/>
      <c r="AB10016" s="318"/>
      <c r="AC10016" s="318"/>
      <c r="AD10016" s="318"/>
    </row>
    <row r="10017" spans="2:30" s="323" customFormat="1" ht="12" customHeight="1">
      <c r="B10017" s="324"/>
      <c r="C10017" s="325"/>
      <c r="D10017" s="326"/>
      <c r="E10017" s="326"/>
      <c r="F10017" s="326"/>
      <c r="G10017" s="326"/>
      <c r="H10017" s="326"/>
      <c r="P10017" s="318"/>
      <c r="Q10017" s="318"/>
      <c r="R10017" s="318"/>
      <c r="S10017" s="318"/>
      <c r="T10017" s="318"/>
      <c r="U10017" s="318"/>
      <c r="V10017" s="318"/>
      <c r="W10017" s="318"/>
      <c r="X10017" s="318"/>
      <c r="Y10017" s="318"/>
      <c r="Z10017" s="318"/>
      <c r="AA10017" s="318"/>
      <c r="AB10017" s="318"/>
      <c r="AC10017" s="318"/>
      <c r="AD10017" s="318"/>
    </row>
    <row r="10018" spans="2:30" s="323" customFormat="1" ht="12" customHeight="1">
      <c r="B10018" s="324"/>
      <c r="C10018" s="325"/>
      <c r="D10018" s="326"/>
      <c r="E10018" s="326"/>
      <c r="F10018" s="326"/>
      <c r="G10018" s="326"/>
      <c r="H10018" s="326"/>
      <c r="P10018" s="318"/>
      <c r="Q10018" s="318"/>
      <c r="R10018" s="318"/>
      <c r="S10018" s="318"/>
      <c r="T10018" s="318"/>
      <c r="U10018" s="318"/>
      <c r="V10018" s="318"/>
      <c r="W10018" s="318"/>
      <c r="X10018" s="318"/>
      <c r="Y10018" s="318"/>
      <c r="Z10018" s="318"/>
      <c r="AA10018" s="318"/>
      <c r="AB10018" s="318"/>
      <c r="AC10018" s="318"/>
      <c r="AD10018" s="318"/>
    </row>
    <row r="10019" spans="2:30" s="323" customFormat="1" ht="12" customHeight="1">
      <c r="B10019" s="324"/>
      <c r="C10019" s="325"/>
      <c r="D10019" s="326"/>
      <c r="E10019" s="326"/>
      <c r="F10019" s="326"/>
      <c r="G10019" s="326"/>
      <c r="H10019" s="326"/>
      <c r="P10019" s="318"/>
      <c r="Q10019" s="318"/>
      <c r="R10019" s="318"/>
      <c r="S10019" s="318"/>
      <c r="T10019" s="318"/>
      <c r="U10019" s="318"/>
      <c r="V10019" s="318"/>
      <c r="W10019" s="318"/>
      <c r="X10019" s="318"/>
      <c r="Y10019" s="318"/>
      <c r="Z10019" s="318"/>
      <c r="AA10019" s="318"/>
      <c r="AB10019" s="318"/>
      <c r="AC10019" s="318"/>
      <c r="AD10019" s="318"/>
    </row>
    <row r="10020" spans="2:30" s="323" customFormat="1" ht="12" customHeight="1">
      <c r="B10020" s="324"/>
      <c r="C10020" s="325"/>
      <c r="D10020" s="326"/>
      <c r="E10020" s="326"/>
      <c r="F10020" s="326"/>
      <c r="G10020" s="326"/>
      <c r="H10020" s="326"/>
      <c r="P10020" s="318"/>
      <c r="Q10020" s="318"/>
      <c r="R10020" s="318"/>
      <c r="S10020" s="318"/>
      <c r="T10020" s="318"/>
      <c r="U10020" s="318"/>
      <c r="V10020" s="318"/>
      <c r="W10020" s="318"/>
      <c r="X10020" s="318"/>
      <c r="Y10020" s="318"/>
      <c r="Z10020" s="318"/>
      <c r="AA10020" s="318"/>
      <c r="AB10020" s="318"/>
      <c r="AC10020" s="318"/>
      <c r="AD10020" s="318"/>
    </row>
    <row r="10021" spans="2:30" s="323" customFormat="1" ht="12" customHeight="1">
      <c r="B10021" s="324"/>
      <c r="C10021" s="325"/>
      <c r="D10021" s="326"/>
      <c r="E10021" s="326"/>
      <c r="F10021" s="326"/>
      <c r="G10021" s="326"/>
      <c r="H10021" s="326"/>
      <c r="P10021" s="318"/>
      <c r="Q10021" s="318"/>
      <c r="R10021" s="318"/>
      <c r="S10021" s="318"/>
      <c r="T10021" s="318"/>
      <c r="U10021" s="318"/>
      <c r="V10021" s="318"/>
      <c r="W10021" s="318"/>
      <c r="X10021" s="318"/>
      <c r="Y10021" s="318"/>
      <c r="Z10021" s="318"/>
      <c r="AA10021" s="318"/>
      <c r="AB10021" s="318"/>
      <c r="AC10021" s="318"/>
      <c r="AD10021" s="318"/>
    </row>
    <row r="10022" spans="2:30" s="323" customFormat="1" ht="12" customHeight="1">
      <c r="B10022" s="324"/>
      <c r="C10022" s="325"/>
      <c r="D10022" s="326"/>
      <c r="E10022" s="326"/>
      <c r="F10022" s="326"/>
      <c r="G10022" s="326"/>
      <c r="H10022" s="326"/>
      <c r="P10022" s="318"/>
      <c r="Q10022" s="318"/>
      <c r="R10022" s="318"/>
      <c r="S10022" s="318"/>
      <c r="T10022" s="318"/>
      <c r="U10022" s="318"/>
      <c r="V10022" s="318"/>
      <c r="W10022" s="318"/>
      <c r="X10022" s="318"/>
      <c r="Y10022" s="318"/>
      <c r="Z10022" s="318"/>
      <c r="AA10022" s="318"/>
      <c r="AB10022" s="318"/>
      <c r="AC10022" s="318"/>
      <c r="AD10022" s="318"/>
    </row>
    <row r="10023" spans="2:30" s="323" customFormat="1" ht="12" customHeight="1">
      <c r="B10023" s="324"/>
      <c r="C10023" s="325"/>
      <c r="D10023" s="326"/>
      <c r="E10023" s="326"/>
      <c r="F10023" s="326"/>
      <c r="G10023" s="326"/>
      <c r="H10023" s="326"/>
      <c r="P10023" s="318"/>
      <c r="Q10023" s="318"/>
      <c r="R10023" s="318"/>
      <c r="S10023" s="318"/>
      <c r="T10023" s="318"/>
      <c r="U10023" s="318"/>
      <c r="V10023" s="318"/>
      <c r="W10023" s="318"/>
      <c r="X10023" s="318"/>
      <c r="Y10023" s="318"/>
      <c r="Z10023" s="318"/>
      <c r="AA10023" s="318"/>
      <c r="AB10023" s="318"/>
      <c r="AC10023" s="318"/>
      <c r="AD10023" s="318"/>
    </row>
    <row r="10024" spans="2:30" s="323" customFormat="1" ht="12" customHeight="1">
      <c r="B10024" s="324"/>
      <c r="C10024" s="325"/>
      <c r="D10024" s="326"/>
      <c r="E10024" s="326"/>
      <c r="F10024" s="326"/>
      <c r="G10024" s="326"/>
      <c r="H10024" s="326"/>
      <c r="P10024" s="318"/>
      <c r="Q10024" s="318"/>
      <c r="R10024" s="318"/>
      <c r="S10024" s="318"/>
      <c r="T10024" s="318"/>
      <c r="U10024" s="318"/>
      <c r="V10024" s="318"/>
      <c r="W10024" s="318"/>
      <c r="X10024" s="318"/>
      <c r="Y10024" s="318"/>
      <c r="Z10024" s="318"/>
      <c r="AA10024" s="318"/>
      <c r="AB10024" s="318"/>
      <c r="AC10024" s="318"/>
      <c r="AD10024" s="318"/>
    </row>
    <row r="10025" spans="2:30" s="323" customFormat="1" ht="12" customHeight="1">
      <c r="B10025" s="324"/>
      <c r="C10025" s="325"/>
      <c r="D10025" s="326"/>
      <c r="E10025" s="326"/>
      <c r="F10025" s="326"/>
      <c r="G10025" s="326"/>
      <c r="H10025" s="326"/>
      <c r="P10025" s="318"/>
      <c r="Q10025" s="318"/>
      <c r="R10025" s="318"/>
      <c r="S10025" s="318"/>
      <c r="T10025" s="318"/>
      <c r="U10025" s="318"/>
      <c r="V10025" s="318"/>
      <c r="W10025" s="318"/>
      <c r="X10025" s="318"/>
      <c r="Y10025" s="318"/>
      <c r="Z10025" s="318"/>
      <c r="AA10025" s="318"/>
      <c r="AB10025" s="318"/>
      <c r="AC10025" s="318"/>
      <c r="AD10025" s="318"/>
    </row>
    <row r="10026" spans="2:30" s="323" customFormat="1" ht="12" customHeight="1">
      <c r="B10026" s="324"/>
      <c r="C10026" s="325"/>
      <c r="D10026" s="326"/>
      <c r="E10026" s="326"/>
      <c r="F10026" s="326"/>
      <c r="G10026" s="326"/>
      <c r="H10026" s="326"/>
      <c r="P10026" s="318"/>
      <c r="Q10026" s="318"/>
      <c r="R10026" s="318"/>
      <c r="S10026" s="318"/>
      <c r="T10026" s="318"/>
      <c r="U10026" s="318"/>
      <c r="V10026" s="318"/>
      <c r="W10026" s="318"/>
      <c r="X10026" s="318"/>
      <c r="Y10026" s="318"/>
      <c r="Z10026" s="318"/>
      <c r="AA10026" s="318"/>
      <c r="AB10026" s="318"/>
      <c r="AC10026" s="318"/>
      <c r="AD10026" s="318"/>
    </row>
    <row r="10027" spans="2:30" s="323" customFormat="1" ht="12" customHeight="1">
      <c r="B10027" s="324"/>
      <c r="C10027" s="325"/>
      <c r="D10027" s="326"/>
      <c r="E10027" s="326"/>
      <c r="F10027" s="326"/>
      <c r="G10027" s="326"/>
      <c r="H10027" s="326"/>
      <c r="P10027" s="318"/>
      <c r="Q10027" s="318"/>
      <c r="R10027" s="318"/>
      <c r="S10027" s="318"/>
      <c r="T10027" s="318"/>
      <c r="U10027" s="318"/>
      <c r="V10027" s="318"/>
      <c r="W10027" s="318"/>
      <c r="X10027" s="318"/>
      <c r="Y10027" s="318"/>
      <c r="Z10027" s="318"/>
      <c r="AA10027" s="318"/>
      <c r="AB10027" s="318"/>
      <c r="AC10027" s="318"/>
      <c r="AD10027" s="318"/>
    </row>
    <row r="10028" spans="2:30" s="323" customFormat="1" ht="12" customHeight="1">
      <c r="B10028" s="324"/>
      <c r="C10028" s="325"/>
      <c r="D10028" s="326"/>
      <c r="E10028" s="326"/>
      <c r="F10028" s="326"/>
      <c r="G10028" s="326"/>
      <c r="H10028" s="326"/>
      <c r="P10028" s="318"/>
      <c r="Q10028" s="318"/>
      <c r="R10028" s="318"/>
      <c r="S10028" s="318"/>
      <c r="T10028" s="318"/>
      <c r="U10028" s="318"/>
      <c r="V10028" s="318"/>
      <c r="W10028" s="318"/>
      <c r="X10028" s="318"/>
      <c r="Y10028" s="318"/>
      <c r="Z10028" s="318"/>
      <c r="AA10028" s="318"/>
      <c r="AB10028" s="318"/>
      <c r="AC10028" s="318"/>
      <c r="AD10028" s="318"/>
    </row>
    <row r="10029" spans="2:30" s="323" customFormat="1" ht="12" customHeight="1">
      <c r="B10029" s="324"/>
      <c r="C10029" s="325"/>
      <c r="D10029" s="326"/>
      <c r="E10029" s="326"/>
      <c r="F10029" s="326"/>
      <c r="G10029" s="326"/>
      <c r="H10029" s="326"/>
      <c r="P10029" s="318"/>
      <c r="Q10029" s="318"/>
      <c r="R10029" s="318"/>
      <c r="S10029" s="318"/>
      <c r="T10029" s="318"/>
      <c r="U10029" s="318"/>
      <c r="V10029" s="318"/>
      <c r="W10029" s="318"/>
      <c r="X10029" s="318"/>
      <c r="Y10029" s="318"/>
      <c r="Z10029" s="318"/>
      <c r="AA10029" s="318"/>
      <c r="AB10029" s="318"/>
      <c r="AC10029" s="318"/>
      <c r="AD10029" s="318"/>
    </row>
    <row r="10030" spans="2:30" s="323" customFormat="1" ht="12" customHeight="1">
      <c r="B10030" s="324"/>
      <c r="C10030" s="325"/>
      <c r="D10030" s="326"/>
      <c r="E10030" s="326"/>
      <c r="F10030" s="326"/>
      <c r="G10030" s="326"/>
      <c r="H10030" s="326"/>
      <c r="P10030" s="318"/>
      <c r="Q10030" s="318"/>
      <c r="R10030" s="318"/>
      <c r="S10030" s="318"/>
      <c r="T10030" s="318"/>
      <c r="U10030" s="318"/>
      <c r="V10030" s="318"/>
      <c r="W10030" s="318"/>
      <c r="X10030" s="318"/>
      <c r="Y10030" s="318"/>
      <c r="Z10030" s="318"/>
      <c r="AA10030" s="318"/>
      <c r="AB10030" s="318"/>
      <c r="AC10030" s="318"/>
      <c r="AD10030" s="318"/>
    </row>
    <row r="10031" spans="2:30" s="323" customFormat="1" ht="12" customHeight="1">
      <c r="B10031" s="324"/>
      <c r="C10031" s="325"/>
      <c r="D10031" s="326"/>
      <c r="E10031" s="326"/>
      <c r="F10031" s="326"/>
      <c r="G10031" s="326"/>
      <c r="H10031" s="326"/>
      <c r="P10031" s="318"/>
      <c r="Q10031" s="318"/>
      <c r="R10031" s="318"/>
      <c r="S10031" s="318"/>
      <c r="T10031" s="318"/>
      <c r="U10031" s="318"/>
      <c r="V10031" s="318"/>
      <c r="W10031" s="318"/>
      <c r="X10031" s="318"/>
      <c r="Y10031" s="318"/>
      <c r="Z10031" s="318"/>
      <c r="AA10031" s="318"/>
      <c r="AB10031" s="318"/>
      <c r="AC10031" s="318"/>
      <c r="AD10031" s="318"/>
    </row>
    <row r="10032" spans="2:30" s="323" customFormat="1" ht="12" customHeight="1">
      <c r="B10032" s="324"/>
      <c r="C10032" s="325"/>
      <c r="D10032" s="326"/>
      <c r="E10032" s="326"/>
      <c r="F10032" s="326"/>
      <c r="G10032" s="326"/>
      <c r="H10032" s="326"/>
      <c r="P10032" s="318"/>
      <c r="Q10032" s="318"/>
      <c r="R10032" s="318"/>
      <c r="S10032" s="318"/>
      <c r="T10032" s="318"/>
      <c r="U10032" s="318"/>
      <c r="V10032" s="318"/>
      <c r="W10032" s="318"/>
      <c r="X10032" s="318"/>
      <c r="Y10032" s="318"/>
      <c r="Z10032" s="318"/>
      <c r="AA10032" s="318"/>
      <c r="AB10032" s="318"/>
      <c r="AC10032" s="318"/>
      <c r="AD10032" s="318"/>
    </row>
    <row r="10033" spans="2:30" s="323" customFormat="1" ht="12" customHeight="1">
      <c r="B10033" s="324"/>
      <c r="C10033" s="325"/>
      <c r="D10033" s="326"/>
      <c r="E10033" s="326"/>
      <c r="F10033" s="326"/>
      <c r="G10033" s="326"/>
      <c r="H10033" s="326"/>
      <c r="P10033" s="318"/>
      <c r="Q10033" s="318"/>
      <c r="R10033" s="318"/>
      <c r="S10033" s="318"/>
      <c r="T10033" s="318"/>
      <c r="U10033" s="318"/>
      <c r="V10033" s="318"/>
      <c r="W10033" s="318"/>
      <c r="X10033" s="318"/>
      <c r="Y10033" s="318"/>
      <c r="Z10033" s="318"/>
      <c r="AA10033" s="318"/>
      <c r="AB10033" s="318"/>
      <c r="AC10033" s="318"/>
      <c r="AD10033" s="318"/>
    </row>
    <row r="10034" spans="2:30" s="323" customFormat="1" ht="12" customHeight="1">
      <c r="B10034" s="324"/>
      <c r="C10034" s="325"/>
      <c r="D10034" s="326"/>
      <c r="E10034" s="326"/>
      <c r="F10034" s="326"/>
      <c r="G10034" s="326"/>
      <c r="H10034" s="326"/>
      <c r="P10034" s="318"/>
      <c r="Q10034" s="318"/>
      <c r="R10034" s="318"/>
      <c r="S10034" s="318"/>
      <c r="T10034" s="318"/>
      <c r="U10034" s="318"/>
      <c r="V10034" s="318"/>
      <c r="W10034" s="318"/>
      <c r="X10034" s="318"/>
      <c r="Y10034" s="318"/>
      <c r="Z10034" s="318"/>
      <c r="AA10034" s="318"/>
      <c r="AB10034" s="318"/>
      <c r="AC10034" s="318"/>
      <c r="AD10034" s="318"/>
    </row>
    <row r="10035" spans="2:30" s="323" customFormat="1" ht="12" customHeight="1">
      <c r="B10035" s="324"/>
      <c r="C10035" s="325"/>
      <c r="D10035" s="326"/>
      <c r="E10035" s="326"/>
      <c r="F10035" s="326"/>
      <c r="G10035" s="326"/>
      <c r="H10035" s="326"/>
      <c r="P10035" s="318"/>
      <c r="Q10035" s="318"/>
      <c r="R10035" s="318"/>
      <c r="S10035" s="318"/>
      <c r="T10035" s="318"/>
      <c r="U10035" s="318"/>
      <c r="V10035" s="318"/>
      <c r="W10035" s="318"/>
      <c r="X10035" s="318"/>
      <c r="Y10035" s="318"/>
      <c r="Z10035" s="318"/>
      <c r="AA10035" s="318"/>
      <c r="AB10035" s="318"/>
      <c r="AC10035" s="318"/>
      <c r="AD10035" s="318"/>
    </row>
    <row r="10036" spans="2:30" s="323" customFormat="1" ht="12" customHeight="1">
      <c r="B10036" s="324"/>
      <c r="C10036" s="325"/>
      <c r="D10036" s="326"/>
      <c r="E10036" s="326"/>
      <c r="F10036" s="326"/>
      <c r="G10036" s="326"/>
      <c r="H10036" s="326"/>
      <c r="P10036" s="318"/>
      <c r="Q10036" s="318"/>
      <c r="R10036" s="318"/>
      <c r="S10036" s="318"/>
      <c r="T10036" s="318"/>
      <c r="U10036" s="318"/>
      <c r="V10036" s="318"/>
      <c r="W10036" s="318"/>
      <c r="X10036" s="318"/>
      <c r="Y10036" s="318"/>
      <c r="Z10036" s="318"/>
      <c r="AA10036" s="318"/>
      <c r="AB10036" s="318"/>
      <c r="AC10036" s="318"/>
      <c r="AD10036" s="318"/>
    </row>
    <row r="10037" spans="2:30" s="323" customFormat="1" ht="12" customHeight="1">
      <c r="B10037" s="324"/>
      <c r="C10037" s="325"/>
      <c r="D10037" s="326"/>
      <c r="E10037" s="326"/>
      <c r="F10037" s="326"/>
      <c r="G10037" s="326"/>
      <c r="H10037" s="326"/>
      <c r="P10037" s="318"/>
      <c r="Q10037" s="318"/>
      <c r="R10037" s="318"/>
      <c r="S10037" s="318"/>
      <c r="T10037" s="318"/>
      <c r="U10037" s="318"/>
      <c r="V10037" s="318"/>
      <c r="W10037" s="318"/>
      <c r="X10037" s="318"/>
      <c r="Y10037" s="318"/>
      <c r="Z10037" s="318"/>
      <c r="AA10037" s="318"/>
      <c r="AB10037" s="318"/>
      <c r="AC10037" s="318"/>
      <c r="AD10037" s="318"/>
    </row>
    <row r="10038" spans="2:30" s="323" customFormat="1" ht="12" customHeight="1">
      <c r="B10038" s="324"/>
      <c r="C10038" s="325"/>
      <c r="D10038" s="326"/>
      <c r="E10038" s="326"/>
      <c r="F10038" s="326"/>
      <c r="G10038" s="326"/>
      <c r="H10038" s="326"/>
      <c r="P10038" s="318"/>
      <c r="Q10038" s="318"/>
      <c r="R10038" s="318"/>
      <c r="S10038" s="318"/>
      <c r="T10038" s="318"/>
      <c r="U10038" s="318"/>
      <c r="V10038" s="318"/>
      <c r="W10038" s="318"/>
      <c r="X10038" s="318"/>
      <c r="Y10038" s="318"/>
      <c r="Z10038" s="318"/>
      <c r="AA10038" s="318"/>
      <c r="AB10038" s="318"/>
      <c r="AC10038" s="318"/>
      <c r="AD10038" s="318"/>
    </row>
    <row r="10039" spans="2:30" s="323" customFormat="1" ht="12" customHeight="1">
      <c r="B10039" s="324"/>
      <c r="C10039" s="325"/>
      <c r="D10039" s="326"/>
      <c r="E10039" s="326"/>
      <c r="F10039" s="326"/>
      <c r="G10039" s="326"/>
      <c r="H10039" s="326"/>
      <c r="P10039" s="318"/>
      <c r="Q10039" s="318"/>
      <c r="R10039" s="318"/>
      <c r="S10039" s="318"/>
      <c r="T10039" s="318"/>
      <c r="U10039" s="318"/>
      <c r="V10039" s="318"/>
      <c r="W10039" s="318"/>
      <c r="X10039" s="318"/>
      <c r="Y10039" s="318"/>
      <c r="Z10039" s="318"/>
      <c r="AA10039" s="318"/>
      <c r="AB10039" s="318"/>
      <c r="AC10039" s="318"/>
      <c r="AD10039" s="318"/>
    </row>
    <row r="10040" spans="2:30" s="323" customFormat="1" ht="12" customHeight="1">
      <c r="B10040" s="324"/>
      <c r="C10040" s="325"/>
      <c r="D10040" s="326"/>
      <c r="E10040" s="326"/>
      <c r="F10040" s="326"/>
      <c r="G10040" s="326"/>
      <c r="H10040" s="326"/>
      <c r="P10040" s="318"/>
      <c r="Q10040" s="318"/>
      <c r="R10040" s="318"/>
      <c r="S10040" s="318"/>
      <c r="T10040" s="318"/>
      <c r="U10040" s="318"/>
      <c r="V10040" s="318"/>
      <c r="W10040" s="318"/>
      <c r="X10040" s="318"/>
      <c r="Y10040" s="318"/>
      <c r="Z10040" s="318"/>
      <c r="AA10040" s="318"/>
      <c r="AB10040" s="318"/>
      <c r="AC10040" s="318"/>
      <c r="AD10040" s="318"/>
    </row>
    <row r="10041" spans="2:30" s="323" customFormat="1" ht="12" customHeight="1">
      <c r="B10041" s="324"/>
      <c r="C10041" s="325"/>
      <c r="D10041" s="326"/>
      <c r="E10041" s="326"/>
      <c r="F10041" s="326"/>
      <c r="G10041" s="326"/>
      <c r="H10041" s="326"/>
      <c r="P10041" s="318"/>
      <c r="Q10041" s="318"/>
      <c r="R10041" s="318"/>
      <c r="S10041" s="318"/>
      <c r="T10041" s="318"/>
      <c r="U10041" s="318"/>
      <c r="V10041" s="318"/>
      <c r="W10041" s="318"/>
      <c r="X10041" s="318"/>
      <c r="Y10041" s="318"/>
      <c r="Z10041" s="318"/>
      <c r="AA10041" s="318"/>
      <c r="AB10041" s="318"/>
      <c r="AC10041" s="318"/>
      <c r="AD10041" s="318"/>
    </row>
    <row r="10042" spans="2:30" s="323" customFormat="1" ht="12" customHeight="1">
      <c r="B10042" s="324"/>
      <c r="C10042" s="325"/>
      <c r="D10042" s="326"/>
      <c r="E10042" s="326"/>
      <c r="F10042" s="326"/>
      <c r="G10042" s="326"/>
      <c r="H10042" s="326"/>
      <c r="P10042" s="318"/>
      <c r="Q10042" s="318"/>
      <c r="R10042" s="318"/>
      <c r="S10042" s="318"/>
      <c r="T10042" s="318"/>
      <c r="U10042" s="318"/>
      <c r="V10042" s="318"/>
      <c r="W10042" s="318"/>
      <c r="X10042" s="318"/>
      <c r="Y10042" s="318"/>
      <c r="Z10042" s="318"/>
      <c r="AA10042" s="318"/>
      <c r="AB10042" s="318"/>
      <c r="AC10042" s="318"/>
      <c r="AD10042" s="318"/>
    </row>
    <row r="10043" spans="2:30" s="323" customFormat="1" ht="12" customHeight="1">
      <c r="B10043" s="324"/>
      <c r="C10043" s="325"/>
      <c r="D10043" s="326"/>
      <c r="E10043" s="326"/>
      <c r="F10043" s="326"/>
      <c r="G10043" s="326"/>
      <c r="H10043" s="326"/>
      <c r="P10043" s="318"/>
      <c r="Q10043" s="318"/>
      <c r="R10043" s="318"/>
      <c r="S10043" s="318"/>
      <c r="T10043" s="318"/>
      <c r="U10043" s="318"/>
      <c r="V10043" s="318"/>
      <c r="W10043" s="318"/>
      <c r="X10043" s="318"/>
      <c r="Y10043" s="318"/>
      <c r="Z10043" s="318"/>
      <c r="AA10043" s="318"/>
      <c r="AB10043" s="318"/>
      <c r="AC10043" s="318"/>
      <c r="AD10043" s="318"/>
    </row>
    <row r="10044" spans="2:30" s="323" customFormat="1" ht="12" customHeight="1">
      <c r="B10044" s="324"/>
      <c r="C10044" s="325"/>
      <c r="D10044" s="326"/>
      <c r="E10044" s="326"/>
      <c r="F10044" s="326"/>
      <c r="G10044" s="326"/>
      <c r="H10044" s="326"/>
      <c r="P10044" s="318"/>
      <c r="Q10044" s="318"/>
      <c r="R10044" s="318"/>
      <c r="S10044" s="318"/>
      <c r="T10044" s="318"/>
      <c r="U10044" s="318"/>
      <c r="V10044" s="318"/>
      <c r="W10044" s="318"/>
      <c r="X10044" s="318"/>
      <c r="Y10044" s="318"/>
      <c r="Z10044" s="318"/>
      <c r="AA10044" s="318"/>
      <c r="AB10044" s="318"/>
      <c r="AC10044" s="318"/>
      <c r="AD10044" s="318"/>
    </row>
    <row r="10045" spans="2:30" s="323" customFormat="1" ht="12" customHeight="1">
      <c r="B10045" s="324"/>
      <c r="C10045" s="325"/>
      <c r="D10045" s="326"/>
      <c r="E10045" s="326"/>
      <c r="F10045" s="326"/>
      <c r="G10045" s="326"/>
      <c r="H10045" s="326"/>
      <c r="P10045" s="318"/>
      <c r="Q10045" s="318"/>
      <c r="R10045" s="318"/>
      <c r="S10045" s="318"/>
      <c r="T10045" s="318"/>
      <c r="U10045" s="318"/>
      <c r="V10045" s="318"/>
      <c r="W10045" s="318"/>
      <c r="X10045" s="318"/>
      <c r="Y10045" s="318"/>
      <c r="Z10045" s="318"/>
      <c r="AA10045" s="318"/>
      <c r="AB10045" s="318"/>
      <c r="AC10045" s="318"/>
      <c r="AD10045" s="318"/>
    </row>
    <row r="10046" spans="2:30" s="323" customFormat="1" ht="12" customHeight="1">
      <c r="B10046" s="324"/>
      <c r="C10046" s="325"/>
      <c r="D10046" s="326"/>
      <c r="E10046" s="326"/>
      <c r="F10046" s="326"/>
      <c r="G10046" s="326"/>
      <c r="H10046" s="326"/>
      <c r="P10046" s="318"/>
      <c r="Q10046" s="318"/>
      <c r="R10046" s="318"/>
      <c r="S10046" s="318"/>
      <c r="T10046" s="318"/>
      <c r="U10046" s="318"/>
      <c r="V10046" s="318"/>
      <c r="W10046" s="318"/>
      <c r="X10046" s="318"/>
      <c r="Y10046" s="318"/>
      <c r="Z10046" s="318"/>
      <c r="AA10046" s="318"/>
      <c r="AB10046" s="318"/>
      <c r="AC10046" s="318"/>
      <c r="AD10046" s="318"/>
    </row>
    <row r="10047" spans="2:30" s="323" customFormat="1" ht="12" customHeight="1">
      <c r="B10047" s="324"/>
      <c r="C10047" s="325"/>
      <c r="D10047" s="326"/>
      <c r="E10047" s="326"/>
      <c r="F10047" s="326"/>
      <c r="G10047" s="326"/>
      <c r="H10047" s="326"/>
      <c r="P10047" s="318"/>
      <c r="Q10047" s="318"/>
      <c r="R10047" s="318"/>
      <c r="S10047" s="318"/>
      <c r="T10047" s="318"/>
      <c r="U10047" s="318"/>
      <c r="V10047" s="318"/>
      <c r="W10047" s="318"/>
      <c r="X10047" s="318"/>
      <c r="Y10047" s="318"/>
      <c r="Z10047" s="318"/>
      <c r="AA10047" s="318"/>
      <c r="AB10047" s="318"/>
      <c r="AC10047" s="318"/>
      <c r="AD10047" s="318"/>
    </row>
    <row r="10048" spans="2:30" s="323" customFormat="1" ht="12" customHeight="1">
      <c r="B10048" s="324"/>
      <c r="C10048" s="325"/>
      <c r="D10048" s="326"/>
      <c r="E10048" s="326"/>
      <c r="F10048" s="326"/>
      <c r="G10048" s="326"/>
      <c r="H10048" s="326"/>
      <c r="P10048" s="318"/>
      <c r="Q10048" s="318"/>
      <c r="R10048" s="318"/>
      <c r="S10048" s="318"/>
      <c r="T10048" s="318"/>
      <c r="U10048" s="318"/>
      <c r="V10048" s="318"/>
      <c r="W10048" s="318"/>
      <c r="X10048" s="318"/>
      <c r="Y10048" s="318"/>
      <c r="Z10048" s="318"/>
      <c r="AA10048" s="318"/>
      <c r="AB10048" s="318"/>
      <c r="AC10048" s="318"/>
      <c r="AD10048" s="318"/>
    </row>
    <row r="10049" spans="2:30" s="323" customFormat="1" ht="12" customHeight="1">
      <c r="B10049" s="324"/>
      <c r="C10049" s="325"/>
      <c r="D10049" s="326"/>
      <c r="E10049" s="326"/>
      <c r="F10049" s="326"/>
      <c r="G10049" s="326"/>
      <c r="H10049" s="326"/>
      <c r="P10049" s="318"/>
      <c r="Q10049" s="318"/>
      <c r="R10049" s="318"/>
      <c r="S10049" s="318"/>
      <c r="T10049" s="318"/>
      <c r="U10049" s="318"/>
      <c r="V10049" s="318"/>
      <c r="W10049" s="318"/>
      <c r="X10049" s="318"/>
      <c r="Y10049" s="318"/>
      <c r="Z10049" s="318"/>
      <c r="AA10049" s="318"/>
      <c r="AB10049" s="318"/>
      <c r="AC10049" s="318"/>
      <c r="AD10049" s="318"/>
    </row>
    <row r="10050" spans="2:30" s="323" customFormat="1" ht="12" customHeight="1">
      <c r="B10050" s="324"/>
      <c r="C10050" s="325"/>
      <c r="D10050" s="326"/>
      <c r="E10050" s="326"/>
      <c r="F10050" s="326"/>
      <c r="G10050" s="326"/>
      <c r="H10050" s="326"/>
      <c r="P10050" s="318"/>
      <c r="Q10050" s="318"/>
      <c r="R10050" s="318"/>
      <c r="S10050" s="318"/>
      <c r="T10050" s="318"/>
      <c r="U10050" s="318"/>
      <c r="V10050" s="318"/>
      <c r="W10050" s="318"/>
      <c r="X10050" s="318"/>
      <c r="Y10050" s="318"/>
      <c r="Z10050" s="318"/>
      <c r="AA10050" s="318"/>
      <c r="AB10050" s="318"/>
      <c r="AC10050" s="318"/>
      <c r="AD10050" s="318"/>
    </row>
    <row r="10051" spans="2:30" s="323" customFormat="1" ht="12" customHeight="1">
      <c r="B10051" s="324"/>
      <c r="C10051" s="325"/>
      <c r="D10051" s="326"/>
      <c r="E10051" s="326"/>
      <c r="F10051" s="326"/>
      <c r="G10051" s="326"/>
      <c r="H10051" s="326"/>
      <c r="P10051" s="318"/>
      <c r="Q10051" s="318"/>
      <c r="R10051" s="318"/>
      <c r="S10051" s="318"/>
      <c r="T10051" s="318"/>
      <c r="U10051" s="318"/>
      <c r="V10051" s="318"/>
      <c r="W10051" s="318"/>
      <c r="X10051" s="318"/>
      <c r="Y10051" s="318"/>
      <c r="Z10051" s="318"/>
      <c r="AA10051" s="318"/>
      <c r="AB10051" s="318"/>
      <c r="AC10051" s="318"/>
      <c r="AD10051" s="318"/>
    </row>
    <row r="10052" spans="2:30" s="323" customFormat="1" ht="12" customHeight="1">
      <c r="B10052" s="324"/>
      <c r="C10052" s="325"/>
      <c r="D10052" s="326"/>
      <c r="E10052" s="326"/>
      <c r="F10052" s="326"/>
      <c r="G10052" s="326"/>
      <c r="H10052" s="326"/>
      <c r="P10052" s="318"/>
      <c r="Q10052" s="318"/>
      <c r="R10052" s="318"/>
      <c r="S10052" s="318"/>
      <c r="T10052" s="318"/>
      <c r="U10052" s="318"/>
      <c r="V10052" s="318"/>
      <c r="W10052" s="318"/>
      <c r="X10052" s="318"/>
      <c r="Y10052" s="318"/>
      <c r="Z10052" s="318"/>
      <c r="AA10052" s="318"/>
      <c r="AB10052" s="318"/>
      <c r="AC10052" s="318"/>
      <c r="AD10052" s="318"/>
    </row>
    <row r="10053" spans="2:30" s="323" customFormat="1" ht="12" customHeight="1">
      <c r="B10053" s="324"/>
      <c r="C10053" s="325"/>
      <c r="D10053" s="326"/>
      <c r="E10053" s="326"/>
      <c r="F10053" s="326"/>
      <c r="G10053" s="326"/>
      <c r="H10053" s="326"/>
      <c r="P10053" s="318"/>
      <c r="Q10053" s="318"/>
      <c r="R10053" s="318"/>
      <c r="S10053" s="318"/>
      <c r="T10053" s="318"/>
      <c r="U10053" s="318"/>
      <c r="V10053" s="318"/>
      <c r="W10053" s="318"/>
      <c r="X10053" s="318"/>
      <c r="Y10053" s="318"/>
      <c r="Z10053" s="318"/>
      <c r="AA10053" s="318"/>
      <c r="AB10053" s="318"/>
      <c r="AC10053" s="318"/>
      <c r="AD10053" s="318"/>
    </row>
    <row r="10054" spans="2:30" s="323" customFormat="1" ht="12" customHeight="1">
      <c r="B10054" s="324"/>
      <c r="C10054" s="325"/>
      <c r="D10054" s="326"/>
      <c r="E10054" s="326"/>
      <c r="F10054" s="326"/>
      <c r="G10054" s="326"/>
      <c r="H10054" s="326"/>
      <c r="P10054" s="318"/>
      <c r="Q10054" s="318"/>
      <c r="R10054" s="318"/>
      <c r="S10054" s="318"/>
      <c r="T10054" s="318"/>
      <c r="U10054" s="318"/>
      <c r="V10054" s="318"/>
      <c r="W10054" s="318"/>
      <c r="X10054" s="318"/>
      <c r="Y10054" s="318"/>
      <c r="Z10054" s="318"/>
      <c r="AA10054" s="318"/>
      <c r="AB10054" s="318"/>
      <c r="AC10054" s="318"/>
      <c r="AD10054" s="318"/>
    </row>
    <row r="10055" spans="2:30" s="323" customFormat="1" ht="12" customHeight="1">
      <c r="B10055" s="324"/>
      <c r="C10055" s="325"/>
      <c r="D10055" s="326"/>
      <c r="E10055" s="326"/>
      <c r="F10055" s="326"/>
      <c r="G10055" s="326"/>
      <c r="H10055" s="326"/>
      <c r="P10055" s="318"/>
      <c r="Q10055" s="318"/>
      <c r="R10055" s="318"/>
      <c r="S10055" s="318"/>
      <c r="T10055" s="318"/>
      <c r="U10055" s="318"/>
      <c r="V10055" s="318"/>
      <c r="W10055" s="318"/>
      <c r="X10055" s="318"/>
      <c r="Y10055" s="318"/>
      <c r="Z10055" s="318"/>
      <c r="AA10055" s="318"/>
      <c r="AB10055" s="318"/>
      <c r="AC10055" s="318"/>
      <c r="AD10055" s="318"/>
    </row>
    <row r="10056" spans="2:30" s="323" customFormat="1" ht="12" customHeight="1">
      <c r="B10056" s="324"/>
      <c r="C10056" s="325"/>
      <c r="D10056" s="326"/>
      <c r="E10056" s="326"/>
      <c r="F10056" s="326"/>
      <c r="G10056" s="326"/>
      <c r="H10056" s="326"/>
      <c r="P10056" s="318"/>
      <c r="Q10056" s="318"/>
      <c r="R10056" s="318"/>
      <c r="S10056" s="318"/>
      <c r="T10056" s="318"/>
      <c r="U10056" s="318"/>
      <c r="V10056" s="318"/>
      <c r="W10056" s="318"/>
      <c r="X10056" s="318"/>
      <c r="Y10056" s="318"/>
      <c r="Z10056" s="318"/>
      <c r="AA10056" s="318"/>
      <c r="AB10056" s="318"/>
      <c r="AC10056" s="318"/>
      <c r="AD10056" s="318"/>
    </row>
    <row r="10057" spans="2:30" s="323" customFormat="1" ht="12" customHeight="1">
      <c r="B10057" s="324"/>
      <c r="C10057" s="325"/>
      <c r="D10057" s="326"/>
      <c r="E10057" s="326"/>
      <c r="F10057" s="326"/>
      <c r="G10057" s="326"/>
      <c r="H10057" s="326"/>
      <c r="P10057" s="318"/>
      <c r="Q10057" s="318"/>
      <c r="R10057" s="318"/>
      <c r="S10057" s="318"/>
      <c r="T10057" s="318"/>
      <c r="U10057" s="318"/>
      <c r="V10057" s="318"/>
      <c r="W10057" s="318"/>
      <c r="X10057" s="318"/>
      <c r="Y10057" s="318"/>
      <c r="Z10057" s="318"/>
      <c r="AA10057" s="318"/>
      <c r="AB10057" s="318"/>
      <c r="AC10057" s="318"/>
      <c r="AD10057" s="318"/>
    </row>
    <row r="10058" spans="2:30" s="323" customFormat="1" ht="12" customHeight="1">
      <c r="B10058" s="324"/>
      <c r="C10058" s="325"/>
      <c r="D10058" s="326"/>
      <c r="E10058" s="326"/>
      <c r="F10058" s="326"/>
      <c r="G10058" s="326"/>
      <c r="H10058" s="326"/>
      <c r="P10058" s="318"/>
      <c r="Q10058" s="318"/>
      <c r="R10058" s="318"/>
      <c r="S10058" s="318"/>
      <c r="T10058" s="318"/>
      <c r="U10058" s="318"/>
      <c r="V10058" s="318"/>
      <c r="W10058" s="318"/>
      <c r="X10058" s="318"/>
      <c r="Y10058" s="318"/>
      <c r="Z10058" s="318"/>
      <c r="AA10058" s="318"/>
      <c r="AB10058" s="318"/>
      <c r="AC10058" s="318"/>
      <c r="AD10058" s="318"/>
    </row>
    <row r="10059" spans="2:30" s="323" customFormat="1" ht="12" customHeight="1">
      <c r="B10059" s="324"/>
      <c r="C10059" s="325"/>
      <c r="D10059" s="326"/>
      <c r="E10059" s="326"/>
      <c r="F10059" s="326"/>
      <c r="G10059" s="326"/>
      <c r="H10059" s="326"/>
      <c r="P10059" s="318"/>
      <c r="Q10059" s="318"/>
      <c r="R10059" s="318"/>
      <c r="S10059" s="318"/>
      <c r="T10059" s="318"/>
      <c r="U10059" s="318"/>
      <c r="V10059" s="318"/>
      <c r="W10059" s="318"/>
      <c r="X10059" s="318"/>
      <c r="Y10059" s="318"/>
      <c r="Z10059" s="318"/>
      <c r="AA10059" s="318"/>
      <c r="AB10059" s="318"/>
      <c r="AC10059" s="318"/>
      <c r="AD10059" s="318"/>
    </row>
    <row r="10060" spans="2:30" s="323" customFormat="1" ht="12" customHeight="1">
      <c r="B10060" s="324"/>
      <c r="C10060" s="325"/>
      <c r="D10060" s="326"/>
      <c r="E10060" s="326"/>
      <c r="F10060" s="326"/>
      <c r="G10060" s="326"/>
      <c r="H10060" s="326"/>
      <c r="P10060" s="318"/>
      <c r="Q10060" s="318"/>
      <c r="R10060" s="318"/>
      <c r="S10060" s="318"/>
      <c r="T10060" s="318"/>
      <c r="U10060" s="318"/>
      <c r="V10060" s="318"/>
      <c r="W10060" s="318"/>
      <c r="X10060" s="318"/>
      <c r="Y10060" s="318"/>
      <c r="Z10060" s="318"/>
      <c r="AA10060" s="318"/>
      <c r="AB10060" s="318"/>
      <c r="AC10060" s="318"/>
      <c r="AD10060" s="318"/>
    </row>
    <row r="10061" spans="2:30" s="323" customFormat="1" ht="12" customHeight="1">
      <c r="B10061" s="324"/>
      <c r="C10061" s="325"/>
      <c r="D10061" s="326"/>
      <c r="E10061" s="326"/>
      <c r="F10061" s="326"/>
      <c r="G10061" s="326"/>
      <c r="H10061" s="326"/>
      <c r="P10061" s="318"/>
      <c r="Q10061" s="318"/>
      <c r="R10061" s="318"/>
      <c r="S10061" s="318"/>
      <c r="T10061" s="318"/>
      <c r="U10061" s="318"/>
      <c r="V10061" s="318"/>
      <c r="W10061" s="318"/>
      <c r="X10061" s="318"/>
      <c r="Y10061" s="318"/>
      <c r="Z10061" s="318"/>
      <c r="AA10061" s="318"/>
      <c r="AB10061" s="318"/>
      <c r="AC10061" s="318"/>
      <c r="AD10061" s="318"/>
    </row>
    <row r="10062" spans="2:30" s="323" customFormat="1" ht="12" customHeight="1">
      <c r="B10062" s="324"/>
      <c r="C10062" s="325"/>
      <c r="D10062" s="326"/>
      <c r="E10062" s="326"/>
      <c r="F10062" s="326"/>
      <c r="G10062" s="326"/>
      <c r="H10062" s="326"/>
      <c r="P10062" s="318"/>
      <c r="Q10062" s="318"/>
      <c r="R10062" s="318"/>
      <c r="S10062" s="318"/>
      <c r="T10062" s="318"/>
      <c r="U10062" s="318"/>
      <c r="V10062" s="318"/>
      <c r="W10062" s="318"/>
      <c r="X10062" s="318"/>
      <c r="Y10062" s="318"/>
      <c r="Z10062" s="318"/>
      <c r="AA10062" s="318"/>
      <c r="AB10062" s="318"/>
      <c r="AC10062" s="318"/>
      <c r="AD10062" s="318"/>
    </row>
    <row r="10063" spans="2:30" s="323" customFormat="1" ht="12" customHeight="1">
      <c r="B10063" s="324"/>
      <c r="C10063" s="325"/>
      <c r="D10063" s="326"/>
      <c r="E10063" s="326"/>
      <c r="F10063" s="326"/>
      <c r="G10063" s="326"/>
      <c r="H10063" s="326"/>
      <c r="P10063" s="318"/>
      <c r="Q10063" s="318"/>
      <c r="R10063" s="318"/>
      <c r="S10063" s="318"/>
      <c r="T10063" s="318"/>
      <c r="U10063" s="318"/>
      <c r="V10063" s="318"/>
      <c r="W10063" s="318"/>
      <c r="X10063" s="318"/>
      <c r="Y10063" s="318"/>
      <c r="Z10063" s="318"/>
      <c r="AA10063" s="318"/>
      <c r="AB10063" s="318"/>
      <c r="AC10063" s="318"/>
      <c r="AD10063" s="318"/>
    </row>
    <row r="10064" spans="2:30" s="323" customFormat="1" ht="12" customHeight="1">
      <c r="B10064" s="324"/>
      <c r="C10064" s="325"/>
      <c r="D10064" s="326"/>
      <c r="E10064" s="326"/>
      <c r="F10064" s="326"/>
      <c r="G10064" s="326"/>
      <c r="H10064" s="326"/>
      <c r="P10064" s="318"/>
      <c r="Q10064" s="318"/>
      <c r="R10064" s="318"/>
      <c r="S10064" s="318"/>
      <c r="T10064" s="318"/>
      <c r="U10064" s="318"/>
      <c r="V10064" s="318"/>
      <c r="W10064" s="318"/>
      <c r="X10064" s="318"/>
      <c r="Y10064" s="318"/>
      <c r="Z10064" s="318"/>
      <c r="AA10064" s="318"/>
      <c r="AB10064" s="318"/>
      <c r="AC10064" s="318"/>
      <c r="AD10064" s="318"/>
    </row>
    <row r="10065" spans="2:30" s="323" customFormat="1" ht="12" customHeight="1">
      <c r="B10065" s="324"/>
      <c r="C10065" s="325"/>
      <c r="D10065" s="326"/>
      <c r="E10065" s="326"/>
      <c r="F10065" s="326"/>
      <c r="G10065" s="326"/>
      <c r="H10065" s="326"/>
      <c r="P10065" s="318"/>
      <c r="Q10065" s="318"/>
      <c r="R10065" s="318"/>
      <c r="S10065" s="318"/>
      <c r="T10065" s="318"/>
      <c r="U10065" s="318"/>
      <c r="V10065" s="318"/>
      <c r="W10065" s="318"/>
      <c r="X10065" s="318"/>
      <c r="Y10065" s="318"/>
      <c r="Z10065" s="318"/>
      <c r="AA10065" s="318"/>
      <c r="AB10065" s="318"/>
      <c r="AC10065" s="318"/>
      <c r="AD10065" s="318"/>
    </row>
    <row r="10066" spans="2:30" s="323" customFormat="1" ht="12" customHeight="1">
      <c r="B10066" s="324"/>
      <c r="C10066" s="325"/>
      <c r="D10066" s="326"/>
      <c r="E10066" s="326"/>
      <c r="F10066" s="326"/>
      <c r="G10066" s="326"/>
      <c r="H10066" s="326"/>
      <c r="P10066" s="318"/>
      <c r="Q10066" s="318"/>
      <c r="R10066" s="318"/>
      <c r="S10066" s="318"/>
      <c r="T10066" s="318"/>
      <c r="U10066" s="318"/>
      <c r="V10066" s="318"/>
      <c r="W10066" s="318"/>
      <c r="X10066" s="318"/>
      <c r="Y10066" s="318"/>
      <c r="Z10066" s="318"/>
      <c r="AA10066" s="318"/>
      <c r="AB10066" s="318"/>
      <c r="AC10066" s="318"/>
      <c r="AD10066" s="318"/>
    </row>
    <row r="10067" spans="2:30" s="323" customFormat="1" ht="12" customHeight="1">
      <c r="B10067" s="324"/>
      <c r="C10067" s="325"/>
      <c r="D10067" s="326"/>
      <c r="E10067" s="326"/>
      <c r="F10067" s="326"/>
      <c r="G10067" s="326"/>
      <c r="H10067" s="326"/>
      <c r="P10067" s="318"/>
      <c r="Q10067" s="318"/>
      <c r="R10067" s="318"/>
      <c r="S10067" s="318"/>
      <c r="T10067" s="318"/>
      <c r="U10067" s="318"/>
      <c r="V10067" s="318"/>
      <c r="W10067" s="318"/>
      <c r="X10067" s="318"/>
      <c r="Y10067" s="318"/>
      <c r="Z10067" s="318"/>
      <c r="AA10067" s="318"/>
      <c r="AB10067" s="318"/>
      <c r="AC10067" s="318"/>
      <c r="AD10067" s="318"/>
    </row>
    <row r="10068" spans="2:30" s="323" customFormat="1" ht="12" customHeight="1">
      <c r="B10068" s="324"/>
      <c r="C10068" s="325"/>
      <c r="D10068" s="326"/>
      <c r="E10068" s="326"/>
      <c r="F10068" s="326"/>
      <c r="G10068" s="326"/>
      <c r="H10068" s="326"/>
      <c r="P10068" s="318"/>
      <c r="Q10068" s="318"/>
      <c r="R10068" s="318"/>
      <c r="S10068" s="318"/>
      <c r="T10068" s="318"/>
      <c r="U10068" s="318"/>
      <c r="V10068" s="318"/>
      <c r="W10068" s="318"/>
      <c r="X10068" s="318"/>
      <c r="Y10068" s="318"/>
      <c r="Z10068" s="318"/>
      <c r="AA10068" s="318"/>
      <c r="AB10068" s="318"/>
      <c r="AC10068" s="318"/>
      <c r="AD10068" s="318"/>
    </row>
    <row r="10069" spans="2:30" s="323" customFormat="1" ht="12" customHeight="1">
      <c r="B10069" s="324"/>
      <c r="C10069" s="325"/>
      <c r="D10069" s="326"/>
      <c r="E10069" s="326"/>
      <c r="F10069" s="326"/>
      <c r="G10069" s="326"/>
      <c r="H10069" s="326"/>
      <c r="P10069" s="318"/>
      <c r="Q10069" s="318"/>
      <c r="R10069" s="318"/>
      <c r="S10069" s="318"/>
      <c r="T10069" s="318"/>
      <c r="U10069" s="318"/>
      <c r="V10069" s="318"/>
      <c r="W10069" s="318"/>
      <c r="X10069" s="318"/>
      <c r="Y10069" s="318"/>
      <c r="Z10069" s="318"/>
      <c r="AA10069" s="318"/>
      <c r="AB10069" s="318"/>
      <c r="AC10069" s="318"/>
      <c r="AD10069" s="318"/>
    </row>
    <row r="10070" spans="2:30" s="323" customFormat="1" ht="12" customHeight="1">
      <c r="B10070" s="324"/>
      <c r="C10070" s="325"/>
      <c r="D10070" s="326"/>
      <c r="E10070" s="326"/>
      <c r="F10070" s="326"/>
      <c r="G10070" s="326"/>
      <c r="H10070" s="326"/>
      <c r="P10070" s="318"/>
      <c r="Q10070" s="318"/>
      <c r="R10070" s="318"/>
      <c r="S10070" s="318"/>
      <c r="T10070" s="318"/>
      <c r="U10070" s="318"/>
      <c r="V10070" s="318"/>
      <c r="W10070" s="318"/>
      <c r="X10070" s="318"/>
      <c r="Y10070" s="318"/>
      <c r="Z10070" s="318"/>
      <c r="AA10070" s="318"/>
      <c r="AB10070" s="318"/>
      <c r="AC10070" s="318"/>
      <c r="AD10070" s="318"/>
    </row>
    <row r="10071" spans="2:30" s="323" customFormat="1" ht="12" customHeight="1">
      <c r="B10071" s="324"/>
      <c r="C10071" s="325"/>
      <c r="D10071" s="326"/>
      <c r="E10071" s="326"/>
      <c r="F10071" s="326"/>
      <c r="G10071" s="326"/>
      <c r="H10071" s="326"/>
      <c r="P10071" s="318"/>
      <c r="Q10071" s="318"/>
      <c r="R10071" s="318"/>
      <c r="S10071" s="318"/>
      <c r="T10071" s="318"/>
      <c r="U10071" s="318"/>
      <c r="V10071" s="318"/>
      <c r="W10071" s="318"/>
      <c r="X10071" s="318"/>
      <c r="Y10071" s="318"/>
      <c r="Z10071" s="318"/>
      <c r="AA10071" s="318"/>
      <c r="AB10071" s="318"/>
      <c r="AC10071" s="318"/>
      <c r="AD10071" s="318"/>
    </row>
    <row r="10072" spans="2:30" s="323" customFormat="1" ht="12" customHeight="1">
      <c r="B10072" s="324"/>
      <c r="C10072" s="325"/>
      <c r="D10072" s="326"/>
      <c r="E10072" s="326"/>
      <c r="F10072" s="326"/>
      <c r="G10072" s="326"/>
      <c r="H10072" s="326"/>
      <c r="P10072" s="318"/>
      <c r="Q10072" s="318"/>
      <c r="R10072" s="318"/>
      <c r="S10072" s="318"/>
      <c r="T10072" s="318"/>
      <c r="U10072" s="318"/>
      <c r="V10072" s="318"/>
      <c r="W10072" s="318"/>
      <c r="X10072" s="318"/>
      <c r="Y10072" s="318"/>
      <c r="Z10072" s="318"/>
      <c r="AA10072" s="318"/>
      <c r="AB10072" s="318"/>
      <c r="AC10072" s="318"/>
      <c r="AD10072" s="318"/>
    </row>
    <row r="10073" spans="2:30" s="323" customFormat="1" ht="12" customHeight="1">
      <c r="B10073" s="324"/>
      <c r="C10073" s="325"/>
      <c r="D10073" s="326"/>
      <c r="E10073" s="326"/>
      <c r="F10073" s="326"/>
      <c r="G10073" s="326"/>
      <c r="H10073" s="326"/>
      <c r="P10073" s="318"/>
      <c r="Q10073" s="318"/>
      <c r="R10073" s="318"/>
      <c r="S10073" s="318"/>
      <c r="T10073" s="318"/>
      <c r="U10073" s="318"/>
      <c r="V10073" s="318"/>
      <c r="W10073" s="318"/>
      <c r="X10073" s="318"/>
      <c r="Y10073" s="318"/>
      <c r="Z10073" s="318"/>
      <c r="AA10073" s="318"/>
      <c r="AB10073" s="318"/>
      <c r="AC10073" s="318"/>
      <c r="AD10073" s="318"/>
    </row>
    <row r="10074" spans="2:30" s="323" customFormat="1" ht="12" customHeight="1">
      <c r="B10074" s="324"/>
      <c r="C10074" s="325"/>
      <c r="D10074" s="326"/>
      <c r="E10074" s="326"/>
      <c r="F10074" s="326"/>
      <c r="G10074" s="326"/>
      <c r="H10074" s="326"/>
      <c r="P10074" s="318"/>
      <c r="Q10074" s="318"/>
      <c r="R10074" s="318"/>
      <c r="S10074" s="318"/>
      <c r="T10074" s="318"/>
      <c r="U10074" s="318"/>
      <c r="V10074" s="318"/>
      <c r="W10074" s="318"/>
      <c r="X10074" s="318"/>
      <c r="Y10074" s="318"/>
      <c r="Z10074" s="318"/>
      <c r="AA10074" s="318"/>
      <c r="AB10074" s="318"/>
      <c r="AC10074" s="318"/>
      <c r="AD10074" s="318"/>
    </row>
    <row r="10075" spans="2:30" s="323" customFormat="1" ht="12" customHeight="1">
      <c r="B10075" s="324"/>
      <c r="C10075" s="325"/>
      <c r="D10075" s="326"/>
      <c r="E10075" s="326"/>
      <c r="F10075" s="326"/>
      <c r="G10075" s="326"/>
      <c r="H10075" s="326"/>
      <c r="P10075" s="318"/>
      <c r="Q10075" s="318"/>
      <c r="R10075" s="318"/>
      <c r="S10075" s="318"/>
      <c r="T10075" s="318"/>
      <c r="U10075" s="318"/>
      <c r="V10075" s="318"/>
      <c r="W10075" s="318"/>
      <c r="X10075" s="318"/>
      <c r="Y10075" s="318"/>
      <c r="Z10075" s="318"/>
      <c r="AA10075" s="318"/>
      <c r="AB10075" s="318"/>
      <c r="AC10075" s="318"/>
      <c r="AD10075" s="318"/>
    </row>
    <row r="10076" spans="2:30" s="323" customFormat="1" ht="12" customHeight="1">
      <c r="B10076" s="324"/>
      <c r="C10076" s="325"/>
      <c r="D10076" s="326"/>
      <c r="E10076" s="326"/>
      <c r="F10076" s="326"/>
      <c r="G10076" s="326"/>
      <c r="H10076" s="326"/>
      <c r="P10076" s="318"/>
      <c r="Q10076" s="318"/>
      <c r="R10076" s="318"/>
      <c r="S10076" s="318"/>
      <c r="T10076" s="318"/>
      <c r="U10076" s="318"/>
      <c r="V10076" s="318"/>
      <c r="W10076" s="318"/>
      <c r="X10076" s="318"/>
      <c r="Y10076" s="318"/>
      <c r="Z10076" s="318"/>
      <c r="AA10076" s="318"/>
      <c r="AB10076" s="318"/>
      <c r="AC10076" s="318"/>
      <c r="AD10076" s="318"/>
    </row>
    <row r="10077" spans="2:30" s="323" customFormat="1" ht="12" customHeight="1">
      <c r="B10077" s="324"/>
      <c r="C10077" s="325"/>
      <c r="D10077" s="326"/>
      <c r="E10077" s="326"/>
      <c r="F10077" s="326"/>
      <c r="G10077" s="326"/>
      <c r="H10077" s="326"/>
      <c r="P10077" s="318"/>
      <c r="Q10077" s="318"/>
      <c r="R10077" s="318"/>
      <c r="S10077" s="318"/>
      <c r="T10077" s="318"/>
      <c r="U10077" s="318"/>
      <c r="V10077" s="318"/>
      <c r="W10077" s="318"/>
      <c r="X10077" s="318"/>
      <c r="Y10077" s="318"/>
      <c r="Z10077" s="318"/>
      <c r="AA10077" s="318"/>
      <c r="AB10077" s="318"/>
      <c r="AC10077" s="318"/>
      <c r="AD10077" s="318"/>
    </row>
    <row r="10078" spans="2:30" s="323" customFormat="1" ht="12" customHeight="1">
      <c r="B10078" s="324"/>
      <c r="C10078" s="325"/>
      <c r="D10078" s="326"/>
      <c r="E10078" s="326"/>
      <c r="F10078" s="326"/>
      <c r="G10078" s="326"/>
      <c r="H10078" s="326"/>
      <c r="P10078" s="318"/>
      <c r="Q10078" s="318"/>
      <c r="R10078" s="318"/>
      <c r="S10078" s="318"/>
      <c r="T10078" s="318"/>
      <c r="U10078" s="318"/>
      <c r="V10078" s="318"/>
      <c r="W10078" s="318"/>
      <c r="X10078" s="318"/>
      <c r="Y10078" s="318"/>
      <c r="Z10078" s="318"/>
      <c r="AA10078" s="318"/>
      <c r="AB10078" s="318"/>
      <c r="AC10078" s="318"/>
      <c r="AD10078" s="318"/>
    </row>
    <row r="10079" spans="2:30" s="323" customFormat="1" ht="12" customHeight="1">
      <c r="B10079" s="324"/>
      <c r="C10079" s="325"/>
      <c r="D10079" s="326"/>
      <c r="E10079" s="326"/>
      <c r="F10079" s="326"/>
      <c r="G10079" s="326"/>
      <c r="H10079" s="326"/>
      <c r="P10079" s="318"/>
      <c r="Q10079" s="318"/>
      <c r="R10079" s="318"/>
      <c r="S10079" s="318"/>
      <c r="T10079" s="318"/>
      <c r="U10079" s="318"/>
      <c r="V10079" s="318"/>
      <c r="W10079" s="318"/>
      <c r="X10079" s="318"/>
      <c r="Y10079" s="318"/>
      <c r="Z10079" s="318"/>
      <c r="AA10079" s="318"/>
      <c r="AB10079" s="318"/>
      <c r="AC10079" s="318"/>
      <c r="AD10079" s="318"/>
    </row>
    <row r="10080" spans="2:30" s="323" customFormat="1" ht="12" customHeight="1">
      <c r="B10080" s="324"/>
      <c r="C10080" s="325"/>
      <c r="D10080" s="326"/>
      <c r="E10080" s="326"/>
      <c r="F10080" s="326"/>
      <c r="G10080" s="326"/>
      <c r="H10080" s="326"/>
      <c r="P10080" s="318"/>
      <c r="Q10080" s="318"/>
      <c r="R10080" s="318"/>
      <c r="S10080" s="318"/>
      <c r="T10080" s="318"/>
      <c r="U10080" s="318"/>
      <c r="V10080" s="318"/>
      <c r="W10080" s="318"/>
      <c r="X10080" s="318"/>
      <c r="Y10080" s="318"/>
      <c r="Z10080" s="318"/>
      <c r="AA10080" s="318"/>
      <c r="AB10080" s="318"/>
      <c r="AC10080" s="318"/>
      <c r="AD10080" s="318"/>
    </row>
    <row r="10081" spans="2:30" s="323" customFormat="1" ht="12" customHeight="1">
      <c r="B10081" s="324"/>
      <c r="C10081" s="325"/>
      <c r="D10081" s="326"/>
      <c r="E10081" s="326"/>
      <c r="F10081" s="326"/>
      <c r="G10081" s="326"/>
      <c r="H10081" s="326"/>
      <c r="P10081" s="318"/>
      <c r="Q10081" s="318"/>
      <c r="R10081" s="318"/>
      <c r="S10081" s="318"/>
      <c r="T10081" s="318"/>
      <c r="U10081" s="318"/>
      <c r="V10081" s="318"/>
      <c r="W10081" s="318"/>
      <c r="X10081" s="318"/>
      <c r="Y10081" s="318"/>
      <c r="Z10081" s="318"/>
      <c r="AA10081" s="318"/>
      <c r="AB10081" s="318"/>
      <c r="AC10081" s="318"/>
      <c r="AD10081" s="318"/>
    </row>
    <row r="10082" spans="2:30" s="323" customFormat="1" ht="12" customHeight="1">
      <c r="B10082" s="324"/>
      <c r="C10082" s="325"/>
      <c r="D10082" s="326"/>
      <c r="E10082" s="326"/>
      <c r="F10082" s="326"/>
      <c r="G10082" s="326"/>
      <c r="H10082" s="326"/>
      <c r="P10082" s="318"/>
      <c r="Q10082" s="318"/>
      <c r="R10082" s="318"/>
      <c r="S10082" s="318"/>
      <c r="T10082" s="318"/>
      <c r="U10082" s="318"/>
      <c r="V10082" s="318"/>
      <c r="W10082" s="318"/>
      <c r="X10082" s="318"/>
      <c r="Y10082" s="318"/>
      <c r="Z10082" s="318"/>
      <c r="AA10082" s="318"/>
      <c r="AB10082" s="318"/>
      <c r="AC10082" s="318"/>
      <c r="AD10082" s="318"/>
    </row>
    <row r="10083" spans="2:30" s="323" customFormat="1" ht="12" customHeight="1">
      <c r="B10083" s="324"/>
      <c r="C10083" s="325"/>
      <c r="D10083" s="326"/>
      <c r="E10083" s="326"/>
      <c r="F10083" s="326"/>
      <c r="G10083" s="326"/>
      <c r="H10083" s="326"/>
      <c r="P10083" s="318"/>
      <c r="Q10083" s="318"/>
      <c r="R10083" s="318"/>
      <c r="S10083" s="318"/>
      <c r="T10083" s="318"/>
      <c r="U10083" s="318"/>
      <c r="V10083" s="318"/>
      <c r="W10083" s="318"/>
      <c r="X10083" s="318"/>
      <c r="Y10083" s="318"/>
      <c r="Z10083" s="318"/>
      <c r="AA10083" s="318"/>
      <c r="AB10083" s="318"/>
      <c r="AC10083" s="318"/>
      <c r="AD10083" s="318"/>
    </row>
    <row r="10084" spans="2:30" s="323" customFormat="1" ht="12" customHeight="1">
      <c r="B10084" s="324"/>
      <c r="C10084" s="325"/>
      <c r="D10084" s="326"/>
      <c r="E10084" s="326"/>
      <c r="F10084" s="326"/>
      <c r="G10084" s="326"/>
      <c r="H10084" s="326"/>
      <c r="P10084" s="318"/>
      <c r="Q10084" s="318"/>
      <c r="R10084" s="318"/>
      <c r="S10084" s="318"/>
      <c r="T10084" s="318"/>
      <c r="U10084" s="318"/>
      <c r="V10084" s="318"/>
      <c r="W10084" s="318"/>
      <c r="X10084" s="318"/>
      <c r="Y10084" s="318"/>
      <c r="Z10084" s="318"/>
      <c r="AA10084" s="318"/>
      <c r="AB10084" s="318"/>
      <c r="AC10084" s="318"/>
      <c r="AD10084" s="318"/>
    </row>
    <row r="10085" spans="2:30" s="323" customFormat="1" ht="12" customHeight="1">
      <c r="B10085" s="324"/>
      <c r="C10085" s="325"/>
      <c r="D10085" s="326"/>
      <c r="E10085" s="326"/>
      <c r="F10085" s="326"/>
      <c r="G10085" s="326"/>
      <c r="H10085" s="326"/>
      <c r="P10085" s="318"/>
      <c r="Q10085" s="318"/>
      <c r="R10085" s="318"/>
      <c r="S10085" s="318"/>
      <c r="T10085" s="318"/>
      <c r="U10085" s="318"/>
      <c r="V10085" s="318"/>
      <c r="W10085" s="318"/>
      <c r="X10085" s="318"/>
      <c r="Y10085" s="318"/>
      <c r="Z10085" s="318"/>
      <c r="AA10085" s="318"/>
      <c r="AB10085" s="318"/>
      <c r="AC10085" s="318"/>
      <c r="AD10085" s="318"/>
    </row>
    <row r="10086" spans="2:30" s="323" customFormat="1" ht="12" customHeight="1">
      <c r="B10086" s="324"/>
      <c r="C10086" s="325"/>
      <c r="D10086" s="326"/>
      <c r="E10086" s="326"/>
      <c r="F10086" s="326"/>
      <c r="G10086" s="326"/>
      <c r="H10086" s="326"/>
      <c r="P10086" s="318"/>
      <c r="Q10086" s="318"/>
      <c r="R10086" s="318"/>
      <c r="S10086" s="318"/>
      <c r="T10086" s="318"/>
      <c r="U10086" s="318"/>
      <c r="V10086" s="318"/>
      <c r="W10086" s="318"/>
      <c r="X10086" s="318"/>
      <c r="Y10086" s="318"/>
      <c r="Z10086" s="318"/>
      <c r="AA10086" s="318"/>
      <c r="AB10086" s="318"/>
      <c r="AC10086" s="318"/>
      <c r="AD10086" s="318"/>
    </row>
    <row r="10087" spans="2:30" s="323" customFormat="1" ht="12" customHeight="1">
      <c r="B10087" s="324"/>
      <c r="C10087" s="325"/>
      <c r="D10087" s="326"/>
      <c r="E10087" s="326"/>
      <c r="F10087" s="326"/>
      <c r="G10087" s="326"/>
      <c r="H10087" s="326"/>
      <c r="P10087" s="318"/>
      <c r="Q10087" s="318"/>
      <c r="R10087" s="318"/>
      <c r="S10087" s="318"/>
      <c r="T10087" s="318"/>
      <c r="U10087" s="318"/>
      <c r="V10087" s="318"/>
      <c r="W10087" s="318"/>
      <c r="X10087" s="318"/>
      <c r="Y10087" s="318"/>
      <c r="Z10087" s="318"/>
      <c r="AA10087" s="318"/>
      <c r="AB10087" s="318"/>
      <c r="AC10087" s="318"/>
      <c r="AD10087" s="318"/>
    </row>
    <row r="10088" spans="2:30" s="323" customFormat="1" ht="12" customHeight="1">
      <c r="B10088" s="324"/>
      <c r="C10088" s="325"/>
      <c r="D10088" s="326"/>
      <c r="E10088" s="326"/>
      <c r="F10088" s="326"/>
      <c r="G10088" s="326"/>
      <c r="H10088" s="326"/>
      <c r="P10088" s="318"/>
      <c r="Q10088" s="318"/>
      <c r="R10088" s="318"/>
      <c r="S10088" s="318"/>
      <c r="T10088" s="318"/>
      <c r="U10088" s="318"/>
      <c r="V10088" s="318"/>
      <c r="W10088" s="318"/>
      <c r="X10088" s="318"/>
      <c r="Y10088" s="318"/>
      <c r="Z10088" s="318"/>
      <c r="AA10088" s="318"/>
      <c r="AB10088" s="318"/>
      <c r="AC10088" s="318"/>
      <c r="AD10088" s="318"/>
    </row>
    <row r="10089" spans="2:30" s="323" customFormat="1" ht="12" customHeight="1">
      <c r="B10089" s="324"/>
      <c r="C10089" s="325"/>
      <c r="D10089" s="326"/>
      <c r="E10089" s="326"/>
      <c r="F10089" s="326"/>
      <c r="G10089" s="326"/>
      <c r="H10089" s="326"/>
      <c r="P10089" s="318"/>
      <c r="Q10089" s="318"/>
      <c r="R10089" s="318"/>
      <c r="S10089" s="318"/>
      <c r="T10089" s="318"/>
      <c r="U10089" s="318"/>
      <c r="V10089" s="318"/>
      <c r="W10089" s="318"/>
      <c r="X10089" s="318"/>
      <c r="Y10089" s="318"/>
      <c r="Z10089" s="318"/>
      <c r="AA10089" s="318"/>
      <c r="AB10089" s="318"/>
      <c r="AC10089" s="318"/>
      <c r="AD10089" s="318"/>
    </row>
    <row r="10090" spans="2:30" s="323" customFormat="1" ht="12" customHeight="1">
      <c r="B10090" s="324"/>
      <c r="C10090" s="325"/>
      <c r="D10090" s="326"/>
      <c r="E10090" s="326"/>
      <c r="F10090" s="326"/>
      <c r="G10090" s="326"/>
      <c r="H10090" s="326"/>
      <c r="P10090" s="318"/>
      <c r="Q10090" s="318"/>
      <c r="R10090" s="318"/>
      <c r="S10090" s="318"/>
      <c r="T10090" s="318"/>
      <c r="U10090" s="318"/>
      <c r="V10090" s="318"/>
      <c r="W10090" s="318"/>
      <c r="X10090" s="318"/>
      <c r="Y10090" s="318"/>
      <c r="Z10090" s="318"/>
      <c r="AA10090" s="318"/>
      <c r="AB10090" s="318"/>
      <c r="AC10090" s="318"/>
      <c r="AD10090" s="318"/>
    </row>
    <row r="10091" spans="2:30" s="323" customFormat="1" ht="12" customHeight="1">
      <c r="B10091" s="324"/>
      <c r="C10091" s="325"/>
      <c r="D10091" s="326"/>
      <c r="E10091" s="326"/>
      <c r="F10091" s="326"/>
      <c r="G10091" s="326"/>
      <c r="H10091" s="326"/>
      <c r="P10091" s="318"/>
      <c r="Q10091" s="318"/>
      <c r="R10091" s="318"/>
      <c r="S10091" s="318"/>
      <c r="T10091" s="318"/>
      <c r="U10091" s="318"/>
      <c r="V10091" s="318"/>
      <c r="W10091" s="318"/>
      <c r="X10091" s="318"/>
      <c r="Y10091" s="318"/>
      <c r="Z10091" s="318"/>
      <c r="AA10091" s="318"/>
      <c r="AB10091" s="318"/>
      <c r="AC10091" s="318"/>
      <c r="AD10091" s="318"/>
    </row>
    <row r="10092" spans="2:30" s="323" customFormat="1" ht="12" customHeight="1">
      <c r="B10092" s="324"/>
      <c r="C10092" s="325"/>
      <c r="D10092" s="326"/>
      <c r="E10092" s="326"/>
      <c r="F10092" s="326"/>
      <c r="G10092" s="326"/>
      <c r="H10092" s="326"/>
      <c r="P10092" s="318"/>
      <c r="Q10092" s="318"/>
      <c r="R10092" s="318"/>
      <c r="S10092" s="318"/>
      <c r="T10092" s="318"/>
      <c r="U10092" s="318"/>
      <c r="V10092" s="318"/>
      <c r="W10092" s="318"/>
      <c r="X10092" s="318"/>
      <c r="Y10092" s="318"/>
      <c r="Z10092" s="318"/>
      <c r="AA10092" s="318"/>
      <c r="AB10092" s="318"/>
      <c r="AC10092" s="318"/>
      <c r="AD10092" s="318"/>
    </row>
    <row r="10093" spans="2:30" s="323" customFormat="1" ht="12" customHeight="1">
      <c r="B10093" s="324"/>
      <c r="C10093" s="325"/>
      <c r="D10093" s="326"/>
      <c r="E10093" s="326"/>
      <c r="F10093" s="326"/>
      <c r="G10093" s="326"/>
      <c r="H10093" s="326"/>
      <c r="P10093" s="318"/>
      <c r="Q10093" s="318"/>
      <c r="R10093" s="318"/>
      <c r="S10093" s="318"/>
      <c r="T10093" s="318"/>
      <c r="U10093" s="318"/>
      <c r="V10093" s="318"/>
      <c r="W10093" s="318"/>
      <c r="X10093" s="318"/>
      <c r="Y10093" s="318"/>
      <c r="Z10093" s="318"/>
      <c r="AA10093" s="318"/>
      <c r="AB10093" s="318"/>
      <c r="AC10093" s="318"/>
      <c r="AD10093" s="318"/>
    </row>
    <row r="10094" spans="2:30" s="323" customFormat="1" ht="12" customHeight="1">
      <c r="B10094" s="324"/>
      <c r="C10094" s="325"/>
      <c r="D10094" s="326"/>
      <c r="E10094" s="326"/>
      <c r="F10094" s="326"/>
      <c r="G10094" s="326"/>
      <c r="H10094" s="326"/>
      <c r="P10094" s="318"/>
      <c r="Q10094" s="318"/>
      <c r="R10094" s="318"/>
      <c r="S10094" s="318"/>
      <c r="T10094" s="318"/>
      <c r="U10094" s="318"/>
      <c r="V10094" s="318"/>
      <c r="W10094" s="318"/>
      <c r="X10094" s="318"/>
      <c r="Y10094" s="318"/>
      <c r="Z10094" s="318"/>
      <c r="AA10094" s="318"/>
      <c r="AB10094" s="318"/>
      <c r="AC10094" s="318"/>
      <c r="AD10094" s="318"/>
    </row>
    <row r="10095" spans="2:30" s="323" customFormat="1" ht="12" customHeight="1">
      <c r="B10095" s="324"/>
      <c r="C10095" s="325"/>
      <c r="D10095" s="326"/>
      <c r="E10095" s="326"/>
      <c r="F10095" s="326"/>
      <c r="G10095" s="326"/>
      <c r="H10095" s="326"/>
      <c r="P10095" s="318"/>
      <c r="Q10095" s="318"/>
      <c r="R10095" s="318"/>
      <c r="S10095" s="318"/>
      <c r="T10095" s="318"/>
      <c r="U10095" s="318"/>
      <c r="V10095" s="318"/>
      <c r="W10095" s="318"/>
      <c r="X10095" s="318"/>
      <c r="Y10095" s="318"/>
      <c r="Z10095" s="318"/>
      <c r="AA10095" s="318"/>
      <c r="AB10095" s="318"/>
      <c r="AC10095" s="318"/>
      <c r="AD10095" s="318"/>
    </row>
    <row r="10096" spans="2:30" s="323" customFormat="1" ht="12" customHeight="1">
      <c r="B10096" s="324"/>
      <c r="C10096" s="325"/>
      <c r="D10096" s="326"/>
      <c r="E10096" s="326"/>
      <c r="F10096" s="326"/>
      <c r="G10096" s="326"/>
      <c r="H10096" s="326"/>
      <c r="P10096" s="318"/>
      <c r="Q10096" s="318"/>
      <c r="R10096" s="318"/>
      <c r="S10096" s="318"/>
      <c r="T10096" s="318"/>
      <c r="U10096" s="318"/>
      <c r="V10096" s="318"/>
      <c r="W10096" s="318"/>
      <c r="X10096" s="318"/>
      <c r="Y10096" s="318"/>
      <c r="Z10096" s="318"/>
      <c r="AA10096" s="318"/>
      <c r="AB10096" s="318"/>
      <c r="AC10096" s="318"/>
      <c r="AD10096" s="318"/>
    </row>
    <row r="10097" spans="2:30" s="323" customFormat="1" ht="12" customHeight="1">
      <c r="B10097" s="324"/>
      <c r="C10097" s="325"/>
      <c r="D10097" s="326"/>
      <c r="E10097" s="326"/>
      <c r="F10097" s="326"/>
      <c r="G10097" s="326"/>
      <c r="H10097" s="326"/>
      <c r="P10097" s="318"/>
      <c r="Q10097" s="318"/>
      <c r="R10097" s="318"/>
      <c r="S10097" s="318"/>
      <c r="T10097" s="318"/>
      <c r="U10097" s="318"/>
      <c r="V10097" s="318"/>
      <c r="W10097" s="318"/>
      <c r="X10097" s="318"/>
      <c r="Y10097" s="318"/>
      <c r="Z10097" s="318"/>
      <c r="AA10097" s="318"/>
      <c r="AB10097" s="318"/>
      <c r="AC10097" s="318"/>
      <c r="AD10097" s="318"/>
    </row>
    <row r="10098" spans="2:30" s="323" customFormat="1" ht="12" customHeight="1">
      <c r="B10098" s="324"/>
      <c r="C10098" s="325"/>
      <c r="D10098" s="326"/>
      <c r="E10098" s="326"/>
      <c r="F10098" s="326"/>
      <c r="G10098" s="326"/>
      <c r="H10098" s="326"/>
      <c r="P10098" s="318"/>
      <c r="Q10098" s="318"/>
      <c r="R10098" s="318"/>
      <c r="S10098" s="318"/>
      <c r="T10098" s="318"/>
      <c r="U10098" s="318"/>
      <c r="V10098" s="318"/>
      <c r="W10098" s="318"/>
      <c r="X10098" s="318"/>
      <c r="Y10098" s="318"/>
      <c r="Z10098" s="318"/>
      <c r="AA10098" s="318"/>
      <c r="AB10098" s="318"/>
      <c r="AC10098" s="318"/>
      <c r="AD10098" s="318"/>
    </row>
    <row r="10099" spans="2:30" s="323" customFormat="1" ht="12" customHeight="1">
      <c r="B10099" s="324"/>
      <c r="C10099" s="325"/>
      <c r="D10099" s="326"/>
      <c r="E10099" s="326"/>
      <c r="F10099" s="326"/>
      <c r="G10099" s="326"/>
      <c r="H10099" s="326"/>
      <c r="P10099" s="318"/>
      <c r="Q10099" s="318"/>
      <c r="R10099" s="318"/>
      <c r="S10099" s="318"/>
      <c r="T10099" s="318"/>
      <c r="U10099" s="318"/>
      <c r="V10099" s="318"/>
      <c r="W10099" s="318"/>
      <c r="X10099" s="318"/>
      <c r="Y10099" s="318"/>
      <c r="Z10099" s="318"/>
      <c r="AA10099" s="318"/>
      <c r="AB10099" s="318"/>
      <c r="AC10099" s="318"/>
      <c r="AD10099" s="318"/>
    </row>
    <row r="10100" spans="2:30" s="323" customFormat="1" ht="12" customHeight="1">
      <c r="B10100" s="324"/>
      <c r="C10100" s="325"/>
      <c r="D10100" s="326"/>
      <c r="E10100" s="326"/>
      <c r="F10100" s="326"/>
      <c r="G10100" s="326"/>
      <c r="H10100" s="326"/>
      <c r="P10100" s="318"/>
      <c r="Q10100" s="318"/>
      <c r="R10100" s="318"/>
      <c r="S10100" s="318"/>
      <c r="T10100" s="318"/>
      <c r="U10100" s="318"/>
      <c r="V10100" s="318"/>
      <c r="W10100" s="318"/>
      <c r="X10100" s="318"/>
      <c r="Y10100" s="318"/>
      <c r="Z10100" s="318"/>
      <c r="AA10100" s="318"/>
      <c r="AB10100" s="318"/>
      <c r="AC10100" s="318"/>
      <c r="AD10100" s="318"/>
    </row>
    <row r="10101" spans="2:30" s="323" customFormat="1" ht="12" customHeight="1">
      <c r="B10101" s="324"/>
      <c r="C10101" s="325"/>
      <c r="D10101" s="326"/>
      <c r="E10101" s="326"/>
      <c r="F10101" s="326"/>
      <c r="G10101" s="326"/>
      <c r="H10101" s="326"/>
      <c r="P10101" s="318"/>
      <c r="Q10101" s="318"/>
      <c r="R10101" s="318"/>
      <c r="S10101" s="318"/>
      <c r="T10101" s="318"/>
      <c r="U10101" s="318"/>
      <c r="V10101" s="318"/>
      <c r="W10101" s="318"/>
      <c r="X10101" s="318"/>
      <c r="Y10101" s="318"/>
      <c r="Z10101" s="318"/>
      <c r="AA10101" s="318"/>
      <c r="AB10101" s="318"/>
      <c r="AC10101" s="318"/>
      <c r="AD10101" s="318"/>
    </row>
    <row r="10102" spans="2:30" s="323" customFormat="1" ht="12" customHeight="1">
      <c r="B10102" s="324"/>
      <c r="C10102" s="325"/>
      <c r="D10102" s="326"/>
      <c r="E10102" s="326"/>
      <c r="F10102" s="326"/>
      <c r="G10102" s="326"/>
      <c r="H10102" s="326"/>
      <c r="P10102" s="318"/>
      <c r="Q10102" s="318"/>
      <c r="R10102" s="318"/>
      <c r="S10102" s="318"/>
      <c r="T10102" s="318"/>
      <c r="U10102" s="318"/>
      <c r="V10102" s="318"/>
      <c r="W10102" s="318"/>
      <c r="X10102" s="318"/>
      <c r="Y10102" s="318"/>
      <c r="Z10102" s="318"/>
      <c r="AA10102" s="318"/>
      <c r="AB10102" s="318"/>
      <c r="AC10102" s="318"/>
      <c r="AD10102" s="318"/>
    </row>
    <row r="10103" spans="2:30" s="323" customFormat="1" ht="12" customHeight="1">
      <c r="B10103" s="324"/>
      <c r="C10103" s="325"/>
      <c r="D10103" s="326"/>
      <c r="E10103" s="326"/>
      <c r="F10103" s="326"/>
      <c r="G10103" s="326"/>
      <c r="H10103" s="326"/>
      <c r="P10103" s="318"/>
      <c r="Q10103" s="318"/>
      <c r="R10103" s="318"/>
      <c r="S10103" s="318"/>
      <c r="T10103" s="318"/>
      <c r="U10103" s="318"/>
      <c r="V10103" s="318"/>
      <c r="W10103" s="318"/>
      <c r="X10103" s="318"/>
      <c r="Y10103" s="318"/>
      <c r="Z10103" s="318"/>
      <c r="AA10103" s="318"/>
      <c r="AB10103" s="318"/>
      <c r="AC10103" s="318"/>
      <c r="AD10103" s="318"/>
    </row>
    <row r="10104" spans="2:30" s="323" customFormat="1" ht="12" customHeight="1">
      <c r="B10104" s="324"/>
      <c r="C10104" s="325"/>
      <c r="D10104" s="326"/>
      <c r="E10104" s="326"/>
      <c r="F10104" s="326"/>
      <c r="G10104" s="326"/>
      <c r="H10104" s="326"/>
      <c r="P10104" s="318"/>
      <c r="Q10104" s="318"/>
      <c r="R10104" s="318"/>
      <c r="S10104" s="318"/>
      <c r="T10104" s="318"/>
      <c r="U10104" s="318"/>
      <c r="V10104" s="318"/>
      <c r="W10104" s="318"/>
      <c r="X10104" s="318"/>
      <c r="Y10104" s="318"/>
      <c r="Z10104" s="318"/>
      <c r="AA10104" s="318"/>
      <c r="AB10104" s="318"/>
      <c r="AC10104" s="318"/>
      <c r="AD10104" s="318"/>
    </row>
    <row r="10105" spans="2:30" s="323" customFormat="1" ht="12" customHeight="1">
      <c r="B10105" s="324"/>
      <c r="C10105" s="325"/>
      <c r="D10105" s="326"/>
      <c r="E10105" s="326"/>
      <c r="F10105" s="326"/>
      <c r="G10105" s="326"/>
      <c r="H10105" s="326"/>
      <c r="P10105" s="318"/>
      <c r="Q10105" s="318"/>
      <c r="R10105" s="318"/>
      <c r="S10105" s="318"/>
      <c r="T10105" s="318"/>
      <c r="U10105" s="318"/>
      <c r="V10105" s="318"/>
      <c r="W10105" s="318"/>
      <c r="X10105" s="318"/>
      <c r="Y10105" s="318"/>
      <c r="Z10105" s="318"/>
      <c r="AA10105" s="318"/>
      <c r="AB10105" s="318"/>
      <c r="AC10105" s="318"/>
      <c r="AD10105" s="318"/>
    </row>
    <row r="10106" spans="2:30" s="323" customFormat="1" ht="12" customHeight="1">
      <c r="B10106" s="324"/>
      <c r="C10106" s="325"/>
      <c r="D10106" s="326"/>
      <c r="E10106" s="326"/>
      <c r="F10106" s="326"/>
      <c r="G10106" s="326"/>
      <c r="H10106" s="326"/>
      <c r="P10106" s="318"/>
      <c r="Q10106" s="318"/>
      <c r="R10106" s="318"/>
      <c r="S10106" s="318"/>
      <c r="T10106" s="318"/>
      <c r="U10106" s="318"/>
      <c r="V10106" s="318"/>
      <c r="W10106" s="318"/>
      <c r="X10106" s="318"/>
      <c r="Y10106" s="318"/>
      <c r="Z10106" s="318"/>
      <c r="AA10106" s="318"/>
      <c r="AB10106" s="318"/>
      <c r="AC10106" s="318"/>
      <c r="AD10106" s="318"/>
    </row>
    <row r="10107" spans="2:30" s="323" customFormat="1" ht="12" customHeight="1">
      <c r="B10107" s="324"/>
      <c r="C10107" s="325"/>
      <c r="D10107" s="326"/>
      <c r="E10107" s="326"/>
      <c r="F10107" s="326"/>
      <c r="G10107" s="326"/>
      <c r="H10107" s="326"/>
      <c r="P10107" s="318"/>
      <c r="Q10107" s="318"/>
      <c r="R10107" s="318"/>
      <c r="S10107" s="318"/>
      <c r="T10107" s="318"/>
      <c r="U10107" s="318"/>
      <c r="V10107" s="318"/>
      <c r="W10107" s="318"/>
      <c r="X10107" s="318"/>
      <c r="Y10107" s="318"/>
      <c r="Z10107" s="318"/>
      <c r="AA10107" s="318"/>
      <c r="AB10107" s="318"/>
      <c r="AC10107" s="318"/>
      <c r="AD10107" s="318"/>
    </row>
    <row r="10108" spans="2:30" s="323" customFormat="1" ht="12" customHeight="1">
      <c r="B10108" s="324"/>
      <c r="C10108" s="325"/>
      <c r="D10108" s="326"/>
      <c r="E10108" s="326"/>
      <c r="F10108" s="326"/>
      <c r="G10108" s="326"/>
      <c r="H10108" s="326"/>
      <c r="P10108" s="318"/>
      <c r="Q10108" s="318"/>
      <c r="R10108" s="318"/>
      <c r="S10108" s="318"/>
      <c r="T10108" s="318"/>
      <c r="U10108" s="318"/>
      <c r="V10108" s="318"/>
      <c r="W10108" s="318"/>
      <c r="X10108" s="318"/>
      <c r="Y10108" s="318"/>
      <c r="Z10108" s="318"/>
      <c r="AA10108" s="318"/>
      <c r="AB10108" s="318"/>
      <c r="AC10108" s="318"/>
      <c r="AD10108" s="318"/>
    </row>
    <row r="10109" spans="2:30" s="323" customFormat="1" ht="12" customHeight="1">
      <c r="B10109" s="324"/>
      <c r="C10109" s="325"/>
      <c r="D10109" s="326"/>
      <c r="E10109" s="326"/>
      <c r="F10109" s="326"/>
      <c r="G10109" s="326"/>
      <c r="H10109" s="326"/>
      <c r="P10109" s="318"/>
      <c r="Q10109" s="318"/>
      <c r="R10109" s="318"/>
      <c r="S10109" s="318"/>
      <c r="T10109" s="318"/>
      <c r="U10109" s="318"/>
      <c r="V10109" s="318"/>
      <c r="W10109" s="318"/>
      <c r="X10109" s="318"/>
      <c r="Y10109" s="318"/>
      <c r="Z10109" s="318"/>
      <c r="AA10109" s="318"/>
      <c r="AB10109" s="318"/>
      <c r="AC10109" s="318"/>
      <c r="AD10109" s="318"/>
    </row>
    <row r="10110" spans="2:30" s="323" customFormat="1" ht="12" customHeight="1">
      <c r="B10110" s="324"/>
      <c r="C10110" s="325"/>
      <c r="D10110" s="326"/>
      <c r="E10110" s="326"/>
      <c r="F10110" s="326"/>
      <c r="G10110" s="326"/>
      <c r="H10110" s="326"/>
      <c r="P10110" s="318"/>
      <c r="Q10110" s="318"/>
      <c r="R10110" s="318"/>
      <c r="S10110" s="318"/>
      <c r="T10110" s="318"/>
      <c r="U10110" s="318"/>
      <c r="V10110" s="318"/>
      <c r="W10110" s="318"/>
      <c r="X10110" s="318"/>
      <c r="Y10110" s="318"/>
      <c r="Z10110" s="318"/>
      <c r="AA10110" s="318"/>
      <c r="AB10110" s="318"/>
      <c r="AC10110" s="318"/>
      <c r="AD10110" s="318"/>
    </row>
    <row r="10111" spans="2:30" s="323" customFormat="1" ht="12" customHeight="1">
      <c r="B10111" s="324"/>
      <c r="C10111" s="325"/>
      <c r="D10111" s="326"/>
      <c r="E10111" s="326"/>
      <c r="F10111" s="326"/>
      <c r="G10111" s="326"/>
      <c r="H10111" s="326"/>
      <c r="P10111" s="318"/>
      <c r="Q10111" s="318"/>
      <c r="R10111" s="318"/>
      <c r="S10111" s="318"/>
      <c r="T10111" s="318"/>
      <c r="U10111" s="318"/>
      <c r="V10111" s="318"/>
      <c r="W10111" s="318"/>
      <c r="X10111" s="318"/>
      <c r="Y10111" s="318"/>
      <c r="Z10111" s="318"/>
      <c r="AA10111" s="318"/>
      <c r="AB10111" s="318"/>
      <c r="AC10111" s="318"/>
      <c r="AD10111" s="318"/>
    </row>
    <row r="10112" spans="2:30" s="323" customFormat="1" ht="12" customHeight="1">
      <c r="B10112" s="324"/>
      <c r="C10112" s="325"/>
      <c r="D10112" s="326"/>
      <c r="E10112" s="326"/>
      <c r="F10112" s="326"/>
      <c r="G10112" s="326"/>
      <c r="H10112" s="326"/>
      <c r="P10112" s="318"/>
      <c r="Q10112" s="318"/>
      <c r="R10112" s="318"/>
      <c r="S10112" s="318"/>
      <c r="T10112" s="318"/>
      <c r="U10112" s="318"/>
      <c r="V10112" s="318"/>
      <c r="W10112" s="318"/>
      <c r="X10112" s="318"/>
      <c r="Y10112" s="318"/>
      <c r="Z10112" s="318"/>
      <c r="AA10112" s="318"/>
      <c r="AB10112" s="318"/>
      <c r="AC10112" s="318"/>
      <c r="AD10112" s="318"/>
    </row>
    <row r="10113" spans="2:30" s="323" customFormat="1" ht="12" customHeight="1">
      <c r="B10113" s="324"/>
      <c r="C10113" s="325"/>
      <c r="D10113" s="326"/>
      <c r="E10113" s="326"/>
      <c r="F10113" s="326"/>
      <c r="G10113" s="326"/>
      <c r="H10113" s="326"/>
      <c r="P10113" s="318"/>
      <c r="Q10113" s="318"/>
      <c r="R10113" s="318"/>
      <c r="S10113" s="318"/>
      <c r="T10113" s="318"/>
      <c r="U10113" s="318"/>
      <c r="V10113" s="318"/>
      <c r="W10113" s="318"/>
      <c r="X10113" s="318"/>
      <c r="Y10113" s="318"/>
      <c r="Z10113" s="318"/>
      <c r="AA10113" s="318"/>
      <c r="AB10113" s="318"/>
      <c r="AC10113" s="318"/>
      <c r="AD10113" s="318"/>
    </row>
    <row r="10114" spans="2:30" s="323" customFormat="1" ht="12" customHeight="1">
      <c r="B10114" s="324"/>
      <c r="C10114" s="325"/>
      <c r="D10114" s="326"/>
      <c r="E10114" s="326"/>
      <c r="F10114" s="326"/>
      <c r="G10114" s="326"/>
      <c r="H10114" s="326"/>
      <c r="P10114" s="318"/>
      <c r="Q10114" s="318"/>
      <c r="R10114" s="318"/>
      <c r="S10114" s="318"/>
      <c r="T10114" s="318"/>
      <c r="U10114" s="318"/>
      <c r="V10114" s="318"/>
      <c r="W10114" s="318"/>
      <c r="X10114" s="318"/>
      <c r="Y10114" s="318"/>
      <c r="Z10114" s="318"/>
      <c r="AA10114" s="318"/>
      <c r="AB10114" s="318"/>
      <c r="AC10114" s="318"/>
      <c r="AD10114" s="318"/>
    </row>
    <row r="10115" spans="2:30" s="323" customFormat="1" ht="12" customHeight="1">
      <c r="B10115" s="324"/>
      <c r="C10115" s="325"/>
      <c r="D10115" s="326"/>
      <c r="E10115" s="326"/>
      <c r="F10115" s="326"/>
      <c r="G10115" s="326"/>
      <c r="H10115" s="326"/>
      <c r="P10115" s="318"/>
      <c r="Q10115" s="318"/>
      <c r="R10115" s="318"/>
      <c r="S10115" s="318"/>
      <c r="T10115" s="318"/>
      <c r="U10115" s="318"/>
      <c r="V10115" s="318"/>
      <c r="W10115" s="318"/>
      <c r="X10115" s="318"/>
      <c r="Y10115" s="318"/>
      <c r="Z10115" s="318"/>
      <c r="AA10115" s="318"/>
      <c r="AB10115" s="318"/>
      <c r="AC10115" s="318"/>
      <c r="AD10115" s="318"/>
    </row>
    <row r="10116" spans="2:30" s="323" customFormat="1" ht="12" customHeight="1">
      <c r="B10116" s="324"/>
      <c r="C10116" s="325"/>
      <c r="D10116" s="326"/>
      <c r="E10116" s="326"/>
      <c r="F10116" s="326"/>
      <c r="G10116" s="326"/>
      <c r="H10116" s="326"/>
      <c r="P10116" s="318"/>
      <c r="Q10116" s="318"/>
      <c r="R10116" s="318"/>
      <c r="S10116" s="318"/>
      <c r="T10116" s="318"/>
      <c r="U10116" s="318"/>
      <c r="V10116" s="318"/>
      <c r="W10116" s="318"/>
      <c r="X10116" s="318"/>
      <c r="Y10116" s="318"/>
      <c r="Z10116" s="318"/>
      <c r="AA10116" s="318"/>
      <c r="AB10116" s="318"/>
      <c r="AC10116" s="318"/>
      <c r="AD10116" s="318"/>
    </row>
    <row r="10117" spans="2:30" s="323" customFormat="1" ht="12" customHeight="1">
      <c r="B10117" s="324"/>
      <c r="C10117" s="325"/>
      <c r="D10117" s="326"/>
      <c r="E10117" s="326"/>
      <c r="F10117" s="326"/>
      <c r="G10117" s="326"/>
      <c r="H10117" s="326"/>
      <c r="P10117" s="318"/>
      <c r="Q10117" s="318"/>
      <c r="R10117" s="318"/>
      <c r="S10117" s="318"/>
      <c r="T10117" s="318"/>
      <c r="U10117" s="318"/>
      <c r="V10117" s="318"/>
      <c r="W10117" s="318"/>
      <c r="X10117" s="318"/>
      <c r="Y10117" s="318"/>
      <c r="Z10117" s="318"/>
      <c r="AA10117" s="318"/>
      <c r="AB10117" s="318"/>
      <c r="AC10117" s="318"/>
      <c r="AD10117" s="318"/>
    </row>
    <row r="10118" spans="2:30" s="323" customFormat="1" ht="12" customHeight="1">
      <c r="B10118" s="324"/>
      <c r="C10118" s="325"/>
      <c r="D10118" s="326"/>
      <c r="E10118" s="326"/>
      <c r="F10118" s="326"/>
      <c r="G10118" s="326"/>
      <c r="H10118" s="326"/>
      <c r="P10118" s="318"/>
      <c r="Q10118" s="318"/>
      <c r="R10118" s="318"/>
      <c r="S10118" s="318"/>
      <c r="T10118" s="318"/>
      <c r="U10118" s="318"/>
      <c r="V10118" s="318"/>
      <c r="W10118" s="318"/>
      <c r="X10118" s="318"/>
      <c r="Y10118" s="318"/>
      <c r="Z10118" s="318"/>
      <c r="AA10118" s="318"/>
      <c r="AB10118" s="318"/>
      <c r="AC10118" s="318"/>
      <c r="AD10118" s="318"/>
    </row>
    <row r="10119" spans="2:30" s="323" customFormat="1" ht="12" customHeight="1">
      <c r="B10119" s="324"/>
      <c r="C10119" s="325"/>
      <c r="D10119" s="326"/>
      <c r="E10119" s="326"/>
      <c r="F10119" s="326"/>
      <c r="G10119" s="326"/>
      <c r="H10119" s="326"/>
      <c r="P10119" s="318"/>
      <c r="Q10119" s="318"/>
      <c r="R10119" s="318"/>
      <c r="S10119" s="318"/>
      <c r="T10119" s="318"/>
      <c r="U10119" s="318"/>
      <c r="V10119" s="318"/>
      <c r="W10119" s="318"/>
      <c r="X10119" s="318"/>
      <c r="Y10119" s="318"/>
      <c r="Z10119" s="318"/>
      <c r="AA10119" s="318"/>
      <c r="AB10119" s="318"/>
      <c r="AC10119" s="318"/>
      <c r="AD10119" s="318"/>
    </row>
    <row r="10120" spans="2:30" s="323" customFormat="1" ht="12" customHeight="1">
      <c r="B10120" s="324"/>
      <c r="C10120" s="325"/>
      <c r="D10120" s="326"/>
      <c r="E10120" s="326"/>
      <c r="F10120" s="326"/>
      <c r="G10120" s="326"/>
      <c r="H10120" s="326"/>
      <c r="P10120" s="318"/>
      <c r="Q10120" s="318"/>
      <c r="R10120" s="318"/>
      <c r="S10120" s="318"/>
      <c r="T10120" s="318"/>
      <c r="U10120" s="318"/>
      <c r="V10120" s="318"/>
      <c r="W10120" s="318"/>
      <c r="X10120" s="318"/>
      <c r="Y10120" s="318"/>
      <c r="Z10120" s="318"/>
      <c r="AA10120" s="318"/>
      <c r="AB10120" s="318"/>
      <c r="AC10120" s="318"/>
      <c r="AD10120" s="318"/>
    </row>
    <row r="10121" spans="2:30" s="323" customFormat="1" ht="12" customHeight="1">
      <c r="B10121" s="324"/>
      <c r="C10121" s="325"/>
      <c r="D10121" s="326"/>
      <c r="E10121" s="326"/>
      <c r="F10121" s="326"/>
      <c r="G10121" s="326"/>
      <c r="H10121" s="326"/>
      <c r="P10121" s="318"/>
      <c r="Q10121" s="318"/>
      <c r="R10121" s="318"/>
      <c r="S10121" s="318"/>
      <c r="T10121" s="318"/>
      <c r="U10121" s="318"/>
      <c r="V10121" s="318"/>
      <c r="W10121" s="318"/>
      <c r="X10121" s="318"/>
      <c r="Y10121" s="318"/>
      <c r="Z10121" s="318"/>
      <c r="AA10121" s="318"/>
      <c r="AB10121" s="318"/>
      <c r="AC10121" s="318"/>
      <c r="AD10121" s="318"/>
    </row>
    <row r="10122" spans="2:30" s="323" customFormat="1" ht="12" customHeight="1">
      <c r="B10122" s="324"/>
      <c r="C10122" s="325"/>
      <c r="D10122" s="326"/>
      <c r="E10122" s="326"/>
      <c r="F10122" s="326"/>
      <c r="G10122" s="326"/>
      <c r="H10122" s="326"/>
      <c r="P10122" s="318"/>
      <c r="Q10122" s="318"/>
      <c r="R10122" s="318"/>
      <c r="S10122" s="318"/>
      <c r="T10122" s="318"/>
      <c r="U10122" s="318"/>
      <c r="V10122" s="318"/>
      <c r="W10122" s="318"/>
      <c r="X10122" s="318"/>
      <c r="Y10122" s="318"/>
      <c r="Z10122" s="318"/>
      <c r="AA10122" s="318"/>
      <c r="AB10122" s="318"/>
      <c r="AC10122" s="318"/>
      <c r="AD10122" s="318"/>
    </row>
    <row r="10123" spans="2:30" s="323" customFormat="1" ht="12" customHeight="1">
      <c r="B10123" s="324"/>
      <c r="C10123" s="325"/>
      <c r="D10123" s="326"/>
      <c r="E10123" s="326"/>
      <c r="F10123" s="326"/>
      <c r="G10123" s="326"/>
      <c r="H10123" s="326"/>
      <c r="P10123" s="318"/>
      <c r="Q10123" s="318"/>
      <c r="R10123" s="318"/>
      <c r="S10123" s="318"/>
      <c r="T10123" s="318"/>
      <c r="U10123" s="318"/>
      <c r="V10123" s="318"/>
      <c r="W10123" s="318"/>
      <c r="X10123" s="318"/>
      <c r="Y10123" s="318"/>
      <c r="Z10123" s="318"/>
      <c r="AA10123" s="318"/>
      <c r="AB10123" s="318"/>
      <c r="AC10123" s="318"/>
      <c r="AD10123" s="318"/>
    </row>
    <row r="10124" spans="2:30" s="323" customFormat="1" ht="12" customHeight="1">
      <c r="B10124" s="324"/>
      <c r="C10124" s="325"/>
      <c r="D10124" s="326"/>
      <c r="E10124" s="326"/>
      <c r="F10124" s="326"/>
      <c r="G10124" s="326"/>
      <c r="H10124" s="326"/>
      <c r="P10124" s="318"/>
      <c r="Q10124" s="318"/>
      <c r="R10124" s="318"/>
      <c r="S10124" s="318"/>
      <c r="T10124" s="318"/>
      <c r="U10124" s="318"/>
      <c r="V10124" s="318"/>
      <c r="W10124" s="318"/>
      <c r="X10124" s="318"/>
      <c r="Y10124" s="318"/>
      <c r="Z10124" s="318"/>
      <c r="AA10124" s="318"/>
      <c r="AB10124" s="318"/>
      <c r="AC10124" s="318"/>
      <c r="AD10124" s="318"/>
    </row>
    <row r="10125" spans="2:30" s="323" customFormat="1" ht="12" customHeight="1">
      <c r="B10125" s="324"/>
      <c r="C10125" s="325"/>
      <c r="D10125" s="326"/>
      <c r="E10125" s="326"/>
      <c r="F10125" s="326"/>
      <c r="G10125" s="326"/>
      <c r="H10125" s="326"/>
      <c r="P10125" s="318"/>
      <c r="Q10125" s="318"/>
      <c r="R10125" s="318"/>
      <c r="S10125" s="318"/>
      <c r="T10125" s="318"/>
      <c r="U10125" s="318"/>
      <c r="V10125" s="318"/>
      <c r="W10125" s="318"/>
      <c r="X10125" s="318"/>
      <c r="Y10125" s="318"/>
      <c r="Z10125" s="318"/>
      <c r="AA10125" s="318"/>
      <c r="AB10125" s="318"/>
      <c r="AC10125" s="318"/>
      <c r="AD10125" s="318"/>
    </row>
    <row r="10126" spans="2:30" s="323" customFormat="1" ht="12" customHeight="1">
      <c r="B10126" s="324"/>
      <c r="C10126" s="325"/>
      <c r="D10126" s="326"/>
      <c r="E10126" s="326"/>
      <c r="F10126" s="326"/>
      <c r="G10126" s="326"/>
      <c r="H10126" s="326"/>
      <c r="P10126" s="318"/>
      <c r="Q10126" s="318"/>
      <c r="R10126" s="318"/>
      <c r="S10126" s="318"/>
      <c r="T10126" s="318"/>
      <c r="U10126" s="318"/>
      <c r="V10126" s="318"/>
      <c r="W10126" s="318"/>
      <c r="X10126" s="318"/>
      <c r="Y10126" s="318"/>
      <c r="Z10126" s="318"/>
      <c r="AA10126" s="318"/>
      <c r="AB10126" s="318"/>
      <c r="AC10126" s="318"/>
      <c r="AD10126" s="318"/>
    </row>
    <row r="10127" spans="2:30" s="323" customFormat="1" ht="12" customHeight="1">
      <c r="B10127" s="324"/>
      <c r="C10127" s="325"/>
      <c r="D10127" s="326"/>
      <c r="E10127" s="326"/>
      <c r="F10127" s="326"/>
      <c r="G10127" s="326"/>
      <c r="H10127" s="326"/>
      <c r="P10127" s="318"/>
      <c r="Q10127" s="318"/>
      <c r="R10127" s="318"/>
      <c r="S10127" s="318"/>
      <c r="T10127" s="318"/>
      <c r="U10127" s="318"/>
      <c r="V10127" s="318"/>
      <c r="W10127" s="318"/>
      <c r="X10127" s="318"/>
      <c r="Y10127" s="318"/>
      <c r="Z10127" s="318"/>
      <c r="AA10127" s="318"/>
      <c r="AB10127" s="318"/>
      <c r="AC10127" s="318"/>
      <c r="AD10127" s="318"/>
    </row>
    <row r="10128" spans="2:30" s="323" customFormat="1" ht="12" customHeight="1">
      <c r="B10128" s="324"/>
      <c r="C10128" s="325"/>
      <c r="D10128" s="326"/>
      <c r="E10128" s="326"/>
      <c r="F10128" s="326"/>
      <c r="G10128" s="326"/>
      <c r="H10128" s="326"/>
      <c r="P10128" s="318"/>
      <c r="Q10128" s="318"/>
      <c r="R10128" s="318"/>
      <c r="S10128" s="318"/>
      <c r="T10128" s="318"/>
      <c r="U10128" s="318"/>
      <c r="V10128" s="318"/>
      <c r="W10128" s="318"/>
      <c r="X10128" s="318"/>
      <c r="Y10128" s="318"/>
      <c r="Z10128" s="318"/>
      <c r="AA10128" s="318"/>
      <c r="AB10128" s="318"/>
      <c r="AC10128" s="318"/>
      <c r="AD10128" s="318"/>
    </row>
    <row r="10129" spans="2:30" s="323" customFormat="1" ht="12" customHeight="1">
      <c r="B10129" s="324"/>
      <c r="C10129" s="325"/>
      <c r="D10129" s="326"/>
      <c r="E10129" s="326"/>
      <c r="F10129" s="326"/>
      <c r="G10129" s="326"/>
      <c r="H10129" s="326"/>
      <c r="P10129" s="318"/>
      <c r="Q10129" s="318"/>
      <c r="R10129" s="318"/>
      <c r="S10129" s="318"/>
      <c r="T10129" s="318"/>
      <c r="U10129" s="318"/>
      <c r="V10129" s="318"/>
      <c r="W10129" s="318"/>
      <c r="X10129" s="318"/>
      <c r="Y10129" s="318"/>
      <c r="Z10129" s="318"/>
      <c r="AA10129" s="318"/>
      <c r="AB10129" s="318"/>
      <c r="AC10129" s="318"/>
      <c r="AD10129" s="318"/>
    </row>
    <row r="10130" spans="2:30" s="323" customFormat="1" ht="12" customHeight="1">
      <c r="B10130" s="324"/>
      <c r="C10130" s="325"/>
      <c r="D10130" s="326"/>
      <c r="E10130" s="326"/>
      <c r="F10130" s="326"/>
      <c r="G10130" s="326"/>
      <c r="H10130" s="326"/>
      <c r="P10130" s="318"/>
      <c r="Q10130" s="318"/>
      <c r="R10130" s="318"/>
      <c r="S10130" s="318"/>
      <c r="T10130" s="318"/>
      <c r="U10130" s="318"/>
      <c r="V10130" s="318"/>
      <c r="W10130" s="318"/>
      <c r="X10130" s="318"/>
      <c r="Y10130" s="318"/>
      <c r="Z10130" s="318"/>
      <c r="AA10130" s="318"/>
      <c r="AB10130" s="318"/>
      <c r="AC10130" s="318"/>
      <c r="AD10130" s="318"/>
    </row>
    <row r="10131" spans="2:30" s="323" customFormat="1" ht="12" customHeight="1">
      <c r="B10131" s="324"/>
      <c r="C10131" s="325"/>
      <c r="D10131" s="326"/>
      <c r="E10131" s="326"/>
      <c r="F10131" s="326"/>
      <c r="G10131" s="326"/>
      <c r="H10131" s="326"/>
      <c r="P10131" s="318"/>
      <c r="Q10131" s="318"/>
      <c r="R10131" s="318"/>
      <c r="S10131" s="318"/>
      <c r="T10131" s="318"/>
      <c r="U10131" s="318"/>
      <c r="V10131" s="318"/>
      <c r="W10131" s="318"/>
      <c r="X10131" s="318"/>
      <c r="Y10131" s="318"/>
      <c r="Z10131" s="318"/>
      <c r="AA10131" s="318"/>
      <c r="AB10131" s="318"/>
      <c r="AC10131" s="318"/>
      <c r="AD10131" s="318"/>
    </row>
    <row r="10132" spans="2:30" s="323" customFormat="1" ht="12" customHeight="1">
      <c r="B10132" s="324"/>
      <c r="C10132" s="325"/>
      <c r="D10132" s="326"/>
      <c r="E10132" s="326"/>
      <c r="F10132" s="326"/>
      <c r="G10132" s="326"/>
      <c r="H10132" s="326"/>
      <c r="P10132" s="318"/>
      <c r="Q10132" s="318"/>
      <c r="R10132" s="318"/>
      <c r="S10132" s="318"/>
      <c r="T10132" s="318"/>
      <c r="U10132" s="318"/>
      <c r="V10132" s="318"/>
      <c r="W10132" s="318"/>
      <c r="X10132" s="318"/>
      <c r="Y10132" s="318"/>
      <c r="Z10132" s="318"/>
      <c r="AA10132" s="318"/>
      <c r="AB10132" s="318"/>
      <c r="AC10132" s="318"/>
      <c r="AD10132" s="318"/>
    </row>
    <row r="10133" spans="2:30" s="323" customFormat="1" ht="12" customHeight="1">
      <c r="B10133" s="324"/>
      <c r="C10133" s="325"/>
      <c r="D10133" s="326"/>
      <c r="E10133" s="326"/>
      <c r="F10133" s="326"/>
      <c r="G10133" s="326"/>
      <c r="H10133" s="326"/>
      <c r="P10133" s="318"/>
      <c r="Q10133" s="318"/>
      <c r="R10133" s="318"/>
      <c r="S10133" s="318"/>
      <c r="T10133" s="318"/>
      <c r="U10133" s="318"/>
      <c r="V10133" s="318"/>
      <c r="W10133" s="318"/>
      <c r="X10133" s="318"/>
      <c r="Y10133" s="318"/>
      <c r="Z10133" s="318"/>
      <c r="AA10133" s="318"/>
      <c r="AB10133" s="318"/>
      <c r="AC10133" s="318"/>
      <c r="AD10133" s="318"/>
    </row>
    <row r="10134" spans="2:30" s="323" customFormat="1" ht="12" customHeight="1">
      <c r="B10134" s="324"/>
      <c r="C10134" s="325"/>
      <c r="D10134" s="326"/>
      <c r="E10134" s="326"/>
      <c r="F10134" s="326"/>
      <c r="G10134" s="326"/>
      <c r="H10134" s="326"/>
      <c r="P10134" s="318"/>
      <c r="Q10134" s="318"/>
      <c r="R10134" s="318"/>
      <c r="S10134" s="318"/>
      <c r="T10134" s="318"/>
      <c r="U10134" s="318"/>
      <c r="V10134" s="318"/>
      <c r="W10134" s="318"/>
      <c r="X10134" s="318"/>
      <c r="Y10134" s="318"/>
      <c r="Z10134" s="318"/>
      <c r="AA10134" s="318"/>
      <c r="AB10134" s="318"/>
      <c r="AC10134" s="318"/>
      <c r="AD10134" s="318"/>
    </row>
    <row r="10135" spans="2:30" s="323" customFormat="1" ht="12" customHeight="1">
      <c r="B10135" s="324"/>
      <c r="C10135" s="325"/>
      <c r="D10135" s="326"/>
      <c r="E10135" s="326"/>
      <c r="F10135" s="326"/>
      <c r="G10135" s="326"/>
      <c r="H10135" s="326"/>
      <c r="P10135" s="318"/>
      <c r="Q10135" s="318"/>
      <c r="R10135" s="318"/>
      <c r="S10135" s="318"/>
      <c r="T10135" s="318"/>
      <c r="U10135" s="318"/>
      <c r="V10135" s="318"/>
      <c r="W10135" s="318"/>
      <c r="X10135" s="318"/>
      <c r="Y10135" s="318"/>
      <c r="Z10135" s="318"/>
      <c r="AA10135" s="318"/>
      <c r="AB10135" s="318"/>
      <c r="AC10135" s="318"/>
      <c r="AD10135" s="318"/>
    </row>
    <row r="10136" spans="2:30" s="323" customFormat="1" ht="12" customHeight="1">
      <c r="B10136" s="324"/>
      <c r="C10136" s="325"/>
      <c r="D10136" s="326"/>
      <c r="E10136" s="326"/>
      <c r="F10136" s="326"/>
      <c r="G10136" s="326"/>
      <c r="H10136" s="326"/>
      <c r="P10136" s="318"/>
      <c r="Q10136" s="318"/>
      <c r="R10136" s="318"/>
      <c r="S10136" s="318"/>
      <c r="T10136" s="318"/>
      <c r="U10136" s="318"/>
      <c r="V10136" s="318"/>
      <c r="W10136" s="318"/>
      <c r="X10136" s="318"/>
      <c r="Y10136" s="318"/>
      <c r="Z10136" s="318"/>
      <c r="AA10136" s="318"/>
      <c r="AB10136" s="318"/>
      <c r="AC10136" s="318"/>
      <c r="AD10136" s="318"/>
    </row>
    <row r="10137" spans="2:30" s="323" customFormat="1" ht="12" customHeight="1">
      <c r="B10137" s="324"/>
      <c r="C10137" s="325"/>
      <c r="D10137" s="326"/>
      <c r="E10137" s="326"/>
      <c r="F10137" s="326"/>
      <c r="G10137" s="326"/>
      <c r="H10137" s="326"/>
      <c r="P10137" s="318"/>
      <c r="Q10137" s="318"/>
      <c r="R10137" s="318"/>
      <c r="S10137" s="318"/>
      <c r="T10137" s="318"/>
      <c r="U10137" s="318"/>
      <c r="V10137" s="318"/>
      <c r="W10137" s="318"/>
      <c r="X10137" s="318"/>
      <c r="Y10137" s="318"/>
      <c r="Z10137" s="318"/>
      <c r="AA10137" s="318"/>
      <c r="AB10137" s="318"/>
      <c r="AC10137" s="318"/>
      <c r="AD10137" s="318"/>
    </row>
    <row r="10138" spans="2:30" s="323" customFormat="1" ht="12" customHeight="1">
      <c r="B10138" s="324"/>
      <c r="C10138" s="325"/>
      <c r="D10138" s="326"/>
      <c r="E10138" s="326"/>
      <c r="F10138" s="326"/>
      <c r="G10138" s="326"/>
      <c r="H10138" s="326"/>
      <c r="P10138" s="318"/>
      <c r="Q10138" s="318"/>
      <c r="R10138" s="318"/>
      <c r="S10138" s="318"/>
      <c r="T10138" s="318"/>
      <c r="U10138" s="318"/>
      <c r="V10138" s="318"/>
      <c r="W10138" s="318"/>
      <c r="X10138" s="318"/>
      <c r="Y10138" s="318"/>
      <c r="Z10138" s="318"/>
      <c r="AA10138" s="318"/>
      <c r="AB10138" s="318"/>
      <c r="AC10138" s="318"/>
      <c r="AD10138" s="318"/>
    </row>
    <row r="10139" spans="2:30" s="323" customFormat="1" ht="12" customHeight="1">
      <c r="B10139" s="324"/>
      <c r="C10139" s="325"/>
      <c r="D10139" s="326"/>
      <c r="E10139" s="326"/>
      <c r="F10139" s="326"/>
      <c r="G10139" s="326"/>
      <c r="H10139" s="326"/>
      <c r="P10139" s="318"/>
      <c r="Q10139" s="318"/>
      <c r="R10139" s="318"/>
      <c r="S10139" s="318"/>
      <c r="T10139" s="318"/>
      <c r="U10139" s="318"/>
      <c r="V10139" s="318"/>
      <c r="W10139" s="318"/>
      <c r="X10139" s="318"/>
      <c r="Y10139" s="318"/>
      <c r="Z10139" s="318"/>
      <c r="AA10139" s="318"/>
      <c r="AB10139" s="318"/>
      <c r="AC10139" s="318"/>
      <c r="AD10139" s="318"/>
    </row>
    <row r="10140" spans="2:30" s="323" customFormat="1" ht="12" customHeight="1">
      <c r="B10140" s="324"/>
      <c r="C10140" s="325"/>
      <c r="D10140" s="326"/>
      <c r="E10140" s="326"/>
      <c r="F10140" s="326"/>
      <c r="G10140" s="326"/>
      <c r="H10140" s="326"/>
      <c r="P10140" s="318"/>
      <c r="Q10140" s="318"/>
      <c r="R10140" s="318"/>
      <c r="S10140" s="318"/>
      <c r="T10140" s="318"/>
      <c r="U10140" s="318"/>
      <c r="V10140" s="318"/>
      <c r="W10140" s="318"/>
      <c r="X10140" s="318"/>
      <c r="Y10140" s="318"/>
      <c r="Z10140" s="318"/>
      <c r="AA10140" s="318"/>
      <c r="AB10140" s="318"/>
      <c r="AC10140" s="318"/>
      <c r="AD10140" s="318"/>
    </row>
    <row r="10141" spans="2:30" s="323" customFormat="1" ht="12" customHeight="1">
      <c r="B10141" s="324"/>
      <c r="C10141" s="325"/>
      <c r="D10141" s="326"/>
      <c r="E10141" s="326"/>
      <c r="F10141" s="326"/>
      <c r="G10141" s="326"/>
      <c r="H10141" s="326"/>
      <c r="P10141" s="318"/>
      <c r="Q10141" s="318"/>
      <c r="R10141" s="318"/>
      <c r="S10141" s="318"/>
      <c r="T10141" s="318"/>
      <c r="U10141" s="318"/>
      <c r="V10141" s="318"/>
      <c r="W10141" s="318"/>
      <c r="X10141" s="318"/>
      <c r="Y10141" s="318"/>
      <c r="Z10141" s="318"/>
      <c r="AA10141" s="318"/>
      <c r="AB10141" s="318"/>
      <c r="AC10141" s="318"/>
      <c r="AD10141" s="318"/>
    </row>
    <row r="10142" spans="2:30" s="323" customFormat="1" ht="12" customHeight="1">
      <c r="B10142" s="324"/>
      <c r="C10142" s="325"/>
      <c r="D10142" s="326"/>
      <c r="E10142" s="326"/>
      <c r="F10142" s="326"/>
      <c r="G10142" s="326"/>
      <c r="H10142" s="326"/>
      <c r="P10142" s="318"/>
      <c r="Q10142" s="318"/>
      <c r="R10142" s="318"/>
      <c r="S10142" s="318"/>
      <c r="T10142" s="318"/>
      <c r="U10142" s="318"/>
      <c r="V10142" s="318"/>
      <c r="W10142" s="318"/>
      <c r="X10142" s="318"/>
      <c r="Y10142" s="318"/>
      <c r="Z10142" s="318"/>
      <c r="AA10142" s="318"/>
      <c r="AB10142" s="318"/>
      <c r="AC10142" s="318"/>
      <c r="AD10142" s="318"/>
    </row>
    <row r="10143" spans="2:30" s="323" customFormat="1" ht="12" customHeight="1">
      <c r="B10143" s="324"/>
      <c r="C10143" s="325"/>
      <c r="D10143" s="326"/>
      <c r="E10143" s="326"/>
      <c r="F10143" s="326"/>
      <c r="G10143" s="326"/>
      <c r="H10143" s="326"/>
      <c r="P10143" s="318"/>
      <c r="Q10143" s="318"/>
      <c r="R10143" s="318"/>
      <c r="S10143" s="318"/>
      <c r="T10143" s="318"/>
      <c r="U10143" s="318"/>
      <c r="V10143" s="318"/>
      <c r="W10143" s="318"/>
      <c r="X10143" s="318"/>
      <c r="Y10143" s="318"/>
      <c r="Z10143" s="318"/>
      <c r="AA10143" s="318"/>
      <c r="AB10143" s="318"/>
      <c r="AC10143" s="318"/>
      <c r="AD10143" s="318"/>
    </row>
    <row r="10144" spans="2:30" s="323" customFormat="1" ht="12" customHeight="1">
      <c r="B10144" s="324"/>
      <c r="C10144" s="325"/>
      <c r="D10144" s="326"/>
      <c r="E10144" s="326"/>
      <c r="F10144" s="326"/>
      <c r="G10144" s="326"/>
      <c r="H10144" s="326"/>
      <c r="P10144" s="318"/>
      <c r="Q10144" s="318"/>
      <c r="R10144" s="318"/>
      <c r="S10144" s="318"/>
      <c r="T10144" s="318"/>
      <c r="U10144" s="318"/>
      <c r="V10144" s="318"/>
      <c r="W10144" s="318"/>
      <c r="X10144" s="318"/>
      <c r="Y10144" s="318"/>
      <c r="Z10144" s="318"/>
      <c r="AA10144" s="318"/>
      <c r="AB10144" s="318"/>
      <c r="AC10144" s="318"/>
      <c r="AD10144" s="318"/>
    </row>
    <row r="10145" spans="2:30" s="323" customFormat="1" ht="12" customHeight="1">
      <c r="B10145" s="324"/>
      <c r="C10145" s="325"/>
      <c r="D10145" s="326"/>
      <c r="E10145" s="326"/>
      <c r="F10145" s="326"/>
      <c r="G10145" s="326"/>
      <c r="H10145" s="326"/>
      <c r="P10145" s="318"/>
      <c r="Q10145" s="318"/>
      <c r="R10145" s="318"/>
      <c r="S10145" s="318"/>
      <c r="T10145" s="318"/>
      <c r="U10145" s="318"/>
      <c r="V10145" s="318"/>
      <c r="W10145" s="318"/>
      <c r="X10145" s="318"/>
      <c r="Y10145" s="318"/>
      <c r="Z10145" s="318"/>
      <c r="AA10145" s="318"/>
      <c r="AB10145" s="318"/>
      <c r="AC10145" s="318"/>
      <c r="AD10145" s="318"/>
    </row>
    <row r="10146" spans="2:30" s="323" customFormat="1" ht="12" customHeight="1">
      <c r="B10146" s="324"/>
      <c r="C10146" s="325"/>
      <c r="D10146" s="326"/>
      <c r="E10146" s="326"/>
      <c r="F10146" s="326"/>
      <c r="G10146" s="326"/>
      <c r="H10146" s="326"/>
      <c r="P10146" s="318"/>
      <c r="Q10146" s="318"/>
      <c r="R10146" s="318"/>
      <c r="S10146" s="318"/>
      <c r="T10146" s="318"/>
      <c r="U10146" s="318"/>
      <c r="V10146" s="318"/>
      <c r="W10146" s="318"/>
      <c r="X10146" s="318"/>
      <c r="Y10146" s="318"/>
      <c r="Z10146" s="318"/>
      <c r="AA10146" s="318"/>
      <c r="AB10146" s="318"/>
      <c r="AC10146" s="318"/>
      <c r="AD10146" s="318"/>
    </row>
    <row r="10147" spans="2:30" s="323" customFormat="1" ht="12" customHeight="1">
      <c r="B10147" s="324"/>
      <c r="C10147" s="325"/>
      <c r="D10147" s="326"/>
      <c r="E10147" s="326"/>
      <c r="F10147" s="326"/>
      <c r="G10147" s="326"/>
      <c r="H10147" s="326"/>
      <c r="P10147" s="318"/>
      <c r="Q10147" s="318"/>
      <c r="R10147" s="318"/>
      <c r="S10147" s="318"/>
      <c r="T10147" s="318"/>
      <c r="U10147" s="318"/>
      <c r="V10147" s="318"/>
      <c r="W10147" s="318"/>
      <c r="X10147" s="318"/>
      <c r="Y10147" s="318"/>
      <c r="Z10147" s="318"/>
      <c r="AA10147" s="318"/>
      <c r="AB10147" s="318"/>
      <c r="AC10147" s="318"/>
      <c r="AD10147" s="318"/>
    </row>
    <row r="10148" spans="2:30" s="323" customFormat="1" ht="12" customHeight="1">
      <c r="B10148" s="324"/>
      <c r="C10148" s="325"/>
      <c r="D10148" s="326"/>
      <c r="E10148" s="326"/>
      <c r="F10148" s="326"/>
      <c r="G10148" s="326"/>
      <c r="H10148" s="326"/>
      <c r="P10148" s="318"/>
      <c r="Q10148" s="318"/>
      <c r="R10148" s="318"/>
      <c r="S10148" s="318"/>
      <c r="T10148" s="318"/>
      <c r="U10148" s="318"/>
      <c r="V10148" s="318"/>
      <c r="W10148" s="318"/>
      <c r="X10148" s="318"/>
      <c r="Y10148" s="318"/>
      <c r="Z10148" s="318"/>
      <c r="AA10148" s="318"/>
      <c r="AB10148" s="318"/>
      <c r="AC10148" s="318"/>
      <c r="AD10148" s="318"/>
    </row>
    <row r="10149" spans="2:30" s="323" customFormat="1" ht="12" customHeight="1">
      <c r="B10149" s="324"/>
      <c r="C10149" s="325"/>
      <c r="D10149" s="326"/>
      <c r="E10149" s="326"/>
      <c r="F10149" s="326"/>
      <c r="G10149" s="326"/>
      <c r="H10149" s="326"/>
      <c r="P10149" s="318"/>
      <c r="Q10149" s="318"/>
      <c r="R10149" s="318"/>
      <c r="S10149" s="318"/>
      <c r="T10149" s="318"/>
      <c r="U10149" s="318"/>
      <c r="V10149" s="318"/>
      <c r="W10149" s="318"/>
      <c r="X10149" s="318"/>
      <c r="Y10149" s="318"/>
      <c r="Z10149" s="318"/>
      <c r="AA10149" s="318"/>
      <c r="AB10149" s="318"/>
      <c r="AC10149" s="318"/>
      <c r="AD10149" s="318"/>
    </row>
    <row r="10150" spans="2:30" s="323" customFormat="1" ht="12" customHeight="1">
      <c r="B10150" s="324"/>
      <c r="C10150" s="325"/>
      <c r="D10150" s="326"/>
      <c r="E10150" s="326"/>
      <c r="F10150" s="326"/>
      <c r="G10150" s="326"/>
      <c r="H10150" s="326"/>
      <c r="P10150" s="318"/>
      <c r="Q10150" s="318"/>
      <c r="R10150" s="318"/>
      <c r="S10150" s="318"/>
      <c r="T10150" s="318"/>
      <c r="U10150" s="318"/>
      <c r="V10150" s="318"/>
      <c r="W10150" s="318"/>
      <c r="X10150" s="318"/>
      <c r="Y10150" s="318"/>
      <c r="Z10150" s="318"/>
      <c r="AA10150" s="318"/>
      <c r="AB10150" s="318"/>
      <c r="AC10150" s="318"/>
      <c r="AD10150" s="318"/>
    </row>
    <row r="10151" spans="2:30" s="323" customFormat="1" ht="12" customHeight="1">
      <c r="B10151" s="324"/>
      <c r="C10151" s="325"/>
      <c r="D10151" s="326"/>
      <c r="E10151" s="326"/>
      <c r="F10151" s="326"/>
      <c r="G10151" s="326"/>
      <c r="H10151" s="326"/>
      <c r="P10151" s="318"/>
      <c r="Q10151" s="318"/>
      <c r="R10151" s="318"/>
      <c r="S10151" s="318"/>
      <c r="T10151" s="318"/>
      <c r="U10151" s="318"/>
      <c r="V10151" s="318"/>
      <c r="W10151" s="318"/>
      <c r="X10151" s="318"/>
      <c r="Y10151" s="318"/>
      <c r="Z10151" s="318"/>
      <c r="AA10151" s="318"/>
      <c r="AB10151" s="318"/>
      <c r="AC10151" s="318"/>
      <c r="AD10151" s="318"/>
    </row>
    <row r="10152" spans="2:30" s="323" customFormat="1" ht="12" customHeight="1">
      <c r="B10152" s="324"/>
      <c r="C10152" s="325"/>
      <c r="D10152" s="326"/>
      <c r="E10152" s="326"/>
      <c r="F10152" s="326"/>
      <c r="G10152" s="326"/>
      <c r="H10152" s="326"/>
      <c r="P10152" s="318"/>
      <c r="Q10152" s="318"/>
      <c r="R10152" s="318"/>
      <c r="S10152" s="318"/>
      <c r="T10152" s="318"/>
      <c r="U10152" s="318"/>
      <c r="V10152" s="318"/>
      <c r="W10152" s="318"/>
      <c r="X10152" s="318"/>
      <c r="Y10152" s="318"/>
      <c r="Z10152" s="318"/>
      <c r="AA10152" s="318"/>
      <c r="AB10152" s="318"/>
      <c r="AC10152" s="318"/>
      <c r="AD10152" s="318"/>
    </row>
    <row r="10153" spans="2:30" s="323" customFormat="1" ht="12" customHeight="1">
      <c r="B10153" s="324"/>
      <c r="C10153" s="325"/>
      <c r="D10153" s="326"/>
      <c r="E10153" s="326"/>
      <c r="F10153" s="326"/>
      <c r="G10153" s="326"/>
      <c r="H10153" s="326"/>
      <c r="P10153" s="318"/>
      <c r="Q10153" s="318"/>
      <c r="R10153" s="318"/>
      <c r="S10153" s="318"/>
      <c r="T10153" s="318"/>
      <c r="U10153" s="318"/>
      <c r="V10153" s="318"/>
      <c r="W10153" s="318"/>
      <c r="X10153" s="318"/>
      <c r="Y10153" s="318"/>
      <c r="Z10153" s="318"/>
      <c r="AA10153" s="318"/>
      <c r="AB10153" s="318"/>
      <c r="AC10153" s="318"/>
      <c r="AD10153" s="318"/>
    </row>
    <row r="10154" spans="2:30" s="323" customFormat="1" ht="12" customHeight="1">
      <c r="B10154" s="324"/>
      <c r="C10154" s="325"/>
      <c r="D10154" s="326"/>
      <c r="E10154" s="326"/>
      <c r="F10154" s="326"/>
      <c r="G10154" s="326"/>
      <c r="H10154" s="326"/>
      <c r="P10154" s="318"/>
      <c r="Q10154" s="318"/>
      <c r="R10154" s="318"/>
      <c r="S10154" s="318"/>
      <c r="T10154" s="318"/>
      <c r="U10154" s="318"/>
      <c r="V10154" s="318"/>
      <c r="W10154" s="318"/>
      <c r="X10154" s="318"/>
      <c r="Y10154" s="318"/>
      <c r="Z10154" s="318"/>
      <c r="AA10154" s="318"/>
      <c r="AB10154" s="318"/>
      <c r="AC10154" s="318"/>
      <c r="AD10154" s="318"/>
    </row>
    <row r="10155" spans="2:30" s="323" customFormat="1" ht="12" customHeight="1">
      <c r="B10155" s="324"/>
      <c r="C10155" s="325"/>
      <c r="D10155" s="326"/>
      <c r="E10155" s="326"/>
      <c r="F10155" s="326"/>
      <c r="G10155" s="326"/>
      <c r="H10155" s="326"/>
      <c r="P10155" s="318"/>
      <c r="Q10155" s="318"/>
      <c r="R10155" s="318"/>
      <c r="S10155" s="318"/>
      <c r="T10155" s="318"/>
      <c r="U10155" s="318"/>
      <c r="V10155" s="318"/>
      <c r="W10155" s="318"/>
      <c r="X10155" s="318"/>
      <c r="Y10155" s="318"/>
      <c r="Z10155" s="318"/>
      <c r="AA10155" s="318"/>
      <c r="AB10155" s="318"/>
      <c r="AC10155" s="318"/>
      <c r="AD10155" s="318"/>
    </row>
    <row r="10156" spans="2:30" s="323" customFormat="1" ht="12" customHeight="1">
      <c r="B10156" s="324"/>
      <c r="C10156" s="325"/>
      <c r="D10156" s="326"/>
      <c r="E10156" s="326"/>
      <c r="F10156" s="326"/>
      <c r="G10156" s="326"/>
      <c r="H10156" s="326"/>
      <c r="P10156" s="318"/>
      <c r="Q10156" s="318"/>
      <c r="R10156" s="318"/>
      <c r="S10156" s="318"/>
      <c r="T10156" s="318"/>
      <c r="U10156" s="318"/>
      <c r="V10156" s="318"/>
      <c r="W10156" s="318"/>
      <c r="X10156" s="318"/>
      <c r="Y10156" s="318"/>
      <c r="Z10156" s="318"/>
      <c r="AA10156" s="318"/>
      <c r="AB10156" s="318"/>
      <c r="AC10156" s="318"/>
      <c r="AD10156" s="318"/>
    </row>
    <row r="10157" spans="2:30" s="323" customFormat="1" ht="12" customHeight="1">
      <c r="B10157" s="324"/>
      <c r="C10157" s="325"/>
      <c r="D10157" s="326"/>
      <c r="E10157" s="326"/>
      <c r="F10157" s="326"/>
      <c r="G10157" s="326"/>
      <c r="H10157" s="326"/>
      <c r="P10157" s="318"/>
      <c r="Q10157" s="318"/>
      <c r="R10157" s="318"/>
      <c r="S10157" s="318"/>
      <c r="T10157" s="318"/>
      <c r="U10157" s="318"/>
      <c r="V10157" s="318"/>
      <c r="W10157" s="318"/>
      <c r="X10157" s="318"/>
      <c r="Y10157" s="318"/>
      <c r="Z10157" s="318"/>
      <c r="AA10157" s="318"/>
      <c r="AB10157" s="318"/>
      <c r="AC10157" s="318"/>
      <c r="AD10157" s="318"/>
    </row>
    <row r="10158" spans="2:30" s="323" customFormat="1" ht="12" customHeight="1">
      <c r="B10158" s="324"/>
      <c r="C10158" s="325"/>
      <c r="D10158" s="326"/>
      <c r="E10158" s="326"/>
      <c r="F10158" s="326"/>
      <c r="G10158" s="326"/>
      <c r="H10158" s="326"/>
      <c r="P10158" s="318"/>
      <c r="Q10158" s="318"/>
      <c r="R10158" s="318"/>
      <c r="S10158" s="318"/>
      <c r="T10158" s="318"/>
      <c r="U10158" s="318"/>
      <c r="V10158" s="318"/>
      <c r="W10158" s="318"/>
      <c r="X10158" s="318"/>
      <c r="Y10158" s="318"/>
      <c r="Z10158" s="318"/>
      <c r="AA10158" s="318"/>
      <c r="AB10158" s="318"/>
      <c r="AC10158" s="318"/>
      <c r="AD10158" s="318"/>
    </row>
    <row r="10159" spans="2:30" s="323" customFormat="1" ht="12" customHeight="1">
      <c r="B10159" s="324"/>
      <c r="C10159" s="325"/>
      <c r="D10159" s="326"/>
      <c r="E10159" s="326"/>
      <c r="F10159" s="326"/>
      <c r="G10159" s="326"/>
      <c r="H10159" s="326"/>
      <c r="P10159" s="318"/>
      <c r="Q10159" s="318"/>
      <c r="R10159" s="318"/>
      <c r="S10159" s="318"/>
      <c r="T10159" s="318"/>
      <c r="U10159" s="318"/>
      <c r="V10159" s="318"/>
      <c r="W10159" s="318"/>
      <c r="X10159" s="318"/>
      <c r="Y10159" s="318"/>
      <c r="Z10159" s="318"/>
      <c r="AA10159" s="318"/>
      <c r="AB10159" s="318"/>
      <c r="AC10159" s="318"/>
      <c r="AD10159" s="318"/>
    </row>
    <row r="10160" spans="2:30" s="323" customFormat="1" ht="12" customHeight="1">
      <c r="B10160" s="324"/>
      <c r="C10160" s="325"/>
      <c r="D10160" s="326"/>
      <c r="E10160" s="326"/>
      <c r="F10160" s="326"/>
      <c r="G10160" s="326"/>
      <c r="H10160" s="326"/>
      <c r="P10160" s="318"/>
      <c r="Q10160" s="318"/>
      <c r="R10160" s="318"/>
      <c r="S10160" s="318"/>
      <c r="T10160" s="318"/>
      <c r="U10160" s="318"/>
      <c r="V10160" s="318"/>
      <c r="W10160" s="318"/>
      <c r="X10160" s="318"/>
      <c r="Y10160" s="318"/>
      <c r="Z10160" s="318"/>
      <c r="AA10160" s="318"/>
      <c r="AB10160" s="318"/>
      <c r="AC10160" s="318"/>
      <c r="AD10160" s="318"/>
    </row>
    <row r="10161" spans="2:30" s="323" customFormat="1" ht="12" customHeight="1">
      <c r="B10161" s="324"/>
      <c r="C10161" s="325"/>
      <c r="D10161" s="326"/>
      <c r="E10161" s="326"/>
      <c r="F10161" s="326"/>
      <c r="G10161" s="326"/>
      <c r="H10161" s="326"/>
      <c r="P10161" s="318"/>
      <c r="Q10161" s="318"/>
      <c r="R10161" s="318"/>
      <c r="S10161" s="318"/>
      <c r="T10161" s="318"/>
      <c r="U10161" s="318"/>
      <c r="V10161" s="318"/>
      <c r="W10161" s="318"/>
      <c r="X10161" s="318"/>
      <c r="Y10161" s="318"/>
      <c r="Z10161" s="318"/>
      <c r="AA10161" s="318"/>
      <c r="AB10161" s="318"/>
      <c r="AC10161" s="318"/>
      <c r="AD10161" s="318"/>
    </row>
    <row r="10162" spans="2:30" s="323" customFormat="1" ht="12" customHeight="1">
      <c r="B10162" s="324"/>
      <c r="C10162" s="325"/>
      <c r="D10162" s="326"/>
      <c r="E10162" s="326"/>
      <c r="F10162" s="326"/>
      <c r="G10162" s="326"/>
      <c r="H10162" s="326"/>
      <c r="P10162" s="318"/>
      <c r="Q10162" s="318"/>
      <c r="R10162" s="318"/>
      <c r="S10162" s="318"/>
      <c r="T10162" s="318"/>
      <c r="U10162" s="318"/>
      <c r="V10162" s="318"/>
      <c r="W10162" s="318"/>
      <c r="X10162" s="318"/>
      <c r="Y10162" s="318"/>
      <c r="Z10162" s="318"/>
      <c r="AA10162" s="318"/>
      <c r="AB10162" s="318"/>
      <c r="AC10162" s="318"/>
      <c r="AD10162" s="318"/>
    </row>
    <row r="10163" spans="2:30" s="323" customFormat="1" ht="12" customHeight="1">
      <c r="B10163" s="324"/>
      <c r="C10163" s="325"/>
      <c r="D10163" s="326"/>
      <c r="E10163" s="326"/>
      <c r="F10163" s="326"/>
      <c r="G10163" s="326"/>
      <c r="H10163" s="326"/>
      <c r="P10163" s="318"/>
      <c r="Q10163" s="318"/>
      <c r="R10163" s="318"/>
      <c r="S10163" s="318"/>
      <c r="T10163" s="318"/>
      <c r="U10163" s="318"/>
      <c r="V10163" s="318"/>
      <c r="W10163" s="318"/>
      <c r="X10163" s="318"/>
      <c r="Y10163" s="318"/>
      <c r="Z10163" s="318"/>
      <c r="AA10163" s="318"/>
      <c r="AB10163" s="318"/>
      <c r="AC10163" s="318"/>
      <c r="AD10163" s="318"/>
    </row>
    <row r="10164" spans="2:30" s="323" customFormat="1" ht="12" customHeight="1">
      <c r="B10164" s="324"/>
      <c r="C10164" s="325"/>
      <c r="D10164" s="326"/>
      <c r="E10164" s="326"/>
      <c r="F10164" s="326"/>
      <c r="G10164" s="326"/>
      <c r="H10164" s="326"/>
      <c r="P10164" s="318"/>
      <c r="Q10164" s="318"/>
      <c r="R10164" s="318"/>
      <c r="S10164" s="318"/>
      <c r="T10164" s="318"/>
      <c r="U10164" s="318"/>
      <c r="V10164" s="318"/>
      <c r="W10164" s="318"/>
      <c r="X10164" s="318"/>
      <c r="Y10164" s="318"/>
      <c r="Z10164" s="318"/>
      <c r="AA10164" s="318"/>
      <c r="AB10164" s="318"/>
      <c r="AC10164" s="318"/>
      <c r="AD10164" s="318"/>
    </row>
    <row r="10165" spans="2:30" s="323" customFormat="1" ht="12" customHeight="1">
      <c r="B10165" s="324"/>
      <c r="C10165" s="325"/>
      <c r="D10165" s="326"/>
      <c r="E10165" s="326"/>
      <c r="F10165" s="326"/>
      <c r="G10165" s="326"/>
      <c r="H10165" s="326"/>
      <c r="P10165" s="318"/>
      <c r="Q10165" s="318"/>
      <c r="R10165" s="318"/>
      <c r="S10165" s="318"/>
      <c r="T10165" s="318"/>
      <c r="U10165" s="318"/>
      <c r="V10165" s="318"/>
      <c r="W10165" s="318"/>
      <c r="X10165" s="318"/>
      <c r="Y10165" s="318"/>
      <c r="Z10165" s="318"/>
      <c r="AA10165" s="318"/>
      <c r="AB10165" s="318"/>
      <c r="AC10165" s="318"/>
      <c r="AD10165" s="318"/>
    </row>
    <row r="10166" spans="2:30" s="323" customFormat="1" ht="12" customHeight="1">
      <c r="B10166" s="324"/>
      <c r="C10166" s="325"/>
      <c r="D10166" s="326"/>
      <c r="E10166" s="326"/>
      <c r="F10166" s="326"/>
      <c r="G10166" s="326"/>
      <c r="H10166" s="326"/>
      <c r="P10166" s="318"/>
      <c r="Q10166" s="318"/>
      <c r="R10166" s="318"/>
      <c r="S10166" s="318"/>
      <c r="T10166" s="318"/>
      <c r="U10166" s="318"/>
      <c r="V10166" s="318"/>
      <c r="W10166" s="318"/>
      <c r="X10166" s="318"/>
      <c r="Y10166" s="318"/>
      <c r="Z10166" s="318"/>
      <c r="AA10166" s="318"/>
      <c r="AB10166" s="318"/>
      <c r="AC10166" s="318"/>
      <c r="AD10166" s="318"/>
    </row>
    <row r="10167" spans="2:30" s="323" customFormat="1" ht="12" customHeight="1">
      <c r="B10167" s="324"/>
      <c r="C10167" s="325"/>
      <c r="D10167" s="326"/>
      <c r="E10167" s="326"/>
      <c r="F10167" s="326"/>
      <c r="G10167" s="326"/>
      <c r="H10167" s="326"/>
      <c r="P10167" s="318"/>
      <c r="Q10167" s="318"/>
      <c r="R10167" s="318"/>
      <c r="S10167" s="318"/>
      <c r="T10167" s="318"/>
      <c r="U10167" s="318"/>
      <c r="V10167" s="318"/>
      <c r="W10167" s="318"/>
      <c r="X10167" s="318"/>
      <c r="Y10167" s="318"/>
      <c r="Z10167" s="318"/>
      <c r="AA10167" s="318"/>
      <c r="AB10167" s="318"/>
      <c r="AC10167" s="318"/>
      <c r="AD10167" s="318"/>
    </row>
    <row r="10168" spans="2:30" s="323" customFormat="1" ht="12" customHeight="1">
      <c r="B10168" s="324"/>
      <c r="C10168" s="325"/>
      <c r="D10168" s="326"/>
      <c r="E10168" s="326"/>
      <c r="F10168" s="326"/>
      <c r="G10168" s="326"/>
      <c r="H10168" s="326"/>
      <c r="P10168" s="318"/>
      <c r="Q10168" s="318"/>
      <c r="R10168" s="318"/>
      <c r="S10168" s="318"/>
      <c r="T10168" s="318"/>
      <c r="U10168" s="318"/>
      <c r="V10168" s="318"/>
      <c r="W10168" s="318"/>
      <c r="X10168" s="318"/>
      <c r="Y10168" s="318"/>
      <c r="Z10168" s="318"/>
      <c r="AA10168" s="318"/>
      <c r="AB10168" s="318"/>
      <c r="AC10168" s="318"/>
      <c r="AD10168" s="318"/>
    </row>
    <row r="10169" spans="2:30" s="323" customFormat="1" ht="12" customHeight="1">
      <c r="B10169" s="324"/>
      <c r="C10169" s="325"/>
      <c r="D10169" s="326"/>
      <c r="E10169" s="326"/>
      <c r="F10169" s="326"/>
      <c r="G10169" s="326"/>
      <c r="H10169" s="326"/>
      <c r="P10169" s="318"/>
      <c r="Q10169" s="318"/>
      <c r="R10169" s="318"/>
      <c r="S10169" s="318"/>
      <c r="T10169" s="318"/>
      <c r="U10169" s="318"/>
      <c r="V10169" s="318"/>
      <c r="W10169" s="318"/>
      <c r="X10169" s="318"/>
      <c r="Y10169" s="318"/>
      <c r="Z10169" s="318"/>
      <c r="AA10169" s="318"/>
      <c r="AB10169" s="318"/>
      <c r="AC10169" s="318"/>
      <c r="AD10169" s="318"/>
    </row>
    <row r="10170" spans="2:30" s="323" customFormat="1" ht="12" customHeight="1">
      <c r="B10170" s="324"/>
      <c r="C10170" s="325"/>
      <c r="D10170" s="326"/>
      <c r="E10170" s="326"/>
      <c r="F10170" s="326"/>
      <c r="G10170" s="326"/>
      <c r="H10170" s="326"/>
      <c r="P10170" s="318"/>
      <c r="Q10170" s="318"/>
      <c r="R10170" s="318"/>
      <c r="S10170" s="318"/>
      <c r="T10170" s="318"/>
      <c r="U10170" s="318"/>
      <c r="V10170" s="318"/>
      <c r="W10170" s="318"/>
      <c r="X10170" s="318"/>
      <c r="Y10170" s="318"/>
      <c r="Z10170" s="318"/>
      <c r="AA10170" s="318"/>
      <c r="AB10170" s="318"/>
      <c r="AC10170" s="318"/>
      <c r="AD10170" s="318"/>
    </row>
    <row r="10171" spans="2:30" s="323" customFormat="1" ht="12" customHeight="1">
      <c r="B10171" s="324"/>
      <c r="C10171" s="325"/>
      <c r="D10171" s="326"/>
      <c r="E10171" s="326"/>
      <c r="F10171" s="326"/>
      <c r="G10171" s="326"/>
      <c r="H10171" s="326"/>
      <c r="P10171" s="318"/>
      <c r="Q10171" s="318"/>
      <c r="R10171" s="318"/>
      <c r="S10171" s="318"/>
      <c r="T10171" s="318"/>
      <c r="U10171" s="318"/>
      <c r="V10171" s="318"/>
      <c r="W10171" s="318"/>
      <c r="X10171" s="318"/>
      <c r="Y10171" s="318"/>
      <c r="Z10171" s="318"/>
      <c r="AA10171" s="318"/>
      <c r="AB10171" s="318"/>
      <c r="AC10171" s="318"/>
      <c r="AD10171" s="318"/>
    </row>
    <row r="10172" spans="2:30" s="323" customFormat="1" ht="12" customHeight="1">
      <c r="B10172" s="324"/>
      <c r="C10172" s="325"/>
      <c r="D10172" s="326"/>
      <c r="E10172" s="326"/>
      <c r="F10172" s="326"/>
      <c r="G10172" s="326"/>
      <c r="H10172" s="326"/>
      <c r="P10172" s="318"/>
      <c r="Q10172" s="318"/>
      <c r="R10172" s="318"/>
      <c r="S10172" s="318"/>
      <c r="T10172" s="318"/>
      <c r="U10172" s="318"/>
      <c r="V10172" s="318"/>
      <c r="W10172" s="318"/>
      <c r="X10172" s="318"/>
      <c r="Y10172" s="318"/>
      <c r="Z10172" s="318"/>
      <c r="AA10172" s="318"/>
      <c r="AB10172" s="318"/>
      <c r="AC10172" s="318"/>
      <c r="AD10172" s="318"/>
    </row>
    <row r="10173" spans="2:30" s="323" customFormat="1" ht="12" customHeight="1">
      <c r="B10173" s="324"/>
      <c r="C10173" s="325"/>
      <c r="D10173" s="326"/>
      <c r="E10173" s="326"/>
      <c r="F10173" s="326"/>
      <c r="G10173" s="326"/>
      <c r="H10173" s="326"/>
      <c r="P10173" s="318"/>
      <c r="Q10173" s="318"/>
      <c r="R10173" s="318"/>
      <c r="S10173" s="318"/>
      <c r="T10173" s="318"/>
      <c r="U10173" s="318"/>
      <c r="V10173" s="318"/>
      <c r="W10173" s="318"/>
      <c r="X10173" s="318"/>
      <c r="Y10173" s="318"/>
      <c r="Z10173" s="318"/>
      <c r="AA10173" s="318"/>
      <c r="AB10173" s="318"/>
      <c r="AC10173" s="318"/>
      <c r="AD10173" s="318"/>
    </row>
    <row r="10174" spans="2:30" s="323" customFormat="1" ht="12" customHeight="1">
      <c r="B10174" s="324"/>
      <c r="C10174" s="325"/>
      <c r="D10174" s="326"/>
      <c r="E10174" s="326"/>
      <c r="F10174" s="326"/>
      <c r="G10174" s="326"/>
      <c r="H10174" s="326"/>
      <c r="P10174" s="318"/>
      <c r="Q10174" s="318"/>
      <c r="R10174" s="318"/>
      <c r="S10174" s="318"/>
      <c r="T10174" s="318"/>
      <c r="U10174" s="318"/>
      <c r="V10174" s="318"/>
      <c r="W10174" s="318"/>
      <c r="X10174" s="318"/>
      <c r="Y10174" s="318"/>
      <c r="Z10174" s="318"/>
      <c r="AA10174" s="318"/>
      <c r="AB10174" s="318"/>
      <c r="AC10174" s="318"/>
      <c r="AD10174" s="318"/>
    </row>
    <row r="10175" spans="2:30" s="323" customFormat="1" ht="12" customHeight="1">
      <c r="B10175" s="324"/>
      <c r="C10175" s="325"/>
      <c r="D10175" s="326"/>
      <c r="E10175" s="326"/>
      <c r="F10175" s="326"/>
      <c r="G10175" s="326"/>
      <c r="H10175" s="326"/>
      <c r="P10175" s="318"/>
      <c r="Q10175" s="318"/>
      <c r="R10175" s="318"/>
      <c r="S10175" s="318"/>
      <c r="T10175" s="318"/>
      <c r="U10175" s="318"/>
      <c r="V10175" s="318"/>
      <c r="W10175" s="318"/>
      <c r="X10175" s="318"/>
      <c r="Y10175" s="318"/>
      <c r="Z10175" s="318"/>
      <c r="AA10175" s="318"/>
      <c r="AB10175" s="318"/>
      <c r="AC10175" s="318"/>
      <c r="AD10175" s="318"/>
    </row>
    <row r="10176" spans="2:30" s="323" customFormat="1" ht="12" customHeight="1">
      <c r="B10176" s="324"/>
      <c r="C10176" s="325"/>
      <c r="D10176" s="326"/>
      <c r="E10176" s="326"/>
      <c r="F10176" s="326"/>
      <c r="G10176" s="326"/>
      <c r="H10176" s="326"/>
      <c r="P10176" s="318"/>
      <c r="Q10176" s="318"/>
      <c r="R10176" s="318"/>
      <c r="S10176" s="318"/>
      <c r="T10176" s="318"/>
      <c r="U10176" s="318"/>
      <c r="V10176" s="318"/>
      <c r="W10176" s="318"/>
      <c r="X10176" s="318"/>
      <c r="Y10176" s="318"/>
      <c r="Z10176" s="318"/>
      <c r="AA10176" s="318"/>
      <c r="AB10176" s="318"/>
      <c r="AC10176" s="318"/>
      <c r="AD10176" s="318"/>
    </row>
    <row r="10177" spans="2:30" s="323" customFormat="1" ht="12" customHeight="1">
      <c r="B10177" s="324"/>
      <c r="C10177" s="325"/>
      <c r="D10177" s="326"/>
      <c r="E10177" s="326"/>
      <c r="F10177" s="326"/>
      <c r="G10177" s="326"/>
      <c r="H10177" s="326"/>
      <c r="P10177" s="318"/>
      <c r="Q10177" s="318"/>
      <c r="R10177" s="318"/>
      <c r="S10177" s="318"/>
      <c r="T10177" s="318"/>
      <c r="U10177" s="318"/>
      <c r="V10177" s="318"/>
      <c r="W10177" s="318"/>
      <c r="X10177" s="318"/>
      <c r="Y10177" s="318"/>
      <c r="Z10177" s="318"/>
      <c r="AA10177" s="318"/>
      <c r="AB10177" s="318"/>
      <c r="AC10177" s="318"/>
      <c r="AD10177" s="318"/>
    </row>
    <row r="10178" spans="2:30" s="323" customFormat="1" ht="12" customHeight="1">
      <c r="B10178" s="324"/>
      <c r="C10178" s="325"/>
      <c r="D10178" s="326"/>
      <c r="E10178" s="326"/>
      <c r="F10178" s="326"/>
      <c r="G10178" s="326"/>
      <c r="H10178" s="326"/>
      <c r="P10178" s="318"/>
      <c r="Q10178" s="318"/>
      <c r="R10178" s="318"/>
      <c r="S10178" s="318"/>
      <c r="T10178" s="318"/>
      <c r="U10178" s="318"/>
      <c r="V10178" s="318"/>
      <c r="W10178" s="318"/>
      <c r="X10178" s="318"/>
      <c r="Y10178" s="318"/>
      <c r="Z10178" s="318"/>
      <c r="AA10178" s="318"/>
      <c r="AB10178" s="318"/>
      <c r="AC10178" s="318"/>
      <c r="AD10178" s="318"/>
    </row>
    <row r="10179" spans="2:30" s="323" customFormat="1" ht="12" customHeight="1">
      <c r="B10179" s="324"/>
      <c r="C10179" s="325"/>
      <c r="D10179" s="326"/>
      <c r="E10179" s="326"/>
      <c r="F10179" s="326"/>
      <c r="G10179" s="326"/>
      <c r="H10179" s="326"/>
      <c r="P10179" s="318"/>
      <c r="Q10179" s="318"/>
      <c r="R10179" s="318"/>
      <c r="S10179" s="318"/>
      <c r="T10179" s="318"/>
      <c r="U10179" s="318"/>
      <c r="V10179" s="318"/>
      <c r="W10179" s="318"/>
      <c r="X10179" s="318"/>
      <c r="Y10179" s="318"/>
      <c r="Z10179" s="318"/>
      <c r="AA10179" s="318"/>
      <c r="AB10179" s="318"/>
      <c r="AC10179" s="318"/>
      <c r="AD10179" s="318"/>
    </row>
    <row r="10180" spans="2:30" s="323" customFormat="1" ht="12" customHeight="1">
      <c r="B10180" s="324"/>
      <c r="C10180" s="325"/>
      <c r="D10180" s="326"/>
      <c r="E10180" s="326"/>
      <c r="F10180" s="326"/>
      <c r="G10180" s="326"/>
      <c r="H10180" s="326"/>
      <c r="P10180" s="318"/>
      <c r="Q10180" s="318"/>
      <c r="R10180" s="318"/>
      <c r="S10180" s="318"/>
      <c r="T10180" s="318"/>
      <c r="U10180" s="318"/>
      <c r="V10180" s="318"/>
      <c r="W10180" s="318"/>
      <c r="X10180" s="318"/>
      <c r="Y10180" s="318"/>
      <c r="Z10180" s="318"/>
      <c r="AA10180" s="318"/>
      <c r="AB10180" s="318"/>
      <c r="AC10180" s="318"/>
      <c r="AD10180" s="318"/>
    </row>
    <row r="10181" spans="2:30" s="323" customFormat="1" ht="12" customHeight="1">
      <c r="B10181" s="324"/>
      <c r="C10181" s="325"/>
      <c r="D10181" s="326"/>
      <c r="E10181" s="326"/>
      <c r="F10181" s="326"/>
      <c r="G10181" s="326"/>
      <c r="H10181" s="326"/>
      <c r="P10181" s="318"/>
      <c r="Q10181" s="318"/>
      <c r="R10181" s="318"/>
      <c r="S10181" s="318"/>
      <c r="T10181" s="318"/>
      <c r="U10181" s="318"/>
      <c r="V10181" s="318"/>
      <c r="W10181" s="318"/>
      <c r="X10181" s="318"/>
      <c r="Y10181" s="318"/>
      <c r="Z10181" s="318"/>
      <c r="AA10181" s="318"/>
      <c r="AB10181" s="318"/>
      <c r="AC10181" s="318"/>
      <c r="AD10181" s="318"/>
    </row>
    <row r="10182" spans="2:30" s="323" customFormat="1" ht="12" customHeight="1">
      <c r="B10182" s="324"/>
      <c r="C10182" s="325"/>
      <c r="D10182" s="326"/>
      <c r="E10182" s="326"/>
      <c r="F10182" s="326"/>
      <c r="G10182" s="326"/>
      <c r="H10182" s="326"/>
      <c r="P10182" s="318"/>
      <c r="Q10182" s="318"/>
      <c r="R10182" s="318"/>
      <c r="S10182" s="318"/>
      <c r="T10182" s="318"/>
      <c r="U10182" s="318"/>
      <c r="V10182" s="318"/>
      <c r="W10182" s="318"/>
      <c r="X10182" s="318"/>
      <c r="Y10182" s="318"/>
      <c r="Z10182" s="318"/>
      <c r="AA10182" s="318"/>
      <c r="AB10182" s="318"/>
      <c r="AC10182" s="318"/>
      <c r="AD10182" s="318"/>
    </row>
    <row r="10183" spans="2:30" s="323" customFormat="1" ht="12" customHeight="1">
      <c r="B10183" s="324"/>
      <c r="C10183" s="325"/>
      <c r="D10183" s="326"/>
      <c r="E10183" s="326"/>
      <c r="F10183" s="326"/>
      <c r="G10183" s="326"/>
      <c r="H10183" s="326"/>
      <c r="P10183" s="318"/>
      <c r="Q10183" s="318"/>
      <c r="R10183" s="318"/>
      <c r="S10183" s="318"/>
      <c r="T10183" s="318"/>
      <c r="U10183" s="318"/>
      <c r="V10183" s="318"/>
      <c r="W10183" s="318"/>
      <c r="X10183" s="318"/>
      <c r="Y10183" s="318"/>
      <c r="Z10183" s="318"/>
      <c r="AA10183" s="318"/>
      <c r="AB10183" s="318"/>
      <c r="AC10183" s="318"/>
      <c r="AD10183" s="318"/>
    </row>
    <row r="10184" spans="2:30" s="323" customFormat="1" ht="12" customHeight="1">
      <c r="B10184" s="324"/>
      <c r="C10184" s="325"/>
      <c r="D10184" s="326"/>
      <c r="E10184" s="326"/>
      <c r="F10184" s="326"/>
      <c r="G10184" s="326"/>
      <c r="H10184" s="326"/>
      <c r="P10184" s="318"/>
      <c r="Q10184" s="318"/>
      <c r="R10184" s="318"/>
      <c r="S10184" s="318"/>
      <c r="T10184" s="318"/>
      <c r="U10184" s="318"/>
      <c r="V10184" s="318"/>
      <c r="W10184" s="318"/>
      <c r="X10184" s="318"/>
      <c r="Y10184" s="318"/>
      <c r="Z10184" s="318"/>
      <c r="AA10184" s="318"/>
      <c r="AB10184" s="318"/>
      <c r="AC10184" s="318"/>
      <c r="AD10184" s="318"/>
    </row>
    <row r="10185" spans="2:30" s="323" customFormat="1" ht="12" customHeight="1">
      <c r="B10185" s="324"/>
      <c r="C10185" s="325"/>
      <c r="D10185" s="326"/>
      <c r="E10185" s="326"/>
      <c r="F10185" s="326"/>
      <c r="G10185" s="326"/>
      <c r="H10185" s="326"/>
      <c r="P10185" s="318"/>
      <c r="Q10185" s="318"/>
      <c r="R10185" s="318"/>
      <c r="S10185" s="318"/>
      <c r="T10185" s="318"/>
      <c r="U10185" s="318"/>
      <c r="V10185" s="318"/>
      <c r="W10185" s="318"/>
      <c r="X10185" s="318"/>
      <c r="Y10185" s="318"/>
      <c r="Z10185" s="318"/>
      <c r="AA10185" s="318"/>
      <c r="AB10185" s="318"/>
      <c r="AC10185" s="318"/>
      <c r="AD10185" s="318"/>
    </row>
    <row r="10186" spans="2:30" s="323" customFormat="1" ht="12" customHeight="1">
      <c r="B10186" s="324"/>
      <c r="C10186" s="325"/>
      <c r="D10186" s="326"/>
      <c r="E10186" s="326"/>
      <c r="F10186" s="326"/>
      <c r="G10186" s="326"/>
      <c r="H10186" s="326"/>
      <c r="P10186" s="318"/>
      <c r="Q10186" s="318"/>
      <c r="R10186" s="318"/>
      <c r="S10186" s="318"/>
      <c r="T10186" s="318"/>
      <c r="U10186" s="318"/>
      <c r="V10186" s="318"/>
      <c r="W10186" s="318"/>
      <c r="X10186" s="318"/>
      <c r="Y10186" s="318"/>
      <c r="Z10186" s="318"/>
      <c r="AA10186" s="318"/>
      <c r="AB10186" s="318"/>
      <c r="AC10186" s="318"/>
      <c r="AD10186" s="318"/>
    </row>
    <row r="10187" spans="2:30" s="323" customFormat="1" ht="12" customHeight="1">
      <c r="B10187" s="324"/>
      <c r="C10187" s="325"/>
      <c r="D10187" s="326"/>
      <c r="E10187" s="326"/>
      <c r="F10187" s="326"/>
      <c r="G10187" s="326"/>
      <c r="H10187" s="326"/>
      <c r="P10187" s="318"/>
      <c r="Q10187" s="318"/>
      <c r="R10187" s="318"/>
      <c r="S10187" s="318"/>
      <c r="T10187" s="318"/>
      <c r="U10187" s="318"/>
      <c r="V10187" s="318"/>
      <c r="W10187" s="318"/>
      <c r="X10187" s="318"/>
      <c r="Y10187" s="318"/>
      <c r="Z10187" s="318"/>
      <c r="AA10187" s="318"/>
      <c r="AB10187" s="318"/>
      <c r="AC10187" s="318"/>
      <c r="AD10187" s="318"/>
    </row>
    <row r="10188" spans="2:30" s="323" customFormat="1" ht="12" customHeight="1">
      <c r="B10188" s="324"/>
      <c r="C10188" s="325"/>
      <c r="D10188" s="326"/>
      <c r="E10188" s="326"/>
      <c r="F10188" s="326"/>
      <c r="G10188" s="326"/>
      <c r="H10188" s="326"/>
      <c r="P10188" s="318"/>
      <c r="Q10188" s="318"/>
      <c r="R10188" s="318"/>
      <c r="S10188" s="318"/>
      <c r="T10188" s="318"/>
      <c r="U10188" s="318"/>
      <c r="V10188" s="318"/>
      <c r="W10188" s="318"/>
      <c r="X10188" s="318"/>
      <c r="Y10188" s="318"/>
      <c r="Z10188" s="318"/>
      <c r="AA10188" s="318"/>
      <c r="AB10188" s="318"/>
      <c r="AC10188" s="318"/>
      <c r="AD10188" s="318"/>
    </row>
    <row r="10189" spans="2:30" s="323" customFormat="1" ht="12" customHeight="1">
      <c r="B10189" s="324"/>
      <c r="C10189" s="325"/>
      <c r="D10189" s="326"/>
      <c r="E10189" s="326"/>
      <c r="F10189" s="326"/>
      <c r="G10189" s="326"/>
      <c r="H10189" s="326"/>
      <c r="P10189" s="318"/>
      <c r="Q10189" s="318"/>
      <c r="R10189" s="318"/>
      <c r="S10189" s="318"/>
      <c r="T10189" s="318"/>
      <c r="U10189" s="318"/>
      <c r="V10189" s="318"/>
      <c r="W10189" s="318"/>
      <c r="X10189" s="318"/>
      <c r="Y10189" s="318"/>
      <c r="Z10189" s="318"/>
      <c r="AA10189" s="318"/>
      <c r="AB10189" s="318"/>
      <c r="AC10189" s="318"/>
      <c r="AD10189" s="318"/>
    </row>
    <row r="10190" spans="2:30" s="323" customFormat="1" ht="12" customHeight="1">
      <c r="B10190" s="324"/>
      <c r="C10190" s="325"/>
      <c r="D10190" s="326"/>
      <c r="E10190" s="326"/>
      <c r="F10190" s="326"/>
      <c r="G10190" s="326"/>
      <c r="H10190" s="326"/>
      <c r="P10190" s="318"/>
      <c r="Q10190" s="318"/>
      <c r="R10190" s="318"/>
      <c r="S10190" s="318"/>
      <c r="T10190" s="318"/>
      <c r="U10190" s="318"/>
      <c r="V10190" s="318"/>
      <c r="W10190" s="318"/>
      <c r="X10190" s="318"/>
      <c r="Y10190" s="318"/>
      <c r="Z10190" s="318"/>
      <c r="AA10190" s="318"/>
      <c r="AB10190" s="318"/>
      <c r="AC10190" s="318"/>
      <c r="AD10190" s="318"/>
    </row>
    <row r="10191" spans="2:30" s="323" customFormat="1" ht="12" customHeight="1">
      <c r="B10191" s="324"/>
      <c r="C10191" s="325"/>
      <c r="D10191" s="326"/>
      <c r="E10191" s="326"/>
      <c r="F10191" s="326"/>
      <c r="G10191" s="326"/>
      <c r="H10191" s="326"/>
      <c r="P10191" s="318"/>
      <c r="Q10191" s="318"/>
      <c r="R10191" s="318"/>
      <c r="S10191" s="318"/>
      <c r="T10191" s="318"/>
      <c r="U10191" s="318"/>
      <c r="V10191" s="318"/>
      <c r="W10191" s="318"/>
      <c r="X10191" s="318"/>
      <c r="Y10191" s="318"/>
      <c r="Z10191" s="318"/>
      <c r="AA10191" s="318"/>
      <c r="AB10191" s="318"/>
      <c r="AC10191" s="318"/>
      <c r="AD10191" s="318"/>
    </row>
    <row r="10192" spans="2:30" s="323" customFormat="1" ht="12" customHeight="1">
      <c r="B10192" s="324"/>
      <c r="C10192" s="325"/>
      <c r="D10192" s="326"/>
      <c r="E10192" s="326"/>
      <c r="F10192" s="326"/>
      <c r="G10192" s="326"/>
      <c r="H10192" s="326"/>
      <c r="P10192" s="318"/>
      <c r="Q10192" s="318"/>
      <c r="R10192" s="318"/>
      <c r="S10192" s="318"/>
      <c r="T10192" s="318"/>
      <c r="U10192" s="318"/>
      <c r="V10192" s="318"/>
      <c r="W10192" s="318"/>
      <c r="X10192" s="318"/>
      <c r="Y10192" s="318"/>
      <c r="Z10192" s="318"/>
      <c r="AA10192" s="318"/>
      <c r="AB10192" s="318"/>
      <c r="AC10192" s="318"/>
      <c r="AD10192" s="318"/>
    </row>
    <row r="10193" spans="2:30" s="323" customFormat="1" ht="12" customHeight="1">
      <c r="B10193" s="324"/>
      <c r="C10193" s="325"/>
      <c r="D10193" s="326"/>
      <c r="E10193" s="326"/>
      <c r="F10193" s="326"/>
      <c r="G10193" s="326"/>
      <c r="H10193" s="326"/>
      <c r="P10193" s="318"/>
      <c r="Q10193" s="318"/>
      <c r="R10193" s="318"/>
      <c r="S10193" s="318"/>
      <c r="T10193" s="318"/>
      <c r="U10193" s="318"/>
      <c r="V10193" s="318"/>
      <c r="W10193" s="318"/>
      <c r="X10193" s="318"/>
      <c r="Y10193" s="318"/>
      <c r="Z10193" s="318"/>
      <c r="AA10193" s="318"/>
      <c r="AB10193" s="318"/>
      <c r="AC10193" s="318"/>
      <c r="AD10193" s="318"/>
    </row>
    <row r="10194" spans="2:30" s="323" customFormat="1" ht="12" customHeight="1">
      <c r="B10194" s="324"/>
      <c r="C10194" s="325"/>
      <c r="D10194" s="326"/>
      <c r="E10194" s="326"/>
      <c r="F10194" s="326"/>
      <c r="G10194" s="326"/>
      <c r="H10194" s="326"/>
      <c r="P10194" s="318"/>
      <c r="Q10194" s="318"/>
      <c r="R10194" s="318"/>
      <c r="S10194" s="318"/>
      <c r="T10194" s="318"/>
      <c r="U10194" s="318"/>
      <c r="V10194" s="318"/>
      <c r="W10194" s="318"/>
      <c r="X10194" s="318"/>
      <c r="Y10194" s="318"/>
      <c r="Z10194" s="318"/>
      <c r="AA10194" s="318"/>
      <c r="AB10194" s="318"/>
      <c r="AC10194" s="318"/>
      <c r="AD10194" s="318"/>
    </row>
    <row r="10195" spans="2:30" s="323" customFormat="1" ht="12" customHeight="1">
      <c r="B10195" s="324"/>
      <c r="C10195" s="325"/>
      <c r="D10195" s="326"/>
      <c r="E10195" s="326"/>
      <c r="F10195" s="326"/>
      <c r="G10195" s="326"/>
      <c r="H10195" s="326"/>
      <c r="P10195" s="318"/>
      <c r="Q10195" s="318"/>
      <c r="R10195" s="318"/>
      <c r="S10195" s="318"/>
      <c r="T10195" s="318"/>
      <c r="U10195" s="318"/>
      <c r="V10195" s="318"/>
      <c r="W10195" s="318"/>
      <c r="X10195" s="318"/>
      <c r="Y10195" s="318"/>
      <c r="Z10195" s="318"/>
      <c r="AA10195" s="318"/>
      <c r="AB10195" s="318"/>
      <c r="AC10195" s="318"/>
      <c r="AD10195" s="318"/>
    </row>
    <row r="10196" spans="2:30" s="323" customFormat="1" ht="12" customHeight="1">
      <c r="B10196" s="324"/>
      <c r="C10196" s="325"/>
      <c r="D10196" s="326"/>
      <c r="E10196" s="326"/>
      <c r="F10196" s="326"/>
      <c r="G10196" s="326"/>
      <c r="H10196" s="326"/>
      <c r="P10196" s="318"/>
      <c r="Q10196" s="318"/>
      <c r="R10196" s="318"/>
      <c r="S10196" s="318"/>
      <c r="T10196" s="318"/>
      <c r="U10196" s="318"/>
      <c r="V10196" s="318"/>
      <c r="W10196" s="318"/>
      <c r="X10196" s="318"/>
      <c r="Y10196" s="318"/>
      <c r="Z10196" s="318"/>
      <c r="AA10196" s="318"/>
      <c r="AB10196" s="318"/>
      <c r="AC10196" s="318"/>
      <c r="AD10196" s="318"/>
    </row>
    <row r="10197" spans="2:30" s="323" customFormat="1" ht="12" customHeight="1">
      <c r="B10197" s="324"/>
      <c r="C10197" s="325"/>
      <c r="D10197" s="326"/>
      <c r="E10197" s="326"/>
      <c r="F10197" s="326"/>
      <c r="G10197" s="326"/>
      <c r="H10197" s="326"/>
      <c r="P10197" s="318"/>
      <c r="Q10197" s="318"/>
      <c r="R10197" s="318"/>
      <c r="S10197" s="318"/>
      <c r="T10197" s="318"/>
      <c r="U10197" s="318"/>
      <c r="V10197" s="318"/>
      <c r="W10197" s="318"/>
      <c r="X10197" s="318"/>
      <c r="Y10197" s="318"/>
      <c r="Z10197" s="318"/>
      <c r="AA10197" s="318"/>
      <c r="AB10197" s="318"/>
      <c r="AC10197" s="318"/>
      <c r="AD10197" s="318"/>
    </row>
    <row r="10198" spans="2:30" s="323" customFormat="1" ht="12" customHeight="1">
      <c r="B10198" s="324"/>
      <c r="C10198" s="325"/>
      <c r="D10198" s="326"/>
      <c r="E10198" s="326"/>
      <c r="F10198" s="326"/>
      <c r="G10198" s="326"/>
      <c r="H10198" s="326"/>
      <c r="P10198" s="318"/>
      <c r="Q10198" s="318"/>
      <c r="R10198" s="318"/>
      <c r="S10198" s="318"/>
      <c r="T10198" s="318"/>
      <c r="U10198" s="318"/>
      <c r="V10198" s="318"/>
      <c r="W10198" s="318"/>
      <c r="X10198" s="318"/>
      <c r="Y10198" s="318"/>
      <c r="Z10198" s="318"/>
      <c r="AA10198" s="318"/>
      <c r="AB10198" s="318"/>
      <c r="AC10198" s="318"/>
      <c r="AD10198" s="318"/>
    </row>
    <row r="10199" spans="2:30" s="323" customFormat="1" ht="12" customHeight="1">
      <c r="B10199" s="324"/>
      <c r="C10199" s="325"/>
      <c r="D10199" s="326"/>
      <c r="E10199" s="326"/>
      <c r="F10199" s="326"/>
      <c r="G10199" s="326"/>
      <c r="H10199" s="326"/>
      <c r="P10199" s="318"/>
      <c r="Q10199" s="318"/>
      <c r="R10199" s="318"/>
      <c r="S10199" s="318"/>
      <c r="T10199" s="318"/>
      <c r="U10199" s="318"/>
      <c r="V10199" s="318"/>
      <c r="W10199" s="318"/>
      <c r="X10199" s="318"/>
      <c r="Y10199" s="318"/>
      <c r="Z10199" s="318"/>
      <c r="AA10199" s="318"/>
      <c r="AB10199" s="318"/>
      <c r="AC10199" s="318"/>
      <c r="AD10199" s="318"/>
    </row>
    <row r="10200" spans="2:30" s="323" customFormat="1" ht="12" customHeight="1">
      <c r="B10200" s="324"/>
      <c r="C10200" s="325"/>
      <c r="D10200" s="326"/>
      <c r="E10200" s="326"/>
      <c r="F10200" s="326"/>
      <c r="G10200" s="326"/>
      <c r="H10200" s="326"/>
      <c r="P10200" s="318"/>
      <c r="Q10200" s="318"/>
      <c r="R10200" s="318"/>
      <c r="S10200" s="318"/>
      <c r="T10200" s="318"/>
      <c r="U10200" s="318"/>
      <c r="V10200" s="318"/>
      <c r="W10200" s="318"/>
      <c r="X10200" s="318"/>
      <c r="Y10200" s="318"/>
      <c r="Z10200" s="318"/>
      <c r="AA10200" s="318"/>
      <c r="AB10200" s="318"/>
      <c r="AC10200" s="318"/>
      <c r="AD10200" s="318"/>
    </row>
    <row r="10201" spans="2:30" s="323" customFormat="1" ht="12" customHeight="1">
      <c r="B10201" s="324"/>
      <c r="C10201" s="325"/>
      <c r="D10201" s="326"/>
      <c r="E10201" s="326"/>
      <c r="F10201" s="326"/>
      <c r="G10201" s="326"/>
      <c r="H10201" s="326"/>
      <c r="P10201" s="318"/>
      <c r="Q10201" s="318"/>
      <c r="R10201" s="318"/>
      <c r="S10201" s="318"/>
      <c r="T10201" s="318"/>
      <c r="U10201" s="318"/>
      <c r="V10201" s="318"/>
      <c r="W10201" s="318"/>
      <c r="X10201" s="318"/>
      <c r="Y10201" s="318"/>
      <c r="Z10201" s="318"/>
      <c r="AA10201" s="318"/>
      <c r="AB10201" s="318"/>
      <c r="AC10201" s="318"/>
      <c r="AD10201" s="318"/>
    </row>
    <row r="10202" spans="2:30" s="323" customFormat="1" ht="12" customHeight="1">
      <c r="B10202" s="324"/>
      <c r="C10202" s="325"/>
      <c r="D10202" s="326"/>
      <c r="E10202" s="326"/>
      <c r="F10202" s="326"/>
      <c r="G10202" s="326"/>
      <c r="H10202" s="326"/>
      <c r="P10202" s="318"/>
      <c r="Q10202" s="318"/>
      <c r="R10202" s="318"/>
      <c r="S10202" s="318"/>
      <c r="T10202" s="318"/>
      <c r="U10202" s="318"/>
      <c r="V10202" s="318"/>
      <c r="W10202" s="318"/>
      <c r="X10202" s="318"/>
      <c r="Y10202" s="318"/>
      <c r="Z10202" s="318"/>
      <c r="AA10202" s="318"/>
      <c r="AB10202" s="318"/>
      <c r="AC10202" s="318"/>
      <c r="AD10202" s="318"/>
    </row>
    <row r="10203" spans="2:30" s="323" customFormat="1" ht="12" customHeight="1">
      <c r="B10203" s="324"/>
      <c r="C10203" s="325"/>
      <c r="D10203" s="326"/>
      <c r="E10203" s="326"/>
      <c r="F10203" s="326"/>
      <c r="G10203" s="326"/>
      <c r="H10203" s="326"/>
      <c r="P10203" s="318"/>
      <c r="Q10203" s="318"/>
      <c r="R10203" s="318"/>
      <c r="S10203" s="318"/>
      <c r="T10203" s="318"/>
      <c r="U10203" s="318"/>
      <c r="V10203" s="318"/>
      <c r="W10203" s="318"/>
      <c r="X10203" s="318"/>
      <c r="Y10203" s="318"/>
      <c r="Z10203" s="318"/>
      <c r="AA10203" s="318"/>
      <c r="AB10203" s="318"/>
      <c r="AC10203" s="318"/>
      <c r="AD10203" s="318"/>
    </row>
    <row r="10204" spans="2:30" s="323" customFormat="1" ht="12" customHeight="1">
      <c r="B10204" s="324"/>
      <c r="C10204" s="325"/>
      <c r="D10204" s="326"/>
      <c r="E10204" s="326"/>
      <c r="F10204" s="326"/>
      <c r="G10204" s="326"/>
      <c r="H10204" s="326"/>
      <c r="P10204" s="318"/>
      <c r="Q10204" s="318"/>
      <c r="R10204" s="318"/>
      <c r="S10204" s="318"/>
      <c r="T10204" s="318"/>
      <c r="U10204" s="318"/>
      <c r="V10204" s="318"/>
      <c r="W10204" s="318"/>
      <c r="X10204" s="318"/>
      <c r="Y10204" s="318"/>
      <c r="Z10204" s="318"/>
      <c r="AA10204" s="318"/>
      <c r="AB10204" s="318"/>
      <c r="AC10204" s="318"/>
      <c r="AD10204" s="318"/>
    </row>
    <row r="10205" spans="2:30" s="323" customFormat="1" ht="12" customHeight="1">
      <c r="B10205" s="324"/>
      <c r="C10205" s="325"/>
      <c r="D10205" s="326"/>
      <c r="E10205" s="326"/>
      <c r="F10205" s="326"/>
      <c r="G10205" s="326"/>
      <c r="H10205" s="326"/>
      <c r="P10205" s="318"/>
      <c r="Q10205" s="318"/>
      <c r="R10205" s="318"/>
      <c r="S10205" s="318"/>
      <c r="T10205" s="318"/>
      <c r="U10205" s="318"/>
      <c r="V10205" s="318"/>
      <c r="W10205" s="318"/>
      <c r="X10205" s="318"/>
      <c r="Y10205" s="318"/>
      <c r="Z10205" s="318"/>
      <c r="AA10205" s="318"/>
      <c r="AB10205" s="318"/>
      <c r="AC10205" s="318"/>
      <c r="AD10205" s="318"/>
    </row>
    <row r="10206" spans="2:30" s="323" customFormat="1" ht="12" customHeight="1">
      <c r="B10206" s="324"/>
      <c r="C10206" s="325"/>
      <c r="D10206" s="326"/>
      <c r="E10206" s="326"/>
      <c r="F10206" s="326"/>
      <c r="G10206" s="326"/>
      <c r="H10206" s="326"/>
      <c r="P10206" s="318"/>
      <c r="Q10206" s="318"/>
      <c r="R10206" s="318"/>
      <c r="S10206" s="318"/>
      <c r="T10206" s="318"/>
      <c r="U10206" s="318"/>
      <c r="V10206" s="318"/>
      <c r="W10206" s="318"/>
      <c r="X10206" s="318"/>
      <c r="Y10206" s="318"/>
      <c r="Z10206" s="318"/>
      <c r="AA10206" s="318"/>
      <c r="AB10206" s="318"/>
      <c r="AC10206" s="318"/>
      <c r="AD10206" s="318"/>
    </row>
    <row r="10207" spans="2:30" s="323" customFormat="1" ht="12" customHeight="1">
      <c r="B10207" s="324"/>
      <c r="C10207" s="325"/>
      <c r="D10207" s="326"/>
      <c r="E10207" s="326"/>
      <c r="F10207" s="326"/>
      <c r="G10207" s="326"/>
      <c r="H10207" s="326"/>
      <c r="P10207" s="318"/>
      <c r="Q10207" s="318"/>
      <c r="R10207" s="318"/>
      <c r="S10207" s="318"/>
      <c r="T10207" s="318"/>
      <c r="U10207" s="318"/>
      <c r="V10207" s="318"/>
      <c r="W10207" s="318"/>
      <c r="X10207" s="318"/>
      <c r="Y10207" s="318"/>
      <c r="Z10207" s="318"/>
      <c r="AA10207" s="318"/>
      <c r="AB10207" s="318"/>
      <c r="AC10207" s="318"/>
      <c r="AD10207" s="318"/>
    </row>
    <row r="10208" spans="2:30" s="323" customFormat="1" ht="12" customHeight="1">
      <c r="B10208" s="324"/>
      <c r="C10208" s="325"/>
      <c r="D10208" s="326"/>
      <c r="E10208" s="326"/>
      <c r="F10208" s="326"/>
      <c r="G10208" s="326"/>
      <c r="H10208" s="326"/>
      <c r="P10208" s="318"/>
      <c r="Q10208" s="318"/>
      <c r="R10208" s="318"/>
      <c r="S10208" s="318"/>
      <c r="T10208" s="318"/>
      <c r="U10208" s="318"/>
      <c r="V10208" s="318"/>
      <c r="W10208" s="318"/>
      <c r="X10208" s="318"/>
      <c r="Y10208" s="318"/>
      <c r="Z10208" s="318"/>
      <c r="AA10208" s="318"/>
      <c r="AB10208" s="318"/>
      <c r="AC10208" s="318"/>
      <c r="AD10208" s="318"/>
    </row>
    <row r="10209" spans="2:30" s="323" customFormat="1" ht="12" customHeight="1">
      <c r="B10209" s="324"/>
      <c r="C10209" s="325"/>
      <c r="D10209" s="326"/>
      <c r="E10209" s="326"/>
      <c r="F10209" s="326"/>
      <c r="G10209" s="326"/>
      <c r="H10209" s="326"/>
      <c r="P10209" s="318"/>
      <c r="Q10209" s="318"/>
      <c r="R10209" s="318"/>
      <c r="S10209" s="318"/>
      <c r="T10209" s="318"/>
      <c r="U10209" s="318"/>
      <c r="V10209" s="318"/>
      <c r="W10209" s="318"/>
      <c r="X10209" s="318"/>
      <c r="Y10209" s="318"/>
      <c r="Z10209" s="318"/>
      <c r="AA10209" s="318"/>
      <c r="AB10209" s="318"/>
      <c r="AC10209" s="318"/>
      <c r="AD10209" s="318"/>
    </row>
    <row r="10210" spans="2:30" s="323" customFormat="1" ht="12" customHeight="1">
      <c r="B10210" s="324"/>
      <c r="C10210" s="325"/>
      <c r="D10210" s="326"/>
      <c r="E10210" s="326"/>
      <c r="F10210" s="326"/>
      <c r="G10210" s="326"/>
      <c r="H10210" s="326"/>
      <c r="P10210" s="318"/>
      <c r="Q10210" s="318"/>
      <c r="R10210" s="318"/>
      <c r="S10210" s="318"/>
      <c r="T10210" s="318"/>
      <c r="U10210" s="318"/>
      <c r="V10210" s="318"/>
      <c r="W10210" s="318"/>
      <c r="X10210" s="318"/>
      <c r="Y10210" s="318"/>
      <c r="Z10210" s="318"/>
      <c r="AA10210" s="318"/>
      <c r="AB10210" s="318"/>
      <c r="AC10210" s="318"/>
      <c r="AD10210" s="318"/>
    </row>
    <row r="10211" spans="2:30" s="323" customFormat="1" ht="12" customHeight="1">
      <c r="B10211" s="324"/>
      <c r="C10211" s="325"/>
      <c r="D10211" s="326"/>
      <c r="E10211" s="326"/>
      <c r="F10211" s="326"/>
      <c r="G10211" s="326"/>
      <c r="H10211" s="326"/>
      <c r="P10211" s="318"/>
      <c r="Q10211" s="318"/>
      <c r="R10211" s="318"/>
      <c r="S10211" s="318"/>
      <c r="T10211" s="318"/>
      <c r="U10211" s="318"/>
      <c r="V10211" s="318"/>
      <c r="W10211" s="318"/>
      <c r="X10211" s="318"/>
      <c r="Y10211" s="318"/>
      <c r="Z10211" s="318"/>
      <c r="AA10211" s="318"/>
      <c r="AB10211" s="318"/>
      <c r="AC10211" s="318"/>
      <c r="AD10211" s="318"/>
    </row>
    <row r="10212" spans="2:30" s="323" customFormat="1" ht="12" customHeight="1">
      <c r="B10212" s="324"/>
      <c r="C10212" s="325"/>
      <c r="D10212" s="326"/>
      <c r="E10212" s="326"/>
      <c r="F10212" s="326"/>
      <c r="G10212" s="326"/>
      <c r="H10212" s="326"/>
      <c r="P10212" s="318"/>
      <c r="Q10212" s="318"/>
      <c r="R10212" s="318"/>
      <c r="S10212" s="318"/>
      <c r="T10212" s="318"/>
      <c r="U10212" s="318"/>
      <c r="V10212" s="318"/>
      <c r="W10212" s="318"/>
      <c r="X10212" s="318"/>
      <c r="Y10212" s="318"/>
      <c r="Z10212" s="318"/>
      <c r="AA10212" s="318"/>
      <c r="AB10212" s="318"/>
      <c r="AC10212" s="318"/>
      <c r="AD10212" s="318"/>
    </row>
    <row r="10213" spans="2:30" s="323" customFormat="1" ht="12" customHeight="1">
      <c r="B10213" s="324"/>
      <c r="C10213" s="325"/>
      <c r="D10213" s="326"/>
      <c r="E10213" s="326"/>
      <c r="F10213" s="326"/>
      <c r="G10213" s="326"/>
      <c r="H10213" s="326"/>
      <c r="P10213" s="318"/>
      <c r="Q10213" s="318"/>
      <c r="R10213" s="318"/>
      <c r="S10213" s="318"/>
      <c r="T10213" s="318"/>
      <c r="U10213" s="318"/>
      <c r="V10213" s="318"/>
      <c r="W10213" s="318"/>
      <c r="X10213" s="318"/>
      <c r="Y10213" s="318"/>
      <c r="Z10213" s="318"/>
      <c r="AA10213" s="318"/>
      <c r="AB10213" s="318"/>
      <c r="AC10213" s="318"/>
      <c r="AD10213" s="318"/>
    </row>
    <row r="10214" spans="2:30" s="323" customFormat="1" ht="12" customHeight="1">
      <c r="B10214" s="324"/>
      <c r="C10214" s="325"/>
      <c r="D10214" s="326"/>
      <c r="E10214" s="326"/>
      <c r="F10214" s="326"/>
      <c r="G10214" s="326"/>
      <c r="H10214" s="326"/>
      <c r="P10214" s="318"/>
      <c r="Q10214" s="318"/>
      <c r="R10214" s="318"/>
      <c r="S10214" s="318"/>
      <c r="T10214" s="318"/>
      <c r="U10214" s="318"/>
      <c r="V10214" s="318"/>
      <c r="W10214" s="318"/>
      <c r="X10214" s="318"/>
      <c r="Y10214" s="318"/>
      <c r="Z10214" s="318"/>
      <c r="AA10214" s="318"/>
      <c r="AB10214" s="318"/>
      <c r="AC10214" s="318"/>
      <c r="AD10214" s="318"/>
    </row>
    <row r="10215" spans="2:30" s="323" customFormat="1" ht="12" customHeight="1">
      <c r="B10215" s="324"/>
      <c r="C10215" s="325"/>
      <c r="D10215" s="326"/>
      <c r="E10215" s="326"/>
      <c r="F10215" s="326"/>
      <c r="G10215" s="326"/>
      <c r="H10215" s="326"/>
      <c r="P10215" s="318"/>
      <c r="Q10215" s="318"/>
      <c r="R10215" s="318"/>
      <c r="S10215" s="318"/>
      <c r="T10215" s="318"/>
      <c r="U10215" s="318"/>
      <c r="V10215" s="318"/>
      <c r="W10215" s="318"/>
      <c r="X10215" s="318"/>
      <c r="Y10215" s="318"/>
      <c r="Z10215" s="318"/>
      <c r="AA10215" s="318"/>
      <c r="AB10215" s="318"/>
      <c r="AC10215" s="318"/>
      <c r="AD10215" s="318"/>
    </row>
    <row r="10216" spans="2:30" s="323" customFormat="1" ht="12" customHeight="1">
      <c r="B10216" s="324"/>
      <c r="C10216" s="325"/>
      <c r="D10216" s="326"/>
      <c r="E10216" s="326"/>
      <c r="F10216" s="326"/>
      <c r="G10216" s="326"/>
      <c r="H10216" s="326"/>
      <c r="P10216" s="318"/>
      <c r="Q10216" s="318"/>
      <c r="R10216" s="318"/>
      <c r="S10216" s="318"/>
      <c r="T10216" s="318"/>
      <c r="U10216" s="318"/>
      <c r="V10216" s="318"/>
      <c r="W10216" s="318"/>
      <c r="X10216" s="318"/>
      <c r="Y10216" s="318"/>
      <c r="Z10216" s="318"/>
      <c r="AA10216" s="318"/>
      <c r="AB10216" s="318"/>
      <c r="AC10216" s="318"/>
      <c r="AD10216" s="318"/>
    </row>
    <row r="10217" spans="2:30" s="323" customFormat="1" ht="12" customHeight="1">
      <c r="B10217" s="324"/>
      <c r="C10217" s="325"/>
      <c r="D10217" s="326"/>
      <c r="E10217" s="326"/>
      <c r="F10217" s="326"/>
      <c r="G10217" s="326"/>
      <c r="H10217" s="326"/>
      <c r="P10217" s="318"/>
      <c r="Q10217" s="318"/>
      <c r="R10217" s="318"/>
      <c r="S10217" s="318"/>
      <c r="T10217" s="318"/>
      <c r="U10217" s="318"/>
      <c r="V10217" s="318"/>
      <c r="W10217" s="318"/>
      <c r="X10217" s="318"/>
      <c r="Y10217" s="318"/>
      <c r="Z10217" s="318"/>
      <c r="AA10217" s="318"/>
      <c r="AB10217" s="318"/>
      <c r="AC10217" s="318"/>
      <c r="AD10217" s="318"/>
    </row>
    <row r="10218" spans="2:30" s="323" customFormat="1" ht="12" customHeight="1">
      <c r="B10218" s="324"/>
      <c r="C10218" s="325"/>
      <c r="D10218" s="326"/>
      <c r="E10218" s="326"/>
      <c r="F10218" s="326"/>
      <c r="G10218" s="326"/>
      <c r="H10218" s="326"/>
      <c r="P10218" s="318"/>
      <c r="Q10218" s="318"/>
      <c r="R10218" s="318"/>
      <c r="S10218" s="318"/>
      <c r="T10218" s="318"/>
      <c r="U10218" s="318"/>
      <c r="V10218" s="318"/>
      <c r="W10218" s="318"/>
      <c r="X10218" s="318"/>
      <c r="Y10218" s="318"/>
      <c r="Z10218" s="318"/>
      <c r="AA10218" s="318"/>
      <c r="AB10218" s="318"/>
      <c r="AC10218" s="318"/>
      <c r="AD10218" s="318"/>
    </row>
    <row r="10219" spans="2:30" s="323" customFormat="1" ht="12" customHeight="1">
      <c r="B10219" s="324"/>
      <c r="C10219" s="325"/>
      <c r="D10219" s="326"/>
      <c r="E10219" s="326"/>
      <c r="F10219" s="326"/>
      <c r="G10219" s="326"/>
      <c r="H10219" s="326"/>
      <c r="P10219" s="318"/>
      <c r="Q10219" s="318"/>
      <c r="R10219" s="318"/>
      <c r="S10219" s="318"/>
      <c r="T10219" s="318"/>
      <c r="U10219" s="318"/>
      <c r="V10219" s="318"/>
      <c r="W10219" s="318"/>
      <c r="X10219" s="318"/>
      <c r="Y10219" s="318"/>
      <c r="Z10219" s="318"/>
      <c r="AA10219" s="318"/>
      <c r="AB10219" s="318"/>
      <c r="AC10219" s="318"/>
      <c r="AD10219" s="318"/>
    </row>
    <row r="10220" spans="2:30" s="323" customFormat="1" ht="12" customHeight="1">
      <c r="B10220" s="324"/>
      <c r="C10220" s="325"/>
      <c r="D10220" s="326"/>
      <c r="E10220" s="326"/>
      <c r="F10220" s="326"/>
      <c r="G10220" s="326"/>
      <c r="H10220" s="326"/>
      <c r="P10220" s="318"/>
      <c r="Q10220" s="318"/>
      <c r="R10220" s="318"/>
      <c r="S10220" s="318"/>
      <c r="T10220" s="318"/>
      <c r="U10220" s="318"/>
      <c r="V10220" s="318"/>
      <c r="W10220" s="318"/>
      <c r="X10220" s="318"/>
      <c r="Y10220" s="318"/>
      <c r="Z10220" s="318"/>
      <c r="AA10220" s="318"/>
      <c r="AB10220" s="318"/>
      <c r="AC10220" s="318"/>
      <c r="AD10220" s="318"/>
    </row>
    <row r="10221" spans="2:30" s="323" customFormat="1" ht="12" customHeight="1">
      <c r="B10221" s="324"/>
      <c r="C10221" s="325"/>
      <c r="D10221" s="326"/>
      <c r="E10221" s="326"/>
      <c r="F10221" s="326"/>
      <c r="G10221" s="326"/>
      <c r="H10221" s="326"/>
      <c r="P10221" s="318"/>
      <c r="Q10221" s="318"/>
      <c r="R10221" s="318"/>
      <c r="S10221" s="318"/>
      <c r="T10221" s="318"/>
      <c r="U10221" s="318"/>
      <c r="V10221" s="318"/>
      <c r="W10221" s="318"/>
      <c r="X10221" s="318"/>
      <c r="Y10221" s="318"/>
      <c r="Z10221" s="318"/>
      <c r="AA10221" s="318"/>
      <c r="AB10221" s="318"/>
      <c r="AC10221" s="318"/>
      <c r="AD10221" s="318"/>
    </row>
    <row r="10222" spans="2:30" s="323" customFormat="1" ht="12" customHeight="1">
      <c r="B10222" s="324"/>
      <c r="C10222" s="325"/>
      <c r="D10222" s="326"/>
      <c r="E10222" s="326"/>
      <c r="F10222" s="326"/>
      <c r="G10222" s="326"/>
      <c r="H10222" s="326"/>
      <c r="P10222" s="318"/>
      <c r="Q10222" s="318"/>
      <c r="R10222" s="318"/>
      <c r="S10222" s="318"/>
      <c r="T10222" s="318"/>
      <c r="U10222" s="318"/>
      <c r="V10222" s="318"/>
      <c r="W10222" s="318"/>
      <c r="X10222" s="318"/>
      <c r="Y10222" s="318"/>
      <c r="Z10222" s="318"/>
      <c r="AA10222" s="318"/>
      <c r="AB10222" s="318"/>
      <c r="AC10222" s="318"/>
      <c r="AD10222" s="318"/>
    </row>
    <row r="10223" spans="2:30" s="323" customFormat="1" ht="12" customHeight="1">
      <c r="B10223" s="324"/>
      <c r="C10223" s="325"/>
      <c r="D10223" s="326"/>
      <c r="E10223" s="326"/>
      <c r="F10223" s="326"/>
      <c r="G10223" s="326"/>
      <c r="H10223" s="326"/>
      <c r="P10223" s="318"/>
      <c r="Q10223" s="318"/>
      <c r="R10223" s="318"/>
      <c r="S10223" s="318"/>
      <c r="T10223" s="318"/>
      <c r="U10223" s="318"/>
      <c r="V10223" s="318"/>
      <c r="W10223" s="318"/>
      <c r="X10223" s="318"/>
      <c r="Y10223" s="318"/>
      <c r="Z10223" s="318"/>
      <c r="AA10223" s="318"/>
      <c r="AB10223" s="318"/>
      <c r="AC10223" s="318"/>
      <c r="AD10223" s="318"/>
    </row>
    <row r="10224" spans="2:30" s="323" customFormat="1" ht="12" customHeight="1">
      <c r="B10224" s="324"/>
      <c r="C10224" s="325"/>
      <c r="D10224" s="326"/>
      <c r="E10224" s="326"/>
      <c r="F10224" s="326"/>
      <c r="G10224" s="326"/>
      <c r="H10224" s="326"/>
      <c r="P10224" s="318"/>
      <c r="Q10224" s="318"/>
      <c r="R10224" s="318"/>
      <c r="S10224" s="318"/>
      <c r="T10224" s="318"/>
      <c r="U10224" s="318"/>
      <c r="V10224" s="318"/>
      <c r="W10224" s="318"/>
      <c r="X10224" s="318"/>
      <c r="Y10224" s="318"/>
      <c r="Z10224" s="318"/>
      <c r="AA10224" s="318"/>
      <c r="AB10224" s="318"/>
      <c r="AC10224" s="318"/>
      <c r="AD10224" s="318"/>
    </row>
    <row r="10225" spans="2:30" s="323" customFormat="1" ht="12" customHeight="1">
      <c r="B10225" s="324"/>
      <c r="C10225" s="325"/>
      <c r="D10225" s="326"/>
      <c r="E10225" s="326"/>
      <c r="F10225" s="326"/>
      <c r="G10225" s="326"/>
      <c r="H10225" s="326"/>
      <c r="P10225" s="318"/>
      <c r="Q10225" s="318"/>
      <c r="R10225" s="318"/>
      <c r="S10225" s="318"/>
      <c r="T10225" s="318"/>
      <c r="U10225" s="318"/>
      <c r="V10225" s="318"/>
      <c r="W10225" s="318"/>
      <c r="X10225" s="318"/>
      <c r="Y10225" s="318"/>
      <c r="Z10225" s="318"/>
      <c r="AA10225" s="318"/>
      <c r="AB10225" s="318"/>
      <c r="AC10225" s="318"/>
      <c r="AD10225" s="318"/>
    </row>
    <row r="10226" spans="2:30" s="323" customFormat="1" ht="12" customHeight="1">
      <c r="B10226" s="324"/>
      <c r="C10226" s="325"/>
      <c r="D10226" s="326"/>
      <c r="E10226" s="326"/>
      <c r="F10226" s="326"/>
      <c r="G10226" s="326"/>
      <c r="H10226" s="326"/>
      <c r="P10226" s="318"/>
      <c r="Q10226" s="318"/>
      <c r="R10226" s="318"/>
      <c r="S10226" s="318"/>
      <c r="T10226" s="318"/>
      <c r="U10226" s="318"/>
      <c r="V10226" s="318"/>
      <c r="W10226" s="318"/>
      <c r="X10226" s="318"/>
      <c r="Y10226" s="318"/>
      <c r="Z10226" s="318"/>
      <c r="AA10226" s="318"/>
      <c r="AB10226" s="318"/>
      <c r="AC10226" s="318"/>
      <c r="AD10226" s="318"/>
    </row>
    <row r="10227" spans="2:30" s="323" customFormat="1" ht="12" customHeight="1">
      <c r="B10227" s="324"/>
      <c r="C10227" s="325"/>
      <c r="D10227" s="326"/>
      <c r="E10227" s="326"/>
      <c r="F10227" s="326"/>
      <c r="G10227" s="326"/>
      <c r="H10227" s="326"/>
      <c r="P10227" s="318"/>
      <c r="Q10227" s="318"/>
      <c r="R10227" s="318"/>
      <c r="S10227" s="318"/>
      <c r="T10227" s="318"/>
      <c r="U10227" s="318"/>
      <c r="V10227" s="318"/>
      <c r="W10227" s="318"/>
      <c r="X10227" s="318"/>
      <c r="Y10227" s="318"/>
      <c r="Z10227" s="318"/>
      <c r="AA10227" s="318"/>
      <c r="AB10227" s="318"/>
      <c r="AC10227" s="318"/>
      <c r="AD10227" s="318"/>
    </row>
    <row r="10228" spans="2:30" s="323" customFormat="1" ht="12" customHeight="1">
      <c r="B10228" s="324"/>
      <c r="C10228" s="325"/>
      <c r="D10228" s="326"/>
      <c r="E10228" s="326"/>
      <c r="F10228" s="326"/>
      <c r="G10228" s="326"/>
      <c r="H10228" s="326"/>
      <c r="P10228" s="318"/>
      <c r="Q10228" s="318"/>
      <c r="R10228" s="318"/>
      <c r="S10228" s="318"/>
      <c r="T10228" s="318"/>
      <c r="U10228" s="318"/>
      <c r="V10228" s="318"/>
      <c r="W10228" s="318"/>
      <c r="X10228" s="318"/>
      <c r="Y10228" s="318"/>
      <c r="Z10228" s="318"/>
      <c r="AA10228" s="318"/>
      <c r="AB10228" s="318"/>
      <c r="AC10228" s="318"/>
      <c r="AD10228" s="318"/>
    </row>
    <row r="10229" spans="2:30" s="323" customFormat="1" ht="12" customHeight="1">
      <c r="B10229" s="324"/>
      <c r="C10229" s="325"/>
      <c r="D10229" s="326"/>
      <c r="E10229" s="326"/>
      <c r="F10229" s="326"/>
      <c r="G10229" s="326"/>
      <c r="H10229" s="326"/>
      <c r="P10229" s="318"/>
      <c r="Q10229" s="318"/>
      <c r="R10229" s="318"/>
      <c r="S10229" s="318"/>
      <c r="T10229" s="318"/>
      <c r="U10229" s="318"/>
      <c r="V10229" s="318"/>
      <c r="W10229" s="318"/>
      <c r="X10229" s="318"/>
      <c r="Y10229" s="318"/>
      <c r="Z10229" s="318"/>
      <c r="AA10229" s="318"/>
      <c r="AB10229" s="318"/>
      <c r="AC10229" s="318"/>
      <c r="AD10229" s="318"/>
    </row>
    <row r="10230" spans="2:30" s="323" customFormat="1" ht="12" customHeight="1">
      <c r="B10230" s="324"/>
      <c r="C10230" s="325"/>
      <c r="D10230" s="326"/>
      <c r="E10230" s="326"/>
      <c r="F10230" s="326"/>
      <c r="G10230" s="326"/>
      <c r="H10230" s="326"/>
      <c r="P10230" s="318"/>
      <c r="Q10230" s="318"/>
      <c r="R10230" s="318"/>
      <c r="S10230" s="318"/>
      <c r="T10230" s="318"/>
      <c r="U10230" s="318"/>
      <c r="V10230" s="318"/>
      <c r="W10230" s="318"/>
      <c r="X10230" s="318"/>
      <c r="Y10230" s="318"/>
      <c r="Z10230" s="318"/>
      <c r="AA10230" s="318"/>
      <c r="AB10230" s="318"/>
      <c r="AC10230" s="318"/>
      <c r="AD10230" s="318"/>
    </row>
    <row r="10231" spans="2:30" s="323" customFormat="1" ht="12" customHeight="1">
      <c r="B10231" s="324"/>
      <c r="C10231" s="325"/>
      <c r="D10231" s="326"/>
      <c r="E10231" s="326"/>
      <c r="F10231" s="326"/>
      <c r="G10231" s="326"/>
      <c r="H10231" s="326"/>
      <c r="P10231" s="318"/>
      <c r="Q10231" s="318"/>
      <c r="R10231" s="318"/>
      <c r="S10231" s="318"/>
      <c r="T10231" s="318"/>
      <c r="U10231" s="318"/>
      <c r="V10231" s="318"/>
      <c r="W10231" s="318"/>
      <c r="X10231" s="318"/>
      <c r="Y10231" s="318"/>
      <c r="Z10231" s="318"/>
      <c r="AA10231" s="318"/>
      <c r="AB10231" s="318"/>
      <c r="AC10231" s="318"/>
      <c r="AD10231" s="318"/>
    </row>
    <row r="10232" spans="2:30" s="323" customFormat="1" ht="12" customHeight="1">
      <c r="B10232" s="324"/>
      <c r="C10232" s="325"/>
      <c r="D10232" s="326"/>
      <c r="E10232" s="326"/>
      <c r="F10232" s="326"/>
      <c r="G10232" s="326"/>
      <c r="H10232" s="326"/>
      <c r="P10232" s="318"/>
      <c r="Q10232" s="318"/>
      <c r="R10232" s="318"/>
      <c r="S10232" s="318"/>
      <c r="T10232" s="318"/>
      <c r="U10232" s="318"/>
      <c r="V10232" s="318"/>
      <c r="W10232" s="318"/>
      <c r="X10232" s="318"/>
      <c r="Y10232" s="318"/>
      <c r="Z10232" s="318"/>
      <c r="AA10232" s="318"/>
      <c r="AB10232" s="318"/>
      <c r="AC10232" s="318"/>
      <c r="AD10232" s="318"/>
    </row>
    <row r="10233" spans="2:30" s="323" customFormat="1" ht="12" customHeight="1">
      <c r="B10233" s="324"/>
      <c r="C10233" s="325"/>
      <c r="D10233" s="326"/>
      <c r="E10233" s="326"/>
      <c r="F10233" s="326"/>
      <c r="G10233" s="326"/>
      <c r="H10233" s="326"/>
      <c r="P10233" s="318"/>
      <c r="Q10233" s="318"/>
      <c r="R10233" s="318"/>
      <c r="S10233" s="318"/>
      <c r="T10233" s="318"/>
      <c r="U10233" s="318"/>
      <c r="V10233" s="318"/>
      <c r="W10233" s="318"/>
      <c r="X10233" s="318"/>
      <c r="Y10233" s="318"/>
      <c r="Z10233" s="318"/>
      <c r="AA10233" s="318"/>
      <c r="AB10233" s="318"/>
      <c r="AC10233" s="318"/>
      <c r="AD10233" s="318"/>
    </row>
    <row r="10234" spans="2:30" s="323" customFormat="1" ht="12" customHeight="1">
      <c r="B10234" s="324"/>
      <c r="C10234" s="325"/>
      <c r="D10234" s="326"/>
      <c r="E10234" s="326"/>
      <c r="F10234" s="326"/>
      <c r="G10234" s="326"/>
      <c r="H10234" s="326"/>
      <c r="P10234" s="318"/>
      <c r="Q10234" s="318"/>
      <c r="R10234" s="318"/>
      <c r="S10234" s="318"/>
      <c r="T10234" s="318"/>
      <c r="U10234" s="318"/>
      <c r="V10234" s="318"/>
      <c r="W10234" s="318"/>
      <c r="X10234" s="318"/>
      <c r="Y10234" s="318"/>
      <c r="Z10234" s="318"/>
      <c r="AA10234" s="318"/>
      <c r="AB10234" s="318"/>
      <c r="AC10234" s="318"/>
      <c r="AD10234" s="318"/>
    </row>
    <row r="10235" spans="2:30" s="323" customFormat="1" ht="12" customHeight="1">
      <c r="B10235" s="324"/>
      <c r="C10235" s="325"/>
      <c r="D10235" s="326"/>
      <c r="E10235" s="326"/>
      <c r="F10235" s="326"/>
      <c r="G10235" s="326"/>
      <c r="H10235" s="326"/>
      <c r="P10235" s="318"/>
      <c r="Q10235" s="318"/>
      <c r="R10235" s="318"/>
      <c r="S10235" s="318"/>
      <c r="T10235" s="318"/>
      <c r="U10235" s="318"/>
      <c r="V10235" s="318"/>
      <c r="W10235" s="318"/>
      <c r="X10235" s="318"/>
      <c r="Y10235" s="318"/>
      <c r="Z10235" s="318"/>
      <c r="AA10235" s="318"/>
      <c r="AB10235" s="318"/>
      <c r="AC10235" s="318"/>
      <c r="AD10235" s="318"/>
    </row>
    <row r="10236" spans="2:30" s="323" customFormat="1" ht="12" customHeight="1">
      <c r="B10236" s="324"/>
      <c r="C10236" s="325"/>
      <c r="D10236" s="326"/>
      <c r="E10236" s="326"/>
      <c r="F10236" s="326"/>
      <c r="G10236" s="326"/>
      <c r="H10236" s="326"/>
      <c r="P10236" s="318"/>
      <c r="Q10236" s="318"/>
      <c r="R10236" s="318"/>
      <c r="S10236" s="318"/>
      <c r="T10236" s="318"/>
      <c r="U10236" s="318"/>
      <c r="V10236" s="318"/>
      <c r="W10236" s="318"/>
      <c r="X10236" s="318"/>
      <c r="Y10236" s="318"/>
      <c r="Z10236" s="318"/>
      <c r="AA10236" s="318"/>
      <c r="AB10236" s="318"/>
      <c r="AC10236" s="318"/>
      <c r="AD10236" s="318"/>
    </row>
    <row r="10237" spans="2:30" s="323" customFormat="1" ht="12" customHeight="1">
      <c r="B10237" s="324"/>
      <c r="C10237" s="325"/>
      <c r="D10237" s="326"/>
      <c r="E10237" s="326"/>
      <c r="F10237" s="326"/>
      <c r="G10237" s="326"/>
      <c r="H10237" s="326"/>
      <c r="P10237" s="318"/>
      <c r="Q10237" s="318"/>
      <c r="R10237" s="318"/>
      <c r="S10237" s="318"/>
      <c r="T10237" s="318"/>
      <c r="U10237" s="318"/>
      <c r="V10237" s="318"/>
      <c r="W10237" s="318"/>
      <c r="X10237" s="318"/>
      <c r="Y10237" s="318"/>
      <c r="Z10237" s="318"/>
      <c r="AA10237" s="318"/>
      <c r="AB10237" s="318"/>
      <c r="AC10237" s="318"/>
      <c r="AD10237" s="318"/>
    </row>
    <row r="10238" spans="2:30" s="323" customFormat="1" ht="12" customHeight="1">
      <c r="B10238" s="324"/>
      <c r="C10238" s="325"/>
      <c r="D10238" s="326"/>
      <c r="E10238" s="326"/>
      <c r="F10238" s="326"/>
      <c r="G10238" s="326"/>
      <c r="H10238" s="326"/>
      <c r="P10238" s="318"/>
      <c r="Q10238" s="318"/>
      <c r="R10238" s="318"/>
      <c r="S10238" s="318"/>
      <c r="T10238" s="318"/>
      <c r="U10238" s="318"/>
      <c r="V10238" s="318"/>
      <c r="W10238" s="318"/>
      <c r="X10238" s="318"/>
      <c r="Y10238" s="318"/>
      <c r="Z10238" s="318"/>
      <c r="AA10238" s="318"/>
      <c r="AB10238" s="318"/>
      <c r="AC10238" s="318"/>
      <c r="AD10238" s="318"/>
    </row>
    <row r="10239" spans="2:30" s="323" customFormat="1" ht="12" customHeight="1">
      <c r="B10239" s="324"/>
      <c r="C10239" s="325"/>
      <c r="D10239" s="326"/>
      <c r="E10239" s="326"/>
      <c r="F10239" s="326"/>
      <c r="G10239" s="326"/>
      <c r="H10239" s="326"/>
      <c r="P10239" s="318"/>
      <c r="Q10239" s="318"/>
      <c r="R10239" s="318"/>
      <c r="S10239" s="318"/>
      <c r="T10239" s="318"/>
      <c r="U10239" s="318"/>
      <c r="V10239" s="318"/>
      <c r="W10239" s="318"/>
      <c r="X10239" s="318"/>
      <c r="Y10239" s="318"/>
      <c r="Z10239" s="318"/>
      <c r="AA10239" s="318"/>
      <c r="AB10239" s="318"/>
      <c r="AC10239" s="318"/>
      <c r="AD10239" s="318"/>
    </row>
    <row r="10240" spans="2:30" s="323" customFormat="1" ht="12" customHeight="1">
      <c r="B10240" s="324"/>
      <c r="C10240" s="325"/>
      <c r="D10240" s="326"/>
      <c r="E10240" s="326"/>
      <c r="F10240" s="326"/>
      <c r="G10240" s="326"/>
      <c r="H10240" s="326"/>
      <c r="P10240" s="318"/>
      <c r="Q10240" s="318"/>
      <c r="R10240" s="318"/>
      <c r="S10240" s="318"/>
      <c r="T10240" s="318"/>
      <c r="U10240" s="318"/>
      <c r="V10240" s="318"/>
      <c r="W10240" s="318"/>
      <c r="X10240" s="318"/>
      <c r="Y10240" s="318"/>
      <c r="Z10240" s="318"/>
      <c r="AA10240" s="318"/>
      <c r="AB10240" s="318"/>
      <c r="AC10240" s="318"/>
      <c r="AD10240" s="318"/>
    </row>
    <row r="10241" spans="2:30" s="323" customFormat="1" ht="12" customHeight="1">
      <c r="B10241" s="324"/>
      <c r="C10241" s="325"/>
      <c r="D10241" s="326"/>
      <c r="E10241" s="326"/>
      <c r="F10241" s="326"/>
      <c r="G10241" s="326"/>
      <c r="H10241" s="326"/>
      <c r="P10241" s="318"/>
      <c r="Q10241" s="318"/>
      <c r="R10241" s="318"/>
      <c r="S10241" s="318"/>
      <c r="T10241" s="318"/>
      <c r="U10241" s="318"/>
      <c r="V10241" s="318"/>
      <c r="W10241" s="318"/>
      <c r="X10241" s="318"/>
      <c r="Y10241" s="318"/>
      <c r="Z10241" s="318"/>
      <c r="AA10241" s="318"/>
      <c r="AB10241" s="318"/>
      <c r="AC10241" s="318"/>
      <c r="AD10241" s="318"/>
    </row>
    <row r="10242" spans="2:30" s="323" customFormat="1" ht="12" customHeight="1">
      <c r="B10242" s="324"/>
      <c r="C10242" s="325"/>
      <c r="D10242" s="326"/>
      <c r="E10242" s="326"/>
      <c r="F10242" s="326"/>
      <c r="G10242" s="326"/>
      <c r="H10242" s="326"/>
      <c r="P10242" s="318"/>
      <c r="Q10242" s="318"/>
      <c r="R10242" s="318"/>
      <c r="S10242" s="318"/>
      <c r="T10242" s="318"/>
      <c r="U10242" s="318"/>
      <c r="V10242" s="318"/>
      <c r="W10242" s="318"/>
      <c r="X10242" s="318"/>
      <c r="Y10242" s="318"/>
      <c r="Z10242" s="318"/>
      <c r="AA10242" s="318"/>
      <c r="AB10242" s="318"/>
      <c r="AC10242" s="318"/>
      <c r="AD10242" s="318"/>
    </row>
    <row r="10243" spans="2:30" s="323" customFormat="1" ht="12" customHeight="1">
      <c r="B10243" s="324"/>
      <c r="C10243" s="325"/>
      <c r="D10243" s="326"/>
      <c r="E10243" s="326"/>
      <c r="F10243" s="326"/>
      <c r="G10243" s="326"/>
      <c r="H10243" s="326"/>
      <c r="P10243" s="318"/>
      <c r="Q10243" s="318"/>
      <c r="R10243" s="318"/>
      <c r="S10243" s="318"/>
      <c r="T10243" s="318"/>
      <c r="U10243" s="318"/>
      <c r="V10243" s="318"/>
      <c r="W10243" s="318"/>
      <c r="X10243" s="318"/>
      <c r="Y10243" s="318"/>
      <c r="Z10243" s="318"/>
      <c r="AA10243" s="318"/>
      <c r="AB10243" s="318"/>
      <c r="AC10243" s="318"/>
      <c r="AD10243" s="318"/>
    </row>
    <row r="10244" spans="2:30" s="323" customFormat="1" ht="12" customHeight="1">
      <c r="B10244" s="324"/>
      <c r="C10244" s="325"/>
      <c r="D10244" s="326"/>
      <c r="E10244" s="326"/>
      <c r="F10244" s="326"/>
      <c r="G10244" s="326"/>
      <c r="H10244" s="326"/>
      <c r="P10244" s="318"/>
      <c r="Q10244" s="318"/>
      <c r="R10244" s="318"/>
      <c r="S10244" s="318"/>
      <c r="T10244" s="318"/>
      <c r="U10244" s="318"/>
      <c r="V10244" s="318"/>
      <c r="W10244" s="318"/>
      <c r="X10244" s="318"/>
      <c r="Y10244" s="318"/>
      <c r="Z10244" s="318"/>
      <c r="AA10244" s="318"/>
      <c r="AB10244" s="318"/>
      <c r="AC10244" s="318"/>
      <c r="AD10244" s="318"/>
    </row>
    <row r="10245" spans="2:30" s="323" customFormat="1" ht="12" customHeight="1">
      <c r="B10245" s="324"/>
      <c r="C10245" s="325"/>
      <c r="D10245" s="326"/>
      <c r="E10245" s="326"/>
      <c r="F10245" s="326"/>
      <c r="G10245" s="326"/>
      <c r="H10245" s="326"/>
      <c r="P10245" s="318"/>
      <c r="Q10245" s="318"/>
      <c r="R10245" s="318"/>
      <c r="S10245" s="318"/>
      <c r="T10245" s="318"/>
      <c r="U10245" s="318"/>
      <c r="V10245" s="318"/>
      <c r="W10245" s="318"/>
      <c r="X10245" s="318"/>
      <c r="Y10245" s="318"/>
      <c r="Z10245" s="318"/>
      <c r="AA10245" s="318"/>
      <c r="AB10245" s="318"/>
      <c r="AC10245" s="318"/>
      <c r="AD10245" s="318"/>
    </row>
    <row r="10246" spans="2:30" s="323" customFormat="1" ht="12" customHeight="1">
      <c r="B10246" s="324"/>
      <c r="C10246" s="325"/>
      <c r="D10246" s="326"/>
      <c r="E10246" s="326"/>
      <c r="F10246" s="326"/>
      <c r="G10246" s="326"/>
      <c r="H10246" s="326"/>
      <c r="P10246" s="318"/>
      <c r="Q10246" s="318"/>
      <c r="R10246" s="318"/>
      <c r="S10246" s="318"/>
      <c r="T10246" s="318"/>
      <c r="U10246" s="318"/>
      <c r="V10246" s="318"/>
      <c r="W10246" s="318"/>
      <c r="X10246" s="318"/>
      <c r="Y10246" s="318"/>
      <c r="Z10246" s="318"/>
      <c r="AA10246" s="318"/>
      <c r="AB10246" s="318"/>
      <c r="AC10246" s="318"/>
      <c r="AD10246" s="318"/>
    </row>
    <row r="10247" spans="2:30" s="323" customFormat="1" ht="12" customHeight="1">
      <c r="B10247" s="324"/>
      <c r="C10247" s="325"/>
      <c r="D10247" s="326"/>
      <c r="E10247" s="326"/>
      <c r="F10247" s="326"/>
      <c r="G10247" s="326"/>
      <c r="H10247" s="326"/>
      <c r="P10247" s="318"/>
      <c r="Q10247" s="318"/>
      <c r="R10247" s="318"/>
      <c r="S10247" s="318"/>
      <c r="T10247" s="318"/>
      <c r="U10247" s="318"/>
      <c r="V10247" s="318"/>
      <c r="W10247" s="318"/>
      <c r="X10247" s="318"/>
      <c r="Y10247" s="318"/>
      <c r="Z10247" s="318"/>
      <c r="AA10247" s="318"/>
      <c r="AB10247" s="318"/>
      <c r="AC10247" s="318"/>
      <c r="AD10247" s="318"/>
    </row>
    <row r="10248" spans="2:30" s="323" customFormat="1" ht="12" customHeight="1">
      <c r="B10248" s="324"/>
      <c r="C10248" s="325"/>
      <c r="D10248" s="326"/>
      <c r="E10248" s="326"/>
      <c r="F10248" s="326"/>
      <c r="G10248" s="326"/>
      <c r="H10248" s="326"/>
      <c r="P10248" s="318"/>
      <c r="Q10248" s="318"/>
      <c r="R10248" s="318"/>
      <c r="S10248" s="318"/>
      <c r="T10248" s="318"/>
      <c r="U10248" s="318"/>
      <c r="V10248" s="318"/>
      <c r="W10248" s="318"/>
      <c r="X10248" s="318"/>
      <c r="Y10248" s="318"/>
      <c r="Z10248" s="318"/>
      <c r="AA10248" s="318"/>
      <c r="AB10248" s="318"/>
      <c r="AC10248" s="318"/>
      <c r="AD10248" s="318"/>
    </row>
    <row r="10249" spans="2:30" s="323" customFormat="1" ht="12" customHeight="1">
      <c r="B10249" s="324"/>
      <c r="C10249" s="325"/>
      <c r="D10249" s="326"/>
      <c r="E10249" s="326"/>
      <c r="F10249" s="326"/>
      <c r="G10249" s="326"/>
      <c r="H10249" s="326"/>
      <c r="P10249" s="318"/>
      <c r="Q10249" s="318"/>
      <c r="R10249" s="318"/>
      <c r="S10249" s="318"/>
      <c r="T10249" s="318"/>
      <c r="U10249" s="318"/>
      <c r="V10249" s="318"/>
      <c r="W10249" s="318"/>
      <c r="X10249" s="318"/>
      <c r="Y10249" s="318"/>
      <c r="Z10249" s="318"/>
      <c r="AA10249" s="318"/>
      <c r="AB10249" s="318"/>
      <c r="AC10249" s="318"/>
      <c r="AD10249" s="318"/>
    </row>
    <row r="10250" spans="2:30" s="323" customFormat="1" ht="12" customHeight="1">
      <c r="B10250" s="324"/>
      <c r="C10250" s="325"/>
      <c r="D10250" s="326"/>
      <c r="E10250" s="326"/>
      <c r="F10250" s="326"/>
      <c r="G10250" s="326"/>
      <c r="H10250" s="326"/>
      <c r="P10250" s="318"/>
      <c r="Q10250" s="318"/>
      <c r="R10250" s="318"/>
      <c r="S10250" s="318"/>
      <c r="T10250" s="318"/>
      <c r="U10250" s="318"/>
      <c r="V10250" s="318"/>
      <c r="W10250" s="318"/>
      <c r="X10250" s="318"/>
      <c r="Y10250" s="318"/>
      <c r="Z10250" s="318"/>
      <c r="AA10250" s="318"/>
      <c r="AB10250" s="318"/>
      <c r="AC10250" s="318"/>
      <c r="AD10250" s="318"/>
    </row>
    <row r="10251" spans="2:30" s="323" customFormat="1" ht="12" customHeight="1">
      <c r="B10251" s="324"/>
      <c r="C10251" s="325"/>
      <c r="D10251" s="326"/>
      <c r="E10251" s="326"/>
      <c r="F10251" s="326"/>
      <c r="G10251" s="326"/>
      <c r="H10251" s="326"/>
      <c r="P10251" s="318"/>
      <c r="Q10251" s="318"/>
      <c r="R10251" s="318"/>
      <c r="S10251" s="318"/>
      <c r="T10251" s="318"/>
      <c r="U10251" s="318"/>
      <c r="V10251" s="318"/>
      <c r="W10251" s="318"/>
      <c r="X10251" s="318"/>
      <c r="Y10251" s="318"/>
      <c r="Z10251" s="318"/>
      <c r="AA10251" s="318"/>
      <c r="AB10251" s="318"/>
      <c r="AC10251" s="318"/>
      <c r="AD10251" s="318"/>
    </row>
    <row r="10252" spans="2:30" s="323" customFormat="1" ht="12" customHeight="1">
      <c r="B10252" s="324"/>
      <c r="C10252" s="325"/>
      <c r="D10252" s="326"/>
      <c r="E10252" s="326"/>
      <c r="F10252" s="326"/>
      <c r="G10252" s="326"/>
      <c r="H10252" s="326"/>
      <c r="P10252" s="318"/>
      <c r="Q10252" s="318"/>
      <c r="R10252" s="318"/>
      <c r="S10252" s="318"/>
      <c r="T10252" s="318"/>
      <c r="U10252" s="318"/>
      <c r="V10252" s="318"/>
      <c r="W10252" s="318"/>
      <c r="X10252" s="318"/>
      <c r="Y10252" s="318"/>
      <c r="Z10252" s="318"/>
      <c r="AA10252" s="318"/>
      <c r="AB10252" s="318"/>
      <c r="AC10252" s="318"/>
      <c r="AD10252" s="318"/>
    </row>
    <row r="10253" spans="2:30" s="323" customFormat="1" ht="12" customHeight="1">
      <c r="B10253" s="324"/>
      <c r="C10253" s="325"/>
      <c r="D10253" s="326"/>
      <c r="E10253" s="326"/>
      <c r="F10253" s="326"/>
      <c r="G10253" s="326"/>
      <c r="H10253" s="326"/>
      <c r="P10253" s="318"/>
      <c r="Q10253" s="318"/>
      <c r="R10253" s="318"/>
      <c r="S10253" s="318"/>
      <c r="T10253" s="318"/>
      <c r="U10253" s="318"/>
      <c r="V10253" s="318"/>
      <c r="W10253" s="318"/>
      <c r="X10253" s="318"/>
      <c r="Y10253" s="318"/>
      <c r="Z10253" s="318"/>
      <c r="AA10253" s="318"/>
      <c r="AB10253" s="318"/>
      <c r="AC10253" s="318"/>
      <c r="AD10253" s="318"/>
    </row>
    <row r="10254" spans="2:30" s="323" customFormat="1" ht="12" customHeight="1">
      <c r="B10254" s="324"/>
      <c r="C10254" s="325"/>
      <c r="D10254" s="326"/>
      <c r="E10254" s="326"/>
      <c r="F10254" s="326"/>
      <c r="G10254" s="326"/>
      <c r="H10254" s="326"/>
      <c r="P10254" s="318"/>
      <c r="Q10254" s="318"/>
      <c r="R10254" s="318"/>
      <c r="S10254" s="318"/>
      <c r="T10254" s="318"/>
      <c r="U10254" s="318"/>
      <c r="V10254" s="318"/>
      <c r="W10254" s="318"/>
      <c r="X10254" s="318"/>
      <c r="Y10254" s="318"/>
      <c r="Z10254" s="318"/>
      <c r="AA10254" s="318"/>
      <c r="AB10254" s="318"/>
      <c r="AC10254" s="318"/>
      <c r="AD10254" s="318"/>
    </row>
    <row r="10255" spans="2:30" s="323" customFormat="1" ht="12" customHeight="1">
      <c r="B10255" s="324"/>
      <c r="C10255" s="325"/>
      <c r="D10255" s="326"/>
      <c r="E10255" s="326"/>
      <c r="F10255" s="326"/>
      <c r="G10255" s="326"/>
      <c r="H10255" s="326"/>
      <c r="P10255" s="318"/>
      <c r="Q10255" s="318"/>
      <c r="R10255" s="318"/>
      <c r="S10255" s="318"/>
      <c r="T10255" s="318"/>
      <c r="U10255" s="318"/>
      <c r="V10255" s="318"/>
      <c r="W10255" s="318"/>
      <c r="X10255" s="318"/>
      <c r="Y10255" s="318"/>
      <c r="Z10255" s="318"/>
      <c r="AA10255" s="318"/>
      <c r="AB10255" s="318"/>
      <c r="AC10255" s="318"/>
      <c r="AD10255" s="318"/>
    </row>
    <row r="10256" spans="2:30" s="323" customFormat="1" ht="12" customHeight="1">
      <c r="B10256" s="324"/>
      <c r="C10256" s="325"/>
      <c r="D10256" s="326"/>
      <c r="E10256" s="326"/>
      <c r="F10256" s="326"/>
      <c r="G10256" s="326"/>
      <c r="H10256" s="326"/>
      <c r="P10256" s="318"/>
      <c r="Q10256" s="318"/>
      <c r="R10256" s="318"/>
      <c r="S10256" s="318"/>
      <c r="T10256" s="318"/>
      <c r="U10256" s="318"/>
      <c r="V10256" s="318"/>
      <c r="W10256" s="318"/>
      <c r="X10256" s="318"/>
      <c r="Y10256" s="318"/>
      <c r="Z10256" s="318"/>
      <c r="AA10256" s="318"/>
      <c r="AB10256" s="318"/>
      <c r="AC10256" s="318"/>
      <c r="AD10256" s="318"/>
    </row>
    <row r="10257" spans="2:30" s="323" customFormat="1" ht="12" customHeight="1">
      <c r="B10257" s="324"/>
      <c r="C10257" s="325"/>
      <c r="D10257" s="326"/>
      <c r="E10257" s="326"/>
      <c r="F10257" s="326"/>
      <c r="G10257" s="326"/>
      <c r="H10257" s="326"/>
      <c r="P10257" s="318"/>
      <c r="Q10257" s="318"/>
      <c r="R10257" s="318"/>
      <c r="S10257" s="318"/>
      <c r="T10257" s="318"/>
      <c r="U10257" s="318"/>
      <c r="V10257" s="318"/>
      <c r="W10257" s="318"/>
      <c r="X10257" s="318"/>
      <c r="Y10257" s="318"/>
      <c r="Z10257" s="318"/>
      <c r="AA10257" s="318"/>
      <c r="AB10257" s="318"/>
      <c r="AC10257" s="318"/>
      <c r="AD10257" s="318"/>
    </row>
    <row r="10258" spans="2:30" s="323" customFormat="1" ht="12" customHeight="1">
      <c r="B10258" s="324"/>
      <c r="C10258" s="325"/>
      <c r="D10258" s="326"/>
      <c r="E10258" s="326"/>
      <c r="F10258" s="326"/>
      <c r="G10258" s="326"/>
      <c r="H10258" s="326"/>
      <c r="P10258" s="318"/>
      <c r="Q10258" s="318"/>
      <c r="R10258" s="318"/>
      <c r="S10258" s="318"/>
      <c r="T10258" s="318"/>
      <c r="U10258" s="318"/>
      <c r="V10258" s="318"/>
      <c r="W10258" s="318"/>
      <c r="X10258" s="318"/>
      <c r="Y10258" s="318"/>
      <c r="Z10258" s="318"/>
      <c r="AA10258" s="318"/>
      <c r="AB10258" s="318"/>
      <c r="AC10258" s="318"/>
      <c r="AD10258" s="318"/>
    </row>
    <row r="10259" spans="2:30" s="323" customFormat="1" ht="12" customHeight="1">
      <c r="B10259" s="324"/>
      <c r="C10259" s="325"/>
      <c r="D10259" s="326"/>
      <c r="E10259" s="326"/>
      <c r="F10259" s="326"/>
      <c r="G10259" s="326"/>
      <c r="H10259" s="326"/>
      <c r="P10259" s="318"/>
      <c r="Q10259" s="318"/>
      <c r="R10259" s="318"/>
      <c r="S10259" s="318"/>
      <c r="T10259" s="318"/>
      <c r="U10259" s="318"/>
      <c r="V10259" s="318"/>
      <c r="W10259" s="318"/>
      <c r="X10259" s="318"/>
      <c r="Y10259" s="318"/>
      <c r="Z10259" s="318"/>
      <c r="AA10259" s="318"/>
      <c r="AB10259" s="318"/>
      <c r="AC10259" s="318"/>
      <c r="AD10259" s="318"/>
    </row>
    <row r="10260" spans="2:30" s="323" customFormat="1" ht="12" customHeight="1">
      <c r="B10260" s="324"/>
      <c r="C10260" s="325"/>
      <c r="D10260" s="326"/>
      <c r="E10260" s="326"/>
      <c r="F10260" s="326"/>
      <c r="G10260" s="326"/>
      <c r="H10260" s="326"/>
      <c r="P10260" s="318"/>
      <c r="Q10260" s="318"/>
      <c r="R10260" s="318"/>
      <c r="S10260" s="318"/>
      <c r="T10260" s="318"/>
      <c r="U10260" s="318"/>
      <c r="V10260" s="318"/>
      <c r="W10260" s="318"/>
      <c r="X10260" s="318"/>
      <c r="Y10260" s="318"/>
      <c r="Z10260" s="318"/>
      <c r="AA10260" s="318"/>
      <c r="AB10260" s="318"/>
      <c r="AC10260" s="318"/>
      <c r="AD10260" s="318"/>
    </row>
    <row r="10261" spans="2:30" s="323" customFormat="1" ht="12" customHeight="1">
      <c r="B10261" s="324"/>
      <c r="C10261" s="325"/>
      <c r="D10261" s="326"/>
      <c r="E10261" s="326"/>
      <c r="F10261" s="326"/>
      <c r="G10261" s="326"/>
      <c r="H10261" s="326"/>
      <c r="P10261" s="318"/>
      <c r="Q10261" s="318"/>
      <c r="R10261" s="318"/>
      <c r="S10261" s="318"/>
      <c r="T10261" s="318"/>
      <c r="U10261" s="318"/>
      <c r="V10261" s="318"/>
      <c r="W10261" s="318"/>
      <c r="X10261" s="318"/>
      <c r="Y10261" s="318"/>
      <c r="Z10261" s="318"/>
      <c r="AA10261" s="318"/>
      <c r="AB10261" s="318"/>
      <c r="AC10261" s="318"/>
      <c r="AD10261" s="318"/>
    </row>
    <row r="10262" spans="2:30" s="323" customFormat="1" ht="12" customHeight="1">
      <c r="B10262" s="324"/>
      <c r="C10262" s="325"/>
      <c r="D10262" s="326"/>
      <c r="E10262" s="326"/>
      <c r="F10262" s="326"/>
      <c r="G10262" s="326"/>
      <c r="H10262" s="326"/>
      <c r="P10262" s="318"/>
      <c r="Q10262" s="318"/>
      <c r="R10262" s="318"/>
      <c r="S10262" s="318"/>
      <c r="T10262" s="318"/>
      <c r="U10262" s="318"/>
      <c r="V10262" s="318"/>
      <c r="W10262" s="318"/>
      <c r="X10262" s="318"/>
      <c r="Y10262" s="318"/>
      <c r="Z10262" s="318"/>
      <c r="AA10262" s="318"/>
      <c r="AB10262" s="318"/>
      <c r="AC10262" s="318"/>
      <c r="AD10262" s="318"/>
    </row>
    <row r="10263" spans="2:30" s="323" customFormat="1" ht="12" customHeight="1">
      <c r="B10263" s="324"/>
      <c r="C10263" s="325"/>
      <c r="D10263" s="326"/>
      <c r="E10263" s="326"/>
      <c r="F10263" s="326"/>
      <c r="G10263" s="326"/>
      <c r="H10263" s="326"/>
      <c r="P10263" s="318"/>
      <c r="Q10263" s="318"/>
      <c r="R10263" s="318"/>
      <c r="S10263" s="318"/>
      <c r="T10263" s="318"/>
      <c r="U10263" s="318"/>
      <c r="V10263" s="318"/>
      <c r="W10263" s="318"/>
      <c r="X10263" s="318"/>
      <c r="Y10263" s="318"/>
      <c r="Z10263" s="318"/>
      <c r="AA10263" s="318"/>
      <c r="AB10263" s="318"/>
      <c r="AC10263" s="318"/>
      <c r="AD10263" s="318"/>
    </row>
    <row r="10264" spans="2:30" s="323" customFormat="1" ht="12" customHeight="1">
      <c r="B10264" s="324"/>
      <c r="C10264" s="325"/>
      <c r="D10264" s="326"/>
      <c r="E10264" s="326"/>
      <c r="F10264" s="326"/>
      <c r="G10264" s="326"/>
      <c r="H10264" s="326"/>
      <c r="P10264" s="318"/>
      <c r="Q10264" s="318"/>
      <c r="R10264" s="318"/>
      <c r="S10264" s="318"/>
      <c r="T10264" s="318"/>
      <c r="U10264" s="318"/>
      <c r="V10264" s="318"/>
      <c r="W10264" s="318"/>
      <c r="X10264" s="318"/>
      <c r="Y10264" s="318"/>
      <c r="Z10264" s="318"/>
      <c r="AA10264" s="318"/>
      <c r="AB10264" s="318"/>
      <c r="AC10264" s="318"/>
      <c r="AD10264" s="318"/>
    </row>
    <row r="10265" spans="2:30" s="323" customFormat="1" ht="12" customHeight="1">
      <c r="B10265" s="324"/>
      <c r="C10265" s="325"/>
      <c r="D10265" s="326"/>
      <c r="E10265" s="326"/>
      <c r="F10265" s="326"/>
      <c r="G10265" s="326"/>
      <c r="H10265" s="326"/>
      <c r="P10265" s="318"/>
      <c r="Q10265" s="318"/>
      <c r="R10265" s="318"/>
      <c r="S10265" s="318"/>
      <c r="T10265" s="318"/>
      <c r="U10265" s="318"/>
      <c r="V10265" s="318"/>
      <c r="W10265" s="318"/>
      <c r="X10265" s="318"/>
      <c r="Y10265" s="318"/>
      <c r="Z10265" s="318"/>
      <c r="AA10265" s="318"/>
      <c r="AB10265" s="318"/>
      <c r="AC10265" s="318"/>
      <c r="AD10265" s="318"/>
    </row>
    <row r="10266" spans="2:30" s="323" customFormat="1" ht="12" customHeight="1">
      <c r="B10266" s="324"/>
      <c r="C10266" s="325"/>
      <c r="D10266" s="326"/>
      <c r="E10266" s="326"/>
      <c r="F10266" s="326"/>
      <c r="G10266" s="326"/>
      <c r="H10266" s="326"/>
      <c r="P10266" s="318"/>
      <c r="Q10266" s="318"/>
      <c r="R10266" s="318"/>
      <c r="S10266" s="318"/>
      <c r="T10266" s="318"/>
      <c r="U10266" s="318"/>
      <c r="V10266" s="318"/>
      <c r="W10266" s="318"/>
      <c r="X10266" s="318"/>
      <c r="Y10266" s="318"/>
      <c r="Z10266" s="318"/>
      <c r="AA10266" s="318"/>
      <c r="AB10266" s="318"/>
      <c r="AC10266" s="318"/>
      <c r="AD10266" s="318"/>
    </row>
    <row r="10267" spans="2:30" s="323" customFormat="1" ht="12" customHeight="1">
      <c r="B10267" s="324"/>
      <c r="C10267" s="325"/>
      <c r="D10267" s="326"/>
      <c r="E10267" s="326"/>
      <c r="F10267" s="326"/>
      <c r="G10267" s="326"/>
      <c r="H10267" s="326"/>
      <c r="P10267" s="318"/>
      <c r="Q10267" s="318"/>
      <c r="R10267" s="318"/>
      <c r="S10267" s="318"/>
      <c r="T10267" s="318"/>
      <c r="U10267" s="318"/>
      <c r="V10267" s="318"/>
      <c r="W10267" s="318"/>
      <c r="X10267" s="318"/>
      <c r="Y10267" s="318"/>
      <c r="Z10267" s="318"/>
      <c r="AA10267" s="318"/>
      <c r="AB10267" s="318"/>
      <c r="AC10267" s="318"/>
      <c r="AD10267" s="318"/>
    </row>
    <row r="10268" spans="2:30" s="323" customFormat="1" ht="12" customHeight="1">
      <c r="B10268" s="324"/>
      <c r="C10268" s="325"/>
      <c r="D10268" s="326"/>
      <c r="E10268" s="326"/>
      <c r="F10268" s="326"/>
      <c r="G10268" s="326"/>
      <c r="H10268" s="326"/>
      <c r="P10268" s="318"/>
      <c r="Q10268" s="318"/>
      <c r="R10268" s="318"/>
      <c r="S10268" s="318"/>
      <c r="T10268" s="318"/>
      <c r="U10268" s="318"/>
      <c r="V10268" s="318"/>
      <c r="W10268" s="318"/>
      <c r="X10268" s="318"/>
      <c r="Y10268" s="318"/>
      <c r="Z10268" s="318"/>
      <c r="AA10268" s="318"/>
      <c r="AB10268" s="318"/>
      <c r="AC10268" s="318"/>
      <c r="AD10268" s="318"/>
    </row>
    <row r="10269" spans="2:30" s="323" customFormat="1" ht="12" customHeight="1">
      <c r="B10269" s="324"/>
      <c r="C10269" s="325"/>
      <c r="D10269" s="326"/>
      <c r="E10269" s="326"/>
      <c r="F10269" s="326"/>
      <c r="G10269" s="326"/>
      <c r="H10269" s="326"/>
      <c r="P10269" s="318"/>
      <c r="Q10269" s="318"/>
      <c r="R10269" s="318"/>
      <c r="S10269" s="318"/>
      <c r="T10269" s="318"/>
      <c r="U10269" s="318"/>
      <c r="V10269" s="318"/>
      <c r="W10269" s="318"/>
      <c r="X10269" s="318"/>
      <c r="Y10269" s="318"/>
      <c r="Z10269" s="318"/>
      <c r="AA10269" s="318"/>
      <c r="AB10269" s="318"/>
      <c r="AC10269" s="318"/>
      <c r="AD10269" s="318"/>
    </row>
    <row r="10270" spans="2:30" s="323" customFormat="1" ht="12" customHeight="1">
      <c r="B10270" s="324"/>
      <c r="C10270" s="325"/>
      <c r="D10270" s="326"/>
      <c r="E10270" s="326"/>
      <c r="F10270" s="326"/>
      <c r="G10270" s="326"/>
      <c r="H10270" s="326"/>
      <c r="P10270" s="318"/>
      <c r="Q10270" s="318"/>
      <c r="R10270" s="318"/>
      <c r="S10270" s="318"/>
      <c r="T10270" s="318"/>
      <c r="U10270" s="318"/>
      <c r="V10270" s="318"/>
      <c r="W10270" s="318"/>
      <c r="X10270" s="318"/>
      <c r="Y10270" s="318"/>
      <c r="Z10270" s="318"/>
      <c r="AA10270" s="318"/>
      <c r="AB10270" s="318"/>
      <c r="AC10270" s="318"/>
      <c r="AD10270" s="318"/>
    </row>
    <row r="10271" spans="2:30" s="323" customFormat="1" ht="12" customHeight="1">
      <c r="B10271" s="324"/>
      <c r="C10271" s="325"/>
      <c r="D10271" s="326"/>
      <c r="E10271" s="326"/>
      <c r="F10271" s="326"/>
      <c r="G10271" s="326"/>
      <c r="H10271" s="326"/>
      <c r="P10271" s="318"/>
      <c r="Q10271" s="318"/>
      <c r="R10271" s="318"/>
      <c r="S10271" s="318"/>
      <c r="T10271" s="318"/>
      <c r="U10271" s="318"/>
      <c r="V10271" s="318"/>
      <c r="W10271" s="318"/>
      <c r="X10271" s="318"/>
      <c r="Y10271" s="318"/>
      <c r="Z10271" s="318"/>
      <c r="AA10271" s="318"/>
      <c r="AB10271" s="318"/>
      <c r="AC10271" s="318"/>
      <c r="AD10271" s="318"/>
    </row>
    <row r="10272" spans="2:30" s="323" customFormat="1" ht="12" customHeight="1">
      <c r="B10272" s="324"/>
      <c r="C10272" s="325"/>
      <c r="D10272" s="326"/>
      <c r="E10272" s="326"/>
      <c r="F10272" s="326"/>
      <c r="G10272" s="326"/>
      <c r="H10272" s="326"/>
      <c r="P10272" s="318"/>
      <c r="Q10272" s="318"/>
      <c r="R10272" s="318"/>
      <c r="S10272" s="318"/>
      <c r="T10272" s="318"/>
      <c r="U10272" s="318"/>
      <c r="V10272" s="318"/>
      <c r="W10272" s="318"/>
      <c r="X10272" s="318"/>
      <c r="Y10272" s="318"/>
      <c r="Z10272" s="318"/>
      <c r="AA10272" s="318"/>
      <c r="AB10272" s="318"/>
      <c r="AC10272" s="318"/>
      <c r="AD10272" s="318"/>
    </row>
    <row r="10273" spans="2:30" s="323" customFormat="1" ht="12" customHeight="1">
      <c r="B10273" s="324"/>
      <c r="C10273" s="325"/>
      <c r="D10273" s="326"/>
      <c r="E10273" s="326"/>
      <c r="F10273" s="326"/>
      <c r="G10273" s="326"/>
      <c r="H10273" s="326"/>
      <c r="P10273" s="318"/>
      <c r="Q10273" s="318"/>
      <c r="R10273" s="318"/>
      <c r="S10273" s="318"/>
      <c r="T10273" s="318"/>
      <c r="U10273" s="318"/>
      <c r="V10273" s="318"/>
      <c r="W10273" s="318"/>
      <c r="X10273" s="318"/>
      <c r="Y10273" s="318"/>
      <c r="Z10273" s="318"/>
      <c r="AA10273" s="318"/>
      <c r="AB10273" s="318"/>
      <c r="AC10273" s="318"/>
      <c r="AD10273" s="318"/>
    </row>
    <row r="10274" spans="2:30" s="323" customFormat="1" ht="12" customHeight="1">
      <c r="B10274" s="324"/>
      <c r="C10274" s="325"/>
      <c r="D10274" s="326"/>
      <c r="E10274" s="326"/>
      <c r="F10274" s="326"/>
      <c r="G10274" s="326"/>
      <c r="H10274" s="326"/>
      <c r="P10274" s="318"/>
      <c r="Q10274" s="318"/>
      <c r="R10274" s="318"/>
      <c r="S10274" s="318"/>
      <c r="T10274" s="318"/>
      <c r="U10274" s="318"/>
      <c r="V10274" s="318"/>
      <c r="W10274" s="318"/>
      <c r="X10274" s="318"/>
      <c r="Y10274" s="318"/>
      <c r="Z10274" s="318"/>
      <c r="AA10274" s="318"/>
      <c r="AB10274" s="318"/>
      <c r="AC10274" s="318"/>
      <c r="AD10274" s="318"/>
    </row>
    <row r="10275" spans="2:30" s="323" customFormat="1" ht="12" customHeight="1">
      <c r="B10275" s="324"/>
      <c r="C10275" s="325"/>
      <c r="D10275" s="326"/>
      <c r="E10275" s="326"/>
      <c r="F10275" s="326"/>
      <c r="G10275" s="326"/>
      <c r="H10275" s="326"/>
      <c r="P10275" s="318"/>
      <c r="Q10275" s="318"/>
      <c r="R10275" s="318"/>
      <c r="S10275" s="318"/>
      <c r="T10275" s="318"/>
      <c r="U10275" s="318"/>
      <c r="V10275" s="318"/>
      <c r="W10275" s="318"/>
      <c r="X10275" s="318"/>
      <c r="Y10275" s="318"/>
      <c r="Z10275" s="318"/>
      <c r="AA10275" s="318"/>
      <c r="AB10275" s="318"/>
      <c r="AC10275" s="318"/>
      <c r="AD10275" s="318"/>
    </row>
    <row r="10276" spans="2:30" s="323" customFormat="1" ht="12" customHeight="1">
      <c r="B10276" s="324"/>
      <c r="C10276" s="325"/>
      <c r="D10276" s="326"/>
      <c r="E10276" s="326"/>
      <c r="F10276" s="326"/>
      <c r="G10276" s="326"/>
      <c r="H10276" s="326"/>
      <c r="P10276" s="318"/>
      <c r="Q10276" s="318"/>
      <c r="R10276" s="318"/>
      <c r="S10276" s="318"/>
      <c r="T10276" s="318"/>
      <c r="U10276" s="318"/>
      <c r="V10276" s="318"/>
      <c r="W10276" s="318"/>
      <c r="X10276" s="318"/>
      <c r="Y10276" s="318"/>
      <c r="Z10276" s="318"/>
      <c r="AA10276" s="318"/>
      <c r="AB10276" s="318"/>
      <c r="AC10276" s="318"/>
      <c r="AD10276" s="318"/>
    </row>
    <row r="10277" spans="2:30" s="323" customFormat="1" ht="12" customHeight="1">
      <c r="B10277" s="324"/>
      <c r="C10277" s="325"/>
      <c r="D10277" s="326"/>
      <c r="E10277" s="326"/>
      <c r="F10277" s="326"/>
      <c r="G10277" s="326"/>
      <c r="H10277" s="326"/>
      <c r="P10277" s="318"/>
      <c r="Q10277" s="318"/>
      <c r="R10277" s="318"/>
      <c r="S10277" s="318"/>
      <c r="T10277" s="318"/>
      <c r="U10277" s="318"/>
      <c r="V10277" s="318"/>
      <c r="W10277" s="318"/>
      <c r="X10277" s="318"/>
      <c r="Y10277" s="318"/>
      <c r="Z10277" s="318"/>
      <c r="AA10277" s="318"/>
      <c r="AB10277" s="318"/>
      <c r="AC10277" s="318"/>
      <c r="AD10277" s="318"/>
    </row>
    <row r="10278" spans="2:30" s="323" customFormat="1" ht="12" customHeight="1">
      <c r="B10278" s="324"/>
      <c r="C10278" s="325"/>
      <c r="D10278" s="326"/>
      <c r="E10278" s="326"/>
      <c r="F10278" s="326"/>
      <c r="G10278" s="326"/>
      <c r="H10278" s="326"/>
      <c r="P10278" s="318"/>
      <c r="Q10278" s="318"/>
      <c r="R10278" s="318"/>
      <c r="S10278" s="318"/>
      <c r="T10278" s="318"/>
      <c r="U10278" s="318"/>
      <c r="V10278" s="318"/>
      <c r="W10278" s="318"/>
      <c r="X10278" s="318"/>
      <c r="Y10278" s="318"/>
      <c r="Z10278" s="318"/>
      <c r="AA10278" s="318"/>
      <c r="AB10278" s="318"/>
      <c r="AC10278" s="318"/>
      <c r="AD10278" s="318"/>
    </row>
    <row r="10279" spans="2:30" s="323" customFormat="1" ht="12" customHeight="1">
      <c r="B10279" s="324"/>
      <c r="C10279" s="325"/>
      <c r="D10279" s="326"/>
      <c r="E10279" s="326"/>
      <c r="F10279" s="326"/>
      <c r="G10279" s="326"/>
      <c r="H10279" s="326"/>
      <c r="P10279" s="318"/>
      <c r="Q10279" s="318"/>
      <c r="R10279" s="318"/>
      <c r="S10279" s="318"/>
      <c r="T10279" s="318"/>
      <c r="U10279" s="318"/>
      <c r="V10279" s="318"/>
      <c r="W10279" s="318"/>
      <c r="X10279" s="318"/>
      <c r="Y10279" s="318"/>
      <c r="Z10279" s="318"/>
      <c r="AA10279" s="318"/>
      <c r="AB10279" s="318"/>
      <c r="AC10279" s="318"/>
      <c r="AD10279" s="318"/>
    </row>
    <row r="10280" spans="2:30" s="323" customFormat="1" ht="12" customHeight="1">
      <c r="B10280" s="324"/>
      <c r="C10280" s="325"/>
      <c r="D10280" s="326"/>
      <c r="E10280" s="326"/>
      <c r="F10280" s="326"/>
      <c r="G10280" s="326"/>
      <c r="H10280" s="326"/>
      <c r="P10280" s="318"/>
      <c r="Q10280" s="318"/>
      <c r="R10280" s="318"/>
      <c r="S10280" s="318"/>
      <c r="T10280" s="318"/>
      <c r="U10280" s="318"/>
      <c r="V10280" s="318"/>
      <c r="W10280" s="318"/>
      <c r="X10280" s="318"/>
      <c r="Y10280" s="318"/>
      <c r="Z10280" s="318"/>
      <c r="AA10280" s="318"/>
      <c r="AB10280" s="318"/>
      <c r="AC10280" s="318"/>
      <c r="AD10280" s="318"/>
    </row>
    <row r="10281" spans="2:30" s="323" customFormat="1" ht="12" customHeight="1">
      <c r="B10281" s="324"/>
      <c r="C10281" s="325"/>
      <c r="D10281" s="326"/>
      <c r="E10281" s="326"/>
      <c r="F10281" s="326"/>
      <c r="G10281" s="326"/>
      <c r="H10281" s="326"/>
      <c r="P10281" s="318"/>
      <c r="Q10281" s="318"/>
      <c r="R10281" s="318"/>
      <c r="S10281" s="318"/>
      <c r="T10281" s="318"/>
      <c r="U10281" s="318"/>
      <c r="V10281" s="318"/>
      <c r="W10281" s="318"/>
      <c r="X10281" s="318"/>
      <c r="Y10281" s="318"/>
      <c r="Z10281" s="318"/>
      <c r="AA10281" s="318"/>
      <c r="AB10281" s="318"/>
      <c r="AC10281" s="318"/>
      <c r="AD10281" s="318"/>
    </row>
    <row r="10282" spans="2:30" s="323" customFormat="1" ht="12" customHeight="1">
      <c r="B10282" s="324"/>
      <c r="C10282" s="325"/>
      <c r="D10282" s="326"/>
      <c r="E10282" s="326"/>
      <c r="F10282" s="326"/>
      <c r="G10282" s="326"/>
      <c r="H10282" s="326"/>
      <c r="P10282" s="318"/>
      <c r="Q10282" s="318"/>
      <c r="R10282" s="318"/>
      <c r="S10282" s="318"/>
      <c r="T10282" s="318"/>
      <c r="U10282" s="318"/>
      <c r="V10282" s="318"/>
      <c r="W10282" s="318"/>
      <c r="X10282" s="318"/>
      <c r="Y10282" s="318"/>
      <c r="Z10282" s="318"/>
      <c r="AA10282" s="318"/>
      <c r="AB10282" s="318"/>
      <c r="AC10282" s="318"/>
      <c r="AD10282" s="318"/>
    </row>
    <row r="10283" spans="2:30" s="323" customFormat="1" ht="12" customHeight="1">
      <c r="B10283" s="324"/>
      <c r="C10283" s="325"/>
      <c r="D10283" s="326"/>
      <c r="E10283" s="326"/>
      <c r="F10283" s="326"/>
      <c r="G10283" s="326"/>
      <c r="H10283" s="326"/>
      <c r="P10283" s="318"/>
      <c r="Q10283" s="318"/>
      <c r="R10283" s="318"/>
      <c r="S10283" s="318"/>
      <c r="T10283" s="318"/>
      <c r="U10283" s="318"/>
      <c r="V10283" s="318"/>
      <c r="W10283" s="318"/>
      <c r="X10283" s="318"/>
      <c r="Y10283" s="318"/>
      <c r="Z10283" s="318"/>
      <c r="AA10283" s="318"/>
      <c r="AB10283" s="318"/>
      <c r="AC10283" s="318"/>
      <c r="AD10283" s="318"/>
    </row>
    <row r="10284" spans="2:30" s="323" customFormat="1" ht="12" customHeight="1">
      <c r="B10284" s="324"/>
      <c r="C10284" s="325"/>
      <c r="D10284" s="326"/>
      <c r="E10284" s="326"/>
      <c r="F10284" s="326"/>
      <c r="G10284" s="326"/>
      <c r="H10284" s="326"/>
      <c r="P10284" s="318"/>
      <c r="Q10284" s="318"/>
      <c r="R10284" s="318"/>
      <c r="S10284" s="318"/>
      <c r="T10284" s="318"/>
      <c r="U10284" s="318"/>
      <c r="V10284" s="318"/>
      <c r="W10284" s="318"/>
      <c r="X10284" s="318"/>
      <c r="Y10284" s="318"/>
      <c r="Z10284" s="318"/>
      <c r="AA10284" s="318"/>
      <c r="AB10284" s="318"/>
      <c r="AC10284" s="318"/>
      <c r="AD10284" s="318"/>
    </row>
    <row r="10285" spans="2:30" s="323" customFormat="1" ht="12" customHeight="1">
      <c r="B10285" s="324"/>
      <c r="C10285" s="325"/>
      <c r="D10285" s="326"/>
      <c r="E10285" s="326"/>
      <c r="F10285" s="326"/>
      <c r="G10285" s="326"/>
      <c r="H10285" s="326"/>
      <c r="P10285" s="318"/>
      <c r="Q10285" s="318"/>
      <c r="R10285" s="318"/>
      <c r="S10285" s="318"/>
      <c r="T10285" s="318"/>
      <c r="U10285" s="318"/>
      <c r="V10285" s="318"/>
      <c r="W10285" s="318"/>
      <c r="X10285" s="318"/>
      <c r="Y10285" s="318"/>
      <c r="Z10285" s="318"/>
      <c r="AA10285" s="318"/>
      <c r="AB10285" s="318"/>
      <c r="AC10285" s="318"/>
      <c r="AD10285" s="318"/>
    </row>
    <row r="10286" spans="2:30" s="323" customFormat="1" ht="12" customHeight="1">
      <c r="B10286" s="324"/>
      <c r="C10286" s="325"/>
      <c r="D10286" s="326"/>
      <c r="E10286" s="326"/>
      <c r="F10286" s="326"/>
      <c r="G10286" s="326"/>
      <c r="H10286" s="326"/>
      <c r="P10286" s="318"/>
      <c r="Q10286" s="318"/>
      <c r="R10286" s="318"/>
      <c r="S10286" s="318"/>
      <c r="T10286" s="318"/>
      <c r="U10286" s="318"/>
      <c r="V10286" s="318"/>
      <c r="W10286" s="318"/>
      <c r="X10286" s="318"/>
      <c r="Y10286" s="318"/>
      <c r="Z10286" s="318"/>
      <c r="AA10286" s="318"/>
      <c r="AB10286" s="318"/>
      <c r="AC10286" s="318"/>
      <c r="AD10286" s="318"/>
    </row>
    <row r="10287" spans="2:30" s="323" customFormat="1" ht="12" customHeight="1">
      <c r="B10287" s="324"/>
      <c r="C10287" s="325"/>
      <c r="D10287" s="326"/>
      <c r="E10287" s="326"/>
      <c r="F10287" s="326"/>
      <c r="G10287" s="326"/>
      <c r="H10287" s="326"/>
      <c r="P10287" s="318"/>
      <c r="Q10287" s="318"/>
      <c r="R10287" s="318"/>
      <c r="S10287" s="318"/>
      <c r="T10287" s="318"/>
      <c r="U10287" s="318"/>
      <c r="V10287" s="318"/>
      <c r="W10287" s="318"/>
      <c r="X10287" s="318"/>
      <c r="Y10287" s="318"/>
      <c r="Z10287" s="318"/>
      <c r="AA10287" s="318"/>
      <c r="AB10287" s="318"/>
      <c r="AC10287" s="318"/>
      <c r="AD10287" s="318"/>
    </row>
    <row r="10288" spans="2:30" s="323" customFormat="1" ht="12" customHeight="1">
      <c r="B10288" s="324"/>
      <c r="C10288" s="325"/>
      <c r="D10288" s="326"/>
      <c r="E10288" s="326"/>
      <c r="F10288" s="326"/>
      <c r="G10288" s="326"/>
      <c r="H10288" s="326"/>
      <c r="P10288" s="318"/>
      <c r="Q10288" s="318"/>
      <c r="R10288" s="318"/>
      <c r="S10288" s="318"/>
      <c r="T10288" s="318"/>
      <c r="U10288" s="318"/>
      <c r="V10288" s="318"/>
      <c r="W10288" s="318"/>
      <c r="X10288" s="318"/>
      <c r="Y10288" s="318"/>
      <c r="Z10288" s="318"/>
      <c r="AA10288" s="318"/>
      <c r="AB10288" s="318"/>
      <c r="AC10288" s="318"/>
      <c r="AD10288" s="318"/>
    </row>
    <row r="10289" spans="2:30" s="323" customFormat="1" ht="12" customHeight="1">
      <c r="B10289" s="324"/>
      <c r="C10289" s="325"/>
      <c r="D10289" s="326"/>
      <c r="E10289" s="326"/>
      <c r="F10289" s="326"/>
      <c r="G10289" s="326"/>
      <c r="H10289" s="326"/>
      <c r="P10289" s="318"/>
      <c r="Q10289" s="318"/>
      <c r="R10289" s="318"/>
      <c r="S10289" s="318"/>
      <c r="T10289" s="318"/>
      <c r="U10289" s="318"/>
      <c r="V10289" s="318"/>
      <c r="W10289" s="318"/>
      <c r="X10289" s="318"/>
      <c r="Y10289" s="318"/>
      <c r="Z10289" s="318"/>
      <c r="AA10289" s="318"/>
      <c r="AB10289" s="318"/>
      <c r="AC10289" s="318"/>
      <c r="AD10289" s="318"/>
    </row>
    <row r="10290" spans="2:30" s="323" customFormat="1" ht="12" customHeight="1">
      <c r="B10290" s="324"/>
      <c r="C10290" s="325"/>
      <c r="D10290" s="326"/>
      <c r="E10290" s="326"/>
      <c r="F10290" s="326"/>
      <c r="G10290" s="326"/>
      <c r="H10290" s="326"/>
      <c r="P10290" s="318"/>
      <c r="Q10290" s="318"/>
      <c r="R10290" s="318"/>
      <c r="S10290" s="318"/>
      <c r="T10290" s="318"/>
      <c r="U10290" s="318"/>
      <c r="V10290" s="318"/>
      <c r="W10290" s="318"/>
      <c r="X10290" s="318"/>
      <c r="Y10290" s="318"/>
      <c r="Z10290" s="318"/>
      <c r="AA10290" s="318"/>
      <c r="AB10290" s="318"/>
      <c r="AC10290" s="318"/>
      <c r="AD10290" s="318"/>
    </row>
    <row r="10291" spans="2:30" s="323" customFormat="1" ht="12" customHeight="1">
      <c r="B10291" s="324"/>
      <c r="C10291" s="325"/>
      <c r="D10291" s="326"/>
      <c r="E10291" s="326"/>
      <c r="F10291" s="326"/>
      <c r="G10291" s="326"/>
      <c r="H10291" s="326"/>
      <c r="P10291" s="318"/>
      <c r="Q10291" s="318"/>
      <c r="R10291" s="318"/>
      <c r="S10291" s="318"/>
      <c r="T10291" s="318"/>
      <c r="U10291" s="318"/>
      <c r="V10291" s="318"/>
      <c r="W10291" s="318"/>
      <c r="X10291" s="318"/>
      <c r="Y10291" s="318"/>
      <c r="Z10291" s="318"/>
      <c r="AA10291" s="318"/>
      <c r="AB10291" s="318"/>
      <c r="AC10291" s="318"/>
      <c r="AD10291" s="318"/>
    </row>
    <row r="10292" spans="2:30" s="323" customFormat="1" ht="12" customHeight="1">
      <c r="B10292" s="324"/>
      <c r="C10292" s="325"/>
      <c r="D10292" s="326"/>
      <c r="E10292" s="326"/>
      <c r="F10292" s="326"/>
      <c r="G10292" s="326"/>
      <c r="H10292" s="326"/>
      <c r="P10292" s="318"/>
      <c r="Q10292" s="318"/>
      <c r="R10292" s="318"/>
      <c r="S10292" s="318"/>
      <c r="T10292" s="318"/>
      <c r="U10292" s="318"/>
      <c r="V10292" s="318"/>
      <c r="W10292" s="318"/>
      <c r="X10292" s="318"/>
      <c r="Y10292" s="318"/>
      <c r="Z10292" s="318"/>
      <c r="AA10292" s="318"/>
      <c r="AB10292" s="318"/>
      <c r="AC10292" s="318"/>
      <c r="AD10292" s="318"/>
    </row>
    <row r="10293" spans="2:30" s="323" customFormat="1" ht="12" customHeight="1">
      <c r="B10293" s="324"/>
      <c r="C10293" s="325"/>
      <c r="D10293" s="326"/>
      <c r="E10293" s="326"/>
      <c r="F10293" s="326"/>
      <c r="G10293" s="326"/>
      <c r="H10293" s="326"/>
      <c r="P10293" s="318"/>
      <c r="Q10293" s="318"/>
      <c r="R10293" s="318"/>
      <c r="S10293" s="318"/>
      <c r="T10293" s="318"/>
      <c r="U10293" s="318"/>
      <c r="V10293" s="318"/>
      <c r="W10293" s="318"/>
      <c r="X10293" s="318"/>
      <c r="Y10293" s="318"/>
      <c r="Z10293" s="318"/>
      <c r="AA10293" s="318"/>
      <c r="AB10293" s="318"/>
      <c r="AC10293" s="318"/>
      <c r="AD10293" s="318"/>
    </row>
    <row r="10294" spans="2:30" s="323" customFormat="1" ht="12" customHeight="1">
      <c r="B10294" s="324"/>
      <c r="C10294" s="325"/>
      <c r="D10294" s="326"/>
      <c r="E10294" s="326"/>
      <c r="F10294" s="326"/>
      <c r="G10294" s="326"/>
      <c r="H10294" s="326"/>
      <c r="P10294" s="318"/>
      <c r="Q10294" s="318"/>
      <c r="R10294" s="318"/>
      <c r="S10294" s="318"/>
      <c r="T10294" s="318"/>
      <c r="U10294" s="318"/>
      <c r="V10294" s="318"/>
      <c r="W10294" s="318"/>
      <c r="X10294" s="318"/>
      <c r="Y10294" s="318"/>
      <c r="Z10294" s="318"/>
      <c r="AA10294" s="318"/>
      <c r="AB10294" s="318"/>
      <c r="AC10294" s="318"/>
      <c r="AD10294" s="318"/>
    </row>
    <row r="10295" spans="2:30" s="323" customFormat="1" ht="12" customHeight="1">
      <c r="B10295" s="324"/>
      <c r="C10295" s="325"/>
      <c r="D10295" s="326"/>
      <c r="E10295" s="326"/>
      <c r="F10295" s="326"/>
      <c r="G10295" s="326"/>
      <c r="H10295" s="326"/>
      <c r="P10295" s="318"/>
      <c r="Q10295" s="318"/>
      <c r="R10295" s="318"/>
      <c r="S10295" s="318"/>
      <c r="T10295" s="318"/>
      <c r="U10295" s="318"/>
      <c r="V10295" s="318"/>
      <c r="W10295" s="318"/>
      <c r="X10295" s="318"/>
      <c r="Y10295" s="318"/>
      <c r="Z10295" s="318"/>
      <c r="AA10295" s="318"/>
      <c r="AB10295" s="318"/>
      <c r="AC10295" s="318"/>
      <c r="AD10295" s="318"/>
    </row>
    <row r="10296" spans="2:30" s="323" customFormat="1" ht="12" customHeight="1">
      <c r="B10296" s="324"/>
      <c r="C10296" s="325"/>
      <c r="D10296" s="326"/>
      <c r="E10296" s="326"/>
      <c r="F10296" s="326"/>
      <c r="G10296" s="326"/>
      <c r="H10296" s="326"/>
      <c r="P10296" s="318"/>
      <c r="Q10296" s="318"/>
      <c r="R10296" s="318"/>
      <c r="S10296" s="318"/>
      <c r="T10296" s="318"/>
      <c r="U10296" s="318"/>
      <c r="V10296" s="318"/>
      <c r="W10296" s="318"/>
      <c r="X10296" s="318"/>
      <c r="Y10296" s="318"/>
      <c r="Z10296" s="318"/>
      <c r="AA10296" s="318"/>
      <c r="AB10296" s="318"/>
      <c r="AC10296" s="318"/>
      <c r="AD10296" s="318"/>
    </row>
    <row r="10297" spans="2:30" s="323" customFormat="1" ht="12" customHeight="1">
      <c r="B10297" s="324"/>
      <c r="C10297" s="325"/>
      <c r="D10297" s="326"/>
      <c r="E10297" s="326"/>
      <c r="F10297" s="326"/>
      <c r="G10297" s="326"/>
      <c r="H10297" s="326"/>
      <c r="P10297" s="318"/>
      <c r="Q10297" s="318"/>
      <c r="R10297" s="318"/>
      <c r="S10297" s="318"/>
      <c r="T10297" s="318"/>
      <c r="U10297" s="318"/>
      <c r="V10297" s="318"/>
      <c r="W10297" s="318"/>
      <c r="X10297" s="318"/>
      <c r="Y10297" s="318"/>
      <c r="Z10297" s="318"/>
      <c r="AA10297" s="318"/>
      <c r="AB10297" s="318"/>
      <c r="AC10297" s="318"/>
      <c r="AD10297" s="318"/>
    </row>
    <row r="10298" spans="2:30" s="323" customFormat="1" ht="12" customHeight="1">
      <c r="B10298" s="324"/>
      <c r="C10298" s="325"/>
      <c r="D10298" s="326"/>
      <c r="E10298" s="326"/>
      <c r="F10298" s="326"/>
      <c r="G10298" s="326"/>
      <c r="H10298" s="326"/>
      <c r="P10298" s="318"/>
      <c r="Q10298" s="318"/>
      <c r="R10298" s="318"/>
      <c r="S10298" s="318"/>
      <c r="T10298" s="318"/>
      <c r="U10298" s="318"/>
      <c r="V10298" s="318"/>
      <c r="W10298" s="318"/>
      <c r="X10298" s="318"/>
      <c r="Y10298" s="318"/>
      <c r="Z10298" s="318"/>
      <c r="AA10298" s="318"/>
      <c r="AB10298" s="318"/>
      <c r="AC10298" s="318"/>
      <c r="AD10298" s="318"/>
    </row>
    <row r="10299" spans="2:30" s="323" customFormat="1" ht="12" customHeight="1">
      <c r="B10299" s="324"/>
      <c r="C10299" s="325"/>
      <c r="D10299" s="326"/>
      <c r="E10299" s="326"/>
      <c r="F10299" s="326"/>
      <c r="G10299" s="326"/>
      <c r="H10299" s="326"/>
      <c r="P10299" s="318"/>
      <c r="Q10299" s="318"/>
      <c r="R10299" s="318"/>
      <c r="S10299" s="318"/>
      <c r="T10299" s="318"/>
      <c r="U10299" s="318"/>
      <c r="V10299" s="318"/>
      <c r="W10299" s="318"/>
      <c r="X10299" s="318"/>
      <c r="Y10299" s="318"/>
      <c r="Z10299" s="318"/>
      <c r="AA10299" s="318"/>
      <c r="AB10299" s="318"/>
      <c r="AC10299" s="318"/>
      <c r="AD10299" s="318"/>
    </row>
    <row r="10300" spans="2:30" s="323" customFormat="1" ht="12" customHeight="1">
      <c r="B10300" s="324"/>
      <c r="C10300" s="325"/>
      <c r="D10300" s="326"/>
      <c r="E10300" s="326"/>
      <c r="F10300" s="326"/>
      <c r="G10300" s="326"/>
      <c r="H10300" s="326"/>
      <c r="P10300" s="318"/>
      <c r="Q10300" s="318"/>
      <c r="R10300" s="318"/>
      <c r="S10300" s="318"/>
      <c r="T10300" s="318"/>
      <c r="U10300" s="318"/>
      <c r="V10300" s="318"/>
      <c r="W10300" s="318"/>
      <c r="X10300" s="318"/>
      <c r="Y10300" s="318"/>
      <c r="Z10300" s="318"/>
      <c r="AA10300" s="318"/>
      <c r="AB10300" s="318"/>
      <c r="AC10300" s="318"/>
      <c r="AD10300" s="318"/>
    </row>
    <row r="10301" spans="2:30" s="323" customFormat="1" ht="12" customHeight="1">
      <c r="B10301" s="324"/>
      <c r="C10301" s="325"/>
      <c r="D10301" s="326"/>
      <c r="E10301" s="326"/>
      <c r="F10301" s="326"/>
      <c r="G10301" s="326"/>
      <c r="H10301" s="326"/>
      <c r="P10301" s="318"/>
      <c r="Q10301" s="318"/>
      <c r="R10301" s="318"/>
      <c r="S10301" s="318"/>
      <c r="T10301" s="318"/>
      <c r="U10301" s="318"/>
      <c r="V10301" s="318"/>
      <c r="W10301" s="318"/>
      <c r="X10301" s="318"/>
      <c r="Y10301" s="318"/>
      <c r="Z10301" s="318"/>
      <c r="AA10301" s="318"/>
      <c r="AB10301" s="318"/>
      <c r="AC10301" s="318"/>
      <c r="AD10301" s="318"/>
    </row>
    <row r="10302" spans="2:30" s="323" customFormat="1" ht="12" customHeight="1">
      <c r="B10302" s="324"/>
      <c r="C10302" s="325"/>
      <c r="D10302" s="326"/>
      <c r="E10302" s="326"/>
      <c r="F10302" s="326"/>
      <c r="G10302" s="326"/>
      <c r="H10302" s="326"/>
      <c r="P10302" s="318"/>
      <c r="Q10302" s="318"/>
      <c r="R10302" s="318"/>
      <c r="S10302" s="318"/>
      <c r="T10302" s="318"/>
      <c r="U10302" s="318"/>
      <c r="V10302" s="318"/>
      <c r="W10302" s="318"/>
      <c r="X10302" s="318"/>
      <c r="Y10302" s="318"/>
      <c r="Z10302" s="318"/>
      <c r="AA10302" s="318"/>
      <c r="AB10302" s="318"/>
      <c r="AC10302" s="318"/>
      <c r="AD10302" s="318"/>
    </row>
    <row r="10303" spans="2:30" s="323" customFormat="1" ht="12" customHeight="1">
      <c r="B10303" s="324"/>
      <c r="C10303" s="325"/>
      <c r="D10303" s="326"/>
      <c r="E10303" s="326"/>
      <c r="F10303" s="326"/>
      <c r="G10303" s="326"/>
      <c r="H10303" s="326"/>
      <c r="P10303" s="318"/>
      <c r="Q10303" s="318"/>
      <c r="R10303" s="318"/>
      <c r="S10303" s="318"/>
      <c r="T10303" s="318"/>
      <c r="U10303" s="318"/>
      <c r="V10303" s="318"/>
      <c r="W10303" s="318"/>
      <c r="X10303" s="318"/>
      <c r="Y10303" s="318"/>
      <c r="Z10303" s="318"/>
      <c r="AA10303" s="318"/>
      <c r="AB10303" s="318"/>
      <c r="AC10303" s="318"/>
      <c r="AD10303" s="318"/>
    </row>
    <row r="10304" spans="2:30" s="323" customFormat="1" ht="12" customHeight="1">
      <c r="B10304" s="324"/>
      <c r="C10304" s="325"/>
      <c r="D10304" s="326"/>
      <c r="E10304" s="326"/>
      <c r="F10304" s="326"/>
      <c r="G10304" s="326"/>
      <c r="H10304" s="326"/>
      <c r="P10304" s="318"/>
      <c r="Q10304" s="318"/>
      <c r="R10304" s="318"/>
      <c r="S10304" s="318"/>
      <c r="T10304" s="318"/>
      <c r="U10304" s="318"/>
      <c r="V10304" s="318"/>
      <c r="W10304" s="318"/>
      <c r="X10304" s="318"/>
      <c r="Y10304" s="318"/>
      <c r="Z10304" s="318"/>
      <c r="AA10304" s="318"/>
      <c r="AB10304" s="318"/>
      <c r="AC10304" s="318"/>
      <c r="AD10304" s="318"/>
    </row>
    <row r="10305" spans="2:30" s="323" customFormat="1" ht="12" customHeight="1">
      <c r="B10305" s="324"/>
      <c r="C10305" s="325"/>
      <c r="D10305" s="326"/>
      <c r="E10305" s="326"/>
      <c r="F10305" s="326"/>
      <c r="G10305" s="326"/>
      <c r="H10305" s="326"/>
      <c r="P10305" s="318"/>
      <c r="Q10305" s="318"/>
      <c r="R10305" s="318"/>
      <c r="S10305" s="318"/>
      <c r="T10305" s="318"/>
      <c r="U10305" s="318"/>
      <c r="V10305" s="318"/>
      <c r="W10305" s="318"/>
      <c r="X10305" s="318"/>
      <c r="Y10305" s="318"/>
      <c r="Z10305" s="318"/>
      <c r="AA10305" s="318"/>
      <c r="AB10305" s="318"/>
      <c r="AC10305" s="318"/>
      <c r="AD10305" s="318"/>
    </row>
    <row r="10306" spans="2:30" s="323" customFormat="1" ht="12" customHeight="1">
      <c r="B10306" s="324"/>
      <c r="C10306" s="325"/>
      <c r="D10306" s="326"/>
      <c r="E10306" s="326"/>
      <c r="F10306" s="326"/>
      <c r="G10306" s="326"/>
      <c r="H10306" s="326"/>
      <c r="P10306" s="318"/>
      <c r="Q10306" s="318"/>
      <c r="R10306" s="318"/>
      <c r="S10306" s="318"/>
      <c r="T10306" s="318"/>
      <c r="U10306" s="318"/>
      <c r="V10306" s="318"/>
      <c r="W10306" s="318"/>
      <c r="X10306" s="318"/>
      <c r="Y10306" s="318"/>
      <c r="Z10306" s="318"/>
      <c r="AA10306" s="318"/>
      <c r="AB10306" s="318"/>
      <c r="AC10306" s="318"/>
      <c r="AD10306" s="318"/>
    </row>
    <row r="10307" spans="2:30" s="323" customFormat="1" ht="12" customHeight="1">
      <c r="B10307" s="324"/>
      <c r="C10307" s="325"/>
      <c r="D10307" s="326"/>
      <c r="E10307" s="326"/>
      <c r="F10307" s="326"/>
      <c r="G10307" s="326"/>
      <c r="H10307" s="326"/>
      <c r="P10307" s="318"/>
      <c r="Q10307" s="318"/>
      <c r="R10307" s="318"/>
      <c r="S10307" s="318"/>
      <c r="T10307" s="318"/>
      <c r="U10307" s="318"/>
      <c r="V10307" s="318"/>
      <c r="W10307" s="318"/>
      <c r="X10307" s="318"/>
      <c r="Y10307" s="318"/>
      <c r="Z10307" s="318"/>
      <c r="AA10307" s="318"/>
      <c r="AB10307" s="318"/>
      <c r="AC10307" s="318"/>
      <c r="AD10307" s="318"/>
    </row>
    <row r="10308" spans="2:30" s="323" customFormat="1" ht="12" customHeight="1">
      <c r="B10308" s="324"/>
      <c r="C10308" s="325"/>
      <c r="D10308" s="326"/>
      <c r="E10308" s="326"/>
      <c r="F10308" s="326"/>
      <c r="G10308" s="326"/>
      <c r="H10308" s="326"/>
      <c r="P10308" s="318"/>
      <c r="Q10308" s="318"/>
      <c r="R10308" s="318"/>
      <c r="S10308" s="318"/>
      <c r="T10308" s="318"/>
      <c r="U10308" s="318"/>
      <c r="V10308" s="318"/>
      <c r="W10308" s="318"/>
      <c r="X10308" s="318"/>
      <c r="Y10308" s="318"/>
      <c r="Z10308" s="318"/>
      <c r="AA10308" s="318"/>
      <c r="AB10308" s="318"/>
      <c r="AC10308" s="318"/>
      <c r="AD10308" s="318"/>
    </row>
    <row r="10309" spans="2:30" s="323" customFormat="1" ht="12" customHeight="1">
      <c r="B10309" s="324"/>
      <c r="C10309" s="325"/>
      <c r="D10309" s="326"/>
      <c r="E10309" s="326"/>
      <c r="F10309" s="326"/>
      <c r="G10309" s="326"/>
      <c r="H10309" s="326"/>
      <c r="P10309" s="318"/>
      <c r="Q10309" s="318"/>
      <c r="R10309" s="318"/>
      <c r="S10309" s="318"/>
      <c r="T10309" s="318"/>
      <c r="U10309" s="318"/>
      <c r="V10309" s="318"/>
      <c r="W10309" s="318"/>
      <c r="X10309" s="318"/>
      <c r="Y10309" s="318"/>
      <c r="Z10309" s="318"/>
      <c r="AA10309" s="318"/>
      <c r="AB10309" s="318"/>
      <c r="AC10309" s="318"/>
      <c r="AD10309" s="318"/>
    </row>
    <row r="10310" spans="2:30" s="323" customFormat="1" ht="12" customHeight="1">
      <c r="B10310" s="324"/>
      <c r="C10310" s="325"/>
      <c r="D10310" s="326"/>
      <c r="E10310" s="326"/>
      <c r="F10310" s="326"/>
      <c r="G10310" s="326"/>
      <c r="H10310" s="326"/>
      <c r="P10310" s="318"/>
      <c r="Q10310" s="318"/>
      <c r="R10310" s="318"/>
      <c r="S10310" s="318"/>
      <c r="T10310" s="318"/>
      <c r="U10310" s="318"/>
      <c r="V10310" s="318"/>
      <c r="W10310" s="318"/>
      <c r="X10310" s="318"/>
      <c r="Y10310" s="318"/>
      <c r="Z10310" s="318"/>
      <c r="AA10310" s="318"/>
      <c r="AB10310" s="318"/>
      <c r="AC10310" s="318"/>
      <c r="AD10310" s="318"/>
    </row>
    <row r="10311" spans="2:30" s="323" customFormat="1" ht="12" customHeight="1">
      <c r="B10311" s="324"/>
      <c r="C10311" s="325"/>
      <c r="D10311" s="326"/>
      <c r="E10311" s="326"/>
      <c r="F10311" s="326"/>
      <c r="G10311" s="326"/>
      <c r="H10311" s="326"/>
      <c r="P10311" s="318"/>
      <c r="Q10311" s="318"/>
      <c r="R10311" s="318"/>
      <c r="S10311" s="318"/>
      <c r="T10311" s="318"/>
      <c r="U10311" s="318"/>
      <c r="V10311" s="318"/>
      <c r="W10311" s="318"/>
      <c r="X10311" s="318"/>
      <c r="Y10311" s="318"/>
      <c r="Z10311" s="318"/>
      <c r="AA10311" s="318"/>
      <c r="AB10311" s="318"/>
      <c r="AC10311" s="318"/>
      <c r="AD10311" s="318"/>
    </row>
    <row r="10312" spans="2:30" s="323" customFormat="1" ht="12" customHeight="1">
      <c r="B10312" s="324"/>
      <c r="C10312" s="325"/>
      <c r="D10312" s="326"/>
      <c r="E10312" s="326"/>
      <c r="F10312" s="326"/>
      <c r="G10312" s="326"/>
      <c r="H10312" s="326"/>
      <c r="P10312" s="318"/>
      <c r="Q10312" s="318"/>
      <c r="R10312" s="318"/>
      <c r="S10312" s="318"/>
      <c r="T10312" s="318"/>
      <c r="U10312" s="318"/>
      <c r="V10312" s="318"/>
      <c r="W10312" s="318"/>
      <c r="X10312" s="318"/>
      <c r="Y10312" s="318"/>
      <c r="Z10312" s="318"/>
      <c r="AA10312" s="318"/>
      <c r="AB10312" s="318"/>
      <c r="AC10312" s="318"/>
      <c r="AD10312" s="318"/>
    </row>
    <row r="10313" spans="2:30" s="323" customFormat="1" ht="12" customHeight="1">
      <c r="B10313" s="324"/>
      <c r="C10313" s="325"/>
      <c r="D10313" s="326"/>
      <c r="E10313" s="326"/>
      <c r="F10313" s="326"/>
      <c r="G10313" s="326"/>
      <c r="H10313" s="326"/>
      <c r="P10313" s="318"/>
      <c r="Q10313" s="318"/>
      <c r="R10313" s="318"/>
      <c r="S10313" s="318"/>
      <c r="T10313" s="318"/>
      <c r="U10313" s="318"/>
      <c r="V10313" s="318"/>
      <c r="W10313" s="318"/>
      <c r="X10313" s="318"/>
      <c r="Y10313" s="318"/>
      <c r="Z10313" s="318"/>
      <c r="AA10313" s="318"/>
      <c r="AB10313" s="318"/>
      <c r="AC10313" s="318"/>
      <c r="AD10313" s="318"/>
    </row>
    <row r="10314" spans="2:30" s="323" customFormat="1" ht="12" customHeight="1">
      <c r="B10314" s="324"/>
      <c r="C10314" s="325"/>
      <c r="D10314" s="326"/>
      <c r="E10314" s="326"/>
      <c r="F10314" s="326"/>
      <c r="G10314" s="326"/>
      <c r="H10314" s="326"/>
      <c r="P10314" s="318"/>
      <c r="Q10314" s="318"/>
      <c r="R10314" s="318"/>
      <c r="S10314" s="318"/>
      <c r="T10314" s="318"/>
      <c r="U10314" s="318"/>
      <c r="V10314" s="318"/>
      <c r="W10314" s="318"/>
      <c r="X10314" s="318"/>
      <c r="Y10314" s="318"/>
      <c r="Z10314" s="318"/>
      <c r="AA10314" s="318"/>
      <c r="AB10314" s="318"/>
      <c r="AC10314" s="318"/>
      <c r="AD10314" s="318"/>
    </row>
    <row r="10315" spans="2:30" s="323" customFormat="1" ht="12" customHeight="1">
      <c r="B10315" s="324"/>
      <c r="C10315" s="325"/>
      <c r="D10315" s="326"/>
      <c r="E10315" s="326"/>
      <c r="F10315" s="326"/>
      <c r="G10315" s="326"/>
      <c r="H10315" s="326"/>
      <c r="P10315" s="318"/>
      <c r="Q10315" s="318"/>
      <c r="R10315" s="318"/>
      <c r="S10315" s="318"/>
      <c r="T10315" s="318"/>
      <c r="U10315" s="318"/>
      <c r="V10315" s="318"/>
      <c r="W10315" s="318"/>
      <c r="X10315" s="318"/>
      <c r="Y10315" s="318"/>
      <c r="Z10315" s="318"/>
      <c r="AA10315" s="318"/>
      <c r="AB10315" s="318"/>
      <c r="AC10315" s="318"/>
      <c r="AD10315" s="318"/>
    </row>
    <row r="10316" spans="2:30" s="323" customFormat="1" ht="12" customHeight="1">
      <c r="B10316" s="324"/>
      <c r="C10316" s="325"/>
      <c r="D10316" s="326"/>
      <c r="E10316" s="326"/>
      <c r="F10316" s="326"/>
      <c r="G10316" s="326"/>
      <c r="H10316" s="326"/>
      <c r="P10316" s="318"/>
      <c r="Q10316" s="318"/>
      <c r="R10316" s="318"/>
      <c r="S10316" s="318"/>
      <c r="T10316" s="318"/>
      <c r="U10316" s="318"/>
      <c r="V10316" s="318"/>
      <c r="W10316" s="318"/>
      <c r="X10316" s="318"/>
      <c r="Y10316" s="318"/>
      <c r="Z10316" s="318"/>
      <c r="AA10316" s="318"/>
      <c r="AB10316" s="318"/>
      <c r="AC10316" s="318"/>
      <c r="AD10316" s="318"/>
    </row>
    <row r="10317" spans="2:30" s="323" customFormat="1" ht="12" customHeight="1">
      <c r="B10317" s="324"/>
      <c r="C10317" s="325"/>
      <c r="D10317" s="326"/>
      <c r="E10317" s="326"/>
      <c r="F10317" s="326"/>
      <c r="G10317" s="326"/>
      <c r="H10317" s="326"/>
      <c r="P10317" s="318"/>
      <c r="Q10317" s="318"/>
      <c r="R10317" s="318"/>
      <c r="S10317" s="318"/>
      <c r="T10317" s="318"/>
      <c r="U10317" s="318"/>
      <c r="V10317" s="318"/>
      <c r="W10317" s="318"/>
      <c r="X10317" s="318"/>
      <c r="Y10317" s="318"/>
      <c r="Z10317" s="318"/>
      <c r="AA10317" s="318"/>
      <c r="AB10317" s="318"/>
      <c r="AC10317" s="318"/>
      <c r="AD10317" s="318"/>
    </row>
    <row r="10318" spans="2:30" s="323" customFormat="1" ht="12" customHeight="1">
      <c r="B10318" s="324"/>
      <c r="C10318" s="325"/>
      <c r="D10318" s="326"/>
      <c r="E10318" s="326"/>
      <c r="F10318" s="326"/>
      <c r="G10318" s="326"/>
      <c r="H10318" s="326"/>
      <c r="P10318" s="318"/>
      <c r="Q10318" s="318"/>
      <c r="R10318" s="318"/>
      <c r="S10318" s="318"/>
      <c r="T10318" s="318"/>
      <c r="U10318" s="318"/>
      <c r="V10318" s="318"/>
      <c r="W10318" s="318"/>
      <c r="X10318" s="318"/>
      <c r="Y10318" s="318"/>
      <c r="Z10318" s="318"/>
      <c r="AA10318" s="318"/>
      <c r="AB10318" s="318"/>
      <c r="AC10318" s="318"/>
      <c r="AD10318" s="318"/>
    </row>
    <row r="10319" spans="2:30" s="323" customFormat="1" ht="12" customHeight="1">
      <c r="B10319" s="324"/>
      <c r="C10319" s="325"/>
      <c r="D10319" s="326"/>
      <c r="E10319" s="326"/>
      <c r="F10319" s="326"/>
      <c r="G10319" s="326"/>
      <c r="H10319" s="326"/>
      <c r="P10319" s="318"/>
      <c r="Q10319" s="318"/>
      <c r="R10319" s="318"/>
      <c r="S10319" s="318"/>
      <c r="T10319" s="318"/>
      <c r="U10319" s="318"/>
      <c r="V10319" s="318"/>
      <c r="W10319" s="318"/>
      <c r="X10319" s="318"/>
      <c r="Y10319" s="318"/>
      <c r="Z10319" s="318"/>
      <c r="AA10319" s="318"/>
      <c r="AB10319" s="318"/>
      <c r="AC10319" s="318"/>
      <c r="AD10319" s="318"/>
    </row>
    <row r="10320" spans="2:30" s="323" customFormat="1" ht="12" customHeight="1">
      <c r="B10320" s="324"/>
      <c r="C10320" s="325"/>
      <c r="D10320" s="326"/>
      <c r="E10320" s="326"/>
      <c r="F10320" s="326"/>
      <c r="G10320" s="326"/>
      <c r="H10320" s="326"/>
      <c r="P10320" s="318"/>
      <c r="Q10320" s="318"/>
      <c r="R10320" s="318"/>
      <c r="S10320" s="318"/>
      <c r="T10320" s="318"/>
      <c r="U10320" s="318"/>
      <c r="V10320" s="318"/>
      <c r="W10320" s="318"/>
      <c r="X10320" s="318"/>
      <c r="Y10320" s="318"/>
      <c r="Z10320" s="318"/>
      <c r="AA10320" s="318"/>
      <c r="AB10320" s="318"/>
      <c r="AC10320" s="318"/>
      <c r="AD10320" s="318"/>
    </row>
    <row r="10321" spans="2:30" s="323" customFormat="1" ht="12" customHeight="1">
      <c r="B10321" s="324"/>
      <c r="C10321" s="325"/>
      <c r="D10321" s="326"/>
      <c r="E10321" s="326"/>
      <c r="F10321" s="326"/>
      <c r="G10321" s="326"/>
      <c r="H10321" s="326"/>
      <c r="P10321" s="318"/>
      <c r="Q10321" s="318"/>
      <c r="R10321" s="318"/>
      <c r="S10321" s="318"/>
      <c r="T10321" s="318"/>
      <c r="U10321" s="318"/>
      <c r="V10321" s="318"/>
      <c r="W10321" s="318"/>
      <c r="X10321" s="318"/>
      <c r="Y10321" s="318"/>
      <c r="Z10321" s="318"/>
      <c r="AA10321" s="318"/>
      <c r="AB10321" s="318"/>
      <c r="AC10321" s="318"/>
      <c r="AD10321" s="318"/>
    </row>
    <row r="10322" spans="2:30" s="323" customFormat="1" ht="12" customHeight="1">
      <c r="B10322" s="324"/>
      <c r="C10322" s="325"/>
      <c r="D10322" s="326"/>
      <c r="E10322" s="326"/>
      <c r="F10322" s="326"/>
      <c r="G10322" s="326"/>
      <c r="H10322" s="326"/>
      <c r="P10322" s="318"/>
      <c r="Q10322" s="318"/>
      <c r="R10322" s="318"/>
      <c r="S10322" s="318"/>
      <c r="T10322" s="318"/>
      <c r="U10322" s="318"/>
      <c r="V10322" s="318"/>
      <c r="W10322" s="318"/>
      <c r="X10322" s="318"/>
      <c r="Y10322" s="318"/>
      <c r="Z10322" s="318"/>
      <c r="AA10322" s="318"/>
      <c r="AB10322" s="318"/>
      <c r="AC10322" s="318"/>
      <c r="AD10322" s="318"/>
    </row>
    <row r="10323" spans="2:30" s="323" customFormat="1" ht="12" customHeight="1">
      <c r="B10323" s="324"/>
      <c r="C10323" s="325"/>
      <c r="D10323" s="326"/>
      <c r="E10323" s="326"/>
      <c r="F10323" s="326"/>
      <c r="G10323" s="326"/>
      <c r="H10323" s="326"/>
      <c r="P10323" s="318"/>
      <c r="Q10323" s="318"/>
      <c r="R10323" s="318"/>
      <c r="S10323" s="318"/>
      <c r="T10323" s="318"/>
      <c r="U10323" s="318"/>
      <c r="V10323" s="318"/>
      <c r="W10323" s="318"/>
      <c r="X10323" s="318"/>
      <c r="Y10323" s="318"/>
      <c r="Z10323" s="318"/>
      <c r="AA10323" s="318"/>
      <c r="AB10323" s="318"/>
      <c r="AC10323" s="318"/>
      <c r="AD10323" s="318"/>
    </row>
    <row r="10324" spans="2:30" s="323" customFormat="1" ht="12" customHeight="1">
      <c r="B10324" s="324"/>
      <c r="C10324" s="325"/>
      <c r="D10324" s="326"/>
      <c r="E10324" s="326"/>
      <c r="F10324" s="326"/>
      <c r="G10324" s="326"/>
      <c r="H10324" s="326"/>
      <c r="P10324" s="318"/>
      <c r="Q10324" s="318"/>
      <c r="R10324" s="318"/>
      <c r="S10324" s="318"/>
      <c r="T10324" s="318"/>
      <c r="U10324" s="318"/>
      <c r="V10324" s="318"/>
      <c r="W10324" s="318"/>
      <c r="X10324" s="318"/>
      <c r="Y10324" s="318"/>
      <c r="Z10324" s="318"/>
      <c r="AA10324" s="318"/>
      <c r="AB10324" s="318"/>
      <c r="AC10324" s="318"/>
      <c r="AD10324" s="318"/>
    </row>
    <row r="10325" spans="2:30" s="323" customFormat="1" ht="12" customHeight="1">
      <c r="B10325" s="324"/>
      <c r="C10325" s="325"/>
      <c r="D10325" s="326"/>
      <c r="E10325" s="326"/>
      <c r="F10325" s="326"/>
      <c r="G10325" s="326"/>
      <c r="H10325" s="326"/>
      <c r="P10325" s="318"/>
      <c r="Q10325" s="318"/>
      <c r="R10325" s="318"/>
      <c r="S10325" s="318"/>
      <c r="T10325" s="318"/>
      <c r="U10325" s="318"/>
      <c r="V10325" s="318"/>
      <c r="W10325" s="318"/>
      <c r="X10325" s="318"/>
      <c r="Y10325" s="318"/>
      <c r="Z10325" s="318"/>
      <c r="AA10325" s="318"/>
      <c r="AB10325" s="318"/>
      <c r="AC10325" s="318"/>
      <c r="AD10325" s="318"/>
    </row>
    <row r="10326" spans="2:30" s="323" customFormat="1" ht="12" customHeight="1">
      <c r="B10326" s="324"/>
      <c r="C10326" s="325"/>
      <c r="D10326" s="326"/>
      <c r="E10326" s="326"/>
      <c r="F10326" s="326"/>
      <c r="G10326" s="326"/>
      <c r="H10326" s="326"/>
      <c r="P10326" s="318"/>
      <c r="Q10326" s="318"/>
      <c r="R10326" s="318"/>
      <c r="S10326" s="318"/>
      <c r="T10326" s="318"/>
      <c r="U10326" s="318"/>
      <c r="V10326" s="318"/>
      <c r="W10326" s="318"/>
      <c r="X10326" s="318"/>
      <c r="Y10326" s="318"/>
      <c r="Z10326" s="318"/>
      <c r="AA10326" s="318"/>
      <c r="AB10326" s="318"/>
      <c r="AC10326" s="318"/>
      <c r="AD10326" s="318"/>
    </row>
    <row r="10327" spans="2:30" s="323" customFormat="1" ht="12" customHeight="1">
      <c r="B10327" s="324"/>
      <c r="C10327" s="325"/>
      <c r="D10327" s="326"/>
      <c r="E10327" s="326"/>
      <c r="F10327" s="326"/>
      <c r="G10327" s="326"/>
      <c r="H10327" s="326"/>
      <c r="P10327" s="318"/>
      <c r="Q10327" s="318"/>
      <c r="R10327" s="318"/>
      <c r="S10327" s="318"/>
      <c r="T10327" s="318"/>
      <c r="U10327" s="318"/>
      <c r="V10327" s="318"/>
      <c r="W10327" s="318"/>
      <c r="X10327" s="318"/>
      <c r="Y10327" s="318"/>
      <c r="Z10327" s="318"/>
      <c r="AA10327" s="318"/>
      <c r="AB10327" s="318"/>
      <c r="AC10327" s="318"/>
      <c r="AD10327" s="318"/>
    </row>
    <row r="10328" spans="2:30" s="323" customFormat="1" ht="12" customHeight="1">
      <c r="B10328" s="324"/>
      <c r="C10328" s="325"/>
      <c r="D10328" s="326"/>
      <c r="E10328" s="326"/>
      <c r="F10328" s="326"/>
      <c r="G10328" s="326"/>
      <c r="H10328" s="326"/>
      <c r="P10328" s="318"/>
      <c r="Q10328" s="318"/>
      <c r="R10328" s="318"/>
      <c r="S10328" s="318"/>
      <c r="T10328" s="318"/>
      <c r="U10328" s="318"/>
      <c r="V10328" s="318"/>
      <c r="W10328" s="318"/>
      <c r="X10328" s="318"/>
      <c r="Y10328" s="318"/>
      <c r="Z10328" s="318"/>
      <c r="AA10328" s="318"/>
      <c r="AB10328" s="318"/>
      <c r="AC10328" s="318"/>
      <c r="AD10328" s="318"/>
    </row>
    <row r="10329" spans="2:30" s="323" customFormat="1" ht="12" customHeight="1">
      <c r="B10329" s="324"/>
      <c r="C10329" s="325"/>
      <c r="D10329" s="326"/>
      <c r="E10329" s="326"/>
      <c r="F10329" s="326"/>
      <c r="G10329" s="326"/>
      <c r="H10329" s="326"/>
      <c r="P10329" s="318"/>
      <c r="Q10329" s="318"/>
      <c r="R10329" s="318"/>
      <c r="S10329" s="318"/>
      <c r="T10329" s="318"/>
      <c r="U10329" s="318"/>
      <c r="V10329" s="318"/>
      <c r="W10329" s="318"/>
      <c r="X10329" s="318"/>
      <c r="Y10329" s="318"/>
      <c r="Z10329" s="318"/>
      <c r="AA10329" s="318"/>
      <c r="AB10329" s="318"/>
      <c r="AC10329" s="318"/>
      <c r="AD10329" s="318"/>
    </row>
    <row r="10330" spans="2:30" s="323" customFormat="1" ht="12" customHeight="1">
      <c r="B10330" s="324"/>
      <c r="C10330" s="325"/>
      <c r="D10330" s="326"/>
      <c r="E10330" s="326"/>
      <c r="F10330" s="326"/>
      <c r="G10330" s="326"/>
      <c r="H10330" s="326"/>
      <c r="P10330" s="318"/>
      <c r="Q10330" s="318"/>
      <c r="R10330" s="318"/>
      <c r="S10330" s="318"/>
      <c r="T10330" s="318"/>
      <c r="U10330" s="318"/>
      <c r="V10330" s="318"/>
      <c r="W10330" s="318"/>
      <c r="X10330" s="318"/>
      <c r="Y10330" s="318"/>
      <c r="Z10330" s="318"/>
      <c r="AA10330" s="318"/>
      <c r="AB10330" s="318"/>
      <c r="AC10330" s="318"/>
      <c r="AD10330" s="318"/>
    </row>
    <row r="10331" spans="2:30" s="323" customFormat="1" ht="12" customHeight="1">
      <c r="B10331" s="324"/>
      <c r="C10331" s="325"/>
      <c r="D10331" s="326"/>
      <c r="E10331" s="326"/>
      <c r="F10331" s="326"/>
      <c r="G10331" s="326"/>
      <c r="H10331" s="326"/>
      <c r="P10331" s="318"/>
      <c r="Q10331" s="318"/>
      <c r="R10331" s="318"/>
      <c r="S10331" s="318"/>
      <c r="T10331" s="318"/>
      <c r="U10331" s="318"/>
      <c r="V10331" s="318"/>
      <c r="W10331" s="318"/>
      <c r="X10331" s="318"/>
      <c r="Y10331" s="318"/>
      <c r="Z10331" s="318"/>
      <c r="AA10331" s="318"/>
      <c r="AB10331" s="318"/>
      <c r="AC10331" s="318"/>
      <c r="AD10331" s="318"/>
    </row>
    <row r="10332" spans="2:30" s="323" customFormat="1" ht="12" customHeight="1">
      <c r="B10332" s="324"/>
      <c r="C10332" s="325"/>
      <c r="D10332" s="326"/>
      <c r="E10332" s="326"/>
      <c r="F10332" s="326"/>
      <c r="G10332" s="326"/>
      <c r="H10332" s="326"/>
      <c r="P10332" s="318"/>
      <c r="Q10332" s="318"/>
      <c r="R10332" s="318"/>
      <c r="S10332" s="318"/>
      <c r="T10332" s="318"/>
      <c r="U10332" s="318"/>
      <c r="V10332" s="318"/>
      <c r="W10332" s="318"/>
      <c r="X10332" s="318"/>
      <c r="Y10332" s="318"/>
      <c r="Z10332" s="318"/>
      <c r="AA10332" s="318"/>
      <c r="AB10332" s="318"/>
      <c r="AC10332" s="318"/>
      <c r="AD10332" s="318"/>
    </row>
    <row r="10333" spans="2:30" s="323" customFormat="1" ht="12" customHeight="1">
      <c r="B10333" s="324"/>
      <c r="C10333" s="325"/>
      <c r="D10333" s="326"/>
      <c r="E10333" s="326"/>
      <c r="F10333" s="326"/>
      <c r="G10333" s="326"/>
      <c r="H10333" s="326"/>
      <c r="P10333" s="318"/>
      <c r="Q10333" s="318"/>
      <c r="R10333" s="318"/>
      <c r="S10333" s="318"/>
      <c r="T10333" s="318"/>
      <c r="U10333" s="318"/>
      <c r="V10333" s="318"/>
      <c r="W10333" s="318"/>
      <c r="X10333" s="318"/>
      <c r="Y10333" s="318"/>
      <c r="Z10333" s="318"/>
      <c r="AA10333" s="318"/>
      <c r="AB10333" s="318"/>
      <c r="AC10333" s="318"/>
      <c r="AD10333" s="318"/>
    </row>
    <row r="10334" spans="2:30" s="323" customFormat="1" ht="12" customHeight="1">
      <c r="B10334" s="324"/>
      <c r="C10334" s="325"/>
      <c r="D10334" s="326"/>
      <c r="E10334" s="326"/>
      <c r="F10334" s="326"/>
      <c r="G10334" s="326"/>
      <c r="H10334" s="326"/>
      <c r="P10334" s="318"/>
      <c r="Q10334" s="318"/>
      <c r="R10334" s="318"/>
      <c r="S10334" s="318"/>
      <c r="T10334" s="318"/>
      <c r="U10334" s="318"/>
      <c r="V10334" s="318"/>
      <c r="W10334" s="318"/>
      <c r="X10334" s="318"/>
      <c r="Y10334" s="318"/>
      <c r="Z10334" s="318"/>
      <c r="AA10334" s="318"/>
      <c r="AB10334" s="318"/>
      <c r="AC10334" s="318"/>
      <c r="AD10334" s="318"/>
    </row>
    <row r="10335" spans="2:30" s="323" customFormat="1" ht="12" customHeight="1">
      <c r="B10335" s="324"/>
      <c r="C10335" s="325"/>
      <c r="D10335" s="326"/>
      <c r="E10335" s="326"/>
      <c r="F10335" s="326"/>
      <c r="G10335" s="326"/>
      <c r="H10335" s="326"/>
      <c r="P10335" s="318"/>
      <c r="Q10335" s="318"/>
      <c r="R10335" s="318"/>
      <c r="S10335" s="318"/>
      <c r="T10335" s="318"/>
      <c r="U10335" s="318"/>
      <c r="V10335" s="318"/>
      <c r="W10335" s="318"/>
      <c r="X10335" s="318"/>
      <c r="Y10335" s="318"/>
      <c r="Z10335" s="318"/>
      <c r="AA10335" s="318"/>
      <c r="AB10335" s="318"/>
      <c r="AC10335" s="318"/>
      <c r="AD10335" s="318"/>
    </row>
    <row r="10336" spans="2:30" s="323" customFormat="1" ht="12" customHeight="1">
      <c r="B10336" s="324"/>
      <c r="C10336" s="325"/>
      <c r="D10336" s="326"/>
      <c r="E10336" s="326"/>
      <c r="F10336" s="326"/>
      <c r="G10336" s="326"/>
      <c r="H10336" s="326"/>
      <c r="P10336" s="318"/>
      <c r="Q10336" s="318"/>
      <c r="R10336" s="318"/>
      <c r="S10336" s="318"/>
      <c r="T10336" s="318"/>
      <c r="U10336" s="318"/>
      <c r="V10336" s="318"/>
      <c r="W10336" s="318"/>
      <c r="X10336" s="318"/>
      <c r="Y10336" s="318"/>
      <c r="Z10336" s="318"/>
      <c r="AA10336" s="318"/>
      <c r="AB10336" s="318"/>
      <c r="AC10336" s="318"/>
      <c r="AD10336" s="318"/>
    </row>
    <row r="10337" spans="2:30" s="323" customFormat="1" ht="12" customHeight="1">
      <c r="B10337" s="324"/>
      <c r="C10337" s="325"/>
      <c r="D10337" s="326"/>
      <c r="E10337" s="326"/>
      <c r="F10337" s="326"/>
      <c r="G10337" s="326"/>
      <c r="H10337" s="326"/>
      <c r="P10337" s="318"/>
      <c r="Q10337" s="318"/>
      <c r="R10337" s="318"/>
      <c r="S10337" s="318"/>
      <c r="T10337" s="318"/>
      <c r="U10337" s="318"/>
      <c r="V10337" s="318"/>
      <c r="W10337" s="318"/>
      <c r="X10337" s="318"/>
      <c r="Y10337" s="318"/>
      <c r="Z10337" s="318"/>
      <c r="AA10337" s="318"/>
      <c r="AB10337" s="318"/>
      <c r="AC10337" s="318"/>
      <c r="AD10337" s="318"/>
    </row>
    <row r="10338" spans="2:30" s="323" customFormat="1" ht="12" customHeight="1">
      <c r="B10338" s="324"/>
      <c r="C10338" s="325"/>
      <c r="D10338" s="326"/>
      <c r="E10338" s="326"/>
      <c r="F10338" s="326"/>
      <c r="G10338" s="326"/>
      <c r="H10338" s="326"/>
      <c r="P10338" s="318"/>
      <c r="Q10338" s="318"/>
      <c r="R10338" s="318"/>
      <c r="S10338" s="318"/>
      <c r="T10338" s="318"/>
      <c r="U10338" s="318"/>
      <c r="V10338" s="318"/>
      <c r="W10338" s="318"/>
      <c r="X10338" s="318"/>
      <c r="Y10338" s="318"/>
      <c r="Z10338" s="318"/>
      <c r="AA10338" s="318"/>
      <c r="AB10338" s="318"/>
      <c r="AC10338" s="318"/>
      <c r="AD10338" s="318"/>
    </row>
    <row r="10339" spans="2:30" s="323" customFormat="1" ht="12" customHeight="1">
      <c r="B10339" s="324"/>
      <c r="C10339" s="325"/>
      <c r="D10339" s="326"/>
      <c r="E10339" s="326"/>
      <c r="F10339" s="326"/>
      <c r="G10339" s="326"/>
      <c r="H10339" s="326"/>
      <c r="P10339" s="318"/>
      <c r="Q10339" s="318"/>
      <c r="R10339" s="318"/>
      <c r="S10339" s="318"/>
      <c r="T10339" s="318"/>
      <c r="U10339" s="318"/>
      <c r="V10339" s="318"/>
      <c r="W10339" s="318"/>
      <c r="X10339" s="318"/>
      <c r="Y10339" s="318"/>
      <c r="Z10339" s="318"/>
      <c r="AA10339" s="318"/>
      <c r="AB10339" s="318"/>
      <c r="AC10339" s="318"/>
      <c r="AD10339" s="318"/>
    </row>
    <row r="10340" spans="2:30" s="323" customFormat="1" ht="12" customHeight="1">
      <c r="B10340" s="324"/>
      <c r="C10340" s="325"/>
      <c r="D10340" s="326"/>
      <c r="E10340" s="326"/>
      <c r="F10340" s="326"/>
      <c r="G10340" s="326"/>
      <c r="H10340" s="326"/>
      <c r="P10340" s="318"/>
      <c r="Q10340" s="318"/>
      <c r="R10340" s="318"/>
      <c r="S10340" s="318"/>
      <c r="T10340" s="318"/>
      <c r="U10340" s="318"/>
      <c r="V10340" s="318"/>
      <c r="W10340" s="318"/>
      <c r="X10340" s="318"/>
      <c r="Y10340" s="318"/>
      <c r="Z10340" s="318"/>
      <c r="AA10340" s="318"/>
      <c r="AB10340" s="318"/>
      <c r="AC10340" s="318"/>
      <c r="AD10340" s="318"/>
    </row>
    <row r="10341" spans="2:30" s="323" customFormat="1" ht="12" customHeight="1">
      <c r="B10341" s="324"/>
      <c r="C10341" s="325"/>
      <c r="D10341" s="326"/>
      <c r="E10341" s="326"/>
      <c r="F10341" s="326"/>
      <c r="G10341" s="326"/>
      <c r="H10341" s="326"/>
      <c r="P10341" s="318"/>
      <c r="Q10341" s="318"/>
      <c r="R10341" s="318"/>
      <c r="S10341" s="318"/>
      <c r="T10341" s="318"/>
      <c r="U10341" s="318"/>
      <c r="V10341" s="318"/>
      <c r="W10341" s="318"/>
      <c r="X10341" s="318"/>
      <c r="Y10341" s="318"/>
      <c r="Z10341" s="318"/>
      <c r="AA10341" s="318"/>
      <c r="AB10341" s="318"/>
      <c r="AC10341" s="318"/>
      <c r="AD10341" s="318"/>
    </row>
    <row r="10342" spans="2:30" s="323" customFormat="1" ht="12" customHeight="1">
      <c r="B10342" s="324"/>
      <c r="C10342" s="325"/>
      <c r="D10342" s="326"/>
      <c r="E10342" s="326"/>
      <c r="F10342" s="326"/>
      <c r="G10342" s="326"/>
      <c r="H10342" s="326"/>
      <c r="P10342" s="318"/>
      <c r="Q10342" s="318"/>
      <c r="R10342" s="318"/>
      <c r="S10342" s="318"/>
      <c r="T10342" s="318"/>
      <c r="U10342" s="318"/>
      <c r="V10342" s="318"/>
      <c r="W10342" s="318"/>
      <c r="X10342" s="318"/>
      <c r="Y10342" s="318"/>
      <c r="Z10342" s="318"/>
      <c r="AA10342" s="318"/>
      <c r="AB10342" s="318"/>
      <c r="AC10342" s="318"/>
      <c r="AD10342" s="318"/>
    </row>
    <row r="10343" spans="2:30" s="323" customFormat="1" ht="12" customHeight="1">
      <c r="B10343" s="324"/>
      <c r="C10343" s="325"/>
      <c r="D10343" s="326"/>
      <c r="E10343" s="326"/>
      <c r="F10343" s="326"/>
      <c r="G10343" s="326"/>
      <c r="H10343" s="326"/>
      <c r="P10343" s="318"/>
      <c r="Q10343" s="318"/>
      <c r="R10343" s="318"/>
      <c r="S10343" s="318"/>
      <c r="T10343" s="318"/>
      <c r="U10343" s="318"/>
      <c r="V10343" s="318"/>
      <c r="W10343" s="318"/>
      <c r="X10343" s="318"/>
      <c r="Y10343" s="318"/>
      <c r="Z10343" s="318"/>
      <c r="AA10343" s="318"/>
      <c r="AB10343" s="318"/>
      <c r="AC10343" s="318"/>
      <c r="AD10343" s="318"/>
    </row>
    <row r="10344" spans="2:30" s="323" customFormat="1" ht="12" customHeight="1">
      <c r="B10344" s="324"/>
      <c r="C10344" s="325"/>
      <c r="D10344" s="326"/>
      <c r="E10344" s="326"/>
      <c r="F10344" s="326"/>
      <c r="G10344" s="326"/>
      <c r="H10344" s="326"/>
      <c r="P10344" s="318"/>
      <c r="Q10344" s="318"/>
      <c r="R10344" s="318"/>
      <c r="S10344" s="318"/>
      <c r="T10344" s="318"/>
      <c r="U10344" s="318"/>
      <c r="V10344" s="318"/>
      <c r="W10344" s="318"/>
      <c r="X10344" s="318"/>
      <c r="Y10344" s="318"/>
      <c r="Z10344" s="318"/>
      <c r="AA10344" s="318"/>
      <c r="AB10344" s="318"/>
      <c r="AC10344" s="318"/>
      <c r="AD10344" s="318"/>
    </row>
    <row r="10345" spans="2:30" s="323" customFormat="1" ht="12" customHeight="1">
      <c r="B10345" s="324"/>
      <c r="C10345" s="325"/>
      <c r="D10345" s="326"/>
      <c r="E10345" s="326"/>
      <c r="F10345" s="326"/>
      <c r="G10345" s="326"/>
      <c r="H10345" s="326"/>
      <c r="P10345" s="318"/>
      <c r="Q10345" s="318"/>
      <c r="R10345" s="318"/>
      <c r="S10345" s="318"/>
      <c r="T10345" s="318"/>
      <c r="U10345" s="318"/>
      <c r="V10345" s="318"/>
      <c r="W10345" s="318"/>
      <c r="X10345" s="318"/>
      <c r="Y10345" s="318"/>
      <c r="Z10345" s="318"/>
      <c r="AA10345" s="318"/>
      <c r="AB10345" s="318"/>
      <c r="AC10345" s="318"/>
      <c r="AD10345" s="318"/>
    </row>
    <row r="10346" spans="2:30" s="323" customFormat="1" ht="12" customHeight="1">
      <c r="B10346" s="324"/>
      <c r="C10346" s="325"/>
      <c r="D10346" s="326"/>
      <c r="E10346" s="326"/>
      <c r="F10346" s="326"/>
      <c r="G10346" s="326"/>
      <c r="H10346" s="326"/>
      <c r="P10346" s="318"/>
      <c r="Q10346" s="318"/>
      <c r="R10346" s="318"/>
      <c r="S10346" s="318"/>
      <c r="T10346" s="318"/>
      <c r="U10346" s="318"/>
      <c r="V10346" s="318"/>
      <c r="W10346" s="318"/>
      <c r="X10346" s="318"/>
      <c r="Y10346" s="318"/>
      <c r="Z10346" s="318"/>
      <c r="AA10346" s="318"/>
      <c r="AB10346" s="318"/>
      <c r="AC10346" s="318"/>
      <c r="AD10346" s="318"/>
    </row>
    <row r="10347" spans="2:30" s="323" customFormat="1" ht="12" customHeight="1">
      <c r="B10347" s="324"/>
      <c r="C10347" s="325"/>
      <c r="D10347" s="326"/>
      <c r="E10347" s="326"/>
      <c r="F10347" s="326"/>
      <c r="G10347" s="326"/>
      <c r="H10347" s="326"/>
      <c r="P10347" s="318"/>
      <c r="Q10347" s="318"/>
      <c r="R10347" s="318"/>
      <c r="S10347" s="318"/>
      <c r="T10347" s="318"/>
      <c r="U10347" s="318"/>
      <c r="V10347" s="318"/>
      <c r="W10347" s="318"/>
      <c r="X10347" s="318"/>
      <c r="Y10347" s="318"/>
      <c r="Z10347" s="318"/>
      <c r="AA10347" s="318"/>
      <c r="AB10347" s="318"/>
      <c r="AC10347" s="318"/>
      <c r="AD10347" s="318"/>
    </row>
    <row r="10348" spans="2:30" s="323" customFormat="1" ht="12" customHeight="1">
      <c r="B10348" s="324"/>
      <c r="C10348" s="325"/>
      <c r="D10348" s="326"/>
      <c r="E10348" s="326"/>
      <c r="F10348" s="326"/>
      <c r="G10348" s="326"/>
      <c r="H10348" s="326"/>
      <c r="P10348" s="318"/>
      <c r="Q10348" s="318"/>
      <c r="R10348" s="318"/>
      <c r="S10348" s="318"/>
      <c r="T10348" s="318"/>
      <c r="U10348" s="318"/>
      <c r="V10348" s="318"/>
      <c r="W10348" s="318"/>
      <c r="X10348" s="318"/>
      <c r="Y10348" s="318"/>
      <c r="Z10348" s="318"/>
      <c r="AA10348" s="318"/>
      <c r="AB10348" s="318"/>
      <c r="AC10348" s="318"/>
      <c r="AD10348" s="318"/>
    </row>
    <row r="10349" spans="2:30" s="323" customFormat="1" ht="12" customHeight="1">
      <c r="B10349" s="324"/>
      <c r="C10349" s="325"/>
      <c r="D10349" s="326"/>
      <c r="E10349" s="326"/>
      <c r="F10349" s="326"/>
      <c r="G10349" s="326"/>
      <c r="H10349" s="326"/>
      <c r="P10349" s="318"/>
      <c r="Q10349" s="318"/>
      <c r="R10349" s="318"/>
      <c r="S10349" s="318"/>
      <c r="T10349" s="318"/>
      <c r="U10349" s="318"/>
      <c r="V10349" s="318"/>
      <c r="W10349" s="318"/>
      <c r="X10349" s="318"/>
      <c r="Y10349" s="318"/>
      <c r="Z10349" s="318"/>
      <c r="AA10349" s="318"/>
      <c r="AB10349" s="318"/>
      <c r="AC10349" s="318"/>
      <c r="AD10349" s="318"/>
    </row>
    <row r="10350" spans="2:30" s="323" customFormat="1" ht="12" customHeight="1">
      <c r="B10350" s="324"/>
      <c r="C10350" s="325"/>
      <c r="D10350" s="326"/>
      <c r="E10350" s="326"/>
      <c r="F10350" s="326"/>
      <c r="G10350" s="326"/>
      <c r="H10350" s="326"/>
      <c r="P10350" s="318"/>
      <c r="Q10350" s="318"/>
      <c r="R10350" s="318"/>
      <c r="S10350" s="318"/>
      <c r="T10350" s="318"/>
      <c r="U10350" s="318"/>
      <c r="V10350" s="318"/>
      <c r="W10350" s="318"/>
      <c r="X10350" s="318"/>
      <c r="Y10350" s="318"/>
      <c r="Z10350" s="318"/>
      <c r="AA10350" s="318"/>
      <c r="AB10350" s="318"/>
      <c r="AC10350" s="318"/>
      <c r="AD10350" s="318"/>
    </row>
    <row r="10351" spans="2:30" s="323" customFormat="1" ht="12" customHeight="1">
      <c r="B10351" s="324"/>
      <c r="C10351" s="325"/>
      <c r="D10351" s="326"/>
      <c r="E10351" s="326"/>
      <c r="F10351" s="326"/>
      <c r="G10351" s="326"/>
      <c r="H10351" s="326"/>
      <c r="P10351" s="318"/>
      <c r="Q10351" s="318"/>
      <c r="R10351" s="318"/>
      <c r="S10351" s="318"/>
      <c r="T10351" s="318"/>
      <c r="U10351" s="318"/>
      <c r="V10351" s="318"/>
      <c r="W10351" s="318"/>
      <c r="X10351" s="318"/>
      <c r="Y10351" s="318"/>
      <c r="Z10351" s="318"/>
      <c r="AA10351" s="318"/>
      <c r="AB10351" s="318"/>
      <c r="AC10351" s="318"/>
      <c r="AD10351" s="318"/>
    </row>
    <row r="10352" spans="2:30" s="323" customFormat="1" ht="12" customHeight="1">
      <c r="B10352" s="324"/>
      <c r="C10352" s="325"/>
      <c r="D10352" s="326"/>
      <c r="E10352" s="326"/>
      <c r="F10352" s="326"/>
      <c r="G10352" s="326"/>
      <c r="H10352" s="326"/>
      <c r="P10352" s="318"/>
      <c r="Q10352" s="318"/>
      <c r="R10352" s="318"/>
      <c r="S10352" s="318"/>
      <c r="T10352" s="318"/>
      <c r="U10352" s="318"/>
      <c r="V10352" s="318"/>
      <c r="W10352" s="318"/>
      <c r="X10352" s="318"/>
      <c r="Y10352" s="318"/>
      <c r="Z10352" s="318"/>
      <c r="AA10352" s="318"/>
      <c r="AB10352" s="318"/>
      <c r="AC10352" s="318"/>
      <c r="AD10352" s="318"/>
    </row>
    <row r="10353" spans="2:30" s="323" customFormat="1" ht="12" customHeight="1">
      <c r="B10353" s="324"/>
      <c r="C10353" s="325"/>
      <c r="D10353" s="326"/>
      <c r="E10353" s="326"/>
      <c r="F10353" s="326"/>
      <c r="G10353" s="326"/>
      <c r="H10353" s="326"/>
      <c r="P10353" s="318"/>
      <c r="Q10353" s="318"/>
      <c r="R10353" s="318"/>
      <c r="S10353" s="318"/>
      <c r="T10353" s="318"/>
      <c r="U10353" s="318"/>
      <c r="V10353" s="318"/>
      <c r="W10353" s="318"/>
      <c r="X10353" s="318"/>
      <c r="Y10353" s="318"/>
      <c r="Z10353" s="318"/>
      <c r="AA10353" s="318"/>
      <c r="AB10353" s="318"/>
      <c r="AC10353" s="318"/>
      <c r="AD10353" s="318"/>
    </row>
    <row r="10354" spans="2:30" s="323" customFormat="1" ht="12" customHeight="1">
      <c r="B10354" s="324"/>
      <c r="C10354" s="325"/>
      <c r="D10354" s="326"/>
      <c r="E10354" s="326"/>
      <c r="F10354" s="326"/>
      <c r="G10354" s="326"/>
      <c r="H10354" s="326"/>
      <c r="P10354" s="318"/>
      <c r="Q10354" s="318"/>
      <c r="R10354" s="318"/>
      <c r="S10354" s="318"/>
      <c r="T10354" s="318"/>
      <c r="U10354" s="318"/>
      <c r="V10354" s="318"/>
      <c r="W10354" s="318"/>
      <c r="X10354" s="318"/>
      <c r="Y10354" s="318"/>
      <c r="Z10354" s="318"/>
      <c r="AA10354" s="318"/>
      <c r="AB10354" s="318"/>
      <c r="AC10354" s="318"/>
      <c r="AD10354" s="318"/>
    </row>
    <row r="10355" spans="2:30" s="323" customFormat="1" ht="12" customHeight="1">
      <c r="B10355" s="324"/>
      <c r="C10355" s="325"/>
      <c r="D10355" s="326"/>
      <c r="E10355" s="326"/>
      <c r="F10355" s="326"/>
      <c r="G10355" s="326"/>
      <c r="H10355" s="326"/>
      <c r="P10355" s="318"/>
      <c r="Q10355" s="318"/>
      <c r="R10355" s="318"/>
      <c r="S10355" s="318"/>
      <c r="T10355" s="318"/>
      <c r="U10355" s="318"/>
      <c r="V10355" s="318"/>
      <c r="W10355" s="318"/>
      <c r="X10355" s="318"/>
      <c r="Y10355" s="318"/>
      <c r="Z10355" s="318"/>
      <c r="AA10355" s="318"/>
      <c r="AB10355" s="318"/>
      <c r="AC10355" s="318"/>
      <c r="AD10355" s="318"/>
    </row>
    <row r="10356" spans="2:30" s="323" customFormat="1" ht="12" customHeight="1">
      <c r="B10356" s="324"/>
      <c r="C10356" s="325"/>
      <c r="D10356" s="326"/>
      <c r="E10356" s="326"/>
      <c r="F10356" s="326"/>
      <c r="G10356" s="326"/>
      <c r="H10356" s="326"/>
      <c r="P10356" s="318"/>
      <c r="Q10356" s="318"/>
      <c r="R10356" s="318"/>
      <c r="S10356" s="318"/>
      <c r="T10356" s="318"/>
      <c r="U10356" s="318"/>
      <c r="V10356" s="318"/>
      <c r="W10356" s="318"/>
      <c r="X10356" s="318"/>
      <c r="Y10356" s="318"/>
      <c r="Z10356" s="318"/>
      <c r="AA10356" s="318"/>
      <c r="AB10356" s="318"/>
      <c r="AC10356" s="318"/>
      <c r="AD10356" s="318"/>
    </row>
    <row r="10357" spans="2:30" s="323" customFormat="1" ht="12" customHeight="1">
      <c r="B10357" s="324"/>
      <c r="C10357" s="325"/>
      <c r="D10357" s="326"/>
      <c r="E10357" s="326"/>
      <c r="F10357" s="326"/>
      <c r="G10357" s="326"/>
      <c r="H10357" s="326"/>
      <c r="P10357" s="318"/>
      <c r="Q10357" s="318"/>
      <c r="R10357" s="318"/>
      <c r="S10357" s="318"/>
      <c r="T10357" s="318"/>
      <c r="U10357" s="318"/>
      <c r="V10357" s="318"/>
      <c r="W10357" s="318"/>
      <c r="X10357" s="318"/>
      <c r="Y10357" s="318"/>
      <c r="Z10357" s="318"/>
      <c r="AA10357" s="318"/>
      <c r="AB10357" s="318"/>
      <c r="AC10357" s="318"/>
      <c r="AD10357" s="318"/>
    </row>
    <row r="10358" spans="2:30" s="323" customFormat="1" ht="12" customHeight="1">
      <c r="B10358" s="324"/>
      <c r="C10358" s="325"/>
      <c r="D10358" s="326"/>
      <c r="E10358" s="326"/>
      <c r="F10358" s="326"/>
      <c r="G10358" s="326"/>
      <c r="H10358" s="326"/>
      <c r="P10358" s="318"/>
      <c r="Q10358" s="318"/>
      <c r="R10358" s="318"/>
      <c r="S10358" s="318"/>
      <c r="T10358" s="318"/>
      <c r="U10358" s="318"/>
      <c r="V10358" s="318"/>
      <c r="W10358" s="318"/>
      <c r="X10358" s="318"/>
      <c r="Y10358" s="318"/>
      <c r="Z10358" s="318"/>
      <c r="AA10358" s="318"/>
      <c r="AB10358" s="318"/>
      <c r="AC10358" s="318"/>
      <c r="AD10358" s="318"/>
    </row>
    <row r="10359" spans="2:30" s="323" customFormat="1" ht="12" customHeight="1">
      <c r="B10359" s="324"/>
      <c r="C10359" s="325"/>
      <c r="D10359" s="326"/>
      <c r="E10359" s="326"/>
      <c r="F10359" s="326"/>
      <c r="G10359" s="326"/>
      <c r="H10359" s="326"/>
      <c r="P10359" s="318"/>
      <c r="Q10359" s="318"/>
      <c r="R10359" s="318"/>
      <c r="S10359" s="318"/>
      <c r="T10359" s="318"/>
      <c r="U10359" s="318"/>
      <c r="V10359" s="318"/>
      <c r="W10359" s="318"/>
      <c r="X10359" s="318"/>
      <c r="Y10359" s="318"/>
      <c r="Z10359" s="318"/>
      <c r="AA10359" s="318"/>
      <c r="AB10359" s="318"/>
      <c r="AC10359" s="318"/>
      <c r="AD10359" s="318"/>
    </row>
    <row r="10360" spans="2:30" s="323" customFormat="1" ht="12" customHeight="1">
      <c r="B10360" s="324"/>
      <c r="C10360" s="325"/>
      <c r="D10360" s="326"/>
      <c r="E10360" s="326"/>
      <c r="F10360" s="326"/>
      <c r="G10360" s="326"/>
      <c r="H10360" s="326"/>
      <c r="P10360" s="318"/>
      <c r="Q10360" s="318"/>
      <c r="R10360" s="318"/>
      <c r="S10360" s="318"/>
      <c r="T10360" s="318"/>
      <c r="U10360" s="318"/>
      <c r="V10360" s="318"/>
      <c r="W10360" s="318"/>
      <c r="X10360" s="318"/>
      <c r="Y10360" s="318"/>
      <c r="Z10360" s="318"/>
      <c r="AA10360" s="318"/>
      <c r="AB10360" s="318"/>
      <c r="AC10360" s="318"/>
      <c r="AD10360" s="318"/>
    </row>
    <row r="10361" spans="2:30" s="323" customFormat="1" ht="12" customHeight="1">
      <c r="B10361" s="324"/>
      <c r="C10361" s="325"/>
      <c r="D10361" s="326"/>
      <c r="E10361" s="326"/>
      <c r="F10361" s="326"/>
      <c r="G10361" s="326"/>
      <c r="H10361" s="326"/>
      <c r="P10361" s="318"/>
      <c r="Q10361" s="318"/>
      <c r="R10361" s="318"/>
      <c r="S10361" s="318"/>
      <c r="T10361" s="318"/>
      <c r="U10361" s="318"/>
      <c r="V10361" s="318"/>
      <c r="W10361" s="318"/>
      <c r="X10361" s="318"/>
      <c r="Y10361" s="318"/>
      <c r="Z10361" s="318"/>
      <c r="AA10361" s="318"/>
      <c r="AB10361" s="318"/>
      <c r="AC10361" s="318"/>
      <c r="AD10361" s="318"/>
    </row>
    <row r="10362" spans="2:30" s="323" customFormat="1" ht="12" customHeight="1">
      <c r="B10362" s="324"/>
      <c r="C10362" s="325"/>
      <c r="D10362" s="326"/>
      <c r="E10362" s="326"/>
      <c r="F10362" s="326"/>
      <c r="G10362" s="326"/>
      <c r="H10362" s="326"/>
      <c r="P10362" s="318"/>
      <c r="Q10362" s="318"/>
      <c r="R10362" s="318"/>
      <c r="S10362" s="318"/>
      <c r="T10362" s="318"/>
      <c r="U10362" s="318"/>
      <c r="V10362" s="318"/>
      <c r="W10362" s="318"/>
      <c r="X10362" s="318"/>
      <c r="Y10362" s="318"/>
      <c r="Z10362" s="318"/>
      <c r="AA10362" s="318"/>
      <c r="AB10362" s="318"/>
      <c r="AC10362" s="318"/>
      <c r="AD10362" s="318"/>
    </row>
    <row r="10363" spans="2:30" s="323" customFormat="1" ht="12" customHeight="1">
      <c r="B10363" s="324"/>
      <c r="C10363" s="325"/>
      <c r="D10363" s="326"/>
      <c r="E10363" s="326"/>
      <c r="F10363" s="326"/>
      <c r="G10363" s="326"/>
      <c r="H10363" s="326"/>
      <c r="P10363" s="318"/>
      <c r="Q10363" s="318"/>
      <c r="R10363" s="318"/>
      <c r="S10363" s="318"/>
      <c r="T10363" s="318"/>
      <c r="U10363" s="318"/>
      <c r="V10363" s="318"/>
      <c r="W10363" s="318"/>
      <c r="X10363" s="318"/>
      <c r="Y10363" s="318"/>
      <c r="Z10363" s="318"/>
      <c r="AA10363" s="318"/>
      <c r="AB10363" s="318"/>
      <c r="AC10363" s="318"/>
      <c r="AD10363" s="318"/>
    </row>
    <row r="10364" spans="2:30" s="323" customFormat="1" ht="12" customHeight="1">
      <c r="B10364" s="324"/>
      <c r="C10364" s="325"/>
      <c r="D10364" s="326"/>
      <c r="E10364" s="326"/>
      <c r="F10364" s="326"/>
      <c r="G10364" s="326"/>
      <c r="H10364" s="326"/>
      <c r="P10364" s="318"/>
      <c r="Q10364" s="318"/>
      <c r="R10364" s="318"/>
      <c r="S10364" s="318"/>
      <c r="T10364" s="318"/>
      <c r="U10364" s="318"/>
      <c r="V10364" s="318"/>
      <c r="W10364" s="318"/>
      <c r="X10364" s="318"/>
      <c r="Y10364" s="318"/>
      <c r="Z10364" s="318"/>
      <c r="AA10364" s="318"/>
      <c r="AB10364" s="318"/>
      <c r="AC10364" s="318"/>
      <c r="AD10364" s="318"/>
    </row>
    <row r="10365" spans="2:30" s="323" customFormat="1" ht="12" customHeight="1">
      <c r="B10365" s="324"/>
      <c r="C10365" s="325"/>
      <c r="D10365" s="326"/>
      <c r="E10365" s="326"/>
      <c r="F10365" s="326"/>
      <c r="G10365" s="326"/>
      <c r="H10365" s="326"/>
      <c r="P10365" s="318"/>
      <c r="Q10365" s="318"/>
      <c r="R10365" s="318"/>
      <c r="S10365" s="318"/>
      <c r="T10365" s="318"/>
      <c r="U10365" s="318"/>
      <c r="V10365" s="318"/>
      <c r="W10365" s="318"/>
      <c r="X10365" s="318"/>
      <c r="Y10365" s="318"/>
      <c r="Z10365" s="318"/>
      <c r="AA10365" s="318"/>
      <c r="AB10365" s="318"/>
      <c r="AC10365" s="318"/>
      <c r="AD10365" s="318"/>
    </row>
    <row r="10366" spans="2:30" s="323" customFormat="1" ht="12" customHeight="1">
      <c r="B10366" s="324"/>
      <c r="C10366" s="325"/>
      <c r="D10366" s="326"/>
      <c r="E10366" s="326"/>
      <c r="F10366" s="326"/>
      <c r="G10366" s="326"/>
      <c r="H10366" s="326"/>
      <c r="P10366" s="318"/>
      <c r="Q10366" s="318"/>
      <c r="R10366" s="318"/>
      <c r="S10366" s="318"/>
      <c r="T10366" s="318"/>
      <c r="U10366" s="318"/>
      <c r="V10366" s="318"/>
      <c r="W10366" s="318"/>
      <c r="X10366" s="318"/>
      <c r="Y10366" s="318"/>
      <c r="Z10366" s="318"/>
      <c r="AA10366" s="318"/>
      <c r="AB10366" s="318"/>
      <c r="AC10366" s="318"/>
      <c r="AD10366" s="318"/>
    </row>
    <row r="10367" spans="2:30" s="323" customFormat="1" ht="12" customHeight="1">
      <c r="B10367" s="324"/>
      <c r="C10367" s="325"/>
      <c r="D10367" s="326"/>
      <c r="E10367" s="326"/>
      <c r="F10367" s="326"/>
      <c r="G10367" s="326"/>
      <c r="H10367" s="326"/>
      <c r="P10367" s="318"/>
      <c r="Q10367" s="318"/>
      <c r="R10367" s="318"/>
      <c r="S10367" s="318"/>
      <c r="T10367" s="318"/>
      <c r="U10367" s="318"/>
      <c r="V10367" s="318"/>
      <c r="W10367" s="318"/>
      <c r="X10367" s="318"/>
      <c r="Y10367" s="318"/>
      <c r="Z10367" s="318"/>
      <c r="AA10367" s="318"/>
      <c r="AB10367" s="318"/>
      <c r="AC10367" s="318"/>
      <c r="AD10367" s="318"/>
    </row>
    <row r="10368" spans="2:30" s="323" customFormat="1" ht="12" customHeight="1">
      <c r="B10368" s="324"/>
      <c r="C10368" s="325"/>
      <c r="D10368" s="326"/>
      <c r="E10368" s="326"/>
      <c r="F10368" s="326"/>
      <c r="G10368" s="326"/>
      <c r="H10368" s="326"/>
      <c r="P10368" s="318"/>
      <c r="Q10368" s="318"/>
      <c r="R10368" s="318"/>
      <c r="S10368" s="318"/>
      <c r="T10368" s="318"/>
      <c r="U10368" s="318"/>
      <c r="V10368" s="318"/>
      <c r="W10368" s="318"/>
      <c r="X10368" s="318"/>
      <c r="Y10368" s="318"/>
      <c r="Z10368" s="318"/>
      <c r="AA10368" s="318"/>
      <c r="AB10368" s="318"/>
      <c r="AC10368" s="318"/>
      <c r="AD10368" s="318"/>
    </row>
    <row r="10369" spans="2:30" s="323" customFormat="1" ht="12" customHeight="1">
      <c r="B10369" s="324"/>
      <c r="C10369" s="325"/>
      <c r="D10369" s="326"/>
      <c r="E10369" s="326"/>
      <c r="F10369" s="326"/>
      <c r="G10369" s="326"/>
      <c r="H10369" s="326"/>
      <c r="P10369" s="318"/>
      <c r="Q10369" s="318"/>
      <c r="R10369" s="318"/>
      <c r="S10369" s="318"/>
      <c r="T10369" s="318"/>
      <c r="U10369" s="318"/>
      <c r="V10369" s="318"/>
      <c r="W10369" s="318"/>
      <c r="X10369" s="318"/>
      <c r="Y10369" s="318"/>
      <c r="Z10369" s="318"/>
      <c r="AA10369" s="318"/>
      <c r="AB10369" s="318"/>
      <c r="AC10369" s="318"/>
      <c r="AD10369" s="318"/>
    </row>
    <row r="10370" spans="2:30" s="323" customFormat="1" ht="12" customHeight="1">
      <c r="B10370" s="324"/>
      <c r="C10370" s="325"/>
      <c r="D10370" s="326"/>
      <c r="E10370" s="326"/>
      <c r="F10370" s="326"/>
      <c r="G10370" s="326"/>
      <c r="H10370" s="326"/>
      <c r="P10370" s="318"/>
      <c r="Q10370" s="318"/>
      <c r="R10370" s="318"/>
      <c r="S10370" s="318"/>
      <c r="T10370" s="318"/>
      <c r="U10370" s="318"/>
      <c r="V10370" s="318"/>
      <c r="W10370" s="318"/>
      <c r="X10370" s="318"/>
      <c r="Y10370" s="318"/>
      <c r="Z10370" s="318"/>
      <c r="AA10370" s="318"/>
      <c r="AB10370" s="318"/>
      <c r="AC10370" s="318"/>
      <c r="AD10370" s="318"/>
    </row>
    <row r="10371" spans="2:30" s="323" customFormat="1" ht="12" customHeight="1">
      <c r="B10371" s="324"/>
      <c r="C10371" s="325"/>
      <c r="D10371" s="326"/>
      <c r="E10371" s="326"/>
      <c r="F10371" s="326"/>
      <c r="G10371" s="326"/>
      <c r="H10371" s="326"/>
      <c r="P10371" s="318"/>
      <c r="Q10371" s="318"/>
      <c r="R10371" s="318"/>
      <c r="S10371" s="318"/>
      <c r="T10371" s="318"/>
      <c r="U10371" s="318"/>
      <c r="V10371" s="318"/>
      <c r="W10371" s="318"/>
      <c r="X10371" s="318"/>
      <c r="Y10371" s="318"/>
      <c r="Z10371" s="318"/>
      <c r="AA10371" s="318"/>
      <c r="AB10371" s="318"/>
      <c r="AC10371" s="318"/>
      <c r="AD10371" s="318"/>
    </row>
    <row r="10372" spans="2:30" s="323" customFormat="1" ht="12" customHeight="1">
      <c r="B10372" s="324"/>
      <c r="C10372" s="325"/>
      <c r="D10372" s="326"/>
      <c r="E10372" s="326"/>
      <c r="F10372" s="326"/>
      <c r="G10372" s="326"/>
      <c r="H10372" s="326"/>
      <c r="P10372" s="318"/>
      <c r="Q10372" s="318"/>
      <c r="R10372" s="318"/>
      <c r="S10372" s="318"/>
      <c r="T10372" s="318"/>
      <c r="U10372" s="318"/>
      <c r="V10372" s="318"/>
      <c r="W10372" s="318"/>
      <c r="X10372" s="318"/>
      <c r="Y10372" s="318"/>
      <c r="Z10372" s="318"/>
      <c r="AA10372" s="318"/>
      <c r="AB10372" s="318"/>
      <c r="AC10372" s="318"/>
      <c r="AD10372" s="318"/>
    </row>
    <row r="10373" spans="2:30" s="323" customFormat="1" ht="12" customHeight="1">
      <c r="B10373" s="324"/>
      <c r="C10373" s="325"/>
      <c r="D10373" s="326"/>
      <c r="E10373" s="326"/>
      <c r="F10373" s="326"/>
      <c r="G10373" s="326"/>
      <c r="H10373" s="326"/>
      <c r="P10373" s="318"/>
      <c r="Q10373" s="318"/>
      <c r="R10373" s="318"/>
      <c r="S10373" s="318"/>
      <c r="T10373" s="318"/>
      <c r="U10373" s="318"/>
      <c r="V10373" s="318"/>
      <c r="W10373" s="318"/>
      <c r="X10373" s="318"/>
      <c r="Y10373" s="318"/>
      <c r="Z10373" s="318"/>
      <c r="AA10373" s="318"/>
      <c r="AB10373" s="318"/>
      <c r="AC10373" s="318"/>
      <c r="AD10373" s="318"/>
    </row>
    <row r="10374" spans="2:30" s="323" customFormat="1" ht="12" customHeight="1">
      <c r="B10374" s="324"/>
      <c r="C10374" s="325"/>
      <c r="D10374" s="326"/>
      <c r="E10374" s="326"/>
      <c r="F10374" s="326"/>
      <c r="G10374" s="326"/>
      <c r="H10374" s="326"/>
      <c r="P10374" s="318"/>
      <c r="Q10374" s="318"/>
      <c r="R10374" s="318"/>
      <c r="S10374" s="318"/>
      <c r="T10374" s="318"/>
      <c r="U10374" s="318"/>
      <c r="V10374" s="318"/>
      <c r="W10374" s="318"/>
      <c r="X10374" s="318"/>
      <c r="Y10374" s="318"/>
      <c r="Z10374" s="318"/>
      <c r="AA10374" s="318"/>
      <c r="AB10374" s="318"/>
      <c r="AC10374" s="318"/>
      <c r="AD10374" s="318"/>
    </row>
    <row r="10375" spans="2:30" s="323" customFormat="1" ht="12" customHeight="1">
      <c r="B10375" s="324"/>
      <c r="C10375" s="325"/>
      <c r="D10375" s="326"/>
      <c r="E10375" s="326"/>
      <c r="F10375" s="326"/>
      <c r="G10375" s="326"/>
      <c r="H10375" s="326"/>
      <c r="P10375" s="318"/>
      <c r="Q10375" s="318"/>
      <c r="R10375" s="318"/>
      <c r="S10375" s="318"/>
      <c r="T10375" s="318"/>
      <c r="U10375" s="318"/>
      <c r="V10375" s="318"/>
      <c r="W10375" s="318"/>
      <c r="X10375" s="318"/>
      <c r="Y10375" s="318"/>
      <c r="Z10375" s="318"/>
      <c r="AA10375" s="318"/>
      <c r="AB10375" s="318"/>
      <c r="AC10375" s="318"/>
      <c r="AD10375" s="318"/>
    </row>
    <row r="10376" spans="2:30" s="323" customFormat="1" ht="12" customHeight="1">
      <c r="B10376" s="324"/>
      <c r="C10376" s="325"/>
      <c r="D10376" s="326"/>
      <c r="E10376" s="326"/>
      <c r="F10376" s="326"/>
      <c r="G10376" s="326"/>
      <c r="H10376" s="326"/>
      <c r="P10376" s="318"/>
      <c r="Q10376" s="318"/>
      <c r="R10376" s="318"/>
      <c r="S10376" s="318"/>
      <c r="T10376" s="318"/>
      <c r="U10376" s="318"/>
      <c r="V10376" s="318"/>
      <c r="W10376" s="318"/>
      <c r="X10376" s="318"/>
      <c r="Y10376" s="318"/>
      <c r="Z10376" s="318"/>
      <c r="AA10376" s="318"/>
      <c r="AB10376" s="318"/>
      <c r="AC10376" s="318"/>
      <c r="AD10376" s="318"/>
    </row>
    <row r="10377" spans="2:30" s="323" customFormat="1" ht="12" customHeight="1">
      <c r="B10377" s="324"/>
      <c r="C10377" s="325"/>
      <c r="D10377" s="326"/>
      <c r="E10377" s="326"/>
      <c r="F10377" s="326"/>
      <c r="G10377" s="326"/>
      <c r="H10377" s="326"/>
      <c r="P10377" s="318"/>
      <c r="Q10377" s="318"/>
      <c r="R10377" s="318"/>
      <c r="S10377" s="318"/>
      <c r="T10377" s="318"/>
      <c r="U10377" s="318"/>
      <c r="V10377" s="318"/>
      <c r="W10377" s="318"/>
      <c r="X10377" s="318"/>
      <c r="Y10377" s="318"/>
      <c r="Z10377" s="318"/>
      <c r="AA10377" s="318"/>
      <c r="AB10377" s="318"/>
      <c r="AC10377" s="318"/>
      <c r="AD10377" s="318"/>
    </row>
    <row r="10378" spans="2:30" s="323" customFormat="1" ht="12" customHeight="1">
      <c r="B10378" s="324"/>
      <c r="C10378" s="325"/>
      <c r="D10378" s="326"/>
      <c r="E10378" s="326"/>
      <c r="F10378" s="326"/>
      <c r="G10378" s="326"/>
      <c r="H10378" s="326"/>
      <c r="P10378" s="318"/>
      <c r="Q10378" s="318"/>
      <c r="R10378" s="318"/>
      <c r="S10378" s="318"/>
      <c r="T10378" s="318"/>
      <c r="U10378" s="318"/>
      <c r="V10378" s="318"/>
      <c r="W10378" s="318"/>
      <c r="X10378" s="318"/>
      <c r="Y10378" s="318"/>
      <c r="Z10378" s="318"/>
      <c r="AA10378" s="318"/>
      <c r="AB10378" s="318"/>
      <c r="AC10378" s="318"/>
      <c r="AD10378" s="318"/>
    </row>
    <row r="10379" spans="2:30" s="323" customFormat="1" ht="12" customHeight="1">
      <c r="B10379" s="324"/>
      <c r="C10379" s="325"/>
      <c r="D10379" s="326"/>
      <c r="E10379" s="326"/>
      <c r="F10379" s="326"/>
      <c r="G10379" s="326"/>
      <c r="H10379" s="326"/>
      <c r="P10379" s="318"/>
      <c r="Q10379" s="318"/>
      <c r="R10379" s="318"/>
      <c r="S10379" s="318"/>
      <c r="T10379" s="318"/>
      <c r="U10379" s="318"/>
      <c r="V10379" s="318"/>
      <c r="W10379" s="318"/>
      <c r="X10379" s="318"/>
      <c r="Y10379" s="318"/>
      <c r="Z10379" s="318"/>
      <c r="AA10379" s="318"/>
      <c r="AB10379" s="318"/>
      <c r="AC10379" s="318"/>
      <c r="AD10379" s="318"/>
    </row>
    <row r="10380" spans="2:30" s="323" customFormat="1" ht="12" customHeight="1">
      <c r="B10380" s="324"/>
      <c r="C10380" s="325"/>
      <c r="D10380" s="326"/>
      <c r="E10380" s="326"/>
      <c r="F10380" s="326"/>
      <c r="G10380" s="326"/>
      <c r="H10380" s="326"/>
      <c r="P10380" s="318"/>
      <c r="Q10380" s="318"/>
      <c r="R10380" s="318"/>
      <c r="S10380" s="318"/>
      <c r="T10380" s="318"/>
      <c r="U10380" s="318"/>
      <c r="V10380" s="318"/>
      <c r="W10380" s="318"/>
      <c r="X10380" s="318"/>
      <c r="Y10380" s="318"/>
      <c r="Z10380" s="318"/>
      <c r="AA10380" s="318"/>
      <c r="AB10380" s="318"/>
      <c r="AC10380" s="318"/>
      <c r="AD10380" s="318"/>
    </row>
    <row r="10381" spans="2:30" s="323" customFormat="1" ht="12" customHeight="1">
      <c r="B10381" s="324"/>
      <c r="C10381" s="325"/>
      <c r="D10381" s="326"/>
      <c r="E10381" s="326"/>
      <c r="F10381" s="326"/>
      <c r="G10381" s="326"/>
      <c r="H10381" s="326"/>
      <c r="P10381" s="318"/>
      <c r="Q10381" s="318"/>
      <c r="R10381" s="318"/>
      <c r="S10381" s="318"/>
      <c r="T10381" s="318"/>
      <c r="U10381" s="318"/>
      <c r="V10381" s="318"/>
      <c r="W10381" s="318"/>
      <c r="X10381" s="318"/>
      <c r="Y10381" s="318"/>
      <c r="Z10381" s="318"/>
      <c r="AA10381" s="318"/>
      <c r="AB10381" s="318"/>
      <c r="AC10381" s="318"/>
      <c r="AD10381" s="318"/>
    </row>
    <row r="10382" spans="2:30" s="323" customFormat="1" ht="12" customHeight="1">
      <c r="B10382" s="324"/>
      <c r="C10382" s="325"/>
      <c r="D10382" s="326"/>
      <c r="E10382" s="326"/>
      <c r="F10382" s="326"/>
      <c r="G10382" s="326"/>
      <c r="H10382" s="326"/>
      <c r="P10382" s="318"/>
      <c r="Q10382" s="318"/>
      <c r="R10382" s="318"/>
      <c r="S10382" s="318"/>
      <c r="T10382" s="318"/>
      <c r="U10382" s="318"/>
      <c r="V10382" s="318"/>
      <c r="W10382" s="318"/>
      <c r="X10382" s="318"/>
      <c r="Y10382" s="318"/>
      <c r="Z10382" s="318"/>
      <c r="AA10382" s="318"/>
      <c r="AB10382" s="318"/>
      <c r="AC10382" s="318"/>
      <c r="AD10382" s="318"/>
    </row>
    <row r="10383" spans="2:30" s="323" customFormat="1" ht="12" customHeight="1">
      <c r="B10383" s="324"/>
      <c r="C10383" s="325"/>
      <c r="D10383" s="326"/>
      <c r="E10383" s="326"/>
      <c r="F10383" s="326"/>
      <c r="G10383" s="326"/>
      <c r="H10383" s="326"/>
      <c r="P10383" s="318"/>
      <c r="Q10383" s="318"/>
      <c r="R10383" s="318"/>
      <c r="S10383" s="318"/>
      <c r="T10383" s="318"/>
      <c r="U10383" s="318"/>
      <c r="V10383" s="318"/>
      <c r="W10383" s="318"/>
      <c r="X10383" s="318"/>
      <c r="Y10383" s="318"/>
      <c r="Z10383" s="318"/>
      <c r="AA10383" s="318"/>
      <c r="AB10383" s="318"/>
      <c r="AC10383" s="318"/>
      <c r="AD10383" s="318"/>
    </row>
    <row r="10384" spans="2:30" s="323" customFormat="1" ht="12" customHeight="1">
      <c r="B10384" s="324"/>
      <c r="C10384" s="325"/>
      <c r="D10384" s="326"/>
      <c r="E10384" s="326"/>
      <c r="F10384" s="326"/>
      <c r="G10384" s="326"/>
      <c r="H10384" s="326"/>
      <c r="P10384" s="318"/>
      <c r="Q10384" s="318"/>
      <c r="R10384" s="318"/>
      <c r="S10384" s="318"/>
      <c r="T10384" s="318"/>
      <c r="U10384" s="318"/>
      <c r="V10384" s="318"/>
      <c r="W10384" s="318"/>
      <c r="X10384" s="318"/>
      <c r="Y10384" s="318"/>
      <c r="Z10384" s="318"/>
      <c r="AA10384" s="318"/>
      <c r="AB10384" s="318"/>
      <c r="AC10384" s="318"/>
      <c r="AD10384" s="318"/>
    </row>
    <row r="10385" spans="2:30" s="323" customFormat="1" ht="12" customHeight="1">
      <c r="B10385" s="324"/>
      <c r="C10385" s="325"/>
      <c r="D10385" s="326"/>
      <c r="E10385" s="326"/>
      <c r="F10385" s="326"/>
      <c r="G10385" s="326"/>
      <c r="H10385" s="326"/>
      <c r="P10385" s="318"/>
      <c r="Q10385" s="318"/>
      <c r="R10385" s="318"/>
      <c r="S10385" s="318"/>
      <c r="T10385" s="318"/>
      <c r="U10385" s="318"/>
      <c r="V10385" s="318"/>
      <c r="W10385" s="318"/>
      <c r="X10385" s="318"/>
      <c r="Y10385" s="318"/>
      <c r="Z10385" s="318"/>
      <c r="AA10385" s="318"/>
      <c r="AB10385" s="318"/>
      <c r="AC10385" s="318"/>
      <c r="AD10385" s="318"/>
    </row>
    <row r="10386" spans="2:30" s="323" customFormat="1" ht="12" customHeight="1">
      <c r="B10386" s="324"/>
      <c r="C10386" s="325"/>
      <c r="D10386" s="326"/>
      <c r="E10386" s="326"/>
      <c r="F10386" s="326"/>
      <c r="G10386" s="326"/>
      <c r="H10386" s="326"/>
      <c r="P10386" s="318"/>
      <c r="Q10386" s="318"/>
      <c r="R10386" s="318"/>
      <c r="S10386" s="318"/>
      <c r="T10386" s="318"/>
      <c r="U10386" s="318"/>
      <c r="V10386" s="318"/>
      <c r="W10386" s="318"/>
      <c r="X10386" s="318"/>
      <c r="Y10386" s="318"/>
      <c r="Z10386" s="318"/>
      <c r="AA10386" s="318"/>
      <c r="AB10386" s="318"/>
      <c r="AC10386" s="318"/>
      <c r="AD10386" s="318"/>
    </row>
    <row r="10387" spans="2:30" s="323" customFormat="1" ht="12" customHeight="1">
      <c r="B10387" s="324"/>
      <c r="C10387" s="325"/>
      <c r="D10387" s="326"/>
      <c r="E10387" s="326"/>
      <c r="F10387" s="326"/>
      <c r="G10387" s="326"/>
      <c r="H10387" s="326"/>
      <c r="P10387" s="318"/>
      <c r="Q10387" s="318"/>
      <c r="R10387" s="318"/>
      <c r="S10387" s="318"/>
      <c r="T10387" s="318"/>
      <c r="U10387" s="318"/>
      <c r="V10387" s="318"/>
      <c r="W10387" s="318"/>
      <c r="X10387" s="318"/>
      <c r="Y10387" s="318"/>
      <c r="Z10387" s="318"/>
      <c r="AA10387" s="318"/>
      <c r="AB10387" s="318"/>
      <c r="AC10387" s="318"/>
      <c r="AD10387" s="318"/>
    </row>
    <row r="10388" spans="2:30" s="323" customFormat="1" ht="12" customHeight="1">
      <c r="B10388" s="324"/>
      <c r="C10388" s="325"/>
      <c r="D10388" s="326"/>
      <c r="E10388" s="326"/>
      <c r="F10388" s="326"/>
      <c r="G10388" s="326"/>
      <c r="H10388" s="326"/>
      <c r="P10388" s="318"/>
      <c r="Q10388" s="318"/>
      <c r="R10388" s="318"/>
      <c r="S10388" s="318"/>
      <c r="T10388" s="318"/>
      <c r="U10388" s="318"/>
      <c r="V10388" s="318"/>
      <c r="W10388" s="318"/>
      <c r="X10388" s="318"/>
      <c r="Y10388" s="318"/>
      <c r="Z10388" s="318"/>
      <c r="AA10388" s="318"/>
      <c r="AB10388" s="318"/>
      <c r="AC10388" s="318"/>
      <c r="AD10388" s="318"/>
    </row>
    <row r="10389" spans="2:30" s="323" customFormat="1" ht="12" customHeight="1">
      <c r="B10389" s="324"/>
      <c r="C10389" s="325"/>
      <c r="D10389" s="326"/>
      <c r="E10389" s="326"/>
      <c r="F10389" s="326"/>
      <c r="G10389" s="326"/>
      <c r="H10389" s="326"/>
      <c r="P10389" s="318"/>
      <c r="Q10389" s="318"/>
      <c r="R10389" s="318"/>
      <c r="S10389" s="318"/>
      <c r="T10389" s="318"/>
      <c r="U10389" s="318"/>
      <c r="V10389" s="318"/>
      <c r="W10389" s="318"/>
      <c r="X10389" s="318"/>
      <c r="Y10389" s="318"/>
      <c r="Z10389" s="318"/>
      <c r="AA10389" s="318"/>
      <c r="AB10389" s="318"/>
      <c r="AC10389" s="318"/>
      <c r="AD10389" s="318"/>
    </row>
    <row r="10390" spans="2:30" s="323" customFormat="1" ht="12" customHeight="1">
      <c r="B10390" s="324"/>
      <c r="C10390" s="325"/>
      <c r="D10390" s="326"/>
      <c r="E10390" s="326"/>
      <c r="F10390" s="326"/>
      <c r="G10390" s="326"/>
      <c r="H10390" s="326"/>
      <c r="P10390" s="318"/>
      <c r="Q10390" s="318"/>
      <c r="R10390" s="318"/>
      <c r="S10390" s="318"/>
      <c r="T10390" s="318"/>
      <c r="U10390" s="318"/>
      <c r="V10390" s="318"/>
      <c r="W10390" s="318"/>
      <c r="X10390" s="318"/>
      <c r="Y10390" s="318"/>
      <c r="Z10390" s="318"/>
      <c r="AA10390" s="318"/>
      <c r="AB10390" s="318"/>
      <c r="AC10390" s="318"/>
      <c r="AD10390" s="318"/>
    </row>
    <row r="10391" spans="2:30" s="323" customFormat="1" ht="12" customHeight="1">
      <c r="B10391" s="324"/>
      <c r="C10391" s="325"/>
      <c r="D10391" s="326"/>
      <c r="E10391" s="326"/>
      <c r="F10391" s="326"/>
      <c r="G10391" s="326"/>
      <c r="H10391" s="326"/>
      <c r="P10391" s="318"/>
      <c r="Q10391" s="318"/>
      <c r="R10391" s="318"/>
      <c r="S10391" s="318"/>
      <c r="T10391" s="318"/>
      <c r="U10391" s="318"/>
      <c r="V10391" s="318"/>
      <c r="W10391" s="318"/>
      <c r="X10391" s="318"/>
      <c r="Y10391" s="318"/>
      <c r="Z10391" s="318"/>
      <c r="AA10391" s="318"/>
      <c r="AB10391" s="318"/>
      <c r="AC10391" s="318"/>
      <c r="AD10391" s="318"/>
    </row>
    <row r="10392" spans="2:30" s="323" customFormat="1" ht="12" customHeight="1">
      <c r="B10392" s="324"/>
      <c r="C10392" s="325"/>
      <c r="D10392" s="326"/>
      <c r="E10392" s="326"/>
      <c r="F10392" s="326"/>
      <c r="G10392" s="326"/>
      <c r="H10392" s="326"/>
      <c r="P10392" s="318"/>
      <c r="Q10392" s="318"/>
      <c r="R10392" s="318"/>
      <c r="S10392" s="318"/>
      <c r="T10392" s="318"/>
      <c r="U10392" s="318"/>
      <c r="V10392" s="318"/>
      <c r="W10392" s="318"/>
      <c r="X10392" s="318"/>
      <c r="Y10392" s="318"/>
      <c r="Z10392" s="318"/>
      <c r="AA10392" s="318"/>
      <c r="AB10392" s="318"/>
      <c r="AC10392" s="318"/>
      <c r="AD10392" s="318"/>
    </row>
    <row r="10393" spans="2:30" s="323" customFormat="1" ht="12" customHeight="1">
      <c r="B10393" s="324"/>
      <c r="C10393" s="325"/>
      <c r="D10393" s="326"/>
      <c r="E10393" s="326"/>
      <c r="F10393" s="326"/>
      <c r="G10393" s="326"/>
      <c r="H10393" s="326"/>
      <c r="P10393" s="318"/>
      <c r="Q10393" s="318"/>
      <c r="R10393" s="318"/>
      <c r="S10393" s="318"/>
      <c r="T10393" s="318"/>
      <c r="U10393" s="318"/>
      <c r="V10393" s="318"/>
      <c r="W10393" s="318"/>
      <c r="X10393" s="318"/>
      <c r="Y10393" s="318"/>
      <c r="Z10393" s="318"/>
      <c r="AA10393" s="318"/>
      <c r="AB10393" s="318"/>
      <c r="AC10393" s="318"/>
      <c r="AD10393" s="318"/>
    </row>
    <row r="10394" spans="2:30" s="323" customFormat="1" ht="12" customHeight="1">
      <c r="B10394" s="324"/>
      <c r="C10394" s="325"/>
      <c r="D10394" s="326"/>
      <c r="E10394" s="326"/>
      <c r="F10394" s="326"/>
      <c r="G10394" s="326"/>
      <c r="H10394" s="326"/>
      <c r="P10394" s="318"/>
      <c r="Q10394" s="318"/>
      <c r="R10394" s="318"/>
      <c r="S10394" s="318"/>
      <c r="T10394" s="318"/>
      <c r="U10394" s="318"/>
      <c r="V10394" s="318"/>
      <c r="W10394" s="318"/>
      <c r="X10394" s="318"/>
      <c r="Y10394" s="318"/>
      <c r="Z10394" s="318"/>
      <c r="AA10394" s="318"/>
      <c r="AB10394" s="318"/>
      <c r="AC10394" s="318"/>
      <c r="AD10394" s="318"/>
    </row>
    <row r="10395" spans="2:30" s="323" customFormat="1" ht="12" customHeight="1">
      <c r="B10395" s="324"/>
      <c r="C10395" s="325"/>
      <c r="D10395" s="326"/>
      <c r="E10395" s="326"/>
      <c r="F10395" s="326"/>
      <c r="G10395" s="326"/>
      <c r="H10395" s="326"/>
      <c r="P10395" s="318"/>
      <c r="Q10395" s="318"/>
      <c r="R10395" s="318"/>
      <c r="S10395" s="318"/>
      <c r="T10395" s="318"/>
      <c r="U10395" s="318"/>
      <c r="V10395" s="318"/>
      <c r="W10395" s="318"/>
      <c r="X10395" s="318"/>
      <c r="Y10395" s="318"/>
      <c r="Z10395" s="318"/>
      <c r="AA10395" s="318"/>
      <c r="AB10395" s="318"/>
      <c r="AC10395" s="318"/>
      <c r="AD10395" s="318"/>
    </row>
    <row r="10396" spans="2:30" s="323" customFormat="1" ht="12" customHeight="1">
      <c r="B10396" s="324"/>
      <c r="C10396" s="325"/>
      <c r="D10396" s="326"/>
      <c r="E10396" s="326"/>
      <c r="F10396" s="326"/>
      <c r="G10396" s="326"/>
      <c r="H10396" s="326"/>
      <c r="P10396" s="318"/>
      <c r="Q10396" s="318"/>
      <c r="R10396" s="318"/>
      <c r="S10396" s="318"/>
      <c r="T10396" s="318"/>
      <c r="U10396" s="318"/>
      <c r="V10396" s="318"/>
      <c r="W10396" s="318"/>
      <c r="X10396" s="318"/>
      <c r="Y10396" s="318"/>
      <c r="Z10396" s="318"/>
      <c r="AA10396" s="318"/>
      <c r="AB10396" s="318"/>
      <c r="AC10396" s="318"/>
      <c r="AD10396" s="318"/>
    </row>
    <row r="10397" spans="2:30" s="323" customFormat="1" ht="12" customHeight="1">
      <c r="B10397" s="324"/>
      <c r="C10397" s="325"/>
      <c r="D10397" s="326"/>
      <c r="E10397" s="326"/>
      <c r="F10397" s="326"/>
      <c r="G10397" s="326"/>
      <c r="H10397" s="326"/>
      <c r="P10397" s="318"/>
      <c r="Q10397" s="318"/>
      <c r="R10397" s="318"/>
      <c r="S10397" s="318"/>
      <c r="T10397" s="318"/>
      <c r="U10397" s="318"/>
      <c r="V10397" s="318"/>
      <c r="W10397" s="318"/>
      <c r="X10397" s="318"/>
      <c r="Y10397" s="318"/>
      <c r="Z10397" s="318"/>
      <c r="AA10397" s="318"/>
      <c r="AB10397" s="318"/>
      <c r="AC10397" s="318"/>
      <c r="AD10397" s="318"/>
    </row>
    <row r="10398" spans="2:30" s="323" customFormat="1" ht="12" customHeight="1">
      <c r="B10398" s="324"/>
      <c r="C10398" s="325"/>
      <c r="D10398" s="326"/>
      <c r="E10398" s="326"/>
      <c r="F10398" s="326"/>
      <c r="G10398" s="326"/>
      <c r="H10398" s="326"/>
      <c r="P10398" s="318"/>
      <c r="Q10398" s="318"/>
      <c r="R10398" s="318"/>
      <c r="S10398" s="318"/>
      <c r="T10398" s="318"/>
      <c r="U10398" s="318"/>
      <c r="V10398" s="318"/>
      <c r="W10398" s="318"/>
      <c r="X10398" s="318"/>
      <c r="Y10398" s="318"/>
      <c r="Z10398" s="318"/>
      <c r="AA10398" s="318"/>
      <c r="AB10398" s="318"/>
      <c r="AC10398" s="318"/>
      <c r="AD10398" s="318"/>
    </row>
    <row r="10399" spans="2:30" s="323" customFormat="1" ht="12" customHeight="1">
      <c r="B10399" s="324"/>
      <c r="C10399" s="325"/>
      <c r="D10399" s="326"/>
      <c r="E10399" s="326"/>
      <c r="F10399" s="326"/>
      <c r="G10399" s="326"/>
      <c r="H10399" s="326"/>
      <c r="P10399" s="318"/>
      <c r="Q10399" s="318"/>
      <c r="R10399" s="318"/>
      <c r="S10399" s="318"/>
      <c r="T10399" s="318"/>
      <c r="U10399" s="318"/>
      <c r="V10399" s="318"/>
      <c r="W10399" s="318"/>
      <c r="X10399" s="318"/>
      <c r="Y10399" s="318"/>
      <c r="Z10399" s="318"/>
      <c r="AA10399" s="318"/>
      <c r="AB10399" s="318"/>
      <c r="AC10399" s="318"/>
      <c r="AD10399" s="318"/>
    </row>
    <row r="10400" spans="2:30" s="323" customFormat="1" ht="12" customHeight="1">
      <c r="B10400" s="324"/>
      <c r="C10400" s="325"/>
      <c r="D10400" s="326"/>
      <c r="E10400" s="326"/>
      <c r="F10400" s="326"/>
      <c r="G10400" s="326"/>
      <c r="H10400" s="326"/>
      <c r="P10400" s="318"/>
      <c r="Q10400" s="318"/>
      <c r="R10400" s="318"/>
      <c r="S10400" s="318"/>
      <c r="T10400" s="318"/>
      <c r="U10400" s="318"/>
      <c r="V10400" s="318"/>
      <c r="W10400" s="318"/>
      <c r="X10400" s="318"/>
      <c r="Y10400" s="318"/>
      <c r="Z10400" s="318"/>
      <c r="AA10400" s="318"/>
      <c r="AB10400" s="318"/>
      <c r="AC10400" s="318"/>
      <c r="AD10400" s="318"/>
    </row>
    <row r="10401" spans="2:30" s="323" customFormat="1" ht="12" customHeight="1">
      <c r="B10401" s="324"/>
      <c r="C10401" s="325"/>
      <c r="D10401" s="326"/>
      <c r="E10401" s="326"/>
      <c r="F10401" s="326"/>
      <c r="G10401" s="326"/>
      <c r="H10401" s="326"/>
      <c r="P10401" s="318"/>
      <c r="Q10401" s="318"/>
      <c r="R10401" s="318"/>
      <c r="S10401" s="318"/>
      <c r="T10401" s="318"/>
      <c r="U10401" s="318"/>
      <c r="V10401" s="318"/>
      <c r="W10401" s="318"/>
      <c r="X10401" s="318"/>
      <c r="Y10401" s="318"/>
      <c r="Z10401" s="318"/>
      <c r="AA10401" s="318"/>
      <c r="AB10401" s="318"/>
      <c r="AC10401" s="318"/>
      <c r="AD10401" s="318"/>
    </row>
    <row r="10402" spans="2:30" s="323" customFormat="1" ht="12" customHeight="1">
      <c r="B10402" s="324"/>
      <c r="C10402" s="325"/>
      <c r="D10402" s="326"/>
      <c r="E10402" s="326"/>
      <c r="F10402" s="326"/>
      <c r="G10402" s="326"/>
      <c r="H10402" s="326"/>
      <c r="P10402" s="318"/>
      <c r="Q10402" s="318"/>
      <c r="R10402" s="318"/>
      <c r="S10402" s="318"/>
      <c r="T10402" s="318"/>
      <c r="U10402" s="318"/>
      <c r="V10402" s="318"/>
      <c r="W10402" s="318"/>
      <c r="X10402" s="318"/>
      <c r="Y10402" s="318"/>
      <c r="Z10402" s="318"/>
      <c r="AA10402" s="318"/>
      <c r="AB10402" s="318"/>
      <c r="AC10402" s="318"/>
      <c r="AD10402" s="318"/>
    </row>
    <row r="10403" spans="2:30" s="323" customFormat="1" ht="12" customHeight="1">
      <c r="B10403" s="324"/>
      <c r="C10403" s="325"/>
      <c r="D10403" s="326"/>
      <c r="E10403" s="326"/>
      <c r="F10403" s="326"/>
      <c r="G10403" s="326"/>
      <c r="H10403" s="326"/>
      <c r="P10403" s="318"/>
      <c r="Q10403" s="318"/>
      <c r="R10403" s="318"/>
      <c r="S10403" s="318"/>
      <c r="T10403" s="318"/>
      <c r="U10403" s="318"/>
      <c r="V10403" s="318"/>
      <c r="W10403" s="318"/>
      <c r="X10403" s="318"/>
      <c r="Y10403" s="318"/>
      <c r="Z10403" s="318"/>
      <c r="AA10403" s="318"/>
      <c r="AB10403" s="318"/>
      <c r="AC10403" s="318"/>
      <c r="AD10403" s="318"/>
    </row>
    <row r="10404" spans="2:30" s="323" customFormat="1" ht="12" customHeight="1">
      <c r="B10404" s="324"/>
      <c r="C10404" s="325"/>
      <c r="D10404" s="326"/>
      <c r="E10404" s="326"/>
      <c r="F10404" s="326"/>
      <c r="G10404" s="326"/>
      <c r="H10404" s="326"/>
      <c r="P10404" s="318"/>
      <c r="Q10404" s="318"/>
      <c r="R10404" s="318"/>
      <c r="S10404" s="318"/>
      <c r="T10404" s="318"/>
      <c r="U10404" s="318"/>
      <c r="V10404" s="318"/>
      <c r="W10404" s="318"/>
      <c r="X10404" s="318"/>
      <c r="Y10404" s="318"/>
      <c r="Z10404" s="318"/>
      <c r="AA10404" s="318"/>
      <c r="AB10404" s="318"/>
      <c r="AC10404" s="318"/>
      <c r="AD10404" s="318"/>
    </row>
    <row r="10405" spans="2:30" s="323" customFormat="1" ht="12" customHeight="1">
      <c r="B10405" s="324"/>
      <c r="C10405" s="325"/>
      <c r="D10405" s="326"/>
      <c r="E10405" s="326"/>
      <c r="F10405" s="326"/>
      <c r="G10405" s="326"/>
      <c r="H10405" s="326"/>
      <c r="P10405" s="318"/>
      <c r="Q10405" s="318"/>
      <c r="R10405" s="318"/>
      <c r="S10405" s="318"/>
      <c r="T10405" s="318"/>
      <c r="U10405" s="318"/>
      <c r="V10405" s="318"/>
      <c r="W10405" s="318"/>
      <c r="X10405" s="318"/>
      <c r="Y10405" s="318"/>
      <c r="Z10405" s="318"/>
      <c r="AA10405" s="318"/>
      <c r="AB10405" s="318"/>
      <c r="AC10405" s="318"/>
      <c r="AD10405" s="318"/>
    </row>
    <row r="10406" spans="2:30" s="323" customFormat="1" ht="12" customHeight="1">
      <c r="B10406" s="324"/>
      <c r="C10406" s="325"/>
      <c r="D10406" s="326"/>
      <c r="E10406" s="326"/>
      <c r="F10406" s="326"/>
      <c r="G10406" s="326"/>
      <c r="H10406" s="326"/>
      <c r="P10406" s="318"/>
      <c r="Q10406" s="318"/>
      <c r="R10406" s="318"/>
      <c r="S10406" s="318"/>
      <c r="T10406" s="318"/>
      <c r="U10406" s="318"/>
      <c r="V10406" s="318"/>
      <c r="W10406" s="318"/>
      <c r="X10406" s="318"/>
      <c r="Y10406" s="318"/>
      <c r="Z10406" s="318"/>
      <c r="AA10406" s="318"/>
      <c r="AB10406" s="318"/>
      <c r="AC10406" s="318"/>
      <c r="AD10406" s="318"/>
    </row>
    <row r="10407" spans="2:30" s="323" customFormat="1" ht="12" customHeight="1">
      <c r="B10407" s="324"/>
      <c r="C10407" s="325"/>
      <c r="D10407" s="326"/>
      <c r="E10407" s="326"/>
      <c r="F10407" s="326"/>
      <c r="G10407" s="326"/>
      <c r="H10407" s="326"/>
      <c r="P10407" s="318"/>
      <c r="Q10407" s="318"/>
      <c r="R10407" s="318"/>
      <c r="S10407" s="318"/>
      <c r="T10407" s="318"/>
      <c r="U10407" s="318"/>
      <c r="V10407" s="318"/>
      <c r="W10407" s="318"/>
      <c r="X10407" s="318"/>
      <c r="Y10407" s="318"/>
      <c r="Z10407" s="318"/>
      <c r="AA10407" s="318"/>
      <c r="AB10407" s="318"/>
      <c r="AC10407" s="318"/>
      <c r="AD10407" s="318"/>
    </row>
    <row r="10408" spans="2:30" s="323" customFormat="1" ht="12" customHeight="1">
      <c r="B10408" s="324"/>
      <c r="C10408" s="325"/>
      <c r="D10408" s="326"/>
      <c r="E10408" s="326"/>
      <c r="F10408" s="326"/>
      <c r="G10408" s="326"/>
      <c r="H10408" s="326"/>
      <c r="P10408" s="318"/>
      <c r="Q10408" s="318"/>
      <c r="R10408" s="318"/>
      <c r="S10408" s="318"/>
      <c r="T10408" s="318"/>
      <c r="U10408" s="318"/>
      <c r="V10408" s="318"/>
      <c r="W10408" s="318"/>
      <c r="X10408" s="318"/>
      <c r="Y10408" s="318"/>
      <c r="Z10408" s="318"/>
      <c r="AA10408" s="318"/>
      <c r="AB10408" s="318"/>
      <c r="AC10408" s="318"/>
      <c r="AD10408" s="318"/>
    </row>
    <row r="10409" spans="2:30" s="323" customFormat="1" ht="12" customHeight="1">
      <c r="B10409" s="324"/>
      <c r="C10409" s="325"/>
      <c r="D10409" s="326"/>
      <c r="E10409" s="326"/>
      <c r="F10409" s="326"/>
      <c r="G10409" s="326"/>
      <c r="H10409" s="326"/>
      <c r="P10409" s="318"/>
      <c r="Q10409" s="318"/>
      <c r="R10409" s="318"/>
      <c r="S10409" s="318"/>
      <c r="T10409" s="318"/>
      <c r="U10409" s="318"/>
      <c r="V10409" s="318"/>
      <c r="W10409" s="318"/>
      <c r="X10409" s="318"/>
      <c r="Y10409" s="318"/>
      <c r="Z10409" s="318"/>
      <c r="AA10409" s="318"/>
      <c r="AB10409" s="318"/>
      <c r="AC10409" s="318"/>
      <c r="AD10409" s="318"/>
    </row>
    <row r="10410" spans="2:30" s="323" customFormat="1" ht="12" customHeight="1">
      <c r="B10410" s="324"/>
      <c r="C10410" s="325"/>
      <c r="D10410" s="326"/>
      <c r="E10410" s="326"/>
      <c r="F10410" s="326"/>
      <c r="G10410" s="326"/>
      <c r="H10410" s="326"/>
      <c r="P10410" s="318"/>
      <c r="Q10410" s="318"/>
      <c r="R10410" s="318"/>
      <c r="S10410" s="318"/>
      <c r="T10410" s="318"/>
      <c r="U10410" s="318"/>
      <c r="V10410" s="318"/>
      <c r="W10410" s="318"/>
      <c r="X10410" s="318"/>
      <c r="Y10410" s="318"/>
      <c r="Z10410" s="318"/>
      <c r="AA10410" s="318"/>
      <c r="AB10410" s="318"/>
      <c r="AC10410" s="318"/>
      <c r="AD10410" s="318"/>
    </row>
    <row r="10411" spans="2:30" s="323" customFormat="1" ht="12" customHeight="1">
      <c r="B10411" s="324"/>
      <c r="C10411" s="325"/>
      <c r="D10411" s="326"/>
      <c r="E10411" s="326"/>
      <c r="F10411" s="326"/>
      <c r="G10411" s="326"/>
      <c r="H10411" s="326"/>
      <c r="P10411" s="318"/>
      <c r="Q10411" s="318"/>
      <c r="R10411" s="318"/>
      <c r="S10411" s="318"/>
      <c r="T10411" s="318"/>
      <c r="U10411" s="318"/>
      <c r="V10411" s="318"/>
      <c r="W10411" s="318"/>
      <c r="X10411" s="318"/>
      <c r="Y10411" s="318"/>
      <c r="Z10411" s="318"/>
      <c r="AA10411" s="318"/>
      <c r="AB10411" s="318"/>
      <c r="AC10411" s="318"/>
      <c r="AD10411" s="318"/>
    </row>
    <row r="10412" spans="2:30" s="323" customFormat="1" ht="12" customHeight="1">
      <c r="B10412" s="324"/>
      <c r="C10412" s="325"/>
      <c r="D10412" s="326"/>
      <c r="E10412" s="326"/>
      <c r="F10412" s="326"/>
      <c r="G10412" s="326"/>
      <c r="H10412" s="326"/>
      <c r="P10412" s="318"/>
      <c r="Q10412" s="318"/>
      <c r="R10412" s="318"/>
      <c r="S10412" s="318"/>
      <c r="T10412" s="318"/>
      <c r="U10412" s="318"/>
      <c r="V10412" s="318"/>
      <c r="W10412" s="318"/>
      <c r="X10412" s="318"/>
      <c r="Y10412" s="318"/>
      <c r="Z10412" s="318"/>
      <c r="AA10412" s="318"/>
      <c r="AB10412" s="318"/>
      <c r="AC10412" s="318"/>
      <c r="AD10412" s="318"/>
    </row>
    <row r="10413" spans="2:30" s="323" customFormat="1" ht="12" customHeight="1">
      <c r="B10413" s="324"/>
      <c r="C10413" s="325"/>
      <c r="D10413" s="326"/>
      <c r="E10413" s="326"/>
      <c r="F10413" s="326"/>
      <c r="G10413" s="326"/>
      <c r="H10413" s="326"/>
      <c r="P10413" s="318"/>
      <c r="Q10413" s="318"/>
      <c r="R10413" s="318"/>
      <c r="S10413" s="318"/>
      <c r="T10413" s="318"/>
      <c r="U10413" s="318"/>
      <c r="V10413" s="318"/>
      <c r="W10413" s="318"/>
      <c r="X10413" s="318"/>
      <c r="Y10413" s="318"/>
      <c r="Z10413" s="318"/>
      <c r="AA10413" s="318"/>
      <c r="AB10413" s="318"/>
      <c r="AC10413" s="318"/>
      <c r="AD10413" s="318"/>
    </row>
    <row r="10414" spans="2:30" s="323" customFormat="1" ht="12" customHeight="1">
      <c r="B10414" s="324"/>
      <c r="C10414" s="325"/>
      <c r="D10414" s="326"/>
      <c r="E10414" s="326"/>
      <c r="F10414" s="326"/>
      <c r="G10414" s="326"/>
      <c r="H10414" s="326"/>
      <c r="P10414" s="318"/>
      <c r="Q10414" s="318"/>
      <c r="R10414" s="318"/>
      <c r="S10414" s="318"/>
      <c r="T10414" s="318"/>
      <c r="U10414" s="318"/>
      <c r="V10414" s="318"/>
      <c r="W10414" s="318"/>
      <c r="X10414" s="318"/>
      <c r="Y10414" s="318"/>
      <c r="Z10414" s="318"/>
      <c r="AA10414" s="318"/>
      <c r="AB10414" s="318"/>
      <c r="AC10414" s="318"/>
      <c r="AD10414" s="318"/>
    </row>
    <row r="10415" spans="2:30" s="323" customFormat="1" ht="12" customHeight="1">
      <c r="B10415" s="324"/>
      <c r="C10415" s="325"/>
      <c r="D10415" s="326"/>
      <c r="E10415" s="326"/>
      <c r="F10415" s="326"/>
      <c r="G10415" s="326"/>
      <c r="H10415" s="326"/>
      <c r="P10415" s="318"/>
      <c r="Q10415" s="318"/>
      <c r="R10415" s="318"/>
      <c r="S10415" s="318"/>
      <c r="T10415" s="318"/>
      <c r="U10415" s="318"/>
      <c r="V10415" s="318"/>
      <c r="W10415" s="318"/>
      <c r="X10415" s="318"/>
      <c r="Y10415" s="318"/>
      <c r="Z10415" s="318"/>
      <c r="AA10415" s="318"/>
      <c r="AB10415" s="318"/>
      <c r="AC10415" s="318"/>
      <c r="AD10415" s="318"/>
    </row>
    <row r="10416" spans="2:30" s="323" customFormat="1" ht="12" customHeight="1">
      <c r="B10416" s="324"/>
      <c r="C10416" s="325"/>
      <c r="D10416" s="326"/>
      <c r="E10416" s="326"/>
      <c r="F10416" s="326"/>
      <c r="G10416" s="326"/>
      <c r="H10416" s="326"/>
      <c r="P10416" s="318"/>
      <c r="Q10416" s="318"/>
      <c r="R10416" s="318"/>
      <c r="S10416" s="318"/>
      <c r="T10416" s="318"/>
      <c r="U10416" s="318"/>
      <c r="V10416" s="318"/>
      <c r="W10416" s="318"/>
      <c r="X10416" s="318"/>
      <c r="Y10416" s="318"/>
      <c r="Z10416" s="318"/>
      <c r="AA10416" s="318"/>
      <c r="AB10416" s="318"/>
      <c r="AC10416" s="318"/>
      <c r="AD10416" s="318"/>
    </row>
    <row r="10417" spans="2:30" s="323" customFormat="1" ht="12" customHeight="1">
      <c r="B10417" s="324"/>
      <c r="C10417" s="325"/>
      <c r="D10417" s="326"/>
      <c r="E10417" s="326"/>
      <c r="F10417" s="326"/>
      <c r="G10417" s="326"/>
      <c r="H10417" s="326"/>
      <c r="P10417" s="318"/>
      <c r="Q10417" s="318"/>
      <c r="R10417" s="318"/>
      <c r="S10417" s="318"/>
      <c r="T10417" s="318"/>
      <c r="U10417" s="318"/>
      <c r="V10417" s="318"/>
      <c r="W10417" s="318"/>
      <c r="X10417" s="318"/>
      <c r="Y10417" s="318"/>
      <c r="Z10417" s="318"/>
      <c r="AA10417" s="318"/>
      <c r="AB10417" s="318"/>
      <c r="AC10417" s="318"/>
      <c r="AD10417" s="318"/>
    </row>
    <row r="10418" spans="2:30" s="323" customFormat="1" ht="12" customHeight="1">
      <c r="B10418" s="324"/>
      <c r="C10418" s="325"/>
      <c r="D10418" s="326"/>
      <c r="E10418" s="326"/>
      <c r="F10418" s="326"/>
      <c r="G10418" s="326"/>
      <c r="H10418" s="326"/>
      <c r="P10418" s="318"/>
      <c r="Q10418" s="318"/>
      <c r="R10418" s="318"/>
      <c r="S10418" s="318"/>
      <c r="T10418" s="318"/>
      <c r="U10418" s="318"/>
      <c r="V10418" s="318"/>
      <c r="W10418" s="318"/>
      <c r="X10418" s="318"/>
      <c r="Y10418" s="318"/>
      <c r="Z10418" s="318"/>
      <c r="AA10418" s="318"/>
      <c r="AB10418" s="318"/>
      <c r="AC10418" s="318"/>
      <c r="AD10418" s="318"/>
    </row>
    <row r="10419" spans="2:30" s="323" customFormat="1" ht="12" customHeight="1">
      <c r="B10419" s="324"/>
      <c r="C10419" s="325"/>
      <c r="D10419" s="326"/>
      <c r="E10419" s="326"/>
      <c r="F10419" s="326"/>
      <c r="G10419" s="326"/>
      <c r="H10419" s="326"/>
      <c r="P10419" s="318"/>
      <c r="Q10419" s="318"/>
      <c r="R10419" s="318"/>
      <c r="S10419" s="318"/>
      <c r="T10419" s="318"/>
      <c r="U10419" s="318"/>
      <c r="V10419" s="318"/>
      <c r="W10419" s="318"/>
      <c r="X10419" s="318"/>
      <c r="Y10419" s="318"/>
      <c r="Z10419" s="318"/>
      <c r="AA10419" s="318"/>
      <c r="AB10419" s="318"/>
      <c r="AC10419" s="318"/>
      <c r="AD10419" s="318"/>
    </row>
    <row r="10420" spans="2:30" s="323" customFormat="1" ht="12" customHeight="1">
      <c r="B10420" s="324"/>
      <c r="C10420" s="325"/>
      <c r="D10420" s="326"/>
      <c r="E10420" s="326"/>
      <c r="F10420" s="326"/>
      <c r="G10420" s="326"/>
      <c r="H10420" s="326"/>
      <c r="P10420" s="318"/>
      <c r="Q10420" s="318"/>
      <c r="R10420" s="318"/>
      <c r="S10420" s="318"/>
      <c r="T10420" s="318"/>
      <c r="U10420" s="318"/>
      <c r="V10420" s="318"/>
      <c r="W10420" s="318"/>
      <c r="X10420" s="318"/>
      <c r="Y10420" s="318"/>
      <c r="Z10420" s="318"/>
      <c r="AA10420" s="318"/>
      <c r="AB10420" s="318"/>
      <c r="AC10420" s="318"/>
      <c r="AD10420" s="318"/>
    </row>
    <row r="10421" spans="2:30" s="323" customFormat="1" ht="12" customHeight="1">
      <c r="B10421" s="324"/>
      <c r="C10421" s="325"/>
      <c r="D10421" s="326"/>
      <c r="E10421" s="326"/>
      <c r="F10421" s="326"/>
      <c r="G10421" s="326"/>
      <c r="H10421" s="326"/>
      <c r="P10421" s="318"/>
      <c r="Q10421" s="318"/>
      <c r="R10421" s="318"/>
      <c r="S10421" s="318"/>
      <c r="T10421" s="318"/>
      <c r="U10421" s="318"/>
      <c r="V10421" s="318"/>
      <c r="W10421" s="318"/>
      <c r="X10421" s="318"/>
      <c r="Y10421" s="318"/>
      <c r="Z10421" s="318"/>
      <c r="AA10421" s="318"/>
      <c r="AB10421" s="318"/>
      <c r="AC10421" s="318"/>
      <c r="AD10421" s="318"/>
    </row>
    <row r="10422" spans="2:30" s="323" customFormat="1" ht="12" customHeight="1">
      <c r="B10422" s="324"/>
      <c r="C10422" s="325"/>
      <c r="D10422" s="326"/>
      <c r="E10422" s="326"/>
      <c r="F10422" s="326"/>
      <c r="G10422" s="326"/>
      <c r="H10422" s="326"/>
      <c r="P10422" s="318"/>
      <c r="Q10422" s="318"/>
      <c r="R10422" s="318"/>
      <c r="S10422" s="318"/>
      <c r="T10422" s="318"/>
      <c r="U10422" s="318"/>
      <c r="V10422" s="318"/>
      <c r="W10422" s="318"/>
      <c r="X10422" s="318"/>
      <c r="Y10422" s="318"/>
      <c r="Z10422" s="318"/>
      <c r="AA10422" s="318"/>
      <c r="AB10422" s="318"/>
      <c r="AC10422" s="318"/>
      <c r="AD10422" s="318"/>
    </row>
    <row r="10423" spans="2:30" s="323" customFormat="1" ht="12" customHeight="1">
      <c r="B10423" s="324"/>
      <c r="C10423" s="325"/>
      <c r="D10423" s="326"/>
      <c r="E10423" s="326"/>
      <c r="F10423" s="326"/>
      <c r="G10423" s="326"/>
      <c r="H10423" s="326"/>
      <c r="P10423" s="318"/>
      <c r="Q10423" s="318"/>
      <c r="R10423" s="318"/>
      <c r="S10423" s="318"/>
      <c r="T10423" s="318"/>
      <c r="U10423" s="318"/>
      <c r="V10423" s="318"/>
      <c r="W10423" s="318"/>
      <c r="X10423" s="318"/>
      <c r="Y10423" s="318"/>
      <c r="Z10423" s="318"/>
      <c r="AA10423" s="318"/>
      <c r="AB10423" s="318"/>
      <c r="AC10423" s="318"/>
      <c r="AD10423" s="318"/>
    </row>
    <row r="10424" spans="2:30" s="323" customFormat="1" ht="12" customHeight="1">
      <c r="B10424" s="324"/>
      <c r="C10424" s="325"/>
      <c r="D10424" s="326"/>
      <c r="E10424" s="326"/>
      <c r="F10424" s="326"/>
      <c r="G10424" s="326"/>
      <c r="H10424" s="326"/>
      <c r="P10424" s="318"/>
      <c r="Q10424" s="318"/>
      <c r="R10424" s="318"/>
      <c r="S10424" s="318"/>
      <c r="T10424" s="318"/>
      <c r="U10424" s="318"/>
      <c r="V10424" s="318"/>
      <c r="W10424" s="318"/>
      <c r="X10424" s="318"/>
      <c r="Y10424" s="318"/>
      <c r="Z10424" s="318"/>
      <c r="AA10424" s="318"/>
      <c r="AB10424" s="318"/>
      <c r="AC10424" s="318"/>
      <c r="AD10424" s="318"/>
    </row>
    <row r="10425" spans="2:30" s="323" customFormat="1" ht="12" customHeight="1">
      <c r="B10425" s="324"/>
      <c r="C10425" s="325"/>
      <c r="D10425" s="326"/>
      <c r="E10425" s="326"/>
      <c r="F10425" s="326"/>
      <c r="G10425" s="326"/>
      <c r="H10425" s="326"/>
      <c r="P10425" s="318"/>
      <c r="Q10425" s="318"/>
      <c r="R10425" s="318"/>
      <c r="S10425" s="318"/>
      <c r="T10425" s="318"/>
      <c r="U10425" s="318"/>
      <c r="V10425" s="318"/>
      <c r="W10425" s="318"/>
      <c r="X10425" s="318"/>
      <c r="Y10425" s="318"/>
      <c r="Z10425" s="318"/>
      <c r="AA10425" s="318"/>
      <c r="AB10425" s="318"/>
      <c r="AC10425" s="318"/>
      <c r="AD10425" s="318"/>
    </row>
    <row r="10426" spans="2:30" s="323" customFormat="1" ht="12" customHeight="1">
      <c r="B10426" s="324"/>
      <c r="C10426" s="325"/>
      <c r="D10426" s="326"/>
      <c r="E10426" s="326"/>
      <c r="F10426" s="326"/>
      <c r="G10426" s="326"/>
      <c r="H10426" s="326"/>
      <c r="P10426" s="318"/>
      <c r="Q10426" s="318"/>
      <c r="R10426" s="318"/>
      <c r="S10426" s="318"/>
      <c r="T10426" s="318"/>
      <c r="U10426" s="318"/>
      <c r="V10426" s="318"/>
      <c r="W10426" s="318"/>
      <c r="X10426" s="318"/>
      <c r="Y10426" s="318"/>
      <c r="Z10426" s="318"/>
      <c r="AA10426" s="318"/>
      <c r="AB10426" s="318"/>
      <c r="AC10426" s="318"/>
      <c r="AD10426" s="318"/>
    </row>
    <row r="10427" spans="2:30" s="323" customFormat="1" ht="12" customHeight="1">
      <c r="B10427" s="324"/>
      <c r="C10427" s="325"/>
      <c r="D10427" s="326"/>
      <c r="E10427" s="326"/>
      <c r="F10427" s="326"/>
      <c r="G10427" s="326"/>
      <c r="H10427" s="326"/>
      <c r="P10427" s="318"/>
      <c r="Q10427" s="318"/>
      <c r="R10427" s="318"/>
      <c r="S10427" s="318"/>
      <c r="T10427" s="318"/>
      <c r="U10427" s="318"/>
      <c r="V10427" s="318"/>
      <c r="W10427" s="318"/>
      <c r="X10427" s="318"/>
      <c r="Y10427" s="318"/>
      <c r="Z10427" s="318"/>
      <c r="AA10427" s="318"/>
      <c r="AB10427" s="318"/>
      <c r="AC10427" s="318"/>
      <c r="AD10427" s="318"/>
    </row>
    <row r="10428" spans="2:30" s="323" customFormat="1" ht="12" customHeight="1">
      <c r="B10428" s="324"/>
      <c r="C10428" s="325"/>
      <c r="D10428" s="326"/>
      <c r="E10428" s="326"/>
      <c r="F10428" s="326"/>
      <c r="G10428" s="326"/>
      <c r="H10428" s="326"/>
      <c r="P10428" s="318"/>
      <c r="Q10428" s="318"/>
      <c r="R10428" s="318"/>
      <c r="S10428" s="318"/>
      <c r="T10428" s="318"/>
      <c r="U10428" s="318"/>
      <c r="V10428" s="318"/>
      <c r="W10428" s="318"/>
      <c r="X10428" s="318"/>
      <c r="Y10428" s="318"/>
      <c r="Z10428" s="318"/>
      <c r="AA10428" s="318"/>
      <c r="AB10428" s="318"/>
      <c r="AC10428" s="318"/>
      <c r="AD10428" s="318"/>
    </row>
    <row r="10429" spans="2:30" s="323" customFormat="1" ht="12" customHeight="1">
      <c r="B10429" s="324"/>
      <c r="C10429" s="325"/>
      <c r="D10429" s="326"/>
      <c r="E10429" s="326"/>
      <c r="F10429" s="326"/>
      <c r="G10429" s="326"/>
      <c r="H10429" s="326"/>
      <c r="P10429" s="318"/>
      <c r="Q10429" s="318"/>
      <c r="R10429" s="318"/>
      <c r="S10429" s="318"/>
      <c r="T10429" s="318"/>
      <c r="U10429" s="318"/>
      <c r="V10429" s="318"/>
      <c r="W10429" s="318"/>
      <c r="X10429" s="318"/>
      <c r="Y10429" s="318"/>
      <c r="Z10429" s="318"/>
      <c r="AA10429" s="318"/>
      <c r="AB10429" s="318"/>
      <c r="AC10429" s="318"/>
      <c r="AD10429" s="318"/>
    </row>
    <row r="10430" spans="2:30" s="323" customFormat="1" ht="12" customHeight="1">
      <c r="B10430" s="324"/>
      <c r="C10430" s="325"/>
      <c r="D10430" s="326"/>
      <c r="E10430" s="326"/>
      <c r="F10430" s="326"/>
      <c r="G10430" s="326"/>
      <c r="H10430" s="326"/>
      <c r="P10430" s="318"/>
      <c r="Q10430" s="318"/>
      <c r="R10430" s="318"/>
      <c r="S10430" s="318"/>
      <c r="T10430" s="318"/>
      <c r="U10430" s="318"/>
      <c r="V10430" s="318"/>
      <c r="W10430" s="318"/>
      <c r="X10430" s="318"/>
      <c r="Y10430" s="318"/>
      <c r="Z10430" s="318"/>
      <c r="AA10430" s="318"/>
      <c r="AB10430" s="318"/>
      <c r="AC10430" s="318"/>
      <c r="AD10430" s="318"/>
    </row>
    <row r="10431" spans="2:30" s="323" customFormat="1" ht="12" customHeight="1">
      <c r="B10431" s="324"/>
      <c r="C10431" s="325"/>
      <c r="D10431" s="326"/>
      <c r="E10431" s="326"/>
      <c r="F10431" s="326"/>
      <c r="G10431" s="326"/>
      <c r="H10431" s="326"/>
      <c r="P10431" s="318"/>
      <c r="Q10431" s="318"/>
      <c r="R10431" s="318"/>
      <c r="S10431" s="318"/>
      <c r="T10431" s="318"/>
      <c r="U10431" s="318"/>
      <c r="V10431" s="318"/>
      <c r="W10431" s="318"/>
      <c r="X10431" s="318"/>
      <c r="Y10431" s="318"/>
      <c r="Z10431" s="318"/>
      <c r="AA10431" s="318"/>
      <c r="AB10431" s="318"/>
      <c r="AC10431" s="318"/>
      <c r="AD10431" s="318"/>
    </row>
    <row r="10432" spans="2:30" s="323" customFormat="1" ht="12" customHeight="1">
      <c r="B10432" s="324"/>
      <c r="C10432" s="325"/>
      <c r="D10432" s="326"/>
      <c r="E10432" s="326"/>
      <c r="F10432" s="326"/>
      <c r="G10432" s="326"/>
      <c r="H10432" s="326"/>
      <c r="P10432" s="318"/>
      <c r="Q10432" s="318"/>
      <c r="R10432" s="318"/>
      <c r="S10432" s="318"/>
      <c r="T10432" s="318"/>
      <c r="U10432" s="318"/>
      <c r="V10432" s="318"/>
      <c r="W10432" s="318"/>
      <c r="X10432" s="318"/>
      <c r="Y10432" s="318"/>
      <c r="Z10432" s="318"/>
      <c r="AA10432" s="318"/>
      <c r="AB10432" s="318"/>
      <c r="AC10432" s="318"/>
      <c r="AD10432" s="318"/>
    </row>
    <row r="10433" spans="2:30" s="323" customFormat="1" ht="12" customHeight="1">
      <c r="B10433" s="324"/>
      <c r="C10433" s="325"/>
      <c r="D10433" s="326"/>
      <c r="E10433" s="326"/>
      <c r="F10433" s="326"/>
      <c r="G10433" s="326"/>
      <c r="H10433" s="326"/>
      <c r="P10433" s="318"/>
      <c r="Q10433" s="318"/>
      <c r="R10433" s="318"/>
      <c r="S10433" s="318"/>
      <c r="T10433" s="318"/>
      <c r="U10433" s="318"/>
      <c r="V10433" s="318"/>
      <c r="W10433" s="318"/>
      <c r="X10433" s="318"/>
      <c r="Y10433" s="318"/>
      <c r="Z10433" s="318"/>
      <c r="AA10433" s="318"/>
      <c r="AB10433" s="318"/>
      <c r="AC10433" s="318"/>
      <c r="AD10433" s="318"/>
    </row>
    <row r="10434" spans="2:30" s="323" customFormat="1" ht="12" customHeight="1">
      <c r="B10434" s="324"/>
      <c r="C10434" s="325"/>
      <c r="D10434" s="326"/>
      <c r="E10434" s="326"/>
      <c r="F10434" s="326"/>
      <c r="G10434" s="326"/>
      <c r="H10434" s="326"/>
      <c r="P10434" s="318"/>
      <c r="Q10434" s="318"/>
      <c r="R10434" s="318"/>
      <c r="S10434" s="318"/>
      <c r="T10434" s="318"/>
      <c r="U10434" s="318"/>
      <c r="V10434" s="318"/>
      <c r="W10434" s="318"/>
      <c r="X10434" s="318"/>
      <c r="Y10434" s="318"/>
      <c r="Z10434" s="318"/>
      <c r="AA10434" s="318"/>
      <c r="AB10434" s="318"/>
      <c r="AC10434" s="318"/>
      <c r="AD10434" s="318"/>
    </row>
    <row r="10435" spans="2:30" s="323" customFormat="1" ht="12" customHeight="1">
      <c r="B10435" s="324"/>
      <c r="C10435" s="325"/>
      <c r="D10435" s="326"/>
      <c r="E10435" s="326"/>
      <c r="F10435" s="326"/>
      <c r="G10435" s="326"/>
      <c r="H10435" s="326"/>
      <c r="P10435" s="318"/>
      <c r="Q10435" s="318"/>
      <c r="R10435" s="318"/>
      <c r="S10435" s="318"/>
      <c r="T10435" s="318"/>
      <c r="U10435" s="318"/>
      <c r="V10435" s="318"/>
      <c r="W10435" s="318"/>
      <c r="X10435" s="318"/>
      <c r="Y10435" s="318"/>
      <c r="Z10435" s="318"/>
      <c r="AA10435" s="318"/>
      <c r="AB10435" s="318"/>
      <c r="AC10435" s="318"/>
      <c r="AD10435" s="318"/>
    </row>
    <row r="10436" spans="2:30" s="323" customFormat="1" ht="12" customHeight="1">
      <c r="B10436" s="324"/>
      <c r="C10436" s="325"/>
      <c r="D10436" s="326"/>
      <c r="E10436" s="326"/>
      <c r="F10436" s="326"/>
      <c r="G10436" s="326"/>
      <c r="H10436" s="326"/>
      <c r="P10436" s="318"/>
      <c r="Q10436" s="318"/>
      <c r="R10436" s="318"/>
      <c r="S10436" s="318"/>
      <c r="T10436" s="318"/>
      <c r="U10436" s="318"/>
      <c r="V10436" s="318"/>
      <c r="W10436" s="318"/>
      <c r="X10436" s="318"/>
      <c r="Y10436" s="318"/>
      <c r="Z10436" s="318"/>
      <c r="AA10436" s="318"/>
      <c r="AB10436" s="318"/>
      <c r="AC10436" s="318"/>
      <c r="AD10436" s="318"/>
    </row>
    <row r="10437" spans="2:30" s="323" customFormat="1" ht="12" customHeight="1">
      <c r="B10437" s="324"/>
      <c r="C10437" s="325"/>
      <c r="D10437" s="326"/>
      <c r="E10437" s="326"/>
      <c r="F10437" s="326"/>
      <c r="G10437" s="326"/>
      <c r="H10437" s="326"/>
      <c r="P10437" s="318"/>
      <c r="Q10437" s="318"/>
      <c r="R10437" s="318"/>
      <c r="S10437" s="318"/>
      <c r="T10437" s="318"/>
      <c r="U10437" s="318"/>
      <c r="V10437" s="318"/>
      <c r="W10437" s="318"/>
      <c r="X10437" s="318"/>
      <c r="Y10437" s="318"/>
      <c r="Z10437" s="318"/>
      <c r="AA10437" s="318"/>
      <c r="AB10437" s="318"/>
      <c r="AC10437" s="318"/>
      <c r="AD10437" s="318"/>
    </row>
    <row r="10438" spans="2:30" s="323" customFormat="1" ht="12" customHeight="1">
      <c r="B10438" s="324"/>
      <c r="C10438" s="325"/>
      <c r="D10438" s="326"/>
      <c r="E10438" s="326"/>
      <c r="F10438" s="326"/>
      <c r="G10438" s="326"/>
      <c r="H10438" s="326"/>
      <c r="P10438" s="318"/>
      <c r="Q10438" s="318"/>
      <c r="R10438" s="318"/>
      <c r="S10438" s="318"/>
      <c r="T10438" s="318"/>
      <c r="U10438" s="318"/>
      <c r="V10438" s="318"/>
      <c r="W10438" s="318"/>
      <c r="X10438" s="318"/>
      <c r="Y10438" s="318"/>
      <c r="Z10438" s="318"/>
      <c r="AA10438" s="318"/>
      <c r="AB10438" s="318"/>
      <c r="AC10438" s="318"/>
      <c r="AD10438" s="318"/>
    </row>
    <row r="10439" spans="2:30" s="323" customFormat="1" ht="12" customHeight="1">
      <c r="B10439" s="324"/>
      <c r="C10439" s="325"/>
      <c r="D10439" s="326"/>
      <c r="E10439" s="326"/>
      <c r="F10439" s="326"/>
      <c r="G10439" s="326"/>
      <c r="H10439" s="326"/>
      <c r="P10439" s="318"/>
      <c r="Q10439" s="318"/>
      <c r="R10439" s="318"/>
      <c r="S10439" s="318"/>
      <c r="T10439" s="318"/>
      <c r="U10439" s="318"/>
      <c r="V10439" s="318"/>
      <c r="W10439" s="318"/>
      <c r="X10439" s="318"/>
      <c r="Y10439" s="318"/>
      <c r="Z10439" s="318"/>
      <c r="AA10439" s="318"/>
      <c r="AB10439" s="318"/>
      <c r="AC10439" s="318"/>
      <c r="AD10439" s="318"/>
    </row>
    <row r="10440" spans="2:30" s="323" customFormat="1" ht="12" customHeight="1">
      <c r="B10440" s="324"/>
      <c r="C10440" s="325"/>
      <c r="D10440" s="326"/>
      <c r="E10440" s="326"/>
      <c r="F10440" s="326"/>
      <c r="G10440" s="326"/>
      <c r="H10440" s="326"/>
      <c r="P10440" s="318"/>
      <c r="Q10440" s="318"/>
      <c r="R10440" s="318"/>
      <c r="S10440" s="318"/>
      <c r="T10440" s="318"/>
      <c r="U10440" s="318"/>
      <c r="V10440" s="318"/>
      <c r="W10440" s="318"/>
      <c r="X10440" s="318"/>
      <c r="Y10440" s="318"/>
      <c r="Z10440" s="318"/>
      <c r="AA10440" s="318"/>
      <c r="AB10440" s="318"/>
      <c r="AC10440" s="318"/>
      <c r="AD10440" s="318"/>
    </row>
    <row r="10441" spans="2:30" s="323" customFormat="1" ht="12" customHeight="1">
      <c r="B10441" s="324"/>
      <c r="C10441" s="325"/>
      <c r="D10441" s="326"/>
      <c r="E10441" s="326"/>
      <c r="F10441" s="326"/>
      <c r="G10441" s="326"/>
      <c r="H10441" s="326"/>
      <c r="P10441" s="318"/>
      <c r="Q10441" s="318"/>
      <c r="R10441" s="318"/>
      <c r="S10441" s="318"/>
      <c r="T10441" s="318"/>
      <c r="U10441" s="318"/>
      <c r="V10441" s="318"/>
      <c r="W10441" s="318"/>
      <c r="X10441" s="318"/>
      <c r="Y10441" s="318"/>
      <c r="Z10441" s="318"/>
      <c r="AA10441" s="318"/>
      <c r="AB10441" s="318"/>
      <c r="AC10441" s="318"/>
      <c r="AD10441" s="318"/>
    </row>
    <row r="10442" spans="2:30" s="323" customFormat="1" ht="12" customHeight="1">
      <c r="B10442" s="324"/>
      <c r="C10442" s="325"/>
      <c r="D10442" s="326"/>
      <c r="E10442" s="326"/>
      <c r="F10442" s="326"/>
      <c r="G10442" s="326"/>
      <c r="H10442" s="326"/>
      <c r="P10442" s="318"/>
      <c r="Q10442" s="318"/>
      <c r="R10442" s="318"/>
      <c r="S10442" s="318"/>
      <c r="T10442" s="318"/>
      <c r="U10442" s="318"/>
      <c r="V10442" s="318"/>
      <c r="W10442" s="318"/>
      <c r="X10442" s="318"/>
      <c r="Y10442" s="318"/>
      <c r="Z10442" s="318"/>
      <c r="AA10442" s="318"/>
      <c r="AB10442" s="318"/>
      <c r="AC10442" s="318"/>
      <c r="AD10442" s="318"/>
    </row>
    <row r="10443" spans="2:30" s="323" customFormat="1" ht="12" customHeight="1">
      <c r="B10443" s="324"/>
      <c r="C10443" s="325"/>
      <c r="D10443" s="326"/>
      <c r="E10443" s="326"/>
      <c r="F10443" s="326"/>
      <c r="G10443" s="326"/>
      <c r="H10443" s="326"/>
      <c r="P10443" s="318"/>
      <c r="Q10443" s="318"/>
      <c r="R10443" s="318"/>
      <c r="S10443" s="318"/>
      <c r="T10443" s="318"/>
      <c r="U10443" s="318"/>
      <c r="V10443" s="318"/>
      <c r="W10443" s="318"/>
      <c r="X10443" s="318"/>
      <c r="Y10443" s="318"/>
      <c r="Z10443" s="318"/>
      <c r="AA10443" s="318"/>
      <c r="AB10443" s="318"/>
      <c r="AC10443" s="318"/>
      <c r="AD10443" s="318"/>
    </row>
    <row r="10444" spans="2:30" s="323" customFormat="1" ht="12" customHeight="1">
      <c r="B10444" s="324"/>
      <c r="C10444" s="325"/>
      <c r="D10444" s="326"/>
      <c r="E10444" s="326"/>
      <c r="F10444" s="326"/>
      <c r="G10444" s="326"/>
      <c r="H10444" s="326"/>
      <c r="P10444" s="318"/>
      <c r="Q10444" s="318"/>
      <c r="R10444" s="318"/>
      <c r="S10444" s="318"/>
      <c r="T10444" s="318"/>
      <c r="U10444" s="318"/>
      <c r="V10444" s="318"/>
      <c r="W10444" s="318"/>
      <c r="X10444" s="318"/>
      <c r="Y10444" s="318"/>
      <c r="Z10444" s="318"/>
      <c r="AA10444" s="318"/>
      <c r="AB10444" s="318"/>
      <c r="AC10444" s="318"/>
      <c r="AD10444" s="318"/>
    </row>
    <row r="10445" spans="2:30" s="323" customFormat="1" ht="12" customHeight="1">
      <c r="B10445" s="324"/>
      <c r="C10445" s="325"/>
      <c r="D10445" s="326"/>
      <c r="E10445" s="326"/>
      <c r="F10445" s="326"/>
      <c r="G10445" s="326"/>
      <c r="H10445" s="326"/>
      <c r="P10445" s="318"/>
      <c r="Q10445" s="318"/>
      <c r="R10445" s="318"/>
      <c r="S10445" s="318"/>
      <c r="T10445" s="318"/>
      <c r="U10445" s="318"/>
      <c r="V10445" s="318"/>
      <c r="W10445" s="318"/>
      <c r="X10445" s="318"/>
      <c r="Y10445" s="318"/>
      <c r="Z10445" s="318"/>
      <c r="AA10445" s="318"/>
      <c r="AB10445" s="318"/>
      <c r="AC10445" s="318"/>
      <c r="AD10445" s="318"/>
    </row>
    <row r="10446" spans="2:30" s="323" customFormat="1" ht="12" customHeight="1">
      <c r="B10446" s="324"/>
      <c r="C10446" s="325"/>
      <c r="D10446" s="326"/>
      <c r="E10446" s="326"/>
      <c r="F10446" s="326"/>
      <c r="G10446" s="326"/>
      <c r="H10446" s="326"/>
      <c r="P10446" s="318"/>
      <c r="Q10446" s="318"/>
      <c r="R10446" s="318"/>
      <c r="S10446" s="318"/>
      <c r="T10446" s="318"/>
      <c r="U10446" s="318"/>
      <c r="V10446" s="318"/>
      <c r="W10446" s="318"/>
      <c r="X10446" s="318"/>
      <c r="Y10446" s="318"/>
      <c r="Z10446" s="318"/>
      <c r="AA10446" s="318"/>
      <c r="AB10446" s="318"/>
      <c r="AC10446" s="318"/>
      <c r="AD10446" s="318"/>
    </row>
    <row r="10447" spans="2:30" s="323" customFormat="1" ht="12" customHeight="1">
      <c r="B10447" s="324"/>
      <c r="C10447" s="325"/>
      <c r="D10447" s="326"/>
      <c r="E10447" s="326"/>
      <c r="F10447" s="326"/>
      <c r="G10447" s="326"/>
      <c r="H10447" s="326"/>
      <c r="P10447" s="318"/>
      <c r="Q10447" s="318"/>
      <c r="R10447" s="318"/>
      <c r="S10447" s="318"/>
      <c r="T10447" s="318"/>
      <c r="U10447" s="318"/>
      <c r="V10447" s="318"/>
      <c r="W10447" s="318"/>
      <c r="X10447" s="318"/>
      <c r="Y10447" s="318"/>
      <c r="Z10447" s="318"/>
      <c r="AA10447" s="318"/>
      <c r="AB10447" s="318"/>
      <c r="AC10447" s="318"/>
      <c r="AD10447" s="318"/>
    </row>
    <row r="10448" spans="2:30" s="323" customFormat="1" ht="12" customHeight="1">
      <c r="B10448" s="324"/>
      <c r="C10448" s="325"/>
      <c r="D10448" s="326"/>
      <c r="E10448" s="326"/>
      <c r="F10448" s="326"/>
      <c r="G10448" s="326"/>
      <c r="H10448" s="326"/>
      <c r="P10448" s="318"/>
      <c r="Q10448" s="318"/>
      <c r="R10448" s="318"/>
      <c r="S10448" s="318"/>
      <c r="T10448" s="318"/>
      <c r="U10448" s="318"/>
      <c r="V10448" s="318"/>
      <c r="W10448" s="318"/>
      <c r="X10448" s="318"/>
      <c r="Y10448" s="318"/>
      <c r="Z10448" s="318"/>
      <c r="AA10448" s="318"/>
      <c r="AB10448" s="318"/>
      <c r="AC10448" s="318"/>
      <c r="AD10448" s="318"/>
    </row>
    <row r="10449" spans="2:30" s="323" customFormat="1" ht="12" customHeight="1">
      <c r="B10449" s="324"/>
      <c r="C10449" s="325"/>
      <c r="D10449" s="326"/>
      <c r="E10449" s="326"/>
      <c r="F10449" s="326"/>
      <c r="G10449" s="326"/>
      <c r="H10449" s="326"/>
      <c r="P10449" s="318"/>
      <c r="Q10449" s="318"/>
      <c r="R10449" s="318"/>
      <c r="S10449" s="318"/>
      <c r="T10449" s="318"/>
      <c r="U10449" s="318"/>
      <c r="V10449" s="318"/>
      <c r="W10449" s="318"/>
      <c r="X10449" s="318"/>
      <c r="Y10449" s="318"/>
      <c r="Z10449" s="318"/>
      <c r="AA10449" s="318"/>
      <c r="AB10449" s="318"/>
      <c r="AC10449" s="318"/>
      <c r="AD10449" s="318"/>
    </row>
    <row r="10450" spans="2:30" s="323" customFormat="1" ht="12" customHeight="1">
      <c r="B10450" s="324"/>
      <c r="C10450" s="325"/>
      <c r="D10450" s="326"/>
      <c r="E10450" s="326"/>
      <c r="F10450" s="326"/>
      <c r="G10450" s="326"/>
      <c r="H10450" s="326"/>
      <c r="P10450" s="318"/>
      <c r="Q10450" s="318"/>
      <c r="R10450" s="318"/>
      <c r="S10450" s="318"/>
      <c r="T10450" s="318"/>
      <c r="U10450" s="318"/>
      <c r="V10450" s="318"/>
      <c r="W10450" s="318"/>
      <c r="X10450" s="318"/>
      <c r="Y10450" s="318"/>
      <c r="Z10450" s="318"/>
      <c r="AA10450" s="318"/>
      <c r="AB10450" s="318"/>
      <c r="AC10450" s="318"/>
      <c r="AD10450" s="318"/>
    </row>
    <row r="10451" spans="2:30" s="323" customFormat="1" ht="12" customHeight="1">
      <c r="B10451" s="324"/>
      <c r="C10451" s="325"/>
      <c r="D10451" s="326"/>
      <c r="E10451" s="326"/>
      <c r="F10451" s="326"/>
      <c r="G10451" s="326"/>
      <c r="H10451" s="326"/>
      <c r="P10451" s="318"/>
      <c r="Q10451" s="318"/>
      <c r="R10451" s="318"/>
      <c r="S10451" s="318"/>
      <c r="T10451" s="318"/>
      <c r="U10451" s="318"/>
      <c r="V10451" s="318"/>
      <c r="W10451" s="318"/>
      <c r="X10451" s="318"/>
      <c r="Y10451" s="318"/>
      <c r="Z10451" s="318"/>
      <c r="AA10451" s="318"/>
      <c r="AB10451" s="318"/>
      <c r="AC10451" s="318"/>
      <c r="AD10451" s="318"/>
    </row>
    <row r="10452" spans="2:30" s="323" customFormat="1" ht="12" customHeight="1">
      <c r="B10452" s="324"/>
      <c r="C10452" s="325"/>
      <c r="D10452" s="326"/>
      <c r="E10452" s="326"/>
      <c r="F10452" s="326"/>
      <c r="G10452" s="326"/>
      <c r="H10452" s="326"/>
      <c r="P10452" s="318"/>
      <c r="Q10452" s="318"/>
      <c r="R10452" s="318"/>
      <c r="S10452" s="318"/>
      <c r="T10452" s="318"/>
      <c r="U10452" s="318"/>
      <c r="V10452" s="318"/>
      <c r="W10452" s="318"/>
      <c r="X10452" s="318"/>
      <c r="Y10452" s="318"/>
      <c r="Z10452" s="318"/>
      <c r="AA10452" s="318"/>
      <c r="AB10452" s="318"/>
      <c r="AC10452" s="318"/>
      <c r="AD10452" s="318"/>
    </row>
    <row r="10453" spans="2:30" s="323" customFormat="1" ht="12" customHeight="1">
      <c r="B10453" s="324"/>
      <c r="C10453" s="325"/>
      <c r="D10453" s="326"/>
      <c r="E10453" s="326"/>
      <c r="F10453" s="326"/>
      <c r="G10453" s="326"/>
      <c r="H10453" s="326"/>
      <c r="P10453" s="318"/>
      <c r="Q10453" s="318"/>
      <c r="R10453" s="318"/>
      <c r="S10453" s="318"/>
      <c r="T10453" s="318"/>
      <c r="U10453" s="318"/>
      <c r="V10453" s="318"/>
      <c r="W10453" s="318"/>
      <c r="X10453" s="318"/>
      <c r="Y10453" s="318"/>
      <c r="Z10453" s="318"/>
      <c r="AA10453" s="318"/>
      <c r="AB10453" s="318"/>
      <c r="AC10453" s="318"/>
      <c r="AD10453" s="318"/>
    </row>
    <row r="10454" spans="2:30" s="323" customFormat="1" ht="12" customHeight="1">
      <c r="B10454" s="324"/>
      <c r="C10454" s="325"/>
      <c r="D10454" s="326"/>
      <c r="E10454" s="326"/>
      <c r="F10454" s="326"/>
      <c r="G10454" s="326"/>
      <c r="H10454" s="326"/>
      <c r="P10454" s="318"/>
      <c r="Q10454" s="318"/>
      <c r="R10454" s="318"/>
      <c r="S10454" s="318"/>
      <c r="T10454" s="318"/>
      <c r="U10454" s="318"/>
      <c r="V10454" s="318"/>
      <c r="W10454" s="318"/>
      <c r="X10454" s="318"/>
      <c r="Y10454" s="318"/>
      <c r="Z10454" s="318"/>
      <c r="AA10454" s="318"/>
      <c r="AB10454" s="318"/>
      <c r="AC10454" s="318"/>
      <c r="AD10454" s="318"/>
    </row>
    <row r="10455" spans="2:30" s="323" customFormat="1" ht="12" customHeight="1">
      <c r="B10455" s="324"/>
      <c r="C10455" s="325"/>
      <c r="D10455" s="326"/>
      <c r="E10455" s="326"/>
      <c r="F10455" s="326"/>
      <c r="G10455" s="326"/>
      <c r="H10455" s="326"/>
      <c r="P10455" s="318"/>
      <c r="Q10455" s="318"/>
      <c r="R10455" s="318"/>
      <c r="S10455" s="318"/>
      <c r="T10455" s="318"/>
      <c r="U10455" s="318"/>
      <c r="V10455" s="318"/>
      <c r="W10455" s="318"/>
      <c r="X10455" s="318"/>
      <c r="Y10455" s="318"/>
      <c r="Z10455" s="318"/>
      <c r="AA10455" s="318"/>
      <c r="AB10455" s="318"/>
      <c r="AC10455" s="318"/>
      <c r="AD10455" s="318"/>
    </row>
    <row r="10456" spans="2:30" s="323" customFormat="1" ht="12" customHeight="1">
      <c r="B10456" s="324"/>
      <c r="C10456" s="325"/>
      <c r="D10456" s="326"/>
      <c r="E10456" s="326"/>
      <c r="F10456" s="326"/>
      <c r="G10456" s="326"/>
      <c r="H10456" s="326"/>
      <c r="P10456" s="318"/>
      <c r="Q10456" s="318"/>
      <c r="R10456" s="318"/>
      <c r="S10456" s="318"/>
      <c r="T10456" s="318"/>
      <c r="U10456" s="318"/>
      <c r="V10456" s="318"/>
      <c r="W10456" s="318"/>
      <c r="X10456" s="318"/>
      <c r="Y10456" s="318"/>
      <c r="Z10456" s="318"/>
      <c r="AA10456" s="318"/>
      <c r="AB10456" s="318"/>
      <c r="AC10456" s="318"/>
      <c r="AD10456" s="318"/>
    </row>
    <row r="10457" spans="2:30" s="323" customFormat="1" ht="12" customHeight="1">
      <c r="B10457" s="324"/>
      <c r="C10457" s="325"/>
      <c r="D10457" s="326"/>
      <c r="E10457" s="326"/>
      <c r="F10457" s="326"/>
      <c r="G10457" s="326"/>
      <c r="H10457" s="326"/>
      <c r="P10457" s="318"/>
      <c r="Q10457" s="318"/>
      <c r="R10457" s="318"/>
      <c r="S10457" s="318"/>
      <c r="T10457" s="318"/>
      <c r="U10457" s="318"/>
      <c r="V10457" s="318"/>
      <c r="W10457" s="318"/>
      <c r="X10457" s="318"/>
      <c r="Y10457" s="318"/>
      <c r="Z10457" s="318"/>
      <c r="AA10457" s="318"/>
      <c r="AB10457" s="318"/>
      <c r="AC10457" s="318"/>
      <c r="AD10457" s="318"/>
    </row>
    <row r="10458" spans="2:30" s="323" customFormat="1" ht="12" customHeight="1">
      <c r="B10458" s="324"/>
      <c r="C10458" s="325"/>
      <c r="D10458" s="326"/>
      <c r="E10458" s="326"/>
      <c r="F10458" s="326"/>
      <c r="G10458" s="326"/>
      <c r="H10458" s="326"/>
      <c r="P10458" s="318"/>
      <c r="Q10458" s="318"/>
      <c r="R10458" s="318"/>
      <c r="S10458" s="318"/>
      <c r="T10458" s="318"/>
      <c r="U10458" s="318"/>
      <c r="V10458" s="318"/>
      <c r="W10458" s="318"/>
      <c r="X10458" s="318"/>
      <c r="Y10458" s="318"/>
      <c r="Z10458" s="318"/>
      <c r="AA10458" s="318"/>
      <c r="AB10458" s="318"/>
      <c r="AC10458" s="318"/>
      <c r="AD10458" s="318"/>
    </row>
    <row r="10459" spans="2:30" s="323" customFormat="1" ht="12" customHeight="1">
      <c r="B10459" s="324"/>
      <c r="C10459" s="325"/>
      <c r="D10459" s="326"/>
      <c r="E10459" s="326"/>
      <c r="F10459" s="326"/>
      <c r="G10459" s="326"/>
      <c r="H10459" s="326"/>
      <c r="P10459" s="318"/>
      <c r="Q10459" s="318"/>
      <c r="R10459" s="318"/>
      <c r="S10459" s="318"/>
      <c r="T10459" s="318"/>
      <c r="U10459" s="318"/>
      <c r="V10459" s="318"/>
      <c r="W10459" s="318"/>
      <c r="X10459" s="318"/>
      <c r="Y10459" s="318"/>
      <c r="Z10459" s="318"/>
      <c r="AA10459" s="318"/>
      <c r="AB10459" s="318"/>
      <c r="AC10459" s="318"/>
      <c r="AD10459" s="318"/>
    </row>
    <row r="10460" spans="2:30" s="323" customFormat="1" ht="12" customHeight="1">
      <c r="B10460" s="324"/>
      <c r="C10460" s="325"/>
      <c r="D10460" s="326"/>
      <c r="E10460" s="326"/>
      <c r="F10460" s="326"/>
      <c r="G10460" s="326"/>
      <c r="H10460" s="326"/>
      <c r="P10460" s="318"/>
      <c r="Q10460" s="318"/>
      <c r="R10460" s="318"/>
      <c r="S10460" s="318"/>
      <c r="T10460" s="318"/>
      <c r="U10460" s="318"/>
      <c r="V10460" s="318"/>
      <c r="W10460" s="318"/>
      <c r="X10460" s="318"/>
      <c r="Y10460" s="318"/>
      <c r="Z10460" s="318"/>
      <c r="AA10460" s="318"/>
      <c r="AB10460" s="318"/>
      <c r="AC10460" s="318"/>
      <c r="AD10460" s="318"/>
    </row>
    <row r="10461" spans="2:30" s="323" customFormat="1" ht="12" customHeight="1">
      <c r="B10461" s="324"/>
      <c r="C10461" s="325"/>
      <c r="D10461" s="326"/>
      <c r="E10461" s="326"/>
      <c r="F10461" s="326"/>
      <c r="G10461" s="326"/>
      <c r="H10461" s="326"/>
      <c r="P10461" s="318"/>
      <c r="Q10461" s="318"/>
      <c r="R10461" s="318"/>
      <c r="S10461" s="318"/>
      <c r="T10461" s="318"/>
      <c r="U10461" s="318"/>
      <c r="V10461" s="318"/>
      <c r="W10461" s="318"/>
      <c r="X10461" s="318"/>
      <c r="Y10461" s="318"/>
      <c r="Z10461" s="318"/>
      <c r="AA10461" s="318"/>
      <c r="AB10461" s="318"/>
      <c r="AC10461" s="318"/>
      <c r="AD10461" s="318"/>
    </row>
    <row r="10462" spans="2:30" s="323" customFormat="1" ht="12" customHeight="1">
      <c r="B10462" s="324"/>
      <c r="C10462" s="325"/>
      <c r="D10462" s="326"/>
      <c r="E10462" s="326"/>
      <c r="F10462" s="326"/>
      <c r="G10462" s="326"/>
      <c r="H10462" s="326"/>
      <c r="P10462" s="318"/>
      <c r="Q10462" s="318"/>
      <c r="R10462" s="318"/>
      <c r="S10462" s="318"/>
      <c r="T10462" s="318"/>
      <c r="U10462" s="318"/>
      <c r="V10462" s="318"/>
      <c r="W10462" s="318"/>
      <c r="X10462" s="318"/>
      <c r="Y10462" s="318"/>
      <c r="Z10462" s="318"/>
      <c r="AA10462" s="318"/>
      <c r="AB10462" s="318"/>
      <c r="AC10462" s="318"/>
      <c r="AD10462" s="318"/>
    </row>
    <row r="10463" spans="2:30" s="323" customFormat="1" ht="12" customHeight="1">
      <c r="B10463" s="324"/>
      <c r="C10463" s="325"/>
      <c r="D10463" s="326"/>
      <c r="E10463" s="326"/>
      <c r="F10463" s="326"/>
      <c r="G10463" s="326"/>
      <c r="H10463" s="326"/>
      <c r="P10463" s="318"/>
      <c r="Q10463" s="318"/>
      <c r="R10463" s="318"/>
      <c r="S10463" s="318"/>
      <c r="T10463" s="318"/>
      <c r="U10463" s="318"/>
      <c r="V10463" s="318"/>
      <c r="W10463" s="318"/>
      <c r="X10463" s="318"/>
      <c r="Y10463" s="318"/>
      <c r="Z10463" s="318"/>
      <c r="AA10463" s="318"/>
      <c r="AB10463" s="318"/>
      <c r="AC10463" s="318"/>
      <c r="AD10463" s="318"/>
    </row>
    <row r="10464" spans="2:30" s="323" customFormat="1" ht="12" customHeight="1">
      <c r="B10464" s="324"/>
      <c r="C10464" s="325"/>
      <c r="D10464" s="326"/>
      <c r="E10464" s="326"/>
      <c r="F10464" s="326"/>
      <c r="G10464" s="326"/>
      <c r="H10464" s="326"/>
      <c r="P10464" s="318"/>
      <c r="Q10464" s="318"/>
      <c r="R10464" s="318"/>
      <c r="S10464" s="318"/>
      <c r="T10464" s="318"/>
      <c r="U10464" s="318"/>
      <c r="V10464" s="318"/>
      <c r="W10464" s="318"/>
      <c r="X10464" s="318"/>
      <c r="Y10464" s="318"/>
      <c r="Z10464" s="318"/>
      <c r="AA10464" s="318"/>
      <c r="AB10464" s="318"/>
      <c r="AC10464" s="318"/>
      <c r="AD10464" s="318"/>
    </row>
    <row r="10465" spans="2:30" s="323" customFormat="1" ht="12" customHeight="1">
      <c r="B10465" s="324"/>
      <c r="C10465" s="325"/>
      <c r="D10465" s="326"/>
      <c r="E10465" s="326"/>
      <c r="F10465" s="326"/>
      <c r="G10465" s="326"/>
      <c r="H10465" s="326"/>
      <c r="P10465" s="318"/>
      <c r="Q10465" s="318"/>
      <c r="R10465" s="318"/>
      <c r="S10465" s="318"/>
      <c r="T10465" s="318"/>
      <c r="U10465" s="318"/>
      <c r="V10465" s="318"/>
      <c r="W10465" s="318"/>
      <c r="X10465" s="318"/>
      <c r="Y10465" s="318"/>
      <c r="Z10465" s="318"/>
      <c r="AA10465" s="318"/>
      <c r="AB10465" s="318"/>
      <c r="AC10465" s="318"/>
      <c r="AD10465" s="318"/>
    </row>
    <row r="10466" spans="2:30" s="323" customFormat="1" ht="12" customHeight="1">
      <c r="B10466" s="324"/>
      <c r="C10466" s="325"/>
      <c r="D10466" s="326"/>
      <c r="E10466" s="326"/>
      <c r="F10466" s="326"/>
      <c r="G10466" s="326"/>
      <c r="H10466" s="326"/>
      <c r="P10466" s="318"/>
      <c r="Q10466" s="318"/>
      <c r="R10466" s="318"/>
      <c r="S10466" s="318"/>
      <c r="T10466" s="318"/>
      <c r="U10466" s="318"/>
      <c r="V10466" s="318"/>
      <c r="W10466" s="318"/>
      <c r="X10466" s="318"/>
      <c r="Y10466" s="318"/>
      <c r="Z10466" s="318"/>
      <c r="AA10466" s="318"/>
      <c r="AB10466" s="318"/>
      <c r="AC10466" s="318"/>
      <c r="AD10466" s="318"/>
    </row>
    <row r="10467" spans="2:30" s="323" customFormat="1" ht="12" customHeight="1">
      <c r="B10467" s="324"/>
      <c r="C10467" s="325"/>
      <c r="D10467" s="326"/>
      <c r="E10467" s="326"/>
      <c r="F10467" s="326"/>
      <c r="G10467" s="326"/>
      <c r="H10467" s="326"/>
      <c r="P10467" s="318"/>
      <c r="Q10467" s="318"/>
      <c r="R10467" s="318"/>
      <c r="S10467" s="318"/>
      <c r="T10467" s="318"/>
      <c r="U10467" s="318"/>
      <c r="V10467" s="318"/>
      <c r="W10467" s="318"/>
      <c r="X10467" s="318"/>
      <c r="Y10467" s="318"/>
      <c r="Z10467" s="318"/>
      <c r="AA10467" s="318"/>
      <c r="AB10467" s="318"/>
      <c r="AC10467" s="318"/>
      <c r="AD10467" s="318"/>
    </row>
    <row r="10468" spans="2:30" s="323" customFormat="1" ht="12" customHeight="1">
      <c r="B10468" s="324"/>
      <c r="C10468" s="325"/>
      <c r="D10468" s="326"/>
      <c r="E10468" s="326"/>
      <c r="F10468" s="326"/>
      <c r="G10468" s="326"/>
      <c r="H10468" s="326"/>
      <c r="P10468" s="318"/>
      <c r="Q10468" s="318"/>
      <c r="R10468" s="318"/>
      <c r="S10468" s="318"/>
      <c r="T10468" s="318"/>
      <c r="U10468" s="318"/>
      <c r="V10468" s="318"/>
      <c r="W10468" s="318"/>
      <c r="X10468" s="318"/>
      <c r="Y10468" s="318"/>
      <c r="Z10468" s="318"/>
      <c r="AA10468" s="318"/>
      <c r="AB10468" s="318"/>
      <c r="AC10468" s="318"/>
      <c r="AD10468" s="318"/>
    </row>
    <row r="10469" spans="2:30" s="323" customFormat="1" ht="12" customHeight="1">
      <c r="B10469" s="324"/>
      <c r="C10469" s="325"/>
      <c r="D10469" s="326"/>
      <c r="E10469" s="326"/>
      <c r="F10469" s="326"/>
      <c r="G10469" s="326"/>
      <c r="H10469" s="326"/>
      <c r="P10469" s="318"/>
      <c r="Q10469" s="318"/>
      <c r="R10469" s="318"/>
      <c r="S10469" s="318"/>
      <c r="T10469" s="318"/>
      <c r="U10469" s="318"/>
      <c r="V10469" s="318"/>
      <c r="W10469" s="318"/>
      <c r="X10469" s="318"/>
      <c r="Y10469" s="318"/>
      <c r="Z10469" s="318"/>
      <c r="AA10469" s="318"/>
      <c r="AB10469" s="318"/>
      <c r="AC10469" s="318"/>
      <c r="AD10469" s="318"/>
    </row>
    <row r="10470" spans="2:30" s="323" customFormat="1" ht="12" customHeight="1">
      <c r="B10470" s="324"/>
      <c r="C10470" s="325"/>
      <c r="D10470" s="326"/>
      <c r="E10470" s="326"/>
      <c r="F10470" s="326"/>
      <c r="G10470" s="326"/>
      <c r="H10470" s="326"/>
      <c r="P10470" s="318"/>
      <c r="Q10470" s="318"/>
      <c r="R10470" s="318"/>
      <c r="S10470" s="318"/>
      <c r="T10470" s="318"/>
      <c r="U10470" s="318"/>
      <c r="V10470" s="318"/>
      <c r="W10470" s="318"/>
      <c r="X10470" s="318"/>
      <c r="Y10470" s="318"/>
      <c r="Z10470" s="318"/>
      <c r="AA10470" s="318"/>
      <c r="AB10470" s="318"/>
      <c r="AC10470" s="318"/>
      <c r="AD10470" s="318"/>
    </row>
    <row r="10471" spans="2:30" s="323" customFormat="1" ht="12" customHeight="1">
      <c r="B10471" s="324"/>
      <c r="C10471" s="325"/>
      <c r="D10471" s="326"/>
      <c r="E10471" s="326"/>
      <c r="F10471" s="326"/>
      <c r="G10471" s="326"/>
      <c r="H10471" s="326"/>
      <c r="P10471" s="318"/>
      <c r="Q10471" s="318"/>
      <c r="R10471" s="318"/>
      <c r="S10471" s="318"/>
      <c r="T10471" s="318"/>
      <c r="U10471" s="318"/>
      <c r="V10471" s="318"/>
      <c r="W10471" s="318"/>
      <c r="X10471" s="318"/>
      <c r="Y10471" s="318"/>
      <c r="Z10471" s="318"/>
      <c r="AA10471" s="318"/>
      <c r="AB10471" s="318"/>
      <c r="AC10471" s="318"/>
      <c r="AD10471" s="318"/>
    </row>
    <row r="10472" spans="2:30" s="323" customFormat="1" ht="12" customHeight="1">
      <c r="B10472" s="324"/>
      <c r="C10472" s="325"/>
      <c r="D10472" s="326"/>
      <c r="E10472" s="326"/>
      <c r="F10472" s="326"/>
      <c r="G10472" s="326"/>
      <c r="H10472" s="326"/>
      <c r="P10472" s="318"/>
      <c r="Q10472" s="318"/>
      <c r="R10472" s="318"/>
      <c r="S10472" s="318"/>
      <c r="T10472" s="318"/>
      <c r="U10472" s="318"/>
      <c r="V10472" s="318"/>
      <c r="W10472" s="318"/>
      <c r="X10472" s="318"/>
      <c r="Y10472" s="318"/>
      <c r="Z10472" s="318"/>
      <c r="AA10472" s="318"/>
      <c r="AB10472" s="318"/>
      <c r="AC10472" s="318"/>
      <c r="AD10472" s="318"/>
    </row>
    <row r="10473" spans="2:30" s="323" customFormat="1" ht="12" customHeight="1">
      <c r="B10473" s="324"/>
      <c r="C10473" s="325"/>
      <c r="D10473" s="326"/>
      <c r="E10473" s="326"/>
      <c r="F10473" s="326"/>
      <c r="G10473" s="326"/>
      <c r="H10473" s="326"/>
      <c r="P10473" s="318"/>
      <c r="Q10473" s="318"/>
      <c r="R10473" s="318"/>
      <c r="S10473" s="318"/>
      <c r="T10473" s="318"/>
      <c r="U10473" s="318"/>
      <c r="V10473" s="318"/>
      <c r="W10473" s="318"/>
      <c r="X10473" s="318"/>
      <c r="Y10473" s="318"/>
      <c r="Z10473" s="318"/>
      <c r="AA10473" s="318"/>
      <c r="AB10473" s="318"/>
      <c r="AC10473" s="318"/>
      <c r="AD10473" s="318"/>
    </row>
    <row r="10474" spans="2:30" s="323" customFormat="1" ht="12" customHeight="1">
      <c r="B10474" s="324"/>
      <c r="C10474" s="325"/>
      <c r="D10474" s="326"/>
      <c r="E10474" s="326"/>
      <c r="F10474" s="326"/>
      <c r="G10474" s="326"/>
      <c r="H10474" s="326"/>
      <c r="P10474" s="318"/>
      <c r="Q10474" s="318"/>
      <c r="R10474" s="318"/>
      <c r="S10474" s="318"/>
      <c r="T10474" s="318"/>
      <c r="U10474" s="318"/>
      <c r="V10474" s="318"/>
      <c r="W10474" s="318"/>
      <c r="X10474" s="318"/>
      <c r="Y10474" s="318"/>
      <c r="Z10474" s="318"/>
      <c r="AA10474" s="318"/>
      <c r="AB10474" s="318"/>
      <c r="AC10474" s="318"/>
      <c r="AD10474" s="318"/>
    </row>
    <row r="10475" spans="2:30" s="323" customFormat="1" ht="12" customHeight="1">
      <c r="B10475" s="324"/>
      <c r="C10475" s="325"/>
      <c r="D10475" s="326"/>
      <c r="E10475" s="326"/>
      <c r="F10475" s="326"/>
      <c r="G10475" s="326"/>
      <c r="H10475" s="326"/>
      <c r="P10475" s="318"/>
      <c r="Q10475" s="318"/>
      <c r="R10475" s="318"/>
      <c r="S10475" s="318"/>
      <c r="T10475" s="318"/>
      <c r="U10475" s="318"/>
      <c r="V10475" s="318"/>
      <c r="W10475" s="318"/>
      <c r="X10475" s="318"/>
      <c r="Y10475" s="318"/>
      <c r="Z10475" s="318"/>
      <c r="AA10475" s="318"/>
      <c r="AB10475" s="318"/>
      <c r="AC10475" s="318"/>
      <c r="AD10475" s="318"/>
    </row>
    <row r="10476" spans="2:30" s="323" customFormat="1" ht="12" customHeight="1">
      <c r="B10476" s="324"/>
      <c r="C10476" s="325"/>
      <c r="D10476" s="326"/>
      <c r="E10476" s="326"/>
      <c r="F10476" s="326"/>
      <c r="G10476" s="326"/>
      <c r="H10476" s="326"/>
      <c r="P10476" s="318"/>
      <c r="Q10476" s="318"/>
      <c r="R10476" s="318"/>
      <c r="S10476" s="318"/>
      <c r="T10476" s="318"/>
      <c r="U10476" s="318"/>
      <c r="V10476" s="318"/>
      <c r="W10476" s="318"/>
      <c r="X10476" s="318"/>
      <c r="Y10476" s="318"/>
      <c r="Z10476" s="318"/>
      <c r="AA10476" s="318"/>
      <c r="AB10476" s="318"/>
      <c r="AC10476" s="318"/>
      <c r="AD10476" s="318"/>
    </row>
    <row r="10477" spans="2:30" s="323" customFormat="1" ht="12" customHeight="1">
      <c r="B10477" s="324"/>
      <c r="C10477" s="325"/>
      <c r="D10477" s="326"/>
      <c r="E10477" s="326"/>
      <c r="F10477" s="326"/>
      <c r="G10477" s="326"/>
      <c r="H10477" s="326"/>
      <c r="P10477" s="318"/>
      <c r="Q10477" s="318"/>
      <c r="R10477" s="318"/>
      <c r="S10477" s="318"/>
      <c r="T10477" s="318"/>
      <c r="U10477" s="318"/>
      <c r="V10477" s="318"/>
      <c r="W10477" s="318"/>
      <c r="X10477" s="318"/>
      <c r="Y10477" s="318"/>
      <c r="Z10477" s="318"/>
      <c r="AA10477" s="318"/>
      <c r="AB10477" s="318"/>
      <c r="AC10477" s="318"/>
      <c r="AD10477" s="318"/>
    </row>
    <row r="10478" spans="2:30" s="323" customFormat="1" ht="12" customHeight="1">
      <c r="B10478" s="324"/>
      <c r="C10478" s="325"/>
      <c r="D10478" s="326"/>
      <c r="E10478" s="326"/>
      <c r="F10478" s="326"/>
      <c r="G10478" s="326"/>
      <c r="H10478" s="326"/>
      <c r="P10478" s="318"/>
      <c r="Q10478" s="318"/>
      <c r="R10478" s="318"/>
      <c r="S10478" s="318"/>
      <c r="T10478" s="318"/>
      <c r="U10478" s="318"/>
      <c r="V10478" s="318"/>
      <c r="W10478" s="318"/>
      <c r="X10478" s="318"/>
      <c r="Y10478" s="318"/>
      <c r="Z10478" s="318"/>
      <c r="AA10478" s="318"/>
      <c r="AB10478" s="318"/>
      <c r="AC10478" s="318"/>
      <c r="AD10478" s="318"/>
    </row>
    <row r="10479" spans="2:30" s="323" customFormat="1" ht="12" customHeight="1">
      <c r="B10479" s="324"/>
      <c r="C10479" s="325"/>
      <c r="D10479" s="326"/>
      <c r="E10479" s="326"/>
      <c r="F10479" s="326"/>
      <c r="G10479" s="326"/>
      <c r="H10479" s="326"/>
      <c r="P10479" s="318"/>
      <c r="Q10479" s="318"/>
      <c r="R10479" s="318"/>
      <c r="S10479" s="318"/>
      <c r="T10479" s="318"/>
      <c r="U10479" s="318"/>
      <c r="V10479" s="318"/>
      <c r="W10479" s="318"/>
      <c r="X10479" s="318"/>
      <c r="Y10479" s="318"/>
      <c r="Z10479" s="318"/>
      <c r="AA10479" s="318"/>
      <c r="AB10479" s="318"/>
      <c r="AC10479" s="318"/>
      <c r="AD10479" s="318"/>
    </row>
    <row r="10480" spans="2:30" s="323" customFormat="1" ht="12" customHeight="1">
      <c r="B10480" s="324"/>
      <c r="C10480" s="325"/>
      <c r="D10480" s="326"/>
      <c r="E10480" s="326"/>
      <c r="F10480" s="326"/>
      <c r="G10480" s="326"/>
      <c r="H10480" s="326"/>
      <c r="P10480" s="318"/>
      <c r="Q10480" s="318"/>
      <c r="R10480" s="318"/>
      <c r="S10480" s="318"/>
      <c r="T10480" s="318"/>
      <c r="U10480" s="318"/>
      <c r="V10480" s="318"/>
      <c r="W10480" s="318"/>
      <c r="X10480" s="318"/>
      <c r="Y10480" s="318"/>
      <c r="Z10480" s="318"/>
      <c r="AA10480" s="318"/>
      <c r="AB10480" s="318"/>
      <c r="AC10480" s="318"/>
      <c r="AD10480" s="318"/>
    </row>
    <row r="10481" spans="2:30" s="323" customFormat="1" ht="12" customHeight="1">
      <c r="B10481" s="324"/>
      <c r="C10481" s="325"/>
      <c r="D10481" s="326"/>
      <c r="E10481" s="326"/>
      <c r="F10481" s="326"/>
      <c r="G10481" s="326"/>
      <c r="H10481" s="326"/>
      <c r="P10481" s="318"/>
      <c r="Q10481" s="318"/>
      <c r="R10481" s="318"/>
      <c r="S10481" s="318"/>
      <c r="T10481" s="318"/>
      <c r="U10481" s="318"/>
      <c r="V10481" s="318"/>
      <c r="W10481" s="318"/>
      <c r="X10481" s="318"/>
      <c r="Y10481" s="318"/>
      <c r="Z10481" s="318"/>
      <c r="AA10481" s="318"/>
      <c r="AB10481" s="318"/>
      <c r="AC10481" s="318"/>
      <c r="AD10481" s="318"/>
    </row>
    <row r="10482" spans="2:30" s="323" customFormat="1" ht="12" customHeight="1">
      <c r="B10482" s="324"/>
      <c r="C10482" s="325"/>
      <c r="D10482" s="326"/>
      <c r="E10482" s="326"/>
      <c r="F10482" s="326"/>
      <c r="G10482" s="326"/>
      <c r="H10482" s="326"/>
      <c r="P10482" s="318"/>
      <c r="Q10482" s="318"/>
      <c r="R10482" s="318"/>
      <c r="S10482" s="318"/>
      <c r="T10482" s="318"/>
      <c r="U10482" s="318"/>
      <c r="V10482" s="318"/>
      <c r="W10482" s="318"/>
      <c r="X10482" s="318"/>
      <c r="Y10482" s="318"/>
      <c r="Z10482" s="318"/>
      <c r="AA10482" s="318"/>
      <c r="AB10482" s="318"/>
      <c r="AC10482" s="318"/>
      <c r="AD10482" s="318"/>
    </row>
    <row r="10483" spans="2:30" s="323" customFormat="1" ht="12" customHeight="1">
      <c r="B10483" s="324"/>
      <c r="C10483" s="325"/>
      <c r="D10483" s="326"/>
      <c r="E10483" s="326"/>
      <c r="F10483" s="326"/>
      <c r="G10483" s="326"/>
      <c r="H10483" s="326"/>
      <c r="P10483" s="318"/>
      <c r="Q10483" s="318"/>
      <c r="R10483" s="318"/>
      <c r="S10483" s="318"/>
      <c r="T10483" s="318"/>
      <c r="U10483" s="318"/>
      <c r="V10483" s="318"/>
      <c r="W10483" s="318"/>
      <c r="X10483" s="318"/>
      <c r="Y10483" s="318"/>
      <c r="Z10483" s="318"/>
      <c r="AA10483" s="318"/>
      <c r="AB10483" s="318"/>
      <c r="AC10483" s="318"/>
      <c r="AD10483" s="318"/>
    </row>
    <row r="10484" spans="2:30" s="323" customFormat="1" ht="12" customHeight="1">
      <c r="B10484" s="324"/>
      <c r="C10484" s="325"/>
      <c r="D10484" s="326"/>
      <c r="E10484" s="326"/>
      <c r="F10484" s="326"/>
      <c r="G10484" s="326"/>
      <c r="H10484" s="326"/>
      <c r="P10484" s="318"/>
      <c r="Q10484" s="318"/>
      <c r="R10484" s="318"/>
      <c r="S10484" s="318"/>
      <c r="T10484" s="318"/>
      <c r="U10484" s="318"/>
      <c r="V10484" s="318"/>
      <c r="W10484" s="318"/>
      <c r="X10484" s="318"/>
      <c r="Y10484" s="318"/>
      <c r="Z10484" s="318"/>
      <c r="AA10484" s="318"/>
      <c r="AB10484" s="318"/>
      <c r="AC10484" s="318"/>
      <c r="AD10484" s="318"/>
    </row>
    <row r="10485" spans="2:30" s="323" customFormat="1" ht="12" customHeight="1">
      <c r="B10485" s="324"/>
      <c r="C10485" s="325"/>
      <c r="D10485" s="326"/>
      <c r="E10485" s="326"/>
      <c r="F10485" s="326"/>
      <c r="G10485" s="326"/>
      <c r="H10485" s="326"/>
      <c r="P10485" s="318"/>
      <c r="Q10485" s="318"/>
      <c r="R10485" s="318"/>
      <c r="S10485" s="318"/>
      <c r="T10485" s="318"/>
      <c r="U10485" s="318"/>
      <c r="V10485" s="318"/>
      <c r="W10485" s="318"/>
      <c r="X10485" s="318"/>
      <c r="Y10485" s="318"/>
      <c r="Z10485" s="318"/>
      <c r="AA10485" s="318"/>
      <c r="AB10485" s="318"/>
      <c r="AC10485" s="318"/>
      <c r="AD10485" s="318"/>
    </row>
    <row r="10486" spans="2:30" s="323" customFormat="1" ht="12" customHeight="1">
      <c r="B10486" s="324"/>
      <c r="C10486" s="325"/>
      <c r="D10486" s="326"/>
      <c r="E10486" s="326"/>
      <c r="F10486" s="326"/>
      <c r="G10486" s="326"/>
      <c r="H10486" s="326"/>
      <c r="P10486" s="318"/>
      <c r="Q10486" s="318"/>
      <c r="R10486" s="318"/>
      <c r="S10486" s="318"/>
      <c r="T10486" s="318"/>
      <c r="U10486" s="318"/>
      <c r="V10486" s="318"/>
      <c r="W10486" s="318"/>
      <c r="X10486" s="318"/>
      <c r="Y10486" s="318"/>
      <c r="Z10486" s="318"/>
      <c r="AA10486" s="318"/>
      <c r="AB10486" s="318"/>
      <c r="AC10486" s="318"/>
      <c r="AD10486" s="318"/>
    </row>
    <row r="10487" spans="2:30" s="323" customFormat="1" ht="12" customHeight="1">
      <c r="B10487" s="324"/>
      <c r="C10487" s="325"/>
      <c r="D10487" s="326"/>
      <c r="E10487" s="326"/>
      <c r="F10487" s="326"/>
      <c r="G10487" s="326"/>
      <c r="H10487" s="326"/>
      <c r="P10487" s="318"/>
      <c r="Q10487" s="318"/>
      <c r="R10487" s="318"/>
      <c r="S10487" s="318"/>
      <c r="T10487" s="318"/>
      <c r="U10487" s="318"/>
      <c r="V10487" s="318"/>
      <c r="W10487" s="318"/>
      <c r="X10487" s="318"/>
      <c r="Y10487" s="318"/>
      <c r="Z10487" s="318"/>
      <c r="AA10487" s="318"/>
      <c r="AB10487" s="318"/>
      <c r="AC10487" s="318"/>
      <c r="AD10487" s="318"/>
    </row>
    <row r="10488" spans="2:30" s="323" customFormat="1" ht="12" customHeight="1">
      <c r="B10488" s="324"/>
      <c r="C10488" s="325"/>
      <c r="D10488" s="326"/>
      <c r="E10488" s="326"/>
      <c r="F10488" s="326"/>
      <c r="G10488" s="326"/>
      <c r="H10488" s="326"/>
      <c r="P10488" s="318"/>
      <c r="Q10488" s="318"/>
      <c r="R10488" s="318"/>
      <c r="S10488" s="318"/>
      <c r="T10488" s="318"/>
      <c r="U10488" s="318"/>
      <c r="V10488" s="318"/>
      <c r="W10488" s="318"/>
      <c r="X10488" s="318"/>
      <c r="Y10488" s="318"/>
      <c r="Z10488" s="318"/>
      <c r="AA10488" s="318"/>
      <c r="AB10488" s="318"/>
      <c r="AC10488" s="318"/>
      <c r="AD10488" s="318"/>
    </row>
    <row r="10489" spans="2:30" s="323" customFormat="1" ht="12" customHeight="1">
      <c r="B10489" s="324"/>
      <c r="C10489" s="325"/>
      <c r="D10489" s="326"/>
      <c r="E10489" s="326"/>
      <c r="F10489" s="326"/>
      <c r="G10489" s="326"/>
      <c r="H10489" s="326"/>
      <c r="P10489" s="318"/>
      <c r="Q10489" s="318"/>
      <c r="R10489" s="318"/>
      <c r="S10489" s="318"/>
      <c r="T10489" s="318"/>
      <c r="U10489" s="318"/>
      <c r="V10489" s="318"/>
      <c r="W10489" s="318"/>
      <c r="X10489" s="318"/>
      <c r="Y10489" s="318"/>
      <c r="Z10489" s="318"/>
      <c r="AA10489" s="318"/>
      <c r="AB10489" s="318"/>
      <c r="AC10489" s="318"/>
      <c r="AD10489" s="318"/>
    </row>
    <row r="10490" spans="2:30" s="323" customFormat="1" ht="12" customHeight="1">
      <c r="B10490" s="324"/>
      <c r="C10490" s="325"/>
      <c r="D10490" s="326"/>
      <c r="E10490" s="326"/>
      <c r="F10490" s="326"/>
      <c r="G10490" s="326"/>
      <c r="H10490" s="326"/>
      <c r="P10490" s="318"/>
      <c r="Q10490" s="318"/>
      <c r="R10490" s="318"/>
      <c r="S10490" s="318"/>
      <c r="T10490" s="318"/>
      <c r="U10490" s="318"/>
      <c r="V10490" s="318"/>
      <c r="W10490" s="318"/>
      <c r="X10490" s="318"/>
      <c r="Y10490" s="318"/>
      <c r="Z10490" s="318"/>
      <c r="AA10490" s="318"/>
      <c r="AB10490" s="318"/>
      <c r="AC10490" s="318"/>
      <c r="AD10490" s="318"/>
    </row>
    <row r="10491" spans="2:30" s="323" customFormat="1" ht="12" customHeight="1">
      <c r="B10491" s="324"/>
      <c r="C10491" s="325"/>
      <c r="D10491" s="326"/>
      <c r="E10491" s="326"/>
      <c r="F10491" s="326"/>
      <c r="G10491" s="326"/>
      <c r="H10491" s="326"/>
      <c r="P10491" s="318"/>
      <c r="Q10491" s="318"/>
      <c r="R10491" s="318"/>
      <c r="S10491" s="318"/>
      <c r="T10491" s="318"/>
      <c r="U10491" s="318"/>
      <c r="V10491" s="318"/>
      <c r="W10491" s="318"/>
      <c r="X10491" s="318"/>
      <c r="Y10491" s="318"/>
      <c r="Z10491" s="318"/>
      <c r="AA10491" s="318"/>
      <c r="AB10491" s="318"/>
      <c r="AC10491" s="318"/>
      <c r="AD10491" s="318"/>
    </row>
    <row r="10492" spans="2:30" s="323" customFormat="1" ht="12" customHeight="1">
      <c r="B10492" s="324"/>
      <c r="C10492" s="325"/>
      <c r="D10492" s="326"/>
      <c r="E10492" s="326"/>
      <c r="F10492" s="326"/>
      <c r="G10492" s="326"/>
      <c r="H10492" s="326"/>
      <c r="P10492" s="318"/>
      <c r="Q10492" s="318"/>
      <c r="R10492" s="318"/>
      <c r="S10492" s="318"/>
      <c r="T10492" s="318"/>
      <c r="U10492" s="318"/>
      <c r="V10492" s="318"/>
      <c r="W10492" s="318"/>
      <c r="X10492" s="318"/>
      <c r="Y10492" s="318"/>
      <c r="Z10492" s="318"/>
      <c r="AA10492" s="318"/>
      <c r="AB10492" s="318"/>
      <c r="AC10492" s="318"/>
      <c r="AD10492" s="318"/>
    </row>
    <row r="10493" spans="2:30" s="323" customFormat="1" ht="12" customHeight="1">
      <c r="B10493" s="324"/>
      <c r="C10493" s="325"/>
      <c r="D10493" s="326"/>
      <c r="E10493" s="326"/>
      <c r="F10493" s="326"/>
      <c r="G10493" s="326"/>
      <c r="H10493" s="326"/>
      <c r="P10493" s="318"/>
      <c r="Q10493" s="318"/>
      <c r="R10493" s="318"/>
      <c r="S10493" s="318"/>
      <c r="T10493" s="318"/>
      <c r="U10493" s="318"/>
      <c r="V10493" s="318"/>
      <c r="W10493" s="318"/>
      <c r="X10493" s="318"/>
      <c r="Y10493" s="318"/>
      <c r="Z10493" s="318"/>
      <c r="AA10493" s="318"/>
      <c r="AB10493" s="318"/>
      <c r="AC10493" s="318"/>
      <c r="AD10493" s="318"/>
    </row>
    <row r="10494" spans="2:30" s="323" customFormat="1" ht="12" customHeight="1">
      <c r="B10494" s="324"/>
      <c r="C10494" s="325"/>
      <c r="D10494" s="326"/>
      <c r="E10494" s="326"/>
      <c r="F10494" s="326"/>
      <c r="G10494" s="326"/>
      <c r="H10494" s="326"/>
      <c r="P10494" s="318"/>
      <c r="Q10494" s="318"/>
      <c r="R10494" s="318"/>
      <c r="S10494" s="318"/>
      <c r="T10494" s="318"/>
      <c r="U10494" s="318"/>
      <c r="V10494" s="318"/>
      <c r="W10494" s="318"/>
      <c r="X10494" s="318"/>
      <c r="Y10494" s="318"/>
      <c r="Z10494" s="318"/>
      <c r="AA10494" s="318"/>
      <c r="AB10494" s="318"/>
      <c r="AC10494" s="318"/>
      <c r="AD10494" s="318"/>
    </row>
    <row r="10495" spans="2:30" s="323" customFormat="1" ht="12" customHeight="1">
      <c r="B10495" s="324"/>
      <c r="C10495" s="325"/>
      <c r="D10495" s="326"/>
      <c r="E10495" s="326"/>
      <c r="F10495" s="326"/>
      <c r="G10495" s="326"/>
      <c r="H10495" s="326"/>
      <c r="P10495" s="318"/>
      <c r="Q10495" s="318"/>
      <c r="R10495" s="318"/>
      <c r="S10495" s="318"/>
      <c r="T10495" s="318"/>
      <c r="U10495" s="318"/>
      <c r="V10495" s="318"/>
      <c r="W10495" s="318"/>
      <c r="X10495" s="318"/>
      <c r="Y10495" s="318"/>
      <c r="Z10495" s="318"/>
      <c r="AA10495" s="318"/>
      <c r="AB10495" s="318"/>
      <c r="AC10495" s="318"/>
      <c r="AD10495" s="318"/>
    </row>
    <row r="10496" spans="2:30" s="323" customFormat="1" ht="12" customHeight="1">
      <c r="B10496" s="324"/>
      <c r="C10496" s="325"/>
      <c r="D10496" s="326"/>
      <c r="E10496" s="326"/>
      <c r="F10496" s="326"/>
      <c r="G10496" s="326"/>
      <c r="H10496" s="326"/>
      <c r="P10496" s="318"/>
      <c r="Q10496" s="318"/>
      <c r="R10496" s="318"/>
      <c r="S10496" s="318"/>
      <c r="T10496" s="318"/>
      <c r="U10496" s="318"/>
      <c r="V10496" s="318"/>
      <c r="W10496" s="318"/>
      <c r="X10496" s="318"/>
      <c r="Y10496" s="318"/>
      <c r="Z10496" s="318"/>
      <c r="AA10496" s="318"/>
      <c r="AB10496" s="318"/>
      <c r="AC10496" s="318"/>
      <c r="AD10496" s="318"/>
    </row>
    <row r="10497" spans="2:30" s="323" customFormat="1" ht="12" customHeight="1">
      <c r="B10497" s="324"/>
      <c r="C10497" s="325"/>
      <c r="D10497" s="326"/>
      <c r="E10497" s="326"/>
      <c r="F10497" s="326"/>
      <c r="G10497" s="326"/>
      <c r="H10497" s="326"/>
      <c r="P10497" s="318"/>
      <c r="Q10497" s="318"/>
      <c r="R10497" s="318"/>
      <c r="S10497" s="318"/>
      <c r="T10497" s="318"/>
      <c r="U10497" s="318"/>
      <c r="V10497" s="318"/>
      <c r="W10497" s="318"/>
      <c r="X10497" s="318"/>
      <c r="Y10497" s="318"/>
      <c r="Z10497" s="318"/>
      <c r="AA10497" s="318"/>
      <c r="AB10497" s="318"/>
      <c r="AC10497" s="318"/>
      <c r="AD10497" s="318"/>
    </row>
    <row r="10498" spans="2:30" s="323" customFormat="1" ht="12" customHeight="1">
      <c r="B10498" s="324"/>
      <c r="C10498" s="325"/>
      <c r="D10498" s="326"/>
      <c r="E10498" s="326"/>
      <c r="F10498" s="326"/>
      <c r="G10498" s="326"/>
      <c r="H10498" s="326"/>
      <c r="P10498" s="318"/>
      <c r="Q10498" s="318"/>
      <c r="R10498" s="318"/>
      <c r="S10498" s="318"/>
      <c r="T10498" s="318"/>
      <c r="U10498" s="318"/>
      <c r="V10498" s="318"/>
      <c r="W10498" s="318"/>
      <c r="X10498" s="318"/>
      <c r="Y10498" s="318"/>
      <c r="Z10498" s="318"/>
      <c r="AA10498" s="318"/>
      <c r="AB10498" s="318"/>
      <c r="AC10498" s="318"/>
      <c r="AD10498" s="318"/>
    </row>
    <row r="10499" spans="2:30" s="323" customFormat="1" ht="12" customHeight="1">
      <c r="B10499" s="324"/>
      <c r="C10499" s="325"/>
      <c r="D10499" s="326"/>
      <c r="E10499" s="326"/>
      <c r="F10499" s="326"/>
      <c r="G10499" s="326"/>
      <c r="H10499" s="326"/>
      <c r="P10499" s="318"/>
      <c r="Q10499" s="318"/>
      <c r="R10499" s="318"/>
      <c r="S10499" s="318"/>
      <c r="T10499" s="318"/>
      <c r="U10499" s="318"/>
      <c r="V10499" s="318"/>
      <c r="W10499" s="318"/>
      <c r="X10499" s="318"/>
      <c r="Y10499" s="318"/>
      <c r="Z10499" s="318"/>
      <c r="AA10499" s="318"/>
      <c r="AB10499" s="318"/>
      <c r="AC10499" s="318"/>
      <c r="AD10499" s="318"/>
    </row>
    <row r="10500" spans="2:30" s="323" customFormat="1" ht="12" customHeight="1">
      <c r="B10500" s="324"/>
      <c r="C10500" s="325"/>
      <c r="D10500" s="326"/>
      <c r="E10500" s="326"/>
      <c r="F10500" s="326"/>
      <c r="G10500" s="326"/>
      <c r="H10500" s="326"/>
      <c r="P10500" s="318"/>
      <c r="Q10500" s="318"/>
      <c r="R10500" s="318"/>
      <c r="S10500" s="318"/>
      <c r="T10500" s="318"/>
      <c r="U10500" s="318"/>
      <c r="V10500" s="318"/>
      <c r="W10500" s="318"/>
      <c r="X10500" s="318"/>
      <c r="Y10500" s="318"/>
      <c r="Z10500" s="318"/>
      <c r="AA10500" s="318"/>
      <c r="AB10500" s="318"/>
      <c r="AC10500" s="318"/>
      <c r="AD10500" s="318"/>
    </row>
    <row r="10501" spans="2:30" s="323" customFormat="1" ht="12" customHeight="1">
      <c r="B10501" s="324"/>
      <c r="C10501" s="325"/>
      <c r="D10501" s="326"/>
      <c r="E10501" s="326"/>
      <c r="F10501" s="326"/>
      <c r="G10501" s="326"/>
      <c r="H10501" s="326"/>
      <c r="P10501" s="318"/>
      <c r="Q10501" s="318"/>
      <c r="R10501" s="318"/>
      <c r="S10501" s="318"/>
      <c r="T10501" s="318"/>
      <c r="U10501" s="318"/>
      <c r="V10501" s="318"/>
      <c r="W10501" s="318"/>
      <c r="X10501" s="318"/>
      <c r="Y10501" s="318"/>
      <c r="Z10501" s="318"/>
      <c r="AA10501" s="318"/>
      <c r="AB10501" s="318"/>
      <c r="AC10501" s="318"/>
      <c r="AD10501" s="318"/>
    </row>
    <row r="10502" spans="2:30" s="323" customFormat="1" ht="12" customHeight="1">
      <c r="B10502" s="324"/>
      <c r="C10502" s="325"/>
      <c r="D10502" s="326"/>
      <c r="E10502" s="326"/>
      <c r="F10502" s="326"/>
      <c r="G10502" s="326"/>
      <c r="H10502" s="326"/>
      <c r="P10502" s="318"/>
      <c r="Q10502" s="318"/>
      <c r="R10502" s="318"/>
      <c r="S10502" s="318"/>
      <c r="T10502" s="318"/>
      <c r="U10502" s="318"/>
      <c r="V10502" s="318"/>
      <c r="W10502" s="318"/>
      <c r="X10502" s="318"/>
      <c r="Y10502" s="318"/>
      <c r="Z10502" s="318"/>
      <c r="AA10502" s="318"/>
      <c r="AB10502" s="318"/>
      <c r="AC10502" s="318"/>
      <c r="AD10502" s="318"/>
    </row>
    <row r="10503" spans="2:30" s="323" customFormat="1" ht="12" customHeight="1">
      <c r="B10503" s="324"/>
      <c r="C10503" s="325"/>
      <c r="D10503" s="326"/>
      <c r="E10503" s="326"/>
      <c r="F10503" s="326"/>
      <c r="G10503" s="326"/>
      <c r="H10503" s="326"/>
      <c r="P10503" s="318"/>
      <c r="Q10503" s="318"/>
      <c r="R10503" s="318"/>
      <c r="S10503" s="318"/>
      <c r="T10503" s="318"/>
      <c r="U10503" s="318"/>
      <c r="V10503" s="318"/>
      <c r="W10503" s="318"/>
      <c r="X10503" s="318"/>
      <c r="Y10503" s="318"/>
      <c r="Z10503" s="318"/>
      <c r="AA10503" s="318"/>
      <c r="AB10503" s="318"/>
      <c r="AC10503" s="318"/>
      <c r="AD10503" s="318"/>
    </row>
    <row r="10504" spans="2:30" s="323" customFormat="1" ht="12" customHeight="1">
      <c r="B10504" s="324"/>
      <c r="C10504" s="325"/>
      <c r="D10504" s="326"/>
      <c r="E10504" s="326"/>
      <c r="F10504" s="326"/>
      <c r="G10504" s="326"/>
      <c r="H10504" s="326"/>
      <c r="P10504" s="318"/>
      <c r="Q10504" s="318"/>
      <c r="R10504" s="318"/>
      <c r="S10504" s="318"/>
      <c r="T10504" s="318"/>
      <c r="U10504" s="318"/>
      <c r="V10504" s="318"/>
      <c r="W10504" s="318"/>
      <c r="X10504" s="318"/>
      <c r="Y10504" s="318"/>
      <c r="Z10504" s="318"/>
      <c r="AA10504" s="318"/>
      <c r="AB10504" s="318"/>
      <c r="AC10504" s="318"/>
      <c r="AD10504" s="318"/>
    </row>
    <row r="10505" spans="2:30" s="323" customFormat="1" ht="12" customHeight="1">
      <c r="B10505" s="324"/>
      <c r="C10505" s="325"/>
      <c r="D10505" s="326"/>
      <c r="E10505" s="326"/>
      <c r="F10505" s="326"/>
      <c r="G10505" s="326"/>
      <c r="H10505" s="326"/>
      <c r="P10505" s="318"/>
      <c r="Q10505" s="318"/>
      <c r="R10505" s="318"/>
      <c r="S10505" s="318"/>
      <c r="T10505" s="318"/>
      <c r="U10505" s="318"/>
      <c r="V10505" s="318"/>
      <c r="W10505" s="318"/>
      <c r="X10505" s="318"/>
      <c r="Y10505" s="318"/>
      <c r="Z10505" s="318"/>
      <c r="AA10505" s="318"/>
      <c r="AB10505" s="318"/>
      <c r="AC10505" s="318"/>
      <c r="AD10505" s="318"/>
    </row>
    <row r="10506" spans="2:30" s="323" customFormat="1" ht="12" customHeight="1">
      <c r="B10506" s="324"/>
      <c r="C10506" s="325"/>
      <c r="D10506" s="326"/>
      <c r="E10506" s="326"/>
      <c r="F10506" s="326"/>
      <c r="G10506" s="326"/>
      <c r="H10506" s="326"/>
      <c r="P10506" s="318"/>
      <c r="Q10506" s="318"/>
      <c r="R10506" s="318"/>
      <c r="S10506" s="318"/>
      <c r="T10506" s="318"/>
      <c r="U10506" s="318"/>
      <c r="V10506" s="318"/>
      <c r="W10506" s="318"/>
      <c r="X10506" s="318"/>
      <c r="Y10506" s="318"/>
      <c r="Z10506" s="318"/>
      <c r="AA10506" s="318"/>
      <c r="AB10506" s="318"/>
      <c r="AC10506" s="318"/>
      <c r="AD10506" s="318"/>
    </row>
    <row r="10507" spans="2:30" s="323" customFormat="1" ht="12" customHeight="1">
      <c r="B10507" s="324"/>
      <c r="C10507" s="325"/>
      <c r="D10507" s="326"/>
      <c r="E10507" s="326"/>
      <c r="F10507" s="326"/>
      <c r="G10507" s="326"/>
      <c r="H10507" s="326"/>
      <c r="P10507" s="318"/>
      <c r="Q10507" s="318"/>
      <c r="R10507" s="318"/>
      <c r="S10507" s="318"/>
      <c r="T10507" s="318"/>
      <c r="U10507" s="318"/>
      <c r="V10507" s="318"/>
      <c r="W10507" s="318"/>
      <c r="X10507" s="318"/>
      <c r="Y10507" s="318"/>
      <c r="Z10507" s="318"/>
      <c r="AA10507" s="318"/>
      <c r="AB10507" s="318"/>
      <c r="AC10507" s="318"/>
      <c r="AD10507" s="318"/>
    </row>
    <row r="10508" spans="2:30" s="323" customFormat="1" ht="12" customHeight="1">
      <c r="B10508" s="324"/>
      <c r="C10508" s="325"/>
      <c r="D10508" s="326"/>
      <c r="E10508" s="326"/>
      <c r="F10508" s="326"/>
      <c r="G10508" s="326"/>
      <c r="H10508" s="326"/>
      <c r="P10508" s="318"/>
      <c r="Q10508" s="318"/>
      <c r="R10508" s="318"/>
      <c r="S10508" s="318"/>
      <c r="T10508" s="318"/>
      <c r="U10508" s="318"/>
      <c r="V10508" s="318"/>
      <c r="W10508" s="318"/>
      <c r="X10508" s="318"/>
      <c r="Y10508" s="318"/>
      <c r="Z10508" s="318"/>
      <c r="AA10508" s="318"/>
      <c r="AB10508" s="318"/>
      <c r="AC10508" s="318"/>
      <c r="AD10508" s="318"/>
    </row>
    <row r="10509" spans="2:30" s="323" customFormat="1" ht="12" customHeight="1">
      <c r="B10509" s="324"/>
      <c r="C10509" s="325"/>
      <c r="D10509" s="326"/>
      <c r="E10509" s="326"/>
      <c r="F10509" s="326"/>
      <c r="G10509" s="326"/>
      <c r="H10509" s="326"/>
      <c r="P10509" s="318"/>
      <c r="Q10509" s="318"/>
      <c r="R10509" s="318"/>
      <c r="S10509" s="318"/>
      <c r="T10509" s="318"/>
      <c r="U10509" s="318"/>
      <c r="V10509" s="318"/>
      <c r="W10509" s="318"/>
      <c r="X10509" s="318"/>
      <c r="Y10509" s="318"/>
      <c r="Z10509" s="318"/>
      <c r="AA10509" s="318"/>
      <c r="AB10509" s="318"/>
      <c r="AC10509" s="318"/>
      <c r="AD10509" s="318"/>
    </row>
    <row r="10510" spans="2:30" s="323" customFormat="1" ht="12" customHeight="1">
      <c r="B10510" s="324"/>
      <c r="C10510" s="325"/>
      <c r="D10510" s="326"/>
      <c r="E10510" s="326"/>
      <c r="F10510" s="326"/>
      <c r="G10510" s="326"/>
      <c r="H10510" s="326"/>
      <c r="P10510" s="318"/>
      <c r="Q10510" s="318"/>
      <c r="R10510" s="318"/>
      <c r="S10510" s="318"/>
      <c r="T10510" s="318"/>
      <c r="U10510" s="318"/>
      <c r="V10510" s="318"/>
      <c r="W10510" s="318"/>
      <c r="X10510" s="318"/>
      <c r="Y10510" s="318"/>
      <c r="Z10510" s="318"/>
      <c r="AA10510" s="318"/>
      <c r="AB10510" s="318"/>
      <c r="AC10510" s="318"/>
      <c r="AD10510" s="318"/>
    </row>
    <row r="10511" spans="2:30" s="323" customFormat="1" ht="12" customHeight="1">
      <c r="B10511" s="324"/>
      <c r="C10511" s="325"/>
      <c r="D10511" s="326"/>
      <c r="E10511" s="326"/>
      <c r="F10511" s="326"/>
      <c r="G10511" s="326"/>
      <c r="H10511" s="326"/>
      <c r="P10511" s="318"/>
      <c r="Q10511" s="318"/>
      <c r="R10511" s="318"/>
      <c r="S10511" s="318"/>
      <c r="T10511" s="318"/>
      <c r="U10511" s="318"/>
      <c r="V10511" s="318"/>
      <c r="W10511" s="318"/>
      <c r="X10511" s="318"/>
      <c r="Y10511" s="318"/>
      <c r="Z10511" s="318"/>
      <c r="AA10511" s="318"/>
      <c r="AB10511" s="318"/>
      <c r="AC10511" s="318"/>
      <c r="AD10511" s="318"/>
    </row>
    <row r="10512" spans="2:30" s="323" customFormat="1" ht="12" customHeight="1">
      <c r="B10512" s="324"/>
      <c r="C10512" s="325"/>
      <c r="D10512" s="326"/>
      <c r="E10512" s="326"/>
      <c r="F10512" s="326"/>
      <c r="G10512" s="326"/>
      <c r="H10512" s="326"/>
      <c r="P10512" s="318"/>
      <c r="Q10512" s="318"/>
      <c r="R10512" s="318"/>
      <c r="S10512" s="318"/>
      <c r="T10512" s="318"/>
      <c r="U10512" s="318"/>
      <c r="V10512" s="318"/>
      <c r="W10512" s="318"/>
      <c r="X10512" s="318"/>
      <c r="Y10512" s="318"/>
      <c r="Z10512" s="318"/>
      <c r="AA10512" s="318"/>
      <c r="AB10512" s="318"/>
      <c r="AC10512" s="318"/>
      <c r="AD10512" s="318"/>
    </row>
    <row r="10513" spans="2:30" s="323" customFormat="1" ht="12" customHeight="1">
      <c r="B10513" s="324"/>
      <c r="C10513" s="325"/>
      <c r="D10513" s="326"/>
      <c r="E10513" s="326"/>
      <c r="F10513" s="326"/>
      <c r="G10513" s="326"/>
      <c r="H10513" s="326"/>
      <c r="P10513" s="318"/>
      <c r="Q10513" s="318"/>
      <c r="R10513" s="318"/>
      <c r="S10513" s="318"/>
      <c r="T10513" s="318"/>
      <c r="U10513" s="318"/>
      <c r="V10513" s="318"/>
      <c r="W10513" s="318"/>
      <c r="X10513" s="318"/>
      <c r="Y10513" s="318"/>
      <c r="Z10513" s="318"/>
      <c r="AA10513" s="318"/>
      <c r="AB10513" s="318"/>
      <c r="AC10513" s="318"/>
      <c r="AD10513" s="318"/>
    </row>
    <row r="10514" spans="2:30" s="323" customFormat="1" ht="12" customHeight="1">
      <c r="B10514" s="324"/>
      <c r="C10514" s="325"/>
      <c r="D10514" s="326"/>
      <c r="E10514" s="326"/>
      <c r="F10514" s="326"/>
      <c r="G10514" s="326"/>
      <c r="H10514" s="326"/>
      <c r="P10514" s="318"/>
      <c r="Q10514" s="318"/>
      <c r="R10514" s="318"/>
      <c r="S10514" s="318"/>
      <c r="T10514" s="318"/>
      <c r="U10514" s="318"/>
      <c r="V10514" s="318"/>
      <c r="W10514" s="318"/>
      <c r="X10514" s="318"/>
      <c r="Y10514" s="318"/>
      <c r="Z10514" s="318"/>
      <c r="AA10514" s="318"/>
      <c r="AB10514" s="318"/>
      <c r="AC10514" s="318"/>
      <c r="AD10514" s="318"/>
    </row>
    <row r="10515" spans="2:30" s="323" customFormat="1" ht="12" customHeight="1">
      <c r="B10515" s="324"/>
      <c r="C10515" s="325"/>
      <c r="D10515" s="326"/>
      <c r="E10515" s="326"/>
      <c r="F10515" s="326"/>
      <c r="G10515" s="326"/>
      <c r="H10515" s="326"/>
      <c r="P10515" s="318"/>
      <c r="Q10515" s="318"/>
      <c r="R10515" s="318"/>
      <c r="S10515" s="318"/>
      <c r="T10515" s="318"/>
      <c r="U10515" s="318"/>
      <c r="V10515" s="318"/>
      <c r="W10515" s="318"/>
      <c r="X10515" s="318"/>
      <c r="Y10515" s="318"/>
      <c r="Z10515" s="318"/>
      <c r="AA10515" s="318"/>
      <c r="AB10515" s="318"/>
      <c r="AC10515" s="318"/>
      <c r="AD10515" s="318"/>
    </row>
    <row r="10516" spans="2:30" s="323" customFormat="1" ht="12" customHeight="1">
      <c r="B10516" s="324"/>
      <c r="C10516" s="325"/>
      <c r="D10516" s="326"/>
      <c r="E10516" s="326"/>
      <c r="F10516" s="326"/>
      <c r="G10516" s="326"/>
      <c r="H10516" s="326"/>
      <c r="P10516" s="318"/>
      <c r="Q10516" s="318"/>
      <c r="R10516" s="318"/>
      <c r="S10516" s="318"/>
      <c r="T10516" s="318"/>
      <c r="U10516" s="318"/>
      <c r="V10516" s="318"/>
      <c r="W10516" s="318"/>
      <c r="X10516" s="318"/>
      <c r="Y10516" s="318"/>
      <c r="Z10516" s="318"/>
      <c r="AA10516" s="318"/>
      <c r="AB10516" s="318"/>
      <c r="AC10516" s="318"/>
      <c r="AD10516" s="318"/>
    </row>
    <row r="10517" spans="2:30" s="323" customFormat="1" ht="12" customHeight="1">
      <c r="B10517" s="324"/>
      <c r="C10517" s="325"/>
      <c r="D10517" s="326"/>
      <c r="E10517" s="326"/>
      <c r="F10517" s="326"/>
      <c r="G10517" s="326"/>
      <c r="H10517" s="326"/>
      <c r="P10517" s="318"/>
      <c r="Q10517" s="318"/>
      <c r="R10517" s="318"/>
      <c r="S10517" s="318"/>
      <c r="T10517" s="318"/>
      <c r="U10517" s="318"/>
      <c r="V10517" s="318"/>
      <c r="W10517" s="318"/>
      <c r="X10517" s="318"/>
      <c r="Y10517" s="318"/>
      <c r="Z10517" s="318"/>
      <c r="AA10517" s="318"/>
      <c r="AB10517" s="318"/>
      <c r="AC10517" s="318"/>
      <c r="AD10517" s="318"/>
    </row>
    <row r="10518" spans="2:30" s="323" customFormat="1" ht="12" customHeight="1">
      <c r="B10518" s="324"/>
      <c r="C10518" s="325"/>
      <c r="D10518" s="326"/>
      <c r="E10518" s="326"/>
      <c r="F10518" s="326"/>
      <c r="G10518" s="326"/>
      <c r="H10518" s="326"/>
      <c r="P10518" s="318"/>
      <c r="Q10518" s="318"/>
      <c r="R10518" s="318"/>
      <c r="S10518" s="318"/>
      <c r="T10518" s="318"/>
      <c r="U10518" s="318"/>
      <c r="V10518" s="318"/>
      <c r="W10518" s="318"/>
      <c r="X10518" s="318"/>
      <c r="Y10518" s="318"/>
      <c r="Z10518" s="318"/>
      <c r="AA10518" s="318"/>
      <c r="AB10518" s="318"/>
      <c r="AC10518" s="318"/>
      <c r="AD10518" s="318"/>
    </row>
    <row r="10519" spans="2:30" s="323" customFormat="1" ht="12" customHeight="1">
      <c r="B10519" s="324"/>
      <c r="C10519" s="325"/>
      <c r="D10519" s="326"/>
      <c r="E10519" s="326"/>
      <c r="F10519" s="326"/>
      <c r="G10519" s="326"/>
      <c r="H10519" s="326"/>
      <c r="P10519" s="318"/>
      <c r="Q10519" s="318"/>
      <c r="R10519" s="318"/>
      <c r="S10519" s="318"/>
      <c r="T10519" s="318"/>
      <c r="U10519" s="318"/>
      <c r="V10519" s="318"/>
      <c r="W10519" s="318"/>
      <c r="X10519" s="318"/>
      <c r="Y10519" s="318"/>
      <c r="Z10519" s="318"/>
      <c r="AA10519" s="318"/>
      <c r="AB10519" s="318"/>
      <c r="AC10519" s="318"/>
      <c r="AD10519" s="318"/>
    </row>
    <row r="10520" spans="2:30" s="323" customFormat="1" ht="12" customHeight="1">
      <c r="B10520" s="324"/>
      <c r="C10520" s="325"/>
      <c r="D10520" s="326"/>
      <c r="E10520" s="326"/>
      <c r="F10520" s="326"/>
      <c r="G10520" s="326"/>
      <c r="H10520" s="326"/>
      <c r="P10520" s="318"/>
      <c r="Q10520" s="318"/>
      <c r="R10520" s="318"/>
      <c r="S10520" s="318"/>
      <c r="T10520" s="318"/>
      <c r="U10520" s="318"/>
      <c r="V10520" s="318"/>
      <c r="W10520" s="318"/>
      <c r="X10520" s="318"/>
      <c r="Y10520" s="318"/>
      <c r="Z10520" s="318"/>
      <c r="AA10520" s="318"/>
      <c r="AB10520" s="318"/>
      <c r="AC10520" s="318"/>
      <c r="AD10520" s="318"/>
    </row>
    <row r="10521" spans="2:30" s="323" customFormat="1" ht="12" customHeight="1">
      <c r="B10521" s="324"/>
      <c r="C10521" s="325"/>
      <c r="D10521" s="326"/>
      <c r="E10521" s="326"/>
      <c r="F10521" s="326"/>
      <c r="G10521" s="326"/>
      <c r="H10521" s="326"/>
      <c r="P10521" s="318"/>
      <c r="Q10521" s="318"/>
      <c r="R10521" s="318"/>
      <c r="S10521" s="318"/>
      <c r="T10521" s="318"/>
      <c r="U10521" s="318"/>
      <c r="V10521" s="318"/>
      <c r="W10521" s="318"/>
      <c r="X10521" s="318"/>
      <c r="Y10521" s="318"/>
      <c r="Z10521" s="318"/>
      <c r="AA10521" s="318"/>
      <c r="AB10521" s="318"/>
      <c r="AC10521" s="318"/>
      <c r="AD10521" s="318"/>
    </row>
    <row r="10522" spans="2:30" s="323" customFormat="1" ht="12" customHeight="1">
      <c r="B10522" s="324"/>
      <c r="C10522" s="325"/>
      <c r="D10522" s="326"/>
      <c r="E10522" s="326"/>
      <c r="F10522" s="326"/>
      <c r="G10522" s="326"/>
      <c r="H10522" s="326"/>
      <c r="P10522" s="318"/>
      <c r="Q10522" s="318"/>
      <c r="R10522" s="318"/>
      <c r="S10522" s="318"/>
      <c r="T10522" s="318"/>
      <c r="U10522" s="318"/>
      <c r="V10522" s="318"/>
      <c r="W10522" s="318"/>
      <c r="X10522" s="318"/>
      <c r="Y10522" s="318"/>
      <c r="Z10522" s="318"/>
      <c r="AA10522" s="318"/>
      <c r="AB10522" s="318"/>
      <c r="AC10522" s="318"/>
      <c r="AD10522" s="318"/>
    </row>
    <row r="10523" spans="2:30" s="323" customFormat="1" ht="12" customHeight="1">
      <c r="B10523" s="324"/>
      <c r="C10523" s="325"/>
      <c r="D10523" s="326"/>
      <c r="E10523" s="326"/>
      <c r="F10523" s="326"/>
      <c r="G10523" s="326"/>
      <c r="H10523" s="326"/>
      <c r="P10523" s="318"/>
      <c r="Q10523" s="318"/>
      <c r="R10523" s="318"/>
      <c r="S10523" s="318"/>
      <c r="T10523" s="318"/>
      <c r="U10523" s="318"/>
      <c r="V10523" s="318"/>
      <c r="W10523" s="318"/>
      <c r="X10523" s="318"/>
      <c r="Y10523" s="318"/>
      <c r="Z10523" s="318"/>
      <c r="AA10523" s="318"/>
      <c r="AB10523" s="318"/>
      <c r="AC10523" s="318"/>
      <c r="AD10523" s="318"/>
    </row>
    <row r="10524" spans="2:30" s="323" customFormat="1" ht="12" customHeight="1">
      <c r="B10524" s="324"/>
      <c r="C10524" s="325"/>
      <c r="D10524" s="326"/>
      <c r="E10524" s="326"/>
      <c r="F10524" s="326"/>
      <c r="G10524" s="326"/>
      <c r="H10524" s="326"/>
      <c r="P10524" s="318"/>
      <c r="Q10524" s="318"/>
      <c r="R10524" s="318"/>
      <c r="S10524" s="318"/>
      <c r="T10524" s="318"/>
      <c r="U10524" s="318"/>
      <c r="V10524" s="318"/>
      <c r="W10524" s="318"/>
      <c r="X10524" s="318"/>
      <c r="Y10524" s="318"/>
      <c r="Z10524" s="318"/>
      <c r="AA10524" s="318"/>
      <c r="AB10524" s="318"/>
      <c r="AC10524" s="318"/>
      <c r="AD10524" s="318"/>
    </row>
    <row r="10525" spans="2:30" s="323" customFormat="1" ht="12" customHeight="1">
      <c r="B10525" s="324"/>
      <c r="C10525" s="325"/>
      <c r="D10525" s="326"/>
      <c r="E10525" s="326"/>
      <c r="F10525" s="326"/>
      <c r="G10525" s="326"/>
      <c r="H10525" s="326"/>
      <c r="P10525" s="318"/>
      <c r="Q10525" s="318"/>
      <c r="R10525" s="318"/>
      <c r="S10525" s="318"/>
      <c r="T10525" s="318"/>
      <c r="U10525" s="318"/>
      <c r="V10525" s="318"/>
      <c r="W10525" s="318"/>
      <c r="X10525" s="318"/>
      <c r="Y10525" s="318"/>
      <c r="Z10525" s="318"/>
      <c r="AA10525" s="318"/>
      <c r="AB10525" s="318"/>
      <c r="AC10525" s="318"/>
      <c r="AD10525" s="318"/>
    </row>
    <row r="10526" spans="2:30" s="323" customFormat="1" ht="12" customHeight="1">
      <c r="B10526" s="324"/>
      <c r="C10526" s="325"/>
      <c r="D10526" s="326"/>
      <c r="E10526" s="326"/>
      <c r="F10526" s="326"/>
      <c r="G10526" s="326"/>
      <c r="H10526" s="326"/>
      <c r="P10526" s="318"/>
      <c r="Q10526" s="318"/>
      <c r="R10526" s="318"/>
      <c r="S10526" s="318"/>
      <c r="T10526" s="318"/>
      <c r="U10526" s="318"/>
      <c r="V10526" s="318"/>
      <c r="W10526" s="318"/>
      <c r="X10526" s="318"/>
      <c r="Y10526" s="318"/>
      <c r="Z10526" s="318"/>
      <c r="AA10526" s="318"/>
      <c r="AB10526" s="318"/>
      <c r="AC10526" s="318"/>
      <c r="AD10526" s="318"/>
    </row>
    <row r="10527" spans="2:30" s="323" customFormat="1" ht="12" customHeight="1">
      <c r="B10527" s="324"/>
      <c r="C10527" s="325"/>
      <c r="D10527" s="326"/>
      <c r="E10527" s="326"/>
      <c r="F10527" s="326"/>
      <c r="G10527" s="326"/>
      <c r="H10527" s="326"/>
      <c r="P10527" s="318"/>
      <c r="Q10527" s="318"/>
      <c r="R10527" s="318"/>
      <c r="S10527" s="318"/>
      <c r="T10527" s="318"/>
      <c r="U10527" s="318"/>
      <c r="V10527" s="318"/>
      <c r="W10527" s="318"/>
      <c r="X10527" s="318"/>
      <c r="Y10527" s="318"/>
      <c r="Z10527" s="318"/>
      <c r="AA10527" s="318"/>
      <c r="AB10527" s="318"/>
      <c r="AC10527" s="318"/>
      <c r="AD10527" s="318"/>
    </row>
    <row r="10528" spans="2:30" s="323" customFormat="1" ht="12" customHeight="1">
      <c r="B10528" s="324"/>
      <c r="C10528" s="325"/>
      <c r="D10528" s="326"/>
      <c r="E10528" s="326"/>
      <c r="F10528" s="326"/>
      <c r="G10528" s="326"/>
      <c r="H10528" s="326"/>
      <c r="P10528" s="318"/>
      <c r="Q10528" s="318"/>
      <c r="R10528" s="318"/>
      <c r="S10528" s="318"/>
      <c r="T10528" s="318"/>
      <c r="U10528" s="318"/>
      <c r="V10528" s="318"/>
      <c r="W10528" s="318"/>
      <c r="X10528" s="318"/>
      <c r="Y10528" s="318"/>
      <c r="Z10528" s="318"/>
      <c r="AA10528" s="318"/>
      <c r="AB10528" s="318"/>
      <c r="AC10528" s="318"/>
      <c r="AD10528" s="318"/>
    </row>
    <row r="10529" spans="2:30" s="323" customFormat="1" ht="12" customHeight="1">
      <c r="B10529" s="324"/>
      <c r="C10529" s="325"/>
      <c r="D10529" s="326"/>
      <c r="E10529" s="326"/>
      <c r="F10529" s="326"/>
      <c r="G10529" s="326"/>
      <c r="H10529" s="326"/>
      <c r="P10529" s="318"/>
      <c r="Q10529" s="318"/>
      <c r="R10529" s="318"/>
      <c r="S10529" s="318"/>
      <c r="T10529" s="318"/>
      <c r="U10529" s="318"/>
      <c r="V10529" s="318"/>
      <c r="W10529" s="318"/>
      <c r="X10529" s="318"/>
      <c r="Y10529" s="318"/>
      <c r="Z10529" s="318"/>
      <c r="AA10529" s="318"/>
      <c r="AB10529" s="318"/>
      <c r="AC10529" s="318"/>
      <c r="AD10529" s="318"/>
    </row>
    <row r="10530" spans="2:30" s="323" customFormat="1" ht="12" customHeight="1">
      <c r="B10530" s="324"/>
      <c r="C10530" s="325"/>
      <c r="D10530" s="326"/>
      <c r="E10530" s="326"/>
      <c r="F10530" s="326"/>
      <c r="G10530" s="326"/>
      <c r="H10530" s="326"/>
      <c r="P10530" s="318"/>
      <c r="Q10530" s="318"/>
      <c r="R10530" s="318"/>
      <c r="S10530" s="318"/>
      <c r="T10530" s="318"/>
      <c r="U10530" s="318"/>
      <c r="V10530" s="318"/>
      <c r="W10530" s="318"/>
      <c r="X10530" s="318"/>
      <c r="Y10530" s="318"/>
      <c r="Z10530" s="318"/>
      <c r="AA10530" s="318"/>
      <c r="AB10530" s="318"/>
      <c r="AC10530" s="318"/>
      <c r="AD10530" s="318"/>
    </row>
    <row r="10531" spans="2:30" s="323" customFormat="1" ht="12" customHeight="1">
      <c r="B10531" s="324"/>
      <c r="C10531" s="325"/>
      <c r="D10531" s="326"/>
      <c r="E10531" s="326"/>
      <c r="F10531" s="326"/>
      <c r="G10531" s="326"/>
      <c r="H10531" s="326"/>
      <c r="P10531" s="318"/>
      <c r="Q10531" s="318"/>
      <c r="R10531" s="318"/>
      <c r="S10531" s="318"/>
      <c r="T10531" s="318"/>
      <c r="U10531" s="318"/>
      <c r="V10531" s="318"/>
      <c r="W10531" s="318"/>
      <c r="X10531" s="318"/>
      <c r="Y10531" s="318"/>
      <c r="Z10531" s="318"/>
      <c r="AA10531" s="318"/>
      <c r="AB10531" s="318"/>
      <c r="AC10531" s="318"/>
      <c r="AD10531" s="318"/>
    </row>
    <row r="10532" spans="2:30" s="323" customFormat="1" ht="12" customHeight="1">
      <c r="B10532" s="324"/>
      <c r="C10532" s="325"/>
      <c r="D10532" s="326"/>
      <c r="E10532" s="326"/>
      <c r="F10532" s="326"/>
      <c r="G10532" s="326"/>
      <c r="H10532" s="326"/>
      <c r="P10532" s="318"/>
      <c r="Q10532" s="318"/>
      <c r="R10532" s="318"/>
      <c r="S10532" s="318"/>
      <c r="T10532" s="318"/>
      <c r="U10532" s="318"/>
      <c r="V10532" s="318"/>
      <c r="W10532" s="318"/>
      <c r="X10532" s="318"/>
      <c r="Y10532" s="318"/>
      <c r="Z10532" s="318"/>
      <c r="AA10532" s="318"/>
      <c r="AB10532" s="318"/>
      <c r="AC10532" s="318"/>
      <c r="AD10532" s="318"/>
    </row>
    <row r="10533" spans="2:30" s="323" customFormat="1" ht="12" customHeight="1">
      <c r="B10533" s="324"/>
      <c r="C10533" s="325"/>
      <c r="D10533" s="326"/>
      <c r="E10533" s="326"/>
      <c r="F10533" s="326"/>
      <c r="G10533" s="326"/>
      <c r="H10533" s="326"/>
      <c r="P10533" s="318"/>
      <c r="Q10533" s="318"/>
      <c r="R10533" s="318"/>
      <c r="S10533" s="318"/>
      <c r="T10533" s="318"/>
      <c r="U10533" s="318"/>
      <c r="V10533" s="318"/>
      <c r="W10533" s="318"/>
      <c r="X10533" s="318"/>
      <c r="Y10533" s="318"/>
      <c r="Z10533" s="318"/>
      <c r="AA10533" s="318"/>
      <c r="AB10533" s="318"/>
      <c r="AC10533" s="318"/>
      <c r="AD10533" s="318"/>
    </row>
    <row r="10534" spans="2:30" s="323" customFormat="1" ht="12" customHeight="1">
      <c r="B10534" s="324"/>
      <c r="C10534" s="325"/>
      <c r="D10534" s="326"/>
      <c r="E10534" s="326"/>
      <c r="F10534" s="326"/>
      <c r="G10534" s="326"/>
      <c r="H10534" s="326"/>
      <c r="P10534" s="318"/>
      <c r="Q10534" s="318"/>
      <c r="R10534" s="318"/>
      <c r="S10534" s="318"/>
      <c r="T10534" s="318"/>
      <c r="U10534" s="318"/>
      <c r="V10534" s="318"/>
      <c r="W10534" s="318"/>
      <c r="X10534" s="318"/>
      <c r="Y10534" s="318"/>
      <c r="Z10534" s="318"/>
      <c r="AA10534" s="318"/>
      <c r="AB10534" s="318"/>
      <c r="AC10534" s="318"/>
      <c r="AD10534" s="318"/>
    </row>
    <row r="10535" spans="2:30" s="323" customFormat="1" ht="12" customHeight="1">
      <c r="B10535" s="324"/>
      <c r="C10535" s="325"/>
      <c r="D10535" s="326"/>
      <c r="E10535" s="326"/>
      <c r="F10535" s="326"/>
      <c r="G10535" s="326"/>
      <c r="H10535" s="326"/>
      <c r="P10535" s="318"/>
      <c r="Q10535" s="318"/>
      <c r="R10535" s="318"/>
      <c r="S10535" s="318"/>
      <c r="T10535" s="318"/>
      <c r="U10535" s="318"/>
      <c r="V10535" s="318"/>
      <c r="W10535" s="318"/>
      <c r="X10535" s="318"/>
      <c r="Y10535" s="318"/>
      <c r="Z10535" s="318"/>
      <c r="AA10535" s="318"/>
      <c r="AB10535" s="318"/>
      <c r="AC10535" s="318"/>
      <c r="AD10535" s="318"/>
    </row>
    <row r="10536" spans="2:30" s="323" customFormat="1" ht="12" customHeight="1">
      <c r="B10536" s="324"/>
      <c r="C10536" s="325"/>
      <c r="D10536" s="326"/>
      <c r="E10536" s="326"/>
      <c r="F10536" s="326"/>
      <c r="G10536" s="326"/>
      <c r="H10536" s="326"/>
      <c r="P10536" s="318"/>
      <c r="Q10536" s="318"/>
      <c r="R10536" s="318"/>
      <c r="S10536" s="318"/>
      <c r="T10536" s="318"/>
      <c r="U10536" s="318"/>
      <c r="V10536" s="318"/>
      <c r="W10536" s="318"/>
      <c r="X10536" s="318"/>
      <c r="Y10536" s="318"/>
      <c r="Z10536" s="318"/>
      <c r="AA10536" s="318"/>
      <c r="AB10536" s="318"/>
      <c r="AC10536" s="318"/>
      <c r="AD10536" s="318"/>
    </row>
    <row r="10537" spans="2:30" s="323" customFormat="1" ht="12" customHeight="1">
      <c r="B10537" s="324"/>
      <c r="C10537" s="325"/>
      <c r="D10537" s="326"/>
      <c r="E10537" s="326"/>
      <c r="F10537" s="326"/>
      <c r="G10537" s="326"/>
      <c r="H10537" s="326"/>
      <c r="P10537" s="318"/>
      <c r="Q10537" s="318"/>
      <c r="R10537" s="318"/>
      <c r="S10537" s="318"/>
      <c r="T10537" s="318"/>
      <c r="U10537" s="318"/>
      <c r="V10537" s="318"/>
      <c r="W10537" s="318"/>
      <c r="X10537" s="318"/>
      <c r="Y10537" s="318"/>
      <c r="Z10537" s="318"/>
      <c r="AA10537" s="318"/>
      <c r="AB10537" s="318"/>
      <c r="AC10537" s="318"/>
      <c r="AD10537" s="318"/>
    </row>
    <row r="10538" spans="2:30" s="323" customFormat="1" ht="12" customHeight="1">
      <c r="B10538" s="324"/>
      <c r="C10538" s="325"/>
      <c r="D10538" s="326"/>
      <c r="E10538" s="326"/>
      <c r="F10538" s="326"/>
      <c r="G10538" s="326"/>
      <c r="H10538" s="326"/>
      <c r="P10538" s="318"/>
      <c r="Q10538" s="318"/>
      <c r="R10538" s="318"/>
      <c r="S10538" s="318"/>
      <c r="T10538" s="318"/>
      <c r="U10538" s="318"/>
      <c r="V10538" s="318"/>
      <c r="W10538" s="318"/>
      <c r="X10538" s="318"/>
      <c r="Y10538" s="318"/>
      <c r="Z10538" s="318"/>
      <c r="AA10538" s="318"/>
      <c r="AB10538" s="318"/>
      <c r="AC10538" s="318"/>
      <c r="AD10538" s="318"/>
    </row>
    <row r="10539" spans="2:30" s="323" customFormat="1" ht="12" customHeight="1">
      <c r="B10539" s="324"/>
      <c r="C10539" s="325"/>
      <c r="D10539" s="326"/>
      <c r="E10539" s="326"/>
      <c r="F10539" s="326"/>
      <c r="G10539" s="326"/>
      <c r="H10539" s="326"/>
      <c r="P10539" s="318"/>
      <c r="Q10539" s="318"/>
      <c r="R10539" s="318"/>
      <c r="S10539" s="318"/>
      <c r="T10539" s="318"/>
      <c r="U10539" s="318"/>
      <c r="V10539" s="318"/>
      <c r="W10539" s="318"/>
      <c r="X10539" s="318"/>
      <c r="Y10539" s="318"/>
      <c r="Z10539" s="318"/>
      <c r="AA10539" s="318"/>
      <c r="AB10539" s="318"/>
      <c r="AC10539" s="318"/>
      <c r="AD10539" s="318"/>
    </row>
    <row r="10540" spans="2:30" s="323" customFormat="1" ht="12" customHeight="1">
      <c r="B10540" s="324"/>
      <c r="C10540" s="325"/>
      <c r="D10540" s="326"/>
      <c r="E10540" s="326"/>
      <c r="F10540" s="326"/>
      <c r="G10540" s="326"/>
      <c r="H10540" s="326"/>
      <c r="P10540" s="318"/>
      <c r="Q10540" s="318"/>
      <c r="R10540" s="318"/>
      <c r="S10540" s="318"/>
      <c r="T10540" s="318"/>
      <c r="U10540" s="318"/>
      <c r="V10540" s="318"/>
      <c r="W10540" s="318"/>
      <c r="X10540" s="318"/>
      <c r="Y10540" s="318"/>
      <c r="Z10540" s="318"/>
      <c r="AA10540" s="318"/>
      <c r="AB10540" s="318"/>
      <c r="AC10540" s="318"/>
      <c r="AD10540" s="318"/>
    </row>
    <row r="10541" spans="2:30" s="323" customFormat="1" ht="12" customHeight="1">
      <c r="B10541" s="324"/>
      <c r="C10541" s="325"/>
      <c r="D10541" s="326"/>
      <c r="E10541" s="326"/>
      <c r="F10541" s="326"/>
      <c r="G10541" s="326"/>
      <c r="H10541" s="326"/>
      <c r="P10541" s="318"/>
      <c r="Q10541" s="318"/>
      <c r="R10541" s="318"/>
      <c r="S10541" s="318"/>
      <c r="T10541" s="318"/>
      <c r="U10541" s="318"/>
      <c r="V10541" s="318"/>
      <c r="W10541" s="318"/>
      <c r="X10541" s="318"/>
      <c r="Y10541" s="318"/>
      <c r="Z10541" s="318"/>
      <c r="AA10541" s="318"/>
      <c r="AB10541" s="318"/>
      <c r="AC10541" s="318"/>
      <c r="AD10541" s="318"/>
    </row>
    <row r="10542" spans="2:30" s="323" customFormat="1" ht="12" customHeight="1">
      <c r="B10542" s="324"/>
      <c r="C10542" s="325"/>
      <c r="D10542" s="326"/>
      <c r="E10542" s="326"/>
      <c r="F10542" s="326"/>
      <c r="G10542" s="326"/>
      <c r="H10542" s="326"/>
      <c r="P10542" s="318"/>
      <c r="Q10542" s="318"/>
      <c r="R10542" s="318"/>
      <c r="S10542" s="318"/>
      <c r="T10542" s="318"/>
      <c r="U10542" s="318"/>
      <c r="V10542" s="318"/>
      <c r="W10542" s="318"/>
      <c r="X10542" s="318"/>
      <c r="Y10542" s="318"/>
      <c r="Z10542" s="318"/>
      <c r="AA10542" s="318"/>
      <c r="AB10542" s="318"/>
      <c r="AC10542" s="318"/>
      <c r="AD10542" s="318"/>
    </row>
    <row r="10543" spans="2:30" s="323" customFormat="1" ht="12" customHeight="1">
      <c r="B10543" s="324"/>
      <c r="C10543" s="325"/>
      <c r="D10543" s="326"/>
      <c r="E10543" s="326"/>
      <c r="F10543" s="326"/>
      <c r="G10543" s="326"/>
      <c r="H10543" s="326"/>
      <c r="P10543" s="318"/>
      <c r="Q10543" s="318"/>
      <c r="R10543" s="318"/>
      <c r="S10543" s="318"/>
      <c r="T10543" s="318"/>
      <c r="U10543" s="318"/>
      <c r="V10543" s="318"/>
      <c r="W10543" s="318"/>
      <c r="X10543" s="318"/>
      <c r="Y10543" s="318"/>
      <c r="Z10543" s="318"/>
      <c r="AA10543" s="318"/>
      <c r="AB10543" s="318"/>
      <c r="AC10543" s="318"/>
      <c r="AD10543" s="318"/>
    </row>
    <row r="10544" spans="2:30" s="323" customFormat="1" ht="12" customHeight="1">
      <c r="B10544" s="324"/>
      <c r="C10544" s="325"/>
      <c r="D10544" s="326"/>
      <c r="E10544" s="326"/>
      <c r="F10544" s="326"/>
      <c r="G10544" s="326"/>
      <c r="H10544" s="326"/>
      <c r="P10544" s="318"/>
      <c r="Q10544" s="318"/>
      <c r="R10544" s="318"/>
      <c r="S10544" s="318"/>
      <c r="T10544" s="318"/>
      <c r="U10544" s="318"/>
      <c r="V10544" s="318"/>
      <c r="W10544" s="318"/>
      <c r="X10544" s="318"/>
      <c r="Y10544" s="318"/>
      <c r="Z10544" s="318"/>
      <c r="AA10544" s="318"/>
      <c r="AB10544" s="318"/>
      <c r="AC10544" s="318"/>
      <c r="AD10544" s="318"/>
    </row>
    <row r="10545" spans="2:30" s="323" customFormat="1" ht="12" customHeight="1">
      <c r="B10545" s="324"/>
      <c r="C10545" s="325"/>
      <c r="D10545" s="326"/>
      <c r="E10545" s="326"/>
      <c r="F10545" s="326"/>
      <c r="G10545" s="326"/>
      <c r="H10545" s="326"/>
      <c r="P10545" s="318"/>
      <c r="Q10545" s="318"/>
      <c r="R10545" s="318"/>
      <c r="S10545" s="318"/>
      <c r="T10545" s="318"/>
      <c r="U10545" s="318"/>
      <c r="V10545" s="318"/>
      <c r="W10545" s="318"/>
      <c r="X10545" s="318"/>
      <c r="Y10545" s="318"/>
      <c r="Z10545" s="318"/>
      <c r="AA10545" s="318"/>
      <c r="AB10545" s="318"/>
      <c r="AC10545" s="318"/>
      <c r="AD10545" s="318"/>
    </row>
    <row r="10546" spans="2:30" s="323" customFormat="1" ht="12" customHeight="1">
      <c r="B10546" s="324"/>
      <c r="C10546" s="325"/>
      <c r="D10546" s="326"/>
      <c r="E10546" s="326"/>
      <c r="F10546" s="326"/>
      <c r="G10546" s="326"/>
      <c r="H10546" s="326"/>
      <c r="P10546" s="318"/>
      <c r="Q10546" s="318"/>
      <c r="R10546" s="318"/>
      <c r="S10546" s="318"/>
      <c r="T10546" s="318"/>
      <c r="U10546" s="318"/>
      <c r="V10546" s="318"/>
      <c r="W10546" s="318"/>
      <c r="X10546" s="318"/>
      <c r="Y10546" s="318"/>
      <c r="Z10546" s="318"/>
      <c r="AA10546" s="318"/>
      <c r="AB10546" s="318"/>
      <c r="AC10546" s="318"/>
      <c r="AD10546" s="318"/>
    </row>
    <row r="10547" spans="2:30" s="323" customFormat="1" ht="12" customHeight="1">
      <c r="B10547" s="324"/>
      <c r="C10547" s="325"/>
      <c r="D10547" s="326"/>
      <c r="E10547" s="326"/>
      <c r="F10547" s="326"/>
      <c r="G10547" s="326"/>
      <c r="H10547" s="326"/>
      <c r="P10547" s="318"/>
      <c r="Q10547" s="318"/>
      <c r="R10547" s="318"/>
      <c r="S10547" s="318"/>
      <c r="T10547" s="318"/>
      <c r="U10547" s="318"/>
      <c r="V10547" s="318"/>
      <c r="W10547" s="318"/>
      <c r="X10547" s="318"/>
      <c r="Y10547" s="318"/>
      <c r="Z10547" s="318"/>
      <c r="AA10547" s="318"/>
      <c r="AB10547" s="318"/>
      <c r="AC10547" s="318"/>
      <c r="AD10547" s="318"/>
    </row>
    <row r="10548" spans="2:30" s="323" customFormat="1" ht="12" customHeight="1">
      <c r="B10548" s="324"/>
      <c r="C10548" s="325"/>
      <c r="D10548" s="326"/>
      <c r="E10548" s="326"/>
      <c r="F10548" s="326"/>
      <c r="G10548" s="326"/>
      <c r="H10548" s="326"/>
      <c r="P10548" s="318"/>
      <c r="Q10548" s="318"/>
      <c r="R10548" s="318"/>
      <c r="S10548" s="318"/>
      <c r="T10548" s="318"/>
      <c r="U10548" s="318"/>
      <c r="V10548" s="318"/>
      <c r="W10548" s="318"/>
      <c r="X10548" s="318"/>
      <c r="Y10548" s="318"/>
      <c r="Z10548" s="318"/>
      <c r="AA10548" s="318"/>
      <c r="AB10548" s="318"/>
      <c r="AC10548" s="318"/>
      <c r="AD10548" s="318"/>
    </row>
    <row r="10549" spans="2:30" s="323" customFormat="1" ht="12" customHeight="1">
      <c r="B10549" s="324"/>
      <c r="C10549" s="325"/>
      <c r="D10549" s="326"/>
      <c r="E10549" s="326"/>
      <c r="F10549" s="326"/>
      <c r="G10549" s="326"/>
      <c r="H10549" s="326"/>
      <c r="P10549" s="318"/>
      <c r="Q10549" s="318"/>
      <c r="R10549" s="318"/>
      <c r="S10549" s="318"/>
      <c r="T10549" s="318"/>
      <c r="U10549" s="318"/>
      <c r="V10549" s="318"/>
      <c r="W10549" s="318"/>
      <c r="X10549" s="318"/>
      <c r="Y10549" s="318"/>
      <c r="Z10549" s="318"/>
      <c r="AA10549" s="318"/>
      <c r="AB10549" s="318"/>
      <c r="AC10549" s="318"/>
      <c r="AD10549" s="318"/>
    </row>
    <row r="10550" spans="2:30" s="323" customFormat="1" ht="12" customHeight="1">
      <c r="B10550" s="324"/>
      <c r="C10550" s="325"/>
      <c r="D10550" s="326"/>
      <c r="E10550" s="326"/>
      <c r="F10550" s="326"/>
      <c r="G10550" s="326"/>
      <c r="H10550" s="326"/>
      <c r="P10550" s="318"/>
      <c r="Q10550" s="318"/>
      <c r="R10550" s="318"/>
      <c r="S10550" s="318"/>
      <c r="T10550" s="318"/>
      <c r="U10550" s="318"/>
      <c r="V10550" s="318"/>
      <c r="W10550" s="318"/>
      <c r="X10550" s="318"/>
      <c r="Y10550" s="318"/>
      <c r="Z10550" s="318"/>
      <c r="AA10550" s="318"/>
      <c r="AB10550" s="318"/>
      <c r="AC10550" s="318"/>
      <c r="AD10550" s="318"/>
    </row>
    <row r="10551" spans="2:30" s="323" customFormat="1" ht="12" customHeight="1">
      <c r="B10551" s="324"/>
      <c r="C10551" s="325"/>
      <c r="D10551" s="326"/>
      <c r="E10551" s="326"/>
      <c r="F10551" s="326"/>
      <c r="G10551" s="326"/>
      <c r="H10551" s="326"/>
      <c r="P10551" s="318"/>
      <c r="Q10551" s="318"/>
      <c r="R10551" s="318"/>
      <c r="S10551" s="318"/>
      <c r="T10551" s="318"/>
      <c r="U10551" s="318"/>
      <c r="V10551" s="318"/>
      <c r="W10551" s="318"/>
      <c r="X10551" s="318"/>
      <c r="Y10551" s="318"/>
      <c r="Z10551" s="318"/>
      <c r="AA10551" s="318"/>
      <c r="AB10551" s="318"/>
      <c r="AC10551" s="318"/>
      <c r="AD10551" s="318"/>
    </row>
    <row r="10552" spans="2:30" s="323" customFormat="1" ht="12" customHeight="1">
      <c r="B10552" s="324"/>
      <c r="C10552" s="325"/>
      <c r="D10552" s="326"/>
      <c r="E10552" s="326"/>
      <c r="F10552" s="326"/>
      <c r="G10552" s="326"/>
      <c r="H10552" s="326"/>
      <c r="P10552" s="318"/>
      <c r="Q10552" s="318"/>
      <c r="R10552" s="318"/>
      <c r="S10552" s="318"/>
      <c r="T10552" s="318"/>
      <c r="U10552" s="318"/>
      <c r="V10552" s="318"/>
      <c r="W10552" s="318"/>
      <c r="X10552" s="318"/>
      <c r="Y10552" s="318"/>
      <c r="Z10552" s="318"/>
      <c r="AA10552" s="318"/>
      <c r="AB10552" s="318"/>
      <c r="AC10552" s="318"/>
      <c r="AD10552" s="318"/>
    </row>
    <row r="10553" spans="2:30" s="323" customFormat="1" ht="12" customHeight="1">
      <c r="B10553" s="324"/>
      <c r="C10553" s="325"/>
      <c r="D10553" s="326"/>
      <c r="E10553" s="326"/>
      <c r="F10553" s="326"/>
      <c r="G10553" s="326"/>
      <c r="H10553" s="326"/>
      <c r="P10553" s="318"/>
      <c r="Q10553" s="318"/>
      <c r="R10553" s="318"/>
      <c r="S10553" s="318"/>
      <c r="T10553" s="318"/>
      <c r="U10553" s="318"/>
      <c r="V10553" s="318"/>
      <c r="W10553" s="318"/>
      <c r="X10553" s="318"/>
      <c r="Y10553" s="318"/>
      <c r="Z10553" s="318"/>
      <c r="AA10553" s="318"/>
      <c r="AB10553" s="318"/>
      <c r="AC10553" s="318"/>
      <c r="AD10553" s="318"/>
    </row>
    <row r="10554" spans="2:30" s="323" customFormat="1" ht="12" customHeight="1">
      <c r="B10554" s="324"/>
      <c r="C10554" s="325"/>
      <c r="D10554" s="326"/>
      <c r="E10554" s="326"/>
      <c r="F10554" s="326"/>
      <c r="G10554" s="326"/>
      <c r="H10554" s="326"/>
      <c r="P10554" s="318"/>
      <c r="Q10554" s="318"/>
      <c r="R10554" s="318"/>
      <c r="S10554" s="318"/>
      <c r="T10554" s="318"/>
      <c r="U10554" s="318"/>
      <c r="V10554" s="318"/>
      <c r="W10554" s="318"/>
      <c r="X10554" s="318"/>
      <c r="Y10554" s="318"/>
      <c r="Z10554" s="318"/>
      <c r="AA10554" s="318"/>
      <c r="AB10554" s="318"/>
      <c r="AC10554" s="318"/>
      <c r="AD10554" s="318"/>
    </row>
    <row r="10555" spans="2:30" s="323" customFormat="1" ht="12" customHeight="1">
      <c r="B10555" s="324"/>
      <c r="C10555" s="325"/>
      <c r="D10555" s="326"/>
      <c r="E10555" s="326"/>
      <c r="F10555" s="326"/>
      <c r="G10555" s="326"/>
      <c r="H10555" s="326"/>
      <c r="P10555" s="318"/>
      <c r="Q10555" s="318"/>
      <c r="R10555" s="318"/>
      <c r="S10555" s="318"/>
      <c r="T10555" s="318"/>
      <c r="U10555" s="318"/>
      <c r="V10555" s="318"/>
      <c r="W10555" s="318"/>
      <c r="X10555" s="318"/>
      <c r="Y10555" s="318"/>
      <c r="Z10555" s="318"/>
      <c r="AA10555" s="318"/>
      <c r="AB10555" s="318"/>
      <c r="AC10555" s="318"/>
      <c r="AD10555" s="318"/>
    </row>
    <row r="10556" spans="2:30" s="323" customFormat="1" ht="12" customHeight="1">
      <c r="B10556" s="324"/>
      <c r="C10556" s="325"/>
      <c r="D10556" s="326"/>
      <c r="E10556" s="326"/>
      <c r="F10556" s="326"/>
      <c r="G10556" s="326"/>
      <c r="H10556" s="326"/>
      <c r="P10556" s="318"/>
      <c r="Q10556" s="318"/>
      <c r="R10556" s="318"/>
      <c r="S10556" s="318"/>
      <c r="T10556" s="318"/>
      <c r="U10556" s="318"/>
      <c r="V10556" s="318"/>
      <c r="W10556" s="318"/>
      <c r="X10556" s="318"/>
      <c r="Y10556" s="318"/>
      <c r="Z10556" s="318"/>
      <c r="AA10556" s="318"/>
      <c r="AB10556" s="318"/>
      <c r="AC10556" s="318"/>
      <c r="AD10556" s="318"/>
    </row>
    <row r="10557" spans="2:30" s="323" customFormat="1" ht="12" customHeight="1">
      <c r="B10557" s="324"/>
      <c r="C10557" s="325"/>
      <c r="D10557" s="326"/>
      <c r="E10557" s="326"/>
      <c r="F10557" s="326"/>
      <c r="G10557" s="326"/>
      <c r="H10557" s="326"/>
      <c r="P10557" s="318"/>
      <c r="Q10557" s="318"/>
      <c r="R10557" s="318"/>
      <c r="S10557" s="318"/>
      <c r="T10557" s="318"/>
      <c r="U10557" s="318"/>
      <c r="V10557" s="318"/>
      <c r="W10557" s="318"/>
      <c r="X10557" s="318"/>
      <c r="Y10557" s="318"/>
      <c r="Z10557" s="318"/>
      <c r="AA10557" s="318"/>
      <c r="AB10557" s="318"/>
      <c r="AC10557" s="318"/>
      <c r="AD10557" s="318"/>
    </row>
    <row r="10558" spans="2:30" s="323" customFormat="1" ht="12" customHeight="1">
      <c r="B10558" s="324"/>
      <c r="C10558" s="325"/>
      <c r="D10558" s="326"/>
      <c r="E10558" s="326"/>
      <c r="F10558" s="326"/>
      <c r="G10558" s="326"/>
      <c r="H10558" s="326"/>
      <c r="P10558" s="318"/>
      <c r="Q10558" s="318"/>
      <c r="R10558" s="318"/>
      <c r="S10558" s="318"/>
      <c r="T10558" s="318"/>
      <c r="U10558" s="318"/>
      <c r="V10558" s="318"/>
      <c r="W10558" s="318"/>
      <c r="X10558" s="318"/>
      <c r="Y10558" s="318"/>
      <c r="Z10558" s="318"/>
      <c r="AA10558" s="318"/>
      <c r="AB10558" s="318"/>
      <c r="AC10558" s="318"/>
      <c r="AD10558" s="318"/>
    </row>
    <row r="10559" spans="2:30" s="323" customFormat="1" ht="12" customHeight="1">
      <c r="B10559" s="324"/>
      <c r="C10559" s="325"/>
      <c r="D10559" s="326"/>
      <c r="E10559" s="326"/>
      <c r="F10559" s="326"/>
      <c r="G10559" s="326"/>
      <c r="H10559" s="326"/>
      <c r="P10559" s="318"/>
      <c r="Q10559" s="318"/>
      <c r="R10559" s="318"/>
      <c r="S10559" s="318"/>
      <c r="T10559" s="318"/>
      <c r="U10559" s="318"/>
      <c r="V10559" s="318"/>
      <c r="W10559" s="318"/>
      <c r="X10559" s="318"/>
      <c r="Y10559" s="318"/>
      <c r="Z10559" s="318"/>
      <c r="AA10559" s="318"/>
      <c r="AB10559" s="318"/>
      <c r="AC10559" s="318"/>
      <c r="AD10559" s="318"/>
    </row>
    <row r="10560" spans="2:30" s="323" customFormat="1" ht="12" customHeight="1">
      <c r="B10560" s="324"/>
      <c r="C10560" s="325"/>
      <c r="D10560" s="326"/>
      <c r="E10560" s="326"/>
      <c r="F10560" s="326"/>
      <c r="G10560" s="326"/>
      <c r="H10560" s="326"/>
      <c r="P10560" s="318"/>
      <c r="Q10560" s="318"/>
      <c r="R10560" s="318"/>
      <c r="S10560" s="318"/>
      <c r="T10560" s="318"/>
      <c r="U10560" s="318"/>
      <c r="V10560" s="318"/>
      <c r="W10560" s="318"/>
      <c r="X10560" s="318"/>
      <c r="Y10560" s="318"/>
      <c r="Z10560" s="318"/>
      <c r="AA10560" s="318"/>
      <c r="AB10560" s="318"/>
      <c r="AC10560" s="318"/>
      <c r="AD10560" s="318"/>
    </row>
    <row r="10561" spans="2:30" s="323" customFormat="1" ht="12" customHeight="1">
      <c r="B10561" s="324"/>
      <c r="C10561" s="325"/>
      <c r="D10561" s="326"/>
      <c r="E10561" s="326"/>
      <c r="F10561" s="326"/>
      <c r="G10561" s="326"/>
      <c r="H10561" s="326"/>
      <c r="P10561" s="318"/>
      <c r="Q10561" s="318"/>
      <c r="R10561" s="318"/>
      <c r="S10561" s="318"/>
      <c r="T10561" s="318"/>
      <c r="U10561" s="318"/>
      <c r="V10561" s="318"/>
      <c r="W10561" s="318"/>
      <c r="X10561" s="318"/>
      <c r="Y10561" s="318"/>
      <c r="Z10561" s="318"/>
      <c r="AA10561" s="318"/>
      <c r="AB10561" s="318"/>
      <c r="AC10561" s="318"/>
      <c r="AD10561" s="318"/>
    </row>
    <row r="10562" spans="2:30" s="323" customFormat="1" ht="12" customHeight="1">
      <c r="B10562" s="324"/>
      <c r="C10562" s="325"/>
      <c r="D10562" s="326"/>
      <c r="E10562" s="326"/>
      <c r="F10562" s="326"/>
      <c r="G10562" s="326"/>
      <c r="H10562" s="326"/>
      <c r="P10562" s="318"/>
      <c r="Q10562" s="318"/>
      <c r="R10562" s="318"/>
      <c r="S10562" s="318"/>
      <c r="T10562" s="318"/>
      <c r="U10562" s="318"/>
      <c r="V10562" s="318"/>
      <c r="W10562" s="318"/>
      <c r="X10562" s="318"/>
      <c r="Y10562" s="318"/>
      <c r="Z10562" s="318"/>
      <c r="AA10562" s="318"/>
      <c r="AB10562" s="318"/>
      <c r="AC10562" s="318"/>
      <c r="AD10562" s="318"/>
    </row>
    <row r="10563" spans="2:30" s="323" customFormat="1" ht="12" customHeight="1">
      <c r="B10563" s="324"/>
      <c r="C10563" s="325"/>
      <c r="D10563" s="326"/>
      <c r="E10563" s="326"/>
      <c r="F10563" s="326"/>
      <c r="G10563" s="326"/>
      <c r="H10563" s="326"/>
      <c r="P10563" s="318"/>
      <c r="Q10563" s="318"/>
      <c r="R10563" s="318"/>
      <c r="S10563" s="318"/>
      <c r="T10563" s="318"/>
      <c r="U10563" s="318"/>
      <c r="V10563" s="318"/>
      <c r="W10563" s="318"/>
      <c r="X10563" s="318"/>
      <c r="Y10563" s="318"/>
      <c r="Z10563" s="318"/>
      <c r="AA10563" s="318"/>
      <c r="AB10563" s="318"/>
      <c r="AC10563" s="318"/>
      <c r="AD10563" s="318"/>
    </row>
    <row r="10564" spans="2:30" s="323" customFormat="1" ht="12" customHeight="1">
      <c r="B10564" s="324"/>
      <c r="C10564" s="325"/>
      <c r="D10564" s="326"/>
      <c r="E10564" s="326"/>
      <c r="F10564" s="326"/>
      <c r="G10564" s="326"/>
      <c r="H10564" s="326"/>
      <c r="P10564" s="318"/>
      <c r="Q10564" s="318"/>
      <c r="R10564" s="318"/>
      <c r="S10564" s="318"/>
      <c r="T10564" s="318"/>
      <c r="U10564" s="318"/>
      <c r="V10564" s="318"/>
      <c r="W10564" s="318"/>
      <c r="X10564" s="318"/>
      <c r="Y10564" s="318"/>
      <c r="Z10564" s="318"/>
      <c r="AA10564" s="318"/>
      <c r="AB10564" s="318"/>
      <c r="AC10564" s="318"/>
      <c r="AD10564" s="318"/>
    </row>
    <row r="10565" spans="2:30" s="323" customFormat="1" ht="12" customHeight="1">
      <c r="B10565" s="324"/>
      <c r="C10565" s="325"/>
      <c r="D10565" s="326"/>
      <c r="E10565" s="326"/>
      <c r="F10565" s="326"/>
      <c r="G10565" s="326"/>
      <c r="H10565" s="326"/>
      <c r="P10565" s="318"/>
      <c r="Q10565" s="318"/>
      <c r="R10565" s="318"/>
      <c r="S10565" s="318"/>
      <c r="T10565" s="318"/>
      <c r="U10565" s="318"/>
      <c r="V10565" s="318"/>
      <c r="W10565" s="318"/>
      <c r="X10565" s="318"/>
      <c r="Y10565" s="318"/>
      <c r="Z10565" s="318"/>
      <c r="AA10565" s="318"/>
      <c r="AB10565" s="318"/>
      <c r="AC10565" s="318"/>
      <c r="AD10565" s="318"/>
    </row>
    <row r="10566" spans="2:30" s="323" customFormat="1" ht="12" customHeight="1">
      <c r="B10566" s="324"/>
      <c r="C10566" s="325"/>
      <c r="D10566" s="326"/>
      <c r="E10566" s="326"/>
      <c r="F10566" s="326"/>
      <c r="G10566" s="326"/>
      <c r="H10566" s="326"/>
      <c r="P10566" s="318"/>
      <c r="Q10566" s="318"/>
      <c r="R10566" s="318"/>
      <c r="S10566" s="318"/>
      <c r="T10566" s="318"/>
      <c r="U10566" s="318"/>
      <c r="V10566" s="318"/>
      <c r="W10566" s="318"/>
      <c r="X10566" s="318"/>
      <c r="Y10566" s="318"/>
      <c r="Z10566" s="318"/>
      <c r="AA10566" s="318"/>
      <c r="AB10566" s="318"/>
      <c r="AC10566" s="318"/>
      <c r="AD10566" s="318"/>
    </row>
    <row r="10567" spans="2:30" s="323" customFormat="1" ht="12" customHeight="1">
      <c r="B10567" s="324"/>
      <c r="C10567" s="325"/>
      <c r="D10567" s="326"/>
      <c r="E10567" s="326"/>
      <c r="F10567" s="326"/>
      <c r="G10567" s="326"/>
      <c r="H10567" s="326"/>
      <c r="P10567" s="318"/>
      <c r="Q10567" s="318"/>
      <c r="R10567" s="318"/>
      <c r="S10567" s="318"/>
      <c r="T10567" s="318"/>
      <c r="U10567" s="318"/>
      <c r="V10567" s="318"/>
      <c r="W10567" s="318"/>
      <c r="X10567" s="318"/>
      <c r="Y10567" s="318"/>
      <c r="Z10567" s="318"/>
      <c r="AA10567" s="318"/>
      <c r="AB10567" s="318"/>
      <c r="AC10567" s="318"/>
      <c r="AD10567" s="318"/>
    </row>
    <row r="10568" spans="2:30" s="323" customFormat="1" ht="12" customHeight="1">
      <c r="B10568" s="324"/>
      <c r="C10568" s="325"/>
      <c r="D10568" s="326"/>
      <c r="E10568" s="326"/>
      <c r="F10568" s="326"/>
      <c r="G10568" s="326"/>
      <c r="H10568" s="326"/>
      <c r="P10568" s="318"/>
      <c r="Q10568" s="318"/>
      <c r="R10568" s="318"/>
      <c r="S10568" s="318"/>
      <c r="T10568" s="318"/>
      <c r="U10568" s="318"/>
      <c r="V10568" s="318"/>
      <c r="W10568" s="318"/>
      <c r="X10568" s="318"/>
      <c r="Y10568" s="318"/>
      <c r="Z10568" s="318"/>
      <c r="AA10568" s="318"/>
      <c r="AB10568" s="318"/>
      <c r="AC10568" s="318"/>
      <c r="AD10568" s="318"/>
    </row>
    <row r="10569" spans="2:30" s="323" customFormat="1" ht="12" customHeight="1">
      <c r="B10569" s="324"/>
      <c r="C10569" s="325"/>
      <c r="D10569" s="326"/>
      <c r="E10569" s="326"/>
      <c r="F10569" s="326"/>
      <c r="G10569" s="326"/>
      <c r="H10569" s="326"/>
      <c r="P10569" s="318"/>
      <c r="Q10569" s="318"/>
      <c r="R10569" s="318"/>
      <c r="S10569" s="318"/>
      <c r="T10569" s="318"/>
      <c r="U10569" s="318"/>
      <c r="V10569" s="318"/>
      <c r="W10569" s="318"/>
      <c r="X10569" s="318"/>
      <c r="Y10569" s="318"/>
      <c r="Z10569" s="318"/>
      <c r="AA10569" s="318"/>
      <c r="AB10569" s="318"/>
      <c r="AC10569" s="318"/>
      <c r="AD10569" s="318"/>
    </row>
    <row r="10570" spans="2:30" s="323" customFormat="1" ht="12" customHeight="1">
      <c r="B10570" s="324"/>
      <c r="C10570" s="325"/>
      <c r="D10570" s="326"/>
      <c r="E10570" s="326"/>
      <c r="F10570" s="326"/>
      <c r="G10570" s="326"/>
      <c r="H10570" s="326"/>
      <c r="P10570" s="318"/>
      <c r="Q10570" s="318"/>
      <c r="R10570" s="318"/>
      <c r="S10570" s="318"/>
      <c r="T10570" s="318"/>
      <c r="U10570" s="318"/>
      <c r="V10570" s="318"/>
      <c r="W10570" s="318"/>
      <c r="X10570" s="318"/>
      <c r="Y10570" s="318"/>
      <c r="Z10570" s="318"/>
      <c r="AA10570" s="318"/>
      <c r="AB10570" s="318"/>
      <c r="AC10570" s="318"/>
      <c r="AD10570" s="318"/>
    </row>
    <row r="10571" spans="2:30" s="323" customFormat="1" ht="12" customHeight="1">
      <c r="B10571" s="324"/>
      <c r="C10571" s="325"/>
      <c r="D10571" s="326"/>
      <c r="E10571" s="326"/>
      <c r="F10571" s="326"/>
      <c r="G10571" s="326"/>
      <c r="H10571" s="326"/>
      <c r="P10571" s="318"/>
      <c r="Q10571" s="318"/>
      <c r="R10571" s="318"/>
      <c r="S10571" s="318"/>
      <c r="T10571" s="318"/>
      <c r="U10571" s="318"/>
      <c r="V10571" s="318"/>
      <c r="W10571" s="318"/>
      <c r="X10571" s="318"/>
      <c r="Y10571" s="318"/>
      <c r="Z10571" s="318"/>
      <c r="AA10571" s="318"/>
      <c r="AB10571" s="318"/>
      <c r="AC10571" s="318"/>
      <c r="AD10571" s="318"/>
    </row>
    <row r="10572" spans="2:30" s="323" customFormat="1" ht="12" customHeight="1">
      <c r="B10572" s="324"/>
      <c r="C10572" s="325"/>
      <c r="D10572" s="326"/>
      <c r="E10572" s="326"/>
      <c r="F10572" s="326"/>
      <c r="G10572" s="326"/>
      <c r="H10572" s="326"/>
      <c r="P10572" s="318"/>
      <c r="Q10572" s="318"/>
      <c r="R10572" s="318"/>
      <c r="S10572" s="318"/>
      <c r="T10572" s="318"/>
      <c r="U10572" s="318"/>
      <c r="V10572" s="318"/>
      <c r="W10572" s="318"/>
      <c r="X10572" s="318"/>
      <c r="Y10572" s="318"/>
      <c r="Z10572" s="318"/>
      <c r="AA10572" s="318"/>
      <c r="AB10572" s="318"/>
      <c r="AC10572" s="318"/>
      <c r="AD10572" s="318"/>
    </row>
    <row r="10573" spans="2:30" s="323" customFormat="1" ht="12" customHeight="1">
      <c r="B10573" s="324"/>
      <c r="C10573" s="325"/>
      <c r="D10573" s="326"/>
      <c r="E10573" s="326"/>
      <c r="F10573" s="326"/>
      <c r="G10573" s="326"/>
      <c r="H10573" s="326"/>
      <c r="P10573" s="318"/>
      <c r="Q10573" s="318"/>
      <c r="R10573" s="318"/>
      <c r="S10573" s="318"/>
      <c r="T10573" s="318"/>
      <c r="U10573" s="318"/>
      <c r="V10573" s="318"/>
      <c r="W10573" s="318"/>
      <c r="X10573" s="318"/>
      <c r="Y10573" s="318"/>
      <c r="Z10573" s="318"/>
      <c r="AA10573" s="318"/>
      <c r="AB10573" s="318"/>
      <c r="AC10573" s="318"/>
      <c r="AD10573" s="318"/>
    </row>
    <row r="10574" spans="2:30" s="323" customFormat="1" ht="12" customHeight="1">
      <c r="B10574" s="324"/>
      <c r="C10574" s="325"/>
      <c r="D10574" s="326"/>
      <c r="E10574" s="326"/>
      <c r="F10574" s="326"/>
      <c r="G10574" s="326"/>
      <c r="H10574" s="326"/>
      <c r="P10574" s="318"/>
      <c r="Q10574" s="318"/>
      <c r="R10574" s="318"/>
      <c r="S10574" s="318"/>
      <c r="T10574" s="318"/>
      <c r="U10574" s="318"/>
      <c r="V10574" s="318"/>
      <c r="W10574" s="318"/>
      <c r="X10574" s="318"/>
      <c r="Y10574" s="318"/>
      <c r="Z10574" s="318"/>
      <c r="AA10574" s="318"/>
      <c r="AB10574" s="318"/>
      <c r="AC10574" s="318"/>
      <c r="AD10574" s="318"/>
    </row>
    <row r="10575" spans="2:30" s="323" customFormat="1" ht="12" customHeight="1">
      <c r="B10575" s="324"/>
      <c r="C10575" s="325"/>
      <c r="D10575" s="326"/>
      <c r="E10575" s="326"/>
      <c r="F10575" s="326"/>
      <c r="G10575" s="326"/>
      <c r="H10575" s="326"/>
      <c r="P10575" s="318"/>
      <c r="Q10575" s="318"/>
      <c r="R10575" s="318"/>
      <c r="S10575" s="318"/>
      <c r="T10575" s="318"/>
      <c r="U10575" s="318"/>
      <c r="V10575" s="318"/>
      <c r="W10575" s="318"/>
      <c r="X10575" s="318"/>
      <c r="Y10575" s="318"/>
      <c r="Z10575" s="318"/>
      <c r="AA10575" s="318"/>
      <c r="AB10575" s="318"/>
      <c r="AC10575" s="318"/>
      <c r="AD10575" s="318"/>
    </row>
    <row r="10576" spans="2:30" s="323" customFormat="1" ht="12" customHeight="1">
      <c r="B10576" s="324"/>
      <c r="C10576" s="325"/>
      <c r="D10576" s="326"/>
      <c r="E10576" s="326"/>
      <c r="F10576" s="326"/>
      <c r="G10576" s="326"/>
      <c r="H10576" s="326"/>
      <c r="P10576" s="318"/>
      <c r="Q10576" s="318"/>
      <c r="R10576" s="318"/>
      <c r="S10576" s="318"/>
      <c r="T10576" s="318"/>
      <c r="U10576" s="318"/>
      <c r="V10576" s="318"/>
      <c r="W10576" s="318"/>
      <c r="X10576" s="318"/>
      <c r="Y10576" s="318"/>
      <c r="Z10576" s="318"/>
      <c r="AA10576" s="318"/>
      <c r="AB10576" s="318"/>
      <c r="AC10576" s="318"/>
      <c r="AD10576" s="318"/>
    </row>
    <row r="10577" spans="2:30" s="323" customFormat="1" ht="12" customHeight="1">
      <c r="B10577" s="324"/>
      <c r="C10577" s="325"/>
      <c r="D10577" s="326"/>
      <c r="E10577" s="326"/>
      <c r="F10577" s="326"/>
      <c r="G10577" s="326"/>
      <c r="H10577" s="326"/>
      <c r="P10577" s="318"/>
      <c r="Q10577" s="318"/>
      <c r="R10577" s="318"/>
      <c r="S10577" s="318"/>
      <c r="T10577" s="318"/>
      <c r="U10577" s="318"/>
      <c r="V10577" s="318"/>
      <c r="W10577" s="318"/>
      <c r="X10577" s="318"/>
      <c r="Y10577" s="318"/>
      <c r="Z10577" s="318"/>
      <c r="AA10577" s="318"/>
      <c r="AB10577" s="318"/>
      <c r="AC10577" s="318"/>
      <c r="AD10577" s="318"/>
    </row>
    <row r="10578" spans="2:30" s="323" customFormat="1" ht="12" customHeight="1">
      <c r="B10578" s="324"/>
      <c r="C10578" s="325"/>
      <c r="D10578" s="326"/>
      <c r="E10578" s="326"/>
      <c r="F10578" s="326"/>
      <c r="G10578" s="326"/>
      <c r="H10578" s="326"/>
      <c r="P10578" s="318"/>
      <c r="Q10578" s="318"/>
      <c r="R10578" s="318"/>
      <c r="S10578" s="318"/>
      <c r="T10578" s="318"/>
      <c r="U10578" s="318"/>
      <c r="V10578" s="318"/>
      <c r="W10578" s="318"/>
      <c r="X10578" s="318"/>
      <c r="Y10578" s="318"/>
      <c r="Z10578" s="318"/>
      <c r="AA10578" s="318"/>
      <c r="AB10578" s="318"/>
      <c r="AC10578" s="318"/>
      <c r="AD10578" s="318"/>
    </row>
    <row r="10579" spans="2:30" s="323" customFormat="1" ht="12" customHeight="1">
      <c r="B10579" s="324"/>
      <c r="C10579" s="325"/>
      <c r="D10579" s="326"/>
      <c r="E10579" s="326"/>
      <c r="F10579" s="326"/>
      <c r="G10579" s="326"/>
      <c r="H10579" s="326"/>
      <c r="P10579" s="318"/>
      <c r="Q10579" s="318"/>
      <c r="R10579" s="318"/>
      <c r="S10579" s="318"/>
      <c r="T10579" s="318"/>
      <c r="U10579" s="318"/>
      <c r="V10579" s="318"/>
      <c r="W10579" s="318"/>
      <c r="X10579" s="318"/>
      <c r="Y10579" s="318"/>
      <c r="Z10579" s="318"/>
      <c r="AA10579" s="318"/>
      <c r="AB10579" s="318"/>
      <c r="AC10579" s="318"/>
      <c r="AD10579" s="318"/>
    </row>
    <row r="10580" spans="2:30" s="323" customFormat="1" ht="12" customHeight="1">
      <c r="B10580" s="324"/>
      <c r="C10580" s="325"/>
      <c r="D10580" s="326"/>
      <c r="E10580" s="326"/>
      <c r="F10580" s="326"/>
      <c r="G10580" s="326"/>
      <c r="H10580" s="326"/>
      <c r="P10580" s="318"/>
      <c r="Q10580" s="318"/>
      <c r="R10580" s="318"/>
      <c r="S10580" s="318"/>
      <c r="T10580" s="318"/>
      <c r="U10580" s="318"/>
      <c r="V10580" s="318"/>
      <c r="W10580" s="318"/>
      <c r="X10580" s="318"/>
      <c r="Y10580" s="318"/>
      <c r="Z10580" s="318"/>
      <c r="AA10580" s="318"/>
      <c r="AB10580" s="318"/>
      <c r="AC10580" s="318"/>
      <c r="AD10580" s="318"/>
    </row>
    <row r="10581" spans="2:30" s="323" customFormat="1" ht="12" customHeight="1">
      <c r="B10581" s="324"/>
      <c r="C10581" s="325"/>
      <c r="D10581" s="326"/>
      <c r="E10581" s="326"/>
      <c r="F10581" s="326"/>
      <c r="G10581" s="326"/>
      <c r="H10581" s="326"/>
      <c r="P10581" s="318"/>
      <c r="Q10581" s="318"/>
      <c r="R10581" s="318"/>
      <c r="S10581" s="318"/>
      <c r="T10581" s="318"/>
      <c r="U10581" s="318"/>
      <c r="V10581" s="318"/>
      <c r="W10581" s="318"/>
      <c r="X10581" s="318"/>
      <c r="Y10581" s="318"/>
      <c r="Z10581" s="318"/>
      <c r="AA10581" s="318"/>
      <c r="AB10581" s="318"/>
      <c r="AC10581" s="318"/>
      <c r="AD10581" s="318"/>
    </row>
    <row r="10582" spans="2:30" s="323" customFormat="1" ht="12" customHeight="1">
      <c r="B10582" s="324"/>
      <c r="C10582" s="325"/>
      <c r="D10582" s="326"/>
      <c r="E10582" s="326"/>
      <c r="F10582" s="326"/>
      <c r="G10582" s="326"/>
      <c r="H10582" s="326"/>
      <c r="P10582" s="318"/>
      <c r="Q10582" s="318"/>
      <c r="R10582" s="318"/>
      <c r="S10582" s="318"/>
      <c r="T10582" s="318"/>
      <c r="U10582" s="318"/>
      <c r="V10582" s="318"/>
      <c r="W10582" s="318"/>
      <c r="X10582" s="318"/>
      <c r="Y10582" s="318"/>
      <c r="Z10582" s="318"/>
      <c r="AA10582" s="318"/>
      <c r="AB10582" s="318"/>
      <c r="AC10582" s="318"/>
      <c r="AD10582" s="318"/>
    </row>
    <row r="10583" spans="2:30" s="323" customFormat="1" ht="12" customHeight="1">
      <c r="B10583" s="324"/>
      <c r="C10583" s="325"/>
      <c r="D10583" s="326"/>
      <c r="E10583" s="326"/>
      <c r="F10583" s="326"/>
      <c r="G10583" s="326"/>
      <c r="H10583" s="326"/>
      <c r="P10583" s="318"/>
      <c r="Q10583" s="318"/>
      <c r="R10583" s="318"/>
      <c r="S10583" s="318"/>
      <c r="T10583" s="318"/>
      <c r="U10583" s="318"/>
      <c r="V10583" s="318"/>
      <c r="W10583" s="318"/>
      <c r="X10583" s="318"/>
      <c r="Y10583" s="318"/>
      <c r="Z10583" s="318"/>
      <c r="AA10583" s="318"/>
      <c r="AB10583" s="318"/>
      <c r="AC10583" s="318"/>
      <c r="AD10583" s="318"/>
    </row>
    <row r="10584" spans="2:30" s="323" customFormat="1" ht="12" customHeight="1">
      <c r="B10584" s="324"/>
      <c r="C10584" s="325"/>
      <c r="D10584" s="326"/>
      <c r="E10584" s="326"/>
      <c r="F10584" s="326"/>
      <c r="G10584" s="326"/>
      <c r="H10584" s="326"/>
      <c r="P10584" s="318"/>
      <c r="Q10584" s="318"/>
      <c r="R10584" s="318"/>
      <c r="S10584" s="318"/>
      <c r="T10584" s="318"/>
      <c r="U10584" s="318"/>
      <c r="V10584" s="318"/>
      <c r="W10584" s="318"/>
      <c r="X10584" s="318"/>
      <c r="Y10584" s="318"/>
      <c r="Z10584" s="318"/>
      <c r="AA10584" s="318"/>
      <c r="AB10584" s="318"/>
      <c r="AC10584" s="318"/>
      <c r="AD10584" s="318"/>
    </row>
    <row r="10585" spans="2:30" s="323" customFormat="1" ht="12" customHeight="1">
      <c r="B10585" s="324"/>
      <c r="C10585" s="325"/>
      <c r="D10585" s="326"/>
      <c r="E10585" s="326"/>
      <c r="F10585" s="326"/>
      <c r="G10585" s="326"/>
      <c r="H10585" s="326"/>
      <c r="P10585" s="318"/>
      <c r="Q10585" s="318"/>
      <c r="R10585" s="318"/>
      <c r="S10585" s="318"/>
      <c r="T10585" s="318"/>
      <c r="U10585" s="318"/>
      <c r="V10585" s="318"/>
      <c r="W10585" s="318"/>
      <c r="X10585" s="318"/>
      <c r="Y10585" s="318"/>
      <c r="Z10585" s="318"/>
      <c r="AA10585" s="318"/>
      <c r="AB10585" s="318"/>
      <c r="AC10585" s="318"/>
      <c r="AD10585" s="318"/>
    </row>
    <row r="10586" spans="2:30" s="323" customFormat="1" ht="12" customHeight="1">
      <c r="B10586" s="324"/>
      <c r="C10586" s="325"/>
      <c r="D10586" s="326"/>
      <c r="E10586" s="326"/>
      <c r="F10586" s="326"/>
      <c r="G10586" s="326"/>
      <c r="H10586" s="326"/>
      <c r="P10586" s="318"/>
      <c r="Q10586" s="318"/>
      <c r="R10586" s="318"/>
      <c r="S10586" s="318"/>
      <c r="T10586" s="318"/>
      <c r="U10586" s="318"/>
      <c r="V10586" s="318"/>
      <c r="W10586" s="318"/>
      <c r="X10586" s="318"/>
      <c r="Y10586" s="318"/>
      <c r="Z10586" s="318"/>
      <c r="AA10586" s="318"/>
      <c r="AB10586" s="318"/>
      <c r="AC10586" s="318"/>
      <c r="AD10586" s="318"/>
    </row>
    <row r="10587" spans="2:30" s="323" customFormat="1" ht="12" customHeight="1">
      <c r="B10587" s="324"/>
      <c r="C10587" s="325"/>
      <c r="D10587" s="326"/>
      <c r="E10587" s="326"/>
      <c r="F10587" s="326"/>
      <c r="G10587" s="326"/>
      <c r="H10587" s="326"/>
      <c r="P10587" s="318"/>
      <c r="Q10587" s="318"/>
      <c r="R10587" s="318"/>
      <c r="S10587" s="318"/>
      <c r="T10587" s="318"/>
      <c r="U10587" s="318"/>
      <c r="V10587" s="318"/>
      <c r="W10587" s="318"/>
      <c r="X10587" s="318"/>
      <c r="Y10587" s="318"/>
      <c r="Z10587" s="318"/>
      <c r="AA10587" s="318"/>
      <c r="AB10587" s="318"/>
      <c r="AC10587" s="318"/>
      <c r="AD10587" s="318"/>
    </row>
    <row r="10588" spans="2:30" s="323" customFormat="1" ht="12" customHeight="1">
      <c r="B10588" s="324"/>
      <c r="C10588" s="325"/>
      <c r="D10588" s="326"/>
      <c r="E10588" s="326"/>
      <c r="F10588" s="326"/>
      <c r="G10588" s="326"/>
      <c r="H10588" s="326"/>
      <c r="P10588" s="318"/>
      <c r="Q10588" s="318"/>
      <c r="R10588" s="318"/>
      <c r="S10588" s="318"/>
      <c r="T10588" s="318"/>
      <c r="U10588" s="318"/>
      <c r="V10588" s="318"/>
      <c r="W10588" s="318"/>
      <c r="X10588" s="318"/>
      <c r="Y10588" s="318"/>
      <c r="Z10588" s="318"/>
      <c r="AA10588" s="318"/>
      <c r="AB10588" s="318"/>
      <c r="AC10588" s="318"/>
      <c r="AD10588" s="318"/>
    </row>
    <row r="10589" spans="2:30" s="323" customFormat="1" ht="12" customHeight="1">
      <c r="B10589" s="324"/>
      <c r="C10589" s="325"/>
      <c r="D10589" s="326"/>
      <c r="E10589" s="326"/>
      <c r="F10589" s="326"/>
      <c r="G10589" s="326"/>
      <c r="H10589" s="326"/>
      <c r="P10589" s="318"/>
      <c r="Q10589" s="318"/>
      <c r="R10589" s="318"/>
      <c r="S10589" s="318"/>
      <c r="T10589" s="318"/>
      <c r="U10589" s="318"/>
      <c r="V10589" s="318"/>
      <c r="W10589" s="318"/>
      <c r="X10589" s="318"/>
      <c r="Y10589" s="318"/>
      <c r="Z10589" s="318"/>
      <c r="AA10589" s="318"/>
      <c r="AB10589" s="318"/>
      <c r="AC10589" s="318"/>
      <c r="AD10589" s="318"/>
    </row>
    <row r="10590" spans="2:30" s="323" customFormat="1" ht="12" customHeight="1">
      <c r="B10590" s="324"/>
      <c r="C10590" s="325"/>
      <c r="D10590" s="326"/>
      <c r="E10590" s="326"/>
      <c r="F10590" s="326"/>
      <c r="G10590" s="326"/>
      <c r="H10590" s="326"/>
      <c r="P10590" s="318"/>
      <c r="Q10590" s="318"/>
      <c r="R10590" s="318"/>
      <c r="S10590" s="318"/>
      <c r="T10590" s="318"/>
      <c r="U10590" s="318"/>
      <c r="V10590" s="318"/>
      <c r="W10590" s="318"/>
      <c r="X10590" s="318"/>
      <c r="Y10590" s="318"/>
      <c r="Z10590" s="318"/>
      <c r="AA10590" s="318"/>
      <c r="AB10590" s="318"/>
      <c r="AC10590" s="318"/>
      <c r="AD10590" s="318"/>
    </row>
    <row r="10591" spans="2:30" s="323" customFormat="1" ht="12" customHeight="1">
      <c r="B10591" s="324"/>
      <c r="C10591" s="325"/>
      <c r="D10591" s="326"/>
      <c r="E10591" s="326"/>
      <c r="F10591" s="326"/>
      <c r="G10591" s="326"/>
      <c r="H10591" s="326"/>
      <c r="P10591" s="318"/>
      <c r="Q10591" s="318"/>
      <c r="R10591" s="318"/>
      <c r="S10591" s="318"/>
      <c r="T10591" s="318"/>
      <c r="U10591" s="318"/>
      <c r="V10591" s="318"/>
      <c r="W10591" s="318"/>
      <c r="X10591" s="318"/>
      <c r="Y10591" s="318"/>
      <c r="Z10591" s="318"/>
      <c r="AA10591" s="318"/>
      <c r="AB10591" s="318"/>
      <c r="AC10591" s="318"/>
      <c r="AD10591" s="318"/>
    </row>
    <row r="10592" spans="2:30" s="323" customFormat="1" ht="12" customHeight="1">
      <c r="B10592" s="324"/>
      <c r="C10592" s="325"/>
      <c r="D10592" s="326"/>
      <c r="E10592" s="326"/>
      <c r="F10592" s="326"/>
      <c r="G10592" s="326"/>
      <c r="H10592" s="326"/>
      <c r="P10592" s="318"/>
      <c r="Q10592" s="318"/>
      <c r="R10592" s="318"/>
      <c r="S10592" s="318"/>
      <c r="T10592" s="318"/>
      <c r="U10592" s="318"/>
      <c r="V10592" s="318"/>
      <c r="W10592" s="318"/>
      <c r="X10592" s="318"/>
      <c r="Y10592" s="318"/>
      <c r="Z10592" s="318"/>
      <c r="AA10592" s="318"/>
      <c r="AB10592" s="318"/>
      <c r="AC10592" s="318"/>
      <c r="AD10592" s="318"/>
    </row>
    <row r="10593" spans="2:30" s="323" customFormat="1" ht="12" customHeight="1">
      <c r="B10593" s="324"/>
      <c r="C10593" s="325"/>
      <c r="D10593" s="326"/>
      <c r="E10593" s="326"/>
      <c r="F10593" s="326"/>
      <c r="G10593" s="326"/>
      <c r="H10593" s="326"/>
      <c r="P10593" s="318"/>
      <c r="Q10593" s="318"/>
      <c r="R10593" s="318"/>
      <c r="S10593" s="318"/>
      <c r="T10593" s="318"/>
      <c r="U10593" s="318"/>
      <c r="V10593" s="318"/>
      <c r="W10593" s="318"/>
      <c r="X10593" s="318"/>
      <c r="Y10593" s="318"/>
      <c r="Z10593" s="318"/>
      <c r="AA10593" s="318"/>
      <c r="AB10593" s="318"/>
      <c r="AC10593" s="318"/>
      <c r="AD10593" s="318"/>
    </row>
    <row r="10594" spans="2:30" s="323" customFormat="1" ht="12" customHeight="1">
      <c r="B10594" s="324"/>
      <c r="C10594" s="325"/>
      <c r="D10594" s="326"/>
      <c r="E10594" s="326"/>
      <c r="F10594" s="326"/>
      <c r="G10594" s="326"/>
      <c r="H10594" s="326"/>
      <c r="P10594" s="318"/>
      <c r="Q10594" s="318"/>
      <c r="R10594" s="318"/>
      <c r="S10594" s="318"/>
      <c r="T10594" s="318"/>
      <c r="U10594" s="318"/>
      <c r="V10594" s="318"/>
      <c r="W10594" s="318"/>
      <c r="X10594" s="318"/>
      <c r="Y10594" s="318"/>
      <c r="Z10594" s="318"/>
      <c r="AA10594" s="318"/>
      <c r="AB10594" s="318"/>
      <c r="AC10594" s="318"/>
      <c r="AD10594" s="318"/>
    </row>
    <row r="10595" spans="2:30" s="323" customFormat="1" ht="12" customHeight="1">
      <c r="B10595" s="324"/>
      <c r="C10595" s="325"/>
      <c r="D10595" s="326"/>
      <c r="E10595" s="326"/>
      <c r="F10595" s="326"/>
      <c r="G10595" s="326"/>
      <c r="H10595" s="326"/>
      <c r="P10595" s="318"/>
      <c r="Q10595" s="318"/>
      <c r="R10595" s="318"/>
      <c r="S10595" s="318"/>
      <c r="T10595" s="318"/>
      <c r="U10595" s="318"/>
      <c r="V10595" s="318"/>
      <c r="W10595" s="318"/>
      <c r="X10595" s="318"/>
      <c r="Y10595" s="318"/>
      <c r="Z10595" s="318"/>
      <c r="AA10595" s="318"/>
      <c r="AB10595" s="318"/>
      <c r="AC10595" s="318"/>
      <c r="AD10595" s="318"/>
    </row>
    <row r="10596" spans="2:30" s="323" customFormat="1" ht="12" customHeight="1">
      <c r="B10596" s="324"/>
      <c r="C10596" s="325"/>
      <c r="D10596" s="326"/>
      <c r="E10596" s="326"/>
      <c r="F10596" s="326"/>
      <c r="G10596" s="326"/>
      <c r="H10596" s="326"/>
      <c r="P10596" s="318"/>
      <c r="Q10596" s="318"/>
      <c r="R10596" s="318"/>
      <c r="S10596" s="318"/>
      <c r="T10596" s="318"/>
      <c r="U10596" s="318"/>
      <c r="V10596" s="318"/>
      <c r="W10596" s="318"/>
      <c r="X10596" s="318"/>
      <c r="Y10596" s="318"/>
      <c r="Z10596" s="318"/>
      <c r="AA10596" s="318"/>
      <c r="AB10596" s="318"/>
      <c r="AC10596" s="318"/>
      <c r="AD10596" s="318"/>
    </row>
    <row r="10597" spans="2:30" s="323" customFormat="1" ht="12" customHeight="1">
      <c r="B10597" s="324"/>
      <c r="C10597" s="325"/>
      <c r="D10597" s="326"/>
      <c r="E10597" s="326"/>
      <c r="F10597" s="326"/>
      <c r="G10597" s="326"/>
      <c r="H10597" s="326"/>
      <c r="P10597" s="318"/>
      <c r="Q10597" s="318"/>
      <c r="R10597" s="318"/>
      <c r="S10597" s="318"/>
      <c r="T10597" s="318"/>
      <c r="U10597" s="318"/>
      <c r="V10597" s="318"/>
      <c r="W10597" s="318"/>
      <c r="X10597" s="318"/>
      <c r="Y10597" s="318"/>
      <c r="Z10597" s="318"/>
      <c r="AA10597" s="318"/>
      <c r="AB10597" s="318"/>
      <c r="AC10597" s="318"/>
      <c r="AD10597" s="318"/>
    </row>
    <row r="10598" spans="2:30" s="323" customFormat="1" ht="12" customHeight="1">
      <c r="B10598" s="324"/>
      <c r="C10598" s="325"/>
      <c r="D10598" s="326"/>
      <c r="E10598" s="326"/>
      <c r="F10598" s="326"/>
      <c r="G10598" s="326"/>
      <c r="H10598" s="326"/>
      <c r="P10598" s="318"/>
      <c r="Q10598" s="318"/>
      <c r="R10598" s="318"/>
      <c r="S10598" s="318"/>
      <c r="T10598" s="318"/>
      <c r="U10598" s="318"/>
      <c r="V10598" s="318"/>
      <c r="W10598" s="318"/>
      <c r="X10598" s="318"/>
      <c r="Y10598" s="318"/>
      <c r="Z10598" s="318"/>
      <c r="AA10598" s="318"/>
      <c r="AB10598" s="318"/>
      <c r="AC10598" s="318"/>
      <c r="AD10598" s="318"/>
    </row>
    <row r="10599" spans="2:30" s="323" customFormat="1" ht="12" customHeight="1">
      <c r="B10599" s="324"/>
      <c r="C10599" s="325"/>
      <c r="D10599" s="326"/>
      <c r="E10599" s="326"/>
      <c r="F10599" s="326"/>
      <c r="G10599" s="326"/>
      <c r="H10599" s="326"/>
      <c r="P10599" s="318"/>
      <c r="Q10599" s="318"/>
      <c r="R10599" s="318"/>
      <c r="S10599" s="318"/>
      <c r="T10599" s="318"/>
      <c r="U10599" s="318"/>
      <c r="V10599" s="318"/>
      <c r="W10599" s="318"/>
      <c r="X10599" s="318"/>
      <c r="Y10599" s="318"/>
      <c r="Z10599" s="318"/>
      <c r="AA10599" s="318"/>
      <c r="AB10599" s="318"/>
      <c r="AC10599" s="318"/>
      <c r="AD10599" s="318"/>
    </row>
    <row r="10600" spans="2:30" s="323" customFormat="1" ht="12" customHeight="1">
      <c r="B10600" s="324"/>
      <c r="C10600" s="325"/>
      <c r="D10600" s="326"/>
      <c r="E10600" s="326"/>
      <c r="F10600" s="326"/>
      <c r="G10600" s="326"/>
      <c r="H10600" s="326"/>
      <c r="P10600" s="318"/>
      <c r="Q10600" s="318"/>
      <c r="R10600" s="318"/>
      <c r="S10600" s="318"/>
      <c r="T10600" s="318"/>
      <c r="U10600" s="318"/>
      <c r="V10600" s="318"/>
      <c r="W10600" s="318"/>
      <c r="X10600" s="318"/>
      <c r="Y10600" s="318"/>
      <c r="Z10600" s="318"/>
      <c r="AA10600" s="318"/>
      <c r="AB10600" s="318"/>
      <c r="AC10600" s="318"/>
      <c r="AD10600" s="318"/>
    </row>
    <row r="10601" spans="2:30" s="323" customFormat="1" ht="12" customHeight="1">
      <c r="B10601" s="324"/>
      <c r="C10601" s="325"/>
      <c r="D10601" s="326"/>
      <c r="E10601" s="326"/>
      <c r="F10601" s="326"/>
      <c r="G10601" s="326"/>
      <c r="H10601" s="326"/>
      <c r="P10601" s="318"/>
      <c r="Q10601" s="318"/>
      <c r="R10601" s="318"/>
      <c r="S10601" s="318"/>
      <c r="T10601" s="318"/>
      <c r="U10601" s="318"/>
      <c r="V10601" s="318"/>
      <c r="W10601" s="318"/>
      <c r="X10601" s="318"/>
      <c r="Y10601" s="318"/>
      <c r="Z10601" s="318"/>
      <c r="AA10601" s="318"/>
      <c r="AB10601" s="318"/>
      <c r="AC10601" s="318"/>
      <c r="AD10601" s="318"/>
    </row>
    <row r="10602" spans="2:30" s="323" customFormat="1" ht="12" customHeight="1">
      <c r="B10602" s="324"/>
      <c r="C10602" s="325"/>
      <c r="D10602" s="326"/>
      <c r="E10602" s="326"/>
      <c r="F10602" s="326"/>
      <c r="G10602" s="326"/>
      <c r="H10602" s="326"/>
      <c r="P10602" s="318"/>
      <c r="Q10602" s="318"/>
      <c r="R10602" s="318"/>
      <c r="S10602" s="318"/>
      <c r="T10602" s="318"/>
      <c r="U10602" s="318"/>
      <c r="V10602" s="318"/>
      <c r="W10602" s="318"/>
      <c r="X10602" s="318"/>
      <c r="Y10602" s="318"/>
      <c r="Z10602" s="318"/>
      <c r="AA10602" s="318"/>
      <c r="AB10602" s="318"/>
      <c r="AC10602" s="318"/>
      <c r="AD10602" s="318"/>
    </row>
    <row r="10603" spans="2:30" s="323" customFormat="1" ht="12" customHeight="1">
      <c r="B10603" s="324"/>
      <c r="C10603" s="325"/>
      <c r="D10603" s="326"/>
      <c r="E10603" s="326"/>
      <c r="F10603" s="326"/>
      <c r="G10603" s="326"/>
      <c r="H10603" s="326"/>
      <c r="P10603" s="318"/>
      <c r="Q10603" s="318"/>
      <c r="R10603" s="318"/>
      <c r="S10603" s="318"/>
      <c r="T10603" s="318"/>
      <c r="U10603" s="318"/>
      <c r="V10603" s="318"/>
      <c r="W10603" s="318"/>
      <c r="X10603" s="318"/>
      <c r="Y10603" s="318"/>
      <c r="Z10603" s="318"/>
      <c r="AA10603" s="318"/>
      <c r="AB10603" s="318"/>
      <c r="AC10603" s="318"/>
      <c r="AD10603" s="318"/>
    </row>
    <row r="10604" spans="2:30" s="323" customFormat="1" ht="12" customHeight="1">
      <c r="B10604" s="324"/>
      <c r="C10604" s="325"/>
      <c r="D10604" s="326"/>
      <c r="E10604" s="326"/>
      <c r="F10604" s="326"/>
      <c r="G10604" s="326"/>
      <c r="H10604" s="326"/>
      <c r="P10604" s="318"/>
      <c r="Q10604" s="318"/>
      <c r="R10604" s="318"/>
      <c r="S10604" s="318"/>
      <c r="T10604" s="318"/>
      <c r="U10604" s="318"/>
      <c r="V10604" s="318"/>
      <c r="W10604" s="318"/>
      <c r="X10604" s="318"/>
      <c r="Y10604" s="318"/>
      <c r="Z10604" s="318"/>
      <c r="AA10604" s="318"/>
      <c r="AB10604" s="318"/>
      <c r="AC10604" s="318"/>
      <c r="AD10604" s="318"/>
    </row>
    <row r="10605" spans="2:30" s="323" customFormat="1" ht="12" customHeight="1">
      <c r="B10605" s="324"/>
      <c r="C10605" s="325"/>
      <c r="D10605" s="326"/>
      <c r="E10605" s="326"/>
      <c r="F10605" s="326"/>
      <c r="G10605" s="326"/>
      <c r="H10605" s="326"/>
      <c r="P10605" s="318"/>
      <c r="Q10605" s="318"/>
      <c r="R10605" s="318"/>
      <c r="S10605" s="318"/>
      <c r="T10605" s="318"/>
      <c r="U10605" s="318"/>
      <c r="V10605" s="318"/>
      <c r="W10605" s="318"/>
      <c r="X10605" s="318"/>
      <c r="Y10605" s="318"/>
      <c r="Z10605" s="318"/>
      <c r="AA10605" s="318"/>
      <c r="AB10605" s="318"/>
      <c r="AC10605" s="318"/>
      <c r="AD10605" s="318"/>
    </row>
    <row r="10606" spans="2:30" s="323" customFormat="1" ht="12" customHeight="1">
      <c r="B10606" s="324"/>
      <c r="C10606" s="325"/>
      <c r="D10606" s="326"/>
      <c r="E10606" s="326"/>
      <c r="F10606" s="326"/>
      <c r="G10606" s="326"/>
      <c r="H10606" s="326"/>
      <c r="P10606" s="318"/>
      <c r="Q10606" s="318"/>
      <c r="R10606" s="318"/>
      <c r="S10606" s="318"/>
      <c r="T10606" s="318"/>
      <c r="U10606" s="318"/>
      <c r="V10606" s="318"/>
      <c r="W10606" s="318"/>
      <c r="X10606" s="318"/>
      <c r="Y10606" s="318"/>
      <c r="Z10606" s="318"/>
      <c r="AA10606" s="318"/>
      <c r="AB10606" s="318"/>
      <c r="AC10606" s="318"/>
      <c r="AD10606" s="318"/>
    </row>
    <row r="10607" spans="2:30" s="323" customFormat="1" ht="12" customHeight="1">
      <c r="B10607" s="324"/>
      <c r="C10607" s="325"/>
      <c r="D10607" s="326"/>
      <c r="E10607" s="326"/>
      <c r="F10607" s="326"/>
      <c r="G10607" s="326"/>
      <c r="H10607" s="326"/>
      <c r="P10607" s="318"/>
      <c r="Q10607" s="318"/>
      <c r="R10607" s="318"/>
      <c r="S10607" s="318"/>
      <c r="T10607" s="318"/>
      <c r="U10607" s="318"/>
      <c r="V10607" s="318"/>
      <c r="W10607" s="318"/>
      <c r="X10607" s="318"/>
      <c r="Y10607" s="318"/>
      <c r="Z10607" s="318"/>
      <c r="AA10607" s="318"/>
      <c r="AB10607" s="318"/>
      <c r="AC10607" s="318"/>
      <c r="AD10607" s="318"/>
    </row>
    <row r="10608" spans="2:30" s="323" customFormat="1" ht="12" customHeight="1">
      <c r="B10608" s="324"/>
      <c r="C10608" s="325"/>
      <c r="D10608" s="326"/>
      <c r="E10608" s="326"/>
      <c r="F10608" s="326"/>
      <c r="G10608" s="326"/>
      <c r="H10608" s="326"/>
      <c r="P10608" s="318"/>
      <c r="Q10608" s="318"/>
      <c r="R10608" s="318"/>
      <c r="S10608" s="318"/>
      <c r="T10608" s="318"/>
      <c r="U10608" s="318"/>
      <c r="V10608" s="318"/>
      <c r="W10608" s="318"/>
      <c r="X10608" s="318"/>
      <c r="Y10608" s="318"/>
      <c r="Z10608" s="318"/>
      <c r="AA10608" s="318"/>
      <c r="AB10608" s="318"/>
      <c r="AC10608" s="318"/>
      <c r="AD10608" s="318"/>
    </row>
    <row r="10609" spans="2:30" s="323" customFormat="1" ht="12" customHeight="1">
      <c r="B10609" s="324"/>
      <c r="C10609" s="325"/>
      <c r="D10609" s="326"/>
      <c r="E10609" s="326"/>
      <c r="F10609" s="326"/>
      <c r="G10609" s="326"/>
      <c r="H10609" s="326"/>
      <c r="P10609" s="318"/>
      <c r="Q10609" s="318"/>
      <c r="R10609" s="318"/>
      <c r="S10609" s="318"/>
      <c r="T10609" s="318"/>
      <c r="U10609" s="318"/>
      <c r="V10609" s="318"/>
      <c r="W10609" s="318"/>
      <c r="X10609" s="318"/>
      <c r="Y10609" s="318"/>
      <c r="Z10609" s="318"/>
      <c r="AA10609" s="318"/>
      <c r="AB10609" s="318"/>
      <c r="AC10609" s="318"/>
      <c r="AD10609" s="318"/>
    </row>
    <row r="10610" spans="2:30" s="323" customFormat="1" ht="12" customHeight="1">
      <c r="B10610" s="324"/>
      <c r="C10610" s="325"/>
      <c r="D10610" s="326"/>
      <c r="E10610" s="326"/>
      <c r="F10610" s="326"/>
      <c r="G10610" s="326"/>
      <c r="H10610" s="326"/>
      <c r="P10610" s="318"/>
      <c r="Q10610" s="318"/>
      <c r="R10610" s="318"/>
      <c r="S10610" s="318"/>
      <c r="T10610" s="318"/>
      <c r="U10610" s="318"/>
      <c r="V10610" s="318"/>
      <c r="W10610" s="318"/>
      <c r="X10610" s="318"/>
      <c r="Y10610" s="318"/>
      <c r="Z10610" s="318"/>
      <c r="AA10610" s="318"/>
      <c r="AB10610" s="318"/>
      <c r="AC10610" s="318"/>
      <c r="AD10610" s="318"/>
    </row>
    <row r="10611" spans="2:30" s="323" customFormat="1" ht="12" customHeight="1">
      <c r="B10611" s="324"/>
      <c r="C10611" s="325"/>
      <c r="D10611" s="326"/>
      <c r="E10611" s="326"/>
      <c r="F10611" s="326"/>
      <c r="G10611" s="326"/>
      <c r="H10611" s="326"/>
      <c r="P10611" s="318"/>
      <c r="Q10611" s="318"/>
      <c r="R10611" s="318"/>
      <c r="S10611" s="318"/>
      <c r="T10611" s="318"/>
      <c r="U10611" s="318"/>
      <c r="V10611" s="318"/>
      <c r="W10611" s="318"/>
      <c r="X10611" s="318"/>
      <c r="Y10611" s="318"/>
      <c r="Z10611" s="318"/>
      <c r="AA10611" s="318"/>
      <c r="AB10611" s="318"/>
      <c r="AC10611" s="318"/>
      <c r="AD10611" s="318"/>
    </row>
    <row r="10612" spans="2:30" s="323" customFormat="1" ht="12" customHeight="1">
      <c r="B10612" s="324"/>
      <c r="C10612" s="325"/>
      <c r="D10612" s="326"/>
      <c r="E10612" s="326"/>
      <c r="F10612" s="326"/>
      <c r="G10612" s="326"/>
      <c r="H10612" s="326"/>
      <c r="P10612" s="318"/>
      <c r="Q10612" s="318"/>
      <c r="R10612" s="318"/>
      <c r="S10612" s="318"/>
      <c r="T10612" s="318"/>
      <c r="U10612" s="318"/>
      <c r="V10612" s="318"/>
      <c r="W10612" s="318"/>
      <c r="X10612" s="318"/>
      <c r="Y10612" s="318"/>
      <c r="Z10612" s="318"/>
      <c r="AA10612" s="318"/>
      <c r="AB10612" s="318"/>
      <c r="AC10612" s="318"/>
      <c r="AD10612" s="318"/>
    </row>
    <row r="10613" spans="2:30" s="323" customFormat="1" ht="12" customHeight="1">
      <c r="B10613" s="324"/>
      <c r="C10613" s="325"/>
      <c r="D10613" s="326"/>
      <c r="E10613" s="326"/>
      <c r="F10613" s="326"/>
      <c r="G10613" s="326"/>
      <c r="H10613" s="326"/>
      <c r="P10613" s="318"/>
      <c r="Q10613" s="318"/>
      <c r="R10613" s="318"/>
      <c r="S10613" s="318"/>
      <c r="T10613" s="318"/>
      <c r="U10613" s="318"/>
      <c r="V10613" s="318"/>
      <c r="W10613" s="318"/>
      <c r="X10613" s="318"/>
      <c r="Y10613" s="318"/>
      <c r="Z10613" s="318"/>
      <c r="AA10613" s="318"/>
      <c r="AB10613" s="318"/>
      <c r="AC10613" s="318"/>
      <c r="AD10613" s="318"/>
    </row>
    <row r="10614" spans="2:30" s="323" customFormat="1" ht="12" customHeight="1">
      <c r="B10614" s="324"/>
      <c r="C10614" s="325"/>
      <c r="D10614" s="326"/>
      <c r="E10614" s="326"/>
      <c r="F10614" s="326"/>
      <c r="G10614" s="326"/>
      <c r="H10614" s="326"/>
      <c r="P10614" s="318"/>
      <c r="Q10614" s="318"/>
      <c r="R10614" s="318"/>
      <c r="S10614" s="318"/>
      <c r="T10614" s="318"/>
      <c r="U10614" s="318"/>
      <c r="V10614" s="318"/>
      <c r="W10614" s="318"/>
      <c r="X10614" s="318"/>
      <c r="Y10614" s="318"/>
      <c r="Z10614" s="318"/>
      <c r="AA10614" s="318"/>
      <c r="AB10614" s="318"/>
      <c r="AC10614" s="318"/>
      <c r="AD10614" s="318"/>
    </row>
    <row r="10615" spans="2:30" s="323" customFormat="1" ht="12" customHeight="1">
      <c r="B10615" s="324"/>
      <c r="C10615" s="325"/>
      <c r="D10615" s="326"/>
      <c r="E10615" s="326"/>
      <c r="F10615" s="326"/>
      <c r="G10615" s="326"/>
      <c r="H10615" s="326"/>
      <c r="P10615" s="318"/>
      <c r="Q10615" s="318"/>
      <c r="R10615" s="318"/>
      <c r="S10615" s="318"/>
      <c r="T10615" s="318"/>
      <c r="U10615" s="318"/>
      <c r="V10615" s="318"/>
      <c r="W10615" s="318"/>
      <c r="X10615" s="318"/>
      <c r="Y10615" s="318"/>
      <c r="Z10615" s="318"/>
      <c r="AA10615" s="318"/>
      <c r="AB10615" s="318"/>
      <c r="AC10615" s="318"/>
      <c r="AD10615" s="318"/>
    </row>
    <row r="10616" spans="2:30" s="323" customFormat="1" ht="12" customHeight="1">
      <c r="B10616" s="324"/>
      <c r="C10616" s="325"/>
      <c r="D10616" s="326"/>
      <c r="E10616" s="326"/>
      <c r="F10616" s="326"/>
      <c r="G10616" s="326"/>
      <c r="H10616" s="326"/>
      <c r="P10616" s="318"/>
      <c r="Q10616" s="318"/>
      <c r="R10616" s="318"/>
      <c r="S10616" s="318"/>
      <c r="T10616" s="318"/>
      <c r="U10616" s="318"/>
      <c r="V10616" s="318"/>
      <c r="W10616" s="318"/>
      <c r="X10616" s="318"/>
      <c r="Y10616" s="318"/>
      <c r="Z10616" s="318"/>
      <c r="AA10616" s="318"/>
      <c r="AB10616" s="318"/>
      <c r="AC10616" s="318"/>
      <c r="AD10616" s="318"/>
    </row>
    <row r="10617" spans="2:30" s="323" customFormat="1" ht="12" customHeight="1">
      <c r="B10617" s="324"/>
      <c r="C10617" s="325"/>
      <c r="D10617" s="326"/>
      <c r="E10617" s="326"/>
      <c r="F10617" s="326"/>
      <c r="G10617" s="326"/>
      <c r="H10617" s="326"/>
      <c r="P10617" s="318"/>
      <c r="Q10617" s="318"/>
      <c r="R10617" s="318"/>
      <c r="S10617" s="318"/>
      <c r="T10617" s="318"/>
      <c r="U10617" s="318"/>
      <c r="V10617" s="318"/>
      <c r="W10617" s="318"/>
      <c r="X10617" s="318"/>
      <c r="Y10617" s="318"/>
      <c r="Z10617" s="318"/>
      <c r="AA10617" s="318"/>
      <c r="AB10617" s="318"/>
      <c r="AC10617" s="318"/>
      <c r="AD10617" s="318"/>
    </row>
    <row r="10618" spans="2:30" s="323" customFormat="1" ht="12" customHeight="1">
      <c r="B10618" s="324"/>
      <c r="C10618" s="325"/>
      <c r="D10618" s="326"/>
      <c r="E10618" s="326"/>
      <c r="F10618" s="326"/>
      <c r="G10618" s="326"/>
      <c r="H10618" s="326"/>
      <c r="P10618" s="318"/>
      <c r="Q10618" s="318"/>
      <c r="R10618" s="318"/>
      <c r="S10618" s="318"/>
      <c r="T10618" s="318"/>
      <c r="U10618" s="318"/>
      <c r="V10618" s="318"/>
      <c r="W10618" s="318"/>
      <c r="X10618" s="318"/>
      <c r="Y10618" s="318"/>
      <c r="Z10618" s="318"/>
      <c r="AA10618" s="318"/>
      <c r="AB10618" s="318"/>
      <c r="AC10618" s="318"/>
      <c r="AD10618" s="318"/>
    </row>
    <row r="10619" spans="2:30" s="323" customFormat="1" ht="12" customHeight="1">
      <c r="B10619" s="324"/>
      <c r="C10619" s="325"/>
      <c r="D10619" s="326"/>
      <c r="E10619" s="326"/>
      <c r="F10619" s="326"/>
      <c r="G10619" s="326"/>
      <c r="H10619" s="326"/>
      <c r="P10619" s="318"/>
      <c r="Q10619" s="318"/>
      <c r="R10619" s="318"/>
      <c r="S10619" s="318"/>
      <c r="T10619" s="318"/>
      <c r="U10619" s="318"/>
      <c r="V10619" s="318"/>
      <c r="W10619" s="318"/>
      <c r="X10619" s="318"/>
      <c r="Y10619" s="318"/>
      <c r="Z10619" s="318"/>
      <c r="AA10619" s="318"/>
      <c r="AB10619" s="318"/>
      <c r="AC10619" s="318"/>
      <c r="AD10619" s="318"/>
    </row>
    <row r="10620" spans="2:30" s="323" customFormat="1" ht="12" customHeight="1">
      <c r="B10620" s="324"/>
      <c r="C10620" s="325"/>
      <c r="D10620" s="326"/>
      <c r="E10620" s="326"/>
      <c r="F10620" s="326"/>
      <c r="G10620" s="326"/>
      <c r="H10620" s="326"/>
      <c r="P10620" s="318"/>
      <c r="Q10620" s="318"/>
      <c r="R10620" s="318"/>
      <c r="S10620" s="318"/>
      <c r="T10620" s="318"/>
      <c r="U10620" s="318"/>
      <c r="V10620" s="318"/>
      <c r="W10620" s="318"/>
      <c r="X10620" s="318"/>
      <c r="Y10620" s="318"/>
      <c r="Z10620" s="318"/>
      <c r="AA10620" s="318"/>
      <c r="AB10620" s="318"/>
      <c r="AC10620" s="318"/>
      <c r="AD10620" s="318"/>
    </row>
    <row r="10621" spans="2:30" s="323" customFormat="1" ht="12" customHeight="1">
      <c r="B10621" s="324"/>
      <c r="C10621" s="325"/>
      <c r="D10621" s="326"/>
      <c r="E10621" s="326"/>
      <c r="F10621" s="326"/>
      <c r="G10621" s="326"/>
      <c r="H10621" s="326"/>
      <c r="P10621" s="318"/>
      <c r="Q10621" s="318"/>
      <c r="R10621" s="318"/>
      <c r="S10621" s="318"/>
      <c r="T10621" s="318"/>
      <c r="U10621" s="318"/>
      <c r="V10621" s="318"/>
      <c r="W10621" s="318"/>
      <c r="X10621" s="318"/>
      <c r="Y10621" s="318"/>
      <c r="Z10621" s="318"/>
      <c r="AA10621" s="318"/>
      <c r="AB10621" s="318"/>
      <c r="AC10621" s="318"/>
      <c r="AD10621" s="318"/>
    </row>
    <row r="10622" spans="2:30" s="323" customFormat="1" ht="12" customHeight="1">
      <c r="B10622" s="324"/>
      <c r="C10622" s="325"/>
      <c r="D10622" s="326"/>
      <c r="E10622" s="326"/>
      <c r="F10622" s="326"/>
      <c r="G10622" s="326"/>
      <c r="H10622" s="326"/>
      <c r="P10622" s="318"/>
      <c r="Q10622" s="318"/>
      <c r="R10622" s="318"/>
      <c r="S10622" s="318"/>
      <c r="T10622" s="318"/>
      <c r="U10622" s="318"/>
      <c r="V10622" s="318"/>
      <c r="W10622" s="318"/>
      <c r="X10622" s="318"/>
      <c r="Y10622" s="318"/>
      <c r="Z10622" s="318"/>
      <c r="AA10622" s="318"/>
      <c r="AB10622" s="318"/>
      <c r="AC10622" s="318"/>
      <c r="AD10622" s="318"/>
    </row>
    <row r="10623" spans="2:30" s="323" customFormat="1" ht="12" customHeight="1">
      <c r="B10623" s="324"/>
      <c r="C10623" s="325"/>
      <c r="D10623" s="326"/>
      <c r="E10623" s="326"/>
      <c r="F10623" s="326"/>
      <c r="G10623" s="326"/>
      <c r="H10623" s="326"/>
      <c r="P10623" s="318"/>
      <c r="Q10623" s="318"/>
      <c r="R10623" s="318"/>
      <c r="S10623" s="318"/>
      <c r="T10623" s="318"/>
      <c r="U10623" s="318"/>
      <c r="V10623" s="318"/>
      <c r="W10623" s="318"/>
      <c r="X10623" s="318"/>
      <c r="Y10623" s="318"/>
      <c r="Z10623" s="318"/>
      <c r="AA10623" s="318"/>
      <c r="AB10623" s="318"/>
      <c r="AC10623" s="318"/>
      <c r="AD10623" s="318"/>
    </row>
    <row r="10624" spans="2:30" s="323" customFormat="1" ht="12" customHeight="1">
      <c r="B10624" s="324"/>
      <c r="C10624" s="325"/>
      <c r="D10624" s="326"/>
      <c r="E10624" s="326"/>
      <c r="F10624" s="326"/>
      <c r="G10624" s="326"/>
      <c r="H10624" s="326"/>
      <c r="P10624" s="318"/>
      <c r="Q10624" s="318"/>
      <c r="R10624" s="318"/>
      <c r="S10624" s="318"/>
      <c r="T10624" s="318"/>
      <c r="U10624" s="318"/>
      <c r="V10624" s="318"/>
      <c r="W10624" s="318"/>
      <c r="X10624" s="318"/>
      <c r="Y10624" s="318"/>
      <c r="Z10624" s="318"/>
      <c r="AA10624" s="318"/>
      <c r="AB10624" s="318"/>
      <c r="AC10624" s="318"/>
      <c r="AD10624" s="318"/>
    </row>
    <row r="10625" spans="2:30" s="323" customFormat="1" ht="12" customHeight="1">
      <c r="B10625" s="324"/>
      <c r="C10625" s="325"/>
      <c r="D10625" s="326"/>
      <c r="E10625" s="326"/>
      <c r="F10625" s="326"/>
      <c r="G10625" s="326"/>
      <c r="H10625" s="326"/>
      <c r="P10625" s="318"/>
      <c r="Q10625" s="318"/>
      <c r="R10625" s="318"/>
      <c r="S10625" s="318"/>
      <c r="T10625" s="318"/>
      <c r="U10625" s="318"/>
      <c r="V10625" s="318"/>
      <c r="W10625" s="318"/>
      <c r="X10625" s="318"/>
      <c r="Y10625" s="318"/>
      <c r="Z10625" s="318"/>
      <c r="AA10625" s="318"/>
      <c r="AB10625" s="318"/>
      <c r="AC10625" s="318"/>
      <c r="AD10625" s="318"/>
    </row>
    <row r="10626" spans="2:30" s="323" customFormat="1" ht="12" customHeight="1">
      <c r="B10626" s="324"/>
      <c r="C10626" s="325"/>
      <c r="D10626" s="326"/>
      <c r="E10626" s="326"/>
      <c r="F10626" s="326"/>
      <c r="G10626" s="326"/>
      <c r="H10626" s="326"/>
      <c r="P10626" s="318"/>
      <c r="Q10626" s="318"/>
      <c r="R10626" s="318"/>
      <c r="S10626" s="318"/>
      <c r="T10626" s="318"/>
      <c r="U10626" s="318"/>
      <c r="V10626" s="318"/>
      <c r="W10626" s="318"/>
      <c r="X10626" s="318"/>
      <c r="Y10626" s="318"/>
      <c r="Z10626" s="318"/>
      <c r="AA10626" s="318"/>
      <c r="AB10626" s="318"/>
      <c r="AC10626" s="318"/>
      <c r="AD10626" s="318"/>
    </row>
    <row r="10627" spans="2:30" s="323" customFormat="1" ht="12" customHeight="1">
      <c r="B10627" s="324"/>
      <c r="C10627" s="325"/>
      <c r="D10627" s="326"/>
      <c r="E10627" s="326"/>
      <c r="F10627" s="326"/>
      <c r="G10627" s="326"/>
      <c r="H10627" s="326"/>
      <c r="P10627" s="318"/>
      <c r="Q10627" s="318"/>
      <c r="R10627" s="318"/>
      <c r="S10627" s="318"/>
      <c r="T10627" s="318"/>
      <c r="U10627" s="318"/>
      <c r="V10627" s="318"/>
      <c r="W10627" s="318"/>
      <c r="X10627" s="318"/>
      <c r="Y10627" s="318"/>
      <c r="Z10627" s="318"/>
      <c r="AA10627" s="318"/>
      <c r="AB10627" s="318"/>
      <c r="AC10627" s="318"/>
      <c r="AD10627" s="318"/>
    </row>
    <row r="10628" spans="2:30" s="323" customFormat="1" ht="12" customHeight="1">
      <c r="B10628" s="324"/>
      <c r="C10628" s="325"/>
      <c r="D10628" s="326"/>
      <c r="E10628" s="326"/>
      <c r="F10628" s="326"/>
      <c r="G10628" s="326"/>
      <c r="H10628" s="326"/>
      <c r="P10628" s="318"/>
      <c r="Q10628" s="318"/>
      <c r="R10628" s="318"/>
      <c r="S10628" s="318"/>
      <c r="T10628" s="318"/>
      <c r="U10628" s="318"/>
      <c r="V10628" s="318"/>
      <c r="W10628" s="318"/>
      <c r="X10628" s="318"/>
      <c r="Y10628" s="318"/>
      <c r="Z10628" s="318"/>
      <c r="AA10628" s="318"/>
      <c r="AB10628" s="318"/>
      <c r="AC10628" s="318"/>
      <c r="AD10628" s="318"/>
    </row>
    <row r="10629" spans="2:30" s="323" customFormat="1" ht="12" customHeight="1">
      <c r="B10629" s="324"/>
      <c r="C10629" s="325"/>
      <c r="D10629" s="326"/>
      <c r="E10629" s="326"/>
      <c r="F10629" s="326"/>
      <c r="G10629" s="326"/>
      <c r="H10629" s="326"/>
      <c r="P10629" s="318"/>
      <c r="Q10629" s="318"/>
      <c r="R10629" s="318"/>
      <c r="S10629" s="318"/>
      <c r="T10629" s="318"/>
      <c r="U10629" s="318"/>
      <c r="V10629" s="318"/>
      <c r="W10629" s="318"/>
      <c r="X10629" s="318"/>
      <c r="Y10629" s="318"/>
      <c r="Z10629" s="318"/>
      <c r="AA10629" s="318"/>
      <c r="AB10629" s="318"/>
      <c r="AC10629" s="318"/>
      <c r="AD10629" s="318"/>
    </row>
    <row r="10630" spans="2:30" s="323" customFormat="1" ht="12" customHeight="1">
      <c r="B10630" s="324"/>
      <c r="C10630" s="325"/>
      <c r="D10630" s="326"/>
      <c r="E10630" s="326"/>
      <c r="F10630" s="326"/>
      <c r="G10630" s="326"/>
      <c r="H10630" s="326"/>
      <c r="P10630" s="318"/>
      <c r="Q10630" s="318"/>
      <c r="R10630" s="318"/>
      <c r="S10630" s="318"/>
      <c r="T10630" s="318"/>
      <c r="U10630" s="318"/>
      <c r="V10630" s="318"/>
      <c r="W10630" s="318"/>
      <c r="X10630" s="318"/>
      <c r="Y10630" s="318"/>
      <c r="Z10630" s="318"/>
      <c r="AA10630" s="318"/>
      <c r="AB10630" s="318"/>
      <c r="AC10630" s="318"/>
      <c r="AD10630" s="318"/>
    </row>
    <row r="10631" spans="2:30" s="323" customFormat="1" ht="12" customHeight="1">
      <c r="B10631" s="324"/>
      <c r="C10631" s="325"/>
      <c r="D10631" s="326"/>
      <c r="E10631" s="326"/>
      <c r="F10631" s="326"/>
      <c r="G10631" s="326"/>
      <c r="H10631" s="326"/>
      <c r="P10631" s="318"/>
      <c r="Q10631" s="318"/>
      <c r="R10631" s="318"/>
      <c r="S10631" s="318"/>
      <c r="T10631" s="318"/>
      <c r="U10631" s="318"/>
      <c r="V10631" s="318"/>
      <c r="W10631" s="318"/>
      <c r="X10631" s="318"/>
      <c r="Y10631" s="318"/>
      <c r="Z10631" s="318"/>
      <c r="AA10631" s="318"/>
      <c r="AB10631" s="318"/>
      <c r="AC10631" s="318"/>
      <c r="AD10631" s="318"/>
    </row>
    <row r="10632" spans="2:30" s="323" customFormat="1" ht="12" customHeight="1">
      <c r="B10632" s="324"/>
      <c r="C10632" s="325"/>
      <c r="D10632" s="326"/>
      <c r="E10632" s="326"/>
      <c r="F10632" s="326"/>
      <c r="G10632" s="326"/>
      <c r="H10632" s="326"/>
      <c r="P10632" s="318"/>
      <c r="Q10632" s="318"/>
      <c r="R10632" s="318"/>
      <c r="S10632" s="318"/>
      <c r="T10632" s="318"/>
      <c r="U10632" s="318"/>
      <c r="V10632" s="318"/>
      <c r="W10632" s="318"/>
      <c r="X10632" s="318"/>
      <c r="Y10632" s="318"/>
      <c r="Z10632" s="318"/>
      <c r="AA10632" s="318"/>
      <c r="AB10632" s="318"/>
      <c r="AC10632" s="318"/>
      <c r="AD10632" s="318"/>
    </row>
    <row r="10633" spans="2:30" s="323" customFormat="1" ht="12" customHeight="1">
      <c r="B10633" s="324"/>
      <c r="C10633" s="325"/>
      <c r="D10633" s="326"/>
      <c r="E10633" s="326"/>
      <c r="F10633" s="326"/>
      <c r="G10633" s="326"/>
      <c r="H10633" s="326"/>
      <c r="P10633" s="318"/>
      <c r="Q10633" s="318"/>
      <c r="R10633" s="318"/>
      <c r="S10633" s="318"/>
      <c r="T10633" s="318"/>
      <c r="U10633" s="318"/>
      <c r="V10633" s="318"/>
      <c r="W10633" s="318"/>
      <c r="X10633" s="318"/>
      <c r="Y10633" s="318"/>
      <c r="Z10633" s="318"/>
      <c r="AA10633" s="318"/>
      <c r="AB10633" s="318"/>
      <c r="AC10633" s="318"/>
      <c r="AD10633" s="318"/>
    </row>
    <row r="10634" spans="2:30" s="323" customFormat="1" ht="12" customHeight="1">
      <c r="B10634" s="324"/>
      <c r="C10634" s="325"/>
      <c r="D10634" s="326"/>
      <c r="E10634" s="326"/>
      <c r="F10634" s="326"/>
      <c r="G10634" s="326"/>
      <c r="H10634" s="326"/>
      <c r="P10634" s="318"/>
      <c r="Q10634" s="318"/>
      <c r="R10634" s="318"/>
      <c r="S10634" s="318"/>
      <c r="T10634" s="318"/>
      <c r="U10634" s="318"/>
      <c r="V10634" s="318"/>
      <c r="W10634" s="318"/>
      <c r="X10634" s="318"/>
      <c r="Y10634" s="318"/>
      <c r="Z10634" s="318"/>
      <c r="AA10634" s="318"/>
      <c r="AB10634" s="318"/>
      <c r="AC10634" s="318"/>
      <c r="AD10634" s="318"/>
    </row>
    <row r="10635" spans="2:30" s="323" customFormat="1" ht="12" customHeight="1">
      <c r="B10635" s="324"/>
      <c r="C10635" s="325"/>
      <c r="D10635" s="326"/>
      <c r="E10635" s="326"/>
      <c r="F10635" s="326"/>
      <c r="G10635" s="326"/>
      <c r="H10635" s="326"/>
      <c r="P10635" s="318"/>
      <c r="Q10635" s="318"/>
      <c r="R10635" s="318"/>
      <c r="S10635" s="318"/>
      <c r="T10635" s="318"/>
      <c r="U10635" s="318"/>
      <c r="V10635" s="318"/>
      <c r="W10635" s="318"/>
      <c r="X10635" s="318"/>
      <c r="Y10635" s="318"/>
      <c r="Z10635" s="318"/>
      <c r="AA10635" s="318"/>
      <c r="AB10635" s="318"/>
      <c r="AC10635" s="318"/>
      <c r="AD10635" s="318"/>
    </row>
    <row r="10636" spans="2:30" s="323" customFormat="1" ht="12" customHeight="1">
      <c r="B10636" s="324"/>
      <c r="C10636" s="325"/>
      <c r="D10636" s="326"/>
      <c r="E10636" s="326"/>
      <c r="F10636" s="326"/>
      <c r="G10636" s="326"/>
      <c r="H10636" s="326"/>
      <c r="P10636" s="318"/>
      <c r="Q10636" s="318"/>
      <c r="R10636" s="318"/>
      <c r="S10636" s="318"/>
      <c r="T10636" s="318"/>
      <c r="U10636" s="318"/>
      <c r="V10636" s="318"/>
      <c r="W10636" s="318"/>
      <c r="X10636" s="318"/>
      <c r="Y10636" s="318"/>
      <c r="Z10636" s="318"/>
      <c r="AA10636" s="318"/>
      <c r="AB10636" s="318"/>
      <c r="AC10636" s="318"/>
      <c r="AD10636" s="318"/>
    </row>
    <row r="10637" spans="2:30" s="323" customFormat="1" ht="12" customHeight="1">
      <c r="B10637" s="324"/>
      <c r="C10637" s="325"/>
      <c r="D10637" s="326"/>
      <c r="E10637" s="326"/>
      <c r="F10637" s="326"/>
      <c r="G10637" s="326"/>
      <c r="H10637" s="326"/>
      <c r="P10637" s="318"/>
      <c r="Q10637" s="318"/>
      <c r="R10637" s="318"/>
      <c r="S10637" s="318"/>
      <c r="T10637" s="318"/>
      <c r="U10637" s="318"/>
      <c r="V10637" s="318"/>
      <c r="W10637" s="318"/>
      <c r="X10637" s="318"/>
      <c r="Y10637" s="318"/>
      <c r="Z10637" s="318"/>
      <c r="AA10637" s="318"/>
      <c r="AB10637" s="318"/>
      <c r="AC10637" s="318"/>
      <c r="AD10637" s="318"/>
    </row>
    <row r="10638" spans="2:30" s="323" customFormat="1" ht="12" customHeight="1">
      <c r="B10638" s="324"/>
      <c r="C10638" s="325"/>
      <c r="D10638" s="326"/>
      <c r="E10638" s="326"/>
      <c r="F10638" s="326"/>
      <c r="G10638" s="326"/>
      <c r="H10638" s="326"/>
      <c r="P10638" s="318"/>
      <c r="Q10638" s="318"/>
      <c r="R10638" s="318"/>
      <c r="S10638" s="318"/>
      <c r="T10638" s="318"/>
      <c r="U10638" s="318"/>
      <c r="V10638" s="318"/>
      <c r="W10638" s="318"/>
      <c r="X10638" s="318"/>
      <c r="Y10638" s="318"/>
      <c r="Z10638" s="318"/>
      <c r="AA10638" s="318"/>
      <c r="AB10638" s="318"/>
      <c r="AC10638" s="318"/>
      <c r="AD10638" s="318"/>
    </row>
    <row r="10639" spans="2:30" s="323" customFormat="1" ht="12" customHeight="1">
      <c r="B10639" s="324"/>
      <c r="C10639" s="325"/>
      <c r="D10639" s="326"/>
      <c r="E10639" s="326"/>
      <c r="F10639" s="326"/>
      <c r="G10639" s="326"/>
      <c r="H10639" s="326"/>
      <c r="P10639" s="318"/>
      <c r="Q10639" s="318"/>
      <c r="R10639" s="318"/>
      <c r="S10639" s="318"/>
      <c r="T10639" s="318"/>
      <c r="U10639" s="318"/>
      <c r="V10639" s="318"/>
      <c r="W10639" s="318"/>
      <c r="X10639" s="318"/>
      <c r="Y10639" s="318"/>
      <c r="Z10639" s="318"/>
      <c r="AA10639" s="318"/>
      <c r="AB10639" s="318"/>
      <c r="AC10639" s="318"/>
      <c r="AD10639" s="318"/>
    </row>
    <row r="10640" spans="2:30" s="323" customFormat="1" ht="12" customHeight="1">
      <c r="B10640" s="324"/>
      <c r="C10640" s="325"/>
      <c r="D10640" s="326"/>
      <c r="E10640" s="326"/>
      <c r="F10640" s="326"/>
      <c r="G10640" s="326"/>
      <c r="H10640" s="326"/>
      <c r="P10640" s="318"/>
      <c r="Q10640" s="318"/>
      <c r="R10640" s="318"/>
      <c r="S10640" s="318"/>
      <c r="T10640" s="318"/>
      <c r="U10640" s="318"/>
      <c r="V10640" s="318"/>
      <c r="W10640" s="318"/>
      <c r="X10640" s="318"/>
      <c r="Y10640" s="318"/>
      <c r="Z10640" s="318"/>
      <c r="AA10640" s="318"/>
      <c r="AB10640" s="318"/>
      <c r="AC10640" s="318"/>
      <c r="AD10640" s="318"/>
    </row>
    <row r="10641" spans="2:30" s="323" customFormat="1" ht="12" customHeight="1">
      <c r="B10641" s="324"/>
      <c r="C10641" s="325"/>
      <c r="D10641" s="326"/>
      <c r="E10641" s="326"/>
      <c r="F10641" s="326"/>
      <c r="G10641" s="326"/>
      <c r="H10641" s="326"/>
      <c r="P10641" s="318"/>
      <c r="Q10641" s="318"/>
      <c r="R10641" s="318"/>
      <c r="S10641" s="318"/>
      <c r="T10641" s="318"/>
      <c r="U10641" s="318"/>
      <c r="V10641" s="318"/>
      <c r="W10641" s="318"/>
      <c r="X10641" s="318"/>
      <c r="Y10641" s="318"/>
      <c r="Z10641" s="318"/>
      <c r="AA10641" s="318"/>
      <c r="AB10641" s="318"/>
      <c r="AC10641" s="318"/>
      <c r="AD10641" s="318"/>
    </row>
    <row r="10642" spans="2:30" s="323" customFormat="1" ht="12" customHeight="1">
      <c r="B10642" s="324"/>
      <c r="C10642" s="325"/>
      <c r="D10642" s="326"/>
      <c r="E10642" s="326"/>
      <c r="F10642" s="326"/>
      <c r="G10642" s="326"/>
      <c r="H10642" s="326"/>
      <c r="P10642" s="318"/>
      <c r="Q10642" s="318"/>
      <c r="R10642" s="318"/>
      <c r="S10642" s="318"/>
      <c r="T10642" s="318"/>
      <c r="U10642" s="318"/>
      <c r="V10642" s="318"/>
      <c r="W10642" s="318"/>
      <c r="X10642" s="318"/>
      <c r="Y10642" s="318"/>
      <c r="Z10642" s="318"/>
      <c r="AA10642" s="318"/>
      <c r="AB10642" s="318"/>
      <c r="AC10642" s="318"/>
      <c r="AD10642" s="318"/>
    </row>
    <row r="10643" spans="2:30" s="323" customFormat="1" ht="12" customHeight="1">
      <c r="B10643" s="324"/>
      <c r="C10643" s="325"/>
      <c r="D10643" s="326"/>
      <c r="E10643" s="326"/>
      <c r="F10643" s="326"/>
      <c r="G10643" s="326"/>
      <c r="H10643" s="326"/>
      <c r="P10643" s="318"/>
      <c r="Q10643" s="318"/>
      <c r="R10643" s="318"/>
      <c r="S10643" s="318"/>
      <c r="T10643" s="318"/>
      <c r="U10643" s="318"/>
      <c r="V10643" s="318"/>
      <c r="W10643" s="318"/>
      <c r="X10643" s="318"/>
      <c r="Y10643" s="318"/>
      <c r="Z10643" s="318"/>
      <c r="AA10643" s="318"/>
      <c r="AB10643" s="318"/>
      <c r="AC10643" s="318"/>
      <c r="AD10643" s="318"/>
    </row>
    <row r="10644" spans="2:30" s="323" customFormat="1" ht="12" customHeight="1">
      <c r="B10644" s="324"/>
      <c r="C10644" s="325"/>
      <c r="D10644" s="326"/>
      <c r="E10644" s="326"/>
      <c r="F10644" s="326"/>
      <c r="G10644" s="326"/>
      <c r="H10644" s="326"/>
      <c r="P10644" s="318"/>
      <c r="Q10644" s="318"/>
      <c r="R10644" s="318"/>
      <c r="S10644" s="318"/>
      <c r="T10644" s="318"/>
      <c r="U10644" s="318"/>
      <c r="V10644" s="318"/>
      <c r="W10644" s="318"/>
      <c r="X10644" s="318"/>
      <c r="Y10644" s="318"/>
      <c r="Z10644" s="318"/>
      <c r="AA10644" s="318"/>
      <c r="AB10644" s="318"/>
      <c r="AC10644" s="318"/>
      <c r="AD10644" s="318"/>
    </row>
    <row r="10645" spans="2:30" s="323" customFormat="1" ht="12" customHeight="1">
      <c r="B10645" s="324"/>
      <c r="C10645" s="325"/>
      <c r="D10645" s="326"/>
      <c r="E10645" s="326"/>
      <c r="F10645" s="326"/>
      <c r="G10645" s="326"/>
      <c r="H10645" s="326"/>
      <c r="P10645" s="318"/>
      <c r="Q10645" s="318"/>
      <c r="R10645" s="318"/>
      <c r="S10645" s="318"/>
      <c r="T10645" s="318"/>
      <c r="U10645" s="318"/>
      <c r="V10645" s="318"/>
      <c r="W10645" s="318"/>
      <c r="X10645" s="318"/>
      <c r="Y10645" s="318"/>
      <c r="Z10645" s="318"/>
      <c r="AA10645" s="318"/>
      <c r="AB10645" s="318"/>
      <c r="AC10645" s="318"/>
      <c r="AD10645" s="318"/>
    </row>
    <row r="10646" spans="2:30" s="323" customFormat="1" ht="12" customHeight="1">
      <c r="B10646" s="324"/>
      <c r="C10646" s="325"/>
      <c r="D10646" s="326"/>
      <c r="E10646" s="326"/>
      <c r="F10646" s="326"/>
      <c r="G10646" s="326"/>
      <c r="H10646" s="326"/>
      <c r="P10646" s="318"/>
      <c r="Q10646" s="318"/>
      <c r="R10646" s="318"/>
      <c r="S10646" s="318"/>
      <c r="T10646" s="318"/>
      <c r="U10646" s="318"/>
      <c r="V10646" s="318"/>
      <c r="W10646" s="318"/>
      <c r="X10646" s="318"/>
      <c r="Y10646" s="318"/>
      <c r="Z10646" s="318"/>
      <c r="AA10646" s="318"/>
      <c r="AB10646" s="318"/>
      <c r="AC10646" s="318"/>
      <c r="AD10646" s="318"/>
    </row>
    <row r="10647" spans="2:30" s="323" customFormat="1" ht="12" customHeight="1">
      <c r="B10647" s="324"/>
      <c r="C10647" s="325"/>
      <c r="D10647" s="326"/>
      <c r="E10647" s="326"/>
      <c r="F10647" s="326"/>
      <c r="G10647" s="326"/>
      <c r="H10647" s="326"/>
      <c r="P10647" s="318"/>
      <c r="Q10647" s="318"/>
      <c r="R10647" s="318"/>
      <c r="S10647" s="318"/>
      <c r="T10647" s="318"/>
      <c r="U10647" s="318"/>
      <c r="V10647" s="318"/>
      <c r="W10647" s="318"/>
      <c r="X10647" s="318"/>
      <c r="Y10647" s="318"/>
      <c r="Z10647" s="318"/>
      <c r="AA10647" s="318"/>
      <c r="AB10647" s="318"/>
      <c r="AC10647" s="318"/>
      <c r="AD10647" s="318"/>
    </row>
    <row r="10648" spans="2:30" s="323" customFormat="1" ht="12" customHeight="1">
      <c r="B10648" s="324"/>
      <c r="C10648" s="325"/>
      <c r="D10648" s="326"/>
      <c r="E10648" s="326"/>
      <c r="F10648" s="326"/>
      <c r="G10648" s="326"/>
      <c r="H10648" s="326"/>
      <c r="P10648" s="318"/>
      <c r="Q10648" s="318"/>
      <c r="R10648" s="318"/>
      <c r="S10648" s="318"/>
      <c r="T10648" s="318"/>
      <c r="U10648" s="318"/>
      <c r="V10648" s="318"/>
      <c r="W10648" s="318"/>
      <c r="X10648" s="318"/>
      <c r="Y10648" s="318"/>
      <c r="Z10648" s="318"/>
      <c r="AA10648" s="318"/>
      <c r="AB10648" s="318"/>
      <c r="AC10648" s="318"/>
      <c r="AD10648" s="318"/>
    </row>
    <row r="10649" spans="2:30" s="323" customFormat="1" ht="12" customHeight="1">
      <c r="B10649" s="324"/>
      <c r="C10649" s="325"/>
      <c r="D10649" s="326"/>
      <c r="E10649" s="326"/>
      <c r="F10649" s="326"/>
      <c r="G10649" s="326"/>
      <c r="H10649" s="326"/>
      <c r="P10649" s="318"/>
      <c r="Q10649" s="318"/>
      <c r="R10649" s="318"/>
      <c r="S10649" s="318"/>
      <c r="T10649" s="318"/>
      <c r="U10649" s="318"/>
      <c r="V10649" s="318"/>
      <c r="W10649" s="318"/>
      <c r="X10649" s="318"/>
      <c r="Y10649" s="318"/>
      <c r="Z10649" s="318"/>
      <c r="AA10649" s="318"/>
      <c r="AB10649" s="318"/>
      <c r="AC10649" s="318"/>
      <c r="AD10649" s="318"/>
    </row>
    <row r="10650" spans="2:30" s="323" customFormat="1" ht="12" customHeight="1">
      <c r="B10650" s="324"/>
      <c r="C10650" s="325"/>
      <c r="D10650" s="326"/>
      <c r="E10650" s="326"/>
      <c r="F10650" s="326"/>
      <c r="G10650" s="326"/>
      <c r="H10650" s="326"/>
      <c r="P10650" s="318"/>
      <c r="Q10650" s="318"/>
      <c r="R10650" s="318"/>
      <c r="S10650" s="318"/>
      <c r="T10650" s="318"/>
      <c r="U10650" s="318"/>
      <c r="V10650" s="318"/>
      <c r="W10650" s="318"/>
      <c r="X10650" s="318"/>
      <c r="Y10650" s="318"/>
      <c r="Z10650" s="318"/>
      <c r="AA10650" s="318"/>
      <c r="AB10650" s="318"/>
      <c r="AC10650" s="318"/>
      <c r="AD10650" s="318"/>
    </row>
    <row r="10651" spans="2:30" s="323" customFormat="1" ht="12" customHeight="1">
      <c r="B10651" s="324"/>
      <c r="C10651" s="325"/>
      <c r="D10651" s="326"/>
      <c r="E10651" s="326"/>
      <c r="F10651" s="326"/>
      <c r="G10651" s="326"/>
      <c r="H10651" s="326"/>
      <c r="P10651" s="318"/>
      <c r="Q10651" s="318"/>
      <c r="R10651" s="318"/>
      <c r="S10651" s="318"/>
      <c r="T10651" s="318"/>
      <c r="U10651" s="318"/>
      <c r="V10651" s="318"/>
      <c r="W10651" s="318"/>
      <c r="X10651" s="318"/>
      <c r="Y10651" s="318"/>
      <c r="Z10651" s="318"/>
      <c r="AA10651" s="318"/>
      <c r="AB10651" s="318"/>
      <c r="AC10651" s="318"/>
      <c r="AD10651" s="318"/>
    </row>
    <row r="10652" spans="2:30" s="323" customFormat="1" ht="12" customHeight="1">
      <c r="B10652" s="324"/>
      <c r="C10652" s="325"/>
      <c r="D10652" s="326"/>
      <c r="E10652" s="326"/>
      <c r="F10652" s="326"/>
      <c r="G10652" s="326"/>
      <c r="H10652" s="326"/>
      <c r="P10652" s="318"/>
      <c r="Q10652" s="318"/>
      <c r="R10652" s="318"/>
      <c r="S10652" s="318"/>
      <c r="T10652" s="318"/>
      <c r="U10652" s="318"/>
      <c r="V10652" s="318"/>
      <c r="W10652" s="318"/>
      <c r="X10652" s="318"/>
      <c r="Y10652" s="318"/>
      <c r="Z10652" s="318"/>
      <c r="AA10652" s="318"/>
      <c r="AB10652" s="318"/>
      <c r="AC10652" s="318"/>
      <c r="AD10652" s="318"/>
    </row>
    <row r="10653" spans="2:30" s="323" customFormat="1" ht="12" customHeight="1">
      <c r="B10653" s="324"/>
      <c r="C10653" s="325"/>
      <c r="D10653" s="326"/>
      <c r="E10653" s="326"/>
      <c r="F10653" s="326"/>
      <c r="G10653" s="326"/>
      <c r="H10653" s="326"/>
      <c r="P10653" s="318"/>
      <c r="Q10653" s="318"/>
      <c r="R10653" s="318"/>
      <c r="S10653" s="318"/>
      <c r="T10653" s="318"/>
      <c r="U10653" s="318"/>
      <c r="V10653" s="318"/>
      <c r="W10653" s="318"/>
      <c r="X10653" s="318"/>
      <c r="Y10653" s="318"/>
      <c r="Z10653" s="318"/>
      <c r="AA10653" s="318"/>
      <c r="AB10653" s="318"/>
      <c r="AC10653" s="318"/>
      <c r="AD10653" s="318"/>
    </row>
    <row r="10654" spans="2:30" s="323" customFormat="1" ht="12" customHeight="1">
      <c r="B10654" s="324"/>
      <c r="C10654" s="325"/>
      <c r="D10654" s="326"/>
      <c r="E10654" s="326"/>
      <c r="F10654" s="326"/>
      <c r="G10654" s="326"/>
      <c r="H10654" s="326"/>
      <c r="P10654" s="318"/>
      <c r="Q10654" s="318"/>
      <c r="R10654" s="318"/>
      <c r="S10654" s="318"/>
      <c r="T10654" s="318"/>
      <c r="U10654" s="318"/>
      <c r="V10654" s="318"/>
      <c r="W10654" s="318"/>
      <c r="X10654" s="318"/>
      <c r="Y10654" s="318"/>
      <c r="Z10654" s="318"/>
      <c r="AA10654" s="318"/>
      <c r="AB10654" s="318"/>
      <c r="AC10654" s="318"/>
      <c r="AD10654" s="318"/>
    </row>
    <row r="10655" spans="2:30" s="323" customFormat="1" ht="12" customHeight="1">
      <c r="B10655" s="324"/>
      <c r="C10655" s="325"/>
      <c r="D10655" s="326"/>
      <c r="E10655" s="326"/>
      <c r="F10655" s="326"/>
      <c r="G10655" s="326"/>
      <c r="H10655" s="326"/>
      <c r="P10655" s="318"/>
      <c r="Q10655" s="318"/>
      <c r="R10655" s="318"/>
      <c r="S10655" s="318"/>
      <c r="T10655" s="318"/>
      <c r="U10655" s="318"/>
      <c r="V10655" s="318"/>
      <c r="W10655" s="318"/>
      <c r="X10655" s="318"/>
      <c r="Y10655" s="318"/>
      <c r="Z10655" s="318"/>
      <c r="AA10655" s="318"/>
      <c r="AB10655" s="318"/>
      <c r="AC10655" s="318"/>
      <c r="AD10655" s="318"/>
    </row>
    <row r="10656" spans="2:30" s="323" customFormat="1" ht="12" customHeight="1">
      <c r="B10656" s="324"/>
      <c r="C10656" s="325"/>
      <c r="D10656" s="326"/>
      <c r="E10656" s="326"/>
      <c r="F10656" s="326"/>
      <c r="G10656" s="326"/>
      <c r="H10656" s="326"/>
      <c r="P10656" s="318"/>
      <c r="Q10656" s="318"/>
      <c r="R10656" s="318"/>
      <c r="S10656" s="318"/>
      <c r="T10656" s="318"/>
      <c r="U10656" s="318"/>
      <c r="V10656" s="318"/>
      <c r="W10656" s="318"/>
      <c r="X10656" s="318"/>
      <c r="Y10656" s="318"/>
      <c r="Z10656" s="318"/>
      <c r="AA10656" s="318"/>
      <c r="AB10656" s="318"/>
      <c r="AC10656" s="318"/>
      <c r="AD10656" s="318"/>
    </row>
    <row r="10657" spans="2:30" s="323" customFormat="1" ht="12" customHeight="1">
      <c r="B10657" s="324"/>
      <c r="C10657" s="325"/>
      <c r="D10657" s="326"/>
      <c r="E10657" s="326"/>
      <c r="F10657" s="326"/>
      <c r="G10657" s="326"/>
      <c r="H10657" s="326"/>
      <c r="P10657" s="318"/>
      <c r="Q10657" s="318"/>
      <c r="R10657" s="318"/>
      <c r="S10657" s="318"/>
      <c r="T10657" s="318"/>
      <c r="U10657" s="318"/>
      <c r="V10657" s="318"/>
      <c r="W10657" s="318"/>
      <c r="X10657" s="318"/>
      <c r="Y10657" s="318"/>
      <c r="Z10657" s="318"/>
      <c r="AA10657" s="318"/>
      <c r="AB10657" s="318"/>
      <c r="AC10657" s="318"/>
      <c r="AD10657" s="318"/>
    </row>
    <row r="10658" spans="2:30" s="323" customFormat="1" ht="12" customHeight="1">
      <c r="B10658" s="324"/>
      <c r="C10658" s="325"/>
      <c r="D10658" s="326"/>
      <c r="E10658" s="326"/>
      <c r="F10658" s="326"/>
      <c r="G10658" s="326"/>
      <c r="H10658" s="326"/>
      <c r="P10658" s="318"/>
      <c r="Q10658" s="318"/>
      <c r="R10658" s="318"/>
      <c r="S10658" s="318"/>
      <c r="T10658" s="318"/>
      <c r="U10658" s="318"/>
      <c r="V10658" s="318"/>
      <c r="W10658" s="318"/>
      <c r="X10658" s="318"/>
      <c r="Y10658" s="318"/>
      <c r="Z10658" s="318"/>
      <c r="AA10658" s="318"/>
      <c r="AB10658" s="318"/>
      <c r="AC10658" s="318"/>
      <c r="AD10658" s="318"/>
    </row>
    <row r="10659" spans="2:30" s="323" customFormat="1" ht="12" customHeight="1">
      <c r="B10659" s="324"/>
      <c r="C10659" s="325"/>
      <c r="D10659" s="326"/>
      <c r="E10659" s="326"/>
      <c r="F10659" s="326"/>
      <c r="G10659" s="326"/>
      <c r="H10659" s="326"/>
      <c r="P10659" s="318"/>
      <c r="Q10659" s="318"/>
      <c r="R10659" s="318"/>
      <c r="S10659" s="318"/>
      <c r="T10659" s="318"/>
      <c r="U10659" s="318"/>
      <c r="V10659" s="318"/>
      <c r="W10659" s="318"/>
      <c r="X10659" s="318"/>
      <c r="Y10659" s="318"/>
      <c r="Z10659" s="318"/>
      <c r="AA10659" s="318"/>
      <c r="AB10659" s="318"/>
      <c r="AC10659" s="318"/>
      <c r="AD10659" s="318"/>
    </row>
    <row r="10660" spans="2:30" s="323" customFormat="1" ht="12" customHeight="1">
      <c r="B10660" s="324"/>
      <c r="C10660" s="325"/>
      <c r="D10660" s="326"/>
      <c r="E10660" s="326"/>
      <c r="F10660" s="326"/>
      <c r="G10660" s="326"/>
      <c r="H10660" s="326"/>
      <c r="P10660" s="318"/>
      <c r="Q10660" s="318"/>
      <c r="R10660" s="318"/>
      <c r="S10660" s="318"/>
      <c r="T10660" s="318"/>
      <c r="U10660" s="318"/>
      <c r="V10660" s="318"/>
      <c r="W10660" s="318"/>
      <c r="X10660" s="318"/>
      <c r="Y10660" s="318"/>
      <c r="Z10660" s="318"/>
      <c r="AA10660" s="318"/>
      <c r="AB10660" s="318"/>
      <c r="AC10660" s="318"/>
      <c r="AD10660" s="318"/>
    </row>
    <row r="10661" spans="2:30" s="323" customFormat="1" ht="12" customHeight="1">
      <c r="B10661" s="324"/>
      <c r="C10661" s="325"/>
      <c r="D10661" s="326"/>
      <c r="E10661" s="326"/>
      <c r="F10661" s="326"/>
      <c r="G10661" s="326"/>
      <c r="H10661" s="326"/>
      <c r="P10661" s="318"/>
      <c r="Q10661" s="318"/>
      <c r="R10661" s="318"/>
      <c r="S10661" s="318"/>
      <c r="T10661" s="318"/>
      <c r="U10661" s="318"/>
      <c r="V10661" s="318"/>
      <c r="W10661" s="318"/>
      <c r="X10661" s="318"/>
      <c r="Y10661" s="318"/>
      <c r="Z10661" s="318"/>
      <c r="AA10661" s="318"/>
      <c r="AB10661" s="318"/>
      <c r="AC10661" s="318"/>
      <c r="AD10661" s="318"/>
    </row>
    <row r="10662" spans="2:30" s="323" customFormat="1" ht="12" customHeight="1">
      <c r="B10662" s="324"/>
      <c r="C10662" s="325"/>
      <c r="D10662" s="326"/>
      <c r="E10662" s="326"/>
      <c r="F10662" s="326"/>
      <c r="G10662" s="326"/>
      <c r="H10662" s="326"/>
      <c r="P10662" s="318"/>
      <c r="Q10662" s="318"/>
      <c r="R10662" s="318"/>
      <c r="S10662" s="318"/>
      <c r="T10662" s="318"/>
      <c r="U10662" s="318"/>
      <c r="V10662" s="318"/>
      <c r="W10662" s="318"/>
      <c r="X10662" s="318"/>
      <c r="Y10662" s="318"/>
      <c r="Z10662" s="318"/>
      <c r="AA10662" s="318"/>
      <c r="AB10662" s="318"/>
      <c r="AC10662" s="318"/>
      <c r="AD10662" s="318"/>
    </row>
    <row r="10663" spans="2:30" s="323" customFormat="1" ht="12" customHeight="1">
      <c r="B10663" s="324"/>
      <c r="C10663" s="325"/>
      <c r="D10663" s="326"/>
      <c r="E10663" s="326"/>
      <c r="F10663" s="326"/>
      <c r="G10663" s="326"/>
      <c r="H10663" s="326"/>
      <c r="P10663" s="318"/>
      <c r="Q10663" s="318"/>
      <c r="R10663" s="318"/>
      <c r="S10663" s="318"/>
      <c r="T10663" s="318"/>
      <c r="U10663" s="318"/>
      <c r="V10663" s="318"/>
      <c r="W10663" s="318"/>
      <c r="X10663" s="318"/>
      <c r="Y10663" s="318"/>
      <c r="Z10663" s="318"/>
      <c r="AA10663" s="318"/>
      <c r="AB10663" s="318"/>
      <c r="AC10663" s="318"/>
      <c r="AD10663" s="318"/>
    </row>
    <row r="10664" spans="2:30" s="323" customFormat="1" ht="12" customHeight="1">
      <c r="B10664" s="324"/>
      <c r="C10664" s="325"/>
      <c r="D10664" s="326"/>
      <c r="E10664" s="326"/>
      <c r="F10664" s="326"/>
      <c r="G10664" s="326"/>
      <c r="H10664" s="326"/>
      <c r="P10664" s="318"/>
      <c r="Q10664" s="318"/>
      <c r="R10664" s="318"/>
      <c r="S10664" s="318"/>
      <c r="T10664" s="318"/>
      <c r="U10664" s="318"/>
      <c r="V10664" s="318"/>
      <c r="W10664" s="318"/>
      <c r="X10664" s="318"/>
      <c r="Y10664" s="318"/>
      <c r="Z10664" s="318"/>
      <c r="AA10664" s="318"/>
      <c r="AB10664" s="318"/>
      <c r="AC10664" s="318"/>
      <c r="AD10664" s="318"/>
    </row>
    <row r="10665" spans="2:30" s="323" customFormat="1" ht="12" customHeight="1">
      <c r="B10665" s="324"/>
      <c r="C10665" s="325"/>
      <c r="D10665" s="326"/>
      <c r="E10665" s="326"/>
      <c r="F10665" s="326"/>
      <c r="G10665" s="326"/>
      <c r="H10665" s="326"/>
      <c r="P10665" s="318"/>
      <c r="Q10665" s="318"/>
      <c r="R10665" s="318"/>
      <c r="S10665" s="318"/>
      <c r="T10665" s="318"/>
      <c r="U10665" s="318"/>
      <c r="V10665" s="318"/>
      <c r="W10665" s="318"/>
      <c r="X10665" s="318"/>
      <c r="Y10665" s="318"/>
      <c r="Z10665" s="318"/>
      <c r="AA10665" s="318"/>
      <c r="AB10665" s="318"/>
      <c r="AC10665" s="318"/>
      <c r="AD10665" s="318"/>
    </row>
    <row r="10666" spans="2:30" s="323" customFormat="1" ht="12" customHeight="1">
      <c r="B10666" s="324"/>
      <c r="C10666" s="325"/>
      <c r="D10666" s="326"/>
      <c r="E10666" s="326"/>
      <c r="F10666" s="326"/>
      <c r="G10666" s="326"/>
      <c r="H10666" s="326"/>
      <c r="P10666" s="318"/>
      <c r="Q10666" s="318"/>
      <c r="R10666" s="318"/>
      <c r="S10666" s="318"/>
      <c r="T10666" s="318"/>
      <c r="U10666" s="318"/>
      <c r="V10666" s="318"/>
      <c r="W10666" s="318"/>
      <c r="X10666" s="318"/>
      <c r="Y10666" s="318"/>
      <c r="Z10666" s="318"/>
      <c r="AA10666" s="318"/>
      <c r="AB10666" s="318"/>
      <c r="AC10666" s="318"/>
      <c r="AD10666" s="318"/>
    </row>
    <row r="10667" spans="2:30" s="323" customFormat="1" ht="12" customHeight="1">
      <c r="B10667" s="324"/>
      <c r="C10667" s="325"/>
      <c r="D10667" s="326"/>
      <c r="E10667" s="326"/>
      <c r="F10667" s="326"/>
      <c r="G10667" s="326"/>
      <c r="H10667" s="326"/>
      <c r="P10667" s="318"/>
      <c r="Q10667" s="318"/>
      <c r="R10667" s="318"/>
      <c r="S10667" s="318"/>
      <c r="T10667" s="318"/>
      <c r="U10667" s="318"/>
      <c r="V10667" s="318"/>
      <c r="W10667" s="318"/>
      <c r="X10667" s="318"/>
      <c r="Y10667" s="318"/>
      <c r="Z10667" s="318"/>
      <c r="AA10667" s="318"/>
      <c r="AB10667" s="318"/>
      <c r="AC10667" s="318"/>
      <c r="AD10667" s="318"/>
    </row>
    <row r="10668" spans="2:30" s="323" customFormat="1" ht="12" customHeight="1">
      <c r="B10668" s="324"/>
      <c r="C10668" s="325"/>
      <c r="D10668" s="326"/>
      <c r="E10668" s="326"/>
      <c r="F10668" s="326"/>
      <c r="G10668" s="326"/>
      <c r="H10668" s="326"/>
      <c r="P10668" s="318"/>
      <c r="Q10668" s="318"/>
      <c r="R10668" s="318"/>
      <c r="S10668" s="318"/>
      <c r="T10668" s="318"/>
      <c r="U10668" s="318"/>
      <c r="V10668" s="318"/>
      <c r="W10668" s="318"/>
      <c r="X10668" s="318"/>
      <c r="Y10668" s="318"/>
      <c r="Z10668" s="318"/>
      <c r="AA10668" s="318"/>
      <c r="AB10668" s="318"/>
      <c r="AC10668" s="318"/>
      <c r="AD10668" s="318"/>
    </row>
    <row r="10669" spans="2:30" s="323" customFormat="1" ht="12" customHeight="1">
      <c r="B10669" s="324"/>
      <c r="C10669" s="325"/>
      <c r="D10669" s="326"/>
      <c r="E10669" s="326"/>
      <c r="F10669" s="326"/>
      <c r="G10669" s="326"/>
      <c r="H10669" s="326"/>
      <c r="P10669" s="318"/>
      <c r="Q10669" s="318"/>
      <c r="R10669" s="318"/>
      <c r="S10669" s="318"/>
      <c r="T10669" s="318"/>
      <c r="U10669" s="318"/>
      <c r="V10669" s="318"/>
      <c r="W10669" s="318"/>
      <c r="X10669" s="318"/>
      <c r="Y10669" s="318"/>
      <c r="Z10669" s="318"/>
      <c r="AA10669" s="318"/>
      <c r="AB10669" s="318"/>
      <c r="AC10669" s="318"/>
      <c r="AD10669" s="318"/>
    </row>
    <row r="10670" spans="2:30" s="323" customFormat="1" ht="12" customHeight="1">
      <c r="B10670" s="324"/>
      <c r="C10670" s="325"/>
      <c r="D10670" s="326"/>
      <c r="E10670" s="326"/>
      <c r="F10670" s="326"/>
      <c r="G10670" s="326"/>
      <c r="H10670" s="326"/>
      <c r="P10670" s="318"/>
      <c r="Q10670" s="318"/>
      <c r="R10670" s="318"/>
      <c r="S10670" s="318"/>
      <c r="T10670" s="318"/>
      <c r="U10670" s="318"/>
      <c r="V10670" s="318"/>
      <c r="W10670" s="318"/>
      <c r="X10670" s="318"/>
      <c r="Y10670" s="318"/>
      <c r="Z10670" s="318"/>
      <c r="AA10670" s="318"/>
      <c r="AB10670" s="318"/>
      <c r="AC10670" s="318"/>
      <c r="AD10670" s="318"/>
    </row>
    <row r="10671" spans="2:30" s="323" customFormat="1" ht="12" customHeight="1">
      <c r="B10671" s="324"/>
      <c r="C10671" s="325"/>
      <c r="D10671" s="326"/>
      <c r="E10671" s="326"/>
      <c r="F10671" s="326"/>
      <c r="G10671" s="326"/>
      <c r="H10671" s="326"/>
      <c r="P10671" s="318"/>
      <c r="Q10671" s="318"/>
      <c r="R10671" s="318"/>
      <c r="S10671" s="318"/>
      <c r="T10671" s="318"/>
      <c r="U10671" s="318"/>
      <c r="V10671" s="318"/>
      <c r="W10671" s="318"/>
      <c r="X10671" s="318"/>
      <c r="Y10671" s="318"/>
      <c r="Z10671" s="318"/>
      <c r="AA10671" s="318"/>
      <c r="AB10671" s="318"/>
      <c r="AC10671" s="318"/>
      <c r="AD10671" s="318"/>
    </row>
    <row r="10672" spans="2:30" s="323" customFormat="1" ht="12" customHeight="1">
      <c r="B10672" s="324"/>
      <c r="C10672" s="325"/>
      <c r="D10672" s="326"/>
      <c r="E10672" s="326"/>
      <c r="F10672" s="326"/>
      <c r="G10672" s="326"/>
      <c r="H10672" s="326"/>
      <c r="P10672" s="318"/>
      <c r="Q10672" s="318"/>
      <c r="R10672" s="318"/>
      <c r="S10672" s="318"/>
      <c r="T10672" s="318"/>
      <c r="U10672" s="318"/>
      <c r="V10672" s="318"/>
      <c r="W10672" s="318"/>
      <c r="X10672" s="318"/>
      <c r="Y10672" s="318"/>
      <c r="Z10672" s="318"/>
      <c r="AA10672" s="318"/>
      <c r="AB10672" s="318"/>
      <c r="AC10672" s="318"/>
      <c r="AD10672" s="318"/>
    </row>
    <row r="10673" spans="2:30" s="323" customFormat="1" ht="12" customHeight="1">
      <c r="B10673" s="324"/>
      <c r="C10673" s="325"/>
      <c r="D10673" s="326"/>
      <c r="E10673" s="326"/>
      <c r="F10673" s="326"/>
      <c r="G10673" s="326"/>
      <c r="H10673" s="326"/>
      <c r="P10673" s="318"/>
      <c r="Q10673" s="318"/>
      <c r="R10673" s="318"/>
      <c r="S10673" s="318"/>
      <c r="T10673" s="318"/>
      <c r="U10673" s="318"/>
      <c r="V10673" s="318"/>
      <c r="W10673" s="318"/>
      <c r="X10673" s="318"/>
      <c r="Y10673" s="318"/>
      <c r="Z10673" s="318"/>
      <c r="AA10673" s="318"/>
      <c r="AB10673" s="318"/>
      <c r="AC10673" s="318"/>
      <c r="AD10673" s="318"/>
    </row>
    <row r="10674" spans="2:30" s="323" customFormat="1" ht="12" customHeight="1">
      <c r="B10674" s="324"/>
      <c r="C10674" s="325"/>
      <c r="D10674" s="326"/>
      <c r="E10674" s="326"/>
      <c r="F10674" s="326"/>
      <c r="G10674" s="326"/>
      <c r="H10674" s="326"/>
      <c r="P10674" s="318"/>
      <c r="Q10674" s="318"/>
      <c r="R10674" s="318"/>
      <c r="S10674" s="318"/>
      <c r="T10674" s="318"/>
      <c r="U10674" s="318"/>
      <c r="V10674" s="318"/>
      <c r="W10674" s="318"/>
      <c r="X10674" s="318"/>
      <c r="Y10674" s="318"/>
      <c r="Z10674" s="318"/>
      <c r="AA10674" s="318"/>
      <c r="AB10674" s="318"/>
      <c r="AC10674" s="318"/>
      <c r="AD10674" s="318"/>
    </row>
    <row r="10675" spans="2:30" s="323" customFormat="1" ht="12" customHeight="1">
      <c r="B10675" s="324"/>
      <c r="C10675" s="325"/>
      <c r="D10675" s="326"/>
      <c r="E10675" s="326"/>
      <c r="F10675" s="326"/>
      <c r="G10675" s="326"/>
      <c r="H10675" s="326"/>
      <c r="P10675" s="318"/>
      <c r="Q10675" s="318"/>
      <c r="R10675" s="318"/>
      <c r="S10675" s="318"/>
      <c r="T10675" s="318"/>
      <c r="U10675" s="318"/>
      <c r="V10675" s="318"/>
      <c r="W10675" s="318"/>
      <c r="X10675" s="318"/>
      <c r="Y10675" s="318"/>
      <c r="Z10675" s="318"/>
      <c r="AA10675" s="318"/>
      <c r="AB10675" s="318"/>
      <c r="AC10675" s="318"/>
      <c r="AD10675" s="318"/>
    </row>
    <row r="10676" spans="2:30" s="323" customFormat="1" ht="12" customHeight="1">
      <c r="B10676" s="324"/>
      <c r="C10676" s="325"/>
      <c r="D10676" s="326"/>
      <c r="E10676" s="326"/>
      <c r="F10676" s="326"/>
      <c r="G10676" s="326"/>
      <c r="H10676" s="326"/>
      <c r="P10676" s="318"/>
      <c r="Q10676" s="318"/>
      <c r="R10676" s="318"/>
      <c r="S10676" s="318"/>
      <c r="T10676" s="318"/>
      <c r="U10676" s="318"/>
      <c r="V10676" s="318"/>
      <c r="W10676" s="318"/>
      <c r="X10676" s="318"/>
      <c r="Y10676" s="318"/>
      <c r="Z10676" s="318"/>
      <c r="AA10676" s="318"/>
      <c r="AB10676" s="318"/>
      <c r="AC10676" s="318"/>
      <c r="AD10676" s="318"/>
    </row>
    <row r="10677" spans="2:30" s="323" customFormat="1" ht="12" customHeight="1">
      <c r="B10677" s="324"/>
      <c r="C10677" s="325"/>
      <c r="D10677" s="326"/>
      <c r="E10677" s="326"/>
      <c r="F10677" s="326"/>
      <c r="G10677" s="326"/>
      <c r="H10677" s="326"/>
      <c r="P10677" s="318"/>
      <c r="Q10677" s="318"/>
      <c r="R10677" s="318"/>
      <c r="S10677" s="318"/>
      <c r="T10677" s="318"/>
      <c r="U10677" s="318"/>
      <c r="V10677" s="318"/>
      <c r="W10677" s="318"/>
      <c r="X10677" s="318"/>
      <c r="Y10677" s="318"/>
      <c r="Z10677" s="318"/>
      <c r="AA10677" s="318"/>
      <c r="AB10677" s="318"/>
      <c r="AC10677" s="318"/>
      <c r="AD10677" s="318"/>
    </row>
    <row r="10678" spans="2:30" s="323" customFormat="1" ht="12" customHeight="1">
      <c r="B10678" s="324"/>
      <c r="C10678" s="325"/>
      <c r="D10678" s="326"/>
      <c r="E10678" s="326"/>
      <c r="F10678" s="326"/>
      <c r="G10678" s="326"/>
      <c r="H10678" s="326"/>
      <c r="P10678" s="318"/>
      <c r="Q10678" s="318"/>
      <c r="R10678" s="318"/>
      <c r="S10678" s="318"/>
      <c r="T10678" s="318"/>
      <c r="U10678" s="318"/>
      <c r="V10678" s="318"/>
      <c r="W10678" s="318"/>
      <c r="X10678" s="318"/>
      <c r="Y10678" s="318"/>
      <c r="Z10678" s="318"/>
      <c r="AA10678" s="318"/>
      <c r="AB10678" s="318"/>
      <c r="AC10678" s="318"/>
      <c r="AD10678" s="318"/>
    </row>
    <row r="10679" spans="2:30" s="323" customFormat="1" ht="12" customHeight="1">
      <c r="B10679" s="324"/>
      <c r="C10679" s="325"/>
      <c r="D10679" s="326"/>
      <c r="E10679" s="326"/>
      <c r="F10679" s="326"/>
      <c r="G10679" s="326"/>
      <c r="H10679" s="326"/>
      <c r="P10679" s="318"/>
      <c r="Q10679" s="318"/>
      <c r="R10679" s="318"/>
      <c r="S10679" s="318"/>
      <c r="T10679" s="318"/>
      <c r="U10679" s="318"/>
      <c r="V10679" s="318"/>
      <c r="W10679" s="318"/>
      <c r="X10679" s="318"/>
      <c r="Y10679" s="318"/>
      <c r="Z10679" s="318"/>
      <c r="AA10679" s="318"/>
      <c r="AB10679" s="318"/>
      <c r="AC10679" s="318"/>
      <c r="AD10679" s="318"/>
    </row>
    <row r="10680" spans="2:30" s="323" customFormat="1" ht="12" customHeight="1">
      <c r="B10680" s="324"/>
      <c r="C10680" s="325"/>
      <c r="D10680" s="326"/>
      <c r="E10680" s="326"/>
      <c r="F10680" s="326"/>
      <c r="G10680" s="326"/>
      <c r="H10680" s="326"/>
      <c r="P10680" s="318"/>
      <c r="Q10680" s="318"/>
      <c r="R10680" s="318"/>
      <c r="S10680" s="318"/>
      <c r="T10680" s="318"/>
      <c r="U10680" s="318"/>
      <c r="V10680" s="318"/>
      <c r="W10680" s="318"/>
      <c r="X10680" s="318"/>
      <c r="Y10680" s="318"/>
      <c r="Z10680" s="318"/>
      <c r="AA10680" s="318"/>
      <c r="AB10680" s="318"/>
      <c r="AC10680" s="318"/>
      <c r="AD10680" s="318"/>
    </row>
    <row r="10681" spans="2:30" s="323" customFormat="1" ht="12" customHeight="1">
      <c r="B10681" s="324"/>
      <c r="C10681" s="325"/>
      <c r="D10681" s="326"/>
      <c r="E10681" s="326"/>
      <c r="F10681" s="326"/>
      <c r="G10681" s="326"/>
      <c r="H10681" s="326"/>
      <c r="P10681" s="318"/>
      <c r="Q10681" s="318"/>
      <c r="R10681" s="318"/>
      <c r="S10681" s="318"/>
      <c r="T10681" s="318"/>
      <c r="U10681" s="318"/>
      <c r="V10681" s="318"/>
      <c r="W10681" s="318"/>
      <c r="X10681" s="318"/>
      <c r="Y10681" s="318"/>
      <c r="Z10681" s="318"/>
      <c r="AA10681" s="318"/>
      <c r="AB10681" s="318"/>
      <c r="AC10681" s="318"/>
      <c r="AD10681" s="318"/>
    </row>
    <row r="10682" spans="2:30" s="323" customFormat="1" ht="12" customHeight="1">
      <c r="B10682" s="324"/>
      <c r="C10682" s="325"/>
      <c r="D10682" s="326"/>
      <c r="E10682" s="326"/>
      <c r="F10682" s="326"/>
      <c r="G10682" s="326"/>
      <c r="H10682" s="326"/>
      <c r="P10682" s="318"/>
      <c r="Q10682" s="318"/>
      <c r="R10682" s="318"/>
      <c r="S10682" s="318"/>
      <c r="T10682" s="318"/>
      <c r="U10682" s="318"/>
      <c r="V10682" s="318"/>
      <c r="W10682" s="318"/>
      <c r="X10682" s="318"/>
      <c r="Y10682" s="318"/>
      <c r="Z10682" s="318"/>
      <c r="AA10682" s="318"/>
      <c r="AB10682" s="318"/>
      <c r="AC10682" s="318"/>
      <c r="AD10682" s="318"/>
    </row>
    <row r="10683" spans="2:30" s="323" customFormat="1" ht="12" customHeight="1">
      <c r="B10683" s="324"/>
      <c r="C10683" s="325"/>
      <c r="D10683" s="326"/>
      <c r="E10683" s="326"/>
      <c r="F10683" s="326"/>
      <c r="G10683" s="326"/>
      <c r="H10683" s="326"/>
      <c r="P10683" s="318"/>
      <c r="Q10683" s="318"/>
      <c r="R10683" s="318"/>
      <c r="S10683" s="318"/>
      <c r="T10683" s="318"/>
      <c r="U10683" s="318"/>
      <c r="V10683" s="318"/>
      <c r="W10683" s="318"/>
      <c r="X10683" s="318"/>
      <c r="Y10683" s="318"/>
      <c r="Z10683" s="318"/>
      <c r="AA10683" s="318"/>
      <c r="AB10683" s="318"/>
      <c r="AC10683" s="318"/>
      <c r="AD10683" s="318"/>
    </row>
    <row r="10684" spans="2:30" s="323" customFormat="1" ht="12" customHeight="1">
      <c r="B10684" s="324"/>
      <c r="C10684" s="325"/>
      <c r="D10684" s="326"/>
      <c r="E10684" s="326"/>
      <c r="F10684" s="326"/>
      <c r="G10684" s="326"/>
      <c r="H10684" s="326"/>
      <c r="P10684" s="318"/>
      <c r="Q10684" s="318"/>
      <c r="R10684" s="318"/>
      <c r="S10684" s="318"/>
      <c r="T10684" s="318"/>
      <c r="U10684" s="318"/>
      <c r="V10684" s="318"/>
      <c r="W10684" s="318"/>
      <c r="X10684" s="318"/>
      <c r="Y10684" s="318"/>
      <c r="Z10684" s="318"/>
      <c r="AA10684" s="318"/>
      <c r="AB10684" s="318"/>
      <c r="AC10684" s="318"/>
      <c r="AD10684" s="318"/>
    </row>
    <row r="10685" spans="2:30" s="323" customFormat="1" ht="12" customHeight="1">
      <c r="B10685" s="324"/>
      <c r="C10685" s="325"/>
      <c r="D10685" s="326"/>
      <c r="E10685" s="326"/>
      <c r="F10685" s="326"/>
      <c r="G10685" s="326"/>
      <c r="H10685" s="326"/>
      <c r="P10685" s="318"/>
      <c r="Q10685" s="318"/>
      <c r="R10685" s="318"/>
      <c r="S10685" s="318"/>
      <c r="T10685" s="318"/>
      <c r="U10685" s="318"/>
      <c r="V10685" s="318"/>
      <c r="W10685" s="318"/>
      <c r="X10685" s="318"/>
      <c r="Y10685" s="318"/>
      <c r="Z10685" s="318"/>
      <c r="AA10685" s="318"/>
      <c r="AB10685" s="318"/>
      <c r="AC10685" s="318"/>
      <c r="AD10685" s="318"/>
    </row>
    <row r="10686" spans="2:30" s="323" customFormat="1" ht="12" customHeight="1">
      <c r="B10686" s="324"/>
      <c r="C10686" s="325"/>
      <c r="D10686" s="326"/>
      <c r="E10686" s="326"/>
      <c r="F10686" s="326"/>
      <c r="G10686" s="326"/>
      <c r="H10686" s="326"/>
      <c r="P10686" s="318"/>
      <c r="Q10686" s="318"/>
      <c r="R10686" s="318"/>
      <c r="S10686" s="318"/>
      <c r="T10686" s="318"/>
      <c r="U10686" s="318"/>
      <c r="V10686" s="318"/>
      <c r="W10686" s="318"/>
      <c r="X10686" s="318"/>
      <c r="Y10686" s="318"/>
      <c r="Z10686" s="318"/>
      <c r="AA10686" s="318"/>
      <c r="AB10686" s="318"/>
      <c r="AC10686" s="318"/>
      <c r="AD10686" s="318"/>
    </row>
    <row r="10687" spans="2:30" s="323" customFormat="1" ht="12" customHeight="1">
      <c r="B10687" s="324"/>
      <c r="C10687" s="325"/>
      <c r="D10687" s="326"/>
      <c r="E10687" s="326"/>
      <c r="F10687" s="326"/>
      <c r="G10687" s="326"/>
      <c r="H10687" s="326"/>
      <c r="P10687" s="318"/>
      <c r="Q10687" s="318"/>
      <c r="R10687" s="318"/>
      <c r="S10687" s="318"/>
      <c r="T10687" s="318"/>
      <c r="U10687" s="318"/>
      <c r="V10687" s="318"/>
      <c r="W10687" s="318"/>
      <c r="X10687" s="318"/>
      <c r="Y10687" s="318"/>
      <c r="Z10687" s="318"/>
      <c r="AA10687" s="318"/>
      <c r="AB10687" s="318"/>
      <c r="AC10687" s="318"/>
      <c r="AD10687" s="318"/>
    </row>
    <row r="10688" spans="2:30" s="323" customFormat="1" ht="12" customHeight="1">
      <c r="B10688" s="324"/>
      <c r="C10688" s="325"/>
      <c r="D10688" s="326"/>
      <c r="E10688" s="326"/>
      <c r="F10688" s="326"/>
      <c r="G10688" s="326"/>
      <c r="H10688" s="326"/>
      <c r="P10688" s="318"/>
      <c r="Q10688" s="318"/>
      <c r="R10688" s="318"/>
      <c r="S10688" s="318"/>
      <c r="T10688" s="318"/>
      <c r="U10688" s="318"/>
      <c r="V10688" s="318"/>
      <c r="W10688" s="318"/>
      <c r="X10688" s="318"/>
      <c r="Y10688" s="318"/>
      <c r="Z10688" s="318"/>
      <c r="AA10688" s="318"/>
      <c r="AB10688" s="318"/>
      <c r="AC10688" s="318"/>
      <c r="AD10688" s="318"/>
    </row>
    <row r="10689" spans="2:30" s="323" customFormat="1" ht="12" customHeight="1">
      <c r="B10689" s="324"/>
      <c r="C10689" s="325"/>
      <c r="D10689" s="326"/>
      <c r="E10689" s="326"/>
      <c r="F10689" s="326"/>
      <c r="G10689" s="326"/>
      <c r="H10689" s="326"/>
      <c r="P10689" s="318"/>
      <c r="Q10689" s="318"/>
      <c r="R10689" s="318"/>
      <c r="S10689" s="318"/>
      <c r="T10689" s="318"/>
      <c r="U10689" s="318"/>
      <c r="V10689" s="318"/>
      <c r="W10689" s="318"/>
      <c r="X10689" s="318"/>
      <c r="Y10689" s="318"/>
      <c r="Z10689" s="318"/>
      <c r="AA10689" s="318"/>
      <c r="AB10689" s="318"/>
      <c r="AC10689" s="318"/>
      <c r="AD10689" s="318"/>
    </row>
    <row r="10690" spans="2:30" s="323" customFormat="1" ht="12" customHeight="1">
      <c r="B10690" s="324"/>
      <c r="C10690" s="325"/>
      <c r="D10690" s="326"/>
      <c r="E10690" s="326"/>
      <c r="F10690" s="326"/>
      <c r="G10690" s="326"/>
      <c r="H10690" s="326"/>
      <c r="P10690" s="318"/>
      <c r="Q10690" s="318"/>
      <c r="R10690" s="318"/>
      <c r="S10690" s="318"/>
      <c r="T10690" s="318"/>
      <c r="U10690" s="318"/>
      <c r="V10690" s="318"/>
      <c r="W10690" s="318"/>
      <c r="X10690" s="318"/>
      <c r="Y10690" s="318"/>
      <c r="Z10690" s="318"/>
      <c r="AA10690" s="318"/>
      <c r="AB10690" s="318"/>
      <c r="AC10690" s="318"/>
      <c r="AD10690" s="318"/>
    </row>
    <row r="10691" spans="2:30" s="323" customFormat="1" ht="12" customHeight="1">
      <c r="B10691" s="324"/>
      <c r="C10691" s="325"/>
      <c r="D10691" s="326"/>
      <c r="E10691" s="326"/>
      <c r="F10691" s="326"/>
      <c r="G10691" s="326"/>
      <c r="H10691" s="326"/>
      <c r="P10691" s="318"/>
      <c r="Q10691" s="318"/>
      <c r="R10691" s="318"/>
      <c r="S10691" s="318"/>
      <c r="T10691" s="318"/>
      <c r="U10691" s="318"/>
      <c r="V10691" s="318"/>
      <c r="W10691" s="318"/>
      <c r="X10691" s="318"/>
      <c r="Y10691" s="318"/>
      <c r="Z10691" s="318"/>
      <c r="AA10691" s="318"/>
      <c r="AB10691" s="318"/>
      <c r="AC10691" s="318"/>
      <c r="AD10691" s="318"/>
    </row>
    <row r="10692" spans="2:30" s="323" customFormat="1" ht="12" customHeight="1">
      <c r="B10692" s="324"/>
      <c r="C10692" s="325"/>
      <c r="D10692" s="326"/>
      <c r="E10692" s="326"/>
      <c r="F10692" s="326"/>
      <c r="G10692" s="326"/>
      <c r="H10692" s="326"/>
      <c r="P10692" s="318"/>
      <c r="Q10692" s="318"/>
      <c r="R10692" s="318"/>
      <c r="S10692" s="318"/>
      <c r="T10692" s="318"/>
      <c r="U10692" s="318"/>
      <c r="V10692" s="318"/>
      <c r="W10692" s="318"/>
      <c r="X10692" s="318"/>
      <c r="Y10692" s="318"/>
      <c r="Z10692" s="318"/>
      <c r="AA10692" s="318"/>
      <c r="AB10692" s="318"/>
      <c r="AC10692" s="318"/>
      <c r="AD10692" s="318"/>
    </row>
    <row r="10693" spans="2:30" s="323" customFormat="1" ht="12" customHeight="1">
      <c r="B10693" s="324"/>
      <c r="C10693" s="325"/>
      <c r="D10693" s="326"/>
      <c r="E10693" s="326"/>
      <c r="F10693" s="326"/>
      <c r="G10693" s="326"/>
      <c r="H10693" s="326"/>
      <c r="P10693" s="318"/>
      <c r="Q10693" s="318"/>
      <c r="R10693" s="318"/>
      <c r="S10693" s="318"/>
      <c r="T10693" s="318"/>
      <c r="U10693" s="318"/>
      <c r="V10693" s="318"/>
      <c r="W10693" s="318"/>
      <c r="X10693" s="318"/>
      <c r="Y10693" s="318"/>
      <c r="Z10693" s="318"/>
      <c r="AA10693" s="318"/>
      <c r="AB10693" s="318"/>
      <c r="AC10693" s="318"/>
      <c r="AD10693" s="318"/>
    </row>
    <row r="10694" spans="2:30" s="323" customFormat="1" ht="12" customHeight="1">
      <c r="B10694" s="324"/>
      <c r="C10694" s="325"/>
      <c r="D10694" s="326"/>
      <c r="E10694" s="326"/>
      <c r="F10694" s="326"/>
      <c r="G10694" s="326"/>
      <c r="H10694" s="326"/>
      <c r="P10694" s="318"/>
      <c r="Q10694" s="318"/>
      <c r="R10694" s="318"/>
      <c r="S10694" s="318"/>
      <c r="T10694" s="318"/>
      <c r="U10694" s="318"/>
      <c r="V10694" s="318"/>
      <c r="W10694" s="318"/>
      <c r="X10694" s="318"/>
      <c r="Y10694" s="318"/>
      <c r="Z10694" s="318"/>
      <c r="AA10694" s="318"/>
      <c r="AB10694" s="318"/>
      <c r="AC10694" s="318"/>
      <c r="AD10694" s="318"/>
    </row>
    <row r="10695" spans="2:30" s="323" customFormat="1" ht="12" customHeight="1">
      <c r="B10695" s="324"/>
      <c r="C10695" s="325"/>
      <c r="D10695" s="326"/>
      <c r="E10695" s="326"/>
      <c r="F10695" s="326"/>
      <c r="G10695" s="326"/>
      <c r="H10695" s="326"/>
      <c r="P10695" s="318"/>
      <c r="Q10695" s="318"/>
      <c r="R10695" s="318"/>
      <c r="S10695" s="318"/>
      <c r="T10695" s="318"/>
      <c r="U10695" s="318"/>
      <c r="V10695" s="318"/>
      <c r="W10695" s="318"/>
      <c r="X10695" s="318"/>
      <c r="Y10695" s="318"/>
      <c r="Z10695" s="318"/>
      <c r="AA10695" s="318"/>
      <c r="AB10695" s="318"/>
      <c r="AC10695" s="318"/>
      <c r="AD10695" s="318"/>
    </row>
    <row r="10696" spans="2:30" s="323" customFormat="1" ht="12" customHeight="1">
      <c r="B10696" s="324"/>
      <c r="C10696" s="325"/>
      <c r="D10696" s="326"/>
      <c r="E10696" s="326"/>
      <c r="F10696" s="326"/>
      <c r="G10696" s="326"/>
      <c r="H10696" s="326"/>
      <c r="P10696" s="318"/>
      <c r="Q10696" s="318"/>
      <c r="R10696" s="318"/>
      <c r="S10696" s="318"/>
      <c r="T10696" s="318"/>
      <c r="U10696" s="318"/>
      <c r="V10696" s="318"/>
      <c r="W10696" s="318"/>
      <c r="X10696" s="318"/>
      <c r="Y10696" s="318"/>
      <c r="Z10696" s="318"/>
      <c r="AA10696" s="318"/>
      <c r="AB10696" s="318"/>
      <c r="AC10696" s="318"/>
      <c r="AD10696" s="318"/>
    </row>
    <row r="10697" spans="2:30" s="323" customFormat="1" ht="12" customHeight="1">
      <c r="B10697" s="324"/>
      <c r="C10697" s="325"/>
      <c r="D10697" s="326"/>
      <c r="E10697" s="326"/>
      <c r="F10697" s="326"/>
      <c r="G10697" s="326"/>
      <c r="H10697" s="326"/>
      <c r="P10697" s="318"/>
      <c r="Q10697" s="318"/>
      <c r="R10697" s="318"/>
      <c r="S10697" s="318"/>
      <c r="T10697" s="318"/>
      <c r="U10697" s="318"/>
      <c r="V10697" s="318"/>
      <c r="W10697" s="318"/>
      <c r="X10697" s="318"/>
      <c r="Y10697" s="318"/>
      <c r="Z10697" s="318"/>
      <c r="AA10697" s="318"/>
      <c r="AB10697" s="318"/>
      <c r="AC10697" s="318"/>
      <c r="AD10697" s="318"/>
    </row>
    <row r="10698" spans="2:30" s="323" customFormat="1" ht="12" customHeight="1">
      <c r="B10698" s="324"/>
      <c r="C10698" s="325"/>
      <c r="D10698" s="326"/>
      <c r="E10698" s="326"/>
      <c r="F10698" s="326"/>
      <c r="G10698" s="326"/>
      <c r="H10698" s="326"/>
      <c r="P10698" s="318"/>
      <c r="Q10698" s="318"/>
      <c r="R10698" s="318"/>
      <c r="S10698" s="318"/>
      <c r="T10698" s="318"/>
      <c r="U10698" s="318"/>
      <c r="V10698" s="318"/>
      <c r="W10698" s="318"/>
      <c r="X10698" s="318"/>
      <c r="Y10698" s="318"/>
      <c r="Z10698" s="318"/>
      <c r="AA10698" s="318"/>
      <c r="AB10698" s="318"/>
      <c r="AC10698" s="318"/>
      <c r="AD10698" s="318"/>
    </row>
    <row r="10699" spans="2:30" s="323" customFormat="1" ht="12" customHeight="1">
      <c r="B10699" s="324"/>
      <c r="C10699" s="325"/>
      <c r="D10699" s="326"/>
      <c r="E10699" s="326"/>
      <c r="F10699" s="326"/>
      <c r="G10699" s="326"/>
      <c r="H10699" s="326"/>
      <c r="P10699" s="318"/>
      <c r="Q10699" s="318"/>
      <c r="R10699" s="318"/>
      <c r="S10699" s="318"/>
      <c r="T10699" s="318"/>
      <c r="U10699" s="318"/>
      <c r="V10699" s="318"/>
      <c r="W10699" s="318"/>
      <c r="X10699" s="318"/>
      <c r="Y10699" s="318"/>
      <c r="Z10699" s="318"/>
      <c r="AA10699" s="318"/>
      <c r="AB10699" s="318"/>
      <c r="AC10699" s="318"/>
      <c r="AD10699" s="318"/>
    </row>
    <row r="10700" spans="2:30" s="323" customFormat="1" ht="12" customHeight="1">
      <c r="B10700" s="324"/>
      <c r="C10700" s="325"/>
      <c r="D10700" s="326"/>
      <c r="E10700" s="326"/>
      <c r="F10700" s="326"/>
      <c r="G10700" s="326"/>
      <c r="H10700" s="326"/>
      <c r="P10700" s="318"/>
      <c r="Q10700" s="318"/>
      <c r="R10700" s="318"/>
      <c r="S10700" s="318"/>
      <c r="T10700" s="318"/>
      <c r="U10700" s="318"/>
      <c r="V10700" s="318"/>
      <c r="W10700" s="318"/>
      <c r="X10700" s="318"/>
      <c r="Y10700" s="318"/>
      <c r="Z10700" s="318"/>
      <c r="AA10700" s="318"/>
      <c r="AB10700" s="318"/>
      <c r="AC10700" s="318"/>
      <c r="AD10700" s="318"/>
    </row>
    <row r="10701" spans="2:30" s="323" customFormat="1" ht="12" customHeight="1">
      <c r="B10701" s="324"/>
      <c r="C10701" s="325"/>
      <c r="D10701" s="326"/>
      <c r="E10701" s="326"/>
      <c r="F10701" s="326"/>
      <c r="G10701" s="326"/>
      <c r="H10701" s="326"/>
      <c r="P10701" s="318"/>
      <c r="Q10701" s="318"/>
      <c r="R10701" s="318"/>
      <c r="S10701" s="318"/>
      <c r="T10701" s="318"/>
      <c r="U10701" s="318"/>
      <c r="V10701" s="318"/>
      <c r="W10701" s="318"/>
      <c r="X10701" s="318"/>
      <c r="Y10701" s="318"/>
      <c r="Z10701" s="318"/>
      <c r="AA10701" s="318"/>
      <c r="AB10701" s="318"/>
      <c r="AC10701" s="318"/>
      <c r="AD10701" s="318"/>
    </row>
    <row r="10702" spans="2:30" s="323" customFormat="1" ht="12" customHeight="1">
      <c r="B10702" s="324"/>
      <c r="C10702" s="325"/>
      <c r="D10702" s="326"/>
      <c r="E10702" s="326"/>
      <c r="F10702" s="326"/>
      <c r="G10702" s="326"/>
      <c r="H10702" s="326"/>
      <c r="P10702" s="318"/>
      <c r="Q10702" s="318"/>
      <c r="R10702" s="318"/>
      <c r="S10702" s="318"/>
      <c r="T10702" s="318"/>
      <c r="U10702" s="318"/>
      <c r="V10702" s="318"/>
      <c r="W10702" s="318"/>
      <c r="X10702" s="318"/>
      <c r="Y10702" s="318"/>
      <c r="Z10702" s="318"/>
      <c r="AA10702" s="318"/>
      <c r="AB10702" s="318"/>
      <c r="AC10702" s="318"/>
      <c r="AD10702" s="318"/>
    </row>
    <row r="10703" spans="2:30" s="323" customFormat="1" ht="12" customHeight="1">
      <c r="B10703" s="324"/>
      <c r="C10703" s="325"/>
      <c r="D10703" s="326"/>
      <c r="E10703" s="326"/>
      <c r="F10703" s="326"/>
      <c r="G10703" s="326"/>
      <c r="H10703" s="326"/>
      <c r="P10703" s="318"/>
      <c r="Q10703" s="318"/>
      <c r="R10703" s="318"/>
      <c r="S10703" s="318"/>
      <c r="T10703" s="318"/>
      <c r="U10703" s="318"/>
      <c r="V10703" s="318"/>
      <c r="W10703" s="318"/>
      <c r="X10703" s="318"/>
      <c r="Y10703" s="318"/>
      <c r="Z10703" s="318"/>
      <c r="AA10703" s="318"/>
      <c r="AB10703" s="318"/>
      <c r="AC10703" s="318"/>
      <c r="AD10703" s="318"/>
    </row>
    <row r="10704" spans="2:30" s="323" customFormat="1" ht="12" customHeight="1">
      <c r="B10704" s="324"/>
      <c r="C10704" s="325"/>
      <c r="D10704" s="326"/>
      <c r="E10704" s="326"/>
      <c r="F10704" s="326"/>
      <c r="G10704" s="326"/>
      <c r="H10704" s="326"/>
      <c r="P10704" s="318"/>
      <c r="Q10704" s="318"/>
      <c r="R10704" s="318"/>
      <c r="S10704" s="318"/>
      <c r="T10704" s="318"/>
      <c r="U10704" s="318"/>
      <c r="V10704" s="318"/>
      <c r="W10704" s="318"/>
      <c r="X10704" s="318"/>
      <c r="Y10704" s="318"/>
      <c r="Z10704" s="318"/>
      <c r="AA10704" s="318"/>
      <c r="AB10704" s="318"/>
      <c r="AC10704" s="318"/>
      <c r="AD10704" s="318"/>
    </row>
    <row r="10705" spans="2:30" s="323" customFormat="1" ht="12" customHeight="1">
      <c r="B10705" s="324"/>
      <c r="C10705" s="325"/>
      <c r="D10705" s="326"/>
      <c r="E10705" s="326"/>
      <c r="F10705" s="326"/>
      <c r="G10705" s="326"/>
      <c r="H10705" s="326"/>
      <c r="P10705" s="318"/>
      <c r="Q10705" s="318"/>
      <c r="R10705" s="318"/>
      <c r="S10705" s="318"/>
      <c r="T10705" s="318"/>
      <c r="U10705" s="318"/>
      <c r="V10705" s="318"/>
      <c r="W10705" s="318"/>
      <c r="X10705" s="318"/>
      <c r="Y10705" s="318"/>
      <c r="Z10705" s="318"/>
      <c r="AA10705" s="318"/>
      <c r="AB10705" s="318"/>
      <c r="AC10705" s="318"/>
      <c r="AD10705" s="318"/>
    </row>
    <row r="10706" spans="2:30" s="323" customFormat="1" ht="12" customHeight="1">
      <c r="B10706" s="324"/>
      <c r="C10706" s="325"/>
      <c r="D10706" s="326"/>
      <c r="E10706" s="326"/>
      <c r="F10706" s="326"/>
      <c r="G10706" s="326"/>
      <c r="H10706" s="326"/>
      <c r="P10706" s="318"/>
      <c r="Q10706" s="318"/>
      <c r="R10706" s="318"/>
      <c r="S10706" s="318"/>
      <c r="T10706" s="318"/>
      <c r="U10706" s="318"/>
      <c r="V10706" s="318"/>
      <c r="W10706" s="318"/>
      <c r="X10706" s="318"/>
      <c r="Y10706" s="318"/>
      <c r="Z10706" s="318"/>
      <c r="AA10706" s="318"/>
      <c r="AB10706" s="318"/>
      <c r="AC10706" s="318"/>
      <c r="AD10706" s="318"/>
    </row>
    <row r="10707" spans="2:30" s="323" customFormat="1" ht="12" customHeight="1">
      <c r="B10707" s="324"/>
      <c r="C10707" s="325"/>
      <c r="D10707" s="326"/>
      <c r="E10707" s="326"/>
      <c r="F10707" s="326"/>
      <c r="G10707" s="326"/>
      <c r="H10707" s="326"/>
      <c r="P10707" s="318"/>
      <c r="Q10707" s="318"/>
      <c r="R10707" s="318"/>
      <c r="S10707" s="318"/>
      <c r="T10707" s="318"/>
      <c r="U10707" s="318"/>
      <c r="V10707" s="318"/>
      <c r="W10707" s="318"/>
      <c r="X10707" s="318"/>
      <c r="Y10707" s="318"/>
      <c r="Z10707" s="318"/>
      <c r="AA10707" s="318"/>
      <c r="AB10707" s="318"/>
      <c r="AC10707" s="318"/>
      <c r="AD10707" s="318"/>
    </row>
    <row r="10708" spans="2:30" s="323" customFormat="1" ht="12" customHeight="1">
      <c r="B10708" s="324"/>
      <c r="C10708" s="325"/>
      <c r="D10708" s="326"/>
      <c r="E10708" s="326"/>
      <c r="F10708" s="326"/>
      <c r="G10708" s="326"/>
      <c r="H10708" s="326"/>
      <c r="P10708" s="318"/>
      <c r="Q10708" s="318"/>
      <c r="R10708" s="318"/>
      <c r="S10708" s="318"/>
      <c r="T10708" s="318"/>
      <c r="U10708" s="318"/>
      <c r="V10708" s="318"/>
      <c r="W10708" s="318"/>
      <c r="X10708" s="318"/>
      <c r="Y10708" s="318"/>
      <c r="Z10708" s="318"/>
      <c r="AA10708" s="318"/>
      <c r="AB10708" s="318"/>
      <c r="AC10708" s="318"/>
      <c r="AD10708" s="318"/>
    </row>
    <row r="10709" spans="2:30" s="323" customFormat="1" ht="12" customHeight="1">
      <c r="B10709" s="324"/>
      <c r="C10709" s="325"/>
      <c r="D10709" s="326"/>
      <c r="E10709" s="326"/>
      <c r="F10709" s="326"/>
      <c r="G10709" s="326"/>
      <c r="H10709" s="326"/>
      <c r="P10709" s="318"/>
      <c r="Q10709" s="318"/>
      <c r="R10709" s="318"/>
      <c r="S10709" s="318"/>
      <c r="T10709" s="318"/>
      <c r="U10709" s="318"/>
      <c r="V10709" s="318"/>
      <c r="W10709" s="318"/>
      <c r="X10709" s="318"/>
      <c r="Y10709" s="318"/>
      <c r="Z10709" s="318"/>
      <c r="AA10709" s="318"/>
      <c r="AB10709" s="318"/>
      <c r="AC10709" s="318"/>
      <c r="AD10709" s="318"/>
    </row>
    <row r="10710" spans="2:30" s="323" customFormat="1" ht="12" customHeight="1">
      <c r="B10710" s="324"/>
      <c r="C10710" s="325"/>
      <c r="D10710" s="326"/>
      <c r="E10710" s="326"/>
      <c r="F10710" s="326"/>
      <c r="G10710" s="326"/>
      <c r="H10710" s="326"/>
      <c r="P10710" s="318"/>
      <c r="Q10710" s="318"/>
      <c r="R10710" s="318"/>
      <c r="S10710" s="318"/>
      <c r="T10710" s="318"/>
      <c r="U10710" s="318"/>
      <c r="V10710" s="318"/>
      <c r="W10710" s="318"/>
      <c r="X10710" s="318"/>
      <c r="Y10710" s="318"/>
      <c r="Z10710" s="318"/>
      <c r="AA10710" s="318"/>
      <c r="AB10710" s="318"/>
      <c r="AC10710" s="318"/>
      <c r="AD10710" s="318"/>
    </row>
    <row r="10711" spans="2:30" s="323" customFormat="1" ht="12" customHeight="1">
      <c r="B10711" s="324"/>
      <c r="C10711" s="325"/>
      <c r="D10711" s="326"/>
      <c r="E10711" s="326"/>
      <c r="F10711" s="326"/>
      <c r="G10711" s="326"/>
      <c r="H10711" s="326"/>
      <c r="P10711" s="318"/>
      <c r="Q10711" s="318"/>
      <c r="R10711" s="318"/>
      <c r="S10711" s="318"/>
      <c r="T10711" s="318"/>
      <c r="U10711" s="318"/>
      <c r="V10711" s="318"/>
      <c r="W10711" s="318"/>
      <c r="X10711" s="318"/>
      <c r="Y10711" s="318"/>
      <c r="Z10711" s="318"/>
      <c r="AA10711" s="318"/>
      <c r="AB10711" s="318"/>
      <c r="AC10711" s="318"/>
      <c r="AD10711" s="318"/>
    </row>
    <row r="10712" spans="2:30" s="323" customFormat="1" ht="12" customHeight="1">
      <c r="B10712" s="324"/>
      <c r="C10712" s="325"/>
      <c r="D10712" s="326"/>
      <c r="E10712" s="326"/>
      <c r="F10712" s="326"/>
      <c r="G10712" s="326"/>
      <c r="H10712" s="326"/>
      <c r="P10712" s="318"/>
      <c r="Q10712" s="318"/>
      <c r="R10712" s="318"/>
      <c r="S10712" s="318"/>
      <c r="T10712" s="318"/>
      <c r="U10712" s="318"/>
      <c r="V10712" s="318"/>
      <c r="W10712" s="318"/>
      <c r="X10712" s="318"/>
      <c r="Y10712" s="318"/>
      <c r="Z10712" s="318"/>
      <c r="AA10712" s="318"/>
      <c r="AB10712" s="318"/>
      <c r="AC10712" s="318"/>
      <c r="AD10712" s="318"/>
    </row>
    <row r="10713" spans="2:30" s="323" customFormat="1" ht="12" customHeight="1">
      <c r="B10713" s="324"/>
      <c r="C10713" s="325"/>
      <c r="D10713" s="326"/>
      <c r="E10713" s="326"/>
      <c r="F10713" s="326"/>
      <c r="G10713" s="326"/>
      <c r="H10713" s="326"/>
      <c r="P10713" s="318"/>
      <c r="Q10713" s="318"/>
      <c r="R10713" s="318"/>
      <c r="S10713" s="318"/>
      <c r="T10713" s="318"/>
      <c r="U10713" s="318"/>
      <c r="V10713" s="318"/>
      <c r="W10713" s="318"/>
      <c r="X10713" s="318"/>
      <c r="Y10713" s="318"/>
      <c r="Z10713" s="318"/>
      <c r="AA10713" s="318"/>
      <c r="AB10713" s="318"/>
      <c r="AC10713" s="318"/>
      <c r="AD10713" s="318"/>
    </row>
    <row r="10714" spans="2:30" s="323" customFormat="1" ht="12" customHeight="1">
      <c r="B10714" s="324"/>
      <c r="C10714" s="325"/>
      <c r="D10714" s="326"/>
      <c r="E10714" s="326"/>
      <c r="F10714" s="326"/>
      <c r="G10714" s="326"/>
      <c r="H10714" s="326"/>
      <c r="P10714" s="318"/>
      <c r="Q10714" s="318"/>
      <c r="R10714" s="318"/>
      <c r="S10714" s="318"/>
      <c r="T10714" s="318"/>
      <c r="U10714" s="318"/>
      <c r="V10714" s="318"/>
      <c r="W10714" s="318"/>
      <c r="X10714" s="318"/>
      <c r="Y10714" s="318"/>
      <c r="Z10714" s="318"/>
      <c r="AA10714" s="318"/>
      <c r="AB10714" s="318"/>
      <c r="AC10714" s="318"/>
      <c r="AD10714" s="318"/>
    </row>
    <row r="10715" spans="2:30" s="323" customFormat="1" ht="12" customHeight="1">
      <c r="B10715" s="324"/>
      <c r="C10715" s="325"/>
      <c r="D10715" s="326"/>
      <c r="E10715" s="326"/>
      <c r="F10715" s="326"/>
      <c r="G10715" s="326"/>
      <c r="H10715" s="326"/>
      <c r="P10715" s="318"/>
      <c r="Q10715" s="318"/>
      <c r="R10715" s="318"/>
      <c r="S10715" s="318"/>
      <c r="T10715" s="318"/>
      <c r="U10715" s="318"/>
      <c r="V10715" s="318"/>
      <c r="W10715" s="318"/>
      <c r="X10715" s="318"/>
      <c r="Y10715" s="318"/>
      <c r="Z10715" s="318"/>
      <c r="AA10715" s="318"/>
      <c r="AB10715" s="318"/>
      <c r="AC10715" s="318"/>
      <c r="AD10715" s="318"/>
    </row>
    <row r="10716" spans="2:30" s="323" customFormat="1" ht="12" customHeight="1">
      <c r="B10716" s="324"/>
      <c r="C10716" s="325"/>
      <c r="D10716" s="326"/>
      <c r="E10716" s="326"/>
      <c r="F10716" s="326"/>
      <c r="G10716" s="326"/>
      <c r="H10716" s="326"/>
      <c r="P10716" s="318"/>
      <c r="Q10716" s="318"/>
      <c r="R10716" s="318"/>
      <c r="S10716" s="318"/>
      <c r="T10716" s="318"/>
      <c r="U10716" s="318"/>
      <c r="V10716" s="318"/>
      <c r="W10716" s="318"/>
      <c r="X10716" s="318"/>
      <c r="Y10716" s="318"/>
      <c r="Z10716" s="318"/>
      <c r="AA10716" s="318"/>
      <c r="AB10716" s="318"/>
      <c r="AC10716" s="318"/>
      <c r="AD10716" s="318"/>
    </row>
    <row r="10717" spans="2:30" s="323" customFormat="1" ht="12" customHeight="1">
      <c r="B10717" s="324"/>
      <c r="C10717" s="325"/>
      <c r="D10717" s="326"/>
      <c r="E10717" s="326"/>
      <c r="F10717" s="326"/>
      <c r="G10717" s="326"/>
      <c r="H10717" s="326"/>
      <c r="P10717" s="318"/>
      <c r="Q10717" s="318"/>
      <c r="R10717" s="318"/>
      <c r="S10717" s="318"/>
      <c r="T10717" s="318"/>
      <c r="U10717" s="318"/>
      <c r="V10717" s="318"/>
      <c r="W10717" s="318"/>
      <c r="X10717" s="318"/>
      <c r="Y10717" s="318"/>
      <c r="Z10717" s="318"/>
      <c r="AA10717" s="318"/>
      <c r="AB10717" s="318"/>
      <c r="AC10717" s="318"/>
      <c r="AD10717" s="318"/>
    </row>
    <row r="10718" spans="2:30" s="323" customFormat="1" ht="12" customHeight="1">
      <c r="B10718" s="324"/>
      <c r="C10718" s="325"/>
      <c r="D10718" s="326"/>
      <c r="E10718" s="326"/>
      <c r="F10718" s="326"/>
      <c r="G10718" s="326"/>
      <c r="H10718" s="326"/>
      <c r="P10718" s="318"/>
      <c r="Q10718" s="318"/>
      <c r="R10718" s="318"/>
      <c r="S10718" s="318"/>
      <c r="T10718" s="318"/>
      <c r="U10718" s="318"/>
      <c r="V10718" s="318"/>
      <c r="W10718" s="318"/>
      <c r="X10718" s="318"/>
      <c r="Y10718" s="318"/>
      <c r="Z10718" s="318"/>
      <c r="AA10718" s="318"/>
      <c r="AB10718" s="318"/>
      <c r="AC10718" s="318"/>
      <c r="AD10718" s="318"/>
    </row>
    <row r="10719" spans="2:30" s="323" customFormat="1" ht="12" customHeight="1">
      <c r="B10719" s="324"/>
      <c r="C10719" s="325"/>
      <c r="D10719" s="326"/>
      <c r="E10719" s="326"/>
      <c r="F10719" s="326"/>
      <c r="G10719" s="326"/>
      <c r="H10719" s="326"/>
      <c r="P10719" s="318"/>
      <c r="Q10719" s="318"/>
      <c r="R10719" s="318"/>
      <c r="S10719" s="318"/>
      <c r="T10719" s="318"/>
      <c r="U10719" s="318"/>
      <c r="V10719" s="318"/>
      <c r="W10719" s="318"/>
      <c r="X10719" s="318"/>
      <c r="Y10719" s="318"/>
      <c r="Z10719" s="318"/>
      <c r="AA10719" s="318"/>
      <c r="AB10719" s="318"/>
      <c r="AC10719" s="318"/>
      <c r="AD10719" s="318"/>
    </row>
    <row r="10720" spans="2:30" s="323" customFormat="1" ht="12" customHeight="1">
      <c r="B10720" s="324"/>
      <c r="C10720" s="325"/>
      <c r="D10720" s="326"/>
      <c r="E10720" s="326"/>
      <c r="F10720" s="326"/>
      <c r="G10720" s="326"/>
      <c r="H10720" s="326"/>
      <c r="P10720" s="318"/>
      <c r="Q10720" s="318"/>
      <c r="R10720" s="318"/>
      <c r="S10720" s="318"/>
      <c r="T10720" s="318"/>
      <c r="U10720" s="318"/>
      <c r="V10720" s="318"/>
      <c r="W10720" s="318"/>
      <c r="X10720" s="318"/>
      <c r="Y10720" s="318"/>
      <c r="Z10720" s="318"/>
      <c r="AA10720" s="318"/>
      <c r="AB10720" s="318"/>
      <c r="AC10720" s="318"/>
      <c r="AD10720" s="318"/>
    </row>
    <row r="10721" spans="2:30" s="323" customFormat="1" ht="12" customHeight="1">
      <c r="B10721" s="324"/>
      <c r="C10721" s="325"/>
      <c r="D10721" s="326"/>
      <c r="E10721" s="326"/>
      <c r="F10721" s="326"/>
      <c r="G10721" s="326"/>
      <c r="H10721" s="326"/>
      <c r="P10721" s="318"/>
      <c r="Q10721" s="318"/>
      <c r="R10721" s="318"/>
      <c r="S10721" s="318"/>
      <c r="T10721" s="318"/>
      <c r="U10721" s="318"/>
      <c r="V10721" s="318"/>
      <c r="W10721" s="318"/>
      <c r="X10721" s="318"/>
      <c r="Y10721" s="318"/>
      <c r="Z10721" s="318"/>
      <c r="AA10721" s="318"/>
      <c r="AB10721" s="318"/>
      <c r="AC10721" s="318"/>
      <c r="AD10721" s="318"/>
    </row>
    <row r="10722" spans="2:30" s="323" customFormat="1" ht="12" customHeight="1">
      <c r="B10722" s="324"/>
      <c r="C10722" s="325"/>
      <c r="D10722" s="326"/>
      <c r="E10722" s="326"/>
      <c r="F10722" s="326"/>
      <c r="G10722" s="326"/>
      <c r="H10722" s="326"/>
      <c r="P10722" s="318"/>
      <c r="Q10722" s="318"/>
      <c r="R10722" s="318"/>
      <c r="S10722" s="318"/>
      <c r="T10722" s="318"/>
      <c r="U10722" s="318"/>
      <c r="V10722" s="318"/>
      <c r="W10722" s="318"/>
      <c r="X10722" s="318"/>
      <c r="Y10722" s="318"/>
      <c r="Z10722" s="318"/>
      <c r="AA10722" s="318"/>
      <c r="AB10722" s="318"/>
      <c r="AC10722" s="318"/>
      <c r="AD10722" s="318"/>
    </row>
    <row r="10723" spans="2:30" s="323" customFormat="1" ht="12" customHeight="1">
      <c r="B10723" s="324"/>
      <c r="C10723" s="325"/>
      <c r="D10723" s="326"/>
      <c r="E10723" s="326"/>
      <c r="F10723" s="326"/>
      <c r="G10723" s="326"/>
      <c r="H10723" s="326"/>
      <c r="P10723" s="318"/>
      <c r="Q10723" s="318"/>
      <c r="R10723" s="318"/>
      <c r="S10723" s="318"/>
      <c r="T10723" s="318"/>
      <c r="U10723" s="318"/>
      <c r="V10723" s="318"/>
      <c r="W10723" s="318"/>
      <c r="X10723" s="318"/>
      <c r="Y10723" s="318"/>
      <c r="Z10723" s="318"/>
      <c r="AA10723" s="318"/>
      <c r="AB10723" s="318"/>
      <c r="AC10723" s="318"/>
      <c r="AD10723" s="318"/>
    </row>
    <row r="10724" spans="2:30" s="323" customFormat="1" ht="12" customHeight="1">
      <c r="B10724" s="324"/>
      <c r="C10724" s="325"/>
      <c r="D10724" s="326"/>
      <c r="E10724" s="326"/>
      <c r="F10724" s="326"/>
      <c r="G10724" s="326"/>
      <c r="H10724" s="326"/>
      <c r="P10724" s="318"/>
      <c r="Q10724" s="318"/>
      <c r="R10724" s="318"/>
      <c r="S10724" s="318"/>
      <c r="T10724" s="318"/>
      <c r="U10724" s="318"/>
      <c r="V10724" s="318"/>
      <c r="W10724" s="318"/>
      <c r="X10724" s="318"/>
      <c r="Y10724" s="318"/>
      <c r="Z10724" s="318"/>
      <c r="AA10724" s="318"/>
      <c r="AB10724" s="318"/>
      <c r="AC10724" s="318"/>
      <c r="AD10724" s="318"/>
    </row>
    <row r="10725" spans="2:30" s="323" customFormat="1" ht="12" customHeight="1">
      <c r="B10725" s="324"/>
      <c r="C10725" s="325"/>
      <c r="D10725" s="326"/>
      <c r="E10725" s="326"/>
      <c r="F10725" s="326"/>
      <c r="G10725" s="326"/>
      <c r="H10725" s="326"/>
      <c r="P10725" s="318"/>
      <c r="Q10725" s="318"/>
      <c r="R10725" s="318"/>
      <c r="S10725" s="318"/>
      <c r="T10725" s="318"/>
      <c r="U10725" s="318"/>
      <c r="V10725" s="318"/>
      <c r="W10725" s="318"/>
      <c r="X10725" s="318"/>
      <c r="Y10725" s="318"/>
      <c r="Z10725" s="318"/>
      <c r="AA10725" s="318"/>
      <c r="AB10725" s="318"/>
      <c r="AC10725" s="318"/>
      <c r="AD10725" s="318"/>
    </row>
    <row r="10726" spans="2:30" s="323" customFormat="1" ht="12" customHeight="1">
      <c r="B10726" s="324"/>
      <c r="C10726" s="325"/>
      <c r="D10726" s="326"/>
      <c r="E10726" s="326"/>
      <c r="F10726" s="326"/>
      <c r="G10726" s="326"/>
      <c r="H10726" s="326"/>
      <c r="P10726" s="318"/>
      <c r="Q10726" s="318"/>
      <c r="R10726" s="318"/>
      <c r="S10726" s="318"/>
      <c r="T10726" s="318"/>
      <c r="U10726" s="318"/>
      <c r="V10726" s="318"/>
      <c r="W10726" s="318"/>
      <c r="X10726" s="318"/>
      <c r="Y10726" s="318"/>
      <c r="Z10726" s="318"/>
      <c r="AA10726" s="318"/>
      <c r="AB10726" s="318"/>
      <c r="AC10726" s="318"/>
      <c r="AD10726" s="318"/>
    </row>
    <row r="10727" spans="2:30" s="323" customFormat="1" ht="12" customHeight="1">
      <c r="B10727" s="324"/>
      <c r="C10727" s="325"/>
      <c r="D10727" s="326"/>
      <c r="E10727" s="326"/>
      <c r="F10727" s="326"/>
      <c r="G10727" s="326"/>
      <c r="H10727" s="326"/>
      <c r="P10727" s="318"/>
      <c r="Q10727" s="318"/>
      <c r="R10727" s="318"/>
      <c r="S10727" s="318"/>
      <c r="T10727" s="318"/>
      <c r="U10727" s="318"/>
      <c r="V10727" s="318"/>
      <c r="W10727" s="318"/>
      <c r="X10727" s="318"/>
      <c r="Y10727" s="318"/>
      <c r="Z10727" s="318"/>
      <c r="AA10727" s="318"/>
      <c r="AB10727" s="318"/>
      <c r="AC10727" s="318"/>
      <c r="AD10727" s="318"/>
    </row>
    <row r="10728" spans="2:30" s="323" customFormat="1" ht="12" customHeight="1">
      <c r="B10728" s="324"/>
      <c r="C10728" s="325"/>
      <c r="D10728" s="326"/>
      <c r="E10728" s="326"/>
      <c r="F10728" s="326"/>
      <c r="G10728" s="326"/>
      <c r="H10728" s="326"/>
      <c r="P10728" s="318"/>
      <c r="Q10728" s="318"/>
      <c r="R10728" s="318"/>
      <c r="S10728" s="318"/>
      <c r="T10728" s="318"/>
      <c r="U10728" s="318"/>
      <c r="V10728" s="318"/>
      <c r="W10728" s="318"/>
      <c r="X10728" s="318"/>
      <c r="Y10728" s="318"/>
      <c r="Z10728" s="318"/>
      <c r="AA10728" s="318"/>
      <c r="AB10728" s="318"/>
      <c r="AC10728" s="318"/>
      <c r="AD10728" s="318"/>
    </row>
    <row r="10729" spans="2:30" s="323" customFormat="1" ht="12" customHeight="1">
      <c r="B10729" s="324"/>
      <c r="C10729" s="325"/>
      <c r="D10729" s="326"/>
      <c r="E10729" s="326"/>
      <c r="F10729" s="326"/>
      <c r="G10729" s="326"/>
      <c r="H10729" s="326"/>
      <c r="P10729" s="318"/>
      <c r="Q10729" s="318"/>
      <c r="R10729" s="318"/>
      <c r="S10729" s="318"/>
      <c r="T10729" s="318"/>
      <c r="U10729" s="318"/>
      <c r="V10729" s="318"/>
      <c r="W10729" s="318"/>
      <c r="X10729" s="318"/>
      <c r="Y10729" s="318"/>
      <c r="Z10729" s="318"/>
      <c r="AA10729" s="318"/>
      <c r="AB10729" s="318"/>
      <c r="AC10729" s="318"/>
      <c r="AD10729" s="318"/>
    </row>
    <row r="10730" spans="2:30" s="323" customFormat="1" ht="12" customHeight="1">
      <c r="B10730" s="324"/>
      <c r="C10730" s="325"/>
      <c r="D10730" s="326"/>
      <c r="E10730" s="326"/>
      <c r="F10730" s="326"/>
      <c r="G10730" s="326"/>
      <c r="H10730" s="326"/>
      <c r="P10730" s="318"/>
      <c r="Q10730" s="318"/>
      <c r="R10730" s="318"/>
      <c r="S10730" s="318"/>
      <c r="T10730" s="318"/>
      <c r="U10730" s="318"/>
      <c r="V10730" s="318"/>
      <c r="W10730" s="318"/>
      <c r="X10730" s="318"/>
      <c r="Y10730" s="318"/>
      <c r="Z10730" s="318"/>
      <c r="AA10730" s="318"/>
      <c r="AB10730" s="318"/>
      <c r="AC10730" s="318"/>
      <c r="AD10730" s="318"/>
    </row>
    <row r="10731" spans="2:30" s="323" customFormat="1" ht="12" customHeight="1">
      <c r="B10731" s="324"/>
      <c r="C10731" s="325"/>
      <c r="D10731" s="326"/>
      <c r="E10731" s="326"/>
      <c r="F10731" s="326"/>
      <c r="G10731" s="326"/>
      <c r="H10731" s="326"/>
      <c r="P10731" s="318"/>
      <c r="Q10731" s="318"/>
      <c r="R10731" s="318"/>
      <c r="S10731" s="318"/>
      <c r="T10731" s="318"/>
      <c r="U10731" s="318"/>
      <c r="V10731" s="318"/>
      <c r="W10731" s="318"/>
      <c r="X10731" s="318"/>
      <c r="Y10731" s="318"/>
      <c r="Z10731" s="318"/>
      <c r="AA10731" s="318"/>
      <c r="AB10731" s="318"/>
      <c r="AC10731" s="318"/>
      <c r="AD10731" s="318"/>
    </row>
    <row r="10732" spans="2:30" s="323" customFormat="1" ht="12" customHeight="1">
      <c r="B10732" s="324"/>
      <c r="C10732" s="325"/>
      <c r="D10732" s="326"/>
      <c r="E10732" s="326"/>
      <c r="F10732" s="326"/>
      <c r="G10732" s="326"/>
      <c r="H10732" s="326"/>
      <c r="P10732" s="318"/>
      <c r="Q10732" s="318"/>
      <c r="R10732" s="318"/>
      <c r="S10732" s="318"/>
      <c r="T10732" s="318"/>
      <c r="U10732" s="318"/>
      <c r="V10732" s="318"/>
      <c r="W10732" s="318"/>
      <c r="X10732" s="318"/>
      <c r="Y10732" s="318"/>
      <c r="Z10732" s="318"/>
      <c r="AA10732" s="318"/>
      <c r="AB10732" s="318"/>
      <c r="AC10732" s="318"/>
      <c r="AD10732" s="318"/>
    </row>
    <row r="10733" spans="2:30" s="323" customFormat="1" ht="12" customHeight="1">
      <c r="B10733" s="324"/>
      <c r="C10733" s="325"/>
      <c r="D10733" s="326"/>
      <c r="E10733" s="326"/>
      <c r="F10733" s="326"/>
      <c r="G10733" s="326"/>
      <c r="H10733" s="326"/>
      <c r="P10733" s="318"/>
      <c r="Q10733" s="318"/>
      <c r="R10733" s="318"/>
      <c r="S10733" s="318"/>
      <c r="T10733" s="318"/>
      <c r="U10733" s="318"/>
      <c r="V10733" s="318"/>
      <c r="W10733" s="318"/>
      <c r="X10733" s="318"/>
      <c r="Y10733" s="318"/>
      <c r="Z10733" s="318"/>
      <c r="AA10733" s="318"/>
      <c r="AB10733" s="318"/>
      <c r="AC10733" s="318"/>
      <c r="AD10733" s="318"/>
    </row>
    <row r="10734" spans="2:30" s="323" customFormat="1" ht="12" customHeight="1">
      <c r="B10734" s="324"/>
      <c r="C10734" s="325"/>
      <c r="D10734" s="326"/>
      <c r="E10734" s="326"/>
      <c r="F10734" s="326"/>
      <c r="G10734" s="326"/>
      <c r="H10734" s="326"/>
      <c r="P10734" s="318"/>
      <c r="Q10734" s="318"/>
      <c r="R10734" s="318"/>
      <c r="S10734" s="318"/>
      <c r="T10734" s="318"/>
      <c r="U10734" s="318"/>
      <c r="V10734" s="318"/>
      <c r="W10734" s="318"/>
      <c r="X10734" s="318"/>
      <c r="Y10734" s="318"/>
      <c r="Z10734" s="318"/>
      <c r="AA10734" s="318"/>
      <c r="AB10734" s="318"/>
      <c r="AC10734" s="318"/>
      <c r="AD10734" s="318"/>
    </row>
    <row r="10735" spans="2:30" s="323" customFormat="1" ht="12" customHeight="1">
      <c r="B10735" s="324"/>
      <c r="C10735" s="325"/>
      <c r="D10735" s="326"/>
      <c r="E10735" s="326"/>
      <c r="F10735" s="326"/>
      <c r="G10735" s="326"/>
      <c r="H10735" s="326"/>
      <c r="P10735" s="318"/>
      <c r="Q10735" s="318"/>
      <c r="R10735" s="318"/>
      <c r="S10735" s="318"/>
      <c r="T10735" s="318"/>
      <c r="U10735" s="318"/>
      <c r="V10735" s="318"/>
      <c r="W10735" s="318"/>
      <c r="X10735" s="318"/>
      <c r="Y10735" s="318"/>
      <c r="Z10735" s="318"/>
      <c r="AA10735" s="318"/>
      <c r="AB10735" s="318"/>
      <c r="AC10735" s="318"/>
      <c r="AD10735" s="318"/>
    </row>
    <row r="10736" spans="2:30" s="323" customFormat="1" ht="12" customHeight="1">
      <c r="B10736" s="324"/>
      <c r="C10736" s="325"/>
      <c r="D10736" s="326"/>
      <c r="E10736" s="326"/>
      <c r="F10736" s="326"/>
      <c r="G10736" s="326"/>
      <c r="H10736" s="326"/>
      <c r="P10736" s="318"/>
      <c r="Q10736" s="318"/>
      <c r="R10736" s="318"/>
      <c r="S10736" s="318"/>
      <c r="T10736" s="318"/>
      <c r="U10736" s="318"/>
      <c r="V10736" s="318"/>
      <c r="W10736" s="318"/>
      <c r="X10736" s="318"/>
      <c r="Y10736" s="318"/>
      <c r="Z10736" s="318"/>
      <c r="AA10736" s="318"/>
      <c r="AB10736" s="318"/>
      <c r="AC10736" s="318"/>
      <c r="AD10736" s="318"/>
    </row>
    <row r="10737" spans="2:30" s="323" customFormat="1" ht="12" customHeight="1">
      <c r="B10737" s="324"/>
      <c r="C10737" s="325"/>
      <c r="D10737" s="326"/>
      <c r="E10737" s="326"/>
      <c r="F10737" s="326"/>
      <c r="G10737" s="326"/>
      <c r="H10737" s="326"/>
      <c r="P10737" s="318"/>
      <c r="Q10737" s="318"/>
      <c r="R10737" s="318"/>
      <c r="S10737" s="318"/>
      <c r="T10737" s="318"/>
      <c r="U10737" s="318"/>
      <c r="V10737" s="318"/>
      <c r="W10737" s="318"/>
      <c r="X10737" s="318"/>
      <c r="Y10737" s="318"/>
      <c r="Z10737" s="318"/>
      <c r="AA10737" s="318"/>
      <c r="AB10737" s="318"/>
      <c r="AC10737" s="318"/>
      <c r="AD10737" s="318"/>
    </row>
    <row r="10738" spans="2:30" s="323" customFormat="1" ht="12" customHeight="1">
      <c r="B10738" s="324"/>
      <c r="C10738" s="325"/>
      <c r="D10738" s="326"/>
      <c r="E10738" s="326"/>
      <c r="F10738" s="326"/>
      <c r="G10738" s="326"/>
      <c r="H10738" s="326"/>
      <c r="P10738" s="318"/>
      <c r="Q10738" s="318"/>
      <c r="R10738" s="318"/>
      <c r="S10738" s="318"/>
      <c r="T10738" s="318"/>
      <c r="U10738" s="318"/>
      <c r="V10738" s="318"/>
      <c r="W10738" s="318"/>
      <c r="X10738" s="318"/>
      <c r="Y10738" s="318"/>
      <c r="Z10738" s="318"/>
      <c r="AA10738" s="318"/>
      <c r="AB10738" s="318"/>
      <c r="AC10738" s="318"/>
      <c r="AD10738" s="318"/>
    </row>
    <row r="10739" spans="2:30" s="323" customFormat="1" ht="12" customHeight="1">
      <c r="B10739" s="324"/>
      <c r="C10739" s="325"/>
      <c r="D10739" s="326"/>
      <c r="E10739" s="326"/>
      <c r="F10739" s="326"/>
      <c r="G10739" s="326"/>
      <c r="H10739" s="326"/>
      <c r="P10739" s="318"/>
      <c r="Q10739" s="318"/>
      <c r="R10739" s="318"/>
      <c r="S10739" s="318"/>
      <c r="T10739" s="318"/>
      <c r="U10739" s="318"/>
      <c r="V10739" s="318"/>
      <c r="W10739" s="318"/>
      <c r="X10739" s="318"/>
      <c r="Y10739" s="318"/>
      <c r="Z10739" s="318"/>
      <c r="AA10739" s="318"/>
      <c r="AB10739" s="318"/>
      <c r="AC10739" s="318"/>
      <c r="AD10739" s="318"/>
    </row>
    <row r="10740" spans="2:30" s="323" customFormat="1" ht="12" customHeight="1">
      <c r="B10740" s="324"/>
      <c r="C10740" s="325"/>
      <c r="D10740" s="326"/>
      <c r="E10740" s="326"/>
      <c r="F10740" s="326"/>
      <c r="G10740" s="326"/>
      <c r="H10740" s="326"/>
      <c r="P10740" s="318"/>
      <c r="Q10740" s="318"/>
      <c r="R10740" s="318"/>
      <c r="S10740" s="318"/>
      <c r="T10740" s="318"/>
      <c r="U10740" s="318"/>
      <c r="V10740" s="318"/>
      <c r="W10740" s="318"/>
      <c r="X10740" s="318"/>
      <c r="Y10740" s="318"/>
      <c r="Z10740" s="318"/>
      <c r="AA10740" s="318"/>
      <c r="AB10740" s="318"/>
      <c r="AC10740" s="318"/>
      <c r="AD10740" s="318"/>
    </row>
    <row r="10741" spans="2:30" s="323" customFormat="1" ht="12" customHeight="1">
      <c r="B10741" s="324"/>
      <c r="C10741" s="325"/>
      <c r="D10741" s="326"/>
      <c r="E10741" s="326"/>
      <c r="F10741" s="326"/>
      <c r="G10741" s="326"/>
      <c r="H10741" s="326"/>
      <c r="P10741" s="318"/>
      <c r="Q10741" s="318"/>
      <c r="R10741" s="318"/>
      <c r="S10741" s="318"/>
      <c r="T10741" s="318"/>
      <c r="U10741" s="318"/>
      <c r="V10741" s="318"/>
      <c r="W10741" s="318"/>
      <c r="X10741" s="318"/>
      <c r="Y10741" s="318"/>
      <c r="Z10741" s="318"/>
      <c r="AA10741" s="318"/>
      <c r="AB10741" s="318"/>
      <c r="AC10741" s="318"/>
      <c r="AD10741" s="318"/>
    </row>
    <row r="10742" spans="2:30" s="323" customFormat="1" ht="12" customHeight="1">
      <c r="B10742" s="324"/>
      <c r="C10742" s="325"/>
      <c r="D10742" s="326"/>
      <c r="E10742" s="326"/>
      <c r="F10742" s="326"/>
      <c r="G10742" s="326"/>
      <c r="H10742" s="326"/>
      <c r="P10742" s="318"/>
      <c r="Q10742" s="318"/>
      <c r="R10742" s="318"/>
      <c r="S10742" s="318"/>
      <c r="T10742" s="318"/>
      <c r="U10742" s="318"/>
      <c r="V10742" s="318"/>
      <c r="W10742" s="318"/>
      <c r="X10742" s="318"/>
      <c r="Y10742" s="318"/>
      <c r="Z10742" s="318"/>
      <c r="AA10742" s="318"/>
      <c r="AB10742" s="318"/>
      <c r="AC10742" s="318"/>
      <c r="AD10742" s="318"/>
    </row>
    <row r="10743" spans="2:30" s="323" customFormat="1" ht="12" customHeight="1">
      <c r="B10743" s="324"/>
      <c r="C10743" s="325"/>
      <c r="D10743" s="326"/>
      <c r="E10743" s="326"/>
      <c r="F10743" s="326"/>
      <c r="G10743" s="326"/>
      <c r="H10743" s="326"/>
      <c r="P10743" s="318"/>
      <c r="Q10743" s="318"/>
      <c r="R10743" s="318"/>
      <c r="S10743" s="318"/>
      <c r="T10743" s="318"/>
      <c r="U10743" s="318"/>
      <c r="V10743" s="318"/>
      <c r="W10743" s="318"/>
      <c r="X10743" s="318"/>
      <c r="Y10743" s="318"/>
      <c r="Z10743" s="318"/>
      <c r="AA10743" s="318"/>
      <c r="AB10743" s="318"/>
      <c r="AC10743" s="318"/>
      <c r="AD10743" s="318"/>
    </row>
    <row r="10744" spans="2:30" s="323" customFormat="1" ht="12" customHeight="1">
      <c r="B10744" s="324"/>
      <c r="C10744" s="325"/>
      <c r="D10744" s="326"/>
      <c r="E10744" s="326"/>
      <c r="F10744" s="326"/>
      <c r="G10744" s="326"/>
      <c r="H10744" s="326"/>
      <c r="P10744" s="318"/>
      <c r="Q10744" s="318"/>
      <c r="R10744" s="318"/>
      <c r="S10744" s="318"/>
      <c r="T10744" s="318"/>
      <c r="U10744" s="318"/>
      <c r="V10744" s="318"/>
      <c r="W10744" s="318"/>
      <c r="X10744" s="318"/>
      <c r="Y10744" s="318"/>
      <c r="Z10744" s="318"/>
      <c r="AA10744" s="318"/>
      <c r="AB10744" s="318"/>
      <c r="AC10744" s="318"/>
      <c r="AD10744" s="318"/>
    </row>
    <row r="10745" spans="2:30" s="323" customFormat="1" ht="12" customHeight="1">
      <c r="B10745" s="324"/>
      <c r="C10745" s="325"/>
      <c r="D10745" s="326"/>
      <c r="E10745" s="326"/>
      <c r="F10745" s="326"/>
      <c r="G10745" s="326"/>
      <c r="H10745" s="326"/>
      <c r="P10745" s="318"/>
      <c r="Q10745" s="318"/>
      <c r="R10745" s="318"/>
      <c r="S10745" s="318"/>
      <c r="T10745" s="318"/>
      <c r="U10745" s="318"/>
      <c r="V10745" s="318"/>
      <c r="W10745" s="318"/>
      <c r="X10745" s="318"/>
      <c r="Y10745" s="318"/>
      <c r="Z10745" s="318"/>
      <c r="AA10745" s="318"/>
      <c r="AB10745" s="318"/>
      <c r="AC10745" s="318"/>
      <c r="AD10745" s="318"/>
    </row>
    <row r="10746" spans="2:30" s="323" customFormat="1" ht="12" customHeight="1">
      <c r="B10746" s="324"/>
      <c r="C10746" s="325"/>
      <c r="D10746" s="326"/>
      <c r="E10746" s="326"/>
      <c r="F10746" s="326"/>
      <c r="G10746" s="326"/>
      <c r="H10746" s="326"/>
      <c r="P10746" s="318"/>
      <c r="Q10746" s="318"/>
      <c r="R10746" s="318"/>
      <c r="S10746" s="318"/>
      <c r="T10746" s="318"/>
      <c r="U10746" s="318"/>
      <c r="V10746" s="318"/>
      <c r="W10746" s="318"/>
      <c r="X10746" s="318"/>
      <c r="Y10746" s="318"/>
      <c r="Z10746" s="318"/>
      <c r="AA10746" s="318"/>
      <c r="AB10746" s="318"/>
      <c r="AC10746" s="318"/>
      <c r="AD10746" s="318"/>
    </row>
    <row r="10747" spans="2:30" s="323" customFormat="1" ht="12" customHeight="1">
      <c r="B10747" s="324"/>
      <c r="C10747" s="325"/>
      <c r="D10747" s="326"/>
      <c r="E10747" s="326"/>
      <c r="F10747" s="326"/>
      <c r="G10747" s="326"/>
      <c r="H10747" s="326"/>
      <c r="P10747" s="318"/>
      <c r="Q10747" s="318"/>
      <c r="R10747" s="318"/>
      <c r="S10747" s="318"/>
      <c r="T10747" s="318"/>
      <c r="U10747" s="318"/>
      <c r="V10747" s="318"/>
      <c r="W10747" s="318"/>
      <c r="X10747" s="318"/>
      <c r="Y10747" s="318"/>
      <c r="Z10747" s="318"/>
      <c r="AA10747" s="318"/>
      <c r="AB10747" s="318"/>
      <c r="AC10747" s="318"/>
      <c r="AD10747" s="318"/>
    </row>
    <row r="10748" spans="2:30" s="323" customFormat="1" ht="12" customHeight="1">
      <c r="B10748" s="324"/>
      <c r="C10748" s="325"/>
      <c r="D10748" s="326"/>
      <c r="E10748" s="326"/>
      <c r="F10748" s="326"/>
      <c r="G10748" s="326"/>
      <c r="H10748" s="326"/>
      <c r="P10748" s="318"/>
      <c r="Q10748" s="318"/>
      <c r="R10748" s="318"/>
      <c r="S10748" s="318"/>
      <c r="T10748" s="318"/>
      <c r="U10748" s="318"/>
      <c r="V10748" s="318"/>
      <c r="W10748" s="318"/>
      <c r="X10748" s="318"/>
      <c r="Y10748" s="318"/>
      <c r="Z10748" s="318"/>
      <c r="AA10748" s="318"/>
      <c r="AB10748" s="318"/>
      <c r="AC10748" s="318"/>
      <c r="AD10748" s="318"/>
    </row>
    <row r="10749" spans="2:30" s="323" customFormat="1" ht="12" customHeight="1">
      <c r="B10749" s="324"/>
      <c r="C10749" s="325"/>
      <c r="D10749" s="326"/>
      <c r="E10749" s="326"/>
      <c r="F10749" s="326"/>
      <c r="G10749" s="326"/>
      <c r="H10749" s="326"/>
      <c r="P10749" s="318"/>
      <c r="Q10749" s="318"/>
      <c r="R10749" s="318"/>
      <c r="S10749" s="318"/>
      <c r="T10749" s="318"/>
      <c r="U10749" s="318"/>
      <c r="V10749" s="318"/>
      <c r="W10749" s="318"/>
      <c r="X10749" s="318"/>
      <c r="Y10749" s="318"/>
      <c r="Z10749" s="318"/>
      <c r="AA10749" s="318"/>
      <c r="AB10749" s="318"/>
      <c r="AC10749" s="318"/>
      <c r="AD10749" s="318"/>
    </row>
    <row r="10750" spans="2:30" s="323" customFormat="1" ht="12" customHeight="1">
      <c r="B10750" s="324"/>
      <c r="C10750" s="325"/>
      <c r="D10750" s="326"/>
      <c r="E10750" s="326"/>
      <c r="F10750" s="326"/>
      <c r="G10750" s="326"/>
      <c r="H10750" s="326"/>
      <c r="P10750" s="318"/>
      <c r="Q10750" s="318"/>
      <c r="R10750" s="318"/>
      <c r="S10750" s="318"/>
      <c r="T10750" s="318"/>
      <c r="U10750" s="318"/>
      <c r="V10750" s="318"/>
      <c r="W10750" s="318"/>
      <c r="X10750" s="318"/>
      <c r="Y10750" s="318"/>
      <c r="Z10750" s="318"/>
      <c r="AA10750" s="318"/>
      <c r="AB10750" s="318"/>
      <c r="AC10750" s="318"/>
      <c r="AD10750" s="318"/>
    </row>
    <row r="10751" spans="2:30" s="323" customFormat="1" ht="12" customHeight="1">
      <c r="B10751" s="324"/>
      <c r="C10751" s="325"/>
      <c r="D10751" s="326"/>
      <c r="E10751" s="326"/>
      <c r="F10751" s="326"/>
      <c r="G10751" s="326"/>
      <c r="H10751" s="326"/>
      <c r="P10751" s="318"/>
      <c r="Q10751" s="318"/>
      <c r="R10751" s="318"/>
      <c r="S10751" s="318"/>
      <c r="T10751" s="318"/>
      <c r="U10751" s="318"/>
      <c r="V10751" s="318"/>
      <c r="W10751" s="318"/>
      <c r="X10751" s="318"/>
      <c r="Y10751" s="318"/>
      <c r="Z10751" s="318"/>
      <c r="AA10751" s="318"/>
      <c r="AB10751" s="318"/>
      <c r="AC10751" s="318"/>
      <c r="AD10751" s="318"/>
    </row>
    <row r="10752" spans="2:30" s="323" customFormat="1" ht="12" customHeight="1">
      <c r="B10752" s="324"/>
      <c r="C10752" s="325"/>
      <c r="D10752" s="326"/>
      <c r="E10752" s="326"/>
      <c r="F10752" s="326"/>
      <c r="G10752" s="326"/>
      <c r="H10752" s="326"/>
      <c r="P10752" s="318"/>
      <c r="Q10752" s="318"/>
      <c r="R10752" s="318"/>
      <c r="S10752" s="318"/>
      <c r="T10752" s="318"/>
      <c r="U10752" s="318"/>
      <c r="V10752" s="318"/>
      <c r="W10752" s="318"/>
      <c r="X10752" s="318"/>
      <c r="Y10752" s="318"/>
      <c r="Z10752" s="318"/>
      <c r="AA10752" s="318"/>
      <c r="AB10752" s="318"/>
      <c r="AC10752" s="318"/>
      <c r="AD10752" s="318"/>
    </row>
    <row r="10753" spans="2:30" s="323" customFormat="1" ht="12" customHeight="1">
      <c r="B10753" s="324"/>
      <c r="C10753" s="325"/>
      <c r="D10753" s="326"/>
      <c r="E10753" s="326"/>
      <c r="F10753" s="326"/>
      <c r="G10753" s="326"/>
      <c r="H10753" s="326"/>
      <c r="P10753" s="318"/>
      <c r="Q10753" s="318"/>
      <c r="R10753" s="318"/>
      <c r="S10753" s="318"/>
      <c r="T10753" s="318"/>
      <c r="U10753" s="318"/>
      <c r="V10753" s="318"/>
      <c r="W10753" s="318"/>
      <c r="X10753" s="318"/>
      <c r="Y10753" s="318"/>
      <c r="Z10753" s="318"/>
      <c r="AA10753" s="318"/>
      <c r="AB10753" s="318"/>
      <c r="AC10753" s="318"/>
      <c r="AD10753" s="318"/>
    </row>
    <row r="10754" spans="2:30" s="323" customFormat="1" ht="12" customHeight="1">
      <c r="B10754" s="324"/>
      <c r="C10754" s="325"/>
      <c r="D10754" s="326"/>
      <c r="E10754" s="326"/>
      <c r="F10754" s="326"/>
      <c r="G10754" s="326"/>
      <c r="H10754" s="326"/>
      <c r="P10754" s="318"/>
      <c r="Q10754" s="318"/>
      <c r="R10754" s="318"/>
      <c r="S10754" s="318"/>
      <c r="T10754" s="318"/>
      <c r="U10754" s="318"/>
      <c r="V10754" s="318"/>
      <c r="W10754" s="318"/>
      <c r="X10754" s="318"/>
      <c r="Y10754" s="318"/>
      <c r="Z10754" s="318"/>
      <c r="AA10754" s="318"/>
      <c r="AB10754" s="318"/>
      <c r="AC10754" s="318"/>
      <c r="AD10754" s="318"/>
    </row>
    <row r="10755" spans="2:30" s="323" customFormat="1" ht="12" customHeight="1">
      <c r="B10755" s="324"/>
      <c r="C10755" s="325"/>
      <c r="D10755" s="326"/>
      <c r="E10755" s="326"/>
      <c r="F10755" s="326"/>
      <c r="G10755" s="326"/>
      <c r="H10755" s="326"/>
      <c r="P10755" s="318"/>
      <c r="Q10755" s="318"/>
      <c r="R10755" s="318"/>
      <c r="S10755" s="318"/>
      <c r="T10755" s="318"/>
      <c r="U10755" s="318"/>
      <c r="V10755" s="318"/>
      <c r="W10755" s="318"/>
      <c r="X10755" s="318"/>
      <c r="Y10755" s="318"/>
      <c r="Z10755" s="318"/>
      <c r="AA10755" s="318"/>
      <c r="AB10755" s="318"/>
      <c r="AC10755" s="318"/>
      <c r="AD10755" s="318"/>
    </row>
    <row r="10756" spans="2:30" s="323" customFormat="1" ht="12" customHeight="1">
      <c r="B10756" s="324"/>
      <c r="C10756" s="325"/>
      <c r="D10756" s="326"/>
      <c r="E10756" s="326"/>
      <c r="F10756" s="326"/>
      <c r="G10756" s="326"/>
      <c r="H10756" s="326"/>
      <c r="P10756" s="318"/>
      <c r="Q10756" s="318"/>
      <c r="R10756" s="318"/>
      <c r="S10756" s="318"/>
      <c r="T10756" s="318"/>
      <c r="U10756" s="318"/>
      <c r="V10756" s="318"/>
      <c r="W10756" s="318"/>
      <c r="X10756" s="318"/>
      <c r="Y10756" s="318"/>
      <c r="Z10756" s="318"/>
      <c r="AA10756" s="318"/>
      <c r="AB10756" s="318"/>
      <c r="AC10756" s="318"/>
      <c r="AD10756" s="318"/>
    </row>
    <row r="10757" spans="2:30" s="323" customFormat="1" ht="12" customHeight="1">
      <c r="B10757" s="324"/>
      <c r="C10757" s="325"/>
      <c r="D10757" s="326"/>
      <c r="E10757" s="326"/>
      <c r="F10757" s="326"/>
      <c r="G10757" s="326"/>
      <c r="H10757" s="326"/>
      <c r="P10757" s="318"/>
      <c r="Q10757" s="318"/>
      <c r="R10757" s="318"/>
      <c r="S10757" s="318"/>
      <c r="T10757" s="318"/>
      <c r="U10757" s="318"/>
      <c r="V10757" s="318"/>
      <c r="W10757" s="318"/>
      <c r="X10757" s="318"/>
      <c r="Y10757" s="318"/>
      <c r="Z10757" s="318"/>
      <c r="AA10757" s="318"/>
      <c r="AB10757" s="318"/>
      <c r="AC10757" s="318"/>
      <c r="AD10757" s="318"/>
    </row>
    <row r="10758" spans="2:30" s="323" customFormat="1" ht="12" customHeight="1">
      <c r="B10758" s="324"/>
      <c r="C10758" s="325"/>
      <c r="D10758" s="326"/>
      <c r="E10758" s="326"/>
      <c r="F10758" s="326"/>
      <c r="G10758" s="326"/>
      <c r="H10758" s="326"/>
      <c r="P10758" s="318"/>
      <c r="Q10758" s="318"/>
      <c r="R10758" s="318"/>
      <c r="S10758" s="318"/>
      <c r="T10758" s="318"/>
      <c r="U10758" s="318"/>
      <c r="V10758" s="318"/>
      <c r="W10758" s="318"/>
      <c r="X10758" s="318"/>
      <c r="Y10758" s="318"/>
      <c r="Z10758" s="318"/>
      <c r="AA10758" s="318"/>
      <c r="AB10758" s="318"/>
      <c r="AC10758" s="318"/>
      <c r="AD10758" s="318"/>
    </row>
    <row r="10759" spans="2:30" s="323" customFormat="1" ht="12" customHeight="1">
      <c r="B10759" s="324"/>
      <c r="C10759" s="325"/>
      <c r="D10759" s="326"/>
      <c r="E10759" s="326"/>
      <c r="F10759" s="326"/>
      <c r="G10759" s="326"/>
      <c r="H10759" s="326"/>
      <c r="P10759" s="318"/>
      <c r="Q10759" s="318"/>
      <c r="R10759" s="318"/>
      <c r="S10759" s="318"/>
      <c r="T10759" s="318"/>
      <c r="U10759" s="318"/>
      <c r="V10759" s="318"/>
      <c r="W10759" s="318"/>
      <c r="X10759" s="318"/>
      <c r="Y10759" s="318"/>
      <c r="Z10759" s="318"/>
      <c r="AA10759" s="318"/>
      <c r="AB10759" s="318"/>
      <c r="AC10759" s="318"/>
      <c r="AD10759" s="318"/>
    </row>
    <row r="10760" spans="2:30" s="323" customFormat="1" ht="12" customHeight="1">
      <c r="B10760" s="324"/>
      <c r="C10760" s="325"/>
      <c r="D10760" s="326"/>
      <c r="E10760" s="326"/>
      <c r="F10760" s="326"/>
      <c r="G10760" s="326"/>
      <c r="H10760" s="326"/>
      <c r="P10760" s="318"/>
      <c r="Q10760" s="318"/>
      <c r="R10760" s="318"/>
      <c r="S10760" s="318"/>
      <c r="T10760" s="318"/>
      <c r="U10760" s="318"/>
      <c r="V10760" s="318"/>
      <c r="W10760" s="318"/>
      <c r="X10760" s="318"/>
      <c r="Y10760" s="318"/>
      <c r="Z10760" s="318"/>
      <c r="AA10760" s="318"/>
      <c r="AB10760" s="318"/>
      <c r="AC10760" s="318"/>
      <c r="AD10760" s="318"/>
    </row>
    <row r="10761" spans="2:30" s="323" customFormat="1" ht="12" customHeight="1">
      <c r="B10761" s="324"/>
      <c r="C10761" s="325"/>
      <c r="D10761" s="326"/>
      <c r="E10761" s="326"/>
      <c r="F10761" s="326"/>
      <c r="G10761" s="326"/>
      <c r="H10761" s="326"/>
      <c r="P10761" s="318"/>
      <c r="Q10761" s="318"/>
      <c r="R10761" s="318"/>
      <c r="S10761" s="318"/>
      <c r="T10761" s="318"/>
      <c r="U10761" s="318"/>
      <c r="V10761" s="318"/>
      <c r="W10761" s="318"/>
      <c r="X10761" s="318"/>
      <c r="Y10761" s="318"/>
      <c r="Z10761" s="318"/>
      <c r="AA10761" s="318"/>
      <c r="AB10761" s="318"/>
      <c r="AC10761" s="318"/>
      <c r="AD10761" s="318"/>
    </row>
    <row r="10762" spans="2:30" s="323" customFormat="1" ht="12" customHeight="1">
      <c r="B10762" s="324"/>
      <c r="C10762" s="325"/>
      <c r="D10762" s="326"/>
      <c r="E10762" s="326"/>
      <c r="F10762" s="326"/>
      <c r="G10762" s="326"/>
      <c r="H10762" s="326"/>
      <c r="P10762" s="318"/>
      <c r="Q10762" s="318"/>
      <c r="R10762" s="318"/>
      <c r="S10762" s="318"/>
      <c r="T10762" s="318"/>
      <c r="U10762" s="318"/>
      <c r="V10762" s="318"/>
      <c r="W10762" s="318"/>
      <c r="X10762" s="318"/>
      <c r="Y10762" s="318"/>
      <c r="Z10762" s="318"/>
      <c r="AA10762" s="318"/>
      <c r="AB10762" s="318"/>
      <c r="AC10762" s="318"/>
      <c r="AD10762" s="318"/>
    </row>
    <row r="10763" spans="2:30" s="323" customFormat="1" ht="12" customHeight="1">
      <c r="B10763" s="324"/>
      <c r="C10763" s="325"/>
      <c r="D10763" s="326"/>
      <c r="E10763" s="326"/>
      <c r="F10763" s="326"/>
      <c r="G10763" s="326"/>
      <c r="H10763" s="326"/>
      <c r="P10763" s="318"/>
      <c r="Q10763" s="318"/>
      <c r="R10763" s="318"/>
      <c r="S10763" s="318"/>
      <c r="T10763" s="318"/>
      <c r="U10763" s="318"/>
      <c r="V10763" s="318"/>
      <c r="W10763" s="318"/>
      <c r="X10763" s="318"/>
      <c r="Y10763" s="318"/>
      <c r="Z10763" s="318"/>
      <c r="AA10763" s="318"/>
      <c r="AB10763" s="318"/>
      <c r="AC10763" s="318"/>
      <c r="AD10763" s="318"/>
    </row>
    <row r="10764" spans="2:30" s="323" customFormat="1" ht="12" customHeight="1">
      <c r="B10764" s="324"/>
      <c r="C10764" s="325"/>
      <c r="D10764" s="326"/>
      <c r="E10764" s="326"/>
      <c r="F10764" s="326"/>
      <c r="G10764" s="326"/>
      <c r="H10764" s="326"/>
      <c r="P10764" s="318"/>
      <c r="Q10764" s="318"/>
      <c r="R10764" s="318"/>
      <c r="S10764" s="318"/>
      <c r="T10764" s="318"/>
      <c r="U10764" s="318"/>
      <c r="V10764" s="318"/>
      <c r="W10764" s="318"/>
      <c r="X10764" s="318"/>
      <c r="Y10764" s="318"/>
      <c r="Z10764" s="318"/>
      <c r="AA10764" s="318"/>
      <c r="AB10764" s="318"/>
      <c r="AC10764" s="318"/>
      <c r="AD10764" s="318"/>
    </row>
    <row r="10765" spans="2:30" s="323" customFormat="1" ht="12" customHeight="1">
      <c r="B10765" s="324"/>
      <c r="C10765" s="325"/>
      <c r="D10765" s="326"/>
      <c r="E10765" s="326"/>
      <c r="F10765" s="326"/>
      <c r="G10765" s="326"/>
      <c r="H10765" s="326"/>
      <c r="P10765" s="318"/>
      <c r="Q10765" s="318"/>
      <c r="R10765" s="318"/>
      <c r="S10765" s="318"/>
      <c r="T10765" s="318"/>
      <c r="U10765" s="318"/>
      <c r="V10765" s="318"/>
      <c r="W10765" s="318"/>
      <c r="X10765" s="318"/>
      <c r="Y10765" s="318"/>
      <c r="Z10765" s="318"/>
      <c r="AA10765" s="318"/>
      <c r="AB10765" s="318"/>
      <c r="AC10765" s="318"/>
      <c r="AD10765" s="318"/>
    </row>
    <row r="10766" spans="2:30" s="323" customFormat="1" ht="12" customHeight="1">
      <c r="B10766" s="324"/>
      <c r="C10766" s="325"/>
      <c r="D10766" s="326"/>
      <c r="E10766" s="326"/>
      <c r="F10766" s="326"/>
      <c r="G10766" s="326"/>
      <c r="H10766" s="326"/>
      <c r="P10766" s="318"/>
      <c r="Q10766" s="318"/>
      <c r="R10766" s="318"/>
      <c r="S10766" s="318"/>
      <c r="T10766" s="318"/>
      <c r="U10766" s="318"/>
      <c r="V10766" s="318"/>
      <c r="W10766" s="318"/>
      <c r="X10766" s="318"/>
      <c r="Y10766" s="318"/>
      <c r="Z10766" s="318"/>
      <c r="AA10766" s="318"/>
      <c r="AB10766" s="318"/>
      <c r="AC10766" s="318"/>
      <c r="AD10766" s="318"/>
    </row>
    <row r="10767" spans="2:30" s="323" customFormat="1" ht="12" customHeight="1">
      <c r="B10767" s="324"/>
      <c r="C10767" s="325"/>
      <c r="D10767" s="326"/>
      <c r="E10767" s="326"/>
      <c r="F10767" s="326"/>
      <c r="G10767" s="326"/>
      <c r="H10767" s="326"/>
      <c r="P10767" s="318"/>
      <c r="Q10767" s="318"/>
      <c r="R10767" s="318"/>
      <c r="S10767" s="318"/>
      <c r="T10767" s="318"/>
      <c r="U10767" s="318"/>
      <c r="V10767" s="318"/>
      <c r="W10767" s="318"/>
      <c r="X10767" s="318"/>
      <c r="Y10767" s="318"/>
      <c r="Z10767" s="318"/>
      <c r="AA10767" s="318"/>
      <c r="AB10767" s="318"/>
      <c r="AC10767" s="318"/>
      <c r="AD10767" s="318"/>
    </row>
    <row r="10768" spans="2:30" s="323" customFormat="1" ht="12" customHeight="1">
      <c r="B10768" s="324"/>
      <c r="C10768" s="325"/>
      <c r="D10768" s="326"/>
      <c r="E10768" s="326"/>
      <c r="F10768" s="326"/>
      <c r="G10768" s="326"/>
      <c r="H10768" s="326"/>
      <c r="P10768" s="318"/>
      <c r="Q10768" s="318"/>
      <c r="R10768" s="318"/>
      <c r="S10768" s="318"/>
      <c r="T10768" s="318"/>
      <c r="U10768" s="318"/>
      <c r="V10768" s="318"/>
      <c r="W10768" s="318"/>
      <c r="X10768" s="318"/>
      <c r="Y10768" s="318"/>
      <c r="Z10768" s="318"/>
      <c r="AA10768" s="318"/>
      <c r="AB10768" s="318"/>
      <c r="AC10768" s="318"/>
      <c r="AD10768" s="318"/>
    </row>
    <row r="10769" spans="2:30" s="323" customFormat="1" ht="12" customHeight="1">
      <c r="B10769" s="324"/>
      <c r="C10769" s="325"/>
      <c r="D10769" s="326"/>
      <c r="E10769" s="326"/>
      <c r="F10769" s="326"/>
      <c r="G10769" s="326"/>
      <c r="H10769" s="326"/>
      <c r="P10769" s="318"/>
      <c r="Q10769" s="318"/>
      <c r="R10769" s="318"/>
      <c r="S10769" s="318"/>
      <c r="T10769" s="318"/>
      <c r="U10769" s="318"/>
      <c r="V10769" s="318"/>
      <c r="W10769" s="318"/>
      <c r="X10769" s="318"/>
      <c r="Y10769" s="318"/>
      <c r="Z10769" s="318"/>
      <c r="AA10769" s="318"/>
      <c r="AB10769" s="318"/>
      <c r="AC10769" s="318"/>
      <c r="AD10769" s="318"/>
    </row>
    <row r="10770" spans="2:30" s="323" customFormat="1" ht="12" customHeight="1">
      <c r="B10770" s="324"/>
      <c r="C10770" s="325"/>
      <c r="D10770" s="326"/>
      <c r="E10770" s="326"/>
      <c r="F10770" s="326"/>
      <c r="G10770" s="326"/>
      <c r="H10770" s="326"/>
      <c r="P10770" s="318"/>
      <c r="Q10770" s="318"/>
      <c r="R10770" s="318"/>
      <c r="S10770" s="318"/>
      <c r="T10770" s="318"/>
      <c r="U10770" s="318"/>
      <c r="V10770" s="318"/>
      <c r="W10770" s="318"/>
      <c r="X10770" s="318"/>
      <c r="Y10770" s="318"/>
      <c r="Z10770" s="318"/>
      <c r="AA10770" s="318"/>
      <c r="AB10770" s="318"/>
      <c r="AC10770" s="318"/>
      <c r="AD10770" s="318"/>
    </row>
    <row r="10771" spans="2:30" s="323" customFormat="1" ht="12" customHeight="1">
      <c r="B10771" s="324"/>
      <c r="C10771" s="325"/>
      <c r="D10771" s="326"/>
      <c r="E10771" s="326"/>
      <c r="F10771" s="326"/>
      <c r="G10771" s="326"/>
      <c r="H10771" s="326"/>
      <c r="P10771" s="318"/>
      <c r="Q10771" s="318"/>
      <c r="R10771" s="318"/>
      <c r="S10771" s="318"/>
      <c r="T10771" s="318"/>
      <c r="U10771" s="318"/>
      <c r="V10771" s="318"/>
      <c r="W10771" s="318"/>
      <c r="X10771" s="318"/>
      <c r="Y10771" s="318"/>
      <c r="Z10771" s="318"/>
      <c r="AA10771" s="318"/>
      <c r="AB10771" s="318"/>
      <c r="AC10771" s="318"/>
      <c r="AD10771" s="318"/>
    </row>
    <row r="10772" spans="2:30" s="323" customFormat="1" ht="12" customHeight="1">
      <c r="B10772" s="324"/>
      <c r="C10772" s="325"/>
      <c r="D10772" s="326"/>
      <c r="E10772" s="326"/>
      <c r="F10772" s="326"/>
      <c r="G10772" s="326"/>
      <c r="H10772" s="326"/>
      <c r="P10772" s="318"/>
      <c r="Q10772" s="318"/>
      <c r="R10772" s="318"/>
      <c r="S10772" s="318"/>
      <c r="T10772" s="318"/>
      <c r="U10772" s="318"/>
      <c r="V10772" s="318"/>
      <c r="W10772" s="318"/>
      <c r="X10772" s="318"/>
      <c r="Y10772" s="318"/>
      <c r="Z10772" s="318"/>
      <c r="AA10772" s="318"/>
      <c r="AB10772" s="318"/>
      <c r="AC10772" s="318"/>
      <c r="AD10772" s="318"/>
    </row>
    <row r="10773" spans="2:30" s="323" customFormat="1" ht="12" customHeight="1">
      <c r="B10773" s="324"/>
      <c r="C10773" s="325"/>
      <c r="D10773" s="326"/>
      <c r="E10773" s="326"/>
      <c r="F10773" s="326"/>
      <c r="G10773" s="326"/>
      <c r="H10773" s="326"/>
      <c r="P10773" s="318"/>
      <c r="Q10773" s="318"/>
      <c r="R10773" s="318"/>
      <c r="S10773" s="318"/>
      <c r="T10773" s="318"/>
      <c r="U10773" s="318"/>
      <c r="V10773" s="318"/>
      <c r="W10773" s="318"/>
      <c r="X10773" s="318"/>
      <c r="Y10773" s="318"/>
      <c r="Z10773" s="318"/>
      <c r="AA10773" s="318"/>
      <c r="AB10773" s="318"/>
      <c r="AC10773" s="318"/>
      <c r="AD10773" s="318"/>
    </row>
    <row r="10774" spans="2:30" s="323" customFormat="1" ht="12" customHeight="1">
      <c r="B10774" s="324"/>
      <c r="C10774" s="325"/>
      <c r="D10774" s="326"/>
      <c r="E10774" s="326"/>
      <c r="F10774" s="326"/>
      <c r="G10774" s="326"/>
      <c r="H10774" s="326"/>
      <c r="P10774" s="318"/>
      <c r="Q10774" s="318"/>
      <c r="R10774" s="318"/>
      <c r="S10774" s="318"/>
      <c r="T10774" s="318"/>
      <c r="U10774" s="318"/>
      <c r="V10774" s="318"/>
      <c r="W10774" s="318"/>
      <c r="X10774" s="318"/>
      <c r="Y10774" s="318"/>
      <c r="Z10774" s="318"/>
      <c r="AA10774" s="318"/>
      <c r="AB10774" s="318"/>
      <c r="AC10774" s="318"/>
      <c r="AD10774" s="318"/>
    </row>
    <row r="10775" spans="2:30" s="323" customFormat="1" ht="12" customHeight="1">
      <c r="B10775" s="324"/>
      <c r="C10775" s="325"/>
      <c r="D10775" s="326"/>
      <c r="E10775" s="326"/>
      <c r="F10775" s="326"/>
      <c r="G10775" s="326"/>
      <c r="H10775" s="326"/>
      <c r="P10775" s="318"/>
      <c r="Q10775" s="318"/>
      <c r="R10775" s="318"/>
      <c r="S10775" s="318"/>
      <c r="T10775" s="318"/>
      <c r="U10775" s="318"/>
      <c r="V10775" s="318"/>
      <c r="W10775" s="318"/>
      <c r="X10775" s="318"/>
      <c r="Y10775" s="318"/>
      <c r="Z10775" s="318"/>
      <c r="AA10775" s="318"/>
      <c r="AB10775" s="318"/>
      <c r="AC10775" s="318"/>
      <c r="AD10775" s="318"/>
    </row>
    <row r="10776" spans="2:30" s="323" customFormat="1" ht="12" customHeight="1">
      <c r="B10776" s="324"/>
      <c r="C10776" s="325"/>
      <c r="D10776" s="326"/>
      <c r="E10776" s="326"/>
      <c r="F10776" s="326"/>
      <c r="G10776" s="326"/>
      <c r="H10776" s="326"/>
      <c r="P10776" s="318"/>
      <c r="Q10776" s="318"/>
      <c r="R10776" s="318"/>
      <c r="S10776" s="318"/>
      <c r="T10776" s="318"/>
      <c r="U10776" s="318"/>
      <c r="V10776" s="318"/>
      <c r="W10776" s="318"/>
      <c r="X10776" s="318"/>
      <c r="Y10776" s="318"/>
      <c r="Z10776" s="318"/>
      <c r="AA10776" s="318"/>
      <c r="AB10776" s="318"/>
      <c r="AC10776" s="318"/>
      <c r="AD10776" s="318"/>
    </row>
    <row r="10777" spans="2:30" s="323" customFormat="1" ht="12" customHeight="1">
      <c r="B10777" s="324"/>
      <c r="C10777" s="325"/>
      <c r="D10777" s="326"/>
      <c r="E10777" s="326"/>
      <c r="F10777" s="326"/>
      <c r="G10777" s="326"/>
      <c r="H10777" s="326"/>
      <c r="P10777" s="318"/>
      <c r="Q10777" s="318"/>
      <c r="R10777" s="318"/>
      <c r="S10777" s="318"/>
      <c r="T10777" s="318"/>
      <c r="U10777" s="318"/>
      <c r="V10777" s="318"/>
      <c r="W10777" s="318"/>
      <c r="X10777" s="318"/>
      <c r="Y10777" s="318"/>
      <c r="Z10777" s="318"/>
      <c r="AA10777" s="318"/>
      <c r="AB10777" s="318"/>
      <c r="AC10777" s="318"/>
      <c r="AD10777" s="318"/>
    </row>
    <row r="10778" spans="2:30" s="323" customFormat="1" ht="12" customHeight="1">
      <c r="B10778" s="324"/>
      <c r="C10778" s="325"/>
      <c r="D10778" s="326"/>
      <c r="E10778" s="326"/>
      <c r="F10778" s="326"/>
      <c r="G10778" s="326"/>
      <c r="H10778" s="326"/>
      <c r="P10778" s="318"/>
      <c r="Q10778" s="318"/>
      <c r="R10778" s="318"/>
      <c r="S10778" s="318"/>
      <c r="T10778" s="318"/>
      <c r="U10778" s="318"/>
      <c r="V10778" s="318"/>
      <c r="W10778" s="318"/>
      <c r="X10778" s="318"/>
      <c r="Y10778" s="318"/>
      <c r="Z10778" s="318"/>
      <c r="AA10778" s="318"/>
      <c r="AB10778" s="318"/>
      <c r="AC10778" s="318"/>
      <c r="AD10778" s="318"/>
    </row>
    <row r="10779" spans="2:30" s="323" customFormat="1" ht="12" customHeight="1">
      <c r="B10779" s="324"/>
      <c r="C10779" s="325"/>
      <c r="D10779" s="326"/>
      <c r="E10779" s="326"/>
      <c r="F10779" s="326"/>
      <c r="G10779" s="326"/>
      <c r="H10779" s="326"/>
      <c r="P10779" s="318"/>
      <c r="Q10779" s="318"/>
      <c r="R10779" s="318"/>
      <c r="S10779" s="318"/>
      <c r="T10779" s="318"/>
      <c r="U10779" s="318"/>
      <c r="V10779" s="318"/>
      <c r="W10779" s="318"/>
      <c r="X10779" s="318"/>
      <c r="Y10779" s="318"/>
      <c r="Z10779" s="318"/>
      <c r="AA10779" s="318"/>
      <c r="AB10779" s="318"/>
      <c r="AC10779" s="318"/>
      <c r="AD10779" s="318"/>
    </row>
    <row r="10780" spans="2:30" s="323" customFormat="1" ht="12" customHeight="1">
      <c r="B10780" s="324"/>
      <c r="C10780" s="325"/>
      <c r="D10780" s="326"/>
      <c r="E10780" s="326"/>
      <c r="F10780" s="326"/>
      <c r="G10780" s="326"/>
      <c r="H10780" s="326"/>
      <c r="P10780" s="318"/>
      <c r="Q10780" s="318"/>
      <c r="R10780" s="318"/>
      <c r="S10780" s="318"/>
      <c r="T10780" s="318"/>
      <c r="U10780" s="318"/>
      <c r="V10780" s="318"/>
      <c r="W10780" s="318"/>
      <c r="X10780" s="318"/>
      <c r="Y10780" s="318"/>
      <c r="Z10780" s="318"/>
      <c r="AA10780" s="318"/>
      <c r="AB10780" s="318"/>
      <c r="AC10780" s="318"/>
      <c r="AD10780" s="318"/>
    </row>
    <row r="10781" spans="2:30" s="323" customFormat="1" ht="12" customHeight="1">
      <c r="B10781" s="324"/>
      <c r="C10781" s="325"/>
      <c r="D10781" s="326"/>
      <c r="E10781" s="326"/>
      <c r="F10781" s="326"/>
      <c r="G10781" s="326"/>
      <c r="H10781" s="326"/>
      <c r="P10781" s="318"/>
      <c r="Q10781" s="318"/>
      <c r="R10781" s="318"/>
      <c r="S10781" s="318"/>
      <c r="T10781" s="318"/>
      <c r="U10781" s="318"/>
      <c r="V10781" s="318"/>
      <c r="W10781" s="318"/>
      <c r="X10781" s="318"/>
      <c r="Y10781" s="318"/>
      <c r="Z10781" s="318"/>
      <c r="AA10781" s="318"/>
      <c r="AB10781" s="318"/>
      <c r="AC10781" s="318"/>
      <c r="AD10781" s="318"/>
    </row>
    <row r="10782" spans="2:30" s="323" customFormat="1" ht="12" customHeight="1">
      <c r="B10782" s="324"/>
      <c r="C10782" s="325"/>
      <c r="D10782" s="326"/>
      <c r="E10782" s="326"/>
      <c r="F10782" s="326"/>
      <c r="G10782" s="326"/>
      <c r="H10782" s="326"/>
      <c r="P10782" s="318"/>
      <c r="Q10782" s="318"/>
      <c r="R10782" s="318"/>
      <c r="S10782" s="318"/>
      <c r="T10782" s="318"/>
      <c r="U10782" s="318"/>
      <c r="V10782" s="318"/>
      <c r="W10782" s="318"/>
      <c r="X10782" s="318"/>
      <c r="Y10782" s="318"/>
      <c r="Z10782" s="318"/>
      <c r="AA10782" s="318"/>
      <c r="AB10782" s="318"/>
      <c r="AC10782" s="318"/>
      <c r="AD10782" s="318"/>
    </row>
    <row r="10783" spans="2:30" s="323" customFormat="1" ht="12" customHeight="1">
      <c r="B10783" s="324"/>
      <c r="C10783" s="325"/>
      <c r="D10783" s="326"/>
      <c r="E10783" s="326"/>
      <c r="F10783" s="326"/>
      <c r="G10783" s="326"/>
      <c r="H10783" s="326"/>
      <c r="P10783" s="318"/>
      <c r="Q10783" s="318"/>
      <c r="R10783" s="318"/>
      <c r="S10783" s="318"/>
      <c r="T10783" s="318"/>
      <c r="U10783" s="318"/>
      <c r="V10783" s="318"/>
      <c r="W10783" s="318"/>
      <c r="X10783" s="318"/>
      <c r="Y10783" s="318"/>
      <c r="Z10783" s="318"/>
      <c r="AA10783" s="318"/>
      <c r="AB10783" s="318"/>
      <c r="AC10783" s="318"/>
      <c r="AD10783" s="318"/>
    </row>
    <row r="10784" spans="2:30" s="323" customFormat="1" ht="12" customHeight="1">
      <c r="B10784" s="324"/>
      <c r="C10784" s="325"/>
      <c r="D10784" s="326"/>
      <c r="E10784" s="326"/>
      <c r="F10784" s="326"/>
      <c r="G10784" s="326"/>
      <c r="H10784" s="326"/>
      <c r="P10784" s="318"/>
      <c r="Q10784" s="318"/>
      <c r="R10784" s="318"/>
      <c r="S10784" s="318"/>
      <c r="T10784" s="318"/>
      <c r="U10784" s="318"/>
      <c r="V10784" s="318"/>
      <c r="W10784" s="318"/>
      <c r="X10784" s="318"/>
      <c r="Y10784" s="318"/>
      <c r="Z10784" s="318"/>
      <c r="AA10784" s="318"/>
      <c r="AB10784" s="318"/>
      <c r="AC10784" s="318"/>
      <c r="AD10784" s="318"/>
    </row>
    <row r="10785" spans="2:30" s="323" customFormat="1" ht="12" customHeight="1">
      <c r="B10785" s="324"/>
      <c r="C10785" s="325"/>
      <c r="D10785" s="326"/>
      <c r="E10785" s="326"/>
      <c r="F10785" s="326"/>
      <c r="G10785" s="326"/>
      <c r="H10785" s="326"/>
      <c r="P10785" s="318"/>
      <c r="Q10785" s="318"/>
      <c r="R10785" s="318"/>
      <c r="S10785" s="318"/>
      <c r="T10785" s="318"/>
      <c r="U10785" s="318"/>
      <c r="V10785" s="318"/>
      <c r="W10785" s="318"/>
      <c r="X10785" s="318"/>
      <c r="Y10785" s="318"/>
      <c r="Z10785" s="318"/>
      <c r="AA10785" s="318"/>
      <c r="AB10785" s="318"/>
      <c r="AC10785" s="318"/>
      <c r="AD10785" s="318"/>
    </row>
    <row r="10786" spans="2:30" s="323" customFormat="1" ht="12" customHeight="1">
      <c r="B10786" s="324"/>
      <c r="C10786" s="325"/>
      <c r="D10786" s="326"/>
      <c r="E10786" s="326"/>
      <c r="F10786" s="326"/>
      <c r="G10786" s="326"/>
      <c r="H10786" s="326"/>
      <c r="P10786" s="318"/>
      <c r="Q10786" s="318"/>
      <c r="R10786" s="318"/>
      <c r="S10786" s="318"/>
      <c r="T10786" s="318"/>
      <c r="U10786" s="318"/>
      <c r="V10786" s="318"/>
      <c r="W10786" s="318"/>
      <c r="X10786" s="318"/>
      <c r="Y10786" s="318"/>
      <c r="Z10786" s="318"/>
      <c r="AA10786" s="318"/>
      <c r="AB10786" s="318"/>
      <c r="AC10786" s="318"/>
      <c r="AD10786" s="318"/>
    </row>
    <row r="10787" spans="2:30" s="323" customFormat="1" ht="12" customHeight="1">
      <c r="B10787" s="324"/>
      <c r="C10787" s="325"/>
      <c r="D10787" s="326"/>
      <c r="E10787" s="326"/>
      <c r="F10787" s="326"/>
      <c r="G10787" s="326"/>
      <c r="H10787" s="326"/>
      <c r="P10787" s="318"/>
      <c r="Q10787" s="318"/>
      <c r="R10787" s="318"/>
      <c r="S10787" s="318"/>
      <c r="T10787" s="318"/>
      <c r="U10787" s="318"/>
      <c r="V10787" s="318"/>
      <c r="W10787" s="318"/>
      <c r="X10787" s="318"/>
      <c r="Y10787" s="318"/>
      <c r="Z10787" s="318"/>
      <c r="AA10787" s="318"/>
      <c r="AB10787" s="318"/>
      <c r="AC10787" s="318"/>
      <c r="AD10787" s="318"/>
    </row>
    <row r="10788" spans="2:30" s="323" customFormat="1" ht="12" customHeight="1">
      <c r="B10788" s="324"/>
      <c r="C10788" s="325"/>
      <c r="D10788" s="326"/>
      <c r="E10788" s="326"/>
      <c r="F10788" s="326"/>
      <c r="G10788" s="326"/>
      <c r="H10788" s="326"/>
      <c r="P10788" s="318"/>
      <c r="Q10788" s="318"/>
      <c r="R10788" s="318"/>
      <c r="S10788" s="318"/>
      <c r="T10788" s="318"/>
      <c r="U10788" s="318"/>
      <c r="V10788" s="318"/>
      <c r="W10788" s="318"/>
      <c r="X10788" s="318"/>
      <c r="Y10788" s="318"/>
      <c r="Z10788" s="318"/>
      <c r="AA10788" s="318"/>
      <c r="AB10788" s="318"/>
      <c r="AC10788" s="318"/>
      <c r="AD10788" s="318"/>
    </row>
    <row r="10789" spans="2:30" s="323" customFormat="1" ht="12" customHeight="1">
      <c r="B10789" s="324"/>
      <c r="C10789" s="325"/>
      <c r="D10789" s="326"/>
      <c r="E10789" s="326"/>
      <c r="F10789" s="326"/>
      <c r="G10789" s="326"/>
      <c r="H10789" s="326"/>
      <c r="P10789" s="318"/>
      <c r="Q10789" s="318"/>
      <c r="R10789" s="318"/>
      <c r="S10789" s="318"/>
      <c r="T10789" s="318"/>
      <c r="U10789" s="318"/>
      <c r="V10789" s="318"/>
      <c r="W10789" s="318"/>
      <c r="X10789" s="318"/>
      <c r="Y10789" s="318"/>
      <c r="Z10789" s="318"/>
      <c r="AA10789" s="318"/>
      <c r="AB10789" s="318"/>
      <c r="AC10789" s="318"/>
      <c r="AD10789" s="318"/>
    </row>
    <row r="10790" spans="2:30" s="323" customFormat="1" ht="12" customHeight="1">
      <c r="B10790" s="324"/>
      <c r="C10790" s="325"/>
      <c r="D10790" s="326"/>
      <c r="E10790" s="326"/>
      <c r="F10790" s="326"/>
      <c r="G10790" s="326"/>
      <c r="H10790" s="326"/>
      <c r="P10790" s="318"/>
      <c r="Q10790" s="318"/>
      <c r="R10790" s="318"/>
      <c r="S10790" s="318"/>
      <c r="T10790" s="318"/>
      <c r="U10790" s="318"/>
      <c r="V10790" s="318"/>
      <c r="W10790" s="318"/>
      <c r="X10790" s="318"/>
      <c r="Y10790" s="318"/>
      <c r="Z10790" s="318"/>
      <c r="AA10790" s="318"/>
      <c r="AB10790" s="318"/>
      <c r="AC10790" s="318"/>
      <c r="AD10790" s="318"/>
    </row>
    <row r="10791" spans="2:30" s="323" customFormat="1" ht="12" customHeight="1">
      <c r="B10791" s="324"/>
      <c r="C10791" s="325"/>
      <c r="D10791" s="326"/>
      <c r="E10791" s="326"/>
      <c r="F10791" s="326"/>
      <c r="G10791" s="326"/>
      <c r="H10791" s="326"/>
      <c r="P10791" s="318"/>
      <c r="Q10791" s="318"/>
      <c r="R10791" s="318"/>
      <c r="S10791" s="318"/>
      <c r="T10791" s="318"/>
      <c r="U10791" s="318"/>
      <c r="V10791" s="318"/>
      <c r="W10791" s="318"/>
      <c r="X10791" s="318"/>
      <c r="Y10791" s="318"/>
      <c r="Z10791" s="318"/>
      <c r="AA10791" s="318"/>
      <c r="AB10791" s="318"/>
      <c r="AC10791" s="318"/>
      <c r="AD10791" s="318"/>
    </row>
    <row r="10792" spans="2:30" s="323" customFormat="1" ht="12" customHeight="1">
      <c r="B10792" s="324"/>
      <c r="C10792" s="325"/>
      <c r="D10792" s="326"/>
      <c r="E10792" s="326"/>
      <c r="F10792" s="326"/>
      <c r="G10792" s="326"/>
      <c r="H10792" s="326"/>
      <c r="P10792" s="318"/>
      <c r="Q10792" s="318"/>
      <c r="R10792" s="318"/>
      <c r="S10792" s="318"/>
      <c r="T10792" s="318"/>
      <c r="U10792" s="318"/>
      <c r="V10792" s="318"/>
      <c r="W10792" s="318"/>
      <c r="X10792" s="318"/>
      <c r="Y10792" s="318"/>
      <c r="Z10792" s="318"/>
      <c r="AA10792" s="318"/>
      <c r="AB10792" s="318"/>
      <c r="AC10792" s="318"/>
      <c r="AD10792" s="318"/>
    </row>
    <row r="10793" spans="2:30" s="323" customFormat="1" ht="12" customHeight="1">
      <c r="B10793" s="324"/>
      <c r="C10793" s="325"/>
      <c r="D10793" s="326"/>
      <c r="E10793" s="326"/>
      <c r="F10793" s="326"/>
      <c r="G10793" s="326"/>
      <c r="H10793" s="326"/>
      <c r="P10793" s="318"/>
      <c r="Q10793" s="318"/>
      <c r="R10793" s="318"/>
      <c r="S10793" s="318"/>
      <c r="T10793" s="318"/>
      <c r="U10793" s="318"/>
      <c r="V10793" s="318"/>
      <c r="W10793" s="318"/>
      <c r="X10793" s="318"/>
      <c r="Y10793" s="318"/>
      <c r="Z10793" s="318"/>
      <c r="AA10793" s="318"/>
      <c r="AB10793" s="318"/>
      <c r="AC10793" s="318"/>
      <c r="AD10793" s="318"/>
    </row>
    <row r="10794" spans="2:30" s="323" customFormat="1" ht="12" customHeight="1">
      <c r="B10794" s="324"/>
      <c r="C10794" s="325"/>
      <c r="D10794" s="326"/>
      <c r="E10794" s="326"/>
      <c r="F10794" s="326"/>
      <c r="G10794" s="326"/>
      <c r="H10794" s="326"/>
      <c r="P10794" s="318"/>
      <c r="Q10794" s="318"/>
      <c r="R10794" s="318"/>
      <c r="S10794" s="318"/>
      <c r="T10794" s="318"/>
      <c r="U10794" s="318"/>
      <c r="V10794" s="318"/>
      <c r="W10794" s="318"/>
      <c r="X10794" s="318"/>
      <c r="Y10794" s="318"/>
      <c r="Z10794" s="318"/>
      <c r="AA10794" s="318"/>
      <c r="AB10794" s="318"/>
      <c r="AC10794" s="318"/>
      <c r="AD10794" s="318"/>
    </row>
    <row r="10795" spans="2:30" s="323" customFormat="1" ht="12" customHeight="1">
      <c r="B10795" s="324"/>
      <c r="C10795" s="325"/>
      <c r="D10795" s="326"/>
      <c r="E10795" s="326"/>
      <c r="F10795" s="326"/>
      <c r="G10795" s="326"/>
      <c r="H10795" s="326"/>
      <c r="P10795" s="318"/>
      <c r="Q10795" s="318"/>
      <c r="R10795" s="318"/>
      <c r="S10795" s="318"/>
      <c r="T10795" s="318"/>
      <c r="U10795" s="318"/>
      <c r="V10795" s="318"/>
      <c r="W10795" s="318"/>
      <c r="X10795" s="318"/>
      <c r="Y10795" s="318"/>
      <c r="Z10795" s="318"/>
      <c r="AA10795" s="318"/>
      <c r="AB10795" s="318"/>
      <c r="AC10795" s="318"/>
      <c r="AD10795" s="318"/>
    </row>
    <row r="10796" spans="2:30" s="323" customFormat="1" ht="12" customHeight="1">
      <c r="B10796" s="324"/>
      <c r="C10796" s="325"/>
      <c r="D10796" s="326"/>
      <c r="E10796" s="326"/>
      <c r="F10796" s="326"/>
      <c r="G10796" s="326"/>
      <c r="H10796" s="326"/>
      <c r="P10796" s="318"/>
      <c r="Q10796" s="318"/>
      <c r="R10796" s="318"/>
      <c r="S10796" s="318"/>
      <c r="T10796" s="318"/>
      <c r="U10796" s="318"/>
      <c r="V10796" s="318"/>
      <c r="W10796" s="318"/>
      <c r="X10796" s="318"/>
      <c r="Y10796" s="318"/>
      <c r="Z10796" s="318"/>
      <c r="AA10796" s="318"/>
      <c r="AB10796" s="318"/>
      <c r="AC10796" s="318"/>
      <c r="AD10796" s="318"/>
    </row>
    <row r="10797" spans="2:30" s="323" customFormat="1" ht="12" customHeight="1">
      <c r="B10797" s="324"/>
      <c r="C10797" s="325"/>
      <c r="D10797" s="326"/>
      <c r="E10797" s="326"/>
      <c r="F10797" s="326"/>
      <c r="G10797" s="326"/>
      <c r="H10797" s="326"/>
      <c r="P10797" s="318"/>
      <c r="Q10797" s="318"/>
      <c r="R10797" s="318"/>
      <c r="S10797" s="318"/>
      <c r="T10797" s="318"/>
      <c r="U10797" s="318"/>
      <c r="V10797" s="318"/>
      <c r="W10797" s="318"/>
      <c r="X10797" s="318"/>
      <c r="Y10797" s="318"/>
      <c r="Z10797" s="318"/>
      <c r="AA10797" s="318"/>
      <c r="AB10797" s="318"/>
      <c r="AC10797" s="318"/>
      <c r="AD10797" s="318"/>
    </row>
    <row r="10798" spans="2:30" s="323" customFormat="1" ht="12" customHeight="1">
      <c r="B10798" s="324"/>
      <c r="C10798" s="325"/>
      <c r="D10798" s="326"/>
      <c r="E10798" s="326"/>
      <c r="F10798" s="326"/>
      <c r="G10798" s="326"/>
      <c r="H10798" s="326"/>
      <c r="P10798" s="318"/>
      <c r="Q10798" s="318"/>
      <c r="R10798" s="318"/>
      <c r="S10798" s="318"/>
      <c r="T10798" s="318"/>
      <c r="U10798" s="318"/>
      <c r="V10798" s="318"/>
      <c r="W10798" s="318"/>
      <c r="X10798" s="318"/>
      <c r="Y10798" s="318"/>
      <c r="Z10798" s="318"/>
      <c r="AA10798" s="318"/>
      <c r="AB10798" s="318"/>
      <c r="AC10798" s="318"/>
      <c r="AD10798" s="318"/>
    </row>
    <row r="10799" spans="2:30" s="323" customFormat="1" ht="12" customHeight="1">
      <c r="B10799" s="324"/>
      <c r="C10799" s="325"/>
      <c r="D10799" s="326"/>
      <c r="E10799" s="326"/>
      <c r="F10799" s="326"/>
      <c r="G10799" s="326"/>
      <c r="H10799" s="326"/>
      <c r="P10799" s="318"/>
      <c r="Q10799" s="318"/>
      <c r="R10799" s="318"/>
      <c r="S10799" s="318"/>
      <c r="T10799" s="318"/>
      <c r="U10799" s="318"/>
      <c r="V10799" s="318"/>
      <c r="W10799" s="318"/>
      <c r="X10799" s="318"/>
      <c r="Y10799" s="318"/>
      <c r="Z10799" s="318"/>
      <c r="AA10799" s="318"/>
      <c r="AB10799" s="318"/>
      <c r="AC10799" s="318"/>
      <c r="AD10799" s="318"/>
    </row>
    <row r="10800" spans="2:30" s="323" customFormat="1" ht="12" customHeight="1">
      <c r="B10800" s="324"/>
      <c r="C10800" s="325"/>
      <c r="D10800" s="326"/>
      <c r="E10800" s="326"/>
      <c r="F10800" s="326"/>
      <c r="G10800" s="326"/>
      <c r="H10800" s="326"/>
      <c r="P10800" s="318"/>
      <c r="Q10800" s="318"/>
      <c r="R10800" s="318"/>
      <c r="S10800" s="318"/>
      <c r="T10800" s="318"/>
      <c r="U10800" s="318"/>
      <c r="V10800" s="318"/>
      <c r="W10800" s="318"/>
      <c r="X10800" s="318"/>
      <c r="Y10800" s="318"/>
      <c r="Z10800" s="318"/>
      <c r="AA10800" s="318"/>
      <c r="AB10800" s="318"/>
      <c r="AC10800" s="318"/>
      <c r="AD10800" s="318"/>
    </row>
    <row r="10801" spans="2:30" s="323" customFormat="1" ht="12" customHeight="1">
      <c r="B10801" s="324"/>
      <c r="C10801" s="325"/>
      <c r="D10801" s="326"/>
      <c r="E10801" s="326"/>
      <c r="F10801" s="326"/>
      <c r="G10801" s="326"/>
      <c r="H10801" s="326"/>
      <c r="P10801" s="318"/>
      <c r="Q10801" s="318"/>
      <c r="R10801" s="318"/>
      <c r="S10801" s="318"/>
      <c r="T10801" s="318"/>
      <c r="U10801" s="318"/>
      <c r="V10801" s="318"/>
      <c r="W10801" s="318"/>
      <c r="X10801" s="318"/>
      <c r="Y10801" s="318"/>
      <c r="Z10801" s="318"/>
      <c r="AA10801" s="318"/>
      <c r="AB10801" s="318"/>
      <c r="AC10801" s="318"/>
      <c r="AD10801" s="318"/>
    </row>
    <row r="10802" spans="2:30" s="323" customFormat="1" ht="12" customHeight="1">
      <c r="B10802" s="324"/>
      <c r="C10802" s="325"/>
      <c r="D10802" s="326"/>
      <c r="E10802" s="326"/>
      <c r="F10802" s="326"/>
      <c r="G10802" s="326"/>
      <c r="H10802" s="326"/>
      <c r="P10802" s="318"/>
      <c r="Q10802" s="318"/>
      <c r="R10802" s="318"/>
      <c r="S10802" s="318"/>
      <c r="T10802" s="318"/>
      <c r="U10802" s="318"/>
      <c r="V10802" s="318"/>
      <c r="W10802" s="318"/>
      <c r="X10802" s="318"/>
      <c r="Y10802" s="318"/>
      <c r="Z10802" s="318"/>
      <c r="AA10802" s="318"/>
      <c r="AB10802" s="318"/>
      <c r="AC10802" s="318"/>
      <c r="AD10802" s="318"/>
    </row>
    <row r="10803" spans="2:30" s="323" customFormat="1" ht="12" customHeight="1">
      <c r="B10803" s="324"/>
      <c r="C10803" s="325"/>
      <c r="D10803" s="326"/>
      <c r="E10803" s="326"/>
      <c r="F10803" s="326"/>
      <c r="G10803" s="326"/>
      <c r="H10803" s="326"/>
      <c r="P10803" s="318"/>
      <c r="Q10803" s="318"/>
      <c r="R10803" s="318"/>
      <c r="S10803" s="318"/>
      <c r="T10803" s="318"/>
      <c r="U10803" s="318"/>
      <c r="V10803" s="318"/>
      <c r="W10803" s="318"/>
      <c r="X10803" s="318"/>
      <c r="Y10803" s="318"/>
      <c r="Z10803" s="318"/>
      <c r="AA10803" s="318"/>
      <c r="AB10803" s="318"/>
      <c r="AC10803" s="318"/>
      <c r="AD10803" s="318"/>
    </row>
    <row r="10804" spans="2:30" s="323" customFormat="1" ht="12" customHeight="1">
      <c r="B10804" s="324"/>
      <c r="C10804" s="325"/>
      <c r="D10804" s="326"/>
      <c r="E10804" s="326"/>
      <c r="F10804" s="326"/>
      <c r="G10804" s="326"/>
      <c r="H10804" s="326"/>
      <c r="P10804" s="318"/>
      <c r="Q10804" s="318"/>
      <c r="R10804" s="318"/>
      <c r="S10804" s="318"/>
      <c r="T10804" s="318"/>
      <c r="U10804" s="318"/>
      <c r="V10804" s="318"/>
      <c r="W10804" s="318"/>
      <c r="X10804" s="318"/>
      <c r="Y10804" s="318"/>
      <c r="Z10804" s="318"/>
      <c r="AA10804" s="318"/>
      <c r="AB10804" s="318"/>
      <c r="AC10804" s="318"/>
      <c r="AD10804" s="318"/>
    </row>
    <row r="10805" spans="2:30" s="323" customFormat="1" ht="12" customHeight="1">
      <c r="B10805" s="324"/>
      <c r="C10805" s="325"/>
      <c r="D10805" s="326"/>
      <c r="E10805" s="326"/>
      <c r="F10805" s="326"/>
      <c r="G10805" s="326"/>
      <c r="H10805" s="326"/>
      <c r="P10805" s="318"/>
      <c r="Q10805" s="318"/>
      <c r="R10805" s="318"/>
      <c r="S10805" s="318"/>
      <c r="T10805" s="318"/>
      <c r="U10805" s="318"/>
      <c r="V10805" s="318"/>
      <c r="W10805" s="318"/>
      <c r="X10805" s="318"/>
      <c r="Y10805" s="318"/>
      <c r="Z10805" s="318"/>
      <c r="AA10805" s="318"/>
      <c r="AB10805" s="318"/>
      <c r="AC10805" s="318"/>
      <c r="AD10805" s="318"/>
    </row>
    <row r="10806" spans="2:30" s="323" customFormat="1" ht="12" customHeight="1">
      <c r="B10806" s="324"/>
      <c r="C10806" s="325"/>
      <c r="D10806" s="326"/>
      <c r="E10806" s="326"/>
      <c r="F10806" s="326"/>
      <c r="G10806" s="326"/>
      <c r="H10806" s="326"/>
      <c r="P10806" s="318"/>
      <c r="Q10806" s="318"/>
      <c r="R10806" s="318"/>
      <c r="S10806" s="318"/>
      <c r="T10806" s="318"/>
      <c r="U10806" s="318"/>
      <c r="V10806" s="318"/>
      <c r="W10806" s="318"/>
      <c r="X10806" s="318"/>
      <c r="Y10806" s="318"/>
      <c r="Z10806" s="318"/>
      <c r="AA10806" s="318"/>
      <c r="AB10806" s="318"/>
      <c r="AC10806" s="318"/>
      <c r="AD10806" s="318"/>
    </row>
    <row r="10807" spans="2:30" s="323" customFormat="1" ht="12" customHeight="1">
      <c r="B10807" s="324"/>
      <c r="C10807" s="325"/>
      <c r="D10807" s="326"/>
      <c r="E10807" s="326"/>
      <c r="F10807" s="326"/>
      <c r="G10807" s="326"/>
      <c r="H10807" s="326"/>
      <c r="P10807" s="318"/>
      <c r="Q10807" s="318"/>
      <c r="R10807" s="318"/>
      <c r="S10807" s="318"/>
      <c r="T10807" s="318"/>
      <c r="U10807" s="318"/>
      <c r="V10807" s="318"/>
      <c r="W10807" s="318"/>
      <c r="X10807" s="318"/>
      <c r="Y10807" s="318"/>
      <c r="Z10807" s="318"/>
      <c r="AA10807" s="318"/>
      <c r="AB10807" s="318"/>
      <c r="AC10807" s="318"/>
      <c r="AD10807" s="318"/>
    </row>
    <row r="10808" spans="2:30" s="323" customFormat="1" ht="12" customHeight="1">
      <c r="B10808" s="324"/>
      <c r="C10808" s="325"/>
      <c r="D10808" s="326"/>
      <c r="E10808" s="326"/>
      <c r="F10808" s="326"/>
      <c r="G10808" s="326"/>
      <c r="H10808" s="326"/>
      <c r="P10808" s="318"/>
      <c r="Q10808" s="318"/>
      <c r="R10808" s="318"/>
      <c r="S10808" s="318"/>
      <c r="T10808" s="318"/>
      <c r="U10808" s="318"/>
      <c r="V10808" s="318"/>
      <c r="W10808" s="318"/>
      <c r="X10808" s="318"/>
      <c r="Y10808" s="318"/>
      <c r="Z10808" s="318"/>
      <c r="AA10808" s="318"/>
      <c r="AB10808" s="318"/>
      <c r="AC10808" s="318"/>
      <c r="AD10808" s="318"/>
    </row>
    <row r="10809" spans="2:30" s="323" customFormat="1" ht="12" customHeight="1">
      <c r="B10809" s="324"/>
      <c r="C10809" s="325"/>
      <c r="D10809" s="326"/>
      <c r="E10809" s="326"/>
      <c r="F10809" s="326"/>
      <c r="G10809" s="326"/>
      <c r="H10809" s="326"/>
      <c r="P10809" s="318"/>
      <c r="Q10809" s="318"/>
      <c r="R10809" s="318"/>
      <c r="S10809" s="318"/>
      <c r="T10809" s="318"/>
      <c r="U10809" s="318"/>
      <c r="V10809" s="318"/>
      <c r="W10809" s="318"/>
      <c r="X10809" s="318"/>
      <c r="Y10809" s="318"/>
      <c r="Z10809" s="318"/>
      <c r="AA10809" s="318"/>
      <c r="AB10809" s="318"/>
      <c r="AC10809" s="318"/>
      <c r="AD10809" s="318"/>
    </row>
    <row r="10810" spans="2:30" s="323" customFormat="1" ht="12" customHeight="1">
      <c r="B10810" s="324"/>
      <c r="C10810" s="325"/>
      <c r="D10810" s="326"/>
      <c r="E10810" s="326"/>
      <c r="F10810" s="326"/>
      <c r="G10810" s="326"/>
      <c r="H10810" s="326"/>
      <c r="P10810" s="318"/>
      <c r="Q10810" s="318"/>
      <c r="R10810" s="318"/>
      <c r="S10810" s="318"/>
      <c r="T10810" s="318"/>
      <c r="U10810" s="318"/>
      <c r="V10810" s="318"/>
      <c r="W10810" s="318"/>
      <c r="X10810" s="318"/>
      <c r="Y10810" s="318"/>
      <c r="Z10810" s="318"/>
      <c r="AA10810" s="318"/>
      <c r="AB10810" s="318"/>
      <c r="AC10810" s="318"/>
      <c r="AD10810" s="318"/>
    </row>
    <row r="10811" spans="2:30" s="323" customFormat="1" ht="12" customHeight="1">
      <c r="B10811" s="324"/>
      <c r="C10811" s="325"/>
      <c r="D10811" s="326"/>
      <c r="E10811" s="326"/>
      <c r="F10811" s="326"/>
      <c r="G10811" s="326"/>
      <c r="H10811" s="326"/>
      <c r="P10811" s="318"/>
      <c r="Q10811" s="318"/>
      <c r="R10811" s="318"/>
      <c r="S10811" s="318"/>
      <c r="T10811" s="318"/>
      <c r="U10811" s="318"/>
      <c r="V10811" s="318"/>
      <c r="W10811" s="318"/>
      <c r="X10811" s="318"/>
      <c r="Y10811" s="318"/>
      <c r="Z10811" s="318"/>
      <c r="AA10811" s="318"/>
      <c r="AB10811" s="318"/>
      <c r="AC10811" s="318"/>
      <c r="AD10811" s="318"/>
    </row>
    <row r="10812" spans="2:30" s="323" customFormat="1" ht="12" customHeight="1">
      <c r="B10812" s="324"/>
      <c r="C10812" s="325"/>
      <c r="D10812" s="326"/>
      <c r="E10812" s="326"/>
      <c r="F10812" s="326"/>
      <c r="G10812" s="326"/>
      <c r="H10812" s="326"/>
      <c r="P10812" s="318"/>
      <c r="Q10812" s="318"/>
      <c r="R10812" s="318"/>
      <c r="S10812" s="318"/>
      <c r="T10812" s="318"/>
      <c r="U10812" s="318"/>
      <c r="V10812" s="318"/>
      <c r="W10812" s="318"/>
      <c r="X10812" s="318"/>
      <c r="Y10812" s="318"/>
      <c r="Z10812" s="318"/>
      <c r="AA10812" s="318"/>
      <c r="AB10812" s="318"/>
      <c r="AC10812" s="318"/>
      <c r="AD10812" s="318"/>
    </row>
    <row r="10813" spans="2:30" s="323" customFormat="1" ht="12" customHeight="1">
      <c r="B10813" s="324"/>
      <c r="C10813" s="325"/>
      <c r="D10813" s="326"/>
      <c r="E10813" s="326"/>
      <c r="F10813" s="326"/>
      <c r="G10813" s="326"/>
      <c r="H10813" s="326"/>
      <c r="P10813" s="318"/>
      <c r="Q10813" s="318"/>
      <c r="R10813" s="318"/>
      <c r="S10813" s="318"/>
      <c r="T10813" s="318"/>
      <c r="U10813" s="318"/>
      <c r="V10813" s="318"/>
      <c r="W10813" s="318"/>
      <c r="X10813" s="318"/>
      <c r="Y10813" s="318"/>
      <c r="Z10813" s="318"/>
      <c r="AA10813" s="318"/>
      <c r="AB10813" s="318"/>
      <c r="AC10813" s="318"/>
      <c r="AD10813" s="318"/>
    </row>
    <row r="10814" spans="2:30" s="323" customFormat="1" ht="12" customHeight="1">
      <c r="B10814" s="324"/>
      <c r="C10814" s="325"/>
      <c r="D10814" s="326"/>
      <c r="E10814" s="326"/>
      <c r="F10814" s="326"/>
      <c r="G10814" s="326"/>
      <c r="H10814" s="326"/>
      <c r="P10814" s="318"/>
      <c r="Q10814" s="318"/>
      <c r="R10814" s="318"/>
      <c r="S10814" s="318"/>
      <c r="T10814" s="318"/>
      <c r="U10814" s="318"/>
      <c r="V10814" s="318"/>
      <c r="W10814" s="318"/>
      <c r="X10814" s="318"/>
      <c r="Y10814" s="318"/>
      <c r="Z10814" s="318"/>
      <c r="AA10814" s="318"/>
      <c r="AB10814" s="318"/>
      <c r="AC10814" s="318"/>
      <c r="AD10814" s="318"/>
    </row>
    <row r="10815" spans="2:30" s="323" customFormat="1" ht="12" customHeight="1">
      <c r="B10815" s="324"/>
      <c r="C10815" s="325"/>
      <c r="D10815" s="326"/>
      <c r="E10815" s="326"/>
      <c r="F10815" s="326"/>
      <c r="G10815" s="326"/>
      <c r="H10815" s="326"/>
      <c r="P10815" s="318"/>
      <c r="Q10815" s="318"/>
      <c r="R10815" s="318"/>
      <c r="S10815" s="318"/>
      <c r="T10815" s="318"/>
      <c r="U10815" s="318"/>
      <c r="V10815" s="318"/>
      <c r="W10815" s="318"/>
      <c r="X10815" s="318"/>
      <c r="Y10815" s="318"/>
      <c r="Z10815" s="318"/>
      <c r="AA10815" s="318"/>
      <c r="AB10815" s="318"/>
      <c r="AC10815" s="318"/>
      <c r="AD10815" s="318"/>
    </row>
    <row r="10816" spans="2:30" s="323" customFormat="1" ht="12" customHeight="1">
      <c r="B10816" s="324"/>
      <c r="C10816" s="325"/>
      <c r="D10816" s="326"/>
      <c r="E10816" s="326"/>
      <c r="F10816" s="326"/>
      <c r="G10816" s="326"/>
      <c r="H10816" s="326"/>
      <c r="P10816" s="318"/>
      <c r="Q10816" s="318"/>
      <c r="R10816" s="318"/>
      <c r="S10816" s="318"/>
      <c r="T10816" s="318"/>
      <c r="U10816" s="318"/>
      <c r="V10816" s="318"/>
      <c r="W10816" s="318"/>
      <c r="X10816" s="318"/>
      <c r="Y10816" s="318"/>
      <c r="Z10816" s="318"/>
      <c r="AA10816" s="318"/>
      <c r="AB10816" s="318"/>
      <c r="AC10816" s="318"/>
      <c r="AD10816" s="318"/>
    </row>
    <row r="10817" spans="2:30" s="323" customFormat="1" ht="12" customHeight="1">
      <c r="B10817" s="324"/>
      <c r="C10817" s="325"/>
      <c r="D10817" s="326"/>
      <c r="E10817" s="326"/>
      <c r="F10817" s="326"/>
      <c r="G10817" s="326"/>
      <c r="H10817" s="326"/>
      <c r="P10817" s="318"/>
      <c r="Q10817" s="318"/>
      <c r="R10817" s="318"/>
      <c r="S10817" s="318"/>
      <c r="T10817" s="318"/>
      <c r="U10817" s="318"/>
      <c r="V10817" s="318"/>
      <c r="W10817" s="318"/>
      <c r="X10817" s="318"/>
      <c r="Y10817" s="318"/>
      <c r="Z10817" s="318"/>
      <c r="AA10817" s="318"/>
      <c r="AB10817" s="318"/>
      <c r="AC10817" s="318"/>
      <c r="AD10817" s="318"/>
    </row>
    <row r="10818" spans="2:30" s="323" customFormat="1" ht="12" customHeight="1">
      <c r="B10818" s="324"/>
      <c r="C10818" s="325"/>
      <c r="D10818" s="326"/>
      <c r="E10818" s="326"/>
      <c r="F10818" s="326"/>
      <c r="G10818" s="326"/>
      <c r="H10818" s="326"/>
      <c r="P10818" s="318"/>
      <c r="Q10818" s="318"/>
      <c r="R10818" s="318"/>
      <c r="S10818" s="318"/>
      <c r="T10818" s="318"/>
      <c r="U10818" s="318"/>
      <c r="V10818" s="318"/>
      <c r="W10818" s="318"/>
      <c r="X10818" s="318"/>
      <c r="Y10818" s="318"/>
      <c r="Z10818" s="318"/>
      <c r="AA10818" s="318"/>
      <c r="AB10818" s="318"/>
      <c r="AC10818" s="318"/>
      <c r="AD10818" s="318"/>
    </row>
    <row r="10819" spans="2:30" s="323" customFormat="1" ht="12" customHeight="1">
      <c r="B10819" s="324"/>
      <c r="C10819" s="325"/>
      <c r="D10819" s="326"/>
      <c r="E10819" s="326"/>
      <c r="F10819" s="326"/>
      <c r="G10819" s="326"/>
      <c r="H10819" s="326"/>
      <c r="P10819" s="318"/>
      <c r="Q10819" s="318"/>
      <c r="R10819" s="318"/>
      <c r="S10819" s="318"/>
      <c r="T10819" s="318"/>
      <c r="U10819" s="318"/>
      <c r="V10819" s="318"/>
      <c r="W10819" s="318"/>
      <c r="X10819" s="318"/>
      <c r="Y10819" s="318"/>
      <c r="Z10819" s="318"/>
      <c r="AA10819" s="318"/>
      <c r="AB10819" s="318"/>
      <c r="AC10819" s="318"/>
      <c r="AD10819" s="318"/>
    </row>
    <row r="10820" spans="2:30" s="323" customFormat="1" ht="12" customHeight="1">
      <c r="B10820" s="324"/>
      <c r="C10820" s="325"/>
      <c r="D10820" s="326"/>
      <c r="E10820" s="326"/>
      <c r="F10820" s="326"/>
      <c r="G10820" s="326"/>
      <c r="H10820" s="326"/>
      <c r="P10820" s="318"/>
      <c r="Q10820" s="318"/>
      <c r="R10820" s="318"/>
      <c r="S10820" s="318"/>
      <c r="T10820" s="318"/>
      <c r="U10820" s="318"/>
      <c r="V10820" s="318"/>
      <c r="W10820" s="318"/>
      <c r="X10820" s="318"/>
      <c r="Y10820" s="318"/>
      <c r="Z10820" s="318"/>
      <c r="AA10820" s="318"/>
      <c r="AB10820" s="318"/>
      <c r="AC10820" s="318"/>
      <c r="AD10820" s="318"/>
    </row>
    <row r="10821" spans="2:30" s="323" customFormat="1" ht="12" customHeight="1">
      <c r="B10821" s="324"/>
      <c r="C10821" s="325"/>
      <c r="D10821" s="326"/>
      <c r="E10821" s="326"/>
      <c r="F10821" s="326"/>
      <c r="G10821" s="326"/>
      <c r="H10821" s="326"/>
      <c r="P10821" s="318"/>
      <c r="Q10821" s="318"/>
      <c r="R10821" s="318"/>
      <c r="S10821" s="318"/>
      <c r="T10821" s="318"/>
      <c r="U10821" s="318"/>
      <c r="V10821" s="318"/>
      <c r="W10821" s="318"/>
      <c r="X10821" s="318"/>
      <c r="Y10821" s="318"/>
      <c r="Z10821" s="318"/>
      <c r="AA10821" s="318"/>
      <c r="AB10821" s="318"/>
      <c r="AC10821" s="318"/>
      <c r="AD10821" s="318"/>
    </row>
    <row r="10822" spans="2:30" s="323" customFormat="1" ht="12" customHeight="1">
      <c r="B10822" s="324"/>
      <c r="C10822" s="325"/>
      <c r="D10822" s="326"/>
      <c r="E10822" s="326"/>
      <c r="F10822" s="326"/>
      <c r="G10822" s="326"/>
      <c r="H10822" s="326"/>
      <c r="P10822" s="318"/>
      <c r="Q10822" s="318"/>
      <c r="R10822" s="318"/>
      <c r="S10822" s="318"/>
      <c r="T10822" s="318"/>
      <c r="U10822" s="318"/>
      <c r="V10822" s="318"/>
      <c r="W10822" s="318"/>
      <c r="X10822" s="318"/>
      <c r="Y10822" s="318"/>
      <c r="Z10822" s="318"/>
      <c r="AA10822" s="318"/>
      <c r="AB10822" s="318"/>
      <c r="AC10822" s="318"/>
      <c r="AD10822" s="318"/>
    </row>
    <row r="10823" spans="2:30" s="323" customFormat="1" ht="12" customHeight="1">
      <c r="B10823" s="324"/>
      <c r="C10823" s="325"/>
      <c r="D10823" s="326"/>
      <c r="E10823" s="326"/>
      <c r="F10823" s="326"/>
      <c r="G10823" s="326"/>
      <c r="H10823" s="326"/>
      <c r="P10823" s="318"/>
      <c r="Q10823" s="318"/>
      <c r="R10823" s="318"/>
      <c r="S10823" s="318"/>
      <c r="T10823" s="318"/>
      <c r="U10823" s="318"/>
      <c r="V10823" s="318"/>
      <c r="W10823" s="318"/>
      <c r="X10823" s="318"/>
      <c r="Y10823" s="318"/>
      <c r="Z10823" s="318"/>
      <c r="AA10823" s="318"/>
      <c r="AB10823" s="318"/>
      <c r="AC10823" s="318"/>
      <c r="AD10823" s="318"/>
    </row>
    <row r="10824" spans="2:30" s="323" customFormat="1" ht="12" customHeight="1">
      <c r="B10824" s="324"/>
      <c r="C10824" s="325"/>
      <c r="D10824" s="326"/>
      <c r="E10824" s="326"/>
      <c r="F10824" s="326"/>
      <c r="G10824" s="326"/>
      <c r="H10824" s="326"/>
      <c r="P10824" s="318"/>
      <c r="Q10824" s="318"/>
      <c r="R10824" s="318"/>
      <c r="S10824" s="318"/>
      <c r="T10824" s="318"/>
      <c r="U10824" s="318"/>
      <c r="V10824" s="318"/>
      <c r="W10824" s="318"/>
      <c r="X10824" s="318"/>
      <c r="Y10824" s="318"/>
      <c r="Z10824" s="318"/>
      <c r="AA10824" s="318"/>
      <c r="AB10824" s="318"/>
      <c r="AC10824" s="318"/>
      <c r="AD10824" s="318"/>
    </row>
    <row r="10825" spans="2:30" s="323" customFormat="1" ht="12" customHeight="1">
      <c r="B10825" s="324"/>
      <c r="C10825" s="325"/>
      <c r="D10825" s="326"/>
      <c r="E10825" s="326"/>
      <c r="F10825" s="326"/>
      <c r="G10825" s="326"/>
      <c r="H10825" s="326"/>
      <c r="P10825" s="318"/>
      <c r="Q10825" s="318"/>
      <c r="R10825" s="318"/>
      <c r="S10825" s="318"/>
      <c r="T10825" s="318"/>
      <c r="U10825" s="318"/>
      <c r="V10825" s="318"/>
      <c r="W10825" s="318"/>
      <c r="X10825" s="318"/>
      <c r="Y10825" s="318"/>
      <c r="Z10825" s="318"/>
      <c r="AA10825" s="318"/>
      <c r="AB10825" s="318"/>
      <c r="AC10825" s="318"/>
      <c r="AD10825" s="318"/>
    </row>
    <row r="10826" spans="2:30" s="323" customFormat="1" ht="12" customHeight="1">
      <c r="B10826" s="324"/>
      <c r="C10826" s="325"/>
      <c r="D10826" s="326"/>
      <c r="E10826" s="326"/>
      <c r="F10826" s="326"/>
      <c r="G10826" s="326"/>
      <c r="H10826" s="326"/>
      <c r="P10826" s="318"/>
      <c r="Q10826" s="318"/>
      <c r="R10826" s="318"/>
      <c r="S10826" s="318"/>
      <c r="T10826" s="318"/>
      <c r="U10826" s="318"/>
      <c r="V10826" s="318"/>
      <c r="W10826" s="318"/>
      <c r="X10826" s="318"/>
      <c r="Y10826" s="318"/>
      <c r="Z10826" s="318"/>
      <c r="AA10826" s="318"/>
      <c r="AB10826" s="318"/>
      <c r="AC10826" s="318"/>
      <c r="AD10826" s="318"/>
    </row>
    <row r="10827" spans="2:30" s="323" customFormat="1" ht="12" customHeight="1">
      <c r="B10827" s="324"/>
      <c r="C10827" s="325"/>
      <c r="D10827" s="326"/>
      <c r="E10827" s="326"/>
      <c r="F10827" s="326"/>
      <c r="G10827" s="326"/>
      <c r="H10827" s="326"/>
      <c r="P10827" s="318"/>
      <c r="Q10827" s="318"/>
      <c r="R10827" s="318"/>
      <c r="S10827" s="318"/>
      <c r="T10827" s="318"/>
      <c r="U10827" s="318"/>
      <c r="V10827" s="318"/>
      <c r="W10827" s="318"/>
      <c r="X10827" s="318"/>
      <c r="Y10827" s="318"/>
      <c r="Z10827" s="318"/>
      <c r="AA10827" s="318"/>
      <c r="AB10827" s="318"/>
      <c r="AC10827" s="318"/>
      <c r="AD10827" s="318"/>
    </row>
    <row r="10828" spans="2:30" s="323" customFormat="1" ht="12" customHeight="1">
      <c r="B10828" s="324"/>
      <c r="C10828" s="325"/>
      <c r="D10828" s="326"/>
      <c r="E10828" s="326"/>
      <c r="F10828" s="326"/>
      <c r="G10828" s="326"/>
      <c r="H10828" s="326"/>
      <c r="P10828" s="318"/>
      <c r="Q10828" s="318"/>
      <c r="R10828" s="318"/>
      <c r="S10828" s="318"/>
      <c r="T10828" s="318"/>
      <c r="U10828" s="318"/>
      <c r="V10828" s="318"/>
      <c r="W10828" s="318"/>
      <c r="X10828" s="318"/>
      <c r="Y10828" s="318"/>
      <c r="Z10828" s="318"/>
      <c r="AA10828" s="318"/>
      <c r="AB10828" s="318"/>
      <c r="AC10828" s="318"/>
      <c r="AD10828" s="318"/>
    </row>
    <row r="10829" spans="2:30" s="323" customFormat="1" ht="12" customHeight="1">
      <c r="B10829" s="324"/>
      <c r="C10829" s="325"/>
      <c r="D10829" s="326"/>
      <c r="E10829" s="326"/>
      <c r="F10829" s="326"/>
      <c r="G10829" s="326"/>
      <c r="H10829" s="326"/>
      <c r="P10829" s="318"/>
      <c r="Q10829" s="318"/>
      <c r="R10829" s="318"/>
      <c r="S10829" s="318"/>
      <c r="T10829" s="318"/>
      <c r="U10829" s="318"/>
      <c r="V10829" s="318"/>
      <c r="W10829" s="318"/>
      <c r="X10829" s="318"/>
      <c r="Y10829" s="318"/>
      <c r="Z10829" s="318"/>
      <c r="AA10829" s="318"/>
      <c r="AB10829" s="318"/>
      <c r="AC10829" s="318"/>
      <c r="AD10829" s="318"/>
    </row>
    <row r="10830" spans="2:30" s="323" customFormat="1" ht="12" customHeight="1">
      <c r="B10830" s="324"/>
      <c r="C10830" s="325"/>
      <c r="D10830" s="326"/>
      <c r="E10830" s="326"/>
      <c r="F10830" s="326"/>
      <c r="G10830" s="326"/>
      <c r="H10830" s="326"/>
      <c r="P10830" s="318"/>
      <c r="Q10830" s="318"/>
      <c r="R10830" s="318"/>
      <c r="S10830" s="318"/>
      <c r="T10830" s="318"/>
      <c r="U10830" s="318"/>
      <c r="V10830" s="318"/>
      <c r="W10830" s="318"/>
      <c r="X10830" s="318"/>
      <c r="Y10830" s="318"/>
      <c r="Z10830" s="318"/>
      <c r="AA10830" s="318"/>
      <c r="AB10830" s="318"/>
      <c r="AC10830" s="318"/>
      <c r="AD10830" s="318"/>
    </row>
    <row r="10831" spans="2:30" s="323" customFormat="1" ht="12" customHeight="1">
      <c r="B10831" s="324"/>
      <c r="C10831" s="325"/>
      <c r="D10831" s="326"/>
      <c r="E10831" s="326"/>
      <c r="F10831" s="326"/>
      <c r="G10831" s="326"/>
      <c r="H10831" s="326"/>
      <c r="P10831" s="318"/>
      <c r="Q10831" s="318"/>
      <c r="R10831" s="318"/>
      <c r="S10831" s="318"/>
      <c r="T10831" s="318"/>
      <c r="U10831" s="318"/>
      <c r="V10831" s="318"/>
      <c r="W10831" s="318"/>
      <c r="X10831" s="318"/>
      <c r="Y10831" s="318"/>
      <c r="Z10831" s="318"/>
      <c r="AA10831" s="318"/>
      <c r="AB10831" s="318"/>
      <c r="AC10831" s="318"/>
      <c r="AD10831" s="318"/>
    </row>
    <row r="10832" spans="2:30" s="323" customFormat="1" ht="12" customHeight="1">
      <c r="B10832" s="324"/>
      <c r="C10832" s="325"/>
      <c r="D10832" s="326"/>
      <c r="E10832" s="326"/>
      <c r="F10832" s="326"/>
      <c r="G10832" s="326"/>
      <c r="H10832" s="326"/>
      <c r="P10832" s="318"/>
      <c r="Q10832" s="318"/>
      <c r="R10832" s="318"/>
      <c r="S10832" s="318"/>
      <c r="T10832" s="318"/>
      <c r="U10832" s="318"/>
      <c r="V10832" s="318"/>
      <c r="W10832" s="318"/>
      <c r="X10832" s="318"/>
      <c r="Y10832" s="318"/>
      <c r="Z10832" s="318"/>
      <c r="AA10832" s="318"/>
      <c r="AB10832" s="318"/>
      <c r="AC10832" s="318"/>
      <c r="AD10832" s="318"/>
    </row>
    <row r="10833" spans="2:30" s="323" customFormat="1" ht="12" customHeight="1">
      <c r="B10833" s="324"/>
      <c r="C10833" s="325"/>
      <c r="D10833" s="326"/>
      <c r="E10833" s="326"/>
      <c r="F10833" s="326"/>
      <c r="G10833" s="326"/>
      <c r="H10833" s="326"/>
      <c r="P10833" s="318"/>
      <c r="Q10833" s="318"/>
      <c r="R10833" s="318"/>
      <c r="S10833" s="318"/>
      <c r="T10833" s="318"/>
      <c r="U10833" s="318"/>
      <c r="V10833" s="318"/>
      <c r="W10833" s="318"/>
      <c r="X10833" s="318"/>
      <c r="Y10833" s="318"/>
      <c r="Z10833" s="318"/>
      <c r="AA10833" s="318"/>
      <c r="AB10833" s="318"/>
      <c r="AC10833" s="318"/>
      <c r="AD10833" s="318"/>
    </row>
    <row r="10834" spans="2:30" s="323" customFormat="1" ht="12" customHeight="1">
      <c r="B10834" s="324"/>
      <c r="C10834" s="325"/>
      <c r="D10834" s="326"/>
      <c r="E10834" s="326"/>
      <c r="F10834" s="326"/>
      <c r="G10834" s="326"/>
      <c r="H10834" s="326"/>
      <c r="P10834" s="318"/>
      <c r="Q10834" s="318"/>
      <c r="R10834" s="318"/>
      <c r="S10834" s="318"/>
      <c r="T10834" s="318"/>
      <c r="U10834" s="318"/>
      <c r="V10834" s="318"/>
      <c r="W10834" s="318"/>
      <c r="X10834" s="318"/>
      <c r="Y10834" s="318"/>
      <c r="Z10834" s="318"/>
      <c r="AA10834" s="318"/>
      <c r="AB10834" s="318"/>
      <c r="AC10834" s="318"/>
      <c r="AD10834" s="318"/>
    </row>
    <row r="10835" spans="2:30" s="323" customFormat="1" ht="12" customHeight="1">
      <c r="B10835" s="324"/>
      <c r="C10835" s="325"/>
      <c r="D10835" s="326"/>
      <c r="E10835" s="326"/>
      <c r="F10835" s="326"/>
      <c r="G10835" s="326"/>
      <c r="H10835" s="326"/>
      <c r="P10835" s="318"/>
      <c r="Q10835" s="318"/>
      <c r="R10835" s="318"/>
      <c r="S10835" s="318"/>
      <c r="T10835" s="318"/>
      <c r="U10835" s="318"/>
      <c r="V10835" s="318"/>
      <c r="W10835" s="318"/>
      <c r="X10835" s="318"/>
      <c r="Y10835" s="318"/>
      <c r="Z10835" s="318"/>
      <c r="AA10835" s="318"/>
      <c r="AB10835" s="318"/>
      <c r="AC10835" s="318"/>
      <c r="AD10835" s="318"/>
    </row>
    <row r="10836" spans="2:30" s="323" customFormat="1" ht="12" customHeight="1">
      <c r="B10836" s="324"/>
      <c r="C10836" s="325"/>
      <c r="D10836" s="326"/>
      <c r="E10836" s="326"/>
      <c r="F10836" s="326"/>
      <c r="G10836" s="326"/>
      <c r="H10836" s="326"/>
      <c r="P10836" s="318"/>
      <c r="Q10836" s="318"/>
      <c r="R10836" s="318"/>
      <c r="S10836" s="318"/>
      <c r="T10836" s="318"/>
      <c r="U10836" s="318"/>
      <c r="V10836" s="318"/>
      <c r="W10836" s="318"/>
      <c r="X10836" s="318"/>
      <c r="Y10836" s="318"/>
      <c r="Z10836" s="318"/>
      <c r="AA10836" s="318"/>
      <c r="AB10836" s="318"/>
      <c r="AC10836" s="318"/>
      <c r="AD10836" s="318"/>
    </row>
    <row r="10837" spans="2:30" s="323" customFormat="1" ht="12" customHeight="1">
      <c r="B10837" s="324"/>
      <c r="C10837" s="325"/>
      <c r="D10837" s="326"/>
      <c r="E10837" s="326"/>
      <c r="F10837" s="326"/>
      <c r="G10837" s="326"/>
      <c r="H10837" s="326"/>
      <c r="P10837" s="318"/>
      <c r="Q10837" s="318"/>
      <c r="R10837" s="318"/>
      <c r="S10837" s="318"/>
      <c r="T10837" s="318"/>
      <c r="U10837" s="318"/>
      <c r="V10837" s="318"/>
      <c r="W10837" s="318"/>
      <c r="X10837" s="318"/>
      <c r="Y10837" s="318"/>
      <c r="Z10837" s="318"/>
      <c r="AA10837" s="318"/>
      <c r="AB10837" s="318"/>
      <c r="AC10837" s="318"/>
      <c r="AD10837" s="318"/>
    </row>
    <row r="10838" spans="2:30" s="323" customFormat="1" ht="12" customHeight="1">
      <c r="B10838" s="324"/>
      <c r="C10838" s="325"/>
      <c r="D10838" s="326"/>
      <c r="E10838" s="326"/>
      <c r="F10838" s="326"/>
      <c r="G10838" s="326"/>
      <c r="H10838" s="326"/>
      <c r="P10838" s="318"/>
      <c r="Q10838" s="318"/>
      <c r="R10838" s="318"/>
      <c r="S10838" s="318"/>
      <c r="T10838" s="318"/>
      <c r="U10838" s="318"/>
      <c r="V10838" s="318"/>
      <c r="W10838" s="318"/>
      <c r="X10838" s="318"/>
      <c r="Y10838" s="318"/>
      <c r="Z10838" s="318"/>
      <c r="AA10838" s="318"/>
      <c r="AB10838" s="318"/>
      <c r="AC10838" s="318"/>
      <c r="AD10838" s="318"/>
    </row>
    <row r="10839" spans="2:30" s="323" customFormat="1" ht="12" customHeight="1">
      <c r="B10839" s="324"/>
      <c r="C10839" s="325"/>
      <c r="D10839" s="326"/>
      <c r="E10839" s="326"/>
      <c r="F10839" s="326"/>
      <c r="G10839" s="326"/>
      <c r="H10839" s="326"/>
      <c r="P10839" s="318"/>
      <c r="Q10839" s="318"/>
      <c r="R10839" s="318"/>
      <c r="S10839" s="318"/>
      <c r="T10839" s="318"/>
      <c r="U10839" s="318"/>
      <c r="V10839" s="318"/>
      <c r="W10839" s="318"/>
      <c r="X10839" s="318"/>
      <c r="Y10839" s="318"/>
      <c r="Z10839" s="318"/>
      <c r="AA10839" s="318"/>
      <c r="AB10839" s="318"/>
      <c r="AC10839" s="318"/>
      <c r="AD10839" s="318"/>
    </row>
    <row r="10840" spans="2:30" s="323" customFormat="1" ht="12" customHeight="1">
      <c r="B10840" s="324"/>
      <c r="C10840" s="325"/>
      <c r="D10840" s="326"/>
      <c r="E10840" s="326"/>
      <c r="F10840" s="326"/>
      <c r="G10840" s="326"/>
      <c r="H10840" s="326"/>
      <c r="P10840" s="318"/>
      <c r="Q10840" s="318"/>
      <c r="R10840" s="318"/>
      <c r="S10840" s="318"/>
      <c r="T10840" s="318"/>
      <c r="U10840" s="318"/>
      <c r="V10840" s="318"/>
      <c r="W10840" s="318"/>
      <c r="X10840" s="318"/>
      <c r="Y10840" s="318"/>
      <c r="Z10840" s="318"/>
      <c r="AA10840" s="318"/>
      <c r="AB10840" s="318"/>
      <c r="AC10840" s="318"/>
      <c r="AD10840" s="318"/>
    </row>
    <row r="10841" spans="2:30" s="323" customFormat="1" ht="12" customHeight="1">
      <c r="B10841" s="324"/>
      <c r="C10841" s="325"/>
      <c r="D10841" s="326"/>
      <c r="E10841" s="326"/>
      <c r="F10841" s="326"/>
      <c r="G10841" s="326"/>
      <c r="H10841" s="326"/>
      <c r="P10841" s="318"/>
      <c r="Q10841" s="318"/>
      <c r="R10841" s="318"/>
      <c r="S10841" s="318"/>
      <c r="T10841" s="318"/>
      <c r="U10841" s="318"/>
      <c r="V10841" s="318"/>
      <c r="W10841" s="318"/>
      <c r="X10841" s="318"/>
      <c r="Y10841" s="318"/>
      <c r="Z10841" s="318"/>
      <c r="AA10841" s="318"/>
      <c r="AB10841" s="318"/>
      <c r="AC10841" s="318"/>
      <c r="AD10841" s="318"/>
    </row>
    <row r="10842" spans="2:30" s="323" customFormat="1" ht="12" customHeight="1">
      <c r="B10842" s="324"/>
      <c r="C10842" s="325"/>
      <c r="D10842" s="326"/>
      <c r="E10842" s="326"/>
      <c r="F10842" s="326"/>
      <c r="G10842" s="326"/>
      <c r="H10842" s="326"/>
      <c r="P10842" s="318"/>
      <c r="Q10842" s="318"/>
      <c r="R10842" s="318"/>
      <c r="S10842" s="318"/>
      <c r="T10842" s="318"/>
      <c r="U10842" s="318"/>
      <c r="V10842" s="318"/>
      <c r="W10842" s="318"/>
      <c r="X10842" s="318"/>
      <c r="Y10842" s="318"/>
      <c r="Z10842" s="318"/>
      <c r="AA10842" s="318"/>
      <c r="AB10842" s="318"/>
      <c r="AC10842" s="318"/>
      <c r="AD10842" s="318"/>
    </row>
    <row r="10843" spans="2:30" s="323" customFormat="1" ht="12" customHeight="1">
      <c r="B10843" s="324"/>
      <c r="C10843" s="325"/>
      <c r="D10843" s="326"/>
      <c r="E10843" s="326"/>
      <c r="F10843" s="326"/>
      <c r="G10843" s="326"/>
      <c r="H10843" s="326"/>
      <c r="P10843" s="318"/>
      <c r="Q10843" s="318"/>
      <c r="R10843" s="318"/>
      <c r="S10843" s="318"/>
      <c r="T10843" s="318"/>
      <c r="U10843" s="318"/>
      <c r="V10843" s="318"/>
      <c r="W10843" s="318"/>
      <c r="X10843" s="318"/>
      <c r="Y10843" s="318"/>
      <c r="Z10843" s="318"/>
      <c r="AA10843" s="318"/>
      <c r="AB10843" s="318"/>
      <c r="AC10843" s="318"/>
      <c r="AD10843" s="318"/>
    </row>
    <row r="10844" spans="2:30" s="323" customFormat="1" ht="12" customHeight="1">
      <c r="B10844" s="324"/>
      <c r="C10844" s="325"/>
      <c r="D10844" s="326"/>
      <c r="E10844" s="326"/>
      <c r="F10844" s="326"/>
      <c r="G10844" s="326"/>
      <c r="H10844" s="326"/>
      <c r="P10844" s="318"/>
      <c r="Q10844" s="318"/>
      <c r="R10844" s="318"/>
      <c r="S10844" s="318"/>
      <c r="T10844" s="318"/>
      <c r="U10844" s="318"/>
      <c r="V10844" s="318"/>
      <c r="W10844" s="318"/>
      <c r="X10844" s="318"/>
      <c r="Y10844" s="318"/>
      <c r="Z10844" s="318"/>
      <c r="AA10844" s="318"/>
      <c r="AB10844" s="318"/>
      <c r="AC10844" s="318"/>
      <c r="AD10844" s="318"/>
    </row>
    <row r="10845" spans="2:30" s="323" customFormat="1" ht="12" customHeight="1">
      <c r="B10845" s="324"/>
      <c r="C10845" s="325"/>
      <c r="D10845" s="326"/>
      <c r="E10845" s="326"/>
      <c r="F10845" s="326"/>
      <c r="G10845" s="326"/>
      <c r="H10845" s="326"/>
      <c r="P10845" s="318"/>
      <c r="Q10845" s="318"/>
      <c r="R10845" s="318"/>
      <c r="S10845" s="318"/>
      <c r="T10845" s="318"/>
      <c r="U10845" s="318"/>
      <c r="V10845" s="318"/>
      <c r="W10845" s="318"/>
      <c r="X10845" s="318"/>
      <c r="Y10845" s="318"/>
      <c r="Z10845" s="318"/>
      <c r="AA10845" s="318"/>
      <c r="AB10845" s="318"/>
      <c r="AC10845" s="318"/>
      <c r="AD10845" s="318"/>
    </row>
    <row r="10846" spans="2:30" s="323" customFormat="1" ht="12" customHeight="1">
      <c r="B10846" s="324"/>
      <c r="C10846" s="325"/>
      <c r="D10846" s="326"/>
      <c r="E10846" s="326"/>
      <c r="F10846" s="326"/>
      <c r="G10846" s="326"/>
      <c r="H10846" s="326"/>
      <c r="P10846" s="318"/>
      <c r="Q10846" s="318"/>
      <c r="R10846" s="318"/>
      <c r="S10846" s="318"/>
      <c r="T10846" s="318"/>
      <c r="U10846" s="318"/>
      <c r="V10846" s="318"/>
      <c r="W10846" s="318"/>
      <c r="X10846" s="318"/>
      <c r="Y10846" s="318"/>
      <c r="Z10846" s="318"/>
      <c r="AA10846" s="318"/>
      <c r="AB10846" s="318"/>
      <c r="AC10846" s="318"/>
      <c r="AD10846" s="318"/>
    </row>
    <row r="10847" spans="2:30" s="323" customFormat="1" ht="12" customHeight="1">
      <c r="B10847" s="324"/>
      <c r="C10847" s="325"/>
      <c r="D10847" s="326"/>
      <c r="E10847" s="326"/>
      <c r="F10847" s="326"/>
      <c r="G10847" s="326"/>
      <c r="H10847" s="326"/>
      <c r="P10847" s="318"/>
      <c r="Q10847" s="318"/>
      <c r="R10847" s="318"/>
      <c r="S10847" s="318"/>
      <c r="T10847" s="318"/>
      <c r="U10847" s="318"/>
      <c r="V10847" s="318"/>
      <c r="W10847" s="318"/>
      <c r="X10847" s="318"/>
      <c r="Y10847" s="318"/>
      <c r="Z10847" s="318"/>
      <c r="AA10847" s="318"/>
      <c r="AB10847" s="318"/>
      <c r="AC10847" s="318"/>
      <c r="AD10847" s="318"/>
    </row>
    <row r="10848" spans="2:30" s="323" customFormat="1" ht="12" customHeight="1">
      <c r="B10848" s="324"/>
      <c r="C10848" s="325"/>
      <c r="D10848" s="326"/>
      <c r="E10848" s="326"/>
      <c r="F10848" s="326"/>
      <c r="G10848" s="326"/>
      <c r="H10848" s="326"/>
      <c r="P10848" s="318"/>
      <c r="Q10848" s="318"/>
      <c r="R10848" s="318"/>
      <c r="S10848" s="318"/>
      <c r="T10848" s="318"/>
      <c r="U10848" s="318"/>
      <c r="V10848" s="318"/>
      <c r="W10848" s="318"/>
      <c r="X10848" s="318"/>
      <c r="Y10848" s="318"/>
      <c r="Z10848" s="318"/>
      <c r="AA10848" s="318"/>
      <c r="AB10848" s="318"/>
      <c r="AC10848" s="318"/>
      <c r="AD10848" s="318"/>
    </row>
    <row r="10849" spans="2:30" s="323" customFormat="1" ht="12" customHeight="1">
      <c r="B10849" s="324"/>
      <c r="C10849" s="325"/>
      <c r="D10849" s="326"/>
      <c r="E10849" s="326"/>
      <c r="F10849" s="326"/>
      <c r="G10849" s="326"/>
      <c r="H10849" s="326"/>
      <c r="P10849" s="318"/>
      <c r="Q10849" s="318"/>
      <c r="R10849" s="318"/>
      <c r="S10849" s="318"/>
      <c r="T10849" s="318"/>
      <c r="U10849" s="318"/>
      <c r="V10849" s="318"/>
      <c r="W10849" s="318"/>
      <c r="X10849" s="318"/>
      <c r="Y10849" s="318"/>
      <c r="Z10849" s="318"/>
      <c r="AA10849" s="318"/>
      <c r="AB10849" s="318"/>
      <c r="AC10849" s="318"/>
      <c r="AD10849" s="318"/>
    </row>
    <row r="10850" spans="2:30" s="323" customFormat="1" ht="12" customHeight="1">
      <c r="B10850" s="324"/>
      <c r="C10850" s="325"/>
      <c r="D10850" s="326"/>
      <c r="E10850" s="326"/>
      <c r="F10850" s="326"/>
      <c r="G10850" s="326"/>
      <c r="H10850" s="326"/>
      <c r="P10850" s="318"/>
      <c r="Q10850" s="318"/>
      <c r="R10850" s="318"/>
      <c r="S10850" s="318"/>
      <c r="T10850" s="318"/>
      <c r="U10850" s="318"/>
      <c r="V10850" s="318"/>
      <c r="W10850" s="318"/>
      <c r="X10850" s="318"/>
      <c r="Y10850" s="318"/>
      <c r="Z10850" s="318"/>
      <c r="AA10850" s="318"/>
      <c r="AB10850" s="318"/>
      <c r="AC10850" s="318"/>
      <c r="AD10850" s="318"/>
    </row>
    <row r="10851" spans="2:30" s="323" customFormat="1" ht="12" customHeight="1">
      <c r="B10851" s="324"/>
      <c r="C10851" s="325"/>
      <c r="D10851" s="326"/>
      <c r="E10851" s="326"/>
      <c r="F10851" s="326"/>
      <c r="G10851" s="326"/>
      <c r="H10851" s="326"/>
      <c r="P10851" s="318"/>
      <c r="Q10851" s="318"/>
      <c r="R10851" s="318"/>
      <c r="S10851" s="318"/>
      <c r="T10851" s="318"/>
      <c r="U10851" s="318"/>
      <c r="V10851" s="318"/>
      <c r="W10851" s="318"/>
      <c r="X10851" s="318"/>
      <c r="Y10851" s="318"/>
      <c r="Z10851" s="318"/>
      <c r="AA10851" s="318"/>
      <c r="AB10851" s="318"/>
      <c r="AC10851" s="318"/>
      <c r="AD10851" s="318"/>
    </row>
    <row r="10852" spans="2:30" s="323" customFormat="1" ht="12" customHeight="1">
      <c r="B10852" s="324"/>
      <c r="C10852" s="325"/>
      <c r="D10852" s="326"/>
      <c r="E10852" s="326"/>
      <c r="F10852" s="326"/>
      <c r="G10852" s="326"/>
      <c r="H10852" s="326"/>
      <c r="P10852" s="318"/>
      <c r="Q10852" s="318"/>
      <c r="R10852" s="318"/>
      <c r="S10852" s="318"/>
      <c r="T10852" s="318"/>
      <c r="U10852" s="318"/>
      <c r="V10852" s="318"/>
      <c r="W10852" s="318"/>
      <c r="X10852" s="318"/>
      <c r="Y10852" s="318"/>
      <c r="Z10852" s="318"/>
      <c r="AA10852" s="318"/>
      <c r="AB10852" s="318"/>
      <c r="AC10852" s="318"/>
      <c r="AD10852" s="318"/>
    </row>
    <row r="10853" spans="2:30" s="323" customFormat="1" ht="12" customHeight="1">
      <c r="B10853" s="324"/>
      <c r="C10853" s="325"/>
      <c r="D10853" s="326"/>
      <c r="E10853" s="326"/>
      <c r="F10853" s="326"/>
      <c r="G10853" s="326"/>
      <c r="H10853" s="326"/>
      <c r="P10853" s="318"/>
      <c r="Q10853" s="318"/>
      <c r="R10853" s="318"/>
      <c r="S10853" s="318"/>
      <c r="T10853" s="318"/>
      <c r="U10853" s="318"/>
      <c r="V10853" s="318"/>
      <c r="W10853" s="318"/>
      <c r="X10853" s="318"/>
      <c r="Y10853" s="318"/>
      <c r="Z10853" s="318"/>
      <c r="AA10853" s="318"/>
      <c r="AB10853" s="318"/>
      <c r="AC10853" s="318"/>
      <c r="AD10853" s="318"/>
    </row>
    <row r="10854" spans="2:30" s="323" customFormat="1" ht="12" customHeight="1">
      <c r="B10854" s="324"/>
      <c r="C10854" s="325"/>
      <c r="D10854" s="326"/>
      <c r="E10854" s="326"/>
      <c r="F10854" s="326"/>
      <c r="G10854" s="326"/>
      <c r="H10854" s="326"/>
      <c r="P10854" s="318"/>
      <c r="Q10854" s="318"/>
      <c r="R10854" s="318"/>
      <c r="S10854" s="318"/>
      <c r="T10854" s="318"/>
      <c r="U10854" s="318"/>
      <c r="V10854" s="318"/>
      <c r="W10854" s="318"/>
      <c r="X10854" s="318"/>
      <c r="Y10854" s="318"/>
      <c r="Z10854" s="318"/>
      <c r="AA10854" s="318"/>
      <c r="AB10854" s="318"/>
      <c r="AC10854" s="318"/>
      <c r="AD10854" s="318"/>
    </row>
    <row r="10855" spans="2:30" s="323" customFormat="1" ht="12" customHeight="1">
      <c r="B10855" s="324"/>
      <c r="C10855" s="325"/>
      <c r="D10855" s="326"/>
      <c r="E10855" s="326"/>
      <c r="F10855" s="326"/>
      <c r="G10855" s="326"/>
      <c r="H10855" s="326"/>
      <c r="P10855" s="318"/>
      <c r="Q10855" s="318"/>
      <c r="R10855" s="318"/>
      <c r="S10855" s="318"/>
      <c r="T10855" s="318"/>
      <c r="U10855" s="318"/>
      <c r="V10855" s="318"/>
      <c r="W10855" s="318"/>
      <c r="X10855" s="318"/>
      <c r="Y10855" s="318"/>
      <c r="Z10855" s="318"/>
      <c r="AA10855" s="318"/>
      <c r="AB10855" s="318"/>
      <c r="AC10855" s="318"/>
      <c r="AD10855" s="318"/>
    </row>
    <row r="10856" spans="2:30" s="323" customFormat="1" ht="12" customHeight="1">
      <c r="B10856" s="324"/>
      <c r="C10856" s="325"/>
      <c r="D10856" s="326"/>
      <c r="E10856" s="326"/>
      <c r="F10856" s="326"/>
      <c r="G10856" s="326"/>
      <c r="H10856" s="326"/>
      <c r="P10856" s="318"/>
      <c r="Q10856" s="318"/>
      <c r="R10856" s="318"/>
      <c r="S10856" s="318"/>
      <c r="T10856" s="318"/>
      <c r="U10856" s="318"/>
      <c r="V10856" s="318"/>
      <c r="W10856" s="318"/>
      <c r="X10856" s="318"/>
      <c r="Y10856" s="318"/>
      <c r="Z10856" s="318"/>
      <c r="AA10856" s="318"/>
      <c r="AB10856" s="318"/>
      <c r="AC10856" s="318"/>
      <c r="AD10856" s="318"/>
    </row>
    <row r="10857" spans="2:30" s="323" customFormat="1" ht="12" customHeight="1">
      <c r="B10857" s="324"/>
      <c r="C10857" s="325"/>
      <c r="D10857" s="326"/>
      <c r="E10857" s="326"/>
      <c r="F10857" s="326"/>
      <c r="G10857" s="326"/>
      <c r="H10857" s="326"/>
      <c r="P10857" s="318"/>
      <c r="Q10857" s="318"/>
      <c r="R10857" s="318"/>
      <c r="S10857" s="318"/>
      <c r="T10857" s="318"/>
      <c r="U10857" s="318"/>
      <c r="V10857" s="318"/>
      <c r="W10857" s="318"/>
      <c r="X10857" s="318"/>
      <c r="Y10857" s="318"/>
      <c r="Z10857" s="318"/>
      <c r="AA10857" s="318"/>
      <c r="AB10857" s="318"/>
      <c r="AC10857" s="318"/>
      <c r="AD10857" s="318"/>
    </row>
    <row r="10858" spans="2:30" s="323" customFormat="1" ht="12" customHeight="1">
      <c r="B10858" s="324"/>
      <c r="C10858" s="325"/>
      <c r="D10858" s="326"/>
      <c r="E10858" s="326"/>
      <c r="F10858" s="326"/>
      <c r="G10858" s="326"/>
      <c r="H10858" s="326"/>
      <c r="P10858" s="318"/>
      <c r="Q10858" s="318"/>
      <c r="R10858" s="318"/>
      <c r="S10858" s="318"/>
      <c r="T10858" s="318"/>
      <c r="U10858" s="318"/>
      <c r="V10858" s="318"/>
      <c r="W10858" s="318"/>
      <c r="X10858" s="318"/>
      <c r="Y10858" s="318"/>
      <c r="Z10858" s="318"/>
      <c r="AA10858" s="318"/>
      <c r="AB10858" s="318"/>
      <c r="AC10858" s="318"/>
      <c r="AD10858" s="318"/>
    </row>
    <row r="10859" spans="2:30" s="323" customFormat="1" ht="12" customHeight="1">
      <c r="B10859" s="324"/>
      <c r="C10859" s="325"/>
      <c r="D10859" s="326"/>
      <c r="E10859" s="326"/>
      <c r="F10859" s="326"/>
      <c r="G10859" s="326"/>
      <c r="H10859" s="326"/>
      <c r="P10859" s="318"/>
      <c r="Q10859" s="318"/>
      <c r="R10859" s="318"/>
      <c r="S10859" s="318"/>
      <c r="T10859" s="318"/>
      <c r="U10859" s="318"/>
      <c r="V10859" s="318"/>
      <c r="W10859" s="318"/>
      <c r="X10859" s="318"/>
      <c r="Y10859" s="318"/>
      <c r="Z10859" s="318"/>
      <c r="AA10859" s="318"/>
      <c r="AB10859" s="318"/>
      <c r="AC10859" s="318"/>
      <c r="AD10859" s="318"/>
    </row>
    <row r="10860" spans="2:30" s="323" customFormat="1" ht="12" customHeight="1">
      <c r="B10860" s="324"/>
      <c r="C10860" s="325"/>
      <c r="D10860" s="326"/>
      <c r="E10860" s="326"/>
      <c r="F10860" s="326"/>
      <c r="G10860" s="326"/>
      <c r="H10860" s="326"/>
      <c r="P10860" s="318"/>
      <c r="Q10860" s="318"/>
      <c r="R10860" s="318"/>
      <c r="S10860" s="318"/>
      <c r="T10860" s="318"/>
      <c r="U10860" s="318"/>
      <c r="V10860" s="318"/>
      <c r="W10860" s="318"/>
      <c r="X10860" s="318"/>
      <c r="Y10860" s="318"/>
      <c r="Z10860" s="318"/>
      <c r="AA10860" s="318"/>
      <c r="AB10860" s="318"/>
      <c r="AC10860" s="318"/>
      <c r="AD10860" s="318"/>
    </row>
    <row r="10861" spans="2:30" s="323" customFormat="1" ht="12" customHeight="1">
      <c r="B10861" s="324"/>
      <c r="C10861" s="325"/>
      <c r="D10861" s="326"/>
      <c r="E10861" s="326"/>
      <c r="F10861" s="326"/>
      <c r="G10861" s="326"/>
      <c r="H10861" s="326"/>
      <c r="P10861" s="318"/>
      <c r="Q10861" s="318"/>
      <c r="R10861" s="318"/>
      <c r="S10861" s="318"/>
      <c r="T10861" s="318"/>
      <c r="U10861" s="318"/>
      <c r="V10861" s="318"/>
      <c r="W10861" s="318"/>
      <c r="X10861" s="318"/>
      <c r="Y10861" s="318"/>
      <c r="Z10861" s="318"/>
      <c r="AA10861" s="318"/>
      <c r="AB10861" s="318"/>
      <c r="AC10861" s="318"/>
      <c r="AD10861" s="318"/>
    </row>
    <row r="10862" spans="2:30" s="323" customFormat="1" ht="12" customHeight="1">
      <c r="B10862" s="324"/>
      <c r="C10862" s="325"/>
      <c r="D10862" s="326"/>
      <c r="E10862" s="326"/>
      <c r="F10862" s="326"/>
      <c r="G10862" s="326"/>
      <c r="H10862" s="326"/>
      <c r="P10862" s="318"/>
      <c r="Q10862" s="318"/>
      <c r="R10862" s="318"/>
      <c r="S10862" s="318"/>
      <c r="T10862" s="318"/>
      <c r="U10862" s="318"/>
      <c r="V10862" s="318"/>
      <c r="W10862" s="318"/>
      <c r="X10862" s="318"/>
      <c r="Y10862" s="318"/>
      <c r="Z10862" s="318"/>
      <c r="AA10862" s="318"/>
      <c r="AB10862" s="318"/>
      <c r="AC10862" s="318"/>
      <c r="AD10862" s="318"/>
    </row>
    <row r="10863" spans="2:30" s="323" customFormat="1" ht="12" customHeight="1">
      <c r="B10863" s="324"/>
      <c r="C10863" s="325"/>
      <c r="D10863" s="326"/>
      <c r="E10863" s="326"/>
      <c r="F10863" s="326"/>
      <c r="G10863" s="326"/>
      <c r="H10863" s="326"/>
      <c r="P10863" s="318"/>
      <c r="Q10863" s="318"/>
      <c r="R10863" s="318"/>
      <c r="S10863" s="318"/>
      <c r="T10863" s="318"/>
      <c r="U10863" s="318"/>
      <c r="V10863" s="318"/>
      <c r="W10863" s="318"/>
      <c r="X10863" s="318"/>
      <c r="Y10863" s="318"/>
      <c r="Z10863" s="318"/>
      <c r="AA10863" s="318"/>
      <c r="AB10863" s="318"/>
      <c r="AC10863" s="318"/>
      <c r="AD10863" s="318"/>
    </row>
    <row r="10864" spans="2:30" s="323" customFormat="1" ht="12" customHeight="1">
      <c r="B10864" s="324"/>
      <c r="C10864" s="325"/>
      <c r="D10864" s="326"/>
      <c r="E10864" s="326"/>
      <c r="F10864" s="326"/>
      <c r="G10864" s="326"/>
      <c r="H10864" s="326"/>
      <c r="P10864" s="318"/>
      <c r="Q10864" s="318"/>
      <c r="R10864" s="318"/>
      <c r="S10864" s="318"/>
      <c r="T10864" s="318"/>
      <c r="U10864" s="318"/>
      <c r="V10864" s="318"/>
      <c r="W10864" s="318"/>
      <c r="X10864" s="318"/>
      <c r="Y10864" s="318"/>
      <c r="Z10864" s="318"/>
      <c r="AA10864" s="318"/>
      <c r="AB10864" s="318"/>
      <c r="AC10864" s="318"/>
      <c r="AD10864" s="318"/>
    </row>
    <row r="10865" spans="2:30" s="323" customFormat="1" ht="12" customHeight="1">
      <c r="B10865" s="324"/>
      <c r="C10865" s="325"/>
      <c r="D10865" s="326"/>
      <c r="E10865" s="326"/>
      <c r="F10865" s="326"/>
      <c r="G10865" s="326"/>
      <c r="H10865" s="326"/>
      <c r="P10865" s="318"/>
      <c r="Q10865" s="318"/>
      <c r="R10865" s="318"/>
      <c r="S10865" s="318"/>
      <c r="T10865" s="318"/>
      <c r="U10865" s="318"/>
      <c r="V10865" s="318"/>
      <c r="W10865" s="318"/>
      <c r="X10865" s="318"/>
      <c r="Y10865" s="318"/>
      <c r="Z10865" s="318"/>
      <c r="AA10865" s="318"/>
      <c r="AB10865" s="318"/>
      <c r="AC10865" s="318"/>
      <c r="AD10865" s="318"/>
    </row>
    <row r="10866" spans="2:30" s="323" customFormat="1" ht="12" customHeight="1">
      <c r="B10866" s="324"/>
      <c r="C10866" s="325"/>
      <c r="D10866" s="326"/>
      <c r="E10866" s="326"/>
      <c r="F10866" s="326"/>
      <c r="G10866" s="326"/>
      <c r="H10866" s="326"/>
      <c r="P10866" s="318"/>
      <c r="Q10866" s="318"/>
      <c r="R10866" s="318"/>
      <c r="S10866" s="318"/>
      <c r="T10866" s="318"/>
      <c r="U10866" s="318"/>
      <c r="V10866" s="318"/>
      <c r="W10866" s="318"/>
      <c r="X10866" s="318"/>
      <c r="Y10866" s="318"/>
      <c r="Z10866" s="318"/>
      <c r="AA10866" s="318"/>
      <c r="AB10866" s="318"/>
      <c r="AC10866" s="318"/>
      <c r="AD10866" s="318"/>
    </row>
    <row r="10867" spans="2:30" s="323" customFormat="1" ht="12" customHeight="1">
      <c r="B10867" s="324"/>
      <c r="C10867" s="325"/>
      <c r="D10867" s="326"/>
      <c r="E10867" s="326"/>
      <c r="F10867" s="326"/>
      <c r="G10867" s="326"/>
      <c r="H10867" s="326"/>
      <c r="P10867" s="318"/>
      <c r="Q10867" s="318"/>
      <c r="R10867" s="318"/>
      <c r="S10867" s="318"/>
      <c r="T10867" s="318"/>
      <c r="U10867" s="318"/>
      <c r="V10867" s="318"/>
      <c r="W10867" s="318"/>
      <c r="X10867" s="318"/>
      <c r="Y10867" s="318"/>
      <c r="Z10867" s="318"/>
      <c r="AA10867" s="318"/>
      <c r="AB10867" s="318"/>
      <c r="AC10867" s="318"/>
      <c r="AD10867" s="318"/>
    </row>
    <row r="10868" spans="2:30" s="323" customFormat="1" ht="12" customHeight="1">
      <c r="B10868" s="324"/>
      <c r="C10868" s="325"/>
      <c r="D10868" s="326"/>
      <c r="E10868" s="326"/>
      <c r="F10868" s="326"/>
      <c r="G10868" s="326"/>
      <c r="H10868" s="326"/>
      <c r="P10868" s="318"/>
      <c r="Q10868" s="318"/>
      <c r="R10868" s="318"/>
      <c r="S10868" s="318"/>
      <c r="T10868" s="318"/>
      <c r="U10868" s="318"/>
      <c r="V10868" s="318"/>
      <c r="W10868" s="318"/>
      <c r="X10868" s="318"/>
      <c r="Y10868" s="318"/>
      <c r="Z10868" s="318"/>
      <c r="AA10868" s="318"/>
      <c r="AB10868" s="318"/>
      <c r="AC10868" s="318"/>
      <c r="AD10868" s="318"/>
    </row>
    <row r="10869" spans="2:30" s="323" customFormat="1" ht="12" customHeight="1">
      <c r="B10869" s="324"/>
      <c r="C10869" s="325"/>
      <c r="D10869" s="326"/>
      <c r="E10869" s="326"/>
      <c r="F10869" s="326"/>
      <c r="G10869" s="326"/>
      <c r="H10869" s="326"/>
      <c r="P10869" s="318"/>
      <c r="Q10869" s="318"/>
      <c r="R10869" s="318"/>
      <c r="S10869" s="318"/>
      <c r="T10869" s="318"/>
      <c r="U10869" s="318"/>
      <c r="V10869" s="318"/>
      <c r="W10869" s="318"/>
      <c r="X10869" s="318"/>
      <c r="Y10869" s="318"/>
      <c r="Z10869" s="318"/>
      <c r="AA10869" s="318"/>
      <c r="AB10869" s="318"/>
      <c r="AC10869" s="318"/>
      <c r="AD10869" s="318"/>
    </row>
    <row r="10870" spans="2:30" s="323" customFormat="1" ht="12" customHeight="1">
      <c r="B10870" s="324"/>
      <c r="C10870" s="325"/>
      <c r="D10870" s="326"/>
      <c r="E10870" s="326"/>
      <c r="F10870" s="326"/>
      <c r="G10870" s="326"/>
      <c r="H10870" s="326"/>
      <c r="P10870" s="318"/>
      <c r="Q10870" s="318"/>
      <c r="R10870" s="318"/>
      <c r="S10870" s="318"/>
      <c r="T10870" s="318"/>
      <c r="U10870" s="318"/>
      <c r="V10870" s="318"/>
      <c r="W10870" s="318"/>
      <c r="X10870" s="318"/>
      <c r="Y10870" s="318"/>
      <c r="Z10870" s="318"/>
      <c r="AA10870" s="318"/>
      <c r="AB10870" s="318"/>
      <c r="AC10870" s="318"/>
      <c r="AD10870" s="318"/>
    </row>
    <row r="10871" spans="2:30" s="323" customFormat="1" ht="12" customHeight="1">
      <c r="B10871" s="324"/>
      <c r="C10871" s="325"/>
      <c r="D10871" s="326"/>
      <c r="E10871" s="326"/>
      <c r="F10871" s="326"/>
      <c r="G10871" s="326"/>
      <c r="H10871" s="326"/>
      <c r="P10871" s="318"/>
      <c r="Q10871" s="318"/>
      <c r="R10871" s="318"/>
      <c r="S10871" s="318"/>
      <c r="T10871" s="318"/>
      <c r="U10871" s="318"/>
      <c r="V10871" s="318"/>
      <c r="W10871" s="318"/>
      <c r="X10871" s="318"/>
      <c r="Y10871" s="318"/>
      <c r="Z10871" s="318"/>
      <c r="AA10871" s="318"/>
      <c r="AB10871" s="318"/>
      <c r="AC10871" s="318"/>
      <c r="AD10871" s="318"/>
    </row>
    <row r="10872" spans="2:30" s="323" customFormat="1" ht="12" customHeight="1">
      <c r="B10872" s="324"/>
      <c r="C10872" s="325"/>
      <c r="D10872" s="326"/>
      <c r="E10872" s="326"/>
      <c r="F10872" s="326"/>
      <c r="G10872" s="326"/>
      <c r="H10872" s="326"/>
      <c r="P10872" s="318"/>
      <c r="Q10872" s="318"/>
      <c r="R10872" s="318"/>
      <c r="S10872" s="318"/>
      <c r="T10872" s="318"/>
      <c r="U10872" s="318"/>
      <c r="V10872" s="318"/>
      <c r="W10872" s="318"/>
      <c r="X10872" s="318"/>
      <c r="Y10872" s="318"/>
      <c r="Z10872" s="318"/>
      <c r="AA10872" s="318"/>
      <c r="AB10872" s="318"/>
      <c r="AC10872" s="318"/>
      <c r="AD10872" s="318"/>
    </row>
    <row r="10873" spans="2:30" s="323" customFormat="1" ht="12" customHeight="1">
      <c r="B10873" s="324"/>
      <c r="C10873" s="325"/>
      <c r="D10873" s="326"/>
      <c r="E10873" s="326"/>
      <c r="F10873" s="326"/>
      <c r="G10873" s="326"/>
      <c r="H10873" s="326"/>
      <c r="P10873" s="318"/>
      <c r="Q10873" s="318"/>
      <c r="R10873" s="318"/>
      <c r="S10873" s="318"/>
      <c r="T10873" s="318"/>
      <c r="U10873" s="318"/>
      <c r="V10873" s="318"/>
      <c r="W10873" s="318"/>
      <c r="X10873" s="318"/>
      <c r="Y10873" s="318"/>
      <c r="Z10873" s="318"/>
      <c r="AA10873" s="318"/>
      <c r="AB10873" s="318"/>
      <c r="AC10873" s="318"/>
      <c r="AD10873" s="318"/>
    </row>
    <row r="10874" spans="2:30" s="323" customFormat="1" ht="12" customHeight="1">
      <c r="B10874" s="324"/>
      <c r="C10874" s="325"/>
      <c r="D10874" s="326"/>
      <c r="E10874" s="326"/>
      <c r="F10874" s="326"/>
      <c r="G10874" s="326"/>
      <c r="H10874" s="326"/>
      <c r="P10874" s="318"/>
      <c r="Q10874" s="318"/>
      <c r="R10874" s="318"/>
      <c r="S10874" s="318"/>
      <c r="T10874" s="318"/>
      <c r="U10874" s="318"/>
      <c r="V10874" s="318"/>
      <c r="W10874" s="318"/>
      <c r="X10874" s="318"/>
      <c r="Y10874" s="318"/>
      <c r="Z10874" s="318"/>
      <c r="AA10874" s="318"/>
      <c r="AB10874" s="318"/>
      <c r="AC10874" s="318"/>
      <c r="AD10874" s="318"/>
    </row>
    <row r="10875" spans="2:30" s="323" customFormat="1" ht="12" customHeight="1">
      <c r="B10875" s="324"/>
      <c r="C10875" s="325"/>
      <c r="D10875" s="326"/>
      <c r="E10875" s="326"/>
      <c r="F10875" s="326"/>
      <c r="G10875" s="326"/>
      <c r="H10875" s="326"/>
      <c r="P10875" s="318"/>
      <c r="Q10875" s="318"/>
      <c r="R10875" s="318"/>
      <c r="S10875" s="318"/>
      <c r="T10875" s="318"/>
      <c r="U10875" s="318"/>
      <c r="V10875" s="318"/>
      <c r="W10875" s="318"/>
      <c r="X10875" s="318"/>
      <c r="Y10875" s="318"/>
      <c r="Z10875" s="318"/>
      <c r="AA10875" s="318"/>
      <c r="AB10875" s="318"/>
      <c r="AC10875" s="318"/>
      <c r="AD10875" s="318"/>
    </row>
    <row r="10876" spans="2:30" s="323" customFormat="1" ht="12" customHeight="1">
      <c r="B10876" s="324"/>
      <c r="C10876" s="325"/>
      <c r="D10876" s="326"/>
      <c r="E10876" s="326"/>
      <c r="F10876" s="326"/>
      <c r="G10876" s="326"/>
      <c r="H10876" s="326"/>
      <c r="P10876" s="318"/>
      <c r="Q10876" s="318"/>
      <c r="R10876" s="318"/>
      <c r="S10876" s="318"/>
      <c r="T10876" s="318"/>
      <c r="U10876" s="318"/>
      <c r="V10876" s="318"/>
      <c r="W10876" s="318"/>
      <c r="X10876" s="318"/>
      <c r="Y10876" s="318"/>
      <c r="Z10876" s="318"/>
      <c r="AA10876" s="318"/>
      <c r="AB10876" s="318"/>
      <c r="AC10876" s="318"/>
      <c r="AD10876" s="318"/>
    </row>
    <row r="10877" spans="2:30" s="323" customFormat="1" ht="12" customHeight="1">
      <c r="B10877" s="324"/>
      <c r="C10877" s="325"/>
      <c r="D10877" s="326"/>
      <c r="E10877" s="326"/>
      <c r="F10877" s="326"/>
      <c r="G10877" s="326"/>
      <c r="H10877" s="326"/>
      <c r="P10877" s="318"/>
      <c r="Q10877" s="318"/>
      <c r="R10877" s="318"/>
      <c r="S10877" s="318"/>
      <c r="T10877" s="318"/>
      <c r="U10877" s="318"/>
      <c r="V10877" s="318"/>
      <c r="W10877" s="318"/>
      <c r="X10877" s="318"/>
      <c r="Y10877" s="318"/>
      <c r="Z10877" s="318"/>
      <c r="AA10877" s="318"/>
      <c r="AB10877" s="318"/>
      <c r="AC10877" s="318"/>
      <c r="AD10877" s="318"/>
    </row>
    <row r="10878" spans="2:30" s="323" customFormat="1" ht="12" customHeight="1">
      <c r="B10878" s="324"/>
      <c r="C10878" s="325"/>
      <c r="D10878" s="326"/>
      <c r="E10878" s="326"/>
      <c r="F10878" s="326"/>
      <c r="G10878" s="326"/>
      <c r="H10878" s="326"/>
      <c r="P10878" s="318"/>
      <c r="Q10878" s="318"/>
      <c r="R10878" s="318"/>
      <c r="S10878" s="318"/>
      <c r="T10878" s="318"/>
      <c r="U10878" s="318"/>
      <c r="V10878" s="318"/>
      <c r="W10878" s="318"/>
      <c r="X10878" s="318"/>
      <c r="Y10878" s="318"/>
      <c r="Z10878" s="318"/>
      <c r="AA10878" s="318"/>
      <c r="AB10878" s="318"/>
      <c r="AC10878" s="318"/>
      <c r="AD10878" s="318"/>
    </row>
    <row r="10879" spans="2:30" s="323" customFormat="1" ht="12" customHeight="1">
      <c r="B10879" s="324"/>
      <c r="C10879" s="325"/>
      <c r="D10879" s="326"/>
      <c r="E10879" s="326"/>
      <c r="F10879" s="326"/>
      <c r="G10879" s="326"/>
      <c r="H10879" s="326"/>
      <c r="P10879" s="318"/>
      <c r="Q10879" s="318"/>
      <c r="R10879" s="318"/>
      <c r="S10879" s="318"/>
      <c r="T10879" s="318"/>
      <c r="U10879" s="318"/>
      <c r="V10879" s="318"/>
      <c r="W10879" s="318"/>
      <c r="X10879" s="318"/>
      <c r="Y10879" s="318"/>
      <c r="Z10879" s="318"/>
      <c r="AA10879" s="318"/>
      <c r="AB10879" s="318"/>
      <c r="AC10879" s="318"/>
      <c r="AD10879" s="318"/>
    </row>
    <row r="10880" spans="2:30" s="323" customFormat="1" ht="12" customHeight="1">
      <c r="B10880" s="324"/>
      <c r="C10880" s="325"/>
      <c r="D10880" s="326"/>
      <c r="E10880" s="326"/>
      <c r="F10880" s="326"/>
      <c r="G10880" s="326"/>
      <c r="H10880" s="326"/>
      <c r="P10880" s="318"/>
      <c r="Q10880" s="318"/>
      <c r="R10880" s="318"/>
      <c r="S10880" s="318"/>
      <c r="T10880" s="318"/>
      <c r="U10880" s="318"/>
      <c r="V10880" s="318"/>
      <c r="W10880" s="318"/>
      <c r="X10880" s="318"/>
      <c r="Y10880" s="318"/>
      <c r="Z10880" s="318"/>
      <c r="AA10880" s="318"/>
      <c r="AB10880" s="318"/>
      <c r="AC10880" s="318"/>
      <c r="AD10880" s="318"/>
    </row>
    <row r="10881" spans="2:30" s="323" customFormat="1" ht="12" customHeight="1">
      <c r="B10881" s="324"/>
      <c r="C10881" s="325"/>
      <c r="D10881" s="326"/>
      <c r="E10881" s="326"/>
      <c r="F10881" s="326"/>
      <c r="G10881" s="326"/>
      <c r="H10881" s="326"/>
      <c r="P10881" s="318"/>
      <c r="Q10881" s="318"/>
      <c r="R10881" s="318"/>
      <c r="S10881" s="318"/>
      <c r="T10881" s="318"/>
      <c r="U10881" s="318"/>
      <c r="V10881" s="318"/>
      <c r="W10881" s="318"/>
      <c r="X10881" s="318"/>
      <c r="Y10881" s="318"/>
      <c r="Z10881" s="318"/>
      <c r="AA10881" s="318"/>
      <c r="AB10881" s="318"/>
      <c r="AC10881" s="318"/>
      <c r="AD10881" s="318"/>
    </row>
    <row r="10882" spans="2:30" s="323" customFormat="1" ht="12" customHeight="1">
      <c r="B10882" s="324"/>
      <c r="C10882" s="325"/>
      <c r="D10882" s="326"/>
      <c r="E10882" s="326"/>
      <c r="F10882" s="326"/>
      <c r="G10882" s="326"/>
      <c r="H10882" s="326"/>
      <c r="P10882" s="318"/>
      <c r="Q10882" s="318"/>
      <c r="R10882" s="318"/>
      <c r="S10882" s="318"/>
      <c r="T10882" s="318"/>
      <c r="U10882" s="318"/>
      <c r="V10882" s="318"/>
      <c r="W10882" s="318"/>
      <c r="X10882" s="318"/>
      <c r="Y10882" s="318"/>
      <c r="Z10882" s="318"/>
      <c r="AA10882" s="318"/>
      <c r="AB10882" s="318"/>
      <c r="AC10882" s="318"/>
      <c r="AD10882" s="318"/>
    </row>
    <row r="10883" spans="2:30" s="323" customFormat="1" ht="12" customHeight="1">
      <c r="B10883" s="324"/>
      <c r="C10883" s="325"/>
      <c r="D10883" s="326"/>
      <c r="E10883" s="326"/>
      <c r="F10883" s="326"/>
      <c r="G10883" s="326"/>
      <c r="H10883" s="326"/>
      <c r="P10883" s="318"/>
      <c r="Q10883" s="318"/>
      <c r="R10883" s="318"/>
      <c r="S10883" s="318"/>
      <c r="T10883" s="318"/>
      <c r="U10883" s="318"/>
      <c r="V10883" s="318"/>
      <c r="W10883" s="318"/>
      <c r="X10883" s="318"/>
      <c r="Y10883" s="318"/>
      <c r="Z10883" s="318"/>
      <c r="AA10883" s="318"/>
      <c r="AB10883" s="318"/>
      <c r="AC10883" s="318"/>
      <c r="AD10883" s="318"/>
    </row>
    <row r="10884" spans="2:30" s="323" customFormat="1" ht="12" customHeight="1">
      <c r="B10884" s="324"/>
      <c r="C10884" s="325"/>
      <c r="D10884" s="326"/>
      <c r="E10884" s="326"/>
      <c r="F10884" s="326"/>
      <c r="G10884" s="326"/>
      <c r="H10884" s="326"/>
      <c r="P10884" s="318"/>
      <c r="Q10884" s="318"/>
      <c r="R10884" s="318"/>
      <c r="S10884" s="318"/>
      <c r="T10884" s="318"/>
      <c r="U10884" s="318"/>
      <c r="V10884" s="318"/>
      <c r="W10884" s="318"/>
      <c r="X10884" s="318"/>
      <c r="Y10884" s="318"/>
      <c r="Z10884" s="318"/>
      <c r="AA10884" s="318"/>
      <c r="AB10884" s="318"/>
      <c r="AC10884" s="318"/>
      <c r="AD10884" s="318"/>
    </row>
    <row r="10885" spans="2:30" s="323" customFormat="1" ht="12" customHeight="1">
      <c r="B10885" s="324"/>
      <c r="C10885" s="325"/>
      <c r="D10885" s="326"/>
      <c r="E10885" s="326"/>
      <c r="F10885" s="326"/>
      <c r="G10885" s="326"/>
      <c r="H10885" s="326"/>
      <c r="P10885" s="318"/>
      <c r="Q10885" s="318"/>
      <c r="R10885" s="318"/>
      <c r="S10885" s="318"/>
      <c r="T10885" s="318"/>
      <c r="U10885" s="318"/>
      <c r="V10885" s="318"/>
      <c r="W10885" s="318"/>
      <c r="X10885" s="318"/>
      <c r="Y10885" s="318"/>
      <c r="Z10885" s="318"/>
      <c r="AA10885" s="318"/>
      <c r="AB10885" s="318"/>
      <c r="AC10885" s="318"/>
      <c r="AD10885" s="318"/>
    </row>
    <row r="10886" spans="2:30" s="323" customFormat="1" ht="12" customHeight="1">
      <c r="B10886" s="324"/>
      <c r="C10886" s="325"/>
      <c r="D10886" s="326"/>
      <c r="E10886" s="326"/>
      <c r="F10886" s="326"/>
      <c r="G10886" s="326"/>
      <c r="H10886" s="326"/>
      <c r="P10886" s="318"/>
      <c r="Q10886" s="318"/>
      <c r="R10886" s="318"/>
      <c r="S10886" s="318"/>
      <c r="T10886" s="318"/>
      <c r="U10886" s="318"/>
      <c r="V10886" s="318"/>
      <c r="W10886" s="318"/>
      <c r="X10886" s="318"/>
      <c r="Y10886" s="318"/>
      <c r="Z10886" s="318"/>
      <c r="AA10886" s="318"/>
      <c r="AB10886" s="318"/>
      <c r="AC10886" s="318"/>
      <c r="AD10886" s="318"/>
    </row>
    <row r="10887" spans="2:30" s="323" customFormat="1" ht="12" customHeight="1">
      <c r="B10887" s="324"/>
      <c r="C10887" s="325"/>
      <c r="D10887" s="326"/>
      <c r="E10887" s="326"/>
      <c r="F10887" s="326"/>
      <c r="G10887" s="326"/>
      <c r="H10887" s="326"/>
      <c r="P10887" s="318"/>
      <c r="Q10887" s="318"/>
      <c r="R10887" s="318"/>
      <c r="S10887" s="318"/>
      <c r="T10887" s="318"/>
      <c r="U10887" s="318"/>
      <c r="V10887" s="318"/>
      <c r="W10887" s="318"/>
      <c r="X10887" s="318"/>
      <c r="Y10887" s="318"/>
      <c r="Z10887" s="318"/>
      <c r="AA10887" s="318"/>
      <c r="AB10887" s="318"/>
      <c r="AC10887" s="318"/>
      <c r="AD10887" s="318"/>
    </row>
    <row r="10888" spans="2:30" s="323" customFormat="1" ht="12" customHeight="1">
      <c r="B10888" s="324"/>
      <c r="C10888" s="325"/>
      <c r="D10888" s="326"/>
      <c r="E10888" s="326"/>
      <c r="F10888" s="326"/>
      <c r="G10888" s="326"/>
      <c r="H10888" s="326"/>
      <c r="P10888" s="318"/>
      <c r="Q10888" s="318"/>
      <c r="R10888" s="318"/>
      <c r="S10888" s="318"/>
      <c r="T10888" s="318"/>
      <c r="U10888" s="318"/>
      <c r="V10888" s="318"/>
      <c r="W10888" s="318"/>
      <c r="X10888" s="318"/>
      <c r="Y10888" s="318"/>
      <c r="Z10888" s="318"/>
      <c r="AA10888" s="318"/>
      <c r="AB10888" s="318"/>
      <c r="AC10888" s="318"/>
      <c r="AD10888" s="318"/>
    </row>
    <row r="10889" spans="2:30" s="323" customFormat="1" ht="12" customHeight="1">
      <c r="B10889" s="324"/>
      <c r="C10889" s="325"/>
      <c r="D10889" s="326"/>
      <c r="E10889" s="326"/>
      <c r="F10889" s="326"/>
      <c r="G10889" s="326"/>
      <c r="H10889" s="326"/>
      <c r="P10889" s="318"/>
      <c r="Q10889" s="318"/>
      <c r="R10889" s="318"/>
      <c r="S10889" s="318"/>
      <c r="T10889" s="318"/>
      <c r="U10889" s="318"/>
      <c r="V10889" s="318"/>
      <c r="W10889" s="318"/>
      <c r="X10889" s="318"/>
      <c r="Y10889" s="318"/>
      <c r="Z10889" s="318"/>
      <c r="AA10889" s="318"/>
      <c r="AB10889" s="318"/>
      <c r="AC10889" s="318"/>
      <c r="AD10889" s="318"/>
    </row>
    <row r="10890" spans="2:30" s="323" customFormat="1" ht="12" customHeight="1">
      <c r="B10890" s="324"/>
      <c r="C10890" s="325"/>
      <c r="D10890" s="326"/>
      <c r="E10890" s="326"/>
      <c r="F10890" s="326"/>
      <c r="G10890" s="326"/>
      <c r="H10890" s="326"/>
      <c r="P10890" s="318"/>
      <c r="Q10890" s="318"/>
      <c r="R10890" s="318"/>
      <c r="S10890" s="318"/>
      <c r="T10890" s="318"/>
      <c r="U10890" s="318"/>
      <c r="V10890" s="318"/>
      <c r="W10890" s="318"/>
      <c r="X10890" s="318"/>
      <c r="Y10890" s="318"/>
      <c r="Z10890" s="318"/>
      <c r="AA10890" s="318"/>
      <c r="AB10890" s="318"/>
      <c r="AC10890" s="318"/>
      <c r="AD10890" s="318"/>
    </row>
    <row r="10891" spans="2:30" s="323" customFormat="1" ht="12" customHeight="1">
      <c r="B10891" s="324"/>
      <c r="C10891" s="325"/>
      <c r="D10891" s="326"/>
      <c r="E10891" s="326"/>
      <c r="F10891" s="326"/>
      <c r="G10891" s="326"/>
      <c r="H10891" s="326"/>
      <c r="P10891" s="318"/>
      <c r="Q10891" s="318"/>
      <c r="R10891" s="318"/>
      <c r="S10891" s="318"/>
      <c r="T10891" s="318"/>
      <c r="U10891" s="318"/>
      <c r="V10891" s="318"/>
      <c r="W10891" s="318"/>
      <c r="X10891" s="318"/>
      <c r="Y10891" s="318"/>
      <c r="Z10891" s="318"/>
      <c r="AA10891" s="318"/>
      <c r="AB10891" s="318"/>
      <c r="AC10891" s="318"/>
      <c r="AD10891" s="318"/>
    </row>
    <row r="10892" spans="2:30" s="323" customFormat="1" ht="12" customHeight="1">
      <c r="B10892" s="324"/>
      <c r="C10892" s="325"/>
      <c r="D10892" s="326"/>
      <c r="E10892" s="326"/>
      <c r="F10892" s="326"/>
      <c r="G10892" s="326"/>
      <c r="H10892" s="326"/>
      <c r="P10892" s="318"/>
      <c r="Q10892" s="318"/>
      <c r="R10892" s="318"/>
      <c r="S10892" s="318"/>
      <c r="T10892" s="318"/>
      <c r="U10892" s="318"/>
      <c r="V10892" s="318"/>
      <c r="W10892" s="318"/>
      <c r="X10892" s="318"/>
      <c r="Y10892" s="318"/>
      <c r="Z10892" s="318"/>
      <c r="AA10892" s="318"/>
      <c r="AB10892" s="318"/>
      <c r="AC10892" s="318"/>
      <c r="AD10892" s="318"/>
    </row>
    <row r="10893" spans="2:30" s="323" customFormat="1" ht="12" customHeight="1">
      <c r="B10893" s="324"/>
      <c r="C10893" s="325"/>
      <c r="D10893" s="326"/>
      <c r="E10893" s="326"/>
      <c r="F10893" s="326"/>
      <c r="G10893" s="326"/>
      <c r="H10893" s="326"/>
      <c r="P10893" s="318"/>
      <c r="Q10893" s="318"/>
      <c r="R10893" s="318"/>
      <c r="S10893" s="318"/>
      <c r="T10893" s="318"/>
      <c r="U10893" s="318"/>
      <c r="V10893" s="318"/>
      <c r="W10893" s="318"/>
      <c r="X10893" s="318"/>
      <c r="Y10893" s="318"/>
      <c r="Z10893" s="318"/>
      <c r="AA10893" s="318"/>
      <c r="AB10893" s="318"/>
      <c r="AC10893" s="318"/>
      <c r="AD10893" s="318"/>
    </row>
    <row r="10894" spans="2:30" s="323" customFormat="1" ht="12" customHeight="1">
      <c r="B10894" s="324"/>
      <c r="C10894" s="325"/>
      <c r="D10894" s="326"/>
      <c r="E10894" s="326"/>
      <c r="F10894" s="326"/>
      <c r="G10894" s="326"/>
      <c r="H10894" s="326"/>
      <c r="P10894" s="318"/>
      <c r="Q10894" s="318"/>
      <c r="R10894" s="318"/>
      <c r="S10894" s="318"/>
      <c r="T10894" s="318"/>
      <c r="U10894" s="318"/>
      <c r="V10894" s="318"/>
      <c r="W10894" s="318"/>
      <c r="X10894" s="318"/>
      <c r="Y10894" s="318"/>
      <c r="Z10894" s="318"/>
      <c r="AA10894" s="318"/>
      <c r="AB10894" s="318"/>
      <c r="AC10894" s="318"/>
      <c r="AD10894" s="318"/>
    </row>
    <row r="10895" spans="2:30" s="323" customFormat="1" ht="12" customHeight="1">
      <c r="B10895" s="324"/>
      <c r="C10895" s="325"/>
      <c r="D10895" s="326"/>
      <c r="E10895" s="326"/>
      <c r="F10895" s="326"/>
      <c r="G10895" s="326"/>
      <c r="H10895" s="326"/>
      <c r="P10895" s="318"/>
      <c r="Q10895" s="318"/>
      <c r="R10895" s="318"/>
      <c r="S10895" s="318"/>
      <c r="T10895" s="318"/>
      <c r="U10895" s="318"/>
      <c r="V10895" s="318"/>
      <c r="W10895" s="318"/>
      <c r="X10895" s="318"/>
      <c r="Y10895" s="318"/>
      <c r="Z10895" s="318"/>
      <c r="AA10895" s="318"/>
      <c r="AB10895" s="318"/>
      <c r="AC10895" s="318"/>
      <c r="AD10895" s="318"/>
    </row>
    <row r="10896" spans="2:30" s="323" customFormat="1" ht="12" customHeight="1">
      <c r="B10896" s="324"/>
      <c r="C10896" s="325"/>
      <c r="D10896" s="326"/>
      <c r="E10896" s="326"/>
      <c r="F10896" s="326"/>
      <c r="G10896" s="326"/>
      <c r="H10896" s="326"/>
      <c r="P10896" s="318"/>
      <c r="Q10896" s="318"/>
      <c r="R10896" s="318"/>
      <c r="S10896" s="318"/>
      <c r="T10896" s="318"/>
      <c r="U10896" s="318"/>
      <c r="V10896" s="318"/>
      <c r="W10896" s="318"/>
      <c r="X10896" s="318"/>
      <c r="Y10896" s="318"/>
      <c r="Z10896" s="318"/>
      <c r="AA10896" s="318"/>
      <c r="AB10896" s="318"/>
      <c r="AC10896" s="318"/>
      <c r="AD10896" s="318"/>
    </row>
    <row r="10897" spans="2:30" s="323" customFormat="1" ht="12" customHeight="1">
      <c r="B10897" s="324"/>
      <c r="C10897" s="325"/>
      <c r="D10897" s="326"/>
      <c r="E10897" s="326"/>
      <c r="F10897" s="326"/>
      <c r="G10897" s="326"/>
      <c r="H10897" s="326"/>
      <c r="P10897" s="318"/>
      <c r="Q10897" s="318"/>
      <c r="R10897" s="318"/>
      <c r="S10897" s="318"/>
      <c r="T10897" s="318"/>
      <c r="U10897" s="318"/>
      <c r="V10897" s="318"/>
      <c r="W10897" s="318"/>
      <c r="X10897" s="318"/>
      <c r="Y10897" s="318"/>
      <c r="Z10897" s="318"/>
      <c r="AA10897" s="318"/>
      <c r="AB10897" s="318"/>
      <c r="AC10897" s="318"/>
      <c r="AD10897" s="318"/>
    </row>
    <row r="10898" spans="2:30" s="323" customFormat="1" ht="12" customHeight="1">
      <c r="B10898" s="324"/>
      <c r="C10898" s="325"/>
      <c r="D10898" s="326"/>
      <c r="E10898" s="326"/>
      <c r="F10898" s="326"/>
      <c r="G10898" s="326"/>
      <c r="H10898" s="326"/>
      <c r="P10898" s="318"/>
      <c r="Q10898" s="318"/>
      <c r="R10898" s="318"/>
      <c r="S10898" s="318"/>
      <c r="T10898" s="318"/>
      <c r="U10898" s="318"/>
      <c r="V10898" s="318"/>
      <c r="W10898" s="318"/>
      <c r="X10898" s="318"/>
      <c r="Y10898" s="318"/>
      <c r="Z10898" s="318"/>
      <c r="AA10898" s="318"/>
      <c r="AB10898" s="318"/>
      <c r="AC10898" s="318"/>
      <c r="AD10898" s="318"/>
    </row>
    <row r="10899" spans="2:30" s="323" customFormat="1" ht="12" customHeight="1">
      <c r="B10899" s="324"/>
      <c r="C10899" s="325"/>
      <c r="D10899" s="326"/>
      <c r="E10899" s="326"/>
      <c r="F10899" s="326"/>
      <c r="G10899" s="326"/>
      <c r="H10899" s="326"/>
      <c r="P10899" s="318"/>
      <c r="Q10899" s="318"/>
      <c r="R10899" s="318"/>
      <c r="S10899" s="318"/>
      <c r="T10899" s="318"/>
      <c r="U10899" s="318"/>
      <c r="V10899" s="318"/>
      <c r="W10899" s="318"/>
      <c r="X10899" s="318"/>
      <c r="Y10899" s="318"/>
      <c r="Z10899" s="318"/>
      <c r="AA10899" s="318"/>
      <c r="AB10899" s="318"/>
      <c r="AC10899" s="318"/>
      <c r="AD10899" s="318"/>
    </row>
    <row r="10900" spans="2:30" s="323" customFormat="1" ht="12" customHeight="1">
      <c r="B10900" s="324"/>
      <c r="C10900" s="325"/>
      <c r="D10900" s="326"/>
      <c r="E10900" s="326"/>
      <c r="F10900" s="326"/>
      <c r="G10900" s="326"/>
      <c r="H10900" s="326"/>
      <c r="P10900" s="318"/>
      <c r="Q10900" s="318"/>
      <c r="R10900" s="318"/>
      <c r="S10900" s="318"/>
      <c r="T10900" s="318"/>
      <c r="U10900" s="318"/>
      <c r="V10900" s="318"/>
      <c r="W10900" s="318"/>
      <c r="X10900" s="318"/>
      <c r="Y10900" s="318"/>
      <c r="Z10900" s="318"/>
      <c r="AA10900" s="318"/>
      <c r="AB10900" s="318"/>
      <c r="AC10900" s="318"/>
      <c r="AD10900" s="318"/>
    </row>
    <row r="10901" spans="2:30" s="323" customFormat="1" ht="12" customHeight="1">
      <c r="B10901" s="324"/>
      <c r="C10901" s="325"/>
      <c r="D10901" s="326"/>
      <c r="E10901" s="326"/>
      <c r="F10901" s="326"/>
      <c r="G10901" s="326"/>
      <c r="H10901" s="326"/>
      <c r="P10901" s="318"/>
      <c r="Q10901" s="318"/>
      <c r="R10901" s="318"/>
      <c r="S10901" s="318"/>
      <c r="T10901" s="318"/>
      <c r="U10901" s="318"/>
      <c r="V10901" s="318"/>
      <c r="W10901" s="318"/>
      <c r="X10901" s="318"/>
      <c r="Y10901" s="318"/>
      <c r="Z10901" s="318"/>
      <c r="AA10901" s="318"/>
      <c r="AB10901" s="318"/>
      <c r="AC10901" s="318"/>
      <c r="AD10901" s="318"/>
    </row>
    <row r="10902" spans="2:30" s="323" customFormat="1" ht="12" customHeight="1">
      <c r="B10902" s="324"/>
      <c r="C10902" s="325"/>
      <c r="D10902" s="326"/>
      <c r="E10902" s="326"/>
      <c r="F10902" s="326"/>
      <c r="G10902" s="326"/>
      <c r="H10902" s="326"/>
      <c r="P10902" s="318"/>
      <c r="Q10902" s="318"/>
      <c r="R10902" s="318"/>
      <c r="S10902" s="318"/>
      <c r="T10902" s="318"/>
      <c r="U10902" s="318"/>
      <c r="V10902" s="318"/>
      <c r="W10902" s="318"/>
      <c r="X10902" s="318"/>
      <c r="Y10902" s="318"/>
      <c r="Z10902" s="318"/>
      <c r="AA10902" s="318"/>
      <c r="AB10902" s="318"/>
      <c r="AC10902" s="318"/>
      <c r="AD10902" s="318"/>
    </row>
    <row r="10903" spans="2:30" s="323" customFormat="1" ht="12" customHeight="1">
      <c r="B10903" s="324"/>
      <c r="C10903" s="325"/>
      <c r="D10903" s="326"/>
      <c r="E10903" s="326"/>
      <c r="F10903" s="326"/>
      <c r="G10903" s="326"/>
      <c r="H10903" s="326"/>
      <c r="P10903" s="318"/>
      <c r="Q10903" s="318"/>
      <c r="R10903" s="318"/>
      <c r="S10903" s="318"/>
      <c r="T10903" s="318"/>
      <c r="U10903" s="318"/>
      <c r="V10903" s="318"/>
      <c r="W10903" s="318"/>
      <c r="X10903" s="318"/>
      <c r="Y10903" s="318"/>
      <c r="Z10903" s="318"/>
      <c r="AA10903" s="318"/>
      <c r="AB10903" s="318"/>
      <c r="AC10903" s="318"/>
      <c r="AD10903" s="318"/>
    </row>
    <row r="10904" spans="2:30" s="323" customFormat="1" ht="12" customHeight="1">
      <c r="B10904" s="324"/>
      <c r="C10904" s="325"/>
      <c r="D10904" s="326"/>
      <c r="E10904" s="326"/>
      <c r="F10904" s="326"/>
      <c r="G10904" s="326"/>
      <c r="H10904" s="326"/>
      <c r="P10904" s="318"/>
      <c r="Q10904" s="318"/>
      <c r="R10904" s="318"/>
      <c r="S10904" s="318"/>
      <c r="T10904" s="318"/>
      <c r="U10904" s="318"/>
      <c r="V10904" s="318"/>
      <c r="W10904" s="318"/>
      <c r="X10904" s="318"/>
      <c r="Y10904" s="318"/>
      <c r="Z10904" s="318"/>
      <c r="AA10904" s="318"/>
      <c r="AB10904" s="318"/>
      <c r="AC10904" s="318"/>
      <c r="AD10904" s="318"/>
    </row>
    <row r="10905" spans="2:30" s="323" customFormat="1" ht="12" customHeight="1">
      <c r="B10905" s="324"/>
      <c r="C10905" s="325"/>
      <c r="D10905" s="326"/>
      <c r="E10905" s="326"/>
      <c r="F10905" s="326"/>
      <c r="G10905" s="326"/>
      <c r="H10905" s="326"/>
      <c r="P10905" s="318"/>
      <c r="Q10905" s="318"/>
      <c r="R10905" s="318"/>
      <c r="S10905" s="318"/>
      <c r="T10905" s="318"/>
      <c r="U10905" s="318"/>
      <c r="V10905" s="318"/>
      <c r="W10905" s="318"/>
      <c r="X10905" s="318"/>
      <c r="Y10905" s="318"/>
      <c r="Z10905" s="318"/>
      <c r="AA10905" s="318"/>
      <c r="AB10905" s="318"/>
      <c r="AC10905" s="318"/>
      <c r="AD10905" s="318"/>
    </row>
    <row r="10906" spans="2:30" s="323" customFormat="1" ht="12" customHeight="1">
      <c r="B10906" s="324"/>
      <c r="C10906" s="325"/>
      <c r="D10906" s="326"/>
      <c r="E10906" s="326"/>
      <c r="F10906" s="326"/>
      <c r="G10906" s="326"/>
      <c r="H10906" s="326"/>
      <c r="P10906" s="318"/>
      <c r="Q10906" s="318"/>
      <c r="R10906" s="318"/>
      <c r="S10906" s="318"/>
      <c r="T10906" s="318"/>
      <c r="U10906" s="318"/>
      <c r="V10906" s="318"/>
      <c r="W10906" s="318"/>
      <c r="X10906" s="318"/>
      <c r="Y10906" s="318"/>
      <c r="Z10906" s="318"/>
      <c r="AA10906" s="318"/>
      <c r="AB10906" s="318"/>
      <c r="AC10906" s="318"/>
      <c r="AD10906" s="318"/>
    </row>
    <row r="10907" spans="2:30" s="323" customFormat="1" ht="12" customHeight="1">
      <c r="B10907" s="324"/>
      <c r="C10907" s="325"/>
      <c r="D10907" s="326"/>
      <c r="E10907" s="326"/>
      <c r="F10907" s="326"/>
      <c r="G10907" s="326"/>
      <c r="H10907" s="326"/>
      <c r="P10907" s="318"/>
      <c r="Q10907" s="318"/>
      <c r="R10907" s="318"/>
      <c r="S10907" s="318"/>
      <c r="T10907" s="318"/>
      <c r="U10907" s="318"/>
      <c r="V10907" s="318"/>
      <c r="W10907" s="318"/>
      <c r="X10907" s="318"/>
      <c r="Y10907" s="318"/>
      <c r="Z10907" s="318"/>
      <c r="AA10907" s="318"/>
      <c r="AB10907" s="318"/>
      <c r="AC10907" s="318"/>
      <c r="AD10907" s="318"/>
    </row>
    <row r="10908" spans="2:30" s="323" customFormat="1" ht="12" customHeight="1">
      <c r="B10908" s="324"/>
      <c r="C10908" s="325"/>
      <c r="D10908" s="326"/>
      <c r="E10908" s="326"/>
      <c r="F10908" s="326"/>
      <c r="G10908" s="326"/>
      <c r="H10908" s="326"/>
      <c r="P10908" s="318"/>
      <c r="Q10908" s="318"/>
      <c r="R10908" s="318"/>
      <c r="S10908" s="318"/>
      <c r="T10908" s="318"/>
      <c r="U10908" s="318"/>
      <c r="V10908" s="318"/>
      <c r="W10908" s="318"/>
      <c r="X10908" s="318"/>
      <c r="Y10908" s="318"/>
      <c r="Z10908" s="318"/>
      <c r="AA10908" s="318"/>
      <c r="AB10908" s="318"/>
      <c r="AC10908" s="318"/>
      <c r="AD10908" s="318"/>
    </row>
    <row r="10909" spans="2:30" s="323" customFormat="1" ht="12" customHeight="1">
      <c r="B10909" s="324"/>
      <c r="C10909" s="325"/>
      <c r="D10909" s="326"/>
      <c r="E10909" s="326"/>
      <c r="F10909" s="326"/>
      <c r="G10909" s="326"/>
      <c r="H10909" s="326"/>
      <c r="P10909" s="318"/>
      <c r="Q10909" s="318"/>
      <c r="R10909" s="318"/>
      <c r="S10909" s="318"/>
      <c r="T10909" s="318"/>
      <c r="U10909" s="318"/>
      <c r="V10909" s="318"/>
      <c r="W10909" s="318"/>
      <c r="X10909" s="318"/>
      <c r="Y10909" s="318"/>
      <c r="Z10909" s="318"/>
      <c r="AA10909" s="318"/>
      <c r="AB10909" s="318"/>
      <c r="AC10909" s="318"/>
      <c r="AD10909" s="318"/>
    </row>
    <row r="10910" spans="2:30" s="323" customFormat="1" ht="12" customHeight="1">
      <c r="B10910" s="324"/>
      <c r="C10910" s="325"/>
      <c r="D10910" s="326"/>
      <c r="E10910" s="326"/>
      <c r="F10910" s="326"/>
      <c r="G10910" s="326"/>
      <c r="H10910" s="326"/>
      <c r="P10910" s="318"/>
      <c r="Q10910" s="318"/>
      <c r="R10910" s="318"/>
      <c r="S10910" s="318"/>
      <c r="T10910" s="318"/>
      <c r="U10910" s="318"/>
      <c r="V10910" s="318"/>
      <c r="W10910" s="318"/>
      <c r="X10910" s="318"/>
      <c r="Y10910" s="318"/>
      <c r="Z10910" s="318"/>
      <c r="AA10910" s="318"/>
      <c r="AB10910" s="318"/>
      <c r="AC10910" s="318"/>
      <c r="AD10910" s="318"/>
    </row>
    <row r="10911" spans="2:30" s="323" customFormat="1" ht="12" customHeight="1">
      <c r="B10911" s="324"/>
      <c r="C10911" s="325"/>
      <c r="D10911" s="326"/>
      <c r="E10911" s="326"/>
      <c r="F10911" s="326"/>
      <c r="G10911" s="326"/>
      <c r="H10911" s="326"/>
      <c r="P10911" s="318"/>
      <c r="Q10911" s="318"/>
      <c r="R10911" s="318"/>
      <c r="S10911" s="318"/>
      <c r="T10911" s="318"/>
      <c r="U10911" s="318"/>
      <c r="V10911" s="318"/>
      <c r="W10911" s="318"/>
      <c r="X10911" s="318"/>
      <c r="Y10911" s="318"/>
      <c r="Z10911" s="318"/>
      <c r="AA10911" s="318"/>
      <c r="AB10911" s="318"/>
      <c r="AC10911" s="318"/>
      <c r="AD10911" s="318"/>
    </row>
    <row r="10912" spans="2:30" s="323" customFormat="1" ht="12" customHeight="1">
      <c r="B10912" s="324"/>
      <c r="C10912" s="325"/>
      <c r="D10912" s="326"/>
      <c r="E10912" s="326"/>
      <c r="F10912" s="326"/>
      <c r="G10912" s="326"/>
      <c r="H10912" s="326"/>
      <c r="P10912" s="318"/>
      <c r="Q10912" s="318"/>
      <c r="R10912" s="318"/>
      <c r="S10912" s="318"/>
      <c r="T10912" s="318"/>
      <c r="U10912" s="318"/>
      <c r="V10912" s="318"/>
      <c r="W10912" s="318"/>
      <c r="X10912" s="318"/>
      <c r="Y10912" s="318"/>
      <c r="Z10912" s="318"/>
      <c r="AA10912" s="318"/>
      <c r="AB10912" s="318"/>
      <c r="AC10912" s="318"/>
      <c r="AD10912" s="318"/>
    </row>
    <row r="10913" spans="2:30" s="323" customFormat="1" ht="12" customHeight="1">
      <c r="B10913" s="324"/>
      <c r="C10913" s="325"/>
      <c r="D10913" s="326"/>
      <c r="E10913" s="326"/>
      <c r="F10913" s="326"/>
      <c r="G10913" s="326"/>
      <c r="H10913" s="326"/>
      <c r="P10913" s="318"/>
      <c r="Q10913" s="318"/>
      <c r="R10913" s="318"/>
      <c r="S10913" s="318"/>
      <c r="T10913" s="318"/>
      <c r="U10913" s="318"/>
      <c r="V10913" s="318"/>
      <c r="W10913" s="318"/>
      <c r="X10913" s="318"/>
      <c r="Y10913" s="318"/>
      <c r="Z10913" s="318"/>
      <c r="AA10913" s="318"/>
      <c r="AB10913" s="318"/>
      <c r="AC10913" s="318"/>
      <c r="AD10913" s="318"/>
    </row>
    <row r="10914" spans="2:30" s="323" customFormat="1" ht="12" customHeight="1">
      <c r="B10914" s="324"/>
      <c r="C10914" s="325"/>
      <c r="D10914" s="326"/>
      <c r="E10914" s="326"/>
      <c r="F10914" s="326"/>
      <c r="G10914" s="326"/>
      <c r="H10914" s="326"/>
      <c r="P10914" s="318"/>
      <c r="Q10914" s="318"/>
      <c r="R10914" s="318"/>
      <c r="S10914" s="318"/>
      <c r="T10914" s="318"/>
      <c r="U10914" s="318"/>
      <c r="V10914" s="318"/>
      <c r="W10914" s="318"/>
      <c r="X10914" s="318"/>
      <c r="Y10914" s="318"/>
      <c r="Z10914" s="318"/>
      <c r="AA10914" s="318"/>
      <c r="AB10914" s="318"/>
      <c r="AC10914" s="318"/>
      <c r="AD10914" s="318"/>
    </row>
    <row r="10915" spans="2:30" s="323" customFormat="1" ht="12" customHeight="1">
      <c r="B10915" s="324"/>
      <c r="C10915" s="325"/>
      <c r="D10915" s="326"/>
      <c r="E10915" s="326"/>
      <c r="F10915" s="326"/>
      <c r="G10915" s="326"/>
      <c r="H10915" s="326"/>
      <c r="P10915" s="318"/>
      <c r="Q10915" s="318"/>
      <c r="R10915" s="318"/>
      <c r="S10915" s="318"/>
      <c r="T10915" s="318"/>
      <c r="U10915" s="318"/>
      <c r="V10915" s="318"/>
      <c r="W10915" s="318"/>
      <c r="X10915" s="318"/>
      <c r="Y10915" s="318"/>
      <c r="Z10915" s="318"/>
      <c r="AA10915" s="318"/>
      <c r="AB10915" s="318"/>
      <c r="AC10915" s="318"/>
      <c r="AD10915" s="318"/>
    </row>
    <row r="10916" spans="2:30" s="323" customFormat="1" ht="12" customHeight="1">
      <c r="B10916" s="324"/>
      <c r="C10916" s="325"/>
      <c r="D10916" s="326"/>
      <c r="E10916" s="326"/>
      <c r="F10916" s="326"/>
      <c r="G10916" s="326"/>
      <c r="H10916" s="326"/>
      <c r="P10916" s="318"/>
      <c r="Q10916" s="318"/>
      <c r="R10916" s="318"/>
      <c r="S10916" s="318"/>
      <c r="T10916" s="318"/>
      <c r="U10916" s="318"/>
      <c r="V10916" s="318"/>
      <c r="W10916" s="318"/>
      <c r="X10916" s="318"/>
      <c r="Y10916" s="318"/>
      <c r="Z10916" s="318"/>
      <c r="AA10916" s="318"/>
      <c r="AB10916" s="318"/>
      <c r="AC10916" s="318"/>
      <c r="AD10916" s="318"/>
    </row>
    <row r="10917" spans="2:30" s="323" customFormat="1" ht="12" customHeight="1">
      <c r="B10917" s="324"/>
      <c r="C10917" s="325"/>
      <c r="D10917" s="326"/>
      <c r="E10917" s="326"/>
      <c r="F10917" s="326"/>
      <c r="G10917" s="326"/>
      <c r="H10917" s="326"/>
      <c r="P10917" s="318"/>
      <c r="Q10917" s="318"/>
      <c r="R10917" s="318"/>
      <c r="S10917" s="318"/>
      <c r="T10917" s="318"/>
      <c r="U10917" s="318"/>
      <c r="V10917" s="318"/>
      <c r="W10917" s="318"/>
      <c r="X10917" s="318"/>
      <c r="Y10917" s="318"/>
      <c r="Z10917" s="318"/>
      <c r="AA10917" s="318"/>
      <c r="AB10917" s="318"/>
      <c r="AC10917" s="318"/>
      <c r="AD10917" s="318"/>
    </row>
    <row r="10918" spans="2:30" s="323" customFormat="1" ht="12" customHeight="1">
      <c r="B10918" s="324"/>
      <c r="C10918" s="325"/>
      <c r="D10918" s="326"/>
      <c r="E10918" s="326"/>
      <c r="F10918" s="326"/>
      <c r="G10918" s="326"/>
      <c r="H10918" s="326"/>
      <c r="P10918" s="318"/>
      <c r="Q10918" s="318"/>
      <c r="R10918" s="318"/>
      <c r="S10918" s="318"/>
      <c r="T10918" s="318"/>
      <c r="U10918" s="318"/>
      <c r="V10918" s="318"/>
      <c r="W10918" s="318"/>
      <c r="X10918" s="318"/>
      <c r="Y10918" s="318"/>
      <c r="Z10918" s="318"/>
      <c r="AA10918" s="318"/>
      <c r="AB10918" s="318"/>
      <c r="AC10918" s="318"/>
      <c r="AD10918" s="318"/>
    </row>
    <row r="10919" spans="2:30" s="323" customFormat="1" ht="12" customHeight="1">
      <c r="B10919" s="324"/>
      <c r="C10919" s="325"/>
      <c r="D10919" s="326"/>
      <c r="E10919" s="326"/>
      <c r="F10919" s="326"/>
      <c r="G10919" s="326"/>
      <c r="H10919" s="326"/>
      <c r="P10919" s="318"/>
      <c r="Q10919" s="318"/>
      <c r="R10919" s="318"/>
      <c r="S10919" s="318"/>
      <c r="T10919" s="318"/>
      <c r="U10919" s="318"/>
      <c r="V10919" s="318"/>
      <c r="W10919" s="318"/>
      <c r="X10919" s="318"/>
      <c r="Y10919" s="318"/>
      <c r="Z10919" s="318"/>
      <c r="AA10919" s="318"/>
      <c r="AB10919" s="318"/>
      <c r="AC10919" s="318"/>
      <c r="AD10919" s="318"/>
    </row>
    <row r="10920" spans="2:30" s="323" customFormat="1" ht="12" customHeight="1">
      <c r="B10920" s="324"/>
      <c r="C10920" s="325"/>
      <c r="D10920" s="326"/>
      <c r="E10920" s="326"/>
      <c r="F10920" s="326"/>
      <c r="G10920" s="326"/>
      <c r="H10920" s="326"/>
      <c r="P10920" s="318"/>
      <c r="Q10920" s="318"/>
      <c r="R10920" s="318"/>
      <c r="S10920" s="318"/>
      <c r="T10920" s="318"/>
      <c r="U10920" s="318"/>
      <c r="V10920" s="318"/>
      <c r="W10920" s="318"/>
      <c r="X10920" s="318"/>
      <c r="Y10920" s="318"/>
      <c r="Z10920" s="318"/>
      <c r="AA10920" s="318"/>
      <c r="AB10920" s="318"/>
      <c r="AC10920" s="318"/>
      <c r="AD10920" s="318"/>
    </row>
    <row r="10921" spans="2:30" s="323" customFormat="1" ht="12" customHeight="1">
      <c r="B10921" s="324"/>
      <c r="C10921" s="325"/>
      <c r="D10921" s="326"/>
      <c r="E10921" s="326"/>
      <c r="F10921" s="326"/>
      <c r="G10921" s="326"/>
      <c r="H10921" s="326"/>
      <c r="P10921" s="318"/>
      <c r="Q10921" s="318"/>
      <c r="R10921" s="318"/>
      <c r="S10921" s="318"/>
      <c r="T10921" s="318"/>
      <c r="U10921" s="318"/>
      <c r="V10921" s="318"/>
      <c r="W10921" s="318"/>
      <c r="X10921" s="318"/>
      <c r="Y10921" s="318"/>
      <c r="Z10921" s="318"/>
      <c r="AA10921" s="318"/>
      <c r="AB10921" s="318"/>
      <c r="AC10921" s="318"/>
      <c r="AD10921" s="318"/>
    </row>
    <row r="10922" spans="2:30" s="323" customFormat="1" ht="12" customHeight="1">
      <c r="B10922" s="324"/>
      <c r="C10922" s="325"/>
      <c r="D10922" s="326"/>
      <c r="E10922" s="326"/>
      <c r="F10922" s="326"/>
      <c r="G10922" s="326"/>
      <c r="H10922" s="326"/>
      <c r="P10922" s="318"/>
      <c r="Q10922" s="318"/>
      <c r="R10922" s="318"/>
      <c r="S10922" s="318"/>
      <c r="T10922" s="318"/>
      <c r="U10922" s="318"/>
      <c r="V10922" s="318"/>
      <c r="W10922" s="318"/>
      <c r="X10922" s="318"/>
      <c r="Y10922" s="318"/>
      <c r="Z10922" s="318"/>
      <c r="AA10922" s="318"/>
      <c r="AB10922" s="318"/>
      <c r="AC10922" s="318"/>
      <c r="AD10922" s="318"/>
    </row>
    <row r="10923" spans="2:30" s="323" customFormat="1" ht="12" customHeight="1">
      <c r="B10923" s="324"/>
      <c r="C10923" s="325"/>
      <c r="D10923" s="326"/>
      <c r="E10923" s="326"/>
      <c r="F10923" s="326"/>
      <c r="G10923" s="326"/>
      <c r="H10923" s="326"/>
      <c r="P10923" s="318"/>
      <c r="Q10923" s="318"/>
      <c r="R10923" s="318"/>
      <c r="S10923" s="318"/>
      <c r="T10923" s="318"/>
      <c r="U10923" s="318"/>
      <c r="V10923" s="318"/>
      <c r="W10923" s="318"/>
      <c r="X10923" s="318"/>
      <c r="Y10923" s="318"/>
      <c r="Z10923" s="318"/>
      <c r="AA10923" s="318"/>
      <c r="AB10923" s="318"/>
      <c r="AC10923" s="318"/>
      <c r="AD10923" s="318"/>
    </row>
    <row r="10924" spans="2:30" s="323" customFormat="1" ht="12" customHeight="1">
      <c r="B10924" s="324"/>
      <c r="C10924" s="325"/>
      <c r="D10924" s="326"/>
      <c r="E10924" s="326"/>
      <c r="F10924" s="326"/>
      <c r="G10924" s="326"/>
      <c r="H10924" s="326"/>
      <c r="P10924" s="318"/>
      <c r="Q10924" s="318"/>
      <c r="R10924" s="318"/>
      <c r="S10924" s="318"/>
      <c r="T10924" s="318"/>
      <c r="U10924" s="318"/>
      <c r="V10924" s="318"/>
      <c r="W10924" s="318"/>
      <c r="X10924" s="318"/>
      <c r="Y10924" s="318"/>
      <c r="Z10924" s="318"/>
      <c r="AA10924" s="318"/>
      <c r="AB10924" s="318"/>
      <c r="AC10924" s="318"/>
      <c r="AD10924" s="318"/>
    </row>
    <row r="10925" spans="2:30" s="323" customFormat="1" ht="12" customHeight="1">
      <c r="B10925" s="324"/>
      <c r="C10925" s="325"/>
      <c r="D10925" s="326"/>
      <c r="E10925" s="326"/>
      <c r="F10925" s="326"/>
      <c r="G10925" s="326"/>
      <c r="H10925" s="326"/>
      <c r="P10925" s="318"/>
      <c r="Q10925" s="318"/>
      <c r="R10925" s="318"/>
      <c r="S10925" s="318"/>
      <c r="T10925" s="318"/>
      <c r="U10925" s="318"/>
      <c r="V10925" s="318"/>
      <c r="W10925" s="318"/>
      <c r="X10925" s="318"/>
      <c r="Y10925" s="318"/>
      <c r="Z10925" s="318"/>
      <c r="AA10925" s="318"/>
      <c r="AB10925" s="318"/>
      <c r="AC10925" s="318"/>
      <c r="AD10925" s="318"/>
    </row>
    <row r="10926" spans="2:30" s="323" customFormat="1" ht="12" customHeight="1">
      <c r="B10926" s="324"/>
      <c r="C10926" s="325"/>
      <c r="D10926" s="326"/>
      <c r="E10926" s="326"/>
      <c r="F10926" s="326"/>
      <c r="G10926" s="326"/>
      <c r="H10926" s="326"/>
      <c r="P10926" s="318"/>
      <c r="Q10926" s="318"/>
      <c r="R10926" s="318"/>
      <c r="S10926" s="318"/>
      <c r="T10926" s="318"/>
      <c r="U10926" s="318"/>
      <c r="V10926" s="318"/>
      <c r="W10926" s="318"/>
      <c r="X10926" s="318"/>
      <c r="Y10926" s="318"/>
      <c r="Z10926" s="318"/>
      <c r="AA10926" s="318"/>
      <c r="AB10926" s="318"/>
      <c r="AC10926" s="318"/>
      <c r="AD10926" s="318"/>
    </row>
    <row r="10927" spans="2:30" s="323" customFormat="1" ht="12" customHeight="1">
      <c r="B10927" s="324"/>
      <c r="C10927" s="325"/>
      <c r="D10927" s="326"/>
      <c r="E10927" s="326"/>
      <c r="F10927" s="326"/>
      <c r="G10927" s="326"/>
      <c r="H10927" s="326"/>
      <c r="P10927" s="318"/>
      <c r="Q10927" s="318"/>
      <c r="R10927" s="318"/>
      <c r="S10927" s="318"/>
      <c r="T10927" s="318"/>
      <c r="U10927" s="318"/>
      <c r="V10927" s="318"/>
      <c r="W10927" s="318"/>
      <c r="X10927" s="318"/>
      <c r="Y10927" s="318"/>
      <c r="Z10927" s="318"/>
      <c r="AA10927" s="318"/>
      <c r="AB10927" s="318"/>
      <c r="AC10927" s="318"/>
      <c r="AD10927" s="318"/>
    </row>
    <row r="10928" spans="2:30" s="323" customFormat="1" ht="12" customHeight="1">
      <c r="B10928" s="324"/>
      <c r="C10928" s="325"/>
      <c r="D10928" s="326"/>
      <c r="E10928" s="326"/>
      <c r="F10928" s="326"/>
      <c r="G10928" s="326"/>
      <c r="H10928" s="326"/>
      <c r="P10928" s="318"/>
      <c r="Q10928" s="318"/>
      <c r="R10928" s="318"/>
      <c r="S10928" s="318"/>
      <c r="T10928" s="318"/>
      <c r="U10928" s="318"/>
      <c r="V10928" s="318"/>
      <c r="W10928" s="318"/>
      <c r="X10928" s="318"/>
      <c r="Y10928" s="318"/>
      <c r="Z10928" s="318"/>
      <c r="AA10928" s="318"/>
      <c r="AB10928" s="318"/>
      <c r="AC10928" s="318"/>
      <c r="AD10928" s="318"/>
    </row>
    <row r="10929" spans="2:30" s="323" customFormat="1" ht="12" customHeight="1">
      <c r="B10929" s="324"/>
      <c r="C10929" s="325"/>
      <c r="D10929" s="326"/>
      <c r="E10929" s="326"/>
      <c r="F10929" s="326"/>
      <c r="G10929" s="326"/>
      <c r="H10929" s="326"/>
      <c r="P10929" s="318"/>
      <c r="Q10929" s="318"/>
      <c r="R10929" s="318"/>
      <c r="S10929" s="318"/>
      <c r="T10929" s="318"/>
      <c r="U10929" s="318"/>
      <c r="V10929" s="318"/>
      <c r="W10929" s="318"/>
      <c r="X10929" s="318"/>
      <c r="Y10929" s="318"/>
      <c r="Z10929" s="318"/>
      <c r="AA10929" s="318"/>
      <c r="AB10929" s="318"/>
      <c r="AC10929" s="318"/>
      <c r="AD10929" s="318"/>
    </row>
    <row r="10930" spans="2:30" s="323" customFormat="1" ht="12" customHeight="1">
      <c r="B10930" s="324"/>
      <c r="C10930" s="325"/>
      <c r="D10930" s="326"/>
      <c r="E10930" s="326"/>
      <c r="F10930" s="326"/>
      <c r="G10930" s="326"/>
      <c r="H10930" s="326"/>
      <c r="P10930" s="318"/>
      <c r="Q10930" s="318"/>
      <c r="R10930" s="318"/>
      <c r="S10930" s="318"/>
      <c r="T10930" s="318"/>
      <c r="U10930" s="318"/>
      <c r="V10930" s="318"/>
      <c r="W10930" s="318"/>
      <c r="X10930" s="318"/>
      <c r="Y10930" s="318"/>
      <c r="Z10930" s="318"/>
      <c r="AA10930" s="318"/>
      <c r="AB10930" s="318"/>
      <c r="AC10930" s="318"/>
      <c r="AD10930" s="318"/>
    </row>
    <row r="10931" spans="2:30" s="323" customFormat="1" ht="12" customHeight="1">
      <c r="B10931" s="324"/>
      <c r="C10931" s="325"/>
      <c r="D10931" s="326"/>
      <c r="E10931" s="326"/>
      <c r="F10931" s="326"/>
      <c r="G10931" s="326"/>
      <c r="H10931" s="326"/>
      <c r="P10931" s="318"/>
      <c r="Q10931" s="318"/>
      <c r="R10931" s="318"/>
      <c r="S10931" s="318"/>
      <c r="T10931" s="318"/>
      <c r="U10931" s="318"/>
      <c r="V10931" s="318"/>
      <c r="W10931" s="318"/>
      <c r="X10931" s="318"/>
      <c r="Y10931" s="318"/>
      <c r="Z10931" s="318"/>
      <c r="AA10931" s="318"/>
      <c r="AB10931" s="318"/>
      <c r="AC10931" s="318"/>
      <c r="AD10931" s="318"/>
    </row>
    <row r="10932" spans="2:30" s="323" customFormat="1" ht="12" customHeight="1">
      <c r="B10932" s="324"/>
      <c r="C10932" s="325"/>
      <c r="D10932" s="326"/>
      <c r="E10932" s="326"/>
      <c r="F10932" s="326"/>
      <c r="G10932" s="326"/>
      <c r="H10932" s="326"/>
      <c r="P10932" s="318"/>
      <c r="Q10932" s="318"/>
      <c r="R10932" s="318"/>
      <c r="S10932" s="318"/>
      <c r="T10932" s="318"/>
      <c r="U10932" s="318"/>
      <c r="V10932" s="318"/>
      <c r="W10932" s="318"/>
      <c r="X10932" s="318"/>
      <c r="Y10932" s="318"/>
      <c r="Z10932" s="318"/>
      <c r="AA10932" s="318"/>
      <c r="AB10932" s="318"/>
      <c r="AC10932" s="318"/>
      <c r="AD10932" s="318"/>
    </row>
    <row r="10933" spans="2:30" s="323" customFormat="1" ht="12" customHeight="1">
      <c r="B10933" s="324"/>
      <c r="C10933" s="325"/>
      <c r="D10933" s="326"/>
      <c r="E10933" s="326"/>
      <c r="F10933" s="326"/>
      <c r="G10933" s="326"/>
      <c r="H10933" s="326"/>
      <c r="P10933" s="318"/>
      <c r="Q10933" s="318"/>
      <c r="R10933" s="318"/>
      <c r="S10933" s="318"/>
      <c r="T10933" s="318"/>
      <c r="U10933" s="318"/>
      <c r="V10933" s="318"/>
      <c r="W10933" s="318"/>
      <c r="X10933" s="318"/>
      <c r="Y10933" s="318"/>
      <c r="Z10933" s="318"/>
      <c r="AA10933" s="318"/>
      <c r="AB10933" s="318"/>
      <c r="AC10933" s="318"/>
      <c r="AD10933" s="318"/>
    </row>
    <row r="10934" spans="2:30" s="323" customFormat="1" ht="12" customHeight="1">
      <c r="B10934" s="324"/>
      <c r="C10934" s="325"/>
      <c r="D10934" s="326"/>
      <c r="E10934" s="326"/>
      <c r="F10934" s="326"/>
      <c r="G10934" s="326"/>
      <c r="H10934" s="326"/>
      <c r="P10934" s="318"/>
      <c r="Q10934" s="318"/>
      <c r="R10934" s="318"/>
      <c r="S10934" s="318"/>
      <c r="T10934" s="318"/>
      <c r="U10934" s="318"/>
      <c r="V10934" s="318"/>
      <c r="W10934" s="318"/>
      <c r="X10934" s="318"/>
      <c r="Y10934" s="318"/>
      <c r="Z10934" s="318"/>
      <c r="AA10934" s="318"/>
      <c r="AB10934" s="318"/>
      <c r="AC10934" s="318"/>
      <c r="AD10934" s="318"/>
    </row>
    <row r="10935" spans="2:30" s="323" customFormat="1" ht="12" customHeight="1">
      <c r="B10935" s="324"/>
      <c r="C10935" s="325"/>
      <c r="D10935" s="326"/>
      <c r="E10935" s="326"/>
      <c r="F10935" s="326"/>
      <c r="G10935" s="326"/>
      <c r="H10935" s="326"/>
      <c r="P10935" s="318"/>
      <c r="Q10935" s="318"/>
      <c r="R10935" s="318"/>
      <c r="S10935" s="318"/>
      <c r="T10935" s="318"/>
      <c r="U10935" s="318"/>
      <c r="V10935" s="318"/>
      <c r="W10935" s="318"/>
      <c r="X10935" s="318"/>
      <c r="Y10935" s="318"/>
      <c r="Z10935" s="318"/>
      <c r="AA10935" s="318"/>
      <c r="AB10935" s="318"/>
      <c r="AC10935" s="318"/>
      <c r="AD10935" s="318"/>
    </row>
    <row r="10936" spans="2:30" s="323" customFormat="1" ht="12" customHeight="1">
      <c r="B10936" s="324"/>
      <c r="C10936" s="325"/>
      <c r="D10936" s="326"/>
      <c r="E10936" s="326"/>
      <c r="F10936" s="326"/>
      <c r="G10936" s="326"/>
      <c r="H10936" s="326"/>
      <c r="P10936" s="318"/>
      <c r="Q10936" s="318"/>
      <c r="R10936" s="318"/>
      <c r="S10936" s="318"/>
      <c r="T10936" s="318"/>
      <c r="U10936" s="318"/>
      <c r="V10936" s="318"/>
      <c r="W10936" s="318"/>
      <c r="X10936" s="318"/>
      <c r="Y10936" s="318"/>
      <c r="Z10936" s="318"/>
      <c r="AA10936" s="318"/>
      <c r="AB10936" s="318"/>
      <c r="AC10936" s="318"/>
      <c r="AD10936" s="318"/>
    </row>
    <row r="10937" spans="2:30" s="323" customFormat="1" ht="12" customHeight="1">
      <c r="B10937" s="324"/>
      <c r="C10937" s="325"/>
      <c r="D10937" s="326"/>
      <c r="E10937" s="326"/>
      <c r="F10937" s="326"/>
      <c r="G10937" s="326"/>
      <c r="H10937" s="326"/>
      <c r="P10937" s="318"/>
      <c r="Q10937" s="318"/>
      <c r="R10937" s="318"/>
      <c r="S10937" s="318"/>
      <c r="T10937" s="318"/>
      <c r="U10937" s="318"/>
      <c r="V10937" s="318"/>
      <c r="W10937" s="318"/>
      <c r="X10937" s="318"/>
      <c r="Y10937" s="318"/>
      <c r="Z10937" s="318"/>
      <c r="AA10937" s="318"/>
      <c r="AB10937" s="318"/>
      <c r="AC10937" s="318"/>
      <c r="AD10937" s="318"/>
    </row>
    <row r="10938" spans="2:30" s="323" customFormat="1" ht="12" customHeight="1">
      <c r="B10938" s="324"/>
      <c r="C10938" s="325"/>
      <c r="D10938" s="326"/>
      <c r="E10938" s="326"/>
      <c r="F10938" s="326"/>
      <c r="G10938" s="326"/>
      <c r="H10938" s="326"/>
      <c r="P10938" s="318"/>
      <c r="Q10938" s="318"/>
      <c r="R10938" s="318"/>
      <c r="S10938" s="318"/>
      <c r="T10938" s="318"/>
      <c r="U10938" s="318"/>
      <c r="V10938" s="318"/>
      <c r="W10938" s="318"/>
      <c r="X10938" s="318"/>
      <c r="Y10938" s="318"/>
      <c r="Z10938" s="318"/>
      <c r="AA10938" s="318"/>
      <c r="AB10938" s="318"/>
      <c r="AC10938" s="318"/>
      <c r="AD10938" s="318"/>
    </row>
    <row r="10939" spans="2:30" s="323" customFormat="1" ht="12" customHeight="1">
      <c r="B10939" s="324"/>
      <c r="C10939" s="325"/>
      <c r="D10939" s="326"/>
      <c r="E10939" s="326"/>
      <c r="F10939" s="326"/>
      <c r="G10939" s="326"/>
      <c r="H10939" s="326"/>
      <c r="P10939" s="318"/>
      <c r="Q10939" s="318"/>
      <c r="R10939" s="318"/>
      <c r="S10939" s="318"/>
      <c r="T10939" s="318"/>
      <c r="U10939" s="318"/>
      <c r="V10939" s="318"/>
      <c r="W10939" s="318"/>
      <c r="X10939" s="318"/>
      <c r="Y10939" s="318"/>
      <c r="Z10939" s="318"/>
      <c r="AA10939" s="318"/>
      <c r="AB10939" s="318"/>
      <c r="AC10939" s="318"/>
      <c r="AD10939" s="318"/>
    </row>
    <row r="10940" spans="2:30" s="323" customFormat="1" ht="12" customHeight="1">
      <c r="B10940" s="324"/>
      <c r="C10940" s="325"/>
      <c r="D10940" s="326"/>
      <c r="E10940" s="326"/>
      <c r="F10940" s="326"/>
      <c r="G10940" s="326"/>
      <c r="H10940" s="326"/>
      <c r="P10940" s="318"/>
      <c r="Q10940" s="318"/>
      <c r="R10940" s="318"/>
      <c r="S10940" s="318"/>
      <c r="T10940" s="318"/>
      <c r="U10940" s="318"/>
      <c r="V10940" s="318"/>
      <c r="W10940" s="318"/>
      <c r="X10940" s="318"/>
      <c r="Y10940" s="318"/>
      <c r="Z10940" s="318"/>
      <c r="AA10940" s="318"/>
      <c r="AB10940" s="318"/>
      <c r="AC10940" s="318"/>
      <c r="AD10940" s="318"/>
    </row>
    <row r="10941" spans="2:30" s="323" customFormat="1" ht="12" customHeight="1">
      <c r="B10941" s="324"/>
      <c r="C10941" s="325"/>
      <c r="D10941" s="326"/>
      <c r="E10941" s="326"/>
      <c r="F10941" s="326"/>
      <c r="G10941" s="326"/>
      <c r="H10941" s="326"/>
      <c r="P10941" s="318"/>
      <c r="Q10941" s="318"/>
      <c r="R10941" s="318"/>
      <c r="S10941" s="318"/>
      <c r="T10941" s="318"/>
      <c r="U10941" s="318"/>
      <c r="V10941" s="318"/>
      <c r="W10941" s="318"/>
      <c r="X10941" s="318"/>
      <c r="Y10941" s="318"/>
      <c r="Z10941" s="318"/>
      <c r="AA10941" s="318"/>
      <c r="AB10941" s="318"/>
      <c r="AC10941" s="318"/>
      <c r="AD10941" s="318"/>
    </row>
    <row r="10942" spans="2:30" s="323" customFormat="1" ht="12" customHeight="1">
      <c r="B10942" s="324"/>
      <c r="C10942" s="325"/>
      <c r="D10942" s="326"/>
      <c r="E10942" s="326"/>
      <c r="F10942" s="326"/>
      <c r="G10942" s="326"/>
      <c r="H10942" s="326"/>
      <c r="P10942" s="318"/>
      <c r="Q10942" s="318"/>
      <c r="R10942" s="318"/>
      <c r="S10942" s="318"/>
      <c r="T10942" s="318"/>
      <c r="U10942" s="318"/>
      <c r="V10942" s="318"/>
      <c r="W10942" s="318"/>
      <c r="X10942" s="318"/>
      <c r="Y10942" s="318"/>
      <c r="Z10942" s="318"/>
      <c r="AA10942" s="318"/>
      <c r="AB10942" s="318"/>
      <c r="AC10942" s="318"/>
      <c r="AD10942" s="318"/>
    </row>
    <row r="10943" spans="2:30" s="323" customFormat="1" ht="12" customHeight="1">
      <c r="B10943" s="324"/>
      <c r="C10943" s="325"/>
      <c r="D10943" s="326"/>
      <c r="E10943" s="326"/>
      <c r="F10943" s="326"/>
      <c r="G10943" s="326"/>
      <c r="H10943" s="326"/>
      <c r="P10943" s="318"/>
      <c r="Q10943" s="318"/>
      <c r="R10943" s="318"/>
      <c r="S10943" s="318"/>
      <c r="T10943" s="318"/>
      <c r="U10943" s="318"/>
      <c r="V10943" s="318"/>
      <c r="W10943" s="318"/>
      <c r="X10943" s="318"/>
      <c r="Y10943" s="318"/>
      <c r="Z10943" s="318"/>
      <c r="AA10943" s="318"/>
      <c r="AB10943" s="318"/>
      <c r="AC10943" s="318"/>
      <c r="AD10943" s="318"/>
    </row>
    <row r="10944" spans="2:30" s="323" customFormat="1" ht="12" customHeight="1">
      <c r="B10944" s="324"/>
      <c r="C10944" s="325"/>
      <c r="D10944" s="326"/>
      <c r="E10944" s="326"/>
      <c r="F10944" s="326"/>
      <c r="G10944" s="326"/>
      <c r="H10944" s="326"/>
      <c r="P10944" s="318"/>
      <c r="Q10944" s="318"/>
      <c r="R10944" s="318"/>
      <c r="S10944" s="318"/>
      <c r="T10944" s="318"/>
      <c r="U10944" s="318"/>
      <c r="V10944" s="318"/>
      <c r="W10944" s="318"/>
      <c r="X10944" s="318"/>
      <c r="Y10944" s="318"/>
      <c r="Z10944" s="318"/>
      <c r="AA10944" s="318"/>
      <c r="AB10944" s="318"/>
      <c r="AC10944" s="318"/>
      <c r="AD10944" s="318"/>
    </row>
    <row r="10945" spans="2:30" s="323" customFormat="1" ht="12" customHeight="1">
      <c r="B10945" s="324"/>
      <c r="C10945" s="325"/>
      <c r="D10945" s="326"/>
      <c r="E10945" s="326"/>
      <c r="F10945" s="326"/>
      <c r="G10945" s="326"/>
      <c r="H10945" s="326"/>
      <c r="P10945" s="318"/>
      <c r="Q10945" s="318"/>
      <c r="R10945" s="318"/>
      <c r="S10945" s="318"/>
      <c r="T10945" s="318"/>
      <c r="U10945" s="318"/>
      <c r="V10945" s="318"/>
      <c r="W10945" s="318"/>
      <c r="X10945" s="318"/>
      <c r="Y10945" s="318"/>
      <c r="Z10945" s="318"/>
      <c r="AA10945" s="318"/>
      <c r="AB10945" s="318"/>
      <c r="AC10945" s="318"/>
      <c r="AD10945" s="318"/>
    </row>
    <row r="10946" spans="2:30" s="323" customFormat="1" ht="12" customHeight="1">
      <c r="B10946" s="324"/>
      <c r="C10946" s="325"/>
      <c r="D10946" s="326"/>
      <c r="E10946" s="326"/>
      <c r="F10946" s="326"/>
      <c r="G10946" s="326"/>
      <c r="H10946" s="326"/>
      <c r="P10946" s="318"/>
      <c r="Q10946" s="318"/>
      <c r="R10946" s="318"/>
      <c r="S10946" s="318"/>
      <c r="T10946" s="318"/>
      <c r="U10946" s="318"/>
      <c r="V10946" s="318"/>
      <c r="W10946" s="318"/>
      <c r="X10946" s="318"/>
      <c r="Y10946" s="318"/>
      <c r="Z10946" s="318"/>
      <c r="AA10946" s="318"/>
      <c r="AB10946" s="318"/>
      <c r="AC10946" s="318"/>
      <c r="AD10946" s="318"/>
    </row>
    <row r="10947" spans="2:30" s="323" customFormat="1" ht="12" customHeight="1">
      <c r="B10947" s="324"/>
      <c r="C10947" s="325"/>
      <c r="D10947" s="326"/>
      <c r="E10947" s="326"/>
      <c r="F10947" s="326"/>
      <c r="G10947" s="326"/>
      <c r="H10947" s="326"/>
      <c r="P10947" s="318"/>
      <c r="Q10947" s="318"/>
      <c r="R10947" s="318"/>
      <c r="S10947" s="318"/>
      <c r="T10947" s="318"/>
      <c r="U10947" s="318"/>
      <c r="V10947" s="318"/>
      <c r="W10947" s="318"/>
      <c r="X10947" s="318"/>
      <c r="Y10947" s="318"/>
      <c r="Z10947" s="318"/>
      <c r="AA10947" s="318"/>
      <c r="AB10947" s="318"/>
      <c r="AC10947" s="318"/>
      <c r="AD10947" s="318"/>
    </row>
    <row r="10948" spans="2:30" s="323" customFormat="1" ht="12" customHeight="1">
      <c r="B10948" s="324"/>
      <c r="C10948" s="325"/>
      <c r="D10948" s="326"/>
      <c r="E10948" s="326"/>
      <c r="F10948" s="326"/>
      <c r="G10948" s="326"/>
      <c r="H10948" s="326"/>
      <c r="P10948" s="318"/>
      <c r="Q10948" s="318"/>
      <c r="R10948" s="318"/>
      <c r="S10948" s="318"/>
      <c r="T10948" s="318"/>
      <c r="U10948" s="318"/>
      <c r="V10948" s="318"/>
      <c r="W10948" s="318"/>
      <c r="X10948" s="318"/>
      <c r="Y10948" s="318"/>
      <c r="Z10948" s="318"/>
      <c r="AA10948" s="318"/>
      <c r="AB10948" s="318"/>
      <c r="AC10948" s="318"/>
      <c r="AD10948" s="318"/>
    </row>
    <row r="10949" spans="2:30" s="323" customFormat="1" ht="12" customHeight="1">
      <c r="B10949" s="324"/>
      <c r="C10949" s="325"/>
      <c r="D10949" s="326"/>
      <c r="E10949" s="326"/>
      <c r="F10949" s="326"/>
      <c r="G10949" s="326"/>
      <c r="H10949" s="326"/>
      <c r="P10949" s="318"/>
      <c r="Q10949" s="318"/>
      <c r="R10949" s="318"/>
      <c r="S10949" s="318"/>
      <c r="T10949" s="318"/>
      <c r="U10949" s="318"/>
      <c r="V10949" s="318"/>
      <c r="W10949" s="318"/>
      <c r="X10949" s="318"/>
      <c r="Y10949" s="318"/>
      <c r="Z10949" s="318"/>
      <c r="AA10949" s="318"/>
      <c r="AB10949" s="318"/>
      <c r="AC10949" s="318"/>
      <c r="AD10949" s="318"/>
    </row>
    <row r="10950" spans="2:30" s="323" customFormat="1" ht="12" customHeight="1">
      <c r="B10950" s="324"/>
      <c r="C10950" s="325"/>
      <c r="D10950" s="326"/>
      <c r="E10950" s="326"/>
      <c r="F10950" s="326"/>
      <c r="G10950" s="326"/>
      <c r="H10950" s="326"/>
      <c r="P10950" s="318"/>
      <c r="Q10950" s="318"/>
      <c r="R10950" s="318"/>
      <c r="S10950" s="318"/>
      <c r="T10950" s="318"/>
      <c r="U10950" s="318"/>
      <c r="V10950" s="318"/>
      <c r="W10950" s="318"/>
      <c r="X10950" s="318"/>
      <c r="Y10950" s="318"/>
      <c r="Z10950" s="318"/>
      <c r="AA10950" s="318"/>
      <c r="AB10950" s="318"/>
      <c r="AC10950" s="318"/>
      <c r="AD10950" s="318"/>
    </row>
    <row r="10951" spans="2:30" s="323" customFormat="1" ht="12" customHeight="1">
      <c r="B10951" s="324"/>
      <c r="C10951" s="325"/>
      <c r="D10951" s="326"/>
      <c r="E10951" s="326"/>
      <c r="F10951" s="326"/>
      <c r="G10951" s="326"/>
      <c r="H10951" s="326"/>
      <c r="P10951" s="318"/>
      <c r="Q10951" s="318"/>
      <c r="R10951" s="318"/>
      <c r="S10951" s="318"/>
      <c r="T10951" s="318"/>
      <c r="U10951" s="318"/>
      <c r="V10951" s="318"/>
      <c r="W10951" s="318"/>
      <c r="X10951" s="318"/>
      <c r="Y10951" s="318"/>
      <c r="Z10951" s="318"/>
      <c r="AA10951" s="318"/>
      <c r="AB10951" s="318"/>
      <c r="AC10951" s="318"/>
      <c r="AD10951" s="318"/>
    </row>
    <row r="10952" spans="2:30" s="323" customFormat="1" ht="12" customHeight="1">
      <c r="B10952" s="324"/>
      <c r="C10952" s="325"/>
      <c r="D10952" s="326"/>
      <c r="E10952" s="326"/>
      <c r="F10952" s="326"/>
      <c r="G10952" s="326"/>
      <c r="H10952" s="326"/>
      <c r="P10952" s="318"/>
      <c r="Q10952" s="318"/>
      <c r="R10952" s="318"/>
      <c r="S10952" s="318"/>
      <c r="T10952" s="318"/>
      <c r="U10952" s="318"/>
      <c r="V10952" s="318"/>
      <c r="W10952" s="318"/>
      <c r="X10952" s="318"/>
      <c r="Y10952" s="318"/>
      <c r="Z10952" s="318"/>
      <c r="AA10952" s="318"/>
      <c r="AB10952" s="318"/>
      <c r="AC10952" s="318"/>
      <c r="AD10952" s="318"/>
    </row>
    <row r="10953" spans="2:30" s="323" customFormat="1" ht="12" customHeight="1">
      <c r="B10953" s="324"/>
      <c r="C10953" s="325"/>
      <c r="D10953" s="326"/>
      <c r="E10953" s="326"/>
      <c r="F10953" s="326"/>
      <c r="G10953" s="326"/>
      <c r="H10953" s="326"/>
      <c r="P10953" s="318"/>
      <c r="Q10953" s="318"/>
      <c r="R10953" s="318"/>
      <c r="S10953" s="318"/>
      <c r="T10953" s="318"/>
      <c r="U10953" s="318"/>
      <c r="V10953" s="318"/>
      <c r="W10953" s="318"/>
      <c r="X10953" s="318"/>
      <c r="Y10953" s="318"/>
      <c r="Z10953" s="318"/>
      <c r="AA10953" s="318"/>
      <c r="AB10953" s="318"/>
      <c r="AC10953" s="318"/>
      <c r="AD10953" s="318"/>
    </row>
    <row r="10954" spans="2:30" s="323" customFormat="1" ht="12" customHeight="1">
      <c r="B10954" s="324"/>
      <c r="C10954" s="325"/>
      <c r="D10954" s="326"/>
      <c r="E10954" s="326"/>
      <c r="F10954" s="326"/>
      <c r="G10954" s="326"/>
      <c r="H10954" s="326"/>
      <c r="P10954" s="318"/>
      <c r="Q10954" s="318"/>
      <c r="R10954" s="318"/>
      <c r="S10954" s="318"/>
      <c r="T10954" s="318"/>
      <c r="U10954" s="318"/>
      <c r="V10954" s="318"/>
      <c r="W10954" s="318"/>
      <c r="X10954" s="318"/>
      <c r="Y10954" s="318"/>
      <c r="Z10954" s="318"/>
      <c r="AA10954" s="318"/>
      <c r="AB10954" s="318"/>
      <c r="AC10954" s="318"/>
      <c r="AD10954" s="318"/>
    </row>
    <row r="10955" spans="2:30" s="323" customFormat="1" ht="12" customHeight="1">
      <c r="B10955" s="324"/>
      <c r="C10955" s="325"/>
      <c r="D10955" s="326"/>
      <c r="E10955" s="326"/>
      <c r="F10955" s="326"/>
      <c r="G10955" s="326"/>
      <c r="H10955" s="326"/>
      <c r="P10955" s="318"/>
      <c r="Q10955" s="318"/>
      <c r="R10955" s="318"/>
      <c r="S10955" s="318"/>
      <c r="T10955" s="318"/>
      <c r="U10955" s="318"/>
      <c r="V10955" s="318"/>
      <c r="W10955" s="318"/>
      <c r="X10955" s="318"/>
      <c r="Y10955" s="318"/>
      <c r="Z10955" s="318"/>
      <c r="AA10955" s="318"/>
      <c r="AB10955" s="318"/>
      <c r="AC10955" s="318"/>
      <c r="AD10955" s="318"/>
    </row>
    <row r="10956" spans="2:30" s="323" customFormat="1" ht="12" customHeight="1">
      <c r="B10956" s="324"/>
      <c r="C10956" s="325"/>
      <c r="D10956" s="326"/>
      <c r="E10956" s="326"/>
      <c r="F10956" s="326"/>
      <c r="G10956" s="326"/>
      <c r="H10956" s="326"/>
      <c r="P10956" s="318"/>
      <c r="Q10956" s="318"/>
      <c r="R10956" s="318"/>
      <c r="S10956" s="318"/>
      <c r="T10956" s="318"/>
      <c r="U10956" s="318"/>
      <c r="V10956" s="318"/>
      <c r="W10956" s="318"/>
      <c r="X10956" s="318"/>
      <c r="Y10956" s="318"/>
      <c r="Z10956" s="318"/>
      <c r="AA10956" s="318"/>
      <c r="AB10956" s="318"/>
      <c r="AC10956" s="318"/>
      <c r="AD10956" s="318"/>
    </row>
    <row r="10957" spans="2:30" s="323" customFormat="1" ht="12" customHeight="1">
      <c r="B10957" s="324"/>
      <c r="C10957" s="325"/>
      <c r="D10957" s="326"/>
      <c r="E10957" s="326"/>
      <c r="F10957" s="326"/>
      <c r="G10957" s="326"/>
      <c r="H10957" s="326"/>
      <c r="P10957" s="318"/>
      <c r="Q10957" s="318"/>
      <c r="R10957" s="318"/>
      <c r="S10957" s="318"/>
      <c r="T10957" s="318"/>
      <c r="U10957" s="318"/>
      <c r="V10957" s="318"/>
      <c r="W10957" s="318"/>
      <c r="X10957" s="318"/>
      <c r="Y10957" s="318"/>
      <c r="Z10957" s="318"/>
      <c r="AA10957" s="318"/>
      <c r="AB10957" s="318"/>
      <c r="AC10957" s="318"/>
      <c r="AD10957" s="318"/>
    </row>
    <row r="10958" spans="2:30" s="323" customFormat="1" ht="12" customHeight="1">
      <c r="B10958" s="324"/>
      <c r="C10958" s="325"/>
      <c r="D10958" s="326"/>
      <c r="E10958" s="326"/>
      <c r="F10958" s="326"/>
      <c r="G10958" s="326"/>
      <c r="H10958" s="326"/>
      <c r="P10958" s="318"/>
      <c r="Q10958" s="318"/>
      <c r="R10958" s="318"/>
      <c r="S10958" s="318"/>
      <c r="T10958" s="318"/>
      <c r="U10958" s="318"/>
      <c r="V10958" s="318"/>
      <c r="W10958" s="318"/>
      <c r="X10958" s="318"/>
      <c r="Y10958" s="318"/>
      <c r="Z10958" s="318"/>
      <c r="AA10958" s="318"/>
      <c r="AB10958" s="318"/>
      <c r="AC10958" s="318"/>
      <c r="AD10958" s="318"/>
    </row>
    <row r="10959" spans="2:30" s="323" customFormat="1" ht="12" customHeight="1">
      <c r="B10959" s="324"/>
      <c r="C10959" s="325"/>
      <c r="D10959" s="326"/>
      <c r="E10959" s="326"/>
      <c r="F10959" s="326"/>
      <c r="G10959" s="326"/>
      <c r="H10959" s="326"/>
      <c r="P10959" s="318"/>
      <c r="Q10959" s="318"/>
      <c r="R10959" s="318"/>
      <c r="S10959" s="318"/>
      <c r="T10959" s="318"/>
      <c r="U10959" s="318"/>
      <c r="V10959" s="318"/>
      <c r="W10959" s="318"/>
      <c r="X10959" s="318"/>
      <c r="Y10959" s="318"/>
      <c r="Z10959" s="318"/>
      <c r="AA10959" s="318"/>
      <c r="AB10959" s="318"/>
      <c r="AC10959" s="318"/>
      <c r="AD10959" s="318"/>
    </row>
    <row r="10960" spans="2:30" s="323" customFormat="1" ht="12" customHeight="1">
      <c r="B10960" s="324"/>
      <c r="C10960" s="325"/>
      <c r="D10960" s="326"/>
      <c r="E10960" s="326"/>
      <c r="F10960" s="326"/>
      <c r="G10960" s="326"/>
      <c r="H10960" s="326"/>
      <c r="P10960" s="318"/>
      <c r="Q10960" s="318"/>
      <c r="R10960" s="318"/>
      <c r="S10960" s="318"/>
      <c r="T10960" s="318"/>
      <c r="U10960" s="318"/>
      <c r="V10960" s="318"/>
      <c r="W10960" s="318"/>
      <c r="X10960" s="318"/>
      <c r="Y10960" s="318"/>
      <c r="Z10960" s="318"/>
      <c r="AA10960" s="318"/>
      <c r="AB10960" s="318"/>
      <c r="AC10960" s="318"/>
      <c r="AD10960" s="318"/>
    </row>
    <row r="10961" spans="2:30" s="323" customFormat="1" ht="12" customHeight="1">
      <c r="B10961" s="324"/>
      <c r="C10961" s="325"/>
      <c r="D10961" s="326"/>
      <c r="E10961" s="326"/>
      <c r="F10961" s="326"/>
      <c r="G10961" s="326"/>
      <c r="H10961" s="326"/>
      <c r="P10961" s="318"/>
      <c r="Q10961" s="318"/>
      <c r="R10961" s="318"/>
      <c r="S10961" s="318"/>
      <c r="T10961" s="318"/>
      <c r="U10961" s="318"/>
      <c r="V10961" s="318"/>
      <c r="W10961" s="318"/>
      <c r="X10961" s="318"/>
      <c r="Y10961" s="318"/>
      <c r="Z10961" s="318"/>
      <c r="AA10961" s="318"/>
      <c r="AB10961" s="318"/>
      <c r="AC10961" s="318"/>
      <c r="AD10961" s="318"/>
    </row>
    <row r="10962" spans="2:30" s="323" customFormat="1" ht="12" customHeight="1">
      <c r="B10962" s="324"/>
      <c r="C10962" s="325"/>
      <c r="D10962" s="326"/>
      <c r="E10962" s="326"/>
      <c r="F10962" s="326"/>
      <c r="G10962" s="326"/>
      <c r="H10962" s="326"/>
      <c r="P10962" s="318"/>
      <c r="Q10962" s="318"/>
      <c r="R10962" s="318"/>
      <c r="S10962" s="318"/>
      <c r="T10962" s="318"/>
      <c r="U10962" s="318"/>
      <c r="V10962" s="318"/>
      <c r="W10962" s="318"/>
      <c r="X10962" s="318"/>
      <c r="Y10962" s="318"/>
      <c r="Z10962" s="318"/>
      <c r="AA10962" s="318"/>
      <c r="AB10962" s="318"/>
      <c r="AC10962" s="318"/>
      <c r="AD10962" s="318"/>
    </row>
    <row r="10963" spans="2:30" s="323" customFormat="1" ht="12" customHeight="1">
      <c r="B10963" s="324"/>
      <c r="C10963" s="325"/>
      <c r="D10963" s="326"/>
      <c r="E10963" s="326"/>
      <c r="F10963" s="326"/>
      <c r="G10963" s="326"/>
      <c r="H10963" s="326"/>
      <c r="P10963" s="318"/>
      <c r="Q10963" s="318"/>
      <c r="R10963" s="318"/>
      <c r="S10963" s="318"/>
      <c r="T10963" s="318"/>
      <c r="U10963" s="318"/>
      <c r="V10963" s="318"/>
      <c r="W10963" s="318"/>
      <c r="X10963" s="318"/>
      <c r="Y10963" s="318"/>
      <c r="Z10963" s="318"/>
      <c r="AA10963" s="318"/>
      <c r="AB10963" s="318"/>
      <c r="AC10963" s="318"/>
      <c r="AD10963" s="318"/>
    </row>
    <row r="10964" spans="2:30" s="323" customFormat="1" ht="12" customHeight="1">
      <c r="B10964" s="324"/>
      <c r="C10964" s="325"/>
      <c r="D10964" s="326"/>
      <c r="E10964" s="326"/>
      <c r="F10964" s="326"/>
      <c r="G10964" s="326"/>
      <c r="H10964" s="326"/>
      <c r="P10964" s="318"/>
      <c r="Q10964" s="318"/>
      <c r="R10964" s="318"/>
      <c r="S10964" s="318"/>
      <c r="T10964" s="318"/>
      <c r="U10964" s="318"/>
      <c r="V10964" s="318"/>
      <c r="W10964" s="318"/>
      <c r="X10964" s="318"/>
      <c r="Y10964" s="318"/>
      <c r="Z10964" s="318"/>
      <c r="AA10964" s="318"/>
      <c r="AB10964" s="318"/>
      <c r="AC10964" s="318"/>
      <c r="AD10964" s="318"/>
    </row>
    <row r="10965" spans="2:30" s="323" customFormat="1" ht="12" customHeight="1">
      <c r="B10965" s="324"/>
      <c r="C10965" s="325"/>
      <c r="D10965" s="326"/>
      <c r="E10965" s="326"/>
      <c r="F10965" s="326"/>
      <c r="G10965" s="326"/>
      <c r="H10965" s="326"/>
      <c r="P10965" s="318"/>
      <c r="Q10965" s="318"/>
      <c r="R10965" s="318"/>
      <c r="S10965" s="318"/>
      <c r="T10965" s="318"/>
      <c r="U10965" s="318"/>
      <c r="V10965" s="318"/>
      <c r="W10965" s="318"/>
      <c r="X10965" s="318"/>
      <c r="Y10965" s="318"/>
      <c r="Z10965" s="318"/>
      <c r="AA10965" s="318"/>
      <c r="AB10965" s="318"/>
      <c r="AC10965" s="318"/>
      <c r="AD10965" s="318"/>
    </row>
    <row r="10966" spans="2:30" s="323" customFormat="1" ht="12" customHeight="1">
      <c r="B10966" s="324"/>
      <c r="C10966" s="325"/>
      <c r="D10966" s="326"/>
      <c r="E10966" s="326"/>
      <c r="F10966" s="326"/>
      <c r="G10966" s="326"/>
      <c r="H10966" s="326"/>
      <c r="P10966" s="318"/>
      <c r="Q10966" s="318"/>
      <c r="R10966" s="318"/>
      <c r="S10966" s="318"/>
      <c r="T10966" s="318"/>
      <c r="U10966" s="318"/>
      <c r="V10966" s="318"/>
      <c r="W10966" s="318"/>
      <c r="X10966" s="318"/>
      <c r="Y10966" s="318"/>
      <c r="Z10966" s="318"/>
      <c r="AA10966" s="318"/>
      <c r="AB10966" s="318"/>
      <c r="AC10966" s="318"/>
      <c r="AD10966" s="318"/>
    </row>
    <row r="10967" spans="2:30" s="323" customFormat="1" ht="12" customHeight="1">
      <c r="B10967" s="324"/>
      <c r="C10967" s="325"/>
      <c r="D10967" s="326"/>
      <c r="E10967" s="326"/>
      <c r="F10967" s="326"/>
      <c r="G10967" s="326"/>
      <c r="H10967" s="326"/>
      <c r="P10967" s="318"/>
      <c r="Q10967" s="318"/>
      <c r="R10967" s="318"/>
      <c r="S10967" s="318"/>
      <c r="T10967" s="318"/>
      <c r="U10967" s="318"/>
      <c r="V10967" s="318"/>
      <c r="W10967" s="318"/>
      <c r="X10967" s="318"/>
      <c r="Y10967" s="318"/>
      <c r="Z10967" s="318"/>
      <c r="AA10967" s="318"/>
      <c r="AB10967" s="318"/>
      <c r="AC10967" s="318"/>
      <c r="AD10967" s="318"/>
    </row>
    <row r="10968" spans="2:30" s="323" customFormat="1" ht="12" customHeight="1">
      <c r="B10968" s="324"/>
      <c r="C10968" s="325"/>
      <c r="D10968" s="326"/>
      <c r="E10968" s="326"/>
      <c r="F10968" s="326"/>
      <c r="G10968" s="326"/>
      <c r="H10968" s="326"/>
      <c r="P10968" s="318"/>
      <c r="Q10968" s="318"/>
      <c r="R10968" s="318"/>
      <c r="S10968" s="318"/>
      <c r="T10968" s="318"/>
      <c r="U10968" s="318"/>
      <c r="V10968" s="318"/>
      <c r="W10968" s="318"/>
      <c r="X10968" s="318"/>
      <c r="Y10968" s="318"/>
      <c r="Z10968" s="318"/>
      <c r="AA10968" s="318"/>
      <c r="AB10968" s="318"/>
      <c r="AC10968" s="318"/>
      <c r="AD10968" s="318"/>
    </row>
    <row r="10969" spans="2:30" s="323" customFormat="1" ht="12" customHeight="1">
      <c r="B10969" s="324"/>
      <c r="C10969" s="325"/>
      <c r="D10969" s="326"/>
      <c r="E10969" s="326"/>
      <c r="F10969" s="326"/>
      <c r="G10969" s="326"/>
      <c r="H10969" s="326"/>
      <c r="P10969" s="318"/>
      <c r="Q10969" s="318"/>
      <c r="R10969" s="318"/>
      <c r="S10969" s="318"/>
      <c r="T10969" s="318"/>
      <c r="U10969" s="318"/>
      <c r="V10969" s="318"/>
      <c r="W10969" s="318"/>
      <c r="X10969" s="318"/>
      <c r="Y10969" s="318"/>
      <c r="Z10969" s="318"/>
      <c r="AA10969" s="318"/>
      <c r="AB10969" s="318"/>
      <c r="AC10969" s="318"/>
      <c r="AD10969" s="318"/>
    </row>
    <row r="10970" spans="2:30" s="323" customFormat="1" ht="12" customHeight="1">
      <c r="B10970" s="324"/>
      <c r="C10970" s="325"/>
      <c r="D10970" s="326"/>
      <c r="E10970" s="326"/>
      <c r="F10970" s="326"/>
      <c r="G10970" s="326"/>
      <c r="H10970" s="326"/>
      <c r="P10970" s="318"/>
      <c r="Q10970" s="318"/>
      <c r="R10970" s="318"/>
      <c r="S10970" s="318"/>
      <c r="T10970" s="318"/>
      <c r="U10970" s="318"/>
      <c r="V10970" s="318"/>
      <c r="W10970" s="318"/>
      <c r="X10970" s="318"/>
      <c r="Y10970" s="318"/>
      <c r="Z10970" s="318"/>
      <c r="AA10970" s="318"/>
      <c r="AB10970" s="318"/>
      <c r="AC10970" s="318"/>
      <c r="AD10970" s="318"/>
    </row>
    <row r="10971" spans="2:30" s="323" customFormat="1" ht="12" customHeight="1">
      <c r="B10971" s="324"/>
      <c r="C10971" s="325"/>
      <c r="D10971" s="326"/>
      <c r="E10971" s="326"/>
      <c r="F10971" s="326"/>
      <c r="G10971" s="326"/>
      <c r="H10971" s="326"/>
      <c r="P10971" s="318"/>
      <c r="Q10971" s="318"/>
      <c r="R10971" s="318"/>
      <c r="S10971" s="318"/>
      <c r="T10971" s="318"/>
      <c r="U10971" s="318"/>
      <c r="V10971" s="318"/>
      <c r="W10971" s="318"/>
      <c r="X10971" s="318"/>
      <c r="Y10971" s="318"/>
      <c r="Z10971" s="318"/>
      <c r="AA10971" s="318"/>
      <c r="AB10971" s="318"/>
      <c r="AC10971" s="318"/>
      <c r="AD10971" s="318"/>
    </row>
    <row r="10972" spans="2:30" s="323" customFormat="1" ht="12" customHeight="1">
      <c r="B10972" s="324"/>
      <c r="C10972" s="325"/>
      <c r="D10972" s="326"/>
      <c r="E10972" s="326"/>
      <c r="F10972" s="326"/>
      <c r="G10972" s="326"/>
      <c r="H10972" s="326"/>
      <c r="P10972" s="318"/>
      <c r="Q10972" s="318"/>
      <c r="R10972" s="318"/>
      <c r="S10972" s="318"/>
      <c r="T10972" s="318"/>
      <c r="U10972" s="318"/>
      <c r="V10972" s="318"/>
      <c r="W10972" s="318"/>
      <c r="X10972" s="318"/>
      <c r="Y10972" s="318"/>
      <c r="Z10972" s="318"/>
      <c r="AA10972" s="318"/>
      <c r="AB10972" s="318"/>
      <c r="AC10972" s="318"/>
      <c r="AD10972" s="318"/>
    </row>
    <row r="10973" spans="2:30" s="323" customFormat="1" ht="12" customHeight="1">
      <c r="B10973" s="324"/>
      <c r="C10973" s="325"/>
      <c r="D10973" s="326"/>
      <c r="E10973" s="326"/>
      <c r="F10973" s="326"/>
      <c r="G10973" s="326"/>
      <c r="H10973" s="326"/>
      <c r="P10973" s="318"/>
      <c r="Q10973" s="318"/>
      <c r="R10973" s="318"/>
      <c r="S10973" s="318"/>
      <c r="T10973" s="318"/>
      <c r="U10973" s="318"/>
      <c r="V10973" s="318"/>
      <c r="W10973" s="318"/>
      <c r="X10973" s="318"/>
      <c r="Y10973" s="318"/>
      <c r="Z10973" s="318"/>
      <c r="AA10973" s="318"/>
      <c r="AB10973" s="318"/>
      <c r="AC10973" s="318"/>
      <c r="AD10973" s="318"/>
    </row>
    <row r="10974" spans="2:30" s="323" customFormat="1" ht="12" customHeight="1">
      <c r="B10974" s="324"/>
      <c r="C10974" s="325"/>
      <c r="D10974" s="326"/>
      <c r="E10974" s="326"/>
      <c r="F10974" s="326"/>
      <c r="G10974" s="326"/>
      <c r="H10974" s="326"/>
      <c r="P10974" s="318"/>
      <c r="Q10974" s="318"/>
      <c r="R10974" s="318"/>
      <c r="S10974" s="318"/>
      <c r="T10974" s="318"/>
      <c r="U10974" s="318"/>
      <c r="V10974" s="318"/>
      <c r="W10974" s="318"/>
      <c r="X10974" s="318"/>
      <c r="Y10974" s="318"/>
      <c r="Z10974" s="318"/>
      <c r="AA10974" s="318"/>
      <c r="AB10974" s="318"/>
      <c r="AC10974" s="318"/>
      <c r="AD10974" s="318"/>
    </row>
    <row r="10975" spans="2:30" s="323" customFormat="1" ht="12" customHeight="1">
      <c r="B10975" s="324"/>
      <c r="C10975" s="325"/>
      <c r="D10975" s="326"/>
      <c r="E10975" s="326"/>
      <c r="F10975" s="326"/>
      <c r="G10975" s="326"/>
      <c r="H10975" s="326"/>
      <c r="P10975" s="318"/>
      <c r="Q10975" s="318"/>
      <c r="R10975" s="318"/>
      <c r="S10975" s="318"/>
      <c r="T10975" s="318"/>
      <c r="U10975" s="318"/>
      <c r="V10975" s="318"/>
      <c r="W10975" s="318"/>
      <c r="X10975" s="318"/>
      <c r="Y10975" s="318"/>
      <c r="Z10975" s="318"/>
      <c r="AA10975" s="318"/>
      <c r="AB10975" s="318"/>
      <c r="AC10975" s="318"/>
      <c r="AD10975" s="318"/>
    </row>
    <row r="10976" spans="2:30" s="323" customFormat="1" ht="12" customHeight="1">
      <c r="B10976" s="324"/>
      <c r="C10976" s="325"/>
      <c r="D10976" s="326"/>
      <c r="E10976" s="326"/>
      <c r="F10976" s="326"/>
      <c r="G10976" s="326"/>
      <c r="H10976" s="326"/>
      <c r="P10976" s="318"/>
      <c r="Q10976" s="318"/>
      <c r="R10976" s="318"/>
      <c r="S10976" s="318"/>
      <c r="T10976" s="318"/>
      <c r="U10976" s="318"/>
      <c r="V10976" s="318"/>
      <c r="W10976" s="318"/>
      <c r="X10976" s="318"/>
      <c r="Y10976" s="318"/>
      <c r="Z10976" s="318"/>
      <c r="AA10976" s="318"/>
      <c r="AB10976" s="318"/>
      <c r="AC10976" s="318"/>
      <c r="AD10976" s="318"/>
    </row>
    <row r="10977" spans="2:30" s="323" customFormat="1" ht="12" customHeight="1">
      <c r="B10977" s="324"/>
      <c r="C10977" s="325"/>
      <c r="D10977" s="326"/>
      <c r="E10977" s="326"/>
      <c r="F10977" s="326"/>
      <c r="G10977" s="326"/>
      <c r="H10977" s="326"/>
      <c r="P10977" s="318"/>
      <c r="Q10977" s="318"/>
      <c r="R10977" s="318"/>
      <c r="S10977" s="318"/>
      <c r="T10977" s="318"/>
      <c r="U10977" s="318"/>
      <c r="V10977" s="318"/>
      <c r="W10977" s="318"/>
      <c r="X10977" s="318"/>
      <c r="Y10977" s="318"/>
      <c r="Z10977" s="318"/>
      <c r="AA10977" s="318"/>
      <c r="AB10977" s="318"/>
      <c r="AC10977" s="318"/>
      <c r="AD10977" s="318"/>
    </row>
    <row r="10978" spans="2:30" s="323" customFormat="1" ht="12" customHeight="1">
      <c r="B10978" s="324"/>
      <c r="C10978" s="325"/>
      <c r="D10978" s="326"/>
      <c r="E10978" s="326"/>
      <c r="F10978" s="326"/>
      <c r="G10978" s="326"/>
      <c r="H10978" s="326"/>
      <c r="P10978" s="318"/>
      <c r="Q10978" s="318"/>
      <c r="R10978" s="318"/>
      <c r="S10978" s="318"/>
      <c r="T10978" s="318"/>
      <c r="U10978" s="318"/>
      <c r="V10978" s="318"/>
      <c r="W10978" s="318"/>
      <c r="X10978" s="318"/>
      <c r="Y10978" s="318"/>
      <c r="Z10978" s="318"/>
      <c r="AA10978" s="318"/>
      <c r="AB10978" s="318"/>
      <c r="AC10978" s="318"/>
      <c r="AD10978" s="318"/>
    </row>
    <row r="10979" spans="2:30" s="323" customFormat="1" ht="12" customHeight="1">
      <c r="B10979" s="324"/>
      <c r="C10979" s="325"/>
      <c r="D10979" s="326"/>
      <c r="E10979" s="326"/>
      <c r="F10979" s="326"/>
      <c r="G10979" s="326"/>
      <c r="H10979" s="326"/>
      <c r="P10979" s="318"/>
      <c r="Q10979" s="318"/>
      <c r="R10979" s="318"/>
      <c r="S10979" s="318"/>
      <c r="T10979" s="318"/>
      <c r="U10979" s="318"/>
      <c r="V10979" s="318"/>
      <c r="W10979" s="318"/>
      <c r="X10979" s="318"/>
      <c r="Y10979" s="318"/>
      <c r="Z10979" s="318"/>
      <c r="AA10979" s="318"/>
      <c r="AB10979" s="318"/>
      <c r="AC10979" s="318"/>
      <c r="AD10979" s="318"/>
    </row>
    <row r="10980" spans="2:30" s="323" customFormat="1" ht="12" customHeight="1">
      <c r="B10980" s="324"/>
      <c r="C10980" s="325"/>
      <c r="D10980" s="326"/>
      <c r="E10980" s="326"/>
      <c r="F10980" s="326"/>
      <c r="G10980" s="326"/>
      <c r="H10980" s="326"/>
      <c r="P10980" s="318"/>
      <c r="Q10980" s="318"/>
      <c r="R10980" s="318"/>
      <c r="S10980" s="318"/>
      <c r="T10980" s="318"/>
      <c r="U10980" s="318"/>
      <c r="V10980" s="318"/>
      <c r="W10980" s="318"/>
      <c r="X10980" s="318"/>
      <c r="Y10980" s="318"/>
      <c r="Z10980" s="318"/>
      <c r="AA10980" s="318"/>
      <c r="AB10980" s="318"/>
      <c r="AC10980" s="318"/>
      <c r="AD10980" s="318"/>
    </row>
    <row r="10981" spans="2:30" s="323" customFormat="1" ht="12" customHeight="1">
      <c r="B10981" s="324"/>
      <c r="C10981" s="325"/>
      <c r="D10981" s="326"/>
      <c r="E10981" s="326"/>
      <c r="F10981" s="326"/>
      <c r="G10981" s="326"/>
      <c r="H10981" s="326"/>
      <c r="P10981" s="318"/>
      <c r="Q10981" s="318"/>
      <c r="R10981" s="318"/>
      <c r="S10981" s="318"/>
      <c r="T10981" s="318"/>
      <c r="U10981" s="318"/>
      <c r="V10981" s="318"/>
      <c r="W10981" s="318"/>
      <c r="X10981" s="318"/>
      <c r="Y10981" s="318"/>
      <c r="Z10981" s="318"/>
      <c r="AA10981" s="318"/>
      <c r="AB10981" s="318"/>
      <c r="AC10981" s="318"/>
      <c r="AD10981" s="318"/>
    </row>
    <row r="10982" spans="2:30" s="323" customFormat="1" ht="12" customHeight="1">
      <c r="B10982" s="324"/>
      <c r="C10982" s="325"/>
      <c r="D10982" s="326"/>
      <c r="E10982" s="326"/>
      <c r="F10982" s="326"/>
      <c r="G10982" s="326"/>
      <c r="H10982" s="326"/>
      <c r="P10982" s="318"/>
      <c r="Q10982" s="318"/>
      <c r="R10982" s="318"/>
      <c r="S10982" s="318"/>
      <c r="T10982" s="318"/>
      <c r="U10982" s="318"/>
      <c r="V10982" s="318"/>
      <c r="W10982" s="318"/>
      <c r="X10982" s="318"/>
      <c r="Y10982" s="318"/>
      <c r="Z10982" s="318"/>
      <c r="AA10982" s="318"/>
      <c r="AB10982" s="318"/>
      <c r="AC10982" s="318"/>
      <c r="AD10982" s="318"/>
    </row>
    <row r="10983" spans="2:30" s="323" customFormat="1" ht="12" customHeight="1">
      <c r="B10983" s="324"/>
      <c r="C10983" s="325"/>
      <c r="D10983" s="326"/>
      <c r="E10983" s="326"/>
      <c r="F10983" s="326"/>
      <c r="G10983" s="326"/>
      <c r="H10983" s="326"/>
      <c r="P10983" s="318"/>
      <c r="Q10983" s="318"/>
      <c r="R10983" s="318"/>
      <c r="S10983" s="318"/>
      <c r="T10983" s="318"/>
      <c r="U10983" s="318"/>
      <c r="V10983" s="318"/>
      <c r="W10983" s="318"/>
      <c r="X10983" s="318"/>
      <c r="Y10983" s="318"/>
      <c r="Z10983" s="318"/>
      <c r="AA10983" s="318"/>
      <c r="AB10983" s="318"/>
      <c r="AC10983" s="318"/>
      <c r="AD10983" s="318"/>
    </row>
    <row r="10984" spans="2:30" s="323" customFormat="1" ht="12" customHeight="1">
      <c r="B10984" s="324"/>
      <c r="C10984" s="325"/>
      <c r="D10984" s="326"/>
      <c r="E10984" s="326"/>
      <c r="F10984" s="326"/>
      <c r="G10984" s="326"/>
      <c r="H10984" s="326"/>
      <c r="P10984" s="318"/>
      <c r="Q10984" s="318"/>
      <c r="R10984" s="318"/>
      <c r="S10984" s="318"/>
      <c r="T10984" s="318"/>
      <c r="U10984" s="318"/>
      <c r="V10984" s="318"/>
      <c r="W10984" s="318"/>
      <c r="X10984" s="318"/>
      <c r="Y10984" s="318"/>
      <c r="Z10984" s="318"/>
      <c r="AA10984" s="318"/>
      <c r="AB10984" s="318"/>
      <c r="AC10984" s="318"/>
      <c r="AD10984" s="318"/>
    </row>
    <row r="10985" spans="2:30" s="323" customFormat="1" ht="12" customHeight="1">
      <c r="B10985" s="324"/>
      <c r="C10985" s="325"/>
      <c r="D10985" s="326"/>
      <c r="E10985" s="326"/>
      <c r="F10985" s="326"/>
      <c r="G10985" s="326"/>
      <c r="H10985" s="326"/>
      <c r="P10985" s="318"/>
      <c r="Q10985" s="318"/>
      <c r="R10985" s="318"/>
      <c r="S10985" s="318"/>
      <c r="T10985" s="318"/>
      <c r="U10985" s="318"/>
      <c r="V10985" s="318"/>
      <c r="W10985" s="318"/>
      <c r="X10985" s="318"/>
      <c r="Y10985" s="318"/>
      <c r="Z10985" s="318"/>
      <c r="AA10985" s="318"/>
      <c r="AB10985" s="318"/>
      <c r="AC10985" s="318"/>
      <c r="AD10985" s="318"/>
    </row>
    <row r="10986" spans="2:30" s="323" customFormat="1" ht="12" customHeight="1">
      <c r="B10986" s="324"/>
      <c r="C10986" s="325"/>
      <c r="D10986" s="326"/>
      <c r="E10986" s="326"/>
      <c r="F10986" s="326"/>
      <c r="G10986" s="326"/>
      <c r="H10986" s="326"/>
      <c r="P10986" s="318"/>
      <c r="Q10986" s="318"/>
      <c r="R10986" s="318"/>
      <c r="S10986" s="318"/>
      <c r="T10986" s="318"/>
      <c r="U10986" s="318"/>
      <c r="V10986" s="318"/>
      <c r="W10986" s="318"/>
      <c r="X10986" s="318"/>
      <c r="Y10986" s="318"/>
      <c r="Z10986" s="318"/>
      <c r="AA10986" s="318"/>
      <c r="AB10986" s="318"/>
      <c r="AC10986" s="318"/>
      <c r="AD10986" s="318"/>
    </row>
    <row r="10987" spans="2:30" s="323" customFormat="1" ht="12" customHeight="1">
      <c r="B10987" s="324"/>
      <c r="C10987" s="325"/>
      <c r="D10987" s="326"/>
      <c r="E10987" s="326"/>
      <c r="F10987" s="326"/>
      <c r="G10987" s="326"/>
      <c r="H10987" s="326"/>
      <c r="P10987" s="318"/>
      <c r="Q10987" s="318"/>
      <c r="R10987" s="318"/>
      <c r="S10987" s="318"/>
      <c r="T10987" s="318"/>
      <c r="U10987" s="318"/>
      <c r="V10987" s="318"/>
      <c r="W10987" s="318"/>
      <c r="X10987" s="318"/>
      <c r="Y10987" s="318"/>
      <c r="Z10987" s="318"/>
      <c r="AA10987" s="318"/>
      <c r="AB10987" s="318"/>
      <c r="AC10987" s="318"/>
      <c r="AD10987" s="318"/>
    </row>
    <row r="10988" spans="2:30" s="323" customFormat="1" ht="12" customHeight="1">
      <c r="B10988" s="324"/>
      <c r="C10988" s="325"/>
      <c r="D10988" s="326"/>
      <c r="E10988" s="326"/>
      <c r="F10988" s="326"/>
      <c r="G10988" s="326"/>
      <c r="H10988" s="326"/>
      <c r="P10988" s="318"/>
      <c r="Q10988" s="318"/>
      <c r="R10988" s="318"/>
      <c r="S10988" s="318"/>
      <c r="T10988" s="318"/>
      <c r="U10988" s="318"/>
      <c r="V10988" s="318"/>
      <c r="W10988" s="318"/>
      <c r="X10988" s="318"/>
      <c r="Y10988" s="318"/>
      <c r="Z10988" s="318"/>
      <c r="AA10988" s="318"/>
      <c r="AB10988" s="318"/>
      <c r="AC10988" s="318"/>
      <c r="AD10988" s="318"/>
    </row>
    <row r="10989" spans="2:30" s="323" customFormat="1" ht="12" customHeight="1">
      <c r="B10989" s="324"/>
      <c r="C10989" s="325"/>
      <c r="D10989" s="326"/>
      <c r="E10989" s="326"/>
      <c r="F10989" s="326"/>
      <c r="G10989" s="326"/>
      <c r="H10989" s="326"/>
      <c r="P10989" s="318"/>
      <c r="Q10989" s="318"/>
      <c r="R10989" s="318"/>
      <c r="S10989" s="318"/>
      <c r="T10989" s="318"/>
      <c r="U10989" s="318"/>
      <c r="V10989" s="318"/>
      <c r="W10989" s="318"/>
      <c r="X10989" s="318"/>
      <c r="Y10989" s="318"/>
      <c r="Z10989" s="318"/>
      <c r="AA10989" s="318"/>
      <c r="AB10989" s="318"/>
      <c r="AC10989" s="318"/>
      <c r="AD10989" s="318"/>
    </row>
    <row r="10990" spans="2:30" s="323" customFormat="1" ht="12" customHeight="1">
      <c r="B10990" s="324"/>
      <c r="C10990" s="325"/>
      <c r="D10990" s="326"/>
      <c r="E10990" s="326"/>
      <c r="F10990" s="326"/>
      <c r="G10990" s="326"/>
      <c r="H10990" s="326"/>
      <c r="P10990" s="318"/>
      <c r="Q10990" s="318"/>
      <c r="R10990" s="318"/>
      <c r="S10990" s="318"/>
      <c r="T10990" s="318"/>
      <c r="U10990" s="318"/>
      <c r="V10990" s="318"/>
      <c r="W10990" s="318"/>
      <c r="X10990" s="318"/>
      <c r="Y10990" s="318"/>
      <c r="Z10990" s="318"/>
      <c r="AA10990" s="318"/>
      <c r="AB10990" s="318"/>
      <c r="AC10990" s="318"/>
      <c r="AD10990" s="318"/>
    </row>
    <row r="10991" spans="2:30" s="323" customFormat="1" ht="12" customHeight="1">
      <c r="B10991" s="324"/>
      <c r="C10991" s="325"/>
      <c r="D10991" s="326"/>
      <c r="E10991" s="326"/>
      <c r="F10991" s="326"/>
      <c r="G10991" s="326"/>
      <c r="H10991" s="326"/>
      <c r="P10991" s="318"/>
      <c r="Q10991" s="318"/>
      <c r="R10991" s="318"/>
      <c r="S10991" s="318"/>
      <c r="T10991" s="318"/>
      <c r="U10991" s="318"/>
      <c r="V10991" s="318"/>
      <c r="W10991" s="318"/>
      <c r="X10991" s="318"/>
      <c r="Y10991" s="318"/>
      <c r="Z10991" s="318"/>
      <c r="AA10991" s="318"/>
      <c r="AB10991" s="318"/>
      <c r="AC10991" s="318"/>
      <c r="AD10991" s="318"/>
    </row>
    <row r="10992" spans="2:30" s="323" customFormat="1" ht="12" customHeight="1">
      <c r="B10992" s="324"/>
      <c r="C10992" s="325"/>
      <c r="D10992" s="326"/>
      <c r="E10992" s="326"/>
      <c r="F10992" s="326"/>
      <c r="G10992" s="326"/>
      <c r="H10992" s="326"/>
      <c r="P10992" s="318"/>
      <c r="Q10992" s="318"/>
      <c r="R10992" s="318"/>
      <c r="S10992" s="318"/>
      <c r="T10992" s="318"/>
      <c r="U10992" s="318"/>
      <c r="V10992" s="318"/>
      <c r="W10992" s="318"/>
      <c r="X10992" s="318"/>
      <c r="Y10992" s="318"/>
      <c r="Z10992" s="318"/>
      <c r="AA10992" s="318"/>
      <c r="AB10992" s="318"/>
      <c r="AC10992" s="318"/>
      <c r="AD10992" s="318"/>
    </row>
    <row r="10993" spans="2:30" s="323" customFormat="1" ht="12" customHeight="1">
      <c r="B10993" s="324"/>
      <c r="C10993" s="325"/>
      <c r="D10993" s="326"/>
      <c r="E10993" s="326"/>
      <c r="F10993" s="326"/>
      <c r="G10993" s="326"/>
      <c r="H10993" s="326"/>
      <c r="P10993" s="318"/>
      <c r="Q10993" s="318"/>
      <c r="R10993" s="318"/>
      <c r="S10993" s="318"/>
      <c r="T10993" s="318"/>
      <c r="U10993" s="318"/>
      <c r="V10993" s="318"/>
      <c r="W10993" s="318"/>
      <c r="X10993" s="318"/>
      <c r="Y10993" s="318"/>
      <c r="Z10993" s="318"/>
      <c r="AA10993" s="318"/>
      <c r="AB10993" s="318"/>
      <c r="AC10993" s="318"/>
      <c r="AD10993" s="318"/>
    </row>
    <row r="10994" spans="2:30" s="323" customFormat="1" ht="12" customHeight="1">
      <c r="B10994" s="324"/>
      <c r="C10994" s="325"/>
      <c r="D10994" s="326"/>
      <c r="E10994" s="326"/>
      <c r="F10994" s="326"/>
      <c r="G10994" s="326"/>
      <c r="H10994" s="326"/>
      <c r="P10994" s="318"/>
      <c r="Q10994" s="318"/>
      <c r="R10994" s="318"/>
      <c r="S10994" s="318"/>
      <c r="T10994" s="318"/>
      <c r="U10994" s="318"/>
      <c r="V10994" s="318"/>
      <c r="W10994" s="318"/>
      <c r="X10994" s="318"/>
      <c r="Y10994" s="318"/>
      <c r="Z10994" s="318"/>
      <c r="AA10994" s="318"/>
      <c r="AB10994" s="318"/>
      <c r="AC10994" s="318"/>
      <c r="AD10994" s="318"/>
    </row>
    <row r="10995" spans="2:30" s="323" customFormat="1" ht="12" customHeight="1">
      <c r="B10995" s="324"/>
      <c r="C10995" s="325"/>
      <c r="D10995" s="326"/>
      <c r="E10995" s="326"/>
      <c r="F10995" s="326"/>
      <c r="G10995" s="326"/>
      <c r="H10995" s="326"/>
      <c r="P10995" s="318"/>
      <c r="Q10995" s="318"/>
      <c r="R10995" s="318"/>
      <c r="S10995" s="318"/>
      <c r="T10995" s="318"/>
      <c r="U10995" s="318"/>
      <c r="V10995" s="318"/>
      <c r="W10995" s="318"/>
      <c r="X10995" s="318"/>
      <c r="Y10995" s="318"/>
      <c r="Z10995" s="318"/>
      <c r="AA10995" s="318"/>
      <c r="AB10995" s="318"/>
      <c r="AC10995" s="318"/>
      <c r="AD10995" s="318"/>
    </row>
    <row r="10996" spans="2:30" s="323" customFormat="1" ht="12" customHeight="1">
      <c r="B10996" s="324"/>
      <c r="C10996" s="325"/>
      <c r="D10996" s="326"/>
      <c r="E10996" s="326"/>
      <c r="F10996" s="326"/>
      <c r="G10996" s="326"/>
      <c r="H10996" s="326"/>
      <c r="P10996" s="318"/>
      <c r="Q10996" s="318"/>
      <c r="R10996" s="318"/>
      <c r="S10996" s="318"/>
      <c r="T10996" s="318"/>
      <c r="U10996" s="318"/>
      <c r="V10996" s="318"/>
      <c r="W10996" s="318"/>
      <c r="X10996" s="318"/>
      <c r="Y10996" s="318"/>
      <c r="Z10996" s="318"/>
      <c r="AA10996" s="318"/>
      <c r="AB10996" s="318"/>
      <c r="AC10996" s="318"/>
      <c r="AD10996" s="318"/>
    </row>
    <row r="10997" spans="2:30" s="323" customFormat="1" ht="12" customHeight="1">
      <c r="B10997" s="324"/>
      <c r="C10997" s="325"/>
      <c r="D10997" s="326"/>
      <c r="E10997" s="326"/>
      <c r="F10997" s="326"/>
      <c r="G10997" s="326"/>
      <c r="H10997" s="326"/>
      <c r="P10997" s="318"/>
      <c r="Q10997" s="318"/>
      <c r="R10997" s="318"/>
      <c r="S10997" s="318"/>
      <c r="T10997" s="318"/>
      <c r="U10997" s="318"/>
      <c r="V10997" s="318"/>
      <c r="W10997" s="318"/>
      <c r="X10997" s="318"/>
      <c r="Y10997" s="318"/>
      <c r="Z10997" s="318"/>
      <c r="AA10997" s="318"/>
      <c r="AB10997" s="318"/>
      <c r="AC10997" s="318"/>
      <c r="AD10997" s="318"/>
    </row>
    <row r="10998" spans="2:30" s="323" customFormat="1" ht="12" customHeight="1">
      <c r="B10998" s="324"/>
      <c r="C10998" s="325"/>
      <c r="D10998" s="326"/>
      <c r="E10998" s="326"/>
      <c r="F10998" s="326"/>
      <c r="G10998" s="326"/>
      <c r="H10998" s="326"/>
      <c r="P10998" s="318"/>
      <c r="Q10998" s="318"/>
      <c r="R10998" s="318"/>
      <c r="S10998" s="318"/>
      <c r="T10998" s="318"/>
      <c r="U10998" s="318"/>
      <c r="V10998" s="318"/>
      <c r="W10998" s="318"/>
      <c r="X10998" s="318"/>
      <c r="Y10998" s="318"/>
      <c r="Z10998" s="318"/>
      <c r="AA10998" s="318"/>
      <c r="AB10998" s="318"/>
      <c r="AC10998" s="318"/>
      <c r="AD10998" s="318"/>
    </row>
    <row r="10999" spans="2:30" s="323" customFormat="1" ht="12" customHeight="1">
      <c r="B10999" s="324"/>
      <c r="C10999" s="325"/>
      <c r="D10999" s="326"/>
      <c r="E10999" s="326"/>
      <c r="F10999" s="326"/>
      <c r="G10999" s="326"/>
      <c r="H10999" s="326"/>
      <c r="P10999" s="318"/>
      <c r="Q10999" s="318"/>
      <c r="R10999" s="318"/>
      <c r="S10999" s="318"/>
      <c r="T10999" s="318"/>
      <c r="U10999" s="318"/>
      <c r="V10999" s="318"/>
      <c r="W10999" s="318"/>
      <c r="X10999" s="318"/>
      <c r="Y10999" s="318"/>
      <c r="Z10999" s="318"/>
      <c r="AA10999" s="318"/>
      <c r="AB10999" s="318"/>
      <c r="AC10999" s="318"/>
      <c r="AD10999" s="318"/>
    </row>
    <row r="11000" spans="2:30" s="323" customFormat="1" ht="12" customHeight="1">
      <c r="B11000" s="324"/>
      <c r="C11000" s="325"/>
      <c r="D11000" s="326"/>
      <c r="E11000" s="326"/>
      <c r="F11000" s="326"/>
      <c r="G11000" s="326"/>
      <c r="H11000" s="326"/>
      <c r="P11000" s="318"/>
      <c r="Q11000" s="318"/>
      <c r="R11000" s="318"/>
      <c r="S11000" s="318"/>
      <c r="T11000" s="318"/>
      <c r="U11000" s="318"/>
      <c r="V11000" s="318"/>
      <c r="W11000" s="318"/>
      <c r="X11000" s="318"/>
      <c r="Y11000" s="318"/>
      <c r="Z11000" s="318"/>
      <c r="AA11000" s="318"/>
      <c r="AB11000" s="318"/>
      <c r="AC11000" s="318"/>
      <c r="AD11000" s="318"/>
    </row>
    <row r="11001" spans="2:30" s="323" customFormat="1" ht="12" customHeight="1">
      <c r="B11001" s="324"/>
      <c r="C11001" s="325"/>
      <c r="D11001" s="326"/>
      <c r="E11001" s="326"/>
      <c r="F11001" s="326"/>
      <c r="G11001" s="326"/>
      <c r="H11001" s="326"/>
      <c r="P11001" s="318"/>
      <c r="Q11001" s="318"/>
      <c r="R11001" s="318"/>
      <c r="S11001" s="318"/>
      <c r="T11001" s="318"/>
      <c r="U11001" s="318"/>
      <c r="V11001" s="318"/>
      <c r="W11001" s="318"/>
      <c r="X11001" s="318"/>
      <c r="Y11001" s="318"/>
      <c r="Z11001" s="318"/>
      <c r="AA11001" s="318"/>
      <c r="AB11001" s="318"/>
      <c r="AC11001" s="318"/>
      <c r="AD11001" s="318"/>
    </row>
    <row r="11002" spans="2:30" s="323" customFormat="1" ht="12" customHeight="1">
      <c r="B11002" s="324"/>
      <c r="C11002" s="325"/>
      <c r="D11002" s="326"/>
      <c r="E11002" s="326"/>
      <c r="F11002" s="326"/>
      <c r="G11002" s="326"/>
      <c r="H11002" s="326"/>
      <c r="P11002" s="318"/>
      <c r="Q11002" s="318"/>
      <c r="R11002" s="318"/>
      <c r="S11002" s="318"/>
      <c r="T11002" s="318"/>
      <c r="U11002" s="318"/>
      <c r="V11002" s="318"/>
      <c r="W11002" s="318"/>
      <c r="X11002" s="318"/>
      <c r="Y11002" s="318"/>
      <c r="Z11002" s="318"/>
      <c r="AA11002" s="318"/>
      <c r="AB11002" s="318"/>
      <c r="AC11002" s="318"/>
      <c r="AD11002" s="318"/>
    </row>
    <row r="11003" spans="2:30" s="323" customFormat="1" ht="12" customHeight="1">
      <c r="B11003" s="324"/>
      <c r="C11003" s="325"/>
      <c r="D11003" s="326"/>
      <c r="E11003" s="326"/>
      <c r="F11003" s="326"/>
      <c r="G11003" s="326"/>
      <c r="H11003" s="326"/>
      <c r="P11003" s="318"/>
      <c r="Q11003" s="318"/>
      <c r="R11003" s="318"/>
      <c r="S11003" s="318"/>
      <c r="T11003" s="318"/>
      <c r="U11003" s="318"/>
      <c r="V11003" s="318"/>
      <c r="W11003" s="318"/>
      <c r="X11003" s="318"/>
      <c r="Y11003" s="318"/>
      <c r="Z11003" s="318"/>
      <c r="AA11003" s="318"/>
      <c r="AB11003" s="318"/>
      <c r="AC11003" s="318"/>
      <c r="AD11003" s="318"/>
    </row>
    <row r="11004" spans="2:30" s="323" customFormat="1" ht="12" customHeight="1">
      <c r="B11004" s="324"/>
      <c r="C11004" s="325"/>
      <c r="D11004" s="326"/>
      <c r="E11004" s="326"/>
      <c r="F11004" s="326"/>
      <c r="G11004" s="326"/>
      <c r="H11004" s="326"/>
      <c r="P11004" s="318"/>
      <c r="Q11004" s="318"/>
      <c r="R11004" s="318"/>
      <c r="S11004" s="318"/>
      <c r="T11004" s="318"/>
      <c r="U11004" s="318"/>
      <c r="V11004" s="318"/>
      <c r="W11004" s="318"/>
      <c r="X11004" s="318"/>
      <c r="Y11004" s="318"/>
      <c r="Z11004" s="318"/>
      <c r="AA11004" s="318"/>
      <c r="AB11004" s="318"/>
      <c r="AC11004" s="318"/>
      <c r="AD11004" s="318"/>
    </row>
    <row r="11005" spans="2:30" s="323" customFormat="1" ht="12" customHeight="1">
      <c r="B11005" s="324"/>
      <c r="C11005" s="325"/>
      <c r="D11005" s="326"/>
      <c r="E11005" s="326"/>
      <c r="F11005" s="326"/>
      <c r="G11005" s="326"/>
      <c r="H11005" s="326"/>
      <c r="P11005" s="318"/>
      <c r="Q11005" s="318"/>
      <c r="R11005" s="318"/>
      <c r="S11005" s="318"/>
      <c r="T11005" s="318"/>
      <c r="U11005" s="318"/>
      <c r="V11005" s="318"/>
      <c r="W11005" s="318"/>
      <c r="X11005" s="318"/>
      <c r="Y11005" s="318"/>
      <c r="Z11005" s="318"/>
      <c r="AA11005" s="318"/>
      <c r="AB11005" s="318"/>
      <c r="AC11005" s="318"/>
      <c r="AD11005" s="318"/>
    </row>
    <row r="11006" spans="2:30" s="323" customFormat="1" ht="12" customHeight="1">
      <c r="B11006" s="324"/>
      <c r="C11006" s="325"/>
      <c r="D11006" s="326"/>
      <c r="E11006" s="326"/>
      <c r="F11006" s="326"/>
      <c r="G11006" s="326"/>
      <c r="H11006" s="326"/>
      <c r="P11006" s="318"/>
      <c r="Q11006" s="318"/>
      <c r="R11006" s="318"/>
      <c r="S11006" s="318"/>
      <c r="T11006" s="318"/>
      <c r="U11006" s="318"/>
      <c r="V11006" s="318"/>
      <c r="W11006" s="318"/>
      <c r="X11006" s="318"/>
      <c r="Y11006" s="318"/>
      <c r="Z11006" s="318"/>
      <c r="AA11006" s="318"/>
      <c r="AB11006" s="318"/>
      <c r="AC11006" s="318"/>
      <c r="AD11006" s="318"/>
    </row>
    <row r="11007" spans="2:30" s="323" customFormat="1" ht="12" customHeight="1">
      <c r="B11007" s="324"/>
      <c r="C11007" s="325"/>
      <c r="D11007" s="326"/>
      <c r="E11007" s="326"/>
      <c r="F11007" s="326"/>
      <c r="G11007" s="326"/>
      <c r="H11007" s="326"/>
      <c r="P11007" s="318"/>
      <c r="Q11007" s="318"/>
      <c r="R11007" s="318"/>
      <c r="S11007" s="318"/>
      <c r="T11007" s="318"/>
      <c r="U11007" s="318"/>
      <c r="V11007" s="318"/>
      <c r="W11007" s="318"/>
      <c r="X11007" s="318"/>
      <c r="Y11007" s="318"/>
      <c r="Z11007" s="318"/>
      <c r="AA11007" s="318"/>
      <c r="AB11007" s="318"/>
      <c r="AC11007" s="318"/>
      <c r="AD11007" s="318"/>
    </row>
    <row r="11008" spans="2:30" s="323" customFormat="1" ht="12" customHeight="1">
      <c r="B11008" s="324"/>
      <c r="C11008" s="325"/>
      <c r="D11008" s="326"/>
      <c r="E11008" s="326"/>
      <c r="F11008" s="326"/>
      <c r="G11008" s="326"/>
      <c r="H11008" s="326"/>
      <c r="P11008" s="318"/>
      <c r="Q11008" s="318"/>
      <c r="R11008" s="318"/>
      <c r="S11008" s="318"/>
      <c r="T11008" s="318"/>
      <c r="U11008" s="318"/>
      <c r="V11008" s="318"/>
      <c r="W11008" s="318"/>
      <c r="X11008" s="318"/>
      <c r="Y11008" s="318"/>
      <c r="Z11008" s="318"/>
      <c r="AA11008" s="318"/>
      <c r="AB11008" s="318"/>
      <c r="AC11008" s="318"/>
      <c r="AD11008" s="318"/>
    </row>
    <row r="11009" spans="2:30" s="323" customFormat="1" ht="12" customHeight="1">
      <c r="B11009" s="324"/>
      <c r="C11009" s="325"/>
      <c r="D11009" s="326"/>
      <c r="E11009" s="326"/>
      <c r="F11009" s="326"/>
      <c r="G11009" s="326"/>
      <c r="H11009" s="326"/>
      <c r="P11009" s="318"/>
      <c r="Q11009" s="318"/>
      <c r="R11009" s="318"/>
      <c r="S11009" s="318"/>
      <c r="T11009" s="318"/>
      <c r="U11009" s="318"/>
      <c r="V11009" s="318"/>
      <c r="W11009" s="318"/>
      <c r="X11009" s="318"/>
      <c r="Y11009" s="318"/>
      <c r="Z11009" s="318"/>
      <c r="AA11009" s="318"/>
      <c r="AB11009" s="318"/>
      <c r="AC11009" s="318"/>
      <c r="AD11009" s="318"/>
    </row>
    <row r="11010" spans="2:30" s="323" customFormat="1" ht="12" customHeight="1">
      <c r="B11010" s="324"/>
      <c r="C11010" s="325"/>
      <c r="D11010" s="326"/>
      <c r="E11010" s="326"/>
      <c r="F11010" s="326"/>
      <c r="G11010" s="326"/>
      <c r="H11010" s="326"/>
      <c r="P11010" s="318"/>
      <c r="Q11010" s="318"/>
      <c r="R11010" s="318"/>
      <c r="S11010" s="318"/>
      <c r="T11010" s="318"/>
      <c r="U11010" s="318"/>
      <c r="V11010" s="318"/>
      <c r="W11010" s="318"/>
      <c r="X11010" s="318"/>
      <c r="Y11010" s="318"/>
      <c r="Z11010" s="318"/>
      <c r="AA11010" s="318"/>
      <c r="AB11010" s="318"/>
      <c r="AC11010" s="318"/>
      <c r="AD11010" s="318"/>
    </row>
    <row r="11011" spans="2:30" s="323" customFormat="1" ht="12" customHeight="1">
      <c r="B11011" s="324"/>
      <c r="C11011" s="325"/>
      <c r="D11011" s="326"/>
      <c r="E11011" s="326"/>
      <c r="F11011" s="326"/>
      <c r="G11011" s="326"/>
      <c r="H11011" s="326"/>
      <c r="P11011" s="318"/>
      <c r="Q11011" s="318"/>
      <c r="R11011" s="318"/>
      <c r="S11011" s="318"/>
      <c r="T11011" s="318"/>
      <c r="U11011" s="318"/>
      <c r="V11011" s="318"/>
      <c r="W11011" s="318"/>
      <c r="X11011" s="318"/>
      <c r="Y11011" s="318"/>
      <c r="Z11011" s="318"/>
      <c r="AA11011" s="318"/>
      <c r="AB11011" s="318"/>
      <c r="AC11011" s="318"/>
      <c r="AD11011" s="318"/>
    </row>
    <row r="11012" spans="2:30" s="323" customFormat="1" ht="12" customHeight="1">
      <c r="B11012" s="324"/>
      <c r="C11012" s="325"/>
      <c r="D11012" s="326"/>
      <c r="E11012" s="326"/>
      <c r="F11012" s="326"/>
      <c r="G11012" s="326"/>
      <c r="H11012" s="326"/>
      <c r="P11012" s="318"/>
      <c r="Q11012" s="318"/>
      <c r="R11012" s="318"/>
      <c r="S11012" s="318"/>
      <c r="T11012" s="318"/>
      <c r="U11012" s="318"/>
      <c r="V11012" s="318"/>
      <c r="W11012" s="318"/>
      <c r="X11012" s="318"/>
      <c r="Y11012" s="318"/>
      <c r="Z11012" s="318"/>
      <c r="AA11012" s="318"/>
      <c r="AB11012" s="318"/>
      <c r="AC11012" s="318"/>
      <c r="AD11012" s="318"/>
    </row>
    <row r="11013" spans="2:30" s="323" customFormat="1" ht="12" customHeight="1">
      <c r="B11013" s="324"/>
      <c r="C11013" s="325"/>
      <c r="D11013" s="326"/>
      <c r="E11013" s="326"/>
      <c r="F11013" s="326"/>
      <c r="G11013" s="326"/>
      <c r="H11013" s="326"/>
      <c r="P11013" s="318"/>
      <c r="Q11013" s="318"/>
      <c r="R11013" s="318"/>
      <c r="S11013" s="318"/>
      <c r="T11013" s="318"/>
      <c r="U11013" s="318"/>
      <c r="V11013" s="318"/>
      <c r="W11013" s="318"/>
      <c r="X11013" s="318"/>
      <c r="Y11013" s="318"/>
      <c r="Z11013" s="318"/>
      <c r="AA11013" s="318"/>
      <c r="AB11013" s="318"/>
      <c r="AC11013" s="318"/>
      <c r="AD11013" s="318"/>
    </row>
    <row r="11014" spans="2:30" s="323" customFormat="1" ht="12" customHeight="1">
      <c r="B11014" s="324"/>
      <c r="C11014" s="325"/>
      <c r="D11014" s="326"/>
      <c r="E11014" s="326"/>
      <c r="F11014" s="326"/>
      <c r="G11014" s="326"/>
      <c r="H11014" s="326"/>
      <c r="P11014" s="318"/>
      <c r="Q11014" s="318"/>
      <c r="R11014" s="318"/>
      <c r="S11014" s="318"/>
      <c r="T11014" s="318"/>
      <c r="U11014" s="318"/>
      <c r="V11014" s="318"/>
      <c r="W11014" s="318"/>
      <c r="X11014" s="318"/>
      <c r="Y11014" s="318"/>
      <c r="Z11014" s="318"/>
      <c r="AA11014" s="318"/>
      <c r="AB11014" s="318"/>
      <c r="AC11014" s="318"/>
      <c r="AD11014" s="318"/>
    </row>
    <row r="11015" spans="2:30" s="323" customFormat="1" ht="12" customHeight="1">
      <c r="B11015" s="324"/>
      <c r="C11015" s="325"/>
      <c r="D11015" s="326"/>
      <c r="E11015" s="326"/>
      <c r="F11015" s="326"/>
      <c r="G11015" s="326"/>
      <c r="H11015" s="326"/>
      <c r="P11015" s="318"/>
      <c r="Q11015" s="318"/>
      <c r="R11015" s="318"/>
      <c r="S11015" s="318"/>
      <c r="T11015" s="318"/>
      <c r="U11015" s="318"/>
      <c r="V11015" s="318"/>
      <c r="W11015" s="318"/>
      <c r="X11015" s="318"/>
      <c r="Y11015" s="318"/>
      <c r="Z11015" s="318"/>
      <c r="AA11015" s="318"/>
      <c r="AB11015" s="318"/>
      <c r="AC11015" s="318"/>
      <c r="AD11015" s="318"/>
    </row>
    <row r="11016" spans="2:30" s="323" customFormat="1" ht="12" customHeight="1">
      <c r="B11016" s="324"/>
      <c r="C11016" s="325"/>
      <c r="D11016" s="326"/>
      <c r="E11016" s="326"/>
      <c r="F11016" s="326"/>
      <c r="G11016" s="326"/>
      <c r="H11016" s="326"/>
      <c r="P11016" s="318"/>
      <c r="Q11016" s="318"/>
      <c r="R11016" s="318"/>
      <c r="S11016" s="318"/>
      <c r="T11016" s="318"/>
      <c r="U11016" s="318"/>
      <c r="V11016" s="318"/>
      <c r="W11016" s="318"/>
      <c r="X11016" s="318"/>
      <c r="Y11016" s="318"/>
      <c r="Z11016" s="318"/>
      <c r="AA11016" s="318"/>
      <c r="AB11016" s="318"/>
      <c r="AC11016" s="318"/>
      <c r="AD11016" s="318"/>
    </row>
    <row r="11017" spans="2:30" s="323" customFormat="1" ht="12" customHeight="1">
      <c r="B11017" s="324"/>
      <c r="C11017" s="325"/>
      <c r="D11017" s="326"/>
      <c r="E11017" s="326"/>
      <c r="F11017" s="326"/>
      <c r="G11017" s="326"/>
      <c r="H11017" s="326"/>
      <c r="P11017" s="318"/>
      <c r="Q11017" s="318"/>
      <c r="R11017" s="318"/>
      <c r="S11017" s="318"/>
      <c r="T11017" s="318"/>
      <c r="U11017" s="318"/>
      <c r="V11017" s="318"/>
      <c r="W11017" s="318"/>
      <c r="X11017" s="318"/>
      <c r="Y11017" s="318"/>
      <c r="Z11017" s="318"/>
      <c r="AA11017" s="318"/>
      <c r="AB11017" s="318"/>
      <c r="AC11017" s="318"/>
      <c r="AD11017" s="318"/>
    </row>
    <row r="11018" spans="2:30" s="323" customFormat="1" ht="12" customHeight="1">
      <c r="B11018" s="324"/>
      <c r="C11018" s="325"/>
      <c r="D11018" s="326"/>
      <c r="E11018" s="326"/>
      <c r="F11018" s="326"/>
      <c r="G11018" s="326"/>
      <c r="H11018" s="326"/>
      <c r="P11018" s="318"/>
      <c r="Q11018" s="318"/>
      <c r="R11018" s="318"/>
      <c r="S11018" s="318"/>
      <c r="T11018" s="318"/>
      <c r="U11018" s="318"/>
      <c r="V11018" s="318"/>
      <c r="W11018" s="318"/>
      <c r="X11018" s="318"/>
      <c r="Y11018" s="318"/>
      <c r="Z11018" s="318"/>
      <c r="AA11018" s="318"/>
      <c r="AB11018" s="318"/>
      <c r="AC11018" s="318"/>
      <c r="AD11018" s="318"/>
    </row>
    <row r="11019" spans="2:30" s="323" customFormat="1" ht="12" customHeight="1">
      <c r="B11019" s="324"/>
      <c r="C11019" s="325"/>
      <c r="D11019" s="326"/>
      <c r="E11019" s="326"/>
      <c r="F11019" s="326"/>
      <c r="G11019" s="326"/>
      <c r="H11019" s="326"/>
      <c r="P11019" s="318"/>
      <c r="Q11019" s="318"/>
      <c r="R11019" s="318"/>
      <c r="S11019" s="318"/>
      <c r="T11019" s="318"/>
      <c r="U11019" s="318"/>
      <c r="V11019" s="318"/>
      <c r="W11019" s="318"/>
      <c r="X11019" s="318"/>
      <c r="Y11019" s="318"/>
      <c r="Z11019" s="318"/>
      <c r="AA11019" s="318"/>
      <c r="AB11019" s="318"/>
      <c r="AC11019" s="318"/>
      <c r="AD11019" s="318"/>
    </row>
    <row r="11020" spans="2:30" s="323" customFormat="1" ht="12" customHeight="1">
      <c r="B11020" s="324"/>
      <c r="C11020" s="325"/>
      <c r="D11020" s="326"/>
      <c r="E11020" s="326"/>
      <c r="F11020" s="326"/>
      <c r="G11020" s="326"/>
      <c r="H11020" s="326"/>
      <c r="P11020" s="318"/>
      <c r="Q11020" s="318"/>
      <c r="R11020" s="318"/>
      <c r="S11020" s="318"/>
      <c r="T11020" s="318"/>
      <c r="U11020" s="318"/>
      <c r="V11020" s="318"/>
      <c r="W11020" s="318"/>
      <c r="X11020" s="318"/>
      <c r="Y11020" s="318"/>
      <c r="Z11020" s="318"/>
      <c r="AA11020" s="318"/>
      <c r="AB11020" s="318"/>
      <c r="AC11020" s="318"/>
      <c r="AD11020" s="318"/>
    </row>
    <row r="11021" spans="2:30" s="323" customFormat="1" ht="12" customHeight="1">
      <c r="B11021" s="324"/>
      <c r="C11021" s="325"/>
      <c r="D11021" s="326"/>
      <c r="E11021" s="326"/>
      <c r="F11021" s="326"/>
      <c r="G11021" s="326"/>
      <c r="H11021" s="326"/>
      <c r="P11021" s="318"/>
      <c r="Q11021" s="318"/>
      <c r="R11021" s="318"/>
      <c r="S11021" s="318"/>
      <c r="T11021" s="318"/>
      <c r="U11021" s="318"/>
      <c r="V11021" s="318"/>
      <c r="W11021" s="318"/>
      <c r="X11021" s="318"/>
      <c r="Y11021" s="318"/>
      <c r="Z11021" s="318"/>
      <c r="AA11021" s="318"/>
      <c r="AB11021" s="318"/>
      <c r="AC11021" s="318"/>
      <c r="AD11021" s="318"/>
    </row>
    <row r="11022" spans="2:30" s="323" customFormat="1" ht="12" customHeight="1">
      <c r="B11022" s="324"/>
      <c r="C11022" s="325"/>
      <c r="D11022" s="326"/>
      <c r="E11022" s="326"/>
      <c r="F11022" s="326"/>
      <c r="G11022" s="326"/>
      <c r="H11022" s="326"/>
      <c r="P11022" s="318"/>
      <c r="Q11022" s="318"/>
      <c r="R11022" s="318"/>
      <c r="S11022" s="318"/>
      <c r="T11022" s="318"/>
      <c r="U11022" s="318"/>
      <c r="V11022" s="318"/>
      <c r="W11022" s="318"/>
      <c r="X11022" s="318"/>
      <c r="Y11022" s="318"/>
      <c r="Z11022" s="318"/>
      <c r="AA11022" s="318"/>
      <c r="AB11022" s="318"/>
      <c r="AC11022" s="318"/>
      <c r="AD11022" s="318"/>
    </row>
    <row r="11023" spans="2:30" s="323" customFormat="1" ht="12" customHeight="1">
      <c r="B11023" s="324"/>
      <c r="C11023" s="325"/>
      <c r="D11023" s="326"/>
      <c r="E11023" s="326"/>
      <c r="F11023" s="326"/>
      <c r="G11023" s="326"/>
      <c r="H11023" s="326"/>
      <c r="P11023" s="318"/>
      <c r="Q11023" s="318"/>
      <c r="R11023" s="318"/>
      <c r="S11023" s="318"/>
      <c r="T11023" s="318"/>
      <c r="U11023" s="318"/>
      <c r="V11023" s="318"/>
      <c r="W11023" s="318"/>
      <c r="X11023" s="318"/>
      <c r="Y11023" s="318"/>
      <c r="Z11023" s="318"/>
      <c r="AA11023" s="318"/>
      <c r="AB11023" s="318"/>
      <c r="AC11023" s="318"/>
      <c r="AD11023" s="318"/>
    </row>
    <row r="11024" spans="2:30" s="323" customFormat="1" ht="12" customHeight="1">
      <c r="B11024" s="324"/>
      <c r="C11024" s="325"/>
      <c r="D11024" s="326"/>
      <c r="E11024" s="326"/>
      <c r="F11024" s="326"/>
      <c r="G11024" s="326"/>
      <c r="H11024" s="326"/>
      <c r="P11024" s="318"/>
      <c r="Q11024" s="318"/>
      <c r="R11024" s="318"/>
      <c r="S11024" s="318"/>
      <c r="T11024" s="318"/>
      <c r="U11024" s="318"/>
      <c r="V11024" s="318"/>
      <c r="W11024" s="318"/>
      <c r="X11024" s="318"/>
      <c r="Y11024" s="318"/>
      <c r="Z11024" s="318"/>
      <c r="AA11024" s="318"/>
      <c r="AB11024" s="318"/>
      <c r="AC11024" s="318"/>
      <c r="AD11024" s="318"/>
    </row>
    <row r="11025" spans="2:30" s="323" customFormat="1" ht="12" customHeight="1">
      <c r="B11025" s="324"/>
      <c r="C11025" s="325"/>
      <c r="D11025" s="326"/>
      <c r="E11025" s="326"/>
      <c r="F11025" s="326"/>
      <c r="G11025" s="326"/>
      <c r="H11025" s="326"/>
      <c r="P11025" s="318"/>
      <c r="Q11025" s="318"/>
      <c r="R11025" s="318"/>
      <c r="S11025" s="318"/>
      <c r="T11025" s="318"/>
      <c r="U11025" s="318"/>
      <c r="V11025" s="318"/>
      <c r="W11025" s="318"/>
      <c r="X11025" s="318"/>
      <c r="Y11025" s="318"/>
      <c r="Z11025" s="318"/>
      <c r="AA11025" s="318"/>
      <c r="AB11025" s="318"/>
      <c r="AC11025" s="318"/>
      <c r="AD11025" s="318"/>
    </row>
    <row r="11026" spans="2:30" s="323" customFormat="1" ht="12" customHeight="1">
      <c r="B11026" s="324"/>
      <c r="C11026" s="325"/>
      <c r="D11026" s="326"/>
      <c r="E11026" s="326"/>
      <c r="F11026" s="326"/>
      <c r="G11026" s="326"/>
      <c r="H11026" s="326"/>
      <c r="P11026" s="318"/>
      <c r="Q11026" s="318"/>
      <c r="R11026" s="318"/>
      <c r="S11026" s="318"/>
      <c r="T11026" s="318"/>
      <c r="U11026" s="318"/>
      <c r="V11026" s="318"/>
      <c r="W11026" s="318"/>
      <c r="X11026" s="318"/>
      <c r="Y11026" s="318"/>
      <c r="Z11026" s="318"/>
      <c r="AA11026" s="318"/>
      <c r="AB11026" s="318"/>
      <c r="AC11026" s="318"/>
      <c r="AD11026" s="318"/>
    </row>
    <row r="11027" spans="2:30" s="323" customFormat="1" ht="12" customHeight="1">
      <c r="B11027" s="324"/>
      <c r="C11027" s="325"/>
      <c r="D11027" s="326"/>
      <c r="E11027" s="326"/>
      <c r="F11027" s="326"/>
      <c r="G11027" s="326"/>
      <c r="H11027" s="326"/>
      <c r="P11027" s="318"/>
      <c r="Q11027" s="318"/>
      <c r="R11027" s="318"/>
      <c r="S11027" s="318"/>
      <c r="T11027" s="318"/>
      <c r="U11027" s="318"/>
      <c r="V11027" s="318"/>
      <c r="W11027" s="318"/>
      <c r="X11027" s="318"/>
      <c r="Y11027" s="318"/>
      <c r="Z11027" s="318"/>
      <c r="AA11027" s="318"/>
      <c r="AB11027" s="318"/>
      <c r="AC11027" s="318"/>
      <c r="AD11027" s="318"/>
    </row>
    <row r="11028" spans="2:30" s="323" customFormat="1" ht="12" customHeight="1">
      <c r="B11028" s="324"/>
      <c r="C11028" s="325"/>
      <c r="D11028" s="326"/>
      <c r="E11028" s="326"/>
      <c r="F11028" s="326"/>
      <c r="G11028" s="326"/>
      <c r="H11028" s="326"/>
      <c r="P11028" s="318"/>
      <c r="Q11028" s="318"/>
      <c r="R11028" s="318"/>
      <c r="S11028" s="318"/>
      <c r="T11028" s="318"/>
      <c r="U11028" s="318"/>
      <c r="V11028" s="318"/>
      <c r="W11028" s="318"/>
      <c r="X11028" s="318"/>
      <c r="Y11028" s="318"/>
      <c r="Z11028" s="318"/>
      <c r="AA11028" s="318"/>
      <c r="AB11028" s="318"/>
      <c r="AC11028" s="318"/>
      <c r="AD11028" s="318"/>
    </row>
    <row r="11029" spans="2:30" s="323" customFormat="1" ht="12" customHeight="1">
      <c r="B11029" s="324"/>
      <c r="C11029" s="325"/>
      <c r="D11029" s="326"/>
      <c r="E11029" s="326"/>
      <c r="F11029" s="326"/>
      <c r="G11029" s="326"/>
      <c r="H11029" s="326"/>
      <c r="P11029" s="318"/>
      <c r="Q11029" s="318"/>
      <c r="R11029" s="318"/>
      <c r="S11029" s="318"/>
      <c r="T11029" s="318"/>
      <c r="U11029" s="318"/>
      <c r="V11029" s="318"/>
      <c r="W11029" s="318"/>
      <c r="X11029" s="318"/>
      <c r="Y11029" s="318"/>
      <c r="Z11029" s="318"/>
      <c r="AA11029" s="318"/>
      <c r="AB11029" s="318"/>
      <c r="AC11029" s="318"/>
      <c r="AD11029" s="318"/>
    </row>
    <row r="11030" spans="2:30" s="323" customFormat="1" ht="12" customHeight="1">
      <c r="B11030" s="324"/>
      <c r="C11030" s="325"/>
      <c r="D11030" s="326"/>
      <c r="E11030" s="326"/>
      <c r="F11030" s="326"/>
      <c r="G11030" s="326"/>
      <c r="H11030" s="326"/>
      <c r="P11030" s="318"/>
      <c r="Q11030" s="318"/>
      <c r="R11030" s="318"/>
      <c r="S11030" s="318"/>
      <c r="T11030" s="318"/>
      <c r="U11030" s="318"/>
      <c r="V11030" s="318"/>
      <c r="W11030" s="318"/>
      <c r="X11030" s="318"/>
      <c r="Y11030" s="318"/>
      <c r="Z11030" s="318"/>
      <c r="AA11030" s="318"/>
      <c r="AB11030" s="318"/>
      <c r="AC11030" s="318"/>
      <c r="AD11030" s="318"/>
    </row>
    <row r="11031" spans="2:30" s="323" customFormat="1" ht="12" customHeight="1">
      <c r="B11031" s="324"/>
      <c r="C11031" s="325"/>
      <c r="D11031" s="326"/>
      <c r="E11031" s="326"/>
      <c r="F11031" s="326"/>
      <c r="G11031" s="326"/>
      <c r="H11031" s="326"/>
      <c r="P11031" s="318"/>
      <c r="Q11031" s="318"/>
      <c r="R11031" s="318"/>
      <c r="S11031" s="318"/>
      <c r="T11031" s="318"/>
      <c r="U11031" s="318"/>
      <c r="V11031" s="318"/>
      <c r="W11031" s="318"/>
      <c r="X11031" s="318"/>
      <c r="Y11031" s="318"/>
      <c r="Z11031" s="318"/>
      <c r="AA11031" s="318"/>
      <c r="AB11031" s="318"/>
      <c r="AC11031" s="318"/>
      <c r="AD11031" s="318"/>
    </row>
    <row r="11032" spans="2:30" s="323" customFormat="1" ht="12" customHeight="1">
      <c r="B11032" s="324"/>
      <c r="C11032" s="325"/>
      <c r="D11032" s="326"/>
      <c r="E11032" s="326"/>
      <c r="F11032" s="326"/>
      <c r="G11032" s="326"/>
      <c r="H11032" s="326"/>
      <c r="P11032" s="318"/>
      <c r="Q11032" s="318"/>
      <c r="R11032" s="318"/>
      <c r="S11032" s="318"/>
      <c r="T11032" s="318"/>
      <c r="U11032" s="318"/>
      <c r="V11032" s="318"/>
      <c r="W11032" s="318"/>
      <c r="X11032" s="318"/>
      <c r="Y11032" s="318"/>
      <c r="Z11032" s="318"/>
      <c r="AA11032" s="318"/>
      <c r="AB11032" s="318"/>
      <c r="AC11032" s="318"/>
      <c r="AD11032" s="318"/>
    </row>
    <row r="11033" spans="2:30" s="323" customFormat="1" ht="12" customHeight="1">
      <c r="B11033" s="324"/>
      <c r="C11033" s="325"/>
      <c r="D11033" s="326"/>
      <c r="E11033" s="326"/>
      <c r="F11033" s="326"/>
      <c r="G11033" s="326"/>
      <c r="H11033" s="326"/>
      <c r="P11033" s="318"/>
      <c r="Q11033" s="318"/>
      <c r="R11033" s="318"/>
      <c r="S11033" s="318"/>
      <c r="T11033" s="318"/>
      <c r="U11033" s="318"/>
      <c r="V11033" s="318"/>
      <c r="W11033" s="318"/>
      <c r="X11033" s="318"/>
      <c r="Y11033" s="318"/>
      <c r="Z11033" s="318"/>
      <c r="AA11033" s="318"/>
      <c r="AB11033" s="318"/>
      <c r="AC11033" s="318"/>
      <c r="AD11033" s="318"/>
    </row>
    <row r="11034" spans="2:30" s="323" customFormat="1" ht="12" customHeight="1">
      <c r="B11034" s="324"/>
      <c r="C11034" s="325"/>
      <c r="D11034" s="326"/>
      <c r="E11034" s="326"/>
      <c r="F11034" s="326"/>
      <c r="G11034" s="326"/>
      <c r="H11034" s="326"/>
      <c r="P11034" s="318"/>
      <c r="Q11034" s="318"/>
      <c r="R11034" s="318"/>
      <c r="S11034" s="318"/>
      <c r="T11034" s="318"/>
      <c r="U11034" s="318"/>
      <c r="V11034" s="318"/>
      <c r="W11034" s="318"/>
      <c r="X11034" s="318"/>
      <c r="Y11034" s="318"/>
      <c r="Z11034" s="318"/>
      <c r="AA11034" s="318"/>
      <c r="AB11034" s="318"/>
      <c r="AC11034" s="318"/>
      <c r="AD11034" s="318"/>
    </row>
    <row r="11035" spans="2:30" s="323" customFormat="1" ht="12" customHeight="1">
      <c r="B11035" s="324"/>
      <c r="C11035" s="325"/>
      <c r="D11035" s="326"/>
      <c r="E11035" s="326"/>
      <c r="F11035" s="326"/>
      <c r="G11035" s="326"/>
      <c r="H11035" s="326"/>
      <c r="P11035" s="318"/>
      <c r="Q11035" s="318"/>
      <c r="R11035" s="318"/>
      <c r="S11035" s="318"/>
      <c r="T11035" s="318"/>
      <c r="U11035" s="318"/>
      <c r="V11035" s="318"/>
      <c r="W11035" s="318"/>
      <c r="X11035" s="318"/>
      <c r="Y11035" s="318"/>
      <c r="Z11035" s="318"/>
      <c r="AA11035" s="318"/>
      <c r="AB11035" s="318"/>
      <c r="AC11035" s="318"/>
      <c r="AD11035" s="318"/>
    </row>
    <row r="11036" spans="2:30" s="323" customFormat="1" ht="12" customHeight="1">
      <c r="B11036" s="324"/>
      <c r="C11036" s="325"/>
      <c r="D11036" s="326"/>
      <c r="E11036" s="326"/>
      <c r="F11036" s="326"/>
      <c r="G11036" s="326"/>
      <c r="H11036" s="326"/>
      <c r="P11036" s="318"/>
      <c r="Q11036" s="318"/>
      <c r="R11036" s="318"/>
      <c r="S11036" s="318"/>
      <c r="T11036" s="318"/>
      <c r="U11036" s="318"/>
      <c r="V11036" s="318"/>
      <c r="W11036" s="318"/>
      <c r="X11036" s="318"/>
      <c r="Y11036" s="318"/>
      <c r="Z11036" s="318"/>
      <c r="AA11036" s="318"/>
      <c r="AB11036" s="318"/>
      <c r="AC11036" s="318"/>
      <c r="AD11036" s="318"/>
    </row>
    <row r="11037" spans="2:30" s="323" customFormat="1" ht="12" customHeight="1">
      <c r="B11037" s="324"/>
      <c r="C11037" s="325"/>
      <c r="D11037" s="326"/>
      <c r="E11037" s="326"/>
      <c r="F11037" s="326"/>
      <c r="G11037" s="326"/>
      <c r="H11037" s="326"/>
      <c r="P11037" s="318"/>
      <c r="Q11037" s="318"/>
      <c r="R11037" s="318"/>
      <c r="S11037" s="318"/>
      <c r="T11037" s="318"/>
      <c r="U11037" s="318"/>
      <c r="V11037" s="318"/>
      <c r="W11037" s="318"/>
      <c r="X11037" s="318"/>
      <c r="Y11037" s="318"/>
      <c r="Z11037" s="318"/>
      <c r="AA11037" s="318"/>
      <c r="AB11037" s="318"/>
      <c r="AC11037" s="318"/>
      <c r="AD11037" s="318"/>
    </row>
    <row r="11038" spans="2:30" s="323" customFormat="1" ht="12" customHeight="1">
      <c r="B11038" s="324"/>
      <c r="C11038" s="325"/>
      <c r="D11038" s="326"/>
      <c r="E11038" s="326"/>
      <c r="F11038" s="326"/>
      <c r="G11038" s="326"/>
      <c r="H11038" s="326"/>
      <c r="P11038" s="318"/>
      <c r="Q11038" s="318"/>
      <c r="R11038" s="318"/>
      <c r="S11038" s="318"/>
      <c r="T11038" s="318"/>
      <c r="U11038" s="318"/>
      <c r="V11038" s="318"/>
      <c r="W11038" s="318"/>
      <c r="X11038" s="318"/>
      <c r="Y11038" s="318"/>
      <c r="Z11038" s="318"/>
      <c r="AA11038" s="318"/>
      <c r="AB11038" s="318"/>
      <c r="AC11038" s="318"/>
      <c r="AD11038" s="318"/>
    </row>
    <row r="11039" spans="2:30" s="323" customFormat="1" ht="12" customHeight="1">
      <c r="B11039" s="324"/>
      <c r="C11039" s="325"/>
      <c r="D11039" s="326"/>
      <c r="E11039" s="326"/>
      <c r="F11039" s="326"/>
      <c r="G11039" s="326"/>
      <c r="H11039" s="326"/>
      <c r="P11039" s="318"/>
      <c r="Q11039" s="318"/>
      <c r="R11039" s="318"/>
      <c r="S11039" s="318"/>
      <c r="T11039" s="318"/>
      <c r="U11039" s="318"/>
      <c r="V11039" s="318"/>
      <c r="W11039" s="318"/>
      <c r="X11039" s="318"/>
      <c r="Y11039" s="318"/>
      <c r="Z11039" s="318"/>
      <c r="AA11039" s="318"/>
      <c r="AB11039" s="318"/>
      <c r="AC11039" s="318"/>
      <c r="AD11039" s="318"/>
    </row>
    <row r="11040" spans="2:30" s="323" customFormat="1" ht="12" customHeight="1">
      <c r="B11040" s="324"/>
      <c r="C11040" s="325"/>
      <c r="D11040" s="326"/>
      <c r="E11040" s="326"/>
      <c r="F11040" s="326"/>
      <c r="G11040" s="326"/>
      <c r="H11040" s="326"/>
      <c r="P11040" s="318"/>
      <c r="Q11040" s="318"/>
      <c r="R11040" s="318"/>
      <c r="S11040" s="318"/>
      <c r="T11040" s="318"/>
      <c r="U11040" s="318"/>
      <c r="V11040" s="318"/>
      <c r="W11040" s="318"/>
      <c r="X11040" s="318"/>
      <c r="Y11040" s="318"/>
      <c r="Z11040" s="318"/>
      <c r="AA11040" s="318"/>
      <c r="AB11040" s="318"/>
      <c r="AC11040" s="318"/>
      <c r="AD11040" s="318"/>
    </row>
    <row r="11041" spans="2:30" s="323" customFormat="1" ht="12" customHeight="1">
      <c r="B11041" s="324"/>
      <c r="C11041" s="325"/>
      <c r="D11041" s="326"/>
      <c r="E11041" s="326"/>
      <c r="F11041" s="326"/>
      <c r="G11041" s="326"/>
      <c r="H11041" s="326"/>
      <c r="P11041" s="318"/>
      <c r="Q11041" s="318"/>
      <c r="R11041" s="318"/>
      <c r="S11041" s="318"/>
      <c r="T11041" s="318"/>
      <c r="U11041" s="318"/>
      <c r="V11041" s="318"/>
      <c r="W11041" s="318"/>
      <c r="X11041" s="318"/>
      <c r="Y11041" s="318"/>
      <c r="Z11041" s="318"/>
      <c r="AA11041" s="318"/>
      <c r="AB11041" s="318"/>
      <c r="AC11041" s="318"/>
      <c r="AD11041" s="318"/>
    </row>
    <row r="11042" spans="2:30" s="323" customFormat="1" ht="12" customHeight="1">
      <c r="B11042" s="324"/>
      <c r="C11042" s="325"/>
      <c r="D11042" s="326"/>
      <c r="E11042" s="326"/>
      <c r="F11042" s="326"/>
      <c r="G11042" s="326"/>
      <c r="H11042" s="326"/>
      <c r="P11042" s="318"/>
      <c r="Q11042" s="318"/>
      <c r="R11042" s="318"/>
      <c r="S11042" s="318"/>
      <c r="T11042" s="318"/>
      <c r="U11042" s="318"/>
      <c r="V11042" s="318"/>
      <c r="W11042" s="318"/>
      <c r="X11042" s="318"/>
      <c r="Y11042" s="318"/>
      <c r="Z11042" s="318"/>
      <c r="AA11042" s="318"/>
      <c r="AB11042" s="318"/>
      <c r="AC11042" s="318"/>
      <c r="AD11042" s="318"/>
    </row>
    <row r="11043" spans="2:30" s="323" customFormat="1" ht="12" customHeight="1">
      <c r="B11043" s="324"/>
      <c r="C11043" s="325"/>
      <c r="D11043" s="326"/>
      <c r="E11043" s="326"/>
      <c r="F11043" s="326"/>
      <c r="G11043" s="326"/>
      <c r="H11043" s="326"/>
      <c r="P11043" s="318"/>
      <c r="Q11043" s="318"/>
      <c r="R11043" s="318"/>
      <c r="S11043" s="318"/>
      <c r="T11043" s="318"/>
      <c r="U11043" s="318"/>
      <c r="V11043" s="318"/>
      <c r="W11043" s="318"/>
      <c r="X11043" s="318"/>
      <c r="Y11043" s="318"/>
      <c r="Z11043" s="318"/>
      <c r="AA11043" s="318"/>
      <c r="AB11043" s="318"/>
      <c r="AC11043" s="318"/>
      <c r="AD11043" s="318"/>
    </row>
    <row r="11044" spans="2:30" s="323" customFormat="1" ht="12" customHeight="1">
      <c r="B11044" s="324"/>
      <c r="C11044" s="325"/>
      <c r="D11044" s="326"/>
      <c r="E11044" s="326"/>
      <c r="F11044" s="326"/>
      <c r="G11044" s="326"/>
      <c r="H11044" s="326"/>
      <c r="P11044" s="318"/>
      <c r="Q11044" s="318"/>
      <c r="R11044" s="318"/>
      <c r="S11044" s="318"/>
      <c r="T11044" s="318"/>
      <c r="U11044" s="318"/>
      <c r="V11044" s="318"/>
      <c r="W11044" s="318"/>
      <c r="X11044" s="318"/>
      <c r="Y11044" s="318"/>
      <c r="Z11044" s="318"/>
      <c r="AA11044" s="318"/>
      <c r="AB11044" s="318"/>
      <c r="AC11044" s="318"/>
      <c r="AD11044" s="318"/>
    </row>
    <row r="11045" spans="2:30" s="323" customFormat="1" ht="12" customHeight="1">
      <c r="B11045" s="324"/>
      <c r="C11045" s="325"/>
      <c r="D11045" s="326"/>
      <c r="E11045" s="326"/>
      <c r="F11045" s="326"/>
      <c r="G11045" s="326"/>
      <c r="H11045" s="326"/>
      <c r="P11045" s="318"/>
      <c r="Q11045" s="318"/>
      <c r="R11045" s="318"/>
      <c r="S11045" s="318"/>
      <c r="T11045" s="318"/>
      <c r="U11045" s="318"/>
      <c r="V11045" s="318"/>
      <c r="W11045" s="318"/>
      <c r="X11045" s="318"/>
      <c r="Y11045" s="318"/>
      <c r="Z11045" s="318"/>
      <c r="AA11045" s="318"/>
      <c r="AB11045" s="318"/>
      <c r="AC11045" s="318"/>
      <c r="AD11045" s="318"/>
    </row>
    <row r="11046" spans="2:30" s="323" customFormat="1" ht="12" customHeight="1">
      <c r="B11046" s="324"/>
      <c r="C11046" s="325"/>
      <c r="D11046" s="326"/>
      <c r="E11046" s="326"/>
      <c r="F11046" s="326"/>
      <c r="G11046" s="326"/>
      <c r="H11046" s="326"/>
      <c r="P11046" s="318"/>
      <c r="Q11046" s="318"/>
      <c r="R11046" s="318"/>
      <c r="S11046" s="318"/>
      <c r="T11046" s="318"/>
      <c r="U11046" s="318"/>
      <c r="V11046" s="318"/>
      <c r="W11046" s="318"/>
      <c r="X11046" s="318"/>
      <c r="Y11046" s="318"/>
      <c r="Z11046" s="318"/>
      <c r="AA11046" s="318"/>
      <c r="AB11046" s="318"/>
      <c r="AC11046" s="318"/>
      <c r="AD11046" s="318"/>
    </row>
    <row r="11047" spans="2:30" s="323" customFormat="1" ht="12" customHeight="1">
      <c r="B11047" s="324"/>
      <c r="C11047" s="325"/>
      <c r="D11047" s="326"/>
      <c r="E11047" s="326"/>
      <c r="F11047" s="326"/>
      <c r="G11047" s="326"/>
      <c r="H11047" s="326"/>
      <c r="P11047" s="318"/>
      <c r="Q11047" s="318"/>
      <c r="R11047" s="318"/>
      <c r="S11047" s="318"/>
      <c r="T11047" s="318"/>
      <c r="U11047" s="318"/>
      <c r="V11047" s="318"/>
      <c r="W11047" s="318"/>
      <c r="X11047" s="318"/>
      <c r="Y11047" s="318"/>
      <c r="Z11047" s="318"/>
      <c r="AA11047" s="318"/>
      <c r="AB11047" s="318"/>
      <c r="AC11047" s="318"/>
      <c r="AD11047" s="318"/>
    </row>
    <row r="11048" spans="2:30" s="323" customFormat="1" ht="12" customHeight="1">
      <c r="B11048" s="324"/>
      <c r="C11048" s="325"/>
      <c r="D11048" s="326"/>
      <c r="E11048" s="326"/>
      <c r="F11048" s="326"/>
      <c r="G11048" s="326"/>
      <c r="H11048" s="326"/>
      <c r="P11048" s="318"/>
      <c r="Q11048" s="318"/>
      <c r="R11048" s="318"/>
      <c r="S11048" s="318"/>
      <c r="T11048" s="318"/>
      <c r="U11048" s="318"/>
      <c r="V11048" s="318"/>
      <c r="W11048" s="318"/>
      <c r="X11048" s="318"/>
      <c r="Y11048" s="318"/>
      <c r="Z11048" s="318"/>
      <c r="AA11048" s="318"/>
      <c r="AB11048" s="318"/>
      <c r="AC11048" s="318"/>
      <c r="AD11048" s="318"/>
    </row>
    <row r="11049" spans="2:30" s="323" customFormat="1" ht="12" customHeight="1">
      <c r="B11049" s="324"/>
      <c r="C11049" s="325"/>
      <c r="D11049" s="326"/>
      <c r="E11049" s="326"/>
      <c r="F11049" s="326"/>
      <c r="G11049" s="326"/>
      <c r="H11049" s="326"/>
      <c r="P11049" s="318"/>
      <c r="Q11049" s="318"/>
      <c r="R11049" s="318"/>
      <c r="S11049" s="318"/>
      <c r="T11049" s="318"/>
      <c r="U11049" s="318"/>
      <c r="V11049" s="318"/>
      <c r="W11049" s="318"/>
      <c r="X11049" s="318"/>
      <c r="Y11049" s="318"/>
      <c r="Z11049" s="318"/>
      <c r="AA11049" s="318"/>
      <c r="AB11049" s="318"/>
      <c r="AC11049" s="318"/>
      <c r="AD11049" s="318"/>
    </row>
    <row r="11050" spans="2:30" s="323" customFormat="1" ht="12" customHeight="1">
      <c r="B11050" s="324"/>
      <c r="C11050" s="325"/>
      <c r="D11050" s="326"/>
      <c r="E11050" s="326"/>
      <c r="F11050" s="326"/>
      <c r="G11050" s="326"/>
      <c r="H11050" s="326"/>
      <c r="P11050" s="318"/>
      <c r="Q11050" s="318"/>
      <c r="R11050" s="318"/>
      <c r="S11050" s="318"/>
      <c r="T11050" s="318"/>
      <c r="U11050" s="318"/>
      <c r="V11050" s="318"/>
      <c r="W11050" s="318"/>
      <c r="X11050" s="318"/>
      <c r="Y11050" s="318"/>
      <c r="Z11050" s="318"/>
      <c r="AA11050" s="318"/>
      <c r="AB11050" s="318"/>
      <c r="AC11050" s="318"/>
      <c r="AD11050" s="318"/>
    </row>
    <row r="11051" spans="2:30" s="323" customFormat="1" ht="12" customHeight="1">
      <c r="B11051" s="324"/>
      <c r="C11051" s="325"/>
      <c r="D11051" s="326"/>
      <c r="E11051" s="326"/>
      <c r="F11051" s="326"/>
      <c r="G11051" s="326"/>
      <c r="H11051" s="326"/>
      <c r="P11051" s="318"/>
      <c r="Q11051" s="318"/>
      <c r="R11051" s="318"/>
      <c r="S11051" s="318"/>
      <c r="T11051" s="318"/>
      <c r="U11051" s="318"/>
      <c r="V11051" s="318"/>
      <c r="W11051" s="318"/>
      <c r="X11051" s="318"/>
      <c r="Y11051" s="318"/>
      <c r="Z11051" s="318"/>
      <c r="AA11051" s="318"/>
      <c r="AB11051" s="318"/>
      <c r="AC11051" s="318"/>
      <c r="AD11051" s="318"/>
    </row>
    <row r="11052" spans="2:30" s="323" customFormat="1" ht="12" customHeight="1">
      <c r="B11052" s="324"/>
      <c r="C11052" s="325"/>
      <c r="D11052" s="326"/>
      <c r="E11052" s="326"/>
      <c r="F11052" s="326"/>
      <c r="G11052" s="326"/>
      <c r="H11052" s="326"/>
      <c r="P11052" s="318"/>
      <c r="Q11052" s="318"/>
      <c r="R11052" s="318"/>
      <c r="S11052" s="318"/>
      <c r="T11052" s="318"/>
      <c r="U11052" s="318"/>
      <c r="V11052" s="318"/>
      <c r="W11052" s="318"/>
      <c r="X11052" s="318"/>
      <c r="Y11052" s="318"/>
      <c r="Z11052" s="318"/>
      <c r="AA11052" s="318"/>
      <c r="AB11052" s="318"/>
      <c r="AC11052" s="318"/>
      <c r="AD11052" s="318"/>
    </row>
    <row r="11053" spans="2:30" s="323" customFormat="1" ht="12" customHeight="1">
      <c r="B11053" s="324"/>
      <c r="C11053" s="325"/>
      <c r="D11053" s="326"/>
      <c r="E11053" s="326"/>
      <c r="F11053" s="326"/>
      <c r="G11053" s="326"/>
      <c r="H11053" s="326"/>
      <c r="P11053" s="318"/>
      <c r="Q11053" s="318"/>
      <c r="R11053" s="318"/>
      <c r="S11053" s="318"/>
      <c r="T11053" s="318"/>
      <c r="U11053" s="318"/>
      <c r="V11053" s="318"/>
      <c r="W11053" s="318"/>
      <c r="X11053" s="318"/>
      <c r="Y11053" s="318"/>
      <c r="Z11053" s="318"/>
      <c r="AA11053" s="318"/>
      <c r="AB11053" s="318"/>
      <c r="AC11053" s="318"/>
      <c r="AD11053" s="318"/>
    </row>
    <row r="11054" spans="2:30" s="323" customFormat="1" ht="12" customHeight="1">
      <c r="B11054" s="324"/>
      <c r="C11054" s="325"/>
      <c r="D11054" s="326"/>
      <c r="E11054" s="326"/>
      <c r="F11054" s="326"/>
      <c r="G11054" s="326"/>
      <c r="H11054" s="326"/>
      <c r="P11054" s="318"/>
      <c r="Q11054" s="318"/>
      <c r="R11054" s="318"/>
      <c r="S11054" s="318"/>
      <c r="T11054" s="318"/>
      <c r="U11054" s="318"/>
      <c r="V11054" s="318"/>
      <c r="W11054" s="318"/>
      <c r="X11054" s="318"/>
      <c r="Y11054" s="318"/>
      <c r="Z11054" s="318"/>
      <c r="AA11054" s="318"/>
      <c r="AB11054" s="318"/>
      <c r="AC11054" s="318"/>
      <c r="AD11054" s="318"/>
    </row>
    <row r="11055" spans="2:30" s="323" customFormat="1" ht="12" customHeight="1">
      <c r="B11055" s="324"/>
      <c r="C11055" s="325"/>
      <c r="D11055" s="326"/>
      <c r="E11055" s="326"/>
      <c r="F11055" s="326"/>
      <c r="G11055" s="326"/>
      <c r="H11055" s="326"/>
      <c r="P11055" s="318"/>
      <c r="Q11055" s="318"/>
      <c r="R11055" s="318"/>
      <c r="S11055" s="318"/>
      <c r="T11055" s="318"/>
      <c r="U11055" s="318"/>
      <c r="V11055" s="318"/>
      <c r="W11055" s="318"/>
      <c r="X11055" s="318"/>
      <c r="Y11055" s="318"/>
      <c r="Z11055" s="318"/>
      <c r="AA11055" s="318"/>
      <c r="AB11055" s="318"/>
      <c r="AC11055" s="318"/>
      <c r="AD11055" s="318"/>
    </row>
    <row r="11056" spans="2:30" s="323" customFormat="1" ht="12" customHeight="1">
      <c r="B11056" s="324"/>
      <c r="C11056" s="325"/>
      <c r="D11056" s="326"/>
      <c r="E11056" s="326"/>
      <c r="F11056" s="326"/>
      <c r="G11056" s="326"/>
      <c r="H11056" s="326"/>
      <c r="P11056" s="318"/>
      <c r="Q11056" s="318"/>
      <c r="R11056" s="318"/>
      <c r="S11056" s="318"/>
      <c r="T11056" s="318"/>
      <c r="U11056" s="318"/>
      <c r="V11056" s="318"/>
      <c r="W11056" s="318"/>
      <c r="X11056" s="318"/>
      <c r="Y11056" s="318"/>
      <c r="Z11056" s="318"/>
      <c r="AA11056" s="318"/>
      <c r="AB11056" s="318"/>
      <c r="AC11056" s="318"/>
      <c r="AD11056" s="318"/>
    </row>
    <row r="11057" spans="2:30" s="323" customFormat="1" ht="12" customHeight="1">
      <c r="B11057" s="324"/>
      <c r="C11057" s="325"/>
      <c r="D11057" s="326"/>
      <c r="E11057" s="326"/>
      <c r="F11057" s="326"/>
      <c r="G11057" s="326"/>
      <c r="H11057" s="326"/>
      <c r="P11057" s="318"/>
      <c r="Q11057" s="318"/>
      <c r="R11057" s="318"/>
      <c r="S11057" s="318"/>
      <c r="T11057" s="318"/>
      <c r="U11057" s="318"/>
      <c r="V11057" s="318"/>
      <c r="W11057" s="318"/>
      <c r="X11057" s="318"/>
      <c r="Y11057" s="318"/>
      <c r="Z11057" s="318"/>
      <c r="AA11057" s="318"/>
      <c r="AB11057" s="318"/>
      <c r="AC11057" s="318"/>
      <c r="AD11057" s="318"/>
    </row>
    <row r="11058" spans="2:30" s="323" customFormat="1" ht="12" customHeight="1">
      <c r="B11058" s="324"/>
      <c r="C11058" s="325"/>
      <c r="D11058" s="326"/>
      <c r="E11058" s="326"/>
      <c r="F11058" s="326"/>
      <c r="G11058" s="326"/>
      <c r="H11058" s="326"/>
      <c r="P11058" s="318"/>
      <c r="Q11058" s="318"/>
      <c r="R11058" s="318"/>
      <c r="S11058" s="318"/>
      <c r="T11058" s="318"/>
      <c r="U11058" s="318"/>
      <c r="V11058" s="318"/>
      <c r="W11058" s="318"/>
      <c r="X11058" s="318"/>
      <c r="Y11058" s="318"/>
      <c r="Z11058" s="318"/>
      <c r="AA11058" s="318"/>
      <c r="AB11058" s="318"/>
      <c r="AC11058" s="318"/>
      <c r="AD11058" s="318"/>
    </row>
    <row r="11059" spans="2:30" s="323" customFormat="1" ht="12" customHeight="1">
      <c r="B11059" s="324"/>
      <c r="C11059" s="325"/>
      <c r="D11059" s="326"/>
      <c r="E11059" s="326"/>
      <c r="F11059" s="326"/>
      <c r="G11059" s="326"/>
      <c r="H11059" s="326"/>
      <c r="P11059" s="318"/>
      <c r="Q11059" s="318"/>
      <c r="R11059" s="318"/>
      <c r="S11059" s="318"/>
      <c r="T11059" s="318"/>
      <c r="U11059" s="318"/>
      <c r="V11059" s="318"/>
      <c r="W11059" s="318"/>
      <c r="X11059" s="318"/>
      <c r="Y11059" s="318"/>
      <c r="Z11059" s="318"/>
      <c r="AA11059" s="318"/>
      <c r="AB11059" s="318"/>
      <c r="AC11059" s="318"/>
      <c r="AD11059" s="318"/>
    </row>
    <row r="11060" spans="2:30" s="323" customFormat="1" ht="12" customHeight="1">
      <c r="B11060" s="324"/>
      <c r="C11060" s="325"/>
      <c r="D11060" s="326"/>
      <c r="E11060" s="326"/>
      <c r="F11060" s="326"/>
      <c r="G11060" s="326"/>
      <c r="H11060" s="326"/>
      <c r="P11060" s="318"/>
      <c r="Q11060" s="318"/>
      <c r="R11060" s="318"/>
      <c r="S11060" s="318"/>
      <c r="T11060" s="318"/>
      <c r="U11060" s="318"/>
      <c r="V11060" s="318"/>
      <c r="W11060" s="318"/>
      <c r="X11060" s="318"/>
      <c r="Y11060" s="318"/>
      <c r="Z11060" s="318"/>
      <c r="AA11060" s="318"/>
      <c r="AB11060" s="318"/>
      <c r="AC11060" s="318"/>
      <c r="AD11060" s="318"/>
    </row>
    <row r="11061" spans="2:30" s="323" customFormat="1" ht="12" customHeight="1">
      <c r="B11061" s="324"/>
      <c r="C11061" s="325"/>
      <c r="D11061" s="326"/>
      <c r="E11061" s="326"/>
      <c r="F11061" s="326"/>
      <c r="G11061" s="326"/>
      <c r="H11061" s="326"/>
      <c r="P11061" s="318"/>
      <c r="Q11061" s="318"/>
      <c r="R11061" s="318"/>
      <c r="S11061" s="318"/>
      <c r="T11061" s="318"/>
      <c r="U11061" s="318"/>
      <c r="V11061" s="318"/>
      <c r="W11061" s="318"/>
      <c r="X11061" s="318"/>
      <c r="Y11061" s="318"/>
      <c r="Z11061" s="318"/>
      <c r="AA11061" s="318"/>
      <c r="AB11061" s="318"/>
      <c r="AC11061" s="318"/>
      <c r="AD11061" s="318"/>
    </row>
    <row r="11062" spans="2:30" s="323" customFormat="1" ht="12" customHeight="1">
      <c r="B11062" s="324"/>
      <c r="C11062" s="325"/>
      <c r="D11062" s="326"/>
      <c r="E11062" s="326"/>
      <c r="F11062" s="326"/>
      <c r="G11062" s="326"/>
      <c r="H11062" s="326"/>
      <c r="P11062" s="318"/>
      <c r="Q11062" s="318"/>
      <c r="R11062" s="318"/>
      <c r="S11062" s="318"/>
      <c r="T11062" s="318"/>
      <c r="U11062" s="318"/>
      <c r="V11062" s="318"/>
      <c r="W11062" s="318"/>
      <c r="X11062" s="318"/>
      <c r="Y11062" s="318"/>
      <c r="Z11062" s="318"/>
      <c r="AA11062" s="318"/>
      <c r="AB11062" s="318"/>
      <c r="AC11062" s="318"/>
      <c r="AD11062" s="318"/>
    </row>
    <row r="11063" spans="2:30" s="323" customFormat="1" ht="12" customHeight="1">
      <c r="B11063" s="324"/>
      <c r="C11063" s="325"/>
      <c r="D11063" s="326"/>
      <c r="E11063" s="326"/>
      <c r="F11063" s="326"/>
      <c r="G11063" s="326"/>
      <c r="H11063" s="326"/>
      <c r="P11063" s="318"/>
      <c r="Q11063" s="318"/>
      <c r="R11063" s="318"/>
      <c r="S11063" s="318"/>
      <c r="T11063" s="318"/>
      <c r="U11063" s="318"/>
      <c r="V11063" s="318"/>
      <c r="W11063" s="318"/>
      <c r="X11063" s="318"/>
      <c r="Y11063" s="318"/>
      <c r="Z11063" s="318"/>
      <c r="AA11063" s="318"/>
      <c r="AB11063" s="318"/>
      <c r="AC11063" s="318"/>
      <c r="AD11063" s="318"/>
    </row>
    <row r="11064" spans="2:30" s="323" customFormat="1" ht="12" customHeight="1">
      <c r="B11064" s="324"/>
      <c r="C11064" s="325"/>
      <c r="D11064" s="326"/>
      <c r="E11064" s="326"/>
      <c r="F11064" s="326"/>
      <c r="G11064" s="326"/>
      <c r="H11064" s="326"/>
      <c r="P11064" s="318"/>
      <c r="Q11064" s="318"/>
      <c r="R11064" s="318"/>
      <c r="S11064" s="318"/>
      <c r="T11064" s="318"/>
      <c r="U11064" s="318"/>
      <c r="V11064" s="318"/>
      <c r="W11064" s="318"/>
      <c r="X11064" s="318"/>
      <c r="Y11064" s="318"/>
      <c r="Z11064" s="318"/>
      <c r="AA11064" s="318"/>
      <c r="AB11064" s="318"/>
      <c r="AC11064" s="318"/>
      <c r="AD11064" s="318"/>
    </row>
    <row r="11065" spans="2:30" s="323" customFormat="1" ht="12" customHeight="1">
      <c r="B11065" s="324"/>
      <c r="C11065" s="325"/>
      <c r="D11065" s="326"/>
      <c r="E11065" s="326"/>
      <c r="F11065" s="326"/>
      <c r="G11065" s="326"/>
      <c r="H11065" s="326"/>
      <c r="P11065" s="318"/>
      <c r="Q11065" s="318"/>
      <c r="R11065" s="318"/>
      <c r="S11065" s="318"/>
      <c r="T11065" s="318"/>
      <c r="U11065" s="318"/>
      <c r="V11065" s="318"/>
      <c r="W11065" s="318"/>
      <c r="X11065" s="318"/>
      <c r="Y11065" s="318"/>
      <c r="Z11065" s="318"/>
      <c r="AA11065" s="318"/>
      <c r="AB11065" s="318"/>
      <c r="AC11065" s="318"/>
      <c r="AD11065" s="318"/>
    </row>
    <row r="11066" spans="2:30" s="323" customFormat="1" ht="12" customHeight="1">
      <c r="B11066" s="324"/>
      <c r="C11066" s="325"/>
      <c r="D11066" s="326"/>
      <c r="E11066" s="326"/>
      <c r="F11066" s="326"/>
      <c r="G11066" s="326"/>
      <c r="H11066" s="326"/>
      <c r="P11066" s="318"/>
      <c r="Q11066" s="318"/>
      <c r="R11066" s="318"/>
      <c r="S11066" s="318"/>
      <c r="T11066" s="318"/>
      <c r="U11066" s="318"/>
      <c r="V11066" s="318"/>
      <c r="W11066" s="318"/>
      <c r="X11066" s="318"/>
      <c r="Y11066" s="318"/>
      <c r="Z11066" s="318"/>
      <c r="AA11066" s="318"/>
      <c r="AB11066" s="318"/>
      <c r="AC11066" s="318"/>
      <c r="AD11066" s="318"/>
    </row>
    <row r="11067" spans="2:30" s="323" customFormat="1" ht="12" customHeight="1">
      <c r="B11067" s="324"/>
      <c r="C11067" s="325"/>
      <c r="D11067" s="326"/>
      <c r="E11067" s="326"/>
      <c r="F11067" s="326"/>
      <c r="G11067" s="326"/>
      <c r="H11067" s="326"/>
      <c r="P11067" s="318"/>
      <c r="Q11067" s="318"/>
      <c r="R11067" s="318"/>
      <c r="S11067" s="318"/>
      <c r="T11067" s="318"/>
      <c r="U11067" s="318"/>
      <c r="V11067" s="318"/>
      <c r="W11067" s="318"/>
      <c r="X11067" s="318"/>
      <c r="Y11067" s="318"/>
      <c r="Z11067" s="318"/>
      <c r="AA11067" s="318"/>
      <c r="AB11067" s="318"/>
      <c r="AC11067" s="318"/>
      <c r="AD11067" s="318"/>
    </row>
    <row r="11068" spans="2:30" s="323" customFormat="1" ht="12" customHeight="1">
      <c r="B11068" s="324"/>
      <c r="C11068" s="325"/>
      <c r="D11068" s="326"/>
      <c r="E11068" s="326"/>
      <c r="F11068" s="326"/>
      <c r="G11068" s="326"/>
      <c r="H11068" s="326"/>
      <c r="P11068" s="318"/>
      <c r="Q11068" s="318"/>
      <c r="R11068" s="318"/>
      <c r="S11068" s="318"/>
      <c r="T11068" s="318"/>
      <c r="U11068" s="318"/>
      <c r="V11068" s="318"/>
      <c r="W11068" s="318"/>
      <c r="X11068" s="318"/>
      <c r="Y11068" s="318"/>
      <c r="Z11068" s="318"/>
      <c r="AA11068" s="318"/>
      <c r="AB11068" s="318"/>
      <c r="AC11068" s="318"/>
      <c r="AD11068" s="318"/>
    </row>
    <row r="11069" spans="2:30" s="323" customFormat="1" ht="12" customHeight="1">
      <c r="B11069" s="324"/>
      <c r="C11069" s="325"/>
      <c r="D11069" s="326"/>
      <c r="E11069" s="326"/>
      <c r="F11069" s="326"/>
      <c r="G11069" s="326"/>
      <c r="H11069" s="326"/>
      <c r="P11069" s="318"/>
      <c r="Q11069" s="318"/>
      <c r="R11069" s="318"/>
      <c r="S11069" s="318"/>
      <c r="T11069" s="318"/>
      <c r="U11069" s="318"/>
      <c r="V11069" s="318"/>
      <c r="W11069" s="318"/>
      <c r="X11069" s="318"/>
      <c r="Y11069" s="318"/>
      <c r="Z11069" s="318"/>
      <c r="AA11069" s="318"/>
      <c r="AB11069" s="318"/>
      <c r="AC11069" s="318"/>
      <c r="AD11069" s="318"/>
    </row>
    <row r="11070" spans="2:30" s="323" customFormat="1" ht="12" customHeight="1">
      <c r="B11070" s="324"/>
      <c r="C11070" s="325"/>
      <c r="D11070" s="326"/>
      <c r="E11070" s="326"/>
      <c r="F11070" s="326"/>
      <c r="G11070" s="326"/>
      <c r="H11070" s="326"/>
      <c r="P11070" s="318"/>
      <c r="Q11070" s="318"/>
      <c r="R11070" s="318"/>
      <c r="S11070" s="318"/>
      <c r="T11070" s="318"/>
      <c r="U11070" s="318"/>
      <c r="V11070" s="318"/>
      <c r="W11070" s="318"/>
      <c r="X11070" s="318"/>
      <c r="Y11070" s="318"/>
      <c r="Z11070" s="318"/>
      <c r="AA11070" s="318"/>
      <c r="AB11070" s="318"/>
      <c r="AC11070" s="318"/>
      <c r="AD11070" s="318"/>
    </row>
    <row r="11071" spans="2:30" s="323" customFormat="1" ht="12" customHeight="1">
      <c r="B11071" s="324"/>
      <c r="C11071" s="325"/>
      <c r="D11071" s="326"/>
      <c r="E11071" s="326"/>
      <c r="F11071" s="326"/>
      <c r="G11071" s="326"/>
      <c r="H11071" s="326"/>
      <c r="P11071" s="318"/>
      <c r="Q11071" s="318"/>
      <c r="R11071" s="318"/>
      <c r="S11071" s="318"/>
      <c r="T11071" s="318"/>
      <c r="U11071" s="318"/>
      <c r="V11071" s="318"/>
      <c r="W11071" s="318"/>
      <c r="X11071" s="318"/>
      <c r="Y11071" s="318"/>
      <c r="Z11071" s="318"/>
      <c r="AA11071" s="318"/>
      <c r="AB11071" s="318"/>
      <c r="AC11071" s="318"/>
      <c r="AD11071" s="318"/>
    </row>
    <row r="11072" spans="2:30" s="323" customFormat="1" ht="12" customHeight="1">
      <c r="B11072" s="324"/>
      <c r="C11072" s="325"/>
      <c r="D11072" s="326"/>
      <c r="E11072" s="326"/>
      <c r="F11072" s="326"/>
      <c r="G11072" s="326"/>
      <c r="H11072" s="326"/>
      <c r="P11072" s="318"/>
      <c r="Q11072" s="318"/>
      <c r="R11072" s="318"/>
      <c r="S11072" s="318"/>
      <c r="T11072" s="318"/>
      <c r="U11072" s="318"/>
      <c r="V11072" s="318"/>
      <c r="W11072" s="318"/>
      <c r="X11072" s="318"/>
      <c r="Y11072" s="318"/>
      <c r="Z11072" s="318"/>
      <c r="AA11072" s="318"/>
      <c r="AB11072" s="318"/>
      <c r="AC11072" s="318"/>
      <c r="AD11072" s="318"/>
    </row>
    <row r="11073" spans="2:30" s="323" customFormat="1" ht="12" customHeight="1">
      <c r="B11073" s="324"/>
      <c r="C11073" s="325"/>
      <c r="D11073" s="326"/>
      <c r="E11073" s="326"/>
      <c r="F11073" s="326"/>
      <c r="G11073" s="326"/>
      <c r="H11073" s="326"/>
      <c r="P11073" s="318"/>
      <c r="Q11073" s="318"/>
      <c r="R11073" s="318"/>
      <c r="S11073" s="318"/>
      <c r="T11073" s="318"/>
      <c r="U11073" s="318"/>
      <c r="V11073" s="318"/>
      <c r="W11073" s="318"/>
      <c r="X11073" s="318"/>
      <c r="Y11073" s="318"/>
      <c r="Z11073" s="318"/>
      <c r="AA11073" s="318"/>
      <c r="AB11073" s="318"/>
      <c r="AC11073" s="318"/>
      <c r="AD11073" s="318"/>
    </row>
    <row r="11074" spans="2:30" s="323" customFormat="1" ht="12" customHeight="1">
      <c r="B11074" s="324"/>
      <c r="C11074" s="325"/>
      <c r="D11074" s="326"/>
      <c r="E11074" s="326"/>
      <c r="F11074" s="326"/>
      <c r="G11074" s="326"/>
      <c r="H11074" s="326"/>
      <c r="P11074" s="318"/>
      <c r="Q11074" s="318"/>
      <c r="R11074" s="318"/>
      <c r="S11074" s="318"/>
      <c r="T11074" s="318"/>
      <c r="U11074" s="318"/>
      <c r="V11074" s="318"/>
      <c r="W11074" s="318"/>
      <c r="X11074" s="318"/>
      <c r="Y11074" s="318"/>
      <c r="Z11074" s="318"/>
      <c r="AA11074" s="318"/>
      <c r="AB11074" s="318"/>
      <c r="AC11074" s="318"/>
      <c r="AD11074" s="318"/>
    </row>
    <row r="11075" spans="2:30" s="323" customFormat="1" ht="12" customHeight="1">
      <c r="B11075" s="324"/>
      <c r="C11075" s="325"/>
      <c r="D11075" s="326"/>
      <c r="E11075" s="326"/>
      <c r="F11075" s="326"/>
      <c r="G11075" s="326"/>
      <c r="H11075" s="326"/>
      <c r="P11075" s="318"/>
      <c r="Q11075" s="318"/>
      <c r="R11075" s="318"/>
      <c r="S11075" s="318"/>
      <c r="T11075" s="318"/>
      <c r="U11075" s="318"/>
      <c r="V11075" s="318"/>
      <c r="W11075" s="318"/>
      <c r="X11075" s="318"/>
      <c r="Y11075" s="318"/>
      <c r="Z11075" s="318"/>
      <c r="AA11075" s="318"/>
      <c r="AB11075" s="318"/>
      <c r="AC11075" s="318"/>
      <c r="AD11075" s="318"/>
    </row>
    <row r="11076" spans="2:30" s="323" customFormat="1" ht="12" customHeight="1">
      <c r="B11076" s="324"/>
      <c r="C11076" s="325"/>
      <c r="D11076" s="326"/>
      <c r="E11076" s="326"/>
      <c r="F11076" s="326"/>
      <c r="G11076" s="326"/>
      <c r="H11076" s="326"/>
      <c r="P11076" s="318"/>
      <c r="Q11076" s="318"/>
      <c r="R11076" s="318"/>
      <c r="S11076" s="318"/>
      <c r="T11076" s="318"/>
      <c r="U11076" s="318"/>
      <c r="V11076" s="318"/>
      <c r="W11076" s="318"/>
      <c r="X11076" s="318"/>
      <c r="Y11076" s="318"/>
      <c r="Z11076" s="318"/>
      <c r="AA11076" s="318"/>
      <c r="AB11076" s="318"/>
      <c r="AC11076" s="318"/>
      <c r="AD11076" s="318"/>
    </row>
    <row r="11077" spans="2:30" s="323" customFormat="1" ht="12" customHeight="1">
      <c r="B11077" s="324"/>
      <c r="C11077" s="325"/>
      <c r="D11077" s="326"/>
      <c r="E11077" s="326"/>
      <c r="F11077" s="326"/>
      <c r="G11077" s="326"/>
      <c r="H11077" s="326"/>
      <c r="P11077" s="318"/>
      <c r="Q11077" s="318"/>
      <c r="R11077" s="318"/>
      <c r="S11077" s="318"/>
      <c r="T11077" s="318"/>
      <c r="U11077" s="318"/>
      <c r="V11077" s="318"/>
      <c r="W11077" s="318"/>
      <c r="X11077" s="318"/>
      <c r="Y11077" s="318"/>
      <c r="Z11077" s="318"/>
      <c r="AA11077" s="318"/>
      <c r="AB11077" s="318"/>
      <c r="AC11077" s="318"/>
      <c r="AD11077" s="318"/>
    </row>
    <row r="11078" spans="2:30" s="323" customFormat="1" ht="12" customHeight="1">
      <c r="B11078" s="324"/>
      <c r="C11078" s="325"/>
      <c r="D11078" s="326"/>
      <c r="E11078" s="326"/>
      <c r="F11078" s="326"/>
      <c r="G11078" s="326"/>
      <c r="H11078" s="326"/>
      <c r="P11078" s="318"/>
      <c r="Q11078" s="318"/>
      <c r="R11078" s="318"/>
      <c r="S11078" s="318"/>
      <c r="T11078" s="318"/>
      <c r="U11078" s="318"/>
      <c r="V11078" s="318"/>
      <c r="W11078" s="318"/>
      <c r="X11078" s="318"/>
      <c r="Y11078" s="318"/>
      <c r="Z11078" s="318"/>
      <c r="AA11078" s="318"/>
      <c r="AB11078" s="318"/>
      <c r="AC11078" s="318"/>
      <c r="AD11078" s="318"/>
    </row>
    <row r="11079" spans="2:30" s="323" customFormat="1" ht="12" customHeight="1">
      <c r="B11079" s="324"/>
      <c r="C11079" s="325"/>
      <c r="D11079" s="326"/>
      <c r="E11079" s="326"/>
      <c r="F11079" s="326"/>
      <c r="G11079" s="326"/>
      <c r="H11079" s="326"/>
      <c r="P11079" s="318"/>
      <c r="Q11079" s="318"/>
      <c r="R11079" s="318"/>
      <c r="S11079" s="318"/>
      <c r="T11079" s="318"/>
      <c r="U11079" s="318"/>
      <c r="V11079" s="318"/>
      <c r="W11079" s="318"/>
      <c r="X11079" s="318"/>
      <c r="Y11079" s="318"/>
      <c r="Z11079" s="318"/>
      <c r="AA11079" s="318"/>
      <c r="AB11079" s="318"/>
      <c r="AC11079" s="318"/>
      <c r="AD11079" s="318"/>
    </row>
    <row r="11080" spans="2:30" s="323" customFormat="1" ht="12" customHeight="1">
      <c r="B11080" s="324"/>
      <c r="C11080" s="325"/>
      <c r="D11080" s="326"/>
      <c r="E11080" s="326"/>
      <c r="F11080" s="326"/>
      <c r="G11080" s="326"/>
      <c r="H11080" s="326"/>
      <c r="P11080" s="318"/>
      <c r="Q11080" s="318"/>
      <c r="R11080" s="318"/>
      <c r="S11080" s="318"/>
      <c r="T11080" s="318"/>
      <c r="U11080" s="318"/>
      <c r="V11080" s="318"/>
      <c r="W11080" s="318"/>
      <c r="X11080" s="318"/>
      <c r="Y11080" s="318"/>
      <c r="Z11080" s="318"/>
      <c r="AA11080" s="318"/>
      <c r="AB11080" s="318"/>
      <c r="AC11080" s="318"/>
      <c r="AD11080" s="318"/>
    </row>
    <row r="11081" spans="2:30" s="323" customFormat="1" ht="12" customHeight="1">
      <c r="B11081" s="324"/>
      <c r="C11081" s="325"/>
      <c r="D11081" s="326"/>
      <c r="E11081" s="326"/>
      <c r="F11081" s="326"/>
      <c r="G11081" s="326"/>
      <c r="H11081" s="326"/>
      <c r="P11081" s="318"/>
      <c r="Q11081" s="318"/>
      <c r="R11081" s="318"/>
      <c r="S11081" s="318"/>
      <c r="T11081" s="318"/>
      <c r="U11081" s="318"/>
      <c r="V11081" s="318"/>
      <c r="W11081" s="318"/>
      <c r="X11081" s="318"/>
      <c r="Y11081" s="318"/>
      <c r="Z11081" s="318"/>
      <c r="AA11081" s="318"/>
      <c r="AB11081" s="318"/>
      <c r="AC11081" s="318"/>
      <c r="AD11081" s="318"/>
    </row>
    <row r="11082" spans="2:30" s="323" customFormat="1" ht="12" customHeight="1">
      <c r="B11082" s="324"/>
      <c r="C11082" s="325"/>
      <c r="D11082" s="326"/>
      <c r="E11082" s="326"/>
      <c r="F11082" s="326"/>
      <c r="G11082" s="326"/>
      <c r="H11082" s="326"/>
      <c r="P11082" s="318"/>
      <c r="Q11082" s="318"/>
      <c r="R11082" s="318"/>
      <c r="S11082" s="318"/>
      <c r="T11082" s="318"/>
      <c r="U11082" s="318"/>
      <c r="V11082" s="318"/>
      <c r="W11082" s="318"/>
      <c r="X11082" s="318"/>
      <c r="Y11082" s="318"/>
      <c r="Z11082" s="318"/>
      <c r="AA11082" s="318"/>
      <c r="AB11082" s="318"/>
      <c r="AC11082" s="318"/>
      <c r="AD11082" s="318"/>
    </row>
    <row r="11083" spans="2:30" s="323" customFormat="1" ht="12" customHeight="1">
      <c r="B11083" s="324"/>
      <c r="C11083" s="325"/>
      <c r="D11083" s="326"/>
      <c r="E11083" s="326"/>
      <c r="F11083" s="326"/>
      <c r="G11083" s="326"/>
      <c r="H11083" s="326"/>
      <c r="P11083" s="318"/>
      <c r="Q11083" s="318"/>
      <c r="R11083" s="318"/>
      <c r="S11083" s="318"/>
      <c r="T11083" s="318"/>
      <c r="U11083" s="318"/>
      <c r="V11083" s="318"/>
      <c r="W11083" s="318"/>
      <c r="X11083" s="318"/>
      <c r="Y11083" s="318"/>
      <c r="Z11083" s="318"/>
      <c r="AA11083" s="318"/>
      <c r="AB11083" s="318"/>
      <c r="AC11083" s="318"/>
      <c r="AD11083" s="318"/>
    </row>
    <row r="11084" spans="2:30" s="323" customFormat="1" ht="12" customHeight="1">
      <c r="B11084" s="324"/>
      <c r="C11084" s="325"/>
      <c r="D11084" s="326"/>
      <c r="E11084" s="326"/>
      <c r="F11084" s="326"/>
      <c r="G11084" s="326"/>
      <c r="H11084" s="326"/>
      <c r="P11084" s="318"/>
      <c r="Q11084" s="318"/>
      <c r="R11084" s="318"/>
      <c r="S11084" s="318"/>
      <c r="T11084" s="318"/>
      <c r="U11084" s="318"/>
      <c r="V11084" s="318"/>
      <c r="W11084" s="318"/>
      <c r="X11084" s="318"/>
      <c r="Y11084" s="318"/>
      <c r="Z11084" s="318"/>
      <c r="AA11084" s="318"/>
      <c r="AB11084" s="318"/>
      <c r="AC11084" s="318"/>
      <c r="AD11084" s="318"/>
    </row>
    <row r="11085" spans="2:30" s="323" customFormat="1" ht="12" customHeight="1">
      <c r="B11085" s="324"/>
      <c r="C11085" s="325"/>
      <c r="D11085" s="326"/>
      <c r="E11085" s="326"/>
      <c r="F11085" s="326"/>
      <c r="G11085" s="326"/>
      <c r="H11085" s="326"/>
      <c r="P11085" s="318"/>
      <c r="Q11085" s="318"/>
      <c r="R11085" s="318"/>
      <c r="S11085" s="318"/>
      <c r="T11085" s="318"/>
      <c r="U11085" s="318"/>
      <c r="V11085" s="318"/>
      <c r="W11085" s="318"/>
      <c r="X11085" s="318"/>
      <c r="Y11085" s="318"/>
      <c r="Z11085" s="318"/>
      <c r="AA11085" s="318"/>
      <c r="AB11085" s="318"/>
      <c r="AC11085" s="318"/>
      <c r="AD11085" s="318"/>
    </row>
    <row r="11086" spans="2:30" s="323" customFormat="1" ht="12" customHeight="1">
      <c r="B11086" s="324"/>
      <c r="C11086" s="325"/>
      <c r="D11086" s="326"/>
      <c r="E11086" s="326"/>
      <c r="F11086" s="326"/>
      <c r="G11086" s="326"/>
      <c r="H11086" s="326"/>
      <c r="P11086" s="318"/>
      <c r="Q11086" s="318"/>
      <c r="R11086" s="318"/>
      <c r="S11086" s="318"/>
      <c r="T11086" s="318"/>
      <c r="U11086" s="318"/>
      <c r="V11086" s="318"/>
      <c r="W11086" s="318"/>
      <c r="X11086" s="318"/>
      <c r="Y11086" s="318"/>
      <c r="Z11086" s="318"/>
      <c r="AA11086" s="318"/>
      <c r="AB11086" s="318"/>
      <c r="AC11086" s="318"/>
      <c r="AD11086" s="318"/>
    </row>
    <row r="11087" spans="2:30" s="323" customFormat="1" ht="12" customHeight="1">
      <c r="B11087" s="324"/>
      <c r="C11087" s="325"/>
      <c r="D11087" s="326"/>
      <c r="E11087" s="326"/>
      <c r="F11087" s="326"/>
      <c r="G11087" s="326"/>
      <c r="H11087" s="326"/>
      <c r="P11087" s="318"/>
      <c r="Q11087" s="318"/>
      <c r="R11087" s="318"/>
      <c r="S11087" s="318"/>
      <c r="T11087" s="318"/>
      <c r="U11087" s="318"/>
      <c r="V11087" s="318"/>
      <c r="W11087" s="318"/>
      <c r="X11087" s="318"/>
      <c r="Y11087" s="318"/>
      <c r="Z11087" s="318"/>
      <c r="AA11087" s="318"/>
      <c r="AB11087" s="318"/>
      <c r="AC11087" s="318"/>
      <c r="AD11087" s="318"/>
    </row>
    <row r="11088" spans="2:30" s="323" customFormat="1" ht="12" customHeight="1">
      <c r="B11088" s="324"/>
      <c r="C11088" s="325"/>
      <c r="D11088" s="326"/>
      <c r="E11088" s="326"/>
      <c r="F11088" s="326"/>
      <c r="G11088" s="326"/>
      <c r="H11088" s="326"/>
      <c r="P11088" s="318"/>
      <c r="Q11088" s="318"/>
      <c r="R11088" s="318"/>
      <c r="S11088" s="318"/>
      <c r="T11088" s="318"/>
      <c r="U11088" s="318"/>
      <c r="V11088" s="318"/>
      <c r="W11088" s="318"/>
      <c r="X11088" s="318"/>
      <c r="Y11088" s="318"/>
      <c r="Z11088" s="318"/>
      <c r="AA11088" s="318"/>
      <c r="AB11088" s="318"/>
      <c r="AC11088" s="318"/>
      <c r="AD11088" s="318"/>
    </row>
    <row r="11089" spans="2:30" s="323" customFormat="1" ht="12" customHeight="1">
      <c r="B11089" s="324"/>
      <c r="C11089" s="325"/>
      <c r="D11089" s="326"/>
      <c r="E11089" s="326"/>
      <c r="F11089" s="326"/>
      <c r="G11089" s="326"/>
      <c r="H11089" s="326"/>
      <c r="P11089" s="318"/>
      <c r="Q11089" s="318"/>
      <c r="R11089" s="318"/>
      <c r="S11089" s="318"/>
      <c r="T11089" s="318"/>
      <c r="U11089" s="318"/>
      <c r="V11089" s="318"/>
      <c r="W11089" s="318"/>
      <c r="X11089" s="318"/>
      <c r="Y11089" s="318"/>
      <c r="Z11089" s="318"/>
      <c r="AA11089" s="318"/>
      <c r="AB11089" s="318"/>
      <c r="AC11089" s="318"/>
      <c r="AD11089" s="318"/>
    </row>
    <row r="11090" spans="2:30" s="323" customFormat="1" ht="12" customHeight="1">
      <c r="B11090" s="324"/>
      <c r="C11090" s="325"/>
      <c r="D11090" s="326"/>
      <c r="E11090" s="326"/>
      <c r="F11090" s="326"/>
      <c r="G11090" s="326"/>
      <c r="H11090" s="326"/>
      <c r="P11090" s="318"/>
      <c r="Q11090" s="318"/>
      <c r="R11090" s="318"/>
      <c r="S11090" s="318"/>
      <c r="T11090" s="318"/>
      <c r="U11090" s="318"/>
      <c r="V11090" s="318"/>
      <c r="W11090" s="318"/>
      <c r="X11090" s="318"/>
      <c r="Y11090" s="318"/>
      <c r="Z11090" s="318"/>
      <c r="AA11090" s="318"/>
      <c r="AB11090" s="318"/>
      <c r="AC11090" s="318"/>
      <c r="AD11090" s="318"/>
    </row>
    <row r="11091" spans="2:30" s="323" customFormat="1" ht="12" customHeight="1">
      <c r="B11091" s="324"/>
      <c r="C11091" s="325"/>
      <c r="D11091" s="326"/>
      <c r="E11091" s="326"/>
      <c r="F11091" s="326"/>
      <c r="G11091" s="326"/>
      <c r="H11091" s="326"/>
      <c r="P11091" s="318"/>
      <c r="Q11091" s="318"/>
      <c r="R11091" s="318"/>
      <c r="S11091" s="318"/>
      <c r="T11091" s="318"/>
      <c r="U11091" s="318"/>
      <c r="V11091" s="318"/>
      <c r="W11091" s="318"/>
      <c r="X11091" s="318"/>
      <c r="Y11091" s="318"/>
      <c r="Z11091" s="318"/>
      <c r="AA11091" s="318"/>
      <c r="AB11091" s="318"/>
      <c r="AC11091" s="318"/>
      <c r="AD11091" s="318"/>
    </row>
    <row r="11092" spans="2:30" s="323" customFormat="1" ht="12" customHeight="1">
      <c r="B11092" s="324"/>
      <c r="C11092" s="325"/>
      <c r="D11092" s="326"/>
      <c r="E11092" s="326"/>
      <c r="F11092" s="326"/>
      <c r="G11092" s="326"/>
      <c r="H11092" s="326"/>
      <c r="P11092" s="318"/>
      <c r="Q11092" s="318"/>
      <c r="R11092" s="318"/>
      <c r="S11092" s="318"/>
      <c r="T11092" s="318"/>
      <c r="U11092" s="318"/>
      <c r="V11092" s="318"/>
      <c r="W11092" s="318"/>
      <c r="X11092" s="318"/>
      <c r="Y11092" s="318"/>
      <c r="Z11092" s="318"/>
      <c r="AA11092" s="318"/>
      <c r="AB11092" s="318"/>
      <c r="AC11092" s="318"/>
      <c r="AD11092" s="318"/>
    </row>
    <row r="11093" spans="2:30" s="323" customFormat="1" ht="12" customHeight="1">
      <c r="B11093" s="324"/>
      <c r="C11093" s="325"/>
      <c r="D11093" s="326"/>
      <c r="E11093" s="326"/>
      <c r="F11093" s="326"/>
      <c r="G11093" s="326"/>
      <c r="H11093" s="326"/>
      <c r="P11093" s="318"/>
      <c r="Q11093" s="318"/>
      <c r="R11093" s="318"/>
      <c r="S11093" s="318"/>
      <c r="T11093" s="318"/>
      <c r="U11093" s="318"/>
      <c r="V11093" s="318"/>
      <c r="W11093" s="318"/>
      <c r="X11093" s="318"/>
      <c r="Y11093" s="318"/>
      <c r="Z11093" s="318"/>
      <c r="AA11093" s="318"/>
      <c r="AB11093" s="318"/>
      <c r="AC11093" s="318"/>
      <c r="AD11093" s="318"/>
    </row>
    <row r="11094" spans="2:30" s="323" customFormat="1" ht="12" customHeight="1">
      <c r="B11094" s="324"/>
      <c r="C11094" s="325"/>
      <c r="D11094" s="326"/>
      <c r="E11094" s="326"/>
      <c r="F11094" s="326"/>
      <c r="G11094" s="326"/>
      <c r="H11094" s="326"/>
      <c r="P11094" s="318"/>
      <c r="Q11094" s="318"/>
      <c r="R11094" s="318"/>
      <c r="S11094" s="318"/>
      <c r="T11094" s="318"/>
      <c r="U11094" s="318"/>
      <c r="V11094" s="318"/>
      <c r="W11094" s="318"/>
      <c r="X11094" s="318"/>
      <c r="Y11094" s="318"/>
      <c r="Z11094" s="318"/>
      <c r="AA11094" s="318"/>
      <c r="AB11094" s="318"/>
      <c r="AC11094" s="318"/>
      <c r="AD11094" s="318"/>
    </row>
    <row r="11095" spans="2:30" s="323" customFormat="1" ht="12" customHeight="1">
      <c r="B11095" s="324"/>
      <c r="C11095" s="325"/>
      <c r="D11095" s="326"/>
      <c r="E11095" s="326"/>
      <c r="F11095" s="326"/>
      <c r="G11095" s="326"/>
      <c r="H11095" s="326"/>
      <c r="P11095" s="318"/>
      <c r="Q11095" s="318"/>
      <c r="R11095" s="318"/>
      <c r="S11095" s="318"/>
      <c r="T11095" s="318"/>
      <c r="U11095" s="318"/>
      <c r="V11095" s="318"/>
      <c r="W11095" s="318"/>
      <c r="X11095" s="318"/>
      <c r="Y11095" s="318"/>
      <c r="Z11095" s="318"/>
      <c r="AA11095" s="318"/>
      <c r="AB11095" s="318"/>
      <c r="AC11095" s="318"/>
      <c r="AD11095" s="318"/>
    </row>
    <row r="11096" spans="2:30" s="323" customFormat="1" ht="12" customHeight="1">
      <c r="B11096" s="324"/>
      <c r="C11096" s="325"/>
      <c r="D11096" s="326"/>
      <c r="E11096" s="326"/>
      <c r="F11096" s="326"/>
      <c r="G11096" s="326"/>
      <c r="H11096" s="326"/>
      <c r="P11096" s="318"/>
      <c r="Q11096" s="318"/>
      <c r="R11096" s="318"/>
      <c r="S11096" s="318"/>
      <c r="T11096" s="318"/>
      <c r="U11096" s="318"/>
      <c r="V11096" s="318"/>
      <c r="W11096" s="318"/>
      <c r="X11096" s="318"/>
      <c r="Y11096" s="318"/>
      <c r="Z11096" s="318"/>
      <c r="AA11096" s="318"/>
      <c r="AB11096" s="318"/>
      <c r="AC11096" s="318"/>
      <c r="AD11096" s="318"/>
    </row>
    <row r="11097" spans="2:30" s="323" customFormat="1" ht="12" customHeight="1">
      <c r="B11097" s="324"/>
      <c r="C11097" s="325"/>
      <c r="D11097" s="326"/>
      <c r="E11097" s="326"/>
      <c r="F11097" s="326"/>
      <c r="G11097" s="326"/>
      <c r="H11097" s="326"/>
      <c r="P11097" s="318"/>
      <c r="Q11097" s="318"/>
      <c r="R11097" s="318"/>
      <c r="S11097" s="318"/>
      <c r="T11097" s="318"/>
      <c r="U11097" s="318"/>
      <c r="V11097" s="318"/>
      <c r="W11097" s="318"/>
      <c r="X11097" s="318"/>
      <c r="Y11097" s="318"/>
      <c r="Z11097" s="318"/>
      <c r="AA11097" s="318"/>
      <c r="AB11097" s="318"/>
      <c r="AC11097" s="318"/>
      <c r="AD11097" s="318"/>
    </row>
    <row r="11098" spans="2:30" s="323" customFormat="1" ht="12" customHeight="1">
      <c r="B11098" s="324"/>
      <c r="C11098" s="325"/>
      <c r="D11098" s="326"/>
      <c r="E11098" s="326"/>
      <c r="F11098" s="326"/>
      <c r="G11098" s="326"/>
      <c r="H11098" s="326"/>
      <c r="P11098" s="318"/>
      <c r="Q11098" s="318"/>
      <c r="R11098" s="318"/>
      <c r="S11098" s="318"/>
      <c r="T11098" s="318"/>
      <c r="U11098" s="318"/>
      <c r="V11098" s="318"/>
      <c r="W11098" s="318"/>
      <c r="X11098" s="318"/>
      <c r="Y11098" s="318"/>
      <c r="Z11098" s="318"/>
      <c r="AA11098" s="318"/>
      <c r="AB11098" s="318"/>
      <c r="AC11098" s="318"/>
      <c r="AD11098" s="318"/>
    </row>
    <row r="11099" spans="2:30" s="323" customFormat="1" ht="12" customHeight="1">
      <c r="B11099" s="324"/>
      <c r="C11099" s="325"/>
      <c r="D11099" s="326"/>
      <c r="E11099" s="326"/>
      <c r="F11099" s="326"/>
      <c r="G11099" s="326"/>
      <c r="H11099" s="326"/>
      <c r="P11099" s="318"/>
      <c r="Q11099" s="318"/>
      <c r="R11099" s="318"/>
      <c r="S11099" s="318"/>
      <c r="T11099" s="318"/>
      <c r="U11099" s="318"/>
      <c r="V11099" s="318"/>
      <c r="W11099" s="318"/>
      <c r="X11099" s="318"/>
      <c r="Y11099" s="318"/>
      <c r="Z11099" s="318"/>
      <c r="AA11099" s="318"/>
      <c r="AB11099" s="318"/>
      <c r="AC11099" s="318"/>
      <c r="AD11099" s="318"/>
    </row>
    <row r="11100" spans="2:30" s="323" customFormat="1" ht="12" customHeight="1">
      <c r="B11100" s="324"/>
      <c r="C11100" s="325"/>
      <c r="D11100" s="326"/>
      <c r="E11100" s="326"/>
      <c r="F11100" s="326"/>
      <c r="G11100" s="326"/>
      <c r="H11100" s="326"/>
      <c r="P11100" s="318"/>
      <c r="Q11100" s="318"/>
      <c r="R11100" s="318"/>
      <c r="S11100" s="318"/>
      <c r="T11100" s="318"/>
      <c r="U11100" s="318"/>
      <c r="V11100" s="318"/>
      <c r="W11100" s="318"/>
      <c r="X11100" s="318"/>
      <c r="Y11100" s="318"/>
      <c r="Z11100" s="318"/>
      <c r="AA11100" s="318"/>
      <c r="AB11100" s="318"/>
      <c r="AC11100" s="318"/>
      <c r="AD11100" s="318"/>
    </row>
    <row r="11101" spans="2:30" s="323" customFormat="1" ht="12" customHeight="1">
      <c r="B11101" s="324"/>
      <c r="C11101" s="325"/>
      <c r="D11101" s="326"/>
      <c r="E11101" s="326"/>
      <c r="F11101" s="326"/>
      <c r="G11101" s="326"/>
      <c r="H11101" s="326"/>
      <c r="P11101" s="318"/>
      <c r="Q11101" s="318"/>
      <c r="R11101" s="318"/>
      <c r="S11101" s="318"/>
      <c r="T11101" s="318"/>
      <c r="U11101" s="318"/>
      <c r="V11101" s="318"/>
      <c r="W11101" s="318"/>
      <c r="X11101" s="318"/>
      <c r="Y11101" s="318"/>
      <c r="Z11101" s="318"/>
      <c r="AA11101" s="318"/>
      <c r="AB11101" s="318"/>
      <c r="AC11101" s="318"/>
      <c r="AD11101" s="318"/>
    </row>
    <row r="11102" spans="2:30" s="323" customFormat="1" ht="12" customHeight="1">
      <c r="B11102" s="324"/>
      <c r="C11102" s="325"/>
      <c r="D11102" s="326"/>
      <c r="E11102" s="326"/>
      <c r="F11102" s="326"/>
      <c r="G11102" s="326"/>
      <c r="H11102" s="326"/>
      <c r="P11102" s="318"/>
      <c r="Q11102" s="318"/>
      <c r="R11102" s="318"/>
      <c r="S11102" s="318"/>
      <c r="T11102" s="318"/>
      <c r="U11102" s="318"/>
      <c r="V11102" s="318"/>
      <c r="W11102" s="318"/>
      <c r="X11102" s="318"/>
      <c r="Y11102" s="318"/>
      <c r="Z11102" s="318"/>
      <c r="AA11102" s="318"/>
      <c r="AB11102" s="318"/>
      <c r="AC11102" s="318"/>
      <c r="AD11102" s="318"/>
    </row>
    <row r="11103" spans="2:30" s="323" customFormat="1" ht="12" customHeight="1">
      <c r="B11103" s="324"/>
      <c r="C11103" s="325"/>
      <c r="D11103" s="326"/>
      <c r="E11103" s="326"/>
      <c r="F11103" s="326"/>
      <c r="G11103" s="326"/>
      <c r="H11103" s="326"/>
      <c r="P11103" s="318"/>
      <c r="Q11103" s="318"/>
      <c r="R11103" s="318"/>
      <c r="S11103" s="318"/>
      <c r="T11103" s="318"/>
      <c r="U11103" s="318"/>
      <c r="V11103" s="318"/>
      <c r="W11103" s="318"/>
      <c r="X11103" s="318"/>
      <c r="Y11103" s="318"/>
      <c r="Z11103" s="318"/>
      <c r="AA11103" s="318"/>
      <c r="AB11103" s="318"/>
      <c r="AC11103" s="318"/>
      <c r="AD11103" s="318"/>
    </row>
    <row r="11104" spans="2:30" s="323" customFormat="1" ht="12" customHeight="1">
      <c r="B11104" s="324"/>
      <c r="C11104" s="325"/>
      <c r="D11104" s="326"/>
      <c r="E11104" s="326"/>
      <c r="F11104" s="326"/>
      <c r="G11104" s="326"/>
      <c r="H11104" s="326"/>
      <c r="P11104" s="318"/>
      <c r="Q11104" s="318"/>
      <c r="R11104" s="318"/>
      <c r="S11104" s="318"/>
      <c r="T11104" s="318"/>
      <c r="U11104" s="318"/>
      <c r="V11104" s="318"/>
      <c r="W11104" s="318"/>
      <c r="X11104" s="318"/>
      <c r="Y11104" s="318"/>
      <c r="Z11104" s="318"/>
      <c r="AA11104" s="318"/>
      <c r="AB11104" s="318"/>
      <c r="AC11104" s="318"/>
      <c r="AD11104" s="318"/>
    </row>
    <row r="11105" spans="2:30" s="323" customFormat="1" ht="12" customHeight="1">
      <c r="B11105" s="324"/>
      <c r="C11105" s="325"/>
      <c r="D11105" s="326"/>
      <c r="E11105" s="326"/>
      <c r="F11105" s="326"/>
      <c r="G11105" s="326"/>
      <c r="H11105" s="326"/>
      <c r="P11105" s="318"/>
      <c r="Q11105" s="318"/>
      <c r="R11105" s="318"/>
      <c r="S11105" s="318"/>
      <c r="T11105" s="318"/>
      <c r="U11105" s="318"/>
      <c r="V11105" s="318"/>
      <c r="W11105" s="318"/>
      <c r="X11105" s="318"/>
      <c r="Y11105" s="318"/>
      <c r="Z11105" s="318"/>
      <c r="AA11105" s="318"/>
      <c r="AB11105" s="318"/>
      <c r="AC11105" s="318"/>
      <c r="AD11105" s="318"/>
    </row>
    <row r="11106" spans="2:30" s="323" customFormat="1" ht="12" customHeight="1">
      <c r="B11106" s="324"/>
      <c r="C11106" s="325"/>
      <c r="D11106" s="326"/>
      <c r="E11106" s="326"/>
      <c r="F11106" s="326"/>
      <c r="G11106" s="326"/>
      <c r="H11106" s="326"/>
      <c r="P11106" s="318"/>
      <c r="Q11106" s="318"/>
      <c r="R11106" s="318"/>
      <c r="S11106" s="318"/>
      <c r="T11106" s="318"/>
      <c r="U11106" s="318"/>
      <c r="V11106" s="318"/>
      <c r="W11106" s="318"/>
      <c r="X11106" s="318"/>
      <c r="Y11106" s="318"/>
      <c r="Z11106" s="318"/>
      <c r="AA11106" s="318"/>
      <c r="AB11106" s="318"/>
      <c r="AC11106" s="318"/>
      <c r="AD11106" s="318"/>
    </row>
    <row r="11107" spans="2:30" s="323" customFormat="1" ht="12" customHeight="1">
      <c r="B11107" s="324"/>
      <c r="C11107" s="325"/>
      <c r="D11107" s="326"/>
      <c r="E11107" s="326"/>
      <c r="F11107" s="326"/>
      <c r="G11107" s="326"/>
      <c r="H11107" s="326"/>
      <c r="P11107" s="318"/>
      <c r="Q11107" s="318"/>
      <c r="R11107" s="318"/>
      <c r="S11107" s="318"/>
      <c r="T11107" s="318"/>
      <c r="U11107" s="318"/>
      <c r="V11107" s="318"/>
      <c r="W11107" s="318"/>
      <c r="X11107" s="318"/>
      <c r="Y11107" s="318"/>
      <c r="Z11107" s="318"/>
      <c r="AA11107" s="318"/>
      <c r="AB11107" s="318"/>
      <c r="AC11107" s="318"/>
      <c r="AD11107" s="318"/>
    </row>
    <row r="11108" spans="2:30" s="323" customFormat="1" ht="12" customHeight="1">
      <c r="B11108" s="324"/>
      <c r="C11108" s="325"/>
      <c r="D11108" s="326"/>
      <c r="E11108" s="326"/>
      <c r="F11108" s="326"/>
      <c r="G11108" s="326"/>
      <c r="H11108" s="326"/>
      <c r="P11108" s="318"/>
      <c r="Q11108" s="318"/>
      <c r="R11108" s="318"/>
      <c r="S11108" s="318"/>
      <c r="T11108" s="318"/>
      <c r="U11108" s="318"/>
      <c r="V11108" s="318"/>
      <c r="W11108" s="318"/>
      <c r="X11108" s="318"/>
      <c r="Y11108" s="318"/>
      <c r="Z11108" s="318"/>
      <c r="AA11108" s="318"/>
      <c r="AB11108" s="318"/>
      <c r="AC11108" s="318"/>
      <c r="AD11108" s="318"/>
    </row>
    <row r="11109" spans="2:30" s="323" customFormat="1" ht="12" customHeight="1">
      <c r="B11109" s="324"/>
      <c r="C11109" s="325"/>
      <c r="D11109" s="326"/>
      <c r="E11109" s="326"/>
      <c r="F11109" s="326"/>
      <c r="G11109" s="326"/>
      <c r="H11109" s="326"/>
      <c r="P11109" s="318"/>
      <c r="Q11109" s="318"/>
      <c r="R11109" s="318"/>
      <c r="S11109" s="318"/>
      <c r="T11109" s="318"/>
      <c r="U11109" s="318"/>
      <c r="V11109" s="318"/>
      <c r="W11109" s="318"/>
      <c r="X11109" s="318"/>
      <c r="Y11109" s="318"/>
      <c r="Z11109" s="318"/>
      <c r="AA11109" s="318"/>
      <c r="AB11109" s="318"/>
      <c r="AC11109" s="318"/>
      <c r="AD11109" s="318"/>
    </row>
    <row r="11110" spans="2:30" s="323" customFormat="1" ht="12" customHeight="1">
      <c r="B11110" s="324"/>
      <c r="C11110" s="325"/>
      <c r="D11110" s="326"/>
      <c r="E11110" s="326"/>
      <c r="F11110" s="326"/>
      <c r="G11110" s="326"/>
      <c r="H11110" s="326"/>
      <c r="P11110" s="318"/>
      <c r="Q11110" s="318"/>
      <c r="R11110" s="318"/>
      <c r="S11110" s="318"/>
      <c r="T11110" s="318"/>
      <c r="U11110" s="318"/>
      <c r="V11110" s="318"/>
      <c r="W11110" s="318"/>
      <c r="X11110" s="318"/>
      <c r="Y11110" s="318"/>
      <c r="Z11110" s="318"/>
      <c r="AA11110" s="318"/>
      <c r="AB11110" s="318"/>
      <c r="AC11110" s="318"/>
      <c r="AD11110" s="318"/>
    </row>
    <row r="11111" spans="2:30" s="323" customFormat="1" ht="12" customHeight="1">
      <c r="B11111" s="324"/>
      <c r="C11111" s="325"/>
      <c r="D11111" s="326"/>
      <c r="E11111" s="326"/>
      <c r="F11111" s="326"/>
      <c r="G11111" s="326"/>
      <c r="H11111" s="326"/>
      <c r="P11111" s="318"/>
      <c r="Q11111" s="318"/>
      <c r="R11111" s="318"/>
      <c r="S11111" s="318"/>
      <c r="T11111" s="318"/>
      <c r="U11111" s="318"/>
      <c r="V11111" s="318"/>
      <c r="W11111" s="318"/>
      <c r="X11111" s="318"/>
      <c r="Y11111" s="318"/>
      <c r="Z11111" s="318"/>
      <c r="AA11111" s="318"/>
      <c r="AB11111" s="318"/>
      <c r="AC11111" s="318"/>
      <c r="AD11111" s="318"/>
    </row>
    <row r="11112" spans="2:30" s="323" customFormat="1" ht="12" customHeight="1">
      <c r="B11112" s="324"/>
      <c r="C11112" s="325"/>
      <c r="D11112" s="326"/>
      <c r="E11112" s="326"/>
      <c r="F11112" s="326"/>
      <c r="G11112" s="326"/>
      <c r="H11112" s="326"/>
      <c r="P11112" s="318"/>
      <c r="Q11112" s="318"/>
      <c r="R11112" s="318"/>
      <c r="S11112" s="318"/>
      <c r="T11112" s="318"/>
      <c r="U11112" s="318"/>
      <c r="V11112" s="318"/>
      <c r="W11112" s="318"/>
      <c r="X11112" s="318"/>
      <c r="Y11112" s="318"/>
      <c r="Z11112" s="318"/>
      <c r="AA11112" s="318"/>
      <c r="AB11112" s="318"/>
      <c r="AC11112" s="318"/>
      <c r="AD11112" s="318"/>
    </row>
    <row r="11113" spans="2:30" s="323" customFormat="1" ht="12" customHeight="1">
      <c r="B11113" s="324"/>
      <c r="C11113" s="325"/>
      <c r="D11113" s="326"/>
      <c r="E11113" s="326"/>
      <c r="F11113" s="326"/>
      <c r="G11113" s="326"/>
      <c r="H11113" s="326"/>
      <c r="P11113" s="318"/>
      <c r="Q11113" s="318"/>
      <c r="R11113" s="318"/>
      <c r="S11113" s="318"/>
      <c r="T11113" s="318"/>
      <c r="U11113" s="318"/>
      <c r="V11113" s="318"/>
      <c r="W11113" s="318"/>
      <c r="X11113" s="318"/>
      <c r="Y11113" s="318"/>
      <c r="Z11113" s="318"/>
      <c r="AA11113" s="318"/>
      <c r="AB11113" s="318"/>
      <c r="AC11113" s="318"/>
      <c r="AD11113" s="318"/>
    </row>
    <row r="11114" spans="2:30" s="323" customFormat="1" ht="12" customHeight="1">
      <c r="B11114" s="324"/>
      <c r="C11114" s="325"/>
      <c r="D11114" s="326"/>
      <c r="E11114" s="326"/>
      <c r="F11114" s="326"/>
      <c r="G11114" s="326"/>
      <c r="H11114" s="326"/>
      <c r="P11114" s="318"/>
      <c r="Q11114" s="318"/>
      <c r="R11114" s="318"/>
      <c r="S11114" s="318"/>
      <c r="T11114" s="318"/>
      <c r="U11114" s="318"/>
      <c r="V11114" s="318"/>
      <c r="W11114" s="318"/>
      <c r="X11114" s="318"/>
      <c r="Y11114" s="318"/>
      <c r="Z11114" s="318"/>
      <c r="AA11114" s="318"/>
      <c r="AB11114" s="318"/>
      <c r="AC11114" s="318"/>
      <c r="AD11114" s="318"/>
    </row>
    <row r="11115" spans="2:30" s="323" customFormat="1" ht="12" customHeight="1">
      <c r="B11115" s="324"/>
      <c r="C11115" s="325"/>
      <c r="D11115" s="326"/>
      <c r="E11115" s="326"/>
      <c r="F11115" s="326"/>
      <c r="G11115" s="326"/>
      <c r="H11115" s="326"/>
      <c r="P11115" s="318"/>
      <c r="Q11115" s="318"/>
      <c r="R11115" s="318"/>
      <c r="S11115" s="318"/>
      <c r="T11115" s="318"/>
      <c r="U11115" s="318"/>
      <c r="V11115" s="318"/>
      <c r="W11115" s="318"/>
      <c r="X11115" s="318"/>
      <c r="Y11115" s="318"/>
      <c r="Z11115" s="318"/>
      <c r="AA11115" s="318"/>
      <c r="AB11115" s="318"/>
      <c r="AC11115" s="318"/>
      <c r="AD11115" s="318"/>
    </row>
    <row r="11116" spans="2:30" s="323" customFormat="1" ht="12" customHeight="1">
      <c r="B11116" s="324"/>
      <c r="C11116" s="325"/>
      <c r="D11116" s="326"/>
      <c r="E11116" s="326"/>
      <c r="F11116" s="326"/>
      <c r="G11116" s="326"/>
      <c r="H11116" s="326"/>
      <c r="P11116" s="318"/>
      <c r="Q11116" s="318"/>
      <c r="R11116" s="318"/>
      <c r="S11116" s="318"/>
      <c r="T11116" s="318"/>
      <c r="U11116" s="318"/>
      <c r="V11116" s="318"/>
      <c r="W11116" s="318"/>
      <c r="X11116" s="318"/>
      <c r="Y11116" s="318"/>
      <c r="Z11116" s="318"/>
      <c r="AA11116" s="318"/>
      <c r="AB11116" s="318"/>
      <c r="AC11116" s="318"/>
      <c r="AD11116" s="318"/>
    </row>
    <row r="11117" spans="2:30" s="323" customFormat="1" ht="12" customHeight="1">
      <c r="B11117" s="324"/>
      <c r="C11117" s="325"/>
      <c r="D11117" s="326"/>
      <c r="E11117" s="326"/>
      <c r="F11117" s="326"/>
      <c r="G11117" s="326"/>
      <c r="H11117" s="326"/>
      <c r="P11117" s="318"/>
      <c r="Q11117" s="318"/>
      <c r="R11117" s="318"/>
      <c r="S11117" s="318"/>
      <c r="T11117" s="318"/>
      <c r="U11117" s="318"/>
      <c r="V11117" s="318"/>
      <c r="W11117" s="318"/>
      <c r="X11117" s="318"/>
      <c r="Y11117" s="318"/>
      <c r="Z11117" s="318"/>
      <c r="AA11117" s="318"/>
      <c r="AB11117" s="318"/>
      <c r="AC11117" s="318"/>
      <c r="AD11117" s="318"/>
    </row>
    <row r="11118" spans="2:30" s="323" customFormat="1" ht="12" customHeight="1">
      <c r="B11118" s="324"/>
      <c r="C11118" s="325"/>
      <c r="D11118" s="326"/>
      <c r="E11118" s="326"/>
      <c r="F11118" s="326"/>
      <c r="G11118" s="326"/>
      <c r="H11118" s="326"/>
      <c r="P11118" s="318"/>
      <c r="Q11118" s="318"/>
      <c r="R11118" s="318"/>
      <c r="S11118" s="318"/>
      <c r="T11118" s="318"/>
      <c r="U11118" s="318"/>
      <c r="V11118" s="318"/>
      <c r="W11118" s="318"/>
      <c r="X11118" s="318"/>
      <c r="Y11118" s="318"/>
      <c r="Z11118" s="318"/>
      <c r="AA11118" s="318"/>
      <c r="AB11118" s="318"/>
      <c r="AC11118" s="318"/>
      <c r="AD11118" s="318"/>
    </row>
    <row r="11119" spans="2:30" s="323" customFormat="1" ht="12" customHeight="1">
      <c r="B11119" s="324"/>
      <c r="C11119" s="325"/>
      <c r="D11119" s="326"/>
      <c r="E11119" s="326"/>
      <c r="F11119" s="326"/>
      <c r="G11119" s="326"/>
      <c r="H11119" s="326"/>
      <c r="P11119" s="318"/>
      <c r="Q11119" s="318"/>
      <c r="R11119" s="318"/>
      <c r="S11119" s="318"/>
      <c r="T11119" s="318"/>
      <c r="U11119" s="318"/>
      <c r="V11119" s="318"/>
      <c r="W11119" s="318"/>
      <c r="X11119" s="318"/>
      <c r="Y11119" s="318"/>
      <c r="Z11119" s="318"/>
      <c r="AA11119" s="318"/>
      <c r="AB11119" s="318"/>
      <c r="AC11119" s="318"/>
      <c r="AD11119" s="318"/>
    </row>
    <row r="11120" spans="2:30" s="323" customFormat="1" ht="12" customHeight="1">
      <c r="B11120" s="324"/>
      <c r="C11120" s="325"/>
      <c r="D11120" s="326"/>
      <c r="E11120" s="326"/>
      <c r="F11120" s="326"/>
      <c r="G11120" s="326"/>
      <c r="H11120" s="326"/>
      <c r="P11120" s="318"/>
      <c r="Q11120" s="318"/>
      <c r="R11120" s="318"/>
      <c r="S11120" s="318"/>
      <c r="T11120" s="318"/>
      <c r="U11120" s="318"/>
      <c r="V11120" s="318"/>
      <c r="W11120" s="318"/>
      <c r="X11120" s="318"/>
      <c r="Y11120" s="318"/>
      <c r="Z11120" s="318"/>
      <c r="AA11120" s="318"/>
      <c r="AB11120" s="318"/>
      <c r="AC11120" s="318"/>
      <c r="AD11120" s="318"/>
    </row>
    <row r="11121" spans="2:30" s="323" customFormat="1" ht="12" customHeight="1">
      <c r="B11121" s="324"/>
      <c r="C11121" s="325"/>
      <c r="D11121" s="326"/>
      <c r="E11121" s="326"/>
      <c r="F11121" s="326"/>
      <c r="G11121" s="326"/>
      <c r="H11121" s="326"/>
      <c r="P11121" s="318"/>
      <c r="Q11121" s="318"/>
      <c r="R11121" s="318"/>
      <c r="S11121" s="318"/>
      <c r="T11121" s="318"/>
      <c r="U11121" s="318"/>
      <c r="V11121" s="318"/>
      <c r="W11121" s="318"/>
      <c r="X11121" s="318"/>
      <c r="Y11121" s="318"/>
      <c r="Z11121" s="318"/>
      <c r="AA11121" s="318"/>
      <c r="AB11121" s="318"/>
      <c r="AC11121" s="318"/>
      <c r="AD11121" s="318"/>
    </row>
    <row r="11122" spans="2:30" s="323" customFormat="1" ht="12" customHeight="1">
      <c r="B11122" s="324"/>
      <c r="C11122" s="325"/>
      <c r="D11122" s="326"/>
      <c r="E11122" s="326"/>
      <c r="F11122" s="326"/>
      <c r="G11122" s="326"/>
      <c r="H11122" s="326"/>
      <c r="P11122" s="318"/>
      <c r="Q11122" s="318"/>
      <c r="R11122" s="318"/>
      <c r="S11122" s="318"/>
      <c r="T11122" s="318"/>
      <c r="U11122" s="318"/>
      <c r="V11122" s="318"/>
      <c r="W11122" s="318"/>
      <c r="X11122" s="318"/>
      <c r="Y11122" s="318"/>
      <c r="Z11122" s="318"/>
      <c r="AA11122" s="318"/>
      <c r="AB11122" s="318"/>
      <c r="AC11122" s="318"/>
      <c r="AD11122" s="318"/>
    </row>
    <row r="11123" spans="2:30" s="323" customFormat="1" ht="12" customHeight="1">
      <c r="B11123" s="324"/>
      <c r="C11123" s="325"/>
      <c r="D11123" s="326"/>
      <c r="E11123" s="326"/>
      <c r="F11123" s="326"/>
      <c r="G11123" s="326"/>
      <c r="H11123" s="326"/>
      <c r="P11123" s="318"/>
      <c r="Q11123" s="318"/>
      <c r="R11123" s="318"/>
      <c r="S11123" s="318"/>
      <c r="T11123" s="318"/>
      <c r="U11123" s="318"/>
      <c r="V11123" s="318"/>
      <c r="W11123" s="318"/>
      <c r="X11123" s="318"/>
      <c r="Y11123" s="318"/>
      <c r="Z11123" s="318"/>
      <c r="AA11123" s="318"/>
      <c r="AB11123" s="318"/>
      <c r="AC11123" s="318"/>
      <c r="AD11123" s="318"/>
    </row>
    <row r="11124" spans="2:30" s="323" customFormat="1" ht="12" customHeight="1">
      <c r="B11124" s="324"/>
      <c r="C11124" s="325"/>
      <c r="D11124" s="326"/>
      <c r="E11124" s="326"/>
      <c r="F11124" s="326"/>
      <c r="G11124" s="326"/>
      <c r="H11124" s="326"/>
      <c r="P11124" s="318"/>
      <c r="Q11124" s="318"/>
      <c r="R11124" s="318"/>
      <c r="S11124" s="318"/>
      <c r="T11124" s="318"/>
      <c r="U11124" s="318"/>
      <c r="V11124" s="318"/>
      <c r="W11124" s="318"/>
      <c r="X11124" s="318"/>
      <c r="Y11124" s="318"/>
      <c r="Z11124" s="318"/>
      <c r="AA11124" s="318"/>
      <c r="AB11124" s="318"/>
      <c r="AC11124" s="318"/>
      <c r="AD11124" s="318"/>
    </row>
    <row r="11125" spans="2:30" s="323" customFormat="1" ht="12" customHeight="1">
      <c r="B11125" s="324"/>
      <c r="C11125" s="325"/>
      <c r="D11125" s="326"/>
      <c r="E11125" s="326"/>
      <c r="F11125" s="326"/>
      <c r="G11125" s="326"/>
      <c r="H11125" s="326"/>
      <c r="P11125" s="318"/>
      <c r="Q11125" s="318"/>
      <c r="R11125" s="318"/>
      <c r="S11125" s="318"/>
      <c r="T11125" s="318"/>
      <c r="U11125" s="318"/>
      <c r="V11125" s="318"/>
      <c r="W11125" s="318"/>
      <c r="X11125" s="318"/>
      <c r="Y11125" s="318"/>
      <c r="Z11125" s="318"/>
      <c r="AA11125" s="318"/>
      <c r="AB11125" s="318"/>
      <c r="AC11125" s="318"/>
      <c r="AD11125" s="318"/>
    </row>
    <row r="11126" spans="2:30" s="323" customFormat="1" ht="12" customHeight="1">
      <c r="B11126" s="324"/>
      <c r="C11126" s="325"/>
      <c r="D11126" s="326"/>
      <c r="E11126" s="326"/>
      <c r="F11126" s="326"/>
      <c r="G11126" s="326"/>
      <c r="H11126" s="326"/>
      <c r="P11126" s="318"/>
      <c r="Q11126" s="318"/>
      <c r="R11126" s="318"/>
      <c r="S11126" s="318"/>
      <c r="T11126" s="318"/>
      <c r="U11126" s="318"/>
      <c r="V11126" s="318"/>
      <c r="W11126" s="318"/>
      <c r="X11126" s="318"/>
      <c r="Y11126" s="318"/>
      <c r="Z11126" s="318"/>
      <c r="AA11126" s="318"/>
      <c r="AB11126" s="318"/>
      <c r="AC11126" s="318"/>
      <c r="AD11126" s="318"/>
    </row>
    <row r="11127" spans="2:30" s="323" customFormat="1" ht="12" customHeight="1">
      <c r="B11127" s="324"/>
      <c r="C11127" s="325"/>
      <c r="D11127" s="326"/>
      <c r="E11127" s="326"/>
      <c r="F11127" s="326"/>
      <c r="G11127" s="326"/>
      <c r="H11127" s="326"/>
      <c r="P11127" s="318"/>
      <c r="Q11127" s="318"/>
      <c r="R11127" s="318"/>
      <c r="S11127" s="318"/>
      <c r="T11127" s="318"/>
      <c r="U11127" s="318"/>
      <c r="V11127" s="318"/>
      <c r="W11127" s="318"/>
      <c r="X11127" s="318"/>
      <c r="Y11127" s="318"/>
      <c r="Z11127" s="318"/>
      <c r="AA11127" s="318"/>
      <c r="AB11127" s="318"/>
      <c r="AC11127" s="318"/>
      <c r="AD11127" s="318"/>
    </row>
    <row r="11128" spans="2:30" s="323" customFormat="1" ht="12" customHeight="1">
      <c r="B11128" s="324"/>
      <c r="C11128" s="325"/>
      <c r="D11128" s="326"/>
      <c r="E11128" s="326"/>
      <c r="F11128" s="326"/>
      <c r="G11128" s="326"/>
      <c r="H11128" s="326"/>
      <c r="P11128" s="318"/>
      <c r="Q11128" s="318"/>
      <c r="R11128" s="318"/>
      <c r="S11128" s="318"/>
      <c r="T11128" s="318"/>
      <c r="U11128" s="318"/>
      <c r="V11128" s="318"/>
      <c r="W11128" s="318"/>
      <c r="X11128" s="318"/>
      <c r="Y11128" s="318"/>
      <c r="Z11128" s="318"/>
      <c r="AA11128" s="318"/>
      <c r="AB11128" s="318"/>
      <c r="AC11128" s="318"/>
      <c r="AD11128" s="318"/>
    </row>
    <row r="11129" spans="2:30" s="323" customFormat="1" ht="12" customHeight="1">
      <c r="B11129" s="324"/>
      <c r="C11129" s="325"/>
      <c r="D11129" s="326"/>
      <c r="E11129" s="326"/>
      <c r="F11129" s="326"/>
      <c r="G11129" s="326"/>
      <c r="H11129" s="326"/>
      <c r="P11129" s="318"/>
      <c r="Q11129" s="318"/>
      <c r="R11129" s="318"/>
      <c r="S11129" s="318"/>
      <c r="T11129" s="318"/>
      <c r="U11129" s="318"/>
      <c r="V11129" s="318"/>
      <c r="W11129" s="318"/>
      <c r="X11129" s="318"/>
      <c r="Y11129" s="318"/>
      <c r="Z11129" s="318"/>
      <c r="AA11129" s="318"/>
      <c r="AB11129" s="318"/>
      <c r="AC11129" s="318"/>
      <c r="AD11129" s="318"/>
    </row>
    <row r="11130" spans="2:30" s="323" customFormat="1" ht="12" customHeight="1">
      <c r="B11130" s="324"/>
      <c r="C11130" s="325"/>
      <c r="D11130" s="326"/>
      <c r="E11130" s="326"/>
      <c r="F11130" s="326"/>
      <c r="G11130" s="326"/>
      <c r="H11130" s="326"/>
      <c r="P11130" s="318"/>
      <c r="Q11130" s="318"/>
      <c r="R11130" s="318"/>
      <c r="S11130" s="318"/>
      <c r="T11130" s="318"/>
      <c r="U11130" s="318"/>
      <c r="V11130" s="318"/>
      <c r="W11130" s="318"/>
      <c r="X11130" s="318"/>
      <c r="Y11130" s="318"/>
      <c r="Z11130" s="318"/>
      <c r="AA11130" s="318"/>
      <c r="AB11130" s="318"/>
      <c r="AC11130" s="318"/>
      <c r="AD11130" s="318"/>
    </row>
    <row r="11131" spans="2:30" s="323" customFormat="1" ht="12" customHeight="1">
      <c r="B11131" s="324"/>
      <c r="C11131" s="325"/>
      <c r="D11131" s="326"/>
      <c r="E11131" s="326"/>
      <c r="F11131" s="326"/>
      <c r="G11131" s="326"/>
      <c r="H11131" s="326"/>
      <c r="P11131" s="318"/>
      <c r="Q11131" s="318"/>
      <c r="R11131" s="318"/>
      <c r="S11131" s="318"/>
      <c r="T11131" s="318"/>
      <c r="U11131" s="318"/>
      <c r="V11131" s="318"/>
      <c r="W11131" s="318"/>
      <c r="X11131" s="318"/>
      <c r="Y11131" s="318"/>
      <c r="Z11131" s="318"/>
      <c r="AA11131" s="318"/>
      <c r="AB11131" s="318"/>
      <c r="AC11131" s="318"/>
      <c r="AD11131" s="318"/>
    </row>
    <row r="11132" spans="2:30" s="323" customFormat="1" ht="12" customHeight="1">
      <c r="B11132" s="324"/>
      <c r="C11132" s="325"/>
      <c r="D11132" s="326"/>
      <c r="E11132" s="326"/>
      <c r="F11132" s="326"/>
      <c r="G11132" s="326"/>
      <c r="H11132" s="326"/>
      <c r="P11132" s="318"/>
      <c r="Q11132" s="318"/>
      <c r="R11132" s="318"/>
      <c r="S11132" s="318"/>
      <c r="T11132" s="318"/>
      <c r="U11132" s="318"/>
      <c r="V11132" s="318"/>
      <c r="W11132" s="318"/>
      <c r="X11132" s="318"/>
      <c r="Y11132" s="318"/>
      <c r="Z11132" s="318"/>
      <c r="AA11132" s="318"/>
      <c r="AB11132" s="318"/>
      <c r="AC11132" s="318"/>
      <c r="AD11132" s="318"/>
    </row>
    <row r="11133" spans="2:30" s="323" customFormat="1" ht="12" customHeight="1">
      <c r="B11133" s="324"/>
      <c r="C11133" s="325"/>
      <c r="D11133" s="326"/>
      <c r="E11133" s="326"/>
      <c r="F11133" s="326"/>
      <c r="G11133" s="326"/>
      <c r="H11133" s="326"/>
      <c r="P11133" s="318"/>
      <c r="Q11133" s="318"/>
      <c r="R11133" s="318"/>
      <c r="S11133" s="318"/>
      <c r="T11133" s="318"/>
      <c r="U11133" s="318"/>
      <c r="V11133" s="318"/>
      <c r="W11133" s="318"/>
      <c r="X11133" s="318"/>
      <c r="Y11133" s="318"/>
      <c r="Z11133" s="318"/>
      <c r="AA11133" s="318"/>
      <c r="AB11133" s="318"/>
      <c r="AC11133" s="318"/>
      <c r="AD11133" s="318"/>
    </row>
    <row r="11134" spans="2:30" s="323" customFormat="1" ht="12" customHeight="1">
      <c r="B11134" s="324"/>
      <c r="C11134" s="325"/>
      <c r="D11134" s="326"/>
      <c r="E11134" s="326"/>
      <c r="F11134" s="326"/>
      <c r="G11134" s="326"/>
      <c r="H11134" s="326"/>
      <c r="P11134" s="318"/>
      <c r="Q11134" s="318"/>
      <c r="R11134" s="318"/>
      <c r="S11134" s="318"/>
      <c r="T11134" s="318"/>
      <c r="U11134" s="318"/>
      <c r="V11134" s="318"/>
      <c r="W11134" s="318"/>
      <c r="X11134" s="318"/>
      <c r="Y11134" s="318"/>
      <c r="Z11134" s="318"/>
      <c r="AA11134" s="318"/>
      <c r="AB11134" s="318"/>
      <c r="AC11134" s="318"/>
      <c r="AD11134" s="318"/>
    </row>
    <row r="11135" spans="2:30" s="323" customFormat="1" ht="12" customHeight="1">
      <c r="B11135" s="324"/>
      <c r="C11135" s="325"/>
      <c r="D11135" s="326"/>
      <c r="E11135" s="326"/>
      <c r="F11135" s="326"/>
      <c r="G11135" s="326"/>
      <c r="H11135" s="326"/>
      <c r="P11135" s="318"/>
      <c r="Q11135" s="318"/>
      <c r="R11135" s="318"/>
      <c r="S11135" s="318"/>
      <c r="T11135" s="318"/>
      <c r="U11135" s="318"/>
      <c r="V11135" s="318"/>
      <c r="W11135" s="318"/>
      <c r="X11135" s="318"/>
      <c r="Y11135" s="318"/>
      <c r="Z11135" s="318"/>
      <c r="AA11135" s="318"/>
      <c r="AB11135" s="318"/>
      <c r="AC11135" s="318"/>
      <c r="AD11135" s="318"/>
    </row>
    <row r="11136" spans="2:30" s="323" customFormat="1" ht="12" customHeight="1">
      <c r="B11136" s="324"/>
      <c r="C11136" s="325"/>
      <c r="D11136" s="326"/>
      <c r="E11136" s="326"/>
      <c r="F11136" s="326"/>
      <c r="G11136" s="326"/>
      <c r="H11136" s="326"/>
      <c r="P11136" s="318"/>
      <c r="Q11136" s="318"/>
      <c r="R11136" s="318"/>
      <c r="S11136" s="318"/>
      <c r="T11136" s="318"/>
      <c r="U11136" s="318"/>
      <c r="V11136" s="318"/>
      <c r="W11136" s="318"/>
      <c r="X11136" s="318"/>
      <c r="Y11136" s="318"/>
      <c r="Z11136" s="318"/>
      <c r="AA11136" s="318"/>
      <c r="AB11136" s="318"/>
      <c r="AC11136" s="318"/>
      <c r="AD11136" s="318"/>
    </row>
    <row r="11137" spans="2:30" s="323" customFormat="1" ht="12" customHeight="1">
      <c r="B11137" s="324"/>
      <c r="C11137" s="325"/>
      <c r="D11137" s="326"/>
      <c r="E11137" s="326"/>
      <c r="F11137" s="326"/>
      <c r="G11137" s="326"/>
      <c r="H11137" s="326"/>
      <c r="P11137" s="318"/>
      <c r="Q11137" s="318"/>
      <c r="R11137" s="318"/>
      <c r="S11137" s="318"/>
      <c r="T11137" s="318"/>
      <c r="U11137" s="318"/>
      <c r="V11137" s="318"/>
      <c r="W11137" s="318"/>
      <c r="X11137" s="318"/>
      <c r="Y11137" s="318"/>
      <c r="Z11137" s="318"/>
      <c r="AA11137" s="318"/>
      <c r="AB11137" s="318"/>
      <c r="AC11137" s="318"/>
      <c r="AD11137" s="318"/>
    </row>
    <row r="11138" spans="2:30" s="323" customFormat="1" ht="12" customHeight="1">
      <c r="B11138" s="324"/>
      <c r="C11138" s="325"/>
      <c r="D11138" s="326"/>
      <c r="E11138" s="326"/>
      <c r="F11138" s="326"/>
      <c r="G11138" s="326"/>
      <c r="H11138" s="326"/>
      <c r="P11138" s="318"/>
      <c r="Q11138" s="318"/>
      <c r="R11138" s="318"/>
      <c r="S11138" s="318"/>
      <c r="T11138" s="318"/>
      <c r="U11138" s="318"/>
      <c r="V11138" s="318"/>
      <c r="W11138" s="318"/>
      <c r="X11138" s="318"/>
      <c r="Y11138" s="318"/>
      <c r="Z11138" s="318"/>
      <c r="AA11138" s="318"/>
      <c r="AB11138" s="318"/>
      <c r="AC11138" s="318"/>
      <c r="AD11138" s="318"/>
    </row>
    <row r="11139" spans="2:30" s="323" customFormat="1" ht="12" customHeight="1">
      <c r="B11139" s="324"/>
      <c r="C11139" s="325"/>
      <c r="D11139" s="326"/>
      <c r="E11139" s="326"/>
      <c r="F11139" s="326"/>
      <c r="G11139" s="326"/>
      <c r="H11139" s="326"/>
      <c r="P11139" s="318"/>
      <c r="Q11139" s="318"/>
      <c r="R11139" s="318"/>
      <c r="S11139" s="318"/>
      <c r="T11139" s="318"/>
      <c r="U11139" s="318"/>
      <c r="V11139" s="318"/>
      <c r="W11139" s="318"/>
      <c r="X11139" s="318"/>
      <c r="Y11139" s="318"/>
      <c r="Z11139" s="318"/>
      <c r="AA11139" s="318"/>
      <c r="AB11139" s="318"/>
      <c r="AC11139" s="318"/>
      <c r="AD11139" s="318"/>
    </row>
    <row r="11140" spans="2:30" s="323" customFormat="1" ht="12" customHeight="1">
      <c r="B11140" s="324"/>
      <c r="C11140" s="325"/>
      <c r="D11140" s="326"/>
      <c r="E11140" s="326"/>
      <c r="F11140" s="326"/>
      <c r="G11140" s="326"/>
      <c r="H11140" s="326"/>
      <c r="P11140" s="318"/>
      <c r="Q11140" s="318"/>
      <c r="R11140" s="318"/>
      <c r="S11140" s="318"/>
      <c r="T11140" s="318"/>
      <c r="U11140" s="318"/>
      <c r="V11140" s="318"/>
      <c r="W11140" s="318"/>
      <c r="X11140" s="318"/>
      <c r="Y11140" s="318"/>
      <c r="Z11140" s="318"/>
      <c r="AA11140" s="318"/>
      <c r="AB11140" s="318"/>
      <c r="AC11140" s="318"/>
      <c r="AD11140" s="318"/>
    </row>
    <row r="11141" spans="2:30" s="323" customFormat="1" ht="12" customHeight="1">
      <c r="B11141" s="324"/>
      <c r="C11141" s="325"/>
      <c r="D11141" s="326"/>
      <c r="E11141" s="326"/>
      <c r="F11141" s="326"/>
      <c r="G11141" s="326"/>
      <c r="H11141" s="326"/>
      <c r="P11141" s="318"/>
      <c r="Q11141" s="318"/>
      <c r="R11141" s="318"/>
      <c r="S11141" s="318"/>
      <c r="T11141" s="318"/>
      <c r="U11141" s="318"/>
      <c r="V11141" s="318"/>
      <c r="W11141" s="318"/>
      <c r="X11141" s="318"/>
      <c r="Y11141" s="318"/>
      <c r="Z11141" s="318"/>
      <c r="AA11141" s="318"/>
      <c r="AB11141" s="318"/>
      <c r="AC11141" s="318"/>
      <c r="AD11141" s="318"/>
    </row>
    <row r="11142" spans="2:30" s="323" customFormat="1" ht="12" customHeight="1">
      <c r="B11142" s="324"/>
      <c r="C11142" s="325"/>
      <c r="D11142" s="326"/>
      <c r="E11142" s="326"/>
      <c r="F11142" s="326"/>
      <c r="G11142" s="326"/>
      <c r="H11142" s="326"/>
      <c r="P11142" s="318"/>
      <c r="Q11142" s="318"/>
      <c r="R11142" s="318"/>
      <c r="S11142" s="318"/>
      <c r="T11142" s="318"/>
      <c r="U11142" s="318"/>
      <c r="V11142" s="318"/>
      <c r="W11142" s="318"/>
      <c r="X11142" s="318"/>
      <c r="Y11142" s="318"/>
      <c r="Z11142" s="318"/>
      <c r="AA11142" s="318"/>
      <c r="AB11142" s="318"/>
      <c r="AC11142" s="318"/>
      <c r="AD11142" s="318"/>
    </row>
    <row r="11143" spans="2:30" s="323" customFormat="1" ht="12" customHeight="1">
      <c r="B11143" s="324"/>
      <c r="C11143" s="325"/>
      <c r="D11143" s="326"/>
      <c r="E11143" s="326"/>
      <c r="F11143" s="326"/>
      <c r="G11143" s="326"/>
      <c r="H11143" s="326"/>
      <c r="P11143" s="318"/>
      <c r="Q11143" s="318"/>
      <c r="R11143" s="318"/>
      <c r="S11143" s="318"/>
      <c r="T11143" s="318"/>
      <c r="U11143" s="318"/>
      <c r="V11143" s="318"/>
      <c r="W11143" s="318"/>
      <c r="X11143" s="318"/>
      <c r="Y11143" s="318"/>
      <c r="Z11143" s="318"/>
      <c r="AA11143" s="318"/>
      <c r="AB11143" s="318"/>
      <c r="AC11143" s="318"/>
      <c r="AD11143" s="318"/>
    </row>
    <row r="11144" spans="2:30" s="323" customFormat="1" ht="12" customHeight="1">
      <c r="B11144" s="324"/>
      <c r="C11144" s="325"/>
      <c r="D11144" s="326"/>
      <c r="E11144" s="326"/>
      <c r="F11144" s="326"/>
      <c r="G11144" s="326"/>
      <c r="H11144" s="326"/>
      <c r="P11144" s="318"/>
      <c r="Q11144" s="318"/>
      <c r="R11144" s="318"/>
      <c r="S11144" s="318"/>
      <c r="T11144" s="318"/>
      <c r="U11144" s="318"/>
      <c r="V11144" s="318"/>
      <c r="W11144" s="318"/>
      <c r="X11144" s="318"/>
      <c r="Y11144" s="318"/>
      <c r="Z11144" s="318"/>
      <c r="AA11144" s="318"/>
      <c r="AB11144" s="318"/>
      <c r="AC11144" s="318"/>
      <c r="AD11144" s="318"/>
    </row>
    <row r="11145" spans="2:30" s="323" customFormat="1" ht="12" customHeight="1">
      <c r="B11145" s="324"/>
      <c r="C11145" s="325"/>
      <c r="D11145" s="326"/>
      <c r="E11145" s="326"/>
      <c r="F11145" s="326"/>
      <c r="G11145" s="326"/>
      <c r="H11145" s="326"/>
      <c r="P11145" s="318"/>
      <c r="Q11145" s="318"/>
      <c r="R11145" s="318"/>
      <c r="S11145" s="318"/>
      <c r="T11145" s="318"/>
      <c r="U11145" s="318"/>
      <c r="V11145" s="318"/>
      <c r="W11145" s="318"/>
      <c r="X11145" s="318"/>
      <c r="Y11145" s="318"/>
      <c r="Z11145" s="318"/>
      <c r="AA11145" s="318"/>
      <c r="AB11145" s="318"/>
      <c r="AC11145" s="318"/>
      <c r="AD11145" s="318"/>
    </row>
    <row r="11146" spans="2:30" s="323" customFormat="1" ht="12" customHeight="1">
      <c r="B11146" s="324"/>
      <c r="C11146" s="325"/>
      <c r="D11146" s="326"/>
      <c r="E11146" s="326"/>
      <c r="F11146" s="326"/>
      <c r="G11146" s="326"/>
      <c r="H11146" s="326"/>
      <c r="P11146" s="318"/>
      <c r="Q11146" s="318"/>
      <c r="R11146" s="318"/>
      <c r="S11146" s="318"/>
      <c r="T11146" s="318"/>
      <c r="U11146" s="318"/>
      <c r="V11146" s="318"/>
      <c r="W11146" s="318"/>
      <c r="X11146" s="318"/>
      <c r="Y11146" s="318"/>
      <c r="Z11146" s="318"/>
      <c r="AA11146" s="318"/>
      <c r="AB11146" s="318"/>
      <c r="AC11146" s="318"/>
      <c r="AD11146" s="318"/>
    </row>
    <row r="11147" spans="2:30" s="323" customFormat="1" ht="12" customHeight="1">
      <c r="B11147" s="324"/>
      <c r="C11147" s="325"/>
      <c r="D11147" s="326"/>
      <c r="E11147" s="326"/>
      <c r="F11147" s="326"/>
      <c r="G11147" s="326"/>
      <c r="H11147" s="326"/>
      <c r="P11147" s="318"/>
      <c r="Q11147" s="318"/>
      <c r="R11147" s="318"/>
      <c r="S11147" s="318"/>
      <c r="T11147" s="318"/>
      <c r="U11147" s="318"/>
      <c r="V11147" s="318"/>
      <c r="W11147" s="318"/>
      <c r="X11147" s="318"/>
      <c r="Y11147" s="318"/>
      <c r="Z11147" s="318"/>
      <c r="AA11147" s="318"/>
      <c r="AB11147" s="318"/>
      <c r="AC11147" s="318"/>
      <c r="AD11147" s="318"/>
    </row>
    <row r="11148" spans="2:30" s="323" customFormat="1" ht="12" customHeight="1">
      <c r="B11148" s="324"/>
      <c r="C11148" s="325"/>
      <c r="D11148" s="326"/>
      <c r="E11148" s="326"/>
      <c r="F11148" s="326"/>
      <c r="G11148" s="326"/>
      <c r="H11148" s="326"/>
      <c r="P11148" s="318"/>
      <c r="Q11148" s="318"/>
      <c r="R11148" s="318"/>
      <c r="S11148" s="318"/>
      <c r="T11148" s="318"/>
      <c r="U11148" s="318"/>
      <c r="V11148" s="318"/>
      <c r="W11148" s="318"/>
      <c r="X11148" s="318"/>
      <c r="Y11148" s="318"/>
      <c r="Z11148" s="318"/>
      <c r="AA11148" s="318"/>
      <c r="AB11148" s="318"/>
      <c r="AC11148" s="318"/>
      <c r="AD11148" s="318"/>
    </row>
    <row r="11149" spans="2:30" s="323" customFormat="1" ht="12" customHeight="1">
      <c r="B11149" s="324"/>
      <c r="C11149" s="325"/>
      <c r="D11149" s="326"/>
      <c r="E11149" s="326"/>
      <c r="F11149" s="326"/>
      <c r="G11149" s="326"/>
      <c r="H11149" s="326"/>
      <c r="P11149" s="318"/>
      <c r="Q11149" s="318"/>
      <c r="R11149" s="318"/>
      <c r="S11149" s="318"/>
      <c r="T11149" s="318"/>
      <c r="U11149" s="318"/>
      <c r="V11149" s="318"/>
      <c r="W11149" s="318"/>
      <c r="X11149" s="318"/>
      <c r="Y11149" s="318"/>
      <c r="Z11149" s="318"/>
      <c r="AA11149" s="318"/>
      <c r="AB11149" s="318"/>
      <c r="AC11149" s="318"/>
      <c r="AD11149" s="318"/>
    </row>
    <row r="11150" spans="2:30" s="323" customFormat="1" ht="12" customHeight="1">
      <c r="B11150" s="324"/>
      <c r="C11150" s="325"/>
      <c r="D11150" s="326"/>
      <c r="E11150" s="326"/>
      <c r="F11150" s="326"/>
      <c r="G11150" s="326"/>
      <c r="H11150" s="326"/>
      <c r="P11150" s="318"/>
      <c r="Q11150" s="318"/>
      <c r="R11150" s="318"/>
      <c r="S11150" s="318"/>
      <c r="T11150" s="318"/>
      <c r="U11150" s="318"/>
      <c r="V11150" s="318"/>
      <c r="W11150" s="318"/>
      <c r="X11150" s="318"/>
      <c r="Y11150" s="318"/>
      <c r="Z11150" s="318"/>
      <c r="AA11150" s="318"/>
      <c r="AB11150" s="318"/>
      <c r="AC11150" s="318"/>
      <c r="AD11150" s="318"/>
    </row>
    <row r="11151" spans="2:30" s="323" customFormat="1" ht="12" customHeight="1">
      <c r="B11151" s="324"/>
      <c r="C11151" s="325"/>
      <c r="D11151" s="326"/>
      <c r="E11151" s="326"/>
      <c r="F11151" s="326"/>
      <c r="G11151" s="326"/>
      <c r="H11151" s="326"/>
      <c r="P11151" s="318"/>
      <c r="Q11151" s="318"/>
      <c r="R11151" s="318"/>
      <c r="S11151" s="318"/>
      <c r="T11151" s="318"/>
      <c r="U11151" s="318"/>
      <c r="V11151" s="318"/>
      <c r="W11151" s="318"/>
      <c r="X11151" s="318"/>
      <c r="Y11151" s="318"/>
      <c r="Z11151" s="318"/>
      <c r="AA11151" s="318"/>
      <c r="AB11151" s="318"/>
      <c r="AC11151" s="318"/>
      <c r="AD11151" s="318"/>
    </row>
    <row r="11152" spans="2:30" s="323" customFormat="1" ht="12" customHeight="1">
      <c r="B11152" s="324"/>
      <c r="C11152" s="325"/>
      <c r="D11152" s="326"/>
      <c r="E11152" s="326"/>
      <c r="F11152" s="326"/>
      <c r="G11152" s="326"/>
      <c r="H11152" s="326"/>
      <c r="P11152" s="318"/>
      <c r="Q11152" s="318"/>
      <c r="R11152" s="318"/>
      <c r="S11152" s="318"/>
      <c r="T11152" s="318"/>
      <c r="U11152" s="318"/>
      <c r="V11152" s="318"/>
      <c r="W11152" s="318"/>
      <c r="X11152" s="318"/>
      <c r="Y11152" s="318"/>
      <c r="Z11152" s="318"/>
      <c r="AA11152" s="318"/>
      <c r="AB11152" s="318"/>
      <c r="AC11152" s="318"/>
      <c r="AD11152" s="318"/>
    </row>
    <row r="11153" spans="2:30" s="323" customFormat="1" ht="12" customHeight="1">
      <c r="B11153" s="324"/>
      <c r="C11153" s="325"/>
      <c r="D11153" s="326"/>
      <c r="E11153" s="326"/>
      <c r="F11153" s="326"/>
      <c r="G11153" s="326"/>
      <c r="H11153" s="326"/>
      <c r="P11153" s="318"/>
      <c r="Q11153" s="318"/>
      <c r="R11153" s="318"/>
      <c r="S11153" s="318"/>
      <c r="T11153" s="318"/>
      <c r="U11153" s="318"/>
      <c r="V11153" s="318"/>
      <c r="W11153" s="318"/>
      <c r="X11153" s="318"/>
      <c r="Y11153" s="318"/>
      <c r="Z11153" s="318"/>
      <c r="AA11153" s="318"/>
      <c r="AB11153" s="318"/>
      <c r="AC11153" s="318"/>
      <c r="AD11153" s="318"/>
    </row>
    <row r="11154" spans="2:30" s="323" customFormat="1" ht="12" customHeight="1">
      <c r="B11154" s="324"/>
      <c r="C11154" s="325"/>
      <c r="D11154" s="326"/>
      <c r="E11154" s="326"/>
      <c r="F11154" s="326"/>
      <c r="G11154" s="326"/>
      <c r="H11154" s="326"/>
      <c r="P11154" s="318"/>
      <c r="Q11154" s="318"/>
      <c r="R11154" s="318"/>
      <c r="S11154" s="318"/>
      <c r="T11154" s="318"/>
      <c r="U11154" s="318"/>
      <c r="V11154" s="318"/>
      <c r="W11154" s="318"/>
      <c r="X11154" s="318"/>
      <c r="Y11154" s="318"/>
      <c r="Z11154" s="318"/>
      <c r="AA11154" s="318"/>
      <c r="AB11154" s="318"/>
      <c r="AC11154" s="318"/>
      <c r="AD11154" s="318"/>
    </row>
    <row r="11155" spans="2:30" s="323" customFormat="1" ht="12" customHeight="1">
      <c r="B11155" s="324"/>
      <c r="C11155" s="325"/>
      <c r="D11155" s="326"/>
      <c r="E11155" s="326"/>
      <c r="F11155" s="326"/>
      <c r="G11155" s="326"/>
      <c r="H11155" s="326"/>
      <c r="P11155" s="318"/>
      <c r="Q11155" s="318"/>
      <c r="R11155" s="318"/>
      <c r="S11155" s="318"/>
      <c r="T11155" s="318"/>
      <c r="U11155" s="318"/>
      <c r="V11155" s="318"/>
      <c r="W11155" s="318"/>
      <c r="X11155" s="318"/>
      <c r="Y11155" s="318"/>
      <c r="Z11155" s="318"/>
      <c r="AA11155" s="318"/>
      <c r="AB11155" s="318"/>
      <c r="AC11155" s="318"/>
      <c r="AD11155" s="318"/>
    </row>
    <row r="11156" spans="2:30" s="323" customFormat="1" ht="12" customHeight="1">
      <c r="B11156" s="324"/>
      <c r="C11156" s="325"/>
      <c r="D11156" s="326"/>
      <c r="E11156" s="326"/>
      <c r="F11156" s="326"/>
      <c r="G11156" s="326"/>
      <c r="H11156" s="326"/>
      <c r="P11156" s="318"/>
      <c r="Q11156" s="318"/>
      <c r="R11156" s="318"/>
      <c r="S11156" s="318"/>
      <c r="T11156" s="318"/>
      <c r="U11156" s="318"/>
      <c r="V11156" s="318"/>
      <c r="W11156" s="318"/>
      <c r="X11156" s="318"/>
      <c r="Y11156" s="318"/>
      <c r="Z11156" s="318"/>
      <c r="AA11156" s="318"/>
      <c r="AB11156" s="318"/>
      <c r="AC11156" s="318"/>
      <c r="AD11156" s="318"/>
    </row>
    <row r="11157" spans="2:30" s="323" customFormat="1" ht="12" customHeight="1">
      <c r="B11157" s="324"/>
      <c r="C11157" s="325"/>
      <c r="D11157" s="326"/>
      <c r="E11157" s="326"/>
      <c r="F11157" s="326"/>
      <c r="G11157" s="326"/>
      <c r="H11157" s="326"/>
      <c r="P11157" s="318"/>
      <c r="Q11157" s="318"/>
      <c r="R11157" s="318"/>
      <c r="S11157" s="318"/>
      <c r="T11157" s="318"/>
      <c r="U11157" s="318"/>
      <c r="V11157" s="318"/>
      <c r="W11157" s="318"/>
      <c r="X11157" s="318"/>
      <c r="Y11157" s="318"/>
      <c r="Z11157" s="318"/>
      <c r="AA11157" s="318"/>
      <c r="AB11157" s="318"/>
      <c r="AC11157" s="318"/>
      <c r="AD11157" s="318"/>
    </row>
    <row r="11158" spans="2:30" s="323" customFormat="1" ht="12" customHeight="1">
      <c r="B11158" s="324"/>
      <c r="C11158" s="325"/>
      <c r="D11158" s="326"/>
      <c r="E11158" s="326"/>
      <c r="F11158" s="326"/>
      <c r="G11158" s="326"/>
      <c r="H11158" s="326"/>
      <c r="P11158" s="318"/>
      <c r="Q11158" s="318"/>
      <c r="R11158" s="318"/>
      <c r="S11158" s="318"/>
      <c r="T11158" s="318"/>
      <c r="U11158" s="318"/>
      <c r="V11158" s="318"/>
      <c r="W11158" s="318"/>
      <c r="X11158" s="318"/>
      <c r="Y11158" s="318"/>
      <c r="Z11158" s="318"/>
      <c r="AA11158" s="318"/>
      <c r="AB11158" s="318"/>
      <c r="AC11158" s="318"/>
      <c r="AD11158" s="318"/>
    </row>
    <row r="11159" spans="2:30" s="323" customFormat="1" ht="12" customHeight="1">
      <c r="B11159" s="324"/>
      <c r="C11159" s="325"/>
      <c r="D11159" s="326"/>
      <c r="E11159" s="326"/>
      <c r="F11159" s="326"/>
      <c r="G11159" s="326"/>
      <c r="H11159" s="326"/>
      <c r="P11159" s="318"/>
      <c r="Q11159" s="318"/>
      <c r="R11159" s="318"/>
      <c r="S11159" s="318"/>
      <c r="T11159" s="318"/>
      <c r="U11159" s="318"/>
      <c r="V11159" s="318"/>
      <c r="W11159" s="318"/>
      <c r="X11159" s="318"/>
      <c r="Y11159" s="318"/>
      <c r="Z11159" s="318"/>
      <c r="AA11159" s="318"/>
      <c r="AB11159" s="318"/>
      <c r="AC11159" s="318"/>
      <c r="AD11159" s="318"/>
    </row>
    <row r="11160" spans="2:30" s="323" customFormat="1" ht="12" customHeight="1">
      <c r="B11160" s="324"/>
      <c r="C11160" s="325"/>
      <c r="D11160" s="326"/>
      <c r="E11160" s="326"/>
      <c r="F11160" s="326"/>
      <c r="G11160" s="326"/>
      <c r="H11160" s="326"/>
      <c r="P11160" s="318"/>
      <c r="Q11160" s="318"/>
      <c r="R11160" s="318"/>
      <c r="S11160" s="318"/>
      <c r="T11160" s="318"/>
      <c r="U11160" s="318"/>
      <c r="V11160" s="318"/>
      <c r="W11160" s="318"/>
      <c r="X11160" s="318"/>
      <c r="Y11160" s="318"/>
      <c r="Z11160" s="318"/>
      <c r="AA11160" s="318"/>
      <c r="AB11160" s="318"/>
      <c r="AC11160" s="318"/>
      <c r="AD11160" s="318"/>
    </row>
    <row r="11161" spans="2:30" s="323" customFormat="1" ht="12" customHeight="1">
      <c r="B11161" s="324"/>
      <c r="C11161" s="325"/>
      <c r="D11161" s="326"/>
      <c r="E11161" s="326"/>
      <c r="F11161" s="326"/>
      <c r="G11161" s="326"/>
      <c r="H11161" s="326"/>
      <c r="P11161" s="318"/>
      <c r="Q11161" s="318"/>
      <c r="R11161" s="318"/>
      <c r="S11161" s="318"/>
      <c r="T11161" s="318"/>
      <c r="U11161" s="318"/>
      <c r="V11161" s="318"/>
      <c r="W11161" s="318"/>
      <c r="X11161" s="318"/>
      <c r="Y11161" s="318"/>
      <c r="Z11161" s="318"/>
      <c r="AA11161" s="318"/>
      <c r="AB11161" s="318"/>
      <c r="AC11161" s="318"/>
      <c r="AD11161" s="318"/>
    </row>
    <row r="11162" spans="2:30" s="323" customFormat="1" ht="12" customHeight="1">
      <c r="B11162" s="324"/>
      <c r="C11162" s="325"/>
      <c r="D11162" s="326"/>
      <c r="E11162" s="326"/>
      <c r="F11162" s="326"/>
      <c r="G11162" s="326"/>
      <c r="H11162" s="326"/>
      <c r="P11162" s="318"/>
      <c r="Q11162" s="318"/>
      <c r="R11162" s="318"/>
      <c r="S11162" s="318"/>
      <c r="T11162" s="318"/>
      <c r="U11162" s="318"/>
      <c r="V11162" s="318"/>
      <c r="W11162" s="318"/>
      <c r="X11162" s="318"/>
      <c r="Y11162" s="318"/>
      <c r="Z11162" s="318"/>
      <c r="AA11162" s="318"/>
      <c r="AB11162" s="318"/>
      <c r="AC11162" s="318"/>
      <c r="AD11162" s="318"/>
    </row>
    <row r="11163" spans="2:30" s="323" customFormat="1" ht="12" customHeight="1">
      <c r="B11163" s="324"/>
      <c r="C11163" s="325"/>
      <c r="D11163" s="326"/>
      <c r="E11163" s="326"/>
      <c r="F11163" s="326"/>
      <c r="G11163" s="326"/>
      <c r="H11163" s="326"/>
      <c r="P11163" s="318"/>
      <c r="Q11163" s="318"/>
      <c r="R11163" s="318"/>
      <c r="S11163" s="318"/>
      <c r="T11163" s="318"/>
      <c r="U11163" s="318"/>
      <c r="V11163" s="318"/>
      <c r="W11163" s="318"/>
      <c r="X11163" s="318"/>
      <c r="Y11163" s="318"/>
      <c r="Z11163" s="318"/>
      <c r="AA11163" s="318"/>
      <c r="AB11163" s="318"/>
      <c r="AC11163" s="318"/>
      <c r="AD11163" s="318"/>
    </row>
    <row r="11164" spans="2:30" s="323" customFormat="1" ht="12" customHeight="1">
      <c r="B11164" s="324"/>
      <c r="C11164" s="325"/>
      <c r="D11164" s="326"/>
      <c r="E11164" s="326"/>
      <c r="F11164" s="326"/>
      <c r="G11164" s="326"/>
      <c r="H11164" s="326"/>
      <c r="P11164" s="318"/>
      <c r="Q11164" s="318"/>
      <c r="R11164" s="318"/>
      <c r="S11164" s="318"/>
      <c r="T11164" s="318"/>
      <c r="U11164" s="318"/>
      <c r="V11164" s="318"/>
      <c r="W11164" s="318"/>
      <c r="X11164" s="318"/>
      <c r="Y11164" s="318"/>
      <c r="Z11164" s="318"/>
      <c r="AA11164" s="318"/>
      <c r="AB11164" s="318"/>
      <c r="AC11164" s="318"/>
      <c r="AD11164" s="318"/>
    </row>
    <row r="11165" spans="2:30" s="323" customFormat="1" ht="12" customHeight="1">
      <c r="B11165" s="324"/>
      <c r="C11165" s="325"/>
      <c r="D11165" s="326"/>
      <c r="E11165" s="326"/>
      <c r="F11165" s="326"/>
      <c r="G11165" s="326"/>
      <c r="H11165" s="326"/>
      <c r="P11165" s="318"/>
      <c r="Q11165" s="318"/>
      <c r="R11165" s="318"/>
      <c r="S11165" s="318"/>
      <c r="T11165" s="318"/>
      <c r="U11165" s="318"/>
      <c r="V11165" s="318"/>
      <c r="W11165" s="318"/>
      <c r="X11165" s="318"/>
      <c r="Y11165" s="318"/>
      <c r="Z11165" s="318"/>
      <c r="AA11165" s="318"/>
      <c r="AB11165" s="318"/>
      <c r="AC11165" s="318"/>
      <c r="AD11165" s="318"/>
    </row>
    <row r="11166" spans="2:30" s="323" customFormat="1" ht="12" customHeight="1">
      <c r="B11166" s="324"/>
      <c r="C11166" s="325"/>
      <c r="D11166" s="326"/>
      <c r="E11166" s="326"/>
      <c r="F11166" s="326"/>
      <c r="G11166" s="326"/>
      <c r="H11166" s="326"/>
      <c r="P11166" s="318"/>
      <c r="Q11166" s="318"/>
      <c r="R11166" s="318"/>
      <c r="S11166" s="318"/>
      <c r="T11166" s="318"/>
      <c r="U11166" s="318"/>
      <c r="V11166" s="318"/>
      <c r="W11166" s="318"/>
      <c r="X11166" s="318"/>
      <c r="Y11166" s="318"/>
      <c r="Z11166" s="318"/>
      <c r="AA11166" s="318"/>
      <c r="AB11166" s="318"/>
      <c r="AC11166" s="318"/>
      <c r="AD11166" s="318"/>
    </row>
    <row r="11167" spans="2:30" s="323" customFormat="1" ht="12" customHeight="1">
      <c r="B11167" s="324"/>
      <c r="C11167" s="325"/>
      <c r="D11167" s="326"/>
      <c r="E11167" s="326"/>
      <c r="F11167" s="326"/>
      <c r="G11167" s="326"/>
      <c r="H11167" s="326"/>
      <c r="P11167" s="318"/>
      <c r="Q11167" s="318"/>
      <c r="R11167" s="318"/>
      <c r="S11167" s="318"/>
      <c r="T11167" s="318"/>
      <c r="U11167" s="318"/>
      <c r="V11167" s="318"/>
      <c r="W11167" s="318"/>
      <c r="X11167" s="318"/>
      <c r="Y11167" s="318"/>
      <c r="Z11167" s="318"/>
      <c r="AA11167" s="318"/>
      <c r="AB11167" s="318"/>
      <c r="AC11167" s="318"/>
      <c r="AD11167" s="318"/>
    </row>
    <row r="11168" spans="2:30" s="323" customFormat="1" ht="12" customHeight="1">
      <c r="B11168" s="324"/>
      <c r="C11168" s="325"/>
      <c r="D11168" s="326"/>
      <c r="E11168" s="326"/>
      <c r="F11168" s="326"/>
      <c r="G11168" s="326"/>
      <c r="H11168" s="326"/>
      <c r="P11168" s="318"/>
      <c r="Q11168" s="318"/>
      <c r="R11168" s="318"/>
      <c r="S11168" s="318"/>
      <c r="T11168" s="318"/>
      <c r="U11168" s="318"/>
      <c r="V11168" s="318"/>
      <c r="W11168" s="318"/>
      <c r="X11168" s="318"/>
      <c r="Y11168" s="318"/>
      <c r="Z11168" s="318"/>
      <c r="AA11168" s="318"/>
      <c r="AB11168" s="318"/>
      <c r="AC11168" s="318"/>
      <c r="AD11168" s="318"/>
    </row>
    <row r="11169" spans="2:30" s="323" customFormat="1" ht="12" customHeight="1">
      <c r="B11169" s="324"/>
      <c r="C11169" s="325"/>
      <c r="D11169" s="326"/>
      <c r="E11169" s="326"/>
      <c r="F11169" s="326"/>
      <c r="G11169" s="326"/>
      <c r="H11169" s="326"/>
      <c r="P11169" s="318"/>
      <c r="Q11169" s="318"/>
      <c r="R11169" s="318"/>
      <c r="S11169" s="318"/>
      <c r="T11169" s="318"/>
      <c r="U11169" s="318"/>
      <c r="V11169" s="318"/>
      <c r="W11169" s="318"/>
      <c r="X11169" s="318"/>
      <c r="Y11169" s="318"/>
      <c r="Z11169" s="318"/>
      <c r="AA11169" s="318"/>
      <c r="AB11169" s="318"/>
      <c r="AC11169" s="318"/>
      <c r="AD11169" s="318"/>
    </row>
    <row r="11170" spans="2:30" s="323" customFormat="1" ht="12" customHeight="1">
      <c r="B11170" s="324"/>
      <c r="C11170" s="325"/>
      <c r="D11170" s="326"/>
      <c r="E11170" s="326"/>
      <c r="F11170" s="326"/>
      <c r="G11170" s="326"/>
      <c r="H11170" s="326"/>
      <c r="P11170" s="318"/>
      <c r="Q11170" s="318"/>
      <c r="R11170" s="318"/>
      <c r="S11170" s="318"/>
      <c r="T11170" s="318"/>
      <c r="U11170" s="318"/>
      <c r="V11170" s="318"/>
      <c r="W11170" s="318"/>
      <c r="X11170" s="318"/>
      <c r="Y11170" s="318"/>
      <c r="Z11170" s="318"/>
      <c r="AA11170" s="318"/>
      <c r="AB11170" s="318"/>
      <c r="AC11170" s="318"/>
      <c r="AD11170" s="318"/>
    </row>
    <row r="11171" spans="2:30" s="323" customFormat="1" ht="12" customHeight="1">
      <c r="B11171" s="324"/>
      <c r="C11171" s="325"/>
      <c r="D11171" s="326"/>
      <c r="E11171" s="326"/>
      <c r="F11171" s="326"/>
      <c r="G11171" s="326"/>
      <c r="H11171" s="326"/>
      <c r="P11171" s="318"/>
      <c r="Q11171" s="318"/>
      <c r="R11171" s="318"/>
      <c r="S11171" s="318"/>
      <c r="T11171" s="318"/>
      <c r="U11171" s="318"/>
      <c r="V11171" s="318"/>
      <c r="W11171" s="318"/>
      <c r="X11171" s="318"/>
      <c r="Y11171" s="318"/>
      <c r="Z11171" s="318"/>
      <c r="AA11171" s="318"/>
      <c r="AB11171" s="318"/>
      <c r="AC11171" s="318"/>
      <c r="AD11171" s="318"/>
    </row>
    <row r="11172" spans="2:30" s="323" customFormat="1" ht="12" customHeight="1">
      <c r="B11172" s="324"/>
      <c r="C11172" s="325"/>
      <c r="D11172" s="326"/>
      <c r="E11172" s="326"/>
      <c r="F11172" s="326"/>
      <c r="G11172" s="326"/>
      <c r="H11172" s="326"/>
      <c r="P11172" s="318"/>
      <c r="Q11172" s="318"/>
      <c r="R11172" s="318"/>
      <c r="S11172" s="318"/>
      <c r="T11172" s="318"/>
      <c r="U11172" s="318"/>
      <c r="V11172" s="318"/>
      <c r="W11172" s="318"/>
      <c r="X11172" s="318"/>
      <c r="Y11172" s="318"/>
      <c r="Z11172" s="318"/>
      <c r="AA11172" s="318"/>
      <c r="AB11172" s="318"/>
      <c r="AC11172" s="318"/>
      <c r="AD11172" s="318"/>
    </row>
    <row r="11173" spans="2:30" s="323" customFormat="1" ht="12" customHeight="1">
      <c r="B11173" s="324"/>
      <c r="C11173" s="325"/>
      <c r="D11173" s="326"/>
      <c r="E11173" s="326"/>
      <c r="F11173" s="326"/>
      <c r="G11173" s="326"/>
      <c r="H11173" s="326"/>
      <c r="P11173" s="318"/>
      <c r="Q11173" s="318"/>
      <c r="R11173" s="318"/>
      <c r="S11173" s="318"/>
      <c r="T11173" s="318"/>
      <c r="U11173" s="318"/>
      <c r="V11173" s="318"/>
      <c r="W11173" s="318"/>
      <c r="X11173" s="318"/>
      <c r="Y11173" s="318"/>
      <c r="Z11173" s="318"/>
      <c r="AA11173" s="318"/>
      <c r="AB11173" s="318"/>
      <c r="AC11173" s="318"/>
      <c r="AD11173" s="318"/>
    </row>
    <row r="11174" spans="2:30" s="323" customFormat="1" ht="12" customHeight="1">
      <c r="B11174" s="324"/>
      <c r="C11174" s="325"/>
      <c r="D11174" s="326"/>
      <c r="E11174" s="326"/>
      <c r="F11174" s="326"/>
      <c r="G11174" s="326"/>
      <c r="H11174" s="326"/>
      <c r="P11174" s="318"/>
      <c r="Q11174" s="318"/>
      <c r="R11174" s="318"/>
      <c r="S11174" s="318"/>
      <c r="T11174" s="318"/>
      <c r="U11174" s="318"/>
      <c r="V11174" s="318"/>
      <c r="W11174" s="318"/>
      <c r="X11174" s="318"/>
      <c r="Y11174" s="318"/>
      <c r="Z11174" s="318"/>
      <c r="AA11174" s="318"/>
      <c r="AB11174" s="318"/>
      <c r="AC11174" s="318"/>
      <c r="AD11174" s="318"/>
    </row>
    <row r="11175" spans="2:30" s="323" customFormat="1" ht="12" customHeight="1">
      <c r="B11175" s="324"/>
      <c r="C11175" s="325"/>
      <c r="D11175" s="326"/>
      <c r="E11175" s="326"/>
      <c r="F11175" s="326"/>
      <c r="G11175" s="326"/>
      <c r="H11175" s="326"/>
      <c r="P11175" s="318"/>
      <c r="Q11175" s="318"/>
      <c r="R11175" s="318"/>
      <c r="S11175" s="318"/>
      <c r="T11175" s="318"/>
      <c r="U11175" s="318"/>
      <c r="V11175" s="318"/>
      <c r="W11175" s="318"/>
      <c r="X11175" s="318"/>
      <c r="Y11175" s="318"/>
      <c r="Z11175" s="318"/>
      <c r="AA11175" s="318"/>
      <c r="AB11175" s="318"/>
      <c r="AC11175" s="318"/>
      <c r="AD11175" s="318"/>
    </row>
    <row r="11176" spans="2:30" s="323" customFormat="1" ht="12" customHeight="1">
      <c r="B11176" s="324"/>
      <c r="C11176" s="325"/>
      <c r="D11176" s="326"/>
      <c r="E11176" s="326"/>
      <c r="F11176" s="326"/>
      <c r="G11176" s="326"/>
      <c r="H11176" s="326"/>
      <c r="P11176" s="318"/>
      <c r="Q11176" s="318"/>
      <c r="R11176" s="318"/>
      <c r="S11176" s="318"/>
      <c r="T11176" s="318"/>
      <c r="U11176" s="318"/>
      <c r="V11176" s="318"/>
      <c r="W11176" s="318"/>
      <c r="X11176" s="318"/>
      <c r="Y11176" s="318"/>
      <c r="Z11176" s="318"/>
      <c r="AA11176" s="318"/>
      <c r="AB11176" s="318"/>
      <c r="AC11176" s="318"/>
      <c r="AD11176" s="318"/>
    </row>
    <row r="11177" spans="2:30" s="323" customFormat="1" ht="12" customHeight="1">
      <c r="B11177" s="324"/>
      <c r="C11177" s="325"/>
      <c r="D11177" s="326"/>
      <c r="E11177" s="326"/>
      <c r="F11177" s="326"/>
      <c r="G11177" s="326"/>
      <c r="H11177" s="326"/>
      <c r="P11177" s="318"/>
      <c r="Q11177" s="318"/>
      <c r="R11177" s="318"/>
      <c r="S11177" s="318"/>
      <c r="T11177" s="318"/>
      <c r="U11177" s="318"/>
      <c r="V11177" s="318"/>
      <c r="W11177" s="318"/>
      <c r="X11177" s="318"/>
      <c r="Y11177" s="318"/>
      <c r="Z11177" s="318"/>
      <c r="AA11177" s="318"/>
      <c r="AB11177" s="318"/>
      <c r="AC11177" s="318"/>
      <c r="AD11177" s="318"/>
    </row>
    <row r="11178" spans="2:30" s="323" customFormat="1" ht="12" customHeight="1">
      <c r="B11178" s="324"/>
      <c r="C11178" s="325"/>
      <c r="D11178" s="326"/>
      <c r="E11178" s="326"/>
      <c r="F11178" s="326"/>
      <c r="G11178" s="326"/>
      <c r="H11178" s="326"/>
      <c r="P11178" s="318"/>
      <c r="Q11178" s="318"/>
      <c r="R11178" s="318"/>
      <c r="S11178" s="318"/>
      <c r="T11178" s="318"/>
      <c r="U11178" s="318"/>
      <c r="V11178" s="318"/>
      <c r="W11178" s="318"/>
      <c r="X11178" s="318"/>
      <c r="Y11178" s="318"/>
      <c r="Z11178" s="318"/>
      <c r="AA11178" s="318"/>
      <c r="AB11178" s="318"/>
      <c r="AC11178" s="318"/>
      <c r="AD11178" s="318"/>
    </row>
    <row r="11179" spans="2:30" s="323" customFormat="1" ht="12" customHeight="1">
      <c r="B11179" s="324"/>
      <c r="C11179" s="325"/>
      <c r="D11179" s="326"/>
      <c r="E11179" s="326"/>
      <c r="F11179" s="326"/>
      <c r="G11179" s="326"/>
      <c r="H11179" s="326"/>
      <c r="P11179" s="318"/>
      <c r="Q11179" s="318"/>
      <c r="R11179" s="318"/>
      <c r="S11179" s="318"/>
      <c r="T11179" s="318"/>
      <c r="U11179" s="318"/>
      <c r="V11179" s="318"/>
      <c r="W11179" s="318"/>
      <c r="X11179" s="318"/>
      <c r="Y11179" s="318"/>
      <c r="Z11179" s="318"/>
      <c r="AA11179" s="318"/>
      <c r="AB11179" s="318"/>
      <c r="AC11179" s="318"/>
      <c r="AD11179" s="318"/>
    </row>
    <row r="11180" spans="2:30" s="323" customFormat="1" ht="12" customHeight="1">
      <c r="B11180" s="324"/>
      <c r="C11180" s="325"/>
      <c r="D11180" s="326"/>
      <c r="E11180" s="326"/>
      <c r="F11180" s="326"/>
      <c r="G11180" s="326"/>
      <c r="H11180" s="326"/>
      <c r="P11180" s="318"/>
      <c r="Q11180" s="318"/>
      <c r="R11180" s="318"/>
      <c r="S11180" s="318"/>
      <c r="T11180" s="318"/>
      <c r="U11180" s="318"/>
      <c r="V11180" s="318"/>
      <c r="W11180" s="318"/>
      <c r="X11180" s="318"/>
      <c r="Y11180" s="318"/>
      <c r="Z11180" s="318"/>
      <c r="AA11180" s="318"/>
      <c r="AB11180" s="318"/>
      <c r="AC11180" s="318"/>
      <c r="AD11180" s="318"/>
    </row>
    <row r="11181" spans="2:30" s="323" customFormat="1" ht="12" customHeight="1">
      <c r="B11181" s="324"/>
      <c r="C11181" s="325"/>
      <c r="D11181" s="326"/>
      <c r="E11181" s="326"/>
      <c r="F11181" s="326"/>
      <c r="G11181" s="326"/>
      <c r="H11181" s="326"/>
      <c r="P11181" s="318"/>
      <c r="Q11181" s="318"/>
      <c r="R11181" s="318"/>
      <c r="S11181" s="318"/>
      <c r="T11181" s="318"/>
      <c r="U11181" s="318"/>
      <c r="V11181" s="318"/>
      <c r="W11181" s="318"/>
      <c r="X11181" s="318"/>
      <c r="Y11181" s="318"/>
      <c r="Z11181" s="318"/>
      <c r="AA11181" s="318"/>
      <c r="AB11181" s="318"/>
      <c r="AC11181" s="318"/>
      <c r="AD11181" s="318"/>
    </row>
    <row r="11182" spans="2:30" s="323" customFormat="1" ht="12" customHeight="1">
      <c r="B11182" s="324"/>
      <c r="C11182" s="325"/>
      <c r="D11182" s="326"/>
      <c r="E11182" s="326"/>
      <c r="F11182" s="326"/>
      <c r="G11182" s="326"/>
      <c r="H11182" s="326"/>
      <c r="P11182" s="318"/>
      <c r="Q11182" s="318"/>
      <c r="R11182" s="318"/>
      <c r="S11182" s="318"/>
      <c r="T11182" s="318"/>
      <c r="U11182" s="318"/>
      <c r="V11182" s="318"/>
      <c r="W11182" s="318"/>
      <c r="X11182" s="318"/>
      <c r="Y11182" s="318"/>
      <c r="Z11182" s="318"/>
      <c r="AA11182" s="318"/>
      <c r="AB11182" s="318"/>
      <c r="AC11182" s="318"/>
      <c r="AD11182" s="318"/>
    </row>
    <row r="11183" spans="2:30" s="323" customFormat="1" ht="12" customHeight="1">
      <c r="B11183" s="324"/>
      <c r="C11183" s="325"/>
      <c r="D11183" s="326"/>
      <c r="E11183" s="326"/>
      <c r="F11183" s="326"/>
      <c r="G11183" s="326"/>
      <c r="H11183" s="326"/>
      <c r="P11183" s="318"/>
      <c r="Q11183" s="318"/>
      <c r="R11183" s="318"/>
      <c r="S11183" s="318"/>
      <c r="T11183" s="318"/>
      <c r="U11183" s="318"/>
      <c r="V11183" s="318"/>
      <c r="W11183" s="318"/>
      <c r="X11183" s="318"/>
      <c r="Y11183" s="318"/>
      <c r="Z11183" s="318"/>
      <c r="AA11183" s="318"/>
      <c r="AB11183" s="318"/>
      <c r="AC11183" s="318"/>
      <c r="AD11183" s="318"/>
    </row>
    <row r="11184" spans="2:30" s="323" customFormat="1" ht="12" customHeight="1">
      <c r="B11184" s="324"/>
      <c r="C11184" s="325"/>
      <c r="D11184" s="326"/>
      <c r="E11184" s="326"/>
      <c r="F11184" s="326"/>
      <c r="G11184" s="326"/>
      <c r="H11184" s="326"/>
      <c r="P11184" s="318"/>
      <c r="Q11184" s="318"/>
      <c r="R11184" s="318"/>
      <c r="S11184" s="318"/>
      <c r="T11184" s="318"/>
      <c r="U11184" s="318"/>
      <c r="V11184" s="318"/>
      <c r="W11184" s="318"/>
      <c r="X11184" s="318"/>
      <c r="Y11184" s="318"/>
      <c r="Z11184" s="318"/>
      <c r="AA11184" s="318"/>
      <c r="AB11184" s="318"/>
      <c r="AC11184" s="318"/>
      <c r="AD11184" s="318"/>
    </row>
    <row r="11185" spans="2:30" s="323" customFormat="1" ht="12" customHeight="1">
      <c r="B11185" s="324"/>
      <c r="C11185" s="325"/>
      <c r="D11185" s="326"/>
      <c r="E11185" s="326"/>
      <c r="F11185" s="326"/>
      <c r="G11185" s="326"/>
      <c r="H11185" s="326"/>
      <c r="P11185" s="318"/>
      <c r="Q11185" s="318"/>
      <c r="R11185" s="318"/>
      <c r="S11185" s="318"/>
      <c r="T11185" s="318"/>
      <c r="U11185" s="318"/>
      <c r="V11185" s="318"/>
      <c r="W11185" s="318"/>
      <c r="X11185" s="318"/>
      <c r="Y11185" s="318"/>
      <c r="Z11185" s="318"/>
      <c r="AA11185" s="318"/>
      <c r="AB11185" s="318"/>
      <c r="AC11185" s="318"/>
      <c r="AD11185" s="318"/>
    </row>
    <row r="11186" spans="2:30" s="323" customFormat="1" ht="12" customHeight="1">
      <c r="B11186" s="324"/>
      <c r="C11186" s="325"/>
      <c r="D11186" s="326"/>
      <c r="E11186" s="326"/>
      <c r="F11186" s="326"/>
      <c r="G11186" s="326"/>
      <c r="H11186" s="326"/>
      <c r="P11186" s="318"/>
      <c r="Q11186" s="318"/>
      <c r="R11186" s="318"/>
      <c r="S11186" s="318"/>
      <c r="T11186" s="318"/>
      <c r="U11186" s="318"/>
      <c r="V11186" s="318"/>
      <c r="W11186" s="318"/>
      <c r="X11186" s="318"/>
      <c r="Y11186" s="318"/>
      <c r="Z11186" s="318"/>
      <c r="AA11186" s="318"/>
      <c r="AB11186" s="318"/>
      <c r="AC11186" s="318"/>
      <c r="AD11186" s="318"/>
    </row>
    <row r="11187" spans="2:30" s="323" customFormat="1" ht="12" customHeight="1">
      <c r="B11187" s="324"/>
      <c r="C11187" s="325"/>
      <c r="D11187" s="326"/>
      <c r="E11187" s="326"/>
      <c r="F11187" s="326"/>
      <c r="G11187" s="326"/>
      <c r="H11187" s="326"/>
      <c r="P11187" s="318"/>
      <c r="Q11187" s="318"/>
      <c r="R11187" s="318"/>
      <c r="S11187" s="318"/>
      <c r="T11187" s="318"/>
      <c r="U11187" s="318"/>
      <c r="V11187" s="318"/>
      <c r="W11187" s="318"/>
      <c r="X11187" s="318"/>
      <c r="Y11187" s="318"/>
      <c r="Z11187" s="318"/>
      <c r="AA11187" s="318"/>
      <c r="AB11187" s="318"/>
      <c r="AC11187" s="318"/>
      <c r="AD11187" s="318"/>
    </row>
    <row r="11188" spans="2:30" s="323" customFormat="1" ht="12" customHeight="1">
      <c r="B11188" s="324"/>
      <c r="C11188" s="325"/>
      <c r="D11188" s="326"/>
      <c r="E11188" s="326"/>
      <c r="F11188" s="326"/>
      <c r="G11188" s="326"/>
      <c r="H11188" s="326"/>
      <c r="P11188" s="318"/>
      <c r="Q11188" s="318"/>
      <c r="R11188" s="318"/>
      <c r="S11188" s="318"/>
      <c r="T11188" s="318"/>
      <c r="U11188" s="318"/>
      <c r="V11188" s="318"/>
      <c r="W11188" s="318"/>
      <c r="X11188" s="318"/>
      <c r="Y11188" s="318"/>
      <c r="Z11188" s="318"/>
      <c r="AA11188" s="318"/>
      <c r="AB11188" s="318"/>
      <c r="AC11188" s="318"/>
      <c r="AD11188" s="318"/>
    </row>
    <row r="11189" spans="2:30" s="323" customFormat="1" ht="12" customHeight="1">
      <c r="B11189" s="324"/>
      <c r="C11189" s="325"/>
      <c r="D11189" s="326"/>
      <c r="E11189" s="326"/>
      <c r="F11189" s="326"/>
      <c r="G11189" s="326"/>
      <c r="H11189" s="326"/>
      <c r="P11189" s="318"/>
      <c r="Q11189" s="318"/>
      <c r="R11189" s="318"/>
      <c r="S11189" s="318"/>
      <c r="T11189" s="318"/>
      <c r="U11189" s="318"/>
      <c r="V11189" s="318"/>
      <c r="W11189" s="318"/>
      <c r="X11189" s="318"/>
      <c r="Y11189" s="318"/>
      <c r="Z11189" s="318"/>
      <c r="AA11189" s="318"/>
      <c r="AB11189" s="318"/>
      <c r="AC11189" s="318"/>
      <c r="AD11189" s="318"/>
    </row>
    <row r="11190" spans="2:30" s="323" customFormat="1" ht="12" customHeight="1">
      <c r="B11190" s="324"/>
      <c r="C11190" s="325"/>
      <c r="D11190" s="326"/>
      <c r="E11190" s="326"/>
      <c r="F11190" s="326"/>
      <c r="G11190" s="326"/>
      <c r="H11190" s="326"/>
      <c r="P11190" s="318"/>
      <c r="Q11190" s="318"/>
      <c r="R11190" s="318"/>
      <c r="S11190" s="318"/>
      <c r="T11190" s="318"/>
      <c r="U11190" s="318"/>
      <c r="V11190" s="318"/>
      <c r="W11190" s="318"/>
      <c r="X11190" s="318"/>
      <c r="Y11190" s="318"/>
      <c r="Z11190" s="318"/>
      <c r="AA11190" s="318"/>
      <c r="AB11190" s="318"/>
      <c r="AC11190" s="318"/>
      <c r="AD11190" s="318"/>
    </row>
    <row r="11191" spans="2:30" s="323" customFormat="1" ht="12" customHeight="1">
      <c r="B11191" s="324"/>
      <c r="C11191" s="325"/>
      <c r="D11191" s="326"/>
      <c r="E11191" s="326"/>
      <c r="F11191" s="326"/>
      <c r="G11191" s="326"/>
      <c r="H11191" s="326"/>
      <c r="P11191" s="318"/>
      <c r="Q11191" s="318"/>
      <c r="R11191" s="318"/>
      <c r="S11191" s="318"/>
      <c r="T11191" s="318"/>
      <c r="U11191" s="318"/>
      <c r="V11191" s="318"/>
      <c r="W11191" s="318"/>
      <c r="X11191" s="318"/>
      <c r="Y11191" s="318"/>
      <c r="Z11191" s="318"/>
      <c r="AA11191" s="318"/>
      <c r="AB11191" s="318"/>
      <c r="AC11191" s="318"/>
      <c r="AD11191" s="318"/>
    </row>
    <row r="11192" spans="2:30" s="323" customFormat="1" ht="12" customHeight="1">
      <c r="B11192" s="324"/>
      <c r="C11192" s="325"/>
      <c r="D11192" s="326"/>
      <c r="E11192" s="326"/>
      <c r="F11192" s="326"/>
      <c r="G11192" s="326"/>
      <c r="H11192" s="326"/>
      <c r="P11192" s="318"/>
      <c r="Q11192" s="318"/>
      <c r="R11192" s="318"/>
      <c r="S11192" s="318"/>
      <c r="T11192" s="318"/>
      <c r="U11192" s="318"/>
      <c r="V11192" s="318"/>
      <c r="W11192" s="318"/>
      <c r="X11192" s="318"/>
      <c r="Y11192" s="318"/>
      <c r="Z11192" s="318"/>
      <c r="AA11192" s="318"/>
      <c r="AB11192" s="318"/>
      <c r="AC11192" s="318"/>
      <c r="AD11192" s="318"/>
    </row>
    <row r="11193" spans="2:30" s="323" customFormat="1" ht="12" customHeight="1">
      <c r="B11193" s="324"/>
      <c r="C11193" s="325"/>
      <c r="D11193" s="326"/>
      <c r="E11193" s="326"/>
      <c r="F11193" s="326"/>
      <c r="G11193" s="326"/>
      <c r="H11193" s="326"/>
      <c r="P11193" s="318"/>
      <c r="Q11193" s="318"/>
      <c r="R11193" s="318"/>
      <c r="S11193" s="318"/>
      <c r="T11193" s="318"/>
      <c r="U11193" s="318"/>
      <c r="V11193" s="318"/>
      <c r="W11193" s="318"/>
      <c r="X11193" s="318"/>
      <c r="Y11193" s="318"/>
      <c r="Z11193" s="318"/>
      <c r="AA11193" s="318"/>
      <c r="AB11193" s="318"/>
      <c r="AC11193" s="318"/>
      <c r="AD11193" s="318"/>
    </row>
    <row r="11194" spans="2:30" s="323" customFormat="1" ht="12" customHeight="1">
      <c r="B11194" s="324"/>
      <c r="C11194" s="325"/>
      <c r="D11194" s="326"/>
      <c r="E11194" s="326"/>
      <c r="F11194" s="326"/>
      <c r="G11194" s="326"/>
      <c r="H11194" s="326"/>
      <c r="P11194" s="318"/>
      <c r="Q11194" s="318"/>
      <c r="R11194" s="318"/>
      <c r="S11194" s="318"/>
      <c r="T11194" s="318"/>
      <c r="U11194" s="318"/>
      <c r="V11194" s="318"/>
      <c r="W11194" s="318"/>
      <c r="X11194" s="318"/>
      <c r="Y11194" s="318"/>
      <c r="Z11194" s="318"/>
      <c r="AA11194" s="318"/>
      <c r="AB11194" s="318"/>
      <c r="AC11194" s="318"/>
      <c r="AD11194" s="318"/>
    </row>
    <row r="11195" spans="2:30" s="323" customFormat="1" ht="12" customHeight="1">
      <c r="B11195" s="324"/>
      <c r="C11195" s="325"/>
      <c r="D11195" s="326"/>
      <c r="E11195" s="326"/>
      <c r="F11195" s="326"/>
      <c r="G11195" s="326"/>
      <c r="H11195" s="326"/>
      <c r="P11195" s="318"/>
      <c r="Q11195" s="318"/>
      <c r="R11195" s="318"/>
      <c r="S11195" s="318"/>
      <c r="T11195" s="318"/>
      <c r="U11195" s="318"/>
      <c r="V11195" s="318"/>
      <c r="W11195" s="318"/>
      <c r="X11195" s="318"/>
      <c r="Y11195" s="318"/>
      <c r="Z11195" s="318"/>
      <c r="AA11195" s="318"/>
      <c r="AB11195" s="318"/>
      <c r="AC11195" s="318"/>
      <c r="AD11195" s="318"/>
    </row>
    <row r="11196" spans="2:30" s="323" customFormat="1" ht="12" customHeight="1">
      <c r="B11196" s="324"/>
      <c r="C11196" s="325"/>
      <c r="D11196" s="326"/>
      <c r="E11196" s="326"/>
      <c r="F11196" s="326"/>
      <c r="G11196" s="326"/>
      <c r="H11196" s="326"/>
      <c r="P11196" s="318"/>
      <c r="Q11196" s="318"/>
      <c r="R11196" s="318"/>
      <c r="S11196" s="318"/>
      <c r="T11196" s="318"/>
      <c r="U11196" s="318"/>
      <c r="V11196" s="318"/>
      <c r="W11196" s="318"/>
      <c r="X11196" s="318"/>
      <c r="Y11196" s="318"/>
      <c r="Z11196" s="318"/>
      <c r="AA11196" s="318"/>
      <c r="AB11196" s="318"/>
      <c r="AC11196" s="318"/>
      <c r="AD11196" s="318"/>
    </row>
    <row r="11197" spans="2:30" s="323" customFormat="1" ht="12" customHeight="1">
      <c r="B11197" s="324"/>
      <c r="C11197" s="325"/>
      <c r="D11197" s="326"/>
      <c r="E11197" s="326"/>
      <c r="F11197" s="326"/>
      <c r="G11197" s="326"/>
      <c r="H11197" s="326"/>
      <c r="P11197" s="318"/>
      <c r="Q11197" s="318"/>
      <c r="R11197" s="318"/>
      <c r="S11197" s="318"/>
      <c r="T11197" s="318"/>
      <c r="U11197" s="318"/>
      <c r="V11197" s="318"/>
      <c r="W11197" s="318"/>
      <c r="X11197" s="318"/>
      <c r="Y11197" s="318"/>
      <c r="Z11197" s="318"/>
      <c r="AA11197" s="318"/>
      <c r="AB11197" s="318"/>
      <c r="AC11197" s="318"/>
      <c r="AD11197" s="318"/>
    </row>
    <row r="11198" spans="2:30" s="323" customFormat="1" ht="12" customHeight="1">
      <c r="B11198" s="324"/>
      <c r="C11198" s="325"/>
      <c r="D11198" s="326"/>
      <c r="E11198" s="326"/>
      <c r="F11198" s="326"/>
      <c r="G11198" s="326"/>
      <c r="H11198" s="326"/>
      <c r="P11198" s="318"/>
      <c r="Q11198" s="318"/>
      <c r="R11198" s="318"/>
      <c r="S11198" s="318"/>
      <c r="T11198" s="318"/>
      <c r="U11198" s="318"/>
      <c r="V11198" s="318"/>
      <c r="W11198" s="318"/>
      <c r="X11198" s="318"/>
      <c r="Y11198" s="318"/>
      <c r="Z11198" s="318"/>
      <c r="AA11198" s="318"/>
      <c r="AB11198" s="318"/>
      <c r="AC11198" s="318"/>
      <c r="AD11198" s="318"/>
    </row>
    <row r="11199" spans="2:30" s="323" customFormat="1" ht="12" customHeight="1">
      <c r="B11199" s="324"/>
      <c r="C11199" s="325"/>
      <c r="D11199" s="326"/>
      <c r="E11199" s="326"/>
      <c r="F11199" s="326"/>
      <c r="G11199" s="326"/>
      <c r="H11199" s="326"/>
      <c r="P11199" s="318"/>
      <c r="Q11199" s="318"/>
      <c r="R11199" s="318"/>
      <c r="S11199" s="318"/>
      <c r="T11199" s="318"/>
      <c r="U11199" s="318"/>
      <c r="V11199" s="318"/>
      <c r="W11199" s="318"/>
      <c r="X11199" s="318"/>
      <c r="Y11199" s="318"/>
      <c r="Z11199" s="318"/>
      <c r="AA11199" s="318"/>
      <c r="AB11199" s="318"/>
      <c r="AC11199" s="318"/>
      <c r="AD11199" s="318"/>
    </row>
    <row r="11200" spans="2:30" s="323" customFormat="1" ht="12" customHeight="1">
      <c r="B11200" s="324"/>
      <c r="C11200" s="325"/>
      <c r="D11200" s="326"/>
      <c r="E11200" s="326"/>
      <c r="F11200" s="326"/>
      <c r="G11200" s="326"/>
      <c r="H11200" s="326"/>
      <c r="P11200" s="318"/>
      <c r="Q11200" s="318"/>
      <c r="R11200" s="318"/>
      <c r="S11200" s="318"/>
      <c r="T11200" s="318"/>
      <c r="U11200" s="318"/>
      <c r="V11200" s="318"/>
      <c r="W11200" s="318"/>
      <c r="X11200" s="318"/>
      <c r="Y11200" s="318"/>
      <c r="Z11200" s="318"/>
      <c r="AA11200" s="318"/>
      <c r="AB11200" s="318"/>
      <c r="AC11200" s="318"/>
      <c r="AD11200" s="318"/>
    </row>
    <row r="11201" spans="2:30" s="323" customFormat="1" ht="12" customHeight="1">
      <c r="B11201" s="324"/>
      <c r="C11201" s="325"/>
      <c r="D11201" s="326"/>
      <c r="E11201" s="326"/>
      <c r="F11201" s="326"/>
      <c r="G11201" s="326"/>
      <c r="H11201" s="326"/>
      <c r="P11201" s="318"/>
      <c r="Q11201" s="318"/>
      <c r="R11201" s="318"/>
      <c r="S11201" s="318"/>
      <c r="T11201" s="318"/>
      <c r="U11201" s="318"/>
      <c r="V11201" s="318"/>
      <c r="W11201" s="318"/>
      <c r="X11201" s="318"/>
      <c r="Y11201" s="318"/>
      <c r="Z11201" s="318"/>
      <c r="AA11201" s="318"/>
      <c r="AB11201" s="318"/>
      <c r="AC11201" s="318"/>
      <c r="AD11201" s="318"/>
    </row>
    <row r="11202" spans="2:30" s="323" customFormat="1" ht="12" customHeight="1">
      <c r="B11202" s="324"/>
      <c r="C11202" s="325"/>
      <c r="D11202" s="326"/>
      <c r="E11202" s="326"/>
      <c r="F11202" s="326"/>
      <c r="G11202" s="326"/>
      <c r="H11202" s="326"/>
      <c r="P11202" s="318"/>
      <c r="Q11202" s="318"/>
      <c r="R11202" s="318"/>
      <c r="S11202" s="318"/>
      <c r="T11202" s="318"/>
      <c r="U11202" s="318"/>
      <c r="V11202" s="318"/>
      <c r="W11202" s="318"/>
      <c r="X11202" s="318"/>
      <c r="Y11202" s="318"/>
      <c r="Z11202" s="318"/>
      <c r="AA11202" s="318"/>
      <c r="AB11202" s="318"/>
      <c r="AC11202" s="318"/>
      <c r="AD11202" s="318"/>
    </row>
    <row r="11203" spans="2:30" s="323" customFormat="1" ht="12" customHeight="1">
      <c r="B11203" s="324"/>
      <c r="C11203" s="325"/>
      <c r="D11203" s="326"/>
      <c r="E11203" s="326"/>
      <c r="F11203" s="326"/>
      <c r="G11203" s="326"/>
      <c r="H11203" s="326"/>
      <c r="P11203" s="318"/>
      <c r="Q11203" s="318"/>
      <c r="R11203" s="318"/>
      <c r="S11203" s="318"/>
      <c r="T11203" s="318"/>
      <c r="U11203" s="318"/>
      <c r="V11203" s="318"/>
      <c r="W11203" s="318"/>
      <c r="X11203" s="318"/>
      <c r="Y11203" s="318"/>
      <c r="Z11203" s="318"/>
      <c r="AA11203" s="318"/>
      <c r="AB11203" s="318"/>
      <c r="AC11203" s="318"/>
      <c r="AD11203" s="318"/>
    </row>
    <row r="11204" spans="2:30" s="323" customFormat="1" ht="12" customHeight="1">
      <c r="B11204" s="324"/>
      <c r="C11204" s="325"/>
      <c r="D11204" s="326"/>
      <c r="E11204" s="326"/>
      <c r="F11204" s="326"/>
      <c r="G11204" s="326"/>
      <c r="H11204" s="326"/>
      <c r="P11204" s="318"/>
      <c r="Q11204" s="318"/>
      <c r="R11204" s="318"/>
      <c r="S11204" s="318"/>
      <c r="T11204" s="318"/>
      <c r="U11204" s="318"/>
      <c r="V11204" s="318"/>
      <c r="W11204" s="318"/>
      <c r="X11204" s="318"/>
      <c r="Y11204" s="318"/>
      <c r="Z11204" s="318"/>
      <c r="AA11204" s="318"/>
      <c r="AB11204" s="318"/>
      <c r="AC11204" s="318"/>
      <c r="AD11204" s="318"/>
    </row>
    <row r="11205" spans="2:30" s="323" customFormat="1" ht="12" customHeight="1">
      <c r="B11205" s="324"/>
      <c r="C11205" s="325"/>
      <c r="D11205" s="326"/>
      <c r="E11205" s="326"/>
      <c r="F11205" s="326"/>
      <c r="G11205" s="326"/>
      <c r="H11205" s="326"/>
      <c r="P11205" s="318"/>
      <c r="Q11205" s="318"/>
      <c r="R11205" s="318"/>
      <c r="S11205" s="318"/>
      <c r="T11205" s="318"/>
      <c r="U11205" s="318"/>
      <c r="V11205" s="318"/>
      <c r="W11205" s="318"/>
      <c r="X11205" s="318"/>
      <c r="Y11205" s="318"/>
      <c r="Z11205" s="318"/>
      <c r="AA11205" s="318"/>
      <c r="AB11205" s="318"/>
      <c r="AC11205" s="318"/>
      <c r="AD11205" s="318"/>
    </row>
    <row r="11206" spans="2:30" s="323" customFormat="1" ht="12" customHeight="1">
      <c r="B11206" s="324"/>
      <c r="C11206" s="325"/>
      <c r="D11206" s="326"/>
      <c r="E11206" s="326"/>
      <c r="F11206" s="326"/>
      <c r="G11206" s="326"/>
      <c r="H11206" s="326"/>
      <c r="P11206" s="318"/>
      <c r="Q11206" s="318"/>
      <c r="R11206" s="318"/>
      <c r="S11206" s="318"/>
      <c r="T11206" s="318"/>
      <c r="U11206" s="318"/>
      <c r="V11206" s="318"/>
      <c r="W11206" s="318"/>
      <c r="X11206" s="318"/>
      <c r="Y11206" s="318"/>
      <c r="Z11206" s="318"/>
      <c r="AA11206" s="318"/>
      <c r="AB11206" s="318"/>
      <c r="AC11206" s="318"/>
      <c r="AD11206" s="318"/>
    </row>
    <row r="11207" spans="2:30" s="323" customFormat="1" ht="12" customHeight="1">
      <c r="B11207" s="324"/>
      <c r="C11207" s="325"/>
      <c r="D11207" s="326"/>
      <c r="E11207" s="326"/>
      <c r="F11207" s="326"/>
      <c r="G11207" s="326"/>
      <c r="H11207" s="326"/>
      <c r="P11207" s="318"/>
      <c r="Q11207" s="318"/>
      <c r="R11207" s="318"/>
      <c r="S11207" s="318"/>
      <c r="T11207" s="318"/>
      <c r="U11207" s="318"/>
      <c r="V11207" s="318"/>
      <c r="W11207" s="318"/>
      <c r="X11207" s="318"/>
      <c r="Y11207" s="318"/>
      <c r="Z11207" s="318"/>
      <c r="AA11207" s="318"/>
      <c r="AB11207" s="318"/>
      <c r="AC11207" s="318"/>
      <c r="AD11207" s="318"/>
    </row>
    <row r="11208" spans="2:30" s="323" customFormat="1" ht="12" customHeight="1">
      <c r="B11208" s="324"/>
      <c r="C11208" s="325"/>
      <c r="D11208" s="326"/>
      <c r="E11208" s="326"/>
      <c r="F11208" s="326"/>
      <c r="G11208" s="326"/>
      <c r="H11208" s="326"/>
      <c r="P11208" s="318"/>
      <c r="Q11208" s="318"/>
      <c r="R11208" s="318"/>
      <c r="S11208" s="318"/>
      <c r="T11208" s="318"/>
      <c r="U11208" s="318"/>
      <c r="V11208" s="318"/>
      <c r="W11208" s="318"/>
      <c r="X11208" s="318"/>
      <c r="Y11208" s="318"/>
      <c r="Z11208" s="318"/>
      <c r="AA11208" s="318"/>
      <c r="AB11208" s="318"/>
      <c r="AC11208" s="318"/>
      <c r="AD11208" s="318"/>
    </row>
    <row r="11209" spans="2:30" s="323" customFormat="1" ht="12" customHeight="1">
      <c r="B11209" s="324"/>
      <c r="C11209" s="325"/>
      <c r="D11209" s="326"/>
      <c r="E11209" s="326"/>
      <c r="F11209" s="326"/>
      <c r="G11209" s="326"/>
      <c r="H11209" s="326"/>
      <c r="P11209" s="318"/>
      <c r="Q11209" s="318"/>
      <c r="R11209" s="318"/>
      <c r="S11209" s="318"/>
      <c r="T11209" s="318"/>
      <c r="U11209" s="318"/>
      <c r="V11209" s="318"/>
      <c r="W11209" s="318"/>
      <c r="X11209" s="318"/>
      <c r="Y11209" s="318"/>
      <c r="Z11209" s="318"/>
      <c r="AA11209" s="318"/>
      <c r="AB11209" s="318"/>
      <c r="AC11209" s="318"/>
      <c r="AD11209" s="318"/>
    </row>
    <row r="11210" spans="2:30" s="323" customFormat="1" ht="12" customHeight="1">
      <c r="B11210" s="324"/>
      <c r="C11210" s="325"/>
      <c r="D11210" s="326"/>
      <c r="E11210" s="326"/>
      <c r="F11210" s="326"/>
      <c r="G11210" s="326"/>
      <c r="H11210" s="326"/>
      <c r="P11210" s="318"/>
      <c r="Q11210" s="318"/>
      <c r="R11210" s="318"/>
      <c r="S11210" s="318"/>
      <c r="T11210" s="318"/>
      <c r="U11210" s="318"/>
      <c r="V11210" s="318"/>
      <c r="W11210" s="318"/>
      <c r="X11210" s="318"/>
      <c r="Y11210" s="318"/>
      <c r="Z11210" s="318"/>
      <c r="AA11210" s="318"/>
      <c r="AB11210" s="318"/>
      <c r="AC11210" s="318"/>
      <c r="AD11210" s="318"/>
    </row>
    <row r="11211" spans="2:30" s="323" customFormat="1" ht="12" customHeight="1">
      <c r="B11211" s="324"/>
      <c r="C11211" s="325"/>
      <c r="D11211" s="326"/>
      <c r="E11211" s="326"/>
      <c r="F11211" s="326"/>
      <c r="G11211" s="326"/>
      <c r="H11211" s="326"/>
      <c r="P11211" s="318"/>
      <c r="Q11211" s="318"/>
      <c r="R11211" s="318"/>
      <c r="S11211" s="318"/>
      <c r="T11211" s="318"/>
      <c r="U11211" s="318"/>
      <c r="V11211" s="318"/>
      <c r="W11211" s="318"/>
      <c r="X11211" s="318"/>
      <c r="Y11211" s="318"/>
      <c r="Z11211" s="318"/>
      <c r="AA11211" s="318"/>
      <c r="AB11211" s="318"/>
      <c r="AC11211" s="318"/>
      <c r="AD11211" s="318"/>
    </row>
    <row r="11212" spans="2:30" s="323" customFormat="1" ht="12" customHeight="1">
      <c r="B11212" s="324"/>
      <c r="C11212" s="325"/>
      <c r="D11212" s="326"/>
      <c r="E11212" s="326"/>
      <c r="F11212" s="326"/>
      <c r="G11212" s="326"/>
      <c r="H11212" s="326"/>
      <c r="P11212" s="318"/>
      <c r="Q11212" s="318"/>
      <c r="R11212" s="318"/>
      <c r="S11212" s="318"/>
      <c r="T11212" s="318"/>
      <c r="U11212" s="318"/>
      <c r="V11212" s="318"/>
      <c r="W11212" s="318"/>
      <c r="X11212" s="318"/>
      <c r="Y11212" s="318"/>
      <c r="Z11212" s="318"/>
      <c r="AA11212" s="318"/>
      <c r="AB11212" s="318"/>
      <c r="AC11212" s="318"/>
      <c r="AD11212" s="318"/>
    </row>
    <row r="11213" spans="2:30" s="323" customFormat="1" ht="12" customHeight="1">
      <c r="B11213" s="324"/>
      <c r="C11213" s="325"/>
      <c r="D11213" s="326"/>
      <c r="E11213" s="326"/>
      <c r="F11213" s="326"/>
      <c r="G11213" s="326"/>
      <c r="H11213" s="326"/>
      <c r="P11213" s="318"/>
      <c r="Q11213" s="318"/>
      <c r="R11213" s="318"/>
      <c r="S11213" s="318"/>
      <c r="T11213" s="318"/>
      <c r="U11213" s="318"/>
      <c r="V11213" s="318"/>
      <c r="W11213" s="318"/>
      <c r="X11213" s="318"/>
      <c r="Y11213" s="318"/>
      <c r="Z11213" s="318"/>
      <c r="AA11213" s="318"/>
      <c r="AB11213" s="318"/>
      <c r="AC11213" s="318"/>
      <c r="AD11213" s="318"/>
    </row>
    <row r="11214" spans="2:30" s="323" customFormat="1" ht="12" customHeight="1">
      <c r="B11214" s="324"/>
      <c r="C11214" s="325"/>
      <c r="D11214" s="326"/>
      <c r="E11214" s="326"/>
      <c r="F11214" s="326"/>
      <c r="G11214" s="326"/>
      <c r="H11214" s="326"/>
      <c r="P11214" s="318"/>
      <c r="Q11214" s="318"/>
      <c r="R11214" s="318"/>
      <c r="S11214" s="318"/>
      <c r="T11214" s="318"/>
      <c r="U11214" s="318"/>
      <c r="V11214" s="318"/>
      <c r="W11214" s="318"/>
      <c r="X11214" s="318"/>
      <c r="Y11214" s="318"/>
      <c r="Z11214" s="318"/>
      <c r="AA11214" s="318"/>
      <c r="AB11214" s="318"/>
      <c r="AC11214" s="318"/>
      <c r="AD11214" s="318"/>
    </row>
    <row r="11215" spans="2:30" s="323" customFormat="1" ht="12" customHeight="1">
      <c r="B11215" s="324"/>
      <c r="C11215" s="325"/>
      <c r="D11215" s="326"/>
      <c r="E11215" s="326"/>
      <c r="F11215" s="326"/>
      <c r="G11215" s="326"/>
      <c r="H11215" s="326"/>
      <c r="P11215" s="318"/>
      <c r="Q11215" s="318"/>
      <c r="R11215" s="318"/>
      <c r="S11215" s="318"/>
      <c r="T11215" s="318"/>
      <c r="U11215" s="318"/>
      <c r="V11215" s="318"/>
      <c r="W11215" s="318"/>
      <c r="X11215" s="318"/>
      <c r="Y11215" s="318"/>
      <c r="Z11215" s="318"/>
      <c r="AA11215" s="318"/>
      <c r="AB11215" s="318"/>
      <c r="AC11215" s="318"/>
      <c r="AD11215" s="318"/>
    </row>
    <row r="11216" spans="2:30" s="323" customFormat="1" ht="12" customHeight="1">
      <c r="B11216" s="324"/>
      <c r="C11216" s="325"/>
      <c r="D11216" s="326"/>
      <c r="E11216" s="326"/>
      <c r="F11216" s="326"/>
      <c r="G11216" s="326"/>
      <c r="H11216" s="326"/>
      <c r="P11216" s="318"/>
      <c r="Q11216" s="318"/>
      <c r="R11216" s="318"/>
      <c r="S11216" s="318"/>
      <c r="T11216" s="318"/>
      <c r="U11216" s="318"/>
      <c r="V11216" s="318"/>
      <c r="W11216" s="318"/>
      <c r="X11216" s="318"/>
      <c r="Y11216" s="318"/>
      <c r="Z11216" s="318"/>
      <c r="AA11216" s="318"/>
      <c r="AB11216" s="318"/>
      <c r="AC11216" s="318"/>
      <c r="AD11216" s="318"/>
    </row>
    <row r="11217" spans="2:30" s="323" customFormat="1" ht="12" customHeight="1">
      <c r="B11217" s="324"/>
      <c r="C11217" s="325"/>
      <c r="D11217" s="326"/>
      <c r="E11217" s="326"/>
      <c r="F11217" s="326"/>
      <c r="G11217" s="326"/>
      <c r="H11217" s="326"/>
      <c r="P11217" s="318"/>
      <c r="Q11217" s="318"/>
      <c r="R11217" s="318"/>
      <c r="S11217" s="318"/>
      <c r="T11217" s="318"/>
      <c r="U11217" s="318"/>
      <c r="V11217" s="318"/>
      <c r="W11217" s="318"/>
      <c r="X11217" s="318"/>
      <c r="Y11217" s="318"/>
      <c r="Z11217" s="318"/>
      <c r="AA11217" s="318"/>
      <c r="AB11217" s="318"/>
      <c r="AC11217" s="318"/>
      <c r="AD11217" s="318"/>
    </row>
    <row r="11218" spans="2:30" s="323" customFormat="1" ht="12" customHeight="1">
      <c r="B11218" s="324"/>
      <c r="C11218" s="325"/>
      <c r="D11218" s="326"/>
      <c r="E11218" s="326"/>
      <c r="F11218" s="326"/>
      <c r="G11218" s="326"/>
      <c r="H11218" s="326"/>
      <c r="P11218" s="318"/>
      <c r="Q11218" s="318"/>
      <c r="R11218" s="318"/>
      <c r="S11218" s="318"/>
      <c r="T11218" s="318"/>
      <c r="U11218" s="318"/>
      <c r="V11218" s="318"/>
      <c r="W11218" s="318"/>
      <c r="X11218" s="318"/>
      <c r="Y11218" s="318"/>
      <c r="Z11218" s="318"/>
      <c r="AA11218" s="318"/>
      <c r="AB11218" s="318"/>
      <c r="AC11218" s="318"/>
      <c r="AD11218" s="318"/>
    </row>
    <row r="11219" spans="2:30" s="323" customFormat="1" ht="12" customHeight="1">
      <c r="B11219" s="324"/>
      <c r="C11219" s="325"/>
      <c r="D11219" s="326"/>
      <c r="E11219" s="326"/>
      <c r="F11219" s="326"/>
      <c r="G11219" s="326"/>
      <c r="H11219" s="326"/>
      <c r="P11219" s="318"/>
      <c r="Q11219" s="318"/>
      <c r="R11219" s="318"/>
      <c r="S11219" s="318"/>
      <c r="T11219" s="318"/>
      <c r="U11219" s="318"/>
      <c r="V11219" s="318"/>
      <c r="W11219" s="318"/>
      <c r="X11219" s="318"/>
      <c r="Y11219" s="318"/>
      <c r="Z11219" s="318"/>
      <c r="AA11219" s="318"/>
      <c r="AB11219" s="318"/>
      <c r="AC11219" s="318"/>
      <c r="AD11219" s="318"/>
    </row>
    <row r="11220" spans="2:30" s="323" customFormat="1" ht="12" customHeight="1">
      <c r="B11220" s="324"/>
      <c r="C11220" s="325"/>
      <c r="D11220" s="326"/>
      <c r="E11220" s="326"/>
      <c r="F11220" s="326"/>
      <c r="G11220" s="326"/>
      <c r="H11220" s="326"/>
      <c r="P11220" s="318"/>
      <c r="Q11220" s="318"/>
      <c r="R11220" s="318"/>
      <c r="S11220" s="318"/>
      <c r="T11220" s="318"/>
      <c r="U11220" s="318"/>
      <c r="V11220" s="318"/>
      <c r="W11220" s="318"/>
      <c r="X11220" s="318"/>
      <c r="Y11220" s="318"/>
      <c r="Z11220" s="318"/>
      <c r="AA11220" s="318"/>
      <c r="AB11220" s="318"/>
      <c r="AC11220" s="318"/>
      <c r="AD11220" s="318"/>
    </row>
    <row r="11221" spans="2:30" s="323" customFormat="1" ht="12" customHeight="1">
      <c r="B11221" s="324"/>
      <c r="C11221" s="325"/>
      <c r="D11221" s="326"/>
      <c r="E11221" s="326"/>
      <c r="F11221" s="326"/>
      <c r="G11221" s="326"/>
      <c r="H11221" s="326"/>
      <c r="P11221" s="318"/>
      <c r="Q11221" s="318"/>
      <c r="R11221" s="318"/>
      <c r="S11221" s="318"/>
      <c r="T11221" s="318"/>
      <c r="U11221" s="318"/>
      <c r="V11221" s="318"/>
      <c r="W11221" s="318"/>
      <c r="X11221" s="318"/>
      <c r="Y11221" s="318"/>
      <c r="Z11221" s="318"/>
      <c r="AA11221" s="318"/>
      <c r="AB11221" s="318"/>
      <c r="AC11221" s="318"/>
      <c r="AD11221" s="318"/>
    </row>
    <row r="11222" spans="2:30" s="323" customFormat="1" ht="12" customHeight="1">
      <c r="B11222" s="324"/>
      <c r="C11222" s="325"/>
      <c r="D11222" s="326"/>
      <c r="E11222" s="326"/>
      <c r="F11222" s="326"/>
      <c r="G11222" s="326"/>
      <c r="H11222" s="326"/>
      <c r="P11222" s="318"/>
      <c r="Q11222" s="318"/>
      <c r="R11222" s="318"/>
      <c r="S11222" s="318"/>
      <c r="T11222" s="318"/>
      <c r="U11222" s="318"/>
      <c r="V11222" s="318"/>
      <c r="W11222" s="318"/>
      <c r="X11222" s="318"/>
      <c r="Y11222" s="318"/>
      <c r="Z11222" s="318"/>
      <c r="AA11222" s="318"/>
      <c r="AB11222" s="318"/>
      <c r="AC11222" s="318"/>
      <c r="AD11222" s="318"/>
    </row>
    <row r="11223" spans="2:30" s="323" customFormat="1" ht="12" customHeight="1">
      <c r="B11223" s="324"/>
      <c r="C11223" s="325"/>
      <c r="D11223" s="326"/>
      <c r="E11223" s="326"/>
      <c r="F11223" s="326"/>
      <c r="G11223" s="326"/>
      <c r="H11223" s="326"/>
      <c r="P11223" s="318"/>
      <c r="Q11223" s="318"/>
      <c r="R11223" s="318"/>
      <c r="S11223" s="318"/>
      <c r="T11223" s="318"/>
      <c r="U11223" s="318"/>
      <c r="V11223" s="318"/>
      <c r="W11223" s="318"/>
      <c r="X11223" s="318"/>
      <c r="Y11223" s="318"/>
      <c r="Z11223" s="318"/>
      <c r="AA11223" s="318"/>
      <c r="AB11223" s="318"/>
      <c r="AC11223" s="318"/>
      <c r="AD11223" s="318"/>
    </row>
    <row r="11224" spans="2:30" s="323" customFormat="1" ht="12" customHeight="1">
      <c r="B11224" s="324"/>
      <c r="C11224" s="325"/>
      <c r="D11224" s="326"/>
      <c r="E11224" s="326"/>
      <c r="F11224" s="326"/>
      <c r="G11224" s="326"/>
      <c r="H11224" s="326"/>
      <c r="P11224" s="318"/>
      <c r="Q11224" s="318"/>
      <c r="R11224" s="318"/>
      <c r="S11224" s="318"/>
      <c r="T11224" s="318"/>
      <c r="U11224" s="318"/>
      <c r="V11224" s="318"/>
      <c r="W11224" s="318"/>
      <c r="X11224" s="318"/>
      <c r="Y11224" s="318"/>
      <c r="Z11224" s="318"/>
      <c r="AA11224" s="318"/>
      <c r="AB11224" s="318"/>
      <c r="AC11224" s="318"/>
      <c r="AD11224" s="318"/>
    </row>
    <row r="11225" spans="2:30" s="323" customFormat="1" ht="12" customHeight="1">
      <c r="B11225" s="324"/>
      <c r="C11225" s="325"/>
      <c r="D11225" s="326"/>
      <c r="E11225" s="326"/>
      <c r="F11225" s="326"/>
      <c r="G11225" s="326"/>
      <c r="H11225" s="326"/>
      <c r="P11225" s="318"/>
      <c r="Q11225" s="318"/>
      <c r="R11225" s="318"/>
      <c r="S11225" s="318"/>
      <c r="T11225" s="318"/>
      <c r="U11225" s="318"/>
      <c r="V11225" s="318"/>
      <c r="W11225" s="318"/>
      <c r="X11225" s="318"/>
      <c r="Y11225" s="318"/>
      <c r="Z11225" s="318"/>
      <c r="AA11225" s="318"/>
      <c r="AB11225" s="318"/>
      <c r="AC11225" s="318"/>
      <c r="AD11225" s="318"/>
    </row>
    <row r="11226" spans="2:30" s="323" customFormat="1" ht="12" customHeight="1">
      <c r="B11226" s="324"/>
      <c r="C11226" s="325"/>
      <c r="D11226" s="326"/>
      <c r="E11226" s="326"/>
      <c r="F11226" s="326"/>
      <c r="G11226" s="326"/>
      <c r="H11226" s="326"/>
      <c r="P11226" s="318"/>
      <c r="Q11226" s="318"/>
      <c r="R11226" s="318"/>
      <c r="S11226" s="318"/>
      <c r="T11226" s="318"/>
      <c r="U11226" s="318"/>
      <c r="V11226" s="318"/>
      <c r="W11226" s="318"/>
      <c r="X11226" s="318"/>
      <c r="Y11226" s="318"/>
      <c r="Z11226" s="318"/>
      <c r="AA11226" s="318"/>
      <c r="AB11226" s="318"/>
      <c r="AC11226" s="318"/>
      <c r="AD11226" s="318"/>
    </row>
    <row r="11227" spans="2:30" s="323" customFormat="1" ht="12" customHeight="1">
      <c r="B11227" s="324"/>
      <c r="C11227" s="325"/>
      <c r="D11227" s="326"/>
      <c r="E11227" s="326"/>
      <c r="F11227" s="326"/>
      <c r="G11227" s="326"/>
      <c r="H11227" s="326"/>
      <c r="P11227" s="318"/>
      <c r="Q11227" s="318"/>
      <c r="R11227" s="318"/>
      <c r="S11227" s="318"/>
      <c r="T11227" s="318"/>
      <c r="U11227" s="318"/>
      <c r="V11227" s="318"/>
      <c r="W11227" s="318"/>
      <c r="X11227" s="318"/>
      <c r="Y11227" s="318"/>
      <c r="Z11227" s="318"/>
      <c r="AA11227" s="318"/>
      <c r="AB11227" s="318"/>
      <c r="AC11227" s="318"/>
      <c r="AD11227" s="318"/>
    </row>
    <row r="11228" spans="2:30" s="323" customFormat="1" ht="12" customHeight="1">
      <c r="B11228" s="324"/>
      <c r="C11228" s="325"/>
      <c r="D11228" s="326"/>
      <c r="E11228" s="326"/>
      <c r="F11228" s="326"/>
      <c r="G11228" s="326"/>
      <c r="H11228" s="326"/>
      <c r="P11228" s="318"/>
      <c r="Q11228" s="318"/>
      <c r="R11228" s="318"/>
      <c r="S11228" s="318"/>
      <c r="T11228" s="318"/>
      <c r="U11228" s="318"/>
      <c r="V11228" s="318"/>
      <c r="W11228" s="318"/>
      <c r="X11228" s="318"/>
      <c r="Y11228" s="318"/>
      <c r="Z11228" s="318"/>
      <c r="AA11228" s="318"/>
      <c r="AB11228" s="318"/>
      <c r="AC11228" s="318"/>
      <c r="AD11228" s="318"/>
    </row>
    <row r="11229" spans="2:30" s="323" customFormat="1" ht="12" customHeight="1">
      <c r="B11229" s="324"/>
      <c r="C11229" s="325"/>
      <c r="D11229" s="326"/>
      <c r="E11229" s="326"/>
      <c r="F11229" s="326"/>
      <c r="G11229" s="326"/>
      <c r="H11229" s="326"/>
      <c r="P11229" s="318"/>
      <c r="Q11229" s="318"/>
      <c r="R11229" s="318"/>
      <c r="S11229" s="318"/>
      <c r="T11229" s="318"/>
      <c r="U11229" s="318"/>
      <c r="V11229" s="318"/>
      <c r="W11229" s="318"/>
      <c r="X11229" s="318"/>
      <c r="Y11229" s="318"/>
      <c r="Z11229" s="318"/>
      <c r="AA11229" s="318"/>
      <c r="AB11229" s="318"/>
      <c r="AC11229" s="318"/>
      <c r="AD11229" s="318"/>
    </row>
    <row r="11230" spans="2:30" s="323" customFormat="1" ht="12" customHeight="1">
      <c r="B11230" s="324"/>
      <c r="C11230" s="325"/>
      <c r="D11230" s="326"/>
      <c r="E11230" s="326"/>
      <c r="F11230" s="326"/>
      <c r="G11230" s="326"/>
      <c r="H11230" s="326"/>
      <c r="P11230" s="318"/>
      <c r="Q11230" s="318"/>
      <c r="R11230" s="318"/>
      <c r="S11230" s="318"/>
      <c r="T11230" s="318"/>
      <c r="U11230" s="318"/>
      <c r="V11230" s="318"/>
      <c r="W11230" s="318"/>
      <c r="X11230" s="318"/>
      <c r="Y11230" s="318"/>
      <c r="Z11230" s="318"/>
      <c r="AA11230" s="318"/>
      <c r="AB11230" s="318"/>
      <c r="AC11230" s="318"/>
      <c r="AD11230" s="318"/>
    </row>
    <row r="11231" spans="2:30" s="323" customFormat="1" ht="12" customHeight="1">
      <c r="B11231" s="324"/>
      <c r="C11231" s="325"/>
      <c r="D11231" s="326"/>
      <c r="E11231" s="326"/>
      <c r="F11231" s="326"/>
      <c r="G11231" s="326"/>
      <c r="H11231" s="326"/>
      <c r="P11231" s="318"/>
      <c r="Q11231" s="318"/>
      <c r="R11231" s="318"/>
      <c r="S11231" s="318"/>
      <c r="T11231" s="318"/>
      <c r="U11231" s="318"/>
      <c r="V11231" s="318"/>
      <c r="W11231" s="318"/>
      <c r="X11231" s="318"/>
      <c r="Y11231" s="318"/>
      <c r="Z11231" s="318"/>
      <c r="AA11231" s="318"/>
      <c r="AB11231" s="318"/>
      <c r="AC11231" s="318"/>
      <c r="AD11231" s="318"/>
    </row>
    <row r="11232" spans="2:30" s="323" customFormat="1" ht="12" customHeight="1">
      <c r="B11232" s="324"/>
      <c r="C11232" s="325"/>
      <c r="D11232" s="326"/>
      <c r="E11232" s="326"/>
      <c r="F11232" s="326"/>
      <c r="G11232" s="326"/>
      <c r="H11232" s="326"/>
      <c r="P11232" s="318"/>
      <c r="Q11232" s="318"/>
      <c r="R11232" s="318"/>
      <c r="S11232" s="318"/>
      <c r="T11232" s="318"/>
      <c r="U11232" s="318"/>
      <c r="V11232" s="318"/>
      <c r="W11232" s="318"/>
      <c r="X11232" s="318"/>
      <c r="Y11232" s="318"/>
      <c r="Z11232" s="318"/>
      <c r="AA11232" s="318"/>
      <c r="AB11232" s="318"/>
      <c r="AC11232" s="318"/>
      <c r="AD11232" s="318"/>
    </row>
    <row r="11233" spans="2:30" s="323" customFormat="1" ht="12" customHeight="1">
      <c r="B11233" s="324"/>
      <c r="C11233" s="325"/>
      <c r="D11233" s="326"/>
      <c r="E11233" s="326"/>
      <c r="F11233" s="326"/>
      <c r="G11233" s="326"/>
      <c r="H11233" s="326"/>
      <c r="P11233" s="318"/>
      <c r="Q11233" s="318"/>
      <c r="R11233" s="318"/>
      <c r="S11233" s="318"/>
      <c r="T11233" s="318"/>
      <c r="U11233" s="318"/>
      <c r="V11233" s="318"/>
      <c r="W11233" s="318"/>
      <c r="X11233" s="318"/>
      <c r="Y11233" s="318"/>
      <c r="Z11233" s="318"/>
      <c r="AA11233" s="318"/>
      <c r="AB11233" s="318"/>
      <c r="AC11233" s="318"/>
      <c r="AD11233" s="318"/>
    </row>
    <row r="11234" spans="2:30" s="323" customFormat="1" ht="12" customHeight="1">
      <c r="B11234" s="324"/>
      <c r="C11234" s="325"/>
      <c r="D11234" s="326"/>
      <c r="E11234" s="326"/>
      <c r="F11234" s="326"/>
      <c r="G11234" s="326"/>
      <c r="H11234" s="326"/>
      <c r="P11234" s="318"/>
      <c r="Q11234" s="318"/>
      <c r="R11234" s="318"/>
      <c r="S11234" s="318"/>
      <c r="T11234" s="318"/>
      <c r="U11234" s="318"/>
      <c r="V11234" s="318"/>
      <c r="W11234" s="318"/>
      <c r="X11234" s="318"/>
      <c r="Y11234" s="318"/>
      <c r="Z11234" s="318"/>
      <c r="AA11234" s="318"/>
      <c r="AB11234" s="318"/>
      <c r="AC11234" s="318"/>
      <c r="AD11234" s="318"/>
    </row>
    <row r="11235" spans="2:30" s="323" customFormat="1" ht="12" customHeight="1">
      <c r="B11235" s="324"/>
      <c r="C11235" s="325"/>
      <c r="D11235" s="326"/>
      <c r="E11235" s="326"/>
      <c r="F11235" s="326"/>
      <c r="G11235" s="326"/>
      <c r="H11235" s="326"/>
      <c r="P11235" s="318"/>
      <c r="Q11235" s="318"/>
      <c r="R11235" s="318"/>
      <c r="S11235" s="318"/>
      <c r="T11235" s="318"/>
      <c r="U11235" s="318"/>
      <c r="V11235" s="318"/>
      <c r="W11235" s="318"/>
      <c r="X11235" s="318"/>
      <c r="Y11235" s="318"/>
      <c r="Z11235" s="318"/>
      <c r="AA11235" s="318"/>
      <c r="AB11235" s="318"/>
      <c r="AC11235" s="318"/>
      <c r="AD11235" s="318"/>
    </row>
    <row r="11236" spans="2:30" s="323" customFormat="1" ht="12" customHeight="1">
      <c r="B11236" s="324"/>
      <c r="C11236" s="325"/>
      <c r="D11236" s="326"/>
      <c r="E11236" s="326"/>
      <c r="F11236" s="326"/>
      <c r="G11236" s="326"/>
      <c r="H11236" s="326"/>
      <c r="P11236" s="318"/>
      <c r="Q11236" s="318"/>
      <c r="R11236" s="318"/>
      <c r="S11236" s="318"/>
      <c r="T11236" s="318"/>
      <c r="U11236" s="318"/>
      <c r="V11236" s="318"/>
      <c r="W11236" s="318"/>
      <c r="X11236" s="318"/>
      <c r="Y11236" s="318"/>
      <c r="Z11236" s="318"/>
      <c r="AA11236" s="318"/>
      <c r="AB11236" s="318"/>
      <c r="AC11236" s="318"/>
      <c r="AD11236" s="318"/>
    </row>
    <row r="11237" spans="2:30" s="323" customFormat="1" ht="12" customHeight="1">
      <c r="B11237" s="324"/>
      <c r="C11237" s="325"/>
      <c r="D11237" s="326"/>
      <c r="E11237" s="326"/>
      <c r="F11237" s="326"/>
      <c r="G11237" s="326"/>
      <c r="H11237" s="326"/>
      <c r="P11237" s="318"/>
      <c r="Q11237" s="318"/>
      <c r="R11237" s="318"/>
      <c r="S11237" s="318"/>
      <c r="T11237" s="318"/>
      <c r="U11237" s="318"/>
      <c r="V11237" s="318"/>
      <c r="W11237" s="318"/>
      <c r="X11237" s="318"/>
      <c r="Y11237" s="318"/>
      <c r="Z11237" s="318"/>
      <c r="AA11237" s="318"/>
      <c r="AB11237" s="318"/>
      <c r="AC11237" s="318"/>
      <c r="AD11237" s="318"/>
    </row>
    <row r="11238" spans="2:30" s="323" customFormat="1" ht="12" customHeight="1">
      <c r="B11238" s="324"/>
      <c r="C11238" s="325"/>
      <c r="D11238" s="326"/>
      <c r="E11238" s="326"/>
      <c r="F11238" s="326"/>
      <c r="G11238" s="326"/>
      <c r="H11238" s="326"/>
      <c r="P11238" s="318"/>
      <c r="Q11238" s="318"/>
      <c r="R11238" s="318"/>
      <c r="S11238" s="318"/>
      <c r="T11238" s="318"/>
      <c r="U11238" s="318"/>
      <c r="V11238" s="318"/>
      <c r="W11238" s="318"/>
      <c r="X11238" s="318"/>
      <c r="Y11238" s="318"/>
      <c r="Z11238" s="318"/>
      <c r="AA11238" s="318"/>
      <c r="AB11238" s="318"/>
      <c r="AC11238" s="318"/>
      <c r="AD11238" s="318"/>
    </row>
    <row r="11239" spans="2:30" s="323" customFormat="1" ht="12" customHeight="1">
      <c r="B11239" s="324"/>
      <c r="C11239" s="325"/>
      <c r="D11239" s="326"/>
      <c r="E11239" s="326"/>
      <c r="F11239" s="326"/>
      <c r="G11239" s="326"/>
      <c r="H11239" s="326"/>
      <c r="P11239" s="318"/>
      <c r="Q11239" s="318"/>
      <c r="R11239" s="318"/>
      <c r="S11239" s="318"/>
      <c r="T11239" s="318"/>
      <c r="U11239" s="318"/>
      <c r="V11239" s="318"/>
      <c r="W11239" s="318"/>
      <c r="X11239" s="318"/>
      <c r="Y11239" s="318"/>
      <c r="Z11239" s="318"/>
      <c r="AA11239" s="318"/>
      <c r="AB11239" s="318"/>
      <c r="AC11239" s="318"/>
      <c r="AD11239" s="318"/>
    </row>
    <row r="11240" spans="2:30" s="323" customFormat="1" ht="12" customHeight="1">
      <c r="B11240" s="324"/>
      <c r="C11240" s="325"/>
      <c r="D11240" s="326"/>
      <c r="E11240" s="326"/>
      <c r="F11240" s="326"/>
      <c r="G11240" s="326"/>
      <c r="H11240" s="326"/>
      <c r="P11240" s="318"/>
      <c r="Q11240" s="318"/>
      <c r="R11240" s="318"/>
      <c r="S11240" s="318"/>
      <c r="T11240" s="318"/>
      <c r="U11240" s="318"/>
      <c r="V11240" s="318"/>
      <c r="W11240" s="318"/>
      <c r="X11240" s="318"/>
      <c r="Y11240" s="318"/>
      <c r="Z11240" s="318"/>
      <c r="AA11240" s="318"/>
      <c r="AB11240" s="318"/>
      <c r="AC11240" s="318"/>
      <c r="AD11240" s="318"/>
    </row>
    <row r="11241" spans="2:30" s="323" customFormat="1" ht="12" customHeight="1">
      <c r="B11241" s="324"/>
      <c r="C11241" s="325"/>
      <c r="D11241" s="326"/>
      <c r="E11241" s="326"/>
      <c r="F11241" s="326"/>
      <c r="G11241" s="326"/>
      <c r="H11241" s="326"/>
      <c r="P11241" s="318"/>
      <c r="Q11241" s="318"/>
      <c r="R11241" s="318"/>
      <c r="S11241" s="318"/>
      <c r="T11241" s="318"/>
      <c r="U11241" s="318"/>
      <c r="V11241" s="318"/>
      <c r="W11241" s="318"/>
      <c r="X11241" s="318"/>
      <c r="Y11241" s="318"/>
      <c r="Z11241" s="318"/>
      <c r="AA11241" s="318"/>
      <c r="AB11241" s="318"/>
      <c r="AC11241" s="318"/>
      <c r="AD11241" s="318"/>
    </row>
    <row r="11242" spans="2:30" s="323" customFormat="1" ht="12" customHeight="1">
      <c r="B11242" s="324"/>
      <c r="C11242" s="325"/>
      <c r="D11242" s="326"/>
      <c r="E11242" s="326"/>
      <c r="F11242" s="326"/>
      <c r="G11242" s="326"/>
      <c r="H11242" s="326"/>
      <c r="P11242" s="318"/>
      <c r="Q11242" s="318"/>
      <c r="R11242" s="318"/>
      <c r="S11242" s="318"/>
      <c r="T11242" s="318"/>
      <c r="U11242" s="318"/>
      <c r="V11242" s="318"/>
      <c r="W11242" s="318"/>
      <c r="X11242" s="318"/>
      <c r="Y11242" s="318"/>
      <c r="Z11242" s="318"/>
      <c r="AA11242" s="318"/>
      <c r="AB11242" s="318"/>
      <c r="AC11242" s="318"/>
      <c r="AD11242" s="318"/>
    </row>
    <row r="11243" spans="2:30" s="323" customFormat="1" ht="12" customHeight="1">
      <c r="B11243" s="324"/>
      <c r="C11243" s="325"/>
      <c r="D11243" s="326"/>
      <c r="E11243" s="326"/>
      <c r="F11243" s="326"/>
      <c r="G11243" s="326"/>
      <c r="H11243" s="326"/>
      <c r="P11243" s="318"/>
      <c r="Q11243" s="318"/>
      <c r="R11243" s="318"/>
      <c r="S11243" s="318"/>
      <c r="T11243" s="318"/>
      <c r="U11243" s="318"/>
      <c r="V11243" s="318"/>
      <c r="W11243" s="318"/>
      <c r="X11243" s="318"/>
      <c r="Y11243" s="318"/>
      <c r="Z11243" s="318"/>
      <c r="AA11243" s="318"/>
      <c r="AB11243" s="318"/>
      <c r="AC11243" s="318"/>
      <c r="AD11243" s="318"/>
    </row>
    <row r="11244" spans="2:30" s="323" customFormat="1" ht="12" customHeight="1">
      <c r="B11244" s="324"/>
      <c r="C11244" s="325"/>
      <c r="D11244" s="326"/>
      <c r="E11244" s="326"/>
      <c r="F11244" s="326"/>
      <c r="G11244" s="326"/>
      <c r="H11244" s="326"/>
      <c r="P11244" s="318"/>
      <c r="Q11244" s="318"/>
      <c r="R11244" s="318"/>
      <c r="S11244" s="318"/>
      <c r="T11244" s="318"/>
      <c r="U11244" s="318"/>
      <c r="V11244" s="318"/>
      <c r="W11244" s="318"/>
      <c r="X11244" s="318"/>
      <c r="Y11244" s="318"/>
      <c r="Z11244" s="318"/>
      <c r="AA11244" s="318"/>
      <c r="AB11244" s="318"/>
      <c r="AC11244" s="318"/>
      <c r="AD11244" s="318"/>
    </row>
    <row r="11245" spans="2:30" s="323" customFormat="1" ht="12" customHeight="1">
      <c r="B11245" s="324"/>
      <c r="C11245" s="325"/>
      <c r="D11245" s="326"/>
      <c r="E11245" s="326"/>
      <c r="F11245" s="326"/>
      <c r="G11245" s="326"/>
      <c r="H11245" s="326"/>
      <c r="P11245" s="318"/>
      <c r="Q11245" s="318"/>
      <c r="R11245" s="318"/>
      <c r="S11245" s="318"/>
      <c r="T11245" s="318"/>
      <c r="U11245" s="318"/>
      <c r="V11245" s="318"/>
      <c r="W11245" s="318"/>
      <c r="X11245" s="318"/>
      <c r="Y11245" s="318"/>
      <c r="Z11245" s="318"/>
      <c r="AA11245" s="318"/>
      <c r="AB11245" s="318"/>
      <c r="AC11245" s="318"/>
      <c r="AD11245" s="318"/>
    </row>
    <row r="11246" spans="2:30" s="323" customFormat="1" ht="12" customHeight="1">
      <c r="B11246" s="324"/>
      <c r="C11246" s="325"/>
      <c r="D11246" s="326"/>
      <c r="E11246" s="326"/>
      <c r="F11246" s="326"/>
      <c r="G11246" s="326"/>
      <c r="H11246" s="326"/>
      <c r="P11246" s="318"/>
      <c r="Q11246" s="318"/>
      <c r="R11246" s="318"/>
      <c r="S11246" s="318"/>
      <c r="T11246" s="318"/>
      <c r="U11246" s="318"/>
      <c r="V11246" s="318"/>
      <c r="W11246" s="318"/>
      <c r="X11246" s="318"/>
      <c r="Y11246" s="318"/>
      <c r="Z11246" s="318"/>
      <c r="AA11246" s="318"/>
      <c r="AB11246" s="318"/>
      <c r="AC11246" s="318"/>
      <c r="AD11246" s="318"/>
    </row>
    <row r="11247" spans="2:30" s="323" customFormat="1" ht="12" customHeight="1">
      <c r="B11247" s="324"/>
      <c r="C11247" s="325"/>
      <c r="D11247" s="326"/>
      <c r="E11247" s="326"/>
      <c r="F11247" s="326"/>
      <c r="G11247" s="326"/>
      <c r="H11247" s="326"/>
      <c r="P11247" s="318"/>
      <c r="Q11247" s="318"/>
      <c r="R11247" s="318"/>
      <c r="S11247" s="318"/>
      <c r="T11247" s="318"/>
      <c r="U11247" s="318"/>
      <c r="V11247" s="318"/>
      <c r="W11247" s="318"/>
      <c r="X11247" s="318"/>
      <c r="Y11247" s="318"/>
      <c r="Z11247" s="318"/>
      <c r="AA11247" s="318"/>
      <c r="AB11247" s="318"/>
      <c r="AC11247" s="318"/>
      <c r="AD11247" s="318"/>
    </row>
    <row r="11248" spans="2:30" s="323" customFormat="1" ht="12" customHeight="1">
      <c r="B11248" s="324"/>
      <c r="C11248" s="325"/>
      <c r="D11248" s="326"/>
      <c r="E11248" s="326"/>
      <c r="F11248" s="326"/>
      <c r="G11248" s="326"/>
      <c r="H11248" s="326"/>
      <c r="P11248" s="318"/>
      <c r="Q11248" s="318"/>
      <c r="R11248" s="318"/>
      <c r="S11248" s="318"/>
      <c r="T11248" s="318"/>
      <c r="U11248" s="318"/>
      <c r="V11248" s="318"/>
      <c r="W11248" s="318"/>
      <c r="X11248" s="318"/>
      <c r="Y11248" s="318"/>
      <c r="Z11248" s="318"/>
      <c r="AA11248" s="318"/>
      <c r="AB11248" s="318"/>
      <c r="AC11248" s="318"/>
      <c r="AD11248" s="318"/>
    </row>
    <row r="11249" spans="2:30" s="323" customFormat="1" ht="12" customHeight="1">
      <c r="B11249" s="324"/>
      <c r="C11249" s="325"/>
      <c r="D11249" s="326"/>
      <c r="E11249" s="326"/>
      <c r="F11249" s="326"/>
      <c r="G11249" s="326"/>
      <c r="H11249" s="326"/>
      <c r="P11249" s="318"/>
      <c r="Q11249" s="318"/>
      <c r="R11249" s="318"/>
      <c r="S11249" s="318"/>
      <c r="T11249" s="318"/>
      <c r="U11249" s="318"/>
      <c r="V11249" s="318"/>
      <c r="W11249" s="318"/>
      <c r="X11249" s="318"/>
      <c r="Y11249" s="318"/>
      <c r="Z11249" s="318"/>
      <c r="AA11249" s="318"/>
      <c r="AB11249" s="318"/>
      <c r="AC11249" s="318"/>
      <c r="AD11249" s="318"/>
    </row>
    <row r="11250" spans="2:30" s="323" customFormat="1" ht="12" customHeight="1">
      <c r="B11250" s="324"/>
      <c r="C11250" s="325"/>
      <c r="D11250" s="326"/>
      <c r="E11250" s="326"/>
      <c r="F11250" s="326"/>
      <c r="G11250" s="326"/>
      <c r="H11250" s="326"/>
      <c r="P11250" s="318"/>
      <c r="Q11250" s="318"/>
      <c r="R11250" s="318"/>
      <c r="S11250" s="318"/>
      <c r="T11250" s="318"/>
      <c r="U11250" s="318"/>
      <c r="V11250" s="318"/>
      <c r="W11250" s="318"/>
      <c r="X11250" s="318"/>
      <c r="Y11250" s="318"/>
      <c r="Z11250" s="318"/>
      <c r="AA11250" s="318"/>
      <c r="AB11250" s="318"/>
      <c r="AC11250" s="318"/>
      <c r="AD11250" s="318"/>
    </row>
    <row r="11251" spans="2:30" s="323" customFormat="1" ht="12" customHeight="1">
      <c r="B11251" s="324"/>
      <c r="C11251" s="325"/>
      <c r="D11251" s="326"/>
      <c r="E11251" s="326"/>
      <c r="F11251" s="326"/>
      <c r="G11251" s="326"/>
      <c r="H11251" s="326"/>
      <c r="P11251" s="318"/>
      <c r="Q11251" s="318"/>
      <c r="R11251" s="318"/>
      <c r="S11251" s="318"/>
      <c r="T11251" s="318"/>
      <c r="U11251" s="318"/>
      <c r="V11251" s="318"/>
      <c r="W11251" s="318"/>
      <c r="X11251" s="318"/>
      <c r="Y11251" s="318"/>
      <c r="Z11251" s="318"/>
      <c r="AA11251" s="318"/>
      <c r="AB11251" s="318"/>
      <c r="AC11251" s="318"/>
      <c r="AD11251" s="318"/>
    </row>
    <row r="11252" spans="2:30" s="323" customFormat="1" ht="12" customHeight="1">
      <c r="B11252" s="324"/>
      <c r="C11252" s="325"/>
      <c r="D11252" s="326"/>
      <c r="E11252" s="326"/>
      <c r="F11252" s="326"/>
      <c r="G11252" s="326"/>
      <c r="H11252" s="326"/>
      <c r="P11252" s="318"/>
      <c r="Q11252" s="318"/>
      <c r="R11252" s="318"/>
      <c r="S11252" s="318"/>
      <c r="T11252" s="318"/>
      <c r="U11252" s="318"/>
      <c r="V11252" s="318"/>
      <c r="W11252" s="318"/>
      <c r="X11252" s="318"/>
      <c r="Y11252" s="318"/>
      <c r="Z11252" s="318"/>
      <c r="AA11252" s="318"/>
      <c r="AB11252" s="318"/>
      <c r="AC11252" s="318"/>
      <c r="AD11252" s="318"/>
    </row>
    <row r="11253" spans="2:30" s="323" customFormat="1" ht="12" customHeight="1">
      <c r="B11253" s="324"/>
      <c r="C11253" s="325"/>
      <c r="D11253" s="326"/>
      <c r="E11253" s="326"/>
      <c r="F11253" s="326"/>
      <c r="G11253" s="326"/>
      <c r="H11253" s="326"/>
      <c r="P11253" s="318"/>
      <c r="Q11253" s="318"/>
      <c r="R11253" s="318"/>
      <c r="S11253" s="318"/>
      <c r="T11253" s="318"/>
      <c r="U11253" s="318"/>
      <c r="V11253" s="318"/>
      <c r="W11253" s="318"/>
      <c r="X11253" s="318"/>
      <c r="Y11253" s="318"/>
      <c r="Z11253" s="318"/>
      <c r="AA11253" s="318"/>
      <c r="AB11253" s="318"/>
      <c r="AC11253" s="318"/>
      <c r="AD11253" s="318"/>
    </row>
    <row r="11254" spans="2:30" s="323" customFormat="1" ht="12" customHeight="1">
      <c r="B11254" s="324"/>
      <c r="C11254" s="325"/>
      <c r="D11254" s="326"/>
      <c r="E11254" s="326"/>
      <c r="F11254" s="326"/>
      <c r="G11254" s="326"/>
      <c r="H11254" s="326"/>
      <c r="P11254" s="318"/>
      <c r="Q11254" s="318"/>
      <c r="R11254" s="318"/>
      <c r="S11254" s="318"/>
      <c r="T11254" s="318"/>
      <c r="U11254" s="318"/>
      <c r="V11254" s="318"/>
      <c r="W11254" s="318"/>
      <c r="X11254" s="318"/>
      <c r="Y11254" s="318"/>
      <c r="Z11254" s="318"/>
      <c r="AA11254" s="318"/>
      <c r="AB11254" s="318"/>
      <c r="AC11254" s="318"/>
      <c r="AD11254" s="318"/>
    </row>
    <row r="11255" spans="2:30" s="323" customFormat="1" ht="12" customHeight="1">
      <c r="B11255" s="324"/>
      <c r="C11255" s="325"/>
      <c r="D11255" s="326"/>
      <c r="E11255" s="326"/>
      <c r="F11255" s="326"/>
      <c r="G11255" s="326"/>
      <c r="H11255" s="326"/>
      <c r="P11255" s="318"/>
      <c r="Q11255" s="318"/>
      <c r="R11255" s="318"/>
      <c r="S11255" s="318"/>
      <c r="T11255" s="318"/>
      <c r="U11255" s="318"/>
      <c r="V11255" s="318"/>
      <c r="W11255" s="318"/>
      <c r="X11255" s="318"/>
      <c r="Y11255" s="318"/>
      <c r="Z11255" s="318"/>
      <c r="AA11255" s="318"/>
      <c r="AB11255" s="318"/>
      <c r="AC11255" s="318"/>
      <c r="AD11255" s="318"/>
    </row>
    <row r="11256" spans="2:30" s="323" customFormat="1" ht="12" customHeight="1">
      <c r="B11256" s="324"/>
      <c r="C11256" s="325"/>
      <c r="D11256" s="326"/>
      <c r="E11256" s="326"/>
      <c r="F11256" s="326"/>
      <c r="G11256" s="326"/>
      <c r="H11256" s="326"/>
      <c r="P11256" s="318"/>
      <c r="Q11256" s="318"/>
      <c r="R11256" s="318"/>
      <c r="S11256" s="318"/>
      <c r="T11256" s="318"/>
      <c r="U11256" s="318"/>
      <c r="V11256" s="318"/>
      <c r="W11256" s="318"/>
      <c r="X11256" s="318"/>
      <c r="Y11256" s="318"/>
      <c r="Z11256" s="318"/>
      <c r="AA11256" s="318"/>
      <c r="AB11256" s="318"/>
      <c r="AC11256" s="318"/>
      <c r="AD11256" s="318"/>
    </row>
    <row r="11257" spans="2:30" s="323" customFormat="1" ht="12" customHeight="1">
      <c r="B11257" s="324"/>
      <c r="C11257" s="325"/>
      <c r="D11257" s="326"/>
      <c r="E11257" s="326"/>
      <c r="F11257" s="326"/>
      <c r="G11257" s="326"/>
      <c r="H11257" s="326"/>
      <c r="P11257" s="318"/>
      <c r="Q11257" s="318"/>
      <c r="R11257" s="318"/>
      <c r="S11257" s="318"/>
      <c r="T11257" s="318"/>
      <c r="U11257" s="318"/>
      <c r="V11257" s="318"/>
      <c r="W11257" s="318"/>
      <c r="X11257" s="318"/>
      <c r="Y11257" s="318"/>
      <c r="Z11257" s="318"/>
      <c r="AA11257" s="318"/>
      <c r="AB11257" s="318"/>
      <c r="AC11257" s="318"/>
      <c r="AD11257" s="318"/>
    </row>
    <row r="11258" spans="2:30" s="323" customFormat="1" ht="12" customHeight="1">
      <c r="B11258" s="324"/>
      <c r="C11258" s="325"/>
      <c r="D11258" s="326"/>
      <c r="E11258" s="326"/>
      <c r="F11258" s="326"/>
      <c r="G11258" s="326"/>
      <c r="H11258" s="326"/>
      <c r="P11258" s="318"/>
      <c r="Q11258" s="318"/>
      <c r="R11258" s="318"/>
      <c r="S11258" s="318"/>
      <c r="T11258" s="318"/>
      <c r="U11258" s="318"/>
      <c r="V11258" s="318"/>
      <c r="W11258" s="318"/>
      <c r="X11258" s="318"/>
      <c r="Y11258" s="318"/>
      <c r="Z11258" s="318"/>
      <c r="AA11258" s="318"/>
      <c r="AB11258" s="318"/>
      <c r="AC11258" s="318"/>
      <c r="AD11258" s="318"/>
    </row>
    <row r="11259" spans="2:30" s="323" customFormat="1" ht="12" customHeight="1">
      <c r="B11259" s="324"/>
      <c r="C11259" s="325"/>
      <c r="D11259" s="326"/>
      <c r="E11259" s="326"/>
      <c r="F11259" s="326"/>
      <c r="G11259" s="326"/>
      <c r="H11259" s="326"/>
      <c r="P11259" s="318"/>
      <c r="Q11259" s="318"/>
      <c r="R11259" s="318"/>
      <c r="S11259" s="318"/>
      <c r="T11259" s="318"/>
      <c r="U11259" s="318"/>
      <c r="V11259" s="318"/>
      <c r="W11259" s="318"/>
      <c r="X11259" s="318"/>
      <c r="Y11259" s="318"/>
      <c r="Z11259" s="318"/>
      <c r="AA11259" s="318"/>
      <c r="AB11259" s="318"/>
      <c r="AC11259" s="318"/>
      <c r="AD11259" s="318"/>
    </row>
    <row r="11260" spans="2:30" s="323" customFormat="1" ht="12" customHeight="1">
      <c r="B11260" s="324"/>
      <c r="C11260" s="325"/>
      <c r="D11260" s="326"/>
      <c r="E11260" s="326"/>
      <c r="F11260" s="326"/>
      <c r="G11260" s="326"/>
      <c r="H11260" s="326"/>
      <c r="P11260" s="318"/>
      <c r="Q11260" s="318"/>
      <c r="R11260" s="318"/>
      <c r="S11260" s="318"/>
      <c r="T11260" s="318"/>
      <c r="U11260" s="318"/>
      <c r="V11260" s="318"/>
      <c r="W11260" s="318"/>
      <c r="X11260" s="318"/>
      <c r="Y11260" s="318"/>
      <c r="Z11260" s="318"/>
      <c r="AA11260" s="318"/>
      <c r="AB11260" s="318"/>
      <c r="AC11260" s="318"/>
      <c r="AD11260" s="318"/>
    </row>
    <row r="11261" spans="2:30" s="323" customFormat="1" ht="12" customHeight="1">
      <c r="B11261" s="324"/>
      <c r="C11261" s="325"/>
      <c r="D11261" s="326"/>
      <c r="E11261" s="326"/>
      <c r="F11261" s="326"/>
      <c r="G11261" s="326"/>
      <c r="H11261" s="326"/>
      <c r="P11261" s="318"/>
      <c r="Q11261" s="318"/>
      <c r="R11261" s="318"/>
      <c r="S11261" s="318"/>
      <c r="T11261" s="318"/>
      <c r="U11261" s="318"/>
      <c r="V11261" s="318"/>
      <c r="W11261" s="318"/>
      <c r="X11261" s="318"/>
      <c r="Y11261" s="318"/>
      <c r="Z11261" s="318"/>
      <c r="AA11261" s="318"/>
      <c r="AB11261" s="318"/>
      <c r="AC11261" s="318"/>
      <c r="AD11261" s="318"/>
    </row>
    <row r="11262" spans="2:30" s="323" customFormat="1" ht="12" customHeight="1">
      <c r="B11262" s="324"/>
      <c r="C11262" s="325"/>
      <c r="D11262" s="326"/>
      <c r="E11262" s="326"/>
      <c r="F11262" s="326"/>
      <c r="G11262" s="326"/>
      <c r="H11262" s="326"/>
      <c r="P11262" s="318"/>
      <c r="Q11262" s="318"/>
      <c r="R11262" s="318"/>
      <c r="S11262" s="318"/>
      <c r="T11262" s="318"/>
      <c r="U11262" s="318"/>
      <c r="V11262" s="318"/>
      <c r="W11262" s="318"/>
      <c r="X11262" s="318"/>
      <c r="Y11262" s="318"/>
      <c r="Z11262" s="318"/>
      <c r="AA11262" s="318"/>
      <c r="AB11262" s="318"/>
      <c r="AC11262" s="318"/>
      <c r="AD11262" s="318"/>
    </row>
    <row r="11263" spans="2:30" s="323" customFormat="1" ht="12" customHeight="1">
      <c r="B11263" s="324"/>
      <c r="C11263" s="325"/>
      <c r="D11263" s="326"/>
      <c r="E11263" s="326"/>
      <c r="F11263" s="326"/>
      <c r="G11263" s="326"/>
      <c r="H11263" s="326"/>
      <c r="P11263" s="318"/>
      <c r="Q11263" s="318"/>
      <c r="R11263" s="318"/>
      <c r="S11263" s="318"/>
      <c r="T11263" s="318"/>
      <c r="U11263" s="318"/>
      <c r="V11263" s="318"/>
      <c r="W11263" s="318"/>
      <c r="X11263" s="318"/>
      <c r="Y11263" s="318"/>
      <c r="Z11263" s="318"/>
      <c r="AA11263" s="318"/>
      <c r="AB11263" s="318"/>
      <c r="AC11263" s="318"/>
      <c r="AD11263" s="318"/>
    </row>
    <row r="11264" spans="2:30" s="323" customFormat="1" ht="12" customHeight="1">
      <c r="B11264" s="324"/>
      <c r="C11264" s="325"/>
      <c r="D11264" s="326"/>
      <c r="E11264" s="326"/>
      <c r="F11264" s="326"/>
      <c r="G11264" s="326"/>
      <c r="H11264" s="326"/>
      <c r="P11264" s="318"/>
      <c r="Q11264" s="318"/>
      <c r="R11264" s="318"/>
      <c r="S11264" s="318"/>
      <c r="T11264" s="318"/>
      <c r="U11264" s="318"/>
      <c r="V11264" s="318"/>
      <c r="W11264" s="318"/>
      <c r="X11264" s="318"/>
      <c r="Y11264" s="318"/>
      <c r="Z11264" s="318"/>
      <c r="AA11264" s="318"/>
      <c r="AB11264" s="318"/>
      <c r="AC11264" s="318"/>
      <c r="AD11264" s="318"/>
    </row>
    <row r="11265" spans="2:30" s="323" customFormat="1" ht="12" customHeight="1">
      <c r="B11265" s="324"/>
      <c r="C11265" s="325"/>
      <c r="D11265" s="326"/>
      <c r="E11265" s="326"/>
      <c r="F11265" s="326"/>
      <c r="G11265" s="326"/>
      <c r="H11265" s="326"/>
      <c r="P11265" s="318"/>
      <c r="Q11265" s="318"/>
      <c r="R11265" s="318"/>
      <c r="S11265" s="318"/>
      <c r="T11265" s="318"/>
      <c r="U11265" s="318"/>
      <c r="V11265" s="318"/>
      <c r="W11265" s="318"/>
      <c r="X11265" s="318"/>
      <c r="Y11265" s="318"/>
      <c r="Z11265" s="318"/>
      <c r="AA11265" s="318"/>
      <c r="AB11265" s="318"/>
      <c r="AC11265" s="318"/>
      <c r="AD11265" s="318"/>
    </row>
    <row r="11266" spans="2:30" s="323" customFormat="1" ht="12" customHeight="1">
      <c r="B11266" s="324"/>
      <c r="C11266" s="325"/>
      <c r="D11266" s="326"/>
      <c r="E11266" s="326"/>
      <c r="F11266" s="326"/>
      <c r="G11266" s="326"/>
      <c r="H11266" s="326"/>
      <c r="P11266" s="318"/>
      <c r="Q11266" s="318"/>
      <c r="R11266" s="318"/>
      <c r="S11266" s="318"/>
      <c r="T11266" s="318"/>
      <c r="U11266" s="318"/>
      <c r="V11266" s="318"/>
      <c r="W11266" s="318"/>
      <c r="X11266" s="318"/>
      <c r="Y11266" s="318"/>
      <c r="Z11266" s="318"/>
      <c r="AA11266" s="318"/>
      <c r="AB11266" s="318"/>
      <c r="AC11266" s="318"/>
      <c r="AD11266" s="318"/>
    </row>
    <row r="11267" spans="2:30" s="323" customFormat="1" ht="12" customHeight="1">
      <c r="B11267" s="324"/>
      <c r="C11267" s="325"/>
      <c r="D11267" s="326"/>
      <c r="E11267" s="326"/>
      <c r="F11267" s="326"/>
      <c r="G11267" s="326"/>
      <c r="H11267" s="326"/>
      <c r="P11267" s="318"/>
      <c r="Q11267" s="318"/>
      <c r="R11267" s="318"/>
      <c r="S11267" s="318"/>
      <c r="T11267" s="318"/>
      <c r="U11267" s="318"/>
      <c r="V11267" s="318"/>
      <c r="W11267" s="318"/>
      <c r="X11267" s="318"/>
      <c r="Y11267" s="318"/>
      <c r="Z11267" s="318"/>
      <c r="AA11267" s="318"/>
      <c r="AB11267" s="318"/>
      <c r="AC11267" s="318"/>
      <c r="AD11267" s="318"/>
    </row>
    <row r="11268" spans="2:30" s="323" customFormat="1" ht="12" customHeight="1">
      <c r="B11268" s="324"/>
      <c r="C11268" s="325"/>
      <c r="D11268" s="326"/>
      <c r="E11268" s="326"/>
      <c r="F11268" s="326"/>
      <c r="G11268" s="326"/>
      <c r="H11268" s="326"/>
      <c r="P11268" s="318"/>
      <c r="Q11268" s="318"/>
      <c r="R11268" s="318"/>
      <c r="S11268" s="318"/>
      <c r="T11268" s="318"/>
      <c r="U11268" s="318"/>
      <c r="V11268" s="318"/>
      <c r="W11268" s="318"/>
      <c r="X11268" s="318"/>
      <c r="Y11268" s="318"/>
      <c r="Z11268" s="318"/>
      <c r="AA11268" s="318"/>
      <c r="AB11268" s="318"/>
      <c r="AC11268" s="318"/>
      <c r="AD11268" s="318"/>
    </row>
    <row r="11269" spans="2:30" s="323" customFormat="1" ht="12" customHeight="1">
      <c r="B11269" s="324"/>
      <c r="C11269" s="325"/>
      <c r="D11269" s="326"/>
      <c r="E11269" s="326"/>
      <c r="F11269" s="326"/>
      <c r="G11269" s="326"/>
      <c r="H11269" s="326"/>
      <c r="P11269" s="318"/>
      <c r="Q11269" s="318"/>
      <c r="R11269" s="318"/>
      <c r="S11269" s="318"/>
      <c r="T11269" s="318"/>
      <c r="U11269" s="318"/>
      <c r="V11269" s="318"/>
      <c r="W11269" s="318"/>
      <c r="X11269" s="318"/>
      <c r="Y11269" s="318"/>
      <c r="Z11269" s="318"/>
      <c r="AA11269" s="318"/>
      <c r="AB11269" s="318"/>
      <c r="AC11269" s="318"/>
      <c r="AD11269" s="318"/>
    </row>
    <row r="11270" spans="2:30" s="323" customFormat="1" ht="12" customHeight="1">
      <c r="B11270" s="324"/>
      <c r="C11270" s="325"/>
      <c r="D11270" s="326"/>
      <c r="E11270" s="326"/>
      <c r="F11270" s="326"/>
      <c r="G11270" s="326"/>
      <c r="H11270" s="326"/>
      <c r="P11270" s="318"/>
      <c r="Q11270" s="318"/>
      <c r="R11270" s="318"/>
      <c r="S11270" s="318"/>
      <c r="T11270" s="318"/>
      <c r="U11270" s="318"/>
      <c r="V11270" s="318"/>
      <c r="W11270" s="318"/>
      <c r="X11270" s="318"/>
      <c r="Y11270" s="318"/>
      <c r="Z11270" s="318"/>
      <c r="AA11270" s="318"/>
      <c r="AB11270" s="318"/>
      <c r="AC11270" s="318"/>
      <c r="AD11270" s="318"/>
    </row>
    <row r="11271" spans="2:30" s="323" customFormat="1" ht="12" customHeight="1">
      <c r="B11271" s="324"/>
      <c r="C11271" s="325"/>
      <c r="D11271" s="326"/>
      <c r="E11271" s="326"/>
      <c r="F11271" s="326"/>
      <c r="G11271" s="326"/>
      <c r="H11271" s="326"/>
      <c r="P11271" s="318"/>
      <c r="Q11271" s="318"/>
      <c r="R11271" s="318"/>
      <c r="S11271" s="318"/>
      <c r="T11271" s="318"/>
      <c r="U11271" s="318"/>
      <c r="V11271" s="318"/>
      <c r="W11271" s="318"/>
      <c r="X11271" s="318"/>
      <c r="Y11271" s="318"/>
      <c r="Z11271" s="318"/>
      <c r="AA11271" s="318"/>
      <c r="AB11271" s="318"/>
      <c r="AC11271" s="318"/>
      <c r="AD11271" s="318"/>
    </row>
    <row r="11272" spans="2:30" s="323" customFormat="1" ht="12" customHeight="1">
      <c r="B11272" s="324"/>
      <c r="C11272" s="325"/>
      <c r="D11272" s="326"/>
      <c r="E11272" s="326"/>
      <c r="F11272" s="326"/>
      <c r="G11272" s="326"/>
      <c r="H11272" s="326"/>
      <c r="P11272" s="318"/>
      <c r="Q11272" s="318"/>
      <c r="R11272" s="318"/>
      <c r="S11272" s="318"/>
      <c r="T11272" s="318"/>
      <c r="U11272" s="318"/>
      <c r="V11272" s="318"/>
      <c r="W11272" s="318"/>
      <c r="X11272" s="318"/>
      <c r="Y11272" s="318"/>
      <c r="Z11272" s="318"/>
      <c r="AA11272" s="318"/>
      <c r="AB11272" s="318"/>
      <c r="AC11272" s="318"/>
      <c r="AD11272" s="318"/>
    </row>
    <row r="11273" spans="2:30" s="323" customFormat="1" ht="12" customHeight="1">
      <c r="B11273" s="324"/>
      <c r="C11273" s="325"/>
      <c r="D11273" s="326"/>
      <c r="E11273" s="326"/>
      <c r="F11273" s="326"/>
      <c r="G11273" s="326"/>
      <c r="H11273" s="326"/>
      <c r="P11273" s="318"/>
      <c r="Q11273" s="318"/>
      <c r="R11273" s="318"/>
      <c r="S11273" s="318"/>
      <c r="T11273" s="318"/>
      <c r="U11273" s="318"/>
      <c r="V11273" s="318"/>
      <c r="W11273" s="318"/>
      <c r="X11273" s="318"/>
      <c r="Y11273" s="318"/>
      <c r="Z11273" s="318"/>
      <c r="AA11273" s="318"/>
      <c r="AB11273" s="318"/>
      <c r="AC11273" s="318"/>
      <c r="AD11273" s="318"/>
    </row>
    <row r="11274" spans="2:30" s="323" customFormat="1" ht="12" customHeight="1">
      <c r="B11274" s="324"/>
      <c r="C11274" s="325"/>
      <c r="D11274" s="326"/>
      <c r="E11274" s="326"/>
      <c r="F11274" s="326"/>
      <c r="G11274" s="326"/>
      <c r="H11274" s="326"/>
      <c r="P11274" s="318"/>
      <c r="Q11274" s="318"/>
      <c r="R11274" s="318"/>
      <c r="S11274" s="318"/>
      <c r="T11274" s="318"/>
      <c r="U11274" s="318"/>
      <c r="V11274" s="318"/>
      <c r="W11274" s="318"/>
      <c r="X11274" s="318"/>
      <c r="Y11274" s="318"/>
      <c r="Z11274" s="318"/>
      <c r="AA11274" s="318"/>
      <c r="AB11274" s="318"/>
      <c r="AC11274" s="318"/>
      <c r="AD11274" s="318"/>
    </row>
    <row r="11275" spans="2:30" s="323" customFormat="1" ht="12" customHeight="1">
      <c r="B11275" s="324"/>
      <c r="C11275" s="325"/>
      <c r="D11275" s="326"/>
      <c r="E11275" s="326"/>
      <c r="F11275" s="326"/>
      <c r="G11275" s="326"/>
      <c r="H11275" s="326"/>
      <c r="P11275" s="318"/>
      <c r="Q11275" s="318"/>
      <c r="R11275" s="318"/>
      <c r="S11275" s="318"/>
      <c r="T11275" s="318"/>
      <c r="U11275" s="318"/>
      <c r="V11275" s="318"/>
      <c r="W11275" s="318"/>
      <c r="X11275" s="318"/>
      <c r="Y11275" s="318"/>
      <c r="Z11275" s="318"/>
      <c r="AA11275" s="318"/>
      <c r="AB11275" s="318"/>
      <c r="AC11275" s="318"/>
      <c r="AD11275" s="318"/>
    </row>
    <row r="11276" spans="2:30" s="323" customFormat="1" ht="12" customHeight="1">
      <c r="B11276" s="324"/>
      <c r="C11276" s="325"/>
      <c r="D11276" s="326"/>
      <c r="E11276" s="326"/>
      <c r="F11276" s="326"/>
      <c r="G11276" s="326"/>
      <c r="H11276" s="326"/>
      <c r="P11276" s="318"/>
      <c r="Q11276" s="318"/>
      <c r="R11276" s="318"/>
      <c r="S11276" s="318"/>
      <c r="T11276" s="318"/>
      <c r="U11276" s="318"/>
      <c r="V11276" s="318"/>
      <c r="W11276" s="318"/>
      <c r="X11276" s="318"/>
      <c r="Y11276" s="318"/>
      <c r="Z11276" s="318"/>
      <c r="AA11276" s="318"/>
      <c r="AB11276" s="318"/>
      <c r="AC11276" s="318"/>
      <c r="AD11276" s="318"/>
    </row>
    <row r="11277" spans="2:30" s="323" customFormat="1" ht="12" customHeight="1">
      <c r="B11277" s="324"/>
      <c r="C11277" s="325"/>
      <c r="D11277" s="326"/>
      <c r="E11277" s="326"/>
      <c r="F11277" s="326"/>
      <c r="G11277" s="326"/>
      <c r="H11277" s="326"/>
      <c r="P11277" s="318"/>
      <c r="Q11277" s="318"/>
      <c r="R11277" s="318"/>
      <c r="S11277" s="318"/>
      <c r="T11277" s="318"/>
      <c r="U11277" s="318"/>
      <c r="V11277" s="318"/>
      <c r="W11277" s="318"/>
      <c r="X11277" s="318"/>
      <c r="Y11277" s="318"/>
      <c r="Z11277" s="318"/>
      <c r="AA11277" s="318"/>
      <c r="AB11277" s="318"/>
      <c r="AC11277" s="318"/>
      <c r="AD11277" s="318"/>
    </row>
    <row r="11278" spans="2:30" s="323" customFormat="1" ht="12" customHeight="1">
      <c r="B11278" s="324"/>
      <c r="C11278" s="325"/>
      <c r="D11278" s="326"/>
      <c r="E11278" s="326"/>
      <c r="F11278" s="326"/>
      <c r="G11278" s="326"/>
      <c r="H11278" s="326"/>
      <c r="P11278" s="318"/>
      <c r="Q11278" s="318"/>
      <c r="R11278" s="318"/>
      <c r="S11278" s="318"/>
      <c r="T11278" s="318"/>
      <c r="U11278" s="318"/>
      <c r="V11278" s="318"/>
      <c r="W11278" s="318"/>
      <c r="X11278" s="318"/>
      <c r="Y11278" s="318"/>
      <c r="Z11278" s="318"/>
      <c r="AA11278" s="318"/>
      <c r="AB11278" s="318"/>
      <c r="AC11278" s="318"/>
      <c r="AD11278" s="318"/>
    </row>
    <row r="11279" spans="2:30" s="323" customFormat="1" ht="12" customHeight="1">
      <c r="B11279" s="324"/>
      <c r="C11279" s="325"/>
      <c r="D11279" s="326"/>
      <c r="E11279" s="326"/>
      <c r="F11279" s="326"/>
      <c r="G11279" s="326"/>
      <c r="H11279" s="326"/>
      <c r="P11279" s="318"/>
      <c r="Q11279" s="318"/>
      <c r="R11279" s="318"/>
      <c r="S11279" s="318"/>
      <c r="T11279" s="318"/>
      <c r="U11279" s="318"/>
      <c r="V11279" s="318"/>
      <c r="W11279" s="318"/>
      <c r="X11279" s="318"/>
      <c r="Y11279" s="318"/>
      <c r="Z11279" s="318"/>
      <c r="AA11279" s="318"/>
      <c r="AB11279" s="318"/>
      <c r="AC11279" s="318"/>
      <c r="AD11279" s="318"/>
    </row>
    <row r="11280" spans="2:30" s="323" customFormat="1" ht="12" customHeight="1">
      <c r="B11280" s="324"/>
      <c r="C11280" s="325"/>
      <c r="D11280" s="326"/>
      <c r="E11280" s="326"/>
      <c r="F11280" s="326"/>
      <c r="G11280" s="326"/>
      <c r="H11280" s="326"/>
      <c r="P11280" s="318"/>
      <c r="Q11280" s="318"/>
      <c r="R11280" s="318"/>
      <c r="S11280" s="318"/>
      <c r="T11280" s="318"/>
      <c r="U11280" s="318"/>
      <c r="V11280" s="318"/>
      <c r="W11280" s="318"/>
      <c r="X11280" s="318"/>
      <c r="Y11280" s="318"/>
      <c r="Z11280" s="318"/>
      <c r="AA11280" s="318"/>
      <c r="AB11280" s="318"/>
      <c r="AC11280" s="318"/>
      <c r="AD11280" s="318"/>
    </row>
    <row r="11281" spans="2:30" s="323" customFormat="1" ht="12" customHeight="1">
      <c r="B11281" s="324"/>
      <c r="C11281" s="325"/>
      <c r="D11281" s="326"/>
      <c r="E11281" s="326"/>
      <c r="F11281" s="326"/>
      <c r="G11281" s="326"/>
      <c r="H11281" s="326"/>
      <c r="P11281" s="318"/>
      <c r="Q11281" s="318"/>
      <c r="R11281" s="318"/>
      <c r="S11281" s="318"/>
      <c r="T11281" s="318"/>
      <c r="U11281" s="318"/>
      <c r="V11281" s="318"/>
      <c r="W11281" s="318"/>
      <c r="X11281" s="318"/>
      <c r="Y11281" s="318"/>
      <c r="Z11281" s="318"/>
      <c r="AA11281" s="318"/>
      <c r="AB11281" s="318"/>
      <c r="AC11281" s="318"/>
      <c r="AD11281" s="318"/>
    </row>
    <row r="11282" spans="2:30" s="323" customFormat="1" ht="12" customHeight="1">
      <c r="B11282" s="324"/>
      <c r="C11282" s="325"/>
      <c r="D11282" s="326"/>
      <c r="E11282" s="326"/>
      <c r="F11282" s="326"/>
      <c r="G11282" s="326"/>
      <c r="H11282" s="326"/>
      <c r="P11282" s="318"/>
      <c r="Q11282" s="318"/>
      <c r="R11282" s="318"/>
      <c r="S11282" s="318"/>
      <c r="T11282" s="318"/>
      <c r="U11282" s="318"/>
      <c r="V11282" s="318"/>
      <c r="W11282" s="318"/>
      <c r="X11282" s="318"/>
      <c r="Y11282" s="318"/>
      <c r="Z11282" s="318"/>
      <c r="AA11282" s="318"/>
      <c r="AB11282" s="318"/>
      <c r="AC11282" s="318"/>
      <c r="AD11282" s="318"/>
    </row>
    <row r="11283" spans="2:30" s="323" customFormat="1" ht="12" customHeight="1">
      <c r="B11283" s="324"/>
      <c r="C11283" s="325"/>
      <c r="D11283" s="326"/>
      <c r="E11283" s="326"/>
      <c r="F11283" s="326"/>
      <c r="G11283" s="326"/>
      <c r="H11283" s="326"/>
      <c r="P11283" s="318"/>
      <c r="Q11283" s="318"/>
      <c r="R11283" s="318"/>
      <c r="S11283" s="318"/>
      <c r="T11283" s="318"/>
      <c r="U11283" s="318"/>
      <c r="V11283" s="318"/>
      <c r="W11283" s="318"/>
      <c r="X11283" s="318"/>
      <c r="Y11283" s="318"/>
      <c r="Z11283" s="318"/>
      <c r="AA11283" s="318"/>
      <c r="AB11283" s="318"/>
      <c r="AC11283" s="318"/>
      <c r="AD11283" s="318"/>
    </row>
    <row r="11284" spans="2:30" s="323" customFormat="1" ht="12" customHeight="1">
      <c r="B11284" s="324"/>
      <c r="C11284" s="325"/>
      <c r="D11284" s="326"/>
      <c r="E11284" s="326"/>
      <c r="F11284" s="326"/>
      <c r="G11284" s="326"/>
      <c r="H11284" s="326"/>
      <c r="P11284" s="318"/>
      <c r="Q11284" s="318"/>
      <c r="R11284" s="318"/>
      <c r="S11284" s="318"/>
      <c r="T11284" s="318"/>
      <c r="U11284" s="318"/>
      <c r="V11284" s="318"/>
      <c r="W11284" s="318"/>
      <c r="X11284" s="318"/>
      <c r="Y11284" s="318"/>
      <c r="Z11284" s="318"/>
      <c r="AA11284" s="318"/>
      <c r="AB11284" s="318"/>
      <c r="AC11284" s="318"/>
      <c r="AD11284" s="318"/>
    </row>
    <row r="11285" spans="2:30" s="323" customFormat="1" ht="12" customHeight="1">
      <c r="B11285" s="324"/>
      <c r="C11285" s="325"/>
      <c r="D11285" s="326"/>
      <c r="E11285" s="326"/>
      <c r="F11285" s="326"/>
      <c r="G11285" s="326"/>
      <c r="H11285" s="326"/>
      <c r="P11285" s="318"/>
      <c r="Q11285" s="318"/>
      <c r="R11285" s="318"/>
      <c r="S11285" s="318"/>
      <c r="T11285" s="318"/>
      <c r="U11285" s="318"/>
      <c r="V11285" s="318"/>
      <c r="W11285" s="318"/>
      <c r="X11285" s="318"/>
      <c r="Y11285" s="318"/>
      <c r="Z11285" s="318"/>
      <c r="AA11285" s="318"/>
      <c r="AB11285" s="318"/>
      <c r="AC11285" s="318"/>
      <c r="AD11285" s="318"/>
    </row>
    <row r="11286" spans="2:30" s="323" customFormat="1" ht="12" customHeight="1">
      <c r="B11286" s="324"/>
      <c r="C11286" s="325"/>
      <c r="D11286" s="326"/>
      <c r="E11286" s="326"/>
      <c r="F11286" s="326"/>
      <c r="G11286" s="326"/>
      <c r="H11286" s="326"/>
      <c r="P11286" s="318"/>
      <c r="Q11286" s="318"/>
      <c r="R11286" s="318"/>
      <c r="S11286" s="318"/>
      <c r="T11286" s="318"/>
      <c r="U11286" s="318"/>
      <c r="V11286" s="318"/>
      <c r="W11286" s="318"/>
      <c r="X11286" s="318"/>
      <c r="Y11286" s="318"/>
      <c r="Z11286" s="318"/>
      <c r="AA11286" s="318"/>
      <c r="AB11286" s="318"/>
      <c r="AC11286" s="318"/>
      <c r="AD11286" s="318"/>
    </row>
    <row r="11287" spans="2:30" s="323" customFormat="1" ht="12" customHeight="1">
      <c r="B11287" s="324"/>
      <c r="C11287" s="325"/>
      <c r="D11287" s="326"/>
      <c r="E11287" s="326"/>
      <c r="F11287" s="326"/>
      <c r="G11287" s="326"/>
      <c r="H11287" s="326"/>
      <c r="P11287" s="318"/>
      <c r="Q11287" s="318"/>
      <c r="R11287" s="318"/>
      <c r="S11287" s="318"/>
      <c r="T11287" s="318"/>
      <c r="U11287" s="318"/>
      <c r="V11287" s="318"/>
      <c r="W11287" s="318"/>
      <c r="X11287" s="318"/>
      <c r="Y11287" s="318"/>
      <c r="Z11287" s="318"/>
      <c r="AA11287" s="318"/>
      <c r="AB11287" s="318"/>
      <c r="AC11287" s="318"/>
      <c r="AD11287" s="318"/>
    </row>
    <row r="11288" spans="2:30" s="323" customFormat="1" ht="12" customHeight="1">
      <c r="B11288" s="324"/>
      <c r="C11288" s="325"/>
      <c r="D11288" s="326"/>
      <c r="E11288" s="326"/>
      <c r="F11288" s="326"/>
      <c r="G11288" s="326"/>
      <c r="H11288" s="326"/>
      <c r="P11288" s="318"/>
      <c r="Q11288" s="318"/>
      <c r="R11288" s="318"/>
      <c r="S11288" s="318"/>
      <c r="T11288" s="318"/>
      <c r="U11288" s="318"/>
      <c r="V11288" s="318"/>
      <c r="W11288" s="318"/>
      <c r="X11288" s="318"/>
      <c r="Y11288" s="318"/>
      <c r="Z11288" s="318"/>
      <c r="AA11288" s="318"/>
      <c r="AB11288" s="318"/>
      <c r="AC11288" s="318"/>
      <c r="AD11288" s="318"/>
    </row>
    <row r="11289" spans="2:30" s="323" customFormat="1" ht="12" customHeight="1">
      <c r="B11289" s="324"/>
      <c r="C11289" s="325"/>
      <c r="D11289" s="326"/>
      <c r="E11289" s="326"/>
      <c r="F11289" s="326"/>
      <c r="G11289" s="326"/>
      <c r="H11289" s="326"/>
      <c r="P11289" s="318"/>
      <c r="Q11289" s="318"/>
      <c r="R11289" s="318"/>
      <c r="S11289" s="318"/>
      <c r="T11289" s="318"/>
      <c r="U11289" s="318"/>
      <c r="V11289" s="318"/>
      <c r="W11289" s="318"/>
      <c r="X11289" s="318"/>
      <c r="Y11289" s="318"/>
      <c r="Z11289" s="318"/>
      <c r="AA11289" s="318"/>
      <c r="AB11289" s="318"/>
      <c r="AC11289" s="318"/>
      <c r="AD11289" s="318"/>
    </row>
    <row r="11290" spans="2:30" s="323" customFormat="1" ht="12" customHeight="1">
      <c r="B11290" s="324"/>
      <c r="C11290" s="325"/>
      <c r="D11290" s="326"/>
      <c r="E11290" s="326"/>
      <c r="F11290" s="326"/>
      <c r="G11290" s="326"/>
      <c r="H11290" s="326"/>
      <c r="P11290" s="318"/>
      <c r="Q11290" s="318"/>
      <c r="R11290" s="318"/>
      <c r="S11290" s="318"/>
      <c r="T11290" s="318"/>
      <c r="U11290" s="318"/>
      <c r="V11290" s="318"/>
      <c r="W11290" s="318"/>
      <c r="X11290" s="318"/>
      <c r="Y11290" s="318"/>
      <c r="Z11290" s="318"/>
      <c r="AA11290" s="318"/>
      <c r="AB11290" s="318"/>
      <c r="AC11290" s="318"/>
      <c r="AD11290" s="318"/>
    </row>
    <row r="11291" spans="2:30" s="323" customFormat="1" ht="12" customHeight="1">
      <c r="B11291" s="324"/>
      <c r="C11291" s="325"/>
      <c r="D11291" s="326"/>
      <c r="E11291" s="326"/>
      <c r="F11291" s="326"/>
      <c r="G11291" s="326"/>
      <c r="H11291" s="326"/>
      <c r="P11291" s="318"/>
      <c r="Q11291" s="318"/>
      <c r="R11291" s="318"/>
      <c r="S11291" s="318"/>
      <c r="T11291" s="318"/>
      <c r="U11291" s="318"/>
      <c r="V11291" s="318"/>
      <c r="W11291" s="318"/>
      <c r="X11291" s="318"/>
      <c r="Y11291" s="318"/>
      <c r="Z11291" s="318"/>
      <c r="AA11291" s="318"/>
      <c r="AB11291" s="318"/>
      <c r="AC11291" s="318"/>
      <c r="AD11291" s="318"/>
    </row>
    <row r="11292" spans="2:30" s="323" customFormat="1" ht="12" customHeight="1">
      <c r="B11292" s="324"/>
      <c r="C11292" s="325"/>
      <c r="D11292" s="326"/>
      <c r="E11292" s="326"/>
      <c r="F11292" s="326"/>
      <c r="G11292" s="326"/>
      <c r="H11292" s="326"/>
      <c r="P11292" s="318"/>
      <c r="Q11292" s="318"/>
      <c r="R11292" s="318"/>
      <c r="S11292" s="318"/>
      <c r="T11292" s="318"/>
      <c r="U11292" s="318"/>
      <c r="V11292" s="318"/>
      <c r="W11292" s="318"/>
      <c r="X11292" s="318"/>
      <c r="Y11292" s="318"/>
      <c r="Z11292" s="318"/>
      <c r="AA11292" s="318"/>
      <c r="AB11292" s="318"/>
      <c r="AC11292" s="318"/>
      <c r="AD11292" s="318"/>
    </row>
    <row r="11293" spans="2:30" s="323" customFormat="1" ht="12" customHeight="1">
      <c r="B11293" s="324"/>
      <c r="C11293" s="325"/>
      <c r="D11293" s="326"/>
      <c r="E11293" s="326"/>
      <c r="F11293" s="326"/>
      <c r="G11293" s="326"/>
      <c r="H11293" s="326"/>
      <c r="P11293" s="318"/>
      <c r="Q11293" s="318"/>
      <c r="R11293" s="318"/>
      <c r="S11293" s="318"/>
      <c r="T11293" s="318"/>
      <c r="U11293" s="318"/>
      <c r="V11293" s="318"/>
      <c r="W11293" s="318"/>
      <c r="X11293" s="318"/>
      <c r="Y11293" s="318"/>
      <c r="Z11293" s="318"/>
      <c r="AA11293" s="318"/>
      <c r="AB11293" s="318"/>
      <c r="AC11293" s="318"/>
      <c r="AD11293" s="318"/>
    </row>
    <row r="11294" spans="2:30" s="323" customFormat="1" ht="12" customHeight="1">
      <c r="B11294" s="324"/>
      <c r="C11294" s="325"/>
      <c r="D11294" s="326"/>
      <c r="E11294" s="326"/>
      <c r="F11294" s="326"/>
      <c r="G11294" s="326"/>
      <c r="H11294" s="326"/>
      <c r="P11294" s="318"/>
      <c r="Q11294" s="318"/>
      <c r="R11294" s="318"/>
      <c r="S11294" s="318"/>
      <c r="T11294" s="318"/>
      <c r="U11294" s="318"/>
      <c r="V11294" s="318"/>
      <c r="W11294" s="318"/>
      <c r="X11294" s="318"/>
      <c r="Y11294" s="318"/>
      <c r="Z11294" s="318"/>
      <c r="AA11294" s="318"/>
      <c r="AB11294" s="318"/>
      <c r="AC11294" s="318"/>
      <c r="AD11294" s="318"/>
    </row>
    <row r="11295" spans="2:30" s="323" customFormat="1" ht="12" customHeight="1">
      <c r="B11295" s="324"/>
      <c r="C11295" s="325"/>
      <c r="D11295" s="326"/>
      <c r="E11295" s="326"/>
      <c r="F11295" s="326"/>
      <c r="G11295" s="326"/>
      <c r="H11295" s="326"/>
      <c r="P11295" s="318"/>
      <c r="Q11295" s="318"/>
      <c r="R11295" s="318"/>
      <c r="S11295" s="318"/>
      <c r="T11295" s="318"/>
      <c r="U11295" s="318"/>
      <c r="V11295" s="318"/>
      <c r="W11295" s="318"/>
      <c r="X11295" s="318"/>
      <c r="Y11295" s="318"/>
      <c r="Z11295" s="318"/>
      <c r="AA11295" s="318"/>
      <c r="AB11295" s="318"/>
      <c r="AC11295" s="318"/>
      <c r="AD11295" s="318"/>
    </row>
    <row r="11296" spans="2:30" s="323" customFormat="1" ht="12" customHeight="1">
      <c r="B11296" s="324"/>
      <c r="C11296" s="325"/>
      <c r="D11296" s="326"/>
      <c r="E11296" s="326"/>
      <c r="F11296" s="326"/>
      <c r="G11296" s="326"/>
      <c r="H11296" s="326"/>
      <c r="P11296" s="318"/>
      <c r="Q11296" s="318"/>
      <c r="R11296" s="318"/>
      <c r="S11296" s="318"/>
      <c r="T11296" s="318"/>
      <c r="U11296" s="318"/>
      <c r="V11296" s="318"/>
      <c r="W11296" s="318"/>
      <c r="X11296" s="318"/>
      <c r="Y11296" s="318"/>
      <c r="Z11296" s="318"/>
      <c r="AA11296" s="318"/>
      <c r="AB11296" s="318"/>
      <c r="AC11296" s="318"/>
      <c r="AD11296" s="318"/>
    </row>
    <row r="11297" spans="2:30" s="323" customFormat="1" ht="12" customHeight="1">
      <c r="B11297" s="324"/>
      <c r="C11297" s="325"/>
      <c r="D11297" s="326"/>
      <c r="E11297" s="326"/>
      <c r="F11297" s="326"/>
      <c r="G11297" s="326"/>
      <c r="H11297" s="326"/>
      <c r="P11297" s="318"/>
      <c r="Q11297" s="318"/>
      <c r="R11297" s="318"/>
      <c r="S11297" s="318"/>
      <c r="T11297" s="318"/>
      <c r="U11297" s="318"/>
      <c r="V11297" s="318"/>
      <c r="W11297" s="318"/>
      <c r="X11297" s="318"/>
      <c r="Y11297" s="318"/>
      <c r="Z11297" s="318"/>
      <c r="AA11297" s="318"/>
      <c r="AB11297" s="318"/>
      <c r="AC11297" s="318"/>
      <c r="AD11297" s="318"/>
    </row>
    <row r="11298" spans="2:30" s="323" customFormat="1" ht="12" customHeight="1">
      <c r="B11298" s="324"/>
      <c r="C11298" s="325"/>
      <c r="D11298" s="326"/>
      <c r="E11298" s="326"/>
      <c r="F11298" s="326"/>
      <c r="G11298" s="326"/>
      <c r="H11298" s="326"/>
      <c r="P11298" s="318"/>
      <c r="Q11298" s="318"/>
      <c r="R11298" s="318"/>
      <c r="S11298" s="318"/>
      <c r="T11298" s="318"/>
      <c r="U11298" s="318"/>
      <c r="V11298" s="318"/>
      <c r="W11298" s="318"/>
      <c r="X11298" s="318"/>
      <c r="Y11298" s="318"/>
      <c r="Z11298" s="318"/>
      <c r="AA11298" s="318"/>
      <c r="AB11298" s="318"/>
      <c r="AC11298" s="318"/>
      <c r="AD11298" s="318"/>
    </row>
    <row r="11299" spans="2:30" s="323" customFormat="1" ht="12" customHeight="1">
      <c r="B11299" s="324"/>
      <c r="C11299" s="325"/>
      <c r="D11299" s="326"/>
      <c r="E11299" s="326"/>
      <c r="F11299" s="326"/>
      <c r="G11299" s="326"/>
      <c r="H11299" s="326"/>
      <c r="P11299" s="318"/>
      <c r="Q11299" s="318"/>
      <c r="R11299" s="318"/>
      <c r="S11299" s="318"/>
      <c r="T11299" s="318"/>
      <c r="U11299" s="318"/>
      <c r="V11299" s="318"/>
      <c r="W11299" s="318"/>
      <c r="X11299" s="318"/>
      <c r="Y11299" s="318"/>
      <c r="Z11299" s="318"/>
      <c r="AA11299" s="318"/>
      <c r="AB11299" s="318"/>
      <c r="AC11299" s="318"/>
      <c r="AD11299" s="318"/>
    </row>
    <row r="11300" spans="2:30" s="323" customFormat="1" ht="12" customHeight="1">
      <c r="B11300" s="324"/>
      <c r="C11300" s="325"/>
      <c r="D11300" s="326"/>
      <c r="E11300" s="326"/>
      <c r="F11300" s="326"/>
      <c r="G11300" s="326"/>
      <c r="H11300" s="326"/>
      <c r="P11300" s="318"/>
      <c r="Q11300" s="318"/>
      <c r="R11300" s="318"/>
      <c r="S11300" s="318"/>
      <c r="T11300" s="318"/>
      <c r="U11300" s="318"/>
      <c r="V11300" s="318"/>
      <c r="W11300" s="318"/>
      <c r="X11300" s="318"/>
      <c r="Y11300" s="318"/>
      <c r="Z11300" s="318"/>
      <c r="AA11300" s="318"/>
      <c r="AB11300" s="318"/>
      <c r="AC11300" s="318"/>
      <c r="AD11300" s="318"/>
    </row>
    <row r="11301" spans="2:30" s="323" customFormat="1" ht="12" customHeight="1">
      <c r="B11301" s="324"/>
      <c r="C11301" s="325"/>
      <c r="D11301" s="326"/>
      <c r="E11301" s="326"/>
      <c r="F11301" s="326"/>
      <c r="G11301" s="326"/>
      <c r="H11301" s="326"/>
      <c r="P11301" s="318"/>
      <c r="Q11301" s="318"/>
      <c r="R11301" s="318"/>
      <c r="S11301" s="318"/>
      <c r="T11301" s="318"/>
      <c r="U11301" s="318"/>
      <c r="V11301" s="318"/>
      <c r="W11301" s="318"/>
      <c r="X11301" s="318"/>
      <c r="Y11301" s="318"/>
      <c r="Z11301" s="318"/>
      <c r="AA11301" s="318"/>
      <c r="AB11301" s="318"/>
      <c r="AC11301" s="318"/>
      <c r="AD11301" s="318"/>
    </row>
    <row r="11302" spans="2:30" s="323" customFormat="1" ht="12" customHeight="1">
      <c r="B11302" s="324"/>
      <c r="C11302" s="325"/>
      <c r="D11302" s="326"/>
      <c r="E11302" s="326"/>
      <c r="F11302" s="326"/>
      <c r="G11302" s="326"/>
      <c r="H11302" s="326"/>
      <c r="P11302" s="318"/>
      <c r="Q11302" s="318"/>
      <c r="R11302" s="318"/>
      <c r="S11302" s="318"/>
      <c r="T11302" s="318"/>
      <c r="U11302" s="318"/>
      <c r="V11302" s="318"/>
      <c r="W11302" s="318"/>
      <c r="X11302" s="318"/>
      <c r="Y11302" s="318"/>
      <c r="Z11302" s="318"/>
      <c r="AA11302" s="318"/>
      <c r="AB11302" s="318"/>
      <c r="AC11302" s="318"/>
      <c r="AD11302" s="318"/>
    </row>
    <row r="11303" spans="2:30" s="323" customFormat="1" ht="12" customHeight="1">
      <c r="B11303" s="324"/>
      <c r="C11303" s="325"/>
      <c r="D11303" s="326"/>
      <c r="E11303" s="326"/>
      <c r="F11303" s="326"/>
      <c r="G11303" s="326"/>
      <c r="H11303" s="326"/>
      <c r="P11303" s="318"/>
      <c r="Q11303" s="318"/>
      <c r="R11303" s="318"/>
      <c r="S11303" s="318"/>
      <c r="T11303" s="318"/>
      <c r="U11303" s="318"/>
      <c r="V11303" s="318"/>
      <c r="W11303" s="318"/>
      <c r="X11303" s="318"/>
      <c r="Y11303" s="318"/>
      <c r="Z11303" s="318"/>
      <c r="AA11303" s="318"/>
      <c r="AB11303" s="318"/>
      <c r="AC11303" s="318"/>
      <c r="AD11303" s="318"/>
    </row>
    <row r="11304" spans="2:30" s="323" customFormat="1" ht="12" customHeight="1">
      <c r="B11304" s="324"/>
      <c r="C11304" s="325"/>
      <c r="D11304" s="326"/>
      <c r="E11304" s="326"/>
      <c r="F11304" s="326"/>
      <c r="G11304" s="326"/>
      <c r="H11304" s="326"/>
      <c r="P11304" s="318"/>
      <c r="Q11304" s="318"/>
      <c r="R11304" s="318"/>
      <c r="S11304" s="318"/>
      <c r="T11304" s="318"/>
      <c r="U11304" s="318"/>
      <c r="V11304" s="318"/>
      <c r="W11304" s="318"/>
      <c r="X11304" s="318"/>
      <c r="Y11304" s="318"/>
      <c r="Z11304" s="318"/>
      <c r="AA11304" s="318"/>
      <c r="AB11304" s="318"/>
      <c r="AC11304" s="318"/>
      <c r="AD11304" s="318"/>
    </row>
    <row r="11305" spans="2:30" s="323" customFormat="1" ht="12" customHeight="1">
      <c r="B11305" s="324"/>
      <c r="C11305" s="325"/>
      <c r="D11305" s="326"/>
      <c r="E11305" s="326"/>
      <c r="F11305" s="326"/>
      <c r="G11305" s="326"/>
      <c r="H11305" s="326"/>
      <c r="P11305" s="318"/>
      <c r="Q11305" s="318"/>
      <c r="R11305" s="318"/>
      <c r="S11305" s="318"/>
      <c r="T11305" s="318"/>
      <c r="U11305" s="318"/>
      <c r="V11305" s="318"/>
      <c r="W11305" s="318"/>
      <c r="X11305" s="318"/>
      <c r="Y11305" s="318"/>
      <c r="Z11305" s="318"/>
      <c r="AA11305" s="318"/>
      <c r="AB11305" s="318"/>
      <c r="AC11305" s="318"/>
      <c r="AD11305" s="318"/>
    </row>
    <row r="11306" spans="2:30" s="323" customFormat="1" ht="12" customHeight="1">
      <c r="B11306" s="324"/>
      <c r="C11306" s="325"/>
      <c r="D11306" s="326"/>
      <c r="E11306" s="326"/>
      <c r="F11306" s="326"/>
      <c r="G11306" s="326"/>
      <c r="H11306" s="326"/>
      <c r="P11306" s="318"/>
      <c r="Q11306" s="318"/>
      <c r="R11306" s="318"/>
      <c r="S11306" s="318"/>
      <c r="T11306" s="318"/>
      <c r="U11306" s="318"/>
      <c r="V11306" s="318"/>
      <c r="W11306" s="318"/>
      <c r="X11306" s="318"/>
      <c r="Y11306" s="318"/>
      <c r="Z11306" s="318"/>
      <c r="AA11306" s="318"/>
      <c r="AB11306" s="318"/>
      <c r="AC11306" s="318"/>
      <c r="AD11306" s="318"/>
    </row>
    <row r="11307" spans="2:30" s="323" customFormat="1" ht="12" customHeight="1">
      <c r="B11307" s="324"/>
      <c r="C11307" s="325"/>
      <c r="D11307" s="326"/>
      <c r="E11307" s="326"/>
      <c r="F11307" s="326"/>
      <c r="G11307" s="326"/>
      <c r="H11307" s="326"/>
      <c r="P11307" s="318"/>
      <c r="Q11307" s="318"/>
      <c r="R11307" s="318"/>
      <c r="S11307" s="318"/>
      <c r="T11307" s="318"/>
      <c r="U11307" s="318"/>
      <c r="V11307" s="318"/>
      <c r="W11307" s="318"/>
      <c r="X11307" s="318"/>
      <c r="Y11307" s="318"/>
      <c r="Z11307" s="318"/>
      <c r="AA11307" s="318"/>
      <c r="AB11307" s="318"/>
      <c r="AC11307" s="318"/>
      <c r="AD11307" s="318"/>
    </row>
    <row r="11308" spans="2:30" s="323" customFormat="1" ht="12" customHeight="1">
      <c r="B11308" s="324"/>
      <c r="C11308" s="325"/>
      <c r="D11308" s="326"/>
      <c r="E11308" s="326"/>
      <c r="F11308" s="326"/>
      <c r="G11308" s="326"/>
      <c r="H11308" s="326"/>
      <c r="P11308" s="318"/>
      <c r="Q11308" s="318"/>
      <c r="R11308" s="318"/>
      <c r="S11308" s="318"/>
      <c r="T11308" s="318"/>
      <c r="U11308" s="318"/>
      <c r="V11308" s="318"/>
      <c r="W11308" s="318"/>
      <c r="X11308" s="318"/>
      <c r="Y11308" s="318"/>
      <c r="Z11308" s="318"/>
      <c r="AA11308" s="318"/>
      <c r="AB11308" s="318"/>
      <c r="AC11308" s="318"/>
      <c r="AD11308" s="318"/>
    </row>
    <row r="11309" spans="2:30" s="323" customFormat="1" ht="12" customHeight="1">
      <c r="B11309" s="324"/>
      <c r="C11309" s="325"/>
      <c r="D11309" s="326"/>
      <c r="E11309" s="326"/>
      <c r="F11309" s="326"/>
      <c r="G11309" s="326"/>
      <c r="H11309" s="326"/>
      <c r="P11309" s="318"/>
      <c r="Q11309" s="318"/>
      <c r="R11309" s="318"/>
      <c r="S11309" s="318"/>
      <c r="T11309" s="318"/>
      <c r="U11309" s="318"/>
      <c r="V11309" s="318"/>
      <c r="W11309" s="318"/>
      <c r="X11309" s="318"/>
      <c r="Y11309" s="318"/>
      <c r="Z11309" s="318"/>
      <c r="AA11309" s="318"/>
      <c r="AB11309" s="318"/>
      <c r="AC11309" s="318"/>
      <c r="AD11309" s="318"/>
    </row>
    <row r="11310" spans="2:30" s="323" customFormat="1" ht="12" customHeight="1">
      <c r="B11310" s="324"/>
      <c r="C11310" s="325"/>
      <c r="D11310" s="326"/>
      <c r="E11310" s="326"/>
      <c r="F11310" s="326"/>
      <c r="G11310" s="326"/>
      <c r="H11310" s="326"/>
      <c r="P11310" s="318"/>
      <c r="Q11310" s="318"/>
      <c r="R11310" s="318"/>
      <c r="S11310" s="318"/>
      <c r="T11310" s="318"/>
      <c r="U11310" s="318"/>
      <c r="V11310" s="318"/>
      <c r="W11310" s="318"/>
      <c r="X11310" s="318"/>
      <c r="Y11310" s="318"/>
      <c r="Z11310" s="318"/>
      <c r="AA11310" s="318"/>
      <c r="AB11310" s="318"/>
      <c r="AC11310" s="318"/>
      <c r="AD11310" s="318"/>
    </row>
    <row r="11311" spans="2:30" s="323" customFormat="1" ht="12" customHeight="1">
      <c r="B11311" s="324"/>
      <c r="C11311" s="325"/>
      <c r="D11311" s="326"/>
      <c r="E11311" s="326"/>
      <c r="F11311" s="326"/>
      <c r="G11311" s="326"/>
      <c r="H11311" s="326"/>
      <c r="P11311" s="318"/>
      <c r="Q11311" s="318"/>
      <c r="R11311" s="318"/>
      <c r="S11311" s="318"/>
      <c r="T11311" s="318"/>
      <c r="U11311" s="318"/>
      <c r="V11311" s="318"/>
      <c r="W11311" s="318"/>
      <c r="X11311" s="318"/>
      <c r="Y11311" s="318"/>
      <c r="Z11311" s="318"/>
      <c r="AA11311" s="318"/>
      <c r="AB11311" s="318"/>
      <c r="AC11311" s="318"/>
      <c r="AD11311" s="318"/>
    </row>
    <row r="11312" spans="2:30" s="323" customFormat="1" ht="12" customHeight="1">
      <c r="B11312" s="324"/>
      <c r="C11312" s="325"/>
      <c r="D11312" s="326"/>
      <c r="E11312" s="326"/>
      <c r="F11312" s="326"/>
      <c r="G11312" s="326"/>
      <c r="H11312" s="326"/>
      <c r="P11312" s="318"/>
      <c r="Q11312" s="318"/>
      <c r="R11312" s="318"/>
      <c r="S11312" s="318"/>
      <c r="T11312" s="318"/>
      <c r="U11312" s="318"/>
      <c r="V11312" s="318"/>
      <c r="W11312" s="318"/>
      <c r="X11312" s="318"/>
      <c r="Y11312" s="318"/>
      <c r="Z11312" s="318"/>
      <c r="AA11312" s="318"/>
      <c r="AB11312" s="318"/>
      <c r="AC11312" s="318"/>
      <c r="AD11312" s="318"/>
    </row>
    <row r="11313" spans="2:30" s="323" customFormat="1" ht="12" customHeight="1">
      <c r="B11313" s="324"/>
      <c r="C11313" s="325"/>
      <c r="D11313" s="326"/>
      <c r="E11313" s="326"/>
      <c r="F11313" s="326"/>
      <c r="G11313" s="326"/>
      <c r="H11313" s="326"/>
      <c r="P11313" s="318"/>
      <c r="Q11313" s="318"/>
      <c r="R11313" s="318"/>
      <c r="S11313" s="318"/>
      <c r="T11313" s="318"/>
      <c r="U11313" s="318"/>
      <c r="V11313" s="318"/>
      <c r="W11313" s="318"/>
      <c r="X11313" s="318"/>
      <c r="Y11313" s="318"/>
      <c r="Z11313" s="318"/>
      <c r="AA11313" s="318"/>
      <c r="AB11313" s="318"/>
      <c r="AC11313" s="318"/>
      <c r="AD11313" s="318"/>
    </row>
    <row r="11314" spans="2:30" s="323" customFormat="1" ht="12" customHeight="1">
      <c r="B11314" s="324"/>
      <c r="C11314" s="325"/>
      <c r="D11314" s="326"/>
      <c r="E11314" s="326"/>
      <c r="F11314" s="326"/>
      <c r="G11314" s="326"/>
      <c r="H11314" s="326"/>
      <c r="P11314" s="318"/>
      <c r="Q11314" s="318"/>
      <c r="R11314" s="318"/>
      <c r="S11314" s="318"/>
      <c r="T11314" s="318"/>
      <c r="U11314" s="318"/>
      <c r="V11314" s="318"/>
      <c r="W11314" s="318"/>
      <c r="X11314" s="318"/>
      <c r="Y11314" s="318"/>
      <c r="Z11314" s="318"/>
      <c r="AA11314" s="318"/>
      <c r="AB11314" s="318"/>
      <c r="AC11314" s="318"/>
      <c r="AD11314" s="318"/>
    </row>
    <row r="11315" spans="2:30" s="323" customFormat="1" ht="12" customHeight="1">
      <c r="B11315" s="324"/>
      <c r="C11315" s="325"/>
      <c r="D11315" s="326"/>
      <c r="E11315" s="326"/>
      <c r="F11315" s="326"/>
      <c r="G11315" s="326"/>
      <c r="H11315" s="326"/>
      <c r="P11315" s="318"/>
      <c r="Q11315" s="318"/>
      <c r="R11315" s="318"/>
      <c r="S11315" s="318"/>
      <c r="T11315" s="318"/>
      <c r="U11315" s="318"/>
      <c r="V11315" s="318"/>
      <c r="W11315" s="318"/>
      <c r="X11315" s="318"/>
      <c r="Y11315" s="318"/>
      <c r="Z11315" s="318"/>
      <c r="AA11315" s="318"/>
      <c r="AB11315" s="318"/>
      <c r="AC11315" s="318"/>
      <c r="AD11315" s="318"/>
    </row>
    <row r="11316" spans="2:30" s="323" customFormat="1" ht="12" customHeight="1">
      <c r="B11316" s="324"/>
      <c r="C11316" s="325"/>
      <c r="D11316" s="326"/>
      <c r="E11316" s="326"/>
      <c r="F11316" s="326"/>
      <c r="G11316" s="326"/>
      <c r="H11316" s="326"/>
      <c r="P11316" s="318"/>
      <c r="Q11316" s="318"/>
      <c r="R11316" s="318"/>
      <c r="S11316" s="318"/>
      <c r="T11316" s="318"/>
      <c r="U11316" s="318"/>
      <c r="V11316" s="318"/>
      <c r="W11316" s="318"/>
      <c r="X11316" s="318"/>
      <c r="Y11316" s="318"/>
      <c r="Z11316" s="318"/>
      <c r="AA11316" s="318"/>
      <c r="AB11316" s="318"/>
      <c r="AC11316" s="318"/>
      <c r="AD11316" s="318"/>
    </row>
    <row r="11317" spans="2:30" s="323" customFormat="1" ht="12" customHeight="1">
      <c r="B11317" s="324"/>
      <c r="C11317" s="325"/>
      <c r="D11317" s="326"/>
      <c r="E11317" s="326"/>
      <c r="F11317" s="326"/>
      <c r="G11317" s="326"/>
      <c r="H11317" s="326"/>
      <c r="P11317" s="318"/>
      <c r="Q11317" s="318"/>
      <c r="R11317" s="318"/>
      <c r="S11317" s="318"/>
      <c r="T11317" s="318"/>
      <c r="U11317" s="318"/>
      <c r="V11317" s="318"/>
      <c r="W11317" s="318"/>
      <c r="X11317" s="318"/>
      <c r="Y11317" s="318"/>
      <c r="Z11317" s="318"/>
      <c r="AA11317" s="318"/>
      <c r="AB11317" s="318"/>
      <c r="AC11317" s="318"/>
      <c r="AD11317" s="318"/>
    </row>
    <row r="11318" spans="2:30" s="323" customFormat="1" ht="12" customHeight="1">
      <c r="B11318" s="324"/>
      <c r="C11318" s="325"/>
      <c r="D11318" s="326"/>
      <c r="E11318" s="326"/>
      <c r="F11318" s="326"/>
      <c r="G11318" s="326"/>
      <c r="H11318" s="326"/>
      <c r="P11318" s="318"/>
      <c r="Q11318" s="318"/>
      <c r="R11318" s="318"/>
      <c r="S11318" s="318"/>
      <c r="T11318" s="318"/>
      <c r="U11318" s="318"/>
      <c r="V11318" s="318"/>
      <c r="W11318" s="318"/>
      <c r="X11318" s="318"/>
      <c r="Y11318" s="318"/>
      <c r="Z11318" s="318"/>
      <c r="AA11318" s="318"/>
      <c r="AB11318" s="318"/>
      <c r="AC11318" s="318"/>
      <c r="AD11318" s="318"/>
    </row>
    <row r="11319" spans="2:30" s="323" customFormat="1" ht="12" customHeight="1">
      <c r="B11319" s="324"/>
      <c r="C11319" s="325"/>
      <c r="D11319" s="326"/>
      <c r="E11319" s="326"/>
      <c r="F11319" s="326"/>
      <c r="G11319" s="326"/>
      <c r="H11319" s="326"/>
      <c r="P11319" s="318"/>
      <c r="Q11319" s="318"/>
      <c r="R11319" s="318"/>
      <c r="S11319" s="318"/>
      <c r="T11319" s="318"/>
      <c r="U11319" s="318"/>
      <c r="V11319" s="318"/>
      <c r="W11319" s="318"/>
      <c r="X11319" s="318"/>
      <c r="Y11319" s="318"/>
      <c r="Z11319" s="318"/>
      <c r="AA11319" s="318"/>
      <c r="AB11319" s="318"/>
      <c r="AC11319" s="318"/>
      <c r="AD11319" s="318"/>
    </row>
    <row r="11320" spans="2:30" s="323" customFormat="1" ht="12" customHeight="1">
      <c r="B11320" s="324"/>
      <c r="C11320" s="325"/>
      <c r="D11320" s="326"/>
      <c r="E11320" s="326"/>
      <c r="F11320" s="326"/>
      <c r="G11320" s="326"/>
      <c r="H11320" s="326"/>
      <c r="P11320" s="318"/>
      <c r="Q11320" s="318"/>
      <c r="R11320" s="318"/>
      <c r="S11320" s="318"/>
      <c r="T11320" s="318"/>
      <c r="U11320" s="318"/>
      <c r="V11320" s="318"/>
      <c r="W11320" s="318"/>
      <c r="X11320" s="318"/>
      <c r="Y11320" s="318"/>
      <c r="Z11320" s="318"/>
      <c r="AA11320" s="318"/>
      <c r="AB11320" s="318"/>
      <c r="AC11320" s="318"/>
      <c r="AD11320" s="318"/>
    </row>
    <row r="11321" spans="2:30" s="323" customFormat="1" ht="12" customHeight="1">
      <c r="B11321" s="324"/>
      <c r="C11321" s="325"/>
      <c r="D11321" s="326"/>
      <c r="E11321" s="326"/>
      <c r="F11321" s="326"/>
      <c r="G11321" s="326"/>
      <c r="H11321" s="326"/>
      <c r="P11321" s="318"/>
      <c r="Q11321" s="318"/>
      <c r="R11321" s="318"/>
      <c r="S11321" s="318"/>
      <c r="T11321" s="318"/>
      <c r="U11321" s="318"/>
      <c r="V11321" s="318"/>
      <c r="W11321" s="318"/>
      <c r="X11321" s="318"/>
      <c r="Y11321" s="318"/>
      <c r="Z11321" s="318"/>
      <c r="AA11321" s="318"/>
      <c r="AB11321" s="318"/>
      <c r="AC11321" s="318"/>
      <c r="AD11321" s="318"/>
    </row>
    <row r="11322" spans="2:30" s="323" customFormat="1" ht="12" customHeight="1">
      <c r="B11322" s="324"/>
      <c r="C11322" s="325"/>
      <c r="D11322" s="326"/>
      <c r="E11322" s="326"/>
      <c r="F11322" s="326"/>
      <c r="G11322" s="326"/>
      <c r="H11322" s="326"/>
      <c r="P11322" s="318"/>
      <c r="Q11322" s="318"/>
      <c r="R11322" s="318"/>
      <c r="S11322" s="318"/>
      <c r="T11322" s="318"/>
      <c r="U11322" s="318"/>
      <c r="V11322" s="318"/>
      <c r="W11322" s="318"/>
      <c r="X11322" s="318"/>
      <c r="Y11322" s="318"/>
      <c r="Z11322" s="318"/>
      <c r="AA11322" s="318"/>
      <c r="AB11322" s="318"/>
      <c r="AC11322" s="318"/>
      <c r="AD11322" s="318"/>
    </row>
    <row r="11323" spans="2:30" s="323" customFormat="1" ht="12" customHeight="1">
      <c r="B11323" s="324"/>
      <c r="C11323" s="325"/>
      <c r="D11323" s="326"/>
      <c r="E11323" s="326"/>
      <c r="F11323" s="326"/>
      <c r="G11323" s="326"/>
      <c r="H11323" s="326"/>
      <c r="P11323" s="318"/>
      <c r="Q11323" s="318"/>
      <c r="R11323" s="318"/>
      <c r="S11323" s="318"/>
      <c r="T11323" s="318"/>
      <c r="U11323" s="318"/>
      <c r="V11323" s="318"/>
      <c r="W11323" s="318"/>
      <c r="X11323" s="318"/>
      <c r="Y11323" s="318"/>
      <c r="Z11323" s="318"/>
      <c r="AA11323" s="318"/>
      <c r="AB11323" s="318"/>
      <c r="AC11323" s="318"/>
      <c r="AD11323" s="318"/>
    </row>
    <row r="11324" spans="2:30" s="323" customFormat="1" ht="12" customHeight="1">
      <c r="B11324" s="324"/>
      <c r="C11324" s="325"/>
      <c r="D11324" s="326"/>
      <c r="E11324" s="326"/>
      <c r="F11324" s="326"/>
      <c r="G11324" s="326"/>
      <c r="H11324" s="326"/>
      <c r="P11324" s="318"/>
      <c r="Q11324" s="318"/>
      <c r="R11324" s="318"/>
      <c r="S11324" s="318"/>
      <c r="T11324" s="318"/>
      <c r="U11324" s="318"/>
      <c r="V11324" s="318"/>
      <c r="W11324" s="318"/>
      <c r="X11324" s="318"/>
      <c r="Y11324" s="318"/>
      <c r="Z11324" s="318"/>
      <c r="AA11324" s="318"/>
      <c r="AB11324" s="318"/>
      <c r="AC11324" s="318"/>
      <c r="AD11324" s="318"/>
    </row>
    <row r="11325" spans="2:30" s="323" customFormat="1" ht="12" customHeight="1">
      <c r="B11325" s="324"/>
      <c r="C11325" s="325"/>
      <c r="D11325" s="326"/>
      <c r="E11325" s="326"/>
      <c r="F11325" s="326"/>
      <c r="G11325" s="326"/>
      <c r="H11325" s="326"/>
      <c r="P11325" s="318"/>
      <c r="Q11325" s="318"/>
      <c r="R11325" s="318"/>
      <c r="S11325" s="318"/>
      <c r="T11325" s="318"/>
      <c r="U11325" s="318"/>
      <c r="V11325" s="318"/>
      <c r="W11325" s="318"/>
      <c r="X11325" s="318"/>
      <c r="Y11325" s="318"/>
      <c r="Z11325" s="318"/>
      <c r="AA11325" s="318"/>
      <c r="AB11325" s="318"/>
      <c r="AC11325" s="318"/>
      <c r="AD11325" s="318"/>
    </row>
    <row r="11326" spans="2:30" s="323" customFormat="1" ht="12" customHeight="1">
      <c r="B11326" s="324"/>
      <c r="C11326" s="325"/>
      <c r="D11326" s="326"/>
      <c r="E11326" s="326"/>
      <c r="F11326" s="326"/>
      <c r="G11326" s="326"/>
      <c r="H11326" s="326"/>
      <c r="P11326" s="318"/>
      <c r="Q11326" s="318"/>
      <c r="R11326" s="318"/>
      <c r="S11326" s="318"/>
      <c r="T11326" s="318"/>
      <c r="U11326" s="318"/>
      <c r="V11326" s="318"/>
      <c r="W11326" s="318"/>
      <c r="X11326" s="318"/>
      <c r="Y11326" s="318"/>
      <c r="Z11326" s="318"/>
      <c r="AA11326" s="318"/>
      <c r="AB11326" s="318"/>
      <c r="AC11326" s="318"/>
      <c r="AD11326" s="318"/>
    </row>
    <row r="11327" spans="2:30" s="323" customFormat="1" ht="12" customHeight="1">
      <c r="B11327" s="324"/>
      <c r="C11327" s="325"/>
      <c r="D11327" s="326"/>
      <c r="E11327" s="326"/>
      <c r="F11327" s="326"/>
      <c r="G11327" s="326"/>
      <c r="H11327" s="326"/>
      <c r="P11327" s="318"/>
      <c r="Q11327" s="318"/>
      <c r="R11327" s="318"/>
      <c r="S11327" s="318"/>
      <c r="T11327" s="318"/>
      <c r="U11327" s="318"/>
      <c r="V11327" s="318"/>
      <c r="W11327" s="318"/>
      <c r="X11327" s="318"/>
      <c r="Y11327" s="318"/>
      <c r="Z11327" s="318"/>
      <c r="AA11327" s="318"/>
      <c r="AB11327" s="318"/>
      <c r="AC11327" s="318"/>
      <c r="AD11327" s="318"/>
    </row>
    <row r="11328" spans="2:30" s="323" customFormat="1" ht="12" customHeight="1">
      <c r="B11328" s="324"/>
      <c r="C11328" s="325"/>
      <c r="D11328" s="326"/>
      <c r="E11328" s="326"/>
      <c r="F11328" s="326"/>
      <c r="G11328" s="326"/>
      <c r="H11328" s="326"/>
      <c r="P11328" s="318"/>
      <c r="Q11328" s="318"/>
      <c r="R11328" s="318"/>
      <c r="S11328" s="318"/>
      <c r="T11328" s="318"/>
      <c r="U11328" s="318"/>
      <c r="V11328" s="318"/>
      <c r="W11328" s="318"/>
      <c r="X11328" s="318"/>
      <c r="Y11328" s="318"/>
      <c r="Z11328" s="318"/>
      <c r="AA11328" s="318"/>
      <c r="AB11328" s="318"/>
      <c r="AC11328" s="318"/>
      <c r="AD11328" s="318"/>
    </row>
    <row r="11329" spans="2:30" s="323" customFormat="1" ht="12" customHeight="1">
      <c r="B11329" s="324"/>
      <c r="C11329" s="325"/>
      <c r="D11329" s="326"/>
      <c r="E11329" s="326"/>
      <c r="F11329" s="326"/>
      <c r="G11329" s="326"/>
      <c r="H11329" s="326"/>
      <c r="P11329" s="318"/>
      <c r="Q11329" s="318"/>
      <c r="R11329" s="318"/>
      <c r="S11329" s="318"/>
      <c r="T11329" s="318"/>
      <c r="U11329" s="318"/>
      <c r="V11329" s="318"/>
      <c r="W11329" s="318"/>
      <c r="X11329" s="318"/>
      <c r="Y11329" s="318"/>
      <c r="Z11329" s="318"/>
      <c r="AA11329" s="318"/>
      <c r="AB11329" s="318"/>
      <c r="AC11329" s="318"/>
      <c r="AD11329" s="318"/>
    </row>
    <row r="11330" spans="2:30" s="323" customFormat="1" ht="12" customHeight="1">
      <c r="B11330" s="324"/>
      <c r="C11330" s="325"/>
      <c r="D11330" s="326"/>
      <c r="E11330" s="326"/>
      <c r="F11330" s="326"/>
      <c r="G11330" s="326"/>
      <c r="H11330" s="326"/>
      <c r="P11330" s="318"/>
      <c r="Q11330" s="318"/>
      <c r="R11330" s="318"/>
      <c r="S11330" s="318"/>
      <c r="T11330" s="318"/>
      <c r="U11330" s="318"/>
      <c r="V11330" s="318"/>
      <c r="W11330" s="318"/>
      <c r="X11330" s="318"/>
      <c r="Y11330" s="318"/>
      <c r="Z11330" s="318"/>
      <c r="AA11330" s="318"/>
      <c r="AB11330" s="318"/>
      <c r="AC11330" s="318"/>
      <c r="AD11330" s="318"/>
    </row>
    <row r="11331" spans="2:30" s="323" customFormat="1" ht="12" customHeight="1">
      <c r="B11331" s="324"/>
      <c r="C11331" s="325"/>
      <c r="D11331" s="326"/>
      <c r="E11331" s="326"/>
      <c r="F11331" s="326"/>
      <c r="G11331" s="326"/>
      <c r="H11331" s="326"/>
      <c r="P11331" s="318"/>
      <c r="Q11331" s="318"/>
      <c r="R11331" s="318"/>
      <c r="S11331" s="318"/>
      <c r="T11331" s="318"/>
      <c r="U11331" s="318"/>
      <c r="V11331" s="318"/>
      <c r="W11331" s="318"/>
      <c r="X11331" s="318"/>
      <c r="Y11331" s="318"/>
      <c r="Z11331" s="318"/>
      <c r="AA11331" s="318"/>
      <c r="AB11331" s="318"/>
      <c r="AC11331" s="318"/>
      <c r="AD11331" s="318"/>
    </row>
    <row r="11332" spans="2:30" s="323" customFormat="1" ht="12" customHeight="1">
      <c r="B11332" s="324"/>
      <c r="C11332" s="325"/>
      <c r="D11332" s="326"/>
      <c r="E11332" s="326"/>
      <c r="F11332" s="326"/>
      <c r="G11332" s="326"/>
      <c r="H11332" s="326"/>
      <c r="P11332" s="318"/>
      <c r="Q11332" s="318"/>
      <c r="R11332" s="318"/>
      <c r="S11332" s="318"/>
      <c r="T11332" s="318"/>
      <c r="U11332" s="318"/>
      <c r="V11332" s="318"/>
      <c r="W11332" s="318"/>
      <c r="X11332" s="318"/>
      <c r="Y11332" s="318"/>
      <c r="Z11332" s="318"/>
      <c r="AA11332" s="318"/>
      <c r="AB11332" s="318"/>
      <c r="AC11332" s="318"/>
      <c r="AD11332" s="318"/>
    </row>
    <row r="11333" spans="2:30" s="323" customFormat="1" ht="12" customHeight="1">
      <c r="B11333" s="324"/>
      <c r="C11333" s="325"/>
      <c r="D11333" s="326"/>
      <c r="E11333" s="326"/>
      <c r="F11333" s="326"/>
      <c r="G11333" s="326"/>
      <c r="H11333" s="326"/>
      <c r="P11333" s="318"/>
      <c r="Q11333" s="318"/>
      <c r="R11333" s="318"/>
      <c r="S11333" s="318"/>
      <c r="T11333" s="318"/>
      <c r="U11333" s="318"/>
      <c r="V11333" s="318"/>
      <c r="W11333" s="318"/>
      <c r="X11333" s="318"/>
      <c r="Y11333" s="318"/>
      <c r="Z11333" s="318"/>
      <c r="AA11333" s="318"/>
      <c r="AB11333" s="318"/>
      <c r="AC11333" s="318"/>
      <c r="AD11333" s="318"/>
    </row>
    <row r="11334" spans="2:30" s="323" customFormat="1" ht="12" customHeight="1">
      <c r="B11334" s="324"/>
      <c r="C11334" s="325"/>
      <c r="D11334" s="326"/>
      <c r="E11334" s="326"/>
      <c r="F11334" s="326"/>
      <c r="G11334" s="326"/>
      <c r="H11334" s="326"/>
      <c r="P11334" s="318"/>
      <c r="Q11334" s="318"/>
      <c r="R11334" s="318"/>
      <c r="S11334" s="318"/>
      <c r="T11334" s="318"/>
      <c r="U11334" s="318"/>
      <c r="V11334" s="318"/>
      <c r="W11334" s="318"/>
      <c r="X11334" s="318"/>
      <c r="Y11334" s="318"/>
      <c r="Z11334" s="318"/>
      <c r="AA11334" s="318"/>
      <c r="AB11334" s="318"/>
      <c r="AC11334" s="318"/>
      <c r="AD11334" s="318"/>
    </row>
    <row r="11335" spans="2:30" s="323" customFormat="1" ht="12" customHeight="1">
      <c r="B11335" s="324"/>
      <c r="C11335" s="325"/>
      <c r="D11335" s="326"/>
      <c r="E11335" s="326"/>
      <c r="F11335" s="326"/>
      <c r="G11335" s="326"/>
      <c r="H11335" s="326"/>
      <c r="P11335" s="318"/>
      <c r="Q11335" s="318"/>
      <c r="R11335" s="318"/>
      <c r="S11335" s="318"/>
      <c r="T11335" s="318"/>
      <c r="U11335" s="318"/>
      <c r="V11335" s="318"/>
      <c r="W11335" s="318"/>
      <c r="X11335" s="318"/>
      <c r="Y11335" s="318"/>
      <c r="Z11335" s="318"/>
      <c r="AA11335" s="318"/>
      <c r="AB11335" s="318"/>
      <c r="AC11335" s="318"/>
      <c r="AD11335" s="318"/>
    </row>
    <row r="11336" spans="2:30" s="323" customFormat="1" ht="12" customHeight="1">
      <c r="B11336" s="324"/>
      <c r="C11336" s="325"/>
      <c r="D11336" s="326"/>
      <c r="E11336" s="326"/>
      <c r="F11336" s="326"/>
      <c r="G11336" s="326"/>
      <c r="H11336" s="326"/>
      <c r="P11336" s="318"/>
      <c r="Q11336" s="318"/>
      <c r="R11336" s="318"/>
      <c r="S11336" s="318"/>
      <c r="T11336" s="318"/>
      <c r="U11336" s="318"/>
      <c r="V11336" s="318"/>
      <c r="W11336" s="318"/>
      <c r="X11336" s="318"/>
      <c r="Y11336" s="318"/>
      <c r="Z11336" s="318"/>
      <c r="AA11336" s="318"/>
      <c r="AB11336" s="318"/>
      <c r="AC11336" s="318"/>
      <c r="AD11336" s="318"/>
    </row>
    <row r="11337" spans="2:30" s="323" customFormat="1" ht="12" customHeight="1">
      <c r="B11337" s="324"/>
      <c r="C11337" s="325"/>
      <c r="D11337" s="326"/>
      <c r="E11337" s="326"/>
      <c r="F11337" s="326"/>
      <c r="G11337" s="326"/>
      <c r="H11337" s="326"/>
      <c r="P11337" s="318"/>
      <c r="Q11337" s="318"/>
      <c r="R11337" s="318"/>
      <c r="S11337" s="318"/>
      <c r="T11337" s="318"/>
      <c r="U11337" s="318"/>
      <c r="V11337" s="318"/>
      <c r="W11337" s="318"/>
      <c r="X11337" s="318"/>
      <c r="Y11337" s="318"/>
      <c r="Z11337" s="318"/>
      <c r="AA11337" s="318"/>
      <c r="AB11337" s="318"/>
      <c r="AC11337" s="318"/>
      <c r="AD11337" s="318"/>
    </row>
    <row r="11338" spans="2:30" s="323" customFormat="1" ht="12" customHeight="1">
      <c r="B11338" s="324"/>
      <c r="C11338" s="325"/>
      <c r="D11338" s="326"/>
      <c r="E11338" s="326"/>
      <c r="F11338" s="326"/>
      <c r="G11338" s="326"/>
      <c r="H11338" s="326"/>
      <c r="P11338" s="318"/>
      <c r="Q11338" s="318"/>
      <c r="R11338" s="318"/>
      <c r="S11338" s="318"/>
      <c r="T11338" s="318"/>
      <c r="U11338" s="318"/>
      <c r="V11338" s="318"/>
      <c r="W11338" s="318"/>
      <c r="X11338" s="318"/>
      <c r="Y11338" s="318"/>
      <c r="Z11338" s="318"/>
      <c r="AA11338" s="318"/>
      <c r="AB11338" s="318"/>
      <c r="AC11338" s="318"/>
      <c r="AD11338" s="318"/>
    </row>
    <row r="11339" spans="2:30" s="323" customFormat="1" ht="12" customHeight="1">
      <c r="B11339" s="324"/>
      <c r="C11339" s="325"/>
      <c r="D11339" s="326"/>
      <c r="E11339" s="326"/>
      <c r="F11339" s="326"/>
      <c r="G11339" s="326"/>
      <c r="H11339" s="326"/>
      <c r="P11339" s="318"/>
      <c r="Q11339" s="318"/>
      <c r="R11339" s="318"/>
      <c r="S11339" s="318"/>
      <c r="T11339" s="318"/>
      <c r="U11339" s="318"/>
      <c r="V11339" s="318"/>
      <c r="W11339" s="318"/>
      <c r="X11339" s="318"/>
      <c r="Y11339" s="318"/>
      <c r="Z11339" s="318"/>
      <c r="AA11339" s="318"/>
      <c r="AB11339" s="318"/>
      <c r="AC11339" s="318"/>
      <c r="AD11339" s="318"/>
    </row>
    <row r="11340" spans="2:30" s="323" customFormat="1" ht="12" customHeight="1">
      <c r="B11340" s="324"/>
      <c r="C11340" s="325"/>
      <c r="D11340" s="326"/>
      <c r="E11340" s="326"/>
      <c r="F11340" s="326"/>
      <c r="G11340" s="326"/>
      <c r="H11340" s="326"/>
      <c r="P11340" s="318"/>
      <c r="Q11340" s="318"/>
      <c r="R11340" s="318"/>
      <c r="S11340" s="318"/>
      <c r="T11340" s="318"/>
      <c r="U11340" s="318"/>
      <c r="V11340" s="318"/>
      <c r="W11340" s="318"/>
      <c r="X11340" s="318"/>
      <c r="Y11340" s="318"/>
      <c r="Z11340" s="318"/>
      <c r="AA11340" s="318"/>
      <c r="AB11340" s="318"/>
      <c r="AC11340" s="318"/>
      <c r="AD11340" s="318"/>
    </row>
    <row r="11341" spans="2:30" s="323" customFormat="1" ht="12" customHeight="1">
      <c r="B11341" s="324"/>
      <c r="C11341" s="325"/>
      <c r="D11341" s="326"/>
      <c r="E11341" s="326"/>
      <c r="F11341" s="326"/>
      <c r="G11341" s="326"/>
      <c r="H11341" s="326"/>
      <c r="P11341" s="318"/>
      <c r="Q11341" s="318"/>
      <c r="R11341" s="318"/>
      <c r="S11341" s="318"/>
      <c r="T11341" s="318"/>
      <c r="U11341" s="318"/>
      <c r="V11341" s="318"/>
      <c r="W11341" s="318"/>
      <c r="X11341" s="318"/>
      <c r="Y11341" s="318"/>
      <c r="Z11341" s="318"/>
      <c r="AA11341" s="318"/>
      <c r="AB11341" s="318"/>
      <c r="AC11341" s="318"/>
      <c r="AD11341" s="318"/>
    </row>
    <row r="11342" spans="2:30" s="323" customFormat="1" ht="12" customHeight="1">
      <c r="B11342" s="324"/>
      <c r="C11342" s="325"/>
      <c r="D11342" s="326"/>
      <c r="E11342" s="326"/>
      <c r="F11342" s="326"/>
      <c r="G11342" s="326"/>
      <c r="H11342" s="326"/>
      <c r="P11342" s="318"/>
      <c r="Q11342" s="318"/>
      <c r="R11342" s="318"/>
      <c r="S11342" s="318"/>
      <c r="T11342" s="318"/>
      <c r="U11342" s="318"/>
      <c r="V11342" s="318"/>
      <c r="W11342" s="318"/>
      <c r="X11342" s="318"/>
      <c r="Y11342" s="318"/>
      <c r="Z11342" s="318"/>
      <c r="AA11342" s="318"/>
      <c r="AB11342" s="318"/>
      <c r="AC11342" s="318"/>
      <c r="AD11342" s="318"/>
    </row>
    <row r="11343" spans="2:30" s="323" customFormat="1" ht="12" customHeight="1">
      <c r="B11343" s="324"/>
      <c r="C11343" s="325"/>
      <c r="D11343" s="326"/>
      <c r="E11343" s="326"/>
      <c r="F11343" s="326"/>
      <c r="G11343" s="326"/>
      <c r="H11343" s="326"/>
      <c r="P11343" s="318"/>
      <c r="Q11343" s="318"/>
      <c r="R11343" s="318"/>
      <c r="S11343" s="318"/>
      <c r="T11343" s="318"/>
      <c r="U11343" s="318"/>
      <c r="V11343" s="318"/>
      <c r="W11343" s="318"/>
      <c r="X11343" s="318"/>
      <c r="Y11343" s="318"/>
      <c r="Z11343" s="318"/>
      <c r="AA11343" s="318"/>
      <c r="AB11343" s="318"/>
      <c r="AC11343" s="318"/>
      <c r="AD11343" s="318"/>
    </row>
    <row r="11344" spans="2:30" s="323" customFormat="1" ht="12" customHeight="1">
      <c r="B11344" s="324"/>
      <c r="C11344" s="325"/>
      <c r="D11344" s="326"/>
      <c r="E11344" s="326"/>
      <c r="F11344" s="326"/>
      <c r="G11344" s="326"/>
      <c r="H11344" s="326"/>
      <c r="P11344" s="318"/>
      <c r="Q11344" s="318"/>
      <c r="R11344" s="318"/>
      <c r="S11344" s="318"/>
      <c r="T11344" s="318"/>
      <c r="U11344" s="318"/>
      <c r="V11344" s="318"/>
      <c r="W11344" s="318"/>
      <c r="X11344" s="318"/>
      <c r="Y11344" s="318"/>
      <c r="Z11344" s="318"/>
      <c r="AA11344" s="318"/>
      <c r="AB11344" s="318"/>
      <c r="AC11344" s="318"/>
      <c r="AD11344" s="318"/>
    </row>
    <row r="11345" spans="2:30" s="323" customFormat="1" ht="12" customHeight="1">
      <c r="B11345" s="324"/>
      <c r="C11345" s="325"/>
      <c r="D11345" s="326"/>
      <c r="E11345" s="326"/>
      <c r="F11345" s="326"/>
      <c r="G11345" s="326"/>
      <c r="H11345" s="326"/>
      <c r="P11345" s="318"/>
      <c r="Q11345" s="318"/>
      <c r="R11345" s="318"/>
      <c r="S11345" s="318"/>
      <c r="T11345" s="318"/>
      <c r="U11345" s="318"/>
      <c r="V11345" s="318"/>
      <c r="W11345" s="318"/>
      <c r="X11345" s="318"/>
      <c r="Y11345" s="318"/>
      <c r="Z11345" s="318"/>
      <c r="AA11345" s="318"/>
      <c r="AB11345" s="318"/>
      <c r="AC11345" s="318"/>
      <c r="AD11345" s="318"/>
    </row>
    <row r="11346" spans="2:30" s="323" customFormat="1" ht="12" customHeight="1">
      <c r="B11346" s="324"/>
      <c r="C11346" s="325"/>
      <c r="D11346" s="326"/>
      <c r="E11346" s="326"/>
      <c r="F11346" s="326"/>
      <c r="G11346" s="326"/>
      <c r="H11346" s="326"/>
      <c r="P11346" s="318"/>
      <c r="Q11346" s="318"/>
      <c r="R11346" s="318"/>
      <c r="S11346" s="318"/>
      <c r="T11346" s="318"/>
      <c r="U11346" s="318"/>
      <c r="V11346" s="318"/>
      <c r="W11346" s="318"/>
      <c r="X11346" s="318"/>
      <c r="Y11346" s="318"/>
      <c r="Z11346" s="318"/>
      <c r="AA11346" s="318"/>
      <c r="AB11346" s="318"/>
      <c r="AC11346" s="318"/>
      <c r="AD11346" s="318"/>
    </row>
    <row r="11347" spans="2:30" s="323" customFormat="1" ht="12" customHeight="1">
      <c r="B11347" s="324"/>
      <c r="C11347" s="325"/>
      <c r="D11347" s="326"/>
      <c r="E11347" s="326"/>
      <c r="F11347" s="326"/>
      <c r="G11347" s="326"/>
      <c r="H11347" s="326"/>
      <c r="P11347" s="318"/>
      <c r="Q11347" s="318"/>
      <c r="R11347" s="318"/>
      <c r="S11347" s="318"/>
      <c r="T11347" s="318"/>
      <c r="U11347" s="318"/>
      <c r="V11347" s="318"/>
      <c r="W11347" s="318"/>
      <c r="X11347" s="318"/>
      <c r="Y11347" s="318"/>
      <c r="Z11347" s="318"/>
      <c r="AA11347" s="318"/>
      <c r="AB11347" s="318"/>
      <c r="AC11347" s="318"/>
      <c r="AD11347" s="318"/>
    </row>
    <row r="11348" spans="2:30" s="323" customFormat="1" ht="12" customHeight="1">
      <c r="B11348" s="324"/>
      <c r="C11348" s="325"/>
      <c r="D11348" s="326"/>
      <c r="E11348" s="326"/>
      <c r="F11348" s="326"/>
      <c r="G11348" s="326"/>
      <c r="H11348" s="326"/>
      <c r="P11348" s="318"/>
      <c r="Q11348" s="318"/>
      <c r="R11348" s="318"/>
      <c r="S11348" s="318"/>
      <c r="T11348" s="318"/>
      <c r="U11348" s="318"/>
      <c r="V11348" s="318"/>
      <c r="W11348" s="318"/>
      <c r="X11348" s="318"/>
      <c r="Y11348" s="318"/>
      <c r="Z11348" s="318"/>
      <c r="AA11348" s="318"/>
      <c r="AB11348" s="318"/>
      <c r="AC11348" s="318"/>
      <c r="AD11348" s="318"/>
    </row>
    <row r="11349" spans="2:30" s="323" customFormat="1" ht="12" customHeight="1">
      <c r="B11349" s="324"/>
      <c r="C11349" s="325"/>
      <c r="D11349" s="326"/>
      <c r="E11349" s="326"/>
      <c r="F11349" s="326"/>
      <c r="G11349" s="326"/>
      <c r="H11349" s="326"/>
      <c r="P11349" s="318"/>
      <c r="Q11349" s="318"/>
      <c r="R11349" s="318"/>
      <c r="S11349" s="318"/>
      <c r="T11349" s="318"/>
      <c r="U11349" s="318"/>
      <c r="V11349" s="318"/>
      <c r="W11349" s="318"/>
      <c r="X11349" s="318"/>
      <c r="Y11349" s="318"/>
      <c r="Z11349" s="318"/>
      <c r="AA11349" s="318"/>
      <c r="AB11349" s="318"/>
      <c r="AC11349" s="318"/>
      <c r="AD11349" s="318"/>
    </row>
    <row r="11350" spans="2:30" s="323" customFormat="1" ht="12" customHeight="1">
      <c r="B11350" s="324"/>
      <c r="C11350" s="325"/>
      <c r="D11350" s="326"/>
      <c r="E11350" s="326"/>
      <c r="F11350" s="326"/>
      <c r="G11350" s="326"/>
      <c r="H11350" s="326"/>
      <c r="P11350" s="318"/>
      <c r="Q11350" s="318"/>
      <c r="R11350" s="318"/>
      <c r="S11350" s="318"/>
      <c r="T11350" s="318"/>
      <c r="U11350" s="318"/>
      <c r="V11350" s="318"/>
      <c r="W11350" s="318"/>
      <c r="X11350" s="318"/>
      <c r="Y11350" s="318"/>
      <c r="Z11350" s="318"/>
      <c r="AA11350" s="318"/>
      <c r="AB11350" s="318"/>
      <c r="AC11350" s="318"/>
      <c r="AD11350" s="318"/>
    </row>
    <row r="11351" spans="2:30" s="323" customFormat="1" ht="12" customHeight="1">
      <c r="B11351" s="324"/>
      <c r="C11351" s="325"/>
      <c r="D11351" s="326"/>
      <c r="E11351" s="326"/>
      <c r="F11351" s="326"/>
      <c r="G11351" s="326"/>
      <c r="H11351" s="326"/>
      <c r="P11351" s="318"/>
      <c r="Q11351" s="318"/>
      <c r="R11351" s="318"/>
      <c r="S11351" s="318"/>
      <c r="T11351" s="318"/>
      <c r="U11351" s="318"/>
      <c r="V11351" s="318"/>
      <c r="W11351" s="318"/>
      <c r="X11351" s="318"/>
      <c r="Y11351" s="318"/>
      <c r="Z11351" s="318"/>
      <c r="AA11351" s="318"/>
      <c r="AB11351" s="318"/>
      <c r="AC11351" s="318"/>
      <c r="AD11351" s="318"/>
    </row>
    <row r="11352" spans="2:30" s="323" customFormat="1" ht="12" customHeight="1">
      <c r="B11352" s="324"/>
      <c r="C11352" s="325"/>
      <c r="D11352" s="326"/>
      <c r="E11352" s="326"/>
      <c r="F11352" s="326"/>
      <c r="G11352" s="326"/>
      <c r="H11352" s="326"/>
      <c r="P11352" s="318"/>
      <c r="Q11352" s="318"/>
      <c r="R11352" s="318"/>
      <c r="S11352" s="318"/>
      <c r="T11352" s="318"/>
      <c r="U11352" s="318"/>
      <c r="V11352" s="318"/>
      <c r="W11352" s="318"/>
      <c r="X11352" s="318"/>
      <c r="Y11352" s="318"/>
      <c r="Z11352" s="318"/>
      <c r="AA11352" s="318"/>
      <c r="AB11352" s="318"/>
      <c r="AC11352" s="318"/>
      <c r="AD11352" s="318"/>
    </row>
    <row r="11353" spans="2:30" s="323" customFormat="1" ht="12" customHeight="1">
      <c r="B11353" s="324"/>
      <c r="C11353" s="325"/>
      <c r="D11353" s="326"/>
      <c r="E11353" s="326"/>
      <c r="F11353" s="326"/>
      <c r="G11353" s="326"/>
      <c r="H11353" s="326"/>
      <c r="P11353" s="318"/>
      <c r="Q11353" s="318"/>
      <c r="R11353" s="318"/>
      <c r="S11353" s="318"/>
      <c r="T11353" s="318"/>
      <c r="U11353" s="318"/>
      <c r="V11353" s="318"/>
      <c r="W11353" s="318"/>
      <c r="X11353" s="318"/>
      <c r="Y11353" s="318"/>
      <c r="Z11353" s="318"/>
      <c r="AA11353" s="318"/>
      <c r="AB11353" s="318"/>
      <c r="AC11353" s="318"/>
      <c r="AD11353" s="318"/>
    </row>
    <row r="11354" spans="2:30" s="323" customFormat="1" ht="12" customHeight="1">
      <c r="B11354" s="324"/>
      <c r="C11354" s="325"/>
      <c r="D11354" s="326"/>
      <c r="E11354" s="326"/>
      <c r="F11354" s="326"/>
      <c r="G11354" s="326"/>
      <c r="H11354" s="326"/>
      <c r="P11354" s="318"/>
      <c r="Q11354" s="318"/>
      <c r="R11354" s="318"/>
      <c r="S11354" s="318"/>
      <c r="T11354" s="318"/>
      <c r="U11354" s="318"/>
      <c r="V11354" s="318"/>
      <c r="W11354" s="318"/>
      <c r="X11354" s="318"/>
      <c r="Y11354" s="318"/>
      <c r="Z11354" s="318"/>
      <c r="AA11354" s="318"/>
      <c r="AB11354" s="318"/>
      <c r="AC11354" s="318"/>
      <c r="AD11354" s="318"/>
    </row>
    <row r="11355" spans="2:30" s="323" customFormat="1" ht="12" customHeight="1">
      <c r="B11355" s="324"/>
      <c r="C11355" s="325"/>
      <c r="D11355" s="326"/>
      <c r="E11355" s="326"/>
      <c r="F11355" s="326"/>
      <c r="G11355" s="326"/>
      <c r="H11355" s="326"/>
      <c r="P11355" s="318"/>
      <c r="Q11355" s="318"/>
      <c r="R11355" s="318"/>
      <c r="S11355" s="318"/>
      <c r="T11355" s="318"/>
      <c r="U11355" s="318"/>
      <c r="V11355" s="318"/>
      <c r="W11355" s="318"/>
      <c r="X11355" s="318"/>
      <c r="Y11355" s="318"/>
      <c r="Z11355" s="318"/>
      <c r="AA11355" s="318"/>
      <c r="AB11355" s="318"/>
      <c r="AC11355" s="318"/>
      <c r="AD11355" s="318"/>
    </row>
    <row r="11356" spans="2:30" s="323" customFormat="1" ht="12" customHeight="1">
      <c r="B11356" s="324"/>
      <c r="C11356" s="325"/>
      <c r="D11356" s="326"/>
      <c r="E11356" s="326"/>
      <c r="F11356" s="326"/>
      <c r="G11356" s="326"/>
      <c r="H11356" s="326"/>
      <c r="P11356" s="318"/>
      <c r="Q11356" s="318"/>
      <c r="R11356" s="318"/>
      <c r="S11356" s="318"/>
      <c r="T11356" s="318"/>
      <c r="U11356" s="318"/>
      <c r="V11356" s="318"/>
      <c r="W11356" s="318"/>
      <c r="X11356" s="318"/>
      <c r="Y11356" s="318"/>
      <c r="Z11356" s="318"/>
      <c r="AA11356" s="318"/>
      <c r="AB11356" s="318"/>
      <c r="AC11356" s="318"/>
      <c r="AD11356" s="318"/>
    </row>
    <row r="11357" spans="2:30" s="323" customFormat="1" ht="12" customHeight="1">
      <c r="B11357" s="324"/>
      <c r="C11357" s="325"/>
      <c r="D11357" s="326"/>
      <c r="E11357" s="326"/>
      <c r="F11357" s="326"/>
      <c r="G11357" s="326"/>
      <c r="H11357" s="326"/>
      <c r="P11357" s="318"/>
      <c r="Q11357" s="318"/>
      <c r="R11357" s="318"/>
      <c r="S11357" s="318"/>
      <c r="T11357" s="318"/>
      <c r="U11357" s="318"/>
      <c r="V11357" s="318"/>
      <c r="W11357" s="318"/>
      <c r="X11357" s="318"/>
      <c r="Y11357" s="318"/>
      <c r="Z11357" s="318"/>
      <c r="AA11357" s="318"/>
      <c r="AB11357" s="318"/>
      <c r="AC11357" s="318"/>
      <c r="AD11357" s="318"/>
    </row>
    <row r="11358" spans="2:30" s="323" customFormat="1" ht="12" customHeight="1">
      <c r="B11358" s="324"/>
      <c r="C11358" s="325"/>
      <c r="D11358" s="326"/>
      <c r="E11358" s="326"/>
      <c r="F11358" s="326"/>
      <c r="G11358" s="326"/>
      <c r="H11358" s="326"/>
      <c r="P11358" s="318"/>
      <c r="Q11358" s="318"/>
      <c r="R11358" s="318"/>
      <c r="S11358" s="318"/>
      <c r="T11358" s="318"/>
      <c r="U11358" s="318"/>
      <c r="V11358" s="318"/>
      <c r="W11358" s="318"/>
      <c r="X11358" s="318"/>
      <c r="Y11358" s="318"/>
      <c r="Z11358" s="318"/>
      <c r="AA11358" s="318"/>
      <c r="AB11358" s="318"/>
      <c r="AC11358" s="318"/>
      <c r="AD11358" s="318"/>
    </row>
    <row r="11359" spans="2:30" s="323" customFormat="1" ht="12" customHeight="1">
      <c r="B11359" s="324"/>
      <c r="C11359" s="325"/>
      <c r="D11359" s="326"/>
      <c r="E11359" s="326"/>
      <c r="F11359" s="326"/>
      <c r="G11359" s="326"/>
      <c r="H11359" s="326"/>
      <c r="P11359" s="318"/>
      <c r="Q11359" s="318"/>
      <c r="R11359" s="318"/>
      <c r="S11359" s="318"/>
      <c r="T11359" s="318"/>
      <c r="U11359" s="318"/>
      <c r="V11359" s="318"/>
      <c r="W11359" s="318"/>
      <c r="X11359" s="318"/>
      <c r="Y11359" s="318"/>
      <c r="Z11359" s="318"/>
      <c r="AA11359" s="318"/>
      <c r="AB11359" s="318"/>
      <c r="AC11359" s="318"/>
      <c r="AD11359" s="318"/>
    </row>
    <row r="11360" spans="2:30" s="323" customFormat="1" ht="12" customHeight="1">
      <c r="B11360" s="324"/>
      <c r="C11360" s="325"/>
      <c r="D11360" s="326"/>
      <c r="E11360" s="326"/>
      <c r="F11360" s="326"/>
      <c r="G11360" s="326"/>
      <c r="H11360" s="326"/>
      <c r="P11360" s="318"/>
      <c r="Q11360" s="318"/>
      <c r="R11360" s="318"/>
      <c r="S11360" s="318"/>
      <c r="T11360" s="318"/>
      <c r="U11360" s="318"/>
      <c r="V11360" s="318"/>
      <c r="W11360" s="318"/>
      <c r="X11360" s="318"/>
      <c r="Y11360" s="318"/>
      <c r="Z11360" s="318"/>
      <c r="AA11360" s="318"/>
      <c r="AB11360" s="318"/>
      <c r="AC11360" s="318"/>
      <c r="AD11360" s="318"/>
    </row>
    <row r="11361" spans="2:30" s="323" customFormat="1" ht="12" customHeight="1">
      <c r="B11361" s="324"/>
      <c r="C11361" s="325"/>
      <c r="D11361" s="326"/>
      <c r="E11361" s="326"/>
      <c r="F11361" s="326"/>
      <c r="G11361" s="326"/>
      <c r="H11361" s="326"/>
      <c r="P11361" s="318"/>
      <c r="Q11361" s="318"/>
      <c r="R11361" s="318"/>
      <c r="S11361" s="318"/>
      <c r="T11361" s="318"/>
      <c r="U11361" s="318"/>
      <c r="V11361" s="318"/>
      <c r="W11361" s="318"/>
      <c r="X11361" s="318"/>
      <c r="Y11361" s="318"/>
      <c r="Z11361" s="318"/>
      <c r="AA11361" s="318"/>
      <c r="AB11361" s="318"/>
      <c r="AC11361" s="318"/>
      <c r="AD11361" s="318"/>
    </row>
    <row r="11362" spans="2:30" s="323" customFormat="1" ht="12" customHeight="1">
      <c r="B11362" s="324"/>
      <c r="C11362" s="325"/>
      <c r="D11362" s="326"/>
      <c r="E11362" s="326"/>
      <c r="F11362" s="326"/>
      <c r="G11362" s="326"/>
      <c r="H11362" s="326"/>
      <c r="P11362" s="318"/>
      <c r="Q11362" s="318"/>
      <c r="R11362" s="318"/>
      <c r="S11362" s="318"/>
      <c r="T11362" s="318"/>
      <c r="U11362" s="318"/>
      <c r="V11362" s="318"/>
      <c r="W11362" s="318"/>
      <c r="X11362" s="318"/>
      <c r="Y11362" s="318"/>
      <c r="Z11362" s="318"/>
      <c r="AA11362" s="318"/>
      <c r="AB11362" s="318"/>
      <c r="AC11362" s="318"/>
      <c r="AD11362" s="318"/>
    </row>
    <row r="11363" spans="2:30" s="323" customFormat="1" ht="12" customHeight="1">
      <c r="B11363" s="324"/>
      <c r="C11363" s="325"/>
      <c r="D11363" s="326"/>
      <c r="E11363" s="326"/>
      <c r="F11363" s="326"/>
      <c r="G11363" s="326"/>
      <c r="H11363" s="326"/>
      <c r="P11363" s="318"/>
      <c r="Q11363" s="318"/>
      <c r="R11363" s="318"/>
      <c r="S11363" s="318"/>
      <c r="T11363" s="318"/>
      <c r="U11363" s="318"/>
      <c r="V11363" s="318"/>
      <c r="W11363" s="318"/>
      <c r="X11363" s="318"/>
      <c r="Y11363" s="318"/>
      <c r="Z11363" s="318"/>
      <c r="AA11363" s="318"/>
      <c r="AB11363" s="318"/>
      <c r="AC11363" s="318"/>
      <c r="AD11363" s="318"/>
    </row>
    <row r="11364" spans="2:30" s="323" customFormat="1" ht="12" customHeight="1">
      <c r="B11364" s="324"/>
      <c r="C11364" s="325"/>
      <c r="D11364" s="326"/>
      <c r="E11364" s="326"/>
      <c r="F11364" s="326"/>
      <c r="G11364" s="326"/>
      <c r="H11364" s="326"/>
      <c r="P11364" s="318"/>
      <c r="Q11364" s="318"/>
      <c r="R11364" s="318"/>
      <c r="S11364" s="318"/>
      <c r="T11364" s="318"/>
      <c r="U11364" s="318"/>
      <c r="V11364" s="318"/>
      <c r="W11364" s="318"/>
      <c r="X11364" s="318"/>
      <c r="Y11364" s="318"/>
      <c r="Z11364" s="318"/>
      <c r="AA11364" s="318"/>
      <c r="AB11364" s="318"/>
      <c r="AC11364" s="318"/>
      <c r="AD11364" s="318"/>
    </row>
    <row r="11365" spans="2:30" s="323" customFormat="1" ht="12" customHeight="1">
      <c r="B11365" s="324"/>
      <c r="C11365" s="325"/>
      <c r="D11365" s="326"/>
      <c r="E11365" s="326"/>
      <c r="F11365" s="326"/>
      <c r="G11365" s="326"/>
      <c r="H11365" s="326"/>
      <c r="P11365" s="318"/>
      <c r="Q11365" s="318"/>
      <c r="R11365" s="318"/>
      <c r="S11365" s="318"/>
      <c r="T11365" s="318"/>
      <c r="U11365" s="318"/>
      <c r="V11365" s="318"/>
      <c r="W11365" s="318"/>
      <c r="X11365" s="318"/>
      <c r="Y11365" s="318"/>
      <c r="Z11365" s="318"/>
      <c r="AA11365" s="318"/>
      <c r="AB11365" s="318"/>
      <c r="AC11365" s="318"/>
      <c r="AD11365" s="318"/>
    </row>
    <row r="11366" spans="2:30" s="323" customFormat="1" ht="12" customHeight="1">
      <c r="B11366" s="324"/>
      <c r="C11366" s="325"/>
      <c r="D11366" s="326"/>
      <c r="E11366" s="326"/>
      <c r="F11366" s="326"/>
      <c r="G11366" s="326"/>
      <c r="H11366" s="326"/>
      <c r="P11366" s="318"/>
      <c r="Q11366" s="318"/>
      <c r="R11366" s="318"/>
      <c r="S11366" s="318"/>
      <c r="T11366" s="318"/>
      <c r="U11366" s="318"/>
      <c r="V11366" s="318"/>
      <c r="W11366" s="318"/>
      <c r="X11366" s="318"/>
      <c r="Y11366" s="318"/>
      <c r="Z11366" s="318"/>
      <c r="AA11366" s="318"/>
      <c r="AB11366" s="318"/>
      <c r="AC11366" s="318"/>
      <c r="AD11366" s="318"/>
    </row>
    <row r="11367" spans="2:30" s="323" customFormat="1" ht="12" customHeight="1">
      <c r="B11367" s="324"/>
      <c r="C11367" s="325"/>
      <c r="D11367" s="326"/>
      <c r="E11367" s="326"/>
      <c r="F11367" s="326"/>
      <c r="G11367" s="326"/>
      <c r="H11367" s="326"/>
      <c r="P11367" s="318"/>
      <c r="Q11367" s="318"/>
      <c r="R11367" s="318"/>
      <c r="S11367" s="318"/>
      <c r="T11367" s="318"/>
      <c r="U11367" s="318"/>
      <c r="V11367" s="318"/>
      <c r="W11367" s="318"/>
      <c r="X11367" s="318"/>
      <c r="Y11367" s="318"/>
      <c r="Z11367" s="318"/>
      <c r="AA11367" s="318"/>
      <c r="AB11367" s="318"/>
      <c r="AC11367" s="318"/>
      <c r="AD11367" s="318"/>
    </row>
    <row r="11368" spans="2:30" s="323" customFormat="1" ht="12" customHeight="1">
      <c r="B11368" s="324"/>
      <c r="C11368" s="325"/>
      <c r="D11368" s="326"/>
      <c r="E11368" s="326"/>
      <c r="F11368" s="326"/>
      <c r="G11368" s="326"/>
      <c r="H11368" s="326"/>
      <c r="P11368" s="318"/>
      <c r="Q11368" s="318"/>
      <c r="R11368" s="318"/>
      <c r="S11368" s="318"/>
      <c r="T11368" s="318"/>
      <c r="U11368" s="318"/>
      <c r="V11368" s="318"/>
      <c r="W11368" s="318"/>
      <c r="X11368" s="318"/>
      <c r="Y11368" s="318"/>
      <c r="Z11368" s="318"/>
      <c r="AA11368" s="318"/>
      <c r="AB11368" s="318"/>
      <c r="AC11368" s="318"/>
      <c r="AD11368" s="318"/>
    </row>
    <row r="11369" spans="2:30" s="323" customFormat="1" ht="12" customHeight="1">
      <c r="B11369" s="324"/>
      <c r="C11369" s="325"/>
      <c r="D11369" s="326"/>
      <c r="E11369" s="326"/>
      <c r="F11369" s="326"/>
      <c r="G11369" s="326"/>
      <c r="H11369" s="326"/>
      <c r="P11369" s="318"/>
      <c r="Q11369" s="318"/>
      <c r="R11369" s="318"/>
      <c r="S11369" s="318"/>
      <c r="T11369" s="318"/>
      <c r="U11369" s="318"/>
      <c r="V11369" s="318"/>
      <c r="W11369" s="318"/>
      <c r="X11369" s="318"/>
      <c r="Y11369" s="318"/>
      <c r="Z11369" s="318"/>
      <c r="AA11369" s="318"/>
      <c r="AB11369" s="318"/>
      <c r="AC11369" s="318"/>
      <c r="AD11369" s="318"/>
    </row>
    <row r="11370" spans="2:30" s="323" customFormat="1" ht="12" customHeight="1">
      <c r="B11370" s="324"/>
      <c r="C11370" s="325"/>
      <c r="D11370" s="326"/>
      <c r="E11370" s="326"/>
      <c r="F11370" s="326"/>
      <c r="G11370" s="326"/>
      <c r="H11370" s="326"/>
      <c r="P11370" s="318"/>
      <c r="Q11370" s="318"/>
      <c r="R11370" s="318"/>
      <c r="S11370" s="318"/>
      <c r="T11370" s="318"/>
      <c r="U11370" s="318"/>
      <c r="V11370" s="318"/>
      <c r="W11370" s="318"/>
      <c r="X11370" s="318"/>
      <c r="Y11370" s="318"/>
      <c r="Z11370" s="318"/>
      <c r="AA11370" s="318"/>
      <c r="AB11370" s="318"/>
      <c r="AC11370" s="318"/>
      <c r="AD11370" s="318"/>
    </row>
    <row r="11371" spans="2:30" s="323" customFormat="1" ht="12" customHeight="1">
      <c r="B11371" s="324"/>
      <c r="C11371" s="325"/>
      <c r="D11371" s="326"/>
      <c r="E11371" s="326"/>
      <c r="F11371" s="326"/>
      <c r="G11371" s="326"/>
      <c r="H11371" s="326"/>
      <c r="P11371" s="318"/>
      <c r="Q11371" s="318"/>
      <c r="R11371" s="318"/>
      <c r="S11371" s="318"/>
      <c r="T11371" s="318"/>
      <c r="U11371" s="318"/>
      <c r="V11371" s="318"/>
      <c r="W11371" s="318"/>
      <c r="X11371" s="318"/>
      <c r="Y11371" s="318"/>
      <c r="Z11371" s="318"/>
      <c r="AA11371" s="318"/>
      <c r="AB11371" s="318"/>
      <c r="AC11371" s="318"/>
      <c r="AD11371" s="318"/>
    </row>
    <row r="11372" spans="2:30" s="323" customFormat="1" ht="12" customHeight="1">
      <c r="B11372" s="324"/>
      <c r="C11372" s="325"/>
      <c r="D11372" s="326"/>
      <c r="E11372" s="326"/>
      <c r="F11372" s="326"/>
      <c r="G11372" s="326"/>
      <c r="H11372" s="326"/>
      <c r="P11372" s="318"/>
      <c r="Q11372" s="318"/>
      <c r="R11372" s="318"/>
      <c r="S11372" s="318"/>
      <c r="T11372" s="318"/>
      <c r="U11372" s="318"/>
      <c r="V11372" s="318"/>
      <c r="W11372" s="318"/>
      <c r="X11372" s="318"/>
      <c r="Y11372" s="318"/>
      <c r="Z11372" s="318"/>
      <c r="AA11372" s="318"/>
      <c r="AB11372" s="318"/>
      <c r="AC11372" s="318"/>
      <c r="AD11372" s="318"/>
    </row>
    <row r="11373" spans="2:30" s="323" customFormat="1" ht="12" customHeight="1">
      <c r="B11373" s="324"/>
      <c r="C11373" s="325"/>
      <c r="D11373" s="326"/>
      <c r="E11373" s="326"/>
      <c r="F11373" s="326"/>
      <c r="G11373" s="326"/>
      <c r="H11373" s="326"/>
      <c r="P11373" s="318"/>
      <c r="Q11373" s="318"/>
      <c r="R11373" s="318"/>
      <c r="S11373" s="318"/>
      <c r="T11373" s="318"/>
      <c r="U11373" s="318"/>
      <c r="V11373" s="318"/>
      <c r="W11373" s="318"/>
      <c r="X11373" s="318"/>
      <c r="Y11373" s="318"/>
      <c r="Z11373" s="318"/>
      <c r="AA11373" s="318"/>
      <c r="AB11373" s="318"/>
      <c r="AC11373" s="318"/>
      <c r="AD11373" s="318"/>
    </row>
    <row r="11374" spans="2:30" s="323" customFormat="1" ht="12" customHeight="1">
      <c r="B11374" s="324"/>
      <c r="C11374" s="325"/>
      <c r="D11374" s="326"/>
      <c r="E11374" s="326"/>
      <c r="F11374" s="326"/>
      <c r="G11374" s="326"/>
      <c r="H11374" s="326"/>
      <c r="P11374" s="318"/>
      <c r="Q11374" s="318"/>
      <c r="R11374" s="318"/>
      <c r="S11374" s="318"/>
      <c r="T11374" s="318"/>
      <c r="U11374" s="318"/>
      <c r="V11374" s="318"/>
      <c r="W11374" s="318"/>
      <c r="X11374" s="318"/>
      <c r="Y11374" s="318"/>
      <c r="Z11374" s="318"/>
      <c r="AA11374" s="318"/>
      <c r="AB11374" s="318"/>
      <c r="AC11374" s="318"/>
      <c r="AD11374" s="318"/>
    </row>
    <row r="11375" spans="2:30" s="323" customFormat="1" ht="12" customHeight="1">
      <c r="B11375" s="324"/>
      <c r="C11375" s="325"/>
      <c r="D11375" s="326"/>
      <c r="E11375" s="326"/>
      <c r="F11375" s="326"/>
      <c r="G11375" s="326"/>
      <c r="H11375" s="326"/>
      <c r="P11375" s="318"/>
      <c r="Q11375" s="318"/>
      <c r="R11375" s="318"/>
      <c r="S11375" s="318"/>
      <c r="T11375" s="318"/>
      <c r="U11375" s="318"/>
      <c r="V11375" s="318"/>
      <c r="W11375" s="318"/>
      <c r="X11375" s="318"/>
      <c r="Y11375" s="318"/>
      <c r="Z11375" s="318"/>
      <c r="AA11375" s="318"/>
      <c r="AB11375" s="318"/>
      <c r="AC11375" s="318"/>
      <c r="AD11375" s="318"/>
    </row>
    <row r="11376" spans="2:30" s="323" customFormat="1" ht="12" customHeight="1">
      <c r="B11376" s="324"/>
      <c r="C11376" s="325"/>
      <c r="D11376" s="326"/>
      <c r="E11376" s="326"/>
      <c r="F11376" s="326"/>
      <c r="G11376" s="326"/>
      <c r="H11376" s="326"/>
      <c r="P11376" s="318"/>
      <c r="Q11376" s="318"/>
      <c r="R11376" s="318"/>
      <c r="S11376" s="318"/>
      <c r="T11376" s="318"/>
      <c r="U11376" s="318"/>
      <c r="V11376" s="318"/>
      <c r="W11376" s="318"/>
      <c r="X11376" s="318"/>
      <c r="Y11376" s="318"/>
      <c r="Z11376" s="318"/>
      <c r="AA11376" s="318"/>
      <c r="AB11376" s="318"/>
      <c r="AC11376" s="318"/>
      <c r="AD11376" s="318"/>
    </row>
    <row r="11377" spans="2:30" s="323" customFormat="1" ht="12" customHeight="1">
      <c r="B11377" s="324"/>
      <c r="C11377" s="325"/>
      <c r="D11377" s="326"/>
      <c r="E11377" s="326"/>
      <c r="F11377" s="326"/>
      <c r="G11377" s="326"/>
      <c r="H11377" s="326"/>
      <c r="P11377" s="318"/>
      <c r="Q11377" s="318"/>
      <c r="R11377" s="318"/>
      <c r="S11377" s="318"/>
      <c r="T11377" s="318"/>
      <c r="U11377" s="318"/>
      <c r="V11377" s="318"/>
      <c r="W11377" s="318"/>
      <c r="X11377" s="318"/>
      <c r="Y11377" s="318"/>
      <c r="Z11377" s="318"/>
      <c r="AA11377" s="318"/>
      <c r="AB11377" s="318"/>
      <c r="AC11377" s="318"/>
      <c r="AD11377" s="318"/>
    </row>
    <row r="11378" spans="2:30" s="323" customFormat="1" ht="12" customHeight="1">
      <c r="B11378" s="324"/>
      <c r="C11378" s="325"/>
      <c r="D11378" s="326"/>
      <c r="E11378" s="326"/>
      <c r="F11378" s="326"/>
      <c r="G11378" s="326"/>
      <c r="H11378" s="326"/>
      <c r="P11378" s="318"/>
      <c r="Q11378" s="318"/>
      <c r="R11378" s="318"/>
      <c r="S11378" s="318"/>
      <c r="T11378" s="318"/>
      <c r="U11378" s="318"/>
      <c r="V11378" s="318"/>
      <c r="W11378" s="318"/>
      <c r="X11378" s="318"/>
      <c r="Y11378" s="318"/>
      <c r="Z11378" s="318"/>
      <c r="AA11378" s="318"/>
      <c r="AB11378" s="318"/>
      <c r="AC11378" s="318"/>
      <c r="AD11378" s="318"/>
    </row>
    <row r="11379" spans="2:30" s="323" customFormat="1" ht="12" customHeight="1">
      <c r="B11379" s="324"/>
      <c r="C11379" s="325"/>
      <c r="D11379" s="326"/>
      <c r="E11379" s="326"/>
      <c r="F11379" s="326"/>
      <c r="G11379" s="326"/>
      <c r="H11379" s="326"/>
      <c r="P11379" s="318"/>
      <c r="Q11379" s="318"/>
      <c r="R11379" s="318"/>
      <c r="S11379" s="318"/>
      <c r="T11379" s="318"/>
      <c r="U11379" s="318"/>
      <c r="V11379" s="318"/>
      <c r="W11379" s="318"/>
      <c r="X11379" s="318"/>
      <c r="Y11379" s="318"/>
      <c r="Z11379" s="318"/>
      <c r="AA11379" s="318"/>
      <c r="AB11379" s="318"/>
      <c r="AC11379" s="318"/>
      <c r="AD11379" s="318"/>
    </row>
    <row r="11380" spans="2:30" s="323" customFormat="1" ht="12" customHeight="1">
      <c r="B11380" s="324"/>
      <c r="C11380" s="325"/>
      <c r="D11380" s="326"/>
      <c r="E11380" s="326"/>
      <c r="F11380" s="326"/>
      <c r="G11380" s="326"/>
      <c r="H11380" s="326"/>
      <c r="P11380" s="318"/>
      <c r="Q11380" s="318"/>
      <c r="R11380" s="318"/>
      <c r="S11380" s="318"/>
      <c r="T11380" s="318"/>
      <c r="U11380" s="318"/>
      <c r="V11380" s="318"/>
      <c r="W11380" s="318"/>
      <c r="X11380" s="318"/>
      <c r="Y11380" s="318"/>
      <c r="Z11380" s="318"/>
      <c r="AA11380" s="318"/>
      <c r="AB11380" s="318"/>
      <c r="AC11380" s="318"/>
      <c r="AD11380" s="318"/>
    </row>
    <row r="11381" spans="2:30" s="323" customFormat="1" ht="12" customHeight="1">
      <c r="B11381" s="324"/>
      <c r="C11381" s="325"/>
      <c r="D11381" s="326"/>
      <c r="E11381" s="326"/>
      <c r="F11381" s="326"/>
      <c r="G11381" s="326"/>
      <c r="H11381" s="326"/>
      <c r="P11381" s="318"/>
      <c r="Q11381" s="318"/>
      <c r="R11381" s="318"/>
      <c r="S11381" s="318"/>
      <c r="T11381" s="318"/>
      <c r="U11381" s="318"/>
      <c r="V11381" s="318"/>
      <c r="W11381" s="318"/>
      <c r="X11381" s="318"/>
      <c r="Y11381" s="318"/>
      <c r="Z11381" s="318"/>
      <c r="AA11381" s="318"/>
      <c r="AB11381" s="318"/>
      <c r="AC11381" s="318"/>
      <c r="AD11381" s="318"/>
    </row>
    <row r="11382" spans="2:30" s="323" customFormat="1" ht="12" customHeight="1">
      <c r="B11382" s="324"/>
      <c r="C11382" s="325"/>
      <c r="D11382" s="326"/>
      <c r="E11382" s="326"/>
      <c r="F11382" s="326"/>
      <c r="G11382" s="326"/>
      <c r="H11382" s="326"/>
      <c r="P11382" s="318"/>
      <c r="Q11382" s="318"/>
      <c r="R11382" s="318"/>
      <c r="S11382" s="318"/>
      <c r="T11382" s="318"/>
      <c r="U11382" s="318"/>
      <c r="V11382" s="318"/>
      <c r="W11382" s="318"/>
      <c r="X11382" s="318"/>
      <c r="Y11382" s="318"/>
      <c r="Z11382" s="318"/>
      <c r="AA11382" s="318"/>
      <c r="AB11382" s="318"/>
      <c r="AC11382" s="318"/>
      <c r="AD11382" s="318"/>
    </row>
    <row r="11383" spans="2:30" s="323" customFormat="1" ht="12" customHeight="1">
      <c r="B11383" s="324"/>
      <c r="C11383" s="325"/>
      <c r="D11383" s="326"/>
      <c r="E11383" s="326"/>
      <c r="F11383" s="326"/>
      <c r="G11383" s="326"/>
      <c r="H11383" s="326"/>
      <c r="P11383" s="318"/>
      <c r="Q11383" s="318"/>
      <c r="R11383" s="318"/>
      <c r="S11383" s="318"/>
      <c r="T11383" s="318"/>
      <c r="U11383" s="318"/>
      <c r="V11383" s="318"/>
      <c r="W11383" s="318"/>
      <c r="X11383" s="318"/>
      <c r="Y11383" s="318"/>
      <c r="Z11383" s="318"/>
      <c r="AA11383" s="318"/>
      <c r="AB11383" s="318"/>
      <c r="AC11383" s="318"/>
      <c r="AD11383" s="318"/>
    </row>
    <row r="11384" spans="2:30" s="323" customFormat="1" ht="12" customHeight="1">
      <c r="B11384" s="324"/>
      <c r="C11384" s="325"/>
      <c r="D11384" s="326"/>
      <c r="E11384" s="326"/>
      <c r="F11384" s="326"/>
      <c r="G11384" s="326"/>
      <c r="H11384" s="326"/>
      <c r="P11384" s="318"/>
      <c r="Q11384" s="318"/>
      <c r="R11384" s="318"/>
      <c r="S11384" s="318"/>
      <c r="T11384" s="318"/>
      <c r="U11384" s="318"/>
      <c r="V11384" s="318"/>
      <c r="W11384" s="318"/>
      <c r="X11384" s="318"/>
      <c r="Y11384" s="318"/>
      <c r="Z11384" s="318"/>
      <c r="AA11384" s="318"/>
      <c r="AB11384" s="318"/>
      <c r="AC11384" s="318"/>
      <c r="AD11384" s="318"/>
    </row>
    <row r="11385" spans="2:30" s="323" customFormat="1" ht="12" customHeight="1">
      <c r="B11385" s="324"/>
      <c r="C11385" s="325"/>
      <c r="D11385" s="326"/>
      <c r="E11385" s="326"/>
      <c r="F11385" s="326"/>
      <c r="G11385" s="326"/>
      <c r="H11385" s="326"/>
      <c r="P11385" s="318"/>
      <c r="Q11385" s="318"/>
      <c r="R11385" s="318"/>
      <c r="S11385" s="318"/>
      <c r="T11385" s="318"/>
      <c r="U11385" s="318"/>
      <c r="V11385" s="318"/>
      <c r="W11385" s="318"/>
      <c r="X11385" s="318"/>
      <c r="Y11385" s="318"/>
      <c r="Z11385" s="318"/>
      <c r="AA11385" s="318"/>
      <c r="AB11385" s="318"/>
      <c r="AC11385" s="318"/>
      <c r="AD11385" s="318"/>
    </row>
    <row r="11386" spans="2:30" s="323" customFormat="1" ht="12" customHeight="1">
      <c r="B11386" s="324"/>
      <c r="C11386" s="325"/>
      <c r="D11386" s="326"/>
      <c r="E11386" s="326"/>
      <c r="F11386" s="326"/>
      <c r="G11386" s="326"/>
      <c r="H11386" s="326"/>
      <c r="P11386" s="318"/>
      <c r="Q11386" s="318"/>
      <c r="R11386" s="318"/>
      <c r="S11386" s="318"/>
      <c r="T11386" s="318"/>
      <c r="U11386" s="318"/>
      <c r="V11386" s="318"/>
      <c r="W11386" s="318"/>
      <c r="X11386" s="318"/>
      <c r="Y11386" s="318"/>
      <c r="Z11386" s="318"/>
      <c r="AA11386" s="318"/>
      <c r="AB11386" s="318"/>
      <c r="AC11386" s="318"/>
      <c r="AD11386" s="318"/>
    </row>
    <row r="11387" spans="2:30" s="323" customFormat="1" ht="12" customHeight="1">
      <c r="B11387" s="324"/>
      <c r="C11387" s="325"/>
      <c r="D11387" s="326"/>
      <c r="E11387" s="326"/>
      <c r="F11387" s="326"/>
      <c r="G11387" s="326"/>
      <c r="H11387" s="326"/>
      <c r="P11387" s="318"/>
      <c r="Q11387" s="318"/>
      <c r="R11387" s="318"/>
      <c r="S11387" s="318"/>
      <c r="T11387" s="318"/>
      <c r="U11387" s="318"/>
      <c r="V11387" s="318"/>
      <c r="W11387" s="318"/>
      <c r="X11387" s="318"/>
      <c r="Y11387" s="318"/>
      <c r="Z11387" s="318"/>
      <c r="AA11387" s="318"/>
      <c r="AB11387" s="318"/>
      <c r="AC11387" s="318"/>
      <c r="AD11387" s="318"/>
    </row>
    <row r="11388" spans="2:30" s="323" customFormat="1" ht="12" customHeight="1">
      <c r="B11388" s="324"/>
      <c r="C11388" s="325"/>
      <c r="D11388" s="326"/>
      <c r="E11388" s="326"/>
      <c r="F11388" s="326"/>
      <c r="G11388" s="326"/>
      <c r="H11388" s="326"/>
      <c r="P11388" s="318"/>
      <c r="Q11388" s="318"/>
      <c r="R11388" s="318"/>
      <c r="S11388" s="318"/>
      <c r="T11388" s="318"/>
      <c r="U11388" s="318"/>
      <c r="V11388" s="318"/>
      <c r="W11388" s="318"/>
      <c r="X11388" s="318"/>
      <c r="Y11388" s="318"/>
      <c r="Z11388" s="318"/>
      <c r="AA11388" s="318"/>
      <c r="AB11388" s="318"/>
      <c r="AC11388" s="318"/>
      <c r="AD11388" s="318"/>
    </row>
    <row r="11389" spans="2:30" s="323" customFormat="1" ht="12" customHeight="1">
      <c r="B11389" s="324"/>
      <c r="C11389" s="325"/>
      <c r="D11389" s="326"/>
      <c r="E11389" s="326"/>
      <c r="F11389" s="326"/>
      <c r="G11389" s="326"/>
      <c r="H11389" s="326"/>
      <c r="P11389" s="318"/>
      <c r="Q11389" s="318"/>
      <c r="R11389" s="318"/>
      <c r="S11389" s="318"/>
      <c r="T11389" s="318"/>
      <c r="U11389" s="318"/>
      <c r="V11389" s="318"/>
      <c r="W11389" s="318"/>
      <c r="X11389" s="318"/>
      <c r="Y11389" s="318"/>
      <c r="Z11389" s="318"/>
      <c r="AA11389" s="318"/>
      <c r="AB11389" s="318"/>
      <c r="AC11389" s="318"/>
      <c r="AD11389" s="318"/>
    </row>
    <row r="11390" spans="2:30" s="323" customFormat="1" ht="12" customHeight="1">
      <c r="B11390" s="324"/>
      <c r="C11390" s="325"/>
      <c r="D11390" s="326"/>
      <c r="E11390" s="326"/>
      <c r="F11390" s="326"/>
      <c r="G11390" s="326"/>
      <c r="H11390" s="326"/>
      <c r="P11390" s="318"/>
      <c r="Q11390" s="318"/>
      <c r="R11390" s="318"/>
      <c r="S11390" s="318"/>
      <c r="T11390" s="318"/>
      <c r="U11390" s="318"/>
      <c r="V11390" s="318"/>
      <c r="W11390" s="318"/>
      <c r="X11390" s="318"/>
      <c r="Y11390" s="318"/>
      <c r="Z11390" s="318"/>
      <c r="AA11390" s="318"/>
      <c r="AB11390" s="318"/>
      <c r="AC11390" s="318"/>
      <c r="AD11390" s="318"/>
    </row>
    <row r="11391" spans="2:30" s="323" customFormat="1" ht="12" customHeight="1">
      <c r="B11391" s="324"/>
      <c r="C11391" s="325"/>
      <c r="D11391" s="326"/>
      <c r="E11391" s="326"/>
      <c r="F11391" s="326"/>
      <c r="G11391" s="326"/>
      <c r="H11391" s="326"/>
      <c r="P11391" s="318"/>
      <c r="Q11391" s="318"/>
      <c r="R11391" s="318"/>
      <c r="S11391" s="318"/>
      <c r="T11391" s="318"/>
      <c r="U11391" s="318"/>
      <c r="V11391" s="318"/>
      <c r="W11391" s="318"/>
      <c r="X11391" s="318"/>
      <c r="Y11391" s="318"/>
      <c r="Z11391" s="318"/>
      <c r="AA11391" s="318"/>
      <c r="AB11391" s="318"/>
      <c r="AC11391" s="318"/>
      <c r="AD11391" s="318"/>
    </row>
    <row r="11392" spans="2:30" s="323" customFormat="1" ht="12" customHeight="1">
      <c r="B11392" s="324"/>
      <c r="C11392" s="325"/>
      <c r="D11392" s="326"/>
      <c r="E11392" s="326"/>
      <c r="F11392" s="326"/>
      <c r="G11392" s="326"/>
      <c r="H11392" s="326"/>
      <c r="P11392" s="318"/>
      <c r="Q11392" s="318"/>
      <c r="R11392" s="318"/>
      <c r="S11392" s="318"/>
      <c r="T11392" s="318"/>
      <c r="U11392" s="318"/>
      <c r="V11392" s="318"/>
      <c r="W11392" s="318"/>
      <c r="X11392" s="318"/>
      <c r="Y11392" s="318"/>
      <c r="Z11392" s="318"/>
      <c r="AA11392" s="318"/>
      <c r="AB11392" s="318"/>
      <c r="AC11392" s="318"/>
      <c r="AD11392" s="318"/>
    </row>
    <row r="11393" spans="2:30" s="323" customFormat="1" ht="12" customHeight="1">
      <c r="B11393" s="324"/>
      <c r="C11393" s="325"/>
      <c r="D11393" s="326"/>
      <c r="E11393" s="326"/>
      <c r="F11393" s="326"/>
      <c r="G11393" s="326"/>
      <c r="H11393" s="326"/>
      <c r="P11393" s="318"/>
      <c r="Q11393" s="318"/>
      <c r="R11393" s="318"/>
      <c r="S11393" s="318"/>
      <c r="T11393" s="318"/>
      <c r="U11393" s="318"/>
      <c r="V11393" s="318"/>
      <c r="W11393" s="318"/>
      <c r="X11393" s="318"/>
      <c r="Y11393" s="318"/>
      <c r="Z11393" s="318"/>
      <c r="AA11393" s="318"/>
      <c r="AB11393" s="318"/>
      <c r="AC11393" s="318"/>
      <c r="AD11393" s="318"/>
    </row>
    <row r="11394" spans="2:30" s="323" customFormat="1" ht="12" customHeight="1">
      <c r="B11394" s="324"/>
      <c r="C11394" s="325"/>
      <c r="D11394" s="326"/>
      <c r="E11394" s="326"/>
      <c r="F11394" s="326"/>
      <c r="G11394" s="326"/>
      <c r="H11394" s="326"/>
      <c r="P11394" s="318"/>
      <c r="Q11394" s="318"/>
      <c r="R11394" s="318"/>
      <c r="S11394" s="318"/>
      <c r="T11394" s="318"/>
      <c r="U11394" s="318"/>
      <c r="V11394" s="318"/>
      <c r="W11394" s="318"/>
      <c r="X11394" s="318"/>
      <c r="Y11394" s="318"/>
      <c r="Z11394" s="318"/>
      <c r="AA11394" s="318"/>
      <c r="AB11394" s="318"/>
      <c r="AC11394" s="318"/>
      <c r="AD11394" s="318"/>
    </row>
    <row r="11395" spans="2:30" s="323" customFormat="1" ht="12" customHeight="1">
      <c r="B11395" s="324"/>
      <c r="C11395" s="325"/>
      <c r="D11395" s="326"/>
      <c r="E11395" s="326"/>
      <c r="F11395" s="326"/>
      <c r="G11395" s="326"/>
      <c r="H11395" s="326"/>
      <c r="P11395" s="318"/>
      <c r="Q11395" s="318"/>
      <c r="R11395" s="318"/>
      <c r="S11395" s="318"/>
      <c r="T11395" s="318"/>
      <c r="U11395" s="318"/>
      <c r="V11395" s="318"/>
      <c r="W11395" s="318"/>
      <c r="X11395" s="318"/>
      <c r="Y11395" s="318"/>
      <c r="Z11395" s="318"/>
      <c r="AA11395" s="318"/>
      <c r="AB11395" s="318"/>
      <c r="AC11395" s="318"/>
      <c r="AD11395" s="318"/>
    </row>
    <row r="11396" spans="2:30" s="323" customFormat="1" ht="12" customHeight="1">
      <c r="B11396" s="324"/>
      <c r="C11396" s="325"/>
      <c r="D11396" s="326"/>
      <c r="E11396" s="326"/>
      <c r="F11396" s="326"/>
      <c r="G11396" s="326"/>
      <c r="H11396" s="326"/>
      <c r="P11396" s="318"/>
      <c r="Q11396" s="318"/>
      <c r="R11396" s="318"/>
      <c r="S11396" s="318"/>
      <c r="T11396" s="318"/>
      <c r="U11396" s="318"/>
      <c r="V11396" s="318"/>
      <c r="W11396" s="318"/>
      <c r="X11396" s="318"/>
      <c r="Y11396" s="318"/>
      <c r="Z11396" s="318"/>
      <c r="AA11396" s="318"/>
      <c r="AB11396" s="318"/>
      <c r="AC11396" s="318"/>
      <c r="AD11396" s="318"/>
    </row>
    <row r="11397" spans="2:30" s="323" customFormat="1" ht="12" customHeight="1">
      <c r="B11397" s="324"/>
      <c r="C11397" s="325"/>
      <c r="D11397" s="326"/>
      <c r="E11397" s="326"/>
      <c r="F11397" s="326"/>
      <c r="G11397" s="326"/>
      <c r="H11397" s="326"/>
      <c r="P11397" s="318"/>
      <c r="Q11397" s="318"/>
      <c r="R11397" s="318"/>
      <c r="S11397" s="318"/>
      <c r="T11397" s="318"/>
      <c r="U11397" s="318"/>
      <c r="V11397" s="318"/>
      <c r="W11397" s="318"/>
      <c r="X11397" s="318"/>
      <c r="Y11397" s="318"/>
      <c r="Z11397" s="318"/>
      <c r="AA11397" s="318"/>
      <c r="AB11397" s="318"/>
      <c r="AC11397" s="318"/>
      <c r="AD11397" s="318"/>
    </row>
    <row r="11398" spans="2:30" s="323" customFormat="1" ht="12" customHeight="1">
      <c r="B11398" s="324"/>
      <c r="C11398" s="325"/>
      <c r="D11398" s="326"/>
      <c r="E11398" s="326"/>
      <c r="F11398" s="326"/>
      <c r="G11398" s="326"/>
      <c r="H11398" s="326"/>
      <c r="P11398" s="318"/>
      <c r="Q11398" s="318"/>
      <c r="R11398" s="318"/>
      <c r="S11398" s="318"/>
      <c r="T11398" s="318"/>
      <c r="U11398" s="318"/>
      <c r="V11398" s="318"/>
      <c r="W11398" s="318"/>
      <c r="X11398" s="318"/>
      <c r="Y11398" s="318"/>
      <c r="Z11398" s="318"/>
      <c r="AA11398" s="318"/>
      <c r="AB11398" s="318"/>
      <c r="AC11398" s="318"/>
      <c r="AD11398" s="318"/>
    </row>
    <row r="11399" spans="2:30" s="323" customFormat="1" ht="12" customHeight="1">
      <c r="B11399" s="324"/>
      <c r="C11399" s="325"/>
      <c r="D11399" s="326"/>
      <c r="E11399" s="326"/>
      <c r="F11399" s="326"/>
      <c r="G11399" s="326"/>
      <c r="H11399" s="326"/>
      <c r="P11399" s="318"/>
      <c r="Q11399" s="318"/>
      <c r="R11399" s="318"/>
      <c r="S11399" s="318"/>
      <c r="T11399" s="318"/>
      <c r="U11399" s="318"/>
      <c r="V11399" s="318"/>
      <c r="W11399" s="318"/>
      <c r="X11399" s="318"/>
      <c r="Y11399" s="318"/>
      <c r="Z11399" s="318"/>
      <c r="AA11399" s="318"/>
      <c r="AB11399" s="318"/>
      <c r="AC11399" s="318"/>
      <c r="AD11399" s="318"/>
    </row>
    <row r="11400" spans="2:30" s="323" customFormat="1" ht="12" customHeight="1">
      <c r="B11400" s="324"/>
      <c r="C11400" s="325"/>
      <c r="D11400" s="326"/>
      <c r="E11400" s="326"/>
      <c r="F11400" s="326"/>
      <c r="G11400" s="326"/>
      <c r="H11400" s="326"/>
      <c r="P11400" s="318"/>
      <c r="Q11400" s="318"/>
      <c r="R11400" s="318"/>
      <c r="S11400" s="318"/>
      <c r="T11400" s="318"/>
      <c r="U11400" s="318"/>
      <c r="V11400" s="318"/>
      <c r="W11400" s="318"/>
      <c r="X11400" s="318"/>
      <c r="Y11400" s="318"/>
      <c r="Z11400" s="318"/>
      <c r="AA11400" s="318"/>
      <c r="AB11400" s="318"/>
      <c r="AC11400" s="318"/>
      <c r="AD11400" s="318"/>
    </row>
    <row r="11401" spans="2:30" s="323" customFormat="1" ht="12" customHeight="1">
      <c r="B11401" s="324"/>
      <c r="C11401" s="325"/>
      <c r="D11401" s="326"/>
      <c r="E11401" s="326"/>
      <c r="F11401" s="326"/>
      <c r="G11401" s="326"/>
      <c r="H11401" s="326"/>
      <c r="P11401" s="318"/>
      <c r="Q11401" s="318"/>
      <c r="R11401" s="318"/>
      <c r="S11401" s="318"/>
      <c r="T11401" s="318"/>
      <c r="U11401" s="318"/>
      <c r="V11401" s="318"/>
      <c r="W11401" s="318"/>
      <c r="X11401" s="318"/>
      <c r="Y11401" s="318"/>
      <c r="Z11401" s="318"/>
      <c r="AA11401" s="318"/>
      <c r="AB11401" s="318"/>
      <c r="AC11401" s="318"/>
      <c r="AD11401" s="318"/>
    </row>
    <row r="11402" spans="2:30" s="323" customFormat="1" ht="12" customHeight="1">
      <c r="B11402" s="324"/>
      <c r="C11402" s="325"/>
      <c r="D11402" s="326"/>
      <c r="E11402" s="326"/>
      <c r="F11402" s="326"/>
      <c r="G11402" s="326"/>
      <c r="H11402" s="326"/>
      <c r="P11402" s="318"/>
      <c r="Q11402" s="318"/>
      <c r="R11402" s="318"/>
      <c r="S11402" s="318"/>
      <c r="T11402" s="318"/>
      <c r="U11402" s="318"/>
      <c r="V11402" s="318"/>
      <c r="W11402" s="318"/>
      <c r="X11402" s="318"/>
      <c r="Y11402" s="318"/>
      <c r="Z11402" s="318"/>
      <c r="AA11402" s="318"/>
      <c r="AB11402" s="318"/>
      <c r="AC11402" s="318"/>
      <c r="AD11402" s="318"/>
    </row>
    <row r="11403" spans="2:30" s="323" customFormat="1" ht="12" customHeight="1">
      <c r="B11403" s="324"/>
      <c r="C11403" s="325"/>
      <c r="D11403" s="326"/>
      <c r="E11403" s="326"/>
      <c r="F11403" s="326"/>
      <c r="G11403" s="326"/>
      <c r="H11403" s="326"/>
      <c r="P11403" s="318"/>
      <c r="Q11403" s="318"/>
      <c r="R11403" s="318"/>
      <c r="S11403" s="318"/>
      <c r="T11403" s="318"/>
      <c r="U11403" s="318"/>
      <c r="V11403" s="318"/>
      <c r="W11403" s="318"/>
      <c r="X11403" s="318"/>
      <c r="Y11403" s="318"/>
      <c r="Z11403" s="318"/>
      <c r="AA11403" s="318"/>
      <c r="AB11403" s="318"/>
      <c r="AC11403" s="318"/>
      <c r="AD11403" s="318"/>
    </row>
    <row r="11404" spans="2:30" s="323" customFormat="1" ht="12" customHeight="1">
      <c r="B11404" s="324"/>
      <c r="C11404" s="325"/>
      <c r="D11404" s="326"/>
      <c r="E11404" s="326"/>
      <c r="F11404" s="326"/>
      <c r="G11404" s="326"/>
      <c r="H11404" s="326"/>
      <c r="P11404" s="318"/>
      <c r="Q11404" s="318"/>
      <c r="R11404" s="318"/>
      <c r="S11404" s="318"/>
      <c r="T11404" s="318"/>
      <c r="U11404" s="318"/>
      <c r="V11404" s="318"/>
      <c r="W11404" s="318"/>
      <c r="X11404" s="318"/>
      <c r="Y11404" s="318"/>
      <c r="Z11404" s="318"/>
      <c r="AA11404" s="318"/>
      <c r="AB11404" s="318"/>
      <c r="AC11404" s="318"/>
      <c r="AD11404" s="318"/>
    </row>
    <row r="11405" spans="2:30" s="323" customFormat="1" ht="12" customHeight="1">
      <c r="B11405" s="324"/>
      <c r="C11405" s="325"/>
      <c r="D11405" s="326"/>
      <c r="E11405" s="326"/>
      <c r="F11405" s="326"/>
      <c r="G11405" s="326"/>
      <c r="H11405" s="326"/>
      <c r="P11405" s="318"/>
      <c r="Q11405" s="318"/>
      <c r="R11405" s="318"/>
      <c r="S11405" s="318"/>
      <c r="T11405" s="318"/>
      <c r="U11405" s="318"/>
      <c r="V11405" s="318"/>
      <c r="W11405" s="318"/>
      <c r="X11405" s="318"/>
      <c r="Y11405" s="318"/>
      <c r="Z11405" s="318"/>
      <c r="AA11405" s="318"/>
      <c r="AB11405" s="318"/>
      <c r="AC11405" s="318"/>
      <c r="AD11405" s="318"/>
    </row>
    <row r="11406" spans="2:30" s="323" customFormat="1" ht="12" customHeight="1">
      <c r="B11406" s="324"/>
      <c r="C11406" s="325"/>
      <c r="D11406" s="326"/>
      <c r="E11406" s="326"/>
      <c r="F11406" s="326"/>
      <c r="G11406" s="326"/>
      <c r="H11406" s="326"/>
      <c r="P11406" s="318"/>
      <c r="Q11406" s="318"/>
      <c r="R11406" s="318"/>
      <c r="S11406" s="318"/>
      <c r="T11406" s="318"/>
      <c r="U11406" s="318"/>
      <c r="V11406" s="318"/>
      <c r="W11406" s="318"/>
      <c r="X11406" s="318"/>
      <c r="Y11406" s="318"/>
      <c r="Z11406" s="318"/>
      <c r="AA11406" s="318"/>
      <c r="AB11406" s="318"/>
      <c r="AC11406" s="318"/>
      <c r="AD11406" s="318"/>
    </row>
    <row r="11407" spans="2:30" s="323" customFormat="1" ht="12" customHeight="1">
      <c r="B11407" s="324"/>
      <c r="C11407" s="325"/>
      <c r="D11407" s="326"/>
      <c r="E11407" s="326"/>
      <c r="F11407" s="326"/>
      <c r="G11407" s="326"/>
      <c r="H11407" s="326"/>
      <c r="P11407" s="318"/>
      <c r="Q11407" s="318"/>
      <c r="R11407" s="318"/>
      <c r="S11407" s="318"/>
      <c r="T11407" s="318"/>
      <c r="U11407" s="318"/>
      <c r="V11407" s="318"/>
      <c r="W11407" s="318"/>
      <c r="X11407" s="318"/>
      <c r="Y11407" s="318"/>
      <c r="Z11407" s="318"/>
      <c r="AA11407" s="318"/>
      <c r="AB11407" s="318"/>
      <c r="AC11407" s="318"/>
      <c r="AD11407" s="318"/>
    </row>
    <row r="11408" spans="2:30" s="323" customFormat="1" ht="12" customHeight="1">
      <c r="B11408" s="324"/>
      <c r="C11408" s="325"/>
      <c r="D11408" s="326"/>
      <c r="E11408" s="326"/>
      <c r="F11408" s="326"/>
      <c r="G11408" s="326"/>
      <c r="H11408" s="326"/>
      <c r="P11408" s="318"/>
      <c r="Q11408" s="318"/>
      <c r="R11408" s="318"/>
      <c r="S11408" s="318"/>
      <c r="T11408" s="318"/>
      <c r="U11408" s="318"/>
      <c r="V11408" s="318"/>
      <c r="W11408" s="318"/>
      <c r="X11408" s="318"/>
      <c r="Y11408" s="318"/>
      <c r="Z11408" s="318"/>
      <c r="AA11408" s="318"/>
      <c r="AB11408" s="318"/>
      <c r="AC11408" s="318"/>
      <c r="AD11408" s="318"/>
    </row>
    <row r="11409" spans="2:30" s="323" customFormat="1" ht="12" customHeight="1">
      <c r="B11409" s="324"/>
      <c r="C11409" s="325"/>
      <c r="D11409" s="326"/>
      <c r="E11409" s="326"/>
      <c r="F11409" s="326"/>
      <c r="G11409" s="326"/>
      <c r="H11409" s="326"/>
      <c r="P11409" s="318"/>
      <c r="Q11409" s="318"/>
      <c r="R11409" s="318"/>
      <c r="S11409" s="318"/>
      <c r="T11409" s="318"/>
      <c r="U11409" s="318"/>
      <c r="V11409" s="318"/>
      <c r="W11409" s="318"/>
      <c r="X11409" s="318"/>
      <c r="Y11409" s="318"/>
      <c r="Z11409" s="318"/>
      <c r="AA11409" s="318"/>
      <c r="AB11409" s="318"/>
      <c r="AC11409" s="318"/>
      <c r="AD11409" s="318"/>
    </row>
    <row r="11410" spans="2:30" s="323" customFormat="1" ht="12" customHeight="1">
      <c r="B11410" s="324"/>
      <c r="C11410" s="325"/>
      <c r="D11410" s="326"/>
      <c r="E11410" s="326"/>
      <c r="F11410" s="326"/>
      <c r="G11410" s="326"/>
      <c r="H11410" s="326"/>
      <c r="P11410" s="318"/>
      <c r="Q11410" s="318"/>
      <c r="R11410" s="318"/>
      <c r="S11410" s="318"/>
      <c r="T11410" s="318"/>
      <c r="U11410" s="318"/>
      <c r="V11410" s="318"/>
      <c r="W11410" s="318"/>
      <c r="X11410" s="318"/>
      <c r="Y11410" s="318"/>
      <c r="Z11410" s="318"/>
      <c r="AA11410" s="318"/>
      <c r="AB11410" s="318"/>
      <c r="AC11410" s="318"/>
      <c r="AD11410" s="318"/>
    </row>
    <row r="11411" spans="2:30" s="323" customFormat="1" ht="12" customHeight="1">
      <c r="B11411" s="324"/>
      <c r="C11411" s="325"/>
      <c r="D11411" s="326"/>
      <c r="E11411" s="326"/>
      <c r="F11411" s="326"/>
      <c r="G11411" s="326"/>
      <c r="H11411" s="326"/>
      <c r="P11411" s="318"/>
      <c r="Q11411" s="318"/>
      <c r="R11411" s="318"/>
      <c r="S11411" s="318"/>
      <c r="T11411" s="318"/>
      <c r="U11411" s="318"/>
      <c r="V11411" s="318"/>
      <c r="W11411" s="318"/>
      <c r="X11411" s="318"/>
      <c r="Y11411" s="318"/>
      <c r="Z11411" s="318"/>
      <c r="AA11411" s="318"/>
      <c r="AB11411" s="318"/>
      <c r="AC11411" s="318"/>
      <c r="AD11411" s="318"/>
    </row>
    <row r="11412" spans="2:30" s="323" customFormat="1" ht="12" customHeight="1">
      <c r="B11412" s="324"/>
      <c r="C11412" s="325"/>
      <c r="D11412" s="326"/>
      <c r="E11412" s="326"/>
      <c r="F11412" s="326"/>
      <c r="G11412" s="326"/>
      <c r="H11412" s="326"/>
      <c r="P11412" s="318"/>
      <c r="Q11412" s="318"/>
      <c r="R11412" s="318"/>
      <c r="S11412" s="318"/>
      <c r="T11412" s="318"/>
      <c r="U11412" s="318"/>
      <c r="V11412" s="318"/>
      <c r="W11412" s="318"/>
      <c r="X11412" s="318"/>
      <c r="Y11412" s="318"/>
      <c r="Z11412" s="318"/>
      <c r="AA11412" s="318"/>
      <c r="AB11412" s="318"/>
      <c r="AC11412" s="318"/>
      <c r="AD11412" s="318"/>
    </row>
    <row r="11413" spans="2:30" s="323" customFormat="1" ht="12" customHeight="1">
      <c r="B11413" s="324"/>
      <c r="C11413" s="325"/>
      <c r="D11413" s="326"/>
      <c r="E11413" s="326"/>
      <c r="F11413" s="326"/>
      <c r="G11413" s="326"/>
      <c r="H11413" s="326"/>
      <c r="P11413" s="318"/>
      <c r="Q11413" s="318"/>
      <c r="R11413" s="318"/>
      <c r="S11413" s="318"/>
      <c r="T11413" s="318"/>
      <c r="U11413" s="318"/>
      <c r="V11413" s="318"/>
      <c r="W11413" s="318"/>
      <c r="X11413" s="318"/>
      <c r="Y11413" s="318"/>
      <c r="Z11413" s="318"/>
      <c r="AA11413" s="318"/>
      <c r="AB11413" s="318"/>
      <c r="AC11413" s="318"/>
      <c r="AD11413" s="318"/>
    </row>
    <row r="11414" spans="2:30" s="323" customFormat="1" ht="12" customHeight="1">
      <c r="B11414" s="324"/>
      <c r="C11414" s="325"/>
      <c r="D11414" s="326"/>
      <c r="E11414" s="326"/>
      <c r="F11414" s="326"/>
      <c r="G11414" s="326"/>
      <c r="H11414" s="326"/>
      <c r="P11414" s="318"/>
      <c r="Q11414" s="318"/>
      <c r="R11414" s="318"/>
      <c r="S11414" s="318"/>
      <c r="T11414" s="318"/>
      <c r="U11414" s="318"/>
      <c r="V11414" s="318"/>
      <c r="W11414" s="318"/>
      <c r="X11414" s="318"/>
      <c r="Y11414" s="318"/>
      <c r="Z11414" s="318"/>
      <c r="AA11414" s="318"/>
      <c r="AB11414" s="318"/>
      <c r="AC11414" s="318"/>
      <c r="AD11414" s="318"/>
    </row>
    <row r="11415" spans="2:30" s="323" customFormat="1" ht="12" customHeight="1">
      <c r="B11415" s="324"/>
      <c r="C11415" s="325"/>
      <c r="D11415" s="326"/>
      <c r="E11415" s="326"/>
      <c r="F11415" s="326"/>
      <c r="G11415" s="326"/>
      <c r="H11415" s="326"/>
      <c r="P11415" s="318"/>
      <c r="Q11415" s="318"/>
      <c r="R11415" s="318"/>
      <c r="S11415" s="318"/>
      <c r="T11415" s="318"/>
      <c r="U11415" s="318"/>
      <c r="V11415" s="318"/>
      <c r="W11415" s="318"/>
      <c r="X11415" s="318"/>
      <c r="Y11415" s="318"/>
      <c r="Z11415" s="318"/>
      <c r="AA11415" s="318"/>
      <c r="AB11415" s="318"/>
      <c r="AC11415" s="318"/>
      <c r="AD11415" s="318"/>
    </row>
    <row r="11416" spans="2:30" s="323" customFormat="1" ht="12" customHeight="1">
      <c r="B11416" s="324"/>
      <c r="C11416" s="325"/>
      <c r="D11416" s="326"/>
      <c r="E11416" s="326"/>
      <c r="F11416" s="326"/>
      <c r="G11416" s="326"/>
      <c r="H11416" s="326"/>
      <c r="P11416" s="318"/>
      <c r="Q11416" s="318"/>
      <c r="R11416" s="318"/>
      <c r="S11416" s="318"/>
      <c r="T11416" s="318"/>
      <c r="U11416" s="318"/>
      <c r="V11416" s="318"/>
      <c r="W11416" s="318"/>
      <c r="X11416" s="318"/>
      <c r="Y11416" s="318"/>
      <c r="Z11416" s="318"/>
      <c r="AA11416" s="318"/>
      <c r="AB11416" s="318"/>
      <c r="AC11416" s="318"/>
      <c r="AD11416" s="318"/>
    </row>
    <row r="11417" spans="2:30" s="323" customFormat="1" ht="12" customHeight="1">
      <c r="B11417" s="324"/>
      <c r="C11417" s="325"/>
      <c r="D11417" s="326"/>
      <c r="E11417" s="326"/>
      <c r="F11417" s="326"/>
      <c r="G11417" s="326"/>
      <c r="H11417" s="326"/>
      <c r="P11417" s="318"/>
      <c r="Q11417" s="318"/>
      <c r="R11417" s="318"/>
      <c r="S11417" s="318"/>
      <c r="T11417" s="318"/>
      <c r="U11417" s="318"/>
      <c r="V11417" s="318"/>
      <c r="W11417" s="318"/>
      <c r="X11417" s="318"/>
      <c r="Y11417" s="318"/>
      <c r="Z11417" s="318"/>
      <c r="AA11417" s="318"/>
      <c r="AB11417" s="318"/>
      <c r="AC11417" s="318"/>
      <c r="AD11417" s="318"/>
    </row>
    <row r="11418" spans="2:30" s="323" customFormat="1" ht="12" customHeight="1">
      <c r="B11418" s="324"/>
      <c r="C11418" s="325"/>
      <c r="D11418" s="326"/>
      <c r="E11418" s="326"/>
      <c r="F11418" s="326"/>
      <c r="G11418" s="326"/>
      <c r="H11418" s="326"/>
      <c r="P11418" s="318"/>
      <c r="Q11418" s="318"/>
      <c r="R11418" s="318"/>
      <c r="S11418" s="318"/>
      <c r="T11418" s="318"/>
      <c r="U11418" s="318"/>
      <c r="V11418" s="318"/>
      <c r="W11418" s="318"/>
      <c r="X11418" s="318"/>
      <c r="Y11418" s="318"/>
      <c r="Z11418" s="318"/>
      <c r="AA11418" s="318"/>
      <c r="AB11418" s="318"/>
      <c r="AC11418" s="318"/>
      <c r="AD11418" s="318"/>
    </row>
    <row r="11419" spans="2:30" s="323" customFormat="1" ht="12" customHeight="1">
      <c r="B11419" s="324"/>
      <c r="C11419" s="325"/>
      <c r="D11419" s="326"/>
      <c r="E11419" s="326"/>
      <c r="F11419" s="326"/>
      <c r="G11419" s="326"/>
      <c r="H11419" s="326"/>
      <c r="P11419" s="318"/>
      <c r="Q11419" s="318"/>
      <c r="R11419" s="318"/>
      <c r="S11419" s="318"/>
      <c r="T11419" s="318"/>
      <c r="U11419" s="318"/>
      <c r="V11419" s="318"/>
      <c r="W11419" s="318"/>
      <c r="X11419" s="318"/>
      <c r="Y11419" s="318"/>
      <c r="Z11419" s="318"/>
      <c r="AA11419" s="318"/>
      <c r="AB11419" s="318"/>
      <c r="AC11419" s="318"/>
      <c r="AD11419" s="318"/>
    </row>
    <row r="11420" spans="2:30" s="323" customFormat="1" ht="12" customHeight="1">
      <c r="B11420" s="324"/>
      <c r="C11420" s="325"/>
      <c r="D11420" s="326"/>
      <c r="E11420" s="326"/>
      <c r="F11420" s="326"/>
      <c r="G11420" s="326"/>
      <c r="H11420" s="326"/>
      <c r="P11420" s="318"/>
      <c r="Q11420" s="318"/>
      <c r="R11420" s="318"/>
      <c r="S11420" s="318"/>
      <c r="T11420" s="318"/>
      <c r="U11420" s="318"/>
      <c r="V11420" s="318"/>
      <c r="W11420" s="318"/>
      <c r="X11420" s="318"/>
      <c r="Y11420" s="318"/>
      <c r="Z11420" s="318"/>
      <c r="AA11420" s="318"/>
      <c r="AB11420" s="318"/>
      <c r="AC11420" s="318"/>
      <c r="AD11420" s="318"/>
    </row>
    <row r="11421" spans="2:30" s="323" customFormat="1" ht="12" customHeight="1">
      <c r="B11421" s="324"/>
      <c r="C11421" s="325"/>
      <c r="D11421" s="326"/>
      <c r="E11421" s="326"/>
      <c r="F11421" s="326"/>
      <c r="G11421" s="326"/>
      <c r="H11421" s="326"/>
      <c r="P11421" s="318"/>
      <c r="Q11421" s="318"/>
      <c r="R11421" s="318"/>
      <c r="S11421" s="318"/>
      <c r="T11421" s="318"/>
      <c r="U11421" s="318"/>
      <c r="V11421" s="318"/>
      <c r="W11421" s="318"/>
      <c r="X11421" s="318"/>
      <c r="Y11421" s="318"/>
      <c r="Z11421" s="318"/>
      <c r="AA11421" s="318"/>
      <c r="AB11421" s="318"/>
      <c r="AC11421" s="318"/>
      <c r="AD11421" s="318"/>
    </row>
    <row r="11422" spans="2:30" s="323" customFormat="1" ht="12" customHeight="1">
      <c r="B11422" s="324"/>
      <c r="C11422" s="325"/>
      <c r="D11422" s="326"/>
      <c r="E11422" s="326"/>
      <c r="F11422" s="326"/>
      <c r="G11422" s="326"/>
      <c r="H11422" s="326"/>
      <c r="P11422" s="318"/>
      <c r="Q11422" s="318"/>
      <c r="R11422" s="318"/>
      <c r="S11422" s="318"/>
      <c r="T11422" s="318"/>
      <c r="U11422" s="318"/>
      <c r="V11422" s="318"/>
      <c r="W11422" s="318"/>
      <c r="X11422" s="318"/>
      <c r="Y11422" s="318"/>
      <c r="Z11422" s="318"/>
      <c r="AA11422" s="318"/>
      <c r="AB11422" s="318"/>
      <c r="AC11422" s="318"/>
      <c r="AD11422" s="318"/>
    </row>
    <row r="11423" spans="2:30" s="323" customFormat="1" ht="12" customHeight="1">
      <c r="B11423" s="324"/>
      <c r="C11423" s="325"/>
      <c r="D11423" s="326"/>
      <c r="E11423" s="326"/>
      <c r="F11423" s="326"/>
      <c r="G11423" s="326"/>
      <c r="H11423" s="326"/>
      <c r="P11423" s="318"/>
      <c r="Q11423" s="318"/>
      <c r="R11423" s="318"/>
      <c r="S11423" s="318"/>
      <c r="T11423" s="318"/>
      <c r="U11423" s="318"/>
      <c r="V11423" s="318"/>
      <c r="W11423" s="318"/>
      <c r="X11423" s="318"/>
      <c r="Y11423" s="318"/>
      <c r="Z11423" s="318"/>
      <c r="AA11423" s="318"/>
      <c r="AB11423" s="318"/>
      <c r="AC11423" s="318"/>
      <c r="AD11423" s="318"/>
    </row>
    <row r="11424" spans="2:30" s="323" customFormat="1" ht="12" customHeight="1">
      <c r="B11424" s="324"/>
      <c r="C11424" s="325"/>
      <c r="D11424" s="326"/>
      <c r="E11424" s="326"/>
      <c r="F11424" s="326"/>
      <c r="G11424" s="326"/>
      <c r="H11424" s="326"/>
      <c r="P11424" s="318"/>
      <c r="Q11424" s="318"/>
      <c r="R11424" s="318"/>
      <c r="S11424" s="318"/>
      <c r="T11424" s="318"/>
      <c r="U11424" s="318"/>
      <c r="V11424" s="318"/>
      <c r="W11424" s="318"/>
      <c r="X11424" s="318"/>
      <c r="Y11424" s="318"/>
      <c r="Z11424" s="318"/>
      <c r="AA11424" s="318"/>
      <c r="AB11424" s="318"/>
      <c r="AC11424" s="318"/>
      <c r="AD11424" s="318"/>
    </row>
    <row r="11425" spans="2:30" s="323" customFormat="1" ht="12" customHeight="1">
      <c r="B11425" s="324"/>
      <c r="C11425" s="325"/>
      <c r="D11425" s="326"/>
      <c r="E11425" s="326"/>
      <c r="F11425" s="326"/>
      <c r="G11425" s="326"/>
      <c r="H11425" s="326"/>
      <c r="P11425" s="318"/>
      <c r="Q11425" s="318"/>
      <c r="R11425" s="318"/>
      <c r="S11425" s="318"/>
      <c r="T11425" s="318"/>
      <c r="U11425" s="318"/>
      <c r="V11425" s="318"/>
      <c r="W11425" s="318"/>
      <c r="X11425" s="318"/>
      <c r="Y11425" s="318"/>
      <c r="Z11425" s="318"/>
      <c r="AA11425" s="318"/>
      <c r="AB11425" s="318"/>
      <c r="AC11425" s="318"/>
      <c r="AD11425" s="318"/>
    </row>
    <row r="11426" spans="2:30" s="323" customFormat="1" ht="12" customHeight="1">
      <c r="B11426" s="324"/>
      <c r="C11426" s="325"/>
      <c r="D11426" s="326"/>
      <c r="E11426" s="326"/>
      <c r="F11426" s="326"/>
      <c r="G11426" s="326"/>
      <c r="H11426" s="326"/>
      <c r="P11426" s="318"/>
      <c r="Q11426" s="318"/>
      <c r="R11426" s="318"/>
      <c r="S11426" s="318"/>
      <c r="T11426" s="318"/>
      <c r="U11426" s="318"/>
      <c r="V11426" s="318"/>
      <c r="W11426" s="318"/>
      <c r="X11426" s="318"/>
      <c r="Y11426" s="318"/>
      <c r="Z11426" s="318"/>
      <c r="AA11426" s="318"/>
      <c r="AB11426" s="318"/>
      <c r="AC11426" s="318"/>
      <c r="AD11426" s="318"/>
    </row>
    <row r="11427" spans="2:30" s="323" customFormat="1" ht="12" customHeight="1">
      <c r="B11427" s="324"/>
      <c r="C11427" s="325"/>
      <c r="D11427" s="326"/>
      <c r="E11427" s="326"/>
      <c r="F11427" s="326"/>
      <c r="G11427" s="326"/>
      <c r="H11427" s="326"/>
      <c r="P11427" s="318"/>
      <c r="Q11427" s="318"/>
      <c r="R11427" s="318"/>
      <c r="S11427" s="318"/>
      <c r="T11427" s="318"/>
      <c r="U11427" s="318"/>
      <c r="V11427" s="318"/>
      <c r="W11427" s="318"/>
      <c r="X11427" s="318"/>
      <c r="Y11427" s="318"/>
      <c r="Z11427" s="318"/>
      <c r="AA11427" s="318"/>
      <c r="AB11427" s="318"/>
      <c r="AC11427" s="318"/>
      <c r="AD11427" s="318"/>
    </row>
    <row r="11428" spans="2:30" s="323" customFormat="1" ht="12" customHeight="1">
      <c r="B11428" s="324"/>
      <c r="C11428" s="325"/>
      <c r="D11428" s="326"/>
      <c r="E11428" s="326"/>
      <c r="F11428" s="326"/>
      <c r="G11428" s="326"/>
      <c r="H11428" s="326"/>
      <c r="P11428" s="318"/>
      <c r="Q11428" s="318"/>
      <c r="R11428" s="318"/>
      <c r="S11428" s="318"/>
      <c r="T11428" s="318"/>
      <c r="U11428" s="318"/>
      <c r="V11428" s="318"/>
      <c r="W11428" s="318"/>
      <c r="X11428" s="318"/>
      <c r="Y11428" s="318"/>
      <c r="Z11428" s="318"/>
      <c r="AA11428" s="318"/>
      <c r="AB11428" s="318"/>
      <c r="AC11428" s="318"/>
      <c r="AD11428" s="318"/>
    </row>
    <row r="11429" spans="2:30" s="323" customFormat="1" ht="12" customHeight="1">
      <c r="B11429" s="324"/>
      <c r="C11429" s="325"/>
      <c r="D11429" s="326"/>
      <c r="E11429" s="326"/>
      <c r="F11429" s="326"/>
      <c r="G11429" s="326"/>
      <c r="H11429" s="326"/>
      <c r="P11429" s="318"/>
      <c r="Q11429" s="318"/>
      <c r="R11429" s="318"/>
      <c r="S11429" s="318"/>
      <c r="T11429" s="318"/>
      <c r="U11429" s="318"/>
      <c r="V11429" s="318"/>
      <c r="W11429" s="318"/>
      <c r="X11429" s="318"/>
      <c r="Y11429" s="318"/>
      <c r="Z11429" s="318"/>
      <c r="AA11429" s="318"/>
      <c r="AB11429" s="318"/>
      <c r="AC11429" s="318"/>
      <c r="AD11429" s="318"/>
    </row>
    <row r="11430" spans="2:30" s="323" customFormat="1" ht="12" customHeight="1">
      <c r="B11430" s="324"/>
      <c r="C11430" s="325"/>
      <c r="D11430" s="326"/>
      <c r="E11430" s="326"/>
      <c r="F11430" s="326"/>
      <c r="G11430" s="326"/>
      <c r="H11430" s="326"/>
      <c r="P11430" s="318"/>
      <c r="Q11430" s="318"/>
      <c r="R11430" s="318"/>
      <c r="S11430" s="318"/>
      <c r="T11430" s="318"/>
      <c r="U11430" s="318"/>
      <c r="V11430" s="318"/>
      <c r="W11430" s="318"/>
      <c r="X11430" s="318"/>
      <c r="Y11430" s="318"/>
      <c r="Z11430" s="318"/>
      <c r="AA11430" s="318"/>
      <c r="AB11430" s="318"/>
      <c r="AC11430" s="318"/>
      <c r="AD11430" s="318"/>
    </row>
    <row r="11431" spans="2:30" s="323" customFormat="1" ht="12" customHeight="1">
      <c r="B11431" s="324"/>
      <c r="C11431" s="325"/>
      <c r="D11431" s="326"/>
      <c r="E11431" s="326"/>
      <c r="F11431" s="326"/>
      <c r="G11431" s="326"/>
      <c r="H11431" s="326"/>
      <c r="P11431" s="318"/>
      <c r="Q11431" s="318"/>
      <c r="R11431" s="318"/>
      <c r="S11431" s="318"/>
      <c r="T11431" s="318"/>
      <c r="U11431" s="318"/>
      <c r="V11431" s="318"/>
      <c r="W11431" s="318"/>
      <c r="X11431" s="318"/>
      <c r="Y11431" s="318"/>
      <c r="Z11431" s="318"/>
      <c r="AA11431" s="318"/>
      <c r="AB11431" s="318"/>
      <c r="AC11431" s="318"/>
      <c r="AD11431" s="318"/>
    </row>
    <row r="11432" spans="2:30" s="323" customFormat="1" ht="12" customHeight="1">
      <c r="B11432" s="324"/>
      <c r="C11432" s="325"/>
      <c r="D11432" s="326"/>
      <c r="E11432" s="326"/>
      <c r="F11432" s="326"/>
      <c r="G11432" s="326"/>
      <c r="H11432" s="326"/>
      <c r="P11432" s="318"/>
      <c r="Q11432" s="318"/>
      <c r="R11432" s="318"/>
      <c r="S11432" s="318"/>
      <c r="T11432" s="318"/>
      <c r="U11432" s="318"/>
      <c r="V11432" s="318"/>
      <c r="W11432" s="318"/>
      <c r="X11432" s="318"/>
      <c r="Y11432" s="318"/>
      <c r="Z11432" s="318"/>
      <c r="AA11432" s="318"/>
      <c r="AB11432" s="318"/>
      <c r="AC11432" s="318"/>
      <c r="AD11432" s="318"/>
    </row>
    <row r="11433" spans="2:30" s="323" customFormat="1" ht="12" customHeight="1">
      <c r="B11433" s="324"/>
      <c r="C11433" s="325"/>
      <c r="D11433" s="326"/>
      <c r="E11433" s="326"/>
      <c r="F11433" s="326"/>
      <c r="G11433" s="326"/>
      <c r="H11433" s="326"/>
      <c r="P11433" s="318"/>
      <c r="Q11433" s="318"/>
      <c r="R11433" s="318"/>
      <c r="S11433" s="318"/>
      <c r="T11433" s="318"/>
      <c r="U11433" s="318"/>
      <c r="V11433" s="318"/>
      <c r="W11433" s="318"/>
      <c r="X11433" s="318"/>
      <c r="Y11433" s="318"/>
      <c r="Z11433" s="318"/>
      <c r="AA11433" s="318"/>
      <c r="AB11433" s="318"/>
      <c r="AC11433" s="318"/>
      <c r="AD11433" s="318"/>
    </row>
    <row r="11434" spans="2:30" s="323" customFormat="1" ht="12" customHeight="1">
      <c r="B11434" s="324"/>
      <c r="C11434" s="325"/>
      <c r="D11434" s="326"/>
      <c r="E11434" s="326"/>
      <c r="F11434" s="326"/>
      <c r="G11434" s="326"/>
      <c r="H11434" s="326"/>
      <c r="P11434" s="318"/>
      <c r="Q11434" s="318"/>
      <c r="R11434" s="318"/>
      <c r="S11434" s="318"/>
      <c r="T11434" s="318"/>
      <c r="U11434" s="318"/>
      <c r="V11434" s="318"/>
      <c r="W11434" s="318"/>
      <c r="X11434" s="318"/>
      <c r="Y11434" s="318"/>
      <c r="Z11434" s="318"/>
      <c r="AA11434" s="318"/>
      <c r="AB11434" s="318"/>
      <c r="AC11434" s="318"/>
      <c r="AD11434" s="318"/>
    </row>
    <row r="11435" spans="2:30" s="323" customFormat="1" ht="12" customHeight="1">
      <c r="B11435" s="324"/>
      <c r="C11435" s="325"/>
      <c r="D11435" s="326"/>
      <c r="E11435" s="326"/>
      <c r="F11435" s="326"/>
      <c r="G11435" s="326"/>
      <c r="H11435" s="326"/>
      <c r="P11435" s="318"/>
      <c r="Q11435" s="318"/>
      <c r="R11435" s="318"/>
      <c r="S11435" s="318"/>
      <c r="T11435" s="318"/>
      <c r="U11435" s="318"/>
      <c r="V11435" s="318"/>
      <c r="W11435" s="318"/>
      <c r="X11435" s="318"/>
      <c r="Y11435" s="318"/>
      <c r="Z11435" s="318"/>
      <c r="AA11435" s="318"/>
      <c r="AB11435" s="318"/>
      <c r="AC11435" s="318"/>
      <c r="AD11435" s="318"/>
    </row>
    <row r="11436" spans="2:30" s="323" customFormat="1" ht="12" customHeight="1">
      <c r="B11436" s="324"/>
      <c r="C11436" s="325"/>
      <c r="D11436" s="326"/>
      <c r="E11436" s="326"/>
      <c r="F11436" s="326"/>
      <c r="G11436" s="326"/>
      <c r="H11436" s="326"/>
      <c r="P11436" s="318"/>
      <c r="Q11436" s="318"/>
      <c r="R11436" s="318"/>
      <c r="S11436" s="318"/>
      <c r="T11436" s="318"/>
      <c r="U11436" s="318"/>
      <c r="V11436" s="318"/>
      <c r="W11436" s="318"/>
      <c r="X11436" s="318"/>
      <c r="Y11436" s="318"/>
      <c r="Z11436" s="318"/>
      <c r="AA11436" s="318"/>
      <c r="AB11436" s="318"/>
      <c r="AC11436" s="318"/>
      <c r="AD11436" s="318"/>
    </row>
    <row r="11437" spans="2:30" s="323" customFormat="1" ht="12" customHeight="1">
      <c r="B11437" s="324"/>
      <c r="C11437" s="325"/>
      <c r="D11437" s="326"/>
      <c r="E11437" s="326"/>
      <c r="F11437" s="326"/>
      <c r="G11437" s="326"/>
      <c r="H11437" s="326"/>
      <c r="P11437" s="318"/>
      <c r="Q11437" s="318"/>
      <c r="R11437" s="318"/>
      <c r="S11437" s="318"/>
      <c r="T11437" s="318"/>
      <c r="U11437" s="318"/>
      <c r="V11437" s="318"/>
      <c r="W11437" s="318"/>
      <c r="X11437" s="318"/>
      <c r="Y11437" s="318"/>
      <c r="Z11437" s="318"/>
      <c r="AA11437" s="318"/>
      <c r="AB11437" s="318"/>
      <c r="AC11437" s="318"/>
      <c r="AD11437" s="318"/>
    </row>
    <row r="11438" spans="2:30" s="323" customFormat="1" ht="12" customHeight="1">
      <c r="B11438" s="324"/>
      <c r="C11438" s="325"/>
      <c r="D11438" s="326"/>
      <c r="E11438" s="326"/>
      <c r="F11438" s="326"/>
      <c r="G11438" s="326"/>
      <c r="H11438" s="326"/>
      <c r="P11438" s="318"/>
      <c r="Q11438" s="318"/>
      <c r="R11438" s="318"/>
      <c r="S11438" s="318"/>
      <c r="T11438" s="318"/>
      <c r="U11438" s="318"/>
      <c r="V11438" s="318"/>
      <c r="W11438" s="318"/>
      <c r="X11438" s="318"/>
      <c r="Y11438" s="318"/>
      <c r="Z11438" s="318"/>
      <c r="AA11438" s="318"/>
      <c r="AB11438" s="318"/>
      <c r="AC11438" s="318"/>
      <c r="AD11438" s="318"/>
    </row>
    <row r="11439" spans="2:30" s="323" customFormat="1" ht="12" customHeight="1">
      <c r="B11439" s="324"/>
      <c r="C11439" s="325"/>
      <c r="D11439" s="326"/>
      <c r="E11439" s="326"/>
      <c r="F11439" s="326"/>
      <c r="G11439" s="326"/>
      <c r="H11439" s="326"/>
      <c r="P11439" s="318"/>
      <c r="Q11439" s="318"/>
      <c r="R11439" s="318"/>
      <c r="S11439" s="318"/>
      <c r="T11439" s="318"/>
      <c r="U11439" s="318"/>
      <c r="V11439" s="318"/>
      <c r="W11439" s="318"/>
      <c r="X11439" s="318"/>
      <c r="Y11439" s="318"/>
      <c r="Z11439" s="318"/>
      <c r="AA11439" s="318"/>
      <c r="AB11439" s="318"/>
      <c r="AC11439" s="318"/>
      <c r="AD11439" s="318"/>
    </row>
    <row r="11440" spans="2:30" s="323" customFormat="1" ht="12" customHeight="1">
      <c r="B11440" s="324"/>
      <c r="C11440" s="325"/>
      <c r="D11440" s="326"/>
      <c r="E11440" s="326"/>
      <c r="F11440" s="326"/>
      <c r="G11440" s="326"/>
      <c r="H11440" s="326"/>
      <c r="P11440" s="318"/>
      <c r="Q11440" s="318"/>
      <c r="R11440" s="318"/>
      <c r="S11440" s="318"/>
      <c r="T11440" s="318"/>
      <c r="U11440" s="318"/>
      <c r="V11440" s="318"/>
      <c r="W11440" s="318"/>
      <c r="X11440" s="318"/>
      <c r="Y11440" s="318"/>
      <c r="Z11440" s="318"/>
      <c r="AA11440" s="318"/>
      <c r="AB11440" s="318"/>
      <c r="AC11440" s="318"/>
      <c r="AD11440" s="318"/>
    </row>
    <row r="11441" spans="2:30" s="323" customFormat="1" ht="12" customHeight="1">
      <c r="B11441" s="324"/>
      <c r="C11441" s="325"/>
      <c r="D11441" s="326"/>
      <c r="E11441" s="326"/>
      <c r="F11441" s="326"/>
      <c r="G11441" s="326"/>
      <c r="H11441" s="326"/>
      <c r="P11441" s="318"/>
      <c r="Q11441" s="318"/>
      <c r="R11441" s="318"/>
      <c r="S11441" s="318"/>
      <c r="T11441" s="318"/>
      <c r="U11441" s="318"/>
      <c r="V11441" s="318"/>
      <c r="W11441" s="318"/>
      <c r="X11441" s="318"/>
      <c r="Y11441" s="318"/>
      <c r="Z11441" s="318"/>
      <c r="AA11441" s="318"/>
      <c r="AB11441" s="318"/>
      <c r="AC11441" s="318"/>
      <c r="AD11441" s="318"/>
    </row>
    <row r="11442" spans="2:30" s="323" customFormat="1" ht="12" customHeight="1">
      <c r="B11442" s="324"/>
      <c r="C11442" s="325"/>
      <c r="D11442" s="326"/>
      <c r="E11442" s="326"/>
      <c r="F11442" s="326"/>
      <c r="G11442" s="326"/>
      <c r="H11442" s="326"/>
      <c r="P11442" s="318"/>
      <c r="Q11442" s="318"/>
      <c r="R11442" s="318"/>
      <c r="S11442" s="318"/>
      <c r="T11442" s="318"/>
      <c r="U11442" s="318"/>
      <c r="V11442" s="318"/>
      <c r="W11442" s="318"/>
      <c r="X11442" s="318"/>
      <c r="Y11442" s="318"/>
      <c r="Z11442" s="318"/>
      <c r="AA11442" s="318"/>
      <c r="AB11442" s="318"/>
      <c r="AC11442" s="318"/>
      <c r="AD11442" s="318"/>
    </row>
    <row r="11443" spans="2:30" s="323" customFormat="1" ht="12" customHeight="1">
      <c r="B11443" s="324"/>
      <c r="C11443" s="325"/>
      <c r="D11443" s="326"/>
      <c r="E11443" s="326"/>
      <c r="F11443" s="326"/>
      <c r="G11443" s="326"/>
      <c r="H11443" s="326"/>
      <c r="P11443" s="318"/>
      <c r="Q11443" s="318"/>
      <c r="R11443" s="318"/>
      <c r="S11443" s="318"/>
      <c r="T11443" s="318"/>
      <c r="U11443" s="318"/>
      <c r="V11443" s="318"/>
      <c r="W11443" s="318"/>
      <c r="X11443" s="318"/>
      <c r="Y11443" s="318"/>
      <c r="Z11443" s="318"/>
      <c r="AA11443" s="318"/>
      <c r="AB11443" s="318"/>
      <c r="AC11443" s="318"/>
      <c r="AD11443" s="318"/>
    </row>
    <row r="11444" spans="2:30" s="323" customFormat="1" ht="12" customHeight="1">
      <c r="B11444" s="324"/>
      <c r="C11444" s="325"/>
      <c r="D11444" s="326"/>
      <c r="E11444" s="326"/>
      <c r="F11444" s="326"/>
      <c r="G11444" s="326"/>
      <c r="H11444" s="326"/>
      <c r="P11444" s="318"/>
      <c r="Q11444" s="318"/>
      <c r="R11444" s="318"/>
      <c r="S11444" s="318"/>
      <c r="T11444" s="318"/>
      <c r="U11444" s="318"/>
      <c r="V11444" s="318"/>
      <c r="W11444" s="318"/>
      <c r="X11444" s="318"/>
      <c r="Y11444" s="318"/>
      <c r="Z11444" s="318"/>
      <c r="AA11444" s="318"/>
      <c r="AB11444" s="318"/>
      <c r="AC11444" s="318"/>
      <c r="AD11444" s="318"/>
    </row>
    <row r="11445" spans="2:30" s="323" customFormat="1" ht="12" customHeight="1">
      <c r="B11445" s="324"/>
      <c r="C11445" s="325"/>
      <c r="D11445" s="326"/>
      <c r="E11445" s="326"/>
      <c r="F11445" s="326"/>
      <c r="G11445" s="326"/>
      <c r="H11445" s="326"/>
      <c r="P11445" s="318"/>
      <c r="Q11445" s="318"/>
      <c r="R11445" s="318"/>
      <c r="S11445" s="318"/>
      <c r="T11445" s="318"/>
      <c r="U11445" s="318"/>
      <c r="V11445" s="318"/>
      <c r="W11445" s="318"/>
      <c r="X11445" s="318"/>
      <c r="Y11445" s="318"/>
      <c r="Z11445" s="318"/>
      <c r="AA11445" s="318"/>
      <c r="AB11445" s="318"/>
      <c r="AC11445" s="318"/>
      <c r="AD11445" s="318"/>
    </row>
    <row r="11446" spans="2:30" s="323" customFormat="1" ht="12" customHeight="1">
      <c r="B11446" s="324"/>
      <c r="C11446" s="325"/>
      <c r="D11446" s="326"/>
      <c r="E11446" s="326"/>
      <c r="F11446" s="326"/>
      <c r="G11446" s="326"/>
      <c r="H11446" s="326"/>
      <c r="P11446" s="318"/>
      <c r="Q11446" s="318"/>
      <c r="R11446" s="318"/>
      <c r="S11446" s="318"/>
      <c r="T11446" s="318"/>
      <c r="U11446" s="318"/>
      <c r="V11446" s="318"/>
      <c r="W11446" s="318"/>
      <c r="X11446" s="318"/>
      <c r="Y11446" s="318"/>
      <c r="Z11446" s="318"/>
      <c r="AA11446" s="318"/>
      <c r="AB11446" s="318"/>
      <c r="AC11446" s="318"/>
      <c r="AD11446" s="318"/>
    </row>
    <row r="11447" spans="2:30" s="323" customFormat="1" ht="12" customHeight="1">
      <c r="B11447" s="324"/>
      <c r="C11447" s="325"/>
      <c r="D11447" s="326"/>
      <c r="E11447" s="326"/>
      <c r="F11447" s="326"/>
      <c r="G11447" s="326"/>
      <c r="H11447" s="326"/>
      <c r="P11447" s="318"/>
      <c r="Q11447" s="318"/>
      <c r="R11447" s="318"/>
      <c r="S11447" s="318"/>
      <c r="T11447" s="318"/>
      <c r="U11447" s="318"/>
      <c r="V11447" s="318"/>
      <c r="W11447" s="318"/>
      <c r="X11447" s="318"/>
      <c r="Y11447" s="318"/>
      <c r="Z11447" s="318"/>
      <c r="AA11447" s="318"/>
      <c r="AB11447" s="318"/>
      <c r="AC11447" s="318"/>
      <c r="AD11447" s="318"/>
    </row>
    <row r="11448" spans="2:30" s="323" customFormat="1" ht="12" customHeight="1">
      <c r="B11448" s="324"/>
      <c r="C11448" s="325"/>
      <c r="D11448" s="326"/>
      <c r="E11448" s="326"/>
      <c r="F11448" s="326"/>
      <c r="G11448" s="326"/>
      <c r="H11448" s="326"/>
      <c r="P11448" s="318"/>
      <c r="Q11448" s="318"/>
      <c r="R11448" s="318"/>
      <c r="S11448" s="318"/>
      <c r="T11448" s="318"/>
      <c r="U11448" s="318"/>
      <c r="V11448" s="318"/>
      <c r="W11448" s="318"/>
      <c r="X11448" s="318"/>
      <c r="Y11448" s="318"/>
      <c r="Z11448" s="318"/>
      <c r="AA11448" s="318"/>
      <c r="AB11448" s="318"/>
      <c r="AC11448" s="318"/>
      <c r="AD11448" s="318"/>
    </row>
    <row r="11449" spans="2:30" s="323" customFormat="1" ht="12" customHeight="1">
      <c r="B11449" s="324"/>
      <c r="C11449" s="325"/>
      <c r="D11449" s="326"/>
      <c r="E11449" s="326"/>
      <c r="F11449" s="326"/>
      <c r="G11449" s="326"/>
      <c r="H11449" s="326"/>
      <c r="P11449" s="318"/>
      <c r="Q11449" s="318"/>
      <c r="R11449" s="318"/>
      <c r="S11449" s="318"/>
      <c r="T11449" s="318"/>
      <c r="U11449" s="318"/>
      <c r="V11449" s="318"/>
      <c r="W11449" s="318"/>
      <c r="X11449" s="318"/>
      <c r="Y11449" s="318"/>
      <c r="Z11449" s="318"/>
      <c r="AA11449" s="318"/>
      <c r="AB11449" s="318"/>
      <c r="AC11449" s="318"/>
      <c r="AD11449" s="318"/>
    </row>
    <row r="11450" spans="2:30" s="323" customFormat="1" ht="12" customHeight="1">
      <c r="B11450" s="324"/>
      <c r="C11450" s="325"/>
      <c r="D11450" s="326"/>
      <c r="E11450" s="326"/>
      <c r="F11450" s="326"/>
      <c r="G11450" s="326"/>
      <c r="H11450" s="326"/>
      <c r="P11450" s="318"/>
      <c r="Q11450" s="318"/>
      <c r="R11450" s="318"/>
      <c r="S11450" s="318"/>
      <c r="T11450" s="318"/>
      <c r="U11450" s="318"/>
      <c r="V11450" s="318"/>
      <c r="W11450" s="318"/>
      <c r="X11450" s="318"/>
      <c r="Y11450" s="318"/>
      <c r="Z11450" s="318"/>
      <c r="AA11450" s="318"/>
      <c r="AB11450" s="318"/>
      <c r="AC11450" s="318"/>
      <c r="AD11450" s="318"/>
    </row>
    <row r="11451" spans="2:30" s="323" customFormat="1" ht="12" customHeight="1">
      <c r="B11451" s="324"/>
      <c r="C11451" s="325"/>
      <c r="D11451" s="326"/>
      <c r="E11451" s="326"/>
      <c r="F11451" s="326"/>
      <c r="G11451" s="326"/>
      <c r="H11451" s="326"/>
      <c r="P11451" s="318"/>
      <c r="Q11451" s="318"/>
      <c r="R11451" s="318"/>
      <c r="S11451" s="318"/>
      <c r="T11451" s="318"/>
      <c r="U11451" s="318"/>
      <c r="V11451" s="318"/>
      <c r="W11451" s="318"/>
      <c r="X11451" s="318"/>
      <c r="Y11451" s="318"/>
      <c r="Z11451" s="318"/>
      <c r="AA11451" s="318"/>
      <c r="AB11451" s="318"/>
      <c r="AC11451" s="318"/>
      <c r="AD11451" s="318"/>
    </row>
    <row r="11452" spans="2:30" s="323" customFormat="1" ht="12" customHeight="1">
      <c r="B11452" s="324"/>
      <c r="C11452" s="325"/>
      <c r="D11452" s="326"/>
      <c r="E11452" s="326"/>
      <c r="F11452" s="326"/>
      <c r="G11452" s="326"/>
      <c r="H11452" s="326"/>
      <c r="P11452" s="318"/>
      <c r="Q11452" s="318"/>
      <c r="R11452" s="318"/>
      <c r="S11452" s="318"/>
      <c r="T11452" s="318"/>
      <c r="U11452" s="318"/>
      <c r="V11452" s="318"/>
      <c r="W11452" s="318"/>
      <c r="X11452" s="318"/>
      <c r="Y11452" s="318"/>
      <c r="Z11452" s="318"/>
      <c r="AA11452" s="318"/>
      <c r="AB11452" s="318"/>
      <c r="AC11452" s="318"/>
      <c r="AD11452" s="318"/>
    </row>
    <row r="11453" spans="2:30" s="323" customFormat="1" ht="12" customHeight="1">
      <c r="B11453" s="324"/>
      <c r="C11453" s="325"/>
      <c r="D11453" s="326"/>
      <c r="E11453" s="326"/>
      <c r="F11453" s="326"/>
      <c r="G11453" s="326"/>
      <c r="H11453" s="326"/>
      <c r="P11453" s="318"/>
      <c r="Q11453" s="318"/>
      <c r="R11453" s="318"/>
      <c r="S11453" s="318"/>
      <c r="T11453" s="318"/>
      <c r="U11453" s="318"/>
      <c r="V11453" s="318"/>
      <c r="W11453" s="318"/>
      <c r="X11453" s="318"/>
      <c r="Y11453" s="318"/>
      <c r="Z11453" s="318"/>
      <c r="AA11453" s="318"/>
      <c r="AB11453" s="318"/>
      <c r="AC11453" s="318"/>
      <c r="AD11453" s="318"/>
    </row>
    <row r="11454" spans="2:30" s="323" customFormat="1" ht="12" customHeight="1">
      <c r="B11454" s="324"/>
      <c r="C11454" s="325"/>
      <c r="D11454" s="326"/>
      <c r="E11454" s="326"/>
      <c r="F11454" s="326"/>
      <c r="G11454" s="326"/>
      <c r="H11454" s="326"/>
      <c r="P11454" s="318"/>
      <c r="Q11454" s="318"/>
      <c r="R11454" s="318"/>
      <c r="S11454" s="318"/>
      <c r="T11454" s="318"/>
      <c r="U11454" s="318"/>
      <c r="V11454" s="318"/>
      <c r="W11454" s="318"/>
      <c r="X11454" s="318"/>
      <c r="Y11454" s="318"/>
      <c r="Z11454" s="318"/>
      <c r="AA11454" s="318"/>
      <c r="AB11454" s="318"/>
      <c r="AC11454" s="318"/>
      <c r="AD11454" s="318"/>
    </row>
    <row r="11455" spans="2:30" s="323" customFormat="1" ht="12" customHeight="1">
      <c r="B11455" s="324"/>
      <c r="C11455" s="325"/>
      <c r="D11455" s="326"/>
      <c r="E11455" s="326"/>
      <c r="F11455" s="326"/>
      <c r="G11455" s="326"/>
      <c r="H11455" s="326"/>
      <c r="P11455" s="318"/>
      <c r="Q11455" s="318"/>
      <c r="R11455" s="318"/>
      <c r="S11455" s="318"/>
      <c r="T11455" s="318"/>
      <c r="U11455" s="318"/>
      <c r="V11455" s="318"/>
      <c r="W11455" s="318"/>
      <c r="X11455" s="318"/>
      <c r="Y11455" s="318"/>
      <c r="Z11455" s="318"/>
      <c r="AA11455" s="318"/>
      <c r="AB11455" s="318"/>
      <c r="AC11455" s="318"/>
      <c r="AD11455" s="318"/>
    </row>
    <row r="11456" spans="2:30" s="323" customFormat="1" ht="12" customHeight="1">
      <c r="B11456" s="324"/>
      <c r="C11456" s="325"/>
      <c r="D11456" s="326"/>
      <c r="E11456" s="326"/>
      <c r="F11456" s="326"/>
      <c r="G11456" s="326"/>
      <c r="H11456" s="326"/>
      <c r="P11456" s="318"/>
      <c r="Q11456" s="318"/>
      <c r="R11456" s="318"/>
      <c r="S11456" s="318"/>
      <c r="T11456" s="318"/>
      <c r="U11456" s="318"/>
      <c r="V11456" s="318"/>
      <c r="W11456" s="318"/>
      <c r="X11456" s="318"/>
      <c r="Y11456" s="318"/>
      <c r="Z11456" s="318"/>
      <c r="AA11456" s="318"/>
      <c r="AB11456" s="318"/>
      <c r="AC11456" s="318"/>
      <c r="AD11456" s="318"/>
    </row>
    <row r="11457" spans="2:30" s="323" customFormat="1" ht="12" customHeight="1">
      <c r="B11457" s="324"/>
      <c r="C11457" s="325"/>
      <c r="D11457" s="326"/>
      <c r="E11457" s="326"/>
      <c r="F11457" s="326"/>
      <c r="G11457" s="326"/>
      <c r="H11457" s="326"/>
      <c r="P11457" s="318"/>
      <c r="Q11457" s="318"/>
      <c r="R11457" s="318"/>
      <c r="S11457" s="318"/>
      <c r="T11457" s="318"/>
      <c r="U11457" s="318"/>
      <c r="V11457" s="318"/>
      <c r="W11457" s="318"/>
      <c r="X11457" s="318"/>
      <c r="Y11457" s="318"/>
      <c r="Z11457" s="318"/>
      <c r="AA11457" s="318"/>
      <c r="AB11457" s="318"/>
      <c r="AC11457" s="318"/>
      <c r="AD11457" s="318"/>
    </row>
    <row r="11458" spans="2:30" s="323" customFormat="1" ht="12" customHeight="1">
      <c r="B11458" s="324"/>
      <c r="C11458" s="325"/>
      <c r="D11458" s="326"/>
      <c r="E11458" s="326"/>
      <c r="F11458" s="326"/>
      <c r="G11458" s="326"/>
      <c r="H11458" s="326"/>
      <c r="P11458" s="318"/>
      <c r="Q11458" s="318"/>
      <c r="R11458" s="318"/>
      <c r="S11458" s="318"/>
      <c r="T11458" s="318"/>
      <c r="U11458" s="318"/>
      <c r="V11458" s="318"/>
      <c r="W11458" s="318"/>
      <c r="X11458" s="318"/>
      <c r="Y11458" s="318"/>
      <c r="Z11458" s="318"/>
      <c r="AA11458" s="318"/>
      <c r="AB11458" s="318"/>
      <c r="AC11458" s="318"/>
      <c r="AD11458" s="318"/>
    </row>
    <row r="11459" spans="2:30" s="323" customFormat="1" ht="12" customHeight="1">
      <c r="B11459" s="324"/>
      <c r="C11459" s="325"/>
      <c r="D11459" s="326"/>
      <c r="E11459" s="326"/>
      <c r="F11459" s="326"/>
      <c r="G11459" s="326"/>
      <c r="H11459" s="326"/>
      <c r="P11459" s="318"/>
      <c r="Q11459" s="318"/>
      <c r="R11459" s="318"/>
      <c r="S11459" s="318"/>
      <c r="T11459" s="318"/>
      <c r="U11459" s="318"/>
      <c r="V11459" s="318"/>
      <c r="W11459" s="318"/>
      <c r="X11459" s="318"/>
      <c r="Y11459" s="318"/>
      <c r="Z11459" s="318"/>
      <c r="AA11459" s="318"/>
      <c r="AB11459" s="318"/>
      <c r="AC11459" s="318"/>
      <c r="AD11459" s="318"/>
    </row>
    <row r="11460" spans="2:30" s="323" customFormat="1" ht="12" customHeight="1">
      <c r="B11460" s="324"/>
      <c r="C11460" s="325"/>
      <c r="D11460" s="326"/>
      <c r="E11460" s="326"/>
      <c r="F11460" s="326"/>
      <c r="G11460" s="326"/>
      <c r="H11460" s="326"/>
      <c r="P11460" s="318"/>
      <c r="Q11460" s="318"/>
      <c r="R11460" s="318"/>
      <c r="S11460" s="318"/>
      <c r="T11460" s="318"/>
      <c r="U11460" s="318"/>
      <c r="V11460" s="318"/>
      <c r="W11460" s="318"/>
      <c r="X11460" s="318"/>
      <c r="Y11460" s="318"/>
      <c r="Z11460" s="318"/>
      <c r="AA11460" s="318"/>
      <c r="AB11460" s="318"/>
      <c r="AC11460" s="318"/>
      <c r="AD11460" s="318"/>
    </row>
    <row r="11461" spans="2:30" s="323" customFormat="1" ht="12" customHeight="1">
      <c r="B11461" s="324"/>
      <c r="C11461" s="325"/>
      <c r="D11461" s="326"/>
      <c r="E11461" s="326"/>
      <c r="F11461" s="326"/>
      <c r="G11461" s="326"/>
      <c r="H11461" s="326"/>
      <c r="P11461" s="318"/>
      <c r="Q11461" s="318"/>
      <c r="R11461" s="318"/>
      <c r="S11461" s="318"/>
      <c r="T11461" s="318"/>
      <c r="U11461" s="318"/>
      <c r="V11461" s="318"/>
      <c r="W11461" s="318"/>
      <c r="X11461" s="318"/>
      <c r="Y11461" s="318"/>
      <c r="Z11461" s="318"/>
      <c r="AA11461" s="318"/>
      <c r="AB11461" s="318"/>
      <c r="AC11461" s="318"/>
      <c r="AD11461" s="318"/>
    </row>
    <row r="11462" spans="2:30" s="323" customFormat="1" ht="12" customHeight="1">
      <c r="B11462" s="324"/>
      <c r="C11462" s="325"/>
      <c r="D11462" s="326"/>
      <c r="E11462" s="326"/>
      <c r="F11462" s="326"/>
      <c r="G11462" s="326"/>
      <c r="H11462" s="326"/>
      <c r="P11462" s="318"/>
      <c r="Q11462" s="318"/>
      <c r="R11462" s="318"/>
      <c r="S11462" s="318"/>
      <c r="T11462" s="318"/>
      <c r="U11462" s="318"/>
      <c r="V11462" s="318"/>
      <c r="W11462" s="318"/>
      <c r="X11462" s="318"/>
      <c r="Y11462" s="318"/>
      <c r="Z11462" s="318"/>
      <c r="AA11462" s="318"/>
      <c r="AB11462" s="318"/>
      <c r="AC11462" s="318"/>
      <c r="AD11462" s="318"/>
    </row>
    <row r="11463" spans="2:30" s="323" customFormat="1" ht="12" customHeight="1">
      <c r="B11463" s="324"/>
      <c r="C11463" s="325"/>
      <c r="D11463" s="326"/>
      <c r="E11463" s="326"/>
      <c r="F11463" s="326"/>
      <c r="G11463" s="326"/>
      <c r="H11463" s="326"/>
      <c r="P11463" s="318"/>
      <c r="Q11463" s="318"/>
      <c r="R11463" s="318"/>
      <c r="S11463" s="318"/>
      <c r="T11463" s="318"/>
      <c r="U11463" s="318"/>
      <c r="V11463" s="318"/>
      <c r="W11463" s="318"/>
      <c r="X11463" s="318"/>
      <c r="Y11463" s="318"/>
      <c r="Z11463" s="318"/>
      <c r="AA11463" s="318"/>
      <c r="AB11463" s="318"/>
      <c r="AC11463" s="318"/>
      <c r="AD11463" s="318"/>
    </row>
    <row r="11464" spans="2:30" s="323" customFormat="1" ht="12" customHeight="1">
      <c r="B11464" s="324"/>
      <c r="C11464" s="325"/>
      <c r="D11464" s="326"/>
      <c r="E11464" s="326"/>
      <c r="F11464" s="326"/>
      <c r="G11464" s="326"/>
      <c r="H11464" s="326"/>
      <c r="P11464" s="318"/>
      <c r="Q11464" s="318"/>
      <c r="R11464" s="318"/>
      <c r="S11464" s="318"/>
      <c r="T11464" s="318"/>
      <c r="U11464" s="318"/>
      <c r="V11464" s="318"/>
      <c r="W11464" s="318"/>
      <c r="X11464" s="318"/>
      <c r="Y11464" s="318"/>
      <c r="Z11464" s="318"/>
      <c r="AA11464" s="318"/>
      <c r="AB11464" s="318"/>
      <c r="AC11464" s="318"/>
      <c r="AD11464" s="318"/>
    </row>
    <row r="11465" spans="2:30" s="323" customFormat="1" ht="12" customHeight="1">
      <c r="B11465" s="324"/>
      <c r="C11465" s="325"/>
      <c r="D11465" s="326"/>
      <c r="E11465" s="326"/>
      <c r="F11465" s="326"/>
      <c r="G11465" s="326"/>
      <c r="H11465" s="326"/>
      <c r="P11465" s="318"/>
      <c r="Q11465" s="318"/>
      <c r="R11465" s="318"/>
      <c r="S11465" s="318"/>
      <c r="T11465" s="318"/>
      <c r="U11465" s="318"/>
      <c r="V11465" s="318"/>
      <c r="W11465" s="318"/>
      <c r="X11465" s="318"/>
      <c r="Y11465" s="318"/>
      <c r="Z11465" s="318"/>
      <c r="AA11465" s="318"/>
      <c r="AB11465" s="318"/>
      <c r="AC11465" s="318"/>
      <c r="AD11465" s="318"/>
    </row>
    <row r="11466" spans="2:30" s="323" customFormat="1" ht="12" customHeight="1">
      <c r="B11466" s="324"/>
      <c r="C11466" s="325"/>
      <c r="D11466" s="326"/>
      <c r="E11466" s="326"/>
      <c r="F11466" s="326"/>
      <c r="G11466" s="326"/>
      <c r="H11466" s="326"/>
      <c r="P11466" s="318"/>
      <c r="Q11466" s="318"/>
      <c r="R11466" s="318"/>
      <c r="S11466" s="318"/>
      <c r="T11466" s="318"/>
      <c r="U11466" s="318"/>
      <c r="V11466" s="318"/>
      <c r="W11466" s="318"/>
      <c r="X11466" s="318"/>
      <c r="Y11466" s="318"/>
      <c r="Z11466" s="318"/>
      <c r="AA11466" s="318"/>
      <c r="AB11466" s="318"/>
      <c r="AC11466" s="318"/>
      <c r="AD11466" s="318"/>
    </row>
    <row r="11467" spans="2:30" s="323" customFormat="1" ht="12" customHeight="1">
      <c r="B11467" s="324"/>
      <c r="C11467" s="325"/>
      <c r="D11467" s="326"/>
      <c r="E11467" s="326"/>
      <c r="F11467" s="326"/>
      <c r="G11467" s="326"/>
      <c r="H11467" s="326"/>
      <c r="P11467" s="318"/>
      <c r="Q11467" s="318"/>
      <c r="R11467" s="318"/>
      <c r="S11467" s="318"/>
      <c r="T11467" s="318"/>
      <c r="U11467" s="318"/>
      <c r="V11467" s="318"/>
      <c r="W11467" s="318"/>
      <c r="X11467" s="318"/>
      <c r="Y11467" s="318"/>
      <c r="Z11467" s="318"/>
      <c r="AA11467" s="318"/>
      <c r="AB11467" s="318"/>
      <c r="AC11467" s="318"/>
      <c r="AD11467" s="318"/>
    </row>
    <row r="11468" spans="2:30" s="323" customFormat="1" ht="12" customHeight="1">
      <c r="B11468" s="324"/>
      <c r="C11468" s="325"/>
      <c r="D11468" s="326"/>
      <c r="E11468" s="326"/>
      <c r="F11468" s="326"/>
      <c r="G11468" s="326"/>
      <c r="H11468" s="326"/>
      <c r="P11468" s="318"/>
      <c r="Q11468" s="318"/>
      <c r="R11468" s="318"/>
      <c r="S11468" s="318"/>
      <c r="T11468" s="318"/>
      <c r="U11468" s="318"/>
      <c r="V11468" s="318"/>
      <c r="W11468" s="318"/>
      <c r="X11468" s="318"/>
      <c r="Y11468" s="318"/>
      <c r="Z11468" s="318"/>
      <c r="AA11468" s="318"/>
      <c r="AB11468" s="318"/>
      <c r="AC11468" s="318"/>
      <c r="AD11468" s="318"/>
    </row>
    <row r="11469" spans="2:30" s="323" customFormat="1" ht="12" customHeight="1">
      <c r="B11469" s="324"/>
      <c r="C11469" s="325"/>
      <c r="D11469" s="326"/>
      <c r="E11469" s="326"/>
      <c r="F11469" s="326"/>
      <c r="G11469" s="326"/>
      <c r="H11469" s="326"/>
      <c r="P11469" s="318"/>
      <c r="Q11469" s="318"/>
      <c r="R11469" s="318"/>
      <c r="S11469" s="318"/>
      <c r="T11469" s="318"/>
      <c r="U11469" s="318"/>
      <c r="V11469" s="318"/>
      <c r="W11469" s="318"/>
      <c r="X11469" s="318"/>
      <c r="Y11469" s="318"/>
      <c r="Z11469" s="318"/>
      <c r="AA11469" s="318"/>
      <c r="AB11469" s="318"/>
      <c r="AC11469" s="318"/>
      <c r="AD11469" s="318"/>
    </row>
    <row r="11470" spans="2:30" s="323" customFormat="1" ht="12" customHeight="1">
      <c r="B11470" s="324"/>
      <c r="C11470" s="325"/>
      <c r="D11470" s="326"/>
      <c r="E11470" s="326"/>
      <c r="F11470" s="326"/>
      <c r="G11470" s="326"/>
      <c r="H11470" s="326"/>
      <c r="P11470" s="318"/>
      <c r="Q11470" s="318"/>
      <c r="R11470" s="318"/>
      <c r="S11470" s="318"/>
      <c r="T11470" s="318"/>
      <c r="U11470" s="318"/>
      <c r="V11470" s="318"/>
      <c r="W11470" s="318"/>
      <c r="X11470" s="318"/>
      <c r="Y11470" s="318"/>
      <c r="Z11470" s="318"/>
      <c r="AA11470" s="318"/>
      <c r="AB11470" s="318"/>
      <c r="AC11470" s="318"/>
      <c r="AD11470" s="318"/>
    </row>
    <row r="11471" spans="2:30" s="323" customFormat="1" ht="12" customHeight="1">
      <c r="B11471" s="324"/>
      <c r="C11471" s="325"/>
      <c r="D11471" s="326"/>
      <c r="E11471" s="326"/>
      <c r="F11471" s="326"/>
      <c r="G11471" s="326"/>
      <c r="H11471" s="326"/>
      <c r="P11471" s="318"/>
      <c r="Q11471" s="318"/>
      <c r="R11471" s="318"/>
      <c r="S11471" s="318"/>
      <c r="T11471" s="318"/>
      <c r="U11471" s="318"/>
      <c r="V11471" s="318"/>
      <c r="W11471" s="318"/>
      <c r="X11471" s="318"/>
      <c r="Y11471" s="318"/>
      <c r="Z11471" s="318"/>
      <c r="AA11471" s="318"/>
      <c r="AB11471" s="318"/>
      <c r="AC11471" s="318"/>
      <c r="AD11471" s="318"/>
    </row>
    <row r="11472" spans="2:30" s="323" customFormat="1" ht="12" customHeight="1">
      <c r="B11472" s="324"/>
      <c r="C11472" s="325"/>
      <c r="D11472" s="326"/>
      <c r="E11472" s="326"/>
      <c r="F11472" s="326"/>
      <c r="G11472" s="326"/>
      <c r="H11472" s="326"/>
      <c r="P11472" s="318"/>
      <c r="Q11472" s="318"/>
      <c r="R11472" s="318"/>
      <c r="S11472" s="318"/>
      <c r="T11472" s="318"/>
      <c r="U11472" s="318"/>
      <c r="V11472" s="318"/>
      <c r="W11472" s="318"/>
      <c r="X11472" s="318"/>
      <c r="Y11472" s="318"/>
      <c r="Z11472" s="318"/>
      <c r="AA11472" s="318"/>
      <c r="AB11472" s="318"/>
      <c r="AC11472" s="318"/>
      <c r="AD11472" s="318"/>
    </row>
    <row r="11473" spans="2:30" s="323" customFormat="1" ht="12" customHeight="1">
      <c r="B11473" s="324"/>
      <c r="C11473" s="325"/>
      <c r="D11473" s="326"/>
      <c r="E11473" s="326"/>
      <c r="F11473" s="326"/>
      <c r="G11473" s="326"/>
      <c r="H11473" s="326"/>
      <c r="P11473" s="318"/>
      <c r="Q11473" s="318"/>
      <c r="R11473" s="318"/>
      <c r="S11473" s="318"/>
      <c r="T11473" s="318"/>
      <c r="U11473" s="318"/>
      <c r="V11473" s="318"/>
      <c r="W11473" s="318"/>
      <c r="X11473" s="318"/>
      <c r="Y11473" s="318"/>
      <c r="Z11473" s="318"/>
      <c r="AA11473" s="318"/>
      <c r="AB11473" s="318"/>
      <c r="AC11473" s="318"/>
      <c r="AD11473" s="318"/>
    </row>
    <row r="11474" spans="2:30" s="323" customFormat="1" ht="12" customHeight="1">
      <c r="B11474" s="324"/>
      <c r="C11474" s="325"/>
      <c r="D11474" s="326"/>
      <c r="E11474" s="326"/>
      <c r="F11474" s="326"/>
      <c r="G11474" s="326"/>
      <c r="H11474" s="326"/>
      <c r="P11474" s="318"/>
      <c r="Q11474" s="318"/>
      <c r="R11474" s="318"/>
      <c r="S11474" s="318"/>
      <c r="T11474" s="318"/>
      <c r="U11474" s="318"/>
      <c r="V11474" s="318"/>
      <c r="W11474" s="318"/>
      <c r="X11474" s="318"/>
      <c r="Y11474" s="318"/>
      <c r="Z11474" s="318"/>
      <c r="AA11474" s="318"/>
      <c r="AB11474" s="318"/>
      <c r="AC11474" s="318"/>
      <c r="AD11474" s="318"/>
    </row>
    <row r="11475" spans="2:30" s="323" customFormat="1" ht="12" customHeight="1">
      <c r="B11475" s="324"/>
      <c r="C11475" s="325"/>
      <c r="D11475" s="326"/>
      <c r="E11475" s="326"/>
      <c r="F11475" s="326"/>
      <c r="G11475" s="326"/>
      <c r="H11475" s="326"/>
      <c r="P11475" s="318"/>
      <c r="Q11475" s="318"/>
      <c r="R11475" s="318"/>
      <c r="S11475" s="318"/>
      <c r="T11475" s="318"/>
      <c r="U11475" s="318"/>
      <c r="V11475" s="318"/>
      <c r="W11475" s="318"/>
      <c r="X11475" s="318"/>
      <c r="Y11475" s="318"/>
      <c r="Z11475" s="318"/>
      <c r="AA11475" s="318"/>
      <c r="AB11475" s="318"/>
      <c r="AC11475" s="318"/>
      <c r="AD11475" s="318"/>
    </row>
    <row r="11476" spans="2:30" s="323" customFormat="1" ht="12" customHeight="1">
      <c r="B11476" s="324"/>
      <c r="C11476" s="325"/>
      <c r="D11476" s="326"/>
      <c r="E11476" s="326"/>
      <c r="F11476" s="326"/>
      <c r="G11476" s="326"/>
      <c r="H11476" s="326"/>
      <c r="P11476" s="318"/>
      <c r="Q11476" s="318"/>
      <c r="R11476" s="318"/>
      <c r="S11476" s="318"/>
      <c r="T11476" s="318"/>
      <c r="U11476" s="318"/>
      <c r="V11476" s="318"/>
      <c r="W11476" s="318"/>
      <c r="X11476" s="318"/>
      <c r="Y11476" s="318"/>
      <c r="Z11476" s="318"/>
      <c r="AA11476" s="318"/>
      <c r="AB11476" s="318"/>
      <c r="AC11476" s="318"/>
      <c r="AD11476" s="318"/>
    </row>
    <row r="11477" spans="2:30" s="323" customFormat="1" ht="12" customHeight="1">
      <c r="B11477" s="324"/>
      <c r="C11477" s="325"/>
      <c r="D11477" s="326"/>
      <c r="E11477" s="326"/>
      <c r="F11477" s="326"/>
      <c r="G11477" s="326"/>
      <c r="H11477" s="326"/>
      <c r="P11477" s="318"/>
      <c r="Q11477" s="318"/>
      <c r="R11477" s="318"/>
      <c r="S11477" s="318"/>
      <c r="T11477" s="318"/>
      <c r="U11477" s="318"/>
      <c r="V11477" s="318"/>
      <c r="W11477" s="318"/>
      <c r="X11477" s="318"/>
      <c r="Y11477" s="318"/>
      <c r="Z11477" s="318"/>
      <c r="AA11477" s="318"/>
      <c r="AB11477" s="318"/>
      <c r="AC11477" s="318"/>
      <c r="AD11477" s="318"/>
    </row>
    <row r="11478" spans="2:30" s="323" customFormat="1" ht="12" customHeight="1">
      <c r="B11478" s="324"/>
      <c r="C11478" s="325"/>
      <c r="D11478" s="326"/>
      <c r="E11478" s="326"/>
      <c r="F11478" s="326"/>
      <c r="G11478" s="326"/>
      <c r="H11478" s="326"/>
      <c r="P11478" s="318"/>
      <c r="Q11478" s="318"/>
      <c r="R11478" s="318"/>
      <c r="S11478" s="318"/>
      <c r="T11478" s="318"/>
      <c r="U11478" s="318"/>
      <c r="V11478" s="318"/>
      <c r="W11478" s="318"/>
      <c r="X11478" s="318"/>
      <c r="Y11478" s="318"/>
      <c r="Z11478" s="318"/>
      <c r="AA11478" s="318"/>
      <c r="AB11478" s="318"/>
      <c r="AC11478" s="318"/>
      <c r="AD11478" s="318"/>
    </row>
    <row r="11479" spans="2:30" s="323" customFormat="1" ht="12" customHeight="1">
      <c r="B11479" s="324"/>
      <c r="C11479" s="325"/>
      <c r="D11479" s="326"/>
      <c r="E11479" s="326"/>
      <c r="F11479" s="326"/>
      <c r="G11479" s="326"/>
      <c r="H11479" s="326"/>
      <c r="P11479" s="318"/>
      <c r="Q11479" s="318"/>
      <c r="R11479" s="318"/>
      <c r="S11479" s="318"/>
      <c r="T11479" s="318"/>
      <c r="U11479" s="318"/>
      <c r="V11479" s="318"/>
      <c r="W11479" s="318"/>
      <c r="X11479" s="318"/>
      <c r="Y11479" s="318"/>
      <c r="Z11479" s="318"/>
      <c r="AA11479" s="318"/>
      <c r="AB11479" s="318"/>
      <c r="AC11479" s="318"/>
      <c r="AD11479" s="318"/>
    </row>
    <row r="11480" spans="2:30" s="323" customFormat="1" ht="12" customHeight="1">
      <c r="B11480" s="324"/>
      <c r="C11480" s="325"/>
      <c r="D11480" s="326"/>
      <c r="E11480" s="326"/>
      <c r="F11480" s="326"/>
      <c r="G11480" s="326"/>
      <c r="H11480" s="326"/>
      <c r="P11480" s="318"/>
      <c r="Q11480" s="318"/>
      <c r="R11480" s="318"/>
      <c r="S11480" s="318"/>
      <c r="T11480" s="318"/>
      <c r="U11480" s="318"/>
      <c r="V11480" s="318"/>
      <c r="W11480" s="318"/>
      <c r="X11480" s="318"/>
      <c r="Y11480" s="318"/>
      <c r="Z11480" s="318"/>
      <c r="AA11480" s="318"/>
      <c r="AB11480" s="318"/>
      <c r="AC11480" s="318"/>
      <c r="AD11480" s="318"/>
    </row>
    <row r="11481" spans="2:30" s="323" customFormat="1" ht="12" customHeight="1">
      <c r="B11481" s="324"/>
      <c r="C11481" s="325"/>
      <c r="D11481" s="326"/>
      <c r="E11481" s="326"/>
      <c r="F11481" s="326"/>
      <c r="G11481" s="326"/>
      <c r="H11481" s="326"/>
      <c r="P11481" s="318"/>
      <c r="Q11481" s="318"/>
      <c r="R11481" s="318"/>
      <c r="S11481" s="318"/>
      <c r="T11481" s="318"/>
      <c r="U11481" s="318"/>
      <c r="V11481" s="318"/>
      <c r="W11481" s="318"/>
      <c r="X11481" s="318"/>
      <c r="Y11481" s="318"/>
      <c r="Z11481" s="318"/>
      <c r="AA11481" s="318"/>
      <c r="AB11481" s="318"/>
      <c r="AC11481" s="318"/>
      <c r="AD11481" s="318"/>
    </row>
    <row r="11482" spans="2:30" s="323" customFormat="1" ht="12" customHeight="1">
      <c r="B11482" s="324"/>
      <c r="C11482" s="325"/>
      <c r="D11482" s="326"/>
      <c r="E11482" s="326"/>
      <c r="F11482" s="326"/>
      <c r="G11482" s="326"/>
      <c r="H11482" s="326"/>
      <c r="P11482" s="318"/>
      <c r="Q11482" s="318"/>
      <c r="R11482" s="318"/>
      <c r="S11482" s="318"/>
      <c r="T11482" s="318"/>
      <c r="U11482" s="318"/>
      <c r="V11482" s="318"/>
      <c r="W11482" s="318"/>
      <c r="X11482" s="318"/>
      <c r="Y11482" s="318"/>
      <c r="Z11482" s="318"/>
      <c r="AA11482" s="318"/>
      <c r="AB11482" s="318"/>
      <c r="AC11482" s="318"/>
      <c r="AD11482" s="318"/>
    </row>
    <row r="11483" spans="2:30" s="323" customFormat="1" ht="12" customHeight="1">
      <c r="B11483" s="324"/>
      <c r="C11483" s="325"/>
      <c r="D11483" s="326"/>
      <c r="E11483" s="326"/>
      <c r="F11483" s="326"/>
      <c r="G11483" s="326"/>
      <c r="H11483" s="326"/>
      <c r="P11483" s="318"/>
      <c r="Q11483" s="318"/>
      <c r="R11483" s="318"/>
      <c r="S11483" s="318"/>
      <c r="T11483" s="318"/>
      <c r="U11483" s="318"/>
      <c r="V11483" s="318"/>
      <c r="W11483" s="318"/>
      <c r="X11483" s="318"/>
      <c r="Y11483" s="318"/>
      <c r="Z11483" s="318"/>
      <c r="AA11483" s="318"/>
      <c r="AB11483" s="318"/>
      <c r="AC11483" s="318"/>
      <c r="AD11483" s="318"/>
    </row>
    <row r="11484" spans="2:30" s="323" customFormat="1" ht="12" customHeight="1">
      <c r="B11484" s="324"/>
      <c r="C11484" s="325"/>
      <c r="D11484" s="326"/>
      <c r="E11484" s="326"/>
      <c r="F11484" s="326"/>
      <c r="G11484" s="326"/>
      <c r="H11484" s="326"/>
      <c r="P11484" s="318"/>
      <c r="Q11484" s="318"/>
      <c r="R11484" s="318"/>
      <c r="S11484" s="318"/>
      <c r="T11484" s="318"/>
      <c r="U11484" s="318"/>
      <c r="V11484" s="318"/>
      <c r="W11484" s="318"/>
      <c r="X11484" s="318"/>
      <c r="Y11484" s="318"/>
      <c r="Z11484" s="318"/>
      <c r="AA11484" s="318"/>
      <c r="AB11484" s="318"/>
      <c r="AC11484" s="318"/>
      <c r="AD11484" s="318"/>
    </row>
    <row r="11485" spans="2:30" s="323" customFormat="1" ht="12" customHeight="1">
      <c r="B11485" s="324"/>
      <c r="C11485" s="325"/>
      <c r="D11485" s="326"/>
      <c r="E11485" s="326"/>
      <c r="F11485" s="326"/>
      <c r="G11485" s="326"/>
      <c r="H11485" s="326"/>
      <c r="P11485" s="318"/>
      <c r="Q11485" s="318"/>
      <c r="R11485" s="318"/>
      <c r="S11485" s="318"/>
      <c r="T11485" s="318"/>
      <c r="U11485" s="318"/>
      <c r="V11485" s="318"/>
      <c r="W11485" s="318"/>
      <c r="X11485" s="318"/>
      <c r="Y11485" s="318"/>
      <c r="Z11485" s="318"/>
      <c r="AA11485" s="318"/>
      <c r="AB11485" s="318"/>
      <c r="AC11485" s="318"/>
      <c r="AD11485" s="318"/>
    </row>
    <row r="11486" spans="2:30" s="323" customFormat="1" ht="12" customHeight="1">
      <c r="B11486" s="324"/>
      <c r="C11486" s="325"/>
      <c r="D11486" s="326"/>
      <c r="E11486" s="326"/>
      <c r="F11486" s="326"/>
      <c r="G11486" s="326"/>
      <c r="H11486" s="326"/>
      <c r="P11486" s="318"/>
      <c r="Q11486" s="318"/>
      <c r="R11486" s="318"/>
      <c r="S11486" s="318"/>
      <c r="T11486" s="318"/>
      <c r="U11486" s="318"/>
      <c r="V11486" s="318"/>
      <c r="W11486" s="318"/>
      <c r="X11486" s="318"/>
      <c r="Y11486" s="318"/>
      <c r="Z11486" s="318"/>
      <c r="AA11486" s="318"/>
      <c r="AB11486" s="318"/>
      <c r="AC11486" s="318"/>
      <c r="AD11486" s="318"/>
    </row>
    <row r="11487" spans="2:30" s="323" customFormat="1" ht="12" customHeight="1">
      <c r="B11487" s="324"/>
      <c r="C11487" s="325"/>
      <c r="D11487" s="326"/>
      <c r="E11487" s="326"/>
      <c r="F11487" s="326"/>
      <c r="G11487" s="326"/>
      <c r="H11487" s="326"/>
      <c r="P11487" s="318"/>
      <c r="Q11487" s="318"/>
      <c r="R11487" s="318"/>
      <c r="S11487" s="318"/>
      <c r="T11487" s="318"/>
      <c r="U11487" s="318"/>
      <c r="V11487" s="318"/>
      <c r="W11487" s="318"/>
      <c r="X11487" s="318"/>
      <c r="Y11487" s="318"/>
      <c r="Z11487" s="318"/>
      <c r="AA11487" s="318"/>
      <c r="AB11487" s="318"/>
      <c r="AC11487" s="318"/>
      <c r="AD11487" s="318"/>
    </row>
    <row r="11488" spans="2:30" s="323" customFormat="1" ht="12" customHeight="1">
      <c r="B11488" s="324"/>
      <c r="C11488" s="325"/>
      <c r="D11488" s="326"/>
      <c r="E11488" s="326"/>
      <c r="F11488" s="326"/>
      <c r="G11488" s="326"/>
      <c r="H11488" s="326"/>
      <c r="P11488" s="318"/>
      <c r="Q11488" s="318"/>
      <c r="R11488" s="318"/>
      <c r="S11488" s="318"/>
      <c r="T11488" s="318"/>
      <c r="U11488" s="318"/>
      <c r="V11488" s="318"/>
      <c r="W11488" s="318"/>
      <c r="X11488" s="318"/>
      <c r="Y11488" s="318"/>
      <c r="Z11488" s="318"/>
      <c r="AA11488" s="318"/>
      <c r="AB11488" s="318"/>
      <c r="AC11488" s="318"/>
      <c r="AD11488" s="318"/>
    </row>
    <row r="11489" spans="2:30" s="323" customFormat="1" ht="12" customHeight="1">
      <c r="B11489" s="324"/>
      <c r="C11489" s="325"/>
      <c r="D11489" s="326"/>
      <c r="E11489" s="326"/>
      <c r="F11489" s="326"/>
      <c r="G11489" s="326"/>
      <c r="H11489" s="326"/>
      <c r="P11489" s="318"/>
      <c r="Q11489" s="318"/>
      <c r="R11489" s="318"/>
      <c r="S11489" s="318"/>
      <c r="T11489" s="318"/>
      <c r="U11489" s="318"/>
      <c r="V11489" s="318"/>
      <c r="W11489" s="318"/>
      <c r="X11489" s="318"/>
      <c r="Y11489" s="318"/>
      <c r="Z11489" s="318"/>
      <c r="AA11489" s="318"/>
      <c r="AB11489" s="318"/>
      <c r="AC11489" s="318"/>
      <c r="AD11489" s="318"/>
    </row>
    <row r="11490" spans="2:30" s="323" customFormat="1" ht="12" customHeight="1">
      <c r="B11490" s="324"/>
      <c r="C11490" s="325"/>
      <c r="D11490" s="326"/>
      <c r="E11490" s="326"/>
      <c r="F11490" s="326"/>
      <c r="G11490" s="326"/>
      <c r="H11490" s="326"/>
      <c r="P11490" s="318"/>
      <c r="Q11490" s="318"/>
      <c r="R11490" s="318"/>
      <c r="S11490" s="318"/>
      <c r="T11490" s="318"/>
      <c r="U11490" s="318"/>
      <c r="V11490" s="318"/>
      <c r="W11490" s="318"/>
      <c r="X11490" s="318"/>
      <c r="Y11490" s="318"/>
      <c r="Z11490" s="318"/>
      <c r="AA11490" s="318"/>
      <c r="AB11490" s="318"/>
      <c r="AC11490" s="318"/>
      <c r="AD11490" s="318"/>
    </row>
    <row r="11491" spans="2:30" s="323" customFormat="1" ht="12" customHeight="1">
      <c r="B11491" s="324"/>
      <c r="C11491" s="325"/>
      <c r="D11491" s="326"/>
      <c r="E11491" s="326"/>
      <c r="F11491" s="326"/>
      <c r="G11491" s="326"/>
      <c r="H11491" s="326"/>
      <c r="P11491" s="318"/>
      <c r="Q11491" s="318"/>
      <c r="R11491" s="318"/>
      <c r="S11491" s="318"/>
      <c r="T11491" s="318"/>
      <c r="U11491" s="318"/>
      <c r="V11491" s="318"/>
      <c r="W11491" s="318"/>
      <c r="X11491" s="318"/>
      <c r="Y11491" s="318"/>
      <c r="Z11491" s="318"/>
      <c r="AA11491" s="318"/>
      <c r="AB11491" s="318"/>
      <c r="AC11491" s="318"/>
      <c r="AD11491" s="318"/>
    </row>
    <row r="11492" spans="2:30" s="323" customFormat="1" ht="12" customHeight="1">
      <c r="B11492" s="324"/>
      <c r="C11492" s="325"/>
      <c r="D11492" s="326"/>
      <c r="E11492" s="326"/>
      <c r="F11492" s="326"/>
      <c r="G11492" s="326"/>
      <c r="H11492" s="326"/>
      <c r="P11492" s="318"/>
      <c r="Q11492" s="318"/>
      <c r="R11492" s="318"/>
      <c r="S11492" s="318"/>
      <c r="T11492" s="318"/>
      <c r="U11492" s="318"/>
      <c r="V11492" s="318"/>
      <c r="W11492" s="318"/>
      <c r="X11492" s="318"/>
      <c r="Y11492" s="318"/>
      <c r="Z11492" s="318"/>
      <c r="AA11492" s="318"/>
      <c r="AB11492" s="318"/>
      <c r="AC11492" s="318"/>
      <c r="AD11492" s="318"/>
    </row>
    <row r="11493" spans="2:30" s="323" customFormat="1" ht="12" customHeight="1">
      <c r="B11493" s="324"/>
      <c r="C11493" s="325"/>
      <c r="D11493" s="326"/>
      <c r="E11493" s="326"/>
      <c r="F11493" s="326"/>
      <c r="G11493" s="326"/>
      <c r="H11493" s="326"/>
      <c r="P11493" s="318"/>
      <c r="Q11493" s="318"/>
      <c r="R11493" s="318"/>
      <c r="S11493" s="318"/>
      <c r="T11493" s="318"/>
      <c r="U11493" s="318"/>
      <c r="V11493" s="318"/>
      <c r="W11493" s="318"/>
      <c r="X11493" s="318"/>
      <c r="Y11493" s="318"/>
      <c r="Z11493" s="318"/>
      <c r="AA11493" s="318"/>
      <c r="AB11493" s="318"/>
      <c r="AC11493" s="318"/>
      <c r="AD11493" s="318"/>
    </row>
    <row r="11494" spans="2:30" s="323" customFormat="1" ht="12" customHeight="1">
      <c r="B11494" s="324"/>
      <c r="C11494" s="325"/>
      <c r="D11494" s="326"/>
      <c r="E11494" s="326"/>
      <c r="F11494" s="326"/>
      <c r="G11494" s="326"/>
      <c r="H11494" s="326"/>
      <c r="P11494" s="318"/>
      <c r="Q11494" s="318"/>
      <c r="R11494" s="318"/>
      <c r="S11494" s="318"/>
      <c r="T11494" s="318"/>
      <c r="U11494" s="318"/>
      <c r="V11494" s="318"/>
      <c r="W11494" s="318"/>
      <c r="X11494" s="318"/>
      <c r="Y11494" s="318"/>
      <c r="Z11494" s="318"/>
      <c r="AA11494" s="318"/>
      <c r="AB11494" s="318"/>
      <c r="AC11494" s="318"/>
      <c r="AD11494" s="318"/>
    </row>
    <row r="11495" spans="2:30" s="323" customFormat="1" ht="12" customHeight="1">
      <c r="B11495" s="324"/>
      <c r="C11495" s="325"/>
      <c r="D11495" s="326"/>
      <c r="E11495" s="326"/>
      <c r="F11495" s="326"/>
      <c r="G11495" s="326"/>
      <c r="H11495" s="326"/>
      <c r="P11495" s="318"/>
      <c r="Q11495" s="318"/>
      <c r="R11495" s="318"/>
      <c r="S11495" s="318"/>
      <c r="T11495" s="318"/>
      <c r="U11495" s="318"/>
      <c r="V11495" s="318"/>
      <c r="W11495" s="318"/>
      <c r="X11495" s="318"/>
      <c r="Y11495" s="318"/>
      <c r="Z11495" s="318"/>
      <c r="AA11495" s="318"/>
      <c r="AB11495" s="318"/>
      <c r="AC11495" s="318"/>
      <c r="AD11495" s="318"/>
    </row>
    <row r="11496" spans="2:30" s="323" customFormat="1" ht="12" customHeight="1">
      <c r="B11496" s="324"/>
      <c r="C11496" s="325"/>
      <c r="D11496" s="326"/>
      <c r="E11496" s="326"/>
      <c r="F11496" s="326"/>
      <c r="G11496" s="326"/>
      <c r="H11496" s="326"/>
      <c r="P11496" s="318"/>
      <c r="Q11496" s="318"/>
      <c r="R11496" s="318"/>
      <c r="S11496" s="318"/>
      <c r="T11496" s="318"/>
      <c r="U11496" s="318"/>
      <c r="V11496" s="318"/>
      <c r="W11496" s="318"/>
      <c r="X11496" s="318"/>
      <c r="Y11496" s="318"/>
      <c r="Z11496" s="318"/>
      <c r="AA11496" s="318"/>
      <c r="AB11496" s="318"/>
      <c r="AC11496" s="318"/>
      <c r="AD11496" s="318"/>
    </row>
    <row r="11497" spans="2:30" s="323" customFormat="1" ht="12" customHeight="1">
      <c r="B11497" s="324"/>
      <c r="C11497" s="325"/>
      <c r="D11497" s="326"/>
      <c r="E11497" s="326"/>
      <c r="F11497" s="326"/>
      <c r="G11497" s="326"/>
      <c r="H11497" s="326"/>
      <c r="P11497" s="318"/>
      <c r="Q11497" s="318"/>
      <c r="R11497" s="318"/>
      <c r="S11497" s="318"/>
      <c r="T11497" s="318"/>
      <c r="U11497" s="318"/>
      <c r="V11497" s="318"/>
      <c r="W11497" s="318"/>
      <c r="X11497" s="318"/>
      <c r="Y11497" s="318"/>
      <c r="Z11497" s="318"/>
      <c r="AA11497" s="318"/>
      <c r="AB11497" s="318"/>
      <c r="AC11497" s="318"/>
      <c r="AD11497" s="318"/>
    </row>
    <row r="11498" spans="2:30" s="323" customFormat="1" ht="12" customHeight="1">
      <c r="B11498" s="324"/>
      <c r="C11498" s="325"/>
      <c r="D11498" s="326"/>
      <c r="E11498" s="326"/>
      <c r="F11498" s="326"/>
      <c r="G11498" s="326"/>
      <c r="H11498" s="326"/>
      <c r="P11498" s="318"/>
      <c r="Q11498" s="318"/>
      <c r="R11498" s="318"/>
      <c r="S11498" s="318"/>
      <c r="T11498" s="318"/>
      <c r="U11498" s="318"/>
      <c r="V11498" s="318"/>
      <c r="W11498" s="318"/>
      <c r="X11498" s="318"/>
      <c r="Y11498" s="318"/>
      <c r="Z11498" s="318"/>
      <c r="AA11498" s="318"/>
      <c r="AB11498" s="318"/>
      <c r="AC11498" s="318"/>
      <c r="AD11498" s="318"/>
    </row>
    <row r="11499" spans="2:30" s="323" customFormat="1" ht="12" customHeight="1">
      <c r="B11499" s="324"/>
      <c r="C11499" s="325"/>
      <c r="D11499" s="326"/>
      <c r="E11499" s="326"/>
      <c r="F11499" s="326"/>
      <c r="G11499" s="326"/>
      <c r="H11499" s="326"/>
      <c r="P11499" s="318"/>
      <c r="Q11499" s="318"/>
      <c r="R11499" s="318"/>
      <c r="S11499" s="318"/>
      <c r="T11499" s="318"/>
      <c r="U11499" s="318"/>
      <c r="V11499" s="318"/>
      <c r="W11499" s="318"/>
      <c r="X11499" s="318"/>
      <c r="Y11499" s="318"/>
      <c r="Z11499" s="318"/>
      <c r="AA11499" s="318"/>
      <c r="AB11499" s="318"/>
      <c r="AC11499" s="318"/>
      <c r="AD11499" s="318"/>
    </row>
    <row r="11500" spans="2:30" s="323" customFormat="1" ht="12" customHeight="1">
      <c r="B11500" s="324"/>
      <c r="C11500" s="325"/>
      <c r="D11500" s="326"/>
      <c r="E11500" s="326"/>
      <c r="F11500" s="326"/>
      <c r="G11500" s="326"/>
      <c r="H11500" s="326"/>
      <c r="P11500" s="318"/>
      <c r="Q11500" s="318"/>
      <c r="R11500" s="318"/>
      <c r="S11500" s="318"/>
      <c r="T11500" s="318"/>
      <c r="U11500" s="318"/>
      <c r="V11500" s="318"/>
      <c r="W11500" s="318"/>
      <c r="X11500" s="318"/>
      <c r="Y11500" s="318"/>
      <c r="Z11500" s="318"/>
      <c r="AA11500" s="318"/>
      <c r="AB11500" s="318"/>
      <c r="AC11500" s="318"/>
      <c r="AD11500" s="318"/>
    </row>
    <row r="11501" spans="2:30" s="323" customFormat="1" ht="12" customHeight="1">
      <c r="B11501" s="324"/>
      <c r="C11501" s="325"/>
      <c r="D11501" s="326"/>
      <c r="E11501" s="326"/>
      <c r="F11501" s="326"/>
      <c r="G11501" s="326"/>
      <c r="H11501" s="326"/>
      <c r="P11501" s="318"/>
      <c r="Q11501" s="318"/>
      <c r="R11501" s="318"/>
      <c r="S11501" s="318"/>
      <c r="T11501" s="318"/>
      <c r="U11501" s="318"/>
      <c r="V11501" s="318"/>
      <c r="W11501" s="318"/>
      <c r="X11501" s="318"/>
      <c r="Y11501" s="318"/>
      <c r="Z11501" s="318"/>
      <c r="AA11501" s="318"/>
      <c r="AB11501" s="318"/>
      <c r="AC11501" s="318"/>
      <c r="AD11501" s="318"/>
    </row>
    <row r="11502" spans="2:30" s="323" customFormat="1" ht="12" customHeight="1">
      <c r="B11502" s="324"/>
      <c r="C11502" s="325"/>
      <c r="D11502" s="326"/>
      <c r="E11502" s="326"/>
      <c r="F11502" s="326"/>
      <c r="G11502" s="326"/>
      <c r="H11502" s="326"/>
      <c r="P11502" s="318"/>
      <c r="Q11502" s="318"/>
      <c r="R11502" s="318"/>
      <c r="S11502" s="318"/>
      <c r="T11502" s="318"/>
      <c r="U11502" s="318"/>
      <c r="V11502" s="318"/>
      <c r="W11502" s="318"/>
      <c r="X11502" s="318"/>
      <c r="Y11502" s="318"/>
      <c r="Z11502" s="318"/>
      <c r="AA11502" s="318"/>
      <c r="AB11502" s="318"/>
      <c r="AC11502" s="318"/>
      <c r="AD11502" s="318"/>
    </row>
    <row r="11503" spans="2:30" s="323" customFormat="1" ht="12" customHeight="1">
      <c r="B11503" s="324"/>
      <c r="C11503" s="325"/>
      <c r="D11503" s="326"/>
      <c r="E11503" s="326"/>
      <c r="F11503" s="326"/>
      <c r="G11503" s="326"/>
      <c r="H11503" s="326"/>
      <c r="P11503" s="318"/>
      <c r="Q11503" s="318"/>
      <c r="R11503" s="318"/>
      <c r="S11503" s="318"/>
      <c r="T11503" s="318"/>
      <c r="U11503" s="318"/>
      <c r="V11503" s="318"/>
      <c r="W11503" s="318"/>
      <c r="X11503" s="318"/>
      <c r="Y11503" s="318"/>
      <c r="Z11503" s="318"/>
      <c r="AA11503" s="318"/>
      <c r="AB11503" s="318"/>
      <c r="AC11503" s="318"/>
      <c r="AD11503" s="318"/>
    </row>
    <row r="11504" spans="2:30" s="323" customFormat="1" ht="12" customHeight="1">
      <c r="B11504" s="324"/>
      <c r="C11504" s="325"/>
      <c r="D11504" s="326"/>
      <c r="E11504" s="326"/>
      <c r="F11504" s="326"/>
      <c r="G11504" s="326"/>
      <c r="H11504" s="326"/>
      <c r="P11504" s="318"/>
      <c r="Q11504" s="318"/>
      <c r="R11504" s="318"/>
      <c r="S11504" s="318"/>
      <c r="T11504" s="318"/>
      <c r="U11504" s="318"/>
      <c r="V11504" s="318"/>
      <c r="W11504" s="318"/>
      <c r="X11504" s="318"/>
      <c r="Y11504" s="318"/>
      <c r="Z11504" s="318"/>
      <c r="AA11504" s="318"/>
      <c r="AB11504" s="318"/>
      <c r="AC11504" s="318"/>
      <c r="AD11504" s="318"/>
    </row>
    <row r="11505" spans="2:30" s="323" customFormat="1" ht="12" customHeight="1">
      <c r="B11505" s="324"/>
      <c r="C11505" s="325"/>
      <c r="D11505" s="326"/>
      <c r="E11505" s="326"/>
      <c r="F11505" s="326"/>
      <c r="G11505" s="326"/>
      <c r="H11505" s="326"/>
      <c r="P11505" s="318"/>
      <c r="Q11505" s="318"/>
      <c r="R11505" s="318"/>
      <c r="S11505" s="318"/>
      <c r="T11505" s="318"/>
      <c r="U11505" s="318"/>
      <c r="V11505" s="318"/>
      <c r="W11505" s="318"/>
      <c r="X11505" s="318"/>
      <c r="Y11505" s="318"/>
      <c r="Z11505" s="318"/>
      <c r="AA11505" s="318"/>
      <c r="AB11505" s="318"/>
      <c r="AC11505" s="318"/>
      <c r="AD11505" s="318"/>
    </row>
    <row r="11506" spans="2:30" s="323" customFormat="1" ht="12" customHeight="1">
      <c r="B11506" s="324"/>
      <c r="C11506" s="325"/>
      <c r="D11506" s="326"/>
      <c r="E11506" s="326"/>
      <c r="F11506" s="326"/>
      <c r="G11506" s="326"/>
      <c r="H11506" s="326"/>
      <c r="P11506" s="318"/>
      <c r="Q11506" s="318"/>
      <c r="R11506" s="318"/>
      <c r="S11506" s="318"/>
      <c r="T11506" s="318"/>
      <c r="U11506" s="318"/>
      <c r="V11506" s="318"/>
      <c r="W11506" s="318"/>
      <c r="X11506" s="318"/>
      <c r="Y11506" s="318"/>
      <c r="Z11506" s="318"/>
      <c r="AA11506" s="318"/>
      <c r="AB11506" s="318"/>
      <c r="AC11506" s="318"/>
      <c r="AD11506" s="318"/>
    </row>
    <row r="11507" spans="2:30" s="323" customFormat="1" ht="12" customHeight="1">
      <c r="B11507" s="324"/>
      <c r="C11507" s="325"/>
      <c r="D11507" s="326"/>
      <c r="E11507" s="326"/>
      <c r="F11507" s="326"/>
      <c r="G11507" s="326"/>
      <c r="H11507" s="326"/>
      <c r="P11507" s="318"/>
      <c r="Q11507" s="318"/>
      <c r="R11507" s="318"/>
      <c r="S11507" s="318"/>
      <c r="T11507" s="318"/>
      <c r="U11507" s="318"/>
      <c r="V11507" s="318"/>
      <c r="W11507" s="318"/>
      <c r="X11507" s="318"/>
      <c r="Y11507" s="318"/>
      <c r="Z11507" s="318"/>
      <c r="AA11507" s="318"/>
      <c r="AB11507" s="318"/>
      <c r="AC11507" s="318"/>
      <c r="AD11507" s="318"/>
    </row>
    <row r="11508" spans="2:30" s="323" customFormat="1" ht="12" customHeight="1">
      <c r="B11508" s="324"/>
      <c r="C11508" s="325"/>
      <c r="D11508" s="326"/>
      <c r="E11508" s="326"/>
      <c r="F11508" s="326"/>
      <c r="G11508" s="326"/>
      <c r="H11508" s="326"/>
      <c r="P11508" s="318"/>
      <c r="Q11508" s="318"/>
      <c r="R11508" s="318"/>
      <c r="S11508" s="318"/>
      <c r="T11508" s="318"/>
      <c r="U11508" s="318"/>
      <c r="V11508" s="318"/>
      <c r="W11508" s="318"/>
      <c r="X11508" s="318"/>
      <c r="Y11508" s="318"/>
      <c r="Z11508" s="318"/>
      <c r="AA11508" s="318"/>
      <c r="AB11508" s="318"/>
      <c r="AC11508" s="318"/>
      <c r="AD11508" s="318"/>
    </row>
    <row r="11509" spans="2:30" s="323" customFormat="1" ht="12" customHeight="1">
      <c r="B11509" s="324"/>
      <c r="C11509" s="325"/>
      <c r="D11509" s="326"/>
      <c r="E11509" s="326"/>
      <c r="F11509" s="326"/>
      <c r="G11509" s="326"/>
      <c r="H11509" s="326"/>
      <c r="P11509" s="318"/>
      <c r="Q11509" s="318"/>
      <c r="R11509" s="318"/>
      <c r="S11509" s="318"/>
      <c r="T11509" s="318"/>
      <c r="U11509" s="318"/>
      <c r="V11509" s="318"/>
      <c r="W11509" s="318"/>
      <c r="X11509" s="318"/>
      <c r="Y11509" s="318"/>
      <c r="Z11509" s="318"/>
      <c r="AA11509" s="318"/>
      <c r="AB11509" s="318"/>
      <c r="AC11509" s="318"/>
      <c r="AD11509" s="318"/>
    </row>
    <row r="11510" spans="2:30" s="323" customFormat="1" ht="12" customHeight="1">
      <c r="B11510" s="324"/>
      <c r="C11510" s="325"/>
      <c r="D11510" s="326"/>
      <c r="E11510" s="326"/>
      <c r="F11510" s="326"/>
      <c r="G11510" s="326"/>
      <c r="H11510" s="326"/>
      <c r="P11510" s="318"/>
      <c r="Q11510" s="318"/>
      <c r="R11510" s="318"/>
      <c r="S11510" s="318"/>
      <c r="T11510" s="318"/>
      <c r="U11510" s="318"/>
      <c r="V11510" s="318"/>
      <c r="W11510" s="318"/>
      <c r="X11510" s="318"/>
      <c r="Y11510" s="318"/>
      <c r="Z11510" s="318"/>
      <c r="AA11510" s="318"/>
      <c r="AB11510" s="318"/>
      <c r="AC11510" s="318"/>
      <c r="AD11510" s="318"/>
    </row>
    <row r="11511" spans="2:30" s="323" customFormat="1" ht="12" customHeight="1">
      <c r="B11511" s="324"/>
      <c r="C11511" s="325"/>
      <c r="D11511" s="326"/>
      <c r="E11511" s="326"/>
      <c r="F11511" s="326"/>
      <c r="G11511" s="326"/>
      <c r="H11511" s="326"/>
      <c r="P11511" s="318"/>
      <c r="Q11511" s="318"/>
      <c r="R11511" s="318"/>
      <c r="S11511" s="318"/>
      <c r="T11511" s="318"/>
      <c r="U11511" s="318"/>
      <c r="V11511" s="318"/>
      <c r="W11511" s="318"/>
      <c r="X11511" s="318"/>
      <c r="Y11511" s="318"/>
      <c r="Z11511" s="318"/>
      <c r="AA11511" s="318"/>
      <c r="AB11511" s="318"/>
      <c r="AC11511" s="318"/>
      <c r="AD11511" s="318"/>
    </row>
    <row r="11512" spans="2:30" s="323" customFormat="1" ht="12" customHeight="1">
      <c r="B11512" s="324"/>
      <c r="C11512" s="325"/>
      <c r="D11512" s="326"/>
      <c r="E11512" s="326"/>
      <c r="F11512" s="326"/>
      <c r="G11512" s="326"/>
      <c r="H11512" s="326"/>
      <c r="P11512" s="318"/>
      <c r="Q11512" s="318"/>
      <c r="R11512" s="318"/>
      <c r="S11512" s="318"/>
      <c r="T11512" s="318"/>
      <c r="U11512" s="318"/>
      <c r="V11512" s="318"/>
      <c r="W11512" s="318"/>
      <c r="X11512" s="318"/>
      <c r="Y11512" s="318"/>
      <c r="Z11512" s="318"/>
      <c r="AA11512" s="318"/>
      <c r="AB11512" s="318"/>
      <c r="AC11512" s="318"/>
      <c r="AD11512" s="318"/>
    </row>
    <row r="11513" spans="2:30" s="323" customFormat="1" ht="12" customHeight="1">
      <c r="B11513" s="324"/>
      <c r="C11513" s="325"/>
      <c r="D11513" s="326"/>
      <c r="E11513" s="326"/>
      <c r="F11513" s="326"/>
      <c r="G11513" s="326"/>
      <c r="H11513" s="326"/>
      <c r="P11513" s="318"/>
      <c r="Q11513" s="318"/>
      <c r="R11513" s="318"/>
      <c r="S11513" s="318"/>
      <c r="T11513" s="318"/>
      <c r="U11513" s="318"/>
      <c r="V11513" s="318"/>
      <c r="W11513" s="318"/>
      <c r="X11513" s="318"/>
      <c r="Y11513" s="318"/>
      <c r="Z11513" s="318"/>
      <c r="AA11513" s="318"/>
      <c r="AB11513" s="318"/>
      <c r="AC11513" s="318"/>
      <c r="AD11513" s="318"/>
    </row>
    <row r="11514" spans="2:30" s="323" customFormat="1" ht="12" customHeight="1">
      <c r="B11514" s="324"/>
      <c r="C11514" s="325"/>
      <c r="D11514" s="326"/>
      <c r="E11514" s="326"/>
      <c r="F11514" s="326"/>
      <c r="G11514" s="326"/>
      <c r="H11514" s="326"/>
      <c r="P11514" s="318"/>
      <c r="Q11514" s="318"/>
      <c r="R11514" s="318"/>
      <c r="S11514" s="318"/>
      <c r="T11514" s="318"/>
      <c r="U11514" s="318"/>
      <c r="V11514" s="318"/>
      <c r="W11514" s="318"/>
      <c r="X11514" s="318"/>
      <c r="Y11514" s="318"/>
      <c r="Z11514" s="318"/>
      <c r="AA11514" s="318"/>
      <c r="AB11514" s="318"/>
      <c r="AC11514" s="318"/>
      <c r="AD11514" s="318"/>
    </row>
    <row r="11515" spans="2:30" s="323" customFormat="1" ht="12" customHeight="1">
      <c r="B11515" s="324"/>
      <c r="C11515" s="325"/>
      <c r="D11515" s="326"/>
      <c r="E11515" s="326"/>
      <c r="F11515" s="326"/>
      <c r="G11515" s="326"/>
      <c r="H11515" s="326"/>
      <c r="P11515" s="318"/>
      <c r="Q11515" s="318"/>
      <c r="R11515" s="318"/>
      <c r="S11515" s="318"/>
      <c r="T11515" s="318"/>
      <c r="U11515" s="318"/>
      <c r="V11515" s="318"/>
      <c r="W11515" s="318"/>
      <c r="X11515" s="318"/>
      <c r="Y11515" s="318"/>
      <c r="Z11515" s="318"/>
      <c r="AA11515" s="318"/>
      <c r="AB11515" s="318"/>
      <c r="AC11515" s="318"/>
      <c r="AD11515" s="318"/>
    </row>
    <row r="11516" spans="2:30" s="323" customFormat="1" ht="12" customHeight="1">
      <c r="B11516" s="324"/>
      <c r="C11516" s="325"/>
      <c r="D11516" s="326"/>
      <c r="E11516" s="326"/>
      <c r="F11516" s="326"/>
      <c r="G11516" s="326"/>
      <c r="H11516" s="326"/>
      <c r="P11516" s="318"/>
      <c r="Q11516" s="318"/>
      <c r="R11516" s="318"/>
      <c r="S11516" s="318"/>
      <c r="T11516" s="318"/>
      <c r="U11516" s="318"/>
      <c r="V11516" s="318"/>
      <c r="W11516" s="318"/>
      <c r="X11516" s="318"/>
      <c r="Y11516" s="318"/>
      <c r="Z11516" s="318"/>
      <c r="AA11516" s="318"/>
      <c r="AB11516" s="318"/>
      <c r="AC11516" s="318"/>
      <c r="AD11516" s="318"/>
    </row>
    <row r="11517" spans="2:30" s="323" customFormat="1" ht="12" customHeight="1">
      <c r="B11517" s="324"/>
      <c r="C11517" s="325"/>
      <c r="D11517" s="326"/>
      <c r="E11517" s="326"/>
      <c r="F11517" s="326"/>
      <c r="G11517" s="326"/>
      <c r="H11517" s="326"/>
      <c r="P11517" s="318"/>
      <c r="Q11517" s="318"/>
      <c r="R11517" s="318"/>
      <c r="S11517" s="318"/>
      <c r="T11517" s="318"/>
      <c r="U11517" s="318"/>
      <c r="V11517" s="318"/>
      <c r="W11517" s="318"/>
      <c r="X11517" s="318"/>
      <c r="Y11517" s="318"/>
      <c r="Z11517" s="318"/>
      <c r="AA11517" s="318"/>
      <c r="AB11517" s="318"/>
      <c r="AC11517" s="318"/>
      <c r="AD11517" s="318"/>
    </row>
    <row r="11518" spans="2:30" s="323" customFormat="1" ht="12" customHeight="1">
      <c r="B11518" s="324"/>
      <c r="C11518" s="325"/>
      <c r="D11518" s="326"/>
      <c r="E11518" s="326"/>
      <c r="F11518" s="326"/>
      <c r="G11518" s="326"/>
      <c r="H11518" s="326"/>
      <c r="P11518" s="318"/>
      <c r="Q11518" s="318"/>
      <c r="R11518" s="318"/>
      <c r="S11518" s="318"/>
      <c r="T11518" s="318"/>
      <c r="U11518" s="318"/>
      <c r="V11518" s="318"/>
      <c r="W11518" s="318"/>
      <c r="X11518" s="318"/>
      <c r="Y11518" s="318"/>
      <c r="Z11518" s="318"/>
      <c r="AA11518" s="318"/>
      <c r="AB11518" s="318"/>
      <c r="AC11518" s="318"/>
      <c r="AD11518" s="318"/>
    </row>
    <row r="11519" spans="2:30" s="323" customFormat="1" ht="12" customHeight="1">
      <c r="B11519" s="324"/>
      <c r="C11519" s="325"/>
      <c r="D11519" s="326"/>
      <c r="E11519" s="326"/>
      <c r="F11519" s="326"/>
      <c r="G11519" s="326"/>
      <c r="H11519" s="326"/>
      <c r="P11519" s="318"/>
      <c r="Q11519" s="318"/>
      <c r="R11519" s="318"/>
      <c r="S11519" s="318"/>
      <c r="T11519" s="318"/>
      <c r="U11519" s="318"/>
      <c r="V11519" s="318"/>
      <c r="W11519" s="318"/>
      <c r="X11519" s="318"/>
      <c r="Y11519" s="318"/>
      <c r="Z11519" s="318"/>
      <c r="AA11519" s="318"/>
      <c r="AB11519" s="318"/>
      <c r="AC11519" s="318"/>
      <c r="AD11519" s="318"/>
    </row>
    <row r="11520" spans="2:30" s="323" customFormat="1" ht="12" customHeight="1">
      <c r="B11520" s="324"/>
      <c r="C11520" s="325"/>
      <c r="D11520" s="326"/>
      <c r="E11520" s="326"/>
      <c r="F11520" s="326"/>
      <c r="G11520" s="326"/>
      <c r="H11520" s="326"/>
      <c r="P11520" s="318"/>
      <c r="Q11520" s="318"/>
      <c r="R11520" s="318"/>
      <c r="S11520" s="318"/>
      <c r="T11520" s="318"/>
      <c r="U11520" s="318"/>
      <c r="V11520" s="318"/>
      <c r="W11520" s="318"/>
      <c r="X11520" s="318"/>
      <c r="Y11520" s="318"/>
      <c r="Z11520" s="318"/>
      <c r="AA11520" s="318"/>
      <c r="AB11520" s="318"/>
      <c r="AC11520" s="318"/>
      <c r="AD11520" s="318"/>
    </row>
    <row r="11521" spans="2:30" s="323" customFormat="1" ht="12" customHeight="1">
      <c r="B11521" s="324"/>
      <c r="C11521" s="325"/>
      <c r="D11521" s="326"/>
      <c r="E11521" s="326"/>
      <c r="F11521" s="326"/>
      <c r="G11521" s="326"/>
      <c r="H11521" s="326"/>
      <c r="P11521" s="318"/>
      <c r="Q11521" s="318"/>
      <c r="R11521" s="318"/>
      <c r="S11521" s="318"/>
      <c r="T11521" s="318"/>
      <c r="U11521" s="318"/>
      <c r="V11521" s="318"/>
      <c r="W11521" s="318"/>
      <c r="X11521" s="318"/>
      <c r="Y11521" s="318"/>
      <c r="Z11521" s="318"/>
      <c r="AA11521" s="318"/>
      <c r="AB11521" s="318"/>
      <c r="AC11521" s="318"/>
      <c r="AD11521" s="318"/>
    </row>
    <row r="11522" spans="2:30" s="323" customFormat="1" ht="12" customHeight="1">
      <c r="B11522" s="324"/>
      <c r="C11522" s="325"/>
      <c r="D11522" s="326"/>
      <c r="E11522" s="326"/>
      <c r="F11522" s="326"/>
      <c r="G11522" s="326"/>
      <c r="H11522" s="326"/>
      <c r="P11522" s="318"/>
      <c r="Q11522" s="318"/>
      <c r="R11522" s="318"/>
      <c r="S11522" s="318"/>
      <c r="T11522" s="318"/>
      <c r="U11522" s="318"/>
      <c r="V11522" s="318"/>
      <c r="W11522" s="318"/>
      <c r="X11522" s="318"/>
      <c r="Y11522" s="318"/>
      <c r="Z11522" s="318"/>
      <c r="AA11522" s="318"/>
      <c r="AB11522" s="318"/>
      <c r="AC11522" s="318"/>
      <c r="AD11522" s="318"/>
    </row>
    <row r="11523" spans="2:30" s="323" customFormat="1" ht="12" customHeight="1">
      <c r="B11523" s="324"/>
      <c r="C11523" s="325"/>
      <c r="D11523" s="326"/>
      <c r="E11523" s="326"/>
      <c r="F11523" s="326"/>
      <c r="G11523" s="326"/>
      <c r="H11523" s="326"/>
      <c r="P11523" s="318"/>
      <c r="Q11523" s="318"/>
      <c r="R11523" s="318"/>
      <c r="S11523" s="318"/>
      <c r="T11523" s="318"/>
      <c r="U11523" s="318"/>
      <c r="V11523" s="318"/>
      <c r="W11523" s="318"/>
      <c r="X11523" s="318"/>
      <c r="Y11523" s="318"/>
      <c r="Z11523" s="318"/>
      <c r="AA11523" s="318"/>
      <c r="AB11523" s="318"/>
      <c r="AC11523" s="318"/>
      <c r="AD11523" s="318"/>
    </row>
    <row r="11524" spans="2:30" s="323" customFormat="1" ht="12" customHeight="1">
      <c r="B11524" s="324"/>
      <c r="C11524" s="325"/>
      <c r="D11524" s="326"/>
      <c r="E11524" s="326"/>
      <c r="F11524" s="326"/>
      <c r="G11524" s="326"/>
      <c r="H11524" s="326"/>
      <c r="P11524" s="318"/>
      <c r="Q11524" s="318"/>
      <c r="R11524" s="318"/>
      <c r="S11524" s="318"/>
      <c r="T11524" s="318"/>
      <c r="U11524" s="318"/>
      <c r="V11524" s="318"/>
      <c r="W11524" s="318"/>
      <c r="X11524" s="318"/>
      <c r="Y11524" s="318"/>
      <c r="Z11524" s="318"/>
      <c r="AA11524" s="318"/>
      <c r="AB11524" s="318"/>
      <c r="AC11524" s="318"/>
      <c r="AD11524" s="318"/>
    </row>
    <row r="11525" spans="2:30" s="323" customFormat="1" ht="12" customHeight="1">
      <c r="B11525" s="324"/>
      <c r="C11525" s="325"/>
      <c r="D11525" s="326"/>
      <c r="E11525" s="326"/>
      <c r="F11525" s="326"/>
      <c r="G11525" s="326"/>
      <c r="H11525" s="326"/>
      <c r="P11525" s="318"/>
      <c r="Q11525" s="318"/>
      <c r="R11525" s="318"/>
      <c r="S11525" s="318"/>
      <c r="T11525" s="318"/>
      <c r="U11525" s="318"/>
      <c r="V11525" s="318"/>
      <c r="W11525" s="318"/>
      <c r="X11525" s="318"/>
      <c r="Y11525" s="318"/>
      <c r="Z11525" s="318"/>
      <c r="AA11525" s="318"/>
      <c r="AB11525" s="318"/>
      <c r="AC11525" s="318"/>
      <c r="AD11525" s="318"/>
    </row>
    <row r="11526" spans="2:30" s="323" customFormat="1" ht="12" customHeight="1">
      <c r="B11526" s="324"/>
      <c r="C11526" s="325"/>
      <c r="D11526" s="326"/>
      <c r="E11526" s="326"/>
      <c r="F11526" s="326"/>
      <c r="G11526" s="326"/>
      <c r="H11526" s="326"/>
      <c r="P11526" s="318"/>
      <c r="Q11526" s="318"/>
      <c r="R11526" s="318"/>
      <c r="S11526" s="318"/>
      <c r="T11526" s="318"/>
      <c r="U11526" s="318"/>
      <c r="V11526" s="318"/>
      <c r="W11526" s="318"/>
      <c r="X11526" s="318"/>
      <c r="Y11526" s="318"/>
      <c r="Z11526" s="318"/>
      <c r="AA11526" s="318"/>
      <c r="AB11526" s="318"/>
      <c r="AC11526" s="318"/>
      <c r="AD11526" s="318"/>
    </row>
    <row r="11527" spans="2:30" s="323" customFormat="1" ht="12" customHeight="1">
      <c r="B11527" s="324"/>
      <c r="C11527" s="325"/>
      <c r="D11527" s="326"/>
      <c r="E11527" s="326"/>
      <c r="F11527" s="326"/>
      <c r="G11527" s="326"/>
      <c r="H11527" s="326"/>
      <c r="P11527" s="318"/>
      <c r="Q11527" s="318"/>
      <c r="R11527" s="318"/>
      <c r="S11527" s="318"/>
      <c r="T11527" s="318"/>
      <c r="U11527" s="318"/>
      <c r="V11527" s="318"/>
      <c r="W11527" s="318"/>
      <c r="X11527" s="318"/>
      <c r="Y11527" s="318"/>
      <c r="Z11527" s="318"/>
      <c r="AA11527" s="318"/>
      <c r="AB11527" s="318"/>
      <c r="AC11527" s="318"/>
      <c r="AD11527" s="318"/>
    </row>
    <row r="11528" spans="2:30" s="323" customFormat="1" ht="12" customHeight="1">
      <c r="B11528" s="324"/>
      <c r="C11528" s="325"/>
      <c r="D11528" s="326"/>
      <c r="E11528" s="326"/>
      <c r="F11528" s="326"/>
      <c r="G11528" s="326"/>
      <c r="H11528" s="326"/>
      <c r="P11528" s="318"/>
      <c r="Q11528" s="318"/>
      <c r="R11528" s="318"/>
      <c r="S11528" s="318"/>
      <c r="T11528" s="318"/>
      <c r="U11528" s="318"/>
      <c r="V11528" s="318"/>
      <c r="W11528" s="318"/>
      <c r="X11528" s="318"/>
      <c r="Y11528" s="318"/>
      <c r="Z11528" s="318"/>
      <c r="AA11528" s="318"/>
      <c r="AB11528" s="318"/>
      <c r="AC11528" s="318"/>
      <c r="AD11528" s="318"/>
    </row>
    <row r="11529" spans="2:30" s="323" customFormat="1" ht="12" customHeight="1">
      <c r="B11529" s="324"/>
      <c r="C11529" s="325"/>
      <c r="D11529" s="326"/>
      <c r="E11529" s="326"/>
      <c r="F11529" s="326"/>
      <c r="G11529" s="326"/>
      <c r="H11529" s="326"/>
      <c r="P11529" s="318"/>
      <c r="Q11529" s="318"/>
      <c r="R11529" s="318"/>
      <c r="S11529" s="318"/>
      <c r="T11529" s="318"/>
      <c r="U11529" s="318"/>
      <c r="V11529" s="318"/>
      <c r="W11529" s="318"/>
      <c r="X11529" s="318"/>
      <c r="Y11529" s="318"/>
      <c r="Z11529" s="318"/>
      <c r="AA11529" s="318"/>
      <c r="AB11529" s="318"/>
      <c r="AC11529" s="318"/>
      <c r="AD11529" s="318"/>
    </row>
    <row r="11530" spans="2:30" s="323" customFormat="1" ht="12" customHeight="1">
      <c r="B11530" s="324"/>
      <c r="C11530" s="325"/>
      <c r="D11530" s="326"/>
      <c r="E11530" s="326"/>
      <c r="F11530" s="326"/>
      <c r="G11530" s="326"/>
      <c r="H11530" s="326"/>
      <c r="P11530" s="318"/>
      <c r="Q11530" s="318"/>
      <c r="R11530" s="318"/>
      <c r="S11530" s="318"/>
      <c r="T11530" s="318"/>
      <c r="U11530" s="318"/>
      <c r="V11530" s="318"/>
      <c r="W11530" s="318"/>
      <c r="X11530" s="318"/>
      <c r="Y11530" s="318"/>
      <c r="Z11530" s="318"/>
      <c r="AA11530" s="318"/>
      <c r="AB11530" s="318"/>
      <c r="AC11530" s="318"/>
      <c r="AD11530" s="318"/>
    </row>
    <row r="11531" spans="2:30" s="323" customFormat="1" ht="12" customHeight="1">
      <c r="B11531" s="324"/>
      <c r="C11531" s="325"/>
      <c r="D11531" s="326"/>
      <c r="E11531" s="326"/>
      <c r="F11531" s="326"/>
      <c r="G11531" s="326"/>
      <c r="H11531" s="326"/>
      <c r="P11531" s="318"/>
      <c r="Q11531" s="318"/>
      <c r="R11531" s="318"/>
      <c r="S11531" s="318"/>
      <c r="T11531" s="318"/>
      <c r="U11531" s="318"/>
      <c r="V11531" s="318"/>
      <c r="W11531" s="318"/>
      <c r="X11531" s="318"/>
      <c r="Y11531" s="318"/>
      <c r="Z11531" s="318"/>
      <c r="AA11531" s="318"/>
      <c r="AB11531" s="318"/>
      <c r="AC11531" s="318"/>
      <c r="AD11531" s="318"/>
    </row>
    <row r="11532" spans="2:30" s="323" customFormat="1" ht="12" customHeight="1">
      <c r="B11532" s="324"/>
      <c r="C11532" s="325"/>
      <c r="D11532" s="326"/>
      <c r="E11532" s="326"/>
      <c r="F11532" s="326"/>
      <c r="G11532" s="326"/>
      <c r="H11532" s="326"/>
      <c r="P11532" s="318"/>
      <c r="Q11532" s="318"/>
      <c r="R11532" s="318"/>
      <c r="S11532" s="318"/>
      <c r="T11532" s="318"/>
      <c r="U11532" s="318"/>
      <c r="V11532" s="318"/>
      <c r="W11532" s="318"/>
      <c r="X11532" s="318"/>
      <c r="Y11532" s="318"/>
      <c r="Z11532" s="318"/>
      <c r="AA11532" s="318"/>
      <c r="AB11532" s="318"/>
      <c r="AC11532" s="318"/>
      <c r="AD11532" s="318"/>
    </row>
    <row r="11533" spans="2:30" s="323" customFormat="1" ht="12" customHeight="1">
      <c r="B11533" s="324"/>
      <c r="C11533" s="325"/>
      <c r="D11533" s="326"/>
      <c r="E11533" s="326"/>
      <c r="F11533" s="326"/>
      <c r="G11533" s="326"/>
      <c r="H11533" s="326"/>
      <c r="P11533" s="318"/>
      <c r="Q11533" s="318"/>
      <c r="R11533" s="318"/>
      <c r="S11533" s="318"/>
      <c r="T11533" s="318"/>
      <c r="U11533" s="318"/>
      <c r="V11533" s="318"/>
      <c r="W11533" s="318"/>
      <c r="X11533" s="318"/>
      <c r="Y11533" s="318"/>
      <c r="Z11533" s="318"/>
      <c r="AA11533" s="318"/>
      <c r="AB11533" s="318"/>
      <c r="AC11533" s="318"/>
      <c r="AD11533" s="318"/>
    </row>
    <row r="11534" spans="2:30" s="323" customFormat="1" ht="12" customHeight="1">
      <c r="B11534" s="324"/>
      <c r="C11534" s="325"/>
      <c r="D11534" s="326"/>
      <c r="E11534" s="326"/>
      <c r="F11534" s="326"/>
      <c r="G11534" s="326"/>
      <c r="H11534" s="326"/>
      <c r="P11534" s="318"/>
      <c r="Q11534" s="318"/>
      <c r="R11534" s="318"/>
      <c r="S11534" s="318"/>
      <c r="T11534" s="318"/>
      <c r="U11534" s="318"/>
      <c r="V11534" s="318"/>
      <c r="W11534" s="318"/>
      <c r="X11534" s="318"/>
      <c r="Y11534" s="318"/>
      <c r="Z11534" s="318"/>
      <c r="AA11534" s="318"/>
      <c r="AB11534" s="318"/>
      <c r="AC11534" s="318"/>
      <c r="AD11534" s="318"/>
    </row>
    <row r="11535" spans="2:30" s="323" customFormat="1" ht="12" customHeight="1">
      <c r="B11535" s="324"/>
      <c r="C11535" s="325"/>
      <c r="D11535" s="326"/>
      <c r="E11535" s="326"/>
      <c r="F11535" s="326"/>
      <c r="G11535" s="326"/>
      <c r="H11535" s="326"/>
      <c r="P11535" s="318"/>
      <c r="Q11535" s="318"/>
      <c r="R11535" s="318"/>
      <c r="S11535" s="318"/>
      <c r="T11535" s="318"/>
      <c r="U11535" s="318"/>
      <c r="V11535" s="318"/>
      <c r="W11535" s="318"/>
      <c r="X11535" s="318"/>
      <c r="Y11535" s="318"/>
      <c r="Z11535" s="318"/>
      <c r="AA11535" s="318"/>
      <c r="AB11535" s="318"/>
      <c r="AC11535" s="318"/>
      <c r="AD11535" s="318"/>
    </row>
    <row r="11536" spans="2:30" s="323" customFormat="1" ht="12" customHeight="1">
      <c r="B11536" s="324"/>
      <c r="C11536" s="325"/>
      <c r="D11536" s="326"/>
      <c r="E11536" s="326"/>
      <c r="F11536" s="326"/>
      <c r="G11536" s="326"/>
      <c r="H11536" s="326"/>
      <c r="P11536" s="318"/>
      <c r="Q11536" s="318"/>
      <c r="R11536" s="318"/>
      <c r="S11536" s="318"/>
      <c r="T11536" s="318"/>
      <c r="U11536" s="318"/>
      <c r="V11536" s="318"/>
      <c r="W11536" s="318"/>
      <c r="X11536" s="318"/>
      <c r="Y11536" s="318"/>
      <c r="Z11536" s="318"/>
      <c r="AA11536" s="318"/>
      <c r="AB11536" s="318"/>
      <c r="AC11536" s="318"/>
      <c r="AD11536" s="318"/>
    </row>
    <row r="11537" spans="2:30" s="323" customFormat="1" ht="12" customHeight="1">
      <c r="B11537" s="324"/>
      <c r="C11537" s="325"/>
      <c r="D11537" s="326"/>
      <c r="E11537" s="326"/>
      <c r="F11537" s="326"/>
      <c r="G11537" s="326"/>
      <c r="H11537" s="326"/>
      <c r="P11537" s="318"/>
      <c r="Q11537" s="318"/>
      <c r="R11537" s="318"/>
      <c r="S11537" s="318"/>
      <c r="T11537" s="318"/>
      <c r="U11537" s="318"/>
      <c r="V11537" s="318"/>
      <c r="W11537" s="318"/>
      <c r="X11537" s="318"/>
      <c r="Y11537" s="318"/>
      <c r="Z11537" s="318"/>
      <c r="AA11537" s="318"/>
      <c r="AB11537" s="318"/>
      <c r="AC11537" s="318"/>
      <c r="AD11537" s="318"/>
    </row>
    <row r="11538" spans="2:30" s="323" customFormat="1" ht="12" customHeight="1">
      <c r="B11538" s="324"/>
      <c r="C11538" s="325"/>
      <c r="D11538" s="326"/>
      <c r="E11538" s="326"/>
      <c r="F11538" s="326"/>
      <c r="G11538" s="326"/>
      <c r="H11538" s="326"/>
      <c r="P11538" s="318"/>
      <c r="Q11538" s="318"/>
      <c r="R11538" s="318"/>
      <c r="S11538" s="318"/>
      <c r="T11538" s="318"/>
      <c r="U11538" s="318"/>
      <c r="V11538" s="318"/>
      <c r="W11538" s="318"/>
      <c r="X11538" s="318"/>
      <c r="Y11538" s="318"/>
      <c r="Z11538" s="318"/>
      <c r="AA11538" s="318"/>
      <c r="AB11538" s="318"/>
      <c r="AC11538" s="318"/>
      <c r="AD11538" s="318"/>
    </row>
    <row r="11539" spans="2:30" s="323" customFormat="1" ht="12" customHeight="1">
      <c r="B11539" s="324"/>
      <c r="C11539" s="325"/>
      <c r="D11539" s="326"/>
      <c r="E11539" s="326"/>
      <c r="F11539" s="326"/>
      <c r="G11539" s="326"/>
      <c r="H11539" s="326"/>
      <c r="P11539" s="318"/>
      <c r="Q11539" s="318"/>
      <c r="R11539" s="318"/>
      <c r="S11539" s="318"/>
      <c r="T11539" s="318"/>
      <c r="U11539" s="318"/>
      <c r="V11539" s="318"/>
      <c r="W11539" s="318"/>
      <c r="X11539" s="318"/>
      <c r="Y11539" s="318"/>
      <c r="Z11539" s="318"/>
      <c r="AA11539" s="318"/>
      <c r="AB11539" s="318"/>
      <c r="AC11539" s="318"/>
      <c r="AD11539" s="318"/>
    </row>
    <row r="11540" spans="2:30" s="323" customFormat="1" ht="12" customHeight="1">
      <c r="B11540" s="324"/>
      <c r="C11540" s="325"/>
      <c r="D11540" s="326"/>
      <c r="E11540" s="326"/>
      <c r="F11540" s="326"/>
      <c r="G11540" s="326"/>
      <c r="H11540" s="326"/>
      <c r="P11540" s="318"/>
      <c r="Q11540" s="318"/>
      <c r="R11540" s="318"/>
      <c r="S11540" s="318"/>
      <c r="T11540" s="318"/>
      <c r="U11540" s="318"/>
      <c r="V11540" s="318"/>
      <c r="W11540" s="318"/>
      <c r="X11540" s="318"/>
      <c r="Y11540" s="318"/>
      <c r="Z11540" s="318"/>
      <c r="AA11540" s="318"/>
      <c r="AB11540" s="318"/>
      <c r="AC11540" s="318"/>
      <c r="AD11540" s="318"/>
    </row>
    <row r="11541" spans="2:30" s="323" customFormat="1" ht="12" customHeight="1">
      <c r="B11541" s="324"/>
      <c r="C11541" s="325"/>
      <c r="D11541" s="326"/>
      <c r="E11541" s="326"/>
      <c r="F11541" s="326"/>
      <c r="G11541" s="326"/>
      <c r="H11541" s="326"/>
      <c r="P11541" s="318"/>
      <c r="Q11541" s="318"/>
      <c r="R11541" s="318"/>
      <c r="S11541" s="318"/>
      <c r="T11541" s="318"/>
      <c r="U11541" s="318"/>
      <c r="V11541" s="318"/>
      <c r="W11541" s="318"/>
      <c r="X11541" s="318"/>
      <c r="Y11541" s="318"/>
      <c r="Z11541" s="318"/>
      <c r="AA11541" s="318"/>
      <c r="AB11541" s="318"/>
      <c r="AC11541" s="318"/>
      <c r="AD11541" s="318"/>
    </row>
    <row r="11542" spans="2:30" s="323" customFormat="1" ht="12" customHeight="1">
      <c r="B11542" s="324"/>
      <c r="C11542" s="325"/>
      <c r="D11542" s="326"/>
      <c r="E11542" s="326"/>
      <c r="F11542" s="326"/>
      <c r="G11542" s="326"/>
      <c r="H11542" s="326"/>
      <c r="P11542" s="318"/>
      <c r="Q11542" s="318"/>
      <c r="R11542" s="318"/>
      <c r="S11542" s="318"/>
      <c r="T11542" s="318"/>
      <c r="U11542" s="318"/>
      <c r="V11542" s="318"/>
      <c r="W11542" s="318"/>
      <c r="X11542" s="318"/>
      <c r="Y11542" s="318"/>
      <c r="Z11542" s="318"/>
      <c r="AA11542" s="318"/>
      <c r="AB11542" s="318"/>
      <c r="AC11542" s="318"/>
      <c r="AD11542" s="318"/>
    </row>
    <row r="11543" spans="2:30" s="323" customFormat="1" ht="12" customHeight="1">
      <c r="B11543" s="324"/>
      <c r="C11543" s="325"/>
      <c r="D11543" s="326"/>
      <c r="E11543" s="326"/>
      <c r="F11543" s="326"/>
      <c r="G11543" s="326"/>
      <c r="H11543" s="326"/>
      <c r="P11543" s="318"/>
      <c r="Q11543" s="318"/>
      <c r="R11543" s="318"/>
      <c r="S11543" s="318"/>
      <c r="T11543" s="318"/>
      <c r="U11543" s="318"/>
      <c r="V11543" s="318"/>
      <c r="W11543" s="318"/>
      <c r="X11543" s="318"/>
      <c r="Y11543" s="318"/>
      <c r="Z11543" s="318"/>
      <c r="AA11543" s="318"/>
      <c r="AB11543" s="318"/>
      <c r="AC11543" s="318"/>
      <c r="AD11543" s="318"/>
    </row>
    <row r="11544" spans="2:30" s="323" customFormat="1" ht="12" customHeight="1">
      <c r="B11544" s="324"/>
      <c r="C11544" s="325"/>
      <c r="D11544" s="326"/>
      <c r="E11544" s="326"/>
      <c r="F11544" s="326"/>
      <c r="G11544" s="326"/>
      <c r="H11544" s="326"/>
      <c r="P11544" s="318"/>
      <c r="Q11544" s="318"/>
      <c r="R11544" s="318"/>
      <c r="S11544" s="318"/>
      <c r="T11544" s="318"/>
      <c r="U11544" s="318"/>
      <c r="V11544" s="318"/>
      <c r="W11544" s="318"/>
      <c r="X11544" s="318"/>
      <c r="Y11544" s="318"/>
      <c r="Z11544" s="318"/>
      <c r="AA11544" s="318"/>
      <c r="AB11544" s="318"/>
      <c r="AC11544" s="318"/>
      <c r="AD11544" s="318"/>
    </row>
    <row r="11545" spans="2:30" s="323" customFormat="1" ht="12" customHeight="1">
      <c r="B11545" s="324"/>
      <c r="C11545" s="325"/>
      <c r="D11545" s="326"/>
      <c r="E11545" s="326"/>
      <c r="F11545" s="326"/>
      <c r="G11545" s="326"/>
      <c r="H11545" s="326"/>
      <c r="P11545" s="318"/>
      <c r="Q11545" s="318"/>
      <c r="R11545" s="318"/>
      <c r="S11545" s="318"/>
      <c r="T11545" s="318"/>
      <c r="U11545" s="318"/>
      <c r="V11545" s="318"/>
      <c r="W11545" s="318"/>
      <c r="X11545" s="318"/>
      <c r="Y11545" s="318"/>
      <c r="Z11545" s="318"/>
      <c r="AA11545" s="318"/>
      <c r="AB11545" s="318"/>
      <c r="AC11545" s="318"/>
      <c r="AD11545" s="318"/>
    </row>
    <row r="11546" spans="2:30" s="323" customFormat="1" ht="12" customHeight="1">
      <c r="B11546" s="324"/>
      <c r="C11546" s="325"/>
      <c r="D11546" s="326"/>
      <c r="E11546" s="326"/>
      <c r="F11546" s="326"/>
      <c r="G11546" s="326"/>
      <c r="H11546" s="326"/>
      <c r="P11546" s="318"/>
      <c r="Q11546" s="318"/>
      <c r="R11546" s="318"/>
      <c r="S11546" s="318"/>
      <c r="T11546" s="318"/>
      <c r="U11546" s="318"/>
      <c r="V11546" s="318"/>
      <c r="W11546" s="318"/>
      <c r="X11546" s="318"/>
      <c r="Y11546" s="318"/>
      <c r="Z11546" s="318"/>
      <c r="AA11546" s="318"/>
      <c r="AB11546" s="318"/>
      <c r="AC11546" s="318"/>
      <c r="AD11546" s="318"/>
    </row>
    <row r="11547" spans="2:30" s="323" customFormat="1" ht="12" customHeight="1">
      <c r="B11547" s="324"/>
      <c r="C11547" s="325"/>
      <c r="D11547" s="326"/>
      <c r="E11547" s="326"/>
      <c r="F11547" s="326"/>
      <c r="G11547" s="326"/>
      <c r="H11547" s="326"/>
      <c r="P11547" s="318"/>
      <c r="Q11547" s="318"/>
      <c r="R11547" s="318"/>
      <c r="S11547" s="318"/>
      <c r="T11547" s="318"/>
      <c r="U11547" s="318"/>
      <c r="V11547" s="318"/>
      <c r="W11547" s="318"/>
      <c r="X11547" s="318"/>
      <c r="Y11547" s="318"/>
      <c r="Z11547" s="318"/>
      <c r="AA11547" s="318"/>
      <c r="AB11547" s="318"/>
      <c r="AC11547" s="318"/>
      <c r="AD11547" s="318"/>
    </row>
    <row r="11548" spans="2:30" s="323" customFormat="1" ht="12" customHeight="1">
      <c r="B11548" s="324"/>
      <c r="C11548" s="325"/>
      <c r="D11548" s="326"/>
      <c r="E11548" s="326"/>
      <c r="F11548" s="326"/>
      <c r="G11548" s="326"/>
      <c r="H11548" s="326"/>
      <c r="P11548" s="318"/>
      <c r="Q11548" s="318"/>
      <c r="R11548" s="318"/>
      <c r="S11548" s="318"/>
      <c r="T11548" s="318"/>
      <c r="U11548" s="318"/>
      <c r="V11548" s="318"/>
      <c r="W11548" s="318"/>
      <c r="X11548" s="318"/>
      <c r="Y11548" s="318"/>
      <c r="Z11548" s="318"/>
      <c r="AA11548" s="318"/>
      <c r="AB11548" s="318"/>
      <c r="AC11548" s="318"/>
      <c r="AD11548" s="318"/>
    </row>
    <row r="11549" spans="2:30" s="323" customFormat="1" ht="12" customHeight="1">
      <c r="B11549" s="324"/>
      <c r="C11549" s="325"/>
      <c r="D11549" s="326"/>
      <c r="E11549" s="326"/>
      <c r="F11549" s="326"/>
      <c r="G11549" s="326"/>
      <c r="H11549" s="326"/>
      <c r="P11549" s="318"/>
      <c r="Q11549" s="318"/>
      <c r="R11549" s="318"/>
      <c r="S11549" s="318"/>
      <c r="T11549" s="318"/>
      <c r="U11549" s="318"/>
      <c r="V11549" s="318"/>
      <c r="W11549" s="318"/>
      <c r="X11549" s="318"/>
      <c r="Y11549" s="318"/>
      <c r="Z11549" s="318"/>
      <c r="AA11549" s="318"/>
      <c r="AB11549" s="318"/>
      <c r="AC11549" s="318"/>
      <c r="AD11549" s="318"/>
    </row>
    <row r="11550" spans="2:30" s="323" customFormat="1" ht="12" customHeight="1">
      <c r="B11550" s="324"/>
      <c r="C11550" s="325"/>
      <c r="D11550" s="326"/>
      <c r="E11550" s="326"/>
      <c r="F11550" s="326"/>
      <c r="G11550" s="326"/>
      <c r="H11550" s="326"/>
      <c r="P11550" s="318"/>
      <c r="Q11550" s="318"/>
      <c r="R11550" s="318"/>
      <c r="S11550" s="318"/>
      <c r="T11550" s="318"/>
      <c r="U11550" s="318"/>
      <c r="V11550" s="318"/>
      <c r="W11550" s="318"/>
      <c r="X11550" s="318"/>
      <c r="Y11550" s="318"/>
      <c r="Z11550" s="318"/>
      <c r="AA11550" s="318"/>
      <c r="AB11550" s="318"/>
      <c r="AC11550" s="318"/>
      <c r="AD11550" s="318"/>
    </row>
    <row r="11551" spans="2:30" s="323" customFormat="1" ht="12" customHeight="1">
      <c r="B11551" s="324"/>
      <c r="C11551" s="325"/>
      <c r="D11551" s="326"/>
      <c r="E11551" s="326"/>
      <c r="F11551" s="326"/>
      <c r="G11551" s="326"/>
      <c r="H11551" s="326"/>
      <c r="P11551" s="318"/>
      <c r="Q11551" s="318"/>
      <c r="R11551" s="318"/>
      <c r="S11551" s="318"/>
      <c r="T11551" s="318"/>
      <c r="U11551" s="318"/>
      <c r="V11551" s="318"/>
      <c r="W11551" s="318"/>
      <c r="X11551" s="318"/>
      <c r="Y11551" s="318"/>
      <c r="Z11551" s="318"/>
      <c r="AA11551" s="318"/>
      <c r="AB11551" s="318"/>
      <c r="AC11551" s="318"/>
      <c r="AD11551" s="318"/>
    </row>
    <row r="11552" spans="2:30" s="323" customFormat="1" ht="12" customHeight="1">
      <c r="B11552" s="324"/>
      <c r="C11552" s="325"/>
      <c r="D11552" s="326"/>
      <c r="E11552" s="326"/>
      <c r="F11552" s="326"/>
      <c r="G11552" s="326"/>
      <c r="H11552" s="326"/>
      <c r="P11552" s="318"/>
      <c r="Q11552" s="318"/>
      <c r="R11552" s="318"/>
      <c r="S11552" s="318"/>
      <c r="T11552" s="318"/>
      <c r="U11552" s="318"/>
      <c r="V11552" s="318"/>
      <c r="W11552" s="318"/>
      <c r="X11552" s="318"/>
      <c r="Y11552" s="318"/>
      <c r="Z11552" s="318"/>
      <c r="AA11552" s="318"/>
      <c r="AB11552" s="318"/>
      <c r="AC11552" s="318"/>
      <c r="AD11552" s="318"/>
    </row>
    <row r="11553" spans="2:30" s="323" customFormat="1" ht="12" customHeight="1">
      <c r="B11553" s="324"/>
      <c r="C11553" s="325"/>
      <c r="D11553" s="326"/>
      <c r="E11553" s="326"/>
      <c r="F11553" s="326"/>
      <c r="G11553" s="326"/>
      <c r="H11553" s="326"/>
      <c r="P11553" s="318"/>
      <c r="Q11553" s="318"/>
      <c r="R11553" s="318"/>
      <c r="S11553" s="318"/>
      <c r="T11553" s="318"/>
      <c r="U11553" s="318"/>
      <c r="V11553" s="318"/>
      <c r="W11553" s="318"/>
      <c r="X11553" s="318"/>
      <c r="Y11553" s="318"/>
      <c r="Z11553" s="318"/>
      <c r="AA11553" s="318"/>
      <c r="AB11553" s="318"/>
      <c r="AC11553" s="318"/>
      <c r="AD11553" s="318"/>
    </row>
    <row r="11554" spans="2:30" s="323" customFormat="1" ht="12" customHeight="1">
      <c r="B11554" s="324"/>
      <c r="C11554" s="325"/>
      <c r="D11554" s="326"/>
      <c r="E11554" s="326"/>
      <c r="F11554" s="326"/>
      <c r="G11554" s="326"/>
      <c r="H11554" s="326"/>
      <c r="P11554" s="318"/>
      <c r="Q11554" s="318"/>
      <c r="R11554" s="318"/>
      <c r="S11554" s="318"/>
      <c r="T11554" s="318"/>
      <c r="U11554" s="318"/>
      <c r="V11554" s="318"/>
      <c r="W11554" s="318"/>
      <c r="X11554" s="318"/>
      <c r="Y11554" s="318"/>
      <c r="Z11554" s="318"/>
      <c r="AA11554" s="318"/>
      <c r="AB11554" s="318"/>
      <c r="AC11554" s="318"/>
      <c r="AD11554" s="318"/>
    </row>
    <row r="11555" spans="2:30" s="323" customFormat="1" ht="12" customHeight="1">
      <c r="B11555" s="324"/>
      <c r="C11555" s="325"/>
      <c r="D11555" s="326"/>
      <c r="E11555" s="326"/>
      <c r="F11555" s="326"/>
      <c r="G11555" s="326"/>
      <c r="H11555" s="326"/>
      <c r="P11555" s="318"/>
      <c r="Q11555" s="318"/>
      <c r="R11555" s="318"/>
      <c r="S11555" s="318"/>
      <c r="T11555" s="318"/>
      <c r="U11555" s="318"/>
      <c r="V11555" s="318"/>
      <c r="W11555" s="318"/>
      <c r="X11555" s="318"/>
      <c r="Y11555" s="318"/>
      <c r="Z11555" s="318"/>
      <c r="AA11555" s="318"/>
      <c r="AB11555" s="318"/>
      <c r="AC11555" s="318"/>
      <c r="AD11555" s="318"/>
    </row>
    <row r="11556" spans="2:30" s="323" customFormat="1" ht="12" customHeight="1">
      <c r="B11556" s="324"/>
      <c r="C11556" s="325"/>
      <c r="D11556" s="326"/>
      <c r="E11556" s="326"/>
      <c r="F11556" s="326"/>
      <c r="G11556" s="326"/>
      <c r="H11556" s="326"/>
      <c r="P11556" s="318"/>
      <c r="Q11556" s="318"/>
      <c r="R11556" s="318"/>
      <c r="S11556" s="318"/>
      <c r="T11556" s="318"/>
      <c r="U11556" s="318"/>
      <c r="V11556" s="318"/>
      <c r="W11556" s="318"/>
      <c r="X11556" s="318"/>
      <c r="Y11556" s="318"/>
      <c r="Z11556" s="318"/>
      <c r="AA11556" s="318"/>
      <c r="AB11556" s="318"/>
      <c r="AC11556" s="318"/>
      <c r="AD11556" s="318"/>
    </row>
    <row r="11557" spans="2:30" s="323" customFormat="1" ht="12" customHeight="1">
      <c r="B11557" s="324"/>
      <c r="C11557" s="325"/>
      <c r="D11557" s="326"/>
      <c r="E11557" s="326"/>
      <c r="F11557" s="326"/>
      <c r="G11557" s="326"/>
      <c r="H11557" s="326"/>
      <c r="P11557" s="318"/>
      <c r="Q11557" s="318"/>
      <c r="R11557" s="318"/>
      <c r="S11557" s="318"/>
      <c r="T11557" s="318"/>
      <c r="U11557" s="318"/>
      <c r="V11557" s="318"/>
      <c r="W11557" s="318"/>
      <c r="X11557" s="318"/>
      <c r="Y11557" s="318"/>
      <c r="Z11557" s="318"/>
      <c r="AA11557" s="318"/>
      <c r="AB11557" s="318"/>
      <c r="AC11557" s="318"/>
      <c r="AD11557" s="318"/>
    </row>
    <row r="11558" spans="2:30" s="323" customFormat="1" ht="12" customHeight="1">
      <c r="B11558" s="324"/>
      <c r="C11558" s="325"/>
      <c r="D11558" s="326"/>
      <c r="E11558" s="326"/>
      <c r="F11558" s="326"/>
      <c r="G11558" s="326"/>
      <c r="H11558" s="326"/>
      <c r="P11558" s="318"/>
      <c r="Q11558" s="318"/>
      <c r="R11558" s="318"/>
      <c r="S11558" s="318"/>
      <c r="T11558" s="318"/>
      <c r="U11558" s="318"/>
      <c r="V11558" s="318"/>
      <c r="W11558" s="318"/>
      <c r="X11558" s="318"/>
      <c r="Y11558" s="318"/>
      <c r="Z11558" s="318"/>
      <c r="AA11558" s="318"/>
      <c r="AB11558" s="318"/>
      <c r="AC11558" s="318"/>
      <c r="AD11558" s="318"/>
    </row>
    <row r="11559" spans="2:30" s="323" customFormat="1" ht="12" customHeight="1">
      <c r="B11559" s="324"/>
      <c r="C11559" s="325"/>
      <c r="D11559" s="326"/>
      <c r="E11559" s="326"/>
      <c r="F11559" s="326"/>
      <c r="G11559" s="326"/>
      <c r="H11559" s="326"/>
      <c r="P11559" s="318"/>
      <c r="Q11559" s="318"/>
      <c r="R11559" s="318"/>
      <c r="S11559" s="318"/>
      <c r="T11559" s="318"/>
      <c r="U11559" s="318"/>
      <c r="V11559" s="318"/>
      <c r="W11559" s="318"/>
      <c r="X11559" s="318"/>
      <c r="Y11559" s="318"/>
      <c r="Z11559" s="318"/>
      <c r="AA11559" s="318"/>
      <c r="AB11559" s="318"/>
      <c r="AC11559" s="318"/>
      <c r="AD11559" s="318"/>
    </row>
    <row r="11560" spans="2:30" s="323" customFormat="1" ht="12" customHeight="1">
      <c r="B11560" s="324"/>
      <c r="C11560" s="325"/>
      <c r="D11560" s="326"/>
      <c r="E11560" s="326"/>
      <c r="F11560" s="326"/>
      <c r="G11560" s="326"/>
      <c r="H11560" s="326"/>
      <c r="P11560" s="318"/>
      <c r="Q11560" s="318"/>
      <c r="R11560" s="318"/>
      <c r="S11560" s="318"/>
      <c r="T11560" s="318"/>
      <c r="U11560" s="318"/>
      <c r="V11560" s="318"/>
      <c r="W11560" s="318"/>
      <c r="X11560" s="318"/>
      <c r="Y11560" s="318"/>
      <c r="Z11560" s="318"/>
      <c r="AA11560" s="318"/>
      <c r="AB11560" s="318"/>
      <c r="AC11560" s="318"/>
      <c r="AD11560" s="318"/>
    </row>
    <row r="11561" spans="2:30" s="323" customFormat="1" ht="12" customHeight="1">
      <c r="B11561" s="324"/>
      <c r="C11561" s="325"/>
      <c r="D11561" s="326"/>
      <c r="E11561" s="326"/>
      <c r="F11561" s="326"/>
      <c r="G11561" s="326"/>
      <c r="H11561" s="326"/>
      <c r="P11561" s="318"/>
      <c r="Q11561" s="318"/>
      <c r="R11561" s="318"/>
      <c r="S11561" s="318"/>
      <c r="T11561" s="318"/>
      <c r="U11561" s="318"/>
      <c r="V11561" s="318"/>
      <c r="W11561" s="318"/>
      <c r="X11561" s="318"/>
      <c r="Y11561" s="318"/>
      <c r="Z11561" s="318"/>
      <c r="AA11561" s="318"/>
      <c r="AB11561" s="318"/>
      <c r="AC11561" s="318"/>
      <c r="AD11561" s="318"/>
    </row>
    <row r="11562" spans="2:30" s="323" customFormat="1" ht="12" customHeight="1">
      <c r="B11562" s="324"/>
      <c r="C11562" s="325"/>
      <c r="D11562" s="326"/>
      <c r="E11562" s="326"/>
      <c r="F11562" s="326"/>
      <c r="G11562" s="326"/>
      <c r="H11562" s="326"/>
      <c r="P11562" s="318"/>
      <c r="Q11562" s="318"/>
      <c r="R11562" s="318"/>
      <c r="S11562" s="318"/>
      <c r="T11562" s="318"/>
      <c r="U11562" s="318"/>
      <c r="V11562" s="318"/>
      <c r="W11562" s="318"/>
      <c r="X11562" s="318"/>
      <c r="Y11562" s="318"/>
      <c r="Z11562" s="318"/>
      <c r="AA11562" s="318"/>
      <c r="AB11562" s="318"/>
      <c r="AC11562" s="318"/>
      <c r="AD11562" s="318"/>
    </row>
    <row r="11563" spans="2:30" s="323" customFormat="1" ht="12" customHeight="1">
      <c r="B11563" s="324"/>
      <c r="C11563" s="325"/>
      <c r="D11563" s="326"/>
      <c r="E11563" s="326"/>
      <c r="F11563" s="326"/>
      <c r="G11563" s="326"/>
      <c r="H11563" s="326"/>
      <c r="P11563" s="318"/>
      <c r="Q11563" s="318"/>
      <c r="R11563" s="318"/>
      <c r="S11563" s="318"/>
      <c r="T11563" s="318"/>
      <c r="U11563" s="318"/>
      <c r="V11563" s="318"/>
      <c r="W11563" s="318"/>
      <c r="X11563" s="318"/>
      <c r="Y11563" s="318"/>
      <c r="Z11563" s="318"/>
      <c r="AA11563" s="318"/>
      <c r="AB11563" s="318"/>
      <c r="AC11563" s="318"/>
      <c r="AD11563" s="318"/>
    </row>
    <row r="11564" spans="2:30" s="323" customFormat="1" ht="12" customHeight="1">
      <c r="B11564" s="324"/>
      <c r="C11564" s="325"/>
      <c r="D11564" s="326"/>
      <c r="E11564" s="326"/>
      <c r="F11564" s="326"/>
      <c r="G11564" s="326"/>
      <c r="H11564" s="326"/>
      <c r="P11564" s="318"/>
      <c r="Q11564" s="318"/>
      <c r="R11564" s="318"/>
      <c r="S11564" s="318"/>
      <c r="T11564" s="318"/>
      <c r="U11564" s="318"/>
      <c r="V11564" s="318"/>
      <c r="W11564" s="318"/>
      <c r="X11564" s="318"/>
      <c r="Y11564" s="318"/>
      <c r="Z11564" s="318"/>
      <c r="AA11564" s="318"/>
      <c r="AB11564" s="318"/>
      <c r="AC11564" s="318"/>
      <c r="AD11564" s="318"/>
    </row>
    <row r="11565" spans="2:30" s="323" customFormat="1" ht="12" customHeight="1">
      <c r="B11565" s="324"/>
      <c r="C11565" s="325"/>
      <c r="D11565" s="326"/>
      <c r="E11565" s="326"/>
      <c r="F11565" s="326"/>
      <c r="G11565" s="326"/>
      <c r="H11565" s="326"/>
      <c r="P11565" s="318"/>
      <c r="Q11565" s="318"/>
      <c r="R11565" s="318"/>
      <c r="S11565" s="318"/>
      <c r="T11565" s="318"/>
      <c r="U11565" s="318"/>
      <c r="V11565" s="318"/>
      <c r="W11565" s="318"/>
      <c r="X11565" s="318"/>
      <c r="Y11565" s="318"/>
      <c r="Z11565" s="318"/>
      <c r="AA11565" s="318"/>
      <c r="AB11565" s="318"/>
      <c r="AC11565" s="318"/>
      <c r="AD11565" s="318"/>
    </row>
    <row r="11566" spans="2:30" s="323" customFormat="1" ht="12" customHeight="1">
      <c r="B11566" s="324"/>
      <c r="C11566" s="325"/>
      <c r="D11566" s="326"/>
      <c r="E11566" s="326"/>
      <c r="F11566" s="326"/>
      <c r="G11566" s="326"/>
      <c r="H11566" s="326"/>
      <c r="P11566" s="318"/>
      <c r="Q11566" s="318"/>
      <c r="R11566" s="318"/>
      <c r="S11566" s="318"/>
      <c r="T11566" s="318"/>
      <c r="U11566" s="318"/>
      <c r="V11566" s="318"/>
      <c r="W11566" s="318"/>
      <c r="X11566" s="318"/>
      <c r="Y11566" s="318"/>
      <c r="Z11566" s="318"/>
      <c r="AA11566" s="318"/>
      <c r="AB11566" s="318"/>
      <c r="AC11566" s="318"/>
      <c r="AD11566" s="318"/>
    </row>
    <row r="11567" spans="2:30" s="323" customFormat="1" ht="12" customHeight="1">
      <c r="B11567" s="324"/>
      <c r="C11567" s="325"/>
      <c r="D11567" s="326"/>
      <c r="E11567" s="326"/>
      <c r="F11567" s="326"/>
      <c r="G11567" s="326"/>
      <c r="H11567" s="326"/>
      <c r="P11567" s="318"/>
      <c r="Q11567" s="318"/>
      <c r="R11567" s="318"/>
      <c r="S11567" s="318"/>
      <c r="T11567" s="318"/>
      <c r="U11567" s="318"/>
      <c r="V11567" s="318"/>
      <c r="W11567" s="318"/>
      <c r="X11567" s="318"/>
      <c r="Y11567" s="318"/>
      <c r="Z11567" s="318"/>
      <c r="AA11567" s="318"/>
      <c r="AB11567" s="318"/>
      <c r="AC11567" s="318"/>
      <c r="AD11567" s="318"/>
    </row>
    <row r="11568" spans="2:30" s="323" customFormat="1" ht="12" customHeight="1">
      <c r="B11568" s="324"/>
      <c r="C11568" s="325"/>
      <c r="D11568" s="326"/>
      <c r="E11568" s="326"/>
      <c r="F11568" s="326"/>
      <c r="G11568" s="326"/>
      <c r="H11568" s="326"/>
      <c r="P11568" s="318"/>
      <c r="Q11568" s="318"/>
      <c r="R11568" s="318"/>
      <c r="S11568" s="318"/>
      <c r="T11568" s="318"/>
      <c r="U11568" s="318"/>
      <c r="V11568" s="318"/>
      <c r="W11568" s="318"/>
      <c r="X11568" s="318"/>
      <c r="Y11568" s="318"/>
      <c r="Z11568" s="318"/>
      <c r="AA11568" s="318"/>
      <c r="AB11568" s="318"/>
      <c r="AC11568" s="318"/>
      <c r="AD11568" s="318"/>
    </row>
    <row r="11569" spans="2:30" s="323" customFormat="1" ht="12" customHeight="1">
      <c r="B11569" s="324"/>
      <c r="C11569" s="325"/>
      <c r="D11569" s="326"/>
      <c r="E11569" s="326"/>
      <c r="F11569" s="326"/>
      <c r="G11569" s="326"/>
      <c r="H11569" s="326"/>
      <c r="P11569" s="318"/>
      <c r="Q11569" s="318"/>
      <c r="R11569" s="318"/>
      <c r="S11569" s="318"/>
      <c r="T11569" s="318"/>
      <c r="U11569" s="318"/>
      <c r="V11569" s="318"/>
      <c r="W11569" s="318"/>
      <c r="X11569" s="318"/>
      <c r="Y11569" s="318"/>
      <c r="Z11569" s="318"/>
      <c r="AA11569" s="318"/>
      <c r="AB11569" s="318"/>
      <c r="AC11569" s="318"/>
      <c r="AD11569" s="318"/>
    </row>
    <row r="11570" spans="2:30" s="323" customFormat="1" ht="12" customHeight="1">
      <c r="B11570" s="324"/>
      <c r="C11570" s="325"/>
      <c r="D11570" s="326"/>
      <c r="E11570" s="326"/>
      <c r="F11570" s="326"/>
      <c r="G11570" s="326"/>
      <c r="H11570" s="326"/>
      <c r="P11570" s="318"/>
      <c r="Q11570" s="318"/>
      <c r="R11570" s="318"/>
      <c r="S11570" s="318"/>
      <c r="T11570" s="318"/>
      <c r="U11570" s="318"/>
      <c r="V11570" s="318"/>
      <c r="W11570" s="318"/>
      <c r="X11570" s="318"/>
      <c r="Y11570" s="318"/>
      <c r="Z11570" s="318"/>
      <c r="AA11570" s="318"/>
      <c r="AB11570" s="318"/>
      <c r="AC11570" s="318"/>
      <c r="AD11570" s="318"/>
    </row>
    <row r="11571" spans="2:30" s="323" customFormat="1" ht="12" customHeight="1">
      <c r="B11571" s="324"/>
      <c r="C11571" s="325"/>
      <c r="D11571" s="326"/>
      <c r="E11571" s="326"/>
      <c r="F11571" s="326"/>
      <c r="G11571" s="326"/>
      <c r="H11571" s="326"/>
      <c r="P11571" s="318"/>
      <c r="Q11571" s="318"/>
      <c r="R11571" s="318"/>
      <c r="S11571" s="318"/>
      <c r="T11571" s="318"/>
      <c r="U11571" s="318"/>
      <c r="V11571" s="318"/>
      <c r="W11571" s="318"/>
      <c r="X11571" s="318"/>
      <c r="Y11571" s="318"/>
      <c r="Z11571" s="318"/>
      <c r="AA11571" s="318"/>
      <c r="AB11571" s="318"/>
      <c r="AC11571" s="318"/>
      <c r="AD11571" s="318"/>
    </row>
    <row r="11572" spans="2:30" s="323" customFormat="1" ht="12" customHeight="1">
      <c r="B11572" s="324"/>
      <c r="C11572" s="325"/>
      <c r="D11572" s="326"/>
      <c r="E11572" s="326"/>
      <c r="F11572" s="326"/>
      <c r="G11572" s="326"/>
      <c r="H11572" s="326"/>
      <c r="P11572" s="318"/>
      <c r="Q11572" s="318"/>
      <c r="R11572" s="318"/>
      <c r="S11572" s="318"/>
      <c r="T11572" s="318"/>
      <c r="U11572" s="318"/>
      <c r="V11572" s="318"/>
      <c r="W11572" s="318"/>
      <c r="X11572" s="318"/>
      <c r="Y11572" s="318"/>
      <c r="Z11572" s="318"/>
      <c r="AA11572" s="318"/>
      <c r="AB11572" s="318"/>
      <c r="AC11572" s="318"/>
      <c r="AD11572" s="318"/>
    </row>
    <row r="11573" spans="2:30" s="323" customFormat="1" ht="12" customHeight="1">
      <c r="B11573" s="324"/>
      <c r="C11573" s="325"/>
      <c r="D11573" s="326"/>
      <c r="E11573" s="326"/>
      <c r="F11573" s="326"/>
      <c r="G11573" s="326"/>
      <c r="H11573" s="326"/>
      <c r="P11573" s="318"/>
      <c r="Q11573" s="318"/>
      <c r="R11573" s="318"/>
      <c r="S11573" s="318"/>
      <c r="T11573" s="318"/>
      <c r="U11573" s="318"/>
      <c r="V11573" s="318"/>
      <c r="W11573" s="318"/>
      <c r="X11573" s="318"/>
      <c r="Y11573" s="318"/>
      <c r="Z11573" s="318"/>
      <c r="AA11573" s="318"/>
      <c r="AB11573" s="318"/>
      <c r="AC11573" s="318"/>
      <c r="AD11573" s="318"/>
    </row>
    <row r="11574" spans="2:30" s="323" customFormat="1" ht="12" customHeight="1">
      <c r="B11574" s="324"/>
      <c r="C11574" s="325"/>
      <c r="D11574" s="326"/>
      <c r="E11574" s="326"/>
      <c r="F11574" s="326"/>
      <c r="G11574" s="326"/>
      <c r="H11574" s="326"/>
      <c r="P11574" s="318"/>
      <c r="Q11574" s="318"/>
      <c r="R11574" s="318"/>
      <c r="S11574" s="318"/>
      <c r="T11574" s="318"/>
      <c r="U11574" s="318"/>
      <c r="V11574" s="318"/>
      <c r="W11574" s="318"/>
      <c r="X11574" s="318"/>
      <c r="Y11574" s="318"/>
      <c r="Z11574" s="318"/>
      <c r="AA11574" s="318"/>
      <c r="AB11574" s="318"/>
      <c r="AC11574" s="318"/>
      <c r="AD11574" s="318"/>
    </row>
    <row r="11575" spans="2:30" s="323" customFormat="1" ht="12" customHeight="1">
      <c r="B11575" s="324"/>
      <c r="C11575" s="325"/>
      <c r="D11575" s="326"/>
      <c r="E11575" s="326"/>
      <c r="F11575" s="326"/>
      <c r="G11575" s="326"/>
      <c r="H11575" s="326"/>
      <c r="P11575" s="318"/>
      <c r="Q11575" s="318"/>
      <c r="R11575" s="318"/>
      <c r="S11575" s="318"/>
      <c r="T11575" s="318"/>
      <c r="U11575" s="318"/>
      <c r="V11575" s="318"/>
      <c r="W11575" s="318"/>
      <c r="X11575" s="318"/>
      <c r="Y11575" s="318"/>
      <c r="Z11575" s="318"/>
      <c r="AA11575" s="318"/>
      <c r="AB11575" s="318"/>
      <c r="AC11575" s="318"/>
      <c r="AD11575" s="318"/>
    </row>
    <row r="11576" spans="2:30" s="323" customFormat="1" ht="12" customHeight="1">
      <c r="B11576" s="324"/>
      <c r="C11576" s="325"/>
      <c r="D11576" s="326"/>
      <c r="E11576" s="326"/>
      <c r="F11576" s="326"/>
      <c r="G11576" s="326"/>
      <c r="H11576" s="326"/>
      <c r="P11576" s="318"/>
      <c r="Q11576" s="318"/>
      <c r="R11576" s="318"/>
      <c r="S11576" s="318"/>
      <c r="T11576" s="318"/>
      <c r="U11576" s="318"/>
      <c r="V11576" s="318"/>
      <c r="W11576" s="318"/>
      <c r="X11576" s="318"/>
      <c r="Y11576" s="318"/>
      <c r="Z11576" s="318"/>
      <c r="AA11576" s="318"/>
      <c r="AB11576" s="318"/>
      <c r="AC11576" s="318"/>
      <c r="AD11576" s="318"/>
    </row>
    <row r="11577" spans="2:30" s="323" customFormat="1" ht="12" customHeight="1">
      <c r="B11577" s="324"/>
      <c r="C11577" s="325"/>
      <c r="D11577" s="326"/>
      <c r="E11577" s="326"/>
      <c r="F11577" s="326"/>
      <c r="G11577" s="326"/>
      <c r="H11577" s="326"/>
      <c r="P11577" s="318"/>
      <c r="Q11577" s="318"/>
      <c r="R11577" s="318"/>
      <c r="S11577" s="318"/>
      <c r="T11577" s="318"/>
      <c r="U11577" s="318"/>
      <c r="V11577" s="318"/>
      <c r="W11577" s="318"/>
      <c r="X11577" s="318"/>
      <c r="Y11577" s="318"/>
      <c r="Z11577" s="318"/>
      <c r="AA11577" s="318"/>
      <c r="AB11577" s="318"/>
      <c r="AC11577" s="318"/>
      <c r="AD11577" s="318"/>
    </row>
    <row r="11578" spans="2:30" s="323" customFormat="1" ht="12" customHeight="1">
      <c r="B11578" s="324"/>
      <c r="C11578" s="325"/>
      <c r="D11578" s="326"/>
      <c r="E11578" s="326"/>
      <c r="F11578" s="326"/>
      <c r="G11578" s="326"/>
      <c r="H11578" s="326"/>
      <c r="P11578" s="318"/>
      <c r="Q11578" s="318"/>
      <c r="R11578" s="318"/>
      <c r="S11578" s="318"/>
      <c r="T11578" s="318"/>
      <c r="U11578" s="318"/>
      <c r="V11578" s="318"/>
      <c r="W11578" s="318"/>
      <c r="X11578" s="318"/>
      <c r="Y11578" s="318"/>
      <c r="Z11578" s="318"/>
      <c r="AA11578" s="318"/>
      <c r="AB11578" s="318"/>
      <c r="AC11578" s="318"/>
      <c r="AD11578" s="318"/>
    </row>
    <row r="11579" spans="2:30" s="323" customFormat="1" ht="12" customHeight="1">
      <c r="B11579" s="324"/>
      <c r="C11579" s="325"/>
      <c r="D11579" s="326"/>
      <c r="E11579" s="326"/>
      <c r="F11579" s="326"/>
      <c r="G11579" s="326"/>
      <c r="H11579" s="326"/>
      <c r="P11579" s="318"/>
      <c r="Q11579" s="318"/>
      <c r="R11579" s="318"/>
      <c r="S11579" s="318"/>
      <c r="T11579" s="318"/>
      <c r="U11579" s="318"/>
      <c r="V11579" s="318"/>
      <c r="W11579" s="318"/>
      <c r="X11579" s="318"/>
      <c r="Y11579" s="318"/>
      <c r="Z11579" s="318"/>
      <c r="AA11579" s="318"/>
      <c r="AB11579" s="318"/>
      <c r="AC11579" s="318"/>
      <c r="AD11579" s="318"/>
    </row>
    <row r="11580" spans="2:30" s="323" customFormat="1" ht="12" customHeight="1">
      <c r="B11580" s="324"/>
      <c r="C11580" s="325"/>
      <c r="D11580" s="326"/>
      <c r="E11580" s="326"/>
      <c r="F11580" s="326"/>
      <c r="G11580" s="326"/>
      <c r="H11580" s="326"/>
      <c r="P11580" s="318"/>
      <c r="Q11580" s="318"/>
      <c r="R11580" s="318"/>
      <c r="S11580" s="318"/>
      <c r="T11580" s="318"/>
      <c r="U11580" s="318"/>
      <c r="V11580" s="318"/>
      <c r="W11580" s="318"/>
      <c r="X11580" s="318"/>
      <c r="Y11580" s="318"/>
      <c r="Z11580" s="318"/>
      <c r="AA11580" s="318"/>
      <c r="AB11580" s="318"/>
      <c r="AC11580" s="318"/>
      <c r="AD11580" s="318"/>
    </row>
    <row r="11581" spans="2:30" s="323" customFormat="1" ht="12" customHeight="1">
      <c r="B11581" s="324"/>
      <c r="C11581" s="325"/>
      <c r="D11581" s="326"/>
      <c r="E11581" s="326"/>
      <c r="F11581" s="326"/>
      <c r="G11581" s="326"/>
      <c r="H11581" s="326"/>
      <c r="P11581" s="318"/>
      <c r="Q11581" s="318"/>
      <c r="R11581" s="318"/>
      <c r="S11581" s="318"/>
      <c r="T11581" s="318"/>
      <c r="U11581" s="318"/>
      <c r="V11581" s="318"/>
      <c r="W11581" s="318"/>
      <c r="X11581" s="318"/>
      <c r="Y11581" s="318"/>
      <c r="Z11581" s="318"/>
      <c r="AA11581" s="318"/>
      <c r="AB11581" s="318"/>
      <c r="AC11581" s="318"/>
      <c r="AD11581" s="318"/>
    </row>
    <row r="11582" spans="2:30" s="323" customFormat="1" ht="12" customHeight="1">
      <c r="B11582" s="324"/>
      <c r="C11582" s="325"/>
      <c r="D11582" s="326"/>
      <c r="E11582" s="326"/>
      <c r="F11582" s="326"/>
      <c r="G11582" s="326"/>
      <c r="H11582" s="326"/>
      <c r="P11582" s="318"/>
      <c r="Q11582" s="318"/>
      <c r="R11582" s="318"/>
      <c r="S11582" s="318"/>
      <c r="T11582" s="318"/>
      <c r="U11582" s="318"/>
      <c r="V11582" s="318"/>
      <c r="W11582" s="318"/>
      <c r="X11582" s="318"/>
      <c r="Y11582" s="318"/>
      <c r="Z11582" s="318"/>
      <c r="AA11582" s="318"/>
      <c r="AB11582" s="318"/>
      <c r="AC11582" s="318"/>
      <c r="AD11582" s="318"/>
    </row>
    <row r="11583" spans="2:30" s="323" customFormat="1" ht="12" customHeight="1">
      <c r="B11583" s="324"/>
      <c r="C11583" s="325"/>
      <c r="D11583" s="326"/>
      <c r="E11583" s="326"/>
      <c r="F11583" s="326"/>
      <c r="G11583" s="326"/>
      <c r="H11583" s="326"/>
      <c r="P11583" s="318"/>
      <c r="Q11583" s="318"/>
      <c r="R11583" s="318"/>
      <c r="S11583" s="318"/>
      <c r="T11583" s="318"/>
      <c r="U11583" s="318"/>
      <c r="V11583" s="318"/>
      <c r="W11583" s="318"/>
      <c r="X11583" s="318"/>
      <c r="Y11583" s="318"/>
      <c r="Z11583" s="318"/>
      <c r="AA11583" s="318"/>
      <c r="AB11583" s="318"/>
      <c r="AC11583" s="318"/>
      <c r="AD11583" s="318"/>
    </row>
    <row r="11584" spans="2:30" s="323" customFormat="1" ht="12" customHeight="1">
      <c r="B11584" s="324"/>
      <c r="C11584" s="325"/>
      <c r="D11584" s="326"/>
      <c r="E11584" s="326"/>
      <c r="F11584" s="326"/>
      <c r="G11584" s="326"/>
      <c r="H11584" s="326"/>
      <c r="P11584" s="318"/>
      <c r="Q11584" s="318"/>
      <c r="R11584" s="318"/>
      <c r="S11584" s="318"/>
      <c r="T11584" s="318"/>
      <c r="U11584" s="318"/>
      <c r="V11584" s="318"/>
      <c r="W11584" s="318"/>
      <c r="X11584" s="318"/>
      <c r="Y11584" s="318"/>
      <c r="Z11584" s="318"/>
      <c r="AA11584" s="318"/>
      <c r="AB11584" s="318"/>
      <c r="AC11584" s="318"/>
      <c r="AD11584" s="318"/>
    </row>
    <row r="11585" spans="2:30" s="323" customFormat="1" ht="12" customHeight="1">
      <c r="B11585" s="324"/>
      <c r="C11585" s="325"/>
      <c r="D11585" s="326"/>
      <c r="E11585" s="326"/>
      <c r="F11585" s="326"/>
      <c r="G11585" s="326"/>
      <c r="H11585" s="326"/>
      <c r="P11585" s="318"/>
      <c r="Q11585" s="318"/>
      <c r="R11585" s="318"/>
      <c r="S11585" s="318"/>
      <c r="T11585" s="318"/>
      <c r="U11585" s="318"/>
      <c r="V11585" s="318"/>
      <c r="W11585" s="318"/>
      <c r="X11585" s="318"/>
      <c r="Y11585" s="318"/>
      <c r="Z11585" s="318"/>
      <c r="AA11585" s="318"/>
      <c r="AB11585" s="318"/>
      <c r="AC11585" s="318"/>
      <c r="AD11585" s="318"/>
    </row>
    <row r="11586" spans="2:30" s="323" customFormat="1" ht="12" customHeight="1">
      <c r="B11586" s="324"/>
      <c r="C11586" s="325"/>
      <c r="D11586" s="326"/>
      <c r="E11586" s="326"/>
      <c r="F11586" s="326"/>
      <c r="G11586" s="326"/>
      <c r="H11586" s="326"/>
      <c r="P11586" s="318"/>
      <c r="Q11586" s="318"/>
      <c r="R11586" s="318"/>
      <c r="S11586" s="318"/>
      <c r="T11586" s="318"/>
      <c r="U11586" s="318"/>
      <c r="V11586" s="318"/>
      <c r="W11586" s="318"/>
      <c r="X11586" s="318"/>
      <c r="Y11586" s="318"/>
      <c r="Z11586" s="318"/>
      <c r="AA11586" s="318"/>
      <c r="AB11586" s="318"/>
      <c r="AC11586" s="318"/>
      <c r="AD11586" s="318"/>
    </row>
    <row r="11587" spans="2:30" s="323" customFormat="1" ht="12" customHeight="1">
      <c r="B11587" s="324"/>
      <c r="C11587" s="325"/>
      <c r="D11587" s="326"/>
      <c r="E11587" s="326"/>
      <c r="F11587" s="326"/>
      <c r="G11587" s="326"/>
      <c r="H11587" s="326"/>
      <c r="P11587" s="318"/>
      <c r="Q11587" s="318"/>
      <c r="R11587" s="318"/>
      <c r="S11587" s="318"/>
      <c r="T11587" s="318"/>
      <c r="U11587" s="318"/>
      <c r="V11587" s="318"/>
      <c r="W11587" s="318"/>
      <c r="X11587" s="318"/>
      <c r="Y11587" s="318"/>
      <c r="Z11587" s="318"/>
      <c r="AA11587" s="318"/>
      <c r="AB11587" s="318"/>
      <c r="AC11587" s="318"/>
      <c r="AD11587" s="318"/>
    </row>
    <row r="11588" spans="2:30" s="323" customFormat="1" ht="12" customHeight="1">
      <c r="B11588" s="324"/>
      <c r="C11588" s="325"/>
      <c r="D11588" s="326"/>
      <c r="E11588" s="326"/>
      <c r="F11588" s="326"/>
      <c r="G11588" s="326"/>
      <c r="H11588" s="326"/>
      <c r="P11588" s="318"/>
      <c r="Q11588" s="318"/>
      <c r="R11588" s="318"/>
      <c r="S11588" s="318"/>
      <c r="T11588" s="318"/>
      <c r="U11588" s="318"/>
      <c r="V11588" s="318"/>
      <c r="W11588" s="318"/>
      <c r="X11588" s="318"/>
      <c r="Y11588" s="318"/>
      <c r="Z11588" s="318"/>
      <c r="AA11588" s="318"/>
      <c r="AB11588" s="318"/>
      <c r="AC11588" s="318"/>
      <c r="AD11588" s="318"/>
    </row>
    <row r="11589" spans="2:30" s="323" customFormat="1" ht="12" customHeight="1">
      <c r="B11589" s="324"/>
      <c r="C11589" s="325"/>
      <c r="D11589" s="326"/>
      <c r="E11589" s="326"/>
      <c r="F11589" s="326"/>
      <c r="G11589" s="326"/>
      <c r="H11589" s="326"/>
      <c r="P11589" s="318"/>
      <c r="Q11589" s="318"/>
      <c r="R11589" s="318"/>
      <c r="S11589" s="318"/>
      <c r="T11589" s="318"/>
      <c r="U11589" s="318"/>
      <c r="V11589" s="318"/>
      <c r="W11589" s="318"/>
      <c r="X11589" s="318"/>
      <c r="Y11589" s="318"/>
      <c r="Z11589" s="318"/>
      <c r="AA11589" s="318"/>
      <c r="AB11589" s="318"/>
      <c r="AC11589" s="318"/>
      <c r="AD11589" s="318"/>
    </row>
    <row r="11590" spans="2:30" s="323" customFormat="1" ht="12" customHeight="1">
      <c r="B11590" s="324"/>
      <c r="C11590" s="325"/>
      <c r="D11590" s="326"/>
      <c r="E11590" s="326"/>
      <c r="F11590" s="326"/>
      <c r="G11590" s="326"/>
      <c r="H11590" s="326"/>
      <c r="P11590" s="318"/>
      <c r="Q11590" s="318"/>
      <c r="R11590" s="318"/>
      <c r="S11590" s="318"/>
      <c r="T11590" s="318"/>
      <c r="U11590" s="318"/>
      <c r="V11590" s="318"/>
      <c r="W11590" s="318"/>
      <c r="X11590" s="318"/>
      <c r="Y11590" s="318"/>
      <c r="Z11590" s="318"/>
      <c r="AA11590" s="318"/>
      <c r="AB11590" s="318"/>
      <c r="AC11590" s="318"/>
      <c r="AD11590" s="318"/>
    </row>
    <row r="11591" spans="2:30" s="323" customFormat="1" ht="12" customHeight="1">
      <c r="B11591" s="324"/>
      <c r="C11591" s="325"/>
      <c r="D11591" s="326"/>
      <c r="E11591" s="326"/>
      <c r="F11591" s="326"/>
      <c r="G11591" s="326"/>
      <c r="H11591" s="326"/>
      <c r="P11591" s="318"/>
      <c r="Q11591" s="318"/>
      <c r="R11591" s="318"/>
      <c r="S11591" s="318"/>
      <c r="T11591" s="318"/>
      <c r="U11591" s="318"/>
      <c r="V11591" s="318"/>
      <c r="W11591" s="318"/>
      <c r="X11591" s="318"/>
      <c r="Y11591" s="318"/>
      <c r="Z11591" s="318"/>
      <c r="AA11591" s="318"/>
      <c r="AB11591" s="318"/>
      <c r="AC11591" s="318"/>
      <c r="AD11591" s="318"/>
    </row>
    <row r="11592" spans="2:30" s="323" customFormat="1" ht="12" customHeight="1">
      <c r="B11592" s="324"/>
      <c r="C11592" s="325"/>
      <c r="D11592" s="326"/>
      <c r="E11592" s="326"/>
      <c r="F11592" s="326"/>
      <c r="G11592" s="326"/>
      <c r="H11592" s="326"/>
      <c r="P11592" s="318"/>
      <c r="Q11592" s="318"/>
      <c r="R11592" s="318"/>
      <c r="S11592" s="318"/>
      <c r="T11592" s="318"/>
      <c r="U11592" s="318"/>
      <c r="V11592" s="318"/>
      <c r="W11592" s="318"/>
      <c r="X11592" s="318"/>
      <c r="Y11592" s="318"/>
      <c r="Z11592" s="318"/>
      <c r="AA11592" s="318"/>
      <c r="AB11592" s="318"/>
      <c r="AC11592" s="318"/>
      <c r="AD11592" s="318"/>
    </row>
    <row r="11593" spans="2:30" s="323" customFormat="1" ht="12" customHeight="1">
      <c r="B11593" s="324"/>
      <c r="C11593" s="325"/>
      <c r="D11593" s="326"/>
      <c r="E11593" s="326"/>
      <c r="F11593" s="326"/>
      <c r="G11593" s="326"/>
      <c r="H11593" s="326"/>
      <c r="P11593" s="318"/>
      <c r="Q11593" s="318"/>
      <c r="R11593" s="318"/>
      <c r="S11593" s="318"/>
      <c r="T11593" s="318"/>
      <c r="U11593" s="318"/>
      <c r="V11593" s="318"/>
      <c r="W11593" s="318"/>
      <c r="X11593" s="318"/>
      <c r="Y11593" s="318"/>
      <c r="Z11593" s="318"/>
      <c r="AA11593" s="318"/>
      <c r="AB11593" s="318"/>
      <c r="AC11593" s="318"/>
      <c r="AD11593" s="318"/>
    </row>
    <row r="11594" spans="2:30" s="323" customFormat="1" ht="12" customHeight="1">
      <c r="B11594" s="324"/>
      <c r="C11594" s="325"/>
      <c r="D11594" s="326"/>
      <c r="E11594" s="326"/>
      <c r="F11594" s="326"/>
      <c r="G11594" s="326"/>
      <c r="H11594" s="326"/>
      <c r="P11594" s="318"/>
      <c r="Q11594" s="318"/>
      <c r="R11594" s="318"/>
      <c r="S11594" s="318"/>
      <c r="T11594" s="318"/>
      <c r="U11594" s="318"/>
      <c r="V11594" s="318"/>
      <c r="W11594" s="318"/>
      <c r="X11594" s="318"/>
      <c r="Y11594" s="318"/>
      <c r="Z11594" s="318"/>
      <c r="AA11594" s="318"/>
      <c r="AB11594" s="318"/>
      <c r="AC11594" s="318"/>
      <c r="AD11594" s="318"/>
    </row>
    <row r="11595" spans="2:30" s="323" customFormat="1" ht="12" customHeight="1">
      <c r="B11595" s="324"/>
      <c r="C11595" s="325"/>
      <c r="D11595" s="326"/>
      <c r="E11595" s="326"/>
      <c r="F11595" s="326"/>
      <c r="G11595" s="326"/>
      <c r="H11595" s="326"/>
      <c r="P11595" s="318"/>
      <c r="Q11595" s="318"/>
      <c r="R11595" s="318"/>
      <c r="S11595" s="318"/>
      <c r="T11595" s="318"/>
      <c r="U11595" s="318"/>
      <c r="V11595" s="318"/>
      <c r="W11595" s="318"/>
      <c r="X11595" s="318"/>
      <c r="Y11595" s="318"/>
      <c r="Z11595" s="318"/>
      <c r="AA11595" s="318"/>
      <c r="AB11595" s="318"/>
      <c r="AC11595" s="318"/>
      <c r="AD11595" s="318"/>
    </row>
    <row r="11596" spans="2:30" s="323" customFormat="1" ht="12" customHeight="1">
      <c r="B11596" s="324"/>
      <c r="C11596" s="325"/>
      <c r="D11596" s="326"/>
      <c r="E11596" s="326"/>
      <c r="F11596" s="326"/>
      <c r="G11596" s="326"/>
      <c r="H11596" s="326"/>
      <c r="P11596" s="318"/>
      <c r="Q11596" s="318"/>
      <c r="R11596" s="318"/>
      <c r="S11596" s="318"/>
      <c r="T11596" s="318"/>
      <c r="U11596" s="318"/>
      <c r="V11596" s="318"/>
      <c r="W11596" s="318"/>
      <c r="X11596" s="318"/>
      <c r="Y11596" s="318"/>
      <c r="Z11596" s="318"/>
      <c r="AA11596" s="318"/>
      <c r="AB11596" s="318"/>
      <c r="AC11596" s="318"/>
      <c r="AD11596" s="318"/>
    </row>
    <row r="11597" spans="2:30" s="323" customFormat="1" ht="12" customHeight="1">
      <c r="B11597" s="324"/>
      <c r="C11597" s="325"/>
      <c r="D11597" s="326"/>
      <c r="E11597" s="326"/>
      <c r="F11597" s="326"/>
      <c r="G11597" s="326"/>
      <c r="H11597" s="326"/>
      <c r="P11597" s="318"/>
      <c r="Q11597" s="318"/>
      <c r="R11597" s="318"/>
      <c r="S11597" s="318"/>
      <c r="T11597" s="318"/>
      <c r="U11597" s="318"/>
      <c r="V11597" s="318"/>
      <c r="W11597" s="318"/>
      <c r="X11597" s="318"/>
      <c r="Y11597" s="318"/>
      <c r="Z11597" s="318"/>
      <c r="AA11597" s="318"/>
      <c r="AB11597" s="318"/>
      <c r="AC11597" s="318"/>
      <c r="AD11597" s="318"/>
    </row>
    <row r="11598" spans="2:30" s="323" customFormat="1" ht="12" customHeight="1">
      <c r="B11598" s="324"/>
      <c r="C11598" s="325"/>
      <c r="D11598" s="326"/>
      <c r="E11598" s="326"/>
      <c r="F11598" s="326"/>
      <c r="G11598" s="326"/>
      <c r="H11598" s="326"/>
      <c r="P11598" s="318"/>
      <c r="Q11598" s="318"/>
      <c r="R11598" s="318"/>
      <c r="S11598" s="318"/>
      <c r="T11598" s="318"/>
      <c r="U11598" s="318"/>
      <c r="V11598" s="318"/>
      <c r="W11598" s="318"/>
      <c r="X11598" s="318"/>
      <c r="Y11598" s="318"/>
      <c r="Z11598" s="318"/>
      <c r="AA11598" s="318"/>
      <c r="AB11598" s="318"/>
      <c r="AC11598" s="318"/>
      <c r="AD11598" s="318"/>
    </row>
    <row r="11599" spans="2:30" s="323" customFormat="1" ht="12" customHeight="1">
      <c r="B11599" s="324"/>
      <c r="C11599" s="325"/>
      <c r="D11599" s="326"/>
      <c r="E11599" s="326"/>
      <c r="F11599" s="326"/>
      <c r="G11599" s="326"/>
      <c r="H11599" s="326"/>
      <c r="P11599" s="318"/>
      <c r="Q11599" s="318"/>
      <c r="R11599" s="318"/>
      <c r="S11599" s="318"/>
      <c r="T11599" s="318"/>
      <c r="U11599" s="318"/>
      <c r="V11599" s="318"/>
      <c r="W11599" s="318"/>
      <c r="X11599" s="318"/>
      <c r="Y11599" s="318"/>
      <c r="Z11599" s="318"/>
      <c r="AA11599" s="318"/>
      <c r="AB11599" s="318"/>
      <c r="AC11599" s="318"/>
      <c r="AD11599" s="318"/>
    </row>
    <row r="11600" spans="2:30" s="323" customFormat="1" ht="12" customHeight="1">
      <c r="B11600" s="324"/>
      <c r="C11600" s="325"/>
      <c r="D11600" s="326"/>
      <c r="E11600" s="326"/>
      <c r="F11600" s="326"/>
      <c r="G11600" s="326"/>
      <c r="H11600" s="326"/>
      <c r="P11600" s="318"/>
      <c r="Q11600" s="318"/>
      <c r="R11600" s="318"/>
      <c r="S11600" s="318"/>
      <c r="T11600" s="318"/>
      <c r="U11600" s="318"/>
      <c r="V11600" s="318"/>
      <c r="W11600" s="318"/>
      <c r="X11600" s="318"/>
      <c r="Y11600" s="318"/>
      <c r="Z11600" s="318"/>
      <c r="AA11600" s="318"/>
      <c r="AB11600" s="318"/>
      <c r="AC11600" s="318"/>
      <c r="AD11600" s="318"/>
    </row>
    <row r="11601" spans="2:30" s="323" customFormat="1" ht="12" customHeight="1">
      <c r="B11601" s="324"/>
      <c r="C11601" s="325"/>
      <c r="D11601" s="326"/>
      <c r="E11601" s="326"/>
      <c r="F11601" s="326"/>
      <c r="G11601" s="326"/>
      <c r="H11601" s="326"/>
      <c r="P11601" s="318"/>
      <c r="Q11601" s="318"/>
      <c r="R11601" s="318"/>
      <c r="S11601" s="318"/>
      <c r="T11601" s="318"/>
      <c r="U11601" s="318"/>
      <c r="V11601" s="318"/>
      <c r="W11601" s="318"/>
      <c r="X11601" s="318"/>
      <c r="Y11601" s="318"/>
      <c r="Z11601" s="318"/>
      <c r="AA11601" s="318"/>
      <c r="AB11601" s="318"/>
      <c r="AC11601" s="318"/>
      <c r="AD11601" s="318"/>
    </row>
    <row r="11602" spans="2:30" s="323" customFormat="1" ht="12" customHeight="1">
      <c r="B11602" s="324"/>
      <c r="C11602" s="325"/>
      <c r="D11602" s="326"/>
      <c r="E11602" s="326"/>
      <c r="F11602" s="326"/>
      <c r="G11602" s="326"/>
      <c r="H11602" s="326"/>
      <c r="P11602" s="318"/>
      <c r="Q11602" s="318"/>
      <c r="R11602" s="318"/>
      <c r="S11602" s="318"/>
      <c r="T11602" s="318"/>
      <c r="U11602" s="318"/>
      <c r="V11602" s="318"/>
      <c r="W11602" s="318"/>
      <c r="X11602" s="318"/>
      <c r="Y11602" s="318"/>
      <c r="Z11602" s="318"/>
      <c r="AA11602" s="318"/>
      <c r="AB11602" s="318"/>
      <c r="AC11602" s="318"/>
      <c r="AD11602" s="318"/>
    </row>
    <row r="11603" spans="2:30" s="323" customFormat="1" ht="12" customHeight="1">
      <c r="B11603" s="324"/>
      <c r="C11603" s="325"/>
      <c r="D11603" s="326"/>
      <c r="E11603" s="326"/>
      <c r="F11603" s="326"/>
      <c r="G11603" s="326"/>
      <c r="H11603" s="326"/>
      <c r="P11603" s="318"/>
      <c r="Q11603" s="318"/>
      <c r="R11603" s="318"/>
      <c r="S11603" s="318"/>
      <c r="T11603" s="318"/>
      <c r="U11603" s="318"/>
      <c r="V11603" s="318"/>
      <c r="W11603" s="318"/>
      <c r="X11603" s="318"/>
      <c r="Y11603" s="318"/>
      <c r="Z11603" s="318"/>
      <c r="AA11603" s="318"/>
      <c r="AB11603" s="318"/>
      <c r="AC11603" s="318"/>
      <c r="AD11603" s="318"/>
    </row>
    <row r="11604" spans="2:30" s="323" customFormat="1" ht="12" customHeight="1">
      <c r="B11604" s="324"/>
      <c r="C11604" s="325"/>
      <c r="D11604" s="326"/>
      <c r="E11604" s="326"/>
      <c r="F11604" s="326"/>
      <c r="G11604" s="326"/>
      <c r="H11604" s="326"/>
      <c r="P11604" s="318"/>
      <c r="Q11604" s="318"/>
      <c r="R11604" s="318"/>
      <c r="S11604" s="318"/>
      <c r="T11604" s="318"/>
      <c r="U11604" s="318"/>
      <c r="V11604" s="318"/>
      <c r="W11604" s="318"/>
      <c r="X11604" s="318"/>
      <c r="Y11604" s="318"/>
      <c r="Z11604" s="318"/>
      <c r="AA11604" s="318"/>
      <c r="AB11604" s="318"/>
      <c r="AC11604" s="318"/>
      <c r="AD11604" s="318"/>
    </row>
    <row r="11605" spans="2:30" s="323" customFormat="1" ht="12" customHeight="1">
      <c r="B11605" s="324"/>
      <c r="C11605" s="325"/>
      <c r="D11605" s="326"/>
      <c r="E11605" s="326"/>
      <c r="F11605" s="326"/>
      <c r="G11605" s="326"/>
      <c r="H11605" s="326"/>
      <c r="P11605" s="318"/>
      <c r="Q11605" s="318"/>
      <c r="R11605" s="318"/>
      <c r="S11605" s="318"/>
      <c r="T11605" s="318"/>
      <c r="U11605" s="318"/>
      <c r="V11605" s="318"/>
      <c r="W11605" s="318"/>
      <c r="X11605" s="318"/>
      <c r="Y11605" s="318"/>
      <c r="Z11605" s="318"/>
      <c r="AA11605" s="318"/>
      <c r="AB11605" s="318"/>
      <c r="AC11605" s="318"/>
      <c r="AD11605" s="318"/>
    </row>
    <row r="11606" spans="2:30" s="323" customFormat="1" ht="12" customHeight="1">
      <c r="B11606" s="324"/>
      <c r="C11606" s="325"/>
      <c r="D11606" s="326"/>
      <c r="E11606" s="326"/>
      <c r="F11606" s="326"/>
      <c r="G11606" s="326"/>
      <c r="H11606" s="326"/>
      <c r="P11606" s="318"/>
      <c r="Q11606" s="318"/>
      <c r="R11606" s="318"/>
      <c r="S11606" s="318"/>
      <c r="T11606" s="318"/>
      <c r="U11606" s="318"/>
      <c r="V11606" s="318"/>
      <c r="W11606" s="318"/>
      <c r="X11606" s="318"/>
      <c r="Y11606" s="318"/>
      <c r="Z11606" s="318"/>
      <c r="AA11606" s="318"/>
      <c r="AB11606" s="318"/>
      <c r="AC11606" s="318"/>
      <c r="AD11606" s="318"/>
    </row>
    <row r="11607" spans="2:30" s="323" customFormat="1" ht="12" customHeight="1">
      <c r="B11607" s="324"/>
      <c r="C11607" s="325"/>
      <c r="D11607" s="326"/>
      <c r="E11607" s="326"/>
      <c r="F11607" s="326"/>
      <c r="G11607" s="326"/>
      <c r="H11607" s="326"/>
      <c r="P11607" s="318"/>
      <c r="Q11607" s="318"/>
      <c r="R11607" s="318"/>
      <c r="S11607" s="318"/>
      <c r="T11607" s="318"/>
      <c r="U11607" s="318"/>
      <c r="V11607" s="318"/>
      <c r="W11607" s="318"/>
      <c r="X11607" s="318"/>
      <c r="Y11607" s="318"/>
      <c r="Z11607" s="318"/>
      <c r="AA11607" s="318"/>
      <c r="AB11607" s="318"/>
      <c r="AC11607" s="318"/>
      <c r="AD11607" s="318"/>
    </row>
    <row r="11608" spans="2:30" s="323" customFormat="1" ht="12" customHeight="1">
      <c r="B11608" s="324"/>
      <c r="C11608" s="325"/>
      <c r="D11608" s="326"/>
      <c r="E11608" s="326"/>
      <c r="F11608" s="326"/>
      <c r="G11608" s="326"/>
      <c r="H11608" s="326"/>
      <c r="P11608" s="318"/>
      <c r="Q11608" s="318"/>
      <c r="R11608" s="318"/>
      <c r="S11608" s="318"/>
      <c r="T11608" s="318"/>
      <c r="U11608" s="318"/>
      <c r="V11608" s="318"/>
      <c r="W11608" s="318"/>
      <c r="X11608" s="318"/>
      <c r="Y11608" s="318"/>
      <c r="Z11608" s="318"/>
      <c r="AA11608" s="318"/>
      <c r="AB11608" s="318"/>
      <c r="AC11608" s="318"/>
      <c r="AD11608" s="318"/>
    </row>
    <row r="11609" spans="2:30" s="323" customFormat="1" ht="12" customHeight="1">
      <c r="B11609" s="324"/>
      <c r="C11609" s="325"/>
      <c r="D11609" s="326"/>
      <c r="E11609" s="326"/>
      <c r="F11609" s="326"/>
      <c r="G11609" s="326"/>
      <c r="H11609" s="326"/>
      <c r="P11609" s="318"/>
      <c r="Q11609" s="318"/>
      <c r="R11609" s="318"/>
      <c r="S11609" s="318"/>
      <c r="T11609" s="318"/>
      <c r="U11609" s="318"/>
      <c r="V11609" s="318"/>
      <c r="W11609" s="318"/>
      <c r="X11609" s="318"/>
      <c r="Y11609" s="318"/>
      <c r="Z11609" s="318"/>
      <c r="AA11609" s="318"/>
      <c r="AB11609" s="318"/>
      <c r="AC11609" s="318"/>
      <c r="AD11609" s="318"/>
    </row>
    <row r="11610" spans="2:30" s="323" customFormat="1" ht="12" customHeight="1">
      <c r="B11610" s="324"/>
      <c r="C11610" s="325"/>
      <c r="D11610" s="326"/>
      <c r="E11610" s="326"/>
      <c r="F11610" s="326"/>
      <c r="G11610" s="326"/>
      <c r="H11610" s="326"/>
      <c r="P11610" s="318"/>
      <c r="Q11610" s="318"/>
      <c r="R11610" s="318"/>
      <c r="S11610" s="318"/>
      <c r="T11610" s="318"/>
      <c r="U11610" s="318"/>
      <c r="V11610" s="318"/>
      <c r="W11610" s="318"/>
      <c r="X11610" s="318"/>
      <c r="Y11610" s="318"/>
      <c r="Z11610" s="318"/>
      <c r="AA11610" s="318"/>
      <c r="AB11610" s="318"/>
      <c r="AC11610" s="318"/>
      <c r="AD11610" s="318"/>
    </row>
    <row r="11611" spans="2:30" s="323" customFormat="1" ht="12" customHeight="1">
      <c r="B11611" s="324"/>
      <c r="C11611" s="325"/>
      <c r="D11611" s="326"/>
      <c r="E11611" s="326"/>
      <c r="F11611" s="326"/>
      <c r="G11611" s="326"/>
      <c r="H11611" s="326"/>
      <c r="P11611" s="318"/>
      <c r="Q11611" s="318"/>
      <c r="R11611" s="318"/>
      <c r="S11611" s="318"/>
      <c r="T11611" s="318"/>
      <c r="U11611" s="318"/>
      <c r="V11611" s="318"/>
      <c r="W11611" s="318"/>
      <c r="X11611" s="318"/>
      <c r="Y11611" s="318"/>
      <c r="Z11611" s="318"/>
      <c r="AA11611" s="318"/>
      <c r="AB11611" s="318"/>
      <c r="AC11611" s="318"/>
      <c r="AD11611" s="318"/>
    </row>
    <row r="11612" spans="2:30" s="323" customFormat="1" ht="12" customHeight="1">
      <c r="B11612" s="324"/>
      <c r="C11612" s="325"/>
      <c r="D11612" s="326"/>
      <c r="E11612" s="326"/>
      <c r="F11612" s="326"/>
      <c r="G11612" s="326"/>
      <c r="H11612" s="326"/>
      <c r="P11612" s="318"/>
      <c r="Q11612" s="318"/>
      <c r="R11612" s="318"/>
      <c r="S11612" s="318"/>
      <c r="T11612" s="318"/>
      <c r="U11612" s="318"/>
      <c r="V11612" s="318"/>
      <c r="W11612" s="318"/>
      <c r="X11612" s="318"/>
      <c r="Y11612" s="318"/>
      <c r="Z11612" s="318"/>
      <c r="AA11612" s="318"/>
      <c r="AB11612" s="318"/>
      <c r="AC11612" s="318"/>
      <c r="AD11612" s="318"/>
    </row>
    <row r="11613" spans="2:30" s="323" customFormat="1" ht="12" customHeight="1">
      <c r="B11613" s="324"/>
      <c r="C11613" s="325"/>
      <c r="D11613" s="326"/>
      <c r="E11613" s="326"/>
      <c r="F11613" s="326"/>
      <c r="G11613" s="326"/>
      <c r="H11613" s="326"/>
      <c r="P11613" s="318"/>
      <c r="Q11613" s="318"/>
      <c r="R11613" s="318"/>
      <c r="S11613" s="318"/>
      <c r="T11613" s="318"/>
      <c r="U11613" s="318"/>
      <c r="V11613" s="318"/>
      <c r="W11613" s="318"/>
      <c r="X11613" s="318"/>
      <c r="Y11613" s="318"/>
      <c r="Z11613" s="318"/>
      <c r="AA11613" s="318"/>
      <c r="AB11613" s="318"/>
      <c r="AC11613" s="318"/>
      <c r="AD11613" s="318"/>
    </row>
    <row r="11614" spans="2:30" s="323" customFormat="1" ht="12" customHeight="1">
      <c r="B11614" s="324"/>
      <c r="C11614" s="325"/>
      <c r="D11614" s="326"/>
      <c r="E11614" s="326"/>
      <c r="F11614" s="326"/>
      <c r="G11614" s="326"/>
      <c r="H11614" s="326"/>
      <c r="P11614" s="318"/>
      <c r="Q11614" s="318"/>
      <c r="R11614" s="318"/>
      <c r="S11614" s="318"/>
      <c r="T11614" s="318"/>
      <c r="U11614" s="318"/>
      <c r="V11614" s="318"/>
      <c r="W11614" s="318"/>
      <c r="X11614" s="318"/>
      <c r="Y11614" s="318"/>
      <c r="Z11614" s="318"/>
      <c r="AA11614" s="318"/>
      <c r="AB11614" s="318"/>
      <c r="AC11614" s="318"/>
      <c r="AD11614" s="318"/>
    </row>
    <row r="11615" spans="2:30" s="323" customFormat="1" ht="12" customHeight="1">
      <c r="B11615" s="324"/>
      <c r="C11615" s="325"/>
      <c r="D11615" s="326"/>
      <c r="E11615" s="326"/>
      <c r="F11615" s="326"/>
      <c r="G11615" s="326"/>
      <c r="H11615" s="326"/>
      <c r="P11615" s="318"/>
      <c r="Q11615" s="318"/>
      <c r="R11615" s="318"/>
      <c r="S11615" s="318"/>
      <c r="T11615" s="318"/>
      <c r="U11615" s="318"/>
      <c r="V11615" s="318"/>
      <c r="W11615" s="318"/>
      <c r="X11615" s="318"/>
      <c r="Y11615" s="318"/>
      <c r="Z11615" s="318"/>
      <c r="AA11615" s="318"/>
      <c r="AB11615" s="318"/>
      <c r="AC11615" s="318"/>
      <c r="AD11615" s="318"/>
    </row>
    <row r="11616" spans="2:30" s="323" customFormat="1" ht="12" customHeight="1">
      <c r="B11616" s="324"/>
      <c r="C11616" s="325"/>
      <c r="D11616" s="326"/>
      <c r="E11616" s="326"/>
      <c r="F11616" s="326"/>
      <c r="G11616" s="326"/>
      <c r="H11616" s="326"/>
      <c r="P11616" s="318"/>
      <c r="Q11616" s="318"/>
      <c r="R11616" s="318"/>
      <c r="S11616" s="318"/>
      <c r="T11616" s="318"/>
      <c r="U11616" s="318"/>
      <c r="V11616" s="318"/>
      <c r="W11616" s="318"/>
      <c r="X11616" s="318"/>
      <c r="Y11616" s="318"/>
      <c r="Z11616" s="318"/>
      <c r="AA11616" s="318"/>
      <c r="AB11616" s="318"/>
      <c r="AC11616" s="318"/>
      <c r="AD11616" s="318"/>
    </row>
    <row r="11617" spans="2:30" s="323" customFormat="1" ht="12" customHeight="1">
      <c r="B11617" s="324"/>
      <c r="C11617" s="325"/>
      <c r="D11617" s="326"/>
      <c r="E11617" s="326"/>
      <c r="F11617" s="326"/>
      <c r="G11617" s="326"/>
      <c r="H11617" s="326"/>
      <c r="P11617" s="318"/>
      <c r="Q11617" s="318"/>
      <c r="R11617" s="318"/>
      <c r="S11617" s="318"/>
      <c r="T11617" s="318"/>
      <c r="U11617" s="318"/>
      <c r="V11617" s="318"/>
      <c r="W11617" s="318"/>
      <c r="X11617" s="318"/>
      <c r="Y11617" s="318"/>
      <c r="Z11617" s="318"/>
      <c r="AA11617" s="318"/>
      <c r="AB11617" s="318"/>
      <c r="AC11617" s="318"/>
      <c r="AD11617" s="318"/>
    </row>
    <row r="11618" spans="2:30" s="323" customFormat="1" ht="12" customHeight="1">
      <c r="B11618" s="324"/>
      <c r="C11618" s="325"/>
      <c r="D11618" s="326"/>
      <c r="E11618" s="326"/>
      <c r="F11618" s="326"/>
      <c r="G11618" s="326"/>
      <c r="H11618" s="326"/>
      <c r="P11618" s="318"/>
      <c r="Q11618" s="318"/>
      <c r="R11618" s="318"/>
      <c r="S11618" s="318"/>
      <c r="T11618" s="318"/>
      <c r="U11618" s="318"/>
      <c r="V11618" s="318"/>
      <c r="W11618" s="318"/>
      <c r="X11618" s="318"/>
      <c r="Y11618" s="318"/>
      <c r="Z11618" s="318"/>
      <c r="AA11618" s="318"/>
      <c r="AB11618" s="318"/>
      <c r="AC11618" s="318"/>
      <c r="AD11618" s="318"/>
    </row>
    <row r="11619" spans="2:30" s="323" customFormat="1" ht="12" customHeight="1">
      <c r="B11619" s="324"/>
      <c r="C11619" s="325"/>
      <c r="D11619" s="326"/>
      <c r="E11619" s="326"/>
      <c r="F11619" s="326"/>
      <c r="G11619" s="326"/>
      <c r="H11619" s="326"/>
      <c r="P11619" s="318"/>
      <c r="Q11619" s="318"/>
      <c r="R11619" s="318"/>
      <c r="S11619" s="318"/>
      <c r="T11619" s="318"/>
      <c r="U11619" s="318"/>
      <c r="V11619" s="318"/>
      <c r="W11619" s="318"/>
      <c r="X11619" s="318"/>
      <c r="Y11619" s="318"/>
      <c r="Z11619" s="318"/>
      <c r="AA11619" s="318"/>
      <c r="AB11619" s="318"/>
      <c r="AC11619" s="318"/>
      <c r="AD11619" s="318"/>
    </row>
    <row r="11620" spans="2:30" s="323" customFormat="1" ht="12" customHeight="1">
      <c r="B11620" s="324"/>
      <c r="C11620" s="325"/>
      <c r="D11620" s="326"/>
      <c r="E11620" s="326"/>
      <c r="F11620" s="326"/>
      <c r="G11620" s="326"/>
      <c r="H11620" s="326"/>
      <c r="P11620" s="318"/>
      <c r="Q11620" s="318"/>
      <c r="R11620" s="318"/>
      <c r="S11620" s="318"/>
      <c r="T11620" s="318"/>
      <c r="U11620" s="318"/>
      <c r="V11620" s="318"/>
      <c r="W11620" s="318"/>
      <c r="X11620" s="318"/>
      <c r="Y11620" s="318"/>
      <c r="Z11620" s="318"/>
      <c r="AA11620" s="318"/>
      <c r="AB11620" s="318"/>
      <c r="AC11620" s="318"/>
      <c r="AD11620" s="318"/>
    </row>
    <row r="11621" spans="2:30" s="323" customFormat="1" ht="12" customHeight="1">
      <c r="B11621" s="324"/>
      <c r="C11621" s="325"/>
      <c r="D11621" s="326"/>
      <c r="E11621" s="326"/>
      <c r="F11621" s="326"/>
      <c r="G11621" s="326"/>
      <c r="H11621" s="326"/>
      <c r="P11621" s="318"/>
      <c r="Q11621" s="318"/>
      <c r="R11621" s="318"/>
      <c r="S11621" s="318"/>
      <c r="T11621" s="318"/>
      <c r="U11621" s="318"/>
      <c r="V11621" s="318"/>
      <c r="W11621" s="318"/>
      <c r="X11621" s="318"/>
      <c r="Y11621" s="318"/>
      <c r="Z11621" s="318"/>
      <c r="AA11621" s="318"/>
      <c r="AB11621" s="318"/>
      <c r="AC11621" s="318"/>
      <c r="AD11621" s="318"/>
    </row>
    <row r="11622" spans="2:30" s="323" customFormat="1" ht="12" customHeight="1">
      <c r="B11622" s="324"/>
      <c r="C11622" s="325"/>
      <c r="D11622" s="326"/>
      <c r="E11622" s="326"/>
      <c r="F11622" s="326"/>
      <c r="G11622" s="326"/>
      <c r="H11622" s="326"/>
      <c r="P11622" s="318"/>
      <c r="Q11622" s="318"/>
      <c r="R11622" s="318"/>
      <c r="S11622" s="318"/>
      <c r="T11622" s="318"/>
      <c r="U11622" s="318"/>
      <c r="V11622" s="318"/>
      <c r="W11622" s="318"/>
      <c r="X11622" s="318"/>
      <c r="Y11622" s="318"/>
      <c r="Z11622" s="318"/>
      <c r="AA11622" s="318"/>
      <c r="AB11622" s="318"/>
      <c r="AC11622" s="318"/>
      <c r="AD11622" s="318"/>
    </row>
    <row r="11623" spans="2:30" s="323" customFormat="1" ht="12" customHeight="1">
      <c r="B11623" s="324"/>
      <c r="C11623" s="325"/>
      <c r="D11623" s="326"/>
      <c r="E11623" s="326"/>
      <c r="F11623" s="326"/>
      <c r="G11623" s="326"/>
      <c r="H11623" s="326"/>
      <c r="P11623" s="318"/>
      <c r="Q11623" s="318"/>
      <c r="R11623" s="318"/>
      <c r="S11623" s="318"/>
      <c r="T11623" s="318"/>
      <c r="U11623" s="318"/>
      <c r="V11623" s="318"/>
      <c r="W11623" s="318"/>
      <c r="X11623" s="318"/>
      <c r="Y11623" s="318"/>
      <c r="Z11623" s="318"/>
      <c r="AA11623" s="318"/>
      <c r="AB11623" s="318"/>
      <c r="AC11623" s="318"/>
      <c r="AD11623" s="318"/>
    </row>
    <row r="11624" spans="2:30" s="323" customFormat="1" ht="12" customHeight="1">
      <c r="B11624" s="324"/>
      <c r="C11624" s="325"/>
      <c r="D11624" s="326"/>
      <c r="E11624" s="326"/>
      <c r="F11624" s="326"/>
      <c r="G11624" s="326"/>
      <c r="H11624" s="326"/>
      <c r="P11624" s="318"/>
      <c r="Q11624" s="318"/>
      <c r="R11624" s="318"/>
      <c r="S11624" s="318"/>
      <c r="T11624" s="318"/>
      <c r="U11624" s="318"/>
      <c r="V11624" s="318"/>
      <c r="W11624" s="318"/>
      <c r="X11624" s="318"/>
      <c r="Y11624" s="318"/>
      <c r="Z11624" s="318"/>
      <c r="AA11624" s="318"/>
      <c r="AB11624" s="318"/>
      <c r="AC11624" s="318"/>
      <c r="AD11624" s="318"/>
    </row>
    <row r="11625" spans="2:30" s="323" customFormat="1" ht="12" customHeight="1">
      <c r="B11625" s="324"/>
      <c r="C11625" s="325"/>
      <c r="D11625" s="326"/>
      <c r="E11625" s="326"/>
      <c r="F11625" s="326"/>
      <c r="G11625" s="326"/>
      <c r="H11625" s="326"/>
      <c r="P11625" s="318"/>
      <c r="Q11625" s="318"/>
      <c r="R11625" s="318"/>
      <c r="S11625" s="318"/>
      <c r="T11625" s="318"/>
      <c r="U11625" s="318"/>
      <c r="V11625" s="318"/>
      <c r="W11625" s="318"/>
      <c r="X11625" s="318"/>
      <c r="Y11625" s="318"/>
      <c r="Z11625" s="318"/>
      <c r="AA11625" s="318"/>
      <c r="AB11625" s="318"/>
      <c r="AC11625" s="318"/>
      <c r="AD11625" s="318"/>
    </row>
    <row r="11626" spans="2:30" s="323" customFormat="1" ht="12" customHeight="1">
      <c r="B11626" s="324"/>
      <c r="C11626" s="325"/>
      <c r="D11626" s="326"/>
      <c r="E11626" s="326"/>
      <c r="F11626" s="326"/>
      <c r="G11626" s="326"/>
      <c r="H11626" s="326"/>
      <c r="P11626" s="318"/>
      <c r="Q11626" s="318"/>
      <c r="R11626" s="318"/>
      <c r="S11626" s="318"/>
      <c r="T11626" s="318"/>
      <c r="U11626" s="318"/>
      <c r="V11626" s="318"/>
      <c r="W11626" s="318"/>
      <c r="X11626" s="318"/>
      <c r="Y11626" s="318"/>
      <c r="Z11626" s="318"/>
      <c r="AA11626" s="318"/>
      <c r="AB11626" s="318"/>
      <c r="AC11626" s="318"/>
      <c r="AD11626" s="318"/>
    </row>
    <row r="11627" spans="2:30" s="323" customFormat="1" ht="12" customHeight="1">
      <c r="B11627" s="324"/>
      <c r="C11627" s="325"/>
      <c r="D11627" s="326"/>
      <c r="E11627" s="326"/>
      <c r="F11627" s="326"/>
      <c r="G11627" s="326"/>
      <c r="H11627" s="326"/>
      <c r="P11627" s="318"/>
      <c r="Q11627" s="318"/>
      <c r="R11627" s="318"/>
      <c r="S11627" s="318"/>
      <c r="T11627" s="318"/>
      <c r="U11627" s="318"/>
      <c r="V11627" s="318"/>
      <c r="W11627" s="318"/>
      <c r="X11627" s="318"/>
      <c r="Y11627" s="318"/>
      <c r="Z11627" s="318"/>
      <c r="AA11627" s="318"/>
      <c r="AB11627" s="318"/>
      <c r="AC11627" s="318"/>
      <c r="AD11627" s="318"/>
    </row>
    <row r="11628" spans="2:30" s="323" customFormat="1" ht="12" customHeight="1">
      <c r="B11628" s="324"/>
      <c r="C11628" s="325"/>
      <c r="D11628" s="326"/>
      <c r="E11628" s="326"/>
      <c r="F11628" s="326"/>
      <c r="G11628" s="326"/>
      <c r="H11628" s="326"/>
      <c r="P11628" s="318"/>
      <c r="Q11628" s="318"/>
      <c r="R11628" s="318"/>
      <c r="S11628" s="318"/>
      <c r="T11628" s="318"/>
      <c r="U11628" s="318"/>
      <c r="V11628" s="318"/>
      <c r="W11628" s="318"/>
      <c r="X11628" s="318"/>
      <c r="Y11628" s="318"/>
      <c r="Z11628" s="318"/>
      <c r="AA11628" s="318"/>
      <c r="AB11628" s="318"/>
      <c r="AC11628" s="318"/>
      <c r="AD11628" s="318"/>
    </row>
    <row r="11629" spans="2:30" s="323" customFormat="1" ht="12" customHeight="1">
      <c r="B11629" s="324"/>
      <c r="C11629" s="325"/>
      <c r="D11629" s="326"/>
      <c r="E11629" s="326"/>
      <c r="F11629" s="326"/>
      <c r="G11629" s="326"/>
      <c r="H11629" s="326"/>
      <c r="P11629" s="318"/>
      <c r="Q11629" s="318"/>
      <c r="R11629" s="318"/>
      <c r="S11629" s="318"/>
      <c r="T11629" s="318"/>
      <c r="U11629" s="318"/>
      <c r="V11629" s="318"/>
      <c r="W11629" s="318"/>
      <c r="X11629" s="318"/>
      <c r="Y11629" s="318"/>
      <c r="Z11629" s="318"/>
      <c r="AA11629" s="318"/>
      <c r="AB11629" s="318"/>
      <c r="AC11629" s="318"/>
      <c r="AD11629" s="318"/>
    </row>
    <row r="11630" spans="2:30" s="323" customFormat="1" ht="12" customHeight="1">
      <c r="B11630" s="324"/>
      <c r="C11630" s="325"/>
      <c r="D11630" s="326"/>
      <c r="E11630" s="326"/>
      <c r="F11630" s="326"/>
      <c r="G11630" s="326"/>
      <c r="H11630" s="326"/>
      <c r="P11630" s="318"/>
      <c r="Q11630" s="318"/>
      <c r="R11630" s="318"/>
      <c r="S11630" s="318"/>
      <c r="T11630" s="318"/>
      <c r="U11630" s="318"/>
      <c r="V11630" s="318"/>
      <c r="W11630" s="318"/>
      <c r="X11630" s="318"/>
      <c r="Y11630" s="318"/>
      <c r="Z11630" s="318"/>
      <c r="AA11630" s="318"/>
      <c r="AB11630" s="318"/>
      <c r="AC11630" s="318"/>
      <c r="AD11630" s="318"/>
    </row>
    <row r="11631" spans="2:30" s="323" customFormat="1" ht="12" customHeight="1">
      <c r="B11631" s="324"/>
      <c r="C11631" s="325"/>
      <c r="D11631" s="326"/>
      <c r="E11631" s="326"/>
      <c r="F11631" s="326"/>
      <c r="G11631" s="326"/>
      <c r="H11631" s="326"/>
      <c r="P11631" s="318"/>
      <c r="Q11631" s="318"/>
      <c r="R11631" s="318"/>
      <c r="S11631" s="318"/>
      <c r="T11631" s="318"/>
      <c r="U11631" s="318"/>
      <c r="V11631" s="318"/>
      <c r="W11631" s="318"/>
      <c r="X11631" s="318"/>
      <c r="Y11631" s="318"/>
      <c r="Z11631" s="318"/>
      <c r="AA11631" s="318"/>
      <c r="AB11631" s="318"/>
      <c r="AC11631" s="318"/>
      <c r="AD11631" s="318"/>
    </row>
    <row r="11632" spans="2:30" s="323" customFormat="1" ht="12" customHeight="1">
      <c r="B11632" s="324"/>
      <c r="C11632" s="325"/>
      <c r="D11632" s="326"/>
      <c r="E11632" s="326"/>
      <c r="F11632" s="326"/>
      <c r="G11632" s="326"/>
      <c r="H11632" s="326"/>
      <c r="P11632" s="318"/>
      <c r="Q11632" s="318"/>
      <c r="R11632" s="318"/>
      <c r="S11632" s="318"/>
      <c r="T11632" s="318"/>
      <c r="U11632" s="318"/>
      <c r="V11632" s="318"/>
      <c r="W11632" s="318"/>
      <c r="X11632" s="318"/>
      <c r="Y11632" s="318"/>
      <c r="Z11632" s="318"/>
      <c r="AA11632" s="318"/>
      <c r="AB11632" s="318"/>
      <c r="AC11632" s="318"/>
      <c r="AD11632" s="318"/>
    </row>
    <row r="11633" spans="2:30" s="323" customFormat="1" ht="12" customHeight="1">
      <c r="B11633" s="324"/>
      <c r="C11633" s="325"/>
      <c r="D11633" s="326"/>
      <c r="E11633" s="326"/>
      <c r="F11633" s="326"/>
      <c r="G11633" s="326"/>
      <c r="H11633" s="326"/>
      <c r="P11633" s="318"/>
      <c r="Q11633" s="318"/>
      <c r="R11633" s="318"/>
      <c r="S11633" s="318"/>
      <c r="T11633" s="318"/>
      <c r="U11633" s="318"/>
      <c r="V11633" s="318"/>
      <c r="W11633" s="318"/>
      <c r="X11633" s="318"/>
      <c r="Y11633" s="318"/>
      <c r="Z11633" s="318"/>
      <c r="AA11633" s="318"/>
      <c r="AB11633" s="318"/>
      <c r="AC11633" s="318"/>
      <c r="AD11633" s="318"/>
    </row>
    <row r="11634" spans="2:30" s="323" customFormat="1" ht="12" customHeight="1">
      <c r="B11634" s="324"/>
      <c r="C11634" s="325"/>
      <c r="D11634" s="326"/>
      <c r="E11634" s="326"/>
      <c r="F11634" s="326"/>
      <c r="G11634" s="326"/>
      <c r="H11634" s="326"/>
      <c r="P11634" s="318"/>
      <c r="Q11634" s="318"/>
      <c r="R11634" s="318"/>
      <c r="S11634" s="318"/>
      <c r="T11634" s="318"/>
      <c r="U11634" s="318"/>
      <c r="V11634" s="318"/>
      <c r="W11634" s="318"/>
      <c r="X11634" s="318"/>
      <c r="Y11634" s="318"/>
      <c r="Z11634" s="318"/>
      <c r="AA11634" s="318"/>
      <c r="AB11634" s="318"/>
      <c r="AC11634" s="318"/>
      <c r="AD11634" s="318"/>
    </row>
    <row r="11635" spans="2:30" s="323" customFormat="1" ht="12" customHeight="1">
      <c r="B11635" s="324"/>
      <c r="C11635" s="325"/>
      <c r="D11635" s="326"/>
      <c r="E11635" s="326"/>
      <c r="F11635" s="326"/>
      <c r="G11635" s="326"/>
      <c r="H11635" s="326"/>
      <c r="P11635" s="318"/>
      <c r="Q11635" s="318"/>
      <c r="R11635" s="318"/>
      <c r="S11635" s="318"/>
      <c r="T11635" s="318"/>
      <c r="U11635" s="318"/>
      <c r="V11635" s="318"/>
      <c r="W11635" s="318"/>
      <c r="X11635" s="318"/>
      <c r="Y11635" s="318"/>
      <c r="Z11635" s="318"/>
      <c r="AA11635" s="318"/>
      <c r="AB11635" s="318"/>
      <c r="AC11635" s="318"/>
      <c r="AD11635" s="318"/>
    </row>
    <row r="11636" spans="2:30" s="323" customFormat="1" ht="12" customHeight="1">
      <c r="B11636" s="324"/>
      <c r="C11636" s="325"/>
      <c r="D11636" s="326"/>
      <c r="E11636" s="326"/>
      <c r="F11636" s="326"/>
      <c r="G11636" s="326"/>
      <c r="H11636" s="326"/>
      <c r="P11636" s="318"/>
      <c r="Q11636" s="318"/>
      <c r="R11636" s="318"/>
      <c r="S11636" s="318"/>
      <c r="T11636" s="318"/>
      <c r="U11636" s="318"/>
      <c r="V11636" s="318"/>
      <c r="W11636" s="318"/>
      <c r="X11636" s="318"/>
      <c r="Y11636" s="318"/>
      <c r="Z11636" s="318"/>
      <c r="AA11636" s="318"/>
      <c r="AB11636" s="318"/>
      <c r="AC11636" s="318"/>
      <c r="AD11636" s="318"/>
    </row>
    <row r="11637" spans="2:30" s="323" customFormat="1" ht="12" customHeight="1">
      <c r="B11637" s="324"/>
      <c r="C11637" s="325"/>
      <c r="D11637" s="326"/>
      <c r="E11637" s="326"/>
      <c r="F11637" s="326"/>
      <c r="G11637" s="326"/>
      <c r="H11637" s="326"/>
      <c r="P11637" s="318"/>
      <c r="Q11637" s="318"/>
      <c r="R11637" s="318"/>
      <c r="S11637" s="318"/>
      <c r="T11637" s="318"/>
      <c r="U11637" s="318"/>
      <c r="V11637" s="318"/>
      <c r="W11637" s="318"/>
      <c r="X11637" s="318"/>
      <c r="Y11637" s="318"/>
      <c r="Z11637" s="318"/>
      <c r="AA11637" s="318"/>
      <c r="AB11637" s="318"/>
      <c r="AC11637" s="318"/>
      <c r="AD11637" s="318"/>
    </row>
    <row r="11638" spans="2:30" s="323" customFormat="1" ht="12" customHeight="1">
      <c r="B11638" s="324"/>
      <c r="C11638" s="325"/>
      <c r="D11638" s="326"/>
      <c r="E11638" s="326"/>
      <c r="F11638" s="326"/>
      <c r="G11638" s="326"/>
      <c r="H11638" s="326"/>
      <c r="P11638" s="318"/>
      <c r="Q11638" s="318"/>
      <c r="R11638" s="318"/>
      <c r="S11638" s="318"/>
      <c r="T11638" s="318"/>
      <c r="U11638" s="318"/>
      <c r="V11638" s="318"/>
      <c r="W11638" s="318"/>
      <c r="X11638" s="318"/>
      <c r="Y11638" s="318"/>
      <c r="Z11638" s="318"/>
      <c r="AA11638" s="318"/>
      <c r="AB11638" s="318"/>
      <c r="AC11638" s="318"/>
      <c r="AD11638" s="318"/>
    </row>
    <row r="11639" spans="2:30" s="323" customFormat="1" ht="12" customHeight="1">
      <c r="B11639" s="324"/>
      <c r="C11639" s="325"/>
      <c r="D11639" s="326"/>
      <c r="E11639" s="326"/>
      <c r="F11639" s="326"/>
      <c r="G11639" s="326"/>
      <c r="H11639" s="326"/>
      <c r="P11639" s="318"/>
      <c r="Q11639" s="318"/>
      <c r="R11639" s="318"/>
      <c r="S11639" s="318"/>
      <c r="T11639" s="318"/>
      <c r="U11639" s="318"/>
      <c r="V11639" s="318"/>
      <c r="W11639" s="318"/>
      <c r="X11639" s="318"/>
      <c r="Y11639" s="318"/>
      <c r="Z11639" s="318"/>
      <c r="AA11639" s="318"/>
      <c r="AB11639" s="318"/>
      <c r="AC11639" s="318"/>
      <c r="AD11639" s="318"/>
    </row>
    <row r="11640" spans="2:30" s="323" customFormat="1" ht="12" customHeight="1">
      <c r="B11640" s="324"/>
      <c r="C11640" s="325"/>
      <c r="D11640" s="326"/>
      <c r="E11640" s="326"/>
      <c r="F11640" s="326"/>
      <c r="G11640" s="326"/>
      <c r="H11640" s="326"/>
      <c r="P11640" s="318"/>
      <c r="Q11640" s="318"/>
      <c r="R11640" s="318"/>
      <c r="S11640" s="318"/>
      <c r="T11640" s="318"/>
      <c r="U11640" s="318"/>
      <c r="V11640" s="318"/>
      <c r="W11640" s="318"/>
      <c r="X11640" s="318"/>
      <c r="Y11640" s="318"/>
      <c r="Z11640" s="318"/>
      <c r="AA11640" s="318"/>
      <c r="AB11640" s="318"/>
      <c r="AC11640" s="318"/>
      <c r="AD11640" s="318"/>
    </row>
    <row r="11641" spans="2:30" s="323" customFormat="1" ht="12" customHeight="1">
      <c r="B11641" s="324"/>
      <c r="C11641" s="325"/>
      <c r="D11641" s="326"/>
      <c r="E11641" s="326"/>
      <c r="F11641" s="326"/>
      <c r="G11641" s="326"/>
      <c r="H11641" s="326"/>
      <c r="P11641" s="318"/>
      <c r="Q11641" s="318"/>
      <c r="R11641" s="318"/>
      <c r="S11641" s="318"/>
      <c r="T11641" s="318"/>
      <c r="U11641" s="318"/>
      <c r="V11641" s="318"/>
      <c r="W11641" s="318"/>
      <c r="X11641" s="318"/>
      <c r="Y11641" s="318"/>
      <c r="Z11641" s="318"/>
      <c r="AA11641" s="318"/>
      <c r="AB11641" s="318"/>
      <c r="AC11641" s="318"/>
      <c r="AD11641" s="318"/>
    </row>
    <row r="11642" spans="2:30" s="323" customFormat="1" ht="12" customHeight="1">
      <c r="B11642" s="324"/>
      <c r="C11642" s="325"/>
      <c r="D11642" s="326"/>
      <c r="E11642" s="326"/>
      <c r="F11642" s="326"/>
      <c r="G11642" s="326"/>
      <c r="H11642" s="326"/>
      <c r="P11642" s="318"/>
      <c r="Q11642" s="318"/>
      <c r="R11642" s="318"/>
      <c r="S11642" s="318"/>
      <c r="T11642" s="318"/>
      <c r="U11642" s="318"/>
      <c r="V11642" s="318"/>
      <c r="W11642" s="318"/>
      <c r="X11642" s="318"/>
      <c r="Y11642" s="318"/>
      <c r="Z11642" s="318"/>
      <c r="AA11642" s="318"/>
      <c r="AB11642" s="318"/>
      <c r="AC11642" s="318"/>
      <c r="AD11642" s="318"/>
    </row>
    <row r="11643" spans="2:30" s="323" customFormat="1" ht="12" customHeight="1">
      <c r="B11643" s="324"/>
      <c r="C11643" s="325"/>
      <c r="D11643" s="326"/>
      <c r="E11643" s="326"/>
      <c r="F11643" s="326"/>
      <c r="G11643" s="326"/>
      <c r="H11643" s="326"/>
      <c r="P11643" s="318"/>
      <c r="Q11643" s="318"/>
      <c r="R11643" s="318"/>
      <c r="S11643" s="318"/>
      <c r="T11643" s="318"/>
      <c r="U11643" s="318"/>
      <c r="V11643" s="318"/>
      <c r="W11643" s="318"/>
      <c r="X11643" s="318"/>
      <c r="Y11643" s="318"/>
      <c r="Z11643" s="318"/>
      <c r="AA11643" s="318"/>
      <c r="AB11643" s="318"/>
      <c r="AC11643" s="318"/>
      <c r="AD11643" s="318"/>
    </row>
    <row r="11644" spans="2:30" s="323" customFormat="1" ht="12" customHeight="1">
      <c r="B11644" s="324"/>
      <c r="C11644" s="325"/>
      <c r="D11644" s="326"/>
      <c r="E11644" s="326"/>
      <c r="F11644" s="326"/>
      <c r="G11644" s="326"/>
      <c r="H11644" s="326"/>
      <c r="P11644" s="318"/>
      <c r="Q11644" s="318"/>
      <c r="R11644" s="318"/>
      <c r="S11644" s="318"/>
      <c r="T11644" s="318"/>
      <c r="U11644" s="318"/>
      <c r="V11644" s="318"/>
      <c r="W11644" s="318"/>
      <c r="X11644" s="318"/>
      <c r="Y11644" s="318"/>
      <c r="Z11644" s="318"/>
      <c r="AA11644" s="318"/>
      <c r="AB11644" s="318"/>
      <c r="AC11644" s="318"/>
      <c r="AD11644" s="318"/>
    </row>
    <row r="11645" spans="2:30" s="323" customFormat="1" ht="12" customHeight="1">
      <c r="B11645" s="324"/>
      <c r="C11645" s="325"/>
      <c r="D11645" s="326"/>
      <c r="E11645" s="326"/>
      <c r="F11645" s="326"/>
      <c r="G11645" s="326"/>
      <c r="H11645" s="326"/>
      <c r="P11645" s="318"/>
      <c r="Q11645" s="318"/>
      <c r="R11645" s="318"/>
      <c r="S11645" s="318"/>
      <c r="T11645" s="318"/>
      <c r="U11645" s="318"/>
      <c r="V11645" s="318"/>
      <c r="W11645" s="318"/>
      <c r="X11645" s="318"/>
      <c r="Y11645" s="318"/>
      <c r="Z11645" s="318"/>
      <c r="AA11645" s="318"/>
      <c r="AB11645" s="318"/>
      <c r="AC11645" s="318"/>
      <c r="AD11645" s="318"/>
    </row>
    <row r="11646" spans="2:30" s="323" customFormat="1" ht="12" customHeight="1">
      <c r="B11646" s="324"/>
      <c r="C11646" s="325"/>
      <c r="D11646" s="326"/>
      <c r="E11646" s="326"/>
      <c r="F11646" s="326"/>
      <c r="G11646" s="326"/>
      <c r="H11646" s="326"/>
      <c r="P11646" s="318"/>
      <c r="Q11646" s="318"/>
      <c r="R11646" s="318"/>
      <c r="S11646" s="318"/>
      <c r="T11646" s="318"/>
      <c r="U11646" s="318"/>
      <c r="V11646" s="318"/>
      <c r="W11646" s="318"/>
      <c r="X11646" s="318"/>
      <c r="Y11646" s="318"/>
      <c r="Z11646" s="318"/>
      <c r="AA11646" s="318"/>
      <c r="AB11646" s="318"/>
      <c r="AC11646" s="318"/>
      <c r="AD11646" s="318"/>
    </row>
    <row r="11647" spans="2:30" s="323" customFormat="1" ht="12" customHeight="1">
      <c r="B11647" s="324"/>
      <c r="C11647" s="325"/>
      <c r="D11647" s="326"/>
      <c r="E11647" s="326"/>
      <c r="F11647" s="326"/>
      <c r="G11647" s="326"/>
      <c r="H11647" s="326"/>
      <c r="P11647" s="318"/>
      <c r="Q11647" s="318"/>
      <c r="R11647" s="318"/>
      <c r="S11647" s="318"/>
      <c r="T11647" s="318"/>
      <c r="U11647" s="318"/>
      <c r="V11647" s="318"/>
      <c r="W11647" s="318"/>
      <c r="X11647" s="318"/>
      <c r="Y11647" s="318"/>
      <c r="Z11647" s="318"/>
      <c r="AA11647" s="318"/>
      <c r="AB11647" s="318"/>
      <c r="AC11647" s="318"/>
      <c r="AD11647" s="318"/>
    </row>
    <row r="11648" spans="2:30" s="323" customFormat="1" ht="12" customHeight="1">
      <c r="B11648" s="324"/>
      <c r="C11648" s="325"/>
      <c r="D11648" s="326"/>
      <c r="E11648" s="326"/>
      <c r="F11648" s="326"/>
      <c r="G11648" s="326"/>
      <c r="H11648" s="326"/>
      <c r="P11648" s="318"/>
      <c r="Q11648" s="318"/>
      <c r="R11648" s="318"/>
      <c r="S11648" s="318"/>
      <c r="T11648" s="318"/>
      <c r="U11648" s="318"/>
      <c r="V11648" s="318"/>
      <c r="W11648" s="318"/>
      <c r="X11648" s="318"/>
      <c r="Y11648" s="318"/>
      <c r="Z11648" s="318"/>
      <c r="AA11648" s="318"/>
      <c r="AB11648" s="318"/>
      <c r="AC11648" s="318"/>
      <c r="AD11648" s="318"/>
    </row>
    <row r="11649" spans="2:30" s="323" customFormat="1" ht="12" customHeight="1">
      <c r="B11649" s="324"/>
      <c r="C11649" s="325"/>
      <c r="D11649" s="326"/>
      <c r="E11649" s="326"/>
      <c r="F11649" s="326"/>
      <c r="G11649" s="326"/>
      <c r="H11649" s="326"/>
      <c r="P11649" s="318"/>
      <c r="Q11649" s="318"/>
      <c r="R11649" s="318"/>
      <c r="S11649" s="318"/>
      <c r="T11649" s="318"/>
      <c r="U11649" s="318"/>
      <c r="V11649" s="318"/>
      <c r="W11649" s="318"/>
      <c r="X11649" s="318"/>
      <c r="Y11649" s="318"/>
      <c r="Z11649" s="318"/>
      <c r="AA11649" s="318"/>
      <c r="AB11649" s="318"/>
      <c r="AC11649" s="318"/>
      <c r="AD11649" s="318"/>
    </row>
    <row r="11650" spans="2:30" s="323" customFormat="1" ht="12" customHeight="1">
      <c r="B11650" s="324"/>
      <c r="C11650" s="325"/>
      <c r="D11650" s="326"/>
      <c r="E11650" s="326"/>
      <c r="F11650" s="326"/>
      <c r="G11650" s="326"/>
      <c r="H11650" s="326"/>
      <c r="P11650" s="318"/>
      <c r="Q11650" s="318"/>
      <c r="R11650" s="318"/>
      <c r="S11650" s="318"/>
      <c r="T11650" s="318"/>
      <c r="U11650" s="318"/>
      <c r="V11650" s="318"/>
      <c r="W11650" s="318"/>
      <c r="X11650" s="318"/>
      <c r="Y11650" s="318"/>
      <c r="Z11650" s="318"/>
      <c r="AA11650" s="318"/>
      <c r="AB11650" s="318"/>
      <c r="AC11650" s="318"/>
      <c r="AD11650" s="318"/>
    </row>
    <row r="11651" spans="2:30" s="323" customFormat="1" ht="12" customHeight="1">
      <c r="B11651" s="324"/>
      <c r="C11651" s="325"/>
      <c r="D11651" s="326"/>
      <c r="E11651" s="326"/>
      <c r="F11651" s="326"/>
      <c r="G11651" s="326"/>
      <c r="H11651" s="326"/>
      <c r="P11651" s="318"/>
      <c r="Q11651" s="318"/>
      <c r="R11651" s="318"/>
      <c r="S11651" s="318"/>
      <c r="T11651" s="318"/>
      <c r="U11651" s="318"/>
      <c r="V11651" s="318"/>
      <c r="W11651" s="318"/>
      <c r="X11651" s="318"/>
      <c r="Y11651" s="318"/>
      <c r="Z11651" s="318"/>
      <c r="AA11651" s="318"/>
      <c r="AB11651" s="318"/>
      <c r="AC11651" s="318"/>
      <c r="AD11651" s="318"/>
    </row>
    <row r="11652" spans="2:30" s="323" customFormat="1" ht="12" customHeight="1">
      <c r="B11652" s="324"/>
      <c r="C11652" s="325"/>
      <c r="D11652" s="326"/>
      <c r="E11652" s="326"/>
      <c r="F11652" s="326"/>
      <c r="G11652" s="326"/>
      <c r="H11652" s="326"/>
      <c r="P11652" s="318"/>
      <c r="Q11652" s="318"/>
      <c r="R11652" s="318"/>
      <c r="S11652" s="318"/>
      <c r="T11652" s="318"/>
      <c r="U11652" s="318"/>
      <c r="V11652" s="318"/>
      <c r="W11652" s="318"/>
      <c r="X11652" s="318"/>
      <c r="Y11652" s="318"/>
      <c r="Z11652" s="318"/>
      <c r="AA11652" s="318"/>
      <c r="AB11652" s="318"/>
      <c r="AC11652" s="318"/>
      <c r="AD11652" s="318"/>
    </row>
    <row r="11653" spans="2:30" s="323" customFormat="1" ht="12" customHeight="1">
      <c r="B11653" s="324"/>
      <c r="C11653" s="325"/>
      <c r="D11653" s="326"/>
      <c r="E11653" s="326"/>
      <c r="F11653" s="326"/>
      <c r="G11653" s="326"/>
      <c r="H11653" s="326"/>
      <c r="P11653" s="318"/>
      <c r="Q11653" s="318"/>
      <c r="R11653" s="318"/>
      <c r="S11653" s="318"/>
      <c r="T11653" s="318"/>
      <c r="U11653" s="318"/>
      <c r="V11653" s="318"/>
      <c r="W11653" s="318"/>
      <c r="X11653" s="318"/>
      <c r="Y11653" s="318"/>
      <c r="Z11653" s="318"/>
      <c r="AA11653" s="318"/>
      <c r="AB11653" s="318"/>
      <c r="AC11653" s="318"/>
      <c r="AD11653" s="318"/>
    </row>
    <row r="11654" spans="2:30" s="323" customFormat="1" ht="12" customHeight="1">
      <c r="B11654" s="324"/>
      <c r="C11654" s="325"/>
      <c r="D11654" s="326"/>
      <c r="E11654" s="326"/>
      <c r="F11654" s="326"/>
      <c r="G11654" s="326"/>
      <c r="H11654" s="326"/>
      <c r="P11654" s="318"/>
      <c r="Q11654" s="318"/>
      <c r="R11654" s="318"/>
      <c r="S11654" s="318"/>
      <c r="T11654" s="318"/>
      <c r="U11654" s="318"/>
      <c r="V11654" s="318"/>
      <c r="W11654" s="318"/>
      <c r="X11654" s="318"/>
      <c r="Y11654" s="318"/>
      <c r="Z11654" s="318"/>
      <c r="AA11654" s="318"/>
      <c r="AB11654" s="318"/>
      <c r="AC11654" s="318"/>
      <c r="AD11654" s="318"/>
    </row>
    <row r="11655" spans="2:30" s="323" customFormat="1" ht="12" customHeight="1">
      <c r="B11655" s="324"/>
      <c r="C11655" s="325"/>
      <c r="D11655" s="326"/>
      <c r="E11655" s="326"/>
      <c r="F11655" s="326"/>
      <c r="G11655" s="326"/>
      <c r="H11655" s="326"/>
      <c r="P11655" s="318"/>
      <c r="Q11655" s="318"/>
      <c r="R11655" s="318"/>
      <c r="S11655" s="318"/>
      <c r="T11655" s="318"/>
      <c r="U11655" s="318"/>
      <c r="V11655" s="318"/>
      <c r="W11655" s="318"/>
      <c r="X11655" s="318"/>
      <c r="Y11655" s="318"/>
      <c r="Z11655" s="318"/>
      <c r="AA11655" s="318"/>
      <c r="AB11655" s="318"/>
      <c r="AC11655" s="318"/>
      <c r="AD11655" s="318"/>
    </row>
    <row r="11656" spans="2:30" s="323" customFormat="1" ht="12" customHeight="1">
      <c r="B11656" s="324"/>
      <c r="C11656" s="325"/>
      <c r="D11656" s="326"/>
      <c r="E11656" s="326"/>
      <c r="F11656" s="326"/>
      <c r="G11656" s="326"/>
      <c r="H11656" s="326"/>
      <c r="P11656" s="318"/>
      <c r="Q11656" s="318"/>
      <c r="R11656" s="318"/>
      <c r="S11656" s="318"/>
      <c r="T11656" s="318"/>
      <c r="U11656" s="318"/>
      <c r="V11656" s="318"/>
      <c r="W11656" s="318"/>
      <c r="X11656" s="318"/>
      <c r="Y11656" s="318"/>
      <c r="Z11656" s="318"/>
      <c r="AA11656" s="318"/>
      <c r="AB11656" s="318"/>
      <c r="AC11656" s="318"/>
      <c r="AD11656" s="318"/>
    </row>
    <row r="11657" spans="2:30" s="323" customFormat="1" ht="12" customHeight="1">
      <c r="B11657" s="324"/>
      <c r="C11657" s="325"/>
      <c r="D11657" s="326"/>
      <c r="E11657" s="326"/>
      <c r="F11657" s="326"/>
      <c r="G11657" s="326"/>
      <c r="H11657" s="326"/>
      <c r="P11657" s="318"/>
      <c r="Q11657" s="318"/>
      <c r="R11657" s="318"/>
      <c r="S11657" s="318"/>
      <c r="T11657" s="318"/>
      <c r="U11657" s="318"/>
      <c r="V11657" s="318"/>
      <c r="W11657" s="318"/>
      <c r="X11657" s="318"/>
      <c r="Y11657" s="318"/>
      <c r="Z11657" s="318"/>
      <c r="AA11657" s="318"/>
      <c r="AB11657" s="318"/>
      <c r="AC11657" s="318"/>
      <c r="AD11657" s="318"/>
    </row>
    <row r="11658" spans="2:30" s="323" customFormat="1" ht="12" customHeight="1">
      <c r="B11658" s="324"/>
      <c r="C11658" s="325"/>
      <c r="D11658" s="326"/>
      <c r="E11658" s="326"/>
      <c r="F11658" s="326"/>
      <c r="G11658" s="326"/>
      <c r="H11658" s="326"/>
      <c r="P11658" s="318"/>
      <c r="Q11658" s="318"/>
      <c r="R11658" s="318"/>
      <c r="S11658" s="318"/>
      <c r="T11658" s="318"/>
      <c r="U11658" s="318"/>
      <c r="V11658" s="318"/>
      <c r="W11658" s="318"/>
      <c r="X11658" s="318"/>
      <c r="Y11658" s="318"/>
      <c r="Z11658" s="318"/>
      <c r="AA11658" s="318"/>
      <c r="AB11658" s="318"/>
      <c r="AC11658" s="318"/>
      <c r="AD11658" s="318"/>
    </row>
    <row r="11659" spans="2:30" s="323" customFormat="1" ht="12" customHeight="1">
      <c r="B11659" s="324"/>
      <c r="C11659" s="325"/>
      <c r="D11659" s="326"/>
      <c r="E11659" s="326"/>
      <c r="F11659" s="326"/>
      <c r="G11659" s="326"/>
      <c r="H11659" s="326"/>
      <c r="P11659" s="318"/>
      <c r="Q11659" s="318"/>
      <c r="R11659" s="318"/>
      <c r="S11659" s="318"/>
      <c r="T11659" s="318"/>
      <c r="U11659" s="318"/>
      <c r="V11659" s="318"/>
      <c r="W11659" s="318"/>
      <c r="X11659" s="318"/>
      <c r="Y11659" s="318"/>
      <c r="Z11659" s="318"/>
      <c r="AA11659" s="318"/>
      <c r="AB11659" s="318"/>
      <c r="AC11659" s="318"/>
      <c r="AD11659" s="318"/>
    </row>
    <row r="11660" spans="2:30" s="323" customFormat="1" ht="12" customHeight="1">
      <c r="B11660" s="324"/>
      <c r="C11660" s="325"/>
      <c r="D11660" s="326"/>
      <c r="E11660" s="326"/>
      <c r="F11660" s="326"/>
      <c r="G11660" s="326"/>
      <c r="H11660" s="326"/>
      <c r="P11660" s="318"/>
      <c r="Q11660" s="318"/>
      <c r="R11660" s="318"/>
      <c r="S11660" s="318"/>
      <c r="T11660" s="318"/>
      <c r="U11660" s="318"/>
      <c r="V11660" s="318"/>
      <c r="W11660" s="318"/>
      <c r="X11660" s="318"/>
      <c r="Y11660" s="318"/>
      <c r="Z11660" s="318"/>
      <c r="AA11660" s="318"/>
      <c r="AB11660" s="318"/>
      <c r="AC11660" s="318"/>
      <c r="AD11660" s="318"/>
    </row>
    <row r="11661" spans="2:30" s="323" customFormat="1" ht="12" customHeight="1">
      <c r="B11661" s="324"/>
      <c r="C11661" s="325"/>
      <c r="D11661" s="326"/>
      <c r="E11661" s="326"/>
      <c r="F11661" s="326"/>
      <c r="G11661" s="326"/>
      <c r="H11661" s="326"/>
      <c r="P11661" s="318"/>
      <c r="Q11661" s="318"/>
      <c r="R11661" s="318"/>
      <c r="S11661" s="318"/>
      <c r="T11661" s="318"/>
      <c r="U11661" s="318"/>
      <c r="V11661" s="318"/>
      <c r="W11661" s="318"/>
      <c r="X11661" s="318"/>
      <c r="Y11661" s="318"/>
      <c r="Z11661" s="318"/>
      <c r="AA11661" s="318"/>
      <c r="AB11661" s="318"/>
      <c r="AC11661" s="318"/>
      <c r="AD11661" s="318"/>
    </row>
    <row r="11662" spans="2:30" s="323" customFormat="1" ht="12" customHeight="1">
      <c r="B11662" s="324"/>
      <c r="C11662" s="325"/>
      <c r="D11662" s="326"/>
      <c r="E11662" s="326"/>
      <c r="F11662" s="326"/>
      <c r="G11662" s="326"/>
      <c r="H11662" s="326"/>
      <c r="P11662" s="318"/>
      <c r="Q11662" s="318"/>
      <c r="R11662" s="318"/>
      <c r="S11662" s="318"/>
      <c r="T11662" s="318"/>
      <c r="U11662" s="318"/>
      <c r="V11662" s="318"/>
      <c r="W11662" s="318"/>
      <c r="X11662" s="318"/>
      <c r="Y11662" s="318"/>
      <c r="Z11662" s="318"/>
      <c r="AA11662" s="318"/>
      <c r="AB11662" s="318"/>
      <c r="AC11662" s="318"/>
      <c r="AD11662" s="318"/>
    </row>
    <row r="11663" spans="2:30" s="323" customFormat="1" ht="12" customHeight="1">
      <c r="B11663" s="324"/>
      <c r="C11663" s="325"/>
      <c r="D11663" s="326"/>
      <c r="E11663" s="326"/>
      <c r="F11663" s="326"/>
      <c r="G11663" s="326"/>
      <c r="H11663" s="326"/>
      <c r="P11663" s="318"/>
      <c r="Q11663" s="318"/>
      <c r="R11663" s="318"/>
      <c r="S11663" s="318"/>
      <c r="T11663" s="318"/>
      <c r="U11663" s="318"/>
      <c r="V11663" s="318"/>
      <c r="W11663" s="318"/>
      <c r="X11663" s="318"/>
      <c r="Y11663" s="318"/>
      <c r="Z11663" s="318"/>
      <c r="AA11663" s="318"/>
      <c r="AB11663" s="318"/>
      <c r="AC11663" s="318"/>
      <c r="AD11663" s="318"/>
    </row>
    <row r="11664" spans="2:30" s="323" customFormat="1" ht="12" customHeight="1">
      <c r="B11664" s="324"/>
      <c r="C11664" s="325"/>
      <c r="D11664" s="326"/>
      <c r="E11664" s="326"/>
      <c r="F11664" s="326"/>
      <c r="G11664" s="326"/>
      <c r="H11664" s="326"/>
      <c r="P11664" s="318"/>
      <c r="Q11664" s="318"/>
      <c r="R11664" s="318"/>
      <c r="S11664" s="318"/>
      <c r="T11664" s="318"/>
      <c r="U11664" s="318"/>
      <c r="V11664" s="318"/>
      <c r="W11664" s="318"/>
      <c r="X11664" s="318"/>
      <c r="Y11664" s="318"/>
      <c r="Z11664" s="318"/>
      <c r="AA11664" s="318"/>
      <c r="AB11664" s="318"/>
      <c r="AC11664" s="318"/>
      <c r="AD11664" s="318"/>
    </row>
    <row r="11665" spans="2:30" s="323" customFormat="1" ht="12" customHeight="1">
      <c r="B11665" s="324"/>
      <c r="C11665" s="325"/>
      <c r="D11665" s="326"/>
      <c r="E11665" s="326"/>
      <c r="F11665" s="326"/>
      <c r="G11665" s="326"/>
      <c r="H11665" s="326"/>
      <c r="P11665" s="318"/>
      <c r="Q11665" s="318"/>
      <c r="R11665" s="318"/>
      <c r="S11665" s="318"/>
      <c r="T11665" s="318"/>
      <c r="U11665" s="318"/>
      <c r="V11665" s="318"/>
      <c r="W11665" s="318"/>
      <c r="X11665" s="318"/>
      <c r="Y11665" s="318"/>
      <c r="Z11665" s="318"/>
      <c r="AA11665" s="318"/>
      <c r="AB11665" s="318"/>
      <c r="AC11665" s="318"/>
      <c r="AD11665" s="318"/>
    </row>
    <row r="11666" spans="2:30" s="323" customFormat="1" ht="12" customHeight="1">
      <c r="B11666" s="324"/>
      <c r="C11666" s="325"/>
      <c r="D11666" s="326"/>
      <c r="E11666" s="326"/>
      <c r="F11666" s="326"/>
      <c r="G11666" s="326"/>
      <c r="H11666" s="326"/>
      <c r="P11666" s="318"/>
      <c r="Q11666" s="318"/>
      <c r="R11666" s="318"/>
      <c r="S11666" s="318"/>
      <c r="T11666" s="318"/>
      <c r="U11666" s="318"/>
      <c r="V11666" s="318"/>
      <c r="W11666" s="318"/>
      <c r="X11666" s="318"/>
      <c r="Y11666" s="318"/>
      <c r="Z11666" s="318"/>
      <c r="AA11666" s="318"/>
      <c r="AB11666" s="318"/>
      <c r="AC11666" s="318"/>
      <c r="AD11666" s="318"/>
    </row>
    <row r="11667" spans="2:30" s="323" customFormat="1" ht="12" customHeight="1">
      <c r="B11667" s="324"/>
      <c r="C11667" s="325"/>
      <c r="D11667" s="326"/>
      <c r="E11667" s="326"/>
      <c r="F11667" s="326"/>
      <c r="G11667" s="326"/>
      <c r="H11667" s="326"/>
      <c r="P11667" s="318"/>
      <c r="Q11667" s="318"/>
      <c r="R11667" s="318"/>
      <c r="S11667" s="318"/>
      <c r="T11667" s="318"/>
      <c r="U11667" s="318"/>
      <c r="V11667" s="318"/>
      <c r="W11667" s="318"/>
      <c r="X11667" s="318"/>
      <c r="Y11667" s="318"/>
      <c r="Z11667" s="318"/>
      <c r="AA11667" s="318"/>
      <c r="AB11667" s="318"/>
      <c r="AC11667" s="318"/>
      <c r="AD11667" s="318"/>
    </row>
    <row r="11668" spans="2:30" s="323" customFormat="1" ht="12" customHeight="1">
      <c r="B11668" s="324"/>
      <c r="C11668" s="325"/>
      <c r="D11668" s="326"/>
      <c r="E11668" s="326"/>
      <c r="F11668" s="326"/>
      <c r="G11668" s="326"/>
      <c r="H11668" s="326"/>
      <c r="P11668" s="318"/>
      <c r="Q11668" s="318"/>
      <c r="R11668" s="318"/>
      <c r="S11668" s="318"/>
      <c r="T11668" s="318"/>
      <c r="U11668" s="318"/>
      <c r="V11668" s="318"/>
      <c r="W11668" s="318"/>
      <c r="X11668" s="318"/>
      <c r="Y11668" s="318"/>
      <c r="Z11668" s="318"/>
      <c r="AA11668" s="318"/>
      <c r="AB11668" s="318"/>
      <c r="AC11668" s="318"/>
      <c r="AD11668" s="318"/>
    </row>
    <row r="11669" spans="2:30" s="323" customFormat="1" ht="12" customHeight="1">
      <c r="B11669" s="324"/>
      <c r="C11669" s="325"/>
      <c r="D11669" s="326"/>
      <c r="E11669" s="326"/>
      <c r="F11669" s="326"/>
      <c r="G11669" s="326"/>
      <c r="H11669" s="326"/>
      <c r="P11669" s="318"/>
      <c r="Q11669" s="318"/>
      <c r="R11669" s="318"/>
      <c r="S11669" s="318"/>
      <c r="T11669" s="318"/>
      <c r="U11669" s="318"/>
      <c r="V11669" s="318"/>
      <c r="W11669" s="318"/>
      <c r="X11669" s="318"/>
      <c r="Y11669" s="318"/>
      <c r="Z11669" s="318"/>
      <c r="AA11669" s="318"/>
      <c r="AB11669" s="318"/>
      <c r="AC11669" s="318"/>
      <c r="AD11669" s="318"/>
    </row>
    <row r="11670" spans="2:30" s="323" customFormat="1" ht="12" customHeight="1">
      <c r="B11670" s="324"/>
      <c r="C11670" s="325"/>
      <c r="D11670" s="326"/>
      <c r="E11670" s="326"/>
      <c r="F11670" s="326"/>
      <c r="G11670" s="326"/>
      <c r="H11670" s="326"/>
      <c r="P11670" s="318"/>
      <c r="Q11670" s="318"/>
      <c r="R11670" s="318"/>
      <c r="S11670" s="318"/>
      <c r="T11670" s="318"/>
      <c r="U11670" s="318"/>
      <c r="V11670" s="318"/>
      <c r="W11670" s="318"/>
      <c r="X11670" s="318"/>
      <c r="Y11670" s="318"/>
      <c r="Z11670" s="318"/>
      <c r="AA11670" s="318"/>
      <c r="AB11670" s="318"/>
      <c r="AC11670" s="318"/>
      <c r="AD11670" s="318"/>
    </row>
    <row r="11671" spans="2:30" s="323" customFormat="1" ht="12" customHeight="1">
      <c r="B11671" s="324"/>
      <c r="C11671" s="325"/>
      <c r="D11671" s="326"/>
      <c r="E11671" s="326"/>
      <c r="F11671" s="326"/>
      <c r="G11671" s="326"/>
      <c r="H11671" s="326"/>
      <c r="P11671" s="318"/>
      <c r="Q11671" s="318"/>
      <c r="R11671" s="318"/>
      <c r="S11671" s="318"/>
      <c r="T11671" s="318"/>
      <c r="U11671" s="318"/>
      <c r="V11671" s="318"/>
      <c r="W11671" s="318"/>
      <c r="X11671" s="318"/>
      <c r="Y11671" s="318"/>
      <c r="Z11671" s="318"/>
      <c r="AA11671" s="318"/>
      <c r="AB11671" s="318"/>
      <c r="AC11671" s="318"/>
      <c r="AD11671" s="318"/>
    </row>
    <row r="11672" spans="2:30" s="323" customFormat="1" ht="12" customHeight="1">
      <c r="B11672" s="324"/>
      <c r="C11672" s="325"/>
      <c r="D11672" s="326"/>
      <c r="E11672" s="326"/>
      <c r="F11672" s="326"/>
      <c r="G11672" s="326"/>
      <c r="H11672" s="326"/>
      <c r="P11672" s="318"/>
      <c r="Q11672" s="318"/>
      <c r="R11672" s="318"/>
      <c r="S11672" s="318"/>
      <c r="T11672" s="318"/>
      <c r="U11672" s="318"/>
      <c r="V11672" s="318"/>
      <c r="W11672" s="318"/>
      <c r="X11672" s="318"/>
      <c r="Y11672" s="318"/>
      <c r="Z11672" s="318"/>
      <c r="AA11672" s="318"/>
      <c r="AB11672" s="318"/>
      <c r="AC11672" s="318"/>
      <c r="AD11672" s="318"/>
    </row>
    <row r="11673" spans="2:30" s="323" customFormat="1" ht="12" customHeight="1">
      <c r="B11673" s="324"/>
      <c r="C11673" s="325"/>
      <c r="D11673" s="326"/>
      <c r="E11673" s="326"/>
      <c r="F11673" s="326"/>
      <c r="G11673" s="326"/>
      <c r="H11673" s="326"/>
      <c r="P11673" s="318"/>
      <c r="Q11673" s="318"/>
      <c r="R11673" s="318"/>
      <c r="S11673" s="318"/>
      <c r="T11673" s="318"/>
      <c r="U11673" s="318"/>
      <c r="V11673" s="318"/>
      <c r="W11673" s="318"/>
      <c r="X11673" s="318"/>
      <c r="Y11673" s="318"/>
      <c r="Z11673" s="318"/>
      <c r="AA11673" s="318"/>
      <c r="AB11673" s="318"/>
      <c r="AC11673" s="318"/>
      <c r="AD11673" s="318"/>
    </row>
    <row r="11674" spans="2:30" s="323" customFormat="1" ht="12" customHeight="1">
      <c r="B11674" s="324"/>
      <c r="C11674" s="325"/>
      <c r="D11674" s="326"/>
      <c r="E11674" s="326"/>
      <c r="F11674" s="326"/>
      <c r="G11674" s="326"/>
      <c r="H11674" s="326"/>
      <c r="P11674" s="318"/>
      <c r="Q11674" s="318"/>
      <c r="R11674" s="318"/>
      <c r="S11674" s="318"/>
      <c r="T11674" s="318"/>
      <c r="U11674" s="318"/>
      <c r="V11674" s="318"/>
      <c r="W11674" s="318"/>
      <c r="X11674" s="318"/>
      <c r="Y11674" s="318"/>
      <c r="Z11674" s="318"/>
      <c r="AA11674" s="318"/>
      <c r="AB11674" s="318"/>
      <c r="AC11674" s="318"/>
      <c r="AD11674" s="318"/>
    </row>
    <row r="11675" spans="2:30" s="323" customFormat="1" ht="12" customHeight="1">
      <c r="B11675" s="324"/>
      <c r="C11675" s="325"/>
      <c r="D11675" s="326"/>
      <c r="E11675" s="326"/>
      <c r="F11675" s="326"/>
      <c r="G11675" s="326"/>
      <c r="H11675" s="326"/>
      <c r="P11675" s="318"/>
      <c r="Q11675" s="318"/>
      <c r="R11675" s="318"/>
      <c r="S11675" s="318"/>
      <c r="T11675" s="318"/>
      <c r="U11675" s="318"/>
      <c r="V11675" s="318"/>
      <c r="W11675" s="318"/>
      <c r="X11675" s="318"/>
      <c r="Y11675" s="318"/>
      <c r="Z11675" s="318"/>
      <c r="AA11675" s="318"/>
      <c r="AB11675" s="318"/>
      <c r="AC11675" s="318"/>
      <c r="AD11675" s="318"/>
    </row>
    <row r="11676" spans="2:30" s="323" customFormat="1" ht="12" customHeight="1">
      <c r="B11676" s="324"/>
      <c r="C11676" s="325"/>
      <c r="D11676" s="326"/>
      <c r="E11676" s="326"/>
      <c r="F11676" s="326"/>
      <c r="G11676" s="326"/>
      <c r="H11676" s="326"/>
      <c r="P11676" s="318"/>
      <c r="Q11676" s="318"/>
      <c r="R11676" s="318"/>
      <c r="S11676" s="318"/>
      <c r="T11676" s="318"/>
      <c r="U11676" s="318"/>
      <c r="V11676" s="318"/>
      <c r="W11676" s="318"/>
      <c r="X11676" s="318"/>
      <c r="Y11676" s="318"/>
      <c r="Z11676" s="318"/>
      <c r="AA11676" s="318"/>
      <c r="AB11676" s="318"/>
      <c r="AC11676" s="318"/>
      <c r="AD11676" s="318"/>
    </row>
    <row r="11677" spans="2:30" s="323" customFormat="1" ht="12" customHeight="1">
      <c r="B11677" s="324"/>
      <c r="C11677" s="325"/>
      <c r="D11677" s="326"/>
      <c r="E11677" s="326"/>
      <c r="F11677" s="326"/>
      <c r="G11677" s="326"/>
      <c r="H11677" s="326"/>
      <c r="P11677" s="318"/>
      <c r="Q11677" s="318"/>
      <c r="R11677" s="318"/>
      <c r="S11677" s="318"/>
      <c r="T11677" s="318"/>
      <c r="U11677" s="318"/>
      <c r="V11677" s="318"/>
      <c r="W11677" s="318"/>
      <c r="X11677" s="318"/>
      <c r="Y11677" s="318"/>
      <c r="Z11677" s="318"/>
      <c r="AA11677" s="318"/>
      <c r="AB11677" s="318"/>
      <c r="AC11677" s="318"/>
      <c r="AD11677" s="318"/>
    </row>
    <row r="11678" spans="2:30" s="323" customFormat="1" ht="12" customHeight="1">
      <c r="B11678" s="324"/>
      <c r="C11678" s="325"/>
      <c r="D11678" s="326"/>
      <c r="E11678" s="326"/>
      <c r="F11678" s="326"/>
      <c r="G11678" s="326"/>
      <c r="H11678" s="326"/>
      <c r="P11678" s="318"/>
      <c r="Q11678" s="318"/>
      <c r="R11678" s="318"/>
      <c r="S11678" s="318"/>
      <c r="T11678" s="318"/>
      <c r="U11678" s="318"/>
      <c r="V11678" s="318"/>
      <c r="W11678" s="318"/>
      <c r="X11678" s="318"/>
      <c r="Y11678" s="318"/>
      <c r="Z11678" s="318"/>
      <c r="AA11678" s="318"/>
      <c r="AB11678" s="318"/>
      <c r="AC11678" s="318"/>
      <c r="AD11678" s="318"/>
    </row>
    <row r="11679" spans="2:30" s="323" customFormat="1" ht="12" customHeight="1">
      <c r="B11679" s="324"/>
      <c r="C11679" s="325"/>
      <c r="D11679" s="326"/>
      <c r="E11679" s="326"/>
      <c r="F11679" s="326"/>
      <c r="G11679" s="326"/>
      <c r="H11679" s="326"/>
      <c r="P11679" s="318"/>
      <c r="Q11679" s="318"/>
      <c r="R11679" s="318"/>
      <c r="S11679" s="318"/>
      <c r="T11679" s="318"/>
      <c r="U11679" s="318"/>
      <c r="V11679" s="318"/>
      <c r="W11679" s="318"/>
      <c r="X11679" s="318"/>
      <c r="Y11679" s="318"/>
      <c r="Z11679" s="318"/>
      <c r="AA11679" s="318"/>
      <c r="AB11679" s="318"/>
      <c r="AC11679" s="318"/>
      <c r="AD11679" s="318"/>
    </row>
    <row r="11680" spans="2:30" s="323" customFormat="1" ht="12" customHeight="1">
      <c r="B11680" s="324"/>
      <c r="C11680" s="325"/>
      <c r="D11680" s="326"/>
      <c r="E11680" s="326"/>
      <c r="F11680" s="326"/>
      <c r="G11680" s="326"/>
      <c r="H11680" s="326"/>
      <c r="P11680" s="318"/>
      <c r="Q11680" s="318"/>
      <c r="R11680" s="318"/>
      <c r="S11680" s="318"/>
      <c r="T11680" s="318"/>
      <c r="U11680" s="318"/>
      <c r="V11680" s="318"/>
      <c r="W11680" s="318"/>
      <c r="X11680" s="318"/>
      <c r="Y11680" s="318"/>
      <c r="Z11680" s="318"/>
      <c r="AA11680" s="318"/>
      <c r="AB11680" s="318"/>
      <c r="AC11680" s="318"/>
      <c r="AD11680" s="318"/>
    </row>
    <row r="11681" spans="2:30" s="323" customFormat="1" ht="12" customHeight="1">
      <c r="B11681" s="324"/>
      <c r="C11681" s="325"/>
      <c r="D11681" s="326"/>
      <c r="E11681" s="326"/>
      <c r="F11681" s="326"/>
      <c r="G11681" s="326"/>
      <c r="H11681" s="326"/>
      <c r="P11681" s="318"/>
      <c r="Q11681" s="318"/>
      <c r="R11681" s="318"/>
      <c r="S11681" s="318"/>
      <c r="T11681" s="318"/>
      <c r="U11681" s="318"/>
      <c r="V11681" s="318"/>
      <c r="W11681" s="318"/>
      <c r="X11681" s="318"/>
      <c r="Y11681" s="318"/>
      <c r="Z11681" s="318"/>
      <c r="AA11681" s="318"/>
      <c r="AB11681" s="318"/>
      <c r="AC11681" s="318"/>
      <c r="AD11681" s="318"/>
    </row>
    <row r="11682" spans="2:30" s="323" customFormat="1" ht="12" customHeight="1">
      <c r="B11682" s="324"/>
      <c r="C11682" s="325"/>
      <c r="D11682" s="326"/>
      <c r="E11682" s="326"/>
      <c r="F11682" s="326"/>
      <c r="G11682" s="326"/>
      <c r="H11682" s="326"/>
      <c r="P11682" s="318"/>
      <c r="Q11682" s="318"/>
      <c r="R11682" s="318"/>
      <c r="S11682" s="318"/>
      <c r="T11682" s="318"/>
      <c r="U11682" s="318"/>
      <c r="V11682" s="318"/>
      <c r="W11682" s="318"/>
      <c r="X11682" s="318"/>
      <c r="Y11682" s="318"/>
      <c r="Z11682" s="318"/>
      <c r="AA11682" s="318"/>
      <c r="AB11682" s="318"/>
      <c r="AC11682" s="318"/>
      <c r="AD11682" s="318"/>
    </row>
    <row r="11683" spans="2:30" s="323" customFormat="1" ht="12" customHeight="1">
      <c r="B11683" s="324"/>
      <c r="C11683" s="325"/>
      <c r="D11683" s="326"/>
      <c r="E11683" s="326"/>
      <c r="F11683" s="326"/>
      <c r="G11683" s="326"/>
      <c r="H11683" s="326"/>
      <c r="P11683" s="318"/>
      <c r="Q11683" s="318"/>
      <c r="R11683" s="318"/>
      <c r="S11683" s="318"/>
      <c r="T11683" s="318"/>
      <c r="U11683" s="318"/>
      <c r="V11683" s="318"/>
      <c r="W11683" s="318"/>
      <c r="X11683" s="318"/>
      <c r="Y11683" s="318"/>
      <c r="Z11683" s="318"/>
      <c r="AA11683" s="318"/>
      <c r="AB11683" s="318"/>
      <c r="AC11683" s="318"/>
      <c r="AD11683" s="318"/>
    </row>
    <row r="11684" spans="2:30" s="323" customFormat="1" ht="12" customHeight="1">
      <c r="B11684" s="324"/>
      <c r="C11684" s="325"/>
      <c r="D11684" s="326"/>
      <c r="E11684" s="326"/>
      <c r="F11684" s="326"/>
      <c r="G11684" s="326"/>
      <c r="H11684" s="326"/>
      <c r="P11684" s="318"/>
      <c r="Q11684" s="318"/>
      <c r="R11684" s="318"/>
      <c r="S11684" s="318"/>
      <c r="T11684" s="318"/>
      <c r="U11684" s="318"/>
      <c r="V11684" s="318"/>
      <c r="W11684" s="318"/>
      <c r="X11684" s="318"/>
      <c r="Y11684" s="318"/>
      <c r="Z11684" s="318"/>
      <c r="AA11684" s="318"/>
      <c r="AB11684" s="318"/>
      <c r="AC11684" s="318"/>
      <c r="AD11684" s="318"/>
    </row>
    <row r="11685" spans="2:30" s="323" customFormat="1" ht="12" customHeight="1">
      <c r="B11685" s="324"/>
      <c r="C11685" s="325"/>
      <c r="D11685" s="326"/>
      <c r="E11685" s="326"/>
      <c r="F11685" s="326"/>
      <c r="G11685" s="326"/>
      <c r="H11685" s="326"/>
      <c r="P11685" s="318"/>
      <c r="Q11685" s="318"/>
      <c r="R11685" s="318"/>
      <c r="S11685" s="318"/>
      <c r="T11685" s="318"/>
      <c r="U11685" s="318"/>
      <c r="V11685" s="318"/>
      <c r="W11685" s="318"/>
      <c r="X11685" s="318"/>
      <c r="Y11685" s="318"/>
      <c r="Z11685" s="318"/>
      <c r="AA11685" s="318"/>
      <c r="AB11685" s="318"/>
      <c r="AC11685" s="318"/>
      <c r="AD11685" s="318"/>
    </row>
    <row r="11686" spans="2:30" s="323" customFormat="1" ht="12" customHeight="1">
      <c r="B11686" s="324"/>
      <c r="C11686" s="325"/>
      <c r="D11686" s="326"/>
      <c r="E11686" s="326"/>
      <c r="F11686" s="326"/>
      <c r="G11686" s="326"/>
      <c r="H11686" s="326"/>
      <c r="P11686" s="318"/>
      <c r="Q11686" s="318"/>
      <c r="R11686" s="318"/>
      <c r="S11686" s="318"/>
      <c r="T11686" s="318"/>
      <c r="U11686" s="318"/>
      <c r="V11686" s="318"/>
      <c r="W11686" s="318"/>
      <c r="X11686" s="318"/>
      <c r="Y11686" s="318"/>
      <c r="Z11686" s="318"/>
      <c r="AA11686" s="318"/>
      <c r="AB11686" s="318"/>
      <c r="AC11686" s="318"/>
      <c r="AD11686" s="318"/>
    </row>
    <row r="11687" spans="2:30" s="323" customFormat="1" ht="12" customHeight="1">
      <c r="B11687" s="324"/>
      <c r="C11687" s="325"/>
      <c r="D11687" s="326"/>
      <c r="E11687" s="326"/>
      <c r="F11687" s="326"/>
      <c r="G11687" s="326"/>
      <c r="H11687" s="326"/>
      <c r="P11687" s="318"/>
      <c r="Q11687" s="318"/>
      <c r="R11687" s="318"/>
      <c r="S11687" s="318"/>
      <c r="T11687" s="318"/>
      <c r="U11687" s="318"/>
      <c r="V11687" s="318"/>
      <c r="W11687" s="318"/>
      <c r="X11687" s="318"/>
      <c r="Y11687" s="318"/>
      <c r="Z11687" s="318"/>
      <c r="AA11687" s="318"/>
      <c r="AB11687" s="318"/>
      <c r="AC11687" s="318"/>
      <c r="AD11687" s="318"/>
    </row>
    <row r="11688" spans="2:30" s="323" customFormat="1" ht="12" customHeight="1">
      <c r="B11688" s="324"/>
      <c r="C11688" s="325"/>
      <c r="D11688" s="326"/>
      <c r="E11688" s="326"/>
      <c r="F11688" s="326"/>
      <c r="G11688" s="326"/>
      <c r="H11688" s="326"/>
      <c r="P11688" s="318"/>
      <c r="Q11688" s="318"/>
      <c r="R11688" s="318"/>
      <c r="S11688" s="318"/>
      <c r="T11688" s="318"/>
      <c r="U11688" s="318"/>
      <c r="V11688" s="318"/>
      <c r="W11688" s="318"/>
      <c r="X11688" s="318"/>
      <c r="Y11688" s="318"/>
      <c r="Z11688" s="318"/>
      <c r="AA11688" s="318"/>
      <c r="AB11688" s="318"/>
      <c r="AC11688" s="318"/>
      <c r="AD11688" s="318"/>
    </row>
    <row r="11689" spans="2:30" s="323" customFormat="1" ht="12" customHeight="1">
      <c r="B11689" s="324"/>
      <c r="C11689" s="325"/>
      <c r="D11689" s="326"/>
      <c r="E11689" s="326"/>
      <c r="F11689" s="326"/>
      <c r="G11689" s="326"/>
      <c r="H11689" s="326"/>
      <c r="P11689" s="318"/>
      <c r="Q11689" s="318"/>
      <c r="R11689" s="318"/>
      <c r="S11689" s="318"/>
      <c r="T11689" s="318"/>
      <c r="U11689" s="318"/>
      <c r="V11689" s="318"/>
      <c r="W11689" s="318"/>
      <c r="X11689" s="318"/>
      <c r="Y11689" s="318"/>
      <c r="Z11689" s="318"/>
      <c r="AA11689" s="318"/>
      <c r="AB11689" s="318"/>
      <c r="AC11689" s="318"/>
      <c r="AD11689" s="318"/>
    </row>
    <row r="11690" spans="2:30" s="323" customFormat="1" ht="12" customHeight="1">
      <c r="B11690" s="324"/>
      <c r="C11690" s="325"/>
      <c r="D11690" s="326"/>
      <c r="E11690" s="326"/>
      <c r="F11690" s="326"/>
      <c r="G11690" s="326"/>
      <c r="H11690" s="326"/>
      <c r="P11690" s="318"/>
      <c r="Q11690" s="318"/>
      <c r="R11690" s="318"/>
      <c r="S11690" s="318"/>
      <c r="T11690" s="318"/>
      <c r="U11690" s="318"/>
      <c r="V11690" s="318"/>
      <c r="W11690" s="318"/>
      <c r="X11690" s="318"/>
      <c r="Y11690" s="318"/>
      <c r="Z11690" s="318"/>
      <c r="AA11690" s="318"/>
      <c r="AB11690" s="318"/>
      <c r="AC11690" s="318"/>
      <c r="AD11690" s="318"/>
    </row>
    <row r="11691" spans="2:30" s="323" customFormat="1" ht="12" customHeight="1">
      <c r="B11691" s="324"/>
      <c r="C11691" s="325"/>
      <c r="D11691" s="326"/>
      <c r="E11691" s="326"/>
      <c r="F11691" s="326"/>
      <c r="G11691" s="326"/>
      <c r="H11691" s="326"/>
      <c r="P11691" s="318"/>
      <c r="Q11691" s="318"/>
      <c r="R11691" s="318"/>
      <c r="S11691" s="318"/>
      <c r="T11691" s="318"/>
      <c r="U11691" s="318"/>
      <c r="V11691" s="318"/>
      <c r="W11691" s="318"/>
      <c r="X11691" s="318"/>
      <c r="Y11691" s="318"/>
      <c r="Z11691" s="318"/>
      <c r="AA11691" s="318"/>
      <c r="AB11691" s="318"/>
      <c r="AC11691" s="318"/>
      <c r="AD11691" s="318"/>
    </row>
    <row r="11692" spans="2:30" s="323" customFormat="1" ht="12" customHeight="1">
      <c r="B11692" s="324"/>
      <c r="C11692" s="325"/>
      <c r="D11692" s="326"/>
      <c r="E11692" s="326"/>
      <c r="F11692" s="326"/>
      <c r="G11692" s="326"/>
      <c r="H11692" s="326"/>
      <c r="P11692" s="318"/>
      <c r="Q11692" s="318"/>
      <c r="R11692" s="318"/>
      <c r="S11692" s="318"/>
      <c r="T11692" s="318"/>
      <c r="U11692" s="318"/>
      <c r="V11692" s="318"/>
      <c r="W11692" s="318"/>
      <c r="X11692" s="318"/>
      <c r="Y11692" s="318"/>
      <c r="Z11692" s="318"/>
      <c r="AA11692" s="318"/>
      <c r="AB11692" s="318"/>
      <c r="AC11692" s="318"/>
      <c r="AD11692" s="318"/>
    </row>
    <row r="11693" spans="2:30" s="323" customFormat="1" ht="12" customHeight="1">
      <c r="B11693" s="324"/>
      <c r="C11693" s="325"/>
      <c r="D11693" s="326"/>
      <c r="E11693" s="326"/>
      <c r="F11693" s="326"/>
      <c r="G11693" s="326"/>
      <c r="H11693" s="326"/>
      <c r="P11693" s="318"/>
      <c r="Q11693" s="318"/>
      <c r="R11693" s="318"/>
      <c r="S11693" s="318"/>
      <c r="T11693" s="318"/>
      <c r="U11693" s="318"/>
      <c r="V11693" s="318"/>
      <c r="W11693" s="318"/>
      <c r="X11693" s="318"/>
      <c r="Y11693" s="318"/>
      <c r="Z11693" s="318"/>
      <c r="AA11693" s="318"/>
      <c r="AB11693" s="318"/>
      <c r="AC11693" s="318"/>
      <c r="AD11693" s="318"/>
    </row>
    <row r="11694" spans="2:30" s="323" customFormat="1" ht="12" customHeight="1">
      <c r="B11694" s="324"/>
      <c r="C11694" s="325"/>
      <c r="D11694" s="326"/>
      <c r="E11694" s="326"/>
      <c r="F11694" s="326"/>
      <c r="G11694" s="326"/>
      <c r="H11694" s="326"/>
      <c r="P11694" s="318"/>
      <c r="Q11694" s="318"/>
      <c r="R11694" s="318"/>
      <c r="S11694" s="318"/>
      <c r="T11694" s="318"/>
      <c r="U11694" s="318"/>
      <c r="V11694" s="318"/>
      <c r="W11694" s="318"/>
      <c r="X11694" s="318"/>
      <c r="Y11694" s="318"/>
      <c r="Z11694" s="318"/>
      <c r="AA11694" s="318"/>
      <c r="AB11694" s="318"/>
      <c r="AC11694" s="318"/>
      <c r="AD11694" s="318"/>
    </row>
    <row r="11695" spans="2:30" s="323" customFormat="1" ht="12" customHeight="1">
      <c r="B11695" s="324"/>
      <c r="C11695" s="325"/>
      <c r="D11695" s="326"/>
      <c r="E11695" s="326"/>
      <c r="F11695" s="326"/>
      <c r="G11695" s="326"/>
      <c r="H11695" s="326"/>
      <c r="P11695" s="318"/>
      <c r="Q11695" s="318"/>
      <c r="R11695" s="318"/>
      <c r="S11695" s="318"/>
      <c r="T11695" s="318"/>
      <c r="U11695" s="318"/>
      <c r="V11695" s="318"/>
      <c r="W11695" s="318"/>
      <c r="X11695" s="318"/>
      <c r="Y11695" s="318"/>
      <c r="Z11695" s="318"/>
      <c r="AA11695" s="318"/>
      <c r="AB11695" s="318"/>
      <c r="AC11695" s="318"/>
      <c r="AD11695" s="318"/>
    </row>
    <row r="11696" spans="2:30" s="323" customFormat="1" ht="12" customHeight="1">
      <c r="B11696" s="324"/>
      <c r="C11696" s="325"/>
      <c r="D11696" s="326"/>
      <c r="E11696" s="326"/>
      <c r="F11696" s="326"/>
      <c r="G11696" s="326"/>
      <c r="H11696" s="326"/>
      <c r="P11696" s="318"/>
      <c r="Q11696" s="318"/>
      <c r="R11696" s="318"/>
      <c r="S11696" s="318"/>
      <c r="T11696" s="318"/>
      <c r="U11696" s="318"/>
      <c r="V11696" s="318"/>
      <c r="W11696" s="318"/>
      <c r="X11696" s="318"/>
      <c r="Y11696" s="318"/>
      <c r="Z11696" s="318"/>
      <c r="AA11696" s="318"/>
      <c r="AB11696" s="318"/>
      <c r="AC11696" s="318"/>
      <c r="AD11696" s="318"/>
    </row>
    <row r="11697" spans="2:30" s="323" customFormat="1" ht="12" customHeight="1">
      <c r="B11697" s="324"/>
      <c r="C11697" s="325"/>
      <c r="D11697" s="326"/>
      <c r="E11697" s="326"/>
      <c r="F11697" s="326"/>
      <c r="G11697" s="326"/>
      <c r="H11697" s="326"/>
      <c r="P11697" s="318"/>
      <c r="Q11697" s="318"/>
      <c r="R11697" s="318"/>
      <c r="S11697" s="318"/>
      <c r="T11697" s="318"/>
      <c r="U11697" s="318"/>
      <c r="V11697" s="318"/>
      <c r="W11697" s="318"/>
      <c r="X11697" s="318"/>
      <c r="Y11697" s="318"/>
      <c r="Z11697" s="318"/>
      <c r="AA11697" s="318"/>
      <c r="AB11697" s="318"/>
      <c r="AC11697" s="318"/>
      <c r="AD11697" s="318"/>
    </row>
    <row r="11698" spans="2:30" s="323" customFormat="1" ht="12" customHeight="1">
      <c r="B11698" s="324"/>
      <c r="C11698" s="325"/>
      <c r="D11698" s="326"/>
      <c r="E11698" s="326"/>
      <c r="F11698" s="326"/>
      <c r="G11698" s="326"/>
      <c r="H11698" s="326"/>
      <c r="P11698" s="318"/>
      <c r="Q11698" s="318"/>
      <c r="R11698" s="318"/>
      <c r="S11698" s="318"/>
      <c r="T11698" s="318"/>
      <c r="U11698" s="318"/>
      <c r="V11698" s="318"/>
      <c r="W11698" s="318"/>
      <c r="X11698" s="318"/>
      <c r="Y11698" s="318"/>
      <c r="Z11698" s="318"/>
      <c r="AA11698" s="318"/>
      <c r="AB11698" s="318"/>
      <c r="AC11698" s="318"/>
      <c r="AD11698" s="318"/>
    </row>
    <row r="11699" spans="2:30" s="323" customFormat="1" ht="12" customHeight="1">
      <c r="B11699" s="324"/>
      <c r="C11699" s="325"/>
      <c r="D11699" s="326"/>
      <c r="E11699" s="326"/>
      <c r="F11699" s="326"/>
      <c r="G11699" s="326"/>
      <c r="H11699" s="326"/>
      <c r="P11699" s="318"/>
      <c r="Q11699" s="318"/>
      <c r="R11699" s="318"/>
      <c r="S11699" s="318"/>
      <c r="T11699" s="318"/>
      <c r="U11699" s="318"/>
      <c r="V11699" s="318"/>
      <c r="W11699" s="318"/>
      <c r="X11699" s="318"/>
      <c r="Y11699" s="318"/>
      <c r="Z11699" s="318"/>
      <c r="AA11699" s="318"/>
      <c r="AB11699" s="318"/>
      <c r="AC11699" s="318"/>
      <c r="AD11699" s="318"/>
    </row>
    <row r="11700" spans="2:30" s="323" customFormat="1" ht="12" customHeight="1">
      <c r="B11700" s="324"/>
      <c r="C11700" s="325"/>
      <c r="D11700" s="326"/>
      <c r="E11700" s="326"/>
      <c r="F11700" s="326"/>
      <c r="G11700" s="326"/>
      <c r="H11700" s="326"/>
      <c r="P11700" s="318"/>
      <c r="Q11700" s="318"/>
      <c r="R11700" s="318"/>
      <c r="S11700" s="318"/>
      <c r="T11700" s="318"/>
      <c r="U11700" s="318"/>
      <c r="V11700" s="318"/>
      <c r="W11700" s="318"/>
      <c r="X11700" s="318"/>
      <c r="Y11700" s="318"/>
      <c r="Z11700" s="318"/>
      <c r="AA11700" s="318"/>
      <c r="AB11700" s="318"/>
      <c r="AC11700" s="318"/>
      <c r="AD11700" s="318"/>
    </row>
    <row r="11701" spans="2:30" s="323" customFormat="1" ht="12" customHeight="1">
      <c r="B11701" s="324"/>
      <c r="C11701" s="325"/>
      <c r="D11701" s="326"/>
      <c r="E11701" s="326"/>
      <c r="F11701" s="326"/>
      <c r="G11701" s="326"/>
      <c r="H11701" s="326"/>
      <c r="P11701" s="318"/>
      <c r="Q11701" s="318"/>
      <c r="R11701" s="318"/>
      <c r="S11701" s="318"/>
      <c r="T11701" s="318"/>
      <c r="U11701" s="318"/>
      <c r="V11701" s="318"/>
      <c r="W11701" s="318"/>
      <c r="X11701" s="318"/>
      <c r="Y11701" s="318"/>
      <c r="Z11701" s="318"/>
      <c r="AA11701" s="318"/>
      <c r="AB11701" s="318"/>
      <c r="AC11701" s="318"/>
      <c r="AD11701" s="318"/>
    </row>
    <row r="11702" spans="2:30" s="323" customFormat="1" ht="12" customHeight="1">
      <c r="B11702" s="324"/>
      <c r="C11702" s="325"/>
      <c r="D11702" s="326"/>
      <c r="E11702" s="326"/>
      <c r="F11702" s="326"/>
      <c r="G11702" s="326"/>
      <c r="H11702" s="326"/>
      <c r="P11702" s="318"/>
      <c r="Q11702" s="318"/>
      <c r="R11702" s="318"/>
      <c r="S11702" s="318"/>
      <c r="T11702" s="318"/>
      <c r="U11702" s="318"/>
      <c r="V11702" s="318"/>
      <c r="W11702" s="318"/>
      <c r="X11702" s="318"/>
      <c r="Y11702" s="318"/>
      <c r="Z11702" s="318"/>
      <c r="AA11702" s="318"/>
      <c r="AB11702" s="318"/>
      <c r="AC11702" s="318"/>
      <c r="AD11702" s="318"/>
    </row>
    <row r="11703" spans="2:30" s="323" customFormat="1" ht="12" customHeight="1">
      <c r="B11703" s="324"/>
      <c r="C11703" s="325"/>
      <c r="D11703" s="326"/>
      <c r="E11703" s="326"/>
      <c r="F11703" s="326"/>
      <c r="G11703" s="326"/>
      <c r="H11703" s="326"/>
      <c r="P11703" s="318"/>
      <c r="Q11703" s="318"/>
      <c r="R11703" s="318"/>
      <c r="S11703" s="318"/>
      <c r="T11703" s="318"/>
      <c r="U11703" s="318"/>
      <c r="V11703" s="318"/>
      <c r="W11703" s="318"/>
      <c r="X11703" s="318"/>
      <c r="Y11703" s="318"/>
      <c r="Z11703" s="318"/>
      <c r="AA11703" s="318"/>
      <c r="AB11703" s="318"/>
      <c r="AC11703" s="318"/>
      <c r="AD11703" s="318"/>
    </row>
    <row r="11704" spans="2:30" s="323" customFormat="1" ht="12" customHeight="1">
      <c r="B11704" s="324"/>
      <c r="C11704" s="325"/>
      <c r="D11704" s="326"/>
      <c r="E11704" s="326"/>
      <c r="F11704" s="326"/>
      <c r="G11704" s="326"/>
      <c r="H11704" s="326"/>
      <c r="P11704" s="318"/>
      <c r="Q11704" s="318"/>
      <c r="R11704" s="318"/>
      <c r="S11704" s="318"/>
      <c r="T11704" s="318"/>
      <c r="U11704" s="318"/>
      <c r="V11704" s="318"/>
      <c r="W11704" s="318"/>
      <c r="X11704" s="318"/>
      <c r="Y11704" s="318"/>
      <c r="Z11704" s="318"/>
      <c r="AA11704" s="318"/>
      <c r="AB11704" s="318"/>
      <c r="AC11704" s="318"/>
      <c r="AD11704" s="318"/>
    </row>
    <row r="11705" spans="2:30" s="323" customFormat="1" ht="12" customHeight="1">
      <c r="B11705" s="324"/>
      <c r="C11705" s="325"/>
      <c r="D11705" s="326"/>
      <c r="E11705" s="326"/>
      <c r="F11705" s="326"/>
      <c r="G11705" s="326"/>
      <c r="H11705" s="326"/>
      <c r="P11705" s="318"/>
      <c r="Q11705" s="318"/>
      <c r="R11705" s="318"/>
      <c r="S11705" s="318"/>
      <c r="T11705" s="318"/>
      <c r="U11705" s="318"/>
      <c r="V11705" s="318"/>
      <c r="W11705" s="318"/>
      <c r="X11705" s="318"/>
      <c r="Y11705" s="318"/>
      <c r="Z11705" s="318"/>
      <c r="AA11705" s="318"/>
      <c r="AB11705" s="318"/>
      <c r="AC11705" s="318"/>
      <c r="AD11705" s="318"/>
    </row>
    <row r="11706" spans="2:30" s="323" customFormat="1" ht="12" customHeight="1">
      <c r="B11706" s="324"/>
      <c r="C11706" s="325"/>
      <c r="D11706" s="326"/>
      <c r="E11706" s="326"/>
      <c r="F11706" s="326"/>
      <c r="G11706" s="326"/>
      <c r="H11706" s="326"/>
      <c r="P11706" s="318"/>
      <c r="Q11706" s="318"/>
      <c r="R11706" s="318"/>
      <c r="S11706" s="318"/>
      <c r="T11706" s="318"/>
      <c r="U11706" s="318"/>
      <c r="V11706" s="318"/>
      <c r="W11706" s="318"/>
      <c r="X11706" s="318"/>
      <c r="Y11706" s="318"/>
      <c r="Z11706" s="318"/>
      <c r="AA11706" s="318"/>
      <c r="AB11706" s="318"/>
      <c r="AC11706" s="318"/>
      <c r="AD11706" s="318"/>
    </row>
    <row r="11707" spans="2:30" s="323" customFormat="1" ht="12" customHeight="1">
      <c r="B11707" s="324"/>
      <c r="C11707" s="325"/>
      <c r="D11707" s="326"/>
      <c r="E11707" s="326"/>
      <c r="F11707" s="326"/>
      <c r="G11707" s="326"/>
      <c r="H11707" s="326"/>
      <c r="P11707" s="318"/>
      <c r="Q11707" s="318"/>
      <c r="R11707" s="318"/>
      <c r="S11707" s="318"/>
      <c r="T11707" s="318"/>
      <c r="U11707" s="318"/>
      <c r="V11707" s="318"/>
      <c r="W11707" s="318"/>
      <c r="X11707" s="318"/>
      <c r="Y11707" s="318"/>
      <c r="Z11707" s="318"/>
      <c r="AA11707" s="318"/>
      <c r="AB11707" s="318"/>
      <c r="AC11707" s="318"/>
      <c r="AD11707" s="318"/>
    </row>
    <row r="11708" spans="2:30" s="323" customFormat="1" ht="12" customHeight="1">
      <c r="B11708" s="324"/>
      <c r="C11708" s="325"/>
      <c r="D11708" s="326"/>
      <c r="E11708" s="326"/>
      <c r="F11708" s="326"/>
      <c r="G11708" s="326"/>
      <c r="H11708" s="326"/>
      <c r="P11708" s="318"/>
      <c r="Q11708" s="318"/>
      <c r="R11708" s="318"/>
      <c r="S11708" s="318"/>
      <c r="T11708" s="318"/>
      <c r="U11708" s="318"/>
      <c r="V11708" s="318"/>
      <c r="W11708" s="318"/>
      <c r="X11708" s="318"/>
      <c r="Y11708" s="318"/>
      <c r="Z11708" s="318"/>
      <c r="AA11708" s="318"/>
      <c r="AB11708" s="318"/>
      <c r="AC11708" s="318"/>
      <c r="AD11708" s="318"/>
    </row>
    <row r="11709" spans="2:30" s="323" customFormat="1" ht="12" customHeight="1">
      <c r="B11709" s="324"/>
      <c r="C11709" s="325"/>
      <c r="D11709" s="326"/>
      <c r="E11709" s="326"/>
      <c r="F11709" s="326"/>
      <c r="G11709" s="326"/>
      <c r="H11709" s="326"/>
      <c r="P11709" s="318"/>
      <c r="Q11709" s="318"/>
      <c r="R11709" s="318"/>
      <c r="S11709" s="318"/>
      <c r="T11709" s="318"/>
      <c r="U11709" s="318"/>
      <c r="V11709" s="318"/>
      <c r="W11709" s="318"/>
      <c r="X11709" s="318"/>
      <c r="Y11709" s="318"/>
      <c r="Z11709" s="318"/>
      <c r="AA11709" s="318"/>
      <c r="AB11709" s="318"/>
      <c r="AC11709" s="318"/>
      <c r="AD11709" s="318"/>
    </row>
    <row r="11710" spans="2:30" s="323" customFormat="1" ht="12" customHeight="1">
      <c r="B11710" s="324"/>
      <c r="C11710" s="325"/>
      <c r="D11710" s="326"/>
      <c r="E11710" s="326"/>
      <c r="F11710" s="326"/>
      <c r="G11710" s="326"/>
      <c r="H11710" s="326"/>
      <c r="P11710" s="318"/>
      <c r="Q11710" s="318"/>
      <c r="R11710" s="318"/>
      <c r="S11710" s="318"/>
      <c r="T11710" s="318"/>
      <c r="U11710" s="318"/>
      <c r="V11710" s="318"/>
      <c r="W11710" s="318"/>
      <c r="X11710" s="318"/>
      <c r="Y11710" s="318"/>
      <c r="Z11710" s="318"/>
      <c r="AA11710" s="318"/>
      <c r="AB11710" s="318"/>
      <c r="AC11710" s="318"/>
      <c r="AD11710" s="318"/>
    </row>
    <row r="11711" spans="2:30" s="323" customFormat="1" ht="12" customHeight="1">
      <c r="B11711" s="324"/>
      <c r="C11711" s="325"/>
      <c r="D11711" s="326"/>
      <c r="E11711" s="326"/>
      <c r="F11711" s="326"/>
      <c r="G11711" s="326"/>
      <c r="H11711" s="326"/>
      <c r="P11711" s="318"/>
      <c r="Q11711" s="318"/>
      <c r="R11711" s="318"/>
      <c r="S11711" s="318"/>
      <c r="T11711" s="318"/>
      <c r="U11711" s="318"/>
      <c r="V11711" s="318"/>
      <c r="W11711" s="318"/>
      <c r="X11711" s="318"/>
      <c r="Y11711" s="318"/>
      <c r="Z11711" s="318"/>
      <c r="AA11711" s="318"/>
      <c r="AB11711" s="318"/>
      <c r="AC11711" s="318"/>
      <c r="AD11711" s="318"/>
    </row>
    <row r="11712" spans="2:30" s="323" customFormat="1" ht="12" customHeight="1">
      <c r="B11712" s="324"/>
      <c r="C11712" s="325"/>
      <c r="D11712" s="326"/>
      <c r="E11712" s="326"/>
      <c r="F11712" s="326"/>
      <c r="G11712" s="326"/>
      <c r="H11712" s="326"/>
      <c r="P11712" s="318"/>
      <c r="Q11712" s="318"/>
      <c r="R11712" s="318"/>
      <c r="S11712" s="318"/>
      <c r="T11712" s="318"/>
      <c r="U11712" s="318"/>
      <c r="V11712" s="318"/>
      <c r="W11712" s="318"/>
      <c r="X11712" s="318"/>
      <c r="Y11712" s="318"/>
      <c r="Z11712" s="318"/>
      <c r="AA11712" s="318"/>
      <c r="AB11712" s="318"/>
      <c r="AC11712" s="318"/>
      <c r="AD11712" s="318"/>
    </row>
    <row r="11713" spans="2:30" s="323" customFormat="1" ht="12" customHeight="1">
      <c r="B11713" s="324"/>
      <c r="C11713" s="325"/>
      <c r="D11713" s="326"/>
      <c r="E11713" s="326"/>
      <c r="F11713" s="326"/>
      <c r="G11713" s="326"/>
      <c r="H11713" s="326"/>
      <c r="P11713" s="318"/>
      <c r="Q11713" s="318"/>
      <c r="R11713" s="318"/>
      <c r="S11713" s="318"/>
      <c r="T11713" s="318"/>
      <c r="U11713" s="318"/>
      <c r="V11713" s="318"/>
      <c r="W11713" s="318"/>
      <c r="X11713" s="318"/>
      <c r="Y11713" s="318"/>
      <c r="Z11713" s="318"/>
      <c r="AA11713" s="318"/>
      <c r="AB11713" s="318"/>
      <c r="AC11713" s="318"/>
      <c r="AD11713" s="318"/>
    </row>
    <row r="11714" spans="2:30" s="323" customFormat="1" ht="12" customHeight="1">
      <c r="B11714" s="324"/>
      <c r="C11714" s="325"/>
      <c r="D11714" s="326"/>
      <c r="E11714" s="326"/>
      <c r="F11714" s="326"/>
      <c r="G11714" s="326"/>
      <c r="H11714" s="326"/>
      <c r="P11714" s="318"/>
      <c r="Q11714" s="318"/>
      <c r="R11714" s="318"/>
      <c r="S11714" s="318"/>
      <c r="T11714" s="318"/>
      <c r="U11714" s="318"/>
      <c r="V11714" s="318"/>
      <c r="W11714" s="318"/>
      <c r="X11714" s="318"/>
      <c r="Y11714" s="318"/>
      <c r="Z11714" s="318"/>
      <c r="AA11714" s="318"/>
      <c r="AB11714" s="318"/>
      <c r="AC11714" s="318"/>
      <c r="AD11714" s="318"/>
    </row>
    <row r="11715" spans="2:30" s="323" customFormat="1" ht="12" customHeight="1">
      <c r="B11715" s="324"/>
      <c r="C11715" s="325"/>
      <c r="D11715" s="326"/>
      <c r="E11715" s="326"/>
      <c r="F11715" s="326"/>
      <c r="G11715" s="326"/>
      <c r="H11715" s="326"/>
      <c r="P11715" s="318"/>
      <c r="Q11715" s="318"/>
      <c r="R11715" s="318"/>
      <c r="S11715" s="318"/>
      <c r="T11715" s="318"/>
      <c r="U11715" s="318"/>
      <c r="V11715" s="318"/>
      <c r="W11715" s="318"/>
      <c r="X11715" s="318"/>
      <c r="Y11715" s="318"/>
      <c r="Z11715" s="318"/>
      <c r="AA11715" s="318"/>
      <c r="AB11715" s="318"/>
      <c r="AC11715" s="318"/>
      <c r="AD11715" s="318"/>
    </row>
    <row r="11716" spans="2:30" s="323" customFormat="1" ht="12" customHeight="1">
      <c r="B11716" s="324"/>
      <c r="C11716" s="325"/>
      <c r="D11716" s="326"/>
      <c r="E11716" s="326"/>
      <c r="F11716" s="326"/>
      <c r="G11716" s="326"/>
      <c r="H11716" s="326"/>
      <c r="P11716" s="318"/>
      <c r="Q11716" s="318"/>
      <c r="R11716" s="318"/>
      <c r="S11716" s="318"/>
      <c r="T11716" s="318"/>
      <c r="U11716" s="318"/>
      <c r="V11716" s="318"/>
      <c r="W11716" s="318"/>
      <c r="X11716" s="318"/>
      <c r="Y11716" s="318"/>
      <c r="Z11716" s="318"/>
      <c r="AA11716" s="318"/>
      <c r="AB11716" s="318"/>
      <c r="AC11716" s="318"/>
      <c r="AD11716" s="318"/>
    </row>
    <row r="11717" spans="2:30" s="323" customFormat="1" ht="12" customHeight="1">
      <c r="B11717" s="324"/>
      <c r="C11717" s="325"/>
      <c r="D11717" s="326"/>
      <c r="E11717" s="326"/>
      <c r="F11717" s="326"/>
      <c r="G11717" s="326"/>
      <c r="H11717" s="326"/>
      <c r="P11717" s="318"/>
      <c r="Q11717" s="318"/>
      <c r="R11717" s="318"/>
      <c r="S11717" s="318"/>
      <c r="T11717" s="318"/>
      <c r="U11717" s="318"/>
      <c r="V11717" s="318"/>
      <c r="W11717" s="318"/>
      <c r="X11717" s="318"/>
      <c r="Y11717" s="318"/>
      <c r="Z11717" s="318"/>
      <c r="AA11717" s="318"/>
      <c r="AB11717" s="318"/>
      <c r="AC11717" s="318"/>
      <c r="AD11717" s="318"/>
    </row>
    <row r="11718" spans="2:30" s="323" customFormat="1" ht="12" customHeight="1">
      <c r="B11718" s="324"/>
      <c r="C11718" s="325"/>
      <c r="D11718" s="326"/>
      <c r="E11718" s="326"/>
      <c r="F11718" s="326"/>
      <c r="G11718" s="326"/>
      <c r="H11718" s="326"/>
      <c r="P11718" s="318"/>
      <c r="Q11718" s="318"/>
      <c r="R11718" s="318"/>
      <c r="S11718" s="318"/>
      <c r="T11718" s="318"/>
      <c r="U11718" s="318"/>
      <c r="V11718" s="318"/>
      <c r="W11718" s="318"/>
      <c r="X11718" s="318"/>
      <c r="Y11718" s="318"/>
      <c r="Z11718" s="318"/>
      <c r="AA11718" s="318"/>
      <c r="AB11718" s="318"/>
      <c r="AC11718" s="318"/>
      <c r="AD11718" s="318"/>
    </row>
    <row r="11719" spans="2:30" s="323" customFormat="1" ht="12" customHeight="1">
      <c r="B11719" s="324"/>
      <c r="C11719" s="325"/>
      <c r="D11719" s="326"/>
      <c r="E11719" s="326"/>
      <c r="F11719" s="326"/>
      <c r="G11719" s="326"/>
      <c r="H11719" s="326"/>
      <c r="P11719" s="318"/>
      <c r="Q11719" s="318"/>
      <c r="R11719" s="318"/>
      <c r="S11719" s="318"/>
      <c r="T11719" s="318"/>
      <c r="U11719" s="318"/>
      <c r="V11719" s="318"/>
      <c r="W11719" s="318"/>
      <c r="X11719" s="318"/>
      <c r="Y11719" s="318"/>
      <c r="Z11719" s="318"/>
      <c r="AA11719" s="318"/>
      <c r="AB11719" s="318"/>
      <c r="AC11719" s="318"/>
      <c r="AD11719" s="318"/>
    </row>
    <row r="11720" spans="2:30" s="323" customFormat="1" ht="12" customHeight="1">
      <c r="B11720" s="324"/>
      <c r="C11720" s="325"/>
      <c r="D11720" s="326"/>
      <c r="E11720" s="326"/>
      <c r="F11720" s="326"/>
      <c r="G11720" s="326"/>
      <c r="H11720" s="326"/>
      <c r="P11720" s="318"/>
      <c r="Q11720" s="318"/>
      <c r="R11720" s="318"/>
      <c r="S11720" s="318"/>
      <c r="T11720" s="318"/>
      <c r="U11720" s="318"/>
      <c r="V11720" s="318"/>
      <c r="W11720" s="318"/>
      <c r="X11720" s="318"/>
      <c r="Y11720" s="318"/>
      <c r="Z11720" s="318"/>
      <c r="AA11720" s="318"/>
      <c r="AB11720" s="318"/>
      <c r="AC11720" s="318"/>
      <c r="AD11720" s="318"/>
    </row>
    <row r="11721" spans="2:30" s="323" customFormat="1" ht="12" customHeight="1">
      <c r="B11721" s="324"/>
      <c r="C11721" s="325"/>
      <c r="D11721" s="326"/>
      <c r="E11721" s="326"/>
      <c r="F11721" s="326"/>
      <c r="G11721" s="326"/>
      <c r="H11721" s="326"/>
      <c r="P11721" s="318"/>
      <c r="Q11721" s="318"/>
      <c r="R11721" s="318"/>
      <c r="S11721" s="318"/>
      <c r="T11721" s="318"/>
      <c r="U11721" s="318"/>
      <c r="V11721" s="318"/>
      <c r="W11721" s="318"/>
      <c r="X11721" s="318"/>
      <c r="Y11721" s="318"/>
      <c r="Z11721" s="318"/>
      <c r="AA11721" s="318"/>
      <c r="AB11721" s="318"/>
      <c r="AC11721" s="318"/>
      <c r="AD11721" s="318"/>
    </row>
    <row r="11722" spans="2:30" s="323" customFormat="1" ht="12" customHeight="1">
      <c r="B11722" s="324"/>
      <c r="C11722" s="325"/>
      <c r="D11722" s="326"/>
      <c r="E11722" s="326"/>
      <c r="F11722" s="326"/>
      <c r="G11722" s="326"/>
      <c r="H11722" s="326"/>
      <c r="P11722" s="318"/>
      <c r="Q11722" s="318"/>
      <c r="R11722" s="318"/>
      <c r="S11722" s="318"/>
      <c r="T11722" s="318"/>
      <c r="U11722" s="318"/>
      <c r="V11722" s="318"/>
      <c r="W11722" s="318"/>
      <c r="X11722" s="318"/>
      <c r="Y11722" s="318"/>
      <c r="Z11722" s="318"/>
      <c r="AA11722" s="318"/>
      <c r="AB11722" s="318"/>
      <c r="AC11722" s="318"/>
      <c r="AD11722" s="318"/>
    </row>
    <row r="11723" spans="2:30" s="323" customFormat="1" ht="12" customHeight="1">
      <c r="B11723" s="324"/>
      <c r="C11723" s="325"/>
      <c r="D11723" s="326"/>
      <c r="E11723" s="326"/>
      <c r="F11723" s="326"/>
      <c r="G11723" s="326"/>
      <c r="H11723" s="326"/>
      <c r="P11723" s="318"/>
      <c r="Q11723" s="318"/>
      <c r="R11723" s="318"/>
      <c r="S11723" s="318"/>
      <c r="T11723" s="318"/>
      <c r="U11723" s="318"/>
      <c r="V11723" s="318"/>
      <c r="W11723" s="318"/>
      <c r="X11723" s="318"/>
      <c r="Y11723" s="318"/>
      <c r="Z11723" s="318"/>
      <c r="AA11723" s="318"/>
      <c r="AB11723" s="318"/>
      <c r="AC11723" s="318"/>
      <c r="AD11723" s="318"/>
    </row>
    <row r="11724" spans="2:30" s="323" customFormat="1" ht="12" customHeight="1">
      <c r="B11724" s="324"/>
      <c r="C11724" s="325"/>
      <c r="D11724" s="326"/>
      <c r="E11724" s="326"/>
      <c r="F11724" s="326"/>
      <c r="G11724" s="326"/>
      <c r="H11724" s="326"/>
      <c r="P11724" s="318"/>
      <c r="Q11724" s="318"/>
      <c r="R11724" s="318"/>
      <c r="S11724" s="318"/>
      <c r="T11724" s="318"/>
      <c r="U11724" s="318"/>
      <c r="V11724" s="318"/>
      <c r="W11724" s="318"/>
      <c r="X11724" s="318"/>
      <c r="Y11724" s="318"/>
      <c r="Z11724" s="318"/>
      <c r="AA11724" s="318"/>
      <c r="AB11724" s="318"/>
      <c r="AC11724" s="318"/>
      <c r="AD11724" s="318"/>
    </row>
    <row r="11725" spans="2:30" s="323" customFormat="1" ht="12" customHeight="1">
      <c r="B11725" s="324"/>
      <c r="C11725" s="325"/>
      <c r="D11725" s="326"/>
      <c r="E11725" s="326"/>
      <c r="F11725" s="326"/>
      <c r="G11725" s="326"/>
      <c r="H11725" s="326"/>
      <c r="P11725" s="318"/>
      <c r="Q11725" s="318"/>
      <c r="R11725" s="318"/>
      <c r="S11725" s="318"/>
      <c r="T11725" s="318"/>
      <c r="U11725" s="318"/>
      <c r="V11725" s="318"/>
      <c r="W11725" s="318"/>
      <c r="X11725" s="318"/>
      <c r="Y11725" s="318"/>
      <c r="Z11725" s="318"/>
      <c r="AA11725" s="318"/>
      <c r="AB11725" s="318"/>
      <c r="AC11725" s="318"/>
      <c r="AD11725" s="318"/>
    </row>
    <row r="11726" spans="2:30" s="323" customFormat="1" ht="12" customHeight="1">
      <c r="B11726" s="324"/>
      <c r="C11726" s="325"/>
      <c r="D11726" s="326"/>
      <c r="E11726" s="326"/>
      <c r="F11726" s="326"/>
      <c r="G11726" s="326"/>
      <c r="H11726" s="326"/>
      <c r="P11726" s="318"/>
      <c r="Q11726" s="318"/>
      <c r="R11726" s="318"/>
      <c r="S11726" s="318"/>
      <c r="T11726" s="318"/>
      <c r="U11726" s="318"/>
      <c r="V11726" s="318"/>
      <c r="W11726" s="318"/>
      <c r="X11726" s="318"/>
      <c r="Y11726" s="318"/>
      <c r="Z11726" s="318"/>
      <c r="AA11726" s="318"/>
      <c r="AB11726" s="318"/>
      <c r="AC11726" s="318"/>
      <c r="AD11726" s="318"/>
    </row>
    <row r="11727" spans="2:30" s="323" customFormat="1" ht="12" customHeight="1">
      <c r="B11727" s="324"/>
      <c r="C11727" s="325"/>
      <c r="D11727" s="326"/>
      <c r="E11727" s="326"/>
      <c r="F11727" s="326"/>
      <c r="G11727" s="326"/>
      <c r="H11727" s="326"/>
      <c r="P11727" s="318"/>
      <c r="Q11727" s="318"/>
      <c r="R11727" s="318"/>
      <c r="S11727" s="318"/>
      <c r="T11727" s="318"/>
      <c r="U11727" s="318"/>
      <c r="V11727" s="318"/>
      <c r="W11727" s="318"/>
      <c r="X11727" s="318"/>
      <c r="Y11727" s="318"/>
      <c r="Z11727" s="318"/>
      <c r="AA11727" s="318"/>
      <c r="AB11727" s="318"/>
      <c r="AC11727" s="318"/>
      <c r="AD11727" s="318"/>
    </row>
    <row r="11728" spans="2:30" s="323" customFormat="1" ht="12" customHeight="1">
      <c r="B11728" s="324"/>
      <c r="C11728" s="325"/>
      <c r="D11728" s="326"/>
      <c r="E11728" s="326"/>
      <c r="F11728" s="326"/>
      <c r="G11728" s="326"/>
      <c r="H11728" s="326"/>
      <c r="P11728" s="318"/>
      <c r="Q11728" s="318"/>
      <c r="R11728" s="318"/>
      <c r="S11728" s="318"/>
      <c r="T11728" s="318"/>
      <c r="U11728" s="318"/>
      <c r="V11728" s="318"/>
      <c r="W11728" s="318"/>
      <c r="X11728" s="318"/>
      <c r="Y11728" s="318"/>
      <c r="Z11728" s="318"/>
      <c r="AA11728" s="318"/>
      <c r="AB11728" s="318"/>
      <c r="AC11728" s="318"/>
      <c r="AD11728" s="318"/>
    </row>
    <row r="11729" spans="2:30" s="323" customFormat="1" ht="12" customHeight="1">
      <c r="B11729" s="324"/>
      <c r="C11729" s="325"/>
      <c r="D11729" s="326"/>
      <c r="E11729" s="326"/>
      <c r="F11729" s="326"/>
      <c r="G11729" s="326"/>
      <c r="H11729" s="326"/>
      <c r="P11729" s="318"/>
      <c r="Q11729" s="318"/>
      <c r="R11729" s="318"/>
      <c r="S11729" s="318"/>
      <c r="T11729" s="318"/>
      <c r="U11729" s="318"/>
      <c r="V11729" s="318"/>
      <c r="W11729" s="318"/>
      <c r="X11729" s="318"/>
      <c r="Y11729" s="318"/>
      <c r="Z11729" s="318"/>
      <c r="AA11729" s="318"/>
      <c r="AB11729" s="318"/>
      <c r="AC11729" s="318"/>
      <c r="AD11729" s="318"/>
    </row>
    <row r="11730" spans="2:30" s="323" customFormat="1" ht="12" customHeight="1">
      <c r="B11730" s="324"/>
      <c r="C11730" s="325"/>
      <c r="D11730" s="326"/>
      <c r="E11730" s="326"/>
      <c r="F11730" s="326"/>
      <c r="G11730" s="326"/>
      <c r="H11730" s="326"/>
      <c r="P11730" s="318"/>
      <c r="Q11730" s="318"/>
      <c r="R11730" s="318"/>
      <c r="S11730" s="318"/>
      <c r="T11730" s="318"/>
      <c r="U11730" s="318"/>
      <c r="V11730" s="318"/>
      <c r="W11730" s="318"/>
      <c r="X11730" s="318"/>
      <c r="Y11730" s="318"/>
      <c r="Z11730" s="318"/>
      <c r="AA11730" s="318"/>
      <c r="AB11730" s="318"/>
      <c r="AC11730" s="318"/>
      <c r="AD11730" s="318"/>
    </row>
    <row r="11731" spans="2:30" s="323" customFormat="1" ht="12" customHeight="1">
      <c r="B11731" s="324"/>
      <c r="C11731" s="325"/>
      <c r="D11731" s="326"/>
      <c r="E11731" s="326"/>
      <c r="F11731" s="326"/>
      <c r="G11731" s="326"/>
      <c r="H11731" s="326"/>
      <c r="P11731" s="318"/>
      <c r="Q11731" s="318"/>
      <c r="R11731" s="318"/>
      <c r="S11731" s="318"/>
      <c r="T11731" s="318"/>
      <c r="U11731" s="318"/>
      <c r="V11731" s="318"/>
      <c r="W11731" s="318"/>
      <c r="X11731" s="318"/>
      <c r="Y11731" s="318"/>
      <c r="Z11731" s="318"/>
      <c r="AA11731" s="318"/>
      <c r="AB11731" s="318"/>
      <c r="AC11731" s="318"/>
      <c r="AD11731" s="318"/>
    </row>
    <row r="11732" spans="2:30" s="323" customFormat="1" ht="12" customHeight="1">
      <c r="B11732" s="324"/>
      <c r="C11732" s="325"/>
      <c r="D11732" s="326"/>
      <c r="E11732" s="326"/>
      <c r="F11732" s="326"/>
      <c r="G11732" s="326"/>
      <c r="H11732" s="326"/>
      <c r="P11732" s="318"/>
      <c r="Q11732" s="318"/>
      <c r="R11732" s="318"/>
      <c r="S11732" s="318"/>
      <c r="T11732" s="318"/>
      <c r="U11732" s="318"/>
      <c r="V11732" s="318"/>
      <c r="W11732" s="318"/>
      <c r="X11732" s="318"/>
      <c r="Y11732" s="318"/>
      <c r="Z11732" s="318"/>
      <c r="AA11732" s="318"/>
      <c r="AB11732" s="318"/>
      <c r="AC11732" s="318"/>
      <c r="AD11732" s="318"/>
    </row>
    <row r="11733" spans="2:30" s="323" customFormat="1" ht="12" customHeight="1">
      <c r="B11733" s="324"/>
      <c r="C11733" s="325"/>
      <c r="D11733" s="326"/>
      <c r="E11733" s="326"/>
      <c r="F11733" s="326"/>
      <c r="G11733" s="326"/>
      <c r="H11733" s="326"/>
      <c r="P11733" s="318"/>
      <c r="Q11733" s="318"/>
      <c r="R11733" s="318"/>
      <c r="S11733" s="318"/>
      <c r="T11733" s="318"/>
      <c r="U11733" s="318"/>
      <c r="V11733" s="318"/>
      <c r="W11733" s="318"/>
      <c r="X11733" s="318"/>
      <c r="Y11733" s="318"/>
      <c r="Z11733" s="318"/>
      <c r="AA11733" s="318"/>
      <c r="AB11733" s="318"/>
      <c r="AC11733" s="318"/>
      <c r="AD11733" s="318"/>
    </row>
    <row r="11734" spans="2:30" s="323" customFormat="1" ht="12" customHeight="1">
      <c r="B11734" s="324"/>
      <c r="C11734" s="325"/>
      <c r="D11734" s="326"/>
      <c r="E11734" s="326"/>
      <c r="F11734" s="326"/>
      <c r="G11734" s="326"/>
      <c r="H11734" s="326"/>
      <c r="P11734" s="318"/>
      <c r="Q11734" s="318"/>
      <c r="R11734" s="318"/>
      <c r="S11734" s="318"/>
      <c r="T11734" s="318"/>
      <c r="U11734" s="318"/>
      <c r="V11734" s="318"/>
      <c r="W11734" s="318"/>
      <c r="X11734" s="318"/>
      <c r="Y11734" s="318"/>
      <c r="Z11734" s="318"/>
      <c r="AA11734" s="318"/>
      <c r="AB11734" s="318"/>
      <c r="AC11734" s="318"/>
      <c r="AD11734" s="318"/>
    </row>
    <row r="11735" spans="2:30" s="323" customFormat="1" ht="12" customHeight="1">
      <c r="B11735" s="324"/>
      <c r="C11735" s="325"/>
      <c r="D11735" s="326"/>
      <c r="E11735" s="326"/>
      <c r="F11735" s="326"/>
      <c r="G11735" s="326"/>
      <c r="H11735" s="326"/>
      <c r="P11735" s="318"/>
      <c r="Q11735" s="318"/>
      <c r="R11735" s="318"/>
      <c r="S11735" s="318"/>
      <c r="T11735" s="318"/>
      <c r="U11735" s="318"/>
      <c r="V11735" s="318"/>
      <c r="W11735" s="318"/>
      <c r="X11735" s="318"/>
      <c r="Y11735" s="318"/>
      <c r="Z11735" s="318"/>
      <c r="AA11735" s="318"/>
      <c r="AB11735" s="318"/>
      <c r="AC11735" s="318"/>
      <c r="AD11735" s="318"/>
    </row>
    <row r="11736" spans="2:30" s="323" customFormat="1" ht="12" customHeight="1">
      <c r="B11736" s="324"/>
      <c r="C11736" s="325"/>
      <c r="D11736" s="326"/>
      <c r="E11736" s="326"/>
      <c r="F11736" s="326"/>
      <c r="G11736" s="326"/>
      <c r="H11736" s="326"/>
      <c r="P11736" s="318"/>
      <c r="Q11736" s="318"/>
      <c r="R11736" s="318"/>
      <c r="S11736" s="318"/>
      <c r="T11736" s="318"/>
      <c r="U11736" s="318"/>
      <c r="V11736" s="318"/>
      <c r="W11736" s="318"/>
      <c r="X11736" s="318"/>
      <c r="Y11736" s="318"/>
      <c r="Z11736" s="318"/>
      <c r="AA11736" s="318"/>
      <c r="AB11736" s="318"/>
      <c r="AC11736" s="318"/>
      <c r="AD11736" s="318"/>
    </row>
    <row r="11737" spans="2:30" s="323" customFormat="1" ht="12" customHeight="1">
      <c r="B11737" s="324"/>
      <c r="C11737" s="325"/>
      <c r="D11737" s="326"/>
      <c r="E11737" s="326"/>
      <c r="F11737" s="326"/>
      <c r="G11737" s="326"/>
      <c r="H11737" s="326"/>
      <c r="P11737" s="318"/>
      <c r="Q11737" s="318"/>
      <c r="R11737" s="318"/>
      <c r="S11737" s="318"/>
      <c r="T11737" s="318"/>
      <c r="U11737" s="318"/>
      <c r="V11737" s="318"/>
      <c r="W11737" s="318"/>
      <c r="X11737" s="318"/>
      <c r="Y11737" s="318"/>
      <c r="Z11737" s="318"/>
      <c r="AA11737" s="318"/>
      <c r="AB11737" s="318"/>
      <c r="AC11737" s="318"/>
      <c r="AD11737" s="318"/>
    </row>
    <row r="11738" spans="2:30" s="323" customFormat="1" ht="12" customHeight="1">
      <c r="B11738" s="324"/>
      <c r="C11738" s="325"/>
      <c r="D11738" s="326"/>
      <c r="E11738" s="326"/>
      <c r="F11738" s="326"/>
      <c r="G11738" s="326"/>
      <c r="H11738" s="326"/>
      <c r="P11738" s="318"/>
      <c r="Q11738" s="318"/>
      <c r="R11738" s="318"/>
      <c r="S11738" s="318"/>
      <c r="T11738" s="318"/>
      <c r="U11738" s="318"/>
      <c r="V11738" s="318"/>
      <c r="W11738" s="318"/>
      <c r="X11738" s="318"/>
      <c r="Y11738" s="318"/>
      <c r="Z11738" s="318"/>
      <c r="AA11738" s="318"/>
      <c r="AB11738" s="318"/>
      <c r="AC11738" s="318"/>
      <c r="AD11738" s="318"/>
    </row>
    <row r="11739" spans="2:30" s="323" customFormat="1" ht="12" customHeight="1">
      <c r="B11739" s="324"/>
      <c r="C11739" s="325"/>
      <c r="D11739" s="326"/>
      <c r="E11739" s="326"/>
      <c r="F11739" s="326"/>
      <c r="G11739" s="326"/>
      <c r="H11739" s="326"/>
      <c r="P11739" s="318"/>
      <c r="Q11739" s="318"/>
      <c r="R11739" s="318"/>
      <c r="S11739" s="318"/>
      <c r="T11739" s="318"/>
      <c r="U11739" s="318"/>
      <c r="V11739" s="318"/>
      <c r="W11739" s="318"/>
      <c r="X11739" s="318"/>
      <c r="Y11739" s="318"/>
      <c r="Z11739" s="318"/>
      <c r="AA11739" s="318"/>
      <c r="AB11739" s="318"/>
      <c r="AC11739" s="318"/>
      <c r="AD11739" s="318"/>
    </row>
    <row r="11740" spans="2:30" s="323" customFormat="1" ht="12" customHeight="1">
      <c r="B11740" s="324"/>
      <c r="C11740" s="325"/>
      <c r="D11740" s="326"/>
      <c r="E11740" s="326"/>
      <c r="F11740" s="326"/>
      <c r="G11740" s="326"/>
      <c r="H11740" s="326"/>
      <c r="P11740" s="318"/>
      <c r="Q11740" s="318"/>
      <c r="R11740" s="318"/>
      <c r="S11740" s="318"/>
      <c r="T11740" s="318"/>
      <c r="U11740" s="318"/>
      <c r="V11740" s="318"/>
      <c r="W11740" s="318"/>
      <c r="X11740" s="318"/>
      <c r="Y11740" s="318"/>
      <c r="Z11740" s="318"/>
      <c r="AA11740" s="318"/>
      <c r="AB11740" s="318"/>
      <c r="AC11740" s="318"/>
      <c r="AD11740" s="318"/>
    </row>
    <row r="11741" spans="2:30" s="323" customFormat="1" ht="12" customHeight="1">
      <c r="B11741" s="324"/>
      <c r="C11741" s="325"/>
      <c r="D11741" s="326"/>
      <c r="E11741" s="326"/>
      <c r="F11741" s="326"/>
      <c r="G11741" s="326"/>
      <c r="H11741" s="326"/>
      <c r="P11741" s="318"/>
      <c r="Q11741" s="318"/>
      <c r="R11741" s="318"/>
      <c r="S11741" s="318"/>
      <c r="T11741" s="318"/>
      <c r="U11741" s="318"/>
      <c r="V11741" s="318"/>
      <c r="W11741" s="318"/>
      <c r="X11741" s="318"/>
      <c r="Y11741" s="318"/>
      <c r="Z11741" s="318"/>
      <c r="AA11741" s="318"/>
      <c r="AB11741" s="318"/>
      <c r="AC11741" s="318"/>
      <c r="AD11741" s="318"/>
    </row>
    <row r="11742" spans="2:30" s="323" customFormat="1" ht="12" customHeight="1">
      <c r="B11742" s="324"/>
      <c r="C11742" s="325"/>
      <c r="D11742" s="326"/>
      <c r="E11742" s="326"/>
      <c r="F11742" s="326"/>
      <c r="G11742" s="326"/>
      <c r="H11742" s="326"/>
      <c r="P11742" s="318"/>
      <c r="Q11742" s="318"/>
      <c r="R11742" s="318"/>
      <c r="S11742" s="318"/>
      <c r="T11742" s="318"/>
      <c r="U11742" s="318"/>
      <c r="V11742" s="318"/>
      <c r="W11742" s="318"/>
      <c r="X11742" s="318"/>
      <c r="Y11742" s="318"/>
      <c r="Z11742" s="318"/>
      <c r="AA11742" s="318"/>
      <c r="AB11742" s="318"/>
      <c r="AC11742" s="318"/>
      <c r="AD11742" s="318"/>
    </row>
    <row r="11743" spans="2:30" s="323" customFormat="1" ht="12" customHeight="1">
      <c r="B11743" s="324"/>
      <c r="C11743" s="325"/>
      <c r="D11743" s="326"/>
      <c r="E11743" s="326"/>
      <c r="F11743" s="326"/>
      <c r="G11743" s="326"/>
      <c r="H11743" s="326"/>
      <c r="P11743" s="318"/>
      <c r="Q11743" s="318"/>
      <c r="R11743" s="318"/>
      <c r="S11743" s="318"/>
      <c r="T11743" s="318"/>
      <c r="U11743" s="318"/>
      <c r="V11743" s="318"/>
      <c r="W11743" s="318"/>
      <c r="X11743" s="318"/>
      <c r="Y11743" s="318"/>
      <c r="Z11743" s="318"/>
      <c r="AA11743" s="318"/>
      <c r="AB11743" s="318"/>
      <c r="AC11743" s="318"/>
      <c r="AD11743" s="318"/>
    </row>
    <row r="11744" spans="2:30" s="323" customFormat="1" ht="12" customHeight="1">
      <c r="B11744" s="324"/>
      <c r="C11744" s="325"/>
      <c r="D11744" s="326"/>
      <c r="E11744" s="326"/>
      <c r="F11744" s="326"/>
      <c r="G11744" s="326"/>
      <c r="H11744" s="326"/>
      <c r="P11744" s="318"/>
      <c r="Q11744" s="318"/>
      <c r="R11744" s="318"/>
      <c r="S11744" s="318"/>
      <c r="T11744" s="318"/>
      <c r="U11744" s="318"/>
      <c r="V11744" s="318"/>
      <c r="W11744" s="318"/>
      <c r="X11744" s="318"/>
      <c r="Y11744" s="318"/>
      <c r="Z11744" s="318"/>
      <c r="AA11744" s="318"/>
      <c r="AB11744" s="318"/>
      <c r="AC11744" s="318"/>
      <c r="AD11744" s="318"/>
    </row>
    <row r="11745" spans="2:30" s="323" customFormat="1" ht="12" customHeight="1">
      <c r="B11745" s="324"/>
      <c r="C11745" s="325"/>
      <c r="D11745" s="326"/>
      <c r="E11745" s="326"/>
      <c r="F11745" s="326"/>
      <c r="G11745" s="326"/>
      <c r="H11745" s="326"/>
      <c r="P11745" s="318"/>
      <c r="Q11745" s="318"/>
      <c r="R11745" s="318"/>
      <c r="S11745" s="318"/>
      <c r="T11745" s="318"/>
      <c r="U11745" s="318"/>
      <c r="V11745" s="318"/>
      <c r="W11745" s="318"/>
      <c r="X11745" s="318"/>
      <c r="Y11745" s="318"/>
      <c r="Z11745" s="318"/>
      <c r="AA11745" s="318"/>
      <c r="AB11745" s="318"/>
      <c r="AC11745" s="318"/>
      <c r="AD11745" s="318"/>
    </row>
    <row r="11746" spans="2:30" s="323" customFormat="1" ht="12" customHeight="1">
      <c r="B11746" s="324"/>
      <c r="C11746" s="325"/>
      <c r="D11746" s="326"/>
      <c r="E11746" s="326"/>
      <c r="F11746" s="326"/>
      <c r="G11746" s="326"/>
      <c r="H11746" s="326"/>
      <c r="P11746" s="318"/>
      <c r="Q11746" s="318"/>
      <c r="R11746" s="318"/>
      <c r="S11746" s="318"/>
      <c r="T11746" s="318"/>
      <c r="U11746" s="318"/>
      <c r="V11746" s="318"/>
      <c r="W11746" s="318"/>
      <c r="X11746" s="318"/>
      <c r="Y11746" s="318"/>
      <c r="Z11746" s="318"/>
      <c r="AA11746" s="318"/>
      <c r="AB11746" s="318"/>
      <c r="AC11746" s="318"/>
      <c r="AD11746" s="318"/>
    </row>
    <row r="11747" spans="2:30" s="323" customFormat="1" ht="12" customHeight="1">
      <c r="B11747" s="324"/>
      <c r="C11747" s="325"/>
      <c r="D11747" s="326"/>
      <c r="E11747" s="326"/>
      <c r="F11747" s="326"/>
      <c r="G11747" s="326"/>
      <c r="H11747" s="326"/>
      <c r="P11747" s="318"/>
      <c r="Q11747" s="318"/>
      <c r="R11747" s="318"/>
      <c r="S11747" s="318"/>
      <c r="T11747" s="318"/>
      <c r="U11747" s="318"/>
      <c r="V11747" s="318"/>
      <c r="W11747" s="318"/>
      <c r="X11747" s="318"/>
      <c r="Y11747" s="318"/>
      <c r="Z11747" s="318"/>
      <c r="AA11747" s="318"/>
      <c r="AB11747" s="318"/>
      <c r="AC11747" s="318"/>
      <c r="AD11747" s="318"/>
    </row>
    <row r="11748" spans="2:30" s="323" customFormat="1" ht="12" customHeight="1">
      <c r="B11748" s="324"/>
      <c r="C11748" s="325"/>
      <c r="D11748" s="326"/>
      <c r="E11748" s="326"/>
      <c r="F11748" s="326"/>
      <c r="G11748" s="326"/>
      <c r="H11748" s="326"/>
      <c r="P11748" s="318"/>
      <c r="Q11748" s="318"/>
      <c r="R11748" s="318"/>
      <c r="S11748" s="318"/>
      <c r="T11748" s="318"/>
      <c r="U11748" s="318"/>
      <c r="V11748" s="318"/>
      <c r="W11748" s="318"/>
      <c r="X11748" s="318"/>
      <c r="Y11748" s="318"/>
      <c r="Z11748" s="318"/>
      <c r="AA11748" s="318"/>
      <c r="AB11748" s="318"/>
      <c r="AC11748" s="318"/>
      <c r="AD11748" s="318"/>
    </row>
    <row r="11749" spans="2:30" s="323" customFormat="1" ht="12" customHeight="1">
      <c r="B11749" s="324"/>
      <c r="C11749" s="325"/>
      <c r="D11749" s="326"/>
      <c r="E11749" s="326"/>
      <c r="F11749" s="326"/>
      <c r="G11749" s="326"/>
      <c r="H11749" s="326"/>
      <c r="P11749" s="318"/>
      <c r="Q11749" s="318"/>
      <c r="R11749" s="318"/>
      <c r="S11749" s="318"/>
      <c r="T11749" s="318"/>
      <c r="U11749" s="318"/>
      <c r="V11749" s="318"/>
      <c r="W11749" s="318"/>
      <c r="X11749" s="318"/>
      <c r="Y11749" s="318"/>
      <c r="Z11749" s="318"/>
      <c r="AA11749" s="318"/>
      <c r="AB11749" s="318"/>
      <c r="AC11749" s="318"/>
      <c r="AD11749" s="318"/>
    </row>
    <row r="11750" spans="2:30" s="323" customFormat="1" ht="12" customHeight="1">
      <c r="B11750" s="324"/>
      <c r="C11750" s="325"/>
      <c r="D11750" s="326"/>
      <c r="E11750" s="326"/>
      <c r="F11750" s="326"/>
      <c r="G11750" s="326"/>
      <c r="H11750" s="326"/>
      <c r="P11750" s="318"/>
      <c r="Q11750" s="318"/>
      <c r="R11750" s="318"/>
      <c r="S11750" s="318"/>
      <c r="T11750" s="318"/>
      <c r="U11750" s="318"/>
      <c r="V11750" s="318"/>
      <c r="W11750" s="318"/>
      <c r="X11750" s="318"/>
      <c r="Y11750" s="318"/>
      <c r="Z11750" s="318"/>
      <c r="AA11750" s="318"/>
      <c r="AB11750" s="318"/>
      <c r="AC11750" s="318"/>
      <c r="AD11750" s="318"/>
    </row>
    <row r="11751" spans="2:30" s="323" customFormat="1" ht="12" customHeight="1">
      <c r="B11751" s="324"/>
      <c r="C11751" s="325"/>
      <c r="D11751" s="326"/>
      <c r="E11751" s="326"/>
      <c r="F11751" s="326"/>
      <c r="G11751" s="326"/>
      <c r="H11751" s="326"/>
      <c r="P11751" s="318"/>
      <c r="Q11751" s="318"/>
      <c r="R11751" s="318"/>
      <c r="S11751" s="318"/>
      <c r="T11751" s="318"/>
      <c r="U11751" s="318"/>
      <c r="V11751" s="318"/>
      <c r="W11751" s="318"/>
      <c r="X11751" s="318"/>
      <c r="Y11751" s="318"/>
      <c r="Z11751" s="318"/>
      <c r="AA11751" s="318"/>
      <c r="AB11751" s="318"/>
      <c r="AC11751" s="318"/>
      <c r="AD11751" s="318"/>
    </row>
    <row r="11752" spans="2:30" s="323" customFormat="1" ht="12" customHeight="1">
      <c r="B11752" s="324"/>
      <c r="C11752" s="325"/>
      <c r="D11752" s="326"/>
      <c r="E11752" s="326"/>
      <c r="F11752" s="326"/>
      <c r="G11752" s="326"/>
      <c r="H11752" s="326"/>
      <c r="P11752" s="318"/>
      <c r="Q11752" s="318"/>
      <c r="R11752" s="318"/>
      <c r="S11752" s="318"/>
      <c r="T11752" s="318"/>
      <c r="U11752" s="318"/>
      <c r="V11752" s="318"/>
      <c r="W11752" s="318"/>
      <c r="X11752" s="318"/>
      <c r="Y11752" s="318"/>
      <c r="Z11752" s="318"/>
      <c r="AA11752" s="318"/>
      <c r="AB11752" s="318"/>
      <c r="AC11752" s="318"/>
      <c r="AD11752" s="318"/>
    </row>
    <row r="11753" spans="2:30" s="323" customFormat="1" ht="12" customHeight="1">
      <c r="B11753" s="324"/>
      <c r="C11753" s="325"/>
      <c r="D11753" s="326"/>
      <c r="E11753" s="326"/>
      <c r="F11753" s="326"/>
      <c r="G11753" s="326"/>
      <c r="H11753" s="326"/>
      <c r="P11753" s="318"/>
      <c r="Q11753" s="318"/>
      <c r="R11753" s="318"/>
      <c r="S11753" s="318"/>
      <c r="T11753" s="318"/>
      <c r="U11753" s="318"/>
      <c r="V11753" s="318"/>
      <c r="W11753" s="318"/>
      <c r="X11753" s="318"/>
      <c r="Y11753" s="318"/>
      <c r="Z11753" s="318"/>
      <c r="AA11753" s="318"/>
      <c r="AB11753" s="318"/>
      <c r="AC11753" s="318"/>
      <c r="AD11753" s="318"/>
    </row>
    <row r="11754" spans="2:30" s="323" customFormat="1" ht="12" customHeight="1">
      <c r="B11754" s="324"/>
      <c r="C11754" s="325"/>
      <c r="D11754" s="326"/>
      <c r="E11754" s="326"/>
      <c r="F11754" s="326"/>
      <c r="G11754" s="326"/>
      <c r="H11754" s="326"/>
      <c r="P11754" s="318"/>
      <c r="Q11754" s="318"/>
      <c r="R11754" s="318"/>
      <c r="S11754" s="318"/>
      <c r="T11754" s="318"/>
      <c r="U11754" s="318"/>
      <c r="V11754" s="318"/>
      <c r="W11754" s="318"/>
      <c r="X11754" s="318"/>
      <c r="Y11754" s="318"/>
      <c r="Z11754" s="318"/>
      <c r="AA11754" s="318"/>
      <c r="AB11754" s="318"/>
      <c r="AC11754" s="318"/>
      <c r="AD11754" s="318"/>
    </row>
    <row r="11755" spans="2:30" s="323" customFormat="1" ht="12" customHeight="1">
      <c r="B11755" s="324"/>
      <c r="C11755" s="325"/>
      <c r="D11755" s="326"/>
      <c r="E11755" s="326"/>
      <c r="F11755" s="326"/>
      <c r="G11755" s="326"/>
      <c r="H11755" s="326"/>
      <c r="P11755" s="318"/>
      <c r="Q11755" s="318"/>
      <c r="R11755" s="318"/>
      <c r="S11755" s="318"/>
      <c r="T11755" s="318"/>
      <c r="U11755" s="318"/>
      <c r="V11755" s="318"/>
      <c r="W11755" s="318"/>
      <c r="X11755" s="318"/>
      <c r="Y11755" s="318"/>
      <c r="Z11755" s="318"/>
      <c r="AA11755" s="318"/>
      <c r="AB11755" s="318"/>
      <c r="AC11755" s="318"/>
      <c r="AD11755" s="318"/>
    </row>
    <row r="11756" spans="2:30" s="323" customFormat="1" ht="12" customHeight="1">
      <c r="B11756" s="324"/>
      <c r="C11756" s="325"/>
      <c r="D11756" s="326"/>
      <c r="E11756" s="326"/>
      <c r="F11756" s="326"/>
      <c r="G11756" s="326"/>
      <c r="H11756" s="326"/>
      <c r="P11756" s="318"/>
      <c r="Q11756" s="318"/>
      <c r="R11756" s="318"/>
      <c r="S11756" s="318"/>
      <c r="T11756" s="318"/>
      <c r="U11756" s="318"/>
      <c r="V11756" s="318"/>
      <c r="W11756" s="318"/>
      <c r="X11756" s="318"/>
      <c r="Y11756" s="318"/>
      <c r="Z11756" s="318"/>
      <c r="AA11756" s="318"/>
      <c r="AB11756" s="318"/>
      <c r="AC11756" s="318"/>
      <c r="AD11756" s="318"/>
    </row>
    <row r="11757" spans="2:30" s="323" customFormat="1" ht="12" customHeight="1">
      <c r="B11757" s="324"/>
      <c r="C11757" s="325"/>
      <c r="D11757" s="326"/>
      <c r="E11757" s="326"/>
      <c r="F11757" s="326"/>
      <c r="G11757" s="326"/>
      <c r="H11757" s="326"/>
      <c r="P11757" s="318"/>
      <c r="Q11757" s="318"/>
      <c r="R11757" s="318"/>
      <c r="S11757" s="318"/>
      <c r="T11757" s="318"/>
      <c r="U11757" s="318"/>
      <c r="V11757" s="318"/>
      <c r="W11757" s="318"/>
      <c r="X11757" s="318"/>
      <c r="Y11757" s="318"/>
      <c r="Z11757" s="318"/>
      <c r="AA11757" s="318"/>
      <c r="AB11757" s="318"/>
      <c r="AC11757" s="318"/>
      <c r="AD11757" s="318"/>
    </row>
    <row r="11758" spans="2:30" s="323" customFormat="1" ht="12" customHeight="1">
      <c r="B11758" s="324"/>
      <c r="C11758" s="325"/>
      <c r="D11758" s="326"/>
      <c r="E11758" s="326"/>
      <c r="F11758" s="326"/>
      <c r="G11758" s="326"/>
      <c r="H11758" s="326"/>
      <c r="P11758" s="318"/>
      <c r="Q11758" s="318"/>
      <c r="R11758" s="318"/>
      <c r="S11758" s="318"/>
      <c r="T11758" s="318"/>
      <c r="U11758" s="318"/>
      <c r="V11758" s="318"/>
      <c r="W11758" s="318"/>
      <c r="X11758" s="318"/>
      <c r="Y11758" s="318"/>
      <c r="Z11758" s="318"/>
      <c r="AA11758" s="318"/>
      <c r="AB11758" s="318"/>
      <c r="AC11758" s="318"/>
      <c r="AD11758" s="318"/>
    </row>
    <row r="11759" spans="2:30" s="323" customFormat="1" ht="12" customHeight="1">
      <c r="B11759" s="324"/>
      <c r="C11759" s="325"/>
      <c r="D11759" s="326"/>
      <c r="E11759" s="326"/>
      <c r="F11759" s="326"/>
      <c r="G11759" s="326"/>
      <c r="H11759" s="326"/>
      <c r="P11759" s="318"/>
      <c r="Q11759" s="318"/>
      <c r="R11759" s="318"/>
      <c r="S11759" s="318"/>
      <c r="T11759" s="318"/>
      <c r="U11759" s="318"/>
      <c r="V11759" s="318"/>
      <c r="W11759" s="318"/>
      <c r="X11759" s="318"/>
      <c r="Y11759" s="318"/>
      <c r="Z11759" s="318"/>
      <c r="AA11759" s="318"/>
      <c r="AB11759" s="318"/>
      <c r="AC11759" s="318"/>
      <c r="AD11759" s="318"/>
    </row>
    <row r="11760" spans="2:30" s="323" customFormat="1" ht="12" customHeight="1">
      <c r="B11760" s="324"/>
      <c r="C11760" s="325"/>
      <c r="D11760" s="326"/>
      <c r="E11760" s="326"/>
      <c r="F11760" s="326"/>
      <c r="G11760" s="326"/>
      <c r="H11760" s="326"/>
      <c r="P11760" s="318"/>
      <c r="Q11760" s="318"/>
      <c r="R11760" s="318"/>
      <c r="S11760" s="318"/>
      <c r="T11760" s="318"/>
      <c r="U11760" s="318"/>
      <c r="V11760" s="318"/>
      <c r="W11760" s="318"/>
      <c r="X11760" s="318"/>
      <c r="Y11760" s="318"/>
      <c r="Z11760" s="318"/>
      <c r="AA11760" s="318"/>
      <c r="AB11760" s="318"/>
      <c r="AC11760" s="318"/>
      <c r="AD11760" s="318"/>
    </row>
    <row r="11761" spans="2:30" s="323" customFormat="1" ht="12" customHeight="1">
      <c r="B11761" s="324"/>
      <c r="C11761" s="325"/>
      <c r="D11761" s="326"/>
      <c r="E11761" s="326"/>
      <c r="F11761" s="326"/>
      <c r="G11761" s="326"/>
      <c r="H11761" s="326"/>
      <c r="P11761" s="318"/>
      <c r="Q11761" s="318"/>
      <c r="R11761" s="318"/>
      <c r="S11761" s="318"/>
      <c r="T11761" s="318"/>
      <c r="U11761" s="318"/>
      <c r="V11761" s="318"/>
      <c r="W11761" s="318"/>
      <c r="X11761" s="318"/>
      <c r="Y11761" s="318"/>
      <c r="Z11761" s="318"/>
      <c r="AA11761" s="318"/>
      <c r="AB11761" s="318"/>
      <c r="AC11761" s="318"/>
      <c r="AD11761" s="318"/>
    </row>
    <row r="11762" spans="2:30" s="323" customFormat="1" ht="12" customHeight="1">
      <c r="B11762" s="324"/>
      <c r="C11762" s="325"/>
      <c r="D11762" s="326"/>
      <c r="E11762" s="326"/>
      <c r="F11762" s="326"/>
      <c r="G11762" s="326"/>
      <c r="H11762" s="326"/>
      <c r="P11762" s="318"/>
      <c r="Q11762" s="318"/>
      <c r="R11762" s="318"/>
      <c r="S11762" s="318"/>
      <c r="T11762" s="318"/>
      <c r="U11762" s="318"/>
      <c r="V11762" s="318"/>
      <c r="W11762" s="318"/>
      <c r="X11762" s="318"/>
      <c r="Y11762" s="318"/>
      <c r="Z11762" s="318"/>
      <c r="AA11762" s="318"/>
      <c r="AB11762" s="318"/>
      <c r="AC11762" s="318"/>
      <c r="AD11762" s="318"/>
    </row>
    <row r="11763" spans="2:30" s="323" customFormat="1" ht="12" customHeight="1">
      <c r="B11763" s="324"/>
      <c r="C11763" s="325"/>
      <c r="D11763" s="326"/>
      <c r="E11763" s="326"/>
      <c r="F11763" s="326"/>
      <c r="G11763" s="326"/>
      <c r="H11763" s="326"/>
      <c r="P11763" s="318"/>
      <c r="Q11763" s="318"/>
      <c r="R11763" s="318"/>
      <c r="S11763" s="318"/>
      <c r="T11763" s="318"/>
      <c r="U11763" s="318"/>
      <c r="V11763" s="318"/>
      <c r="W11763" s="318"/>
      <c r="X11763" s="318"/>
      <c r="Y11763" s="318"/>
      <c r="Z11763" s="318"/>
      <c r="AA11763" s="318"/>
      <c r="AB11763" s="318"/>
      <c r="AC11763" s="318"/>
      <c r="AD11763" s="318"/>
    </row>
    <row r="11764" spans="2:30" s="323" customFormat="1" ht="12" customHeight="1">
      <c r="B11764" s="324"/>
      <c r="C11764" s="325"/>
      <c r="D11764" s="326"/>
      <c r="E11764" s="326"/>
      <c r="F11764" s="326"/>
      <c r="G11764" s="326"/>
      <c r="H11764" s="326"/>
      <c r="P11764" s="318"/>
      <c r="Q11764" s="318"/>
      <c r="R11764" s="318"/>
      <c r="S11764" s="318"/>
      <c r="T11764" s="318"/>
      <c r="U11764" s="318"/>
      <c r="V11764" s="318"/>
      <c r="W11764" s="318"/>
      <c r="X11764" s="318"/>
      <c r="Y11764" s="318"/>
      <c r="Z11764" s="318"/>
      <c r="AA11764" s="318"/>
      <c r="AB11764" s="318"/>
      <c r="AC11764" s="318"/>
      <c r="AD11764" s="318"/>
    </row>
    <row r="11765" spans="2:30" s="323" customFormat="1" ht="12" customHeight="1">
      <c r="B11765" s="324"/>
      <c r="C11765" s="325"/>
      <c r="D11765" s="326"/>
      <c r="E11765" s="326"/>
      <c r="F11765" s="326"/>
      <c r="G11765" s="326"/>
      <c r="H11765" s="326"/>
      <c r="P11765" s="318"/>
      <c r="Q11765" s="318"/>
      <c r="R11765" s="318"/>
      <c r="S11765" s="318"/>
      <c r="T11765" s="318"/>
      <c r="U11765" s="318"/>
      <c r="V11765" s="318"/>
      <c r="W11765" s="318"/>
      <c r="X11765" s="318"/>
      <c r="Y11765" s="318"/>
      <c r="Z11765" s="318"/>
      <c r="AA11765" s="318"/>
      <c r="AB11765" s="318"/>
      <c r="AC11765" s="318"/>
      <c r="AD11765" s="318"/>
    </row>
    <row r="11766" spans="2:30" s="323" customFormat="1" ht="12" customHeight="1">
      <c r="B11766" s="324"/>
      <c r="C11766" s="325"/>
      <c r="D11766" s="326"/>
      <c r="E11766" s="326"/>
      <c r="F11766" s="326"/>
      <c r="G11766" s="326"/>
      <c r="H11766" s="326"/>
      <c r="P11766" s="318"/>
      <c r="Q11766" s="318"/>
      <c r="R11766" s="318"/>
      <c r="S11766" s="318"/>
      <c r="T11766" s="318"/>
      <c r="U11766" s="318"/>
      <c r="V11766" s="318"/>
      <c r="W11766" s="318"/>
      <c r="X11766" s="318"/>
      <c r="Y11766" s="318"/>
      <c r="Z11766" s="318"/>
      <c r="AA11766" s="318"/>
      <c r="AB11766" s="318"/>
      <c r="AC11766" s="318"/>
      <c r="AD11766" s="318"/>
    </row>
    <row r="11767" spans="2:30" s="323" customFormat="1" ht="12" customHeight="1">
      <c r="B11767" s="324"/>
      <c r="C11767" s="325"/>
      <c r="D11767" s="326"/>
      <c r="E11767" s="326"/>
      <c r="F11767" s="326"/>
      <c r="G11767" s="326"/>
      <c r="H11767" s="326"/>
      <c r="P11767" s="318"/>
      <c r="Q11767" s="318"/>
      <c r="R11767" s="318"/>
      <c r="S11767" s="318"/>
      <c r="T11767" s="318"/>
      <c r="U11767" s="318"/>
      <c r="V11767" s="318"/>
      <c r="W11767" s="318"/>
      <c r="X11767" s="318"/>
      <c r="Y11767" s="318"/>
      <c r="Z11767" s="318"/>
      <c r="AA11767" s="318"/>
      <c r="AB11767" s="318"/>
      <c r="AC11767" s="318"/>
      <c r="AD11767" s="318"/>
    </row>
    <row r="11768" spans="2:30" s="323" customFormat="1" ht="12" customHeight="1">
      <c r="B11768" s="324"/>
      <c r="C11768" s="325"/>
      <c r="D11768" s="326"/>
      <c r="E11768" s="326"/>
      <c r="F11768" s="326"/>
      <c r="G11768" s="326"/>
      <c r="H11768" s="326"/>
      <c r="P11768" s="318"/>
      <c r="Q11768" s="318"/>
      <c r="R11768" s="318"/>
      <c r="S11768" s="318"/>
      <c r="T11768" s="318"/>
      <c r="U11768" s="318"/>
      <c r="V11768" s="318"/>
      <c r="W11768" s="318"/>
      <c r="X11768" s="318"/>
      <c r="Y11768" s="318"/>
      <c r="Z11768" s="318"/>
      <c r="AA11768" s="318"/>
      <c r="AB11768" s="318"/>
      <c r="AC11768" s="318"/>
      <c r="AD11768" s="318"/>
    </row>
    <row r="11769" spans="2:30" s="323" customFormat="1" ht="12" customHeight="1">
      <c r="B11769" s="324"/>
      <c r="C11769" s="325"/>
      <c r="D11769" s="326"/>
      <c r="E11769" s="326"/>
      <c r="F11769" s="326"/>
      <c r="G11769" s="326"/>
      <c r="H11769" s="326"/>
      <c r="P11769" s="318"/>
      <c r="Q11769" s="318"/>
      <c r="R11769" s="318"/>
      <c r="S11769" s="318"/>
      <c r="T11769" s="318"/>
      <c r="U11769" s="318"/>
      <c r="V11769" s="318"/>
      <c r="W11769" s="318"/>
      <c r="X11769" s="318"/>
      <c r="Y11769" s="318"/>
      <c r="Z11769" s="318"/>
      <c r="AA11769" s="318"/>
      <c r="AB11769" s="318"/>
      <c r="AC11769" s="318"/>
      <c r="AD11769" s="318"/>
    </row>
    <row r="11770" spans="2:30" s="323" customFormat="1" ht="12" customHeight="1">
      <c r="B11770" s="324"/>
      <c r="C11770" s="325"/>
      <c r="D11770" s="326"/>
      <c r="E11770" s="326"/>
      <c r="F11770" s="326"/>
      <c r="G11770" s="326"/>
      <c r="H11770" s="326"/>
      <c r="P11770" s="318"/>
      <c r="Q11770" s="318"/>
      <c r="R11770" s="318"/>
      <c r="S11770" s="318"/>
      <c r="T11770" s="318"/>
      <c r="U11770" s="318"/>
      <c r="V11770" s="318"/>
      <c r="W11770" s="318"/>
      <c r="X11770" s="318"/>
      <c r="Y11770" s="318"/>
      <c r="Z11770" s="318"/>
      <c r="AA11770" s="318"/>
      <c r="AB11770" s="318"/>
      <c r="AC11770" s="318"/>
      <c r="AD11770" s="318"/>
    </row>
    <row r="11771" spans="2:30" s="323" customFormat="1" ht="12" customHeight="1">
      <c r="B11771" s="324"/>
      <c r="C11771" s="325"/>
      <c r="D11771" s="326"/>
      <c r="E11771" s="326"/>
      <c r="F11771" s="326"/>
      <c r="G11771" s="326"/>
      <c r="H11771" s="326"/>
      <c r="P11771" s="318"/>
      <c r="Q11771" s="318"/>
      <c r="R11771" s="318"/>
      <c r="S11771" s="318"/>
      <c r="T11771" s="318"/>
      <c r="U11771" s="318"/>
      <c r="V11771" s="318"/>
      <c r="W11771" s="318"/>
      <c r="X11771" s="318"/>
      <c r="Y11771" s="318"/>
      <c r="Z11771" s="318"/>
      <c r="AA11771" s="318"/>
      <c r="AB11771" s="318"/>
      <c r="AC11771" s="318"/>
      <c r="AD11771" s="318"/>
    </row>
    <row r="11772" spans="2:30" s="323" customFormat="1" ht="12" customHeight="1">
      <c r="B11772" s="324"/>
      <c r="C11772" s="325"/>
      <c r="D11772" s="326"/>
      <c r="E11772" s="326"/>
      <c r="F11772" s="326"/>
      <c r="G11772" s="326"/>
      <c r="H11772" s="326"/>
      <c r="P11772" s="318"/>
      <c r="Q11772" s="318"/>
      <c r="R11772" s="318"/>
      <c r="S11772" s="318"/>
      <c r="T11772" s="318"/>
      <c r="U11772" s="318"/>
      <c r="V11772" s="318"/>
      <c r="W11772" s="318"/>
      <c r="X11772" s="318"/>
      <c r="Y11772" s="318"/>
      <c r="Z11772" s="318"/>
      <c r="AA11772" s="318"/>
      <c r="AB11772" s="318"/>
      <c r="AC11772" s="318"/>
      <c r="AD11772" s="318"/>
    </row>
    <row r="11773" spans="2:30" s="323" customFormat="1" ht="12" customHeight="1">
      <c r="B11773" s="324"/>
      <c r="C11773" s="325"/>
      <c r="D11773" s="326"/>
      <c r="E11773" s="326"/>
      <c r="F11773" s="326"/>
      <c r="G11773" s="326"/>
      <c r="H11773" s="326"/>
      <c r="P11773" s="318"/>
      <c r="Q11773" s="318"/>
      <c r="R11773" s="318"/>
      <c r="S11773" s="318"/>
      <c r="T11773" s="318"/>
      <c r="U11773" s="318"/>
      <c r="V11773" s="318"/>
      <c r="W11773" s="318"/>
      <c r="X11773" s="318"/>
      <c r="Y11773" s="318"/>
      <c r="Z11773" s="318"/>
      <c r="AA11773" s="318"/>
      <c r="AB11773" s="318"/>
      <c r="AC11773" s="318"/>
      <c r="AD11773" s="318"/>
    </row>
    <row r="11774" spans="2:30" s="323" customFormat="1" ht="12" customHeight="1">
      <c r="B11774" s="324"/>
      <c r="C11774" s="325"/>
      <c r="D11774" s="326"/>
      <c r="E11774" s="326"/>
      <c r="F11774" s="326"/>
      <c r="G11774" s="326"/>
      <c r="H11774" s="326"/>
      <c r="P11774" s="318"/>
      <c r="Q11774" s="318"/>
      <c r="R11774" s="318"/>
      <c r="S11774" s="318"/>
      <c r="T11774" s="318"/>
      <c r="U11774" s="318"/>
      <c r="V11774" s="318"/>
      <c r="W11774" s="318"/>
      <c r="X11774" s="318"/>
      <c r="Y11774" s="318"/>
      <c r="Z11774" s="318"/>
      <c r="AA11774" s="318"/>
      <c r="AB11774" s="318"/>
      <c r="AC11774" s="318"/>
      <c r="AD11774" s="318"/>
    </row>
    <row r="11775" spans="2:30" s="323" customFormat="1" ht="12" customHeight="1">
      <c r="B11775" s="324"/>
      <c r="C11775" s="325"/>
      <c r="D11775" s="326"/>
      <c r="E11775" s="326"/>
      <c r="F11775" s="326"/>
      <c r="G11775" s="326"/>
      <c r="H11775" s="326"/>
      <c r="P11775" s="318"/>
      <c r="Q11775" s="318"/>
      <c r="R11775" s="318"/>
      <c r="S11775" s="318"/>
      <c r="T11775" s="318"/>
      <c r="U11775" s="318"/>
      <c r="V11775" s="318"/>
      <c r="W11775" s="318"/>
      <c r="X11775" s="318"/>
      <c r="Y11775" s="318"/>
      <c r="Z11775" s="318"/>
      <c r="AA11775" s="318"/>
      <c r="AB11775" s="318"/>
      <c r="AC11775" s="318"/>
      <c r="AD11775" s="318"/>
    </row>
    <row r="11776" spans="2:30" s="323" customFormat="1" ht="12" customHeight="1">
      <c r="B11776" s="324"/>
      <c r="C11776" s="325"/>
      <c r="D11776" s="326"/>
      <c r="E11776" s="326"/>
      <c r="F11776" s="326"/>
      <c r="G11776" s="326"/>
      <c r="H11776" s="326"/>
      <c r="P11776" s="318"/>
      <c r="Q11776" s="318"/>
      <c r="R11776" s="318"/>
      <c r="S11776" s="318"/>
      <c r="T11776" s="318"/>
      <c r="U11776" s="318"/>
      <c r="V11776" s="318"/>
      <c r="W11776" s="318"/>
      <c r="X11776" s="318"/>
      <c r="Y11776" s="318"/>
      <c r="Z11776" s="318"/>
      <c r="AA11776" s="318"/>
      <c r="AB11776" s="318"/>
      <c r="AC11776" s="318"/>
      <c r="AD11776" s="318"/>
    </row>
    <row r="11777" spans="2:30" s="323" customFormat="1" ht="12" customHeight="1">
      <c r="B11777" s="324"/>
      <c r="C11777" s="325"/>
      <c r="D11777" s="326"/>
      <c r="E11777" s="326"/>
      <c r="F11777" s="326"/>
      <c r="G11777" s="326"/>
      <c r="H11777" s="326"/>
      <c r="P11777" s="318"/>
      <c r="Q11777" s="318"/>
      <c r="R11777" s="318"/>
      <c r="S11777" s="318"/>
      <c r="T11777" s="318"/>
      <c r="U11777" s="318"/>
      <c r="V11777" s="318"/>
      <c r="W11777" s="318"/>
      <c r="X11777" s="318"/>
      <c r="Y11777" s="318"/>
      <c r="Z11777" s="318"/>
      <c r="AA11777" s="318"/>
      <c r="AB11777" s="318"/>
      <c r="AC11777" s="318"/>
      <c r="AD11777" s="318"/>
    </row>
    <row r="11778" spans="2:30" s="323" customFormat="1" ht="12" customHeight="1">
      <c r="B11778" s="324"/>
      <c r="C11778" s="325"/>
      <c r="D11778" s="326"/>
      <c r="E11778" s="326"/>
      <c r="F11778" s="326"/>
      <c r="G11778" s="326"/>
      <c r="H11778" s="326"/>
      <c r="P11778" s="318"/>
      <c r="Q11778" s="318"/>
      <c r="R11778" s="318"/>
      <c r="S11778" s="318"/>
      <c r="T11778" s="318"/>
      <c r="U11778" s="318"/>
      <c r="V11778" s="318"/>
      <c r="W11778" s="318"/>
      <c r="X11778" s="318"/>
      <c r="Y11778" s="318"/>
      <c r="Z11778" s="318"/>
      <c r="AA11778" s="318"/>
      <c r="AB11778" s="318"/>
      <c r="AC11778" s="318"/>
      <c r="AD11778" s="318"/>
    </row>
    <row r="11779" spans="2:30" s="323" customFormat="1" ht="12" customHeight="1">
      <c r="B11779" s="324"/>
      <c r="C11779" s="325"/>
      <c r="D11779" s="326"/>
      <c r="E11779" s="326"/>
      <c r="F11779" s="326"/>
      <c r="G11779" s="326"/>
      <c r="H11779" s="326"/>
      <c r="P11779" s="318"/>
      <c r="Q11779" s="318"/>
      <c r="R11779" s="318"/>
      <c r="S11779" s="318"/>
      <c r="T11779" s="318"/>
      <c r="U11779" s="318"/>
      <c r="V11779" s="318"/>
      <c r="W11779" s="318"/>
      <c r="X11779" s="318"/>
      <c r="Y11779" s="318"/>
      <c r="Z11779" s="318"/>
      <c r="AA11779" s="318"/>
      <c r="AB11779" s="318"/>
      <c r="AC11779" s="318"/>
      <c r="AD11779" s="318"/>
    </row>
    <row r="11780" spans="2:30" s="323" customFormat="1" ht="12" customHeight="1">
      <c r="B11780" s="324"/>
      <c r="C11780" s="325"/>
      <c r="D11780" s="326"/>
      <c r="E11780" s="326"/>
      <c r="F11780" s="326"/>
      <c r="G11780" s="326"/>
      <c r="H11780" s="326"/>
      <c r="P11780" s="318"/>
      <c r="Q11780" s="318"/>
      <c r="R11780" s="318"/>
      <c r="S11780" s="318"/>
      <c r="T11780" s="318"/>
      <c r="U11780" s="318"/>
      <c r="V11780" s="318"/>
      <c r="W11780" s="318"/>
      <c r="X11780" s="318"/>
      <c r="Y11780" s="318"/>
      <c r="Z11780" s="318"/>
      <c r="AA11780" s="318"/>
      <c r="AB11780" s="318"/>
      <c r="AC11780" s="318"/>
      <c r="AD11780" s="318"/>
    </row>
    <row r="11781" spans="2:30" s="323" customFormat="1" ht="12" customHeight="1">
      <c r="B11781" s="324"/>
      <c r="C11781" s="325"/>
      <c r="D11781" s="326"/>
      <c r="E11781" s="326"/>
      <c r="F11781" s="326"/>
      <c r="G11781" s="326"/>
      <c r="H11781" s="326"/>
      <c r="P11781" s="318"/>
      <c r="Q11781" s="318"/>
      <c r="R11781" s="318"/>
      <c r="S11781" s="318"/>
      <c r="T11781" s="318"/>
      <c r="U11781" s="318"/>
      <c r="V11781" s="318"/>
      <c r="W11781" s="318"/>
      <c r="X11781" s="318"/>
      <c r="Y11781" s="318"/>
      <c r="Z11781" s="318"/>
      <c r="AA11781" s="318"/>
      <c r="AB11781" s="318"/>
      <c r="AC11781" s="318"/>
      <c r="AD11781" s="318"/>
    </row>
    <row r="11782" spans="2:30" s="323" customFormat="1" ht="12" customHeight="1">
      <c r="B11782" s="324"/>
      <c r="C11782" s="325"/>
      <c r="D11782" s="326"/>
      <c r="E11782" s="326"/>
      <c r="F11782" s="326"/>
      <c r="G11782" s="326"/>
      <c r="H11782" s="326"/>
      <c r="P11782" s="318"/>
      <c r="Q11782" s="318"/>
      <c r="R11782" s="318"/>
      <c r="S11782" s="318"/>
      <c r="T11782" s="318"/>
      <c r="U11782" s="318"/>
      <c r="V11782" s="318"/>
      <c r="W11782" s="318"/>
      <c r="X11782" s="318"/>
      <c r="Y11782" s="318"/>
      <c r="Z11782" s="318"/>
      <c r="AA11782" s="318"/>
      <c r="AB11782" s="318"/>
      <c r="AC11782" s="318"/>
      <c r="AD11782" s="318"/>
    </row>
    <row r="11783" spans="2:30" s="323" customFormat="1" ht="12" customHeight="1">
      <c r="B11783" s="324"/>
      <c r="C11783" s="325"/>
      <c r="D11783" s="326"/>
      <c r="E11783" s="326"/>
      <c r="F11783" s="326"/>
      <c r="G11783" s="326"/>
      <c r="H11783" s="326"/>
      <c r="P11783" s="318"/>
      <c r="Q11783" s="318"/>
      <c r="R11783" s="318"/>
      <c r="S11783" s="318"/>
      <c r="T11783" s="318"/>
      <c r="U11783" s="318"/>
      <c r="V11783" s="318"/>
      <c r="W11783" s="318"/>
      <c r="X11783" s="318"/>
      <c r="Y11783" s="318"/>
      <c r="Z11783" s="318"/>
      <c r="AA11783" s="318"/>
      <c r="AB11783" s="318"/>
      <c r="AC11783" s="318"/>
      <c r="AD11783" s="318"/>
    </row>
    <row r="11784" spans="2:30" s="323" customFormat="1" ht="12" customHeight="1">
      <c r="B11784" s="324"/>
      <c r="C11784" s="325"/>
      <c r="D11784" s="326"/>
      <c r="E11784" s="326"/>
      <c r="F11784" s="326"/>
      <c r="G11784" s="326"/>
      <c r="H11784" s="326"/>
      <c r="P11784" s="318"/>
      <c r="Q11784" s="318"/>
      <c r="R11784" s="318"/>
      <c r="S11784" s="318"/>
      <c r="T11784" s="318"/>
      <c r="U11784" s="318"/>
      <c r="V11784" s="318"/>
      <c r="W11784" s="318"/>
      <c r="X11784" s="318"/>
      <c r="Y11784" s="318"/>
      <c r="Z11784" s="318"/>
      <c r="AA11784" s="318"/>
      <c r="AB11784" s="318"/>
      <c r="AC11784" s="318"/>
      <c r="AD11784" s="318"/>
    </row>
    <row r="11785" spans="2:30" s="323" customFormat="1" ht="12" customHeight="1">
      <c r="B11785" s="324"/>
      <c r="C11785" s="325"/>
      <c r="D11785" s="326"/>
      <c r="E11785" s="326"/>
      <c r="F11785" s="326"/>
      <c r="G11785" s="326"/>
      <c r="H11785" s="326"/>
      <c r="P11785" s="318"/>
      <c r="Q11785" s="318"/>
      <c r="R11785" s="318"/>
      <c r="S11785" s="318"/>
      <c r="T11785" s="318"/>
      <c r="U11785" s="318"/>
      <c r="V11785" s="318"/>
      <c r="W11785" s="318"/>
      <c r="X11785" s="318"/>
      <c r="Y11785" s="318"/>
      <c r="Z11785" s="318"/>
      <c r="AA11785" s="318"/>
      <c r="AB11785" s="318"/>
      <c r="AC11785" s="318"/>
      <c r="AD11785" s="318"/>
    </row>
    <row r="11786" spans="2:30" s="323" customFormat="1" ht="12" customHeight="1">
      <c r="B11786" s="324"/>
      <c r="C11786" s="325"/>
      <c r="D11786" s="326"/>
      <c r="E11786" s="326"/>
      <c r="F11786" s="326"/>
      <c r="G11786" s="326"/>
      <c r="H11786" s="326"/>
      <c r="P11786" s="318"/>
      <c r="Q11786" s="318"/>
      <c r="R11786" s="318"/>
      <c r="S11786" s="318"/>
      <c r="T11786" s="318"/>
      <c r="U11786" s="318"/>
      <c r="V11786" s="318"/>
      <c r="W11786" s="318"/>
      <c r="X11786" s="318"/>
      <c r="Y11786" s="318"/>
      <c r="Z11786" s="318"/>
      <c r="AA11786" s="318"/>
      <c r="AB11786" s="318"/>
      <c r="AC11786" s="318"/>
      <c r="AD11786" s="318"/>
    </row>
    <row r="11787" spans="2:30" s="323" customFormat="1" ht="12" customHeight="1">
      <c r="B11787" s="324"/>
      <c r="C11787" s="325"/>
      <c r="D11787" s="326"/>
      <c r="E11787" s="326"/>
      <c r="F11787" s="326"/>
      <c r="G11787" s="326"/>
      <c r="H11787" s="326"/>
      <c r="P11787" s="318"/>
      <c r="Q11787" s="318"/>
      <c r="R11787" s="318"/>
      <c r="S11787" s="318"/>
      <c r="T11787" s="318"/>
      <c r="U11787" s="318"/>
      <c r="V11787" s="318"/>
      <c r="W11787" s="318"/>
      <c r="X11787" s="318"/>
      <c r="Y11787" s="318"/>
      <c r="Z11787" s="318"/>
      <c r="AA11787" s="318"/>
      <c r="AB11787" s="318"/>
      <c r="AC11787" s="318"/>
      <c r="AD11787" s="318"/>
    </row>
    <row r="11788" spans="2:30" s="323" customFormat="1" ht="12" customHeight="1">
      <c r="B11788" s="324"/>
      <c r="C11788" s="325"/>
      <c r="D11788" s="326"/>
      <c r="E11788" s="326"/>
      <c r="F11788" s="326"/>
      <c r="G11788" s="326"/>
      <c r="H11788" s="326"/>
      <c r="P11788" s="318"/>
      <c r="Q11788" s="318"/>
      <c r="R11788" s="318"/>
      <c r="S11788" s="318"/>
      <c r="T11788" s="318"/>
      <c r="U11788" s="318"/>
      <c r="V11788" s="318"/>
      <c r="W11788" s="318"/>
      <c r="X11788" s="318"/>
      <c r="Y11788" s="318"/>
      <c r="Z11788" s="318"/>
      <c r="AA11788" s="318"/>
      <c r="AB11788" s="318"/>
      <c r="AC11788" s="318"/>
      <c r="AD11788" s="318"/>
    </row>
    <row r="11789" spans="2:30" s="323" customFormat="1" ht="12" customHeight="1">
      <c r="B11789" s="324"/>
      <c r="C11789" s="325"/>
      <c r="D11789" s="326"/>
      <c r="E11789" s="326"/>
      <c r="F11789" s="326"/>
      <c r="G11789" s="326"/>
      <c r="H11789" s="326"/>
      <c r="P11789" s="318"/>
      <c r="Q11789" s="318"/>
      <c r="R11789" s="318"/>
      <c r="S11789" s="318"/>
      <c r="T11789" s="318"/>
      <c r="U11789" s="318"/>
      <c r="V11789" s="318"/>
      <c r="W11789" s="318"/>
      <c r="X11789" s="318"/>
      <c r="Y11789" s="318"/>
      <c r="Z11789" s="318"/>
      <c r="AA11789" s="318"/>
      <c r="AB11789" s="318"/>
      <c r="AC11789" s="318"/>
      <c r="AD11789" s="318"/>
    </row>
    <row r="11790" spans="2:30" s="323" customFormat="1" ht="12" customHeight="1">
      <c r="B11790" s="324"/>
      <c r="C11790" s="325"/>
      <c r="D11790" s="326"/>
      <c r="E11790" s="326"/>
      <c r="F11790" s="326"/>
      <c r="G11790" s="326"/>
      <c r="H11790" s="326"/>
      <c r="P11790" s="318"/>
      <c r="Q11790" s="318"/>
      <c r="R11790" s="318"/>
      <c r="S11790" s="318"/>
      <c r="T11790" s="318"/>
      <c r="U11790" s="318"/>
      <c r="V11790" s="318"/>
      <c r="W11790" s="318"/>
      <c r="X11790" s="318"/>
      <c r="Y11790" s="318"/>
      <c r="Z11790" s="318"/>
      <c r="AA11790" s="318"/>
      <c r="AB11790" s="318"/>
      <c r="AC11790" s="318"/>
      <c r="AD11790" s="318"/>
    </row>
    <row r="11791" spans="2:30" s="323" customFormat="1" ht="12" customHeight="1">
      <c r="B11791" s="324"/>
      <c r="C11791" s="325"/>
      <c r="D11791" s="326"/>
      <c r="E11791" s="326"/>
      <c r="F11791" s="326"/>
      <c r="G11791" s="326"/>
      <c r="H11791" s="326"/>
      <c r="P11791" s="318"/>
      <c r="Q11791" s="318"/>
      <c r="R11791" s="318"/>
      <c r="S11791" s="318"/>
      <c r="T11791" s="318"/>
      <c r="U11791" s="318"/>
      <c r="V11791" s="318"/>
      <c r="W11791" s="318"/>
      <c r="X11791" s="318"/>
      <c r="Y11791" s="318"/>
      <c r="Z11791" s="318"/>
      <c r="AA11791" s="318"/>
      <c r="AB11791" s="318"/>
      <c r="AC11791" s="318"/>
      <c r="AD11791" s="318"/>
    </row>
    <row r="11792" spans="2:30" s="323" customFormat="1" ht="12" customHeight="1">
      <c r="B11792" s="324"/>
      <c r="C11792" s="325"/>
      <c r="D11792" s="326"/>
      <c r="E11792" s="326"/>
      <c r="F11792" s="326"/>
      <c r="G11792" s="326"/>
      <c r="H11792" s="326"/>
      <c r="P11792" s="318"/>
      <c r="Q11792" s="318"/>
      <c r="R11792" s="318"/>
      <c r="S11792" s="318"/>
      <c r="T11792" s="318"/>
      <c r="U11792" s="318"/>
      <c r="V11792" s="318"/>
      <c r="W11792" s="318"/>
      <c r="X11792" s="318"/>
      <c r="Y11792" s="318"/>
      <c r="Z11792" s="318"/>
      <c r="AA11792" s="318"/>
      <c r="AB11792" s="318"/>
      <c r="AC11792" s="318"/>
      <c r="AD11792" s="318"/>
    </row>
    <row r="11793" spans="2:30" s="323" customFormat="1" ht="12" customHeight="1">
      <c r="B11793" s="324"/>
      <c r="C11793" s="325"/>
      <c r="D11793" s="326"/>
      <c r="E11793" s="326"/>
      <c r="F11793" s="326"/>
      <c r="G11793" s="326"/>
      <c r="H11793" s="326"/>
      <c r="P11793" s="318"/>
      <c r="Q11793" s="318"/>
      <c r="R11793" s="318"/>
      <c r="S11793" s="318"/>
      <c r="T11793" s="318"/>
      <c r="U11793" s="318"/>
      <c r="V11793" s="318"/>
      <c r="W11793" s="318"/>
      <c r="X11793" s="318"/>
      <c r="Y11793" s="318"/>
      <c r="Z11793" s="318"/>
      <c r="AA11793" s="318"/>
      <c r="AB11793" s="318"/>
      <c r="AC11793" s="318"/>
      <c r="AD11793" s="318"/>
    </row>
    <row r="11794" spans="2:30" s="323" customFormat="1" ht="12" customHeight="1">
      <c r="B11794" s="324"/>
      <c r="C11794" s="325"/>
      <c r="D11794" s="326"/>
      <c r="E11794" s="326"/>
      <c r="F11794" s="326"/>
      <c r="G11794" s="326"/>
      <c r="H11794" s="326"/>
      <c r="P11794" s="318"/>
      <c r="Q11794" s="318"/>
      <c r="R11794" s="318"/>
      <c r="S11794" s="318"/>
      <c r="T11794" s="318"/>
      <c r="U11794" s="318"/>
      <c r="V11794" s="318"/>
      <c r="W11794" s="318"/>
      <c r="X11794" s="318"/>
      <c r="Y11794" s="318"/>
      <c r="Z11794" s="318"/>
      <c r="AA11794" s="318"/>
      <c r="AB11794" s="318"/>
      <c r="AC11794" s="318"/>
      <c r="AD11794" s="318"/>
    </row>
    <row r="11795" spans="2:30" s="323" customFormat="1" ht="12" customHeight="1">
      <c r="B11795" s="324"/>
      <c r="C11795" s="325"/>
      <c r="D11795" s="326"/>
      <c r="E11795" s="326"/>
      <c r="F11795" s="326"/>
      <c r="G11795" s="326"/>
      <c r="H11795" s="326"/>
      <c r="P11795" s="318"/>
      <c r="Q11795" s="318"/>
      <c r="R11795" s="318"/>
      <c r="S11795" s="318"/>
      <c r="T11795" s="318"/>
      <c r="U11795" s="318"/>
      <c r="V11795" s="318"/>
      <c r="W11795" s="318"/>
      <c r="X11795" s="318"/>
      <c r="Y11795" s="318"/>
      <c r="Z11795" s="318"/>
      <c r="AA11795" s="318"/>
      <c r="AB11795" s="318"/>
      <c r="AC11795" s="318"/>
      <c r="AD11795" s="318"/>
    </row>
    <row r="11796" spans="2:30" s="323" customFormat="1" ht="12" customHeight="1">
      <c r="B11796" s="324"/>
      <c r="C11796" s="325"/>
      <c r="D11796" s="326"/>
      <c r="E11796" s="326"/>
      <c r="F11796" s="326"/>
      <c r="G11796" s="326"/>
      <c r="H11796" s="326"/>
      <c r="P11796" s="318"/>
      <c r="Q11796" s="318"/>
      <c r="R11796" s="318"/>
      <c r="S11796" s="318"/>
      <c r="T11796" s="318"/>
      <c r="U11796" s="318"/>
      <c r="V11796" s="318"/>
      <c r="W11796" s="318"/>
      <c r="X11796" s="318"/>
      <c r="Y11796" s="318"/>
      <c r="Z11796" s="318"/>
      <c r="AA11796" s="318"/>
      <c r="AB11796" s="318"/>
      <c r="AC11796" s="318"/>
      <c r="AD11796" s="318"/>
    </row>
    <row r="11797" spans="2:30" s="323" customFormat="1" ht="12" customHeight="1">
      <c r="B11797" s="324"/>
      <c r="C11797" s="325"/>
      <c r="D11797" s="326"/>
      <c r="E11797" s="326"/>
      <c r="F11797" s="326"/>
      <c r="G11797" s="326"/>
      <c r="H11797" s="326"/>
      <c r="P11797" s="318"/>
      <c r="Q11797" s="318"/>
      <c r="R11797" s="318"/>
      <c r="S11797" s="318"/>
      <c r="T11797" s="318"/>
      <c r="U11797" s="318"/>
      <c r="V11797" s="318"/>
      <c r="W11797" s="318"/>
      <c r="X11797" s="318"/>
      <c r="Y11797" s="318"/>
      <c r="Z11797" s="318"/>
      <c r="AA11797" s="318"/>
      <c r="AB11797" s="318"/>
      <c r="AC11797" s="318"/>
      <c r="AD11797" s="318"/>
    </row>
    <row r="11798" spans="2:30" s="323" customFormat="1" ht="12" customHeight="1">
      <c r="B11798" s="324"/>
      <c r="C11798" s="325"/>
      <c r="D11798" s="326"/>
      <c r="E11798" s="326"/>
      <c r="F11798" s="326"/>
      <c r="G11798" s="326"/>
      <c r="H11798" s="326"/>
      <c r="P11798" s="318"/>
      <c r="Q11798" s="318"/>
      <c r="R11798" s="318"/>
      <c r="S11798" s="318"/>
      <c r="T11798" s="318"/>
      <c r="U11798" s="318"/>
      <c r="V11798" s="318"/>
      <c r="W11798" s="318"/>
      <c r="X11798" s="318"/>
      <c r="Y11798" s="318"/>
      <c r="Z11798" s="318"/>
      <c r="AA11798" s="318"/>
      <c r="AB11798" s="318"/>
      <c r="AC11798" s="318"/>
      <c r="AD11798" s="318"/>
    </row>
    <row r="11799" spans="2:30" s="323" customFormat="1" ht="12" customHeight="1">
      <c r="B11799" s="324"/>
      <c r="C11799" s="325"/>
      <c r="D11799" s="326"/>
      <c r="E11799" s="326"/>
      <c r="F11799" s="326"/>
      <c r="G11799" s="326"/>
      <c r="H11799" s="326"/>
      <c r="P11799" s="318"/>
      <c r="Q11799" s="318"/>
      <c r="R11799" s="318"/>
      <c r="S11799" s="318"/>
      <c r="T11799" s="318"/>
      <c r="U11799" s="318"/>
      <c r="V11799" s="318"/>
      <c r="W11799" s="318"/>
      <c r="X11799" s="318"/>
      <c r="Y11799" s="318"/>
      <c r="Z11799" s="318"/>
      <c r="AA11799" s="318"/>
      <c r="AB11799" s="318"/>
      <c r="AC11799" s="318"/>
      <c r="AD11799" s="318"/>
    </row>
    <row r="11800" spans="2:30" s="323" customFormat="1" ht="12" customHeight="1">
      <c r="B11800" s="324"/>
      <c r="C11800" s="325"/>
      <c r="D11800" s="326"/>
      <c r="E11800" s="326"/>
      <c r="F11800" s="326"/>
      <c r="G11800" s="326"/>
      <c r="H11800" s="326"/>
      <c r="P11800" s="318"/>
      <c r="Q11800" s="318"/>
      <c r="R11800" s="318"/>
      <c r="S11800" s="318"/>
      <c r="T11800" s="318"/>
      <c r="U11800" s="318"/>
      <c r="V11800" s="318"/>
      <c r="W11800" s="318"/>
      <c r="X11800" s="318"/>
      <c r="Y11800" s="318"/>
      <c r="Z11800" s="318"/>
      <c r="AA11800" s="318"/>
      <c r="AB11800" s="318"/>
      <c r="AC11800" s="318"/>
      <c r="AD11800" s="318"/>
    </row>
    <row r="11801" spans="2:30" s="323" customFormat="1" ht="12" customHeight="1">
      <c r="B11801" s="324"/>
      <c r="C11801" s="325"/>
      <c r="D11801" s="326"/>
      <c r="E11801" s="326"/>
      <c r="F11801" s="326"/>
      <c r="G11801" s="326"/>
      <c r="H11801" s="326"/>
      <c r="P11801" s="318"/>
      <c r="Q11801" s="318"/>
      <c r="R11801" s="318"/>
      <c r="S11801" s="318"/>
      <c r="T11801" s="318"/>
      <c r="U11801" s="318"/>
      <c r="V11801" s="318"/>
      <c r="W11801" s="318"/>
      <c r="X11801" s="318"/>
      <c r="Y11801" s="318"/>
      <c r="Z11801" s="318"/>
      <c r="AA11801" s="318"/>
      <c r="AB11801" s="318"/>
      <c r="AC11801" s="318"/>
      <c r="AD11801" s="318"/>
    </row>
    <row r="11802" spans="2:30" s="323" customFormat="1" ht="12" customHeight="1">
      <c r="B11802" s="324"/>
      <c r="C11802" s="325"/>
      <c r="D11802" s="326"/>
      <c r="E11802" s="326"/>
      <c r="F11802" s="326"/>
      <c r="G11802" s="326"/>
      <c r="H11802" s="326"/>
      <c r="P11802" s="318"/>
      <c r="Q11802" s="318"/>
      <c r="R11802" s="318"/>
      <c r="S11802" s="318"/>
      <c r="T11802" s="318"/>
      <c r="U11802" s="318"/>
      <c r="V11802" s="318"/>
      <c r="W11802" s="318"/>
      <c r="X11802" s="318"/>
      <c r="Y11802" s="318"/>
      <c r="Z11802" s="318"/>
      <c r="AA11802" s="318"/>
      <c r="AB11802" s="318"/>
      <c r="AC11802" s="318"/>
      <c r="AD11802" s="318"/>
    </row>
    <row r="11803" spans="2:30" s="323" customFormat="1" ht="12" customHeight="1">
      <c r="B11803" s="324"/>
      <c r="C11803" s="325"/>
      <c r="D11803" s="326"/>
      <c r="E11803" s="326"/>
      <c r="F11803" s="326"/>
      <c r="G11803" s="326"/>
      <c r="H11803" s="326"/>
      <c r="P11803" s="318"/>
      <c r="Q11803" s="318"/>
      <c r="R11803" s="318"/>
      <c r="S11803" s="318"/>
      <c r="T11803" s="318"/>
      <c r="U11803" s="318"/>
      <c r="V11803" s="318"/>
      <c r="W11803" s="318"/>
      <c r="X11803" s="318"/>
      <c r="Y11803" s="318"/>
      <c r="Z11803" s="318"/>
      <c r="AA11803" s="318"/>
      <c r="AB11803" s="318"/>
      <c r="AC11803" s="318"/>
      <c r="AD11803" s="318"/>
    </row>
    <row r="11804" spans="2:30" s="323" customFormat="1" ht="12" customHeight="1">
      <c r="B11804" s="324"/>
      <c r="C11804" s="325"/>
      <c r="D11804" s="326"/>
      <c r="E11804" s="326"/>
      <c r="F11804" s="326"/>
      <c r="G11804" s="326"/>
      <c r="H11804" s="326"/>
      <c r="P11804" s="318"/>
      <c r="Q11804" s="318"/>
      <c r="R11804" s="318"/>
      <c r="S11804" s="318"/>
      <c r="T11804" s="318"/>
      <c r="U11804" s="318"/>
      <c r="V11804" s="318"/>
      <c r="W11804" s="318"/>
      <c r="X11804" s="318"/>
      <c r="Y11804" s="318"/>
      <c r="Z11804" s="318"/>
      <c r="AA11804" s="318"/>
      <c r="AB11804" s="318"/>
      <c r="AC11804" s="318"/>
      <c r="AD11804" s="318"/>
    </row>
    <row r="11805" spans="2:30" s="323" customFormat="1" ht="12" customHeight="1">
      <c r="B11805" s="324"/>
      <c r="C11805" s="325"/>
      <c r="D11805" s="326"/>
      <c r="E11805" s="326"/>
      <c r="F11805" s="326"/>
      <c r="G11805" s="326"/>
      <c r="H11805" s="326"/>
      <c r="P11805" s="318"/>
      <c r="Q11805" s="318"/>
      <c r="R11805" s="318"/>
      <c r="S11805" s="318"/>
      <c r="T11805" s="318"/>
      <c r="U11805" s="318"/>
      <c r="V11805" s="318"/>
      <c r="W11805" s="318"/>
      <c r="X11805" s="318"/>
      <c r="Y11805" s="318"/>
      <c r="Z11805" s="318"/>
      <c r="AA11805" s="318"/>
      <c r="AB11805" s="318"/>
      <c r="AC11805" s="318"/>
      <c r="AD11805" s="318"/>
    </row>
    <row r="11806" spans="2:30" s="323" customFormat="1" ht="12" customHeight="1">
      <c r="B11806" s="324"/>
      <c r="C11806" s="325"/>
      <c r="D11806" s="326"/>
      <c r="E11806" s="326"/>
      <c r="F11806" s="326"/>
      <c r="G11806" s="326"/>
      <c r="H11806" s="326"/>
      <c r="P11806" s="318"/>
      <c r="Q11806" s="318"/>
      <c r="R11806" s="318"/>
      <c r="S11806" s="318"/>
      <c r="T11806" s="318"/>
      <c r="U11806" s="318"/>
      <c r="V11806" s="318"/>
      <c r="W11806" s="318"/>
      <c r="X11806" s="318"/>
      <c r="Y11806" s="318"/>
      <c r="Z11806" s="318"/>
      <c r="AA11806" s="318"/>
      <c r="AB11806" s="318"/>
      <c r="AC11806" s="318"/>
      <c r="AD11806" s="318"/>
    </row>
    <row r="11807" spans="2:30" s="323" customFormat="1" ht="12" customHeight="1">
      <c r="B11807" s="324"/>
      <c r="C11807" s="325"/>
      <c r="D11807" s="326"/>
      <c r="E11807" s="326"/>
      <c r="F11807" s="326"/>
      <c r="G11807" s="326"/>
      <c r="H11807" s="326"/>
      <c r="P11807" s="318"/>
      <c r="Q11807" s="318"/>
      <c r="R11807" s="318"/>
      <c r="S11807" s="318"/>
      <c r="T11807" s="318"/>
      <c r="U11807" s="318"/>
      <c r="V11807" s="318"/>
      <c r="W11807" s="318"/>
      <c r="X11807" s="318"/>
      <c r="Y11807" s="318"/>
      <c r="Z11807" s="318"/>
      <c r="AA11807" s="318"/>
      <c r="AB11807" s="318"/>
      <c r="AC11807" s="318"/>
      <c r="AD11807" s="318"/>
    </row>
    <row r="11808" spans="2:30" s="323" customFormat="1" ht="12" customHeight="1">
      <c r="B11808" s="324"/>
      <c r="C11808" s="325"/>
      <c r="D11808" s="326"/>
      <c r="E11808" s="326"/>
      <c r="F11808" s="326"/>
      <c r="G11808" s="326"/>
      <c r="H11808" s="326"/>
      <c r="P11808" s="318"/>
      <c r="Q11808" s="318"/>
      <c r="R11808" s="318"/>
      <c r="S11808" s="318"/>
      <c r="T11808" s="318"/>
      <c r="U11808" s="318"/>
      <c r="V11808" s="318"/>
      <c r="W11808" s="318"/>
      <c r="X11808" s="318"/>
      <c r="Y11808" s="318"/>
      <c r="Z11808" s="318"/>
      <c r="AA11808" s="318"/>
      <c r="AB11808" s="318"/>
      <c r="AC11808" s="318"/>
      <c r="AD11808" s="318"/>
    </row>
    <row r="11809" spans="2:30" s="323" customFormat="1" ht="12" customHeight="1">
      <c r="B11809" s="324"/>
      <c r="C11809" s="325"/>
      <c r="D11809" s="326"/>
      <c r="E11809" s="326"/>
      <c r="F11809" s="326"/>
      <c r="G11809" s="326"/>
      <c r="H11809" s="326"/>
      <c r="P11809" s="318"/>
      <c r="Q11809" s="318"/>
      <c r="R11809" s="318"/>
      <c r="S11809" s="318"/>
      <c r="T11809" s="318"/>
      <c r="U11809" s="318"/>
      <c r="V11809" s="318"/>
      <c r="W11809" s="318"/>
      <c r="X11809" s="318"/>
      <c r="Y11809" s="318"/>
      <c r="Z11809" s="318"/>
      <c r="AA11809" s="318"/>
      <c r="AB11809" s="318"/>
      <c r="AC11809" s="318"/>
      <c r="AD11809" s="318"/>
    </row>
    <row r="11810" spans="2:30" s="323" customFormat="1" ht="12" customHeight="1">
      <c r="B11810" s="324"/>
      <c r="C11810" s="325"/>
      <c r="D11810" s="326"/>
      <c r="E11810" s="326"/>
      <c r="F11810" s="326"/>
      <c r="G11810" s="326"/>
      <c r="H11810" s="326"/>
      <c r="P11810" s="318"/>
      <c r="Q11810" s="318"/>
      <c r="R11810" s="318"/>
      <c r="S11810" s="318"/>
      <c r="T11810" s="318"/>
      <c r="U11810" s="318"/>
      <c r="V11810" s="318"/>
      <c r="W11810" s="318"/>
      <c r="X11810" s="318"/>
      <c r="Y11810" s="318"/>
      <c r="Z11810" s="318"/>
      <c r="AA11810" s="318"/>
      <c r="AB11810" s="318"/>
      <c r="AC11810" s="318"/>
      <c r="AD11810" s="318"/>
    </row>
    <row r="11811" spans="2:30" s="323" customFormat="1" ht="12" customHeight="1">
      <c r="B11811" s="324"/>
      <c r="C11811" s="325"/>
      <c r="D11811" s="326"/>
      <c r="E11811" s="326"/>
      <c r="F11811" s="326"/>
      <c r="G11811" s="326"/>
      <c r="H11811" s="326"/>
      <c r="P11811" s="318"/>
      <c r="Q11811" s="318"/>
      <c r="R11811" s="318"/>
      <c r="S11811" s="318"/>
      <c r="T11811" s="318"/>
      <c r="U11811" s="318"/>
      <c r="V11811" s="318"/>
      <c r="W11811" s="318"/>
      <c r="X11811" s="318"/>
      <c r="Y11811" s="318"/>
      <c r="Z11811" s="318"/>
      <c r="AA11811" s="318"/>
      <c r="AB11811" s="318"/>
      <c r="AC11811" s="318"/>
      <c r="AD11811" s="318"/>
    </row>
    <row r="11812" spans="2:30" s="323" customFormat="1" ht="12" customHeight="1">
      <c r="B11812" s="324"/>
      <c r="C11812" s="325"/>
      <c r="D11812" s="326"/>
      <c r="E11812" s="326"/>
      <c r="F11812" s="326"/>
      <c r="G11812" s="326"/>
      <c r="H11812" s="326"/>
      <c r="P11812" s="318"/>
      <c r="Q11812" s="318"/>
      <c r="R11812" s="318"/>
      <c r="S11812" s="318"/>
      <c r="T11812" s="318"/>
      <c r="U11812" s="318"/>
      <c r="V11812" s="318"/>
      <c r="W11812" s="318"/>
      <c r="X11812" s="318"/>
      <c r="Y11812" s="318"/>
      <c r="Z11812" s="318"/>
      <c r="AA11812" s="318"/>
      <c r="AB11812" s="318"/>
      <c r="AC11812" s="318"/>
      <c r="AD11812" s="318"/>
    </row>
    <row r="11813" spans="2:30" s="323" customFormat="1" ht="12" customHeight="1">
      <c r="B11813" s="324"/>
      <c r="C11813" s="325"/>
      <c r="D11813" s="326"/>
      <c r="E11813" s="326"/>
      <c r="F11813" s="326"/>
      <c r="G11813" s="326"/>
      <c r="H11813" s="326"/>
      <c r="P11813" s="318"/>
      <c r="Q11813" s="318"/>
      <c r="R11813" s="318"/>
      <c r="S11813" s="318"/>
      <c r="T11813" s="318"/>
      <c r="U11813" s="318"/>
      <c r="V11813" s="318"/>
      <c r="W11813" s="318"/>
      <c r="X11813" s="318"/>
      <c r="Y11813" s="318"/>
      <c r="Z11813" s="318"/>
      <c r="AA11813" s="318"/>
      <c r="AB11813" s="318"/>
      <c r="AC11813" s="318"/>
      <c r="AD11813" s="318"/>
    </row>
    <row r="11814" spans="2:30" s="323" customFormat="1" ht="12" customHeight="1">
      <c r="B11814" s="324"/>
      <c r="C11814" s="325"/>
      <c r="D11814" s="326"/>
      <c r="E11814" s="326"/>
      <c r="F11814" s="326"/>
      <c r="G11814" s="326"/>
      <c r="H11814" s="326"/>
      <c r="P11814" s="318"/>
      <c r="Q11814" s="318"/>
      <c r="R11814" s="318"/>
      <c r="S11814" s="318"/>
      <c r="T11814" s="318"/>
      <c r="U11814" s="318"/>
      <c r="V11814" s="318"/>
      <c r="W11814" s="318"/>
      <c r="X11814" s="318"/>
      <c r="Y11814" s="318"/>
      <c r="Z11814" s="318"/>
      <c r="AA11814" s="318"/>
      <c r="AB11814" s="318"/>
      <c r="AC11814" s="318"/>
      <c r="AD11814" s="318"/>
    </row>
    <row r="11815" spans="2:30" s="323" customFormat="1" ht="12" customHeight="1">
      <c r="B11815" s="324"/>
      <c r="C11815" s="325"/>
      <c r="D11815" s="326"/>
      <c r="E11815" s="326"/>
      <c r="F11815" s="326"/>
      <c r="G11815" s="326"/>
      <c r="H11815" s="326"/>
      <c r="P11815" s="318"/>
      <c r="Q11815" s="318"/>
      <c r="R11815" s="318"/>
      <c r="S11815" s="318"/>
      <c r="T11815" s="318"/>
      <c r="U11815" s="318"/>
      <c r="V11815" s="318"/>
      <c r="W11815" s="318"/>
      <c r="X11815" s="318"/>
      <c r="Y11815" s="318"/>
      <c r="Z11815" s="318"/>
      <c r="AA11815" s="318"/>
      <c r="AB11815" s="318"/>
      <c r="AC11815" s="318"/>
      <c r="AD11815" s="318"/>
    </row>
    <row r="11816" spans="2:30" s="323" customFormat="1" ht="12" customHeight="1">
      <c r="B11816" s="324"/>
      <c r="C11816" s="325"/>
      <c r="D11816" s="326"/>
      <c r="E11816" s="326"/>
      <c r="F11816" s="326"/>
      <c r="G11816" s="326"/>
      <c r="H11816" s="326"/>
      <c r="P11816" s="318"/>
      <c r="Q11816" s="318"/>
      <c r="R11816" s="318"/>
      <c r="S11816" s="318"/>
      <c r="T11816" s="318"/>
      <c r="U11816" s="318"/>
      <c r="V11816" s="318"/>
      <c r="W11816" s="318"/>
      <c r="X11816" s="318"/>
      <c r="Y11816" s="318"/>
      <c r="Z11816" s="318"/>
      <c r="AA11816" s="318"/>
      <c r="AB11816" s="318"/>
      <c r="AC11816" s="318"/>
      <c r="AD11816" s="318"/>
    </row>
    <row r="11817" spans="2:30" s="323" customFormat="1" ht="12" customHeight="1">
      <c r="B11817" s="324"/>
      <c r="C11817" s="325"/>
      <c r="D11817" s="326"/>
      <c r="E11817" s="326"/>
      <c r="F11817" s="326"/>
      <c r="G11817" s="326"/>
      <c r="H11817" s="326"/>
      <c r="P11817" s="318"/>
      <c r="Q11817" s="318"/>
      <c r="R11817" s="318"/>
      <c r="S11817" s="318"/>
      <c r="T11817" s="318"/>
      <c r="U11817" s="318"/>
      <c r="V11817" s="318"/>
      <c r="W11817" s="318"/>
      <c r="X11817" s="318"/>
      <c r="Y11817" s="318"/>
      <c r="Z11817" s="318"/>
      <c r="AA11817" s="318"/>
      <c r="AB11817" s="318"/>
      <c r="AC11817" s="318"/>
      <c r="AD11817" s="318"/>
    </row>
    <row r="11818" spans="2:30" s="323" customFormat="1" ht="12" customHeight="1">
      <c r="B11818" s="324"/>
      <c r="C11818" s="325"/>
      <c r="D11818" s="326"/>
      <c r="E11818" s="326"/>
      <c r="F11818" s="326"/>
      <c r="G11818" s="326"/>
      <c r="H11818" s="326"/>
      <c r="P11818" s="318"/>
      <c r="Q11818" s="318"/>
      <c r="R11818" s="318"/>
      <c r="S11818" s="318"/>
      <c r="T11818" s="318"/>
      <c r="U11818" s="318"/>
      <c r="V11818" s="318"/>
      <c r="W11818" s="318"/>
      <c r="X11818" s="318"/>
      <c r="Y11818" s="318"/>
      <c r="Z11818" s="318"/>
      <c r="AA11818" s="318"/>
      <c r="AB11818" s="318"/>
      <c r="AC11818" s="318"/>
      <c r="AD11818" s="318"/>
    </row>
    <row r="11819" spans="2:30" s="323" customFormat="1" ht="12" customHeight="1">
      <c r="B11819" s="324"/>
      <c r="C11819" s="325"/>
      <c r="D11819" s="326"/>
      <c r="E11819" s="326"/>
      <c r="F11819" s="326"/>
      <c r="G11819" s="326"/>
      <c r="H11819" s="326"/>
      <c r="P11819" s="318"/>
      <c r="Q11819" s="318"/>
      <c r="R11819" s="318"/>
      <c r="S11819" s="318"/>
      <c r="T11819" s="318"/>
      <c r="U11819" s="318"/>
      <c r="V11819" s="318"/>
      <c r="W11819" s="318"/>
      <c r="X11819" s="318"/>
      <c r="Y11819" s="318"/>
      <c r="Z11819" s="318"/>
      <c r="AA11819" s="318"/>
      <c r="AB11819" s="318"/>
      <c r="AC11819" s="318"/>
      <c r="AD11819" s="318"/>
    </row>
    <row r="11820" spans="2:30" s="323" customFormat="1" ht="12" customHeight="1">
      <c r="B11820" s="324"/>
      <c r="C11820" s="325"/>
      <c r="D11820" s="326"/>
      <c r="E11820" s="326"/>
      <c r="F11820" s="326"/>
      <c r="G11820" s="326"/>
      <c r="H11820" s="326"/>
      <c r="P11820" s="318"/>
      <c r="Q11820" s="318"/>
      <c r="R11820" s="318"/>
      <c r="S11820" s="318"/>
      <c r="T11820" s="318"/>
      <c r="U11820" s="318"/>
      <c r="V11820" s="318"/>
      <c r="W11820" s="318"/>
      <c r="X11820" s="318"/>
      <c r="Y11820" s="318"/>
      <c r="Z11820" s="318"/>
      <c r="AA11820" s="318"/>
      <c r="AB11820" s="318"/>
      <c r="AC11820" s="318"/>
      <c r="AD11820" s="318"/>
    </row>
    <row r="11821" spans="2:30" s="323" customFormat="1" ht="12" customHeight="1">
      <c r="B11821" s="324"/>
      <c r="C11821" s="325"/>
      <c r="D11821" s="326"/>
      <c r="E11821" s="326"/>
      <c r="F11821" s="326"/>
      <c r="G11821" s="326"/>
      <c r="H11821" s="326"/>
      <c r="P11821" s="318"/>
      <c r="Q11821" s="318"/>
      <c r="R11821" s="318"/>
      <c r="S11821" s="318"/>
      <c r="T11821" s="318"/>
      <c r="U11821" s="318"/>
      <c r="V11821" s="318"/>
      <c r="W11821" s="318"/>
      <c r="X11821" s="318"/>
      <c r="Y11821" s="318"/>
      <c r="Z11821" s="318"/>
      <c r="AA11821" s="318"/>
      <c r="AB11821" s="318"/>
      <c r="AC11821" s="318"/>
      <c r="AD11821" s="318"/>
    </row>
    <row r="11822" spans="2:30" s="323" customFormat="1" ht="12" customHeight="1">
      <c r="B11822" s="324"/>
      <c r="C11822" s="325"/>
      <c r="D11822" s="326"/>
      <c r="E11822" s="326"/>
      <c r="F11822" s="326"/>
      <c r="G11822" s="326"/>
      <c r="H11822" s="326"/>
      <c r="P11822" s="318"/>
      <c r="Q11822" s="318"/>
      <c r="R11822" s="318"/>
      <c r="S11822" s="318"/>
      <c r="T11822" s="318"/>
      <c r="U11822" s="318"/>
      <c r="V11822" s="318"/>
      <c r="W11822" s="318"/>
      <c r="X11822" s="318"/>
      <c r="Y11822" s="318"/>
      <c r="Z11822" s="318"/>
      <c r="AA11822" s="318"/>
      <c r="AB11822" s="318"/>
      <c r="AC11822" s="318"/>
      <c r="AD11822" s="318"/>
    </row>
    <row r="11823" spans="2:30" s="323" customFormat="1" ht="12" customHeight="1">
      <c r="B11823" s="324"/>
      <c r="C11823" s="325"/>
      <c r="D11823" s="326"/>
      <c r="E11823" s="326"/>
      <c r="F11823" s="326"/>
      <c r="G11823" s="326"/>
      <c r="H11823" s="326"/>
      <c r="P11823" s="318"/>
      <c r="Q11823" s="318"/>
      <c r="R11823" s="318"/>
      <c r="S11823" s="318"/>
      <c r="T11823" s="318"/>
      <c r="U11823" s="318"/>
      <c r="V11823" s="318"/>
      <c r="W11823" s="318"/>
      <c r="X11823" s="318"/>
      <c r="Y11823" s="318"/>
      <c r="Z11823" s="318"/>
      <c r="AA11823" s="318"/>
      <c r="AB11823" s="318"/>
      <c r="AC11823" s="318"/>
      <c r="AD11823" s="318"/>
    </row>
    <row r="11824" spans="2:30" s="323" customFormat="1" ht="12" customHeight="1">
      <c r="B11824" s="324"/>
      <c r="C11824" s="325"/>
      <c r="D11824" s="326"/>
      <c r="E11824" s="326"/>
      <c r="F11824" s="326"/>
      <c r="G11824" s="326"/>
      <c r="H11824" s="326"/>
      <c r="P11824" s="318"/>
      <c r="Q11824" s="318"/>
      <c r="R11824" s="318"/>
      <c r="S11824" s="318"/>
      <c r="T11824" s="318"/>
      <c r="U11824" s="318"/>
      <c r="V11824" s="318"/>
      <c r="W11824" s="318"/>
      <c r="X11824" s="318"/>
      <c r="Y11824" s="318"/>
      <c r="Z11824" s="318"/>
      <c r="AA11824" s="318"/>
      <c r="AB11824" s="318"/>
      <c r="AC11824" s="318"/>
      <c r="AD11824" s="318"/>
    </row>
    <row r="11825" spans="2:30" s="323" customFormat="1" ht="12" customHeight="1">
      <c r="B11825" s="324"/>
      <c r="C11825" s="325"/>
      <c r="D11825" s="326"/>
      <c r="E11825" s="326"/>
      <c r="F11825" s="326"/>
      <c r="G11825" s="326"/>
      <c r="H11825" s="326"/>
      <c r="P11825" s="318"/>
      <c r="Q11825" s="318"/>
      <c r="R11825" s="318"/>
      <c r="S11825" s="318"/>
      <c r="T11825" s="318"/>
      <c r="U11825" s="318"/>
      <c r="V11825" s="318"/>
      <c r="W11825" s="318"/>
      <c r="X11825" s="318"/>
      <c r="Y11825" s="318"/>
      <c r="Z11825" s="318"/>
      <c r="AA11825" s="318"/>
      <c r="AB11825" s="318"/>
      <c r="AC11825" s="318"/>
      <c r="AD11825" s="318"/>
    </row>
    <row r="11826" spans="2:30" s="323" customFormat="1" ht="12" customHeight="1">
      <c r="B11826" s="324"/>
      <c r="C11826" s="325"/>
      <c r="D11826" s="326"/>
      <c r="E11826" s="326"/>
      <c r="F11826" s="326"/>
      <c r="G11826" s="326"/>
      <c r="H11826" s="326"/>
      <c r="P11826" s="318"/>
      <c r="Q11826" s="318"/>
      <c r="R11826" s="318"/>
      <c r="S11826" s="318"/>
      <c r="T11826" s="318"/>
      <c r="U11826" s="318"/>
      <c r="V11826" s="318"/>
      <c r="W11826" s="318"/>
      <c r="X11826" s="318"/>
      <c r="Y11826" s="318"/>
      <c r="Z11826" s="318"/>
      <c r="AA11826" s="318"/>
      <c r="AB11826" s="318"/>
      <c r="AC11826" s="318"/>
      <c r="AD11826" s="318"/>
    </row>
    <row r="11827" spans="2:30" s="323" customFormat="1" ht="12" customHeight="1">
      <c r="B11827" s="324"/>
      <c r="C11827" s="325"/>
      <c r="D11827" s="326"/>
      <c r="E11827" s="326"/>
      <c r="F11827" s="326"/>
      <c r="G11827" s="326"/>
      <c r="H11827" s="326"/>
      <c r="P11827" s="318"/>
      <c r="Q11827" s="318"/>
      <c r="R11827" s="318"/>
      <c r="S11827" s="318"/>
      <c r="T11827" s="318"/>
      <c r="U11827" s="318"/>
      <c r="V11827" s="318"/>
      <c r="W11827" s="318"/>
      <c r="X11827" s="318"/>
      <c r="Y11827" s="318"/>
      <c r="Z11827" s="318"/>
      <c r="AA11827" s="318"/>
      <c r="AB11827" s="318"/>
      <c r="AC11827" s="318"/>
      <c r="AD11827" s="318"/>
    </row>
    <row r="11828" spans="2:30" s="323" customFormat="1" ht="12" customHeight="1">
      <c r="B11828" s="324"/>
      <c r="C11828" s="325"/>
      <c r="D11828" s="326"/>
      <c r="E11828" s="326"/>
      <c r="F11828" s="326"/>
      <c r="G11828" s="326"/>
      <c r="H11828" s="326"/>
      <c r="P11828" s="318"/>
      <c r="Q11828" s="318"/>
      <c r="R11828" s="318"/>
      <c r="S11828" s="318"/>
      <c r="T11828" s="318"/>
      <c r="U11828" s="318"/>
      <c r="V11828" s="318"/>
      <c r="W11828" s="318"/>
      <c r="X11828" s="318"/>
      <c r="Y11828" s="318"/>
      <c r="Z11828" s="318"/>
      <c r="AA11828" s="318"/>
      <c r="AB11828" s="318"/>
      <c r="AC11828" s="318"/>
      <c r="AD11828" s="318"/>
    </row>
    <row r="11829" spans="2:30" s="323" customFormat="1" ht="12" customHeight="1">
      <c r="B11829" s="324"/>
      <c r="C11829" s="325"/>
      <c r="D11829" s="326"/>
      <c r="E11829" s="326"/>
      <c r="F11829" s="326"/>
      <c r="G11829" s="326"/>
      <c r="H11829" s="326"/>
      <c r="P11829" s="318"/>
      <c r="Q11829" s="318"/>
      <c r="R11829" s="318"/>
      <c r="S11829" s="318"/>
      <c r="T11829" s="318"/>
      <c r="U11829" s="318"/>
      <c r="V11829" s="318"/>
      <c r="W11829" s="318"/>
      <c r="X11829" s="318"/>
      <c r="Y11829" s="318"/>
      <c r="Z11829" s="318"/>
      <c r="AA11829" s="318"/>
      <c r="AB11829" s="318"/>
      <c r="AC11829" s="318"/>
      <c r="AD11829" s="318"/>
    </row>
    <row r="11830" spans="2:30" s="323" customFormat="1" ht="12" customHeight="1">
      <c r="B11830" s="324"/>
      <c r="C11830" s="325"/>
      <c r="D11830" s="326"/>
      <c r="E11830" s="326"/>
      <c r="F11830" s="326"/>
      <c r="G11830" s="326"/>
      <c r="H11830" s="326"/>
      <c r="P11830" s="318"/>
      <c r="Q11830" s="318"/>
      <c r="R11830" s="318"/>
      <c r="S11830" s="318"/>
      <c r="T11830" s="318"/>
      <c r="U11830" s="318"/>
      <c r="V11830" s="318"/>
      <c r="W11830" s="318"/>
      <c r="X11830" s="318"/>
      <c r="Y11830" s="318"/>
      <c r="Z11830" s="318"/>
      <c r="AA11830" s="318"/>
      <c r="AB11830" s="318"/>
      <c r="AC11830" s="318"/>
      <c r="AD11830" s="318"/>
    </row>
    <row r="11831" spans="2:30" s="323" customFormat="1" ht="12" customHeight="1">
      <c r="B11831" s="324"/>
      <c r="C11831" s="325"/>
      <c r="D11831" s="326"/>
      <c r="E11831" s="326"/>
      <c r="F11831" s="326"/>
      <c r="G11831" s="326"/>
      <c r="H11831" s="326"/>
      <c r="P11831" s="318"/>
      <c r="Q11831" s="318"/>
      <c r="R11831" s="318"/>
      <c r="S11831" s="318"/>
      <c r="T11831" s="318"/>
      <c r="U11831" s="318"/>
      <c r="V11831" s="318"/>
      <c r="W11831" s="318"/>
      <c r="X11831" s="318"/>
      <c r="Y11831" s="318"/>
      <c r="Z11831" s="318"/>
      <c r="AA11831" s="318"/>
      <c r="AB11831" s="318"/>
      <c r="AC11831" s="318"/>
      <c r="AD11831" s="318"/>
    </row>
    <row r="11832" spans="2:30" s="323" customFormat="1" ht="12" customHeight="1">
      <c r="B11832" s="324"/>
      <c r="C11832" s="325"/>
      <c r="D11832" s="326"/>
      <c r="E11832" s="326"/>
      <c r="F11832" s="326"/>
      <c r="G11832" s="326"/>
      <c r="H11832" s="326"/>
      <c r="P11832" s="318"/>
      <c r="Q11832" s="318"/>
      <c r="R11832" s="318"/>
      <c r="S11832" s="318"/>
      <c r="T11832" s="318"/>
      <c r="U11832" s="318"/>
      <c r="V11832" s="318"/>
      <c r="W11832" s="318"/>
      <c r="X11832" s="318"/>
      <c r="Y11832" s="318"/>
      <c r="Z11832" s="318"/>
      <c r="AA11832" s="318"/>
      <c r="AB11832" s="318"/>
      <c r="AC11832" s="318"/>
      <c r="AD11832" s="318"/>
    </row>
    <row r="11833" spans="2:30" s="323" customFormat="1" ht="12" customHeight="1">
      <c r="B11833" s="324"/>
      <c r="C11833" s="325"/>
      <c r="D11833" s="326"/>
      <c r="E11833" s="326"/>
      <c r="F11833" s="326"/>
      <c r="G11833" s="326"/>
      <c r="H11833" s="326"/>
      <c r="P11833" s="318"/>
      <c r="Q11833" s="318"/>
      <c r="R11833" s="318"/>
      <c r="S11833" s="318"/>
      <c r="T11833" s="318"/>
      <c r="U11833" s="318"/>
      <c r="V11833" s="318"/>
      <c r="W11833" s="318"/>
      <c r="X11833" s="318"/>
      <c r="Y11833" s="318"/>
      <c r="Z11833" s="318"/>
      <c r="AA11833" s="318"/>
      <c r="AB11833" s="318"/>
      <c r="AC11833" s="318"/>
      <c r="AD11833" s="318"/>
    </row>
    <row r="11834" spans="2:30" s="323" customFormat="1" ht="12" customHeight="1">
      <c r="B11834" s="324"/>
      <c r="C11834" s="325"/>
      <c r="D11834" s="326"/>
      <c r="E11834" s="326"/>
      <c r="F11834" s="326"/>
      <c r="G11834" s="326"/>
      <c r="H11834" s="326"/>
      <c r="P11834" s="318"/>
      <c r="Q11834" s="318"/>
      <c r="R11834" s="318"/>
      <c r="S11834" s="318"/>
      <c r="T11834" s="318"/>
      <c r="U11834" s="318"/>
      <c r="V11834" s="318"/>
      <c r="W11834" s="318"/>
      <c r="X11834" s="318"/>
      <c r="Y11834" s="318"/>
      <c r="Z11834" s="318"/>
      <c r="AA11834" s="318"/>
      <c r="AB11834" s="318"/>
      <c r="AC11834" s="318"/>
      <c r="AD11834" s="318"/>
    </row>
    <row r="11835" spans="2:30" s="323" customFormat="1" ht="12" customHeight="1">
      <c r="B11835" s="324"/>
      <c r="C11835" s="325"/>
      <c r="D11835" s="326"/>
      <c r="E11835" s="326"/>
      <c r="F11835" s="326"/>
      <c r="G11835" s="326"/>
      <c r="H11835" s="326"/>
      <c r="P11835" s="318"/>
      <c r="Q11835" s="318"/>
      <c r="R11835" s="318"/>
      <c r="S11835" s="318"/>
      <c r="T11835" s="318"/>
      <c r="U11835" s="318"/>
      <c r="V11835" s="318"/>
      <c r="W11835" s="318"/>
      <c r="X11835" s="318"/>
      <c r="Y11835" s="318"/>
      <c r="Z11835" s="318"/>
      <c r="AA11835" s="318"/>
      <c r="AB11835" s="318"/>
      <c r="AC11835" s="318"/>
      <c r="AD11835" s="318"/>
    </row>
    <row r="11836" spans="2:30" s="323" customFormat="1" ht="12" customHeight="1">
      <c r="B11836" s="324"/>
      <c r="C11836" s="325"/>
      <c r="D11836" s="326"/>
      <c r="E11836" s="326"/>
      <c r="F11836" s="326"/>
      <c r="G11836" s="326"/>
      <c r="H11836" s="326"/>
      <c r="P11836" s="318"/>
      <c r="Q11836" s="318"/>
      <c r="R11836" s="318"/>
      <c r="S11836" s="318"/>
      <c r="T11836" s="318"/>
      <c r="U11836" s="318"/>
      <c r="V11836" s="318"/>
      <c r="W11836" s="318"/>
      <c r="X11836" s="318"/>
      <c r="Y11836" s="318"/>
      <c r="Z11836" s="318"/>
      <c r="AA11836" s="318"/>
      <c r="AB11836" s="318"/>
      <c r="AC11836" s="318"/>
      <c r="AD11836" s="318"/>
    </row>
    <row r="11837" spans="2:30" s="323" customFormat="1" ht="12" customHeight="1">
      <c r="B11837" s="324"/>
      <c r="C11837" s="325"/>
      <c r="D11837" s="326"/>
      <c r="E11837" s="326"/>
      <c r="F11837" s="326"/>
      <c r="G11837" s="326"/>
      <c r="H11837" s="326"/>
      <c r="P11837" s="318"/>
      <c r="Q11837" s="318"/>
      <c r="R11837" s="318"/>
      <c r="S11837" s="318"/>
      <c r="T11837" s="318"/>
      <c r="U11837" s="318"/>
      <c r="V11837" s="318"/>
      <c r="W11837" s="318"/>
      <c r="X11837" s="318"/>
      <c r="Y11837" s="318"/>
      <c r="Z11837" s="318"/>
      <c r="AA11837" s="318"/>
      <c r="AB11837" s="318"/>
      <c r="AC11837" s="318"/>
      <c r="AD11837" s="318"/>
    </row>
    <row r="11838" spans="2:30" s="323" customFormat="1" ht="12" customHeight="1">
      <c r="B11838" s="324"/>
      <c r="C11838" s="325"/>
      <c r="D11838" s="326"/>
      <c r="E11838" s="326"/>
      <c r="F11838" s="326"/>
      <c r="G11838" s="326"/>
      <c r="H11838" s="326"/>
      <c r="P11838" s="318"/>
      <c r="Q11838" s="318"/>
      <c r="R11838" s="318"/>
      <c r="S11838" s="318"/>
      <c r="T11838" s="318"/>
      <c r="U11838" s="318"/>
      <c r="V11838" s="318"/>
      <c r="W11838" s="318"/>
      <c r="X11838" s="318"/>
      <c r="Y11838" s="318"/>
      <c r="Z11838" s="318"/>
      <c r="AA11838" s="318"/>
      <c r="AB11838" s="318"/>
      <c r="AC11838" s="318"/>
      <c r="AD11838" s="318"/>
    </row>
    <row r="11839" spans="2:30" s="323" customFormat="1" ht="12" customHeight="1">
      <c r="B11839" s="324"/>
      <c r="C11839" s="325"/>
      <c r="D11839" s="326"/>
      <c r="E11839" s="326"/>
      <c r="F11839" s="326"/>
      <c r="G11839" s="326"/>
      <c r="H11839" s="326"/>
      <c r="P11839" s="318"/>
      <c r="Q11839" s="318"/>
      <c r="R11839" s="318"/>
      <c r="S11839" s="318"/>
      <c r="T11839" s="318"/>
      <c r="U11839" s="318"/>
      <c r="V11839" s="318"/>
      <c r="W11839" s="318"/>
      <c r="X11839" s="318"/>
      <c r="Y11839" s="318"/>
      <c r="Z11839" s="318"/>
      <c r="AA11839" s="318"/>
      <c r="AB11839" s="318"/>
      <c r="AC11839" s="318"/>
      <c r="AD11839" s="318"/>
    </row>
    <row r="11840" spans="2:30" s="323" customFormat="1" ht="12" customHeight="1">
      <c r="B11840" s="324"/>
      <c r="C11840" s="325"/>
      <c r="D11840" s="326"/>
      <c r="E11840" s="326"/>
      <c r="F11840" s="326"/>
      <c r="G11840" s="326"/>
      <c r="H11840" s="326"/>
      <c r="P11840" s="318"/>
      <c r="Q11840" s="318"/>
      <c r="R11840" s="318"/>
      <c r="S11840" s="318"/>
      <c r="T11840" s="318"/>
      <c r="U11840" s="318"/>
      <c r="V11840" s="318"/>
      <c r="W11840" s="318"/>
      <c r="X11840" s="318"/>
      <c r="Y11840" s="318"/>
      <c r="Z11840" s="318"/>
      <c r="AA11840" s="318"/>
      <c r="AB11840" s="318"/>
      <c r="AC11840" s="318"/>
      <c r="AD11840" s="318"/>
    </row>
    <row r="11841" spans="2:30" s="323" customFormat="1" ht="12" customHeight="1">
      <c r="B11841" s="324"/>
      <c r="C11841" s="325"/>
      <c r="D11841" s="326"/>
      <c r="E11841" s="326"/>
      <c r="F11841" s="326"/>
      <c r="G11841" s="326"/>
      <c r="H11841" s="326"/>
      <c r="P11841" s="318"/>
      <c r="Q11841" s="318"/>
      <c r="R11841" s="318"/>
      <c r="S11841" s="318"/>
      <c r="T11841" s="318"/>
      <c r="U11841" s="318"/>
      <c r="V11841" s="318"/>
      <c r="W11841" s="318"/>
      <c r="X11841" s="318"/>
      <c r="Y11841" s="318"/>
      <c r="Z11841" s="318"/>
      <c r="AA11841" s="318"/>
      <c r="AB11841" s="318"/>
      <c r="AC11841" s="318"/>
      <c r="AD11841" s="318"/>
    </row>
    <row r="11842" spans="2:30" s="323" customFormat="1" ht="12" customHeight="1">
      <c r="B11842" s="324"/>
      <c r="C11842" s="325"/>
      <c r="D11842" s="326"/>
      <c r="E11842" s="326"/>
      <c r="F11842" s="326"/>
      <c r="G11842" s="326"/>
      <c r="H11842" s="326"/>
      <c r="P11842" s="318"/>
      <c r="Q11842" s="318"/>
      <c r="R11842" s="318"/>
      <c r="S11842" s="318"/>
      <c r="T11842" s="318"/>
      <c r="U11842" s="318"/>
      <c r="V11842" s="318"/>
      <c r="W11842" s="318"/>
      <c r="X11842" s="318"/>
      <c r="Y11842" s="318"/>
      <c r="Z11842" s="318"/>
      <c r="AA11842" s="318"/>
      <c r="AB11842" s="318"/>
      <c r="AC11842" s="318"/>
      <c r="AD11842" s="318"/>
    </row>
    <row r="11843" spans="2:30" s="323" customFormat="1" ht="12" customHeight="1">
      <c r="B11843" s="324"/>
      <c r="C11843" s="325"/>
      <c r="D11843" s="326"/>
      <c r="E11843" s="326"/>
      <c r="F11843" s="326"/>
      <c r="G11843" s="326"/>
      <c r="H11843" s="326"/>
      <c r="P11843" s="318"/>
      <c r="Q11843" s="318"/>
      <c r="R11843" s="318"/>
      <c r="S11843" s="318"/>
      <c r="T11843" s="318"/>
      <c r="U11843" s="318"/>
      <c r="V11843" s="318"/>
      <c r="W11843" s="318"/>
      <c r="X11843" s="318"/>
      <c r="Y11843" s="318"/>
      <c r="Z11843" s="318"/>
      <c r="AA11843" s="318"/>
      <c r="AB11843" s="318"/>
      <c r="AC11843" s="318"/>
      <c r="AD11843" s="318"/>
    </row>
    <row r="11844" spans="2:30" s="323" customFormat="1" ht="12" customHeight="1">
      <c r="B11844" s="324"/>
      <c r="C11844" s="325"/>
      <c r="D11844" s="326"/>
      <c r="E11844" s="326"/>
      <c r="F11844" s="326"/>
      <c r="G11844" s="326"/>
      <c r="H11844" s="326"/>
      <c r="P11844" s="318"/>
      <c r="Q11844" s="318"/>
      <c r="R11844" s="318"/>
      <c r="S11844" s="318"/>
      <c r="T11844" s="318"/>
      <c r="U11844" s="318"/>
      <c r="V11844" s="318"/>
      <c r="W11844" s="318"/>
      <c r="X11844" s="318"/>
      <c r="Y11844" s="318"/>
      <c r="Z11844" s="318"/>
      <c r="AA11844" s="318"/>
      <c r="AB11844" s="318"/>
      <c r="AC11844" s="318"/>
      <c r="AD11844" s="318"/>
    </row>
    <row r="11845" spans="2:30" s="323" customFormat="1" ht="12" customHeight="1">
      <c r="B11845" s="324"/>
      <c r="C11845" s="325"/>
      <c r="D11845" s="326"/>
      <c r="E11845" s="326"/>
      <c r="F11845" s="326"/>
      <c r="G11845" s="326"/>
      <c r="H11845" s="326"/>
      <c r="P11845" s="318"/>
      <c r="Q11845" s="318"/>
      <c r="R11845" s="318"/>
      <c r="S11845" s="318"/>
      <c r="T11845" s="318"/>
      <c r="U11845" s="318"/>
      <c r="V11845" s="318"/>
      <c r="W11845" s="318"/>
      <c r="X11845" s="318"/>
      <c r="Y11845" s="318"/>
      <c r="Z11845" s="318"/>
      <c r="AA11845" s="318"/>
      <c r="AB11845" s="318"/>
      <c r="AC11845" s="318"/>
      <c r="AD11845" s="318"/>
    </row>
    <row r="11846" spans="2:30" s="323" customFormat="1" ht="12" customHeight="1">
      <c r="B11846" s="324"/>
      <c r="C11846" s="325"/>
      <c r="D11846" s="326"/>
      <c r="E11846" s="326"/>
      <c r="F11846" s="326"/>
      <c r="G11846" s="326"/>
      <c r="H11846" s="326"/>
      <c r="P11846" s="318"/>
      <c r="Q11846" s="318"/>
      <c r="R11846" s="318"/>
      <c r="S11846" s="318"/>
      <c r="T11846" s="318"/>
      <c r="U11846" s="318"/>
      <c r="V11846" s="318"/>
      <c r="W11846" s="318"/>
      <c r="X11846" s="318"/>
      <c r="Y11846" s="318"/>
      <c r="Z11846" s="318"/>
      <c r="AA11846" s="318"/>
      <c r="AB11846" s="318"/>
      <c r="AC11846" s="318"/>
      <c r="AD11846" s="318"/>
    </row>
    <row r="11847" spans="2:30" s="323" customFormat="1" ht="12" customHeight="1">
      <c r="B11847" s="324"/>
      <c r="C11847" s="325"/>
      <c r="D11847" s="326"/>
      <c r="E11847" s="326"/>
      <c r="F11847" s="326"/>
      <c r="G11847" s="326"/>
      <c r="H11847" s="326"/>
      <c r="P11847" s="318"/>
      <c r="Q11847" s="318"/>
      <c r="R11847" s="318"/>
      <c r="S11847" s="318"/>
      <c r="T11847" s="318"/>
      <c r="U11847" s="318"/>
      <c r="V11847" s="318"/>
      <c r="W11847" s="318"/>
      <c r="X11847" s="318"/>
      <c r="Y11847" s="318"/>
      <c r="Z11847" s="318"/>
      <c r="AA11847" s="318"/>
      <c r="AB11847" s="318"/>
      <c r="AC11847" s="318"/>
      <c r="AD11847" s="318"/>
    </row>
    <row r="11848" spans="2:30" s="323" customFormat="1" ht="12" customHeight="1">
      <c r="B11848" s="324"/>
      <c r="C11848" s="325"/>
      <c r="D11848" s="326"/>
      <c r="E11848" s="326"/>
      <c r="F11848" s="326"/>
      <c r="G11848" s="326"/>
      <c r="H11848" s="326"/>
      <c r="P11848" s="318"/>
      <c r="Q11848" s="318"/>
      <c r="R11848" s="318"/>
      <c r="S11848" s="318"/>
      <c r="T11848" s="318"/>
      <c r="U11848" s="318"/>
      <c r="V11848" s="318"/>
      <c r="W11848" s="318"/>
      <c r="X11848" s="318"/>
      <c r="Y11848" s="318"/>
      <c r="Z11848" s="318"/>
      <c r="AA11848" s="318"/>
      <c r="AB11848" s="318"/>
      <c r="AC11848" s="318"/>
      <c r="AD11848" s="318"/>
    </row>
    <row r="11849" spans="2:30" s="323" customFormat="1" ht="12" customHeight="1">
      <c r="B11849" s="324"/>
      <c r="C11849" s="325"/>
      <c r="D11849" s="326"/>
      <c r="E11849" s="326"/>
      <c r="F11849" s="326"/>
      <c r="G11849" s="326"/>
      <c r="H11849" s="326"/>
      <c r="P11849" s="318"/>
      <c r="Q11849" s="318"/>
      <c r="R11849" s="318"/>
      <c r="S11849" s="318"/>
      <c r="T11849" s="318"/>
      <c r="U11849" s="318"/>
      <c r="V11849" s="318"/>
      <c r="W11849" s="318"/>
      <c r="X11849" s="318"/>
      <c r="Y11849" s="318"/>
      <c r="Z11849" s="318"/>
      <c r="AA11849" s="318"/>
      <c r="AB11849" s="318"/>
      <c r="AC11849" s="318"/>
      <c r="AD11849" s="318"/>
    </row>
    <row r="11850" spans="2:30" s="323" customFormat="1" ht="12" customHeight="1">
      <c r="B11850" s="324"/>
      <c r="C11850" s="325"/>
      <c r="D11850" s="326"/>
      <c r="E11850" s="326"/>
      <c r="F11850" s="326"/>
      <c r="G11850" s="326"/>
      <c r="H11850" s="326"/>
      <c r="P11850" s="318"/>
      <c r="Q11850" s="318"/>
      <c r="R11850" s="318"/>
      <c r="S11850" s="318"/>
      <c r="T11850" s="318"/>
      <c r="U11850" s="318"/>
      <c r="V11850" s="318"/>
      <c r="W11850" s="318"/>
      <c r="X11850" s="318"/>
      <c r="Y11850" s="318"/>
      <c r="Z11850" s="318"/>
      <c r="AA11850" s="318"/>
      <c r="AB11850" s="318"/>
      <c r="AC11850" s="318"/>
      <c r="AD11850" s="318"/>
    </row>
    <row r="11851" spans="2:30" s="323" customFormat="1" ht="12" customHeight="1">
      <c r="B11851" s="324"/>
      <c r="C11851" s="325"/>
      <c r="D11851" s="326"/>
      <c r="E11851" s="326"/>
      <c r="F11851" s="326"/>
      <c r="G11851" s="326"/>
      <c r="H11851" s="326"/>
      <c r="P11851" s="318"/>
      <c r="Q11851" s="318"/>
      <c r="R11851" s="318"/>
      <c r="S11851" s="318"/>
      <c r="T11851" s="318"/>
      <c r="U11851" s="318"/>
      <c r="V11851" s="318"/>
      <c r="W11851" s="318"/>
      <c r="X11851" s="318"/>
      <c r="Y11851" s="318"/>
      <c r="Z11851" s="318"/>
      <c r="AA11851" s="318"/>
      <c r="AB11851" s="318"/>
      <c r="AC11851" s="318"/>
      <c r="AD11851" s="318"/>
    </row>
    <row r="11852" spans="2:30" s="323" customFormat="1" ht="12" customHeight="1">
      <c r="B11852" s="324"/>
      <c r="C11852" s="325"/>
      <c r="D11852" s="326"/>
      <c r="E11852" s="326"/>
      <c r="F11852" s="326"/>
      <c r="G11852" s="326"/>
      <c r="H11852" s="326"/>
      <c r="P11852" s="318"/>
      <c r="Q11852" s="318"/>
      <c r="R11852" s="318"/>
      <c r="S11852" s="318"/>
      <c r="T11852" s="318"/>
      <c r="U11852" s="318"/>
      <c r="V11852" s="318"/>
      <c r="W11852" s="318"/>
      <c r="X11852" s="318"/>
      <c r="Y11852" s="318"/>
      <c r="Z11852" s="318"/>
      <c r="AA11852" s="318"/>
      <c r="AB11852" s="318"/>
      <c r="AC11852" s="318"/>
      <c r="AD11852" s="318"/>
    </row>
    <row r="11853" spans="2:30" s="323" customFormat="1" ht="12" customHeight="1">
      <c r="B11853" s="324"/>
      <c r="C11853" s="325"/>
      <c r="D11853" s="326"/>
      <c r="E11853" s="326"/>
      <c r="F11853" s="326"/>
      <c r="G11853" s="326"/>
      <c r="H11853" s="326"/>
      <c r="P11853" s="318"/>
      <c r="Q11853" s="318"/>
      <c r="R11853" s="318"/>
      <c r="S11853" s="318"/>
      <c r="T11853" s="318"/>
      <c r="U11853" s="318"/>
      <c r="V11853" s="318"/>
      <c r="W11853" s="318"/>
      <c r="X11853" s="318"/>
      <c r="Y11853" s="318"/>
      <c r="Z11853" s="318"/>
      <c r="AA11853" s="318"/>
      <c r="AB11853" s="318"/>
      <c r="AC11853" s="318"/>
      <c r="AD11853" s="318"/>
    </row>
    <row r="11854" spans="2:30" s="323" customFormat="1" ht="12" customHeight="1">
      <c r="B11854" s="324"/>
      <c r="C11854" s="325"/>
      <c r="D11854" s="326"/>
      <c r="E11854" s="326"/>
      <c r="F11854" s="326"/>
      <c r="G11854" s="326"/>
      <c r="H11854" s="326"/>
      <c r="P11854" s="318"/>
      <c r="Q11854" s="318"/>
      <c r="R11854" s="318"/>
      <c r="S11854" s="318"/>
      <c r="T11854" s="318"/>
      <c r="U11854" s="318"/>
      <c r="V11854" s="318"/>
      <c r="W11854" s="318"/>
      <c r="X11854" s="318"/>
      <c r="Y11854" s="318"/>
      <c r="Z11854" s="318"/>
      <c r="AA11854" s="318"/>
      <c r="AB11854" s="318"/>
      <c r="AC11854" s="318"/>
      <c r="AD11854" s="318"/>
    </row>
    <row r="11855" spans="2:30" s="323" customFormat="1" ht="12" customHeight="1">
      <c r="B11855" s="324"/>
      <c r="C11855" s="325"/>
      <c r="D11855" s="326"/>
      <c r="E11855" s="326"/>
      <c r="F11855" s="326"/>
      <c r="G11855" s="326"/>
      <c r="H11855" s="326"/>
      <c r="P11855" s="318"/>
      <c r="Q11855" s="318"/>
      <c r="R11855" s="318"/>
      <c r="S11855" s="318"/>
      <c r="T11855" s="318"/>
      <c r="U11855" s="318"/>
      <c r="V11855" s="318"/>
      <c r="W11855" s="318"/>
      <c r="X11855" s="318"/>
      <c r="Y11855" s="318"/>
      <c r="Z11855" s="318"/>
      <c r="AA11855" s="318"/>
      <c r="AB11855" s="318"/>
      <c r="AC11855" s="318"/>
      <c r="AD11855" s="318"/>
    </row>
    <row r="11856" spans="2:30" s="323" customFormat="1" ht="12" customHeight="1">
      <c r="B11856" s="324"/>
      <c r="C11856" s="325"/>
      <c r="D11856" s="326"/>
      <c r="E11856" s="326"/>
      <c r="F11856" s="326"/>
      <c r="G11856" s="326"/>
      <c r="H11856" s="326"/>
      <c r="P11856" s="318"/>
      <c r="Q11856" s="318"/>
      <c r="R11856" s="318"/>
      <c r="S11856" s="318"/>
      <c r="T11856" s="318"/>
      <c r="U11856" s="318"/>
      <c r="V11856" s="318"/>
      <c r="W11856" s="318"/>
      <c r="X11856" s="318"/>
      <c r="Y11856" s="318"/>
      <c r="Z11856" s="318"/>
      <c r="AA11856" s="318"/>
      <c r="AB11856" s="318"/>
      <c r="AC11856" s="318"/>
      <c r="AD11856" s="318"/>
    </row>
    <row r="11857" spans="2:30" s="323" customFormat="1" ht="12" customHeight="1">
      <c r="B11857" s="324"/>
      <c r="C11857" s="325"/>
      <c r="D11857" s="326"/>
      <c r="E11857" s="326"/>
      <c r="F11857" s="326"/>
      <c r="G11857" s="326"/>
      <c r="H11857" s="326"/>
      <c r="P11857" s="318"/>
      <c r="Q11857" s="318"/>
      <c r="R11857" s="318"/>
      <c r="S11857" s="318"/>
      <c r="T11857" s="318"/>
      <c r="U11857" s="318"/>
      <c r="V11857" s="318"/>
      <c r="W11857" s="318"/>
      <c r="X11857" s="318"/>
      <c r="Y11857" s="318"/>
      <c r="Z11857" s="318"/>
      <c r="AA11857" s="318"/>
      <c r="AB11857" s="318"/>
      <c r="AC11857" s="318"/>
      <c r="AD11857" s="318"/>
    </row>
    <row r="11858" spans="2:30" s="323" customFormat="1" ht="12" customHeight="1">
      <c r="B11858" s="324"/>
      <c r="C11858" s="325"/>
      <c r="D11858" s="326"/>
      <c r="E11858" s="326"/>
      <c r="F11858" s="326"/>
      <c r="G11858" s="326"/>
      <c r="H11858" s="326"/>
      <c r="P11858" s="318"/>
      <c r="Q11858" s="318"/>
      <c r="R11858" s="318"/>
      <c r="S11858" s="318"/>
      <c r="T11858" s="318"/>
      <c r="U11858" s="318"/>
      <c r="V11858" s="318"/>
      <c r="W11858" s="318"/>
      <c r="X11858" s="318"/>
      <c r="Y11858" s="318"/>
      <c r="Z11858" s="318"/>
      <c r="AA11858" s="318"/>
      <c r="AB11858" s="318"/>
      <c r="AC11858" s="318"/>
      <c r="AD11858" s="318"/>
    </row>
    <row r="11859" spans="2:30" s="323" customFormat="1" ht="12" customHeight="1">
      <c r="B11859" s="324"/>
      <c r="C11859" s="325"/>
      <c r="D11859" s="326"/>
      <c r="E11859" s="326"/>
      <c r="F11859" s="326"/>
      <c r="G11859" s="326"/>
      <c r="H11859" s="326"/>
      <c r="P11859" s="318"/>
      <c r="Q11859" s="318"/>
      <c r="R11859" s="318"/>
      <c r="S11859" s="318"/>
      <c r="T11859" s="318"/>
      <c r="U11859" s="318"/>
      <c r="V11859" s="318"/>
      <c r="W11859" s="318"/>
      <c r="X11859" s="318"/>
      <c r="Y11859" s="318"/>
      <c r="Z11859" s="318"/>
      <c r="AA11859" s="318"/>
      <c r="AB11859" s="318"/>
      <c r="AC11859" s="318"/>
      <c r="AD11859" s="318"/>
    </row>
    <row r="11860" spans="2:30" s="323" customFormat="1" ht="12" customHeight="1">
      <c r="B11860" s="324"/>
      <c r="C11860" s="325"/>
      <c r="D11860" s="326"/>
      <c r="E11860" s="326"/>
      <c r="F11860" s="326"/>
      <c r="G11860" s="326"/>
      <c r="H11860" s="326"/>
      <c r="P11860" s="318"/>
      <c r="Q11860" s="318"/>
      <c r="R11860" s="318"/>
      <c r="S11860" s="318"/>
      <c r="T11860" s="318"/>
      <c r="U11860" s="318"/>
      <c r="V11860" s="318"/>
      <c r="W11860" s="318"/>
      <c r="X11860" s="318"/>
      <c r="Y11860" s="318"/>
      <c r="Z11860" s="318"/>
      <c r="AA11860" s="318"/>
      <c r="AB11860" s="318"/>
      <c r="AC11860" s="318"/>
      <c r="AD11860" s="318"/>
    </row>
    <row r="11861" spans="2:30" s="323" customFormat="1" ht="12" customHeight="1">
      <c r="B11861" s="324"/>
      <c r="C11861" s="325"/>
      <c r="D11861" s="326"/>
      <c r="E11861" s="326"/>
      <c r="F11861" s="326"/>
      <c r="G11861" s="326"/>
      <c r="H11861" s="326"/>
      <c r="P11861" s="318"/>
      <c r="Q11861" s="318"/>
      <c r="R11861" s="318"/>
      <c r="S11861" s="318"/>
      <c r="T11861" s="318"/>
      <c r="U11861" s="318"/>
      <c r="V11861" s="318"/>
      <c r="W11861" s="318"/>
      <c r="X11861" s="318"/>
      <c r="Y11861" s="318"/>
      <c r="Z11861" s="318"/>
      <c r="AA11861" s="318"/>
      <c r="AB11861" s="318"/>
      <c r="AC11861" s="318"/>
      <c r="AD11861" s="318"/>
    </row>
    <row r="11862" spans="2:30" s="323" customFormat="1" ht="12" customHeight="1">
      <c r="B11862" s="324"/>
      <c r="C11862" s="325"/>
      <c r="D11862" s="326"/>
      <c r="E11862" s="326"/>
      <c r="F11862" s="326"/>
      <c r="G11862" s="326"/>
      <c r="H11862" s="326"/>
      <c r="P11862" s="318"/>
      <c r="Q11862" s="318"/>
      <c r="R11862" s="318"/>
      <c r="S11862" s="318"/>
      <c r="T11862" s="318"/>
      <c r="U11862" s="318"/>
      <c r="V11862" s="318"/>
      <c r="W11862" s="318"/>
      <c r="X11862" s="318"/>
      <c r="Y11862" s="318"/>
      <c r="Z11862" s="318"/>
      <c r="AA11862" s="318"/>
      <c r="AB11862" s="318"/>
      <c r="AC11862" s="318"/>
      <c r="AD11862" s="318"/>
    </row>
    <row r="11863" spans="2:30" s="323" customFormat="1" ht="12" customHeight="1">
      <c r="B11863" s="324"/>
      <c r="C11863" s="325"/>
      <c r="D11863" s="326"/>
      <c r="E11863" s="326"/>
      <c r="F11863" s="326"/>
      <c r="G11863" s="326"/>
      <c r="H11863" s="326"/>
      <c r="P11863" s="318"/>
      <c r="Q11863" s="318"/>
      <c r="R11863" s="318"/>
      <c r="S11863" s="318"/>
      <c r="T11863" s="318"/>
      <c r="U11863" s="318"/>
      <c r="V11863" s="318"/>
      <c r="W11863" s="318"/>
      <c r="X11863" s="318"/>
      <c r="Y11863" s="318"/>
      <c r="Z11863" s="318"/>
      <c r="AA11863" s="318"/>
      <c r="AB11863" s="318"/>
      <c r="AC11863" s="318"/>
      <c r="AD11863" s="318"/>
    </row>
    <row r="11864" spans="2:30" s="323" customFormat="1" ht="12" customHeight="1">
      <c r="B11864" s="324"/>
      <c r="C11864" s="325"/>
      <c r="D11864" s="326"/>
      <c r="E11864" s="326"/>
      <c r="F11864" s="326"/>
      <c r="G11864" s="326"/>
      <c r="H11864" s="326"/>
      <c r="P11864" s="318"/>
      <c r="Q11864" s="318"/>
      <c r="R11864" s="318"/>
      <c r="S11864" s="318"/>
      <c r="T11864" s="318"/>
      <c r="U11864" s="318"/>
      <c r="V11864" s="318"/>
      <c r="W11864" s="318"/>
      <c r="X11864" s="318"/>
      <c r="Y11864" s="318"/>
      <c r="Z11864" s="318"/>
      <c r="AA11864" s="318"/>
      <c r="AB11864" s="318"/>
      <c r="AC11864" s="318"/>
      <c r="AD11864" s="318"/>
    </row>
    <row r="11865" spans="2:30" s="323" customFormat="1" ht="12" customHeight="1">
      <c r="B11865" s="324"/>
      <c r="C11865" s="325"/>
      <c r="D11865" s="326"/>
      <c r="E11865" s="326"/>
      <c r="F11865" s="326"/>
      <c r="G11865" s="326"/>
      <c r="H11865" s="326"/>
      <c r="P11865" s="318"/>
      <c r="Q11865" s="318"/>
      <c r="R11865" s="318"/>
      <c r="S11865" s="318"/>
      <c r="T11865" s="318"/>
      <c r="U11865" s="318"/>
      <c r="V11865" s="318"/>
      <c r="W11865" s="318"/>
      <c r="X11865" s="318"/>
      <c r="Y11865" s="318"/>
      <c r="Z11865" s="318"/>
      <c r="AA11865" s="318"/>
      <c r="AB11865" s="318"/>
      <c r="AC11865" s="318"/>
      <c r="AD11865" s="318"/>
    </row>
    <row r="11866" spans="2:30" s="323" customFormat="1" ht="12" customHeight="1">
      <c r="B11866" s="324"/>
      <c r="C11866" s="325"/>
      <c r="D11866" s="326"/>
      <c r="E11866" s="326"/>
      <c r="F11866" s="326"/>
      <c r="G11866" s="326"/>
      <c r="H11866" s="326"/>
      <c r="P11866" s="318"/>
      <c r="Q11866" s="318"/>
      <c r="R11866" s="318"/>
      <c r="S11866" s="318"/>
      <c r="T11866" s="318"/>
      <c r="U11866" s="318"/>
      <c r="V11866" s="318"/>
      <c r="W11866" s="318"/>
      <c r="X11866" s="318"/>
      <c r="Y11866" s="318"/>
      <c r="Z11866" s="318"/>
      <c r="AA11866" s="318"/>
      <c r="AB11866" s="318"/>
      <c r="AC11866" s="318"/>
      <c r="AD11866" s="318"/>
    </row>
    <row r="11867" spans="2:30" s="323" customFormat="1" ht="12" customHeight="1">
      <c r="B11867" s="324"/>
      <c r="C11867" s="325"/>
      <c r="D11867" s="326"/>
      <c r="E11867" s="326"/>
      <c r="F11867" s="326"/>
      <c r="G11867" s="326"/>
      <c r="H11867" s="326"/>
      <c r="P11867" s="318"/>
      <c r="Q11867" s="318"/>
      <c r="R11867" s="318"/>
      <c r="S11867" s="318"/>
      <c r="T11867" s="318"/>
      <c r="U11867" s="318"/>
      <c r="V11867" s="318"/>
      <c r="W11867" s="318"/>
      <c r="X11867" s="318"/>
      <c r="Y11867" s="318"/>
      <c r="Z11867" s="318"/>
      <c r="AA11867" s="318"/>
      <c r="AB11867" s="318"/>
      <c r="AC11867" s="318"/>
      <c r="AD11867" s="318"/>
    </row>
    <row r="11868" spans="2:30" s="323" customFormat="1" ht="12" customHeight="1">
      <c r="B11868" s="324"/>
      <c r="C11868" s="325"/>
      <c r="D11868" s="326"/>
      <c r="E11868" s="326"/>
      <c r="F11868" s="326"/>
      <c r="G11868" s="326"/>
      <c r="H11868" s="326"/>
      <c r="P11868" s="318"/>
      <c r="Q11868" s="318"/>
      <c r="R11868" s="318"/>
      <c r="S11868" s="318"/>
      <c r="T11868" s="318"/>
      <c r="U11868" s="318"/>
      <c r="V11868" s="318"/>
      <c r="W11868" s="318"/>
      <c r="X11868" s="318"/>
      <c r="Y11868" s="318"/>
      <c r="Z11868" s="318"/>
      <c r="AA11868" s="318"/>
      <c r="AB11868" s="318"/>
      <c r="AC11868" s="318"/>
      <c r="AD11868" s="318"/>
    </row>
    <row r="11869" spans="2:30" s="323" customFormat="1" ht="12" customHeight="1">
      <c r="B11869" s="324"/>
      <c r="C11869" s="325"/>
      <c r="D11869" s="326"/>
      <c r="E11869" s="326"/>
      <c r="F11869" s="326"/>
      <c r="G11869" s="326"/>
      <c r="H11869" s="326"/>
      <c r="P11869" s="318"/>
      <c r="Q11869" s="318"/>
      <c r="R11869" s="318"/>
      <c r="S11869" s="318"/>
      <c r="T11869" s="318"/>
      <c r="U11869" s="318"/>
      <c r="V11869" s="318"/>
      <c r="W11869" s="318"/>
      <c r="X11869" s="318"/>
      <c r="Y11869" s="318"/>
      <c r="Z11869" s="318"/>
      <c r="AA11869" s="318"/>
      <c r="AB11869" s="318"/>
      <c r="AC11869" s="318"/>
      <c r="AD11869" s="318"/>
    </row>
    <row r="11870" spans="2:30" s="323" customFormat="1" ht="12" customHeight="1">
      <c r="B11870" s="324"/>
      <c r="C11870" s="325"/>
      <c r="D11870" s="326"/>
      <c r="E11870" s="326"/>
      <c r="F11870" s="326"/>
      <c r="G11870" s="326"/>
      <c r="H11870" s="326"/>
      <c r="P11870" s="318"/>
      <c r="Q11870" s="318"/>
      <c r="R11870" s="318"/>
      <c r="S11870" s="318"/>
      <c r="T11870" s="318"/>
      <c r="U11870" s="318"/>
      <c r="V11870" s="318"/>
      <c r="W11870" s="318"/>
      <c r="X11870" s="318"/>
      <c r="Y11870" s="318"/>
      <c r="Z11870" s="318"/>
      <c r="AA11870" s="318"/>
      <c r="AB11870" s="318"/>
      <c r="AC11870" s="318"/>
      <c r="AD11870" s="318"/>
    </row>
    <row r="11871" spans="2:30" s="323" customFormat="1" ht="12" customHeight="1">
      <c r="B11871" s="324"/>
      <c r="C11871" s="325"/>
      <c r="D11871" s="326"/>
      <c r="E11871" s="326"/>
      <c r="F11871" s="326"/>
      <c r="G11871" s="326"/>
      <c r="H11871" s="326"/>
      <c r="P11871" s="318"/>
      <c r="Q11871" s="318"/>
      <c r="R11871" s="318"/>
      <c r="S11871" s="318"/>
      <c r="T11871" s="318"/>
      <c r="U11871" s="318"/>
      <c r="V11871" s="318"/>
      <c r="W11871" s="318"/>
      <c r="X11871" s="318"/>
      <c r="Y11871" s="318"/>
      <c r="Z11871" s="318"/>
      <c r="AA11871" s="318"/>
      <c r="AB11871" s="318"/>
      <c r="AC11871" s="318"/>
      <c r="AD11871" s="318"/>
    </row>
    <row r="11872" spans="2:30" s="323" customFormat="1" ht="12" customHeight="1">
      <c r="B11872" s="324"/>
      <c r="C11872" s="325"/>
      <c r="D11872" s="326"/>
      <c r="E11872" s="326"/>
      <c r="F11872" s="326"/>
      <c r="G11872" s="326"/>
      <c r="H11872" s="326"/>
      <c r="P11872" s="318"/>
      <c r="Q11872" s="318"/>
      <c r="R11872" s="318"/>
      <c r="S11872" s="318"/>
      <c r="T11872" s="318"/>
      <c r="U11872" s="318"/>
      <c r="V11872" s="318"/>
      <c r="W11872" s="318"/>
      <c r="X11872" s="318"/>
      <c r="Y11872" s="318"/>
      <c r="Z11872" s="318"/>
      <c r="AA11872" s="318"/>
      <c r="AB11872" s="318"/>
      <c r="AC11872" s="318"/>
      <c r="AD11872" s="318"/>
    </row>
    <row r="11873" spans="2:30" s="323" customFormat="1" ht="12" customHeight="1">
      <c r="B11873" s="324"/>
      <c r="C11873" s="325"/>
      <c r="D11873" s="326"/>
      <c r="E11873" s="326"/>
      <c r="F11873" s="326"/>
      <c r="G11873" s="326"/>
      <c r="H11873" s="326"/>
      <c r="P11873" s="318"/>
      <c r="Q11873" s="318"/>
      <c r="R11873" s="318"/>
      <c r="S11873" s="318"/>
      <c r="T11873" s="318"/>
      <c r="U11873" s="318"/>
      <c r="V11873" s="318"/>
      <c r="W11873" s="318"/>
      <c r="X11873" s="318"/>
      <c r="Y11873" s="318"/>
      <c r="Z11873" s="318"/>
      <c r="AA11873" s="318"/>
      <c r="AB11873" s="318"/>
      <c r="AC11873" s="318"/>
      <c r="AD11873" s="318"/>
    </row>
    <row r="11874" spans="2:30" s="323" customFormat="1" ht="12" customHeight="1">
      <c r="B11874" s="324"/>
      <c r="C11874" s="325"/>
      <c r="D11874" s="326"/>
      <c r="E11874" s="326"/>
      <c r="F11874" s="326"/>
      <c r="G11874" s="326"/>
      <c r="H11874" s="326"/>
      <c r="P11874" s="318"/>
      <c r="Q11874" s="318"/>
      <c r="R11874" s="318"/>
      <c r="S11874" s="318"/>
      <c r="T11874" s="318"/>
      <c r="U11874" s="318"/>
      <c r="V11874" s="318"/>
      <c r="W11874" s="318"/>
      <c r="X11874" s="318"/>
      <c r="Y11874" s="318"/>
      <c r="Z11874" s="318"/>
      <c r="AA11874" s="318"/>
      <c r="AB11874" s="318"/>
      <c r="AC11874" s="318"/>
      <c r="AD11874" s="318"/>
    </row>
    <row r="11875" spans="2:30" s="323" customFormat="1" ht="12" customHeight="1">
      <c r="B11875" s="324"/>
      <c r="C11875" s="325"/>
      <c r="D11875" s="326"/>
      <c r="E11875" s="326"/>
      <c r="F11875" s="326"/>
      <c r="G11875" s="326"/>
      <c r="H11875" s="326"/>
      <c r="P11875" s="318"/>
      <c r="Q11875" s="318"/>
      <c r="R11875" s="318"/>
      <c r="S11875" s="318"/>
      <c r="T11875" s="318"/>
      <c r="U11875" s="318"/>
      <c r="V11875" s="318"/>
      <c r="W11875" s="318"/>
      <c r="X11875" s="318"/>
      <c r="Y11875" s="318"/>
      <c r="Z11875" s="318"/>
      <c r="AA11875" s="318"/>
      <c r="AB11875" s="318"/>
      <c r="AC11875" s="318"/>
      <c r="AD11875" s="318"/>
    </row>
    <row r="11876" spans="2:30" s="323" customFormat="1" ht="12" customHeight="1">
      <c r="B11876" s="324"/>
      <c r="C11876" s="325"/>
      <c r="D11876" s="326"/>
      <c r="E11876" s="326"/>
      <c r="F11876" s="326"/>
      <c r="G11876" s="326"/>
      <c r="H11876" s="326"/>
      <c r="P11876" s="318"/>
      <c r="Q11876" s="318"/>
      <c r="R11876" s="318"/>
      <c r="S11876" s="318"/>
      <c r="T11876" s="318"/>
      <c r="U11876" s="318"/>
      <c r="V11876" s="318"/>
      <c r="W11876" s="318"/>
      <c r="X11876" s="318"/>
      <c r="Y11876" s="318"/>
      <c r="Z11876" s="318"/>
      <c r="AA11876" s="318"/>
      <c r="AB11876" s="318"/>
      <c r="AC11876" s="318"/>
      <c r="AD11876" s="318"/>
    </row>
    <row r="11877" spans="2:30" s="323" customFormat="1" ht="12" customHeight="1">
      <c r="B11877" s="324"/>
      <c r="C11877" s="325"/>
      <c r="D11877" s="326"/>
      <c r="E11877" s="326"/>
      <c r="F11877" s="326"/>
      <c r="G11877" s="326"/>
      <c r="H11877" s="326"/>
      <c r="P11877" s="318"/>
      <c r="Q11877" s="318"/>
      <c r="R11877" s="318"/>
      <c r="S11877" s="318"/>
      <c r="T11877" s="318"/>
      <c r="U11877" s="318"/>
      <c r="V11877" s="318"/>
      <c r="W11877" s="318"/>
      <c r="X11877" s="318"/>
      <c r="Y11877" s="318"/>
      <c r="Z11877" s="318"/>
      <c r="AA11877" s="318"/>
      <c r="AB11877" s="318"/>
      <c r="AC11877" s="318"/>
      <c r="AD11877" s="318"/>
    </row>
    <row r="11878" spans="2:30" s="323" customFormat="1" ht="12" customHeight="1">
      <c r="B11878" s="324"/>
      <c r="C11878" s="325"/>
      <c r="D11878" s="326"/>
      <c r="E11878" s="326"/>
      <c r="F11878" s="326"/>
      <c r="G11878" s="326"/>
      <c r="H11878" s="326"/>
      <c r="P11878" s="318"/>
      <c r="Q11878" s="318"/>
      <c r="R11878" s="318"/>
      <c r="S11878" s="318"/>
      <c r="T11878" s="318"/>
      <c r="U11878" s="318"/>
      <c r="V11878" s="318"/>
      <c r="W11878" s="318"/>
      <c r="X11878" s="318"/>
      <c r="Y11878" s="318"/>
      <c r="Z11878" s="318"/>
      <c r="AA11878" s="318"/>
      <c r="AB11878" s="318"/>
      <c r="AC11878" s="318"/>
      <c r="AD11878" s="318"/>
    </row>
    <row r="11879" spans="2:30" s="323" customFormat="1" ht="12" customHeight="1">
      <c r="B11879" s="324"/>
      <c r="C11879" s="325"/>
      <c r="D11879" s="326"/>
      <c r="E11879" s="326"/>
      <c r="F11879" s="326"/>
      <c r="G11879" s="326"/>
      <c r="H11879" s="326"/>
      <c r="P11879" s="318"/>
      <c r="Q11879" s="318"/>
      <c r="R11879" s="318"/>
      <c r="S11879" s="318"/>
      <c r="T11879" s="318"/>
      <c r="U11879" s="318"/>
      <c r="V11879" s="318"/>
      <c r="W11879" s="318"/>
      <c r="X11879" s="318"/>
      <c r="Y11879" s="318"/>
      <c r="Z11879" s="318"/>
      <c r="AA11879" s="318"/>
      <c r="AB11879" s="318"/>
      <c r="AC11879" s="318"/>
      <c r="AD11879" s="318"/>
    </row>
    <row r="11880" spans="2:30" s="323" customFormat="1" ht="12" customHeight="1">
      <c r="B11880" s="324"/>
      <c r="C11880" s="325"/>
      <c r="D11880" s="326"/>
      <c r="E11880" s="326"/>
      <c r="F11880" s="326"/>
      <c r="G11880" s="326"/>
      <c r="H11880" s="326"/>
      <c r="P11880" s="318"/>
      <c r="Q11880" s="318"/>
      <c r="R11880" s="318"/>
      <c r="S11880" s="318"/>
      <c r="T11880" s="318"/>
      <c r="U11880" s="318"/>
      <c r="V11880" s="318"/>
      <c r="W11880" s="318"/>
      <c r="X11880" s="318"/>
      <c r="Y11880" s="318"/>
      <c r="Z11880" s="318"/>
      <c r="AA11880" s="318"/>
      <c r="AB11880" s="318"/>
      <c r="AC11880" s="318"/>
      <c r="AD11880" s="318"/>
    </row>
    <row r="11881" spans="2:30" s="323" customFormat="1" ht="12" customHeight="1">
      <c r="B11881" s="324"/>
      <c r="C11881" s="325"/>
      <c r="D11881" s="326"/>
      <c r="E11881" s="326"/>
      <c r="F11881" s="326"/>
      <c r="G11881" s="326"/>
      <c r="H11881" s="326"/>
      <c r="P11881" s="318"/>
      <c r="Q11881" s="318"/>
      <c r="R11881" s="318"/>
      <c r="S11881" s="318"/>
      <c r="T11881" s="318"/>
      <c r="U11881" s="318"/>
      <c r="V11881" s="318"/>
      <c r="W11881" s="318"/>
      <c r="X11881" s="318"/>
      <c r="Y11881" s="318"/>
      <c r="Z11881" s="318"/>
      <c r="AA11881" s="318"/>
      <c r="AB11881" s="318"/>
      <c r="AC11881" s="318"/>
      <c r="AD11881" s="318"/>
    </row>
    <row r="11882" spans="2:30" s="323" customFormat="1" ht="12" customHeight="1">
      <c r="B11882" s="324"/>
      <c r="C11882" s="325"/>
      <c r="D11882" s="326"/>
      <c r="E11882" s="326"/>
      <c r="F11882" s="326"/>
      <c r="G11882" s="326"/>
      <c r="H11882" s="326"/>
      <c r="P11882" s="318"/>
      <c r="Q11882" s="318"/>
      <c r="R11882" s="318"/>
      <c r="S11882" s="318"/>
      <c r="T11882" s="318"/>
      <c r="U11882" s="318"/>
      <c r="V11882" s="318"/>
      <c r="W11882" s="318"/>
      <c r="X11882" s="318"/>
      <c r="Y11882" s="318"/>
      <c r="Z11882" s="318"/>
      <c r="AA11882" s="318"/>
      <c r="AB11882" s="318"/>
      <c r="AC11882" s="318"/>
      <c r="AD11882" s="318"/>
    </row>
    <row r="11883" spans="2:30" s="323" customFormat="1" ht="12" customHeight="1">
      <c r="B11883" s="324"/>
      <c r="C11883" s="325"/>
      <c r="D11883" s="326"/>
      <c r="E11883" s="326"/>
      <c r="F11883" s="326"/>
      <c r="G11883" s="326"/>
      <c r="H11883" s="326"/>
      <c r="P11883" s="318"/>
      <c r="Q11883" s="318"/>
      <c r="R11883" s="318"/>
      <c r="S11883" s="318"/>
      <c r="T11883" s="318"/>
      <c r="U11883" s="318"/>
      <c r="V11883" s="318"/>
      <c r="W11883" s="318"/>
      <c r="X11883" s="318"/>
      <c r="Y11883" s="318"/>
      <c r="Z11883" s="318"/>
      <c r="AA11883" s="318"/>
      <c r="AB11883" s="318"/>
      <c r="AC11883" s="318"/>
      <c r="AD11883" s="318"/>
    </row>
    <row r="11884" spans="2:30" s="323" customFormat="1" ht="12" customHeight="1">
      <c r="B11884" s="324"/>
      <c r="C11884" s="325"/>
      <c r="D11884" s="326"/>
      <c r="E11884" s="326"/>
      <c r="F11884" s="326"/>
      <c r="G11884" s="326"/>
      <c r="H11884" s="326"/>
      <c r="P11884" s="318"/>
      <c r="Q11884" s="318"/>
      <c r="R11884" s="318"/>
      <c r="S11884" s="318"/>
      <c r="T11884" s="318"/>
      <c r="U11884" s="318"/>
      <c r="V11884" s="318"/>
      <c r="W11884" s="318"/>
      <c r="X11884" s="318"/>
      <c r="Y11884" s="318"/>
      <c r="Z11884" s="318"/>
      <c r="AA11884" s="318"/>
      <c r="AB11884" s="318"/>
      <c r="AC11884" s="318"/>
      <c r="AD11884" s="318"/>
    </row>
    <row r="11885" spans="2:30" s="323" customFormat="1" ht="12" customHeight="1">
      <c r="B11885" s="324"/>
      <c r="C11885" s="325"/>
      <c r="D11885" s="326"/>
      <c r="E11885" s="326"/>
      <c r="F11885" s="326"/>
      <c r="G11885" s="326"/>
      <c r="H11885" s="326"/>
      <c r="P11885" s="318"/>
      <c r="Q11885" s="318"/>
      <c r="R11885" s="318"/>
      <c r="S11885" s="318"/>
      <c r="T11885" s="318"/>
      <c r="U11885" s="318"/>
      <c r="V11885" s="318"/>
      <c r="W11885" s="318"/>
      <c r="X11885" s="318"/>
      <c r="Y11885" s="318"/>
      <c r="Z11885" s="318"/>
      <c r="AA11885" s="318"/>
      <c r="AB11885" s="318"/>
      <c r="AC11885" s="318"/>
      <c r="AD11885" s="318"/>
    </row>
    <row r="11886" spans="2:30" s="323" customFormat="1" ht="12" customHeight="1">
      <c r="B11886" s="324"/>
      <c r="C11886" s="325"/>
      <c r="D11886" s="326"/>
      <c r="E11886" s="326"/>
      <c r="F11886" s="326"/>
      <c r="G11886" s="326"/>
      <c r="H11886" s="326"/>
      <c r="P11886" s="318"/>
      <c r="Q11886" s="318"/>
      <c r="R11886" s="318"/>
      <c r="S11886" s="318"/>
      <c r="T11886" s="318"/>
      <c r="U11886" s="318"/>
      <c r="V11886" s="318"/>
      <c r="W11886" s="318"/>
      <c r="X11886" s="318"/>
      <c r="Y11886" s="318"/>
      <c r="Z11886" s="318"/>
      <c r="AA11886" s="318"/>
      <c r="AB11886" s="318"/>
      <c r="AC11886" s="318"/>
      <c r="AD11886" s="318"/>
    </row>
    <row r="11887" spans="2:30" s="323" customFormat="1" ht="12" customHeight="1">
      <c r="B11887" s="324"/>
      <c r="C11887" s="325"/>
      <c r="D11887" s="326"/>
      <c r="E11887" s="326"/>
      <c r="F11887" s="326"/>
      <c r="G11887" s="326"/>
      <c r="H11887" s="326"/>
      <c r="P11887" s="318"/>
      <c r="Q11887" s="318"/>
      <c r="R11887" s="318"/>
      <c r="S11887" s="318"/>
      <c r="T11887" s="318"/>
      <c r="U11887" s="318"/>
      <c r="V11887" s="318"/>
      <c r="W11887" s="318"/>
      <c r="X11887" s="318"/>
      <c r="Y11887" s="318"/>
      <c r="Z11887" s="318"/>
      <c r="AA11887" s="318"/>
      <c r="AB11887" s="318"/>
      <c r="AC11887" s="318"/>
      <c r="AD11887" s="318"/>
    </row>
    <row r="11888" spans="2:30" s="323" customFormat="1" ht="12" customHeight="1">
      <c r="B11888" s="324"/>
      <c r="C11888" s="325"/>
      <c r="D11888" s="326"/>
      <c r="E11888" s="326"/>
      <c r="F11888" s="326"/>
      <c r="G11888" s="326"/>
      <c r="H11888" s="326"/>
      <c r="P11888" s="318"/>
      <c r="Q11888" s="318"/>
      <c r="R11888" s="318"/>
      <c r="S11888" s="318"/>
      <c r="T11888" s="318"/>
      <c r="U11888" s="318"/>
      <c r="V11888" s="318"/>
      <c r="W11888" s="318"/>
      <c r="X11888" s="318"/>
      <c r="Y11888" s="318"/>
      <c r="Z11888" s="318"/>
      <c r="AA11888" s="318"/>
      <c r="AB11888" s="318"/>
      <c r="AC11888" s="318"/>
      <c r="AD11888" s="318"/>
    </row>
    <row r="11889" spans="2:30" s="323" customFormat="1" ht="12" customHeight="1">
      <c r="B11889" s="324"/>
      <c r="C11889" s="325"/>
      <c r="D11889" s="326"/>
      <c r="E11889" s="326"/>
      <c r="F11889" s="326"/>
      <c r="G11889" s="326"/>
      <c r="H11889" s="326"/>
      <c r="P11889" s="318"/>
      <c r="Q11889" s="318"/>
      <c r="R11889" s="318"/>
      <c r="S11889" s="318"/>
      <c r="T11889" s="318"/>
      <c r="U11889" s="318"/>
      <c r="V11889" s="318"/>
      <c r="W11889" s="318"/>
      <c r="X11889" s="318"/>
      <c r="Y11889" s="318"/>
      <c r="Z11889" s="318"/>
      <c r="AA11889" s="318"/>
      <c r="AB11889" s="318"/>
      <c r="AC11889" s="318"/>
      <c r="AD11889" s="318"/>
    </row>
    <row r="11890" spans="2:30" s="323" customFormat="1" ht="12" customHeight="1">
      <c r="B11890" s="324"/>
      <c r="C11890" s="325"/>
      <c r="D11890" s="326"/>
      <c r="E11890" s="326"/>
      <c r="F11890" s="326"/>
      <c r="G11890" s="326"/>
      <c r="H11890" s="326"/>
      <c r="P11890" s="318"/>
      <c r="Q11890" s="318"/>
      <c r="R11890" s="318"/>
      <c r="S11890" s="318"/>
      <c r="T11890" s="318"/>
      <c r="U11890" s="318"/>
      <c r="V11890" s="318"/>
      <c r="W11890" s="318"/>
      <c r="X11890" s="318"/>
      <c r="Y11890" s="318"/>
      <c r="Z11890" s="318"/>
      <c r="AA11890" s="318"/>
      <c r="AB11890" s="318"/>
      <c r="AC11890" s="318"/>
      <c r="AD11890" s="318"/>
    </row>
    <row r="11891" spans="2:30" s="323" customFormat="1" ht="12" customHeight="1">
      <c r="B11891" s="324"/>
      <c r="C11891" s="325"/>
      <c r="D11891" s="326"/>
      <c r="E11891" s="326"/>
      <c r="F11891" s="326"/>
      <c r="G11891" s="326"/>
      <c r="H11891" s="326"/>
      <c r="P11891" s="318"/>
      <c r="Q11891" s="318"/>
      <c r="R11891" s="318"/>
      <c r="S11891" s="318"/>
      <c r="T11891" s="318"/>
      <c r="U11891" s="318"/>
      <c r="V11891" s="318"/>
      <c r="W11891" s="318"/>
      <c r="X11891" s="318"/>
      <c r="Y11891" s="318"/>
      <c r="Z11891" s="318"/>
      <c r="AA11891" s="318"/>
      <c r="AB11891" s="318"/>
      <c r="AC11891" s="318"/>
      <c r="AD11891" s="318"/>
    </row>
    <row r="11892" spans="2:30" s="323" customFormat="1" ht="12" customHeight="1">
      <c r="B11892" s="324"/>
      <c r="C11892" s="325"/>
      <c r="D11892" s="326"/>
      <c r="E11892" s="326"/>
      <c r="F11892" s="326"/>
      <c r="G11892" s="326"/>
      <c r="H11892" s="326"/>
      <c r="P11892" s="318"/>
      <c r="Q11892" s="318"/>
      <c r="R11892" s="318"/>
      <c r="S11892" s="318"/>
      <c r="T11892" s="318"/>
      <c r="U11892" s="318"/>
      <c r="V11892" s="318"/>
      <c r="W11892" s="318"/>
      <c r="X11892" s="318"/>
      <c r="Y11892" s="318"/>
      <c r="Z11892" s="318"/>
      <c r="AA11892" s="318"/>
      <c r="AB11892" s="318"/>
      <c r="AC11892" s="318"/>
      <c r="AD11892" s="318"/>
    </row>
    <row r="11893" spans="2:30" s="323" customFormat="1" ht="12" customHeight="1">
      <c r="B11893" s="324"/>
      <c r="C11893" s="325"/>
      <c r="D11893" s="326"/>
      <c r="E11893" s="326"/>
      <c r="F11893" s="326"/>
      <c r="G11893" s="326"/>
      <c r="H11893" s="326"/>
      <c r="P11893" s="318"/>
      <c r="Q11893" s="318"/>
      <c r="R11893" s="318"/>
      <c r="S11893" s="318"/>
      <c r="T11893" s="318"/>
      <c r="U11893" s="318"/>
      <c r="V11893" s="318"/>
      <c r="W11893" s="318"/>
      <c r="X11893" s="318"/>
      <c r="Y11893" s="318"/>
      <c r="Z11893" s="318"/>
      <c r="AA11893" s="318"/>
      <c r="AB11893" s="318"/>
      <c r="AC11893" s="318"/>
      <c r="AD11893" s="318"/>
    </row>
    <row r="11894" spans="2:30" s="323" customFormat="1" ht="12" customHeight="1">
      <c r="B11894" s="324"/>
      <c r="C11894" s="325"/>
      <c r="D11894" s="326"/>
      <c r="E11894" s="326"/>
      <c r="F11894" s="326"/>
      <c r="G11894" s="326"/>
      <c r="H11894" s="326"/>
      <c r="P11894" s="318"/>
      <c r="Q11894" s="318"/>
      <c r="R11894" s="318"/>
      <c r="S11894" s="318"/>
      <c r="T11894" s="318"/>
      <c r="U11894" s="318"/>
      <c r="V11894" s="318"/>
      <c r="W11894" s="318"/>
      <c r="X11894" s="318"/>
      <c r="Y11894" s="318"/>
      <c r="Z11894" s="318"/>
      <c r="AA11894" s="318"/>
      <c r="AB11894" s="318"/>
      <c r="AC11894" s="318"/>
      <c r="AD11894" s="318"/>
    </row>
    <row r="11895" spans="2:30" s="323" customFormat="1" ht="12" customHeight="1">
      <c r="B11895" s="324"/>
      <c r="C11895" s="325"/>
      <c r="D11895" s="326"/>
      <c r="E11895" s="326"/>
      <c r="F11895" s="326"/>
      <c r="G11895" s="326"/>
      <c r="H11895" s="326"/>
      <c r="P11895" s="318"/>
      <c r="Q11895" s="318"/>
      <c r="R11895" s="318"/>
      <c r="S11895" s="318"/>
      <c r="T11895" s="318"/>
      <c r="U11895" s="318"/>
      <c r="V11895" s="318"/>
      <c r="W11895" s="318"/>
      <c r="X11895" s="318"/>
      <c r="Y11895" s="318"/>
      <c r="Z11895" s="318"/>
      <c r="AA11895" s="318"/>
      <c r="AB11895" s="318"/>
      <c r="AC11895" s="318"/>
      <c r="AD11895" s="318"/>
    </row>
    <row r="11896" spans="2:30" s="323" customFormat="1" ht="12" customHeight="1">
      <c r="B11896" s="324"/>
      <c r="C11896" s="325"/>
      <c r="D11896" s="326"/>
      <c r="E11896" s="326"/>
      <c r="F11896" s="326"/>
      <c r="G11896" s="326"/>
      <c r="H11896" s="326"/>
      <c r="P11896" s="318"/>
      <c r="Q11896" s="318"/>
      <c r="R11896" s="318"/>
      <c r="S11896" s="318"/>
      <c r="T11896" s="318"/>
      <c r="U11896" s="318"/>
      <c r="V11896" s="318"/>
      <c r="W11896" s="318"/>
      <c r="X11896" s="318"/>
      <c r="Y11896" s="318"/>
      <c r="Z11896" s="318"/>
      <c r="AA11896" s="318"/>
      <c r="AB11896" s="318"/>
      <c r="AC11896" s="318"/>
      <c r="AD11896" s="318"/>
    </row>
    <row r="11897" spans="2:30" s="323" customFormat="1" ht="12" customHeight="1">
      <c r="B11897" s="324"/>
      <c r="C11897" s="325"/>
      <c r="D11897" s="326"/>
      <c r="E11897" s="326"/>
      <c r="F11897" s="326"/>
      <c r="G11897" s="326"/>
      <c r="H11897" s="326"/>
      <c r="P11897" s="318"/>
      <c r="Q11897" s="318"/>
      <c r="R11897" s="318"/>
      <c r="S11897" s="318"/>
      <c r="T11897" s="318"/>
      <c r="U11897" s="318"/>
      <c r="V11897" s="318"/>
      <c r="W11897" s="318"/>
      <c r="X11897" s="318"/>
      <c r="Y11897" s="318"/>
      <c r="Z11897" s="318"/>
      <c r="AA11897" s="318"/>
      <c r="AB11897" s="318"/>
      <c r="AC11897" s="318"/>
      <c r="AD11897" s="318"/>
    </row>
    <row r="11898" spans="2:30" s="323" customFormat="1" ht="12" customHeight="1">
      <c r="B11898" s="324"/>
      <c r="C11898" s="325"/>
      <c r="D11898" s="326"/>
      <c r="E11898" s="326"/>
      <c r="F11898" s="326"/>
      <c r="G11898" s="326"/>
      <c r="H11898" s="326"/>
      <c r="P11898" s="318"/>
      <c r="Q11898" s="318"/>
      <c r="R11898" s="318"/>
      <c r="S11898" s="318"/>
      <c r="T11898" s="318"/>
      <c r="U11898" s="318"/>
      <c r="V11898" s="318"/>
      <c r="W11898" s="318"/>
      <c r="X11898" s="318"/>
      <c r="Y11898" s="318"/>
      <c r="Z11898" s="318"/>
      <c r="AA11898" s="318"/>
      <c r="AB11898" s="318"/>
      <c r="AC11898" s="318"/>
      <c r="AD11898" s="318"/>
    </row>
    <row r="11899" spans="2:30" s="323" customFormat="1" ht="12" customHeight="1">
      <c r="B11899" s="324"/>
      <c r="C11899" s="325"/>
      <c r="D11899" s="326"/>
      <c r="E11899" s="326"/>
      <c r="F11899" s="326"/>
      <c r="G11899" s="326"/>
      <c r="H11899" s="326"/>
      <c r="P11899" s="318"/>
      <c r="Q11899" s="318"/>
      <c r="R11899" s="318"/>
      <c r="S11899" s="318"/>
      <c r="T11899" s="318"/>
      <c r="U11899" s="318"/>
      <c r="V11899" s="318"/>
      <c r="W11899" s="318"/>
      <c r="X11899" s="318"/>
      <c r="Y11899" s="318"/>
      <c r="Z11899" s="318"/>
      <c r="AA11899" s="318"/>
      <c r="AB11899" s="318"/>
      <c r="AC11899" s="318"/>
      <c r="AD11899" s="318"/>
    </row>
    <row r="11900" spans="2:30" s="323" customFormat="1" ht="12" customHeight="1">
      <c r="B11900" s="324"/>
      <c r="C11900" s="325"/>
      <c r="D11900" s="326"/>
      <c r="E11900" s="326"/>
      <c r="F11900" s="326"/>
      <c r="G11900" s="326"/>
      <c r="H11900" s="326"/>
      <c r="P11900" s="318"/>
      <c r="Q11900" s="318"/>
      <c r="R11900" s="318"/>
      <c r="S11900" s="318"/>
      <c r="T11900" s="318"/>
      <c r="U11900" s="318"/>
      <c r="V11900" s="318"/>
      <c r="W11900" s="318"/>
      <c r="X11900" s="318"/>
      <c r="Y11900" s="318"/>
      <c r="Z11900" s="318"/>
      <c r="AA11900" s="318"/>
      <c r="AB11900" s="318"/>
      <c r="AC11900" s="318"/>
      <c r="AD11900" s="318"/>
    </row>
    <row r="11901" spans="2:30" s="323" customFormat="1" ht="12" customHeight="1">
      <c r="B11901" s="324"/>
      <c r="C11901" s="325"/>
      <c r="D11901" s="326"/>
      <c r="E11901" s="326"/>
      <c r="F11901" s="326"/>
      <c r="G11901" s="326"/>
      <c r="H11901" s="326"/>
      <c r="P11901" s="318"/>
      <c r="Q11901" s="318"/>
      <c r="R11901" s="318"/>
      <c r="S11901" s="318"/>
      <c r="T11901" s="318"/>
      <c r="U11901" s="318"/>
      <c r="V11901" s="318"/>
      <c r="W11901" s="318"/>
      <c r="X11901" s="318"/>
      <c r="Y11901" s="318"/>
      <c r="Z11901" s="318"/>
      <c r="AA11901" s="318"/>
      <c r="AB11901" s="318"/>
      <c r="AC11901" s="318"/>
      <c r="AD11901" s="318"/>
    </row>
    <row r="11902" spans="2:30" s="323" customFormat="1" ht="12" customHeight="1">
      <c r="B11902" s="324"/>
      <c r="C11902" s="325"/>
      <c r="D11902" s="326"/>
      <c r="E11902" s="326"/>
      <c r="F11902" s="326"/>
      <c r="G11902" s="326"/>
      <c r="H11902" s="326"/>
      <c r="P11902" s="318"/>
      <c r="Q11902" s="318"/>
      <c r="R11902" s="318"/>
      <c r="S11902" s="318"/>
      <c r="T11902" s="318"/>
      <c r="U11902" s="318"/>
      <c r="V11902" s="318"/>
      <c r="W11902" s="318"/>
      <c r="X11902" s="318"/>
      <c r="Y11902" s="318"/>
      <c r="Z11902" s="318"/>
      <c r="AA11902" s="318"/>
      <c r="AB11902" s="318"/>
      <c r="AC11902" s="318"/>
      <c r="AD11902" s="318"/>
    </row>
    <row r="11903" spans="2:30" s="323" customFormat="1" ht="12" customHeight="1">
      <c r="B11903" s="324"/>
      <c r="C11903" s="325"/>
      <c r="D11903" s="326"/>
      <c r="E11903" s="326"/>
      <c r="F11903" s="326"/>
      <c r="G11903" s="326"/>
      <c r="H11903" s="326"/>
      <c r="P11903" s="318"/>
      <c r="Q11903" s="318"/>
      <c r="R11903" s="318"/>
      <c r="S11903" s="318"/>
      <c r="T11903" s="318"/>
      <c r="U11903" s="318"/>
      <c r="V11903" s="318"/>
      <c r="W11903" s="318"/>
      <c r="X11903" s="318"/>
      <c r="Y11903" s="318"/>
      <c r="Z11903" s="318"/>
      <c r="AA11903" s="318"/>
      <c r="AB11903" s="318"/>
      <c r="AC11903" s="318"/>
      <c r="AD11903" s="318"/>
    </row>
    <row r="11904" spans="2:30" s="323" customFormat="1" ht="12" customHeight="1">
      <c r="B11904" s="324"/>
      <c r="C11904" s="325"/>
      <c r="D11904" s="326"/>
      <c r="E11904" s="326"/>
      <c r="F11904" s="326"/>
      <c r="G11904" s="326"/>
      <c r="H11904" s="326"/>
      <c r="P11904" s="318"/>
      <c r="Q11904" s="318"/>
      <c r="R11904" s="318"/>
      <c r="S11904" s="318"/>
      <c r="T11904" s="318"/>
      <c r="U11904" s="318"/>
      <c r="V11904" s="318"/>
      <c r="W11904" s="318"/>
      <c r="X11904" s="318"/>
      <c r="Y11904" s="318"/>
      <c r="Z11904" s="318"/>
      <c r="AA11904" s="318"/>
      <c r="AB11904" s="318"/>
      <c r="AC11904" s="318"/>
      <c r="AD11904" s="318"/>
    </row>
    <row r="11905" spans="2:30" s="323" customFormat="1" ht="12" customHeight="1">
      <c r="B11905" s="324"/>
      <c r="C11905" s="325"/>
      <c r="D11905" s="326"/>
      <c r="E11905" s="326"/>
      <c r="F11905" s="326"/>
      <c r="G11905" s="326"/>
      <c r="H11905" s="326"/>
      <c r="P11905" s="318"/>
      <c r="Q11905" s="318"/>
      <c r="R11905" s="318"/>
      <c r="S11905" s="318"/>
      <c r="T11905" s="318"/>
      <c r="U11905" s="318"/>
      <c r="V11905" s="318"/>
      <c r="W11905" s="318"/>
      <c r="X11905" s="318"/>
      <c r="Y11905" s="318"/>
      <c r="Z11905" s="318"/>
      <c r="AA11905" s="318"/>
      <c r="AB11905" s="318"/>
      <c r="AC11905" s="318"/>
      <c r="AD11905" s="318"/>
    </row>
    <row r="11906" spans="2:30" s="323" customFormat="1" ht="12" customHeight="1">
      <c r="B11906" s="324"/>
      <c r="C11906" s="325"/>
      <c r="D11906" s="326"/>
      <c r="E11906" s="326"/>
      <c r="F11906" s="326"/>
      <c r="G11906" s="326"/>
      <c r="H11906" s="326"/>
      <c r="P11906" s="318"/>
      <c r="Q11906" s="318"/>
      <c r="R11906" s="318"/>
      <c r="S11906" s="318"/>
      <c r="T11906" s="318"/>
      <c r="U11906" s="318"/>
      <c r="V11906" s="318"/>
      <c r="W11906" s="318"/>
      <c r="X11906" s="318"/>
      <c r="Y11906" s="318"/>
      <c r="Z11906" s="318"/>
      <c r="AA11906" s="318"/>
      <c r="AB11906" s="318"/>
      <c r="AC11906" s="318"/>
      <c r="AD11906" s="318"/>
    </row>
    <row r="11907" spans="2:30" s="323" customFormat="1" ht="12" customHeight="1">
      <c r="B11907" s="324"/>
      <c r="C11907" s="325"/>
      <c r="D11907" s="326"/>
      <c r="E11907" s="326"/>
      <c r="F11907" s="326"/>
      <c r="G11907" s="326"/>
      <c r="H11907" s="326"/>
      <c r="P11907" s="318"/>
      <c r="Q11907" s="318"/>
      <c r="R11907" s="318"/>
      <c r="S11907" s="318"/>
      <c r="T11907" s="318"/>
      <c r="U11907" s="318"/>
      <c r="V11907" s="318"/>
      <c r="W11907" s="318"/>
      <c r="X11907" s="318"/>
      <c r="Y11907" s="318"/>
      <c r="Z11907" s="318"/>
      <c r="AA11907" s="318"/>
      <c r="AB11907" s="318"/>
      <c r="AC11907" s="318"/>
      <c r="AD11907" s="318"/>
    </row>
    <row r="11908" spans="2:30" s="323" customFormat="1" ht="12" customHeight="1">
      <c r="B11908" s="324"/>
      <c r="C11908" s="325"/>
      <c r="D11908" s="326"/>
      <c r="E11908" s="326"/>
      <c r="F11908" s="326"/>
      <c r="G11908" s="326"/>
      <c r="H11908" s="326"/>
      <c r="P11908" s="318"/>
      <c r="Q11908" s="318"/>
      <c r="R11908" s="318"/>
      <c r="S11908" s="318"/>
      <c r="T11908" s="318"/>
      <c r="U11908" s="318"/>
      <c r="V11908" s="318"/>
      <c r="W11908" s="318"/>
      <c r="X11908" s="318"/>
      <c r="Y11908" s="318"/>
      <c r="Z11908" s="318"/>
      <c r="AA11908" s="318"/>
      <c r="AB11908" s="318"/>
      <c r="AC11908" s="318"/>
      <c r="AD11908" s="318"/>
    </row>
    <row r="11909" spans="2:30" s="323" customFormat="1" ht="12" customHeight="1">
      <c r="B11909" s="324"/>
      <c r="C11909" s="325"/>
      <c r="D11909" s="326"/>
      <c r="E11909" s="326"/>
      <c r="F11909" s="326"/>
      <c r="G11909" s="326"/>
      <c r="H11909" s="326"/>
      <c r="P11909" s="318"/>
      <c r="Q11909" s="318"/>
      <c r="R11909" s="318"/>
      <c r="S11909" s="318"/>
      <c r="T11909" s="318"/>
      <c r="U11909" s="318"/>
      <c r="V11909" s="318"/>
      <c r="W11909" s="318"/>
      <c r="X11909" s="318"/>
      <c r="Y11909" s="318"/>
      <c r="Z11909" s="318"/>
      <c r="AA11909" s="318"/>
      <c r="AB11909" s="318"/>
      <c r="AC11909" s="318"/>
      <c r="AD11909" s="318"/>
    </row>
    <row r="11910" spans="2:30" s="323" customFormat="1" ht="12" customHeight="1">
      <c r="B11910" s="324"/>
      <c r="C11910" s="325"/>
      <c r="D11910" s="326"/>
      <c r="E11910" s="326"/>
      <c r="F11910" s="326"/>
      <c r="G11910" s="326"/>
      <c r="H11910" s="326"/>
      <c r="P11910" s="318"/>
      <c r="Q11910" s="318"/>
      <c r="R11910" s="318"/>
      <c r="S11910" s="318"/>
      <c r="T11910" s="318"/>
      <c r="U11910" s="318"/>
      <c r="V11910" s="318"/>
      <c r="W11910" s="318"/>
      <c r="X11910" s="318"/>
      <c r="Y11910" s="318"/>
      <c r="Z11910" s="318"/>
      <c r="AA11910" s="318"/>
      <c r="AB11910" s="318"/>
      <c r="AC11910" s="318"/>
      <c r="AD11910" s="318"/>
    </row>
    <row r="11911" spans="2:30" s="323" customFormat="1" ht="12" customHeight="1">
      <c r="B11911" s="324"/>
      <c r="C11911" s="325"/>
      <c r="D11911" s="326"/>
      <c r="E11911" s="326"/>
      <c r="F11911" s="326"/>
      <c r="G11911" s="326"/>
      <c r="H11911" s="326"/>
      <c r="P11911" s="318"/>
      <c r="Q11911" s="318"/>
      <c r="R11911" s="318"/>
      <c r="S11911" s="318"/>
      <c r="T11911" s="318"/>
      <c r="U11911" s="318"/>
      <c r="V11911" s="318"/>
      <c r="W11911" s="318"/>
      <c r="X11911" s="318"/>
      <c r="Y11911" s="318"/>
      <c r="Z11911" s="318"/>
      <c r="AA11911" s="318"/>
      <c r="AB11911" s="318"/>
      <c r="AC11911" s="318"/>
      <c r="AD11911" s="318"/>
    </row>
    <row r="11912" spans="2:30" s="323" customFormat="1" ht="12" customHeight="1">
      <c r="B11912" s="324"/>
      <c r="C11912" s="325"/>
      <c r="D11912" s="326"/>
      <c r="E11912" s="326"/>
      <c r="F11912" s="326"/>
      <c r="G11912" s="326"/>
      <c r="H11912" s="326"/>
      <c r="P11912" s="318"/>
      <c r="Q11912" s="318"/>
      <c r="R11912" s="318"/>
      <c r="S11912" s="318"/>
      <c r="T11912" s="318"/>
      <c r="U11912" s="318"/>
      <c r="V11912" s="318"/>
      <c r="W11912" s="318"/>
      <c r="X11912" s="318"/>
      <c r="Y11912" s="318"/>
      <c r="Z11912" s="318"/>
      <c r="AA11912" s="318"/>
      <c r="AB11912" s="318"/>
      <c r="AC11912" s="318"/>
      <c r="AD11912" s="318"/>
    </row>
    <row r="11913" spans="2:30" s="323" customFormat="1" ht="12" customHeight="1">
      <c r="B11913" s="324"/>
      <c r="C11913" s="325"/>
      <c r="D11913" s="326"/>
      <c r="E11913" s="326"/>
      <c r="F11913" s="326"/>
      <c r="G11913" s="326"/>
      <c r="H11913" s="326"/>
      <c r="P11913" s="318"/>
      <c r="Q11913" s="318"/>
      <c r="R11913" s="318"/>
      <c r="S11913" s="318"/>
      <c r="T11913" s="318"/>
      <c r="U11913" s="318"/>
      <c r="V11913" s="318"/>
      <c r="W11913" s="318"/>
      <c r="X11913" s="318"/>
      <c r="Y11913" s="318"/>
      <c r="Z11913" s="318"/>
      <c r="AA11913" s="318"/>
      <c r="AB11913" s="318"/>
      <c r="AC11913" s="318"/>
      <c r="AD11913" s="318"/>
    </row>
    <row r="11914" spans="2:30" s="323" customFormat="1" ht="12" customHeight="1">
      <c r="B11914" s="324"/>
      <c r="C11914" s="325"/>
      <c r="D11914" s="326"/>
      <c r="E11914" s="326"/>
      <c r="F11914" s="326"/>
      <c r="G11914" s="326"/>
      <c r="H11914" s="326"/>
      <c r="P11914" s="318"/>
      <c r="Q11914" s="318"/>
      <c r="R11914" s="318"/>
      <c r="S11914" s="318"/>
      <c r="T11914" s="318"/>
      <c r="U11914" s="318"/>
      <c r="V11914" s="318"/>
      <c r="W11914" s="318"/>
      <c r="X11914" s="318"/>
      <c r="Y11914" s="318"/>
      <c r="Z11914" s="318"/>
      <c r="AA11914" s="318"/>
      <c r="AB11914" s="318"/>
      <c r="AC11914" s="318"/>
      <c r="AD11914" s="318"/>
    </row>
    <row r="11915" spans="2:30" s="323" customFormat="1" ht="12" customHeight="1">
      <c r="B11915" s="324"/>
      <c r="C11915" s="325"/>
      <c r="D11915" s="326"/>
      <c r="E11915" s="326"/>
      <c r="F11915" s="326"/>
      <c r="G11915" s="326"/>
      <c r="H11915" s="326"/>
      <c r="P11915" s="318"/>
      <c r="Q11915" s="318"/>
      <c r="R11915" s="318"/>
      <c r="S11915" s="318"/>
      <c r="T11915" s="318"/>
      <c r="U11915" s="318"/>
      <c r="V11915" s="318"/>
      <c r="W11915" s="318"/>
      <c r="X11915" s="318"/>
      <c r="Y11915" s="318"/>
      <c r="Z11915" s="318"/>
      <c r="AA11915" s="318"/>
      <c r="AB11915" s="318"/>
      <c r="AC11915" s="318"/>
      <c r="AD11915" s="318"/>
    </row>
    <row r="11916" spans="2:30" s="323" customFormat="1" ht="12" customHeight="1">
      <c r="B11916" s="324"/>
      <c r="C11916" s="325"/>
      <c r="D11916" s="326"/>
      <c r="E11916" s="326"/>
      <c r="F11916" s="326"/>
      <c r="G11916" s="326"/>
      <c r="H11916" s="326"/>
      <c r="P11916" s="318"/>
      <c r="Q11916" s="318"/>
      <c r="R11916" s="318"/>
      <c r="S11916" s="318"/>
      <c r="T11916" s="318"/>
      <c r="U11916" s="318"/>
      <c r="V11916" s="318"/>
      <c r="W11916" s="318"/>
      <c r="X11916" s="318"/>
      <c r="Y11916" s="318"/>
      <c r="Z11916" s="318"/>
      <c r="AA11916" s="318"/>
      <c r="AB11916" s="318"/>
      <c r="AC11916" s="318"/>
      <c r="AD11916" s="318"/>
    </row>
    <row r="11917" spans="2:30" s="323" customFormat="1" ht="12" customHeight="1">
      <c r="B11917" s="324"/>
      <c r="C11917" s="325"/>
      <c r="D11917" s="326"/>
      <c r="E11917" s="326"/>
      <c r="F11917" s="326"/>
      <c r="G11917" s="326"/>
      <c r="H11917" s="326"/>
      <c r="P11917" s="318"/>
      <c r="Q11917" s="318"/>
      <c r="R11917" s="318"/>
      <c r="S11917" s="318"/>
      <c r="T11917" s="318"/>
      <c r="U11917" s="318"/>
      <c r="V11917" s="318"/>
      <c r="W11917" s="318"/>
      <c r="X11917" s="318"/>
      <c r="Y11917" s="318"/>
      <c r="Z11917" s="318"/>
      <c r="AA11917" s="318"/>
      <c r="AB11917" s="318"/>
      <c r="AC11917" s="318"/>
      <c r="AD11917" s="318"/>
    </row>
    <row r="11918" spans="2:30" s="323" customFormat="1" ht="12" customHeight="1">
      <c r="B11918" s="324"/>
      <c r="C11918" s="325"/>
      <c r="D11918" s="326"/>
      <c r="E11918" s="326"/>
      <c r="F11918" s="326"/>
      <c r="G11918" s="326"/>
      <c r="H11918" s="326"/>
      <c r="P11918" s="318"/>
      <c r="Q11918" s="318"/>
      <c r="R11918" s="318"/>
      <c r="S11918" s="318"/>
      <c r="T11918" s="318"/>
      <c r="U11918" s="318"/>
      <c r="V11918" s="318"/>
      <c r="W11918" s="318"/>
      <c r="X11918" s="318"/>
      <c r="Y11918" s="318"/>
      <c r="Z11918" s="318"/>
      <c r="AA11918" s="318"/>
      <c r="AB11918" s="318"/>
      <c r="AC11918" s="318"/>
      <c r="AD11918" s="318"/>
    </row>
    <row r="11919" spans="2:30" s="323" customFormat="1" ht="12" customHeight="1">
      <c r="B11919" s="324"/>
      <c r="C11919" s="325"/>
      <c r="D11919" s="326"/>
      <c r="E11919" s="326"/>
      <c r="F11919" s="326"/>
      <c r="G11919" s="326"/>
      <c r="H11919" s="326"/>
      <c r="P11919" s="318"/>
      <c r="Q11919" s="318"/>
      <c r="R11919" s="318"/>
      <c r="S11919" s="318"/>
      <c r="T11919" s="318"/>
      <c r="U11919" s="318"/>
      <c r="V11919" s="318"/>
      <c r="W11919" s="318"/>
      <c r="X11919" s="318"/>
      <c r="Y11919" s="318"/>
      <c r="Z11919" s="318"/>
      <c r="AA11919" s="318"/>
      <c r="AB11919" s="318"/>
      <c r="AC11919" s="318"/>
      <c r="AD11919" s="318"/>
    </row>
    <row r="11920" spans="2:30" s="323" customFormat="1" ht="12" customHeight="1">
      <c r="B11920" s="324"/>
      <c r="C11920" s="325"/>
      <c r="D11920" s="326"/>
      <c r="E11920" s="326"/>
      <c r="F11920" s="326"/>
      <c r="G11920" s="326"/>
      <c r="H11920" s="326"/>
      <c r="P11920" s="318"/>
      <c r="Q11920" s="318"/>
      <c r="R11920" s="318"/>
      <c r="S11920" s="318"/>
      <c r="T11920" s="318"/>
      <c r="U11920" s="318"/>
      <c r="V11920" s="318"/>
      <c r="W11920" s="318"/>
      <c r="X11920" s="318"/>
      <c r="Y11920" s="318"/>
      <c r="Z11920" s="318"/>
      <c r="AA11920" s="318"/>
      <c r="AB11920" s="318"/>
      <c r="AC11920" s="318"/>
      <c r="AD11920" s="318"/>
    </row>
    <row r="11921" spans="2:30" s="323" customFormat="1" ht="12" customHeight="1">
      <c r="B11921" s="324"/>
      <c r="C11921" s="325"/>
      <c r="D11921" s="326"/>
      <c r="E11921" s="326"/>
      <c r="F11921" s="326"/>
      <c r="G11921" s="326"/>
      <c r="H11921" s="326"/>
      <c r="P11921" s="318"/>
      <c r="Q11921" s="318"/>
      <c r="R11921" s="318"/>
      <c r="S11921" s="318"/>
      <c r="T11921" s="318"/>
      <c r="U11921" s="318"/>
      <c r="V11921" s="318"/>
      <c r="W11921" s="318"/>
      <c r="X11921" s="318"/>
      <c r="Y11921" s="318"/>
      <c r="Z11921" s="318"/>
      <c r="AA11921" s="318"/>
      <c r="AB11921" s="318"/>
      <c r="AC11921" s="318"/>
      <c r="AD11921" s="318"/>
    </row>
    <row r="11922" spans="2:30" s="323" customFormat="1" ht="12" customHeight="1">
      <c r="B11922" s="324"/>
      <c r="C11922" s="325"/>
      <c r="D11922" s="326"/>
      <c r="E11922" s="326"/>
      <c r="F11922" s="326"/>
      <c r="G11922" s="326"/>
      <c r="H11922" s="326"/>
      <c r="P11922" s="318"/>
      <c r="Q11922" s="318"/>
      <c r="R11922" s="318"/>
      <c r="S11922" s="318"/>
      <c r="T11922" s="318"/>
      <c r="U11922" s="318"/>
      <c r="V11922" s="318"/>
      <c r="W11922" s="318"/>
      <c r="X11922" s="318"/>
      <c r="Y11922" s="318"/>
      <c r="Z11922" s="318"/>
      <c r="AA11922" s="318"/>
      <c r="AB11922" s="318"/>
      <c r="AC11922" s="318"/>
      <c r="AD11922" s="318"/>
    </row>
    <row r="11923" spans="2:30" s="323" customFormat="1" ht="12" customHeight="1">
      <c r="B11923" s="324"/>
      <c r="C11923" s="325"/>
      <c r="D11923" s="326"/>
      <c r="E11923" s="326"/>
      <c r="F11923" s="326"/>
      <c r="G11923" s="326"/>
      <c r="H11923" s="326"/>
      <c r="P11923" s="318"/>
      <c r="Q11923" s="318"/>
      <c r="R11923" s="318"/>
      <c r="S11923" s="318"/>
      <c r="T11923" s="318"/>
      <c r="U11923" s="318"/>
      <c r="V11923" s="318"/>
      <c r="W11923" s="318"/>
      <c r="X11923" s="318"/>
      <c r="Y11923" s="318"/>
      <c r="Z11923" s="318"/>
      <c r="AA11923" s="318"/>
      <c r="AB11923" s="318"/>
      <c r="AC11923" s="318"/>
      <c r="AD11923" s="318"/>
    </row>
    <row r="11924" spans="2:30" s="323" customFormat="1" ht="12" customHeight="1">
      <c r="B11924" s="324"/>
      <c r="C11924" s="325"/>
      <c r="D11924" s="326"/>
      <c r="E11924" s="326"/>
      <c r="F11924" s="326"/>
      <c r="G11924" s="326"/>
      <c r="H11924" s="326"/>
      <c r="P11924" s="318"/>
      <c r="Q11924" s="318"/>
      <c r="R11924" s="318"/>
      <c r="S11924" s="318"/>
      <c r="T11924" s="318"/>
      <c r="U11924" s="318"/>
      <c r="V11924" s="318"/>
      <c r="W11924" s="318"/>
      <c r="X11924" s="318"/>
      <c r="Y11924" s="318"/>
      <c r="Z11924" s="318"/>
      <c r="AA11924" s="318"/>
      <c r="AB11924" s="318"/>
      <c r="AC11924" s="318"/>
      <c r="AD11924" s="318"/>
    </row>
    <row r="11925" spans="2:30" s="323" customFormat="1" ht="12" customHeight="1">
      <c r="B11925" s="324"/>
      <c r="C11925" s="325"/>
      <c r="D11925" s="326"/>
      <c r="E11925" s="326"/>
      <c r="F11925" s="326"/>
      <c r="G11925" s="326"/>
      <c r="H11925" s="326"/>
      <c r="P11925" s="318"/>
      <c r="Q11925" s="318"/>
      <c r="R11925" s="318"/>
      <c r="S11925" s="318"/>
      <c r="T11925" s="318"/>
      <c r="U11925" s="318"/>
      <c r="V11925" s="318"/>
      <c r="W11925" s="318"/>
      <c r="X11925" s="318"/>
      <c r="Y11925" s="318"/>
      <c r="Z11925" s="318"/>
      <c r="AA11925" s="318"/>
      <c r="AB11925" s="318"/>
      <c r="AC11925" s="318"/>
      <c r="AD11925" s="318"/>
    </row>
    <row r="11926" spans="2:30" s="323" customFormat="1" ht="12" customHeight="1">
      <c r="B11926" s="324"/>
      <c r="C11926" s="325"/>
      <c r="D11926" s="326"/>
      <c r="E11926" s="326"/>
      <c r="F11926" s="326"/>
      <c r="G11926" s="326"/>
      <c r="H11926" s="326"/>
      <c r="P11926" s="318"/>
      <c r="Q11926" s="318"/>
      <c r="R11926" s="318"/>
      <c r="S11926" s="318"/>
      <c r="T11926" s="318"/>
      <c r="U11926" s="318"/>
      <c r="V11926" s="318"/>
      <c r="W11926" s="318"/>
      <c r="X11926" s="318"/>
      <c r="Y11926" s="318"/>
      <c r="Z11926" s="318"/>
      <c r="AA11926" s="318"/>
      <c r="AB11926" s="318"/>
      <c r="AC11926" s="318"/>
      <c r="AD11926" s="318"/>
    </row>
    <row r="11927" spans="2:30" s="323" customFormat="1" ht="12" customHeight="1">
      <c r="B11927" s="324"/>
      <c r="C11927" s="325"/>
      <c r="D11927" s="326"/>
      <c r="E11927" s="326"/>
      <c r="F11927" s="326"/>
      <c r="G11927" s="326"/>
      <c r="H11927" s="326"/>
      <c r="P11927" s="318"/>
      <c r="Q11927" s="318"/>
      <c r="R11927" s="318"/>
      <c r="S11927" s="318"/>
      <c r="T11927" s="318"/>
      <c r="U11927" s="318"/>
      <c r="V11927" s="318"/>
      <c r="W11927" s="318"/>
      <c r="X11927" s="318"/>
      <c r="Y11927" s="318"/>
      <c r="Z11927" s="318"/>
      <c r="AA11927" s="318"/>
      <c r="AB11927" s="318"/>
      <c r="AC11927" s="318"/>
      <c r="AD11927" s="318"/>
    </row>
    <row r="11928" spans="2:30" s="323" customFormat="1" ht="12" customHeight="1">
      <c r="B11928" s="324"/>
      <c r="C11928" s="325"/>
      <c r="D11928" s="326"/>
      <c r="E11928" s="326"/>
      <c r="F11928" s="326"/>
      <c r="G11928" s="326"/>
      <c r="H11928" s="326"/>
      <c r="P11928" s="318"/>
      <c r="Q11928" s="318"/>
      <c r="R11928" s="318"/>
      <c r="S11928" s="318"/>
      <c r="T11928" s="318"/>
      <c r="U11928" s="318"/>
      <c r="V11928" s="318"/>
      <c r="W11928" s="318"/>
      <c r="X11928" s="318"/>
      <c r="Y11928" s="318"/>
      <c r="Z11928" s="318"/>
      <c r="AA11928" s="318"/>
      <c r="AB11928" s="318"/>
      <c r="AC11928" s="318"/>
      <c r="AD11928" s="318"/>
    </row>
    <row r="11929" spans="2:30" s="323" customFormat="1" ht="12" customHeight="1">
      <c r="B11929" s="324"/>
      <c r="C11929" s="325"/>
      <c r="D11929" s="326"/>
      <c r="E11929" s="326"/>
      <c r="F11929" s="326"/>
      <c r="G11929" s="326"/>
      <c r="H11929" s="326"/>
      <c r="P11929" s="318"/>
      <c r="Q11929" s="318"/>
      <c r="R11929" s="318"/>
      <c r="S11929" s="318"/>
      <c r="T11929" s="318"/>
      <c r="U11929" s="318"/>
      <c r="V11929" s="318"/>
      <c r="W11929" s="318"/>
      <c r="X11929" s="318"/>
      <c r="Y11929" s="318"/>
      <c r="Z11929" s="318"/>
      <c r="AA11929" s="318"/>
      <c r="AB11929" s="318"/>
      <c r="AC11929" s="318"/>
      <c r="AD11929" s="318"/>
    </row>
    <row r="11930" spans="2:30" s="323" customFormat="1" ht="12" customHeight="1">
      <c r="B11930" s="324"/>
      <c r="C11930" s="325"/>
      <c r="D11930" s="326"/>
      <c r="E11930" s="326"/>
      <c r="F11930" s="326"/>
      <c r="G11930" s="326"/>
      <c r="H11930" s="326"/>
      <c r="P11930" s="318"/>
      <c r="Q11930" s="318"/>
      <c r="R11930" s="318"/>
      <c r="S11930" s="318"/>
      <c r="T11930" s="318"/>
      <c r="U11930" s="318"/>
      <c r="V11930" s="318"/>
      <c r="W11930" s="318"/>
      <c r="X11930" s="318"/>
      <c r="Y11930" s="318"/>
      <c r="Z11930" s="318"/>
      <c r="AA11930" s="318"/>
      <c r="AB11930" s="318"/>
      <c r="AC11930" s="318"/>
      <c r="AD11930" s="318"/>
    </row>
    <row r="11931" spans="2:30" s="323" customFormat="1" ht="12" customHeight="1">
      <c r="B11931" s="324"/>
      <c r="C11931" s="325"/>
      <c r="D11931" s="326"/>
      <c r="E11931" s="326"/>
      <c r="F11931" s="326"/>
      <c r="G11931" s="326"/>
      <c r="H11931" s="326"/>
      <c r="P11931" s="318"/>
      <c r="Q11931" s="318"/>
      <c r="R11931" s="318"/>
      <c r="S11931" s="318"/>
      <c r="T11931" s="318"/>
      <c r="U11931" s="318"/>
      <c r="V11931" s="318"/>
      <c r="W11931" s="318"/>
      <c r="X11931" s="318"/>
      <c r="Y11931" s="318"/>
      <c r="Z11931" s="318"/>
      <c r="AA11931" s="318"/>
      <c r="AB11931" s="318"/>
      <c r="AC11931" s="318"/>
      <c r="AD11931" s="318"/>
    </row>
    <row r="11932" spans="2:30" s="323" customFormat="1" ht="12" customHeight="1">
      <c r="B11932" s="324"/>
      <c r="C11932" s="325"/>
      <c r="D11932" s="326"/>
      <c r="E11932" s="326"/>
      <c r="F11932" s="326"/>
      <c r="G11932" s="326"/>
      <c r="H11932" s="326"/>
      <c r="P11932" s="318"/>
      <c r="Q11932" s="318"/>
      <c r="R11932" s="318"/>
      <c r="S11932" s="318"/>
      <c r="T11932" s="318"/>
      <c r="U11932" s="318"/>
      <c r="V11932" s="318"/>
      <c r="W11932" s="318"/>
      <c r="X11932" s="318"/>
      <c r="Y11932" s="318"/>
      <c r="Z11932" s="318"/>
      <c r="AA11932" s="318"/>
      <c r="AB11932" s="318"/>
      <c r="AC11932" s="318"/>
      <c r="AD11932" s="318"/>
    </row>
    <row r="11933" spans="2:30" s="323" customFormat="1" ht="12" customHeight="1">
      <c r="B11933" s="324"/>
      <c r="C11933" s="325"/>
      <c r="D11933" s="326"/>
      <c r="E11933" s="326"/>
      <c r="F11933" s="326"/>
      <c r="G11933" s="326"/>
      <c r="H11933" s="326"/>
      <c r="P11933" s="318"/>
      <c r="Q11933" s="318"/>
      <c r="R11933" s="318"/>
      <c r="S11933" s="318"/>
      <c r="T11933" s="318"/>
      <c r="U11933" s="318"/>
      <c r="V11933" s="318"/>
      <c r="W11933" s="318"/>
      <c r="X11933" s="318"/>
      <c r="Y11933" s="318"/>
      <c r="Z11933" s="318"/>
      <c r="AA11933" s="318"/>
      <c r="AB11933" s="318"/>
      <c r="AC11933" s="318"/>
      <c r="AD11933" s="318"/>
    </row>
    <row r="11934" spans="2:30" s="323" customFormat="1" ht="12" customHeight="1">
      <c r="B11934" s="324"/>
      <c r="C11934" s="325"/>
      <c r="D11934" s="326"/>
      <c r="E11934" s="326"/>
      <c r="F11934" s="326"/>
      <c r="G11934" s="326"/>
      <c r="H11934" s="326"/>
      <c r="P11934" s="318"/>
      <c r="Q11934" s="318"/>
      <c r="R11934" s="318"/>
      <c r="S11934" s="318"/>
      <c r="T11934" s="318"/>
      <c r="U11934" s="318"/>
      <c r="V11934" s="318"/>
      <c r="W11934" s="318"/>
      <c r="X11934" s="318"/>
      <c r="Y11934" s="318"/>
      <c r="Z11934" s="318"/>
      <c r="AA11934" s="318"/>
      <c r="AB11934" s="318"/>
      <c r="AC11934" s="318"/>
      <c r="AD11934" s="318"/>
    </row>
    <row r="11935" spans="2:30" s="323" customFormat="1" ht="12" customHeight="1">
      <c r="B11935" s="324"/>
      <c r="C11935" s="325"/>
      <c r="D11935" s="326"/>
      <c r="E11935" s="326"/>
      <c r="F11935" s="326"/>
      <c r="G11935" s="326"/>
      <c r="H11935" s="326"/>
      <c r="P11935" s="318"/>
      <c r="Q11935" s="318"/>
      <c r="R11935" s="318"/>
      <c r="S11935" s="318"/>
      <c r="T11935" s="318"/>
      <c r="U11935" s="318"/>
      <c r="V11935" s="318"/>
      <c r="W11935" s="318"/>
      <c r="X11935" s="318"/>
      <c r="Y11935" s="318"/>
      <c r="Z11935" s="318"/>
      <c r="AA11935" s="318"/>
      <c r="AB11935" s="318"/>
      <c r="AC11935" s="318"/>
      <c r="AD11935" s="318"/>
    </row>
    <row r="11936" spans="2:30" s="323" customFormat="1" ht="12" customHeight="1">
      <c r="B11936" s="324"/>
      <c r="C11936" s="325"/>
      <c r="D11936" s="326"/>
      <c r="E11936" s="326"/>
      <c r="F11936" s="326"/>
      <c r="G11936" s="326"/>
      <c r="H11936" s="326"/>
      <c r="P11936" s="318"/>
      <c r="Q11936" s="318"/>
      <c r="R11936" s="318"/>
      <c r="S11936" s="318"/>
      <c r="T11936" s="318"/>
      <c r="U11936" s="318"/>
      <c r="V11936" s="318"/>
      <c r="W11936" s="318"/>
      <c r="X11936" s="318"/>
      <c r="Y11936" s="318"/>
      <c r="Z11936" s="318"/>
      <c r="AA11936" s="318"/>
      <c r="AB11936" s="318"/>
      <c r="AC11936" s="318"/>
      <c r="AD11936" s="318"/>
    </row>
    <row r="11937" spans="2:30" s="323" customFormat="1" ht="12" customHeight="1">
      <c r="B11937" s="324"/>
      <c r="C11937" s="325"/>
      <c r="D11937" s="326"/>
      <c r="E11937" s="326"/>
      <c r="F11937" s="326"/>
      <c r="G11937" s="326"/>
      <c r="H11937" s="326"/>
      <c r="P11937" s="318"/>
      <c r="Q11937" s="318"/>
      <c r="R11937" s="318"/>
      <c r="S11937" s="318"/>
      <c r="T11937" s="318"/>
      <c r="U11937" s="318"/>
      <c r="V11937" s="318"/>
      <c r="W11937" s="318"/>
      <c r="X11937" s="318"/>
      <c r="Y11937" s="318"/>
      <c r="Z11937" s="318"/>
      <c r="AA11937" s="318"/>
      <c r="AB11937" s="318"/>
      <c r="AC11937" s="318"/>
      <c r="AD11937" s="318"/>
    </row>
    <row r="11938" spans="2:30" s="323" customFormat="1" ht="12" customHeight="1">
      <c r="B11938" s="324"/>
      <c r="C11938" s="325"/>
      <c r="D11938" s="326"/>
      <c r="E11938" s="326"/>
      <c r="F11938" s="326"/>
      <c r="G11938" s="326"/>
      <c r="H11938" s="326"/>
      <c r="P11938" s="318"/>
      <c r="Q11938" s="318"/>
      <c r="R11938" s="318"/>
      <c r="S11938" s="318"/>
      <c r="T11938" s="318"/>
      <c r="U11938" s="318"/>
      <c r="V11938" s="318"/>
      <c r="W11938" s="318"/>
      <c r="X11938" s="318"/>
      <c r="Y11938" s="318"/>
      <c r="Z11938" s="318"/>
      <c r="AA11938" s="318"/>
      <c r="AB11938" s="318"/>
      <c r="AC11938" s="318"/>
      <c r="AD11938" s="318"/>
    </row>
    <row r="11939" spans="2:30" s="323" customFormat="1" ht="12" customHeight="1">
      <c r="B11939" s="324"/>
      <c r="C11939" s="325"/>
      <c r="D11939" s="326"/>
      <c r="E11939" s="326"/>
      <c r="F11939" s="326"/>
      <c r="G11939" s="326"/>
      <c r="H11939" s="326"/>
      <c r="P11939" s="318"/>
      <c r="Q11939" s="318"/>
      <c r="R11939" s="318"/>
      <c r="S11939" s="318"/>
      <c r="T11939" s="318"/>
      <c r="U11939" s="318"/>
      <c r="V11939" s="318"/>
      <c r="W11939" s="318"/>
      <c r="X11939" s="318"/>
      <c r="Y11939" s="318"/>
      <c r="Z11939" s="318"/>
      <c r="AA11939" s="318"/>
      <c r="AB11939" s="318"/>
      <c r="AC11939" s="318"/>
      <c r="AD11939" s="318"/>
    </row>
    <row r="11940" spans="2:30" s="323" customFormat="1" ht="12" customHeight="1">
      <c r="B11940" s="324"/>
      <c r="C11940" s="325"/>
      <c r="D11940" s="326"/>
      <c r="E11940" s="326"/>
      <c r="F11940" s="326"/>
      <c r="G11940" s="326"/>
      <c r="H11940" s="326"/>
      <c r="P11940" s="318"/>
      <c r="Q11940" s="318"/>
      <c r="R11940" s="318"/>
      <c r="S11940" s="318"/>
      <c r="T11940" s="318"/>
      <c r="U11940" s="318"/>
      <c r="V11940" s="318"/>
      <c r="W11940" s="318"/>
      <c r="X11940" s="318"/>
      <c r="Y11940" s="318"/>
      <c r="Z11940" s="318"/>
      <c r="AA11940" s="318"/>
      <c r="AB11940" s="318"/>
      <c r="AC11940" s="318"/>
      <c r="AD11940" s="318"/>
    </row>
    <row r="11941" spans="2:30" s="323" customFormat="1" ht="12" customHeight="1">
      <c r="B11941" s="324"/>
      <c r="C11941" s="325"/>
      <c r="D11941" s="326"/>
      <c r="E11941" s="326"/>
      <c r="F11941" s="326"/>
      <c r="G11941" s="326"/>
      <c r="H11941" s="326"/>
      <c r="P11941" s="318"/>
      <c r="Q11941" s="318"/>
      <c r="R11941" s="318"/>
      <c r="S11941" s="318"/>
      <c r="T11941" s="318"/>
      <c r="U11941" s="318"/>
      <c r="V11941" s="318"/>
      <c r="W11941" s="318"/>
      <c r="X11941" s="318"/>
      <c r="Y11941" s="318"/>
      <c r="Z11941" s="318"/>
      <c r="AA11941" s="318"/>
      <c r="AB11941" s="318"/>
      <c r="AC11941" s="318"/>
      <c r="AD11941" s="318"/>
    </row>
    <row r="11942" spans="2:30" s="323" customFormat="1" ht="12" customHeight="1">
      <c r="B11942" s="324"/>
      <c r="C11942" s="325"/>
      <c r="D11942" s="326"/>
      <c r="E11942" s="326"/>
      <c r="F11942" s="326"/>
      <c r="G11942" s="326"/>
      <c r="H11942" s="326"/>
      <c r="P11942" s="318"/>
      <c r="Q11942" s="318"/>
      <c r="R11942" s="318"/>
      <c r="S11942" s="318"/>
      <c r="T11942" s="318"/>
      <c r="U11942" s="318"/>
      <c r="V11942" s="318"/>
      <c r="W11942" s="318"/>
      <c r="X11942" s="318"/>
      <c r="Y11942" s="318"/>
      <c r="Z11942" s="318"/>
      <c r="AA11942" s="318"/>
      <c r="AB11942" s="318"/>
      <c r="AC11942" s="318"/>
      <c r="AD11942" s="318"/>
    </row>
    <row r="11943" spans="2:30" s="323" customFormat="1" ht="12" customHeight="1">
      <c r="B11943" s="324"/>
      <c r="C11943" s="325"/>
      <c r="D11943" s="326"/>
      <c r="E11943" s="326"/>
      <c r="F11943" s="326"/>
      <c r="G11943" s="326"/>
      <c r="H11943" s="326"/>
      <c r="P11943" s="318"/>
      <c r="Q11943" s="318"/>
      <c r="R11943" s="318"/>
      <c r="S11943" s="318"/>
      <c r="T11943" s="318"/>
      <c r="U11943" s="318"/>
      <c r="V11943" s="318"/>
      <c r="W11943" s="318"/>
      <c r="X11943" s="318"/>
      <c r="Y11943" s="318"/>
      <c r="Z11943" s="318"/>
      <c r="AA11943" s="318"/>
      <c r="AB11943" s="318"/>
      <c r="AC11943" s="318"/>
      <c r="AD11943" s="318"/>
    </row>
    <row r="11944" spans="2:30" s="323" customFormat="1" ht="12" customHeight="1">
      <c r="B11944" s="324"/>
      <c r="C11944" s="325"/>
      <c r="D11944" s="326"/>
      <c r="E11944" s="326"/>
      <c r="F11944" s="326"/>
      <c r="G11944" s="326"/>
      <c r="H11944" s="326"/>
      <c r="P11944" s="318"/>
      <c r="Q11944" s="318"/>
      <c r="R11944" s="318"/>
      <c r="S11944" s="318"/>
      <c r="T11944" s="318"/>
      <c r="U11944" s="318"/>
      <c r="V11944" s="318"/>
      <c r="W11944" s="318"/>
      <c r="X11944" s="318"/>
      <c r="Y11944" s="318"/>
      <c r="Z11944" s="318"/>
      <c r="AA11944" s="318"/>
      <c r="AB11944" s="318"/>
      <c r="AC11944" s="318"/>
      <c r="AD11944" s="318"/>
    </row>
    <row r="11945" spans="2:30" s="323" customFormat="1" ht="12" customHeight="1">
      <c r="B11945" s="324"/>
      <c r="C11945" s="325"/>
      <c r="D11945" s="326"/>
      <c r="E11945" s="326"/>
      <c r="F11945" s="326"/>
      <c r="G11945" s="326"/>
      <c r="H11945" s="326"/>
      <c r="P11945" s="318"/>
      <c r="Q11945" s="318"/>
      <c r="R11945" s="318"/>
      <c r="S11945" s="318"/>
      <c r="T11945" s="318"/>
      <c r="U11945" s="318"/>
      <c r="V11945" s="318"/>
      <c r="W11945" s="318"/>
      <c r="X11945" s="318"/>
      <c r="Y11945" s="318"/>
      <c r="Z11945" s="318"/>
      <c r="AA11945" s="318"/>
      <c r="AB11945" s="318"/>
      <c r="AC11945" s="318"/>
      <c r="AD11945" s="318"/>
    </row>
    <row r="11946" spans="2:30" s="323" customFormat="1" ht="12" customHeight="1">
      <c r="B11946" s="324"/>
      <c r="C11946" s="325"/>
      <c r="D11946" s="326"/>
      <c r="E11946" s="326"/>
      <c r="F11946" s="326"/>
      <c r="G11946" s="326"/>
      <c r="H11946" s="326"/>
      <c r="P11946" s="318"/>
      <c r="Q11946" s="318"/>
      <c r="R11946" s="318"/>
      <c r="S11946" s="318"/>
      <c r="T11946" s="318"/>
      <c r="U11946" s="318"/>
      <c r="V11946" s="318"/>
      <c r="W11946" s="318"/>
      <c r="X11946" s="318"/>
      <c r="Y11946" s="318"/>
      <c r="Z11946" s="318"/>
      <c r="AA11946" s="318"/>
      <c r="AB11946" s="318"/>
      <c r="AC11946" s="318"/>
      <c r="AD11946" s="318"/>
    </row>
    <row r="11947" spans="2:30" s="323" customFormat="1" ht="12" customHeight="1">
      <c r="B11947" s="324"/>
      <c r="C11947" s="325"/>
      <c r="D11947" s="326"/>
      <c r="E11947" s="326"/>
      <c r="F11947" s="326"/>
      <c r="G11947" s="326"/>
      <c r="H11947" s="326"/>
      <c r="P11947" s="318"/>
      <c r="Q11947" s="318"/>
      <c r="R11947" s="318"/>
      <c r="S11947" s="318"/>
      <c r="T11947" s="318"/>
      <c r="U11947" s="318"/>
      <c r="V11947" s="318"/>
      <c r="W11947" s="318"/>
      <c r="X11947" s="318"/>
      <c r="Y11947" s="318"/>
      <c r="Z11947" s="318"/>
      <c r="AA11947" s="318"/>
      <c r="AB11947" s="318"/>
      <c r="AC11947" s="318"/>
      <c r="AD11947" s="318"/>
    </row>
    <row r="11948" spans="2:30" s="323" customFormat="1" ht="12" customHeight="1">
      <c r="B11948" s="324"/>
      <c r="C11948" s="325"/>
      <c r="D11948" s="326"/>
      <c r="E11948" s="326"/>
      <c r="F11948" s="326"/>
      <c r="G11948" s="326"/>
      <c r="H11948" s="326"/>
      <c r="P11948" s="318"/>
      <c r="Q11948" s="318"/>
      <c r="R11948" s="318"/>
      <c r="S11948" s="318"/>
      <c r="T11948" s="318"/>
      <c r="U11948" s="318"/>
      <c r="V11948" s="318"/>
      <c r="W11948" s="318"/>
      <c r="X11948" s="318"/>
      <c r="Y11948" s="318"/>
      <c r="Z11948" s="318"/>
      <c r="AA11948" s="318"/>
      <c r="AB11948" s="318"/>
      <c r="AC11948" s="318"/>
      <c r="AD11948" s="318"/>
    </row>
    <row r="11949" spans="2:30" s="323" customFormat="1" ht="12" customHeight="1">
      <c r="B11949" s="324"/>
      <c r="C11949" s="325"/>
      <c r="D11949" s="326"/>
      <c r="E11949" s="326"/>
      <c r="F11949" s="326"/>
      <c r="G11949" s="326"/>
      <c r="H11949" s="326"/>
      <c r="P11949" s="318"/>
      <c r="Q11949" s="318"/>
      <c r="R11949" s="318"/>
      <c r="S11949" s="318"/>
      <c r="T11949" s="318"/>
      <c r="U11949" s="318"/>
      <c r="V11949" s="318"/>
      <c r="W11949" s="318"/>
      <c r="X11949" s="318"/>
      <c r="Y11949" s="318"/>
      <c r="Z11949" s="318"/>
      <c r="AA11949" s="318"/>
      <c r="AB11949" s="318"/>
      <c r="AC11949" s="318"/>
      <c r="AD11949" s="318"/>
    </row>
    <row r="11950" spans="2:30" s="323" customFormat="1" ht="12" customHeight="1">
      <c r="B11950" s="324"/>
      <c r="C11950" s="325"/>
      <c r="D11950" s="326"/>
      <c r="E11950" s="326"/>
      <c r="F11950" s="326"/>
      <c r="G11950" s="326"/>
      <c r="H11950" s="326"/>
      <c r="P11950" s="318"/>
      <c r="Q11950" s="318"/>
      <c r="R11950" s="318"/>
      <c r="S11950" s="318"/>
      <c r="T11950" s="318"/>
      <c r="U11950" s="318"/>
      <c r="V11950" s="318"/>
      <c r="W11950" s="318"/>
      <c r="X11950" s="318"/>
      <c r="Y11950" s="318"/>
      <c r="Z11950" s="318"/>
      <c r="AA11950" s="318"/>
      <c r="AB11950" s="318"/>
      <c r="AC11950" s="318"/>
      <c r="AD11950" s="318"/>
    </row>
    <row r="11951" spans="2:30" s="323" customFormat="1" ht="12" customHeight="1">
      <c r="B11951" s="324"/>
      <c r="C11951" s="325"/>
      <c r="D11951" s="326"/>
      <c r="E11951" s="326"/>
      <c r="F11951" s="326"/>
      <c r="G11951" s="326"/>
      <c r="H11951" s="326"/>
      <c r="P11951" s="318"/>
      <c r="Q11951" s="318"/>
      <c r="R11951" s="318"/>
      <c r="S11951" s="318"/>
      <c r="T11951" s="318"/>
      <c r="U11951" s="318"/>
      <c r="V11951" s="318"/>
      <c r="W11951" s="318"/>
      <c r="X11951" s="318"/>
      <c r="Y11951" s="318"/>
      <c r="Z11951" s="318"/>
      <c r="AA11951" s="318"/>
      <c r="AB11951" s="318"/>
      <c r="AC11951" s="318"/>
      <c r="AD11951" s="318"/>
    </row>
    <row r="11952" spans="2:30" s="323" customFormat="1" ht="12" customHeight="1">
      <c r="B11952" s="324"/>
      <c r="C11952" s="325"/>
      <c r="D11952" s="326"/>
      <c r="E11952" s="326"/>
      <c r="F11952" s="326"/>
      <c r="G11952" s="326"/>
      <c r="H11952" s="326"/>
      <c r="P11952" s="318"/>
      <c r="Q11952" s="318"/>
      <c r="R11952" s="318"/>
      <c r="S11952" s="318"/>
      <c r="T11952" s="318"/>
      <c r="U11952" s="318"/>
      <c r="V11952" s="318"/>
      <c r="W11952" s="318"/>
      <c r="X11952" s="318"/>
      <c r="Y11952" s="318"/>
      <c r="Z11952" s="318"/>
      <c r="AA11952" s="318"/>
      <c r="AB11952" s="318"/>
      <c r="AC11952" s="318"/>
      <c r="AD11952" s="318"/>
    </row>
    <row r="11953" spans="2:30" s="323" customFormat="1" ht="12" customHeight="1">
      <c r="B11953" s="324"/>
      <c r="C11953" s="325"/>
      <c r="D11953" s="326"/>
      <c r="E11953" s="326"/>
      <c r="F11953" s="326"/>
      <c r="G11953" s="326"/>
      <c r="H11953" s="326"/>
      <c r="P11953" s="318"/>
      <c r="Q11953" s="318"/>
      <c r="R11953" s="318"/>
      <c r="S11953" s="318"/>
      <c r="T11953" s="318"/>
      <c r="U11953" s="318"/>
      <c r="V11953" s="318"/>
      <c r="W11953" s="318"/>
      <c r="X11953" s="318"/>
      <c r="Y11953" s="318"/>
      <c r="Z11953" s="318"/>
      <c r="AA11953" s="318"/>
      <c r="AB11953" s="318"/>
      <c r="AC11953" s="318"/>
      <c r="AD11953" s="318"/>
    </row>
    <row r="11954" spans="2:30" s="323" customFormat="1" ht="12" customHeight="1">
      <c r="B11954" s="324"/>
      <c r="C11954" s="325"/>
      <c r="D11954" s="326"/>
      <c r="E11954" s="326"/>
      <c r="F11954" s="326"/>
      <c r="G11954" s="326"/>
      <c r="H11954" s="326"/>
      <c r="P11954" s="318"/>
      <c r="Q11954" s="318"/>
      <c r="R11954" s="318"/>
      <c r="S11954" s="318"/>
      <c r="T11954" s="318"/>
      <c r="U11954" s="318"/>
      <c r="V11954" s="318"/>
      <c r="W11954" s="318"/>
      <c r="X11954" s="318"/>
      <c r="Y11954" s="318"/>
      <c r="Z11954" s="318"/>
      <c r="AA11954" s="318"/>
      <c r="AB11954" s="318"/>
      <c r="AC11954" s="318"/>
      <c r="AD11954" s="318"/>
    </row>
    <row r="11955" spans="2:30" s="323" customFormat="1" ht="12" customHeight="1">
      <c r="B11955" s="324"/>
      <c r="C11955" s="325"/>
      <c r="D11955" s="326"/>
      <c r="E11955" s="326"/>
      <c r="F11955" s="326"/>
      <c r="G11955" s="326"/>
      <c r="H11955" s="326"/>
      <c r="P11955" s="318"/>
      <c r="Q11955" s="318"/>
      <c r="R11955" s="318"/>
      <c r="S11955" s="318"/>
      <c r="T11955" s="318"/>
      <c r="U11955" s="318"/>
      <c r="V11955" s="318"/>
      <c r="W11955" s="318"/>
      <c r="X11955" s="318"/>
      <c r="Y11955" s="318"/>
      <c r="Z11955" s="318"/>
      <c r="AA11955" s="318"/>
      <c r="AB11955" s="318"/>
      <c r="AC11955" s="318"/>
      <c r="AD11955" s="318"/>
    </row>
    <row r="11956" spans="2:30" s="323" customFormat="1" ht="12" customHeight="1">
      <c r="B11956" s="324"/>
      <c r="C11956" s="325"/>
      <c r="D11956" s="326"/>
      <c r="E11956" s="326"/>
      <c r="F11956" s="326"/>
      <c r="G11956" s="326"/>
      <c r="H11956" s="326"/>
      <c r="P11956" s="318"/>
      <c r="Q11956" s="318"/>
      <c r="R11956" s="318"/>
      <c r="S11956" s="318"/>
      <c r="T11956" s="318"/>
      <c r="U11956" s="318"/>
      <c r="V11956" s="318"/>
      <c r="W11956" s="318"/>
      <c r="X11956" s="318"/>
      <c r="Y11956" s="318"/>
      <c r="Z11956" s="318"/>
      <c r="AA11956" s="318"/>
      <c r="AB11956" s="318"/>
      <c r="AC11956" s="318"/>
      <c r="AD11956" s="318"/>
    </row>
    <row r="11957" spans="2:30" s="323" customFormat="1" ht="12" customHeight="1">
      <c r="B11957" s="324"/>
      <c r="C11957" s="325"/>
      <c r="D11957" s="326"/>
      <c r="E11957" s="326"/>
      <c r="F11957" s="326"/>
      <c r="G11957" s="326"/>
      <c r="H11957" s="326"/>
      <c r="P11957" s="318"/>
      <c r="Q11957" s="318"/>
      <c r="R11957" s="318"/>
      <c r="S11957" s="318"/>
      <c r="T11957" s="318"/>
      <c r="U11957" s="318"/>
      <c r="V11957" s="318"/>
      <c r="W11957" s="318"/>
      <c r="X11957" s="318"/>
      <c r="Y11957" s="318"/>
      <c r="Z11957" s="318"/>
      <c r="AA11957" s="318"/>
      <c r="AB11957" s="318"/>
      <c r="AC11957" s="318"/>
      <c r="AD11957" s="318"/>
    </row>
    <row r="11958" spans="2:30" s="323" customFormat="1" ht="12" customHeight="1">
      <c r="B11958" s="324"/>
      <c r="C11958" s="325"/>
      <c r="D11958" s="326"/>
      <c r="E11958" s="326"/>
      <c r="F11958" s="326"/>
      <c r="G11958" s="326"/>
      <c r="H11958" s="326"/>
      <c r="P11958" s="318"/>
      <c r="Q11958" s="318"/>
      <c r="R11958" s="318"/>
      <c r="S11958" s="318"/>
      <c r="T11958" s="318"/>
      <c r="U11958" s="318"/>
      <c r="V11958" s="318"/>
      <c r="W11958" s="318"/>
      <c r="X11958" s="318"/>
      <c r="Y11958" s="318"/>
      <c r="Z11958" s="318"/>
      <c r="AA11958" s="318"/>
      <c r="AB11958" s="318"/>
      <c r="AC11958" s="318"/>
      <c r="AD11958" s="318"/>
    </row>
    <row r="11959" spans="2:30" s="323" customFormat="1" ht="12" customHeight="1">
      <c r="B11959" s="324"/>
      <c r="C11959" s="325"/>
      <c r="D11959" s="326"/>
      <c r="E11959" s="326"/>
      <c r="F11959" s="326"/>
      <c r="G11959" s="326"/>
      <c r="H11959" s="326"/>
      <c r="P11959" s="318"/>
      <c r="Q11959" s="318"/>
      <c r="R11959" s="318"/>
      <c r="S11959" s="318"/>
      <c r="T11959" s="318"/>
      <c r="U11959" s="318"/>
      <c r="V11959" s="318"/>
      <c r="W11959" s="318"/>
      <c r="X11959" s="318"/>
      <c r="Y11959" s="318"/>
      <c r="Z11959" s="318"/>
      <c r="AA11959" s="318"/>
      <c r="AB11959" s="318"/>
      <c r="AC11959" s="318"/>
      <c r="AD11959" s="318"/>
    </row>
    <row r="11960" spans="2:30" s="323" customFormat="1" ht="12" customHeight="1">
      <c r="B11960" s="324"/>
      <c r="C11960" s="325"/>
      <c r="D11960" s="326"/>
      <c r="E11960" s="326"/>
      <c r="F11960" s="326"/>
      <c r="G11960" s="326"/>
      <c r="H11960" s="326"/>
      <c r="P11960" s="318"/>
      <c r="Q11960" s="318"/>
      <c r="R11960" s="318"/>
      <c r="S11960" s="318"/>
      <c r="T11960" s="318"/>
      <c r="U11960" s="318"/>
      <c r="V11960" s="318"/>
      <c r="W11960" s="318"/>
      <c r="X11960" s="318"/>
      <c r="Y11960" s="318"/>
      <c r="Z11960" s="318"/>
      <c r="AA11960" s="318"/>
      <c r="AB11960" s="318"/>
      <c r="AC11960" s="318"/>
      <c r="AD11960" s="318"/>
    </row>
    <row r="11961" spans="2:30" s="323" customFormat="1" ht="12" customHeight="1">
      <c r="B11961" s="324"/>
      <c r="C11961" s="325"/>
      <c r="D11961" s="326"/>
      <c r="E11961" s="326"/>
      <c r="F11961" s="326"/>
      <c r="G11961" s="326"/>
      <c r="H11961" s="326"/>
      <c r="P11961" s="318"/>
      <c r="Q11961" s="318"/>
      <c r="R11961" s="318"/>
      <c r="S11961" s="318"/>
      <c r="T11961" s="318"/>
      <c r="U11961" s="318"/>
      <c r="V11961" s="318"/>
      <c r="W11961" s="318"/>
      <c r="X11961" s="318"/>
      <c r="Y11961" s="318"/>
      <c r="Z11961" s="318"/>
      <c r="AA11961" s="318"/>
      <c r="AB11961" s="318"/>
      <c r="AC11961" s="318"/>
      <c r="AD11961" s="318"/>
    </row>
    <row r="11962" spans="2:30" s="323" customFormat="1" ht="12" customHeight="1">
      <c r="B11962" s="324"/>
      <c r="C11962" s="325"/>
      <c r="D11962" s="326"/>
      <c r="E11962" s="326"/>
      <c r="F11962" s="326"/>
      <c r="G11962" s="326"/>
      <c r="H11962" s="326"/>
      <c r="P11962" s="318"/>
      <c r="Q11962" s="318"/>
      <c r="R11962" s="318"/>
      <c r="S11962" s="318"/>
      <c r="T11962" s="318"/>
      <c r="U11962" s="318"/>
      <c r="V11962" s="318"/>
      <c r="W11962" s="318"/>
      <c r="X11962" s="318"/>
      <c r="Y11962" s="318"/>
      <c r="Z11962" s="318"/>
      <c r="AA11962" s="318"/>
      <c r="AB11962" s="318"/>
      <c r="AC11962" s="318"/>
      <c r="AD11962" s="318"/>
    </row>
    <row r="11963" spans="2:30" s="323" customFormat="1" ht="12" customHeight="1">
      <c r="B11963" s="324"/>
      <c r="C11963" s="325"/>
      <c r="D11963" s="326"/>
      <c r="E11963" s="326"/>
      <c r="F11963" s="326"/>
      <c r="G11963" s="326"/>
      <c r="H11963" s="326"/>
      <c r="P11963" s="318"/>
      <c r="Q11963" s="318"/>
      <c r="R11963" s="318"/>
      <c r="S11963" s="318"/>
      <c r="T11963" s="318"/>
      <c r="U11963" s="318"/>
      <c r="V11963" s="318"/>
      <c r="W11963" s="318"/>
      <c r="X11963" s="318"/>
      <c r="Y11963" s="318"/>
      <c r="Z11963" s="318"/>
      <c r="AA11963" s="318"/>
      <c r="AB11963" s="318"/>
      <c r="AC11963" s="318"/>
      <c r="AD11963" s="318"/>
    </row>
    <row r="11964" spans="2:30" s="323" customFormat="1" ht="12" customHeight="1">
      <c r="B11964" s="324"/>
      <c r="C11964" s="325"/>
      <c r="D11964" s="326"/>
      <c r="E11964" s="326"/>
      <c r="F11964" s="326"/>
      <c r="G11964" s="326"/>
      <c r="H11964" s="326"/>
      <c r="P11964" s="318"/>
      <c r="Q11964" s="318"/>
      <c r="R11964" s="318"/>
      <c r="S11964" s="318"/>
      <c r="T11964" s="318"/>
      <c r="U11964" s="318"/>
      <c r="V11964" s="318"/>
      <c r="W11964" s="318"/>
      <c r="X11964" s="318"/>
      <c r="Y11964" s="318"/>
      <c r="Z11964" s="318"/>
      <c r="AA11964" s="318"/>
      <c r="AB11964" s="318"/>
      <c r="AC11964" s="318"/>
      <c r="AD11964" s="318"/>
    </row>
    <row r="11965" spans="2:30" s="323" customFormat="1" ht="12" customHeight="1">
      <c r="B11965" s="324"/>
      <c r="C11965" s="325"/>
      <c r="D11965" s="326"/>
      <c r="E11965" s="326"/>
      <c r="F11965" s="326"/>
      <c r="G11965" s="326"/>
      <c r="H11965" s="326"/>
      <c r="P11965" s="318"/>
      <c r="Q11965" s="318"/>
      <c r="R11965" s="318"/>
      <c r="S11965" s="318"/>
      <c r="T11965" s="318"/>
      <c r="U11965" s="318"/>
      <c r="V11965" s="318"/>
      <c r="W11965" s="318"/>
      <c r="X11965" s="318"/>
      <c r="Y11965" s="318"/>
      <c r="Z11965" s="318"/>
      <c r="AA11965" s="318"/>
      <c r="AB11965" s="318"/>
      <c r="AC11965" s="318"/>
      <c r="AD11965" s="318"/>
    </row>
    <row r="11966" spans="2:30" s="323" customFormat="1" ht="12" customHeight="1">
      <c r="B11966" s="324"/>
      <c r="C11966" s="325"/>
      <c r="D11966" s="326"/>
      <c r="E11966" s="326"/>
      <c r="F11966" s="326"/>
      <c r="G11966" s="326"/>
      <c r="H11966" s="326"/>
      <c r="P11966" s="318"/>
      <c r="Q11966" s="318"/>
      <c r="R11966" s="318"/>
      <c r="S11966" s="318"/>
      <c r="T11966" s="318"/>
      <c r="U11966" s="318"/>
      <c r="V11966" s="318"/>
      <c r="W11966" s="318"/>
      <c r="X11966" s="318"/>
      <c r="Y11966" s="318"/>
      <c r="Z11966" s="318"/>
      <c r="AA11966" s="318"/>
      <c r="AB11966" s="318"/>
      <c r="AC11966" s="318"/>
      <c r="AD11966" s="318"/>
    </row>
    <row r="11967" spans="2:30" s="323" customFormat="1" ht="12" customHeight="1">
      <c r="B11967" s="324"/>
      <c r="C11967" s="325"/>
      <c r="D11967" s="326"/>
      <c r="E11967" s="326"/>
      <c r="F11967" s="326"/>
      <c r="G11967" s="326"/>
      <c r="H11967" s="326"/>
      <c r="P11967" s="318"/>
      <c r="Q11967" s="318"/>
      <c r="R11967" s="318"/>
      <c r="S11967" s="318"/>
      <c r="T11967" s="318"/>
      <c r="U11967" s="318"/>
      <c r="V11967" s="318"/>
      <c r="W11967" s="318"/>
      <c r="X11967" s="318"/>
      <c r="Y11967" s="318"/>
      <c r="Z11967" s="318"/>
      <c r="AA11967" s="318"/>
      <c r="AB11967" s="318"/>
      <c r="AC11967" s="318"/>
      <c r="AD11967" s="318"/>
    </row>
    <row r="11968" spans="2:30" s="323" customFormat="1" ht="12" customHeight="1">
      <c r="B11968" s="324"/>
      <c r="C11968" s="325"/>
      <c r="D11968" s="326"/>
      <c r="E11968" s="326"/>
      <c r="F11968" s="326"/>
      <c r="G11968" s="326"/>
      <c r="H11968" s="326"/>
      <c r="P11968" s="318"/>
      <c r="Q11968" s="318"/>
      <c r="R11968" s="318"/>
      <c r="S11968" s="318"/>
      <c r="T11968" s="318"/>
      <c r="U11968" s="318"/>
      <c r="V11968" s="318"/>
      <c r="W11968" s="318"/>
      <c r="X11968" s="318"/>
      <c r="Y11968" s="318"/>
      <c r="Z11968" s="318"/>
      <c r="AA11968" s="318"/>
      <c r="AB11968" s="318"/>
      <c r="AC11968" s="318"/>
      <c r="AD11968" s="318"/>
    </row>
    <row r="11969" spans="2:30" s="323" customFormat="1" ht="12" customHeight="1">
      <c r="B11969" s="324"/>
      <c r="C11969" s="325"/>
      <c r="D11969" s="326"/>
      <c r="E11969" s="326"/>
      <c r="F11969" s="326"/>
      <c r="G11969" s="326"/>
      <c r="H11969" s="326"/>
      <c r="P11969" s="318"/>
      <c r="Q11969" s="318"/>
      <c r="R11969" s="318"/>
      <c r="S11969" s="318"/>
      <c r="T11969" s="318"/>
      <c r="U11969" s="318"/>
      <c r="V11969" s="318"/>
      <c r="W11969" s="318"/>
      <c r="X11969" s="318"/>
      <c r="Y11969" s="318"/>
      <c r="Z11969" s="318"/>
      <c r="AA11969" s="318"/>
      <c r="AB11969" s="318"/>
      <c r="AC11969" s="318"/>
      <c r="AD11969" s="318"/>
    </row>
    <row r="11970" spans="2:30" s="323" customFormat="1" ht="12" customHeight="1">
      <c r="B11970" s="324"/>
      <c r="C11970" s="325"/>
      <c r="D11970" s="326"/>
      <c r="E11970" s="326"/>
      <c r="F11970" s="326"/>
      <c r="G11970" s="326"/>
      <c r="H11970" s="326"/>
      <c r="P11970" s="318"/>
      <c r="Q11970" s="318"/>
      <c r="R11970" s="318"/>
      <c r="S11970" s="318"/>
      <c r="T11970" s="318"/>
      <c r="U11970" s="318"/>
      <c r="V11970" s="318"/>
      <c r="W11970" s="318"/>
      <c r="X11970" s="318"/>
      <c r="Y11970" s="318"/>
      <c r="Z11970" s="318"/>
      <c r="AA11970" s="318"/>
      <c r="AB11970" s="318"/>
      <c r="AC11970" s="318"/>
      <c r="AD11970" s="318"/>
    </row>
    <row r="11971" spans="2:30" s="323" customFormat="1" ht="12" customHeight="1">
      <c r="B11971" s="324"/>
      <c r="C11971" s="325"/>
      <c r="D11971" s="326"/>
      <c r="E11971" s="326"/>
      <c r="F11971" s="326"/>
      <c r="G11971" s="326"/>
      <c r="H11971" s="326"/>
      <c r="P11971" s="318"/>
      <c r="Q11971" s="318"/>
      <c r="R11971" s="318"/>
      <c r="S11971" s="318"/>
      <c r="T11971" s="318"/>
      <c r="U11971" s="318"/>
      <c r="V11971" s="318"/>
      <c r="W11971" s="318"/>
      <c r="X11971" s="318"/>
      <c r="Y11971" s="318"/>
      <c r="Z11971" s="318"/>
      <c r="AA11971" s="318"/>
      <c r="AB11971" s="318"/>
      <c r="AC11971" s="318"/>
      <c r="AD11971" s="318"/>
    </row>
    <row r="11972" spans="2:30" s="323" customFormat="1" ht="12" customHeight="1">
      <c r="B11972" s="324"/>
      <c r="C11972" s="325"/>
      <c r="D11972" s="326"/>
      <c r="E11972" s="326"/>
      <c r="F11972" s="326"/>
      <c r="G11972" s="326"/>
      <c r="H11972" s="326"/>
      <c r="P11972" s="318"/>
      <c r="Q11972" s="318"/>
      <c r="R11972" s="318"/>
      <c r="S11972" s="318"/>
      <c r="T11972" s="318"/>
      <c r="U11972" s="318"/>
      <c r="V11972" s="318"/>
      <c r="W11972" s="318"/>
      <c r="X11972" s="318"/>
      <c r="Y11972" s="318"/>
      <c r="Z11972" s="318"/>
      <c r="AA11972" s="318"/>
      <c r="AB11972" s="318"/>
      <c r="AC11972" s="318"/>
      <c r="AD11972" s="318"/>
    </row>
    <row r="11973" spans="2:30" s="323" customFormat="1" ht="12" customHeight="1">
      <c r="B11973" s="324"/>
      <c r="C11973" s="325"/>
      <c r="D11973" s="326"/>
      <c r="E11973" s="326"/>
      <c r="F11973" s="326"/>
      <c r="G11973" s="326"/>
      <c r="H11973" s="326"/>
      <c r="P11973" s="318"/>
      <c r="Q11973" s="318"/>
      <c r="R11973" s="318"/>
      <c r="S11973" s="318"/>
      <c r="T11973" s="318"/>
      <c r="U11973" s="318"/>
      <c r="V11973" s="318"/>
      <c r="W11973" s="318"/>
      <c r="X11973" s="318"/>
      <c r="Y11973" s="318"/>
      <c r="Z11973" s="318"/>
      <c r="AA11973" s="318"/>
      <c r="AB11973" s="318"/>
      <c r="AC11973" s="318"/>
      <c r="AD11973" s="318"/>
    </row>
    <row r="11974" spans="2:30" s="323" customFormat="1" ht="12" customHeight="1">
      <c r="B11974" s="324"/>
      <c r="C11974" s="325"/>
      <c r="D11974" s="326"/>
      <c r="E11974" s="326"/>
      <c r="F11974" s="326"/>
      <c r="G11974" s="326"/>
      <c r="H11974" s="326"/>
      <c r="P11974" s="318"/>
      <c r="Q11974" s="318"/>
      <c r="R11974" s="318"/>
      <c r="S11974" s="318"/>
      <c r="T11974" s="318"/>
      <c r="U11974" s="318"/>
      <c r="V11974" s="318"/>
      <c r="W11974" s="318"/>
      <c r="X11974" s="318"/>
      <c r="Y11974" s="318"/>
      <c r="Z11974" s="318"/>
      <c r="AA11974" s="318"/>
      <c r="AB11974" s="318"/>
      <c r="AC11974" s="318"/>
      <c r="AD11974" s="318"/>
    </row>
    <row r="11975" spans="2:30" s="323" customFormat="1" ht="12" customHeight="1">
      <c r="B11975" s="324"/>
      <c r="C11975" s="325"/>
      <c r="D11975" s="326"/>
      <c r="E11975" s="326"/>
      <c r="F11975" s="326"/>
      <c r="G11975" s="326"/>
      <c r="H11975" s="326"/>
      <c r="P11975" s="318"/>
      <c r="Q11975" s="318"/>
      <c r="R11975" s="318"/>
      <c r="S11975" s="318"/>
      <c r="T11975" s="318"/>
      <c r="U11975" s="318"/>
      <c r="V11975" s="318"/>
      <c r="W11975" s="318"/>
      <c r="X11975" s="318"/>
      <c r="Y11975" s="318"/>
      <c r="Z11975" s="318"/>
      <c r="AA11975" s="318"/>
      <c r="AB11975" s="318"/>
      <c r="AC11975" s="318"/>
      <c r="AD11975" s="318"/>
    </row>
    <row r="11976" spans="2:30" s="323" customFormat="1" ht="12" customHeight="1">
      <c r="B11976" s="324"/>
      <c r="C11976" s="325"/>
      <c r="D11976" s="326"/>
      <c r="E11976" s="326"/>
      <c r="F11976" s="326"/>
      <c r="G11976" s="326"/>
      <c r="H11976" s="326"/>
      <c r="P11976" s="318"/>
      <c r="Q11976" s="318"/>
      <c r="R11976" s="318"/>
      <c r="S11976" s="318"/>
      <c r="T11976" s="318"/>
      <c r="U11976" s="318"/>
      <c r="V11976" s="318"/>
      <c r="W11976" s="318"/>
      <c r="X11976" s="318"/>
      <c r="Y11976" s="318"/>
      <c r="Z11976" s="318"/>
      <c r="AA11976" s="318"/>
      <c r="AB11976" s="318"/>
      <c r="AC11976" s="318"/>
      <c r="AD11976" s="318"/>
    </row>
    <row r="11977" spans="2:30" s="323" customFormat="1" ht="12" customHeight="1">
      <c r="B11977" s="324"/>
      <c r="C11977" s="325"/>
      <c r="D11977" s="326"/>
      <c r="E11977" s="326"/>
      <c r="F11977" s="326"/>
      <c r="G11977" s="326"/>
      <c r="H11977" s="326"/>
      <c r="P11977" s="318"/>
      <c r="Q11977" s="318"/>
      <c r="R11977" s="318"/>
      <c r="S11977" s="318"/>
      <c r="T11977" s="318"/>
      <c r="U11977" s="318"/>
      <c r="V11977" s="318"/>
      <c r="W11977" s="318"/>
      <c r="X11977" s="318"/>
      <c r="Y11977" s="318"/>
      <c r="Z11977" s="318"/>
      <c r="AA11977" s="318"/>
      <c r="AB11977" s="318"/>
      <c r="AC11977" s="318"/>
      <c r="AD11977" s="318"/>
    </row>
    <row r="11978" spans="2:30" s="323" customFormat="1" ht="12" customHeight="1">
      <c r="B11978" s="324"/>
      <c r="C11978" s="325"/>
      <c r="D11978" s="326"/>
      <c r="E11978" s="326"/>
      <c r="F11978" s="326"/>
      <c r="G11978" s="326"/>
      <c r="H11978" s="326"/>
      <c r="P11978" s="318"/>
      <c r="Q11978" s="318"/>
      <c r="R11978" s="318"/>
      <c r="S11978" s="318"/>
      <c r="T11978" s="318"/>
      <c r="U11978" s="318"/>
      <c r="V11978" s="318"/>
      <c r="W11978" s="318"/>
      <c r="X11978" s="318"/>
      <c r="Y11978" s="318"/>
      <c r="Z11978" s="318"/>
      <c r="AA11978" s="318"/>
      <c r="AB11978" s="318"/>
      <c r="AC11978" s="318"/>
      <c r="AD11978" s="318"/>
    </row>
    <row r="11979" spans="2:30" s="323" customFormat="1" ht="12" customHeight="1">
      <c r="B11979" s="324"/>
      <c r="C11979" s="325"/>
      <c r="D11979" s="326"/>
      <c r="E11979" s="326"/>
      <c r="F11979" s="326"/>
      <c r="G11979" s="326"/>
      <c r="H11979" s="326"/>
      <c r="P11979" s="318"/>
      <c r="Q11979" s="318"/>
      <c r="R11979" s="318"/>
      <c r="S11979" s="318"/>
      <c r="T11979" s="318"/>
      <c r="U11979" s="318"/>
      <c r="V11979" s="318"/>
      <c r="W11979" s="318"/>
      <c r="X11979" s="318"/>
      <c r="Y11979" s="318"/>
      <c r="Z11979" s="318"/>
      <c r="AA11979" s="318"/>
      <c r="AB11979" s="318"/>
      <c r="AC11979" s="318"/>
      <c r="AD11979" s="318"/>
    </row>
    <row r="11980" spans="2:30" s="323" customFormat="1" ht="12" customHeight="1">
      <c r="B11980" s="324"/>
      <c r="C11980" s="325"/>
      <c r="D11980" s="326"/>
      <c r="E11980" s="326"/>
      <c r="F11980" s="326"/>
      <c r="G11980" s="326"/>
      <c r="H11980" s="326"/>
      <c r="P11980" s="318"/>
      <c r="Q11980" s="318"/>
      <c r="R11980" s="318"/>
      <c r="S11980" s="318"/>
      <c r="T11980" s="318"/>
      <c r="U11980" s="318"/>
      <c r="V11980" s="318"/>
      <c r="W11980" s="318"/>
      <c r="X11980" s="318"/>
      <c r="Y11980" s="318"/>
      <c r="Z11980" s="318"/>
      <c r="AA11980" s="318"/>
      <c r="AB11980" s="318"/>
      <c r="AC11980" s="318"/>
      <c r="AD11980" s="318"/>
    </row>
    <row r="11981" spans="2:30" s="323" customFormat="1" ht="12" customHeight="1">
      <c r="B11981" s="324"/>
      <c r="C11981" s="325"/>
      <c r="D11981" s="326"/>
      <c r="E11981" s="326"/>
      <c r="F11981" s="326"/>
      <c r="G11981" s="326"/>
      <c r="H11981" s="326"/>
      <c r="P11981" s="318"/>
      <c r="Q11981" s="318"/>
      <c r="R11981" s="318"/>
      <c r="S11981" s="318"/>
      <c r="T11981" s="318"/>
      <c r="U11981" s="318"/>
      <c r="V11981" s="318"/>
      <c r="W11981" s="318"/>
      <c r="X11981" s="318"/>
      <c r="Y11981" s="318"/>
      <c r="Z11981" s="318"/>
      <c r="AA11981" s="318"/>
      <c r="AB11981" s="318"/>
      <c r="AC11981" s="318"/>
      <c r="AD11981" s="318"/>
    </row>
    <row r="11982" spans="2:30" s="323" customFormat="1" ht="12" customHeight="1">
      <c r="B11982" s="324"/>
      <c r="C11982" s="325"/>
      <c r="D11982" s="326"/>
      <c r="E11982" s="326"/>
      <c r="F11982" s="326"/>
      <c r="G11982" s="326"/>
      <c r="H11982" s="326"/>
      <c r="P11982" s="318"/>
      <c r="Q11982" s="318"/>
      <c r="R11982" s="318"/>
      <c r="S11982" s="318"/>
      <c r="T11982" s="318"/>
      <c r="U11982" s="318"/>
      <c r="V11982" s="318"/>
      <c r="W11982" s="318"/>
      <c r="X11982" s="318"/>
      <c r="Y11982" s="318"/>
      <c r="Z11982" s="318"/>
      <c r="AA11982" s="318"/>
      <c r="AB11982" s="318"/>
      <c r="AC11982" s="318"/>
      <c r="AD11982" s="318"/>
    </row>
    <row r="11983" spans="2:30" s="323" customFormat="1" ht="12" customHeight="1">
      <c r="B11983" s="324"/>
      <c r="C11983" s="325"/>
      <c r="D11983" s="326"/>
      <c r="E11983" s="326"/>
      <c r="F11983" s="326"/>
      <c r="G11983" s="326"/>
      <c r="H11983" s="326"/>
      <c r="P11983" s="318"/>
      <c r="Q11983" s="318"/>
      <c r="R11983" s="318"/>
      <c r="S11983" s="318"/>
      <c r="T11983" s="318"/>
      <c r="U11983" s="318"/>
      <c r="V11983" s="318"/>
      <c r="W11983" s="318"/>
      <c r="X11983" s="318"/>
      <c r="Y11983" s="318"/>
      <c r="Z11983" s="318"/>
      <c r="AA11983" s="318"/>
      <c r="AB11983" s="318"/>
      <c r="AC11983" s="318"/>
      <c r="AD11983" s="318"/>
    </row>
    <row r="11984" spans="2:30" s="323" customFormat="1" ht="12" customHeight="1">
      <c r="B11984" s="324"/>
      <c r="C11984" s="325"/>
      <c r="D11984" s="326"/>
      <c r="E11984" s="326"/>
      <c r="F11984" s="326"/>
      <c r="G11984" s="326"/>
      <c r="H11984" s="326"/>
      <c r="P11984" s="318"/>
      <c r="Q11984" s="318"/>
      <c r="R11984" s="318"/>
      <c r="S11984" s="318"/>
      <c r="T11984" s="318"/>
      <c r="U11984" s="318"/>
      <c r="V11984" s="318"/>
      <c r="W11984" s="318"/>
      <c r="X11984" s="318"/>
      <c r="Y11984" s="318"/>
      <c r="Z11984" s="318"/>
      <c r="AA11984" s="318"/>
      <c r="AB11984" s="318"/>
      <c r="AC11984" s="318"/>
      <c r="AD11984" s="318"/>
    </row>
    <row r="11985" spans="2:30" s="323" customFormat="1" ht="12" customHeight="1">
      <c r="B11985" s="324"/>
      <c r="C11985" s="325"/>
      <c r="D11985" s="326"/>
      <c r="E11985" s="326"/>
      <c r="F11985" s="326"/>
      <c r="G11985" s="326"/>
      <c r="H11985" s="326"/>
      <c r="P11985" s="318"/>
      <c r="Q11985" s="318"/>
      <c r="R11985" s="318"/>
      <c r="S11985" s="318"/>
      <c r="T11985" s="318"/>
      <c r="U11985" s="318"/>
      <c r="V11985" s="318"/>
      <c r="W11985" s="318"/>
      <c r="X11985" s="318"/>
      <c r="Y11985" s="318"/>
      <c r="Z11985" s="318"/>
      <c r="AA11985" s="318"/>
      <c r="AB11985" s="318"/>
      <c r="AC11985" s="318"/>
      <c r="AD11985" s="318"/>
    </row>
    <row r="11986" spans="2:30" s="323" customFormat="1" ht="12" customHeight="1">
      <c r="B11986" s="324"/>
      <c r="C11986" s="325"/>
      <c r="D11986" s="326"/>
      <c r="E11986" s="326"/>
      <c r="F11986" s="326"/>
      <c r="G11986" s="326"/>
      <c r="H11986" s="326"/>
      <c r="P11986" s="318"/>
      <c r="Q11986" s="318"/>
      <c r="R11986" s="318"/>
      <c r="S11986" s="318"/>
      <c r="T11986" s="318"/>
      <c r="U11986" s="318"/>
      <c r="V11986" s="318"/>
      <c r="W11986" s="318"/>
      <c r="X11986" s="318"/>
      <c r="Y11986" s="318"/>
      <c r="Z11986" s="318"/>
      <c r="AA11986" s="318"/>
      <c r="AB11986" s="318"/>
      <c r="AC11986" s="318"/>
      <c r="AD11986" s="318"/>
    </row>
    <row r="11987" spans="2:30" s="323" customFormat="1" ht="12" customHeight="1">
      <c r="B11987" s="324"/>
      <c r="C11987" s="325"/>
      <c r="D11987" s="326"/>
      <c r="E11987" s="326"/>
      <c r="F11987" s="326"/>
      <c r="G11987" s="326"/>
      <c r="H11987" s="326"/>
      <c r="P11987" s="318"/>
      <c r="Q11987" s="318"/>
      <c r="R11987" s="318"/>
      <c r="S11987" s="318"/>
      <c r="T11987" s="318"/>
      <c r="U11987" s="318"/>
      <c r="V11987" s="318"/>
      <c r="W11987" s="318"/>
      <c r="X11987" s="318"/>
      <c r="Y11987" s="318"/>
      <c r="Z11987" s="318"/>
      <c r="AA11987" s="318"/>
      <c r="AB11987" s="318"/>
      <c r="AC11987" s="318"/>
      <c r="AD11987" s="318"/>
    </row>
    <row r="11988" spans="2:30" s="323" customFormat="1" ht="12" customHeight="1">
      <c r="B11988" s="324"/>
      <c r="C11988" s="325"/>
      <c r="D11988" s="326"/>
      <c r="E11988" s="326"/>
      <c r="F11988" s="326"/>
      <c r="G11988" s="326"/>
      <c r="H11988" s="326"/>
      <c r="P11988" s="318"/>
      <c r="Q11988" s="318"/>
      <c r="R11988" s="318"/>
      <c r="S11988" s="318"/>
      <c r="T11988" s="318"/>
      <c r="U11988" s="318"/>
      <c r="V11988" s="318"/>
      <c r="W11988" s="318"/>
      <c r="X11988" s="318"/>
      <c r="Y11988" s="318"/>
      <c r="Z11988" s="318"/>
      <c r="AA11988" s="318"/>
      <c r="AB11988" s="318"/>
      <c r="AC11988" s="318"/>
      <c r="AD11988" s="318"/>
    </row>
    <row r="11989" spans="2:30" s="323" customFormat="1" ht="12" customHeight="1">
      <c r="B11989" s="324"/>
      <c r="C11989" s="325"/>
      <c r="D11989" s="326"/>
      <c r="E11989" s="326"/>
      <c r="F11989" s="326"/>
      <c r="G11989" s="326"/>
      <c r="H11989" s="326"/>
      <c r="P11989" s="318"/>
      <c r="Q11989" s="318"/>
      <c r="R11989" s="318"/>
      <c r="S11989" s="318"/>
      <c r="T11989" s="318"/>
      <c r="U11989" s="318"/>
      <c r="V11989" s="318"/>
      <c r="W11989" s="318"/>
      <c r="X11989" s="318"/>
      <c r="Y11989" s="318"/>
      <c r="Z11989" s="318"/>
      <c r="AA11989" s="318"/>
      <c r="AB11989" s="318"/>
      <c r="AC11989" s="318"/>
      <c r="AD11989" s="318"/>
    </row>
    <row r="11990" spans="2:30" s="323" customFormat="1" ht="12" customHeight="1">
      <c r="B11990" s="324"/>
      <c r="C11990" s="325"/>
      <c r="D11990" s="326"/>
      <c r="E11990" s="326"/>
      <c r="F11990" s="326"/>
      <c r="G11990" s="326"/>
      <c r="H11990" s="326"/>
      <c r="P11990" s="318"/>
      <c r="Q11990" s="318"/>
      <c r="R11990" s="318"/>
      <c r="S11990" s="318"/>
      <c r="T11990" s="318"/>
      <c r="U11990" s="318"/>
      <c r="V11990" s="318"/>
      <c r="W11990" s="318"/>
      <c r="X11990" s="318"/>
      <c r="Y11990" s="318"/>
      <c r="Z11990" s="318"/>
      <c r="AA11990" s="318"/>
      <c r="AB11990" s="318"/>
      <c r="AC11990" s="318"/>
      <c r="AD11990" s="318"/>
    </row>
    <row r="11991" spans="2:30" s="323" customFormat="1" ht="12" customHeight="1">
      <c r="B11991" s="324"/>
      <c r="C11991" s="325"/>
      <c r="D11991" s="326"/>
      <c r="E11991" s="326"/>
      <c r="F11991" s="326"/>
      <c r="G11991" s="326"/>
      <c r="H11991" s="326"/>
      <c r="P11991" s="318"/>
      <c r="Q11991" s="318"/>
      <c r="R11991" s="318"/>
      <c r="S11991" s="318"/>
      <c r="T11991" s="318"/>
      <c r="U11991" s="318"/>
      <c r="V11991" s="318"/>
      <c r="W11991" s="318"/>
      <c r="X11991" s="318"/>
      <c r="Y11991" s="318"/>
      <c r="Z11991" s="318"/>
      <c r="AA11991" s="318"/>
      <c r="AB11991" s="318"/>
      <c r="AC11991" s="318"/>
      <c r="AD11991" s="318"/>
    </row>
    <row r="11992" spans="2:30" s="323" customFormat="1" ht="12" customHeight="1">
      <c r="B11992" s="324"/>
      <c r="C11992" s="325"/>
      <c r="D11992" s="326"/>
      <c r="E11992" s="326"/>
      <c r="F11992" s="326"/>
      <c r="G11992" s="326"/>
      <c r="H11992" s="326"/>
      <c r="P11992" s="318"/>
      <c r="Q11992" s="318"/>
      <c r="R11992" s="318"/>
      <c r="S11992" s="318"/>
      <c r="T11992" s="318"/>
      <c r="U11992" s="318"/>
      <c r="V11992" s="318"/>
      <c r="W11992" s="318"/>
      <c r="X11992" s="318"/>
      <c r="Y11992" s="318"/>
      <c r="Z11992" s="318"/>
      <c r="AA11992" s="318"/>
      <c r="AB11992" s="318"/>
      <c r="AC11992" s="318"/>
      <c r="AD11992" s="318"/>
    </row>
    <row r="11993" spans="2:30" s="323" customFormat="1" ht="12" customHeight="1">
      <c r="B11993" s="324"/>
      <c r="C11993" s="325"/>
      <c r="D11993" s="326"/>
      <c r="E11993" s="326"/>
      <c r="F11993" s="326"/>
      <c r="G11993" s="326"/>
      <c r="H11993" s="326"/>
      <c r="P11993" s="318"/>
      <c r="Q11993" s="318"/>
      <c r="R11993" s="318"/>
      <c r="S11993" s="318"/>
      <c r="T11993" s="318"/>
      <c r="U11993" s="318"/>
      <c r="V11993" s="318"/>
      <c r="W11993" s="318"/>
      <c r="X11993" s="318"/>
      <c r="Y11993" s="318"/>
      <c r="Z11993" s="318"/>
      <c r="AA11993" s="318"/>
      <c r="AB11993" s="318"/>
      <c r="AC11993" s="318"/>
      <c r="AD11993" s="318"/>
    </row>
    <row r="11994" spans="2:30" s="323" customFormat="1" ht="12" customHeight="1">
      <c r="B11994" s="324"/>
      <c r="C11994" s="325"/>
      <c r="D11994" s="326"/>
      <c r="E11994" s="326"/>
      <c r="F11994" s="326"/>
      <c r="G11994" s="326"/>
      <c r="H11994" s="326"/>
      <c r="P11994" s="318"/>
      <c r="Q11994" s="318"/>
      <c r="R11994" s="318"/>
      <c r="S11994" s="318"/>
      <c r="T11994" s="318"/>
      <c r="U11994" s="318"/>
      <c r="V11994" s="318"/>
      <c r="W11994" s="318"/>
      <c r="X11994" s="318"/>
      <c r="Y11994" s="318"/>
      <c r="Z11994" s="318"/>
      <c r="AA11994" s="318"/>
      <c r="AB11994" s="318"/>
      <c r="AC11994" s="318"/>
      <c r="AD11994" s="318"/>
    </row>
    <row r="11995" spans="2:30" s="323" customFormat="1" ht="12" customHeight="1">
      <c r="B11995" s="324"/>
      <c r="C11995" s="325"/>
      <c r="D11995" s="326"/>
      <c r="E11995" s="326"/>
      <c r="F11995" s="326"/>
      <c r="G11995" s="326"/>
      <c r="H11995" s="326"/>
      <c r="P11995" s="318"/>
      <c r="Q11995" s="318"/>
      <c r="R11995" s="318"/>
      <c r="S11995" s="318"/>
      <c r="T11995" s="318"/>
      <c r="U11995" s="318"/>
      <c r="V11995" s="318"/>
      <c r="W11995" s="318"/>
      <c r="X11995" s="318"/>
      <c r="Y11995" s="318"/>
      <c r="Z11995" s="318"/>
      <c r="AA11995" s="318"/>
      <c r="AB11995" s="318"/>
      <c r="AC11995" s="318"/>
      <c r="AD11995" s="318"/>
    </row>
    <row r="11996" spans="2:30" s="323" customFormat="1" ht="12" customHeight="1">
      <c r="B11996" s="324"/>
      <c r="C11996" s="325"/>
      <c r="D11996" s="326"/>
      <c r="E11996" s="326"/>
      <c r="F11996" s="326"/>
      <c r="G11996" s="326"/>
      <c r="H11996" s="326"/>
      <c r="P11996" s="318"/>
      <c r="Q11996" s="318"/>
      <c r="R11996" s="318"/>
      <c r="S11996" s="318"/>
      <c r="T11996" s="318"/>
      <c r="U11996" s="318"/>
      <c r="V11996" s="318"/>
      <c r="W11996" s="318"/>
      <c r="X11996" s="318"/>
      <c r="Y11996" s="318"/>
      <c r="Z11996" s="318"/>
      <c r="AA11996" s="318"/>
      <c r="AB11996" s="318"/>
      <c r="AC11996" s="318"/>
      <c r="AD11996" s="318"/>
    </row>
    <row r="11997" spans="2:30" s="323" customFormat="1" ht="12" customHeight="1">
      <c r="B11997" s="324"/>
      <c r="C11997" s="325"/>
      <c r="D11997" s="326"/>
      <c r="E11997" s="326"/>
      <c r="F11997" s="326"/>
      <c r="G11997" s="326"/>
      <c r="H11997" s="326"/>
      <c r="P11997" s="318"/>
      <c r="Q11997" s="318"/>
      <c r="R11997" s="318"/>
      <c r="S11997" s="318"/>
      <c r="T11997" s="318"/>
      <c r="U11997" s="318"/>
      <c r="V11997" s="318"/>
      <c r="W11997" s="318"/>
      <c r="X11997" s="318"/>
      <c r="Y11997" s="318"/>
      <c r="Z11997" s="318"/>
      <c r="AA11997" s="318"/>
      <c r="AB11997" s="318"/>
      <c r="AC11997" s="318"/>
      <c r="AD11997" s="318"/>
    </row>
    <row r="11998" spans="2:30" s="323" customFormat="1" ht="12" customHeight="1">
      <c r="B11998" s="324"/>
      <c r="C11998" s="325"/>
      <c r="D11998" s="326"/>
      <c r="E11998" s="326"/>
      <c r="F11998" s="326"/>
      <c r="G11998" s="326"/>
      <c r="H11998" s="326"/>
      <c r="P11998" s="318"/>
      <c r="Q11998" s="318"/>
      <c r="R11998" s="318"/>
      <c r="S11998" s="318"/>
      <c r="T11998" s="318"/>
      <c r="U11998" s="318"/>
      <c r="V11998" s="318"/>
      <c r="W11998" s="318"/>
      <c r="X11998" s="318"/>
      <c r="Y11998" s="318"/>
      <c r="Z11998" s="318"/>
      <c r="AA11998" s="318"/>
      <c r="AB11998" s="318"/>
      <c r="AC11998" s="318"/>
      <c r="AD11998" s="318"/>
    </row>
    <row r="11999" spans="2:30" s="323" customFormat="1" ht="12" customHeight="1">
      <c r="B11999" s="324"/>
      <c r="C11999" s="325"/>
      <c r="D11999" s="326"/>
      <c r="E11999" s="326"/>
      <c r="F11999" s="326"/>
      <c r="G11999" s="326"/>
      <c r="H11999" s="326"/>
      <c r="P11999" s="318"/>
      <c r="Q11999" s="318"/>
      <c r="R11999" s="318"/>
      <c r="S11999" s="318"/>
      <c r="T11999" s="318"/>
      <c r="U11999" s="318"/>
      <c r="V11999" s="318"/>
      <c r="W11999" s="318"/>
      <c r="X11999" s="318"/>
      <c r="Y11999" s="318"/>
      <c r="Z11999" s="318"/>
      <c r="AA11999" s="318"/>
      <c r="AB11999" s="318"/>
      <c r="AC11999" s="318"/>
      <c r="AD11999" s="318"/>
    </row>
    <row r="12000" spans="2:30" s="323" customFormat="1" ht="12" customHeight="1">
      <c r="B12000" s="324"/>
      <c r="C12000" s="325"/>
      <c r="D12000" s="326"/>
      <c r="E12000" s="326"/>
      <c r="F12000" s="326"/>
      <c r="G12000" s="326"/>
      <c r="H12000" s="326"/>
      <c r="P12000" s="318"/>
      <c r="Q12000" s="318"/>
      <c r="R12000" s="318"/>
      <c r="S12000" s="318"/>
      <c r="T12000" s="318"/>
      <c r="U12000" s="318"/>
      <c r="V12000" s="318"/>
      <c r="W12000" s="318"/>
      <c r="X12000" s="318"/>
      <c r="Y12000" s="318"/>
      <c r="Z12000" s="318"/>
      <c r="AA12000" s="318"/>
      <c r="AB12000" s="318"/>
      <c r="AC12000" s="318"/>
      <c r="AD12000" s="318"/>
    </row>
    <row r="12001" spans="2:30" s="323" customFormat="1" ht="12" customHeight="1">
      <c r="B12001" s="324"/>
      <c r="C12001" s="325"/>
      <c r="D12001" s="326"/>
      <c r="E12001" s="326"/>
      <c r="F12001" s="326"/>
      <c r="G12001" s="326"/>
      <c r="H12001" s="326"/>
      <c r="P12001" s="318"/>
      <c r="Q12001" s="318"/>
      <c r="R12001" s="318"/>
      <c r="S12001" s="318"/>
      <c r="T12001" s="318"/>
      <c r="U12001" s="318"/>
      <c r="V12001" s="318"/>
      <c r="W12001" s="318"/>
      <c r="X12001" s="318"/>
      <c r="Y12001" s="318"/>
      <c r="Z12001" s="318"/>
      <c r="AA12001" s="318"/>
      <c r="AB12001" s="318"/>
      <c r="AC12001" s="318"/>
      <c r="AD12001" s="318"/>
    </row>
    <row r="12002" spans="2:30" s="323" customFormat="1" ht="12" customHeight="1">
      <c r="B12002" s="324"/>
      <c r="C12002" s="325"/>
      <c r="D12002" s="326"/>
      <c r="E12002" s="326"/>
      <c r="F12002" s="326"/>
      <c r="G12002" s="326"/>
      <c r="H12002" s="326"/>
      <c r="P12002" s="318"/>
      <c r="Q12002" s="318"/>
      <c r="R12002" s="318"/>
      <c r="S12002" s="318"/>
      <c r="T12002" s="318"/>
      <c r="U12002" s="318"/>
      <c r="V12002" s="318"/>
      <c r="W12002" s="318"/>
      <c r="X12002" s="318"/>
      <c r="Y12002" s="318"/>
      <c r="Z12002" s="318"/>
      <c r="AA12002" s="318"/>
      <c r="AB12002" s="318"/>
      <c r="AC12002" s="318"/>
      <c r="AD12002" s="318"/>
    </row>
    <row r="12003" spans="2:30" s="323" customFormat="1" ht="12" customHeight="1">
      <c r="B12003" s="324"/>
      <c r="C12003" s="325"/>
      <c r="D12003" s="326"/>
      <c r="E12003" s="326"/>
      <c r="F12003" s="326"/>
      <c r="G12003" s="326"/>
      <c r="H12003" s="326"/>
      <c r="P12003" s="318"/>
      <c r="Q12003" s="318"/>
      <c r="R12003" s="318"/>
      <c r="S12003" s="318"/>
      <c r="T12003" s="318"/>
      <c r="U12003" s="318"/>
      <c r="V12003" s="318"/>
      <c r="W12003" s="318"/>
      <c r="X12003" s="318"/>
      <c r="Y12003" s="318"/>
      <c r="Z12003" s="318"/>
      <c r="AA12003" s="318"/>
      <c r="AB12003" s="318"/>
      <c r="AC12003" s="318"/>
      <c r="AD12003" s="318"/>
    </row>
    <row r="12004" spans="2:30" s="323" customFormat="1" ht="12" customHeight="1">
      <c r="B12004" s="324"/>
      <c r="C12004" s="325"/>
      <c r="D12004" s="326"/>
      <c r="E12004" s="326"/>
      <c r="F12004" s="326"/>
      <c r="G12004" s="326"/>
      <c r="H12004" s="326"/>
      <c r="P12004" s="318"/>
      <c r="Q12004" s="318"/>
      <c r="R12004" s="318"/>
      <c r="S12004" s="318"/>
      <c r="T12004" s="318"/>
      <c r="U12004" s="318"/>
      <c r="V12004" s="318"/>
      <c r="W12004" s="318"/>
      <c r="X12004" s="318"/>
      <c r="Y12004" s="318"/>
      <c r="Z12004" s="318"/>
      <c r="AA12004" s="318"/>
      <c r="AB12004" s="318"/>
      <c r="AC12004" s="318"/>
      <c r="AD12004" s="318"/>
    </row>
    <row r="12005" spans="2:30" s="323" customFormat="1" ht="12" customHeight="1">
      <c r="B12005" s="324"/>
      <c r="C12005" s="325"/>
      <c r="D12005" s="326"/>
      <c r="E12005" s="326"/>
      <c r="F12005" s="326"/>
      <c r="G12005" s="326"/>
      <c r="H12005" s="326"/>
      <c r="P12005" s="318"/>
      <c r="Q12005" s="318"/>
      <c r="R12005" s="318"/>
      <c r="S12005" s="318"/>
      <c r="T12005" s="318"/>
      <c r="U12005" s="318"/>
      <c r="V12005" s="318"/>
      <c r="W12005" s="318"/>
      <c r="X12005" s="318"/>
      <c r="Y12005" s="318"/>
      <c r="Z12005" s="318"/>
      <c r="AA12005" s="318"/>
      <c r="AB12005" s="318"/>
      <c r="AC12005" s="318"/>
      <c r="AD12005" s="318"/>
    </row>
    <row r="12006" spans="2:30" s="323" customFormat="1" ht="12" customHeight="1">
      <c r="B12006" s="324"/>
      <c r="C12006" s="325"/>
      <c r="D12006" s="326"/>
      <c r="E12006" s="326"/>
      <c r="F12006" s="326"/>
      <c r="G12006" s="326"/>
      <c r="H12006" s="326"/>
      <c r="P12006" s="318"/>
      <c r="Q12006" s="318"/>
      <c r="R12006" s="318"/>
      <c r="S12006" s="318"/>
      <c r="T12006" s="318"/>
      <c r="U12006" s="318"/>
      <c r="V12006" s="318"/>
      <c r="W12006" s="318"/>
      <c r="X12006" s="318"/>
      <c r="Y12006" s="318"/>
      <c r="Z12006" s="318"/>
      <c r="AA12006" s="318"/>
      <c r="AB12006" s="318"/>
      <c r="AC12006" s="318"/>
      <c r="AD12006" s="318"/>
    </row>
    <row r="12007" spans="2:30" s="323" customFormat="1" ht="12" customHeight="1">
      <c r="B12007" s="324"/>
      <c r="C12007" s="325"/>
      <c r="D12007" s="326"/>
      <c r="E12007" s="326"/>
      <c r="F12007" s="326"/>
      <c r="G12007" s="326"/>
      <c r="H12007" s="326"/>
      <c r="P12007" s="318"/>
      <c r="Q12007" s="318"/>
      <c r="R12007" s="318"/>
      <c r="S12007" s="318"/>
      <c r="T12007" s="318"/>
      <c r="U12007" s="318"/>
      <c r="V12007" s="318"/>
      <c r="W12007" s="318"/>
      <c r="X12007" s="318"/>
      <c r="Y12007" s="318"/>
      <c r="Z12007" s="318"/>
      <c r="AA12007" s="318"/>
      <c r="AB12007" s="318"/>
      <c r="AC12007" s="318"/>
      <c r="AD12007" s="318"/>
    </row>
    <row r="12008" spans="2:30" s="323" customFormat="1" ht="12" customHeight="1">
      <c r="B12008" s="324"/>
      <c r="C12008" s="325"/>
      <c r="D12008" s="326"/>
      <c r="E12008" s="326"/>
      <c r="F12008" s="326"/>
      <c r="G12008" s="326"/>
      <c r="H12008" s="326"/>
      <c r="P12008" s="318"/>
      <c r="Q12008" s="318"/>
      <c r="R12008" s="318"/>
      <c r="S12008" s="318"/>
      <c r="T12008" s="318"/>
      <c r="U12008" s="318"/>
      <c r="V12008" s="318"/>
      <c r="W12008" s="318"/>
      <c r="X12008" s="318"/>
      <c r="Y12008" s="318"/>
      <c r="Z12008" s="318"/>
      <c r="AA12008" s="318"/>
      <c r="AB12008" s="318"/>
      <c r="AC12008" s="318"/>
      <c r="AD12008" s="318"/>
    </row>
    <row r="12009" spans="2:30" s="323" customFormat="1" ht="12" customHeight="1">
      <c r="B12009" s="324"/>
      <c r="C12009" s="325"/>
      <c r="D12009" s="326"/>
      <c r="E12009" s="326"/>
      <c r="F12009" s="326"/>
      <c r="G12009" s="326"/>
      <c r="H12009" s="326"/>
      <c r="P12009" s="318"/>
      <c r="Q12009" s="318"/>
      <c r="R12009" s="318"/>
      <c r="S12009" s="318"/>
      <c r="T12009" s="318"/>
      <c r="U12009" s="318"/>
      <c r="V12009" s="318"/>
      <c r="W12009" s="318"/>
      <c r="X12009" s="318"/>
      <c r="Y12009" s="318"/>
      <c r="Z12009" s="318"/>
      <c r="AA12009" s="318"/>
      <c r="AB12009" s="318"/>
      <c r="AC12009" s="318"/>
      <c r="AD12009" s="318"/>
    </row>
    <row r="12010" spans="2:30" s="323" customFormat="1" ht="12" customHeight="1">
      <c r="B12010" s="324"/>
      <c r="C12010" s="325"/>
      <c r="D12010" s="326"/>
      <c r="E12010" s="326"/>
      <c r="F12010" s="326"/>
      <c r="G12010" s="326"/>
      <c r="H12010" s="326"/>
      <c r="P12010" s="318"/>
      <c r="Q12010" s="318"/>
      <c r="R12010" s="318"/>
      <c r="S12010" s="318"/>
      <c r="T12010" s="318"/>
      <c r="U12010" s="318"/>
      <c r="V12010" s="318"/>
      <c r="W12010" s="318"/>
      <c r="X12010" s="318"/>
      <c r="Y12010" s="318"/>
      <c r="Z12010" s="318"/>
      <c r="AA12010" s="318"/>
      <c r="AB12010" s="318"/>
      <c r="AC12010" s="318"/>
      <c r="AD12010" s="318"/>
    </row>
    <row r="12011" spans="2:30" s="323" customFormat="1" ht="12" customHeight="1">
      <c r="B12011" s="324"/>
      <c r="C12011" s="325"/>
      <c r="D12011" s="326"/>
      <c r="E12011" s="326"/>
      <c r="F12011" s="326"/>
      <c r="G12011" s="326"/>
      <c r="H12011" s="326"/>
      <c r="P12011" s="318"/>
      <c r="Q12011" s="318"/>
      <c r="R12011" s="318"/>
      <c r="S12011" s="318"/>
      <c r="T12011" s="318"/>
      <c r="U12011" s="318"/>
      <c r="V12011" s="318"/>
      <c r="W12011" s="318"/>
      <c r="X12011" s="318"/>
      <c r="Y12011" s="318"/>
      <c r="Z12011" s="318"/>
      <c r="AA12011" s="318"/>
      <c r="AB12011" s="318"/>
      <c r="AC12011" s="318"/>
      <c r="AD12011" s="318"/>
    </row>
    <row r="12012" spans="2:30" s="323" customFormat="1" ht="12" customHeight="1">
      <c r="B12012" s="324"/>
      <c r="C12012" s="325"/>
      <c r="D12012" s="326"/>
      <c r="E12012" s="326"/>
      <c r="F12012" s="326"/>
      <c r="G12012" s="326"/>
      <c r="H12012" s="326"/>
      <c r="P12012" s="318"/>
      <c r="Q12012" s="318"/>
      <c r="R12012" s="318"/>
      <c r="S12012" s="318"/>
      <c r="T12012" s="318"/>
      <c r="U12012" s="318"/>
      <c r="V12012" s="318"/>
      <c r="W12012" s="318"/>
      <c r="X12012" s="318"/>
      <c r="Y12012" s="318"/>
      <c r="Z12012" s="318"/>
      <c r="AA12012" s="318"/>
      <c r="AB12012" s="318"/>
      <c r="AC12012" s="318"/>
      <c r="AD12012" s="318"/>
    </row>
    <row r="12013" spans="2:30" s="323" customFormat="1" ht="12" customHeight="1">
      <c r="B12013" s="324"/>
      <c r="C12013" s="325"/>
      <c r="D12013" s="326"/>
      <c r="E12013" s="326"/>
      <c r="F12013" s="326"/>
      <c r="G12013" s="326"/>
      <c r="H12013" s="326"/>
      <c r="P12013" s="318"/>
      <c r="Q12013" s="318"/>
      <c r="R12013" s="318"/>
      <c r="S12013" s="318"/>
      <c r="T12013" s="318"/>
      <c r="U12013" s="318"/>
      <c r="V12013" s="318"/>
      <c r="W12013" s="318"/>
      <c r="X12013" s="318"/>
      <c r="Y12013" s="318"/>
      <c r="Z12013" s="318"/>
      <c r="AA12013" s="318"/>
      <c r="AB12013" s="318"/>
      <c r="AC12013" s="318"/>
      <c r="AD12013" s="318"/>
    </row>
    <row r="12014" spans="2:30" s="323" customFormat="1" ht="12" customHeight="1">
      <c r="B12014" s="324"/>
      <c r="C12014" s="325"/>
      <c r="D12014" s="326"/>
      <c r="E12014" s="326"/>
      <c r="F12014" s="326"/>
      <c r="G12014" s="326"/>
      <c r="H12014" s="326"/>
      <c r="P12014" s="318"/>
      <c r="Q12014" s="318"/>
      <c r="R12014" s="318"/>
      <c r="S12014" s="318"/>
      <c r="T12014" s="318"/>
      <c r="U12014" s="318"/>
      <c r="V12014" s="318"/>
      <c r="W12014" s="318"/>
      <c r="X12014" s="318"/>
      <c r="Y12014" s="318"/>
      <c r="Z12014" s="318"/>
      <c r="AA12014" s="318"/>
      <c r="AB12014" s="318"/>
      <c r="AC12014" s="318"/>
      <c r="AD12014" s="318"/>
    </row>
    <row r="12015" spans="2:30" s="323" customFormat="1" ht="12" customHeight="1">
      <c r="B12015" s="324"/>
      <c r="C12015" s="325"/>
      <c r="D12015" s="326"/>
      <c r="E12015" s="326"/>
      <c r="F12015" s="326"/>
      <c r="G12015" s="326"/>
      <c r="H12015" s="326"/>
      <c r="P12015" s="318"/>
      <c r="Q12015" s="318"/>
      <c r="R12015" s="318"/>
      <c r="S12015" s="318"/>
      <c r="T12015" s="318"/>
      <c r="U12015" s="318"/>
      <c r="V12015" s="318"/>
      <c r="W12015" s="318"/>
      <c r="X12015" s="318"/>
      <c r="Y12015" s="318"/>
      <c r="Z12015" s="318"/>
      <c r="AA12015" s="318"/>
      <c r="AB12015" s="318"/>
      <c r="AC12015" s="318"/>
      <c r="AD12015" s="318"/>
    </row>
    <row r="12016" spans="2:30" s="323" customFormat="1" ht="12" customHeight="1">
      <c r="B12016" s="324"/>
      <c r="C12016" s="325"/>
      <c r="D12016" s="326"/>
      <c r="E12016" s="326"/>
      <c r="F12016" s="326"/>
      <c r="G12016" s="326"/>
      <c r="H12016" s="326"/>
      <c r="P12016" s="318"/>
      <c r="Q12016" s="318"/>
      <c r="R12016" s="318"/>
      <c r="S12016" s="318"/>
      <c r="T12016" s="318"/>
      <c r="U12016" s="318"/>
      <c r="V12016" s="318"/>
      <c r="W12016" s="318"/>
      <c r="X12016" s="318"/>
      <c r="Y12016" s="318"/>
      <c r="Z12016" s="318"/>
      <c r="AA12016" s="318"/>
      <c r="AB12016" s="318"/>
      <c r="AC12016" s="318"/>
      <c r="AD12016" s="318"/>
    </row>
    <row r="12017" spans="2:30" s="323" customFormat="1" ht="12" customHeight="1">
      <c r="B12017" s="324"/>
      <c r="C12017" s="325"/>
      <c r="D12017" s="326"/>
      <c r="E12017" s="326"/>
      <c r="F12017" s="326"/>
      <c r="G12017" s="326"/>
      <c r="H12017" s="326"/>
      <c r="P12017" s="318"/>
      <c r="Q12017" s="318"/>
      <c r="R12017" s="318"/>
      <c r="S12017" s="318"/>
      <c r="T12017" s="318"/>
      <c r="U12017" s="318"/>
      <c r="V12017" s="318"/>
      <c r="W12017" s="318"/>
      <c r="X12017" s="318"/>
      <c r="Y12017" s="318"/>
      <c r="Z12017" s="318"/>
      <c r="AA12017" s="318"/>
      <c r="AB12017" s="318"/>
      <c r="AC12017" s="318"/>
      <c r="AD12017" s="318"/>
    </row>
    <row r="12018" spans="2:30" s="323" customFormat="1" ht="12" customHeight="1">
      <c r="B12018" s="324"/>
      <c r="C12018" s="325"/>
      <c r="D12018" s="326"/>
      <c r="E12018" s="326"/>
      <c r="F12018" s="326"/>
      <c r="G12018" s="326"/>
      <c r="H12018" s="326"/>
      <c r="P12018" s="318"/>
      <c r="Q12018" s="318"/>
      <c r="R12018" s="318"/>
      <c r="S12018" s="318"/>
      <c r="T12018" s="318"/>
      <c r="U12018" s="318"/>
      <c r="V12018" s="318"/>
      <c r="W12018" s="318"/>
      <c r="X12018" s="318"/>
      <c r="Y12018" s="318"/>
      <c r="Z12018" s="318"/>
      <c r="AA12018" s="318"/>
      <c r="AB12018" s="318"/>
      <c r="AC12018" s="318"/>
      <c r="AD12018" s="318"/>
    </row>
    <row r="12019" spans="2:30" s="323" customFormat="1" ht="12" customHeight="1">
      <c r="B12019" s="324"/>
      <c r="C12019" s="325"/>
      <c r="D12019" s="326"/>
      <c r="E12019" s="326"/>
      <c r="F12019" s="326"/>
      <c r="G12019" s="326"/>
      <c r="H12019" s="326"/>
      <c r="P12019" s="318"/>
      <c r="Q12019" s="318"/>
      <c r="R12019" s="318"/>
      <c r="S12019" s="318"/>
      <c r="T12019" s="318"/>
      <c r="U12019" s="318"/>
      <c r="V12019" s="318"/>
      <c r="W12019" s="318"/>
      <c r="X12019" s="318"/>
      <c r="Y12019" s="318"/>
      <c r="Z12019" s="318"/>
      <c r="AA12019" s="318"/>
      <c r="AB12019" s="318"/>
      <c r="AC12019" s="318"/>
      <c r="AD12019" s="318"/>
    </row>
    <row r="12020" spans="2:30" s="323" customFormat="1" ht="12" customHeight="1">
      <c r="B12020" s="324"/>
      <c r="C12020" s="325"/>
      <c r="D12020" s="326"/>
      <c r="E12020" s="326"/>
      <c r="F12020" s="326"/>
      <c r="G12020" s="326"/>
      <c r="H12020" s="326"/>
      <c r="P12020" s="318"/>
      <c r="Q12020" s="318"/>
      <c r="R12020" s="318"/>
      <c r="S12020" s="318"/>
      <c r="T12020" s="318"/>
      <c r="U12020" s="318"/>
      <c r="V12020" s="318"/>
      <c r="W12020" s="318"/>
      <c r="X12020" s="318"/>
      <c r="Y12020" s="318"/>
      <c r="Z12020" s="318"/>
      <c r="AA12020" s="318"/>
      <c r="AB12020" s="318"/>
      <c r="AC12020" s="318"/>
      <c r="AD12020" s="318"/>
    </row>
    <row r="12021" spans="2:30" s="323" customFormat="1" ht="12" customHeight="1">
      <c r="B12021" s="324"/>
      <c r="C12021" s="325"/>
      <c r="D12021" s="326"/>
      <c r="E12021" s="326"/>
      <c r="F12021" s="326"/>
      <c r="G12021" s="326"/>
      <c r="H12021" s="326"/>
      <c r="P12021" s="318"/>
      <c r="Q12021" s="318"/>
      <c r="R12021" s="318"/>
      <c r="S12021" s="318"/>
      <c r="T12021" s="318"/>
      <c r="U12021" s="318"/>
      <c r="V12021" s="318"/>
      <c r="W12021" s="318"/>
      <c r="X12021" s="318"/>
      <c r="Y12021" s="318"/>
      <c r="Z12021" s="318"/>
      <c r="AA12021" s="318"/>
      <c r="AB12021" s="318"/>
      <c r="AC12021" s="318"/>
      <c r="AD12021" s="318"/>
    </row>
    <row r="12022" spans="2:30" s="323" customFormat="1" ht="12" customHeight="1">
      <c r="B12022" s="324"/>
      <c r="C12022" s="325"/>
      <c r="D12022" s="326"/>
      <c r="E12022" s="326"/>
      <c r="F12022" s="326"/>
      <c r="G12022" s="326"/>
      <c r="H12022" s="326"/>
      <c r="P12022" s="318"/>
      <c r="Q12022" s="318"/>
      <c r="R12022" s="318"/>
      <c r="S12022" s="318"/>
      <c r="T12022" s="318"/>
      <c r="U12022" s="318"/>
      <c r="V12022" s="318"/>
      <c r="W12022" s="318"/>
      <c r="X12022" s="318"/>
      <c r="Y12022" s="318"/>
      <c r="Z12022" s="318"/>
      <c r="AA12022" s="318"/>
      <c r="AB12022" s="318"/>
      <c r="AC12022" s="318"/>
      <c r="AD12022" s="318"/>
    </row>
    <row r="12023" spans="2:30" s="323" customFormat="1" ht="12" customHeight="1">
      <c r="B12023" s="324"/>
      <c r="C12023" s="325"/>
      <c r="D12023" s="326"/>
      <c r="E12023" s="326"/>
      <c r="F12023" s="326"/>
      <c r="G12023" s="326"/>
      <c r="H12023" s="326"/>
      <c r="P12023" s="318"/>
      <c r="Q12023" s="318"/>
      <c r="R12023" s="318"/>
      <c r="S12023" s="318"/>
      <c r="T12023" s="318"/>
      <c r="U12023" s="318"/>
      <c r="V12023" s="318"/>
      <c r="W12023" s="318"/>
      <c r="X12023" s="318"/>
      <c r="Y12023" s="318"/>
      <c r="Z12023" s="318"/>
      <c r="AA12023" s="318"/>
      <c r="AB12023" s="318"/>
      <c r="AC12023" s="318"/>
      <c r="AD12023" s="318"/>
    </row>
    <row r="12024" spans="2:30" s="323" customFormat="1" ht="12" customHeight="1">
      <c r="B12024" s="324"/>
      <c r="C12024" s="325"/>
      <c r="D12024" s="326"/>
      <c r="E12024" s="326"/>
      <c r="F12024" s="326"/>
      <c r="G12024" s="326"/>
      <c r="H12024" s="326"/>
      <c r="P12024" s="318"/>
      <c r="Q12024" s="318"/>
      <c r="R12024" s="318"/>
      <c r="S12024" s="318"/>
      <c r="T12024" s="318"/>
      <c r="U12024" s="318"/>
      <c r="V12024" s="318"/>
      <c r="W12024" s="318"/>
      <c r="X12024" s="318"/>
      <c r="Y12024" s="318"/>
      <c r="Z12024" s="318"/>
      <c r="AA12024" s="318"/>
      <c r="AB12024" s="318"/>
      <c r="AC12024" s="318"/>
      <c r="AD12024" s="318"/>
    </row>
    <row r="12025" spans="2:30" s="323" customFormat="1" ht="12" customHeight="1">
      <c r="B12025" s="324"/>
      <c r="C12025" s="325"/>
      <c r="D12025" s="326"/>
      <c r="E12025" s="326"/>
      <c r="F12025" s="326"/>
      <c r="G12025" s="326"/>
      <c r="H12025" s="326"/>
      <c r="P12025" s="318"/>
      <c r="Q12025" s="318"/>
      <c r="R12025" s="318"/>
      <c r="S12025" s="318"/>
      <c r="T12025" s="318"/>
      <c r="U12025" s="318"/>
      <c r="V12025" s="318"/>
      <c r="W12025" s="318"/>
      <c r="X12025" s="318"/>
      <c r="Y12025" s="318"/>
      <c r="Z12025" s="318"/>
      <c r="AA12025" s="318"/>
      <c r="AB12025" s="318"/>
      <c r="AC12025" s="318"/>
      <c r="AD12025" s="318"/>
    </row>
    <row r="12026" spans="2:30" s="323" customFormat="1" ht="12" customHeight="1">
      <c r="B12026" s="324"/>
      <c r="C12026" s="325"/>
      <c r="D12026" s="326"/>
      <c r="E12026" s="326"/>
      <c r="F12026" s="326"/>
      <c r="G12026" s="326"/>
      <c r="H12026" s="326"/>
      <c r="P12026" s="318"/>
      <c r="Q12026" s="318"/>
      <c r="R12026" s="318"/>
      <c r="S12026" s="318"/>
      <c r="T12026" s="318"/>
      <c r="U12026" s="318"/>
      <c r="V12026" s="318"/>
      <c r="W12026" s="318"/>
      <c r="X12026" s="318"/>
      <c r="Y12026" s="318"/>
      <c r="Z12026" s="318"/>
      <c r="AA12026" s="318"/>
      <c r="AB12026" s="318"/>
      <c r="AC12026" s="318"/>
      <c r="AD12026" s="318"/>
    </row>
    <row r="12027" spans="2:30" s="323" customFormat="1" ht="12" customHeight="1">
      <c r="B12027" s="324"/>
      <c r="C12027" s="325"/>
      <c r="D12027" s="326"/>
      <c r="E12027" s="326"/>
      <c r="F12027" s="326"/>
      <c r="G12027" s="326"/>
      <c r="H12027" s="326"/>
      <c r="P12027" s="318"/>
      <c r="Q12027" s="318"/>
      <c r="R12027" s="318"/>
      <c r="S12027" s="318"/>
      <c r="T12027" s="318"/>
      <c r="U12027" s="318"/>
      <c r="V12027" s="318"/>
      <c r="W12027" s="318"/>
      <c r="X12027" s="318"/>
      <c r="Y12027" s="318"/>
      <c r="Z12027" s="318"/>
      <c r="AA12027" s="318"/>
      <c r="AB12027" s="318"/>
      <c r="AC12027" s="318"/>
      <c r="AD12027" s="318"/>
    </row>
    <row r="12028" spans="2:30" s="323" customFormat="1" ht="12" customHeight="1">
      <c r="B12028" s="324"/>
      <c r="C12028" s="325"/>
      <c r="D12028" s="326"/>
      <c r="E12028" s="326"/>
      <c r="F12028" s="326"/>
      <c r="G12028" s="326"/>
      <c r="H12028" s="326"/>
      <c r="P12028" s="318"/>
      <c r="Q12028" s="318"/>
      <c r="R12028" s="318"/>
      <c r="S12028" s="318"/>
      <c r="T12028" s="318"/>
      <c r="U12028" s="318"/>
      <c r="V12028" s="318"/>
      <c r="W12028" s="318"/>
      <c r="X12028" s="318"/>
      <c r="Y12028" s="318"/>
      <c r="Z12028" s="318"/>
      <c r="AA12028" s="318"/>
      <c r="AB12028" s="318"/>
      <c r="AC12028" s="318"/>
      <c r="AD12028" s="318"/>
    </row>
    <row r="12029" spans="2:30" s="323" customFormat="1" ht="12" customHeight="1">
      <c r="B12029" s="324"/>
      <c r="C12029" s="325"/>
      <c r="D12029" s="326"/>
      <c r="E12029" s="326"/>
      <c r="F12029" s="326"/>
      <c r="G12029" s="326"/>
      <c r="H12029" s="326"/>
      <c r="P12029" s="318"/>
      <c r="Q12029" s="318"/>
      <c r="R12029" s="318"/>
      <c r="S12029" s="318"/>
      <c r="T12029" s="318"/>
      <c r="U12029" s="318"/>
      <c r="V12029" s="318"/>
      <c r="W12029" s="318"/>
      <c r="X12029" s="318"/>
      <c r="Y12029" s="318"/>
      <c r="Z12029" s="318"/>
      <c r="AA12029" s="318"/>
      <c r="AB12029" s="318"/>
      <c r="AC12029" s="318"/>
      <c r="AD12029" s="318"/>
    </row>
    <row r="12030" spans="2:30" s="323" customFormat="1" ht="12" customHeight="1">
      <c r="B12030" s="324"/>
      <c r="C12030" s="325"/>
      <c r="D12030" s="326"/>
      <c r="E12030" s="326"/>
      <c r="F12030" s="326"/>
      <c r="G12030" s="326"/>
      <c r="H12030" s="326"/>
      <c r="P12030" s="318"/>
      <c r="Q12030" s="318"/>
      <c r="R12030" s="318"/>
      <c r="S12030" s="318"/>
      <c r="T12030" s="318"/>
      <c r="U12030" s="318"/>
      <c r="V12030" s="318"/>
      <c r="W12030" s="318"/>
      <c r="X12030" s="318"/>
      <c r="Y12030" s="318"/>
      <c r="Z12030" s="318"/>
      <c r="AA12030" s="318"/>
      <c r="AB12030" s="318"/>
      <c r="AC12030" s="318"/>
      <c r="AD12030" s="318"/>
    </row>
    <row r="12031" spans="2:30" s="323" customFormat="1" ht="12" customHeight="1">
      <c r="B12031" s="324"/>
      <c r="C12031" s="325"/>
      <c r="D12031" s="326"/>
      <c r="E12031" s="326"/>
      <c r="F12031" s="326"/>
      <c r="G12031" s="326"/>
      <c r="H12031" s="326"/>
      <c r="P12031" s="318"/>
      <c r="Q12031" s="318"/>
      <c r="R12031" s="318"/>
      <c r="S12031" s="318"/>
      <c r="T12031" s="318"/>
      <c r="U12031" s="318"/>
      <c r="V12031" s="318"/>
      <c r="W12031" s="318"/>
      <c r="X12031" s="318"/>
      <c r="Y12031" s="318"/>
      <c r="Z12031" s="318"/>
      <c r="AA12031" s="318"/>
      <c r="AB12031" s="318"/>
      <c r="AC12031" s="318"/>
      <c r="AD12031" s="318"/>
    </row>
    <row r="12032" spans="2:30" s="323" customFormat="1" ht="12" customHeight="1">
      <c r="B12032" s="324"/>
      <c r="C12032" s="325"/>
      <c r="D12032" s="326"/>
      <c r="E12032" s="326"/>
      <c r="F12032" s="326"/>
      <c r="G12032" s="326"/>
      <c r="H12032" s="326"/>
      <c r="P12032" s="318"/>
      <c r="Q12032" s="318"/>
      <c r="R12032" s="318"/>
      <c r="S12032" s="318"/>
      <c r="T12032" s="318"/>
      <c r="U12032" s="318"/>
      <c r="V12032" s="318"/>
      <c r="W12032" s="318"/>
      <c r="X12032" s="318"/>
      <c r="Y12032" s="318"/>
      <c r="Z12032" s="318"/>
      <c r="AA12032" s="318"/>
      <c r="AB12032" s="318"/>
      <c r="AC12032" s="318"/>
      <c r="AD12032" s="318"/>
    </row>
    <row r="12033" spans="2:30" s="323" customFormat="1" ht="12" customHeight="1">
      <c r="B12033" s="324"/>
      <c r="C12033" s="325"/>
      <c r="D12033" s="326"/>
      <c r="E12033" s="326"/>
      <c r="F12033" s="326"/>
      <c r="G12033" s="326"/>
      <c r="H12033" s="326"/>
      <c r="P12033" s="318"/>
      <c r="Q12033" s="318"/>
      <c r="R12033" s="318"/>
      <c r="S12033" s="318"/>
      <c r="T12033" s="318"/>
      <c r="U12033" s="318"/>
      <c r="V12033" s="318"/>
      <c r="W12033" s="318"/>
      <c r="X12033" s="318"/>
      <c r="Y12033" s="318"/>
      <c r="Z12033" s="318"/>
      <c r="AA12033" s="318"/>
      <c r="AB12033" s="318"/>
      <c r="AC12033" s="318"/>
      <c r="AD12033" s="318"/>
    </row>
    <row r="12034" spans="2:30" s="323" customFormat="1" ht="12" customHeight="1">
      <c r="B12034" s="324"/>
      <c r="C12034" s="325"/>
      <c r="D12034" s="326"/>
      <c r="E12034" s="326"/>
      <c r="F12034" s="326"/>
      <c r="G12034" s="326"/>
      <c r="H12034" s="326"/>
      <c r="P12034" s="318"/>
      <c r="Q12034" s="318"/>
      <c r="R12034" s="318"/>
      <c r="S12034" s="318"/>
      <c r="T12034" s="318"/>
      <c r="U12034" s="318"/>
      <c r="V12034" s="318"/>
      <c r="W12034" s="318"/>
      <c r="X12034" s="318"/>
      <c r="Y12034" s="318"/>
      <c r="Z12034" s="318"/>
      <c r="AA12034" s="318"/>
      <c r="AB12034" s="318"/>
      <c r="AC12034" s="318"/>
      <c r="AD12034" s="318"/>
    </row>
    <row r="12035" spans="2:30" s="323" customFormat="1" ht="12" customHeight="1">
      <c r="B12035" s="324"/>
      <c r="C12035" s="325"/>
      <c r="D12035" s="326"/>
      <c r="E12035" s="326"/>
      <c r="F12035" s="326"/>
      <c r="G12035" s="326"/>
      <c r="H12035" s="326"/>
      <c r="P12035" s="318"/>
      <c r="Q12035" s="318"/>
      <c r="R12035" s="318"/>
      <c r="S12035" s="318"/>
      <c r="T12035" s="318"/>
      <c r="U12035" s="318"/>
      <c r="V12035" s="318"/>
      <c r="W12035" s="318"/>
      <c r="X12035" s="318"/>
      <c r="Y12035" s="318"/>
      <c r="Z12035" s="318"/>
      <c r="AA12035" s="318"/>
      <c r="AB12035" s="318"/>
      <c r="AC12035" s="318"/>
      <c r="AD12035" s="318"/>
    </row>
    <row r="12036" spans="2:30" s="323" customFormat="1" ht="12" customHeight="1">
      <c r="B12036" s="324"/>
      <c r="C12036" s="325"/>
      <c r="D12036" s="326"/>
      <c r="E12036" s="326"/>
      <c r="F12036" s="326"/>
      <c r="G12036" s="326"/>
      <c r="H12036" s="326"/>
      <c r="P12036" s="318"/>
      <c r="Q12036" s="318"/>
      <c r="R12036" s="318"/>
      <c r="S12036" s="318"/>
      <c r="T12036" s="318"/>
      <c r="U12036" s="318"/>
      <c r="V12036" s="318"/>
      <c r="W12036" s="318"/>
      <c r="X12036" s="318"/>
      <c r="Y12036" s="318"/>
      <c r="Z12036" s="318"/>
      <c r="AA12036" s="318"/>
      <c r="AB12036" s="318"/>
      <c r="AC12036" s="318"/>
      <c r="AD12036" s="318"/>
    </row>
    <row r="12037" spans="2:30" s="323" customFormat="1" ht="12" customHeight="1">
      <c r="B12037" s="324"/>
      <c r="C12037" s="325"/>
      <c r="D12037" s="326"/>
      <c r="E12037" s="326"/>
      <c r="F12037" s="326"/>
      <c r="G12037" s="326"/>
      <c r="H12037" s="326"/>
      <c r="P12037" s="318"/>
      <c r="Q12037" s="318"/>
      <c r="R12037" s="318"/>
      <c r="S12037" s="318"/>
      <c r="T12037" s="318"/>
      <c r="U12037" s="318"/>
      <c r="V12037" s="318"/>
      <c r="W12037" s="318"/>
      <c r="X12037" s="318"/>
      <c r="Y12037" s="318"/>
      <c r="Z12037" s="318"/>
      <c r="AA12037" s="318"/>
      <c r="AB12037" s="318"/>
      <c r="AC12037" s="318"/>
      <c r="AD12037" s="318"/>
    </row>
    <row r="12038" spans="2:30" s="323" customFormat="1" ht="12" customHeight="1">
      <c r="B12038" s="324"/>
      <c r="C12038" s="325"/>
      <c r="D12038" s="326"/>
      <c r="E12038" s="326"/>
      <c r="F12038" s="326"/>
      <c r="G12038" s="326"/>
      <c r="H12038" s="326"/>
      <c r="P12038" s="318"/>
      <c r="Q12038" s="318"/>
      <c r="R12038" s="318"/>
      <c r="S12038" s="318"/>
      <c r="T12038" s="318"/>
      <c r="U12038" s="318"/>
      <c r="V12038" s="318"/>
      <c r="W12038" s="318"/>
      <c r="X12038" s="318"/>
      <c r="Y12038" s="318"/>
      <c r="Z12038" s="318"/>
      <c r="AA12038" s="318"/>
      <c r="AB12038" s="318"/>
      <c r="AC12038" s="318"/>
      <c r="AD12038" s="318"/>
    </row>
    <row r="12039" spans="2:30" s="323" customFormat="1" ht="12" customHeight="1">
      <c r="B12039" s="324"/>
      <c r="C12039" s="325"/>
      <c r="D12039" s="326"/>
      <c r="E12039" s="326"/>
      <c r="F12039" s="326"/>
      <c r="G12039" s="326"/>
      <c r="H12039" s="326"/>
      <c r="P12039" s="318"/>
      <c r="Q12039" s="318"/>
      <c r="R12039" s="318"/>
      <c r="S12039" s="318"/>
      <c r="T12039" s="318"/>
      <c r="U12039" s="318"/>
      <c r="V12039" s="318"/>
      <c r="W12039" s="318"/>
      <c r="X12039" s="318"/>
      <c r="Y12039" s="318"/>
      <c r="Z12039" s="318"/>
      <c r="AA12039" s="318"/>
      <c r="AB12039" s="318"/>
      <c r="AC12039" s="318"/>
      <c r="AD12039" s="318"/>
    </row>
    <row r="12040" spans="2:30" s="323" customFormat="1" ht="12" customHeight="1">
      <c r="B12040" s="324"/>
      <c r="C12040" s="325"/>
      <c r="D12040" s="326"/>
      <c r="E12040" s="326"/>
      <c r="F12040" s="326"/>
      <c r="G12040" s="326"/>
      <c r="H12040" s="326"/>
      <c r="P12040" s="318"/>
      <c r="Q12040" s="318"/>
      <c r="R12040" s="318"/>
      <c r="S12040" s="318"/>
      <c r="T12040" s="318"/>
      <c r="U12040" s="318"/>
      <c r="V12040" s="318"/>
      <c r="W12040" s="318"/>
      <c r="X12040" s="318"/>
      <c r="Y12040" s="318"/>
      <c r="Z12040" s="318"/>
      <c r="AA12040" s="318"/>
      <c r="AB12040" s="318"/>
      <c r="AC12040" s="318"/>
      <c r="AD12040" s="318"/>
    </row>
    <row r="12041" spans="2:30" s="323" customFormat="1" ht="12" customHeight="1">
      <c r="B12041" s="324"/>
      <c r="C12041" s="325"/>
      <c r="D12041" s="326"/>
      <c r="E12041" s="326"/>
      <c r="F12041" s="326"/>
      <c r="G12041" s="326"/>
      <c r="H12041" s="326"/>
      <c r="P12041" s="318"/>
      <c r="Q12041" s="318"/>
      <c r="R12041" s="318"/>
      <c r="S12041" s="318"/>
      <c r="T12041" s="318"/>
      <c r="U12041" s="318"/>
      <c r="V12041" s="318"/>
      <c r="W12041" s="318"/>
      <c r="X12041" s="318"/>
      <c r="Y12041" s="318"/>
      <c r="Z12041" s="318"/>
      <c r="AA12041" s="318"/>
      <c r="AB12041" s="318"/>
      <c r="AC12041" s="318"/>
      <c r="AD12041" s="318"/>
    </row>
    <row r="12042" spans="2:30" s="323" customFormat="1" ht="12" customHeight="1">
      <c r="B12042" s="324"/>
      <c r="C12042" s="325"/>
      <c r="D12042" s="326"/>
      <c r="E12042" s="326"/>
      <c r="F12042" s="326"/>
      <c r="G12042" s="326"/>
      <c r="H12042" s="326"/>
      <c r="P12042" s="318"/>
      <c r="Q12042" s="318"/>
      <c r="R12042" s="318"/>
      <c r="S12042" s="318"/>
      <c r="T12042" s="318"/>
      <c r="U12042" s="318"/>
      <c r="V12042" s="318"/>
      <c r="W12042" s="318"/>
      <c r="X12042" s="318"/>
      <c r="Y12042" s="318"/>
      <c r="Z12042" s="318"/>
      <c r="AA12042" s="318"/>
      <c r="AB12042" s="318"/>
      <c r="AC12042" s="318"/>
      <c r="AD12042" s="318"/>
    </row>
    <row r="12043" spans="2:30" s="323" customFormat="1" ht="12" customHeight="1">
      <c r="B12043" s="324"/>
      <c r="C12043" s="325"/>
      <c r="D12043" s="326"/>
      <c r="E12043" s="326"/>
      <c r="F12043" s="326"/>
      <c r="G12043" s="326"/>
      <c r="H12043" s="326"/>
      <c r="P12043" s="318"/>
      <c r="Q12043" s="318"/>
      <c r="R12043" s="318"/>
      <c r="S12043" s="318"/>
      <c r="T12043" s="318"/>
      <c r="U12043" s="318"/>
      <c r="V12043" s="318"/>
      <c r="W12043" s="318"/>
      <c r="X12043" s="318"/>
      <c r="Y12043" s="318"/>
      <c r="Z12043" s="318"/>
      <c r="AA12043" s="318"/>
      <c r="AB12043" s="318"/>
      <c r="AC12043" s="318"/>
      <c r="AD12043" s="318"/>
    </row>
    <row r="12044" spans="2:30" s="323" customFormat="1" ht="12" customHeight="1">
      <c r="B12044" s="324"/>
      <c r="C12044" s="325"/>
      <c r="D12044" s="326"/>
      <c r="E12044" s="326"/>
      <c r="F12044" s="326"/>
      <c r="G12044" s="326"/>
      <c r="H12044" s="326"/>
      <c r="P12044" s="318"/>
      <c r="Q12044" s="318"/>
      <c r="R12044" s="318"/>
      <c r="S12044" s="318"/>
      <c r="T12044" s="318"/>
      <c r="U12044" s="318"/>
      <c r="V12044" s="318"/>
      <c r="W12044" s="318"/>
      <c r="X12044" s="318"/>
      <c r="Y12044" s="318"/>
      <c r="Z12044" s="318"/>
      <c r="AA12044" s="318"/>
      <c r="AB12044" s="318"/>
      <c r="AC12044" s="318"/>
      <c r="AD12044" s="318"/>
    </row>
    <row r="12045" spans="2:30" s="323" customFormat="1" ht="12" customHeight="1">
      <c r="B12045" s="324"/>
      <c r="C12045" s="325"/>
      <c r="D12045" s="326"/>
      <c r="E12045" s="326"/>
      <c r="F12045" s="326"/>
      <c r="G12045" s="326"/>
      <c r="H12045" s="326"/>
      <c r="P12045" s="318"/>
      <c r="Q12045" s="318"/>
      <c r="R12045" s="318"/>
      <c r="S12045" s="318"/>
      <c r="T12045" s="318"/>
      <c r="U12045" s="318"/>
      <c r="V12045" s="318"/>
      <c r="W12045" s="318"/>
      <c r="X12045" s="318"/>
      <c r="Y12045" s="318"/>
      <c r="Z12045" s="318"/>
      <c r="AA12045" s="318"/>
      <c r="AB12045" s="318"/>
      <c r="AC12045" s="318"/>
      <c r="AD12045" s="318"/>
    </row>
    <row r="12046" spans="2:30" s="323" customFormat="1" ht="12" customHeight="1">
      <c r="B12046" s="324"/>
      <c r="C12046" s="325"/>
      <c r="D12046" s="326"/>
      <c r="E12046" s="326"/>
      <c r="F12046" s="326"/>
      <c r="G12046" s="326"/>
      <c r="H12046" s="326"/>
      <c r="P12046" s="318"/>
      <c r="Q12046" s="318"/>
      <c r="R12046" s="318"/>
      <c r="S12046" s="318"/>
      <c r="T12046" s="318"/>
      <c r="U12046" s="318"/>
      <c r="V12046" s="318"/>
      <c r="W12046" s="318"/>
      <c r="X12046" s="318"/>
      <c r="Y12046" s="318"/>
      <c r="Z12046" s="318"/>
      <c r="AA12046" s="318"/>
      <c r="AB12046" s="318"/>
      <c r="AC12046" s="318"/>
      <c r="AD12046" s="318"/>
    </row>
    <row r="12047" spans="2:30" s="323" customFormat="1" ht="12" customHeight="1">
      <c r="B12047" s="324"/>
      <c r="C12047" s="325"/>
      <c r="D12047" s="326"/>
      <c r="E12047" s="326"/>
      <c r="F12047" s="326"/>
      <c r="G12047" s="326"/>
      <c r="H12047" s="326"/>
      <c r="P12047" s="318"/>
      <c r="Q12047" s="318"/>
      <c r="R12047" s="318"/>
      <c r="S12047" s="318"/>
      <c r="T12047" s="318"/>
      <c r="U12047" s="318"/>
      <c r="V12047" s="318"/>
      <c r="W12047" s="318"/>
      <c r="X12047" s="318"/>
      <c r="Y12047" s="318"/>
      <c r="Z12047" s="318"/>
      <c r="AA12047" s="318"/>
      <c r="AB12047" s="318"/>
      <c r="AC12047" s="318"/>
      <c r="AD12047" s="318"/>
    </row>
    <row r="12048" spans="2:30" s="323" customFormat="1" ht="12" customHeight="1">
      <c r="B12048" s="324"/>
      <c r="C12048" s="325"/>
      <c r="D12048" s="326"/>
      <c r="E12048" s="326"/>
      <c r="F12048" s="326"/>
      <c r="G12048" s="326"/>
      <c r="H12048" s="326"/>
      <c r="P12048" s="318"/>
      <c r="Q12048" s="318"/>
      <c r="R12048" s="318"/>
      <c r="S12048" s="318"/>
      <c r="T12048" s="318"/>
      <c r="U12048" s="318"/>
      <c r="V12048" s="318"/>
      <c r="W12048" s="318"/>
      <c r="X12048" s="318"/>
      <c r="Y12048" s="318"/>
      <c r="Z12048" s="318"/>
      <c r="AA12048" s="318"/>
      <c r="AB12048" s="318"/>
      <c r="AC12048" s="318"/>
      <c r="AD12048" s="318"/>
    </row>
    <row r="12049" spans="2:30" s="323" customFormat="1" ht="12" customHeight="1">
      <c r="B12049" s="324"/>
      <c r="C12049" s="325"/>
      <c r="D12049" s="326"/>
      <c r="E12049" s="326"/>
      <c r="F12049" s="326"/>
      <c r="G12049" s="326"/>
      <c r="H12049" s="326"/>
      <c r="P12049" s="318"/>
      <c r="Q12049" s="318"/>
      <c r="R12049" s="318"/>
      <c r="S12049" s="318"/>
      <c r="T12049" s="318"/>
      <c r="U12049" s="318"/>
      <c r="V12049" s="318"/>
      <c r="W12049" s="318"/>
      <c r="X12049" s="318"/>
      <c r="Y12049" s="318"/>
      <c r="Z12049" s="318"/>
      <c r="AA12049" s="318"/>
      <c r="AB12049" s="318"/>
      <c r="AC12049" s="318"/>
      <c r="AD12049" s="318"/>
    </row>
    <row r="12050" spans="2:30" s="323" customFormat="1" ht="12" customHeight="1">
      <c r="B12050" s="324"/>
      <c r="C12050" s="325"/>
      <c r="D12050" s="326"/>
      <c r="E12050" s="326"/>
      <c r="F12050" s="326"/>
      <c r="G12050" s="326"/>
      <c r="H12050" s="326"/>
      <c r="P12050" s="318"/>
      <c r="Q12050" s="318"/>
      <c r="R12050" s="318"/>
      <c r="S12050" s="318"/>
      <c r="T12050" s="318"/>
      <c r="U12050" s="318"/>
      <c r="V12050" s="318"/>
      <c r="W12050" s="318"/>
      <c r="X12050" s="318"/>
      <c r="Y12050" s="318"/>
      <c r="Z12050" s="318"/>
      <c r="AA12050" s="318"/>
      <c r="AB12050" s="318"/>
      <c r="AC12050" s="318"/>
      <c r="AD12050" s="318"/>
    </row>
    <row r="12051" spans="2:30" s="323" customFormat="1" ht="12" customHeight="1">
      <c r="B12051" s="324"/>
      <c r="C12051" s="325"/>
      <c r="D12051" s="326"/>
      <c r="E12051" s="326"/>
      <c r="F12051" s="326"/>
      <c r="G12051" s="326"/>
      <c r="H12051" s="326"/>
      <c r="P12051" s="318"/>
      <c r="Q12051" s="318"/>
      <c r="R12051" s="318"/>
      <c r="S12051" s="318"/>
      <c r="T12051" s="318"/>
      <c r="U12051" s="318"/>
      <c r="V12051" s="318"/>
      <c r="W12051" s="318"/>
      <c r="X12051" s="318"/>
      <c r="Y12051" s="318"/>
      <c r="Z12051" s="318"/>
      <c r="AA12051" s="318"/>
      <c r="AB12051" s="318"/>
      <c r="AC12051" s="318"/>
      <c r="AD12051" s="318"/>
    </row>
    <row r="12052" spans="2:30" s="323" customFormat="1" ht="12" customHeight="1">
      <c r="B12052" s="324"/>
      <c r="C12052" s="325"/>
      <c r="D12052" s="326"/>
      <c r="E12052" s="326"/>
      <c r="F12052" s="326"/>
      <c r="G12052" s="326"/>
      <c r="H12052" s="326"/>
      <c r="P12052" s="318"/>
      <c r="Q12052" s="318"/>
      <c r="R12052" s="318"/>
      <c r="S12052" s="318"/>
      <c r="T12052" s="318"/>
      <c r="U12052" s="318"/>
      <c r="V12052" s="318"/>
      <c r="W12052" s="318"/>
      <c r="X12052" s="318"/>
      <c r="Y12052" s="318"/>
      <c r="Z12052" s="318"/>
      <c r="AA12052" s="318"/>
      <c r="AB12052" s="318"/>
      <c r="AC12052" s="318"/>
      <c r="AD12052" s="318"/>
    </row>
    <row r="12053" spans="2:30" s="323" customFormat="1" ht="12" customHeight="1">
      <c r="B12053" s="324"/>
      <c r="C12053" s="325"/>
      <c r="D12053" s="326"/>
      <c r="E12053" s="326"/>
      <c r="F12053" s="326"/>
      <c r="G12053" s="326"/>
      <c r="H12053" s="326"/>
      <c r="P12053" s="318"/>
      <c r="Q12053" s="318"/>
      <c r="R12053" s="318"/>
      <c r="S12053" s="318"/>
      <c r="T12053" s="318"/>
      <c r="U12053" s="318"/>
      <c r="V12053" s="318"/>
      <c r="W12053" s="318"/>
      <c r="X12053" s="318"/>
      <c r="Y12053" s="318"/>
      <c r="Z12053" s="318"/>
      <c r="AA12053" s="318"/>
      <c r="AB12053" s="318"/>
      <c r="AC12053" s="318"/>
      <c r="AD12053" s="318"/>
    </row>
    <row r="12054" spans="2:30" s="323" customFormat="1" ht="12" customHeight="1">
      <c r="B12054" s="324"/>
      <c r="C12054" s="325"/>
      <c r="D12054" s="326"/>
      <c r="E12054" s="326"/>
      <c r="F12054" s="326"/>
      <c r="G12054" s="326"/>
      <c r="H12054" s="326"/>
      <c r="P12054" s="318"/>
      <c r="Q12054" s="318"/>
      <c r="R12054" s="318"/>
      <c r="S12054" s="318"/>
      <c r="T12054" s="318"/>
      <c r="U12054" s="318"/>
      <c r="V12054" s="318"/>
      <c r="W12054" s="318"/>
      <c r="X12054" s="318"/>
      <c r="Y12054" s="318"/>
      <c r="Z12054" s="318"/>
      <c r="AA12054" s="318"/>
      <c r="AB12054" s="318"/>
      <c r="AC12054" s="318"/>
      <c r="AD12054" s="318"/>
    </row>
    <row r="12055" spans="2:30" s="323" customFormat="1" ht="12" customHeight="1">
      <c r="B12055" s="324"/>
      <c r="C12055" s="325"/>
      <c r="D12055" s="326"/>
      <c r="E12055" s="326"/>
      <c r="F12055" s="326"/>
      <c r="G12055" s="326"/>
      <c r="H12055" s="326"/>
      <c r="P12055" s="318"/>
      <c r="Q12055" s="318"/>
      <c r="R12055" s="318"/>
      <c r="S12055" s="318"/>
      <c r="T12055" s="318"/>
      <c r="U12055" s="318"/>
      <c r="V12055" s="318"/>
      <c r="W12055" s="318"/>
      <c r="X12055" s="318"/>
      <c r="Y12055" s="318"/>
      <c r="Z12055" s="318"/>
      <c r="AA12055" s="318"/>
      <c r="AB12055" s="318"/>
      <c r="AC12055" s="318"/>
      <c r="AD12055" s="318"/>
    </row>
    <row r="12056" spans="2:30" s="323" customFormat="1" ht="12" customHeight="1">
      <c r="B12056" s="324"/>
      <c r="C12056" s="325"/>
      <c r="D12056" s="326"/>
      <c r="E12056" s="326"/>
      <c r="F12056" s="326"/>
      <c r="G12056" s="326"/>
      <c r="H12056" s="326"/>
      <c r="P12056" s="318"/>
      <c r="Q12056" s="318"/>
      <c r="R12056" s="318"/>
      <c r="S12056" s="318"/>
      <c r="T12056" s="318"/>
      <c r="U12056" s="318"/>
      <c r="V12056" s="318"/>
      <c r="W12056" s="318"/>
      <c r="X12056" s="318"/>
      <c r="Y12056" s="318"/>
      <c r="Z12056" s="318"/>
      <c r="AA12056" s="318"/>
      <c r="AB12056" s="318"/>
      <c r="AC12056" s="318"/>
      <c r="AD12056" s="318"/>
    </row>
    <row r="12057" spans="2:30" s="323" customFormat="1" ht="12" customHeight="1">
      <c r="B12057" s="324"/>
      <c r="C12057" s="325"/>
      <c r="D12057" s="326"/>
      <c r="E12057" s="326"/>
      <c r="F12057" s="326"/>
      <c r="G12057" s="326"/>
      <c r="H12057" s="326"/>
      <c r="P12057" s="318"/>
      <c r="Q12057" s="318"/>
      <c r="R12057" s="318"/>
      <c r="S12057" s="318"/>
      <c r="T12057" s="318"/>
      <c r="U12057" s="318"/>
      <c r="V12057" s="318"/>
      <c r="W12057" s="318"/>
      <c r="X12057" s="318"/>
      <c r="Y12057" s="318"/>
      <c r="Z12057" s="318"/>
      <c r="AA12057" s="318"/>
      <c r="AB12057" s="318"/>
      <c r="AC12057" s="318"/>
      <c r="AD12057" s="318"/>
    </row>
    <row r="12058" spans="2:30" s="323" customFormat="1" ht="12" customHeight="1">
      <c r="B12058" s="324"/>
      <c r="C12058" s="325"/>
      <c r="D12058" s="326"/>
      <c r="E12058" s="326"/>
      <c r="F12058" s="326"/>
      <c r="G12058" s="326"/>
      <c r="H12058" s="326"/>
      <c r="P12058" s="318"/>
      <c r="Q12058" s="318"/>
      <c r="R12058" s="318"/>
      <c r="S12058" s="318"/>
      <c r="T12058" s="318"/>
      <c r="U12058" s="318"/>
      <c r="V12058" s="318"/>
      <c r="W12058" s="318"/>
      <c r="X12058" s="318"/>
      <c r="Y12058" s="318"/>
      <c r="Z12058" s="318"/>
      <c r="AA12058" s="318"/>
      <c r="AB12058" s="318"/>
      <c r="AC12058" s="318"/>
      <c r="AD12058" s="318"/>
    </row>
    <row r="12059" spans="2:30" s="323" customFormat="1" ht="12" customHeight="1">
      <c r="B12059" s="324"/>
      <c r="C12059" s="325"/>
      <c r="D12059" s="326"/>
      <c r="E12059" s="326"/>
      <c r="F12059" s="326"/>
      <c r="G12059" s="326"/>
      <c r="H12059" s="326"/>
      <c r="P12059" s="318"/>
      <c r="Q12059" s="318"/>
      <c r="R12059" s="318"/>
      <c r="S12059" s="318"/>
      <c r="T12059" s="318"/>
      <c r="U12059" s="318"/>
      <c r="V12059" s="318"/>
      <c r="W12059" s="318"/>
      <c r="X12059" s="318"/>
      <c r="Y12059" s="318"/>
      <c r="Z12059" s="318"/>
      <c r="AA12059" s="318"/>
      <c r="AB12059" s="318"/>
      <c r="AC12059" s="318"/>
      <c r="AD12059" s="318"/>
    </row>
    <row r="12060" spans="2:30" s="323" customFormat="1" ht="12" customHeight="1">
      <c r="B12060" s="324"/>
      <c r="C12060" s="325"/>
      <c r="D12060" s="326"/>
      <c r="E12060" s="326"/>
      <c r="F12060" s="326"/>
      <c r="G12060" s="326"/>
      <c r="H12060" s="326"/>
      <c r="P12060" s="318"/>
      <c r="Q12060" s="318"/>
      <c r="R12060" s="318"/>
      <c r="S12060" s="318"/>
      <c r="T12060" s="318"/>
      <c r="U12060" s="318"/>
      <c r="V12060" s="318"/>
      <c r="W12060" s="318"/>
      <c r="X12060" s="318"/>
      <c r="Y12060" s="318"/>
      <c r="Z12060" s="318"/>
      <c r="AA12060" s="318"/>
      <c r="AB12060" s="318"/>
      <c r="AC12060" s="318"/>
      <c r="AD12060" s="318"/>
    </row>
    <row r="12061" spans="2:30" s="323" customFormat="1" ht="12" customHeight="1">
      <c r="B12061" s="324"/>
      <c r="C12061" s="325"/>
      <c r="D12061" s="326"/>
      <c r="E12061" s="326"/>
      <c r="F12061" s="326"/>
      <c r="G12061" s="326"/>
      <c r="H12061" s="326"/>
      <c r="P12061" s="318"/>
      <c r="Q12061" s="318"/>
      <c r="R12061" s="318"/>
      <c r="S12061" s="318"/>
      <c r="T12061" s="318"/>
      <c r="U12061" s="318"/>
      <c r="V12061" s="318"/>
      <c r="W12061" s="318"/>
      <c r="X12061" s="318"/>
      <c r="Y12061" s="318"/>
      <c r="Z12061" s="318"/>
      <c r="AA12061" s="318"/>
      <c r="AB12061" s="318"/>
      <c r="AC12061" s="318"/>
      <c r="AD12061" s="318"/>
    </row>
    <row r="12062" spans="2:30" s="323" customFormat="1" ht="12" customHeight="1">
      <c r="B12062" s="324"/>
      <c r="C12062" s="325"/>
      <c r="D12062" s="326"/>
      <c r="E12062" s="326"/>
      <c r="F12062" s="326"/>
      <c r="G12062" s="326"/>
      <c r="H12062" s="326"/>
      <c r="P12062" s="318"/>
      <c r="Q12062" s="318"/>
      <c r="R12062" s="318"/>
      <c r="S12062" s="318"/>
      <c r="T12062" s="318"/>
      <c r="U12062" s="318"/>
      <c r="V12062" s="318"/>
      <c r="W12062" s="318"/>
      <c r="X12062" s="318"/>
      <c r="Y12062" s="318"/>
      <c r="Z12062" s="318"/>
      <c r="AA12062" s="318"/>
      <c r="AB12062" s="318"/>
      <c r="AC12062" s="318"/>
      <c r="AD12062" s="318"/>
    </row>
    <row r="12063" spans="2:30" s="323" customFormat="1" ht="12" customHeight="1">
      <c r="B12063" s="324"/>
      <c r="C12063" s="325"/>
      <c r="D12063" s="326"/>
      <c r="E12063" s="326"/>
      <c r="F12063" s="326"/>
      <c r="G12063" s="326"/>
      <c r="H12063" s="326"/>
      <c r="P12063" s="318"/>
      <c r="Q12063" s="318"/>
      <c r="R12063" s="318"/>
      <c r="S12063" s="318"/>
      <c r="T12063" s="318"/>
      <c r="U12063" s="318"/>
      <c r="V12063" s="318"/>
      <c r="W12063" s="318"/>
      <c r="X12063" s="318"/>
      <c r="Y12063" s="318"/>
      <c r="Z12063" s="318"/>
      <c r="AA12063" s="318"/>
      <c r="AB12063" s="318"/>
      <c r="AC12063" s="318"/>
      <c r="AD12063" s="318"/>
    </row>
    <row r="12064" spans="2:30" s="323" customFormat="1" ht="12" customHeight="1">
      <c r="B12064" s="324"/>
      <c r="C12064" s="325"/>
      <c r="D12064" s="326"/>
      <c r="E12064" s="326"/>
      <c r="F12064" s="326"/>
      <c r="G12064" s="326"/>
      <c r="H12064" s="326"/>
      <c r="P12064" s="318"/>
      <c r="Q12064" s="318"/>
      <c r="R12064" s="318"/>
      <c r="S12064" s="318"/>
      <c r="T12064" s="318"/>
      <c r="U12064" s="318"/>
      <c r="V12064" s="318"/>
      <c r="W12064" s="318"/>
      <c r="X12064" s="318"/>
      <c r="Y12064" s="318"/>
      <c r="Z12064" s="318"/>
      <c r="AA12064" s="318"/>
      <c r="AB12064" s="318"/>
      <c r="AC12064" s="318"/>
      <c r="AD12064" s="318"/>
    </row>
    <row r="12065" spans="2:30" s="323" customFormat="1" ht="12" customHeight="1">
      <c r="B12065" s="324"/>
      <c r="C12065" s="325"/>
      <c r="D12065" s="326"/>
      <c r="E12065" s="326"/>
      <c r="F12065" s="326"/>
      <c r="G12065" s="326"/>
      <c r="H12065" s="326"/>
      <c r="P12065" s="318"/>
      <c r="Q12065" s="318"/>
      <c r="R12065" s="318"/>
      <c r="S12065" s="318"/>
      <c r="T12065" s="318"/>
      <c r="U12065" s="318"/>
      <c r="V12065" s="318"/>
      <c r="W12065" s="318"/>
      <c r="X12065" s="318"/>
      <c r="Y12065" s="318"/>
      <c r="Z12065" s="318"/>
      <c r="AA12065" s="318"/>
      <c r="AB12065" s="318"/>
      <c r="AC12065" s="318"/>
      <c r="AD12065" s="318"/>
    </row>
    <row r="12066" spans="2:30" s="323" customFormat="1" ht="12" customHeight="1">
      <c r="B12066" s="324"/>
      <c r="C12066" s="325"/>
      <c r="D12066" s="326"/>
      <c r="E12066" s="326"/>
      <c r="F12066" s="326"/>
      <c r="G12066" s="326"/>
      <c r="H12066" s="326"/>
      <c r="P12066" s="318"/>
      <c r="Q12066" s="318"/>
      <c r="R12066" s="318"/>
      <c r="S12066" s="318"/>
      <c r="T12066" s="318"/>
      <c r="U12066" s="318"/>
      <c r="V12066" s="318"/>
      <c r="W12066" s="318"/>
      <c r="X12066" s="318"/>
      <c r="Y12066" s="318"/>
      <c r="Z12066" s="318"/>
      <c r="AA12066" s="318"/>
      <c r="AB12066" s="318"/>
      <c r="AC12066" s="318"/>
      <c r="AD12066" s="318"/>
    </row>
    <row r="12067" spans="2:30" s="323" customFormat="1" ht="12" customHeight="1">
      <c r="B12067" s="324"/>
      <c r="C12067" s="325"/>
      <c r="D12067" s="326"/>
      <c r="E12067" s="326"/>
      <c r="F12067" s="326"/>
      <c r="G12067" s="326"/>
      <c r="H12067" s="326"/>
      <c r="P12067" s="318"/>
      <c r="Q12067" s="318"/>
      <c r="R12067" s="318"/>
      <c r="S12067" s="318"/>
      <c r="T12067" s="318"/>
      <c r="U12067" s="318"/>
      <c r="V12067" s="318"/>
      <c r="W12067" s="318"/>
      <c r="X12067" s="318"/>
      <c r="Y12067" s="318"/>
      <c r="Z12067" s="318"/>
      <c r="AA12067" s="318"/>
      <c r="AB12067" s="318"/>
      <c r="AC12067" s="318"/>
      <c r="AD12067" s="318"/>
    </row>
    <row r="12068" spans="2:30" s="323" customFormat="1" ht="12" customHeight="1">
      <c r="B12068" s="324"/>
      <c r="C12068" s="325"/>
      <c r="D12068" s="326"/>
      <c r="E12068" s="326"/>
      <c r="F12068" s="326"/>
      <c r="G12068" s="326"/>
      <c r="H12068" s="326"/>
      <c r="P12068" s="318"/>
      <c r="Q12068" s="318"/>
      <c r="R12068" s="318"/>
      <c r="S12068" s="318"/>
      <c r="T12068" s="318"/>
      <c r="U12068" s="318"/>
      <c r="V12068" s="318"/>
      <c r="W12068" s="318"/>
      <c r="X12068" s="318"/>
      <c r="Y12068" s="318"/>
      <c r="Z12068" s="318"/>
      <c r="AA12068" s="318"/>
      <c r="AB12068" s="318"/>
      <c r="AC12068" s="318"/>
      <c r="AD12068" s="318"/>
    </row>
    <row r="12069" spans="2:30" s="323" customFormat="1" ht="12" customHeight="1">
      <c r="B12069" s="324"/>
      <c r="C12069" s="325"/>
      <c r="D12069" s="326"/>
      <c r="E12069" s="326"/>
      <c r="F12069" s="326"/>
      <c r="G12069" s="326"/>
      <c r="H12069" s="326"/>
      <c r="P12069" s="318"/>
      <c r="Q12069" s="318"/>
      <c r="R12069" s="318"/>
      <c r="S12069" s="318"/>
      <c r="T12069" s="318"/>
      <c r="U12069" s="318"/>
      <c r="V12069" s="318"/>
      <c r="W12069" s="318"/>
      <c r="X12069" s="318"/>
      <c r="Y12069" s="318"/>
      <c r="Z12069" s="318"/>
      <c r="AA12069" s="318"/>
      <c r="AB12069" s="318"/>
      <c r="AC12069" s="318"/>
      <c r="AD12069" s="318"/>
    </row>
    <row r="12070" spans="2:30" s="323" customFormat="1" ht="12" customHeight="1">
      <c r="B12070" s="324"/>
      <c r="C12070" s="325"/>
      <c r="D12070" s="326"/>
      <c r="E12070" s="326"/>
      <c r="F12070" s="326"/>
      <c r="G12070" s="326"/>
      <c r="H12070" s="326"/>
      <c r="P12070" s="318"/>
      <c r="Q12070" s="318"/>
      <c r="R12070" s="318"/>
      <c r="S12070" s="318"/>
      <c r="T12070" s="318"/>
      <c r="U12070" s="318"/>
      <c r="V12070" s="318"/>
      <c r="W12070" s="318"/>
      <c r="X12070" s="318"/>
      <c r="Y12070" s="318"/>
      <c r="Z12070" s="318"/>
      <c r="AA12070" s="318"/>
      <c r="AB12070" s="318"/>
      <c r="AC12070" s="318"/>
      <c r="AD12070" s="318"/>
    </row>
    <row r="12071" spans="2:30" s="323" customFormat="1" ht="12" customHeight="1">
      <c r="B12071" s="324"/>
      <c r="C12071" s="325"/>
      <c r="D12071" s="326"/>
      <c r="E12071" s="326"/>
      <c r="F12071" s="326"/>
      <c r="G12071" s="326"/>
      <c r="H12071" s="326"/>
      <c r="P12071" s="318"/>
      <c r="Q12071" s="318"/>
      <c r="R12071" s="318"/>
      <c r="S12071" s="318"/>
      <c r="T12071" s="318"/>
      <c r="U12071" s="318"/>
      <c r="V12071" s="318"/>
      <c r="W12071" s="318"/>
      <c r="X12071" s="318"/>
      <c r="Y12071" s="318"/>
      <c r="Z12071" s="318"/>
      <c r="AA12071" s="318"/>
      <c r="AB12071" s="318"/>
      <c r="AC12071" s="318"/>
      <c r="AD12071" s="318"/>
    </row>
    <row r="12072" spans="2:30" s="323" customFormat="1" ht="12" customHeight="1">
      <c r="B12072" s="324"/>
      <c r="C12072" s="325"/>
      <c r="D12072" s="326"/>
      <c r="E12072" s="326"/>
      <c r="F12072" s="326"/>
      <c r="G12072" s="326"/>
      <c r="H12072" s="326"/>
      <c r="P12072" s="318"/>
      <c r="Q12072" s="318"/>
      <c r="R12072" s="318"/>
      <c r="S12072" s="318"/>
      <c r="T12072" s="318"/>
      <c r="U12072" s="318"/>
      <c r="V12072" s="318"/>
      <c r="W12072" s="318"/>
      <c r="X12072" s="318"/>
      <c r="Y12072" s="318"/>
      <c r="Z12072" s="318"/>
      <c r="AA12072" s="318"/>
      <c r="AB12072" s="318"/>
      <c r="AC12072" s="318"/>
      <c r="AD12072" s="318"/>
    </row>
    <row r="12073" spans="2:30" s="323" customFormat="1" ht="12" customHeight="1">
      <c r="B12073" s="324"/>
      <c r="C12073" s="325"/>
      <c r="D12073" s="326"/>
      <c r="E12073" s="326"/>
      <c r="F12073" s="326"/>
      <c r="G12073" s="326"/>
      <c r="H12073" s="326"/>
      <c r="P12073" s="318"/>
      <c r="Q12073" s="318"/>
      <c r="R12073" s="318"/>
      <c r="S12073" s="318"/>
      <c r="T12073" s="318"/>
      <c r="U12073" s="318"/>
      <c r="V12073" s="318"/>
      <c r="W12073" s="318"/>
      <c r="X12073" s="318"/>
      <c r="Y12073" s="318"/>
      <c r="Z12073" s="318"/>
      <c r="AA12073" s="318"/>
      <c r="AB12073" s="318"/>
      <c r="AC12073" s="318"/>
      <c r="AD12073" s="318"/>
    </row>
    <row r="12074" spans="2:30" s="323" customFormat="1" ht="12" customHeight="1">
      <c r="B12074" s="324"/>
      <c r="C12074" s="325"/>
      <c r="D12074" s="326"/>
      <c r="E12074" s="326"/>
      <c r="F12074" s="326"/>
      <c r="G12074" s="326"/>
      <c r="H12074" s="326"/>
      <c r="P12074" s="318"/>
      <c r="Q12074" s="318"/>
      <c r="R12074" s="318"/>
      <c r="S12074" s="318"/>
      <c r="T12074" s="318"/>
      <c r="U12074" s="318"/>
      <c r="V12074" s="318"/>
      <c r="W12074" s="318"/>
      <c r="X12074" s="318"/>
      <c r="Y12074" s="318"/>
      <c r="Z12074" s="318"/>
      <c r="AA12074" s="318"/>
      <c r="AB12074" s="318"/>
      <c r="AC12074" s="318"/>
      <c r="AD12074" s="318"/>
    </row>
    <row r="12075" spans="2:30" s="323" customFormat="1" ht="12" customHeight="1">
      <c r="B12075" s="324"/>
      <c r="C12075" s="325"/>
      <c r="D12075" s="326"/>
      <c r="E12075" s="326"/>
      <c r="F12075" s="326"/>
      <c r="G12075" s="326"/>
      <c r="H12075" s="326"/>
      <c r="P12075" s="318"/>
      <c r="Q12075" s="318"/>
      <c r="R12075" s="318"/>
      <c r="S12075" s="318"/>
      <c r="T12075" s="318"/>
      <c r="U12075" s="318"/>
      <c r="V12075" s="318"/>
      <c r="W12075" s="318"/>
      <c r="X12075" s="318"/>
      <c r="Y12075" s="318"/>
      <c r="Z12075" s="318"/>
      <c r="AA12075" s="318"/>
      <c r="AB12075" s="318"/>
      <c r="AC12075" s="318"/>
      <c r="AD12075" s="318"/>
    </row>
    <row r="12076" spans="2:30" s="323" customFormat="1" ht="12" customHeight="1">
      <c r="B12076" s="324"/>
      <c r="C12076" s="325"/>
      <c r="D12076" s="326"/>
      <c r="E12076" s="326"/>
      <c r="F12076" s="326"/>
      <c r="G12076" s="326"/>
      <c r="H12076" s="326"/>
      <c r="P12076" s="318"/>
      <c r="Q12076" s="318"/>
      <c r="R12076" s="318"/>
      <c r="S12076" s="318"/>
      <c r="T12076" s="318"/>
      <c r="U12076" s="318"/>
      <c r="V12076" s="318"/>
      <c r="W12076" s="318"/>
      <c r="X12076" s="318"/>
      <c r="Y12076" s="318"/>
      <c r="Z12076" s="318"/>
      <c r="AA12076" s="318"/>
      <c r="AB12076" s="318"/>
      <c r="AC12076" s="318"/>
      <c r="AD12076" s="318"/>
    </row>
    <row r="12077" spans="2:30" s="323" customFormat="1" ht="12" customHeight="1">
      <c r="B12077" s="324"/>
      <c r="C12077" s="325"/>
      <c r="D12077" s="326"/>
      <c r="E12077" s="326"/>
      <c r="F12077" s="326"/>
      <c r="G12077" s="326"/>
      <c r="H12077" s="326"/>
      <c r="P12077" s="318"/>
      <c r="Q12077" s="318"/>
      <c r="R12077" s="318"/>
      <c r="S12077" s="318"/>
      <c r="T12077" s="318"/>
      <c r="U12077" s="318"/>
      <c r="V12077" s="318"/>
      <c r="W12077" s="318"/>
      <c r="X12077" s="318"/>
      <c r="Y12077" s="318"/>
      <c r="Z12077" s="318"/>
      <c r="AA12077" s="318"/>
      <c r="AB12077" s="318"/>
      <c r="AC12077" s="318"/>
      <c r="AD12077" s="318"/>
    </row>
    <row r="12078" spans="2:30" s="323" customFormat="1" ht="12" customHeight="1">
      <c r="B12078" s="324"/>
      <c r="C12078" s="325"/>
      <c r="D12078" s="326"/>
      <c r="E12078" s="326"/>
      <c r="F12078" s="326"/>
      <c r="G12078" s="326"/>
      <c r="H12078" s="326"/>
      <c r="P12078" s="318"/>
      <c r="Q12078" s="318"/>
      <c r="R12078" s="318"/>
      <c r="S12078" s="318"/>
      <c r="T12078" s="318"/>
      <c r="U12078" s="318"/>
      <c r="V12078" s="318"/>
      <c r="W12078" s="318"/>
      <c r="X12078" s="318"/>
      <c r="Y12078" s="318"/>
      <c r="Z12078" s="318"/>
      <c r="AA12078" s="318"/>
      <c r="AB12078" s="318"/>
      <c r="AC12078" s="318"/>
      <c r="AD12078" s="318"/>
    </row>
    <row r="12079" spans="2:30" s="323" customFormat="1" ht="12" customHeight="1">
      <c r="B12079" s="324"/>
      <c r="C12079" s="325"/>
      <c r="D12079" s="326"/>
      <c r="E12079" s="326"/>
      <c r="F12079" s="326"/>
      <c r="G12079" s="326"/>
      <c r="H12079" s="326"/>
      <c r="P12079" s="318"/>
      <c r="Q12079" s="318"/>
      <c r="R12079" s="318"/>
      <c r="S12079" s="318"/>
      <c r="T12079" s="318"/>
      <c r="U12079" s="318"/>
      <c r="V12079" s="318"/>
      <c r="W12079" s="318"/>
      <c r="X12079" s="318"/>
      <c r="Y12079" s="318"/>
      <c r="Z12079" s="318"/>
      <c r="AA12079" s="318"/>
      <c r="AB12079" s="318"/>
      <c r="AC12079" s="318"/>
      <c r="AD12079" s="318"/>
    </row>
    <row r="12080" spans="2:30" s="323" customFormat="1" ht="12" customHeight="1">
      <c r="B12080" s="324"/>
      <c r="C12080" s="325"/>
      <c r="D12080" s="326"/>
      <c r="E12080" s="326"/>
      <c r="F12080" s="326"/>
      <c r="G12080" s="326"/>
      <c r="H12080" s="326"/>
      <c r="P12080" s="318"/>
      <c r="Q12080" s="318"/>
      <c r="R12080" s="318"/>
      <c r="S12080" s="318"/>
      <c r="T12080" s="318"/>
      <c r="U12080" s="318"/>
      <c r="V12080" s="318"/>
      <c r="W12080" s="318"/>
      <c r="X12080" s="318"/>
      <c r="Y12080" s="318"/>
      <c r="Z12080" s="318"/>
      <c r="AA12080" s="318"/>
      <c r="AB12080" s="318"/>
      <c r="AC12080" s="318"/>
      <c r="AD12080" s="318"/>
    </row>
    <row r="12081" spans="2:30" s="323" customFormat="1" ht="12" customHeight="1">
      <c r="B12081" s="324"/>
      <c r="C12081" s="325"/>
      <c r="D12081" s="326"/>
      <c r="E12081" s="326"/>
      <c r="F12081" s="326"/>
      <c r="G12081" s="326"/>
      <c r="H12081" s="326"/>
      <c r="P12081" s="318"/>
      <c r="Q12081" s="318"/>
      <c r="R12081" s="318"/>
      <c r="S12081" s="318"/>
      <c r="T12081" s="318"/>
      <c r="U12081" s="318"/>
      <c r="V12081" s="318"/>
      <c r="W12081" s="318"/>
      <c r="X12081" s="318"/>
      <c r="Y12081" s="318"/>
      <c r="Z12081" s="318"/>
      <c r="AA12081" s="318"/>
      <c r="AB12081" s="318"/>
      <c r="AC12081" s="318"/>
      <c r="AD12081" s="318"/>
    </row>
    <row r="12082" spans="2:30" s="323" customFormat="1" ht="12" customHeight="1">
      <c r="B12082" s="324"/>
      <c r="C12082" s="325"/>
      <c r="D12082" s="326"/>
      <c r="E12082" s="326"/>
      <c r="F12082" s="326"/>
      <c r="G12082" s="326"/>
      <c r="H12082" s="326"/>
      <c r="P12082" s="318"/>
      <c r="Q12082" s="318"/>
      <c r="R12082" s="318"/>
      <c r="S12082" s="318"/>
      <c r="T12082" s="318"/>
      <c r="U12082" s="318"/>
      <c r="V12082" s="318"/>
      <c r="W12082" s="318"/>
      <c r="X12082" s="318"/>
      <c r="Y12082" s="318"/>
      <c r="Z12082" s="318"/>
      <c r="AA12082" s="318"/>
      <c r="AB12082" s="318"/>
      <c r="AC12082" s="318"/>
      <c r="AD12082" s="318"/>
    </row>
    <row r="12083" spans="2:30" s="323" customFormat="1" ht="12" customHeight="1">
      <c r="B12083" s="324"/>
      <c r="C12083" s="325"/>
      <c r="D12083" s="326"/>
      <c r="E12083" s="326"/>
      <c r="F12083" s="326"/>
      <c r="G12083" s="326"/>
      <c r="H12083" s="326"/>
      <c r="P12083" s="318"/>
      <c r="Q12083" s="318"/>
      <c r="R12083" s="318"/>
      <c r="S12083" s="318"/>
      <c r="T12083" s="318"/>
      <c r="U12083" s="318"/>
      <c r="V12083" s="318"/>
      <c r="W12083" s="318"/>
      <c r="X12083" s="318"/>
      <c r="Y12083" s="318"/>
      <c r="Z12083" s="318"/>
      <c r="AA12083" s="318"/>
      <c r="AB12083" s="318"/>
      <c r="AC12083" s="318"/>
      <c r="AD12083" s="318"/>
    </row>
    <row r="12084" spans="2:30" s="323" customFormat="1" ht="12" customHeight="1">
      <c r="B12084" s="324"/>
      <c r="C12084" s="325"/>
      <c r="D12084" s="326"/>
      <c r="E12084" s="326"/>
      <c r="F12084" s="326"/>
      <c r="G12084" s="326"/>
      <c r="H12084" s="326"/>
      <c r="P12084" s="318"/>
      <c r="Q12084" s="318"/>
      <c r="R12084" s="318"/>
      <c r="S12084" s="318"/>
      <c r="T12084" s="318"/>
      <c r="U12084" s="318"/>
      <c r="V12084" s="318"/>
      <c r="W12084" s="318"/>
      <c r="X12084" s="318"/>
      <c r="Y12084" s="318"/>
      <c r="Z12084" s="318"/>
      <c r="AA12084" s="318"/>
      <c r="AB12084" s="318"/>
      <c r="AC12084" s="318"/>
      <c r="AD12084" s="318"/>
    </row>
    <row r="12085" spans="2:30" s="323" customFormat="1" ht="12" customHeight="1">
      <c r="B12085" s="324"/>
      <c r="C12085" s="325"/>
      <c r="D12085" s="326"/>
      <c r="E12085" s="326"/>
      <c r="F12085" s="326"/>
      <c r="G12085" s="326"/>
      <c r="H12085" s="326"/>
      <c r="P12085" s="318"/>
      <c r="Q12085" s="318"/>
      <c r="R12085" s="318"/>
      <c r="S12085" s="318"/>
      <c r="T12085" s="318"/>
      <c r="U12085" s="318"/>
      <c r="V12085" s="318"/>
      <c r="W12085" s="318"/>
      <c r="X12085" s="318"/>
      <c r="Y12085" s="318"/>
      <c r="Z12085" s="318"/>
      <c r="AA12085" s="318"/>
      <c r="AB12085" s="318"/>
      <c r="AC12085" s="318"/>
      <c r="AD12085" s="318"/>
    </row>
    <row r="12086" spans="2:30" s="323" customFormat="1" ht="12" customHeight="1">
      <c r="B12086" s="324"/>
      <c r="C12086" s="325"/>
      <c r="D12086" s="326"/>
      <c r="E12086" s="326"/>
      <c r="F12086" s="326"/>
      <c r="G12086" s="326"/>
      <c r="H12086" s="326"/>
      <c r="P12086" s="318"/>
      <c r="Q12086" s="318"/>
      <c r="R12086" s="318"/>
      <c r="S12086" s="318"/>
      <c r="T12086" s="318"/>
      <c r="U12086" s="318"/>
      <c r="V12086" s="318"/>
      <c r="W12086" s="318"/>
      <c r="X12086" s="318"/>
      <c r="Y12086" s="318"/>
      <c r="Z12086" s="318"/>
      <c r="AA12086" s="318"/>
      <c r="AB12086" s="318"/>
      <c r="AC12086" s="318"/>
      <c r="AD12086" s="318"/>
    </row>
    <row r="12087" spans="2:30" s="323" customFormat="1" ht="12" customHeight="1">
      <c r="B12087" s="324"/>
      <c r="C12087" s="325"/>
      <c r="D12087" s="326"/>
      <c r="E12087" s="326"/>
      <c r="F12087" s="326"/>
      <c r="G12087" s="326"/>
      <c r="H12087" s="326"/>
      <c r="P12087" s="318"/>
      <c r="Q12087" s="318"/>
      <c r="R12087" s="318"/>
      <c r="S12087" s="318"/>
      <c r="T12087" s="318"/>
      <c r="U12087" s="318"/>
      <c r="V12087" s="318"/>
      <c r="W12087" s="318"/>
      <c r="X12087" s="318"/>
      <c r="Y12087" s="318"/>
      <c r="Z12087" s="318"/>
      <c r="AA12087" s="318"/>
      <c r="AB12087" s="318"/>
      <c r="AC12087" s="318"/>
      <c r="AD12087" s="318"/>
    </row>
    <row r="12088" spans="2:30" s="323" customFormat="1" ht="12" customHeight="1">
      <c r="B12088" s="324"/>
      <c r="C12088" s="325"/>
      <c r="D12088" s="326"/>
      <c r="E12088" s="326"/>
      <c r="F12088" s="326"/>
      <c r="G12088" s="326"/>
      <c r="H12088" s="326"/>
      <c r="P12088" s="318"/>
      <c r="Q12088" s="318"/>
      <c r="R12088" s="318"/>
      <c r="S12088" s="318"/>
      <c r="T12088" s="318"/>
      <c r="U12088" s="318"/>
      <c r="V12088" s="318"/>
      <c r="W12088" s="318"/>
      <c r="X12088" s="318"/>
      <c r="Y12088" s="318"/>
      <c r="Z12088" s="318"/>
      <c r="AA12088" s="318"/>
      <c r="AB12088" s="318"/>
      <c r="AC12088" s="318"/>
      <c r="AD12088" s="318"/>
    </row>
    <row r="12089" spans="2:30" s="323" customFormat="1" ht="12" customHeight="1">
      <c r="B12089" s="324"/>
      <c r="C12089" s="325"/>
      <c r="D12089" s="326"/>
      <c r="E12089" s="326"/>
      <c r="F12089" s="326"/>
      <c r="G12089" s="326"/>
      <c r="H12089" s="326"/>
      <c r="P12089" s="318"/>
      <c r="Q12089" s="318"/>
      <c r="R12089" s="318"/>
      <c r="S12089" s="318"/>
      <c r="T12089" s="318"/>
      <c r="U12089" s="318"/>
      <c r="V12089" s="318"/>
      <c r="W12089" s="318"/>
      <c r="X12089" s="318"/>
      <c r="Y12089" s="318"/>
      <c r="Z12089" s="318"/>
      <c r="AA12089" s="318"/>
      <c r="AB12089" s="318"/>
      <c r="AC12089" s="318"/>
      <c r="AD12089" s="318"/>
    </row>
    <row r="12090" spans="2:30" s="323" customFormat="1" ht="12" customHeight="1">
      <c r="B12090" s="324"/>
      <c r="C12090" s="325"/>
      <c r="D12090" s="326"/>
      <c r="E12090" s="326"/>
      <c r="F12090" s="326"/>
      <c r="G12090" s="326"/>
      <c r="H12090" s="326"/>
      <c r="P12090" s="318"/>
      <c r="Q12090" s="318"/>
      <c r="R12090" s="318"/>
      <c r="S12090" s="318"/>
      <c r="T12090" s="318"/>
      <c r="U12090" s="318"/>
      <c r="V12090" s="318"/>
      <c r="W12090" s="318"/>
      <c r="X12090" s="318"/>
      <c r="Y12090" s="318"/>
      <c r="Z12090" s="318"/>
      <c r="AA12090" s="318"/>
      <c r="AB12090" s="318"/>
      <c r="AC12090" s="318"/>
      <c r="AD12090" s="318"/>
    </row>
    <row r="12091" spans="2:30" s="323" customFormat="1" ht="12" customHeight="1">
      <c r="B12091" s="324"/>
      <c r="C12091" s="325"/>
      <c r="D12091" s="326"/>
      <c r="E12091" s="326"/>
      <c r="F12091" s="326"/>
      <c r="G12091" s="326"/>
      <c r="H12091" s="326"/>
      <c r="P12091" s="318"/>
      <c r="Q12091" s="318"/>
      <c r="R12091" s="318"/>
      <c r="S12091" s="318"/>
      <c r="T12091" s="318"/>
      <c r="U12091" s="318"/>
      <c r="V12091" s="318"/>
      <c r="W12091" s="318"/>
      <c r="X12091" s="318"/>
      <c r="Y12091" s="318"/>
      <c r="Z12091" s="318"/>
      <c r="AA12091" s="318"/>
      <c r="AB12091" s="318"/>
      <c r="AC12091" s="318"/>
      <c r="AD12091" s="318"/>
    </row>
    <row r="12092" spans="2:30" s="323" customFormat="1" ht="12" customHeight="1">
      <c r="B12092" s="324"/>
      <c r="C12092" s="325"/>
      <c r="D12092" s="326"/>
      <c r="E12092" s="326"/>
      <c r="F12092" s="326"/>
      <c r="G12092" s="326"/>
      <c r="H12092" s="326"/>
      <c r="P12092" s="318"/>
      <c r="Q12092" s="318"/>
      <c r="R12092" s="318"/>
      <c r="S12092" s="318"/>
      <c r="T12092" s="318"/>
      <c r="U12092" s="318"/>
      <c r="V12092" s="318"/>
      <c r="W12092" s="318"/>
      <c r="X12092" s="318"/>
      <c r="Y12092" s="318"/>
      <c r="Z12092" s="318"/>
      <c r="AA12092" s="318"/>
      <c r="AB12092" s="318"/>
      <c r="AC12092" s="318"/>
      <c r="AD12092" s="318"/>
    </row>
    <row r="12093" spans="2:30" s="323" customFormat="1" ht="12" customHeight="1">
      <c r="B12093" s="324"/>
      <c r="C12093" s="325"/>
      <c r="D12093" s="326"/>
      <c r="E12093" s="326"/>
      <c r="F12093" s="326"/>
      <c r="G12093" s="326"/>
      <c r="H12093" s="326"/>
      <c r="P12093" s="318"/>
      <c r="Q12093" s="318"/>
      <c r="R12093" s="318"/>
      <c r="S12093" s="318"/>
      <c r="T12093" s="318"/>
      <c r="U12093" s="318"/>
      <c r="V12093" s="318"/>
      <c r="W12093" s="318"/>
      <c r="X12093" s="318"/>
      <c r="Y12093" s="318"/>
      <c r="Z12093" s="318"/>
      <c r="AA12093" s="318"/>
      <c r="AB12093" s="318"/>
      <c r="AC12093" s="318"/>
      <c r="AD12093" s="318"/>
    </row>
    <row r="12094" spans="2:30" s="323" customFormat="1" ht="12" customHeight="1">
      <c r="B12094" s="324"/>
      <c r="C12094" s="325"/>
      <c r="D12094" s="326"/>
      <c r="E12094" s="326"/>
      <c r="F12094" s="326"/>
      <c r="G12094" s="326"/>
      <c r="H12094" s="326"/>
      <c r="P12094" s="318"/>
      <c r="Q12094" s="318"/>
      <c r="R12094" s="318"/>
      <c r="S12094" s="318"/>
      <c r="T12094" s="318"/>
      <c r="U12094" s="318"/>
      <c r="V12094" s="318"/>
      <c r="W12094" s="318"/>
      <c r="X12094" s="318"/>
      <c r="Y12094" s="318"/>
      <c r="Z12094" s="318"/>
      <c r="AA12094" s="318"/>
      <c r="AB12094" s="318"/>
      <c r="AC12094" s="318"/>
      <c r="AD12094" s="318"/>
    </row>
    <row r="12095" spans="2:30" s="323" customFormat="1" ht="12" customHeight="1">
      <c r="B12095" s="324"/>
      <c r="C12095" s="325"/>
      <c r="D12095" s="326"/>
      <c r="E12095" s="326"/>
      <c r="F12095" s="326"/>
      <c r="G12095" s="326"/>
      <c r="H12095" s="326"/>
      <c r="P12095" s="318"/>
      <c r="Q12095" s="318"/>
      <c r="R12095" s="318"/>
      <c r="S12095" s="318"/>
      <c r="T12095" s="318"/>
      <c r="U12095" s="318"/>
      <c r="V12095" s="318"/>
      <c r="W12095" s="318"/>
      <c r="X12095" s="318"/>
      <c r="Y12095" s="318"/>
      <c r="Z12095" s="318"/>
      <c r="AA12095" s="318"/>
      <c r="AB12095" s="318"/>
      <c r="AC12095" s="318"/>
      <c r="AD12095" s="318"/>
    </row>
    <row r="12096" spans="2:30" s="323" customFormat="1" ht="12" customHeight="1">
      <c r="B12096" s="324"/>
      <c r="C12096" s="325"/>
      <c r="D12096" s="326"/>
      <c r="E12096" s="326"/>
      <c r="F12096" s="326"/>
      <c r="G12096" s="326"/>
      <c r="H12096" s="326"/>
      <c r="P12096" s="318"/>
      <c r="Q12096" s="318"/>
      <c r="R12096" s="318"/>
      <c r="S12096" s="318"/>
      <c r="T12096" s="318"/>
      <c r="U12096" s="318"/>
      <c r="V12096" s="318"/>
      <c r="W12096" s="318"/>
      <c r="X12096" s="318"/>
      <c r="Y12096" s="318"/>
      <c r="Z12096" s="318"/>
      <c r="AA12096" s="318"/>
      <c r="AB12096" s="318"/>
      <c r="AC12096" s="318"/>
      <c r="AD12096" s="318"/>
    </row>
    <row r="12097" spans="2:30" s="323" customFormat="1" ht="12" customHeight="1">
      <c r="B12097" s="324"/>
      <c r="C12097" s="325"/>
      <c r="D12097" s="326"/>
      <c r="E12097" s="326"/>
      <c r="F12097" s="326"/>
      <c r="G12097" s="326"/>
      <c r="H12097" s="326"/>
      <c r="P12097" s="318"/>
      <c r="Q12097" s="318"/>
      <c r="R12097" s="318"/>
      <c r="S12097" s="318"/>
      <c r="T12097" s="318"/>
      <c r="U12097" s="318"/>
      <c r="V12097" s="318"/>
      <c r="W12097" s="318"/>
      <c r="X12097" s="318"/>
      <c r="Y12097" s="318"/>
      <c r="Z12097" s="318"/>
      <c r="AA12097" s="318"/>
      <c r="AB12097" s="318"/>
      <c r="AC12097" s="318"/>
      <c r="AD12097" s="318"/>
    </row>
    <row r="12098" spans="2:30" s="323" customFormat="1" ht="12" customHeight="1">
      <c r="B12098" s="324"/>
      <c r="C12098" s="325"/>
      <c r="D12098" s="326"/>
      <c r="E12098" s="326"/>
      <c r="F12098" s="326"/>
      <c r="G12098" s="326"/>
      <c r="H12098" s="326"/>
      <c r="P12098" s="318"/>
      <c r="Q12098" s="318"/>
      <c r="R12098" s="318"/>
      <c r="S12098" s="318"/>
      <c r="T12098" s="318"/>
      <c r="U12098" s="318"/>
      <c r="V12098" s="318"/>
      <c r="W12098" s="318"/>
      <c r="X12098" s="318"/>
      <c r="Y12098" s="318"/>
      <c r="Z12098" s="318"/>
      <c r="AA12098" s="318"/>
      <c r="AB12098" s="318"/>
      <c r="AC12098" s="318"/>
      <c r="AD12098" s="318"/>
    </row>
    <row r="12099" spans="2:30" s="323" customFormat="1" ht="12" customHeight="1">
      <c r="B12099" s="324"/>
      <c r="C12099" s="325"/>
      <c r="D12099" s="326"/>
      <c r="E12099" s="326"/>
      <c r="F12099" s="326"/>
      <c r="G12099" s="326"/>
      <c r="H12099" s="326"/>
      <c r="P12099" s="318"/>
      <c r="Q12099" s="318"/>
      <c r="R12099" s="318"/>
      <c r="S12099" s="318"/>
      <c r="T12099" s="318"/>
      <c r="U12099" s="318"/>
      <c r="V12099" s="318"/>
      <c r="W12099" s="318"/>
      <c r="X12099" s="318"/>
      <c r="Y12099" s="318"/>
      <c r="Z12099" s="318"/>
      <c r="AA12099" s="318"/>
      <c r="AB12099" s="318"/>
      <c r="AC12099" s="318"/>
      <c r="AD12099" s="318"/>
    </row>
    <row r="12100" spans="2:30" s="323" customFormat="1" ht="12" customHeight="1">
      <c r="B12100" s="324"/>
      <c r="C12100" s="325"/>
      <c r="D12100" s="326"/>
      <c r="E12100" s="326"/>
      <c r="F12100" s="326"/>
      <c r="G12100" s="326"/>
      <c r="H12100" s="326"/>
      <c r="P12100" s="318"/>
      <c r="Q12100" s="318"/>
      <c r="R12100" s="318"/>
      <c r="S12100" s="318"/>
      <c r="T12100" s="318"/>
      <c r="U12100" s="318"/>
      <c r="V12100" s="318"/>
      <c r="W12100" s="318"/>
      <c r="X12100" s="318"/>
      <c r="Y12100" s="318"/>
      <c r="Z12100" s="318"/>
      <c r="AA12100" s="318"/>
      <c r="AB12100" s="318"/>
      <c r="AC12100" s="318"/>
      <c r="AD12100" s="318"/>
    </row>
    <row r="12101" spans="2:30" s="323" customFormat="1" ht="12" customHeight="1">
      <c r="B12101" s="324"/>
      <c r="C12101" s="325"/>
      <c r="D12101" s="326"/>
      <c r="E12101" s="326"/>
      <c r="F12101" s="326"/>
      <c r="G12101" s="326"/>
      <c r="H12101" s="326"/>
      <c r="P12101" s="318"/>
      <c r="Q12101" s="318"/>
      <c r="R12101" s="318"/>
      <c r="S12101" s="318"/>
      <c r="T12101" s="318"/>
      <c r="U12101" s="318"/>
      <c r="V12101" s="318"/>
      <c r="W12101" s="318"/>
      <c r="X12101" s="318"/>
      <c r="Y12101" s="318"/>
      <c r="Z12101" s="318"/>
      <c r="AA12101" s="318"/>
      <c r="AB12101" s="318"/>
      <c r="AC12101" s="318"/>
      <c r="AD12101" s="318"/>
    </row>
    <row r="12102" spans="2:30" s="323" customFormat="1" ht="12" customHeight="1">
      <c r="B12102" s="324"/>
      <c r="C12102" s="325"/>
      <c r="D12102" s="326"/>
      <c r="E12102" s="326"/>
      <c r="F12102" s="326"/>
      <c r="G12102" s="326"/>
      <c r="H12102" s="326"/>
      <c r="P12102" s="318"/>
      <c r="Q12102" s="318"/>
      <c r="R12102" s="318"/>
      <c r="S12102" s="318"/>
      <c r="T12102" s="318"/>
      <c r="U12102" s="318"/>
      <c r="V12102" s="318"/>
      <c r="W12102" s="318"/>
      <c r="X12102" s="318"/>
      <c r="Y12102" s="318"/>
      <c r="Z12102" s="318"/>
      <c r="AA12102" s="318"/>
      <c r="AB12102" s="318"/>
      <c r="AC12102" s="318"/>
      <c r="AD12102" s="318"/>
    </row>
    <row r="12103" spans="2:30" s="323" customFormat="1" ht="12" customHeight="1">
      <c r="B12103" s="324"/>
      <c r="C12103" s="325"/>
      <c r="D12103" s="326"/>
      <c r="E12103" s="326"/>
      <c r="F12103" s="326"/>
      <c r="G12103" s="326"/>
      <c r="H12103" s="326"/>
      <c r="P12103" s="318"/>
      <c r="Q12103" s="318"/>
      <c r="R12103" s="318"/>
      <c r="S12103" s="318"/>
      <c r="T12103" s="318"/>
      <c r="U12103" s="318"/>
      <c r="V12103" s="318"/>
      <c r="W12103" s="318"/>
      <c r="X12103" s="318"/>
      <c r="Y12103" s="318"/>
      <c r="Z12103" s="318"/>
      <c r="AA12103" s="318"/>
      <c r="AB12103" s="318"/>
      <c r="AC12103" s="318"/>
      <c r="AD12103" s="318"/>
    </row>
    <row r="12104" spans="2:30" s="323" customFormat="1" ht="12" customHeight="1">
      <c r="B12104" s="324"/>
      <c r="C12104" s="325"/>
      <c r="D12104" s="326"/>
      <c r="E12104" s="326"/>
      <c r="F12104" s="326"/>
      <c r="G12104" s="326"/>
      <c r="H12104" s="326"/>
      <c r="P12104" s="318"/>
      <c r="Q12104" s="318"/>
      <c r="R12104" s="318"/>
      <c r="S12104" s="318"/>
      <c r="T12104" s="318"/>
      <c r="U12104" s="318"/>
      <c r="V12104" s="318"/>
      <c r="W12104" s="318"/>
      <c r="X12104" s="318"/>
      <c r="Y12104" s="318"/>
      <c r="Z12104" s="318"/>
      <c r="AA12104" s="318"/>
      <c r="AB12104" s="318"/>
      <c r="AC12104" s="318"/>
      <c r="AD12104" s="318"/>
    </row>
    <row r="12105" spans="2:30" s="323" customFormat="1" ht="12" customHeight="1">
      <c r="B12105" s="324"/>
      <c r="C12105" s="325"/>
      <c r="D12105" s="326"/>
      <c r="E12105" s="326"/>
      <c r="F12105" s="326"/>
      <c r="G12105" s="326"/>
      <c r="H12105" s="326"/>
      <c r="P12105" s="318"/>
      <c r="Q12105" s="318"/>
      <c r="R12105" s="318"/>
      <c r="S12105" s="318"/>
      <c r="T12105" s="318"/>
      <c r="U12105" s="318"/>
      <c r="V12105" s="318"/>
      <c r="W12105" s="318"/>
      <c r="X12105" s="318"/>
      <c r="Y12105" s="318"/>
      <c r="Z12105" s="318"/>
      <c r="AA12105" s="318"/>
      <c r="AB12105" s="318"/>
      <c r="AC12105" s="318"/>
      <c r="AD12105" s="318"/>
    </row>
    <row r="12106" spans="2:30" s="323" customFormat="1" ht="12" customHeight="1">
      <c r="B12106" s="324"/>
      <c r="C12106" s="325"/>
      <c r="D12106" s="326"/>
      <c r="E12106" s="326"/>
      <c r="F12106" s="326"/>
      <c r="G12106" s="326"/>
      <c r="H12106" s="326"/>
      <c r="P12106" s="318"/>
      <c r="Q12106" s="318"/>
      <c r="R12106" s="318"/>
      <c r="S12106" s="318"/>
      <c r="T12106" s="318"/>
      <c r="U12106" s="318"/>
      <c r="V12106" s="318"/>
      <c r="W12106" s="318"/>
      <c r="X12106" s="318"/>
      <c r="Y12106" s="318"/>
      <c r="Z12106" s="318"/>
      <c r="AA12106" s="318"/>
      <c r="AB12106" s="318"/>
      <c r="AC12106" s="318"/>
      <c r="AD12106" s="318"/>
    </row>
    <row r="12107" spans="2:30" s="323" customFormat="1" ht="12" customHeight="1">
      <c r="B12107" s="324"/>
      <c r="C12107" s="325"/>
      <c r="D12107" s="326"/>
      <c r="E12107" s="326"/>
      <c r="F12107" s="326"/>
      <c r="G12107" s="326"/>
      <c r="H12107" s="326"/>
      <c r="P12107" s="318"/>
      <c r="Q12107" s="318"/>
      <c r="R12107" s="318"/>
      <c r="S12107" s="318"/>
      <c r="T12107" s="318"/>
      <c r="U12107" s="318"/>
      <c r="V12107" s="318"/>
      <c r="W12107" s="318"/>
      <c r="X12107" s="318"/>
      <c r="Y12107" s="318"/>
      <c r="Z12107" s="318"/>
      <c r="AA12107" s="318"/>
      <c r="AB12107" s="318"/>
      <c r="AC12107" s="318"/>
      <c r="AD12107" s="318"/>
    </row>
    <row r="12108" spans="2:30" s="323" customFormat="1" ht="12" customHeight="1">
      <c r="B12108" s="324"/>
      <c r="C12108" s="325"/>
      <c r="D12108" s="326"/>
      <c r="E12108" s="326"/>
      <c r="F12108" s="326"/>
      <c r="G12108" s="326"/>
      <c r="H12108" s="326"/>
      <c r="P12108" s="318"/>
      <c r="Q12108" s="318"/>
      <c r="R12108" s="318"/>
      <c r="S12108" s="318"/>
      <c r="T12108" s="318"/>
      <c r="U12108" s="318"/>
      <c r="V12108" s="318"/>
      <c r="W12108" s="318"/>
      <c r="X12108" s="318"/>
      <c r="Y12108" s="318"/>
      <c r="Z12108" s="318"/>
      <c r="AA12108" s="318"/>
      <c r="AB12108" s="318"/>
      <c r="AC12108" s="318"/>
      <c r="AD12108" s="318"/>
    </row>
    <row r="12109" spans="2:30" s="323" customFormat="1" ht="12" customHeight="1">
      <c r="B12109" s="324"/>
      <c r="C12109" s="325"/>
      <c r="D12109" s="326"/>
      <c r="E12109" s="326"/>
      <c r="F12109" s="326"/>
      <c r="G12109" s="326"/>
      <c r="H12109" s="326"/>
      <c r="P12109" s="318"/>
      <c r="Q12109" s="318"/>
      <c r="R12109" s="318"/>
      <c r="S12109" s="318"/>
      <c r="T12109" s="318"/>
      <c r="U12109" s="318"/>
      <c r="V12109" s="318"/>
      <c r="W12109" s="318"/>
      <c r="X12109" s="318"/>
      <c r="Y12109" s="318"/>
      <c r="Z12109" s="318"/>
      <c r="AA12109" s="318"/>
      <c r="AB12109" s="318"/>
      <c r="AC12109" s="318"/>
      <c r="AD12109" s="318"/>
    </row>
    <row r="12110" spans="2:30" s="323" customFormat="1" ht="12" customHeight="1">
      <c r="B12110" s="324"/>
      <c r="C12110" s="325"/>
      <c r="D12110" s="326"/>
      <c r="E12110" s="326"/>
      <c r="F12110" s="326"/>
      <c r="G12110" s="326"/>
      <c r="H12110" s="326"/>
      <c r="P12110" s="318"/>
      <c r="Q12110" s="318"/>
      <c r="R12110" s="318"/>
      <c r="S12110" s="318"/>
      <c r="T12110" s="318"/>
      <c r="U12110" s="318"/>
      <c r="V12110" s="318"/>
      <c r="W12110" s="318"/>
      <c r="X12110" s="318"/>
      <c r="Y12110" s="318"/>
      <c r="Z12110" s="318"/>
      <c r="AA12110" s="318"/>
      <c r="AB12110" s="318"/>
      <c r="AC12110" s="318"/>
      <c r="AD12110" s="318"/>
    </row>
    <row r="12111" spans="2:30" s="323" customFormat="1" ht="12" customHeight="1">
      <c r="B12111" s="324"/>
      <c r="C12111" s="325"/>
      <c r="D12111" s="326"/>
      <c r="E12111" s="326"/>
      <c r="F12111" s="326"/>
      <c r="G12111" s="326"/>
      <c r="H12111" s="326"/>
      <c r="P12111" s="318"/>
      <c r="Q12111" s="318"/>
      <c r="R12111" s="318"/>
      <c r="S12111" s="318"/>
      <c r="T12111" s="318"/>
      <c r="U12111" s="318"/>
      <c r="V12111" s="318"/>
      <c r="W12111" s="318"/>
      <c r="X12111" s="318"/>
      <c r="Y12111" s="318"/>
      <c r="Z12111" s="318"/>
      <c r="AA12111" s="318"/>
      <c r="AB12111" s="318"/>
      <c r="AC12111" s="318"/>
      <c r="AD12111" s="318"/>
    </row>
    <row r="12112" spans="2:30" s="323" customFormat="1" ht="12" customHeight="1">
      <c r="B12112" s="324"/>
      <c r="C12112" s="325"/>
      <c r="D12112" s="326"/>
      <c r="E12112" s="326"/>
      <c r="F12112" s="326"/>
      <c r="G12112" s="326"/>
      <c r="H12112" s="326"/>
      <c r="P12112" s="318"/>
      <c r="Q12112" s="318"/>
      <c r="R12112" s="318"/>
      <c r="S12112" s="318"/>
      <c r="T12112" s="318"/>
      <c r="U12112" s="318"/>
      <c r="V12112" s="318"/>
      <c r="W12112" s="318"/>
      <c r="X12112" s="318"/>
      <c r="Y12112" s="318"/>
      <c r="Z12112" s="318"/>
      <c r="AA12112" s="318"/>
      <c r="AB12112" s="318"/>
      <c r="AC12112" s="318"/>
      <c r="AD12112" s="318"/>
    </row>
    <row r="12113" spans="2:30" s="323" customFormat="1" ht="12" customHeight="1">
      <c r="B12113" s="324"/>
      <c r="C12113" s="325"/>
      <c r="D12113" s="326"/>
      <c r="E12113" s="326"/>
      <c r="F12113" s="326"/>
      <c r="G12113" s="326"/>
      <c r="H12113" s="326"/>
      <c r="P12113" s="318"/>
      <c r="Q12113" s="318"/>
      <c r="R12113" s="318"/>
      <c r="S12113" s="318"/>
      <c r="T12113" s="318"/>
      <c r="U12113" s="318"/>
      <c r="V12113" s="318"/>
      <c r="W12113" s="318"/>
      <c r="X12113" s="318"/>
      <c r="Y12113" s="318"/>
      <c r="Z12113" s="318"/>
      <c r="AA12113" s="318"/>
      <c r="AB12113" s="318"/>
      <c r="AC12113" s="318"/>
      <c r="AD12113" s="318"/>
    </row>
    <row r="12114" spans="2:30" s="323" customFormat="1" ht="12" customHeight="1">
      <c r="B12114" s="324"/>
      <c r="C12114" s="325"/>
      <c r="D12114" s="326"/>
      <c r="E12114" s="326"/>
      <c r="F12114" s="326"/>
      <c r="G12114" s="326"/>
      <c r="H12114" s="326"/>
      <c r="P12114" s="318"/>
      <c r="Q12114" s="318"/>
      <c r="R12114" s="318"/>
      <c r="S12114" s="318"/>
      <c r="T12114" s="318"/>
      <c r="U12114" s="318"/>
      <c r="V12114" s="318"/>
      <c r="W12114" s="318"/>
      <c r="X12114" s="318"/>
      <c r="Y12114" s="318"/>
      <c r="Z12114" s="318"/>
      <c r="AA12114" s="318"/>
      <c r="AB12114" s="318"/>
      <c r="AC12114" s="318"/>
      <c r="AD12114" s="318"/>
    </row>
    <row r="12115" spans="2:30" s="323" customFormat="1" ht="12" customHeight="1">
      <c r="B12115" s="324"/>
      <c r="C12115" s="325"/>
      <c r="D12115" s="326"/>
      <c r="E12115" s="326"/>
      <c r="F12115" s="326"/>
      <c r="G12115" s="326"/>
      <c r="H12115" s="326"/>
      <c r="P12115" s="318"/>
      <c r="Q12115" s="318"/>
      <c r="R12115" s="318"/>
      <c r="S12115" s="318"/>
      <c r="T12115" s="318"/>
      <c r="U12115" s="318"/>
      <c r="V12115" s="318"/>
      <c r="W12115" s="318"/>
      <c r="X12115" s="318"/>
      <c r="Y12115" s="318"/>
      <c r="Z12115" s="318"/>
      <c r="AA12115" s="318"/>
      <c r="AB12115" s="318"/>
      <c r="AC12115" s="318"/>
      <c r="AD12115" s="318"/>
    </row>
    <row r="12116" spans="2:30" s="323" customFormat="1" ht="12" customHeight="1">
      <c r="B12116" s="324"/>
      <c r="C12116" s="325"/>
      <c r="D12116" s="326"/>
      <c r="E12116" s="326"/>
      <c r="F12116" s="326"/>
      <c r="G12116" s="326"/>
      <c r="H12116" s="326"/>
      <c r="P12116" s="318"/>
      <c r="Q12116" s="318"/>
      <c r="R12116" s="318"/>
      <c r="S12116" s="318"/>
      <c r="T12116" s="318"/>
      <c r="U12116" s="318"/>
      <c r="V12116" s="318"/>
      <c r="W12116" s="318"/>
      <c r="X12116" s="318"/>
      <c r="Y12116" s="318"/>
      <c r="Z12116" s="318"/>
      <c r="AA12116" s="318"/>
      <c r="AB12116" s="318"/>
      <c r="AC12116" s="318"/>
      <c r="AD12116" s="318"/>
    </row>
    <row r="12117" spans="2:30" s="323" customFormat="1" ht="12" customHeight="1">
      <c r="B12117" s="324"/>
      <c r="C12117" s="325"/>
      <c r="D12117" s="326"/>
      <c r="E12117" s="326"/>
      <c r="F12117" s="326"/>
      <c r="G12117" s="326"/>
      <c r="H12117" s="326"/>
      <c r="P12117" s="318"/>
      <c r="Q12117" s="318"/>
      <c r="R12117" s="318"/>
      <c r="S12117" s="318"/>
      <c r="T12117" s="318"/>
      <c r="U12117" s="318"/>
      <c r="V12117" s="318"/>
      <c r="W12117" s="318"/>
      <c r="X12117" s="318"/>
      <c r="Y12117" s="318"/>
      <c r="Z12117" s="318"/>
      <c r="AA12117" s="318"/>
      <c r="AB12117" s="318"/>
      <c r="AC12117" s="318"/>
      <c r="AD12117" s="318"/>
    </row>
    <row r="12118" spans="2:30" s="323" customFormat="1" ht="12" customHeight="1">
      <c r="B12118" s="324"/>
      <c r="C12118" s="325"/>
      <c r="D12118" s="326"/>
      <c r="E12118" s="326"/>
      <c r="F12118" s="326"/>
      <c r="G12118" s="326"/>
      <c r="H12118" s="326"/>
      <c r="P12118" s="318"/>
      <c r="Q12118" s="318"/>
      <c r="R12118" s="318"/>
      <c r="S12118" s="318"/>
      <c r="T12118" s="318"/>
      <c r="U12118" s="318"/>
      <c r="V12118" s="318"/>
      <c r="W12118" s="318"/>
      <c r="X12118" s="318"/>
      <c r="Y12118" s="318"/>
      <c r="Z12118" s="318"/>
      <c r="AA12118" s="318"/>
      <c r="AB12118" s="318"/>
      <c r="AC12118" s="318"/>
      <c r="AD12118" s="318"/>
    </row>
    <row r="12119" spans="2:30" s="323" customFormat="1" ht="12" customHeight="1">
      <c r="B12119" s="324"/>
      <c r="C12119" s="325"/>
      <c r="D12119" s="326"/>
      <c r="E12119" s="326"/>
      <c r="F12119" s="326"/>
      <c r="G12119" s="326"/>
      <c r="H12119" s="326"/>
      <c r="P12119" s="318"/>
      <c r="Q12119" s="318"/>
      <c r="R12119" s="318"/>
      <c r="S12119" s="318"/>
      <c r="T12119" s="318"/>
      <c r="U12119" s="318"/>
      <c r="V12119" s="318"/>
      <c r="W12119" s="318"/>
      <c r="X12119" s="318"/>
      <c r="Y12119" s="318"/>
      <c r="Z12119" s="318"/>
      <c r="AA12119" s="318"/>
      <c r="AB12119" s="318"/>
      <c r="AC12119" s="318"/>
      <c r="AD12119" s="318"/>
    </row>
    <row r="12120" spans="2:30" s="323" customFormat="1" ht="12" customHeight="1">
      <c r="B12120" s="324"/>
      <c r="C12120" s="325"/>
      <c r="D12120" s="326"/>
      <c r="E12120" s="326"/>
      <c r="F12120" s="326"/>
      <c r="G12120" s="326"/>
      <c r="H12120" s="326"/>
      <c r="P12120" s="318"/>
      <c r="Q12120" s="318"/>
      <c r="R12120" s="318"/>
      <c r="S12120" s="318"/>
      <c r="T12120" s="318"/>
      <c r="U12120" s="318"/>
      <c r="V12120" s="318"/>
      <c r="W12120" s="318"/>
      <c r="X12120" s="318"/>
      <c r="Y12120" s="318"/>
      <c r="Z12120" s="318"/>
      <c r="AA12120" s="318"/>
      <c r="AB12120" s="318"/>
      <c r="AC12120" s="318"/>
      <c r="AD12120" s="318"/>
    </row>
    <row r="12121" spans="2:30" s="323" customFormat="1" ht="12" customHeight="1">
      <c r="B12121" s="324"/>
      <c r="C12121" s="325"/>
      <c r="D12121" s="326"/>
      <c r="E12121" s="326"/>
      <c r="F12121" s="326"/>
      <c r="G12121" s="326"/>
      <c r="H12121" s="326"/>
      <c r="P12121" s="318"/>
      <c r="Q12121" s="318"/>
      <c r="R12121" s="318"/>
      <c r="S12121" s="318"/>
      <c r="T12121" s="318"/>
      <c r="U12121" s="318"/>
      <c r="V12121" s="318"/>
      <c r="W12121" s="318"/>
      <c r="X12121" s="318"/>
      <c r="Y12121" s="318"/>
      <c r="Z12121" s="318"/>
      <c r="AA12121" s="318"/>
      <c r="AB12121" s="318"/>
      <c r="AC12121" s="318"/>
      <c r="AD12121" s="318"/>
    </row>
    <row r="12122" spans="2:30" s="323" customFormat="1" ht="12" customHeight="1">
      <c r="B12122" s="324"/>
      <c r="C12122" s="325"/>
      <c r="D12122" s="326"/>
      <c r="E12122" s="326"/>
      <c r="F12122" s="326"/>
      <c r="G12122" s="326"/>
      <c r="H12122" s="326"/>
      <c r="P12122" s="318"/>
      <c r="Q12122" s="318"/>
      <c r="R12122" s="318"/>
      <c r="S12122" s="318"/>
      <c r="T12122" s="318"/>
      <c r="U12122" s="318"/>
      <c r="V12122" s="318"/>
      <c r="W12122" s="318"/>
      <c r="X12122" s="318"/>
      <c r="Y12122" s="318"/>
      <c r="Z12122" s="318"/>
      <c r="AA12122" s="318"/>
      <c r="AB12122" s="318"/>
      <c r="AC12122" s="318"/>
      <c r="AD12122" s="318"/>
    </row>
    <row r="12123" spans="2:30" s="323" customFormat="1" ht="12" customHeight="1">
      <c r="B12123" s="324"/>
      <c r="C12123" s="325"/>
      <c r="D12123" s="326"/>
      <c r="E12123" s="326"/>
      <c r="F12123" s="326"/>
      <c r="G12123" s="326"/>
      <c r="H12123" s="326"/>
      <c r="P12123" s="318"/>
      <c r="Q12123" s="318"/>
      <c r="R12123" s="318"/>
      <c r="S12123" s="318"/>
      <c r="T12123" s="318"/>
      <c r="U12123" s="318"/>
      <c r="V12123" s="318"/>
      <c r="W12123" s="318"/>
      <c r="X12123" s="318"/>
      <c r="Y12123" s="318"/>
      <c r="Z12123" s="318"/>
      <c r="AA12123" s="318"/>
      <c r="AB12123" s="318"/>
      <c r="AC12123" s="318"/>
      <c r="AD12123" s="318"/>
    </row>
    <row r="12124" spans="2:30" s="323" customFormat="1" ht="12" customHeight="1">
      <c r="B12124" s="324"/>
      <c r="C12124" s="325"/>
      <c r="D12124" s="326"/>
      <c r="E12124" s="326"/>
      <c r="F12124" s="326"/>
      <c r="G12124" s="326"/>
      <c r="H12124" s="326"/>
      <c r="P12124" s="318"/>
      <c r="Q12124" s="318"/>
      <c r="R12124" s="318"/>
      <c r="S12124" s="318"/>
      <c r="T12124" s="318"/>
      <c r="U12124" s="318"/>
      <c r="V12124" s="318"/>
      <c r="W12124" s="318"/>
      <c r="X12124" s="318"/>
      <c r="Y12124" s="318"/>
      <c r="Z12124" s="318"/>
      <c r="AA12124" s="318"/>
      <c r="AB12124" s="318"/>
      <c r="AC12124" s="318"/>
      <c r="AD12124" s="318"/>
    </row>
    <row r="12125" spans="2:30" s="323" customFormat="1" ht="12" customHeight="1">
      <c r="B12125" s="324"/>
      <c r="C12125" s="325"/>
      <c r="D12125" s="326"/>
      <c r="E12125" s="326"/>
      <c r="F12125" s="326"/>
      <c r="G12125" s="326"/>
      <c r="H12125" s="326"/>
      <c r="P12125" s="318"/>
      <c r="Q12125" s="318"/>
      <c r="R12125" s="318"/>
      <c r="S12125" s="318"/>
      <c r="T12125" s="318"/>
      <c r="U12125" s="318"/>
      <c r="V12125" s="318"/>
      <c r="W12125" s="318"/>
      <c r="X12125" s="318"/>
      <c r="Y12125" s="318"/>
      <c r="Z12125" s="318"/>
      <c r="AA12125" s="318"/>
      <c r="AB12125" s="318"/>
      <c r="AC12125" s="318"/>
      <c r="AD12125" s="318"/>
    </row>
    <row r="12126" spans="2:30" s="323" customFormat="1" ht="12" customHeight="1">
      <c r="B12126" s="324"/>
      <c r="C12126" s="325"/>
      <c r="D12126" s="326"/>
      <c r="E12126" s="326"/>
      <c r="F12126" s="326"/>
      <c r="G12126" s="326"/>
      <c r="H12126" s="326"/>
      <c r="P12126" s="318"/>
      <c r="Q12126" s="318"/>
      <c r="R12126" s="318"/>
      <c r="S12126" s="318"/>
      <c r="T12126" s="318"/>
      <c r="U12126" s="318"/>
      <c r="V12126" s="318"/>
      <c r="W12126" s="318"/>
      <c r="X12126" s="318"/>
      <c r="Y12126" s="318"/>
      <c r="Z12126" s="318"/>
      <c r="AA12126" s="318"/>
      <c r="AB12126" s="318"/>
      <c r="AC12126" s="318"/>
      <c r="AD12126" s="318"/>
    </row>
    <row r="12127" spans="2:30" s="323" customFormat="1" ht="12" customHeight="1">
      <c r="B12127" s="324"/>
      <c r="C12127" s="325"/>
      <c r="D12127" s="326"/>
      <c r="E12127" s="326"/>
      <c r="F12127" s="326"/>
      <c r="G12127" s="326"/>
      <c r="H12127" s="326"/>
      <c r="P12127" s="318"/>
      <c r="Q12127" s="318"/>
      <c r="R12127" s="318"/>
      <c r="S12127" s="318"/>
      <c r="T12127" s="318"/>
      <c r="U12127" s="318"/>
      <c r="V12127" s="318"/>
      <c r="W12127" s="318"/>
      <c r="X12127" s="318"/>
      <c r="Y12127" s="318"/>
      <c r="Z12127" s="318"/>
      <c r="AA12127" s="318"/>
      <c r="AB12127" s="318"/>
      <c r="AC12127" s="318"/>
      <c r="AD12127" s="318"/>
    </row>
    <row r="12128" spans="2:30" s="323" customFormat="1" ht="12" customHeight="1">
      <c r="B12128" s="324"/>
      <c r="C12128" s="325"/>
      <c r="D12128" s="326"/>
      <c r="E12128" s="326"/>
      <c r="F12128" s="326"/>
      <c r="G12128" s="326"/>
      <c r="H12128" s="326"/>
      <c r="P12128" s="318"/>
      <c r="Q12128" s="318"/>
      <c r="R12128" s="318"/>
      <c r="S12128" s="318"/>
      <c r="T12128" s="318"/>
      <c r="U12128" s="318"/>
      <c r="V12128" s="318"/>
      <c r="W12128" s="318"/>
      <c r="X12128" s="318"/>
      <c r="Y12128" s="318"/>
      <c r="Z12128" s="318"/>
      <c r="AA12128" s="318"/>
      <c r="AB12128" s="318"/>
      <c r="AC12128" s="318"/>
      <c r="AD12128" s="318"/>
    </row>
    <row r="12129" spans="2:30" s="323" customFormat="1" ht="12" customHeight="1">
      <c r="B12129" s="324"/>
      <c r="C12129" s="325"/>
      <c r="D12129" s="326"/>
      <c r="E12129" s="326"/>
      <c r="F12129" s="326"/>
      <c r="G12129" s="326"/>
      <c r="H12129" s="326"/>
      <c r="P12129" s="318"/>
      <c r="Q12129" s="318"/>
      <c r="R12129" s="318"/>
      <c r="S12129" s="318"/>
      <c r="T12129" s="318"/>
      <c r="U12129" s="318"/>
      <c r="V12129" s="318"/>
      <c r="W12129" s="318"/>
      <c r="X12129" s="318"/>
      <c r="Y12129" s="318"/>
      <c r="Z12129" s="318"/>
      <c r="AA12129" s="318"/>
      <c r="AB12129" s="318"/>
      <c r="AC12129" s="318"/>
      <c r="AD12129" s="318"/>
    </row>
    <row r="12130" spans="2:30" s="323" customFormat="1" ht="12" customHeight="1">
      <c r="B12130" s="324"/>
      <c r="C12130" s="325"/>
      <c r="D12130" s="326"/>
      <c r="E12130" s="326"/>
      <c r="F12130" s="326"/>
      <c r="G12130" s="326"/>
      <c r="H12130" s="326"/>
      <c r="P12130" s="318"/>
      <c r="Q12130" s="318"/>
      <c r="R12130" s="318"/>
      <c r="S12130" s="318"/>
      <c r="T12130" s="318"/>
      <c r="U12130" s="318"/>
      <c r="V12130" s="318"/>
      <c r="W12130" s="318"/>
      <c r="X12130" s="318"/>
      <c r="Y12130" s="318"/>
      <c r="Z12130" s="318"/>
      <c r="AA12130" s="318"/>
      <c r="AB12130" s="318"/>
      <c r="AC12130" s="318"/>
      <c r="AD12130" s="318"/>
    </row>
    <row r="12131" spans="2:30" s="323" customFormat="1" ht="12" customHeight="1">
      <c r="B12131" s="324"/>
      <c r="C12131" s="325"/>
      <c r="D12131" s="326"/>
      <c r="E12131" s="326"/>
      <c r="F12131" s="326"/>
      <c r="G12131" s="326"/>
      <c r="H12131" s="326"/>
      <c r="P12131" s="318"/>
      <c r="Q12131" s="318"/>
      <c r="R12131" s="318"/>
      <c r="S12131" s="318"/>
      <c r="T12131" s="318"/>
      <c r="U12131" s="318"/>
      <c r="V12131" s="318"/>
      <c r="W12131" s="318"/>
      <c r="X12131" s="318"/>
      <c r="Y12131" s="318"/>
      <c r="Z12131" s="318"/>
      <c r="AA12131" s="318"/>
      <c r="AB12131" s="318"/>
      <c r="AC12131" s="318"/>
      <c r="AD12131" s="318"/>
    </row>
    <row r="12132" spans="2:30" s="323" customFormat="1" ht="12" customHeight="1">
      <c r="B12132" s="324"/>
      <c r="C12132" s="325"/>
      <c r="D12132" s="326"/>
      <c r="E12132" s="326"/>
      <c r="F12132" s="326"/>
      <c r="G12132" s="326"/>
      <c r="H12132" s="326"/>
      <c r="P12132" s="318"/>
      <c r="Q12132" s="318"/>
      <c r="R12132" s="318"/>
      <c r="S12132" s="318"/>
      <c r="T12132" s="318"/>
      <c r="U12132" s="318"/>
      <c r="V12132" s="318"/>
      <c r="W12132" s="318"/>
      <c r="X12132" s="318"/>
      <c r="Y12132" s="318"/>
      <c r="Z12132" s="318"/>
      <c r="AA12132" s="318"/>
      <c r="AB12132" s="318"/>
      <c r="AC12132" s="318"/>
      <c r="AD12132" s="318"/>
    </row>
    <row r="12133" spans="2:30" s="323" customFormat="1" ht="12" customHeight="1">
      <c r="B12133" s="324"/>
      <c r="C12133" s="325"/>
      <c r="D12133" s="326"/>
      <c r="E12133" s="326"/>
      <c r="F12133" s="326"/>
      <c r="G12133" s="326"/>
      <c r="H12133" s="326"/>
      <c r="P12133" s="318"/>
      <c r="Q12133" s="318"/>
      <c r="R12133" s="318"/>
      <c r="S12133" s="318"/>
      <c r="T12133" s="318"/>
      <c r="U12133" s="318"/>
      <c r="V12133" s="318"/>
      <c r="W12133" s="318"/>
      <c r="X12133" s="318"/>
      <c r="Y12133" s="318"/>
      <c r="Z12133" s="318"/>
      <c r="AA12133" s="318"/>
      <c r="AB12133" s="318"/>
      <c r="AC12133" s="318"/>
      <c r="AD12133" s="318"/>
    </row>
    <row r="12134" spans="2:30" s="323" customFormat="1" ht="12" customHeight="1">
      <c r="B12134" s="324"/>
      <c r="C12134" s="325"/>
      <c r="D12134" s="326"/>
      <c r="E12134" s="326"/>
      <c r="F12134" s="326"/>
      <c r="G12134" s="326"/>
      <c r="H12134" s="326"/>
      <c r="P12134" s="318"/>
      <c r="Q12134" s="318"/>
      <c r="R12134" s="318"/>
      <c r="S12134" s="318"/>
      <c r="T12134" s="318"/>
      <c r="U12134" s="318"/>
      <c r="V12134" s="318"/>
      <c r="W12134" s="318"/>
      <c r="X12134" s="318"/>
      <c r="Y12134" s="318"/>
      <c r="Z12134" s="318"/>
      <c r="AA12134" s="318"/>
      <c r="AB12134" s="318"/>
      <c r="AC12134" s="318"/>
      <c r="AD12134" s="318"/>
    </row>
    <row r="12135" spans="2:30" s="323" customFormat="1" ht="12" customHeight="1">
      <c r="B12135" s="324"/>
      <c r="C12135" s="325"/>
      <c r="D12135" s="326"/>
      <c r="E12135" s="326"/>
      <c r="F12135" s="326"/>
      <c r="G12135" s="326"/>
      <c r="H12135" s="326"/>
      <c r="P12135" s="318"/>
      <c r="Q12135" s="318"/>
      <c r="R12135" s="318"/>
      <c r="S12135" s="318"/>
      <c r="T12135" s="318"/>
      <c r="U12135" s="318"/>
      <c r="V12135" s="318"/>
      <c r="W12135" s="318"/>
      <c r="X12135" s="318"/>
      <c r="Y12135" s="318"/>
      <c r="Z12135" s="318"/>
      <c r="AA12135" s="318"/>
      <c r="AB12135" s="318"/>
      <c r="AC12135" s="318"/>
      <c r="AD12135" s="318"/>
    </row>
    <row r="12136" spans="2:30" s="323" customFormat="1" ht="12" customHeight="1">
      <c r="B12136" s="324"/>
      <c r="C12136" s="325"/>
      <c r="D12136" s="326"/>
      <c r="E12136" s="326"/>
      <c r="F12136" s="326"/>
      <c r="G12136" s="326"/>
      <c r="H12136" s="326"/>
      <c r="P12136" s="318"/>
      <c r="Q12136" s="318"/>
      <c r="R12136" s="318"/>
      <c r="S12136" s="318"/>
      <c r="T12136" s="318"/>
      <c r="U12136" s="318"/>
      <c r="V12136" s="318"/>
      <c r="W12136" s="318"/>
      <c r="X12136" s="318"/>
      <c r="Y12136" s="318"/>
      <c r="Z12136" s="318"/>
      <c r="AA12136" s="318"/>
      <c r="AB12136" s="318"/>
      <c r="AC12136" s="318"/>
      <c r="AD12136" s="318"/>
    </row>
    <row r="12137" spans="2:30" s="323" customFormat="1" ht="12" customHeight="1">
      <c r="B12137" s="324"/>
      <c r="C12137" s="325"/>
      <c r="D12137" s="326"/>
      <c r="E12137" s="326"/>
      <c r="F12137" s="326"/>
      <c r="G12137" s="326"/>
      <c r="H12137" s="326"/>
      <c r="P12137" s="318"/>
      <c r="Q12137" s="318"/>
      <c r="R12137" s="318"/>
      <c r="S12137" s="318"/>
      <c r="T12137" s="318"/>
      <c r="U12137" s="318"/>
      <c r="V12137" s="318"/>
      <c r="W12137" s="318"/>
      <c r="X12137" s="318"/>
      <c r="Y12137" s="318"/>
      <c r="Z12137" s="318"/>
      <c r="AA12137" s="318"/>
      <c r="AB12137" s="318"/>
      <c r="AC12137" s="318"/>
      <c r="AD12137" s="318"/>
    </row>
    <row r="12138" spans="2:30" s="323" customFormat="1" ht="12" customHeight="1">
      <c r="B12138" s="324"/>
      <c r="C12138" s="325"/>
      <c r="D12138" s="326"/>
      <c r="E12138" s="326"/>
      <c r="F12138" s="326"/>
      <c r="G12138" s="326"/>
      <c r="H12138" s="326"/>
      <c r="P12138" s="318"/>
      <c r="Q12138" s="318"/>
      <c r="R12138" s="318"/>
      <c r="S12138" s="318"/>
      <c r="T12138" s="318"/>
      <c r="U12138" s="318"/>
      <c r="V12138" s="318"/>
      <c r="W12138" s="318"/>
      <c r="X12138" s="318"/>
      <c r="Y12138" s="318"/>
      <c r="Z12138" s="318"/>
      <c r="AA12138" s="318"/>
      <c r="AB12138" s="318"/>
      <c r="AC12138" s="318"/>
      <c r="AD12138" s="318"/>
    </row>
    <row r="12139" spans="2:30" s="323" customFormat="1" ht="12" customHeight="1">
      <c r="B12139" s="324"/>
      <c r="C12139" s="325"/>
      <c r="D12139" s="326"/>
      <c r="E12139" s="326"/>
      <c r="F12139" s="326"/>
      <c r="G12139" s="326"/>
      <c r="H12139" s="326"/>
      <c r="P12139" s="318"/>
      <c r="Q12139" s="318"/>
      <c r="R12139" s="318"/>
      <c r="S12139" s="318"/>
      <c r="T12139" s="318"/>
      <c r="U12139" s="318"/>
      <c r="V12139" s="318"/>
      <c r="W12139" s="318"/>
      <c r="X12139" s="318"/>
      <c r="Y12139" s="318"/>
      <c r="Z12139" s="318"/>
      <c r="AA12139" s="318"/>
      <c r="AB12139" s="318"/>
      <c r="AC12139" s="318"/>
      <c r="AD12139" s="318"/>
    </row>
    <row r="12140" spans="2:30" s="323" customFormat="1" ht="12" customHeight="1">
      <c r="B12140" s="324"/>
      <c r="C12140" s="325"/>
      <c r="D12140" s="326"/>
      <c r="E12140" s="326"/>
      <c r="F12140" s="326"/>
      <c r="G12140" s="326"/>
      <c r="H12140" s="326"/>
      <c r="P12140" s="318"/>
      <c r="Q12140" s="318"/>
      <c r="R12140" s="318"/>
      <c r="S12140" s="318"/>
      <c r="T12140" s="318"/>
      <c r="U12140" s="318"/>
      <c r="V12140" s="318"/>
      <c r="W12140" s="318"/>
      <c r="X12140" s="318"/>
      <c r="Y12140" s="318"/>
      <c r="Z12140" s="318"/>
      <c r="AA12140" s="318"/>
      <c r="AB12140" s="318"/>
      <c r="AC12140" s="318"/>
      <c r="AD12140" s="318"/>
    </row>
    <row r="12141" spans="2:30" s="323" customFormat="1" ht="12" customHeight="1">
      <c r="B12141" s="324"/>
      <c r="C12141" s="325"/>
      <c r="D12141" s="326"/>
      <c r="E12141" s="326"/>
      <c r="F12141" s="326"/>
      <c r="G12141" s="326"/>
      <c r="H12141" s="326"/>
      <c r="P12141" s="318"/>
      <c r="Q12141" s="318"/>
      <c r="R12141" s="318"/>
      <c r="S12141" s="318"/>
      <c r="T12141" s="318"/>
      <c r="U12141" s="318"/>
      <c r="V12141" s="318"/>
      <c r="W12141" s="318"/>
      <c r="X12141" s="318"/>
      <c r="Y12141" s="318"/>
      <c r="Z12141" s="318"/>
      <c r="AA12141" s="318"/>
      <c r="AB12141" s="318"/>
      <c r="AC12141" s="318"/>
      <c r="AD12141" s="318"/>
    </row>
    <row r="12142" spans="2:30" s="323" customFormat="1" ht="12" customHeight="1">
      <c r="B12142" s="324"/>
      <c r="C12142" s="325"/>
      <c r="D12142" s="326"/>
      <c r="E12142" s="326"/>
      <c r="F12142" s="326"/>
      <c r="G12142" s="326"/>
      <c r="H12142" s="326"/>
      <c r="P12142" s="318"/>
      <c r="Q12142" s="318"/>
      <c r="R12142" s="318"/>
      <c r="S12142" s="318"/>
      <c r="T12142" s="318"/>
      <c r="U12142" s="318"/>
      <c r="V12142" s="318"/>
      <c r="W12142" s="318"/>
      <c r="X12142" s="318"/>
      <c r="Y12142" s="318"/>
      <c r="Z12142" s="318"/>
      <c r="AA12142" s="318"/>
      <c r="AB12142" s="318"/>
      <c r="AC12142" s="318"/>
      <c r="AD12142" s="318"/>
    </row>
    <row r="12143" spans="2:30" s="323" customFormat="1" ht="12" customHeight="1">
      <c r="B12143" s="324"/>
      <c r="C12143" s="325"/>
      <c r="D12143" s="326"/>
      <c r="E12143" s="326"/>
      <c r="F12143" s="326"/>
      <c r="G12143" s="326"/>
      <c r="H12143" s="326"/>
      <c r="P12143" s="318"/>
      <c r="Q12143" s="318"/>
      <c r="R12143" s="318"/>
      <c r="S12143" s="318"/>
      <c r="T12143" s="318"/>
      <c r="U12143" s="318"/>
      <c r="V12143" s="318"/>
      <c r="W12143" s="318"/>
      <c r="X12143" s="318"/>
      <c r="Y12143" s="318"/>
      <c r="Z12143" s="318"/>
      <c r="AA12143" s="318"/>
      <c r="AB12143" s="318"/>
      <c r="AC12143" s="318"/>
      <c r="AD12143" s="318"/>
    </row>
    <row r="12144" spans="2:30" s="323" customFormat="1" ht="12" customHeight="1">
      <c r="B12144" s="324"/>
      <c r="C12144" s="325"/>
      <c r="D12144" s="326"/>
      <c r="E12144" s="326"/>
      <c r="F12144" s="326"/>
      <c r="G12144" s="326"/>
      <c r="H12144" s="326"/>
      <c r="P12144" s="318"/>
      <c r="Q12144" s="318"/>
      <c r="R12144" s="318"/>
      <c r="S12144" s="318"/>
      <c r="T12144" s="318"/>
      <c r="U12144" s="318"/>
      <c r="V12144" s="318"/>
      <c r="W12144" s="318"/>
      <c r="X12144" s="318"/>
      <c r="Y12144" s="318"/>
      <c r="Z12144" s="318"/>
      <c r="AA12144" s="318"/>
      <c r="AB12144" s="318"/>
      <c r="AC12144" s="318"/>
      <c r="AD12144" s="318"/>
    </row>
    <row r="12145" spans="2:30" s="323" customFormat="1" ht="12" customHeight="1">
      <c r="B12145" s="324"/>
      <c r="C12145" s="325"/>
      <c r="D12145" s="326"/>
      <c r="E12145" s="326"/>
      <c r="F12145" s="326"/>
      <c r="G12145" s="326"/>
      <c r="H12145" s="326"/>
      <c r="P12145" s="318"/>
      <c r="Q12145" s="318"/>
      <c r="R12145" s="318"/>
      <c r="S12145" s="318"/>
      <c r="T12145" s="318"/>
      <c r="U12145" s="318"/>
      <c r="V12145" s="318"/>
      <c r="W12145" s="318"/>
      <c r="X12145" s="318"/>
      <c r="Y12145" s="318"/>
      <c r="Z12145" s="318"/>
      <c r="AA12145" s="318"/>
      <c r="AB12145" s="318"/>
      <c r="AC12145" s="318"/>
      <c r="AD12145" s="318"/>
    </row>
    <row r="12146" spans="2:30" s="323" customFormat="1" ht="12" customHeight="1">
      <c r="B12146" s="324"/>
      <c r="C12146" s="325"/>
      <c r="D12146" s="326"/>
      <c r="E12146" s="326"/>
      <c r="F12146" s="326"/>
      <c r="G12146" s="326"/>
      <c r="H12146" s="326"/>
      <c r="P12146" s="318"/>
      <c r="Q12146" s="318"/>
      <c r="R12146" s="318"/>
      <c r="S12146" s="318"/>
      <c r="T12146" s="318"/>
      <c r="U12146" s="318"/>
      <c r="V12146" s="318"/>
      <c r="W12146" s="318"/>
      <c r="X12146" s="318"/>
      <c r="Y12146" s="318"/>
      <c r="Z12146" s="318"/>
      <c r="AA12146" s="318"/>
      <c r="AB12146" s="318"/>
      <c r="AC12146" s="318"/>
      <c r="AD12146" s="318"/>
    </row>
    <row r="12147" spans="2:30" s="323" customFormat="1" ht="12" customHeight="1">
      <c r="B12147" s="324"/>
      <c r="C12147" s="325"/>
      <c r="D12147" s="326"/>
      <c r="E12147" s="326"/>
      <c r="F12147" s="326"/>
      <c r="G12147" s="326"/>
      <c r="H12147" s="326"/>
      <c r="P12147" s="318"/>
      <c r="Q12147" s="318"/>
      <c r="R12147" s="318"/>
      <c r="S12147" s="318"/>
      <c r="T12147" s="318"/>
      <c r="U12147" s="318"/>
      <c r="V12147" s="318"/>
      <c r="W12147" s="318"/>
      <c r="X12147" s="318"/>
      <c r="Y12147" s="318"/>
      <c r="Z12147" s="318"/>
      <c r="AA12147" s="318"/>
      <c r="AB12147" s="318"/>
      <c r="AC12147" s="318"/>
      <c r="AD12147" s="318"/>
    </row>
    <row r="12148" spans="2:30" s="323" customFormat="1" ht="12" customHeight="1">
      <c r="B12148" s="324"/>
      <c r="C12148" s="325"/>
      <c r="D12148" s="326"/>
      <c r="E12148" s="326"/>
      <c r="F12148" s="326"/>
      <c r="G12148" s="326"/>
      <c r="H12148" s="326"/>
      <c r="P12148" s="318"/>
      <c r="Q12148" s="318"/>
      <c r="R12148" s="318"/>
      <c r="S12148" s="318"/>
      <c r="T12148" s="318"/>
      <c r="U12148" s="318"/>
      <c r="V12148" s="318"/>
      <c r="W12148" s="318"/>
      <c r="X12148" s="318"/>
      <c r="Y12148" s="318"/>
      <c r="Z12148" s="318"/>
      <c r="AA12148" s="318"/>
      <c r="AB12148" s="318"/>
      <c r="AC12148" s="318"/>
      <c r="AD12148" s="318"/>
    </row>
    <row r="12149" spans="2:30" s="323" customFormat="1" ht="12" customHeight="1">
      <c r="B12149" s="324"/>
      <c r="C12149" s="325"/>
      <c r="D12149" s="326"/>
      <c r="E12149" s="326"/>
      <c r="F12149" s="326"/>
      <c r="G12149" s="326"/>
      <c r="H12149" s="326"/>
      <c r="P12149" s="318"/>
      <c r="Q12149" s="318"/>
      <c r="R12149" s="318"/>
      <c r="S12149" s="318"/>
      <c r="T12149" s="318"/>
      <c r="U12149" s="318"/>
      <c r="V12149" s="318"/>
      <c r="W12149" s="318"/>
      <c r="X12149" s="318"/>
      <c r="Y12149" s="318"/>
      <c r="Z12149" s="318"/>
      <c r="AA12149" s="318"/>
      <c r="AB12149" s="318"/>
      <c r="AC12149" s="318"/>
      <c r="AD12149" s="318"/>
    </row>
    <row r="12150" spans="2:30" s="323" customFormat="1" ht="12" customHeight="1">
      <c r="B12150" s="324"/>
      <c r="C12150" s="325"/>
      <c r="D12150" s="326"/>
      <c r="E12150" s="326"/>
      <c r="F12150" s="326"/>
      <c r="G12150" s="326"/>
      <c r="H12150" s="326"/>
      <c r="P12150" s="318"/>
      <c r="Q12150" s="318"/>
      <c r="R12150" s="318"/>
      <c r="S12150" s="318"/>
      <c r="T12150" s="318"/>
      <c r="U12150" s="318"/>
      <c r="V12150" s="318"/>
      <c r="W12150" s="318"/>
      <c r="X12150" s="318"/>
      <c r="Y12150" s="318"/>
      <c r="Z12150" s="318"/>
      <c r="AA12150" s="318"/>
      <c r="AB12150" s="318"/>
      <c r="AC12150" s="318"/>
      <c r="AD12150" s="318"/>
    </row>
    <row r="12151" spans="2:30" s="323" customFormat="1" ht="12" customHeight="1">
      <c r="B12151" s="324"/>
      <c r="C12151" s="325"/>
      <c r="D12151" s="326"/>
      <c r="E12151" s="326"/>
      <c r="F12151" s="326"/>
      <c r="G12151" s="326"/>
      <c r="H12151" s="326"/>
      <c r="P12151" s="318"/>
      <c r="Q12151" s="318"/>
      <c r="R12151" s="318"/>
      <c r="S12151" s="318"/>
      <c r="T12151" s="318"/>
      <c r="U12151" s="318"/>
      <c r="V12151" s="318"/>
      <c r="W12151" s="318"/>
      <c r="X12151" s="318"/>
      <c r="Y12151" s="318"/>
      <c r="Z12151" s="318"/>
      <c r="AA12151" s="318"/>
      <c r="AB12151" s="318"/>
      <c r="AC12151" s="318"/>
      <c r="AD12151" s="318"/>
    </row>
    <row r="12152" spans="2:30" s="323" customFormat="1" ht="12" customHeight="1">
      <c r="B12152" s="324"/>
      <c r="C12152" s="325"/>
      <c r="D12152" s="326"/>
      <c r="E12152" s="326"/>
      <c r="F12152" s="326"/>
      <c r="G12152" s="326"/>
      <c r="H12152" s="326"/>
      <c r="P12152" s="318"/>
      <c r="Q12152" s="318"/>
      <c r="R12152" s="318"/>
      <c r="S12152" s="318"/>
      <c r="T12152" s="318"/>
      <c r="U12152" s="318"/>
      <c r="V12152" s="318"/>
      <c r="W12152" s="318"/>
      <c r="X12152" s="318"/>
      <c r="Y12152" s="318"/>
      <c r="Z12152" s="318"/>
      <c r="AA12152" s="318"/>
      <c r="AB12152" s="318"/>
      <c r="AC12152" s="318"/>
      <c r="AD12152" s="318"/>
    </row>
    <row r="12153" spans="2:30" s="323" customFormat="1" ht="12" customHeight="1">
      <c r="B12153" s="324"/>
      <c r="C12153" s="325"/>
      <c r="D12153" s="326"/>
      <c r="E12153" s="326"/>
      <c r="F12153" s="326"/>
      <c r="G12153" s="326"/>
      <c r="H12153" s="326"/>
      <c r="P12153" s="318"/>
      <c r="Q12153" s="318"/>
      <c r="R12153" s="318"/>
      <c r="S12153" s="318"/>
      <c r="T12153" s="318"/>
      <c r="U12153" s="318"/>
      <c r="V12153" s="318"/>
      <c r="W12153" s="318"/>
      <c r="X12153" s="318"/>
      <c r="Y12153" s="318"/>
      <c r="Z12153" s="318"/>
      <c r="AA12153" s="318"/>
      <c r="AB12153" s="318"/>
      <c r="AC12153" s="318"/>
      <c r="AD12153" s="318"/>
    </row>
    <row r="12154" spans="2:30" s="323" customFormat="1" ht="12" customHeight="1">
      <c r="B12154" s="324"/>
      <c r="C12154" s="325"/>
      <c r="D12154" s="326"/>
      <c r="E12154" s="326"/>
      <c r="F12154" s="326"/>
      <c r="G12154" s="326"/>
      <c r="H12154" s="326"/>
      <c r="P12154" s="318"/>
      <c r="Q12154" s="318"/>
      <c r="R12154" s="318"/>
      <c r="S12154" s="318"/>
      <c r="T12154" s="318"/>
      <c r="U12154" s="318"/>
      <c r="V12154" s="318"/>
      <c r="W12154" s="318"/>
      <c r="X12154" s="318"/>
      <c r="Y12154" s="318"/>
      <c r="Z12154" s="318"/>
      <c r="AA12154" s="318"/>
      <c r="AB12154" s="318"/>
      <c r="AC12154" s="318"/>
      <c r="AD12154" s="318"/>
    </row>
    <row r="12155" spans="2:30" s="323" customFormat="1" ht="12" customHeight="1">
      <c r="B12155" s="324"/>
      <c r="C12155" s="325"/>
      <c r="D12155" s="326"/>
      <c r="E12155" s="326"/>
      <c r="F12155" s="326"/>
      <c r="G12155" s="326"/>
      <c r="H12155" s="326"/>
      <c r="P12155" s="318"/>
      <c r="Q12155" s="318"/>
      <c r="R12155" s="318"/>
      <c r="S12155" s="318"/>
      <c r="T12155" s="318"/>
      <c r="U12155" s="318"/>
      <c r="V12155" s="318"/>
      <c r="W12155" s="318"/>
      <c r="X12155" s="318"/>
      <c r="Y12155" s="318"/>
      <c r="Z12155" s="318"/>
      <c r="AA12155" s="318"/>
      <c r="AB12155" s="318"/>
      <c r="AC12155" s="318"/>
      <c r="AD12155" s="318"/>
    </row>
    <row r="12156" spans="2:30" s="323" customFormat="1" ht="12" customHeight="1">
      <c r="B12156" s="324"/>
      <c r="C12156" s="325"/>
      <c r="D12156" s="326"/>
      <c r="E12156" s="326"/>
      <c r="F12156" s="326"/>
      <c r="G12156" s="326"/>
      <c r="H12156" s="326"/>
      <c r="P12156" s="318"/>
      <c r="Q12156" s="318"/>
      <c r="R12156" s="318"/>
      <c r="S12156" s="318"/>
      <c r="T12156" s="318"/>
      <c r="U12156" s="318"/>
      <c r="V12156" s="318"/>
      <c r="W12156" s="318"/>
      <c r="X12156" s="318"/>
      <c r="Y12156" s="318"/>
      <c r="Z12156" s="318"/>
      <c r="AA12156" s="318"/>
      <c r="AB12156" s="318"/>
      <c r="AC12156" s="318"/>
      <c r="AD12156" s="318"/>
    </row>
    <row r="12157" spans="2:30" s="323" customFormat="1" ht="12" customHeight="1">
      <c r="B12157" s="324"/>
      <c r="C12157" s="325"/>
      <c r="D12157" s="326"/>
      <c r="E12157" s="326"/>
      <c r="F12157" s="326"/>
      <c r="G12157" s="326"/>
      <c r="H12157" s="326"/>
      <c r="P12157" s="318"/>
      <c r="Q12157" s="318"/>
      <c r="R12157" s="318"/>
      <c r="S12157" s="318"/>
      <c r="T12157" s="318"/>
      <c r="U12157" s="318"/>
      <c r="V12157" s="318"/>
      <c r="W12157" s="318"/>
      <c r="X12157" s="318"/>
      <c r="Y12157" s="318"/>
      <c r="Z12157" s="318"/>
      <c r="AA12157" s="318"/>
      <c r="AB12157" s="318"/>
      <c r="AC12157" s="318"/>
      <c r="AD12157" s="318"/>
    </row>
    <row r="12158" spans="2:30" s="323" customFormat="1" ht="12" customHeight="1">
      <c r="B12158" s="324"/>
      <c r="C12158" s="325"/>
      <c r="D12158" s="326"/>
      <c r="E12158" s="326"/>
      <c r="F12158" s="326"/>
      <c r="G12158" s="326"/>
      <c r="H12158" s="326"/>
      <c r="P12158" s="318"/>
      <c r="Q12158" s="318"/>
      <c r="R12158" s="318"/>
      <c r="S12158" s="318"/>
      <c r="T12158" s="318"/>
      <c r="U12158" s="318"/>
      <c r="V12158" s="318"/>
      <c r="W12158" s="318"/>
      <c r="X12158" s="318"/>
      <c r="Y12158" s="318"/>
      <c r="Z12158" s="318"/>
      <c r="AA12158" s="318"/>
      <c r="AB12158" s="318"/>
      <c r="AC12158" s="318"/>
      <c r="AD12158" s="318"/>
    </row>
    <row r="12159" spans="2:30" s="323" customFormat="1" ht="12" customHeight="1">
      <c r="B12159" s="324"/>
      <c r="C12159" s="325"/>
      <c r="D12159" s="326"/>
      <c r="E12159" s="326"/>
      <c r="F12159" s="326"/>
      <c r="G12159" s="326"/>
      <c r="H12159" s="326"/>
      <c r="P12159" s="318"/>
      <c r="Q12159" s="318"/>
      <c r="R12159" s="318"/>
      <c r="S12159" s="318"/>
      <c r="T12159" s="318"/>
      <c r="U12159" s="318"/>
      <c r="V12159" s="318"/>
      <c r="W12159" s="318"/>
      <c r="X12159" s="318"/>
      <c r="Y12159" s="318"/>
      <c r="Z12159" s="318"/>
      <c r="AA12159" s="318"/>
      <c r="AB12159" s="318"/>
      <c r="AC12159" s="318"/>
      <c r="AD12159" s="318"/>
    </row>
    <row r="12160" spans="2:30" s="323" customFormat="1" ht="12" customHeight="1">
      <c r="B12160" s="324"/>
      <c r="C12160" s="325"/>
      <c r="D12160" s="326"/>
      <c r="E12160" s="326"/>
      <c r="F12160" s="326"/>
      <c r="G12160" s="326"/>
      <c r="H12160" s="326"/>
      <c r="P12160" s="318"/>
      <c r="Q12160" s="318"/>
      <c r="R12160" s="318"/>
      <c r="S12160" s="318"/>
      <c r="T12160" s="318"/>
      <c r="U12160" s="318"/>
      <c r="V12160" s="318"/>
      <c r="W12160" s="318"/>
      <c r="X12160" s="318"/>
      <c r="Y12160" s="318"/>
      <c r="Z12160" s="318"/>
      <c r="AA12160" s="318"/>
      <c r="AB12160" s="318"/>
      <c r="AC12160" s="318"/>
      <c r="AD12160" s="318"/>
    </row>
    <row r="12161" spans="2:30" s="323" customFormat="1" ht="12" customHeight="1">
      <c r="B12161" s="324"/>
      <c r="C12161" s="325"/>
      <c r="D12161" s="326"/>
      <c r="E12161" s="326"/>
      <c r="F12161" s="326"/>
      <c r="G12161" s="326"/>
      <c r="H12161" s="326"/>
      <c r="P12161" s="318"/>
      <c r="Q12161" s="318"/>
      <c r="R12161" s="318"/>
      <c r="S12161" s="318"/>
      <c r="T12161" s="318"/>
      <c r="U12161" s="318"/>
      <c r="V12161" s="318"/>
      <c r="W12161" s="318"/>
      <c r="X12161" s="318"/>
      <c r="Y12161" s="318"/>
      <c r="Z12161" s="318"/>
      <c r="AA12161" s="318"/>
      <c r="AB12161" s="318"/>
      <c r="AC12161" s="318"/>
      <c r="AD12161" s="318"/>
    </row>
    <row r="12162" spans="2:30" s="323" customFormat="1" ht="12" customHeight="1">
      <c r="B12162" s="324"/>
      <c r="C12162" s="325"/>
      <c r="D12162" s="326"/>
      <c r="E12162" s="326"/>
      <c r="F12162" s="326"/>
      <c r="G12162" s="326"/>
      <c r="H12162" s="326"/>
      <c r="P12162" s="318"/>
      <c r="Q12162" s="318"/>
      <c r="R12162" s="318"/>
      <c r="S12162" s="318"/>
      <c r="T12162" s="318"/>
      <c r="U12162" s="318"/>
      <c r="V12162" s="318"/>
      <c r="W12162" s="318"/>
      <c r="X12162" s="318"/>
      <c r="Y12162" s="318"/>
      <c r="Z12162" s="318"/>
      <c r="AA12162" s="318"/>
      <c r="AB12162" s="318"/>
      <c r="AC12162" s="318"/>
      <c r="AD12162" s="318"/>
    </row>
    <row r="12163" spans="2:30" s="323" customFormat="1" ht="12" customHeight="1">
      <c r="B12163" s="324"/>
      <c r="C12163" s="325"/>
      <c r="D12163" s="326"/>
      <c r="E12163" s="326"/>
      <c r="F12163" s="326"/>
      <c r="G12163" s="326"/>
      <c r="H12163" s="326"/>
      <c r="P12163" s="318"/>
      <c r="Q12163" s="318"/>
      <c r="R12163" s="318"/>
      <c r="S12163" s="318"/>
      <c r="T12163" s="318"/>
      <c r="U12163" s="318"/>
      <c r="V12163" s="318"/>
      <c r="W12163" s="318"/>
      <c r="X12163" s="318"/>
      <c r="Y12163" s="318"/>
      <c r="Z12163" s="318"/>
      <c r="AA12163" s="318"/>
      <c r="AB12163" s="318"/>
      <c r="AC12163" s="318"/>
      <c r="AD12163" s="318"/>
    </row>
    <row r="12164" spans="2:30" s="323" customFormat="1" ht="12" customHeight="1">
      <c r="B12164" s="324"/>
      <c r="C12164" s="325"/>
      <c r="D12164" s="326"/>
      <c r="E12164" s="326"/>
      <c r="F12164" s="326"/>
      <c r="G12164" s="326"/>
      <c r="H12164" s="326"/>
      <c r="P12164" s="318"/>
      <c r="Q12164" s="318"/>
      <c r="R12164" s="318"/>
      <c r="S12164" s="318"/>
      <c r="T12164" s="318"/>
      <c r="U12164" s="318"/>
      <c r="V12164" s="318"/>
      <c r="W12164" s="318"/>
      <c r="X12164" s="318"/>
      <c r="Y12164" s="318"/>
      <c r="Z12164" s="318"/>
      <c r="AA12164" s="318"/>
      <c r="AB12164" s="318"/>
      <c r="AC12164" s="318"/>
      <c r="AD12164" s="318"/>
    </row>
    <row r="12165" spans="2:30" s="323" customFormat="1" ht="12" customHeight="1">
      <c r="B12165" s="324"/>
      <c r="C12165" s="325"/>
      <c r="D12165" s="326"/>
      <c r="E12165" s="326"/>
      <c r="F12165" s="326"/>
      <c r="G12165" s="326"/>
      <c r="H12165" s="326"/>
      <c r="P12165" s="318"/>
      <c r="Q12165" s="318"/>
      <c r="R12165" s="318"/>
      <c r="S12165" s="318"/>
      <c r="T12165" s="318"/>
      <c r="U12165" s="318"/>
      <c r="V12165" s="318"/>
      <c r="W12165" s="318"/>
      <c r="X12165" s="318"/>
      <c r="Y12165" s="318"/>
      <c r="Z12165" s="318"/>
      <c r="AA12165" s="318"/>
      <c r="AB12165" s="318"/>
      <c r="AC12165" s="318"/>
      <c r="AD12165" s="318"/>
    </row>
    <row r="12166" spans="2:30" s="323" customFormat="1" ht="12" customHeight="1">
      <c r="B12166" s="324"/>
      <c r="C12166" s="325"/>
      <c r="D12166" s="326"/>
      <c r="E12166" s="326"/>
      <c r="F12166" s="326"/>
      <c r="G12166" s="326"/>
      <c r="H12166" s="326"/>
      <c r="P12166" s="318"/>
      <c r="Q12166" s="318"/>
      <c r="R12166" s="318"/>
      <c r="S12166" s="318"/>
      <c r="T12166" s="318"/>
      <c r="U12166" s="318"/>
      <c r="V12166" s="318"/>
      <c r="W12166" s="318"/>
      <c r="X12166" s="318"/>
      <c r="Y12166" s="318"/>
      <c r="Z12166" s="318"/>
      <c r="AA12166" s="318"/>
      <c r="AB12166" s="318"/>
      <c r="AC12166" s="318"/>
      <c r="AD12166" s="318"/>
    </row>
    <row r="12167" spans="2:30" s="323" customFormat="1" ht="12" customHeight="1">
      <c r="B12167" s="324"/>
      <c r="C12167" s="325"/>
      <c r="D12167" s="326"/>
      <c r="E12167" s="326"/>
      <c r="F12167" s="326"/>
      <c r="G12167" s="326"/>
      <c r="H12167" s="326"/>
      <c r="P12167" s="318"/>
      <c r="Q12167" s="318"/>
      <c r="R12167" s="318"/>
      <c r="S12167" s="318"/>
      <c r="T12167" s="318"/>
      <c r="U12167" s="318"/>
      <c r="V12167" s="318"/>
      <c r="W12167" s="318"/>
      <c r="X12167" s="318"/>
      <c r="Y12167" s="318"/>
      <c r="Z12167" s="318"/>
      <c r="AA12167" s="318"/>
      <c r="AB12167" s="318"/>
      <c r="AC12167" s="318"/>
      <c r="AD12167" s="318"/>
    </row>
    <row r="12168" spans="2:30" s="323" customFormat="1" ht="12" customHeight="1">
      <c r="B12168" s="324"/>
      <c r="C12168" s="325"/>
      <c r="D12168" s="326"/>
      <c r="E12168" s="326"/>
      <c r="F12168" s="326"/>
      <c r="G12168" s="326"/>
      <c r="H12168" s="326"/>
      <c r="P12168" s="318"/>
      <c r="Q12168" s="318"/>
      <c r="R12168" s="318"/>
      <c r="S12168" s="318"/>
      <c r="T12168" s="318"/>
      <c r="U12168" s="318"/>
      <c r="V12168" s="318"/>
      <c r="W12168" s="318"/>
      <c r="X12168" s="318"/>
      <c r="Y12168" s="318"/>
      <c r="Z12168" s="318"/>
      <c r="AA12168" s="318"/>
      <c r="AB12168" s="318"/>
      <c r="AC12168" s="318"/>
      <c r="AD12168" s="318"/>
    </row>
    <row r="12169" spans="2:30" s="323" customFormat="1" ht="12" customHeight="1">
      <c r="B12169" s="324"/>
      <c r="C12169" s="325"/>
      <c r="D12169" s="326"/>
      <c r="E12169" s="326"/>
      <c r="F12169" s="326"/>
      <c r="G12169" s="326"/>
      <c r="H12169" s="326"/>
      <c r="P12169" s="318"/>
      <c r="Q12169" s="318"/>
      <c r="R12169" s="318"/>
      <c r="S12169" s="318"/>
      <c r="T12169" s="318"/>
      <c r="U12169" s="318"/>
      <c r="V12169" s="318"/>
      <c r="W12169" s="318"/>
      <c r="X12169" s="318"/>
      <c r="Y12169" s="318"/>
      <c r="Z12169" s="318"/>
      <c r="AA12169" s="318"/>
      <c r="AB12169" s="318"/>
      <c r="AC12169" s="318"/>
      <c r="AD12169" s="318"/>
    </row>
    <row r="12170" spans="2:30" s="323" customFormat="1" ht="12" customHeight="1">
      <c r="B12170" s="324"/>
      <c r="C12170" s="325"/>
      <c r="D12170" s="326"/>
      <c r="E12170" s="326"/>
      <c r="F12170" s="326"/>
      <c r="G12170" s="326"/>
      <c r="H12170" s="326"/>
      <c r="P12170" s="318"/>
      <c r="Q12170" s="318"/>
      <c r="R12170" s="318"/>
      <c r="S12170" s="318"/>
      <c r="T12170" s="318"/>
      <c r="U12170" s="318"/>
      <c r="V12170" s="318"/>
      <c r="W12170" s="318"/>
      <c r="X12170" s="318"/>
      <c r="Y12170" s="318"/>
      <c r="Z12170" s="318"/>
      <c r="AA12170" s="318"/>
      <c r="AB12170" s="318"/>
      <c r="AC12170" s="318"/>
      <c r="AD12170" s="318"/>
    </row>
    <row r="12171" spans="2:30" s="323" customFormat="1" ht="12" customHeight="1">
      <c r="B12171" s="324"/>
      <c r="C12171" s="325"/>
      <c r="D12171" s="326"/>
      <c r="E12171" s="326"/>
      <c r="F12171" s="326"/>
      <c r="G12171" s="326"/>
      <c r="H12171" s="326"/>
      <c r="P12171" s="318"/>
      <c r="Q12171" s="318"/>
      <c r="R12171" s="318"/>
      <c r="S12171" s="318"/>
      <c r="T12171" s="318"/>
      <c r="U12171" s="318"/>
      <c r="V12171" s="318"/>
      <c r="W12171" s="318"/>
      <c r="X12171" s="318"/>
      <c r="Y12171" s="318"/>
      <c r="Z12171" s="318"/>
      <c r="AA12171" s="318"/>
      <c r="AB12171" s="318"/>
      <c r="AC12171" s="318"/>
      <c r="AD12171" s="318"/>
    </row>
    <row r="12172" spans="2:30" s="323" customFormat="1" ht="12" customHeight="1">
      <c r="B12172" s="324"/>
      <c r="C12172" s="325"/>
      <c r="D12172" s="326"/>
      <c r="E12172" s="326"/>
      <c r="F12172" s="326"/>
      <c r="G12172" s="326"/>
      <c r="H12172" s="326"/>
      <c r="P12172" s="318"/>
      <c r="Q12172" s="318"/>
      <c r="R12172" s="318"/>
      <c r="S12172" s="318"/>
      <c r="T12172" s="318"/>
      <c r="U12172" s="318"/>
      <c r="V12172" s="318"/>
      <c r="W12172" s="318"/>
      <c r="X12172" s="318"/>
      <c r="Y12172" s="318"/>
      <c r="Z12172" s="318"/>
      <c r="AA12172" s="318"/>
      <c r="AB12172" s="318"/>
      <c r="AC12172" s="318"/>
      <c r="AD12172" s="318"/>
    </row>
    <row r="12173" spans="2:30" s="323" customFormat="1" ht="12" customHeight="1">
      <c r="B12173" s="324"/>
      <c r="C12173" s="325"/>
      <c r="D12173" s="326"/>
      <c r="E12173" s="326"/>
      <c r="F12173" s="326"/>
      <c r="G12173" s="326"/>
      <c r="H12173" s="326"/>
      <c r="P12173" s="318"/>
      <c r="Q12173" s="318"/>
      <c r="R12173" s="318"/>
      <c r="S12173" s="318"/>
      <c r="T12173" s="318"/>
      <c r="U12173" s="318"/>
      <c r="V12173" s="318"/>
      <c r="W12173" s="318"/>
      <c r="X12173" s="318"/>
      <c r="Y12173" s="318"/>
      <c r="Z12173" s="318"/>
      <c r="AA12173" s="318"/>
      <c r="AB12173" s="318"/>
      <c r="AC12173" s="318"/>
      <c r="AD12173" s="318"/>
    </row>
    <row r="12174" spans="2:30" s="323" customFormat="1" ht="12" customHeight="1">
      <c r="B12174" s="324"/>
      <c r="C12174" s="325"/>
      <c r="D12174" s="326"/>
      <c r="E12174" s="326"/>
      <c r="F12174" s="326"/>
      <c r="G12174" s="326"/>
      <c r="H12174" s="326"/>
      <c r="P12174" s="318"/>
      <c r="Q12174" s="318"/>
      <c r="R12174" s="318"/>
      <c r="S12174" s="318"/>
      <c r="T12174" s="318"/>
      <c r="U12174" s="318"/>
      <c r="V12174" s="318"/>
      <c r="W12174" s="318"/>
      <c r="X12174" s="318"/>
      <c r="Y12174" s="318"/>
      <c r="Z12174" s="318"/>
      <c r="AA12174" s="318"/>
      <c r="AB12174" s="318"/>
      <c r="AC12174" s="318"/>
      <c r="AD12174" s="318"/>
    </row>
    <row r="12175" spans="2:30" s="323" customFormat="1" ht="12" customHeight="1">
      <c r="B12175" s="324"/>
      <c r="C12175" s="325"/>
      <c r="D12175" s="326"/>
      <c r="E12175" s="326"/>
      <c r="F12175" s="326"/>
      <c r="G12175" s="326"/>
      <c r="H12175" s="326"/>
      <c r="P12175" s="318"/>
      <c r="Q12175" s="318"/>
      <c r="R12175" s="318"/>
      <c r="S12175" s="318"/>
      <c r="T12175" s="318"/>
      <c r="U12175" s="318"/>
      <c r="V12175" s="318"/>
      <c r="W12175" s="318"/>
      <c r="X12175" s="318"/>
      <c r="Y12175" s="318"/>
      <c r="Z12175" s="318"/>
      <c r="AA12175" s="318"/>
      <c r="AB12175" s="318"/>
      <c r="AC12175" s="318"/>
      <c r="AD12175" s="318"/>
    </row>
    <row r="12176" spans="2:30" s="323" customFormat="1" ht="12" customHeight="1">
      <c r="B12176" s="324"/>
      <c r="C12176" s="325"/>
      <c r="D12176" s="326"/>
      <c r="E12176" s="326"/>
      <c r="F12176" s="326"/>
      <c r="G12176" s="326"/>
      <c r="H12176" s="326"/>
      <c r="P12176" s="318"/>
      <c r="Q12176" s="318"/>
      <c r="R12176" s="318"/>
      <c r="S12176" s="318"/>
      <c r="T12176" s="318"/>
      <c r="U12176" s="318"/>
      <c r="V12176" s="318"/>
      <c r="W12176" s="318"/>
      <c r="X12176" s="318"/>
      <c r="Y12176" s="318"/>
      <c r="Z12176" s="318"/>
      <c r="AA12176" s="318"/>
      <c r="AB12176" s="318"/>
      <c r="AC12176" s="318"/>
      <c r="AD12176" s="318"/>
    </row>
    <row r="12177" spans="2:30" s="323" customFormat="1" ht="12" customHeight="1">
      <c r="B12177" s="324"/>
      <c r="C12177" s="325"/>
      <c r="D12177" s="326"/>
      <c r="E12177" s="326"/>
      <c r="F12177" s="326"/>
      <c r="G12177" s="326"/>
      <c r="H12177" s="326"/>
      <c r="P12177" s="318"/>
      <c r="Q12177" s="318"/>
      <c r="R12177" s="318"/>
      <c r="S12177" s="318"/>
      <c r="T12177" s="318"/>
      <c r="U12177" s="318"/>
      <c r="V12177" s="318"/>
      <c r="W12177" s="318"/>
      <c r="X12177" s="318"/>
      <c r="Y12177" s="318"/>
      <c r="Z12177" s="318"/>
      <c r="AA12177" s="318"/>
      <c r="AB12177" s="318"/>
      <c r="AC12177" s="318"/>
      <c r="AD12177" s="318"/>
    </row>
    <row r="12178" spans="2:30" s="323" customFormat="1" ht="12" customHeight="1">
      <c r="B12178" s="324"/>
      <c r="C12178" s="325"/>
      <c r="D12178" s="326"/>
      <c r="E12178" s="326"/>
      <c r="F12178" s="326"/>
      <c r="G12178" s="326"/>
      <c r="H12178" s="326"/>
      <c r="P12178" s="318"/>
      <c r="Q12178" s="318"/>
      <c r="R12178" s="318"/>
      <c r="S12178" s="318"/>
      <c r="T12178" s="318"/>
      <c r="U12178" s="318"/>
      <c r="V12178" s="318"/>
      <c r="W12178" s="318"/>
      <c r="X12178" s="318"/>
      <c r="Y12178" s="318"/>
      <c r="Z12178" s="318"/>
      <c r="AA12178" s="318"/>
      <c r="AB12178" s="318"/>
      <c r="AC12178" s="318"/>
      <c r="AD12178" s="318"/>
    </row>
    <row r="12179" spans="2:30" s="323" customFormat="1" ht="12" customHeight="1">
      <c r="B12179" s="324"/>
      <c r="C12179" s="325"/>
      <c r="D12179" s="326"/>
      <c r="E12179" s="326"/>
      <c r="F12179" s="326"/>
      <c r="G12179" s="326"/>
      <c r="H12179" s="326"/>
      <c r="P12179" s="318"/>
      <c r="Q12179" s="318"/>
      <c r="R12179" s="318"/>
      <c r="S12179" s="318"/>
      <c r="T12179" s="318"/>
      <c r="U12179" s="318"/>
      <c r="V12179" s="318"/>
      <c r="W12179" s="318"/>
      <c r="X12179" s="318"/>
      <c r="Y12179" s="318"/>
      <c r="Z12179" s="318"/>
      <c r="AA12179" s="318"/>
      <c r="AB12179" s="318"/>
      <c r="AC12179" s="318"/>
      <c r="AD12179" s="318"/>
    </row>
    <row r="12180" spans="2:30" s="323" customFormat="1" ht="12" customHeight="1">
      <c r="B12180" s="324"/>
      <c r="C12180" s="325"/>
      <c r="D12180" s="326"/>
      <c r="E12180" s="326"/>
      <c r="F12180" s="326"/>
      <c r="G12180" s="326"/>
      <c r="H12180" s="326"/>
      <c r="P12180" s="318"/>
      <c r="Q12180" s="318"/>
      <c r="R12180" s="318"/>
      <c r="S12180" s="318"/>
      <c r="T12180" s="318"/>
      <c r="U12180" s="318"/>
      <c r="V12180" s="318"/>
      <c r="W12180" s="318"/>
      <c r="X12180" s="318"/>
      <c r="Y12180" s="318"/>
      <c r="Z12180" s="318"/>
      <c r="AA12180" s="318"/>
      <c r="AB12180" s="318"/>
      <c r="AC12180" s="318"/>
      <c r="AD12180" s="318"/>
    </row>
    <row r="12181" spans="2:30" s="323" customFormat="1" ht="12" customHeight="1">
      <c r="B12181" s="324"/>
      <c r="C12181" s="325"/>
      <c r="D12181" s="326"/>
      <c r="E12181" s="326"/>
      <c r="F12181" s="326"/>
      <c r="G12181" s="326"/>
      <c r="H12181" s="326"/>
      <c r="P12181" s="318"/>
      <c r="Q12181" s="318"/>
      <c r="R12181" s="318"/>
      <c r="S12181" s="318"/>
      <c r="T12181" s="318"/>
      <c r="U12181" s="318"/>
      <c r="V12181" s="318"/>
      <c r="W12181" s="318"/>
      <c r="X12181" s="318"/>
      <c r="Y12181" s="318"/>
      <c r="Z12181" s="318"/>
      <c r="AA12181" s="318"/>
      <c r="AB12181" s="318"/>
      <c r="AC12181" s="318"/>
      <c r="AD12181" s="318"/>
    </row>
    <row r="12182" spans="2:30" s="323" customFormat="1" ht="12" customHeight="1">
      <c r="B12182" s="324"/>
      <c r="C12182" s="325"/>
      <c r="D12182" s="326"/>
      <c r="E12182" s="326"/>
      <c r="F12182" s="326"/>
      <c r="G12182" s="326"/>
      <c r="H12182" s="326"/>
      <c r="P12182" s="318"/>
      <c r="Q12182" s="318"/>
      <c r="R12182" s="318"/>
      <c r="S12182" s="318"/>
      <c r="T12182" s="318"/>
      <c r="U12182" s="318"/>
      <c r="V12182" s="318"/>
      <c r="W12182" s="318"/>
      <c r="X12182" s="318"/>
      <c r="Y12182" s="318"/>
      <c r="Z12182" s="318"/>
      <c r="AA12182" s="318"/>
      <c r="AB12182" s="318"/>
      <c r="AC12182" s="318"/>
      <c r="AD12182" s="318"/>
    </row>
    <row r="12183" spans="2:30" s="323" customFormat="1" ht="12" customHeight="1">
      <c r="B12183" s="324"/>
      <c r="C12183" s="325"/>
      <c r="D12183" s="326"/>
      <c r="E12183" s="326"/>
      <c r="F12183" s="326"/>
      <c r="G12183" s="326"/>
      <c r="H12183" s="326"/>
      <c r="P12183" s="318"/>
      <c r="Q12183" s="318"/>
      <c r="R12183" s="318"/>
      <c r="S12183" s="318"/>
      <c r="T12183" s="318"/>
      <c r="U12183" s="318"/>
      <c r="V12183" s="318"/>
      <c r="W12183" s="318"/>
      <c r="X12183" s="318"/>
      <c r="Y12183" s="318"/>
      <c r="Z12183" s="318"/>
      <c r="AA12183" s="318"/>
      <c r="AB12183" s="318"/>
      <c r="AC12183" s="318"/>
      <c r="AD12183" s="318"/>
    </row>
    <row r="12184" spans="2:30" s="323" customFormat="1" ht="12" customHeight="1">
      <c r="B12184" s="324"/>
      <c r="C12184" s="325"/>
      <c r="D12184" s="326"/>
      <c r="E12184" s="326"/>
      <c r="F12184" s="326"/>
      <c r="G12184" s="326"/>
      <c r="H12184" s="326"/>
      <c r="P12184" s="318"/>
      <c r="Q12184" s="318"/>
      <c r="R12184" s="318"/>
      <c r="S12184" s="318"/>
      <c r="T12184" s="318"/>
      <c r="U12184" s="318"/>
      <c r="V12184" s="318"/>
      <c r="W12184" s="318"/>
      <c r="X12184" s="318"/>
      <c r="Y12184" s="318"/>
      <c r="Z12184" s="318"/>
      <c r="AA12184" s="318"/>
      <c r="AB12184" s="318"/>
      <c r="AC12184" s="318"/>
      <c r="AD12184" s="318"/>
    </row>
    <row r="12185" spans="2:30" s="323" customFormat="1" ht="12" customHeight="1">
      <c r="B12185" s="324"/>
      <c r="C12185" s="325"/>
      <c r="D12185" s="326"/>
      <c r="E12185" s="326"/>
      <c r="F12185" s="326"/>
      <c r="G12185" s="326"/>
      <c r="H12185" s="326"/>
      <c r="P12185" s="318"/>
      <c r="Q12185" s="318"/>
      <c r="R12185" s="318"/>
      <c r="S12185" s="318"/>
      <c r="T12185" s="318"/>
      <c r="U12185" s="318"/>
      <c r="V12185" s="318"/>
      <c r="W12185" s="318"/>
      <c r="X12185" s="318"/>
      <c r="Y12185" s="318"/>
      <c r="Z12185" s="318"/>
      <c r="AA12185" s="318"/>
      <c r="AB12185" s="318"/>
      <c r="AC12185" s="318"/>
      <c r="AD12185" s="318"/>
    </row>
    <row r="12186" spans="2:30" s="323" customFormat="1" ht="12" customHeight="1">
      <c r="B12186" s="324"/>
      <c r="C12186" s="325"/>
      <c r="D12186" s="326"/>
      <c r="E12186" s="326"/>
      <c r="F12186" s="326"/>
      <c r="G12186" s="326"/>
      <c r="H12186" s="326"/>
      <c r="P12186" s="318"/>
      <c r="Q12186" s="318"/>
      <c r="R12186" s="318"/>
      <c r="S12186" s="318"/>
      <c r="T12186" s="318"/>
      <c r="U12186" s="318"/>
      <c r="V12186" s="318"/>
      <c r="W12186" s="318"/>
      <c r="X12186" s="318"/>
      <c r="Y12186" s="318"/>
      <c r="Z12186" s="318"/>
      <c r="AA12186" s="318"/>
      <c r="AB12186" s="318"/>
      <c r="AC12186" s="318"/>
      <c r="AD12186" s="318"/>
    </row>
    <row r="12187" spans="2:30" s="323" customFormat="1" ht="12" customHeight="1">
      <c r="B12187" s="324"/>
      <c r="C12187" s="325"/>
      <c r="D12187" s="326"/>
      <c r="E12187" s="326"/>
      <c r="F12187" s="326"/>
      <c r="G12187" s="326"/>
      <c r="H12187" s="326"/>
      <c r="P12187" s="318"/>
      <c r="Q12187" s="318"/>
      <c r="R12187" s="318"/>
      <c r="S12187" s="318"/>
      <c r="T12187" s="318"/>
      <c r="U12187" s="318"/>
      <c r="V12187" s="318"/>
      <c r="W12187" s="318"/>
      <c r="X12187" s="318"/>
      <c r="Y12187" s="318"/>
      <c r="Z12187" s="318"/>
      <c r="AA12187" s="318"/>
      <c r="AB12187" s="318"/>
      <c r="AC12187" s="318"/>
      <c r="AD12187" s="318"/>
    </row>
    <row r="12188" spans="2:30" s="323" customFormat="1" ht="12" customHeight="1">
      <c r="B12188" s="324"/>
      <c r="C12188" s="325"/>
      <c r="D12188" s="326"/>
      <c r="E12188" s="326"/>
      <c r="F12188" s="326"/>
      <c r="G12188" s="326"/>
      <c r="H12188" s="326"/>
      <c r="P12188" s="318"/>
      <c r="Q12188" s="318"/>
      <c r="R12188" s="318"/>
      <c r="S12188" s="318"/>
      <c r="T12188" s="318"/>
      <c r="U12188" s="318"/>
      <c r="V12188" s="318"/>
      <c r="W12188" s="318"/>
      <c r="X12188" s="318"/>
      <c r="Y12188" s="318"/>
      <c r="Z12188" s="318"/>
      <c r="AA12188" s="318"/>
      <c r="AB12188" s="318"/>
      <c r="AC12188" s="318"/>
      <c r="AD12188" s="318"/>
    </row>
    <row r="12189" spans="2:30" s="323" customFormat="1" ht="12" customHeight="1">
      <c r="B12189" s="324"/>
      <c r="C12189" s="325"/>
      <c r="D12189" s="326"/>
      <c r="E12189" s="326"/>
      <c r="F12189" s="326"/>
      <c r="G12189" s="326"/>
      <c r="H12189" s="326"/>
      <c r="P12189" s="318"/>
      <c r="Q12189" s="318"/>
      <c r="R12189" s="318"/>
      <c r="S12189" s="318"/>
      <c r="T12189" s="318"/>
      <c r="U12189" s="318"/>
      <c r="V12189" s="318"/>
      <c r="W12189" s="318"/>
      <c r="X12189" s="318"/>
      <c r="Y12189" s="318"/>
      <c r="Z12189" s="318"/>
      <c r="AA12189" s="318"/>
      <c r="AB12189" s="318"/>
      <c r="AC12189" s="318"/>
      <c r="AD12189" s="318"/>
    </row>
    <row r="12190" spans="2:30" s="323" customFormat="1" ht="12" customHeight="1">
      <c r="B12190" s="324"/>
      <c r="C12190" s="325"/>
      <c r="D12190" s="326"/>
      <c r="E12190" s="326"/>
      <c r="F12190" s="326"/>
      <c r="G12190" s="326"/>
      <c r="H12190" s="326"/>
      <c r="P12190" s="318"/>
      <c r="Q12190" s="318"/>
      <c r="R12190" s="318"/>
      <c r="S12190" s="318"/>
      <c r="T12190" s="318"/>
      <c r="U12190" s="318"/>
      <c r="V12190" s="318"/>
      <c r="W12190" s="318"/>
      <c r="X12190" s="318"/>
      <c r="Y12190" s="318"/>
      <c r="Z12190" s="318"/>
      <c r="AA12190" s="318"/>
      <c r="AB12190" s="318"/>
      <c r="AC12190" s="318"/>
      <c r="AD12190" s="318"/>
    </row>
    <row r="12191" spans="2:30" s="323" customFormat="1" ht="12" customHeight="1">
      <c r="B12191" s="324"/>
      <c r="C12191" s="325"/>
      <c r="D12191" s="326"/>
      <c r="E12191" s="326"/>
      <c r="F12191" s="326"/>
      <c r="G12191" s="326"/>
      <c r="H12191" s="326"/>
      <c r="P12191" s="318"/>
      <c r="Q12191" s="318"/>
      <c r="R12191" s="318"/>
      <c r="S12191" s="318"/>
      <c r="T12191" s="318"/>
      <c r="U12191" s="318"/>
      <c r="V12191" s="318"/>
      <c r="W12191" s="318"/>
      <c r="X12191" s="318"/>
      <c r="Y12191" s="318"/>
      <c r="Z12191" s="318"/>
      <c r="AA12191" s="318"/>
      <c r="AB12191" s="318"/>
      <c r="AC12191" s="318"/>
      <c r="AD12191" s="318"/>
    </row>
    <row r="12192" spans="2:30" s="323" customFormat="1" ht="12" customHeight="1">
      <c r="B12192" s="324"/>
      <c r="C12192" s="325"/>
      <c r="D12192" s="326"/>
      <c r="E12192" s="326"/>
      <c r="F12192" s="326"/>
      <c r="G12192" s="326"/>
      <c r="H12192" s="326"/>
      <c r="P12192" s="318"/>
      <c r="Q12192" s="318"/>
      <c r="R12192" s="318"/>
      <c r="S12192" s="318"/>
      <c r="T12192" s="318"/>
      <c r="U12192" s="318"/>
      <c r="V12192" s="318"/>
      <c r="W12192" s="318"/>
      <c r="X12192" s="318"/>
      <c r="Y12192" s="318"/>
      <c r="Z12192" s="318"/>
      <c r="AA12192" s="318"/>
      <c r="AB12192" s="318"/>
      <c r="AC12192" s="318"/>
      <c r="AD12192" s="318"/>
    </row>
    <row r="12193" spans="2:30" s="323" customFormat="1" ht="12" customHeight="1">
      <c r="B12193" s="324"/>
      <c r="C12193" s="325"/>
      <c r="D12193" s="326"/>
      <c r="E12193" s="326"/>
      <c r="F12193" s="326"/>
      <c r="G12193" s="326"/>
      <c r="H12193" s="326"/>
      <c r="P12193" s="318"/>
      <c r="Q12193" s="318"/>
      <c r="R12193" s="318"/>
      <c r="S12193" s="318"/>
      <c r="T12193" s="318"/>
      <c r="U12193" s="318"/>
      <c r="V12193" s="318"/>
      <c r="W12193" s="318"/>
      <c r="X12193" s="318"/>
      <c r="Y12193" s="318"/>
      <c r="Z12193" s="318"/>
      <c r="AA12193" s="318"/>
      <c r="AB12193" s="318"/>
      <c r="AC12193" s="318"/>
      <c r="AD12193" s="318"/>
    </row>
    <row r="12194" spans="2:30" s="323" customFormat="1" ht="12" customHeight="1">
      <c r="B12194" s="324"/>
      <c r="C12194" s="325"/>
      <c r="D12194" s="326"/>
      <c r="E12194" s="326"/>
      <c r="F12194" s="326"/>
      <c r="G12194" s="326"/>
      <c r="H12194" s="326"/>
      <c r="P12194" s="318"/>
      <c r="Q12194" s="318"/>
      <c r="R12194" s="318"/>
      <c r="S12194" s="318"/>
      <c r="T12194" s="318"/>
      <c r="U12194" s="318"/>
      <c r="V12194" s="318"/>
      <c r="W12194" s="318"/>
      <c r="X12194" s="318"/>
      <c r="Y12194" s="318"/>
      <c r="Z12194" s="318"/>
      <c r="AA12194" s="318"/>
      <c r="AB12194" s="318"/>
      <c r="AC12194" s="318"/>
      <c r="AD12194" s="318"/>
    </row>
    <row r="12195" spans="2:30" s="323" customFormat="1" ht="12" customHeight="1">
      <c r="B12195" s="324"/>
      <c r="C12195" s="325"/>
      <c r="D12195" s="326"/>
      <c r="E12195" s="326"/>
      <c r="F12195" s="326"/>
      <c r="G12195" s="326"/>
      <c r="H12195" s="326"/>
      <c r="P12195" s="318"/>
      <c r="Q12195" s="318"/>
      <c r="R12195" s="318"/>
      <c r="S12195" s="318"/>
      <c r="T12195" s="318"/>
      <c r="U12195" s="318"/>
      <c r="V12195" s="318"/>
      <c r="W12195" s="318"/>
      <c r="X12195" s="318"/>
      <c r="Y12195" s="318"/>
      <c r="Z12195" s="318"/>
      <c r="AA12195" s="318"/>
      <c r="AB12195" s="318"/>
      <c r="AC12195" s="318"/>
      <c r="AD12195" s="318"/>
    </row>
    <row r="12196" spans="2:30" s="323" customFormat="1" ht="12" customHeight="1">
      <c r="B12196" s="324"/>
      <c r="C12196" s="325"/>
      <c r="D12196" s="326"/>
      <c r="E12196" s="326"/>
      <c r="F12196" s="326"/>
      <c r="G12196" s="326"/>
      <c r="H12196" s="326"/>
      <c r="P12196" s="318"/>
      <c r="Q12196" s="318"/>
      <c r="R12196" s="318"/>
      <c r="S12196" s="318"/>
      <c r="T12196" s="318"/>
      <c r="U12196" s="318"/>
      <c r="V12196" s="318"/>
      <c r="W12196" s="318"/>
      <c r="X12196" s="318"/>
      <c r="Y12196" s="318"/>
      <c r="Z12196" s="318"/>
      <c r="AA12196" s="318"/>
      <c r="AB12196" s="318"/>
      <c r="AC12196" s="318"/>
      <c r="AD12196" s="318"/>
    </row>
    <row r="12197" spans="2:30" s="323" customFormat="1" ht="12" customHeight="1">
      <c r="B12197" s="324"/>
      <c r="C12197" s="325"/>
      <c r="D12197" s="326"/>
      <c r="E12197" s="326"/>
      <c r="F12197" s="326"/>
      <c r="G12197" s="326"/>
      <c r="H12197" s="326"/>
      <c r="P12197" s="318"/>
      <c r="Q12197" s="318"/>
      <c r="R12197" s="318"/>
      <c r="S12197" s="318"/>
      <c r="T12197" s="318"/>
      <c r="U12197" s="318"/>
      <c r="V12197" s="318"/>
      <c r="W12197" s="318"/>
      <c r="X12197" s="318"/>
      <c r="Y12197" s="318"/>
      <c r="Z12197" s="318"/>
      <c r="AA12197" s="318"/>
      <c r="AB12197" s="318"/>
      <c r="AC12197" s="318"/>
      <c r="AD12197" s="318"/>
    </row>
    <row r="12198" spans="2:30" s="323" customFormat="1" ht="12" customHeight="1">
      <c r="B12198" s="324"/>
      <c r="C12198" s="325"/>
      <c r="D12198" s="326"/>
      <c r="E12198" s="326"/>
      <c r="F12198" s="326"/>
      <c r="G12198" s="326"/>
      <c r="H12198" s="326"/>
      <c r="P12198" s="318"/>
      <c r="Q12198" s="318"/>
      <c r="R12198" s="318"/>
      <c r="S12198" s="318"/>
      <c r="T12198" s="318"/>
      <c r="U12198" s="318"/>
      <c r="V12198" s="318"/>
      <c r="W12198" s="318"/>
      <c r="X12198" s="318"/>
      <c r="Y12198" s="318"/>
      <c r="Z12198" s="318"/>
      <c r="AA12198" s="318"/>
      <c r="AB12198" s="318"/>
      <c r="AC12198" s="318"/>
      <c r="AD12198" s="318"/>
    </row>
    <row r="12199" spans="2:30" s="323" customFormat="1" ht="12" customHeight="1">
      <c r="B12199" s="324"/>
      <c r="C12199" s="325"/>
      <c r="D12199" s="326"/>
      <c r="E12199" s="326"/>
      <c r="F12199" s="326"/>
      <c r="G12199" s="326"/>
      <c r="H12199" s="326"/>
      <c r="P12199" s="318"/>
      <c r="Q12199" s="318"/>
      <c r="R12199" s="318"/>
      <c r="S12199" s="318"/>
      <c r="T12199" s="318"/>
      <c r="U12199" s="318"/>
      <c r="V12199" s="318"/>
      <c r="W12199" s="318"/>
      <c r="X12199" s="318"/>
      <c r="Y12199" s="318"/>
      <c r="Z12199" s="318"/>
      <c r="AA12199" s="318"/>
      <c r="AB12199" s="318"/>
      <c r="AC12199" s="318"/>
      <c r="AD12199" s="318"/>
    </row>
    <row r="12200" spans="2:30" s="323" customFormat="1" ht="12" customHeight="1">
      <c r="B12200" s="324"/>
      <c r="C12200" s="325"/>
      <c r="D12200" s="326"/>
      <c r="E12200" s="326"/>
      <c r="F12200" s="326"/>
      <c r="G12200" s="326"/>
      <c r="H12200" s="326"/>
      <c r="P12200" s="318"/>
      <c r="Q12200" s="318"/>
      <c r="R12200" s="318"/>
      <c r="S12200" s="318"/>
      <c r="T12200" s="318"/>
      <c r="U12200" s="318"/>
      <c r="V12200" s="318"/>
      <c r="W12200" s="318"/>
      <c r="X12200" s="318"/>
      <c r="Y12200" s="318"/>
      <c r="Z12200" s="318"/>
      <c r="AA12200" s="318"/>
      <c r="AB12200" s="318"/>
      <c r="AC12200" s="318"/>
      <c r="AD12200" s="318"/>
    </row>
    <row r="12201" spans="2:30" s="323" customFormat="1" ht="12" customHeight="1">
      <c r="B12201" s="324"/>
      <c r="C12201" s="325"/>
      <c r="D12201" s="326"/>
      <c r="E12201" s="326"/>
      <c r="F12201" s="326"/>
      <c r="G12201" s="326"/>
      <c r="H12201" s="326"/>
      <c r="P12201" s="318"/>
      <c r="Q12201" s="318"/>
      <c r="R12201" s="318"/>
      <c r="S12201" s="318"/>
      <c r="T12201" s="318"/>
      <c r="U12201" s="318"/>
      <c r="V12201" s="318"/>
      <c r="W12201" s="318"/>
      <c r="X12201" s="318"/>
      <c r="Y12201" s="318"/>
      <c r="Z12201" s="318"/>
      <c r="AA12201" s="318"/>
      <c r="AB12201" s="318"/>
      <c r="AC12201" s="318"/>
      <c r="AD12201" s="318"/>
    </row>
    <row r="12202" spans="2:30" s="323" customFormat="1" ht="12" customHeight="1">
      <c r="B12202" s="324"/>
      <c r="C12202" s="325"/>
      <c r="D12202" s="326"/>
      <c r="E12202" s="326"/>
      <c r="F12202" s="326"/>
      <c r="G12202" s="326"/>
      <c r="H12202" s="326"/>
      <c r="P12202" s="318"/>
      <c r="Q12202" s="318"/>
      <c r="R12202" s="318"/>
      <c r="S12202" s="318"/>
      <c r="T12202" s="318"/>
      <c r="U12202" s="318"/>
      <c r="V12202" s="318"/>
      <c r="W12202" s="318"/>
      <c r="X12202" s="318"/>
      <c r="Y12202" s="318"/>
      <c r="Z12202" s="318"/>
      <c r="AA12202" s="318"/>
      <c r="AB12202" s="318"/>
      <c r="AC12202" s="318"/>
      <c r="AD12202" s="318"/>
    </row>
    <row r="12203" spans="2:30" s="323" customFormat="1" ht="12" customHeight="1">
      <c r="B12203" s="324"/>
      <c r="C12203" s="325"/>
      <c r="D12203" s="326"/>
      <c r="E12203" s="326"/>
      <c r="F12203" s="326"/>
      <c r="G12203" s="326"/>
      <c r="H12203" s="326"/>
      <c r="P12203" s="318"/>
      <c r="Q12203" s="318"/>
      <c r="R12203" s="318"/>
      <c r="S12203" s="318"/>
      <c r="T12203" s="318"/>
      <c r="U12203" s="318"/>
      <c r="V12203" s="318"/>
      <c r="W12203" s="318"/>
      <c r="X12203" s="318"/>
      <c r="Y12203" s="318"/>
      <c r="Z12203" s="318"/>
      <c r="AA12203" s="318"/>
      <c r="AB12203" s="318"/>
      <c r="AC12203" s="318"/>
      <c r="AD12203" s="318"/>
    </row>
    <row r="12204" spans="2:30" s="323" customFormat="1" ht="12" customHeight="1">
      <c r="B12204" s="324"/>
      <c r="C12204" s="325"/>
      <c r="D12204" s="326"/>
      <c r="E12204" s="326"/>
      <c r="F12204" s="326"/>
      <c r="G12204" s="326"/>
      <c r="H12204" s="326"/>
      <c r="P12204" s="318"/>
      <c r="Q12204" s="318"/>
      <c r="R12204" s="318"/>
      <c r="S12204" s="318"/>
      <c r="T12204" s="318"/>
      <c r="U12204" s="318"/>
      <c r="V12204" s="318"/>
      <c r="W12204" s="318"/>
      <c r="X12204" s="318"/>
      <c r="Y12204" s="318"/>
      <c r="Z12204" s="318"/>
      <c r="AA12204" s="318"/>
      <c r="AB12204" s="318"/>
      <c r="AC12204" s="318"/>
      <c r="AD12204" s="318"/>
    </row>
    <row r="12205" spans="2:30" s="323" customFormat="1" ht="12" customHeight="1">
      <c r="B12205" s="324"/>
      <c r="C12205" s="325"/>
      <c r="D12205" s="326"/>
      <c r="E12205" s="326"/>
      <c r="F12205" s="326"/>
      <c r="G12205" s="326"/>
      <c r="H12205" s="326"/>
      <c r="P12205" s="318"/>
      <c r="Q12205" s="318"/>
      <c r="R12205" s="318"/>
      <c r="S12205" s="318"/>
      <c r="T12205" s="318"/>
      <c r="U12205" s="318"/>
      <c r="V12205" s="318"/>
      <c r="W12205" s="318"/>
      <c r="X12205" s="318"/>
      <c r="Y12205" s="318"/>
      <c r="Z12205" s="318"/>
      <c r="AA12205" s="318"/>
      <c r="AB12205" s="318"/>
      <c r="AC12205" s="318"/>
      <c r="AD12205" s="318"/>
    </row>
    <row r="12206" spans="2:30" s="323" customFormat="1" ht="12" customHeight="1">
      <c r="B12206" s="324"/>
      <c r="C12206" s="325"/>
      <c r="D12206" s="326"/>
      <c r="E12206" s="326"/>
      <c r="F12206" s="326"/>
      <c r="G12206" s="326"/>
      <c r="H12206" s="326"/>
      <c r="P12206" s="318"/>
      <c r="Q12206" s="318"/>
      <c r="R12206" s="318"/>
      <c r="S12206" s="318"/>
      <c r="T12206" s="318"/>
      <c r="U12206" s="318"/>
      <c r="V12206" s="318"/>
      <c r="W12206" s="318"/>
      <c r="X12206" s="318"/>
      <c r="Y12206" s="318"/>
      <c r="Z12206" s="318"/>
      <c r="AA12206" s="318"/>
      <c r="AB12206" s="318"/>
      <c r="AC12206" s="318"/>
      <c r="AD12206" s="318"/>
    </row>
    <row r="12207" spans="2:30" s="323" customFormat="1" ht="12" customHeight="1">
      <c r="B12207" s="324"/>
      <c r="C12207" s="325"/>
      <c r="D12207" s="326"/>
      <c r="E12207" s="326"/>
      <c r="F12207" s="326"/>
      <c r="G12207" s="326"/>
      <c r="H12207" s="326"/>
      <c r="P12207" s="318"/>
      <c r="Q12207" s="318"/>
      <c r="R12207" s="318"/>
      <c r="S12207" s="318"/>
      <c r="T12207" s="318"/>
      <c r="U12207" s="318"/>
      <c r="V12207" s="318"/>
      <c r="W12207" s="318"/>
      <c r="X12207" s="318"/>
      <c r="Y12207" s="318"/>
      <c r="Z12207" s="318"/>
      <c r="AA12207" s="318"/>
      <c r="AB12207" s="318"/>
      <c r="AC12207" s="318"/>
      <c r="AD12207" s="318"/>
    </row>
    <row r="12208" spans="2:30" s="323" customFormat="1" ht="12" customHeight="1">
      <c r="B12208" s="324"/>
      <c r="C12208" s="325"/>
      <c r="D12208" s="326"/>
      <c r="E12208" s="326"/>
      <c r="F12208" s="326"/>
      <c r="G12208" s="326"/>
      <c r="H12208" s="326"/>
      <c r="P12208" s="318"/>
      <c r="Q12208" s="318"/>
      <c r="R12208" s="318"/>
      <c r="S12208" s="318"/>
      <c r="T12208" s="318"/>
      <c r="U12208" s="318"/>
      <c r="V12208" s="318"/>
      <c r="W12208" s="318"/>
      <c r="X12208" s="318"/>
      <c r="Y12208" s="318"/>
      <c r="Z12208" s="318"/>
      <c r="AA12208" s="318"/>
      <c r="AB12208" s="318"/>
      <c r="AC12208" s="318"/>
      <c r="AD12208" s="318"/>
    </row>
    <row r="12209" spans="2:30" s="323" customFormat="1" ht="12" customHeight="1">
      <c r="B12209" s="324"/>
      <c r="C12209" s="325"/>
      <c r="D12209" s="326"/>
      <c r="E12209" s="326"/>
      <c r="F12209" s="326"/>
      <c r="G12209" s="326"/>
      <c r="H12209" s="326"/>
      <c r="P12209" s="318"/>
      <c r="Q12209" s="318"/>
      <c r="R12209" s="318"/>
      <c r="S12209" s="318"/>
      <c r="T12209" s="318"/>
      <c r="U12209" s="318"/>
      <c r="V12209" s="318"/>
      <c r="W12209" s="318"/>
      <c r="X12209" s="318"/>
      <c r="Y12209" s="318"/>
      <c r="Z12209" s="318"/>
      <c r="AA12209" s="318"/>
      <c r="AB12209" s="318"/>
      <c r="AC12209" s="318"/>
      <c r="AD12209" s="318"/>
    </row>
    <row r="12210" spans="2:30" s="323" customFormat="1" ht="12" customHeight="1">
      <c r="B12210" s="324"/>
      <c r="C12210" s="325"/>
      <c r="D12210" s="326"/>
      <c r="E12210" s="326"/>
      <c r="F12210" s="326"/>
      <c r="G12210" s="326"/>
      <c r="H12210" s="326"/>
      <c r="P12210" s="318"/>
      <c r="Q12210" s="318"/>
      <c r="R12210" s="318"/>
      <c r="S12210" s="318"/>
      <c r="T12210" s="318"/>
      <c r="U12210" s="318"/>
      <c r="V12210" s="318"/>
      <c r="W12210" s="318"/>
      <c r="X12210" s="318"/>
      <c r="Y12210" s="318"/>
      <c r="Z12210" s="318"/>
      <c r="AA12210" s="318"/>
      <c r="AB12210" s="318"/>
      <c r="AC12210" s="318"/>
      <c r="AD12210" s="318"/>
    </row>
    <row r="12211" spans="2:30" s="323" customFormat="1" ht="12" customHeight="1">
      <c r="B12211" s="324"/>
      <c r="C12211" s="325"/>
      <c r="D12211" s="326"/>
      <c r="E12211" s="326"/>
      <c r="F12211" s="326"/>
      <c r="G12211" s="326"/>
      <c r="H12211" s="326"/>
      <c r="P12211" s="318"/>
      <c r="Q12211" s="318"/>
      <c r="R12211" s="318"/>
      <c r="S12211" s="318"/>
      <c r="T12211" s="318"/>
      <c r="U12211" s="318"/>
      <c r="V12211" s="318"/>
      <c r="W12211" s="318"/>
      <c r="X12211" s="318"/>
      <c r="Y12211" s="318"/>
      <c r="Z12211" s="318"/>
      <c r="AA12211" s="318"/>
      <c r="AB12211" s="318"/>
      <c r="AC12211" s="318"/>
      <c r="AD12211" s="318"/>
    </row>
    <row r="12212" spans="2:30" s="323" customFormat="1" ht="12" customHeight="1">
      <c r="B12212" s="324"/>
      <c r="C12212" s="325"/>
      <c r="D12212" s="326"/>
      <c r="E12212" s="326"/>
      <c r="F12212" s="326"/>
      <c r="G12212" s="326"/>
      <c r="H12212" s="326"/>
      <c r="P12212" s="318"/>
      <c r="Q12212" s="318"/>
      <c r="R12212" s="318"/>
      <c r="S12212" s="318"/>
      <c r="T12212" s="318"/>
      <c r="U12212" s="318"/>
      <c r="V12212" s="318"/>
      <c r="W12212" s="318"/>
      <c r="X12212" s="318"/>
      <c r="Y12212" s="318"/>
      <c r="Z12212" s="318"/>
      <c r="AA12212" s="318"/>
      <c r="AB12212" s="318"/>
      <c r="AC12212" s="318"/>
      <c r="AD12212" s="318"/>
    </row>
    <row r="12213" spans="2:30" s="323" customFormat="1" ht="12" customHeight="1">
      <c r="B12213" s="324"/>
      <c r="C12213" s="325"/>
      <c r="D12213" s="326"/>
      <c r="E12213" s="326"/>
      <c r="F12213" s="326"/>
      <c r="G12213" s="326"/>
      <c r="H12213" s="326"/>
      <c r="P12213" s="318"/>
      <c r="Q12213" s="318"/>
      <c r="R12213" s="318"/>
      <c r="S12213" s="318"/>
      <c r="T12213" s="318"/>
      <c r="U12213" s="318"/>
      <c r="V12213" s="318"/>
      <c r="W12213" s="318"/>
      <c r="X12213" s="318"/>
      <c r="Y12213" s="318"/>
      <c r="Z12213" s="318"/>
      <c r="AA12213" s="318"/>
      <c r="AB12213" s="318"/>
      <c r="AC12213" s="318"/>
      <c r="AD12213" s="318"/>
    </row>
    <row r="12214" spans="2:30" s="323" customFormat="1" ht="12" customHeight="1">
      <c r="B12214" s="324"/>
      <c r="C12214" s="325"/>
      <c r="D12214" s="326"/>
      <c r="E12214" s="326"/>
      <c r="F12214" s="326"/>
      <c r="G12214" s="326"/>
      <c r="H12214" s="326"/>
      <c r="P12214" s="318"/>
      <c r="Q12214" s="318"/>
      <c r="R12214" s="318"/>
      <c r="S12214" s="318"/>
      <c r="T12214" s="318"/>
      <c r="U12214" s="318"/>
      <c r="V12214" s="318"/>
      <c r="W12214" s="318"/>
      <c r="X12214" s="318"/>
      <c r="Y12214" s="318"/>
      <c r="Z12214" s="318"/>
      <c r="AA12214" s="318"/>
      <c r="AB12214" s="318"/>
      <c r="AC12214" s="318"/>
      <c r="AD12214" s="318"/>
    </row>
    <row r="12215" spans="2:30" s="323" customFormat="1" ht="12" customHeight="1">
      <c r="B12215" s="324"/>
      <c r="C12215" s="325"/>
      <c r="D12215" s="326"/>
      <c r="E12215" s="326"/>
      <c r="F12215" s="326"/>
      <c r="G12215" s="326"/>
      <c r="H12215" s="326"/>
      <c r="P12215" s="318"/>
      <c r="Q12215" s="318"/>
      <c r="R12215" s="318"/>
      <c r="S12215" s="318"/>
      <c r="T12215" s="318"/>
      <c r="U12215" s="318"/>
      <c r="V12215" s="318"/>
      <c r="W12215" s="318"/>
      <c r="X12215" s="318"/>
      <c r="Y12215" s="318"/>
      <c r="Z12215" s="318"/>
      <c r="AA12215" s="318"/>
      <c r="AB12215" s="318"/>
      <c r="AC12215" s="318"/>
      <c r="AD12215" s="318"/>
    </row>
    <row r="12216" spans="2:30" s="323" customFormat="1" ht="12" customHeight="1">
      <c r="B12216" s="324"/>
      <c r="C12216" s="325"/>
      <c r="D12216" s="326"/>
      <c r="E12216" s="326"/>
      <c r="F12216" s="326"/>
      <c r="G12216" s="326"/>
      <c r="H12216" s="326"/>
      <c r="P12216" s="318"/>
      <c r="Q12216" s="318"/>
      <c r="R12216" s="318"/>
      <c r="S12216" s="318"/>
      <c r="T12216" s="318"/>
      <c r="U12216" s="318"/>
      <c r="V12216" s="318"/>
      <c r="W12216" s="318"/>
      <c r="X12216" s="318"/>
      <c r="Y12216" s="318"/>
      <c r="Z12216" s="318"/>
      <c r="AA12216" s="318"/>
      <c r="AB12216" s="318"/>
      <c r="AC12216" s="318"/>
      <c r="AD12216" s="318"/>
    </row>
    <row r="12217" spans="2:30" s="323" customFormat="1" ht="12" customHeight="1">
      <c r="B12217" s="324"/>
      <c r="C12217" s="325"/>
      <c r="D12217" s="326"/>
      <c r="E12217" s="326"/>
      <c r="F12217" s="326"/>
      <c r="G12217" s="326"/>
      <c r="H12217" s="326"/>
      <c r="P12217" s="318"/>
      <c r="Q12217" s="318"/>
      <c r="R12217" s="318"/>
      <c r="S12217" s="318"/>
      <c r="T12217" s="318"/>
      <c r="U12217" s="318"/>
      <c r="V12217" s="318"/>
      <c r="W12217" s="318"/>
      <c r="X12217" s="318"/>
      <c r="Y12217" s="318"/>
      <c r="Z12217" s="318"/>
      <c r="AA12217" s="318"/>
      <c r="AB12217" s="318"/>
      <c r="AC12217" s="318"/>
      <c r="AD12217" s="318"/>
    </row>
    <row r="12218" spans="2:30" s="323" customFormat="1" ht="12" customHeight="1">
      <c r="B12218" s="324"/>
      <c r="C12218" s="325"/>
      <c r="D12218" s="326"/>
      <c r="E12218" s="326"/>
      <c r="F12218" s="326"/>
      <c r="G12218" s="326"/>
      <c r="H12218" s="326"/>
      <c r="P12218" s="318"/>
      <c r="Q12218" s="318"/>
      <c r="R12218" s="318"/>
      <c r="S12218" s="318"/>
      <c r="T12218" s="318"/>
      <c r="U12218" s="318"/>
      <c r="V12218" s="318"/>
      <c r="W12218" s="318"/>
      <c r="X12218" s="318"/>
      <c r="Y12218" s="318"/>
      <c r="Z12218" s="318"/>
      <c r="AA12218" s="318"/>
      <c r="AB12218" s="318"/>
      <c r="AC12218" s="318"/>
      <c r="AD12218" s="318"/>
    </row>
    <row r="12219" spans="2:30" s="323" customFormat="1" ht="12" customHeight="1">
      <c r="B12219" s="324"/>
      <c r="C12219" s="325"/>
      <c r="D12219" s="326"/>
      <c r="E12219" s="326"/>
      <c r="F12219" s="326"/>
      <c r="G12219" s="326"/>
      <c r="H12219" s="326"/>
      <c r="P12219" s="318"/>
      <c r="Q12219" s="318"/>
      <c r="R12219" s="318"/>
      <c r="S12219" s="318"/>
      <c r="T12219" s="318"/>
      <c r="U12219" s="318"/>
      <c r="V12219" s="318"/>
      <c r="W12219" s="318"/>
      <c r="X12219" s="318"/>
      <c r="Y12219" s="318"/>
      <c r="Z12219" s="318"/>
      <c r="AA12219" s="318"/>
      <c r="AB12219" s="318"/>
      <c r="AC12219" s="318"/>
      <c r="AD12219" s="318"/>
    </row>
    <row r="12220" spans="2:30" s="323" customFormat="1" ht="12" customHeight="1">
      <c r="B12220" s="324"/>
      <c r="C12220" s="325"/>
      <c r="D12220" s="326"/>
      <c r="E12220" s="326"/>
      <c r="F12220" s="326"/>
      <c r="G12220" s="326"/>
      <c r="H12220" s="326"/>
      <c r="P12220" s="318"/>
      <c r="Q12220" s="318"/>
      <c r="R12220" s="318"/>
      <c r="S12220" s="318"/>
      <c r="T12220" s="318"/>
      <c r="U12220" s="318"/>
      <c r="V12220" s="318"/>
      <c r="W12220" s="318"/>
      <c r="X12220" s="318"/>
      <c r="Y12220" s="318"/>
      <c r="Z12220" s="318"/>
      <c r="AA12220" s="318"/>
      <c r="AB12220" s="318"/>
      <c r="AC12220" s="318"/>
      <c r="AD12220" s="318"/>
    </row>
    <row r="12221" spans="2:30" s="323" customFormat="1" ht="12" customHeight="1">
      <c r="B12221" s="324"/>
      <c r="C12221" s="325"/>
      <c r="D12221" s="326"/>
      <c r="E12221" s="326"/>
      <c r="F12221" s="326"/>
      <c r="G12221" s="326"/>
      <c r="H12221" s="326"/>
      <c r="P12221" s="318"/>
      <c r="Q12221" s="318"/>
      <c r="R12221" s="318"/>
      <c r="S12221" s="318"/>
      <c r="T12221" s="318"/>
      <c r="U12221" s="318"/>
      <c r="V12221" s="318"/>
      <c r="W12221" s="318"/>
      <c r="X12221" s="318"/>
      <c r="Y12221" s="318"/>
      <c r="Z12221" s="318"/>
      <c r="AA12221" s="318"/>
      <c r="AB12221" s="318"/>
      <c r="AC12221" s="318"/>
      <c r="AD12221" s="318"/>
    </row>
    <row r="12222" spans="2:30" s="323" customFormat="1" ht="12" customHeight="1">
      <c r="B12222" s="324"/>
      <c r="C12222" s="325"/>
      <c r="D12222" s="326"/>
      <c r="E12222" s="326"/>
      <c r="F12222" s="326"/>
      <c r="G12222" s="326"/>
      <c r="H12222" s="326"/>
      <c r="P12222" s="318"/>
      <c r="Q12222" s="318"/>
      <c r="R12222" s="318"/>
      <c r="S12222" s="318"/>
      <c r="T12222" s="318"/>
      <c r="U12222" s="318"/>
      <c r="V12222" s="318"/>
      <c r="W12222" s="318"/>
      <c r="X12222" s="318"/>
      <c r="Y12222" s="318"/>
      <c r="Z12222" s="318"/>
      <c r="AA12222" s="318"/>
      <c r="AB12222" s="318"/>
      <c r="AC12222" s="318"/>
      <c r="AD12222" s="318"/>
    </row>
    <row r="12223" spans="2:30" s="323" customFormat="1" ht="12" customHeight="1">
      <c r="B12223" s="324"/>
      <c r="C12223" s="325"/>
      <c r="D12223" s="326"/>
      <c r="E12223" s="326"/>
      <c r="F12223" s="326"/>
      <c r="G12223" s="326"/>
      <c r="H12223" s="326"/>
      <c r="P12223" s="318"/>
      <c r="Q12223" s="318"/>
      <c r="R12223" s="318"/>
      <c r="S12223" s="318"/>
      <c r="T12223" s="318"/>
      <c r="U12223" s="318"/>
      <c r="V12223" s="318"/>
      <c r="W12223" s="318"/>
      <c r="X12223" s="318"/>
      <c r="Y12223" s="318"/>
      <c r="Z12223" s="318"/>
      <c r="AA12223" s="318"/>
      <c r="AB12223" s="318"/>
      <c r="AC12223" s="318"/>
      <c r="AD12223" s="318"/>
    </row>
    <row r="12224" spans="2:30" s="323" customFormat="1" ht="12" customHeight="1">
      <c r="B12224" s="324"/>
      <c r="C12224" s="325"/>
      <c r="D12224" s="326"/>
      <c r="E12224" s="326"/>
      <c r="F12224" s="326"/>
      <c r="G12224" s="326"/>
      <c r="H12224" s="326"/>
      <c r="P12224" s="318"/>
      <c r="Q12224" s="318"/>
      <c r="R12224" s="318"/>
      <c r="S12224" s="318"/>
      <c r="T12224" s="318"/>
      <c r="U12224" s="318"/>
      <c r="V12224" s="318"/>
      <c r="W12224" s="318"/>
      <c r="X12224" s="318"/>
      <c r="Y12224" s="318"/>
      <c r="Z12224" s="318"/>
      <c r="AA12224" s="318"/>
      <c r="AB12224" s="318"/>
      <c r="AC12224" s="318"/>
      <c r="AD12224" s="318"/>
    </row>
    <row r="12225" spans="2:30" s="323" customFormat="1" ht="12" customHeight="1">
      <c r="B12225" s="324"/>
      <c r="C12225" s="325"/>
      <c r="D12225" s="326"/>
      <c r="E12225" s="326"/>
      <c r="F12225" s="326"/>
      <c r="G12225" s="326"/>
      <c r="H12225" s="326"/>
      <c r="P12225" s="318"/>
      <c r="Q12225" s="318"/>
      <c r="R12225" s="318"/>
      <c r="S12225" s="318"/>
      <c r="T12225" s="318"/>
      <c r="U12225" s="318"/>
      <c r="V12225" s="318"/>
      <c r="W12225" s="318"/>
      <c r="X12225" s="318"/>
      <c r="Y12225" s="318"/>
      <c r="Z12225" s="318"/>
      <c r="AA12225" s="318"/>
      <c r="AB12225" s="318"/>
      <c r="AC12225" s="318"/>
      <c r="AD12225" s="318"/>
    </row>
    <row r="12226" spans="2:30" s="323" customFormat="1" ht="12" customHeight="1">
      <c r="B12226" s="324"/>
      <c r="C12226" s="325"/>
      <c r="D12226" s="326"/>
      <c r="E12226" s="326"/>
      <c r="F12226" s="326"/>
      <c r="G12226" s="326"/>
      <c r="H12226" s="326"/>
      <c r="P12226" s="318"/>
      <c r="Q12226" s="318"/>
      <c r="R12226" s="318"/>
      <c r="S12226" s="318"/>
      <c r="T12226" s="318"/>
      <c r="U12226" s="318"/>
      <c r="V12226" s="318"/>
      <c r="W12226" s="318"/>
      <c r="X12226" s="318"/>
      <c r="Y12226" s="318"/>
      <c r="Z12226" s="318"/>
      <c r="AA12226" s="318"/>
      <c r="AB12226" s="318"/>
      <c r="AC12226" s="318"/>
      <c r="AD12226" s="318"/>
    </row>
    <row r="12227" spans="2:30" s="323" customFormat="1" ht="12" customHeight="1">
      <c r="B12227" s="324"/>
      <c r="C12227" s="325"/>
      <c r="D12227" s="326"/>
      <c r="E12227" s="326"/>
      <c r="F12227" s="326"/>
      <c r="G12227" s="326"/>
      <c r="H12227" s="326"/>
      <c r="P12227" s="318"/>
      <c r="Q12227" s="318"/>
      <c r="R12227" s="318"/>
      <c r="S12227" s="318"/>
      <c r="T12227" s="318"/>
      <c r="U12227" s="318"/>
      <c r="V12227" s="318"/>
      <c r="W12227" s="318"/>
      <c r="X12227" s="318"/>
      <c r="Y12227" s="318"/>
      <c r="Z12227" s="318"/>
      <c r="AA12227" s="318"/>
      <c r="AB12227" s="318"/>
      <c r="AC12227" s="318"/>
      <c r="AD12227" s="318"/>
    </row>
    <row r="12228" spans="2:30" s="323" customFormat="1" ht="12" customHeight="1">
      <c r="B12228" s="324"/>
      <c r="C12228" s="325"/>
      <c r="D12228" s="326"/>
      <c r="E12228" s="326"/>
      <c r="F12228" s="326"/>
      <c r="G12228" s="326"/>
      <c r="H12228" s="326"/>
      <c r="P12228" s="318"/>
      <c r="Q12228" s="318"/>
      <c r="R12228" s="318"/>
      <c r="S12228" s="318"/>
      <c r="T12228" s="318"/>
      <c r="U12228" s="318"/>
      <c r="V12228" s="318"/>
      <c r="W12228" s="318"/>
      <c r="X12228" s="318"/>
      <c r="Y12228" s="318"/>
      <c r="Z12228" s="318"/>
      <c r="AA12228" s="318"/>
      <c r="AB12228" s="318"/>
      <c r="AC12228" s="318"/>
      <c r="AD12228" s="318"/>
    </row>
    <row r="12229" spans="2:30" s="323" customFormat="1" ht="12" customHeight="1">
      <c r="B12229" s="324"/>
      <c r="C12229" s="325"/>
      <c r="D12229" s="326"/>
      <c r="E12229" s="326"/>
      <c r="F12229" s="326"/>
      <c r="G12229" s="326"/>
      <c r="H12229" s="326"/>
      <c r="P12229" s="318"/>
      <c r="Q12229" s="318"/>
      <c r="R12229" s="318"/>
      <c r="S12229" s="318"/>
      <c r="T12229" s="318"/>
      <c r="U12229" s="318"/>
      <c r="V12229" s="318"/>
      <c r="W12229" s="318"/>
      <c r="X12229" s="318"/>
      <c r="Y12229" s="318"/>
      <c r="Z12229" s="318"/>
      <c r="AA12229" s="318"/>
      <c r="AB12229" s="318"/>
      <c r="AC12229" s="318"/>
      <c r="AD12229" s="318"/>
    </row>
    <row r="12230" spans="2:30" s="323" customFormat="1" ht="12" customHeight="1">
      <c r="B12230" s="324"/>
      <c r="C12230" s="325"/>
      <c r="D12230" s="326"/>
      <c r="E12230" s="326"/>
      <c r="F12230" s="326"/>
      <c r="G12230" s="326"/>
      <c r="H12230" s="326"/>
      <c r="P12230" s="318"/>
      <c r="Q12230" s="318"/>
      <c r="R12230" s="318"/>
      <c r="S12230" s="318"/>
      <c r="T12230" s="318"/>
      <c r="U12230" s="318"/>
      <c r="V12230" s="318"/>
      <c r="W12230" s="318"/>
      <c r="X12230" s="318"/>
      <c r="Y12230" s="318"/>
      <c r="Z12230" s="318"/>
      <c r="AA12230" s="318"/>
      <c r="AB12230" s="318"/>
      <c r="AC12230" s="318"/>
      <c r="AD12230" s="318"/>
    </row>
    <row r="12231" spans="2:30" s="323" customFormat="1" ht="12" customHeight="1">
      <c r="B12231" s="324"/>
      <c r="C12231" s="325"/>
      <c r="D12231" s="326"/>
      <c r="E12231" s="326"/>
      <c r="F12231" s="326"/>
      <c r="G12231" s="326"/>
      <c r="H12231" s="326"/>
      <c r="P12231" s="318"/>
      <c r="Q12231" s="318"/>
      <c r="R12231" s="318"/>
      <c r="S12231" s="318"/>
      <c r="T12231" s="318"/>
      <c r="U12231" s="318"/>
      <c r="V12231" s="318"/>
      <c r="W12231" s="318"/>
      <c r="X12231" s="318"/>
      <c r="Y12231" s="318"/>
      <c r="Z12231" s="318"/>
      <c r="AA12231" s="318"/>
      <c r="AB12231" s="318"/>
      <c r="AC12231" s="318"/>
      <c r="AD12231" s="318"/>
    </row>
    <row r="12232" spans="2:30" s="323" customFormat="1" ht="12" customHeight="1">
      <c r="B12232" s="324"/>
      <c r="C12232" s="325"/>
      <c r="D12232" s="326"/>
      <c r="E12232" s="326"/>
      <c r="F12232" s="326"/>
      <c r="G12232" s="326"/>
      <c r="H12232" s="326"/>
      <c r="P12232" s="318"/>
      <c r="Q12232" s="318"/>
      <c r="R12232" s="318"/>
      <c r="S12232" s="318"/>
      <c r="T12232" s="318"/>
      <c r="U12232" s="318"/>
      <c r="V12232" s="318"/>
      <c r="W12232" s="318"/>
      <c r="X12232" s="318"/>
      <c r="Y12232" s="318"/>
      <c r="Z12232" s="318"/>
      <c r="AA12232" s="318"/>
      <c r="AB12232" s="318"/>
      <c r="AC12232" s="318"/>
      <c r="AD12232" s="318"/>
    </row>
    <row r="12233" spans="2:30" s="323" customFormat="1" ht="12" customHeight="1">
      <c r="B12233" s="324"/>
      <c r="C12233" s="325"/>
      <c r="D12233" s="326"/>
      <c r="E12233" s="326"/>
      <c r="F12233" s="326"/>
      <c r="G12233" s="326"/>
      <c r="H12233" s="326"/>
      <c r="P12233" s="318"/>
      <c r="Q12233" s="318"/>
      <c r="R12233" s="318"/>
      <c r="S12233" s="318"/>
      <c r="T12233" s="318"/>
      <c r="U12233" s="318"/>
      <c r="V12233" s="318"/>
      <c r="W12233" s="318"/>
      <c r="X12233" s="318"/>
      <c r="Y12233" s="318"/>
      <c r="Z12233" s="318"/>
      <c r="AA12233" s="318"/>
      <c r="AB12233" s="318"/>
      <c r="AC12233" s="318"/>
      <c r="AD12233" s="318"/>
    </row>
    <row r="12234" spans="2:30" s="323" customFormat="1" ht="12" customHeight="1">
      <c r="B12234" s="324"/>
      <c r="C12234" s="325"/>
      <c r="D12234" s="326"/>
      <c r="E12234" s="326"/>
      <c r="F12234" s="326"/>
      <c r="G12234" s="326"/>
      <c r="H12234" s="326"/>
      <c r="P12234" s="318"/>
      <c r="Q12234" s="318"/>
      <c r="R12234" s="318"/>
      <c r="S12234" s="318"/>
      <c r="T12234" s="318"/>
      <c r="U12234" s="318"/>
      <c r="V12234" s="318"/>
      <c r="W12234" s="318"/>
      <c r="X12234" s="318"/>
      <c r="Y12234" s="318"/>
      <c r="Z12234" s="318"/>
      <c r="AA12234" s="318"/>
      <c r="AB12234" s="318"/>
      <c r="AC12234" s="318"/>
      <c r="AD12234" s="318"/>
    </row>
    <row r="12235" spans="2:30" s="323" customFormat="1" ht="12" customHeight="1">
      <c r="B12235" s="324"/>
      <c r="C12235" s="325"/>
      <c r="D12235" s="326"/>
      <c r="E12235" s="326"/>
      <c r="F12235" s="326"/>
      <c r="G12235" s="326"/>
      <c r="H12235" s="326"/>
      <c r="P12235" s="318"/>
      <c r="Q12235" s="318"/>
      <c r="R12235" s="318"/>
      <c r="S12235" s="318"/>
      <c r="T12235" s="318"/>
      <c r="U12235" s="318"/>
      <c r="V12235" s="318"/>
      <c r="W12235" s="318"/>
      <c r="X12235" s="318"/>
      <c r="Y12235" s="318"/>
      <c r="Z12235" s="318"/>
      <c r="AA12235" s="318"/>
      <c r="AB12235" s="318"/>
      <c r="AC12235" s="318"/>
      <c r="AD12235" s="318"/>
    </row>
    <row r="12236" spans="2:30" s="323" customFormat="1" ht="12" customHeight="1">
      <c r="B12236" s="324"/>
      <c r="C12236" s="325"/>
      <c r="D12236" s="326"/>
      <c r="E12236" s="326"/>
      <c r="F12236" s="326"/>
      <c r="G12236" s="326"/>
      <c r="H12236" s="326"/>
      <c r="P12236" s="318"/>
      <c r="Q12236" s="318"/>
      <c r="R12236" s="318"/>
      <c r="S12236" s="318"/>
      <c r="T12236" s="318"/>
      <c r="U12236" s="318"/>
      <c r="V12236" s="318"/>
      <c r="W12236" s="318"/>
      <c r="X12236" s="318"/>
      <c r="Y12236" s="318"/>
      <c r="Z12236" s="318"/>
      <c r="AA12236" s="318"/>
      <c r="AB12236" s="318"/>
      <c r="AC12236" s="318"/>
      <c r="AD12236" s="318"/>
    </row>
    <row r="12237" spans="2:30" s="323" customFormat="1" ht="12" customHeight="1">
      <c r="B12237" s="324"/>
      <c r="C12237" s="325"/>
      <c r="D12237" s="326"/>
      <c r="E12237" s="326"/>
      <c r="F12237" s="326"/>
      <c r="G12237" s="326"/>
      <c r="H12237" s="326"/>
      <c r="P12237" s="318"/>
      <c r="Q12237" s="318"/>
      <c r="R12237" s="318"/>
      <c r="S12237" s="318"/>
      <c r="T12237" s="318"/>
      <c r="U12237" s="318"/>
      <c r="V12237" s="318"/>
      <c r="W12237" s="318"/>
      <c r="X12237" s="318"/>
      <c r="Y12237" s="318"/>
      <c r="Z12237" s="318"/>
      <c r="AA12237" s="318"/>
      <c r="AB12237" s="318"/>
      <c r="AC12237" s="318"/>
      <c r="AD12237" s="318"/>
    </row>
    <row r="12238" spans="2:30" s="323" customFormat="1" ht="12" customHeight="1">
      <c r="B12238" s="324"/>
      <c r="C12238" s="325"/>
      <c r="D12238" s="326"/>
      <c r="E12238" s="326"/>
      <c r="F12238" s="326"/>
      <c r="G12238" s="326"/>
      <c r="H12238" s="326"/>
      <c r="P12238" s="318"/>
      <c r="Q12238" s="318"/>
      <c r="R12238" s="318"/>
      <c r="S12238" s="318"/>
      <c r="T12238" s="318"/>
      <c r="U12238" s="318"/>
      <c r="V12238" s="318"/>
      <c r="W12238" s="318"/>
      <c r="X12238" s="318"/>
      <c r="Y12238" s="318"/>
      <c r="Z12238" s="318"/>
      <c r="AA12238" s="318"/>
      <c r="AB12238" s="318"/>
      <c r="AC12238" s="318"/>
      <c r="AD12238" s="318"/>
    </row>
    <row r="12239" spans="2:30" s="323" customFormat="1" ht="12" customHeight="1">
      <c r="B12239" s="324"/>
      <c r="C12239" s="325"/>
      <c r="D12239" s="326"/>
      <c r="E12239" s="326"/>
      <c r="F12239" s="326"/>
      <c r="G12239" s="326"/>
      <c r="H12239" s="326"/>
      <c r="P12239" s="318"/>
      <c r="Q12239" s="318"/>
      <c r="R12239" s="318"/>
      <c r="S12239" s="318"/>
      <c r="T12239" s="318"/>
      <c r="U12239" s="318"/>
      <c r="V12239" s="318"/>
      <c r="W12239" s="318"/>
      <c r="X12239" s="318"/>
      <c r="Y12239" s="318"/>
      <c r="Z12239" s="318"/>
      <c r="AA12239" s="318"/>
      <c r="AB12239" s="318"/>
      <c r="AC12239" s="318"/>
      <c r="AD12239" s="318"/>
    </row>
    <row r="12240" spans="2:30" s="323" customFormat="1" ht="12" customHeight="1">
      <c r="B12240" s="324"/>
      <c r="C12240" s="325"/>
      <c r="D12240" s="326"/>
      <c r="E12240" s="326"/>
      <c r="F12240" s="326"/>
      <c r="G12240" s="326"/>
      <c r="H12240" s="326"/>
      <c r="P12240" s="318"/>
      <c r="Q12240" s="318"/>
      <c r="R12240" s="318"/>
      <c r="S12240" s="318"/>
      <c r="T12240" s="318"/>
      <c r="U12240" s="318"/>
      <c r="V12240" s="318"/>
      <c r="W12240" s="318"/>
      <c r="X12240" s="318"/>
      <c r="Y12240" s="318"/>
      <c r="Z12240" s="318"/>
      <c r="AA12240" s="318"/>
      <c r="AB12240" s="318"/>
      <c r="AC12240" s="318"/>
      <c r="AD12240" s="318"/>
    </row>
    <row r="12241" spans="2:30" s="323" customFormat="1" ht="12" customHeight="1">
      <c r="B12241" s="324"/>
      <c r="C12241" s="325"/>
      <c r="D12241" s="326"/>
      <c r="E12241" s="326"/>
      <c r="F12241" s="326"/>
      <c r="G12241" s="326"/>
      <c r="H12241" s="326"/>
      <c r="P12241" s="318"/>
      <c r="Q12241" s="318"/>
      <c r="R12241" s="318"/>
      <c r="S12241" s="318"/>
      <c r="T12241" s="318"/>
      <c r="U12241" s="318"/>
      <c r="V12241" s="318"/>
      <c r="W12241" s="318"/>
      <c r="X12241" s="318"/>
      <c r="Y12241" s="318"/>
      <c r="Z12241" s="318"/>
      <c r="AA12241" s="318"/>
      <c r="AB12241" s="318"/>
      <c r="AC12241" s="318"/>
      <c r="AD12241" s="318"/>
    </row>
    <row r="12242" spans="2:30" s="323" customFormat="1" ht="12" customHeight="1">
      <c r="B12242" s="324"/>
      <c r="C12242" s="325"/>
      <c r="D12242" s="326"/>
      <c r="E12242" s="326"/>
      <c r="F12242" s="326"/>
      <c r="G12242" s="326"/>
      <c r="H12242" s="326"/>
      <c r="P12242" s="318"/>
      <c r="Q12242" s="318"/>
      <c r="R12242" s="318"/>
      <c r="S12242" s="318"/>
      <c r="T12242" s="318"/>
      <c r="U12242" s="318"/>
      <c r="V12242" s="318"/>
      <c r="W12242" s="318"/>
      <c r="X12242" s="318"/>
      <c r="Y12242" s="318"/>
      <c r="Z12242" s="318"/>
      <c r="AA12242" s="318"/>
      <c r="AB12242" s="318"/>
      <c r="AC12242" s="318"/>
      <c r="AD12242" s="318"/>
    </row>
    <row r="12243" spans="2:30" s="323" customFormat="1" ht="12" customHeight="1">
      <c r="B12243" s="324"/>
      <c r="C12243" s="325"/>
      <c r="D12243" s="326"/>
      <c r="E12243" s="326"/>
      <c r="F12243" s="326"/>
      <c r="G12243" s="326"/>
      <c r="H12243" s="326"/>
      <c r="P12243" s="318"/>
      <c r="Q12243" s="318"/>
      <c r="R12243" s="318"/>
      <c r="S12243" s="318"/>
      <c r="T12243" s="318"/>
      <c r="U12243" s="318"/>
      <c r="V12243" s="318"/>
      <c r="W12243" s="318"/>
      <c r="X12243" s="318"/>
      <c r="Y12243" s="318"/>
      <c r="Z12243" s="318"/>
      <c r="AA12243" s="318"/>
      <c r="AB12243" s="318"/>
      <c r="AC12243" s="318"/>
      <c r="AD12243" s="318"/>
    </row>
    <row r="12244" spans="2:30" s="323" customFormat="1" ht="12" customHeight="1">
      <c r="B12244" s="324"/>
      <c r="C12244" s="325"/>
      <c r="D12244" s="326"/>
      <c r="E12244" s="326"/>
      <c r="F12244" s="326"/>
      <c r="G12244" s="326"/>
      <c r="H12244" s="326"/>
      <c r="P12244" s="318"/>
      <c r="Q12244" s="318"/>
      <c r="R12244" s="318"/>
      <c r="S12244" s="318"/>
      <c r="T12244" s="318"/>
      <c r="U12244" s="318"/>
      <c r="V12244" s="318"/>
      <c r="W12244" s="318"/>
      <c r="X12244" s="318"/>
      <c r="Y12244" s="318"/>
      <c r="Z12244" s="318"/>
      <c r="AA12244" s="318"/>
      <c r="AB12244" s="318"/>
      <c r="AC12244" s="318"/>
      <c r="AD12244" s="318"/>
    </row>
    <row r="12245" spans="2:30" s="323" customFormat="1" ht="12" customHeight="1">
      <c r="B12245" s="324"/>
      <c r="C12245" s="325"/>
      <c r="D12245" s="326"/>
      <c r="E12245" s="326"/>
      <c r="F12245" s="326"/>
      <c r="G12245" s="326"/>
      <c r="H12245" s="326"/>
      <c r="P12245" s="318"/>
      <c r="Q12245" s="318"/>
      <c r="R12245" s="318"/>
      <c r="S12245" s="318"/>
      <c r="T12245" s="318"/>
      <c r="U12245" s="318"/>
      <c r="V12245" s="318"/>
      <c r="W12245" s="318"/>
      <c r="X12245" s="318"/>
      <c r="Y12245" s="318"/>
      <c r="Z12245" s="318"/>
      <c r="AA12245" s="318"/>
      <c r="AB12245" s="318"/>
      <c r="AC12245" s="318"/>
      <c r="AD12245" s="318"/>
    </row>
    <row r="12246" spans="2:30" s="323" customFormat="1" ht="12" customHeight="1">
      <c r="B12246" s="324"/>
      <c r="C12246" s="325"/>
      <c r="D12246" s="326"/>
      <c r="E12246" s="326"/>
      <c r="F12246" s="326"/>
      <c r="G12246" s="326"/>
      <c r="H12246" s="326"/>
      <c r="P12246" s="318"/>
      <c r="Q12246" s="318"/>
      <c r="R12246" s="318"/>
      <c r="S12246" s="318"/>
      <c r="T12246" s="318"/>
      <c r="U12246" s="318"/>
      <c r="V12246" s="318"/>
      <c r="W12246" s="318"/>
      <c r="X12246" s="318"/>
      <c r="Y12246" s="318"/>
      <c r="Z12246" s="318"/>
      <c r="AA12246" s="318"/>
      <c r="AB12246" s="318"/>
      <c r="AC12246" s="318"/>
      <c r="AD12246" s="318"/>
    </row>
    <row r="12247" spans="2:30" s="323" customFormat="1" ht="12" customHeight="1">
      <c r="B12247" s="324"/>
      <c r="C12247" s="325"/>
      <c r="D12247" s="326"/>
      <c r="E12247" s="326"/>
      <c r="F12247" s="326"/>
      <c r="G12247" s="326"/>
      <c r="H12247" s="326"/>
      <c r="P12247" s="318"/>
      <c r="Q12247" s="318"/>
      <c r="R12247" s="318"/>
      <c r="S12247" s="318"/>
      <c r="T12247" s="318"/>
      <c r="U12247" s="318"/>
      <c r="V12247" s="318"/>
      <c r="W12247" s="318"/>
      <c r="X12247" s="318"/>
      <c r="Y12247" s="318"/>
      <c r="Z12247" s="318"/>
      <c r="AA12247" s="318"/>
      <c r="AB12247" s="318"/>
      <c r="AC12247" s="318"/>
      <c r="AD12247" s="318"/>
    </row>
    <row r="12248" spans="2:30" s="323" customFormat="1" ht="12" customHeight="1">
      <c r="B12248" s="324"/>
      <c r="C12248" s="325"/>
      <c r="D12248" s="326"/>
      <c r="E12248" s="326"/>
      <c r="F12248" s="326"/>
      <c r="G12248" s="326"/>
      <c r="H12248" s="326"/>
      <c r="P12248" s="318"/>
      <c r="Q12248" s="318"/>
      <c r="R12248" s="318"/>
      <c r="S12248" s="318"/>
      <c r="T12248" s="318"/>
      <c r="U12248" s="318"/>
      <c r="V12248" s="318"/>
      <c r="W12248" s="318"/>
      <c r="X12248" s="318"/>
      <c r="Y12248" s="318"/>
      <c r="Z12248" s="318"/>
      <c r="AA12248" s="318"/>
      <c r="AB12248" s="318"/>
      <c r="AC12248" s="318"/>
      <c r="AD12248" s="318"/>
    </row>
    <row r="12249" spans="2:30" s="323" customFormat="1" ht="12" customHeight="1">
      <c r="B12249" s="324"/>
      <c r="C12249" s="325"/>
      <c r="D12249" s="326"/>
      <c r="E12249" s="326"/>
      <c r="F12249" s="326"/>
      <c r="G12249" s="326"/>
      <c r="H12249" s="326"/>
      <c r="P12249" s="318"/>
      <c r="Q12249" s="318"/>
      <c r="R12249" s="318"/>
      <c r="S12249" s="318"/>
      <c r="T12249" s="318"/>
      <c r="U12249" s="318"/>
      <c r="V12249" s="318"/>
      <c r="W12249" s="318"/>
      <c r="X12249" s="318"/>
      <c r="Y12249" s="318"/>
      <c r="Z12249" s="318"/>
      <c r="AA12249" s="318"/>
      <c r="AB12249" s="318"/>
      <c r="AC12249" s="318"/>
      <c r="AD12249" s="318"/>
    </row>
    <row r="12250" spans="2:30" s="323" customFormat="1" ht="12" customHeight="1">
      <c r="B12250" s="324"/>
      <c r="C12250" s="325"/>
      <c r="D12250" s="326"/>
      <c r="E12250" s="326"/>
      <c r="F12250" s="326"/>
      <c r="G12250" s="326"/>
      <c r="H12250" s="326"/>
      <c r="P12250" s="318"/>
      <c r="Q12250" s="318"/>
      <c r="R12250" s="318"/>
      <c r="S12250" s="318"/>
      <c r="T12250" s="318"/>
      <c r="U12250" s="318"/>
      <c r="V12250" s="318"/>
      <c r="W12250" s="318"/>
      <c r="X12250" s="318"/>
      <c r="Y12250" s="318"/>
      <c r="Z12250" s="318"/>
      <c r="AA12250" s="318"/>
      <c r="AB12250" s="318"/>
      <c r="AC12250" s="318"/>
      <c r="AD12250" s="318"/>
    </row>
    <row r="12251" spans="2:30" s="323" customFormat="1" ht="12" customHeight="1">
      <c r="B12251" s="324"/>
      <c r="C12251" s="325"/>
      <c r="D12251" s="326"/>
      <c r="E12251" s="326"/>
      <c r="F12251" s="326"/>
      <c r="G12251" s="326"/>
      <c r="H12251" s="326"/>
      <c r="P12251" s="318"/>
      <c r="Q12251" s="318"/>
      <c r="R12251" s="318"/>
      <c r="S12251" s="318"/>
      <c r="T12251" s="318"/>
      <c r="U12251" s="318"/>
      <c r="V12251" s="318"/>
      <c r="W12251" s="318"/>
      <c r="X12251" s="318"/>
      <c r="Y12251" s="318"/>
      <c r="Z12251" s="318"/>
      <c r="AA12251" s="318"/>
      <c r="AB12251" s="318"/>
      <c r="AC12251" s="318"/>
      <c r="AD12251" s="318"/>
    </row>
    <row r="12252" spans="2:30" s="323" customFormat="1" ht="12" customHeight="1">
      <c r="B12252" s="324"/>
      <c r="C12252" s="325"/>
      <c r="D12252" s="326"/>
      <c r="E12252" s="326"/>
      <c r="F12252" s="326"/>
      <c r="G12252" s="326"/>
      <c r="H12252" s="326"/>
      <c r="P12252" s="318"/>
      <c r="Q12252" s="318"/>
      <c r="R12252" s="318"/>
      <c r="S12252" s="318"/>
      <c r="T12252" s="318"/>
      <c r="U12252" s="318"/>
      <c r="V12252" s="318"/>
      <c r="W12252" s="318"/>
      <c r="X12252" s="318"/>
      <c r="Y12252" s="318"/>
      <c r="Z12252" s="318"/>
      <c r="AA12252" s="318"/>
      <c r="AB12252" s="318"/>
      <c r="AC12252" s="318"/>
      <c r="AD12252" s="318"/>
    </row>
    <row r="12253" spans="2:30" s="323" customFormat="1" ht="12" customHeight="1">
      <c r="B12253" s="324"/>
      <c r="C12253" s="325"/>
      <c r="D12253" s="326"/>
      <c r="E12253" s="326"/>
      <c r="F12253" s="326"/>
      <c r="G12253" s="326"/>
      <c r="H12253" s="326"/>
      <c r="P12253" s="318"/>
      <c r="Q12253" s="318"/>
      <c r="R12253" s="318"/>
      <c r="S12253" s="318"/>
      <c r="T12253" s="318"/>
      <c r="U12253" s="318"/>
      <c r="V12253" s="318"/>
      <c r="W12253" s="318"/>
      <c r="X12253" s="318"/>
      <c r="Y12253" s="318"/>
      <c r="Z12253" s="318"/>
      <c r="AA12253" s="318"/>
      <c r="AB12253" s="318"/>
      <c r="AC12253" s="318"/>
      <c r="AD12253" s="318"/>
    </row>
    <row r="12254" spans="2:30" s="323" customFormat="1" ht="12" customHeight="1">
      <c r="B12254" s="324"/>
      <c r="C12254" s="325"/>
      <c r="D12254" s="326"/>
      <c r="E12254" s="326"/>
      <c r="F12254" s="326"/>
      <c r="G12254" s="326"/>
      <c r="H12254" s="326"/>
      <c r="P12254" s="318"/>
      <c r="Q12254" s="318"/>
      <c r="R12254" s="318"/>
      <c r="S12254" s="318"/>
      <c r="T12254" s="318"/>
      <c r="U12254" s="318"/>
      <c r="V12254" s="318"/>
      <c r="W12254" s="318"/>
      <c r="X12254" s="318"/>
      <c r="Y12254" s="318"/>
      <c r="Z12254" s="318"/>
      <c r="AA12254" s="318"/>
      <c r="AB12254" s="318"/>
      <c r="AC12254" s="318"/>
      <c r="AD12254" s="318"/>
    </row>
    <row r="12255" spans="2:30" s="323" customFormat="1" ht="12" customHeight="1">
      <c r="B12255" s="324"/>
      <c r="C12255" s="325"/>
      <c r="D12255" s="326"/>
      <c r="E12255" s="326"/>
      <c r="F12255" s="326"/>
      <c r="G12255" s="326"/>
      <c r="H12255" s="326"/>
      <c r="P12255" s="318"/>
      <c r="Q12255" s="318"/>
      <c r="R12255" s="318"/>
      <c r="S12255" s="318"/>
      <c r="T12255" s="318"/>
      <c r="U12255" s="318"/>
      <c r="V12255" s="318"/>
      <c r="W12255" s="318"/>
      <c r="X12255" s="318"/>
      <c r="Y12255" s="318"/>
      <c r="Z12255" s="318"/>
      <c r="AA12255" s="318"/>
      <c r="AB12255" s="318"/>
      <c r="AC12255" s="318"/>
      <c r="AD12255" s="318"/>
    </row>
    <row r="12256" spans="2:30" s="323" customFormat="1" ht="12" customHeight="1">
      <c r="B12256" s="324"/>
      <c r="C12256" s="325"/>
      <c r="D12256" s="326"/>
      <c r="E12256" s="326"/>
      <c r="F12256" s="326"/>
      <c r="G12256" s="326"/>
      <c r="H12256" s="326"/>
      <c r="P12256" s="318"/>
      <c r="Q12256" s="318"/>
      <c r="R12256" s="318"/>
      <c r="S12256" s="318"/>
      <c r="T12256" s="318"/>
      <c r="U12256" s="318"/>
      <c r="V12256" s="318"/>
      <c r="W12256" s="318"/>
      <c r="X12256" s="318"/>
      <c r="Y12256" s="318"/>
      <c r="Z12256" s="318"/>
      <c r="AA12256" s="318"/>
      <c r="AB12256" s="318"/>
      <c r="AC12256" s="318"/>
      <c r="AD12256" s="318"/>
    </row>
    <row r="12257" spans="2:30" s="323" customFormat="1" ht="12" customHeight="1">
      <c r="B12257" s="324"/>
      <c r="C12257" s="325"/>
      <c r="D12257" s="326"/>
      <c r="E12257" s="326"/>
      <c r="F12257" s="326"/>
      <c r="G12257" s="326"/>
      <c r="H12257" s="326"/>
      <c r="P12257" s="318"/>
      <c r="Q12257" s="318"/>
      <c r="R12257" s="318"/>
      <c r="S12257" s="318"/>
      <c r="T12257" s="318"/>
      <c r="U12257" s="318"/>
      <c r="V12257" s="318"/>
      <c r="W12257" s="318"/>
      <c r="X12257" s="318"/>
      <c r="Y12257" s="318"/>
      <c r="Z12257" s="318"/>
      <c r="AA12257" s="318"/>
      <c r="AB12257" s="318"/>
      <c r="AC12257" s="318"/>
      <c r="AD12257" s="318"/>
    </row>
    <row r="12258" spans="2:30" s="323" customFormat="1" ht="12" customHeight="1">
      <c r="B12258" s="324"/>
      <c r="C12258" s="325"/>
      <c r="D12258" s="326"/>
      <c r="E12258" s="326"/>
      <c r="F12258" s="326"/>
      <c r="G12258" s="326"/>
      <c r="H12258" s="326"/>
      <c r="P12258" s="318"/>
      <c r="Q12258" s="318"/>
      <c r="R12258" s="318"/>
      <c r="S12258" s="318"/>
      <c r="T12258" s="318"/>
      <c r="U12258" s="318"/>
      <c r="V12258" s="318"/>
      <c r="W12258" s="318"/>
      <c r="X12258" s="318"/>
      <c r="Y12258" s="318"/>
      <c r="Z12258" s="318"/>
      <c r="AA12258" s="318"/>
      <c r="AB12258" s="318"/>
      <c r="AC12258" s="318"/>
      <c r="AD12258" s="318"/>
    </row>
    <row r="12259" spans="2:30" s="323" customFormat="1" ht="12" customHeight="1">
      <c r="B12259" s="324"/>
      <c r="C12259" s="325"/>
      <c r="D12259" s="326"/>
      <c r="E12259" s="326"/>
      <c r="F12259" s="326"/>
      <c r="G12259" s="326"/>
      <c r="H12259" s="326"/>
      <c r="P12259" s="318"/>
      <c r="Q12259" s="318"/>
      <c r="R12259" s="318"/>
      <c r="S12259" s="318"/>
      <c r="T12259" s="318"/>
      <c r="U12259" s="318"/>
      <c r="V12259" s="318"/>
      <c r="W12259" s="318"/>
      <c r="X12259" s="318"/>
      <c r="Y12259" s="318"/>
      <c r="Z12259" s="318"/>
      <c r="AA12259" s="318"/>
      <c r="AB12259" s="318"/>
      <c r="AC12259" s="318"/>
      <c r="AD12259" s="318"/>
    </row>
    <row r="12260" spans="2:30" s="323" customFormat="1" ht="12" customHeight="1">
      <c r="B12260" s="324"/>
      <c r="C12260" s="325"/>
      <c r="D12260" s="326"/>
      <c r="E12260" s="326"/>
      <c r="F12260" s="326"/>
      <c r="G12260" s="326"/>
      <c r="H12260" s="326"/>
      <c r="P12260" s="318"/>
      <c r="Q12260" s="318"/>
      <c r="R12260" s="318"/>
      <c r="S12260" s="318"/>
      <c r="T12260" s="318"/>
      <c r="U12260" s="318"/>
      <c r="V12260" s="318"/>
      <c r="W12260" s="318"/>
      <c r="X12260" s="318"/>
      <c r="Y12260" s="318"/>
      <c r="Z12260" s="318"/>
      <c r="AA12260" s="318"/>
      <c r="AB12260" s="318"/>
      <c r="AC12260" s="318"/>
      <c r="AD12260" s="318"/>
    </row>
    <row r="12261" spans="2:30" s="323" customFormat="1" ht="12" customHeight="1">
      <c r="B12261" s="324"/>
      <c r="C12261" s="325"/>
      <c r="D12261" s="326"/>
      <c r="E12261" s="326"/>
      <c r="F12261" s="326"/>
      <c r="G12261" s="326"/>
      <c r="H12261" s="326"/>
      <c r="P12261" s="318"/>
      <c r="Q12261" s="318"/>
      <c r="R12261" s="318"/>
      <c r="S12261" s="318"/>
      <c r="T12261" s="318"/>
      <c r="U12261" s="318"/>
      <c r="V12261" s="318"/>
      <c r="W12261" s="318"/>
      <c r="X12261" s="318"/>
      <c r="Y12261" s="318"/>
      <c r="Z12261" s="318"/>
      <c r="AA12261" s="318"/>
      <c r="AB12261" s="318"/>
      <c r="AC12261" s="318"/>
      <c r="AD12261" s="318"/>
    </row>
    <row r="12262" spans="2:30" s="323" customFormat="1" ht="12" customHeight="1">
      <c r="B12262" s="324"/>
      <c r="C12262" s="325"/>
      <c r="D12262" s="326"/>
      <c r="E12262" s="326"/>
      <c r="F12262" s="326"/>
      <c r="G12262" s="326"/>
      <c r="H12262" s="326"/>
      <c r="P12262" s="318"/>
      <c r="Q12262" s="318"/>
      <c r="R12262" s="318"/>
      <c r="S12262" s="318"/>
      <c r="T12262" s="318"/>
      <c r="U12262" s="318"/>
      <c r="V12262" s="318"/>
      <c r="W12262" s="318"/>
      <c r="X12262" s="318"/>
      <c r="Y12262" s="318"/>
      <c r="Z12262" s="318"/>
      <c r="AA12262" s="318"/>
      <c r="AB12262" s="318"/>
      <c r="AC12262" s="318"/>
      <c r="AD12262" s="318"/>
    </row>
    <row r="12263" spans="2:30" s="323" customFormat="1" ht="12" customHeight="1">
      <c r="B12263" s="324"/>
      <c r="C12263" s="325"/>
      <c r="D12263" s="326"/>
      <c r="E12263" s="326"/>
      <c r="F12263" s="326"/>
      <c r="G12263" s="326"/>
      <c r="H12263" s="326"/>
      <c r="P12263" s="318"/>
      <c r="Q12263" s="318"/>
      <c r="R12263" s="318"/>
      <c r="S12263" s="318"/>
      <c r="T12263" s="318"/>
      <c r="U12263" s="318"/>
      <c r="V12263" s="318"/>
      <c r="W12263" s="318"/>
      <c r="X12263" s="318"/>
      <c r="Y12263" s="318"/>
      <c r="Z12263" s="318"/>
      <c r="AA12263" s="318"/>
      <c r="AB12263" s="318"/>
      <c r="AC12263" s="318"/>
      <c r="AD12263" s="318"/>
    </row>
    <row r="12264" spans="2:30" s="323" customFormat="1" ht="12" customHeight="1">
      <c r="B12264" s="324"/>
      <c r="C12264" s="325"/>
      <c r="D12264" s="326"/>
      <c r="E12264" s="326"/>
      <c r="F12264" s="326"/>
      <c r="G12264" s="326"/>
      <c r="H12264" s="326"/>
      <c r="P12264" s="318"/>
      <c r="Q12264" s="318"/>
      <c r="R12264" s="318"/>
      <c r="S12264" s="318"/>
      <c r="T12264" s="318"/>
      <c r="U12264" s="318"/>
      <c r="V12264" s="318"/>
      <c r="W12264" s="318"/>
      <c r="X12264" s="318"/>
      <c r="Y12264" s="318"/>
      <c r="Z12264" s="318"/>
      <c r="AA12264" s="318"/>
      <c r="AB12264" s="318"/>
      <c r="AC12264" s="318"/>
      <c r="AD12264" s="318"/>
    </row>
    <row r="12265" spans="2:30" s="323" customFormat="1" ht="12" customHeight="1">
      <c r="B12265" s="324"/>
      <c r="C12265" s="325"/>
      <c r="D12265" s="326"/>
      <c r="E12265" s="326"/>
      <c r="F12265" s="326"/>
      <c r="G12265" s="326"/>
      <c r="H12265" s="326"/>
      <c r="P12265" s="318"/>
      <c r="Q12265" s="318"/>
      <c r="R12265" s="318"/>
      <c r="S12265" s="318"/>
      <c r="T12265" s="318"/>
      <c r="U12265" s="318"/>
      <c r="V12265" s="318"/>
      <c r="W12265" s="318"/>
      <c r="X12265" s="318"/>
      <c r="Y12265" s="318"/>
      <c r="Z12265" s="318"/>
      <c r="AA12265" s="318"/>
      <c r="AB12265" s="318"/>
      <c r="AC12265" s="318"/>
      <c r="AD12265" s="318"/>
    </row>
    <row r="12266" spans="2:30" s="323" customFormat="1" ht="12" customHeight="1">
      <c r="B12266" s="324"/>
      <c r="C12266" s="325"/>
      <c r="D12266" s="326"/>
      <c r="E12266" s="326"/>
      <c r="F12266" s="326"/>
      <c r="G12266" s="326"/>
      <c r="H12266" s="326"/>
      <c r="P12266" s="318"/>
      <c r="Q12266" s="318"/>
      <c r="R12266" s="318"/>
      <c r="S12266" s="318"/>
      <c r="T12266" s="318"/>
      <c r="U12266" s="318"/>
      <c r="V12266" s="318"/>
      <c r="W12266" s="318"/>
      <c r="X12266" s="318"/>
      <c r="Y12266" s="318"/>
      <c r="Z12266" s="318"/>
      <c r="AA12266" s="318"/>
      <c r="AB12266" s="318"/>
      <c r="AC12266" s="318"/>
      <c r="AD12266" s="318"/>
    </row>
    <row r="12267" spans="2:30" s="323" customFormat="1" ht="12" customHeight="1">
      <c r="B12267" s="324"/>
      <c r="C12267" s="325"/>
      <c r="D12267" s="326"/>
      <c r="E12267" s="326"/>
      <c r="F12267" s="326"/>
      <c r="G12267" s="326"/>
      <c r="H12267" s="326"/>
      <c r="P12267" s="318"/>
      <c r="Q12267" s="318"/>
      <c r="R12267" s="318"/>
      <c r="S12267" s="318"/>
      <c r="T12267" s="318"/>
      <c r="U12267" s="318"/>
      <c r="V12267" s="318"/>
      <c r="W12267" s="318"/>
      <c r="X12267" s="318"/>
      <c r="Y12267" s="318"/>
      <c r="Z12267" s="318"/>
      <c r="AA12267" s="318"/>
      <c r="AB12267" s="318"/>
      <c r="AC12267" s="318"/>
      <c r="AD12267" s="318"/>
    </row>
    <row r="12268" spans="2:30" s="323" customFormat="1" ht="12" customHeight="1">
      <c r="B12268" s="324"/>
      <c r="C12268" s="325"/>
      <c r="D12268" s="326"/>
      <c r="E12268" s="326"/>
      <c r="F12268" s="326"/>
      <c r="G12268" s="326"/>
      <c r="H12268" s="326"/>
      <c r="P12268" s="318"/>
      <c r="Q12268" s="318"/>
      <c r="R12268" s="318"/>
      <c r="S12268" s="318"/>
      <c r="T12268" s="318"/>
      <c r="U12268" s="318"/>
      <c r="V12268" s="318"/>
      <c r="W12268" s="318"/>
      <c r="X12268" s="318"/>
      <c r="Y12268" s="318"/>
      <c r="Z12268" s="318"/>
      <c r="AA12268" s="318"/>
      <c r="AB12268" s="318"/>
      <c r="AC12268" s="318"/>
      <c r="AD12268" s="318"/>
    </row>
    <row r="12269" spans="2:30" s="323" customFormat="1" ht="12" customHeight="1">
      <c r="B12269" s="324"/>
      <c r="C12269" s="325"/>
      <c r="D12269" s="326"/>
      <c r="E12269" s="326"/>
      <c r="F12269" s="326"/>
      <c r="G12269" s="326"/>
      <c r="H12269" s="326"/>
      <c r="P12269" s="318"/>
      <c r="Q12269" s="318"/>
      <c r="R12269" s="318"/>
      <c r="S12269" s="318"/>
      <c r="T12269" s="318"/>
      <c r="U12269" s="318"/>
      <c r="V12269" s="318"/>
      <c r="W12269" s="318"/>
      <c r="X12269" s="318"/>
      <c r="Y12269" s="318"/>
      <c r="Z12269" s="318"/>
      <c r="AA12269" s="318"/>
      <c r="AB12269" s="318"/>
      <c r="AC12269" s="318"/>
      <c r="AD12269" s="318"/>
    </row>
    <row r="12270" spans="2:30" s="323" customFormat="1" ht="12" customHeight="1">
      <c r="B12270" s="324"/>
      <c r="C12270" s="325"/>
      <c r="D12270" s="326"/>
      <c r="E12270" s="326"/>
      <c r="F12270" s="326"/>
      <c r="G12270" s="326"/>
      <c r="H12270" s="326"/>
      <c r="P12270" s="318"/>
      <c r="Q12270" s="318"/>
      <c r="R12270" s="318"/>
      <c r="S12270" s="318"/>
      <c r="T12270" s="318"/>
      <c r="U12270" s="318"/>
      <c r="V12270" s="318"/>
      <c r="W12270" s="318"/>
      <c r="X12270" s="318"/>
      <c r="Y12270" s="318"/>
      <c r="Z12270" s="318"/>
      <c r="AA12270" s="318"/>
      <c r="AB12270" s="318"/>
      <c r="AC12270" s="318"/>
      <c r="AD12270" s="318"/>
    </row>
    <row r="12271" spans="2:30" s="323" customFormat="1" ht="12" customHeight="1">
      <c r="B12271" s="324"/>
      <c r="C12271" s="325"/>
      <c r="D12271" s="326"/>
      <c r="E12271" s="326"/>
      <c r="F12271" s="326"/>
      <c r="G12271" s="326"/>
      <c r="H12271" s="326"/>
      <c r="P12271" s="318"/>
      <c r="Q12271" s="318"/>
      <c r="R12271" s="318"/>
      <c r="S12271" s="318"/>
      <c r="T12271" s="318"/>
      <c r="U12271" s="318"/>
      <c r="V12271" s="318"/>
      <c r="W12271" s="318"/>
      <c r="X12271" s="318"/>
      <c r="Y12271" s="318"/>
      <c r="Z12271" s="318"/>
      <c r="AA12271" s="318"/>
      <c r="AB12271" s="318"/>
      <c r="AC12271" s="318"/>
      <c r="AD12271" s="318"/>
    </row>
    <row r="12272" spans="2:30" s="323" customFormat="1" ht="12" customHeight="1">
      <c r="B12272" s="324"/>
      <c r="C12272" s="325"/>
      <c r="D12272" s="326"/>
      <c r="E12272" s="326"/>
      <c r="F12272" s="326"/>
      <c r="G12272" s="326"/>
      <c r="H12272" s="326"/>
      <c r="P12272" s="318"/>
      <c r="Q12272" s="318"/>
      <c r="R12272" s="318"/>
      <c r="S12272" s="318"/>
      <c r="T12272" s="318"/>
      <c r="U12272" s="318"/>
      <c r="V12272" s="318"/>
      <c r="W12272" s="318"/>
      <c r="X12272" s="318"/>
      <c r="Y12272" s="318"/>
      <c r="Z12272" s="318"/>
      <c r="AA12272" s="318"/>
      <c r="AB12272" s="318"/>
      <c r="AC12272" s="318"/>
      <c r="AD12272" s="318"/>
    </row>
    <row r="12273" spans="2:30" s="323" customFormat="1" ht="12" customHeight="1">
      <c r="B12273" s="324"/>
      <c r="C12273" s="325"/>
      <c r="D12273" s="326"/>
      <c r="E12273" s="326"/>
      <c r="F12273" s="326"/>
      <c r="G12273" s="326"/>
      <c r="H12273" s="326"/>
      <c r="P12273" s="318"/>
      <c r="Q12273" s="318"/>
      <c r="R12273" s="318"/>
      <c r="S12273" s="318"/>
      <c r="T12273" s="318"/>
      <c r="U12273" s="318"/>
      <c r="V12273" s="318"/>
      <c r="W12273" s="318"/>
      <c r="X12273" s="318"/>
      <c r="Y12273" s="318"/>
      <c r="Z12273" s="318"/>
      <c r="AA12273" s="318"/>
      <c r="AB12273" s="318"/>
      <c r="AC12273" s="318"/>
      <c r="AD12273" s="318"/>
    </row>
    <row r="12274" spans="2:30" s="323" customFormat="1" ht="12" customHeight="1">
      <c r="B12274" s="324"/>
      <c r="C12274" s="325"/>
      <c r="D12274" s="326"/>
      <c r="E12274" s="326"/>
      <c r="F12274" s="326"/>
      <c r="G12274" s="326"/>
      <c r="H12274" s="326"/>
      <c r="P12274" s="318"/>
      <c r="Q12274" s="318"/>
      <c r="R12274" s="318"/>
      <c r="S12274" s="318"/>
      <c r="T12274" s="318"/>
      <c r="U12274" s="318"/>
      <c r="V12274" s="318"/>
      <c r="W12274" s="318"/>
      <c r="X12274" s="318"/>
      <c r="Y12274" s="318"/>
      <c r="Z12274" s="318"/>
      <c r="AA12274" s="318"/>
      <c r="AB12274" s="318"/>
      <c r="AC12274" s="318"/>
      <c r="AD12274" s="318"/>
    </row>
    <row r="12275" spans="2:30" s="323" customFormat="1" ht="12" customHeight="1">
      <c r="B12275" s="324"/>
      <c r="C12275" s="325"/>
      <c r="D12275" s="326"/>
      <c r="E12275" s="326"/>
      <c r="F12275" s="326"/>
      <c r="G12275" s="326"/>
      <c r="H12275" s="326"/>
      <c r="P12275" s="318"/>
      <c r="Q12275" s="318"/>
      <c r="R12275" s="318"/>
      <c r="S12275" s="318"/>
      <c r="T12275" s="318"/>
      <c r="U12275" s="318"/>
      <c r="V12275" s="318"/>
      <c r="W12275" s="318"/>
      <c r="X12275" s="318"/>
      <c r="Y12275" s="318"/>
      <c r="Z12275" s="318"/>
      <c r="AA12275" s="318"/>
      <c r="AB12275" s="318"/>
      <c r="AC12275" s="318"/>
      <c r="AD12275" s="318"/>
    </row>
    <row r="12276" spans="2:30" s="323" customFormat="1" ht="12" customHeight="1">
      <c r="B12276" s="324"/>
      <c r="C12276" s="325"/>
      <c r="D12276" s="326"/>
      <c r="E12276" s="326"/>
      <c r="F12276" s="326"/>
      <c r="G12276" s="326"/>
      <c r="H12276" s="326"/>
      <c r="P12276" s="318"/>
      <c r="Q12276" s="318"/>
      <c r="R12276" s="318"/>
      <c r="S12276" s="318"/>
      <c r="T12276" s="318"/>
      <c r="U12276" s="318"/>
      <c r="V12276" s="318"/>
      <c r="W12276" s="318"/>
      <c r="X12276" s="318"/>
      <c r="Y12276" s="318"/>
      <c r="Z12276" s="318"/>
      <c r="AA12276" s="318"/>
      <c r="AB12276" s="318"/>
      <c r="AC12276" s="318"/>
      <c r="AD12276" s="318"/>
    </row>
    <row r="12277" spans="2:30" s="323" customFormat="1" ht="12" customHeight="1">
      <c r="B12277" s="324"/>
      <c r="C12277" s="325"/>
      <c r="D12277" s="326"/>
      <c r="E12277" s="326"/>
      <c r="F12277" s="326"/>
      <c r="G12277" s="326"/>
      <c r="H12277" s="326"/>
      <c r="P12277" s="318"/>
      <c r="Q12277" s="318"/>
      <c r="R12277" s="318"/>
      <c r="S12277" s="318"/>
      <c r="T12277" s="318"/>
      <c r="U12277" s="318"/>
      <c r="V12277" s="318"/>
      <c r="W12277" s="318"/>
      <c r="X12277" s="318"/>
      <c r="Y12277" s="318"/>
      <c r="Z12277" s="318"/>
      <c r="AA12277" s="318"/>
      <c r="AB12277" s="318"/>
      <c r="AC12277" s="318"/>
      <c r="AD12277" s="318"/>
    </row>
    <row r="12278" spans="2:30" s="323" customFormat="1" ht="12" customHeight="1">
      <c r="B12278" s="324"/>
      <c r="C12278" s="325"/>
      <c r="D12278" s="326"/>
      <c r="E12278" s="326"/>
      <c r="F12278" s="326"/>
      <c r="G12278" s="326"/>
      <c r="H12278" s="326"/>
      <c r="P12278" s="318"/>
      <c r="Q12278" s="318"/>
      <c r="R12278" s="318"/>
      <c r="S12278" s="318"/>
      <c r="T12278" s="318"/>
      <c r="U12278" s="318"/>
      <c r="V12278" s="318"/>
      <c r="W12278" s="318"/>
      <c r="X12278" s="318"/>
      <c r="Y12278" s="318"/>
      <c r="Z12278" s="318"/>
      <c r="AA12278" s="318"/>
      <c r="AB12278" s="318"/>
      <c r="AC12278" s="318"/>
      <c r="AD12278" s="318"/>
    </row>
    <row r="12279" spans="2:30" s="323" customFormat="1" ht="12" customHeight="1">
      <c r="B12279" s="324"/>
      <c r="C12279" s="325"/>
      <c r="D12279" s="326"/>
      <c r="E12279" s="326"/>
      <c r="F12279" s="326"/>
      <c r="G12279" s="326"/>
      <c r="H12279" s="326"/>
      <c r="P12279" s="318"/>
      <c r="Q12279" s="318"/>
      <c r="R12279" s="318"/>
      <c r="S12279" s="318"/>
      <c r="T12279" s="318"/>
      <c r="U12279" s="318"/>
      <c r="V12279" s="318"/>
      <c r="W12279" s="318"/>
      <c r="X12279" s="318"/>
      <c r="Y12279" s="318"/>
      <c r="Z12279" s="318"/>
      <c r="AA12279" s="318"/>
      <c r="AB12279" s="318"/>
      <c r="AC12279" s="318"/>
      <c r="AD12279" s="318"/>
    </row>
    <row r="12280" spans="2:30" s="323" customFormat="1" ht="12" customHeight="1">
      <c r="B12280" s="324"/>
      <c r="C12280" s="325"/>
      <c r="D12280" s="326"/>
      <c r="E12280" s="326"/>
      <c r="F12280" s="326"/>
      <c r="G12280" s="326"/>
      <c r="H12280" s="326"/>
      <c r="P12280" s="318"/>
      <c r="Q12280" s="318"/>
      <c r="R12280" s="318"/>
      <c r="S12280" s="318"/>
      <c r="T12280" s="318"/>
      <c r="U12280" s="318"/>
      <c r="V12280" s="318"/>
      <c r="W12280" s="318"/>
      <c r="X12280" s="318"/>
      <c r="Y12280" s="318"/>
      <c r="Z12280" s="318"/>
      <c r="AA12280" s="318"/>
      <c r="AB12280" s="318"/>
      <c r="AC12280" s="318"/>
      <c r="AD12280" s="318"/>
    </row>
    <row r="12281" spans="2:30" s="323" customFormat="1" ht="12" customHeight="1">
      <c r="B12281" s="324"/>
      <c r="C12281" s="325"/>
      <c r="D12281" s="326"/>
      <c r="E12281" s="326"/>
      <c r="F12281" s="326"/>
      <c r="G12281" s="326"/>
      <c r="H12281" s="326"/>
      <c r="P12281" s="318"/>
      <c r="Q12281" s="318"/>
      <c r="R12281" s="318"/>
      <c r="S12281" s="318"/>
      <c r="T12281" s="318"/>
      <c r="U12281" s="318"/>
      <c r="V12281" s="318"/>
      <c r="W12281" s="318"/>
      <c r="X12281" s="318"/>
      <c r="Y12281" s="318"/>
      <c r="Z12281" s="318"/>
      <c r="AA12281" s="318"/>
      <c r="AB12281" s="318"/>
      <c r="AC12281" s="318"/>
      <c r="AD12281" s="318"/>
    </row>
    <row r="12282" spans="2:30" s="323" customFormat="1" ht="12" customHeight="1">
      <c r="B12282" s="324"/>
      <c r="C12282" s="325"/>
      <c r="D12282" s="326"/>
      <c r="E12282" s="326"/>
      <c r="F12282" s="326"/>
      <c r="G12282" s="326"/>
      <c r="H12282" s="326"/>
      <c r="P12282" s="318"/>
      <c r="Q12282" s="318"/>
      <c r="R12282" s="318"/>
      <c r="S12282" s="318"/>
      <c r="T12282" s="318"/>
      <c r="U12282" s="318"/>
      <c r="V12282" s="318"/>
      <c r="W12282" s="318"/>
      <c r="X12282" s="318"/>
      <c r="Y12282" s="318"/>
      <c r="Z12282" s="318"/>
      <c r="AA12282" s="318"/>
      <c r="AB12282" s="318"/>
      <c r="AC12282" s="318"/>
      <c r="AD12282" s="318"/>
    </row>
    <row r="12283" spans="2:30" s="323" customFormat="1" ht="12" customHeight="1">
      <c r="B12283" s="324"/>
      <c r="C12283" s="325"/>
      <c r="D12283" s="326"/>
      <c r="E12283" s="326"/>
      <c r="F12283" s="326"/>
      <c r="G12283" s="326"/>
      <c r="H12283" s="326"/>
      <c r="P12283" s="318"/>
      <c r="Q12283" s="318"/>
      <c r="R12283" s="318"/>
      <c r="S12283" s="318"/>
      <c r="T12283" s="318"/>
      <c r="U12283" s="318"/>
      <c r="V12283" s="318"/>
      <c r="W12283" s="318"/>
      <c r="X12283" s="318"/>
      <c r="Y12283" s="318"/>
      <c r="Z12283" s="318"/>
      <c r="AA12283" s="318"/>
      <c r="AB12283" s="318"/>
      <c r="AC12283" s="318"/>
      <c r="AD12283" s="318"/>
    </row>
    <row r="12284" spans="2:30" s="323" customFormat="1" ht="12" customHeight="1">
      <c r="B12284" s="324"/>
      <c r="C12284" s="325"/>
      <c r="D12284" s="326"/>
      <c r="E12284" s="326"/>
      <c r="F12284" s="326"/>
      <c r="G12284" s="326"/>
      <c r="H12284" s="326"/>
      <c r="P12284" s="318"/>
      <c r="Q12284" s="318"/>
      <c r="R12284" s="318"/>
      <c r="S12284" s="318"/>
      <c r="T12284" s="318"/>
      <c r="U12284" s="318"/>
      <c r="V12284" s="318"/>
      <c r="W12284" s="318"/>
      <c r="X12284" s="318"/>
      <c r="Y12284" s="318"/>
      <c r="Z12284" s="318"/>
      <c r="AA12284" s="318"/>
      <c r="AB12284" s="318"/>
      <c r="AC12284" s="318"/>
      <c r="AD12284" s="318"/>
    </row>
    <row r="12285" spans="2:30" s="323" customFormat="1" ht="12" customHeight="1">
      <c r="B12285" s="324"/>
      <c r="C12285" s="325"/>
      <c r="D12285" s="326"/>
      <c r="E12285" s="326"/>
      <c r="F12285" s="326"/>
      <c r="G12285" s="326"/>
      <c r="H12285" s="326"/>
      <c r="P12285" s="318"/>
      <c r="Q12285" s="318"/>
      <c r="R12285" s="318"/>
      <c r="S12285" s="318"/>
      <c r="T12285" s="318"/>
      <c r="U12285" s="318"/>
      <c r="V12285" s="318"/>
      <c r="W12285" s="318"/>
      <c r="X12285" s="318"/>
      <c r="Y12285" s="318"/>
      <c r="Z12285" s="318"/>
      <c r="AA12285" s="318"/>
      <c r="AB12285" s="318"/>
      <c r="AC12285" s="318"/>
      <c r="AD12285" s="318"/>
    </row>
    <row r="12286" spans="2:30" s="323" customFormat="1" ht="12" customHeight="1">
      <c r="B12286" s="324"/>
      <c r="C12286" s="325"/>
      <c r="D12286" s="326"/>
      <c r="E12286" s="326"/>
      <c r="F12286" s="326"/>
      <c r="G12286" s="326"/>
      <c r="H12286" s="326"/>
      <c r="P12286" s="318"/>
      <c r="Q12286" s="318"/>
      <c r="R12286" s="318"/>
      <c r="S12286" s="318"/>
      <c r="T12286" s="318"/>
      <c r="U12286" s="318"/>
      <c r="V12286" s="318"/>
      <c r="W12286" s="318"/>
      <c r="X12286" s="318"/>
      <c r="Y12286" s="318"/>
      <c r="Z12286" s="318"/>
      <c r="AA12286" s="318"/>
      <c r="AB12286" s="318"/>
      <c r="AC12286" s="318"/>
      <c r="AD12286" s="318"/>
    </row>
    <row r="12287" spans="2:30" s="323" customFormat="1" ht="12" customHeight="1">
      <c r="B12287" s="324"/>
      <c r="C12287" s="325"/>
      <c r="D12287" s="326"/>
      <c r="E12287" s="326"/>
      <c r="F12287" s="326"/>
      <c r="G12287" s="326"/>
      <c r="H12287" s="326"/>
      <c r="P12287" s="318"/>
      <c r="Q12287" s="318"/>
      <c r="R12287" s="318"/>
      <c r="S12287" s="318"/>
      <c r="T12287" s="318"/>
      <c r="U12287" s="318"/>
      <c r="V12287" s="318"/>
      <c r="W12287" s="318"/>
      <c r="X12287" s="318"/>
      <c r="Y12287" s="318"/>
      <c r="Z12287" s="318"/>
      <c r="AA12287" s="318"/>
      <c r="AB12287" s="318"/>
      <c r="AC12287" s="318"/>
      <c r="AD12287" s="318"/>
    </row>
    <row r="12288" spans="2:30" s="323" customFormat="1" ht="12" customHeight="1">
      <c r="B12288" s="324"/>
      <c r="C12288" s="325"/>
      <c r="D12288" s="326"/>
      <c r="E12288" s="326"/>
      <c r="F12288" s="326"/>
      <c r="G12288" s="326"/>
      <c r="H12288" s="326"/>
      <c r="P12288" s="318"/>
      <c r="Q12288" s="318"/>
      <c r="R12288" s="318"/>
      <c r="S12288" s="318"/>
      <c r="T12288" s="318"/>
      <c r="U12288" s="318"/>
      <c r="V12288" s="318"/>
      <c r="W12288" s="318"/>
      <c r="X12288" s="318"/>
      <c r="Y12288" s="318"/>
      <c r="Z12288" s="318"/>
      <c r="AA12288" s="318"/>
      <c r="AB12288" s="318"/>
      <c r="AC12288" s="318"/>
      <c r="AD12288" s="318"/>
    </row>
    <row r="12289" spans="2:30" s="323" customFormat="1" ht="12" customHeight="1">
      <c r="B12289" s="324"/>
      <c r="C12289" s="325"/>
      <c r="D12289" s="326"/>
      <c r="E12289" s="326"/>
      <c r="F12289" s="326"/>
      <c r="G12289" s="326"/>
      <c r="H12289" s="326"/>
      <c r="P12289" s="318"/>
      <c r="Q12289" s="318"/>
      <c r="R12289" s="318"/>
      <c r="S12289" s="318"/>
      <c r="T12289" s="318"/>
      <c r="U12289" s="318"/>
      <c r="V12289" s="318"/>
      <c r="W12289" s="318"/>
      <c r="X12289" s="318"/>
      <c r="Y12289" s="318"/>
      <c r="Z12289" s="318"/>
      <c r="AA12289" s="318"/>
      <c r="AB12289" s="318"/>
      <c r="AC12289" s="318"/>
      <c r="AD12289" s="318"/>
    </row>
    <row r="12290" spans="2:30" s="323" customFormat="1" ht="12" customHeight="1">
      <c r="B12290" s="324"/>
      <c r="C12290" s="325"/>
      <c r="D12290" s="326"/>
      <c r="E12290" s="326"/>
      <c r="F12290" s="326"/>
      <c r="G12290" s="326"/>
      <c r="H12290" s="326"/>
      <c r="P12290" s="318"/>
      <c r="Q12290" s="318"/>
      <c r="R12290" s="318"/>
      <c r="S12290" s="318"/>
      <c r="T12290" s="318"/>
      <c r="U12290" s="318"/>
      <c r="V12290" s="318"/>
      <c r="W12290" s="318"/>
      <c r="X12290" s="318"/>
      <c r="Y12290" s="318"/>
      <c r="Z12290" s="318"/>
      <c r="AA12290" s="318"/>
      <c r="AB12290" s="318"/>
      <c r="AC12290" s="318"/>
      <c r="AD12290" s="318"/>
    </row>
    <row r="12291" spans="2:30" s="323" customFormat="1" ht="12" customHeight="1">
      <c r="B12291" s="324"/>
      <c r="C12291" s="325"/>
      <c r="D12291" s="326"/>
      <c r="E12291" s="326"/>
      <c r="F12291" s="326"/>
      <c r="G12291" s="326"/>
      <c r="H12291" s="326"/>
      <c r="P12291" s="318"/>
      <c r="Q12291" s="318"/>
      <c r="R12291" s="318"/>
      <c r="S12291" s="318"/>
      <c r="T12291" s="318"/>
      <c r="U12291" s="318"/>
      <c r="V12291" s="318"/>
      <c r="W12291" s="318"/>
      <c r="X12291" s="318"/>
      <c r="Y12291" s="318"/>
      <c r="Z12291" s="318"/>
      <c r="AA12291" s="318"/>
      <c r="AB12291" s="318"/>
      <c r="AC12291" s="318"/>
      <c r="AD12291" s="318"/>
    </row>
    <row r="12292" spans="2:30" s="323" customFormat="1" ht="12" customHeight="1">
      <c r="B12292" s="324"/>
      <c r="C12292" s="325"/>
      <c r="D12292" s="326"/>
      <c r="E12292" s="326"/>
      <c r="F12292" s="326"/>
      <c r="G12292" s="326"/>
      <c r="H12292" s="326"/>
      <c r="P12292" s="318"/>
      <c r="Q12292" s="318"/>
      <c r="R12292" s="318"/>
      <c r="S12292" s="318"/>
      <c r="T12292" s="318"/>
      <c r="U12292" s="318"/>
      <c r="V12292" s="318"/>
      <c r="W12292" s="318"/>
      <c r="X12292" s="318"/>
      <c r="Y12292" s="318"/>
      <c r="Z12292" s="318"/>
      <c r="AA12292" s="318"/>
      <c r="AB12292" s="318"/>
      <c r="AC12292" s="318"/>
      <c r="AD12292" s="318"/>
    </row>
    <row r="12293" spans="2:30" s="323" customFormat="1" ht="12" customHeight="1">
      <c r="B12293" s="324"/>
      <c r="C12293" s="325"/>
      <c r="D12293" s="326"/>
      <c r="E12293" s="326"/>
      <c r="F12293" s="326"/>
      <c r="G12293" s="326"/>
      <c r="H12293" s="326"/>
      <c r="P12293" s="318"/>
      <c r="Q12293" s="318"/>
      <c r="R12293" s="318"/>
      <c r="S12293" s="318"/>
      <c r="T12293" s="318"/>
      <c r="U12293" s="318"/>
      <c r="V12293" s="318"/>
      <c r="W12293" s="318"/>
      <c r="X12293" s="318"/>
      <c r="Y12293" s="318"/>
      <c r="Z12293" s="318"/>
      <c r="AA12293" s="318"/>
      <c r="AB12293" s="318"/>
      <c r="AC12293" s="318"/>
      <c r="AD12293" s="318"/>
    </row>
    <row r="12294" spans="2:30" s="323" customFormat="1" ht="12" customHeight="1">
      <c r="B12294" s="324"/>
      <c r="C12294" s="325"/>
      <c r="D12294" s="326"/>
      <c r="E12294" s="326"/>
      <c r="F12294" s="326"/>
      <c r="G12294" s="326"/>
      <c r="H12294" s="326"/>
      <c r="P12294" s="318"/>
      <c r="Q12294" s="318"/>
      <c r="R12294" s="318"/>
      <c r="S12294" s="318"/>
      <c r="T12294" s="318"/>
      <c r="U12294" s="318"/>
      <c r="V12294" s="318"/>
      <c r="W12294" s="318"/>
      <c r="X12294" s="318"/>
      <c r="Y12294" s="318"/>
      <c r="Z12294" s="318"/>
      <c r="AA12294" s="318"/>
      <c r="AB12294" s="318"/>
      <c r="AC12294" s="318"/>
      <c r="AD12294" s="318"/>
    </row>
    <row r="12295" spans="2:30" s="323" customFormat="1" ht="12" customHeight="1">
      <c r="B12295" s="324"/>
      <c r="C12295" s="325"/>
      <c r="D12295" s="326"/>
      <c r="E12295" s="326"/>
      <c r="F12295" s="326"/>
      <c r="G12295" s="326"/>
      <c r="H12295" s="326"/>
      <c r="P12295" s="318"/>
      <c r="Q12295" s="318"/>
      <c r="R12295" s="318"/>
      <c r="S12295" s="318"/>
      <c r="T12295" s="318"/>
      <c r="U12295" s="318"/>
      <c r="V12295" s="318"/>
      <c r="W12295" s="318"/>
      <c r="X12295" s="318"/>
      <c r="Y12295" s="318"/>
      <c r="Z12295" s="318"/>
      <c r="AA12295" s="318"/>
      <c r="AB12295" s="318"/>
      <c r="AC12295" s="318"/>
      <c r="AD12295" s="318"/>
    </row>
    <row r="12296" spans="2:30" s="323" customFormat="1" ht="12" customHeight="1">
      <c r="B12296" s="324"/>
      <c r="C12296" s="325"/>
      <c r="D12296" s="326"/>
      <c r="E12296" s="326"/>
      <c r="F12296" s="326"/>
      <c r="G12296" s="326"/>
      <c r="H12296" s="326"/>
      <c r="P12296" s="318"/>
      <c r="Q12296" s="318"/>
      <c r="R12296" s="318"/>
      <c r="S12296" s="318"/>
      <c r="T12296" s="318"/>
      <c r="U12296" s="318"/>
      <c r="V12296" s="318"/>
      <c r="W12296" s="318"/>
      <c r="X12296" s="318"/>
      <c r="Y12296" s="318"/>
      <c r="Z12296" s="318"/>
      <c r="AA12296" s="318"/>
      <c r="AB12296" s="318"/>
      <c r="AC12296" s="318"/>
      <c r="AD12296" s="318"/>
    </row>
    <row r="12297" spans="2:30" s="323" customFormat="1" ht="12" customHeight="1">
      <c r="B12297" s="324"/>
      <c r="C12297" s="325"/>
      <c r="D12297" s="326"/>
      <c r="E12297" s="326"/>
      <c r="F12297" s="326"/>
      <c r="G12297" s="326"/>
      <c r="H12297" s="326"/>
      <c r="P12297" s="318"/>
      <c r="Q12297" s="318"/>
      <c r="R12297" s="318"/>
      <c r="S12297" s="318"/>
      <c r="T12297" s="318"/>
      <c r="U12297" s="318"/>
      <c r="V12297" s="318"/>
      <c r="W12297" s="318"/>
      <c r="X12297" s="318"/>
      <c r="Y12297" s="318"/>
      <c r="Z12297" s="318"/>
      <c r="AA12297" s="318"/>
      <c r="AB12297" s="318"/>
      <c r="AC12297" s="318"/>
      <c r="AD12297" s="318"/>
    </row>
    <row r="12298" spans="2:30" s="323" customFormat="1" ht="12" customHeight="1">
      <c r="B12298" s="324"/>
      <c r="C12298" s="325"/>
      <c r="D12298" s="326"/>
      <c r="E12298" s="326"/>
      <c r="F12298" s="326"/>
      <c r="G12298" s="326"/>
      <c r="H12298" s="326"/>
      <c r="P12298" s="318"/>
      <c r="Q12298" s="318"/>
      <c r="R12298" s="318"/>
      <c r="S12298" s="318"/>
      <c r="T12298" s="318"/>
      <c r="U12298" s="318"/>
      <c r="V12298" s="318"/>
      <c r="W12298" s="318"/>
      <c r="X12298" s="318"/>
      <c r="Y12298" s="318"/>
      <c r="Z12298" s="318"/>
      <c r="AA12298" s="318"/>
      <c r="AB12298" s="318"/>
      <c r="AC12298" s="318"/>
      <c r="AD12298" s="318"/>
    </row>
    <row r="12299" spans="2:30" s="323" customFormat="1" ht="12" customHeight="1">
      <c r="B12299" s="324"/>
      <c r="C12299" s="325"/>
      <c r="D12299" s="326"/>
      <c r="E12299" s="326"/>
      <c r="F12299" s="326"/>
      <c r="G12299" s="326"/>
      <c r="H12299" s="326"/>
      <c r="P12299" s="318"/>
      <c r="Q12299" s="318"/>
      <c r="R12299" s="318"/>
      <c r="S12299" s="318"/>
      <c r="T12299" s="318"/>
      <c r="U12299" s="318"/>
      <c r="V12299" s="318"/>
      <c r="W12299" s="318"/>
      <c r="X12299" s="318"/>
      <c r="Y12299" s="318"/>
      <c r="Z12299" s="318"/>
      <c r="AA12299" s="318"/>
      <c r="AB12299" s="318"/>
      <c r="AC12299" s="318"/>
      <c r="AD12299" s="318"/>
    </row>
    <row r="12300" spans="2:30" s="323" customFormat="1" ht="12" customHeight="1">
      <c r="B12300" s="324"/>
      <c r="C12300" s="325"/>
      <c r="D12300" s="326"/>
      <c r="E12300" s="326"/>
      <c r="F12300" s="326"/>
      <c r="G12300" s="326"/>
      <c r="H12300" s="326"/>
      <c r="P12300" s="318"/>
      <c r="Q12300" s="318"/>
      <c r="R12300" s="318"/>
      <c r="S12300" s="318"/>
      <c r="T12300" s="318"/>
      <c r="U12300" s="318"/>
      <c r="V12300" s="318"/>
      <c r="W12300" s="318"/>
      <c r="X12300" s="318"/>
      <c r="Y12300" s="318"/>
      <c r="Z12300" s="318"/>
      <c r="AA12300" s="318"/>
      <c r="AB12300" s="318"/>
      <c r="AC12300" s="318"/>
      <c r="AD12300" s="318"/>
    </row>
    <row r="12301" spans="2:30" s="323" customFormat="1" ht="12" customHeight="1">
      <c r="B12301" s="324"/>
      <c r="C12301" s="325"/>
      <c r="D12301" s="326"/>
      <c r="E12301" s="326"/>
      <c r="F12301" s="326"/>
      <c r="G12301" s="326"/>
      <c r="H12301" s="326"/>
      <c r="P12301" s="318"/>
      <c r="Q12301" s="318"/>
      <c r="R12301" s="318"/>
      <c r="S12301" s="318"/>
      <c r="T12301" s="318"/>
      <c r="U12301" s="318"/>
      <c r="V12301" s="318"/>
      <c r="W12301" s="318"/>
      <c r="X12301" s="318"/>
      <c r="Y12301" s="318"/>
      <c r="Z12301" s="318"/>
      <c r="AA12301" s="318"/>
      <c r="AB12301" s="318"/>
      <c r="AC12301" s="318"/>
      <c r="AD12301" s="318"/>
    </row>
    <row r="12302" spans="2:30" s="323" customFormat="1" ht="12" customHeight="1">
      <c r="B12302" s="324"/>
      <c r="C12302" s="325"/>
      <c r="D12302" s="326"/>
      <c r="E12302" s="326"/>
      <c r="F12302" s="326"/>
      <c r="G12302" s="326"/>
      <c r="H12302" s="326"/>
      <c r="P12302" s="318"/>
      <c r="Q12302" s="318"/>
      <c r="R12302" s="318"/>
      <c r="S12302" s="318"/>
      <c r="T12302" s="318"/>
      <c r="U12302" s="318"/>
      <c r="V12302" s="318"/>
      <c r="W12302" s="318"/>
      <c r="X12302" s="318"/>
      <c r="Y12302" s="318"/>
      <c r="Z12302" s="318"/>
      <c r="AA12302" s="318"/>
      <c r="AB12302" s="318"/>
      <c r="AC12302" s="318"/>
      <c r="AD12302" s="318"/>
    </row>
    <row r="12303" spans="2:30" s="323" customFormat="1" ht="12" customHeight="1">
      <c r="B12303" s="324"/>
      <c r="C12303" s="325"/>
      <c r="D12303" s="326"/>
      <c r="E12303" s="326"/>
      <c r="F12303" s="326"/>
      <c r="G12303" s="326"/>
      <c r="H12303" s="326"/>
      <c r="P12303" s="318"/>
      <c r="Q12303" s="318"/>
      <c r="R12303" s="318"/>
      <c r="S12303" s="318"/>
      <c r="T12303" s="318"/>
      <c r="U12303" s="318"/>
      <c r="V12303" s="318"/>
      <c r="W12303" s="318"/>
      <c r="X12303" s="318"/>
      <c r="Y12303" s="318"/>
      <c r="Z12303" s="318"/>
      <c r="AA12303" s="318"/>
      <c r="AB12303" s="318"/>
      <c r="AC12303" s="318"/>
      <c r="AD12303" s="318"/>
    </row>
    <row r="12304" spans="2:30" s="323" customFormat="1" ht="12" customHeight="1">
      <c r="B12304" s="324"/>
      <c r="C12304" s="325"/>
      <c r="D12304" s="326"/>
      <c r="E12304" s="326"/>
      <c r="F12304" s="326"/>
      <c r="G12304" s="326"/>
      <c r="H12304" s="326"/>
      <c r="P12304" s="318"/>
      <c r="Q12304" s="318"/>
      <c r="R12304" s="318"/>
      <c r="S12304" s="318"/>
      <c r="T12304" s="318"/>
      <c r="U12304" s="318"/>
      <c r="V12304" s="318"/>
      <c r="W12304" s="318"/>
      <c r="X12304" s="318"/>
      <c r="Y12304" s="318"/>
      <c r="Z12304" s="318"/>
      <c r="AA12304" s="318"/>
      <c r="AB12304" s="318"/>
      <c r="AC12304" s="318"/>
      <c r="AD12304" s="318"/>
    </row>
    <row r="12305" spans="2:30" s="323" customFormat="1" ht="12" customHeight="1">
      <c r="B12305" s="324"/>
      <c r="C12305" s="325"/>
      <c r="D12305" s="326"/>
      <c r="E12305" s="326"/>
      <c r="F12305" s="326"/>
      <c r="G12305" s="326"/>
      <c r="H12305" s="326"/>
      <c r="P12305" s="318"/>
      <c r="Q12305" s="318"/>
      <c r="R12305" s="318"/>
      <c r="S12305" s="318"/>
      <c r="T12305" s="318"/>
      <c r="U12305" s="318"/>
      <c r="V12305" s="318"/>
      <c r="W12305" s="318"/>
      <c r="X12305" s="318"/>
      <c r="Y12305" s="318"/>
      <c r="Z12305" s="318"/>
      <c r="AA12305" s="318"/>
      <c r="AB12305" s="318"/>
      <c r="AC12305" s="318"/>
      <c r="AD12305" s="318"/>
    </row>
    <row r="12306" spans="2:30" s="323" customFormat="1" ht="12" customHeight="1">
      <c r="B12306" s="324"/>
      <c r="C12306" s="325"/>
      <c r="D12306" s="326"/>
      <c r="E12306" s="326"/>
      <c r="F12306" s="326"/>
      <c r="G12306" s="326"/>
      <c r="H12306" s="326"/>
      <c r="P12306" s="318"/>
      <c r="Q12306" s="318"/>
      <c r="R12306" s="318"/>
      <c r="S12306" s="318"/>
      <c r="T12306" s="318"/>
      <c r="U12306" s="318"/>
      <c r="V12306" s="318"/>
      <c r="W12306" s="318"/>
      <c r="X12306" s="318"/>
      <c r="Y12306" s="318"/>
      <c r="Z12306" s="318"/>
      <c r="AA12306" s="318"/>
      <c r="AB12306" s="318"/>
      <c r="AC12306" s="318"/>
      <c r="AD12306" s="318"/>
    </row>
    <row r="12307" spans="2:30" s="323" customFormat="1" ht="12" customHeight="1">
      <c r="B12307" s="324"/>
      <c r="C12307" s="325"/>
      <c r="D12307" s="326"/>
      <c r="E12307" s="326"/>
      <c r="F12307" s="326"/>
      <c r="G12307" s="326"/>
      <c r="H12307" s="326"/>
      <c r="P12307" s="318"/>
      <c r="Q12307" s="318"/>
      <c r="R12307" s="318"/>
      <c r="S12307" s="318"/>
      <c r="T12307" s="318"/>
      <c r="U12307" s="318"/>
      <c r="V12307" s="318"/>
      <c r="W12307" s="318"/>
      <c r="X12307" s="318"/>
      <c r="Y12307" s="318"/>
      <c r="Z12307" s="318"/>
      <c r="AA12307" s="318"/>
      <c r="AB12307" s="318"/>
      <c r="AC12307" s="318"/>
      <c r="AD12307" s="318"/>
    </row>
    <row r="12308" spans="2:30" s="323" customFormat="1" ht="12" customHeight="1">
      <c r="B12308" s="324"/>
      <c r="C12308" s="325"/>
      <c r="D12308" s="326"/>
      <c r="E12308" s="326"/>
      <c r="F12308" s="326"/>
      <c r="G12308" s="326"/>
      <c r="H12308" s="326"/>
      <c r="P12308" s="318"/>
      <c r="Q12308" s="318"/>
      <c r="R12308" s="318"/>
      <c r="S12308" s="318"/>
      <c r="T12308" s="318"/>
      <c r="U12308" s="318"/>
      <c r="V12308" s="318"/>
      <c r="W12308" s="318"/>
      <c r="X12308" s="318"/>
      <c r="Y12308" s="318"/>
      <c r="Z12308" s="318"/>
      <c r="AA12308" s="318"/>
      <c r="AB12308" s="318"/>
      <c r="AC12308" s="318"/>
      <c r="AD12308" s="318"/>
    </row>
    <row r="12309" spans="2:30" s="323" customFormat="1" ht="12" customHeight="1">
      <c r="B12309" s="324"/>
      <c r="C12309" s="325"/>
      <c r="D12309" s="326"/>
      <c r="E12309" s="326"/>
      <c r="F12309" s="326"/>
      <c r="G12309" s="326"/>
      <c r="H12309" s="326"/>
      <c r="P12309" s="318"/>
      <c r="Q12309" s="318"/>
      <c r="R12309" s="318"/>
      <c r="S12309" s="318"/>
      <c r="T12309" s="318"/>
      <c r="U12309" s="318"/>
      <c r="V12309" s="318"/>
      <c r="W12309" s="318"/>
      <c r="X12309" s="318"/>
      <c r="Y12309" s="318"/>
      <c r="Z12309" s="318"/>
      <c r="AA12309" s="318"/>
      <c r="AB12309" s="318"/>
      <c r="AC12309" s="318"/>
      <c r="AD12309" s="318"/>
    </row>
    <row r="12310" spans="2:30" s="323" customFormat="1" ht="12" customHeight="1">
      <c r="B12310" s="324"/>
      <c r="C12310" s="325"/>
      <c r="D12310" s="326"/>
      <c r="E12310" s="326"/>
      <c r="F12310" s="326"/>
      <c r="G12310" s="326"/>
      <c r="H12310" s="326"/>
      <c r="P12310" s="318"/>
      <c r="Q12310" s="318"/>
      <c r="R12310" s="318"/>
      <c r="S12310" s="318"/>
      <c r="T12310" s="318"/>
      <c r="U12310" s="318"/>
      <c r="V12310" s="318"/>
      <c r="W12310" s="318"/>
      <c r="X12310" s="318"/>
      <c r="Y12310" s="318"/>
      <c r="Z12310" s="318"/>
      <c r="AA12310" s="318"/>
      <c r="AB12310" s="318"/>
      <c r="AC12310" s="318"/>
      <c r="AD12310" s="318"/>
    </row>
    <row r="12311" spans="2:30" s="323" customFormat="1" ht="12" customHeight="1">
      <c r="B12311" s="324"/>
      <c r="C12311" s="325"/>
      <c r="D12311" s="326"/>
      <c r="E12311" s="326"/>
      <c r="F12311" s="326"/>
      <c r="G12311" s="326"/>
      <c r="H12311" s="326"/>
      <c r="P12311" s="318"/>
      <c r="Q12311" s="318"/>
      <c r="R12311" s="318"/>
      <c r="S12311" s="318"/>
      <c r="T12311" s="318"/>
      <c r="U12311" s="318"/>
      <c r="V12311" s="318"/>
      <c r="W12311" s="318"/>
      <c r="X12311" s="318"/>
      <c r="Y12311" s="318"/>
      <c r="Z12311" s="318"/>
      <c r="AA12311" s="318"/>
      <c r="AB12311" s="318"/>
      <c r="AC12311" s="318"/>
      <c r="AD12311" s="318"/>
    </row>
    <row r="12312" spans="2:30" s="323" customFormat="1" ht="12" customHeight="1">
      <c r="B12312" s="324"/>
      <c r="C12312" s="325"/>
      <c r="D12312" s="326"/>
      <c r="E12312" s="326"/>
      <c r="F12312" s="326"/>
      <c r="G12312" s="326"/>
      <c r="H12312" s="326"/>
      <c r="P12312" s="318"/>
      <c r="Q12312" s="318"/>
      <c r="R12312" s="318"/>
      <c r="S12312" s="318"/>
      <c r="T12312" s="318"/>
      <c r="U12312" s="318"/>
      <c r="V12312" s="318"/>
      <c r="W12312" s="318"/>
      <c r="X12312" s="318"/>
      <c r="Y12312" s="318"/>
      <c r="Z12312" s="318"/>
      <c r="AA12312" s="318"/>
      <c r="AB12312" s="318"/>
      <c r="AC12312" s="318"/>
      <c r="AD12312" s="318"/>
    </row>
    <row r="12313" spans="2:30" s="323" customFormat="1" ht="12" customHeight="1">
      <c r="B12313" s="324"/>
      <c r="C12313" s="325"/>
      <c r="D12313" s="326"/>
      <c r="E12313" s="326"/>
      <c r="F12313" s="326"/>
      <c r="G12313" s="326"/>
      <c r="H12313" s="326"/>
      <c r="P12313" s="318"/>
      <c r="Q12313" s="318"/>
      <c r="R12313" s="318"/>
      <c r="S12313" s="318"/>
      <c r="T12313" s="318"/>
      <c r="U12313" s="318"/>
      <c r="V12313" s="318"/>
      <c r="W12313" s="318"/>
      <c r="X12313" s="318"/>
      <c r="Y12313" s="318"/>
      <c r="Z12313" s="318"/>
      <c r="AA12313" s="318"/>
      <c r="AB12313" s="318"/>
      <c r="AC12313" s="318"/>
      <c r="AD12313" s="318"/>
    </row>
    <row r="12314" spans="2:30" s="323" customFormat="1" ht="12" customHeight="1">
      <c r="B12314" s="324"/>
      <c r="C12314" s="325"/>
      <c r="D12314" s="326"/>
      <c r="E12314" s="326"/>
      <c r="F12314" s="326"/>
      <c r="G12314" s="326"/>
      <c r="H12314" s="326"/>
      <c r="P12314" s="318"/>
      <c r="Q12314" s="318"/>
      <c r="R12314" s="318"/>
      <c r="S12314" s="318"/>
      <c r="T12314" s="318"/>
      <c r="U12314" s="318"/>
      <c r="V12314" s="318"/>
      <c r="W12314" s="318"/>
      <c r="X12314" s="318"/>
      <c r="Y12314" s="318"/>
      <c r="Z12314" s="318"/>
      <c r="AA12314" s="318"/>
      <c r="AB12314" s="318"/>
      <c r="AC12314" s="318"/>
      <c r="AD12314" s="318"/>
    </row>
    <row r="12315" spans="2:30" s="323" customFormat="1" ht="12" customHeight="1">
      <c r="B12315" s="324"/>
      <c r="C12315" s="325"/>
      <c r="D12315" s="326"/>
      <c r="E12315" s="326"/>
      <c r="F12315" s="326"/>
      <c r="G12315" s="326"/>
      <c r="H12315" s="326"/>
      <c r="P12315" s="318"/>
      <c r="Q12315" s="318"/>
      <c r="R12315" s="318"/>
      <c r="S12315" s="318"/>
      <c r="T12315" s="318"/>
      <c r="U12315" s="318"/>
      <c r="V12315" s="318"/>
      <c r="W12315" s="318"/>
      <c r="X12315" s="318"/>
      <c r="Y12315" s="318"/>
      <c r="Z12315" s="318"/>
      <c r="AA12315" s="318"/>
      <c r="AB12315" s="318"/>
      <c r="AC12315" s="318"/>
      <c r="AD12315" s="318"/>
    </row>
    <row r="12316" spans="2:30" s="323" customFormat="1" ht="12" customHeight="1">
      <c r="B12316" s="324"/>
      <c r="C12316" s="325"/>
      <c r="D12316" s="326"/>
      <c r="E12316" s="326"/>
      <c r="F12316" s="326"/>
      <c r="G12316" s="326"/>
      <c r="H12316" s="326"/>
      <c r="P12316" s="318"/>
      <c r="Q12316" s="318"/>
      <c r="R12316" s="318"/>
      <c r="S12316" s="318"/>
      <c r="T12316" s="318"/>
      <c r="U12316" s="318"/>
      <c r="V12316" s="318"/>
      <c r="W12316" s="318"/>
      <c r="X12316" s="318"/>
      <c r="Y12316" s="318"/>
      <c r="Z12316" s="318"/>
      <c r="AA12316" s="318"/>
      <c r="AB12316" s="318"/>
      <c r="AC12316" s="318"/>
      <c r="AD12316" s="318"/>
    </row>
    <row r="12317" spans="2:30" s="323" customFormat="1" ht="12" customHeight="1">
      <c r="B12317" s="324"/>
      <c r="C12317" s="325"/>
      <c r="D12317" s="326"/>
      <c r="E12317" s="326"/>
      <c r="F12317" s="326"/>
      <c r="G12317" s="326"/>
      <c r="H12317" s="326"/>
      <c r="P12317" s="318"/>
      <c r="Q12317" s="318"/>
      <c r="R12317" s="318"/>
      <c r="S12317" s="318"/>
      <c r="T12317" s="318"/>
      <c r="U12317" s="318"/>
      <c r="V12317" s="318"/>
      <c r="W12317" s="318"/>
      <c r="X12317" s="318"/>
      <c r="Y12317" s="318"/>
      <c r="Z12317" s="318"/>
      <c r="AA12317" s="318"/>
      <c r="AB12317" s="318"/>
      <c r="AC12317" s="318"/>
      <c r="AD12317" s="318"/>
    </row>
    <row r="12318" spans="2:30" s="323" customFormat="1" ht="12" customHeight="1">
      <c r="B12318" s="324"/>
      <c r="C12318" s="325"/>
      <c r="D12318" s="326"/>
      <c r="E12318" s="326"/>
      <c r="F12318" s="326"/>
      <c r="G12318" s="326"/>
      <c r="H12318" s="326"/>
      <c r="P12318" s="318"/>
      <c r="Q12318" s="318"/>
      <c r="R12318" s="318"/>
      <c r="S12318" s="318"/>
      <c r="T12318" s="318"/>
      <c r="U12318" s="318"/>
      <c r="V12318" s="318"/>
      <c r="W12318" s="318"/>
      <c r="X12318" s="318"/>
      <c r="Y12318" s="318"/>
      <c r="Z12318" s="318"/>
      <c r="AA12318" s="318"/>
      <c r="AB12318" s="318"/>
      <c r="AC12318" s="318"/>
      <c r="AD12318" s="318"/>
    </row>
    <row r="12319" spans="2:30" s="323" customFormat="1" ht="12" customHeight="1">
      <c r="B12319" s="324"/>
      <c r="C12319" s="325"/>
      <c r="D12319" s="326"/>
      <c r="E12319" s="326"/>
      <c r="F12319" s="326"/>
      <c r="G12319" s="326"/>
      <c r="H12319" s="326"/>
      <c r="P12319" s="318"/>
      <c r="Q12319" s="318"/>
      <c r="R12319" s="318"/>
      <c r="S12319" s="318"/>
      <c r="T12319" s="318"/>
      <c r="U12319" s="318"/>
      <c r="V12319" s="318"/>
      <c r="W12319" s="318"/>
      <c r="X12319" s="318"/>
      <c r="Y12319" s="318"/>
      <c r="Z12319" s="318"/>
      <c r="AA12319" s="318"/>
      <c r="AB12319" s="318"/>
      <c r="AC12319" s="318"/>
      <c r="AD12319" s="318"/>
    </row>
    <row r="12320" spans="2:30" s="323" customFormat="1" ht="12" customHeight="1">
      <c r="B12320" s="324"/>
      <c r="C12320" s="325"/>
      <c r="D12320" s="326"/>
      <c r="E12320" s="326"/>
      <c r="F12320" s="326"/>
      <c r="G12320" s="326"/>
      <c r="H12320" s="326"/>
      <c r="P12320" s="318"/>
      <c r="Q12320" s="318"/>
      <c r="R12320" s="318"/>
      <c r="S12320" s="318"/>
      <c r="T12320" s="318"/>
      <c r="U12320" s="318"/>
      <c r="V12320" s="318"/>
      <c r="W12320" s="318"/>
      <c r="X12320" s="318"/>
      <c r="Y12320" s="318"/>
      <c r="Z12320" s="318"/>
      <c r="AA12320" s="318"/>
      <c r="AB12320" s="318"/>
      <c r="AC12320" s="318"/>
      <c r="AD12320" s="318"/>
    </row>
    <row r="12321" spans="2:30" s="323" customFormat="1" ht="12" customHeight="1">
      <c r="B12321" s="324"/>
      <c r="C12321" s="325"/>
      <c r="D12321" s="326"/>
      <c r="E12321" s="326"/>
      <c r="F12321" s="326"/>
      <c r="G12321" s="326"/>
      <c r="H12321" s="326"/>
      <c r="P12321" s="318"/>
      <c r="Q12321" s="318"/>
      <c r="R12321" s="318"/>
      <c r="S12321" s="318"/>
      <c r="T12321" s="318"/>
      <c r="U12321" s="318"/>
      <c r="V12321" s="318"/>
      <c r="W12321" s="318"/>
      <c r="X12321" s="318"/>
      <c r="Y12321" s="318"/>
      <c r="Z12321" s="318"/>
      <c r="AA12321" s="318"/>
      <c r="AB12321" s="318"/>
      <c r="AC12321" s="318"/>
      <c r="AD12321" s="318"/>
    </row>
    <row r="12322" spans="2:30" s="323" customFormat="1" ht="12" customHeight="1">
      <c r="B12322" s="324"/>
      <c r="C12322" s="325"/>
      <c r="D12322" s="326"/>
      <c r="E12322" s="326"/>
      <c r="F12322" s="326"/>
      <c r="G12322" s="326"/>
      <c r="H12322" s="326"/>
      <c r="P12322" s="318"/>
      <c r="Q12322" s="318"/>
      <c r="R12322" s="318"/>
      <c r="S12322" s="318"/>
      <c r="T12322" s="318"/>
      <c r="U12322" s="318"/>
      <c r="V12322" s="318"/>
      <c r="W12322" s="318"/>
      <c r="X12322" s="318"/>
      <c r="Y12322" s="318"/>
      <c r="Z12322" s="318"/>
      <c r="AA12322" s="318"/>
      <c r="AB12322" s="318"/>
      <c r="AC12322" s="318"/>
      <c r="AD12322" s="318"/>
    </row>
    <row r="12323" spans="2:30" s="323" customFormat="1" ht="12" customHeight="1">
      <c r="B12323" s="324"/>
      <c r="C12323" s="325"/>
      <c r="D12323" s="326"/>
      <c r="E12323" s="326"/>
      <c r="F12323" s="326"/>
      <c r="G12323" s="326"/>
      <c r="H12323" s="326"/>
      <c r="P12323" s="318"/>
      <c r="Q12323" s="318"/>
      <c r="R12323" s="318"/>
      <c r="S12323" s="318"/>
      <c r="T12323" s="318"/>
      <c r="U12323" s="318"/>
      <c r="V12323" s="318"/>
      <c r="W12323" s="318"/>
      <c r="X12323" s="318"/>
      <c r="Y12323" s="318"/>
      <c r="Z12323" s="318"/>
      <c r="AA12323" s="318"/>
      <c r="AB12323" s="318"/>
      <c r="AC12323" s="318"/>
      <c r="AD12323" s="318"/>
    </row>
    <row r="12324" spans="2:30" s="323" customFormat="1" ht="12" customHeight="1">
      <c r="B12324" s="324"/>
      <c r="C12324" s="325"/>
      <c r="D12324" s="326"/>
      <c r="E12324" s="326"/>
      <c r="F12324" s="326"/>
      <c r="G12324" s="326"/>
      <c r="H12324" s="326"/>
      <c r="P12324" s="318"/>
      <c r="Q12324" s="318"/>
      <c r="R12324" s="318"/>
      <c r="S12324" s="318"/>
      <c r="T12324" s="318"/>
      <c r="U12324" s="318"/>
      <c r="V12324" s="318"/>
      <c r="W12324" s="318"/>
      <c r="X12324" s="318"/>
      <c r="Y12324" s="318"/>
      <c r="Z12324" s="318"/>
      <c r="AA12324" s="318"/>
      <c r="AB12324" s="318"/>
      <c r="AC12324" s="318"/>
      <c r="AD12324" s="318"/>
    </row>
    <row r="12325" spans="2:30" s="323" customFormat="1" ht="12" customHeight="1">
      <c r="B12325" s="324"/>
      <c r="C12325" s="325"/>
      <c r="D12325" s="326"/>
      <c r="E12325" s="326"/>
      <c r="F12325" s="326"/>
      <c r="G12325" s="326"/>
      <c r="H12325" s="326"/>
      <c r="P12325" s="318"/>
      <c r="Q12325" s="318"/>
      <c r="R12325" s="318"/>
      <c r="S12325" s="318"/>
      <c r="T12325" s="318"/>
      <c r="U12325" s="318"/>
      <c r="V12325" s="318"/>
      <c r="W12325" s="318"/>
      <c r="X12325" s="318"/>
      <c r="Y12325" s="318"/>
      <c r="Z12325" s="318"/>
      <c r="AA12325" s="318"/>
      <c r="AB12325" s="318"/>
      <c r="AC12325" s="318"/>
      <c r="AD12325" s="318"/>
    </row>
    <row r="12326" spans="2:30" s="323" customFormat="1" ht="12" customHeight="1">
      <c r="B12326" s="324"/>
      <c r="C12326" s="325"/>
      <c r="D12326" s="326"/>
      <c r="E12326" s="326"/>
      <c r="F12326" s="326"/>
      <c r="G12326" s="326"/>
      <c r="H12326" s="326"/>
      <c r="P12326" s="318"/>
      <c r="Q12326" s="318"/>
      <c r="R12326" s="318"/>
      <c r="S12326" s="318"/>
      <c r="T12326" s="318"/>
      <c r="U12326" s="318"/>
      <c r="V12326" s="318"/>
      <c r="W12326" s="318"/>
      <c r="X12326" s="318"/>
      <c r="Y12326" s="318"/>
      <c r="Z12326" s="318"/>
      <c r="AA12326" s="318"/>
      <c r="AB12326" s="318"/>
      <c r="AC12326" s="318"/>
      <c r="AD12326" s="318"/>
    </row>
    <row r="12327" spans="2:30" s="323" customFormat="1" ht="12" customHeight="1">
      <c r="B12327" s="324"/>
      <c r="C12327" s="325"/>
      <c r="D12327" s="326"/>
      <c r="E12327" s="326"/>
      <c r="F12327" s="326"/>
      <c r="G12327" s="326"/>
      <c r="H12327" s="326"/>
      <c r="P12327" s="318"/>
      <c r="Q12327" s="318"/>
      <c r="R12327" s="318"/>
      <c r="S12327" s="318"/>
      <c r="T12327" s="318"/>
      <c r="U12327" s="318"/>
      <c r="V12327" s="318"/>
      <c r="W12327" s="318"/>
      <c r="X12327" s="318"/>
      <c r="Y12327" s="318"/>
      <c r="Z12327" s="318"/>
      <c r="AA12327" s="318"/>
      <c r="AB12327" s="318"/>
      <c r="AC12327" s="318"/>
      <c r="AD12327" s="318"/>
    </row>
    <row r="12328" spans="2:30" s="323" customFormat="1" ht="12" customHeight="1">
      <c r="B12328" s="324"/>
      <c r="C12328" s="325"/>
      <c r="D12328" s="326"/>
      <c r="E12328" s="326"/>
      <c r="F12328" s="326"/>
      <c r="G12328" s="326"/>
      <c r="H12328" s="326"/>
      <c r="P12328" s="318"/>
      <c r="Q12328" s="318"/>
      <c r="R12328" s="318"/>
      <c r="S12328" s="318"/>
      <c r="T12328" s="318"/>
      <c r="U12328" s="318"/>
      <c r="V12328" s="318"/>
      <c r="W12328" s="318"/>
      <c r="X12328" s="318"/>
      <c r="Y12328" s="318"/>
      <c r="Z12328" s="318"/>
      <c r="AA12328" s="318"/>
      <c r="AB12328" s="318"/>
      <c r="AC12328" s="318"/>
      <c r="AD12328" s="318"/>
    </row>
    <row r="12329" spans="2:30" s="323" customFormat="1" ht="12" customHeight="1">
      <c r="B12329" s="324"/>
      <c r="C12329" s="325"/>
      <c r="D12329" s="326"/>
      <c r="E12329" s="326"/>
      <c r="F12329" s="326"/>
      <c r="G12329" s="326"/>
      <c r="H12329" s="326"/>
      <c r="P12329" s="318"/>
      <c r="Q12329" s="318"/>
      <c r="R12329" s="318"/>
      <c r="S12329" s="318"/>
      <c r="T12329" s="318"/>
      <c r="U12329" s="318"/>
      <c r="V12329" s="318"/>
      <c r="W12329" s="318"/>
      <c r="X12329" s="318"/>
      <c r="Y12329" s="318"/>
      <c r="Z12329" s="318"/>
      <c r="AA12329" s="318"/>
      <c r="AB12329" s="318"/>
      <c r="AC12329" s="318"/>
      <c r="AD12329" s="318"/>
    </row>
    <row r="12330" spans="2:30" s="323" customFormat="1" ht="12" customHeight="1">
      <c r="B12330" s="324"/>
      <c r="C12330" s="325"/>
      <c r="D12330" s="326"/>
      <c r="E12330" s="326"/>
      <c r="F12330" s="326"/>
      <c r="G12330" s="326"/>
      <c r="H12330" s="326"/>
      <c r="P12330" s="318"/>
      <c r="Q12330" s="318"/>
      <c r="R12330" s="318"/>
      <c r="S12330" s="318"/>
      <c r="T12330" s="318"/>
      <c r="U12330" s="318"/>
      <c r="V12330" s="318"/>
      <c r="W12330" s="318"/>
      <c r="X12330" s="318"/>
      <c r="Y12330" s="318"/>
      <c r="Z12330" s="318"/>
      <c r="AA12330" s="318"/>
      <c r="AB12330" s="318"/>
      <c r="AC12330" s="318"/>
      <c r="AD12330" s="318"/>
    </row>
    <row r="12331" spans="2:30" s="323" customFormat="1" ht="12" customHeight="1">
      <c r="B12331" s="324"/>
      <c r="C12331" s="325"/>
      <c r="D12331" s="326"/>
      <c r="E12331" s="326"/>
      <c r="F12331" s="326"/>
      <c r="G12331" s="326"/>
      <c r="H12331" s="326"/>
      <c r="P12331" s="318"/>
      <c r="Q12331" s="318"/>
      <c r="R12331" s="318"/>
      <c r="S12331" s="318"/>
      <c r="T12331" s="318"/>
      <c r="U12331" s="318"/>
      <c r="V12331" s="318"/>
      <c r="W12331" s="318"/>
      <c r="X12331" s="318"/>
      <c r="Y12331" s="318"/>
      <c r="Z12331" s="318"/>
      <c r="AA12331" s="318"/>
      <c r="AB12331" s="318"/>
      <c r="AC12331" s="318"/>
      <c r="AD12331" s="318"/>
    </row>
    <row r="12332" spans="2:30" s="323" customFormat="1" ht="12" customHeight="1">
      <c r="B12332" s="324"/>
      <c r="C12332" s="325"/>
      <c r="D12332" s="326"/>
      <c r="E12332" s="326"/>
      <c r="F12332" s="326"/>
      <c r="G12332" s="326"/>
      <c r="H12332" s="326"/>
      <c r="P12332" s="318"/>
      <c r="Q12332" s="318"/>
      <c r="R12332" s="318"/>
      <c r="S12332" s="318"/>
      <c r="T12332" s="318"/>
      <c r="U12332" s="318"/>
      <c r="V12332" s="318"/>
      <c r="W12332" s="318"/>
      <c r="X12332" s="318"/>
      <c r="Y12332" s="318"/>
      <c r="Z12332" s="318"/>
      <c r="AA12332" s="318"/>
      <c r="AB12332" s="318"/>
      <c r="AC12332" s="318"/>
      <c r="AD12332" s="318"/>
    </row>
    <row r="12333" spans="2:30" s="323" customFormat="1" ht="12" customHeight="1">
      <c r="B12333" s="324"/>
      <c r="C12333" s="325"/>
      <c r="D12333" s="326"/>
      <c r="E12333" s="326"/>
      <c r="F12333" s="326"/>
      <c r="G12333" s="326"/>
      <c r="H12333" s="326"/>
      <c r="P12333" s="318"/>
      <c r="Q12333" s="318"/>
      <c r="R12333" s="318"/>
      <c r="S12333" s="318"/>
      <c r="T12333" s="318"/>
      <c r="U12333" s="318"/>
      <c r="V12333" s="318"/>
      <c r="W12333" s="318"/>
      <c r="X12333" s="318"/>
      <c r="Y12333" s="318"/>
      <c r="Z12333" s="318"/>
      <c r="AA12333" s="318"/>
      <c r="AB12333" s="318"/>
      <c r="AC12333" s="318"/>
      <c r="AD12333" s="318"/>
    </row>
    <row r="12334" spans="2:30" s="323" customFormat="1" ht="12" customHeight="1">
      <c r="B12334" s="324"/>
      <c r="C12334" s="325"/>
      <c r="D12334" s="326"/>
      <c r="E12334" s="326"/>
      <c r="F12334" s="326"/>
      <c r="G12334" s="326"/>
      <c r="H12334" s="326"/>
      <c r="P12334" s="318"/>
      <c r="Q12334" s="318"/>
      <c r="R12334" s="318"/>
      <c r="S12334" s="318"/>
      <c r="T12334" s="318"/>
      <c r="U12334" s="318"/>
      <c r="V12334" s="318"/>
      <c r="W12334" s="318"/>
      <c r="X12334" s="318"/>
      <c r="Y12334" s="318"/>
      <c r="Z12334" s="318"/>
      <c r="AA12334" s="318"/>
      <c r="AB12334" s="318"/>
      <c r="AC12334" s="318"/>
      <c r="AD12334" s="318"/>
    </row>
    <row r="12335" spans="2:30" s="323" customFormat="1" ht="12" customHeight="1">
      <c r="B12335" s="324"/>
      <c r="C12335" s="325"/>
      <c r="D12335" s="326"/>
      <c r="E12335" s="326"/>
      <c r="F12335" s="326"/>
      <c r="G12335" s="326"/>
      <c r="H12335" s="326"/>
      <c r="P12335" s="318"/>
      <c r="Q12335" s="318"/>
      <c r="R12335" s="318"/>
      <c r="S12335" s="318"/>
      <c r="T12335" s="318"/>
      <c r="U12335" s="318"/>
      <c r="V12335" s="318"/>
      <c r="W12335" s="318"/>
      <c r="X12335" s="318"/>
      <c r="Y12335" s="318"/>
      <c r="Z12335" s="318"/>
      <c r="AA12335" s="318"/>
      <c r="AB12335" s="318"/>
      <c r="AC12335" s="318"/>
      <c r="AD12335" s="318"/>
    </row>
    <row r="12336" spans="2:30" s="323" customFormat="1" ht="12" customHeight="1">
      <c r="B12336" s="324"/>
      <c r="C12336" s="325"/>
      <c r="D12336" s="326"/>
      <c r="E12336" s="326"/>
      <c r="F12336" s="326"/>
      <c r="G12336" s="326"/>
      <c r="H12336" s="326"/>
      <c r="P12336" s="318"/>
      <c r="Q12336" s="318"/>
      <c r="R12336" s="318"/>
      <c r="S12336" s="318"/>
      <c r="T12336" s="318"/>
      <c r="U12336" s="318"/>
      <c r="V12336" s="318"/>
      <c r="W12336" s="318"/>
      <c r="X12336" s="318"/>
      <c r="Y12336" s="318"/>
      <c r="Z12336" s="318"/>
      <c r="AA12336" s="318"/>
      <c r="AB12336" s="318"/>
      <c r="AC12336" s="318"/>
      <c r="AD12336" s="318"/>
    </row>
    <row r="12337" spans="2:30" s="323" customFormat="1" ht="12" customHeight="1">
      <c r="B12337" s="324"/>
      <c r="C12337" s="325"/>
      <c r="D12337" s="326"/>
      <c r="E12337" s="326"/>
      <c r="F12337" s="326"/>
      <c r="G12337" s="326"/>
      <c r="H12337" s="326"/>
      <c r="P12337" s="318"/>
      <c r="Q12337" s="318"/>
      <c r="R12337" s="318"/>
      <c r="S12337" s="318"/>
      <c r="T12337" s="318"/>
      <c r="U12337" s="318"/>
      <c r="V12337" s="318"/>
      <c r="W12337" s="318"/>
      <c r="X12337" s="318"/>
      <c r="Y12337" s="318"/>
      <c r="Z12337" s="318"/>
      <c r="AA12337" s="318"/>
      <c r="AB12337" s="318"/>
      <c r="AC12337" s="318"/>
      <c r="AD12337" s="318"/>
    </row>
    <row r="12338" spans="2:30" s="323" customFormat="1" ht="12" customHeight="1">
      <c r="B12338" s="324"/>
      <c r="C12338" s="325"/>
      <c r="D12338" s="326"/>
      <c r="E12338" s="326"/>
      <c r="F12338" s="326"/>
      <c r="G12338" s="326"/>
      <c r="H12338" s="326"/>
      <c r="P12338" s="318"/>
      <c r="Q12338" s="318"/>
      <c r="R12338" s="318"/>
      <c r="S12338" s="318"/>
      <c r="T12338" s="318"/>
      <c r="U12338" s="318"/>
      <c r="V12338" s="318"/>
      <c r="W12338" s="318"/>
      <c r="X12338" s="318"/>
      <c r="Y12338" s="318"/>
      <c r="Z12338" s="318"/>
      <c r="AA12338" s="318"/>
      <c r="AB12338" s="318"/>
      <c r="AC12338" s="318"/>
      <c r="AD12338" s="318"/>
    </row>
    <row r="12339" spans="2:30" s="323" customFormat="1" ht="12" customHeight="1">
      <c r="B12339" s="324"/>
      <c r="C12339" s="325"/>
      <c r="D12339" s="326"/>
      <c r="E12339" s="326"/>
      <c r="F12339" s="326"/>
      <c r="G12339" s="326"/>
      <c r="H12339" s="326"/>
      <c r="P12339" s="318"/>
      <c r="Q12339" s="318"/>
      <c r="R12339" s="318"/>
      <c r="S12339" s="318"/>
      <c r="T12339" s="318"/>
      <c r="U12339" s="318"/>
      <c r="V12339" s="318"/>
      <c r="W12339" s="318"/>
      <c r="X12339" s="318"/>
      <c r="Y12339" s="318"/>
      <c r="Z12339" s="318"/>
      <c r="AA12339" s="318"/>
      <c r="AB12339" s="318"/>
      <c r="AC12339" s="318"/>
      <c r="AD12339" s="318"/>
    </row>
    <row r="12340" spans="2:30" s="323" customFormat="1" ht="12" customHeight="1">
      <c r="B12340" s="324"/>
      <c r="C12340" s="325"/>
      <c r="D12340" s="326"/>
      <c r="E12340" s="326"/>
      <c r="F12340" s="326"/>
      <c r="G12340" s="326"/>
      <c r="H12340" s="326"/>
      <c r="P12340" s="318"/>
      <c r="Q12340" s="318"/>
      <c r="R12340" s="318"/>
      <c r="S12340" s="318"/>
      <c r="T12340" s="318"/>
      <c r="U12340" s="318"/>
      <c r="V12340" s="318"/>
      <c r="W12340" s="318"/>
      <c r="X12340" s="318"/>
      <c r="Y12340" s="318"/>
      <c r="Z12340" s="318"/>
      <c r="AA12340" s="318"/>
      <c r="AB12340" s="318"/>
      <c r="AC12340" s="318"/>
      <c r="AD12340" s="318"/>
    </row>
    <row r="12341" spans="2:30" s="323" customFormat="1" ht="12" customHeight="1">
      <c r="B12341" s="324"/>
      <c r="C12341" s="325"/>
      <c r="D12341" s="326"/>
      <c r="E12341" s="326"/>
      <c r="F12341" s="326"/>
      <c r="G12341" s="326"/>
      <c r="H12341" s="326"/>
      <c r="P12341" s="318"/>
      <c r="Q12341" s="318"/>
      <c r="R12341" s="318"/>
      <c r="S12341" s="318"/>
      <c r="T12341" s="318"/>
      <c r="U12341" s="318"/>
      <c r="V12341" s="318"/>
      <c r="W12341" s="318"/>
      <c r="X12341" s="318"/>
      <c r="Y12341" s="318"/>
      <c r="Z12341" s="318"/>
      <c r="AA12341" s="318"/>
      <c r="AB12341" s="318"/>
      <c r="AC12341" s="318"/>
      <c r="AD12341" s="318"/>
    </row>
    <row r="12342" spans="2:30" s="323" customFormat="1" ht="12" customHeight="1">
      <c r="B12342" s="324"/>
      <c r="C12342" s="325"/>
      <c r="D12342" s="326"/>
      <c r="E12342" s="326"/>
      <c r="F12342" s="326"/>
      <c r="G12342" s="326"/>
      <c r="H12342" s="326"/>
      <c r="P12342" s="318"/>
      <c r="Q12342" s="318"/>
      <c r="R12342" s="318"/>
      <c r="S12342" s="318"/>
      <c r="T12342" s="318"/>
      <c r="U12342" s="318"/>
      <c r="V12342" s="318"/>
      <c r="W12342" s="318"/>
      <c r="X12342" s="318"/>
      <c r="Y12342" s="318"/>
      <c r="Z12342" s="318"/>
      <c r="AA12342" s="318"/>
      <c r="AB12342" s="318"/>
      <c r="AC12342" s="318"/>
      <c r="AD12342" s="318"/>
    </row>
    <row r="12343" spans="2:30" s="323" customFormat="1" ht="12" customHeight="1">
      <c r="B12343" s="324"/>
      <c r="C12343" s="325"/>
      <c r="D12343" s="326"/>
      <c r="E12343" s="326"/>
      <c r="F12343" s="326"/>
      <c r="G12343" s="326"/>
      <c r="H12343" s="326"/>
      <c r="P12343" s="318"/>
      <c r="Q12343" s="318"/>
      <c r="R12343" s="318"/>
      <c r="S12343" s="318"/>
      <c r="T12343" s="318"/>
      <c r="U12343" s="318"/>
      <c r="V12343" s="318"/>
      <c r="W12343" s="318"/>
      <c r="X12343" s="318"/>
      <c r="Y12343" s="318"/>
      <c r="Z12343" s="318"/>
      <c r="AA12343" s="318"/>
      <c r="AB12343" s="318"/>
      <c r="AC12343" s="318"/>
      <c r="AD12343" s="318"/>
    </row>
    <row r="12344" spans="2:30" s="323" customFormat="1" ht="12" customHeight="1">
      <c r="B12344" s="324"/>
      <c r="C12344" s="325"/>
      <c r="D12344" s="326"/>
      <c r="E12344" s="326"/>
      <c r="F12344" s="326"/>
      <c r="G12344" s="326"/>
      <c r="H12344" s="326"/>
      <c r="P12344" s="318"/>
      <c r="Q12344" s="318"/>
      <c r="R12344" s="318"/>
      <c r="S12344" s="318"/>
      <c r="T12344" s="318"/>
      <c r="U12344" s="318"/>
      <c r="V12344" s="318"/>
      <c r="W12344" s="318"/>
      <c r="X12344" s="318"/>
      <c r="Y12344" s="318"/>
      <c r="Z12344" s="318"/>
      <c r="AA12344" s="318"/>
      <c r="AB12344" s="318"/>
      <c r="AC12344" s="318"/>
      <c r="AD12344" s="318"/>
    </row>
    <row r="12345" spans="2:30" s="323" customFormat="1" ht="12" customHeight="1">
      <c r="B12345" s="324"/>
      <c r="C12345" s="325"/>
      <c r="D12345" s="326"/>
      <c r="E12345" s="326"/>
      <c r="F12345" s="326"/>
      <c r="G12345" s="326"/>
      <c r="H12345" s="326"/>
      <c r="P12345" s="318"/>
      <c r="Q12345" s="318"/>
      <c r="R12345" s="318"/>
      <c r="S12345" s="318"/>
      <c r="T12345" s="318"/>
      <c r="U12345" s="318"/>
      <c r="V12345" s="318"/>
      <c r="W12345" s="318"/>
      <c r="X12345" s="318"/>
      <c r="Y12345" s="318"/>
      <c r="Z12345" s="318"/>
      <c r="AA12345" s="318"/>
      <c r="AB12345" s="318"/>
      <c r="AC12345" s="318"/>
      <c r="AD12345" s="318"/>
    </row>
    <row r="12346" spans="2:30" s="323" customFormat="1" ht="12" customHeight="1">
      <c r="B12346" s="324"/>
      <c r="C12346" s="325"/>
      <c r="D12346" s="326"/>
      <c r="E12346" s="326"/>
      <c r="F12346" s="326"/>
      <c r="G12346" s="326"/>
      <c r="H12346" s="326"/>
      <c r="P12346" s="318"/>
      <c r="Q12346" s="318"/>
      <c r="R12346" s="318"/>
      <c r="S12346" s="318"/>
      <c r="T12346" s="318"/>
      <c r="U12346" s="318"/>
      <c r="V12346" s="318"/>
      <c r="W12346" s="318"/>
      <c r="X12346" s="318"/>
      <c r="Y12346" s="318"/>
      <c r="Z12346" s="318"/>
      <c r="AA12346" s="318"/>
      <c r="AB12346" s="318"/>
      <c r="AC12346" s="318"/>
      <c r="AD12346" s="318"/>
    </row>
    <row r="12347" spans="2:30" s="323" customFormat="1" ht="12" customHeight="1">
      <c r="B12347" s="324"/>
      <c r="C12347" s="325"/>
      <c r="D12347" s="326"/>
      <c r="E12347" s="326"/>
      <c r="F12347" s="326"/>
      <c r="G12347" s="326"/>
      <c r="H12347" s="326"/>
      <c r="P12347" s="318"/>
      <c r="Q12347" s="318"/>
      <c r="R12347" s="318"/>
      <c r="S12347" s="318"/>
      <c r="T12347" s="318"/>
      <c r="U12347" s="318"/>
      <c r="V12347" s="318"/>
      <c r="W12347" s="318"/>
      <c r="X12347" s="318"/>
      <c r="Y12347" s="318"/>
      <c r="Z12347" s="318"/>
      <c r="AA12347" s="318"/>
      <c r="AB12347" s="318"/>
      <c r="AC12347" s="318"/>
      <c r="AD12347" s="318"/>
    </row>
    <row r="12348" spans="2:30" s="323" customFormat="1" ht="12" customHeight="1">
      <c r="B12348" s="324"/>
      <c r="C12348" s="325"/>
      <c r="D12348" s="326"/>
      <c r="E12348" s="326"/>
      <c r="F12348" s="326"/>
      <c r="G12348" s="326"/>
      <c r="H12348" s="326"/>
      <c r="P12348" s="318"/>
      <c r="Q12348" s="318"/>
      <c r="R12348" s="318"/>
      <c r="S12348" s="318"/>
      <c r="T12348" s="318"/>
      <c r="U12348" s="318"/>
      <c r="V12348" s="318"/>
      <c r="W12348" s="318"/>
      <c r="X12348" s="318"/>
      <c r="Y12348" s="318"/>
      <c r="Z12348" s="318"/>
      <c r="AA12348" s="318"/>
      <c r="AB12348" s="318"/>
      <c r="AC12348" s="318"/>
      <c r="AD12348" s="318"/>
    </row>
    <row r="12349" spans="2:30" s="323" customFormat="1" ht="12" customHeight="1">
      <c r="B12349" s="324"/>
      <c r="C12349" s="325"/>
      <c r="D12349" s="326"/>
      <c r="E12349" s="326"/>
      <c r="F12349" s="326"/>
      <c r="G12349" s="326"/>
      <c r="H12349" s="326"/>
      <c r="P12349" s="318"/>
      <c r="Q12349" s="318"/>
      <c r="R12349" s="318"/>
      <c r="S12349" s="318"/>
      <c r="T12349" s="318"/>
      <c r="U12349" s="318"/>
      <c r="V12349" s="318"/>
      <c r="W12349" s="318"/>
      <c r="X12349" s="318"/>
      <c r="Y12349" s="318"/>
      <c r="Z12349" s="318"/>
      <c r="AA12349" s="318"/>
      <c r="AB12349" s="318"/>
      <c r="AC12349" s="318"/>
      <c r="AD12349" s="318"/>
    </row>
    <row r="12350" spans="2:30" s="323" customFormat="1" ht="12" customHeight="1">
      <c r="B12350" s="324"/>
      <c r="C12350" s="325"/>
      <c r="D12350" s="326"/>
      <c r="E12350" s="326"/>
      <c r="F12350" s="326"/>
      <c r="G12350" s="326"/>
      <c r="H12350" s="326"/>
      <c r="P12350" s="318"/>
      <c r="Q12350" s="318"/>
      <c r="R12350" s="318"/>
      <c r="S12350" s="318"/>
      <c r="T12350" s="318"/>
      <c r="U12350" s="318"/>
      <c r="V12350" s="318"/>
      <c r="W12350" s="318"/>
      <c r="X12350" s="318"/>
      <c r="Y12350" s="318"/>
      <c r="Z12350" s="318"/>
      <c r="AA12350" s="318"/>
      <c r="AB12350" s="318"/>
      <c r="AC12350" s="318"/>
      <c r="AD12350" s="318"/>
    </row>
    <row r="12351" spans="2:30" s="323" customFormat="1" ht="12" customHeight="1">
      <c r="B12351" s="324"/>
      <c r="C12351" s="325"/>
      <c r="D12351" s="326"/>
      <c r="E12351" s="326"/>
      <c r="F12351" s="326"/>
      <c r="G12351" s="326"/>
      <c r="H12351" s="326"/>
      <c r="P12351" s="318"/>
      <c r="Q12351" s="318"/>
      <c r="R12351" s="318"/>
      <c r="S12351" s="318"/>
      <c r="T12351" s="318"/>
      <c r="U12351" s="318"/>
      <c r="V12351" s="318"/>
      <c r="W12351" s="318"/>
      <c r="X12351" s="318"/>
      <c r="Y12351" s="318"/>
      <c r="Z12351" s="318"/>
      <c r="AA12351" s="318"/>
      <c r="AB12351" s="318"/>
      <c r="AC12351" s="318"/>
      <c r="AD12351" s="318"/>
    </row>
    <row r="12352" spans="2:30" s="323" customFormat="1" ht="12" customHeight="1">
      <c r="B12352" s="324"/>
      <c r="C12352" s="325"/>
      <c r="D12352" s="326"/>
      <c r="E12352" s="326"/>
      <c r="F12352" s="326"/>
      <c r="G12352" s="326"/>
      <c r="H12352" s="326"/>
      <c r="P12352" s="318"/>
      <c r="Q12352" s="318"/>
      <c r="R12352" s="318"/>
      <c r="S12352" s="318"/>
      <c r="T12352" s="318"/>
      <c r="U12352" s="318"/>
      <c r="V12352" s="318"/>
      <c r="W12352" s="318"/>
      <c r="X12352" s="318"/>
      <c r="Y12352" s="318"/>
      <c r="Z12352" s="318"/>
      <c r="AA12352" s="318"/>
      <c r="AB12352" s="318"/>
      <c r="AC12352" s="318"/>
      <c r="AD12352" s="318"/>
    </row>
    <row r="12353" spans="2:30" s="323" customFormat="1" ht="12" customHeight="1">
      <c r="B12353" s="324"/>
      <c r="C12353" s="325"/>
      <c r="D12353" s="326"/>
      <c r="E12353" s="326"/>
      <c r="F12353" s="326"/>
      <c r="G12353" s="326"/>
      <c r="H12353" s="326"/>
      <c r="P12353" s="318"/>
      <c r="Q12353" s="318"/>
      <c r="R12353" s="318"/>
      <c r="S12353" s="318"/>
      <c r="T12353" s="318"/>
      <c r="U12353" s="318"/>
      <c r="V12353" s="318"/>
      <c r="W12353" s="318"/>
      <c r="X12353" s="318"/>
      <c r="Y12353" s="318"/>
      <c r="Z12353" s="318"/>
      <c r="AA12353" s="318"/>
      <c r="AB12353" s="318"/>
      <c r="AC12353" s="318"/>
      <c r="AD12353" s="318"/>
    </row>
    <row r="12354" spans="2:30" s="323" customFormat="1" ht="12" customHeight="1">
      <c r="B12354" s="324"/>
      <c r="C12354" s="325"/>
      <c r="D12354" s="326"/>
      <c r="E12354" s="326"/>
      <c r="F12354" s="326"/>
      <c r="G12354" s="326"/>
      <c r="H12354" s="326"/>
      <c r="P12354" s="318"/>
      <c r="Q12354" s="318"/>
      <c r="R12354" s="318"/>
      <c r="S12354" s="318"/>
      <c r="T12354" s="318"/>
      <c r="U12354" s="318"/>
      <c r="V12354" s="318"/>
      <c r="W12354" s="318"/>
      <c r="X12354" s="318"/>
      <c r="Y12354" s="318"/>
      <c r="Z12354" s="318"/>
      <c r="AA12354" s="318"/>
      <c r="AB12354" s="318"/>
      <c r="AC12354" s="318"/>
      <c r="AD12354" s="318"/>
    </row>
    <row r="12355" spans="2:30" s="323" customFormat="1" ht="12" customHeight="1">
      <c r="B12355" s="324"/>
      <c r="C12355" s="325"/>
      <c r="D12355" s="326"/>
      <c r="E12355" s="326"/>
      <c r="F12355" s="326"/>
      <c r="G12355" s="326"/>
      <c r="H12355" s="326"/>
      <c r="P12355" s="318"/>
      <c r="Q12355" s="318"/>
      <c r="R12355" s="318"/>
      <c r="S12355" s="318"/>
      <c r="T12355" s="318"/>
      <c r="U12355" s="318"/>
      <c r="V12355" s="318"/>
      <c r="W12355" s="318"/>
      <c r="X12355" s="318"/>
      <c r="Y12355" s="318"/>
      <c r="Z12355" s="318"/>
      <c r="AA12355" s="318"/>
      <c r="AB12355" s="318"/>
      <c r="AC12355" s="318"/>
      <c r="AD12355" s="318"/>
    </row>
    <row r="12356" spans="2:30" s="323" customFormat="1" ht="12" customHeight="1">
      <c r="B12356" s="324"/>
      <c r="C12356" s="325"/>
      <c r="D12356" s="326"/>
      <c r="E12356" s="326"/>
      <c r="F12356" s="326"/>
      <c r="G12356" s="326"/>
      <c r="H12356" s="326"/>
      <c r="P12356" s="318"/>
      <c r="Q12356" s="318"/>
      <c r="R12356" s="318"/>
      <c r="S12356" s="318"/>
      <c r="T12356" s="318"/>
      <c r="U12356" s="318"/>
      <c r="V12356" s="318"/>
      <c r="W12356" s="318"/>
      <c r="X12356" s="318"/>
      <c r="Y12356" s="318"/>
      <c r="Z12356" s="318"/>
      <c r="AA12356" s="318"/>
      <c r="AB12356" s="318"/>
      <c r="AC12356" s="318"/>
      <c r="AD12356" s="318"/>
    </row>
    <row r="12357" spans="2:30" s="323" customFormat="1" ht="12" customHeight="1">
      <c r="B12357" s="324"/>
      <c r="C12357" s="325"/>
      <c r="D12357" s="326"/>
      <c r="E12357" s="326"/>
      <c r="F12357" s="326"/>
      <c r="G12357" s="326"/>
      <c r="H12357" s="326"/>
      <c r="P12357" s="318"/>
      <c r="Q12357" s="318"/>
      <c r="R12357" s="318"/>
      <c r="S12357" s="318"/>
      <c r="T12357" s="318"/>
      <c r="U12357" s="318"/>
      <c r="V12357" s="318"/>
      <c r="W12357" s="318"/>
      <c r="X12357" s="318"/>
      <c r="Y12357" s="318"/>
      <c r="Z12357" s="318"/>
      <c r="AA12357" s="318"/>
      <c r="AB12357" s="318"/>
      <c r="AC12357" s="318"/>
      <c r="AD12357" s="318"/>
    </row>
    <row r="12358" spans="2:30" s="323" customFormat="1" ht="12" customHeight="1">
      <c r="B12358" s="324"/>
      <c r="C12358" s="325"/>
      <c r="D12358" s="326"/>
      <c r="E12358" s="326"/>
      <c r="F12358" s="326"/>
      <c r="G12358" s="326"/>
      <c r="H12358" s="326"/>
      <c r="P12358" s="318"/>
      <c r="Q12358" s="318"/>
      <c r="R12358" s="318"/>
      <c r="S12358" s="318"/>
      <c r="T12358" s="318"/>
      <c r="U12358" s="318"/>
      <c r="V12358" s="318"/>
      <c r="W12358" s="318"/>
      <c r="X12358" s="318"/>
      <c r="Y12358" s="318"/>
      <c r="Z12358" s="318"/>
      <c r="AA12358" s="318"/>
      <c r="AB12358" s="318"/>
      <c r="AC12358" s="318"/>
      <c r="AD12358" s="318"/>
    </row>
    <row r="12359" spans="2:30" s="323" customFormat="1" ht="12" customHeight="1">
      <c r="B12359" s="324"/>
      <c r="C12359" s="325"/>
      <c r="D12359" s="326"/>
      <c r="E12359" s="326"/>
      <c r="F12359" s="326"/>
      <c r="G12359" s="326"/>
      <c r="H12359" s="326"/>
      <c r="P12359" s="318"/>
      <c r="Q12359" s="318"/>
      <c r="R12359" s="318"/>
      <c r="S12359" s="318"/>
      <c r="T12359" s="318"/>
      <c r="U12359" s="318"/>
      <c r="V12359" s="318"/>
      <c r="W12359" s="318"/>
      <c r="X12359" s="318"/>
      <c r="Y12359" s="318"/>
      <c r="Z12359" s="318"/>
      <c r="AA12359" s="318"/>
      <c r="AB12359" s="318"/>
      <c r="AC12359" s="318"/>
      <c r="AD12359" s="318"/>
    </row>
    <row r="12360" spans="2:30" s="323" customFormat="1" ht="12" customHeight="1">
      <c r="B12360" s="324"/>
      <c r="C12360" s="325"/>
      <c r="D12360" s="326"/>
      <c r="E12360" s="326"/>
      <c r="F12360" s="326"/>
      <c r="G12360" s="326"/>
      <c r="H12360" s="326"/>
      <c r="P12360" s="318"/>
      <c r="Q12360" s="318"/>
      <c r="R12360" s="318"/>
      <c r="S12360" s="318"/>
      <c r="T12360" s="318"/>
      <c r="U12360" s="318"/>
      <c r="V12360" s="318"/>
      <c r="W12360" s="318"/>
      <c r="X12360" s="318"/>
      <c r="Y12360" s="318"/>
      <c r="Z12360" s="318"/>
      <c r="AA12360" s="318"/>
      <c r="AB12360" s="318"/>
      <c r="AC12360" s="318"/>
      <c r="AD12360" s="318"/>
    </row>
    <row r="12361" spans="2:30" s="323" customFormat="1" ht="12" customHeight="1">
      <c r="B12361" s="324"/>
      <c r="C12361" s="325"/>
      <c r="D12361" s="326"/>
      <c r="E12361" s="326"/>
      <c r="F12361" s="326"/>
      <c r="G12361" s="326"/>
      <c r="H12361" s="326"/>
      <c r="P12361" s="318"/>
      <c r="Q12361" s="318"/>
      <c r="R12361" s="318"/>
      <c r="S12361" s="318"/>
      <c r="T12361" s="318"/>
      <c r="U12361" s="318"/>
      <c r="V12361" s="318"/>
      <c r="W12361" s="318"/>
      <c r="X12361" s="318"/>
      <c r="Y12361" s="318"/>
      <c r="Z12361" s="318"/>
      <c r="AA12361" s="318"/>
      <c r="AB12361" s="318"/>
      <c r="AC12361" s="318"/>
      <c r="AD12361" s="318"/>
    </row>
    <row r="12362" spans="2:30" s="323" customFormat="1" ht="12" customHeight="1">
      <c r="B12362" s="324"/>
      <c r="C12362" s="325"/>
      <c r="D12362" s="326"/>
      <c r="E12362" s="326"/>
      <c r="F12362" s="326"/>
      <c r="G12362" s="326"/>
      <c r="H12362" s="326"/>
      <c r="P12362" s="318"/>
      <c r="Q12362" s="318"/>
      <c r="R12362" s="318"/>
      <c r="S12362" s="318"/>
      <c r="T12362" s="318"/>
      <c r="U12362" s="318"/>
      <c r="V12362" s="318"/>
      <c r="W12362" s="318"/>
      <c r="X12362" s="318"/>
      <c r="Y12362" s="318"/>
      <c r="Z12362" s="318"/>
      <c r="AA12362" s="318"/>
      <c r="AB12362" s="318"/>
      <c r="AC12362" s="318"/>
      <c r="AD12362" s="318"/>
    </row>
    <row r="12363" spans="2:30" s="323" customFormat="1" ht="12" customHeight="1">
      <c r="B12363" s="324"/>
      <c r="C12363" s="325"/>
      <c r="D12363" s="326"/>
      <c r="E12363" s="326"/>
      <c r="F12363" s="326"/>
      <c r="G12363" s="326"/>
      <c r="H12363" s="326"/>
      <c r="P12363" s="318"/>
      <c r="Q12363" s="318"/>
      <c r="R12363" s="318"/>
      <c r="S12363" s="318"/>
      <c r="T12363" s="318"/>
      <c r="U12363" s="318"/>
      <c r="V12363" s="318"/>
      <c r="W12363" s="318"/>
      <c r="X12363" s="318"/>
      <c r="Y12363" s="318"/>
      <c r="Z12363" s="318"/>
      <c r="AA12363" s="318"/>
      <c r="AB12363" s="318"/>
      <c r="AC12363" s="318"/>
      <c r="AD12363" s="318"/>
    </row>
    <row r="12364" spans="2:30" s="323" customFormat="1" ht="12" customHeight="1">
      <c r="B12364" s="324"/>
      <c r="C12364" s="325"/>
      <c r="D12364" s="326"/>
      <c r="E12364" s="326"/>
      <c r="F12364" s="326"/>
      <c r="G12364" s="326"/>
      <c r="H12364" s="326"/>
      <c r="P12364" s="318"/>
      <c r="Q12364" s="318"/>
      <c r="R12364" s="318"/>
      <c r="S12364" s="318"/>
      <c r="T12364" s="318"/>
      <c r="U12364" s="318"/>
      <c r="V12364" s="318"/>
      <c r="W12364" s="318"/>
      <c r="X12364" s="318"/>
      <c r="Y12364" s="318"/>
      <c r="Z12364" s="318"/>
      <c r="AA12364" s="318"/>
      <c r="AB12364" s="318"/>
      <c r="AC12364" s="318"/>
      <c r="AD12364" s="318"/>
    </row>
    <row r="12365" spans="2:30" s="323" customFormat="1" ht="12" customHeight="1">
      <c r="B12365" s="324"/>
      <c r="C12365" s="325"/>
      <c r="D12365" s="326"/>
      <c r="E12365" s="326"/>
      <c r="F12365" s="326"/>
      <c r="G12365" s="326"/>
      <c r="H12365" s="326"/>
      <c r="P12365" s="318"/>
      <c r="Q12365" s="318"/>
      <c r="R12365" s="318"/>
      <c r="S12365" s="318"/>
      <c r="T12365" s="318"/>
      <c r="U12365" s="318"/>
      <c r="V12365" s="318"/>
      <c r="W12365" s="318"/>
      <c r="X12365" s="318"/>
      <c r="Y12365" s="318"/>
      <c r="Z12365" s="318"/>
      <c r="AA12365" s="318"/>
      <c r="AB12365" s="318"/>
      <c r="AC12365" s="318"/>
      <c r="AD12365" s="318"/>
    </row>
    <row r="12366" spans="2:30" s="323" customFormat="1" ht="12" customHeight="1">
      <c r="B12366" s="324"/>
      <c r="C12366" s="325"/>
      <c r="D12366" s="326"/>
      <c r="E12366" s="326"/>
      <c r="F12366" s="326"/>
      <c r="G12366" s="326"/>
      <c r="H12366" s="326"/>
      <c r="P12366" s="318"/>
      <c r="Q12366" s="318"/>
      <c r="R12366" s="318"/>
      <c r="S12366" s="318"/>
      <c r="T12366" s="318"/>
      <c r="U12366" s="318"/>
      <c r="V12366" s="318"/>
      <c r="W12366" s="318"/>
      <c r="X12366" s="318"/>
      <c r="Y12366" s="318"/>
      <c r="Z12366" s="318"/>
      <c r="AA12366" s="318"/>
      <c r="AB12366" s="318"/>
      <c r="AC12366" s="318"/>
      <c r="AD12366" s="318"/>
    </row>
    <row r="12367" spans="2:30" s="323" customFormat="1" ht="12" customHeight="1">
      <c r="B12367" s="324"/>
      <c r="C12367" s="325"/>
      <c r="D12367" s="326"/>
      <c r="E12367" s="326"/>
      <c r="F12367" s="326"/>
      <c r="G12367" s="326"/>
      <c r="H12367" s="326"/>
      <c r="P12367" s="318"/>
      <c r="Q12367" s="318"/>
      <c r="R12367" s="318"/>
      <c r="S12367" s="318"/>
      <c r="T12367" s="318"/>
      <c r="U12367" s="318"/>
      <c r="V12367" s="318"/>
      <c r="W12367" s="318"/>
      <c r="X12367" s="318"/>
      <c r="Y12367" s="318"/>
      <c r="Z12367" s="318"/>
      <c r="AA12367" s="318"/>
      <c r="AB12367" s="318"/>
      <c r="AC12367" s="318"/>
      <c r="AD12367" s="318"/>
    </row>
    <row r="12368" spans="2:30" s="323" customFormat="1" ht="12" customHeight="1">
      <c r="B12368" s="324"/>
      <c r="C12368" s="325"/>
      <c r="D12368" s="326"/>
      <c r="E12368" s="326"/>
      <c r="F12368" s="326"/>
      <c r="G12368" s="326"/>
      <c r="H12368" s="326"/>
      <c r="P12368" s="318"/>
      <c r="Q12368" s="318"/>
      <c r="R12368" s="318"/>
      <c r="S12368" s="318"/>
      <c r="T12368" s="318"/>
      <c r="U12368" s="318"/>
      <c r="V12368" s="318"/>
      <c r="W12368" s="318"/>
      <c r="X12368" s="318"/>
      <c r="Y12368" s="318"/>
      <c r="Z12368" s="318"/>
      <c r="AA12368" s="318"/>
      <c r="AB12368" s="318"/>
      <c r="AC12368" s="318"/>
      <c r="AD12368" s="318"/>
    </row>
    <row r="12369" spans="2:30" s="323" customFormat="1" ht="12" customHeight="1">
      <c r="B12369" s="324"/>
      <c r="C12369" s="325"/>
      <c r="D12369" s="326"/>
      <c r="E12369" s="326"/>
      <c r="F12369" s="326"/>
      <c r="G12369" s="326"/>
      <c r="H12369" s="326"/>
      <c r="P12369" s="318"/>
      <c r="Q12369" s="318"/>
      <c r="R12369" s="318"/>
      <c r="S12369" s="318"/>
      <c r="T12369" s="318"/>
      <c r="U12369" s="318"/>
      <c r="V12369" s="318"/>
      <c r="W12369" s="318"/>
      <c r="X12369" s="318"/>
      <c r="Y12369" s="318"/>
      <c r="Z12369" s="318"/>
      <c r="AA12369" s="318"/>
      <c r="AB12369" s="318"/>
      <c r="AC12369" s="318"/>
      <c r="AD12369" s="318"/>
    </row>
    <row r="12370" spans="2:30" s="323" customFormat="1" ht="12" customHeight="1">
      <c r="B12370" s="324"/>
      <c r="C12370" s="325"/>
      <c r="D12370" s="326"/>
      <c r="E12370" s="326"/>
      <c r="F12370" s="326"/>
      <c r="G12370" s="326"/>
      <c r="H12370" s="326"/>
      <c r="P12370" s="318"/>
      <c r="Q12370" s="318"/>
      <c r="R12370" s="318"/>
      <c r="S12370" s="318"/>
      <c r="T12370" s="318"/>
      <c r="U12370" s="318"/>
      <c r="V12370" s="318"/>
      <c r="W12370" s="318"/>
      <c r="X12370" s="318"/>
      <c r="Y12370" s="318"/>
      <c r="Z12370" s="318"/>
      <c r="AA12370" s="318"/>
      <c r="AB12370" s="318"/>
      <c r="AC12370" s="318"/>
      <c r="AD12370" s="318"/>
    </row>
    <row r="12371" spans="2:30" s="323" customFormat="1" ht="12" customHeight="1">
      <c r="B12371" s="324"/>
      <c r="C12371" s="325"/>
      <c r="D12371" s="326"/>
      <c r="E12371" s="326"/>
      <c r="F12371" s="326"/>
      <c r="G12371" s="326"/>
      <c r="H12371" s="326"/>
      <c r="P12371" s="318"/>
      <c r="Q12371" s="318"/>
      <c r="R12371" s="318"/>
      <c r="S12371" s="318"/>
      <c r="T12371" s="318"/>
      <c r="U12371" s="318"/>
      <c r="V12371" s="318"/>
      <c r="W12371" s="318"/>
      <c r="X12371" s="318"/>
      <c r="Y12371" s="318"/>
      <c r="Z12371" s="318"/>
      <c r="AA12371" s="318"/>
      <c r="AB12371" s="318"/>
      <c r="AC12371" s="318"/>
      <c r="AD12371" s="318"/>
    </row>
    <row r="12372" spans="2:30" s="323" customFormat="1" ht="12" customHeight="1">
      <c r="B12372" s="324"/>
      <c r="C12372" s="325"/>
      <c r="D12372" s="326"/>
      <c r="E12372" s="326"/>
      <c r="F12372" s="326"/>
      <c r="G12372" s="326"/>
      <c r="H12372" s="326"/>
      <c r="P12372" s="318"/>
      <c r="Q12372" s="318"/>
      <c r="R12372" s="318"/>
      <c r="S12372" s="318"/>
      <c r="T12372" s="318"/>
      <c r="U12372" s="318"/>
      <c r="V12372" s="318"/>
      <c r="W12372" s="318"/>
      <c r="X12372" s="318"/>
      <c r="Y12372" s="318"/>
      <c r="Z12372" s="318"/>
      <c r="AA12372" s="318"/>
      <c r="AB12372" s="318"/>
      <c r="AC12372" s="318"/>
      <c r="AD12372" s="318"/>
    </row>
    <row r="12373" spans="2:30" s="323" customFormat="1" ht="12" customHeight="1">
      <c r="B12373" s="324"/>
      <c r="C12373" s="325"/>
      <c r="D12373" s="326"/>
      <c r="E12373" s="326"/>
      <c r="F12373" s="326"/>
      <c r="G12373" s="326"/>
      <c r="H12373" s="326"/>
      <c r="P12373" s="318"/>
      <c r="Q12373" s="318"/>
      <c r="R12373" s="318"/>
      <c r="S12373" s="318"/>
      <c r="T12373" s="318"/>
      <c r="U12373" s="318"/>
      <c r="V12373" s="318"/>
      <c r="W12373" s="318"/>
      <c r="X12373" s="318"/>
      <c r="Y12373" s="318"/>
      <c r="Z12373" s="318"/>
      <c r="AA12373" s="318"/>
      <c r="AB12373" s="318"/>
      <c r="AC12373" s="318"/>
      <c r="AD12373" s="318"/>
    </row>
    <row r="12374" spans="2:30" s="323" customFormat="1" ht="12" customHeight="1">
      <c r="B12374" s="324"/>
      <c r="C12374" s="325"/>
      <c r="D12374" s="326"/>
      <c r="E12374" s="326"/>
      <c r="F12374" s="326"/>
      <c r="G12374" s="326"/>
      <c r="H12374" s="326"/>
      <c r="P12374" s="318"/>
      <c r="Q12374" s="318"/>
      <c r="R12374" s="318"/>
      <c r="S12374" s="318"/>
      <c r="T12374" s="318"/>
      <c r="U12374" s="318"/>
      <c r="V12374" s="318"/>
      <c r="W12374" s="318"/>
      <c r="X12374" s="318"/>
      <c r="Y12374" s="318"/>
      <c r="Z12374" s="318"/>
      <c r="AA12374" s="318"/>
      <c r="AB12374" s="318"/>
      <c r="AC12374" s="318"/>
      <c r="AD12374" s="318"/>
    </row>
    <row r="12375" spans="2:30" s="323" customFormat="1" ht="12" customHeight="1">
      <c r="B12375" s="324"/>
      <c r="C12375" s="325"/>
      <c r="D12375" s="326"/>
      <c r="E12375" s="326"/>
      <c r="F12375" s="326"/>
      <c r="G12375" s="326"/>
      <c r="H12375" s="326"/>
      <c r="P12375" s="318"/>
      <c r="Q12375" s="318"/>
      <c r="R12375" s="318"/>
      <c r="S12375" s="318"/>
      <c r="T12375" s="318"/>
      <c r="U12375" s="318"/>
      <c r="V12375" s="318"/>
      <c r="W12375" s="318"/>
      <c r="X12375" s="318"/>
      <c r="Y12375" s="318"/>
      <c r="Z12375" s="318"/>
      <c r="AA12375" s="318"/>
      <c r="AB12375" s="318"/>
      <c r="AC12375" s="318"/>
      <c r="AD12375" s="318"/>
    </row>
    <row r="12376" spans="2:30" s="323" customFormat="1" ht="12" customHeight="1">
      <c r="B12376" s="324"/>
      <c r="C12376" s="325"/>
      <c r="D12376" s="326"/>
      <c r="E12376" s="326"/>
      <c r="F12376" s="326"/>
      <c r="G12376" s="326"/>
      <c r="H12376" s="326"/>
      <c r="P12376" s="318"/>
      <c r="Q12376" s="318"/>
      <c r="R12376" s="318"/>
      <c r="S12376" s="318"/>
      <c r="T12376" s="318"/>
      <c r="U12376" s="318"/>
      <c r="V12376" s="318"/>
      <c r="W12376" s="318"/>
      <c r="X12376" s="318"/>
      <c r="Y12376" s="318"/>
      <c r="Z12376" s="318"/>
      <c r="AA12376" s="318"/>
      <c r="AB12376" s="318"/>
      <c r="AC12376" s="318"/>
      <c r="AD12376" s="318"/>
    </row>
    <row r="12377" spans="2:30" s="323" customFormat="1" ht="12" customHeight="1">
      <c r="B12377" s="324"/>
      <c r="C12377" s="325"/>
      <c r="D12377" s="326"/>
      <c r="E12377" s="326"/>
      <c r="F12377" s="326"/>
      <c r="G12377" s="326"/>
      <c r="H12377" s="326"/>
      <c r="P12377" s="318"/>
      <c r="Q12377" s="318"/>
      <c r="R12377" s="318"/>
      <c r="S12377" s="318"/>
      <c r="T12377" s="318"/>
      <c r="U12377" s="318"/>
      <c r="V12377" s="318"/>
      <c r="W12377" s="318"/>
      <c r="X12377" s="318"/>
      <c r="Y12377" s="318"/>
      <c r="Z12377" s="318"/>
      <c r="AA12377" s="318"/>
      <c r="AB12377" s="318"/>
      <c r="AC12377" s="318"/>
      <c r="AD12377" s="318"/>
    </row>
    <row r="12378" spans="2:30" s="323" customFormat="1" ht="12" customHeight="1">
      <c r="B12378" s="324"/>
      <c r="C12378" s="325"/>
      <c r="D12378" s="326"/>
      <c r="E12378" s="326"/>
      <c r="F12378" s="326"/>
      <c r="G12378" s="326"/>
      <c r="H12378" s="326"/>
      <c r="P12378" s="318"/>
      <c r="Q12378" s="318"/>
      <c r="R12378" s="318"/>
      <c r="S12378" s="318"/>
      <c r="T12378" s="318"/>
      <c r="U12378" s="318"/>
      <c r="V12378" s="318"/>
      <c r="W12378" s="318"/>
      <c r="X12378" s="318"/>
      <c r="Y12378" s="318"/>
      <c r="Z12378" s="318"/>
      <c r="AA12378" s="318"/>
      <c r="AB12378" s="318"/>
      <c r="AC12378" s="318"/>
      <c r="AD12378" s="318"/>
    </row>
    <row r="12379" spans="2:30" s="323" customFormat="1" ht="12" customHeight="1">
      <c r="B12379" s="324"/>
      <c r="C12379" s="325"/>
      <c r="D12379" s="326"/>
      <c r="E12379" s="326"/>
      <c r="F12379" s="326"/>
      <c r="G12379" s="326"/>
      <c r="H12379" s="326"/>
      <c r="P12379" s="318"/>
      <c r="Q12379" s="318"/>
      <c r="R12379" s="318"/>
      <c r="S12379" s="318"/>
      <c r="T12379" s="318"/>
      <c r="U12379" s="318"/>
      <c r="V12379" s="318"/>
      <c r="W12379" s="318"/>
      <c r="X12379" s="318"/>
      <c r="Y12379" s="318"/>
      <c r="Z12379" s="318"/>
      <c r="AA12379" s="318"/>
      <c r="AB12379" s="318"/>
      <c r="AC12379" s="318"/>
      <c r="AD12379" s="318"/>
    </row>
    <row r="12380" spans="2:30" s="323" customFormat="1" ht="12" customHeight="1">
      <c r="B12380" s="324"/>
      <c r="C12380" s="325"/>
      <c r="D12380" s="326"/>
      <c r="E12380" s="326"/>
      <c r="F12380" s="326"/>
      <c r="G12380" s="326"/>
      <c r="H12380" s="326"/>
      <c r="P12380" s="318"/>
      <c r="Q12380" s="318"/>
      <c r="R12380" s="318"/>
      <c r="S12380" s="318"/>
      <c r="T12380" s="318"/>
      <c r="U12380" s="318"/>
      <c r="V12380" s="318"/>
      <c r="W12380" s="318"/>
      <c r="X12380" s="318"/>
      <c r="Y12380" s="318"/>
      <c r="Z12380" s="318"/>
      <c r="AA12380" s="318"/>
      <c r="AB12380" s="318"/>
      <c r="AC12380" s="318"/>
      <c r="AD12380" s="318"/>
    </row>
    <row r="12381" spans="2:30" s="323" customFormat="1" ht="12" customHeight="1">
      <c r="B12381" s="324"/>
      <c r="C12381" s="325"/>
      <c r="D12381" s="326"/>
      <c r="E12381" s="326"/>
      <c r="F12381" s="326"/>
      <c r="G12381" s="326"/>
      <c r="H12381" s="326"/>
      <c r="P12381" s="318"/>
      <c r="Q12381" s="318"/>
      <c r="R12381" s="318"/>
      <c r="S12381" s="318"/>
      <c r="T12381" s="318"/>
      <c r="U12381" s="318"/>
      <c r="V12381" s="318"/>
      <c r="W12381" s="318"/>
      <c r="X12381" s="318"/>
      <c r="Y12381" s="318"/>
      <c r="Z12381" s="318"/>
      <c r="AA12381" s="318"/>
      <c r="AB12381" s="318"/>
      <c r="AC12381" s="318"/>
      <c r="AD12381" s="318"/>
    </row>
    <row r="12382" spans="2:30" s="323" customFormat="1" ht="12" customHeight="1">
      <c r="B12382" s="324"/>
      <c r="C12382" s="325"/>
      <c r="D12382" s="326"/>
      <c r="E12382" s="326"/>
      <c r="F12382" s="326"/>
      <c r="G12382" s="326"/>
      <c r="H12382" s="326"/>
      <c r="P12382" s="318"/>
      <c r="Q12382" s="318"/>
      <c r="R12382" s="318"/>
      <c r="S12382" s="318"/>
      <c r="T12382" s="318"/>
      <c r="U12382" s="318"/>
      <c r="V12382" s="318"/>
      <c r="W12382" s="318"/>
      <c r="X12382" s="318"/>
      <c r="Y12382" s="318"/>
      <c r="Z12382" s="318"/>
      <c r="AA12382" s="318"/>
      <c r="AB12382" s="318"/>
      <c r="AC12382" s="318"/>
      <c r="AD12382" s="318"/>
    </row>
    <row r="12383" spans="2:30" s="323" customFormat="1" ht="12" customHeight="1">
      <c r="B12383" s="324"/>
      <c r="C12383" s="325"/>
      <c r="D12383" s="326"/>
      <c r="E12383" s="326"/>
      <c r="F12383" s="326"/>
      <c r="G12383" s="326"/>
      <c r="H12383" s="326"/>
      <c r="P12383" s="318"/>
      <c r="Q12383" s="318"/>
      <c r="R12383" s="318"/>
      <c r="S12383" s="318"/>
      <c r="T12383" s="318"/>
      <c r="U12383" s="318"/>
      <c r="V12383" s="318"/>
      <c r="W12383" s="318"/>
      <c r="X12383" s="318"/>
      <c r="Y12383" s="318"/>
      <c r="Z12383" s="318"/>
      <c r="AA12383" s="318"/>
      <c r="AB12383" s="318"/>
      <c r="AC12383" s="318"/>
      <c r="AD12383" s="318"/>
    </row>
    <row r="12384" spans="2:30" s="323" customFormat="1" ht="12" customHeight="1">
      <c r="B12384" s="324"/>
      <c r="C12384" s="325"/>
      <c r="D12384" s="326"/>
      <c r="E12384" s="326"/>
      <c r="F12384" s="326"/>
      <c r="G12384" s="326"/>
      <c r="H12384" s="326"/>
      <c r="P12384" s="318"/>
      <c r="Q12384" s="318"/>
      <c r="R12384" s="318"/>
      <c r="S12384" s="318"/>
      <c r="T12384" s="318"/>
      <c r="U12384" s="318"/>
      <c r="V12384" s="318"/>
      <c r="W12384" s="318"/>
      <c r="X12384" s="318"/>
      <c r="Y12384" s="318"/>
      <c r="Z12384" s="318"/>
      <c r="AA12384" s="318"/>
      <c r="AB12384" s="318"/>
      <c r="AC12384" s="318"/>
      <c r="AD12384" s="318"/>
    </row>
    <row r="12385" spans="2:30" s="323" customFormat="1" ht="12" customHeight="1">
      <c r="B12385" s="324"/>
      <c r="C12385" s="325"/>
      <c r="D12385" s="326"/>
      <c r="E12385" s="326"/>
      <c r="F12385" s="326"/>
      <c r="G12385" s="326"/>
      <c r="H12385" s="326"/>
      <c r="P12385" s="318"/>
      <c r="Q12385" s="318"/>
      <c r="R12385" s="318"/>
      <c r="S12385" s="318"/>
      <c r="T12385" s="318"/>
      <c r="U12385" s="318"/>
      <c r="V12385" s="318"/>
      <c r="W12385" s="318"/>
      <c r="X12385" s="318"/>
      <c r="Y12385" s="318"/>
      <c r="Z12385" s="318"/>
      <c r="AA12385" s="318"/>
      <c r="AB12385" s="318"/>
      <c r="AC12385" s="318"/>
      <c r="AD12385" s="318"/>
    </row>
    <row r="12386" spans="2:30" s="323" customFormat="1" ht="12" customHeight="1">
      <c r="B12386" s="324"/>
      <c r="C12386" s="325"/>
      <c r="D12386" s="326"/>
      <c r="E12386" s="326"/>
      <c r="F12386" s="326"/>
      <c r="G12386" s="326"/>
      <c r="H12386" s="326"/>
      <c r="P12386" s="318"/>
      <c r="Q12386" s="318"/>
      <c r="R12386" s="318"/>
      <c r="S12386" s="318"/>
      <c r="T12386" s="318"/>
      <c r="U12386" s="318"/>
      <c r="V12386" s="318"/>
      <c r="W12386" s="318"/>
      <c r="X12386" s="318"/>
      <c r="Y12386" s="318"/>
      <c r="Z12386" s="318"/>
      <c r="AA12386" s="318"/>
      <c r="AB12386" s="318"/>
      <c r="AC12386" s="318"/>
      <c r="AD12386" s="318"/>
    </row>
    <row r="12387" spans="2:30" s="323" customFormat="1" ht="12" customHeight="1">
      <c r="B12387" s="324"/>
      <c r="C12387" s="325"/>
      <c r="D12387" s="326"/>
      <c r="E12387" s="326"/>
      <c r="F12387" s="326"/>
      <c r="G12387" s="326"/>
      <c r="H12387" s="326"/>
      <c r="P12387" s="318"/>
      <c r="Q12387" s="318"/>
      <c r="R12387" s="318"/>
      <c r="S12387" s="318"/>
      <c r="T12387" s="318"/>
      <c r="U12387" s="318"/>
      <c r="V12387" s="318"/>
      <c r="W12387" s="318"/>
      <c r="X12387" s="318"/>
      <c r="Y12387" s="318"/>
      <c r="Z12387" s="318"/>
      <c r="AA12387" s="318"/>
      <c r="AB12387" s="318"/>
      <c r="AC12387" s="318"/>
      <c r="AD12387" s="318"/>
    </row>
    <row r="12388" spans="2:30" s="323" customFormat="1" ht="12" customHeight="1">
      <c r="B12388" s="324"/>
      <c r="C12388" s="325"/>
      <c r="D12388" s="326"/>
      <c r="E12388" s="326"/>
      <c r="F12388" s="326"/>
      <c r="G12388" s="326"/>
      <c r="H12388" s="326"/>
      <c r="P12388" s="318"/>
      <c r="Q12388" s="318"/>
      <c r="R12388" s="318"/>
      <c r="S12388" s="318"/>
      <c r="T12388" s="318"/>
      <c r="U12388" s="318"/>
      <c r="V12388" s="318"/>
      <c r="W12388" s="318"/>
      <c r="X12388" s="318"/>
      <c r="Y12388" s="318"/>
      <c r="Z12388" s="318"/>
      <c r="AA12388" s="318"/>
      <c r="AB12388" s="318"/>
      <c r="AC12388" s="318"/>
      <c r="AD12388" s="318"/>
    </row>
    <row r="12389" spans="2:30" s="323" customFormat="1" ht="12" customHeight="1">
      <c r="B12389" s="324"/>
      <c r="C12389" s="325"/>
      <c r="D12389" s="326"/>
      <c r="E12389" s="326"/>
      <c r="F12389" s="326"/>
      <c r="G12389" s="326"/>
      <c r="H12389" s="326"/>
      <c r="P12389" s="318"/>
      <c r="Q12389" s="318"/>
      <c r="R12389" s="318"/>
      <c r="S12389" s="318"/>
      <c r="T12389" s="318"/>
      <c r="U12389" s="318"/>
      <c r="V12389" s="318"/>
      <c r="W12389" s="318"/>
      <c r="X12389" s="318"/>
      <c r="Y12389" s="318"/>
      <c r="Z12389" s="318"/>
      <c r="AA12389" s="318"/>
      <c r="AB12389" s="318"/>
      <c r="AC12389" s="318"/>
      <c r="AD12389" s="318"/>
    </row>
    <row r="12390" spans="2:30" s="323" customFormat="1" ht="12" customHeight="1">
      <c r="B12390" s="324"/>
      <c r="C12390" s="325"/>
      <c r="D12390" s="326"/>
      <c r="E12390" s="326"/>
      <c r="F12390" s="326"/>
      <c r="G12390" s="326"/>
      <c r="H12390" s="326"/>
      <c r="P12390" s="318"/>
      <c r="Q12390" s="318"/>
      <c r="R12390" s="318"/>
      <c r="S12390" s="318"/>
      <c r="T12390" s="318"/>
      <c r="U12390" s="318"/>
      <c r="V12390" s="318"/>
      <c r="W12390" s="318"/>
      <c r="X12390" s="318"/>
      <c r="Y12390" s="318"/>
      <c r="Z12390" s="318"/>
      <c r="AA12390" s="318"/>
      <c r="AB12390" s="318"/>
      <c r="AC12390" s="318"/>
      <c r="AD12390" s="318"/>
    </row>
    <row r="12391" spans="2:30" s="323" customFormat="1" ht="12" customHeight="1">
      <c r="B12391" s="324"/>
      <c r="C12391" s="325"/>
      <c r="D12391" s="326"/>
      <c r="E12391" s="326"/>
      <c r="F12391" s="326"/>
      <c r="G12391" s="326"/>
      <c r="H12391" s="326"/>
      <c r="P12391" s="318"/>
      <c r="Q12391" s="318"/>
      <c r="R12391" s="318"/>
      <c r="S12391" s="318"/>
      <c r="T12391" s="318"/>
      <c r="U12391" s="318"/>
      <c r="V12391" s="318"/>
      <c r="W12391" s="318"/>
      <c r="X12391" s="318"/>
      <c r="Y12391" s="318"/>
      <c r="Z12391" s="318"/>
      <c r="AA12391" s="318"/>
      <c r="AB12391" s="318"/>
      <c r="AC12391" s="318"/>
      <c r="AD12391" s="318"/>
    </row>
    <row r="12392" spans="2:30" s="323" customFormat="1" ht="12" customHeight="1">
      <c r="B12392" s="324"/>
      <c r="C12392" s="325"/>
      <c r="D12392" s="326"/>
      <c r="E12392" s="326"/>
      <c r="F12392" s="326"/>
      <c r="G12392" s="326"/>
      <c r="H12392" s="326"/>
      <c r="P12392" s="318"/>
      <c r="Q12392" s="318"/>
      <c r="R12392" s="318"/>
      <c r="S12392" s="318"/>
      <c r="T12392" s="318"/>
      <c r="U12392" s="318"/>
      <c r="V12392" s="318"/>
      <c r="W12392" s="318"/>
      <c r="X12392" s="318"/>
      <c r="Y12392" s="318"/>
      <c r="Z12392" s="318"/>
      <c r="AA12392" s="318"/>
      <c r="AB12392" s="318"/>
      <c r="AC12392" s="318"/>
      <c r="AD12392" s="318"/>
    </row>
    <row r="12393" spans="2:30" s="323" customFormat="1" ht="12" customHeight="1">
      <c r="B12393" s="324"/>
      <c r="C12393" s="325"/>
      <c r="D12393" s="326"/>
      <c r="E12393" s="326"/>
      <c r="F12393" s="326"/>
      <c r="G12393" s="326"/>
      <c r="H12393" s="326"/>
      <c r="P12393" s="318"/>
      <c r="Q12393" s="318"/>
      <c r="R12393" s="318"/>
      <c r="S12393" s="318"/>
      <c r="T12393" s="318"/>
      <c r="U12393" s="318"/>
      <c r="V12393" s="318"/>
      <c r="W12393" s="318"/>
      <c r="X12393" s="318"/>
      <c r="Y12393" s="318"/>
      <c r="Z12393" s="318"/>
      <c r="AA12393" s="318"/>
      <c r="AB12393" s="318"/>
      <c r="AC12393" s="318"/>
      <c r="AD12393" s="318"/>
    </row>
    <row r="12394" spans="2:30" s="323" customFormat="1" ht="12" customHeight="1">
      <c r="B12394" s="324"/>
      <c r="C12394" s="325"/>
      <c r="D12394" s="326"/>
      <c r="E12394" s="326"/>
      <c r="F12394" s="326"/>
      <c r="G12394" s="326"/>
      <c r="H12394" s="326"/>
      <c r="P12394" s="318"/>
      <c r="Q12394" s="318"/>
      <c r="R12394" s="318"/>
      <c r="S12394" s="318"/>
      <c r="T12394" s="318"/>
      <c r="U12394" s="318"/>
      <c r="V12394" s="318"/>
      <c r="W12394" s="318"/>
      <c r="X12394" s="318"/>
      <c r="Y12394" s="318"/>
      <c r="Z12394" s="318"/>
      <c r="AA12394" s="318"/>
      <c r="AB12394" s="318"/>
      <c r="AC12394" s="318"/>
      <c r="AD12394" s="318"/>
    </row>
    <row r="12395" spans="2:30" s="323" customFormat="1" ht="12" customHeight="1">
      <c r="B12395" s="324"/>
      <c r="C12395" s="325"/>
      <c r="D12395" s="326"/>
      <c r="E12395" s="326"/>
      <c r="F12395" s="326"/>
      <c r="G12395" s="326"/>
      <c r="H12395" s="326"/>
      <c r="P12395" s="318"/>
      <c r="Q12395" s="318"/>
      <c r="R12395" s="318"/>
      <c r="S12395" s="318"/>
      <c r="T12395" s="318"/>
      <c r="U12395" s="318"/>
      <c r="V12395" s="318"/>
      <c r="W12395" s="318"/>
      <c r="X12395" s="318"/>
      <c r="Y12395" s="318"/>
      <c r="Z12395" s="318"/>
      <c r="AA12395" s="318"/>
      <c r="AB12395" s="318"/>
      <c r="AC12395" s="318"/>
      <c r="AD12395" s="318"/>
    </row>
    <row r="12396" spans="2:30" s="323" customFormat="1" ht="12" customHeight="1">
      <c r="B12396" s="324"/>
      <c r="C12396" s="325"/>
      <c r="D12396" s="326"/>
      <c r="E12396" s="326"/>
      <c r="F12396" s="326"/>
      <c r="G12396" s="326"/>
      <c r="H12396" s="326"/>
      <c r="P12396" s="318"/>
      <c r="Q12396" s="318"/>
      <c r="R12396" s="318"/>
      <c r="S12396" s="318"/>
      <c r="T12396" s="318"/>
      <c r="U12396" s="318"/>
      <c r="V12396" s="318"/>
      <c r="W12396" s="318"/>
      <c r="X12396" s="318"/>
      <c r="Y12396" s="318"/>
      <c r="Z12396" s="318"/>
      <c r="AA12396" s="318"/>
      <c r="AB12396" s="318"/>
      <c r="AC12396" s="318"/>
      <c r="AD12396" s="318"/>
    </row>
    <row r="12397" spans="2:30" s="323" customFormat="1" ht="12" customHeight="1">
      <c r="B12397" s="324"/>
      <c r="C12397" s="325"/>
      <c r="D12397" s="326"/>
      <c r="E12397" s="326"/>
      <c r="F12397" s="326"/>
      <c r="G12397" s="326"/>
      <c r="H12397" s="326"/>
      <c r="P12397" s="318"/>
      <c r="Q12397" s="318"/>
      <c r="R12397" s="318"/>
      <c r="S12397" s="318"/>
      <c r="T12397" s="318"/>
      <c r="U12397" s="318"/>
      <c r="V12397" s="318"/>
      <c r="W12397" s="318"/>
      <c r="X12397" s="318"/>
      <c r="Y12397" s="318"/>
      <c r="Z12397" s="318"/>
      <c r="AA12397" s="318"/>
      <c r="AB12397" s="318"/>
      <c r="AC12397" s="318"/>
      <c r="AD12397" s="318"/>
    </row>
    <row r="12398" spans="2:30" s="323" customFormat="1" ht="12" customHeight="1">
      <c r="B12398" s="324"/>
      <c r="C12398" s="325"/>
      <c r="D12398" s="326"/>
      <c r="E12398" s="326"/>
      <c r="F12398" s="326"/>
      <c r="G12398" s="326"/>
      <c r="H12398" s="326"/>
      <c r="P12398" s="318"/>
      <c r="Q12398" s="318"/>
      <c r="R12398" s="318"/>
      <c r="S12398" s="318"/>
      <c r="T12398" s="318"/>
      <c r="U12398" s="318"/>
      <c r="V12398" s="318"/>
      <c r="W12398" s="318"/>
      <c r="X12398" s="318"/>
      <c r="Y12398" s="318"/>
      <c r="Z12398" s="318"/>
      <c r="AA12398" s="318"/>
      <c r="AB12398" s="318"/>
      <c r="AC12398" s="318"/>
      <c r="AD12398" s="318"/>
    </row>
    <row r="12399" spans="2:30" s="323" customFormat="1" ht="12" customHeight="1">
      <c r="B12399" s="324"/>
      <c r="C12399" s="325"/>
      <c r="D12399" s="326"/>
      <c r="E12399" s="326"/>
      <c r="F12399" s="326"/>
      <c r="G12399" s="326"/>
      <c r="H12399" s="326"/>
      <c r="P12399" s="318"/>
      <c r="Q12399" s="318"/>
      <c r="R12399" s="318"/>
      <c r="S12399" s="318"/>
      <c r="T12399" s="318"/>
      <c r="U12399" s="318"/>
      <c r="V12399" s="318"/>
      <c r="W12399" s="318"/>
      <c r="X12399" s="318"/>
      <c r="Y12399" s="318"/>
      <c r="Z12399" s="318"/>
      <c r="AA12399" s="318"/>
      <c r="AB12399" s="318"/>
      <c r="AC12399" s="318"/>
      <c r="AD12399" s="318"/>
    </row>
    <row r="12400" spans="2:30" s="323" customFormat="1" ht="12" customHeight="1">
      <c r="B12400" s="324"/>
      <c r="C12400" s="325"/>
      <c r="D12400" s="326"/>
      <c r="E12400" s="326"/>
      <c r="F12400" s="326"/>
      <c r="G12400" s="326"/>
      <c r="H12400" s="326"/>
      <c r="P12400" s="318"/>
      <c r="Q12400" s="318"/>
      <c r="R12400" s="318"/>
      <c r="S12400" s="318"/>
      <c r="T12400" s="318"/>
      <c r="U12400" s="318"/>
      <c r="V12400" s="318"/>
      <c r="W12400" s="318"/>
      <c r="X12400" s="318"/>
      <c r="Y12400" s="318"/>
      <c r="Z12400" s="318"/>
      <c r="AA12400" s="318"/>
      <c r="AB12400" s="318"/>
      <c r="AC12400" s="318"/>
      <c r="AD12400" s="318"/>
    </row>
    <row r="12401" spans="2:30" s="323" customFormat="1" ht="12" customHeight="1">
      <c r="B12401" s="324"/>
      <c r="C12401" s="325"/>
      <c r="D12401" s="326"/>
      <c r="E12401" s="326"/>
      <c r="F12401" s="326"/>
      <c r="G12401" s="326"/>
      <c r="H12401" s="326"/>
      <c r="P12401" s="318"/>
      <c r="Q12401" s="318"/>
      <c r="R12401" s="318"/>
      <c r="S12401" s="318"/>
      <c r="T12401" s="318"/>
      <c r="U12401" s="318"/>
      <c r="V12401" s="318"/>
      <c r="W12401" s="318"/>
      <c r="X12401" s="318"/>
      <c r="Y12401" s="318"/>
      <c r="Z12401" s="318"/>
      <c r="AA12401" s="318"/>
      <c r="AB12401" s="318"/>
      <c r="AC12401" s="318"/>
      <c r="AD12401" s="318"/>
    </row>
    <row r="12402" spans="2:30" s="323" customFormat="1" ht="12" customHeight="1">
      <c r="B12402" s="324"/>
      <c r="C12402" s="325"/>
      <c r="D12402" s="326"/>
      <c r="E12402" s="326"/>
      <c r="F12402" s="326"/>
      <c r="G12402" s="326"/>
      <c r="H12402" s="326"/>
      <c r="P12402" s="318"/>
      <c r="Q12402" s="318"/>
      <c r="R12402" s="318"/>
      <c r="S12402" s="318"/>
      <c r="T12402" s="318"/>
      <c r="U12402" s="318"/>
      <c r="V12402" s="318"/>
      <c r="W12402" s="318"/>
      <c r="X12402" s="318"/>
      <c r="Y12402" s="318"/>
      <c r="Z12402" s="318"/>
      <c r="AA12402" s="318"/>
      <c r="AB12402" s="318"/>
      <c r="AC12402" s="318"/>
      <c r="AD12402" s="318"/>
    </row>
    <row r="12403" spans="2:30" s="323" customFormat="1" ht="12" customHeight="1">
      <c r="B12403" s="324"/>
      <c r="C12403" s="325"/>
      <c r="D12403" s="326"/>
      <c r="E12403" s="326"/>
      <c r="F12403" s="326"/>
      <c r="G12403" s="326"/>
      <c r="H12403" s="326"/>
      <c r="P12403" s="318"/>
      <c r="Q12403" s="318"/>
      <c r="R12403" s="318"/>
      <c r="S12403" s="318"/>
      <c r="T12403" s="318"/>
      <c r="U12403" s="318"/>
      <c r="V12403" s="318"/>
      <c r="W12403" s="318"/>
      <c r="X12403" s="318"/>
      <c r="Y12403" s="318"/>
      <c r="Z12403" s="318"/>
      <c r="AA12403" s="318"/>
      <c r="AB12403" s="318"/>
      <c r="AC12403" s="318"/>
      <c r="AD12403" s="318"/>
    </row>
    <row r="12404" spans="2:30" s="323" customFormat="1" ht="12" customHeight="1">
      <c r="B12404" s="324"/>
      <c r="C12404" s="325"/>
      <c r="D12404" s="326"/>
      <c r="E12404" s="326"/>
      <c r="F12404" s="326"/>
      <c r="G12404" s="326"/>
      <c r="H12404" s="326"/>
      <c r="P12404" s="318"/>
      <c r="Q12404" s="318"/>
      <c r="R12404" s="318"/>
      <c r="S12404" s="318"/>
      <c r="T12404" s="318"/>
      <c r="U12404" s="318"/>
      <c r="V12404" s="318"/>
      <c r="W12404" s="318"/>
      <c r="X12404" s="318"/>
      <c r="Y12404" s="318"/>
      <c r="Z12404" s="318"/>
      <c r="AA12404" s="318"/>
      <c r="AB12404" s="318"/>
      <c r="AC12404" s="318"/>
      <c r="AD12404" s="318"/>
    </row>
    <row r="12405" spans="2:30" s="323" customFormat="1" ht="12" customHeight="1">
      <c r="B12405" s="324"/>
      <c r="C12405" s="325"/>
      <c r="D12405" s="326"/>
      <c r="E12405" s="326"/>
      <c r="F12405" s="326"/>
      <c r="G12405" s="326"/>
      <c r="H12405" s="326"/>
      <c r="P12405" s="318"/>
      <c r="Q12405" s="318"/>
      <c r="R12405" s="318"/>
      <c r="S12405" s="318"/>
      <c r="T12405" s="318"/>
      <c r="U12405" s="318"/>
      <c r="V12405" s="318"/>
      <c r="W12405" s="318"/>
      <c r="X12405" s="318"/>
      <c r="Y12405" s="318"/>
      <c r="Z12405" s="318"/>
      <c r="AA12405" s="318"/>
      <c r="AB12405" s="318"/>
      <c r="AC12405" s="318"/>
      <c r="AD12405" s="318"/>
    </row>
    <row r="12406" spans="2:30" s="323" customFormat="1" ht="12" customHeight="1">
      <c r="B12406" s="324"/>
      <c r="C12406" s="325"/>
      <c r="D12406" s="326"/>
      <c r="E12406" s="326"/>
      <c r="F12406" s="326"/>
      <c r="G12406" s="326"/>
      <c r="H12406" s="326"/>
      <c r="P12406" s="318"/>
      <c r="Q12406" s="318"/>
      <c r="R12406" s="318"/>
      <c r="S12406" s="318"/>
      <c r="T12406" s="318"/>
      <c r="U12406" s="318"/>
      <c r="V12406" s="318"/>
      <c r="W12406" s="318"/>
      <c r="X12406" s="318"/>
      <c r="Y12406" s="318"/>
      <c r="Z12406" s="318"/>
      <c r="AA12406" s="318"/>
      <c r="AB12406" s="318"/>
      <c r="AC12406" s="318"/>
      <c r="AD12406" s="318"/>
    </row>
    <row r="12407" spans="2:30" s="323" customFormat="1" ht="12" customHeight="1">
      <c r="B12407" s="324"/>
      <c r="C12407" s="325"/>
      <c r="D12407" s="326"/>
      <c r="E12407" s="326"/>
      <c r="F12407" s="326"/>
      <c r="G12407" s="326"/>
      <c r="H12407" s="326"/>
      <c r="P12407" s="318"/>
      <c r="Q12407" s="318"/>
      <c r="R12407" s="318"/>
      <c r="S12407" s="318"/>
      <c r="T12407" s="318"/>
      <c r="U12407" s="318"/>
      <c r="V12407" s="318"/>
      <c r="W12407" s="318"/>
      <c r="X12407" s="318"/>
      <c r="Y12407" s="318"/>
      <c r="Z12407" s="318"/>
      <c r="AA12407" s="318"/>
      <c r="AB12407" s="318"/>
      <c r="AC12407" s="318"/>
      <c r="AD12407" s="318"/>
    </row>
    <row r="12408" spans="2:30" s="323" customFormat="1" ht="12" customHeight="1">
      <c r="B12408" s="324"/>
      <c r="C12408" s="325"/>
      <c r="D12408" s="326"/>
      <c r="E12408" s="326"/>
      <c r="F12408" s="326"/>
      <c r="G12408" s="326"/>
      <c r="H12408" s="326"/>
      <c r="P12408" s="318"/>
      <c r="Q12408" s="318"/>
      <c r="R12408" s="318"/>
      <c r="S12408" s="318"/>
      <c r="T12408" s="318"/>
      <c r="U12408" s="318"/>
      <c r="V12408" s="318"/>
      <c r="W12408" s="318"/>
      <c r="X12408" s="318"/>
      <c r="Y12408" s="318"/>
      <c r="Z12408" s="318"/>
      <c r="AA12408" s="318"/>
      <c r="AB12408" s="318"/>
      <c r="AC12408" s="318"/>
      <c r="AD12408" s="318"/>
    </row>
    <row r="12409" spans="2:30" s="323" customFormat="1" ht="12" customHeight="1">
      <c r="B12409" s="324"/>
      <c r="C12409" s="325"/>
      <c r="D12409" s="326"/>
      <c r="E12409" s="326"/>
      <c r="F12409" s="326"/>
      <c r="G12409" s="326"/>
      <c r="H12409" s="326"/>
      <c r="P12409" s="318"/>
      <c r="Q12409" s="318"/>
      <c r="R12409" s="318"/>
      <c r="S12409" s="318"/>
      <c r="T12409" s="318"/>
      <c r="U12409" s="318"/>
      <c r="V12409" s="318"/>
      <c r="W12409" s="318"/>
      <c r="X12409" s="318"/>
      <c r="Y12409" s="318"/>
      <c r="Z12409" s="318"/>
      <c r="AA12409" s="318"/>
      <c r="AB12409" s="318"/>
      <c r="AC12409" s="318"/>
      <c r="AD12409" s="318"/>
    </row>
    <row r="12410" spans="2:30" s="323" customFormat="1" ht="12" customHeight="1">
      <c r="B12410" s="324"/>
      <c r="C12410" s="325"/>
      <c r="D12410" s="326"/>
      <c r="E12410" s="326"/>
      <c r="F12410" s="326"/>
      <c r="G12410" s="326"/>
      <c r="H12410" s="326"/>
      <c r="P12410" s="318"/>
      <c r="Q12410" s="318"/>
      <c r="R12410" s="318"/>
      <c r="S12410" s="318"/>
      <c r="T12410" s="318"/>
      <c r="U12410" s="318"/>
      <c r="V12410" s="318"/>
      <c r="W12410" s="318"/>
      <c r="X12410" s="318"/>
      <c r="Y12410" s="318"/>
      <c r="Z12410" s="318"/>
      <c r="AA12410" s="318"/>
      <c r="AB12410" s="318"/>
      <c r="AC12410" s="318"/>
      <c r="AD12410" s="318"/>
    </row>
    <row r="12411" spans="2:30" s="323" customFormat="1" ht="12" customHeight="1">
      <c r="B12411" s="324"/>
      <c r="C12411" s="325"/>
      <c r="D12411" s="326"/>
      <c r="E12411" s="326"/>
      <c r="F12411" s="326"/>
      <c r="G12411" s="326"/>
      <c r="H12411" s="326"/>
      <c r="P12411" s="318"/>
      <c r="Q12411" s="318"/>
      <c r="R12411" s="318"/>
      <c r="S12411" s="318"/>
      <c r="T12411" s="318"/>
      <c r="U12411" s="318"/>
      <c r="V12411" s="318"/>
      <c r="W12411" s="318"/>
      <c r="X12411" s="318"/>
      <c r="Y12411" s="318"/>
      <c r="Z12411" s="318"/>
      <c r="AA12411" s="318"/>
      <c r="AB12411" s="318"/>
      <c r="AC12411" s="318"/>
      <c r="AD12411" s="318"/>
    </row>
    <row r="12412" spans="2:30" s="323" customFormat="1" ht="12" customHeight="1">
      <c r="B12412" s="324"/>
      <c r="C12412" s="325"/>
      <c r="D12412" s="326"/>
      <c r="E12412" s="326"/>
      <c r="F12412" s="326"/>
      <c r="G12412" s="326"/>
      <c r="H12412" s="326"/>
      <c r="P12412" s="318"/>
      <c r="Q12412" s="318"/>
      <c r="R12412" s="318"/>
      <c r="S12412" s="318"/>
      <c r="T12412" s="318"/>
      <c r="U12412" s="318"/>
      <c r="V12412" s="318"/>
      <c r="W12412" s="318"/>
      <c r="X12412" s="318"/>
      <c r="Y12412" s="318"/>
      <c r="Z12412" s="318"/>
      <c r="AA12412" s="318"/>
      <c r="AB12412" s="318"/>
      <c r="AC12412" s="318"/>
      <c r="AD12412" s="318"/>
    </row>
    <row r="12413" spans="2:30" s="323" customFormat="1" ht="12" customHeight="1">
      <c r="B12413" s="324"/>
      <c r="C12413" s="325"/>
      <c r="D12413" s="326"/>
      <c r="E12413" s="326"/>
      <c r="F12413" s="326"/>
      <c r="G12413" s="326"/>
      <c r="H12413" s="326"/>
      <c r="P12413" s="318"/>
      <c r="Q12413" s="318"/>
      <c r="R12413" s="318"/>
      <c r="S12413" s="318"/>
      <c r="T12413" s="318"/>
      <c r="U12413" s="318"/>
      <c r="V12413" s="318"/>
      <c r="W12413" s="318"/>
      <c r="X12413" s="318"/>
      <c r="Y12413" s="318"/>
      <c r="Z12413" s="318"/>
      <c r="AA12413" s="318"/>
      <c r="AB12413" s="318"/>
      <c r="AC12413" s="318"/>
      <c r="AD12413" s="318"/>
    </row>
    <row r="12414" spans="2:30" s="323" customFormat="1" ht="12" customHeight="1">
      <c r="B12414" s="324"/>
      <c r="C12414" s="325"/>
      <c r="D12414" s="326"/>
      <c r="E12414" s="326"/>
      <c r="F12414" s="326"/>
      <c r="G12414" s="326"/>
      <c r="H12414" s="326"/>
      <c r="P12414" s="318"/>
      <c r="Q12414" s="318"/>
      <c r="R12414" s="318"/>
      <c r="S12414" s="318"/>
      <c r="T12414" s="318"/>
      <c r="U12414" s="318"/>
      <c r="V12414" s="318"/>
      <c r="W12414" s="318"/>
      <c r="X12414" s="318"/>
      <c r="Y12414" s="318"/>
      <c r="Z12414" s="318"/>
      <c r="AA12414" s="318"/>
      <c r="AB12414" s="318"/>
      <c r="AC12414" s="318"/>
      <c r="AD12414" s="318"/>
    </row>
    <row r="12415" spans="2:30" s="323" customFormat="1" ht="12" customHeight="1">
      <c r="B12415" s="324"/>
      <c r="C12415" s="325"/>
      <c r="D12415" s="326"/>
      <c r="E12415" s="326"/>
      <c r="F12415" s="326"/>
      <c r="G12415" s="326"/>
      <c r="H12415" s="326"/>
      <c r="P12415" s="318"/>
      <c r="Q12415" s="318"/>
      <c r="R12415" s="318"/>
      <c r="S12415" s="318"/>
      <c r="T12415" s="318"/>
      <c r="U12415" s="318"/>
      <c r="V12415" s="318"/>
      <c r="W12415" s="318"/>
      <c r="X12415" s="318"/>
      <c r="Y12415" s="318"/>
      <c r="Z12415" s="318"/>
      <c r="AA12415" s="318"/>
      <c r="AB12415" s="318"/>
      <c r="AC12415" s="318"/>
      <c r="AD12415" s="318"/>
    </row>
    <row r="12416" spans="2:30" s="323" customFormat="1" ht="12" customHeight="1">
      <c r="B12416" s="324"/>
      <c r="C12416" s="325"/>
      <c r="D12416" s="326"/>
      <c r="E12416" s="326"/>
      <c r="F12416" s="326"/>
      <c r="G12416" s="326"/>
      <c r="H12416" s="326"/>
      <c r="P12416" s="318"/>
      <c r="Q12416" s="318"/>
      <c r="R12416" s="318"/>
      <c r="S12416" s="318"/>
      <c r="T12416" s="318"/>
      <c r="U12416" s="318"/>
      <c r="V12416" s="318"/>
      <c r="W12416" s="318"/>
      <c r="X12416" s="318"/>
      <c r="Y12416" s="318"/>
      <c r="Z12416" s="318"/>
      <c r="AA12416" s="318"/>
      <c r="AB12416" s="318"/>
      <c r="AC12416" s="318"/>
      <c r="AD12416" s="318"/>
    </row>
    <row r="12417" spans="2:30" s="323" customFormat="1" ht="12" customHeight="1">
      <c r="B12417" s="324"/>
      <c r="C12417" s="325"/>
      <c r="D12417" s="326"/>
      <c r="E12417" s="326"/>
      <c r="F12417" s="326"/>
      <c r="G12417" s="326"/>
      <c r="H12417" s="326"/>
      <c r="P12417" s="318"/>
      <c r="Q12417" s="318"/>
      <c r="R12417" s="318"/>
      <c r="S12417" s="318"/>
      <c r="T12417" s="318"/>
      <c r="U12417" s="318"/>
      <c r="V12417" s="318"/>
      <c r="W12417" s="318"/>
      <c r="X12417" s="318"/>
      <c r="Y12417" s="318"/>
      <c r="Z12417" s="318"/>
      <c r="AA12417" s="318"/>
      <c r="AB12417" s="318"/>
      <c r="AC12417" s="318"/>
      <c r="AD12417" s="318"/>
    </row>
    <row r="12418" spans="2:30" s="323" customFormat="1" ht="12" customHeight="1">
      <c r="B12418" s="324"/>
      <c r="C12418" s="325"/>
      <c r="D12418" s="326"/>
      <c r="E12418" s="326"/>
      <c r="F12418" s="326"/>
      <c r="G12418" s="326"/>
      <c r="H12418" s="326"/>
      <c r="P12418" s="318"/>
      <c r="Q12418" s="318"/>
      <c r="R12418" s="318"/>
      <c r="S12418" s="318"/>
      <c r="T12418" s="318"/>
      <c r="U12418" s="318"/>
      <c r="V12418" s="318"/>
      <c r="W12418" s="318"/>
      <c r="X12418" s="318"/>
      <c r="Y12418" s="318"/>
      <c r="Z12418" s="318"/>
      <c r="AA12418" s="318"/>
      <c r="AB12418" s="318"/>
      <c r="AC12418" s="318"/>
      <c r="AD12418" s="318"/>
    </row>
    <row r="12419" spans="2:30" s="323" customFormat="1" ht="12" customHeight="1">
      <c r="B12419" s="324"/>
      <c r="C12419" s="325"/>
      <c r="D12419" s="326"/>
      <c r="E12419" s="326"/>
      <c r="F12419" s="326"/>
      <c r="G12419" s="326"/>
      <c r="H12419" s="326"/>
      <c r="P12419" s="318"/>
      <c r="Q12419" s="318"/>
      <c r="R12419" s="318"/>
      <c r="S12419" s="318"/>
      <c r="T12419" s="318"/>
      <c r="U12419" s="318"/>
      <c r="V12419" s="318"/>
      <c r="W12419" s="318"/>
      <c r="X12419" s="318"/>
      <c r="Y12419" s="318"/>
      <c r="Z12419" s="318"/>
      <c r="AA12419" s="318"/>
      <c r="AB12419" s="318"/>
      <c r="AC12419" s="318"/>
      <c r="AD12419" s="318"/>
    </row>
    <row r="12420" spans="2:30" s="323" customFormat="1" ht="12" customHeight="1">
      <c r="B12420" s="324"/>
      <c r="C12420" s="325"/>
      <c r="D12420" s="326"/>
      <c r="E12420" s="326"/>
      <c r="F12420" s="326"/>
      <c r="G12420" s="326"/>
      <c r="H12420" s="326"/>
      <c r="P12420" s="318"/>
      <c r="Q12420" s="318"/>
      <c r="R12420" s="318"/>
      <c r="S12420" s="318"/>
      <c r="T12420" s="318"/>
      <c r="U12420" s="318"/>
      <c r="V12420" s="318"/>
      <c r="W12420" s="318"/>
      <c r="X12420" s="318"/>
      <c r="Y12420" s="318"/>
      <c r="Z12420" s="318"/>
      <c r="AA12420" s="318"/>
      <c r="AB12420" s="318"/>
      <c r="AC12420" s="318"/>
      <c r="AD12420" s="318"/>
    </row>
    <row r="12421" spans="2:30" s="323" customFormat="1" ht="12" customHeight="1">
      <c r="B12421" s="324"/>
      <c r="C12421" s="325"/>
      <c r="D12421" s="326"/>
      <c r="E12421" s="326"/>
      <c r="F12421" s="326"/>
      <c r="G12421" s="326"/>
      <c r="H12421" s="326"/>
      <c r="P12421" s="318"/>
      <c r="Q12421" s="318"/>
      <c r="R12421" s="318"/>
      <c r="S12421" s="318"/>
      <c r="T12421" s="318"/>
      <c r="U12421" s="318"/>
      <c r="V12421" s="318"/>
      <c r="W12421" s="318"/>
      <c r="X12421" s="318"/>
      <c r="Y12421" s="318"/>
      <c r="Z12421" s="318"/>
      <c r="AA12421" s="318"/>
      <c r="AB12421" s="318"/>
      <c r="AC12421" s="318"/>
      <c r="AD12421" s="318"/>
    </row>
    <row r="12422" spans="2:30" s="323" customFormat="1" ht="12" customHeight="1">
      <c r="B12422" s="324"/>
      <c r="C12422" s="325"/>
      <c r="D12422" s="326"/>
      <c r="E12422" s="326"/>
      <c r="F12422" s="326"/>
      <c r="G12422" s="326"/>
      <c r="H12422" s="326"/>
      <c r="P12422" s="318"/>
      <c r="Q12422" s="318"/>
      <c r="R12422" s="318"/>
      <c r="S12422" s="318"/>
      <c r="T12422" s="318"/>
      <c r="U12422" s="318"/>
      <c r="V12422" s="318"/>
      <c r="W12422" s="318"/>
      <c r="X12422" s="318"/>
      <c r="Y12422" s="318"/>
      <c r="Z12422" s="318"/>
      <c r="AA12422" s="318"/>
      <c r="AB12422" s="318"/>
      <c r="AC12422" s="318"/>
      <c r="AD12422" s="318"/>
    </row>
    <row r="12423" spans="2:30" s="323" customFormat="1" ht="12" customHeight="1">
      <c r="B12423" s="324"/>
      <c r="C12423" s="325"/>
      <c r="D12423" s="326"/>
      <c r="E12423" s="326"/>
      <c r="F12423" s="326"/>
      <c r="G12423" s="326"/>
      <c r="H12423" s="326"/>
      <c r="P12423" s="318"/>
      <c r="Q12423" s="318"/>
      <c r="R12423" s="318"/>
      <c r="S12423" s="318"/>
      <c r="T12423" s="318"/>
      <c r="U12423" s="318"/>
      <c r="V12423" s="318"/>
      <c r="W12423" s="318"/>
      <c r="X12423" s="318"/>
      <c r="Y12423" s="318"/>
      <c r="Z12423" s="318"/>
      <c r="AA12423" s="318"/>
      <c r="AB12423" s="318"/>
      <c r="AC12423" s="318"/>
      <c r="AD12423" s="318"/>
    </row>
    <row r="12424" spans="2:30" s="323" customFormat="1" ht="12" customHeight="1">
      <c r="B12424" s="324"/>
      <c r="C12424" s="325"/>
      <c r="D12424" s="326"/>
      <c r="E12424" s="326"/>
      <c r="F12424" s="326"/>
      <c r="G12424" s="326"/>
      <c r="H12424" s="326"/>
      <c r="P12424" s="318"/>
      <c r="Q12424" s="318"/>
      <c r="R12424" s="318"/>
      <c r="S12424" s="318"/>
      <c r="T12424" s="318"/>
      <c r="U12424" s="318"/>
      <c r="V12424" s="318"/>
      <c r="W12424" s="318"/>
      <c r="X12424" s="318"/>
      <c r="Y12424" s="318"/>
      <c r="Z12424" s="318"/>
      <c r="AA12424" s="318"/>
      <c r="AB12424" s="318"/>
      <c r="AC12424" s="318"/>
      <c r="AD12424" s="318"/>
    </row>
    <row r="12425" spans="2:30" s="323" customFormat="1" ht="12" customHeight="1">
      <c r="B12425" s="324"/>
      <c r="C12425" s="325"/>
      <c r="D12425" s="326"/>
      <c r="E12425" s="326"/>
      <c r="F12425" s="326"/>
      <c r="G12425" s="326"/>
      <c r="H12425" s="326"/>
      <c r="P12425" s="318"/>
      <c r="Q12425" s="318"/>
      <c r="R12425" s="318"/>
      <c r="S12425" s="318"/>
      <c r="T12425" s="318"/>
      <c r="U12425" s="318"/>
      <c r="V12425" s="318"/>
      <c r="W12425" s="318"/>
      <c r="X12425" s="318"/>
      <c r="Y12425" s="318"/>
      <c r="Z12425" s="318"/>
      <c r="AA12425" s="318"/>
      <c r="AB12425" s="318"/>
      <c r="AC12425" s="318"/>
      <c r="AD12425" s="318"/>
    </row>
    <row r="12426" spans="2:30" s="323" customFormat="1" ht="12" customHeight="1">
      <c r="B12426" s="324"/>
      <c r="C12426" s="325"/>
      <c r="D12426" s="326"/>
      <c r="E12426" s="326"/>
      <c r="F12426" s="326"/>
      <c r="G12426" s="326"/>
      <c r="H12426" s="326"/>
      <c r="P12426" s="318"/>
      <c r="Q12426" s="318"/>
      <c r="R12426" s="318"/>
      <c r="S12426" s="318"/>
      <c r="T12426" s="318"/>
      <c r="U12426" s="318"/>
      <c r="V12426" s="318"/>
      <c r="W12426" s="318"/>
      <c r="X12426" s="318"/>
      <c r="Y12426" s="318"/>
      <c r="Z12426" s="318"/>
      <c r="AA12426" s="318"/>
      <c r="AB12426" s="318"/>
      <c r="AC12426" s="318"/>
      <c r="AD12426" s="318"/>
    </row>
    <row r="12427" spans="2:30" s="323" customFormat="1" ht="12" customHeight="1">
      <c r="B12427" s="324"/>
      <c r="C12427" s="325"/>
      <c r="D12427" s="326"/>
      <c r="E12427" s="326"/>
      <c r="F12427" s="326"/>
      <c r="G12427" s="326"/>
      <c r="H12427" s="326"/>
      <c r="P12427" s="318"/>
      <c r="Q12427" s="318"/>
      <c r="R12427" s="318"/>
      <c r="S12427" s="318"/>
      <c r="T12427" s="318"/>
      <c r="U12427" s="318"/>
      <c r="V12427" s="318"/>
      <c r="W12427" s="318"/>
      <c r="X12427" s="318"/>
      <c r="Y12427" s="318"/>
      <c r="Z12427" s="318"/>
      <c r="AA12427" s="318"/>
      <c r="AB12427" s="318"/>
      <c r="AC12427" s="318"/>
      <c r="AD12427" s="318"/>
    </row>
    <row r="12428" spans="2:30" s="323" customFormat="1" ht="12" customHeight="1">
      <c r="B12428" s="324"/>
      <c r="C12428" s="325"/>
      <c r="D12428" s="326"/>
      <c r="E12428" s="326"/>
      <c r="F12428" s="326"/>
      <c r="G12428" s="326"/>
      <c r="H12428" s="326"/>
      <c r="P12428" s="318"/>
      <c r="Q12428" s="318"/>
      <c r="R12428" s="318"/>
      <c r="S12428" s="318"/>
      <c r="T12428" s="318"/>
      <c r="U12428" s="318"/>
      <c r="V12428" s="318"/>
      <c r="W12428" s="318"/>
      <c r="X12428" s="318"/>
      <c r="Y12428" s="318"/>
      <c r="Z12428" s="318"/>
      <c r="AA12428" s="318"/>
      <c r="AB12428" s="318"/>
      <c r="AC12428" s="318"/>
      <c r="AD12428" s="318"/>
    </row>
    <row r="12429" spans="2:30" s="323" customFormat="1" ht="12" customHeight="1">
      <c r="B12429" s="324"/>
      <c r="C12429" s="325"/>
      <c r="D12429" s="326"/>
      <c r="E12429" s="326"/>
      <c r="F12429" s="326"/>
      <c r="G12429" s="326"/>
      <c r="H12429" s="326"/>
      <c r="P12429" s="318"/>
      <c r="Q12429" s="318"/>
      <c r="R12429" s="318"/>
      <c r="S12429" s="318"/>
      <c r="T12429" s="318"/>
      <c r="U12429" s="318"/>
      <c r="V12429" s="318"/>
      <c r="W12429" s="318"/>
      <c r="X12429" s="318"/>
      <c r="Y12429" s="318"/>
      <c r="Z12429" s="318"/>
      <c r="AA12429" s="318"/>
      <c r="AB12429" s="318"/>
      <c r="AC12429" s="318"/>
      <c r="AD12429" s="318"/>
    </row>
    <row r="12430" spans="2:30" s="323" customFormat="1" ht="12" customHeight="1">
      <c r="B12430" s="324"/>
      <c r="C12430" s="325"/>
      <c r="D12430" s="326"/>
      <c r="E12430" s="326"/>
      <c r="F12430" s="326"/>
      <c r="G12430" s="326"/>
      <c r="H12430" s="326"/>
      <c r="P12430" s="318"/>
      <c r="Q12430" s="318"/>
      <c r="R12430" s="318"/>
      <c r="S12430" s="318"/>
      <c r="T12430" s="318"/>
      <c r="U12430" s="318"/>
      <c r="V12430" s="318"/>
      <c r="W12430" s="318"/>
      <c r="X12430" s="318"/>
      <c r="Y12430" s="318"/>
      <c r="Z12430" s="318"/>
      <c r="AA12430" s="318"/>
      <c r="AB12430" s="318"/>
      <c r="AC12430" s="318"/>
      <c r="AD12430" s="318"/>
    </row>
    <row r="12431" spans="2:30" s="323" customFormat="1" ht="12" customHeight="1">
      <c r="B12431" s="324"/>
      <c r="C12431" s="325"/>
      <c r="D12431" s="326"/>
      <c r="E12431" s="326"/>
      <c r="F12431" s="326"/>
      <c r="G12431" s="326"/>
      <c r="H12431" s="326"/>
      <c r="P12431" s="318"/>
      <c r="Q12431" s="318"/>
      <c r="R12431" s="318"/>
      <c r="S12431" s="318"/>
      <c r="T12431" s="318"/>
      <c r="U12431" s="318"/>
      <c r="V12431" s="318"/>
      <c r="W12431" s="318"/>
      <c r="X12431" s="318"/>
      <c r="Y12431" s="318"/>
      <c r="Z12431" s="318"/>
      <c r="AA12431" s="318"/>
      <c r="AB12431" s="318"/>
      <c r="AC12431" s="318"/>
      <c r="AD12431" s="318"/>
    </row>
    <row r="12432" spans="2:30" s="323" customFormat="1" ht="12" customHeight="1">
      <c r="B12432" s="324"/>
      <c r="C12432" s="325"/>
      <c r="D12432" s="326"/>
      <c r="E12432" s="326"/>
      <c r="F12432" s="326"/>
      <c r="G12432" s="326"/>
      <c r="H12432" s="326"/>
      <c r="P12432" s="318"/>
      <c r="Q12432" s="318"/>
      <c r="R12432" s="318"/>
      <c r="S12432" s="318"/>
      <c r="T12432" s="318"/>
      <c r="U12432" s="318"/>
      <c r="V12432" s="318"/>
      <c r="W12432" s="318"/>
      <c r="X12432" s="318"/>
      <c r="Y12432" s="318"/>
      <c r="Z12432" s="318"/>
      <c r="AA12432" s="318"/>
      <c r="AB12432" s="318"/>
      <c r="AC12432" s="318"/>
      <c r="AD12432" s="318"/>
    </row>
    <row r="12433" spans="2:30" s="323" customFormat="1" ht="12" customHeight="1">
      <c r="B12433" s="324"/>
      <c r="C12433" s="325"/>
      <c r="D12433" s="326"/>
      <c r="E12433" s="326"/>
      <c r="F12433" s="326"/>
      <c r="G12433" s="326"/>
      <c r="H12433" s="326"/>
      <c r="P12433" s="318"/>
      <c r="Q12433" s="318"/>
      <c r="R12433" s="318"/>
      <c r="S12433" s="318"/>
      <c r="T12433" s="318"/>
      <c r="U12433" s="318"/>
      <c r="V12433" s="318"/>
      <c r="W12433" s="318"/>
      <c r="X12433" s="318"/>
      <c r="Y12433" s="318"/>
      <c r="Z12433" s="318"/>
      <c r="AA12433" s="318"/>
      <c r="AB12433" s="318"/>
      <c r="AC12433" s="318"/>
      <c r="AD12433" s="318"/>
    </row>
    <row r="12434" spans="2:30" s="323" customFormat="1" ht="12" customHeight="1">
      <c r="B12434" s="324"/>
      <c r="C12434" s="325"/>
      <c r="D12434" s="326"/>
      <c r="E12434" s="326"/>
      <c r="F12434" s="326"/>
      <c r="G12434" s="326"/>
      <c r="H12434" s="326"/>
      <c r="P12434" s="318"/>
      <c r="Q12434" s="318"/>
      <c r="R12434" s="318"/>
      <c r="S12434" s="318"/>
      <c r="T12434" s="318"/>
      <c r="U12434" s="318"/>
      <c r="V12434" s="318"/>
      <c r="W12434" s="318"/>
      <c r="X12434" s="318"/>
      <c r="Y12434" s="318"/>
      <c r="Z12434" s="318"/>
      <c r="AA12434" s="318"/>
      <c r="AB12434" s="318"/>
      <c r="AC12434" s="318"/>
      <c r="AD12434" s="318"/>
    </row>
    <row r="12435" spans="2:30" s="323" customFormat="1" ht="12" customHeight="1">
      <c r="B12435" s="324"/>
      <c r="C12435" s="325"/>
      <c r="D12435" s="326"/>
      <c r="E12435" s="326"/>
      <c r="F12435" s="326"/>
      <c r="G12435" s="326"/>
      <c r="H12435" s="326"/>
      <c r="P12435" s="318"/>
      <c r="Q12435" s="318"/>
      <c r="R12435" s="318"/>
      <c r="S12435" s="318"/>
      <c r="T12435" s="318"/>
      <c r="U12435" s="318"/>
      <c r="V12435" s="318"/>
      <c r="W12435" s="318"/>
      <c r="X12435" s="318"/>
      <c r="Y12435" s="318"/>
      <c r="Z12435" s="318"/>
      <c r="AA12435" s="318"/>
      <c r="AB12435" s="318"/>
      <c r="AC12435" s="318"/>
      <c r="AD12435" s="318"/>
    </row>
    <row r="12436" spans="2:30" s="323" customFormat="1" ht="12" customHeight="1">
      <c r="B12436" s="324"/>
      <c r="C12436" s="325"/>
      <c r="D12436" s="326"/>
      <c r="E12436" s="326"/>
      <c r="F12436" s="326"/>
      <c r="G12436" s="326"/>
      <c r="H12436" s="326"/>
      <c r="P12436" s="318"/>
      <c r="Q12436" s="318"/>
      <c r="R12436" s="318"/>
      <c r="S12436" s="318"/>
      <c r="T12436" s="318"/>
      <c r="U12436" s="318"/>
      <c r="V12436" s="318"/>
      <c r="W12436" s="318"/>
      <c r="X12436" s="318"/>
      <c r="Y12436" s="318"/>
      <c r="Z12436" s="318"/>
      <c r="AA12436" s="318"/>
      <c r="AB12436" s="318"/>
      <c r="AC12436" s="318"/>
      <c r="AD12436" s="318"/>
    </row>
    <row r="12437" spans="2:30" s="323" customFormat="1" ht="12" customHeight="1">
      <c r="B12437" s="324"/>
      <c r="C12437" s="325"/>
      <c r="D12437" s="326"/>
      <c r="E12437" s="326"/>
      <c r="F12437" s="326"/>
      <c r="G12437" s="326"/>
      <c r="H12437" s="326"/>
      <c r="P12437" s="318"/>
      <c r="Q12437" s="318"/>
      <c r="R12437" s="318"/>
      <c r="S12437" s="318"/>
      <c r="T12437" s="318"/>
      <c r="U12437" s="318"/>
      <c r="V12437" s="318"/>
      <c r="W12437" s="318"/>
      <c r="X12437" s="318"/>
      <c r="Y12437" s="318"/>
      <c r="Z12437" s="318"/>
      <c r="AA12437" s="318"/>
      <c r="AB12437" s="318"/>
      <c r="AC12437" s="318"/>
      <c r="AD12437" s="318"/>
    </row>
    <row r="12438" spans="2:30" s="323" customFormat="1" ht="12" customHeight="1">
      <c r="B12438" s="324"/>
      <c r="C12438" s="325"/>
      <c r="D12438" s="326"/>
      <c r="E12438" s="326"/>
      <c r="F12438" s="326"/>
      <c r="G12438" s="326"/>
      <c r="H12438" s="326"/>
      <c r="P12438" s="318"/>
      <c r="Q12438" s="318"/>
      <c r="R12438" s="318"/>
      <c r="S12438" s="318"/>
      <c r="T12438" s="318"/>
      <c r="U12438" s="318"/>
      <c r="V12438" s="318"/>
      <c r="W12438" s="318"/>
      <c r="X12438" s="318"/>
      <c r="Y12438" s="318"/>
      <c r="Z12438" s="318"/>
      <c r="AA12438" s="318"/>
      <c r="AB12438" s="318"/>
      <c r="AC12438" s="318"/>
      <c r="AD12438" s="318"/>
    </row>
    <row r="12439" spans="2:30" s="323" customFormat="1" ht="12" customHeight="1">
      <c r="B12439" s="324"/>
      <c r="C12439" s="325"/>
      <c r="D12439" s="326"/>
      <c r="E12439" s="326"/>
      <c r="F12439" s="326"/>
      <c r="G12439" s="326"/>
      <c r="H12439" s="326"/>
      <c r="P12439" s="318"/>
      <c r="Q12439" s="318"/>
      <c r="R12439" s="318"/>
      <c r="S12439" s="318"/>
      <c r="T12439" s="318"/>
      <c r="U12439" s="318"/>
      <c r="V12439" s="318"/>
      <c r="W12439" s="318"/>
      <c r="X12439" s="318"/>
      <c r="Y12439" s="318"/>
      <c r="Z12439" s="318"/>
      <c r="AA12439" s="318"/>
      <c r="AB12439" s="318"/>
      <c r="AC12439" s="318"/>
      <c r="AD12439" s="318"/>
    </row>
    <row r="12440" spans="2:30" s="323" customFormat="1" ht="12" customHeight="1">
      <c r="B12440" s="324"/>
      <c r="C12440" s="325"/>
      <c r="D12440" s="326"/>
      <c r="E12440" s="326"/>
      <c r="F12440" s="326"/>
      <c r="G12440" s="326"/>
      <c r="H12440" s="326"/>
      <c r="P12440" s="318"/>
      <c r="Q12440" s="318"/>
      <c r="R12440" s="318"/>
      <c r="S12440" s="318"/>
      <c r="T12440" s="318"/>
      <c r="U12440" s="318"/>
      <c r="V12440" s="318"/>
      <c r="W12440" s="318"/>
      <c r="X12440" s="318"/>
      <c r="Y12440" s="318"/>
      <c r="Z12440" s="318"/>
      <c r="AA12440" s="318"/>
      <c r="AB12440" s="318"/>
      <c r="AC12440" s="318"/>
      <c r="AD12440" s="318"/>
    </row>
    <row r="12441" spans="2:30" s="323" customFormat="1" ht="12" customHeight="1">
      <c r="B12441" s="324"/>
      <c r="C12441" s="325"/>
      <c r="D12441" s="326"/>
      <c r="E12441" s="326"/>
      <c r="F12441" s="326"/>
      <c r="G12441" s="326"/>
      <c r="H12441" s="326"/>
      <c r="P12441" s="318"/>
      <c r="Q12441" s="318"/>
      <c r="R12441" s="318"/>
      <c r="S12441" s="318"/>
      <c r="T12441" s="318"/>
      <c r="U12441" s="318"/>
      <c r="V12441" s="318"/>
      <c r="W12441" s="318"/>
      <c r="X12441" s="318"/>
      <c r="Y12441" s="318"/>
      <c r="Z12441" s="318"/>
      <c r="AA12441" s="318"/>
      <c r="AB12441" s="318"/>
      <c r="AC12441" s="318"/>
      <c r="AD12441" s="318"/>
    </row>
    <row r="12442" spans="2:30" s="323" customFormat="1" ht="12" customHeight="1">
      <c r="B12442" s="324"/>
      <c r="C12442" s="325"/>
      <c r="D12442" s="326"/>
      <c r="E12442" s="326"/>
      <c r="F12442" s="326"/>
      <c r="G12442" s="326"/>
      <c r="H12442" s="326"/>
      <c r="P12442" s="318"/>
      <c r="Q12442" s="318"/>
      <c r="R12442" s="318"/>
      <c r="S12442" s="318"/>
      <c r="T12442" s="318"/>
      <c r="U12442" s="318"/>
      <c r="V12442" s="318"/>
      <c r="W12442" s="318"/>
      <c r="X12442" s="318"/>
      <c r="Y12442" s="318"/>
      <c r="Z12442" s="318"/>
      <c r="AA12442" s="318"/>
      <c r="AB12442" s="318"/>
      <c r="AC12442" s="318"/>
      <c r="AD12442" s="318"/>
    </row>
    <row r="12443" spans="2:30" s="323" customFormat="1" ht="12" customHeight="1">
      <c r="B12443" s="324"/>
      <c r="C12443" s="325"/>
      <c r="D12443" s="326"/>
      <c r="E12443" s="326"/>
      <c r="F12443" s="326"/>
      <c r="G12443" s="326"/>
      <c r="H12443" s="326"/>
      <c r="P12443" s="318"/>
      <c r="Q12443" s="318"/>
      <c r="R12443" s="318"/>
      <c r="S12443" s="318"/>
      <c r="T12443" s="318"/>
      <c r="U12443" s="318"/>
      <c r="V12443" s="318"/>
      <c r="W12443" s="318"/>
      <c r="X12443" s="318"/>
      <c r="Y12443" s="318"/>
      <c r="Z12443" s="318"/>
      <c r="AA12443" s="318"/>
      <c r="AB12443" s="318"/>
      <c r="AC12443" s="318"/>
      <c r="AD12443" s="318"/>
    </row>
    <row r="12444" spans="2:30" s="323" customFormat="1" ht="12" customHeight="1">
      <c r="B12444" s="324"/>
      <c r="C12444" s="325"/>
      <c r="D12444" s="326"/>
      <c r="E12444" s="326"/>
      <c r="F12444" s="326"/>
      <c r="G12444" s="326"/>
      <c r="H12444" s="326"/>
      <c r="P12444" s="318"/>
      <c r="Q12444" s="318"/>
      <c r="R12444" s="318"/>
      <c r="S12444" s="318"/>
      <c r="T12444" s="318"/>
      <c r="U12444" s="318"/>
      <c r="V12444" s="318"/>
      <c r="W12444" s="318"/>
      <c r="X12444" s="318"/>
      <c r="Y12444" s="318"/>
      <c r="Z12444" s="318"/>
      <c r="AA12444" s="318"/>
      <c r="AB12444" s="318"/>
      <c r="AC12444" s="318"/>
      <c r="AD12444" s="318"/>
    </row>
    <row r="12445" spans="2:30" s="323" customFormat="1" ht="12" customHeight="1">
      <c r="B12445" s="324"/>
      <c r="C12445" s="325"/>
      <c r="D12445" s="326"/>
      <c r="E12445" s="326"/>
      <c r="F12445" s="326"/>
      <c r="G12445" s="326"/>
      <c r="H12445" s="326"/>
      <c r="P12445" s="318"/>
      <c r="Q12445" s="318"/>
      <c r="R12445" s="318"/>
      <c r="S12445" s="318"/>
      <c r="T12445" s="318"/>
      <c r="U12445" s="318"/>
      <c r="V12445" s="318"/>
      <c r="W12445" s="318"/>
      <c r="X12445" s="318"/>
      <c r="Y12445" s="318"/>
      <c r="Z12445" s="318"/>
      <c r="AA12445" s="318"/>
      <c r="AB12445" s="318"/>
      <c r="AC12445" s="318"/>
      <c r="AD12445" s="318"/>
    </row>
    <row r="12446" spans="2:30" s="323" customFormat="1" ht="12" customHeight="1">
      <c r="B12446" s="324"/>
      <c r="C12446" s="325"/>
      <c r="D12446" s="326"/>
      <c r="E12446" s="326"/>
      <c r="F12446" s="326"/>
      <c r="G12446" s="326"/>
      <c r="H12446" s="326"/>
      <c r="P12446" s="318"/>
      <c r="Q12446" s="318"/>
      <c r="R12446" s="318"/>
      <c r="S12446" s="318"/>
      <c r="T12446" s="318"/>
      <c r="U12446" s="318"/>
      <c r="V12446" s="318"/>
      <c r="W12446" s="318"/>
      <c r="X12446" s="318"/>
      <c r="Y12446" s="318"/>
      <c r="Z12446" s="318"/>
      <c r="AA12446" s="318"/>
      <c r="AB12446" s="318"/>
      <c r="AC12446" s="318"/>
      <c r="AD12446" s="318"/>
    </row>
    <row r="12447" spans="2:30" s="323" customFormat="1" ht="12" customHeight="1">
      <c r="B12447" s="324"/>
      <c r="C12447" s="325"/>
      <c r="D12447" s="326"/>
      <c r="E12447" s="326"/>
      <c r="F12447" s="326"/>
      <c r="G12447" s="326"/>
      <c r="H12447" s="326"/>
      <c r="P12447" s="318"/>
      <c r="Q12447" s="318"/>
      <c r="R12447" s="318"/>
      <c r="S12447" s="318"/>
      <c r="T12447" s="318"/>
      <c r="U12447" s="318"/>
      <c r="V12447" s="318"/>
      <c r="W12447" s="318"/>
      <c r="X12447" s="318"/>
      <c r="Y12447" s="318"/>
      <c r="Z12447" s="318"/>
      <c r="AA12447" s="318"/>
      <c r="AB12447" s="318"/>
      <c r="AC12447" s="318"/>
      <c r="AD12447" s="318"/>
    </row>
    <row r="12448" spans="2:30" s="323" customFormat="1" ht="12" customHeight="1">
      <c r="B12448" s="324"/>
      <c r="C12448" s="325"/>
      <c r="D12448" s="326"/>
      <c r="E12448" s="326"/>
      <c r="F12448" s="326"/>
      <c r="G12448" s="326"/>
      <c r="H12448" s="326"/>
      <c r="P12448" s="318"/>
      <c r="Q12448" s="318"/>
      <c r="R12448" s="318"/>
      <c r="S12448" s="318"/>
      <c r="T12448" s="318"/>
      <c r="U12448" s="318"/>
      <c r="V12448" s="318"/>
      <c r="W12448" s="318"/>
      <c r="X12448" s="318"/>
      <c r="Y12448" s="318"/>
      <c r="Z12448" s="318"/>
      <c r="AA12448" s="318"/>
      <c r="AB12448" s="318"/>
      <c r="AC12448" s="318"/>
      <c r="AD12448" s="318"/>
    </row>
    <row r="12449" spans="2:30" s="323" customFormat="1" ht="12" customHeight="1">
      <c r="B12449" s="324"/>
      <c r="C12449" s="325"/>
      <c r="D12449" s="326"/>
      <c r="E12449" s="326"/>
      <c r="F12449" s="326"/>
      <c r="G12449" s="326"/>
      <c r="H12449" s="326"/>
      <c r="P12449" s="318"/>
      <c r="Q12449" s="318"/>
      <c r="R12449" s="318"/>
      <c r="S12449" s="318"/>
      <c r="T12449" s="318"/>
      <c r="U12449" s="318"/>
      <c r="V12449" s="318"/>
      <c r="W12449" s="318"/>
      <c r="X12449" s="318"/>
      <c r="Y12449" s="318"/>
      <c r="Z12449" s="318"/>
      <c r="AA12449" s="318"/>
      <c r="AB12449" s="318"/>
      <c r="AC12449" s="318"/>
      <c r="AD12449" s="318"/>
    </row>
    <row r="12450" spans="2:30" s="323" customFormat="1" ht="12" customHeight="1">
      <c r="B12450" s="324"/>
      <c r="C12450" s="325"/>
      <c r="D12450" s="326"/>
      <c r="E12450" s="326"/>
      <c r="F12450" s="326"/>
      <c r="G12450" s="326"/>
      <c r="H12450" s="326"/>
      <c r="P12450" s="318"/>
      <c r="Q12450" s="318"/>
      <c r="R12450" s="318"/>
      <c r="S12450" s="318"/>
      <c r="T12450" s="318"/>
      <c r="U12450" s="318"/>
      <c r="V12450" s="318"/>
      <c r="W12450" s="318"/>
      <c r="X12450" s="318"/>
      <c r="Y12450" s="318"/>
      <c r="Z12450" s="318"/>
      <c r="AA12450" s="318"/>
      <c r="AB12450" s="318"/>
      <c r="AC12450" s="318"/>
      <c r="AD12450" s="318"/>
    </row>
    <row r="12451" spans="2:30" s="323" customFormat="1" ht="12" customHeight="1">
      <c r="B12451" s="324"/>
      <c r="C12451" s="325"/>
      <c r="D12451" s="326"/>
      <c r="E12451" s="326"/>
      <c r="F12451" s="326"/>
      <c r="G12451" s="326"/>
      <c r="H12451" s="326"/>
      <c r="P12451" s="318"/>
      <c r="Q12451" s="318"/>
      <c r="R12451" s="318"/>
      <c r="S12451" s="318"/>
      <c r="T12451" s="318"/>
      <c r="U12451" s="318"/>
      <c r="V12451" s="318"/>
      <c r="W12451" s="318"/>
      <c r="X12451" s="318"/>
      <c r="Y12451" s="318"/>
      <c r="Z12451" s="318"/>
      <c r="AA12451" s="318"/>
      <c r="AB12451" s="318"/>
      <c r="AC12451" s="318"/>
      <c r="AD12451" s="318"/>
    </row>
    <row r="12452" spans="2:30" s="323" customFormat="1" ht="12" customHeight="1">
      <c r="B12452" s="324"/>
      <c r="C12452" s="325"/>
      <c r="D12452" s="326"/>
      <c r="E12452" s="326"/>
      <c r="F12452" s="326"/>
      <c r="G12452" s="326"/>
      <c r="H12452" s="326"/>
      <c r="P12452" s="318"/>
      <c r="Q12452" s="318"/>
      <c r="R12452" s="318"/>
      <c r="S12452" s="318"/>
      <c r="T12452" s="318"/>
      <c r="U12452" s="318"/>
      <c r="V12452" s="318"/>
      <c r="W12452" s="318"/>
      <c r="X12452" s="318"/>
      <c r="Y12452" s="318"/>
      <c r="Z12452" s="318"/>
      <c r="AA12452" s="318"/>
      <c r="AB12452" s="318"/>
      <c r="AC12452" s="318"/>
      <c r="AD12452" s="318"/>
    </row>
    <row r="12453" spans="2:30" s="323" customFormat="1" ht="12" customHeight="1">
      <c r="B12453" s="324"/>
      <c r="C12453" s="325"/>
      <c r="D12453" s="326"/>
      <c r="E12453" s="326"/>
      <c r="F12453" s="326"/>
      <c r="G12453" s="326"/>
      <c r="H12453" s="326"/>
      <c r="P12453" s="318"/>
      <c r="Q12453" s="318"/>
      <c r="R12453" s="318"/>
      <c r="S12453" s="318"/>
      <c r="T12453" s="318"/>
      <c r="U12453" s="318"/>
      <c r="V12453" s="318"/>
      <c r="W12453" s="318"/>
      <c r="X12453" s="318"/>
      <c r="Y12453" s="318"/>
      <c r="Z12453" s="318"/>
      <c r="AA12453" s="318"/>
      <c r="AB12453" s="318"/>
      <c r="AC12453" s="318"/>
      <c r="AD12453" s="318"/>
    </row>
    <row r="12454" spans="2:30" s="323" customFormat="1" ht="12" customHeight="1">
      <c r="B12454" s="324"/>
      <c r="C12454" s="325"/>
      <c r="D12454" s="326"/>
      <c r="E12454" s="326"/>
      <c r="F12454" s="326"/>
      <c r="G12454" s="326"/>
      <c r="H12454" s="326"/>
      <c r="P12454" s="318"/>
      <c r="Q12454" s="318"/>
      <c r="R12454" s="318"/>
      <c r="S12454" s="318"/>
      <c r="T12454" s="318"/>
      <c r="U12454" s="318"/>
      <c r="V12454" s="318"/>
      <c r="W12454" s="318"/>
      <c r="X12454" s="318"/>
      <c r="Y12454" s="318"/>
      <c r="Z12454" s="318"/>
      <c r="AA12454" s="318"/>
      <c r="AB12454" s="318"/>
      <c r="AC12454" s="318"/>
      <c r="AD12454" s="318"/>
    </row>
    <row r="12455" spans="2:30" s="323" customFormat="1" ht="12" customHeight="1">
      <c r="B12455" s="324"/>
      <c r="C12455" s="325"/>
      <c r="D12455" s="326"/>
      <c r="E12455" s="326"/>
      <c r="F12455" s="326"/>
      <c r="G12455" s="326"/>
      <c r="H12455" s="326"/>
      <c r="P12455" s="318"/>
      <c r="Q12455" s="318"/>
      <c r="R12455" s="318"/>
      <c r="S12455" s="318"/>
      <c r="T12455" s="318"/>
      <c r="U12455" s="318"/>
      <c r="V12455" s="318"/>
      <c r="W12455" s="318"/>
      <c r="X12455" s="318"/>
      <c r="Y12455" s="318"/>
      <c r="Z12455" s="318"/>
      <c r="AA12455" s="318"/>
      <c r="AB12455" s="318"/>
      <c r="AC12455" s="318"/>
      <c r="AD12455" s="318"/>
    </row>
    <row r="12456" spans="2:30" s="323" customFormat="1" ht="12" customHeight="1">
      <c r="B12456" s="324"/>
      <c r="C12456" s="325"/>
      <c r="D12456" s="326"/>
      <c r="E12456" s="326"/>
      <c r="F12456" s="326"/>
      <c r="G12456" s="326"/>
      <c r="H12456" s="326"/>
      <c r="P12456" s="318"/>
      <c r="Q12456" s="318"/>
      <c r="R12456" s="318"/>
      <c r="S12456" s="318"/>
      <c r="T12456" s="318"/>
      <c r="U12456" s="318"/>
      <c r="V12456" s="318"/>
      <c r="W12456" s="318"/>
      <c r="X12456" s="318"/>
      <c r="Y12456" s="318"/>
      <c r="Z12456" s="318"/>
      <c r="AA12456" s="318"/>
      <c r="AB12456" s="318"/>
      <c r="AC12456" s="318"/>
      <c r="AD12456" s="318"/>
    </row>
    <row r="12457" spans="2:30" s="323" customFormat="1" ht="12" customHeight="1">
      <c r="B12457" s="324"/>
      <c r="C12457" s="325"/>
      <c r="D12457" s="326"/>
      <c r="E12457" s="326"/>
      <c r="F12457" s="326"/>
      <c r="G12457" s="326"/>
      <c r="H12457" s="326"/>
      <c r="P12457" s="318"/>
      <c r="Q12457" s="318"/>
      <c r="R12457" s="318"/>
      <c r="S12457" s="318"/>
      <c r="T12457" s="318"/>
      <c r="U12457" s="318"/>
      <c r="V12457" s="318"/>
      <c r="W12457" s="318"/>
      <c r="X12457" s="318"/>
      <c r="Y12457" s="318"/>
      <c r="Z12457" s="318"/>
      <c r="AA12457" s="318"/>
      <c r="AB12457" s="318"/>
      <c r="AC12457" s="318"/>
      <c r="AD12457" s="318"/>
    </row>
    <row r="12458" spans="2:30" s="323" customFormat="1" ht="12" customHeight="1">
      <c r="B12458" s="324"/>
      <c r="C12458" s="325"/>
      <c r="D12458" s="326"/>
      <c r="E12458" s="326"/>
      <c r="F12458" s="326"/>
      <c r="G12458" s="326"/>
      <c r="H12458" s="326"/>
      <c r="P12458" s="318"/>
      <c r="Q12458" s="318"/>
      <c r="R12458" s="318"/>
      <c r="S12458" s="318"/>
      <c r="T12458" s="318"/>
      <c r="U12458" s="318"/>
      <c r="V12458" s="318"/>
      <c r="W12458" s="318"/>
      <c r="X12458" s="318"/>
      <c r="Y12458" s="318"/>
      <c r="Z12458" s="318"/>
      <c r="AA12458" s="318"/>
      <c r="AB12458" s="318"/>
      <c r="AC12458" s="318"/>
      <c r="AD12458" s="318"/>
    </row>
    <row r="12459" spans="2:30" s="323" customFormat="1" ht="12" customHeight="1">
      <c r="B12459" s="324"/>
      <c r="C12459" s="325"/>
      <c r="D12459" s="326"/>
      <c r="E12459" s="326"/>
      <c r="F12459" s="326"/>
      <c r="G12459" s="326"/>
      <c r="H12459" s="326"/>
      <c r="P12459" s="318"/>
      <c r="Q12459" s="318"/>
      <c r="R12459" s="318"/>
      <c r="S12459" s="318"/>
      <c r="T12459" s="318"/>
      <c r="U12459" s="318"/>
      <c r="V12459" s="318"/>
      <c r="W12459" s="318"/>
      <c r="X12459" s="318"/>
      <c r="Y12459" s="318"/>
      <c r="Z12459" s="318"/>
      <c r="AA12459" s="318"/>
      <c r="AB12459" s="318"/>
      <c r="AC12459" s="318"/>
      <c r="AD12459" s="318"/>
    </row>
    <row r="12460" spans="2:30" s="323" customFormat="1" ht="12" customHeight="1">
      <c r="B12460" s="324"/>
      <c r="C12460" s="325"/>
      <c r="D12460" s="326"/>
      <c r="E12460" s="326"/>
      <c r="F12460" s="326"/>
      <c r="G12460" s="326"/>
      <c r="H12460" s="326"/>
      <c r="P12460" s="318"/>
      <c r="Q12460" s="318"/>
      <c r="R12460" s="318"/>
      <c r="S12460" s="318"/>
      <c r="T12460" s="318"/>
      <c r="U12460" s="318"/>
      <c r="V12460" s="318"/>
      <c r="W12460" s="318"/>
      <c r="X12460" s="318"/>
      <c r="Y12460" s="318"/>
      <c r="Z12460" s="318"/>
      <c r="AA12460" s="318"/>
      <c r="AB12460" s="318"/>
      <c r="AC12460" s="318"/>
      <c r="AD12460" s="318"/>
    </row>
    <row r="12461" spans="2:30" s="323" customFormat="1" ht="12" customHeight="1">
      <c r="B12461" s="324"/>
      <c r="C12461" s="325"/>
      <c r="D12461" s="326"/>
      <c r="E12461" s="326"/>
      <c r="F12461" s="326"/>
      <c r="G12461" s="326"/>
      <c r="H12461" s="326"/>
      <c r="P12461" s="318"/>
      <c r="Q12461" s="318"/>
      <c r="R12461" s="318"/>
      <c r="S12461" s="318"/>
      <c r="T12461" s="318"/>
      <c r="U12461" s="318"/>
      <c r="V12461" s="318"/>
      <c r="W12461" s="318"/>
      <c r="X12461" s="318"/>
      <c r="Y12461" s="318"/>
      <c r="Z12461" s="318"/>
      <c r="AA12461" s="318"/>
      <c r="AB12461" s="318"/>
      <c r="AC12461" s="318"/>
      <c r="AD12461" s="318"/>
    </row>
    <row r="12462" spans="2:30" s="323" customFormat="1" ht="12" customHeight="1">
      <c r="B12462" s="324"/>
      <c r="C12462" s="325"/>
      <c r="D12462" s="326"/>
      <c r="E12462" s="326"/>
      <c r="F12462" s="326"/>
      <c r="G12462" s="326"/>
      <c r="H12462" s="326"/>
      <c r="P12462" s="318"/>
      <c r="Q12462" s="318"/>
      <c r="R12462" s="318"/>
      <c r="S12462" s="318"/>
      <c r="T12462" s="318"/>
      <c r="U12462" s="318"/>
      <c r="V12462" s="318"/>
      <c r="W12462" s="318"/>
      <c r="X12462" s="318"/>
      <c r="Y12462" s="318"/>
      <c r="Z12462" s="318"/>
      <c r="AA12462" s="318"/>
      <c r="AB12462" s="318"/>
      <c r="AC12462" s="318"/>
      <c r="AD12462" s="318"/>
    </row>
    <row r="12463" spans="2:30" s="323" customFormat="1" ht="12" customHeight="1">
      <c r="B12463" s="324"/>
      <c r="C12463" s="325"/>
      <c r="D12463" s="326"/>
      <c r="E12463" s="326"/>
      <c r="F12463" s="326"/>
      <c r="G12463" s="326"/>
      <c r="H12463" s="326"/>
      <c r="P12463" s="318"/>
      <c r="Q12463" s="318"/>
      <c r="R12463" s="318"/>
      <c r="S12463" s="318"/>
      <c r="T12463" s="318"/>
      <c r="U12463" s="318"/>
      <c r="V12463" s="318"/>
      <c r="W12463" s="318"/>
      <c r="X12463" s="318"/>
      <c r="Y12463" s="318"/>
      <c r="Z12463" s="318"/>
      <c r="AA12463" s="318"/>
      <c r="AB12463" s="318"/>
      <c r="AC12463" s="318"/>
      <c r="AD12463" s="318"/>
    </row>
    <row r="12464" spans="2:30" s="323" customFormat="1" ht="12" customHeight="1">
      <c r="B12464" s="324"/>
      <c r="C12464" s="325"/>
      <c r="D12464" s="326"/>
      <c r="E12464" s="326"/>
      <c r="F12464" s="326"/>
      <c r="G12464" s="326"/>
      <c r="H12464" s="326"/>
      <c r="P12464" s="318"/>
      <c r="Q12464" s="318"/>
      <c r="R12464" s="318"/>
      <c r="S12464" s="318"/>
      <c r="T12464" s="318"/>
      <c r="U12464" s="318"/>
      <c r="V12464" s="318"/>
      <c r="W12464" s="318"/>
      <c r="X12464" s="318"/>
      <c r="Y12464" s="318"/>
      <c r="Z12464" s="318"/>
      <c r="AA12464" s="318"/>
      <c r="AB12464" s="318"/>
      <c r="AC12464" s="318"/>
      <c r="AD12464" s="318"/>
    </row>
    <row r="12465" spans="2:30" s="323" customFormat="1" ht="12" customHeight="1">
      <c r="B12465" s="324"/>
      <c r="C12465" s="325"/>
      <c r="D12465" s="326"/>
      <c r="E12465" s="326"/>
      <c r="F12465" s="326"/>
      <c r="G12465" s="326"/>
      <c r="H12465" s="326"/>
      <c r="P12465" s="318"/>
      <c r="Q12465" s="318"/>
      <c r="R12465" s="318"/>
      <c r="S12465" s="318"/>
      <c r="T12465" s="318"/>
      <c r="U12465" s="318"/>
      <c r="V12465" s="318"/>
      <c r="W12465" s="318"/>
      <c r="X12465" s="318"/>
      <c r="Y12465" s="318"/>
      <c r="Z12465" s="318"/>
      <c r="AA12465" s="318"/>
      <c r="AB12465" s="318"/>
      <c r="AC12465" s="318"/>
      <c r="AD12465" s="318"/>
    </row>
    <row r="12466" spans="2:30" s="323" customFormat="1" ht="12" customHeight="1">
      <c r="B12466" s="324"/>
      <c r="C12466" s="325"/>
      <c r="D12466" s="326"/>
      <c r="E12466" s="326"/>
      <c r="F12466" s="326"/>
      <c r="G12466" s="326"/>
      <c r="H12466" s="326"/>
      <c r="P12466" s="318"/>
      <c r="Q12466" s="318"/>
      <c r="R12466" s="318"/>
      <c r="S12466" s="318"/>
      <c r="T12466" s="318"/>
      <c r="U12466" s="318"/>
      <c r="V12466" s="318"/>
      <c r="W12466" s="318"/>
      <c r="X12466" s="318"/>
      <c r="Y12466" s="318"/>
      <c r="Z12466" s="318"/>
      <c r="AA12466" s="318"/>
      <c r="AB12466" s="318"/>
      <c r="AC12466" s="318"/>
      <c r="AD12466" s="318"/>
    </row>
    <row r="12467" spans="2:30" s="323" customFormat="1" ht="12" customHeight="1">
      <c r="B12467" s="324"/>
      <c r="C12467" s="325"/>
      <c r="D12467" s="326"/>
      <c r="E12467" s="326"/>
      <c r="F12467" s="326"/>
      <c r="G12467" s="326"/>
      <c r="H12467" s="326"/>
      <c r="P12467" s="318"/>
      <c r="Q12467" s="318"/>
      <c r="R12467" s="318"/>
      <c r="S12467" s="318"/>
      <c r="T12467" s="318"/>
      <c r="U12467" s="318"/>
      <c r="V12467" s="318"/>
      <c r="W12467" s="318"/>
      <c r="X12467" s="318"/>
      <c r="Y12467" s="318"/>
      <c r="Z12467" s="318"/>
      <c r="AA12467" s="318"/>
      <c r="AB12467" s="318"/>
      <c r="AC12467" s="318"/>
      <c r="AD12467" s="318"/>
    </row>
    <row r="12468" spans="2:30" s="323" customFormat="1" ht="12" customHeight="1">
      <c r="B12468" s="324"/>
      <c r="C12468" s="325"/>
      <c r="D12468" s="326"/>
      <c r="E12468" s="326"/>
      <c r="F12468" s="326"/>
      <c r="G12468" s="326"/>
      <c r="H12468" s="326"/>
      <c r="P12468" s="318"/>
      <c r="Q12468" s="318"/>
      <c r="R12468" s="318"/>
      <c r="S12468" s="318"/>
      <c r="T12468" s="318"/>
      <c r="U12468" s="318"/>
      <c r="V12468" s="318"/>
      <c r="W12468" s="318"/>
      <c r="X12468" s="318"/>
      <c r="Y12468" s="318"/>
      <c r="Z12468" s="318"/>
      <c r="AA12468" s="318"/>
      <c r="AB12468" s="318"/>
      <c r="AC12468" s="318"/>
      <c r="AD12468" s="318"/>
    </row>
    <row r="12469" spans="2:30" s="323" customFormat="1" ht="12" customHeight="1">
      <c r="B12469" s="324"/>
      <c r="C12469" s="325"/>
      <c r="D12469" s="326"/>
      <c r="E12469" s="326"/>
      <c r="F12469" s="326"/>
      <c r="G12469" s="326"/>
      <c r="H12469" s="326"/>
      <c r="P12469" s="318"/>
      <c r="Q12469" s="318"/>
      <c r="R12469" s="318"/>
      <c r="S12469" s="318"/>
      <c r="T12469" s="318"/>
      <c r="U12469" s="318"/>
      <c r="V12469" s="318"/>
      <c r="W12469" s="318"/>
      <c r="X12469" s="318"/>
      <c r="Y12469" s="318"/>
      <c r="Z12469" s="318"/>
      <c r="AA12469" s="318"/>
      <c r="AB12469" s="318"/>
      <c r="AC12469" s="318"/>
      <c r="AD12469" s="318"/>
    </row>
    <row r="12470" spans="2:30" s="323" customFormat="1" ht="12" customHeight="1">
      <c r="B12470" s="324"/>
      <c r="C12470" s="325"/>
      <c r="D12470" s="326"/>
      <c r="E12470" s="326"/>
      <c r="F12470" s="326"/>
      <c r="G12470" s="326"/>
      <c r="H12470" s="326"/>
      <c r="P12470" s="318"/>
      <c r="Q12470" s="318"/>
      <c r="R12470" s="318"/>
      <c r="S12470" s="318"/>
      <c r="T12470" s="318"/>
      <c r="U12470" s="318"/>
      <c r="V12470" s="318"/>
      <c r="W12470" s="318"/>
      <c r="X12470" s="318"/>
      <c r="Y12470" s="318"/>
      <c r="Z12470" s="318"/>
      <c r="AA12470" s="318"/>
      <c r="AB12470" s="318"/>
      <c r="AC12470" s="318"/>
      <c r="AD12470" s="318"/>
    </row>
    <row r="12471" spans="2:30" s="323" customFormat="1" ht="12" customHeight="1">
      <c r="B12471" s="324"/>
      <c r="C12471" s="325"/>
      <c r="D12471" s="326"/>
      <c r="E12471" s="326"/>
      <c r="F12471" s="326"/>
      <c r="G12471" s="326"/>
      <c r="H12471" s="326"/>
      <c r="P12471" s="318"/>
      <c r="Q12471" s="318"/>
      <c r="R12471" s="318"/>
      <c r="S12471" s="318"/>
      <c r="T12471" s="318"/>
      <c r="U12471" s="318"/>
      <c r="V12471" s="318"/>
      <c r="W12471" s="318"/>
      <c r="X12471" s="318"/>
      <c r="Y12471" s="318"/>
      <c r="Z12471" s="318"/>
      <c r="AA12471" s="318"/>
      <c r="AB12471" s="318"/>
      <c r="AC12471" s="318"/>
      <c r="AD12471" s="318"/>
    </row>
    <row r="12472" spans="2:30" s="323" customFormat="1" ht="12" customHeight="1">
      <c r="B12472" s="324"/>
      <c r="C12472" s="325"/>
      <c r="D12472" s="326"/>
      <c r="E12472" s="326"/>
      <c r="F12472" s="326"/>
      <c r="G12472" s="326"/>
      <c r="H12472" s="326"/>
      <c r="P12472" s="318"/>
      <c r="Q12472" s="318"/>
      <c r="R12472" s="318"/>
      <c r="S12472" s="318"/>
      <c r="T12472" s="318"/>
      <c r="U12472" s="318"/>
      <c r="V12472" s="318"/>
      <c r="W12472" s="318"/>
      <c r="X12472" s="318"/>
      <c r="Y12472" s="318"/>
      <c r="Z12472" s="318"/>
      <c r="AA12472" s="318"/>
      <c r="AB12472" s="318"/>
      <c r="AC12472" s="318"/>
      <c r="AD12472" s="318"/>
    </row>
    <row r="12473" spans="2:30" s="323" customFormat="1" ht="12" customHeight="1">
      <c r="B12473" s="324"/>
      <c r="C12473" s="325"/>
      <c r="D12473" s="326"/>
      <c r="E12473" s="326"/>
      <c r="F12473" s="326"/>
      <c r="G12473" s="326"/>
      <c r="H12473" s="326"/>
      <c r="P12473" s="318"/>
      <c r="Q12473" s="318"/>
      <c r="R12473" s="318"/>
      <c r="S12473" s="318"/>
      <c r="T12473" s="318"/>
      <c r="U12473" s="318"/>
      <c r="V12473" s="318"/>
      <c r="W12473" s="318"/>
      <c r="X12473" s="318"/>
      <c r="Y12473" s="318"/>
      <c r="Z12473" s="318"/>
      <c r="AA12473" s="318"/>
      <c r="AB12473" s="318"/>
      <c r="AC12473" s="318"/>
      <c r="AD12473" s="318"/>
    </row>
    <row r="12474" spans="2:30" s="323" customFormat="1" ht="12" customHeight="1">
      <c r="B12474" s="324"/>
      <c r="C12474" s="325"/>
      <c r="D12474" s="326"/>
      <c r="E12474" s="326"/>
      <c r="F12474" s="326"/>
      <c r="G12474" s="326"/>
      <c r="H12474" s="326"/>
      <c r="P12474" s="318"/>
      <c r="Q12474" s="318"/>
      <c r="R12474" s="318"/>
      <c r="S12474" s="318"/>
      <c r="T12474" s="318"/>
      <c r="U12474" s="318"/>
      <c r="V12474" s="318"/>
      <c r="W12474" s="318"/>
      <c r="X12474" s="318"/>
      <c r="Y12474" s="318"/>
      <c r="Z12474" s="318"/>
      <c r="AA12474" s="318"/>
      <c r="AB12474" s="318"/>
      <c r="AC12474" s="318"/>
      <c r="AD12474" s="318"/>
    </row>
    <row r="12475" spans="2:30" s="323" customFormat="1" ht="12" customHeight="1">
      <c r="B12475" s="324"/>
      <c r="C12475" s="325"/>
      <c r="D12475" s="326"/>
      <c r="E12475" s="326"/>
      <c r="F12475" s="326"/>
      <c r="G12475" s="326"/>
      <c r="H12475" s="326"/>
      <c r="P12475" s="318"/>
      <c r="Q12475" s="318"/>
      <c r="R12475" s="318"/>
      <c r="S12475" s="318"/>
      <c r="T12475" s="318"/>
      <c r="U12475" s="318"/>
      <c r="V12475" s="318"/>
      <c r="W12475" s="318"/>
      <c r="X12475" s="318"/>
      <c r="Y12475" s="318"/>
      <c r="Z12475" s="318"/>
      <c r="AA12475" s="318"/>
      <c r="AB12475" s="318"/>
      <c r="AC12475" s="318"/>
      <c r="AD12475" s="318"/>
    </row>
    <row r="12476" spans="2:30" s="323" customFormat="1" ht="12" customHeight="1">
      <c r="B12476" s="324"/>
      <c r="C12476" s="325"/>
      <c r="D12476" s="326"/>
      <c r="E12476" s="326"/>
      <c r="F12476" s="326"/>
      <c r="G12476" s="326"/>
      <c r="H12476" s="326"/>
      <c r="P12476" s="318"/>
      <c r="Q12476" s="318"/>
      <c r="R12476" s="318"/>
      <c r="S12476" s="318"/>
      <c r="T12476" s="318"/>
      <c r="U12476" s="318"/>
      <c r="V12476" s="318"/>
      <c r="W12476" s="318"/>
      <c r="X12476" s="318"/>
      <c r="Y12476" s="318"/>
      <c r="Z12476" s="318"/>
      <c r="AA12476" s="318"/>
      <c r="AB12476" s="318"/>
      <c r="AC12476" s="318"/>
      <c r="AD12476" s="318"/>
    </row>
    <row r="12477" spans="2:30" s="323" customFormat="1" ht="12" customHeight="1">
      <c r="B12477" s="324"/>
      <c r="C12477" s="325"/>
      <c r="D12477" s="326"/>
      <c r="E12477" s="326"/>
      <c r="F12477" s="326"/>
      <c r="G12477" s="326"/>
      <c r="H12477" s="326"/>
      <c r="P12477" s="318"/>
      <c r="Q12477" s="318"/>
      <c r="R12477" s="318"/>
      <c r="S12477" s="318"/>
      <c r="T12477" s="318"/>
      <c r="U12477" s="318"/>
      <c r="V12477" s="318"/>
      <c r="W12477" s="318"/>
      <c r="X12477" s="318"/>
      <c r="Y12477" s="318"/>
      <c r="Z12477" s="318"/>
      <c r="AA12477" s="318"/>
      <c r="AB12477" s="318"/>
      <c r="AC12477" s="318"/>
      <c r="AD12477" s="318"/>
    </row>
    <row r="12478" spans="2:30" s="323" customFormat="1" ht="12" customHeight="1">
      <c r="B12478" s="324"/>
      <c r="C12478" s="325"/>
      <c r="D12478" s="326"/>
      <c r="E12478" s="326"/>
      <c r="F12478" s="326"/>
      <c r="G12478" s="326"/>
      <c r="H12478" s="326"/>
      <c r="P12478" s="318"/>
      <c r="Q12478" s="318"/>
      <c r="R12478" s="318"/>
      <c r="S12478" s="318"/>
      <c r="T12478" s="318"/>
      <c r="U12478" s="318"/>
      <c r="V12478" s="318"/>
      <c r="W12478" s="318"/>
      <c r="X12478" s="318"/>
      <c r="Y12478" s="318"/>
      <c r="Z12478" s="318"/>
      <c r="AA12478" s="318"/>
      <c r="AB12478" s="318"/>
      <c r="AC12478" s="318"/>
      <c r="AD12478" s="318"/>
    </row>
    <row r="12479" spans="2:30" s="323" customFormat="1" ht="12" customHeight="1">
      <c r="B12479" s="324"/>
      <c r="C12479" s="325"/>
      <c r="D12479" s="326"/>
      <c r="E12479" s="326"/>
      <c r="F12479" s="326"/>
      <c r="G12479" s="326"/>
      <c r="H12479" s="326"/>
      <c r="P12479" s="318"/>
      <c r="Q12479" s="318"/>
      <c r="R12479" s="318"/>
      <c r="S12479" s="318"/>
      <c r="T12479" s="318"/>
      <c r="U12479" s="318"/>
      <c r="V12479" s="318"/>
      <c r="W12479" s="318"/>
      <c r="X12479" s="318"/>
      <c r="Y12479" s="318"/>
      <c r="Z12479" s="318"/>
      <c r="AA12479" s="318"/>
      <c r="AB12479" s="318"/>
      <c r="AC12479" s="318"/>
      <c r="AD12479" s="318"/>
    </row>
    <row r="12480" spans="2:30" s="323" customFormat="1" ht="12" customHeight="1">
      <c r="B12480" s="324"/>
      <c r="C12480" s="325"/>
      <c r="D12480" s="326"/>
      <c r="E12480" s="326"/>
      <c r="F12480" s="326"/>
      <c r="G12480" s="326"/>
      <c r="H12480" s="326"/>
      <c r="P12480" s="318"/>
      <c r="Q12480" s="318"/>
      <c r="R12480" s="318"/>
      <c r="S12480" s="318"/>
      <c r="T12480" s="318"/>
      <c r="U12480" s="318"/>
      <c r="V12480" s="318"/>
      <c r="W12480" s="318"/>
      <c r="X12480" s="318"/>
      <c r="Y12480" s="318"/>
      <c r="Z12480" s="318"/>
      <c r="AA12480" s="318"/>
      <c r="AB12480" s="318"/>
      <c r="AC12480" s="318"/>
      <c r="AD12480" s="318"/>
    </row>
    <row r="12481" spans="2:30" s="323" customFormat="1" ht="12" customHeight="1">
      <c r="B12481" s="324"/>
      <c r="C12481" s="325"/>
      <c r="D12481" s="326"/>
      <c r="E12481" s="326"/>
      <c r="F12481" s="326"/>
      <c r="G12481" s="326"/>
      <c r="H12481" s="326"/>
      <c r="P12481" s="318"/>
      <c r="Q12481" s="318"/>
      <c r="R12481" s="318"/>
      <c r="S12481" s="318"/>
      <c r="T12481" s="318"/>
      <c r="U12481" s="318"/>
      <c r="V12481" s="318"/>
      <c r="W12481" s="318"/>
      <c r="X12481" s="318"/>
      <c r="Y12481" s="318"/>
      <c r="Z12481" s="318"/>
      <c r="AA12481" s="318"/>
      <c r="AB12481" s="318"/>
      <c r="AC12481" s="318"/>
      <c r="AD12481" s="318"/>
    </row>
    <row r="12482" spans="2:30" s="323" customFormat="1" ht="12" customHeight="1">
      <c r="B12482" s="324"/>
      <c r="C12482" s="325"/>
      <c r="D12482" s="326"/>
      <c r="E12482" s="326"/>
      <c r="F12482" s="326"/>
      <c r="G12482" s="326"/>
      <c r="H12482" s="326"/>
      <c r="P12482" s="318"/>
      <c r="Q12482" s="318"/>
      <c r="R12482" s="318"/>
      <c r="S12482" s="318"/>
      <c r="T12482" s="318"/>
      <c r="U12482" s="318"/>
      <c r="V12482" s="318"/>
      <c r="W12482" s="318"/>
      <c r="X12482" s="318"/>
      <c r="Y12482" s="318"/>
      <c r="Z12482" s="318"/>
      <c r="AA12482" s="318"/>
      <c r="AB12482" s="318"/>
      <c r="AC12482" s="318"/>
      <c r="AD12482" s="318"/>
    </row>
    <row r="12483" spans="2:30" s="323" customFormat="1" ht="12" customHeight="1">
      <c r="B12483" s="324"/>
      <c r="C12483" s="325"/>
      <c r="D12483" s="326"/>
      <c r="E12483" s="326"/>
      <c r="F12483" s="326"/>
      <c r="G12483" s="326"/>
      <c r="H12483" s="326"/>
      <c r="P12483" s="318"/>
      <c r="Q12483" s="318"/>
      <c r="R12483" s="318"/>
      <c r="S12483" s="318"/>
      <c r="T12483" s="318"/>
      <c r="U12483" s="318"/>
      <c r="V12483" s="318"/>
      <c r="W12483" s="318"/>
      <c r="X12483" s="318"/>
      <c r="Y12483" s="318"/>
      <c r="Z12483" s="318"/>
      <c r="AA12483" s="318"/>
      <c r="AB12483" s="318"/>
      <c r="AC12483" s="318"/>
      <c r="AD12483" s="318"/>
    </row>
    <row r="12484" spans="2:30" s="323" customFormat="1" ht="12" customHeight="1">
      <c r="B12484" s="324"/>
      <c r="C12484" s="325"/>
      <c r="D12484" s="326"/>
      <c r="E12484" s="326"/>
      <c r="F12484" s="326"/>
      <c r="G12484" s="326"/>
      <c r="H12484" s="326"/>
      <c r="P12484" s="318"/>
      <c r="Q12484" s="318"/>
      <c r="R12484" s="318"/>
      <c r="S12484" s="318"/>
      <c r="T12484" s="318"/>
      <c r="U12484" s="318"/>
      <c r="V12484" s="318"/>
      <c r="W12484" s="318"/>
      <c r="X12484" s="318"/>
      <c r="Y12484" s="318"/>
      <c r="Z12484" s="318"/>
      <c r="AA12484" s="318"/>
      <c r="AB12484" s="318"/>
      <c r="AC12484" s="318"/>
      <c r="AD12484" s="318"/>
    </row>
    <row r="12485" spans="2:30" s="323" customFormat="1" ht="12" customHeight="1">
      <c r="B12485" s="324"/>
      <c r="C12485" s="325"/>
      <c r="D12485" s="326"/>
      <c r="E12485" s="326"/>
      <c r="F12485" s="326"/>
      <c r="G12485" s="326"/>
      <c r="H12485" s="326"/>
      <c r="P12485" s="318"/>
      <c r="Q12485" s="318"/>
      <c r="R12485" s="318"/>
      <c r="S12485" s="318"/>
      <c r="T12485" s="318"/>
      <c r="U12485" s="318"/>
      <c r="V12485" s="318"/>
      <c r="W12485" s="318"/>
      <c r="X12485" s="318"/>
      <c r="Y12485" s="318"/>
      <c r="Z12485" s="318"/>
      <c r="AA12485" s="318"/>
      <c r="AB12485" s="318"/>
      <c r="AC12485" s="318"/>
      <c r="AD12485" s="318"/>
    </row>
    <row r="12486" spans="2:30" s="323" customFormat="1" ht="12" customHeight="1">
      <c r="B12486" s="324"/>
      <c r="C12486" s="325"/>
      <c r="D12486" s="326"/>
      <c r="E12486" s="326"/>
      <c r="F12486" s="326"/>
      <c r="G12486" s="326"/>
      <c r="H12486" s="326"/>
      <c r="P12486" s="318"/>
      <c r="Q12486" s="318"/>
      <c r="R12486" s="318"/>
      <c r="S12486" s="318"/>
      <c r="T12486" s="318"/>
      <c r="U12486" s="318"/>
      <c r="V12486" s="318"/>
      <c r="W12486" s="318"/>
      <c r="X12486" s="318"/>
      <c r="Y12486" s="318"/>
      <c r="Z12486" s="318"/>
      <c r="AA12486" s="318"/>
      <c r="AB12486" s="318"/>
      <c r="AC12486" s="318"/>
      <c r="AD12486" s="318"/>
    </row>
    <row r="12487" spans="2:30" s="323" customFormat="1" ht="12" customHeight="1">
      <c r="B12487" s="324"/>
      <c r="C12487" s="325"/>
      <c r="D12487" s="326"/>
      <c r="E12487" s="326"/>
      <c r="F12487" s="326"/>
      <c r="G12487" s="326"/>
      <c r="H12487" s="326"/>
      <c r="P12487" s="318"/>
      <c r="Q12487" s="318"/>
      <c r="R12487" s="318"/>
      <c r="S12487" s="318"/>
      <c r="T12487" s="318"/>
      <c r="U12487" s="318"/>
      <c r="V12487" s="318"/>
      <c r="W12487" s="318"/>
      <c r="X12487" s="318"/>
      <c r="Y12487" s="318"/>
      <c r="Z12487" s="318"/>
      <c r="AA12487" s="318"/>
      <c r="AB12487" s="318"/>
      <c r="AC12487" s="318"/>
      <c r="AD12487" s="318"/>
    </row>
    <row r="12488" spans="2:30" s="323" customFormat="1" ht="12" customHeight="1">
      <c r="B12488" s="324"/>
      <c r="C12488" s="325"/>
      <c r="D12488" s="326"/>
      <c r="E12488" s="326"/>
      <c r="F12488" s="326"/>
      <c r="G12488" s="326"/>
      <c r="H12488" s="326"/>
      <c r="P12488" s="318"/>
      <c r="Q12488" s="318"/>
      <c r="R12488" s="318"/>
      <c r="S12488" s="318"/>
      <c r="T12488" s="318"/>
      <c r="U12488" s="318"/>
      <c r="V12488" s="318"/>
      <c r="W12488" s="318"/>
      <c r="X12488" s="318"/>
      <c r="Y12488" s="318"/>
      <c r="Z12488" s="318"/>
      <c r="AA12488" s="318"/>
      <c r="AB12488" s="318"/>
      <c r="AC12488" s="318"/>
      <c r="AD12488" s="318"/>
    </row>
    <row r="12489" spans="2:30" s="323" customFormat="1" ht="12" customHeight="1">
      <c r="B12489" s="324"/>
      <c r="C12489" s="325"/>
      <c r="D12489" s="326"/>
      <c r="E12489" s="326"/>
      <c r="F12489" s="326"/>
      <c r="G12489" s="326"/>
      <c r="H12489" s="326"/>
      <c r="P12489" s="318"/>
      <c r="Q12489" s="318"/>
      <c r="R12489" s="318"/>
      <c r="S12489" s="318"/>
      <c r="T12489" s="318"/>
      <c r="U12489" s="318"/>
      <c r="V12489" s="318"/>
      <c r="W12489" s="318"/>
      <c r="X12489" s="318"/>
      <c r="Y12489" s="318"/>
      <c r="Z12489" s="318"/>
      <c r="AA12489" s="318"/>
      <c r="AB12489" s="318"/>
      <c r="AC12489" s="318"/>
      <c r="AD12489" s="318"/>
    </row>
    <row r="12490" spans="2:30" s="323" customFormat="1" ht="12" customHeight="1">
      <c r="B12490" s="324"/>
      <c r="C12490" s="325"/>
      <c r="D12490" s="326"/>
      <c r="E12490" s="326"/>
      <c r="F12490" s="326"/>
      <c r="G12490" s="326"/>
      <c r="H12490" s="326"/>
      <c r="P12490" s="318"/>
      <c r="Q12490" s="318"/>
      <c r="R12490" s="318"/>
      <c r="S12490" s="318"/>
      <c r="T12490" s="318"/>
      <c r="U12490" s="318"/>
      <c r="V12490" s="318"/>
      <c r="W12490" s="318"/>
      <c r="X12490" s="318"/>
      <c r="Y12490" s="318"/>
      <c r="Z12490" s="318"/>
      <c r="AA12490" s="318"/>
      <c r="AB12490" s="318"/>
      <c r="AC12490" s="318"/>
      <c r="AD12490" s="318"/>
    </row>
    <row r="12491" spans="2:30" s="323" customFormat="1" ht="12" customHeight="1">
      <c r="B12491" s="324"/>
      <c r="C12491" s="325"/>
      <c r="D12491" s="326"/>
      <c r="E12491" s="326"/>
      <c r="F12491" s="326"/>
      <c r="G12491" s="326"/>
      <c r="H12491" s="326"/>
      <c r="P12491" s="318"/>
      <c r="Q12491" s="318"/>
      <c r="R12491" s="318"/>
      <c r="S12491" s="318"/>
      <c r="T12491" s="318"/>
      <c r="U12491" s="318"/>
      <c r="V12491" s="318"/>
      <c r="W12491" s="318"/>
      <c r="X12491" s="318"/>
      <c r="Y12491" s="318"/>
      <c r="Z12491" s="318"/>
      <c r="AA12491" s="318"/>
      <c r="AB12491" s="318"/>
      <c r="AC12491" s="318"/>
      <c r="AD12491" s="318"/>
    </row>
    <row r="12492" spans="2:30" s="323" customFormat="1" ht="12" customHeight="1">
      <c r="B12492" s="324"/>
      <c r="C12492" s="325"/>
      <c r="D12492" s="326"/>
      <c r="E12492" s="326"/>
      <c r="F12492" s="326"/>
      <c r="G12492" s="326"/>
      <c r="H12492" s="326"/>
      <c r="P12492" s="318"/>
      <c r="Q12492" s="318"/>
      <c r="R12492" s="318"/>
      <c r="S12492" s="318"/>
      <c r="T12492" s="318"/>
      <c r="U12492" s="318"/>
      <c r="V12492" s="318"/>
      <c r="W12492" s="318"/>
      <c r="X12492" s="318"/>
      <c r="Y12492" s="318"/>
      <c r="Z12492" s="318"/>
      <c r="AA12492" s="318"/>
      <c r="AB12492" s="318"/>
      <c r="AC12492" s="318"/>
      <c r="AD12492" s="318"/>
    </row>
    <row r="12493" spans="2:30" s="323" customFormat="1" ht="12" customHeight="1">
      <c r="B12493" s="324"/>
      <c r="C12493" s="325"/>
      <c r="D12493" s="326"/>
      <c r="E12493" s="326"/>
      <c r="F12493" s="326"/>
      <c r="G12493" s="326"/>
      <c r="H12493" s="326"/>
      <c r="P12493" s="318"/>
      <c r="Q12493" s="318"/>
      <c r="R12493" s="318"/>
      <c r="S12493" s="318"/>
      <c r="T12493" s="318"/>
      <c r="U12493" s="318"/>
      <c r="V12493" s="318"/>
      <c r="W12493" s="318"/>
      <c r="X12493" s="318"/>
      <c r="Y12493" s="318"/>
      <c r="Z12493" s="318"/>
      <c r="AA12493" s="318"/>
      <c r="AB12493" s="318"/>
      <c r="AC12493" s="318"/>
      <c r="AD12493" s="318"/>
    </row>
    <row r="12494" spans="2:30" s="323" customFormat="1" ht="12" customHeight="1">
      <c r="B12494" s="324"/>
      <c r="C12494" s="325"/>
      <c r="D12494" s="326"/>
      <c r="E12494" s="326"/>
      <c r="F12494" s="326"/>
      <c r="G12494" s="326"/>
      <c r="H12494" s="326"/>
      <c r="P12494" s="318"/>
      <c r="Q12494" s="318"/>
      <c r="R12494" s="318"/>
      <c r="S12494" s="318"/>
      <c r="T12494" s="318"/>
      <c r="U12494" s="318"/>
      <c r="V12494" s="318"/>
      <c r="W12494" s="318"/>
      <c r="X12494" s="318"/>
      <c r="Y12494" s="318"/>
      <c r="Z12494" s="318"/>
      <c r="AA12494" s="318"/>
      <c r="AB12494" s="318"/>
      <c r="AC12494" s="318"/>
      <c r="AD12494" s="318"/>
    </row>
    <row r="12495" spans="2:30" s="323" customFormat="1" ht="12" customHeight="1">
      <c r="B12495" s="324"/>
      <c r="C12495" s="325"/>
      <c r="D12495" s="326"/>
      <c r="E12495" s="326"/>
      <c r="F12495" s="326"/>
      <c r="G12495" s="326"/>
      <c r="H12495" s="326"/>
      <c r="P12495" s="318"/>
      <c r="Q12495" s="318"/>
      <c r="R12495" s="318"/>
      <c r="S12495" s="318"/>
      <c r="T12495" s="318"/>
      <c r="U12495" s="318"/>
      <c r="V12495" s="318"/>
      <c r="W12495" s="318"/>
      <c r="X12495" s="318"/>
      <c r="Y12495" s="318"/>
      <c r="Z12495" s="318"/>
      <c r="AA12495" s="318"/>
      <c r="AB12495" s="318"/>
      <c r="AC12495" s="318"/>
      <c r="AD12495" s="318"/>
    </row>
    <row r="12496" spans="2:30" s="323" customFormat="1" ht="12" customHeight="1">
      <c r="B12496" s="324"/>
      <c r="C12496" s="325"/>
      <c r="D12496" s="326"/>
      <c r="E12496" s="326"/>
      <c r="F12496" s="326"/>
      <c r="G12496" s="326"/>
      <c r="H12496" s="326"/>
      <c r="P12496" s="318"/>
      <c r="Q12496" s="318"/>
      <c r="R12496" s="318"/>
      <c r="S12496" s="318"/>
      <c r="T12496" s="318"/>
      <c r="U12496" s="318"/>
      <c r="V12496" s="318"/>
      <c r="W12496" s="318"/>
      <c r="X12496" s="318"/>
      <c r="Y12496" s="318"/>
      <c r="Z12496" s="318"/>
      <c r="AA12496" s="318"/>
      <c r="AB12496" s="318"/>
      <c r="AC12496" s="318"/>
      <c r="AD12496" s="318"/>
    </row>
    <row r="12497" spans="2:30" s="323" customFormat="1" ht="12" customHeight="1">
      <c r="B12497" s="324"/>
      <c r="C12497" s="325"/>
      <c r="D12497" s="326"/>
      <c r="E12497" s="326"/>
      <c r="F12497" s="326"/>
      <c r="G12497" s="326"/>
      <c r="H12497" s="326"/>
      <c r="P12497" s="318"/>
      <c r="Q12497" s="318"/>
      <c r="R12497" s="318"/>
      <c r="S12497" s="318"/>
      <c r="T12497" s="318"/>
      <c r="U12497" s="318"/>
      <c r="V12497" s="318"/>
      <c r="W12497" s="318"/>
      <c r="X12497" s="318"/>
      <c r="Y12497" s="318"/>
      <c r="Z12497" s="318"/>
      <c r="AA12497" s="318"/>
      <c r="AB12497" s="318"/>
      <c r="AC12497" s="318"/>
      <c r="AD12497" s="318"/>
    </row>
    <row r="12498" spans="2:30" s="323" customFormat="1" ht="12" customHeight="1">
      <c r="B12498" s="324"/>
      <c r="C12498" s="325"/>
      <c r="D12498" s="326"/>
      <c r="E12498" s="326"/>
      <c r="F12498" s="326"/>
      <c r="G12498" s="326"/>
      <c r="H12498" s="326"/>
      <c r="P12498" s="318"/>
      <c r="Q12498" s="318"/>
      <c r="R12498" s="318"/>
      <c r="S12498" s="318"/>
      <c r="T12498" s="318"/>
      <c r="U12498" s="318"/>
      <c r="V12498" s="318"/>
      <c r="W12498" s="318"/>
      <c r="X12498" s="318"/>
      <c r="Y12498" s="318"/>
      <c r="Z12498" s="318"/>
      <c r="AA12498" s="318"/>
      <c r="AB12498" s="318"/>
      <c r="AC12498" s="318"/>
      <c r="AD12498" s="318"/>
    </row>
    <row r="12499" spans="2:30" s="323" customFormat="1" ht="12" customHeight="1">
      <c r="B12499" s="324"/>
      <c r="C12499" s="325"/>
      <c r="D12499" s="326"/>
      <c r="E12499" s="326"/>
      <c r="F12499" s="326"/>
      <c r="G12499" s="326"/>
      <c r="H12499" s="326"/>
      <c r="P12499" s="318"/>
      <c r="Q12499" s="318"/>
      <c r="R12499" s="318"/>
      <c r="S12499" s="318"/>
      <c r="T12499" s="318"/>
      <c r="U12499" s="318"/>
      <c r="V12499" s="318"/>
      <c r="W12499" s="318"/>
      <c r="X12499" s="318"/>
      <c r="Y12499" s="318"/>
      <c r="Z12499" s="318"/>
      <c r="AA12499" s="318"/>
      <c r="AB12499" s="318"/>
      <c r="AC12499" s="318"/>
      <c r="AD12499" s="318"/>
    </row>
    <row r="12500" spans="2:30" s="323" customFormat="1" ht="12" customHeight="1">
      <c r="B12500" s="324"/>
      <c r="C12500" s="325"/>
      <c r="D12500" s="326"/>
      <c r="E12500" s="326"/>
      <c r="F12500" s="326"/>
      <c r="G12500" s="326"/>
      <c r="H12500" s="326"/>
      <c r="P12500" s="318"/>
      <c r="Q12500" s="318"/>
      <c r="R12500" s="318"/>
      <c r="S12500" s="318"/>
      <c r="T12500" s="318"/>
      <c r="U12500" s="318"/>
      <c r="V12500" s="318"/>
      <c r="W12500" s="318"/>
      <c r="X12500" s="318"/>
      <c r="Y12500" s="318"/>
      <c r="Z12500" s="318"/>
      <c r="AA12500" s="318"/>
      <c r="AB12500" s="318"/>
      <c r="AC12500" s="318"/>
      <c r="AD12500" s="318"/>
    </row>
    <row r="12501" spans="2:30" s="323" customFormat="1" ht="12" customHeight="1">
      <c r="B12501" s="324"/>
      <c r="C12501" s="325"/>
      <c r="D12501" s="326"/>
      <c r="E12501" s="326"/>
      <c r="F12501" s="326"/>
      <c r="G12501" s="326"/>
      <c r="H12501" s="326"/>
      <c r="P12501" s="318"/>
      <c r="Q12501" s="318"/>
      <c r="R12501" s="318"/>
      <c r="S12501" s="318"/>
      <c r="T12501" s="318"/>
      <c r="U12501" s="318"/>
      <c r="V12501" s="318"/>
      <c r="W12501" s="318"/>
      <c r="X12501" s="318"/>
      <c r="Y12501" s="318"/>
      <c r="Z12501" s="318"/>
      <c r="AA12501" s="318"/>
      <c r="AB12501" s="318"/>
      <c r="AC12501" s="318"/>
      <c r="AD12501" s="318"/>
    </row>
    <row r="12502" spans="2:30" s="323" customFormat="1" ht="12" customHeight="1">
      <c r="B12502" s="324"/>
      <c r="C12502" s="325"/>
      <c r="D12502" s="326"/>
      <c r="E12502" s="326"/>
      <c r="F12502" s="326"/>
      <c r="G12502" s="326"/>
      <c r="H12502" s="326"/>
      <c r="P12502" s="318"/>
      <c r="Q12502" s="318"/>
      <c r="R12502" s="318"/>
      <c r="S12502" s="318"/>
      <c r="T12502" s="318"/>
      <c r="U12502" s="318"/>
      <c r="V12502" s="318"/>
      <c r="W12502" s="318"/>
      <c r="X12502" s="318"/>
      <c r="Y12502" s="318"/>
      <c r="Z12502" s="318"/>
      <c r="AA12502" s="318"/>
      <c r="AB12502" s="318"/>
      <c r="AC12502" s="318"/>
      <c r="AD12502" s="318"/>
    </row>
    <row r="12503" spans="2:30" s="323" customFormat="1" ht="12" customHeight="1">
      <c r="B12503" s="324"/>
      <c r="C12503" s="325"/>
      <c r="D12503" s="326"/>
      <c r="E12503" s="326"/>
      <c r="F12503" s="326"/>
      <c r="G12503" s="326"/>
      <c r="H12503" s="326"/>
      <c r="P12503" s="318"/>
      <c r="Q12503" s="318"/>
      <c r="R12503" s="318"/>
      <c r="S12503" s="318"/>
      <c r="T12503" s="318"/>
      <c r="U12503" s="318"/>
      <c r="V12503" s="318"/>
      <c r="W12503" s="318"/>
      <c r="X12503" s="318"/>
      <c r="Y12503" s="318"/>
      <c r="Z12503" s="318"/>
      <c r="AA12503" s="318"/>
      <c r="AB12503" s="318"/>
      <c r="AC12503" s="318"/>
      <c r="AD12503" s="318"/>
    </row>
    <row r="12504" spans="2:30" s="323" customFormat="1" ht="12" customHeight="1">
      <c r="B12504" s="324"/>
      <c r="C12504" s="325"/>
      <c r="D12504" s="326"/>
      <c r="E12504" s="326"/>
      <c r="F12504" s="326"/>
      <c r="G12504" s="326"/>
      <c r="H12504" s="326"/>
      <c r="P12504" s="318"/>
      <c r="Q12504" s="318"/>
      <c r="R12504" s="318"/>
      <c r="S12504" s="318"/>
      <c r="T12504" s="318"/>
      <c r="U12504" s="318"/>
      <c r="V12504" s="318"/>
      <c r="W12504" s="318"/>
      <c r="X12504" s="318"/>
      <c r="Y12504" s="318"/>
      <c r="Z12504" s="318"/>
      <c r="AA12504" s="318"/>
      <c r="AB12504" s="318"/>
      <c r="AC12504" s="318"/>
      <c r="AD12504" s="318"/>
    </row>
    <row r="12505" spans="2:30" s="323" customFormat="1" ht="12" customHeight="1">
      <c r="B12505" s="324"/>
      <c r="C12505" s="325"/>
      <c r="D12505" s="326"/>
      <c r="E12505" s="326"/>
      <c r="F12505" s="326"/>
      <c r="G12505" s="326"/>
      <c r="H12505" s="326"/>
      <c r="P12505" s="318"/>
      <c r="Q12505" s="318"/>
      <c r="R12505" s="318"/>
      <c r="S12505" s="318"/>
      <c r="T12505" s="318"/>
      <c r="U12505" s="318"/>
      <c r="V12505" s="318"/>
      <c r="W12505" s="318"/>
      <c r="X12505" s="318"/>
      <c r="Y12505" s="318"/>
      <c r="Z12505" s="318"/>
      <c r="AA12505" s="318"/>
      <c r="AB12505" s="318"/>
      <c r="AC12505" s="318"/>
      <c r="AD12505" s="318"/>
    </row>
    <row r="12506" spans="2:30" s="323" customFormat="1" ht="12" customHeight="1">
      <c r="B12506" s="324"/>
      <c r="C12506" s="325"/>
      <c r="D12506" s="326"/>
      <c r="E12506" s="326"/>
      <c r="F12506" s="326"/>
      <c r="G12506" s="326"/>
      <c r="H12506" s="326"/>
      <c r="P12506" s="318"/>
      <c r="Q12506" s="318"/>
      <c r="R12506" s="318"/>
      <c r="S12506" s="318"/>
      <c r="T12506" s="318"/>
      <c r="U12506" s="318"/>
      <c r="V12506" s="318"/>
      <c r="W12506" s="318"/>
      <c r="X12506" s="318"/>
      <c r="Y12506" s="318"/>
      <c r="Z12506" s="318"/>
      <c r="AA12506" s="318"/>
      <c r="AB12506" s="318"/>
      <c r="AC12506" s="318"/>
      <c r="AD12506" s="318"/>
    </row>
    <row r="12507" spans="2:30" s="323" customFormat="1" ht="12" customHeight="1">
      <c r="B12507" s="324"/>
      <c r="C12507" s="325"/>
      <c r="D12507" s="326"/>
      <c r="E12507" s="326"/>
      <c r="F12507" s="326"/>
      <c r="G12507" s="326"/>
      <c r="H12507" s="326"/>
      <c r="P12507" s="318"/>
      <c r="Q12507" s="318"/>
      <c r="R12507" s="318"/>
      <c r="S12507" s="318"/>
      <c r="T12507" s="318"/>
      <c r="U12507" s="318"/>
      <c r="V12507" s="318"/>
      <c r="W12507" s="318"/>
      <c r="X12507" s="318"/>
      <c r="Y12507" s="318"/>
      <c r="Z12507" s="318"/>
      <c r="AA12507" s="318"/>
      <c r="AB12507" s="318"/>
      <c r="AC12507" s="318"/>
      <c r="AD12507" s="318"/>
    </row>
    <row r="12508" spans="2:30" s="323" customFormat="1" ht="12" customHeight="1">
      <c r="B12508" s="324"/>
      <c r="C12508" s="325"/>
      <c r="D12508" s="326"/>
      <c r="E12508" s="326"/>
      <c r="F12508" s="326"/>
      <c r="G12508" s="326"/>
      <c r="H12508" s="326"/>
      <c r="P12508" s="318"/>
      <c r="Q12508" s="318"/>
      <c r="R12508" s="318"/>
      <c r="S12508" s="318"/>
      <c r="T12508" s="318"/>
      <c r="U12508" s="318"/>
      <c r="V12508" s="318"/>
      <c r="W12508" s="318"/>
      <c r="X12508" s="318"/>
      <c r="Y12508" s="318"/>
      <c r="Z12508" s="318"/>
      <c r="AA12508" s="318"/>
      <c r="AB12508" s="318"/>
      <c r="AC12508" s="318"/>
      <c r="AD12508" s="318"/>
    </row>
    <row r="12509" spans="2:30" s="323" customFormat="1" ht="12" customHeight="1">
      <c r="B12509" s="324"/>
      <c r="C12509" s="325"/>
      <c r="D12509" s="326"/>
      <c r="E12509" s="326"/>
      <c r="F12509" s="326"/>
      <c r="G12509" s="326"/>
      <c r="H12509" s="326"/>
      <c r="P12509" s="318"/>
      <c r="Q12509" s="318"/>
      <c r="R12509" s="318"/>
      <c r="S12509" s="318"/>
      <c r="T12509" s="318"/>
      <c r="U12509" s="318"/>
      <c r="V12509" s="318"/>
      <c r="W12509" s="318"/>
      <c r="X12509" s="318"/>
      <c r="Y12509" s="318"/>
      <c r="Z12509" s="318"/>
      <c r="AA12509" s="318"/>
      <c r="AB12509" s="318"/>
      <c r="AC12509" s="318"/>
      <c r="AD12509" s="318"/>
    </row>
    <row r="12510" spans="2:30" s="323" customFormat="1" ht="12" customHeight="1">
      <c r="B12510" s="324"/>
      <c r="C12510" s="325"/>
      <c r="D12510" s="326"/>
      <c r="E12510" s="326"/>
      <c r="F12510" s="326"/>
      <c r="G12510" s="326"/>
      <c r="H12510" s="326"/>
      <c r="P12510" s="318"/>
      <c r="Q12510" s="318"/>
      <c r="R12510" s="318"/>
      <c r="S12510" s="318"/>
      <c r="T12510" s="318"/>
      <c r="U12510" s="318"/>
      <c r="V12510" s="318"/>
      <c r="W12510" s="318"/>
      <c r="X12510" s="318"/>
      <c r="Y12510" s="318"/>
      <c r="Z12510" s="318"/>
      <c r="AA12510" s="318"/>
      <c r="AB12510" s="318"/>
      <c r="AC12510" s="318"/>
      <c r="AD12510" s="318"/>
    </row>
    <row r="12511" spans="2:30" s="323" customFormat="1" ht="12" customHeight="1">
      <c r="B12511" s="324"/>
      <c r="C12511" s="325"/>
      <c r="D12511" s="326"/>
      <c r="E12511" s="326"/>
      <c r="F12511" s="326"/>
      <c r="G12511" s="326"/>
      <c r="H12511" s="326"/>
      <c r="P12511" s="318"/>
      <c r="Q12511" s="318"/>
      <c r="R12511" s="318"/>
      <c r="S12511" s="318"/>
      <c r="T12511" s="318"/>
      <c r="U12511" s="318"/>
      <c r="V12511" s="318"/>
      <c r="W12511" s="318"/>
      <c r="X12511" s="318"/>
      <c r="Y12511" s="318"/>
      <c r="Z12511" s="318"/>
      <c r="AA12511" s="318"/>
      <c r="AB12511" s="318"/>
      <c r="AC12511" s="318"/>
      <c r="AD12511" s="318"/>
    </row>
    <row r="12512" spans="2:30" s="323" customFormat="1" ht="12" customHeight="1">
      <c r="B12512" s="324"/>
      <c r="C12512" s="325"/>
      <c r="D12512" s="326"/>
      <c r="E12512" s="326"/>
      <c r="F12512" s="326"/>
      <c r="G12512" s="326"/>
      <c r="H12512" s="326"/>
      <c r="P12512" s="318"/>
      <c r="Q12512" s="318"/>
      <c r="R12512" s="318"/>
      <c r="S12512" s="318"/>
      <c r="T12512" s="318"/>
      <c r="U12512" s="318"/>
      <c r="V12512" s="318"/>
      <c r="W12512" s="318"/>
      <c r="X12512" s="318"/>
      <c r="Y12512" s="318"/>
      <c r="Z12512" s="318"/>
      <c r="AA12512" s="318"/>
      <c r="AB12512" s="318"/>
      <c r="AC12512" s="318"/>
      <c r="AD12512" s="318"/>
    </row>
    <row r="12513" spans="2:30" s="323" customFormat="1" ht="12" customHeight="1">
      <c r="B12513" s="324"/>
      <c r="C12513" s="325"/>
      <c r="D12513" s="326"/>
      <c r="E12513" s="326"/>
      <c r="F12513" s="326"/>
      <c r="G12513" s="326"/>
      <c r="H12513" s="326"/>
      <c r="P12513" s="318"/>
      <c r="Q12513" s="318"/>
      <c r="R12513" s="318"/>
      <c r="S12513" s="318"/>
      <c r="T12513" s="318"/>
      <c r="U12513" s="318"/>
      <c r="V12513" s="318"/>
      <c r="W12513" s="318"/>
      <c r="X12513" s="318"/>
      <c r="Y12513" s="318"/>
      <c r="Z12513" s="318"/>
      <c r="AA12513" s="318"/>
      <c r="AB12513" s="318"/>
      <c r="AC12513" s="318"/>
      <c r="AD12513" s="318"/>
    </row>
    <row r="12514" spans="2:30" s="323" customFormat="1" ht="12" customHeight="1">
      <c r="B12514" s="324"/>
      <c r="C12514" s="325"/>
      <c r="D12514" s="326"/>
      <c r="E12514" s="326"/>
      <c r="F12514" s="326"/>
      <c r="G12514" s="326"/>
      <c r="H12514" s="326"/>
      <c r="P12514" s="318"/>
      <c r="Q12514" s="318"/>
      <c r="R12514" s="318"/>
      <c r="S12514" s="318"/>
      <c r="T12514" s="318"/>
      <c r="U12514" s="318"/>
      <c r="V12514" s="318"/>
      <c r="W12514" s="318"/>
      <c r="X12514" s="318"/>
      <c r="Y12514" s="318"/>
      <c r="Z12514" s="318"/>
      <c r="AA12514" s="318"/>
      <c r="AB12514" s="318"/>
      <c r="AC12514" s="318"/>
      <c r="AD12514" s="318"/>
    </row>
    <row r="12515" spans="2:30" s="323" customFormat="1" ht="12" customHeight="1">
      <c r="B12515" s="324"/>
      <c r="C12515" s="325"/>
      <c r="D12515" s="326"/>
      <c r="E12515" s="326"/>
      <c r="F12515" s="326"/>
      <c r="G12515" s="326"/>
      <c r="H12515" s="326"/>
      <c r="P12515" s="318"/>
      <c r="Q12515" s="318"/>
      <c r="R12515" s="318"/>
      <c r="S12515" s="318"/>
      <c r="T12515" s="318"/>
      <c r="U12515" s="318"/>
      <c r="V12515" s="318"/>
      <c r="W12515" s="318"/>
      <c r="X12515" s="318"/>
      <c r="Y12515" s="318"/>
      <c r="Z12515" s="318"/>
      <c r="AA12515" s="318"/>
      <c r="AB12515" s="318"/>
      <c r="AC12515" s="318"/>
      <c r="AD12515" s="318"/>
    </row>
    <row r="12516" spans="2:30" s="323" customFormat="1" ht="12" customHeight="1">
      <c r="B12516" s="324"/>
      <c r="C12516" s="325"/>
      <c r="D12516" s="326"/>
      <c r="E12516" s="326"/>
      <c r="F12516" s="326"/>
      <c r="G12516" s="326"/>
      <c r="H12516" s="326"/>
      <c r="P12516" s="318"/>
      <c r="Q12516" s="318"/>
      <c r="R12516" s="318"/>
      <c r="S12516" s="318"/>
      <c r="T12516" s="318"/>
      <c r="U12516" s="318"/>
      <c r="V12516" s="318"/>
      <c r="W12516" s="318"/>
      <c r="X12516" s="318"/>
      <c r="Y12516" s="318"/>
      <c r="Z12516" s="318"/>
      <c r="AA12516" s="318"/>
      <c r="AB12516" s="318"/>
      <c r="AC12516" s="318"/>
      <c r="AD12516" s="318"/>
    </row>
    <row r="12517" spans="2:30" s="323" customFormat="1" ht="12" customHeight="1">
      <c r="B12517" s="324"/>
      <c r="C12517" s="325"/>
      <c r="D12517" s="326"/>
      <c r="E12517" s="326"/>
      <c r="F12517" s="326"/>
      <c r="G12517" s="326"/>
      <c r="H12517" s="326"/>
      <c r="P12517" s="318"/>
      <c r="Q12517" s="318"/>
      <c r="R12517" s="318"/>
      <c r="S12517" s="318"/>
      <c r="T12517" s="318"/>
      <c r="U12517" s="318"/>
      <c r="V12517" s="318"/>
      <c r="W12517" s="318"/>
      <c r="X12517" s="318"/>
      <c r="Y12517" s="318"/>
      <c r="Z12517" s="318"/>
      <c r="AA12517" s="318"/>
      <c r="AB12517" s="318"/>
      <c r="AC12517" s="318"/>
      <c r="AD12517" s="318"/>
    </row>
    <row r="12518" spans="2:30" s="323" customFormat="1" ht="12" customHeight="1">
      <c r="B12518" s="324"/>
      <c r="C12518" s="325"/>
      <c r="D12518" s="326"/>
      <c r="E12518" s="326"/>
      <c r="F12518" s="326"/>
      <c r="G12518" s="326"/>
      <c r="H12518" s="326"/>
      <c r="P12518" s="318"/>
      <c r="Q12518" s="318"/>
      <c r="R12518" s="318"/>
      <c r="S12518" s="318"/>
      <c r="T12518" s="318"/>
      <c r="U12518" s="318"/>
      <c r="V12518" s="318"/>
      <c r="W12518" s="318"/>
      <c r="X12518" s="318"/>
      <c r="Y12518" s="318"/>
      <c r="Z12518" s="318"/>
      <c r="AA12518" s="318"/>
      <c r="AB12518" s="318"/>
      <c r="AC12518" s="318"/>
      <c r="AD12518" s="318"/>
    </row>
    <row r="12519" spans="2:30" s="323" customFormat="1" ht="12" customHeight="1">
      <c r="B12519" s="324"/>
      <c r="C12519" s="325"/>
      <c r="D12519" s="326"/>
      <c r="E12519" s="326"/>
      <c r="F12519" s="326"/>
      <c r="G12519" s="326"/>
      <c r="H12519" s="326"/>
      <c r="P12519" s="318"/>
      <c r="Q12519" s="318"/>
      <c r="R12519" s="318"/>
      <c r="S12519" s="318"/>
      <c r="T12519" s="318"/>
      <c r="U12519" s="318"/>
      <c r="V12519" s="318"/>
      <c r="W12519" s="318"/>
      <c r="X12519" s="318"/>
      <c r="Y12519" s="318"/>
      <c r="Z12519" s="318"/>
      <c r="AA12519" s="318"/>
      <c r="AB12519" s="318"/>
      <c r="AC12519" s="318"/>
      <c r="AD12519" s="318"/>
    </row>
    <row r="12520" spans="2:30" s="323" customFormat="1" ht="12" customHeight="1">
      <c r="B12520" s="324"/>
      <c r="C12520" s="325"/>
      <c r="D12520" s="326"/>
      <c r="E12520" s="326"/>
      <c r="F12520" s="326"/>
      <c r="G12520" s="326"/>
      <c r="H12520" s="326"/>
      <c r="P12520" s="318"/>
      <c r="Q12520" s="318"/>
      <c r="R12520" s="318"/>
      <c r="S12520" s="318"/>
      <c r="T12520" s="318"/>
      <c r="U12520" s="318"/>
      <c r="V12520" s="318"/>
      <c r="W12520" s="318"/>
      <c r="X12520" s="318"/>
      <c r="Y12520" s="318"/>
      <c r="Z12520" s="318"/>
      <c r="AA12520" s="318"/>
      <c r="AB12520" s="318"/>
      <c r="AC12520" s="318"/>
      <c r="AD12520" s="318"/>
    </row>
    <row r="12521" spans="2:30" s="323" customFormat="1" ht="12" customHeight="1">
      <c r="B12521" s="324"/>
      <c r="C12521" s="325"/>
      <c r="D12521" s="326"/>
      <c r="E12521" s="326"/>
      <c r="F12521" s="326"/>
      <c r="G12521" s="326"/>
      <c r="H12521" s="326"/>
      <c r="P12521" s="318"/>
      <c r="Q12521" s="318"/>
      <c r="R12521" s="318"/>
      <c r="S12521" s="318"/>
      <c r="T12521" s="318"/>
      <c r="U12521" s="318"/>
      <c r="V12521" s="318"/>
      <c r="W12521" s="318"/>
      <c r="X12521" s="318"/>
      <c r="Y12521" s="318"/>
      <c r="Z12521" s="318"/>
      <c r="AA12521" s="318"/>
      <c r="AB12521" s="318"/>
      <c r="AC12521" s="318"/>
      <c r="AD12521" s="318"/>
    </row>
    <row r="12522" spans="2:30" s="323" customFormat="1" ht="12" customHeight="1">
      <c r="B12522" s="324"/>
      <c r="C12522" s="325"/>
      <c r="D12522" s="326"/>
      <c r="E12522" s="326"/>
      <c r="F12522" s="326"/>
      <c r="G12522" s="326"/>
      <c r="H12522" s="326"/>
      <c r="P12522" s="318"/>
      <c r="Q12522" s="318"/>
      <c r="R12522" s="318"/>
      <c r="S12522" s="318"/>
      <c r="T12522" s="318"/>
      <c r="U12522" s="318"/>
      <c r="V12522" s="318"/>
      <c r="W12522" s="318"/>
      <c r="X12522" s="318"/>
      <c r="Y12522" s="318"/>
      <c r="Z12522" s="318"/>
      <c r="AA12522" s="318"/>
      <c r="AB12522" s="318"/>
      <c r="AC12522" s="318"/>
      <c r="AD12522" s="318"/>
    </row>
    <row r="12523" spans="2:30" s="323" customFormat="1" ht="12" customHeight="1">
      <c r="B12523" s="324"/>
      <c r="C12523" s="325"/>
      <c r="D12523" s="326"/>
      <c r="E12523" s="326"/>
      <c r="F12523" s="326"/>
      <c r="G12523" s="326"/>
      <c r="H12523" s="326"/>
      <c r="P12523" s="318"/>
      <c r="Q12523" s="318"/>
      <c r="R12523" s="318"/>
      <c r="S12523" s="318"/>
      <c r="T12523" s="318"/>
      <c r="U12523" s="318"/>
      <c r="V12523" s="318"/>
      <c r="W12523" s="318"/>
      <c r="X12523" s="318"/>
      <c r="Y12523" s="318"/>
      <c r="Z12523" s="318"/>
      <c r="AA12523" s="318"/>
      <c r="AB12523" s="318"/>
      <c r="AC12523" s="318"/>
      <c r="AD12523" s="318"/>
    </row>
    <row r="12524" spans="2:30" s="323" customFormat="1" ht="12" customHeight="1">
      <c r="B12524" s="324"/>
      <c r="C12524" s="325"/>
      <c r="D12524" s="326"/>
      <c r="E12524" s="326"/>
      <c r="F12524" s="326"/>
      <c r="G12524" s="326"/>
      <c r="H12524" s="326"/>
      <c r="P12524" s="318"/>
      <c r="Q12524" s="318"/>
      <c r="R12524" s="318"/>
      <c r="S12524" s="318"/>
      <c r="T12524" s="318"/>
      <c r="U12524" s="318"/>
      <c r="V12524" s="318"/>
      <c r="W12524" s="318"/>
      <c r="X12524" s="318"/>
      <c r="Y12524" s="318"/>
      <c r="Z12524" s="318"/>
      <c r="AA12524" s="318"/>
      <c r="AB12524" s="318"/>
      <c r="AC12524" s="318"/>
      <c r="AD12524" s="318"/>
    </row>
    <row r="12525" spans="2:30" s="323" customFormat="1" ht="12" customHeight="1">
      <c r="B12525" s="324"/>
      <c r="C12525" s="325"/>
      <c r="D12525" s="326"/>
      <c r="E12525" s="326"/>
      <c r="F12525" s="326"/>
      <c r="G12525" s="326"/>
      <c r="H12525" s="326"/>
      <c r="P12525" s="318"/>
      <c r="Q12525" s="318"/>
      <c r="R12525" s="318"/>
      <c r="S12525" s="318"/>
      <c r="T12525" s="318"/>
      <c r="U12525" s="318"/>
      <c r="V12525" s="318"/>
      <c r="W12525" s="318"/>
      <c r="X12525" s="318"/>
      <c r="Y12525" s="318"/>
      <c r="Z12525" s="318"/>
      <c r="AA12525" s="318"/>
      <c r="AB12525" s="318"/>
      <c r="AC12525" s="318"/>
      <c r="AD12525" s="318"/>
    </row>
    <row r="12526" spans="2:30" s="323" customFormat="1" ht="12" customHeight="1">
      <c r="B12526" s="324"/>
      <c r="C12526" s="325"/>
      <c r="D12526" s="326"/>
      <c r="E12526" s="326"/>
      <c r="F12526" s="326"/>
      <c r="G12526" s="326"/>
      <c r="H12526" s="326"/>
      <c r="P12526" s="318"/>
      <c r="Q12526" s="318"/>
      <c r="R12526" s="318"/>
      <c r="S12526" s="318"/>
      <c r="T12526" s="318"/>
      <c r="U12526" s="318"/>
      <c r="V12526" s="318"/>
      <c r="W12526" s="318"/>
      <c r="X12526" s="318"/>
      <c r="Y12526" s="318"/>
      <c r="Z12526" s="318"/>
      <c r="AA12526" s="318"/>
      <c r="AB12526" s="318"/>
      <c r="AC12526" s="318"/>
      <c r="AD12526" s="318"/>
    </row>
    <row r="12527" spans="2:30" s="323" customFormat="1" ht="12" customHeight="1">
      <c r="B12527" s="324"/>
      <c r="C12527" s="325"/>
      <c r="D12527" s="326"/>
      <c r="E12527" s="326"/>
      <c r="F12527" s="326"/>
      <c r="G12527" s="326"/>
      <c r="H12527" s="326"/>
      <c r="P12527" s="318"/>
      <c r="Q12527" s="318"/>
      <c r="R12527" s="318"/>
      <c r="S12527" s="318"/>
      <c r="T12527" s="318"/>
      <c r="U12527" s="318"/>
      <c r="V12527" s="318"/>
      <c r="W12527" s="318"/>
      <c r="X12527" s="318"/>
      <c r="Y12527" s="318"/>
      <c r="Z12527" s="318"/>
      <c r="AA12527" s="318"/>
      <c r="AB12527" s="318"/>
      <c r="AC12527" s="318"/>
      <c r="AD12527" s="318"/>
    </row>
    <row r="12528" spans="2:30" s="323" customFormat="1" ht="12" customHeight="1">
      <c r="B12528" s="324"/>
      <c r="C12528" s="325"/>
      <c r="D12528" s="326"/>
      <c r="E12528" s="326"/>
      <c r="F12528" s="326"/>
      <c r="G12528" s="326"/>
      <c r="H12528" s="326"/>
      <c r="P12528" s="318"/>
      <c r="Q12528" s="318"/>
      <c r="R12528" s="318"/>
      <c r="S12528" s="318"/>
      <c r="T12528" s="318"/>
      <c r="U12528" s="318"/>
      <c r="V12528" s="318"/>
      <c r="W12528" s="318"/>
      <c r="X12528" s="318"/>
      <c r="Y12528" s="318"/>
      <c r="Z12528" s="318"/>
      <c r="AA12528" s="318"/>
      <c r="AB12528" s="318"/>
      <c r="AC12528" s="318"/>
      <c r="AD12528" s="318"/>
    </row>
    <row r="12529" spans="2:30" s="323" customFormat="1" ht="12" customHeight="1">
      <c r="B12529" s="324"/>
      <c r="C12529" s="325"/>
      <c r="D12529" s="326"/>
      <c r="E12529" s="326"/>
      <c r="F12529" s="326"/>
      <c r="G12529" s="326"/>
      <c r="H12529" s="326"/>
      <c r="P12529" s="318"/>
      <c r="Q12529" s="318"/>
      <c r="R12529" s="318"/>
      <c r="S12529" s="318"/>
      <c r="T12529" s="318"/>
      <c r="U12529" s="318"/>
      <c r="V12529" s="318"/>
      <c r="W12529" s="318"/>
      <c r="X12529" s="318"/>
      <c r="Y12529" s="318"/>
      <c r="Z12529" s="318"/>
      <c r="AA12529" s="318"/>
      <c r="AB12529" s="318"/>
      <c r="AC12529" s="318"/>
      <c r="AD12529" s="318"/>
    </row>
    <row r="12530" spans="2:30" s="323" customFormat="1" ht="12" customHeight="1">
      <c r="B12530" s="324"/>
      <c r="C12530" s="325"/>
      <c r="D12530" s="326"/>
      <c r="E12530" s="326"/>
      <c r="F12530" s="326"/>
      <c r="G12530" s="326"/>
      <c r="H12530" s="326"/>
      <c r="P12530" s="318"/>
      <c r="Q12530" s="318"/>
      <c r="R12530" s="318"/>
      <c r="S12530" s="318"/>
      <c r="T12530" s="318"/>
      <c r="U12530" s="318"/>
      <c r="V12530" s="318"/>
      <c r="W12530" s="318"/>
      <c r="X12530" s="318"/>
      <c r="Y12530" s="318"/>
      <c r="Z12530" s="318"/>
      <c r="AA12530" s="318"/>
      <c r="AB12530" s="318"/>
      <c r="AC12530" s="318"/>
      <c r="AD12530" s="318"/>
    </row>
    <row r="12531" spans="2:30" s="323" customFormat="1" ht="12" customHeight="1">
      <c r="B12531" s="324"/>
      <c r="C12531" s="325"/>
      <c r="D12531" s="326"/>
      <c r="E12531" s="326"/>
      <c r="F12531" s="326"/>
      <c r="G12531" s="326"/>
      <c r="H12531" s="326"/>
      <c r="P12531" s="318"/>
      <c r="Q12531" s="318"/>
      <c r="R12531" s="318"/>
      <c r="S12531" s="318"/>
      <c r="T12531" s="318"/>
      <c r="U12531" s="318"/>
      <c r="V12531" s="318"/>
      <c r="W12531" s="318"/>
      <c r="X12531" s="318"/>
      <c r="Y12531" s="318"/>
      <c r="Z12531" s="318"/>
      <c r="AA12531" s="318"/>
      <c r="AB12531" s="318"/>
      <c r="AC12531" s="318"/>
      <c r="AD12531" s="318"/>
    </row>
    <row r="12532" spans="2:30" s="323" customFormat="1" ht="12" customHeight="1">
      <c r="B12532" s="324"/>
      <c r="C12532" s="325"/>
      <c r="D12532" s="326"/>
      <c r="E12532" s="326"/>
      <c r="F12532" s="326"/>
      <c r="G12532" s="326"/>
      <c r="H12532" s="326"/>
      <c r="P12532" s="318"/>
      <c r="Q12532" s="318"/>
      <c r="R12532" s="318"/>
      <c r="S12532" s="318"/>
      <c r="T12532" s="318"/>
      <c r="U12532" s="318"/>
      <c r="V12532" s="318"/>
      <c r="W12532" s="318"/>
      <c r="X12532" s="318"/>
      <c r="Y12532" s="318"/>
      <c r="Z12532" s="318"/>
      <c r="AA12532" s="318"/>
      <c r="AB12532" s="318"/>
      <c r="AC12532" s="318"/>
      <c r="AD12532" s="318"/>
    </row>
    <row r="12533" spans="2:30" s="323" customFormat="1" ht="12" customHeight="1">
      <c r="B12533" s="324"/>
      <c r="C12533" s="325"/>
      <c r="D12533" s="326"/>
      <c r="E12533" s="326"/>
      <c r="F12533" s="326"/>
      <c r="G12533" s="326"/>
      <c r="H12533" s="326"/>
      <c r="P12533" s="318"/>
      <c r="Q12533" s="318"/>
      <c r="R12533" s="318"/>
      <c r="S12533" s="318"/>
      <c r="T12533" s="318"/>
      <c r="U12533" s="318"/>
      <c r="V12533" s="318"/>
      <c r="W12533" s="318"/>
      <c r="X12533" s="318"/>
      <c r="Y12533" s="318"/>
      <c r="Z12533" s="318"/>
      <c r="AA12533" s="318"/>
      <c r="AB12533" s="318"/>
      <c r="AC12533" s="318"/>
      <c r="AD12533" s="318"/>
    </row>
    <row r="12534" spans="2:30" s="323" customFormat="1" ht="12" customHeight="1">
      <c r="B12534" s="324"/>
      <c r="C12534" s="325"/>
      <c r="D12534" s="326"/>
      <c r="E12534" s="326"/>
      <c r="F12534" s="326"/>
      <c r="G12534" s="326"/>
      <c r="H12534" s="326"/>
      <c r="P12534" s="318"/>
      <c r="Q12534" s="318"/>
      <c r="R12534" s="318"/>
      <c r="S12534" s="318"/>
      <c r="T12534" s="318"/>
      <c r="U12534" s="318"/>
      <c r="V12534" s="318"/>
      <c r="W12534" s="318"/>
      <c r="X12534" s="318"/>
      <c r="Y12534" s="318"/>
      <c r="Z12534" s="318"/>
      <c r="AA12534" s="318"/>
      <c r="AB12534" s="318"/>
      <c r="AC12534" s="318"/>
      <c r="AD12534" s="318"/>
    </row>
    <row r="12535" spans="2:30" s="323" customFormat="1" ht="12" customHeight="1">
      <c r="B12535" s="324"/>
      <c r="C12535" s="325"/>
      <c r="D12535" s="326"/>
      <c r="E12535" s="326"/>
      <c r="F12535" s="326"/>
      <c r="G12535" s="326"/>
      <c r="H12535" s="326"/>
      <c r="P12535" s="318"/>
      <c r="Q12535" s="318"/>
      <c r="R12535" s="318"/>
      <c r="S12535" s="318"/>
      <c r="T12535" s="318"/>
      <c r="U12535" s="318"/>
      <c r="V12535" s="318"/>
      <c r="W12535" s="318"/>
      <c r="X12535" s="318"/>
      <c r="Y12535" s="318"/>
      <c r="Z12535" s="318"/>
      <c r="AA12535" s="318"/>
      <c r="AB12535" s="318"/>
      <c r="AC12535" s="318"/>
      <c r="AD12535" s="318"/>
    </row>
    <row r="12536" spans="2:30" s="323" customFormat="1" ht="12" customHeight="1">
      <c r="B12536" s="324"/>
      <c r="C12536" s="325"/>
      <c r="D12536" s="326"/>
      <c r="E12536" s="326"/>
      <c r="F12536" s="326"/>
      <c r="G12536" s="326"/>
      <c r="H12536" s="326"/>
      <c r="P12536" s="318"/>
      <c r="Q12536" s="318"/>
      <c r="R12536" s="318"/>
      <c r="S12536" s="318"/>
      <c r="T12536" s="318"/>
      <c r="U12536" s="318"/>
      <c r="V12536" s="318"/>
      <c r="W12536" s="318"/>
      <c r="X12536" s="318"/>
      <c r="Y12536" s="318"/>
      <c r="Z12536" s="318"/>
      <c r="AA12536" s="318"/>
      <c r="AB12536" s="318"/>
      <c r="AC12536" s="318"/>
      <c r="AD12536" s="318"/>
    </row>
    <row r="12537" spans="2:30" s="323" customFormat="1" ht="12" customHeight="1">
      <c r="B12537" s="324"/>
      <c r="C12537" s="325"/>
      <c r="D12537" s="326"/>
      <c r="E12537" s="326"/>
      <c r="F12537" s="326"/>
      <c r="G12537" s="326"/>
      <c r="H12537" s="326"/>
      <c r="P12537" s="318"/>
      <c r="Q12537" s="318"/>
      <c r="R12537" s="318"/>
      <c r="S12537" s="318"/>
      <c r="T12537" s="318"/>
      <c r="U12537" s="318"/>
      <c r="V12537" s="318"/>
      <c r="W12537" s="318"/>
      <c r="X12537" s="318"/>
      <c r="Y12537" s="318"/>
      <c r="Z12537" s="318"/>
      <c r="AA12537" s="318"/>
      <c r="AB12537" s="318"/>
      <c r="AC12537" s="318"/>
      <c r="AD12537" s="318"/>
    </row>
    <row r="12538" spans="2:30" s="323" customFormat="1" ht="12" customHeight="1">
      <c r="B12538" s="324"/>
      <c r="C12538" s="325"/>
      <c r="D12538" s="326"/>
      <c r="E12538" s="326"/>
      <c r="F12538" s="326"/>
      <c r="G12538" s="326"/>
      <c r="H12538" s="326"/>
      <c r="P12538" s="318"/>
      <c r="Q12538" s="318"/>
      <c r="R12538" s="318"/>
      <c r="S12538" s="318"/>
      <c r="T12538" s="318"/>
      <c r="U12538" s="318"/>
      <c r="V12538" s="318"/>
      <c r="W12538" s="318"/>
      <c r="X12538" s="318"/>
      <c r="Y12538" s="318"/>
      <c r="Z12538" s="318"/>
      <c r="AA12538" s="318"/>
      <c r="AB12538" s="318"/>
      <c r="AC12538" s="318"/>
      <c r="AD12538" s="318"/>
    </row>
    <row r="12539" spans="2:30" s="323" customFormat="1" ht="12" customHeight="1">
      <c r="B12539" s="324"/>
      <c r="C12539" s="325"/>
      <c r="D12539" s="326"/>
      <c r="E12539" s="326"/>
      <c r="F12539" s="326"/>
      <c r="G12539" s="326"/>
      <c r="H12539" s="326"/>
      <c r="P12539" s="318"/>
      <c r="Q12539" s="318"/>
      <c r="R12539" s="318"/>
      <c r="S12539" s="318"/>
      <c r="T12539" s="318"/>
      <c r="U12539" s="318"/>
      <c r="V12539" s="318"/>
      <c r="W12539" s="318"/>
      <c r="X12539" s="318"/>
      <c r="Y12539" s="318"/>
      <c r="Z12539" s="318"/>
      <c r="AA12539" s="318"/>
      <c r="AB12539" s="318"/>
      <c r="AC12539" s="318"/>
      <c r="AD12539" s="318"/>
    </row>
    <row r="12540" spans="2:30" s="323" customFormat="1" ht="12" customHeight="1">
      <c r="B12540" s="324"/>
      <c r="C12540" s="325"/>
      <c r="D12540" s="326"/>
      <c r="E12540" s="326"/>
      <c r="F12540" s="326"/>
      <c r="G12540" s="326"/>
      <c r="H12540" s="326"/>
      <c r="P12540" s="318"/>
      <c r="Q12540" s="318"/>
      <c r="R12540" s="318"/>
      <c r="S12540" s="318"/>
      <c r="T12540" s="318"/>
      <c r="U12540" s="318"/>
      <c r="V12540" s="318"/>
      <c r="W12540" s="318"/>
      <c r="X12540" s="318"/>
      <c r="Y12540" s="318"/>
      <c r="Z12540" s="318"/>
      <c r="AA12540" s="318"/>
      <c r="AB12540" s="318"/>
      <c r="AC12540" s="318"/>
      <c r="AD12540" s="318"/>
    </row>
    <row r="12541" spans="2:30" s="323" customFormat="1" ht="12" customHeight="1">
      <c r="B12541" s="324"/>
      <c r="C12541" s="325"/>
      <c r="D12541" s="326"/>
      <c r="E12541" s="326"/>
      <c r="F12541" s="326"/>
      <c r="G12541" s="326"/>
      <c r="H12541" s="326"/>
      <c r="P12541" s="318"/>
      <c r="Q12541" s="318"/>
      <c r="R12541" s="318"/>
      <c r="S12541" s="318"/>
      <c r="T12541" s="318"/>
      <c r="U12541" s="318"/>
      <c r="V12541" s="318"/>
      <c r="W12541" s="318"/>
      <c r="X12541" s="318"/>
      <c r="Y12541" s="318"/>
      <c r="Z12541" s="318"/>
      <c r="AA12541" s="318"/>
      <c r="AB12541" s="318"/>
      <c r="AC12541" s="318"/>
      <c r="AD12541" s="318"/>
    </row>
    <row r="12542" spans="2:30" s="323" customFormat="1" ht="12" customHeight="1">
      <c r="B12542" s="324"/>
      <c r="C12542" s="325"/>
      <c r="D12542" s="326"/>
      <c r="E12542" s="326"/>
      <c r="F12542" s="326"/>
      <c r="G12542" s="326"/>
      <c r="H12542" s="326"/>
      <c r="P12542" s="318"/>
      <c r="Q12542" s="318"/>
      <c r="R12542" s="318"/>
      <c r="S12542" s="318"/>
      <c r="T12542" s="318"/>
      <c r="U12542" s="318"/>
      <c r="V12542" s="318"/>
      <c r="W12542" s="318"/>
      <c r="X12542" s="318"/>
      <c r="Y12542" s="318"/>
      <c r="Z12542" s="318"/>
      <c r="AA12542" s="318"/>
      <c r="AB12542" s="318"/>
      <c r="AC12542" s="318"/>
      <c r="AD12542" s="318"/>
    </row>
    <row r="12543" spans="2:30" s="323" customFormat="1" ht="12" customHeight="1">
      <c r="B12543" s="324"/>
      <c r="C12543" s="325"/>
      <c r="D12543" s="326"/>
      <c r="E12543" s="326"/>
      <c r="F12543" s="326"/>
      <c r="G12543" s="326"/>
      <c r="H12543" s="326"/>
      <c r="P12543" s="318"/>
      <c r="Q12543" s="318"/>
      <c r="R12543" s="318"/>
      <c r="S12543" s="318"/>
      <c r="T12543" s="318"/>
      <c r="U12543" s="318"/>
      <c r="V12543" s="318"/>
      <c r="W12543" s="318"/>
      <c r="X12543" s="318"/>
      <c r="Y12543" s="318"/>
      <c r="Z12543" s="318"/>
      <c r="AA12543" s="318"/>
      <c r="AB12543" s="318"/>
      <c r="AC12543" s="318"/>
      <c r="AD12543" s="318"/>
    </row>
    <row r="12544" spans="2:30" s="323" customFormat="1" ht="12" customHeight="1">
      <c r="B12544" s="324"/>
      <c r="C12544" s="325"/>
      <c r="D12544" s="326"/>
      <c r="E12544" s="326"/>
      <c r="F12544" s="326"/>
      <c r="G12544" s="326"/>
      <c r="H12544" s="326"/>
      <c r="P12544" s="318"/>
      <c r="Q12544" s="318"/>
      <c r="R12544" s="318"/>
      <c r="S12544" s="318"/>
      <c r="T12544" s="318"/>
      <c r="U12544" s="318"/>
      <c r="V12544" s="318"/>
      <c r="W12544" s="318"/>
      <c r="X12544" s="318"/>
      <c r="Y12544" s="318"/>
      <c r="Z12544" s="318"/>
      <c r="AA12544" s="318"/>
      <c r="AB12544" s="318"/>
      <c r="AC12544" s="318"/>
      <c r="AD12544" s="318"/>
    </row>
    <row r="12545" spans="2:30" s="323" customFormat="1" ht="12" customHeight="1">
      <c r="B12545" s="324"/>
      <c r="C12545" s="325"/>
      <c r="D12545" s="326"/>
      <c r="E12545" s="326"/>
      <c r="F12545" s="326"/>
      <c r="G12545" s="326"/>
      <c r="H12545" s="326"/>
      <c r="P12545" s="318"/>
      <c r="Q12545" s="318"/>
      <c r="R12545" s="318"/>
      <c r="S12545" s="318"/>
      <c r="T12545" s="318"/>
      <c r="U12545" s="318"/>
      <c r="V12545" s="318"/>
      <c r="W12545" s="318"/>
      <c r="X12545" s="318"/>
      <c r="Y12545" s="318"/>
      <c r="Z12545" s="318"/>
      <c r="AA12545" s="318"/>
      <c r="AB12545" s="318"/>
      <c r="AC12545" s="318"/>
      <c r="AD12545" s="318"/>
    </row>
    <row r="12546" spans="2:30" s="323" customFormat="1" ht="12" customHeight="1">
      <c r="B12546" s="324"/>
      <c r="C12546" s="325"/>
      <c r="D12546" s="326"/>
      <c r="E12546" s="326"/>
      <c r="F12546" s="326"/>
      <c r="G12546" s="326"/>
      <c r="H12546" s="326"/>
      <c r="P12546" s="318"/>
      <c r="Q12546" s="318"/>
      <c r="R12546" s="318"/>
      <c r="S12546" s="318"/>
      <c r="T12546" s="318"/>
      <c r="U12546" s="318"/>
      <c r="V12546" s="318"/>
      <c r="W12546" s="318"/>
      <c r="X12546" s="318"/>
      <c r="Y12546" s="318"/>
      <c r="Z12546" s="318"/>
      <c r="AA12546" s="318"/>
      <c r="AB12546" s="318"/>
      <c r="AC12546" s="318"/>
      <c r="AD12546" s="318"/>
    </row>
    <row r="12547" spans="2:30" s="323" customFormat="1" ht="12" customHeight="1">
      <c r="B12547" s="324"/>
      <c r="C12547" s="325"/>
      <c r="D12547" s="326"/>
      <c r="E12547" s="326"/>
      <c r="F12547" s="326"/>
      <c r="G12547" s="326"/>
      <c r="H12547" s="326"/>
      <c r="P12547" s="318"/>
      <c r="Q12547" s="318"/>
      <c r="R12547" s="318"/>
      <c r="S12547" s="318"/>
      <c r="T12547" s="318"/>
      <c r="U12547" s="318"/>
      <c r="V12547" s="318"/>
      <c r="W12547" s="318"/>
      <c r="X12547" s="318"/>
      <c r="Y12547" s="318"/>
      <c r="Z12547" s="318"/>
      <c r="AA12547" s="318"/>
      <c r="AB12547" s="318"/>
      <c r="AC12547" s="318"/>
      <c r="AD12547" s="318"/>
    </row>
    <row r="12548" spans="2:30" s="323" customFormat="1" ht="12" customHeight="1">
      <c r="B12548" s="324"/>
      <c r="C12548" s="325"/>
      <c r="D12548" s="326"/>
      <c r="E12548" s="326"/>
      <c r="F12548" s="326"/>
      <c r="G12548" s="326"/>
      <c r="H12548" s="326"/>
      <c r="P12548" s="318"/>
      <c r="Q12548" s="318"/>
      <c r="R12548" s="318"/>
      <c r="S12548" s="318"/>
      <c r="T12548" s="318"/>
      <c r="U12548" s="318"/>
      <c r="V12548" s="318"/>
      <c r="W12548" s="318"/>
      <c r="X12548" s="318"/>
      <c r="Y12548" s="318"/>
      <c r="Z12548" s="318"/>
      <c r="AA12548" s="318"/>
      <c r="AB12548" s="318"/>
      <c r="AC12548" s="318"/>
      <c r="AD12548" s="318"/>
    </row>
    <row r="12549" spans="2:30" s="323" customFormat="1" ht="12" customHeight="1">
      <c r="B12549" s="324"/>
      <c r="C12549" s="325"/>
      <c r="D12549" s="326"/>
      <c r="E12549" s="326"/>
      <c r="F12549" s="326"/>
      <c r="G12549" s="326"/>
      <c r="H12549" s="326"/>
      <c r="P12549" s="318"/>
      <c r="Q12549" s="318"/>
      <c r="R12549" s="318"/>
      <c r="S12549" s="318"/>
      <c r="T12549" s="318"/>
      <c r="U12549" s="318"/>
      <c r="V12549" s="318"/>
      <c r="W12549" s="318"/>
      <c r="X12549" s="318"/>
      <c r="Y12549" s="318"/>
      <c r="Z12549" s="318"/>
      <c r="AA12549" s="318"/>
      <c r="AB12549" s="318"/>
      <c r="AC12549" s="318"/>
      <c r="AD12549" s="318"/>
    </row>
    <row r="12550" spans="2:30" s="323" customFormat="1" ht="12" customHeight="1">
      <c r="B12550" s="324"/>
      <c r="C12550" s="325"/>
      <c r="D12550" s="326"/>
      <c r="E12550" s="326"/>
      <c r="F12550" s="326"/>
      <c r="G12550" s="326"/>
      <c r="H12550" s="326"/>
      <c r="P12550" s="318"/>
      <c r="Q12550" s="318"/>
      <c r="R12550" s="318"/>
      <c r="S12550" s="318"/>
      <c r="T12550" s="318"/>
      <c r="U12550" s="318"/>
      <c r="V12550" s="318"/>
      <c r="W12550" s="318"/>
      <c r="X12550" s="318"/>
      <c r="Y12550" s="318"/>
      <c r="Z12550" s="318"/>
      <c r="AA12550" s="318"/>
      <c r="AB12550" s="318"/>
      <c r="AC12550" s="318"/>
      <c r="AD12550" s="318"/>
    </row>
    <row r="12551" spans="2:30" s="323" customFormat="1" ht="12" customHeight="1">
      <c r="B12551" s="324"/>
      <c r="C12551" s="325"/>
      <c r="D12551" s="326"/>
      <c r="E12551" s="326"/>
      <c r="F12551" s="326"/>
      <c r="G12551" s="326"/>
      <c r="H12551" s="326"/>
      <c r="P12551" s="318"/>
      <c r="Q12551" s="318"/>
      <c r="R12551" s="318"/>
      <c r="S12551" s="318"/>
      <c r="T12551" s="318"/>
      <c r="U12551" s="318"/>
      <c r="V12551" s="318"/>
      <c r="W12551" s="318"/>
      <c r="X12551" s="318"/>
      <c r="Y12551" s="318"/>
      <c r="Z12551" s="318"/>
      <c r="AA12551" s="318"/>
      <c r="AB12551" s="318"/>
      <c r="AC12551" s="318"/>
      <c r="AD12551" s="318"/>
    </row>
    <row r="12552" spans="2:30" s="323" customFormat="1" ht="12" customHeight="1">
      <c r="B12552" s="324"/>
      <c r="C12552" s="325"/>
      <c r="D12552" s="326"/>
      <c r="E12552" s="326"/>
      <c r="F12552" s="326"/>
      <c r="G12552" s="326"/>
      <c r="H12552" s="326"/>
      <c r="P12552" s="318"/>
      <c r="Q12552" s="318"/>
      <c r="R12552" s="318"/>
      <c r="S12552" s="318"/>
      <c r="T12552" s="318"/>
      <c r="U12552" s="318"/>
      <c r="V12552" s="318"/>
      <c r="W12552" s="318"/>
      <c r="X12552" s="318"/>
      <c r="Y12552" s="318"/>
      <c r="Z12552" s="318"/>
      <c r="AA12552" s="318"/>
      <c r="AB12552" s="318"/>
      <c r="AC12552" s="318"/>
      <c r="AD12552" s="318"/>
    </row>
    <row r="12553" spans="2:30" s="323" customFormat="1" ht="12" customHeight="1">
      <c r="B12553" s="324"/>
      <c r="C12553" s="325"/>
      <c r="D12553" s="326"/>
      <c r="E12553" s="326"/>
      <c r="F12553" s="326"/>
      <c r="G12553" s="326"/>
      <c r="H12553" s="326"/>
      <c r="P12553" s="318"/>
      <c r="Q12553" s="318"/>
      <c r="R12553" s="318"/>
      <c r="S12553" s="318"/>
      <c r="T12553" s="318"/>
      <c r="U12553" s="318"/>
      <c r="V12553" s="318"/>
      <c r="W12553" s="318"/>
      <c r="X12553" s="318"/>
      <c r="Y12553" s="318"/>
      <c r="Z12553" s="318"/>
      <c r="AA12553" s="318"/>
      <c r="AB12553" s="318"/>
      <c r="AC12553" s="318"/>
      <c r="AD12553" s="318"/>
    </row>
    <row r="12554" spans="2:30" s="323" customFormat="1" ht="12" customHeight="1">
      <c r="B12554" s="324"/>
      <c r="C12554" s="325"/>
      <c r="D12554" s="326"/>
      <c r="E12554" s="326"/>
      <c r="F12554" s="326"/>
      <c r="G12554" s="326"/>
      <c r="H12554" s="326"/>
      <c r="P12554" s="318"/>
      <c r="Q12554" s="318"/>
      <c r="R12554" s="318"/>
      <c r="S12554" s="318"/>
      <c r="T12554" s="318"/>
      <c r="U12554" s="318"/>
      <c r="V12554" s="318"/>
      <c r="W12554" s="318"/>
      <c r="X12554" s="318"/>
      <c r="Y12554" s="318"/>
      <c r="Z12554" s="318"/>
      <c r="AA12554" s="318"/>
      <c r="AB12554" s="318"/>
      <c r="AC12554" s="318"/>
      <c r="AD12554" s="318"/>
    </row>
    <row r="12555" spans="2:30" s="323" customFormat="1" ht="12" customHeight="1">
      <c r="B12555" s="324"/>
      <c r="C12555" s="325"/>
      <c r="D12555" s="326"/>
      <c r="E12555" s="326"/>
      <c r="F12555" s="326"/>
      <c r="G12555" s="326"/>
      <c r="H12555" s="326"/>
      <c r="P12555" s="318"/>
      <c r="Q12555" s="318"/>
      <c r="R12555" s="318"/>
      <c r="S12555" s="318"/>
      <c r="T12555" s="318"/>
      <c r="U12555" s="318"/>
      <c r="V12555" s="318"/>
      <c r="W12555" s="318"/>
      <c r="X12555" s="318"/>
      <c r="Y12555" s="318"/>
      <c r="Z12555" s="318"/>
      <c r="AA12555" s="318"/>
      <c r="AB12555" s="318"/>
      <c r="AC12555" s="318"/>
      <c r="AD12555" s="318"/>
    </row>
    <row r="12556" spans="2:30" s="323" customFormat="1" ht="12" customHeight="1">
      <c r="B12556" s="324"/>
      <c r="C12556" s="325"/>
      <c r="D12556" s="326"/>
      <c r="E12556" s="326"/>
      <c r="F12556" s="326"/>
      <c r="G12556" s="326"/>
      <c r="H12556" s="326"/>
      <c r="P12556" s="318"/>
      <c r="Q12556" s="318"/>
      <c r="R12556" s="318"/>
      <c r="S12556" s="318"/>
      <c r="T12556" s="318"/>
      <c r="U12556" s="318"/>
      <c r="V12556" s="318"/>
      <c r="W12556" s="318"/>
      <c r="X12556" s="318"/>
      <c r="Y12556" s="318"/>
      <c r="Z12556" s="318"/>
      <c r="AA12556" s="318"/>
      <c r="AB12556" s="318"/>
      <c r="AC12556" s="318"/>
      <c r="AD12556" s="318"/>
    </row>
    <row r="12557" spans="2:30" s="323" customFormat="1" ht="12" customHeight="1">
      <c r="B12557" s="324"/>
      <c r="C12557" s="325"/>
      <c r="D12557" s="326"/>
      <c r="E12557" s="326"/>
      <c r="F12557" s="326"/>
      <c r="G12557" s="326"/>
      <c r="H12557" s="326"/>
      <c r="P12557" s="318"/>
      <c r="Q12557" s="318"/>
      <c r="R12557" s="318"/>
      <c r="S12557" s="318"/>
      <c r="T12557" s="318"/>
      <c r="U12557" s="318"/>
      <c r="V12557" s="318"/>
      <c r="W12557" s="318"/>
      <c r="X12557" s="318"/>
      <c r="Y12557" s="318"/>
      <c r="Z12557" s="318"/>
      <c r="AA12557" s="318"/>
      <c r="AB12557" s="318"/>
      <c r="AC12557" s="318"/>
      <c r="AD12557" s="318"/>
    </row>
    <row r="12558" spans="2:30" s="323" customFormat="1" ht="12" customHeight="1">
      <c r="B12558" s="324"/>
      <c r="C12558" s="325"/>
      <c r="D12558" s="326"/>
      <c r="E12558" s="326"/>
      <c r="F12558" s="326"/>
      <c r="G12558" s="326"/>
      <c r="H12558" s="326"/>
      <c r="P12558" s="318"/>
      <c r="Q12558" s="318"/>
      <c r="R12558" s="318"/>
      <c r="S12558" s="318"/>
      <c r="T12558" s="318"/>
      <c r="U12558" s="318"/>
      <c r="V12558" s="318"/>
      <c r="W12558" s="318"/>
      <c r="X12558" s="318"/>
      <c r="Y12558" s="318"/>
      <c r="Z12558" s="318"/>
      <c r="AA12558" s="318"/>
      <c r="AB12558" s="318"/>
      <c r="AC12558" s="318"/>
      <c r="AD12558" s="318"/>
    </row>
    <row r="12559" spans="2:30" s="323" customFormat="1" ht="12" customHeight="1">
      <c r="B12559" s="324"/>
      <c r="C12559" s="325"/>
      <c r="D12559" s="326"/>
      <c r="E12559" s="326"/>
      <c r="F12559" s="326"/>
      <c r="G12559" s="326"/>
      <c r="H12559" s="326"/>
      <c r="P12559" s="318"/>
      <c r="Q12559" s="318"/>
      <c r="R12559" s="318"/>
      <c r="S12559" s="318"/>
      <c r="T12559" s="318"/>
      <c r="U12559" s="318"/>
      <c r="V12559" s="318"/>
      <c r="W12559" s="318"/>
      <c r="X12559" s="318"/>
      <c r="Y12559" s="318"/>
      <c r="Z12559" s="318"/>
      <c r="AA12559" s="318"/>
      <c r="AB12559" s="318"/>
      <c r="AC12559" s="318"/>
      <c r="AD12559" s="318"/>
    </row>
    <row r="12560" spans="2:30" s="323" customFormat="1" ht="12" customHeight="1">
      <c r="B12560" s="324"/>
      <c r="C12560" s="325"/>
      <c r="D12560" s="326"/>
      <c r="E12560" s="326"/>
      <c r="F12560" s="326"/>
      <c r="G12560" s="326"/>
      <c r="H12560" s="326"/>
      <c r="P12560" s="318"/>
      <c r="Q12560" s="318"/>
      <c r="R12560" s="318"/>
      <c r="S12560" s="318"/>
      <c r="T12560" s="318"/>
      <c r="U12560" s="318"/>
      <c r="V12560" s="318"/>
      <c r="W12560" s="318"/>
      <c r="X12560" s="318"/>
      <c r="Y12560" s="318"/>
      <c r="Z12560" s="318"/>
      <c r="AA12560" s="318"/>
      <c r="AB12560" s="318"/>
      <c r="AC12560" s="318"/>
      <c r="AD12560" s="318"/>
    </row>
    <row r="12561" spans="2:30" s="323" customFormat="1" ht="12" customHeight="1">
      <c r="B12561" s="324"/>
      <c r="C12561" s="325"/>
      <c r="D12561" s="326"/>
      <c r="E12561" s="326"/>
      <c r="F12561" s="326"/>
      <c r="G12561" s="326"/>
      <c r="H12561" s="326"/>
      <c r="P12561" s="318"/>
      <c r="Q12561" s="318"/>
      <c r="R12561" s="318"/>
      <c r="S12561" s="318"/>
      <c r="T12561" s="318"/>
      <c r="U12561" s="318"/>
      <c r="V12561" s="318"/>
      <c r="W12561" s="318"/>
      <c r="X12561" s="318"/>
      <c r="Y12561" s="318"/>
      <c r="Z12561" s="318"/>
      <c r="AA12561" s="318"/>
      <c r="AB12561" s="318"/>
      <c r="AC12561" s="318"/>
      <c r="AD12561" s="318"/>
    </row>
    <row r="12562" spans="2:30" s="323" customFormat="1" ht="12" customHeight="1">
      <c r="B12562" s="324"/>
      <c r="C12562" s="325"/>
      <c r="D12562" s="326"/>
      <c r="E12562" s="326"/>
      <c r="F12562" s="326"/>
      <c r="G12562" s="326"/>
      <c r="H12562" s="326"/>
      <c r="P12562" s="318"/>
      <c r="Q12562" s="318"/>
      <c r="R12562" s="318"/>
      <c r="S12562" s="318"/>
      <c r="T12562" s="318"/>
      <c r="U12562" s="318"/>
      <c r="V12562" s="318"/>
      <c r="W12562" s="318"/>
      <c r="X12562" s="318"/>
      <c r="Y12562" s="318"/>
      <c r="Z12562" s="318"/>
      <c r="AA12562" s="318"/>
      <c r="AB12562" s="318"/>
      <c r="AC12562" s="318"/>
      <c r="AD12562" s="318"/>
    </row>
    <row r="12563" spans="2:30" s="323" customFormat="1" ht="12" customHeight="1">
      <c r="B12563" s="324"/>
      <c r="C12563" s="325"/>
      <c r="D12563" s="326"/>
      <c r="E12563" s="326"/>
      <c r="F12563" s="326"/>
      <c r="G12563" s="326"/>
      <c r="H12563" s="326"/>
      <c r="P12563" s="318"/>
      <c r="Q12563" s="318"/>
      <c r="R12563" s="318"/>
      <c r="S12563" s="318"/>
      <c r="T12563" s="318"/>
      <c r="U12563" s="318"/>
      <c r="V12563" s="318"/>
      <c r="W12563" s="318"/>
      <c r="X12563" s="318"/>
      <c r="Y12563" s="318"/>
      <c r="Z12563" s="318"/>
      <c r="AA12563" s="318"/>
      <c r="AB12563" s="318"/>
      <c r="AC12563" s="318"/>
      <c r="AD12563" s="318"/>
    </row>
    <row r="12564" spans="2:30" s="323" customFormat="1" ht="12" customHeight="1">
      <c r="B12564" s="324"/>
      <c r="C12564" s="325"/>
      <c r="D12564" s="326"/>
      <c r="E12564" s="326"/>
      <c r="F12564" s="326"/>
      <c r="G12564" s="326"/>
      <c r="H12564" s="326"/>
      <c r="P12564" s="318"/>
      <c r="Q12564" s="318"/>
      <c r="R12564" s="318"/>
      <c r="S12564" s="318"/>
      <c r="T12564" s="318"/>
      <c r="U12564" s="318"/>
      <c r="V12564" s="318"/>
      <c r="W12564" s="318"/>
      <c r="X12564" s="318"/>
      <c r="Y12564" s="318"/>
      <c r="Z12564" s="318"/>
      <c r="AA12564" s="318"/>
      <c r="AB12564" s="318"/>
      <c r="AC12564" s="318"/>
      <c r="AD12564" s="318"/>
    </row>
    <row r="12565" spans="2:30" s="323" customFormat="1" ht="12" customHeight="1">
      <c r="B12565" s="324"/>
      <c r="C12565" s="325"/>
      <c r="D12565" s="326"/>
      <c r="E12565" s="326"/>
      <c r="F12565" s="326"/>
      <c r="G12565" s="326"/>
      <c r="H12565" s="326"/>
      <c r="P12565" s="318"/>
      <c r="Q12565" s="318"/>
      <c r="R12565" s="318"/>
      <c r="S12565" s="318"/>
      <c r="T12565" s="318"/>
      <c r="U12565" s="318"/>
      <c r="V12565" s="318"/>
      <c r="W12565" s="318"/>
      <c r="X12565" s="318"/>
      <c r="Y12565" s="318"/>
      <c r="Z12565" s="318"/>
      <c r="AA12565" s="318"/>
      <c r="AB12565" s="318"/>
      <c r="AC12565" s="318"/>
      <c r="AD12565" s="318"/>
    </row>
    <row r="12566" spans="2:30" s="323" customFormat="1" ht="12" customHeight="1">
      <c r="B12566" s="324"/>
      <c r="C12566" s="325"/>
      <c r="D12566" s="326"/>
      <c r="E12566" s="326"/>
      <c r="F12566" s="326"/>
      <c r="G12566" s="326"/>
      <c r="H12566" s="326"/>
      <c r="P12566" s="318"/>
      <c r="Q12566" s="318"/>
      <c r="R12566" s="318"/>
      <c r="S12566" s="318"/>
      <c r="T12566" s="318"/>
      <c r="U12566" s="318"/>
      <c r="V12566" s="318"/>
      <c r="W12566" s="318"/>
      <c r="X12566" s="318"/>
      <c r="Y12566" s="318"/>
      <c r="Z12566" s="318"/>
      <c r="AA12566" s="318"/>
      <c r="AB12566" s="318"/>
      <c r="AC12566" s="318"/>
      <c r="AD12566" s="318"/>
    </row>
    <row r="12567" spans="2:30" s="323" customFormat="1" ht="12" customHeight="1">
      <c r="B12567" s="324"/>
      <c r="C12567" s="325"/>
      <c r="D12567" s="326"/>
      <c r="E12567" s="326"/>
      <c r="F12567" s="326"/>
      <c r="G12567" s="326"/>
      <c r="H12567" s="326"/>
      <c r="P12567" s="318"/>
      <c r="Q12567" s="318"/>
      <c r="R12567" s="318"/>
      <c r="S12567" s="318"/>
      <c r="T12567" s="318"/>
      <c r="U12567" s="318"/>
      <c r="V12567" s="318"/>
      <c r="W12567" s="318"/>
      <c r="X12567" s="318"/>
      <c r="Y12567" s="318"/>
      <c r="Z12567" s="318"/>
      <c r="AA12567" s="318"/>
      <c r="AB12567" s="318"/>
      <c r="AC12567" s="318"/>
      <c r="AD12567" s="318"/>
    </row>
    <row r="12568" spans="2:30" s="323" customFormat="1" ht="12" customHeight="1">
      <c r="B12568" s="324"/>
      <c r="C12568" s="325"/>
      <c r="D12568" s="326"/>
      <c r="E12568" s="326"/>
      <c r="F12568" s="326"/>
      <c r="G12568" s="326"/>
      <c r="H12568" s="326"/>
      <c r="P12568" s="318"/>
      <c r="Q12568" s="318"/>
      <c r="R12568" s="318"/>
      <c r="S12568" s="318"/>
      <c r="T12568" s="318"/>
      <c r="U12568" s="318"/>
      <c r="V12568" s="318"/>
      <c r="W12568" s="318"/>
      <c r="X12568" s="318"/>
      <c r="Y12568" s="318"/>
      <c r="Z12568" s="318"/>
      <c r="AA12568" s="318"/>
      <c r="AB12568" s="318"/>
      <c r="AC12568" s="318"/>
      <c r="AD12568" s="318"/>
    </row>
    <row r="12569" spans="2:30" s="323" customFormat="1" ht="12" customHeight="1">
      <c r="B12569" s="324"/>
      <c r="C12569" s="325"/>
      <c r="D12569" s="326"/>
      <c r="E12569" s="326"/>
      <c r="F12569" s="326"/>
      <c r="G12569" s="326"/>
      <c r="H12569" s="326"/>
      <c r="P12569" s="318"/>
      <c r="Q12569" s="318"/>
      <c r="R12569" s="318"/>
      <c r="S12569" s="318"/>
      <c r="T12569" s="318"/>
      <c r="U12569" s="318"/>
      <c r="V12569" s="318"/>
      <c r="W12569" s="318"/>
      <c r="X12569" s="318"/>
      <c r="Y12569" s="318"/>
      <c r="Z12569" s="318"/>
      <c r="AA12569" s="318"/>
      <c r="AB12569" s="318"/>
      <c r="AC12569" s="318"/>
      <c r="AD12569" s="318"/>
    </row>
    <row r="12570" spans="2:30" s="323" customFormat="1" ht="12" customHeight="1">
      <c r="B12570" s="324"/>
      <c r="C12570" s="325"/>
      <c r="D12570" s="326"/>
      <c r="E12570" s="326"/>
      <c r="F12570" s="326"/>
      <c r="G12570" s="326"/>
      <c r="H12570" s="326"/>
      <c r="P12570" s="318"/>
      <c r="Q12570" s="318"/>
      <c r="R12570" s="318"/>
      <c r="S12570" s="318"/>
      <c r="T12570" s="318"/>
      <c r="U12570" s="318"/>
      <c r="V12570" s="318"/>
      <c r="W12570" s="318"/>
      <c r="X12570" s="318"/>
      <c r="Y12570" s="318"/>
      <c r="Z12570" s="318"/>
      <c r="AA12570" s="318"/>
      <c r="AB12570" s="318"/>
      <c r="AC12570" s="318"/>
      <c r="AD12570" s="318"/>
    </row>
    <row r="12571" spans="2:30" s="323" customFormat="1" ht="12" customHeight="1">
      <c r="B12571" s="324"/>
      <c r="C12571" s="325"/>
      <c r="D12571" s="326"/>
      <c r="E12571" s="326"/>
      <c r="F12571" s="326"/>
      <c r="G12571" s="326"/>
      <c r="H12571" s="326"/>
      <c r="P12571" s="318"/>
      <c r="Q12571" s="318"/>
      <c r="R12571" s="318"/>
      <c r="S12571" s="318"/>
      <c r="T12571" s="318"/>
      <c r="U12571" s="318"/>
      <c r="V12571" s="318"/>
      <c r="W12571" s="318"/>
      <c r="X12571" s="318"/>
      <c r="Y12571" s="318"/>
      <c r="Z12571" s="318"/>
      <c r="AA12571" s="318"/>
      <c r="AB12571" s="318"/>
      <c r="AC12571" s="318"/>
      <c r="AD12571" s="318"/>
    </row>
    <row r="12572" spans="2:30" s="323" customFormat="1" ht="12" customHeight="1">
      <c r="B12572" s="324"/>
      <c r="C12572" s="325"/>
      <c r="D12572" s="326"/>
      <c r="E12572" s="326"/>
      <c r="F12572" s="326"/>
      <c r="G12572" s="326"/>
      <c r="H12572" s="326"/>
      <c r="P12572" s="318"/>
      <c r="Q12572" s="318"/>
      <c r="R12572" s="318"/>
      <c r="S12572" s="318"/>
      <c r="T12572" s="318"/>
      <c r="U12572" s="318"/>
      <c r="V12572" s="318"/>
      <c r="W12572" s="318"/>
      <c r="X12572" s="318"/>
      <c r="Y12572" s="318"/>
      <c r="Z12572" s="318"/>
      <c r="AA12572" s="318"/>
      <c r="AB12572" s="318"/>
      <c r="AC12572" s="318"/>
      <c r="AD12572" s="318"/>
    </row>
    <row r="12573" spans="2:30" s="323" customFormat="1" ht="12" customHeight="1">
      <c r="B12573" s="324"/>
      <c r="C12573" s="325"/>
      <c r="D12573" s="326"/>
      <c r="E12573" s="326"/>
      <c r="F12573" s="326"/>
      <c r="G12573" s="326"/>
      <c r="H12573" s="326"/>
      <c r="P12573" s="318"/>
      <c r="Q12573" s="318"/>
      <c r="R12573" s="318"/>
      <c r="S12573" s="318"/>
      <c r="T12573" s="318"/>
      <c r="U12573" s="318"/>
      <c r="V12573" s="318"/>
      <c r="W12573" s="318"/>
      <c r="X12573" s="318"/>
      <c r="Y12573" s="318"/>
      <c r="Z12573" s="318"/>
      <c r="AA12573" s="318"/>
      <c r="AB12573" s="318"/>
      <c r="AC12573" s="318"/>
      <c r="AD12573" s="318"/>
    </row>
    <row r="12574" spans="2:30" s="323" customFormat="1" ht="12" customHeight="1">
      <c r="B12574" s="324"/>
      <c r="C12574" s="325"/>
      <c r="D12574" s="326"/>
      <c r="E12574" s="326"/>
      <c r="F12574" s="326"/>
      <c r="G12574" s="326"/>
      <c r="H12574" s="326"/>
      <c r="P12574" s="318"/>
      <c r="Q12574" s="318"/>
      <c r="R12574" s="318"/>
      <c r="S12574" s="318"/>
      <c r="T12574" s="318"/>
      <c r="U12574" s="318"/>
      <c r="V12574" s="318"/>
      <c r="W12574" s="318"/>
      <c r="X12574" s="318"/>
      <c r="Y12574" s="318"/>
      <c r="Z12574" s="318"/>
      <c r="AA12574" s="318"/>
      <c r="AB12574" s="318"/>
      <c r="AC12574" s="318"/>
      <c r="AD12574" s="318"/>
    </row>
    <row r="12575" spans="2:30" s="323" customFormat="1" ht="12" customHeight="1">
      <c r="B12575" s="324"/>
      <c r="C12575" s="325"/>
      <c r="D12575" s="326"/>
      <c r="E12575" s="326"/>
      <c r="F12575" s="326"/>
      <c r="G12575" s="326"/>
      <c r="H12575" s="326"/>
      <c r="P12575" s="318"/>
      <c r="Q12575" s="318"/>
      <c r="R12575" s="318"/>
      <c r="S12575" s="318"/>
      <c r="T12575" s="318"/>
      <c r="U12575" s="318"/>
      <c r="V12575" s="318"/>
      <c r="W12575" s="318"/>
      <c r="X12575" s="318"/>
      <c r="Y12575" s="318"/>
      <c r="Z12575" s="318"/>
      <c r="AA12575" s="318"/>
      <c r="AB12575" s="318"/>
      <c r="AC12575" s="318"/>
      <c r="AD12575" s="318"/>
    </row>
    <row r="12576" spans="2:30" s="323" customFormat="1" ht="12" customHeight="1">
      <c r="B12576" s="324"/>
      <c r="C12576" s="325"/>
      <c r="D12576" s="326"/>
      <c r="E12576" s="326"/>
      <c r="F12576" s="326"/>
      <c r="G12576" s="326"/>
      <c r="H12576" s="326"/>
      <c r="P12576" s="318"/>
      <c r="Q12576" s="318"/>
      <c r="R12576" s="318"/>
      <c r="S12576" s="318"/>
      <c r="T12576" s="318"/>
      <c r="U12576" s="318"/>
      <c r="V12576" s="318"/>
      <c r="W12576" s="318"/>
      <c r="X12576" s="318"/>
      <c r="Y12576" s="318"/>
      <c r="Z12576" s="318"/>
      <c r="AA12576" s="318"/>
      <c r="AB12576" s="318"/>
      <c r="AC12576" s="318"/>
      <c r="AD12576" s="318"/>
    </row>
    <row r="12577" spans="2:30" s="323" customFormat="1" ht="12" customHeight="1">
      <c r="B12577" s="324"/>
      <c r="C12577" s="325"/>
      <c r="D12577" s="326"/>
      <c r="E12577" s="326"/>
      <c r="F12577" s="326"/>
      <c r="G12577" s="326"/>
      <c r="H12577" s="326"/>
      <c r="P12577" s="318"/>
      <c r="Q12577" s="318"/>
      <c r="R12577" s="318"/>
      <c r="S12577" s="318"/>
      <c r="T12577" s="318"/>
      <c r="U12577" s="318"/>
      <c r="V12577" s="318"/>
      <c r="W12577" s="318"/>
      <c r="X12577" s="318"/>
      <c r="Y12577" s="318"/>
      <c r="Z12577" s="318"/>
      <c r="AA12577" s="318"/>
      <c r="AB12577" s="318"/>
      <c r="AC12577" s="318"/>
      <c r="AD12577" s="318"/>
    </row>
    <row r="12578" spans="2:30" s="323" customFormat="1" ht="12" customHeight="1">
      <c r="B12578" s="324"/>
      <c r="C12578" s="325"/>
      <c r="D12578" s="326"/>
      <c r="E12578" s="326"/>
      <c r="F12578" s="326"/>
      <c r="G12578" s="326"/>
      <c r="H12578" s="326"/>
      <c r="P12578" s="318"/>
      <c r="Q12578" s="318"/>
      <c r="R12578" s="318"/>
      <c r="S12578" s="318"/>
      <c r="T12578" s="318"/>
      <c r="U12578" s="318"/>
      <c r="V12578" s="318"/>
      <c r="W12578" s="318"/>
      <c r="X12578" s="318"/>
      <c r="Y12578" s="318"/>
      <c r="Z12578" s="318"/>
      <c r="AA12578" s="318"/>
      <c r="AB12578" s="318"/>
      <c r="AC12578" s="318"/>
      <c r="AD12578" s="318"/>
    </row>
    <row r="12579" spans="2:30" s="323" customFormat="1" ht="12" customHeight="1">
      <c r="B12579" s="324"/>
      <c r="C12579" s="325"/>
      <c r="D12579" s="326"/>
      <c r="E12579" s="326"/>
      <c r="F12579" s="326"/>
      <c r="G12579" s="326"/>
      <c r="H12579" s="326"/>
      <c r="P12579" s="318"/>
      <c r="Q12579" s="318"/>
      <c r="R12579" s="318"/>
      <c r="S12579" s="318"/>
      <c r="T12579" s="318"/>
      <c r="U12579" s="318"/>
      <c r="V12579" s="318"/>
      <c r="W12579" s="318"/>
      <c r="X12579" s="318"/>
      <c r="Y12579" s="318"/>
      <c r="Z12579" s="318"/>
      <c r="AA12579" s="318"/>
      <c r="AB12579" s="318"/>
      <c r="AC12579" s="318"/>
      <c r="AD12579" s="318"/>
    </row>
    <row r="12580" spans="2:30" s="323" customFormat="1" ht="12" customHeight="1">
      <c r="B12580" s="324"/>
      <c r="C12580" s="325"/>
      <c r="D12580" s="326"/>
      <c r="E12580" s="326"/>
      <c r="F12580" s="326"/>
      <c r="G12580" s="326"/>
      <c r="H12580" s="326"/>
      <c r="P12580" s="318"/>
      <c r="Q12580" s="318"/>
      <c r="R12580" s="318"/>
      <c r="S12580" s="318"/>
      <c r="T12580" s="318"/>
      <c r="U12580" s="318"/>
      <c r="V12580" s="318"/>
      <c r="W12580" s="318"/>
      <c r="X12580" s="318"/>
      <c r="Y12580" s="318"/>
      <c r="Z12580" s="318"/>
      <c r="AA12580" s="318"/>
      <c r="AB12580" s="318"/>
      <c r="AC12580" s="318"/>
      <c r="AD12580" s="318"/>
    </row>
    <row r="12581" spans="2:30" s="323" customFormat="1" ht="12" customHeight="1">
      <c r="B12581" s="324"/>
      <c r="C12581" s="325"/>
      <c r="D12581" s="326"/>
      <c r="E12581" s="326"/>
      <c r="F12581" s="326"/>
      <c r="G12581" s="326"/>
      <c r="H12581" s="326"/>
      <c r="P12581" s="318"/>
      <c r="Q12581" s="318"/>
      <c r="R12581" s="318"/>
      <c r="S12581" s="318"/>
      <c r="T12581" s="318"/>
      <c r="U12581" s="318"/>
      <c r="V12581" s="318"/>
      <c r="W12581" s="318"/>
      <c r="X12581" s="318"/>
      <c r="Y12581" s="318"/>
      <c r="Z12581" s="318"/>
      <c r="AA12581" s="318"/>
      <c r="AB12581" s="318"/>
      <c r="AC12581" s="318"/>
      <c r="AD12581" s="318"/>
    </row>
    <row r="12582" spans="2:30" s="323" customFormat="1" ht="12" customHeight="1">
      <c r="B12582" s="324"/>
      <c r="C12582" s="325"/>
      <c r="D12582" s="326"/>
      <c r="E12582" s="326"/>
      <c r="F12582" s="326"/>
      <c r="G12582" s="326"/>
      <c r="H12582" s="326"/>
      <c r="P12582" s="318"/>
      <c r="Q12582" s="318"/>
      <c r="R12582" s="318"/>
      <c r="S12582" s="318"/>
      <c r="T12582" s="318"/>
      <c r="U12582" s="318"/>
      <c r="V12582" s="318"/>
      <c r="W12582" s="318"/>
      <c r="X12582" s="318"/>
      <c r="Y12582" s="318"/>
      <c r="Z12582" s="318"/>
      <c r="AA12582" s="318"/>
      <c r="AB12582" s="318"/>
      <c r="AC12582" s="318"/>
      <c r="AD12582" s="318"/>
    </row>
    <row r="12583" spans="2:30" s="323" customFormat="1" ht="12" customHeight="1">
      <c r="B12583" s="324"/>
      <c r="C12583" s="325"/>
      <c r="D12583" s="326"/>
      <c r="E12583" s="326"/>
      <c r="F12583" s="326"/>
      <c r="G12583" s="326"/>
      <c r="H12583" s="326"/>
      <c r="P12583" s="318"/>
      <c r="Q12583" s="318"/>
      <c r="R12583" s="318"/>
      <c r="S12583" s="318"/>
      <c r="T12583" s="318"/>
      <c r="U12583" s="318"/>
      <c r="V12583" s="318"/>
      <c r="W12583" s="318"/>
      <c r="X12583" s="318"/>
      <c r="Y12583" s="318"/>
      <c r="Z12583" s="318"/>
      <c r="AA12583" s="318"/>
      <c r="AB12583" s="318"/>
      <c r="AC12583" s="318"/>
      <c r="AD12583" s="318"/>
    </row>
    <row r="12584" spans="2:30" s="323" customFormat="1" ht="12" customHeight="1">
      <c r="B12584" s="324"/>
      <c r="C12584" s="325"/>
      <c r="D12584" s="326"/>
      <c r="E12584" s="326"/>
      <c r="F12584" s="326"/>
      <c r="G12584" s="326"/>
      <c r="H12584" s="326"/>
      <c r="P12584" s="318"/>
      <c r="Q12584" s="318"/>
      <c r="R12584" s="318"/>
      <c r="S12584" s="318"/>
      <c r="T12584" s="318"/>
      <c r="U12584" s="318"/>
      <c r="V12584" s="318"/>
      <c r="W12584" s="318"/>
      <c r="X12584" s="318"/>
      <c r="Y12584" s="318"/>
      <c r="Z12584" s="318"/>
      <c r="AA12584" s="318"/>
      <c r="AB12584" s="318"/>
      <c r="AC12584" s="318"/>
      <c r="AD12584" s="318"/>
    </row>
    <row r="12585" spans="2:30" s="323" customFormat="1" ht="12" customHeight="1">
      <c r="B12585" s="324"/>
      <c r="C12585" s="325"/>
      <c r="D12585" s="326"/>
      <c r="E12585" s="326"/>
      <c r="F12585" s="326"/>
      <c r="G12585" s="326"/>
      <c r="H12585" s="326"/>
      <c r="P12585" s="318"/>
      <c r="Q12585" s="318"/>
      <c r="R12585" s="318"/>
      <c r="S12585" s="318"/>
      <c r="T12585" s="318"/>
      <c r="U12585" s="318"/>
      <c r="V12585" s="318"/>
      <c r="W12585" s="318"/>
      <c r="X12585" s="318"/>
      <c r="Y12585" s="318"/>
      <c r="Z12585" s="318"/>
      <c r="AA12585" s="318"/>
      <c r="AB12585" s="318"/>
      <c r="AC12585" s="318"/>
      <c r="AD12585" s="318"/>
    </row>
    <row r="12586" spans="2:30" s="323" customFormat="1" ht="12" customHeight="1">
      <c r="B12586" s="324"/>
      <c r="C12586" s="325"/>
      <c r="D12586" s="326"/>
      <c r="E12586" s="326"/>
      <c r="F12586" s="326"/>
      <c r="G12586" s="326"/>
      <c r="H12586" s="326"/>
      <c r="P12586" s="318"/>
      <c r="Q12586" s="318"/>
      <c r="R12586" s="318"/>
      <c r="S12586" s="318"/>
      <c r="T12586" s="318"/>
      <c r="U12586" s="318"/>
      <c r="V12586" s="318"/>
      <c r="W12586" s="318"/>
      <c r="X12586" s="318"/>
      <c r="Y12586" s="318"/>
      <c r="Z12586" s="318"/>
      <c r="AA12586" s="318"/>
      <c r="AB12586" s="318"/>
      <c r="AC12586" s="318"/>
      <c r="AD12586" s="318"/>
    </row>
    <row r="12587" spans="2:30" s="323" customFormat="1" ht="12" customHeight="1">
      <c r="B12587" s="324"/>
      <c r="C12587" s="325"/>
      <c r="D12587" s="326"/>
      <c r="E12587" s="326"/>
      <c r="F12587" s="326"/>
      <c r="G12587" s="326"/>
      <c r="H12587" s="326"/>
      <c r="P12587" s="318"/>
      <c r="Q12587" s="318"/>
      <c r="R12587" s="318"/>
      <c r="S12587" s="318"/>
      <c r="T12587" s="318"/>
      <c r="U12587" s="318"/>
      <c r="V12587" s="318"/>
      <c r="W12587" s="318"/>
      <c r="X12587" s="318"/>
      <c r="Y12587" s="318"/>
      <c r="Z12587" s="318"/>
      <c r="AA12587" s="318"/>
      <c r="AB12587" s="318"/>
      <c r="AC12587" s="318"/>
      <c r="AD12587" s="318"/>
    </row>
    <row r="12588" spans="2:30" s="323" customFormat="1" ht="12" customHeight="1">
      <c r="B12588" s="324"/>
      <c r="C12588" s="325"/>
      <c r="D12588" s="326"/>
      <c r="E12588" s="326"/>
      <c r="F12588" s="326"/>
      <c r="G12588" s="326"/>
      <c r="H12588" s="326"/>
      <c r="P12588" s="318"/>
      <c r="Q12588" s="318"/>
      <c r="R12588" s="318"/>
      <c r="S12588" s="318"/>
      <c r="T12588" s="318"/>
      <c r="U12588" s="318"/>
      <c r="V12588" s="318"/>
      <c r="W12588" s="318"/>
      <c r="X12588" s="318"/>
      <c r="Y12588" s="318"/>
      <c r="Z12588" s="318"/>
      <c r="AA12588" s="318"/>
      <c r="AB12588" s="318"/>
      <c r="AC12588" s="318"/>
      <c r="AD12588" s="318"/>
    </row>
    <row r="12589" spans="2:30" s="323" customFormat="1" ht="12" customHeight="1">
      <c r="B12589" s="324"/>
      <c r="C12589" s="325"/>
      <c r="D12589" s="326"/>
      <c r="E12589" s="326"/>
      <c r="F12589" s="326"/>
      <c r="G12589" s="326"/>
      <c r="H12589" s="326"/>
      <c r="P12589" s="318"/>
      <c r="Q12589" s="318"/>
      <c r="R12589" s="318"/>
      <c r="S12589" s="318"/>
      <c r="T12589" s="318"/>
      <c r="U12589" s="318"/>
      <c r="V12589" s="318"/>
      <c r="W12589" s="318"/>
      <c r="X12589" s="318"/>
      <c r="Y12589" s="318"/>
      <c r="Z12589" s="318"/>
      <c r="AA12589" s="318"/>
      <c r="AB12589" s="318"/>
      <c r="AC12589" s="318"/>
      <c r="AD12589" s="318"/>
    </row>
    <row r="12590" spans="2:30" s="323" customFormat="1" ht="12" customHeight="1">
      <c r="B12590" s="324"/>
      <c r="C12590" s="325"/>
      <c r="D12590" s="326"/>
      <c r="E12590" s="326"/>
      <c r="F12590" s="326"/>
      <c r="G12590" s="326"/>
      <c r="H12590" s="326"/>
      <c r="P12590" s="318"/>
      <c r="Q12590" s="318"/>
      <c r="R12590" s="318"/>
      <c r="S12590" s="318"/>
      <c r="T12590" s="318"/>
      <c r="U12590" s="318"/>
      <c r="V12590" s="318"/>
      <c r="W12590" s="318"/>
      <c r="X12590" s="318"/>
      <c r="Y12590" s="318"/>
      <c r="Z12590" s="318"/>
      <c r="AA12590" s="318"/>
      <c r="AB12590" s="318"/>
      <c r="AC12590" s="318"/>
      <c r="AD12590" s="318"/>
    </row>
    <row r="12591" spans="2:30" s="323" customFormat="1" ht="12" customHeight="1">
      <c r="B12591" s="324"/>
      <c r="C12591" s="325"/>
      <c r="D12591" s="326"/>
      <c r="E12591" s="326"/>
      <c r="F12591" s="326"/>
      <c r="G12591" s="326"/>
      <c r="H12591" s="326"/>
      <c r="P12591" s="318"/>
      <c r="Q12591" s="318"/>
      <c r="R12591" s="318"/>
      <c r="S12591" s="318"/>
      <c r="T12591" s="318"/>
      <c r="U12591" s="318"/>
      <c r="V12591" s="318"/>
      <c r="W12591" s="318"/>
      <c r="X12591" s="318"/>
      <c r="Y12591" s="318"/>
      <c r="Z12591" s="318"/>
      <c r="AA12591" s="318"/>
      <c r="AB12591" s="318"/>
      <c r="AC12591" s="318"/>
      <c r="AD12591" s="318"/>
    </row>
    <row r="12592" spans="2:30" s="323" customFormat="1" ht="12" customHeight="1">
      <c r="B12592" s="324"/>
      <c r="C12592" s="325"/>
      <c r="D12592" s="326"/>
      <c r="E12592" s="326"/>
      <c r="F12592" s="326"/>
      <c r="G12592" s="326"/>
      <c r="H12592" s="326"/>
      <c r="P12592" s="318"/>
      <c r="Q12592" s="318"/>
      <c r="R12592" s="318"/>
      <c r="S12592" s="318"/>
      <c r="T12592" s="318"/>
      <c r="U12592" s="318"/>
      <c r="V12592" s="318"/>
      <c r="W12592" s="318"/>
      <c r="X12592" s="318"/>
      <c r="Y12592" s="318"/>
      <c r="Z12592" s="318"/>
      <c r="AA12592" s="318"/>
      <c r="AB12592" s="318"/>
      <c r="AC12592" s="318"/>
      <c r="AD12592" s="318"/>
    </row>
    <row r="12593" spans="2:30" s="323" customFormat="1" ht="12" customHeight="1">
      <c r="B12593" s="324"/>
      <c r="C12593" s="325"/>
      <c r="D12593" s="326"/>
      <c r="E12593" s="326"/>
      <c r="F12593" s="326"/>
      <c r="G12593" s="326"/>
      <c r="H12593" s="326"/>
      <c r="P12593" s="318"/>
      <c r="Q12593" s="318"/>
      <c r="R12593" s="318"/>
      <c r="S12593" s="318"/>
      <c r="T12593" s="318"/>
      <c r="U12593" s="318"/>
      <c r="V12593" s="318"/>
      <c r="W12593" s="318"/>
      <c r="X12593" s="318"/>
      <c r="Y12593" s="318"/>
      <c r="Z12593" s="318"/>
      <c r="AA12593" s="318"/>
      <c r="AB12593" s="318"/>
      <c r="AC12593" s="318"/>
      <c r="AD12593" s="318"/>
    </row>
    <row r="12594" spans="2:30" s="323" customFormat="1" ht="12" customHeight="1">
      <c r="B12594" s="324"/>
      <c r="C12594" s="325"/>
      <c r="D12594" s="326"/>
      <c r="E12594" s="326"/>
      <c r="F12594" s="326"/>
      <c r="G12594" s="326"/>
      <c r="H12594" s="326"/>
      <c r="P12594" s="318"/>
      <c r="Q12594" s="318"/>
      <c r="R12594" s="318"/>
      <c r="S12594" s="318"/>
      <c r="T12594" s="318"/>
      <c r="U12594" s="318"/>
      <c r="V12594" s="318"/>
      <c r="W12594" s="318"/>
      <c r="X12594" s="318"/>
      <c r="Y12594" s="318"/>
      <c r="Z12594" s="318"/>
      <c r="AA12594" s="318"/>
      <c r="AB12594" s="318"/>
      <c r="AC12594" s="318"/>
      <c r="AD12594" s="318"/>
    </row>
    <row r="12595" spans="2:30" s="323" customFormat="1" ht="12" customHeight="1">
      <c r="B12595" s="324"/>
      <c r="C12595" s="325"/>
      <c r="D12595" s="326"/>
      <c r="E12595" s="326"/>
      <c r="F12595" s="326"/>
      <c r="G12595" s="326"/>
      <c r="H12595" s="326"/>
      <c r="P12595" s="318"/>
      <c r="Q12595" s="318"/>
      <c r="R12595" s="318"/>
      <c r="S12595" s="318"/>
      <c r="T12595" s="318"/>
      <c r="U12595" s="318"/>
      <c r="V12595" s="318"/>
      <c r="W12595" s="318"/>
      <c r="X12595" s="318"/>
      <c r="Y12595" s="318"/>
      <c r="Z12595" s="318"/>
      <c r="AA12595" s="318"/>
      <c r="AB12595" s="318"/>
      <c r="AC12595" s="318"/>
      <c r="AD12595" s="318"/>
    </row>
    <row r="12596" spans="2:30" s="323" customFormat="1" ht="12" customHeight="1">
      <c r="B12596" s="324"/>
      <c r="C12596" s="325"/>
      <c r="D12596" s="326"/>
      <c r="E12596" s="326"/>
      <c r="F12596" s="326"/>
      <c r="G12596" s="326"/>
      <c r="H12596" s="326"/>
      <c r="P12596" s="318"/>
      <c r="Q12596" s="318"/>
      <c r="R12596" s="318"/>
      <c r="S12596" s="318"/>
      <c r="T12596" s="318"/>
      <c r="U12596" s="318"/>
      <c r="V12596" s="318"/>
      <c r="W12596" s="318"/>
      <c r="X12596" s="318"/>
      <c r="Y12596" s="318"/>
      <c r="Z12596" s="318"/>
      <c r="AA12596" s="318"/>
      <c r="AB12596" s="318"/>
      <c r="AC12596" s="318"/>
      <c r="AD12596" s="318"/>
    </row>
    <row r="12597" spans="2:30" s="323" customFormat="1" ht="12" customHeight="1">
      <c r="B12597" s="324"/>
      <c r="C12597" s="325"/>
      <c r="D12597" s="326"/>
      <c r="E12597" s="326"/>
      <c r="F12597" s="326"/>
      <c r="G12597" s="326"/>
      <c r="H12597" s="326"/>
      <c r="P12597" s="318"/>
      <c r="Q12597" s="318"/>
      <c r="R12597" s="318"/>
      <c r="S12597" s="318"/>
      <c r="T12597" s="318"/>
      <c r="U12597" s="318"/>
      <c r="V12597" s="318"/>
      <c r="W12597" s="318"/>
      <c r="X12597" s="318"/>
      <c r="Y12597" s="318"/>
      <c r="Z12597" s="318"/>
      <c r="AA12597" s="318"/>
      <c r="AB12597" s="318"/>
      <c r="AC12597" s="318"/>
      <c r="AD12597" s="318"/>
    </row>
    <row r="12598" spans="2:30" s="323" customFormat="1" ht="12" customHeight="1">
      <c r="B12598" s="324"/>
      <c r="C12598" s="325"/>
      <c r="D12598" s="326"/>
      <c r="E12598" s="326"/>
      <c r="F12598" s="326"/>
      <c r="G12598" s="326"/>
      <c r="H12598" s="326"/>
      <c r="P12598" s="318"/>
      <c r="Q12598" s="318"/>
      <c r="R12598" s="318"/>
      <c r="S12598" s="318"/>
      <c r="T12598" s="318"/>
      <c r="U12598" s="318"/>
      <c r="V12598" s="318"/>
      <c r="W12598" s="318"/>
      <c r="X12598" s="318"/>
      <c r="Y12598" s="318"/>
      <c r="Z12598" s="318"/>
      <c r="AA12598" s="318"/>
      <c r="AB12598" s="318"/>
      <c r="AC12598" s="318"/>
      <c r="AD12598" s="318"/>
    </row>
    <row r="12599" spans="2:30" s="323" customFormat="1" ht="12" customHeight="1">
      <c r="B12599" s="324"/>
      <c r="C12599" s="325"/>
      <c r="D12599" s="326"/>
      <c r="E12599" s="326"/>
      <c r="F12599" s="326"/>
      <c r="G12599" s="326"/>
      <c r="H12599" s="326"/>
      <c r="P12599" s="318"/>
      <c r="Q12599" s="318"/>
      <c r="R12599" s="318"/>
      <c r="S12599" s="318"/>
      <c r="T12599" s="318"/>
      <c r="U12599" s="318"/>
      <c r="V12599" s="318"/>
      <c r="W12599" s="318"/>
      <c r="X12599" s="318"/>
      <c r="Y12599" s="318"/>
      <c r="Z12599" s="318"/>
      <c r="AA12599" s="318"/>
      <c r="AB12599" s="318"/>
      <c r="AC12599" s="318"/>
      <c r="AD12599" s="318"/>
    </row>
    <row r="12600" spans="2:30" s="323" customFormat="1" ht="12" customHeight="1">
      <c r="B12600" s="324"/>
      <c r="C12600" s="325"/>
      <c r="D12600" s="326"/>
      <c r="E12600" s="326"/>
      <c r="F12600" s="326"/>
      <c r="G12600" s="326"/>
      <c r="H12600" s="326"/>
      <c r="P12600" s="318"/>
      <c r="Q12600" s="318"/>
      <c r="R12600" s="318"/>
      <c r="S12600" s="318"/>
      <c r="T12600" s="318"/>
      <c r="U12600" s="318"/>
      <c r="V12600" s="318"/>
      <c r="W12600" s="318"/>
      <c r="X12600" s="318"/>
      <c r="Y12600" s="318"/>
      <c r="Z12600" s="318"/>
      <c r="AA12600" s="318"/>
      <c r="AB12600" s="318"/>
      <c r="AC12600" s="318"/>
      <c r="AD12600" s="318"/>
    </row>
    <row r="12601" spans="2:30" s="323" customFormat="1" ht="12" customHeight="1">
      <c r="B12601" s="324"/>
      <c r="C12601" s="325"/>
      <c r="D12601" s="326"/>
      <c r="E12601" s="326"/>
      <c r="F12601" s="326"/>
      <c r="G12601" s="326"/>
      <c r="H12601" s="326"/>
      <c r="P12601" s="318"/>
      <c r="Q12601" s="318"/>
      <c r="R12601" s="318"/>
      <c r="S12601" s="318"/>
      <c r="T12601" s="318"/>
      <c r="U12601" s="318"/>
      <c r="V12601" s="318"/>
      <c r="W12601" s="318"/>
      <c r="X12601" s="318"/>
      <c r="Y12601" s="318"/>
      <c r="Z12601" s="318"/>
      <c r="AA12601" s="318"/>
      <c r="AB12601" s="318"/>
      <c r="AC12601" s="318"/>
      <c r="AD12601" s="318"/>
    </row>
    <row r="12602" spans="2:30" s="323" customFormat="1" ht="12" customHeight="1">
      <c r="B12602" s="324"/>
      <c r="C12602" s="325"/>
      <c r="D12602" s="326"/>
      <c r="E12602" s="326"/>
      <c r="F12602" s="326"/>
      <c r="G12602" s="326"/>
      <c r="H12602" s="326"/>
      <c r="P12602" s="318"/>
      <c r="Q12602" s="318"/>
      <c r="R12602" s="318"/>
      <c r="S12602" s="318"/>
      <c r="T12602" s="318"/>
      <c r="U12602" s="318"/>
      <c r="V12602" s="318"/>
      <c r="W12602" s="318"/>
      <c r="X12602" s="318"/>
      <c r="Y12602" s="318"/>
      <c r="Z12602" s="318"/>
      <c r="AA12602" s="318"/>
      <c r="AB12602" s="318"/>
      <c r="AC12602" s="318"/>
      <c r="AD12602" s="318"/>
    </row>
    <row r="12603" spans="2:30" s="323" customFormat="1" ht="12" customHeight="1">
      <c r="B12603" s="324"/>
      <c r="C12603" s="325"/>
      <c r="D12603" s="326"/>
      <c r="E12603" s="326"/>
      <c r="F12603" s="326"/>
      <c r="G12603" s="326"/>
      <c r="H12603" s="326"/>
      <c r="P12603" s="318"/>
      <c r="Q12603" s="318"/>
      <c r="R12603" s="318"/>
      <c r="S12603" s="318"/>
      <c r="T12603" s="318"/>
      <c r="U12603" s="318"/>
      <c r="V12603" s="318"/>
      <c r="W12603" s="318"/>
      <c r="X12603" s="318"/>
      <c r="Y12603" s="318"/>
      <c r="Z12603" s="318"/>
      <c r="AA12603" s="318"/>
      <c r="AB12603" s="318"/>
      <c r="AC12603" s="318"/>
      <c r="AD12603" s="318"/>
    </row>
    <row r="12604" spans="2:30" s="323" customFormat="1" ht="12" customHeight="1">
      <c r="B12604" s="324"/>
      <c r="C12604" s="325"/>
      <c r="D12604" s="326"/>
      <c r="E12604" s="326"/>
      <c r="F12604" s="326"/>
      <c r="G12604" s="326"/>
      <c r="H12604" s="326"/>
      <c r="P12604" s="318"/>
      <c r="Q12604" s="318"/>
      <c r="R12604" s="318"/>
      <c r="S12604" s="318"/>
      <c r="T12604" s="318"/>
      <c r="U12604" s="318"/>
      <c r="V12604" s="318"/>
      <c r="W12604" s="318"/>
      <c r="X12604" s="318"/>
      <c r="Y12604" s="318"/>
      <c r="Z12604" s="318"/>
      <c r="AA12604" s="318"/>
      <c r="AB12604" s="318"/>
      <c r="AC12604" s="318"/>
      <c r="AD12604" s="318"/>
    </row>
    <row r="12605" spans="2:30" s="323" customFormat="1" ht="12" customHeight="1">
      <c r="B12605" s="324"/>
      <c r="C12605" s="325"/>
      <c r="D12605" s="326"/>
      <c r="E12605" s="326"/>
      <c r="F12605" s="326"/>
      <c r="G12605" s="326"/>
      <c r="H12605" s="326"/>
      <c r="P12605" s="318"/>
      <c r="Q12605" s="318"/>
      <c r="R12605" s="318"/>
      <c r="S12605" s="318"/>
      <c r="T12605" s="318"/>
      <c r="U12605" s="318"/>
      <c r="V12605" s="318"/>
      <c r="W12605" s="318"/>
      <c r="X12605" s="318"/>
      <c r="Y12605" s="318"/>
      <c r="Z12605" s="318"/>
      <c r="AA12605" s="318"/>
      <c r="AB12605" s="318"/>
      <c r="AC12605" s="318"/>
      <c r="AD12605" s="318"/>
    </row>
    <row r="12606" spans="2:30" s="323" customFormat="1" ht="12" customHeight="1">
      <c r="B12606" s="324"/>
      <c r="C12606" s="325"/>
      <c r="D12606" s="326"/>
      <c r="E12606" s="326"/>
      <c r="F12606" s="326"/>
      <c r="G12606" s="326"/>
      <c r="H12606" s="326"/>
      <c r="P12606" s="318"/>
      <c r="Q12606" s="318"/>
      <c r="R12606" s="318"/>
      <c r="S12606" s="318"/>
      <c r="T12606" s="318"/>
      <c r="U12606" s="318"/>
      <c r="V12606" s="318"/>
      <c r="W12606" s="318"/>
      <c r="X12606" s="318"/>
      <c r="Y12606" s="318"/>
      <c r="Z12606" s="318"/>
      <c r="AA12606" s="318"/>
      <c r="AB12606" s="318"/>
      <c r="AC12606" s="318"/>
      <c r="AD12606" s="318"/>
    </row>
    <row r="12607" spans="2:30" s="323" customFormat="1" ht="12" customHeight="1">
      <c r="B12607" s="324"/>
      <c r="C12607" s="325"/>
      <c r="D12607" s="326"/>
      <c r="E12607" s="326"/>
      <c r="F12607" s="326"/>
      <c r="G12607" s="326"/>
      <c r="H12607" s="326"/>
      <c r="P12607" s="318"/>
      <c r="Q12607" s="318"/>
      <c r="R12607" s="318"/>
      <c r="S12607" s="318"/>
      <c r="T12607" s="318"/>
      <c r="U12607" s="318"/>
      <c r="V12607" s="318"/>
      <c r="W12607" s="318"/>
      <c r="X12607" s="318"/>
      <c r="Y12607" s="318"/>
      <c r="Z12607" s="318"/>
      <c r="AA12607" s="318"/>
      <c r="AB12607" s="318"/>
      <c r="AC12607" s="318"/>
      <c r="AD12607" s="318"/>
    </row>
    <row r="12608" spans="2:30" s="323" customFormat="1" ht="12" customHeight="1">
      <c r="B12608" s="324"/>
      <c r="C12608" s="325"/>
      <c r="D12608" s="326"/>
      <c r="E12608" s="326"/>
      <c r="F12608" s="326"/>
      <c r="G12608" s="326"/>
      <c r="H12608" s="326"/>
      <c r="P12608" s="318"/>
      <c r="Q12608" s="318"/>
      <c r="R12608" s="318"/>
      <c r="S12608" s="318"/>
      <c r="T12608" s="318"/>
      <c r="U12608" s="318"/>
      <c r="V12608" s="318"/>
      <c r="W12608" s="318"/>
      <c r="X12608" s="318"/>
      <c r="Y12608" s="318"/>
      <c r="Z12608" s="318"/>
      <c r="AA12608" s="318"/>
      <c r="AB12608" s="318"/>
      <c r="AC12608" s="318"/>
      <c r="AD12608" s="318"/>
    </row>
    <row r="12609" spans="2:30" s="323" customFormat="1" ht="12" customHeight="1">
      <c r="B12609" s="324"/>
      <c r="C12609" s="325"/>
      <c r="D12609" s="326"/>
      <c r="E12609" s="326"/>
      <c r="F12609" s="326"/>
      <c r="G12609" s="326"/>
      <c r="H12609" s="326"/>
      <c r="P12609" s="318"/>
      <c r="Q12609" s="318"/>
      <c r="R12609" s="318"/>
      <c r="S12609" s="318"/>
      <c r="T12609" s="318"/>
      <c r="U12609" s="318"/>
      <c r="V12609" s="318"/>
      <c r="W12609" s="318"/>
      <c r="X12609" s="318"/>
      <c r="Y12609" s="318"/>
      <c r="Z12609" s="318"/>
      <c r="AA12609" s="318"/>
      <c r="AB12609" s="318"/>
      <c r="AC12609" s="318"/>
      <c r="AD12609" s="318"/>
    </row>
    <row r="12610" spans="2:30" s="323" customFormat="1" ht="12" customHeight="1">
      <c r="B12610" s="324"/>
      <c r="C12610" s="325"/>
      <c r="D12610" s="326"/>
      <c r="E12610" s="326"/>
      <c r="F12610" s="326"/>
      <c r="G12610" s="326"/>
      <c r="H12610" s="326"/>
      <c r="P12610" s="318"/>
      <c r="Q12610" s="318"/>
      <c r="R12610" s="318"/>
      <c r="S12610" s="318"/>
      <c r="T12610" s="318"/>
      <c r="U12610" s="318"/>
      <c r="V12610" s="318"/>
      <c r="W12610" s="318"/>
      <c r="X12610" s="318"/>
      <c r="Y12610" s="318"/>
      <c r="Z12610" s="318"/>
      <c r="AA12610" s="318"/>
      <c r="AB12610" s="318"/>
      <c r="AC12610" s="318"/>
      <c r="AD12610" s="318"/>
    </row>
    <row r="12611" spans="2:30" s="323" customFormat="1" ht="12" customHeight="1">
      <c r="B12611" s="324"/>
      <c r="C12611" s="325"/>
      <c r="D12611" s="326"/>
      <c r="E12611" s="326"/>
      <c r="F12611" s="326"/>
      <c r="G12611" s="326"/>
      <c r="H12611" s="326"/>
      <c r="P12611" s="318"/>
      <c r="Q12611" s="318"/>
      <c r="R12611" s="318"/>
      <c r="S12611" s="318"/>
      <c r="T12611" s="318"/>
      <c r="U12611" s="318"/>
      <c r="V12611" s="318"/>
      <c r="W12611" s="318"/>
      <c r="X12611" s="318"/>
      <c r="Y12611" s="318"/>
      <c r="Z12611" s="318"/>
      <c r="AA12611" s="318"/>
      <c r="AB12611" s="318"/>
      <c r="AC12611" s="318"/>
      <c r="AD12611" s="318"/>
    </row>
    <row r="12612" spans="2:30" s="323" customFormat="1" ht="12" customHeight="1">
      <c r="B12612" s="324"/>
      <c r="C12612" s="325"/>
      <c r="D12612" s="326"/>
      <c r="E12612" s="326"/>
      <c r="F12612" s="326"/>
      <c r="G12612" s="326"/>
      <c r="H12612" s="326"/>
      <c r="P12612" s="318"/>
      <c r="Q12612" s="318"/>
      <c r="R12612" s="318"/>
      <c r="S12612" s="318"/>
      <c r="T12612" s="318"/>
      <c r="U12612" s="318"/>
      <c r="V12612" s="318"/>
      <c r="W12612" s="318"/>
      <c r="X12612" s="318"/>
      <c r="Y12612" s="318"/>
      <c r="Z12612" s="318"/>
      <c r="AA12612" s="318"/>
      <c r="AB12612" s="318"/>
      <c r="AC12612" s="318"/>
      <c r="AD12612" s="318"/>
    </row>
    <row r="12613" spans="2:30" s="323" customFormat="1" ht="12" customHeight="1">
      <c r="B12613" s="324"/>
      <c r="C12613" s="325"/>
      <c r="D12613" s="326"/>
      <c r="E12613" s="326"/>
      <c r="F12613" s="326"/>
      <c r="G12613" s="326"/>
      <c r="H12613" s="326"/>
      <c r="P12613" s="318"/>
      <c r="Q12613" s="318"/>
      <c r="R12613" s="318"/>
      <c r="S12613" s="318"/>
      <c r="T12613" s="318"/>
      <c r="U12613" s="318"/>
      <c r="V12613" s="318"/>
      <c r="W12613" s="318"/>
      <c r="X12613" s="318"/>
      <c r="Y12613" s="318"/>
      <c r="Z12613" s="318"/>
      <c r="AA12613" s="318"/>
      <c r="AB12613" s="318"/>
      <c r="AC12613" s="318"/>
      <c r="AD12613" s="318"/>
    </row>
    <row r="12614" spans="2:30" s="323" customFormat="1" ht="12" customHeight="1">
      <c r="B12614" s="324"/>
      <c r="C12614" s="325"/>
      <c r="D12614" s="326"/>
      <c r="E12614" s="326"/>
      <c r="F12614" s="326"/>
      <c r="G12614" s="326"/>
      <c r="H12614" s="326"/>
      <c r="P12614" s="318"/>
      <c r="Q12614" s="318"/>
      <c r="R12614" s="318"/>
      <c r="S12614" s="318"/>
      <c r="T12614" s="318"/>
      <c r="U12614" s="318"/>
      <c r="V12614" s="318"/>
      <c r="W12614" s="318"/>
      <c r="X12614" s="318"/>
      <c r="Y12614" s="318"/>
      <c r="Z12614" s="318"/>
      <c r="AA12614" s="318"/>
      <c r="AB12614" s="318"/>
      <c r="AC12614" s="318"/>
      <c r="AD12614" s="318"/>
    </row>
    <row r="12615" spans="2:30" s="323" customFormat="1" ht="12" customHeight="1">
      <c r="B12615" s="324"/>
      <c r="C12615" s="325"/>
      <c r="D12615" s="326"/>
      <c r="E12615" s="326"/>
      <c r="F12615" s="326"/>
      <c r="G12615" s="326"/>
      <c r="H12615" s="326"/>
      <c r="P12615" s="318"/>
      <c r="Q12615" s="318"/>
      <c r="R12615" s="318"/>
      <c r="S12615" s="318"/>
      <c r="T12615" s="318"/>
      <c r="U12615" s="318"/>
      <c r="V12615" s="318"/>
      <c r="W12615" s="318"/>
      <c r="X12615" s="318"/>
      <c r="Y12615" s="318"/>
      <c r="Z12615" s="318"/>
      <c r="AA12615" s="318"/>
      <c r="AB12615" s="318"/>
      <c r="AC12615" s="318"/>
      <c r="AD12615" s="318"/>
    </row>
    <row r="12616" spans="2:30" s="323" customFormat="1" ht="12" customHeight="1">
      <c r="B12616" s="324"/>
      <c r="C12616" s="325"/>
      <c r="D12616" s="326"/>
      <c r="E12616" s="326"/>
      <c r="F12616" s="326"/>
      <c r="G12616" s="326"/>
      <c r="H12616" s="326"/>
      <c r="P12616" s="318"/>
      <c r="Q12616" s="318"/>
      <c r="R12616" s="318"/>
      <c r="S12616" s="318"/>
      <c r="T12616" s="318"/>
      <c r="U12616" s="318"/>
      <c r="V12616" s="318"/>
      <c r="W12616" s="318"/>
      <c r="X12616" s="318"/>
      <c r="Y12616" s="318"/>
      <c r="Z12616" s="318"/>
      <c r="AA12616" s="318"/>
      <c r="AB12616" s="318"/>
      <c r="AC12616" s="318"/>
      <c r="AD12616" s="318"/>
    </row>
    <row r="12617" spans="2:30" s="323" customFormat="1" ht="12" customHeight="1">
      <c r="B12617" s="324"/>
      <c r="C12617" s="325"/>
      <c r="D12617" s="326"/>
      <c r="E12617" s="326"/>
      <c r="F12617" s="326"/>
      <c r="G12617" s="326"/>
      <c r="H12617" s="326"/>
      <c r="P12617" s="318"/>
      <c r="Q12617" s="318"/>
      <c r="R12617" s="318"/>
      <c r="S12617" s="318"/>
      <c r="T12617" s="318"/>
      <c r="U12617" s="318"/>
      <c r="V12617" s="318"/>
      <c r="W12617" s="318"/>
      <c r="X12617" s="318"/>
      <c r="Y12617" s="318"/>
      <c r="Z12617" s="318"/>
      <c r="AA12617" s="318"/>
      <c r="AB12617" s="318"/>
      <c r="AC12617" s="318"/>
      <c r="AD12617" s="318"/>
    </row>
    <row r="12618" spans="2:30" s="323" customFormat="1" ht="12" customHeight="1">
      <c r="B12618" s="324"/>
      <c r="C12618" s="325"/>
      <c r="D12618" s="326"/>
      <c r="E12618" s="326"/>
      <c r="F12618" s="326"/>
      <c r="G12618" s="326"/>
      <c r="H12618" s="326"/>
      <c r="P12618" s="318"/>
      <c r="Q12618" s="318"/>
      <c r="R12618" s="318"/>
      <c r="S12618" s="318"/>
      <c r="T12618" s="318"/>
      <c r="U12618" s="318"/>
      <c r="V12618" s="318"/>
      <c r="W12618" s="318"/>
      <c r="X12618" s="318"/>
      <c r="Y12618" s="318"/>
      <c r="Z12618" s="318"/>
      <c r="AA12618" s="318"/>
      <c r="AB12618" s="318"/>
      <c r="AC12618" s="318"/>
      <c r="AD12618" s="318"/>
    </row>
    <row r="12619" spans="2:30" s="323" customFormat="1" ht="12" customHeight="1">
      <c r="B12619" s="324"/>
      <c r="C12619" s="325"/>
      <c r="D12619" s="326"/>
      <c r="E12619" s="326"/>
      <c r="F12619" s="326"/>
      <c r="G12619" s="326"/>
      <c r="H12619" s="326"/>
      <c r="P12619" s="318"/>
      <c r="Q12619" s="318"/>
      <c r="R12619" s="318"/>
      <c r="S12619" s="318"/>
      <c r="T12619" s="318"/>
      <c r="U12619" s="318"/>
      <c r="V12619" s="318"/>
      <c r="W12619" s="318"/>
      <c r="X12619" s="318"/>
      <c r="Y12619" s="318"/>
      <c r="Z12619" s="318"/>
      <c r="AA12619" s="318"/>
      <c r="AB12619" s="318"/>
      <c r="AC12619" s="318"/>
      <c r="AD12619" s="318"/>
    </row>
    <row r="12620" spans="2:30" s="323" customFormat="1" ht="12" customHeight="1">
      <c r="B12620" s="324"/>
      <c r="C12620" s="325"/>
      <c r="D12620" s="326"/>
      <c r="E12620" s="326"/>
      <c r="F12620" s="326"/>
      <c r="G12620" s="326"/>
      <c r="H12620" s="326"/>
      <c r="P12620" s="318"/>
      <c r="Q12620" s="318"/>
      <c r="R12620" s="318"/>
      <c r="S12620" s="318"/>
      <c r="T12620" s="318"/>
      <c r="U12620" s="318"/>
      <c r="V12620" s="318"/>
      <c r="W12620" s="318"/>
      <c r="X12620" s="318"/>
      <c r="Y12620" s="318"/>
      <c r="Z12620" s="318"/>
      <c r="AA12620" s="318"/>
      <c r="AB12620" s="318"/>
      <c r="AC12620" s="318"/>
      <c r="AD12620" s="318"/>
    </row>
    <row r="12621" spans="2:30" s="323" customFormat="1" ht="12" customHeight="1">
      <c r="B12621" s="324"/>
      <c r="C12621" s="325"/>
      <c r="D12621" s="326"/>
      <c r="E12621" s="326"/>
      <c r="F12621" s="326"/>
      <c r="G12621" s="326"/>
      <c r="H12621" s="326"/>
      <c r="P12621" s="318"/>
      <c r="Q12621" s="318"/>
      <c r="R12621" s="318"/>
      <c r="S12621" s="318"/>
      <c r="T12621" s="318"/>
      <c r="U12621" s="318"/>
      <c r="V12621" s="318"/>
      <c r="W12621" s="318"/>
      <c r="X12621" s="318"/>
      <c r="Y12621" s="318"/>
      <c r="Z12621" s="318"/>
      <c r="AA12621" s="318"/>
      <c r="AB12621" s="318"/>
      <c r="AC12621" s="318"/>
      <c r="AD12621" s="318"/>
    </row>
    <row r="12622" spans="2:30" s="323" customFormat="1" ht="12" customHeight="1">
      <c r="B12622" s="324"/>
      <c r="C12622" s="325"/>
      <c r="D12622" s="326"/>
      <c r="E12622" s="326"/>
      <c r="F12622" s="326"/>
      <c r="G12622" s="326"/>
      <c r="H12622" s="326"/>
      <c r="P12622" s="318"/>
      <c r="Q12622" s="318"/>
      <c r="R12622" s="318"/>
      <c r="S12622" s="318"/>
      <c r="T12622" s="318"/>
      <c r="U12622" s="318"/>
      <c r="V12622" s="318"/>
      <c r="W12622" s="318"/>
      <c r="X12622" s="318"/>
      <c r="Y12622" s="318"/>
      <c r="Z12622" s="318"/>
      <c r="AA12622" s="318"/>
      <c r="AB12622" s="318"/>
      <c r="AC12622" s="318"/>
      <c r="AD12622" s="318"/>
    </row>
    <row r="12623" spans="2:30" s="323" customFormat="1" ht="12" customHeight="1">
      <c r="B12623" s="324"/>
      <c r="C12623" s="325"/>
      <c r="D12623" s="326"/>
      <c r="E12623" s="326"/>
      <c r="F12623" s="326"/>
      <c r="G12623" s="326"/>
      <c r="H12623" s="326"/>
      <c r="P12623" s="318"/>
      <c r="Q12623" s="318"/>
      <c r="R12623" s="318"/>
      <c r="S12623" s="318"/>
      <c r="T12623" s="318"/>
      <c r="U12623" s="318"/>
      <c r="V12623" s="318"/>
      <c r="W12623" s="318"/>
      <c r="X12623" s="318"/>
      <c r="Y12623" s="318"/>
      <c r="Z12623" s="318"/>
      <c r="AA12623" s="318"/>
      <c r="AB12623" s="318"/>
      <c r="AC12623" s="318"/>
      <c r="AD12623" s="318"/>
    </row>
    <row r="12624" spans="2:30" s="323" customFormat="1" ht="12" customHeight="1">
      <c r="B12624" s="324"/>
      <c r="C12624" s="325"/>
      <c r="D12624" s="326"/>
      <c r="E12624" s="326"/>
      <c r="F12624" s="326"/>
      <c r="G12624" s="326"/>
      <c r="H12624" s="326"/>
      <c r="P12624" s="318"/>
      <c r="Q12624" s="318"/>
      <c r="R12624" s="318"/>
      <c r="S12624" s="318"/>
      <c r="T12624" s="318"/>
      <c r="U12624" s="318"/>
      <c r="V12624" s="318"/>
      <c r="W12624" s="318"/>
      <c r="X12624" s="318"/>
      <c r="Y12624" s="318"/>
      <c r="Z12624" s="318"/>
      <c r="AA12624" s="318"/>
      <c r="AB12624" s="318"/>
      <c r="AC12624" s="318"/>
      <c r="AD12624" s="318"/>
    </row>
    <row r="12625" spans="2:30" s="323" customFormat="1" ht="12" customHeight="1">
      <c r="B12625" s="324"/>
      <c r="C12625" s="325"/>
      <c r="D12625" s="326"/>
      <c r="E12625" s="326"/>
      <c r="F12625" s="326"/>
      <c r="G12625" s="326"/>
      <c r="H12625" s="326"/>
      <c r="P12625" s="318"/>
      <c r="Q12625" s="318"/>
      <c r="R12625" s="318"/>
      <c r="S12625" s="318"/>
      <c r="T12625" s="318"/>
      <c r="U12625" s="318"/>
      <c r="V12625" s="318"/>
      <c r="W12625" s="318"/>
      <c r="X12625" s="318"/>
      <c r="Y12625" s="318"/>
      <c r="Z12625" s="318"/>
      <c r="AA12625" s="318"/>
      <c r="AB12625" s="318"/>
      <c r="AC12625" s="318"/>
      <c r="AD12625" s="318"/>
    </row>
    <row r="12626" spans="2:30" s="323" customFormat="1" ht="12" customHeight="1">
      <c r="B12626" s="324"/>
      <c r="C12626" s="325"/>
      <c r="D12626" s="326"/>
      <c r="E12626" s="326"/>
      <c r="F12626" s="326"/>
      <c r="G12626" s="326"/>
      <c r="H12626" s="326"/>
      <c r="P12626" s="318"/>
      <c r="Q12626" s="318"/>
      <c r="R12626" s="318"/>
      <c r="S12626" s="318"/>
      <c r="T12626" s="318"/>
      <c r="U12626" s="318"/>
      <c r="V12626" s="318"/>
      <c r="W12626" s="318"/>
      <c r="X12626" s="318"/>
      <c r="Y12626" s="318"/>
      <c r="Z12626" s="318"/>
      <c r="AA12626" s="318"/>
      <c r="AB12626" s="318"/>
      <c r="AC12626" s="318"/>
      <c r="AD12626" s="318"/>
    </row>
    <row r="12627" spans="2:30" s="323" customFormat="1" ht="12" customHeight="1">
      <c r="B12627" s="324"/>
      <c r="C12627" s="325"/>
      <c r="D12627" s="326"/>
      <c r="E12627" s="326"/>
      <c r="F12627" s="326"/>
      <c r="G12627" s="326"/>
      <c r="H12627" s="326"/>
      <c r="P12627" s="318"/>
      <c r="Q12627" s="318"/>
      <c r="R12627" s="318"/>
      <c r="S12627" s="318"/>
      <c r="T12627" s="318"/>
      <c r="U12627" s="318"/>
      <c r="V12627" s="318"/>
      <c r="W12627" s="318"/>
      <c r="X12627" s="318"/>
      <c r="Y12627" s="318"/>
      <c r="Z12627" s="318"/>
      <c r="AA12627" s="318"/>
      <c r="AB12627" s="318"/>
      <c r="AC12627" s="318"/>
      <c r="AD12627" s="318"/>
    </row>
    <row r="12628" spans="2:30" s="323" customFormat="1" ht="12" customHeight="1">
      <c r="B12628" s="324"/>
      <c r="C12628" s="325"/>
      <c r="D12628" s="326"/>
      <c r="E12628" s="326"/>
      <c r="F12628" s="326"/>
      <c r="G12628" s="326"/>
      <c r="H12628" s="326"/>
      <c r="P12628" s="318"/>
      <c r="Q12628" s="318"/>
      <c r="R12628" s="318"/>
      <c r="S12628" s="318"/>
      <c r="T12628" s="318"/>
      <c r="U12628" s="318"/>
      <c r="V12628" s="318"/>
      <c r="W12628" s="318"/>
      <c r="X12628" s="318"/>
      <c r="Y12628" s="318"/>
      <c r="Z12628" s="318"/>
      <c r="AA12628" s="318"/>
      <c r="AB12628" s="318"/>
      <c r="AC12628" s="318"/>
      <c r="AD12628" s="318"/>
    </row>
    <row r="12629" spans="2:30" s="323" customFormat="1" ht="12" customHeight="1">
      <c r="B12629" s="324"/>
      <c r="C12629" s="325"/>
      <c r="D12629" s="326"/>
      <c r="E12629" s="326"/>
      <c r="F12629" s="326"/>
      <c r="G12629" s="326"/>
      <c r="H12629" s="326"/>
      <c r="P12629" s="318"/>
      <c r="Q12629" s="318"/>
      <c r="R12629" s="318"/>
      <c r="S12629" s="318"/>
      <c r="T12629" s="318"/>
      <c r="U12629" s="318"/>
      <c r="V12629" s="318"/>
      <c r="W12629" s="318"/>
      <c r="X12629" s="318"/>
      <c r="Y12629" s="318"/>
      <c r="Z12629" s="318"/>
      <c r="AA12629" s="318"/>
      <c r="AB12629" s="318"/>
      <c r="AC12629" s="318"/>
      <c r="AD12629" s="318"/>
    </row>
    <row r="12630" spans="2:30" s="323" customFormat="1" ht="12" customHeight="1">
      <c r="B12630" s="324"/>
      <c r="C12630" s="325"/>
      <c r="D12630" s="326"/>
      <c r="E12630" s="326"/>
      <c r="F12630" s="326"/>
      <c r="G12630" s="326"/>
      <c r="H12630" s="326"/>
      <c r="P12630" s="318"/>
      <c r="Q12630" s="318"/>
      <c r="R12630" s="318"/>
      <c r="S12630" s="318"/>
      <c r="T12630" s="318"/>
      <c r="U12630" s="318"/>
      <c r="V12630" s="318"/>
      <c r="W12630" s="318"/>
      <c r="X12630" s="318"/>
      <c r="Y12630" s="318"/>
      <c r="Z12630" s="318"/>
      <c r="AA12630" s="318"/>
      <c r="AB12630" s="318"/>
      <c r="AC12630" s="318"/>
      <c r="AD12630" s="318"/>
    </row>
    <row r="12631" spans="2:30" s="323" customFormat="1" ht="12" customHeight="1">
      <c r="B12631" s="324"/>
      <c r="C12631" s="325"/>
      <c r="D12631" s="326"/>
      <c r="E12631" s="326"/>
      <c r="F12631" s="326"/>
      <c r="G12631" s="326"/>
      <c r="H12631" s="326"/>
      <c r="P12631" s="318"/>
      <c r="Q12631" s="318"/>
      <c r="R12631" s="318"/>
      <c r="S12631" s="318"/>
      <c r="T12631" s="318"/>
      <c r="U12631" s="318"/>
      <c r="V12631" s="318"/>
      <c r="W12631" s="318"/>
      <c r="X12631" s="318"/>
      <c r="Y12631" s="318"/>
      <c r="Z12631" s="318"/>
      <c r="AA12631" s="318"/>
      <c r="AB12631" s="318"/>
      <c r="AC12631" s="318"/>
      <c r="AD12631" s="318"/>
    </row>
    <row r="12632" spans="2:30" s="323" customFormat="1" ht="12" customHeight="1">
      <c r="B12632" s="324"/>
      <c r="C12632" s="325"/>
      <c r="D12632" s="326"/>
      <c r="E12632" s="326"/>
      <c r="F12632" s="326"/>
      <c r="G12632" s="326"/>
      <c r="H12632" s="326"/>
      <c r="P12632" s="318"/>
      <c r="Q12632" s="318"/>
      <c r="R12632" s="318"/>
      <c r="S12632" s="318"/>
      <c r="T12632" s="318"/>
      <c r="U12632" s="318"/>
      <c r="V12632" s="318"/>
      <c r="W12632" s="318"/>
      <c r="X12632" s="318"/>
      <c r="Y12632" s="318"/>
      <c r="Z12632" s="318"/>
      <c r="AA12632" s="318"/>
      <c r="AB12632" s="318"/>
      <c r="AC12632" s="318"/>
      <c r="AD12632" s="318"/>
    </row>
    <row r="12633" spans="2:30" s="323" customFormat="1" ht="12" customHeight="1">
      <c r="B12633" s="324"/>
      <c r="C12633" s="325"/>
      <c r="D12633" s="326"/>
      <c r="E12633" s="326"/>
      <c r="F12633" s="326"/>
      <c r="G12633" s="326"/>
      <c r="H12633" s="326"/>
      <c r="P12633" s="318"/>
      <c r="Q12633" s="318"/>
      <c r="R12633" s="318"/>
      <c r="S12633" s="318"/>
      <c r="T12633" s="318"/>
      <c r="U12633" s="318"/>
      <c r="V12633" s="318"/>
      <c r="W12633" s="318"/>
      <c r="X12633" s="318"/>
      <c r="Y12633" s="318"/>
      <c r="Z12633" s="318"/>
      <c r="AA12633" s="318"/>
      <c r="AB12633" s="318"/>
      <c r="AC12633" s="318"/>
      <c r="AD12633" s="318"/>
    </row>
    <row r="12634" spans="2:30" s="323" customFormat="1" ht="12" customHeight="1">
      <c r="B12634" s="324"/>
      <c r="C12634" s="325"/>
      <c r="D12634" s="326"/>
      <c r="E12634" s="326"/>
      <c r="F12634" s="326"/>
      <c r="G12634" s="326"/>
      <c r="H12634" s="326"/>
      <c r="P12634" s="318"/>
      <c r="Q12634" s="318"/>
      <c r="R12634" s="318"/>
      <c r="S12634" s="318"/>
      <c r="T12634" s="318"/>
      <c r="U12634" s="318"/>
      <c r="V12634" s="318"/>
      <c r="W12634" s="318"/>
      <c r="X12634" s="318"/>
      <c r="Y12634" s="318"/>
      <c r="Z12634" s="318"/>
      <c r="AA12634" s="318"/>
      <c r="AB12634" s="318"/>
      <c r="AC12634" s="318"/>
      <c r="AD12634" s="318"/>
    </row>
    <row r="12635" spans="2:30" s="323" customFormat="1" ht="12" customHeight="1">
      <c r="B12635" s="324"/>
      <c r="C12635" s="325"/>
      <c r="D12635" s="326"/>
      <c r="E12635" s="326"/>
      <c r="F12635" s="326"/>
      <c r="G12635" s="326"/>
      <c r="H12635" s="326"/>
      <c r="P12635" s="318"/>
      <c r="Q12635" s="318"/>
      <c r="R12635" s="318"/>
      <c r="S12635" s="318"/>
      <c r="T12635" s="318"/>
      <c r="U12635" s="318"/>
      <c r="V12635" s="318"/>
      <c r="W12635" s="318"/>
      <c r="X12635" s="318"/>
      <c r="Y12635" s="318"/>
      <c r="Z12635" s="318"/>
      <c r="AA12635" s="318"/>
      <c r="AB12635" s="318"/>
      <c r="AC12635" s="318"/>
      <c r="AD12635" s="318"/>
    </row>
    <row r="12636" spans="2:30" s="323" customFormat="1" ht="12" customHeight="1">
      <c r="B12636" s="324"/>
      <c r="C12636" s="325"/>
      <c r="D12636" s="326"/>
      <c r="E12636" s="326"/>
      <c r="F12636" s="326"/>
      <c r="G12636" s="326"/>
      <c r="H12636" s="326"/>
      <c r="P12636" s="318"/>
      <c r="Q12636" s="318"/>
      <c r="R12636" s="318"/>
      <c r="S12636" s="318"/>
      <c r="T12636" s="318"/>
      <c r="U12636" s="318"/>
      <c r="V12636" s="318"/>
      <c r="W12636" s="318"/>
      <c r="X12636" s="318"/>
      <c r="Y12636" s="318"/>
      <c r="Z12636" s="318"/>
      <c r="AA12636" s="318"/>
      <c r="AB12636" s="318"/>
      <c r="AC12636" s="318"/>
      <c r="AD12636" s="318"/>
    </row>
    <row r="12637" spans="2:30" s="323" customFormat="1" ht="12" customHeight="1">
      <c r="B12637" s="324"/>
      <c r="C12637" s="325"/>
      <c r="D12637" s="326"/>
      <c r="E12637" s="326"/>
      <c r="F12637" s="326"/>
      <c r="G12637" s="326"/>
      <c r="H12637" s="326"/>
      <c r="P12637" s="318"/>
      <c r="Q12637" s="318"/>
      <c r="R12637" s="318"/>
      <c r="S12637" s="318"/>
      <c r="T12637" s="318"/>
      <c r="U12637" s="318"/>
      <c r="V12637" s="318"/>
      <c r="W12637" s="318"/>
      <c r="X12637" s="318"/>
      <c r="Y12637" s="318"/>
      <c r="Z12637" s="318"/>
      <c r="AA12637" s="318"/>
      <c r="AB12637" s="318"/>
      <c r="AC12637" s="318"/>
      <c r="AD12637" s="318"/>
    </row>
    <row r="12638" spans="2:30" s="323" customFormat="1" ht="12" customHeight="1">
      <c r="B12638" s="324"/>
      <c r="C12638" s="325"/>
      <c r="D12638" s="326"/>
      <c r="E12638" s="326"/>
      <c r="F12638" s="326"/>
      <c r="G12638" s="326"/>
      <c r="H12638" s="326"/>
      <c r="P12638" s="318"/>
      <c r="Q12638" s="318"/>
      <c r="R12638" s="318"/>
      <c r="S12638" s="318"/>
      <c r="T12638" s="318"/>
      <c r="U12638" s="318"/>
      <c r="V12638" s="318"/>
      <c r="W12638" s="318"/>
      <c r="X12638" s="318"/>
      <c r="Y12638" s="318"/>
      <c r="Z12638" s="318"/>
      <c r="AA12638" s="318"/>
      <c r="AB12638" s="318"/>
      <c r="AC12638" s="318"/>
      <c r="AD12638" s="318"/>
    </row>
    <row r="12639" spans="2:30" s="323" customFormat="1" ht="12" customHeight="1">
      <c r="B12639" s="324"/>
      <c r="C12639" s="325"/>
      <c r="D12639" s="326"/>
      <c r="E12639" s="326"/>
      <c r="F12639" s="326"/>
      <c r="G12639" s="326"/>
      <c r="H12639" s="326"/>
      <c r="P12639" s="318"/>
      <c r="Q12639" s="318"/>
      <c r="R12639" s="318"/>
      <c r="S12639" s="318"/>
      <c r="T12639" s="318"/>
      <c r="U12639" s="318"/>
      <c r="V12639" s="318"/>
      <c r="W12639" s="318"/>
      <c r="X12639" s="318"/>
      <c r="Y12639" s="318"/>
      <c r="Z12639" s="318"/>
      <c r="AA12639" s="318"/>
      <c r="AB12639" s="318"/>
      <c r="AC12639" s="318"/>
      <c r="AD12639" s="318"/>
    </row>
    <row r="12640" spans="2:30" s="323" customFormat="1" ht="12" customHeight="1">
      <c r="B12640" s="324"/>
      <c r="C12640" s="325"/>
      <c r="D12640" s="326"/>
      <c r="E12640" s="326"/>
      <c r="F12640" s="326"/>
      <c r="G12640" s="326"/>
      <c r="H12640" s="326"/>
      <c r="P12640" s="318"/>
      <c r="Q12640" s="318"/>
      <c r="R12640" s="318"/>
      <c r="S12640" s="318"/>
      <c r="T12640" s="318"/>
      <c r="U12640" s="318"/>
      <c r="V12640" s="318"/>
      <c r="W12640" s="318"/>
      <c r="X12640" s="318"/>
      <c r="Y12640" s="318"/>
      <c r="Z12640" s="318"/>
      <c r="AA12640" s="318"/>
      <c r="AB12640" s="318"/>
      <c r="AC12640" s="318"/>
      <c r="AD12640" s="318"/>
    </row>
    <row r="12641" spans="2:30" s="323" customFormat="1" ht="12" customHeight="1">
      <c r="B12641" s="324"/>
      <c r="C12641" s="325"/>
      <c r="D12641" s="326"/>
      <c r="E12641" s="326"/>
      <c r="F12641" s="326"/>
      <c r="G12641" s="326"/>
      <c r="H12641" s="326"/>
      <c r="P12641" s="318"/>
      <c r="Q12641" s="318"/>
      <c r="R12641" s="318"/>
      <c r="S12641" s="318"/>
      <c r="T12641" s="318"/>
      <c r="U12641" s="318"/>
      <c r="V12641" s="318"/>
      <c r="W12641" s="318"/>
      <c r="X12641" s="318"/>
      <c r="Y12641" s="318"/>
      <c r="Z12641" s="318"/>
      <c r="AA12641" s="318"/>
      <c r="AB12641" s="318"/>
      <c r="AC12641" s="318"/>
      <c r="AD12641" s="318"/>
    </row>
    <row r="12642" spans="2:30" s="323" customFormat="1" ht="12" customHeight="1">
      <c r="B12642" s="324"/>
      <c r="C12642" s="325"/>
      <c r="D12642" s="326"/>
      <c r="E12642" s="326"/>
      <c r="F12642" s="326"/>
      <c r="G12642" s="326"/>
      <c r="H12642" s="326"/>
      <c r="P12642" s="318"/>
      <c r="Q12642" s="318"/>
      <c r="R12642" s="318"/>
      <c r="S12642" s="318"/>
      <c r="T12642" s="318"/>
      <c r="U12642" s="318"/>
      <c r="V12642" s="318"/>
      <c r="W12642" s="318"/>
      <c r="X12642" s="318"/>
      <c r="Y12642" s="318"/>
      <c r="Z12642" s="318"/>
      <c r="AA12642" s="318"/>
      <c r="AB12642" s="318"/>
      <c r="AC12642" s="318"/>
      <c r="AD12642" s="318"/>
    </row>
    <row r="12643" spans="2:30" s="323" customFormat="1" ht="12" customHeight="1">
      <c r="B12643" s="324"/>
      <c r="C12643" s="325"/>
      <c r="D12643" s="326"/>
      <c r="E12643" s="326"/>
      <c r="F12643" s="326"/>
      <c r="G12643" s="326"/>
      <c r="H12643" s="326"/>
      <c r="P12643" s="318"/>
      <c r="Q12643" s="318"/>
      <c r="R12643" s="318"/>
      <c r="S12643" s="318"/>
      <c r="T12643" s="318"/>
      <c r="U12643" s="318"/>
      <c r="V12643" s="318"/>
      <c r="W12643" s="318"/>
      <c r="X12643" s="318"/>
      <c r="Y12643" s="318"/>
      <c r="Z12643" s="318"/>
      <c r="AA12643" s="318"/>
      <c r="AB12643" s="318"/>
      <c r="AC12643" s="318"/>
      <c r="AD12643" s="318"/>
    </row>
    <row r="12644" spans="2:30" s="323" customFormat="1" ht="12" customHeight="1">
      <c r="B12644" s="324"/>
      <c r="C12644" s="325"/>
      <c r="D12644" s="326"/>
      <c r="E12644" s="326"/>
      <c r="F12644" s="326"/>
      <c r="G12644" s="326"/>
      <c r="H12644" s="326"/>
      <c r="P12644" s="318"/>
      <c r="Q12644" s="318"/>
      <c r="R12644" s="318"/>
      <c r="S12644" s="318"/>
      <c r="T12644" s="318"/>
      <c r="U12644" s="318"/>
      <c r="V12644" s="318"/>
      <c r="W12644" s="318"/>
      <c r="X12644" s="318"/>
      <c r="Y12644" s="318"/>
      <c r="Z12644" s="318"/>
      <c r="AA12644" s="318"/>
      <c r="AB12644" s="318"/>
      <c r="AC12644" s="318"/>
      <c r="AD12644" s="318"/>
    </row>
    <row r="12645" spans="2:30" s="323" customFormat="1" ht="12" customHeight="1">
      <c r="B12645" s="324"/>
      <c r="C12645" s="325"/>
      <c r="D12645" s="326"/>
      <c r="E12645" s="326"/>
      <c r="F12645" s="326"/>
      <c r="G12645" s="326"/>
      <c r="H12645" s="326"/>
      <c r="P12645" s="318"/>
      <c r="Q12645" s="318"/>
      <c r="R12645" s="318"/>
      <c r="S12645" s="318"/>
      <c r="T12645" s="318"/>
      <c r="U12645" s="318"/>
      <c r="V12645" s="318"/>
      <c r="W12645" s="318"/>
      <c r="X12645" s="318"/>
      <c r="Y12645" s="318"/>
      <c r="Z12645" s="318"/>
      <c r="AA12645" s="318"/>
      <c r="AB12645" s="318"/>
      <c r="AC12645" s="318"/>
      <c r="AD12645" s="318"/>
    </row>
    <row r="12646" spans="2:30" s="323" customFormat="1" ht="12" customHeight="1">
      <c r="B12646" s="324"/>
      <c r="C12646" s="325"/>
      <c r="D12646" s="326"/>
      <c r="E12646" s="326"/>
      <c r="F12646" s="326"/>
      <c r="G12646" s="326"/>
      <c r="H12646" s="326"/>
      <c r="P12646" s="318"/>
      <c r="Q12646" s="318"/>
      <c r="R12646" s="318"/>
      <c r="S12646" s="318"/>
      <c r="T12646" s="318"/>
      <c r="U12646" s="318"/>
      <c r="V12646" s="318"/>
      <c r="W12646" s="318"/>
      <c r="X12646" s="318"/>
      <c r="Y12646" s="318"/>
      <c r="Z12646" s="318"/>
      <c r="AA12646" s="318"/>
      <c r="AB12646" s="318"/>
      <c r="AC12646" s="318"/>
      <c r="AD12646" s="318"/>
    </row>
    <row r="12647" spans="2:30" s="323" customFormat="1" ht="12" customHeight="1">
      <c r="B12647" s="324"/>
      <c r="C12647" s="325"/>
      <c r="D12647" s="326"/>
      <c r="E12647" s="326"/>
      <c r="F12647" s="326"/>
      <c r="G12647" s="326"/>
      <c r="H12647" s="326"/>
      <c r="P12647" s="318"/>
      <c r="Q12647" s="318"/>
      <c r="R12647" s="318"/>
      <c r="S12647" s="318"/>
      <c r="T12647" s="318"/>
      <c r="U12647" s="318"/>
      <c r="V12647" s="318"/>
      <c r="W12647" s="318"/>
      <c r="X12647" s="318"/>
      <c r="Y12647" s="318"/>
      <c r="Z12647" s="318"/>
      <c r="AA12647" s="318"/>
      <c r="AB12647" s="318"/>
      <c r="AC12647" s="318"/>
      <c r="AD12647" s="318"/>
    </row>
    <row r="12648" spans="2:30" s="323" customFormat="1" ht="12" customHeight="1">
      <c r="B12648" s="324"/>
      <c r="C12648" s="325"/>
      <c r="D12648" s="326"/>
      <c r="E12648" s="326"/>
      <c r="F12648" s="326"/>
      <c r="G12648" s="326"/>
      <c r="H12648" s="326"/>
      <c r="P12648" s="318"/>
      <c r="Q12648" s="318"/>
      <c r="R12648" s="318"/>
      <c r="S12648" s="318"/>
      <c r="T12648" s="318"/>
      <c r="U12648" s="318"/>
      <c r="V12648" s="318"/>
      <c r="W12648" s="318"/>
      <c r="X12648" s="318"/>
      <c r="Y12648" s="318"/>
      <c r="Z12648" s="318"/>
      <c r="AA12648" s="318"/>
      <c r="AB12648" s="318"/>
      <c r="AC12648" s="318"/>
      <c r="AD12648" s="318"/>
    </row>
    <row r="12649" spans="2:30" s="323" customFormat="1" ht="12" customHeight="1">
      <c r="B12649" s="324"/>
      <c r="C12649" s="325"/>
      <c r="D12649" s="326"/>
      <c r="E12649" s="326"/>
      <c r="F12649" s="326"/>
      <c r="G12649" s="326"/>
      <c r="H12649" s="326"/>
      <c r="P12649" s="318"/>
      <c r="Q12649" s="318"/>
      <c r="R12649" s="318"/>
      <c r="S12649" s="318"/>
      <c r="T12649" s="318"/>
      <c r="U12649" s="318"/>
      <c r="V12649" s="318"/>
      <c r="W12649" s="318"/>
      <c r="X12649" s="318"/>
      <c r="Y12649" s="318"/>
      <c r="Z12649" s="318"/>
      <c r="AA12649" s="318"/>
      <c r="AB12649" s="318"/>
      <c r="AC12649" s="318"/>
      <c r="AD12649" s="318"/>
    </row>
    <row r="12650" spans="2:30" s="323" customFormat="1" ht="12" customHeight="1">
      <c r="B12650" s="324"/>
      <c r="C12650" s="325"/>
      <c r="D12650" s="326"/>
      <c r="E12650" s="326"/>
      <c r="F12650" s="326"/>
      <c r="G12650" s="326"/>
      <c r="H12650" s="326"/>
      <c r="P12650" s="318"/>
      <c r="Q12650" s="318"/>
      <c r="R12650" s="318"/>
      <c r="S12650" s="318"/>
      <c r="T12650" s="318"/>
      <c r="U12650" s="318"/>
      <c r="V12650" s="318"/>
      <c r="W12650" s="318"/>
      <c r="X12650" s="318"/>
      <c r="Y12650" s="318"/>
      <c r="Z12650" s="318"/>
      <c r="AA12650" s="318"/>
      <c r="AB12650" s="318"/>
      <c r="AC12650" s="318"/>
      <c r="AD12650" s="318"/>
    </row>
    <row r="12651" spans="2:30" s="323" customFormat="1" ht="12" customHeight="1">
      <c r="B12651" s="324"/>
      <c r="C12651" s="325"/>
      <c r="D12651" s="326"/>
      <c r="E12651" s="326"/>
      <c r="F12651" s="326"/>
      <c r="G12651" s="326"/>
      <c r="H12651" s="326"/>
      <c r="P12651" s="318"/>
      <c r="Q12651" s="318"/>
      <c r="R12651" s="318"/>
      <c r="S12651" s="318"/>
      <c r="T12651" s="318"/>
      <c r="U12651" s="318"/>
      <c r="V12651" s="318"/>
      <c r="W12651" s="318"/>
      <c r="X12651" s="318"/>
      <c r="Y12651" s="318"/>
      <c r="Z12651" s="318"/>
      <c r="AA12651" s="318"/>
      <c r="AB12651" s="318"/>
      <c r="AC12651" s="318"/>
      <c r="AD12651" s="318"/>
    </row>
    <row r="12652" spans="2:30" s="323" customFormat="1" ht="12" customHeight="1">
      <c r="B12652" s="324"/>
      <c r="C12652" s="325"/>
      <c r="D12652" s="326"/>
      <c r="E12652" s="326"/>
      <c r="F12652" s="326"/>
      <c r="G12652" s="326"/>
      <c r="H12652" s="326"/>
      <c r="P12652" s="318"/>
      <c r="Q12652" s="318"/>
      <c r="R12652" s="318"/>
      <c r="S12652" s="318"/>
      <c r="T12652" s="318"/>
      <c r="U12652" s="318"/>
      <c r="V12652" s="318"/>
      <c r="W12652" s="318"/>
      <c r="X12652" s="318"/>
      <c r="Y12652" s="318"/>
      <c r="Z12652" s="318"/>
      <c r="AA12652" s="318"/>
      <c r="AB12652" s="318"/>
      <c r="AC12652" s="318"/>
      <c r="AD12652" s="318"/>
    </row>
    <row r="12653" spans="2:30" s="323" customFormat="1" ht="12" customHeight="1">
      <c r="B12653" s="324"/>
      <c r="C12653" s="325"/>
      <c r="D12653" s="326"/>
      <c r="E12653" s="326"/>
      <c r="F12653" s="326"/>
      <c r="G12653" s="326"/>
      <c r="H12653" s="326"/>
      <c r="P12653" s="318"/>
      <c r="Q12653" s="318"/>
      <c r="R12653" s="318"/>
      <c r="S12653" s="318"/>
      <c r="T12653" s="318"/>
      <c r="U12653" s="318"/>
      <c r="V12653" s="318"/>
      <c r="W12653" s="318"/>
      <c r="X12653" s="318"/>
      <c r="Y12653" s="318"/>
      <c r="Z12653" s="318"/>
      <c r="AA12653" s="318"/>
      <c r="AB12653" s="318"/>
      <c r="AC12653" s="318"/>
      <c r="AD12653" s="318"/>
    </row>
    <row r="12654" spans="2:30" s="323" customFormat="1" ht="12" customHeight="1">
      <c r="B12654" s="324"/>
      <c r="C12654" s="325"/>
      <c r="D12654" s="326"/>
      <c r="E12654" s="326"/>
      <c r="F12654" s="326"/>
      <c r="G12654" s="326"/>
      <c r="H12654" s="326"/>
      <c r="P12654" s="318"/>
      <c r="Q12654" s="318"/>
      <c r="R12654" s="318"/>
      <c r="S12654" s="318"/>
      <c r="T12654" s="318"/>
      <c r="U12654" s="318"/>
      <c r="V12654" s="318"/>
      <c r="W12654" s="318"/>
      <c r="X12654" s="318"/>
      <c r="Y12654" s="318"/>
      <c r="Z12654" s="318"/>
      <c r="AA12654" s="318"/>
      <c r="AB12654" s="318"/>
      <c r="AC12654" s="318"/>
      <c r="AD12654" s="318"/>
    </row>
    <row r="12655" spans="2:30" s="323" customFormat="1" ht="12" customHeight="1">
      <c r="B12655" s="324"/>
      <c r="C12655" s="325"/>
      <c r="D12655" s="326"/>
      <c r="E12655" s="326"/>
      <c r="F12655" s="326"/>
      <c r="G12655" s="326"/>
      <c r="H12655" s="326"/>
      <c r="P12655" s="318"/>
      <c r="Q12655" s="318"/>
      <c r="R12655" s="318"/>
      <c r="S12655" s="318"/>
      <c r="T12655" s="318"/>
      <c r="U12655" s="318"/>
      <c r="V12655" s="318"/>
      <c r="W12655" s="318"/>
      <c r="X12655" s="318"/>
      <c r="Y12655" s="318"/>
      <c r="Z12655" s="318"/>
      <c r="AA12655" s="318"/>
      <c r="AB12655" s="318"/>
      <c r="AC12655" s="318"/>
      <c r="AD12655" s="318"/>
    </row>
    <row r="12656" spans="2:30" s="323" customFormat="1" ht="12" customHeight="1">
      <c r="B12656" s="324"/>
      <c r="C12656" s="325"/>
      <c r="D12656" s="326"/>
      <c r="E12656" s="326"/>
      <c r="F12656" s="326"/>
      <c r="G12656" s="326"/>
      <c r="H12656" s="326"/>
      <c r="P12656" s="318"/>
      <c r="Q12656" s="318"/>
      <c r="R12656" s="318"/>
      <c r="S12656" s="318"/>
      <c r="T12656" s="318"/>
      <c r="U12656" s="318"/>
      <c r="V12656" s="318"/>
      <c r="W12656" s="318"/>
      <c r="X12656" s="318"/>
      <c r="Y12656" s="318"/>
      <c r="Z12656" s="318"/>
      <c r="AA12656" s="318"/>
      <c r="AB12656" s="318"/>
      <c r="AC12656" s="318"/>
      <c r="AD12656" s="318"/>
    </row>
    <row r="12657" spans="2:30" s="323" customFormat="1" ht="12" customHeight="1">
      <c r="B12657" s="324"/>
      <c r="C12657" s="325"/>
      <c r="D12657" s="326"/>
      <c r="E12657" s="326"/>
      <c r="F12657" s="326"/>
      <c r="G12657" s="326"/>
      <c r="H12657" s="326"/>
      <c r="P12657" s="318"/>
      <c r="Q12657" s="318"/>
      <c r="R12657" s="318"/>
      <c r="S12657" s="318"/>
      <c r="T12657" s="318"/>
      <c r="U12657" s="318"/>
      <c r="V12657" s="318"/>
      <c r="W12657" s="318"/>
      <c r="X12657" s="318"/>
      <c r="Y12657" s="318"/>
      <c r="Z12657" s="318"/>
      <c r="AA12657" s="318"/>
      <c r="AB12657" s="318"/>
      <c r="AC12657" s="318"/>
      <c r="AD12657" s="318"/>
    </row>
    <row r="12658" spans="2:30" s="323" customFormat="1" ht="12" customHeight="1">
      <c r="B12658" s="324"/>
      <c r="C12658" s="325"/>
      <c r="D12658" s="326"/>
      <c r="E12658" s="326"/>
      <c r="F12658" s="326"/>
      <c r="G12658" s="326"/>
      <c r="H12658" s="326"/>
      <c r="P12658" s="318"/>
      <c r="Q12658" s="318"/>
      <c r="R12658" s="318"/>
      <c r="S12658" s="318"/>
      <c r="T12658" s="318"/>
      <c r="U12658" s="318"/>
      <c r="V12658" s="318"/>
      <c r="W12658" s="318"/>
      <c r="X12658" s="318"/>
      <c r="Y12658" s="318"/>
      <c r="Z12658" s="318"/>
      <c r="AA12658" s="318"/>
      <c r="AB12658" s="318"/>
      <c r="AC12658" s="318"/>
      <c r="AD12658" s="318"/>
    </row>
    <row r="12659" spans="2:30" s="323" customFormat="1" ht="12" customHeight="1">
      <c r="B12659" s="324"/>
      <c r="C12659" s="325"/>
      <c r="D12659" s="326"/>
      <c r="E12659" s="326"/>
      <c r="F12659" s="326"/>
      <c r="G12659" s="326"/>
      <c r="H12659" s="326"/>
      <c r="P12659" s="318"/>
      <c r="Q12659" s="318"/>
      <c r="R12659" s="318"/>
      <c r="S12659" s="318"/>
      <c r="T12659" s="318"/>
      <c r="U12659" s="318"/>
      <c r="V12659" s="318"/>
      <c r="W12659" s="318"/>
      <c r="X12659" s="318"/>
      <c r="Y12659" s="318"/>
      <c r="Z12659" s="318"/>
      <c r="AA12659" s="318"/>
      <c r="AB12659" s="318"/>
      <c r="AC12659" s="318"/>
      <c r="AD12659" s="318"/>
    </row>
    <row r="12660" spans="2:30" s="323" customFormat="1" ht="12" customHeight="1">
      <c r="B12660" s="324"/>
      <c r="C12660" s="325"/>
      <c r="D12660" s="326"/>
      <c r="E12660" s="326"/>
      <c r="F12660" s="326"/>
      <c r="G12660" s="326"/>
      <c r="H12660" s="326"/>
      <c r="P12660" s="318"/>
      <c r="Q12660" s="318"/>
      <c r="R12660" s="318"/>
      <c r="S12660" s="318"/>
      <c r="T12660" s="318"/>
      <c r="U12660" s="318"/>
      <c r="V12660" s="318"/>
      <c r="W12660" s="318"/>
      <c r="X12660" s="318"/>
      <c r="Y12660" s="318"/>
      <c r="Z12660" s="318"/>
      <c r="AA12660" s="318"/>
      <c r="AB12660" s="318"/>
      <c r="AC12660" s="318"/>
      <c r="AD12660" s="318"/>
    </row>
    <row r="12661" spans="2:30" s="323" customFormat="1" ht="12" customHeight="1">
      <c r="B12661" s="324"/>
      <c r="C12661" s="325"/>
      <c r="D12661" s="326"/>
      <c r="E12661" s="326"/>
      <c r="F12661" s="326"/>
      <c r="G12661" s="326"/>
      <c r="H12661" s="326"/>
      <c r="P12661" s="318"/>
      <c r="Q12661" s="318"/>
      <c r="R12661" s="318"/>
      <c r="S12661" s="318"/>
      <c r="T12661" s="318"/>
      <c r="U12661" s="318"/>
      <c r="V12661" s="318"/>
      <c r="W12661" s="318"/>
      <c r="X12661" s="318"/>
      <c r="Y12661" s="318"/>
      <c r="Z12661" s="318"/>
      <c r="AA12661" s="318"/>
      <c r="AB12661" s="318"/>
      <c r="AC12661" s="318"/>
      <c r="AD12661" s="318"/>
    </row>
    <row r="12662" spans="2:30" s="323" customFormat="1" ht="12" customHeight="1">
      <c r="B12662" s="324"/>
      <c r="C12662" s="325"/>
      <c r="D12662" s="326"/>
      <c r="E12662" s="326"/>
      <c r="F12662" s="326"/>
      <c r="G12662" s="326"/>
      <c r="H12662" s="326"/>
      <c r="P12662" s="318"/>
      <c r="Q12662" s="318"/>
      <c r="R12662" s="318"/>
      <c r="S12662" s="318"/>
      <c r="T12662" s="318"/>
      <c r="U12662" s="318"/>
      <c r="V12662" s="318"/>
      <c r="W12662" s="318"/>
      <c r="X12662" s="318"/>
      <c r="Y12662" s="318"/>
      <c r="Z12662" s="318"/>
      <c r="AA12662" s="318"/>
      <c r="AB12662" s="318"/>
      <c r="AC12662" s="318"/>
      <c r="AD12662" s="318"/>
    </row>
    <row r="12663" spans="2:30" s="323" customFormat="1" ht="12" customHeight="1">
      <c r="B12663" s="324"/>
      <c r="C12663" s="325"/>
      <c r="D12663" s="326"/>
      <c r="E12663" s="326"/>
      <c r="F12663" s="326"/>
      <c r="G12663" s="326"/>
      <c r="H12663" s="326"/>
      <c r="P12663" s="318"/>
      <c r="Q12663" s="318"/>
      <c r="R12663" s="318"/>
      <c r="S12663" s="318"/>
      <c r="T12663" s="318"/>
      <c r="U12663" s="318"/>
      <c r="V12663" s="318"/>
      <c r="W12663" s="318"/>
      <c r="X12663" s="318"/>
      <c r="Y12663" s="318"/>
      <c r="Z12663" s="318"/>
      <c r="AA12663" s="318"/>
      <c r="AB12663" s="318"/>
      <c r="AC12663" s="318"/>
      <c r="AD12663" s="318"/>
    </row>
    <row r="12664" spans="2:30" s="323" customFormat="1" ht="12" customHeight="1">
      <c r="B12664" s="324"/>
      <c r="C12664" s="325"/>
      <c r="D12664" s="326"/>
      <c r="E12664" s="326"/>
      <c r="F12664" s="326"/>
      <c r="G12664" s="326"/>
      <c r="H12664" s="326"/>
      <c r="P12664" s="318"/>
      <c r="Q12664" s="318"/>
      <c r="R12664" s="318"/>
      <c r="S12664" s="318"/>
      <c r="T12664" s="318"/>
      <c r="U12664" s="318"/>
      <c r="V12664" s="318"/>
      <c r="W12664" s="318"/>
      <c r="X12664" s="318"/>
      <c r="Y12664" s="318"/>
      <c r="Z12664" s="318"/>
      <c r="AA12664" s="318"/>
      <c r="AB12664" s="318"/>
      <c r="AC12664" s="318"/>
      <c r="AD12664" s="318"/>
    </row>
    <row r="12665" spans="2:30" s="323" customFormat="1" ht="12" customHeight="1">
      <c r="B12665" s="324"/>
      <c r="C12665" s="325"/>
      <c r="D12665" s="326"/>
      <c r="E12665" s="326"/>
      <c r="F12665" s="326"/>
      <c r="G12665" s="326"/>
      <c r="H12665" s="326"/>
      <c r="P12665" s="318"/>
      <c r="Q12665" s="318"/>
      <c r="R12665" s="318"/>
      <c r="S12665" s="318"/>
      <c r="T12665" s="318"/>
      <c r="U12665" s="318"/>
      <c r="V12665" s="318"/>
      <c r="W12665" s="318"/>
      <c r="X12665" s="318"/>
      <c r="Y12665" s="318"/>
      <c r="Z12665" s="318"/>
      <c r="AA12665" s="318"/>
      <c r="AB12665" s="318"/>
      <c r="AC12665" s="318"/>
      <c r="AD12665" s="318"/>
    </row>
    <row r="12666" spans="2:30" s="323" customFormat="1" ht="12" customHeight="1">
      <c r="B12666" s="324"/>
      <c r="C12666" s="325"/>
      <c r="D12666" s="326"/>
      <c r="E12666" s="326"/>
      <c r="F12666" s="326"/>
      <c r="G12666" s="326"/>
      <c r="H12666" s="326"/>
      <c r="P12666" s="318"/>
      <c r="Q12666" s="318"/>
      <c r="R12666" s="318"/>
      <c r="S12666" s="318"/>
      <c r="T12666" s="318"/>
      <c r="U12666" s="318"/>
      <c r="V12666" s="318"/>
      <c r="W12666" s="318"/>
      <c r="X12666" s="318"/>
      <c r="Y12666" s="318"/>
      <c r="Z12666" s="318"/>
      <c r="AA12666" s="318"/>
      <c r="AB12666" s="318"/>
      <c r="AC12666" s="318"/>
      <c r="AD12666" s="318"/>
    </row>
    <row r="12667" spans="2:30" s="323" customFormat="1" ht="12" customHeight="1">
      <c r="B12667" s="324"/>
      <c r="C12667" s="325"/>
      <c r="D12667" s="326"/>
      <c r="E12667" s="326"/>
      <c r="F12667" s="326"/>
      <c r="G12667" s="326"/>
      <c r="H12667" s="326"/>
      <c r="P12667" s="318"/>
      <c r="Q12667" s="318"/>
      <c r="R12667" s="318"/>
      <c r="S12667" s="318"/>
      <c r="T12667" s="318"/>
      <c r="U12667" s="318"/>
      <c r="V12667" s="318"/>
      <c r="W12667" s="318"/>
      <c r="X12667" s="318"/>
      <c r="Y12667" s="318"/>
      <c r="Z12667" s="318"/>
      <c r="AA12667" s="318"/>
      <c r="AB12667" s="318"/>
      <c r="AC12667" s="318"/>
      <c r="AD12667" s="318"/>
    </row>
    <row r="12668" spans="2:30" s="323" customFormat="1" ht="12" customHeight="1">
      <c r="B12668" s="324"/>
      <c r="C12668" s="325"/>
      <c r="D12668" s="326"/>
      <c r="E12668" s="326"/>
      <c r="F12668" s="326"/>
      <c r="G12668" s="326"/>
      <c r="H12668" s="326"/>
      <c r="P12668" s="318"/>
      <c r="Q12668" s="318"/>
      <c r="R12668" s="318"/>
      <c r="S12668" s="318"/>
      <c r="T12668" s="318"/>
      <c r="U12668" s="318"/>
      <c r="V12668" s="318"/>
      <c r="W12668" s="318"/>
      <c r="X12668" s="318"/>
      <c r="Y12668" s="318"/>
      <c r="Z12668" s="318"/>
      <c r="AA12668" s="318"/>
      <c r="AB12668" s="318"/>
      <c r="AC12668" s="318"/>
      <c r="AD12668" s="318"/>
    </row>
    <row r="12669" spans="2:30" s="323" customFormat="1" ht="12" customHeight="1">
      <c r="B12669" s="324"/>
      <c r="C12669" s="325"/>
      <c r="D12669" s="326"/>
      <c r="E12669" s="326"/>
      <c r="F12669" s="326"/>
      <c r="G12669" s="326"/>
      <c r="H12669" s="326"/>
      <c r="P12669" s="318"/>
      <c r="Q12669" s="318"/>
      <c r="R12669" s="318"/>
      <c r="S12669" s="318"/>
      <c r="T12669" s="318"/>
      <c r="U12669" s="318"/>
      <c r="V12669" s="318"/>
      <c r="W12669" s="318"/>
      <c r="X12669" s="318"/>
      <c r="Y12669" s="318"/>
      <c r="Z12669" s="318"/>
      <c r="AA12669" s="318"/>
      <c r="AB12669" s="318"/>
      <c r="AC12669" s="318"/>
      <c r="AD12669" s="318"/>
    </row>
    <row r="12670" spans="2:30" s="323" customFormat="1" ht="12" customHeight="1">
      <c r="B12670" s="324"/>
      <c r="C12670" s="325"/>
      <c r="D12670" s="326"/>
      <c r="E12670" s="326"/>
      <c r="F12670" s="326"/>
      <c r="G12670" s="326"/>
      <c r="H12670" s="326"/>
      <c r="P12670" s="318"/>
      <c r="Q12670" s="318"/>
      <c r="R12670" s="318"/>
      <c r="S12670" s="318"/>
      <c r="T12670" s="318"/>
      <c r="U12670" s="318"/>
      <c r="V12670" s="318"/>
      <c r="W12670" s="318"/>
      <c r="X12670" s="318"/>
      <c r="Y12670" s="318"/>
      <c r="Z12670" s="318"/>
      <c r="AA12670" s="318"/>
      <c r="AB12670" s="318"/>
      <c r="AC12670" s="318"/>
      <c r="AD12670" s="318"/>
    </row>
    <row r="12671" spans="2:30" s="323" customFormat="1" ht="12" customHeight="1">
      <c r="B12671" s="324"/>
      <c r="C12671" s="325"/>
      <c r="D12671" s="326"/>
      <c r="E12671" s="326"/>
      <c r="F12671" s="326"/>
      <c r="G12671" s="326"/>
      <c r="H12671" s="326"/>
      <c r="P12671" s="318"/>
      <c r="Q12671" s="318"/>
      <c r="R12671" s="318"/>
      <c r="S12671" s="318"/>
      <c r="T12671" s="318"/>
      <c r="U12671" s="318"/>
      <c r="V12671" s="318"/>
      <c r="W12671" s="318"/>
      <c r="X12671" s="318"/>
      <c r="Y12671" s="318"/>
      <c r="Z12671" s="318"/>
      <c r="AA12671" s="318"/>
      <c r="AB12671" s="318"/>
      <c r="AC12671" s="318"/>
      <c r="AD12671" s="318"/>
    </row>
    <row r="12672" spans="2:30" s="323" customFormat="1" ht="12" customHeight="1">
      <c r="B12672" s="324"/>
      <c r="C12672" s="325"/>
      <c r="D12672" s="326"/>
      <c r="E12672" s="326"/>
      <c r="F12672" s="326"/>
      <c r="G12672" s="326"/>
      <c r="H12672" s="326"/>
      <c r="P12672" s="318"/>
      <c r="Q12672" s="318"/>
      <c r="R12672" s="318"/>
      <c r="S12672" s="318"/>
      <c r="T12672" s="318"/>
      <c r="U12672" s="318"/>
      <c r="V12672" s="318"/>
      <c r="W12672" s="318"/>
      <c r="X12672" s="318"/>
      <c r="Y12672" s="318"/>
      <c r="Z12672" s="318"/>
      <c r="AA12672" s="318"/>
      <c r="AB12672" s="318"/>
      <c r="AC12672" s="318"/>
      <c r="AD12672" s="318"/>
    </row>
    <row r="12673" spans="2:30" s="323" customFormat="1" ht="12" customHeight="1">
      <c r="B12673" s="324"/>
      <c r="C12673" s="325"/>
      <c r="D12673" s="326"/>
      <c r="E12673" s="326"/>
      <c r="F12673" s="326"/>
      <c r="G12673" s="326"/>
      <c r="H12673" s="326"/>
      <c r="P12673" s="318"/>
      <c r="Q12673" s="318"/>
      <c r="R12673" s="318"/>
      <c r="S12673" s="318"/>
      <c r="T12673" s="318"/>
      <c r="U12673" s="318"/>
      <c r="V12673" s="318"/>
      <c r="W12673" s="318"/>
      <c r="X12673" s="318"/>
      <c r="Y12673" s="318"/>
      <c r="Z12673" s="318"/>
      <c r="AA12673" s="318"/>
      <c r="AB12673" s="318"/>
      <c r="AC12673" s="318"/>
      <c r="AD12673" s="318"/>
    </row>
    <row r="12674" spans="2:30" s="323" customFormat="1" ht="12" customHeight="1">
      <c r="B12674" s="324"/>
      <c r="C12674" s="325"/>
      <c r="D12674" s="326"/>
      <c r="E12674" s="326"/>
      <c r="F12674" s="326"/>
      <c r="G12674" s="326"/>
      <c r="H12674" s="326"/>
      <c r="P12674" s="318"/>
      <c r="Q12674" s="318"/>
      <c r="R12674" s="318"/>
      <c r="S12674" s="318"/>
      <c r="T12674" s="318"/>
      <c r="U12674" s="318"/>
      <c r="V12674" s="318"/>
      <c r="W12674" s="318"/>
      <c r="X12674" s="318"/>
      <c r="Y12674" s="318"/>
      <c r="Z12674" s="318"/>
      <c r="AA12674" s="318"/>
      <c r="AB12674" s="318"/>
      <c r="AC12674" s="318"/>
      <c r="AD12674" s="318"/>
    </row>
    <row r="12675" spans="2:30" s="323" customFormat="1" ht="12" customHeight="1">
      <c r="B12675" s="324"/>
      <c r="C12675" s="325"/>
      <c r="D12675" s="326"/>
      <c r="E12675" s="326"/>
      <c r="F12675" s="326"/>
      <c r="G12675" s="326"/>
      <c r="H12675" s="326"/>
      <c r="P12675" s="318"/>
      <c r="Q12675" s="318"/>
      <c r="R12675" s="318"/>
      <c r="S12675" s="318"/>
      <c r="T12675" s="318"/>
      <c r="U12675" s="318"/>
      <c r="V12675" s="318"/>
      <c r="W12675" s="318"/>
      <c r="X12675" s="318"/>
      <c r="Y12675" s="318"/>
      <c r="Z12675" s="318"/>
      <c r="AA12675" s="318"/>
      <c r="AB12675" s="318"/>
      <c r="AC12675" s="318"/>
      <c r="AD12675" s="318"/>
    </row>
    <row r="12676" spans="2:30" s="323" customFormat="1" ht="12" customHeight="1">
      <c r="B12676" s="324"/>
      <c r="C12676" s="325"/>
      <c r="D12676" s="326"/>
      <c r="E12676" s="326"/>
      <c r="F12676" s="326"/>
      <c r="G12676" s="326"/>
      <c r="H12676" s="326"/>
      <c r="P12676" s="318"/>
      <c r="Q12676" s="318"/>
      <c r="R12676" s="318"/>
      <c r="S12676" s="318"/>
      <c r="T12676" s="318"/>
      <c r="U12676" s="318"/>
      <c r="V12676" s="318"/>
      <c r="W12676" s="318"/>
      <c r="X12676" s="318"/>
      <c r="Y12676" s="318"/>
      <c r="Z12676" s="318"/>
      <c r="AA12676" s="318"/>
      <c r="AB12676" s="318"/>
      <c r="AC12676" s="318"/>
      <c r="AD12676" s="318"/>
    </row>
    <row r="12677" spans="2:30" s="323" customFormat="1" ht="12" customHeight="1">
      <c r="B12677" s="324"/>
      <c r="C12677" s="325"/>
      <c r="D12677" s="326"/>
      <c r="E12677" s="326"/>
      <c r="F12677" s="326"/>
      <c r="G12677" s="326"/>
      <c r="H12677" s="326"/>
      <c r="P12677" s="318"/>
      <c r="Q12677" s="318"/>
      <c r="R12677" s="318"/>
      <c r="S12677" s="318"/>
      <c r="T12677" s="318"/>
      <c r="U12677" s="318"/>
      <c r="V12677" s="318"/>
      <c r="W12677" s="318"/>
      <c r="X12677" s="318"/>
      <c r="Y12677" s="318"/>
      <c r="Z12677" s="318"/>
      <c r="AA12677" s="318"/>
      <c r="AB12677" s="318"/>
      <c r="AC12677" s="318"/>
      <c r="AD12677" s="318"/>
    </row>
    <row r="12678" spans="2:30" s="323" customFormat="1" ht="12" customHeight="1">
      <c r="B12678" s="324"/>
      <c r="C12678" s="325"/>
      <c r="D12678" s="326"/>
      <c r="E12678" s="326"/>
      <c r="F12678" s="326"/>
      <c r="G12678" s="326"/>
      <c r="H12678" s="326"/>
      <c r="P12678" s="318"/>
      <c r="Q12678" s="318"/>
      <c r="R12678" s="318"/>
      <c r="S12678" s="318"/>
      <c r="T12678" s="318"/>
      <c r="U12678" s="318"/>
      <c r="V12678" s="318"/>
      <c r="W12678" s="318"/>
      <c r="X12678" s="318"/>
      <c r="Y12678" s="318"/>
      <c r="Z12678" s="318"/>
      <c r="AA12678" s="318"/>
      <c r="AB12678" s="318"/>
      <c r="AC12678" s="318"/>
      <c r="AD12678" s="318"/>
    </row>
    <row r="12679" spans="2:30" s="323" customFormat="1" ht="12" customHeight="1">
      <c r="B12679" s="324"/>
      <c r="C12679" s="325"/>
      <c r="D12679" s="326"/>
      <c r="E12679" s="326"/>
      <c r="F12679" s="326"/>
      <c r="G12679" s="326"/>
      <c r="H12679" s="326"/>
      <c r="P12679" s="318"/>
      <c r="Q12679" s="318"/>
      <c r="R12679" s="318"/>
      <c r="S12679" s="318"/>
      <c r="T12679" s="318"/>
      <c r="U12679" s="318"/>
      <c r="V12679" s="318"/>
      <c r="W12679" s="318"/>
      <c r="X12679" s="318"/>
      <c r="Y12679" s="318"/>
      <c r="Z12679" s="318"/>
      <c r="AA12679" s="318"/>
      <c r="AB12679" s="318"/>
      <c r="AC12679" s="318"/>
      <c r="AD12679" s="318"/>
    </row>
    <row r="12680" spans="2:30" s="323" customFormat="1" ht="12" customHeight="1">
      <c r="B12680" s="324"/>
      <c r="C12680" s="325"/>
      <c r="D12680" s="326"/>
      <c r="E12680" s="326"/>
      <c r="F12680" s="326"/>
      <c r="G12680" s="326"/>
      <c r="H12680" s="326"/>
      <c r="P12680" s="318"/>
      <c r="Q12680" s="318"/>
      <c r="R12680" s="318"/>
      <c r="S12680" s="318"/>
      <c r="T12680" s="318"/>
      <c r="U12680" s="318"/>
      <c r="V12680" s="318"/>
      <c r="W12680" s="318"/>
      <c r="X12680" s="318"/>
      <c r="Y12680" s="318"/>
      <c r="Z12680" s="318"/>
      <c r="AA12680" s="318"/>
      <c r="AB12680" s="318"/>
      <c r="AC12680" s="318"/>
      <c r="AD12680" s="318"/>
    </row>
    <row r="12681" spans="2:30" s="323" customFormat="1" ht="12" customHeight="1">
      <c r="B12681" s="324"/>
      <c r="C12681" s="325"/>
      <c r="D12681" s="326"/>
      <c r="E12681" s="326"/>
      <c r="F12681" s="326"/>
      <c r="G12681" s="326"/>
      <c r="H12681" s="326"/>
      <c r="P12681" s="318"/>
      <c r="Q12681" s="318"/>
      <c r="R12681" s="318"/>
      <c r="S12681" s="318"/>
      <c r="T12681" s="318"/>
      <c r="U12681" s="318"/>
      <c r="V12681" s="318"/>
      <c r="W12681" s="318"/>
      <c r="X12681" s="318"/>
      <c r="Y12681" s="318"/>
      <c r="Z12681" s="318"/>
      <c r="AA12681" s="318"/>
      <c r="AB12681" s="318"/>
      <c r="AC12681" s="318"/>
      <c r="AD12681" s="318"/>
    </row>
    <row r="12682" spans="2:30" s="323" customFormat="1" ht="12" customHeight="1">
      <c r="B12682" s="324"/>
      <c r="C12682" s="325"/>
      <c r="D12682" s="326"/>
      <c r="E12682" s="326"/>
      <c r="F12682" s="326"/>
      <c r="G12682" s="326"/>
      <c r="H12682" s="326"/>
      <c r="P12682" s="318"/>
      <c r="Q12682" s="318"/>
      <c r="R12682" s="318"/>
      <c r="S12682" s="318"/>
      <c r="T12682" s="318"/>
      <c r="U12682" s="318"/>
      <c r="V12682" s="318"/>
      <c r="W12682" s="318"/>
      <c r="X12682" s="318"/>
      <c r="Y12682" s="318"/>
      <c r="Z12682" s="318"/>
      <c r="AA12682" s="318"/>
      <c r="AB12682" s="318"/>
      <c r="AC12682" s="318"/>
      <c r="AD12682" s="318"/>
    </row>
    <row r="12683" spans="2:30" s="323" customFormat="1" ht="12" customHeight="1">
      <c r="B12683" s="324"/>
      <c r="C12683" s="325"/>
      <c r="D12683" s="326"/>
      <c r="E12683" s="326"/>
      <c r="F12683" s="326"/>
      <c r="G12683" s="326"/>
      <c r="H12683" s="326"/>
      <c r="P12683" s="318"/>
      <c r="Q12683" s="318"/>
      <c r="R12683" s="318"/>
      <c r="S12683" s="318"/>
      <c r="T12683" s="318"/>
      <c r="U12683" s="318"/>
      <c r="V12683" s="318"/>
      <c r="W12683" s="318"/>
      <c r="X12683" s="318"/>
      <c r="Y12683" s="318"/>
      <c r="Z12683" s="318"/>
      <c r="AA12683" s="318"/>
      <c r="AB12683" s="318"/>
      <c r="AC12683" s="318"/>
      <c r="AD12683" s="318"/>
    </row>
    <row r="12684" spans="2:30" s="323" customFormat="1" ht="12" customHeight="1">
      <c r="B12684" s="324"/>
      <c r="C12684" s="325"/>
      <c r="D12684" s="326"/>
      <c r="E12684" s="326"/>
      <c r="F12684" s="326"/>
      <c r="G12684" s="326"/>
      <c r="H12684" s="326"/>
      <c r="P12684" s="318"/>
      <c r="Q12684" s="318"/>
      <c r="R12684" s="318"/>
      <c r="S12684" s="318"/>
      <c r="T12684" s="318"/>
      <c r="U12684" s="318"/>
      <c r="V12684" s="318"/>
      <c r="W12684" s="318"/>
      <c r="X12684" s="318"/>
      <c r="Y12684" s="318"/>
      <c r="Z12684" s="318"/>
      <c r="AA12684" s="318"/>
      <c r="AB12684" s="318"/>
      <c r="AC12684" s="318"/>
      <c r="AD12684" s="318"/>
    </row>
    <row r="12685" spans="2:30" s="323" customFormat="1" ht="12" customHeight="1">
      <c r="B12685" s="324"/>
      <c r="C12685" s="325"/>
      <c r="D12685" s="326"/>
      <c r="E12685" s="326"/>
      <c r="F12685" s="326"/>
      <c r="G12685" s="326"/>
      <c r="H12685" s="326"/>
      <c r="P12685" s="318"/>
      <c r="Q12685" s="318"/>
      <c r="R12685" s="318"/>
      <c r="S12685" s="318"/>
      <c r="T12685" s="318"/>
      <c r="U12685" s="318"/>
      <c r="V12685" s="318"/>
      <c r="W12685" s="318"/>
      <c r="X12685" s="318"/>
      <c r="Y12685" s="318"/>
      <c r="Z12685" s="318"/>
      <c r="AA12685" s="318"/>
      <c r="AB12685" s="318"/>
      <c r="AC12685" s="318"/>
      <c r="AD12685" s="318"/>
    </row>
    <row r="12686" spans="2:30" s="323" customFormat="1" ht="12" customHeight="1">
      <c r="B12686" s="324"/>
      <c r="C12686" s="325"/>
      <c r="D12686" s="326"/>
      <c r="E12686" s="326"/>
      <c r="F12686" s="326"/>
      <c r="G12686" s="326"/>
      <c r="H12686" s="326"/>
      <c r="P12686" s="318"/>
      <c r="Q12686" s="318"/>
      <c r="R12686" s="318"/>
      <c r="S12686" s="318"/>
      <c r="T12686" s="318"/>
      <c r="U12686" s="318"/>
      <c r="V12686" s="318"/>
      <c r="W12686" s="318"/>
      <c r="X12686" s="318"/>
      <c r="Y12686" s="318"/>
      <c r="Z12686" s="318"/>
      <c r="AA12686" s="318"/>
      <c r="AB12686" s="318"/>
      <c r="AC12686" s="318"/>
      <c r="AD12686" s="318"/>
    </row>
    <row r="12687" spans="2:30" s="323" customFormat="1" ht="12" customHeight="1">
      <c r="B12687" s="324"/>
      <c r="C12687" s="325"/>
      <c r="D12687" s="326"/>
      <c r="E12687" s="326"/>
      <c r="F12687" s="326"/>
      <c r="G12687" s="326"/>
      <c r="H12687" s="326"/>
      <c r="P12687" s="318"/>
      <c r="Q12687" s="318"/>
      <c r="R12687" s="318"/>
      <c r="S12687" s="318"/>
      <c r="T12687" s="318"/>
      <c r="U12687" s="318"/>
      <c r="V12687" s="318"/>
      <c r="W12687" s="318"/>
      <c r="X12687" s="318"/>
      <c r="Y12687" s="318"/>
      <c r="Z12687" s="318"/>
      <c r="AA12687" s="318"/>
      <c r="AB12687" s="318"/>
      <c r="AC12687" s="318"/>
      <c r="AD12687" s="318"/>
    </row>
    <row r="12688" spans="2:30" s="323" customFormat="1" ht="12" customHeight="1">
      <c r="B12688" s="324"/>
      <c r="C12688" s="325"/>
      <c r="D12688" s="326"/>
      <c r="E12688" s="326"/>
      <c r="F12688" s="326"/>
      <c r="G12688" s="326"/>
      <c r="H12688" s="326"/>
      <c r="P12688" s="318"/>
      <c r="Q12688" s="318"/>
      <c r="R12688" s="318"/>
      <c r="S12688" s="318"/>
      <c r="T12688" s="318"/>
      <c r="U12688" s="318"/>
      <c r="V12688" s="318"/>
      <c r="W12688" s="318"/>
      <c r="X12688" s="318"/>
      <c r="Y12688" s="318"/>
      <c r="Z12688" s="318"/>
      <c r="AA12688" s="318"/>
      <c r="AB12688" s="318"/>
      <c r="AC12688" s="318"/>
      <c r="AD12688" s="318"/>
    </row>
    <row r="12689" spans="2:30" s="323" customFormat="1" ht="12" customHeight="1">
      <c r="B12689" s="324"/>
      <c r="C12689" s="325"/>
      <c r="D12689" s="326"/>
      <c r="E12689" s="326"/>
      <c r="F12689" s="326"/>
      <c r="G12689" s="326"/>
      <c r="H12689" s="326"/>
      <c r="P12689" s="318"/>
      <c r="Q12689" s="318"/>
      <c r="R12689" s="318"/>
      <c r="S12689" s="318"/>
      <c r="T12689" s="318"/>
      <c r="U12689" s="318"/>
      <c r="V12689" s="318"/>
      <c r="W12689" s="318"/>
      <c r="X12689" s="318"/>
      <c r="Y12689" s="318"/>
      <c r="Z12689" s="318"/>
      <c r="AA12689" s="318"/>
      <c r="AB12689" s="318"/>
      <c r="AC12689" s="318"/>
      <c r="AD12689" s="318"/>
    </row>
    <row r="12690" spans="2:30" s="323" customFormat="1" ht="12" customHeight="1">
      <c r="B12690" s="324"/>
      <c r="C12690" s="325"/>
      <c r="D12690" s="326"/>
      <c r="E12690" s="326"/>
      <c r="F12690" s="326"/>
      <c r="G12690" s="326"/>
      <c r="H12690" s="326"/>
      <c r="P12690" s="318"/>
      <c r="Q12690" s="318"/>
      <c r="R12690" s="318"/>
      <c r="S12690" s="318"/>
      <c r="T12690" s="318"/>
      <c r="U12690" s="318"/>
      <c r="V12690" s="318"/>
      <c r="W12690" s="318"/>
      <c r="X12690" s="318"/>
      <c r="Y12690" s="318"/>
      <c r="Z12690" s="318"/>
      <c r="AA12690" s="318"/>
      <c r="AB12690" s="318"/>
      <c r="AC12690" s="318"/>
      <c r="AD12690" s="318"/>
    </row>
    <row r="12691" spans="2:30" s="323" customFormat="1" ht="12" customHeight="1">
      <c r="B12691" s="324"/>
      <c r="C12691" s="325"/>
      <c r="D12691" s="326"/>
      <c r="E12691" s="326"/>
      <c r="F12691" s="326"/>
      <c r="G12691" s="326"/>
      <c r="H12691" s="326"/>
      <c r="P12691" s="318"/>
      <c r="Q12691" s="318"/>
      <c r="R12691" s="318"/>
      <c r="S12691" s="318"/>
      <c r="T12691" s="318"/>
      <c r="U12691" s="318"/>
      <c r="V12691" s="318"/>
      <c r="W12691" s="318"/>
      <c r="X12691" s="318"/>
      <c r="Y12691" s="318"/>
      <c r="Z12691" s="318"/>
      <c r="AA12691" s="318"/>
      <c r="AB12691" s="318"/>
      <c r="AC12691" s="318"/>
      <c r="AD12691" s="318"/>
    </row>
    <row r="12692" spans="2:30" s="323" customFormat="1" ht="12" customHeight="1">
      <c r="B12692" s="324"/>
      <c r="C12692" s="325"/>
      <c r="D12692" s="326"/>
      <c r="E12692" s="326"/>
      <c r="F12692" s="326"/>
      <c r="G12692" s="326"/>
      <c r="H12692" s="326"/>
      <c r="P12692" s="318"/>
      <c r="Q12692" s="318"/>
      <c r="R12692" s="318"/>
      <c r="S12692" s="318"/>
      <c r="T12692" s="318"/>
      <c r="U12692" s="318"/>
      <c r="V12692" s="318"/>
      <c r="W12692" s="318"/>
      <c r="X12692" s="318"/>
      <c r="Y12692" s="318"/>
      <c r="Z12692" s="318"/>
      <c r="AA12692" s="318"/>
      <c r="AB12692" s="318"/>
      <c r="AC12692" s="318"/>
      <c r="AD12692" s="318"/>
    </row>
    <row r="12693" spans="2:30" s="323" customFormat="1" ht="12" customHeight="1">
      <c r="B12693" s="324"/>
      <c r="C12693" s="325"/>
      <c r="D12693" s="326"/>
      <c r="E12693" s="326"/>
      <c r="F12693" s="326"/>
      <c r="G12693" s="326"/>
      <c r="H12693" s="326"/>
      <c r="P12693" s="318"/>
      <c r="Q12693" s="318"/>
      <c r="R12693" s="318"/>
      <c r="S12693" s="318"/>
      <c r="T12693" s="318"/>
      <c r="U12693" s="318"/>
      <c r="V12693" s="318"/>
      <c r="W12693" s="318"/>
      <c r="X12693" s="318"/>
      <c r="Y12693" s="318"/>
      <c r="Z12693" s="318"/>
      <c r="AA12693" s="318"/>
      <c r="AB12693" s="318"/>
      <c r="AC12693" s="318"/>
      <c r="AD12693" s="318"/>
    </row>
    <row r="12694" spans="2:30" s="323" customFormat="1" ht="12" customHeight="1">
      <c r="B12694" s="324"/>
      <c r="C12694" s="325"/>
      <c r="D12694" s="326"/>
      <c r="E12694" s="326"/>
      <c r="F12694" s="326"/>
      <c r="G12694" s="326"/>
      <c r="H12694" s="326"/>
      <c r="P12694" s="318"/>
      <c r="Q12694" s="318"/>
      <c r="R12694" s="318"/>
      <c r="S12694" s="318"/>
      <c r="T12694" s="318"/>
      <c r="U12694" s="318"/>
      <c r="V12694" s="318"/>
      <c r="W12694" s="318"/>
      <c r="X12694" s="318"/>
      <c r="Y12694" s="318"/>
      <c r="Z12694" s="318"/>
      <c r="AA12694" s="318"/>
      <c r="AB12694" s="318"/>
      <c r="AC12694" s="318"/>
      <c r="AD12694" s="318"/>
    </row>
    <row r="12695" spans="2:30" s="323" customFormat="1" ht="12" customHeight="1">
      <c r="B12695" s="324"/>
      <c r="C12695" s="325"/>
      <c r="D12695" s="326"/>
      <c r="E12695" s="326"/>
      <c r="F12695" s="326"/>
      <c r="G12695" s="326"/>
      <c r="H12695" s="326"/>
      <c r="P12695" s="318"/>
      <c r="Q12695" s="318"/>
      <c r="R12695" s="318"/>
      <c r="S12695" s="318"/>
      <c r="T12695" s="318"/>
      <c r="U12695" s="318"/>
      <c r="V12695" s="318"/>
      <c r="W12695" s="318"/>
      <c r="X12695" s="318"/>
      <c r="Y12695" s="318"/>
      <c r="Z12695" s="318"/>
      <c r="AA12695" s="318"/>
      <c r="AB12695" s="318"/>
      <c r="AC12695" s="318"/>
      <c r="AD12695" s="318"/>
    </row>
    <row r="12696" spans="2:30" s="323" customFormat="1" ht="12" customHeight="1">
      <c r="B12696" s="324"/>
      <c r="C12696" s="325"/>
      <c r="D12696" s="326"/>
      <c r="E12696" s="326"/>
      <c r="F12696" s="326"/>
      <c r="G12696" s="326"/>
      <c r="H12696" s="326"/>
      <c r="P12696" s="318"/>
      <c r="Q12696" s="318"/>
      <c r="R12696" s="318"/>
      <c r="S12696" s="318"/>
      <c r="T12696" s="318"/>
      <c r="U12696" s="318"/>
      <c r="V12696" s="318"/>
      <c r="W12696" s="318"/>
      <c r="X12696" s="318"/>
      <c r="Y12696" s="318"/>
      <c r="Z12696" s="318"/>
      <c r="AA12696" s="318"/>
      <c r="AB12696" s="318"/>
      <c r="AC12696" s="318"/>
      <c r="AD12696" s="318"/>
    </row>
    <row r="12697" spans="2:30" s="323" customFormat="1" ht="12" customHeight="1">
      <c r="B12697" s="324"/>
      <c r="C12697" s="325"/>
      <c r="D12697" s="326"/>
      <c r="E12697" s="326"/>
      <c r="F12697" s="326"/>
      <c r="G12697" s="326"/>
      <c r="H12697" s="326"/>
      <c r="P12697" s="318"/>
      <c r="Q12697" s="318"/>
      <c r="R12697" s="318"/>
      <c r="S12697" s="318"/>
      <c r="T12697" s="318"/>
      <c r="U12697" s="318"/>
      <c r="V12697" s="318"/>
      <c r="W12697" s="318"/>
      <c r="X12697" s="318"/>
      <c r="Y12697" s="318"/>
      <c r="Z12697" s="318"/>
      <c r="AA12697" s="318"/>
      <c r="AB12697" s="318"/>
      <c r="AC12697" s="318"/>
      <c r="AD12697" s="318"/>
    </row>
    <row r="12698" spans="2:30" s="323" customFormat="1" ht="12" customHeight="1">
      <c r="B12698" s="324"/>
      <c r="C12698" s="325"/>
      <c r="D12698" s="326"/>
      <c r="E12698" s="326"/>
      <c r="F12698" s="326"/>
      <c r="G12698" s="326"/>
      <c r="H12698" s="326"/>
      <c r="P12698" s="318"/>
      <c r="Q12698" s="318"/>
      <c r="R12698" s="318"/>
      <c r="S12698" s="318"/>
      <c r="T12698" s="318"/>
      <c r="U12698" s="318"/>
      <c r="V12698" s="318"/>
      <c r="W12698" s="318"/>
      <c r="X12698" s="318"/>
      <c r="Y12698" s="318"/>
      <c r="Z12698" s="318"/>
      <c r="AA12698" s="318"/>
      <c r="AB12698" s="318"/>
      <c r="AC12698" s="318"/>
      <c r="AD12698" s="318"/>
    </row>
    <row r="12699" spans="2:30" s="323" customFormat="1" ht="12" customHeight="1">
      <c r="B12699" s="324"/>
      <c r="C12699" s="325"/>
      <c r="D12699" s="326"/>
      <c r="E12699" s="326"/>
      <c r="F12699" s="326"/>
      <c r="G12699" s="326"/>
      <c r="H12699" s="326"/>
      <c r="P12699" s="318"/>
      <c r="Q12699" s="318"/>
      <c r="R12699" s="318"/>
      <c r="S12699" s="318"/>
      <c r="T12699" s="318"/>
      <c r="U12699" s="318"/>
      <c r="V12699" s="318"/>
      <c r="W12699" s="318"/>
      <c r="X12699" s="318"/>
      <c r="Y12699" s="318"/>
      <c r="Z12699" s="318"/>
      <c r="AA12699" s="318"/>
      <c r="AB12699" s="318"/>
      <c r="AC12699" s="318"/>
      <c r="AD12699" s="318"/>
    </row>
    <row r="12700" spans="2:30" s="323" customFormat="1" ht="12" customHeight="1">
      <c r="B12700" s="324"/>
      <c r="C12700" s="325"/>
      <c r="D12700" s="326"/>
      <c r="E12700" s="326"/>
      <c r="F12700" s="326"/>
      <c r="G12700" s="326"/>
      <c r="H12700" s="326"/>
      <c r="P12700" s="318"/>
      <c r="Q12700" s="318"/>
      <c r="R12700" s="318"/>
      <c r="S12700" s="318"/>
      <c r="T12700" s="318"/>
      <c r="U12700" s="318"/>
      <c r="V12700" s="318"/>
      <c r="W12700" s="318"/>
      <c r="X12700" s="318"/>
      <c r="Y12700" s="318"/>
      <c r="Z12700" s="318"/>
      <c r="AA12700" s="318"/>
      <c r="AB12700" s="318"/>
      <c r="AC12700" s="318"/>
      <c r="AD12700" s="318"/>
    </row>
    <row r="12701" spans="2:30" s="323" customFormat="1" ht="12" customHeight="1">
      <c r="B12701" s="324"/>
      <c r="C12701" s="325"/>
      <c r="D12701" s="326"/>
      <c r="E12701" s="326"/>
      <c r="F12701" s="326"/>
      <c r="G12701" s="326"/>
      <c r="H12701" s="326"/>
      <c r="P12701" s="318"/>
      <c r="Q12701" s="318"/>
      <c r="R12701" s="318"/>
      <c r="S12701" s="318"/>
      <c r="T12701" s="318"/>
      <c r="U12701" s="318"/>
      <c r="V12701" s="318"/>
      <c r="W12701" s="318"/>
      <c r="X12701" s="318"/>
      <c r="Y12701" s="318"/>
      <c r="Z12701" s="318"/>
      <c r="AA12701" s="318"/>
      <c r="AB12701" s="318"/>
      <c r="AC12701" s="318"/>
      <c r="AD12701" s="318"/>
    </row>
    <row r="12702" spans="2:30" s="323" customFormat="1" ht="12" customHeight="1">
      <c r="B12702" s="324"/>
      <c r="C12702" s="325"/>
      <c r="D12702" s="326"/>
      <c r="E12702" s="326"/>
      <c r="F12702" s="326"/>
      <c r="G12702" s="326"/>
      <c r="H12702" s="326"/>
      <c r="P12702" s="318"/>
      <c r="Q12702" s="318"/>
      <c r="R12702" s="318"/>
      <c r="S12702" s="318"/>
      <c r="T12702" s="318"/>
      <c r="U12702" s="318"/>
      <c r="V12702" s="318"/>
      <c r="W12702" s="318"/>
      <c r="X12702" s="318"/>
      <c r="Y12702" s="318"/>
      <c r="Z12702" s="318"/>
      <c r="AA12702" s="318"/>
      <c r="AB12702" s="318"/>
      <c r="AC12702" s="318"/>
      <c r="AD12702" s="318"/>
    </row>
    <row r="12703" spans="2:30" s="323" customFormat="1" ht="12" customHeight="1">
      <c r="B12703" s="324"/>
      <c r="C12703" s="325"/>
      <c r="D12703" s="326"/>
      <c r="E12703" s="326"/>
      <c r="F12703" s="326"/>
      <c r="G12703" s="326"/>
      <c r="H12703" s="326"/>
      <c r="P12703" s="318"/>
      <c r="Q12703" s="318"/>
      <c r="R12703" s="318"/>
      <c r="S12703" s="318"/>
      <c r="T12703" s="318"/>
      <c r="U12703" s="318"/>
      <c r="V12703" s="318"/>
      <c r="W12703" s="318"/>
      <c r="X12703" s="318"/>
      <c r="Y12703" s="318"/>
      <c r="Z12703" s="318"/>
      <c r="AA12703" s="318"/>
      <c r="AB12703" s="318"/>
      <c r="AC12703" s="318"/>
      <c r="AD12703" s="318"/>
    </row>
    <row r="12704" spans="2:30" s="323" customFormat="1" ht="12" customHeight="1">
      <c r="B12704" s="324"/>
      <c r="C12704" s="325"/>
      <c r="D12704" s="326"/>
      <c r="E12704" s="326"/>
      <c r="F12704" s="326"/>
      <c r="G12704" s="326"/>
      <c r="H12704" s="326"/>
      <c r="P12704" s="318"/>
      <c r="Q12704" s="318"/>
      <c r="R12704" s="318"/>
      <c r="S12704" s="318"/>
      <c r="T12704" s="318"/>
      <c r="U12704" s="318"/>
      <c r="V12704" s="318"/>
      <c r="W12704" s="318"/>
      <c r="X12704" s="318"/>
      <c r="Y12704" s="318"/>
      <c r="Z12704" s="318"/>
      <c r="AA12704" s="318"/>
      <c r="AB12704" s="318"/>
      <c r="AC12704" s="318"/>
      <c r="AD12704" s="318"/>
    </row>
    <row r="12705" spans="2:30" s="323" customFormat="1" ht="12" customHeight="1">
      <c r="B12705" s="324"/>
      <c r="C12705" s="325"/>
      <c r="D12705" s="326"/>
      <c r="E12705" s="326"/>
      <c r="F12705" s="326"/>
      <c r="G12705" s="326"/>
      <c r="H12705" s="326"/>
      <c r="P12705" s="318"/>
      <c r="Q12705" s="318"/>
      <c r="R12705" s="318"/>
      <c r="S12705" s="318"/>
      <c r="T12705" s="318"/>
      <c r="U12705" s="318"/>
      <c r="V12705" s="318"/>
      <c r="W12705" s="318"/>
      <c r="X12705" s="318"/>
      <c r="Y12705" s="318"/>
      <c r="Z12705" s="318"/>
      <c r="AA12705" s="318"/>
      <c r="AB12705" s="318"/>
      <c r="AC12705" s="318"/>
      <c r="AD12705" s="318"/>
    </row>
    <row r="12706" spans="2:30" s="323" customFormat="1" ht="12" customHeight="1">
      <c r="B12706" s="324"/>
      <c r="C12706" s="325"/>
      <c r="D12706" s="326"/>
      <c r="E12706" s="326"/>
      <c r="F12706" s="326"/>
      <c r="G12706" s="326"/>
      <c r="H12706" s="326"/>
      <c r="P12706" s="318"/>
      <c r="Q12706" s="318"/>
      <c r="R12706" s="318"/>
      <c r="S12706" s="318"/>
      <c r="T12706" s="318"/>
      <c r="U12706" s="318"/>
      <c r="V12706" s="318"/>
      <c r="W12706" s="318"/>
      <c r="X12706" s="318"/>
      <c r="Y12706" s="318"/>
      <c r="Z12706" s="318"/>
      <c r="AA12706" s="318"/>
      <c r="AB12706" s="318"/>
      <c r="AC12706" s="318"/>
      <c r="AD12706" s="318"/>
    </row>
    <row r="12707" spans="2:30" s="323" customFormat="1" ht="12" customHeight="1">
      <c r="B12707" s="324"/>
      <c r="C12707" s="325"/>
      <c r="D12707" s="326"/>
      <c r="E12707" s="326"/>
      <c r="F12707" s="326"/>
      <c r="G12707" s="326"/>
      <c r="H12707" s="326"/>
      <c r="P12707" s="318"/>
      <c r="Q12707" s="318"/>
      <c r="R12707" s="318"/>
      <c r="S12707" s="318"/>
      <c r="T12707" s="318"/>
      <c r="U12707" s="318"/>
      <c r="V12707" s="318"/>
      <c r="W12707" s="318"/>
      <c r="X12707" s="318"/>
      <c r="Y12707" s="318"/>
      <c r="Z12707" s="318"/>
      <c r="AA12707" s="318"/>
      <c r="AB12707" s="318"/>
      <c r="AC12707" s="318"/>
      <c r="AD12707" s="318"/>
    </row>
    <row r="12708" spans="2:30" s="323" customFormat="1" ht="12" customHeight="1">
      <c r="B12708" s="324"/>
      <c r="C12708" s="325"/>
      <c r="D12708" s="326"/>
      <c r="E12708" s="326"/>
      <c r="F12708" s="326"/>
      <c r="G12708" s="326"/>
      <c r="H12708" s="326"/>
      <c r="P12708" s="318"/>
      <c r="Q12708" s="318"/>
      <c r="R12708" s="318"/>
      <c r="S12708" s="318"/>
      <c r="T12708" s="318"/>
      <c r="U12708" s="318"/>
      <c r="V12708" s="318"/>
      <c r="W12708" s="318"/>
      <c r="X12708" s="318"/>
      <c r="Y12708" s="318"/>
      <c r="Z12708" s="318"/>
      <c r="AA12708" s="318"/>
      <c r="AB12708" s="318"/>
      <c r="AC12708" s="318"/>
      <c r="AD12708" s="318"/>
    </row>
    <row r="12709" spans="2:30" s="323" customFormat="1" ht="12" customHeight="1">
      <c r="B12709" s="324"/>
      <c r="C12709" s="325"/>
      <c r="D12709" s="326"/>
      <c r="E12709" s="326"/>
      <c r="F12709" s="326"/>
      <c r="G12709" s="326"/>
      <c r="H12709" s="326"/>
      <c r="P12709" s="318"/>
      <c r="Q12709" s="318"/>
      <c r="R12709" s="318"/>
      <c r="S12709" s="318"/>
      <c r="T12709" s="318"/>
      <c r="U12709" s="318"/>
      <c r="V12709" s="318"/>
      <c r="W12709" s="318"/>
      <c r="X12709" s="318"/>
      <c r="Y12709" s="318"/>
      <c r="Z12709" s="318"/>
      <c r="AA12709" s="318"/>
      <c r="AB12709" s="318"/>
      <c r="AC12709" s="318"/>
      <c r="AD12709" s="318"/>
    </row>
    <row r="12710" spans="2:30" s="323" customFormat="1" ht="12" customHeight="1">
      <c r="B12710" s="324"/>
      <c r="C12710" s="325"/>
      <c r="D12710" s="326"/>
      <c r="E12710" s="326"/>
      <c r="F12710" s="326"/>
      <c r="G12710" s="326"/>
      <c r="H12710" s="326"/>
      <c r="P12710" s="318"/>
      <c r="Q12710" s="318"/>
      <c r="R12710" s="318"/>
      <c r="S12710" s="318"/>
      <c r="T12710" s="318"/>
      <c r="U12710" s="318"/>
      <c r="V12710" s="318"/>
      <c r="W12710" s="318"/>
      <c r="X12710" s="318"/>
      <c r="Y12710" s="318"/>
      <c r="Z12710" s="318"/>
      <c r="AA12710" s="318"/>
      <c r="AB12710" s="318"/>
      <c r="AC12710" s="318"/>
      <c r="AD12710" s="318"/>
    </row>
    <row r="12711" spans="2:30" s="323" customFormat="1" ht="12" customHeight="1">
      <c r="B12711" s="324"/>
      <c r="C12711" s="325"/>
      <c r="D12711" s="326"/>
      <c r="E12711" s="326"/>
      <c r="F12711" s="326"/>
      <c r="G12711" s="326"/>
      <c r="H12711" s="326"/>
      <c r="P12711" s="318"/>
      <c r="Q12711" s="318"/>
      <c r="R12711" s="318"/>
      <c r="S12711" s="318"/>
      <c r="T12711" s="318"/>
      <c r="U12711" s="318"/>
      <c r="V12711" s="318"/>
      <c r="W12711" s="318"/>
      <c r="X12711" s="318"/>
      <c r="Y12711" s="318"/>
      <c r="Z12711" s="318"/>
      <c r="AA12711" s="318"/>
      <c r="AB12711" s="318"/>
      <c r="AC12711" s="318"/>
      <c r="AD12711" s="318"/>
    </row>
    <row r="12712" spans="2:30" s="323" customFormat="1" ht="12" customHeight="1">
      <c r="B12712" s="324"/>
      <c r="C12712" s="325"/>
      <c r="D12712" s="326"/>
      <c r="E12712" s="326"/>
      <c r="F12712" s="326"/>
      <c r="G12712" s="326"/>
      <c r="H12712" s="326"/>
      <c r="P12712" s="318"/>
      <c r="Q12712" s="318"/>
      <c r="R12712" s="318"/>
      <c r="S12712" s="318"/>
      <c r="T12712" s="318"/>
      <c r="U12712" s="318"/>
      <c r="V12712" s="318"/>
      <c r="W12712" s="318"/>
      <c r="X12712" s="318"/>
      <c r="Y12712" s="318"/>
      <c r="Z12712" s="318"/>
      <c r="AA12712" s="318"/>
      <c r="AB12712" s="318"/>
      <c r="AC12712" s="318"/>
      <c r="AD12712" s="318"/>
    </row>
    <row r="12713" spans="2:30" s="323" customFormat="1" ht="12" customHeight="1">
      <c r="B12713" s="324"/>
      <c r="C12713" s="325"/>
      <c r="D12713" s="326"/>
      <c r="E12713" s="326"/>
      <c r="F12713" s="326"/>
      <c r="G12713" s="326"/>
      <c r="H12713" s="326"/>
      <c r="P12713" s="318"/>
      <c r="Q12713" s="318"/>
      <c r="R12713" s="318"/>
      <c r="S12713" s="318"/>
      <c r="T12713" s="318"/>
      <c r="U12713" s="318"/>
      <c r="V12713" s="318"/>
      <c r="W12713" s="318"/>
      <c r="X12713" s="318"/>
      <c r="Y12713" s="318"/>
      <c r="Z12713" s="318"/>
      <c r="AA12713" s="318"/>
      <c r="AB12713" s="318"/>
      <c r="AC12713" s="318"/>
      <c r="AD12713" s="318"/>
    </row>
    <row r="12714" spans="2:30" s="323" customFormat="1" ht="12" customHeight="1">
      <c r="B12714" s="324"/>
      <c r="C12714" s="325"/>
      <c r="D12714" s="326"/>
      <c r="E12714" s="326"/>
      <c r="F12714" s="326"/>
      <c r="G12714" s="326"/>
      <c r="H12714" s="326"/>
      <c r="P12714" s="318"/>
      <c r="Q12714" s="318"/>
      <c r="R12714" s="318"/>
      <c r="S12714" s="318"/>
      <c r="T12714" s="318"/>
      <c r="U12714" s="318"/>
      <c r="V12714" s="318"/>
      <c r="W12714" s="318"/>
      <c r="X12714" s="318"/>
      <c r="Y12714" s="318"/>
      <c r="Z12714" s="318"/>
      <c r="AA12714" s="318"/>
      <c r="AB12714" s="318"/>
      <c r="AC12714" s="318"/>
      <c r="AD12714" s="318"/>
    </row>
    <row r="12715" spans="2:30" s="323" customFormat="1" ht="12" customHeight="1">
      <c r="B12715" s="324"/>
      <c r="C12715" s="325"/>
      <c r="D12715" s="326"/>
      <c r="E12715" s="326"/>
      <c r="F12715" s="326"/>
      <c r="G12715" s="326"/>
      <c r="H12715" s="326"/>
      <c r="P12715" s="318"/>
      <c r="Q12715" s="318"/>
      <c r="R12715" s="318"/>
      <c r="S12715" s="318"/>
      <c r="T12715" s="318"/>
      <c r="U12715" s="318"/>
      <c r="V12715" s="318"/>
      <c r="W12715" s="318"/>
      <c r="X12715" s="318"/>
      <c r="Y12715" s="318"/>
      <c r="Z12715" s="318"/>
      <c r="AA12715" s="318"/>
      <c r="AB12715" s="318"/>
      <c r="AC12715" s="318"/>
      <c r="AD12715" s="318"/>
    </row>
    <row r="12716" spans="2:30" s="323" customFormat="1" ht="12" customHeight="1">
      <c r="B12716" s="324"/>
      <c r="C12716" s="325"/>
      <c r="D12716" s="326"/>
      <c r="E12716" s="326"/>
      <c r="F12716" s="326"/>
      <c r="G12716" s="326"/>
      <c r="H12716" s="326"/>
      <c r="P12716" s="318"/>
      <c r="Q12716" s="318"/>
      <c r="R12716" s="318"/>
      <c r="S12716" s="318"/>
      <c r="T12716" s="318"/>
      <c r="U12716" s="318"/>
      <c r="V12716" s="318"/>
      <c r="W12716" s="318"/>
      <c r="X12716" s="318"/>
      <c r="Y12716" s="318"/>
      <c r="Z12716" s="318"/>
      <c r="AA12716" s="318"/>
      <c r="AB12716" s="318"/>
      <c r="AC12716" s="318"/>
      <c r="AD12716" s="318"/>
    </row>
    <row r="12717" spans="2:30" s="323" customFormat="1" ht="12" customHeight="1">
      <c r="B12717" s="324"/>
      <c r="C12717" s="325"/>
      <c r="D12717" s="326"/>
      <c r="E12717" s="326"/>
      <c r="F12717" s="326"/>
      <c r="G12717" s="326"/>
      <c r="H12717" s="326"/>
      <c r="P12717" s="318"/>
      <c r="Q12717" s="318"/>
      <c r="R12717" s="318"/>
      <c r="S12717" s="318"/>
      <c r="T12717" s="318"/>
      <c r="U12717" s="318"/>
      <c r="V12717" s="318"/>
      <c r="W12717" s="318"/>
      <c r="X12717" s="318"/>
      <c r="Y12717" s="318"/>
      <c r="Z12717" s="318"/>
      <c r="AA12717" s="318"/>
      <c r="AB12717" s="318"/>
      <c r="AC12717" s="318"/>
      <c r="AD12717" s="318"/>
    </row>
    <row r="12718" spans="2:30" s="323" customFormat="1" ht="12" customHeight="1">
      <c r="B12718" s="324"/>
      <c r="C12718" s="325"/>
      <c r="D12718" s="326"/>
      <c r="E12718" s="326"/>
      <c r="F12718" s="326"/>
      <c r="G12718" s="326"/>
      <c r="H12718" s="326"/>
      <c r="P12718" s="318"/>
      <c r="Q12718" s="318"/>
      <c r="R12718" s="318"/>
      <c r="S12718" s="318"/>
      <c r="T12718" s="318"/>
      <c r="U12718" s="318"/>
      <c r="V12718" s="318"/>
      <c r="W12718" s="318"/>
      <c r="X12718" s="318"/>
      <c r="Y12718" s="318"/>
      <c r="Z12718" s="318"/>
      <c r="AA12718" s="318"/>
      <c r="AB12718" s="318"/>
      <c r="AC12718" s="318"/>
      <c r="AD12718" s="318"/>
    </row>
    <row r="12719" spans="2:30" s="323" customFormat="1" ht="12" customHeight="1">
      <c r="B12719" s="324"/>
      <c r="C12719" s="325"/>
      <c r="D12719" s="326"/>
      <c r="E12719" s="326"/>
      <c r="F12719" s="326"/>
      <c r="G12719" s="326"/>
      <c r="H12719" s="326"/>
      <c r="P12719" s="318"/>
      <c r="Q12719" s="318"/>
      <c r="R12719" s="318"/>
      <c r="S12719" s="318"/>
      <c r="T12719" s="318"/>
      <c r="U12719" s="318"/>
      <c r="V12719" s="318"/>
      <c r="W12719" s="318"/>
      <c r="X12719" s="318"/>
      <c r="Y12719" s="318"/>
      <c r="Z12719" s="318"/>
      <c r="AA12719" s="318"/>
      <c r="AB12719" s="318"/>
      <c r="AC12719" s="318"/>
      <c r="AD12719" s="318"/>
    </row>
    <row r="12720" spans="2:30" s="323" customFormat="1" ht="12" customHeight="1">
      <c r="B12720" s="324"/>
      <c r="C12720" s="325"/>
      <c r="D12720" s="326"/>
      <c r="E12720" s="326"/>
      <c r="F12720" s="326"/>
      <c r="G12720" s="326"/>
      <c r="H12720" s="326"/>
      <c r="P12720" s="318"/>
      <c r="Q12720" s="318"/>
      <c r="R12720" s="318"/>
      <c r="S12720" s="318"/>
      <c r="T12720" s="318"/>
      <c r="U12720" s="318"/>
      <c r="V12720" s="318"/>
      <c r="W12720" s="318"/>
      <c r="X12720" s="318"/>
      <c r="Y12720" s="318"/>
      <c r="Z12720" s="318"/>
      <c r="AA12720" s="318"/>
      <c r="AB12720" s="318"/>
      <c r="AC12720" s="318"/>
      <c r="AD12720" s="318"/>
    </row>
    <row r="12721" spans="2:30" s="323" customFormat="1" ht="12" customHeight="1">
      <c r="B12721" s="324"/>
      <c r="C12721" s="325"/>
      <c r="D12721" s="326"/>
      <c r="E12721" s="326"/>
      <c r="F12721" s="326"/>
      <c r="G12721" s="326"/>
      <c r="H12721" s="326"/>
      <c r="P12721" s="318"/>
      <c r="Q12721" s="318"/>
      <c r="R12721" s="318"/>
      <c r="S12721" s="318"/>
      <c r="T12721" s="318"/>
      <c r="U12721" s="318"/>
      <c r="V12721" s="318"/>
      <c r="W12721" s="318"/>
      <c r="X12721" s="318"/>
      <c r="Y12721" s="318"/>
      <c r="Z12721" s="318"/>
      <c r="AA12721" s="318"/>
      <c r="AB12721" s="318"/>
      <c r="AC12721" s="318"/>
      <c r="AD12721" s="318"/>
    </row>
    <row r="12722" spans="2:30" s="323" customFormat="1" ht="12" customHeight="1">
      <c r="B12722" s="324"/>
      <c r="C12722" s="325"/>
      <c r="D12722" s="326"/>
      <c r="E12722" s="326"/>
      <c r="F12722" s="326"/>
      <c r="G12722" s="326"/>
      <c r="H12722" s="326"/>
      <c r="P12722" s="318"/>
      <c r="Q12722" s="318"/>
      <c r="R12722" s="318"/>
      <c r="S12722" s="318"/>
      <c r="T12722" s="318"/>
      <c r="U12722" s="318"/>
      <c r="V12722" s="318"/>
      <c r="W12722" s="318"/>
      <c r="X12722" s="318"/>
      <c r="Y12722" s="318"/>
      <c r="Z12722" s="318"/>
      <c r="AA12722" s="318"/>
      <c r="AB12722" s="318"/>
      <c r="AC12722" s="318"/>
      <c r="AD12722" s="318"/>
    </row>
    <row r="12723" spans="2:30" s="323" customFormat="1" ht="12" customHeight="1">
      <c r="B12723" s="324"/>
      <c r="C12723" s="325"/>
      <c r="D12723" s="326"/>
      <c r="E12723" s="326"/>
      <c r="F12723" s="326"/>
      <c r="G12723" s="326"/>
      <c r="H12723" s="326"/>
      <c r="P12723" s="318"/>
      <c r="Q12723" s="318"/>
      <c r="R12723" s="318"/>
      <c r="S12723" s="318"/>
      <c r="T12723" s="318"/>
      <c r="U12723" s="318"/>
      <c r="V12723" s="318"/>
      <c r="W12723" s="318"/>
      <c r="X12723" s="318"/>
      <c r="Y12723" s="318"/>
      <c r="Z12723" s="318"/>
      <c r="AA12723" s="318"/>
      <c r="AB12723" s="318"/>
      <c r="AC12723" s="318"/>
      <c r="AD12723" s="318"/>
    </row>
    <row r="12724" spans="2:30" s="323" customFormat="1" ht="12" customHeight="1">
      <c r="B12724" s="324"/>
      <c r="C12724" s="325"/>
      <c r="D12724" s="326"/>
      <c r="E12724" s="326"/>
      <c r="F12724" s="326"/>
      <c r="G12724" s="326"/>
      <c r="H12724" s="326"/>
      <c r="P12724" s="318"/>
      <c r="Q12724" s="318"/>
      <c r="R12724" s="318"/>
      <c r="S12724" s="318"/>
      <c r="T12724" s="318"/>
      <c r="U12724" s="318"/>
      <c r="V12724" s="318"/>
      <c r="W12724" s="318"/>
      <c r="X12724" s="318"/>
      <c r="Y12724" s="318"/>
      <c r="Z12724" s="318"/>
      <c r="AA12724" s="318"/>
      <c r="AB12724" s="318"/>
      <c r="AC12724" s="318"/>
      <c r="AD12724" s="318"/>
    </row>
    <row r="12725" spans="2:30" s="323" customFormat="1" ht="12" customHeight="1">
      <c r="B12725" s="324"/>
      <c r="C12725" s="325"/>
      <c r="D12725" s="326"/>
      <c r="E12725" s="326"/>
      <c r="F12725" s="326"/>
      <c r="G12725" s="326"/>
      <c r="H12725" s="326"/>
      <c r="P12725" s="318"/>
      <c r="Q12725" s="318"/>
      <c r="R12725" s="318"/>
      <c r="S12725" s="318"/>
      <c r="T12725" s="318"/>
      <c r="U12725" s="318"/>
      <c r="V12725" s="318"/>
      <c r="W12725" s="318"/>
      <c r="X12725" s="318"/>
      <c r="Y12725" s="318"/>
      <c r="Z12725" s="318"/>
      <c r="AA12725" s="318"/>
      <c r="AB12725" s="318"/>
      <c r="AC12725" s="318"/>
      <c r="AD12725" s="318"/>
    </row>
    <row r="12726" spans="2:30" s="323" customFormat="1" ht="12" customHeight="1">
      <c r="B12726" s="324"/>
      <c r="C12726" s="325"/>
      <c r="D12726" s="326"/>
      <c r="E12726" s="326"/>
      <c r="F12726" s="326"/>
      <c r="G12726" s="326"/>
      <c r="H12726" s="326"/>
      <c r="P12726" s="318"/>
      <c r="Q12726" s="318"/>
      <c r="R12726" s="318"/>
      <c r="S12726" s="318"/>
      <c r="T12726" s="318"/>
      <c r="U12726" s="318"/>
      <c r="V12726" s="318"/>
      <c r="W12726" s="318"/>
      <c r="X12726" s="318"/>
      <c r="Y12726" s="318"/>
      <c r="Z12726" s="318"/>
      <c r="AA12726" s="318"/>
      <c r="AB12726" s="318"/>
      <c r="AC12726" s="318"/>
      <c r="AD12726" s="318"/>
    </row>
    <row r="12727" spans="2:30" s="323" customFormat="1" ht="12" customHeight="1">
      <c r="B12727" s="324"/>
      <c r="C12727" s="325"/>
      <c r="D12727" s="326"/>
      <c r="E12727" s="326"/>
      <c r="F12727" s="326"/>
      <c r="G12727" s="326"/>
      <c r="H12727" s="326"/>
      <c r="P12727" s="318"/>
      <c r="Q12727" s="318"/>
      <c r="R12727" s="318"/>
      <c r="S12727" s="318"/>
      <c r="T12727" s="318"/>
      <c r="U12727" s="318"/>
      <c r="V12727" s="318"/>
      <c r="W12727" s="318"/>
      <c r="X12727" s="318"/>
      <c r="Y12727" s="318"/>
      <c r="Z12727" s="318"/>
      <c r="AA12727" s="318"/>
      <c r="AB12727" s="318"/>
      <c r="AC12727" s="318"/>
      <c r="AD12727" s="318"/>
    </row>
    <row r="12728" spans="2:30" s="323" customFormat="1" ht="12" customHeight="1">
      <c r="B12728" s="324"/>
      <c r="C12728" s="325"/>
      <c r="D12728" s="326"/>
      <c r="E12728" s="326"/>
      <c r="F12728" s="326"/>
      <c r="G12728" s="326"/>
      <c r="H12728" s="326"/>
      <c r="P12728" s="318"/>
      <c r="Q12728" s="318"/>
      <c r="R12728" s="318"/>
      <c r="S12728" s="318"/>
      <c r="T12728" s="318"/>
      <c r="U12728" s="318"/>
      <c r="V12728" s="318"/>
      <c r="W12728" s="318"/>
      <c r="X12728" s="318"/>
      <c r="Y12728" s="318"/>
      <c r="Z12728" s="318"/>
      <c r="AA12728" s="318"/>
      <c r="AB12728" s="318"/>
      <c r="AC12728" s="318"/>
      <c r="AD12728" s="318"/>
    </row>
    <row r="12729" spans="2:30" s="323" customFormat="1" ht="12" customHeight="1">
      <c r="B12729" s="324"/>
      <c r="C12729" s="325"/>
      <c r="D12729" s="326"/>
      <c r="E12729" s="326"/>
      <c r="F12729" s="326"/>
      <c r="G12729" s="326"/>
      <c r="H12729" s="326"/>
      <c r="P12729" s="318"/>
      <c r="Q12729" s="318"/>
      <c r="R12729" s="318"/>
      <c r="S12729" s="318"/>
      <c r="T12729" s="318"/>
      <c r="U12729" s="318"/>
      <c r="V12729" s="318"/>
      <c r="W12729" s="318"/>
      <c r="X12729" s="318"/>
      <c r="Y12729" s="318"/>
      <c r="Z12729" s="318"/>
      <c r="AA12729" s="318"/>
      <c r="AB12729" s="318"/>
      <c r="AC12729" s="318"/>
      <c r="AD12729" s="318"/>
    </row>
    <row r="12730" spans="2:30" s="323" customFormat="1" ht="12" customHeight="1">
      <c r="B12730" s="324"/>
      <c r="C12730" s="325"/>
      <c r="D12730" s="326"/>
      <c r="E12730" s="326"/>
      <c r="F12730" s="326"/>
      <c r="G12730" s="326"/>
      <c r="H12730" s="326"/>
      <c r="P12730" s="318"/>
      <c r="Q12730" s="318"/>
      <c r="R12730" s="318"/>
      <c r="S12730" s="318"/>
      <c r="T12730" s="318"/>
      <c r="U12730" s="318"/>
      <c r="V12730" s="318"/>
      <c r="W12730" s="318"/>
      <c r="X12730" s="318"/>
      <c r="Y12730" s="318"/>
      <c r="Z12730" s="318"/>
      <c r="AA12730" s="318"/>
      <c r="AB12730" s="318"/>
      <c r="AC12730" s="318"/>
      <c r="AD12730" s="318"/>
    </row>
    <row r="12731" spans="2:30" s="323" customFormat="1" ht="12" customHeight="1">
      <c r="B12731" s="324"/>
      <c r="C12731" s="325"/>
      <c r="D12731" s="326"/>
      <c r="E12731" s="326"/>
      <c r="F12731" s="326"/>
      <c r="G12731" s="326"/>
      <c r="H12731" s="326"/>
      <c r="P12731" s="318"/>
      <c r="Q12731" s="318"/>
      <c r="R12731" s="318"/>
      <c r="S12731" s="318"/>
      <c r="T12731" s="318"/>
      <c r="U12731" s="318"/>
      <c r="V12731" s="318"/>
      <c r="W12731" s="318"/>
      <c r="X12731" s="318"/>
      <c r="Y12731" s="318"/>
      <c r="Z12731" s="318"/>
      <c r="AA12731" s="318"/>
      <c r="AB12731" s="318"/>
      <c r="AC12731" s="318"/>
      <c r="AD12731" s="318"/>
    </row>
    <row r="12732" spans="2:30" s="323" customFormat="1" ht="12" customHeight="1">
      <c r="B12732" s="324"/>
      <c r="C12732" s="325"/>
      <c r="D12732" s="326"/>
      <c r="E12732" s="326"/>
      <c r="F12732" s="326"/>
      <c r="G12732" s="326"/>
      <c r="H12732" s="326"/>
      <c r="P12732" s="318"/>
      <c r="Q12732" s="318"/>
      <c r="R12732" s="318"/>
      <c r="S12732" s="318"/>
      <c r="T12732" s="318"/>
      <c r="U12732" s="318"/>
      <c r="V12732" s="318"/>
      <c r="W12732" s="318"/>
      <c r="X12732" s="318"/>
      <c r="Y12732" s="318"/>
      <c r="Z12732" s="318"/>
      <c r="AA12732" s="318"/>
      <c r="AB12732" s="318"/>
      <c r="AC12732" s="318"/>
      <c r="AD12732" s="318"/>
    </row>
    <row r="12733" spans="2:30" s="323" customFormat="1" ht="12" customHeight="1">
      <c r="B12733" s="324"/>
      <c r="C12733" s="325"/>
      <c r="D12733" s="326"/>
      <c r="E12733" s="326"/>
      <c r="F12733" s="326"/>
      <c r="G12733" s="326"/>
      <c r="H12733" s="326"/>
      <c r="P12733" s="318"/>
      <c r="Q12733" s="318"/>
      <c r="R12733" s="318"/>
      <c r="S12733" s="318"/>
      <c r="T12733" s="318"/>
      <c r="U12733" s="318"/>
      <c r="V12733" s="318"/>
      <c r="W12733" s="318"/>
      <c r="X12733" s="318"/>
      <c r="Y12733" s="318"/>
      <c r="Z12733" s="318"/>
      <c r="AA12733" s="318"/>
      <c r="AB12733" s="318"/>
      <c r="AC12733" s="318"/>
      <c r="AD12733" s="318"/>
    </row>
    <row r="12734" spans="2:30" s="323" customFormat="1" ht="12" customHeight="1">
      <c r="B12734" s="324"/>
      <c r="C12734" s="325"/>
      <c r="D12734" s="326"/>
      <c r="E12734" s="326"/>
      <c r="F12734" s="326"/>
      <c r="G12734" s="326"/>
      <c r="H12734" s="326"/>
      <c r="P12734" s="318"/>
      <c r="Q12734" s="318"/>
      <c r="R12734" s="318"/>
      <c r="S12734" s="318"/>
      <c r="T12734" s="318"/>
      <c r="U12734" s="318"/>
      <c r="V12734" s="318"/>
      <c r="W12734" s="318"/>
      <c r="X12734" s="318"/>
      <c r="Y12734" s="318"/>
      <c r="Z12734" s="318"/>
      <c r="AA12734" s="318"/>
      <c r="AB12734" s="318"/>
      <c r="AC12734" s="318"/>
      <c r="AD12734" s="318"/>
    </row>
    <row r="12735" spans="2:30" s="323" customFormat="1" ht="12" customHeight="1">
      <c r="B12735" s="324"/>
      <c r="C12735" s="325"/>
      <c r="D12735" s="326"/>
      <c r="E12735" s="326"/>
      <c r="F12735" s="326"/>
      <c r="G12735" s="326"/>
      <c r="H12735" s="326"/>
      <c r="P12735" s="318"/>
      <c r="Q12735" s="318"/>
      <c r="R12735" s="318"/>
      <c r="S12735" s="318"/>
      <c r="T12735" s="318"/>
      <c r="U12735" s="318"/>
      <c r="V12735" s="318"/>
      <c r="W12735" s="318"/>
      <c r="X12735" s="318"/>
      <c r="Y12735" s="318"/>
      <c r="Z12735" s="318"/>
      <c r="AA12735" s="318"/>
      <c r="AB12735" s="318"/>
      <c r="AC12735" s="318"/>
      <c r="AD12735" s="318"/>
    </row>
    <row r="12736" spans="2:30" s="323" customFormat="1" ht="12" customHeight="1">
      <c r="B12736" s="324"/>
      <c r="C12736" s="325"/>
      <c r="D12736" s="326"/>
      <c r="E12736" s="326"/>
      <c r="F12736" s="326"/>
      <c r="G12736" s="326"/>
      <c r="H12736" s="326"/>
      <c r="P12736" s="318"/>
      <c r="Q12736" s="318"/>
      <c r="R12736" s="318"/>
      <c r="S12736" s="318"/>
      <c r="T12736" s="318"/>
      <c r="U12736" s="318"/>
      <c r="V12736" s="318"/>
      <c r="W12736" s="318"/>
      <c r="X12736" s="318"/>
      <c r="Y12736" s="318"/>
      <c r="Z12736" s="318"/>
      <c r="AA12736" s="318"/>
      <c r="AB12736" s="318"/>
      <c r="AC12736" s="318"/>
      <c r="AD12736" s="318"/>
    </row>
    <row r="12737" spans="2:30" s="323" customFormat="1" ht="12" customHeight="1">
      <c r="B12737" s="324"/>
      <c r="C12737" s="325"/>
      <c r="D12737" s="326"/>
      <c r="E12737" s="326"/>
      <c r="F12737" s="326"/>
      <c r="G12737" s="326"/>
      <c r="H12737" s="326"/>
      <c r="P12737" s="318"/>
      <c r="Q12737" s="318"/>
      <c r="R12737" s="318"/>
      <c r="S12737" s="318"/>
      <c r="T12737" s="318"/>
      <c r="U12737" s="318"/>
      <c r="V12737" s="318"/>
      <c r="W12737" s="318"/>
      <c r="X12737" s="318"/>
      <c r="Y12737" s="318"/>
      <c r="Z12737" s="318"/>
      <c r="AA12737" s="318"/>
      <c r="AB12737" s="318"/>
      <c r="AC12737" s="318"/>
      <c r="AD12737" s="318"/>
    </row>
    <row r="12738" spans="2:30" s="323" customFormat="1" ht="12" customHeight="1">
      <c r="B12738" s="324"/>
      <c r="C12738" s="325"/>
      <c r="D12738" s="326"/>
      <c r="E12738" s="326"/>
      <c r="F12738" s="326"/>
      <c r="G12738" s="326"/>
      <c r="H12738" s="326"/>
      <c r="P12738" s="318"/>
      <c r="Q12738" s="318"/>
      <c r="R12738" s="318"/>
      <c r="S12738" s="318"/>
      <c r="T12738" s="318"/>
      <c r="U12738" s="318"/>
      <c r="V12738" s="318"/>
      <c r="W12738" s="318"/>
      <c r="X12738" s="318"/>
      <c r="Y12738" s="318"/>
      <c r="Z12738" s="318"/>
      <c r="AA12738" s="318"/>
      <c r="AB12738" s="318"/>
      <c r="AC12738" s="318"/>
      <c r="AD12738" s="318"/>
    </row>
    <row r="12739" spans="2:30" s="323" customFormat="1" ht="12" customHeight="1">
      <c r="B12739" s="324"/>
      <c r="C12739" s="325"/>
      <c r="D12739" s="326"/>
      <c r="E12739" s="326"/>
      <c r="F12739" s="326"/>
      <c r="G12739" s="326"/>
      <c r="H12739" s="326"/>
      <c r="P12739" s="318"/>
      <c r="Q12739" s="318"/>
      <c r="R12739" s="318"/>
      <c r="S12739" s="318"/>
      <c r="T12739" s="318"/>
      <c r="U12739" s="318"/>
      <c r="V12739" s="318"/>
      <c r="W12739" s="318"/>
      <c r="X12739" s="318"/>
      <c r="Y12739" s="318"/>
      <c r="Z12739" s="318"/>
      <c r="AA12739" s="318"/>
      <c r="AB12739" s="318"/>
      <c r="AC12739" s="318"/>
      <c r="AD12739" s="318"/>
    </row>
    <row r="12740" spans="2:30" s="323" customFormat="1" ht="12" customHeight="1">
      <c r="B12740" s="324"/>
      <c r="C12740" s="325"/>
      <c r="D12740" s="326"/>
      <c r="E12740" s="326"/>
      <c r="F12740" s="326"/>
      <c r="G12740" s="326"/>
      <c r="H12740" s="326"/>
      <c r="P12740" s="318"/>
      <c r="Q12740" s="318"/>
      <c r="R12740" s="318"/>
      <c r="S12740" s="318"/>
      <c r="T12740" s="318"/>
      <c r="U12740" s="318"/>
      <c r="V12740" s="318"/>
      <c r="W12740" s="318"/>
      <c r="X12740" s="318"/>
      <c r="Y12740" s="318"/>
      <c r="Z12740" s="318"/>
      <c r="AA12740" s="318"/>
      <c r="AB12740" s="318"/>
      <c r="AC12740" s="318"/>
      <c r="AD12740" s="318"/>
    </row>
    <row r="12741" spans="2:30" s="323" customFormat="1" ht="12" customHeight="1">
      <c r="B12741" s="324"/>
      <c r="C12741" s="325"/>
      <c r="D12741" s="326"/>
      <c r="E12741" s="326"/>
      <c r="F12741" s="326"/>
      <c r="G12741" s="326"/>
      <c r="H12741" s="326"/>
      <c r="P12741" s="318"/>
      <c r="Q12741" s="318"/>
      <c r="R12741" s="318"/>
      <c r="S12741" s="318"/>
      <c r="T12741" s="318"/>
      <c r="U12741" s="318"/>
      <c r="V12741" s="318"/>
      <c r="W12741" s="318"/>
      <c r="X12741" s="318"/>
      <c r="Y12741" s="318"/>
      <c r="Z12741" s="318"/>
      <c r="AA12741" s="318"/>
      <c r="AB12741" s="318"/>
      <c r="AC12741" s="318"/>
      <c r="AD12741" s="318"/>
    </row>
    <row r="12742" spans="2:30" s="323" customFormat="1" ht="12" customHeight="1">
      <c r="B12742" s="324"/>
      <c r="C12742" s="325"/>
      <c r="D12742" s="326"/>
      <c r="E12742" s="326"/>
      <c r="F12742" s="326"/>
      <c r="G12742" s="326"/>
      <c r="H12742" s="326"/>
      <c r="P12742" s="318"/>
      <c r="Q12742" s="318"/>
      <c r="R12742" s="318"/>
      <c r="S12742" s="318"/>
      <c r="T12742" s="318"/>
      <c r="U12742" s="318"/>
      <c r="V12742" s="318"/>
      <c r="W12742" s="318"/>
      <c r="X12742" s="318"/>
      <c r="Y12742" s="318"/>
      <c r="Z12742" s="318"/>
      <c r="AA12742" s="318"/>
      <c r="AB12742" s="318"/>
      <c r="AC12742" s="318"/>
      <c r="AD12742" s="318"/>
    </row>
    <row r="12743" spans="2:30" s="323" customFormat="1" ht="12" customHeight="1">
      <c r="B12743" s="324"/>
      <c r="C12743" s="325"/>
      <c r="D12743" s="326"/>
      <c r="E12743" s="326"/>
      <c r="F12743" s="326"/>
      <c r="G12743" s="326"/>
      <c r="H12743" s="326"/>
      <c r="P12743" s="318"/>
      <c r="Q12743" s="318"/>
      <c r="R12743" s="318"/>
      <c r="S12743" s="318"/>
      <c r="T12743" s="318"/>
      <c r="U12743" s="318"/>
      <c r="V12743" s="318"/>
      <c r="W12743" s="318"/>
      <c r="X12743" s="318"/>
      <c r="Y12743" s="318"/>
      <c r="Z12743" s="318"/>
      <c r="AA12743" s="318"/>
      <c r="AB12743" s="318"/>
      <c r="AC12743" s="318"/>
      <c r="AD12743" s="318"/>
    </row>
    <row r="12744" spans="2:30" s="323" customFormat="1" ht="12" customHeight="1">
      <c r="B12744" s="324"/>
      <c r="C12744" s="325"/>
      <c r="D12744" s="326"/>
      <c r="E12744" s="326"/>
      <c r="F12744" s="326"/>
      <c r="G12744" s="326"/>
      <c r="H12744" s="326"/>
      <c r="P12744" s="318"/>
      <c r="Q12744" s="318"/>
      <c r="R12744" s="318"/>
      <c r="S12744" s="318"/>
      <c r="T12744" s="318"/>
      <c r="U12744" s="318"/>
      <c r="V12744" s="318"/>
      <c r="W12744" s="318"/>
      <c r="X12744" s="318"/>
      <c r="Y12744" s="318"/>
      <c r="Z12744" s="318"/>
      <c r="AA12744" s="318"/>
      <c r="AB12744" s="318"/>
      <c r="AC12744" s="318"/>
      <c r="AD12744" s="318"/>
    </row>
    <row r="12745" spans="2:30" s="323" customFormat="1" ht="12" customHeight="1">
      <c r="B12745" s="324"/>
      <c r="C12745" s="325"/>
      <c r="D12745" s="326"/>
      <c r="E12745" s="326"/>
      <c r="F12745" s="326"/>
      <c r="G12745" s="326"/>
      <c r="H12745" s="326"/>
      <c r="P12745" s="318"/>
      <c r="Q12745" s="318"/>
      <c r="R12745" s="318"/>
      <c r="S12745" s="318"/>
      <c r="T12745" s="318"/>
      <c r="U12745" s="318"/>
      <c r="V12745" s="318"/>
      <c r="W12745" s="318"/>
      <c r="X12745" s="318"/>
      <c r="Y12745" s="318"/>
      <c r="Z12745" s="318"/>
      <c r="AA12745" s="318"/>
      <c r="AB12745" s="318"/>
      <c r="AC12745" s="318"/>
      <c r="AD12745" s="318"/>
    </row>
    <row r="12746" spans="2:30" s="323" customFormat="1" ht="12" customHeight="1">
      <c r="B12746" s="324"/>
      <c r="C12746" s="325"/>
      <c r="D12746" s="326"/>
      <c r="E12746" s="326"/>
      <c r="F12746" s="326"/>
      <c r="G12746" s="326"/>
      <c r="H12746" s="326"/>
      <c r="P12746" s="318"/>
      <c r="Q12746" s="318"/>
      <c r="R12746" s="318"/>
      <c r="S12746" s="318"/>
      <c r="T12746" s="318"/>
      <c r="U12746" s="318"/>
      <c r="V12746" s="318"/>
      <c r="W12746" s="318"/>
      <c r="X12746" s="318"/>
      <c r="Y12746" s="318"/>
      <c r="Z12746" s="318"/>
      <c r="AA12746" s="318"/>
      <c r="AB12746" s="318"/>
      <c r="AC12746" s="318"/>
      <c r="AD12746" s="318"/>
    </row>
    <row r="12747" spans="2:30" s="323" customFormat="1" ht="12" customHeight="1">
      <c r="B12747" s="324"/>
      <c r="C12747" s="325"/>
      <c r="D12747" s="326"/>
      <c r="E12747" s="326"/>
      <c r="F12747" s="326"/>
      <c r="G12747" s="326"/>
      <c r="H12747" s="326"/>
      <c r="P12747" s="318"/>
      <c r="Q12747" s="318"/>
      <c r="R12747" s="318"/>
      <c r="S12747" s="318"/>
      <c r="T12747" s="318"/>
      <c r="U12747" s="318"/>
      <c r="V12747" s="318"/>
      <c r="W12747" s="318"/>
      <c r="X12747" s="318"/>
      <c r="Y12747" s="318"/>
      <c r="Z12747" s="318"/>
      <c r="AA12747" s="318"/>
      <c r="AB12747" s="318"/>
      <c r="AC12747" s="318"/>
      <c r="AD12747" s="318"/>
    </row>
    <row r="12748" spans="2:30" s="323" customFormat="1" ht="12" customHeight="1">
      <c r="B12748" s="324"/>
      <c r="C12748" s="325"/>
      <c r="D12748" s="326"/>
      <c r="E12748" s="326"/>
      <c r="F12748" s="326"/>
      <c r="G12748" s="326"/>
      <c r="H12748" s="326"/>
      <c r="P12748" s="318"/>
      <c r="Q12748" s="318"/>
      <c r="R12748" s="318"/>
      <c r="S12748" s="318"/>
      <c r="T12748" s="318"/>
      <c r="U12748" s="318"/>
      <c r="V12748" s="318"/>
      <c r="W12748" s="318"/>
      <c r="X12748" s="318"/>
      <c r="Y12748" s="318"/>
      <c r="Z12748" s="318"/>
      <c r="AA12748" s="318"/>
      <c r="AB12748" s="318"/>
      <c r="AC12748" s="318"/>
      <c r="AD12748" s="318"/>
    </row>
    <row r="12749" spans="2:30" s="323" customFormat="1" ht="12" customHeight="1">
      <c r="B12749" s="324"/>
      <c r="C12749" s="325"/>
      <c r="D12749" s="326"/>
      <c r="E12749" s="326"/>
      <c r="F12749" s="326"/>
      <c r="G12749" s="326"/>
      <c r="H12749" s="326"/>
      <c r="P12749" s="318"/>
      <c r="Q12749" s="318"/>
      <c r="R12749" s="318"/>
      <c r="S12749" s="318"/>
      <c r="T12749" s="318"/>
      <c r="U12749" s="318"/>
      <c r="V12749" s="318"/>
      <c r="W12749" s="318"/>
      <c r="X12749" s="318"/>
      <c r="Y12749" s="318"/>
      <c r="Z12749" s="318"/>
      <c r="AA12749" s="318"/>
      <c r="AB12749" s="318"/>
      <c r="AC12749" s="318"/>
      <c r="AD12749" s="318"/>
    </row>
    <row r="12750" spans="2:30" s="323" customFormat="1" ht="12" customHeight="1">
      <c r="B12750" s="324"/>
      <c r="C12750" s="325"/>
      <c r="D12750" s="326"/>
      <c r="E12750" s="326"/>
      <c r="F12750" s="326"/>
      <c r="G12750" s="326"/>
      <c r="H12750" s="326"/>
      <c r="P12750" s="318"/>
      <c r="Q12750" s="318"/>
      <c r="R12750" s="318"/>
      <c r="S12750" s="318"/>
      <c r="T12750" s="318"/>
      <c r="U12750" s="318"/>
      <c r="V12750" s="318"/>
      <c r="W12750" s="318"/>
      <c r="X12750" s="318"/>
      <c r="Y12750" s="318"/>
      <c r="Z12750" s="318"/>
      <c r="AA12750" s="318"/>
      <c r="AB12750" s="318"/>
      <c r="AC12750" s="318"/>
      <c r="AD12750" s="318"/>
    </row>
    <row r="12751" spans="2:30" s="323" customFormat="1" ht="12" customHeight="1">
      <c r="B12751" s="324"/>
      <c r="C12751" s="325"/>
      <c r="D12751" s="326"/>
      <c r="E12751" s="326"/>
      <c r="F12751" s="326"/>
      <c r="G12751" s="326"/>
      <c r="H12751" s="326"/>
      <c r="P12751" s="318"/>
      <c r="Q12751" s="318"/>
      <c r="R12751" s="318"/>
      <c r="S12751" s="318"/>
      <c r="T12751" s="318"/>
      <c r="U12751" s="318"/>
      <c r="V12751" s="318"/>
      <c r="W12751" s="318"/>
      <c r="X12751" s="318"/>
      <c r="Y12751" s="318"/>
      <c r="Z12751" s="318"/>
      <c r="AA12751" s="318"/>
      <c r="AB12751" s="318"/>
      <c r="AC12751" s="318"/>
      <c r="AD12751" s="318"/>
    </row>
    <row r="12752" spans="2:30" s="323" customFormat="1" ht="12" customHeight="1">
      <c r="B12752" s="324"/>
      <c r="C12752" s="325"/>
      <c r="D12752" s="326"/>
      <c r="E12752" s="326"/>
      <c r="F12752" s="326"/>
      <c r="G12752" s="326"/>
      <c r="H12752" s="326"/>
      <c r="P12752" s="318"/>
      <c r="Q12752" s="318"/>
      <c r="R12752" s="318"/>
      <c r="S12752" s="318"/>
      <c r="T12752" s="318"/>
      <c r="U12752" s="318"/>
      <c r="V12752" s="318"/>
      <c r="W12752" s="318"/>
      <c r="X12752" s="318"/>
      <c r="Y12752" s="318"/>
      <c r="Z12752" s="318"/>
      <c r="AA12752" s="318"/>
      <c r="AB12752" s="318"/>
      <c r="AC12752" s="318"/>
      <c r="AD12752" s="318"/>
    </row>
    <row r="12753" spans="2:30" s="323" customFormat="1" ht="12" customHeight="1">
      <c r="B12753" s="324"/>
      <c r="C12753" s="325"/>
      <c r="D12753" s="326"/>
      <c r="E12753" s="326"/>
      <c r="F12753" s="326"/>
      <c r="G12753" s="326"/>
      <c r="H12753" s="326"/>
      <c r="P12753" s="318"/>
      <c r="Q12753" s="318"/>
      <c r="R12753" s="318"/>
      <c r="S12753" s="318"/>
      <c r="T12753" s="318"/>
      <c r="U12753" s="318"/>
      <c r="V12753" s="318"/>
      <c r="W12753" s="318"/>
      <c r="X12753" s="318"/>
      <c r="Y12753" s="318"/>
      <c r="Z12753" s="318"/>
      <c r="AA12753" s="318"/>
      <c r="AB12753" s="318"/>
      <c r="AC12753" s="318"/>
      <c r="AD12753" s="318"/>
    </row>
    <row r="12754" spans="2:30" s="323" customFormat="1" ht="12" customHeight="1">
      <c r="B12754" s="324"/>
      <c r="C12754" s="325"/>
      <c r="D12754" s="326"/>
      <c r="E12754" s="326"/>
      <c r="F12754" s="326"/>
      <c r="G12754" s="326"/>
      <c r="H12754" s="326"/>
      <c r="P12754" s="318"/>
      <c r="Q12754" s="318"/>
      <c r="R12754" s="318"/>
      <c r="S12754" s="318"/>
      <c r="T12754" s="318"/>
      <c r="U12754" s="318"/>
      <c r="V12754" s="318"/>
      <c r="W12754" s="318"/>
      <c r="X12754" s="318"/>
      <c r="Y12754" s="318"/>
      <c r="Z12754" s="318"/>
      <c r="AA12754" s="318"/>
      <c r="AB12754" s="318"/>
      <c r="AC12754" s="318"/>
      <c r="AD12754" s="318"/>
    </row>
    <row r="12755" spans="2:30" s="323" customFormat="1" ht="12" customHeight="1">
      <c r="B12755" s="324"/>
      <c r="C12755" s="325"/>
      <c r="D12755" s="326"/>
      <c r="E12755" s="326"/>
      <c r="F12755" s="326"/>
      <c r="G12755" s="326"/>
      <c r="H12755" s="326"/>
      <c r="P12755" s="318"/>
      <c r="Q12755" s="318"/>
      <c r="R12755" s="318"/>
      <c r="S12755" s="318"/>
      <c r="T12755" s="318"/>
      <c r="U12755" s="318"/>
      <c r="V12755" s="318"/>
      <c r="W12755" s="318"/>
      <c r="X12755" s="318"/>
      <c r="Y12755" s="318"/>
      <c r="Z12755" s="318"/>
      <c r="AA12755" s="318"/>
      <c r="AB12755" s="318"/>
      <c r="AC12755" s="318"/>
      <c r="AD12755" s="318"/>
    </row>
    <row r="12756" spans="2:30" s="323" customFormat="1" ht="12" customHeight="1">
      <c r="B12756" s="324"/>
      <c r="C12756" s="325"/>
      <c r="D12756" s="326"/>
      <c r="E12756" s="326"/>
      <c r="F12756" s="326"/>
      <c r="G12756" s="326"/>
      <c r="H12756" s="326"/>
      <c r="P12756" s="318"/>
      <c r="Q12756" s="318"/>
      <c r="R12756" s="318"/>
      <c r="S12756" s="318"/>
      <c r="T12756" s="318"/>
      <c r="U12756" s="318"/>
      <c r="V12756" s="318"/>
      <c r="W12756" s="318"/>
      <c r="X12756" s="318"/>
      <c r="Y12756" s="318"/>
      <c r="Z12756" s="318"/>
      <c r="AA12756" s="318"/>
      <c r="AB12756" s="318"/>
      <c r="AC12756" s="318"/>
      <c r="AD12756" s="318"/>
    </row>
    <row r="12757" spans="2:30" s="323" customFormat="1" ht="12" customHeight="1">
      <c r="B12757" s="324"/>
      <c r="C12757" s="325"/>
      <c r="D12757" s="326"/>
      <c r="E12757" s="326"/>
      <c r="F12757" s="326"/>
      <c r="G12757" s="326"/>
      <c r="H12757" s="326"/>
      <c r="P12757" s="318"/>
      <c r="Q12757" s="318"/>
      <c r="R12757" s="318"/>
      <c r="S12757" s="318"/>
      <c r="T12757" s="318"/>
      <c r="U12757" s="318"/>
      <c r="V12757" s="318"/>
      <c r="W12757" s="318"/>
      <c r="X12757" s="318"/>
      <c r="Y12757" s="318"/>
      <c r="Z12757" s="318"/>
      <c r="AA12757" s="318"/>
      <c r="AB12757" s="318"/>
      <c r="AC12757" s="318"/>
      <c r="AD12757" s="318"/>
    </row>
    <row r="12758" spans="2:30" s="323" customFormat="1" ht="12" customHeight="1">
      <c r="B12758" s="324"/>
      <c r="C12758" s="325"/>
      <c r="D12758" s="326"/>
      <c r="E12758" s="326"/>
      <c r="F12758" s="326"/>
      <c r="G12758" s="326"/>
      <c r="H12758" s="326"/>
      <c r="P12758" s="318"/>
      <c r="Q12758" s="318"/>
      <c r="R12758" s="318"/>
      <c r="S12758" s="318"/>
      <c r="T12758" s="318"/>
      <c r="U12758" s="318"/>
      <c r="V12758" s="318"/>
      <c r="W12758" s="318"/>
      <c r="X12758" s="318"/>
      <c r="Y12758" s="318"/>
      <c r="Z12758" s="318"/>
      <c r="AA12758" s="318"/>
      <c r="AB12758" s="318"/>
      <c r="AC12758" s="318"/>
      <c r="AD12758" s="318"/>
    </row>
    <row r="12759" spans="2:30" s="323" customFormat="1" ht="12" customHeight="1">
      <c r="B12759" s="324"/>
      <c r="C12759" s="325"/>
      <c r="D12759" s="326"/>
      <c r="E12759" s="326"/>
      <c r="F12759" s="326"/>
      <c r="G12759" s="326"/>
      <c r="H12759" s="326"/>
      <c r="P12759" s="318"/>
      <c r="Q12759" s="318"/>
      <c r="R12759" s="318"/>
      <c r="S12759" s="318"/>
      <c r="T12759" s="318"/>
      <c r="U12759" s="318"/>
      <c r="V12759" s="318"/>
      <c r="W12759" s="318"/>
      <c r="X12759" s="318"/>
      <c r="Y12759" s="318"/>
      <c r="Z12759" s="318"/>
      <c r="AA12759" s="318"/>
      <c r="AB12759" s="318"/>
      <c r="AC12759" s="318"/>
      <c r="AD12759" s="318"/>
    </row>
    <row r="12760" spans="2:30" s="323" customFormat="1" ht="12" customHeight="1">
      <c r="B12760" s="324"/>
      <c r="C12760" s="325"/>
      <c r="D12760" s="326"/>
      <c r="E12760" s="326"/>
      <c r="F12760" s="326"/>
      <c r="G12760" s="326"/>
      <c r="H12760" s="326"/>
      <c r="P12760" s="318"/>
      <c r="Q12760" s="318"/>
      <c r="R12760" s="318"/>
      <c r="S12760" s="318"/>
      <c r="T12760" s="318"/>
      <c r="U12760" s="318"/>
      <c r="V12760" s="318"/>
      <c r="W12760" s="318"/>
      <c r="X12760" s="318"/>
      <c r="Y12760" s="318"/>
      <c r="Z12760" s="318"/>
      <c r="AA12760" s="318"/>
      <c r="AB12760" s="318"/>
      <c r="AC12760" s="318"/>
      <c r="AD12760" s="318"/>
    </row>
    <row r="12761" spans="2:30" s="323" customFormat="1" ht="12" customHeight="1">
      <c r="B12761" s="324"/>
      <c r="C12761" s="325"/>
      <c r="D12761" s="326"/>
      <c r="E12761" s="326"/>
      <c r="F12761" s="326"/>
      <c r="G12761" s="326"/>
      <c r="H12761" s="326"/>
      <c r="P12761" s="318"/>
      <c r="Q12761" s="318"/>
      <c r="R12761" s="318"/>
      <c r="S12761" s="318"/>
      <c r="T12761" s="318"/>
      <c r="U12761" s="318"/>
      <c r="V12761" s="318"/>
      <c r="W12761" s="318"/>
      <c r="X12761" s="318"/>
      <c r="Y12761" s="318"/>
      <c r="Z12761" s="318"/>
      <c r="AA12761" s="318"/>
      <c r="AB12761" s="318"/>
      <c r="AC12761" s="318"/>
      <c r="AD12761" s="318"/>
    </row>
    <row r="12762" spans="2:30" s="323" customFormat="1" ht="12" customHeight="1">
      <c r="B12762" s="324"/>
      <c r="C12762" s="325"/>
      <c r="D12762" s="326"/>
      <c r="E12762" s="326"/>
      <c r="F12762" s="326"/>
      <c r="G12762" s="326"/>
      <c r="H12762" s="326"/>
      <c r="P12762" s="318"/>
      <c r="Q12762" s="318"/>
      <c r="R12762" s="318"/>
      <c r="S12762" s="318"/>
      <c r="T12762" s="318"/>
      <c r="U12762" s="318"/>
      <c r="V12762" s="318"/>
      <c r="W12762" s="318"/>
      <c r="X12762" s="318"/>
      <c r="Y12762" s="318"/>
      <c r="Z12762" s="318"/>
      <c r="AA12762" s="318"/>
      <c r="AB12762" s="318"/>
      <c r="AC12762" s="318"/>
      <c r="AD12762" s="318"/>
    </row>
    <row r="12763" spans="2:30" s="323" customFormat="1" ht="12" customHeight="1">
      <c r="B12763" s="324"/>
      <c r="C12763" s="325"/>
      <c r="D12763" s="326"/>
      <c r="E12763" s="326"/>
      <c r="F12763" s="326"/>
      <c r="G12763" s="326"/>
      <c r="H12763" s="326"/>
      <c r="P12763" s="318"/>
      <c r="Q12763" s="318"/>
      <c r="R12763" s="318"/>
      <c r="S12763" s="318"/>
      <c r="T12763" s="318"/>
      <c r="U12763" s="318"/>
      <c r="V12763" s="318"/>
      <c r="W12763" s="318"/>
      <c r="X12763" s="318"/>
      <c r="Y12763" s="318"/>
      <c r="Z12763" s="318"/>
      <c r="AA12763" s="318"/>
      <c r="AB12763" s="318"/>
      <c r="AC12763" s="318"/>
      <c r="AD12763" s="318"/>
    </row>
    <row r="12764" spans="2:30" s="323" customFormat="1" ht="12" customHeight="1">
      <c r="B12764" s="324"/>
      <c r="C12764" s="325"/>
      <c r="D12764" s="326"/>
      <c r="E12764" s="326"/>
      <c r="F12764" s="326"/>
      <c r="G12764" s="326"/>
      <c r="H12764" s="326"/>
      <c r="P12764" s="318"/>
      <c r="Q12764" s="318"/>
      <c r="R12764" s="318"/>
      <c r="S12764" s="318"/>
      <c r="T12764" s="318"/>
      <c r="U12764" s="318"/>
      <c r="V12764" s="318"/>
      <c r="W12764" s="318"/>
      <c r="X12764" s="318"/>
      <c r="Y12764" s="318"/>
      <c r="Z12764" s="318"/>
      <c r="AA12764" s="318"/>
      <c r="AB12764" s="318"/>
      <c r="AC12764" s="318"/>
      <c r="AD12764" s="318"/>
    </row>
    <row r="12765" spans="2:30" s="323" customFormat="1" ht="12" customHeight="1">
      <c r="B12765" s="324"/>
      <c r="C12765" s="325"/>
      <c r="D12765" s="326"/>
      <c r="E12765" s="326"/>
      <c r="F12765" s="326"/>
      <c r="G12765" s="326"/>
      <c r="H12765" s="326"/>
      <c r="P12765" s="318"/>
      <c r="Q12765" s="318"/>
      <c r="R12765" s="318"/>
      <c r="S12765" s="318"/>
      <c r="T12765" s="318"/>
      <c r="U12765" s="318"/>
      <c r="V12765" s="318"/>
      <c r="W12765" s="318"/>
      <c r="X12765" s="318"/>
      <c r="Y12765" s="318"/>
      <c r="Z12765" s="318"/>
      <c r="AA12765" s="318"/>
      <c r="AB12765" s="318"/>
      <c r="AC12765" s="318"/>
      <c r="AD12765" s="318"/>
    </row>
    <row r="12766" spans="2:30" s="323" customFormat="1" ht="12" customHeight="1">
      <c r="B12766" s="324"/>
      <c r="C12766" s="325"/>
      <c r="D12766" s="326"/>
      <c r="E12766" s="326"/>
      <c r="F12766" s="326"/>
      <c r="G12766" s="326"/>
      <c r="H12766" s="326"/>
      <c r="P12766" s="318"/>
      <c r="Q12766" s="318"/>
      <c r="R12766" s="318"/>
      <c r="S12766" s="318"/>
      <c r="T12766" s="318"/>
      <c r="U12766" s="318"/>
      <c r="V12766" s="318"/>
      <c r="W12766" s="318"/>
      <c r="X12766" s="318"/>
      <c r="Y12766" s="318"/>
      <c r="Z12766" s="318"/>
      <c r="AA12766" s="318"/>
      <c r="AB12766" s="318"/>
      <c r="AC12766" s="318"/>
      <c r="AD12766" s="318"/>
    </row>
    <row r="12767" spans="2:30" s="323" customFormat="1" ht="12" customHeight="1">
      <c r="B12767" s="324"/>
      <c r="C12767" s="325"/>
      <c r="D12767" s="326"/>
      <c r="E12767" s="326"/>
      <c r="F12767" s="326"/>
      <c r="G12767" s="326"/>
      <c r="H12767" s="326"/>
      <c r="P12767" s="318"/>
      <c r="Q12767" s="318"/>
      <c r="R12767" s="318"/>
      <c r="S12767" s="318"/>
      <c r="T12767" s="318"/>
      <c r="U12767" s="318"/>
      <c r="V12767" s="318"/>
      <c r="W12767" s="318"/>
      <c r="X12767" s="318"/>
      <c r="Y12767" s="318"/>
      <c r="Z12767" s="318"/>
      <c r="AA12767" s="318"/>
      <c r="AB12767" s="318"/>
      <c r="AC12767" s="318"/>
      <c r="AD12767" s="318"/>
    </row>
    <row r="12768" spans="2:30" s="323" customFormat="1" ht="12" customHeight="1">
      <c r="B12768" s="324"/>
      <c r="C12768" s="325"/>
      <c r="D12768" s="326"/>
      <c r="E12768" s="326"/>
      <c r="F12768" s="326"/>
      <c r="G12768" s="326"/>
      <c r="H12768" s="326"/>
      <c r="P12768" s="318"/>
      <c r="Q12768" s="318"/>
      <c r="R12768" s="318"/>
      <c r="S12768" s="318"/>
      <c r="T12768" s="318"/>
      <c r="U12768" s="318"/>
      <c r="V12768" s="318"/>
      <c r="W12768" s="318"/>
      <c r="X12768" s="318"/>
      <c r="Y12768" s="318"/>
      <c r="Z12768" s="318"/>
      <c r="AA12768" s="318"/>
      <c r="AB12768" s="318"/>
      <c r="AC12768" s="318"/>
      <c r="AD12768" s="318"/>
    </row>
    <row r="12769" spans="2:30" s="323" customFormat="1" ht="12" customHeight="1">
      <c r="B12769" s="324"/>
      <c r="C12769" s="325"/>
      <c r="D12769" s="326"/>
      <c r="E12769" s="326"/>
      <c r="F12769" s="326"/>
      <c r="G12769" s="326"/>
      <c r="H12769" s="326"/>
      <c r="P12769" s="318"/>
      <c r="Q12769" s="318"/>
      <c r="R12769" s="318"/>
      <c r="S12769" s="318"/>
      <c r="T12769" s="318"/>
      <c r="U12769" s="318"/>
      <c r="V12769" s="318"/>
      <c r="W12769" s="318"/>
      <c r="X12769" s="318"/>
      <c r="Y12769" s="318"/>
      <c r="Z12769" s="318"/>
      <c r="AA12769" s="318"/>
      <c r="AB12769" s="318"/>
      <c r="AC12769" s="318"/>
      <c r="AD12769" s="318"/>
    </row>
    <row r="12770" spans="2:30" s="323" customFormat="1" ht="12" customHeight="1">
      <c r="B12770" s="324"/>
      <c r="C12770" s="325"/>
      <c r="D12770" s="326"/>
      <c r="E12770" s="326"/>
      <c r="F12770" s="326"/>
      <c r="G12770" s="326"/>
      <c r="H12770" s="326"/>
      <c r="P12770" s="318"/>
      <c r="Q12770" s="318"/>
      <c r="R12770" s="318"/>
      <c r="S12770" s="318"/>
      <c r="T12770" s="318"/>
      <c r="U12770" s="318"/>
      <c r="V12770" s="318"/>
      <c r="W12770" s="318"/>
      <c r="X12770" s="318"/>
      <c r="Y12770" s="318"/>
      <c r="Z12770" s="318"/>
      <c r="AA12770" s="318"/>
      <c r="AB12770" s="318"/>
      <c r="AC12770" s="318"/>
      <c r="AD12770" s="318"/>
    </row>
    <row r="12771" spans="2:30" s="323" customFormat="1" ht="12" customHeight="1">
      <c r="B12771" s="324"/>
      <c r="C12771" s="325"/>
      <c r="D12771" s="326"/>
      <c r="E12771" s="326"/>
      <c r="F12771" s="326"/>
      <c r="G12771" s="326"/>
      <c r="H12771" s="326"/>
      <c r="P12771" s="318"/>
      <c r="Q12771" s="318"/>
      <c r="R12771" s="318"/>
      <c r="S12771" s="318"/>
      <c r="T12771" s="318"/>
      <c r="U12771" s="318"/>
      <c r="V12771" s="318"/>
      <c r="W12771" s="318"/>
      <c r="X12771" s="318"/>
      <c r="Y12771" s="318"/>
      <c r="Z12771" s="318"/>
      <c r="AA12771" s="318"/>
      <c r="AB12771" s="318"/>
      <c r="AC12771" s="318"/>
      <c r="AD12771" s="318"/>
    </row>
    <row r="12772" spans="2:30" s="323" customFormat="1" ht="12" customHeight="1">
      <c r="B12772" s="324"/>
      <c r="C12772" s="325"/>
      <c r="D12772" s="326"/>
      <c r="E12772" s="326"/>
      <c r="F12772" s="326"/>
      <c r="G12772" s="326"/>
      <c r="H12772" s="326"/>
      <c r="P12772" s="318"/>
      <c r="Q12772" s="318"/>
      <c r="R12772" s="318"/>
      <c r="S12772" s="318"/>
      <c r="T12772" s="318"/>
      <c r="U12772" s="318"/>
      <c r="V12772" s="318"/>
      <c r="W12772" s="318"/>
      <c r="X12772" s="318"/>
      <c r="Y12772" s="318"/>
      <c r="Z12772" s="318"/>
      <c r="AA12772" s="318"/>
      <c r="AB12772" s="318"/>
      <c r="AC12772" s="318"/>
      <c r="AD12772" s="318"/>
    </row>
    <row r="12773" spans="2:30" s="323" customFormat="1" ht="12" customHeight="1">
      <c r="B12773" s="324"/>
      <c r="C12773" s="325"/>
      <c r="D12773" s="326"/>
      <c r="E12773" s="326"/>
      <c r="F12773" s="326"/>
      <c r="G12773" s="326"/>
      <c r="H12773" s="326"/>
      <c r="P12773" s="318"/>
      <c r="Q12773" s="318"/>
      <c r="R12773" s="318"/>
      <c r="S12773" s="318"/>
      <c r="T12773" s="318"/>
      <c r="U12773" s="318"/>
      <c r="V12773" s="318"/>
      <c r="W12773" s="318"/>
      <c r="X12773" s="318"/>
      <c r="Y12773" s="318"/>
      <c r="Z12773" s="318"/>
      <c r="AA12773" s="318"/>
      <c r="AB12773" s="318"/>
      <c r="AC12773" s="318"/>
      <c r="AD12773" s="318"/>
    </row>
    <row r="12774" spans="2:30" s="323" customFormat="1" ht="12" customHeight="1">
      <c r="B12774" s="324"/>
      <c r="C12774" s="325"/>
      <c r="D12774" s="326"/>
      <c r="E12774" s="326"/>
      <c r="F12774" s="326"/>
      <c r="G12774" s="326"/>
      <c r="H12774" s="326"/>
      <c r="P12774" s="318"/>
      <c r="Q12774" s="318"/>
      <c r="R12774" s="318"/>
      <c r="S12774" s="318"/>
      <c r="T12774" s="318"/>
      <c r="U12774" s="318"/>
      <c r="V12774" s="318"/>
      <c r="W12774" s="318"/>
      <c r="X12774" s="318"/>
      <c r="Y12774" s="318"/>
      <c r="Z12774" s="318"/>
      <c r="AA12774" s="318"/>
      <c r="AB12774" s="318"/>
      <c r="AC12774" s="318"/>
      <c r="AD12774" s="318"/>
    </row>
    <row r="12775" spans="2:30" s="323" customFormat="1" ht="12" customHeight="1">
      <c r="B12775" s="324"/>
      <c r="C12775" s="325"/>
      <c r="D12775" s="326"/>
      <c r="E12775" s="326"/>
      <c r="F12775" s="326"/>
      <c r="G12775" s="326"/>
      <c r="H12775" s="326"/>
      <c r="P12775" s="318"/>
      <c r="Q12775" s="318"/>
      <c r="R12775" s="318"/>
      <c r="S12775" s="318"/>
      <c r="T12775" s="318"/>
      <c r="U12775" s="318"/>
      <c r="V12775" s="318"/>
      <c r="W12775" s="318"/>
      <c r="X12775" s="318"/>
      <c r="Y12775" s="318"/>
      <c r="Z12775" s="318"/>
      <c r="AA12775" s="318"/>
      <c r="AB12775" s="318"/>
      <c r="AC12775" s="318"/>
      <c r="AD12775" s="318"/>
    </row>
    <row r="12776" spans="2:30" s="323" customFormat="1" ht="12" customHeight="1">
      <c r="B12776" s="324"/>
      <c r="C12776" s="325"/>
      <c r="D12776" s="326"/>
      <c r="E12776" s="326"/>
      <c r="F12776" s="326"/>
      <c r="G12776" s="326"/>
      <c r="H12776" s="326"/>
      <c r="P12776" s="318"/>
      <c r="Q12776" s="318"/>
      <c r="R12776" s="318"/>
      <c r="S12776" s="318"/>
      <c r="T12776" s="318"/>
      <c r="U12776" s="318"/>
      <c r="V12776" s="318"/>
      <c r="W12776" s="318"/>
      <c r="X12776" s="318"/>
      <c r="Y12776" s="318"/>
      <c r="Z12776" s="318"/>
      <c r="AA12776" s="318"/>
      <c r="AB12776" s="318"/>
      <c r="AC12776" s="318"/>
      <c r="AD12776" s="318"/>
    </row>
    <row r="12777" spans="2:30" s="323" customFormat="1" ht="12" customHeight="1">
      <c r="B12777" s="324"/>
      <c r="C12777" s="325"/>
      <c r="D12777" s="326"/>
      <c r="E12777" s="326"/>
      <c r="F12777" s="326"/>
      <c r="G12777" s="326"/>
      <c r="H12777" s="326"/>
      <c r="P12777" s="318"/>
      <c r="Q12777" s="318"/>
      <c r="R12777" s="318"/>
      <c r="S12777" s="318"/>
      <c r="T12777" s="318"/>
      <c r="U12777" s="318"/>
      <c r="V12777" s="318"/>
      <c r="W12777" s="318"/>
      <c r="X12777" s="318"/>
      <c r="Y12777" s="318"/>
      <c r="Z12777" s="318"/>
      <c r="AA12777" s="318"/>
      <c r="AB12777" s="318"/>
      <c r="AC12777" s="318"/>
      <c r="AD12777" s="318"/>
    </row>
    <row r="12778" spans="2:30" s="323" customFormat="1" ht="12" customHeight="1">
      <c r="B12778" s="324"/>
      <c r="C12778" s="325"/>
      <c r="D12778" s="326"/>
      <c r="E12778" s="326"/>
      <c r="F12778" s="326"/>
      <c r="G12778" s="326"/>
      <c r="H12778" s="326"/>
      <c r="P12778" s="318"/>
      <c r="Q12778" s="318"/>
      <c r="R12778" s="318"/>
      <c r="S12778" s="318"/>
      <c r="T12778" s="318"/>
      <c r="U12778" s="318"/>
      <c r="V12778" s="318"/>
      <c r="W12778" s="318"/>
      <c r="X12778" s="318"/>
      <c r="Y12778" s="318"/>
      <c r="Z12778" s="318"/>
      <c r="AA12778" s="318"/>
      <c r="AB12778" s="318"/>
      <c r="AC12778" s="318"/>
      <c r="AD12778" s="318"/>
    </row>
    <row r="12779" spans="2:30" s="323" customFormat="1" ht="12" customHeight="1">
      <c r="B12779" s="324"/>
      <c r="C12779" s="325"/>
      <c r="D12779" s="326"/>
      <c r="E12779" s="326"/>
      <c r="F12779" s="326"/>
      <c r="G12779" s="326"/>
      <c r="H12779" s="326"/>
      <c r="P12779" s="318"/>
      <c r="Q12779" s="318"/>
      <c r="R12779" s="318"/>
      <c r="S12779" s="318"/>
      <c r="T12779" s="318"/>
      <c r="U12779" s="318"/>
      <c r="V12779" s="318"/>
      <c r="W12779" s="318"/>
      <c r="X12779" s="318"/>
      <c r="Y12779" s="318"/>
      <c r="Z12779" s="318"/>
      <c r="AA12779" s="318"/>
      <c r="AB12779" s="318"/>
      <c r="AC12779" s="318"/>
      <c r="AD12779" s="318"/>
    </row>
    <row r="12780" spans="2:30" s="323" customFormat="1" ht="12" customHeight="1">
      <c r="B12780" s="324"/>
      <c r="C12780" s="325"/>
      <c r="D12780" s="326"/>
      <c r="E12780" s="326"/>
      <c r="F12780" s="326"/>
      <c r="G12780" s="326"/>
      <c r="H12780" s="326"/>
      <c r="P12780" s="318"/>
      <c r="Q12780" s="318"/>
      <c r="R12780" s="318"/>
      <c r="S12780" s="318"/>
      <c r="T12780" s="318"/>
      <c r="U12780" s="318"/>
      <c r="V12780" s="318"/>
      <c r="W12780" s="318"/>
      <c r="X12780" s="318"/>
      <c r="Y12780" s="318"/>
      <c r="Z12780" s="318"/>
      <c r="AA12780" s="318"/>
      <c r="AB12780" s="318"/>
      <c r="AC12780" s="318"/>
      <c r="AD12780" s="318"/>
    </row>
    <row r="12781" spans="2:30" s="323" customFormat="1" ht="12" customHeight="1">
      <c r="B12781" s="324"/>
      <c r="C12781" s="325"/>
      <c r="D12781" s="326"/>
      <c r="E12781" s="326"/>
      <c r="F12781" s="326"/>
      <c r="G12781" s="326"/>
      <c r="H12781" s="326"/>
      <c r="P12781" s="318"/>
      <c r="Q12781" s="318"/>
      <c r="R12781" s="318"/>
      <c r="S12781" s="318"/>
      <c r="T12781" s="318"/>
      <c r="U12781" s="318"/>
      <c r="V12781" s="318"/>
      <c r="W12781" s="318"/>
      <c r="X12781" s="318"/>
      <c r="Y12781" s="318"/>
      <c r="Z12781" s="318"/>
      <c r="AA12781" s="318"/>
      <c r="AB12781" s="318"/>
      <c r="AC12781" s="318"/>
      <c r="AD12781" s="318"/>
    </row>
    <row r="12782" spans="2:30" s="323" customFormat="1" ht="12" customHeight="1">
      <c r="B12782" s="324"/>
      <c r="C12782" s="325"/>
      <c r="D12782" s="326"/>
      <c r="E12782" s="326"/>
      <c r="F12782" s="326"/>
      <c r="G12782" s="326"/>
      <c r="H12782" s="326"/>
      <c r="P12782" s="318"/>
      <c r="Q12782" s="318"/>
      <c r="R12782" s="318"/>
      <c r="S12782" s="318"/>
      <c r="T12782" s="318"/>
      <c r="U12782" s="318"/>
      <c r="V12782" s="318"/>
      <c r="W12782" s="318"/>
      <c r="X12782" s="318"/>
      <c r="Y12782" s="318"/>
      <c r="Z12782" s="318"/>
      <c r="AA12782" s="318"/>
      <c r="AB12782" s="318"/>
      <c r="AC12782" s="318"/>
      <c r="AD12782" s="318"/>
    </row>
    <row r="12783" spans="2:30" s="323" customFormat="1" ht="12" customHeight="1">
      <c r="B12783" s="324"/>
      <c r="C12783" s="325"/>
      <c r="D12783" s="326"/>
      <c r="E12783" s="326"/>
      <c r="F12783" s="326"/>
      <c r="G12783" s="326"/>
      <c r="H12783" s="326"/>
      <c r="P12783" s="318"/>
      <c r="Q12783" s="318"/>
      <c r="R12783" s="318"/>
      <c r="S12783" s="318"/>
      <c r="T12783" s="318"/>
      <c r="U12783" s="318"/>
      <c r="V12783" s="318"/>
      <c r="W12783" s="318"/>
      <c r="X12783" s="318"/>
      <c r="Y12783" s="318"/>
      <c r="Z12783" s="318"/>
      <c r="AA12783" s="318"/>
      <c r="AB12783" s="318"/>
      <c r="AC12783" s="318"/>
      <c r="AD12783" s="318"/>
    </row>
    <row r="12784" spans="2:30" s="323" customFormat="1" ht="12" customHeight="1">
      <c r="B12784" s="324"/>
      <c r="C12784" s="325"/>
      <c r="D12784" s="326"/>
      <c r="E12784" s="326"/>
      <c r="F12784" s="326"/>
      <c r="G12784" s="326"/>
      <c r="H12784" s="326"/>
      <c r="P12784" s="318"/>
      <c r="Q12784" s="318"/>
      <c r="R12784" s="318"/>
      <c r="S12784" s="318"/>
      <c r="T12784" s="318"/>
      <c r="U12784" s="318"/>
      <c r="V12784" s="318"/>
      <c r="W12784" s="318"/>
      <c r="X12784" s="318"/>
      <c r="Y12784" s="318"/>
      <c r="Z12784" s="318"/>
      <c r="AA12784" s="318"/>
      <c r="AB12784" s="318"/>
      <c r="AC12784" s="318"/>
      <c r="AD12784" s="318"/>
    </row>
    <row r="12785" spans="2:30" s="323" customFormat="1" ht="12" customHeight="1">
      <c r="B12785" s="324"/>
      <c r="C12785" s="325"/>
      <c r="D12785" s="326"/>
      <c r="E12785" s="326"/>
      <c r="F12785" s="326"/>
      <c r="G12785" s="326"/>
      <c r="H12785" s="326"/>
      <c r="P12785" s="318"/>
      <c r="Q12785" s="318"/>
      <c r="R12785" s="318"/>
      <c r="S12785" s="318"/>
      <c r="T12785" s="318"/>
      <c r="U12785" s="318"/>
      <c r="V12785" s="318"/>
      <c r="W12785" s="318"/>
      <c r="X12785" s="318"/>
      <c r="Y12785" s="318"/>
      <c r="Z12785" s="318"/>
      <c r="AA12785" s="318"/>
      <c r="AB12785" s="318"/>
      <c r="AC12785" s="318"/>
      <c r="AD12785" s="318"/>
    </row>
    <row r="12786" spans="2:30" s="323" customFormat="1" ht="12" customHeight="1">
      <c r="B12786" s="324"/>
      <c r="C12786" s="325"/>
      <c r="D12786" s="326"/>
      <c r="E12786" s="326"/>
      <c r="F12786" s="326"/>
      <c r="G12786" s="326"/>
      <c r="H12786" s="326"/>
      <c r="P12786" s="318"/>
      <c r="Q12786" s="318"/>
      <c r="R12786" s="318"/>
      <c r="S12786" s="318"/>
      <c r="T12786" s="318"/>
      <c r="U12786" s="318"/>
      <c r="V12786" s="318"/>
      <c r="W12786" s="318"/>
      <c r="X12786" s="318"/>
      <c r="Y12786" s="318"/>
      <c r="Z12786" s="318"/>
      <c r="AA12786" s="318"/>
      <c r="AB12786" s="318"/>
      <c r="AC12786" s="318"/>
      <c r="AD12786" s="318"/>
    </row>
    <row r="12787" spans="2:30" s="323" customFormat="1" ht="12" customHeight="1">
      <c r="B12787" s="324"/>
      <c r="C12787" s="325"/>
      <c r="D12787" s="326"/>
      <c r="E12787" s="326"/>
      <c r="F12787" s="326"/>
      <c r="G12787" s="326"/>
      <c r="H12787" s="326"/>
      <c r="P12787" s="318"/>
      <c r="Q12787" s="318"/>
      <c r="R12787" s="318"/>
      <c r="S12787" s="318"/>
      <c r="T12787" s="318"/>
      <c r="U12787" s="318"/>
      <c r="V12787" s="318"/>
      <c r="W12787" s="318"/>
      <c r="X12787" s="318"/>
      <c r="Y12787" s="318"/>
      <c r="Z12787" s="318"/>
      <c r="AA12787" s="318"/>
      <c r="AB12787" s="318"/>
      <c r="AC12787" s="318"/>
      <c r="AD12787" s="318"/>
    </row>
    <row r="12788" spans="2:30" s="323" customFormat="1" ht="12" customHeight="1">
      <c r="B12788" s="324"/>
      <c r="C12788" s="325"/>
      <c r="D12788" s="326"/>
      <c r="E12788" s="326"/>
      <c r="F12788" s="326"/>
      <c r="G12788" s="326"/>
      <c r="H12788" s="326"/>
      <c r="P12788" s="318"/>
      <c r="Q12788" s="318"/>
      <c r="R12788" s="318"/>
      <c r="S12788" s="318"/>
      <c r="T12788" s="318"/>
      <c r="U12788" s="318"/>
      <c r="V12788" s="318"/>
      <c r="W12788" s="318"/>
      <c r="X12788" s="318"/>
      <c r="Y12788" s="318"/>
      <c r="Z12788" s="318"/>
      <c r="AA12788" s="318"/>
      <c r="AB12788" s="318"/>
      <c r="AC12788" s="318"/>
      <c r="AD12788" s="318"/>
    </row>
    <row r="12789" spans="2:30" s="323" customFormat="1" ht="12" customHeight="1">
      <c r="B12789" s="324"/>
      <c r="C12789" s="325"/>
      <c r="D12789" s="326"/>
      <c r="E12789" s="326"/>
      <c r="F12789" s="326"/>
      <c r="G12789" s="326"/>
      <c r="H12789" s="326"/>
      <c r="P12789" s="318"/>
      <c r="Q12789" s="318"/>
      <c r="R12789" s="318"/>
      <c r="S12789" s="318"/>
      <c r="T12789" s="318"/>
      <c r="U12789" s="318"/>
      <c r="V12789" s="318"/>
      <c r="W12789" s="318"/>
      <c r="X12789" s="318"/>
      <c r="Y12789" s="318"/>
      <c r="Z12789" s="318"/>
      <c r="AA12789" s="318"/>
      <c r="AB12789" s="318"/>
      <c r="AC12789" s="318"/>
      <c r="AD12789" s="318"/>
    </row>
    <row r="12790" spans="2:30" s="323" customFormat="1" ht="12" customHeight="1">
      <c r="B12790" s="324"/>
      <c r="C12790" s="325"/>
      <c r="D12790" s="326"/>
      <c r="E12790" s="326"/>
      <c r="F12790" s="326"/>
      <c r="G12790" s="326"/>
      <c r="H12790" s="326"/>
      <c r="P12790" s="318"/>
      <c r="Q12790" s="318"/>
      <c r="R12790" s="318"/>
      <c r="S12790" s="318"/>
      <c r="T12790" s="318"/>
      <c r="U12790" s="318"/>
      <c r="V12790" s="318"/>
      <c r="W12790" s="318"/>
      <c r="X12790" s="318"/>
      <c r="Y12790" s="318"/>
      <c r="Z12790" s="318"/>
      <c r="AA12790" s="318"/>
      <c r="AB12790" s="318"/>
      <c r="AC12790" s="318"/>
      <c r="AD12790" s="318"/>
    </row>
    <row r="12791" spans="2:30" s="323" customFormat="1" ht="12" customHeight="1">
      <c r="B12791" s="324"/>
      <c r="C12791" s="325"/>
      <c r="D12791" s="326"/>
      <c r="E12791" s="326"/>
      <c r="F12791" s="326"/>
      <c r="G12791" s="326"/>
      <c r="H12791" s="326"/>
      <c r="P12791" s="318"/>
      <c r="Q12791" s="318"/>
      <c r="R12791" s="318"/>
      <c r="S12791" s="318"/>
      <c r="T12791" s="318"/>
      <c r="U12791" s="318"/>
      <c r="V12791" s="318"/>
      <c r="W12791" s="318"/>
      <c r="X12791" s="318"/>
      <c r="Y12791" s="318"/>
      <c r="Z12791" s="318"/>
      <c r="AA12791" s="318"/>
      <c r="AB12791" s="318"/>
      <c r="AC12791" s="318"/>
      <c r="AD12791" s="318"/>
    </row>
    <row r="12792" spans="2:30" s="323" customFormat="1" ht="12" customHeight="1">
      <c r="B12792" s="324"/>
      <c r="C12792" s="325"/>
      <c r="D12792" s="326"/>
      <c r="E12792" s="326"/>
      <c r="F12792" s="326"/>
      <c r="G12792" s="326"/>
      <c r="H12792" s="326"/>
      <c r="P12792" s="318"/>
      <c r="Q12792" s="318"/>
      <c r="R12792" s="318"/>
      <c r="S12792" s="318"/>
      <c r="T12792" s="318"/>
      <c r="U12792" s="318"/>
      <c r="V12792" s="318"/>
      <c r="W12792" s="318"/>
      <c r="X12792" s="318"/>
      <c r="Y12792" s="318"/>
      <c r="Z12792" s="318"/>
      <c r="AA12792" s="318"/>
      <c r="AB12792" s="318"/>
      <c r="AC12792" s="318"/>
      <c r="AD12792" s="318"/>
    </row>
    <row r="12793" spans="2:30" s="323" customFormat="1" ht="12" customHeight="1">
      <c r="B12793" s="324"/>
      <c r="C12793" s="325"/>
      <c r="D12793" s="326"/>
      <c r="E12793" s="326"/>
      <c r="F12793" s="326"/>
      <c r="G12793" s="326"/>
      <c r="H12793" s="326"/>
      <c r="P12793" s="318"/>
      <c r="Q12793" s="318"/>
      <c r="R12793" s="318"/>
      <c r="S12793" s="318"/>
      <c r="T12793" s="318"/>
      <c r="U12793" s="318"/>
      <c r="V12793" s="318"/>
      <c r="W12793" s="318"/>
      <c r="X12793" s="318"/>
      <c r="Y12793" s="318"/>
      <c r="Z12793" s="318"/>
      <c r="AA12793" s="318"/>
      <c r="AB12793" s="318"/>
      <c r="AC12793" s="318"/>
      <c r="AD12793" s="318"/>
    </row>
    <row r="12794" spans="2:30" s="323" customFormat="1" ht="12" customHeight="1">
      <c r="B12794" s="324"/>
      <c r="C12794" s="325"/>
      <c r="D12794" s="326"/>
      <c r="E12794" s="326"/>
      <c r="F12794" s="326"/>
      <c r="G12794" s="326"/>
      <c r="H12794" s="326"/>
      <c r="P12794" s="318"/>
      <c r="Q12794" s="318"/>
      <c r="R12794" s="318"/>
      <c r="S12794" s="318"/>
      <c r="T12794" s="318"/>
      <c r="U12794" s="318"/>
      <c r="V12794" s="318"/>
      <c r="W12794" s="318"/>
      <c r="X12794" s="318"/>
      <c r="Y12794" s="318"/>
      <c r="Z12794" s="318"/>
      <c r="AA12794" s="318"/>
      <c r="AB12794" s="318"/>
      <c r="AC12794" s="318"/>
      <c r="AD12794" s="318"/>
    </row>
    <row r="12795" spans="2:30" s="323" customFormat="1" ht="12" customHeight="1">
      <c r="B12795" s="324"/>
      <c r="C12795" s="325"/>
      <c r="D12795" s="326"/>
      <c r="E12795" s="326"/>
      <c r="F12795" s="326"/>
      <c r="G12795" s="326"/>
      <c r="H12795" s="326"/>
      <c r="P12795" s="318"/>
      <c r="Q12795" s="318"/>
      <c r="R12795" s="318"/>
      <c r="S12795" s="318"/>
      <c r="T12795" s="318"/>
      <c r="U12795" s="318"/>
      <c r="V12795" s="318"/>
      <c r="W12795" s="318"/>
      <c r="X12795" s="318"/>
      <c r="Y12795" s="318"/>
      <c r="Z12795" s="318"/>
      <c r="AA12795" s="318"/>
      <c r="AB12795" s="318"/>
      <c r="AC12795" s="318"/>
      <c r="AD12795" s="318"/>
    </row>
    <row r="12796" spans="2:30" s="323" customFormat="1" ht="12" customHeight="1">
      <c r="B12796" s="324"/>
      <c r="C12796" s="325"/>
      <c r="D12796" s="326"/>
      <c r="E12796" s="326"/>
      <c r="F12796" s="326"/>
      <c r="G12796" s="326"/>
      <c r="H12796" s="326"/>
      <c r="P12796" s="318"/>
      <c r="Q12796" s="318"/>
      <c r="R12796" s="318"/>
      <c r="S12796" s="318"/>
      <c r="T12796" s="318"/>
      <c r="U12796" s="318"/>
      <c r="V12796" s="318"/>
      <c r="W12796" s="318"/>
      <c r="X12796" s="318"/>
      <c r="Y12796" s="318"/>
      <c r="Z12796" s="318"/>
      <c r="AA12796" s="318"/>
      <c r="AB12796" s="318"/>
      <c r="AC12796" s="318"/>
      <c r="AD12796" s="318"/>
    </row>
    <row r="12797" spans="2:30" s="323" customFormat="1" ht="12" customHeight="1">
      <c r="B12797" s="324"/>
      <c r="C12797" s="325"/>
      <c r="D12797" s="326"/>
      <c r="E12797" s="326"/>
      <c r="F12797" s="326"/>
      <c r="G12797" s="326"/>
      <c r="H12797" s="326"/>
      <c r="P12797" s="318"/>
      <c r="Q12797" s="318"/>
      <c r="R12797" s="318"/>
      <c r="S12797" s="318"/>
      <c r="T12797" s="318"/>
      <c r="U12797" s="318"/>
      <c r="V12797" s="318"/>
      <c r="W12797" s="318"/>
      <c r="X12797" s="318"/>
      <c r="Y12797" s="318"/>
      <c r="Z12797" s="318"/>
      <c r="AA12797" s="318"/>
      <c r="AB12797" s="318"/>
      <c r="AC12797" s="318"/>
      <c r="AD12797" s="318"/>
    </row>
    <row r="12798" spans="2:30" s="323" customFormat="1" ht="12" customHeight="1">
      <c r="B12798" s="324"/>
      <c r="C12798" s="325"/>
      <c r="D12798" s="326"/>
      <c r="E12798" s="326"/>
      <c r="F12798" s="326"/>
      <c r="G12798" s="326"/>
      <c r="H12798" s="326"/>
      <c r="P12798" s="318"/>
      <c r="Q12798" s="318"/>
      <c r="R12798" s="318"/>
      <c r="S12798" s="318"/>
      <c r="T12798" s="318"/>
      <c r="U12798" s="318"/>
      <c r="V12798" s="318"/>
      <c r="W12798" s="318"/>
      <c r="X12798" s="318"/>
      <c r="Y12798" s="318"/>
      <c r="Z12798" s="318"/>
      <c r="AA12798" s="318"/>
      <c r="AB12798" s="318"/>
      <c r="AC12798" s="318"/>
      <c r="AD12798" s="318"/>
    </row>
    <row r="12799" spans="2:30" s="323" customFormat="1" ht="12" customHeight="1">
      <c r="B12799" s="324"/>
      <c r="C12799" s="325"/>
      <c r="D12799" s="326"/>
      <c r="E12799" s="326"/>
      <c r="F12799" s="326"/>
      <c r="G12799" s="326"/>
      <c r="H12799" s="326"/>
      <c r="P12799" s="318"/>
      <c r="Q12799" s="318"/>
      <c r="R12799" s="318"/>
      <c r="S12799" s="318"/>
      <c r="T12799" s="318"/>
      <c r="U12799" s="318"/>
      <c r="V12799" s="318"/>
      <c r="W12799" s="318"/>
      <c r="X12799" s="318"/>
      <c r="Y12799" s="318"/>
      <c r="Z12799" s="318"/>
      <c r="AA12799" s="318"/>
      <c r="AB12799" s="318"/>
      <c r="AC12799" s="318"/>
      <c r="AD12799" s="318"/>
    </row>
    <row r="12800" spans="2:30" s="323" customFormat="1" ht="12" customHeight="1">
      <c r="B12800" s="324"/>
      <c r="C12800" s="325"/>
      <c r="D12800" s="326"/>
      <c r="E12800" s="326"/>
      <c r="F12800" s="326"/>
      <c r="G12800" s="326"/>
      <c r="H12800" s="326"/>
      <c r="P12800" s="318"/>
      <c r="Q12800" s="318"/>
      <c r="R12800" s="318"/>
      <c r="S12800" s="318"/>
      <c r="T12800" s="318"/>
      <c r="U12800" s="318"/>
      <c r="V12800" s="318"/>
      <c r="W12800" s="318"/>
      <c r="X12800" s="318"/>
      <c r="Y12800" s="318"/>
      <c r="Z12800" s="318"/>
      <c r="AA12800" s="318"/>
      <c r="AB12800" s="318"/>
      <c r="AC12800" s="318"/>
      <c r="AD12800" s="318"/>
    </row>
    <row r="12801" spans="2:30" s="323" customFormat="1" ht="12" customHeight="1">
      <c r="B12801" s="324"/>
      <c r="C12801" s="325"/>
      <c r="D12801" s="326"/>
      <c r="E12801" s="326"/>
      <c r="F12801" s="326"/>
      <c r="G12801" s="326"/>
      <c r="H12801" s="326"/>
      <c r="P12801" s="318"/>
      <c r="Q12801" s="318"/>
      <c r="R12801" s="318"/>
      <c r="S12801" s="318"/>
      <c r="T12801" s="318"/>
      <c r="U12801" s="318"/>
      <c r="V12801" s="318"/>
      <c r="W12801" s="318"/>
      <c r="X12801" s="318"/>
      <c r="Y12801" s="318"/>
      <c r="Z12801" s="318"/>
      <c r="AA12801" s="318"/>
      <c r="AB12801" s="318"/>
      <c r="AC12801" s="318"/>
      <c r="AD12801" s="318"/>
    </row>
    <row r="12802" spans="2:30" s="323" customFormat="1" ht="12" customHeight="1">
      <c r="B12802" s="324"/>
      <c r="C12802" s="325"/>
      <c r="D12802" s="326"/>
      <c r="E12802" s="326"/>
      <c r="F12802" s="326"/>
      <c r="G12802" s="326"/>
      <c r="H12802" s="326"/>
      <c r="P12802" s="318"/>
      <c r="Q12802" s="318"/>
      <c r="R12802" s="318"/>
      <c r="S12802" s="318"/>
      <c r="T12802" s="318"/>
      <c r="U12802" s="318"/>
      <c r="V12802" s="318"/>
      <c r="W12802" s="318"/>
      <c r="X12802" s="318"/>
      <c r="Y12802" s="318"/>
      <c r="Z12802" s="318"/>
      <c r="AA12802" s="318"/>
      <c r="AB12802" s="318"/>
      <c r="AC12802" s="318"/>
      <c r="AD12802" s="318"/>
    </row>
    <row r="12803" spans="2:30" s="323" customFormat="1" ht="12" customHeight="1">
      <c r="B12803" s="324"/>
      <c r="C12803" s="325"/>
      <c r="D12803" s="326"/>
      <c r="E12803" s="326"/>
      <c r="F12803" s="326"/>
      <c r="G12803" s="326"/>
      <c r="H12803" s="326"/>
      <c r="P12803" s="318"/>
      <c r="Q12803" s="318"/>
      <c r="R12803" s="318"/>
      <c r="S12803" s="318"/>
      <c r="T12803" s="318"/>
      <c r="U12803" s="318"/>
      <c r="V12803" s="318"/>
      <c r="W12803" s="318"/>
      <c r="X12803" s="318"/>
      <c r="Y12803" s="318"/>
      <c r="Z12803" s="318"/>
      <c r="AA12803" s="318"/>
      <c r="AB12803" s="318"/>
      <c r="AC12803" s="318"/>
      <c r="AD12803" s="318"/>
    </row>
    <row r="12804" spans="2:30" s="323" customFormat="1" ht="12" customHeight="1">
      <c r="B12804" s="324"/>
      <c r="C12804" s="325"/>
      <c r="D12804" s="326"/>
      <c r="E12804" s="326"/>
      <c r="F12804" s="326"/>
      <c r="G12804" s="326"/>
      <c r="H12804" s="326"/>
      <c r="P12804" s="318"/>
      <c r="Q12804" s="318"/>
      <c r="R12804" s="318"/>
      <c r="S12804" s="318"/>
      <c r="T12804" s="318"/>
      <c r="U12804" s="318"/>
      <c r="V12804" s="318"/>
      <c r="W12804" s="318"/>
      <c r="X12804" s="318"/>
      <c r="Y12804" s="318"/>
      <c r="Z12804" s="318"/>
      <c r="AA12804" s="318"/>
      <c r="AB12804" s="318"/>
      <c r="AC12804" s="318"/>
      <c r="AD12804" s="318"/>
    </row>
    <row r="12805" spans="2:30" s="323" customFormat="1" ht="12" customHeight="1">
      <c r="B12805" s="324"/>
      <c r="C12805" s="325"/>
      <c r="D12805" s="326"/>
      <c r="E12805" s="326"/>
      <c r="F12805" s="326"/>
      <c r="G12805" s="326"/>
      <c r="H12805" s="326"/>
      <c r="P12805" s="318"/>
      <c r="Q12805" s="318"/>
      <c r="R12805" s="318"/>
      <c r="S12805" s="318"/>
      <c r="T12805" s="318"/>
      <c r="U12805" s="318"/>
      <c r="V12805" s="318"/>
      <c r="W12805" s="318"/>
      <c r="X12805" s="318"/>
      <c r="Y12805" s="318"/>
      <c r="Z12805" s="318"/>
      <c r="AA12805" s="318"/>
      <c r="AB12805" s="318"/>
      <c r="AC12805" s="318"/>
      <c r="AD12805" s="318"/>
    </row>
    <row r="12806" spans="2:30" s="323" customFormat="1" ht="12" customHeight="1">
      <c r="B12806" s="324"/>
      <c r="C12806" s="325"/>
      <c r="D12806" s="326"/>
      <c r="E12806" s="326"/>
      <c r="F12806" s="326"/>
      <c r="G12806" s="326"/>
      <c r="H12806" s="326"/>
      <c r="P12806" s="318"/>
      <c r="Q12806" s="318"/>
      <c r="R12806" s="318"/>
      <c r="S12806" s="318"/>
      <c r="T12806" s="318"/>
      <c r="U12806" s="318"/>
      <c r="V12806" s="318"/>
      <c r="W12806" s="318"/>
      <c r="X12806" s="318"/>
      <c r="Y12806" s="318"/>
      <c r="Z12806" s="318"/>
      <c r="AA12806" s="318"/>
      <c r="AB12806" s="318"/>
      <c r="AC12806" s="318"/>
      <c r="AD12806" s="318"/>
    </row>
    <row r="12807" spans="2:30" s="323" customFormat="1" ht="12" customHeight="1">
      <c r="B12807" s="324"/>
      <c r="C12807" s="325"/>
      <c r="D12807" s="326"/>
      <c r="E12807" s="326"/>
      <c r="F12807" s="326"/>
      <c r="G12807" s="326"/>
      <c r="H12807" s="326"/>
      <c r="P12807" s="318"/>
      <c r="Q12807" s="318"/>
      <c r="R12807" s="318"/>
      <c r="S12807" s="318"/>
      <c r="T12807" s="318"/>
      <c r="U12807" s="318"/>
      <c r="V12807" s="318"/>
      <c r="W12807" s="318"/>
      <c r="X12807" s="318"/>
      <c r="Y12807" s="318"/>
      <c r="Z12807" s="318"/>
      <c r="AA12807" s="318"/>
      <c r="AB12807" s="318"/>
      <c r="AC12807" s="318"/>
      <c r="AD12807" s="318"/>
    </row>
    <row r="12808" spans="2:30" s="323" customFormat="1" ht="12" customHeight="1">
      <c r="B12808" s="324"/>
      <c r="C12808" s="325"/>
      <c r="D12808" s="326"/>
      <c r="E12808" s="326"/>
      <c r="F12808" s="326"/>
      <c r="G12808" s="326"/>
      <c r="H12808" s="326"/>
      <c r="P12808" s="318"/>
      <c r="Q12808" s="318"/>
      <c r="R12808" s="318"/>
      <c r="S12808" s="318"/>
      <c r="T12808" s="318"/>
      <c r="U12808" s="318"/>
      <c r="V12808" s="318"/>
      <c r="W12808" s="318"/>
      <c r="X12808" s="318"/>
      <c r="Y12808" s="318"/>
      <c r="Z12808" s="318"/>
      <c r="AA12808" s="318"/>
      <c r="AB12808" s="318"/>
      <c r="AC12808" s="318"/>
      <c r="AD12808" s="318"/>
    </row>
    <row r="12809" spans="2:30" s="323" customFormat="1" ht="12" customHeight="1">
      <c r="B12809" s="324"/>
      <c r="C12809" s="325"/>
      <c r="D12809" s="326"/>
      <c r="E12809" s="326"/>
      <c r="F12809" s="326"/>
      <c r="G12809" s="326"/>
      <c r="H12809" s="326"/>
      <c r="P12809" s="318"/>
      <c r="Q12809" s="318"/>
      <c r="R12809" s="318"/>
      <c r="S12809" s="318"/>
      <c r="T12809" s="318"/>
      <c r="U12809" s="318"/>
      <c r="V12809" s="318"/>
      <c r="W12809" s="318"/>
      <c r="X12809" s="318"/>
      <c r="Y12809" s="318"/>
      <c r="Z12809" s="318"/>
      <c r="AA12809" s="318"/>
      <c r="AB12809" s="318"/>
      <c r="AC12809" s="318"/>
      <c r="AD12809" s="318"/>
    </row>
    <row r="12810" spans="2:30" s="323" customFormat="1" ht="12" customHeight="1">
      <c r="B12810" s="324"/>
      <c r="C12810" s="325"/>
      <c r="D12810" s="326"/>
      <c r="E12810" s="326"/>
      <c r="F12810" s="326"/>
      <c r="G12810" s="326"/>
      <c r="H12810" s="326"/>
      <c r="P12810" s="318"/>
      <c r="Q12810" s="318"/>
      <c r="R12810" s="318"/>
      <c r="S12810" s="318"/>
      <c r="T12810" s="318"/>
      <c r="U12810" s="318"/>
      <c r="V12810" s="318"/>
      <c r="W12810" s="318"/>
      <c r="X12810" s="318"/>
      <c r="Y12810" s="318"/>
      <c r="Z12810" s="318"/>
      <c r="AA12810" s="318"/>
      <c r="AB12810" s="318"/>
      <c r="AC12810" s="318"/>
      <c r="AD12810" s="318"/>
    </row>
    <row r="12811" spans="2:30" s="323" customFormat="1" ht="12" customHeight="1">
      <c r="B12811" s="324"/>
      <c r="C12811" s="325"/>
      <c r="D12811" s="326"/>
      <c r="E12811" s="326"/>
      <c r="F12811" s="326"/>
      <c r="G12811" s="326"/>
      <c r="H12811" s="326"/>
      <c r="P12811" s="318"/>
      <c r="Q12811" s="318"/>
      <c r="R12811" s="318"/>
      <c r="S12811" s="318"/>
      <c r="T12811" s="318"/>
      <c r="U12811" s="318"/>
      <c r="V12811" s="318"/>
      <c r="W12811" s="318"/>
      <c r="X12811" s="318"/>
      <c r="Y12811" s="318"/>
      <c r="Z12811" s="318"/>
      <c r="AA12811" s="318"/>
      <c r="AB12811" s="318"/>
      <c r="AC12811" s="318"/>
      <c r="AD12811" s="318"/>
    </row>
    <row r="12812" spans="2:30" s="323" customFormat="1" ht="12" customHeight="1">
      <c r="B12812" s="324"/>
      <c r="C12812" s="325"/>
      <c r="D12812" s="326"/>
      <c r="E12812" s="326"/>
      <c r="F12812" s="326"/>
      <c r="G12812" s="326"/>
      <c r="H12812" s="326"/>
      <c r="P12812" s="318"/>
      <c r="Q12812" s="318"/>
      <c r="R12812" s="318"/>
      <c r="S12812" s="318"/>
      <c r="T12812" s="318"/>
      <c r="U12812" s="318"/>
      <c r="V12812" s="318"/>
      <c r="W12812" s="318"/>
      <c r="X12812" s="318"/>
      <c r="Y12812" s="318"/>
      <c r="Z12812" s="318"/>
      <c r="AA12812" s="318"/>
      <c r="AB12812" s="318"/>
      <c r="AC12812" s="318"/>
      <c r="AD12812" s="318"/>
    </row>
    <row r="12813" spans="2:30" s="323" customFormat="1" ht="12" customHeight="1">
      <c r="B12813" s="324"/>
      <c r="C12813" s="325"/>
      <c r="D12813" s="326"/>
      <c r="E12813" s="326"/>
      <c r="F12813" s="326"/>
      <c r="G12813" s="326"/>
      <c r="H12813" s="326"/>
      <c r="P12813" s="318"/>
      <c r="Q12813" s="318"/>
      <c r="R12813" s="318"/>
      <c r="S12813" s="318"/>
      <c r="T12813" s="318"/>
      <c r="U12813" s="318"/>
      <c r="V12813" s="318"/>
      <c r="W12813" s="318"/>
      <c r="X12813" s="318"/>
      <c r="Y12813" s="318"/>
      <c r="Z12813" s="318"/>
      <c r="AA12813" s="318"/>
      <c r="AB12813" s="318"/>
      <c r="AC12813" s="318"/>
      <c r="AD12813" s="318"/>
    </row>
    <row r="12814" spans="2:30" s="323" customFormat="1" ht="12" customHeight="1">
      <c r="B12814" s="324"/>
      <c r="C12814" s="325"/>
      <c r="D12814" s="326"/>
      <c r="E12814" s="326"/>
      <c r="F12814" s="326"/>
      <c r="G12814" s="326"/>
      <c r="H12814" s="326"/>
      <c r="P12814" s="318"/>
      <c r="Q12814" s="318"/>
      <c r="R12814" s="318"/>
      <c r="S12814" s="318"/>
      <c r="T12814" s="318"/>
      <c r="U12814" s="318"/>
      <c r="V12814" s="318"/>
      <c r="W12814" s="318"/>
      <c r="X12814" s="318"/>
      <c r="Y12814" s="318"/>
      <c r="Z12814" s="318"/>
      <c r="AA12814" s="318"/>
      <c r="AB12814" s="318"/>
      <c r="AC12814" s="318"/>
      <c r="AD12814" s="318"/>
    </row>
    <row r="12815" spans="2:30" s="323" customFormat="1" ht="12" customHeight="1">
      <c r="B12815" s="324"/>
      <c r="C12815" s="325"/>
      <c r="D12815" s="326"/>
      <c r="E12815" s="326"/>
      <c r="F12815" s="326"/>
      <c r="G12815" s="326"/>
      <c r="H12815" s="326"/>
      <c r="P12815" s="318"/>
      <c r="Q12815" s="318"/>
      <c r="R12815" s="318"/>
      <c r="S12815" s="318"/>
      <c r="T12815" s="318"/>
      <c r="U12815" s="318"/>
      <c r="V12815" s="318"/>
      <c r="W12815" s="318"/>
      <c r="X12815" s="318"/>
      <c r="Y12815" s="318"/>
      <c r="Z12815" s="318"/>
      <c r="AA12815" s="318"/>
      <c r="AB12815" s="318"/>
      <c r="AC12815" s="318"/>
      <c r="AD12815" s="318"/>
    </row>
    <row r="12816" spans="2:30" s="323" customFormat="1" ht="12" customHeight="1">
      <c r="B12816" s="324"/>
      <c r="C12816" s="325"/>
      <c r="D12816" s="326"/>
      <c r="E12816" s="326"/>
      <c r="F12816" s="326"/>
      <c r="G12816" s="326"/>
      <c r="H12816" s="326"/>
      <c r="P12816" s="318"/>
      <c r="Q12816" s="318"/>
      <c r="R12816" s="318"/>
      <c r="S12816" s="318"/>
      <c r="T12816" s="318"/>
      <c r="U12816" s="318"/>
      <c r="V12816" s="318"/>
      <c r="W12816" s="318"/>
      <c r="X12816" s="318"/>
      <c r="Y12816" s="318"/>
      <c r="Z12816" s="318"/>
      <c r="AA12816" s="318"/>
      <c r="AB12816" s="318"/>
      <c r="AC12816" s="318"/>
      <c r="AD12816" s="318"/>
    </row>
    <row r="12817" spans="2:30" s="323" customFormat="1" ht="12" customHeight="1">
      <c r="B12817" s="324"/>
      <c r="C12817" s="325"/>
      <c r="D12817" s="326"/>
      <c r="E12817" s="326"/>
      <c r="F12817" s="326"/>
      <c r="G12817" s="326"/>
      <c r="H12817" s="326"/>
      <c r="P12817" s="318"/>
      <c r="Q12817" s="318"/>
      <c r="R12817" s="318"/>
      <c r="S12817" s="318"/>
      <c r="T12817" s="318"/>
      <c r="U12817" s="318"/>
      <c r="V12817" s="318"/>
      <c r="W12817" s="318"/>
      <c r="X12817" s="318"/>
      <c r="Y12817" s="318"/>
      <c r="Z12817" s="318"/>
      <c r="AA12817" s="318"/>
      <c r="AB12817" s="318"/>
      <c r="AC12817" s="318"/>
      <c r="AD12817" s="318"/>
    </row>
    <row r="12818" spans="2:30" s="323" customFormat="1" ht="12" customHeight="1">
      <c r="B12818" s="324"/>
      <c r="C12818" s="325"/>
      <c r="D12818" s="326"/>
      <c r="E12818" s="326"/>
      <c r="F12818" s="326"/>
      <c r="G12818" s="326"/>
      <c r="H12818" s="326"/>
      <c r="P12818" s="318"/>
      <c r="Q12818" s="318"/>
      <c r="R12818" s="318"/>
      <c r="S12818" s="318"/>
      <c r="T12818" s="318"/>
      <c r="U12818" s="318"/>
      <c r="V12818" s="318"/>
      <c r="W12818" s="318"/>
      <c r="X12818" s="318"/>
      <c r="Y12818" s="318"/>
      <c r="Z12818" s="318"/>
      <c r="AA12818" s="318"/>
      <c r="AB12818" s="318"/>
      <c r="AC12818" s="318"/>
      <c r="AD12818" s="318"/>
    </row>
    <row r="12819" spans="2:30" s="323" customFormat="1" ht="12" customHeight="1">
      <c r="B12819" s="324"/>
      <c r="C12819" s="325"/>
      <c r="D12819" s="326"/>
      <c r="E12819" s="326"/>
      <c r="F12819" s="326"/>
      <c r="G12819" s="326"/>
      <c r="H12819" s="326"/>
      <c r="P12819" s="318"/>
      <c r="Q12819" s="318"/>
      <c r="R12819" s="318"/>
      <c r="S12819" s="318"/>
      <c r="T12819" s="318"/>
      <c r="U12819" s="318"/>
      <c r="V12819" s="318"/>
      <c r="W12819" s="318"/>
      <c r="X12819" s="318"/>
      <c r="Y12819" s="318"/>
      <c r="Z12819" s="318"/>
      <c r="AA12819" s="318"/>
      <c r="AB12819" s="318"/>
      <c r="AC12819" s="318"/>
      <c r="AD12819" s="318"/>
    </row>
    <row r="12820" spans="2:30" s="323" customFormat="1" ht="12" customHeight="1">
      <c r="B12820" s="324"/>
      <c r="C12820" s="325"/>
      <c r="D12820" s="326"/>
      <c r="E12820" s="326"/>
      <c r="F12820" s="326"/>
      <c r="G12820" s="326"/>
      <c r="H12820" s="326"/>
      <c r="P12820" s="318"/>
      <c r="Q12820" s="318"/>
      <c r="R12820" s="318"/>
      <c r="S12820" s="318"/>
      <c r="T12820" s="318"/>
      <c r="U12820" s="318"/>
      <c r="V12820" s="318"/>
      <c r="W12820" s="318"/>
      <c r="X12820" s="318"/>
      <c r="Y12820" s="318"/>
      <c r="Z12820" s="318"/>
      <c r="AA12820" s="318"/>
      <c r="AB12820" s="318"/>
      <c r="AC12820" s="318"/>
      <c r="AD12820" s="318"/>
    </row>
    <row r="12821" spans="2:30" s="323" customFormat="1" ht="12" customHeight="1">
      <c r="B12821" s="324"/>
      <c r="C12821" s="325"/>
      <c r="D12821" s="326"/>
      <c r="E12821" s="326"/>
      <c r="F12821" s="326"/>
      <c r="G12821" s="326"/>
      <c r="H12821" s="326"/>
      <c r="P12821" s="318"/>
      <c r="Q12821" s="318"/>
      <c r="R12821" s="318"/>
      <c r="S12821" s="318"/>
      <c r="T12821" s="318"/>
      <c r="U12821" s="318"/>
      <c r="V12821" s="318"/>
      <c r="W12821" s="318"/>
      <c r="X12821" s="318"/>
      <c r="Y12821" s="318"/>
      <c r="Z12821" s="318"/>
      <c r="AA12821" s="318"/>
      <c r="AB12821" s="318"/>
      <c r="AC12821" s="318"/>
      <c r="AD12821" s="318"/>
    </row>
    <row r="12822" spans="2:30" s="323" customFormat="1" ht="12" customHeight="1">
      <c r="B12822" s="324"/>
      <c r="C12822" s="325"/>
      <c r="D12822" s="326"/>
      <c r="E12822" s="326"/>
      <c r="F12822" s="326"/>
      <c r="G12822" s="326"/>
      <c r="H12822" s="326"/>
      <c r="P12822" s="318"/>
      <c r="Q12822" s="318"/>
      <c r="R12822" s="318"/>
      <c r="S12822" s="318"/>
      <c r="T12822" s="318"/>
      <c r="U12822" s="318"/>
      <c r="V12822" s="318"/>
      <c r="W12822" s="318"/>
      <c r="X12822" s="318"/>
      <c r="Y12822" s="318"/>
      <c r="Z12822" s="318"/>
      <c r="AA12822" s="318"/>
      <c r="AB12822" s="318"/>
      <c r="AC12822" s="318"/>
      <c r="AD12822" s="318"/>
    </row>
    <row r="12823" spans="2:30" s="323" customFormat="1" ht="12" customHeight="1">
      <c r="B12823" s="324"/>
      <c r="C12823" s="325"/>
      <c r="D12823" s="326"/>
      <c r="E12823" s="326"/>
      <c r="F12823" s="326"/>
      <c r="G12823" s="326"/>
      <c r="H12823" s="326"/>
      <c r="P12823" s="318"/>
      <c r="Q12823" s="318"/>
      <c r="R12823" s="318"/>
      <c r="S12823" s="318"/>
      <c r="T12823" s="318"/>
      <c r="U12823" s="318"/>
      <c r="V12823" s="318"/>
      <c r="W12823" s="318"/>
      <c r="X12823" s="318"/>
      <c r="Y12823" s="318"/>
      <c r="Z12823" s="318"/>
      <c r="AA12823" s="318"/>
      <c r="AB12823" s="318"/>
      <c r="AC12823" s="318"/>
      <c r="AD12823" s="318"/>
    </row>
    <row r="12824" spans="2:30" s="323" customFormat="1" ht="12" customHeight="1">
      <c r="B12824" s="324"/>
      <c r="C12824" s="325"/>
      <c r="D12824" s="326"/>
      <c r="E12824" s="326"/>
      <c r="F12824" s="326"/>
      <c r="G12824" s="326"/>
      <c r="H12824" s="326"/>
      <c r="P12824" s="318"/>
      <c r="Q12824" s="318"/>
      <c r="R12824" s="318"/>
      <c r="S12824" s="318"/>
      <c r="T12824" s="318"/>
      <c r="U12824" s="318"/>
      <c r="V12824" s="318"/>
      <c r="W12824" s="318"/>
      <c r="X12824" s="318"/>
      <c r="Y12824" s="318"/>
      <c r="Z12824" s="318"/>
      <c r="AA12824" s="318"/>
      <c r="AB12824" s="318"/>
      <c r="AC12824" s="318"/>
      <c r="AD12824" s="318"/>
    </row>
    <row r="12825" spans="2:30" s="323" customFormat="1" ht="12" customHeight="1">
      <c r="B12825" s="324"/>
      <c r="C12825" s="325"/>
      <c r="D12825" s="326"/>
      <c r="E12825" s="326"/>
      <c r="F12825" s="326"/>
      <c r="G12825" s="326"/>
      <c r="H12825" s="326"/>
      <c r="P12825" s="318"/>
      <c r="Q12825" s="318"/>
      <c r="R12825" s="318"/>
      <c r="S12825" s="318"/>
      <c r="T12825" s="318"/>
      <c r="U12825" s="318"/>
      <c r="V12825" s="318"/>
      <c r="W12825" s="318"/>
      <c r="X12825" s="318"/>
      <c r="Y12825" s="318"/>
      <c r="Z12825" s="318"/>
      <c r="AA12825" s="318"/>
      <c r="AB12825" s="318"/>
      <c r="AC12825" s="318"/>
      <c r="AD12825" s="318"/>
    </row>
    <row r="12826" spans="2:30" s="323" customFormat="1" ht="12" customHeight="1">
      <c r="B12826" s="324"/>
      <c r="C12826" s="325"/>
      <c r="D12826" s="326"/>
      <c r="E12826" s="326"/>
      <c r="F12826" s="326"/>
      <c r="G12826" s="326"/>
      <c r="H12826" s="326"/>
      <c r="P12826" s="318"/>
      <c r="Q12826" s="318"/>
      <c r="R12826" s="318"/>
      <c r="S12826" s="318"/>
      <c r="T12826" s="318"/>
      <c r="U12826" s="318"/>
      <c r="V12826" s="318"/>
      <c r="W12826" s="318"/>
      <c r="X12826" s="318"/>
      <c r="Y12826" s="318"/>
      <c r="Z12826" s="318"/>
      <c r="AA12826" s="318"/>
      <c r="AB12826" s="318"/>
      <c r="AC12826" s="318"/>
      <c r="AD12826" s="318"/>
    </row>
    <row r="12827" spans="2:30" s="323" customFormat="1" ht="12" customHeight="1">
      <c r="B12827" s="324"/>
      <c r="C12827" s="325"/>
      <c r="D12827" s="326"/>
      <c r="E12827" s="326"/>
      <c r="F12827" s="326"/>
      <c r="G12827" s="326"/>
      <c r="H12827" s="326"/>
      <c r="P12827" s="318"/>
      <c r="Q12827" s="318"/>
      <c r="R12827" s="318"/>
      <c r="S12827" s="318"/>
      <c r="T12827" s="318"/>
      <c r="U12827" s="318"/>
      <c r="V12827" s="318"/>
      <c r="W12827" s="318"/>
      <c r="X12827" s="318"/>
      <c r="Y12827" s="318"/>
      <c r="Z12827" s="318"/>
      <c r="AA12827" s="318"/>
      <c r="AB12827" s="318"/>
      <c r="AC12827" s="318"/>
      <c r="AD12827" s="318"/>
    </row>
    <row r="12828" spans="2:30" s="323" customFormat="1" ht="12" customHeight="1">
      <c r="B12828" s="324"/>
      <c r="C12828" s="325"/>
      <c r="D12828" s="326"/>
      <c r="E12828" s="326"/>
      <c r="F12828" s="326"/>
      <c r="G12828" s="326"/>
      <c r="H12828" s="326"/>
      <c r="P12828" s="318"/>
      <c r="Q12828" s="318"/>
      <c r="R12828" s="318"/>
      <c r="S12828" s="318"/>
      <c r="T12828" s="318"/>
      <c r="U12828" s="318"/>
      <c r="V12828" s="318"/>
      <c r="W12828" s="318"/>
      <c r="X12828" s="318"/>
      <c r="Y12828" s="318"/>
      <c r="Z12828" s="318"/>
      <c r="AA12828" s="318"/>
      <c r="AB12828" s="318"/>
      <c r="AC12828" s="318"/>
      <c r="AD12828" s="318"/>
    </row>
    <row r="12829" spans="2:30" s="323" customFormat="1" ht="12" customHeight="1">
      <c r="B12829" s="324"/>
      <c r="C12829" s="325"/>
      <c r="D12829" s="326"/>
      <c r="E12829" s="326"/>
      <c r="F12829" s="326"/>
      <c r="G12829" s="326"/>
      <c r="H12829" s="326"/>
      <c r="P12829" s="318"/>
      <c r="Q12829" s="318"/>
      <c r="R12829" s="318"/>
      <c r="S12829" s="318"/>
      <c r="T12829" s="318"/>
      <c r="U12829" s="318"/>
      <c r="V12829" s="318"/>
      <c r="W12829" s="318"/>
      <c r="X12829" s="318"/>
      <c r="Y12829" s="318"/>
      <c r="Z12829" s="318"/>
      <c r="AA12829" s="318"/>
      <c r="AB12829" s="318"/>
      <c r="AC12829" s="318"/>
      <c r="AD12829" s="318"/>
    </row>
    <row r="12830" spans="2:30" s="323" customFormat="1" ht="12" customHeight="1">
      <c r="B12830" s="324"/>
      <c r="C12830" s="325"/>
      <c r="D12830" s="326"/>
      <c r="E12830" s="326"/>
      <c r="F12830" s="326"/>
      <c r="G12830" s="326"/>
      <c r="H12830" s="326"/>
      <c r="P12830" s="318"/>
      <c r="Q12830" s="318"/>
      <c r="R12830" s="318"/>
      <c r="S12830" s="318"/>
      <c r="T12830" s="318"/>
      <c r="U12830" s="318"/>
      <c r="V12830" s="318"/>
      <c r="W12830" s="318"/>
      <c r="X12830" s="318"/>
      <c r="Y12830" s="318"/>
      <c r="Z12830" s="318"/>
      <c r="AA12830" s="318"/>
      <c r="AB12830" s="318"/>
      <c r="AC12830" s="318"/>
      <c r="AD12830" s="318"/>
    </row>
    <row r="12831" spans="2:30" s="323" customFormat="1" ht="12" customHeight="1">
      <c r="B12831" s="324"/>
      <c r="C12831" s="325"/>
      <c r="D12831" s="326"/>
      <c r="E12831" s="326"/>
      <c r="F12831" s="326"/>
      <c r="G12831" s="326"/>
      <c r="H12831" s="326"/>
      <c r="P12831" s="318"/>
      <c r="Q12831" s="318"/>
      <c r="R12831" s="318"/>
      <c r="S12831" s="318"/>
      <c r="T12831" s="318"/>
      <c r="U12831" s="318"/>
      <c r="V12831" s="318"/>
      <c r="W12831" s="318"/>
      <c r="X12831" s="318"/>
      <c r="Y12831" s="318"/>
      <c r="Z12831" s="318"/>
      <c r="AA12831" s="318"/>
      <c r="AB12831" s="318"/>
      <c r="AC12831" s="318"/>
      <c r="AD12831" s="318"/>
    </row>
    <row r="12832" spans="2:30" s="323" customFormat="1" ht="12" customHeight="1">
      <c r="B12832" s="324"/>
      <c r="C12832" s="325"/>
      <c r="D12832" s="326"/>
      <c r="E12832" s="326"/>
      <c r="F12832" s="326"/>
      <c r="G12832" s="326"/>
      <c r="H12832" s="326"/>
      <c r="P12832" s="318"/>
      <c r="Q12832" s="318"/>
      <c r="R12832" s="318"/>
      <c r="S12832" s="318"/>
      <c r="T12832" s="318"/>
      <c r="U12832" s="318"/>
      <c r="V12832" s="318"/>
      <c r="W12832" s="318"/>
      <c r="X12832" s="318"/>
      <c r="Y12832" s="318"/>
      <c r="Z12832" s="318"/>
      <c r="AA12832" s="318"/>
      <c r="AB12832" s="318"/>
      <c r="AC12832" s="318"/>
      <c r="AD12832" s="318"/>
    </row>
    <row r="12833" spans="2:30" s="323" customFormat="1" ht="12" customHeight="1">
      <c r="B12833" s="324"/>
      <c r="C12833" s="325"/>
      <c r="D12833" s="326"/>
      <c r="E12833" s="326"/>
      <c r="F12833" s="326"/>
      <c r="G12833" s="326"/>
      <c r="H12833" s="326"/>
      <c r="P12833" s="318"/>
      <c r="Q12833" s="318"/>
      <c r="R12833" s="318"/>
      <c r="S12833" s="318"/>
      <c r="T12833" s="318"/>
      <c r="U12833" s="318"/>
      <c r="V12833" s="318"/>
      <c r="W12833" s="318"/>
      <c r="X12833" s="318"/>
      <c r="Y12833" s="318"/>
      <c r="Z12833" s="318"/>
      <c r="AA12833" s="318"/>
      <c r="AB12833" s="318"/>
      <c r="AC12833" s="318"/>
      <c r="AD12833" s="318"/>
    </row>
    <row r="12834" spans="2:30" s="323" customFormat="1" ht="12" customHeight="1">
      <c r="B12834" s="324"/>
      <c r="C12834" s="325"/>
      <c r="D12834" s="326"/>
      <c r="E12834" s="326"/>
      <c r="F12834" s="326"/>
      <c r="G12834" s="326"/>
      <c r="H12834" s="326"/>
      <c r="P12834" s="318"/>
      <c r="Q12834" s="318"/>
      <c r="R12834" s="318"/>
      <c r="S12834" s="318"/>
      <c r="T12834" s="318"/>
      <c r="U12834" s="318"/>
      <c r="V12834" s="318"/>
      <c r="W12834" s="318"/>
      <c r="X12834" s="318"/>
      <c r="Y12834" s="318"/>
      <c r="Z12834" s="318"/>
      <c r="AA12834" s="318"/>
      <c r="AB12834" s="318"/>
      <c r="AC12834" s="318"/>
      <c r="AD12834" s="318"/>
    </row>
    <row r="12835" spans="2:30" s="323" customFormat="1" ht="12" customHeight="1">
      <c r="B12835" s="324"/>
      <c r="C12835" s="325"/>
      <c r="D12835" s="326"/>
      <c r="E12835" s="326"/>
      <c r="F12835" s="326"/>
      <c r="G12835" s="326"/>
      <c r="H12835" s="326"/>
      <c r="P12835" s="318"/>
      <c r="Q12835" s="318"/>
      <c r="R12835" s="318"/>
      <c r="S12835" s="318"/>
      <c r="T12835" s="318"/>
      <c r="U12835" s="318"/>
      <c r="V12835" s="318"/>
      <c r="W12835" s="318"/>
      <c r="X12835" s="318"/>
      <c r="Y12835" s="318"/>
      <c r="Z12835" s="318"/>
      <c r="AA12835" s="318"/>
      <c r="AB12835" s="318"/>
      <c r="AC12835" s="318"/>
      <c r="AD12835" s="318"/>
    </row>
    <row r="12836" spans="2:30" s="323" customFormat="1" ht="12" customHeight="1">
      <c r="B12836" s="324"/>
      <c r="C12836" s="325"/>
      <c r="D12836" s="326"/>
      <c r="E12836" s="326"/>
      <c r="F12836" s="326"/>
      <c r="G12836" s="326"/>
      <c r="H12836" s="326"/>
      <c r="P12836" s="318"/>
      <c r="Q12836" s="318"/>
      <c r="R12836" s="318"/>
      <c r="S12836" s="318"/>
      <c r="T12836" s="318"/>
      <c r="U12836" s="318"/>
      <c r="V12836" s="318"/>
      <c r="W12836" s="318"/>
      <c r="X12836" s="318"/>
      <c r="Y12836" s="318"/>
      <c r="Z12836" s="318"/>
      <c r="AA12836" s="318"/>
      <c r="AB12836" s="318"/>
      <c r="AC12836" s="318"/>
      <c r="AD12836" s="318"/>
    </row>
    <row r="12837" spans="2:30" s="323" customFormat="1" ht="12" customHeight="1">
      <c r="B12837" s="324"/>
      <c r="C12837" s="325"/>
      <c r="D12837" s="326"/>
      <c r="E12837" s="326"/>
      <c r="F12837" s="326"/>
      <c r="G12837" s="326"/>
      <c r="H12837" s="326"/>
      <c r="P12837" s="318"/>
      <c r="Q12837" s="318"/>
      <c r="R12837" s="318"/>
      <c r="S12837" s="318"/>
      <c r="T12837" s="318"/>
      <c r="U12837" s="318"/>
      <c r="V12837" s="318"/>
      <c r="W12837" s="318"/>
      <c r="X12837" s="318"/>
      <c r="Y12837" s="318"/>
      <c r="Z12837" s="318"/>
      <c r="AA12837" s="318"/>
      <c r="AB12837" s="318"/>
      <c r="AC12837" s="318"/>
      <c r="AD12837" s="318"/>
    </row>
    <row r="12838" spans="2:30" s="323" customFormat="1" ht="12" customHeight="1">
      <c r="B12838" s="324"/>
      <c r="C12838" s="325"/>
      <c r="D12838" s="326"/>
      <c r="E12838" s="326"/>
      <c r="F12838" s="326"/>
      <c r="G12838" s="326"/>
      <c r="H12838" s="326"/>
      <c r="P12838" s="318"/>
      <c r="Q12838" s="318"/>
      <c r="R12838" s="318"/>
      <c r="S12838" s="318"/>
      <c r="T12838" s="318"/>
      <c r="U12838" s="318"/>
      <c r="V12838" s="318"/>
      <c r="W12838" s="318"/>
      <c r="X12838" s="318"/>
      <c r="Y12838" s="318"/>
      <c r="Z12838" s="318"/>
      <c r="AA12838" s="318"/>
      <c r="AB12838" s="318"/>
      <c r="AC12838" s="318"/>
      <c r="AD12838" s="318"/>
    </row>
    <row r="12839" spans="2:30" s="323" customFormat="1" ht="12" customHeight="1">
      <c r="B12839" s="324"/>
      <c r="C12839" s="325"/>
      <c r="D12839" s="326"/>
      <c r="E12839" s="326"/>
      <c r="F12839" s="326"/>
      <c r="G12839" s="326"/>
      <c r="H12839" s="326"/>
      <c r="P12839" s="318"/>
      <c r="Q12839" s="318"/>
      <c r="R12839" s="318"/>
      <c r="S12839" s="318"/>
      <c r="T12839" s="318"/>
      <c r="U12839" s="318"/>
      <c r="V12839" s="318"/>
      <c r="W12839" s="318"/>
      <c r="X12839" s="318"/>
      <c r="Y12839" s="318"/>
      <c r="Z12839" s="318"/>
      <c r="AA12839" s="318"/>
      <c r="AB12839" s="318"/>
      <c r="AC12839" s="318"/>
      <c r="AD12839" s="318"/>
    </row>
    <row r="12840" spans="2:30" s="323" customFormat="1" ht="12" customHeight="1">
      <c r="B12840" s="324"/>
      <c r="C12840" s="325"/>
      <c r="D12840" s="326"/>
      <c r="E12840" s="326"/>
      <c r="F12840" s="326"/>
      <c r="G12840" s="326"/>
      <c r="H12840" s="326"/>
      <c r="P12840" s="318"/>
      <c r="Q12840" s="318"/>
      <c r="R12840" s="318"/>
      <c r="S12840" s="318"/>
      <c r="T12840" s="318"/>
      <c r="U12840" s="318"/>
      <c r="V12840" s="318"/>
      <c r="W12840" s="318"/>
      <c r="X12840" s="318"/>
      <c r="Y12840" s="318"/>
      <c r="Z12840" s="318"/>
      <c r="AA12840" s="318"/>
      <c r="AB12840" s="318"/>
      <c r="AC12840" s="318"/>
      <c r="AD12840" s="318"/>
    </row>
    <row r="12841" spans="2:30" s="323" customFormat="1" ht="12" customHeight="1">
      <c r="B12841" s="324"/>
      <c r="C12841" s="325"/>
      <c r="D12841" s="326"/>
      <c r="E12841" s="326"/>
      <c r="F12841" s="326"/>
      <c r="G12841" s="326"/>
      <c r="H12841" s="326"/>
      <c r="P12841" s="318"/>
      <c r="Q12841" s="318"/>
      <c r="R12841" s="318"/>
      <c r="S12841" s="318"/>
      <c r="T12841" s="318"/>
      <c r="U12841" s="318"/>
      <c r="V12841" s="318"/>
      <c r="W12841" s="318"/>
      <c r="X12841" s="318"/>
      <c r="Y12841" s="318"/>
      <c r="Z12841" s="318"/>
      <c r="AA12841" s="318"/>
      <c r="AB12841" s="318"/>
      <c r="AC12841" s="318"/>
      <c r="AD12841" s="318"/>
    </row>
    <row r="12842" spans="2:30" s="323" customFormat="1" ht="12" customHeight="1">
      <c r="B12842" s="324"/>
      <c r="C12842" s="325"/>
      <c r="D12842" s="326"/>
      <c r="E12842" s="326"/>
      <c r="F12842" s="326"/>
      <c r="G12842" s="326"/>
      <c r="H12842" s="326"/>
      <c r="P12842" s="318"/>
      <c r="Q12842" s="318"/>
      <c r="R12842" s="318"/>
      <c r="S12842" s="318"/>
      <c r="T12842" s="318"/>
      <c r="U12842" s="318"/>
      <c r="V12842" s="318"/>
      <c r="W12842" s="318"/>
      <c r="X12842" s="318"/>
      <c r="Y12842" s="318"/>
      <c r="Z12842" s="318"/>
      <c r="AA12842" s="318"/>
      <c r="AB12842" s="318"/>
      <c r="AC12842" s="318"/>
      <c r="AD12842" s="318"/>
    </row>
    <row r="12843" spans="2:30" s="323" customFormat="1" ht="12" customHeight="1">
      <c r="B12843" s="324"/>
      <c r="C12843" s="325"/>
      <c r="D12843" s="326"/>
      <c r="E12843" s="326"/>
      <c r="F12843" s="326"/>
      <c r="G12843" s="326"/>
      <c r="H12843" s="326"/>
      <c r="P12843" s="318"/>
      <c r="Q12843" s="318"/>
      <c r="R12843" s="318"/>
      <c r="S12843" s="318"/>
      <c r="T12843" s="318"/>
      <c r="U12843" s="318"/>
      <c r="V12843" s="318"/>
      <c r="W12843" s="318"/>
      <c r="X12843" s="318"/>
      <c r="Y12843" s="318"/>
      <c r="Z12843" s="318"/>
      <c r="AA12843" s="318"/>
      <c r="AB12843" s="318"/>
      <c r="AC12843" s="318"/>
      <c r="AD12843" s="318"/>
    </row>
    <row r="12844" spans="2:30" s="323" customFormat="1" ht="12" customHeight="1">
      <c r="B12844" s="324"/>
      <c r="C12844" s="325"/>
      <c r="D12844" s="326"/>
      <c r="E12844" s="326"/>
      <c r="F12844" s="326"/>
      <c r="G12844" s="326"/>
      <c r="H12844" s="326"/>
      <c r="P12844" s="318"/>
      <c r="Q12844" s="318"/>
      <c r="R12844" s="318"/>
      <c r="S12844" s="318"/>
      <c r="T12844" s="318"/>
      <c r="U12844" s="318"/>
      <c r="V12844" s="318"/>
      <c r="W12844" s="318"/>
      <c r="X12844" s="318"/>
      <c r="Y12844" s="318"/>
      <c r="Z12844" s="318"/>
      <c r="AA12844" s="318"/>
      <c r="AB12844" s="318"/>
      <c r="AC12844" s="318"/>
      <c r="AD12844" s="318"/>
    </row>
    <row r="12845" spans="2:30" s="323" customFormat="1" ht="12" customHeight="1">
      <c r="B12845" s="324"/>
      <c r="C12845" s="325"/>
      <c r="D12845" s="326"/>
      <c r="E12845" s="326"/>
      <c r="F12845" s="326"/>
      <c r="G12845" s="326"/>
      <c r="H12845" s="326"/>
      <c r="P12845" s="318"/>
      <c r="Q12845" s="318"/>
      <c r="R12845" s="318"/>
      <c r="S12845" s="318"/>
      <c r="T12845" s="318"/>
      <c r="U12845" s="318"/>
      <c r="V12845" s="318"/>
      <c r="W12845" s="318"/>
      <c r="X12845" s="318"/>
      <c r="Y12845" s="318"/>
      <c r="Z12845" s="318"/>
      <c r="AA12845" s="318"/>
      <c r="AB12845" s="318"/>
      <c r="AC12845" s="318"/>
      <c r="AD12845" s="318"/>
    </row>
    <row r="12846" spans="2:30" s="323" customFormat="1" ht="12" customHeight="1">
      <c r="B12846" s="324"/>
      <c r="C12846" s="325"/>
      <c r="D12846" s="326"/>
      <c r="E12846" s="326"/>
      <c r="F12846" s="326"/>
      <c r="G12846" s="326"/>
      <c r="H12846" s="326"/>
      <c r="P12846" s="318"/>
      <c r="Q12846" s="318"/>
      <c r="R12846" s="318"/>
      <c r="S12846" s="318"/>
      <c r="T12846" s="318"/>
      <c r="U12846" s="318"/>
      <c r="V12846" s="318"/>
      <c r="W12846" s="318"/>
      <c r="X12846" s="318"/>
      <c r="Y12846" s="318"/>
      <c r="Z12846" s="318"/>
      <c r="AA12846" s="318"/>
      <c r="AB12846" s="318"/>
      <c r="AC12846" s="318"/>
      <c r="AD12846" s="318"/>
    </row>
    <row r="12847" spans="2:30" s="323" customFormat="1" ht="12" customHeight="1">
      <c r="B12847" s="324"/>
      <c r="C12847" s="325"/>
      <c r="D12847" s="326"/>
      <c r="E12847" s="326"/>
      <c r="F12847" s="326"/>
      <c r="G12847" s="326"/>
      <c r="H12847" s="326"/>
      <c r="P12847" s="318"/>
      <c r="Q12847" s="318"/>
      <c r="R12847" s="318"/>
      <c r="S12847" s="318"/>
      <c r="T12847" s="318"/>
      <c r="U12847" s="318"/>
      <c r="V12847" s="318"/>
      <c r="W12847" s="318"/>
      <c r="X12847" s="318"/>
      <c r="Y12847" s="318"/>
      <c r="Z12847" s="318"/>
      <c r="AA12847" s="318"/>
      <c r="AB12847" s="318"/>
      <c r="AC12847" s="318"/>
      <c r="AD12847" s="318"/>
    </row>
    <row r="12848" spans="2:30" s="323" customFormat="1" ht="12" customHeight="1">
      <c r="B12848" s="324"/>
      <c r="C12848" s="325"/>
      <c r="D12848" s="326"/>
      <c r="E12848" s="326"/>
      <c r="F12848" s="326"/>
      <c r="G12848" s="326"/>
      <c r="H12848" s="326"/>
      <c r="P12848" s="318"/>
      <c r="Q12848" s="318"/>
      <c r="R12848" s="318"/>
      <c r="S12848" s="318"/>
      <c r="T12848" s="318"/>
      <c r="U12848" s="318"/>
      <c r="V12848" s="318"/>
      <c r="W12848" s="318"/>
      <c r="X12848" s="318"/>
      <c r="Y12848" s="318"/>
      <c r="Z12848" s="318"/>
      <c r="AA12848" s="318"/>
      <c r="AB12848" s="318"/>
      <c r="AC12848" s="318"/>
      <c r="AD12848" s="318"/>
    </row>
    <row r="12849" spans="2:30" s="323" customFormat="1" ht="12" customHeight="1">
      <c r="B12849" s="324"/>
      <c r="C12849" s="325"/>
      <c r="D12849" s="326"/>
      <c r="E12849" s="326"/>
      <c r="F12849" s="326"/>
      <c r="G12849" s="326"/>
      <c r="H12849" s="326"/>
      <c r="P12849" s="318"/>
      <c r="Q12849" s="318"/>
      <c r="R12849" s="318"/>
      <c r="S12849" s="318"/>
      <c r="T12849" s="318"/>
      <c r="U12849" s="318"/>
      <c r="V12849" s="318"/>
      <c r="W12849" s="318"/>
      <c r="X12849" s="318"/>
      <c r="Y12849" s="318"/>
      <c r="Z12849" s="318"/>
      <c r="AA12849" s="318"/>
      <c r="AB12849" s="318"/>
      <c r="AC12849" s="318"/>
      <c r="AD12849" s="318"/>
    </row>
    <row r="12850" spans="2:30" s="323" customFormat="1" ht="12" customHeight="1">
      <c r="B12850" s="324"/>
      <c r="C12850" s="325"/>
      <c r="D12850" s="326"/>
      <c r="E12850" s="326"/>
      <c r="F12850" s="326"/>
      <c r="G12850" s="326"/>
      <c r="H12850" s="326"/>
      <c r="P12850" s="318"/>
      <c r="Q12850" s="318"/>
      <c r="R12850" s="318"/>
      <c r="S12850" s="318"/>
      <c r="T12850" s="318"/>
      <c r="U12850" s="318"/>
      <c r="V12850" s="318"/>
      <c r="W12850" s="318"/>
      <c r="X12850" s="318"/>
      <c r="Y12850" s="318"/>
      <c r="Z12850" s="318"/>
      <c r="AA12850" s="318"/>
      <c r="AB12850" s="318"/>
      <c r="AC12850" s="318"/>
      <c r="AD12850" s="318"/>
    </row>
    <row r="12851" spans="2:30" s="323" customFormat="1" ht="12" customHeight="1">
      <c r="B12851" s="324"/>
      <c r="C12851" s="325"/>
      <c r="D12851" s="326"/>
      <c r="E12851" s="326"/>
      <c r="F12851" s="326"/>
      <c r="G12851" s="326"/>
      <c r="H12851" s="326"/>
      <c r="P12851" s="318"/>
      <c r="Q12851" s="318"/>
      <c r="R12851" s="318"/>
      <c r="S12851" s="318"/>
      <c r="T12851" s="318"/>
      <c r="U12851" s="318"/>
      <c r="V12851" s="318"/>
      <c r="W12851" s="318"/>
      <c r="X12851" s="318"/>
      <c r="Y12851" s="318"/>
      <c r="Z12851" s="318"/>
      <c r="AA12851" s="318"/>
      <c r="AB12851" s="318"/>
      <c r="AC12851" s="318"/>
      <c r="AD12851" s="318"/>
    </row>
    <row r="12852" spans="2:30" s="323" customFormat="1" ht="12" customHeight="1">
      <c r="B12852" s="324"/>
      <c r="C12852" s="325"/>
      <c r="D12852" s="326"/>
      <c r="E12852" s="326"/>
      <c r="F12852" s="326"/>
      <c r="G12852" s="326"/>
      <c r="H12852" s="326"/>
      <c r="P12852" s="318"/>
      <c r="Q12852" s="318"/>
      <c r="R12852" s="318"/>
      <c r="S12852" s="318"/>
      <c r="T12852" s="318"/>
      <c r="U12852" s="318"/>
      <c r="V12852" s="318"/>
      <c r="W12852" s="318"/>
      <c r="X12852" s="318"/>
      <c r="Y12852" s="318"/>
      <c r="Z12852" s="318"/>
      <c r="AA12852" s="318"/>
      <c r="AB12852" s="318"/>
      <c r="AC12852" s="318"/>
      <c r="AD12852" s="318"/>
    </row>
    <row r="12853" spans="2:30" s="323" customFormat="1" ht="12" customHeight="1">
      <c r="B12853" s="324"/>
      <c r="C12853" s="325"/>
      <c r="D12853" s="326"/>
      <c r="E12853" s="326"/>
      <c r="F12853" s="326"/>
      <c r="G12853" s="326"/>
      <c r="H12853" s="326"/>
      <c r="P12853" s="318"/>
      <c r="Q12853" s="318"/>
      <c r="R12853" s="318"/>
      <c r="S12853" s="318"/>
      <c r="T12853" s="318"/>
      <c r="U12853" s="318"/>
      <c r="V12853" s="318"/>
      <c r="W12853" s="318"/>
      <c r="X12853" s="318"/>
      <c r="Y12853" s="318"/>
      <c r="Z12853" s="318"/>
      <c r="AA12853" s="318"/>
      <c r="AB12853" s="318"/>
      <c r="AC12853" s="318"/>
      <c r="AD12853" s="318"/>
    </row>
    <row r="12854" spans="2:30" s="323" customFormat="1" ht="12" customHeight="1">
      <c r="B12854" s="324"/>
      <c r="C12854" s="325"/>
      <c r="D12854" s="326"/>
      <c r="E12854" s="326"/>
      <c r="F12854" s="326"/>
      <c r="G12854" s="326"/>
      <c r="H12854" s="326"/>
      <c r="P12854" s="318"/>
      <c r="Q12854" s="318"/>
      <c r="R12854" s="318"/>
      <c r="S12854" s="318"/>
      <c r="T12854" s="318"/>
      <c r="U12854" s="318"/>
      <c r="V12854" s="318"/>
      <c r="W12854" s="318"/>
      <c r="X12854" s="318"/>
      <c r="Y12854" s="318"/>
      <c r="Z12854" s="318"/>
      <c r="AA12854" s="318"/>
      <c r="AB12854" s="318"/>
      <c r="AC12854" s="318"/>
      <c r="AD12854" s="318"/>
    </row>
    <row r="12855" spans="2:30" s="323" customFormat="1" ht="12" customHeight="1">
      <c r="B12855" s="324"/>
      <c r="C12855" s="325"/>
      <c r="D12855" s="326"/>
      <c r="E12855" s="326"/>
      <c r="F12855" s="326"/>
      <c r="G12855" s="326"/>
      <c r="H12855" s="326"/>
      <c r="P12855" s="318"/>
      <c r="Q12855" s="318"/>
      <c r="R12855" s="318"/>
      <c r="S12855" s="318"/>
      <c r="T12855" s="318"/>
      <c r="U12855" s="318"/>
      <c r="V12855" s="318"/>
      <c r="W12855" s="318"/>
      <c r="X12855" s="318"/>
      <c r="Y12855" s="318"/>
      <c r="Z12855" s="318"/>
      <c r="AA12855" s="318"/>
      <c r="AB12855" s="318"/>
      <c r="AC12855" s="318"/>
      <c r="AD12855" s="318"/>
    </row>
    <row r="12856" spans="2:30" s="323" customFormat="1" ht="12" customHeight="1">
      <c r="B12856" s="324"/>
      <c r="C12856" s="325"/>
      <c r="D12856" s="326"/>
      <c r="E12856" s="326"/>
      <c r="F12856" s="326"/>
      <c r="G12856" s="326"/>
      <c r="H12856" s="326"/>
      <c r="P12856" s="318"/>
      <c r="Q12856" s="318"/>
      <c r="R12856" s="318"/>
      <c r="S12856" s="318"/>
      <c r="T12856" s="318"/>
      <c r="U12856" s="318"/>
      <c r="V12856" s="318"/>
      <c r="W12856" s="318"/>
      <c r="X12856" s="318"/>
      <c r="Y12856" s="318"/>
      <c r="Z12856" s="318"/>
      <c r="AA12856" s="318"/>
      <c r="AB12856" s="318"/>
      <c r="AC12856" s="318"/>
      <c r="AD12856" s="318"/>
    </row>
    <row r="12857" spans="2:30" s="323" customFormat="1" ht="12" customHeight="1">
      <c r="B12857" s="324"/>
      <c r="C12857" s="325"/>
      <c r="D12857" s="326"/>
      <c r="E12857" s="326"/>
      <c r="F12857" s="326"/>
      <c r="G12857" s="326"/>
      <c r="H12857" s="326"/>
      <c r="P12857" s="318"/>
      <c r="Q12857" s="318"/>
      <c r="R12857" s="318"/>
      <c r="S12857" s="318"/>
      <c r="T12857" s="318"/>
      <c r="U12857" s="318"/>
      <c r="V12857" s="318"/>
      <c r="W12857" s="318"/>
      <c r="X12857" s="318"/>
      <c r="Y12857" s="318"/>
      <c r="Z12857" s="318"/>
      <c r="AA12857" s="318"/>
      <c r="AB12857" s="318"/>
      <c r="AC12857" s="318"/>
      <c r="AD12857" s="318"/>
    </row>
    <row r="12858" spans="2:30" s="323" customFormat="1" ht="12" customHeight="1">
      <c r="B12858" s="324"/>
      <c r="C12858" s="325"/>
      <c r="D12858" s="326"/>
      <c r="E12858" s="326"/>
      <c r="F12858" s="326"/>
      <c r="G12858" s="326"/>
      <c r="H12858" s="326"/>
      <c r="P12858" s="318"/>
      <c r="Q12858" s="318"/>
      <c r="R12858" s="318"/>
      <c r="S12858" s="318"/>
      <c r="T12858" s="318"/>
      <c r="U12858" s="318"/>
      <c r="V12858" s="318"/>
      <c r="W12858" s="318"/>
      <c r="X12858" s="318"/>
      <c r="Y12858" s="318"/>
      <c r="Z12858" s="318"/>
      <c r="AA12858" s="318"/>
      <c r="AB12858" s="318"/>
      <c r="AC12858" s="318"/>
      <c r="AD12858" s="318"/>
    </row>
    <row r="12859" spans="2:30" s="323" customFormat="1" ht="12" customHeight="1">
      <c r="B12859" s="324"/>
      <c r="C12859" s="325"/>
      <c r="D12859" s="326"/>
      <c r="E12859" s="326"/>
      <c r="F12859" s="326"/>
      <c r="G12859" s="326"/>
      <c r="H12859" s="326"/>
      <c r="P12859" s="318"/>
      <c r="Q12859" s="318"/>
      <c r="R12859" s="318"/>
      <c r="S12859" s="318"/>
      <c r="T12859" s="318"/>
      <c r="U12859" s="318"/>
      <c r="V12859" s="318"/>
      <c r="W12859" s="318"/>
      <c r="X12859" s="318"/>
      <c r="Y12859" s="318"/>
      <c r="Z12859" s="318"/>
      <c r="AA12859" s="318"/>
      <c r="AB12859" s="318"/>
      <c r="AC12859" s="318"/>
      <c r="AD12859" s="318"/>
    </row>
    <row r="12860" spans="2:30" s="323" customFormat="1" ht="12" customHeight="1">
      <c r="B12860" s="324"/>
      <c r="C12860" s="325"/>
      <c r="D12860" s="326"/>
      <c r="E12860" s="326"/>
      <c r="F12860" s="326"/>
      <c r="G12860" s="326"/>
      <c r="H12860" s="326"/>
      <c r="P12860" s="318"/>
      <c r="Q12860" s="318"/>
      <c r="R12860" s="318"/>
      <c r="S12860" s="318"/>
      <c r="T12860" s="318"/>
      <c r="U12860" s="318"/>
      <c r="V12860" s="318"/>
      <c r="W12860" s="318"/>
      <c r="X12860" s="318"/>
      <c r="Y12860" s="318"/>
      <c r="Z12860" s="318"/>
      <c r="AA12860" s="318"/>
      <c r="AB12860" s="318"/>
      <c r="AC12860" s="318"/>
      <c r="AD12860" s="318"/>
    </row>
    <row r="12861" spans="2:30" s="323" customFormat="1" ht="12" customHeight="1">
      <c r="B12861" s="324"/>
      <c r="C12861" s="325"/>
      <c r="D12861" s="326"/>
      <c r="E12861" s="326"/>
      <c r="F12861" s="326"/>
      <c r="G12861" s="326"/>
      <c r="H12861" s="326"/>
      <c r="P12861" s="318"/>
      <c r="Q12861" s="318"/>
      <c r="R12861" s="318"/>
      <c r="S12861" s="318"/>
      <c r="T12861" s="318"/>
      <c r="U12861" s="318"/>
      <c r="V12861" s="318"/>
      <c r="W12861" s="318"/>
      <c r="X12861" s="318"/>
      <c r="Y12861" s="318"/>
      <c r="Z12861" s="318"/>
      <c r="AA12861" s="318"/>
      <c r="AB12861" s="318"/>
      <c r="AC12861" s="318"/>
      <c r="AD12861" s="318"/>
    </row>
    <row r="12862" spans="2:30" s="323" customFormat="1" ht="12" customHeight="1">
      <c r="B12862" s="324"/>
      <c r="C12862" s="325"/>
      <c r="D12862" s="326"/>
      <c r="E12862" s="326"/>
      <c r="F12862" s="326"/>
      <c r="G12862" s="326"/>
      <c r="H12862" s="326"/>
      <c r="P12862" s="318"/>
      <c r="Q12862" s="318"/>
      <c r="R12862" s="318"/>
      <c r="S12862" s="318"/>
      <c r="T12862" s="318"/>
      <c r="U12862" s="318"/>
      <c r="V12862" s="318"/>
      <c r="W12862" s="318"/>
      <c r="X12862" s="318"/>
      <c r="Y12862" s="318"/>
      <c r="Z12862" s="318"/>
      <c r="AA12862" s="318"/>
      <c r="AB12862" s="318"/>
      <c r="AC12862" s="318"/>
      <c r="AD12862" s="318"/>
    </row>
    <row r="12863" spans="2:30" s="323" customFormat="1" ht="12" customHeight="1">
      <c r="B12863" s="324"/>
      <c r="C12863" s="325"/>
      <c r="D12863" s="326"/>
      <c r="E12863" s="326"/>
      <c r="F12863" s="326"/>
      <c r="G12863" s="326"/>
      <c r="H12863" s="326"/>
      <c r="P12863" s="318"/>
      <c r="Q12863" s="318"/>
      <c r="R12863" s="318"/>
      <c r="S12863" s="318"/>
      <c r="T12863" s="318"/>
      <c r="U12863" s="318"/>
      <c r="V12863" s="318"/>
      <c r="W12863" s="318"/>
      <c r="X12863" s="318"/>
      <c r="Y12863" s="318"/>
      <c r="Z12863" s="318"/>
      <c r="AA12863" s="318"/>
      <c r="AB12863" s="318"/>
      <c r="AC12863" s="318"/>
      <c r="AD12863" s="318"/>
    </row>
    <row r="12864" spans="2:30" s="323" customFormat="1" ht="12" customHeight="1">
      <c r="B12864" s="324"/>
      <c r="C12864" s="325"/>
      <c r="D12864" s="326"/>
      <c r="E12864" s="326"/>
      <c r="F12864" s="326"/>
      <c r="G12864" s="326"/>
      <c r="H12864" s="326"/>
      <c r="P12864" s="318"/>
      <c r="Q12864" s="318"/>
      <c r="R12864" s="318"/>
      <c r="S12864" s="318"/>
      <c r="T12864" s="318"/>
      <c r="U12864" s="318"/>
      <c r="V12864" s="318"/>
      <c r="W12864" s="318"/>
      <c r="X12864" s="318"/>
      <c r="Y12864" s="318"/>
      <c r="Z12864" s="318"/>
      <c r="AA12864" s="318"/>
      <c r="AB12864" s="318"/>
      <c r="AC12864" s="318"/>
      <c r="AD12864" s="318"/>
    </row>
    <row r="12865" spans="2:30" s="323" customFormat="1" ht="12" customHeight="1">
      <c r="B12865" s="324"/>
      <c r="C12865" s="325"/>
      <c r="D12865" s="326"/>
      <c r="E12865" s="326"/>
      <c r="F12865" s="326"/>
      <c r="G12865" s="326"/>
      <c r="H12865" s="326"/>
      <c r="P12865" s="318"/>
      <c r="Q12865" s="318"/>
      <c r="R12865" s="318"/>
      <c r="S12865" s="318"/>
      <c r="T12865" s="318"/>
      <c r="U12865" s="318"/>
      <c r="V12865" s="318"/>
      <c r="W12865" s="318"/>
      <c r="X12865" s="318"/>
      <c r="Y12865" s="318"/>
      <c r="Z12865" s="318"/>
      <c r="AA12865" s="318"/>
      <c r="AB12865" s="318"/>
      <c r="AC12865" s="318"/>
      <c r="AD12865" s="318"/>
    </row>
    <row r="12866" spans="2:30" s="323" customFormat="1" ht="12" customHeight="1">
      <c r="B12866" s="324"/>
      <c r="C12866" s="325"/>
      <c r="D12866" s="326"/>
      <c r="E12866" s="326"/>
      <c r="F12866" s="326"/>
      <c r="G12866" s="326"/>
      <c r="H12866" s="326"/>
      <c r="P12866" s="318"/>
      <c r="Q12866" s="318"/>
      <c r="R12866" s="318"/>
      <c r="S12866" s="318"/>
      <c r="T12866" s="318"/>
      <c r="U12866" s="318"/>
      <c r="V12866" s="318"/>
      <c r="W12866" s="318"/>
      <c r="X12866" s="318"/>
      <c r="Y12866" s="318"/>
      <c r="Z12866" s="318"/>
      <c r="AA12866" s="318"/>
      <c r="AB12866" s="318"/>
      <c r="AC12866" s="318"/>
      <c r="AD12866" s="318"/>
    </row>
    <row r="12867" spans="2:30" s="323" customFormat="1" ht="12" customHeight="1">
      <c r="B12867" s="324"/>
      <c r="C12867" s="325"/>
      <c r="D12867" s="326"/>
      <c r="E12867" s="326"/>
      <c r="F12867" s="326"/>
      <c r="G12867" s="326"/>
      <c r="H12867" s="326"/>
      <c r="P12867" s="318"/>
      <c r="Q12867" s="318"/>
      <c r="R12867" s="318"/>
      <c r="S12867" s="318"/>
      <c r="T12867" s="318"/>
      <c r="U12867" s="318"/>
      <c r="V12867" s="318"/>
      <c r="W12867" s="318"/>
      <c r="X12867" s="318"/>
      <c r="Y12867" s="318"/>
      <c r="Z12867" s="318"/>
      <c r="AA12867" s="318"/>
      <c r="AB12867" s="318"/>
      <c r="AC12867" s="318"/>
      <c r="AD12867" s="318"/>
    </row>
    <row r="12868" spans="2:30" s="323" customFormat="1" ht="12" customHeight="1">
      <c r="B12868" s="324"/>
      <c r="C12868" s="325"/>
      <c r="D12868" s="326"/>
      <c r="E12868" s="326"/>
      <c r="F12868" s="326"/>
      <c r="G12868" s="326"/>
      <c r="H12868" s="326"/>
      <c r="P12868" s="318"/>
      <c r="Q12868" s="318"/>
      <c r="R12868" s="318"/>
      <c r="S12868" s="318"/>
      <c r="T12868" s="318"/>
      <c r="U12868" s="318"/>
      <c r="V12868" s="318"/>
      <c r="W12868" s="318"/>
      <c r="X12868" s="318"/>
      <c r="Y12868" s="318"/>
      <c r="Z12868" s="318"/>
      <c r="AA12868" s="318"/>
      <c r="AB12868" s="318"/>
      <c r="AC12868" s="318"/>
      <c r="AD12868" s="318"/>
    </row>
    <row r="12869" spans="2:30" s="323" customFormat="1" ht="12" customHeight="1">
      <c r="B12869" s="324"/>
      <c r="C12869" s="325"/>
      <c r="D12869" s="326"/>
      <c r="E12869" s="326"/>
      <c r="F12869" s="326"/>
      <c r="G12869" s="326"/>
      <c r="H12869" s="326"/>
      <c r="P12869" s="318"/>
      <c r="Q12869" s="318"/>
      <c r="R12869" s="318"/>
      <c r="S12869" s="318"/>
      <c r="T12869" s="318"/>
      <c r="U12869" s="318"/>
      <c r="V12869" s="318"/>
      <c r="W12869" s="318"/>
      <c r="X12869" s="318"/>
      <c r="Y12869" s="318"/>
      <c r="Z12869" s="318"/>
      <c r="AA12869" s="318"/>
      <c r="AB12869" s="318"/>
      <c r="AC12869" s="318"/>
      <c r="AD12869" s="318"/>
    </row>
    <row r="12870" spans="2:30" s="323" customFormat="1" ht="12" customHeight="1">
      <c r="B12870" s="324"/>
      <c r="C12870" s="325"/>
      <c r="D12870" s="326"/>
      <c r="E12870" s="326"/>
      <c r="F12870" s="326"/>
      <c r="G12870" s="326"/>
      <c r="H12870" s="326"/>
      <c r="P12870" s="318"/>
      <c r="Q12870" s="318"/>
      <c r="R12870" s="318"/>
      <c r="S12870" s="318"/>
      <c r="T12870" s="318"/>
      <c r="U12870" s="318"/>
      <c r="V12870" s="318"/>
      <c r="W12870" s="318"/>
      <c r="X12870" s="318"/>
      <c r="Y12870" s="318"/>
      <c r="Z12870" s="318"/>
      <c r="AA12870" s="318"/>
      <c r="AB12870" s="318"/>
      <c r="AC12870" s="318"/>
      <c r="AD12870" s="318"/>
    </row>
    <row r="12871" spans="2:30" s="323" customFormat="1" ht="12" customHeight="1">
      <c r="B12871" s="324"/>
      <c r="C12871" s="325"/>
      <c r="D12871" s="326"/>
      <c r="E12871" s="326"/>
      <c r="F12871" s="326"/>
      <c r="G12871" s="326"/>
      <c r="H12871" s="326"/>
      <c r="P12871" s="318"/>
      <c r="Q12871" s="318"/>
      <c r="R12871" s="318"/>
      <c r="S12871" s="318"/>
      <c r="T12871" s="318"/>
      <c r="U12871" s="318"/>
      <c r="V12871" s="318"/>
      <c r="W12871" s="318"/>
      <c r="X12871" s="318"/>
      <c r="Y12871" s="318"/>
      <c r="Z12871" s="318"/>
      <c r="AA12871" s="318"/>
      <c r="AB12871" s="318"/>
      <c r="AC12871" s="318"/>
      <c r="AD12871" s="318"/>
    </row>
    <row r="12872" spans="2:30" s="323" customFormat="1" ht="12" customHeight="1">
      <c r="B12872" s="324"/>
      <c r="C12872" s="325"/>
      <c r="D12872" s="326"/>
      <c r="E12872" s="326"/>
      <c r="F12872" s="326"/>
      <c r="G12872" s="326"/>
      <c r="H12872" s="326"/>
      <c r="P12872" s="318"/>
      <c r="Q12872" s="318"/>
      <c r="R12872" s="318"/>
      <c r="S12872" s="318"/>
      <c r="T12872" s="318"/>
      <c r="U12872" s="318"/>
      <c r="V12872" s="318"/>
      <c r="W12872" s="318"/>
      <c r="X12872" s="318"/>
      <c r="Y12872" s="318"/>
      <c r="Z12872" s="318"/>
      <c r="AA12872" s="318"/>
      <c r="AB12872" s="318"/>
      <c r="AC12872" s="318"/>
      <c r="AD12872" s="318"/>
    </row>
    <row r="12873" spans="2:30" s="323" customFormat="1" ht="12" customHeight="1">
      <c r="B12873" s="324"/>
      <c r="C12873" s="325"/>
      <c r="D12873" s="326"/>
      <c r="E12873" s="326"/>
      <c r="F12873" s="326"/>
      <c r="G12873" s="326"/>
      <c r="H12873" s="326"/>
      <c r="P12873" s="318"/>
      <c r="Q12873" s="318"/>
      <c r="R12873" s="318"/>
      <c r="S12873" s="318"/>
      <c r="T12873" s="318"/>
      <c r="U12873" s="318"/>
      <c r="V12873" s="318"/>
      <c r="W12873" s="318"/>
      <c r="X12873" s="318"/>
      <c r="Y12873" s="318"/>
      <c r="Z12873" s="318"/>
      <c r="AA12873" s="318"/>
      <c r="AB12873" s="318"/>
      <c r="AC12873" s="318"/>
      <c r="AD12873" s="318"/>
    </row>
    <row r="12874" spans="2:30" s="323" customFormat="1" ht="12" customHeight="1">
      <c r="B12874" s="324"/>
      <c r="C12874" s="325"/>
      <c r="D12874" s="326"/>
      <c r="E12874" s="326"/>
      <c r="F12874" s="326"/>
      <c r="G12874" s="326"/>
      <c r="H12874" s="326"/>
      <c r="P12874" s="318"/>
      <c r="Q12874" s="318"/>
      <c r="R12874" s="318"/>
      <c r="S12874" s="318"/>
      <c r="T12874" s="318"/>
      <c r="U12874" s="318"/>
      <c r="V12874" s="318"/>
      <c r="W12874" s="318"/>
      <c r="X12874" s="318"/>
      <c r="Y12874" s="318"/>
      <c r="Z12874" s="318"/>
      <c r="AA12874" s="318"/>
      <c r="AB12874" s="318"/>
      <c r="AC12874" s="318"/>
      <c r="AD12874" s="318"/>
    </row>
    <row r="12875" spans="2:30" s="323" customFormat="1" ht="12" customHeight="1">
      <c r="B12875" s="324"/>
      <c r="C12875" s="325"/>
      <c r="D12875" s="326"/>
      <c r="E12875" s="326"/>
      <c r="F12875" s="326"/>
      <c r="G12875" s="326"/>
      <c r="H12875" s="326"/>
      <c r="P12875" s="318"/>
      <c r="Q12875" s="318"/>
      <c r="R12875" s="318"/>
      <c r="S12875" s="318"/>
      <c r="T12875" s="318"/>
      <c r="U12875" s="318"/>
      <c r="V12875" s="318"/>
      <c r="W12875" s="318"/>
      <c r="X12875" s="318"/>
      <c r="Y12875" s="318"/>
      <c r="Z12875" s="318"/>
      <c r="AA12875" s="318"/>
      <c r="AB12875" s="318"/>
      <c r="AC12875" s="318"/>
      <c r="AD12875" s="318"/>
    </row>
    <row r="12876" spans="2:30" s="323" customFormat="1" ht="12" customHeight="1">
      <c r="B12876" s="324"/>
      <c r="C12876" s="325"/>
      <c r="D12876" s="326"/>
      <c r="E12876" s="326"/>
      <c r="F12876" s="326"/>
      <c r="G12876" s="326"/>
      <c r="H12876" s="326"/>
      <c r="P12876" s="318"/>
      <c r="Q12876" s="318"/>
      <c r="R12876" s="318"/>
      <c r="S12876" s="318"/>
      <c r="T12876" s="318"/>
      <c r="U12876" s="318"/>
      <c r="V12876" s="318"/>
      <c r="W12876" s="318"/>
      <c r="X12876" s="318"/>
      <c r="Y12876" s="318"/>
      <c r="Z12876" s="318"/>
      <c r="AA12876" s="318"/>
      <c r="AB12876" s="318"/>
      <c r="AC12876" s="318"/>
      <c r="AD12876" s="318"/>
    </row>
    <row r="12877" spans="2:30" s="323" customFormat="1" ht="12" customHeight="1">
      <c r="B12877" s="324"/>
      <c r="C12877" s="325"/>
      <c r="D12877" s="326"/>
      <c r="E12877" s="326"/>
      <c r="F12877" s="326"/>
      <c r="G12877" s="326"/>
      <c r="H12877" s="326"/>
      <c r="P12877" s="318"/>
      <c r="Q12877" s="318"/>
      <c r="R12877" s="318"/>
      <c r="S12877" s="318"/>
      <c r="T12877" s="318"/>
      <c r="U12877" s="318"/>
      <c r="V12877" s="318"/>
      <c r="W12877" s="318"/>
      <c r="X12877" s="318"/>
      <c r="Y12877" s="318"/>
      <c r="Z12877" s="318"/>
      <c r="AA12877" s="318"/>
      <c r="AB12877" s="318"/>
      <c r="AC12877" s="318"/>
      <c r="AD12877" s="318"/>
    </row>
    <row r="12878" spans="2:30" s="323" customFormat="1" ht="12" customHeight="1">
      <c r="B12878" s="324"/>
      <c r="C12878" s="325"/>
      <c r="D12878" s="326"/>
      <c r="E12878" s="326"/>
      <c r="F12878" s="326"/>
      <c r="G12878" s="326"/>
      <c r="H12878" s="326"/>
      <c r="P12878" s="318"/>
      <c r="Q12878" s="318"/>
      <c r="R12878" s="318"/>
      <c r="S12878" s="318"/>
      <c r="T12878" s="318"/>
      <c r="U12878" s="318"/>
      <c r="V12878" s="318"/>
      <c r="W12878" s="318"/>
      <c r="X12878" s="318"/>
      <c r="Y12878" s="318"/>
      <c r="Z12878" s="318"/>
      <c r="AA12878" s="318"/>
      <c r="AB12878" s="318"/>
      <c r="AC12878" s="318"/>
      <c r="AD12878" s="318"/>
    </row>
    <row r="12879" spans="2:30" s="323" customFormat="1" ht="12" customHeight="1">
      <c r="B12879" s="324"/>
      <c r="C12879" s="325"/>
      <c r="D12879" s="326"/>
      <c r="E12879" s="326"/>
      <c r="F12879" s="326"/>
      <c r="G12879" s="326"/>
      <c r="H12879" s="326"/>
      <c r="P12879" s="318"/>
      <c r="Q12879" s="318"/>
      <c r="R12879" s="318"/>
      <c r="S12879" s="318"/>
      <c r="T12879" s="318"/>
      <c r="U12879" s="318"/>
      <c r="V12879" s="318"/>
      <c r="W12879" s="318"/>
      <c r="X12879" s="318"/>
      <c r="Y12879" s="318"/>
      <c r="Z12879" s="318"/>
      <c r="AA12879" s="318"/>
      <c r="AB12879" s="318"/>
      <c r="AC12879" s="318"/>
      <c r="AD12879" s="318"/>
    </row>
    <row r="12880" spans="2:30" s="323" customFormat="1" ht="12" customHeight="1">
      <c r="B12880" s="324"/>
      <c r="C12880" s="325"/>
      <c r="D12880" s="326"/>
      <c r="E12880" s="326"/>
      <c r="F12880" s="326"/>
      <c r="G12880" s="326"/>
      <c r="H12880" s="326"/>
      <c r="P12880" s="318"/>
      <c r="Q12880" s="318"/>
      <c r="R12880" s="318"/>
      <c r="S12880" s="318"/>
      <c r="T12880" s="318"/>
      <c r="U12880" s="318"/>
      <c r="V12880" s="318"/>
      <c r="W12880" s="318"/>
      <c r="X12880" s="318"/>
      <c r="Y12880" s="318"/>
      <c r="Z12880" s="318"/>
      <c r="AA12880" s="318"/>
      <c r="AB12880" s="318"/>
      <c r="AC12880" s="318"/>
      <c r="AD12880" s="318"/>
    </row>
    <row r="12881" spans="2:30" s="323" customFormat="1" ht="12" customHeight="1">
      <c r="B12881" s="324"/>
      <c r="C12881" s="325"/>
      <c r="D12881" s="326"/>
      <c r="E12881" s="326"/>
      <c r="F12881" s="326"/>
      <c r="G12881" s="326"/>
      <c r="H12881" s="326"/>
      <c r="P12881" s="318"/>
      <c r="Q12881" s="318"/>
      <c r="R12881" s="318"/>
      <c r="S12881" s="318"/>
      <c r="T12881" s="318"/>
      <c r="U12881" s="318"/>
      <c r="V12881" s="318"/>
      <c r="W12881" s="318"/>
      <c r="X12881" s="318"/>
      <c r="Y12881" s="318"/>
      <c r="Z12881" s="318"/>
      <c r="AA12881" s="318"/>
      <c r="AB12881" s="318"/>
      <c r="AC12881" s="318"/>
      <c r="AD12881" s="318"/>
    </row>
    <row r="12882" spans="2:30" s="323" customFormat="1" ht="12" customHeight="1">
      <c r="B12882" s="324"/>
      <c r="C12882" s="325"/>
      <c r="D12882" s="326"/>
      <c r="E12882" s="326"/>
      <c r="F12882" s="326"/>
      <c r="G12882" s="326"/>
      <c r="H12882" s="326"/>
      <c r="P12882" s="318"/>
      <c r="Q12882" s="318"/>
      <c r="R12882" s="318"/>
      <c r="S12882" s="318"/>
      <c r="T12882" s="318"/>
      <c r="U12882" s="318"/>
      <c r="V12882" s="318"/>
      <c r="W12882" s="318"/>
      <c r="X12882" s="318"/>
      <c r="Y12882" s="318"/>
      <c r="Z12882" s="318"/>
      <c r="AA12882" s="318"/>
      <c r="AB12882" s="318"/>
      <c r="AC12882" s="318"/>
      <c r="AD12882" s="318"/>
    </row>
    <row r="12883" spans="2:30" s="323" customFormat="1" ht="12" customHeight="1">
      <c r="B12883" s="324"/>
      <c r="C12883" s="325"/>
      <c r="D12883" s="326"/>
      <c r="E12883" s="326"/>
      <c r="F12883" s="326"/>
      <c r="G12883" s="326"/>
      <c r="H12883" s="326"/>
      <c r="P12883" s="318"/>
      <c r="Q12883" s="318"/>
      <c r="R12883" s="318"/>
      <c r="S12883" s="318"/>
      <c r="T12883" s="318"/>
      <c r="U12883" s="318"/>
      <c r="V12883" s="318"/>
      <c r="W12883" s="318"/>
      <c r="X12883" s="318"/>
      <c r="Y12883" s="318"/>
      <c r="Z12883" s="318"/>
      <c r="AA12883" s="318"/>
      <c r="AB12883" s="318"/>
      <c r="AC12883" s="318"/>
      <c r="AD12883" s="318"/>
    </row>
    <row r="12884" spans="2:30" s="323" customFormat="1" ht="12" customHeight="1">
      <c r="B12884" s="324"/>
      <c r="C12884" s="325"/>
      <c r="D12884" s="326"/>
      <c r="E12884" s="326"/>
      <c r="F12884" s="326"/>
      <c r="G12884" s="326"/>
      <c r="H12884" s="326"/>
      <c r="P12884" s="318"/>
      <c r="Q12884" s="318"/>
      <c r="R12884" s="318"/>
      <c r="S12884" s="318"/>
      <c r="T12884" s="318"/>
      <c r="U12884" s="318"/>
      <c r="V12884" s="318"/>
      <c r="W12884" s="318"/>
      <c r="X12884" s="318"/>
      <c r="Y12884" s="318"/>
      <c r="Z12884" s="318"/>
      <c r="AA12884" s="318"/>
      <c r="AB12884" s="318"/>
      <c r="AC12884" s="318"/>
      <c r="AD12884" s="318"/>
    </row>
    <row r="12885" spans="2:30" s="323" customFormat="1" ht="12" customHeight="1">
      <c r="B12885" s="324"/>
      <c r="C12885" s="325"/>
      <c r="D12885" s="326"/>
      <c r="E12885" s="326"/>
      <c r="F12885" s="326"/>
      <c r="G12885" s="326"/>
      <c r="H12885" s="326"/>
      <c r="P12885" s="318"/>
      <c r="Q12885" s="318"/>
      <c r="R12885" s="318"/>
      <c r="S12885" s="318"/>
      <c r="T12885" s="318"/>
      <c r="U12885" s="318"/>
      <c r="V12885" s="318"/>
      <c r="W12885" s="318"/>
      <c r="X12885" s="318"/>
      <c r="Y12885" s="318"/>
      <c r="Z12885" s="318"/>
      <c r="AA12885" s="318"/>
      <c r="AB12885" s="318"/>
      <c r="AC12885" s="318"/>
      <c r="AD12885" s="318"/>
    </row>
    <row r="12886" spans="2:30" s="323" customFormat="1" ht="12" customHeight="1">
      <c r="B12886" s="324"/>
      <c r="C12886" s="325"/>
      <c r="D12886" s="326"/>
      <c r="E12886" s="326"/>
      <c r="F12886" s="326"/>
      <c r="G12886" s="326"/>
      <c r="H12886" s="326"/>
      <c r="P12886" s="318"/>
      <c r="Q12886" s="318"/>
      <c r="R12886" s="318"/>
      <c r="S12886" s="318"/>
      <c r="T12886" s="318"/>
      <c r="U12886" s="318"/>
      <c r="V12886" s="318"/>
      <c r="W12886" s="318"/>
      <c r="X12886" s="318"/>
      <c r="Y12886" s="318"/>
      <c r="Z12886" s="318"/>
      <c r="AA12886" s="318"/>
      <c r="AB12886" s="318"/>
      <c r="AC12886" s="318"/>
      <c r="AD12886" s="318"/>
    </row>
    <row r="12887" spans="2:30" s="323" customFormat="1" ht="12" customHeight="1">
      <c r="B12887" s="324"/>
      <c r="C12887" s="325"/>
      <c r="D12887" s="326"/>
      <c r="E12887" s="326"/>
      <c r="F12887" s="326"/>
      <c r="G12887" s="326"/>
      <c r="H12887" s="326"/>
      <c r="P12887" s="318"/>
      <c r="Q12887" s="318"/>
      <c r="R12887" s="318"/>
      <c r="S12887" s="318"/>
      <c r="T12887" s="318"/>
      <c r="U12887" s="318"/>
      <c r="V12887" s="318"/>
      <c r="W12887" s="318"/>
      <c r="X12887" s="318"/>
      <c r="Y12887" s="318"/>
      <c r="Z12887" s="318"/>
      <c r="AA12887" s="318"/>
      <c r="AB12887" s="318"/>
      <c r="AC12887" s="318"/>
      <c r="AD12887" s="318"/>
    </row>
    <row r="12888" spans="2:30" s="323" customFormat="1" ht="12" customHeight="1">
      <c r="B12888" s="324"/>
      <c r="C12888" s="325"/>
      <c r="D12888" s="326"/>
      <c r="E12888" s="326"/>
      <c r="F12888" s="326"/>
      <c r="G12888" s="326"/>
      <c r="H12888" s="326"/>
      <c r="P12888" s="318"/>
      <c r="Q12888" s="318"/>
      <c r="R12888" s="318"/>
      <c r="S12888" s="318"/>
      <c r="T12888" s="318"/>
      <c r="U12888" s="318"/>
      <c r="V12888" s="318"/>
      <c r="W12888" s="318"/>
      <c r="X12888" s="318"/>
      <c r="Y12888" s="318"/>
      <c r="Z12888" s="318"/>
      <c r="AA12888" s="318"/>
      <c r="AB12888" s="318"/>
      <c r="AC12888" s="318"/>
      <c r="AD12888" s="318"/>
    </row>
    <row r="12889" spans="2:30" s="323" customFormat="1" ht="12" customHeight="1">
      <c r="B12889" s="324"/>
      <c r="C12889" s="325"/>
      <c r="D12889" s="326"/>
      <c r="E12889" s="326"/>
      <c r="F12889" s="326"/>
      <c r="G12889" s="326"/>
      <c r="H12889" s="326"/>
      <c r="P12889" s="318"/>
      <c r="Q12889" s="318"/>
      <c r="R12889" s="318"/>
      <c r="S12889" s="318"/>
      <c r="T12889" s="318"/>
      <c r="U12889" s="318"/>
      <c r="V12889" s="318"/>
      <c r="W12889" s="318"/>
      <c r="X12889" s="318"/>
      <c r="Y12889" s="318"/>
      <c r="Z12889" s="318"/>
      <c r="AA12889" s="318"/>
      <c r="AB12889" s="318"/>
      <c r="AC12889" s="318"/>
      <c r="AD12889" s="318"/>
    </row>
    <row r="12890" spans="2:30" s="323" customFormat="1" ht="12" customHeight="1">
      <c r="B12890" s="324"/>
      <c r="C12890" s="325"/>
      <c r="D12890" s="326"/>
      <c r="E12890" s="326"/>
      <c r="F12890" s="326"/>
      <c r="G12890" s="326"/>
      <c r="H12890" s="326"/>
      <c r="P12890" s="318"/>
      <c r="Q12890" s="318"/>
      <c r="R12890" s="318"/>
      <c r="S12890" s="318"/>
      <c r="T12890" s="318"/>
      <c r="U12890" s="318"/>
      <c r="V12890" s="318"/>
      <c r="W12890" s="318"/>
      <c r="X12890" s="318"/>
      <c r="Y12890" s="318"/>
      <c r="Z12890" s="318"/>
      <c r="AA12890" s="318"/>
      <c r="AB12890" s="318"/>
      <c r="AC12890" s="318"/>
      <c r="AD12890" s="318"/>
    </row>
    <row r="12891" spans="2:30" s="323" customFormat="1" ht="12" customHeight="1">
      <c r="B12891" s="324"/>
      <c r="C12891" s="325"/>
      <c r="D12891" s="326"/>
      <c r="E12891" s="326"/>
      <c r="F12891" s="326"/>
      <c r="G12891" s="326"/>
      <c r="H12891" s="326"/>
      <c r="P12891" s="318"/>
      <c r="Q12891" s="318"/>
      <c r="R12891" s="318"/>
      <c r="S12891" s="318"/>
      <c r="T12891" s="318"/>
      <c r="U12891" s="318"/>
      <c r="V12891" s="318"/>
      <c r="W12891" s="318"/>
      <c r="X12891" s="318"/>
      <c r="Y12891" s="318"/>
      <c r="Z12891" s="318"/>
      <c r="AA12891" s="318"/>
      <c r="AB12891" s="318"/>
      <c r="AC12891" s="318"/>
      <c r="AD12891" s="318"/>
    </row>
    <row r="12892" spans="2:30" s="323" customFormat="1" ht="12" customHeight="1">
      <c r="B12892" s="324"/>
      <c r="C12892" s="325"/>
      <c r="D12892" s="326"/>
      <c r="E12892" s="326"/>
      <c r="F12892" s="326"/>
      <c r="G12892" s="326"/>
      <c r="H12892" s="326"/>
      <c r="P12892" s="318"/>
      <c r="Q12892" s="318"/>
      <c r="R12892" s="318"/>
      <c r="S12892" s="318"/>
      <c r="T12892" s="318"/>
      <c r="U12892" s="318"/>
      <c r="V12892" s="318"/>
      <c r="W12892" s="318"/>
      <c r="X12892" s="318"/>
      <c r="Y12892" s="318"/>
      <c r="Z12892" s="318"/>
      <c r="AA12892" s="318"/>
      <c r="AB12892" s="318"/>
      <c r="AC12892" s="318"/>
      <c r="AD12892" s="318"/>
    </row>
    <row r="12893" spans="2:30" s="323" customFormat="1" ht="12" customHeight="1">
      <c r="B12893" s="324"/>
      <c r="C12893" s="325"/>
      <c r="D12893" s="326"/>
      <c r="E12893" s="326"/>
      <c r="F12893" s="326"/>
      <c r="G12893" s="326"/>
      <c r="H12893" s="326"/>
      <c r="P12893" s="318"/>
      <c r="Q12893" s="318"/>
      <c r="R12893" s="318"/>
      <c r="S12893" s="318"/>
      <c r="T12893" s="318"/>
      <c r="U12893" s="318"/>
      <c r="V12893" s="318"/>
      <c r="W12893" s="318"/>
      <c r="X12893" s="318"/>
      <c r="Y12893" s="318"/>
      <c r="Z12893" s="318"/>
      <c r="AA12893" s="318"/>
      <c r="AB12893" s="318"/>
      <c r="AC12893" s="318"/>
      <c r="AD12893" s="318"/>
    </row>
    <row r="12894" spans="2:30" s="323" customFormat="1" ht="12" customHeight="1">
      <c r="B12894" s="324"/>
      <c r="C12894" s="325"/>
      <c r="D12894" s="326"/>
      <c r="E12894" s="326"/>
      <c r="F12894" s="326"/>
      <c r="G12894" s="326"/>
      <c r="H12894" s="326"/>
      <c r="P12894" s="318"/>
      <c r="Q12894" s="318"/>
      <c r="R12894" s="318"/>
      <c r="S12894" s="318"/>
      <c r="T12894" s="318"/>
      <c r="U12894" s="318"/>
      <c r="V12894" s="318"/>
      <c r="W12894" s="318"/>
      <c r="X12894" s="318"/>
      <c r="Y12894" s="318"/>
      <c r="Z12894" s="318"/>
      <c r="AA12894" s="318"/>
      <c r="AB12894" s="318"/>
      <c r="AC12894" s="318"/>
      <c r="AD12894" s="318"/>
    </row>
    <row r="12895" spans="2:30" s="323" customFormat="1" ht="12" customHeight="1">
      <c r="B12895" s="324"/>
      <c r="C12895" s="325"/>
      <c r="D12895" s="326"/>
      <c r="E12895" s="326"/>
      <c r="F12895" s="326"/>
      <c r="G12895" s="326"/>
      <c r="H12895" s="326"/>
      <c r="P12895" s="318"/>
      <c r="Q12895" s="318"/>
      <c r="R12895" s="318"/>
      <c r="S12895" s="318"/>
      <c r="T12895" s="318"/>
      <c r="U12895" s="318"/>
      <c r="V12895" s="318"/>
      <c r="W12895" s="318"/>
      <c r="X12895" s="318"/>
      <c r="Y12895" s="318"/>
      <c r="Z12895" s="318"/>
      <c r="AA12895" s="318"/>
      <c r="AB12895" s="318"/>
      <c r="AC12895" s="318"/>
      <c r="AD12895" s="318"/>
    </row>
    <row r="12896" spans="2:30" s="323" customFormat="1" ht="12" customHeight="1">
      <c r="B12896" s="324"/>
      <c r="C12896" s="325"/>
      <c r="D12896" s="326"/>
      <c r="E12896" s="326"/>
      <c r="F12896" s="326"/>
      <c r="G12896" s="326"/>
      <c r="H12896" s="326"/>
      <c r="P12896" s="318"/>
      <c r="Q12896" s="318"/>
      <c r="R12896" s="318"/>
      <c r="S12896" s="318"/>
      <c r="T12896" s="318"/>
      <c r="U12896" s="318"/>
      <c r="V12896" s="318"/>
      <c r="W12896" s="318"/>
      <c r="X12896" s="318"/>
      <c r="Y12896" s="318"/>
      <c r="Z12896" s="318"/>
      <c r="AA12896" s="318"/>
      <c r="AB12896" s="318"/>
      <c r="AC12896" s="318"/>
      <c r="AD12896" s="318"/>
    </row>
    <row r="12897" spans="2:30" s="323" customFormat="1" ht="12" customHeight="1">
      <c r="B12897" s="324"/>
      <c r="C12897" s="325"/>
      <c r="D12897" s="326"/>
      <c r="E12897" s="326"/>
      <c r="F12897" s="326"/>
      <c r="G12897" s="326"/>
      <c r="H12897" s="326"/>
      <c r="P12897" s="318"/>
      <c r="Q12897" s="318"/>
      <c r="R12897" s="318"/>
      <c r="S12897" s="318"/>
      <c r="T12897" s="318"/>
      <c r="U12897" s="318"/>
      <c r="V12897" s="318"/>
      <c r="W12897" s="318"/>
      <c r="X12897" s="318"/>
      <c r="Y12897" s="318"/>
      <c r="Z12897" s="318"/>
      <c r="AA12897" s="318"/>
      <c r="AB12897" s="318"/>
      <c r="AC12897" s="318"/>
      <c r="AD12897" s="318"/>
    </row>
    <row r="12898" spans="2:30" s="323" customFormat="1" ht="12" customHeight="1">
      <c r="B12898" s="324"/>
      <c r="C12898" s="325"/>
      <c r="D12898" s="326"/>
      <c r="E12898" s="326"/>
      <c r="F12898" s="326"/>
      <c r="G12898" s="326"/>
      <c r="H12898" s="326"/>
      <c r="P12898" s="318"/>
      <c r="Q12898" s="318"/>
      <c r="R12898" s="318"/>
      <c r="S12898" s="318"/>
      <c r="T12898" s="318"/>
      <c r="U12898" s="318"/>
      <c r="V12898" s="318"/>
      <c r="W12898" s="318"/>
      <c r="X12898" s="318"/>
      <c r="Y12898" s="318"/>
      <c r="Z12898" s="318"/>
      <c r="AA12898" s="318"/>
      <c r="AB12898" s="318"/>
      <c r="AC12898" s="318"/>
      <c r="AD12898" s="318"/>
    </row>
    <row r="12899" spans="2:30" s="323" customFormat="1" ht="12" customHeight="1">
      <c r="B12899" s="324"/>
      <c r="C12899" s="325"/>
      <c r="D12899" s="326"/>
      <c r="E12899" s="326"/>
      <c r="F12899" s="326"/>
      <c r="G12899" s="326"/>
      <c r="H12899" s="326"/>
      <c r="P12899" s="318"/>
      <c r="Q12899" s="318"/>
      <c r="R12899" s="318"/>
      <c r="S12899" s="318"/>
      <c r="T12899" s="318"/>
      <c r="U12899" s="318"/>
      <c r="V12899" s="318"/>
      <c r="W12899" s="318"/>
      <c r="X12899" s="318"/>
      <c r="Y12899" s="318"/>
      <c r="Z12899" s="318"/>
      <c r="AA12899" s="318"/>
      <c r="AB12899" s="318"/>
      <c r="AC12899" s="318"/>
      <c r="AD12899" s="318"/>
    </row>
    <row r="12900" spans="2:30" s="323" customFormat="1" ht="12" customHeight="1">
      <c r="B12900" s="324"/>
      <c r="C12900" s="325"/>
      <c r="D12900" s="326"/>
      <c r="E12900" s="326"/>
      <c r="F12900" s="326"/>
      <c r="G12900" s="326"/>
      <c r="H12900" s="326"/>
      <c r="P12900" s="318"/>
      <c r="Q12900" s="318"/>
      <c r="R12900" s="318"/>
      <c r="S12900" s="318"/>
      <c r="T12900" s="318"/>
      <c r="U12900" s="318"/>
      <c r="V12900" s="318"/>
      <c r="W12900" s="318"/>
      <c r="X12900" s="318"/>
      <c r="Y12900" s="318"/>
      <c r="Z12900" s="318"/>
      <c r="AA12900" s="318"/>
      <c r="AB12900" s="318"/>
      <c r="AC12900" s="318"/>
      <c r="AD12900" s="318"/>
    </row>
    <row r="12901" spans="2:30" s="323" customFormat="1" ht="12" customHeight="1">
      <c r="B12901" s="324"/>
      <c r="C12901" s="325"/>
      <c r="D12901" s="326"/>
      <c r="E12901" s="326"/>
      <c r="F12901" s="326"/>
      <c r="G12901" s="326"/>
      <c r="H12901" s="326"/>
      <c r="P12901" s="318"/>
      <c r="Q12901" s="318"/>
      <c r="R12901" s="318"/>
      <c r="S12901" s="318"/>
      <c r="T12901" s="318"/>
      <c r="U12901" s="318"/>
      <c r="V12901" s="318"/>
      <c r="W12901" s="318"/>
      <c r="X12901" s="318"/>
      <c r="Y12901" s="318"/>
      <c r="Z12901" s="318"/>
      <c r="AA12901" s="318"/>
      <c r="AB12901" s="318"/>
      <c r="AC12901" s="318"/>
      <c r="AD12901" s="318"/>
    </row>
    <row r="12902" spans="2:30" s="323" customFormat="1" ht="12" customHeight="1">
      <c r="B12902" s="324"/>
      <c r="C12902" s="325"/>
      <c r="D12902" s="326"/>
      <c r="E12902" s="326"/>
      <c r="F12902" s="326"/>
      <c r="G12902" s="326"/>
      <c r="H12902" s="326"/>
      <c r="P12902" s="318"/>
      <c r="Q12902" s="318"/>
      <c r="R12902" s="318"/>
      <c r="S12902" s="318"/>
      <c r="T12902" s="318"/>
      <c r="U12902" s="318"/>
      <c r="V12902" s="318"/>
      <c r="W12902" s="318"/>
      <c r="X12902" s="318"/>
      <c r="Y12902" s="318"/>
      <c r="Z12902" s="318"/>
      <c r="AA12902" s="318"/>
      <c r="AB12902" s="318"/>
      <c r="AC12902" s="318"/>
      <c r="AD12902" s="318"/>
    </row>
    <row r="12903" spans="2:30" s="323" customFormat="1" ht="12" customHeight="1">
      <c r="B12903" s="324"/>
      <c r="C12903" s="325"/>
      <c r="D12903" s="326"/>
      <c r="E12903" s="326"/>
      <c r="F12903" s="326"/>
      <c r="G12903" s="326"/>
      <c r="H12903" s="326"/>
      <c r="P12903" s="318"/>
      <c r="Q12903" s="318"/>
      <c r="R12903" s="318"/>
      <c r="S12903" s="318"/>
      <c r="T12903" s="318"/>
      <c r="U12903" s="318"/>
      <c r="V12903" s="318"/>
      <c r="W12903" s="318"/>
      <c r="X12903" s="318"/>
      <c r="Y12903" s="318"/>
      <c r="Z12903" s="318"/>
      <c r="AA12903" s="318"/>
      <c r="AB12903" s="318"/>
      <c r="AC12903" s="318"/>
      <c r="AD12903" s="318"/>
    </row>
    <row r="12904" spans="2:30" s="323" customFormat="1" ht="12" customHeight="1">
      <c r="B12904" s="324"/>
      <c r="C12904" s="325"/>
      <c r="D12904" s="326"/>
      <c r="E12904" s="326"/>
      <c r="F12904" s="326"/>
      <c r="G12904" s="326"/>
      <c r="H12904" s="326"/>
      <c r="P12904" s="318"/>
      <c r="Q12904" s="318"/>
      <c r="R12904" s="318"/>
      <c r="S12904" s="318"/>
      <c r="T12904" s="318"/>
      <c r="U12904" s="318"/>
      <c r="V12904" s="318"/>
      <c r="W12904" s="318"/>
      <c r="X12904" s="318"/>
      <c r="Y12904" s="318"/>
      <c r="Z12904" s="318"/>
      <c r="AA12904" s="318"/>
      <c r="AB12904" s="318"/>
      <c r="AC12904" s="318"/>
      <c r="AD12904" s="318"/>
    </row>
    <row r="12905" spans="2:30" s="323" customFormat="1" ht="12" customHeight="1">
      <c r="B12905" s="324"/>
      <c r="C12905" s="325"/>
      <c r="D12905" s="326"/>
      <c r="E12905" s="326"/>
      <c r="F12905" s="326"/>
      <c r="G12905" s="326"/>
      <c r="H12905" s="326"/>
      <c r="P12905" s="318"/>
      <c r="Q12905" s="318"/>
      <c r="R12905" s="318"/>
      <c r="S12905" s="318"/>
      <c r="T12905" s="318"/>
      <c r="U12905" s="318"/>
      <c r="V12905" s="318"/>
      <c r="W12905" s="318"/>
      <c r="X12905" s="318"/>
      <c r="Y12905" s="318"/>
      <c r="Z12905" s="318"/>
      <c r="AA12905" s="318"/>
      <c r="AB12905" s="318"/>
      <c r="AC12905" s="318"/>
      <c r="AD12905" s="318"/>
    </row>
    <row r="12906" spans="2:30" s="323" customFormat="1" ht="12" customHeight="1">
      <c r="B12906" s="324"/>
      <c r="C12906" s="325"/>
      <c r="D12906" s="326"/>
      <c r="E12906" s="326"/>
      <c r="F12906" s="326"/>
      <c r="G12906" s="326"/>
      <c r="H12906" s="326"/>
      <c r="P12906" s="318"/>
      <c r="Q12906" s="318"/>
      <c r="R12906" s="318"/>
      <c r="S12906" s="318"/>
      <c r="T12906" s="318"/>
      <c r="U12906" s="318"/>
      <c r="V12906" s="318"/>
      <c r="W12906" s="318"/>
      <c r="X12906" s="318"/>
      <c r="Y12906" s="318"/>
      <c r="Z12906" s="318"/>
      <c r="AA12906" s="318"/>
      <c r="AB12906" s="318"/>
      <c r="AC12906" s="318"/>
      <c r="AD12906" s="318"/>
    </row>
    <row r="12907" spans="2:30" s="323" customFormat="1" ht="12" customHeight="1">
      <c r="B12907" s="324"/>
      <c r="C12907" s="325"/>
      <c r="D12907" s="326"/>
      <c r="E12907" s="326"/>
      <c r="F12907" s="326"/>
      <c r="G12907" s="326"/>
      <c r="H12907" s="326"/>
      <c r="P12907" s="318"/>
      <c r="Q12907" s="318"/>
      <c r="R12907" s="318"/>
      <c r="S12907" s="318"/>
      <c r="T12907" s="318"/>
      <c r="U12907" s="318"/>
      <c r="V12907" s="318"/>
      <c r="W12907" s="318"/>
      <c r="X12907" s="318"/>
      <c r="Y12907" s="318"/>
      <c r="Z12907" s="318"/>
      <c r="AA12907" s="318"/>
      <c r="AB12907" s="318"/>
      <c r="AC12907" s="318"/>
      <c r="AD12907" s="318"/>
    </row>
    <row r="12908" spans="2:30" s="323" customFormat="1" ht="12" customHeight="1">
      <c r="B12908" s="324"/>
      <c r="C12908" s="325"/>
      <c r="D12908" s="326"/>
      <c r="E12908" s="326"/>
      <c r="F12908" s="326"/>
      <c r="G12908" s="326"/>
      <c r="H12908" s="326"/>
      <c r="P12908" s="318"/>
      <c r="Q12908" s="318"/>
      <c r="R12908" s="318"/>
      <c r="S12908" s="318"/>
      <c r="T12908" s="318"/>
      <c r="U12908" s="318"/>
      <c r="V12908" s="318"/>
      <c r="W12908" s="318"/>
      <c r="X12908" s="318"/>
      <c r="Y12908" s="318"/>
      <c r="Z12908" s="318"/>
      <c r="AA12908" s="318"/>
      <c r="AB12908" s="318"/>
      <c r="AC12908" s="318"/>
      <c r="AD12908" s="318"/>
    </row>
    <row r="12909" spans="2:30" s="323" customFormat="1" ht="12" customHeight="1">
      <c r="B12909" s="324"/>
      <c r="C12909" s="325"/>
      <c r="D12909" s="326"/>
      <c r="E12909" s="326"/>
      <c r="F12909" s="326"/>
      <c r="G12909" s="326"/>
      <c r="H12909" s="326"/>
      <c r="P12909" s="318"/>
      <c r="Q12909" s="318"/>
      <c r="R12909" s="318"/>
      <c r="S12909" s="318"/>
      <c r="T12909" s="318"/>
      <c r="U12909" s="318"/>
      <c r="V12909" s="318"/>
      <c r="W12909" s="318"/>
      <c r="X12909" s="318"/>
      <c r="Y12909" s="318"/>
      <c r="Z12909" s="318"/>
      <c r="AA12909" s="318"/>
      <c r="AB12909" s="318"/>
      <c r="AC12909" s="318"/>
      <c r="AD12909" s="318"/>
    </row>
    <row r="12910" spans="2:30" s="323" customFormat="1" ht="12" customHeight="1">
      <c r="B12910" s="324"/>
      <c r="C12910" s="325"/>
      <c r="D12910" s="326"/>
      <c r="E12910" s="326"/>
      <c r="F12910" s="326"/>
      <c r="G12910" s="326"/>
      <c r="H12910" s="326"/>
      <c r="P12910" s="318"/>
      <c r="Q12910" s="318"/>
      <c r="R12910" s="318"/>
      <c r="S12910" s="318"/>
      <c r="T12910" s="318"/>
      <c r="U12910" s="318"/>
      <c r="V12910" s="318"/>
      <c r="W12910" s="318"/>
      <c r="X12910" s="318"/>
      <c r="Y12910" s="318"/>
      <c r="Z12910" s="318"/>
      <c r="AA12910" s="318"/>
      <c r="AB12910" s="318"/>
      <c r="AC12910" s="318"/>
      <c r="AD12910" s="318"/>
    </row>
    <row r="12911" spans="2:30" s="323" customFormat="1" ht="12" customHeight="1">
      <c r="B12911" s="324"/>
      <c r="C12911" s="325"/>
      <c r="D12911" s="326"/>
      <c r="E12911" s="326"/>
      <c r="F12911" s="326"/>
      <c r="G12911" s="326"/>
      <c r="H12911" s="326"/>
      <c r="P12911" s="318"/>
      <c r="Q12911" s="318"/>
      <c r="R12911" s="318"/>
      <c r="S12911" s="318"/>
      <c r="T12911" s="318"/>
      <c r="U12911" s="318"/>
      <c r="V12911" s="318"/>
      <c r="W12911" s="318"/>
      <c r="X12911" s="318"/>
      <c r="Y12911" s="318"/>
      <c r="Z12911" s="318"/>
      <c r="AA12911" s="318"/>
      <c r="AB12911" s="318"/>
      <c r="AC12911" s="318"/>
      <c r="AD12911" s="318"/>
    </row>
    <row r="12912" spans="2:30" s="323" customFormat="1" ht="12" customHeight="1">
      <c r="B12912" s="324"/>
      <c r="C12912" s="325"/>
      <c r="D12912" s="326"/>
      <c r="E12912" s="326"/>
      <c r="F12912" s="326"/>
      <c r="G12912" s="326"/>
      <c r="H12912" s="326"/>
      <c r="P12912" s="318"/>
      <c r="Q12912" s="318"/>
      <c r="R12912" s="318"/>
      <c r="S12912" s="318"/>
      <c r="T12912" s="318"/>
      <c r="U12912" s="318"/>
      <c r="V12912" s="318"/>
      <c r="W12912" s="318"/>
      <c r="X12912" s="318"/>
      <c r="Y12912" s="318"/>
      <c r="Z12912" s="318"/>
      <c r="AA12912" s="318"/>
      <c r="AB12912" s="318"/>
      <c r="AC12912" s="318"/>
      <c r="AD12912" s="318"/>
    </row>
    <row r="12913" spans="2:30" s="323" customFormat="1" ht="12" customHeight="1">
      <c r="B12913" s="324"/>
      <c r="C12913" s="325"/>
      <c r="D12913" s="326"/>
      <c r="E12913" s="326"/>
      <c r="F12913" s="326"/>
      <c r="G12913" s="326"/>
      <c r="H12913" s="326"/>
      <c r="P12913" s="318"/>
      <c r="Q12913" s="318"/>
      <c r="R12913" s="318"/>
      <c r="S12913" s="318"/>
      <c r="T12913" s="318"/>
      <c r="U12913" s="318"/>
      <c r="V12913" s="318"/>
      <c r="W12913" s="318"/>
      <c r="X12913" s="318"/>
      <c r="Y12913" s="318"/>
      <c r="Z12913" s="318"/>
      <c r="AA12913" s="318"/>
      <c r="AB12913" s="318"/>
      <c r="AC12913" s="318"/>
      <c r="AD12913" s="318"/>
    </row>
    <row r="12914" spans="2:30" s="323" customFormat="1" ht="12" customHeight="1">
      <c r="B12914" s="324"/>
      <c r="C12914" s="325"/>
      <c r="D12914" s="326"/>
      <c r="E12914" s="326"/>
      <c r="F12914" s="326"/>
      <c r="G12914" s="326"/>
      <c r="H12914" s="326"/>
      <c r="P12914" s="318"/>
      <c r="Q12914" s="318"/>
      <c r="R12914" s="318"/>
      <c r="S12914" s="318"/>
      <c r="T12914" s="318"/>
      <c r="U12914" s="318"/>
      <c r="V12914" s="318"/>
      <c r="W12914" s="318"/>
      <c r="X12914" s="318"/>
      <c r="Y12914" s="318"/>
      <c r="Z12914" s="318"/>
      <c r="AA12914" s="318"/>
      <c r="AB12914" s="318"/>
      <c r="AC12914" s="318"/>
      <c r="AD12914" s="318"/>
    </row>
    <row r="12915" spans="2:30" s="323" customFormat="1" ht="12" customHeight="1">
      <c r="B12915" s="324"/>
      <c r="C12915" s="325"/>
      <c r="D12915" s="326"/>
      <c r="E12915" s="326"/>
      <c r="F12915" s="326"/>
      <c r="G12915" s="326"/>
      <c r="H12915" s="326"/>
      <c r="P12915" s="318"/>
      <c r="Q12915" s="318"/>
      <c r="R12915" s="318"/>
      <c r="S12915" s="318"/>
      <c r="T12915" s="318"/>
      <c r="U12915" s="318"/>
      <c r="V12915" s="318"/>
      <c r="W12915" s="318"/>
      <c r="X12915" s="318"/>
      <c r="Y12915" s="318"/>
      <c r="Z12915" s="318"/>
      <c r="AA12915" s="318"/>
      <c r="AB12915" s="318"/>
      <c r="AC12915" s="318"/>
      <c r="AD12915" s="318"/>
    </row>
    <row r="12916" spans="2:30" s="323" customFormat="1" ht="12" customHeight="1">
      <c r="B12916" s="324"/>
      <c r="C12916" s="325"/>
      <c r="D12916" s="326"/>
      <c r="E12916" s="326"/>
      <c r="F12916" s="326"/>
      <c r="G12916" s="326"/>
      <c r="H12916" s="326"/>
      <c r="P12916" s="318"/>
      <c r="Q12916" s="318"/>
      <c r="R12916" s="318"/>
      <c r="S12916" s="318"/>
      <c r="T12916" s="318"/>
      <c r="U12916" s="318"/>
      <c r="V12916" s="318"/>
      <c r="W12916" s="318"/>
      <c r="X12916" s="318"/>
      <c r="Y12916" s="318"/>
      <c r="Z12916" s="318"/>
      <c r="AA12916" s="318"/>
      <c r="AB12916" s="318"/>
      <c r="AC12916" s="318"/>
      <c r="AD12916" s="318"/>
    </row>
    <row r="12917" spans="2:30" s="323" customFormat="1" ht="12" customHeight="1">
      <c r="B12917" s="324"/>
      <c r="C12917" s="325"/>
      <c r="D12917" s="326"/>
      <c r="E12917" s="326"/>
      <c r="F12917" s="326"/>
      <c r="G12917" s="326"/>
      <c r="H12917" s="326"/>
      <c r="P12917" s="318"/>
      <c r="Q12917" s="318"/>
      <c r="R12917" s="318"/>
      <c r="S12917" s="318"/>
      <c r="T12917" s="318"/>
      <c r="U12917" s="318"/>
      <c r="V12917" s="318"/>
      <c r="W12917" s="318"/>
      <c r="X12917" s="318"/>
      <c r="Y12917" s="318"/>
      <c r="Z12917" s="318"/>
      <c r="AA12917" s="318"/>
      <c r="AB12917" s="318"/>
      <c r="AC12917" s="318"/>
      <c r="AD12917" s="318"/>
    </row>
    <row r="12918" spans="2:30" s="323" customFormat="1" ht="12" customHeight="1">
      <c r="B12918" s="324"/>
      <c r="C12918" s="325"/>
      <c r="D12918" s="326"/>
      <c r="E12918" s="326"/>
      <c r="F12918" s="326"/>
      <c r="G12918" s="326"/>
      <c r="H12918" s="326"/>
      <c r="P12918" s="318"/>
      <c r="Q12918" s="318"/>
      <c r="R12918" s="318"/>
      <c r="S12918" s="318"/>
      <c r="T12918" s="318"/>
      <c r="U12918" s="318"/>
      <c r="V12918" s="318"/>
      <c r="W12918" s="318"/>
      <c r="X12918" s="318"/>
      <c r="Y12918" s="318"/>
      <c r="Z12918" s="318"/>
      <c r="AA12918" s="318"/>
      <c r="AB12918" s="318"/>
      <c r="AC12918" s="318"/>
      <c r="AD12918" s="318"/>
    </row>
    <row r="12919" spans="2:30" s="323" customFormat="1" ht="12" customHeight="1">
      <c r="B12919" s="324"/>
      <c r="C12919" s="325"/>
      <c r="D12919" s="326"/>
      <c r="E12919" s="326"/>
      <c r="F12919" s="326"/>
      <c r="G12919" s="326"/>
      <c r="H12919" s="326"/>
      <c r="P12919" s="318"/>
      <c r="Q12919" s="318"/>
      <c r="R12919" s="318"/>
      <c r="S12919" s="318"/>
      <c r="T12919" s="318"/>
      <c r="U12919" s="318"/>
      <c r="V12919" s="318"/>
      <c r="W12919" s="318"/>
      <c r="X12919" s="318"/>
      <c r="Y12919" s="318"/>
      <c r="Z12919" s="318"/>
      <c r="AA12919" s="318"/>
      <c r="AB12919" s="318"/>
      <c r="AC12919" s="318"/>
      <c r="AD12919" s="318"/>
    </row>
    <row r="12920" spans="2:30" s="323" customFormat="1" ht="12" customHeight="1">
      <c r="B12920" s="324"/>
      <c r="C12920" s="325"/>
      <c r="D12920" s="326"/>
      <c r="E12920" s="326"/>
      <c r="F12920" s="326"/>
      <c r="G12920" s="326"/>
      <c r="H12920" s="326"/>
      <c r="P12920" s="318"/>
      <c r="Q12920" s="318"/>
      <c r="R12920" s="318"/>
      <c r="S12920" s="318"/>
      <c r="T12920" s="318"/>
      <c r="U12920" s="318"/>
      <c r="V12920" s="318"/>
      <c r="W12920" s="318"/>
      <c r="X12920" s="318"/>
      <c r="Y12920" s="318"/>
      <c r="Z12920" s="318"/>
      <c r="AA12920" s="318"/>
      <c r="AB12920" s="318"/>
      <c r="AC12920" s="318"/>
      <c r="AD12920" s="318"/>
    </row>
    <row r="12921" spans="2:30" s="323" customFormat="1" ht="12" customHeight="1">
      <c r="B12921" s="324"/>
      <c r="C12921" s="325"/>
      <c r="D12921" s="326"/>
      <c r="E12921" s="326"/>
      <c r="F12921" s="326"/>
      <c r="G12921" s="326"/>
      <c r="H12921" s="326"/>
      <c r="P12921" s="318"/>
      <c r="Q12921" s="318"/>
      <c r="R12921" s="318"/>
      <c r="S12921" s="318"/>
      <c r="T12921" s="318"/>
      <c r="U12921" s="318"/>
      <c r="V12921" s="318"/>
      <c r="W12921" s="318"/>
      <c r="X12921" s="318"/>
      <c r="Y12921" s="318"/>
      <c r="Z12921" s="318"/>
      <c r="AA12921" s="318"/>
      <c r="AB12921" s="318"/>
      <c r="AC12921" s="318"/>
      <c r="AD12921" s="318"/>
    </row>
    <row r="12922" spans="2:30" s="323" customFormat="1" ht="12" customHeight="1">
      <c r="B12922" s="324"/>
      <c r="C12922" s="325"/>
      <c r="D12922" s="326"/>
      <c r="E12922" s="326"/>
      <c r="F12922" s="326"/>
      <c r="G12922" s="326"/>
      <c r="H12922" s="326"/>
      <c r="P12922" s="318"/>
      <c r="Q12922" s="318"/>
      <c r="R12922" s="318"/>
      <c r="S12922" s="318"/>
      <c r="T12922" s="318"/>
      <c r="U12922" s="318"/>
      <c r="V12922" s="318"/>
      <c r="W12922" s="318"/>
      <c r="X12922" s="318"/>
      <c r="Y12922" s="318"/>
      <c r="Z12922" s="318"/>
      <c r="AA12922" s="318"/>
      <c r="AB12922" s="318"/>
      <c r="AC12922" s="318"/>
      <c r="AD12922" s="318"/>
    </row>
    <row r="12923" spans="2:30" s="323" customFormat="1" ht="12" customHeight="1">
      <c r="B12923" s="324"/>
      <c r="C12923" s="325"/>
      <c r="D12923" s="326"/>
      <c r="E12923" s="326"/>
      <c r="F12923" s="326"/>
      <c r="G12923" s="326"/>
      <c r="H12923" s="326"/>
      <c r="P12923" s="318"/>
      <c r="Q12923" s="318"/>
      <c r="R12923" s="318"/>
      <c r="S12923" s="318"/>
      <c r="T12923" s="318"/>
      <c r="U12923" s="318"/>
      <c r="V12923" s="318"/>
      <c r="W12923" s="318"/>
      <c r="X12923" s="318"/>
      <c r="Y12923" s="318"/>
      <c r="Z12923" s="318"/>
      <c r="AA12923" s="318"/>
      <c r="AB12923" s="318"/>
      <c r="AC12923" s="318"/>
      <c r="AD12923" s="318"/>
    </row>
    <row r="12924" spans="2:30" s="323" customFormat="1" ht="12" customHeight="1">
      <c r="B12924" s="324"/>
      <c r="C12924" s="325"/>
      <c r="D12924" s="326"/>
      <c r="E12924" s="326"/>
      <c r="F12924" s="326"/>
      <c r="G12924" s="326"/>
      <c r="H12924" s="326"/>
      <c r="P12924" s="318"/>
      <c r="Q12924" s="318"/>
      <c r="R12924" s="318"/>
      <c r="S12924" s="318"/>
      <c r="T12924" s="318"/>
      <c r="U12924" s="318"/>
      <c r="V12924" s="318"/>
      <c r="W12924" s="318"/>
      <c r="X12924" s="318"/>
      <c r="Y12924" s="318"/>
      <c r="Z12924" s="318"/>
      <c r="AA12924" s="318"/>
      <c r="AB12924" s="318"/>
      <c r="AC12924" s="318"/>
      <c r="AD12924" s="318"/>
    </row>
    <row r="12925" spans="2:30" s="323" customFormat="1" ht="12" customHeight="1">
      <c r="B12925" s="324"/>
      <c r="C12925" s="325"/>
      <c r="D12925" s="326"/>
      <c r="E12925" s="326"/>
      <c r="F12925" s="326"/>
      <c r="G12925" s="326"/>
      <c r="H12925" s="326"/>
      <c r="P12925" s="318"/>
      <c r="Q12925" s="318"/>
      <c r="R12925" s="318"/>
      <c r="S12925" s="318"/>
      <c r="T12925" s="318"/>
      <c r="U12925" s="318"/>
      <c r="V12925" s="318"/>
      <c r="W12925" s="318"/>
      <c r="X12925" s="318"/>
      <c r="Y12925" s="318"/>
      <c r="Z12925" s="318"/>
      <c r="AA12925" s="318"/>
      <c r="AB12925" s="318"/>
      <c r="AC12925" s="318"/>
      <c r="AD12925" s="318"/>
    </row>
    <row r="12926" spans="2:30" s="323" customFormat="1" ht="12" customHeight="1">
      <c r="B12926" s="324"/>
      <c r="C12926" s="325"/>
      <c r="D12926" s="326"/>
      <c r="E12926" s="326"/>
      <c r="F12926" s="326"/>
      <c r="G12926" s="326"/>
      <c r="H12926" s="326"/>
      <c r="P12926" s="318"/>
      <c r="Q12926" s="318"/>
      <c r="R12926" s="318"/>
      <c r="S12926" s="318"/>
      <c r="T12926" s="318"/>
      <c r="U12926" s="318"/>
      <c r="V12926" s="318"/>
      <c r="W12926" s="318"/>
      <c r="X12926" s="318"/>
      <c r="Y12926" s="318"/>
      <c r="Z12926" s="318"/>
      <c r="AA12926" s="318"/>
      <c r="AB12926" s="318"/>
      <c r="AC12926" s="318"/>
      <c r="AD12926" s="318"/>
    </row>
    <row r="12927" spans="2:30" s="323" customFormat="1" ht="12" customHeight="1">
      <c r="B12927" s="324"/>
      <c r="C12927" s="325"/>
      <c r="D12927" s="326"/>
      <c r="E12927" s="326"/>
      <c r="F12927" s="326"/>
      <c r="G12927" s="326"/>
      <c r="H12927" s="326"/>
      <c r="P12927" s="318"/>
      <c r="Q12927" s="318"/>
      <c r="R12927" s="318"/>
      <c r="S12927" s="318"/>
      <c r="T12927" s="318"/>
      <c r="U12927" s="318"/>
      <c r="V12927" s="318"/>
      <c r="W12927" s="318"/>
      <c r="X12927" s="318"/>
      <c r="Y12927" s="318"/>
      <c r="Z12927" s="318"/>
      <c r="AA12927" s="318"/>
      <c r="AB12927" s="318"/>
      <c r="AC12927" s="318"/>
      <c r="AD12927" s="318"/>
    </row>
    <row r="12928" spans="2:30" s="323" customFormat="1" ht="12" customHeight="1">
      <c r="B12928" s="324"/>
      <c r="C12928" s="325"/>
      <c r="D12928" s="326"/>
      <c r="E12928" s="326"/>
      <c r="F12928" s="326"/>
      <c r="G12928" s="326"/>
      <c r="H12928" s="326"/>
      <c r="P12928" s="318"/>
      <c r="Q12928" s="318"/>
      <c r="R12928" s="318"/>
      <c r="S12928" s="318"/>
      <c r="T12928" s="318"/>
      <c r="U12928" s="318"/>
      <c r="V12928" s="318"/>
      <c r="W12928" s="318"/>
      <c r="X12928" s="318"/>
      <c r="Y12928" s="318"/>
      <c r="Z12928" s="318"/>
      <c r="AA12928" s="318"/>
      <c r="AB12928" s="318"/>
      <c r="AC12928" s="318"/>
      <c r="AD12928" s="318"/>
    </row>
    <row r="12929" spans="2:30" s="323" customFormat="1" ht="12" customHeight="1">
      <c r="B12929" s="324"/>
      <c r="C12929" s="325"/>
      <c r="D12929" s="326"/>
      <c r="E12929" s="326"/>
      <c r="F12929" s="326"/>
      <c r="G12929" s="326"/>
      <c r="H12929" s="326"/>
      <c r="P12929" s="318"/>
      <c r="Q12929" s="318"/>
      <c r="R12929" s="318"/>
      <c r="S12929" s="318"/>
      <c r="T12929" s="318"/>
      <c r="U12929" s="318"/>
      <c r="V12929" s="318"/>
      <c r="W12929" s="318"/>
      <c r="X12929" s="318"/>
      <c r="Y12929" s="318"/>
      <c r="Z12929" s="318"/>
      <c r="AA12929" s="318"/>
      <c r="AB12929" s="318"/>
      <c r="AC12929" s="318"/>
      <c r="AD12929" s="318"/>
    </row>
    <row r="12930" spans="2:30" s="323" customFormat="1" ht="12" customHeight="1">
      <c r="B12930" s="324"/>
      <c r="C12930" s="325"/>
      <c r="D12930" s="326"/>
      <c r="E12930" s="326"/>
      <c r="F12930" s="326"/>
      <c r="G12930" s="326"/>
      <c r="H12930" s="326"/>
      <c r="P12930" s="318"/>
      <c r="Q12930" s="318"/>
      <c r="R12930" s="318"/>
      <c r="S12930" s="318"/>
      <c r="T12930" s="318"/>
      <c r="U12930" s="318"/>
      <c r="V12930" s="318"/>
      <c r="W12930" s="318"/>
      <c r="X12930" s="318"/>
      <c r="Y12930" s="318"/>
      <c r="Z12930" s="318"/>
      <c r="AA12930" s="318"/>
      <c r="AB12930" s="318"/>
      <c r="AC12930" s="318"/>
      <c r="AD12930" s="318"/>
    </row>
    <row r="12931" spans="2:30" s="323" customFormat="1" ht="12" customHeight="1">
      <c r="B12931" s="324"/>
      <c r="C12931" s="325"/>
      <c r="D12931" s="326"/>
      <c r="E12931" s="326"/>
      <c r="F12931" s="326"/>
      <c r="G12931" s="326"/>
      <c r="H12931" s="326"/>
      <c r="P12931" s="318"/>
      <c r="Q12931" s="318"/>
      <c r="R12931" s="318"/>
      <c r="S12931" s="318"/>
      <c r="T12931" s="318"/>
      <c r="U12931" s="318"/>
      <c r="V12931" s="318"/>
      <c r="W12931" s="318"/>
      <c r="X12931" s="318"/>
      <c r="Y12931" s="318"/>
      <c r="Z12931" s="318"/>
      <c r="AA12931" s="318"/>
      <c r="AB12931" s="318"/>
      <c r="AC12931" s="318"/>
      <c r="AD12931" s="318"/>
    </row>
    <row r="12932" spans="2:30" s="323" customFormat="1" ht="12" customHeight="1">
      <c r="B12932" s="324"/>
      <c r="C12932" s="325"/>
      <c r="D12932" s="326"/>
      <c r="E12932" s="326"/>
      <c r="F12932" s="326"/>
      <c r="G12932" s="326"/>
      <c r="H12932" s="326"/>
      <c r="P12932" s="318"/>
      <c r="Q12932" s="318"/>
      <c r="R12932" s="318"/>
      <c r="S12932" s="318"/>
      <c r="T12932" s="318"/>
      <c r="U12932" s="318"/>
      <c r="V12932" s="318"/>
      <c r="W12932" s="318"/>
      <c r="X12932" s="318"/>
      <c r="Y12932" s="318"/>
      <c r="Z12932" s="318"/>
      <c r="AA12932" s="318"/>
      <c r="AB12932" s="318"/>
      <c r="AC12932" s="318"/>
      <c r="AD12932" s="318"/>
    </row>
    <row r="12933" spans="2:30" s="323" customFormat="1" ht="12" customHeight="1">
      <c r="B12933" s="324"/>
      <c r="C12933" s="325"/>
      <c r="D12933" s="326"/>
      <c r="E12933" s="326"/>
      <c r="F12933" s="326"/>
      <c r="G12933" s="326"/>
      <c r="H12933" s="326"/>
      <c r="P12933" s="318"/>
      <c r="Q12933" s="318"/>
      <c r="R12933" s="318"/>
      <c r="S12933" s="318"/>
      <c r="T12933" s="318"/>
      <c r="U12933" s="318"/>
      <c r="V12933" s="318"/>
      <c r="W12933" s="318"/>
      <c r="X12933" s="318"/>
      <c r="Y12933" s="318"/>
      <c r="Z12933" s="318"/>
      <c r="AA12933" s="318"/>
      <c r="AB12933" s="318"/>
      <c r="AC12933" s="318"/>
      <c r="AD12933" s="318"/>
    </row>
    <row r="12934" spans="2:30" s="323" customFormat="1" ht="12" customHeight="1">
      <c r="B12934" s="324"/>
      <c r="C12934" s="325"/>
      <c r="D12934" s="326"/>
      <c r="E12934" s="326"/>
      <c r="F12934" s="326"/>
      <c r="G12934" s="326"/>
      <c r="H12934" s="326"/>
      <c r="P12934" s="318"/>
      <c r="Q12934" s="318"/>
      <c r="R12934" s="318"/>
      <c r="S12934" s="318"/>
      <c r="T12934" s="318"/>
      <c r="U12934" s="318"/>
      <c r="V12934" s="318"/>
      <c r="W12934" s="318"/>
      <c r="X12934" s="318"/>
      <c r="Y12934" s="318"/>
      <c r="Z12934" s="318"/>
      <c r="AA12934" s="318"/>
      <c r="AB12934" s="318"/>
      <c r="AC12934" s="318"/>
      <c r="AD12934" s="318"/>
    </row>
    <row r="12935" spans="2:30" s="323" customFormat="1" ht="12" customHeight="1">
      <c r="B12935" s="324"/>
      <c r="C12935" s="325"/>
      <c r="D12935" s="326"/>
      <c r="E12935" s="326"/>
      <c r="F12935" s="326"/>
      <c r="G12935" s="326"/>
      <c r="H12935" s="326"/>
      <c r="P12935" s="318"/>
      <c r="Q12935" s="318"/>
      <c r="R12935" s="318"/>
      <c r="S12935" s="318"/>
      <c r="T12935" s="318"/>
      <c r="U12935" s="318"/>
      <c r="V12935" s="318"/>
      <c r="W12935" s="318"/>
      <c r="X12935" s="318"/>
      <c r="Y12935" s="318"/>
      <c r="Z12935" s="318"/>
      <c r="AA12935" s="318"/>
      <c r="AB12935" s="318"/>
      <c r="AC12935" s="318"/>
      <c r="AD12935" s="318"/>
    </row>
    <row r="12936" spans="2:30" s="323" customFormat="1" ht="12" customHeight="1">
      <c r="B12936" s="324"/>
      <c r="C12936" s="325"/>
      <c r="D12936" s="326"/>
      <c r="E12936" s="326"/>
      <c r="F12936" s="326"/>
      <c r="G12936" s="326"/>
      <c r="H12936" s="326"/>
      <c r="P12936" s="318"/>
      <c r="Q12936" s="318"/>
      <c r="R12936" s="318"/>
      <c r="S12936" s="318"/>
      <c r="T12936" s="318"/>
      <c r="U12936" s="318"/>
      <c r="V12936" s="318"/>
      <c r="W12936" s="318"/>
      <c r="X12936" s="318"/>
      <c r="Y12936" s="318"/>
      <c r="Z12936" s="318"/>
      <c r="AA12936" s="318"/>
      <c r="AB12936" s="318"/>
      <c r="AC12936" s="318"/>
      <c r="AD12936" s="318"/>
    </row>
    <row r="12937" spans="2:30" s="323" customFormat="1" ht="12" customHeight="1">
      <c r="B12937" s="324"/>
      <c r="C12937" s="325"/>
      <c r="D12937" s="326"/>
      <c r="E12937" s="326"/>
      <c r="F12937" s="326"/>
      <c r="G12937" s="326"/>
      <c r="H12937" s="326"/>
      <c r="P12937" s="318"/>
      <c r="Q12937" s="318"/>
      <c r="R12937" s="318"/>
      <c r="S12937" s="318"/>
      <c r="T12937" s="318"/>
      <c r="U12937" s="318"/>
      <c r="V12937" s="318"/>
      <c r="W12937" s="318"/>
      <c r="X12937" s="318"/>
      <c r="Y12937" s="318"/>
      <c r="Z12937" s="318"/>
      <c r="AA12937" s="318"/>
      <c r="AB12937" s="318"/>
      <c r="AC12937" s="318"/>
      <c r="AD12937" s="318"/>
    </row>
    <row r="12938" spans="2:30" s="323" customFormat="1" ht="12" customHeight="1">
      <c r="B12938" s="324"/>
      <c r="C12938" s="325"/>
      <c r="D12938" s="326"/>
      <c r="E12938" s="326"/>
      <c r="F12938" s="326"/>
      <c r="G12938" s="326"/>
      <c r="H12938" s="326"/>
      <c r="P12938" s="318"/>
      <c r="Q12938" s="318"/>
      <c r="R12938" s="318"/>
      <c r="S12938" s="318"/>
      <c r="T12938" s="318"/>
      <c r="U12938" s="318"/>
      <c r="V12938" s="318"/>
      <c r="W12938" s="318"/>
      <c r="X12938" s="318"/>
      <c r="Y12938" s="318"/>
      <c r="Z12938" s="318"/>
      <c r="AA12938" s="318"/>
      <c r="AB12938" s="318"/>
      <c r="AC12938" s="318"/>
      <c r="AD12938" s="318"/>
    </row>
    <row r="12939" spans="2:30" s="323" customFormat="1" ht="12" customHeight="1">
      <c r="B12939" s="324"/>
      <c r="C12939" s="325"/>
      <c r="D12939" s="326"/>
      <c r="E12939" s="326"/>
      <c r="F12939" s="326"/>
      <c r="G12939" s="326"/>
      <c r="H12939" s="326"/>
      <c r="P12939" s="318"/>
      <c r="Q12939" s="318"/>
      <c r="R12939" s="318"/>
      <c r="S12939" s="318"/>
      <c r="T12939" s="318"/>
      <c r="U12939" s="318"/>
      <c r="V12939" s="318"/>
      <c r="W12939" s="318"/>
      <c r="X12939" s="318"/>
      <c r="Y12939" s="318"/>
      <c r="Z12939" s="318"/>
      <c r="AA12939" s="318"/>
      <c r="AB12939" s="318"/>
      <c r="AC12939" s="318"/>
      <c r="AD12939" s="318"/>
    </row>
    <row r="12940" spans="2:30" s="323" customFormat="1" ht="12" customHeight="1">
      <c r="B12940" s="324"/>
      <c r="C12940" s="325"/>
      <c r="D12940" s="326"/>
      <c r="E12940" s="326"/>
      <c r="F12940" s="326"/>
      <c r="G12940" s="326"/>
      <c r="H12940" s="326"/>
      <c r="P12940" s="318"/>
      <c r="Q12940" s="318"/>
      <c r="R12940" s="318"/>
      <c r="S12940" s="318"/>
      <c r="T12940" s="318"/>
      <c r="U12940" s="318"/>
      <c r="V12940" s="318"/>
      <c r="W12940" s="318"/>
      <c r="X12940" s="318"/>
      <c r="Y12940" s="318"/>
      <c r="Z12940" s="318"/>
      <c r="AA12940" s="318"/>
      <c r="AB12940" s="318"/>
      <c r="AC12940" s="318"/>
      <c r="AD12940" s="318"/>
    </row>
    <row r="12941" spans="2:30" s="323" customFormat="1" ht="12" customHeight="1">
      <c r="B12941" s="324"/>
      <c r="C12941" s="325"/>
      <c r="D12941" s="326"/>
      <c r="E12941" s="326"/>
      <c r="F12941" s="326"/>
      <c r="G12941" s="326"/>
      <c r="H12941" s="326"/>
      <c r="P12941" s="318"/>
      <c r="Q12941" s="318"/>
      <c r="R12941" s="318"/>
      <c r="S12941" s="318"/>
      <c r="T12941" s="318"/>
      <c r="U12941" s="318"/>
      <c r="V12941" s="318"/>
      <c r="W12941" s="318"/>
      <c r="X12941" s="318"/>
      <c r="Y12941" s="318"/>
      <c r="Z12941" s="318"/>
      <c r="AA12941" s="318"/>
      <c r="AB12941" s="318"/>
      <c r="AC12941" s="318"/>
      <c r="AD12941" s="318"/>
    </row>
    <row r="12942" spans="2:30" s="323" customFormat="1" ht="12" customHeight="1">
      <c r="B12942" s="324"/>
      <c r="C12942" s="325"/>
      <c r="D12942" s="326"/>
      <c r="E12942" s="326"/>
      <c r="F12942" s="326"/>
      <c r="G12942" s="326"/>
      <c r="H12942" s="326"/>
      <c r="P12942" s="318"/>
      <c r="Q12942" s="318"/>
      <c r="R12942" s="318"/>
      <c r="S12942" s="318"/>
      <c r="T12942" s="318"/>
      <c r="U12942" s="318"/>
      <c r="V12942" s="318"/>
      <c r="W12942" s="318"/>
      <c r="X12942" s="318"/>
      <c r="Y12942" s="318"/>
      <c r="Z12942" s="318"/>
      <c r="AA12942" s="318"/>
      <c r="AB12942" s="318"/>
      <c r="AC12942" s="318"/>
      <c r="AD12942" s="318"/>
    </row>
    <row r="12943" spans="2:30" s="323" customFormat="1" ht="12" customHeight="1">
      <c r="B12943" s="324"/>
      <c r="C12943" s="325"/>
      <c r="D12943" s="326"/>
      <c r="E12943" s="326"/>
      <c r="F12943" s="326"/>
      <c r="G12943" s="326"/>
      <c r="H12943" s="326"/>
      <c r="P12943" s="318"/>
      <c r="Q12943" s="318"/>
      <c r="R12943" s="318"/>
      <c r="S12943" s="318"/>
      <c r="T12943" s="318"/>
      <c r="U12943" s="318"/>
      <c r="V12943" s="318"/>
      <c r="W12943" s="318"/>
      <c r="X12943" s="318"/>
      <c r="Y12943" s="318"/>
      <c r="Z12943" s="318"/>
      <c r="AA12943" s="318"/>
      <c r="AB12943" s="318"/>
      <c r="AC12943" s="318"/>
      <c r="AD12943" s="318"/>
    </row>
    <row r="12944" spans="2:30" s="323" customFormat="1" ht="12" customHeight="1">
      <c r="B12944" s="324"/>
      <c r="C12944" s="325"/>
      <c r="D12944" s="326"/>
      <c r="E12944" s="326"/>
      <c r="F12944" s="326"/>
      <c r="G12944" s="326"/>
      <c r="H12944" s="326"/>
      <c r="P12944" s="318"/>
      <c r="Q12944" s="318"/>
      <c r="R12944" s="318"/>
      <c r="S12944" s="318"/>
      <c r="T12944" s="318"/>
      <c r="U12944" s="318"/>
      <c r="V12944" s="318"/>
      <c r="W12944" s="318"/>
      <c r="X12944" s="318"/>
      <c r="Y12944" s="318"/>
      <c r="Z12944" s="318"/>
      <c r="AA12944" s="318"/>
      <c r="AB12944" s="318"/>
      <c r="AC12944" s="318"/>
      <c r="AD12944" s="318"/>
    </row>
    <row r="12945" spans="2:30" s="323" customFormat="1" ht="12" customHeight="1">
      <c r="B12945" s="324"/>
      <c r="C12945" s="325"/>
      <c r="D12945" s="326"/>
      <c r="E12945" s="326"/>
      <c r="F12945" s="326"/>
      <c r="G12945" s="326"/>
      <c r="H12945" s="326"/>
      <c r="P12945" s="318"/>
      <c r="Q12945" s="318"/>
      <c r="R12945" s="318"/>
      <c r="S12945" s="318"/>
      <c r="T12945" s="318"/>
      <c r="U12945" s="318"/>
      <c r="V12945" s="318"/>
      <c r="W12945" s="318"/>
      <c r="X12945" s="318"/>
      <c r="Y12945" s="318"/>
      <c r="Z12945" s="318"/>
      <c r="AA12945" s="318"/>
      <c r="AB12945" s="318"/>
      <c r="AC12945" s="318"/>
      <c r="AD12945" s="318"/>
    </row>
    <row r="12946" spans="2:30" s="323" customFormat="1" ht="12" customHeight="1">
      <c r="B12946" s="324"/>
      <c r="C12946" s="325"/>
      <c r="D12946" s="326"/>
      <c r="E12946" s="326"/>
      <c r="F12946" s="326"/>
      <c r="G12946" s="326"/>
      <c r="H12946" s="326"/>
      <c r="P12946" s="318"/>
      <c r="Q12946" s="318"/>
      <c r="R12946" s="318"/>
      <c r="S12946" s="318"/>
      <c r="T12946" s="318"/>
      <c r="U12946" s="318"/>
      <c r="V12946" s="318"/>
      <c r="W12946" s="318"/>
      <c r="X12946" s="318"/>
      <c r="Y12946" s="318"/>
      <c r="Z12946" s="318"/>
      <c r="AA12946" s="318"/>
      <c r="AB12946" s="318"/>
      <c r="AC12946" s="318"/>
      <c r="AD12946" s="318"/>
    </row>
    <row r="12947" spans="2:30" s="323" customFormat="1" ht="12" customHeight="1">
      <c r="B12947" s="324"/>
      <c r="C12947" s="325"/>
      <c r="D12947" s="326"/>
      <c r="E12947" s="326"/>
      <c r="F12947" s="326"/>
      <c r="G12947" s="326"/>
      <c r="H12947" s="326"/>
      <c r="P12947" s="318"/>
      <c r="Q12947" s="318"/>
      <c r="R12947" s="318"/>
      <c r="S12947" s="318"/>
      <c r="T12947" s="318"/>
      <c r="U12947" s="318"/>
      <c r="V12947" s="318"/>
      <c r="W12947" s="318"/>
      <c r="X12947" s="318"/>
      <c r="Y12947" s="318"/>
      <c r="Z12947" s="318"/>
      <c r="AA12947" s="318"/>
      <c r="AB12947" s="318"/>
      <c r="AC12947" s="318"/>
      <c r="AD12947" s="318"/>
    </row>
    <row r="12948" spans="2:30" s="323" customFormat="1" ht="12" customHeight="1">
      <c r="B12948" s="324"/>
      <c r="C12948" s="325"/>
      <c r="D12948" s="326"/>
      <c r="E12948" s="326"/>
      <c r="F12948" s="326"/>
      <c r="G12948" s="326"/>
      <c r="H12948" s="326"/>
      <c r="P12948" s="318"/>
      <c r="Q12948" s="318"/>
      <c r="R12948" s="318"/>
      <c r="S12948" s="318"/>
      <c r="T12948" s="318"/>
      <c r="U12948" s="318"/>
      <c r="V12948" s="318"/>
      <c r="W12948" s="318"/>
      <c r="X12948" s="318"/>
      <c r="Y12948" s="318"/>
      <c r="Z12948" s="318"/>
      <c r="AA12948" s="318"/>
      <c r="AB12948" s="318"/>
      <c r="AC12948" s="318"/>
      <c r="AD12948" s="318"/>
    </row>
    <row r="12949" spans="2:30" s="323" customFormat="1" ht="12" customHeight="1">
      <c r="B12949" s="324"/>
      <c r="C12949" s="325"/>
      <c r="D12949" s="326"/>
      <c r="E12949" s="326"/>
      <c r="F12949" s="326"/>
      <c r="G12949" s="326"/>
      <c r="H12949" s="326"/>
      <c r="P12949" s="318"/>
      <c r="Q12949" s="318"/>
      <c r="R12949" s="318"/>
      <c r="S12949" s="318"/>
      <c r="T12949" s="318"/>
      <c r="U12949" s="318"/>
      <c r="V12949" s="318"/>
      <c r="W12949" s="318"/>
      <c r="X12949" s="318"/>
      <c r="Y12949" s="318"/>
      <c r="Z12949" s="318"/>
      <c r="AA12949" s="318"/>
      <c r="AB12949" s="318"/>
      <c r="AC12949" s="318"/>
      <c r="AD12949" s="318"/>
    </row>
    <row r="12950" spans="2:30" s="323" customFormat="1" ht="12" customHeight="1">
      <c r="B12950" s="324"/>
      <c r="C12950" s="325"/>
      <c r="D12950" s="326"/>
      <c r="E12950" s="326"/>
      <c r="F12950" s="326"/>
      <c r="G12950" s="326"/>
      <c r="H12950" s="326"/>
      <c r="P12950" s="318"/>
      <c r="Q12950" s="318"/>
      <c r="R12950" s="318"/>
      <c r="S12950" s="318"/>
      <c r="T12950" s="318"/>
      <c r="U12950" s="318"/>
      <c r="V12950" s="318"/>
      <c r="W12950" s="318"/>
      <c r="X12950" s="318"/>
      <c r="Y12950" s="318"/>
      <c r="Z12950" s="318"/>
      <c r="AA12950" s="318"/>
      <c r="AB12950" s="318"/>
      <c r="AC12950" s="318"/>
      <c r="AD12950" s="318"/>
    </row>
    <row r="12951" spans="2:30" s="323" customFormat="1" ht="12" customHeight="1">
      <c r="B12951" s="324"/>
      <c r="C12951" s="325"/>
      <c r="D12951" s="326"/>
      <c r="E12951" s="326"/>
      <c r="F12951" s="326"/>
      <c r="G12951" s="326"/>
      <c r="H12951" s="326"/>
      <c r="P12951" s="318"/>
      <c r="Q12951" s="318"/>
      <c r="R12951" s="318"/>
      <c r="S12951" s="318"/>
      <c r="T12951" s="318"/>
      <c r="U12951" s="318"/>
      <c r="V12951" s="318"/>
      <c r="W12951" s="318"/>
      <c r="X12951" s="318"/>
      <c r="Y12951" s="318"/>
      <c r="Z12951" s="318"/>
      <c r="AA12951" s="318"/>
      <c r="AB12951" s="318"/>
      <c r="AC12951" s="318"/>
      <c r="AD12951" s="318"/>
    </row>
    <row r="12952" spans="2:30" s="323" customFormat="1" ht="12" customHeight="1">
      <c r="B12952" s="324"/>
      <c r="C12952" s="325"/>
      <c r="D12952" s="326"/>
      <c r="E12952" s="326"/>
      <c r="F12952" s="326"/>
      <c r="G12952" s="326"/>
      <c r="H12952" s="326"/>
      <c r="P12952" s="318"/>
      <c r="Q12952" s="318"/>
      <c r="R12952" s="318"/>
      <c r="S12952" s="318"/>
      <c r="T12952" s="318"/>
      <c r="U12952" s="318"/>
      <c r="V12952" s="318"/>
      <c r="W12952" s="318"/>
      <c r="X12952" s="318"/>
      <c r="Y12952" s="318"/>
      <c r="Z12952" s="318"/>
      <c r="AA12952" s="318"/>
      <c r="AB12952" s="318"/>
      <c r="AC12952" s="318"/>
      <c r="AD12952" s="318"/>
    </row>
    <row r="12953" spans="2:30" s="323" customFormat="1" ht="12" customHeight="1">
      <c r="B12953" s="324"/>
      <c r="C12953" s="325"/>
      <c r="D12953" s="326"/>
      <c r="E12953" s="326"/>
      <c r="F12953" s="326"/>
      <c r="G12953" s="326"/>
      <c r="H12953" s="326"/>
      <c r="P12953" s="318"/>
      <c r="Q12953" s="318"/>
      <c r="R12953" s="318"/>
      <c r="S12953" s="318"/>
      <c r="T12953" s="318"/>
      <c r="U12953" s="318"/>
      <c r="V12953" s="318"/>
      <c r="W12953" s="318"/>
      <c r="X12953" s="318"/>
      <c r="Y12953" s="318"/>
      <c r="Z12953" s="318"/>
      <c r="AA12953" s="318"/>
      <c r="AB12953" s="318"/>
      <c r="AC12953" s="318"/>
      <c r="AD12953" s="318"/>
    </row>
    <row r="12954" spans="2:30" s="323" customFormat="1" ht="12" customHeight="1">
      <c r="B12954" s="324"/>
      <c r="C12954" s="325"/>
      <c r="D12954" s="326"/>
      <c r="E12954" s="326"/>
      <c r="F12954" s="326"/>
      <c r="G12954" s="326"/>
      <c r="H12954" s="326"/>
      <c r="P12954" s="318"/>
      <c r="Q12954" s="318"/>
      <c r="R12954" s="318"/>
      <c r="S12954" s="318"/>
      <c r="T12954" s="318"/>
      <c r="U12954" s="318"/>
      <c r="V12954" s="318"/>
      <c r="W12954" s="318"/>
      <c r="X12954" s="318"/>
      <c r="Y12954" s="318"/>
      <c r="Z12954" s="318"/>
      <c r="AA12954" s="318"/>
      <c r="AB12954" s="318"/>
      <c r="AC12954" s="318"/>
      <c r="AD12954" s="318"/>
    </row>
    <row r="12955" spans="2:30" s="323" customFormat="1" ht="12" customHeight="1">
      <c r="B12955" s="324"/>
      <c r="C12955" s="325"/>
      <c r="D12955" s="326"/>
      <c r="E12955" s="326"/>
      <c r="F12955" s="326"/>
      <c r="G12955" s="326"/>
      <c r="H12955" s="326"/>
      <c r="P12955" s="318"/>
      <c r="Q12955" s="318"/>
      <c r="R12955" s="318"/>
      <c r="S12955" s="318"/>
      <c r="T12955" s="318"/>
      <c r="U12955" s="318"/>
      <c r="V12955" s="318"/>
      <c r="W12955" s="318"/>
      <c r="X12955" s="318"/>
      <c r="Y12955" s="318"/>
      <c r="Z12955" s="318"/>
      <c r="AA12955" s="318"/>
      <c r="AB12955" s="318"/>
      <c r="AC12955" s="318"/>
      <c r="AD12955" s="318"/>
    </row>
    <row r="12956" spans="2:30" s="323" customFormat="1" ht="12" customHeight="1">
      <c r="B12956" s="324"/>
      <c r="C12956" s="325"/>
      <c r="D12956" s="326"/>
      <c r="E12956" s="326"/>
      <c r="F12956" s="326"/>
      <c r="G12956" s="326"/>
      <c r="H12956" s="326"/>
      <c r="P12956" s="318"/>
      <c r="Q12956" s="318"/>
      <c r="R12956" s="318"/>
      <c r="S12956" s="318"/>
      <c r="T12956" s="318"/>
      <c r="U12956" s="318"/>
      <c r="V12956" s="318"/>
      <c r="W12956" s="318"/>
      <c r="X12956" s="318"/>
      <c r="Y12956" s="318"/>
      <c r="Z12956" s="318"/>
      <c r="AA12956" s="318"/>
      <c r="AB12956" s="318"/>
      <c r="AC12956" s="318"/>
      <c r="AD12956" s="318"/>
    </row>
    <row r="12957" spans="2:30" s="323" customFormat="1" ht="12" customHeight="1">
      <c r="B12957" s="324"/>
      <c r="C12957" s="325"/>
      <c r="D12957" s="326"/>
      <c r="E12957" s="326"/>
      <c r="F12957" s="326"/>
      <c r="G12957" s="326"/>
      <c r="H12957" s="326"/>
      <c r="P12957" s="318"/>
      <c r="Q12957" s="318"/>
      <c r="R12957" s="318"/>
      <c r="S12957" s="318"/>
      <c r="T12957" s="318"/>
      <c r="U12957" s="318"/>
      <c r="V12957" s="318"/>
      <c r="W12957" s="318"/>
      <c r="X12957" s="318"/>
      <c r="Y12957" s="318"/>
      <c r="Z12957" s="318"/>
      <c r="AA12957" s="318"/>
      <c r="AB12957" s="318"/>
      <c r="AC12957" s="318"/>
      <c r="AD12957" s="318"/>
    </row>
    <row r="12958" spans="2:30" s="323" customFormat="1" ht="12" customHeight="1">
      <c r="B12958" s="324"/>
      <c r="C12958" s="325"/>
      <c r="D12958" s="326"/>
      <c r="E12958" s="326"/>
      <c r="F12958" s="326"/>
      <c r="G12958" s="326"/>
      <c r="H12958" s="326"/>
      <c r="P12958" s="318"/>
      <c r="Q12958" s="318"/>
      <c r="R12958" s="318"/>
      <c r="S12958" s="318"/>
      <c r="T12958" s="318"/>
      <c r="U12958" s="318"/>
      <c r="V12958" s="318"/>
      <c r="W12958" s="318"/>
      <c r="X12958" s="318"/>
      <c r="Y12958" s="318"/>
      <c r="Z12958" s="318"/>
      <c r="AA12958" s="318"/>
      <c r="AB12958" s="318"/>
      <c r="AC12958" s="318"/>
      <c r="AD12958" s="318"/>
    </row>
    <row r="12959" spans="2:30" s="323" customFormat="1" ht="12" customHeight="1">
      <c r="B12959" s="324"/>
      <c r="C12959" s="325"/>
      <c r="D12959" s="326"/>
      <c r="E12959" s="326"/>
      <c r="F12959" s="326"/>
      <c r="G12959" s="326"/>
      <c r="H12959" s="326"/>
      <c r="P12959" s="318"/>
      <c r="Q12959" s="318"/>
      <c r="R12959" s="318"/>
      <c r="S12959" s="318"/>
      <c r="T12959" s="318"/>
      <c r="U12959" s="318"/>
      <c r="V12959" s="318"/>
      <c r="W12959" s="318"/>
      <c r="X12959" s="318"/>
      <c r="Y12959" s="318"/>
      <c r="Z12959" s="318"/>
      <c r="AA12959" s="318"/>
      <c r="AB12959" s="318"/>
      <c r="AC12959" s="318"/>
      <c r="AD12959" s="318"/>
    </row>
    <row r="12960" spans="2:30" s="323" customFormat="1" ht="12" customHeight="1">
      <c r="B12960" s="324"/>
      <c r="C12960" s="325"/>
      <c r="D12960" s="326"/>
      <c r="E12960" s="326"/>
      <c r="F12960" s="326"/>
      <c r="G12960" s="326"/>
      <c r="H12960" s="326"/>
      <c r="P12960" s="318"/>
      <c r="Q12960" s="318"/>
      <c r="R12960" s="318"/>
      <c r="S12960" s="318"/>
      <c r="T12960" s="318"/>
      <c r="U12960" s="318"/>
      <c r="V12960" s="318"/>
      <c r="W12960" s="318"/>
      <c r="X12960" s="318"/>
      <c r="Y12960" s="318"/>
      <c r="Z12960" s="318"/>
      <c r="AA12960" s="318"/>
      <c r="AB12960" s="318"/>
      <c r="AC12960" s="318"/>
      <c r="AD12960" s="318"/>
    </row>
    <row r="12961" spans="2:30" s="323" customFormat="1" ht="12" customHeight="1">
      <c r="B12961" s="324"/>
      <c r="C12961" s="325"/>
      <c r="D12961" s="326"/>
      <c r="E12961" s="326"/>
      <c r="F12961" s="326"/>
      <c r="G12961" s="326"/>
      <c r="H12961" s="326"/>
      <c r="P12961" s="318"/>
      <c r="Q12961" s="318"/>
      <c r="R12961" s="318"/>
      <c r="S12961" s="318"/>
      <c r="T12961" s="318"/>
      <c r="U12961" s="318"/>
      <c r="V12961" s="318"/>
      <c r="W12961" s="318"/>
      <c r="X12961" s="318"/>
      <c r="Y12961" s="318"/>
      <c r="Z12961" s="318"/>
      <c r="AA12961" s="318"/>
      <c r="AB12961" s="318"/>
      <c r="AC12961" s="318"/>
      <c r="AD12961" s="318"/>
    </row>
    <row r="12962" spans="2:30" s="323" customFormat="1" ht="12" customHeight="1">
      <c r="B12962" s="324"/>
      <c r="C12962" s="325"/>
      <c r="D12962" s="326"/>
      <c r="E12962" s="326"/>
      <c r="F12962" s="326"/>
      <c r="G12962" s="326"/>
      <c r="H12962" s="326"/>
      <c r="P12962" s="318"/>
      <c r="Q12962" s="318"/>
      <c r="R12962" s="318"/>
      <c r="S12962" s="318"/>
      <c r="T12962" s="318"/>
      <c r="U12962" s="318"/>
      <c r="V12962" s="318"/>
      <c r="W12962" s="318"/>
      <c r="X12962" s="318"/>
      <c r="Y12962" s="318"/>
      <c r="Z12962" s="318"/>
      <c r="AA12962" s="318"/>
      <c r="AB12962" s="318"/>
      <c r="AC12962" s="318"/>
      <c r="AD12962" s="318"/>
    </row>
    <row r="12963" spans="2:30" s="323" customFormat="1" ht="12" customHeight="1">
      <c r="B12963" s="324"/>
      <c r="C12963" s="325"/>
      <c r="D12963" s="326"/>
      <c r="E12963" s="326"/>
      <c r="F12963" s="326"/>
      <c r="G12963" s="326"/>
      <c r="H12963" s="326"/>
      <c r="P12963" s="318"/>
      <c r="Q12963" s="318"/>
      <c r="R12963" s="318"/>
      <c r="S12963" s="318"/>
      <c r="T12963" s="318"/>
      <c r="U12963" s="318"/>
      <c r="V12963" s="318"/>
      <c r="W12963" s="318"/>
      <c r="X12963" s="318"/>
      <c r="Y12963" s="318"/>
      <c r="Z12963" s="318"/>
      <c r="AA12963" s="318"/>
      <c r="AB12963" s="318"/>
      <c r="AC12963" s="318"/>
      <c r="AD12963" s="318"/>
    </row>
    <row r="12964" spans="2:30" s="323" customFormat="1" ht="12" customHeight="1">
      <c r="B12964" s="324"/>
      <c r="C12964" s="325"/>
      <c r="D12964" s="326"/>
      <c r="E12964" s="326"/>
      <c r="F12964" s="326"/>
      <c r="G12964" s="326"/>
      <c r="H12964" s="326"/>
      <c r="P12964" s="318"/>
      <c r="Q12964" s="318"/>
      <c r="R12964" s="318"/>
      <c r="S12964" s="318"/>
      <c r="T12964" s="318"/>
      <c r="U12964" s="318"/>
      <c r="V12964" s="318"/>
      <c r="W12964" s="318"/>
      <c r="X12964" s="318"/>
      <c r="Y12964" s="318"/>
      <c r="Z12964" s="318"/>
      <c r="AA12964" s="318"/>
      <c r="AB12964" s="318"/>
      <c r="AC12964" s="318"/>
      <c r="AD12964" s="318"/>
    </row>
    <row r="12965" spans="2:30" s="323" customFormat="1" ht="12" customHeight="1">
      <c r="B12965" s="324"/>
      <c r="C12965" s="325"/>
      <c r="D12965" s="326"/>
      <c r="E12965" s="326"/>
      <c r="F12965" s="326"/>
      <c r="G12965" s="326"/>
      <c r="H12965" s="326"/>
      <c r="P12965" s="318"/>
      <c r="Q12965" s="318"/>
      <c r="R12965" s="318"/>
      <c r="S12965" s="318"/>
      <c r="T12965" s="318"/>
      <c r="U12965" s="318"/>
      <c r="V12965" s="318"/>
      <c r="W12965" s="318"/>
      <c r="X12965" s="318"/>
      <c r="Y12965" s="318"/>
      <c r="Z12965" s="318"/>
      <c r="AA12965" s="318"/>
      <c r="AB12965" s="318"/>
      <c r="AC12965" s="318"/>
      <c r="AD12965" s="318"/>
    </row>
    <row r="12966" spans="2:30" s="323" customFormat="1" ht="12" customHeight="1">
      <c r="B12966" s="324"/>
      <c r="C12966" s="325"/>
      <c r="D12966" s="326"/>
      <c r="E12966" s="326"/>
      <c r="F12966" s="326"/>
      <c r="G12966" s="326"/>
      <c r="H12966" s="326"/>
      <c r="P12966" s="318"/>
      <c r="Q12966" s="318"/>
      <c r="R12966" s="318"/>
      <c r="S12966" s="318"/>
      <c r="T12966" s="318"/>
      <c r="U12966" s="318"/>
      <c r="V12966" s="318"/>
      <c r="W12966" s="318"/>
      <c r="X12966" s="318"/>
      <c r="Y12966" s="318"/>
      <c r="Z12966" s="318"/>
      <c r="AA12966" s="318"/>
      <c r="AB12966" s="318"/>
      <c r="AC12966" s="318"/>
      <c r="AD12966" s="318"/>
    </row>
    <row r="12967" spans="2:30" s="323" customFormat="1" ht="12" customHeight="1">
      <c r="B12967" s="324"/>
      <c r="C12967" s="325"/>
      <c r="D12967" s="326"/>
      <c r="E12967" s="326"/>
      <c r="F12967" s="326"/>
      <c r="G12967" s="326"/>
      <c r="H12967" s="326"/>
      <c r="P12967" s="318"/>
      <c r="Q12967" s="318"/>
      <c r="R12967" s="318"/>
      <c r="S12967" s="318"/>
      <c r="T12967" s="318"/>
      <c r="U12967" s="318"/>
      <c r="V12967" s="318"/>
      <c r="W12967" s="318"/>
      <c r="X12967" s="318"/>
      <c r="Y12967" s="318"/>
      <c r="Z12967" s="318"/>
      <c r="AA12967" s="318"/>
      <c r="AB12967" s="318"/>
      <c r="AC12967" s="318"/>
      <c r="AD12967" s="318"/>
    </row>
    <row r="12968" spans="2:30" s="323" customFormat="1" ht="12" customHeight="1">
      <c r="B12968" s="324"/>
      <c r="C12968" s="325"/>
      <c r="D12968" s="326"/>
      <c r="E12968" s="326"/>
      <c r="F12968" s="326"/>
      <c r="G12968" s="326"/>
      <c r="H12968" s="326"/>
      <c r="P12968" s="318"/>
      <c r="Q12968" s="318"/>
      <c r="R12968" s="318"/>
      <c r="S12968" s="318"/>
      <c r="T12968" s="318"/>
      <c r="U12968" s="318"/>
      <c r="V12968" s="318"/>
      <c r="W12968" s="318"/>
      <c r="X12968" s="318"/>
      <c r="Y12968" s="318"/>
      <c r="Z12968" s="318"/>
      <c r="AA12968" s="318"/>
      <c r="AB12968" s="318"/>
      <c r="AC12968" s="318"/>
      <c r="AD12968" s="318"/>
    </row>
    <row r="12969" spans="2:30" s="323" customFormat="1" ht="12" customHeight="1">
      <c r="B12969" s="324"/>
      <c r="C12969" s="325"/>
      <c r="D12969" s="326"/>
      <c r="E12969" s="326"/>
      <c r="F12969" s="326"/>
      <c r="G12969" s="326"/>
      <c r="H12969" s="326"/>
      <c r="P12969" s="318"/>
      <c r="Q12969" s="318"/>
      <c r="R12969" s="318"/>
      <c r="S12969" s="318"/>
      <c r="T12969" s="318"/>
      <c r="U12969" s="318"/>
      <c r="V12969" s="318"/>
      <c r="W12969" s="318"/>
      <c r="X12969" s="318"/>
      <c r="Y12969" s="318"/>
      <c r="Z12969" s="318"/>
      <c r="AA12969" s="318"/>
      <c r="AB12969" s="318"/>
      <c r="AC12969" s="318"/>
      <c r="AD12969" s="318"/>
    </row>
    <row r="12970" spans="2:30" s="323" customFormat="1" ht="12" customHeight="1">
      <c r="B12970" s="324"/>
      <c r="C12970" s="325"/>
      <c r="D12970" s="326"/>
      <c r="E12970" s="326"/>
      <c r="F12970" s="326"/>
      <c r="G12970" s="326"/>
      <c r="H12970" s="326"/>
      <c r="P12970" s="318"/>
      <c r="Q12970" s="318"/>
      <c r="R12970" s="318"/>
      <c r="S12970" s="318"/>
      <c r="T12970" s="318"/>
      <c r="U12970" s="318"/>
      <c r="V12970" s="318"/>
      <c r="W12970" s="318"/>
      <c r="X12970" s="318"/>
      <c r="Y12970" s="318"/>
      <c r="Z12970" s="318"/>
      <c r="AA12970" s="318"/>
      <c r="AB12970" s="318"/>
      <c r="AC12970" s="318"/>
      <c r="AD12970" s="318"/>
    </row>
    <row r="12971" spans="2:30" s="323" customFormat="1" ht="12" customHeight="1">
      <c r="B12971" s="324"/>
      <c r="C12971" s="325"/>
      <c r="D12971" s="326"/>
      <c r="E12971" s="326"/>
      <c r="F12971" s="326"/>
      <c r="G12971" s="326"/>
      <c r="H12971" s="326"/>
      <c r="P12971" s="318"/>
      <c r="Q12971" s="318"/>
      <c r="R12971" s="318"/>
      <c r="S12971" s="318"/>
      <c r="T12971" s="318"/>
      <c r="U12971" s="318"/>
      <c r="V12971" s="318"/>
      <c r="W12971" s="318"/>
      <c r="X12971" s="318"/>
      <c r="Y12971" s="318"/>
      <c r="Z12971" s="318"/>
      <c r="AA12971" s="318"/>
      <c r="AB12971" s="318"/>
      <c r="AC12971" s="318"/>
      <c r="AD12971" s="318"/>
    </row>
    <row r="12972" spans="2:30" s="323" customFormat="1" ht="12" customHeight="1">
      <c r="B12972" s="324"/>
      <c r="C12972" s="325"/>
      <c r="D12972" s="326"/>
      <c r="E12972" s="326"/>
      <c r="F12972" s="326"/>
      <c r="G12972" s="326"/>
      <c r="H12972" s="326"/>
      <c r="P12972" s="318"/>
      <c r="Q12972" s="318"/>
      <c r="R12972" s="318"/>
      <c r="S12972" s="318"/>
      <c r="T12972" s="318"/>
      <c r="U12972" s="318"/>
      <c r="V12972" s="318"/>
      <c r="W12972" s="318"/>
      <c r="X12972" s="318"/>
      <c r="Y12972" s="318"/>
      <c r="Z12972" s="318"/>
      <c r="AA12972" s="318"/>
      <c r="AB12972" s="318"/>
      <c r="AC12972" s="318"/>
      <c r="AD12972" s="318"/>
    </row>
    <row r="12973" spans="2:30" s="323" customFormat="1" ht="12" customHeight="1">
      <c r="B12973" s="324"/>
      <c r="C12973" s="325"/>
      <c r="D12973" s="326"/>
      <c r="E12973" s="326"/>
      <c r="F12973" s="326"/>
      <c r="G12973" s="326"/>
      <c r="H12973" s="326"/>
      <c r="P12973" s="318"/>
      <c r="Q12973" s="318"/>
      <c r="R12973" s="318"/>
      <c r="S12973" s="318"/>
      <c r="T12973" s="318"/>
      <c r="U12973" s="318"/>
      <c r="V12973" s="318"/>
      <c r="W12973" s="318"/>
      <c r="X12973" s="318"/>
      <c r="Y12973" s="318"/>
      <c r="Z12973" s="318"/>
      <c r="AA12973" s="318"/>
      <c r="AB12973" s="318"/>
      <c r="AC12973" s="318"/>
      <c r="AD12973" s="318"/>
    </row>
    <row r="12974" spans="2:30" s="323" customFormat="1" ht="12" customHeight="1">
      <c r="B12974" s="324"/>
      <c r="C12974" s="325"/>
      <c r="D12974" s="326"/>
      <c r="E12974" s="326"/>
      <c r="F12974" s="326"/>
      <c r="G12974" s="326"/>
      <c r="H12974" s="326"/>
      <c r="P12974" s="318"/>
      <c r="Q12974" s="318"/>
      <c r="R12974" s="318"/>
      <c r="S12974" s="318"/>
      <c r="T12974" s="318"/>
      <c r="U12974" s="318"/>
      <c r="V12974" s="318"/>
      <c r="W12974" s="318"/>
      <c r="X12974" s="318"/>
      <c r="Y12974" s="318"/>
      <c r="Z12974" s="318"/>
      <c r="AA12974" s="318"/>
      <c r="AB12974" s="318"/>
      <c r="AC12974" s="318"/>
      <c r="AD12974" s="318"/>
    </row>
    <row r="12975" spans="2:30" s="323" customFormat="1" ht="12" customHeight="1">
      <c r="B12975" s="324"/>
      <c r="C12975" s="325"/>
      <c r="D12975" s="326"/>
      <c r="E12975" s="326"/>
      <c r="F12975" s="326"/>
      <c r="G12975" s="326"/>
      <c r="H12975" s="326"/>
      <c r="P12975" s="318"/>
      <c r="Q12975" s="318"/>
      <c r="R12975" s="318"/>
      <c r="S12975" s="318"/>
      <c r="T12975" s="318"/>
      <c r="U12975" s="318"/>
      <c r="V12975" s="318"/>
      <c r="W12975" s="318"/>
      <c r="X12975" s="318"/>
      <c r="Y12975" s="318"/>
      <c r="Z12975" s="318"/>
      <c r="AA12975" s="318"/>
      <c r="AB12975" s="318"/>
      <c r="AC12975" s="318"/>
      <c r="AD12975" s="318"/>
    </row>
    <row r="12976" spans="2:30" s="323" customFormat="1" ht="12" customHeight="1">
      <c r="B12976" s="324"/>
      <c r="C12976" s="325"/>
      <c r="D12976" s="326"/>
      <c r="E12976" s="326"/>
      <c r="F12976" s="326"/>
      <c r="G12976" s="326"/>
      <c r="H12976" s="326"/>
      <c r="P12976" s="318"/>
      <c r="Q12976" s="318"/>
      <c r="R12976" s="318"/>
      <c r="S12976" s="318"/>
      <c r="T12976" s="318"/>
      <c r="U12976" s="318"/>
      <c r="V12976" s="318"/>
      <c r="W12976" s="318"/>
      <c r="X12976" s="318"/>
      <c r="Y12976" s="318"/>
      <c r="Z12976" s="318"/>
      <c r="AA12976" s="318"/>
      <c r="AB12976" s="318"/>
      <c r="AC12976" s="318"/>
      <c r="AD12976" s="318"/>
    </row>
    <row r="12977" spans="2:30" s="323" customFormat="1" ht="12" customHeight="1">
      <c r="B12977" s="324"/>
      <c r="C12977" s="325"/>
      <c r="D12977" s="326"/>
      <c r="E12977" s="326"/>
      <c r="F12977" s="326"/>
      <c r="G12977" s="326"/>
      <c r="H12977" s="326"/>
      <c r="P12977" s="318"/>
      <c r="Q12977" s="318"/>
      <c r="R12977" s="318"/>
      <c r="S12977" s="318"/>
      <c r="T12977" s="318"/>
      <c r="U12977" s="318"/>
      <c r="V12977" s="318"/>
      <c r="W12977" s="318"/>
      <c r="X12977" s="318"/>
      <c r="Y12977" s="318"/>
      <c r="Z12977" s="318"/>
      <c r="AA12977" s="318"/>
      <c r="AB12977" s="318"/>
      <c r="AC12977" s="318"/>
      <c r="AD12977" s="318"/>
    </row>
    <row r="12978" spans="2:30" s="323" customFormat="1" ht="12" customHeight="1">
      <c r="B12978" s="324"/>
      <c r="C12978" s="325"/>
      <c r="D12978" s="326"/>
      <c r="E12978" s="326"/>
      <c r="F12978" s="326"/>
      <c r="G12978" s="326"/>
      <c r="H12978" s="326"/>
      <c r="P12978" s="318"/>
      <c r="Q12978" s="318"/>
      <c r="R12978" s="318"/>
      <c r="S12978" s="318"/>
      <c r="T12978" s="318"/>
      <c r="U12978" s="318"/>
      <c r="V12978" s="318"/>
      <c r="W12978" s="318"/>
      <c r="X12978" s="318"/>
      <c r="Y12978" s="318"/>
      <c r="Z12978" s="318"/>
      <c r="AA12978" s="318"/>
      <c r="AB12978" s="318"/>
      <c r="AC12978" s="318"/>
      <c r="AD12978" s="318"/>
    </row>
    <row r="12979" spans="2:30" s="323" customFormat="1" ht="12" customHeight="1">
      <c r="B12979" s="324"/>
      <c r="C12979" s="325"/>
      <c r="D12979" s="326"/>
      <c r="E12979" s="326"/>
      <c r="F12979" s="326"/>
      <c r="G12979" s="326"/>
      <c r="H12979" s="326"/>
      <c r="P12979" s="318"/>
      <c r="Q12979" s="318"/>
      <c r="R12979" s="318"/>
      <c r="S12979" s="318"/>
      <c r="T12979" s="318"/>
      <c r="U12979" s="318"/>
      <c r="V12979" s="318"/>
      <c r="W12979" s="318"/>
      <c r="X12979" s="318"/>
      <c r="Y12979" s="318"/>
      <c r="Z12979" s="318"/>
      <c r="AA12979" s="318"/>
      <c r="AB12979" s="318"/>
      <c r="AC12979" s="318"/>
      <c r="AD12979" s="318"/>
    </row>
    <row r="12980" spans="2:30" s="323" customFormat="1" ht="12" customHeight="1">
      <c r="B12980" s="324"/>
      <c r="C12980" s="325"/>
      <c r="D12980" s="326"/>
      <c r="E12980" s="326"/>
      <c r="F12980" s="326"/>
      <c r="G12980" s="326"/>
      <c r="H12980" s="326"/>
      <c r="P12980" s="318"/>
      <c r="Q12980" s="318"/>
      <c r="R12980" s="318"/>
      <c r="S12980" s="318"/>
      <c r="T12980" s="318"/>
      <c r="U12980" s="318"/>
      <c r="V12980" s="318"/>
      <c r="W12980" s="318"/>
      <c r="X12980" s="318"/>
      <c r="Y12980" s="318"/>
      <c r="Z12980" s="318"/>
      <c r="AA12980" s="318"/>
      <c r="AB12980" s="318"/>
      <c r="AC12980" s="318"/>
      <c r="AD12980" s="318"/>
    </row>
    <row r="12981" spans="2:30" s="323" customFormat="1" ht="12" customHeight="1">
      <c r="B12981" s="324"/>
      <c r="C12981" s="325"/>
      <c r="D12981" s="326"/>
      <c r="E12981" s="326"/>
      <c r="F12981" s="326"/>
      <c r="G12981" s="326"/>
      <c r="H12981" s="326"/>
      <c r="P12981" s="318"/>
      <c r="Q12981" s="318"/>
      <c r="R12981" s="318"/>
      <c r="S12981" s="318"/>
      <c r="T12981" s="318"/>
      <c r="U12981" s="318"/>
      <c r="V12981" s="318"/>
      <c r="W12981" s="318"/>
      <c r="X12981" s="318"/>
      <c r="Y12981" s="318"/>
      <c r="Z12981" s="318"/>
      <c r="AA12981" s="318"/>
      <c r="AB12981" s="318"/>
      <c r="AC12981" s="318"/>
      <c r="AD12981" s="318"/>
    </row>
    <row r="12982" spans="2:30" s="323" customFormat="1" ht="12" customHeight="1">
      <c r="B12982" s="324"/>
      <c r="C12982" s="325"/>
      <c r="D12982" s="326"/>
      <c r="E12982" s="326"/>
      <c r="F12982" s="326"/>
      <c r="G12982" s="326"/>
      <c r="H12982" s="326"/>
      <c r="P12982" s="318"/>
      <c r="Q12982" s="318"/>
      <c r="R12982" s="318"/>
      <c r="S12982" s="318"/>
      <c r="T12982" s="318"/>
      <c r="U12982" s="318"/>
      <c r="V12982" s="318"/>
      <c r="W12982" s="318"/>
      <c r="X12982" s="318"/>
      <c r="Y12982" s="318"/>
      <c r="Z12982" s="318"/>
      <c r="AA12982" s="318"/>
      <c r="AB12982" s="318"/>
      <c r="AC12982" s="318"/>
      <c r="AD12982" s="318"/>
    </row>
    <row r="12983" spans="2:30" s="323" customFormat="1" ht="12" customHeight="1">
      <c r="B12983" s="324"/>
      <c r="C12983" s="325"/>
      <c r="D12983" s="326"/>
      <c r="E12983" s="326"/>
      <c r="F12983" s="326"/>
      <c r="G12983" s="326"/>
      <c r="H12983" s="326"/>
      <c r="P12983" s="318"/>
      <c r="Q12983" s="318"/>
      <c r="R12983" s="318"/>
      <c r="S12983" s="318"/>
      <c r="T12983" s="318"/>
      <c r="U12983" s="318"/>
      <c r="V12983" s="318"/>
      <c r="W12983" s="318"/>
      <c r="X12983" s="318"/>
      <c r="Y12983" s="318"/>
      <c r="Z12983" s="318"/>
      <c r="AA12983" s="318"/>
      <c r="AB12983" s="318"/>
      <c r="AC12983" s="318"/>
      <c r="AD12983" s="318"/>
    </row>
    <row r="12984" spans="2:30" s="323" customFormat="1" ht="12" customHeight="1">
      <c r="B12984" s="324"/>
      <c r="C12984" s="325"/>
      <c r="D12984" s="326"/>
      <c r="E12984" s="326"/>
      <c r="F12984" s="326"/>
      <c r="G12984" s="326"/>
      <c r="H12984" s="326"/>
      <c r="P12984" s="318"/>
      <c r="Q12984" s="318"/>
      <c r="R12984" s="318"/>
      <c r="S12984" s="318"/>
      <c r="T12984" s="318"/>
      <c r="U12984" s="318"/>
      <c r="V12984" s="318"/>
      <c r="W12984" s="318"/>
      <c r="X12984" s="318"/>
      <c r="Y12984" s="318"/>
      <c r="Z12984" s="318"/>
      <c r="AA12984" s="318"/>
      <c r="AB12984" s="318"/>
      <c r="AC12984" s="318"/>
      <c r="AD12984" s="318"/>
    </row>
    <row r="12985" spans="2:30" s="323" customFormat="1" ht="12" customHeight="1">
      <c r="B12985" s="324"/>
      <c r="C12985" s="325"/>
      <c r="D12985" s="326"/>
      <c r="E12985" s="326"/>
      <c r="F12985" s="326"/>
      <c r="G12985" s="326"/>
      <c r="H12985" s="326"/>
      <c r="P12985" s="318"/>
      <c r="Q12985" s="318"/>
      <c r="R12985" s="318"/>
      <c r="S12985" s="318"/>
      <c r="T12985" s="318"/>
      <c r="U12985" s="318"/>
      <c r="V12985" s="318"/>
      <c r="W12985" s="318"/>
      <c r="X12985" s="318"/>
      <c r="Y12985" s="318"/>
      <c r="Z12985" s="318"/>
      <c r="AA12985" s="318"/>
      <c r="AB12985" s="318"/>
      <c r="AC12985" s="318"/>
      <c r="AD12985" s="318"/>
    </row>
    <row r="12986" spans="2:30" s="323" customFormat="1" ht="12" customHeight="1">
      <c r="B12986" s="324"/>
      <c r="C12986" s="325"/>
      <c r="D12986" s="326"/>
      <c r="E12986" s="326"/>
      <c r="F12986" s="326"/>
      <c r="G12986" s="326"/>
      <c r="H12986" s="326"/>
      <c r="P12986" s="318"/>
      <c r="Q12986" s="318"/>
      <c r="R12986" s="318"/>
      <c r="S12986" s="318"/>
      <c r="T12986" s="318"/>
      <c r="U12986" s="318"/>
      <c r="V12986" s="318"/>
      <c r="W12986" s="318"/>
      <c r="X12986" s="318"/>
      <c r="Y12986" s="318"/>
      <c r="Z12986" s="318"/>
      <c r="AA12986" s="318"/>
      <c r="AB12986" s="318"/>
      <c r="AC12986" s="318"/>
      <c r="AD12986" s="318"/>
    </row>
    <row r="12987" spans="2:30" s="323" customFormat="1" ht="12" customHeight="1">
      <c r="B12987" s="324"/>
      <c r="C12987" s="325"/>
      <c r="D12987" s="326"/>
      <c r="E12987" s="326"/>
      <c r="F12987" s="326"/>
      <c r="G12987" s="326"/>
      <c r="H12987" s="326"/>
      <c r="P12987" s="318"/>
      <c r="Q12987" s="318"/>
      <c r="R12987" s="318"/>
      <c r="S12987" s="318"/>
      <c r="T12987" s="318"/>
      <c r="U12987" s="318"/>
      <c r="V12987" s="318"/>
      <c r="W12987" s="318"/>
      <c r="X12987" s="318"/>
      <c r="Y12987" s="318"/>
      <c r="Z12987" s="318"/>
      <c r="AA12987" s="318"/>
      <c r="AB12987" s="318"/>
      <c r="AC12987" s="318"/>
      <c r="AD12987" s="318"/>
    </row>
    <row r="12988" spans="2:30" s="323" customFormat="1" ht="12" customHeight="1">
      <c r="B12988" s="324"/>
      <c r="C12988" s="325"/>
      <c r="D12988" s="326"/>
      <c r="E12988" s="326"/>
      <c r="F12988" s="326"/>
      <c r="G12988" s="326"/>
      <c r="H12988" s="326"/>
      <c r="P12988" s="318"/>
      <c r="Q12988" s="318"/>
      <c r="R12988" s="318"/>
      <c r="S12988" s="318"/>
      <c r="T12988" s="318"/>
      <c r="U12988" s="318"/>
      <c r="V12988" s="318"/>
      <c r="W12988" s="318"/>
      <c r="X12988" s="318"/>
      <c r="Y12988" s="318"/>
      <c r="Z12988" s="318"/>
      <c r="AA12988" s="318"/>
      <c r="AB12988" s="318"/>
      <c r="AC12988" s="318"/>
      <c r="AD12988" s="318"/>
    </row>
    <row r="12989" spans="2:30" s="323" customFormat="1" ht="12" customHeight="1">
      <c r="B12989" s="324"/>
      <c r="C12989" s="325"/>
      <c r="D12989" s="326"/>
      <c r="E12989" s="326"/>
      <c r="F12989" s="326"/>
      <c r="G12989" s="326"/>
      <c r="H12989" s="326"/>
      <c r="P12989" s="318"/>
      <c r="Q12989" s="318"/>
      <c r="R12989" s="318"/>
      <c r="S12989" s="318"/>
      <c r="T12989" s="318"/>
      <c r="U12989" s="318"/>
      <c r="V12989" s="318"/>
      <c r="W12989" s="318"/>
      <c r="X12989" s="318"/>
      <c r="Y12989" s="318"/>
      <c r="Z12989" s="318"/>
      <c r="AA12989" s="318"/>
      <c r="AB12989" s="318"/>
      <c r="AC12989" s="318"/>
      <c r="AD12989" s="318"/>
    </row>
    <row r="12990" spans="2:30" s="323" customFormat="1" ht="12" customHeight="1">
      <c r="B12990" s="324"/>
      <c r="C12990" s="325"/>
      <c r="D12990" s="326"/>
      <c r="E12990" s="326"/>
      <c r="F12990" s="326"/>
      <c r="G12990" s="326"/>
      <c r="H12990" s="326"/>
      <c r="P12990" s="318"/>
      <c r="Q12990" s="318"/>
      <c r="R12990" s="318"/>
      <c r="S12990" s="318"/>
      <c r="T12990" s="318"/>
      <c r="U12990" s="318"/>
      <c r="V12990" s="318"/>
      <c r="W12990" s="318"/>
      <c r="X12990" s="318"/>
      <c r="Y12990" s="318"/>
      <c r="Z12990" s="318"/>
      <c r="AA12990" s="318"/>
      <c r="AB12990" s="318"/>
      <c r="AC12990" s="318"/>
      <c r="AD12990" s="318"/>
    </row>
    <row r="12991" spans="2:30" s="323" customFormat="1" ht="12" customHeight="1">
      <c r="B12991" s="324"/>
      <c r="C12991" s="325"/>
      <c r="D12991" s="326"/>
      <c r="E12991" s="326"/>
      <c r="F12991" s="326"/>
      <c r="G12991" s="326"/>
      <c r="H12991" s="326"/>
      <c r="P12991" s="318"/>
      <c r="Q12991" s="318"/>
      <c r="R12991" s="318"/>
      <c r="S12991" s="318"/>
      <c r="T12991" s="318"/>
      <c r="U12991" s="318"/>
      <c r="V12991" s="318"/>
      <c r="W12991" s="318"/>
      <c r="X12991" s="318"/>
      <c r="Y12991" s="318"/>
      <c r="Z12991" s="318"/>
      <c r="AA12991" s="318"/>
      <c r="AB12991" s="318"/>
      <c r="AC12991" s="318"/>
      <c r="AD12991" s="318"/>
    </row>
    <row r="12992" spans="2:30" s="323" customFormat="1" ht="12" customHeight="1">
      <c r="B12992" s="324"/>
      <c r="C12992" s="325"/>
      <c r="D12992" s="326"/>
      <c r="E12992" s="326"/>
      <c r="F12992" s="326"/>
      <c r="G12992" s="326"/>
      <c r="H12992" s="326"/>
      <c r="P12992" s="318"/>
      <c r="Q12992" s="318"/>
      <c r="R12992" s="318"/>
      <c r="S12992" s="318"/>
      <c r="T12992" s="318"/>
      <c r="U12992" s="318"/>
      <c r="V12992" s="318"/>
      <c r="W12992" s="318"/>
      <c r="X12992" s="318"/>
      <c r="Y12992" s="318"/>
      <c r="Z12992" s="318"/>
      <c r="AA12992" s="318"/>
      <c r="AB12992" s="318"/>
      <c r="AC12992" s="318"/>
      <c r="AD12992" s="318"/>
    </row>
    <row r="12993" spans="2:30" s="323" customFormat="1" ht="12" customHeight="1">
      <c r="B12993" s="324"/>
      <c r="C12993" s="325"/>
      <c r="D12993" s="326"/>
      <c r="E12993" s="326"/>
      <c r="F12993" s="326"/>
      <c r="G12993" s="326"/>
      <c r="H12993" s="326"/>
      <c r="P12993" s="318"/>
      <c r="Q12993" s="318"/>
      <c r="R12993" s="318"/>
      <c r="S12993" s="318"/>
      <c r="T12993" s="318"/>
      <c r="U12993" s="318"/>
      <c r="V12993" s="318"/>
      <c r="W12993" s="318"/>
      <c r="X12993" s="318"/>
      <c r="Y12993" s="318"/>
      <c r="Z12993" s="318"/>
      <c r="AA12993" s="318"/>
      <c r="AB12993" s="318"/>
      <c r="AC12993" s="318"/>
      <c r="AD12993" s="318"/>
    </row>
    <row r="12994" spans="2:30" s="323" customFormat="1" ht="12" customHeight="1">
      <c r="B12994" s="324"/>
      <c r="C12994" s="325"/>
      <c r="D12994" s="326"/>
      <c r="E12994" s="326"/>
      <c r="F12994" s="326"/>
      <c r="G12994" s="326"/>
      <c r="H12994" s="326"/>
      <c r="P12994" s="318"/>
      <c r="Q12994" s="318"/>
      <c r="R12994" s="318"/>
      <c r="S12994" s="318"/>
      <c r="T12994" s="318"/>
      <c r="U12994" s="318"/>
      <c r="V12994" s="318"/>
      <c r="W12994" s="318"/>
      <c r="X12994" s="318"/>
      <c r="Y12994" s="318"/>
      <c r="Z12994" s="318"/>
      <c r="AA12994" s="318"/>
      <c r="AB12994" s="318"/>
      <c r="AC12994" s="318"/>
      <c r="AD12994" s="318"/>
    </row>
    <row r="12995" spans="2:30" s="323" customFormat="1" ht="12" customHeight="1">
      <c r="B12995" s="324"/>
      <c r="C12995" s="325"/>
      <c r="D12995" s="326"/>
      <c r="E12995" s="326"/>
      <c r="F12995" s="326"/>
      <c r="G12995" s="326"/>
      <c r="H12995" s="326"/>
      <c r="P12995" s="318"/>
      <c r="Q12995" s="318"/>
      <c r="R12995" s="318"/>
      <c r="S12995" s="318"/>
      <c r="T12995" s="318"/>
      <c r="U12995" s="318"/>
      <c r="V12995" s="318"/>
      <c r="W12995" s="318"/>
      <c r="X12995" s="318"/>
      <c r="Y12995" s="318"/>
      <c r="Z12995" s="318"/>
      <c r="AA12995" s="318"/>
      <c r="AB12995" s="318"/>
      <c r="AC12995" s="318"/>
      <c r="AD12995" s="318"/>
    </row>
    <row r="12996" spans="2:30" s="323" customFormat="1" ht="12" customHeight="1">
      <c r="B12996" s="324"/>
      <c r="C12996" s="325"/>
      <c r="D12996" s="326"/>
      <c r="E12996" s="326"/>
      <c r="F12996" s="326"/>
      <c r="G12996" s="326"/>
      <c r="H12996" s="326"/>
      <c r="P12996" s="318"/>
      <c r="Q12996" s="318"/>
      <c r="R12996" s="318"/>
      <c r="S12996" s="318"/>
      <c r="T12996" s="318"/>
      <c r="U12996" s="318"/>
      <c r="V12996" s="318"/>
      <c r="W12996" s="318"/>
      <c r="X12996" s="318"/>
      <c r="Y12996" s="318"/>
      <c r="Z12996" s="318"/>
      <c r="AA12996" s="318"/>
      <c r="AB12996" s="318"/>
      <c r="AC12996" s="318"/>
      <c r="AD12996" s="318"/>
    </row>
    <row r="12997" spans="2:30" s="323" customFormat="1" ht="12" customHeight="1">
      <c r="B12997" s="324"/>
      <c r="C12997" s="325"/>
      <c r="D12997" s="326"/>
      <c r="E12997" s="326"/>
      <c r="F12997" s="326"/>
      <c r="G12997" s="326"/>
      <c r="H12997" s="326"/>
      <c r="P12997" s="318"/>
      <c r="Q12997" s="318"/>
      <c r="R12997" s="318"/>
      <c r="S12997" s="318"/>
      <c r="T12997" s="318"/>
      <c r="U12997" s="318"/>
      <c r="V12997" s="318"/>
      <c r="W12997" s="318"/>
      <c r="X12997" s="318"/>
      <c r="Y12997" s="318"/>
      <c r="Z12997" s="318"/>
      <c r="AA12997" s="318"/>
      <c r="AB12997" s="318"/>
      <c r="AC12997" s="318"/>
      <c r="AD12997" s="318"/>
    </row>
    <row r="12998" spans="2:30" s="323" customFormat="1" ht="12" customHeight="1">
      <c r="B12998" s="324"/>
      <c r="C12998" s="325"/>
      <c r="D12998" s="326"/>
      <c r="E12998" s="326"/>
      <c r="F12998" s="326"/>
      <c r="G12998" s="326"/>
      <c r="H12998" s="326"/>
      <c r="P12998" s="318"/>
      <c r="Q12998" s="318"/>
      <c r="R12998" s="318"/>
      <c r="S12998" s="318"/>
      <c r="T12998" s="318"/>
      <c r="U12998" s="318"/>
      <c r="V12998" s="318"/>
      <c r="W12998" s="318"/>
      <c r="X12998" s="318"/>
      <c r="Y12998" s="318"/>
      <c r="Z12998" s="318"/>
      <c r="AA12998" s="318"/>
      <c r="AB12998" s="318"/>
      <c r="AC12998" s="318"/>
      <c r="AD12998" s="318"/>
    </row>
    <row r="12999" spans="2:30" s="323" customFormat="1" ht="12" customHeight="1">
      <c r="B12999" s="324"/>
      <c r="C12999" s="325"/>
      <c r="D12999" s="326"/>
      <c r="E12999" s="326"/>
      <c r="F12999" s="326"/>
      <c r="G12999" s="326"/>
      <c r="H12999" s="326"/>
      <c r="P12999" s="318"/>
      <c r="Q12999" s="318"/>
      <c r="R12999" s="318"/>
      <c r="S12999" s="318"/>
      <c r="T12999" s="318"/>
      <c r="U12999" s="318"/>
      <c r="V12999" s="318"/>
      <c r="W12999" s="318"/>
      <c r="X12999" s="318"/>
      <c r="Y12999" s="318"/>
      <c r="Z12999" s="318"/>
      <c r="AA12999" s="318"/>
      <c r="AB12999" s="318"/>
      <c r="AC12999" s="318"/>
      <c r="AD12999" s="318"/>
    </row>
    <row r="13000" spans="2:30" s="323" customFormat="1" ht="12" customHeight="1">
      <c r="B13000" s="324"/>
      <c r="C13000" s="325"/>
      <c r="D13000" s="326"/>
      <c r="E13000" s="326"/>
      <c r="F13000" s="326"/>
      <c r="G13000" s="326"/>
      <c r="H13000" s="326"/>
      <c r="P13000" s="318"/>
      <c r="Q13000" s="318"/>
      <c r="R13000" s="318"/>
      <c r="S13000" s="318"/>
      <c r="T13000" s="318"/>
      <c r="U13000" s="318"/>
      <c r="V13000" s="318"/>
      <c r="W13000" s="318"/>
      <c r="X13000" s="318"/>
      <c r="Y13000" s="318"/>
      <c r="Z13000" s="318"/>
      <c r="AA13000" s="318"/>
      <c r="AB13000" s="318"/>
      <c r="AC13000" s="318"/>
      <c r="AD13000" s="318"/>
    </row>
    <row r="13001" spans="2:30" s="323" customFormat="1" ht="12" customHeight="1">
      <c r="B13001" s="324"/>
      <c r="C13001" s="325"/>
      <c r="D13001" s="326"/>
      <c r="E13001" s="326"/>
      <c r="F13001" s="326"/>
      <c r="G13001" s="326"/>
      <c r="H13001" s="326"/>
      <c r="P13001" s="318"/>
      <c r="Q13001" s="318"/>
      <c r="R13001" s="318"/>
      <c r="S13001" s="318"/>
      <c r="T13001" s="318"/>
      <c r="U13001" s="318"/>
      <c r="V13001" s="318"/>
      <c r="W13001" s="318"/>
      <c r="X13001" s="318"/>
      <c r="Y13001" s="318"/>
      <c r="Z13001" s="318"/>
      <c r="AA13001" s="318"/>
      <c r="AB13001" s="318"/>
      <c r="AC13001" s="318"/>
      <c r="AD13001" s="318"/>
    </row>
    <row r="13002" spans="2:30" s="323" customFormat="1" ht="12" customHeight="1">
      <c r="B13002" s="324"/>
      <c r="C13002" s="325"/>
      <c r="D13002" s="326"/>
      <c r="E13002" s="326"/>
      <c r="F13002" s="326"/>
      <c r="G13002" s="326"/>
      <c r="H13002" s="326"/>
      <c r="P13002" s="318"/>
      <c r="Q13002" s="318"/>
      <c r="R13002" s="318"/>
      <c r="S13002" s="318"/>
      <c r="T13002" s="318"/>
      <c r="U13002" s="318"/>
      <c r="V13002" s="318"/>
      <c r="W13002" s="318"/>
      <c r="X13002" s="318"/>
      <c r="Y13002" s="318"/>
      <c r="Z13002" s="318"/>
      <c r="AA13002" s="318"/>
      <c r="AB13002" s="318"/>
      <c r="AC13002" s="318"/>
      <c r="AD13002" s="318"/>
    </row>
    <row r="13003" spans="2:30" s="323" customFormat="1" ht="12" customHeight="1">
      <c r="B13003" s="324"/>
      <c r="C13003" s="325"/>
      <c r="D13003" s="326"/>
      <c r="E13003" s="326"/>
      <c r="F13003" s="326"/>
      <c r="G13003" s="326"/>
      <c r="H13003" s="326"/>
      <c r="P13003" s="318"/>
      <c r="Q13003" s="318"/>
      <c r="R13003" s="318"/>
      <c r="S13003" s="318"/>
      <c r="T13003" s="318"/>
      <c r="U13003" s="318"/>
      <c r="V13003" s="318"/>
      <c r="W13003" s="318"/>
      <c r="X13003" s="318"/>
      <c r="Y13003" s="318"/>
      <c r="Z13003" s="318"/>
      <c r="AA13003" s="318"/>
      <c r="AB13003" s="318"/>
      <c r="AC13003" s="318"/>
      <c r="AD13003" s="318"/>
    </row>
    <row r="13004" spans="2:30" s="323" customFormat="1" ht="12" customHeight="1">
      <c r="B13004" s="324"/>
      <c r="C13004" s="325"/>
      <c r="D13004" s="326"/>
      <c r="E13004" s="326"/>
      <c r="F13004" s="326"/>
      <c r="G13004" s="326"/>
      <c r="H13004" s="326"/>
      <c r="P13004" s="318"/>
      <c r="Q13004" s="318"/>
      <c r="R13004" s="318"/>
      <c r="S13004" s="318"/>
      <c r="T13004" s="318"/>
      <c r="U13004" s="318"/>
      <c r="V13004" s="318"/>
      <c r="W13004" s="318"/>
      <c r="X13004" s="318"/>
      <c r="Y13004" s="318"/>
      <c r="Z13004" s="318"/>
      <c r="AA13004" s="318"/>
      <c r="AB13004" s="318"/>
      <c r="AC13004" s="318"/>
      <c r="AD13004" s="318"/>
    </row>
    <row r="13005" spans="2:30" s="323" customFormat="1" ht="12" customHeight="1">
      <c r="B13005" s="324"/>
      <c r="C13005" s="325"/>
      <c r="D13005" s="326"/>
      <c r="E13005" s="326"/>
      <c r="F13005" s="326"/>
      <c r="G13005" s="326"/>
      <c r="H13005" s="326"/>
      <c r="P13005" s="318"/>
      <c r="Q13005" s="318"/>
      <c r="R13005" s="318"/>
      <c r="S13005" s="318"/>
      <c r="T13005" s="318"/>
      <c r="U13005" s="318"/>
      <c r="V13005" s="318"/>
      <c r="W13005" s="318"/>
      <c r="X13005" s="318"/>
      <c r="Y13005" s="318"/>
      <c r="Z13005" s="318"/>
      <c r="AA13005" s="318"/>
      <c r="AB13005" s="318"/>
      <c r="AC13005" s="318"/>
      <c r="AD13005" s="318"/>
    </row>
    <row r="13006" spans="2:30" s="323" customFormat="1" ht="12" customHeight="1">
      <c r="B13006" s="324"/>
      <c r="C13006" s="325"/>
      <c r="D13006" s="326"/>
      <c r="E13006" s="326"/>
      <c r="F13006" s="326"/>
      <c r="G13006" s="326"/>
      <c r="H13006" s="326"/>
      <c r="P13006" s="318"/>
      <c r="Q13006" s="318"/>
      <c r="R13006" s="318"/>
      <c r="S13006" s="318"/>
      <c r="T13006" s="318"/>
      <c r="U13006" s="318"/>
      <c r="V13006" s="318"/>
      <c r="W13006" s="318"/>
      <c r="X13006" s="318"/>
      <c r="Y13006" s="318"/>
      <c r="Z13006" s="318"/>
      <c r="AA13006" s="318"/>
      <c r="AB13006" s="318"/>
      <c r="AC13006" s="318"/>
      <c r="AD13006" s="318"/>
    </row>
    <row r="13007" spans="2:30" s="323" customFormat="1" ht="12" customHeight="1">
      <c r="B13007" s="324"/>
      <c r="C13007" s="325"/>
      <c r="D13007" s="326"/>
      <c r="E13007" s="326"/>
      <c r="F13007" s="326"/>
      <c r="G13007" s="326"/>
      <c r="H13007" s="326"/>
      <c r="P13007" s="318"/>
      <c r="Q13007" s="318"/>
      <c r="R13007" s="318"/>
      <c r="S13007" s="318"/>
      <c r="T13007" s="318"/>
      <c r="U13007" s="318"/>
      <c r="V13007" s="318"/>
      <c r="W13007" s="318"/>
      <c r="X13007" s="318"/>
      <c r="Y13007" s="318"/>
      <c r="Z13007" s="318"/>
      <c r="AA13007" s="318"/>
      <c r="AB13007" s="318"/>
      <c r="AC13007" s="318"/>
      <c r="AD13007" s="318"/>
    </row>
    <row r="13008" spans="2:30" s="323" customFormat="1" ht="12" customHeight="1">
      <c r="B13008" s="324"/>
      <c r="C13008" s="325"/>
      <c r="D13008" s="326"/>
      <c r="E13008" s="326"/>
      <c r="F13008" s="326"/>
      <c r="G13008" s="326"/>
      <c r="H13008" s="326"/>
      <c r="P13008" s="318"/>
      <c r="Q13008" s="318"/>
      <c r="R13008" s="318"/>
      <c r="S13008" s="318"/>
      <c r="T13008" s="318"/>
      <c r="U13008" s="318"/>
      <c r="V13008" s="318"/>
      <c r="W13008" s="318"/>
      <c r="X13008" s="318"/>
      <c r="Y13008" s="318"/>
      <c r="Z13008" s="318"/>
      <c r="AA13008" s="318"/>
      <c r="AB13008" s="318"/>
      <c r="AC13008" s="318"/>
      <c r="AD13008" s="318"/>
    </row>
    <row r="13009" spans="2:30" s="323" customFormat="1" ht="12" customHeight="1">
      <c r="B13009" s="324"/>
      <c r="C13009" s="325"/>
      <c r="D13009" s="326"/>
      <c r="E13009" s="326"/>
      <c r="F13009" s="326"/>
      <c r="G13009" s="326"/>
      <c r="H13009" s="326"/>
      <c r="P13009" s="318"/>
      <c r="Q13009" s="318"/>
      <c r="R13009" s="318"/>
      <c r="S13009" s="318"/>
      <c r="T13009" s="318"/>
      <c r="U13009" s="318"/>
      <c r="V13009" s="318"/>
      <c r="W13009" s="318"/>
      <c r="X13009" s="318"/>
      <c r="Y13009" s="318"/>
      <c r="Z13009" s="318"/>
      <c r="AA13009" s="318"/>
      <c r="AB13009" s="318"/>
      <c r="AC13009" s="318"/>
      <c r="AD13009" s="318"/>
    </row>
    <row r="13010" spans="2:30" s="323" customFormat="1" ht="12" customHeight="1">
      <c r="B13010" s="324"/>
      <c r="C13010" s="325"/>
      <c r="D13010" s="326"/>
      <c r="E13010" s="326"/>
      <c r="F13010" s="326"/>
      <c r="G13010" s="326"/>
      <c r="H13010" s="326"/>
      <c r="P13010" s="318"/>
      <c r="Q13010" s="318"/>
      <c r="R13010" s="318"/>
      <c r="S13010" s="318"/>
      <c r="T13010" s="318"/>
      <c r="U13010" s="318"/>
      <c r="V13010" s="318"/>
      <c r="W13010" s="318"/>
      <c r="X13010" s="318"/>
      <c r="Y13010" s="318"/>
      <c r="Z13010" s="318"/>
      <c r="AA13010" s="318"/>
      <c r="AB13010" s="318"/>
      <c r="AC13010" s="318"/>
      <c r="AD13010" s="318"/>
    </row>
    <row r="13011" spans="2:30" s="323" customFormat="1" ht="12" customHeight="1">
      <c r="B13011" s="324"/>
      <c r="C13011" s="325"/>
      <c r="D13011" s="326"/>
      <c r="E13011" s="326"/>
      <c r="F13011" s="326"/>
      <c r="G13011" s="326"/>
      <c r="H13011" s="326"/>
      <c r="P13011" s="318"/>
      <c r="Q13011" s="318"/>
      <c r="R13011" s="318"/>
      <c r="S13011" s="318"/>
      <c r="T13011" s="318"/>
      <c r="U13011" s="318"/>
      <c r="V13011" s="318"/>
      <c r="W13011" s="318"/>
      <c r="X13011" s="318"/>
      <c r="Y13011" s="318"/>
      <c r="Z13011" s="318"/>
      <c r="AA13011" s="318"/>
      <c r="AB13011" s="318"/>
      <c r="AC13011" s="318"/>
      <c r="AD13011" s="318"/>
    </row>
    <row r="13012" spans="2:30" s="323" customFormat="1" ht="12" customHeight="1">
      <c r="B13012" s="324"/>
      <c r="C13012" s="325"/>
      <c r="D13012" s="326"/>
      <c r="E13012" s="326"/>
      <c r="F13012" s="326"/>
      <c r="G13012" s="326"/>
      <c r="H13012" s="326"/>
      <c r="P13012" s="318"/>
      <c r="Q13012" s="318"/>
      <c r="R13012" s="318"/>
      <c r="S13012" s="318"/>
      <c r="T13012" s="318"/>
      <c r="U13012" s="318"/>
      <c r="V13012" s="318"/>
      <c r="W13012" s="318"/>
      <c r="X13012" s="318"/>
      <c r="Y13012" s="318"/>
      <c r="Z13012" s="318"/>
      <c r="AA13012" s="318"/>
      <c r="AB13012" s="318"/>
      <c r="AC13012" s="318"/>
      <c r="AD13012" s="318"/>
    </row>
    <row r="13013" spans="2:30" s="323" customFormat="1" ht="12" customHeight="1">
      <c r="B13013" s="324"/>
      <c r="C13013" s="325"/>
      <c r="D13013" s="326"/>
      <c r="E13013" s="326"/>
      <c r="F13013" s="326"/>
      <c r="G13013" s="326"/>
      <c r="H13013" s="326"/>
      <c r="P13013" s="318"/>
      <c r="Q13013" s="318"/>
      <c r="R13013" s="318"/>
      <c r="S13013" s="318"/>
      <c r="T13013" s="318"/>
      <c r="U13013" s="318"/>
      <c r="V13013" s="318"/>
      <c r="W13013" s="318"/>
      <c r="X13013" s="318"/>
      <c r="Y13013" s="318"/>
      <c r="Z13013" s="318"/>
      <c r="AA13013" s="318"/>
      <c r="AB13013" s="318"/>
      <c r="AC13013" s="318"/>
      <c r="AD13013" s="318"/>
    </row>
    <row r="13014" spans="2:30" s="323" customFormat="1" ht="12" customHeight="1">
      <c r="B13014" s="324"/>
      <c r="C13014" s="325"/>
      <c r="D13014" s="326"/>
      <c r="E13014" s="326"/>
      <c r="F13014" s="326"/>
      <c r="G13014" s="326"/>
      <c r="H13014" s="326"/>
      <c r="P13014" s="318"/>
      <c r="Q13014" s="318"/>
      <c r="R13014" s="318"/>
      <c r="S13014" s="318"/>
      <c r="T13014" s="318"/>
      <c r="U13014" s="318"/>
      <c r="V13014" s="318"/>
      <c r="W13014" s="318"/>
      <c r="X13014" s="318"/>
      <c r="Y13014" s="318"/>
      <c r="Z13014" s="318"/>
      <c r="AA13014" s="318"/>
      <c r="AB13014" s="318"/>
      <c r="AC13014" s="318"/>
      <c r="AD13014" s="318"/>
    </row>
    <row r="13015" spans="2:30" s="323" customFormat="1" ht="12" customHeight="1">
      <c r="B13015" s="324"/>
      <c r="C13015" s="325"/>
      <c r="D13015" s="326"/>
      <c r="E13015" s="326"/>
      <c r="F13015" s="326"/>
      <c r="G13015" s="326"/>
      <c r="H13015" s="326"/>
      <c r="P13015" s="318"/>
      <c r="Q13015" s="318"/>
      <c r="R13015" s="318"/>
      <c r="S13015" s="318"/>
      <c r="T13015" s="318"/>
      <c r="U13015" s="318"/>
      <c r="V13015" s="318"/>
      <c r="W13015" s="318"/>
      <c r="X13015" s="318"/>
      <c r="Y13015" s="318"/>
      <c r="Z13015" s="318"/>
      <c r="AA13015" s="318"/>
      <c r="AB13015" s="318"/>
      <c r="AC13015" s="318"/>
      <c r="AD13015" s="318"/>
    </row>
    <row r="13016" spans="2:30" s="323" customFormat="1" ht="12" customHeight="1">
      <c r="B13016" s="324"/>
      <c r="C13016" s="325"/>
      <c r="D13016" s="326"/>
      <c r="E13016" s="326"/>
      <c r="F13016" s="326"/>
      <c r="G13016" s="326"/>
      <c r="H13016" s="326"/>
      <c r="P13016" s="318"/>
      <c r="Q13016" s="318"/>
      <c r="R13016" s="318"/>
      <c r="S13016" s="318"/>
      <c r="T13016" s="318"/>
      <c r="U13016" s="318"/>
      <c r="V13016" s="318"/>
      <c r="W13016" s="318"/>
      <c r="X13016" s="318"/>
      <c r="Y13016" s="318"/>
      <c r="Z13016" s="318"/>
      <c r="AA13016" s="318"/>
      <c r="AB13016" s="318"/>
      <c r="AC13016" s="318"/>
      <c r="AD13016" s="318"/>
    </row>
    <row r="13017" spans="2:30" s="323" customFormat="1" ht="12" customHeight="1">
      <c r="B13017" s="324"/>
      <c r="C13017" s="325"/>
      <c r="D13017" s="326"/>
      <c r="E13017" s="326"/>
      <c r="F13017" s="326"/>
      <c r="G13017" s="326"/>
      <c r="H13017" s="326"/>
      <c r="P13017" s="318"/>
      <c r="Q13017" s="318"/>
      <c r="R13017" s="318"/>
      <c r="S13017" s="318"/>
      <c r="T13017" s="318"/>
      <c r="U13017" s="318"/>
      <c r="V13017" s="318"/>
      <c r="W13017" s="318"/>
      <c r="X13017" s="318"/>
      <c r="Y13017" s="318"/>
      <c r="Z13017" s="318"/>
      <c r="AA13017" s="318"/>
      <c r="AB13017" s="318"/>
      <c r="AC13017" s="318"/>
      <c r="AD13017" s="318"/>
    </row>
    <row r="13018" spans="2:30" s="323" customFormat="1" ht="12" customHeight="1">
      <c r="B13018" s="324"/>
      <c r="C13018" s="325"/>
      <c r="D13018" s="326"/>
      <c r="E13018" s="326"/>
      <c r="F13018" s="326"/>
      <c r="G13018" s="326"/>
      <c r="H13018" s="326"/>
      <c r="P13018" s="318"/>
      <c r="Q13018" s="318"/>
      <c r="R13018" s="318"/>
      <c r="S13018" s="318"/>
      <c r="T13018" s="318"/>
      <c r="U13018" s="318"/>
      <c r="V13018" s="318"/>
      <c r="W13018" s="318"/>
      <c r="X13018" s="318"/>
      <c r="Y13018" s="318"/>
      <c r="Z13018" s="318"/>
      <c r="AA13018" s="318"/>
      <c r="AB13018" s="318"/>
      <c r="AC13018" s="318"/>
      <c r="AD13018" s="318"/>
    </row>
    <row r="13019" spans="2:30" s="323" customFormat="1" ht="12" customHeight="1">
      <c r="B13019" s="324"/>
      <c r="C13019" s="325"/>
      <c r="D13019" s="326"/>
      <c r="E13019" s="326"/>
      <c r="F13019" s="326"/>
      <c r="G13019" s="326"/>
      <c r="H13019" s="326"/>
      <c r="P13019" s="318"/>
      <c r="Q13019" s="318"/>
      <c r="R13019" s="318"/>
      <c r="S13019" s="318"/>
      <c r="T13019" s="318"/>
      <c r="U13019" s="318"/>
      <c r="V13019" s="318"/>
      <c r="W13019" s="318"/>
      <c r="X13019" s="318"/>
      <c r="Y13019" s="318"/>
      <c r="Z13019" s="318"/>
      <c r="AA13019" s="318"/>
      <c r="AB13019" s="318"/>
      <c r="AC13019" s="318"/>
      <c r="AD13019" s="318"/>
    </row>
    <row r="13020" spans="2:30" s="323" customFormat="1" ht="12" customHeight="1">
      <c r="B13020" s="324"/>
      <c r="C13020" s="325"/>
      <c r="D13020" s="326"/>
      <c r="E13020" s="326"/>
      <c r="F13020" s="326"/>
      <c r="G13020" s="326"/>
      <c r="H13020" s="326"/>
      <c r="P13020" s="318"/>
      <c r="Q13020" s="318"/>
      <c r="R13020" s="318"/>
      <c r="S13020" s="318"/>
      <c r="T13020" s="318"/>
      <c r="U13020" s="318"/>
      <c r="V13020" s="318"/>
      <c r="W13020" s="318"/>
      <c r="X13020" s="318"/>
      <c r="Y13020" s="318"/>
      <c r="Z13020" s="318"/>
      <c r="AA13020" s="318"/>
      <c r="AB13020" s="318"/>
      <c r="AC13020" s="318"/>
      <c r="AD13020" s="318"/>
    </row>
    <row r="13021" spans="2:30" s="323" customFormat="1" ht="12" customHeight="1">
      <c r="B13021" s="324"/>
      <c r="C13021" s="325"/>
      <c r="D13021" s="326"/>
      <c r="E13021" s="326"/>
      <c r="F13021" s="326"/>
      <c r="G13021" s="326"/>
      <c r="H13021" s="326"/>
      <c r="P13021" s="318"/>
      <c r="Q13021" s="318"/>
      <c r="R13021" s="318"/>
      <c r="S13021" s="318"/>
      <c r="T13021" s="318"/>
      <c r="U13021" s="318"/>
      <c r="V13021" s="318"/>
      <c r="W13021" s="318"/>
      <c r="X13021" s="318"/>
      <c r="Y13021" s="318"/>
      <c r="Z13021" s="318"/>
      <c r="AA13021" s="318"/>
      <c r="AB13021" s="318"/>
      <c r="AC13021" s="318"/>
      <c r="AD13021" s="318"/>
    </row>
    <row r="13022" spans="2:30" s="323" customFormat="1" ht="12" customHeight="1">
      <c r="B13022" s="324"/>
      <c r="C13022" s="325"/>
      <c r="D13022" s="326"/>
      <c r="E13022" s="326"/>
      <c r="F13022" s="326"/>
      <c r="G13022" s="326"/>
      <c r="H13022" s="326"/>
      <c r="P13022" s="318"/>
      <c r="Q13022" s="318"/>
      <c r="R13022" s="318"/>
      <c r="S13022" s="318"/>
      <c r="T13022" s="318"/>
      <c r="U13022" s="318"/>
      <c r="V13022" s="318"/>
      <c r="W13022" s="318"/>
      <c r="X13022" s="318"/>
      <c r="Y13022" s="318"/>
      <c r="Z13022" s="318"/>
      <c r="AA13022" s="318"/>
      <c r="AB13022" s="318"/>
      <c r="AC13022" s="318"/>
      <c r="AD13022" s="318"/>
    </row>
    <row r="13023" spans="2:30" s="323" customFormat="1" ht="12" customHeight="1">
      <c r="B13023" s="324"/>
      <c r="C13023" s="325"/>
      <c r="D13023" s="326"/>
      <c r="E13023" s="326"/>
      <c r="F13023" s="326"/>
      <c r="G13023" s="326"/>
      <c r="H13023" s="326"/>
      <c r="P13023" s="318"/>
      <c r="Q13023" s="318"/>
      <c r="R13023" s="318"/>
      <c r="S13023" s="318"/>
      <c r="T13023" s="318"/>
      <c r="U13023" s="318"/>
      <c r="V13023" s="318"/>
      <c r="W13023" s="318"/>
      <c r="X13023" s="318"/>
      <c r="Y13023" s="318"/>
      <c r="Z13023" s="318"/>
      <c r="AA13023" s="318"/>
      <c r="AB13023" s="318"/>
      <c r="AC13023" s="318"/>
      <c r="AD13023" s="318"/>
    </row>
    <row r="13024" spans="2:30" s="323" customFormat="1" ht="12" customHeight="1">
      <c r="B13024" s="324"/>
      <c r="C13024" s="325"/>
      <c r="D13024" s="326"/>
      <c r="E13024" s="326"/>
      <c r="F13024" s="326"/>
      <c r="G13024" s="326"/>
      <c r="H13024" s="326"/>
      <c r="P13024" s="318"/>
      <c r="Q13024" s="318"/>
      <c r="R13024" s="318"/>
      <c r="S13024" s="318"/>
      <c r="T13024" s="318"/>
      <c r="U13024" s="318"/>
      <c r="V13024" s="318"/>
      <c r="W13024" s="318"/>
      <c r="X13024" s="318"/>
      <c r="Y13024" s="318"/>
      <c r="Z13024" s="318"/>
      <c r="AA13024" s="318"/>
      <c r="AB13024" s="318"/>
      <c r="AC13024" s="318"/>
      <c r="AD13024" s="318"/>
    </row>
    <row r="13025" spans="2:30" s="323" customFormat="1" ht="12" customHeight="1">
      <c r="B13025" s="324"/>
      <c r="C13025" s="325"/>
      <c r="D13025" s="326"/>
      <c r="E13025" s="326"/>
      <c r="F13025" s="326"/>
      <c r="G13025" s="326"/>
      <c r="H13025" s="326"/>
      <c r="P13025" s="318"/>
      <c r="Q13025" s="318"/>
      <c r="R13025" s="318"/>
      <c r="S13025" s="318"/>
      <c r="T13025" s="318"/>
      <c r="U13025" s="318"/>
      <c r="V13025" s="318"/>
      <c r="W13025" s="318"/>
      <c r="X13025" s="318"/>
      <c r="Y13025" s="318"/>
      <c r="Z13025" s="318"/>
      <c r="AA13025" s="318"/>
      <c r="AB13025" s="318"/>
      <c r="AC13025" s="318"/>
      <c r="AD13025" s="318"/>
    </row>
    <row r="13026" spans="2:30" s="323" customFormat="1" ht="12" customHeight="1">
      <c r="B13026" s="324"/>
      <c r="C13026" s="325"/>
      <c r="D13026" s="326"/>
      <c r="E13026" s="326"/>
      <c r="F13026" s="326"/>
      <c r="G13026" s="326"/>
      <c r="H13026" s="326"/>
      <c r="P13026" s="318"/>
      <c r="Q13026" s="318"/>
      <c r="R13026" s="318"/>
      <c r="S13026" s="318"/>
      <c r="T13026" s="318"/>
      <c r="U13026" s="318"/>
      <c r="V13026" s="318"/>
      <c r="W13026" s="318"/>
      <c r="X13026" s="318"/>
      <c r="Y13026" s="318"/>
      <c r="Z13026" s="318"/>
      <c r="AA13026" s="318"/>
      <c r="AB13026" s="318"/>
      <c r="AC13026" s="318"/>
      <c r="AD13026" s="318"/>
    </row>
    <row r="13027" spans="2:30" s="323" customFormat="1" ht="12" customHeight="1">
      <c r="B13027" s="324"/>
      <c r="C13027" s="325"/>
      <c r="D13027" s="326"/>
      <c r="E13027" s="326"/>
      <c r="F13027" s="326"/>
      <c r="G13027" s="326"/>
      <c r="H13027" s="326"/>
      <c r="P13027" s="318"/>
      <c r="Q13027" s="318"/>
      <c r="R13027" s="318"/>
      <c r="S13027" s="318"/>
      <c r="T13027" s="318"/>
      <c r="U13027" s="318"/>
      <c r="V13027" s="318"/>
      <c r="W13027" s="318"/>
      <c r="X13027" s="318"/>
      <c r="Y13027" s="318"/>
      <c r="Z13027" s="318"/>
      <c r="AA13027" s="318"/>
      <c r="AB13027" s="318"/>
      <c r="AC13027" s="318"/>
      <c r="AD13027" s="318"/>
    </row>
    <row r="13028" spans="2:30" s="323" customFormat="1" ht="12" customHeight="1">
      <c r="B13028" s="324"/>
      <c r="C13028" s="325"/>
      <c r="D13028" s="326"/>
      <c r="E13028" s="326"/>
      <c r="F13028" s="326"/>
      <c r="G13028" s="326"/>
      <c r="H13028" s="326"/>
      <c r="P13028" s="318"/>
      <c r="Q13028" s="318"/>
      <c r="R13028" s="318"/>
      <c r="S13028" s="318"/>
      <c r="T13028" s="318"/>
      <c r="U13028" s="318"/>
      <c r="V13028" s="318"/>
      <c r="W13028" s="318"/>
      <c r="X13028" s="318"/>
      <c r="Y13028" s="318"/>
      <c r="Z13028" s="318"/>
      <c r="AA13028" s="318"/>
      <c r="AB13028" s="318"/>
      <c r="AC13028" s="318"/>
      <c r="AD13028" s="318"/>
    </row>
    <row r="13029" spans="2:30" s="323" customFormat="1" ht="12" customHeight="1">
      <c r="B13029" s="324"/>
      <c r="C13029" s="325"/>
      <c r="D13029" s="326"/>
      <c r="E13029" s="326"/>
      <c r="F13029" s="326"/>
      <c r="G13029" s="326"/>
      <c r="H13029" s="326"/>
      <c r="P13029" s="318"/>
      <c r="Q13029" s="318"/>
      <c r="R13029" s="318"/>
      <c r="S13029" s="318"/>
      <c r="T13029" s="318"/>
      <c r="U13029" s="318"/>
      <c r="V13029" s="318"/>
      <c r="W13029" s="318"/>
      <c r="X13029" s="318"/>
      <c r="Y13029" s="318"/>
      <c r="Z13029" s="318"/>
      <c r="AA13029" s="318"/>
      <c r="AB13029" s="318"/>
      <c r="AC13029" s="318"/>
      <c r="AD13029" s="318"/>
    </row>
    <row r="13030" spans="2:30" s="323" customFormat="1" ht="12" customHeight="1">
      <c r="B13030" s="324"/>
      <c r="C13030" s="325"/>
      <c r="D13030" s="326"/>
      <c r="E13030" s="326"/>
      <c r="F13030" s="326"/>
      <c r="G13030" s="326"/>
      <c r="H13030" s="326"/>
      <c r="P13030" s="318"/>
      <c r="Q13030" s="318"/>
      <c r="R13030" s="318"/>
      <c r="S13030" s="318"/>
      <c r="T13030" s="318"/>
      <c r="U13030" s="318"/>
      <c r="V13030" s="318"/>
      <c r="W13030" s="318"/>
      <c r="X13030" s="318"/>
      <c r="Y13030" s="318"/>
      <c r="Z13030" s="318"/>
      <c r="AA13030" s="318"/>
      <c r="AB13030" s="318"/>
      <c r="AC13030" s="318"/>
      <c r="AD13030" s="318"/>
    </row>
    <row r="13031" spans="2:30" s="323" customFormat="1" ht="12" customHeight="1">
      <c r="B13031" s="324"/>
      <c r="C13031" s="325"/>
      <c r="D13031" s="326"/>
      <c r="E13031" s="326"/>
      <c r="F13031" s="326"/>
      <c r="G13031" s="326"/>
      <c r="H13031" s="326"/>
      <c r="P13031" s="318"/>
      <c r="Q13031" s="318"/>
      <c r="R13031" s="318"/>
      <c r="S13031" s="318"/>
      <c r="T13031" s="318"/>
      <c r="U13031" s="318"/>
      <c r="V13031" s="318"/>
      <c r="W13031" s="318"/>
      <c r="X13031" s="318"/>
      <c r="Y13031" s="318"/>
      <c r="Z13031" s="318"/>
      <c r="AA13031" s="318"/>
      <c r="AB13031" s="318"/>
      <c r="AC13031" s="318"/>
      <c r="AD13031" s="318"/>
    </row>
    <row r="13032" spans="2:30" s="323" customFormat="1" ht="12" customHeight="1">
      <c r="B13032" s="324"/>
      <c r="C13032" s="325"/>
      <c r="D13032" s="326"/>
      <c r="E13032" s="326"/>
      <c r="F13032" s="326"/>
      <c r="G13032" s="326"/>
      <c r="H13032" s="326"/>
      <c r="P13032" s="318"/>
      <c r="Q13032" s="318"/>
      <c r="R13032" s="318"/>
      <c r="S13032" s="318"/>
      <c r="T13032" s="318"/>
      <c r="U13032" s="318"/>
      <c r="V13032" s="318"/>
      <c r="W13032" s="318"/>
      <c r="X13032" s="318"/>
      <c r="Y13032" s="318"/>
      <c r="Z13032" s="318"/>
      <c r="AA13032" s="318"/>
      <c r="AB13032" s="318"/>
      <c r="AC13032" s="318"/>
      <c r="AD13032" s="318"/>
    </row>
    <row r="13033" spans="2:30" s="323" customFormat="1" ht="12" customHeight="1">
      <c r="B13033" s="324"/>
      <c r="C13033" s="325"/>
      <c r="D13033" s="326"/>
      <c r="E13033" s="326"/>
      <c r="F13033" s="326"/>
      <c r="G13033" s="326"/>
      <c r="H13033" s="326"/>
      <c r="P13033" s="318"/>
      <c r="Q13033" s="318"/>
      <c r="R13033" s="318"/>
      <c r="S13033" s="318"/>
      <c r="T13033" s="318"/>
      <c r="U13033" s="318"/>
      <c r="V13033" s="318"/>
      <c r="W13033" s="318"/>
      <c r="X13033" s="318"/>
      <c r="Y13033" s="318"/>
      <c r="Z13033" s="318"/>
      <c r="AA13033" s="318"/>
      <c r="AB13033" s="318"/>
      <c r="AC13033" s="318"/>
      <c r="AD13033" s="318"/>
    </row>
    <row r="13034" spans="2:30" s="323" customFormat="1" ht="12" customHeight="1">
      <c r="B13034" s="324"/>
      <c r="C13034" s="325"/>
      <c r="D13034" s="326"/>
      <c r="E13034" s="326"/>
      <c r="F13034" s="326"/>
      <c r="G13034" s="326"/>
      <c r="H13034" s="326"/>
      <c r="P13034" s="318"/>
      <c r="Q13034" s="318"/>
      <c r="R13034" s="318"/>
      <c r="S13034" s="318"/>
      <c r="T13034" s="318"/>
      <c r="U13034" s="318"/>
      <c r="V13034" s="318"/>
      <c r="W13034" s="318"/>
      <c r="X13034" s="318"/>
      <c r="Y13034" s="318"/>
      <c r="Z13034" s="318"/>
      <c r="AA13034" s="318"/>
      <c r="AB13034" s="318"/>
      <c r="AC13034" s="318"/>
      <c r="AD13034" s="318"/>
    </row>
    <row r="13035" spans="2:30" s="323" customFormat="1" ht="12" customHeight="1">
      <c r="B13035" s="324"/>
      <c r="C13035" s="325"/>
      <c r="D13035" s="326"/>
      <c r="E13035" s="326"/>
      <c r="F13035" s="326"/>
      <c r="G13035" s="326"/>
      <c r="H13035" s="326"/>
      <c r="P13035" s="318"/>
      <c r="Q13035" s="318"/>
      <c r="R13035" s="318"/>
      <c r="S13035" s="318"/>
      <c r="T13035" s="318"/>
      <c r="U13035" s="318"/>
      <c r="V13035" s="318"/>
      <c r="W13035" s="318"/>
      <c r="X13035" s="318"/>
      <c r="Y13035" s="318"/>
      <c r="Z13035" s="318"/>
      <c r="AA13035" s="318"/>
      <c r="AB13035" s="318"/>
      <c r="AC13035" s="318"/>
      <c r="AD13035" s="318"/>
    </row>
    <row r="13036" spans="2:30" s="323" customFormat="1" ht="12" customHeight="1">
      <c r="B13036" s="324"/>
      <c r="C13036" s="325"/>
      <c r="D13036" s="326"/>
      <c r="E13036" s="326"/>
      <c r="F13036" s="326"/>
      <c r="G13036" s="326"/>
      <c r="H13036" s="326"/>
      <c r="P13036" s="318"/>
      <c r="Q13036" s="318"/>
      <c r="R13036" s="318"/>
      <c r="S13036" s="318"/>
      <c r="T13036" s="318"/>
      <c r="U13036" s="318"/>
      <c r="V13036" s="318"/>
      <c r="W13036" s="318"/>
      <c r="X13036" s="318"/>
      <c r="Y13036" s="318"/>
      <c r="Z13036" s="318"/>
      <c r="AA13036" s="318"/>
      <c r="AB13036" s="318"/>
      <c r="AC13036" s="318"/>
      <c r="AD13036" s="318"/>
    </row>
    <row r="13037" spans="2:30" s="323" customFormat="1" ht="12" customHeight="1">
      <c r="B13037" s="324"/>
      <c r="C13037" s="325"/>
      <c r="D13037" s="326"/>
      <c r="E13037" s="326"/>
      <c r="F13037" s="326"/>
      <c r="G13037" s="326"/>
      <c r="H13037" s="326"/>
      <c r="P13037" s="318"/>
      <c r="Q13037" s="318"/>
      <c r="R13037" s="318"/>
      <c r="S13037" s="318"/>
      <c r="T13037" s="318"/>
      <c r="U13037" s="318"/>
      <c r="V13037" s="318"/>
      <c r="W13037" s="318"/>
      <c r="X13037" s="318"/>
      <c r="Y13037" s="318"/>
      <c r="Z13037" s="318"/>
      <c r="AA13037" s="318"/>
      <c r="AB13037" s="318"/>
      <c r="AC13037" s="318"/>
      <c r="AD13037" s="318"/>
    </row>
    <row r="13038" spans="2:30" s="323" customFormat="1" ht="12" customHeight="1">
      <c r="B13038" s="324"/>
      <c r="C13038" s="325"/>
      <c r="D13038" s="326"/>
      <c r="E13038" s="326"/>
      <c r="F13038" s="326"/>
      <c r="G13038" s="326"/>
      <c r="H13038" s="326"/>
      <c r="P13038" s="318"/>
      <c r="Q13038" s="318"/>
      <c r="R13038" s="318"/>
      <c r="S13038" s="318"/>
      <c r="T13038" s="318"/>
      <c r="U13038" s="318"/>
      <c r="V13038" s="318"/>
      <c r="W13038" s="318"/>
      <c r="X13038" s="318"/>
      <c r="Y13038" s="318"/>
      <c r="Z13038" s="318"/>
      <c r="AA13038" s="318"/>
      <c r="AB13038" s="318"/>
      <c r="AC13038" s="318"/>
      <c r="AD13038" s="318"/>
    </row>
    <row r="13039" spans="2:30" s="323" customFormat="1" ht="12" customHeight="1">
      <c r="B13039" s="324"/>
      <c r="C13039" s="325"/>
      <c r="D13039" s="326"/>
      <c r="E13039" s="326"/>
      <c r="F13039" s="326"/>
      <c r="G13039" s="326"/>
      <c r="H13039" s="326"/>
      <c r="P13039" s="318"/>
      <c r="Q13039" s="318"/>
      <c r="R13039" s="318"/>
      <c r="S13039" s="318"/>
      <c r="T13039" s="318"/>
      <c r="U13039" s="318"/>
      <c r="V13039" s="318"/>
      <c r="W13039" s="318"/>
      <c r="X13039" s="318"/>
      <c r="Y13039" s="318"/>
      <c r="Z13039" s="318"/>
      <c r="AA13039" s="318"/>
      <c r="AB13039" s="318"/>
      <c r="AC13039" s="318"/>
      <c r="AD13039" s="318"/>
    </row>
    <row r="13040" spans="2:30" s="323" customFormat="1" ht="12" customHeight="1">
      <c r="B13040" s="324"/>
      <c r="C13040" s="325"/>
      <c r="D13040" s="326"/>
      <c r="E13040" s="326"/>
      <c r="F13040" s="326"/>
      <c r="G13040" s="326"/>
      <c r="H13040" s="326"/>
      <c r="P13040" s="318"/>
      <c r="Q13040" s="318"/>
      <c r="R13040" s="318"/>
      <c r="S13040" s="318"/>
      <c r="T13040" s="318"/>
      <c r="U13040" s="318"/>
      <c r="V13040" s="318"/>
      <c r="W13040" s="318"/>
      <c r="X13040" s="318"/>
      <c r="Y13040" s="318"/>
      <c r="Z13040" s="318"/>
      <c r="AA13040" s="318"/>
      <c r="AB13040" s="318"/>
      <c r="AC13040" s="318"/>
      <c r="AD13040" s="318"/>
    </row>
    <row r="13041" spans="2:30" s="323" customFormat="1" ht="12" customHeight="1">
      <c r="B13041" s="324"/>
      <c r="C13041" s="325"/>
      <c r="D13041" s="326"/>
      <c r="E13041" s="326"/>
      <c r="F13041" s="326"/>
      <c r="G13041" s="326"/>
      <c r="H13041" s="326"/>
      <c r="P13041" s="318"/>
      <c r="Q13041" s="318"/>
      <c r="R13041" s="318"/>
      <c r="S13041" s="318"/>
      <c r="T13041" s="318"/>
      <c r="U13041" s="318"/>
      <c r="V13041" s="318"/>
      <c r="W13041" s="318"/>
      <c r="X13041" s="318"/>
      <c r="Y13041" s="318"/>
      <c r="Z13041" s="318"/>
      <c r="AA13041" s="318"/>
      <c r="AB13041" s="318"/>
      <c r="AC13041" s="318"/>
      <c r="AD13041" s="318"/>
    </row>
    <row r="13042" spans="2:30" s="323" customFormat="1" ht="12" customHeight="1">
      <c r="B13042" s="324"/>
      <c r="C13042" s="325"/>
      <c r="D13042" s="326"/>
      <c r="E13042" s="326"/>
      <c r="F13042" s="326"/>
      <c r="G13042" s="326"/>
      <c r="H13042" s="326"/>
      <c r="P13042" s="318"/>
      <c r="Q13042" s="318"/>
      <c r="R13042" s="318"/>
      <c r="S13042" s="318"/>
      <c r="T13042" s="318"/>
      <c r="U13042" s="318"/>
      <c r="V13042" s="318"/>
      <c r="W13042" s="318"/>
      <c r="X13042" s="318"/>
      <c r="Y13042" s="318"/>
      <c r="Z13042" s="318"/>
      <c r="AA13042" s="318"/>
      <c r="AB13042" s="318"/>
      <c r="AC13042" s="318"/>
      <c r="AD13042" s="318"/>
    </row>
    <row r="13043" spans="2:30" s="323" customFormat="1" ht="12" customHeight="1">
      <c r="B13043" s="324"/>
      <c r="C13043" s="325"/>
      <c r="D13043" s="326"/>
      <c r="E13043" s="326"/>
      <c r="F13043" s="326"/>
      <c r="G13043" s="326"/>
      <c r="H13043" s="326"/>
      <c r="P13043" s="318"/>
      <c r="Q13043" s="318"/>
      <c r="R13043" s="318"/>
      <c r="S13043" s="318"/>
      <c r="T13043" s="318"/>
      <c r="U13043" s="318"/>
      <c r="V13043" s="318"/>
      <c r="W13043" s="318"/>
      <c r="X13043" s="318"/>
      <c r="Y13043" s="318"/>
      <c r="Z13043" s="318"/>
      <c r="AA13043" s="318"/>
      <c r="AB13043" s="318"/>
      <c r="AC13043" s="318"/>
      <c r="AD13043" s="318"/>
    </row>
    <row r="13044" spans="2:30" s="323" customFormat="1" ht="12" customHeight="1">
      <c r="B13044" s="324"/>
      <c r="C13044" s="325"/>
      <c r="D13044" s="326"/>
      <c r="E13044" s="326"/>
      <c r="F13044" s="326"/>
      <c r="G13044" s="326"/>
      <c r="H13044" s="326"/>
      <c r="P13044" s="318"/>
      <c r="Q13044" s="318"/>
      <c r="R13044" s="318"/>
      <c r="S13044" s="318"/>
      <c r="T13044" s="318"/>
      <c r="U13044" s="318"/>
      <c r="V13044" s="318"/>
      <c r="W13044" s="318"/>
      <c r="X13044" s="318"/>
      <c r="Y13044" s="318"/>
      <c r="Z13044" s="318"/>
      <c r="AA13044" s="318"/>
      <c r="AB13044" s="318"/>
      <c r="AC13044" s="318"/>
      <c r="AD13044" s="318"/>
    </row>
    <row r="13045" spans="2:30" s="323" customFormat="1" ht="12" customHeight="1">
      <c r="B13045" s="324"/>
      <c r="C13045" s="325"/>
      <c r="D13045" s="326"/>
      <c r="E13045" s="326"/>
      <c r="F13045" s="326"/>
      <c r="G13045" s="326"/>
      <c r="H13045" s="326"/>
      <c r="P13045" s="318"/>
      <c r="Q13045" s="318"/>
      <c r="R13045" s="318"/>
      <c r="S13045" s="318"/>
      <c r="T13045" s="318"/>
      <c r="U13045" s="318"/>
      <c r="V13045" s="318"/>
      <c r="W13045" s="318"/>
      <c r="X13045" s="318"/>
      <c r="Y13045" s="318"/>
      <c r="Z13045" s="318"/>
      <c r="AA13045" s="318"/>
      <c r="AB13045" s="318"/>
      <c r="AC13045" s="318"/>
      <c r="AD13045" s="318"/>
    </row>
    <row r="13046" spans="2:30" s="323" customFormat="1" ht="12" customHeight="1">
      <c r="B13046" s="324"/>
      <c r="C13046" s="325"/>
      <c r="D13046" s="326"/>
      <c r="E13046" s="326"/>
      <c r="F13046" s="326"/>
      <c r="G13046" s="326"/>
      <c r="H13046" s="326"/>
      <c r="P13046" s="318"/>
      <c r="Q13046" s="318"/>
      <c r="R13046" s="318"/>
      <c r="S13046" s="318"/>
      <c r="T13046" s="318"/>
      <c r="U13046" s="318"/>
      <c r="V13046" s="318"/>
      <c r="W13046" s="318"/>
      <c r="X13046" s="318"/>
      <c r="Y13046" s="318"/>
      <c r="Z13046" s="318"/>
      <c r="AA13046" s="318"/>
      <c r="AB13046" s="318"/>
      <c r="AC13046" s="318"/>
      <c r="AD13046" s="318"/>
    </row>
    <row r="13047" spans="2:30" s="323" customFormat="1" ht="12" customHeight="1">
      <c r="B13047" s="324"/>
      <c r="C13047" s="325"/>
      <c r="D13047" s="326"/>
      <c r="E13047" s="326"/>
      <c r="F13047" s="326"/>
      <c r="G13047" s="326"/>
      <c r="H13047" s="326"/>
      <c r="P13047" s="318"/>
      <c r="Q13047" s="318"/>
      <c r="R13047" s="318"/>
      <c r="S13047" s="318"/>
      <c r="T13047" s="318"/>
      <c r="U13047" s="318"/>
      <c r="V13047" s="318"/>
      <c r="W13047" s="318"/>
      <c r="X13047" s="318"/>
      <c r="Y13047" s="318"/>
      <c r="Z13047" s="318"/>
      <c r="AA13047" s="318"/>
      <c r="AB13047" s="318"/>
      <c r="AC13047" s="318"/>
      <c r="AD13047" s="318"/>
    </row>
    <row r="13048" spans="2:30" s="323" customFormat="1" ht="12" customHeight="1">
      <c r="B13048" s="324"/>
      <c r="C13048" s="325"/>
      <c r="D13048" s="326"/>
      <c r="E13048" s="326"/>
      <c r="F13048" s="326"/>
      <c r="G13048" s="326"/>
      <c r="H13048" s="326"/>
      <c r="P13048" s="318"/>
      <c r="Q13048" s="318"/>
      <c r="R13048" s="318"/>
      <c r="S13048" s="318"/>
      <c r="T13048" s="318"/>
      <c r="U13048" s="318"/>
      <c r="V13048" s="318"/>
      <c r="W13048" s="318"/>
      <c r="X13048" s="318"/>
      <c r="Y13048" s="318"/>
      <c r="Z13048" s="318"/>
      <c r="AA13048" s="318"/>
      <c r="AB13048" s="318"/>
      <c r="AC13048" s="318"/>
      <c r="AD13048" s="318"/>
    </row>
    <row r="13049" spans="2:30" s="323" customFormat="1" ht="12" customHeight="1">
      <c r="B13049" s="324"/>
      <c r="C13049" s="325"/>
      <c r="D13049" s="326"/>
      <c r="E13049" s="326"/>
      <c r="F13049" s="326"/>
      <c r="G13049" s="326"/>
      <c r="H13049" s="326"/>
      <c r="P13049" s="318"/>
      <c r="Q13049" s="318"/>
      <c r="R13049" s="318"/>
      <c r="S13049" s="318"/>
      <c r="T13049" s="318"/>
      <c r="U13049" s="318"/>
      <c r="V13049" s="318"/>
      <c r="W13049" s="318"/>
      <c r="X13049" s="318"/>
      <c r="Y13049" s="318"/>
      <c r="Z13049" s="318"/>
      <c r="AA13049" s="318"/>
      <c r="AB13049" s="318"/>
      <c r="AC13049" s="318"/>
      <c r="AD13049" s="318"/>
    </row>
    <row r="13050" spans="2:30" s="323" customFormat="1" ht="12" customHeight="1">
      <c r="B13050" s="324"/>
      <c r="C13050" s="325"/>
      <c r="D13050" s="326"/>
      <c r="E13050" s="326"/>
      <c r="F13050" s="326"/>
      <c r="G13050" s="326"/>
      <c r="H13050" s="326"/>
      <c r="P13050" s="318"/>
      <c r="Q13050" s="318"/>
      <c r="R13050" s="318"/>
      <c r="S13050" s="318"/>
      <c r="T13050" s="318"/>
      <c r="U13050" s="318"/>
      <c r="V13050" s="318"/>
      <c r="W13050" s="318"/>
      <c r="X13050" s="318"/>
      <c r="Y13050" s="318"/>
      <c r="Z13050" s="318"/>
      <c r="AA13050" s="318"/>
      <c r="AB13050" s="318"/>
      <c r="AC13050" s="318"/>
      <c r="AD13050" s="318"/>
    </row>
    <row r="13051" spans="2:30" s="323" customFormat="1" ht="12" customHeight="1">
      <c r="B13051" s="324"/>
      <c r="C13051" s="325"/>
      <c r="D13051" s="326"/>
      <c r="E13051" s="326"/>
      <c r="F13051" s="326"/>
      <c r="G13051" s="326"/>
      <c r="H13051" s="326"/>
      <c r="P13051" s="318"/>
      <c r="Q13051" s="318"/>
      <c r="R13051" s="318"/>
      <c r="S13051" s="318"/>
      <c r="T13051" s="318"/>
      <c r="U13051" s="318"/>
      <c r="V13051" s="318"/>
      <c r="W13051" s="318"/>
      <c r="X13051" s="318"/>
      <c r="Y13051" s="318"/>
      <c r="Z13051" s="318"/>
      <c r="AA13051" s="318"/>
      <c r="AB13051" s="318"/>
      <c r="AC13051" s="318"/>
      <c r="AD13051" s="318"/>
    </row>
    <row r="13052" spans="2:30" s="323" customFormat="1" ht="12" customHeight="1">
      <c r="B13052" s="324"/>
      <c r="C13052" s="325"/>
      <c r="D13052" s="326"/>
      <c r="E13052" s="326"/>
      <c r="F13052" s="326"/>
      <c r="G13052" s="326"/>
      <c r="H13052" s="326"/>
      <c r="P13052" s="318"/>
      <c r="Q13052" s="318"/>
      <c r="R13052" s="318"/>
      <c r="S13052" s="318"/>
      <c r="T13052" s="318"/>
      <c r="U13052" s="318"/>
      <c r="V13052" s="318"/>
      <c r="W13052" s="318"/>
      <c r="X13052" s="318"/>
      <c r="Y13052" s="318"/>
      <c r="Z13052" s="318"/>
      <c r="AA13052" s="318"/>
      <c r="AB13052" s="318"/>
      <c r="AC13052" s="318"/>
      <c r="AD13052" s="318"/>
    </row>
    <row r="13053" spans="2:30" s="323" customFormat="1" ht="12" customHeight="1">
      <c r="B13053" s="324"/>
      <c r="C13053" s="325"/>
      <c r="D13053" s="326"/>
      <c r="E13053" s="326"/>
      <c r="F13053" s="326"/>
      <c r="G13053" s="326"/>
      <c r="H13053" s="326"/>
      <c r="P13053" s="318"/>
      <c r="Q13053" s="318"/>
      <c r="R13053" s="318"/>
      <c r="S13053" s="318"/>
      <c r="T13053" s="318"/>
      <c r="U13053" s="318"/>
      <c r="V13053" s="318"/>
      <c r="W13053" s="318"/>
      <c r="X13053" s="318"/>
      <c r="Y13053" s="318"/>
      <c r="Z13053" s="318"/>
      <c r="AA13053" s="318"/>
      <c r="AB13053" s="318"/>
      <c r="AC13053" s="318"/>
      <c r="AD13053" s="318"/>
    </row>
    <row r="13054" spans="2:30" s="323" customFormat="1" ht="12" customHeight="1">
      <c r="B13054" s="324"/>
      <c r="C13054" s="325"/>
      <c r="D13054" s="326"/>
      <c r="E13054" s="326"/>
      <c r="F13054" s="326"/>
      <c r="G13054" s="326"/>
      <c r="H13054" s="326"/>
      <c r="P13054" s="318"/>
      <c r="Q13054" s="318"/>
      <c r="R13054" s="318"/>
      <c r="S13054" s="318"/>
      <c r="T13054" s="318"/>
      <c r="U13054" s="318"/>
      <c r="V13054" s="318"/>
      <c r="W13054" s="318"/>
      <c r="X13054" s="318"/>
      <c r="Y13054" s="318"/>
      <c r="Z13054" s="318"/>
      <c r="AA13054" s="318"/>
      <c r="AB13054" s="318"/>
      <c r="AC13054" s="318"/>
      <c r="AD13054" s="318"/>
    </row>
    <row r="13055" spans="2:30" s="323" customFormat="1" ht="12" customHeight="1">
      <c r="B13055" s="324"/>
      <c r="C13055" s="325"/>
      <c r="D13055" s="326"/>
      <c r="E13055" s="326"/>
      <c r="F13055" s="326"/>
      <c r="G13055" s="326"/>
      <c r="H13055" s="326"/>
      <c r="P13055" s="318"/>
      <c r="Q13055" s="318"/>
      <c r="R13055" s="318"/>
      <c r="S13055" s="318"/>
      <c r="T13055" s="318"/>
      <c r="U13055" s="318"/>
      <c r="V13055" s="318"/>
      <c r="W13055" s="318"/>
      <c r="X13055" s="318"/>
      <c r="Y13055" s="318"/>
      <c r="Z13055" s="318"/>
      <c r="AA13055" s="318"/>
      <c r="AB13055" s="318"/>
      <c r="AC13055" s="318"/>
      <c r="AD13055" s="318"/>
    </row>
    <row r="13056" spans="2:30" s="323" customFormat="1" ht="12" customHeight="1">
      <c r="B13056" s="324"/>
      <c r="C13056" s="325"/>
      <c r="D13056" s="326"/>
      <c r="E13056" s="326"/>
      <c r="F13056" s="326"/>
      <c r="G13056" s="326"/>
      <c r="H13056" s="326"/>
      <c r="P13056" s="318"/>
      <c r="Q13056" s="318"/>
      <c r="R13056" s="318"/>
      <c r="S13056" s="318"/>
      <c r="T13056" s="318"/>
      <c r="U13056" s="318"/>
      <c r="V13056" s="318"/>
      <c r="W13056" s="318"/>
      <c r="X13056" s="318"/>
      <c r="Y13056" s="318"/>
      <c r="Z13056" s="318"/>
      <c r="AA13056" s="318"/>
      <c r="AB13056" s="318"/>
      <c r="AC13056" s="318"/>
      <c r="AD13056" s="318"/>
    </row>
    <row r="13057" spans="2:30" s="323" customFormat="1" ht="12" customHeight="1">
      <c r="B13057" s="324"/>
      <c r="C13057" s="325"/>
      <c r="D13057" s="326"/>
      <c r="E13057" s="326"/>
      <c r="F13057" s="326"/>
      <c r="G13057" s="326"/>
      <c r="H13057" s="326"/>
      <c r="P13057" s="318"/>
      <c r="Q13057" s="318"/>
      <c r="R13057" s="318"/>
      <c r="S13057" s="318"/>
      <c r="T13057" s="318"/>
      <c r="U13057" s="318"/>
      <c r="V13057" s="318"/>
      <c r="W13057" s="318"/>
      <c r="X13057" s="318"/>
      <c r="Y13057" s="318"/>
      <c r="Z13057" s="318"/>
      <c r="AA13057" s="318"/>
      <c r="AB13057" s="318"/>
      <c r="AC13057" s="318"/>
      <c r="AD13057" s="318"/>
    </row>
    <row r="13058" spans="2:30" s="323" customFormat="1" ht="12" customHeight="1">
      <c r="B13058" s="324"/>
      <c r="C13058" s="325"/>
      <c r="D13058" s="326"/>
      <c r="E13058" s="326"/>
      <c r="F13058" s="326"/>
      <c r="G13058" s="326"/>
      <c r="H13058" s="326"/>
      <c r="P13058" s="318"/>
      <c r="Q13058" s="318"/>
      <c r="R13058" s="318"/>
      <c r="S13058" s="318"/>
      <c r="T13058" s="318"/>
      <c r="U13058" s="318"/>
      <c r="V13058" s="318"/>
      <c r="W13058" s="318"/>
      <c r="X13058" s="318"/>
      <c r="Y13058" s="318"/>
      <c r="Z13058" s="318"/>
      <c r="AA13058" s="318"/>
      <c r="AB13058" s="318"/>
      <c r="AC13058" s="318"/>
      <c r="AD13058" s="318"/>
    </row>
    <row r="13059" spans="2:30" s="323" customFormat="1" ht="12" customHeight="1">
      <c r="B13059" s="324"/>
      <c r="C13059" s="325"/>
      <c r="D13059" s="326"/>
      <c r="E13059" s="326"/>
      <c r="F13059" s="326"/>
      <c r="G13059" s="326"/>
      <c r="H13059" s="326"/>
      <c r="P13059" s="318"/>
      <c r="Q13059" s="318"/>
      <c r="R13059" s="318"/>
      <c r="S13059" s="318"/>
      <c r="T13059" s="318"/>
      <c r="U13059" s="318"/>
      <c r="V13059" s="318"/>
      <c r="W13059" s="318"/>
      <c r="X13059" s="318"/>
      <c r="Y13059" s="318"/>
      <c r="Z13059" s="318"/>
      <c r="AA13059" s="318"/>
      <c r="AB13059" s="318"/>
      <c r="AC13059" s="318"/>
      <c r="AD13059" s="318"/>
    </row>
    <row r="13060" spans="2:30" s="323" customFormat="1" ht="12" customHeight="1">
      <c r="B13060" s="324"/>
      <c r="C13060" s="325"/>
      <c r="D13060" s="326"/>
      <c r="E13060" s="326"/>
      <c r="F13060" s="326"/>
      <c r="G13060" s="326"/>
      <c r="H13060" s="326"/>
      <c r="P13060" s="318"/>
      <c r="Q13060" s="318"/>
      <c r="R13060" s="318"/>
      <c r="S13060" s="318"/>
      <c r="T13060" s="318"/>
      <c r="U13060" s="318"/>
      <c r="V13060" s="318"/>
      <c r="W13060" s="318"/>
      <c r="X13060" s="318"/>
      <c r="Y13060" s="318"/>
      <c r="Z13060" s="318"/>
      <c r="AA13060" s="318"/>
      <c r="AB13060" s="318"/>
      <c r="AC13060" s="318"/>
      <c r="AD13060" s="318"/>
    </row>
    <row r="13061" spans="2:30" s="323" customFormat="1" ht="12" customHeight="1">
      <c r="B13061" s="324"/>
      <c r="C13061" s="325"/>
      <c r="D13061" s="326"/>
      <c r="E13061" s="326"/>
      <c r="F13061" s="326"/>
      <c r="G13061" s="326"/>
      <c r="H13061" s="326"/>
      <c r="P13061" s="318"/>
      <c r="Q13061" s="318"/>
      <c r="R13061" s="318"/>
      <c r="S13061" s="318"/>
      <c r="T13061" s="318"/>
      <c r="U13061" s="318"/>
      <c r="V13061" s="318"/>
      <c r="W13061" s="318"/>
      <c r="X13061" s="318"/>
      <c r="Y13061" s="318"/>
      <c r="Z13061" s="318"/>
      <c r="AA13061" s="318"/>
      <c r="AB13061" s="318"/>
      <c r="AC13061" s="318"/>
      <c r="AD13061" s="318"/>
    </row>
    <row r="13062" spans="2:30" s="323" customFormat="1" ht="12" customHeight="1">
      <c r="B13062" s="324"/>
      <c r="C13062" s="325"/>
      <c r="D13062" s="326"/>
      <c r="E13062" s="326"/>
      <c r="F13062" s="326"/>
      <c r="G13062" s="326"/>
      <c r="H13062" s="326"/>
      <c r="P13062" s="318"/>
      <c r="Q13062" s="318"/>
      <c r="R13062" s="318"/>
      <c r="S13062" s="318"/>
      <c r="T13062" s="318"/>
      <c r="U13062" s="318"/>
      <c r="V13062" s="318"/>
      <c r="W13062" s="318"/>
      <c r="X13062" s="318"/>
      <c r="Y13062" s="318"/>
      <c r="Z13062" s="318"/>
      <c r="AA13062" s="318"/>
      <c r="AB13062" s="318"/>
      <c r="AC13062" s="318"/>
      <c r="AD13062" s="318"/>
    </row>
    <row r="13063" spans="2:30" s="323" customFormat="1" ht="12" customHeight="1">
      <c r="B13063" s="324"/>
      <c r="C13063" s="325"/>
      <c r="D13063" s="326"/>
      <c r="E13063" s="326"/>
      <c r="F13063" s="326"/>
      <c r="G13063" s="326"/>
      <c r="H13063" s="326"/>
      <c r="P13063" s="318"/>
      <c r="Q13063" s="318"/>
      <c r="R13063" s="318"/>
      <c r="S13063" s="318"/>
      <c r="T13063" s="318"/>
      <c r="U13063" s="318"/>
      <c r="V13063" s="318"/>
      <c r="W13063" s="318"/>
      <c r="X13063" s="318"/>
      <c r="Y13063" s="318"/>
      <c r="Z13063" s="318"/>
      <c r="AA13063" s="318"/>
      <c r="AB13063" s="318"/>
      <c r="AC13063" s="318"/>
      <c r="AD13063" s="318"/>
    </row>
    <row r="13064" spans="2:30" s="323" customFormat="1" ht="12" customHeight="1">
      <c r="B13064" s="324"/>
      <c r="C13064" s="325"/>
      <c r="D13064" s="326"/>
      <c r="E13064" s="326"/>
      <c r="F13064" s="326"/>
      <c r="G13064" s="326"/>
      <c r="H13064" s="326"/>
      <c r="P13064" s="318"/>
      <c r="Q13064" s="318"/>
      <c r="R13064" s="318"/>
      <c r="S13064" s="318"/>
      <c r="T13064" s="318"/>
      <c r="U13064" s="318"/>
      <c r="V13064" s="318"/>
      <c r="W13064" s="318"/>
      <c r="X13064" s="318"/>
      <c r="Y13064" s="318"/>
      <c r="Z13064" s="318"/>
      <c r="AA13064" s="318"/>
      <c r="AB13064" s="318"/>
      <c r="AC13064" s="318"/>
      <c r="AD13064" s="318"/>
    </row>
    <row r="13065" spans="2:30" s="323" customFormat="1" ht="12" customHeight="1">
      <c r="B13065" s="324"/>
      <c r="C13065" s="325"/>
      <c r="D13065" s="326"/>
      <c r="E13065" s="326"/>
      <c r="F13065" s="326"/>
      <c r="G13065" s="326"/>
      <c r="H13065" s="326"/>
      <c r="P13065" s="318"/>
      <c r="Q13065" s="318"/>
      <c r="R13065" s="318"/>
      <c r="S13065" s="318"/>
      <c r="T13065" s="318"/>
      <c r="U13065" s="318"/>
      <c r="V13065" s="318"/>
      <c r="W13065" s="318"/>
      <c r="X13065" s="318"/>
      <c r="Y13065" s="318"/>
      <c r="Z13065" s="318"/>
      <c r="AA13065" s="318"/>
      <c r="AB13065" s="318"/>
      <c r="AC13065" s="318"/>
      <c r="AD13065" s="318"/>
    </row>
    <row r="13066" spans="2:30" s="323" customFormat="1" ht="12" customHeight="1">
      <c r="B13066" s="324"/>
      <c r="C13066" s="325"/>
      <c r="D13066" s="326"/>
      <c r="E13066" s="326"/>
      <c r="F13066" s="326"/>
      <c r="G13066" s="326"/>
      <c r="H13066" s="326"/>
      <c r="P13066" s="318"/>
      <c r="Q13066" s="318"/>
      <c r="R13066" s="318"/>
      <c r="S13066" s="318"/>
      <c r="T13066" s="318"/>
      <c r="U13066" s="318"/>
      <c r="V13066" s="318"/>
      <c r="W13066" s="318"/>
      <c r="X13066" s="318"/>
      <c r="Y13066" s="318"/>
      <c r="Z13066" s="318"/>
      <c r="AA13066" s="318"/>
      <c r="AB13066" s="318"/>
      <c r="AC13066" s="318"/>
      <c r="AD13066" s="318"/>
    </row>
    <row r="13067" spans="2:30" s="323" customFormat="1" ht="12" customHeight="1">
      <c r="B13067" s="324"/>
      <c r="C13067" s="325"/>
      <c r="D13067" s="326"/>
      <c r="E13067" s="326"/>
      <c r="F13067" s="326"/>
      <c r="G13067" s="326"/>
      <c r="H13067" s="326"/>
      <c r="P13067" s="318"/>
      <c r="Q13067" s="318"/>
      <c r="R13067" s="318"/>
      <c r="S13067" s="318"/>
      <c r="T13067" s="318"/>
      <c r="U13067" s="318"/>
      <c r="V13067" s="318"/>
      <c r="W13067" s="318"/>
      <c r="X13067" s="318"/>
      <c r="Y13067" s="318"/>
      <c r="Z13067" s="318"/>
      <c r="AA13067" s="318"/>
      <c r="AB13067" s="318"/>
      <c r="AC13067" s="318"/>
      <c r="AD13067" s="318"/>
    </row>
    <row r="13068" spans="2:30" s="323" customFormat="1" ht="12" customHeight="1">
      <c r="B13068" s="324"/>
      <c r="C13068" s="325"/>
      <c r="D13068" s="326"/>
      <c r="E13068" s="326"/>
      <c r="F13068" s="326"/>
      <c r="G13068" s="326"/>
      <c r="H13068" s="326"/>
      <c r="P13068" s="318"/>
      <c r="Q13068" s="318"/>
      <c r="R13068" s="318"/>
      <c r="S13068" s="318"/>
      <c r="T13068" s="318"/>
      <c r="U13068" s="318"/>
      <c r="V13068" s="318"/>
      <c r="W13068" s="318"/>
      <c r="X13068" s="318"/>
      <c r="Y13068" s="318"/>
      <c r="Z13068" s="318"/>
      <c r="AA13068" s="318"/>
      <c r="AB13068" s="318"/>
      <c r="AC13068" s="318"/>
      <c r="AD13068" s="318"/>
    </row>
    <row r="13069" spans="2:30" s="323" customFormat="1" ht="12" customHeight="1">
      <c r="B13069" s="324"/>
      <c r="C13069" s="325"/>
      <c r="D13069" s="326"/>
      <c r="E13069" s="326"/>
      <c r="F13069" s="326"/>
      <c r="G13069" s="326"/>
      <c r="H13069" s="326"/>
      <c r="P13069" s="318"/>
      <c r="Q13069" s="318"/>
      <c r="R13069" s="318"/>
      <c r="S13069" s="318"/>
      <c r="T13069" s="318"/>
      <c r="U13069" s="318"/>
      <c r="V13069" s="318"/>
      <c r="W13069" s="318"/>
      <c r="X13069" s="318"/>
      <c r="Y13069" s="318"/>
      <c r="Z13069" s="318"/>
      <c r="AA13069" s="318"/>
      <c r="AB13069" s="318"/>
      <c r="AC13069" s="318"/>
      <c r="AD13069" s="318"/>
    </row>
    <row r="13070" spans="2:30" s="323" customFormat="1" ht="12" customHeight="1">
      <c r="B13070" s="324"/>
      <c r="C13070" s="325"/>
      <c r="D13070" s="326"/>
      <c r="E13070" s="326"/>
      <c r="F13070" s="326"/>
      <c r="G13070" s="326"/>
      <c r="H13070" s="326"/>
      <c r="P13070" s="318"/>
      <c r="Q13070" s="318"/>
      <c r="R13070" s="318"/>
      <c r="S13070" s="318"/>
      <c r="T13070" s="318"/>
      <c r="U13070" s="318"/>
      <c r="V13070" s="318"/>
      <c r="W13070" s="318"/>
      <c r="X13070" s="318"/>
      <c r="Y13070" s="318"/>
      <c r="Z13070" s="318"/>
      <c r="AA13070" s="318"/>
      <c r="AB13070" s="318"/>
      <c r="AC13070" s="318"/>
      <c r="AD13070" s="318"/>
    </row>
    <row r="13071" spans="2:30" s="323" customFormat="1" ht="12" customHeight="1">
      <c r="B13071" s="324"/>
      <c r="C13071" s="325"/>
      <c r="D13071" s="326"/>
      <c r="E13071" s="326"/>
      <c r="F13071" s="326"/>
      <c r="G13071" s="326"/>
      <c r="H13071" s="326"/>
      <c r="P13071" s="318"/>
      <c r="Q13071" s="318"/>
      <c r="R13071" s="318"/>
      <c r="S13071" s="318"/>
      <c r="T13071" s="318"/>
      <c r="U13071" s="318"/>
      <c r="V13071" s="318"/>
      <c r="W13071" s="318"/>
      <c r="X13071" s="318"/>
      <c r="Y13071" s="318"/>
      <c r="Z13071" s="318"/>
      <c r="AA13071" s="318"/>
      <c r="AB13071" s="318"/>
      <c r="AC13071" s="318"/>
      <c r="AD13071" s="318"/>
    </row>
    <row r="13072" spans="2:30" s="323" customFormat="1" ht="12" customHeight="1">
      <c r="B13072" s="324"/>
      <c r="C13072" s="325"/>
      <c r="D13072" s="326"/>
      <c r="E13072" s="326"/>
      <c r="F13072" s="326"/>
      <c r="G13072" s="326"/>
      <c r="H13072" s="326"/>
      <c r="P13072" s="318"/>
      <c r="Q13072" s="318"/>
      <c r="R13072" s="318"/>
      <c r="S13072" s="318"/>
      <c r="T13072" s="318"/>
      <c r="U13072" s="318"/>
      <c r="V13072" s="318"/>
      <c r="W13072" s="318"/>
      <c r="X13072" s="318"/>
      <c r="Y13072" s="318"/>
      <c r="Z13072" s="318"/>
      <c r="AA13072" s="318"/>
      <c r="AB13072" s="318"/>
      <c r="AC13072" s="318"/>
      <c r="AD13072" s="318"/>
    </row>
    <row r="13073" spans="2:30" s="323" customFormat="1" ht="12" customHeight="1">
      <c r="B13073" s="324"/>
      <c r="C13073" s="325"/>
      <c r="D13073" s="326"/>
      <c r="E13073" s="326"/>
      <c r="F13073" s="326"/>
      <c r="G13073" s="326"/>
      <c r="H13073" s="326"/>
      <c r="P13073" s="318"/>
      <c r="Q13073" s="318"/>
      <c r="R13073" s="318"/>
      <c r="S13073" s="318"/>
      <c r="T13073" s="318"/>
      <c r="U13073" s="318"/>
      <c r="V13073" s="318"/>
      <c r="W13073" s="318"/>
      <c r="X13073" s="318"/>
      <c r="Y13073" s="318"/>
      <c r="Z13073" s="318"/>
      <c r="AA13073" s="318"/>
      <c r="AB13073" s="318"/>
      <c r="AC13073" s="318"/>
      <c r="AD13073" s="318"/>
    </row>
    <row r="13074" spans="2:30" s="323" customFormat="1" ht="12" customHeight="1">
      <c r="B13074" s="324"/>
      <c r="C13074" s="325"/>
      <c r="D13074" s="326"/>
      <c r="E13074" s="326"/>
      <c r="F13074" s="326"/>
      <c r="G13074" s="326"/>
      <c r="H13074" s="326"/>
      <c r="P13074" s="318"/>
      <c r="Q13074" s="318"/>
      <c r="R13074" s="318"/>
      <c r="S13074" s="318"/>
      <c r="T13074" s="318"/>
      <c r="U13074" s="318"/>
      <c r="V13074" s="318"/>
      <c r="W13074" s="318"/>
      <c r="X13074" s="318"/>
      <c r="Y13074" s="318"/>
      <c r="Z13074" s="318"/>
      <c r="AA13074" s="318"/>
      <c r="AB13074" s="318"/>
      <c r="AC13074" s="318"/>
      <c r="AD13074" s="318"/>
    </row>
    <row r="13075" spans="2:30" s="323" customFormat="1" ht="12" customHeight="1">
      <c r="B13075" s="324"/>
      <c r="C13075" s="325"/>
      <c r="D13075" s="326"/>
      <c r="E13075" s="326"/>
      <c r="F13075" s="326"/>
      <c r="G13075" s="326"/>
      <c r="H13075" s="326"/>
      <c r="P13075" s="318"/>
      <c r="Q13075" s="318"/>
      <c r="R13075" s="318"/>
      <c r="S13075" s="318"/>
      <c r="T13075" s="318"/>
      <c r="U13075" s="318"/>
      <c r="V13075" s="318"/>
      <c r="W13075" s="318"/>
      <c r="X13075" s="318"/>
      <c r="Y13075" s="318"/>
      <c r="Z13075" s="318"/>
      <c r="AA13075" s="318"/>
      <c r="AB13075" s="318"/>
      <c r="AC13075" s="318"/>
      <c r="AD13075" s="318"/>
    </row>
    <row r="13076" spans="2:30" s="323" customFormat="1" ht="12" customHeight="1">
      <c r="B13076" s="324"/>
      <c r="C13076" s="325"/>
      <c r="D13076" s="326"/>
      <c r="E13076" s="326"/>
      <c r="F13076" s="326"/>
      <c r="G13076" s="326"/>
      <c r="H13076" s="326"/>
      <c r="P13076" s="318"/>
      <c r="Q13076" s="318"/>
      <c r="R13076" s="318"/>
      <c r="S13076" s="318"/>
      <c r="T13076" s="318"/>
      <c r="U13076" s="318"/>
      <c r="V13076" s="318"/>
      <c r="W13076" s="318"/>
      <c r="X13076" s="318"/>
      <c r="Y13076" s="318"/>
      <c r="Z13076" s="318"/>
      <c r="AA13076" s="318"/>
      <c r="AB13076" s="318"/>
      <c r="AC13076" s="318"/>
      <c r="AD13076" s="318"/>
    </row>
    <row r="13077" spans="2:30" s="323" customFormat="1" ht="12" customHeight="1">
      <c r="B13077" s="324"/>
      <c r="C13077" s="325"/>
      <c r="D13077" s="326"/>
      <c r="E13077" s="326"/>
      <c r="F13077" s="326"/>
      <c r="G13077" s="326"/>
      <c r="H13077" s="326"/>
      <c r="P13077" s="318"/>
      <c r="Q13077" s="318"/>
      <c r="R13077" s="318"/>
      <c r="S13077" s="318"/>
      <c r="T13077" s="318"/>
      <c r="U13077" s="318"/>
      <c r="V13077" s="318"/>
      <c r="W13077" s="318"/>
      <c r="X13077" s="318"/>
      <c r="Y13077" s="318"/>
      <c r="Z13077" s="318"/>
      <c r="AA13077" s="318"/>
      <c r="AB13077" s="318"/>
      <c r="AC13077" s="318"/>
      <c r="AD13077" s="318"/>
    </row>
    <row r="13078" spans="2:30" s="323" customFormat="1" ht="12" customHeight="1">
      <c r="B13078" s="324"/>
      <c r="C13078" s="325"/>
      <c r="D13078" s="326"/>
      <c r="E13078" s="326"/>
      <c r="F13078" s="326"/>
      <c r="G13078" s="326"/>
      <c r="H13078" s="326"/>
      <c r="P13078" s="318"/>
      <c r="Q13078" s="318"/>
      <c r="R13078" s="318"/>
      <c r="S13078" s="318"/>
      <c r="T13078" s="318"/>
      <c r="U13078" s="318"/>
      <c r="V13078" s="318"/>
      <c r="W13078" s="318"/>
      <c r="X13078" s="318"/>
      <c r="Y13078" s="318"/>
      <c r="Z13078" s="318"/>
      <c r="AA13078" s="318"/>
      <c r="AB13078" s="318"/>
      <c r="AC13078" s="318"/>
      <c r="AD13078" s="318"/>
    </row>
    <row r="13079" spans="2:30" s="323" customFormat="1" ht="12" customHeight="1">
      <c r="B13079" s="324"/>
      <c r="C13079" s="325"/>
      <c r="D13079" s="326"/>
      <c r="E13079" s="326"/>
      <c r="F13079" s="326"/>
      <c r="G13079" s="326"/>
      <c r="H13079" s="326"/>
      <c r="P13079" s="318"/>
      <c r="Q13079" s="318"/>
      <c r="R13079" s="318"/>
      <c r="S13079" s="318"/>
      <c r="T13079" s="318"/>
      <c r="U13079" s="318"/>
      <c r="V13079" s="318"/>
      <c r="W13079" s="318"/>
      <c r="X13079" s="318"/>
      <c r="Y13079" s="318"/>
      <c r="Z13079" s="318"/>
      <c r="AA13079" s="318"/>
      <c r="AB13079" s="318"/>
      <c r="AC13079" s="318"/>
      <c r="AD13079" s="318"/>
    </row>
    <row r="13080" spans="2:30" s="323" customFormat="1" ht="12" customHeight="1">
      <c r="B13080" s="324"/>
      <c r="C13080" s="325"/>
      <c r="D13080" s="326"/>
      <c r="E13080" s="326"/>
      <c r="F13080" s="326"/>
      <c r="G13080" s="326"/>
      <c r="H13080" s="326"/>
      <c r="P13080" s="318"/>
      <c r="Q13080" s="318"/>
      <c r="R13080" s="318"/>
      <c r="S13080" s="318"/>
      <c r="T13080" s="318"/>
      <c r="U13080" s="318"/>
      <c r="V13080" s="318"/>
      <c r="W13080" s="318"/>
      <c r="X13080" s="318"/>
      <c r="Y13080" s="318"/>
      <c r="Z13080" s="318"/>
      <c r="AA13080" s="318"/>
      <c r="AB13080" s="318"/>
      <c r="AC13080" s="318"/>
      <c r="AD13080" s="318"/>
    </row>
    <row r="13081" spans="2:30" s="323" customFormat="1" ht="12" customHeight="1">
      <c r="B13081" s="324"/>
      <c r="C13081" s="325"/>
      <c r="D13081" s="326"/>
      <c r="E13081" s="326"/>
      <c r="F13081" s="326"/>
      <c r="G13081" s="326"/>
      <c r="H13081" s="326"/>
      <c r="P13081" s="318"/>
      <c r="Q13081" s="318"/>
      <c r="R13081" s="318"/>
      <c r="S13081" s="318"/>
      <c r="T13081" s="318"/>
      <c r="U13081" s="318"/>
      <c r="V13081" s="318"/>
      <c r="W13081" s="318"/>
      <c r="X13081" s="318"/>
      <c r="Y13081" s="318"/>
      <c r="Z13081" s="318"/>
      <c r="AA13081" s="318"/>
      <c r="AB13081" s="318"/>
      <c r="AC13081" s="318"/>
      <c r="AD13081" s="318"/>
    </row>
    <row r="13082" spans="2:30" s="323" customFormat="1" ht="12" customHeight="1">
      <c r="B13082" s="324"/>
      <c r="C13082" s="325"/>
      <c r="D13082" s="326"/>
      <c r="E13082" s="326"/>
      <c r="F13082" s="326"/>
      <c r="G13082" s="326"/>
      <c r="H13082" s="326"/>
      <c r="P13082" s="318"/>
      <c r="Q13082" s="318"/>
      <c r="R13082" s="318"/>
      <c r="S13082" s="318"/>
      <c r="T13082" s="318"/>
      <c r="U13082" s="318"/>
      <c r="V13082" s="318"/>
      <c r="W13082" s="318"/>
      <c r="X13082" s="318"/>
      <c r="Y13082" s="318"/>
      <c r="Z13082" s="318"/>
      <c r="AA13082" s="318"/>
      <c r="AB13082" s="318"/>
      <c r="AC13082" s="318"/>
      <c r="AD13082" s="318"/>
    </row>
    <row r="13083" spans="2:30" s="323" customFormat="1" ht="12" customHeight="1">
      <c r="B13083" s="324"/>
      <c r="C13083" s="325"/>
      <c r="D13083" s="326"/>
      <c r="E13083" s="326"/>
      <c r="F13083" s="326"/>
      <c r="G13083" s="326"/>
      <c r="H13083" s="326"/>
      <c r="P13083" s="318"/>
      <c r="Q13083" s="318"/>
      <c r="R13083" s="318"/>
      <c r="S13083" s="318"/>
      <c r="T13083" s="318"/>
      <c r="U13083" s="318"/>
      <c r="V13083" s="318"/>
      <c r="W13083" s="318"/>
      <c r="X13083" s="318"/>
      <c r="Y13083" s="318"/>
      <c r="Z13083" s="318"/>
      <c r="AA13083" s="318"/>
      <c r="AB13083" s="318"/>
      <c r="AC13083" s="318"/>
      <c r="AD13083" s="318"/>
    </row>
    <row r="13084" spans="2:30" s="323" customFormat="1" ht="12" customHeight="1">
      <c r="B13084" s="324"/>
      <c r="C13084" s="325"/>
      <c r="D13084" s="326"/>
      <c r="E13084" s="326"/>
      <c r="F13084" s="326"/>
      <c r="G13084" s="326"/>
      <c r="H13084" s="326"/>
      <c r="P13084" s="318"/>
      <c r="Q13084" s="318"/>
      <c r="R13084" s="318"/>
      <c r="S13084" s="318"/>
      <c r="T13084" s="318"/>
      <c r="U13084" s="318"/>
      <c r="V13084" s="318"/>
      <c r="W13084" s="318"/>
      <c r="X13084" s="318"/>
      <c r="Y13084" s="318"/>
      <c r="Z13084" s="318"/>
      <c r="AA13084" s="318"/>
      <c r="AB13084" s="318"/>
      <c r="AC13084" s="318"/>
      <c r="AD13084" s="318"/>
    </row>
    <row r="13085" spans="2:30" s="323" customFormat="1" ht="12" customHeight="1">
      <c r="B13085" s="324"/>
      <c r="C13085" s="325"/>
      <c r="D13085" s="326"/>
      <c r="E13085" s="326"/>
      <c r="F13085" s="326"/>
      <c r="G13085" s="326"/>
      <c r="H13085" s="326"/>
      <c r="P13085" s="318"/>
      <c r="Q13085" s="318"/>
      <c r="R13085" s="318"/>
      <c r="S13085" s="318"/>
      <c r="T13085" s="318"/>
      <c r="U13085" s="318"/>
      <c r="V13085" s="318"/>
      <c r="W13085" s="318"/>
      <c r="X13085" s="318"/>
      <c r="Y13085" s="318"/>
      <c r="Z13085" s="318"/>
      <c r="AA13085" s="318"/>
      <c r="AB13085" s="318"/>
      <c r="AC13085" s="318"/>
      <c r="AD13085" s="318"/>
    </row>
    <row r="13086" spans="2:30" s="323" customFormat="1" ht="12" customHeight="1">
      <c r="B13086" s="324"/>
      <c r="C13086" s="325"/>
      <c r="D13086" s="326"/>
      <c r="E13086" s="326"/>
      <c r="F13086" s="326"/>
      <c r="G13086" s="326"/>
      <c r="H13086" s="326"/>
      <c r="P13086" s="318"/>
      <c r="Q13086" s="318"/>
      <c r="R13086" s="318"/>
      <c r="S13086" s="318"/>
      <c r="T13086" s="318"/>
      <c r="U13086" s="318"/>
      <c r="V13086" s="318"/>
      <c r="W13086" s="318"/>
      <c r="X13086" s="318"/>
      <c r="Y13086" s="318"/>
      <c r="Z13086" s="318"/>
      <c r="AA13086" s="318"/>
      <c r="AB13086" s="318"/>
      <c r="AC13086" s="318"/>
      <c r="AD13086" s="318"/>
    </row>
    <row r="13087" spans="2:30" s="323" customFormat="1" ht="12" customHeight="1">
      <c r="B13087" s="324"/>
      <c r="C13087" s="325"/>
      <c r="D13087" s="326"/>
      <c r="E13087" s="326"/>
      <c r="F13087" s="326"/>
      <c r="G13087" s="326"/>
      <c r="H13087" s="326"/>
      <c r="P13087" s="318"/>
      <c r="Q13087" s="318"/>
      <c r="R13087" s="318"/>
      <c r="S13087" s="318"/>
      <c r="T13087" s="318"/>
      <c r="U13087" s="318"/>
      <c r="V13087" s="318"/>
      <c r="W13087" s="318"/>
      <c r="X13087" s="318"/>
      <c r="Y13087" s="318"/>
      <c r="Z13087" s="318"/>
      <c r="AA13087" s="318"/>
      <c r="AB13087" s="318"/>
      <c r="AC13087" s="318"/>
      <c r="AD13087" s="318"/>
    </row>
    <row r="13088" spans="2:30" s="323" customFormat="1" ht="12" customHeight="1">
      <c r="B13088" s="324"/>
      <c r="C13088" s="325"/>
      <c r="D13088" s="326"/>
      <c r="E13088" s="326"/>
      <c r="F13088" s="326"/>
      <c r="G13088" s="326"/>
      <c r="H13088" s="326"/>
      <c r="P13088" s="318"/>
      <c r="Q13088" s="318"/>
      <c r="R13088" s="318"/>
      <c r="S13088" s="318"/>
      <c r="T13088" s="318"/>
      <c r="U13088" s="318"/>
      <c r="V13088" s="318"/>
      <c r="W13088" s="318"/>
      <c r="X13088" s="318"/>
      <c r="Y13088" s="318"/>
      <c r="Z13088" s="318"/>
      <c r="AA13088" s="318"/>
      <c r="AB13088" s="318"/>
      <c r="AC13088" s="318"/>
      <c r="AD13088" s="318"/>
    </row>
    <row r="13089" spans="2:30" s="323" customFormat="1" ht="12" customHeight="1">
      <c r="B13089" s="324"/>
      <c r="C13089" s="325"/>
      <c r="D13089" s="326"/>
      <c r="E13089" s="326"/>
      <c r="F13089" s="326"/>
      <c r="G13089" s="326"/>
      <c r="H13089" s="326"/>
      <c r="P13089" s="318"/>
      <c r="Q13089" s="318"/>
      <c r="R13089" s="318"/>
      <c r="S13089" s="318"/>
      <c r="T13089" s="318"/>
      <c r="U13089" s="318"/>
      <c r="V13089" s="318"/>
      <c r="W13089" s="318"/>
      <c r="X13089" s="318"/>
      <c r="Y13089" s="318"/>
      <c r="Z13089" s="318"/>
      <c r="AA13089" s="318"/>
      <c r="AB13089" s="318"/>
      <c r="AC13089" s="318"/>
      <c r="AD13089" s="318"/>
    </row>
    <row r="13090" spans="2:30" s="323" customFormat="1" ht="12" customHeight="1">
      <c r="B13090" s="324"/>
      <c r="C13090" s="325"/>
      <c r="D13090" s="326"/>
      <c r="E13090" s="326"/>
      <c r="F13090" s="326"/>
      <c r="G13090" s="326"/>
      <c r="H13090" s="326"/>
      <c r="P13090" s="318"/>
      <c r="Q13090" s="318"/>
      <c r="R13090" s="318"/>
      <c r="S13090" s="318"/>
      <c r="T13090" s="318"/>
      <c r="U13090" s="318"/>
      <c r="V13090" s="318"/>
      <c r="W13090" s="318"/>
      <c r="X13090" s="318"/>
      <c r="Y13090" s="318"/>
      <c r="Z13090" s="318"/>
      <c r="AA13090" s="318"/>
      <c r="AB13090" s="318"/>
      <c r="AC13090" s="318"/>
      <c r="AD13090" s="318"/>
    </row>
    <row r="13091" spans="2:30" s="323" customFormat="1" ht="12" customHeight="1">
      <c r="B13091" s="324"/>
      <c r="C13091" s="325"/>
      <c r="D13091" s="326"/>
      <c r="E13091" s="326"/>
      <c r="F13091" s="326"/>
      <c r="G13091" s="326"/>
      <c r="H13091" s="326"/>
      <c r="P13091" s="318"/>
      <c r="Q13091" s="318"/>
      <c r="R13091" s="318"/>
      <c r="S13091" s="318"/>
      <c r="T13091" s="318"/>
      <c r="U13091" s="318"/>
      <c r="V13091" s="318"/>
      <c r="W13091" s="318"/>
      <c r="X13091" s="318"/>
      <c r="Y13091" s="318"/>
      <c r="Z13091" s="318"/>
      <c r="AA13091" s="318"/>
      <c r="AB13091" s="318"/>
      <c r="AC13091" s="318"/>
      <c r="AD13091" s="318"/>
    </row>
    <row r="13092" spans="2:30" s="323" customFormat="1" ht="12" customHeight="1">
      <c r="B13092" s="324"/>
      <c r="C13092" s="325"/>
      <c r="D13092" s="326"/>
      <c r="E13092" s="326"/>
      <c r="F13092" s="326"/>
      <c r="G13092" s="326"/>
      <c r="H13092" s="326"/>
      <c r="P13092" s="318"/>
      <c r="Q13092" s="318"/>
      <c r="R13092" s="318"/>
      <c r="S13092" s="318"/>
      <c r="T13092" s="318"/>
      <c r="U13092" s="318"/>
      <c r="V13092" s="318"/>
      <c r="W13092" s="318"/>
      <c r="X13092" s="318"/>
      <c r="Y13092" s="318"/>
      <c r="Z13092" s="318"/>
      <c r="AA13092" s="318"/>
      <c r="AB13092" s="318"/>
      <c r="AC13092" s="318"/>
      <c r="AD13092" s="318"/>
    </row>
    <row r="13093" spans="2:30" s="323" customFormat="1" ht="12" customHeight="1">
      <c r="B13093" s="324"/>
      <c r="C13093" s="325"/>
      <c r="D13093" s="326"/>
      <c r="E13093" s="326"/>
      <c r="F13093" s="326"/>
      <c r="G13093" s="326"/>
      <c r="H13093" s="326"/>
      <c r="P13093" s="318"/>
      <c r="Q13093" s="318"/>
      <c r="R13093" s="318"/>
      <c r="S13093" s="318"/>
      <c r="T13093" s="318"/>
      <c r="U13093" s="318"/>
      <c r="V13093" s="318"/>
      <c r="W13093" s="318"/>
      <c r="X13093" s="318"/>
      <c r="Y13093" s="318"/>
      <c r="Z13093" s="318"/>
      <c r="AA13093" s="318"/>
      <c r="AB13093" s="318"/>
      <c r="AC13093" s="318"/>
      <c r="AD13093" s="318"/>
    </row>
    <row r="13094" spans="2:30" s="323" customFormat="1" ht="12" customHeight="1">
      <c r="B13094" s="324"/>
      <c r="C13094" s="325"/>
      <c r="D13094" s="326"/>
      <c r="E13094" s="326"/>
      <c r="F13094" s="326"/>
      <c r="G13094" s="326"/>
      <c r="H13094" s="326"/>
      <c r="P13094" s="318"/>
      <c r="Q13094" s="318"/>
      <c r="R13094" s="318"/>
      <c r="S13094" s="318"/>
      <c r="T13094" s="318"/>
      <c r="U13094" s="318"/>
      <c r="V13094" s="318"/>
      <c r="W13094" s="318"/>
      <c r="X13094" s="318"/>
      <c r="Y13094" s="318"/>
      <c r="Z13094" s="318"/>
      <c r="AA13094" s="318"/>
      <c r="AB13094" s="318"/>
      <c r="AC13094" s="318"/>
      <c r="AD13094" s="318"/>
    </row>
    <row r="13095" spans="2:30" s="323" customFormat="1" ht="12" customHeight="1">
      <c r="B13095" s="324"/>
      <c r="C13095" s="325"/>
      <c r="D13095" s="326"/>
      <c r="E13095" s="326"/>
      <c r="F13095" s="326"/>
      <c r="G13095" s="326"/>
      <c r="H13095" s="326"/>
      <c r="P13095" s="318"/>
      <c r="Q13095" s="318"/>
      <c r="R13095" s="318"/>
      <c r="S13095" s="318"/>
      <c r="T13095" s="318"/>
      <c r="U13095" s="318"/>
      <c r="V13095" s="318"/>
      <c r="W13095" s="318"/>
      <c r="X13095" s="318"/>
      <c r="Y13095" s="318"/>
      <c r="Z13095" s="318"/>
      <c r="AA13095" s="318"/>
      <c r="AB13095" s="318"/>
      <c r="AC13095" s="318"/>
      <c r="AD13095" s="318"/>
    </row>
    <row r="13096" spans="2:30" s="323" customFormat="1" ht="12" customHeight="1">
      <c r="B13096" s="324"/>
      <c r="C13096" s="325"/>
      <c r="D13096" s="326"/>
      <c r="E13096" s="326"/>
      <c r="F13096" s="326"/>
      <c r="G13096" s="326"/>
      <c r="H13096" s="326"/>
      <c r="P13096" s="318"/>
      <c r="Q13096" s="318"/>
      <c r="R13096" s="318"/>
      <c r="S13096" s="318"/>
      <c r="T13096" s="318"/>
      <c r="U13096" s="318"/>
      <c r="V13096" s="318"/>
      <c r="W13096" s="318"/>
      <c r="X13096" s="318"/>
      <c r="Y13096" s="318"/>
      <c r="Z13096" s="318"/>
      <c r="AA13096" s="318"/>
      <c r="AB13096" s="318"/>
      <c r="AC13096" s="318"/>
      <c r="AD13096" s="318"/>
    </row>
    <row r="13097" spans="2:30" s="323" customFormat="1" ht="12" customHeight="1">
      <c r="B13097" s="324"/>
      <c r="C13097" s="325"/>
      <c r="D13097" s="326"/>
      <c r="E13097" s="326"/>
      <c r="F13097" s="326"/>
      <c r="G13097" s="326"/>
      <c r="H13097" s="326"/>
      <c r="P13097" s="318"/>
      <c r="Q13097" s="318"/>
      <c r="R13097" s="318"/>
      <c r="S13097" s="318"/>
      <c r="T13097" s="318"/>
      <c r="U13097" s="318"/>
      <c r="V13097" s="318"/>
      <c r="W13097" s="318"/>
      <c r="X13097" s="318"/>
      <c r="Y13097" s="318"/>
      <c r="Z13097" s="318"/>
      <c r="AA13097" s="318"/>
      <c r="AB13097" s="318"/>
      <c r="AC13097" s="318"/>
      <c r="AD13097" s="318"/>
    </row>
    <row r="13098" spans="2:30" s="323" customFormat="1" ht="12" customHeight="1">
      <c r="B13098" s="324"/>
      <c r="C13098" s="325"/>
      <c r="D13098" s="326"/>
      <c r="E13098" s="326"/>
      <c r="F13098" s="326"/>
      <c r="G13098" s="326"/>
      <c r="H13098" s="326"/>
      <c r="P13098" s="318"/>
      <c r="Q13098" s="318"/>
      <c r="R13098" s="318"/>
      <c r="S13098" s="318"/>
      <c r="T13098" s="318"/>
      <c r="U13098" s="318"/>
      <c r="V13098" s="318"/>
      <c r="W13098" s="318"/>
      <c r="X13098" s="318"/>
      <c r="Y13098" s="318"/>
      <c r="Z13098" s="318"/>
      <c r="AA13098" s="318"/>
      <c r="AB13098" s="318"/>
      <c r="AC13098" s="318"/>
      <c r="AD13098" s="318"/>
    </row>
    <row r="13099" spans="2:30" s="323" customFormat="1" ht="12" customHeight="1">
      <c r="B13099" s="324"/>
      <c r="C13099" s="325"/>
      <c r="D13099" s="326"/>
      <c r="E13099" s="326"/>
      <c r="F13099" s="326"/>
      <c r="G13099" s="326"/>
      <c r="H13099" s="326"/>
      <c r="P13099" s="318"/>
      <c r="Q13099" s="318"/>
      <c r="R13099" s="318"/>
      <c r="S13099" s="318"/>
      <c r="T13099" s="318"/>
      <c r="U13099" s="318"/>
      <c r="V13099" s="318"/>
      <c r="W13099" s="318"/>
      <c r="X13099" s="318"/>
      <c r="Y13099" s="318"/>
      <c r="Z13099" s="318"/>
      <c r="AA13099" s="318"/>
      <c r="AB13099" s="318"/>
      <c r="AC13099" s="318"/>
      <c r="AD13099" s="318"/>
    </row>
    <row r="13100" spans="2:30" s="323" customFormat="1" ht="12" customHeight="1">
      <c r="B13100" s="324"/>
      <c r="C13100" s="325"/>
      <c r="D13100" s="326"/>
      <c r="E13100" s="326"/>
      <c r="F13100" s="326"/>
      <c r="G13100" s="326"/>
      <c r="H13100" s="326"/>
      <c r="P13100" s="318"/>
      <c r="Q13100" s="318"/>
      <c r="R13100" s="318"/>
      <c r="S13100" s="318"/>
      <c r="T13100" s="318"/>
      <c r="U13100" s="318"/>
      <c r="V13100" s="318"/>
      <c r="W13100" s="318"/>
      <c r="X13100" s="318"/>
      <c r="Y13100" s="318"/>
      <c r="Z13100" s="318"/>
      <c r="AA13100" s="318"/>
      <c r="AB13100" s="318"/>
      <c r="AC13100" s="318"/>
      <c r="AD13100" s="318"/>
    </row>
    <row r="13101" spans="2:30" s="323" customFormat="1" ht="12" customHeight="1">
      <c r="B13101" s="324"/>
      <c r="C13101" s="325"/>
      <c r="D13101" s="326"/>
      <c r="E13101" s="326"/>
      <c r="F13101" s="326"/>
      <c r="G13101" s="326"/>
      <c r="H13101" s="326"/>
      <c r="P13101" s="318"/>
      <c r="Q13101" s="318"/>
      <c r="R13101" s="318"/>
      <c r="S13101" s="318"/>
      <c r="T13101" s="318"/>
      <c r="U13101" s="318"/>
      <c r="V13101" s="318"/>
      <c r="W13101" s="318"/>
      <c r="X13101" s="318"/>
      <c r="Y13101" s="318"/>
      <c r="Z13101" s="318"/>
      <c r="AA13101" s="318"/>
      <c r="AB13101" s="318"/>
      <c r="AC13101" s="318"/>
      <c r="AD13101" s="318"/>
    </row>
    <row r="13102" spans="2:30" s="323" customFormat="1" ht="12" customHeight="1">
      <c r="B13102" s="324"/>
      <c r="C13102" s="325"/>
      <c r="D13102" s="326"/>
      <c r="E13102" s="326"/>
      <c r="F13102" s="326"/>
      <c r="G13102" s="326"/>
      <c r="H13102" s="326"/>
      <c r="P13102" s="318"/>
      <c r="Q13102" s="318"/>
      <c r="R13102" s="318"/>
      <c r="S13102" s="318"/>
      <c r="T13102" s="318"/>
      <c r="U13102" s="318"/>
      <c r="V13102" s="318"/>
      <c r="W13102" s="318"/>
      <c r="X13102" s="318"/>
      <c r="Y13102" s="318"/>
      <c r="Z13102" s="318"/>
      <c r="AA13102" s="318"/>
      <c r="AB13102" s="318"/>
      <c r="AC13102" s="318"/>
      <c r="AD13102" s="318"/>
    </row>
    <row r="13103" spans="2:30" s="323" customFormat="1" ht="12" customHeight="1">
      <c r="B13103" s="324"/>
      <c r="C13103" s="325"/>
      <c r="D13103" s="326"/>
      <c r="E13103" s="326"/>
      <c r="F13103" s="326"/>
      <c r="G13103" s="326"/>
      <c r="H13103" s="326"/>
      <c r="P13103" s="318"/>
      <c r="Q13103" s="318"/>
      <c r="R13103" s="318"/>
      <c r="S13103" s="318"/>
      <c r="T13103" s="318"/>
      <c r="U13103" s="318"/>
      <c r="V13103" s="318"/>
      <c r="W13103" s="318"/>
      <c r="X13103" s="318"/>
      <c r="Y13103" s="318"/>
      <c r="Z13103" s="318"/>
      <c r="AA13103" s="318"/>
      <c r="AB13103" s="318"/>
      <c r="AC13103" s="318"/>
      <c r="AD13103" s="318"/>
    </row>
    <row r="13104" spans="2:30" s="323" customFormat="1" ht="12" customHeight="1">
      <c r="B13104" s="324"/>
      <c r="C13104" s="325"/>
      <c r="D13104" s="326"/>
      <c r="E13104" s="326"/>
      <c r="F13104" s="326"/>
      <c r="G13104" s="326"/>
      <c r="H13104" s="326"/>
      <c r="P13104" s="318"/>
      <c r="Q13104" s="318"/>
      <c r="R13104" s="318"/>
      <c r="S13104" s="318"/>
      <c r="T13104" s="318"/>
      <c r="U13104" s="318"/>
      <c r="V13104" s="318"/>
      <c r="W13104" s="318"/>
      <c r="X13104" s="318"/>
      <c r="Y13104" s="318"/>
      <c r="Z13104" s="318"/>
      <c r="AA13104" s="318"/>
      <c r="AB13104" s="318"/>
      <c r="AC13104" s="318"/>
      <c r="AD13104" s="318"/>
    </row>
    <row r="13105" spans="2:30" s="323" customFormat="1" ht="12" customHeight="1">
      <c r="B13105" s="324"/>
      <c r="C13105" s="325"/>
      <c r="D13105" s="326"/>
      <c r="E13105" s="326"/>
      <c r="F13105" s="326"/>
      <c r="G13105" s="326"/>
      <c r="H13105" s="326"/>
      <c r="P13105" s="318"/>
      <c r="Q13105" s="318"/>
      <c r="R13105" s="318"/>
      <c r="S13105" s="318"/>
      <c r="T13105" s="318"/>
      <c r="U13105" s="318"/>
      <c r="V13105" s="318"/>
      <c r="W13105" s="318"/>
      <c r="X13105" s="318"/>
      <c r="Y13105" s="318"/>
      <c r="Z13105" s="318"/>
      <c r="AA13105" s="318"/>
      <c r="AB13105" s="318"/>
      <c r="AC13105" s="318"/>
      <c r="AD13105" s="318"/>
    </row>
    <row r="13106" spans="2:30" s="323" customFormat="1" ht="12" customHeight="1">
      <c r="B13106" s="324"/>
      <c r="C13106" s="325"/>
      <c r="D13106" s="326"/>
      <c r="E13106" s="326"/>
      <c r="F13106" s="326"/>
      <c r="G13106" s="326"/>
      <c r="H13106" s="326"/>
      <c r="P13106" s="318"/>
      <c r="Q13106" s="318"/>
      <c r="R13106" s="318"/>
      <c r="S13106" s="318"/>
      <c r="T13106" s="318"/>
      <c r="U13106" s="318"/>
      <c r="V13106" s="318"/>
      <c r="W13106" s="318"/>
      <c r="X13106" s="318"/>
      <c r="Y13106" s="318"/>
      <c r="Z13106" s="318"/>
      <c r="AA13106" s="318"/>
      <c r="AB13106" s="318"/>
      <c r="AC13106" s="318"/>
      <c r="AD13106" s="318"/>
    </row>
    <row r="13107" spans="2:30" s="323" customFormat="1" ht="12" customHeight="1">
      <c r="B13107" s="324"/>
      <c r="C13107" s="325"/>
      <c r="D13107" s="326"/>
      <c r="E13107" s="326"/>
      <c r="F13107" s="326"/>
      <c r="G13107" s="326"/>
      <c r="H13107" s="326"/>
      <c r="P13107" s="318"/>
      <c r="Q13107" s="318"/>
      <c r="R13107" s="318"/>
      <c r="S13107" s="318"/>
      <c r="T13107" s="318"/>
      <c r="U13107" s="318"/>
      <c r="V13107" s="318"/>
      <c r="W13107" s="318"/>
      <c r="X13107" s="318"/>
      <c r="Y13107" s="318"/>
      <c r="Z13107" s="318"/>
      <c r="AA13107" s="318"/>
      <c r="AB13107" s="318"/>
      <c r="AC13107" s="318"/>
      <c r="AD13107" s="318"/>
    </row>
    <row r="13108" spans="2:30" s="323" customFormat="1" ht="12" customHeight="1">
      <c r="B13108" s="324"/>
      <c r="C13108" s="325"/>
      <c r="D13108" s="326"/>
      <c r="E13108" s="326"/>
      <c r="F13108" s="326"/>
      <c r="G13108" s="326"/>
      <c r="H13108" s="326"/>
      <c r="P13108" s="318"/>
      <c r="Q13108" s="318"/>
      <c r="R13108" s="318"/>
      <c r="S13108" s="318"/>
      <c r="T13108" s="318"/>
      <c r="U13108" s="318"/>
      <c r="V13108" s="318"/>
      <c r="W13108" s="318"/>
      <c r="X13108" s="318"/>
      <c r="Y13108" s="318"/>
      <c r="Z13108" s="318"/>
      <c r="AA13108" s="318"/>
      <c r="AB13108" s="318"/>
      <c r="AC13108" s="318"/>
      <c r="AD13108" s="318"/>
    </row>
    <row r="13109" spans="2:30" s="323" customFormat="1" ht="12" customHeight="1">
      <c r="B13109" s="324"/>
      <c r="C13109" s="325"/>
      <c r="D13109" s="326"/>
      <c r="E13109" s="326"/>
      <c r="F13109" s="326"/>
      <c r="G13109" s="326"/>
      <c r="H13109" s="326"/>
      <c r="P13109" s="318"/>
      <c r="Q13109" s="318"/>
      <c r="R13109" s="318"/>
      <c r="S13109" s="318"/>
      <c r="T13109" s="318"/>
      <c r="U13109" s="318"/>
      <c r="V13109" s="318"/>
      <c r="W13109" s="318"/>
      <c r="X13109" s="318"/>
      <c r="Y13109" s="318"/>
      <c r="Z13109" s="318"/>
      <c r="AA13109" s="318"/>
      <c r="AB13109" s="318"/>
      <c r="AC13109" s="318"/>
      <c r="AD13109" s="318"/>
    </row>
    <row r="13110" spans="2:30" s="323" customFormat="1" ht="12" customHeight="1">
      <c r="B13110" s="324"/>
      <c r="C13110" s="325"/>
      <c r="D13110" s="326"/>
      <c r="E13110" s="326"/>
      <c r="F13110" s="326"/>
      <c r="G13110" s="326"/>
      <c r="H13110" s="326"/>
      <c r="P13110" s="318"/>
      <c r="Q13110" s="318"/>
      <c r="R13110" s="318"/>
      <c r="S13110" s="318"/>
      <c r="T13110" s="318"/>
      <c r="U13110" s="318"/>
      <c r="V13110" s="318"/>
      <c r="W13110" s="318"/>
      <c r="X13110" s="318"/>
      <c r="Y13110" s="318"/>
      <c r="Z13110" s="318"/>
      <c r="AA13110" s="318"/>
      <c r="AB13110" s="318"/>
      <c r="AC13110" s="318"/>
      <c r="AD13110" s="318"/>
    </row>
    <row r="13111" spans="2:30" s="323" customFormat="1" ht="12" customHeight="1">
      <c r="B13111" s="324"/>
      <c r="C13111" s="325"/>
      <c r="D13111" s="326"/>
      <c r="E13111" s="326"/>
      <c r="F13111" s="326"/>
      <c r="G13111" s="326"/>
      <c r="H13111" s="326"/>
      <c r="P13111" s="318"/>
      <c r="Q13111" s="318"/>
      <c r="R13111" s="318"/>
      <c r="S13111" s="318"/>
      <c r="T13111" s="318"/>
      <c r="U13111" s="318"/>
      <c r="V13111" s="318"/>
      <c r="W13111" s="318"/>
      <c r="X13111" s="318"/>
      <c r="Y13111" s="318"/>
      <c r="Z13111" s="318"/>
      <c r="AA13111" s="318"/>
      <c r="AB13111" s="318"/>
      <c r="AC13111" s="318"/>
      <c r="AD13111" s="318"/>
    </row>
    <row r="13112" spans="2:30" s="323" customFormat="1" ht="12" customHeight="1">
      <c r="B13112" s="324"/>
      <c r="C13112" s="325"/>
      <c r="D13112" s="326"/>
      <c r="E13112" s="326"/>
      <c r="F13112" s="326"/>
      <c r="G13112" s="326"/>
      <c r="H13112" s="326"/>
      <c r="P13112" s="318"/>
      <c r="Q13112" s="318"/>
      <c r="R13112" s="318"/>
      <c r="S13112" s="318"/>
      <c r="T13112" s="318"/>
      <c r="U13112" s="318"/>
      <c r="V13112" s="318"/>
      <c r="W13112" s="318"/>
      <c r="X13112" s="318"/>
      <c r="Y13112" s="318"/>
      <c r="Z13112" s="318"/>
      <c r="AA13112" s="318"/>
      <c r="AB13112" s="318"/>
      <c r="AC13112" s="318"/>
      <c r="AD13112" s="318"/>
    </row>
    <row r="13113" spans="2:30" s="323" customFormat="1" ht="12" customHeight="1">
      <c r="B13113" s="324"/>
      <c r="C13113" s="325"/>
      <c r="D13113" s="326"/>
      <c r="E13113" s="326"/>
      <c r="F13113" s="326"/>
      <c r="G13113" s="326"/>
      <c r="H13113" s="326"/>
      <c r="P13113" s="318"/>
      <c r="Q13113" s="318"/>
      <c r="R13113" s="318"/>
      <c r="S13113" s="318"/>
      <c r="T13113" s="318"/>
      <c r="U13113" s="318"/>
      <c r="V13113" s="318"/>
      <c r="W13113" s="318"/>
      <c r="X13113" s="318"/>
      <c r="Y13113" s="318"/>
      <c r="Z13113" s="318"/>
      <c r="AA13113" s="318"/>
      <c r="AB13113" s="318"/>
      <c r="AC13113" s="318"/>
      <c r="AD13113" s="318"/>
    </row>
    <row r="13114" spans="2:30" s="323" customFormat="1" ht="12" customHeight="1">
      <c r="B13114" s="324"/>
      <c r="C13114" s="325"/>
      <c r="D13114" s="326"/>
      <c r="E13114" s="326"/>
      <c r="F13114" s="326"/>
      <c r="G13114" s="326"/>
      <c r="H13114" s="326"/>
      <c r="P13114" s="318"/>
      <c r="Q13114" s="318"/>
      <c r="R13114" s="318"/>
      <c r="S13114" s="318"/>
      <c r="T13114" s="318"/>
      <c r="U13114" s="318"/>
      <c r="V13114" s="318"/>
      <c r="W13114" s="318"/>
      <c r="X13114" s="318"/>
      <c r="Y13114" s="318"/>
      <c r="Z13114" s="318"/>
      <c r="AA13114" s="318"/>
      <c r="AB13114" s="318"/>
      <c r="AC13114" s="318"/>
      <c r="AD13114" s="318"/>
    </row>
    <row r="13115" spans="2:30" s="323" customFormat="1" ht="12" customHeight="1">
      <c r="B13115" s="324"/>
      <c r="C13115" s="325"/>
      <c r="D13115" s="326"/>
      <c r="E13115" s="326"/>
      <c r="F13115" s="326"/>
      <c r="G13115" s="326"/>
      <c r="H13115" s="326"/>
      <c r="P13115" s="318"/>
      <c r="Q13115" s="318"/>
      <c r="R13115" s="318"/>
      <c r="S13115" s="318"/>
      <c r="T13115" s="318"/>
      <c r="U13115" s="318"/>
      <c r="V13115" s="318"/>
      <c r="W13115" s="318"/>
      <c r="X13115" s="318"/>
      <c r="Y13115" s="318"/>
      <c r="Z13115" s="318"/>
      <c r="AA13115" s="318"/>
      <c r="AB13115" s="318"/>
      <c r="AC13115" s="318"/>
      <c r="AD13115" s="318"/>
    </row>
    <row r="13116" spans="2:30" s="323" customFormat="1" ht="12" customHeight="1">
      <c r="B13116" s="324"/>
      <c r="C13116" s="325"/>
      <c r="D13116" s="326"/>
      <c r="E13116" s="326"/>
      <c r="F13116" s="326"/>
      <c r="G13116" s="326"/>
      <c r="H13116" s="326"/>
      <c r="P13116" s="318"/>
      <c r="Q13116" s="318"/>
      <c r="R13116" s="318"/>
      <c r="S13116" s="318"/>
      <c r="T13116" s="318"/>
      <c r="U13116" s="318"/>
      <c r="V13116" s="318"/>
      <c r="W13116" s="318"/>
      <c r="X13116" s="318"/>
      <c r="Y13116" s="318"/>
      <c r="Z13116" s="318"/>
      <c r="AA13116" s="318"/>
      <c r="AB13116" s="318"/>
      <c r="AC13116" s="318"/>
      <c r="AD13116" s="318"/>
    </row>
    <row r="13117" spans="2:30" s="323" customFormat="1" ht="12" customHeight="1">
      <c r="B13117" s="324"/>
      <c r="C13117" s="325"/>
      <c r="D13117" s="326"/>
      <c r="E13117" s="326"/>
      <c r="F13117" s="326"/>
      <c r="G13117" s="326"/>
      <c r="H13117" s="326"/>
      <c r="P13117" s="318"/>
      <c r="Q13117" s="318"/>
      <c r="R13117" s="318"/>
      <c r="S13117" s="318"/>
      <c r="T13117" s="318"/>
      <c r="U13117" s="318"/>
      <c r="V13117" s="318"/>
      <c r="W13117" s="318"/>
      <c r="X13117" s="318"/>
      <c r="Y13117" s="318"/>
      <c r="Z13117" s="318"/>
      <c r="AA13117" s="318"/>
      <c r="AB13117" s="318"/>
      <c r="AC13117" s="318"/>
      <c r="AD13117" s="318"/>
    </row>
    <row r="13118" spans="2:30" s="323" customFormat="1" ht="12" customHeight="1">
      <c r="B13118" s="324"/>
      <c r="C13118" s="325"/>
      <c r="D13118" s="326"/>
      <c r="E13118" s="326"/>
      <c r="F13118" s="326"/>
      <c r="G13118" s="326"/>
      <c r="H13118" s="326"/>
      <c r="P13118" s="318"/>
      <c r="Q13118" s="318"/>
      <c r="R13118" s="318"/>
      <c r="S13118" s="318"/>
      <c r="T13118" s="318"/>
      <c r="U13118" s="318"/>
      <c r="V13118" s="318"/>
      <c r="W13118" s="318"/>
      <c r="X13118" s="318"/>
      <c r="Y13118" s="318"/>
      <c r="Z13118" s="318"/>
      <c r="AA13118" s="318"/>
      <c r="AB13118" s="318"/>
      <c r="AC13118" s="318"/>
      <c r="AD13118" s="318"/>
    </row>
    <row r="13119" spans="2:30" s="323" customFormat="1" ht="12" customHeight="1">
      <c r="B13119" s="324"/>
      <c r="C13119" s="325"/>
      <c r="D13119" s="326"/>
      <c r="E13119" s="326"/>
      <c r="F13119" s="326"/>
      <c r="G13119" s="326"/>
      <c r="H13119" s="326"/>
      <c r="P13119" s="318"/>
      <c r="Q13119" s="318"/>
      <c r="R13119" s="318"/>
      <c r="S13119" s="318"/>
      <c r="T13119" s="318"/>
      <c r="U13119" s="318"/>
      <c r="V13119" s="318"/>
      <c r="W13119" s="318"/>
      <c r="X13119" s="318"/>
      <c r="Y13119" s="318"/>
      <c r="Z13119" s="318"/>
      <c r="AA13119" s="318"/>
      <c r="AB13119" s="318"/>
      <c r="AC13119" s="318"/>
      <c r="AD13119" s="318"/>
    </row>
    <row r="13120" spans="2:30" s="323" customFormat="1" ht="12" customHeight="1">
      <c r="B13120" s="324"/>
      <c r="C13120" s="325"/>
      <c r="D13120" s="326"/>
      <c r="E13120" s="326"/>
      <c r="F13120" s="326"/>
      <c r="G13120" s="326"/>
      <c r="H13120" s="326"/>
      <c r="P13120" s="318"/>
      <c r="Q13120" s="318"/>
      <c r="R13120" s="318"/>
      <c r="S13120" s="318"/>
      <c r="T13120" s="318"/>
      <c r="U13120" s="318"/>
      <c r="V13120" s="318"/>
      <c r="W13120" s="318"/>
      <c r="X13120" s="318"/>
      <c r="Y13120" s="318"/>
      <c r="Z13120" s="318"/>
      <c r="AA13120" s="318"/>
      <c r="AB13120" s="318"/>
      <c r="AC13120" s="318"/>
      <c r="AD13120" s="318"/>
    </row>
    <row r="13121" spans="2:30" s="323" customFormat="1" ht="12" customHeight="1">
      <c r="B13121" s="324"/>
      <c r="C13121" s="325"/>
      <c r="D13121" s="326"/>
      <c r="E13121" s="326"/>
      <c r="F13121" s="326"/>
      <c r="G13121" s="326"/>
      <c r="H13121" s="326"/>
      <c r="P13121" s="318"/>
      <c r="Q13121" s="318"/>
      <c r="R13121" s="318"/>
      <c r="S13121" s="318"/>
      <c r="T13121" s="318"/>
      <c r="U13121" s="318"/>
      <c r="V13121" s="318"/>
      <c r="W13121" s="318"/>
      <c r="X13121" s="318"/>
      <c r="Y13121" s="318"/>
      <c r="Z13121" s="318"/>
      <c r="AA13121" s="318"/>
      <c r="AB13121" s="318"/>
      <c r="AC13121" s="318"/>
      <c r="AD13121" s="318"/>
    </row>
    <row r="13122" spans="2:30" s="323" customFormat="1" ht="12" customHeight="1">
      <c r="B13122" s="324"/>
      <c r="C13122" s="325"/>
      <c r="D13122" s="326"/>
      <c r="E13122" s="326"/>
      <c r="F13122" s="326"/>
      <c r="G13122" s="326"/>
      <c r="H13122" s="326"/>
      <c r="P13122" s="318"/>
      <c r="Q13122" s="318"/>
      <c r="R13122" s="318"/>
      <c r="S13122" s="318"/>
      <c r="T13122" s="318"/>
      <c r="U13122" s="318"/>
      <c r="V13122" s="318"/>
      <c r="W13122" s="318"/>
      <c r="X13122" s="318"/>
      <c r="Y13122" s="318"/>
      <c r="Z13122" s="318"/>
      <c r="AA13122" s="318"/>
      <c r="AB13122" s="318"/>
      <c r="AC13122" s="318"/>
      <c r="AD13122" s="318"/>
    </row>
    <row r="13123" spans="2:30" s="323" customFormat="1" ht="12" customHeight="1">
      <c r="B13123" s="324"/>
      <c r="C13123" s="325"/>
      <c r="D13123" s="326"/>
      <c r="E13123" s="326"/>
      <c r="F13123" s="326"/>
      <c r="G13123" s="326"/>
      <c r="H13123" s="326"/>
      <c r="P13123" s="318"/>
      <c r="Q13123" s="318"/>
      <c r="R13123" s="318"/>
      <c r="S13123" s="318"/>
      <c r="T13123" s="318"/>
      <c r="U13123" s="318"/>
      <c r="V13123" s="318"/>
      <c r="W13123" s="318"/>
      <c r="X13123" s="318"/>
      <c r="Y13123" s="318"/>
      <c r="Z13123" s="318"/>
      <c r="AA13123" s="318"/>
      <c r="AB13123" s="318"/>
      <c r="AC13123" s="318"/>
      <c r="AD13123" s="318"/>
    </row>
    <row r="13124" spans="2:30" s="323" customFormat="1" ht="12" customHeight="1">
      <c r="B13124" s="324"/>
      <c r="C13124" s="325"/>
      <c r="D13124" s="326"/>
      <c r="E13124" s="326"/>
      <c r="F13124" s="326"/>
      <c r="G13124" s="326"/>
      <c r="H13124" s="326"/>
      <c r="P13124" s="318"/>
      <c r="Q13124" s="318"/>
      <c r="R13124" s="318"/>
      <c r="S13124" s="318"/>
      <c r="T13124" s="318"/>
      <c r="U13124" s="318"/>
      <c r="V13124" s="318"/>
      <c r="W13124" s="318"/>
      <c r="X13124" s="318"/>
      <c r="Y13124" s="318"/>
      <c r="Z13124" s="318"/>
      <c r="AA13124" s="318"/>
      <c r="AB13124" s="318"/>
      <c r="AC13124" s="318"/>
      <c r="AD13124" s="318"/>
    </row>
    <row r="13125" spans="2:30" s="323" customFormat="1" ht="12" customHeight="1">
      <c r="B13125" s="324"/>
      <c r="C13125" s="325"/>
      <c r="D13125" s="326"/>
      <c r="E13125" s="326"/>
      <c r="F13125" s="326"/>
      <c r="G13125" s="326"/>
      <c r="H13125" s="326"/>
      <c r="P13125" s="318"/>
      <c r="Q13125" s="318"/>
      <c r="R13125" s="318"/>
      <c r="S13125" s="318"/>
      <c r="T13125" s="318"/>
      <c r="U13125" s="318"/>
      <c r="V13125" s="318"/>
      <c r="W13125" s="318"/>
      <c r="X13125" s="318"/>
      <c r="Y13125" s="318"/>
      <c r="Z13125" s="318"/>
      <c r="AA13125" s="318"/>
      <c r="AB13125" s="318"/>
      <c r="AC13125" s="318"/>
      <c r="AD13125" s="318"/>
    </row>
    <row r="13126" spans="2:30" s="323" customFormat="1" ht="12" customHeight="1">
      <c r="B13126" s="324"/>
      <c r="C13126" s="325"/>
      <c r="D13126" s="326"/>
      <c r="E13126" s="326"/>
      <c r="F13126" s="326"/>
      <c r="G13126" s="326"/>
      <c r="H13126" s="326"/>
      <c r="P13126" s="318"/>
      <c r="Q13126" s="318"/>
      <c r="R13126" s="318"/>
      <c r="S13126" s="318"/>
      <c r="T13126" s="318"/>
      <c r="U13126" s="318"/>
      <c r="V13126" s="318"/>
      <c r="W13126" s="318"/>
      <c r="X13126" s="318"/>
      <c r="Y13126" s="318"/>
      <c r="Z13126" s="318"/>
      <c r="AA13126" s="318"/>
      <c r="AB13126" s="318"/>
      <c r="AC13126" s="318"/>
      <c r="AD13126" s="318"/>
    </row>
    <row r="13127" spans="2:30" s="323" customFormat="1" ht="12" customHeight="1">
      <c r="B13127" s="324"/>
      <c r="C13127" s="325"/>
      <c r="D13127" s="326"/>
      <c r="E13127" s="326"/>
      <c r="F13127" s="326"/>
      <c r="G13127" s="326"/>
      <c r="H13127" s="326"/>
      <c r="P13127" s="318"/>
      <c r="Q13127" s="318"/>
      <c r="R13127" s="318"/>
      <c r="S13127" s="318"/>
      <c r="T13127" s="318"/>
      <c r="U13127" s="318"/>
      <c r="V13127" s="318"/>
      <c r="W13127" s="318"/>
      <c r="X13127" s="318"/>
      <c r="Y13127" s="318"/>
      <c r="Z13127" s="318"/>
      <c r="AA13127" s="318"/>
      <c r="AB13127" s="318"/>
      <c r="AC13127" s="318"/>
      <c r="AD13127" s="318"/>
    </row>
    <row r="13128" spans="2:30" s="323" customFormat="1" ht="12" customHeight="1">
      <c r="B13128" s="324"/>
      <c r="C13128" s="325"/>
      <c r="D13128" s="326"/>
      <c r="E13128" s="326"/>
      <c r="F13128" s="326"/>
      <c r="G13128" s="326"/>
      <c r="H13128" s="326"/>
      <c r="P13128" s="318"/>
      <c r="Q13128" s="318"/>
      <c r="R13128" s="318"/>
      <c r="S13128" s="318"/>
      <c r="T13128" s="318"/>
      <c r="U13128" s="318"/>
      <c r="V13128" s="318"/>
      <c r="W13128" s="318"/>
      <c r="X13128" s="318"/>
      <c r="Y13128" s="318"/>
      <c r="Z13128" s="318"/>
      <c r="AA13128" s="318"/>
      <c r="AB13128" s="318"/>
      <c r="AC13128" s="318"/>
      <c r="AD13128" s="318"/>
    </row>
    <row r="13129" spans="2:30" s="323" customFormat="1" ht="12" customHeight="1">
      <c r="B13129" s="324"/>
      <c r="C13129" s="325"/>
      <c r="D13129" s="326"/>
      <c r="E13129" s="326"/>
      <c r="F13129" s="326"/>
      <c r="G13129" s="326"/>
      <c r="H13129" s="326"/>
      <c r="P13129" s="318"/>
      <c r="Q13129" s="318"/>
      <c r="R13129" s="318"/>
      <c r="S13129" s="318"/>
      <c r="T13129" s="318"/>
      <c r="U13129" s="318"/>
      <c r="V13129" s="318"/>
      <c r="W13129" s="318"/>
      <c r="X13129" s="318"/>
      <c r="Y13129" s="318"/>
      <c r="Z13129" s="318"/>
      <c r="AA13129" s="318"/>
      <c r="AB13129" s="318"/>
      <c r="AC13129" s="318"/>
      <c r="AD13129" s="318"/>
    </row>
    <row r="13130" spans="2:30" s="323" customFormat="1" ht="12" customHeight="1">
      <c r="B13130" s="324"/>
      <c r="C13130" s="325"/>
      <c r="D13130" s="326"/>
      <c r="E13130" s="326"/>
      <c r="F13130" s="326"/>
      <c r="G13130" s="326"/>
      <c r="H13130" s="326"/>
      <c r="P13130" s="318"/>
      <c r="Q13130" s="318"/>
      <c r="R13130" s="318"/>
      <c r="S13130" s="318"/>
      <c r="T13130" s="318"/>
      <c r="U13130" s="318"/>
      <c r="V13130" s="318"/>
      <c r="W13130" s="318"/>
      <c r="X13130" s="318"/>
      <c r="Y13130" s="318"/>
      <c r="Z13130" s="318"/>
      <c r="AA13130" s="318"/>
      <c r="AB13130" s="318"/>
      <c r="AC13130" s="318"/>
      <c r="AD13130" s="318"/>
    </row>
    <row r="13131" spans="2:30" s="323" customFormat="1" ht="12" customHeight="1">
      <c r="B13131" s="324"/>
      <c r="C13131" s="325"/>
      <c r="D13131" s="326"/>
      <c r="E13131" s="326"/>
      <c r="F13131" s="326"/>
      <c r="G13131" s="326"/>
      <c r="H13131" s="326"/>
      <c r="P13131" s="318"/>
      <c r="Q13131" s="318"/>
      <c r="R13131" s="318"/>
      <c r="S13131" s="318"/>
      <c r="T13131" s="318"/>
      <c r="U13131" s="318"/>
      <c r="V13131" s="318"/>
      <c r="W13131" s="318"/>
      <c r="X13131" s="318"/>
      <c r="Y13131" s="318"/>
      <c r="Z13131" s="318"/>
      <c r="AA13131" s="318"/>
      <c r="AB13131" s="318"/>
      <c r="AC13131" s="318"/>
      <c r="AD13131" s="318"/>
    </row>
    <row r="13132" spans="2:30" s="323" customFormat="1" ht="12" customHeight="1">
      <c r="B13132" s="324"/>
      <c r="C13132" s="325"/>
      <c r="D13132" s="326"/>
      <c r="E13132" s="326"/>
      <c r="F13132" s="326"/>
      <c r="G13132" s="326"/>
      <c r="H13132" s="326"/>
      <c r="P13132" s="318"/>
      <c r="Q13132" s="318"/>
      <c r="R13132" s="318"/>
      <c r="S13132" s="318"/>
      <c r="T13132" s="318"/>
      <c r="U13132" s="318"/>
      <c r="V13132" s="318"/>
      <c r="W13132" s="318"/>
      <c r="X13132" s="318"/>
      <c r="Y13132" s="318"/>
      <c r="Z13132" s="318"/>
      <c r="AA13132" s="318"/>
      <c r="AB13132" s="318"/>
      <c r="AC13132" s="318"/>
      <c r="AD13132" s="318"/>
    </row>
    <row r="13133" spans="2:30" s="323" customFormat="1" ht="12" customHeight="1">
      <c r="B13133" s="324"/>
      <c r="C13133" s="325"/>
      <c r="D13133" s="326"/>
      <c r="E13133" s="326"/>
      <c r="F13133" s="326"/>
      <c r="G13133" s="326"/>
      <c r="H13133" s="326"/>
      <c r="P13133" s="318"/>
      <c r="Q13133" s="318"/>
      <c r="R13133" s="318"/>
      <c r="S13133" s="318"/>
      <c r="T13133" s="318"/>
      <c r="U13133" s="318"/>
      <c r="V13133" s="318"/>
      <c r="W13133" s="318"/>
      <c r="X13133" s="318"/>
      <c r="Y13133" s="318"/>
      <c r="Z13133" s="318"/>
      <c r="AA13133" s="318"/>
      <c r="AB13133" s="318"/>
      <c r="AC13133" s="318"/>
      <c r="AD13133" s="318"/>
    </row>
    <row r="13134" spans="2:30" s="323" customFormat="1" ht="12" customHeight="1">
      <c r="B13134" s="324"/>
      <c r="C13134" s="325"/>
      <c r="D13134" s="326"/>
      <c r="E13134" s="326"/>
      <c r="F13134" s="326"/>
      <c r="G13134" s="326"/>
      <c r="H13134" s="326"/>
      <c r="P13134" s="318"/>
      <c r="Q13134" s="318"/>
      <c r="R13134" s="318"/>
      <c r="S13134" s="318"/>
      <c r="T13134" s="318"/>
      <c r="U13134" s="318"/>
      <c r="V13134" s="318"/>
      <c r="W13134" s="318"/>
      <c r="X13134" s="318"/>
      <c r="Y13134" s="318"/>
      <c r="Z13134" s="318"/>
      <c r="AA13134" s="318"/>
      <c r="AB13134" s="318"/>
      <c r="AC13134" s="318"/>
      <c r="AD13134" s="318"/>
    </row>
    <row r="13135" spans="2:30" s="323" customFormat="1" ht="12" customHeight="1">
      <c r="B13135" s="324"/>
      <c r="C13135" s="325"/>
      <c r="D13135" s="326"/>
      <c r="E13135" s="326"/>
      <c r="F13135" s="326"/>
      <c r="G13135" s="326"/>
      <c r="H13135" s="326"/>
      <c r="P13135" s="318"/>
      <c r="Q13135" s="318"/>
      <c r="R13135" s="318"/>
      <c r="S13135" s="318"/>
      <c r="T13135" s="318"/>
      <c r="U13135" s="318"/>
      <c r="V13135" s="318"/>
      <c r="W13135" s="318"/>
      <c r="X13135" s="318"/>
      <c r="Y13135" s="318"/>
      <c r="Z13135" s="318"/>
      <c r="AA13135" s="318"/>
      <c r="AB13135" s="318"/>
      <c r="AC13135" s="318"/>
      <c r="AD13135" s="318"/>
    </row>
    <row r="13136" spans="2:30" s="323" customFormat="1" ht="12" customHeight="1">
      <c r="B13136" s="324"/>
      <c r="C13136" s="325"/>
      <c r="D13136" s="326"/>
      <c r="E13136" s="326"/>
      <c r="F13136" s="326"/>
      <c r="G13136" s="326"/>
      <c r="H13136" s="326"/>
      <c r="P13136" s="318"/>
      <c r="Q13136" s="318"/>
      <c r="R13136" s="318"/>
      <c r="S13136" s="318"/>
      <c r="T13136" s="318"/>
      <c r="U13136" s="318"/>
      <c r="V13136" s="318"/>
      <c r="W13136" s="318"/>
      <c r="X13136" s="318"/>
      <c r="Y13136" s="318"/>
      <c r="Z13136" s="318"/>
      <c r="AA13136" s="318"/>
      <c r="AB13136" s="318"/>
      <c r="AC13136" s="318"/>
      <c r="AD13136" s="318"/>
    </row>
    <row r="13137" spans="2:30" s="323" customFormat="1" ht="12" customHeight="1">
      <c r="B13137" s="324"/>
      <c r="C13137" s="325"/>
      <c r="D13137" s="326"/>
      <c r="E13137" s="326"/>
      <c r="F13137" s="326"/>
      <c r="G13137" s="326"/>
      <c r="H13137" s="326"/>
      <c r="P13137" s="318"/>
      <c r="Q13137" s="318"/>
      <c r="R13137" s="318"/>
      <c r="S13137" s="318"/>
      <c r="T13137" s="318"/>
      <c r="U13137" s="318"/>
      <c r="V13137" s="318"/>
      <c r="W13137" s="318"/>
      <c r="X13137" s="318"/>
      <c r="Y13137" s="318"/>
      <c r="Z13137" s="318"/>
      <c r="AA13137" s="318"/>
      <c r="AB13137" s="318"/>
      <c r="AC13137" s="318"/>
      <c r="AD13137" s="318"/>
    </row>
    <row r="13138" spans="2:30" s="323" customFormat="1" ht="12" customHeight="1">
      <c r="B13138" s="324"/>
      <c r="C13138" s="325"/>
      <c r="D13138" s="326"/>
      <c r="E13138" s="326"/>
      <c r="F13138" s="326"/>
      <c r="G13138" s="326"/>
      <c r="H13138" s="326"/>
      <c r="P13138" s="318"/>
      <c r="Q13138" s="318"/>
      <c r="R13138" s="318"/>
      <c r="S13138" s="318"/>
      <c r="T13138" s="318"/>
      <c r="U13138" s="318"/>
      <c r="V13138" s="318"/>
      <c r="W13138" s="318"/>
      <c r="X13138" s="318"/>
      <c r="Y13138" s="318"/>
      <c r="Z13138" s="318"/>
      <c r="AA13138" s="318"/>
      <c r="AB13138" s="318"/>
      <c r="AC13138" s="318"/>
      <c r="AD13138" s="318"/>
    </row>
    <row r="13139" spans="2:30" s="323" customFormat="1" ht="12" customHeight="1">
      <c r="B13139" s="324"/>
      <c r="C13139" s="325"/>
      <c r="D13139" s="326"/>
      <c r="E13139" s="326"/>
      <c r="F13139" s="326"/>
      <c r="G13139" s="326"/>
      <c r="H13139" s="326"/>
      <c r="P13139" s="318"/>
      <c r="Q13139" s="318"/>
      <c r="R13139" s="318"/>
      <c r="S13139" s="318"/>
      <c r="T13139" s="318"/>
      <c r="U13139" s="318"/>
      <c r="V13139" s="318"/>
      <c r="W13139" s="318"/>
      <c r="X13139" s="318"/>
      <c r="Y13139" s="318"/>
      <c r="Z13139" s="318"/>
      <c r="AA13139" s="318"/>
      <c r="AB13139" s="318"/>
      <c r="AC13139" s="318"/>
      <c r="AD13139" s="318"/>
    </row>
    <row r="13140" spans="2:30" s="323" customFormat="1" ht="12" customHeight="1">
      <c r="B13140" s="324"/>
      <c r="C13140" s="325"/>
      <c r="D13140" s="326"/>
      <c r="E13140" s="326"/>
      <c r="F13140" s="326"/>
      <c r="G13140" s="326"/>
      <c r="H13140" s="326"/>
      <c r="P13140" s="318"/>
      <c r="Q13140" s="318"/>
      <c r="R13140" s="318"/>
      <c r="S13140" s="318"/>
      <c r="T13140" s="318"/>
      <c r="U13140" s="318"/>
      <c r="V13140" s="318"/>
      <c r="W13140" s="318"/>
      <c r="X13140" s="318"/>
      <c r="Y13140" s="318"/>
      <c r="Z13140" s="318"/>
      <c r="AA13140" s="318"/>
      <c r="AB13140" s="318"/>
      <c r="AC13140" s="318"/>
      <c r="AD13140" s="318"/>
    </row>
    <row r="13141" spans="2:30" s="323" customFormat="1" ht="12" customHeight="1">
      <c r="B13141" s="324"/>
      <c r="C13141" s="325"/>
      <c r="D13141" s="326"/>
      <c r="E13141" s="326"/>
      <c r="F13141" s="326"/>
      <c r="G13141" s="326"/>
      <c r="H13141" s="326"/>
      <c r="P13141" s="318"/>
      <c r="Q13141" s="318"/>
      <c r="R13141" s="318"/>
      <c r="S13141" s="318"/>
      <c r="T13141" s="318"/>
      <c r="U13141" s="318"/>
      <c r="V13141" s="318"/>
      <c r="W13141" s="318"/>
      <c r="X13141" s="318"/>
      <c r="Y13141" s="318"/>
      <c r="Z13141" s="318"/>
      <c r="AA13141" s="318"/>
      <c r="AB13141" s="318"/>
      <c r="AC13141" s="318"/>
      <c r="AD13141" s="318"/>
    </row>
    <row r="13142" spans="2:30" s="323" customFormat="1" ht="12" customHeight="1">
      <c r="B13142" s="324"/>
      <c r="C13142" s="325"/>
      <c r="D13142" s="326"/>
      <c r="E13142" s="326"/>
      <c r="F13142" s="326"/>
      <c r="G13142" s="326"/>
      <c r="H13142" s="326"/>
      <c r="P13142" s="318"/>
      <c r="Q13142" s="318"/>
      <c r="R13142" s="318"/>
      <c r="S13142" s="318"/>
      <c r="T13142" s="318"/>
      <c r="U13142" s="318"/>
      <c r="V13142" s="318"/>
      <c r="W13142" s="318"/>
      <c r="X13142" s="318"/>
      <c r="Y13142" s="318"/>
      <c r="Z13142" s="318"/>
      <c r="AA13142" s="318"/>
      <c r="AB13142" s="318"/>
      <c r="AC13142" s="318"/>
      <c r="AD13142" s="318"/>
    </row>
    <row r="13143" spans="2:30" s="323" customFormat="1" ht="12" customHeight="1">
      <c r="B13143" s="324"/>
      <c r="C13143" s="325"/>
      <c r="D13143" s="326"/>
      <c r="E13143" s="326"/>
      <c r="F13143" s="326"/>
      <c r="G13143" s="326"/>
      <c r="H13143" s="326"/>
      <c r="P13143" s="318"/>
      <c r="Q13143" s="318"/>
      <c r="R13143" s="318"/>
      <c r="S13143" s="318"/>
      <c r="T13143" s="318"/>
      <c r="U13143" s="318"/>
      <c r="V13143" s="318"/>
      <c r="W13143" s="318"/>
      <c r="X13143" s="318"/>
      <c r="Y13143" s="318"/>
      <c r="Z13143" s="318"/>
      <c r="AA13143" s="318"/>
      <c r="AB13143" s="318"/>
      <c r="AC13143" s="318"/>
      <c r="AD13143" s="318"/>
    </row>
    <row r="13144" spans="2:30" s="323" customFormat="1" ht="12" customHeight="1">
      <c r="B13144" s="324"/>
      <c r="C13144" s="325"/>
      <c r="D13144" s="326"/>
      <c r="E13144" s="326"/>
      <c r="F13144" s="326"/>
      <c r="G13144" s="326"/>
      <c r="H13144" s="326"/>
      <c r="P13144" s="318"/>
      <c r="Q13144" s="318"/>
      <c r="R13144" s="318"/>
      <c r="S13144" s="318"/>
      <c r="T13144" s="318"/>
      <c r="U13144" s="318"/>
      <c r="V13144" s="318"/>
      <c r="W13144" s="318"/>
      <c r="X13144" s="318"/>
      <c r="Y13144" s="318"/>
      <c r="Z13144" s="318"/>
      <c r="AA13144" s="318"/>
      <c r="AB13144" s="318"/>
      <c r="AC13144" s="318"/>
      <c r="AD13144" s="318"/>
    </row>
    <row r="13145" spans="2:30" s="323" customFormat="1" ht="12" customHeight="1">
      <c r="B13145" s="324"/>
      <c r="C13145" s="325"/>
      <c r="D13145" s="326"/>
      <c r="E13145" s="326"/>
      <c r="F13145" s="326"/>
      <c r="G13145" s="326"/>
      <c r="H13145" s="326"/>
      <c r="P13145" s="318"/>
      <c r="Q13145" s="318"/>
      <c r="R13145" s="318"/>
      <c r="S13145" s="318"/>
      <c r="T13145" s="318"/>
      <c r="U13145" s="318"/>
      <c r="V13145" s="318"/>
      <c r="W13145" s="318"/>
      <c r="X13145" s="318"/>
      <c r="Y13145" s="318"/>
      <c r="Z13145" s="318"/>
      <c r="AA13145" s="318"/>
      <c r="AB13145" s="318"/>
      <c r="AC13145" s="318"/>
      <c r="AD13145" s="318"/>
    </row>
    <row r="13146" spans="2:30" s="323" customFormat="1" ht="12" customHeight="1">
      <c r="B13146" s="324"/>
      <c r="C13146" s="325"/>
      <c r="D13146" s="326"/>
      <c r="E13146" s="326"/>
      <c r="F13146" s="326"/>
      <c r="G13146" s="326"/>
      <c r="H13146" s="326"/>
      <c r="P13146" s="318"/>
      <c r="Q13146" s="318"/>
      <c r="R13146" s="318"/>
      <c r="S13146" s="318"/>
      <c r="T13146" s="318"/>
      <c r="U13146" s="318"/>
      <c r="V13146" s="318"/>
      <c r="W13146" s="318"/>
      <c r="X13146" s="318"/>
      <c r="Y13146" s="318"/>
      <c r="Z13146" s="318"/>
      <c r="AA13146" s="318"/>
      <c r="AB13146" s="318"/>
      <c r="AC13146" s="318"/>
      <c r="AD13146" s="318"/>
    </row>
    <row r="13147" spans="2:30" s="323" customFormat="1" ht="12" customHeight="1">
      <c r="B13147" s="324"/>
      <c r="C13147" s="325"/>
      <c r="D13147" s="326"/>
      <c r="E13147" s="326"/>
      <c r="F13147" s="326"/>
      <c r="G13147" s="326"/>
      <c r="H13147" s="326"/>
      <c r="P13147" s="318"/>
      <c r="Q13147" s="318"/>
      <c r="R13147" s="318"/>
      <c r="S13147" s="318"/>
      <c r="T13147" s="318"/>
      <c r="U13147" s="318"/>
      <c r="V13147" s="318"/>
      <c r="W13147" s="318"/>
      <c r="X13147" s="318"/>
      <c r="Y13147" s="318"/>
      <c r="Z13147" s="318"/>
      <c r="AA13147" s="318"/>
      <c r="AB13147" s="318"/>
      <c r="AC13147" s="318"/>
      <c r="AD13147" s="318"/>
    </row>
    <row r="13148" spans="2:30" s="323" customFormat="1" ht="12" customHeight="1">
      <c r="B13148" s="324"/>
      <c r="C13148" s="325"/>
      <c r="D13148" s="326"/>
      <c r="E13148" s="326"/>
      <c r="F13148" s="326"/>
      <c r="G13148" s="326"/>
      <c r="H13148" s="326"/>
      <c r="P13148" s="318"/>
      <c r="Q13148" s="318"/>
      <c r="R13148" s="318"/>
      <c r="S13148" s="318"/>
      <c r="T13148" s="318"/>
      <c r="U13148" s="318"/>
      <c r="V13148" s="318"/>
      <c r="W13148" s="318"/>
      <c r="X13148" s="318"/>
      <c r="Y13148" s="318"/>
      <c r="Z13148" s="318"/>
      <c r="AA13148" s="318"/>
      <c r="AB13148" s="318"/>
      <c r="AC13148" s="318"/>
      <c r="AD13148" s="318"/>
    </row>
    <row r="13149" spans="2:30" s="323" customFormat="1" ht="12" customHeight="1">
      <c r="B13149" s="324"/>
      <c r="C13149" s="325"/>
      <c r="D13149" s="326"/>
      <c r="E13149" s="326"/>
      <c r="F13149" s="326"/>
      <c r="G13149" s="326"/>
      <c r="H13149" s="326"/>
      <c r="P13149" s="318"/>
      <c r="Q13149" s="318"/>
      <c r="R13149" s="318"/>
      <c r="S13149" s="318"/>
      <c r="T13149" s="318"/>
      <c r="U13149" s="318"/>
      <c r="V13149" s="318"/>
      <c r="W13149" s="318"/>
      <c r="X13149" s="318"/>
      <c r="Y13149" s="318"/>
      <c r="Z13149" s="318"/>
      <c r="AA13149" s="318"/>
      <c r="AB13149" s="318"/>
      <c r="AC13149" s="318"/>
      <c r="AD13149" s="318"/>
    </row>
    <row r="13150" spans="2:30" s="323" customFormat="1" ht="12" customHeight="1">
      <c r="B13150" s="324"/>
      <c r="C13150" s="325"/>
      <c r="D13150" s="326"/>
      <c r="E13150" s="326"/>
      <c r="F13150" s="326"/>
      <c r="G13150" s="326"/>
      <c r="H13150" s="326"/>
      <c r="P13150" s="318"/>
      <c r="Q13150" s="318"/>
      <c r="R13150" s="318"/>
      <c r="S13150" s="318"/>
      <c r="T13150" s="318"/>
      <c r="U13150" s="318"/>
      <c r="V13150" s="318"/>
      <c r="W13150" s="318"/>
      <c r="X13150" s="318"/>
      <c r="Y13150" s="318"/>
      <c r="Z13150" s="318"/>
      <c r="AA13150" s="318"/>
      <c r="AB13150" s="318"/>
      <c r="AC13150" s="318"/>
      <c r="AD13150" s="318"/>
    </row>
    <row r="13151" spans="2:30" s="323" customFormat="1" ht="12" customHeight="1">
      <c r="B13151" s="324"/>
      <c r="C13151" s="325"/>
      <c r="D13151" s="326"/>
      <c r="E13151" s="326"/>
      <c r="F13151" s="326"/>
      <c r="G13151" s="326"/>
      <c r="H13151" s="326"/>
      <c r="P13151" s="318"/>
      <c r="Q13151" s="318"/>
      <c r="R13151" s="318"/>
      <c r="S13151" s="318"/>
      <c r="T13151" s="318"/>
      <c r="U13151" s="318"/>
      <c r="V13151" s="318"/>
      <c r="W13151" s="318"/>
      <c r="X13151" s="318"/>
      <c r="Y13151" s="318"/>
      <c r="Z13151" s="318"/>
      <c r="AA13151" s="318"/>
      <c r="AB13151" s="318"/>
      <c r="AC13151" s="318"/>
      <c r="AD13151" s="318"/>
    </row>
    <row r="13152" spans="2:30" s="323" customFormat="1" ht="12" customHeight="1">
      <c r="B13152" s="324"/>
      <c r="C13152" s="325"/>
      <c r="D13152" s="326"/>
      <c r="E13152" s="326"/>
      <c r="F13152" s="326"/>
      <c r="G13152" s="326"/>
      <c r="H13152" s="326"/>
      <c r="P13152" s="318"/>
      <c r="Q13152" s="318"/>
      <c r="R13152" s="318"/>
      <c r="S13152" s="318"/>
      <c r="T13152" s="318"/>
      <c r="U13152" s="318"/>
      <c r="V13152" s="318"/>
      <c r="W13152" s="318"/>
      <c r="X13152" s="318"/>
      <c r="Y13152" s="318"/>
      <c r="Z13152" s="318"/>
      <c r="AA13152" s="318"/>
      <c r="AB13152" s="318"/>
      <c r="AC13152" s="318"/>
      <c r="AD13152" s="318"/>
    </row>
    <row r="13153" spans="2:30" s="323" customFormat="1" ht="12" customHeight="1">
      <c r="B13153" s="324"/>
      <c r="C13153" s="325"/>
      <c r="D13153" s="326"/>
      <c r="E13153" s="326"/>
      <c r="F13153" s="326"/>
      <c r="G13153" s="326"/>
      <c r="H13153" s="326"/>
      <c r="P13153" s="318"/>
      <c r="Q13153" s="318"/>
      <c r="R13153" s="318"/>
      <c r="S13153" s="318"/>
      <c r="T13153" s="318"/>
      <c r="U13153" s="318"/>
      <c r="V13153" s="318"/>
      <c r="W13153" s="318"/>
      <c r="X13153" s="318"/>
      <c r="Y13153" s="318"/>
      <c r="Z13153" s="318"/>
      <c r="AA13153" s="318"/>
      <c r="AB13153" s="318"/>
      <c r="AC13153" s="318"/>
      <c r="AD13153" s="318"/>
    </row>
    <row r="13154" spans="2:30" s="323" customFormat="1" ht="12" customHeight="1">
      <c r="B13154" s="324"/>
      <c r="C13154" s="325"/>
      <c r="D13154" s="326"/>
      <c r="E13154" s="326"/>
      <c r="F13154" s="326"/>
      <c r="G13154" s="326"/>
      <c r="H13154" s="326"/>
      <c r="P13154" s="318"/>
      <c r="Q13154" s="318"/>
      <c r="R13154" s="318"/>
      <c r="S13154" s="318"/>
      <c r="T13154" s="318"/>
      <c r="U13154" s="318"/>
      <c r="V13154" s="318"/>
      <c r="W13154" s="318"/>
      <c r="X13154" s="318"/>
      <c r="Y13154" s="318"/>
      <c r="Z13154" s="318"/>
      <c r="AA13154" s="318"/>
      <c r="AB13154" s="318"/>
      <c r="AC13154" s="318"/>
      <c r="AD13154" s="318"/>
    </row>
    <row r="13155" spans="2:30" s="323" customFormat="1" ht="12" customHeight="1">
      <c r="B13155" s="324"/>
      <c r="C13155" s="325"/>
      <c r="D13155" s="326"/>
      <c r="E13155" s="326"/>
      <c r="F13155" s="326"/>
      <c r="G13155" s="326"/>
      <c r="H13155" s="326"/>
      <c r="P13155" s="318"/>
      <c r="Q13155" s="318"/>
      <c r="R13155" s="318"/>
      <c r="S13155" s="318"/>
      <c r="T13155" s="318"/>
      <c r="U13155" s="318"/>
      <c r="V13155" s="318"/>
      <c r="W13155" s="318"/>
      <c r="X13155" s="318"/>
      <c r="Y13155" s="318"/>
      <c r="Z13155" s="318"/>
      <c r="AA13155" s="318"/>
      <c r="AB13155" s="318"/>
      <c r="AC13155" s="318"/>
      <c r="AD13155" s="318"/>
    </row>
    <row r="13156" spans="2:30" s="323" customFormat="1" ht="12" customHeight="1">
      <c r="B13156" s="324"/>
      <c r="C13156" s="325"/>
      <c r="D13156" s="326"/>
      <c r="E13156" s="326"/>
      <c r="F13156" s="326"/>
      <c r="G13156" s="326"/>
      <c r="H13156" s="326"/>
      <c r="P13156" s="318"/>
      <c r="Q13156" s="318"/>
      <c r="R13156" s="318"/>
      <c r="S13156" s="318"/>
      <c r="T13156" s="318"/>
      <c r="U13156" s="318"/>
      <c r="V13156" s="318"/>
      <c r="W13156" s="318"/>
      <c r="X13156" s="318"/>
      <c r="Y13156" s="318"/>
      <c r="Z13156" s="318"/>
      <c r="AA13156" s="318"/>
      <c r="AB13156" s="318"/>
      <c r="AC13156" s="318"/>
      <c r="AD13156" s="318"/>
    </row>
    <row r="13157" spans="2:30" s="323" customFormat="1" ht="12" customHeight="1">
      <c r="B13157" s="324"/>
      <c r="C13157" s="325"/>
      <c r="D13157" s="326"/>
      <c r="E13157" s="326"/>
      <c r="F13157" s="326"/>
      <c r="G13157" s="326"/>
      <c r="H13157" s="326"/>
      <c r="P13157" s="318"/>
      <c r="Q13157" s="318"/>
      <c r="R13157" s="318"/>
      <c r="S13157" s="318"/>
      <c r="T13157" s="318"/>
      <c r="U13157" s="318"/>
      <c r="V13157" s="318"/>
      <c r="W13157" s="318"/>
      <c r="X13157" s="318"/>
      <c r="Y13157" s="318"/>
      <c r="Z13157" s="318"/>
      <c r="AA13157" s="318"/>
      <c r="AB13157" s="318"/>
      <c r="AC13157" s="318"/>
      <c r="AD13157" s="318"/>
    </row>
    <row r="13158" spans="2:30" s="323" customFormat="1" ht="12" customHeight="1">
      <c r="B13158" s="324"/>
      <c r="C13158" s="325"/>
      <c r="D13158" s="326"/>
      <c r="E13158" s="326"/>
      <c r="F13158" s="326"/>
      <c r="G13158" s="326"/>
      <c r="H13158" s="326"/>
      <c r="P13158" s="318"/>
      <c r="Q13158" s="318"/>
      <c r="R13158" s="318"/>
      <c r="S13158" s="318"/>
      <c r="T13158" s="318"/>
      <c r="U13158" s="318"/>
      <c r="V13158" s="318"/>
      <c r="W13158" s="318"/>
      <c r="X13158" s="318"/>
      <c r="Y13158" s="318"/>
      <c r="Z13158" s="318"/>
      <c r="AA13158" s="318"/>
      <c r="AB13158" s="318"/>
      <c r="AC13158" s="318"/>
      <c r="AD13158" s="318"/>
    </row>
    <row r="13159" spans="2:30" s="323" customFormat="1" ht="12" customHeight="1">
      <c r="B13159" s="324"/>
      <c r="C13159" s="325"/>
      <c r="D13159" s="326"/>
      <c r="E13159" s="326"/>
      <c r="F13159" s="326"/>
      <c r="G13159" s="326"/>
      <c r="H13159" s="326"/>
      <c r="P13159" s="318"/>
      <c r="Q13159" s="318"/>
      <c r="R13159" s="318"/>
      <c r="S13159" s="318"/>
      <c r="T13159" s="318"/>
      <c r="U13159" s="318"/>
      <c r="V13159" s="318"/>
      <c r="W13159" s="318"/>
      <c r="X13159" s="318"/>
      <c r="Y13159" s="318"/>
      <c r="Z13159" s="318"/>
      <c r="AA13159" s="318"/>
      <c r="AB13159" s="318"/>
      <c r="AC13159" s="318"/>
      <c r="AD13159" s="318"/>
    </row>
    <row r="13160" spans="2:30" s="323" customFormat="1" ht="12" customHeight="1">
      <c r="B13160" s="324"/>
      <c r="C13160" s="325"/>
      <c r="D13160" s="326"/>
      <c r="E13160" s="326"/>
      <c r="F13160" s="326"/>
      <c r="G13160" s="326"/>
      <c r="H13160" s="326"/>
      <c r="P13160" s="318"/>
      <c r="Q13160" s="318"/>
      <c r="R13160" s="318"/>
      <c r="S13160" s="318"/>
      <c r="T13160" s="318"/>
      <c r="U13160" s="318"/>
      <c r="V13160" s="318"/>
      <c r="W13160" s="318"/>
      <c r="X13160" s="318"/>
      <c r="Y13160" s="318"/>
      <c r="Z13160" s="318"/>
      <c r="AA13160" s="318"/>
      <c r="AB13160" s="318"/>
      <c r="AC13160" s="318"/>
      <c r="AD13160" s="318"/>
    </row>
    <row r="13161" spans="2:30" s="323" customFormat="1" ht="12" customHeight="1">
      <c r="B13161" s="324"/>
      <c r="C13161" s="325"/>
      <c r="D13161" s="326"/>
      <c r="E13161" s="326"/>
      <c r="F13161" s="326"/>
      <c r="G13161" s="326"/>
      <c r="H13161" s="326"/>
      <c r="P13161" s="318"/>
      <c r="Q13161" s="318"/>
      <c r="R13161" s="318"/>
      <c r="S13161" s="318"/>
      <c r="T13161" s="318"/>
      <c r="U13161" s="318"/>
      <c r="V13161" s="318"/>
      <c r="W13161" s="318"/>
      <c r="X13161" s="318"/>
      <c r="Y13161" s="318"/>
      <c r="Z13161" s="318"/>
      <c r="AA13161" s="318"/>
      <c r="AB13161" s="318"/>
      <c r="AC13161" s="318"/>
      <c r="AD13161" s="318"/>
    </row>
    <row r="13162" spans="2:30" s="323" customFormat="1" ht="12" customHeight="1">
      <c r="B13162" s="324"/>
      <c r="C13162" s="325"/>
      <c r="D13162" s="326"/>
      <c r="E13162" s="326"/>
      <c r="F13162" s="326"/>
      <c r="G13162" s="326"/>
      <c r="H13162" s="326"/>
      <c r="P13162" s="318"/>
      <c r="Q13162" s="318"/>
      <c r="R13162" s="318"/>
      <c r="S13162" s="318"/>
      <c r="T13162" s="318"/>
      <c r="U13162" s="318"/>
      <c r="V13162" s="318"/>
      <c r="W13162" s="318"/>
      <c r="X13162" s="318"/>
      <c r="Y13162" s="318"/>
      <c r="Z13162" s="318"/>
      <c r="AA13162" s="318"/>
      <c r="AB13162" s="318"/>
      <c r="AC13162" s="318"/>
      <c r="AD13162" s="318"/>
    </row>
    <row r="13163" spans="2:30" s="323" customFormat="1" ht="12" customHeight="1">
      <c r="B13163" s="324"/>
      <c r="C13163" s="325"/>
      <c r="D13163" s="326"/>
      <c r="E13163" s="326"/>
      <c r="F13163" s="326"/>
      <c r="G13163" s="326"/>
      <c r="H13163" s="326"/>
      <c r="P13163" s="318"/>
      <c r="Q13163" s="318"/>
      <c r="R13163" s="318"/>
      <c r="S13163" s="318"/>
      <c r="T13163" s="318"/>
      <c r="U13163" s="318"/>
      <c r="V13163" s="318"/>
      <c r="W13163" s="318"/>
      <c r="X13163" s="318"/>
      <c r="Y13163" s="318"/>
      <c r="Z13163" s="318"/>
      <c r="AA13163" s="318"/>
      <c r="AB13163" s="318"/>
      <c r="AC13163" s="318"/>
      <c r="AD13163" s="318"/>
    </row>
    <row r="13164" spans="2:30" s="323" customFormat="1" ht="12" customHeight="1">
      <c r="B13164" s="324"/>
      <c r="C13164" s="325"/>
      <c r="D13164" s="326"/>
      <c r="E13164" s="326"/>
      <c r="F13164" s="326"/>
      <c r="G13164" s="326"/>
      <c r="H13164" s="326"/>
      <c r="P13164" s="318"/>
      <c r="Q13164" s="318"/>
      <c r="R13164" s="318"/>
      <c r="S13164" s="318"/>
      <c r="T13164" s="318"/>
      <c r="U13164" s="318"/>
      <c r="V13164" s="318"/>
      <c r="W13164" s="318"/>
      <c r="X13164" s="318"/>
      <c r="Y13164" s="318"/>
      <c r="Z13164" s="318"/>
      <c r="AA13164" s="318"/>
      <c r="AB13164" s="318"/>
      <c r="AC13164" s="318"/>
      <c r="AD13164" s="318"/>
    </row>
    <row r="13165" spans="2:30" s="323" customFormat="1" ht="12" customHeight="1">
      <c r="B13165" s="324"/>
      <c r="C13165" s="325"/>
      <c r="D13165" s="326"/>
      <c r="E13165" s="326"/>
      <c r="F13165" s="326"/>
      <c r="G13165" s="326"/>
      <c r="H13165" s="326"/>
      <c r="P13165" s="318"/>
      <c r="Q13165" s="318"/>
      <c r="R13165" s="318"/>
      <c r="S13165" s="318"/>
      <c r="T13165" s="318"/>
      <c r="U13165" s="318"/>
      <c r="V13165" s="318"/>
      <c r="W13165" s="318"/>
      <c r="X13165" s="318"/>
      <c r="Y13165" s="318"/>
      <c r="Z13165" s="318"/>
      <c r="AA13165" s="318"/>
      <c r="AB13165" s="318"/>
      <c r="AC13165" s="318"/>
      <c r="AD13165" s="318"/>
    </row>
    <row r="13166" spans="2:30" s="323" customFormat="1" ht="12" customHeight="1">
      <c r="B13166" s="324"/>
      <c r="C13166" s="325"/>
      <c r="D13166" s="326"/>
      <c r="E13166" s="326"/>
      <c r="F13166" s="326"/>
      <c r="G13166" s="326"/>
      <c r="H13166" s="326"/>
      <c r="P13166" s="318"/>
      <c r="Q13166" s="318"/>
      <c r="R13166" s="318"/>
      <c r="S13166" s="318"/>
      <c r="T13166" s="318"/>
      <c r="U13166" s="318"/>
      <c r="V13166" s="318"/>
      <c r="W13166" s="318"/>
      <c r="X13166" s="318"/>
      <c r="Y13166" s="318"/>
      <c r="Z13166" s="318"/>
      <c r="AA13166" s="318"/>
      <c r="AB13166" s="318"/>
      <c r="AC13166" s="318"/>
      <c r="AD13166" s="318"/>
    </row>
    <row r="13167" spans="2:30" s="323" customFormat="1" ht="12" customHeight="1">
      <c r="B13167" s="324"/>
      <c r="C13167" s="325"/>
      <c r="D13167" s="326"/>
      <c r="E13167" s="326"/>
      <c r="F13167" s="326"/>
      <c r="G13167" s="326"/>
      <c r="H13167" s="326"/>
      <c r="P13167" s="318"/>
      <c r="Q13167" s="318"/>
      <c r="R13167" s="318"/>
      <c r="S13167" s="318"/>
      <c r="T13167" s="318"/>
      <c r="U13167" s="318"/>
      <c r="V13167" s="318"/>
      <c r="W13167" s="318"/>
      <c r="X13167" s="318"/>
      <c r="Y13167" s="318"/>
      <c r="Z13167" s="318"/>
      <c r="AA13167" s="318"/>
      <c r="AB13167" s="318"/>
      <c r="AC13167" s="318"/>
      <c r="AD13167" s="318"/>
    </row>
    <row r="13168" spans="2:30" s="323" customFormat="1" ht="12" customHeight="1">
      <c r="B13168" s="324"/>
      <c r="C13168" s="325"/>
      <c r="D13168" s="326"/>
      <c r="E13168" s="326"/>
      <c r="F13168" s="326"/>
      <c r="G13168" s="326"/>
      <c r="H13168" s="326"/>
      <c r="P13168" s="318"/>
      <c r="Q13168" s="318"/>
      <c r="R13168" s="318"/>
      <c r="S13168" s="318"/>
      <c r="T13168" s="318"/>
      <c r="U13168" s="318"/>
      <c r="V13168" s="318"/>
      <c r="W13168" s="318"/>
      <c r="X13168" s="318"/>
      <c r="Y13168" s="318"/>
      <c r="Z13168" s="318"/>
      <c r="AA13168" s="318"/>
      <c r="AB13168" s="318"/>
      <c r="AC13168" s="318"/>
      <c r="AD13168" s="318"/>
    </row>
    <row r="13169" spans="2:30" s="323" customFormat="1" ht="12" customHeight="1">
      <c r="B13169" s="324"/>
      <c r="C13169" s="325"/>
      <c r="D13169" s="326"/>
      <c r="E13169" s="326"/>
      <c r="F13169" s="326"/>
      <c r="G13169" s="326"/>
      <c r="H13169" s="326"/>
      <c r="P13169" s="318"/>
      <c r="Q13169" s="318"/>
      <c r="R13169" s="318"/>
      <c r="S13169" s="318"/>
      <c r="T13169" s="318"/>
      <c r="U13169" s="318"/>
      <c r="V13169" s="318"/>
      <c r="W13169" s="318"/>
      <c r="X13169" s="318"/>
      <c r="Y13169" s="318"/>
      <c r="Z13169" s="318"/>
      <c r="AA13169" s="318"/>
      <c r="AB13169" s="318"/>
      <c r="AC13169" s="318"/>
      <c r="AD13169" s="318"/>
    </row>
    <row r="13170" spans="2:30" s="323" customFormat="1" ht="12" customHeight="1">
      <c r="B13170" s="324"/>
      <c r="C13170" s="325"/>
      <c r="D13170" s="326"/>
      <c r="E13170" s="326"/>
      <c r="F13170" s="326"/>
      <c r="G13170" s="326"/>
      <c r="H13170" s="326"/>
      <c r="P13170" s="318"/>
      <c r="Q13170" s="318"/>
      <c r="R13170" s="318"/>
      <c r="S13170" s="318"/>
      <c r="T13170" s="318"/>
      <c r="U13170" s="318"/>
      <c r="V13170" s="318"/>
      <c r="W13170" s="318"/>
      <c r="X13170" s="318"/>
      <c r="Y13170" s="318"/>
      <c r="Z13170" s="318"/>
      <c r="AA13170" s="318"/>
      <c r="AB13170" s="318"/>
      <c r="AC13170" s="318"/>
      <c r="AD13170" s="318"/>
    </row>
    <row r="13171" spans="2:30" s="323" customFormat="1" ht="12" customHeight="1">
      <c r="B13171" s="324"/>
      <c r="C13171" s="325"/>
      <c r="D13171" s="326"/>
      <c r="E13171" s="326"/>
      <c r="F13171" s="326"/>
      <c r="G13171" s="326"/>
      <c r="H13171" s="326"/>
      <c r="P13171" s="318"/>
      <c r="Q13171" s="318"/>
      <c r="R13171" s="318"/>
      <c r="S13171" s="318"/>
      <c r="T13171" s="318"/>
      <c r="U13171" s="318"/>
      <c r="V13171" s="318"/>
      <c r="W13171" s="318"/>
      <c r="X13171" s="318"/>
      <c r="Y13171" s="318"/>
      <c r="Z13171" s="318"/>
      <c r="AA13171" s="318"/>
      <c r="AB13171" s="318"/>
      <c r="AC13171" s="318"/>
      <c r="AD13171" s="318"/>
    </row>
    <row r="13172" spans="2:30" s="323" customFormat="1" ht="12" customHeight="1">
      <c r="B13172" s="324"/>
      <c r="C13172" s="325"/>
      <c r="D13172" s="326"/>
      <c r="E13172" s="326"/>
      <c r="F13172" s="326"/>
      <c r="G13172" s="326"/>
      <c r="H13172" s="326"/>
      <c r="P13172" s="318"/>
      <c r="Q13172" s="318"/>
      <c r="R13172" s="318"/>
      <c r="S13172" s="318"/>
      <c r="T13172" s="318"/>
      <c r="U13172" s="318"/>
      <c r="V13172" s="318"/>
      <c r="W13172" s="318"/>
      <c r="X13172" s="318"/>
      <c r="Y13172" s="318"/>
      <c r="Z13172" s="318"/>
      <c r="AA13172" s="318"/>
      <c r="AB13172" s="318"/>
      <c r="AC13172" s="318"/>
      <c r="AD13172" s="318"/>
    </row>
    <row r="13173" spans="2:30" s="323" customFormat="1" ht="12" customHeight="1">
      <c r="B13173" s="324"/>
      <c r="C13173" s="325"/>
      <c r="D13173" s="326"/>
      <c r="E13173" s="326"/>
      <c r="F13173" s="326"/>
      <c r="G13173" s="326"/>
      <c r="H13173" s="326"/>
      <c r="P13173" s="318"/>
      <c r="Q13173" s="318"/>
      <c r="R13173" s="318"/>
      <c r="S13173" s="318"/>
      <c r="T13173" s="318"/>
      <c r="U13173" s="318"/>
      <c r="V13173" s="318"/>
      <c r="W13173" s="318"/>
      <c r="X13173" s="318"/>
      <c r="Y13173" s="318"/>
      <c r="Z13173" s="318"/>
      <c r="AA13173" s="318"/>
      <c r="AB13173" s="318"/>
      <c r="AC13173" s="318"/>
      <c r="AD13173" s="318"/>
    </row>
    <row r="13174" spans="2:30" s="323" customFormat="1" ht="12" customHeight="1">
      <c r="B13174" s="324"/>
      <c r="C13174" s="325"/>
      <c r="D13174" s="326"/>
      <c r="E13174" s="326"/>
      <c r="F13174" s="326"/>
      <c r="G13174" s="326"/>
      <c r="H13174" s="326"/>
      <c r="P13174" s="318"/>
      <c r="Q13174" s="318"/>
      <c r="R13174" s="318"/>
      <c r="S13174" s="318"/>
      <c r="T13174" s="318"/>
      <c r="U13174" s="318"/>
      <c r="V13174" s="318"/>
      <c r="W13174" s="318"/>
      <c r="X13174" s="318"/>
      <c r="Y13174" s="318"/>
      <c r="Z13174" s="318"/>
      <c r="AA13174" s="318"/>
      <c r="AB13174" s="318"/>
      <c r="AC13174" s="318"/>
      <c r="AD13174" s="318"/>
    </row>
    <row r="13175" spans="2:30" s="323" customFormat="1" ht="12" customHeight="1">
      <c r="B13175" s="324"/>
      <c r="C13175" s="325"/>
      <c r="D13175" s="326"/>
      <c r="E13175" s="326"/>
      <c r="F13175" s="326"/>
      <c r="G13175" s="326"/>
      <c r="H13175" s="326"/>
      <c r="P13175" s="318"/>
      <c r="Q13175" s="318"/>
      <c r="R13175" s="318"/>
      <c r="S13175" s="318"/>
      <c r="T13175" s="318"/>
      <c r="U13175" s="318"/>
      <c r="V13175" s="318"/>
      <c r="W13175" s="318"/>
      <c r="X13175" s="318"/>
      <c r="Y13175" s="318"/>
      <c r="Z13175" s="318"/>
      <c r="AA13175" s="318"/>
      <c r="AB13175" s="318"/>
      <c r="AC13175" s="318"/>
      <c r="AD13175" s="318"/>
    </row>
    <row r="13176" spans="2:30" s="323" customFormat="1" ht="12" customHeight="1">
      <c r="B13176" s="324"/>
      <c r="C13176" s="325"/>
      <c r="D13176" s="326"/>
      <c r="E13176" s="326"/>
      <c r="F13176" s="326"/>
      <c r="G13176" s="326"/>
      <c r="H13176" s="326"/>
      <c r="P13176" s="318"/>
      <c r="Q13176" s="318"/>
      <c r="R13176" s="318"/>
      <c r="S13176" s="318"/>
      <c r="T13176" s="318"/>
      <c r="U13176" s="318"/>
      <c r="V13176" s="318"/>
      <c r="W13176" s="318"/>
      <c r="X13176" s="318"/>
      <c r="Y13176" s="318"/>
      <c r="Z13176" s="318"/>
      <c r="AA13176" s="318"/>
      <c r="AB13176" s="318"/>
      <c r="AC13176" s="318"/>
      <c r="AD13176" s="318"/>
    </row>
    <row r="13177" spans="2:30" s="323" customFormat="1" ht="12" customHeight="1">
      <c r="B13177" s="324"/>
      <c r="C13177" s="325"/>
      <c r="D13177" s="326"/>
      <c r="E13177" s="326"/>
      <c r="F13177" s="326"/>
      <c r="G13177" s="326"/>
      <c r="H13177" s="326"/>
      <c r="P13177" s="318"/>
      <c r="Q13177" s="318"/>
      <c r="R13177" s="318"/>
      <c r="S13177" s="318"/>
      <c r="T13177" s="318"/>
      <c r="U13177" s="318"/>
      <c r="V13177" s="318"/>
      <c r="W13177" s="318"/>
      <c r="X13177" s="318"/>
      <c r="Y13177" s="318"/>
      <c r="Z13177" s="318"/>
      <c r="AA13177" s="318"/>
      <c r="AB13177" s="318"/>
      <c r="AC13177" s="318"/>
      <c r="AD13177" s="318"/>
    </row>
    <row r="13178" spans="2:30" s="323" customFormat="1" ht="12" customHeight="1">
      <c r="B13178" s="324"/>
      <c r="C13178" s="325"/>
      <c r="D13178" s="326"/>
      <c r="E13178" s="326"/>
      <c r="F13178" s="326"/>
      <c r="G13178" s="326"/>
      <c r="H13178" s="326"/>
      <c r="P13178" s="318"/>
      <c r="Q13178" s="318"/>
      <c r="R13178" s="318"/>
      <c r="S13178" s="318"/>
      <c r="T13178" s="318"/>
      <c r="U13178" s="318"/>
      <c r="V13178" s="318"/>
      <c r="W13178" s="318"/>
      <c r="X13178" s="318"/>
      <c r="Y13178" s="318"/>
      <c r="Z13178" s="318"/>
      <c r="AA13178" s="318"/>
      <c r="AB13178" s="318"/>
      <c r="AC13178" s="318"/>
      <c r="AD13178" s="318"/>
    </row>
    <row r="13179" spans="2:30" s="323" customFormat="1" ht="12" customHeight="1">
      <c r="B13179" s="324"/>
      <c r="C13179" s="325"/>
      <c r="D13179" s="326"/>
      <c r="E13179" s="326"/>
      <c r="F13179" s="326"/>
      <c r="G13179" s="326"/>
      <c r="H13179" s="326"/>
      <c r="P13179" s="318"/>
      <c r="Q13179" s="318"/>
      <c r="R13179" s="318"/>
      <c r="S13179" s="318"/>
      <c r="T13179" s="318"/>
      <c r="U13179" s="318"/>
      <c r="V13179" s="318"/>
      <c r="W13179" s="318"/>
      <c r="X13179" s="318"/>
      <c r="Y13179" s="318"/>
      <c r="Z13179" s="318"/>
      <c r="AA13179" s="318"/>
      <c r="AB13179" s="318"/>
      <c r="AC13179" s="318"/>
      <c r="AD13179" s="318"/>
    </row>
    <row r="13180" spans="2:30" s="323" customFormat="1" ht="12" customHeight="1">
      <c r="B13180" s="324"/>
      <c r="C13180" s="325"/>
      <c r="D13180" s="326"/>
      <c r="E13180" s="326"/>
      <c r="F13180" s="326"/>
      <c r="G13180" s="326"/>
      <c r="H13180" s="326"/>
      <c r="P13180" s="318"/>
      <c r="Q13180" s="318"/>
      <c r="R13180" s="318"/>
      <c r="S13180" s="318"/>
      <c r="T13180" s="318"/>
      <c r="U13180" s="318"/>
      <c r="V13180" s="318"/>
      <c r="W13180" s="318"/>
      <c r="X13180" s="318"/>
      <c r="Y13180" s="318"/>
      <c r="Z13180" s="318"/>
      <c r="AA13180" s="318"/>
      <c r="AB13180" s="318"/>
      <c r="AC13180" s="318"/>
      <c r="AD13180" s="318"/>
    </row>
    <row r="13181" spans="2:30" s="323" customFormat="1" ht="12" customHeight="1">
      <c r="B13181" s="324"/>
      <c r="C13181" s="325"/>
      <c r="D13181" s="326"/>
      <c r="E13181" s="326"/>
      <c r="F13181" s="326"/>
      <c r="G13181" s="326"/>
      <c r="H13181" s="326"/>
      <c r="P13181" s="318"/>
      <c r="Q13181" s="318"/>
      <c r="R13181" s="318"/>
      <c r="S13181" s="318"/>
      <c r="T13181" s="318"/>
      <c r="U13181" s="318"/>
      <c r="V13181" s="318"/>
      <c r="W13181" s="318"/>
      <c r="X13181" s="318"/>
      <c r="Y13181" s="318"/>
      <c r="Z13181" s="318"/>
      <c r="AA13181" s="318"/>
      <c r="AB13181" s="318"/>
      <c r="AC13181" s="318"/>
      <c r="AD13181" s="318"/>
    </row>
    <row r="13182" spans="2:30" s="323" customFormat="1" ht="12" customHeight="1">
      <c r="B13182" s="324"/>
      <c r="C13182" s="325"/>
      <c r="D13182" s="326"/>
      <c r="E13182" s="326"/>
      <c r="F13182" s="326"/>
      <c r="G13182" s="326"/>
      <c r="H13182" s="326"/>
      <c r="P13182" s="318"/>
      <c r="Q13182" s="318"/>
      <c r="R13182" s="318"/>
      <c r="S13182" s="318"/>
      <c r="T13182" s="318"/>
      <c r="U13182" s="318"/>
      <c r="V13182" s="318"/>
      <c r="W13182" s="318"/>
      <c r="X13182" s="318"/>
      <c r="Y13182" s="318"/>
      <c r="Z13182" s="318"/>
      <c r="AA13182" s="318"/>
      <c r="AB13182" s="318"/>
      <c r="AC13182" s="318"/>
      <c r="AD13182" s="318"/>
    </row>
    <row r="13183" spans="2:30" s="323" customFormat="1" ht="12" customHeight="1">
      <c r="B13183" s="324"/>
      <c r="C13183" s="325"/>
      <c r="D13183" s="326"/>
      <c r="E13183" s="326"/>
      <c r="F13183" s="326"/>
      <c r="G13183" s="326"/>
      <c r="H13183" s="326"/>
      <c r="P13183" s="318"/>
      <c r="Q13183" s="318"/>
      <c r="R13183" s="318"/>
      <c r="S13183" s="318"/>
      <c r="T13183" s="318"/>
      <c r="U13183" s="318"/>
      <c r="V13183" s="318"/>
      <c r="W13183" s="318"/>
      <c r="X13183" s="318"/>
      <c r="Y13183" s="318"/>
      <c r="Z13183" s="318"/>
      <c r="AA13183" s="318"/>
      <c r="AB13183" s="318"/>
      <c r="AC13183" s="318"/>
      <c r="AD13183" s="318"/>
    </row>
    <row r="13184" spans="2:30" s="323" customFormat="1" ht="12" customHeight="1">
      <c r="B13184" s="324"/>
      <c r="C13184" s="325"/>
      <c r="D13184" s="326"/>
      <c r="E13184" s="326"/>
      <c r="F13184" s="326"/>
      <c r="G13184" s="326"/>
      <c r="H13184" s="326"/>
      <c r="P13184" s="318"/>
      <c r="Q13184" s="318"/>
      <c r="R13184" s="318"/>
      <c r="S13184" s="318"/>
      <c r="T13184" s="318"/>
      <c r="U13184" s="318"/>
      <c r="V13184" s="318"/>
      <c r="W13184" s="318"/>
      <c r="X13184" s="318"/>
      <c r="Y13184" s="318"/>
      <c r="Z13184" s="318"/>
      <c r="AA13184" s="318"/>
      <c r="AB13184" s="318"/>
      <c r="AC13184" s="318"/>
      <c r="AD13184" s="318"/>
    </row>
    <row r="13185" spans="2:30" s="323" customFormat="1" ht="12" customHeight="1">
      <c r="B13185" s="324"/>
      <c r="C13185" s="325"/>
      <c r="D13185" s="326"/>
      <c r="E13185" s="326"/>
      <c r="F13185" s="326"/>
      <c r="G13185" s="326"/>
      <c r="H13185" s="326"/>
      <c r="P13185" s="318"/>
      <c r="Q13185" s="318"/>
      <c r="R13185" s="318"/>
      <c r="S13185" s="318"/>
      <c r="T13185" s="318"/>
      <c r="U13185" s="318"/>
      <c r="V13185" s="318"/>
      <c r="W13185" s="318"/>
      <c r="X13185" s="318"/>
      <c r="Y13185" s="318"/>
      <c r="Z13185" s="318"/>
      <c r="AA13185" s="318"/>
      <c r="AB13185" s="318"/>
      <c r="AC13185" s="318"/>
      <c r="AD13185" s="318"/>
    </row>
    <row r="13186" spans="2:30" s="323" customFormat="1" ht="12" customHeight="1">
      <c r="B13186" s="324"/>
      <c r="C13186" s="325"/>
      <c r="D13186" s="326"/>
      <c r="E13186" s="326"/>
      <c r="F13186" s="326"/>
      <c r="G13186" s="326"/>
      <c r="H13186" s="326"/>
      <c r="P13186" s="318"/>
      <c r="Q13186" s="318"/>
      <c r="R13186" s="318"/>
      <c r="S13186" s="318"/>
      <c r="T13186" s="318"/>
      <c r="U13186" s="318"/>
      <c r="V13186" s="318"/>
      <c r="W13186" s="318"/>
      <c r="X13186" s="318"/>
      <c r="Y13186" s="318"/>
      <c r="Z13186" s="318"/>
      <c r="AA13186" s="318"/>
      <c r="AB13186" s="318"/>
      <c r="AC13186" s="318"/>
      <c r="AD13186" s="318"/>
    </row>
    <row r="13187" spans="2:30" s="323" customFormat="1" ht="12" customHeight="1">
      <c r="B13187" s="324"/>
      <c r="C13187" s="325"/>
      <c r="D13187" s="326"/>
      <c r="E13187" s="326"/>
      <c r="F13187" s="326"/>
      <c r="G13187" s="326"/>
      <c r="H13187" s="326"/>
      <c r="P13187" s="318"/>
      <c r="Q13187" s="318"/>
      <c r="R13187" s="318"/>
      <c r="S13187" s="318"/>
      <c r="T13187" s="318"/>
      <c r="U13187" s="318"/>
      <c r="V13187" s="318"/>
      <c r="W13187" s="318"/>
      <c r="X13187" s="318"/>
      <c r="Y13187" s="318"/>
      <c r="Z13187" s="318"/>
      <c r="AA13187" s="318"/>
      <c r="AB13187" s="318"/>
      <c r="AC13187" s="318"/>
      <c r="AD13187" s="318"/>
    </row>
    <row r="13188" spans="2:30" s="323" customFormat="1" ht="12" customHeight="1">
      <c r="B13188" s="324"/>
      <c r="C13188" s="325"/>
      <c r="D13188" s="326"/>
      <c r="E13188" s="326"/>
      <c r="F13188" s="326"/>
      <c r="G13188" s="326"/>
      <c r="H13188" s="326"/>
      <c r="P13188" s="318"/>
      <c r="Q13188" s="318"/>
      <c r="R13188" s="318"/>
      <c r="S13188" s="318"/>
      <c r="T13188" s="318"/>
      <c r="U13188" s="318"/>
      <c r="V13188" s="318"/>
      <c r="W13188" s="318"/>
      <c r="X13188" s="318"/>
      <c r="Y13188" s="318"/>
      <c r="Z13188" s="318"/>
      <c r="AA13188" s="318"/>
      <c r="AB13188" s="318"/>
      <c r="AC13188" s="318"/>
      <c r="AD13188" s="318"/>
    </row>
    <row r="13189" spans="2:30" s="323" customFormat="1" ht="12" customHeight="1">
      <c r="B13189" s="324"/>
      <c r="C13189" s="325"/>
      <c r="D13189" s="326"/>
      <c r="E13189" s="326"/>
      <c r="F13189" s="326"/>
      <c r="G13189" s="326"/>
      <c r="H13189" s="326"/>
      <c r="P13189" s="318"/>
      <c r="Q13189" s="318"/>
      <c r="R13189" s="318"/>
      <c r="S13189" s="318"/>
      <c r="T13189" s="318"/>
      <c r="U13189" s="318"/>
      <c r="V13189" s="318"/>
      <c r="W13189" s="318"/>
      <c r="X13189" s="318"/>
      <c r="Y13189" s="318"/>
      <c r="Z13189" s="318"/>
      <c r="AA13189" s="318"/>
      <c r="AB13189" s="318"/>
      <c r="AC13189" s="318"/>
      <c r="AD13189" s="318"/>
    </row>
    <row r="13190" spans="2:30" s="323" customFormat="1" ht="12" customHeight="1">
      <c r="B13190" s="324"/>
      <c r="C13190" s="325"/>
      <c r="D13190" s="326"/>
      <c r="E13190" s="326"/>
      <c r="F13190" s="326"/>
      <c r="G13190" s="326"/>
      <c r="H13190" s="326"/>
      <c r="P13190" s="318"/>
      <c r="Q13190" s="318"/>
      <c r="R13190" s="318"/>
      <c r="S13190" s="318"/>
      <c r="T13190" s="318"/>
      <c r="U13190" s="318"/>
      <c r="V13190" s="318"/>
      <c r="W13190" s="318"/>
      <c r="X13190" s="318"/>
      <c r="Y13190" s="318"/>
      <c r="Z13190" s="318"/>
      <c r="AA13190" s="318"/>
      <c r="AB13190" s="318"/>
      <c r="AC13190" s="318"/>
      <c r="AD13190" s="318"/>
    </row>
    <row r="13191" spans="2:30" s="323" customFormat="1" ht="12" customHeight="1">
      <c r="B13191" s="324"/>
      <c r="C13191" s="325"/>
      <c r="D13191" s="326"/>
      <c r="E13191" s="326"/>
      <c r="F13191" s="326"/>
      <c r="G13191" s="326"/>
      <c r="H13191" s="326"/>
      <c r="P13191" s="318"/>
      <c r="Q13191" s="318"/>
      <c r="R13191" s="318"/>
      <c r="S13191" s="318"/>
      <c r="T13191" s="318"/>
      <c r="U13191" s="318"/>
      <c r="V13191" s="318"/>
      <c r="W13191" s="318"/>
      <c r="X13191" s="318"/>
      <c r="Y13191" s="318"/>
      <c r="Z13191" s="318"/>
      <c r="AA13191" s="318"/>
      <c r="AB13191" s="318"/>
      <c r="AC13191" s="318"/>
      <c r="AD13191" s="318"/>
    </row>
    <row r="13192" spans="2:30" s="323" customFormat="1" ht="12" customHeight="1">
      <c r="B13192" s="324"/>
      <c r="C13192" s="325"/>
      <c r="D13192" s="326"/>
      <c r="E13192" s="326"/>
      <c r="F13192" s="326"/>
      <c r="G13192" s="326"/>
      <c r="H13192" s="326"/>
      <c r="P13192" s="318"/>
      <c r="Q13192" s="318"/>
      <c r="R13192" s="318"/>
      <c r="S13192" s="318"/>
      <c r="T13192" s="318"/>
      <c r="U13192" s="318"/>
      <c r="V13192" s="318"/>
      <c r="W13192" s="318"/>
      <c r="X13192" s="318"/>
      <c r="Y13192" s="318"/>
      <c r="Z13192" s="318"/>
      <c r="AA13192" s="318"/>
      <c r="AB13192" s="318"/>
      <c r="AC13192" s="318"/>
      <c r="AD13192" s="318"/>
    </row>
    <row r="13193" spans="2:30" s="323" customFormat="1" ht="12" customHeight="1">
      <c r="B13193" s="324"/>
      <c r="C13193" s="325"/>
      <c r="D13193" s="326"/>
      <c r="E13193" s="326"/>
      <c r="F13193" s="326"/>
      <c r="G13193" s="326"/>
      <c r="H13193" s="326"/>
      <c r="P13193" s="318"/>
      <c r="Q13193" s="318"/>
      <c r="R13193" s="318"/>
      <c r="S13193" s="318"/>
      <c r="T13193" s="318"/>
      <c r="U13193" s="318"/>
      <c r="V13193" s="318"/>
      <c r="W13193" s="318"/>
      <c r="X13193" s="318"/>
      <c r="Y13193" s="318"/>
      <c r="Z13193" s="318"/>
      <c r="AA13193" s="318"/>
      <c r="AB13193" s="318"/>
      <c r="AC13193" s="318"/>
      <c r="AD13193" s="318"/>
    </row>
    <row r="13194" spans="2:30" s="323" customFormat="1" ht="12" customHeight="1">
      <c r="B13194" s="324"/>
      <c r="C13194" s="325"/>
      <c r="D13194" s="326"/>
      <c r="E13194" s="326"/>
      <c r="F13194" s="326"/>
      <c r="G13194" s="326"/>
      <c r="H13194" s="326"/>
      <c r="P13194" s="318"/>
      <c r="Q13194" s="318"/>
      <c r="R13194" s="318"/>
      <c r="S13194" s="318"/>
      <c r="T13194" s="318"/>
      <c r="U13194" s="318"/>
      <c r="V13194" s="318"/>
      <c r="W13194" s="318"/>
      <c r="X13194" s="318"/>
      <c r="Y13194" s="318"/>
      <c r="Z13194" s="318"/>
      <c r="AA13194" s="318"/>
      <c r="AB13194" s="318"/>
      <c r="AC13194" s="318"/>
      <c r="AD13194" s="318"/>
    </row>
    <row r="13195" spans="2:30" s="323" customFormat="1" ht="12" customHeight="1">
      <c r="B13195" s="324"/>
      <c r="C13195" s="325"/>
      <c r="D13195" s="326"/>
      <c r="E13195" s="326"/>
      <c r="F13195" s="326"/>
      <c r="G13195" s="326"/>
      <c r="H13195" s="326"/>
      <c r="P13195" s="318"/>
      <c r="Q13195" s="318"/>
      <c r="R13195" s="318"/>
      <c r="S13195" s="318"/>
      <c r="T13195" s="318"/>
      <c r="U13195" s="318"/>
      <c r="V13195" s="318"/>
      <c r="W13195" s="318"/>
      <c r="X13195" s="318"/>
      <c r="Y13195" s="318"/>
      <c r="Z13195" s="318"/>
      <c r="AA13195" s="318"/>
      <c r="AB13195" s="318"/>
      <c r="AC13195" s="318"/>
      <c r="AD13195" s="318"/>
    </row>
    <row r="13196" spans="2:30" s="323" customFormat="1" ht="12" customHeight="1">
      <c r="B13196" s="324"/>
      <c r="C13196" s="325"/>
      <c r="D13196" s="326"/>
      <c r="E13196" s="326"/>
      <c r="F13196" s="326"/>
      <c r="G13196" s="326"/>
      <c r="H13196" s="326"/>
      <c r="P13196" s="318"/>
      <c r="Q13196" s="318"/>
      <c r="R13196" s="318"/>
      <c r="S13196" s="318"/>
      <c r="T13196" s="318"/>
      <c r="U13196" s="318"/>
      <c r="V13196" s="318"/>
      <c r="W13196" s="318"/>
      <c r="X13196" s="318"/>
      <c r="Y13196" s="318"/>
      <c r="Z13196" s="318"/>
      <c r="AA13196" s="318"/>
      <c r="AB13196" s="318"/>
      <c r="AC13196" s="318"/>
      <c r="AD13196" s="318"/>
    </row>
    <row r="13197" spans="2:30" s="323" customFormat="1" ht="12" customHeight="1">
      <c r="B13197" s="324"/>
      <c r="C13197" s="325"/>
      <c r="D13197" s="326"/>
      <c r="E13197" s="326"/>
      <c r="F13197" s="326"/>
      <c r="G13197" s="326"/>
      <c r="H13197" s="326"/>
      <c r="P13197" s="318"/>
      <c r="Q13197" s="318"/>
      <c r="R13197" s="318"/>
      <c r="S13197" s="318"/>
      <c r="T13197" s="318"/>
      <c r="U13197" s="318"/>
      <c r="V13197" s="318"/>
      <c r="W13197" s="318"/>
      <c r="X13197" s="318"/>
      <c r="Y13197" s="318"/>
      <c r="Z13197" s="318"/>
      <c r="AA13197" s="318"/>
      <c r="AB13197" s="318"/>
      <c r="AC13197" s="318"/>
      <c r="AD13197" s="318"/>
    </row>
    <row r="13198" spans="2:30" s="323" customFormat="1" ht="12" customHeight="1">
      <c r="B13198" s="324"/>
      <c r="C13198" s="325"/>
      <c r="D13198" s="326"/>
      <c r="E13198" s="326"/>
      <c r="F13198" s="326"/>
      <c r="G13198" s="326"/>
      <c r="H13198" s="326"/>
      <c r="P13198" s="318"/>
      <c r="Q13198" s="318"/>
      <c r="R13198" s="318"/>
      <c r="S13198" s="318"/>
      <c r="T13198" s="318"/>
      <c r="U13198" s="318"/>
      <c r="V13198" s="318"/>
      <c r="W13198" s="318"/>
      <c r="X13198" s="318"/>
      <c r="Y13198" s="318"/>
      <c r="Z13198" s="318"/>
      <c r="AA13198" s="318"/>
      <c r="AB13198" s="318"/>
      <c r="AC13198" s="318"/>
      <c r="AD13198" s="318"/>
    </row>
    <row r="13199" spans="2:30" s="323" customFormat="1" ht="12" customHeight="1">
      <c r="B13199" s="324"/>
      <c r="C13199" s="325"/>
      <c r="D13199" s="326"/>
      <c r="E13199" s="326"/>
      <c r="F13199" s="326"/>
      <c r="G13199" s="326"/>
      <c r="H13199" s="326"/>
      <c r="P13199" s="318"/>
      <c r="Q13199" s="318"/>
      <c r="R13199" s="318"/>
      <c r="S13199" s="318"/>
      <c r="T13199" s="318"/>
      <c r="U13199" s="318"/>
      <c r="V13199" s="318"/>
      <c r="W13199" s="318"/>
      <c r="X13199" s="318"/>
      <c r="Y13199" s="318"/>
      <c r="Z13199" s="318"/>
      <c r="AA13199" s="318"/>
      <c r="AB13199" s="318"/>
      <c r="AC13199" s="318"/>
      <c r="AD13199" s="318"/>
    </row>
    <row r="13200" spans="2:30" s="323" customFormat="1" ht="12" customHeight="1">
      <c r="B13200" s="324"/>
      <c r="C13200" s="325"/>
      <c r="D13200" s="326"/>
      <c r="E13200" s="326"/>
      <c r="F13200" s="326"/>
      <c r="G13200" s="326"/>
      <c r="H13200" s="326"/>
      <c r="P13200" s="318"/>
      <c r="Q13200" s="318"/>
      <c r="R13200" s="318"/>
      <c r="S13200" s="318"/>
      <c r="T13200" s="318"/>
      <c r="U13200" s="318"/>
      <c r="V13200" s="318"/>
      <c r="W13200" s="318"/>
      <c r="X13200" s="318"/>
      <c r="Y13200" s="318"/>
      <c r="Z13200" s="318"/>
      <c r="AA13200" s="318"/>
      <c r="AB13200" s="318"/>
      <c r="AC13200" s="318"/>
      <c r="AD13200" s="318"/>
    </row>
    <row r="13201" spans="2:30" s="323" customFormat="1" ht="12" customHeight="1">
      <c r="B13201" s="324"/>
      <c r="C13201" s="325"/>
      <c r="D13201" s="326"/>
      <c r="E13201" s="326"/>
      <c r="F13201" s="326"/>
      <c r="G13201" s="326"/>
      <c r="H13201" s="326"/>
      <c r="P13201" s="318"/>
      <c r="Q13201" s="318"/>
      <c r="R13201" s="318"/>
      <c r="S13201" s="318"/>
      <c r="T13201" s="318"/>
      <c r="U13201" s="318"/>
      <c r="V13201" s="318"/>
      <c r="W13201" s="318"/>
      <c r="X13201" s="318"/>
      <c r="Y13201" s="318"/>
      <c r="Z13201" s="318"/>
      <c r="AA13201" s="318"/>
      <c r="AB13201" s="318"/>
      <c r="AC13201" s="318"/>
      <c r="AD13201" s="318"/>
    </row>
    <row r="13202" spans="2:30" s="323" customFormat="1" ht="12" customHeight="1">
      <c r="B13202" s="324"/>
      <c r="C13202" s="325"/>
      <c r="D13202" s="326"/>
      <c r="E13202" s="326"/>
      <c r="F13202" s="326"/>
      <c r="G13202" s="326"/>
      <c r="H13202" s="326"/>
      <c r="P13202" s="318"/>
      <c r="Q13202" s="318"/>
      <c r="R13202" s="318"/>
      <c r="S13202" s="318"/>
      <c r="T13202" s="318"/>
      <c r="U13202" s="318"/>
      <c r="V13202" s="318"/>
      <c r="W13202" s="318"/>
      <c r="X13202" s="318"/>
      <c r="Y13202" s="318"/>
      <c r="Z13202" s="318"/>
      <c r="AA13202" s="318"/>
      <c r="AB13202" s="318"/>
      <c r="AC13202" s="318"/>
      <c r="AD13202" s="318"/>
    </row>
    <row r="13203" spans="2:30" s="323" customFormat="1" ht="12" customHeight="1">
      <c r="B13203" s="324"/>
      <c r="C13203" s="325"/>
      <c r="D13203" s="326"/>
      <c r="E13203" s="326"/>
      <c r="F13203" s="326"/>
      <c r="G13203" s="326"/>
      <c r="H13203" s="326"/>
      <c r="P13203" s="318"/>
      <c r="Q13203" s="318"/>
      <c r="R13203" s="318"/>
      <c r="S13203" s="318"/>
      <c r="T13203" s="318"/>
      <c r="U13203" s="318"/>
      <c r="V13203" s="318"/>
      <c r="W13203" s="318"/>
      <c r="X13203" s="318"/>
      <c r="Y13203" s="318"/>
      <c r="Z13203" s="318"/>
      <c r="AA13203" s="318"/>
      <c r="AB13203" s="318"/>
      <c r="AC13203" s="318"/>
      <c r="AD13203" s="318"/>
    </row>
    <row r="13204" spans="2:30" s="323" customFormat="1" ht="12" customHeight="1">
      <c r="B13204" s="324"/>
      <c r="C13204" s="325"/>
      <c r="D13204" s="326"/>
      <c r="E13204" s="326"/>
      <c r="F13204" s="326"/>
      <c r="G13204" s="326"/>
      <c r="H13204" s="326"/>
      <c r="P13204" s="318"/>
      <c r="Q13204" s="318"/>
      <c r="R13204" s="318"/>
      <c r="S13204" s="318"/>
      <c r="T13204" s="318"/>
      <c r="U13204" s="318"/>
      <c r="V13204" s="318"/>
      <c r="W13204" s="318"/>
      <c r="X13204" s="318"/>
      <c r="Y13204" s="318"/>
      <c r="Z13204" s="318"/>
      <c r="AA13204" s="318"/>
      <c r="AB13204" s="318"/>
      <c r="AC13204" s="318"/>
      <c r="AD13204" s="318"/>
    </row>
    <row r="13205" spans="2:30" s="323" customFormat="1" ht="12" customHeight="1">
      <c r="B13205" s="324"/>
      <c r="C13205" s="325"/>
      <c r="D13205" s="326"/>
      <c r="E13205" s="326"/>
      <c r="F13205" s="326"/>
      <c r="G13205" s="326"/>
      <c r="H13205" s="326"/>
      <c r="P13205" s="318"/>
      <c r="Q13205" s="318"/>
      <c r="R13205" s="318"/>
      <c r="S13205" s="318"/>
      <c r="T13205" s="318"/>
      <c r="U13205" s="318"/>
      <c r="V13205" s="318"/>
      <c r="W13205" s="318"/>
      <c r="X13205" s="318"/>
      <c r="Y13205" s="318"/>
      <c r="Z13205" s="318"/>
      <c r="AA13205" s="318"/>
      <c r="AB13205" s="318"/>
      <c r="AC13205" s="318"/>
      <c r="AD13205" s="318"/>
    </row>
    <row r="13206" spans="2:30" s="323" customFormat="1" ht="12" customHeight="1">
      <c r="B13206" s="324"/>
      <c r="C13206" s="325"/>
      <c r="D13206" s="326"/>
      <c r="E13206" s="326"/>
      <c r="F13206" s="326"/>
      <c r="G13206" s="326"/>
      <c r="H13206" s="326"/>
      <c r="P13206" s="318"/>
      <c r="Q13206" s="318"/>
      <c r="R13206" s="318"/>
      <c r="S13206" s="318"/>
      <c r="T13206" s="318"/>
      <c r="U13206" s="318"/>
      <c r="V13206" s="318"/>
      <c r="W13206" s="318"/>
      <c r="X13206" s="318"/>
      <c r="Y13206" s="318"/>
      <c r="Z13206" s="318"/>
      <c r="AA13206" s="318"/>
      <c r="AB13206" s="318"/>
      <c r="AC13206" s="318"/>
      <c r="AD13206" s="318"/>
    </row>
    <row r="13207" spans="2:30" s="323" customFormat="1" ht="12" customHeight="1">
      <c r="B13207" s="324"/>
      <c r="C13207" s="325"/>
      <c r="D13207" s="326"/>
      <c r="E13207" s="326"/>
      <c r="F13207" s="326"/>
      <c r="G13207" s="326"/>
      <c r="H13207" s="326"/>
      <c r="P13207" s="318"/>
      <c r="Q13207" s="318"/>
      <c r="R13207" s="318"/>
      <c r="S13207" s="318"/>
      <c r="T13207" s="318"/>
      <c r="U13207" s="318"/>
      <c r="V13207" s="318"/>
      <c r="W13207" s="318"/>
      <c r="X13207" s="318"/>
      <c r="Y13207" s="318"/>
      <c r="Z13207" s="318"/>
      <c r="AA13207" s="318"/>
      <c r="AB13207" s="318"/>
      <c r="AC13207" s="318"/>
      <c r="AD13207" s="318"/>
    </row>
    <row r="13208" spans="2:30" s="323" customFormat="1" ht="12" customHeight="1">
      <c r="B13208" s="324"/>
      <c r="C13208" s="325"/>
      <c r="D13208" s="326"/>
      <c r="E13208" s="326"/>
      <c r="F13208" s="326"/>
      <c r="G13208" s="326"/>
      <c r="H13208" s="326"/>
      <c r="P13208" s="318"/>
      <c r="Q13208" s="318"/>
      <c r="R13208" s="318"/>
      <c r="S13208" s="318"/>
      <c r="T13208" s="318"/>
      <c r="U13208" s="318"/>
      <c r="V13208" s="318"/>
      <c r="W13208" s="318"/>
      <c r="X13208" s="318"/>
      <c r="Y13208" s="318"/>
      <c r="Z13208" s="318"/>
      <c r="AA13208" s="318"/>
      <c r="AB13208" s="318"/>
      <c r="AC13208" s="318"/>
      <c r="AD13208" s="318"/>
    </row>
    <row r="13209" spans="2:30" s="323" customFormat="1" ht="12" customHeight="1">
      <c r="B13209" s="324"/>
      <c r="C13209" s="325"/>
      <c r="D13209" s="326"/>
      <c r="E13209" s="326"/>
      <c r="F13209" s="326"/>
      <c r="G13209" s="326"/>
      <c r="H13209" s="326"/>
      <c r="P13209" s="318"/>
      <c r="Q13209" s="318"/>
      <c r="R13209" s="318"/>
      <c r="S13209" s="318"/>
      <c r="T13209" s="318"/>
      <c r="U13209" s="318"/>
      <c r="V13209" s="318"/>
      <c r="W13209" s="318"/>
      <c r="X13209" s="318"/>
      <c r="Y13209" s="318"/>
      <c r="Z13209" s="318"/>
      <c r="AA13209" s="318"/>
      <c r="AB13209" s="318"/>
      <c r="AC13209" s="318"/>
      <c r="AD13209" s="318"/>
    </row>
    <row r="13210" spans="2:30" s="323" customFormat="1" ht="12" customHeight="1">
      <c r="B13210" s="324"/>
      <c r="C13210" s="325"/>
      <c r="D13210" s="326"/>
      <c r="E13210" s="326"/>
      <c r="F13210" s="326"/>
      <c r="G13210" s="326"/>
      <c r="H13210" s="326"/>
      <c r="P13210" s="318"/>
      <c r="Q13210" s="318"/>
      <c r="R13210" s="318"/>
      <c r="S13210" s="318"/>
      <c r="T13210" s="318"/>
      <c r="U13210" s="318"/>
      <c r="V13210" s="318"/>
      <c r="W13210" s="318"/>
      <c r="X13210" s="318"/>
      <c r="Y13210" s="318"/>
      <c r="Z13210" s="318"/>
      <c r="AA13210" s="318"/>
      <c r="AB13210" s="318"/>
      <c r="AC13210" s="318"/>
      <c r="AD13210" s="318"/>
    </row>
    <row r="13211" spans="2:30" s="323" customFormat="1" ht="12" customHeight="1">
      <c r="B13211" s="324"/>
      <c r="C13211" s="325"/>
      <c r="D13211" s="326"/>
      <c r="E13211" s="326"/>
      <c r="F13211" s="326"/>
      <c r="G13211" s="326"/>
      <c r="H13211" s="326"/>
      <c r="P13211" s="318"/>
      <c r="Q13211" s="318"/>
      <c r="R13211" s="318"/>
      <c r="S13211" s="318"/>
      <c r="T13211" s="318"/>
      <c r="U13211" s="318"/>
      <c r="V13211" s="318"/>
      <c r="W13211" s="318"/>
      <c r="X13211" s="318"/>
      <c r="Y13211" s="318"/>
      <c r="Z13211" s="318"/>
      <c r="AA13211" s="318"/>
      <c r="AB13211" s="318"/>
      <c r="AC13211" s="318"/>
      <c r="AD13211" s="318"/>
    </row>
    <row r="13212" spans="2:30" s="323" customFormat="1" ht="12" customHeight="1">
      <c r="B13212" s="324"/>
      <c r="C13212" s="325"/>
      <c r="D13212" s="326"/>
      <c r="E13212" s="326"/>
      <c r="F13212" s="326"/>
      <c r="G13212" s="326"/>
      <c r="H13212" s="326"/>
      <c r="P13212" s="318"/>
      <c r="Q13212" s="318"/>
      <c r="R13212" s="318"/>
      <c r="S13212" s="318"/>
      <c r="T13212" s="318"/>
      <c r="U13212" s="318"/>
      <c r="V13212" s="318"/>
      <c r="W13212" s="318"/>
      <c r="X13212" s="318"/>
      <c r="Y13212" s="318"/>
      <c r="Z13212" s="318"/>
      <c r="AA13212" s="318"/>
      <c r="AB13212" s="318"/>
      <c r="AC13212" s="318"/>
      <c r="AD13212" s="318"/>
    </row>
    <row r="13213" spans="2:30" s="323" customFormat="1" ht="12" customHeight="1">
      <c r="B13213" s="324"/>
      <c r="C13213" s="325"/>
      <c r="D13213" s="326"/>
      <c r="E13213" s="326"/>
      <c r="F13213" s="326"/>
      <c r="G13213" s="326"/>
      <c r="H13213" s="326"/>
      <c r="P13213" s="318"/>
      <c r="Q13213" s="318"/>
      <c r="R13213" s="318"/>
      <c r="S13213" s="318"/>
      <c r="T13213" s="318"/>
      <c r="U13213" s="318"/>
      <c r="V13213" s="318"/>
      <c r="W13213" s="318"/>
      <c r="X13213" s="318"/>
      <c r="Y13213" s="318"/>
      <c r="Z13213" s="318"/>
      <c r="AA13213" s="318"/>
      <c r="AB13213" s="318"/>
      <c r="AC13213" s="318"/>
      <c r="AD13213" s="318"/>
    </row>
    <row r="13214" spans="2:30" s="323" customFormat="1" ht="12" customHeight="1">
      <c r="B13214" s="324"/>
      <c r="C13214" s="325"/>
      <c r="D13214" s="326"/>
      <c r="E13214" s="326"/>
      <c r="F13214" s="326"/>
      <c r="G13214" s="326"/>
      <c r="H13214" s="326"/>
      <c r="P13214" s="318"/>
      <c r="Q13214" s="318"/>
      <c r="R13214" s="318"/>
      <c r="S13214" s="318"/>
      <c r="T13214" s="318"/>
      <c r="U13214" s="318"/>
      <c r="V13214" s="318"/>
      <c r="W13214" s="318"/>
      <c r="X13214" s="318"/>
      <c r="Y13214" s="318"/>
      <c r="Z13214" s="318"/>
      <c r="AA13214" s="318"/>
      <c r="AB13214" s="318"/>
      <c r="AC13214" s="318"/>
      <c r="AD13214" s="318"/>
    </row>
    <row r="13215" spans="2:30" s="323" customFormat="1" ht="12" customHeight="1">
      <c r="B13215" s="324"/>
      <c r="C13215" s="325"/>
      <c r="D13215" s="326"/>
      <c r="E13215" s="326"/>
      <c r="F13215" s="326"/>
      <c r="G13215" s="326"/>
      <c r="H13215" s="326"/>
      <c r="P13215" s="318"/>
      <c r="Q13215" s="318"/>
      <c r="R13215" s="318"/>
      <c r="S13215" s="318"/>
      <c r="T13215" s="318"/>
      <c r="U13215" s="318"/>
      <c r="V13215" s="318"/>
      <c r="W13215" s="318"/>
      <c r="X13215" s="318"/>
      <c r="Y13215" s="318"/>
      <c r="Z13215" s="318"/>
      <c r="AA13215" s="318"/>
      <c r="AB13215" s="318"/>
      <c r="AC13215" s="318"/>
      <c r="AD13215" s="318"/>
    </row>
    <row r="13216" spans="2:30" s="323" customFormat="1" ht="12" customHeight="1">
      <c r="B13216" s="324"/>
      <c r="C13216" s="325"/>
      <c r="D13216" s="326"/>
      <c r="E13216" s="326"/>
      <c r="F13216" s="326"/>
      <c r="G13216" s="326"/>
      <c r="H13216" s="326"/>
      <c r="P13216" s="318"/>
      <c r="Q13216" s="318"/>
      <c r="R13216" s="318"/>
      <c r="S13216" s="318"/>
      <c r="T13216" s="318"/>
      <c r="U13216" s="318"/>
      <c r="V13216" s="318"/>
      <c r="W13216" s="318"/>
      <c r="X13216" s="318"/>
      <c r="Y13216" s="318"/>
      <c r="Z13216" s="318"/>
      <c r="AA13216" s="318"/>
      <c r="AB13216" s="318"/>
      <c r="AC13216" s="318"/>
      <c r="AD13216" s="318"/>
    </row>
    <row r="13217" spans="2:30" s="323" customFormat="1" ht="12" customHeight="1">
      <c r="B13217" s="324"/>
      <c r="C13217" s="325"/>
      <c r="D13217" s="326"/>
      <c r="E13217" s="326"/>
      <c r="F13217" s="326"/>
      <c r="G13217" s="326"/>
      <c r="H13217" s="326"/>
      <c r="P13217" s="318"/>
      <c r="Q13217" s="318"/>
      <c r="R13217" s="318"/>
      <c r="S13217" s="318"/>
      <c r="T13217" s="318"/>
      <c r="U13217" s="318"/>
      <c r="V13217" s="318"/>
      <c r="W13217" s="318"/>
      <c r="X13217" s="318"/>
      <c r="Y13217" s="318"/>
      <c r="Z13217" s="318"/>
      <c r="AA13217" s="318"/>
      <c r="AB13217" s="318"/>
      <c r="AC13217" s="318"/>
      <c r="AD13217" s="318"/>
    </row>
    <row r="13218" spans="2:30" s="323" customFormat="1" ht="12" customHeight="1">
      <c r="B13218" s="324"/>
      <c r="C13218" s="325"/>
      <c r="D13218" s="326"/>
      <c r="E13218" s="326"/>
      <c r="F13218" s="326"/>
      <c r="G13218" s="326"/>
      <c r="H13218" s="326"/>
      <c r="P13218" s="318"/>
      <c r="Q13218" s="318"/>
      <c r="R13218" s="318"/>
      <c r="S13218" s="318"/>
      <c r="T13218" s="318"/>
      <c r="U13218" s="318"/>
      <c r="V13218" s="318"/>
      <c r="W13218" s="318"/>
      <c r="X13218" s="318"/>
      <c r="Y13218" s="318"/>
      <c r="Z13218" s="318"/>
      <c r="AA13218" s="318"/>
      <c r="AB13218" s="318"/>
      <c r="AC13218" s="318"/>
      <c r="AD13218" s="318"/>
    </row>
    <row r="13219" spans="2:30" s="323" customFormat="1" ht="12" customHeight="1">
      <c r="B13219" s="324"/>
      <c r="C13219" s="325"/>
      <c r="D13219" s="326"/>
      <c r="E13219" s="326"/>
      <c r="F13219" s="326"/>
      <c r="G13219" s="326"/>
      <c r="H13219" s="326"/>
      <c r="P13219" s="318"/>
      <c r="Q13219" s="318"/>
      <c r="R13219" s="318"/>
      <c r="S13219" s="318"/>
      <c r="T13219" s="318"/>
      <c r="U13219" s="318"/>
      <c r="V13219" s="318"/>
      <c r="W13219" s="318"/>
      <c r="X13219" s="318"/>
      <c r="Y13219" s="318"/>
      <c r="Z13219" s="318"/>
      <c r="AA13219" s="318"/>
      <c r="AB13219" s="318"/>
      <c r="AC13219" s="318"/>
      <c r="AD13219" s="318"/>
    </row>
    <row r="13220" spans="2:30" s="323" customFormat="1" ht="12" customHeight="1">
      <c r="B13220" s="324"/>
      <c r="C13220" s="325"/>
      <c r="D13220" s="326"/>
      <c r="E13220" s="326"/>
      <c r="F13220" s="326"/>
      <c r="G13220" s="326"/>
      <c r="H13220" s="326"/>
      <c r="P13220" s="318"/>
      <c r="Q13220" s="318"/>
      <c r="R13220" s="318"/>
      <c r="S13220" s="318"/>
      <c r="T13220" s="318"/>
      <c r="U13220" s="318"/>
      <c r="V13220" s="318"/>
      <c r="W13220" s="318"/>
      <c r="X13220" s="318"/>
      <c r="Y13220" s="318"/>
      <c r="Z13220" s="318"/>
      <c r="AA13220" s="318"/>
      <c r="AB13220" s="318"/>
      <c r="AC13220" s="318"/>
      <c r="AD13220" s="318"/>
    </row>
    <row r="13221" spans="2:30" s="323" customFormat="1" ht="12" customHeight="1">
      <c r="B13221" s="324"/>
      <c r="C13221" s="325"/>
      <c r="D13221" s="326"/>
      <c r="E13221" s="326"/>
      <c r="F13221" s="326"/>
      <c r="G13221" s="326"/>
      <c r="H13221" s="326"/>
      <c r="P13221" s="318"/>
      <c r="Q13221" s="318"/>
      <c r="R13221" s="318"/>
      <c r="S13221" s="318"/>
      <c r="T13221" s="318"/>
      <c r="U13221" s="318"/>
      <c r="V13221" s="318"/>
      <c r="W13221" s="318"/>
      <c r="X13221" s="318"/>
      <c r="Y13221" s="318"/>
      <c r="Z13221" s="318"/>
      <c r="AA13221" s="318"/>
      <c r="AB13221" s="318"/>
      <c r="AC13221" s="318"/>
      <c r="AD13221" s="318"/>
    </row>
    <row r="13222" spans="2:30" s="323" customFormat="1" ht="12" customHeight="1">
      <c r="B13222" s="324"/>
      <c r="C13222" s="325"/>
      <c r="D13222" s="326"/>
      <c r="E13222" s="326"/>
      <c r="F13222" s="326"/>
      <c r="G13222" s="326"/>
      <c r="H13222" s="326"/>
      <c r="P13222" s="318"/>
      <c r="Q13222" s="318"/>
      <c r="R13222" s="318"/>
      <c r="S13222" s="318"/>
      <c r="T13222" s="318"/>
      <c r="U13222" s="318"/>
      <c r="V13222" s="318"/>
      <c r="W13222" s="318"/>
      <c r="X13222" s="318"/>
      <c r="Y13222" s="318"/>
      <c r="Z13222" s="318"/>
      <c r="AA13222" s="318"/>
      <c r="AB13222" s="318"/>
      <c r="AC13222" s="318"/>
      <c r="AD13222" s="318"/>
    </row>
    <row r="13223" spans="2:30" s="323" customFormat="1" ht="12" customHeight="1">
      <c r="B13223" s="324"/>
      <c r="C13223" s="325"/>
      <c r="D13223" s="326"/>
      <c r="E13223" s="326"/>
      <c r="F13223" s="326"/>
      <c r="G13223" s="326"/>
      <c r="H13223" s="326"/>
      <c r="P13223" s="318"/>
      <c r="Q13223" s="318"/>
      <c r="R13223" s="318"/>
      <c r="S13223" s="318"/>
      <c r="T13223" s="318"/>
      <c r="U13223" s="318"/>
      <c r="V13223" s="318"/>
      <c r="W13223" s="318"/>
      <c r="X13223" s="318"/>
      <c r="Y13223" s="318"/>
      <c r="Z13223" s="318"/>
      <c r="AA13223" s="318"/>
      <c r="AB13223" s="318"/>
      <c r="AC13223" s="318"/>
      <c r="AD13223" s="318"/>
    </row>
    <row r="13224" spans="2:30" s="323" customFormat="1" ht="12" customHeight="1">
      <c r="B13224" s="324"/>
      <c r="C13224" s="325"/>
      <c r="D13224" s="326"/>
      <c r="E13224" s="326"/>
      <c r="F13224" s="326"/>
      <c r="G13224" s="326"/>
      <c r="H13224" s="326"/>
      <c r="P13224" s="318"/>
      <c r="Q13224" s="318"/>
      <c r="R13224" s="318"/>
      <c r="S13224" s="318"/>
      <c r="T13224" s="318"/>
      <c r="U13224" s="318"/>
      <c r="V13224" s="318"/>
      <c r="W13224" s="318"/>
      <c r="X13224" s="318"/>
      <c r="Y13224" s="318"/>
      <c r="Z13224" s="318"/>
      <c r="AA13224" s="318"/>
      <c r="AB13224" s="318"/>
      <c r="AC13224" s="318"/>
      <c r="AD13224" s="318"/>
    </row>
    <row r="13225" spans="2:30" s="323" customFormat="1" ht="12" customHeight="1">
      <c r="B13225" s="324"/>
      <c r="C13225" s="325"/>
      <c r="D13225" s="326"/>
      <c r="E13225" s="326"/>
      <c r="F13225" s="326"/>
      <c r="G13225" s="326"/>
      <c r="H13225" s="326"/>
      <c r="P13225" s="318"/>
      <c r="Q13225" s="318"/>
      <c r="R13225" s="318"/>
      <c r="S13225" s="318"/>
      <c r="T13225" s="318"/>
      <c r="U13225" s="318"/>
      <c r="V13225" s="318"/>
      <c r="W13225" s="318"/>
      <c r="X13225" s="318"/>
      <c r="Y13225" s="318"/>
      <c r="Z13225" s="318"/>
      <c r="AA13225" s="318"/>
      <c r="AB13225" s="318"/>
      <c r="AC13225" s="318"/>
      <c r="AD13225" s="318"/>
    </row>
    <row r="13226" spans="2:30" s="323" customFormat="1" ht="12" customHeight="1">
      <c r="B13226" s="324"/>
      <c r="C13226" s="325"/>
      <c r="D13226" s="326"/>
      <c r="E13226" s="326"/>
      <c r="F13226" s="326"/>
      <c r="G13226" s="326"/>
      <c r="H13226" s="326"/>
      <c r="P13226" s="318"/>
      <c r="Q13226" s="318"/>
      <c r="R13226" s="318"/>
      <c r="S13226" s="318"/>
      <c r="T13226" s="318"/>
      <c r="U13226" s="318"/>
      <c r="V13226" s="318"/>
      <c r="W13226" s="318"/>
      <c r="X13226" s="318"/>
      <c r="Y13226" s="318"/>
      <c r="Z13226" s="318"/>
      <c r="AA13226" s="318"/>
      <c r="AB13226" s="318"/>
      <c r="AC13226" s="318"/>
      <c r="AD13226" s="318"/>
    </row>
    <row r="13227" spans="2:30" s="323" customFormat="1" ht="12" customHeight="1">
      <c r="B13227" s="324"/>
      <c r="C13227" s="325"/>
      <c r="D13227" s="326"/>
      <c r="E13227" s="326"/>
      <c r="F13227" s="326"/>
      <c r="G13227" s="326"/>
      <c r="H13227" s="326"/>
      <c r="P13227" s="318"/>
      <c r="Q13227" s="318"/>
      <c r="R13227" s="318"/>
      <c r="S13227" s="318"/>
      <c r="T13227" s="318"/>
      <c r="U13227" s="318"/>
      <c r="V13227" s="318"/>
      <c r="W13227" s="318"/>
      <c r="X13227" s="318"/>
      <c r="Y13227" s="318"/>
      <c r="Z13227" s="318"/>
      <c r="AA13227" s="318"/>
      <c r="AB13227" s="318"/>
      <c r="AC13227" s="318"/>
      <c r="AD13227" s="318"/>
    </row>
    <row r="13228" spans="2:30" s="323" customFormat="1" ht="12" customHeight="1">
      <c r="B13228" s="324"/>
      <c r="C13228" s="325"/>
      <c r="D13228" s="326"/>
      <c r="E13228" s="326"/>
      <c r="F13228" s="326"/>
      <c r="G13228" s="326"/>
      <c r="H13228" s="326"/>
      <c r="P13228" s="318"/>
      <c r="Q13228" s="318"/>
      <c r="R13228" s="318"/>
      <c r="S13228" s="318"/>
      <c r="T13228" s="318"/>
      <c r="U13228" s="318"/>
      <c r="V13228" s="318"/>
      <c r="W13228" s="318"/>
      <c r="X13228" s="318"/>
      <c r="Y13228" s="318"/>
      <c r="Z13228" s="318"/>
      <c r="AA13228" s="318"/>
      <c r="AB13228" s="318"/>
      <c r="AC13228" s="318"/>
      <c r="AD13228" s="318"/>
    </row>
    <row r="13229" spans="2:30" s="323" customFormat="1" ht="12" customHeight="1">
      <c r="B13229" s="324"/>
      <c r="C13229" s="325"/>
      <c r="D13229" s="326"/>
      <c r="E13229" s="326"/>
      <c r="F13229" s="326"/>
      <c r="G13229" s="326"/>
      <c r="H13229" s="326"/>
      <c r="P13229" s="318"/>
      <c r="Q13229" s="318"/>
      <c r="R13229" s="318"/>
      <c r="S13229" s="318"/>
      <c r="T13229" s="318"/>
      <c r="U13229" s="318"/>
      <c r="V13229" s="318"/>
      <c r="W13229" s="318"/>
      <c r="X13229" s="318"/>
      <c r="Y13229" s="318"/>
      <c r="Z13229" s="318"/>
      <c r="AA13229" s="318"/>
      <c r="AB13229" s="318"/>
      <c r="AC13229" s="318"/>
      <c r="AD13229" s="318"/>
    </row>
    <row r="13230" spans="2:30" s="323" customFormat="1" ht="12" customHeight="1">
      <c r="B13230" s="324"/>
      <c r="C13230" s="325"/>
      <c r="D13230" s="326"/>
      <c r="E13230" s="326"/>
      <c r="F13230" s="326"/>
      <c r="G13230" s="326"/>
      <c r="H13230" s="326"/>
      <c r="P13230" s="318"/>
      <c r="Q13230" s="318"/>
      <c r="R13230" s="318"/>
      <c r="S13230" s="318"/>
      <c r="T13230" s="318"/>
      <c r="U13230" s="318"/>
      <c r="V13230" s="318"/>
      <c r="W13230" s="318"/>
      <c r="X13230" s="318"/>
      <c r="Y13230" s="318"/>
      <c r="Z13230" s="318"/>
      <c r="AA13230" s="318"/>
      <c r="AB13230" s="318"/>
      <c r="AC13230" s="318"/>
      <c r="AD13230" s="318"/>
    </row>
    <row r="13231" spans="2:30" s="323" customFormat="1" ht="12" customHeight="1">
      <c r="B13231" s="324"/>
      <c r="C13231" s="325"/>
      <c r="D13231" s="326"/>
      <c r="E13231" s="326"/>
      <c r="F13231" s="326"/>
      <c r="G13231" s="326"/>
      <c r="H13231" s="326"/>
      <c r="P13231" s="318"/>
      <c r="Q13231" s="318"/>
      <c r="R13231" s="318"/>
      <c r="S13231" s="318"/>
      <c r="T13231" s="318"/>
      <c r="U13231" s="318"/>
      <c r="V13231" s="318"/>
      <c r="W13231" s="318"/>
      <c r="X13231" s="318"/>
      <c r="Y13231" s="318"/>
      <c r="Z13231" s="318"/>
      <c r="AA13231" s="318"/>
      <c r="AB13231" s="318"/>
      <c r="AC13231" s="318"/>
      <c r="AD13231" s="318"/>
    </row>
    <row r="13232" spans="2:30" s="323" customFormat="1" ht="12" customHeight="1">
      <c r="B13232" s="324"/>
      <c r="C13232" s="325"/>
      <c r="D13232" s="326"/>
      <c r="E13232" s="326"/>
      <c r="F13232" s="326"/>
      <c r="G13232" s="326"/>
      <c r="H13232" s="326"/>
      <c r="P13232" s="318"/>
      <c r="Q13232" s="318"/>
      <c r="R13232" s="318"/>
      <c r="S13232" s="318"/>
      <c r="T13232" s="318"/>
      <c r="U13232" s="318"/>
      <c r="V13232" s="318"/>
      <c r="W13232" s="318"/>
      <c r="X13232" s="318"/>
      <c r="Y13232" s="318"/>
      <c r="Z13232" s="318"/>
      <c r="AA13232" s="318"/>
      <c r="AB13232" s="318"/>
      <c r="AC13232" s="318"/>
      <c r="AD13232" s="318"/>
    </row>
    <row r="13233" spans="2:30" s="323" customFormat="1" ht="12" customHeight="1">
      <c r="B13233" s="324"/>
      <c r="C13233" s="325"/>
      <c r="D13233" s="326"/>
      <c r="E13233" s="326"/>
      <c r="F13233" s="326"/>
      <c r="G13233" s="326"/>
      <c r="H13233" s="326"/>
      <c r="P13233" s="318"/>
      <c r="Q13233" s="318"/>
      <c r="R13233" s="318"/>
      <c r="S13233" s="318"/>
      <c r="T13233" s="318"/>
      <c r="U13233" s="318"/>
      <c r="V13233" s="318"/>
      <c r="W13233" s="318"/>
      <c r="X13233" s="318"/>
      <c r="Y13233" s="318"/>
      <c r="Z13233" s="318"/>
      <c r="AA13233" s="318"/>
      <c r="AB13233" s="318"/>
      <c r="AC13233" s="318"/>
      <c r="AD13233" s="318"/>
    </row>
    <row r="13234" spans="2:30" s="323" customFormat="1" ht="12" customHeight="1">
      <c r="B13234" s="324"/>
      <c r="C13234" s="325"/>
      <c r="D13234" s="326"/>
      <c r="E13234" s="326"/>
      <c r="F13234" s="326"/>
      <c r="G13234" s="326"/>
      <c r="H13234" s="326"/>
      <c r="P13234" s="318"/>
      <c r="Q13234" s="318"/>
      <c r="R13234" s="318"/>
      <c r="S13234" s="318"/>
      <c r="T13234" s="318"/>
      <c r="U13234" s="318"/>
      <c r="V13234" s="318"/>
      <c r="W13234" s="318"/>
      <c r="X13234" s="318"/>
      <c r="Y13234" s="318"/>
      <c r="Z13234" s="318"/>
      <c r="AA13234" s="318"/>
      <c r="AB13234" s="318"/>
      <c r="AC13234" s="318"/>
      <c r="AD13234" s="318"/>
    </row>
    <row r="13235" spans="2:30" s="323" customFormat="1" ht="12" customHeight="1">
      <c r="B13235" s="324"/>
      <c r="C13235" s="325"/>
      <c r="D13235" s="326"/>
      <c r="E13235" s="326"/>
      <c r="F13235" s="326"/>
      <c r="G13235" s="326"/>
      <c r="H13235" s="326"/>
      <c r="P13235" s="318"/>
      <c r="Q13235" s="318"/>
      <c r="R13235" s="318"/>
      <c r="S13235" s="318"/>
      <c r="T13235" s="318"/>
      <c r="U13235" s="318"/>
      <c r="V13235" s="318"/>
      <c r="W13235" s="318"/>
      <c r="X13235" s="318"/>
      <c r="Y13235" s="318"/>
      <c r="Z13235" s="318"/>
      <c r="AA13235" s="318"/>
      <c r="AB13235" s="318"/>
      <c r="AC13235" s="318"/>
      <c r="AD13235" s="318"/>
    </row>
    <row r="13236" spans="2:30" s="323" customFormat="1" ht="12" customHeight="1">
      <c r="B13236" s="324"/>
      <c r="C13236" s="325"/>
      <c r="D13236" s="326"/>
      <c r="E13236" s="326"/>
      <c r="F13236" s="326"/>
      <c r="G13236" s="326"/>
      <c r="H13236" s="326"/>
      <c r="P13236" s="318"/>
      <c r="Q13236" s="318"/>
      <c r="R13236" s="318"/>
      <c r="S13236" s="318"/>
      <c r="T13236" s="318"/>
      <c r="U13236" s="318"/>
      <c r="V13236" s="318"/>
      <c r="W13236" s="318"/>
      <c r="X13236" s="318"/>
      <c r="Y13236" s="318"/>
      <c r="Z13236" s="318"/>
      <c r="AA13236" s="318"/>
      <c r="AB13236" s="318"/>
      <c r="AC13236" s="318"/>
      <c r="AD13236" s="318"/>
    </row>
    <row r="13237" spans="2:30" s="323" customFormat="1" ht="12" customHeight="1">
      <c r="B13237" s="324"/>
      <c r="C13237" s="325"/>
      <c r="D13237" s="326"/>
      <c r="E13237" s="326"/>
      <c r="F13237" s="326"/>
      <c r="G13237" s="326"/>
      <c r="H13237" s="326"/>
      <c r="P13237" s="318"/>
      <c r="Q13237" s="318"/>
      <c r="R13237" s="318"/>
      <c r="S13237" s="318"/>
      <c r="T13237" s="318"/>
      <c r="U13237" s="318"/>
      <c r="V13237" s="318"/>
      <c r="W13237" s="318"/>
      <c r="X13237" s="318"/>
      <c r="Y13237" s="318"/>
      <c r="Z13237" s="318"/>
      <c r="AA13237" s="318"/>
      <c r="AB13237" s="318"/>
      <c r="AC13237" s="318"/>
      <c r="AD13237" s="318"/>
    </row>
    <row r="13238" spans="2:30" s="323" customFormat="1" ht="12" customHeight="1">
      <c r="B13238" s="324"/>
      <c r="C13238" s="325"/>
      <c r="D13238" s="326"/>
      <c r="E13238" s="326"/>
      <c r="F13238" s="326"/>
      <c r="G13238" s="326"/>
      <c r="H13238" s="326"/>
      <c r="P13238" s="318"/>
      <c r="Q13238" s="318"/>
      <c r="R13238" s="318"/>
      <c r="S13238" s="318"/>
      <c r="T13238" s="318"/>
      <c r="U13238" s="318"/>
      <c r="V13238" s="318"/>
      <c r="W13238" s="318"/>
      <c r="X13238" s="318"/>
      <c r="Y13238" s="318"/>
      <c r="Z13238" s="318"/>
      <c r="AA13238" s="318"/>
      <c r="AB13238" s="318"/>
      <c r="AC13238" s="318"/>
      <c r="AD13238" s="318"/>
    </row>
    <row r="13239" spans="2:30" s="323" customFormat="1" ht="12" customHeight="1">
      <c r="B13239" s="324"/>
      <c r="C13239" s="325"/>
      <c r="D13239" s="326"/>
      <c r="E13239" s="326"/>
      <c r="F13239" s="326"/>
      <c r="G13239" s="326"/>
      <c r="H13239" s="326"/>
      <c r="P13239" s="318"/>
      <c r="Q13239" s="318"/>
      <c r="R13239" s="318"/>
      <c r="S13239" s="318"/>
      <c r="T13239" s="318"/>
      <c r="U13239" s="318"/>
      <c r="V13239" s="318"/>
      <c r="W13239" s="318"/>
      <c r="X13239" s="318"/>
      <c r="Y13239" s="318"/>
      <c r="Z13239" s="318"/>
      <c r="AA13239" s="318"/>
      <c r="AB13239" s="318"/>
      <c r="AC13239" s="318"/>
      <c r="AD13239" s="318"/>
    </row>
    <row r="13240" spans="2:30" s="323" customFormat="1" ht="12" customHeight="1">
      <c r="B13240" s="324"/>
      <c r="C13240" s="325"/>
      <c r="D13240" s="326"/>
      <c r="E13240" s="326"/>
      <c r="F13240" s="326"/>
      <c r="G13240" s="326"/>
      <c r="H13240" s="326"/>
      <c r="P13240" s="318"/>
      <c r="Q13240" s="318"/>
      <c r="R13240" s="318"/>
      <c r="S13240" s="318"/>
      <c r="T13240" s="318"/>
      <c r="U13240" s="318"/>
      <c r="V13240" s="318"/>
      <c r="W13240" s="318"/>
      <c r="X13240" s="318"/>
      <c r="Y13240" s="318"/>
      <c r="Z13240" s="318"/>
      <c r="AA13240" s="318"/>
      <c r="AB13240" s="318"/>
      <c r="AC13240" s="318"/>
      <c r="AD13240" s="318"/>
    </row>
    <row r="13241" spans="2:30" s="323" customFormat="1" ht="12" customHeight="1">
      <c r="B13241" s="324"/>
      <c r="C13241" s="325"/>
      <c r="D13241" s="326"/>
      <c r="E13241" s="326"/>
      <c r="F13241" s="326"/>
      <c r="G13241" s="326"/>
      <c r="H13241" s="326"/>
      <c r="P13241" s="318"/>
      <c r="Q13241" s="318"/>
      <c r="R13241" s="318"/>
      <c r="S13241" s="318"/>
      <c r="T13241" s="318"/>
      <c r="U13241" s="318"/>
      <c r="V13241" s="318"/>
      <c r="W13241" s="318"/>
      <c r="X13241" s="318"/>
      <c r="Y13241" s="318"/>
      <c r="Z13241" s="318"/>
      <c r="AA13241" s="318"/>
      <c r="AB13241" s="318"/>
      <c r="AC13241" s="318"/>
      <c r="AD13241" s="318"/>
    </row>
    <row r="13242" spans="2:30" s="323" customFormat="1" ht="12" customHeight="1">
      <c r="B13242" s="324"/>
      <c r="C13242" s="325"/>
      <c r="D13242" s="326"/>
      <c r="E13242" s="326"/>
      <c r="F13242" s="326"/>
      <c r="G13242" s="326"/>
      <c r="H13242" s="326"/>
      <c r="P13242" s="318"/>
      <c r="Q13242" s="318"/>
      <c r="R13242" s="318"/>
      <c r="S13242" s="318"/>
      <c r="T13242" s="318"/>
      <c r="U13242" s="318"/>
      <c r="V13242" s="318"/>
      <c r="W13242" s="318"/>
      <c r="X13242" s="318"/>
      <c r="Y13242" s="318"/>
      <c r="Z13242" s="318"/>
      <c r="AA13242" s="318"/>
      <c r="AB13242" s="318"/>
      <c r="AC13242" s="318"/>
      <c r="AD13242" s="318"/>
    </row>
    <row r="13243" spans="2:30" s="323" customFormat="1" ht="12" customHeight="1">
      <c r="B13243" s="324"/>
      <c r="C13243" s="325"/>
      <c r="D13243" s="326"/>
      <c r="E13243" s="326"/>
      <c r="F13243" s="326"/>
      <c r="G13243" s="326"/>
      <c r="H13243" s="326"/>
      <c r="P13243" s="318"/>
      <c r="Q13243" s="318"/>
      <c r="R13243" s="318"/>
      <c r="S13243" s="318"/>
      <c r="T13243" s="318"/>
      <c r="U13243" s="318"/>
      <c r="V13243" s="318"/>
      <c r="W13243" s="318"/>
      <c r="X13243" s="318"/>
      <c r="Y13243" s="318"/>
      <c r="Z13243" s="318"/>
      <c r="AA13243" s="318"/>
      <c r="AB13243" s="318"/>
      <c r="AC13243" s="318"/>
      <c r="AD13243" s="318"/>
    </row>
    <row r="13244" spans="2:30" s="323" customFormat="1" ht="12" customHeight="1">
      <c r="B13244" s="324"/>
      <c r="C13244" s="325"/>
      <c r="D13244" s="326"/>
      <c r="E13244" s="326"/>
      <c r="F13244" s="326"/>
      <c r="G13244" s="326"/>
      <c r="H13244" s="326"/>
      <c r="P13244" s="318"/>
      <c r="Q13244" s="318"/>
      <c r="R13244" s="318"/>
      <c r="S13244" s="318"/>
      <c r="T13244" s="318"/>
      <c r="U13244" s="318"/>
      <c r="V13244" s="318"/>
      <c r="W13244" s="318"/>
      <c r="X13244" s="318"/>
      <c r="Y13244" s="318"/>
      <c r="Z13244" s="318"/>
      <c r="AA13244" s="318"/>
      <c r="AB13244" s="318"/>
      <c r="AC13244" s="318"/>
      <c r="AD13244" s="318"/>
    </row>
    <row r="13245" spans="2:30" s="323" customFormat="1" ht="12" customHeight="1">
      <c r="B13245" s="324"/>
      <c r="C13245" s="325"/>
      <c r="D13245" s="326"/>
      <c r="E13245" s="326"/>
      <c r="F13245" s="326"/>
      <c r="G13245" s="326"/>
      <c r="H13245" s="326"/>
      <c r="P13245" s="318"/>
      <c r="Q13245" s="318"/>
      <c r="R13245" s="318"/>
      <c r="S13245" s="318"/>
      <c r="T13245" s="318"/>
      <c r="U13245" s="318"/>
      <c r="V13245" s="318"/>
      <c r="W13245" s="318"/>
      <c r="X13245" s="318"/>
      <c r="Y13245" s="318"/>
      <c r="Z13245" s="318"/>
      <c r="AA13245" s="318"/>
      <c r="AB13245" s="318"/>
      <c r="AC13245" s="318"/>
      <c r="AD13245" s="318"/>
    </row>
    <row r="13246" spans="2:30" s="323" customFormat="1" ht="12" customHeight="1">
      <c r="B13246" s="324"/>
      <c r="C13246" s="325"/>
      <c r="D13246" s="326"/>
      <c r="E13246" s="326"/>
      <c r="F13246" s="326"/>
      <c r="G13246" s="326"/>
      <c r="H13246" s="326"/>
      <c r="P13246" s="318"/>
      <c r="Q13246" s="318"/>
      <c r="R13246" s="318"/>
      <c r="S13246" s="318"/>
      <c r="T13246" s="318"/>
      <c r="U13246" s="318"/>
      <c r="V13246" s="318"/>
      <c r="W13246" s="318"/>
      <c r="X13246" s="318"/>
      <c r="Y13246" s="318"/>
      <c r="Z13246" s="318"/>
      <c r="AA13246" s="318"/>
      <c r="AB13246" s="318"/>
      <c r="AC13246" s="318"/>
      <c r="AD13246" s="318"/>
    </row>
    <row r="13247" spans="2:30" s="323" customFormat="1" ht="12" customHeight="1">
      <c r="B13247" s="324"/>
      <c r="C13247" s="325"/>
      <c r="D13247" s="326"/>
      <c r="E13247" s="326"/>
      <c r="F13247" s="326"/>
      <c r="G13247" s="326"/>
      <c r="H13247" s="326"/>
      <c r="P13247" s="318"/>
      <c r="Q13247" s="318"/>
      <c r="R13247" s="318"/>
      <c r="S13247" s="318"/>
      <c r="T13247" s="318"/>
      <c r="U13247" s="318"/>
      <c r="V13247" s="318"/>
      <c r="W13247" s="318"/>
      <c r="X13247" s="318"/>
      <c r="Y13247" s="318"/>
      <c r="Z13247" s="318"/>
      <c r="AA13247" s="318"/>
      <c r="AB13247" s="318"/>
      <c r="AC13247" s="318"/>
      <c r="AD13247" s="318"/>
    </row>
    <row r="13248" spans="2:30" s="323" customFormat="1" ht="12" customHeight="1">
      <c r="B13248" s="324"/>
      <c r="C13248" s="325"/>
      <c r="D13248" s="326"/>
      <c r="E13248" s="326"/>
      <c r="F13248" s="326"/>
      <c r="G13248" s="326"/>
      <c r="H13248" s="326"/>
      <c r="P13248" s="318"/>
      <c r="Q13248" s="318"/>
      <c r="R13248" s="318"/>
      <c r="S13248" s="318"/>
      <c r="T13248" s="318"/>
      <c r="U13248" s="318"/>
      <c r="V13248" s="318"/>
      <c r="W13248" s="318"/>
      <c r="X13248" s="318"/>
      <c r="Y13248" s="318"/>
      <c r="Z13248" s="318"/>
      <c r="AA13248" s="318"/>
      <c r="AB13248" s="318"/>
      <c r="AC13248" s="318"/>
      <c r="AD13248" s="318"/>
    </row>
    <row r="13249" spans="2:30" s="323" customFormat="1" ht="12" customHeight="1">
      <c r="B13249" s="324"/>
      <c r="C13249" s="325"/>
      <c r="D13249" s="326"/>
      <c r="E13249" s="326"/>
      <c r="F13249" s="326"/>
      <c r="G13249" s="326"/>
      <c r="H13249" s="326"/>
      <c r="P13249" s="318"/>
      <c r="Q13249" s="318"/>
      <c r="R13249" s="318"/>
      <c r="S13249" s="318"/>
      <c r="T13249" s="318"/>
      <c r="U13249" s="318"/>
      <c r="V13249" s="318"/>
      <c r="W13249" s="318"/>
      <c r="X13249" s="318"/>
      <c r="Y13249" s="318"/>
      <c r="Z13249" s="318"/>
      <c r="AA13249" s="318"/>
      <c r="AB13249" s="318"/>
      <c r="AC13249" s="318"/>
      <c r="AD13249" s="318"/>
    </row>
    <row r="13250" spans="2:30" s="323" customFormat="1" ht="12" customHeight="1">
      <c r="B13250" s="324"/>
      <c r="C13250" s="325"/>
      <c r="D13250" s="326"/>
      <c r="E13250" s="326"/>
      <c r="F13250" s="326"/>
      <c r="G13250" s="326"/>
      <c r="H13250" s="326"/>
      <c r="P13250" s="318"/>
      <c r="Q13250" s="318"/>
      <c r="R13250" s="318"/>
      <c r="S13250" s="318"/>
      <c r="T13250" s="318"/>
      <c r="U13250" s="318"/>
      <c r="V13250" s="318"/>
      <c r="W13250" s="318"/>
      <c r="X13250" s="318"/>
      <c r="Y13250" s="318"/>
      <c r="Z13250" s="318"/>
      <c r="AA13250" s="318"/>
      <c r="AB13250" s="318"/>
      <c r="AC13250" s="318"/>
      <c r="AD13250" s="318"/>
    </row>
    <row r="13251" spans="2:30" s="323" customFormat="1" ht="12" customHeight="1">
      <c r="B13251" s="324"/>
      <c r="C13251" s="325"/>
      <c r="D13251" s="326"/>
      <c r="E13251" s="326"/>
      <c r="F13251" s="326"/>
      <c r="G13251" s="326"/>
      <c r="H13251" s="326"/>
      <c r="P13251" s="318"/>
      <c r="Q13251" s="318"/>
      <c r="R13251" s="318"/>
      <c r="S13251" s="318"/>
      <c r="T13251" s="318"/>
      <c r="U13251" s="318"/>
      <c r="V13251" s="318"/>
      <c r="W13251" s="318"/>
      <c r="X13251" s="318"/>
      <c r="Y13251" s="318"/>
      <c r="Z13251" s="318"/>
      <c r="AA13251" s="318"/>
      <c r="AB13251" s="318"/>
      <c r="AC13251" s="318"/>
      <c r="AD13251" s="318"/>
    </row>
    <row r="13252" spans="2:30" s="323" customFormat="1" ht="12" customHeight="1">
      <c r="B13252" s="324"/>
      <c r="C13252" s="325"/>
      <c r="D13252" s="326"/>
      <c r="E13252" s="326"/>
      <c r="F13252" s="326"/>
      <c r="G13252" s="326"/>
      <c r="H13252" s="326"/>
      <c r="P13252" s="318"/>
      <c r="Q13252" s="318"/>
      <c r="R13252" s="318"/>
      <c r="S13252" s="318"/>
      <c r="T13252" s="318"/>
      <c r="U13252" s="318"/>
      <c r="V13252" s="318"/>
      <c r="W13252" s="318"/>
      <c r="X13252" s="318"/>
      <c r="Y13252" s="318"/>
      <c r="Z13252" s="318"/>
      <c r="AA13252" s="318"/>
      <c r="AB13252" s="318"/>
      <c r="AC13252" s="318"/>
      <c r="AD13252" s="318"/>
    </row>
    <row r="13253" spans="2:30" s="323" customFormat="1" ht="12" customHeight="1">
      <c r="B13253" s="324"/>
      <c r="C13253" s="325"/>
      <c r="D13253" s="326"/>
      <c r="E13253" s="326"/>
      <c r="F13253" s="326"/>
      <c r="G13253" s="326"/>
      <c r="H13253" s="326"/>
      <c r="P13253" s="318"/>
      <c r="Q13253" s="318"/>
      <c r="R13253" s="318"/>
      <c r="S13253" s="318"/>
      <c r="T13253" s="318"/>
      <c r="U13253" s="318"/>
      <c r="V13253" s="318"/>
      <c r="W13253" s="318"/>
      <c r="X13253" s="318"/>
      <c r="Y13253" s="318"/>
      <c r="Z13253" s="318"/>
      <c r="AA13253" s="318"/>
      <c r="AB13253" s="318"/>
      <c r="AC13253" s="318"/>
      <c r="AD13253" s="318"/>
    </row>
    <row r="13254" spans="2:30" s="323" customFormat="1" ht="12" customHeight="1">
      <c r="B13254" s="324"/>
      <c r="C13254" s="325"/>
      <c r="D13254" s="326"/>
      <c r="E13254" s="326"/>
      <c r="F13254" s="326"/>
      <c r="G13254" s="326"/>
      <c r="H13254" s="326"/>
      <c r="P13254" s="318"/>
      <c r="Q13254" s="318"/>
      <c r="R13254" s="318"/>
      <c r="S13254" s="318"/>
      <c r="T13254" s="318"/>
      <c r="U13254" s="318"/>
      <c r="V13254" s="318"/>
      <c r="W13254" s="318"/>
      <c r="X13254" s="318"/>
      <c r="Y13254" s="318"/>
      <c r="Z13254" s="318"/>
      <c r="AA13254" s="318"/>
      <c r="AB13254" s="318"/>
      <c r="AC13254" s="318"/>
      <c r="AD13254" s="318"/>
    </row>
    <row r="13255" spans="2:30" s="323" customFormat="1" ht="12" customHeight="1">
      <c r="B13255" s="324"/>
      <c r="C13255" s="325"/>
      <c r="D13255" s="326"/>
      <c r="E13255" s="326"/>
      <c r="F13255" s="326"/>
      <c r="G13255" s="326"/>
      <c r="H13255" s="326"/>
      <c r="P13255" s="318"/>
      <c r="Q13255" s="318"/>
      <c r="R13255" s="318"/>
      <c r="S13255" s="318"/>
      <c r="T13255" s="318"/>
      <c r="U13255" s="318"/>
      <c r="V13255" s="318"/>
      <c r="W13255" s="318"/>
      <c r="X13255" s="318"/>
      <c r="Y13255" s="318"/>
      <c r="Z13255" s="318"/>
      <c r="AA13255" s="318"/>
      <c r="AB13255" s="318"/>
      <c r="AC13255" s="318"/>
      <c r="AD13255" s="318"/>
    </row>
    <row r="13256" spans="2:30" s="323" customFormat="1" ht="12" customHeight="1">
      <c r="B13256" s="324"/>
      <c r="C13256" s="325"/>
      <c r="D13256" s="326"/>
      <c r="E13256" s="326"/>
      <c r="F13256" s="326"/>
      <c r="G13256" s="326"/>
      <c r="H13256" s="326"/>
      <c r="P13256" s="318"/>
      <c r="Q13256" s="318"/>
      <c r="R13256" s="318"/>
      <c r="S13256" s="318"/>
      <c r="T13256" s="318"/>
      <c r="U13256" s="318"/>
      <c r="V13256" s="318"/>
      <c r="W13256" s="318"/>
      <c r="X13256" s="318"/>
      <c r="Y13256" s="318"/>
      <c r="Z13256" s="318"/>
      <c r="AA13256" s="318"/>
      <c r="AB13256" s="318"/>
      <c r="AC13256" s="318"/>
      <c r="AD13256" s="318"/>
    </row>
    <row r="13257" spans="2:30" s="323" customFormat="1" ht="12" customHeight="1">
      <c r="B13257" s="324"/>
      <c r="C13257" s="325"/>
      <c r="D13257" s="326"/>
      <c r="E13257" s="326"/>
      <c r="F13257" s="326"/>
      <c r="G13257" s="326"/>
      <c r="H13257" s="326"/>
      <c r="P13257" s="318"/>
      <c r="Q13257" s="318"/>
      <c r="R13257" s="318"/>
      <c r="S13257" s="318"/>
      <c r="T13257" s="318"/>
      <c r="U13257" s="318"/>
      <c r="V13257" s="318"/>
      <c r="W13257" s="318"/>
      <c r="X13257" s="318"/>
      <c r="Y13257" s="318"/>
      <c r="Z13257" s="318"/>
      <c r="AA13257" s="318"/>
      <c r="AB13257" s="318"/>
      <c r="AC13257" s="318"/>
      <c r="AD13257" s="318"/>
    </row>
    <row r="13258" spans="2:30" s="323" customFormat="1" ht="12" customHeight="1">
      <c r="B13258" s="324"/>
      <c r="C13258" s="325"/>
      <c r="D13258" s="326"/>
      <c r="E13258" s="326"/>
      <c r="F13258" s="326"/>
      <c r="G13258" s="326"/>
      <c r="H13258" s="326"/>
      <c r="P13258" s="318"/>
      <c r="Q13258" s="318"/>
      <c r="R13258" s="318"/>
      <c r="S13258" s="318"/>
      <c r="T13258" s="318"/>
      <c r="U13258" s="318"/>
      <c r="V13258" s="318"/>
      <c r="W13258" s="318"/>
      <c r="X13258" s="318"/>
      <c r="Y13258" s="318"/>
      <c r="Z13258" s="318"/>
      <c r="AA13258" s="318"/>
      <c r="AB13258" s="318"/>
      <c r="AC13258" s="318"/>
      <c r="AD13258" s="318"/>
    </row>
    <row r="13259" spans="2:30" s="323" customFormat="1" ht="12" customHeight="1">
      <c r="B13259" s="324"/>
      <c r="C13259" s="325"/>
      <c r="D13259" s="326"/>
      <c r="E13259" s="326"/>
      <c r="F13259" s="326"/>
      <c r="G13259" s="326"/>
      <c r="H13259" s="326"/>
      <c r="P13259" s="318"/>
      <c r="Q13259" s="318"/>
      <c r="R13259" s="318"/>
      <c r="S13259" s="318"/>
      <c r="T13259" s="318"/>
      <c r="U13259" s="318"/>
      <c r="V13259" s="318"/>
      <c r="W13259" s="318"/>
      <c r="X13259" s="318"/>
      <c r="Y13259" s="318"/>
      <c r="Z13259" s="318"/>
      <c r="AA13259" s="318"/>
      <c r="AB13259" s="318"/>
      <c r="AC13259" s="318"/>
      <c r="AD13259" s="318"/>
    </row>
    <row r="13260" spans="2:30" s="323" customFormat="1" ht="12" customHeight="1">
      <c r="B13260" s="324"/>
      <c r="C13260" s="325"/>
      <c r="D13260" s="326"/>
      <c r="E13260" s="326"/>
      <c r="F13260" s="326"/>
      <c r="G13260" s="326"/>
      <c r="H13260" s="326"/>
      <c r="P13260" s="318"/>
      <c r="Q13260" s="318"/>
      <c r="R13260" s="318"/>
      <c r="S13260" s="318"/>
      <c r="T13260" s="318"/>
      <c r="U13260" s="318"/>
      <c r="V13260" s="318"/>
      <c r="W13260" s="318"/>
      <c r="X13260" s="318"/>
      <c r="Y13260" s="318"/>
      <c r="Z13260" s="318"/>
      <c r="AA13260" s="318"/>
      <c r="AB13260" s="318"/>
      <c r="AC13260" s="318"/>
      <c r="AD13260" s="318"/>
    </row>
    <row r="13261" spans="2:30" s="323" customFormat="1" ht="12" customHeight="1">
      <c r="B13261" s="324"/>
      <c r="C13261" s="325"/>
      <c r="D13261" s="326"/>
      <c r="E13261" s="326"/>
      <c r="F13261" s="326"/>
      <c r="G13261" s="326"/>
      <c r="H13261" s="326"/>
      <c r="P13261" s="318"/>
      <c r="Q13261" s="318"/>
      <c r="R13261" s="318"/>
      <c r="S13261" s="318"/>
      <c r="T13261" s="318"/>
      <c r="U13261" s="318"/>
      <c r="V13261" s="318"/>
      <c r="W13261" s="318"/>
      <c r="X13261" s="318"/>
      <c r="Y13261" s="318"/>
      <c r="Z13261" s="318"/>
      <c r="AA13261" s="318"/>
      <c r="AB13261" s="318"/>
      <c r="AC13261" s="318"/>
      <c r="AD13261" s="318"/>
    </row>
    <row r="13262" spans="2:30" s="323" customFormat="1" ht="12" customHeight="1">
      <c r="B13262" s="324"/>
      <c r="C13262" s="325"/>
      <c r="D13262" s="326"/>
      <c r="E13262" s="326"/>
      <c r="F13262" s="326"/>
      <c r="G13262" s="326"/>
      <c r="H13262" s="326"/>
      <c r="P13262" s="318"/>
      <c r="Q13262" s="318"/>
      <c r="R13262" s="318"/>
      <c r="S13262" s="318"/>
      <c r="T13262" s="318"/>
      <c r="U13262" s="318"/>
      <c r="V13262" s="318"/>
      <c r="W13262" s="318"/>
      <c r="X13262" s="318"/>
      <c r="Y13262" s="318"/>
      <c r="Z13262" s="318"/>
      <c r="AA13262" s="318"/>
      <c r="AB13262" s="318"/>
      <c r="AC13262" s="318"/>
      <c r="AD13262" s="318"/>
    </row>
    <row r="13263" spans="2:30" s="323" customFormat="1" ht="12" customHeight="1">
      <c r="B13263" s="324"/>
      <c r="C13263" s="325"/>
      <c r="D13263" s="326"/>
      <c r="E13263" s="326"/>
      <c r="F13263" s="326"/>
      <c r="G13263" s="326"/>
      <c r="H13263" s="326"/>
      <c r="P13263" s="318"/>
      <c r="Q13263" s="318"/>
      <c r="R13263" s="318"/>
      <c r="S13263" s="318"/>
      <c r="T13263" s="318"/>
      <c r="U13263" s="318"/>
      <c r="V13263" s="318"/>
      <c r="W13263" s="318"/>
      <c r="X13263" s="318"/>
      <c r="Y13263" s="318"/>
      <c r="Z13263" s="318"/>
      <c r="AA13263" s="318"/>
      <c r="AB13263" s="318"/>
      <c r="AC13263" s="318"/>
      <c r="AD13263" s="318"/>
    </row>
    <row r="13264" spans="2:30" s="323" customFormat="1" ht="12" customHeight="1">
      <c r="B13264" s="324"/>
      <c r="C13264" s="325"/>
      <c r="D13264" s="326"/>
      <c r="E13264" s="326"/>
      <c r="F13264" s="326"/>
      <c r="G13264" s="326"/>
      <c r="H13264" s="326"/>
      <c r="P13264" s="318"/>
      <c r="Q13264" s="318"/>
      <c r="R13264" s="318"/>
      <c r="S13264" s="318"/>
      <c r="T13264" s="318"/>
      <c r="U13264" s="318"/>
      <c r="V13264" s="318"/>
      <c r="W13264" s="318"/>
      <c r="X13264" s="318"/>
      <c r="Y13264" s="318"/>
      <c r="Z13264" s="318"/>
      <c r="AA13264" s="318"/>
      <c r="AB13264" s="318"/>
      <c r="AC13264" s="318"/>
      <c r="AD13264" s="318"/>
    </row>
    <row r="13265" spans="2:30" s="323" customFormat="1" ht="12" customHeight="1">
      <c r="B13265" s="324"/>
      <c r="C13265" s="325"/>
      <c r="D13265" s="326"/>
      <c r="E13265" s="326"/>
      <c r="F13265" s="326"/>
      <c r="G13265" s="326"/>
      <c r="H13265" s="326"/>
      <c r="P13265" s="318"/>
      <c r="Q13265" s="318"/>
      <c r="R13265" s="318"/>
      <c r="S13265" s="318"/>
      <c r="T13265" s="318"/>
      <c r="U13265" s="318"/>
      <c r="V13265" s="318"/>
      <c r="W13265" s="318"/>
      <c r="X13265" s="318"/>
      <c r="Y13265" s="318"/>
      <c r="Z13265" s="318"/>
      <c r="AA13265" s="318"/>
      <c r="AB13265" s="318"/>
      <c r="AC13265" s="318"/>
      <c r="AD13265" s="318"/>
    </row>
    <row r="13266" spans="2:30" s="323" customFormat="1" ht="12" customHeight="1">
      <c r="B13266" s="324"/>
      <c r="C13266" s="325"/>
      <c r="D13266" s="326"/>
      <c r="E13266" s="326"/>
      <c r="F13266" s="326"/>
      <c r="G13266" s="326"/>
      <c r="H13266" s="326"/>
      <c r="P13266" s="318"/>
      <c r="Q13266" s="318"/>
      <c r="R13266" s="318"/>
      <c r="S13266" s="318"/>
      <c r="T13266" s="318"/>
      <c r="U13266" s="318"/>
      <c r="V13266" s="318"/>
      <c r="W13266" s="318"/>
      <c r="X13266" s="318"/>
      <c r="Y13266" s="318"/>
      <c r="Z13266" s="318"/>
      <c r="AA13266" s="318"/>
      <c r="AB13266" s="318"/>
      <c r="AC13266" s="318"/>
      <c r="AD13266" s="318"/>
    </row>
    <row r="13267" spans="2:30" s="323" customFormat="1" ht="12" customHeight="1">
      <c r="B13267" s="324"/>
      <c r="C13267" s="325"/>
      <c r="D13267" s="326"/>
      <c r="E13267" s="326"/>
      <c r="F13267" s="326"/>
      <c r="G13267" s="326"/>
      <c r="H13267" s="326"/>
      <c r="P13267" s="318"/>
      <c r="Q13267" s="318"/>
      <c r="R13267" s="318"/>
      <c r="S13267" s="318"/>
      <c r="T13267" s="318"/>
      <c r="U13267" s="318"/>
      <c r="V13267" s="318"/>
      <c r="W13267" s="318"/>
      <c r="X13267" s="318"/>
      <c r="Y13267" s="318"/>
      <c r="Z13267" s="318"/>
      <c r="AA13267" s="318"/>
      <c r="AB13267" s="318"/>
      <c r="AC13267" s="318"/>
      <c r="AD13267" s="318"/>
    </row>
    <row r="13268" spans="2:30" s="323" customFormat="1" ht="12" customHeight="1">
      <c r="B13268" s="324"/>
      <c r="C13268" s="325"/>
      <c r="D13268" s="326"/>
      <c r="E13268" s="326"/>
      <c r="F13268" s="326"/>
      <c r="G13268" s="326"/>
      <c r="H13268" s="326"/>
      <c r="P13268" s="318"/>
      <c r="Q13268" s="318"/>
      <c r="R13268" s="318"/>
      <c r="S13268" s="318"/>
      <c r="T13268" s="318"/>
      <c r="U13268" s="318"/>
      <c r="V13268" s="318"/>
      <c r="W13268" s="318"/>
      <c r="X13268" s="318"/>
      <c r="Y13268" s="318"/>
      <c r="Z13268" s="318"/>
      <c r="AA13268" s="318"/>
      <c r="AB13268" s="318"/>
      <c r="AC13268" s="318"/>
      <c r="AD13268" s="318"/>
    </row>
    <row r="13269" spans="2:30" s="323" customFormat="1" ht="12" customHeight="1">
      <c r="B13269" s="324"/>
      <c r="C13269" s="325"/>
      <c r="D13269" s="326"/>
      <c r="E13269" s="326"/>
      <c r="F13269" s="326"/>
      <c r="G13269" s="326"/>
      <c r="H13269" s="326"/>
      <c r="P13269" s="318"/>
      <c r="Q13269" s="318"/>
      <c r="R13269" s="318"/>
      <c r="S13269" s="318"/>
      <c r="T13269" s="318"/>
      <c r="U13269" s="318"/>
      <c r="V13269" s="318"/>
      <c r="W13269" s="318"/>
      <c r="X13269" s="318"/>
      <c r="Y13269" s="318"/>
      <c r="Z13269" s="318"/>
      <c r="AA13269" s="318"/>
      <c r="AB13269" s="318"/>
      <c r="AC13269" s="318"/>
      <c r="AD13269" s="318"/>
    </row>
    <row r="13270" spans="2:30" s="323" customFormat="1" ht="12" customHeight="1">
      <c r="B13270" s="324"/>
      <c r="C13270" s="325"/>
      <c r="D13270" s="326"/>
      <c r="E13270" s="326"/>
      <c r="F13270" s="326"/>
      <c r="G13270" s="326"/>
      <c r="H13270" s="326"/>
      <c r="P13270" s="318"/>
      <c r="Q13270" s="318"/>
      <c r="R13270" s="318"/>
      <c r="S13270" s="318"/>
      <c r="T13270" s="318"/>
      <c r="U13270" s="318"/>
      <c r="V13270" s="318"/>
      <c r="W13270" s="318"/>
      <c r="X13270" s="318"/>
      <c r="Y13270" s="318"/>
      <c r="Z13270" s="318"/>
      <c r="AA13270" s="318"/>
      <c r="AB13270" s="318"/>
      <c r="AC13270" s="318"/>
      <c r="AD13270" s="318"/>
    </row>
    <row r="13271" spans="2:30" s="323" customFormat="1" ht="12" customHeight="1">
      <c r="B13271" s="324"/>
      <c r="C13271" s="325"/>
      <c r="D13271" s="326"/>
      <c r="E13271" s="326"/>
      <c r="F13271" s="326"/>
      <c r="G13271" s="326"/>
      <c r="H13271" s="326"/>
      <c r="P13271" s="318"/>
      <c r="Q13271" s="318"/>
      <c r="R13271" s="318"/>
      <c r="S13271" s="318"/>
      <c r="T13271" s="318"/>
      <c r="U13271" s="318"/>
      <c r="V13271" s="318"/>
      <c r="W13271" s="318"/>
      <c r="X13271" s="318"/>
      <c r="Y13271" s="318"/>
      <c r="Z13271" s="318"/>
      <c r="AA13271" s="318"/>
      <c r="AB13271" s="318"/>
      <c r="AC13271" s="318"/>
      <c r="AD13271" s="318"/>
    </row>
    <row r="13272" spans="2:30" s="323" customFormat="1" ht="12" customHeight="1">
      <c r="B13272" s="324"/>
      <c r="C13272" s="325"/>
      <c r="D13272" s="326"/>
      <c r="E13272" s="326"/>
      <c r="F13272" s="326"/>
      <c r="G13272" s="326"/>
      <c r="H13272" s="326"/>
      <c r="P13272" s="318"/>
      <c r="Q13272" s="318"/>
      <c r="R13272" s="318"/>
      <c r="S13272" s="318"/>
      <c r="T13272" s="318"/>
      <c r="U13272" s="318"/>
      <c r="V13272" s="318"/>
      <c r="W13272" s="318"/>
      <c r="X13272" s="318"/>
      <c r="Y13272" s="318"/>
      <c r="Z13272" s="318"/>
      <c r="AA13272" s="318"/>
      <c r="AB13272" s="318"/>
      <c r="AC13272" s="318"/>
      <c r="AD13272" s="318"/>
    </row>
    <row r="13273" spans="2:30" s="323" customFormat="1" ht="12" customHeight="1">
      <c r="B13273" s="324"/>
      <c r="C13273" s="325"/>
      <c r="D13273" s="326"/>
      <c r="E13273" s="326"/>
      <c r="F13273" s="326"/>
      <c r="G13273" s="326"/>
      <c r="H13273" s="326"/>
      <c r="P13273" s="318"/>
      <c r="Q13273" s="318"/>
      <c r="R13273" s="318"/>
      <c r="S13273" s="318"/>
      <c r="T13273" s="318"/>
      <c r="U13273" s="318"/>
      <c r="V13273" s="318"/>
      <c r="W13273" s="318"/>
      <c r="X13273" s="318"/>
      <c r="Y13273" s="318"/>
      <c r="Z13273" s="318"/>
      <c r="AA13273" s="318"/>
      <c r="AB13273" s="318"/>
      <c r="AC13273" s="318"/>
      <c r="AD13273" s="318"/>
    </row>
    <row r="13274" spans="2:30" s="323" customFormat="1" ht="12" customHeight="1">
      <c r="B13274" s="324"/>
      <c r="C13274" s="325"/>
      <c r="D13274" s="326"/>
      <c r="E13274" s="326"/>
      <c r="F13274" s="326"/>
      <c r="G13274" s="326"/>
      <c r="H13274" s="326"/>
      <c r="P13274" s="318"/>
      <c r="Q13274" s="318"/>
      <c r="R13274" s="318"/>
      <c r="S13274" s="318"/>
      <c r="T13274" s="318"/>
      <c r="U13274" s="318"/>
      <c r="V13274" s="318"/>
      <c r="W13274" s="318"/>
      <c r="X13274" s="318"/>
      <c r="Y13274" s="318"/>
      <c r="Z13274" s="318"/>
      <c r="AA13274" s="318"/>
      <c r="AB13274" s="318"/>
      <c r="AC13274" s="318"/>
      <c r="AD13274" s="318"/>
    </row>
    <row r="13275" spans="2:30" s="323" customFormat="1" ht="12" customHeight="1">
      <c r="B13275" s="324"/>
      <c r="C13275" s="325"/>
      <c r="D13275" s="326"/>
      <c r="E13275" s="326"/>
      <c r="F13275" s="326"/>
      <c r="G13275" s="326"/>
      <c r="H13275" s="326"/>
      <c r="P13275" s="318"/>
      <c r="Q13275" s="318"/>
      <c r="R13275" s="318"/>
      <c r="S13275" s="318"/>
      <c r="T13275" s="318"/>
      <c r="U13275" s="318"/>
      <c r="V13275" s="318"/>
      <c r="W13275" s="318"/>
      <c r="X13275" s="318"/>
      <c r="Y13275" s="318"/>
      <c r="Z13275" s="318"/>
      <c r="AA13275" s="318"/>
      <c r="AB13275" s="318"/>
      <c r="AC13275" s="318"/>
      <c r="AD13275" s="318"/>
    </row>
    <row r="13276" spans="2:30" s="323" customFormat="1" ht="12" customHeight="1">
      <c r="B13276" s="324"/>
      <c r="C13276" s="325"/>
      <c r="D13276" s="326"/>
      <c r="E13276" s="326"/>
      <c r="F13276" s="326"/>
      <c r="G13276" s="326"/>
      <c r="H13276" s="326"/>
      <c r="P13276" s="318"/>
      <c r="Q13276" s="318"/>
      <c r="R13276" s="318"/>
      <c r="S13276" s="318"/>
      <c r="T13276" s="318"/>
      <c r="U13276" s="318"/>
      <c r="V13276" s="318"/>
      <c r="W13276" s="318"/>
      <c r="X13276" s="318"/>
      <c r="Y13276" s="318"/>
      <c r="Z13276" s="318"/>
      <c r="AA13276" s="318"/>
      <c r="AB13276" s="318"/>
      <c r="AC13276" s="318"/>
      <c r="AD13276" s="318"/>
    </row>
    <row r="13277" spans="2:30" s="323" customFormat="1" ht="12" customHeight="1">
      <c r="B13277" s="324"/>
      <c r="C13277" s="325"/>
      <c r="D13277" s="326"/>
      <c r="E13277" s="326"/>
      <c r="F13277" s="326"/>
      <c r="G13277" s="326"/>
      <c r="H13277" s="326"/>
      <c r="P13277" s="318"/>
      <c r="Q13277" s="318"/>
      <c r="R13277" s="318"/>
      <c r="S13277" s="318"/>
      <c r="T13277" s="318"/>
      <c r="U13277" s="318"/>
      <c r="V13277" s="318"/>
      <c r="W13277" s="318"/>
      <c r="X13277" s="318"/>
      <c r="Y13277" s="318"/>
      <c r="Z13277" s="318"/>
      <c r="AA13277" s="318"/>
      <c r="AB13277" s="318"/>
      <c r="AC13277" s="318"/>
      <c r="AD13277" s="318"/>
    </row>
    <row r="13278" spans="2:30" s="323" customFormat="1" ht="12" customHeight="1">
      <c r="B13278" s="324"/>
      <c r="C13278" s="325"/>
      <c r="D13278" s="326"/>
      <c r="E13278" s="326"/>
      <c r="F13278" s="326"/>
      <c r="G13278" s="326"/>
      <c r="H13278" s="326"/>
      <c r="P13278" s="318"/>
      <c r="Q13278" s="318"/>
      <c r="R13278" s="318"/>
      <c r="S13278" s="318"/>
      <c r="T13278" s="318"/>
      <c r="U13278" s="318"/>
      <c r="V13278" s="318"/>
      <c r="W13278" s="318"/>
      <c r="X13278" s="318"/>
      <c r="Y13278" s="318"/>
      <c r="Z13278" s="318"/>
      <c r="AA13278" s="318"/>
      <c r="AB13278" s="318"/>
      <c r="AC13278" s="318"/>
      <c r="AD13278" s="318"/>
    </row>
    <row r="13279" spans="2:30" s="323" customFormat="1" ht="12" customHeight="1">
      <c r="B13279" s="324"/>
      <c r="C13279" s="325"/>
      <c r="D13279" s="326"/>
      <c r="E13279" s="326"/>
      <c r="F13279" s="326"/>
      <c r="G13279" s="326"/>
      <c r="H13279" s="326"/>
      <c r="P13279" s="318"/>
      <c r="Q13279" s="318"/>
      <c r="R13279" s="318"/>
      <c r="S13279" s="318"/>
      <c r="T13279" s="318"/>
      <c r="U13279" s="318"/>
      <c r="V13279" s="318"/>
      <c r="W13279" s="318"/>
      <c r="X13279" s="318"/>
      <c r="Y13279" s="318"/>
      <c r="Z13279" s="318"/>
      <c r="AA13279" s="318"/>
      <c r="AB13279" s="318"/>
      <c r="AC13279" s="318"/>
      <c r="AD13279" s="318"/>
    </row>
    <row r="13280" spans="2:30" s="323" customFormat="1" ht="12" customHeight="1">
      <c r="B13280" s="324"/>
      <c r="C13280" s="325"/>
      <c r="D13280" s="326"/>
      <c r="E13280" s="326"/>
      <c r="F13280" s="326"/>
      <c r="G13280" s="326"/>
      <c r="H13280" s="326"/>
      <c r="P13280" s="318"/>
      <c r="Q13280" s="318"/>
      <c r="R13280" s="318"/>
      <c r="S13280" s="318"/>
      <c r="T13280" s="318"/>
      <c r="U13280" s="318"/>
      <c r="V13280" s="318"/>
      <c r="W13280" s="318"/>
      <c r="X13280" s="318"/>
      <c r="Y13280" s="318"/>
      <c r="Z13280" s="318"/>
      <c r="AA13280" s="318"/>
      <c r="AB13280" s="318"/>
      <c r="AC13280" s="318"/>
      <c r="AD13280" s="318"/>
    </row>
    <row r="13281" spans="2:30" s="323" customFormat="1" ht="12" customHeight="1">
      <c r="B13281" s="324"/>
      <c r="C13281" s="325"/>
      <c r="D13281" s="326"/>
      <c r="E13281" s="326"/>
      <c r="F13281" s="326"/>
      <c r="G13281" s="326"/>
      <c r="H13281" s="326"/>
      <c r="P13281" s="318"/>
      <c r="Q13281" s="318"/>
      <c r="R13281" s="318"/>
      <c r="S13281" s="318"/>
      <c r="T13281" s="318"/>
      <c r="U13281" s="318"/>
      <c r="V13281" s="318"/>
      <c r="W13281" s="318"/>
      <c r="X13281" s="318"/>
      <c r="Y13281" s="318"/>
      <c r="Z13281" s="318"/>
      <c r="AA13281" s="318"/>
      <c r="AB13281" s="318"/>
      <c r="AC13281" s="318"/>
      <c r="AD13281" s="318"/>
    </row>
    <row r="13282" spans="2:30" s="323" customFormat="1" ht="12" customHeight="1">
      <c r="B13282" s="324"/>
      <c r="C13282" s="325"/>
      <c r="D13282" s="326"/>
      <c r="E13282" s="326"/>
      <c r="F13282" s="326"/>
      <c r="G13282" s="326"/>
      <c r="H13282" s="326"/>
      <c r="P13282" s="318"/>
      <c r="Q13282" s="318"/>
      <c r="R13282" s="318"/>
      <c r="S13282" s="318"/>
      <c r="T13282" s="318"/>
      <c r="U13282" s="318"/>
      <c r="V13282" s="318"/>
      <c r="W13282" s="318"/>
      <c r="X13282" s="318"/>
      <c r="Y13282" s="318"/>
      <c r="Z13282" s="318"/>
      <c r="AA13282" s="318"/>
      <c r="AB13282" s="318"/>
      <c r="AC13282" s="318"/>
      <c r="AD13282" s="318"/>
    </row>
    <row r="13283" spans="2:30" s="323" customFormat="1" ht="12" customHeight="1">
      <c r="B13283" s="324"/>
      <c r="C13283" s="325"/>
      <c r="D13283" s="326"/>
      <c r="E13283" s="326"/>
      <c r="F13283" s="326"/>
      <c r="G13283" s="326"/>
      <c r="H13283" s="326"/>
      <c r="P13283" s="318"/>
      <c r="Q13283" s="318"/>
      <c r="R13283" s="318"/>
      <c r="S13283" s="318"/>
      <c r="T13283" s="318"/>
      <c r="U13283" s="318"/>
      <c r="V13283" s="318"/>
      <c r="W13283" s="318"/>
      <c r="X13283" s="318"/>
      <c r="Y13283" s="318"/>
      <c r="Z13283" s="318"/>
      <c r="AA13283" s="318"/>
      <c r="AB13283" s="318"/>
      <c r="AC13283" s="318"/>
      <c r="AD13283" s="318"/>
    </row>
    <row r="13284" spans="2:30" s="323" customFormat="1" ht="12" customHeight="1">
      <c r="B13284" s="324"/>
      <c r="C13284" s="325"/>
      <c r="D13284" s="326"/>
      <c r="E13284" s="326"/>
      <c r="F13284" s="326"/>
      <c r="G13284" s="326"/>
      <c r="H13284" s="326"/>
      <c r="P13284" s="318"/>
      <c r="Q13284" s="318"/>
      <c r="R13284" s="318"/>
      <c r="S13284" s="318"/>
      <c r="T13284" s="318"/>
      <c r="U13284" s="318"/>
      <c r="V13284" s="318"/>
      <c r="W13284" s="318"/>
      <c r="X13284" s="318"/>
      <c r="Y13284" s="318"/>
      <c r="Z13284" s="318"/>
      <c r="AA13284" s="318"/>
      <c r="AB13284" s="318"/>
      <c r="AC13284" s="318"/>
      <c r="AD13284" s="318"/>
    </row>
    <row r="13285" spans="2:30" s="323" customFormat="1" ht="12" customHeight="1">
      <c r="B13285" s="324"/>
      <c r="C13285" s="325"/>
      <c r="D13285" s="326"/>
      <c r="E13285" s="326"/>
      <c r="F13285" s="326"/>
      <c r="G13285" s="326"/>
      <c r="H13285" s="326"/>
      <c r="P13285" s="318"/>
      <c r="Q13285" s="318"/>
      <c r="R13285" s="318"/>
      <c r="S13285" s="318"/>
      <c r="T13285" s="318"/>
      <c r="U13285" s="318"/>
      <c r="V13285" s="318"/>
      <c r="W13285" s="318"/>
      <c r="X13285" s="318"/>
      <c r="Y13285" s="318"/>
      <c r="Z13285" s="318"/>
      <c r="AA13285" s="318"/>
      <c r="AB13285" s="318"/>
      <c r="AC13285" s="318"/>
      <c r="AD13285" s="318"/>
    </row>
    <row r="13286" spans="2:30" s="323" customFormat="1" ht="12" customHeight="1">
      <c r="B13286" s="324"/>
      <c r="C13286" s="325"/>
      <c r="D13286" s="326"/>
      <c r="E13286" s="326"/>
      <c r="F13286" s="326"/>
      <c r="G13286" s="326"/>
      <c r="H13286" s="326"/>
      <c r="P13286" s="318"/>
      <c r="Q13286" s="318"/>
      <c r="R13286" s="318"/>
      <c r="S13286" s="318"/>
      <c r="T13286" s="318"/>
      <c r="U13286" s="318"/>
      <c r="V13286" s="318"/>
      <c r="W13286" s="318"/>
      <c r="X13286" s="318"/>
      <c r="Y13286" s="318"/>
      <c r="Z13286" s="318"/>
      <c r="AA13286" s="318"/>
      <c r="AB13286" s="318"/>
      <c r="AC13286" s="318"/>
      <c r="AD13286" s="318"/>
    </row>
    <row r="13287" spans="2:30" s="323" customFormat="1" ht="12" customHeight="1">
      <c r="B13287" s="324"/>
      <c r="C13287" s="325"/>
      <c r="D13287" s="326"/>
      <c r="E13287" s="326"/>
      <c r="F13287" s="326"/>
      <c r="G13287" s="326"/>
      <c r="H13287" s="326"/>
      <c r="P13287" s="318"/>
      <c r="Q13287" s="318"/>
      <c r="R13287" s="318"/>
      <c r="S13287" s="318"/>
      <c r="T13287" s="318"/>
      <c r="U13287" s="318"/>
      <c r="V13287" s="318"/>
      <c r="W13287" s="318"/>
      <c r="X13287" s="318"/>
      <c r="Y13287" s="318"/>
      <c r="Z13287" s="318"/>
      <c r="AA13287" s="318"/>
      <c r="AB13287" s="318"/>
      <c r="AC13287" s="318"/>
      <c r="AD13287" s="318"/>
    </row>
    <row r="13288" spans="2:30" s="323" customFormat="1" ht="12" customHeight="1">
      <c r="B13288" s="324"/>
      <c r="C13288" s="325"/>
      <c r="D13288" s="326"/>
      <c r="E13288" s="326"/>
      <c r="F13288" s="326"/>
      <c r="G13288" s="326"/>
      <c r="H13288" s="326"/>
      <c r="P13288" s="318"/>
      <c r="Q13288" s="318"/>
      <c r="R13288" s="318"/>
      <c r="S13288" s="318"/>
      <c r="T13288" s="318"/>
      <c r="U13288" s="318"/>
      <c r="V13288" s="318"/>
      <c r="W13288" s="318"/>
      <c r="X13288" s="318"/>
      <c r="Y13288" s="318"/>
      <c r="Z13288" s="318"/>
      <c r="AA13288" s="318"/>
      <c r="AB13288" s="318"/>
      <c r="AC13288" s="318"/>
      <c r="AD13288" s="318"/>
    </row>
    <row r="13289" spans="2:30" s="323" customFormat="1" ht="12" customHeight="1">
      <c r="B13289" s="324"/>
      <c r="C13289" s="325"/>
      <c r="D13289" s="326"/>
      <c r="E13289" s="326"/>
      <c r="F13289" s="326"/>
      <c r="G13289" s="326"/>
      <c r="H13289" s="326"/>
      <c r="P13289" s="318"/>
      <c r="Q13289" s="318"/>
      <c r="R13289" s="318"/>
      <c r="S13289" s="318"/>
      <c r="T13289" s="318"/>
      <c r="U13289" s="318"/>
      <c r="V13289" s="318"/>
      <c r="W13289" s="318"/>
      <c r="X13289" s="318"/>
      <c r="Y13289" s="318"/>
      <c r="Z13289" s="318"/>
      <c r="AA13289" s="318"/>
      <c r="AB13289" s="318"/>
      <c r="AC13289" s="318"/>
      <c r="AD13289" s="318"/>
    </row>
    <row r="13290" spans="2:30" s="323" customFormat="1" ht="12" customHeight="1">
      <c r="B13290" s="324"/>
      <c r="C13290" s="325"/>
      <c r="D13290" s="326"/>
      <c r="E13290" s="326"/>
      <c r="F13290" s="326"/>
      <c r="G13290" s="326"/>
      <c r="H13290" s="326"/>
      <c r="P13290" s="318"/>
      <c r="Q13290" s="318"/>
      <c r="R13290" s="318"/>
      <c r="S13290" s="318"/>
      <c r="T13290" s="318"/>
      <c r="U13290" s="318"/>
      <c r="V13290" s="318"/>
      <c r="W13290" s="318"/>
      <c r="X13290" s="318"/>
      <c r="Y13290" s="318"/>
      <c r="Z13290" s="318"/>
      <c r="AA13290" s="318"/>
      <c r="AB13290" s="318"/>
      <c r="AC13290" s="318"/>
      <c r="AD13290" s="318"/>
    </row>
    <row r="13291" spans="2:30" s="323" customFormat="1" ht="12" customHeight="1">
      <c r="B13291" s="324"/>
      <c r="C13291" s="325"/>
      <c r="D13291" s="326"/>
      <c r="E13291" s="326"/>
      <c r="F13291" s="326"/>
      <c r="G13291" s="326"/>
      <c r="H13291" s="326"/>
      <c r="P13291" s="318"/>
      <c r="Q13291" s="318"/>
      <c r="R13291" s="318"/>
      <c r="S13291" s="318"/>
      <c r="T13291" s="318"/>
      <c r="U13291" s="318"/>
      <c r="V13291" s="318"/>
      <c r="W13291" s="318"/>
      <c r="X13291" s="318"/>
      <c r="Y13291" s="318"/>
      <c r="Z13291" s="318"/>
      <c r="AA13291" s="318"/>
      <c r="AB13291" s="318"/>
      <c r="AC13291" s="318"/>
      <c r="AD13291" s="318"/>
    </row>
    <row r="13292" spans="2:30" s="323" customFormat="1" ht="12" customHeight="1">
      <c r="B13292" s="324"/>
      <c r="C13292" s="325"/>
      <c r="D13292" s="326"/>
      <c r="E13292" s="326"/>
      <c r="F13292" s="326"/>
      <c r="G13292" s="326"/>
      <c r="H13292" s="326"/>
      <c r="P13292" s="318"/>
      <c r="Q13292" s="318"/>
      <c r="R13292" s="318"/>
      <c r="S13292" s="318"/>
      <c r="T13292" s="318"/>
      <c r="U13292" s="318"/>
      <c r="V13292" s="318"/>
      <c r="W13292" s="318"/>
      <c r="X13292" s="318"/>
      <c r="Y13292" s="318"/>
      <c r="Z13292" s="318"/>
      <c r="AA13292" s="318"/>
      <c r="AB13292" s="318"/>
      <c r="AC13292" s="318"/>
      <c r="AD13292" s="318"/>
    </row>
    <row r="13293" spans="2:30" s="323" customFormat="1" ht="12" customHeight="1">
      <c r="B13293" s="324"/>
      <c r="C13293" s="325"/>
      <c r="D13293" s="326"/>
      <c r="E13293" s="326"/>
      <c r="F13293" s="326"/>
      <c r="G13293" s="326"/>
      <c r="H13293" s="326"/>
      <c r="P13293" s="318"/>
      <c r="Q13293" s="318"/>
      <c r="R13293" s="318"/>
      <c r="S13293" s="318"/>
      <c r="T13293" s="318"/>
      <c r="U13293" s="318"/>
      <c r="V13293" s="318"/>
      <c r="W13293" s="318"/>
      <c r="X13293" s="318"/>
      <c r="Y13293" s="318"/>
      <c r="Z13293" s="318"/>
      <c r="AA13293" s="318"/>
      <c r="AB13293" s="318"/>
      <c r="AC13293" s="318"/>
      <c r="AD13293" s="318"/>
    </row>
    <row r="13294" spans="2:30" s="323" customFormat="1" ht="12" customHeight="1">
      <c r="B13294" s="324"/>
      <c r="C13294" s="325"/>
      <c r="D13294" s="326"/>
      <c r="E13294" s="326"/>
      <c r="F13294" s="326"/>
      <c r="G13294" s="326"/>
      <c r="H13294" s="326"/>
      <c r="P13294" s="318"/>
      <c r="Q13294" s="318"/>
      <c r="R13294" s="318"/>
      <c r="S13294" s="318"/>
      <c r="T13294" s="318"/>
      <c r="U13294" s="318"/>
      <c r="V13294" s="318"/>
      <c r="W13294" s="318"/>
      <c r="X13294" s="318"/>
      <c r="Y13294" s="318"/>
      <c r="Z13294" s="318"/>
      <c r="AA13294" s="318"/>
      <c r="AB13294" s="318"/>
      <c r="AC13294" s="318"/>
      <c r="AD13294" s="318"/>
    </row>
    <row r="13295" spans="2:30" s="323" customFormat="1" ht="12" customHeight="1">
      <c r="B13295" s="324"/>
      <c r="C13295" s="325"/>
      <c r="D13295" s="326"/>
      <c r="E13295" s="326"/>
      <c r="F13295" s="326"/>
      <c r="G13295" s="326"/>
      <c r="H13295" s="326"/>
      <c r="P13295" s="318"/>
      <c r="Q13295" s="318"/>
      <c r="R13295" s="318"/>
      <c r="S13295" s="318"/>
      <c r="T13295" s="318"/>
      <c r="U13295" s="318"/>
      <c r="V13295" s="318"/>
      <c r="W13295" s="318"/>
      <c r="X13295" s="318"/>
      <c r="Y13295" s="318"/>
      <c r="Z13295" s="318"/>
      <c r="AA13295" s="318"/>
      <c r="AB13295" s="318"/>
      <c r="AC13295" s="318"/>
      <c r="AD13295" s="318"/>
    </row>
    <row r="13296" spans="2:30" s="323" customFormat="1" ht="12" customHeight="1">
      <c r="B13296" s="324"/>
      <c r="C13296" s="325"/>
      <c r="D13296" s="326"/>
      <c r="E13296" s="326"/>
      <c r="F13296" s="326"/>
      <c r="G13296" s="326"/>
      <c r="H13296" s="326"/>
      <c r="P13296" s="318"/>
      <c r="Q13296" s="318"/>
      <c r="R13296" s="318"/>
      <c r="S13296" s="318"/>
      <c r="T13296" s="318"/>
      <c r="U13296" s="318"/>
      <c r="V13296" s="318"/>
      <c r="W13296" s="318"/>
      <c r="X13296" s="318"/>
      <c r="Y13296" s="318"/>
      <c r="Z13296" s="318"/>
      <c r="AA13296" s="318"/>
      <c r="AB13296" s="318"/>
      <c r="AC13296" s="318"/>
      <c r="AD13296" s="318"/>
    </row>
    <row r="13297" spans="2:30" s="323" customFormat="1" ht="12" customHeight="1">
      <c r="B13297" s="324"/>
      <c r="C13297" s="325"/>
      <c r="D13297" s="326"/>
      <c r="E13297" s="326"/>
      <c r="F13297" s="326"/>
      <c r="G13297" s="326"/>
      <c r="H13297" s="326"/>
      <c r="P13297" s="318"/>
      <c r="Q13297" s="318"/>
      <c r="R13297" s="318"/>
      <c r="S13297" s="318"/>
      <c r="T13297" s="318"/>
      <c r="U13297" s="318"/>
      <c r="V13297" s="318"/>
      <c r="W13297" s="318"/>
      <c r="X13297" s="318"/>
      <c r="Y13297" s="318"/>
      <c r="Z13297" s="318"/>
      <c r="AA13297" s="318"/>
      <c r="AB13297" s="318"/>
      <c r="AC13297" s="318"/>
      <c r="AD13297" s="318"/>
    </row>
    <row r="13298" spans="2:30" s="323" customFormat="1" ht="12" customHeight="1">
      <c r="B13298" s="324"/>
      <c r="C13298" s="325"/>
      <c r="D13298" s="326"/>
      <c r="E13298" s="326"/>
      <c r="F13298" s="326"/>
      <c r="G13298" s="326"/>
      <c r="H13298" s="326"/>
      <c r="P13298" s="318"/>
      <c r="Q13298" s="318"/>
      <c r="R13298" s="318"/>
      <c r="S13298" s="318"/>
      <c r="T13298" s="318"/>
      <c r="U13298" s="318"/>
      <c r="V13298" s="318"/>
      <c r="W13298" s="318"/>
      <c r="X13298" s="318"/>
      <c r="Y13298" s="318"/>
      <c r="Z13298" s="318"/>
      <c r="AA13298" s="318"/>
      <c r="AB13298" s="318"/>
      <c r="AC13298" s="318"/>
      <c r="AD13298" s="318"/>
    </row>
    <row r="13299" spans="2:30" s="323" customFormat="1" ht="12" customHeight="1">
      <c r="B13299" s="324"/>
      <c r="C13299" s="325"/>
      <c r="D13299" s="326"/>
      <c r="E13299" s="326"/>
      <c r="F13299" s="326"/>
      <c r="G13299" s="326"/>
      <c r="H13299" s="326"/>
      <c r="P13299" s="318"/>
      <c r="Q13299" s="318"/>
      <c r="R13299" s="318"/>
      <c r="S13299" s="318"/>
      <c r="T13299" s="318"/>
      <c r="U13299" s="318"/>
      <c r="V13299" s="318"/>
      <c r="W13299" s="318"/>
      <c r="X13299" s="318"/>
      <c r="Y13299" s="318"/>
      <c r="Z13299" s="318"/>
      <c r="AA13299" s="318"/>
      <c r="AB13299" s="318"/>
      <c r="AC13299" s="318"/>
      <c r="AD13299" s="318"/>
    </row>
    <row r="13300" spans="2:30" s="323" customFormat="1" ht="12" customHeight="1">
      <c r="B13300" s="324"/>
      <c r="C13300" s="325"/>
      <c r="D13300" s="326"/>
      <c r="E13300" s="326"/>
      <c r="F13300" s="326"/>
      <c r="G13300" s="326"/>
      <c r="H13300" s="326"/>
      <c r="P13300" s="318"/>
      <c r="Q13300" s="318"/>
      <c r="R13300" s="318"/>
      <c r="S13300" s="318"/>
      <c r="T13300" s="318"/>
      <c r="U13300" s="318"/>
      <c r="V13300" s="318"/>
      <c r="W13300" s="318"/>
      <c r="X13300" s="318"/>
      <c r="Y13300" s="318"/>
      <c r="Z13300" s="318"/>
      <c r="AA13300" s="318"/>
      <c r="AB13300" s="318"/>
      <c r="AC13300" s="318"/>
      <c r="AD13300" s="318"/>
    </row>
    <row r="13301" spans="2:30" s="323" customFormat="1" ht="12" customHeight="1">
      <c r="B13301" s="324"/>
      <c r="C13301" s="325"/>
      <c r="D13301" s="326"/>
      <c r="E13301" s="326"/>
      <c r="F13301" s="326"/>
      <c r="G13301" s="326"/>
      <c r="H13301" s="326"/>
      <c r="P13301" s="318"/>
      <c r="Q13301" s="318"/>
      <c r="R13301" s="318"/>
      <c r="S13301" s="318"/>
      <c r="T13301" s="318"/>
      <c r="U13301" s="318"/>
      <c r="V13301" s="318"/>
      <c r="W13301" s="318"/>
      <c r="X13301" s="318"/>
      <c r="Y13301" s="318"/>
      <c r="Z13301" s="318"/>
      <c r="AA13301" s="318"/>
      <c r="AB13301" s="318"/>
      <c r="AC13301" s="318"/>
      <c r="AD13301" s="318"/>
    </row>
    <row r="13302" spans="2:30" s="323" customFormat="1" ht="12" customHeight="1">
      <c r="B13302" s="324"/>
      <c r="C13302" s="325"/>
      <c r="D13302" s="326"/>
      <c r="E13302" s="326"/>
      <c r="F13302" s="326"/>
      <c r="G13302" s="326"/>
      <c r="H13302" s="326"/>
      <c r="P13302" s="318"/>
      <c r="Q13302" s="318"/>
      <c r="R13302" s="318"/>
      <c r="S13302" s="318"/>
      <c r="T13302" s="318"/>
      <c r="U13302" s="318"/>
      <c r="V13302" s="318"/>
      <c r="W13302" s="318"/>
      <c r="X13302" s="318"/>
      <c r="Y13302" s="318"/>
      <c r="Z13302" s="318"/>
      <c r="AA13302" s="318"/>
      <c r="AB13302" s="318"/>
      <c r="AC13302" s="318"/>
      <c r="AD13302" s="318"/>
    </row>
    <row r="13303" spans="2:30" s="323" customFormat="1" ht="12" customHeight="1">
      <c r="B13303" s="324"/>
      <c r="C13303" s="325"/>
      <c r="D13303" s="326"/>
      <c r="E13303" s="326"/>
      <c r="F13303" s="326"/>
      <c r="G13303" s="326"/>
      <c r="H13303" s="326"/>
      <c r="P13303" s="318"/>
      <c r="Q13303" s="318"/>
      <c r="R13303" s="318"/>
      <c r="S13303" s="318"/>
      <c r="T13303" s="318"/>
      <c r="U13303" s="318"/>
      <c r="V13303" s="318"/>
      <c r="W13303" s="318"/>
      <c r="X13303" s="318"/>
      <c r="Y13303" s="318"/>
      <c r="Z13303" s="318"/>
      <c r="AA13303" s="318"/>
      <c r="AB13303" s="318"/>
      <c r="AC13303" s="318"/>
      <c r="AD13303" s="318"/>
    </row>
    <row r="13304" spans="2:30" s="323" customFormat="1" ht="12" customHeight="1">
      <c r="B13304" s="324"/>
      <c r="C13304" s="325"/>
      <c r="D13304" s="326"/>
      <c r="E13304" s="326"/>
      <c r="F13304" s="326"/>
      <c r="G13304" s="326"/>
      <c r="H13304" s="326"/>
      <c r="P13304" s="318"/>
      <c r="Q13304" s="318"/>
      <c r="R13304" s="318"/>
      <c r="S13304" s="318"/>
      <c r="T13304" s="318"/>
      <c r="U13304" s="318"/>
      <c r="V13304" s="318"/>
      <c r="W13304" s="318"/>
      <c r="X13304" s="318"/>
      <c r="Y13304" s="318"/>
      <c r="Z13304" s="318"/>
      <c r="AA13304" s="318"/>
      <c r="AB13304" s="318"/>
      <c r="AC13304" s="318"/>
      <c r="AD13304" s="318"/>
    </row>
    <row r="13305" spans="2:30" s="323" customFormat="1" ht="12" customHeight="1">
      <c r="B13305" s="324"/>
      <c r="C13305" s="325"/>
      <c r="D13305" s="326"/>
      <c r="E13305" s="326"/>
      <c r="F13305" s="326"/>
      <c r="G13305" s="326"/>
      <c r="H13305" s="326"/>
      <c r="P13305" s="318"/>
      <c r="Q13305" s="318"/>
      <c r="R13305" s="318"/>
      <c r="S13305" s="318"/>
      <c r="T13305" s="318"/>
      <c r="U13305" s="318"/>
      <c r="V13305" s="318"/>
      <c r="W13305" s="318"/>
      <c r="X13305" s="318"/>
      <c r="Y13305" s="318"/>
      <c r="Z13305" s="318"/>
      <c r="AA13305" s="318"/>
      <c r="AB13305" s="318"/>
      <c r="AC13305" s="318"/>
      <c r="AD13305" s="318"/>
    </row>
    <row r="13306" spans="2:30" s="323" customFormat="1" ht="12" customHeight="1">
      <c r="B13306" s="324"/>
      <c r="C13306" s="325"/>
      <c r="D13306" s="326"/>
      <c r="E13306" s="326"/>
      <c r="F13306" s="326"/>
      <c r="G13306" s="326"/>
      <c r="H13306" s="326"/>
      <c r="P13306" s="318"/>
      <c r="Q13306" s="318"/>
      <c r="R13306" s="318"/>
      <c r="S13306" s="318"/>
      <c r="T13306" s="318"/>
      <c r="U13306" s="318"/>
      <c r="V13306" s="318"/>
      <c r="W13306" s="318"/>
      <c r="X13306" s="318"/>
      <c r="Y13306" s="318"/>
      <c r="Z13306" s="318"/>
      <c r="AA13306" s="318"/>
      <c r="AB13306" s="318"/>
      <c r="AC13306" s="318"/>
      <c r="AD13306" s="318"/>
    </row>
    <row r="13307" spans="2:30" s="323" customFormat="1" ht="12" customHeight="1">
      <c r="B13307" s="324"/>
      <c r="C13307" s="325"/>
      <c r="D13307" s="326"/>
      <c r="E13307" s="326"/>
      <c r="F13307" s="326"/>
      <c r="G13307" s="326"/>
      <c r="H13307" s="326"/>
      <c r="P13307" s="318"/>
      <c r="Q13307" s="318"/>
      <c r="R13307" s="318"/>
      <c r="S13307" s="318"/>
      <c r="T13307" s="318"/>
      <c r="U13307" s="318"/>
      <c r="V13307" s="318"/>
      <c r="W13307" s="318"/>
      <c r="X13307" s="318"/>
      <c r="Y13307" s="318"/>
      <c r="Z13307" s="318"/>
      <c r="AA13307" s="318"/>
      <c r="AB13307" s="318"/>
      <c r="AC13307" s="318"/>
      <c r="AD13307" s="318"/>
    </row>
    <row r="13308" spans="2:30" s="323" customFormat="1" ht="12" customHeight="1">
      <c r="B13308" s="324"/>
      <c r="C13308" s="325"/>
      <c r="D13308" s="326"/>
      <c r="E13308" s="326"/>
      <c r="F13308" s="326"/>
      <c r="G13308" s="326"/>
      <c r="H13308" s="326"/>
      <c r="P13308" s="318"/>
      <c r="Q13308" s="318"/>
      <c r="R13308" s="318"/>
      <c r="S13308" s="318"/>
      <c r="T13308" s="318"/>
      <c r="U13308" s="318"/>
      <c r="V13308" s="318"/>
      <c r="W13308" s="318"/>
      <c r="X13308" s="318"/>
      <c r="Y13308" s="318"/>
      <c r="Z13308" s="318"/>
      <c r="AA13308" s="318"/>
      <c r="AB13308" s="318"/>
      <c r="AC13308" s="318"/>
      <c r="AD13308" s="318"/>
    </row>
    <row r="13309" spans="2:30" s="323" customFormat="1" ht="12" customHeight="1">
      <c r="B13309" s="324"/>
      <c r="C13309" s="325"/>
      <c r="D13309" s="326"/>
      <c r="E13309" s="326"/>
      <c r="F13309" s="326"/>
      <c r="G13309" s="326"/>
      <c r="H13309" s="326"/>
      <c r="P13309" s="318"/>
      <c r="Q13309" s="318"/>
      <c r="R13309" s="318"/>
      <c r="S13309" s="318"/>
      <c r="T13309" s="318"/>
      <c r="U13309" s="318"/>
      <c r="V13309" s="318"/>
      <c r="W13309" s="318"/>
      <c r="X13309" s="318"/>
      <c r="Y13309" s="318"/>
      <c r="Z13309" s="318"/>
      <c r="AA13309" s="318"/>
      <c r="AB13309" s="318"/>
      <c r="AC13309" s="318"/>
      <c r="AD13309" s="318"/>
    </row>
    <row r="13310" spans="2:30" s="323" customFormat="1" ht="12" customHeight="1">
      <c r="B13310" s="324"/>
      <c r="C13310" s="325"/>
      <c r="D13310" s="326"/>
      <c r="E13310" s="326"/>
      <c r="F13310" s="326"/>
      <c r="G13310" s="326"/>
      <c r="H13310" s="326"/>
      <c r="P13310" s="318"/>
      <c r="Q13310" s="318"/>
      <c r="R13310" s="318"/>
      <c r="S13310" s="318"/>
      <c r="T13310" s="318"/>
      <c r="U13310" s="318"/>
      <c r="V13310" s="318"/>
      <c r="W13310" s="318"/>
      <c r="X13310" s="318"/>
      <c r="Y13310" s="318"/>
      <c r="Z13310" s="318"/>
      <c r="AA13310" s="318"/>
      <c r="AB13310" s="318"/>
      <c r="AC13310" s="318"/>
      <c r="AD13310" s="318"/>
    </row>
    <row r="13311" spans="2:30" s="323" customFormat="1" ht="12" customHeight="1">
      <c r="B13311" s="324"/>
      <c r="C13311" s="325"/>
      <c r="D13311" s="326"/>
      <c r="E13311" s="326"/>
      <c r="F13311" s="326"/>
      <c r="G13311" s="326"/>
      <c r="H13311" s="326"/>
      <c r="P13311" s="318"/>
      <c r="Q13311" s="318"/>
      <c r="R13311" s="318"/>
      <c r="S13311" s="318"/>
      <c r="T13311" s="318"/>
      <c r="U13311" s="318"/>
      <c r="V13311" s="318"/>
      <c r="W13311" s="318"/>
      <c r="X13311" s="318"/>
      <c r="Y13311" s="318"/>
      <c r="Z13311" s="318"/>
      <c r="AA13311" s="318"/>
      <c r="AB13311" s="318"/>
      <c r="AC13311" s="318"/>
      <c r="AD13311" s="318"/>
    </row>
    <row r="13312" spans="2:30" s="323" customFormat="1" ht="12" customHeight="1">
      <c r="B13312" s="324"/>
      <c r="C13312" s="325"/>
      <c r="D13312" s="326"/>
      <c r="E13312" s="326"/>
      <c r="F13312" s="326"/>
      <c r="G13312" s="326"/>
      <c r="H13312" s="326"/>
      <c r="P13312" s="318"/>
      <c r="Q13312" s="318"/>
      <c r="R13312" s="318"/>
      <c r="S13312" s="318"/>
      <c r="T13312" s="318"/>
      <c r="U13312" s="318"/>
      <c r="V13312" s="318"/>
      <c r="W13312" s="318"/>
      <c r="X13312" s="318"/>
      <c r="Y13312" s="318"/>
      <c r="Z13312" s="318"/>
      <c r="AA13312" s="318"/>
      <c r="AB13312" s="318"/>
      <c r="AC13312" s="318"/>
      <c r="AD13312" s="318"/>
    </row>
    <row r="13313" spans="2:30" s="323" customFormat="1" ht="12" customHeight="1">
      <c r="B13313" s="324"/>
      <c r="C13313" s="325"/>
      <c r="D13313" s="326"/>
      <c r="E13313" s="326"/>
      <c r="F13313" s="326"/>
      <c r="G13313" s="326"/>
      <c r="H13313" s="326"/>
      <c r="P13313" s="318"/>
      <c r="Q13313" s="318"/>
      <c r="R13313" s="318"/>
      <c r="S13313" s="318"/>
      <c r="T13313" s="318"/>
      <c r="U13313" s="318"/>
      <c r="V13313" s="318"/>
      <c r="W13313" s="318"/>
      <c r="X13313" s="318"/>
      <c r="Y13313" s="318"/>
      <c r="Z13313" s="318"/>
      <c r="AA13313" s="318"/>
      <c r="AB13313" s="318"/>
      <c r="AC13313" s="318"/>
      <c r="AD13313" s="318"/>
    </row>
    <row r="13314" spans="2:30" s="323" customFormat="1" ht="12" customHeight="1">
      <c r="B13314" s="324"/>
      <c r="C13314" s="325"/>
      <c r="D13314" s="326"/>
      <c r="E13314" s="326"/>
      <c r="F13314" s="326"/>
      <c r="G13314" s="326"/>
      <c r="H13314" s="326"/>
      <c r="P13314" s="318"/>
      <c r="Q13314" s="318"/>
      <c r="R13314" s="318"/>
      <c r="S13314" s="318"/>
      <c r="T13314" s="318"/>
      <c r="U13314" s="318"/>
      <c r="V13314" s="318"/>
      <c r="W13314" s="318"/>
      <c r="X13314" s="318"/>
      <c r="Y13314" s="318"/>
      <c r="Z13314" s="318"/>
      <c r="AA13314" s="318"/>
      <c r="AB13314" s="318"/>
      <c r="AC13314" s="318"/>
      <c r="AD13314" s="318"/>
    </row>
    <row r="13315" spans="2:30" s="323" customFormat="1" ht="12" customHeight="1">
      <c r="B13315" s="324"/>
      <c r="C13315" s="325"/>
      <c r="D13315" s="326"/>
      <c r="E13315" s="326"/>
      <c r="F13315" s="326"/>
      <c r="G13315" s="326"/>
      <c r="H13315" s="326"/>
      <c r="P13315" s="318"/>
      <c r="Q13315" s="318"/>
      <c r="R13315" s="318"/>
      <c r="S13315" s="318"/>
      <c r="T13315" s="318"/>
      <c r="U13315" s="318"/>
      <c r="V13315" s="318"/>
      <c r="W13315" s="318"/>
      <c r="X13315" s="318"/>
      <c r="Y13315" s="318"/>
      <c r="Z13315" s="318"/>
      <c r="AA13315" s="318"/>
      <c r="AB13315" s="318"/>
      <c r="AC13315" s="318"/>
      <c r="AD13315" s="318"/>
    </row>
    <row r="13316" spans="2:30" s="323" customFormat="1" ht="12" customHeight="1">
      <c r="B13316" s="324"/>
      <c r="C13316" s="325"/>
      <c r="D13316" s="326"/>
      <c r="E13316" s="326"/>
      <c r="F13316" s="326"/>
      <c r="G13316" s="326"/>
      <c r="H13316" s="326"/>
      <c r="P13316" s="318"/>
      <c r="Q13316" s="318"/>
      <c r="R13316" s="318"/>
      <c r="S13316" s="318"/>
      <c r="T13316" s="318"/>
      <c r="U13316" s="318"/>
      <c r="V13316" s="318"/>
      <c r="W13316" s="318"/>
      <c r="X13316" s="318"/>
      <c r="Y13316" s="318"/>
      <c r="Z13316" s="318"/>
      <c r="AA13316" s="318"/>
      <c r="AB13316" s="318"/>
      <c r="AC13316" s="318"/>
      <c r="AD13316" s="318"/>
    </row>
    <row r="13317" spans="2:30" s="323" customFormat="1" ht="12" customHeight="1">
      <c r="B13317" s="324"/>
      <c r="C13317" s="325"/>
      <c r="D13317" s="326"/>
      <c r="E13317" s="326"/>
      <c r="F13317" s="326"/>
      <c r="G13317" s="326"/>
      <c r="H13317" s="326"/>
      <c r="P13317" s="318"/>
      <c r="Q13317" s="318"/>
      <c r="R13317" s="318"/>
      <c r="S13317" s="318"/>
      <c r="T13317" s="318"/>
      <c r="U13317" s="318"/>
      <c r="V13317" s="318"/>
      <c r="W13317" s="318"/>
      <c r="X13317" s="318"/>
      <c r="Y13317" s="318"/>
      <c r="Z13317" s="318"/>
      <c r="AA13317" s="318"/>
      <c r="AB13317" s="318"/>
      <c r="AC13317" s="318"/>
      <c r="AD13317" s="318"/>
    </row>
    <row r="13318" spans="2:30" s="323" customFormat="1" ht="12" customHeight="1">
      <c r="B13318" s="324"/>
      <c r="C13318" s="325"/>
      <c r="D13318" s="326"/>
      <c r="E13318" s="326"/>
      <c r="F13318" s="326"/>
      <c r="G13318" s="326"/>
      <c r="H13318" s="326"/>
      <c r="P13318" s="318"/>
      <c r="Q13318" s="318"/>
      <c r="R13318" s="318"/>
      <c r="S13318" s="318"/>
      <c r="T13318" s="318"/>
      <c r="U13318" s="318"/>
      <c r="V13318" s="318"/>
      <c r="W13318" s="318"/>
      <c r="X13318" s="318"/>
      <c r="Y13318" s="318"/>
      <c r="Z13318" s="318"/>
      <c r="AA13318" s="318"/>
      <c r="AB13318" s="318"/>
      <c r="AC13318" s="318"/>
      <c r="AD13318" s="318"/>
    </row>
    <row r="13319" spans="2:30" s="323" customFormat="1" ht="12" customHeight="1">
      <c r="B13319" s="324"/>
      <c r="C13319" s="325"/>
      <c r="D13319" s="326"/>
      <c r="E13319" s="326"/>
      <c r="F13319" s="326"/>
      <c r="G13319" s="326"/>
      <c r="H13319" s="326"/>
      <c r="P13319" s="318"/>
      <c r="Q13319" s="318"/>
      <c r="R13319" s="318"/>
      <c r="S13319" s="318"/>
      <c r="T13319" s="318"/>
      <c r="U13319" s="318"/>
      <c r="V13319" s="318"/>
      <c r="W13319" s="318"/>
      <c r="X13319" s="318"/>
      <c r="Y13319" s="318"/>
      <c r="Z13319" s="318"/>
      <c r="AA13319" s="318"/>
      <c r="AB13319" s="318"/>
      <c r="AC13319" s="318"/>
      <c r="AD13319" s="318"/>
    </row>
    <row r="13320" spans="2:30" s="323" customFormat="1" ht="12" customHeight="1">
      <c r="B13320" s="324"/>
      <c r="C13320" s="325"/>
      <c r="D13320" s="326"/>
      <c r="E13320" s="326"/>
      <c r="F13320" s="326"/>
      <c r="G13320" s="326"/>
      <c r="H13320" s="326"/>
      <c r="P13320" s="318"/>
      <c r="Q13320" s="318"/>
      <c r="R13320" s="318"/>
      <c r="S13320" s="318"/>
      <c r="T13320" s="318"/>
      <c r="U13320" s="318"/>
      <c r="V13320" s="318"/>
      <c r="W13320" s="318"/>
      <c r="X13320" s="318"/>
      <c r="Y13320" s="318"/>
      <c r="Z13320" s="318"/>
      <c r="AA13320" s="318"/>
      <c r="AB13320" s="318"/>
      <c r="AC13320" s="318"/>
      <c r="AD13320" s="318"/>
    </row>
    <row r="13321" spans="2:30" s="323" customFormat="1" ht="12" customHeight="1">
      <c r="B13321" s="324"/>
      <c r="C13321" s="325"/>
      <c r="D13321" s="326"/>
      <c r="E13321" s="326"/>
      <c r="F13321" s="326"/>
      <c r="G13321" s="326"/>
      <c r="H13321" s="326"/>
      <c r="P13321" s="318"/>
      <c r="Q13321" s="318"/>
      <c r="R13321" s="318"/>
      <c r="S13321" s="318"/>
      <c r="T13321" s="318"/>
      <c r="U13321" s="318"/>
      <c r="V13321" s="318"/>
      <c r="W13321" s="318"/>
      <c r="X13321" s="318"/>
      <c r="Y13321" s="318"/>
      <c r="Z13321" s="318"/>
      <c r="AA13321" s="318"/>
      <c r="AB13321" s="318"/>
      <c r="AC13321" s="318"/>
      <c r="AD13321" s="318"/>
    </row>
    <row r="13322" spans="2:30" s="323" customFormat="1" ht="12" customHeight="1">
      <c r="B13322" s="324"/>
      <c r="C13322" s="325"/>
      <c r="D13322" s="326"/>
      <c r="E13322" s="326"/>
      <c r="F13322" s="326"/>
      <c r="G13322" s="326"/>
      <c r="H13322" s="326"/>
      <c r="P13322" s="318"/>
      <c r="Q13322" s="318"/>
      <c r="R13322" s="318"/>
      <c r="S13322" s="318"/>
      <c r="T13322" s="318"/>
      <c r="U13322" s="318"/>
      <c r="V13322" s="318"/>
      <c r="W13322" s="318"/>
      <c r="X13322" s="318"/>
      <c r="Y13322" s="318"/>
      <c r="Z13322" s="318"/>
      <c r="AA13322" s="318"/>
      <c r="AB13322" s="318"/>
      <c r="AC13322" s="318"/>
      <c r="AD13322" s="318"/>
    </row>
    <row r="13323" spans="2:30" s="323" customFormat="1" ht="12" customHeight="1">
      <c r="B13323" s="324"/>
      <c r="C13323" s="325"/>
      <c r="D13323" s="326"/>
      <c r="E13323" s="326"/>
      <c r="F13323" s="326"/>
      <c r="G13323" s="326"/>
      <c r="H13323" s="326"/>
      <c r="P13323" s="318"/>
      <c r="Q13323" s="318"/>
      <c r="R13323" s="318"/>
      <c r="S13323" s="318"/>
      <c r="T13323" s="318"/>
      <c r="U13323" s="318"/>
      <c r="V13323" s="318"/>
      <c r="W13323" s="318"/>
      <c r="X13323" s="318"/>
      <c r="Y13323" s="318"/>
      <c r="Z13323" s="318"/>
      <c r="AA13323" s="318"/>
      <c r="AB13323" s="318"/>
      <c r="AC13323" s="318"/>
      <c r="AD13323" s="318"/>
    </row>
    <row r="13324" spans="2:30" s="323" customFormat="1" ht="12" customHeight="1">
      <c r="B13324" s="324"/>
      <c r="C13324" s="325"/>
      <c r="D13324" s="326"/>
      <c r="E13324" s="326"/>
      <c r="F13324" s="326"/>
      <c r="G13324" s="326"/>
      <c r="H13324" s="326"/>
      <c r="P13324" s="318"/>
      <c r="Q13324" s="318"/>
      <c r="R13324" s="318"/>
      <c r="S13324" s="318"/>
      <c r="T13324" s="318"/>
      <c r="U13324" s="318"/>
      <c r="V13324" s="318"/>
      <c r="W13324" s="318"/>
      <c r="X13324" s="318"/>
      <c r="Y13324" s="318"/>
      <c r="Z13324" s="318"/>
      <c r="AA13324" s="318"/>
      <c r="AB13324" s="318"/>
      <c r="AC13324" s="318"/>
      <c r="AD13324" s="318"/>
    </row>
    <row r="13325" spans="2:30" s="323" customFormat="1" ht="12" customHeight="1">
      <c r="B13325" s="324"/>
      <c r="C13325" s="325"/>
      <c r="D13325" s="326"/>
      <c r="E13325" s="326"/>
      <c r="F13325" s="326"/>
      <c r="G13325" s="326"/>
      <c r="H13325" s="326"/>
      <c r="P13325" s="318"/>
      <c r="Q13325" s="318"/>
      <c r="R13325" s="318"/>
      <c r="S13325" s="318"/>
      <c r="T13325" s="318"/>
      <c r="U13325" s="318"/>
      <c r="V13325" s="318"/>
      <c r="W13325" s="318"/>
      <c r="X13325" s="318"/>
      <c r="Y13325" s="318"/>
      <c r="Z13325" s="318"/>
      <c r="AA13325" s="318"/>
      <c r="AB13325" s="318"/>
      <c r="AC13325" s="318"/>
      <c r="AD13325" s="318"/>
    </row>
    <row r="13326" spans="2:30" s="323" customFormat="1" ht="12" customHeight="1">
      <c r="B13326" s="324"/>
      <c r="C13326" s="325"/>
      <c r="D13326" s="326"/>
      <c r="E13326" s="326"/>
      <c r="F13326" s="326"/>
      <c r="G13326" s="326"/>
      <c r="H13326" s="326"/>
      <c r="P13326" s="318"/>
      <c r="Q13326" s="318"/>
      <c r="R13326" s="318"/>
      <c r="S13326" s="318"/>
      <c r="T13326" s="318"/>
      <c r="U13326" s="318"/>
      <c r="V13326" s="318"/>
      <c r="W13326" s="318"/>
      <c r="X13326" s="318"/>
      <c r="Y13326" s="318"/>
      <c r="Z13326" s="318"/>
      <c r="AA13326" s="318"/>
      <c r="AB13326" s="318"/>
      <c r="AC13326" s="318"/>
      <c r="AD13326" s="318"/>
    </row>
    <row r="13327" spans="2:30" s="323" customFormat="1" ht="12" customHeight="1">
      <c r="B13327" s="324"/>
      <c r="C13327" s="325"/>
      <c r="D13327" s="326"/>
      <c r="E13327" s="326"/>
      <c r="F13327" s="326"/>
      <c r="G13327" s="326"/>
      <c r="H13327" s="326"/>
      <c r="P13327" s="318"/>
      <c r="Q13327" s="318"/>
      <c r="R13327" s="318"/>
      <c r="S13327" s="318"/>
      <c r="T13327" s="318"/>
      <c r="U13327" s="318"/>
      <c r="V13327" s="318"/>
      <c r="W13327" s="318"/>
      <c r="X13327" s="318"/>
      <c r="Y13327" s="318"/>
      <c r="Z13327" s="318"/>
      <c r="AA13327" s="318"/>
      <c r="AB13327" s="318"/>
      <c r="AC13327" s="318"/>
      <c r="AD13327" s="318"/>
    </row>
    <row r="13328" spans="2:30" s="323" customFormat="1" ht="12" customHeight="1">
      <c r="B13328" s="324"/>
      <c r="C13328" s="325"/>
      <c r="D13328" s="326"/>
      <c r="E13328" s="326"/>
      <c r="F13328" s="326"/>
      <c r="G13328" s="326"/>
      <c r="H13328" s="326"/>
      <c r="P13328" s="318"/>
      <c r="Q13328" s="318"/>
      <c r="R13328" s="318"/>
      <c r="S13328" s="318"/>
      <c r="T13328" s="318"/>
      <c r="U13328" s="318"/>
      <c r="V13328" s="318"/>
      <c r="W13328" s="318"/>
      <c r="X13328" s="318"/>
      <c r="Y13328" s="318"/>
      <c r="Z13328" s="318"/>
      <c r="AA13328" s="318"/>
      <c r="AB13328" s="318"/>
      <c r="AC13328" s="318"/>
      <c r="AD13328" s="318"/>
    </row>
    <row r="13329" spans="2:30" s="323" customFormat="1" ht="12" customHeight="1">
      <c r="B13329" s="324"/>
      <c r="C13329" s="325"/>
      <c r="D13329" s="326"/>
      <c r="E13329" s="326"/>
      <c r="F13329" s="326"/>
      <c r="G13329" s="326"/>
      <c r="H13329" s="326"/>
      <c r="P13329" s="318"/>
      <c r="Q13329" s="318"/>
      <c r="R13329" s="318"/>
      <c r="S13329" s="318"/>
      <c r="T13329" s="318"/>
      <c r="U13329" s="318"/>
      <c r="V13329" s="318"/>
      <c r="W13329" s="318"/>
      <c r="X13329" s="318"/>
      <c r="Y13329" s="318"/>
      <c r="Z13329" s="318"/>
      <c r="AA13329" s="318"/>
      <c r="AB13329" s="318"/>
      <c r="AC13329" s="318"/>
      <c r="AD13329" s="318"/>
    </row>
    <row r="13330" spans="2:30" s="323" customFormat="1" ht="12" customHeight="1">
      <c r="B13330" s="324"/>
      <c r="C13330" s="325"/>
      <c r="D13330" s="326"/>
      <c r="E13330" s="326"/>
      <c r="F13330" s="326"/>
      <c r="G13330" s="326"/>
      <c r="H13330" s="326"/>
      <c r="P13330" s="318"/>
      <c r="Q13330" s="318"/>
      <c r="R13330" s="318"/>
      <c r="S13330" s="318"/>
      <c r="T13330" s="318"/>
      <c r="U13330" s="318"/>
      <c r="V13330" s="318"/>
      <c r="W13330" s="318"/>
      <c r="X13330" s="318"/>
      <c r="Y13330" s="318"/>
      <c r="Z13330" s="318"/>
      <c r="AA13330" s="318"/>
      <c r="AB13330" s="318"/>
      <c r="AC13330" s="318"/>
      <c r="AD13330" s="318"/>
    </row>
    <row r="13331" spans="2:30" s="323" customFormat="1" ht="12" customHeight="1">
      <c r="B13331" s="324"/>
      <c r="C13331" s="325"/>
      <c r="D13331" s="326"/>
      <c r="E13331" s="326"/>
      <c r="F13331" s="326"/>
      <c r="G13331" s="326"/>
      <c r="H13331" s="326"/>
      <c r="P13331" s="318"/>
      <c r="Q13331" s="318"/>
      <c r="R13331" s="318"/>
      <c r="S13331" s="318"/>
      <c r="T13331" s="318"/>
      <c r="U13331" s="318"/>
      <c r="V13331" s="318"/>
      <c r="W13331" s="318"/>
      <c r="X13331" s="318"/>
      <c r="Y13331" s="318"/>
      <c r="Z13331" s="318"/>
      <c r="AA13331" s="318"/>
      <c r="AB13331" s="318"/>
      <c r="AC13331" s="318"/>
      <c r="AD13331" s="318"/>
    </row>
    <row r="13332" spans="2:30" s="323" customFormat="1" ht="12" customHeight="1">
      <c r="B13332" s="324"/>
      <c r="C13332" s="325"/>
      <c r="D13332" s="326"/>
      <c r="E13332" s="326"/>
      <c r="F13332" s="326"/>
      <c r="G13332" s="326"/>
      <c r="H13332" s="326"/>
      <c r="P13332" s="318"/>
      <c r="Q13332" s="318"/>
      <c r="R13332" s="318"/>
      <c r="S13332" s="318"/>
      <c r="T13332" s="318"/>
      <c r="U13332" s="318"/>
      <c r="V13332" s="318"/>
      <c r="W13332" s="318"/>
      <c r="X13332" s="318"/>
      <c r="Y13332" s="318"/>
      <c r="Z13332" s="318"/>
      <c r="AA13332" s="318"/>
      <c r="AB13332" s="318"/>
      <c r="AC13332" s="318"/>
      <c r="AD13332" s="318"/>
    </row>
    <row r="13333" spans="2:30" s="323" customFormat="1" ht="12" customHeight="1">
      <c r="B13333" s="324"/>
      <c r="C13333" s="325"/>
      <c r="D13333" s="326"/>
      <c r="E13333" s="326"/>
      <c r="F13333" s="326"/>
      <c r="G13333" s="326"/>
      <c r="H13333" s="326"/>
      <c r="P13333" s="318"/>
      <c r="Q13333" s="318"/>
      <c r="R13333" s="318"/>
      <c r="S13333" s="318"/>
      <c r="T13333" s="318"/>
      <c r="U13333" s="318"/>
      <c r="V13333" s="318"/>
      <c r="W13333" s="318"/>
      <c r="X13333" s="318"/>
      <c r="Y13333" s="318"/>
      <c r="Z13333" s="318"/>
      <c r="AA13333" s="318"/>
      <c r="AB13333" s="318"/>
      <c r="AC13333" s="318"/>
      <c r="AD13333" s="318"/>
    </row>
    <row r="13334" spans="2:30" s="323" customFormat="1" ht="12" customHeight="1">
      <c r="B13334" s="324"/>
      <c r="C13334" s="325"/>
      <c r="D13334" s="326"/>
      <c r="E13334" s="326"/>
      <c r="F13334" s="326"/>
      <c r="G13334" s="326"/>
      <c r="H13334" s="326"/>
      <c r="P13334" s="318"/>
      <c r="Q13334" s="318"/>
      <c r="R13334" s="318"/>
      <c r="S13334" s="318"/>
      <c r="T13334" s="318"/>
      <c r="U13334" s="318"/>
      <c r="V13334" s="318"/>
      <c r="W13334" s="318"/>
      <c r="X13334" s="318"/>
      <c r="Y13334" s="318"/>
      <c r="Z13334" s="318"/>
      <c r="AA13334" s="318"/>
      <c r="AB13334" s="318"/>
      <c r="AC13334" s="318"/>
      <c r="AD13334" s="318"/>
    </row>
    <row r="13335" spans="2:30" s="323" customFormat="1" ht="12" customHeight="1">
      <c r="B13335" s="324"/>
      <c r="C13335" s="325"/>
      <c r="D13335" s="326"/>
      <c r="E13335" s="326"/>
      <c r="F13335" s="326"/>
      <c r="G13335" s="326"/>
      <c r="H13335" s="326"/>
      <c r="P13335" s="318"/>
      <c r="Q13335" s="318"/>
      <c r="R13335" s="318"/>
      <c r="S13335" s="318"/>
      <c r="T13335" s="318"/>
      <c r="U13335" s="318"/>
      <c r="V13335" s="318"/>
      <c r="W13335" s="318"/>
      <c r="X13335" s="318"/>
      <c r="Y13335" s="318"/>
      <c r="Z13335" s="318"/>
      <c r="AA13335" s="318"/>
      <c r="AB13335" s="318"/>
      <c r="AC13335" s="318"/>
      <c r="AD13335" s="318"/>
    </row>
    <row r="13336" spans="2:30" s="323" customFormat="1" ht="12" customHeight="1">
      <c r="B13336" s="324"/>
      <c r="C13336" s="325"/>
      <c r="D13336" s="326"/>
      <c r="E13336" s="326"/>
      <c r="F13336" s="326"/>
      <c r="G13336" s="326"/>
      <c r="H13336" s="326"/>
      <c r="P13336" s="318"/>
      <c r="Q13336" s="318"/>
      <c r="R13336" s="318"/>
      <c r="S13336" s="318"/>
      <c r="T13336" s="318"/>
      <c r="U13336" s="318"/>
      <c r="V13336" s="318"/>
      <c r="W13336" s="318"/>
      <c r="X13336" s="318"/>
      <c r="Y13336" s="318"/>
      <c r="Z13336" s="318"/>
      <c r="AA13336" s="318"/>
      <c r="AB13336" s="318"/>
      <c r="AC13336" s="318"/>
      <c r="AD13336" s="318"/>
    </row>
    <row r="13337" spans="2:30" s="323" customFormat="1" ht="12" customHeight="1">
      <c r="B13337" s="324"/>
      <c r="C13337" s="325"/>
      <c r="D13337" s="326"/>
      <c r="E13337" s="326"/>
      <c r="F13337" s="326"/>
      <c r="G13337" s="326"/>
      <c r="H13337" s="326"/>
      <c r="P13337" s="318"/>
      <c r="Q13337" s="318"/>
      <c r="R13337" s="318"/>
      <c r="S13337" s="318"/>
      <c r="T13337" s="318"/>
      <c r="U13337" s="318"/>
      <c r="V13337" s="318"/>
      <c r="W13337" s="318"/>
      <c r="X13337" s="318"/>
      <c r="Y13337" s="318"/>
      <c r="Z13337" s="318"/>
      <c r="AA13337" s="318"/>
      <c r="AB13337" s="318"/>
      <c r="AC13337" s="318"/>
      <c r="AD13337" s="318"/>
    </row>
    <row r="13338" spans="2:30" s="323" customFormat="1" ht="12" customHeight="1">
      <c r="B13338" s="324"/>
      <c r="C13338" s="325"/>
      <c r="D13338" s="326"/>
      <c r="E13338" s="326"/>
      <c r="F13338" s="326"/>
      <c r="G13338" s="326"/>
      <c r="H13338" s="326"/>
      <c r="P13338" s="318"/>
      <c r="Q13338" s="318"/>
      <c r="R13338" s="318"/>
      <c r="S13338" s="318"/>
      <c r="T13338" s="318"/>
      <c r="U13338" s="318"/>
      <c r="V13338" s="318"/>
      <c r="W13338" s="318"/>
      <c r="X13338" s="318"/>
      <c r="Y13338" s="318"/>
      <c r="Z13338" s="318"/>
      <c r="AA13338" s="318"/>
      <c r="AB13338" s="318"/>
      <c r="AC13338" s="318"/>
      <c r="AD13338" s="318"/>
    </row>
    <row r="13339" spans="2:30" s="323" customFormat="1" ht="12" customHeight="1">
      <c r="B13339" s="324"/>
      <c r="C13339" s="325"/>
      <c r="D13339" s="326"/>
      <c r="E13339" s="326"/>
      <c r="F13339" s="326"/>
      <c r="G13339" s="326"/>
      <c r="H13339" s="326"/>
      <c r="P13339" s="318"/>
      <c r="Q13339" s="318"/>
      <c r="R13339" s="318"/>
      <c r="S13339" s="318"/>
      <c r="T13339" s="318"/>
      <c r="U13339" s="318"/>
      <c r="V13339" s="318"/>
      <c r="W13339" s="318"/>
      <c r="X13339" s="318"/>
      <c r="Y13339" s="318"/>
      <c r="Z13339" s="318"/>
      <c r="AA13339" s="318"/>
      <c r="AB13339" s="318"/>
      <c r="AC13339" s="318"/>
      <c r="AD13339" s="318"/>
    </row>
    <row r="13340" spans="2:30" s="323" customFormat="1" ht="12" customHeight="1">
      <c r="B13340" s="324"/>
      <c r="C13340" s="325"/>
      <c r="D13340" s="326"/>
      <c r="E13340" s="326"/>
      <c r="F13340" s="326"/>
      <c r="G13340" s="326"/>
      <c r="H13340" s="326"/>
      <c r="P13340" s="318"/>
      <c r="Q13340" s="318"/>
      <c r="R13340" s="318"/>
      <c r="S13340" s="318"/>
      <c r="T13340" s="318"/>
      <c r="U13340" s="318"/>
      <c r="V13340" s="318"/>
      <c r="W13340" s="318"/>
      <c r="X13340" s="318"/>
      <c r="Y13340" s="318"/>
      <c r="Z13340" s="318"/>
      <c r="AA13340" s="318"/>
      <c r="AB13340" s="318"/>
      <c r="AC13340" s="318"/>
      <c r="AD13340" s="318"/>
    </row>
    <row r="13341" spans="2:30" s="323" customFormat="1" ht="12" customHeight="1">
      <c r="B13341" s="324"/>
      <c r="C13341" s="325"/>
      <c r="D13341" s="326"/>
      <c r="E13341" s="326"/>
      <c r="F13341" s="326"/>
      <c r="G13341" s="326"/>
      <c r="H13341" s="326"/>
      <c r="P13341" s="318"/>
      <c r="Q13341" s="318"/>
      <c r="R13341" s="318"/>
      <c r="S13341" s="318"/>
      <c r="T13341" s="318"/>
      <c r="U13341" s="318"/>
      <c r="V13341" s="318"/>
      <c r="W13341" s="318"/>
      <c r="X13341" s="318"/>
      <c r="Y13341" s="318"/>
      <c r="Z13341" s="318"/>
      <c r="AA13341" s="318"/>
      <c r="AB13341" s="318"/>
      <c r="AC13341" s="318"/>
      <c r="AD13341" s="318"/>
    </row>
    <row r="13342" spans="2:30" s="323" customFormat="1" ht="12" customHeight="1">
      <c r="B13342" s="324"/>
      <c r="C13342" s="325"/>
      <c r="D13342" s="326"/>
      <c r="E13342" s="326"/>
      <c r="F13342" s="326"/>
      <c r="G13342" s="326"/>
      <c r="H13342" s="326"/>
      <c r="P13342" s="318"/>
      <c r="Q13342" s="318"/>
      <c r="R13342" s="318"/>
      <c r="S13342" s="318"/>
      <c r="T13342" s="318"/>
      <c r="U13342" s="318"/>
      <c r="V13342" s="318"/>
      <c r="W13342" s="318"/>
      <c r="X13342" s="318"/>
      <c r="Y13342" s="318"/>
      <c r="Z13342" s="318"/>
      <c r="AA13342" s="318"/>
      <c r="AB13342" s="318"/>
      <c r="AC13342" s="318"/>
      <c r="AD13342" s="318"/>
    </row>
    <row r="13343" spans="2:30" s="323" customFormat="1" ht="12" customHeight="1">
      <c r="B13343" s="324"/>
      <c r="C13343" s="325"/>
      <c r="D13343" s="326"/>
      <c r="E13343" s="326"/>
      <c r="F13343" s="326"/>
      <c r="G13343" s="326"/>
      <c r="H13343" s="326"/>
      <c r="P13343" s="318"/>
      <c r="Q13343" s="318"/>
      <c r="R13343" s="318"/>
      <c r="S13343" s="318"/>
      <c r="T13343" s="318"/>
      <c r="U13343" s="318"/>
      <c r="V13343" s="318"/>
      <c r="W13343" s="318"/>
      <c r="X13343" s="318"/>
      <c r="Y13343" s="318"/>
      <c r="Z13343" s="318"/>
      <c r="AA13343" s="318"/>
      <c r="AB13343" s="318"/>
      <c r="AC13343" s="318"/>
      <c r="AD13343" s="318"/>
    </row>
    <row r="13344" spans="2:30" s="323" customFormat="1" ht="12" customHeight="1">
      <c r="B13344" s="324"/>
      <c r="C13344" s="325"/>
      <c r="D13344" s="326"/>
      <c r="E13344" s="326"/>
      <c r="F13344" s="326"/>
      <c r="G13344" s="326"/>
      <c r="H13344" s="326"/>
      <c r="P13344" s="318"/>
      <c r="Q13344" s="318"/>
      <c r="R13344" s="318"/>
      <c r="S13344" s="318"/>
      <c r="T13344" s="318"/>
      <c r="U13344" s="318"/>
      <c r="V13344" s="318"/>
      <c r="W13344" s="318"/>
      <c r="X13344" s="318"/>
      <c r="Y13344" s="318"/>
      <c r="Z13344" s="318"/>
      <c r="AA13344" s="318"/>
      <c r="AB13344" s="318"/>
      <c r="AC13344" s="318"/>
      <c r="AD13344" s="318"/>
    </row>
    <row r="13345" spans="2:30" s="323" customFormat="1" ht="12" customHeight="1">
      <c r="B13345" s="324"/>
      <c r="C13345" s="325"/>
      <c r="D13345" s="326"/>
      <c r="E13345" s="326"/>
      <c r="F13345" s="326"/>
      <c r="G13345" s="326"/>
      <c r="H13345" s="326"/>
      <c r="P13345" s="318"/>
      <c r="Q13345" s="318"/>
      <c r="R13345" s="318"/>
      <c r="S13345" s="318"/>
      <c r="T13345" s="318"/>
      <c r="U13345" s="318"/>
      <c r="V13345" s="318"/>
      <c r="W13345" s="318"/>
      <c r="X13345" s="318"/>
      <c r="Y13345" s="318"/>
      <c r="Z13345" s="318"/>
      <c r="AA13345" s="318"/>
      <c r="AB13345" s="318"/>
      <c r="AC13345" s="318"/>
      <c r="AD13345" s="318"/>
    </row>
    <row r="13346" spans="2:30" s="323" customFormat="1" ht="12" customHeight="1">
      <c r="B13346" s="324"/>
      <c r="C13346" s="325"/>
      <c r="D13346" s="326"/>
      <c r="E13346" s="326"/>
      <c r="F13346" s="326"/>
      <c r="G13346" s="326"/>
      <c r="H13346" s="326"/>
      <c r="P13346" s="318"/>
      <c r="Q13346" s="318"/>
      <c r="R13346" s="318"/>
      <c r="S13346" s="318"/>
      <c r="T13346" s="318"/>
      <c r="U13346" s="318"/>
      <c r="V13346" s="318"/>
      <c r="W13346" s="318"/>
      <c r="X13346" s="318"/>
      <c r="Y13346" s="318"/>
      <c r="Z13346" s="318"/>
      <c r="AA13346" s="318"/>
      <c r="AB13346" s="318"/>
      <c r="AC13346" s="318"/>
      <c r="AD13346" s="318"/>
    </row>
    <row r="13347" spans="2:30" s="323" customFormat="1" ht="12" customHeight="1">
      <c r="B13347" s="324"/>
      <c r="C13347" s="325"/>
      <c r="D13347" s="326"/>
      <c r="E13347" s="326"/>
      <c r="F13347" s="326"/>
      <c r="G13347" s="326"/>
      <c r="H13347" s="326"/>
      <c r="P13347" s="318"/>
      <c r="Q13347" s="318"/>
      <c r="R13347" s="318"/>
      <c r="S13347" s="318"/>
      <c r="T13347" s="318"/>
      <c r="U13347" s="318"/>
      <c r="V13347" s="318"/>
      <c r="W13347" s="318"/>
      <c r="X13347" s="318"/>
      <c r="Y13347" s="318"/>
      <c r="Z13347" s="318"/>
      <c r="AA13347" s="318"/>
      <c r="AB13347" s="318"/>
      <c r="AC13347" s="318"/>
      <c r="AD13347" s="318"/>
    </row>
    <row r="13348" spans="2:30" s="323" customFormat="1" ht="12" customHeight="1">
      <c r="B13348" s="324"/>
      <c r="C13348" s="325"/>
      <c r="D13348" s="326"/>
      <c r="E13348" s="326"/>
      <c r="F13348" s="326"/>
      <c r="G13348" s="326"/>
      <c r="H13348" s="326"/>
      <c r="P13348" s="318"/>
      <c r="Q13348" s="318"/>
      <c r="R13348" s="318"/>
      <c r="S13348" s="318"/>
      <c r="T13348" s="318"/>
      <c r="U13348" s="318"/>
      <c r="V13348" s="318"/>
      <c r="W13348" s="318"/>
      <c r="X13348" s="318"/>
      <c r="Y13348" s="318"/>
      <c r="Z13348" s="318"/>
      <c r="AA13348" s="318"/>
      <c r="AB13348" s="318"/>
      <c r="AC13348" s="318"/>
      <c r="AD13348" s="318"/>
    </row>
    <row r="13349" spans="2:30" s="323" customFormat="1" ht="12" customHeight="1">
      <c r="B13349" s="324"/>
      <c r="C13349" s="325"/>
      <c r="D13349" s="326"/>
      <c r="E13349" s="326"/>
      <c r="F13349" s="326"/>
      <c r="G13349" s="326"/>
      <c r="H13349" s="326"/>
      <c r="P13349" s="318"/>
      <c r="Q13349" s="318"/>
      <c r="R13349" s="318"/>
      <c r="S13349" s="318"/>
      <c r="T13349" s="318"/>
      <c r="U13349" s="318"/>
      <c r="V13349" s="318"/>
      <c r="W13349" s="318"/>
      <c r="X13349" s="318"/>
      <c r="Y13349" s="318"/>
      <c r="Z13349" s="318"/>
      <c r="AA13349" s="318"/>
      <c r="AB13349" s="318"/>
      <c r="AC13349" s="318"/>
      <c r="AD13349" s="318"/>
    </row>
    <row r="13350" spans="2:30" s="323" customFormat="1" ht="12" customHeight="1">
      <c r="B13350" s="324"/>
      <c r="C13350" s="325"/>
      <c r="D13350" s="326"/>
      <c r="E13350" s="326"/>
      <c r="F13350" s="326"/>
      <c r="G13350" s="326"/>
      <c r="H13350" s="326"/>
      <c r="P13350" s="318"/>
      <c r="Q13350" s="318"/>
      <c r="R13350" s="318"/>
      <c r="S13350" s="318"/>
      <c r="T13350" s="318"/>
      <c r="U13350" s="318"/>
      <c r="V13350" s="318"/>
      <c r="W13350" s="318"/>
      <c r="X13350" s="318"/>
      <c r="Y13350" s="318"/>
      <c r="Z13350" s="318"/>
      <c r="AA13350" s="318"/>
      <c r="AB13350" s="318"/>
      <c r="AC13350" s="318"/>
      <c r="AD13350" s="318"/>
    </row>
    <row r="13351" spans="2:30" s="323" customFormat="1" ht="12" customHeight="1">
      <c r="B13351" s="324"/>
      <c r="C13351" s="325"/>
      <c r="D13351" s="326"/>
      <c r="E13351" s="326"/>
      <c r="F13351" s="326"/>
      <c r="G13351" s="326"/>
      <c r="H13351" s="326"/>
      <c r="P13351" s="318"/>
      <c r="Q13351" s="318"/>
      <c r="R13351" s="318"/>
      <c r="S13351" s="318"/>
      <c r="T13351" s="318"/>
      <c r="U13351" s="318"/>
      <c r="V13351" s="318"/>
      <c r="W13351" s="318"/>
      <c r="X13351" s="318"/>
      <c r="Y13351" s="318"/>
      <c r="Z13351" s="318"/>
      <c r="AA13351" s="318"/>
      <c r="AB13351" s="318"/>
      <c r="AC13351" s="318"/>
      <c r="AD13351" s="318"/>
    </row>
    <row r="13352" spans="2:30" s="323" customFormat="1" ht="12" customHeight="1">
      <c r="B13352" s="324"/>
      <c r="C13352" s="325"/>
      <c r="D13352" s="326"/>
      <c r="E13352" s="326"/>
      <c r="F13352" s="326"/>
      <c r="G13352" s="326"/>
      <c r="H13352" s="326"/>
      <c r="P13352" s="318"/>
      <c r="Q13352" s="318"/>
      <c r="R13352" s="318"/>
      <c r="S13352" s="318"/>
      <c r="T13352" s="318"/>
      <c r="U13352" s="318"/>
      <c r="V13352" s="318"/>
      <c r="W13352" s="318"/>
      <c r="X13352" s="318"/>
      <c r="Y13352" s="318"/>
      <c r="Z13352" s="318"/>
      <c r="AA13352" s="318"/>
      <c r="AB13352" s="318"/>
      <c r="AC13352" s="318"/>
      <c r="AD13352" s="318"/>
    </row>
    <row r="13353" spans="2:30" s="323" customFormat="1" ht="12" customHeight="1">
      <c r="B13353" s="324"/>
      <c r="C13353" s="325"/>
      <c r="D13353" s="326"/>
      <c r="E13353" s="326"/>
      <c r="F13353" s="326"/>
      <c r="G13353" s="326"/>
      <c r="H13353" s="326"/>
      <c r="P13353" s="318"/>
      <c r="Q13353" s="318"/>
      <c r="R13353" s="318"/>
      <c r="S13353" s="318"/>
      <c r="T13353" s="318"/>
      <c r="U13353" s="318"/>
      <c r="V13353" s="318"/>
      <c r="W13353" s="318"/>
      <c r="X13353" s="318"/>
      <c r="Y13353" s="318"/>
      <c r="Z13353" s="318"/>
      <c r="AA13353" s="318"/>
      <c r="AB13353" s="318"/>
      <c r="AC13353" s="318"/>
      <c r="AD13353" s="318"/>
    </row>
    <row r="13354" spans="2:30" s="323" customFormat="1" ht="12" customHeight="1">
      <c r="B13354" s="324"/>
      <c r="C13354" s="325"/>
      <c r="D13354" s="326"/>
      <c r="E13354" s="326"/>
      <c r="F13354" s="326"/>
      <c r="G13354" s="326"/>
      <c r="H13354" s="326"/>
      <c r="P13354" s="318"/>
      <c r="Q13354" s="318"/>
      <c r="R13354" s="318"/>
      <c r="S13354" s="318"/>
      <c r="T13354" s="318"/>
      <c r="U13354" s="318"/>
      <c r="V13354" s="318"/>
      <c r="W13354" s="318"/>
      <c r="X13354" s="318"/>
      <c r="Y13354" s="318"/>
      <c r="Z13354" s="318"/>
      <c r="AA13354" s="318"/>
      <c r="AB13354" s="318"/>
      <c r="AC13354" s="318"/>
      <c r="AD13354" s="318"/>
    </row>
    <row r="13355" spans="2:30" s="323" customFormat="1" ht="12" customHeight="1">
      <c r="B13355" s="324"/>
      <c r="C13355" s="325"/>
      <c r="D13355" s="326"/>
      <c r="E13355" s="326"/>
      <c r="F13355" s="326"/>
      <c r="G13355" s="326"/>
      <c r="H13355" s="326"/>
      <c r="P13355" s="318"/>
      <c r="Q13355" s="318"/>
      <c r="R13355" s="318"/>
      <c r="S13355" s="318"/>
      <c r="T13355" s="318"/>
      <c r="U13355" s="318"/>
      <c r="V13355" s="318"/>
      <c r="W13355" s="318"/>
      <c r="X13355" s="318"/>
      <c r="Y13355" s="318"/>
      <c r="Z13355" s="318"/>
      <c r="AA13355" s="318"/>
      <c r="AB13355" s="318"/>
      <c r="AC13355" s="318"/>
      <c r="AD13355" s="318"/>
    </row>
    <row r="13356" spans="2:30" s="323" customFormat="1" ht="12" customHeight="1">
      <c r="B13356" s="324"/>
      <c r="C13356" s="325"/>
      <c r="D13356" s="326"/>
      <c r="E13356" s="326"/>
      <c r="F13356" s="326"/>
      <c r="G13356" s="326"/>
      <c r="H13356" s="326"/>
      <c r="P13356" s="318"/>
      <c r="Q13356" s="318"/>
      <c r="R13356" s="318"/>
      <c r="S13356" s="318"/>
      <c r="T13356" s="318"/>
      <c r="U13356" s="318"/>
      <c r="V13356" s="318"/>
      <c r="W13356" s="318"/>
      <c r="X13356" s="318"/>
      <c r="Y13356" s="318"/>
      <c r="Z13356" s="318"/>
      <c r="AA13356" s="318"/>
      <c r="AB13356" s="318"/>
      <c r="AC13356" s="318"/>
      <c r="AD13356" s="318"/>
    </row>
    <row r="13357" spans="2:30" s="323" customFormat="1" ht="12" customHeight="1">
      <c r="B13357" s="324"/>
      <c r="C13357" s="325"/>
      <c r="D13357" s="326"/>
      <c r="E13357" s="326"/>
      <c r="F13357" s="326"/>
      <c r="G13357" s="326"/>
      <c r="H13357" s="326"/>
      <c r="P13357" s="318"/>
      <c r="Q13357" s="318"/>
      <c r="R13357" s="318"/>
      <c r="S13357" s="318"/>
      <c r="T13357" s="318"/>
      <c r="U13357" s="318"/>
      <c r="V13357" s="318"/>
      <c r="W13357" s="318"/>
      <c r="X13357" s="318"/>
      <c r="Y13357" s="318"/>
      <c r="Z13357" s="318"/>
      <c r="AA13357" s="318"/>
      <c r="AB13357" s="318"/>
      <c r="AC13357" s="318"/>
      <c r="AD13357" s="318"/>
    </row>
    <row r="13358" spans="2:30" s="323" customFormat="1" ht="12" customHeight="1">
      <c r="B13358" s="324"/>
      <c r="C13358" s="325"/>
      <c r="D13358" s="326"/>
      <c r="E13358" s="326"/>
      <c r="F13358" s="326"/>
      <c r="G13358" s="326"/>
      <c r="H13358" s="326"/>
      <c r="P13358" s="318"/>
      <c r="Q13358" s="318"/>
      <c r="R13358" s="318"/>
      <c r="S13358" s="318"/>
      <c r="T13358" s="318"/>
      <c r="U13358" s="318"/>
      <c r="V13358" s="318"/>
      <c r="W13358" s="318"/>
      <c r="X13358" s="318"/>
      <c r="Y13358" s="318"/>
      <c r="Z13358" s="318"/>
      <c r="AA13358" s="318"/>
      <c r="AB13358" s="318"/>
      <c r="AC13358" s="318"/>
      <c r="AD13358" s="318"/>
    </row>
    <row r="13359" spans="2:30" s="323" customFormat="1" ht="12" customHeight="1">
      <c r="B13359" s="324"/>
      <c r="C13359" s="325"/>
      <c r="D13359" s="326"/>
      <c r="E13359" s="326"/>
      <c r="F13359" s="326"/>
      <c r="G13359" s="326"/>
      <c r="H13359" s="326"/>
      <c r="P13359" s="318"/>
      <c r="Q13359" s="318"/>
      <c r="R13359" s="318"/>
      <c r="S13359" s="318"/>
      <c r="T13359" s="318"/>
      <c r="U13359" s="318"/>
      <c r="V13359" s="318"/>
      <c r="W13359" s="318"/>
      <c r="X13359" s="318"/>
      <c r="Y13359" s="318"/>
      <c r="Z13359" s="318"/>
      <c r="AA13359" s="318"/>
      <c r="AB13359" s="318"/>
      <c r="AC13359" s="318"/>
      <c r="AD13359" s="318"/>
    </row>
    <row r="13360" spans="2:30" s="323" customFormat="1" ht="12" customHeight="1">
      <c r="B13360" s="324"/>
      <c r="C13360" s="325"/>
      <c r="D13360" s="326"/>
      <c r="E13360" s="326"/>
      <c r="F13360" s="326"/>
      <c r="G13360" s="326"/>
      <c r="H13360" s="326"/>
      <c r="P13360" s="318"/>
      <c r="Q13360" s="318"/>
      <c r="R13360" s="318"/>
      <c r="S13360" s="318"/>
      <c r="T13360" s="318"/>
      <c r="U13360" s="318"/>
      <c r="V13360" s="318"/>
      <c r="W13360" s="318"/>
      <c r="X13360" s="318"/>
      <c r="Y13360" s="318"/>
      <c r="Z13360" s="318"/>
      <c r="AA13360" s="318"/>
      <c r="AB13360" s="318"/>
      <c r="AC13360" s="318"/>
      <c r="AD13360" s="318"/>
    </row>
    <row r="13361" spans="2:30" s="323" customFormat="1" ht="12" customHeight="1">
      <c r="B13361" s="324"/>
      <c r="C13361" s="325"/>
      <c r="D13361" s="326"/>
      <c r="E13361" s="326"/>
      <c r="F13361" s="326"/>
      <c r="G13361" s="326"/>
      <c r="H13361" s="326"/>
      <c r="P13361" s="318"/>
      <c r="Q13361" s="318"/>
      <c r="R13361" s="318"/>
      <c r="S13361" s="318"/>
      <c r="T13361" s="318"/>
      <c r="U13361" s="318"/>
      <c r="V13361" s="318"/>
      <c r="W13361" s="318"/>
      <c r="X13361" s="318"/>
      <c r="Y13361" s="318"/>
      <c r="Z13361" s="318"/>
      <c r="AA13361" s="318"/>
      <c r="AB13361" s="318"/>
      <c r="AC13361" s="318"/>
      <c r="AD13361" s="318"/>
    </row>
    <row r="13362" spans="2:30" s="323" customFormat="1" ht="12" customHeight="1">
      <c r="B13362" s="324"/>
      <c r="C13362" s="325"/>
      <c r="D13362" s="326"/>
      <c r="E13362" s="326"/>
      <c r="F13362" s="326"/>
      <c r="G13362" s="326"/>
      <c r="H13362" s="326"/>
      <c r="P13362" s="318"/>
      <c r="Q13362" s="318"/>
      <c r="R13362" s="318"/>
      <c r="S13362" s="318"/>
      <c r="T13362" s="318"/>
      <c r="U13362" s="318"/>
      <c r="V13362" s="318"/>
      <c r="W13362" s="318"/>
      <c r="X13362" s="318"/>
      <c r="Y13362" s="318"/>
      <c r="Z13362" s="318"/>
      <c r="AA13362" s="318"/>
      <c r="AB13362" s="318"/>
      <c r="AC13362" s="318"/>
      <c r="AD13362" s="318"/>
    </row>
    <row r="13363" spans="2:30" s="323" customFormat="1" ht="12" customHeight="1">
      <c r="B13363" s="324"/>
      <c r="C13363" s="325"/>
      <c r="D13363" s="326"/>
      <c r="E13363" s="326"/>
      <c r="F13363" s="326"/>
      <c r="G13363" s="326"/>
      <c r="H13363" s="326"/>
      <c r="P13363" s="318"/>
      <c r="Q13363" s="318"/>
      <c r="R13363" s="318"/>
      <c r="S13363" s="318"/>
      <c r="T13363" s="318"/>
      <c r="U13363" s="318"/>
      <c r="V13363" s="318"/>
      <c r="W13363" s="318"/>
      <c r="X13363" s="318"/>
      <c r="Y13363" s="318"/>
      <c r="Z13363" s="318"/>
      <c r="AA13363" s="318"/>
      <c r="AB13363" s="318"/>
      <c r="AC13363" s="318"/>
      <c r="AD13363" s="318"/>
    </row>
    <row r="13364" spans="2:30" s="323" customFormat="1" ht="12" customHeight="1">
      <c r="B13364" s="324"/>
      <c r="C13364" s="325"/>
      <c r="D13364" s="326"/>
      <c r="E13364" s="326"/>
      <c r="F13364" s="326"/>
      <c r="G13364" s="326"/>
      <c r="H13364" s="326"/>
      <c r="P13364" s="318"/>
      <c r="Q13364" s="318"/>
      <c r="R13364" s="318"/>
      <c r="S13364" s="318"/>
      <c r="T13364" s="318"/>
      <c r="U13364" s="318"/>
      <c r="V13364" s="318"/>
      <c r="W13364" s="318"/>
      <c r="X13364" s="318"/>
      <c r="Y13364" s="318"/>
      <c r="Z13364" s="318"/>
      <c r="AA13364" s="318"/>
      <c r="AB13364" s="318"/>
      <c r="AC13364" s="318"/>
      <c r="AD13364" s="318"/>
    </row>
    <row r="13365" spans="2:30" s="323" customFormat="1" ht="12" customHeight="1">
      <c r="B13365" s="324"/>
      <c r="C13365" s="325"/>
      <c r="D13365" s="326"/>
      <c r="E13365" s="326"/>
      <c r="F13365" s="326"/>
      <c r="G13365" s="326"/>
      <c r="H13365" s="326"/>
      <c r="P13365" s="318"/>
      <c r="Q13365" s="318"/>
      <c r="R13365" s="318"/>
      <c r="S13365" s="318"/>
      <c r="T13365" s="318"/>
      <c r="U13365" s="318"/>
      <c r="V13365" s="318"/>
      <c r="W13365" s="318"/>
      <c r="X13365" s="318"/>
      <c r="Y13365" s="318"/>
      <c r="Z13365" s="318"/>
      <c r="AA13365" s="318"/>
      <c r="AB13365" s="318"/>
      <c r="AC13365" s="318"/>
      <c r="AD13365" s="318"/>
    </row>
    <row r="13366" spans="2:30" s="323" customFormat="1" ht="12" customHeight="1">
      <c r="B13366" s="324"/>
      <c r="C13366" s="325"/>
      <c r="D13366" s="326"/>
      <c r="E13366" s="326"/>
      <c r="F13366" s="326"/>
      <c r="G13366" s="326"/>
      <c r="H13366" s="326"/>
      <c r="P13366" s="318"/>
      <c r="Q13366" s="318"/>
      <c r="R13366" s="318"/>
      <c r="S13366" s="318"/>
      <c r="T13366" s="318"/>
      <c r="U13366" s="318"/>
      <c r="V13366" s="318"/>
      <c r="W13366" s="318"/>
      <c r="X13366" s="318"/>
      <c r="Y13366" s="318"/>
      <c r="Z13366" s="318"/>
      <c r="AA13366" s="318"/>
      <c r="AB13366" s="318"/>
      <c r="AC13366" s="318"/>
      <c r="AD13366" s="318"/>
    </row>
    <row r="13367" spans="2:30" s="323" customFormat="1" ht="12" customHeight="1">
      <c r="B13367" s="324"/>
      <c r="C13367" s="325"/>
      <c r="D13367" s="326"/>
      <c r="E13367" s="326"/>
      <c r="F13367" s="326"/>
      <c r="G13367" s="326"/>
      <c r="H13367" s="326"/>
      <c r="P13367" s="318"/>
      <c r="Q13367" s="318"/>
      <c r="R13367" s="318"/>
      <c r="S13367" s="318"/>
      <c r="T13367" s="318"/>
      <c r="U13367" s="318"/>
      <c r="V13367" s="318"/>
      <c r="W13367" s="318"/>
      <c r="X13367" s="318"/>
      <c r="Y13367" s="318"/>
      <c r="Z13367" s="318"/>
      <c r="AA13367" s="318"/>
      <c r="AB13367" s="318"/>
      <c r="AC13367" s="318"/>
      <c r="AD13367" s="318"/>
    </row>
    <row r="13368" spans="2:30" s="323" customFormat="1" ht="12" customHeight="1">
      <c r="B13368" s="324"/>
      <c r="C13368" s="325"/>
      <c r="D13368" s="326"/>
      <c r="E13368" s="326"/>
      <c r="F13368" s="326"/>
      <c r="G13368" s="326"/>
      <c r="H13368" s="326"/>
      <c r="P13368" s="318"/>
      <c r="Q13368" s="318"/>
      <c r="R13368" s="318"/>
      <c r="S13368" s="318"/>
      <c r="T13368" s="318"/>
      <c r="U13368" s="318"/>
      <c r="V13368" s="318"/>
      <c r="W13368" s="318"/>
      <c r="X13368" s="318"/>
      <c r="Y13368" s="318"/>
      <c r="Z13368" s="318"/>
      <c r="AA13368" s="318"/>
      <c r="AB13368" s="318"/>
      <c r="AC13368" s="318"/>
      <c r="AD13368" s="318"/>
    </row>
    <row r="13369" spans="2:30" s="323" customFormat="1" ht="12" customHeight="1">
      <c r="B13369" s="324"/>
      <c r="C13369" s="325"/>
      <c r="D13369" s="326"/>
      <c r="E13369" s="326"/>
      <c r="F13369" s="326"/>
      <c r="G13369" s="326"/>
      <c r="H13369" s="326"/>
      <c r="P13369" s="318"/>
      <c r="Q13369" s="318"/>
      <c r="R13369" s="318"/>
      <c r="S13369" s="318"/>
      <c r="T13369" s="318"/>
      <c r="U13369" s="318"/>
      <c r="V13369" s="318"/>
      <c r="W13369" s="318"/>
      <c r="X13369" s="318"/>
      <c r="Y13369" s="318"/>
      <c r="Z13369" s="318"/>
      <c r="AA13369" s="318"/>
      <c r="AB13369" s="318"/>
      <c r="AC13369" s="318"/>
      <c r="AD13369" s="318"/>
    </row>
    <row r="13370" spans="2:30" s="323" customFormat="1" ht="12" customHeight="1">
      <c r="B13370" s="324"/>
      <c r="C13370" s="325"/>
      <c r="D13370" s="326"/>
      <c r="E13370" s="326"/>
      <c r="F13370" s="326"/>
      <c r="G13370" s="326"/>
      <c r="H13370" s="326"/>
      <c r="P13370" s="318"/>
      <c r="Q13370" s="318"/>
      <c r="R13370" s="318"/>
      <c r="S13370" s="318"/>
      <c r="T13370" s="318"/>
      <c r="U13370" s="318"/>
      <c r="V13370" s="318"/>
      <c r="W13370" s="318"/>
      <c r="X13370" s="318"/>
      <c r="Y13370" s="318"/>
      <c r="Z13370" s="318"/>
      <c r="AA13370" s="318"/>
      <c r="AB13370" s="318"/>
      <c r="AC13370" s="318"/>
      <c r="AD13370" s="318"/>
    </row>
    <row r="13371" spans="2:30" s="323" customFormat="1" ht="12" customHeight="1">
      <c r="B13371" s="324"/>
      <c r="C13371" s="325"/>
      <c r="D13371" s="326"/>
      <c r="E13371" s="326"/>
      <c r="F13371" s="326"/>
      <c r="G13371" s="326"/>
      <c r="H13371" s="326"/>
      <c r="P13371" s="318"/>
      <c r="Q13371" s="318"/>
      <c r="R13371" s="318"/>
      <c r="S13371" s="318"/>
      <c r="T13371" s="318"/>
      <c r="U13371" s="318"/>
      <c r="V13371" s="318"/>
      <c r="W13371" s="318"/>
      <c r="X13371" s="318"/>
      <c r="Y13371" s="318"/>
      <c r="Z13371" s="318"/>
      <c r="AA13371" s="318"/>
      <c r="AB13371" s="318"/>
      <c r="AC13371" s="318"/>
      <c r="AD13371" s="318"/>
    </row>
    <row r="13372" spans="2:30" s="323" customFormat="1" ht="12" customHeight="1">
      <c r="B13372" s="324"/>
      <c r="C13372" s="325"/>
      <c r="D13372" s="326"/>
      <c r="E13372" s="326"/>
      <c r="F13372" s="326"/>
      <c r="G13372" s="326"/>
      <c r="H13372" s="326"/>
      <c r="P13372" s="318"/>
      <c r="Q13372" s="318"/>
      <c r="R13372" s="318"/>
      <c r="S13372" s="318"/>
      <c r="T13372" s="318"/>
      <c r="U13372" s="318"/>
      <c r="V13372" s="318"/>
      <c r="W13372" s="318"/>
      <c r="X13372" s="318"/>
      <c r="Y13372" s="318"/>
      <c r="Z13372" s="318"/>
      <c r="AA13372" s="318"/>
      <c r="AB13372" s="318"/>
      <c r="AC13372" s="318"/>
      <c r="AD13372" s="318"/>
    </row>
    <row r="13373" spans="2:30" s="323" customFormat="1" ht="12" customHeight="1">
      <c r="B13373" s="324"/>
      <c r="C13373" s="325"/>
      <c r="D13373" s="326"/>
      <c r="E13373" s="326"/>
      <c r="F13373" s="326"/>
      <c r="G13373" s="326"/>
      <c r="H13373" s="326"/>
      <c r="P13373" s="318"/>
      <c r="Q13373" s="318"/>
      <c r="R13373" s="318"/>
      <c r="S13373" s="318"/>
      <c r="T13373" s="318"/>
      <c r="U13373" s="318"/>
      <c r="V13373" s="318"/>
      <c r="W13373" s="318"/>
      <c r="X13373" s="318"/>
      <c r="Y13373" s="318"/>
      <c r="Z13373" s="318"/>
      <c r="AA13373" s="318"/>
      <c r="AB13373" s="318"/>
      <c r="AC13373" s="318"/>
      <c r="AD13373" s="318"/>
    </row>
    <row r="13374" spans="2:30" s="323" customFormat="1" ht="12" customHeight="1">
      <c r="B13374" s="324"/>
      <c r="C13374" s="325"/>
      <c r="D13374" s="326"/>
      <c r="E13374" s="326"/>
      <c r="F13374" s="326"/>
      <c r="G13374" s="326"/>
      <c r="H13374" s="326"/>
      <c r="P13374" s="318"/>
      <c r="Q13374" s="318"/>
      <c r="R13374" s="318"/>
      <c r="S13374" s="318"/>
      <c r="T13374" s="318"/>
      <c r="U13374" s="318"/>
      <c r="V13374" s="318"/>
      <c r="W13374" s="318"/>
      <c r="X13374" s="318"/>
      <c r="Y13374" s="318"/>
      <c r="Z13374" s="318"/>
      <c r="AA13374" s="318"/>
      <c r="AB13374" s="318"/>
      <c r="AC13374" s="318"/>
      <c r="AD13374" s="318"/>
    </row>
    <row r="13375" spans="2:30" s="323" customFormat="1" ht="12" customHeight="1">
      <c r="B13375" s="324"/>
      <c r="C13375" s="325"/>
      <c r="D13375" s="326"/>
      <c r="E13375" s="326"/>
      <c r="F13375" s="326"/>
      <c r="G13375" s="326"/>
      <c r="H13375" s="326"/>
      <c r="P13375" s="318"/>
      <c r="Q13375" s="318"/>
      <c r="R13375" s="318"/>
      <c r="S13375" s="318"/>
      <c r="T13375" s="318"/>
      <c r="U13375" s="318"/>
      <c r="V13375" s="318"/>
      <c r="W13375" s="318"/>
      <c r="X13375" s="318"/>
      <c r="Y13375" s="318"/>
      <c r="Z13375" s="318"/>
      <c r="AA13375" s="318"/>
      <c r="AB13375" s="318"/>
      <c r="AC13375" s="318"/>
      <c r="AD13375" s="318"/>
    </row>
    <row r="13376" spans="2:30" s="323" customFormat="1" ht="12" customHeight="1">
      <c r="B13376" s="324"/>
      <c r="C13376" s="325"/>
      <c r="D13376" s="326"/>
      <c r="E13376" s="326"/>
      <c r="F13376" s="326"/>
      <c r="G13376" s="326"/>
      <c r="H13376" s="326"/>
      <c r="P13376" s="318"/>
      <c r="Q13376" s="318"/>
      <c r="R13376" s="318"/>
      <c r="S13376" s="318"/>
      <c r="T13376" s="318"/>
      <c r="U13376" s="318"/>
      <c r="V13376" s="318"/>
      <c r="W13376" s="318"/>
      <c r="X13376" s="318"/>
      <c r="Y13376" s="318"/>
      <c r="Z13376" s="318"/>
      <c r="AA13376" s="318"/>
      <c r="AB13376" s="318"/>
      <c r="AC13376" s="318"/>
      <c r="AD13376" s="318"/>
    </row>
    <row r="13377" spans="2:30" s="323" customFormat="1" ht="12" customHeight="1">
      <c r="B13377" s="324"/>
      <c r="C13377" s="325"/>
      <c r="D13377" s="326"/>
      <c r="E13377" s="326"/>
      <c r="F13377" s="326"/>
      <c r="G13377" s="326"/>
      <c r="H13377" s="326"/>
      <c r="P13377" s="318"/>
      <c r="Q13377" s="318"/>
      <c r="R13377" s="318"/>
      <c r="S13377" s="318"/>
      <c r="T13377" s="318"/>
      <c r="U13377" s="318"/>
      <c r="V13377" s="318"/>
      <c r="W13377" s="318"/>
      <c r="X13377" s="318"/>
      <c r="Y13377" s="318"/>
      <c r="Z13377" s="318"/>
      <c r="AA13377" s="318"/>
      <c r="AB13377" s="318"/>
      <c r="AC13377" s="318"/>
      <c r="AD13377" s="318"/>
    </row>
    <row r="13378" spans="2:30" s="323" customFormat="1" ht="12" customHeight="1">
      <c r="B13378" s="324"/>
      <c r="C13378" s="325"/>
      <c r="D13378" s="326"/>
      <c r="E13378" s="326"/>
      <c r="F13378" s="326"/>
      <c r="G13378" s="326"/>
      <c r="H13378" s="326"/>
      <c r="P13378" s="318"/>
      <c r="Q13378" s="318"/>
      <c r="R13378" s="318"/>
      <c r="S13378" s="318"/>
      <c r="T13378" s="318"/>
      <c r="U13378" s="318"/>
      <c r="V13378" s="318"/>
      <c r="W13378" s="318"/>
      <c r="X13378" s="318"/>
      <c r="Y13378" s="318"/>
      <c r="Z13378" s="318"/>
      <c r="AA13378" s="318"/>
      <c r="AB13378" s="318"/>
      <c r="AC13378" s="318"/>
      <c r="AD13378" s="318"/>
    </row>
    <row r="13379" spans="2:30" s="323" customFormat="1" ht="12" customHeight="1">
      <c r="B13379" s="324"/>
      <c r="C13379" s="325"/>
      <c r="D13379" s="326"/>
      <c r="E13379" s="326"/>
      <c r="F13379" s="326"/>
      <c r="G13379" s="326"/>
      <c r="H13379" s="326"/>
      <c r="P13379" s="318"/>
      <c r="Q13379" s="318"/>
      <c r="R13379" s="318"/>
      <c r="S13379" s="318"/>
      <c r="T13379" s="318"/>
      <c r="U13379" s="318"/>
      <c r="V13379" s="318"/>
      <c r="W13379" s="318"/>
      <c r="X13379" s="318"/>
      <c r="Y13379" s="318"/>
      <c r="Z13379" s="318"/>
      <c r="AA13379" s="318"/>
      <c r="AB13379" s="318"/>
      <c r="AC13379" s="318"/>
      <c r="AD13379" s="318"/>
    </row>
    <row r="13380" spans="2:30" s="323" customFormat="1" ht="12" customHeight="1">
      <c r="B13380" s="324"/>
      <c r="C13380" s="325"/>
      <c r="D13380" s="326"/>
      <c r="E13380" s="326"/>
      <c r="F13380" s="326"/>
      <c r="G13380" s="326"/>
      <c r="H13380" s="326"/>
      <c r="P13380" s="318"/>
      <c r="Q13380" s="318"/>
      <c r="R13380" s="318"/>
      <c r="S13380" s="318"/>
      <c r="T13380" s="318"/>
      <c r="U13380" s="318"/>
      <c r="V13380" s="318"/>
      <c r="W13380" s="318"/>
      <c r="X13380" s="318"/>
      <c r="Y13380" s="318"/>
      <c r="Z13380" s="318"/>
      <c r="AA13380" s="318"/>
      <c r="AB13380" s="318"/>
      <c r="AC13380" s="318"/>
      <c r="AD13380" s="318"/>
    </row>
    <row r="13381" spans="2:30" s="323" customFormat="1" ht="12" customHeight="1">
      <c r="B13381" s="324"/>
      <c r="C13381" s="325"/>
      <c r="D13381" s="326"/>
      <c r="E13381" s="326"/>
      <c r="F13381" s="326"/>
      <c r="G13381" s="326"/>
      <c r="H13381" s="326"/>
      <c r="P13381" s="318"/>
      <c r="Q13381" s="318"/>
      <c r="R13381" s="318"/>
      <c r="S13381" s="318"/>
      <c r="T13381" s="318"/>
      <c r="U13381" s="318"/>
      <c r="V13381" s="318"/>
      <c r="W13381" s="318"/>
      <c r="X13381" s="318"/>
      <c r="Y13381" s="318"/>
      <c r="Z13381" s="318"/>
      <c r="AA13381" s="318"/>
      <c r="AB13381" s="318"/>
      <c r="AC13381" s="318"/>
      <c r="AD13381" s="318"/>
    </row>
    <row r="13382" spans="2:30" s="323" customFormat="1" ht="12" customHeight="1">
      <c r="B13382" s="324"/>
      <c r="C13382" s="325"/>
      <c r="D13382" s="326"/>
      <c r="E13382" s="326"/>
      <c r="F13382" s="326"/>
      <c r="G13382" s="326"/>
      <c r="H13382" s="326"/>
      <c r="P13382" s="318"/>
      <c r="Q13382" s="318"/>
      <c r="R13382" s="318"/>
      <c r="S13382" s="318"/>
      <c r="T13382" s="318"/>
      <c r="U13382" s="318"/>
      <c r="V13382" s="318"/>
      <c r="W13382" s="318"/>
      <c r="X13382" s="318"/>
      <c r="Y13382" s="318"/>
      <c r="Z13382" s="318"/>
      <c r="AA13382" s="318"/>
      <c r="AB13382" s="318"/>
      <c r="AC13382" s="318"/>
      <c r="AD13382" s="318"/>
    </row>
    <row r="13383" spans="2:30" s="323" customFormat="1" ht="12" customHeight="1">
      <c r="B13383" s="324"/>
      <c r="C13383" s="325"/>
      <c r="D13383" s="326"/>
      <c r="E13383" s="326"/>
      <c r="F13383" s="326"/>
      <c r="G13383" s="326"/>
      <c r="H13383" s="326"/>
      <c r="P13383" s="318"/>
      <c r="Q13383" s="318"/>
      <c r="R13383" s="318"/>
      <c r="S13383" s="318"/>
      <c r="T13383" s="318"/>
      <c r="U13383" s="318"/>
      <c r="V13383" s="318"/>
      <c r="W13383" s="318"/>
      <c r="X13383" s="318"/>
      <c r="Y13383" s="318"/>
      <c r="Z13383" s="318"/>
      <c r="AA13383" s="318"/>
      <c r="AB13383" s="318"/>
      <c r="AC13383" s="318"/>
      <c r="AD13383" s="318"/>
    </row>
    <row r="13384" spans="2:30" s="323" customFormat="1" ht="12" customHeight="1">
      <c r="B13384" s="324"/>
      <c r="C13384" s="325"/>
      <c r="D13384" s="326"/>
      <c r="E13384" s="326"/>
      <c r="F13384" s="326"/>
      <c r="G13384" s="326"/>
      <c r="H13384" s="326"/>
      <c r="P13384" s="318"/>
      <c r="Q13384" s="318"/>
      <c r="R13384" s="318"/>
      <c r="S13384" s="318"/>
      <c r="T13384" s="318"/>
      <c r="U13384" s="318"/>
      <c r="V13384" s="318"/>
      <c r="W13384" s="318"/>
      <c r="X13384" s="318"/>
      <c r="Y13384" s="318"/>
      <c r="Z13384" s="318"/>
      <c r="AA13384" s="318"/>
      <c r="AB13384" s="318"/>
      <c r="AC13384" s="318"/>
      <c r="AD13384" s="318"/>
    </row>
    <row r="13385" spans="2:30" s="323" customFormat="1" ht="12" customHeight="1">
      <c r="B13385" s="324"/>
      <c r="C13385" s="325"/>
      <c r="D13385" s="326"/>
      <c r="E13385" s="326"/>
      <c r="F13385" s="326"/>
      <c r="G13385" s="326"/>
      <c r="H13385" s="326"/>
      <c r="P13385" s="318"/>
      <c r="Q13385" s="318"/>
      <c r="R13385" s="318"/>
      <c r="S13385" s="318"/>
      <c r="T13385" s="318"/>
      <c r="U13385" s="318"/>
      <c r="V13385" s="318"/>
      <c r="W13385" s="318"/>
      <c r="X13385" s="318"/>
      <c r="Y13385" s="318"/>
      <c r="Z13385" s="318"/>
      <c r="AA13385" s="318"/>
      <c r="AB13385" s="318"/>
      <c r="AC13385" s="318"/>
      <c r="AD13385" s="318"/>
    </row>
    <row r="13386" spans="2:30" s="323" customFormat="1" ht="12" customHeight="1">
      <c r="B13386" s="324"/>
      <c r="C13386" s="325"/>
      <c r="D13386" s="326"/>
      <c r="E13386" s="326"/>
      <c r="F13386" s="326"/>
      <c r="G13386" s="326"/>
      <c r="H13386" s="326"/>
      <c r="P13386" s="318"/>
      <c r="Q13386" s="318"/>
      <c r="R13386" s="318"/>
      <c r="S13386" s="318"/>
      <c r="T13386" s="318"/>
      <c r="U13386" s="318"/>
      <c r="V13386" s="318"/>
      <c r="W13386" s="318"/>
      <c r="X13386" s="318"/>
      <c r="Y13386" s="318"/>
      <c r="Z13386" s="318"/>
      <c r="AA13386" s="318"/>
      <c r="AB13386" s="318"/>
      <c r="AC13386" s="318"/>
      <c r="AD13386" s="318"/>
    </row>
    <row r="13387" spans="2:30" s="323" customFormat="1" ht="12" customHeight="1">
      <c r="B13387" s="324"/>
      <c r="C13387" s="325"/>
      <c r="D13387" s="326"/>
      <c r="E13387" s="326"/>
      <c r="F13387" s="326"/>
      <c r="G13387" s="326"/>
      <c r="H13387" s="326"/>
      <c r="P13387" s="318"/>
      <c r="Q13387" s="318"/>
      <c r="R13387" s="318"/>
      <c r="S13387" s="318"/>
      <c r="T13387" s="318"/>
      <c r="U13387" s="318"/>
      <c r="V13387" s="318"/>
      <c r="W13387" s="318"/>
      <c r="X13387" s="318"/>
      <c r="Y13387" s="318"/>
      <c r="Z13387" s="318"/>
      <c r="AA13387" s="318"/>
      <c r="AB13387" s="318"/>
      <c r="AC13387" s="318"/>
      <c r="AD13387" s="318"/>
    </row>
    <row r="13388" spans="2:30" s="323" customFormat="1" ht="12" customHeight="1">
      <c r="B13388" s="324"/>
      <c r="C13388" s="325"/>
      <c r="D13388" s="326"/>
      <c r="E13388" s="326"/>
      <c r="F13388" s="326"/>
      <c r="G13388" s="326"/>
      <c r="H13388" s="326"/>
      <c r="P13388" s="318"/>
      <c r="Q13388" s="318"/>
      <c r="R13388" s="318"/>
      <c r="S13388" s="318"/>
      <c r="T13388" s="318"/>
      <c r="U13388" s="318"/>
      <c r="V13388" s="318"/>
      <c r="W13388" s="318"/>
      <c r="X13388" s="318"/>
      <c r="Y13388" s="318"/>
      <c r="Z13388" s="318"/>
      <c r="AA13388" s="318"/>
      <c r="AB13388" s="318"/>
      <c r="AC13388" s="318"/>
      <c r="AD13388" s="318"/>
    </row>
    <row r="13389" spans="2:30" s="323" customFormat="1" ht="12" customHeight="1">
      <c r="B13389" s="324"/>
      <c r="C13389" s="325"/>
      <c r="D13389" s="326"/>
      <c r="E13389" s="326"/>
      <c r="F13389" s="326"/>
      <c r="G13389" s="326"/>
      <c r="H13389" s="326"/>
      <c r="P13389" s="318"/>
      <c r="Q13389" s="318"/>
      <c r="R13389" s="318"/>
      <c r="S13389" s="318"/>
      <c r="T13389" s="318"/>
      <c r="U13389" s="318"/>
      <c r="V13389" s="318"/>
      <c r="W13389" s="318"/>
      <c r="X13389" s="318"/>
      <c r="Y13389" s="318"/>
      <c r="Z13389" s="318"/>
      <c r="AA13389" s="318"/>
      <c r="AB13389" s="318"/>
      <c r="AC13389" s="318"/>
      <c r="AD13389" s="318"/>
    </row>
    <row r="13390" spans="2:30" s="323" customFormat="1" ht="12" customHeight="1">
      <c r="B13390" s="324"/>
      <c r="C13390" s="325"/>
      <c r="D13390" s="326"/>
      <c r="E13390" s="326"/>
      <c r="F13390" s="326"/>
      <c r="G13390" s="326"/>
      <c r="H13390" s="326"/>
      <c r="P13390" s="318"/>
      <c r="Q13390" s="318"/>
      <c r="R13390" s="318"/>
      <c r="S13390" s="318"/>
      <c r="T13390" s="318"/>
      <c r="U13390" s="318"/>
      <c r="V13390" s="318"/>
      <c r="W13390" s="318"/>
      <c r="X13390" s="318"/>
      <c r="Y13390" s="318"/>
      <c r="Z13390" s="318"/>
      <c r="AA13390" s="318"/>
      <c r="AB13390" s="318"/>
      <c r="AC13390" s="318"/>
      <c r="AD13390" s="318"/>
    </row>
    <row r="13391" spans="2:30" s="323" customFormat="1" ht="12" customHeight="1">
      <c r="B13391" s="324"/>
      <c r="C13391" s="325"/>
      <c r="D13391" s="326"/>
      <c r="E13391" s="326"/>
      <c r="F13391" s="326"/>
      <c r="G13391" s="326"/>
      <c r="H13391" s="326"/>
      <c r="P13391" s="318"/>
      <c r="Q13391" s="318"/>
      <c r="R13391" s="318"/>
      <c r="S13391" s="318"/>
      <c r="T13391" s="318"/>
      <c r="U13391" s="318"/>
      <c r="V13391" s="318"/>
      <c r="W13391" s="318"/>
      <c r="X13391" s="318"/>
      <c r="Y13391" s="318"/>
      <c r="Z13391" s="318"/>
      <c r="AA13391" s="318"/>
      <c r="AB13391" s="318"/>
      <c r="AC13391" s="318"/>
      <c r="AD13391" s="318"/>
    </row>
    <row r="13392" spans="2:30" s="323" customFormat="1" ht="12" customHeight="1">
      <c r="B13392" s="324"/>
      <c r="C13392" s="325"/>
      <c r="D13392" s="326"/>
      <c r="E13392" s="326"/>
      <c r="F13392" s="326"/>
      <c r="G13392" s="326"/>
      <c r="H13392" s="326"/>
      <c r="P13392" s="318"/>
      <c r="Q13392" s="318"/>
      <c r="R13392" s="318"/>
      <c r="S13392" s="318"/>
      <c r="T13392" s="318"/>
      <c r="U13392" s="318"/>
      <c r="V13392" s="318"/>
      <c r="W13392" s="318"/>
      <c r="X13392" s="318"/>
      <c r="Y13392" s="318"/>
      <c r="Z13392" s="318"/>
      <c r="AA13392" s="318"/>
      <c r="AB13392" s="318"/>
      <c r="AC13392" s="318"/>
      <c r="AD13392" s="318"/>
    </row>
    <row r="13393" spans="2:30" s="323" customFormat="1" ht="12" customHeight="1">
      <c r="B13393" s="324"/>
      <c r="C13393" s="325"/>
      <c r="D13393" s="326"/>
      <c r="E13393" s="326"/>
      <c r="F13393" s="326"/>
      <c r="G13393" s="326"/>
      <c r="H13393" s="326"/>
      <c r="P13393" s="318"/>
      <c r="Q13393" s="318"/>
      <c r="R13393" s="318"/>
      <c r="S13393" s="318"/>
      <c r="T13393" s="318"/>
      <c r="U13393" s="318"/>
      <c r="V13393" s="318"/>
      <c r="W13393" s="318"/>
      <c r="X13393" s="318"/>
      <c r="Y13393" s="318"/>
      <c r="Z13393" s="318"/>
      <c r="AA13393" s="318"/>
      <c r="AB13393" s="318"/>
      <c r="AC13393" s="318"/>
      <c r="AD13393" s="318"/>
    </row>
    <row r="13394" spans="2:30" s="323" customFormat="1" ht="12" customHeight="1">
      <c r="B13394" s="324"/>
      <c r="C13394" s="325"/>
      <c r="D13394" s="326"/>
      <c r="E13394" s="326"/>
      <c r="F13394" s="326"/>
      <c r="G13394" s="326"/>
      <c r="H13394" s="326"/>
      <c r="P13394" s="318"/>
      <c r="Q13394" s="318"/>
      <c r="R13394" s="318"/>
      <c r="S13394" s="318"/>
      <c r="T13394" s="318"/>
      <c r="U13394" s="318"/>
      <c r="V13394" s="318"/>
      <c r="W13394" s="318"/>
      <c r="X13394" s="318"/>
      <c r="Y13394" s="318"/>
      <c r="Z13394" s="318"/>
      <c r="AA13394" s="318"/>
      <c r="AB13394" s="318"/>
      <c r="AC13394" s="318"/>
      <c r="AD13394" s="318"/>
    </row>
    <row r="13395" spans="2:30" s="323" customFormat="1" ht="12" customHeight="1">
      <c r="B13395" s="324"/>
      <c r="C13395" s="325"/>
      <c r="D13395" s="326"/>
      <c r="E13395" s="326"/>
      <c r="F13395" s="326"/>
      <c r="G13395" s="326"/>
      <c r="H13395" s="326"/>
      <c r="P13395" s="318"/>
      <c r="Q13395" s="318"/>
      <c r="R13395" s="318"/>
      <c r="S13395" s="318"/>
      <c r="T13395" s="318"/>
      <c r="U13395" s="318"/>
      <c r="V13395" s="318"/>
      <c r="W13395" s="318"/>
      <c r="X13395" s="318"/>
      <c r="Y13395" s="318"/>
      <c r="Z13395" s="318"/>
      <c r="AA13395" s="318"/>
      <c r="AB13395" s="318"/>
      <c r="AC13395" s="318"/>
      <c r="AD13395" s="318"/>
    </row>
    <row r="13396" spans="2:30" s="323" customFormat="1" ht="12" customHeight="1">
      <c r="B13396" s="324"/>
      <c r="C13396" s="325"/>
      <c r="D13396" s="326"/>
      <c r="E13396" s="326"/>
      <c r="F13396" s="326"/>
      <c r="G13396" s="326"/>
      <c r="H13396" s="326"/>
      <c r="P13396" s="318"/>
      <c r="Q13396" s="318"/>
      <c r="R13396" s="318"/>
      <c r="S13396" s="318"/>
      <c r="T13396" s="318"/>
      <c r="U13396" s="318"/>
      <c r="V13396" s="318"/>
      <c r="W13396" s="318"/>
      <c r="X13396" s="318"/>
      <c r="Y13396" s="318"/>
      <c r="Z13396" s="318"/>
      <c r="AA13396" s="318"/>
      <c r="AB13396" s="318"/>
      <c r="AC13396" s="318"/>
      <c r="AD13396" s="318"/>
    </row>
    <row r="13397" spans="2:30" s="323" customFormat="1" ht="12" customHeight="1">
      <c r="B13397" s="324"/>
      <c r="C13397" s="325"/>
      <c r="D13397" s="326"/>
      <c r="E13397" s="326"/>
      <c r="F13397" s="326"/>
      <c r="G13397" s="326"/>
      <c r="H13397" s="326"/>
      <c r="P13397" s="318"/>
      <c r="Q13397" s="318"/>
      <c r="R13397" s="318"/>
      <c r="S13397" s="318"/>
      <c r="T13397" s="318"/>
      <c r="U13397" s="318"/>
      <c r="V13397" s="318"/>
      <c r="W13397" s="318"/>
      <c r="X13397" s="318"/>
      <c r="Y13397" s="318"/>
      <c r="Z13397" s="318"/>
      <c r="AA13397" s="318"/>
      <c r="AB13397" s="318"/>
      <c r="AC13397" s="318"/>
      <c r="AD13397" s="318"/>
    </row>
    <row r="13398" spans="2:30" s="323" customFormat="1" ht="12" customHeight="1">
      <c r="B13398" s="324"/>
      <c r="C13398" s="325"/>
      <c r="D13398" s="326"/>
      <c r="E13398" s="326"/>
      <c r="F13398" s="326"/>
      <c r="G13398" s="326"/>
      <c r="H13398" s="326"/>
      <c r="P13398" s="318"/>
      <c r="Q13398" s="318"/>
      <c r="R13398" s="318"/>
      <c r="S13398" s="318"/>
      <c r="T13398" s="318"/>
      <c r="U13398" s="318"/>
      <c r="V13398" s="318"/>
      <c r="W13398" s="318"/>
      <c r="X13398" s="318"/>
      <c r="Y13398" s="318"/>
      <c r="Z13398" s="318"/>
      <c r="AA13398" s="318"/>
      <c r="AB13398" s="318"/>
      <c r="AC13398" s="318"/>
      <c r="AD13398" s="318"/>
    </row>
    <row r="13399" spans="2:30" s="323" customFormat="1" ht="12" customHeight="1">
      <c r="B13399" s="324"/>
      <c r="C13399" s="325"/>
      <c r="D13399" s="326"/>
      <c r="E13399" s="326"/>
      <c r="F13399" s="326"/>
      <c r="G13399" s="326"/>
      <c r="H13399" s="326"/>
      <c r="P13399" s="318"/>
      <c r="Q13399" s="318"/>
      <c r="R13399" s="318"/>
      <c r="S13399" s="318"/>
      <c r="T13399" s="318"/>
      <c r="U13399" s="318"/>
      <c r="V13399" s="318"/>
      <c r="W13399" s="318"/>
      <c r="X13399" s="318"/>
      <c r="Y13399" s="318"/>
      <c r="Z13399" s="318"/>
      <c r="AA13399" s="318"/>
      <c r="AB13399" s="318"/>
      <c r="AC13399" s="318"/>
      <c r="AD13399" s="318"/>
    </row>
    <row r="13400" spans="2:30" s="323" customFormat="1" ht="12" customHeight="1">
      <c r="B13400" s="324"/>
      <c r="C13400" s="325"/>
      <c r="D13400" s="326"/>
      <c r="E13400" s="326"/>
      <c r="F13400" s="326"/>
      <c r="G13400" s="326"/>
      <c r="H13400" s="326"/>
      <c r="P13400" s="318"/>
      <c r="Q13400" s="318"/>
      <c r="R13400" s="318"/>
      <c r="S13400" s="318"/>
      <c r="T13400" s="318"/>
      <c r="U13400" s="318"/>
      <c r="V13400" s="318"/>
      <c r="W13400" s="318"/>
      <c r="X13400" s="318"/>
      <c r="Y13400" s="318"/>
      <c r="Z13400" s="318"/>
      <c r="AA13400" s="318"/>
      <c r="AB13400" s="318"/>
      <c r="AC13400" s="318"/>
      <c r="AD13400" s="318"/>
    </row>
    <row r="13401" spans="2:30" s="323" customFormat="1" ht="12" customHeight="1">
      <c r="B13401" s="324"/>
      <c r="C13401" s="325"/>
      <c r="D13401" s="326"/>
      <c r="E13401" s="326"/>
      <c r="F13401" s="326"/>
      <c r="G13401" s="326"/>
      <c r="H13401" s="326"/>
      <c r="P13401" s="318"/>
      <c r="Q13401" s="318"/>
      <c r="R13401" s="318"/>
      <c r="S13401" s="318"/>
      <c r="T13401" s="318"/>
      <c r="U13401" s="318"/>
      <c r="V13401" s="318"/>
      <c r="W13401" s="318"/>
      <c r="X13401" s="318"/>
      <c r="Y13401" s="318"/>
      <c r="Z13401" s="318"/>
      <c r="AA13401" s="318"/>
      <c r="AB13401" s="318"/>
      <c r="AC13401" s="318"/>
      <c r="AD13401" s="318"/>
    </row>
    <row r="13402" spans="2:30" s="323" customFormat="1" ht="12" customHeight="1">
      <c r="B13402" s="324"/>
      <c r="C13402" s="325"/>
      <c r="D13402" s="326"/>
      <c r="E13402" s="326"/>
      <c r="F13402" s="326"/>
      <c r="G13402" s="326"/>
      <c r="H13402" s="326"/>
      <c r="P13402" s="318"/>
      <c r="Q13402" s="318"/>
      <c r="R13402" s="318"/>
      <c r="S13402" s="318"/>
      <c r="T13402" s="318"/>
      <c r="U13402" s="318"/>
      <c r="V13402" s="318"/>
      <c r="W13402" s="318"/>
      <c r="X13402" s="318"/>
      <c r="Y13402" s="318"/>
      <c r="Z13402" s="318"/>
      <c r="AA13402" s="318"/>
      <c r="AB13402" s="318"/>
      <c r="AC13402" s="318"/>
      <c r="AD13402" s="318"/>
    </row>
    <row r="13403" spans="2:30" s="323" customFormat="1" ht="12" customHeight="1">
      <c r="B13403" s="324"/>
      <c r="C13403" s="325"/>
      <c r="D13403" s="326"/>
      <c r="E13403" s="326"/>
      <c r="F13403" s="326"/>
      <c r="G13403" s="326"/>
      <c r="H13403" s="326"/>
      <c r="P13403" s="318"/>
      <c r="Q13403" s="318"/>
      <c r="R13403" s="318"/>
      <c r="S13403" s="318"/>
      <c r="T13403" s="318"/>
      <c r="U13403" s="318"/>
      <c r="V13403" s="318"/>
      <c r="W13403" s="318"/>
      <c r="X13403" s="318"/>
      <c r="Y13403" s="318"/>
      <c r="Z13403" s="318"/>
      <c r="AA13403" s="318"/>
      <c r="AB13403" s="318"/>
      <c r="AC13403" s="318"/>
      <c r="AD13403" s="318"/>
    </row>
    <row r="13404" spans="2:30" s="323" customFormat="1" ht="12" customHeight="1">
      <c r="B13404" s="324"/>
      <c r="C13404" s="325"/>
      <c r="D13404" s="326"/>
      <c r="E13404" s="326"/>
      <c r="F13404" s="326"/>
      <c r="G13404" s="326"/>
      <c r="H13404" s="326"/>
      <c r="P13404" s="318"/>
      <c r="Q13404" s="318"/>
      <c r="R13404" s="318"/>
      <c r="S13404" s="318"/>
      <c r="T13404" s="318"/>
      <c r="U13404" s="318"/>
      <c r="V13404" s="318"/>
      <c r="W13404" s="318"/>
      <c r="X13404" s="318"/>
      <c r="Y13404" s="318"/>
      <c r="Z13404" s="318"/>
      <c r="AA13404" s="318"/>
      <c r="AB13404" s="318"/>
      <c r="AC13404" s="318"/>
      <c r="AD13404" s="318"/>
    </row>
    <row r="13405" spans="2:30" s="323" customFormat="1" ht="12" customHeight="1">
      <c r="B13405" s="324"/>
      <c r="C13405" s="325"/>
      <c r="D13405" s="326"/>
      <c r="E13405" s="326"/>
      <c r="F13405" s="326"/>
      <c r="G13405" s="326"/>
      <c r="H13405" s="326"/>
      <c r="P13405" s="318"/>
      <c r="Q13405" s="318"/>
      <c r="R13405" s="318"/>
      <c r="S13405" s="318"/>
      <c r="T13405" s="318"/>
      <c r="U13405" s="318"/>
      <c r="V13405" s="318"/>
      <c r="W13405" s="318"/>
      <c r="X13405" s="318"/>
      <c r="Y13405" s="318"/>
      <c r="Z13405" s="318"/>
      <c r="AA13405" s="318"/>
      <c r="AB13405" s="318"/>
      <c r="AC13405" s="318"/>
      <c r="AD13405" s="318"/>
    </row>
    <row r="13406" spans="2:30" s="323" customFormat="1" ht="12" customHeight="1">
      <c r="B13406" s="324"/>
      <c r="C13406" s="325"/>
      <c r="D13406" s="326"/>
      <c r="E13406" s="326"/>
      <c r="F13406" s="326"/>
      <c r="G13406" s="326"/>
      <c r="H13406" s="326"/>
      <c r="P13406" s="318"/>
      <c r="Q13406" s="318"/>
      <c r="R13406" s="318"/>
      <c r="S13406" s="318"/>
      <c r="T13406" s="318"/>
      <c r="U13406" s="318"/>
      <c r="V13406" s="318"/>
      <c r="W13406" s="318"/>
      <c r="X13406" s="318"/>
      <c r="Y13406" s="318"/>
      <c r="Z13406" s="318"/>
      <c r="AA13406" s="318"/>
      <c r="AB13406" s="318"/>
      <c r="AC13406" s="318"/>
      <c r="AD13406" s="318"/>
    </row>
    <row r="13407" spans="2:30" s="323" customFormat="1" ht="12" customHeight="1">
      <c r="B13407" s="324"/>
      <c r="C13407" s="325"/>
      <c r="D13407" s="326"/>
      <c r="E13407" s="326"/>
      <c r="F13407" s="326"/>
      <c r="G13407" s="326"/>
      <c r="H13407" s="326"/>
      <c r="P13407" s="318"/>
      <c r="Q13407" s="318"/>
      <c r="R13407" s="318"/>
      <c r="S13407" s="318"/>
      <c r="T13407" s="318"/>
      <c r="U13407" s="318"/>
      <c r="V13407" s="318"/>
      <c r="W13407" s="318"/>
      <c r="X13407" s="318"/>
      <c r="Y13407" s="318"/>
      <c r="Z13407" s="318"/>
      <c r="AA13407" s="318"/>
      <c r="AB13407" s="318"/>
      <c r="AC13407" s="318"/>
      <c r="AD13407" s="318"/>
    </row>
    <row r="13408" spans="2:30" s="323" customFormat="1" ht="12" customHeight="1">
      <c r="B13408" s="324"/>
      <c r="C13408" s="325"/>
      <c r="D13408" s="326"/>
      <c r="E13408" s="326"/>
      <c r="F13408" s="326"/>
      <c r="G13408" s="326"/>
      <c r="H13408" s="326"/>
      <c r="P13408" s="318"/>
      <c r="Q13408" s="318"/>
      <c r="R13408" s="318"/>
      <c r="S13408" s="318"/>
      <c r="T13408" s="318"/>
      <c r="U13408" s="318"/>
      <c r="V13408" s="318"/>
      <c r="W13408" s="318"/>
      <c r="X13408" s="318"/>
      <c r="Y13408" s="318"/>
      <c r="Z13408" s="318"/>
      <c r="AA13408" s="318"/>
      <c r="AB13408" s="318"/>
      <c r="AC13408" s="318"/>
      <c r="AD13408" s="318"/>
    </row>
    <row r="13409" spans="2:30" s="323" customFormat="1" ht="12" customHeight="1">
      <c r="B13409" s="324"/>
      <c r="C13409" s="325"/>
      <c r="D13409" s="326"/>
      <c r="E13409" s="326"/>
      <c r="F13409" s="326"/>
      <c r="G13409" s="326"/>
      <c r="H13409" s="326"/>
      <c r="P13409" s="318"/>
      <c r="Q13409" s="318"/>
      <c r="R13409" s="318"/>
      <c r="S13409" s="318"/>
      <c r="T13409" s="318"/>
      <c r="U13409" s="318"/>
      <c r="V13409" s="318"/>
      <c r="W13409" s="318"/>
      <c r="X13409" s="318"/>
      <c r="Y13409" s="318"/>
      <c r="Z13409" s="318"/>
      <c r="AA13409" s="318"/>
      <c r="AB13409" s="318"/>
      <c r="AC13409" s="318"/>
      <c r="AD13409" s="318"/>
    </row>
    <row r="13410" spans="2:30" s="323" customFormat="1" ht="12" customHeight="1">
      <c r="B13410" s="324"/>
      <c r="C13410" s="325"/>
      <c r="D13410" s="326"/>
      <c r="E13410" s="326"/>
      <c r="F13410" s="326"/>
      <c r="G13410" s="326"/>
      <c r="H13410" s="326"/>
      <c r="P13410" s="318"/>
      <c r="Q13410" s="318"/>
      <c r="R13410" s="318"/>
      <c r="S13410" s="318"/>
      <c r="T13410" s="318"/>
      <c r="U13410" s="318"/>
      <c r="V13410" s="318"/>
      <c r="W13410" s="318"/>
      <c r="X13410" s="318"/>
      <c r="Y13410" s="318"/>
      <c r="Z13410" s="318"/>
      <c r="AA13410" s="318"/>
      <c r="AB13410" s="318"/>
      <c r="AC13410" s="318"/>
      <c r="AD13410" s="318"/>
    </row>
    <row r="13411" spans="2:30" s="323" customFormat="1" ht="12" customHeight="1">
      <c r="B13411" s="324"/>
      <c r="C13411" s="325"/>
      <c r="D13411" s="326"/>
      <c r="E13411" s="326"/>
      <c r="F13411" s="326"/>
      <c r="G13411" s="326"/>
      <c r="H13411" s="326"/>
      <c r="P13411" s="318"/>
      <c r="Q13411" s="318"/>
      <c r="R13411" s="318"/>
      <c r="S13411" s="318"/>
      <c r="T13411" s="318"/>
      <c r="U13411" s="318"/>
      <c r="V13411" s="318"/>
      <c r="W13411" s="318"/>
      <c r="X13411" s="318"/>
      <c r="Y13411" s="318"/>
      <c r="Z13411" s="318"/>
      <c r="AA13411" s="318"/>
      <c r="AB13411" s="318"/>
      <c r="AC13411" s="318"/>
      <c r="AD13411" s="318"/>
    </row>
    <row r="13412" spans="2:30" s="323" customFormat="1" ht="12" customHeight="1">
      <c r="B13412" s="324"/>
      <c r="C13412" s="325"/>
      <c r="D13412" s="326"/>
      <c r="E13412" s="326"/>
      <c r="F13412" s="326"/>
      <c r="G13412" s="326"/>
      <c r="H13412" s="326"/>
      <c r="P13412" s="318"/>
      <c r="Q13412" s="318"/>
      <c r="R13412" s="318"/>
      <c r="S13412" s="318"/>
      <c r="T13412" s="318"/>
      <c r="U13412" s="318"/>
      <c r="V13412" s="318"/>
      <c r="W13412" s="318"/>
      <c r="X13412" s="318"/>
      <c r="Y13412" s="318"/>
      <c r="Z13412" s="318"/>
      <c r="AA13412" s="318"/>
      <c r="AB13412" s="318"/>
      <c r="AC13412" s="318"/>
      <c r="AD13412" s="318"/>
    </row>
    <row r="13413" spans="2:30" s="323" customFormat="1" ht="12" customHeight="1">
      <c r="B13413" s="324"/>
      <c r="C13413" s="325"/>
      <c r="D13413" s="326"/>
      <c r="E13413" s="326"/>
      <c r="F13413" s="326"/>
      <c r="G13413" s="326"/>
      <c r="H13413" s="326"/>
      <c r="P13413" s="318"/>
      <c r="Q13413" s="318"/>
      <c r="R13413" s="318"/>
      <c r="S13413" s="318"/>
      <c r="T13413" s="318"/>
      <c r="U13413" s="318"/>
      <c r="V13413" s="318"/>
      <c r="W13413" s="318"/>
      <c r="X13413" s="318"/>
      <c r="Y13413" s="318"/>
      <c r="Z13413" s="318"/>
      <c r="AA13413" s="318"/>
      <c r="AB13413" s="318"/>
      <c r="AC13413" s="318"/>
      <c r="AD13413" s="318"/>
    </row>
    <row r="13414" spans="2:30" s="323" customFormat="1" ht="12" customHeight="1">
      <c r="B13414" s="324"/>
      <c r="C13414" s="325"/>
      <c r="D13414" s="326"/>
      <c r="E13414" s="326"/>
      <c r="F13414" s="326"/>
      <c r="G13414" s="326"/>
      <c r="H13414" s="326"/>
      <c r="P13414" s="318"/>
      <c r="Q13414" s="318"/>
      <c r="R13414" s="318"/>
      <c r="S13414" s="318"/>
      <c r="T13414" s="318"/>
      <c r="U13414" s="318"/>
      <c r="V13414" s="318"/>
      <c r="W13414" s="318"/>
      <c r="X13414" s="318"/>
      <c r="Y13414" s="318"/>
      <c r="Z13414" s="318"/>
      <c r="AA13414" s="318"/>
      <c r="AB13414" s="318"/>
      <c r="AC13414" s="318"/>
      <c r="AD13414" s="318"/>
    </row>
    <row r="13415" spans="2:30" s="323" customFormat="1" ht="12" customHeight="1">
      <c r="B13415" s="324"/>
      <c r="C13415" s="325"/>
      <c r="D13415" s="326"/>
      <c r="E13415" s="326"/>
      <c r="F13415" s="326"/>
      <c r="G13415" s="326"/>
      <c r="H13415" s="326"/>
      <c r="P13415" s="318"/>
      <c r="Q13415" s="318"/>
      <c r="R13415" s="318"/>
      <c r="S13415" s="318"/>
      <c r="T13415" s="318"/>
      <c r="U13415" s="318"/>
      <c r="V13415" s="318"/>
      <c r="W13415" s="318"/>
      <c r="X13415" s="318"/>
      <c r="Y13415" s="318"/>
      <c r="Z13415" s="318"/>
      <c r="AA13415" s="318"/>
      <c r="AB13415" s="318"/>
      <c r="AC13415" s="318"/>
      <c r="AD13415" s="318"/>
    </row>
    <row r="13416" spans="2:30" s="323" customFormat="1" ht="12" customHeight="1">
      <c r="B13416" s="324"/>
      <c r="C13416" s="325"/>
      <c r="D13416" s="326"/>
      <c r="E13416" s="326"/>
      <c r="F13416" s="326"/>
      <c r="G13416" s="326"/>
      <c r="H13416" s="326"/>
      <c r="P13416" s="318"/>
      <c r="Q13416" s="318"/>
      <c r="R13416" s="318"/>
      <c r="S13416" s="318"/>
      <c r="T13416" s="318"/>
      <c r="U13416" s="318"/>
      <c r="V13416" s="318"/>
      <c r="W13416" s="318"/>
      <c r="X13416" s="318"/>
      <c r="Y13416" s="318"/>
      <c r="Z13416" s="318"/>
      <c r="AA13416" s="318"/>
      <c r="AB13416" s="318"/>
      <c r="AC13416" s="318"/>
      <c r="AD13416" s="318"/>
    </row>
    <row r="13417" spans="2:30" s="323" customFormat="1" ht="12" customHeight="1">
      <c r="B13417" s="324"/>
      <c r="C13417" s="325"/>
      <c r="D13417" s="326"/>
      <c r="E13417" s="326"/>
      <c r="F13417" s="326"/>
      <c r="G13417" s="326"/>
      <c r="H13417" s="326"/>
      <c r="P13417" s="318"/>
      <c r="Q13417" s="318"/>
      <c r="R13417" s="318"/>
      <c r="S13417" s="318"/>
      <c r="T13417" s="318"/>
      <c r="U13417" s="318"/>
      <c r="V13417" s="318"/>
      <c r="W13417" s="318"/>
      <c r="X13417" s="318"/>
      <c r="Y13417" s="318"/>
      <c r="Z13417" s="318"/>
      <c r="AA13417" s="318"/>
      <c r="AB13417" s="318"/>
      <c r="AC13417" s="318"/>
      <c r="AD13417" s="318"/>
    </row>
    <row r="13418" spans="2:30" s="323" customFormat="1" ht="12" customHeight="1">
      <c r="B13418" s="324"/>
      <c r="C13418" s="325"/>
      <c r="D13418" s="326"/>
      <c r="E13418" s="326"/>
      <c r="F13418" s="326"/>
      <c r="G13418" s="326"/>
      <c r="H13418" s="326"/>
      <c r="P13418" s="318"/>
      <c r="Q13418" s="318"/>
      <c r="R13418" s="318"/>
      <c r="S13418" s="318"/>
      <c r="T13418" s="318"/>
      <c r="U13418" s="318"/>
      <c r="V13418" s="318"/>
      <c r="W13418" s="318"/>
      <c r="X13418" s="318"/>
      <c r="Y13418" s="318"/>
      <c r="Z13418" s="318"/>
      <c r="AA13418" s="318"/>
      <c r="AB13418" s="318"/>
      <c r="AC13418" s="318"/>
      <c r="AD13418" s="318"/>
    </row>
    <row r="13419" spans="2:30" s="323" customFormat="1" ht="12" customHeight="1">
      <c r="B13419" s="324"/>
      <c r="C13419" s="325"/>
      <c r="D13419" s="326"/>
      <c r="E13419" s="326"/>
      <c r="F13419" s="326"/>
      <c r="G13419" s="326"/>
      <c r="H13419" s="326"/>
      <c r="P13419" s="318"/>
      <c r="Q13419" s="318"/>
      <c r="R13419" s="318"/>
      <c r="S13419" s="318"/>
      <c r="T13419" s="318"/>
      <c r="U13419" s="318"/>
      <c r="V13419" s="318"/>
      <c r="W13419" s="318"/>
      <c r="X13419" s="318"/>
      <c r="Y13419" s="318"/>
      <c r="Z13419" s="318"/>
      <c r="AA13419" s="318"/>
      <c r="AB13419" s="318"/>
      <c r="AC13419" s="318"/>
      <c r="AD13419" s="318"/>
    </row>
    <row r="13420" spans="2:30" s="323" customFormat="1" ht="12" customHeight="1">
      <c r="B13420" s="324"/>
      <c r="C13420" s="325"/>
      <c r="D13420" s="326"/>
      <c r="E13420" s="326"/>
      <c r="F13420" s="326"/>
      <c r="G13420" s="326"/>
      <c r="H13420" s="326"/>
      <c r="P13420" s="318"/>
      <c r="Q13420" s="318"/>
      <c r="R13420" s="318"/>
      <c r="S13420" s="318"/>
      <c r="T13420" s="318"/>
      <c r="U13420" s="318"/>
      <c r="V13420" s="318"/>
      <c r="W13420" s="318"/>
      <c r="X13420" s="318"/>
      <c r="Y13420" s="318"/>
      <c r="Z13420" s="318"/>
      <c r="AA13420" s="318"/>
      <c r="AB13420" s="318"/>
      <c r="AC13420" s="318"/>
      <c r="AD13420" s="318"/>
    </row>
    <row r="13421" spans="2:30" s="323" customFormat="1" ht="12" customHeight="1">
      <c r="B13421" s="324"/>
      <c r="C13421" s="325"/>
      <c r="D13421" s="326"/>
      <c r="E13421" s="326"/>
      <c r="F13421" s="326"/>
      <c r="G13421" s="326"/>
      <c r="H13421" s="326"/>
      <c r="P13421" s="318"/>
      <c r="Q13421" s="318"/>
      <c r="R13421" s="318"/>
      <c r="S13421" s="318"/>
      <c r="T13421" s="318"/>
      <c r="U13421" s="318"/>
      <c r="V13421" s="318"/>
      <c r="W13421" s="318"/>
      <c r="X13421" s="318"/>
      <c r="Y13421" s="318"/>
      <c r="Z13421" s="318"/>
      <c r="AA13421" s="318"/>
      <c r="AB13421" s="318"/>
      <c r="AC13421" s="318"/>
      <c r="AD13421" s="318"/>
    </row>
    <row r="13422" spans="2:30" s="323" customFormat="1" ht="12" customHeight="1">
      <c r="B13422" s="324"/>
      <c r="C13422" s="325"/>
      <c r="D13422" s="326"/>
      <c r="E13422" s="326"/>
      <c r="F13422" s="326"/>
      <c r="G13422" s="326"/>
      <c r="H13422" s="326"/>
      <c r="P13422" s="318"/>
      <c r="Q13422" s="318"/>
      <c r="R13422" s="318"/>
      <c r="S13422" s="318"/>
      <c r="T13422" s="318"/>
      <c r="U13422" s="318"/>
      <c r="V13422" s="318"/>
      <c r="W13422" s="318"/>
      <c r="X13422" s="318"/>
      <c r="Y13422" s="318"/>
      <c r="Z13422" s="318"/>
      <c r="AA13422" s="318"/>
      <c r="AB13422" s="318"/>
      <c r="AC13422" s="318"/>
      <c r="AD13422" s="318"/>
    </row>
    <row r="13423" spans="2:30" s="323" customFormat="1" ht="12" customHeight="1">
      <c r="B13423" s="324"/>
      <c r="C13423" s="325"/>
      <c r="D13423" s="326"/>
      <c r="E13423" s="326"/>
      <c r="F13423" s="326"/>
      <c r="G13423" s="326"/>
      <c r="H13423" s="326"/>
      <c r="P13423" s="318"/>
      <c r="Q13423" s="318"/>
      <c r="R13423" s="318"/>
      <c r="S13423" s="318"/>
      <c r="T13423" s="318"/>
      <c r="U13423" s="318"/>
      <c r="V13423" s="318"/>
      <c r="W13423" s="318"/>
      <c r="X13423" s="318"/>
      <c r="Y13423" s="318"/>
      <c r="Z13423" s="318"/>
      <c r="AA13423" s="318"/>
      <c r="AB13423" s="318"/>
      <c r="AC13423" s="318"/>
      <c r="AD13423" s="318"/>
    </row>
    <row r="13424" spans="2:30" s="323" customFormat="1" ht="12" customHeight="1">
      <c r="B13424" s="324"/>
      <c r="C13424" s="325"/>
      <c r="D13424" s="326"/>
      <c r="E13424" s="326"/>
      <c r="F13424" s="326"/>
      <c r="G13424" s="326"/>
      <c r="H13424" s="326"/>
      <c r="P13424" s="318"/>
      <c r="Q13424" s="318"/>
      <c r="R13424" s="318"/>
      <c r="S13424" s="318"/>
      <c r="T13424" s="318"/>
      <c r="U13424" s="318"/>
      <c r="V13424" s="318"/>
      <c r="W13424" s="318"/>
      <c r="X13424" s="318"/>
      <c r="Y13424" s="318"/>
      <c r="Z13424" s="318"/>
      <c r="AA13424" s="318"/>
      <c r="AB13424" s="318"/>
      <c r="AC13424" s="318"/>
      <c r="AD13424" s="318"/>
    </row>
    <row r="13425" spans="2:30" s="323" customFormat="1" ht="12" customHeight="1">
      <c r="B13425" s="324"/>
      <c r="C13425" s="325"/>
      <c r="D13425" s="326"/>
      <c r="E13425" s="326"/>
      <c r="F13425" s="326"/>
      <c r="G13425" s="326"/>
      <c r="H13425" s="326"/>
      <c r="P13425" s="318"/>
      <c r="Q13425" s="318"/>
      <c r="R13425" s="318"/>
      <c r="S13425" s="318"/>
      <c r="T13425" s="318"/>
      <c r="U13425" s="318"/>
      <c r="V13425" s="318"/>
      <c r="W13425" s="318"/>
      <c r="X13425" s="318"/>
      <c r="Y13425" s="318"/>
      <c r="Z13425" s="318"/>
      <c r="AA13425" s="318"/>
      <c r="AB13425" s="318"/>
      <c r="AC13425" s="318"/>
      <c r="AD13425" s="318"/>
    </row>
    <row r="13426" spans="2:30" s="323" customFormat="1" ht="12" customHeight="1">
      <c r="B13426" s="324"/>
      <c r="C13426" s="325"/>
      <c r="D13426" s="326"/>
      <c r="E13426" s="326"/>
      <c r="F13426" s="326"/>
      <c r="G13426" s="326"/>
      <c r="H13426" s="326"/>
      <c r="P13426" s="318"/>
      <c r="Q13426" s="318"/>
      <c r="R13426" s="318"/>
      <c r="S13426" s="318"/>
      <c r="T13426" s="318"/>
      <c r="U13426" s="318"/>
      <c r="V13426" s="318"/>
      <c r="W13426" s="318"/>
      <c r="X13426" s="318"/>
      <c r="Y13426" s="318"/>
      <c r="Z13426" s="318"/>
      <c r="AA13426" s="318"/>
      <c r="AB13426" s="318"/>
      <c r="AC13426" s="318"/>
      <c r="AD13426" s="318"/>
    </row>
    <row r="13427" spans="2:30" s="323" customFormat="1" ht="12" customHeight="1">
      <c r="B13427" s="324"/>
      <c r="C13427" s="325"/>
      <c r="D13427" s="326"/>
      <c r="E13427" s="326"/>
      <c r="F13427" s="326"/>
      <c r="G13427" s="326"/>
      <c r="H13427" s="326"/>
      <c r="P13427" s="318"/>
      <c r="Q13427" s="318"/>
      <c r="R13427" s="318"/>
      <c r="S13427" s="318"/>
      <c r="T13427" s="318"/>
      <c r="U13427" s="318"/>
      <c r="V13427" s="318"/>
      <c r="W13427" s="318"/>
      <c r="X13427" s="318"/>
      <c r="Y13427" s="318"/>
      <c r="Z13427" s="318"/>
      <c r="AA13427" s="318"/>
      <c r="AB13427" s="318"/>
      <c r="AC13427" s="318"/>
      <c r="AD13427" s="318"/>
    </row>
    <row r="13428" spans="2:30" s="323" customFormat="1" ht="12" customHeight="1">
      <c r="B13428" s="324"/>
      <c r="C13428" s="325"/>
      <c r="D13428" s="326"/>
      <c r="E13428" s="326"/>
      <c r="F13428" s="326"/>
      <c r="G13428" s="326"/>
      <c r="H13428" s="326"/>
      <c r="P13428" s="318"/>
      <c r="Q13428" s="318"/>
      <c r="R13428" s="318"/>
      <c r="S13428" s="318"/>
      <c r="T13428" s="318"/>
      <c r="U13428" s="318"/>
      <c r="V13428" s="318"/>
      <c r="W13428" s="318"/>
      <c r="X13428" s="318"/>
      <c r="Y13428" s="318"/>
      <c r="Z13428" s="318"/>
      <c r="AA13428" s="318"/>
      <c r="AB13428" s="318"/>
      <c r="AC13428" s="318"/>
      <c r="AD13428" s="318"/>
    </row>
    <row r="13429" spans="2:30" s="323" customFormat="1" ht="12" customHeight="1">
      <c r="B13429" s="324"/>
      <c r="C13429" s="325"/>
      <c r="D13429" s="326"/>
      <c r="E13429" s="326"/>
      <c r="F13429" s="326"/>
      <c r="G13429" s="326"/>
      <c r="H13429" s="326"/>
      <c r="P13429" s="318"/>
      <c r="Q13429" s="318"/>
      <c r="R13429" s="318"/>
      <c r="S13429" s="318"/>
      <c r="T13429" s="318"/>
      <c r="U13429" s="318"/>
      <c r="V13429" s="318"/>
      <c r="W13429" s="318"/>
      <c r="X13429" s="318"/>
      <c r="Y13429" s="318"/>
      <c r="Z13429" s="318"/>
      <c r="AA13429" s="318"/>
      <c r="AB13429" s="318"/>
      <c r="AC13429" s="318"/>
      <c r="AD13429" s="318"/>
    </row>
    <row r="13430" spans="2:30" s="323" customFormat="1" ht="12" customHeight="1">
      <c r="B13430" s="324"/>
      <c r="C13430" s="325"/>
      <c r="D13430" s="326"/>
      <c r="E13430" s="326"/>
      <c r="F13430" s="326"/>
      <c r="G13430" s="326"/>
      <c r="H13430" s="326"/>
      <c r="P13430" s="318"/>
      <c r="Q13430" s="318"/>
      <c r="R13430" s="318"/>
      <c r="S13430" s="318"/>
      <c r="T13430" s="318"/>
      <c r="U13430" s="318"/>
      <c r="V13430" s="318"/>
      <c r="W13430" s="318"/>
      <c r="X13430" s="318"/>
      <c r="Y13430" s="318"/>
      <c r="Z13430" s="318"/>
      <c r="AA13430" s="318"/>
      <c r="AB13430" s="318"/>
      <c r="AC13430" s="318"/>
      <c r="AD13430" s="318"/>
    </row>
    <row r="13431" spans="2:30" s="323" customFormat="1" ht="12" customHeight="1">
      <c r="B13431" s="324"/>
      <c r="C13431" s="325"/>
      <c r="D13431" s="326"/>
      <c r="E13431" s="326"/>
      <c r="F13431" s="326"/>
      <c r="G13431" s="326"/>
      <c r="H13431" s="326"/>
      <c r="P13431" s="318"/>
      <c r="Q13431" s="318"/>
      <c r="R13431" s="318"/>
      <c r="S13431" s="318"/>
      <c r="T13431" s="318"/>
      <c r="U13431" s="318"/>
      <c r="V13431" s="318"/>
      <c r="W13431" s="318"/>
      <c r="X13431" s="318"/>
      <c r="Y13431" s="318"/>
      <c r="Z13431" s="318"/>
      <c r="AA13431" s="318"/>
      <c r="AB13431" s="318"/>
      <c r="AC13431" s="318"/>
      <c r="AD13431" s="318"/>
    </row>
    <row r="13432" spans="2:30" s="323" customFormat="1" ht="12" customHeight="1">
      <c r="B13432" s="324"/>
      <c r="C13432" s="325"/>
      <c r="D13432" s="326"/>
      <c r="E13432" s="326"/>
      <c r="F13432" s="326"/>
      <c r="G13432" s="326"/>
      <c r="H13432" s="326"/>
      <c r="P13432" s="318"/>
      <c r="Q13432" s="318"/>
      <c r="R13432" s="318"/>
      <c r="S13432" s="318"/>
      <c r="T13432" s="318"/>
      <c r="U13432" s="318"/>
      <c r="V13432" s="318"/>
      <c r="W13432" s="318"/>
      <c r="X13432" s="318"/>
      <c r="Y13432" s="318"/>
      <c r="Z13432" s="318"/>
      <c r="AA13432" s="318"/>
      <c r="AB13432" s="318"/>
      <c r="AC13432" s="318"/>
      <c r="AD13432" s="318"/>
    </row>
    <row r="13433" spans="2:30" s="323" customFormat="1" ht="12" customHeight="1">
      <c r="B13433" s="324"/>
      <c r="C13433" s="325"/>
      <c r="D13433" s="326"/>
      <c r="E13433" s="326"/>
      <c r="F13433" s="326"/>
      <c r="G13433" s="326"/>
      <c r="H13433" s="326"/>
      <c r="P13433" s="318"/>
      <c r="Q13433" s="318"/>
      <c r="R13433" s="318"/>
      <c r="S13433" s="318"/>
      <c r="T13433" s="318"/>
      <c r="U13433" s="318"/>
      <c r="V13433" s="318"/>
      <c r="W13433" s="318"/>
      <c r="X13433" s="318"/>
      <c r="Y13433" s="318"/>
      <c r="Z13433" s="318"/>
      <c r="AA13433" s="318"/>
      <c r="AB13433" s="318"/>
      <c r="AC13433" s="318"/>
      <c r="AD13433" s="318"/>
    </row>
    <row r="13434" spans="2:30" s="323" customFormat="1" ht="12" customHeight="1">
      <c r="B13434" s="324"/>
      <c r="C13434" s="325"/>
      <c r="D13434" s="326"/>
      <c r="E13434" s="326"/>
      <c r="F13434" s="326"/>
      <c r="G13434" s="326"/>
      <c r="H13434" s="326"/>
      <c r="P13434" s="318"/>
      <c r="Q13434" s="318"/>
      <c r="R13434" s="318"/>
      <c r="S13434" s="318"/>
      <c r="T13434" s="318"/>
      <c r="U13434" s="318"/>
      <c r="V13434" s="318"/>
      <c r="W13434" s="318"/>
      <c r="X13434" s="318"/>
      <c r="Y13434" s="318"/>
      <c r="Z13434" s="318"/>
      <c r="AA13434" s="318"/>
      <c r="AB13434" s="318"/>
      <c r="AC13434" s="318"/>
      <c r="AD13434" s="318"/>
    </row>
    <row r="13435" spans="2:30" s="323" customFormat="1" ht="12" customHeight="1">
      <c r="B13435" s="324"/>
      <c r="C13435" s="325"/>
      <c r="D13435" s="326"/>
      <c r="E13435" s="326"/>
      <c r="F13435" s="326"/>
      <c r="G13435" s="326"/>
      <c r="H13435" s="326"/>
      <c r="P13435" s="318"/>
      <c r="Q13435" s="318"/>
      <c r="R13435" s="318"/>
      <c r="S13435" s="318"/>
      <c r="T13435" s="318"/>
      <c r="U13435" s="318"/>
      <c r="V13435" s="318"/>
      <c r="W13435" s="318"/>
      <c r="X13435" s="318"/>
      <c r="Y13435" s="318"/>
      <c r="Z13435" s="318"/>
      <c r="AA13435" s="318"/>
      <c r="AB13435" s="318"/>
      <c r="AC13435" s="318"/>
      <c r="AD13435" s="318"/>
    </row>
    <row r="13436" spans="2:30" s="323" customFormat="1" ht="12" customHeight="1">
      <c r="B13436" s="324"/>
      <c r="C13436" s="325"/>
      <c r="D13436" s="326"/>
      <c r="E13436" s="326"/>
      <c r="F13436" s="326"/>
      <c r="G13436" s="326"/>
      <c r="H13436" s="326"/>
      <c r="P13436" s="318"/>
      <c r="Q13436" s="318"/>
      <c r="R13436" s="318"/>
      <c r="S13436" s="318"/>
      <c r="T13436" s="318"/>
      <c r="U13436" s="318"/>
      <c r="V13436" s="318"/>
      <c r="W13436" s="318"/>
      <c r="X13436" s="318"/>
      <c r="Y13436" s="318"/>
      <c r="Z13436" s="318"/>
      <c r="AA13436" s="318"/>
      <c r="AB13436" s="318"/>
      <c r="AC13436" s="318"/>
      <c r="AD13436" s="318"/>
    </row>
    <row r="13437" spans="2:30" s="323" customFormat="1" ht="12" customHeight="1">
      <c r="B13437" s="324"/>
      <c r="C13437" s="325"/>
      <c r="D13437" s="326"/>
      <c r="E13437" s="326"/>
      <c r="F13437" s="326"/>
      <c r="G13437" s="326"/>
      <c r="H13437" s="326"/>
      <c r="P13437" s="318"/>
      <c r="Q13437" s="318"/>
      <c r="R13437" s="318"/>
      <c r="S13437" s="318"/>
      <c r="T13437" s="318"/>
      <c r="U13437" s="318"/>
      <c r="V13437" s="318"/>
      <c r="W13437" s="318"/>
      <c r="X13437" s="318"/>
      <c r="Y13437" s="318"/>
      <c r="Z13437" s="318"/>
      <c r="AA13437" s="318"/>
      <c r="AB13437" s="318"/>
      <c r="AC13437" s="318"/>
      <c r="AD13437" s="318"/>
    </row>
    <row r="13438" spans="2:30" s="323" customFormat="1" ht="12" customHeight="1">
      <c r="B13438" s="324"/>
      <c r="C13438" s="325"/>
      <c r="D13438" s="326"/>
      <c r="E13438" s="326"/>
      <c r="F13438" s="326"/>
      <c r="G13438" s="326"/>
      <c r="H13438" s="326"/>
      <c r="P13438" s="318"/>
      <c r="Q13438" s="318"/>
      <c r="R13438" s="318"/>
      <c r="S13438" s="318"/>
      <c r="T13438" s="318"/>
      <c r="U13438" s="318"/>
      <c r="V13438" s="318"/>
      <c r="W13438" s="318"/>
      <c r="X13438" s="318"/>
      <c r="Y13438" s="318"/>
      <c r="Z13438" s="318"/>
      <c r="AA13438" s="318"/>
      <c r="AB13438" s="318"/>
      <c r="AC13438" s="318"/>
      <c r="AD13438" s="318"/>
    </row>
    <row r="13439" spans="2:30" s="323" customFormat="1" ht="12" customHeight="1">
      <c r="B13439" s="324"/>
      <c r="C13439" s="325"/>
      <c r="D13439" s="326"/>
      <c r="E13439" s="326"/>
      <c r="F13439" s="326"/>
      <c r="G13439" s="326"/>
      <c r="H13439" s="326"/>
      <c r="P13439" s="318"/>
      <c r="Q13439" s="318"/>
      <c r="R13439" s="318"/>
      <c r="S13439" s="318"/>
      <c r="T13439" s="318"/>
      <c r="U13439" s="318"/>
      <c r="V13439" s="318"/>
      <c r="W13439" s="318"/>
      <c r="X13439" s="318"/>
      <c r="Y13439" s="318"/>
      <c r="Z13439" s="318"/>
      <c r="AA13439" s="318"/>
      <c r="AB13439" s="318"/>
      <c r="AC13439" s="318"/>
      <c r="AD13439" s="318"/>
    </row>
    <row r="13440" spans="2:30" s="323" customFormat="1" ht="12" customHeight="1">
      <c r="B13440" s="324"/>
      <c r="C13440" s="325"/>
      <c r="D13440" s="326"/>
      <c r="E13440" s="326"/>
      <c r="F13440" s="326"/>
      <c r="G13440" s="326"/>
      <c r="H13440" s="326"/>
      <c r="P13440" s="318"/>
      <c r="Q13440" s="318"/>
      <c r="R13440" s="318"/>
      <c r="S13440" s="318"/>
      <c r="T13440" s="318"/>
      <c r="U13440" s="318"/>
      <c r="V13440" s="318"/>
      <c r="W13440" s="318"/>
      <c r="X13440" s="318"/>
      <c r="Y13440" s="318"/>
      <c r="Z13440" s="318"/>
      <c r="AA13440" s="318"/>
      <c r="AB13440" s="318"/>
      <c r="AC13440" s="318"/>
      <c r="AD13440" s="318"/>
    </row>
    <row r="13441" spans="2:30" s="323" customFormat="1" ht="12" customHeight="1">
      <c r="B13441" s="324"/>
      <c r="C13441" s="325"/>
      <c r="D13441" s="326"/>
      <c r="E13441" s="326"/>
      <c r="F13441" s="326"/>
      <c r="G13441" s="326"/>
      <c r="H13441" s="326"/>
      <c r="P13441" s="318"/>
      <c r="Q13441" s="318"/>
      <c r="R13441" s="318"/>
      <c r="S13441" s="318"/>
      <c r="T13441" s="318"/>
      <c r="U13441" s="318"/>
      <c r="V13441" s="318"/>
      <c r="W13441" s="318"/>
      <c r="X13441" s="318"/>
      <c r="Y13441" s="318"/>
      <c r="Z13441" s="318"/>
      <c r="AA13441" s="318"/>
      <c r="AB13441" s="318"/>
      <c r="AC13441" s="318"/>
      <c r="AD13441" s="318"/>
    </row>
    <row r="13442" spans="2:30" s="323" customFormat="1" ht="12" customHeight="1">
      <c r="B13442" s="324"/>
      <c r="C13442" s="325"/>
      <c r="D13442" s="326"/>
      <c r="E13442" s="326"/>
      <c r="F13442" s="326"/>
      <c r="G13442" s="326"/>
      <c r="H13442" s="326"/>
      <c r="P13442" s="318"/>
      <c r="Q13442" s="318"/>
      <c r="R13442" s="318"/>
      <c r="S13442" s="318"/>
      <c r="T13442" s="318"/>
      <c r="U13442" s="318"/>
      <c r="V13442" s="318"/>
      <c r="W13442" s="318"/>
      <c r="X13442" s="318"/>
      <c r="Y13442" s="318"/>
      <c r="Z13442" s="318"/>
      <c r="AA13442" s="318"/>
      <c r="AB13442" s="318"/>
      <c r="AC13442" s="318"/>
      <c r="AD13442" s="318"/>
    </row>
    <row r="13443" spans="2:30" s="323" customFormat="1" ht="12" customHeight="1">
      <c r="B13443" s="324"/>
      <c r="C13443" s="325"/>
      <c r="D13443" s="326"/>
      <c r="E13443" s="326"/>
      <c r="F13443" s="326"/>
      <c r="G13443" s="326"/>
      <c r="H13443" s="326"/>
      <c r="P13443" s="318"/>
      <c r="Q13443" s="318"/>
      <c r="R13443" s="318"/>
      <c r="S13443" s="318"/>
      <c r="T13443" s="318"/>
      <c r="U13443" s="318"/>
      <c r="V13443" s="318"/>
      <c r="W13443" s="318"/>
      <c r="X13443" s="318"/>
      <c r="Y13443" s="318"/>
      <c r="Z13443" s="318"/>
      <c r="AA13443" s="318"/>
      <c r="AB13443" s="318"/>
      <c r="AC13443" s="318"/>
      <c r="AD13443" s="318"/>
    </row>
    <row r="13444" spans="2:30" s="323" customFormat="1" ht="12" customHeight="1">
      <c r="B13444" s="324"/>
      <c r="C13444" s="325"/>
      <c r="D13444" s="326"/>
      <c r="E13444" s="326"/>
      <c r="F13444" s="326"/>
      <c r="G13444" s="326"/>
      <c r="H13444" s="326"/>
      <c r="P13444" s="318"/>
      <c r="Q13444" s="318"/>
      <c r="R13444" s="318"/>
      <c r="S13444" s="318"/>
      <c r="T13444" s="318"/>
      <c r="U13444" s="318"/>
      <c r="V13444" s="318"/>
      <c r="W13444" s="318"/>
      <c r="X13444" s="318"/>
      <c r="Y13444" s="318"/>
      <c r="Z13444" s="318"/>
      <c r="AA13444" s="318"/>
      <c r="AB13444" s="318"/>
      <c r="AC13444" s="318"/>
      <c r="AD13444" s="318"/>
    </row>
    <row r="13445" spans="2:30" s="323" customFormat="1" ht="12" customHeight="1">
      <c r="B13445" s="324"/>
      <c r="C13445" s="325"/>
      <c r="D13445" s="326"/>
      <c r="E13445" s="326"/>
      <c r="F13445" s="326"/>
      <c r="G13445" s="326"/>
      <c r="H13445" s="326"/>
      <c r="P13445" s="318"/>
      <c r="Q13445" s="318"/>
      <c r="R13445" s="318"/>
      <c r="S13445" s="318"/>
      <c r="T13445" s="318"/>
      <c r="U13445" s="318"/>
      <c r="V13445" s="318"/>
      <c r="W13445" s="318"/>
      <c r="X13445" s="318"/>
      <c r="Y13445" s="318"/>
      <c r="Z13445" s="318"/>
      <c r="AA13445" s="318"/>
      <c r="AB13445" s="318"/>
      <c r="AC13445" s="318"/>
      <c r="AD13445" s="318"/>
    </row>
    <row r="13446" spans="2:30" s="323" customFormat="1" ht="12" customHeight="1">
      <c r="B13446" s="324"/>
      <c r="C13446" s="325"/>
      <c r="D13446" s="326"/>
      <c r="E13446" s="326"/>
      <c r="F13446" s="326"/>
      <c r="G13446" s="326"/>
      <c r="H13446" s="326"/>
      <c r="P13446" s="318"/>
      <c r="Q13446" s="318"/>
      <c r="R13446" s="318"/>
      <c r="S13446" s="318"/>
      <c r="T13446" s="318"/>
      <c r="U13446" s="318"/>
      <c r="V13446" s="318"/>
      <c r="W13446" s="318"/>
      <c r="X13446" s="318"/>
      <c r="Y13446" s="318"/>
      <c r="Z13446" s="318"/>
      <c r="AA13446" s="318"/>
      <c r="AB13446" s="318"/>
      <c r="AC13446" s="318"/>
      <c r="AD13446" s="318"/>
    </row>
    <row r="13447" spans="2:30" s="323" customFormat="1" ht="12" customHeight="1">
      <c r="B13447" s="324"/>
      <c r="C13447" s="325"/>
      <c r="D13447" s="326"/>
      <c r="E13447" s="326"/>
      <c r="F13447" s="326"/>
      <c r="G13447" s="326"/>
      <c r="H13447" s="326"/>
      <c r="P13447" s="318"/>
      <c r="Q13447" s="318"/>
      <c r="R13447" s="318"/>
      <c r="S13447" s="318"/>
      <c r="T13447" s="318"/>
      <c r="U13447" s="318"/>
      <c r="V13447" s="318"/>
      <c r="W13447" s="318"/>
      <c r="X13447" s="318"/>
      <c r="Y13447" s="318"/>
      <c r="Z13447" s="318"/>
      <c r="AA13447" s="318"/>
      <c r="AB13447" s="318"/>
      <c r="AC13447" s="318"/>
      <c r="AD13447" s="318"/>
    </row>
    <row r="13448" spans="2:30" s="323" customFormat="1" ht="12" customHeight="1">
      <c r="B13448" s="324"/>
      <c r="C13448" s="325"/>
      <c r="D13448" s="326"/>
      <c r="E13448" s="326"/>
      <c r="F13448" s="326"/>
      <c r="G13448" s="326"/>
      <c r="H13448" s="326"/>
      <c r="P13448" s="318"/>
      <c r="Q13448" s="318"/>
      <c r="R13448" s="318"/>
      <c r="S13448" s="318"/>
      <c r="T13448" s="318"/>
      <c r="U13448" s="318"/>
      <c r="V13448" s="318"/>
      <c r="W13448" s="318"/>
      <c r="X13448" s="318"/>
      <c r="Y13448" s="318"/>
      <c r="Z13448" s="318"/>
      <c r="AA13448" s="318"/>
      <c r="AB13448" s="318"/>
      <c r="AC13448" s="318"/>
      <c r="AD13448" s="318"/>
    </row>
    <row r="13449" spans="2:30" s="323" customFormat="1" ht="12" customHeight="1">
      <c r="B13449" s="324"/>
      <c r="C13449" s="325"/>
      <c r="D13449" s="326"/>
      <c r="E13449" s="326"/>
      <c r="F13449" s="326"/>
      <c r="G13449" s="326"/>
      <c r="H13449" s="326"/>
      <c r="P13449" s="318"/>
      <c r="Q13449" s="318"/>
      <c r="R13449" s="318"/>
      <c r="S13449" s="318"/>
      <c r="T13449" s="318"/>
      <c r="U13449" s="318"/>
      <c r="V13449" s="318"/>
      <c r="W13449" s="318"/>
      <c r="X13449" s="318"/>
      <c r="Y13449" s="318"/>
      <c r="Z13449" s="318"/>
      <c r="AA13449" s="318"/>
      <c r="AB13449" s="318"/>
      <c r="AC13449" s="318"/>
      <c r="AD13449" s="318"/>
    </row>
    <row r="13450" spans="2:30" s="323" customFormat="1" ht="12" customHeight="1">
      <c r="B13450" s="324"/>
      <c r="C13450" s="325"/>
      <c r="D13450" s="326"/>
      <c r="E13450" s="326"/>
      <c r="F13450" s="326"/>
      <c r="G13450" s="326"/>
      <c r="H13450" s="326"/>
      <c r="P13450" s="318"/>
      <c r="Q13450" s="318"/>
      <c r="R13450" s="318"/>
      <c r="S13450" s="318"/>
      <c r="T13450" s="318"/>
      <c r="U13450" s="318"/>
      <c r="V13450" s="318"/>
      <c r="W13450" s="318"/>
      <c r="X13450" s="318"/>
      <c r="Y13450" s="318"/>
      <c r="Z13450" s="318"/>
      <c r="AA13450" s="318"/>
      <c r="AB13450" s="318"/>
      <c r="AC13450" s="318"/>
      <c r="AD13450" s="318"/>
    </row>
    <row r="13451" spans="2:30" s="323" customFormat="1" ht="12" customHeight="1">
      <c r="B13451" s="324"/>
      <c r="C13451" s="325"/>
      <c r="D13451" s="326"/>
      <c r="E13451" s="326"/>
      <c r="F13451" s="326"/>
      <c r="G13451" s="326"/>
      <c r="H13451" s="326"/>
      <c r="P13451" s="318"/>
      <c r="Q13451" s="318"/>
      <c r="R13451" s="318"/>
      <c r="S13451" s="318"/>
      <c r="T13451" s="318"/>
      <c r="U13451" s="318"/>
      <c r="V13451" s="318"/>
      <c r="W13451" s="318"/>
      <c r="X13451" s="318"/>
      <c r="Y13451" s="318"/>
      <c r="Z13451" s="318"/>
      <c r="AA13451" s="318"/>
      <c r="AB13451" s="318"/>
      <c r="AC13451" s="318"/>
      <c r="AD13451" s="318"/>
    </row>
    <row r="13452" spans="2:30" s="323" customFormat="1" ht="12" customHeight="1">
      <c r="B13452" s="324"/>
      <c r="C13452" s="325"/>
      <c r="D13452" s="326"/>
      <c r="E13452" s="326"/>
      <c r="F13452" s="326"/>
      <c r="G13452" s="326"/>
      <c r="H13452" s="326"/>
      <c r="P13452" s="318"/>
      <c r="Q13452" s="318"/>
      <c r="R13452" s="318"/>
      <c r="S13452" s="318"/>
      <c r="T13452" s="318"/>
      <c r="U13452" s="318"/>
      <c r="V13452" s="318"/>
      <c r="W13452" s="318"/>
      <c r="X13452" s="318"/>
      <c r="Y13452" s="318"/>
      <c r="Z13452" s="318"/>
      <c r="AA13452" s="318"/>
      <c r="AB13452" s="318"/>
      <c r="AC13452" s="318"/>
      <c r="AD13452" s="318"/>
    </row>
    <row r="13453" spans="2:30" s="323" customFormat="1" ht="12" customHeight="1">
      <c r="B13453" s="324"/>
      <c r="C13453" s="325"/>
      <c r="D13453" s="326"/>
      <c r="E13453" s="326"/>
      <c r="F13453" s="326"/>
      <c r="G13453" s="326"/>
      <c r="H13453" s="326"/>
      <c r="P13453" s="318"/>
      <c r="Q13453" s="318"/>
      <c r="R13453" s="318"/>
      <c r="S13453" s="318"/>
      <c r="T13453" s="318"/>
      <c r="U13453" s="318"/>
      <c r="V13453" s="318"/>
      <c r="W13453" s="318"/>
      <c r="X13453" s="318"/>
      <c r="Y13453" s="318"/>
      <c r="Z13453" s="318"/>
      <c r="AA13453" s="318"/>
      <c r="AB13453" s="318"/>
      <c r="AC13453" s="318"/>
      <c r="AD13453" s="318"/>
    </row>
    <row r="13454" spans="2:30" s="323" customFormat="1" ht="12" customHeight="1">
      <c r="B13454" s="324"/>
      <c r="C13454" s="325"/>
      <c r="D13454" s="326"/>
      <c r="E13454" s="326"/>
      <c r="F13454" s="326"/>
      <c r="G13454" s="326"/>
      <c r="H13454" s="326"/>
      <c r="P13454" s="318"/>
      <c r="Q13454" s="318"/>
      <c r="R13454" s="318"/>
      <c r="S13454" s="318"/>
      <c r="T13454" s="318"/>
      <c r="U13454" s="318"/>
      <c r="V13454" s="318"/>
      <c r="W13454" s="318"/>
      <c r="X13454" s="318"/>
      <c r="Y13454" s="318"/>
      <c r="Z13454" s="318"/>
      <c r="AA13454" s="318"/>
      <c r="AB13454" s="318"/>
      <c r="AC13454" s="318"/>
      <c r="AD13454" s="318"/>
    </row>
    <row r="13455" spans="2:30" s="323" customFormat="1" ht="12" customHeight="1">
      <c r="B13455" s="324"/>
      <c r="C13455" s="325"/>
      <c r="D13455" s="326"/>
      <c r="E13455" s="326"/>
      <c r="F13455" s="326"/>
      <c r="G13455" s="326"/>
      <c r="H13455" s="326"/>
      <c r="P13455" s="318"/>
      <c r="Q13455" s="318"/>
      <c r="R13455" s="318"/>
      <c r="S13455" s="318"/>
      <c r="T13455" s="318"/>
      <c r="U13455" s="318"/>
      <c r="V13455" s="318"/>
      <c r="W13455" s="318"/>
      <c r="X13455" s="318"/>
      <c r="Y13455" s="318"/>
      <c r="Z13455" s="318"/>
      <c r="AA13455" s="318"/>
      <c r="AB13455" s="318"/>
      <c r="AC13455" s="318"/>
      <c r="AD13455" s="318"/>
    </row>
    <row r="13456" spans="2:30" s="323" customFormat="1" ht="12" customHeight="1">
      <c r="B13456" s="324"/>
      <c r="C13456" s="325"/>
      <c r="D13456" s="326"/>
      <c r="E13456" s="326"/>
      <c r="F13456" s="326"/>
      <c r="G13456" s="326"/>
      <c r="H13456" s="326"/>
      <c r="P13456" s="318"/>
      <c r="Q13456" s="318"/>
      <c r="R13456" s="318"/>
      <c r="S13456" s="318"/>
      <c r="T13456" s="318"/>
      <c r="U13456" s="318"/>
      <c r="V13456" s="318"/>
      <c r="W13456" s="318"/>
      <c r="X13456" s="318"/>
      <c r="Y13456" s="318"/>
      <c r="Z13456" s="318"/>
      <c r="AA13456" s="318"/>
      <c r="AB13456" s="318"/>
      <c r="AC13456" s="318"/>
      <c r="AD13456" s="318"/>
    </row>
    <row r="13457" spans="2:30" s="323" customFormat="1" ht="12" customHeight="1">
      <c r="B13457" s="324"/>
      <c r="C13457" s="325"/>
      <c r="D13457" s="326"/>
      <c r="E13457" s="326"/>
      <c r="F13457" s="326"/>
      <c r="G13457" s="326"/>
      <c r="H13457" s="326"/>
      <c r="P13457" s="318"/>
      <c r="Q13457" s="318"/>
      <c r="R13457" s="318"/>
      <c r="S13457" s="318"/>
      <c r="T13457" s="318"/>
      <c r="U13457" s="318"/>
      <c r="V13457" s="318"/>
      <c r="W13457" s="318"/>
      <c r="X13457" s="318"/>
      <c r="Y13457" s="318"/>
      <c r="Z13457" s="318"/>
      <c r="AA13457" s="318"/>
      <c r="AB13457" s="318"/>
      <c r="AC13457" s="318"/>
      <c r="AD13457" s="318"/>
    </row>
    <row r="13458" spans="2:30" s="323" customFormat="1" ht="12" customHeight="1">
      <c r="B13458" s="324"/>
      <c r="C13458" s="325"/>
      <c r="D13458" s="326"/>
      <c r="E13458" s="326"/>
      <c r="F13458" s="326"/>
      <c r="G13458" s="326"/>
      <c r="H13458" s="326"/>
      <c r="P13458" s="318"/>
      <c r="Q13458" s="318"/>
      <c r="R13458" s="318"/>
      <c r="S13458" s="318"/>
      <c r="T13458" s="318"/>
      <c r="U13458" s="318"/>
      <c r="V13458" s="318"/>
      <c r="W13458" s="318"/>
      <c r="X13458" s="318"/>
      <c r="Y13458" s="318"/>
      <c r="Z13458" s="318"/>
      <c r="AA13458" s="318"/>
      <c r="AB13458" s="318"/>
      <c r="AC13458" s="318"/>
      <c r="AD13458" s="318"/>
    </row>
    <row r="13459" spans="2:30" s="323" customFormat="1" ht="12" customHeight="1">
      <c r="B13459" s="324"/>
      <c r="C13459" s="325"/>
      <c r="D13459" s="326"/>
      <c r="E13459" s="326"/>
      <c r="F13459" s="326"/>
      <c r="G13459" s="326"/>
      <c r="H13459" s="326"/>
      <c r="P13459" s="318"/>
      <c r="Q13459" s="318"/>
      <c r="R13459" s="318"/>
      <c r="S13459" s="318"/>
      <c r="T13459" s="318"/>
      <c r="U13459" s="318"/>
      <c r="V13459" s="318"/>
      <c r="W13459" s="318"/>
      <c r="X13459" s="318"/>
      <c r="Y13459" s="318"/>
      <c r="Z13459" s="318"/>
      <c r="AA13459" s="318"/>
      <c r="AB13459" s="318"/>
      <c r="AC13459" s="318"/>
      <c r="AD13459" s="318"/>
    </row>
    <row r="13460" spans="2:30" s="323" customFormat="1" ht="12" customHeight="1">
      <c r="B13460" s="324"/>
      <c r="C13460" s="325"/>
      <c r="D13460" s="326"/>
      <c r="E13460" s="326"/>
      <c r="F13460" s="326"/>
      <c r="G13460" s="326"/>
      <c r="H13460" s="326"/>
      <c r="P13460" s="318"/>
      <c r="Q13460" s="318"/>
      <c r="R13460" s="318"/>
      <c r="S13460" s="318"/>
      <c r="T13460" s="318"/>
      <c r="U13460" s="318"/>
      <c r="V13460" s="318"/>
      <c r="W13460" s="318"/>
      <c r="X13460" s="318"/>
      <c r="Y13460" s="318"/>
      <c r="Z13460" s="318"/>
      <c r="AA13460" s="318"/>
      <c r="AB13460" s="318"/>
      <c r="AC13460" s="318"/>
      <c r="AD13460" s="318"/>
    </row>
    <row r="13461" spans="2:30" s="323" customFormat="1" ht="12" customHeight="1">
      <c r="B13461" s="324"/>
      <c r="C13461" s="325"/>
      <c r="D13461" s="326"/>
      <c r="E13461" s="326"/>
      <c r="F13461" s="326"/>
      <c r="G13461" s="326"/>
      <c r="H13461" s="326"/>
      <c r="P13461" s="318"/>
      <c r="Q13461" s="318"/>
      <c r="R13461" s="318"/>
      <c r="S13461" s="318"/>
      <c r="T13461" s="318"/>
      <c r="U13461" s="318"/>
      <c r="V13461" s="318"/>
      <c r="W13461" s="318"/>
      <c r="X13461" s="318"/>
      <c r="Y13461" s="318"/>
      <c r="Z13461" s="318"/>
      <c r="AA13461" s="318"/>
      <c r="AB13461" s="318"/>
      <c r="AC13461" s="318"/>
      <c r="AD13461" s="318"/>
    </row>
    <row r="13462" spans="2:30" s="323" customFormat="1" ht="12" customHeight="1">
      <c r="B13462" s="324"/>
      <c r="C13462" s="325"/>
      <c r="D13462" s="326"/>
      <c r="E13462" s="326"/>
      <c r="F13462" s="326"/>
      <c r="G13462" s="326"/>
      <c r="H13462" s="326"/>
      <c r="P13462" s="318"/>
      <c r="Q13462" s="318"/>
      <c r="R13462" s="318"/>
      <c r="S13462" s="318"/>
      <c r="T13462" s="318"/>
      <c r="U13462" s="318"/>
      <c r="V13462" s="318"/>
      <c r="W13462" s="318"/>
      <c r="X13462" s="318"/>
      <c r="Y13462" s="318"/>
      <c r="Z13462" s="318"/>
      <c r="AA13462" s="318"/>
      <c r="AB13462" s="318"/>
      <c r="AC13462" s="318"/>
      <c r="AD13462" s="318"/>
    </row>
    <row r="13463" spans="2:30" s="323" customFormat="1" ht="12" customHeight="1">
      <c r="B13463" s="324"/>
      <c r="C13463" s="325"/>
      <c r="D13463" s="326"/>
      <c r="E13463" s="326"/>
      <c r="F13463" s="326"/>
      <c r="G13463" s="326"/>
      <c r="H13463" s="326"/>
      <c r="P13463" s="318"/>
      <c r="Q13463" s="318"/>
      <c r="R13463" s="318"/>
      <c r="S13463" s="318"/>
      <c r="T13463" s="318"/>
      <c r="U13463" s="318"/>
      <c r="V13463" s="318"/>
      <c r="W13463" s="318"/>
      <c r="X13463" s="318"/>
      <c r="Y13463" s="318"/>
      <c r="Z13463" s="318"/>
      <c r="AA13463" s="318"/>
      <c r="AB13463" s="318"/>
      <c r="AC13463" s="318"/>
      <c r="AD13463" s="318"/>
    </row>
    <row r="13464" spans="2:30" s="323" customFormat="1" ht="12" customHeight="1">
      <c r="B13464" s="324"/>
      <c r="C13464" s="325"/>
      <c r="D13464" s="326"/>
      <c r="E13464" s="326"/>
      <c r="F13464" s="326"/>
      <c r="G13464" s="326"/>
      <c r="H13464" s="326"/>
      <c r="P13464" s="318"/>
      <c r="Q13464" s="318"/>
      <c r="R13464" s="318"/>
      <c r="S13464" s="318"/>
      <c r="T13464" s="318"/>
      <c r="U13464" s="318"/>
      <c r="V13464" s="318"/>
      <c r="W13464" s="318"/>
      <c r="X13464" s="318"/>
      <c r="Y13464" s="318"/>
      <c r="Z13464" s="318"/>
      <c r="AA13464" s="318"/>
      <c r="AB13464" s="318"/>
      <c r="AC13464" s="318"/>
      <c r="AD13464" s="318"/>
    </row>
    <row r="13465" spans="2:30" s="323" customFormat="1" ht="12" customHeight="1">
      <c r="B13465" s="324"/>
      <c r="C13465" s="325"/>
      <c r="D13465" s="326"/>
      <c r="E13465" s="326"/>
      <c r="F13465" s="326"/>
      <c r="G13465" s="326"/>
      <c r="H13465" s="326"/>
      <c r="P13465" s="318"/>
      <c r="Q13465" s="318"/>
      <c r="R13465" s="318"/>
      <c r="S13465" s="318"/>
      <c r="T13465" s="318"/>
      <c r="U13465" s="318"/>
      <c r="V13465" s="318"/>
      <c r="W13465" s="318"/>
      <c r="X13465" s="318"/>
      <c r="Y13465" s="318"/>
      <c r="Z13465" s="318"/>
      <c r="AA13465" s="318"/>
      <c r="AB13465" s="318"/>
      <c r="AC13465" s="318"/>
      <c r="AD13465" s="318"/>
    </row>
    <row r="13466" spans="2:30" s="323" customFormat="1" ht="12" customHeight="1">
      <c r="B13466" s="324"/>
      <c r="C13466" s="325"/>
      <c r="D13466" s="326"/>
      <c r="E13466" s="326"/>
      <c r="F13466" s="326"/>
      <c r="G13466" s="326"/>
      <c r="H13466" s="326"/>
      <c r="P13466" s="318"/>
      <c r="Q13466" s="318"/>
      <c r="R13466" s="318"/>
      <c r="S13466" s="318"/>
      <c r="T13466" s="318"/>
      <c r="U13466" s="318"/>
      <c r="V13466" s="318"/>
      <c r="W13466" s="318"/>
      <c r="X13466" s="318"/>
      <c r="Y13466" s="318"/>
      <c r="Z13466" s="318"/>
      <c r="AA13466" s="318"/>
      <c r="AB13466" s="318"/>
      <c r="AC13466" s="318"/>
      <c r="AD13466" s="318"/>
    </row>
    <row r="13467" spans="2:30" s="323" customFormat="1" ht="12" customHeight="1">
      <c r="B13467" s="324"/>
      <c r="C13467" s="325"/>
      <c r="D13467" s="326"/>
      <c r="E13467" s="326"/>
      <c r="F13467" s="326"/>
      <c r="G13467" s="326"/>
      <c r="H13467" s="326"/>
      <c r="P13467" s="318"/>
      <c r="Q13467" s="318"/>
      <c r="R13467" s="318"/>
      <c r="S13467" s="318"/>
      <c r="T13467" s="318"/>
      <c r="U13467" s="318"/>
      <c r="V13467" s="318"/>
      <c r="W13467" s="318"/>
      <c r="X13467" s="318"/>
      <c r="Y13467" s="318"/>
      <c r="Z13467" s="318"/>
      <c r="AA13467" s="318"/>
      <c r="AB13467" s="318"/>
      <c r="AC13467" s="318"/>
      <c r="AD13467" s="318"/>
    </row>
    <row r="13468" spans="2:30" s="323" customFormat="1" ht="12" customHeight="1">
      <c r="B13468" s="324"/>
      <c r="C13468" s="325"/>
      <c r="D13468" s="326"/>
      <c r="E13468" s="326"/>
      <c r="F13468" s="326"/>
      <c r="G13468" s="326"/>
      <c r="H13468" s="326"/>
      <c r="P13468" s="318"/>
      <c r="Q13468" s="318"/>
      <c r="R13468" s="318"/>
      <c r="S13468" s="318"/>
      <c r="T13468" s="318"/>
      <c r="U13468" s="318"/>
      <c r="V13468" s="318"/>
      <c r="W13468" s="318"/>
      <c r="X13468" s="318"/>
      <c r="Y13468" s="318"/>
      <c r="Z13468" s="318"/>
      <c r="AA13468" s="318"/>
      <c r="AB13468" s="318"/>
      <c r="AC13468" s="318"/>
      <c r="AD13468" s="318"/>
    </row>
    <row r="13469" spans="2:30" s="323" customFormat="1" ht="12" customHeight="1">
      <c r="B13469" s="324"/>
      <c r="C13469" s="325"/>
      <c r="D13469" s="326"/>
      <c r="E13469" s="326"/>
      <c r="F13469" s="326"/>
      <c r="G13469" s="326"/>
      <c r="H13469" s="326"/>
      <c r="P13469" s="318"/>
      <c r="Q13469" s="318"/>
      <c r="R13469" s="318"/>
      <c r="S13469" s="318"/>
      <c r="T13469" s="318"/>
      <c r="U13469" s="318"/>
      <c r="V13469" s="318"/>
      <c r="W13469" s="318"/>
      <c r="X13469" s="318"/>
      <c r="Y13469" s="318"/>
      <c r="Z13469" s="318"/>
      <c r="AA13469" s="318"/>
      <c r="AB13469" s="318"/>
      <c r="AC13469" s="318"/>
      <c r="AD13469" s="318"/>
    </row>
    <row r="13470" spans="2:30" s="323" customFormat="1" ht="12" customHeight="1">
      <c r="B13470" s="324"/>
      <c r="C13470" s="325"/>
      <c r="D13470" s="326"/>
      <c r="E13470" s="326"/>
      <c r="F13470" s="326"/>
      <c r="G13470" s="326"/>
      <c r="H13470" s="326"/>
      <c r="P13470" s="318"/>
      <c r="Q13470" s="318"/>
      <c r="R13470" s="318"/>
      <c r="S13470" s="318"/>
      <c r="T13470" s="318"/>
      <c r="U13470" s="318"/>
      <c r="V13470" s="318"/>
      <c r="W13470" s="318"/>
      <c r="X13470" s="318"/>
      <c r="Y13470" s="318"/>
      <c r="Z13470" s="318"/>
      <c r="AA13470" s="318"/>
      <c r="AB13470" s="318"/>
      <c r="AC13470" s="318"/>
      <c r="AD13470" s="318"/>
    </row>
    <row r="13471" spans="2:30" s="323" customFormat="1" ht="12" customHeight="1">
      <c r="B13471" s="324"/>
      <c r="C13471" s="325"/>
      <c r="D13471" s="326"/>
      <c r="E13471" s="326"/>
      <c r="F13471" s="326"/>
      <c r="G13471" s="326"/>
      <c r="H13471" s="326"/>
      <c r="P13471" s="318"/>
      <c r="Q13471" s="318"/>
      <c r="R13471" s="318"/>
      <c r="S13471" s="318"/>
      <c r="T13471" s="318"/>
      <c r="U13471" s="318"/>
      <c r="V13471" s="318"/>
      <c r="W13471" s="318"/>
      <c r="X13471" s="318"/>
      <c r="Y13471" s="318"/>
      <c r="Z13471" s="318"/>
      <c r="AA13471" s="318"/>
      <c r="AB13471" s="318"/>
      <c r="AC13471" s="318"/>
      <c r="AD13471" s="318"/>
    </row>
    <row r="13472" spans="2:30" s="323" customFormat="1" ht="12" customHeight="1">
      <c r="B13472" s="324"/>
      <c r="C13472" s="325"/>
      <c r="D13472" s="326"/>
      <c r="E13472" s="326"/>
      <c r="F13472" s="326"/>
      <c r="G13472" s="326"/>
      <c r="H13472" s="326"/>
      <c r="P13472" s="318"/>
      <c r="Q13472" s="318"/>
      <c r="R13472" s="318"/>
      <c r="S13472" s="318"/>
      <c r="T13472" s="318"/>
      <c r="U13472" s="318"/>
      <c r="V13472" s="318"/>
      <c r="W13472" s="318"/>
      <c r="X13472" s="318"/>
      <c r="Y13472" s="318"/>
      <c r="Z13472" s="318"/>
      <c r="AA13472" s="318"/>
      <c r="AB13472" s="318"/>
      <c r="AC13472" s="318"/>
      <c r="AD13472" s="318"/>
    </row>
    <row r="13473" spans="2:30" s="323" customFormat="1" ht="12" customHeight="1">
      <c r="B13473" s="324"/>
      <c r="C13473" s="325"/>
      <c r="D13473" s="326"/>
      <c r="E13473" s="326"/>
      <c r="F13473" s="326"/>
      <c r="G13473" s="326"/>
      <c r="H13473" s="326"/>
      <c r="P13473" s="318"/>
      <c r="Q13473" s="318"/>
      <c r="R13473" s="318"/>
      <c r="S13473" s="318"/>
      <c r="T13473" s="318"/>
      <c r="U13473" s="318"/>
      <c r="V13473" s="318"/>
      <c r="W13473" s="318"/>
      <c r="X13473" s="318"/>
      <c r="Y13473" s="318"/>
      <c r="Z13473" s="318"/>
      <c r="AA13473" s="318"/>
      <c r="AB13473" s="318"/>
      <c r="AC13473" s="318"/>
      <c r="AD13473" s="318"/>
    </row>
    <row r="13474" spans="2:30" s="323" customFormat="1" ht="12" customHeight="1">
      <c r="B13474" s="324"/>
      <c r="C13474" s="325"/>
      <c r="D13474" s="326"/>
      <c r="E13474" s="326"/>
      <c r="F13474" s="326"/>
      <c r="G13474" s="326"/>
      <c r="H13474" s="326"/>
      <c r="P13474" s="318"/>
      <c r="Q13474" s="318"/>
      <c r="R13474" s="318"/>
      <c r="S13474" s="318"/>
      <c r="T13474" s="318"/>
      <c r="U13474" s="318"/>
      <c r="V13474" s="318"/>
      <c r="W13474" s="318"/>
      <c r="X13474" s="318"/>
      <c r="Y13474" s="318"/>
      <c r="Z13474" s="318"/>
      <c r="AA13474" s="318"/>
      <c r="AB13474" s="318"/>
      <c r="AC13474" s="318"/>
      <c r="AD13474" s="318"/>
    </row>
    <row r="13475" spans="2:30" s="323" customFormat="1" ht="12" customHeight="1">
      <c r="B13475" s="324"/>
      <c r="C13475" s="325"/>
      <c r="D13475" s="326"/>
      <c r="E13475" s="326"/>
      <c r="F13475" s="326"/>
      <c r="G13475" s="326"/>
      <c r="H13475" s="326"/>
      <c r="P13475" s="318"/>
      <c r="Q13475" s="318"/>
      <c r="R13475" s="318"/>
      <c r="S13475" s="318"/>
      <c r="T13475" s="318"/>
      <c r="U13475" s="318"/>
      <c r="V13475" s="318"/>
      <c r="W13475" s="318"/>
      <c r="X13475" s="318"/>
      <c r="Y13475" s="318"/>
      <c r="Z13475" s="318"/>
      <c r="AA13475" s="318"/>
      <c r="AB13475" s="318"/>
      <c r="AC13475" s="318"/>
      <c r="AD13475" s="318"/>
    </row>
    <row r="13476" spans="2:30" s="323" customFormat="1" ht="12" customHeight="1">
      <c r="B13476" s="324"/>
      <c r="C13476" s="325"/>
      <c r="D13476" s="326"/>
      <c r="E13476" s="326"/>
      <c r="F13476" s="326"/>
      <c r="G13476" s="326"/>
      <c r="H13476" s="326"/>
      <c r="P13476" s="318"/>
      <c r="Q13476" s="318"/>
      <c r="R13476" s="318"/>
      <c r="S13476" s="318"/>
      <c r="T13476" s="318"/>
      <c r="U13476" s="318"/>
      <c r="V13476" s="318"/>
      <c r="W13476" s="318"/>
      <c r="X13476" s="318"/>
      <c r="Y13476" s="318"/>
      <c r="Z13476" s="318"/>
      <c r="AA13476" s="318"/>
      <c r="AB13476" s="318"/>
      <c r="AC13476" s="318"/>
      <c r="AD13476" s="318"/>
    </row>
    <row r="13477" spans="2:30" s="323" customFormat="1" ht="12" customHeight="1">
      <c r="B13477" s="324"/>
      <c r="C13477" s="325"/>
      <c r="D13477" s="326"/>
      <c r="E13477" s="326"/>
      <c r="F13477" s="326"/>
      <c r="G13477" s="326"/>
      <c r="H13477" s="326"/>
      <c r="P13477" s="318"/>
      <c r="Q13477" s="318"/>
      <c r="R13477" s="318"/>
      <c r="S13477" s="318"/>
      <c r="T13477" s="318"/>
      <c r="U13477" s="318"/>
      <c r="V13477" s="318"/>
      <c r="W13477" s="318"/>
      <c r="X13477" s="318"/>
      <c r="Y13477" s="318"/>
      <c r="Z13477" s="318"/>
      <c r="AA13477" s="318"/>
      <c r="AB13477" s="318"/>
      <c r="AC13477" s="318"/>
      <c r="AD13477" s="318"/>
    </row>
    <row r="13478" spans="2:30" s="323" customFormat="1" ht="12" customHeight="1">
      <c r="B13478" s="324"/>
      <c r="C13478" s="325"/>
      <c r="D13478" s="326"/>
      <c r="E13478" s="326"/>
      <c r="F13478" s="326"/>
      <c r="G13478" s="326"/>
      <c r="H13478" s="326"/>
      <c r="P13478" s="318"/>
      <c r="Q13478" s="318"/>
      <c r="R13478" s="318"/>
      <c r="S13478" s="318"/>
      <c r="T13478" s="318"/>
      <c r="U13478" s="318"/>
      <c r="V13478" s="318"/>
      <c r="W13478" s="318"/>
      <c r="X13478" s="318"/>
      <c r="Y13478" s="318"/>
      <c r="Z13478" s="318"/>
      <c r="AA13478" s="318"/>
      <c r="AB13478" s="318"/>
      <c r="AC13478" s="318"/>
      <c r="AD13478" s="318"/>
    </row>
    <row r="13479" spans="2:30" s="323" customFormat="1" ht="12" customHeight="1">
      <c r="B13479" s="324"/>
      <c r="C13479" s="325"/>
      <c r="D13479" s="326"/>
      <c r="E13479" s="326"/>
      <c r="F13479" s="326"/>
      <c r="G13479" s="326"/>
      <c r="H13479" s="326"/>
      <c r="P13479" s="318"/>
      <c r="Q13479" s="318"/>
      <c r="R13479" s="318"/>
      <c r="S13479" s="318"/>
      <c r="T13479" s="318"/>
      <c r="U13479" s="318"/>
      <c r="V13479" s="318"/>
      <c r="W13479" s="318"/>
      <c r="X13479" s="318"/>
      <c r="Y13479" s="318"/>
      <c r="Z13479" s="318"/>
      <c r="AA13479" s="318"/>
      <c r="AB13479" s="318"/>
      <c r="AC13479" s="318"/>
      <c r="AD13479" s="318"/>
    </row>
    <row r="13480" spans="2:30" s="323" customFormat="1" ht="12" customHeight="1">
      <c r="B13480" s="324"/>
      <c r="C13480" s="325"/>
      <c r="D13480" s="326"/>
      <c r="E13480" s="326"/>
      <c r="F13480" s="326"/>
      <c r="G13480" s="326"/>
      <c r="H13480" s="326"/>
      <c r="P13480" s="318"/>
      <c r="Q13480" s="318"/>
      <c r="R13480" s="318"/>
      <c r="S13480" s="318"/>
      <c r="T13480" s="318"/>
      <c r="U13480" s="318"/>
      <c r="V13480" s="318"/>
      <c r="W13480" s="318"/>
      <c r="X13480" s="318"/>
      <c r="Y13480" s="318"/>
      <c r="Z13480" s="318"/>
      <c r="AA13480" s="318"/>
      <c r="AB13480" s="318"/>
      <c r="AC13480" s="318"/>
      <c r="AD13480" s="318"/>
    </row>
    <row r="13481" spans="2:30" s="323" customFormat="1" ht="12" customHeight="1">
      <c r="B13481" s="324"/>
      <c r="C13481" s="325"/>
      <c r="D13481" s="326"/>
      <c r="E13481" s="326"/>
      <c r="F13481" s="326"/>
      <c r="G13481" s="326"/>
      <c r="H13481" s="326"/>
      <c r="P13481" s="318"/>
      <c r="Q13481" s="318"/>
      <c r="R13481" s="318"/>
      <c r="S13481" s="318"/>
      <c r="T13481" s="318"/>
      <c r="U13481" s="318"/>
      <c r="V13481" s="318"/>
      <c r="W13481" s="318"/>
      <c r="X13481" s="318"/>
      <c r="Y13481" s="318"/>
      <c r="Z13481" s="318"/>
      <c r="AA13481" s="318"/>
      <c r="AB13481" s="318"/>
      <c r="AC13481" s="318"/>
      <c r="AD13481" s="318"/>
    </row>
    <row r="13482" spans="2:30" s="323" customFormat="1" ht="12" customHeight="1">
      <c r="B13482" s="324"/>
      <c r="C13482" s="325"/>
      <c r="D13482" s="326"/>
      <c r="E13482" s="326"/>
      <c r="F13482" s="326"/>
      <c r="G13482" s="326"/>
      <c r="H13482" s="326"/>
      <c r="P13482" s="318"/>
      <c r="Q13482" s="318"/>
      <c r="R13482" s="318"/>
      <c r="S13482" s="318"/>
      <c r="T13482" s="318"/>
      <c r="U13482" s="318"/>
      <c r="V13482" s="318"/>
      <c r="W13482" s="318"/>
      <c r="X13482" s="318"/>
      <c r="Y13482" s="318"/>
      <c r="Z13482" s="318"/>
      <c r="AA13482" s="318"/>
      <c r="AB13482" s="318"/>
      <c r="AC13482" s="318"/>
      <c r="AD13482" s="318"/>
    </row>
    <row r="13483" spans="2:30" s="323" customFormat="1" ht="12" customHeight="1">
      <c r="B13483" s="324"/>
      <c r="C13483" s="325"/>
      <c r="D13483" s="326"/>
      <c r="E13483" s="326"/>
      <c r="F13483" s="326"/>
      <c r="G13483" s="326"/>
      <c r="H13483" s="326"/>
      <c r="P13483" s="318"/>
      <c r="Q13483" s="318"/>
      <c r="R13483" s="318"/>
      <c r="S13483" s="318"/>
      <c r="T13483" s="318"/>
      <c r="U13483" s="318"/>
      <c r="V13483" s="318"/>
      <c r="W13483" s="318"/>
      <c r="X13483" s="318"/>
      <c r="Y13483" s="318"/>
      <c r="Z13483" s="318"/>
      <c r="AA13483" s="318"/>
      <c r="AB13483" s="318"/>
      <c r="AC13483" s="318"/>
      <c r="AD13483" s="318"/>
    </row>
    <row r="13484" spans="2:30" s="323" customFormat="1" ht="12" customHeight="1">
      <c r="B13484" s="324"/>
      <c r="C13484" s="325"/>
      <c r="D13484" s="326"/>
      <c r="E13484" s="326"/>
      <c r="F13484" s="326"/>
      <c r="G13484" s="326"/>
      <c r="H13484" s="326"/>
      <c r="P13484" s="318"/>
      <c r="Q13484" s="318"/>
      <c r="R13484" s="318"/>
      <c r="S13484" s="318"/>
      <c r="T13484" s="318"/>
      <c r="U13484" s="318"/>
      <c r="V13484" s="318"/>
      <c r="W13484" s="318"/>
      <c r="X13484" s="318"/>
      <c r="Y13484" s="318"/>
      <c r="Z13484" s="318"/>
      <c r="AA13484" s="318"/>
      <c r="AB13484" s="318"/>
      <c r="AC13484" s="318"/>
      <c r="AD13484" s="318"/>
    </row>
    <row r="13485" spans="2:30" s="323" customFormat="1" ht="12" customHeight="1">
      <c r="B13485" s="324"/>
      <c r="C13485" s="325"/>
      <c r="D13485" s="326"/>
      <c r="E13485" s="326"/>
      <c r="F13485" s="326"/>
      <c r="G13485" s="326"/>
      <c r="H13485" s="326"/>
      <c r="P13485" s="318"/>
      <c r="Q13485" s="318"/>
      <c r="R13485" s="318"/>
      <c r="S13485" s="318"/>
      <c r="T13485" s="318"/>
      <c r="U13485" s="318"/>
      <c r="V13485" s="318"/>
      <c r="W13485" s="318"/>
      <c r="X13485" s="318"/>
      <c r="Y13485" s="318"/>
      <c r="Z13485" s="318"/>
      <c r="AA13485" s="318"/>
      <c r="AB13485" s="318"/>
      <c r="AC13485" s="318"/>
      <c r="AD13485" s="318"/>
    </row>
    <row r="13486" spans="2:30" s="323" customFormat="1" ht="12" customHeight="1">
      <c r="B13486" s="324"/>
      <c r="C13486" s="325"/>
      <c r="D13486" s="326"/>
      <c r="E13486" s="326"/>
      <c r="F13486" s="326"/>
      <c r="G13486" s="326"/>
      <c r="H13486" s="326"/>
      <c r="P13486" s="318"/>
      <c r="Q13486" s="318"/>
      <c r="R13486" s="318"/>
      <c r="S13486" s="318"/>
      <c r="T13486" s="318"/>
      <c r="U13486" s="318"/>
      <c r="V13486" s="318"/>
      <c r="W13486" s="318"/>
      <c r="X13486" s="318"/>
      <c r="Y13486" s="318"/>
      <c r="Z13486" s="318"/>
      <c r="AA13486" s="318"/>
      <c r="AB13486" s="318"/>
      <c r="AC13486" s="318"/>
      <c r="AD13486" s="318"/>
    </row>
    <row r="13487" spans="2:30" s="323" customFormat="1" ht="12" customHeight="1">
      <c r="B13487" s="324"/>
      <c r="C13487" s="325"/>
      <c r="D13487" s="326"/>
      <c r="E13487" s="326"/>
      <c r="F13487" s="326"/>
      <c r="G13487" s="326"/>
      <c r="H13487" s="326"/>
      <c r="P13487" s="318"/>
      <c r="Q13487" s="318"/>
      <c r="R13487" s="318"/>
      <c r="S13487" s="318"/>
      <c r="T13487" s="318"/>
      <c r="U13487" s="318"/>
      <c r="V13487" s="318"/>
      <c r="W13487" s="318"/>
      <c r="X13487" s="318"/>
      <c r="Y13487" s="318"/>
      <c r="Z13487" s="318"/>
      <c r="AA13487" s="318"/>
      <c r="AB13487" s="318"/>
      <c r="AC13487" s="318"/>
      <c r="AD13487" s="318"/>
    </row>
    <row r="13488" spans="2:30" s="323" customFormat="1" ht="12" customHeight="1">
      <c r="B13488" s="324"/>
      <c r="C13488" s="325"/>
      <c r="D13488" s="326"/>
      <c r="E13488" s="326"/>
      <c r="F13488" s="326"/>
      <c r="G13488" s="326"/>
      <c r="H13488" s="326"/>
      <c r="P13488" s="318"/>
      <c r="Q13488" s="318"/>
      <c r="R13488" s="318"/>
      <c r="S13488" s="318"/>
      <c r="T13488" s="318"/>
      <c r="U13488" s="318"/>
      <c r="V13488" s="318"/>
      <c r="W13488" s="318"/>
      <c r="X13488" s="318"/>
      <c r="Y13488" s="318"/>
      <c r="Z13488" s="318"/>
      <c r="AA13488" s="318"/>
      <c r="AB13488" s="318"/>
      <c r="AC13488" s="318"/>
      <c r="AD13488" s="318"/>
    </row>
    <row r="13489" spans="2:30" s="323" customFormat="1" ht="12" customHeight="1">
      <c r="B13489" s="324"/>
      <c r="C13489" s="325"/>
      <c r="D13489" s="326"/>
      <c r="E13489" s="326"/>
      <c r="F13489" s="326"/>
      <c r="G13489" s="326"/>
      <c r="H13489" s="326"/>
      <c r="P13489" s="318"/>
      <c r="Q13489" s="318"/>
      <c r="R13489" s="318"/>
      <c r="S13489" s="318"/>
      <c r="T13489" s="318"/>
      <c r="U13489" s="318"/>
      <c r="V13489" s="318"/>
      <c r="W13489" s="318"/>
      <c r="X13489" s="318"/>
      <c r="Y13489" s="318"/>
      <c r="Z13489" s="318"/>
      <c r="AA13489" s="318"/>
      <c r="AB13489" s="318"/>
      <c r="AC13489" s="318"/>
      <c r="AD13489" s="318"/>
    </row>
    <row r="13490" spans="2:30" s="323" customFormat="1" ht="12" customHeight="1">
      <c r="B13490" s="324"/>
      <c r="C13490" s="325"/>
      <c r="D13490" s="326"/>
      <c r="E13490" s="326"/>
      <c r="F13490" s="326"/>
      <c r="G13490" s="326"/>
      <c r="H13490" s="326"/>
      <c r="P13490" s="318"/>
      <c r="Q13490" s="318"/>
      <c r="R13490" s="318"/>
      <c r="S13490" s="318"/>
      <c r="T13490" s="318"/>
      <c r="U13490" s="318"/>
      <c r="V13490" s="318"/>
      <c r="W13490" s="318"/>
      <c r="X13490" s="318"/>
      <c r="Y13490" s="318"/>
      <c r="Z13490" s="318"/>
      <c r="AA13490" s="318"/>
      <c r="AB13490" s="318"/>
      <c r="AC13490" s="318"/>
      <c r="AD13490" s="318"/>
    </row>
    <row r="13491" spans="2:30" s="323" customFormat="1" ht="12" customHeight="1">
      <c r="B13491" s="324"/>
      <c r="C13491" s="325"/>
      <c r="D13491" s="326"/>
      <c r="E13491" s="326"/>
      <c r="F13491" s="326"/>
      <c r="G13491" s="326"/>
      <c r="H13491" s="326"/>
      <c r="P13491" s="318"/>
      <c r="Q13491" s="318"/>
      <c r="R13491" s="318"/>
      <c r="S13491" s="318"/>
      <c r="T13491" s="318"/>
      <c r="U13491" s="318"/>
      <c r="V13491" s="318"/>
      <c r="W13491" s="318"/>
      <c r="X13491" s="318"/>
      <c r="Y13491" s="318"/>
      <c r="Z13491" s="318"/>
      <c r="AA13491" s="318"/>
      <c r="AB13491" s="318"/>
      <c r="AC13491" s="318"/>
      <c r="AD13491" s="318"/>
    </row>
    <row r="13492" spans="2:30" s="323" customFormat="1" ht="12" customHeight="1">
      <c r="B13492" s="324"/>
      <c r="C13492" s="325"/>
      <c r="D13492" s="326"/>
      <c r="E13492" s="326"/>
      <c r="F13492" s="326"/>
      <c r="G13492" s="326"/>
      <c r="H13492" s="326"/>
      <c r="P13492" s="318"/>
      <c r="Q13492" s="318"/>
      <c r="R13492" s="318"/>
      <c r="S13492" s="318"/>
      <c r="T13492" s="318"/>
      <c r="U13492" s="318"/>
      <c r="V13492" s="318"/>
      <c r="W13492" s="318"/>
      <c r="X13492" s="318"/>
      <c r="Y13492" s="318"/>
      <c r="Z13492" s="318"/>
      <c r="AA13492" s="318"/>
      <c r="AB13492" s="318"/>
      <c r="AC13492" s="318"/>
      <c r="AD13492" s="318"/>
    </row>
    <row r="13493" spans="2:30" s="323" customFormat="1" ht="12" customHeight="1">
      <c r="B13493" s="324"/>
      <c r="C13493" s="325"/>
      <c r="D13493" s="326"/>
      <c r="E13493" s="326"/>
      <c r="F13493" s="326"/>
      <c r="G13493" s="326"/>
      <c r="H13493" s="326"/>
      <c r="P13493" s="318"/>
      <c r="Q13493" s="318"/>
      <c r="R13493" s="318"/>
      <c r="S13493" s="318"/>
      <c r="T13493" s="318"/>
      <c r="U13493" s="318"/>
      <c r="V13493" s="318"/>
      <c r="W13493" s="318"/>
      <c r="X13493" s="318"/>
      <c r="Y13493" s="318"/>
      <c r="Z13493" s="318"/>
      <c r="AA13493" s="318"/>
      <c r="AB13493" s="318"/>
      <c r="AC13493" s="318"/>
      <c r="AD13493" s="318"/>
    </row>
    <row r="13494" spans="2:30" s="323" customFormat="1" ht="12" customHeight="1">
      <c r="B13494" s="324"/>
      <c r="C13494" s="325"/>
      <c r="D13494" s="326"/>
      <c r="E13494" s="326"/>
      <c r="F13494" s="326"/>
      <c r="G13494" s="326"/>
      <c r="H13494" s="326"/>
      <c r="P13494" s="318"/>
      <c r="Q13494" s="318"/>
      <c r="R13494" s="318"/>
      <c r="S13494" s="318"/>
      <c r="T13494" s="318"/>
      <c r="U13494" s="318"/>
      <c r="V13494" s="318"/>
      <c r="W13494" s="318"/>
      <c r="X13494" s="318"/>
      <c r="Y13494" s="318"/>
      <c r="Z13494" s="318"/>
      <c r="AA13494" s="318"/>
      <c r="AB13494" s="318"/>
      <c r="AC13494" s="318"/>
      <c r="AD13494" s="318"/>
    </row>
    <row r="13495" spans="2:30" s="323" customFormat="1" ht="12" customHeight="1">
      <c r="B13495" s="324"/>
      <c r="C13495" s="325"/>
      <c r="D13495" s="326"/>
      <c r="E13495" s="326"/>
      <c r="F13495" s="326"/>
      <c r="G13495" s="326"/>
      <c r="H13495" s="326"/>
      <c r="P13495" s="318"/>
      <c r="Q13495" s="318"/>
      <c r="R13495" s="318"/>
      <c r="S13495" s="318"/>
      <c r="T13495" s="318"/>
      <c r="U13495" s="318"/>
      <c r="V13495" s="318"/>
      <c r="W13495" s="318"/>
      <c r="X13495" s="318"/>
      <c r="Y13495" s="318"/>
      <c r="Z13495" s="318"/>
      <c r="AA13495" s="318"/>
      <c r="AB13495" s="318"/>
      <c r="AC13495" s="318"/>
      <c r="AD13495" s="318"/>
    </row>
    <row r="13496" spans="2:30" s="323" customFormat="1" ht="12" customHeight="1">
      <c r="B13496" s="324"/>
      <c r="C13496" s="325"/>
      <c r="D13496" s="326"/>
      <c r="E13496" s="326"/>
      <c r="F13496" s="326"/>
      <c r="G13496" s="326"/>
      <c r="H13496" s="326"/>
      <c r="P13496" s="318"/>
      <c r="Q13496" s="318"/>
      <c r="R13496" s="318"/>
      <c r="S13496" s="318"/>
      <c r="T13496" s="318"/>
      <c r="U13496" s="318"/>
      <c r="V13496" s="318"/>
      <c r="W13496" s="318"/>
      <c r="X13496" s="318"/>
      <c r="Y13496" s="318"/>
      <c r="Z13496" s="318"/>
      <c r="AA13496" s="318"/>
      <c r="AB13496" s="318"/>
      <c r="AC13496" s="318"/>
      <c r="AD13496" s="318"/>
    </row>
    <row r="13497" spans="2:30" s="323" customFormat="1" ht="12" customHeight="1">
      <c r="B13497" s="324"/>
      <c r="C13497" s="325"/>
      <c r="D13497" s="326"/>
      <c r="E13497" s="326"/>
      <c r="F13497" s="326"/>
      <c r="G13497" s="326"/>
      <c r="H13497" s="326"/>
      <c r="P13497" s="318"/>
      <c r="Q13497" s="318"/>
      <c r="R13497" s="318"/>
      <c r="S13497" s="318"/>
      <c r="T13497" s="318"/>
      <c r="U13497" s="318"/>
      <c r="V13497" s="318"/>
      <c r="W13497" s="318"/>
      <c r="X13497" s="318"/>
      <c r="Y13497" s="318"/>
      <c r="Z13497" s="318"/>
      <c r="AA13497" s="318"/>
      <c r="AB13497" s="318"/>
      <c r="AC13497" s="318"/>
      <c r="AD13497" s="318"/>
    </row>
    <row r="13498" spans="2:30" s="323" customFormat="1" ht="12" customHeight="1">
      <c r="B13498" s="324"/>
      <c r="C13498" s="325"/>
      <c r="D13498" s="326"/>
      <c r="E13498" s="326"/>
      <c r="F13498" s="326"/>
      <c r="G13498" s="326"/>
      <c r="H13498" s="326"/>
      <c r="P13498" s="318"/>
      <c r="Q13498" s="318"/>
      <c r="R13498" s="318"/>
      <c r="S13498" s="318"/>
      <c r="T13498" s="318"/>
      <c r="U13498" s="318"/>
      <c r="V13498" s="318"/>
      <c r="W13498" s="318"/>
      <c r="X13498" s="318"/>
      <c r="Y13498" s="318"/>
      <c r="Z13498" s="318"/>
      <c r="AA13498" s="318"/>
      <c r="AB13498" s="318"/>
      <c r="AC13498" s="318"/>
      <c r="AD13498" s="318"/>
    </row>
    <row r="13499" spans="2:30" s="323" customFormat="1" ht="12" customHeight="1">
      <c r="B13499" s="324"/>
      <c r="C13499" s="325"/>
      <c r="D13499" s="326"/>
      <c r="E13499" s="326"/>
      <c r="F13499" s="326"/>
      <c r="G13499" s="326"/>
      <c r="H13499" s="326"/>
      <c r="P13499" s="318"/>
      <c r="Q13499" s="318"/>
      <c r="R13499" s="318"/>
      <c r="S13499" s="318"/>
      <c r="T13499" s="318"/>
      <c r="U13499" s="318"/>
      <c r="V13499" s="318"/>
      <c r="W13499" s="318"/>
      <c r="X13499" s="318"/>
      <c r="Y13499" s="318"/>
      <c r="Z13499" s="318"/>
      <c r="AA13499" s="318"/>
      <c r="AB13499" s="318"/>
      <c r="AC13499" s="318"/>
      <c r="AD13499" s="318"/>
    </row>
    <row r="13500" spans="2:30" s="323" customFormat="1" ht="12" customHeight="1">
      <c r="B13500" s="324"/>
      <c r="C13500" s="325"/>
      <c r="D13500" s="326"/>
      <c r="E13500" s="326"/>
      <c r="F13500" s="326"/>
      <c r="G13500" s="326"/>
      <c r="H13500" s="326"/>
      <c r="P13500" s="318"/>
      <c r="Q13500" s="318"/>
      <c r="R13500" s="318"/>
      <c r="S13500" s="318"/>
      <c r="T13500" s="318"/>
      <c r="U13500" s="318"/>
      <c r="V13500" s="318"/>
      <c r="W13500" s="318"/>
      <c r="X13500" s="318"/>
      <c r="Y13500" s="318"/>
      <c r="Z13500" s="318"/>
      <c r="AA13500" s="318"/>
      <c r="AB13500" s="318"/>
      <c r="AC13500" s="318"/>
      <c r="AD13500" s="318"/>
    </row>
    <row r="13501" spans="2:30" s="323" customFormat="1" ht="12" customHeight="1">
      <c r="B13501" s="324"/>
      <c r="C13501" s="325"/>
      <c r="D13501" s="326"/>
      <c r="E13501" s="326"/>
      <c r="F13501" s="326"/>
      <c r="G13501" s="326"/>
      <c r="H13501" s="326"/>
      <c r="P13501" s="318"/>
      <c r="Q13501" s="318"/>
      <c r="R13501" s="318"/>
      <c r="S13501" s="318"/>
      <c r="T13501" s="318"/>
      <c r="U13501" s="318"/>
      <c r="V13501" s="318"/>
      <c r="W13501" s="318"/>
      <c r="X13501" s="318"/>
      <c r="Y13501" s="318"/>
      <c r="Z13501" s="318"/>
      <c r="AA13501" s="318"/>
      <c r="AB13501" s="318"/>
      <c r="AC13501" s="318"/>
      <c r="AD13501" s="318"/>
    </row>
    <row r="13502" spans="2:30" s="323" customFormat="1" ht="12" customHeight="1">
      <c r="B13502" s="324"/>
      <c r="C13502" s="325"/>
      <c r="D13502" s="326"/>
      <c r="E13502" s="326"/>
      <c r="F13502" s="326"/>
      <c r="G13502" s="326"/>
      <c r="H13502" s="326"/>
      <c r="P13502" s="318"/>
      <c r="Q13502" s="318"/>
      <c r="R13502" s="318"/>
      <c r="S13502" s="318"/>
      <c r="T13502" s="318"/>
      <c r="U13502" s="318"/>
      <c r="V13502" s="318"/>
      <c r="W13502" s="318"/>
      <c r="X13502" s="318"/>
      <c r="Y13502" s="318"/>
      <c r="Z13502" s="318"/>
      <c r="AA13502" s="318"/>
      <c r="AB13502" s="318"/>
      <c r="AC13502" s="318"/>
      <c r="AD13502" s="318"/>
    </row>
    <row r="13503" spans="2:30" s="323" customFormat="1" ht="12" customHeight="1">
      <c r="B13503" s="324"/>
      <c r="C13503" s="325"/>
      <c r="D13503" s="326"/>
      <c r="E13503" s="326"/>
      <c r="F13503" s="326"/>
      <c r="G13503" s="326"/>
      <c r="H13503" s="326"/>
      <c r="P13503" s="318"/>
      <c r="Q13503" s="318"/>
      <c r="R13503" s="318"/>
      <c r="S13503" s="318"/>
      <c r="T13503" s="318"/>
      <c r="U13503" s="318"/>
      <c r="V13503" s="318"/>
      <c r="W13503" s="318"/>
      <c r="X13503" s="318"/>
      <c r="Y13503" s="318"/>
      <c r="Z13503" s="318"/>
      <c r="AA13503" s="318"/>
      <c r="AB13503" s="318"/>
      <c r="AC13503" s="318"/>
      <c r="AD13503" s="318"/>
    </row>
    <row r="13504" spans="2:30" s="323" customFormat="1" ht="12" customHeight="1">
      <c r="B13504" s="324"/>
      <c r="C13504" s="325"/>
      <c r="D13504" s="326"/>
      <c r="E13504" s="326"/>
      <c r="F13504" s="326"/>
      <c r="G13504" s="326"/>
      <c r="H13504" s="326"/>
      <c r="P13504" s="318"/>
      <c r="Q13504" s="318"/>
      <c r="R13504" s="318"/>
      <c r="S13504" s="318"/>
      <c r="T13504" s="318"/>
      <c r="U13504" s="318"/>
      <c r="V13504" s="318"/>
      <c r="W13504" s="318"/>
      <c r="X13504" s="318"/>
      <c r="Y13504" s="318"/>
      <c r="Z13504" s="318"/>
      <c r="AA13504" s="318"/>
      <c r="AB13504" s="318"/>
      <c r="AC13504" s="318"/>
      <c r="AD13504" s="318"/>
    </row>
    <row r="13505" spans="2:30" s="323" customFormat="1" ht="12" customHeight="1">
      <c r="B13505" s="324"/>
      <c r="C13505" s="325"/>
      <c r="D13505" s="326"/>
      <c r="E13505" s="326"/>
      <c r="F13505" s="326"/>
      <c r="G13505" s="326"/>
      <c r="H13505" s="326"/>
      <c r="P13505" s="318"/>
      <c r="Q13505" s="318"/>
      <c r="R13505" s="318"/>
      <c r="S13505" s="318"/>
      <c r="T13505" s="318"/>
      <c r="U13505" s="318"/>
      <c r="V13505" s="318"/>
      <c r="W13505" s="318"/>
      <c r="X13505" s="318"/>
      <c r="Y13505" s="318"/>
      <c r="Z13505" s="318"/>
      <c r="AA13505" s="318"/>
      <c r="AB13505" s="318"/>
      <c r="AC13505" s="318"/>
      <c r="AD13505" s="318"/>
    </row>
    <row r="13506" spans="2:30" s="323" customFormat="1" ht="12" customHeight="1">
      <c r="B13506" s="324"/>
      <c r="C13506" s="325"/>
      <c r="D13506" s="326"/>
      <c r="E13506" s="326"/>
      <c r="F13506" s="326"/>
      <c r="G13506" s="326"/>
      <c r="H13506" s="326"/>
      <c r="P13506" s="318"/>
      <c r="Q13506" s="318"/>
      <c r="R13506" s="318"/>
      <c r="S13506" s="318"/>
      <c r="T13506" s="318"/>
      <c r="U13506" s="318"/>
      <c r="V13506" s="318"/>
      <c r="W13506" s="318"/>
      <c r="X13506" s="318"/>
      <c r="Y13506" s="318"/>
      <c r="Z13506" s="318"/>
      <c r="AA13506" s="318"/>
      <c r="AB13506" s="318"/>
      <c r="AC13506" s="318"/>
      <c r="AD13506" s="318"/>
    </row>
    <row r="13507" spans="2:30" s="323" customFormat="1" ht="12" customHeight="1">
      <c r="B13507" s="324"/>
      <c r="C13507" s="325"/>
      <c r="D13507" s="326"/>
      <c r="E13507" s="326"/>
      <c r="F13507" s="326"/>
      <c r="G13507" s="326"/>
      <c r="H13507" s="326"/>
      <c r="P13507" s="318"/>
      <c r="Q13507" s="318"/>
      <c r="R13507" s="318"/>
      <c r="S13507" s="318"/>
      <c r="T13507" s="318"/>
      <c r="U13507" s="318"/>
      <c r="V13507" s="318"/>
      <c r="W13507" s="318"/>
      <c r="X13507" s="318"/>
      <c r="Y13507" s="318"/>
      <c r="Z13507" s="318"/>
      <c r="AA13507" s="318"/>
      <c r="AB13507" s="318"/>
      <c r="AC13507" s="318"/>
      <c r="AD13507" s="318"/>
    </row>
    <row r="13508" spans="2:30" s="323" customFormat="1" ht="12" customHeight="1">
      <c r="B13508" s="324"/>
      <c r="C13508" s="325"/>
      <c r="D13508" s="326"/>
      <c r="E13508" s="326"/>
      <c r="F13508" s="326"/>
      <c r="G13508" s="326"/>
      <c r="H13508" s="326"/>
      <c r="P13508" s="318"/>
      <c r="Q13508" s="318"/>
      <c r="R13508" s="318"/>
      <c r="S13508" s="318"/>
      <c r="T13508" s="318"/>
      <c r="U13508" s="318"/>
      <c r="V13508" s="318"/>
      <c r="W13508" s="318"/>
      <c r="X13508" s="318"/>
      <c r="Y13508" s="318"/>
      <c r="Z13508" s="318"/>
      <c r="AA13508" s="318"/>
      <c r="AB13508" s="318"/>
      <c r="AC13508" s="318"/>
      <c r="AD13508" s="318"/>
    </row>
    <row r="13509" spans="2:30" s="323" customFormat="1" ht="12" customHeight="1">
      <c r="B13509" s="324"/>
      <c r="C13509" s="325"/>
      <c r="D13509" s="326"/>
      <c r="E13509" s="326"/>
      <c r="F13509" s="326"/>
      <c r="G13509" s="326"/>
      <c r="H13509" s="326"/>
      <c r="P13509" s="318"/>
      <c r="Q13509" s="318"/>
      <c r="R13509" s="318"/>
      <c r="S13509" s="318"/>
      <c r="T13509" s="318"/>
      <c r="U13509" s="318"/>
      <c r="V13509" s="318"/>
      <c r="W13509" s="318"/>
      <c r="X13509" s="318"/>
      <c r="Y13509" s="318"/>
      <c r="Z13509" s="318"/>
      <c r="AA13509" s="318"/>
      <c r="AB13509" s="318"/>
      <c r="AC13509" s="318"/>
      <c r="AD13509" s="318"/>
    </row>
    <row r="13510" spans="2:30" s="323" customFormat="1" ht="12" customHeight="1">
      <c r="B13510" s="324"/>
      <c r="C13510" s="325"/>
      <c r="D13510" s="326"/>
      <c r="E13510" s="326"/>
      <c r="F13510" s="326"/>
      <c r="G13510" s="326"/>
      <c r="H13510" s="326"/>
      <c r="P13510" s="318"/>
      <c r="Q13510" s="318"/>
      <c r="R13510" s="318"/>
      <c r="S13510" s="318"/>
      <c r="T13510" s="318"/>
      <c r="U13510" s="318"/>
      <c r="V13510" s="318"/>
      <c r="W13510" s="318"/>
      <c r="X13510" s="318"/>
      <c r="Y13510" s="318"/>
      <c r="Z13510" s="318"/>
      <c r="AA13510" s="318"/>
      <c r="AB13510" s="318"/>
      <c r="AC13510" s="318"/>
      <c r="AD13510" s="318"/>
    </row>
    <row r="13511" spans="2:30" s="323" customFormat="1" ht="12" customHeight="1">
      <c r="B13511" s="324"/>
      <c r="C13511" s="325"/>
      <c r="D13511" s="326"/>
      <c r="E13511" s="326"/>
      <c r="F13511" s="326"/>
      <c r="G13511" s="326"/>
      <c r="H13511" s="326"/>
      <c r="P13511" s="318"/>
      <c r="Q13511" s="318"/>
      <c r="R13511" s="318"/>
      <c r="S13511" s="318"/>
      <c r="T13511" s="318"/>
      <c r="U13511" s="318"/>
      <c r="V13511" s="318"/>
      <c r="W13511" s="318"/>
      <c r="X13511" s="318"/>
      <c r="Y13511" s="318"/>
      <c r="Z13511" s="318"/>
      <c r="AA13511" s="318"/>
      <c r="AB13511" s="318"/>
      <c r="AC13511" s="318"/>
      <c r="AD13511" s="318"/>
    </row>
    <row r="13512" spans="2:30" s="323" customFormat="1" ht="12" customHeight="1">
      <c r="B13512" s="324"/>
      <c r="C13512" s="325"/>
      <c r="D13512" s="326"/>
      <c r="E13512" s="326"/>
      <c r="F13512" s="326"/>
      <c r="G13512" s="326"/>
      <c r="H13512" s="326"/>
      <c r="P13512" s="318"/>
      <c r="Q13512" s="318"/>
      <c r="R13512" s="318"/>
      <c r="S13512" s="318"/>
      <c r="T13512" s="318"/>
      <c r="U13512" s="318"/>
      <c r="V13512" s="318"/>
      <c r="W13512" s="318"/>
      <c r="X13512" s="318"/>
      <c r="Y13512" s="318"/>
      <c r="Z13512" s="318"/>
      <c r="AA13512" s="318"/>
      <c r="AB13512" s="318"/>
      <c r="AC13512" s="318"/>
      <c r="AD13512" s="318"/>
    </row>
    <row r="13513" spans="2:30" s="323" customFormat="1" ht="12" customHeight="1">
      <c r="B13513" s="324"/>
      <c r="C13513" s="325"/>
      <c r="D13513" s="326"/>
      <c r="E13513" s="326"/>
      <c r="F13513" s="326"/>
      <c r="G13513" s="326"/>
      <c r="H13513" s="326"/>
      <c r="P13513" s="318"/>
      <c r="Q13513" s="318"/>
      <c r="R13513" s="318"/>
      <c r="S13513" s="318"/>
      <c r="T13513" s="318"/>
      <c r="U13513" s="318"/>
      <c r="V13513" s="318"/>
      <c r="W13513" s="318"/>
      <c r="X13513" s="318"/>
      <c r="Y13513" s="318"/>
      <c r="Z13513" s="318"/>
      <c r="AA13513" s="318"/>
      <c r="AB13513" s="318"/>
      <c r="AC13513" s="318"/>
      <c r="AD13513" s="318"/>
    </row>
    <row r="13514" spans="2:30" s="323" customFormat="1" ht="12" customHeight="1">
      <c r="B13514" s="324"/>
      <c r="C13514" s="325"/>
      <c r="D13514" s="326"/>
      <c r="E13514" s="326"/>
      <c r="F13514" s="326"/>
      <c r="G13514" s="326"/>
      <c r="H13514" s="326"/>
      <c r="P13514" s="318"/>
      <c r="Q13514" s="318"/>
      <c r="R13514" s="318"/>
      <c r="S13514" s="318"/>
      <c r="T13514" s="318"/>
      <c r="U13514" s="318"/>
      <c r="V13514" s="318"/>
      <c r="W13514" s="318"/>
      <c r="X13514" s="318"/>
      <c r="Y13514" s="318"/>
      <c r="Z13514" s="318"/>
      <c r="AA13514" s="318"/>
      <c r="AB13514" s="318"/>
      <c r="AC13514" s="318"/>
      <c r="AD13514" s="318"/>
    </row>
    <row r="13515" spans="2:30" s="323" customFormat="1" ht="12" customHeight="1">
      <c r="B13515" s="324"/>
      <c r="C13515" s="325"/>
      <c r="D13515" s="326"/>
      <c r="E13515" s="326"/>
      <c r="F13515" s="326"/>
      <c r="G13515" s="326"/>
      <c r="H13515" s="326"/>
      <c r="P13515" s="318"/>
      <c r="Q13515" s="318"/>
      <c r="R13515" s="318"/>
      <c r="S13515" s="318"/>
      <c r="T13515" s="318"/>
      <c r="U13515" s="318"/>
      <c r="V13515" s="318"/>
      <c r="W13515" s="318"/>
      <c r="X13515" s="318"/>
      <c r="Y13515" s="318"/>
      <c r="Z13515" s="318"/>
      <c r="AA13515" s="318"/>
      <c r="AB13515" s="318"/>
      <c r="AC13515" s="318"/>
      <c r="AD13515" s="318"/>
    </row>
    <row r="13516" spans="2:30" s="323" customFormat="1" ht="12" customHeight="1">
      <c r="B13516" s="324"/>
      <c r="C13516" s="325"/>
      <c r="D13516" s="326"/>
      <c r="E13516" s="326"/>
      <c r="F13516" s="326"/>
      <c r="G13516" s="326"/>
      <c r="H13516" s="326"/>
      <c r="P13516" s="318"/>
      <c r="Q13516" s="318"/>
      <c r="R13516" s="318"/>
      <c r="S13516" s="318"/>
      <c r="T13516" s="318"/>
      <c r="U13516" s="318"/>
      <c r="V13516" s="318"/>
      <c r="W13516" s="318"/>
      <c r="X13516" s="318"/>
      <c r="Y13516" s="318"/>
      <c r="Z13516" s="318"/>
      <c r="AA13516" s="318"/>
      <c r="AB13516" s="318"/>
      <c r="AC13516" s="318"/>
      <c r="AD13516" s="318"/>
    </row>
    <row r="13517" spans="2:30" s="323" customFormat="1" ht="12" customHeight="1">
      <c r="B13517" s="324"/>
      <c r="C13517" s="325"/>
      <c r="D13517" s="326"/>
      <c r="E13517" s="326"/>
      <c r="F13517" s="326"/>
      <c r="G13517" s="326"/>
      <c r="H13517" s="326"/>
      <c r="P13517" s="318"/>
      <c r="Q13517" s="318"/>
      <c r="R13517" s="318"/>
      <c r="S13517" s="318"/>
      <c r="T13517" s="318"/>
      <c r="U13517" s="318"/>
      <c r="V13517" s="318"/>
      <c r="W13517" s="318"/>
      <c r="X13517" s="318"/>
      <c r="Y13517" s="318"/>
      <c r="Z13517" s="318"/>
      <c r="AA13517" s="318"/>
      <c r="AB13517" s="318"/>
      <c r="AC13517" s="318"/>
      <c r="AD13517" s="318"/>
    </row>
    <row r="13518" spans="2:30" s="323" customFormat="1" ht="12" customHeight="1">
      <c r="B13518" s="324"/>
      <c r="C13518" s="325"/>
      <c r="D13518" s="326"/>
      <c r="E13518" s="326"/>
      <c r="F13518" s="326"/>
      <c r="G13518" s="326"/>
      <c r="H13518" s="326"/>
      <c r="P13518" s="318"/>
      <c r="Q13518" s="318"/>
      <c r="R13518" s="318"/>
      <c r="S13518" s="318"/>
      <c r="T13518" s="318"/>
      <c r="U13518" s="318"/>
      <c r="V13518" s="318"/>
      <c r="W13518" s="318"/>
      <c r="X13518" s="318"/>
      <c r="Y13518" s="318"/>
      <c r="Z13518" s="318"/>
      <c r="AA13518" s="318"/>
      <c r="AB13518" s="318"/>
      <c r="AC13518" s="318"/>
      <c r="AD13518" s="318"/>
    </row>
    <row r="13519" spans="2:30" s="323" customFormat="1" ht="12" customHeight="1">
      <c r="B13519" s="324"/>
      <c r="C13519" s="325"/>
      <c r="D13519" s="326"/>
      <c r="E13519" s="326"/>
      <c r="F13519" s="326"/>
      <c r="G13519" s="326"/>
      <c r="H13519" s="326"/>
      <c r="P13519" s="318"/>
      <c r="Q13519" s="318"/>
      <c r="R13519" s="318"/>
      <c r="S13519" s="318"/>
      <c r="T13519" s="318"/>
      <c r="U13519" s="318"/>
      <c r="V13519" s="318"/>
      <c r="W13519" s="318"/>
      <c r="X13519" s="318"/>
      <c r="Y13519" s="318"/>
      <c r="Z13519" s="318"/>
      <c r="AA13519" s="318"/>
      <c r="AB13519" s="318"/>
      <c r="AC13519" s="318"/>
      <c r="AD13519" s="318"/>
    </row>
    <row r="13520" spans="2:30" s="323" customFormat="1" ht="12" customHeight="1">
      <c r="B13520" s="324"/>
      <c r="C13520" s="325"/>
      <c r="D13520" s="326"/>
      <c r="E13520" s="326"/>
      <c r="F13520" s="326"/>
      <c r="G13520" s="326"/>
      <c r="H13520" s="326"/>
      <c r="P13520" s="318"/>
      <c r="Q13520" s="318"/>
      <c r="R13520" s="318"/>
      <c r="S13520" s="318"/>
      <c r="T13520" s="318"/>
      <c r="U13520" s="318"/>
      <c r="V13520" s="318"/>
      <c r="W13520" s="318"/>
      <c r="X13520" s="318"/>
      <c r="Y13520" s="318"/>
      <c r="Z13520" s="318"/>
      <c r="AA13520" s="318"/>
      <c r="AB13520" s="318"/>
      <c r="AC13520" s="318"/>
      <c r="AD13520" s="318"/>
    </row>
    <row r="13521" spans="2:30" s="323" customFormat="1" ht="12" customHeight="1">
      <c r="B13521" s="324"/>
      <c r="C13521" s="325"/>
      <c r="D13521" s="326"/>
      <c r="E13521" s="326"/>
      <c r="F13521" s="326"/>
      <c r="G13521" s="326"/>
      <c r="H13521" s="326"/>
      <c r="P13521" s="318"/>
      <c r="Q13521" s="318"/>
      <c r="R13521" s="318"/>
      <c r="S13521" s="318"/>
      <c r="T13521" s="318"/>
      <c r="U13521" s="318"/>
      <c r="V13521" s="318"/>
      <c r="W13521" s="318"/>
      <c r="X13521" s="318"/>
      <c r="Y13521" s="318"/>
      <c r="Z13521" s="318"/>
      <c r="AA13521" s="318"/>
      <c r="AB13521" s="318"/>
      <c r="AC13521" s="318"/>
      <c r="AD13521" s="318"/>
    </row>
    <row r="13522" spans="2:30" s="323" customFormat="1" ht="12" customHeight="1">
      <c r="B13522" s="324"/>
      <c r="C13522" s="325"/>
      <c r="D13522" s="326"/>
      <c r="E13522" s="326"/>
      <c r="F13522" s="326"/>
      <c r="G13522" s="326"/>
      <c r="H13522" s="326"/>
      <c r="P13522" s="318"/>
      <c r="Q13522" s="318"/>
      <c r="R13522" s="318"/>
      <c r="S13522" s="318"/>
      <c r="T13522" s="318"/>
      <c r="U13522" s="318"/>
      <c r="V13522" s="318"/>
      <c r="W13522" s="318"/>
      <c r="X13522" s="318"/>
      <c r="Y13522" s="318"/>
      <c r="Z13522" s="318"/>
      <c r="AA13522" s="318"/>
      <c r="AB13522" s="318"/>
      <c r="AC13522" s="318"/>
      <c r="AD13522" s="318"/>
    </row>
    <row r="13523" spans="2:30" s="323" customFormat="1" ht="12" customHeight="1">
      <c r="B13523" s="324"/>
      <c r="C13523" s="325"/>
      <c r="D13523" s="326"/>
      <c r="E13523" s="326"/>
      <c r="F13523" s="326"/>
      <c r="G13523" s="326"/>
      <c r="H13523" s="326"/>
      <c r="P13523" s="318"/>
      <c r="Q13523" s="318"/>
      <c r="R13523" s="318"/>
      <c r="S13523" s="318"/>
      <c r="T13523" s="318"/>
      <c r="U13523" s="318"/>
      <c r="V13523" s="318"/>
      <c r="W13523" s="318"/>
      <c r="X13523" s="318"/>
      <c r="Y13523" s="318"/>
      <c r="Z13523" s="318"/>
      <c r="AA13523" s="318"/>
      <c r="AB13523" s="318"/>
      <c r="AC13523" s="318"/>
      <c r="AD13523" s="318"/>
    </row>
    <row r="13524" spans="2:30" s="323" customFormat="1" ht="12" customHeight="1">
      <c r="B13524" s="324"/>
      <c r="C13524" s="325"/>
      <c r="D13524" s="326"/>
      <c r="E13524" s="326"/>
      <c r="F13524" s="326"/>
      <c r="G13524" s="326"/>
      <c r="H13524" s="326"/>
      <c r="P13524" s="318"/>
      <c r="Q13524" s="318"/>
      <c r="R13524" s="318"/>
      <c r="S13524" s="318"/>
      <c r="T13524" s="318"/>
      <c r="U13524" s="318"/>
      <c r="V13524" s="318"/>
      <c r="W13524" s="318"/>
      <c r="X13524" s="318"/>
      <c r="Y13524" s="318"/>
      <c r="Z13524" s="318"/>
      <c r="AA13524" s="318"/>
      <c r="AB13524" s="318"/>
      <c r="AC13524" s="318"/>
      <c r="AD13524" s="318"/>
    </row>
    <row r="13525" spans="2:30" s="323" customFormat="1" ht="12" customHeight="1">
      <c r="B13525" s="324"/>
      <c r="C13525" s="325"/>
      <c r="D13525" s="326"/>
      <c r="E13525" s="326"/>
      <c r="F13525" s="326"/>
      <c r="G13525" s="326"/>
      <c r="H13525" s="326"/>
      <c r="P13525" s="318"/>
      <c r="Q13525" s="318"/>
      <c r="R13525" s="318"/>
      <c r="S13525" s="318"/>
      <c r="T13525" s="318"/>
      <c r="U13525" s="318"/>
      <c r="V13525" s="318"/>
      <c r="W13525" s="318"/>
      <c r="X13525" s="318"/>
      <c r="Y13525" s="318"/>
      <c r="Z13525" s="318"/>
      <c r="AA13525" s="318"/>
      <c r="AB13525" s="318"/>
      <c r="AC13525" s="318"/>
      <c r="AD13525" s="318"/>
    </row>
    <row r="13526" spans="2:30" s="323" customFormat="1" ht="12" customHeight="1">
      <c r="B13526" s="324"/>
      <c r="C13526" s="325"/>
      <c r="D13526" s="326"/>
      <c r="E13526" s="326"/>
      <c r="F13526" s="326"/>
      <c r="G13526" s="326"/>
      <c r="H13526" s="326"/>
      <c r="P13526" s="318"/>
      <c r="Q13526" s="318"/>
      <c r="R13526" s="318"/>
      <c r="S13526" s="318"/>
      <c r="T13526" s="318"/>
      <c r="U13526" s="318"/>
      <c r="V13526" s="318"/>
      <c r="W13526" s="318"/>
      <c r="X13526" s="318"/>
      <c r="Y13526" s="318"/>
      <c r="Z13526" s="318"/>
      <c r="AA13526" s="318"/>
      <c r="AB13526" s="318"/>
      <c r="AC13526" s="318"/>
      <c r="AD13526" s="318"/>
    </row>
    <row r="13527" spans="2:30" s="323" customFormat="1" ht="12" customHeight="1">
      <c r="B13527" s="324"/>
      <c r="C13527" s="325"/>
      <c r="D13527" s="326"/>
      <c r="E13527" s="326"/>
      <c r="F13527" s="326"/>
      <c r="G13527" s="326"/>
      <c r="H13527" s="326"/>
      <c r="P13527" s="318"/>
      <c r="Q13527" s="318"/>
      <c r="R13527" s="318"/>
      <c r="S13527" s="318"/>
      <c r="T13527" s="318"/>
      <c r="U13527" s="318"/>
      <c r="V13527" s="318"/>
      <c r="W13527" s="318"/>
      <c r="X13527" s="318"/>
      <c r="Y13527" s="318"/>
      <c r="Z13527" s="318"/>
      <c r="AA13527" s="318"/>
      <c r="AB13527" s="318"/>
      <c r="AC13527" s="318"/>
      <c r="AD13527" s="318"/>
    </row>
    <row r="13528" spans="2:30" s="323" customFormat="1" ht="12" customHeight="1">
      <c r="B13528" s="324"/>
      <c r="C13528" s="325"/>
      <c r="D13528" s="326"/>
      <c r="E13528" s="326"/>
      <c r="F13528" s="326"/>
      <c r="G13528" s="326"/>
      <c r="H13528" s="326"/>
      <c r="P13528" s="318"/>
      <c r="Q13528" s="318"/>
      <c r="R13528" s="318"/>
      <c r="S13528" s="318"/>
      <c r="T13528" s="318"/>
      <c r="U13528" s="318"/>
      <c r="V13528" s="318"/>
      <c r="W13528" s="318"/>
      <c r="X13528" s="318"/>
      <c r="Y13528" s="318"/>
      <c r="Z13528" s="318"/>
      <c r="AA13528" s="318"/>
      <c r="AB13528" s="318"/>
      <c r="AC13528" s="318"/>
      <c r="AD13528" s="318"/>
    </row>
    <row r="13529" spans="2:30" s="323" customFormat="1" ht="12" customHeight="1">
      <c r="B13529" s="324"/>
      <c r="C13529" s="325"/>
      <c r="D13529" s="326"/>
      <c r="E13529" s="326"/>
      <c r="F13529" s="326"/>
      <c r="G13529" s="326"/>
      <c r="H13529" s="326"/>
      <c r="P13529" s="318"/>
      <c r="Q13529" s="318"/>
      <c r="R13529" s="318"/>
      <c r="S13529" s="318"/>
      <c r="T13529" s="318"/>
      <c r="U13529" s="318"/>
      <c r="V13529" s="318"/>
      <c r="W13529" s="318"/>
      <c r="X13529" s="318"/>
      <c r="Y13529" s="318"/>
      <c r="Z13529" s="318"/>
      <c r="AA13529" s="318"/>
      <c r="AB13529" s="318"/>
      <c r="AC13529" s="318"/>
      <c r="AD13529" s="318"/>
    </row>
    <row r="13530" spans="2:30" s="323" customFormat="1" ht="12" customHeight="1">
      <c r="B13530" s="324"/>
      <c r="C13530" s="325"/>
      <c r="D13530" s="326"/>
      <c r="E13530" s="326"/>
      <c r="F13530" s="326"/>
      <c r="G13530" s="326"/>
      <c r="H13530" s="326"/>
      <c r="P13530" s="318"/>
      <c r="Q13530" s="318"/>
      <c r="R13530" s="318"/>
      <c r="S13530" s="318"/>
      <c r="T13530" s="318"/>
      <c r="U13530" s="318"/>
      <c r="V13530" s="318"/>
      <c r="W13530" s="318"/>
      <c r="X13530" s="318"/>
      <c r="Y13530" s="318"/>
      <c r="Z13530" s="318"/>
      <c r="AA13530" s="318"/>
      <c r="AB13530" s="318"/>
      <c r="AC13530" s="318"/>
      <c r="AD13530" s="318"/>
    </row>
    <row r="13531" spans="2:30" s="323" customFormat="1" ht="12" customHeight="1">
      <c r="B13531" s="324"/>
      <c r="C13531" s="325"/>
      <c r="D13531" s="326"/>
      <c r="E13531" s="326"/>
      <c r="F13531" s="326"/>
      <c r="G13531" s="326"/>
      <c r="H13531" s="326"/>
      <c r="P13531" s="318"/>
      <c r="Q13531" s="318"/>
      <c r="R13531" s="318"/>
      <c r="S13531" s="318"/>
      <c r="T13531" s="318"/>
      <c r="U13531" s="318"/>
      <c r="V13531" s="318"/>
      <c r="W13531" s="318"/>
      <c r="X13531" s="318"/>
      <c r="Y13531" s="318"/>
      <c r="Z13531" s="318"/>
      <c r="AA13531" s="318"/>
      <c r="AB13531" s="318"/>
      <c r="AC13531" s="318"/>
      <c r="AD13531" s="318"/>
    </row>
    <row r="13532" spans="2:30" s="323" customFormat="1" ht="12" customHeight="1">
      <c r="B13532" s="324"/>
      <c r="C13532" s="325"/>
      <c r="D13532" s="326"/>
      <c r="E13532" s="326"/>
      <c r="F13532" s="326"/>
      <c r="G13532" s="326"/>
      <c r="H13532" s="326"/>
      <c r="P13532" s="318"/>
      <c r="Q13532" s="318"/>
      <c r="R13532" s="318"/>
      <c r="S13532" s="318"/>
      <c r="T13532" s="318"/>
      <c r="U13532" s="318"/>
      <c r="V13532" s="318"/>
      <c r="W13532" s="318"/>
      <c r="X13532" s="318"/>
      <c r="Y13532" s="318"/>
      <c r="Z13532" s="318"/>
      <c r="AA13532" s="318"/>
      <c r="AB13532" s="318"/>
      <c r="AC13532" s="318"/>
      <c r="AD13532" s="318"/>
    </row>
    <row r="13533" spans="2:30" s="323" customFormat="1" ht="12" customHeight="1">
      <c r="B13533" s="324"/>
      <c r="C13533" s="325"/>
      <c r="D13533" s="326"/>
      <c r="E13533" s="326"/>
      <c r="F13533" s="326"/>
      <c r="G13533" s="326"/>
      <c r="H13533" s="326"/>
      <c r="P13533" s="318"/>
      <c r="Q13533" s="318"/>
      <c r="R13533" s="318"/>
      <c r="S13533" s="318"/>
      <c r="T13533" s="318"/>
      <c r="U13533" s="318"/>
      <c r="V13533" s="318"/>
      <c r="W13533" s="318"/>
      <c r="X13533" s="318"/>
      <c r="Y13533" s="318"/>
      <c r="Z13533" s="318"/>
      <c r="AA13533" s="318"/>
      <c r="AB13533" s="318"/>
      <c r="AC13533" s="318"/>
      <c r="AD13533" s="318"/>
    </row>
    <row r="13534" spans="2:30" s="323" customFormat="1" ht="12" customHeight="1">
      <c r="B13534" s="324"/>
      <c r="C13534" s="325"/>
      <c r="D13534" s="326"/>
      <c r="E13534" s="326"/>
      <c r="F13534" s="326"/>
      <c r="G13534" s="326"/>
      <c r="H13534" s="326"/>
      <c r="P13534" s="318"/>
      <c r="Q13534" s="318"/>
      <c r="R13534" s="318"/>
      <c r="S13534" s="318"/>
      <c r="T13534" s="318"/>
      <c r="U13534" s="318"/>
      <c r="V13534" s="318"/>
      <c r="W13534" s="318"/>
      <c r="X13534" s="318"/>
      <c r="Y13534" s="318"/>
      <c r="Z13534" s="318"/>
      <c r="AA13534" s="318"/>
      <c r="AB13534" s="318"/>
      <c r="AC13534" s="318"/>
      <c r="AD13534" s="318"/>
    </row>
    <row r="13535" spans="2:30" s="323" customFormat="1" ht="12" customHeight="1">
      <c r="B13535" s="324"/>
      <c r="C13535" s="325"/>
      <c r="D13535" s="326"/>
      <c r="E13535" s="326"/>
      <c r="F13535" s="326"/>
      <c r="G13535" s="326"/>
      <c r="H13535" s="326"/>
      <c r="P13535" s="318"/>
      <c r="Q13535" s="318"/>
      <c r="R13535" s="318"/>
      <c r="S13535" s="318"/>
      <c r="T13535" s="318"/>
      <c r="U13535" s="318"/>
      <c r="V13535" s="318"/>
      <c r="W13535" s="318"/>
      <c r="X13535" s="318"/>
      <c r="Y13535" s="318"/>
      <c r="Z13535" s="318"/>
      <c r="AA13535" s="318"/>
      <c r="AB13535" s="318"/>
      <c r="AC13535" s="318"/>
      <c r="AD13535" s="318"/>
    </row>
    <row r="13536" spans="2:30" s="323" customFormat="1" ht="12" customHeight="1">
      <c r="B13536" s="324"/>
      <c r="C13536" s="325"/>
      <c r="D13536" s="326"/>
      <c r="E13536" s="326"/>
      <c r="F13536" s="326"/>
      <c r="G13536" s="326"/>
      <c r="H13536" s="326"/>
      <c r="P13536" s="318"/>
      <c r="Q13536" s="318"/>
      <c r="R13536" s="318"/>
      <c r="S13536" s="318"/>
      <c r="T13536" s="318"/>
      <c r="U13536" s="318"/>
      <c r="V13536" s="318"/>
      <c r="W13536" s="318"/>
      <c r="X13536" s="318"/>
      <c r="Y13536" s="318"/>
      <c r="Z13536" s="318"/>
      <c r="AA13536" s="318"/>
      <c r="AB13536" s="318"/>
      <c r="AC13536" s="318"/>
      <c r="AD13536" s="318"/>
    </row>
    <row r="13537" spans="2:30" s="323" customFormat="1" ht="12" customHeight="1">
      <c r="B13537" s="324"/>
      <c r="C13537" s="325"/>
      <c r="D13537" s="326"/>
      <c r="E13537" s="326"/>
      <c r="F13537" s="326"/>
      <c r="G13537" s="326"/>
      <c r="H13537" s="326"/>
      <c r="P13537" s="318"/>
      <c r="Q13537" s="318"/>
      <c r="R13537" s="318"/>
      <c r="S13537" s="318"/>
      <c r="T13537" s="318"/>
      <c r="U13537" s="318"/>
      <c r="V13537" s="318"/>
      <c r="W13537" s="318"/>
      <c r="X13537" s="318"/>
      <c r="Y13537" s="318"/>
      <c r="Z13537" s="318"/>
      <c r="AA13537" s="318"/>
      <c r="AB13537" s="318"/>
      <c r="AC13537" s="318"/>
      <c r="AD13537" s="318"/>
    </row>
    <row r="13538" spans="2:30" s="323" customFormat="1" ht="12" customHeight="1">
      <c r="B13538" s="324"/>
      <c r="C13538" s="325"/>
      <c r="D13538" s="326"/>
      <c r="E13538" s="326"/>
      <c r="F13538" s="326"/>
      <c r="G13538" s="326"/>
      <c r="H13538" s="326"/>
      <c r="P13538" s="318"/>
      <c r="Q13538" s="318"/>
      <c r="R13538" s="318"/>
      <c r="S13538" s="318"/>
      <c r="T13538" s="318"/>
      <c r="U13538" s="318"/>
      <c r="V13538" s="318"/>
      <c r="W13538" s="318"/>
      <c r="X13538" s="318"/>
      <c r="Y13538" s="318"/>
      <c r="Z13538" s="318"/>
      <c r="AA13538" s="318"/>
      <c r="AB13538" s="318"/>
      <c r="AC13538" s="318"/>
      <c r="AD13538" s="318"/>
    </row>
    <row r="13539" spans="2:30" s="323" customFormat="1" ht="12" customHeight="1">
      <c r="B13539" s="324"/>
      <c r="C13539" s="325"/>
      <c r="D13539" s="326"/>
      <c r="E13539" s="326"/>
      <c r="F13539" s="326"/>
      <c r="G13539" s="326"/>
      <c r="H13539" s="326"/>
      <c r="P13539" s="318"/>
      <c r="Q13539" s="318"/>
      <c r="R13539" s="318"/>
      <c r="S13539" s="318"/>
      <c r="T13539" s="318"/>
      <c r="U13539" s="318"/>
      <c r="V13539" s="318"/>
      <c r="W13539" s="318"/>
      <c r="X13539" s="318"/>
      <c r="Y13539" s="318"/>
      <c r="Z13539" s="318"/>
      <c r="AA13539" s="318"/>
      <c r="AB13539" s="318"/>
      <c r="AC13539" s="318"/>
      <c r="AD13539" s="318"/>
    </row>
    <row r="13540" spans="2:30" s="323" customFormat="1" ht="12" customHeight="1">
      <c r="B13540" s="324"/>
      <c r="C13540" s="325"/>
      <c r="D13540" s="326"/>
      <c r="E13540" s="326"/>
      <c r="F13540" s="326"/>
      <c r="G13540" s="326"/>
      <c r="H13540" s="326"/>
      <c r="P13540" s="318"/>
      <c r="Q13540" s="318"/>
      <c r="R13540" s="318"/>
      <c r="S13540" s="318"/>
      <c r="T13540" s="318"/>
      <c r="U13540" s="318"/>
      <c r="V13540" s="318"/>
      <c r="W13540" s="318"/>
      <c r="X13540" s="318"/>
      <c r="Y13540" s="318"/>
      <c r="Z13540" s="318"/>
      <c r="AA13540" s="318"/>
      <c r="AB13540" s="318"/>
      <c r="AC13540" s="318"/>
      <c r="AD13540" s="318"/>
    </row>
    <row r="13541" spans="2:30" s="323" customFormat="1" ht="12" customHeight="1">
      <c r="B13541" s="324"/>
      <c r="C13541" s="325"/>
      <c r="D13541" s="326"/>
      <c r="E13541" s="326"/>
      <c r="F13541" s="326"/>
      <c r="G13541" s="326"/>
      <c r="H13541" s="326"/>
      <c r="P13541" s="318"/>
      <c r="Q13541" s="318"/>
      <c r="R13541" s="318"/>
      <c r="S13541" s="318"/>
      <c r="T13541" s="318"/>
      <c r="U13541" s="318"/>
      <c r="V13541" s="318"/>
      <c r="W13541" s="318"/>
      <c r="X13541" s="318"/>
      <c r="Y13541" s="318"/>
      <c r="Z13541" s="318"/>
      <c r="AA13541" s="318"/>
      <c r="AB13541" s="318"/>
      <c r="AC13541" s="318"/>
      <c r="AD13541" s="318"/>
    </row>
    <row r="13542" spans="2:30" s="323" customFormat="1" ht="12" customHeight="1">
      <c r="B13542" s="324"/>
      <c r="C13542" s="325"/>
      <c r="D13542" s="326"/>
      <c r="E13542" s="326"/>
      <c r="F13542" s="326"/>
      <c r="G13542" s="326"/>
      <c r="H13542" s="326"/>
      <c r="P13542" s="318"/>
      <c r="Q13542" s="318"/>
      <c r="R13542" s="318"/>
      <c r="S13542" s="318"/>
      <c r="T13542" s="318"/>
      <c r="U13542" s="318"/>
      <c r="V13542" s="318"/>
      <c r="W13542" s="318"/>
      <c r="X13542" s="318"/>
      <c r="Y13542" s="318"/>
      <c r="Z13542" s="318"/>
      <c r="AA13542" s="318"/>
      <c r="AB13542" s="318"/>
      <c r="AC13542" s="318"/>
      <c r="AD13542" s="318"/>
    </row>
    <row r="13543" spans="2:30" s="323" customFormat="1" ht="12" customHeight="1">
      <c r="B13543" s="324"/>
      <c r="C13543" s="325"/>
      <c r="D13543" s="326"/>
      <c r="E13543" s="326"/>
      <c r="F13543" s="326"/>
      <c r="G13543" s="326"/>
      <c r="H13543" s="326"/>
      <c r="P13543" s="318"/>
      <c r="Q13543" s="318"/>
      <c r="R13543" s="318"/>
      <c r="S13543" s="318"/>
      <c r="T13543" s="318"/>
      <c r="U13543" s="318"/>
      <c r="V13543" s="318"/>
      <c r="W13543" s="318"/>
      <c r="X13543" s="318"/>
      <c r="Y13543" s="318"/>
      <c r="Z13543" s="318"/>
      <c r="AA13543" s="318"/>
      <c r="AB13543" s="318"/>
      <c r="AC13543" s="318"/>
      <c r="AD13543" s="318"/>
    </row>
    <row r="13544" spans="2:30" s="323" customFormat="1" ht="12" customHeight="1">
      <c r="B13544" s="324"/>
      <c r="C13544" s="325"/>
      <c r="D13544" s="326"/>
      <c r="E13544" s="326"/>
      <c r="F13544" s="326"/>
      <c r="G13544" s="326"/>
      <c r="H13544" s="326"/>
      <c r="P13544" s="318"/>
      <c r="Q13544" s="318"/>
      <c r="R13544" s="318"/>
      <c r="S13544" s="318"/>
      <c r="T13544" s="318"/>
      <c r="U13544" s="318"/>
      <c r="V13544" s="318"/>
      <c r="W13544" s="318"/>
      <c r="X13544" s="318"/>
      <c r="Y13544" s="318"/>
      <c r="Z13544" s="318"/>
      <c r="AA13544" s="318"/>
      <c r="AB13544" s="318"/>
      <c r="AC13544" s="318"/>
      <c r="AD13544" s="318"/>
    </row>
    <row r="13545" spans="2:30" s="323" customFormat="1" ht="12" customHeight="1">
      <c r="B13545" s="324"/>
      <c r="C13545" s="325"/>
      <c r="D13545" s="326"/>
      <c r="E13545" s="326"/>
      <c r="F13545" s="326"/>
      <c r="G13545" s="326"/>
      <c r="H13545" s="326"/>
      <c r="P13545" s="318"/>
      <c r="Q13545" s="318"/>
      <c r="R13545" s="318"/>
      <c r="S13545" s="318"/>
      <c r="T13545" s="318"/>
      <c r="U13545" s="318"/>
      <c r="V13545" s="318"/>
      <c r="W13545" s="318"/>
      <c r="X13545" s="318"/>
      <c r="Y13545" s="318"/>
      <c r="Z13545" s="318"/>
      <c r="AA13545" s="318"/>
      <c r="AB13545" s="318"/>
      <c r="AC13545" s="318"/>
      <c r="AD13545" s="318"/>
    </row>
    <row r="13546" spans="2:30" s="323" customFormat="1" ht="12" customHeight="1">
      <c r="B13546" s="324"/>
      <c r="C13546" s="325"/>
      <c r="D13546" s="326"/>
      <c r="E13546" s="326"/>
      <c r="F13546" s="326"/>
      <c r="G13546" s="326"/>
      <c r="H13546" s="326"/>
      <c r="P13546" s="318"/>
      <c r="Q13546" s="318"/>
      <c r="R13546" s="318"/>
      <c r="S13546" s="318"/>
      <c r="T13546" s="318"/>
      <c r="U13546" s="318"/>
      <c r="V13546" s="318"/>
      <c r="W13546" s="318"/>
      <c r="X13546" s="318"/>
      <c r="Y13546" s="318"/>
      <c r="Z13546" s="318"/>
      <c r="AA13546" s="318"/>
      <c r="AB13546" s="318"/>
      <c r="AC13546" s="318"/>
      <c r="AD13546" s="318"/>
    </row>
    <row r="13547" spans="2:30" s="323" customFormat="1" ht="12" customHeight="1">
      <c r="B13547" s="324"/>
      <c r="C13547" s="325"/>
      <c r="D13547" s="326"/>
      <c r="E13547" s="326"/>
      <c r="F13547" s="326"/>
      <c r="G13547" s="326"/>
      <c r="H13547" s="326"/>
      <c r="P13547" s="318"/>
      <c r="Q13547" s="318"/>
      <c r="R13547" s="318"/>
      <c r="S13547" s="318"/>
      <c r="T13547" s="318"/>
      <c r="U13547" s="318"/>
      <c r="V13547" s="318"/>
      <c r="W13547" s="318"/>
      <c r="X13547" s="318"/>
      <c r="Y13547" s="318"/>
      <c r="Z13547" s="318"/>
      <c r="AA13547" s="318"/>
      <c r="AB13547" s="318"/>
      <c r="AC13547" s="318"/>
      <c r="AD13547" s="318"/>
    </row>
    <row r="13548" spans="2:30" s="323" customFormat="1" ht="12" customHeight="1">
      <c r="B13548" s="324"/>
      <c r="C13548" s="325"/>
      <c r="D13548" s="326"/>
      <c r="E13548" s="326"/>
      <c r="F13548" s="326"/>
      <c r="G13548" s="326"/>
      <c r="H13548" s="326"/>
      <c r="P13548" s="318"/>
      <c r="Q13548" s="318"/>
      <c r="R13548" s="318"/>
      <c r="S13548" s="318"/>
      <c r="T13548" s="318"/>
      <c r="U13548" s="318"/>
      <c r="V13548" s="318"/>
      <c r="W13548" s="318"/>
      <c r="X13548" s="318"/>
      <c r="Y13548" s="318"/>
      <c r="Z13548" s="318"/>
      <c r="AA13548" s="318"/>
      <c r="AB13548" s="318"/>
      <c r="AC13548" s="318"/>
      <c r="AD13548" s="318"/>
    </row>
    <row r="13549" spans="2:30" s="323" customFormat="1" ht="12" customHeight="1">
      <c r="B13549" s="324"/>
      <c r="C13549" s="325"/>
      <c r="D13549" s="326"/>
      <c r="E13549" s="326"/>
      <c r="F13549" s="326"/>
      <c r="G13549" s="326"/>
      <c r="H13549" s="326"/>
      <c r="P13549" s="318"/>
      <c r="Q13549" s="318"/>
      <c r="R13549" s="318"/>
      <c r="S13549" s="318"/>
      <c r="T13549" s="318"/>
      <c r="U13549" s="318"/>
      <c r="V13549" s="318"/>
      <c r="W13549" s="318"/>
      <c r="X13549" s="318"/>
      <c r="Y13549" s="318"/>
      <c r="Z13549" s="318"/>
      <c r="AA13549" s="318"/>
      <c r="AB13549" s="318"/>
      <c r="AC13549" s="318"/>
      <c r="AD13549" s="318"/>
    </row>
    <row r="13550" spans="2:30" s="323" customFormat="1" ht="12" customHeight="1">
      <c r="B13550" s="324"/>
      <c r="C13550" s="325"/>
      <c r="D13550" s="326"/>
      <c r="E13550" s="326"/>
      <c r="F13550" s="326"/>
      <c r="G13550" s="326"/>
      <c r="H13550" s="326"/>
      <c r="P13550" s="318"/>
      <c r="Q13550" s="318"/>
      <c r="R13550" s="318"/>
      <c r="S13550" s="318"/>
      <c r="T13550" s="318"/>
      <c r="U13550" s="318"/>
      <c r="V13550" s="318"/>
      <c r="W13550" s="318"/>
      <c r="X13550" s="318"/>
      <c r="Y13550" s="318"/>
      <c r="Z13550" s="318"/>
      <c r="AA13550" s="318"/>
      <c r="AB13550" s="318"/>
      <c r="AC13550" s="318"/>
      <c r="AD13550" s="318"/>
    </row>
    <row r="13551" spans="2:30" s="323" customFormat="1" ht="12" customHeight="1">
      <c r="B13551" s="324"/>
      <c r="C13551" s="325"/>
      <c r="D13551" s="326"/>
      <c r="E13551" s="326"/>
      <c r="F13551" s="326"/>
      <c r="G13551" s="326"/>
      <c r="H13551" s="326"/>
      <c r="P13551" s="318"/>
      <c r="Q13551" s="318"/>
      <c r="R13551" s="318"/>
      <c r="S13551" s="318"/>
      <c r="T13551" s="318"/>
      <c r="U13551" s="318"/>
      <c r="V13551" s="318"/>
      <c r="W13551" s="318"/>
      <c r="X13551" s="318"/>
      <c r="Y13551" s="318"/>
      <c r="Z13551" s="318"/>
      <c r="AA13551" s="318"/>
      <c r="AB13551" s="318"/>
      <c r="AC13551" s="318"/>
      <c r="AD13551" s="318"/>
    </row>
    <row r="13552" spans="2:30" s="323" customFormat="1" ht="12" customHeight="1">
      <c r="B13552" s="324"/>
      <c r="C13552" s="325"/>
      <c r="D13552" s="326"/>
      <c r="E13552" s="326"/>
      <c r="F13552" s="326"/>
      <c r="G13552" s="326"/>
      <c r="H13552" s="326"/>
      <c r="P13552" s="318"/>
      <c r="Q13552" s="318"/>
      <c r="R13552" s="318"/>
      <c r="S13552" s="318"/>
      <c r="T13552" s="318"/>
      <c r="U13552" s="318"/>
      <c r="V13552" s="318"/>
      <c r="W13552" s="318"/>
      <c r="X13552" s="318"/>
      <c r="Y13552" s="318"/>
      <c r="Z13552" s="318"/>
      <c r="AA13552" s="318"/>
      <c r="AB13552" s="318"/>
      <c r="AC13552" s="318"/>
      <c r="AD13552" s="318"/>
    </row>
    <row r="13553" spans="2:30" s="323" customFormat="1" ht="12" customHeight="1">
      <c r="B13553" s="324"/>
      <c r="C13553" s="325"/>
      <c r="D13553" s="326"/>
      <c r="E13553" s="326"/>
      <c r="F13553" s="326"/>
      <c r="G13553" s="326"/>
      <c r="H13553" s="326"/>
      <c r="P13553" s="318"/>
      <c r="Q13553" s="318"/>
      <c r="R13553" s="318"/>
      <c r="S13553" s="318"/>
      <c r="T13553" s="318"/>
      <c r="U13553" s="318"/>
      <c r="V13553" s="318"/>
      <c r="W13553" s="318"/>
      <c r="X13553" s="318"/>
      <c r="Y13553" s="318"/>
      <c r="Z13553" s="318"/>
      <c r="AA13553" s="318"/>
      <c r="AB13553" s="318"/>
      <c r="AC13553" s="318"/>
      <c r="AD13553" s="318"/>
    </row>
    <row r="13554" spans="2:30" s="323" customFormat="1" ht="12" customHeight="1">
      <c r="B13554" s="324"/>
      <c r="C13554" s="325"/>
      <c r="D13554" s="326"/>
      <c r="E13554" s="326"/>
      <c r="F13554" s="326"/>
      <c r="G13554" s="326"/>
      <c r="H13554" s="326"/>
      <c r="P13554" s="318"/>
      <c r="Q13554" s="318"/>
      <c r="R13554" s="318"/>
      <c r="S13554" s="318"/>
      <c r="T13554" s="318"/>
      <c r="U13554" s="318"/>
      <c r="V13554" s="318"/>
      <c r="W13554" s="318"/>
      <c r="X13554" s="318"/>
      <c r="Y13554" s="318"/>
      <c r="Z13554" s="318"/>
      <c r="AA13554" s="318"/>
      <c r="AB13554" s="318"/>
      <c r="AC13554" s="318"/>
      <c r="AD13554" s="318"/>
    </row>
    <row r="13555" spans="2:30" s="323" customFormat="1" ht="12" customHeight="1">
      <c r="B13555" s="324"/>
      <c r="C13555" s="325"/>
      <c r="D13555" s="326"/>
      <c r="E13555" s="326"/>
      <c r="F13555" s="326"/>
      <c r="G13555" s="326"/>
      <c r="H13555" s="326"/>
      <c r="P13555" s="318"/>
      <c r="Q13555" s="318"/>
      <c r="R13555" s="318"/>
      <c r="S13555" s="318"/>
      <c r="T13555" s="318"/>
      <c r="U13555" s="318"/>
      <c r="V13555" s="318"/>
      <c r="W13555" s="318"/>
      <c r="X13555" s="318"/>
      <c r="Y13555" s="318"/>
      <c r="Z13555" s="318"/>
      <c r="AA13555" s="318"/>
      <c r="AB13555" s="318"/>
      <c r="AC13555" s="318"/>
      <c r="AD13555" s="318"/>
    </row>
    <row r="13556" spans="2:30" s="323" customFormat="1" ht="12" customHeight="1">
      <c r="B13556" s="324"/>
      <c r="C13556" s="325"/>
      <c r="D13556" s="326"/>
      <c r="E13556" s="326"/>
      <c r="F13556" s="326"/>
      <c r="G13556" s="326"/>
      <c r="H13556" s="326"/>
      <c r="P13556" s="318"/>
      <c r="Q13556" s="318"/>
      <c r="R13556" s="318"/>
      <c r="S13556" s="318"/>
      <c r="T13556" s="318"/>
      <c r="U13556" s="318"/>
      <c r="V13556" s="318"/>
      <c r="W13556" s="318"/>
      <c r="X13556" s="318"/>
      <c r="Y13556" s="318"/>
      <c r="Z13556" s="318"/>
      <c r="AA13556" s="318"/>
      <c r="AB13556" s="318"/>
      <c r="AC13556" s="318"/>
      <c r="AD13556" s="318"/>
    </row>
    <row r="13557" spans="2:30" s="323" customFormat="1" ht="12" customHeight="1">
      <c r="B13557" s="324"/>
      <c r="C13557" s="325"/>
      <c r="D13557" s="326"/>
      <c r="E13557" s="326"/>
      <c r="F13557" s="326"/>
      <c r="G13557" s="326"/>
      <c r="H13557" s="326"/>
      <c r="P13557" s="318"/>
      <c r="Q13557" s="318"/>
      <c r="R13557" s="318"/>
      <c r="S13557" s="318"/>
      <c r="T13557" s="318"/>
      <c r="U13557" s="318"/>
      <c r="V13557" s="318"/>
      <c r="W13557" s="318"/>
      <c r="X13557" s="318"/>
      <c r="Y13557" s="318"/>
      <c r="Z13557" s="318"/>
      <c r="AA13557" s="318"/>
      <c r="AB13557" s="318"/>
      <c r="AC13557" s="318"/>
      <c r="AD13557" s="318"/>
    </row>
    <row r="13558" spans="2:30" s="323" customFormat="1" ht="12" customHeight="1">
      <c r="B13558" s="324"/>
      <c r="C13558" s="325"/>
      <c r="D13558" s="326"/>
      <c r="E13558" s="326"/>
      <c r="F13558" s="326"/>
      <c r="G13558" s="326"/>
      <c r="H13558" s="326"/>
      <c r="P13558" s="318"/>
      <c r="Q13558" s="318"/>
      <c r="R13558" s="318"/>
      <c r="S13558" s="318"/>
      <c r="T13558" s="318"/>
      <c r="U13558" s="318"/>
      <c r="V13558" s="318"/>
      <c r="W13558" s="318"/>
      <c r="X13558" s="318"/>
      <c r="Y13558" s="318"/>
      <c r="Z13558" s="318"/>
      <c r="AA13558" s="318"/>
      <c r="AB13558" s="318"/>
      <c r="AC13558" s="318"/>
      <c r="AD13558" s="318"/>
    </row>
    <row r="13559" spans="2:30" s="323" customFormat="1" ht="12" customHeight="1">
      <c r="B13559" s="324"/>
      <c r="C13559" s="325"/>
      <c r="D13559" s="326"/>
      <c r="E13559" s="326"/>
      <c r="F13559" s="326"/>
      <c r="G13559" s="326"/>
      <c r="H13559" s="326"/>
      <c r="P13559" s="318"/>
      <c r="Q13559" s="318"/>
      <c r="R13559" s="318"/>
      <c r="S13559" s="318"/>
      <c r="T13559" s="318"/>
      <c r="U13559" s="318"/>
      <c r="V13559" s="318"/>
      <c r="W13559" s="318"/>
      <c r="X13559" s="318"/>
      <c r="Y13559" s="318"/>
      <c r="Z13559" s="318"/>
      <c r="AA13559" s="318"/>
      <c r="AB13559" s="318"/>
      <c r="AC13559" s="318"/>
      <c r="AD13559" s="318"/>
    </row>
    <row r="13560" spans="2:30" s="323" customFormat="1" ht="12" customHeight="1">
      <c r="B13560" s="324"/>
      <c r="C13560" s="325"/>
      <c r="D13560" s="326"/>
      <c r="E13560" s="326"/>
      <c r="F13560" s="326"/>
      <c r="G13560" s="326"/>
      <c r="H13560" s="326"/>
      <c r="P13560" s="318"/>
      <c r="Q13560" s="318"/>
      <c r="R13560" s="318"/>
      <c r="S13560" s="318"/>
      <c r="T13560" s="318"/>
      <c r="U13560" s="318"/>
      <c r="V13560" s="318"/>
      <c r="W13560" s="318"/>
      <c r="X13560" s="318"/>
      <c r="Y13560" s="318"/>
      <c r="Z13560" s="318"/>
      <c r="AA13560" s="318"/>
      <c r="AB13560" s="318"/>
      <c r="AC13560" s="318"/>
      <c r="AD13560" s="318"/>
    </row>
    <row r="13561" spans="2:30" s="323" customFormat="1" ht="12" customHeight="1">
      <c r="B13561" s="324"/>
      <c r="C13561" s="325"/>
      <c r="D13561" s="326"/>
      <c r="E13561" s="326"/>
      <c r="F13561" s="326"/>
      <c r="G13561" s="326"/>
      <c r="H13561" s="326"/>
      <c r="P13561" s="318"/>
      <c r="Q13561" s="318"/>
      <c r="R13561" s="318"/>
      <c r="S13561" s="318"/>
      <c r="T13561" s="318"/>
      <c r="U13561" s="318"/>
      <c r="V13561" s="318"/>
      <c r="W13561" s="318"/>
      <c r="X13561" s="318"/>
      <c r="Y13561" s="318"/>
      <c r="Z13561" s="318"/>
      <c r="AA13561" s="318"/>
      <c r="AB13561" s="318"/>
      <c r="AC13561" s="318"/>
      <c r="AD13561" s="318"/>
    </row>
    <row r="13562" spans="2:30" s="323" customFormat="1" ht="12" customHeight="1">
      <c r="B13562" s="324"/>
      <c r="C13562" s="325"/>
      <c r="D13562" s="326"/>
      <c r="E13562" s="326"/>
      <c r="F13562" s="326"/>
      <c r="G13562" s="326"/>
      <c r="H13562" s="326"/>
      <c r="P13562" s="318"/>
      <c r="Q13562" s="318"/>
      <c r="R13562" s="318"/>
      <c r="S13562" s="318"/>
      <c r="T13562" s="318"/>
      <c r="U13562" s="318"/>
      <c r="V13562" s="318"/>
      <c r="W13562" s="318"/>
      <c r="X13562" s="318"/>
      <c r="Y13562" s="318"/>
      <c r="Z13562" s="318"/>
      <c r="AA13562" s="318"/>
      <c r="AB13562" s="318"/>
      <c r="AC13562" s="318"/>
      <c r="AD13562" s="318"/>
    </row>
    <row r="13563" spans="2:30" s="323" customFormat="1" ht="12" customHeight="1">
      <c r="B13563" s="324"/>
      <c r="C13563" s="325"/>
      <c r="D13563" s="326"/>
      <c r="E13563" s="326"/>
      <c r="F13563" s="326"/>
      <c r="G13563" s="326"/>
      <c r="H13563" s="326"/>
      <c r="P13563" s="318"/>
      <c r="Q13563" s="318"/>
      <c r="R13563" s="318"/>
      <c r="S13563" s="318"/>
      <c r="T13563" s="318"/>
      <c r="U13563" s="318"/>
      <c r="V13563" s="318"/>
      <c r="W13563" s="318"/>
      <c r="X13563" s="318"/>
      <c r="Y13563" s="318"/>
      <c r="Z13563" s="318"/>
      <c r="AA13563" s="318"/>
      <c r="AB13563" s="318"/>
      <c r="AC13563" s="318"/>
      <c r="AD13563" s="318"/>
    </row>
    <row r="13564" spans="2:30" s="323" customFormat="1" ht="12" customHeight="1">
      <c r="B13564" s="324"/>
      <c r="C13564" s="325"/>
      <c r="D13564" s="326"/>
      <c r="E13564" s="326"/>
      <c r="F13564" s="326"/>
      <c r="G13564" s="326"/>
      <c r="H13564" s="326"/>
      <c r="P13564" s="318"/>
      <c r="Q13564" s="318"/>
      <c r="R13564" s="318"/>
      <c r="S13564" s="318"/>
      <c r="T13564" s="318"/>
      <c r="U13564" s="318"/>
      <c r="V13564" s="318"/>
      <c r="W13564" s="318"/>
      <c r="X13564" s="318"/>
      <c r="Y13564" s="318"/>
      <c r="Z13564" s="318"/>
      <c r="AA13564" s="318"/>
      <c r="AB13564" s="318"/>
      <c r="AC13564" s="318"/>
      <c r="AD13564" s="318"/>
    </row>
    <row r="13565" spans="2:30" s="323" customFormat="1" ht="12" customHeight="1">
      <c r="B13565" s="324"/>
      <c r="C13565" s="325"/>
      <c r="D13565" s="326"/>
      <c r="E13565" s="326"/>
      <c r="F13565" s="326"/>
      <c r="G13565" s="326"/>
      <c r="H13565" s="326"/>
      <c r="P13565" s="318"/>
      <c r="Q13565" s="318"/>
      <c r="R13565" s="318"/>
      <c r="S13565" s="318"/>
      <c r="T13565" s="318"/>
      <c r="U13565" s="318"/>
      <c r="V13565" s="318"/>
      <c r="W13565" s="318"/>
      <c r="X13565" s="318"/>
      <c r="Y13565" s="318"/>
      <c r="Z13565" s="318"/>
      <c r="AA13565" s="318"/>
      <c r="AB13565" s="318"/>
      <c r="AC13565" s="318"/>
      <c r="AD13565" s="318"/>
    </row>
    <row r="13566" spans="2:30" s="323" customFormat="1" ht="12" customHeight="1">
      <c r="B13566" s="324"/>
      <c r="C13566" s="325"/>
      <c r="D13566" s="326"/>
      <c r="E13566" s="326"/>
      <c r="F13566" s="326"/>
      <c r="G13566" s="326"/>
      <c r="H13566" s="326"/>
      <c r="P13566" s="318"/>
      <c r="Q13566" s="318"/>
      <c r="R13566" s="318"/>
      <c r="S13566" s="318"/>
      <c r="T13566" s="318"/>
      <c r="U13566" s="318"/>
      <c r="V13566" s="318"/>
      <c r="W13566" s="318"/>
      <c r="X13566" s="318"/>
      <c r="Y13566" s="318"/>
      <c r="Z13566" s="318"/>
      <c r="AA13566" s="318"/>
      <c r="AB13566" s="318"/>
      <c r="AC13566" s="318"/>
      <c r="AD13566" s="318"/>
    </row>
    <row r="13567" spans="2:30" s="323" customFormat="1" ht="12" customHeight="1">
      <c r="B13567" s="324"/>
      <c r="C13567" s="325"/>
      <c r="D13567" s="326"/>
      <c r="E13567" s="326"/>
      <c r="F13567" s="326"/>
      <c r="G13567" s="326"/>
      <c r="H13567" s="326"/>
      <c r="P13567" s="318"/>
      <c r="Q13567" s="318"/>
      <c r="R13567" s="318"/>
      <c r="S13567" s="318"/>
      <c r="T13567" s="318"/>
      <c r="U13567" s="318"/>
      <c r="V13567" s="318"/>
      <c r="W13567" s="318"/>
      <c r="X13567" s="318"/>
      <c r="Y13567" s="318"/>
      <c r="Z13567" s="318"/>
      <c r="AA13567" s="318"/>
      <c r="AB13567" s="318"/>
      <c r="AC13567" s="318"/>
      <c r="AD13567" s="318"/>
    </row>
    <row r="13568" spans="2:30" s="323" customFormat="1" ht="12" customHeight="1">
      <c r="B13568" s="324"/>
      <c r="C13568" s="325"/>
      <c r="D13568" s="326"/>
      <c r="E13568" s="326"/>
      <c r="F13568" s="326"/>
      <c r="G13568" s="326"/>
      <c r="H13568" s="326"/>
      <c r="P13568" s="318"/>
      <c r="Q13568" s="318"/>
      <c r="R13568" s="318"/>
      <c r="S13568" s="318"/>
      <c r="T13568" s="318"/>
      <c r="U13568" s="318"/>
      <c r="V13568" s="318"/>
      <c r="W13568" s="318"/>
      <c r="X13568" s="318"/>
      <c r="Y13568" s="318"/>
      <c r="Z13568" s="318"/>
      <c r="AA13568" s="318"/>
      <c r="AB13568" s="318"/>
      <c r="AC13568" s="318"/>
      <c r="AD13568" s="318"/>
    </row>
    <row r="13569" spans="2:30" s="323" customFormat="1" ht="12" customHeight="1">
      <c r="B13569" s="324"/>
      <c r="C13569" s="325"/>
      <c r="D13569" s="326"/>
      <c r="E13569" s="326"/>
      <c r="F13569" s="326"/>
      <c r="G13569" s="326"/>
      <c r="H13569" s="326"/>
      <c r="P13569" s="318"/>
      <c r="Q13569" s="318"/>
      <c r="R13569" s="318"/>
      <c r="S13569" s="318"/>
      <c r="T13569" s="318"/>
      <c r="U13569" s="318"/>
      <c r="V13569" s="318"/>
      <c r="W13569" s="318"/>
      <c r="X13569" s="318"/>
      <c r="Y13569" s="318"/>
      <c r="Z13569" s="318"/>
      <c r="AA13569" s="318"/>
      <c r="AB13569" s="318"/>
      <c r="AC13569" s="318"/>
      <c r="AD13569" s="318"/>
    </row>
    <row r="13570" spans="2:30" s="323" customFormat="1" ht="12" customHeight="1">
      <c r="B13570" s="324"/>
      <c r="C13570" s="325"/>
      <c r="D13570" s="326"/>
      <c r="E13570" s="326"/>
      <c r="F13570" s="326"/>
      <c r="G13570" s="326"/>
      <c r="H13570" s="326"/>
      <c r="P13570" s="318"/>
      <c r="Q13570" s="318"/>
      <c r="R13570" s="318"/>
      <c r="S13570" s="318"/>
      <c r="T13570" s="318"/>
      <c r="U13570" s="318"/>
      <c r="V13570" s="318"/>
      <c r="W13570" s="318"/>
      <c r="X13570" s="318"/>
      <c r="Y13570" s="318"/>
      <c r="Z13570" s="318"/>
      <c r="AA13570" s="318"/>
      <c r="AB13570" s="318"/>
      <c r="AC13570" s="318"/>
      <c r="AD13570" s="318"/>
    </row>
    <row r="13571" spans="2:30" s="323" customFormat="1" ht="12" customHeight="1">
      <c r="B13571" s="324"/>
      <c r="C13571" s="325"/>
      <c r="D13571" s="326"/>
      <c r="E13571" s="326"/>
      <c r="F13571" s="326"/>
      <c r="G13571" s="326"/>
      <c r="H13571" s="326"/>
      <c r="P13571" s="318"/>
      <c r="Q13571" s="318"/>
      <c r="R13571" s="318"/>
      <c r="S13571" s="318"/>
      <c r="T13571" s="318"/>
      <c r="U13571" s="318"/>
      <c r="V13571" s="318"/>
      <c r="W13571" s="318"/>
      <c r="X13571" s="318"/>
      <c r="Y13571" s="318"/>
      <c r="Z13571" s="318"/>
      <c r="AA13571" s="318"/>
      <c r="AB13571" s="318"/>
      <c r="AC13571" s="318"/>
      <c r="AD13571" s="318"/>
    </row>
    <row r="13572" spans="2:30" s="323" customFormat="1" ht="12" customHeight="1">
      <c r="B13572" s="324"/>
      <c r="C13572" s="325"/>
      <c r="D13572" s="326"/>
      <c r="E13572" s="326"/>
      <c r="F13572" s="326"/>
      <c r="G13572" s="326"/>
      <c r="H13572" s="326"/>
      <c r="P13572" s="318"/>
      <c r="Q13572" s="318"/>
      <c r="R13572" s="318"/>
      <c r="S13572" s="318"/>
      <c r="T13572" s="318"/>
      <c r="U13572" s="318"/>
      <c r="V13572" s="318"/>
      <c r="W13572" s="318"/>
      <c r="X13572" s="318"/>
      <c r="Y13572" s="318"/>
      <c r="Z13572" s="318"/>
      <c r="AA13572" s="318"/>
      <c r="AB13572" s="318"/>
      <c r="AC13572" s="318"/>
      <c r="AD13572" s="318"/>
    </row>
    <row r="13573" spans="2:30" s="323" customFormat="1" ht="12" customHeight="1">
      <c r="B13573" s="324"/>
      <c r="C13573" s="325"/>
      <c r="D13573" s="326"/>
      <c r="E13573" s="326"/>
      <c r="F13573" s="326"/>
      <c r="G13573" s="326"/>
      <c r="H13573" s="326"/>
      <c r="P13573" s="318"/>
      <c r="Q13573" s="318"/>
      <c r="R13573" s="318"/>
      <c r="S13573" s="318"/>
      <c r="T13573" s="318"/>
      <c r="U13573" s="318"/>
      <c r="V13573" s="318"/>
      <c r="W13573" s="318"/>
      <c r="X13573" s="318"/>
      <c r="Y13573" s="318"/>
      <c r="Z13573" s="318"/>
      <c r="AA13573" s="318"/>
      <c r="AB13573" s="318"/>
      <c r="AC13573" s="318"/>
      <c r="AD13573" s="318"/>
    </row>
    <row r="13574" spans="2:30" s="323" customFormat="1" ht="12" customHeight="1">
      <c r="B13574" s="324"/>
      <c r="C13574" s="325"/>
      <c r="D13574" s="326"/>
      <c r="E13574" s="326"/>
      <c r="F13574" s="326"/>
      <c r="G13574" s="326"/>
      <c r="H13574" s="326"/>
      <c r="P13574" s="318"/>
      <c r="Q13574" s="318"/>
      <c r="R13574" s="318"/>
      <c r="S13574" s="318"/>
      <c r="T13574" s="318"/>
      <c r="U13574" s="318"/>
      <c r="V13574" s="318"/>
      <c r="W13574" s="318"/>
      <c r="X13574" s="318"/>
      <c r="Y13574" s="318"/>
      <c r="Z13574" s="318"/>
      <c r="AA13574" s="318"/>
      <c r="AB13574" s="318"/>
      <c r="AC13574" s="318"/>
      <c r="AD13574" s="318"/>
    </row>
    <row r="13575" spans="2:30" s="323" customFormat="1" ht="12" customHeight="1">
      <c r="B13575" s="324"/>
      <c r="C13575" s="325"/>
      <c r="D13575" s="326"/>
      <c r="E13575" s="326"/>
      <c r="F13575" s="326"/>
      <c r="G13575" s="326"/>
      <c r="H13575" s="326"/>
      <c r="P13575" s="318"/>
      <c r="Q13575" s="318"/>
      <c r="R13575" s="318"/>
      <c r="S13575" s="318"/>
      <c r="T13575" s="318"/>
      <c r="U13575" s="318"/>
      <c r="V13575" s="318"/>
      <c r="W13575" s="318"/>
      <c r="X13575" s="318"/>
      <c r="Y13575" s="318"/>
      <c r="Z13575" s="318"/>
      <c r="AA13575" s="318"/>
      <c r="AB13575" s="318"/>
      <c r="AC13575" s="318"/>
      <c r="AD13575" s="318"/>
    </row>
    <row r="13576" spans="2:30" s="323" customFormat="1" ht="12" customHeight="1">
      <c r="B13576" s="324"/>
      <c r="C13576" s="325"/>
      <c r="D13576" s="326"/>
      <c r="E13576" s="326"/>
      <c r="F13576" s="326"/>
      <c r="G13576" s="326"/>
      <c r="H13576" s="326"/>
      <c r="P13576" s="318"/>
      <c r="Q13576" s="318"/>
      <c r="R13576" s="318"/>
      <c r="S13576" s="318"/>
      <c r="T13576" s="318"/>
      <c r="U13576" s="318"/>
      <c r="V13576" s="318"/>
      <c r="W13576" s="318"/>
      <c r="X13576" s="318"/>
      <c r="Y13576" s="318"/>
      <c r="Z13576" s="318"/>
      <c r="AA13576" s="318"/>
      <c r="AB13576" s="318"/>
      <c r="AC13576" s="318"/>
      <c r="AD13576" s="318"/>
    </row>
    <row r="13577" spans="2:30" s="323" customFormat="1" ht="12" customHeight="1">
      <c r="B13577" s="324"/>
      <c r="C13577" s="325"/>
      <c r="D13577" s="326"/>
      <c r="E13577" s="326"/>
      <c r="F13577" s="326"/>
      <c r="G13577" s="326"/>
      <c r="H13577" s="326"/>
      <c r="P13577" s="318"/>
      <c r="Q13577" s="318"/>
      <c r="R13577" s="318"/>
      <c r="S13577" s="318"/>
      <c r="T13577" s="318"/>
      <c r="U13577" s="318"/>
      <c r="V13577" s="318"/>
      <c r="W13577" s="318"/>
      <c r="X13577" s="318"/>
      <c r="Y13577" s="318"/>
      <c r="Z13577" s="318"/>
      <c r="AA13577" s="318"/>
      <c r="AB13577" s="318"/>
      <c r="AC13577" s="318"/>
      <c r="AD13577" s="318"/>
    </row>
    <row r="13578" spans="2:30" s="323" customFormat="1" ht="12" customHeight="1">
      <c r="B13578" s="324"/>
      <c r="C13578" s="325"/>
      <c r="D13578" s="326"/>
      <c r="E13578" s="326"/>
      <c r="F13578" s="326"/>
      <c r="G13578" s="326"/>
      <c r="H13578" s="326"/>
      <c r="P13578" s="318"/>
      <c r="Q13578" s="318"/>
      <c r="R13578" s="318"/>
      <c r="S13578" s="318"/>
      <c r="T13578" s="318"/>
      <c r="U13578" s="318"/>
      <c r="V13578" s="318"/>
      <c r="W13578" s="318"/>
      <c r="X13578" s="318"/>
      <c r="Y13578" s="318"/>
      <c r="Z13578" s="318"/>
      <c r="AA13578" s="318"/>
      <c r="AB13578" s="318"/>
      <c r="AC13578" s="318"/>
      <c r="AD13578" s="318"/>
    </row>
    <row r="13579" spans="2:30" s="323" customFormat="1" ht="12" customHeight="1">
      <c r="B13579" s="324"/>
      <c r="C13579" s="325"/>
      <c r="D13579" s="326"/>
      <c r="E13579" s="326"/>
      <c r="F13579" s="326"/>
      <c r="G13579" s="326"/>
      <c r="H13579" s="326"/>
      <c r="P13579" s="318"/>
      <c r="Q13579" s="318"/>
      <c r="R13579" s="318"/>
      <c r="S13579" s="318"/>
      <c r="T13579" s="318"/>
      <c r="U13579" s="318"/>
      <c r="V13579" s="318"/>
      <c r="W13579" s="318"/>
      <c r="X13579" s="318"/>
      <c r="Y13579" s="318"/>
      <c r="Z13579" s="318"/>
      <c r="AA13579" s="318"/>
      <c r="AB13579" s="318"/>
      <c r="AC13579" s="318"/>
      <c r="AD13579" s="318"/>
    </row>
    <row r="13580" spans="2:30" s="323" customFormat="1" ht="12" customHeight="1">
      <c r="B13580" s="324"/>
      <c r="C13580" s="325"/>
      <c r="D13580" s="326"/>
      <c r="E13580" s="326"/>
      <c r="F13580" s="326"/>
      <c r="G13580" s="326"/>
      <c r="H13580" s="326"/>
      <c r="P13580" s="318"/>
      <c r="Q13580" s="318"/>
      <c r="R13580" s="318"/>
      <c r="S13580" s="318"/>
      <c r="T13580" s="318"/>
      <c r="U13580" s="318"/>
      <c r="V13580" s="318"/>
      <c r="W13580" s="318"/>
      <c r="X13580" s="318"/>
      <c r="Y13580" s="318"/>
      <c r="Z13580" s="318"/>
      <c r="AA13580" s="318"/>
      <c r="AB13580" s="318"/>
      <c r="AC13580" s="318"/>
      <c r="AD13580" s="318"/>
    </row>
    <row r="13581" spans="2:30" s="323" customFormat="1" ht="12" customHeight="1">
      <c r="B13581" s="324"/>
      <c r="C13581" s="325"/>
      <c r="D13581" s="326"/>
      <c r="E13581" s="326"/>
      <c r="F13581" s="326"/>
      <c r="G13581" s="326"/>
      <c r="H13581" s="326"/>
      <c r="P13581" s="318"/>
      <c r="Q13581" s="318"/>
      <c r="R13581" s="318"/>
      <c r="S13581" s="318"/>
      <c r="T13581" s="318"/>
      <c r="U13581" s="318"/>
      <c r="V13581" s="318"/>
      <c r="W13581" s="318"/>
      <c r="X13581" s="318"/>
      <c r="Y13581" s="318"/>
      <c r="Z13581" s="318"/>
      <c r="AA13581" s="318"/>
      <c r="AB13581" s="318"/>
      <c r="AC13581" s="318"/>
      <c r="AD13581" s="318"/>
    </row>
    <row r="13582" spans="2:30" s="323" customFormat="1" ht="12" customHeight="1">
      <c r="B13582" s="324"/>
      <c r="C13582" s="325"/>
      <c r="D13582" s="326"/>
      <c r="E13582" s="326"/>
      <c r="F13582" s="326"/>
      <c r="G13582" s="326"/>
      <c r="H13582" s="326"/>
      <c r="P13582" s="318"/>
      <c r="Q13582" s="318"/>
      <c r="R13582" s="318"/>
      <c r="S13582" s="318"/>
      <c r="T13582" s="318"/>
      <c r="U13582" s="318"/>
      <c r="V13582" s="318"/>
      <c r="W13582" s="318"/>
      <c r="X13582" s="318"/>
      <c r="Y13582" s="318"/>
      <c r="Z13582" s="318"/>
      <c r="AA13582" s="318"/>
      <c r="AB13582" s="318"/>
      <c r="AC13582" s="318"/>
      <c r="AD13582" s="318"/>
    </row>
    <row r="13583" spans="2:30" s="323" customFormat="1" ht="12" customHeight="1">
      <c r="B13583" s="324"/>
      <c r="C13583" s="325"/>
      <c r="D13583" s="326"/>
      <c r="E13583" s="326"/>
      <c r="F13583" s="326"/>
      <c r="G13583" s="326"/>
      <c r="H13583" s="326"/>
      <c r="P13583" s="318"/>
      <c r="Q13583" s="318"/>
      <c r="R13583" s="318"/>
      <c r="S13583" s="318"/>
      <c r="T13583" s="318"/>
      <c r="U13583" s="318"/>
      <c r="V13583" s="318"/>
      <c r="W13583" s="318"/>
      <c r="X13583" s="318"/>
      <c r="Y13583" s="318"/>
      <c r="Z13583" s="318"/>
      <c r="AA13583" s="318"/>
      <c r="AB13583" s="318"/>
      <c r="AC13583" s="318"/>
      <c r="AD13583" s="318"/>
    </row>
    <row r="13584" spans="2:30" s="323" customFormat="1" ht="12" customHeight="1">
      <c r="B13584" s="324"/>
      <c r="C13584" s="325"/>
      <c r="D13584" s="326"/>
      <c r="E13584" s="326"/>
      <c r="F13584" s="326"/>
      <c r="G13584" s="326"/>
      <c r="H13584" s="326"/>
      <c r="P13584" s="318"/>
      <c r="Q13584" s="318"/>
      <c r="R13584" s="318"/>
      <c r="S13584" s="318"/>
      <c r="T13584" s="318"/>
      <c r="U13584" s="318"/>
      <c r="V13584" s="318"/>
      <c r="W13584" s="318"/>
      <c r="X13584" s="318"/>
      <c r="Y13584" s="318"/>
      <c r="Z13584" s="318"/>
      <c r="AA13584" s="318"/>
      <c r="AB13584" s="318"/>
      <c r="AC13584" s="318"/>
      <c r="AD13584" s="318"/>
    </row>
    <row r="13585" spans="2:30" s="323" customFormat="1" ht="12" customHeight="1">
      <c r="B13585" s="324"/>
      <c r="C13585" s="325"/>
      <c r="D13585" s="326"/>
      <c r="E13585" s="326"/>
      <c r="F13585" s="326"/>
      <c r="G13585" s="326"/>
      <c r="H13585" s="326"/>
      <c r="P13585" s="318"/>
      <c r="Q13585" s="318"/>
      <c r="R13585" s="318"/>
      <c r="S13585" s="318"/>
      <c r="T13585" s="318"/>
      <c r="U13585" s="318"/>
      <c r="V13585" s="318"/>
      <c r="W13585" s="318"/>
      <c r="X13585" s="318"/>
      <c r="Y13585" s="318"/>
      <c r="Z13585" s="318"/>
      <c r="AA13585" s="318"/>
      <c r="AB13585" s="318"/>
      <c r="AC13585" s="318"/>
      <c r="AD13585" s="318"/>
    </row>
    <row r="13586" spans="2:30" s="323" customFormat="1" ht="12" customHeight="1">
      <c r="B13586" s="324"/>
      <c r="C13586" s="325"/>
      <c r="D13586" s="326"/>
      <c r="E13586" s="326"/>
      <c r="F13586" s="326"/>
      <c r="G13586" s="326"/>
      <c r="H13586" s="326"/>
      <c r="P13586" s="318"/>
      <c r="Q13586" s="318"/>
      <c r="R13586" s="318"/>
      <c r="S13586" s="318"/>
      <c r="T13586" s="318"/>
      <c r="U13586" s="318"/>
      <c r="V13586" s="318"/>
      <c r="W13586" s="318"/>
      <c r="X13586" s="318"/>
      <c r="Y13586" s="318"/>
      <c r="Z13586" s="318"/>
      <c r="AA13586" s="318"/>
      <c r="AB13586" s="318"/>
      <c r="AC13586" s="318"/>
      <c r="AD13586" s="318"/>
    </row>
    <row r="13587" spans="2:30" s="323" customFormat="1" ht="12" customHeight="1">
      <c r="B13587" s="324"/>
      <c r="C13587" s="325"/>
      <c r="D13587" s="326"/>
      <c r="E13587" s="326"/>
      <c r="F13587" s="326"/>
      <c r="G13587" s="326"/>
      <c r="H13587" s="326"/>
      <c r="P13587" s="318"/>
      <c r="Q13587" s="318"/>
      <c r="R13587" s="318"/>
      <c r="S13587" s="318"/>
      <c r="T13587" s="318"/>
      <c r="U13587" s="318"/>
      <c r="V13587" s="318"/>
      <c r="W13587" s="318"/>
      <c r="X13587" s="318"/>
      <c r="Y13587" s="318"/>
      <c r="Z13587" s="318"/>
      <c r="AA13587" s="318"/>
      <c r="AB13587" s="318"/>
      <c r="AC13587" s="318"/>
      <c r="AD13587" s="318"/>
    </row>
    <row r="13588" spans="2:30" s="323" customFormat="1" ht="12" customHeight="1">
      <c r="B13588" s="324"/>
      <c r="C13588" s="325"/>
      <c r="D13588" s="326"/>
      <c r="E13588" s="326"/>
      <c r="F13588" s="326"/>
      <c r="G13588" s="326"/>
      <c r="H13588" s="326"/>
      <c r="P13588" s="318"/>
      <c r="Q13588" s="318"/>
      <c r="R13588" s="318"/>
      <c r="S13588" s="318"/>
      <c r="T13588" s="318"/>
      <c r="U13588" s="318"/>
      <c r="V13588" s="318"/>
      <c r="W13588" s="318"/>
      <c r="X13588" s="318"/>
      <c r="Y13588" s="318"/>
      <c r="Z13588" s="318"/>
      <c r="AA13588" s="318"/>
      <c r="AB13588" s="318"/>
      <c r="AC13588" s="318"/>
      <c r="AD13588" s="318"/>
    </row>
    <row r="13589" spans="2:30" s="323" customFormat="1" ht="12" customHeight="1">
      <c r="B13589" s="324"/>
      <c r="C13589" s="325"/>
      <c r="D13589" s="326"/>
      <c r="E13589" s="326"/>
      <c r="F13589" s="326"/>
      <c r="G13589" s="326"/>
      <c r="H13589" s="326"/>
      <c r="P13589" s="318"/>
      <c r="Q13589" s="318"/>
      <c r="R13589" s="318"/>
      <c r="S13589" s="318"/>
      <c r="T13589" s="318"/>
      <c r="U13589" s="318"/>
      <c r="V13589" s="318"/>
      <c r="W13589" s="318"/>
      <c r="X13589" s="318"/>
      <c r="Y13589" s="318"/>
      <c r="Z13589" s="318"/>
      <c r="AA13589" s="318"/>
      <c r="AB13589" s="318"/>
      <c r="AC13589" s="318"/>
      <c r="AD13589" s="318"/>
    </row>
    <row r="13590" spans="2:30" s="323" customFormat="1" ht="12" customHeight="1">
      <c r="B13590" s="324"/>
      <c r="C13590" s="325"/>
      <c r="D13590" s="326"/>
      <c r="E13590" s="326"/>
      <c r="F13590" s="326"/>
      <c r="G13590" s="326"/>
      <c r="H13590" s="326"/>
      <c r="P13590" s="318"/>
      <c r="Q13590" s="318"/>
      <c r="R13590" s="318"/>
      <c r="S13590" s="318"/>
      <c r="T13590" s="318"/>
      <c r="U13590" s="318"/>
      <c r="V13590" s="318"/>
      <c r="W13590" s="318"/>
      <c r="X13590" s="318"/>
      <c r="Y13590" s="318"/>
      <c r="Z13590" s="318"/>
      <c r="AA13590" s="318"/>
      <c r="AB13590" s="318"/>
      <c r="AC13590" s="318"/>
      <c r="AD13590" s="318"/>
    </row>
    <row r="13591" spans="2:30" s="323" customFormat="1" ht="12" customHeight="1">
      <c r="B13591" s="324"/>
      <c r="C13591" s="325"/>
      <c r="D13591" s="326"/>
      <c r="E13591" s="326"/>
      <c r="F13591" s="326"/>
      <c r="G13591" s="326"/>
      <c r="H13591" s="326"/>
      <c r="P13591" s="318"/>
      <c r="Q13591" s="318"/>
      <c r="R13591" s="318"/>
      <c r="S13591" s="318"/>
      <c r="T13591" s="318"/>
      <c r="U13591" s="318"/>
      <c r="V13591" s="318"/>
      <c r="W13591" s="318"/>
      <c r="X13591" s="318"/>
      <c r="Y13591" s="318"/>
      <c r="Z13591" s="318"/>
      <c r="AA13591" s="318"/>
      <c r="AB13591" s="318"/>
      <c r="AC13591" s="318"/>
      <c r="AD13591" s="318"/>
    </row>
    <row r="13592" spans="2:30" s="323" customFormat="1" ht="12" customHeight="1">
      <c r="B13592" s="324"/>
      <c r="C13592" s="325"/>
      <c r="D13592" s="326"/>
      <c r="E13592" s="326"/>
      <c r="F13592" s="326"/>
      <c r="G13592" s="326"/>
      <c r="H13592" s="326"/>
      <c r="P13592" s="318"/>
      <c r="Q13592" s="318"/>
      <c r="R13592" s="318"/>
      <c r="S13592" s="318"/>
      <c r="T13592" s="318"/>
      <c r="U13592" s="318"/>
      <c r="V13592" s="318"/>
      <c r="W13592" s="318"/>
      <c r="X13592" s="318"/>
      <c r="Y13592" s="318"/>
      <c r="Z13592" s="318"/>
      <c r="AA13592" s="318"/>
      <c r="AB13592" s="318"/>
      <c r="AC13592" s="318"/>
      <c r="AD13592" s="318"/>
    </row>
    <row r="13593" spans="2:30" s="323" customFormat="1" ht="12" customHeight="1">
      <c r="B13593" s="324"/>
      <c r="C13593" s="325"/>
      <c r="D13593" s="326"/>
      <c r="E13593" s="326"/>
      <c r="F13593" s="326"/>
      <c r="G13593" s="326"/>
      <c r="H13593" s="326"/>
      <c r="P13593" s="318"/>
      <c r="Q13593" s="318"/>
      <c r="R13593" s="318"/>
      <c r="S13593" s="318"/>
      <c r="T13593" s="318"/>
      <c r="U13593" s="318"/>
      <c r="V13593" s="318"/>
      <c r="W13593" s="318"/>
      <c r="X13593" s="318"/>
      <c r="Y13593" s="318"/>
      <c r="Z13593" s="318"/>
      <c r="AA13593" s="318"/>
      <c r="AB13593" s="318"/>
      <c r="AC13593" s="318"/>
      <c r="AD13593" s="318"/>
    </row>
    <row r="13594" spans="2:30" s="323" customFormat="1" ht="12" customHeight="1">
      <c r="B13594" s="324"/>
      <c r="C13594" s="325"/>
      <c r="D13594" s="326"/>
      <c r="E13594" s="326"/>
      <c r="F13594" s="326"/>
      <c r="G13594" s="326"/>
      <c r="H13594" s="326"/>
      <c r="P13594" s="318"/>
      <c r="Q13594" s="318"/>
      <c r="R13594" s="318"/>
      <c r="S13594" s="318"/>
      <c r="T13594" s="318"/>
      <c r="U13594" s="318"/>
      <c r="V13594" s="318"/>
      <c r="W13594" s="318"/>
      <c r="X13594" s="318"/>
      <c r="Y13594" s="318"/>
      <c r="Z13594" s="318"/>
      <c r="AA13594" s="318"/>
      <c r="AB13594" s="318"/>
      <c r="AC13594" s="318"/>
      <c r="AD13594" s="318"/>
    </row>
    <row r="13595" spans="2:30" s="323" customFormat="1" ht="12" customHeight="1">
      <c r="B13595" s="324"/>
      <c r="C13595" s="325"/>
      <c r="D13595" s="326"/>
      <c r="E13595" s="326"/>
      <c r="F13595" s="326"/>
      <c r="G13595" s="326"/>
      <c r="H13595" s="326"/>
      <c r="P13595" s="318"/>
      <c r="Q13595" s="318"/>
      <c r="R13595" s="318"/>
      <c r="S13595" s="318"/>
      <c r="T13595" s="318"/>
      <c r="U13595" s="318"/>
      <c r="V13595" s="318"/>
      <c r="W13595" s="318"/>
      <c r="X13595" s="318"/>
      <c r="Y13595" s="318"/>
      <c r="Z13595" s="318"/>
      <c r="AA13595" s="318"/>
      <c r="AB13595" s="318"/>
      <c r="AC13595" s="318"/>
      <c r="AD13595" s="318"/>
    </row>
    <row r="13596" spans="2:30" s="323" customFormat="1" ht="12" customHeight="1">
      <c r="B13596" s="324"/>
      <c r="C13596" s="325"/>
      <c r="D13596" s="326"/>
      <c r="E13596" s="326"/>
      <c r="F13596" s="326"/>
      <c r="G13596" s="326"/>
      <c r="H13596" s="326"/>
      <c r="P13596" s="318"/>
      <c r="Q13596" s="318"/>
      <c r="R13596" s="318"/>
      <c r="S13596" s="318"/>
      <c r="T13596" s="318"/>
      <c r="U13596" s="318"/>
      <c r="V13596" s="318"/>
      <c r="W13596" s="318"/>
      <c r="X13596" s="318"/>
      <c r="Y13596" s="318"/>
      <c r="Z13596" s="318"/>
      <c r="AA13596" s="318"/>
      <c r="AB13596" s="318"/>
      <c r="AC13596" s="318"/>
      <c r="AD13596" s="318"/>
    </row>
    <row r="13597" spans="2:30" s="323" customFormat="1" ht="12" customHeight="1">
      <c r="B13597" s="324"/>
      <c r="C13597" s="325"/>
      <c r="D13597" s="326"/>
      <c r="E13597" s="326"/>
      <c r="F13597" s="326"/>
      <c r="G13597" s="326"/>
      <c r="H13597" s="326"/>
      <c r="P13597" s="318"/>
      <c r="Q13597" s="318"/>
      <c r="R13597" s="318"/>
      <c r="S13597" s="318"/>
      <c r="T13597" s="318"/>
      <c r="U13597" s="318"/>
      <c r="V13597" s="318"/>
      <c r="W13597" s="318"/>
      <c r="X13597" s="318"/>
      <c r="Y13597" s="318"/>
      <c r="Z13597" s="318"/>
      <c r="AA13597" s="318"/>
      <c r="AB13597" s="318"/>
      <c r="AC13597" s="318"/>
      <c r="AD13597" s="318"/>
    </row>
    <row r="13598" spans="2:30" s="323" customFormat="1" ht="12" customHeight="1">
      <c r="B13598" s="324"/>
      <c r="C13598" s="325"/>
      <c r="D13598" s="326"/>
      <c r="E13598" s="326"/>
      <c r="F13598" s="326"/>
      <c r="G13598" s="326"/>
      <c r="H13598" s="326"/>
      <c r="P13598" s="318"/>
      <c r="Q13598" s="318"/>
      <c r="R13598" s="318"/>
      <c r="S13598" s="318"/>
      <c r="T13598" s="318"/>
      <c r="U13598" s="318"/>
      <c r="V13598" s="318"/>
      <c r="W13598" s="318"/>
      <c r="X13598" s="318"/>
      <c r="Y13598" s="318"/>
      <c r="Z13598" s="318"/>
      <c r="AA13598" s="318"/>
      <c r="AB13598" s="318"/>
      <c r="AC13598" s="318"/>
      <c r="AD13598" s="318"/>
    </row>
    <row r="13599" spans="2:30" s="323" customFormat="1" ht="12" customHeight="1">
      <c r="B13599" s="324"/>
      <c r="C13599" s="325"/>
      <c r="D13599" s="326"/>
      <c r="E13599" s="326"/>
      <c r="F13599" s="326"/>
      <c r="G13599" s="326"/>
      <c r="H13599" s="326"/>
      <c r="P13599" s="318"/>
      <c r="Q13599" s="318"/>
      <c r="R13599" s="318"/>
      <c r="S13599" s="318"/>
      <c r="T13599" s="318"/>
      <c r="U13599" s="318"/>
      <c r="V13599" s="318"/>
      <c r="W13599" s="318"/>
      <c r="X13599" s="318"/>
      <c r="Y13599" s="318"/>
      <c r="Z13599" s="318"/>
      <c r="AA13599" s="318"/>
      <c r="AB13599" s="318"/>
      <c r="AC13599" s="318"/>
      <c r="AD13599" s="318"/>
    </row>
    <row r="13600" spans="2:30" s="323" customFormat="1" ht="12" customHeight="1">
      <c r="B13600" s="324"/>
      <c r="C13600" s="325"/>
      <c r="D13600" s="326"/>
      <c r="E13600" s="326"/>
      <c r="F13600" s="326"/>
      <c r="G13600" s="326"/>
      <c r="H13600" s="326"/>
      <c r="P13600" s="318"/>
      <c r="Q13600" s="318"/>
      <c r="R13600" s="318"/>
      <c r="S13600" s="318"/>
      <c r="T13600" s="318"/>
      <c r="U13600" s="318"/>
      <c r="V13600" s="318"/>
      <c r="W13600" s="318"/>
      <c r="X13600" s="318"/>
      <c r="Y13600" s="318"/>
      <c r="Z13600" s="318"/>
      <c r="AA13600" s="318"/>
      <c r="AB13600" s="318"/>
      <c r="AC13600" s="318"/>
      <c r="AD13600" s="318"/>
    </row>
    <row r="13601" spans="2:30" s="323" customFormat="1" ht="12" customHeight="1">
      <c r="B13601" s="324"/>
      <c r="C13601" s="325"/>
      <c r="D13601" s="326"/>
      <c r="E13601" s="326"/>
      <c r="F13601" s="326"/>
      <c r="G13601" s="326"/>
      <c r="H13601" s="326"/>
      <c r="P13601" s="318"/>
      <c r="Q13601" s="318"/>
      <c r="R13601" s="318"/>
      <c r="S13601" s="318"/>
      <c r="T13601" s="318"/>
      <c r="U13601" s="318"/>
      <c r="V13601" s="318"/>
      <c r="W13601" s="318"/>
      <c r="X13601" s="318"/>
      <c r="Y13601" s="318"/>
      <c r="Z13601" s="318"/>
      <c r="AA13601" s="318"/>
      <c r="AB13601" s="318"/>
      <c r="AC13601" s="318"/>
      <c r="AD13601" s="318"/>
    </row>
    <row r="13602" spans="2:30" s="323" customFormat="1" ht="12" customHeight="1">
      <c r="B13602" s="324"/>
      <c r="C13602" s="325"/>
      <c r="D13602" s="326"/>
      <c r="E13602" s="326"/>
      <c r="F13602" s="326"/>
      <c r="G13602" s="326"/>
      <c r="H13602" s="326"/>
      <c r="P13602" s="318"/>
      <c r="Q13602" s="318"/>
      <c r="R13602" s="318"/>
      <c r="S13602" s="318"/>
      <c r="T13602" s="318"/>
      <c r="U13602" s="318"/>
      <c r="V13602" s="318"/>
      <c r="W13602" s="318"/>
      <c r="X13602" s="318"/>
      <c r="Y13602" s="318"/>
      <c r="Z13602" s="318"/>
      <c r="AA13602" s="318"/>
      <c r="AB13602" s="318"/>
      <c r="AC13602" s="318"/>
      <c r="AD13602" s="318"/>
    </row>
    <row r="13603" spans="2:30" s="323" customFormat="1" ht="12" customHeight="1">
      <c r="B13603" s="324"/>
      <c r="C13603" s="325"/>
      <c r="D13603" s="326"/>
      <c r="E13603" s="326"/>
      <c r="F13603" s="326"/>
      <c r="G13603" s="326"/>
      <c r="H13603" s="326"/>
      <c r="P13603" s="318"/>
      <c r="Q13603" s="318"/>
      <c r="R13603" s="318"/>
      <c r="S13603" s="318"/>
      <c r="T13603" s="318"/>
      <c r="U13603" s="318"/>
      <c r="V13603" s="318"/>
      <c r="W13603" s="318"/>
      <c r="X13603" s="318"/>
      <c r="Y13603" s="318"/>
      <c r="Z13603" s="318"/>
      <c r="AA13603" s="318"/>
      <c r="AB13603" s="318"/>
      <c r="AC13603" s="318"/>
      <c r="AD13603" s="318"/>
    </row>
    <row r="13604" spans="2:30" s="323" customFormat="1" ht="12" customHeight="1">
      <c r="B13604" s="324"/>
      <c r="C13604" s="325"/>
      <c r="D13604" s="326"/>
      <c r="E13604" s="326"/>
      <c r="F13604" s="326"/>
      <c r="G13604" s="326"/>
      <c r="H13604" s="326"/>
      <c r="P13604" s="318"/>
      <c r="Q13604" s="318"/>
      <c r="R13604" s="318"/>
      <c r="S13604" s="318"/>
      <c r="T13604" s="318"/>
      <c r="U13604" s="318"/>
      <c r="V13604" s="318"/>
      <c r="W13604" s="318"/>
      <c r="X13604" s="318"/>
      <c r="Y13604" s="318"/>
      <c r="Z13604" s="318"/>
      <c r="AA13604" s="318"/>
      <c r="AB13604" s="318"/>
      <c r="AC13604" s="318"/>
      <c r="AD13604" s="318"/>
    </row>
    <row r="13605" spans="2:30" s="323" customFormat="1" ht="12" customHeight="1">
      <c r="B13605" s="324"/>
      <c r="C13605" s="325"/>
      <c r="D13605" s="326"/>
      <c r="E13605" s="326"/>
      <c r="F13605" s="326"/>
      <c r="G13605" s="326"/>
      <c r="H13605" s="326"/>
      <c r="P13605" s="318"/>
      <c r="Q13605" s="318"/>
      <c r="R13605" s="318"/>
      <c r="S13605" s="318"/>
      <c r="T13605" s="318"/>
      <c r="U13605" s="318"/>
      <c r="V13605" s="318"/>
      <c r="W13605" s="318"/>
      <c r="X13605" s="318"/>
      <c r="Y13605" s="318"/>
      <c r="Z13605" s="318"/>
      <c r="AA13605" s="318"/>
      <c r="AB13605" s="318"/>
      <c r="AC13605" s="318"/>
      <c r="AD13605" s="318"/>
    </row>
    <row r="13606" spans="2:30" s="323" customFormat="1" ht="12" customHeight="1">
      <c r="B13606" s="324"/>
      <c r="C13606" s="325"/>
      <c r="D13606" s="326"/>
      <c r="E13606" s="326"/>
      <c r="F13606" s="326"/>
      <c r="G13606" s="326"/>
      <c r="H13606" s="326"/>
      <c r="P13606" s="318"/>
      <c r="Q13606" s="318"/>
      <c r="R13606" s="318"/>
      <c r="S13606" s="318"/>
      <c r="T13606" s="318"/>
      <c r="U13606" s="318"/>
      <c r="V13606" s="318"/>
      <c r="W13606" s="318"/>
      <c r="X13606" s="318"/>
      <c r="Y13606" s="318"/>
      <c r="Z13606" s="318"/>
      <c r="AA13606" s="318"/>
      <c r="AB13606" s="318"/>
      <c r="AC13606" s="318"/>
      <c r="AD13606" s="318"/>
    </row>
    <row r="13607" spans="2:30" s="323" customFormat="1" ht="12" customHeight="1">
      <c r="B13607" s="324"/>
      <c r="C13607" s="325"/>
      <c r="D13607" s="326"/>
      <c r="E13607" s="326"/>
      <c r="F13607" s="326"/>
      <c r="G13607" s="326"/>
      <c r="H13607" s="326"/>
      <c r="P13607" s="318"/>
      <c r="Q13607" s="318"/>
      <c r="R13607" s="318"/>
      <c r="S13607" s="318"/>
      <c r="T13607" s="318"/>
      <c r="U13607" s="318"/>
      <c r="V13607" s="318"/>
      <c r="W13607" s="318"/>
      <c r="X13607" s="318"/>
      <c r="Y13607" s="318"/>
      <c r="Z13607" s="318"/>
      <c r="AA13607" s="318"/>
      <c r="AB13607" s="318"/>
      <c r="AC13607" s="318"/>
      <c r="AD13607" s="318"/>
    </row>
    <row r="13608" spans="2:30" s="323" customFormat="1" ht="12" customHeight="1">
      <c r="B13608" s="324"/>
      <c r="C13608" s="325"/>
      <c r="D13608" s="326"/>
      <c r="E13608" s="326"/>
      <c r="F13608" s="326"/>
      <c r="G13608" s="326"/>
      <c r="H13608" s="326"/>
      <c r="P13608" s="318"/>
      <c r="Q13608" s="318"/>
      <c r="R13608" s="318"/>
      <c r="S13608" s="318"/>
      <c r="T13608" s="318"/>
      <c r="U13608" s="318"/>
      <c r="V13608" s="318"/>
      <c r="W13608" s="318"/>
      <c r="X13608" s="318"/>
      <c r="Y13608" s="318"/>
      <c r="Z13608" s="318"/>
      <c r="AA13608" s="318"/>
      <c r="AB13608" s="318"/>
      <c r="AC13608" s="318"/>
      <c r="AD13608" s="318"/>
    </row>
    <row r="13609" spans="2:30" s="323" customFormat="1" ht="12" customHeight="1">
      <c r="B13609" s="324"/>
      <c r="C13609" s="325"/>
      <c r="D13609" s="326"/>
      <c r="E13609" s="326"/>
      <c r="F13609" s="326"/>
      <c r="G13609" s="326"/>
      <c r="H13609" s="326"/>
      <c r="P13609" s="318"/>
      <c r="Q13609" s="318"/>
      <c r="R13609" s="318"/>
      <c r="S13609" s="318"/>
      <c r="T13609" s="318"/>
      <c r="U13609" s="318"/>
      <c r="V13609" s="318"/>
      <c r="W13609" s="318"/>
      <c r="X13609" s="318"/>
      <c r="Y13609" s="318"/>
      <c r="Z13609" s="318"/>
      <c r="AA13609" s="318"/>
      <c r="AB13609" s="318"/>
      <c r="AC13609" s="318"/>
      <c r="AD13609" s="318"/>
    </row>
    <row r="13610" spans="2:30" s="323" customFormat="1" ht="12" customHeight="1">
      <c r="B13610" s="324"/>
      <c r="C13610" s="325"/>
      <c r="D13610" s="326"/>
      <c r="E13610" s="326"/>
      <c r="F13610" s="326"/>
      <c r="G13610" s="326"/>
      <c r="H13610" s="326"/>
      <c r="P13610" s="318"/>
      <c r="Q13610" s="318"/>
      <c r="R13610" s="318"/>
      <c r="S13610" s="318"/>
      <c r="T13610" s="318"/>
      <c r="U13610" s="318"/>
      <c r="V13610" s="318"/>
      <c r="W13610" s="318"/>
      <c r="X13610" s="318"/>
      <c r="Y13610" s="318"/>
      <c r="Z13610" s="318"/>
      <c r="AA13610" s="318"/>
      <c r="AB13610" s="318"/>
      <c r="AC13610" s="318"/>
      <c r="AD13610" s="318"/>
    </row>
    <row r="13611" spans="2:30" s="323" customFormat="1" ht="12" customHeight="1">
      <c r="B13611" s="324"/>
      <c r="C13611" s="325"/>
      <c r="D13611" s="326"/>
      <c r="E13611" s="326"/>
      <c r="F13611" s="326"/>
      <c r="G13611" s="326"/>
      <c r="H13611" s="326"/>
      <c r="P13611" s="318"/>
      <c r="Q13611" s="318"/>
      <c r="R13611" s="318"/>
      <c r="S13611" s="318"/>
      <c r="T13611" s="318"/>
      <c r="U13611" s="318"/>
      <c r="V13611" s="318"/>
      <c r="W13611" s="318"/>
      <c r="X13611" s="318"/>
      <c r="Y13611" s="318"/>
      <c r="Z13611" s="318"/>
      <c r="AA13611" s="318"/>
      <c r="AB13611" s="318"/>
      <c r="AC13611" s="318"/>
      <c r="AD13611" s="318"/>
    </row>
    <row r="13612" spans="2:30" s="323" customFormat="1" ht="12" customHeight="1">
      <c r="B13612" s="324"/>
      <c r="C13612" s="325"/>
      <c r="D13612" s="326"/>
      <c r="E13612" s="326"/>
      <c r="F13612" s="326"/>
      <c r="G13612" s="326"/>
      <c r="H13612" s="326"/>
      <c r="P13612" s="318"/>
      <c r="Q13612" s="318"/>
      <c r="R13612" s="318"/>
      <c r="S13612" s="318"/>
      <c r="T13612" s="318"/>
      <c r="U13612" s="318"/>
      <c r="V13612" s="318"/>
      <c r="W13612" s="318"/>
      <c r="X13612" s="318"/>
      <c r="Y13612" s="318"/>
      <c r="Z13612" s="318"/>
      <c r="AA13612" s="318"/>
      <c r="AB13612" s="318"/>
      <c r="AC13612" s="318"/>
      <c r="AD13612" s="318"/>
    </row>
    <row r="13613" spans="2:30" s="323" customFormat="1" ht="12" customHeight="1">
      <c r="B13613" s="324"/>
      <c r="C13613" s="325"/>
      <c r="D13613" s="326"/>
      <c r="E13613" s="326"/>
      <c r="F13613" s="326"/>
      <c r="G13613" s="326"/>
      <c r="H13613" s="326"/>
      <c r="P13613" s="318"/>
      <c r="Q13613" s="318"/>
      <c r="R13613" s="318"/>
      <c r="S13613" s="318"/>
      <c r="T13613" s="318"/>
      <c r="U13613" s="318"/>
      <c r="V13613" s="318"/>
      <c r="W13613" s="318"/>
      <c r="X13613" s="318"/>
      <c r="Y13613" s="318"/>
      <c r="Z13613" s="318"/>
      <c r="AA13613" s="318"/>
      <c r="AB13613" s="318"/>
      <c r="AC13613" s="318"/>
      <c r="AD13613" s="318"/>
    </row>
    <row r="13614" spans="2:30" s="323" customFormat="1" ht="12" customHeight="1">
      <c r="B13614" s="324"/>
      <c r="C13614" s="325"/>
      <c r="D13614" s="326"/>
      <c r="E13614" s="326"/>
      <c r="F13614" s="326"/>
      <c r="G13614" s="326"/>
      <c r="H13614" s="326"/>
      <c r="P13614" s="318"/>
      <c r="Q13614" s="318"/>
      <c r="R13614" s="318"/>
      <c r="S13614" s="318"/>
      <c r="T13614" s="318"/>
      <c r="U13614" s="318"/>
      <c r="V13614" s="318"/>
      <c r="W13614" s="318"/>
      <c r="X13614" s="318"/>
      <c r="Y13614" s="318"/>
      <c r="Z13614" s="318"/>
      <c r="AA13614" s="318"/>
      <c r="AB13614" s="318"/>
      <c r="AC13614" s="318"/>
      <c r="AD13614" s="318"/>
    </row>
    <row r="13615" spans="2:30" s="323" customFormat="1" ht="12" customHeight="1">
      <c r="B13615" s="324"/>
      <c r="C13615" s="325"/>
      <c r="D13615" s="326"/>
      <c r="E13615" s="326"/>
      <c r="F13615" s="326"/>
      <c r="G13615" s="326"/>
      <c r="H13615" s="326"/>
      <c r="P13615" s="318"/>
      <c r="Q13615" s="318"/>
      <c r="R13615" s="318"/>
      <c r="S13615" s="318"/>
      <c r="T13615" s="318"/>
      <c r="U13615" s="318"/>
      <c r="V13615" s="318"/>
      <c r="W13615" s="318"/>
      <c r="X13615" s="318"/>
      <c r="Y13615" s="318"/>
      <c r="Z13615" s="318"/>
      <c r="AA13615" s="318"/>
      <c r="AB13615" s="318"/>
      <c r="AC13615" s="318"/>
      <c r="AD13615" s="318"/>
    </row>
    <row r="13616" spans="2:30" s="323" customFormat="1" ht="12" customHeight="1">
      <c r="B13616" s="324"/>
      <c r="C13616" s="325"/>
      <c r="D13616" s="326"/>
      <c r="E13616" s="326"/>
      <c r="F13616" s="326"/>
      <c r="G13616" s="326"/>
      <c r="H13616" s="326"/>
      <c r="P13616" s="318"/>
      <c r="Q13616" s="318"/>
      <c r="R13616" s="318"/>
      <c r="S13616" s="318"/>
      <c r="T13616" s="318"/>
      <c r="U13616" s="318"/>
      <c r="V13616" s="318"/>
      <c r="W13616" s="318"/>
      <c r="X13616" s="318"/>
      <c r="Y13616" s="318"/>
      <c r="Z13616" s="318"/>
      <c r="AA13616" s="318"/>
      <c r="AB13616" s="318"/>
      <c r="AC13616" s="318"/>
      <c r="AD13616" s="318"/>
    </row>
    <row r="13617" spans="2:30" s="323" customFormat="1" ht="12" customHeight="1">
      <c r="B13617" s="324"/>
      <c r="C13617" s="325"/>
      <c r="D13617" s="326"/>
      <c r="E13617" s="326"/>
      <c r="F13617" s="326"/>
      <c r="G13617" s="326"/>
      <c r="H13617" s="326"/>
      <c r="P13617" s="318"/>
      <c r="Q13617" s="318"/>
      <c r="R13617" s="318"/>
      <c r="S13617" s="318"/>
      <c r="T13617" s="318"/>
      <c r="U13617" s="318"/>
      <c r="V13617" s="318"/>
      <c r="W13617" s="318"/>
      <c r="X13617" s="318"/>
      <c r="Y13617" s="318"/>
      <c r="Z13617" s="318"/>
      <c r="AA13617" s="318"/>
      <c r="AB13617" s="318"/>
      <c r="AC13617" s="318"/>
      <c r="AD13617" s="318"/>
    </row>
    <row r="13618" spans="2:30" s="323" customFormat="1" ht="12" customHeight="1">
      <c r="B13618" s="324"/>
      <c r="C13618" s="325"/>
      <c r="D13618" s="326"/>
      <c r="E13618" s="326"/>
      <c r="F13618" s="326"/>
      <c r="G13618" s="326"/>
      <c r="H13618" s="326"/>
      <c r="P13618" s="318"/>
      <c r="Q13618" s="318"/>
      <c r="R13618" s="318"/>
      <c r="S13618" s="318"/>
      <c r="T13618" s="318"/>
      <c r="U13618" s="318"/>
      <c r="V13618" s="318"/>
      <c r="W13618" s="318"/>
      <c r="X13618" s="318"/>
      <c r="Y13618" s="318"/>
      <c r="Z13618" s="318"/>
      <c r="AA13618" s="318"/>
      <c r="AB13618" s="318"/>
      <c r="AC13618" s="318"/>
      <c r="AD13618" s="318"/>
    </row>
    <row r="13619" spans="2:30" s="323" customFormat="1" ht="12" customHeight="1">
      <c r="B13619" s="324"/>
      <c r="C13619" s="325"/>
      <c r="D13619" s="326"/>
      <c r="E13619" s="326"/>
      <c r="F13619" s="326"/>
      <c r="G13619" s="326"/>
      <c r="H13619" s="326"/>
      <c r="P13619" s="318"/>
      <c r="Q13619" s="318"/>
      <c r="R13619" s="318"/>
      <c r="S13619" s="318"/>
      <c r="T13619" s="318"/>
      <c r="U13619" s="318"/>
      <c r="V13619" s="318"/>
      <c r="W13619" s="318"/>
      <c r="X13619" s="318"/>
      <c r="Y13619" s="318"/>
      <c r="Z13619" s="318"/>
      <c r="AA13619" s="318"/>
      <c r="AB13619" s="318"/>
      <c r="AC13619" s="318"/>
      <c r="AD13619" s="318"/>
    </row>
    <row r="13620" spans="2:30" s="323" customFormat="1" ht="12" customHeight="1">
      <c r="B13620" s="324"/>
      <c r="C13620" s="325"/>
      <c r="D13620" s="326"/>
      <c r="E13620" s="326"/>
      <c r="F13620" s="326"/>
      <c r="G13620" s="326"/>
      <c r="H13620" s="326"/>
      <c r="P13620" s="318"/>
      <c r="Q13620" s="318"/>
      <c r="R13620" s="318"/>
      <c r="S13620" s="318"/>
      <c r="T13620" s="318"/>
      <c r="U13620" s="318"/>
      <c r="V13620" s="318"/>
      <c r="W13620" s="318"/>
      <c r="X13620" s="318"/>
      <c r="Y13620" s="318"/>
      <c r="Z13620" s="318"/>
      <c r="AA13620" s="318"/>
      <c r="AB13620" s="318"/>
      <c r="AC13620" s="318"/>
      <c r="AD13620" s="318"/>
    </row>
    <row r="13621" spans="2:30" s="323" customFormat="1" ht="12" customHeight="1">
      <c r="B13621" s="324"/>
      <c r="C13621" s="325"/>
      <c r="D13621" s="326"/>
      <c r="E13621" s="326"/>
      <c r="F13621" s="326"/>
      <c r="G13621" s="326"/>
      <c r="H13621" s="326"/>
      <c r="P13621" s="318"/>
      <c r="Q13621" s="318"/>
      <c r="R13621" s="318"/>
      <c r="S13621" s="318"/>
      <c r="T13621" s="318"/>
      <c r="U13621" s="318"/>
      <c r="V13621" s="318"/>
      <c r="W13621" s="318"/>
      <c r="X13621" s="318"/>
      <c r="Y13621" s="318"/>
      <c r="Z13621" s="318"/>
      <c r="AA13621" s="318"/>
      <c r="AB13621" s="318"/>
      <c r="AC13621" s="318"/>
      <c r="AD13621" s="318"/>
    </row>
    <row r="13622" spans="2:30" s="323" customFormat="1" ht="12" customHeight="1">
      <c r="B13622" s="324"/>
      <c r="C13622" s="325"/>
      <c r="D13622" s="326"/>
      <c r="E13622" s="326"/>
      <c r="F13622" s="326"/>
      <c r="G13622" s="326"/>
      <c r="H13622" s="326"/>
      <c r="P13622" s="318"/>
      <c r="Q13622" s="318"/>
      <c r="R13622" s="318"/>
      <c r="S13622" s="318"/>
      <c r="T13622" s="318"/>
      <c r="U13622" s="318"/>
      <c r="V13622" s="318"/>
      <c r="W13622" s="318"/>
      <c r="X13622" s="318"/>
      <c r="Y13622" s="318"/>
      <c r="Z13622" s="318"/>
      <c r="AA13622" s="318"/>
      <c r="AB13622" s="318"/>
      <c r="AC13622" s="318"/>
      <c r="AD13622" s="318"/>
    </row>
    <row r="13623" spans="2:30" s="323" customFormat="1" ht="12" customHeight="1">
      <c r="B13623" s="324"/>
      <c r="C13623" s="325"/>
      <c r="D13623" s="326"/>
      <c r="E13623" s="326"/>
      <c r="F13623" s="326"/>
      <c r="G13623" s="326"/>
      <c r="H13623" s="326"/>
      <c r="P13623" s="318"/>
      <c r="Q13623" s="318"/>
      <c r="R13623" s="318"/>
      <c r="S13623" s="318"/>
      <c r="T13623" s="318"/>
      <c r="U13623" s="318"/>
      <c r="V13623" s="318"/>
      <c r="W13623" s="318"/>
      <c r="X13623" s="318"/>
      <c r="Y13623" s="318"/>
      <c r="Z13623" s="318"/>
      <c r="AA13623" s="318"/>
      <c r="AB13623" s="318"/>
      <c r="AC13623" s="318"/>
      <c r="AD13623" s="318"/>
    </row>
    <row r="13624" spans="2:30" s="323" customFormat="1" ht="12" customHeight="1">
      <c r="B13624" s="324"/>
      <c r="C13624" s="325"/>
      <c r="D13624" s="326"/>
      <c r="E13624" s="326"/>
      <c r="F13624" s="326"/>
      <c r="G13624" s="326"/>
      <c r="H13624" s="326"/>
      <c r="P13624" s="318"/>
      <c r="Q13624" s="318"/>
      <c r="R13624" s="318"/>
      <c r="S13624" s="318"/>
      <c r="T13624" s="318"/>
      <c r="U13624" s="318"/>
      <c r="V13624" s="318"/>
      <c r="W13624" s="318"/>
      <c r="X13624" s="318"/>
      <c r="Y13624" s="318"/>
      <c r="Z13624" s="318"/>
      <c r="AA13624" s="318"/>
      <c r="AB13624" s="318"/>
      <c r="AC13624" s="318"/>
      <c r="AD13624" s="318"/>
    </row>
    <row r="13625" spans="2:30" s="323" customFormat="1" ht="12" customHeight="1">
      <c r="B13625" s="324"/>
      <c r="C13625" s="325"/>
      <c r="D13625" s="326"/>
      <c r="E13625" s="326"/>
      <c r="F13625" s="326"/>
      <c r="G13625" s="326"/>
      <c r="H13625" s="326"/>
      <c r="P13625" s="318"/>
      <c r="Q13625" s="318"/>
      <c r="R13625" s="318"/>
      <c r="S13625" s="318"/>
      <c r="T13625" s="318"/>
      <c r="U13625" s="318"/>
      <c r="V13625" s="318"/>
      <c r="W13625" s="318"/>
      <c r="X13625" s="318"/>
      <c r="Y13625" s="318"/>
      <c r="Z13625" s="318"/>
      <c r="AA13625" s="318"/>
      <c r="AB13625" s="318"/>
      <c r="AC13625" s="318"/>
      <c r="AD13625" s="318"/>
    </row>
    <row r="13626" spans="2:30" s="323" customFormat="1" ht="12" customHeight="1">
      <c r="B13626" s="324"/>
      <c r="C13626" s="325"/>
      <c r="D13626" s="326"/>
      <c r="E13626" s="326"/>
      <c r="F13626" s="326"/>
      <c r="G13626" s="326"/>
      <c r="H13626" s="326"/>
      <c r="P13626" s="318"/>
      <c r="Q13626" s="318"/>
      <c r="R13626" s="318"/>
      <c r="S13626" s="318"/>
      <c r="T13626" s="318"/>
      <c r="U13626" s="318"/>
      <c r="V13626" s="318"/>
      <c r="W13626" s="318"/>
      <c r="X13626" s="318"/>
      <c r="Y13626" s="318"/>
      <c r="Z13626" s="318"/>
      <c r="AA13626" s="318"/>
      <c r="AB13626" s="318"/>
      <c r="AC13626" s="318"/>
      <c r="AD13626" s="318"/>
    </row>
    <row r="13627" spans="2:30" s="323" customFormat="1" ht="12" customHeight="1">
      <c r="B13627" s="324"/>
      <c r="C13627" s="325"/>
      <c r="D13627" s="326"/>
      <c r="E13627" s="326"/>
      <c r="F13627" s="326"/>
      <c r="G13627" s="326"/>
      <c r="H13627" s="326"/>
      <c r="P13627" s="318"/>
      <c r="Q13627" s="318"/>
      <c r="R13627" s="318"/>
      <c r="S13627" s="318"/>
      <c r="T13627" s="318"/>
      <c r="U13627" s="318"/>
      <c r="V13627" s="318"/>
      <c r="W13627" s="318"/>
      <c r="X13627" s="318"/>
      <c r="Y13627" s="318"/>
      <c r="Z13627" s="318"/>
      <c r="AA13627" s="318"/>
      <c r="AB13627" s="318"/>
      <c r="AC13627" s="318"/>
      <c r="AD13627" s="318"/>
    </row>
    <row r="13628" spans="2:30" s="323" customFormat="1" ht="12" customHeight="1">
      <c r="B13628" s="324"/>
      <c r="C13628" s="325"/>
      <c r="D13628" s="326"/>
      <c r="E13628" s="326"/>
      <c r="F13628" s="326"/>
      <c r="G13628" s="326"/>
      <c r="H13628" s="326"/>
      <c r="P13628" s="318"/>
      <c r="Q13628" s="318"/>
      <c r="R13628" s="318"/>
      <c r="S13628" s="318"/>
      <c r="T13628" s="318"/>
      <c r="U13628" s="318"/>
      <c r="V13628" s="318"/>
      <c r="W13628" s="318"/>
      <c r="X13628" s="318"/>
      <c r="Y13628" s="318"/>
      <c r="Z13628" s="318"/>
      <c r="AA13628" s="318"/>
      <c r="AB13628" s="318"/>
      <c r="AC13628" s="318"/>
      <c r="AD13628" s="318"/>
    </row>
    <row r="13629" spans="2:30" s="323" customFormat="1" ht="12" customHeight="1">
      <c r="B13629" s="324"/>
      <c r="C13629" s="325"/>
      <c r="D13629" s="326"/>
      <c r="E13629" s="326"/>
      <c r="F13629" s="326"/>
      <c r="G13629" s="326"/>
      <c r="H13629" s="326"/>
      <c r="P13629" s="318"/>
      <c r="Q13629" s="318"/>
      <c r="R13629" s="318"/>
      <c r="S13629" s="318"/>
      <c r="T13629" s="318"/>
      <c r="U13629" s="318"/>
      <c r="V13629" s="318"/>
      <c r="W13629" s="318"/>
      <c r="X13629" s="318"/>
      <c r="Y13629" s="318"/>
      <c r="Z13629" s="318"/>
      <c r="AA13629" s="318"/>
      <c r="AB13629" s="318"/>
      <c r="AC13629" s="318"/>
      <c r="AD13629" s="318"/>
    </row>
    <row r="13630" spans="2:30" s="323" customFormat="1" ht="12" customHeight="1">
      <c r="B13630" s="324"/>
      <c r="C13630" s="325"/>
      <c r="D13630" s="326"/>
      <c r="E13630" s="326"/>
      <c r="F13630" s="326"/>
      <c r="G13630" s="326"/>
      <c r="H13630" s="326"/>
      <c r="P13630" s="318"/>
      <c r="Q13630" s="318"/>
      <c r="R13630" s="318"/>
      <c r="S13630" s="318"/>
      <c r="T13630" s="318"/>
      <c r="U13630" s="318"/>
      <c r="V13630" s="318"/>
      <c r="W13630" s="318"/>
      <c r="X13630" s="318"/>
      <c r="Y13630" s="318"/>
      <c r="Z13630" s="318"/>
      <c r="AA13630" s="318"/>
      <c r="AB13630" s="318"/>
      <c r="AC13630" s="318"/>
      <c r="AD13630" s="318"/>
    </row>
    <row r="13631" spans="2:30" s="323" customFormat="1" ht="12" customHeight="1">
      <c r="B13631" s="324"/>
      <c r="C13631" s="325"/>
      <c r="D13631" s="326"/>
      <c r="E13631" s="326"/>
      <c r="F13631" s="326"/>
      <c r="G13631" s="326"/>
      <c r="H13631" s="326"/>
      <c r="P13631" s="318"/>
      <c r="Q13631" s="318"/>
      <c r="R13631" s="318"/>
      <c r="S13631" s="318"/>
      <c r="T13631" s="318"/>
      <c r="U13631" s="318"/>
      <c r="V13631" s="318"/>
      <c r="W13631" s="318"/>
      <c r="X13631" s="318"/>
      <c r="Y13631" s="318"/>
      <c r="Z13631" s="318"/>
      <c r="AA13631" s="318"/>
      <c r="AB13631" s="318"/>
      <c r="AC13631" s="318"/>
      <c r="AD13631" s="318"/>
    </row>
    <row r="13632" spans="2:30" s="323" customFormat="1" ht="12" customHeight="1">
      <c r="B13632" s="324"/>
      <c r="C13632" s="325"/>
      <c r="D13632" s="326"/>
      <c r="E13632" s="326"/>
      <c r="F13632" s="326"/>
      <c r="G13632" s="326"/>
      <c r="H13632" s="326"/>
      <c r="P13632" s="318"/>
      <c r="Q13632" s="318"/>
      <c r="R13632" s="318"/>
      <c r="S13632" s="318"/>
      <c r="T13632" s="318"/>
      <c r="U13632" s="318"/>
      <c r="V13632" s="318"/>
      <c r="W13632" s="318"/>
      <c r="X13632" s="318"/>
      <c r="Y13632" s="318"/>
      <c r="Z13632" s="318"/>
      <c r="AA13632" s="318"/>
      <c r="AB13632" s="318"/>
      <c r="AC13632" s="318"/>
      <c r="AD13632" s="318"/>
    </row>
    <row r="13633" spans="2:30" s="323" customFormat="1" ht="12" customHeight="1">
      <c r="B13633" s="324"/>
      <c r="C13633" s="325"/>
      <c r="D13633" s="326"/>
      <c r="E13633" s="326"/>
      <c r="F13633" s="326"/>
      <c r="G13633" s="326"/>
      <c r="H13633" s="326"/>
      <c r="P13633" s="318"/>
      <c r="Q13633" s="318"/>
      <c r="R13633" s="318"/>
      <c r="S13633" s="318"/>
      <c r="T13633" s="318"/>
      <c r="U13633" s="318"/>
      <c r="V13633" s="318"/>
      <c r="W13633" s="318"/>
      <c r="X13633" s="318"/>
      <c r="Y13633" s="318"/>
      <c r="Z13633" s="318"/>
      <c r="AA13633" s="318"/>
      <c r="AB13633" s="318"/>
      <c r="AC13633" s="318"/>
      <c r="AD13633" s="318"/>
    </row>
    <row r="13634" spans="2:30" s="323" customFormat="1" ht="12" customHeight="1">
      <c r="B13634" s="324"/>
      <c r="C13634" s="325"/>
      <c r="D13634" s="326"/>
      <c r="E13634" s="326"/>
      <c r="F13634" s="326"/>
      <c r="G13634" s="326"/>
      <c r="H13634" s="326"/>
      <c r="P13634" s="318"/>
      <c r="Q13634" s="318"/>
      <c r="R13634" s="318"/>
      <c r="S13634" s="318"/>
      <c r="T13634" s="318"/>
      <c r="U13634" s="318"/>
      <c r="V13634" s="318"/>
      <c r="W13634" s="318"/>
      <c r="X13634" s="318"/>
      <c r="Y13634" s="318"/>
      <c r="Z13634" s="318"/>
      <c r="AA13634" s="318"/>
      <c r="AB13634" s="318"/>
      <c r="AC13634" s="318"/>
      <c r="AD13634" s="318"/>
    </row>
    <row r="13635" spans="2:30" s="323" customFormat="1" ht="12" customHeight="1">
      <c r="B13635" s="324"/>
      <c r="C13635" s="325"/>
      <c r="D13635" s="326"/>
      <c r="E13635" s="326"/>
      <c r="F13635" s="326"/>
      <c r="G13635" s="326"/>
      <c r="H13635" s="326"/>
      <c r="P13635" s="318"/>
      <c r="Q13635" s="318"/>
      <c r="R13635" s="318"/>
      <c r="S13635" s="318"/>
      <c r="T13635" s="318"/>
      <c r="U13635" s="318"/>
      <c r="V13635" s="318"/>
      <c r="W13635" s="318"/>
      <c r="X13635" s="318"/>
      <c r="Y13635" s="318"/>
      <c r="Z13635" s="318"/>
      <c r="AA13635" s="318"/>
      <c r="AB13635" s="318"/>
      <c r="AC13635" s="318"/>
      <c r="AD13635" s="318"/>
    </row>
    <row r="13636" spans="2:30" s="323" customFormat="1" ht="12" customHeight="1">
      <c r="B13636" s="324"/>
      <c r="C13636" s="325"/>
      <c r="D13636" s="326"/>
      <c r="E13636" s="326"/>
      <c r="F13636" s="326"/>
      <c r="G13636" s="326"/>
      <c r="H13636" s="326"/>
      <c r="P13636" s="318"/>
      <c r="Q13636" s="318"/>
      <c r="R13636" s="318"/>
      <c r="S13636" s="318"/>
      <c r="T13636" s="318"/>
      <c r="U13636" s="318"/>
      <c r="V13636" s="318"/>
      <c r="W13636" s="318"/>
      <c r="X13636" s="318"/>
      <c r="Y13636" s="318"/>
      <c r="Z13636" s="318"/>
      <c r="AA13636" s="318"/>
      <c r="AB13636" s="318"/>
      <c r="AC13636" s="318"/>
      <c r="AD13636" s="318"/>
    </row>
    <row r="13637" spans="2:30" s="323" customFormat="1" ht="12" customHeight="1">
      <c r="B13637" s="324"/>
      <c r="C13637" s="325"/>
      <c r="D13637" s="326"/>
      <c r="E13637" s="326"/>
      <c r="F13637" s="326"/>
      <c r="G13637" s="326"/>
      <c r="H13637" s="326"/>
      <c r="P13637" s="318"/>
      <c r="Q13637" s="318"/>
      <c r="R13637" s="318"/>
      <c r="S13637" s="318"/>
      <c r="T13637" s="318"/>
      <c r="U13637" s="318"/>
      <c r="V13637" s="318"/>
      <c r="W13637" s="318"/>
      <c r="X13637" s="318"/>
      <c r="Y13637" s="318"/>
      <c r="Z13637" s="318"/>
      <c r="AA13637" s="318"/>
      <c r="AB13637" s="318"/>
      <c r="AC13637" s="318"/>
      <c r="AD13637" s="318"/>
    </row>
    <row r="13638" spans="2:30" s="323" customFormat="1" ht="12" customHeight="1">
      <c r="B13638" s="324"/>
      <c r="C13638" s="325"/>
      <c r="D13638" s="326"/>
      <c r="E13638" s="326"/>
      <c r="F13638" s="326"/>
      <c r="G13638" s="326"/>
      <c r="H13638" s="326"/>
      <c r="P13638" s="318"/>
      <c r="Q13638" s="318"/>
      <c r="R13638" s="318"/>
      <c r="S13638" s="318"/>
      <c r="T13638" s="318"/>
      <c r="U13638" s="318"/>
      <c r="V13638" s="318"/>
      <c r="W13638" s="318"/>
      <c r="X13638" s="318"/>
      <c r="Y13638" s="318"/>
      <c r="Z13638" s="318"/>
      <c r="AA13638" s="318"/>
      <c r="AB13638" s="318"/>
      <c r="AC13638" s="318"/>
      <c r="AD13638" s="318"/>
    </row>
    <row r="13639" spans="2:30" s="323" customFormat="1" ht="12" customHeight="1">
      <c r="B13639" s="324"/>
      <c r="C13639" s="325"/>
      <c r="D13639" s="326"/>
      <c r="E13639" s="326"/>
      <c r="F13639" s="326"/>
      <c r="G13639" s="326"/>
      <c r="H13639" s="326"/>
      <c r="P13639" s="318"/>
      <c r="Q13639" s="318"/>
      <c r="R13639" s="318"/>
      <c r="S13639" s="318"/>
      <c r="T13639" s="318"/>
      <c r="U13639" s="318"/>
      <c r="V13639" s="318"/>
      <c r="W13639" s="318"/>
      <c r="X13639" s="318"/>
      <c r="Y13639" s="318"/>
      <c r="Z13639" s="318"/>
      <c r="AA13639" s="318"/>
      <c r="AB13639" s="318"/>
      <c r="AC13639" s="318"/>
      <c r="AD13639" s="318"/>
    </row>
    <row r="13640" spans="2:30" s="323" customFormat="1" ht="12" customHeight="1">
      <c r="B13640" s="324"/>
      <c r="C13640" s="325"/>
      <c r="D13640" s="326"/>
      <c r="E13640" s="326"/>
      <c r="F13640" s="326"/>
      <c r="G13640" s="326"/>
      <c r="H13640" s="326"/>
      <c r="P13640" s="318"/>
      <c r="Q13640" s="318"/>
      <c r="R13640" s="318"/>
      <c r="S13640" s="318"/>
      <c r="T13640" s="318"/>
      <c r="U13640" s="318"/>
      <c r="V13640" s="318"/>
      <c r="W13640" s="318"/>
      <c r="X13640" s="318"/>
      <c r="Y13640" s="318"/>
      <c r="Z13640" s="318"/>
      <c r="AA13640" s="318"/>
      <c r="AB13640" s="318"/>
      <c r="AC13640" s="318"/>
      <c r="AD13640" s="318"/>
    </row>
    <row r="13641" spans="2:30" s="323" customFormat="1" ht="12" customHeight="1">
      <c r="B13641" s="324"/>
      <c r="C13641" s="325"/>
      <c r="D13641" s="326"/>
      <c r="E13641" s="326"/>
      <c r="F13641" s="326"/>
      <c r="G13641" s="326"/>
      <c r="H13641" s="326"/>
      <c r="P13641" s="318"/>
      <c r="Q13641" s="318"/>
      <c r="R13641" s="318"/>
      <c r="S13641" s="318"/>
      <c r="T13641" s="318"/>
      <c r="U13641" s="318"/>
      <c r="V13641" s="318"/>
      <c r="W13641" s="318"/>
      <c r="X13641" s="318"/>
      <c r="Y13641" s="318"/>
      <c r="Z13641" s="318"/>
      <c r="AA13641" s="318"/>
      <c r="AB13641" s="318"/>
      <c r="AC13641" s="318"/>
      <c r="AD13641" s="318"/>
    </row>
    <row r="13642" spans="2:30" s="323" customFormat="1" ht="12" customHeight="1">
      <c r="B13642" s="324"/>
      <c r="C13642" s="325"/>
      <c r="D13642" s="326"/>
      <c r="E13642" s="326"/>
      <c r="F13642" s="326"/>
      <c r="G13642" s="326"/>
      <c r="H13642" s="326"/>
      <c r="P13642" s="318"/>
      <c r="Q13642" s="318"/>
      <c r="R13642" s="318"/>
      <c r="S13642" s="318"/>
      <c r="T13642" s="318"/>
      <c r="U13642" s="318"/>
      <c r="V13642" s="318"/>
      <c r="W13642" s="318"/>
      <c r="X13642" s="318"/>
      <c r="Y13642" s="318"/>
      <c r="Z13642" s="318"/>
      <c r="AA13642" s="318"/>
      <c r="AB13642" s="318"/>
      <c r="AC13642" s="318"/>
      <c r="AD13642" s="318"/>
    </row>
    <row r="13643" spans="2:30" s="323" customFormat="1" ht="12" customHeight="1">
      <c r="B13643" s="324"/>
      <c r="C13643" s="325"/>
      <c r="D13643" s="326"/>
      <c r="E13643" s="326"/>
      <c r="F13643" s="326"/>
      <c r="G13643" s="326"/>
      <c r="H13643" s="326"/>
      <c r="P13643" s="318"/>
      <c r="Q13643" s="318"/>
      <c r="R13643" s="318"/>
      <c r="S13643" s="318"/>
      <c r="T13643" s="318"/>
      <c r="U13643" s="318"/>
      <c r="V13643" s="318"/>
      <c r="W13643" s="318"/>
      <c r="X13643" s="318"/>
      <c r="Y13643" s="318"/>
      <c r="Z13643" s="318"/>
      <c r="AA13643" s="318"/>
      <c r="AB13643" s="318"/>
      <c r="AC13643" s="318"/>
      <c r="AD13643" s="318"/>
    </row>
    <row r="13644" spans="2:30" s="323" customFormat="1" ht="12" customHeight="1">
      <c r="B13644" s="324"/>
      <c r="C13644" s="325"/>
      <c r="D13644" s="326"/>
      <c r="E13644" s="326"/>
      <c r="F13644" s="326"/>
      <c r="G13644" s="326"/>
      <c r="H13644" s="326"/>
      <c r="P13644" s="318"/>
      <c r="Q13644" s="318"/>
      <c r="R13644" s="318"/>
      <c r="S13644" s="318"/>
      <c r="T13644" s="318"/>
      <c r="U13644" s="318"/>
      <c r="V13644" s="318"/>
      <c r="W13644" s="318"/>
      <c r="X13644" s="318"/>
      <c r="Y13644" s="318"/>
      <c r="Z13644" s="318"/>
      <c r="AA13644" s="318"/>
      <c r="AB13644" s="318"/>
      <c r="AC13644" s="318"/>
      <c r="AD13644" s="318"/>
    </row>
    <row r="13645" spans="2:30" s="323" customFormat="1" ht="12" customHeight="1">
      <c r="B13645" s="324"/>
      <c r="C13645" s="325"/>
      <c r="D13645" s="326"/>
      <c r="E13645" s="326"/>
      <c r="F13645" s="326"/>
      <c r="G13645" s="326"/>
      <c r="H13645" s="326"/>
      <c r="P13645" s="318"/>
      <c r="Q13645" s="318"/>
      <c r="R13645" s="318"/>
      <c r="S13645" s="318"/>
      <c r="T13645" s="318"/>
      <c r="U13645" s="318"/>
      <c r="V13645" s="318"/>
      <c r="W13645" s="318"/>
      <c r="X13645" s="318"/>
      <c r="Y13645" s="318"/>
      <c r="Z13645" s="318"/>
      <c r="AA13645" s="318"/>
      <c r="AB13645" s="318"/>
      <c r="AC13645" s="318"/>
      <c r="AD13645" s="318"/>
    </row>
    <row r="13646" spans="2:30" s="323" customFormat="1" ht="12" customHeight="1">
      <c r="B13646" s="324"/>
      <c r="C13646" s="325"/>
      <c r="D13646" s="326"/>
      <c r="E13646" s="326"/>
      <c r="F13646" s="326"/>
      <c r="G13646" s="326"/>
      <c r="H13646" s="326"/>
      <c r="P13646" s="318"/>
      <c r="Q13646" s="318"/>
      <c r="R13646" s="318"/>
      <c r="S13646" s="318"/>
      <c r="T13646" s="318"/>
      <c r="U13646" s="318"/>
      <c r="V13646" s="318"/>
      <c r="W13646" s="318"/>
      <c r="X13646" s="318"/>
      <c r="Y13646" s="318"/>
      <c r="Z13646" s="318"/>
      <c r="AA13646" s="318"/>
      <c r="AB13646" s="318"/>
      <c r="AC13646" s="318"/>
      <c r="AD13646" s="318"/>
    </row>
    <row r="13647" spans="2:30" s="323" customFormat="1" ht="12" customHeight="1">
      <c r="B13647" s="324"/>
      <c r="C13647" s="325"/>
      <c r="D13647" s="326"/>
      <c r="E13647" s="326"/>
      <c r="F13647" s="326"/>
      <c r="G13647" s="326"/>
      <c r="H13647" s="326"/>
      <c r="P13647" s="318"/>
      <c r="Q13647" s="318"/>
      <c r="R13647" s="318"/>
      <c r="S13647" s="318"/>
      <c r="T13647" s="318"/>
      <c r="U13647" s="318"/>
      <c r="V13647" s="318"/>
      <c r="W13647" s="318"/>
      <c r="X13647" s="318"/>
      <c r="Y13647" s="318"/>
      <c r="Z13647" s="318"/>
      <c r="AA13647" s="318"/>
      <c r="AB13647" s="318"/>
      <c r="AC13647" s="318"/>
      <c r="AD13647" s="318"/>
    </row>
    <row r="13648" spans="2:30" s="323" customFormat="1" ht="12" customHeight="1">
      <c r="B13648" s="324"/>
      <c r="C13648" s="325"/>
      <c r="D13648" s="326"/>
      <c r="E13648" s="326"/>
      <c r="F13648" s="326"/>
      <c r="G13648" s="326"/>
      <c r="H13648" s="326"/>
      <c r="P13648" s="318"/>
      <c r="Q13648" s="318"/>
      <c r="R13648" s="318"/>
      <c r="S13648" s="318"/>
      <c r="T13648" s="318"/>
      <c r="U13648" s="318"/>
      <c r="V13648" s="318"/>
      <c r="W13648" s="318"/>
      <c r="X13648" s="318"/>
      <c r="Y13648" s="318"/>
      <c r="Z13648" s="318"/>
      <c r="AA13648" s="318"/>
      <c r="AB13648" s="318"/>
      <c r="AC13648" s="318"/>
      <c r="AD13648" s="318"/>
    </row>
    <row r="13649" spans="2:30" s="323" customFormat="1" ht="12" customHeight="1">
      <c r="B13649" s="324"/>
      <c r="C13649" s="325"/>
      <c r="D13649" s="326"/>
      <c r="E13649" s="326"/>
      <c r="F13649" s="326"/>
      <c r="G13649" s="326"/>
      <c r="H13649" s="326"/>
      <c r="P13649" s="318"/>
      <c r="Q13649" s="318"/>
      <c r="R13649" s="318"/>
      <c r="S13649" s="318"/>
      <c r="T13649" s="318"/>
      <c r="U13649" s="318"/>
      <c r="V13649" s="318"/>
      <c r="W13649" s="318"/>
      <c r="X13649" s="318"/>
      <c r="Y13649" s="318"/>
      <c r="Z13649" s="318"/>
      <c r="AA13649" s="318"/>
      <c r="AB13649" s="318"/>
      <c r="AC13649" s="318"/>
      <c r="AD13649" s="318"/>
    </row>
    <row r="13650" spans="2:30" s="323" customFormat="1" ht="12" customHeight="1">
      <c r="B13650" s="324"/>
      <c r="C13650" s="325"/>
      <c r="D13650" s="326"/>
      <c r="E13650" s="326"/>
      <c r="F13650" s="326"/>
      <c r="G13650" s="326"/>
      <c r="H13650" s="326"/>
      <c r="P13650" s="318"/>
      <c r="Q13650" s="318"/>
      <c r="R13650" s="318"/>
      <c r="S13650" s="318"/>
      <c r="T13650" s="318"/>
      <c r="U13650" s="318"/>
      <c r="V13650" s="318"/>
      <c r="W13650" s="318"/>
      <c r="X13650" s="318"/>
      <c r="Y13650" s="318"/>
      <c r="Z13650" s="318"/>
      <c r="AA13650" s="318"/>
      <c r="AB13650" s="318"/>
      <c r="AC13650" s="318"/>
      <c r="AD13650" s="318"/>
    </row>
    <row r="13651" spans="2:30" s="323" customFormat="1" ht="12" customHeight="1">
      <c r="B13651" s="324"/>
      <c r="C13651" s="325"/>
      <c r="D13651" s="326"/>
      <c r="E13651" s="326"/>
      <c r="F13651" s="326"/>
      <c r="G13651" s="326"/>
      <c r="H13651" s="326"/>
      <c r="P13651" s="318"/>
      <c r="Q13651" s="318"/>
      <c r="R13651" s="318"/>
      <c r="S13651" s="318"/>
      <c r="T13651" s="318"/>
      <c r="U13651" s="318"/>
      <c r="V13651" s="318"/>
      <c r="W13651" s="318"/>
      <c r="X13651" s="318"/>
      <c r="Y13651" s="318"/>
      <c r="Z13651" s="318"/>
      <c r="AA13651" s="318"/>
      <c r="AB13651" s="318"/>
      <c r="AC13651" s="318"/>
      <c r="AD13651" s="318"/>
    </row>
    <row r="13652" spans="2:30" s="323" customFormat="1" ht="12" customHeight="1">
      <c r="B13652" s="324"/>
      <c r="C13652" s="325"/>
      <c r="D13652" s="326"/>
      <c r="E13652" s="326"/>
      <c r="F13652" s="326"/>
      <c r="G13652" s="326"/>
      <c r="H13652" s="326"/>
      <c r="P13652" s="318"/>
      <c r="Q13652" s="318"/>
      <c r="R13652" s="318"/>
      <c r="S13652" s="318"/>
      <c r="T13652" s="318"/>
      <c r="U13652" s="318"/>
      <c r="V13652" s="318"/>
      <c r="W13652" s="318"/>
      <c r="X13652" s="318"/>
      <c r="Y13652" s="318"/>
      <c r="Z13652" s="318"/>
      <c r="AA13652" s="318"/>
      <c r="AB13652" s="318"/>
      <c r="AC13652" s="318"/>
      <c r="AD13652" s="318"/>
    </row>
    <row r="13653" spans="2:30" s="323" customFormat="1" ht="12" customHeight="1">
      <c r="B13653" s="324"/>
      <c r="C13653" s="325"/>
      <c r="D13653" s="326"/>
      <c r="E13653" s="326"/>
      <c r="F13653" s="326"/>
      <c r="G13653" s="326"/>
      <c r="H13653" s="326"/>
      <c r="P13653" s="318"/>
      <c r="Q13653" s="318"/>
      <c r="R13653" s="318"/>
      <c r="S13653" s="318"/>
      <c r="T13653" s="318"/>
      <c r="U13653" s="318"/>
      <c r="V13653" s="318"/>
      <c r="W13653" s="318"/>
      <c r="X13653" s="318"/>
      <c r="Y13653" s="318"/>
      <c r="Z13653" s="318"/>
      <c r="AA13653" s="318"/>
      <c r="AB13653" s="318"/>
      <c r="AC13653" s="318"/>
      <c r="AD13653" s="318"/>
    </row>
    <row r="13654" spans="2:30" s="323" customFormat="1" ht="12" customHeight="1">
      <c r="B13654" s="324"/>
      <c r="C13654" s="325"/>
      <c r="D13654" s="326"/>
      <c r="E13654" s="326"/>
      <c r="F13654" s="326"/>
      <c r="G13654" s="326"/>
      <c r="H13654" s="326"/>
      <c r="P13654" s="318"/>
      <c r="Q13654" s="318"/>
      <c r="R13654" s="318"/>
      <c r="S13654" s="318"/>
      <c r="T13654" s="318"/>
      <c r="U13654" s="318"/>
      <c r="V13654" s="318"/>
      <c r="W13654" s="318"/>
      <c r="X13654" s="318"/>
      <c r="Y13654" s="318"/>
      <c r="Z13654" s="318"/>
      <c r="AA13654" s="318"/>
      <c r="AB13654" s="318"/>
      <c r="AC13654" s="318"/>
      <c r="AD13654" s="318"/>
    </row>
    <row r="13655" spans="2:30" s="323" customFormat="1" ht="12" customHeight="1">
      <c r="B13655" s="324"/>
      <c r="C13655" s="325"/>
      <c r="D13655" s="326"/>
      <c r="E13655" s="326"/>
      <c r="F13655" s="326"/>
      <c r="G13655" s="326"/>
      <c r="H13655" s="326"/>
      <c r="P13655" s="318"/>
      <c r="Q13655" s="318"/>
      <c r="R13655" s="318"/>
      <c r="S13655" s="318"/>
      <c r="T13655" s="318"/>
      <c r="U13655" s="318"/>
      <c r="V13655" s="318"/>
      <c r="W13655" s="318"/>
      <c r="X13655" s="318"/>
      <c r="Y13655" s="318"/>
      <c r="Z13655" s="318"/>
      <c r="AA13655" s="318"/>
      <c r="AB13655" s="318"/>
      <c r="AC13655" s="318"/>
      <c r="AD13655" s="318"/>
    </row>
    <row r="13656" spans="2:30" s="323" customFormat="1" ht="12" customHeight="1">
      <c r="B13656" s="324"/>
      <c r="C13656" s="325"/>
      <c r="D13656" s="326"/>
      <c r="E13656" s="326"/>
      <c r="F13656" s="326"/>
      <c r="G13656" s="326"/>
      <c r="H13656" s="326"/>
      <c r="P13656" s="318"/>
      <c r="Q13656" s="318"/>
      <c r="R13656" s="318"/>
      <c r="S13656" s="318"/>
      <c r="T13656" s="318"/>
      <c r="U13656" s="318"/>
      <c r="V13656" s="318"/>
      <c r="W13656" s="318"/>
      <c r="X13656" s="318"/>
      <c r="Y13656" s="318"/>
      <c r="Z13656" s="318"/>
      <c r="AA13656" s="318"/>
      <c r="AB13656" s="318"/>
      <c r="AC13656" s="318"/>
      <c r="AD13656" s="318"/>
    </row>
    <row r="13657" spans="2:30" s="323" customFormat="1" ht="12" customHeight="1">
      <c r="B13657" s="324"/>
      <c r="C13657" s="325"/>
      <c r="D13657" s="326"/>
      <c r="E13657" s="326"/>
      <c r="F13657" s="326"/>
      <c r="G13657" s="326"/>
      <c r="H13657" s="326"/>
      <c r="P13657" s="318"/>
      <c r="Q13657" s="318"/>
      <c r="R13657" s="318"/>
      <c r="S13657" s="318"/>
      <c r="T13657" s="318"/>
      <c r="U13657" s="318"/>
      <c r="V13657" s="318"/>
      <c r="W13657" s="318"/>
      <c r="X13657" s="318"/>
      <c r="Y13657" s="318"/>
      <c r="Z13657" s="318"/>
      <c r="AA13657" s="318"/>
      <c r="AB13657" s="318"/>
      <c r="AC13657" s="318"/>
      <c r="AD13657" s="318"/>
    </row>
    <row r="13658" spans="2:30" s="323" customFormat="1" ht="12" customHeight="1">
      <c r="B13658" s="324"/>
      <c r="C13658" s="325"/>
      <c r="D13658" s="326"/>
      <c r="E13658" s="326"/>
      <c r="F13658" s="326"/>
      <c r="G13658" s="326"/>
      <c r="H13658" s="326"/>
      <c r="P13658" s="318"/>
      <c r="Q13658" s="318"/>
      <c r="R13658" s="318"/>
      <c r="S13658" s="318"/>
      <c r="T13658" s="318"/>
      <c r="U13658" s="318"/>
      <c r="V13658" s="318"/>
      <c r="W13658" s="318"/>
      <c r="X13658" s="318"/>
      <c r="Y13658" s="318"/>
      <c r="Z13658" s="318"/>
      <c r="AA13658" s="318"/>
      <c r="AB13658" s="318"/>
      <c r="AC13658" s="318"/>
      <c r="AD13658" s="318"/>
    </row>
    <row r="13659" spans="2:30" s="323" customFormat="1" ht="12" customHeight="1">
      <c r="B13659" s="324"/>
      <c r="C13659" s="325"/>
      <c r="D13659" s="326"/>
      <c r="E13659" s="326"/>
      <c r="F13659" s="326"/>
      <c r="G13659" s="326"/>
      <c r="H13659" s="326"/>
      <c r="P13659" s="318"/>
      <c r="Q13659" s="318"/>
      <c r="R13659" s="318"/>
      <c r="S13659" s="318"/>
      <c r="T13659" s="318"/>
      <c r="U13659" s="318"/>
      <c r="V13659" s="318"/>
      <c r="W13659" s="318"/>
      <c r="X13659" s="318"/>
      <c r="Y13659" s="318"/>
      <c r="Z13659" s="318"/>
      <c r="AA13659" s="318"/>
      <c r="AB13659" s="318"/>
      <c r="AC13659" s="318"/>
      <c r="AD13659" s="318"/>
    </row>
    <row r="13660" spans="2:30" s="323" customFormat="1" ht="12" customHeight="1">
      <c r="B13660" s="324"/>
      <c r="C13660" s="325"/>
      <c r="D13660" s="326"/>
      <c r="E13660" s="326"/>
      <c r="F13660" s="326"/>
      <c r="G13660" s="326"/>
      <c r="H13660" s="326"/>
      <c r="P13660" s="318"/>
      <c r="Q13660" s="318"/>
      <c r="R13660" s="318"/>
      <c r="S13660" s="318"/>
      <c r="T13660" s="318"/>
      <c r="U13660" s="318"/>
      <c r="V13660" s="318"/>
      <c r="W13660" s="318"/>
      <c r="X13660" s="318"/>
      <c r="Y13660" s="318"/>
      <c r="Z13660" s="318"/>
      <c r="AA13660" s="318"/>
      <c r="AB13660" s="318"/>
      <c r="AC13660" s="318"/>
      <c r="AD13660" s="318"/>
    </row>
    <row r="13661" spans="2:30" s="323" customFormat="1" ht="12" customHeight="1">
      <c r="B13661" s="324"/>
      <c r="C13661" s="325"/>
      <c r="D13661" s="326"/>
      <c r="E13661" s="326"/>
      <c r="F13661" s="326"/>
      <c r="G13661" s="326"/>
      <c r="H13661" s="326"/>
      <c r="P13661" s="318"/>
      <c r="Q13661" s="318"/>
      <c r="R13661" s="318"/>
      <c r="S13661" s="318"/>
      <c r="T13661" s="318"/>
      <c r="U13661" s="318"/>
      <c r="V13661" s="318"/>
      <c r="W13661" s="318"/>
      <c r="X13661" s="318"/>
      <c r="Y13661" s="318"/>
      <c r="Z13661" s="318"/>
      <c r="AA13661" s="318"/>
      <c r="AB13661" s="318"/>
      <c r="AC13661" s="318"/>
      <c r="AD13661" s="318"/>
    </row>
    <row r="13662" spans="2:30" s="323" customFormat="1" ht="12" customHeight="1">
      <c r="B13662" s="324"/>
      <c r="C13662" s="325"/>
      <c r="D13662" s="326"/>
      <c r="E13662" s="326"/>
      <c r="F13662" s="326"/>
      <c r="G13662" s="326"/>
      <c r="H13662" s="326"/>
      <c r="P13662" s="318"/>
      <c r="Q13662" s="318"/>
      <c r="R13662" s="318"/>
      <c r="S13662" s="318"/>
      <c r="T13662" s="318"/>
      <c r="U13662" s="318"/>
      <c r="V13662" s="318"/>
      <c r="W13662" s="318"/>
      <c r="X13662" s="318"/>
      <c r="Y13662" s="318"/>
      <c r="Z13662" s="318"/>
      <c r="AA13662" s="318"/>
      <c r="AB13662" s="318"/>
      <c r="AC13662" s="318"/>
      <c r="AD13662" s="318"/>
    </row>
    <row r="13663" spans="2:30" s="323" customFormat="1" ht="12" customHeight="1">
      <c r="B13663" s="324"/>
      <c r="C13663" s="325"/>
      <c r="D13663" s="326"/>
      <c r="E13663" s="326"/>
      <c r="F13663" s="326"/>
      <c r="G13663" s="326"/>
      <c r="H13663" s="326"/>
      <c r="P13663" s="318"/>
      <c r="Q13663" s="318"/>
      <c r="R13663" s="318"/>
      <c r="S13663" s="318"/>
      <c r="T13663" s="318"/>
      <c r="U13663" s="318"/>
      <c r="V13663" s="318"/>
      <c r="W13663" s="318"/>
      <c r="X13663" s="318"/>
      <c r="Y13663" s="318"/>
      <c r="Z13663" s="318"/>
      <c r="AA13663" s="318"/>
      <c r="AB13663" s="318"/>
      <c r="AC13663" s="318"/>
      <c r="AD13663" s="318"/>
    </row>
    <row r="13664" spans="2:30" s="323" customFormat="1" ht="12" customHeight="1">
      <c r="B13664" s="324"/>
      <c r="C13664" s="325"/>
      <c r="D13664" s="326"/>
      <c r="E13664" s="326"/>
      <c r="F13664" s="326"/>
      <c r="G13664" s="326"/>
      <c r="H13664" s="326"/>
      <c r="P13664" s="318"/>
      <c r="Q13664" s="318"/>
      <c r="R13664" s="318"/>
      <c r="S13664" s="318"/>
      <c r="T13664" s="318"/>
      <c r="U13664" s="318"/>
      <c r="V13664" s="318"/>
      <c r="W13664" s="318"/>
      <c r="X13664" s="318"/>
      <c r="Y13664" s="318"/>
      <c r="Z13664" s="318"/>
      <c r="AA13664" s="318"/>
      <c r="AB13664" s="318"/>
      <c r="AC13664" s="318"/>
      <c r="AD13664" s="318"/>
    </row>
    <row r="13665" spans="2:30" s="323" customFormat="1" ht="12" customHeight="1">
      <c r="B13665" s="324"/>
      <c r="C13665" s="325"/>
      <c r="D13665" s="326"/>
      <c r="E13665" s="326"/>
      <c r="F13665" s="326"/>
      <c r="G13665" s="326"/>
      <c r="H13665" s="326"/>
      <c r="P13665" s="318"/>
      <c r="Q13665" s="318"/>
      <c r="R13665" s="318"/>
      <c r="S13665" s="318"/>
      <c r="T13665" s="318"/>
      <c r="U13665" s="318"/>
      <c r="V13665" s="318"/>
      <c r="W13665" s="318"/>
      <c r="X13665" s="318"/>
      <c r="Y13665" s="318"/>
      <c r="Z13665" s="318"/>
      <c r="AA13665" s="318"/>
      <c r="AB13665" s="318"/>
      <c r="AC13665" s="318"/>
      <c r="AD13665" s="318"/>
    </row>
    <row r="13666" spans="2:30" s="323" customFormat="1" ht="12" customHeight="1">
      <c r="B13666" s="324"/>
      <c r="C13666" s="325"/>
      <c r="D13666" s="326"/>
      <c r="E13666" s="326"/>
      <c r="F13666" s="326"/>
      <c r="G13666" s="326"/>
      <c r="H13666" s="326"/>
      <c r="P13666" s="318"/>
      <c r="Q13666" s="318"/>
      <c r="R13666" s="318"/>
      <c r="S13666" s="318"/>
      <c r="T13666" s="318"/>
      <c r="U13666" s="318"/>
      <c r="V13666" s="318"/>
      <c r="W13666" s="318"/>
      <c r="X13666" s="318"/>
      <c r="Y13666" s="318"/>
      <c r="Z13666" s="318"/>
      <c r="AA13666" s="318"/>
      <c r="AB13666" s="318"/>
      <c r="AC13666" s="318"/>
      <c r="AD13666" s="318"/>
    </row>
    <row r="13667" spans="2:30" s="323" customFormat="1" ht="12" customHeight="1">
      <c r="B13667" s="324"/>
      <c r="C13667" s="325"/>
      <c r="D13667" s="326"/>
      <c r="E13667" s="326"/>
      <c r="F13667" s="326"/>
      <c r="G13667" s="326"/>
      <c r="H13667" s="326"/>
      <c r="P13667" s="318"/>
      <c r="Q13667" s="318"/>
      <c r="R13667" s="318"/>
      <c r="S13667" s="318"/>
      <c r="T13667" s="318"/>
      <c r="U13667" s="318"/>
      <c r="V13667" s="318"/>
      <c r="W13667" s="318"/>
      <c r="X13667" s="318"/>
      <c r="Y13667" s="318"/>
      <c r="Z13667" s="318"/>
      <c r="AA13667" s="318"/>
      <c r="AB13667" s="318"/>
      <c r="AC13667" s="318"/>
      <c r="AD13667" s="318"/>
    </row>
    <row r="13668" spans="2:30" s="323" customFormat="1" ht="12" customHeight="1">
      <c r="B13668" s="324"/>
      <c r="C13668" s="325"/>
      <c r="D13668" s="326"/>
      <c r="E13668" s="326"/>
      <c r="F13668" s="326"/>
      <c r="G13668" s="326"/>
      <c r="H13668" s="326"/>
      <c r="P13668" s="318"/>
      <c r="Q13668" s="318"/>
      <c r="R13668" s="318"/>
      <c r="S13668" s="318"/>
      <c r="T13668" s="318"/>
      <c r="U13668" s="318"/>
      <c r="V13668" s="318"/>
      <c r="W13668" s="318"/>
      <c r="X13668" s="318"/>
      <c r="Y13668" s="318"/>
      <c r="Z13668" s="318"/>
      <c r="AA13668" s="318"/>
      <c r="AB13668" s="318"/>
      <c r="AC13668" s="318"/>
      <c r="AD13668" s="318"/>
    </row>
    <row r="13669" spans="2:30" s="323" customFormat="1" ht="12" customHeight="1">
      <c r="B13669" s="324"/>
      <c r="C13669" s="325"/>
      <c r="D13669" s="326"/>
      <c r="E13669" s="326"/>
      <c r="F13669" s="326"/>
      <c r="G13669" s="326"/>
      <c r="H13669" s="326"/>
      <c r="P13669" s="318"/>
      <c r="Q13669" s="318"/>
      <c r="R13669" s="318"/>
      <c r="S13669" s="318"/>
      <c r="T13669" s="318"/>
      <c r="U13669" s="318"/>
      <c r="V13669" s="318"/>
      <c r="W13669" s="318"/>
      <c r="X13669" s="318"/>
      <c r="Y13669" s="318"/>
      <c r="Z13669" s="318"/>
      <c r="AA13669" s="318"/>
      <c r="AB13669" s="318"/>
      <c r="AC13669" s="318"/>
      <c r="AD13669" s="318"/>
    </row>
    <row r="13670" spans="2:30" s="323" customFormat="1" ht="12" customHeight="1">
      <c r="B13670" s="324"/>
      <c r="C13670" s="325"/>
      <c r="D13670" s="326"/>
      <c r="E13670" s="326"/>
      <c r="F13670" s="326"/>
      <c r="G13670" s="326"/>
      <c r="H13670" s="326"/>
      <c r="P13670" s="318"/>
      <c r="Q13670" s="318"/>
      <c r="R13670" s="318"/>
      <c r="S13670" s="318"/>
      <c r="T13670" s="318"/>
      <c r="U13670" s="318"/>
      <c r="V13670" s="318"/>
      <c r="W13670" s="318"/>
      <c r="X13670" s="318"/>
      <c r="Y13670" s="318"/>
      <c r="Z13670" s="318"/>
      <c r="AA13670" s="318"/>
      <c r="AB13670" s="318"/>
      <c r="AC13670" s="318"/>
      <c r="AD13670" s="318"/>
    </row>
    <row r="13671" spans="2:30" s="323" customFormat="1" ht="12" customHeight="1">
      <c r="B13671" s="324"/>
      <c r="C13671" s="325"/>
      <c r="D13671" s="326"/>
      <c r="E13671" s="326"/>
      <c r="F13671" s="326"/>
      <c r="G13671" s="326"/>
      <c r="H13671" s="326"/>
      <c r="P13671" s="318"/>
      <c r="Q13671" s="318"/>
      <c r="R13671" s="318"/>
      <c r="S13671" s="318"/>
      <c r="T13671" s="318"/>
      <c r="U13671" s="318"/>
      <c r="V13671" s="318"/>
      <c r="W13671" s="318"/>
      <c r="X13671" s="318"/>
      <c r="Y13671" s="318"/>
      <c r="Z13671" s="318"/>
      <c r="AA13671" s="318"/>
      <c r="AB13671" s="318"/>
      <c r="AC13671" s="318"/>
      <c r="AD13671" s="318"/>
    </row>
    <row r="13672" spans="2:30" s="323" customFormat="1" ht="12" customHeight="1">
      <c r="B13672" s="324"/>
      <c r="C13672" s="325"/>
      <c r="D13672" s="326"/>
      <c r="E13672" s="326"/>
      <c r="F13672" s="326"/>
      <c r="G13672" s="326"/>
      <c r="H13672" s="326"/>
      <c r="P13672" s="318"/>
      <c r="Q13672" s="318"/>
      <c r="R13672" s="318"/>
      <c r="S13672" s="318"/>
      <c r="T13672" s="318"/>
      <c r="U13672" s="318"/>
      <c r="V13672" s="318"/>
      <c r="W13672" s="318"/>
      <c r="X13672" s="318"/>
      <c r="Y13672" s="318"/>
      <c r="Z13672" s="318"/>
      <c r="AA13672" s="318"/>
      <c r="AB13672" s="318"/>
      <c r="AC13672" s="318"/>
      <c r="AD13672" s="318"/>
    </row>
    <row r="13673" spans="2:30" s="323" customFormat="1" ht="12" customHeight="1">
      <c r="B13673" s="324"/>
      <c r="C13673" s="325"/>
      <c r="D13673" s="326"/>
      <c r="E13673" s="326"/>
      <c r="F13673" s="326"/>
      <c r="G13673" s="326"/>
      <c r="H13673" s="326"/>
      <c r="P13673" s="318"/>
      <c r="Q13673" s="318"/>
      <c r="R13673" s="318"/>
      <c r="S13673" s="318"/>
      <c r="T13673" s="318"/>
      <c r="U13673" s="318"/>
      <c r="V13673" s="318"/>
      <c r="W13673" s="318"/>
      <c r="X13673" s="318"/>
      <c r="Y13673" s="318"/>
      <c r="Z13673" s="318"/>
      <c r="AA13673" s="318"/>
      <c r="AB13673" s="318"/>
      <c r="AC13673" s="318"/>
      <c r="AD13673" s="318"/>
    </row>
    <row r="13674" spans="2:30" s="323" customFormat="1" ht="12" customHeight="1">
      <c r="B13674" s="324"/>
      <c r="C13674" s="325"/>
      <c r="D13674" s="326"/>
      <c r="E13674" s="326"/>
      <c r="F13674" s="326"/>
      <c r="G13674" s="326"/>
      <c r="H13674" s="326"/>
      <c r="P13674" s="318"/>
      <c r="Q13674" s="318"/>
      <c r="R13674" s="318"/>
      <c r="S13674" s="318"/>
      <c r="T13674" s="318"/>
      <c r="U13674" s="318"/>
      <c r="V13674" s="318"/>
      <c r="W13674" s="318"/>
      <c r="X13674" s="318"/>
      <c r="Y13674" s="318"/>
      <c r="Z13674" s="318"/>
      <c r="AA13674" s="318"/>
      <c r="AB13674" s="318"/>
      <c r="AC13674" s="318"/>
      <c r="AD13674" s="318"/>
    </row>
    <row r="13675" spans="2:30" s="323" customFormat="1" ht="12" customHeight="1">
      <c r="B13675" s="324"/>
      <c r="C13675" s="325"/>
      <c r="D13675" s="326"/>
      <c r="E13675" s="326"/>
      <c r="F13675" s="326"/>
      <c r="G13675" s="326"/>
      <c r="H13675" s="326"/>
      <c r="P13675" s="318"/>
      <c r="Q13675" s="318"/>
      <c r="R13675" s="318"/>
      <c r="S13675" s="318"/>
      <c r="T13675" s="318"/>
      <c r="U13675" s="318"/>
      <c r="V13675" s="318"/>
      <c r="W13675" s="318"/>
      <c r="X13675" s="318"/>
      <c r="Y13675" s="318"/>
      <c r="Z13675" s="318"/>
      <c r="AA13675" s="318"/>
      <c r="AB13675" s="318"/>
      <c r="AC13675" s="318"/>
      <c r="AD13675" s="318"/>
    </row>
    <row r="13676" spans="2:30" s="323" customFormat="1" ht="12" customHeight="1">
      <c r="B13676" s="324"/>
      <c r="C13676" s="325"/>
      <c r="D13676" s="326"/>
      <c r="E13676" s="326"/>
      <c r="F13676" s="326"/>
      <c r="G13676" s="326"/>
      <c r="H13676" s="326"/>
      <c r="P13676" s="318"/>
      <c r="Q13676" s="318"/>
      <c r="R13676" s="318"/>
      <c r="S13676" s="318"/>
      <c r="T13676" s="318"/>
      <c r="U13676" s="318"/>
      <c r="V13676" s="318"/>
      <c r="W13676" s="318"/>
      <c r="X13676" s="318"/>
      <c r="Y13676" s="318"/>
      <c r="Z13676" s="318"/>
      <c r="AA13676" s="318"/>
      <c r="AB13676" s="318"/>
      <c r="AC13676" s="318"/>
      <c r="AD13676" s="318"/>
    </row>
    <row r="13677" spans="2:30" s="323" customFormat="1" ht="12" customHeight="1">
      <c r="B13677" s="324"/>
      <c r="C13677" s="325"/>
      <c r="D13677" s="326"/>
      <c r="E13677" s="326"/>
      <c r="F13677" s="326"/>
      <c r="G13677" s="326"/>
      <c r="H13677" s="326"/>
      <c r="P13677" s="318"/>
      <c r="Q13677" s="318"/>
      <c r="R13677" s="318"/>
      <c r="S13677" s="318"/>
      <c r="T13677" s="318"/>
      <c r="U13677" s="318"/>
      <c r="V13677" s="318"/>
      <c r="W13677" s="318"/>
      <c r="X13677" s="318"/>
      <c r="Y13677" s="318"/>
      <c r="Z13677" s="318"/>
      <c r="AA13677" s="318"/>
      <c r="AB13677" s="318"/>
      <c r="AC13677" s="318"/>
      <c r="AD13677" s="318"/>
    </row>
    <row r="13678" spans="2:30" s="323" customFormat="1" ht="12" customHeight="1">
      <c r="B13678" s="324"/>
      <c r="C13678" s="325"/>
      <c r="D13678" s="326"/>
      <c r="E13678" s="326"/>
      <c r="F13678" s="326"/>
      <c r="G13678" s="326"/>
      <c r="H13678" s="326"/>
      <c r="P13678" s="318"/>
      <c r="Q13678" s="318"/>
      <c r="R13678" s="318"/>
      <c r="S13678" s="318"/>
      <c r="T13678" s="318"/>
      <c r="U13678" s="318"/>
      <c r="V13678" s="318"/>
      <c r="W13678" s="318"/>
      <c r="X13678" s="318"/>
      <c r="Y13678" s="318"/>
      <c r="Z13678" s="318"/>
      <c r="AA13678" s="318"/>
      <c r="AB13678" s="318"/>
      <c r="AC13678" s="318"/>
      <c r="AD13678" s="318"/>
    </row>
    <row r="13679" spans="2:30" s="323" customFormat="1" ht="12" customHeight="1">
      <c r="B13679" s="324"/>
      <c r="C13679" s="325"/>
      <c r="D13679" s="326"/>
      <c r="E13679" s="326"/>
      <c r="F13679" s="326"/>
      <c r="G13679" s="326"/>
      <c r="H13679" s="326"/>
      <c r="P13679" s="318"/>
      <c r="Q13679" s="318"/>
      <c r="R13679" s="318"/>
      <c r="S13679" s="318"/>
      <c r="T13679" s="318"/>
      <c r="U13679" s="318"/>
      <c r="V13679" s="318"/>
      <c r="W13679" s="318"/>
      <c r="X13679" s="318"/>
      <c r="Y13679" s="318"/>
      <c r="Z13679" s="318"/>
      <c r="AA13679" s="318"/>
      <c r="AB13679" s="318"/>
      <c r="AC13679" s="318"/>
      <c r="AD13679" s="318"/>
    </row>
    <row r="13680" spans="2:30" s="323" customFormat="1" ht="12" customHeight="1">
      <c r="B13680" s="324"/>
      <c r="C13680" s="325"/>
      <c r="D13680" s="326"/>
      <c r="E13680" s="326"/>
      <c r="F13680" s="326"/>
      <c r="G13680" s="326"/>
      <c r="H13680" s="326"/>
      <c r="P13680" s="318"/>
      <c r="Q13680" s="318"/>
      <c r="R13680" s="318"/>
      <c r="S13680" s="318"/>
      <c r="T13680" s="318"/>
      <c r="U13680" s="318"/>
      <c r="V13680" s="318"/>
      <c r="W13680" s="318"/>
      <c r="X13680" s="318"/>
      <c r="Y13680" s="318"/>
      <c r="Z13680" s="318"/>
      <c r="AA13680" s="318"/>
      <c r="AB13680" s="318"/>
      <c r="AC13680" s="318"/>
      <c r="AD13680" s="318"/>
    </row>
    <row r="13681" spans="2:30" s="323" customFormat="1" ht="12" customHeight="1">
      <c r="B13681" s="324"/>
      <c r="C13681" s="325"/>
      <c r="D13681" s="326"/>
      <c r="E13681" s="326"/>
      <c r="F13681" s="326"/>
      <c r="G13681" s="326"/>
      <c r="H13681" s="326"/>
      <c r="P13681" s="318"/>
      <c r="Q13681" s="318"/>
      <c r="R13681" s="318"/>
      <c r="S13681" s="318"/>
      <c r="T13681" s="318"/>
      <c r="U13681" s="318"/>
      <c r="V13681" s="318"/>
      <c r="W13681" s="318"/>
      <c r="X13681" s="318"/>
      <c r="Y13681" s="318"/>
      <c r="Z13681" s="318"/>
      <c r="AA13681" s="318"/>
      <c r="AB13681" s="318"/>
      <c r="AC13681" s="318"/>
      <c r="AD13681" s="318"/>
    </row>
    <row r="13682" spans="2:30" s="323" customFormat="1" ht="12" customHeight="1">
      <c r="B13682" s="324"/>
      <c r="C13682" s="325"/>
      <c r="D13682" s="326"/>
      <c r="E13682" s="326"/>
      <c r="F13682" s="326"/>
      <c r="G13682" s="326"/>
      <c r="H13682" s="326"/>
      <c r="P13682" s="318"/>
      <c r="Q13682" s="318"/>
      <c r="R13682" s="318"/>
      <c r="S13682" s="318"/>
      <c r="T13682" s="318"/>
      <c r="U13682" s="318"/>
      <c r="V13682" s="318"/>
      <c r="W13682" s="318"/>
      <c r="X13682" s="318"/>
      <c r="Y13682" s="318"/>
      <c r="Z13682" s="318"/>
      <c r="AA13682" s="318"/>
      <c r="AB13682" s="318"/>
      <c r="AC13682" s="318"/>
      <c r="AD13682" s="318"/>
    </row>
    <row r="13683" spans="2:30" s="323" customFormat="1" ht="12" customHeight="1">
      <c r="B13683" s="324"/>
      <c r="C13683" s="325"/>
      <c r="D13683" s="326"/>
      <c r="E13683" s="326"/>
      <c r="F13683" s="326"/>
      <c r="G13683" s="326"/>
      <c r="H13683" s="326"/>
      <c r="P13683" s="318"/>
      <c r="Q13683" s="318"/>
      <c r="R13683" s="318"/>
      <c r="S13683" s="318"/>
      <c r="T13683" s="318"/>
      <c r="U13683" s="318"/>
      <c r="V13683" s="318"/>
      <c r="W13683" s="318"/>
      <c r="X13683" s="318"/>
      <c r="Y13683" s="318"/>
      <c r="Z13683" s="318"/>
      <c r="AA13683" s="318"/>
      <c r="AB13683" s="318"/>
      <c r="AC13683" s="318"/>
      <c r="AD13683" s="318"/>
    </row>
    <row r="13684" spans="2:30" s="323" customFormat="1" ht="12" customHeight="1">
      <c r="B13684" s="324"/>
      <c r="C13684" s="325"/>
      <c r="D13684" s="326"/>
      <c r="E13684" s="326"/>
      <c r="F13684" s="326"/>
      <c r="G13684" s="326"/>
      <c r="H13684" s="326"/>
      <c r="P13684" s="318"/>
      <c r="Q13684" s="318"/>
      <c r="R13684" s="318"/>
      <c r="S13684" s="318"/>
      <c r="T13684" s="318"/>
      <c r="U13684" s="318"/>
      <c r="V13684" s="318"/>
      <c r="W13684" s="318"/>
      <c r="X13684" s="318"/>
      <c r="Y13684" s="318"/>
      <c r="Z13684" s="318"/>
      <c r="AA13684" s="318"/>
      <c r="AB13684" s="318"/>
      <c r="AC13684" s="318"/>
      <c r="AD13684" s="318"/>
    </row>
    <row r="13685" spans="2:30" s="323" customFormat="1" ht="12" customHeight="1">
      <c r="B13685" s="324"/>
      <c r="C13685" s="325"/>
      <c r="D13685" s="326"/>
      <c r="E13685" s="326"/>
      <c r="F13685" s="326"/>
      <c r="G13685" s="326"/>
      <c r="H13685" s="326"/>
      <c r="P13685" s="318"/>
      <c r="Q13685" s="318"/>
      <c r="R13685" s="318"/>
      <c r="S13685" s="318"/>
      <c r="T13685" s="318"/>
      <c r="U13685" s="318"/>
      <c r="V13685" s="318"/>
      <c r="W13685" s="318"/>
      <c r="X13685" s="318"/>
      <c r="Y13685" s="318"/>
      <c r="Z13685" s="318"/>
      <c r="AA13685" s="318"/>
      <c r="AB13685" s="318"/>
      <c r="AC13685" s="318"/>
      <c r="AD13685" s="318"/>
    </row>
    <row r="13686" spans="2:30" s="323" customFormat="1" ht="12" customHeight="1">
      <c r="B13686" s="324"/>
      <c r="C13686" s="325"/>
      <c r="D13686" s="326"/>
      <c r="E13686" s="326"/>
      <c r="F13686" s="326"/>
      <c r="G13686" s="326"/>
      <c r="H13686" s="326"/>
      <c r="P13686" s="318"/>
      <c r="Q13686" s="318"/>
      <c r="R13686" s="318"/>
      <c r="S13686" s="318"/>
      <c r="T13686" s="318"/>
      <c r="U13686" s="318"/>
      <c r="V13686" s="318"/>
      <c r="W13686" s="318"/>
      <c r="X13686" s="318"/>
      <c r="Y13686" s="318"/>
      <c r="Z13686" s="318"/>
      <c r="AA13686" s="318"/>
      <c r="AB13686" s="318"/>
      <c r="AC13686" s="318"/>
      <c r="AD13686" s="318"/>
    </row>
    <row r="13687" spans="2:30" s="323" customFormat="1" ht="12" customHeight="1">
      <c r="B13687" s="324"/>
      <c r="C13687" s="325"/>
      <c r="D13687" s="326"/>
      <c r="E13687" s="326"/>
      <c r="F13687" s="326"/>
      <c r="G13687" s="326"/>
      <c r="H13687" s="326"/>
      <c r="P13687" s="318"/>
      <c r="Q13687" s="318"/>
      <c r="R13687" s="318"/>
      <c r="S13687" s="318"/>
      <c r="T13687" s="318"/>
      <c r="U13687" s="318"/>
      <c r="V13687" s="318"/>
      <c r="W13687" s="318"/>
      <c r="X13687" s="318"/>
      <c r="Y13687" s="318"/>
      <c r="Z13687" s="318"/>
      <c r="AA13687" s="318"/>
      <c r="AB13687" s="318"/>
      <c r="AC13687" s="318"/>
      <c r="AD13687" s="318"/>
    </row>
    <row r="13688" spans="2:30" s="323" customFormat="1" ht="12" customHeight="1">
      <c r="B13688" s="324"/>
      <c r="C13688" s="325"/>
      <c r="D13688" s="326"/>
      <c r="E13688" s="326"/>
      <c r="F13688" s="326"/>
      <c r="G13688" s="326"/>
      <c r="H13688" s="326"/>
      <c r="P13688" s="318"/>
      <c r="Q13688" s="318"/>
      <c r="R13688" s="318"/>
      <c r="S13688" s="318"/>
      <c r="T13688" s="318"/>
      <c r="U13688" s="318"/>
      <c r="V13688" s="318"/>
      <c r="W13688" s="318"/>
      <c r="X13688" s="318"/>
      <c r="Y13688" s="318"/>
      <c r="Z13688" s="318"/>
      <c r="AA13688" s="318"/>
      <c r="AB13688" s="318"/>
      <c r="AC13688" s="318"/>
      <c r="AD13688" s="318"/>
    </row>
    <row r="13689" spans="2:30" s="323" customFormat="1" ht="12" customHeight="1">
      <c r="B13689" s="324"/>
      <c r="C13689" s="325"/>
      <c r="D13689" s="326"/>
      <c r="E13689" s="326"/>
      <c r="F13689" s="326"/>
      <c r="G13689" s="326"/>
      <c r="H13689" s="326"/>
      <c r="P13689" s="318"/>
      <c r="Q13689" s="318"/>
      <c r="R13689" s="318"/>
      <c r="S13689" s="318"/>
      <c r="T13689" s="318"/>
      <c r="U13689" s="318"/>
      <c r="V13689" s="318"/>
      <c r="W13689" s="318"/>
      <c r="X13689" s="318"/>
      <c r="Y13689" s="318"/>
      <c r="Z13689" s="318"/>
      <c r="AA13689" s="318"/>
      <c r="AB13689" s="318"/>
      <c r="AC13689" s="318"/>
      <c r="AD13689" s="318"/>
    </row>
    <row r="13690" spans="2:30" s="323" customFormat="1" ht="12" customHeight="1">
      <c r="B13690" s="324"/>
      <c r="C13690" s="325"/>
      <c r="D13690" s="326"/>
      <c r="E13690" s="326"/>
      <c r="F13690" s="326"/>
      <c r="G13690" s="326"/>
      <c r="H13690" s="326"/>
      <c r="P13690" s="318"/>
      <c r="Q13690" s="318"/>
      <c r="R13690" s="318"/>
      <c r="S13690" s="318"/>
      <c r="T13690" s="318"/>
      <c r="U13690" s="318"/>
      <c r="V13690" s="318"/>
      <c r="W13690" s="318"/>
      <c r="X13690" s="318"/>
      <c r="Y13690" s="318"/>
      <c r="Z13690" s="318"/>
      <c r="AA13690" s="318"/>
      <c r="AB13690" s="318"/>
      <c r="AC13690" s="318"/>
      <c r="AD13690" s="318"/>
    </row>
    <row r="13691" spans="2:30" s="323" customFormat="1" ht="12" customHeight="1">
      <c r="B13691" s="324"/>
      <c r="C13691" s="325"/>
      <c r="D13691" s="326"/>
      <c r="E13691" s="326"/>
      <c r="F13691" s="326"/>
      <c r="G13691" s="326"/>
      <c r="H13691" s="326"/>
      <c r="P13691" s="318"/>
      <c r="Q13691" s="318"/>
      <c r="R13691" s="318"/>
      <c r="S13691" s="318"/>
      <c r="T13691" s="318"/>
      <c r="U13691" s="318"/>
      <c r="V13691" s="318"/>
      <c r="W13691" s="318"/>
      <c r="X13691" s="318"/>
      <c r="Y13691" s="318"/>
      <c r="Z13691" s="318"/>
      <c r="AA13691" s="318"/>
      <c r="AB13691" s="318"/>
      <c r="AC13691" s="318"/>
      <c r="AD13691" s="318"/>
    </row>
    <row r="13692" spans="2:30" s="323" customFormat="1" ht="12" customHeight="1">
      <c r="B13692" s="324"/>
      <c r="C13692" s="325"/>
      <c r="D13692" s="326"/>
      <c r="E13692" s="326"/>
      <c r="F13692" s="326"/>
      <c r="G13692" s="326"/>
      <c r="H13692" s="326"/>
      <c r="P13692" s="318"/>
      <c r="Q13692" s="318"/>
      <c r="R13692" s="318"/>
      <c r="S13692" s="318"/>
      <c r="T13692" s="318"/>
      <c r="U13692" s="318"/>
      <c r="V13692" s="318"/>
      <c r="W13692" s="318"/>
      <c r="X13692" s="318"/>
      <c r="Y13692" s="318"/>
      <c r="Z13692" s="318"/>
      <c r="AA13692" s="318"/>
      <c r="AB13692" s="318"/>
      <c r="AC13692" s="318"/>
      <c r="AD13692" s="318"/>
    </row>
    <row r="13693" spans="2:30" s="323" customFormat="1" ht="12" customHeight="1">
      <c r="B13693" s="324"/>
      <c r="C13693" s="325"/>
      <c r="D13693" s="326"/>
      <c r="E13693" s="326"/>
      <c r="F13693" s="326"/>
      <c r="G13693" s="326"/>
      <c r="H13693" s="326"/>
      <c r="P13693" s="318"/>
      <c r="Q13693" s="318"/>
      <c r="R13693" s="318"/>
      <c r="S13693" s="318"/>
      <c r="T13693" s="318"/>
      <c r="U13693" s="318"/>
      <c r="V13693" s="318"/>
      <c r="W13693" s="318"/>
      <c r="X13693" s="318"/>
      <c r="Y13693" s="318"/>
      <c r="Z13693" s="318"/>
      <c r="AA13693" s="318"/>
      <c r="AB13693" s="318"/>
      <c r="AC13693" s="318"/>
      <c r="AD13693" s="318"/>
    </row>
    <row r="13694" spans="2:30" s="323" customFormat="1" ht="12" customHeight="1">
      <c r="B13694" s="324"/>
      <c r="C13694" s="325"/>
      <c r="D13694" s="326"/>
      <c r="E13694" s="326"/>
      <c r="F13694" s="326"/>
      <c r="G13694" s="326"/>
      <c r="H13694" s="326"/>
      <c r="P13694" s="318"/>
      <c r="Q13694" s="318"/>
      <c r="R13694" s="318"/>
      <c r="S13694" s="318"/>
      <c r="T13694" s="318"/>
      <c r="U13694" s="318"/>
      <c r="V13694" s="318"/>
      <c r="W13694" s="318"/>
      <c r="X13694" s="318"/>
      <c r="Y13694" s="318"/>
      <c r="Z13694" s="318"/>
      <c r="AA13694" s="318"/>
      <c r="AB13694" s="318"/>
      <c r="AC13694" s="318"/>
      <c r="AD13694" s="318"/>
    </row>
    <row r="13695" spans="2:30" s="323" customFormat="1" ht="12" customHeight="1">
      <c r="B13695" s="324"/>
      <c r="C13695" s="325"/>
      <c r="D13695" s="326"/>
      <c r="E13695" s="326"/>
      <c r="F13695" s="326"/>
      <c r="G13695" s="326"/>
      <c r="H13695" s="326"/>
      <c r="P13695" s="318"/>
      <c r="Q13695" s="318"/>
      <c r="R13695" s="318"/>
      <c r="S13695" s="318"/>
      <c r="T13695" s="318"/>
      <c r="U13695" s="318"/>
      <c r="V13695" s="318"/>
      <c r="W13695" s="318"/>
      <c r="X13695" s="318"/>
      <c r="Y13695" s="318"/>
      <c r="Z13695" s="318"/>
      <c r="AA13695" s="318"/>
      <c r="AB13695" s="318"/>
      <c r="AC13695" s="318"/>
      <c r="AD13695" s="318"/>
    </row>
    <row r="13696" spans="2:30" s="323" customFormat="1" ht="12" customHeight="1">
      <c r="B13696" s="324"/>
      <c r="C13696" s="325"/>
      <c r="D13696" s="326"/>
      <c r="E13696" s="326"/>
      <c r="F13696" s="326"/>
      <c r="G13696" s="326"/>
      <c r="H13696" s="326"/>
      <c r="P13696" s="318"/>
      <c r="Q13696" s="318"/>
      <c r="R13696" s="318"/>
      <c r="S13696" s="318"/>
      <c r="T13696" s="318"/>
      <c r="U13696" s="318"/>
      <c r="V13696" s="318"/>
      <c r="W13696" s="318"/>
      <c r="X13696" s="318"/>
      <c r="Y13696" s="318"/>
      <c r="Z13696" s="318"/>
      <c r="AA13696" s="318"/>
      <c r="AB13696" s="318"/>
      <c r="AC13696" s="318"/>
      <c r="AD13696" s="318"/>
    </row>
    <row r="13697" spans="2:30" s="323" customFormat="1" ht="12" customHeight="1">
      <c r="B13697" s="324"/>
      <c r="C13697" s="325"/>
      <c r="D13697" s="326"/>
      <c r="E13697" s="326"/>
      <c r="F13697" s="326"/>
      <c r="G13697" s="326"/>
      <c r="H13697" s="326"/>
      <c r="P13697" s="318"/>
      <c r="Q13697" s="318"/>
      <c r="R13697" s="318"/>
      <c r="S13697" s="318"/>
      <c r="T13697" s="318"/>
      <c r="U13697" s="318"/>
      <c r="V13697" s="318"/>
      <c r="W13697" s="318"/>
      <c r="X13697" s="318"/>
      <c r="Y13697" s="318"/>
      <c r="Z13697" s="318"/>
      <c r="AA13697" s="318"/>
      <c r="AB13697" s="318"/>
      <c r="AC13697" s="318"/>
      <c r="AD13697" s="318"/>
    </row>
    <row r="13698" spans="2:30" s="323" customFormat="1" ht="12" customHeight="1">
      <c r="B13698" s="324"/>
      <c r="C13698" s="325"/>
      <c r="D13698" s="326"/>
      <c r="E13698" s="326"/>
      <c r="F13698" s="326"/>
      <c r="G13698" s="326"/>
      <c r="H13698" s="326"/>
      <c r="P13698" s="318"/>
      <c r="Q13698" s="318"/>
      <c r="R13698" s="318"/>
      <c r="S13698" s="318"/>
      <c r="T13698" s="318"/>
      <c r="U13698" s="318"/>
      <c r="V13698" s="318"/>
      <c r="W13698" s="318"/>
      <c r="X13698" s="318"/>
      <c r="Y13698" s="318"/>
      <c r="Z13698" s="318"/>
      <c r="AA13698" s="318"/>
      <c r="AB13698" s="318"/>
      <c r="AC13698" s="318"/>
      <c r="AD13698" s="318"/>
    </row>
    <row r="13699" spans="2:30" s="323" customFormat="1" ht="12" customHeight="1">
      <c r="B13699" s="324"/>
      <c r="C13699" s="325"/>
      <c r="D13699" s="326"/>
      <c r="E13699" s="326"/>
      <c r="F13699" s="326"/>
      <c r="G13699" s="326"/>
      <c r="H13699" s="326"/>
      <c r="P13699" s="318"/>
      <c r="Q13699" s="318"/>
      <c r="R13699" s="318"/>
      <c r="S13699" s="318"/>
      <c r="T13699" s="318"/>
      <c r="U13699" s="318"/>
      <c r="V13699" s="318"/>
      <c r="W13699" s="318"/>
      <c r="X13699" s="318"/>
      <c r="Y13699" s="318"/>
      <c r="Z13699" s="318"/>
      <c r="AA13699" s="318"/>
      <c r="AB13699" s="318"/>
      <c r="AC13699" s="318"/>
      <c r="AD13699" s="318"/>
    </row>
    <row r="13700" spans="2:30" s="323" customFormat="1" ht="12" customHeight="1">
      <c r="B13700" s="324"/>
      <c r="C13700" s="325"/>
      <c r="D13700" s="326"/>
      <c r="E13700" s="326"/>
      <c r="F13700" s="326"/>
      <c r="G13700" s="326"/>
      <c r="H13700" s="326"/>
      <c r="P13700" s="318"/>
      <c r="Q13700" s="318"/>
      <c r="R13700" s="318"/>
      <c r="S13700" s="318"/>
      <c r="T13700" s="318"/>
      <c r="U13700" s="318"/>
      <c r="V13700" s="318"/>
      <c r="W13700" s="318"/>
      <c r="X13700" s="318"/>
      <c r="Y13700" s="318"/>
      <c r="Z13700" s="318"/>
      <c r="AA13700" s="318"/>
      <c r="AB13700" s="318"/>
      <c r="AC13700" s="318"/>
      <c r="AD13700" s="318"/>
    </row>
    <row r="13701" spans="2:30" s="323" customFormat="1" ht="12" customHeight="1">
      <c r="B13701" s="324"/>
      <c r="C13701" s="325"/>
      <c r="D13701" s="326"/>
      <c r="E13701" s="326"/>
      <c r="F13701" s="326"/>
      <c r="G13701" s="326"/>
      <c r="H13701" s="326"/>
      <c r="P13701" s="318"/>
      <c r="Q13701" s="318"/>
      <c r="R13701" s="318"/>
      <c r="S13701" s="318"/>
      <c r="T13701" s="318"/>
      <c r="U13701" s="318"/>
      <c r="V13701" s="318"/>
      <c r="W13701" s="318"/>
      <c r="X13701" s="318"/>
      <c r="Y13701" s="318"/>
      <c r="Z13701" s="318"/>
      <c r="AA13701" s="318"/>
      <c r="AB13701" s="318"/>
      <c r="AC13701" s="318"/>
      <c r="AD13701" s="318"/>
    </row>
    <row r="13702" spans="2:30" s="323" customFormat="1" ht="12" customHeight="1">
      <c r="B13702" s="324"/>
      <c r="C13702" s="325"/>
      <c r="D13702" s="326"/>
      <c r="E13702" s="326"/>
      <c r="F13702" s="326"/>
      <c r="G13702" s="326"/>
      <c r="H13702" s="326"/>
      <c r="P13702" s="318"/>
      <c r="Q13702" s="318"/>
      <c r="R13702" s="318"/>
      <c r="S13702" s="318"/>
      <c r="T13702" s="318"/>
      <c r="U13702" s="318"/>
      <c r="V13702" s="318"/>
      <c r="W13702" s="318"/>
      <c r="X13702" s="318"/>
      <c r="Y13702" s="318"/>
      <c r="Z13702" s="318"/>
      <c r="AA13702" s="318"/>
      <c r="AB13702" s="318"/>
      <c r="AC13702" s="318"/>
      <c r="AD13702" s="318"/>
    </row>
    <row r="13703" spans="2:30" s="323" customFormat="1" ht="12" customHeight="1">
      <c r="B13703" s="324"/>
      <c r="C13703" s="325"/>
      <c r="D13703" s="326"/>
      <c r="E13703" s="326"/>
      <c r="F13703" s="326"/>
      <c r="G13703" s="326"/>
      <c r="H13703" s="326"/>
      <c r="P13703" s="318"/>
      <c r="Q13703" s="318"/>
      <c r="R13703" s="318"/>
      <c r="S13703" s="318"/>
      <c r="T13703" s="318"/>
      <c r="U13703" s="318"/>
      <c r="V13703" s="318"/>
      <c r="W13703" s="318"/>
      <c r="X13703" s="318"/>
      <c r="Y13703" s="318"/>
      <c r="Z13703" s="318"/>
      <c r="AA13703" s="318"/>
      <c r="AB13703" s="318"/>
      <c r="AC13703" s="318"/>
      <c r="AD13703" s="318"/>
    </row>
    <row r="13704" spans="2:30" s="323" customFormat="1" ht="12" customHeight="1">
      <c r="B13704" s="324"/>
      <c r="C13704" s="325"/>
      <c r="D13704" s="326"/>
      <c r="E13704" s="326"/>
      <c r="F13704" s="326"/>
      <c r="G13704" s="326"/>
      <c r="H13704" s="326"/>
      <c r="P13704" s="318"/>
      <c r="Q13704" s="318"/>
      <c r="R13704" s="318"/>
      <c r="S13704" s="318"/>
      <c r="T13704" s="318"/>
      <c r="U13704" s="318"/>
      <c r="V13704" s="318"/>
      <c r="W13704" s="318"/>
      <c r="X13704" s="318"/>
      <c r="Y13704" s="318"/>
      <c r="Z13704" s="318"/>
      <c r="AA13704" s="318"/>
      <c r="AB13704" s="318"/>
      <c r="AC13704" s="318"/>
      <c r="AD13704" s="318"/>
    </row>
    <row r="13705" spans="2:30" s="323" customFormat="1" ht="12" customHeight="1">
      <c r="B13705" s="324"/>
      <c r="C13705" s="325"/>
      <c r="D13705" s="326"/>
      <c r="E13705" s="326"/>
      <c r="F13705" s="326"/>
      <c r="G13705" s="326"/>
      <c r="H13705" s="326"/>
      <c r="P13705" s="318"/>
      <c r="Q13705" s="318"/>
      <c r="R13705" s="318"/>
      <c r="S13705" s="318"/>
      <c r="T13705" s="318"/>
      <c r="U13705" s="318"/>
      <c r="V13705" s="318"/>
      <c r="W13705" s="318"/>
      <c r="X13705" s="318"/>
      <c r="Y13705" s="318"/>
      <c r="Z13705" s="318"/>
      <c r="AA13705" s="318"/>
      <c r="AB13705" s="318"/>
      <c r="AC13705" s="318"/>
      <c r="AD13705" s="318"/>
    </row>
    <row r="13706" spans="2:30" s="323" customFormat="1" ht="12" customHeight="1">
      <c r="B13706" s="324"/>
      <c r="C13706" s="325"/>
      <c r="D13706" s="326"/>
      <c r="E13706" s="326"/>
      <c r="F13706" s="326"/>
      <c r="G13706" s="326"/>
      <c r="H13706" s="326"/>
      <c r="P13706" s="318"/>
      <c r="Q13706" s="318"/>
      <c r="R13706" s="318"/>
      <c r="S13706" s="318"/>
      <c r="T13706" s="318"/>
      <c r="U13706" s="318"/>
      <c r="V13706" s="318"/>
      <c r="W13706" s="318"/>
      <c r="X13706" s="318"/>
      <c r="Y13706" s="318"/>
      <c r="Z13706" s="318"/>
      <c r="AA13706" s="318"/>
      <c r="AB13706" s="318"/>
      <c r="AC13706" s="318"/>
      <c r="AD13706" s="318"/>
    </row>
    <row r="13707" spans="2:30" s="323" customFormat="1" ht="12" customHeight="1">
      <c r="B13707" s="324"/>
      <c r="C13707" s="325"/>
      <c r="D13707" s="326"/>
      <c r="E13707" s="326"/>
      <c r="F13707" s="326"/>
      <c r="G13707" s="326"/>
      <c r="H13707" s="326"/>
      <c r="P13707" s="318"/>
      <c r="Q13707" s="318"/>
      <c r="R13707" s="318"/>
      <c r="S13707" s="318"/>
      <c r="T13707" s="318"/>
      <c r="U13707" s="318"/>
      <c r="V13707" s="318"/>
      <c r="W13707" s="318"/>
      <c r="X13707" s="318"/>
      <c r="Y13707" s="318"/>
      <c r="Z13707" s="318"/>
      <c r="AA13707" s="318"/>
      <c r="AB13707" s="318"/>
      <c r="AC13707" s="318"/>
      <c r="AD13707" s="318"/>
    </row>
    <row r="13708" spans="2:30" s="323" customFormat="1" ht="12" customHeight="1">
      <c r="B13708" s="324"/>
      <c r="C13708" s="325"/>
      <c r="D13708" s="326"/>
      <c r="E13708" s="326"/>
      <c r="F13708" s="326"/>
      <c r="G13708" s="326"/>
      <c r="H13708" s="326"/>
      <c r="P13708" s="318"/>
      <c r="Q13708" s="318"/>
      <c r="R13708" s="318"/>
      <c r="S13708" s="318"/>
      <c r="T13708" s="318"/>
      <c r="U13708" s="318"/>
      <c r="V13708" s="318"/>
      <c r="W13708" s="318"/>
      <c r="X13708" s="318"/>
      <c r="Y13708" s="318"/>
      <c r="Z13708" s="318"/>
      <c r="AA13708" s="318"/>
      <c r="AB13708" s="318"/>
      <c r="AC13708" s="318"/>
      <c r="AD13708" s="318"/>
    </row>
    <row r="13709" spans="2:30" s="323" customFormat="1" ht="12" customHeight="1">
      <c r="B13709" s="324"/>
      <c r="C13709" s="325"/>
      <c r="D13709" s="326"/>
      <c r="E13709" s="326"/>
      <c r="F13709" s="326"/>
      <c r="G13709" s="326"/>
      <c r="H13709" s="326"/>
      <c r="P13709" s="318"/>
      <c r="Q13709" s="318"/>
      <c r="R13709" s="318"/>
      <c r="S13709" s="318"/>
      <c r="T13709" s="318"/>
      <c r="U13709" s="318"/>
      <c r="V13709" s="318"/>
      <c r="W13709" s="318"/>
      <c r="X13709" s="318"/>
      <c r="Y13709" s="318"/>
      <c r="Z13709" s="318"/>
      <c r="AA13709" s="318"/>
      <c r="AB13709" s="318"/>
      <c r="AC13709" s="318"/>
      <c r="AD13709" s="318"/>
    </row>
    <row r="13710" spans="2:30" s="323" customFormat="1" ht="12" customHeight="1">
      <c r="B13710" s="324"/>
      <c r="C13710" s="325"/>
      <c r="D13710" s="326"/>
      <c r="E13710" s="326"/>
      <c r="F13710" s="326"/>
      <c r="G13710" s="326"/>
      <c r="H13710" s="326"/>
      <c r="P13710" s="318"/>
      <c r="Q13710" s="318"/>
      <c r="R13710" s="318"/>
      <c r="S13710" s="318"/>
      <c r="T13710" s="318"/>
      <c r="U13710" s="318"/>
      <c r="V13710" s="318"/>
      <c r="W13710" s="318"/>
      <c r="X13710" s="318"/>
      <c r="Y13710" s="318"/>
      <c r="Z13710" s="318"/>
      <c r="AA13710" s="318"/>
      <c r="AB13710" s="318"/>
      <c r="AC13710" s="318"/>
      <c r="AD13710" s="318"/>
    </row>
    <row r="13711" spans="2:30" s="323" customFormat="1" ht="12" customHeight="1">
      <c r="B13711" s="324"/>
      <c r="C13711" s="325"/>
      <c r="D13711" s="326"/>
      <c r="E13711" s="326"/>
      <c r="F13711" s="326"/>
      <c r="G13711" s="326"/>
      <c r="H13711" s="326"/>
      <c r="P13711" s="318"/>
      <c r="Q13711" s="318"/>
      <c r="R13711" s="318"/>
      <c r="S13711" s="318"/>
      <c r="T13711" s="318"/>
      <c r="U13711" s="318"/>
      <c r="V13711" s="318"/>
      <c r="W13711" s="318"/>
      <c r="X13711" s="318"/>
      <c r="Y13711" s="318"/>
      <c r="Z13711" s="318"/>
      <c r="AA13711" s="318"/>
      <c r="AB13711" s="318"/>
      <c r="AC13711" s="318"/>
      <c r="AD13711" s="318"/>
    </row>
    <row r="13712" spans="2:30" s="323" customFormat="1" ht="12" customHeight="1">
      <c r="B13712" s="324"/>
      <c r="C13712" s="325"/>
      <c r="D13712" s="326"/>
      <c r="E13712" s="326"/>
      <c r="F13712" s="326"/>
      <c r="G13712" s="326"/>
      <c r="H13712" s="326"/>
      <c r="P13712" s="318"/>
      <c r="Q13712" s="318"/>
      <c r="R13712" s="318"/>
      <c r="S13712" s="318"/>
      <c r="T13712" s="318"/>
      <c r="U13712" s="318"/>
      <c r="V13712" s="318"/>
      <c r="W13712" s="318"/>
      <c r="X13712" s="318"/>
      <c r="Y13712" s="318"/>
      <c r="Z13712" s="318"/>
      <c r="AA13712" s="318"/>
      <c r="AB13712" s="318"/>
      <c r="AC13712" s="318"/>
      <c r="AD13712" s="318"/>
    </row>
    <row r="13713" spans="2:30" s="323" customFormat="1" ht="12" customHeight="1">
      <c r="B13713" s="324"/>
      <c r="C13713" s="325"/>
      <c r="D13713" s="326"/>
      <c r="E13713" s="326"/>
      <c r="F13713" s="326"/>
      <c r="G13713" s="326"/>
      <c r="H13713" s="326"/>
      <c r="P13713" s="318"/>
      <c r="Q13713" s="318"/>
      <c r="R13713" s="318"/>
      <c r="S13713" s="318"/>
      <c r="T13713" s="318"/>
      <c r="U13713" s="318"/>
      <c r="V13713" s="318"/>
      <c r="W13713" s="318"/>
      <c r="X13713" s="318"/>
      <c r="Y13713" s="318"/>
      <c r="Z13713" s="318"/>
      <c r="AA13713" s="318"/>
      <c r="AB13713" s="318"/>
      <c r="AC13713" s="318"/>
      <c r="AD13713" s="318"/>
    </row>
    <row r="13714" spans="2:30" s="323" customFormat="1" ht="12" customHeight="1">
      <c r="B13714" s="324"/>
      <c r="C13714" s="325"/>
      <c r="D13714" s="326"/>
      <c r="E13714" s="326"/>
      <c r="F13714" s="326"/>
      <c r="G13714" s="326"/>
      <c r="H13714" s="326"/>
      <c r="P13714" s="318"/>
      <c r="Q13714" s="318"/>
      <c r="R13714" s="318"/>
      <c r="S13714" s="318"/>
      <c r="T13714" s="318"/>
      <c r="U13714" s="318"/>
      <c r="V13714" s="318"/>
      <c r="W13714" s="318"/>
      <c r="X13714" s="318"/>
      <c r="Y13714" s="318"/>
      <c r="Z13714" s="318"/>
      <c r="AA13714" s="318"/>
      <c r="AB13714" s="318"/>
      <c r="AC13714" s="318"/>
      <c r="AD13714" s="318"/>
    </row>
    <row r="13715" spans="2:30" s="323" customFormat="1" ht="12" customHeight="1">
      <c r="B13715" s="324"/>
      <c r="C13715" s="325"/>
      <c r="D13715" s="326"/>
      <c r="E13715" s="326"/>
      <c r="F13715" s="326"/>
      <c r="G13715" s="326"/>
      <c r="H13715" s="326"/>
      <c r="P13715" s="318"/>
      <c r="Q13715" s="318"/>
      <c r="R13715" s="318"/>
      <c r="S13715" s="318"/>
      <c r="T13715" s="318"/>
      <c r="U13715" s="318"/>
      <c r="V13715" s="318"/>
      <c r="W13715" s="318"/>
      <c r="X13715" s="318"/>
      <c r="Y13715" s="318"/>
      <c r="Z13715" s="318"/>
      <c r="AA13715" s="318"/>
      <c r="AB13715" s="318"/>
      <c r="AC13715" s="318"/>
      <c r="AD13715" s="318"/>
    </row>
    <row r="13716" spans="2:30" s="323" customFormat="1" ht="12" customHeight="1">
      <c r="B13716" s="324"/>
      <c r="C13716" s="325"/>
      <c r="D13716" s="326"/>
      <c r="E13716" s="326"/>
      <c r="F13716" s="326"/>
      <c r="G13716" s="326"/>
      <c r="H13716" s="326"/>
      <c r="P13716" s="318"/>
      <c r="Q13716" s="318"/>
      <c r="R13716" s="318"/>
      <c r="S13716" s="318"/>
      <c r="T13716" s="318"/>
      <c r="U13716" s="318"/>
      <c r="V13716" s="318"/>
      <c r="W13716" s="318"/>
      <c r="X13716" s="318"/>
      <c r="Y13716" s="318"/>
      <c r="Z13716" s="318"/>
      <c r="AA13716" s="318"/>
      <c r="AB13716" s="318"/>
      <c r="AC13716" s="318"/>
      <c r="AD13716" s="318"/>
    </row>
    <row r="13717" spans="2:30" s="323" customFormat="1" ht="12" customHeight="1">
      <c r="B13717" s="324"/>
      <c r="C13717" s="325"/>
      <c r="D13717" s="326"/>
      <c r="E13717" s="326"/>
      <c r="F13717" s="326"/>
      <c r="G13717" s="326"/>
      <c r="H13717" s="326"/>
      <c r="P13717" s="318"/>
      <c r="Q13717" s="318"/>
      <c r="R13717" s="318"/>
      <c r="S13717" s="318"/>
      <c r="T13717" s="318"/>
      <c r="U13717" s="318"/>
      <c r="V13717" s="318"/>
      <c r="W13717" s="318"/>
      <c r="X13717" s="318"/>
      <c r="Y13717" s="318"/>
      <c r="Z13717" s="318"/>
      <c r="AA13717" s="318"/>
      <c r="AB13717" s="318"/>
      <c r="AC13717" s="318"/>
      <c r="AD13717" s="318"/>
    </row>
    <row r="13718" spans="2:30" s="323" customFormat="1" ht="12" customHeight="1">
      <c r="B13718" s="324"/>
      <c r="C13718" s="325"/>
      <c r="D13718" s="326"/>
      <c r="E13718" s="326"/>
      <c r="F13718" s="326"/>
      <c r="G13718" s="326"/>
      <c r="H13718" s="326"/>
      <c r="P13718" s="318"/>
      <c r="Q13718" s="318"/>
      <c r="R13718" s="318"/>
      <c r="S13718" s="318"/>
      <c r="T13718" s="318"/>
      <c r="U13718" s="318"/>
      <c r="V13718" s="318"/>
      <c r="W13718" s="318"/>
      <c r="X13718" s="318"/>
      <c r="Y13718" s="318"/>
      <c r="Z13718" s="318"/>
      <c r="AA13718" s="318"/>
      <c r="AB13718" s="318"/>
      <c r="AC13718" s="318"/>
      <c r="AD13718" s="318"/>
    </row>
    <row r="13719" spans="2:30" s="323" customFormat="1" ht="12" customHeight="1">
      <c r="B13719" s="324"/>
      <c r="C13719" s="325"/>
      <c r="D13719" s="326"/>
      <c r="E13719" s="326"/>
      <c r="F13719" s="326"/>
      <c r="G13719" s="326"/>
      <c r="H13719" s="326"/>
      <c r="P13719" s="318"/>
      <c r="Q13719" s="318"/>
      <c r="R13719" s="318"/>
      <c r="S13719" s="318"/>
      <c r="T13719" s="318"/>
      <c r="U13719" s="318"/>
      <c r="V13719" s="318"/>
      <c r="W13719" s="318"/>
      <c r="X13719" s="318"/>
      <c r="Y13719" s="318"/>
      <c r="Z13719" s="318"/>
      <c r="AA13719" s="318"/>
      <c r="AB13719" s="318"/>
      <c r="AC13719" s="318"/>
      <c r="AD13719" s="318"/>
    </row>
    <row r="13720" spans="2:30" s="323" customFormat="1" ht="12" customHeight="1">
      <c r="B13720" s="324"/>
      <c r="C13720" s="325"/>
      <c r="D13720" s="326"/>
      <c r="E13720" s="326"/>
      <c r="F13720" s="326"/>
      <c r="G13720" s="326"/>
      <c r="H13720" s="326"/>
      <c r="P13720" s="318"/>
      <c r="Q13720" s="318"/>
      <c r="R13720" s="318"/>
      <c r="S13720" s="318"/>
      <c r="T13720" s="318"/>
      <c r="U13720" s="318"/>
      <c r="V13720" s="318"/>
      <c r="W13720" s="318"/>
      <c r="X13720" s="318"/>
      <c r="Y13720" s="318"/>
      <c r="Z13720" s="318"/>
      <c r="AA13720" s="318"/>
      <c r="AB13720" s="318"/>
      <c r="AC13720" s="318"/>
      <c r="AD13720" s="318"/>
    </row>
    <row r="13721" spans="2:30" s="323" customFormat="1" ht="12" customHeight="1">
      <c r="B13721" s="324"/>
      <c r="C13721" s="325"/>
      <c r="D13721" s="326"/>
      <c r="E13721" s="326"/>
      <c r="F13721" s="326"/>
      <c r="G13721" s="326"/>
      <c r="H13721" s="326"/>
      <c r="P13721" s="318"/>
      <c r="Q13721" s="318"/>
      <c r="R13721" s="318"/>
      <c r="S13721" s="318"/>
      <c r="T13721" s="318"/>
      <c r="U13721" s="318"/>
      <c r="V13721" s="318"/>
      <c r="W13721" s="318"/>
      <c r="X13721" s="318"/>
      <c r="Y13721" s="318"/>
      <c r="Z13721" s="318"/>
      <c r="AA13721" s="318"/>
      <c r="AB13721" s="318"/>
      <c r="AC13721" s="318"/>
      <c r="AD13721" s="318"/>
    </row>
    <row r="13722" spans="2:30" s="323" customFormat="1" ht="12" customHeight="1">
      <c r="B13722" s="324"/>
      <c r="C13722" s="325"/>
      <c r="D13722" s="326"/>
      <c r="E13722" s="326"/>
      <c r="F13722" s="326"/>
      <c r="G13722" s="326"/>
      <c r="H13722" s="326"/>
      <c r="P13722" s="318"/>
      <c r="Q13722" s="318"/>
      <c r="R13722" s="318"/>
      <c r="S13722" s="318"/>
      <c r="T13722" s="318"/>
      <c r="U13722" s="318"/>
      <c r="V13722" s="318"/>
      <c r="W13722" s="318"/>
      <c r="X13722" s="318"/>
      <c r="Y13722" s="318"/>
      <c r="Z13722" s="318"/>
      <c r="AA13722" s="318"/>
      <c r="AB13722" s="318"/>
      <c r="AC13722" s="318"/>
      <c r="AD13722" s="318"/>
    </row>
    <row r="13723" spans="2:30" s="323" customFormat="1" ht="12" customHeight="1">
      <c r="B13723" s="324"/>
      <c r="C13723" s="325"/>
      <c r="D13723" s="326"/>
      <c r="E13723" s="326"/>
      <c r="F13723" s="326"/>
      <c r="G13723" s="326"/>
      <c r="H13723" s="326"/>
      <c r="P13723" s="318"/>
      <c r="Q13723" s="318"/>
      <c r="R13723" s="318"/>
      <c r="S13723" s="318"/>
      <c r="T13723" s="318"/>
      <c r="U13723" s="318"/>
      <c r="V13723" s="318"/>
      <c r="W13723" s="318"/>
      <c r="X13723" s="318"/>
      <c r="Y13723" s="318"/>
      <c r="Z13723" s="318"/>
      <c r="AA13723" s="318"/>
      <c r="AB13723" s="318"/>
      <c r="AC13723" s="318"/>
      <c r="AD13723" s="318"/>
    </row>
    <row r="13724" spans="2:30" s="323" customFormat="1" ht="12" customHeight="1">
      <c r="B13724" s="324"/>
      <c r="C13724" s="325"/>
      <c r="D13724" s="326"/>
      <c r="E13724" s="326"/>
      <c r="F13724" s="326"/>
      <c r="G13724" s="326"/>
      <c r="H13724" s="326"/>
      <c r="P13724" s="318"/>
      <c r="Q13724" s="318"/>
      <c r="R13724" s="318"/>
      <c r="S13724" s="318"/>
      <c r="T13724" s="318"/>
      <c r="U13724" s="318"/>
      <c r="V13724" s="318"/>
      <c r="W13724" s="318"/>
      <c r="X13724" s="318"/>
      <c r="Y13724" s="318"/>
      <c r="Z13724" s="318"/>
      <c r="AA13724" s="318"/>
      <c r="AB13724" s="318"/>
      <c r="AC13724" s="318"/>
      <c r="AD13724" s="318"/>
    </row>
    <row r="13725" spans="2:30" s="323" customFormat="1" ht="12" customHeight="1">
      <c r="B13725" s="324"/>
      <c r="C13725" s="325"/>
      <c r="D13725" s="326"/>
      <c r="E13725" s="326"/>
      <c r="F13725" s="326"/>
      <c r="G13725" s="326"/>
      <c r="H13725" s="326"/>
      <c r="P13725" s="318"/>
      <c r="Q13725" s="318"/>
      <c r="R13725" s="318"/>
      <c r="S13725" s="318"/>
      <c r="T13725" s="318"/>
      <c r="U13725" s="318"/>
      <c r="V13725" s="318"/>
      <c r="W13725" s="318"/>
      <c r="X13725" s="318"/>
      <c r="Y13725" s="318"/>
      <c r="Z13725" s="318"/>
      <c r="AA13725" s="318"/>
      <c r="AB13725" s="318"/>
      <c r="AC13725" s="318"/>
      <c r="AD13725" s="318"/>
    </row>
    <row r="13726" spans="2:30" s="323" customFormat="1" ht="12" customHeight="1">
      <c r="B13726" s="324"/>
      <c r="C13726" s="325"/>
      <c r="D13726" s="326"/>
      <c r="E13726" s="326"/>
      <c r="F13726" s="326"/>
      <c r="G13726" s="326"/>
      <c r="H13726" s="326"/>
      <c r="P13726" s="318"/>
      <c r="Q13726" s="318"/>
      <c r="R13726" s="318"/>
      <c r="S13726" s="318"/>
      <c r="T13726" s="318"/>
      <c r="U13726" s="318"/>
      <c r="V13726" s="318"/>
      <c r="W13726" s="318"/>
      <c r="X13726" s="318"/>
      <c r="Y13726" s="318"/>
      <c r="Z13726" s="318"/>
      <c r="AA13726" s="318"/>
      <c r="AB13726" s="318"/>
      <c r="AC13726" s="318"/>
      <c r="AD13726" s="318"/>
    </row>
    <row r="13727" spans="2:30" s="323" customFormat="1" ht="12" customHeight="1">
      <c r="B13727" s="324"/>
      <c r="C13727" s="325"/>
      <c r="D13727" s="326"/>
      <c r="E13727" s="326"/>
      <c r="F13727" s="326"/>
      <c r="G13727" s="326"/>
      <c r="H13727" s="326"/>
      <c r="P13727" s="318"/>
      <c r="Q13727" s="318"/>
      <c r="R13727" s="318"/>
      <c r="S13727" s="318"/>
      <c r="T13727" s="318"/>
      <c r="U13727" s="318"/>
      <c r="V13727" s="318"/>
      <c r="W13727" s="318"/>
      <c r="X13727" s="318"/>
      <c r="Y13727" s="318"/>
      <c r="Z13727" s="318"/>
      <c r="AA13727" s="318"/>
      <c r="AB13727" s="318"/>
      <c r="AC13727" s="318"/>
      <c r="AD13727" s="318"/>
    </row>
    <row r="13728" spans="2:30" s="323" customFormat="1" ht="12" customHeight="1">
      <c r="B13728" s="324"/>
      <c r="C13728" s="325"/>
      <c r="D13728" s="326"/>
      <c r="E13728" s="326"/>
      <c r="F13728" s="326"/>
      <c r="G13728" s="326"/>
      <c r="H13728" s="326"/>
      <c r="P13728" s="318"/>
      <c r="Q13728" s="318"/>
      <c r="R13728" s="318"/>
      <c r="S13728" s="318"/>
      <c r="T13728" s="318"/>
      <c r="U13728" s="318"/>
      <c r="V13728" s="318"/>
      <c r="W13728" s="318"/>
      <c r="X13728" s="318"/>
      <c r="Y13728" s="318"/>
      <c r="Z13728" s="318"/>
      <c r="AA13728" s="318"/>
      <c r="AB13728" s="318"/>
      <c r="AC13728" s="318"/>
      <c r="AD13728" s="318"/>
    </row>
    <row r="13729" spans="2:30" s="323" customFormat="1" ht="12" customHeight="1">
      <c r="B13729" s="324"/>
      <c r="C13729" s="325"/>
      <c r="D13729" s="326"/>
      <c r="E13729" s="326"/>
      <c r="F13729" s="326"/>
      <c r="G13729" s="326"/>
      <c r="H13729" s="326"/>
      <c r="P13729" s="318"/>
      <c r="Q13729" s="318"/>
      <c r="R13729" s="318"/>
      <c r="S13729" s="318"/>
      <c r="T13729" s="318"/>
      <c r="U13729" s="318"/>
      <c r="V13729" s="318"/>
      <c r="W13729" s="318"/>
      <c r="X13729" s="318"/>
      <c r="Y13729" s="318"/>
      <c r="Z13729" s="318"/>
      <c r="AA13729" s="318"/>
      <c r="AB13729" s="318"/>
      <c r="AC13729" s="318"/>
      <c r="AD13729" s="318"/>
    </row>
    <row r="13730" spans="2:30" s="323" customFormat="1" ht="12" customHeight="1">
      <c r="B13730" s="324"/>
      <c r="C13730" s="325"/>
      <c r="D13730" s="326"/>
      <c r="E13730" s="326"/>
      <c r="F13730" s="326"/>
      <c r="G13730" s="326"/>
      <c r="H13730" s="326"/>
      <c r="P13730" s="318"/>
      <c r="Q13730" s="318"/>
      <c r="R13730" s="318"/>
      <c r="S13730" s="318"/>
      <c r="T13730" s="318"/>
      <c r="U13730" s="318"/>
      <c r="V13730" s="318"/>
      <c r="W13730" s="318"/>
      <c r="X13730" s="318"/>
      <c r="Y13730" s="318"/>
      <c r="Z13730" s="318"/>
      <c r="AA13730" s="318"/>
      <c r="AB13730" s="318"/>
      <c r="AC13730" s="318"/>
      <c r="AD13730" s="318"/>
    </row>
    <row r="13731" spans="2:30" s="323" customFormat="1" ht="12" customHeight="1">
      <c r="B13731" s="324"/>
      <c r="C13731" s="325"/>
      <c r="D13731" s="326"/>
      <c r="E13731" s="326"/>
      <c r="F13731" s="326"/>
      <c r="G13731" s="326"/>
      <c r="H13731" s="326"/>
      <c r="P13731" s="318"/>
      <c r="Q13731" s="318"/>
      <c r="R13731" s="318"/>
      <c r="S13731" s="318"/>
      <c r="T13731" s="318"/>
      <c r="U13731" s="318"/>
      <c r="V13731" s="318"/>
      <c r="W13731" s="318"/>
      <c r="X13731" s="318"/>
      <c r="Y13731" s="318"/>
      <c r="Z13731" s="318"/>
      <c r="AA13731" s="318"/>
      <c r="AB13731" s="318"/>
      <c r="AC13731" s="318"/>
      <c r="AD13731" s="318"/>
    </row>
    <row r="13732" spans="2:30" s="323" customFormat="1" ht="12" customHeight="1">
      <c r="B13732" s="324"/>
      <c r="C13732" s="325"/>
      <c r="D13732" s="326"/>
      <c r="E13732" s="326"/>
      <c r="F13732" s="326"/>
      <c r="G13732" s="326"/>
      <c r="H13732" s="326"/>
      <c r="P13732" s="318"/>
      <c r="Q13732" s="318"/>
      <c r="R13732" s="318"/>
      <c r="S13732" s="318"/>
      <c r="T13732" s="318"/>
      <c r="U13732" s="318"/>
      <c r="V13732" s="318"/>
      <c r="W13732" s="318"/>
      <c r="X13732" s="318"/>
      <c r="Y13732" s="318"/>
      <c r="Z13732" s="318"/>
      <c r="AA13732" s="318"/>
      <c r="AB13732" s="318"/>
      <c r="AC13732" s="318"/>
      <c r="AD13732" s="318"/>
    </row>
    <row r="13733" spans="2:30" s="323" customFormat="1" ht="12" customHeight="1">
      <c r="B13733" s="324"/>
      <c r="C13733" s="325"/>
      <c r="D13733" s="326"/>
      <c r="E13733" s="326"/>
      <c r="F13733" s="326"/>
      <c r="G13733" s="326"/>
      <c r="H13733" s="326"/>
      <c r="P13733" s="318"/>
      <c r="Q13733" s="318"/>
      <c r="R13733" s="318"/>
      <c r="S13733" s="318"/>
      <c r="T13733" s="318"/>
      <c r="U13733" s="318"/>
      <c r="V13733" s="318"/>
      <c r="W13733" s="318"/>
      <c r="X13733" s="318"/>
      <c r="Y13733" s="318"/>
      <c r="Z13733" s="318"/>
      <c r="AA13733" s="318"/>
      <c r="AB13733" s="318"/>
      <c r="AC13733" s="318"/>
      <c r="AD13733" s="318"/>
    </row>
    <row r="13734" spans="2:30" s="323" customFormat="1" ht="12" customHeight="1">
      <c r="B13734" s="324"/>
      <c r="C13734" s="325"/>
      <c r="D13734" s="326"/>
      <c r="E13734" s="326"/>
      <c r="F13734" s="326"/>
      <c r="G13734" s="326"/>
      <c r="H13734" s="326"/>
      <c r="P13734" s="318"/>
      <c r="Q13734" s="318"/>
      <c r="R13734" s="318"/>
      <c r="S13734" s="318"/>
      <c r="T13734" s="318"/>
      <c r="U13734" s="318"/>
      <c r="V13734" s="318"/>
      <c r="W13734" s="318"/>
      <c r="X13734" s="318"/>
      <c r="Y13734" s="318"/>
      <c r="Z13734" s="318"/>
      <c r="AA13734" s="318"/>
      <c r="AB13734" s="318"/>
      <c r="AC13734" s="318"/>
      <c r="AD13734" s="318"/>
    </row>
    <row r="13735" spans="2:30" s="323" customFormat="1" ht="12" customHeight="1">
      <c r="B13735" s="324"/>
      <c r="C13735" s="325"/>
      <c r="D13735" s="326"/>
      <c r="E13735" s="326"/>
      <c r="F13735" s="326"/>
      <c r="G13735" s="326"/>
      <c r="H13735" s="326"/>
      <c r="P13735" s="318"/>
      <c r="Q13735" s="318"/>
      <c r="R13735" s="318"/>
      <c r="S13735" s="318"/>
      <c r="T13735" s="318"/>
      <c r="U13735" s="318"/>
      <c r="V13735" s="318"/>
      <c r="W13735" s="318"/>
      <c r="X13735" s="318"/>
      <c r="Y13735" s="318"/>
      <c r="Z13735" s="318"/>
      <c r="AA13735" s="318"/>
      <c r="AB13735" s="318"/>
      <c r="AC13735" s="318"/>
      <c r="AD13735" s="318"/>
    </row>
    <row r="13736" spans="2:30" s="323" customFormat="1" ht="12" customHeight="1">
      <c r="B13736" s="324"/>
      <c r="C13736" s="325"/>
      <c r="D13736" s="326"/>
      <c r="E13736" s="326"/>
      <c r="F13736" s="326"/>
      <c r="G13736" s="326"/>
      <c r="H13736" s="326"/>
      <c r="P13736" s="318"/>
      <c r="Q13736" s="318"/>
      <c r="R13736" s="318"/>
      <c r="S13736" s="318"/>
      <c r="T13736" s="318"/>
      <c r="U13736" s="318"/>
      <c r="V13736" s="318"/>
      <c r="W13736" s="318"/>
      <c r="X13736" s="318"/>
      <c r="Y13736" s="318"/>
      <c r="Z13736" s="318"/>
      <c r="AA13736" s="318"/>
      <c r="AB13736" s="318"/>
      <c r="AC13736" s="318"/>
      <c r="AD13736" s="318"/>
    </row>
    <row r="13737" spans="2:30" s="323" customFormat="1" ht="12" customHeight="1">
      <c r="B13737" s="324"/>
      <c r="C13737" s="325"/>
      <c r="D13737" s="326"/>
      <c r="E13737" s="326"/>
      <c r="F13737" s="326"/>
      <c r="G13737" s="326"/>
      <c r="H13737" s="326"/>
      <c r="P13737" s="318"/>
      <c r="Q13737" s="318"/>
      <c r="R13737" s="318"/>
      <c r="S13737" s="318"/>
      <c r="T13737" s="318"/>
      <c r="U13737" s="318"/>
      <c r="V13737" s="318"/>
      <c r="W13737" s="318"/>
      <c r="X13737" s="318"/>
      <c r="Y13737" s="318"/>
      <c r="Z13737" s="318"/>
      <c r="AA13737" s="318"/>
      <c r="AB13737" s="318"/>
      <c r="AC13737" s="318"/>
      <c r="AD13737" s="318"/>
    </row>
    <row r="13738" spans="2:30" s="323" customFormat="1" ht="12" customHeight="1">
      <c r="B13738" s="324"/>
      <c r="C13738" s="325"/>
      <c r="D13738" s="326"/>
      <c r="E13738" s="326"/>
      <c r="F13738" s="326"/>
      <c r="G13738" s="326"/>
      <c r="H13738" s="326"/>
      <c r="P13738" s="318"/>
      <c r="Q13738" s="318"/>
      <c r="R13738" s="318"/>
      <c r="S13738" s="318"/>
      <c r="T13738" s="318"/>
      <c r="U13738" s="318"/>
      <c r="V13738" s="318"/>
      <c r="W13738" s="318"/>
      <c r="X13738" s="318"/>
      <c r="Y13738" s="318"/>
      <c r="Z13738" s="318"/>
      <c r="AA13738" s="318"/>
      <c r="AB13738" s="318"/>
      <c r="AC13738" s="318"/>
      <c r="AD13738" s="318"/>
    </row>
    <row r="13739" spans="2:30" s="323" customFormat="1" ht="12" customHeight="1">
      <c r="B13739" s="324"/>
      <c r="C13739" s="325"/>
      <c r="D13739" s="326"/>
      <c r="E13739" s="326"/>
      <c r="F13739" s="326"/>
      <c r="G13739" s="326"/>
      <c r="H13739" s="326"/>
      <c r="P13739" s="318"/>
      <c r="Q13739" s="318"/>
      <c r="R13739" s="318"/>
      <c r="S13739" s="318"/>
      <c r="T13739" s="318"/>
      <c r="U13739" s="318"/>
      <c r="V13739" s="318"/>
      <c r="W13739" s="318"/>
      <c r="X13739" s="318"/>
      <c r="Y13739" s="318"/>
      <c r="Z13739" s="318"/>
      <c r="AA13739" s="318"/>
      <c r="AB13739" s="318"/>
      <c r="AC13739" s="318"/>
      <c r="AD13739" s="318"/>
    </row>
    <row r="13740" spans="2:30" s="323" customFormat="1" ht="12" customHeight="1">
      <c r="B13740" s="324"/>
      <c r="C13740" s="325"/>
      <c r="D13740" s="326"/>
      <c r="E13740" s="326"/>
      <c r="F13740" s="326"/>
      <c r="G13740" s="326"/>
      <c r="H13740" s="326"/>
      <c r="P13740" s="318"/>
      <c r="Q13740" s="318"/>
      <c r="R13740" s="318"/>
      <c r="S13740" s="318"/>
      <c r="T13740" s="318"/>
      <c r="U13740" s="318"/>
      <c r="V13740" s="318"/>
      <c r="W13740" s="318"/>
      <c r="X13740" s="318"/>
      <c r="Y13740" s="318"/>
      <c r="Z13740" s="318"/>
      <c r="AA13740" s="318"/>
      <c r="AB13740" s="318"/>
      <c r="AC13740" s="318"/>
      <c r="AD13740" s="318"/>
    </row>
    <row r="13741" spans="2:30" s="323" customFormat="1" ht="12" customHeight="1">
      <c r="B13741" s="324"/>
      <c r="C13741" s="325"/>
      <c r="D13741" s="326"/>
      <c r="E13741" s="326"/>
      <c r="F13741" s="326"/>
      <c r="G13741" s="326"/>
      <c r="H13741" s="326"/>
      <c r="P13741" s="318"/>
      <c r="Q13741" s="318"/>
      <c r="R13741" s="318"/>
      <c r="S13741" s="318"/>
      <c r="T13741" s="318"/>
      <c r="U13741" s="318"/>
      <c r="V13741" s="318"/>
      <c r="W13741" s="318"/>
      <c r="X13741" s="318"/>
      <c r="Y13741" s="318"/>
      <c r="Z13741" s="318"/>
      <c r="AA13741" s="318"/>
      <c r="AB13741" s="318"/>
      <c r="AC13741" s="318"/>
      <c r="AD13741" s="318"/>
    </row>
    <row r="13742" spans="2:30" s="323" customFormat="1" ht="12" customHeight="1">
      <c r="B13742" s="324"/>
      <c r="C13742" s="325"/>
      <c r="D13742" s="326"/>
      <c r="E13742" s="326"/>
      <c r="F13742" s="326"/>
      <c r="G13742" s="326"/>
      <c r="H13742" s="326"/>
      <c r="P13742" s="318"/>
      <c r="Q13742" s="318"/>
      <c r="R13742" s="318"/>
      <c r="S13742" s="318"/>
      <c r="T13742" s="318"/>
      <c r="U13742" s="318"/>
      <c r="V13742" s="318"/>
      <c r="W13742" s="318"/>
      <c r="X13742" s="318"/>
      <c r="Y13742" s="318"/>
      <c r="Z13742" s="318"/>
      <c r="AA13742" s="318"/>
      <c r="AB13742" s="318"/>
      <c r="AC13742" s="318"/>
      <c r="AD13742" s="318"/>
    </row>
    <row r="13743" spans="2:30" s="323" customFormat="1" ht="12" customHeight="1">
      <c r="B13743" s="324"/>
      <c r="C13743" s="325"/>
      <c r="D13743" s="326"/>
      <c r="E13743" s="326"/>
      <c r="F13743" s="326"/>
      <c r="G13743" s="326"/>
      <c r="H13743" s="326"/>
      <c r="P13743" s="318"/>
      <c r="Q13743" s="318"/>
      <c r="R13743" s="318"/>
      <c r="S13743" s="318"/>
      <c r="T13743" s="318"/>
      <c r="U13743" s="318"/>
      <c r="V13743" s="318"/>
      <c r="W13743" s="318"/>
      <c r="X13743" s="318"/>
      <c r="Y13743" s="318"/>
      <c r="Z13743" s="318"/>
      <c r="AA13743" s="318"/>
      <c r="AB13743" s="318"/>
      <c r="AC13743" s="318"/>
      <c r="AD13743" s="318"/>
    </row>
    <row r="13744" spans="2:30" s="323" customFormat="1" ht="12" customHeight="1">
      <c r="B13744" s="324"/>
      <c r="C13744" s="325"/>
      <c r="D13744" s="326"/>
      <c r="E13744" s="326"/>
      <c r="F13744" s="326"/>
      <c r="G13744" s="326"/>
      <c r="H13744" s="326"/>
      <c r="P13744" s="318"/>
      <c r="Q13744" s="318"/>
      <c r="R13744" s="318"/>
      <c r="S13744" s="318"/>
      <c r="T13744" s="318"/>
      <c r="U13744" s="318"/>
      <c r="V13744" s="318"/>
      <c r="W13744" s="318"/>
      <c r="X13744" s="318"/>
      <c r="Y13744" s="318"/>
      <c r="Z13744" s="318"/>
      <c r="AA13744" s="318"/>
      <c r="AB13744" s="318"/>
      <c r="AC13744" s="318"/>
      <c r="AD13744" s="318"/>
    </row>
    <row r="13745" spans="2:30" s="323" customFormat="1" ht="12" customHeight="1">
      <c r="B13745" s="324"/>
      <c r="C13745" s="325"/>
      <c r="D13745" s="326"/>
      <c r="E13745" s="326"/>
      <c r="F13745" s="326"/>
      <c r="G13745" s="326"/>
      <c r="H13745" s="326"/>
      <c r="P13745" s="318"/>
      <c r="Q13745" s="318"/>
      <c r="R13745" s="318"/>
      <c r="S13745" s="318"/>
      <c r="T13745" s="318"/>
      <c r="U13745" s="318"/>
      <c r="V13745" s="318"/>
      <c r="W13745" s="318"/>
      <c r="X13745" s="318"/>
      <c r="Y13745" s="318"/>
      <c r="Z13745" s="318"/>
      <c r="AA13745" s="318"/>
      <c r="AB13745" s="318"/>
      <c r="AC13745" s="318"/>
      <c r="AD13745" s="318"/>
    </row>
    <row r="13746" spans="2:30" s="323" customFormat="1" ht="12" customHeight="1">
      <c r="B13746" s="324"/>
      <c r="C13746" s="325"/>
      <c r="D13746" s="326"/>
      <c r="E13746" s="326"/>
      <c r="F13746" s="326"/>
      <c r="G13746" s="326"/>
      <c r="H13746" s="326"/>
      <c r="P13746" s="318"/>
      <c r="Q13746" s="318"/>
      <c r="R13746" s="318"/>
      <c r="S13746" s="318"/>
      <c r="T13746" s="318"/>
      <c r="U13746" s="318"/>
      <c r="V13746" s="318"/>
      <c r="W13746" s="318"/>
      <c r="X13746" s="318"/>
      <c r="Y13746" s="318"/>
      <c r="Z13746" s="318"/>
      <c r="AA13746" s="318"/>
      <c r="AB13746" s="318"/>
      <c r="AC13746" s="318"/>
      <c r="AD13746" s="318"/>
    </row>
    <row r="13747" spans="2:30" s="323" customFormat="1" ht="12" customHeight="1">
      <c r="B13747" s="324"/>
      <c r="C13747" s="325"/>
      <c r="D13747" s="326"/>
      <c r="E13747" s="326"/>
      <c r="F13747" s="326"/>
      <c r="G13747" s="326"/>
      <c r="H13747" s="326"/>
      <c r="P13747" s="318"/>
      <c r="Q13747" s="318"/>
      <c r="R13747" s="318"/>
      <c r="S13747" s="318"/>
      <c r="T13747" s="318"/>
      <c r="U13747" s="318"/>
      <c r="V13747" s="318"/>
      <c r="W13747" s="318"/>
      <c r="X13747" s="318"/>
      <c r="Y13747" s="318"/>
      <c r="Z13747" s="318"/>
      <c r="AA13747" s="318"/>
      <c r="AB13747" s="318"/>
      <c r="AC13747" s="318"/>
      <c r="AD13747" s="318"/>
    </row>
    <row r="13748" spans="2:30" s="323" customFormat="1" ht="12" customHeight="1">
      <c r="B13748" s="324"/>
      <c r="C13748" s="325"/>
      <c r="D13748" s="326"/>
      <c r="E13748" s="326"/>
      <c r="F13748" s="326"/>
      <c r="G13748" s="326"/>
      <c r="H13748" s="326"/>
      <c r="P13748" s="318"/>
      <c r="Q13748" s="318"/>
      <c r="R13748" s="318"/>
      <c r="S13748" s="318"/>
      <c r="T13748" s="318"/>
      <c r="U13748" s="318"/>
      <c r="V13748" s="318"/>
      <c r="W13748" s="318"/>
      <c r="X13748" s="318"/>
      <c r="Y13748" s="318"/>
      <c r="Z13748" s="318"/>
      <c r="AA13748" s="318"/>
      <c r="AB13748" s="318"/>
      <c r="AC13748" s="318"/>
      <c r="AD13748" s="318"/>
    </row>
    <row r="13749" spans="2:30" s="323" customFormat="1" ht="12" customHeight="1">
      <c r="B13749" s="324"/>
      <c r="C13749" s="325"/>
      <c r="D13749" s="326"/>
      <c r="E13749" s="326"/>
      <c r="F13749" s="326"/>
      <c r="G13749" s="326"/>
      <c r="H13749" s="326"/>
      <c r="P13749" s="318"/>
      <c r="Q13749" s="318"/>
      <c r="R13749" s="318"/>
      <c r="S13749" s="318"/>
      <c r="T13749" s="318"/>
      <c r="U13749" s="318"/>
      <c r="V13749" s="318"/>
      <c r="W13749" s="318"/>
      <c r="X13749" s="318"/>
      <c r="Y13749" s="318"/>
      <c r="Z13749" s="318"/>
      <c r="AA13749" s="318"/>
      <c r="AB13749" s="318"/>
      <c r="AC13749" s="318"/>
      <c r="AD13749" s="318"/>
    </row>
    <row r="13750" spans="2:30" s="323" customFormat="1" ht="12" customHeight="1">
      <c r="B13750" s="324"/>
      <c r="C13750" s="325"/>
      <c r="D13750" s="326"/>
      <c r="E13750" s="326"/>
      <c r="F13750" s="326"/>
      <c r="G13750" s="326"/>
      <c r="H13750" s="326"/>
      <c r="P13750" s="318"/>
      <c r="Q13750" s="318"/>
      <c r="R13750" s="318"/>
      <c r="S13750" s="318"/>
      <c r="T13750" s="318"/>
      <c r="U13750" s="318"/>
      <c r="V13750" s="318"/>
      <c r="W13750" s="318"/>
      <c r="X13750" s="318"/>
      <c r="Y13750" s="318"/>
      <c r="Z13750" s="318"/>
      <c r="AA13750" s="318"/>
      <c r="AB13750" s="318"/>
      <c r="AC13750" s="318"/>
      <c r="AD13750" s="318"/>
    </row>
    <row r="13751" spans="2:30" s="323" customFormat="1" ht="12" customHeight="1">
      <c r="B13751" s="324"/>
      <c r="C13751" s="325"/>
      <c r="D13751" s="326"/>
      <c r="E13751" s="326"/>
      <c r="F13751" s="326"/>
      <c r="G13751" s="326"/>
      <c r="H13751" s="326"/>
      <c r="P13751" s="318"/>
      <c r="Q13751" s="318"/>
      <c r="R13751" s="318"/>
      <c r="S13751" s="318"/>
      <c r="T13751" s="318"/>
      <c r="U13751" s="318"/>
      <c r="V13751" s="318"/>
      <c r="W13751" s="318"/>
      <c r="X13751" s="318"/>
      <c r="Y13751" s="318"/>
      <c r="Z13751" s="318"/>
      <c r="AA13751" s="318"/>
      <c r="AB13751" s="318"/>
      <c r="AC13751" s="318"/>
      <c r="AD13751" s="318"/>
    </row>
    <row r="13752" spans="2:30" s="323" customFormat="1" ht="12" customHeight="1">
      <c r="B13752" s="324"/>
      <c r="C13752" s="325"/>
      <c r="D13752" s="326"/>
      <c r="E13752" s="326"/>
      <c r="F13752" s="326"/>
      <c r="G13752" s="326"/>
      <c r="H13752" s="326"/>
      <c r="P13752" s="318"/>
      <c r="Q13752" s="318"/>
      <c r="R13752" s="318"/>
      <c r="S13752" s="318"/>
      <c r="T13752" s="318"/>
      <c r="U13752" s="318"/>
      <c r="V13752" s="318"/>
      <c r="W13752" s="318"/>
      <c r="X13752" s="318"/>
      <c r="Y13752" s="318"/>
      <c r="Z13752" s="318"/>
      <c r="AA13752" s="318"/>
      <c r="AB13752" s="318"/>
      <c r="AC13752" s="318"/>
      <c r="AD13752" s="318"/>
    </row>
    <row r="13753" spans="2:30" s="323" customFormat="1" ht="12" customHeight="1">
      <c r="B13753" s="324"/>
      <c r="C13753" s="325"/>
      <c r="D13753" s="326"/>
      <c r="E13753" s="326"/>
      <c r="F13753" s="326"/>
      <c r="G13753" s="326"/>
      <c r="H13753" s="326"/>
      <c r="P13753" s="318"/>
      <c r="Q13753" s="318"/>
      <c r="R13753" s="318"/>
      <c r="S13753" s="318"/>
      <c r="T13753" s="318"/>
      <c r="U13753" s="318"/>
      <c r="V13753" s="318"/>
      <c r="W13753" s="318"/>
      <c r="X13753" s="318"/>
      <c r="Y13753" s="318"/>
      <c r="Z13753" s="318"/>
      <c r="AA13753" s="318"/>
      <c r="AB13753" s="318"/>
      <c r="AC13753" s="318"/>
      <c r="AD13753" s="318"/>
    </row>
    <row r="13754" spans="2:30" s="323" customFormat="1" ht="12" customHeight="1">
      <c r="B13754" s="324"/>
      <c r="C13754" s="325"/>
      <c r="D13754" s="326"/>
      <c r="E13754" s="326"/>
      <c r="F13754" s="326"/>
      <c r="G13754" s="326"/>
      <c r="H13754" s="326"/>
      <c r="P13754" s="318"/>
      <c r="Q13754" s="318"/>
      <c r="R13754" s="318"/>
      <c r="S13754" s="318"/>
      <c r="T13754" s="318"/>
      <c r="U13754" s="318"/>
      <c r="V13754" s="318"/>
      <c r="W13754" s="318"/>
      <c r="X13754" s="318"/>
      <c r="Y13754" s="318"/>
      <c r="Z13754" s="318"/>
      <c r="AA13754" s="318"/>
      <c r="AB13754" s="318"/>
      <c r="AC13754" s="318"/>
      <c r="AD13754" s="318"/>
    </row>
    <row r="13755" spans="2:30" s="323" customFormat="1" ht="12" customHeight="1">
      <c r="B13755" s="324"/>
      <c r="C13755" s="325"/>
      <c r="D13755" s="326"/>
      <c r="E13755" s="326"/>
      <c r="F13755" s="326"/>
      <c r="G13755" s="326"/>
      <c r="H13755" s="326"/>
      <c r="P13755" s="318"/>
      <c r="Q13755" s="318"/>
      <c r="R13755" s="318"/>
      <c r="S13755" s="318"/>
      <c r="T13755" s="318"/>
      <c r="U13755" s="318"/>
      <c r="V13755" s="318"/>
      <c r="W13755" s="318"/>
      <c r="X13755" s="318"/>
      <c r="Y13755" s="318"/>
      <c r="Z13755" s="318"/>
      <c r="AA13755" s="318"/>
      <c r="AB13755" s="318"/>
      <c r="AC13755" s="318"/>
      <c r="AD13755" s="318"/>
    </row>
    <row r="13756" spans="2:30" s="323" customFormat="1" ht="12" customHeight="1">
      <c r="B13756" s="324"/>
      <c r="C13756" s="325"/>
      <c r="D13756" s="326"/>
      <c r="E13756" s="326"/>
      <c r="F13756" s="326"/>
      <c r="G13756" s="326"/>
      <c r="H13756" s="326"/>
      <c r="P13756" s="318"/>
      <c r="Q13756" s="318"/>
      <c r="R13756" s="318"/>
      <c r="S13756" s="318"/>
      <c r="T13756" s="318"/>
      <c r="U13756" s="318"/>
      <c r="V13756" s="318"/>
      <c r="W13756" s="318"/>
      <c r="X13756" s="318"/>
      <c r="Y13756" s="318"/>
      <c r="Z13756" s="318"/>
      <c r="AA13756" s="318"/>
      <c r="AB13756" s="318"/>
      <c r="AC13756" s="318"/>
      <c r="AD13756" s="318"/>
    </row>
    <row r="13757" spans="2:30" s="323" customFormat="1" ht="12" customHeight="1">
      <c r="B13757" s="324"/>
      <c r="C13757" s="325"/>
      <c r="D13757" s="326"/>
      <c r="E13757" s="326"/>
      <c r="F13757" s="326"/>
      <c r="G13757" s="326"/>
      <c r="H13757" s="326"/>
      <c r="P13757" s="318"/>
      <c r="Q13757" s="318"/>
      <c r="R13757" s="318"/>
      <c r="S13757" s="318"/>
      <c r="T13757" s="318"/>
      <c r="U13757" s="318"/>
      <c r="V13757" s="318"/>
      <c r="W13757" s="318"/>
      <c r="X13757" s="318"/>
      <c r="Y13757" s="318"/>
      <c r="Z13757" s="318"/>
      <c r="AA13757" s="318"/>
      <c r="AB13757" s="318"/>
      <c r="AC13757" s="318"/>
      <c r="AD13757" s="318"/>
    </row>
    <row r="13758" spans="2:30" s="323" customFormat="1" ht="12" customHeight="1">
      <c r="B13758" s="324"/>
      <c r="C13758" s="325"/>
      <c r="D13758" s="326"/>
      <c r="E13758" s="326"/>
      <c r="F13758" s="326"/>
      <c r="G13758" s="326"/>
      <c r="H13758" s="326"/>
      <c r="P13758" s="318"/>
      <c r="Q13758" s="318"/>
      <c r="R13758" s="318"/>
      <c r="S13758" s="318"/>
      <c r="T13758" s="318"/>
      <c r="U13758" s="318"/>
      <c r="V13758" s="318"/>
      <c r="W13758" s="318"/>
      <c r="X13758" s="318"/>
      <c r="Y13758" s="318"/>
      <c r="Z13758" s="318"/>
      <c r="AA13758" s="318"/>
      <c r="AB13758" s="318"/>
      <c r="AC13758" s="318"/>
      <c r="AD13758" s="318"/>
    </row>
    <row r="13759" spans="2:30" s="323" customFormat="1" ht="12" customHeight="1">
      <c r="B13759" s="324"/>
      <c r="C13759" s="325"/>
      <c r="D13759" s="326"/>
      <c r="E13759" s="326"/>
      <c r="F13759" s="326"/>
      <c r="G13759" s="326"/>
      <c r="H13759" s="326"/>
      <c r="P13759" s="318"/>
      <c r="Q13759" s="318"/>
      <c r="R13759" s="318"/>
      <c r="S13759" s="318"/>
      <c r="T13759" s="318"/>
      <c r="U13759" s="318"/>
      <c r="V13759" s="318"/>
      <c r="W13759" s="318"/>
      <c r="X13759" s="318"/>
      <c r="Y13759" s="318"/>
      <c r="Z13759" s="318"/>
      <c r="AA13759" s="318"/>
      <c r="AB13759" s="318"/>
      <c r="AC13759" s="318"/>
      <c r="AD13759" s="318"/>
    </row>
    <row r="13760" spans="2:30" s="323" customFormat="1" ht="12" customHeight="1">
      <c r="B13760" s="324"/>
      <c r="C13760" s="325"/>
      <c r="D13760" s="326"/>
      <c r="E13760" s="326"/>
      <c r="F13760" s="326"/>
      <c r="G13760" s="326"/>
      <c r="H13760" s="326"/>
      <c r="P13760" s="318"/>
      <c r="Q13760" s="318"/>
      <c r="R13760" s="318"/>
      <c r="S13760" s="318"/>
      <c r="T13760" s="318"/>
      <c r="U13760" s="318"/>
      <c r="V13760" s="318"/>
      <c r="W13760" s="318"/>
      <c r="X13760" s="318"/>
      <c r="Y13760" s="318"/>
      <c r="Z13760" s="318"/>
      <c r="AA13760" s="318"/>
      <c r="AB13760" s="318"/>
      <c r="AC13760" s="318"/>
      <c r="AD13760" s="318"/>
    </row>
    <row r="13761" spans="2:30" s="323" customFormat="1" ht="12" customHeight="1">
      <c r="B13761" s="324"/>
      <c r="C13761" s="325"/>
      <c r="D13761" s="326"/>
      <c r="E13761" s="326"/>
      <c r="F13761" s="326"/>
      <c r="G13761" s="326"/>
      <c r="H13761" s="326"/>
      <c r="P13761" s="318"/>
      <c r="Q13761" s="318"/>
      <c r="R13761" s="318"/>
      <c r="S13761" s="318"/>
      <c r="T13761" s="318"/>
      <c r="U13761" s="318"/>
      <c r="V13761" s="318"/>
      <c r="W13761" s="318"/>
      <c r="X13761" s="318"/>
      <c r="Y13761" s="318"/>
      <c r="Z13761" s="318"/>
      <c r="AA13761" s="318"/>
      <c r="AB13761" s="318"/>
      <c r="AC13761" s="318"/>
      <c r="AD13761" s="318"/>
    </row>
    <row r="13762" spans="2:30" s="323" customFormat="1" ht="12" customHeight="1">
      <c r="B13762" s="324"/>
      <c r="C13762" s="325"/>
      <c r="D13762" s="326"/>
      <c r="E13762" s="326"/>
      <c r="F13762" s="326"/>
      <c r="G13762" s="326"/>
      <c r="H13762" s="326"/>
      <c r="P13762" s="318"/>
      <c r="Q13762" s="318"/>
      <c r="R13762" s="318"/>
      <c r="S13762" s="318"/>
      <c r="T13762" s="318"/>
      <c r="U13762" s="318"/>
      <c r="V13762" s="318"/>
      <c r="W13762" s="318"/>
      <c r="X13762" s="318"/>
      <c r="Y13762" s="318"/>
      <c r="Z13762" s="318"/>
      <c r="AA13762" s="318"/>
      <c r="AB13762" s="318"/>
      <c r="AC13762" s="318"/>
      <c r="AD13762" s="318"/>
    </row>
    <row r="13763" spans="2:30" s="323" customFormat="1" ht="12" customHeight="1">
      <c r="B13763" s="324"/>
      <c r="C13763" s="325"/>
      <c r="D13763" s="326"/>
      <c r="E13763" s="326"/>
      <c r="F13763" s="326"/>
      <c r="G13763" s="326"/>
      <c r="H13763" s="326"/>
      <c r="P13763" s="318"/>
      <c r="Q13763" s="318"/>
      <c r="R13763" s="318"/>
      <c r="S13763" s="318"/>
      <c r="T13763" s="318"/>
      <c r="U13763" s="318"/>
      <c r="V13763" s="318"/>
      <c r="W13763" s="318"/>
      <c r="X13763" s="318"/>
      <c r="Y13763" s="318"/>
      <c r="Z13763" s="318"/>
      <c r="AA13763" s="318"/>
      <c r="AB13763" s="318"/>
      <c r="AC13763" s="318"/>
      <c r="AD13763" s="318"/>
    </row>
    <row r="13764" spans="2:30" s="323" customFormat="1" ht="12" customHeight="1">
      <c r="B13764" s="324"/>
      <c r="C13764" s="325"/>
      <c r="D13764" s="326"/>
      <c r="E13764" s="326"/>
      <c r="F13764" s="326"/>
      <c r="G13764" s="326"/>
      <c r="H13764" s="326"/>
      <c r="P13764" s="318"/>
      <c r="Q13764" s="318"/>
      <c r="R13764" s="318"/>
      <c r="S13764" s="318"/>
      <c r="T13764" s="318"/>
      <c r="U13764" s="318"/>
      <c r="V13764" s="318"/>
      <c r="W13764" s="318"/>
      <c r="X13764" s="318"/>
      <c r="Y13764" s="318"/>
      <c r="Z13764" s="318"/>
      <c r="AA13764" s="318"/>
      <c r="AB13764" s="318"/>
      <c r="AC13764" s="318"/>
      <c r="AD13764" s="318"/>
    </row>
    <row r="13765" spans="2:30" s="323" customFormat="1" ht="12" customHeight="1">
      <c r="B13765" s="324"/>
      <c r="C13765" s="325"/>
      <c r="D13765" s="326"/>
      <c r="E13765" s="326"/>
      <c r="F13765" s="326"/>
      <c r="G13765" s="326"/>
      <c r="H13765" s="326"/>
      <c r="P13765" s="318"/>
      <c r="Q13765" s="318"/>
      <c r="R13765" s="318"/>
      <c r="S13765" s="318"/>
      <c r="T13765" s="318"/>
      <c r="U13765" s="318"/>
      <c r="V13765" s="318"/>
      <c r="W13765" s="318"/>
      <c r="X13765" s="318"/>
      <c r="Y13765" s="318"/>
      <c r="Z13765" s="318"/>
      <c r="AA13765" s="318"/>
      <c r="AB13765" s="318"/>
      <c r="AC13765" s="318"/>
      <c r="AD13765" s="318"/>
    </row>
    <row r="13766" spans="2:30" s="323" customFormat="1" ht="12" customHeight="1">
      <c r="B13766" s="324"/>
      <c r="C13766" s="325"/>
      <c r="D13766" s="326"/>
      <c r="E13766" s="326"/>
      <c r="F13766" s="326"/>
      <c r="G13766" s="326"/>
      <c r="H13766" s="326"/>
      <c r="P13766" s="318"/>
      <c r="Q13766" s="318"/>
      <c r="R13766" s="318"/>
      <c r="S13766" s="318"/>
      <c r="T13766" s="318"/>
      <c r="U13766" s="318"/>
      <c r="V13766" s="318"/>
      <c r="W13766" s="318"/>
      <c r="X13766" s="318"/>
      <c r="Y13766" s="318"/>
      <c r="Z13766" s="318"/>
      <c r="AA13766" s="318"/>
      <c r="AB13766" s="318"/>
      <c r="AC13766" s="318"/>
      <c r="AD13766" s="318"/>
    </row>
    <row r="13767" spans="2:30" s="323" customFormat="1" ht="12" customHeight="1">
      <c r="B13767" s="324"/>
      <c r="C13767" s="325"/>
      <c r="D13767" s="326"/>
      <c r="E13767" s="326"/>
      <c r="F13767" s="326"/>
      <c r="G13767" s="326"/>
      <c r="H13767" s="326"/>
      <c r="P13767" s="318"/>
      <c r="Q13767" s="318"/>
      <c r="R13767" s="318"/>
      <c r="S13767" s="318"/>
      <c r="T13767" s="318"/>
      <c r="U13767" s="318"/>
      <c r="V13767" s="318"/>
      <c r="W13767" s="318"/>
      <c r="X13767" s="318"/>
      <c r="Y13767" s="318"/>
      <c r="Z13767" s="318"/>
      <c r="AA13767" s="318"/>
      <c r="AB13767" s="318"/>
      <c r="AC13767" s="318"/>
      <c r="AD13767" s="318"/>
    </row>
    <row r="13768" spans="2:30" s="323" customFormat="1" ht="12" customHeight="1">
      <c r="B13768" s="324"/>
      <c r="C13768" s="325"/>
      <c r="D13768" s="326"/>
      <c r="E13768" s="326"/>
      <c r="F13768" s="326"/>
      <c r="G13768" s="326"/>
      <c r="H13768" s="326"/>
      <c r="P13768" s="318"/>
      <c r="Q13768" s="318"/>
      <c r="R13768" s="318"/>
      <c r="S13768" s="318"/>
      <c r="T13768" s="318"/>
      <c r="U13768" s="318"/>
      <c r="V13768" s="318"/>
      <c r="W13768" s="318"/>
      <c r="X13768" s="318"/>
      <c r="Y13768" s="318"/>
      <c r="Z13768" s="318"/>
      <c r="AA13768" s="318"/>
      <c r="AB13768" s="318"/>
      <c r="AC13768" s="318"/>
      <c r="AD13768" s="318"/>
    </row>
    <row r="13769" spans="2:30" s="323" customFormat="1" ht="12" customHeight="1">
      <c r="B13769" s="324"/>
      <c r="C13769" s="325"/>
      <c r="D13769" s="326"/>
      <c r="E13769" s="326"/>
      <c r="F13769" s="326"/>
      <c r="G13769" s="326"/>
      <c r="H13769" s="326"/>
      <c r="P13769" s="318"/>
      <c r="Q13769" s="318"/>
      <c r="R13769" s="318"/>
      <c r="S13769" s="318"/>
      <c r="T13769" s="318"/>
      <c r="U13769" s="318"/>
      <c r="V13769" s="318"/>
      <c r="W13769" s="318"/>
      <c r="X13769" s="318"/>
      <c r="Y13769" s="318"/>
      <c r="Z13769" s="318"/>
      <c r="AA13769" s="318"/>
      <c r="AB13769" s="318"/>
      <c r="AC13769" s="318"/>
      <c r="AD13769" s="318"/>
    </row>
    <row r="13770" spans="2:30" s="323" customFormat="1" ht="12" customHeight="1">
      <c r="B13770" s="324"/>
      <c r="C13770" s="325"/>
      <c r="D13770" s="326"/>
      <c r="E13770" s="326"/>
      <c r="F13770" s="326"/>
      <c r="G13770" s="326"/>
      <c r="H13770" s="326"/>
      <c r="P13770" s="318"/>
      <c r="Q13770" s="318"/>
      <c r="R13770" s="318"/>
      <c r="S13770" s="318"/>
      <c r="T13770" s="318"/>
      <c r="U13770" s="318"/>
      <c r="V13770" s="318"/>
      <c r="W13770" s="318"/>
      <c r="X13770" s="318"/>
      <c r="Y13770" s="318"/>
      <c r="Z13770" s="318"/>
      <c r="AA13770" s="318"/>
      <c r="AB13770" s="318"/>
      <c r="AC13770" s="318"/>
      <c r="AD13770" s="318"/>
    </row>
    <row r="13771" spans="2:30" s="323" customFormat="1" ht="12" customHeight="1">
      <c r="B13771" s="324"/>
      <c r="C13771" s="325"/>
      <c r="D13771" s="326"/>
      <c r="E13771" s="326"/>
      <c r="F13771" s="326"/>
      <c r="G13771" s="326"/>
      <c r="H13771" s="326"/>
      <c r="P13771" s="318"/>
      <c r="Q13771" s="318"/>
      <c r="R13771" s="318"/>
      <c r="S13771" s="318"/>
      <c r="T13771" s="318"/>
      <c r="U13771" s="318"/>
      <c r="V13771" s="318"/>
      <c r="W13771" s="318"/>
      <c r="X13771" s="318"/>
      <c r="Y13771" s="318"/>
      <c r="Z13771" s="318"/>
      <c r="AA13771" s="318"/>
      <c r="AB13771" s="318"/>
      <c r="AC13771" s="318"/>
      <c r="AD13771" s="318"/>
    </row>
    <row r="13772" spans="2:30" s="323" customFormat="1" ht="12" customHeight="1">
      <c r="B13772" s="324"/>
      <c r="C13772" s="325"/>
      <c r="D13772" s="326"/>
      <c r="E13772" s="326"/>
      <c r="F13772" s="326"/>
      <c r="G13772" s="326"/>
      <c r="H13772" s="326"/>
      <c r="P13772" s="318"/>
      <c r="Q13772" s="318"/>
      <c r="R13772" s="318"/>
      <c r="S13772" s="318"/>
      <c r="T13772" s="318"/>
      <c r="U13772" s="318"/>
      <c r="V13772" s="318"/>
      <c r="W13772" s="318"/>
      <c r="X13772" s="318"/>
      <c r="Y13772" s="318"/>
      <c r="Z13772" s="318"/>
      <c r="AA13772" s="318"/>
      <c r="AB13772" s="318"/>
      <c r="AC13772" s="318"/>
      <c r="AD13772" s="318"/>
    </row>
    <row r="13773" spans="2:30" s="323" customFormat="1" ht="12" customHeight="1">
      <c r="B13773" s="324"/>
      <c r="C13773" s="325"/>
      <c r="D13773" s="326"/>
      <c r="E13773" s="326"/>
      <c r="F13773" s="326"/>
      <c r="G13773" s="326"/>
      <c r="H13773" s="326"/>
      <c r="P13773" s="318"/>
      <c r="Q13773" s="318"/>
      <c r="R13773" s="318"/>
      <c r="S13773" s="318"/>
      <c r="T13773" s="318"/>
      <c r="U13773" s="318"/>
      <c r="V13773" s="318"/>
      <c r="W13773" s="318"/>
      <c r="X13773" s="318"/>
      <c r="Y13773" s="318"/>
      <c r="Z13773" s="318"/>
      <c r="AA13773" s="318"/>
      <c r="AB13773" s="318"/>
      <c r="AC13773" s="318"/>
      <c r="AD13773" s="318"/>
    </row>
    <row r="13774" spans="2:30" s="323" customFormat="1" ht="12" customHeight="1">
      <c r="B13774" s="324"/>
      <c r="C13774" s="325"/>
      <c r="D13774" s="326"/>
      <c r="E13774" s="326"/>
      <c r="F13774" s="326"/>
      <c r="G13774" s="326"/>
      <c r="H13774" s="326"/>
      <c r="P13774" s="318"/>
      <c r="Q13774" s="318"/>
      <c r="R13774" s="318"/>
      <c r="S13774" s="318"/>
      <c r="T13774" s="318"/>
      <c r="U13774" s="318"/>
      <c r="V13774" s="318"/>
      <c r="W13774" s="318"/>
      <c r="X13774" s="318"/>
      <c r="Y13774" s="318"/>
      <c r="Z13774" s="318"/>
      <c r="AA13774" s="318"/>
      <c r="AB13774" s="318"/>
      <c r="AC13774" s="318"/>
      <c r="AD13774" s="318"/>
    </row>
    <row r="13775" spans="2:30" s="323" customFormat="1" ht="12" customHeight="1">
      <c r="B13775" s="324"/>
      <c r="C13775" s="325"/>
      <c r="D13775" s="326"/>
      <c r="E13775" s="326"/>
      <c r="F13775" s="326"/>
      <c r="G13775" s="326"/>
      <c r="H13775" s="326"/>
      <c r="P13775" s="318"/>
      <c r="Q13775" s="318"/>
      <c r="R13775" s="318"/>
      <c r="S13775" s="318"/>
      <c r="T13775" s="318"/>
      <c r="U13775" s="318"/>
      <c r="V13775" s="318"/>
      <c r="W13775" s="318"/>
      <c r="X13775" s="318"/>
      <c r="Y13775" s="318"/>
      <c r="Z13775" s="318"/>
      <c r="AA13775" s="318"/>
      <c r="AB13775" s="318"/>
      <c r="AC13775" s="318"/>
      <c r="AD13775" s="318"/>
    </row>
    <row r="13776" spans="2:30" s="323" customFormat="1" ht="12" customHeight="1">
      <c r="B13776" s="324"/>
      <c r="C13776" s="325"/>
      <c r="D13776" s="326"/>
      <c r="E13776" s="326"/>
      <c r="F13776" s="326"/>
      <c r="G13776" s="326"/>
      <c r="H13776" s="326"/>
      <c r="P13776" s="318"/>
      <c r="Q13776" s="318"/>
      <c r="R13776" s="318"/>
      <c r="S13776" s="318"/>
      <c r="T13776" s="318"/>
      <c r="U13776" s="318"/>
      <c r="V13776" s="318"/>
      <c r="W13776" s="318"/>
      <c r="X13776" s="318"/>
      <c r="Y13776" s="318"/>
      <c r="Z13776" s="318"/>
      <c r="AA13776" s="318"/>
      <c r="AB13776" s="318"/>
      <c r="AC13776" s="318"/>
      <c r="AD13776" s="318"/>
    </row>
    <row r="13777" spans="2:30" s="323" customFormat="1" ht="12" customHeight="1">
      <c r="B13777" s="324"/>
      <c r="C13777" s="325"/>
      <c r="D13777" s="326"/>
      <c r="E13777" s="326"/>
      <c r="F13777" s="326"/>
      <c r="G13777" s="326"/>
      <c r="H13777" s="326"/>
      <c r="P13777" s="318"/>
      <c r="Q13777" s="318"/>
      <c r="R13777" s="318"/>
      <c r="S13777" s="318"/>
      <c r="T13777" s="318"/>
      <c r="U13777" s="318"/>
      <c r="V13777" s="318"/>
      <c r="W13777" s="318"/>
      <c r="X13777" s="318"/>
      <c r="Y13777" s="318"/>
      <c r="Z13777" s="318"/>
      <c r="AA13777" s="318"/>
      <c r="AB13777" s="318"/>
      <c r="AC13777" s="318"/>
      <c r="AD13777" s="318"/>
    </row>
    <row r="13778" spans="2:30" s="323" customFormat="1" ht="12" customHeight="1">
      <c r="B13778" s="324"/>
      <c r="C13778" s="325"/>
      <c r="D13778" s="326"/>
      <c r="E13778" s="326"/>
      <c r="F13778" s="326"/>
      <c r="G13778" s="326"/>
      <c r="H13778" s="326"/>
      <c r="P13778" s="318"/>
      <c r="Q13778" s="318"/>
      <c r="R13778" s="318"/>
      <c r="S13778" s="318"/>
      <c r="T13778" s="318"/>
      <c r="U13778" s="318"/>
      <c r="V13778" s="318"/>
      <c r="W13778" s="318"/>
      <c r="X13778" s="318"/>
      <c r="Y13778" s="318"/>
      <c r="Z13778" s="318"/>
      <c r="AA13778" s="318"/>
      <c r="AB13778" s="318"/>
      <c r="AC13778" s="318"/>
      <c r="AD13778" s="318"/>
    </row>
    <row r="13779" spans="2:30" s="323" customFormat="1" ht="12" customHeight="1">
      <c r="B13779" s="324"/>
      <c r="C13779" s="325"/>
      <c r="D13779" s="326"/>
      <c r="E13779" s="326"/>
      <c r="F13779" s="326"/>
      <c r="G13779" s="326"/>
      <c r="H13779" s="326"/>
      <c r="P13779" s="318"/>
      <c r="Q13779" s="318"/>
      <c r="R13779" s="318"/>
      <c r="S13779" s="318"/>
      <c r="T13779" s="318"/>
      <c r="U13779" s="318"/>
      <c r="V13779" s="318"/>
      <c r="W13779" s="318"/>
      <c r="X13779" s="318"/>
      <c r="Y13779" s="318"/>
      <c r="Z13779" s="318"/>
      <c r="AA13779" s="318"/>
      <c r="AB13779" s="318"/>
      <c r="AC13779" s="318"/>
      <c r="AD13779" s="318"/>
    </row>
    <row r="13780" spans="2:30" s="323" customFormat="1" ht="12" customHeight="1">
      <c r="B13780" s="324"/>
      <c r="C13780" s="325"/>
      <c r="D13780" s="326"/>
      <c r="E13780" s="326"/>
      <c r="F13780" s="326"/>
      <c r="G13780" s="326"/>
      <c r="H13780" s="326"/>
      <c r="P13780" s="318"/>
      <c r="Q13780" s="318"/>
      <c r="R13780" s="318"/>
      <c r="S13780" s="318"/>
      <c r="T13780" s="318"/>
      <c r="U13780" s="318"/>
      <c r="V13780" s="318"/>
      <c r="W13780" s="318"/>
      <c r="X13780" s="318"/>
      <c r="Y13780" s="318"/>
      <c r="Z13780" s="318"/>
      <c r="AA13780" s="318"/>
      <c r="AB13780" s="318"/>
      <c r="AC13780" s="318"/>
      <c r="AD13780" s="318"/>
    </row>
    <row r="13781" spans="2:30" s="323" customFormat="1" ht="12" customHeight="1">
      <c r="B13781" s="324"/>
      <c r="C13781" s="325"/>
      <c r="D13781" s="326"/>
      <c r="E13781" s="326"/>
      <c r="F13781" s="326"/>
      <c r="G13781" s="326"/>
      <c r="H13781" s="326"/>
      <c r="P13781" s="318"/>
      <c r="Q13781" s="318"/>
      <c r="R13781" s="318"/>
      <c r="S13781" s="318"/>
      <c r="T13781" s="318"/>
      <c r="U13781" s="318"/>
      <c r="V13781" s="318"/>
      <c r="W13781" s="318"/>
      <c r="X13781" s="318"/>
      <c r="Y13781" s="318"/>
      <c r="Z13781" s="318"/>
      <c r="AA13781" s="318"/>
      <c r="AB13781" s="318"/>
      <c r="AC13781" s="318"/>
      <c r="AD13781" s="318"/>
    </row>
    <row r="13782" spans="2:30" s="323" customFormat="1" ht="12" customHeight="1">
      <c r="B13782" s="324"/>
      <c r="C13782" s="325"/>
      <c r="D13782" s="326"/>
      <c r="E13782" s="326"/>
      <c r="F13782" s="326"/>
      <c r="G13782" s="326"/>
      <c r="H13782" s="326"/>
      <c r="P13782" s="318"/>
      <c r="Q13782" s="318"/>
      <c r="R13782" s="318"/>
      <c r="S13782" s="318"/>
      <c r="T13782" s="318"/>
      <c r="U13782" s="318"/>
      <c r="V13782" s="318"/>
      <c r="W13782" s="318"/>
      <c r="X13782" s="318"/>
      <c r="Y13782" s="318"/>
      <c r="Z13782" s="318"/>
      <c r="AA13782" s="318"/>
      <c r="AB13782" s="318"/>
      <c r="AC13782" s="318"/>
      <c r="AD13782" s="318"/>
    </row>
    <row r="13783" spans="2:30" s="323" customFormat="1" ht="12" customHeight="1">
      <c r="B13783" s="324"/>
      <c r="C13783" s="325"/>
      <c r="D13783" s="326"/>
      <c r="E13783" s="326"/>
      <c r="F13783" s="326"/>
      <c r="G13783" s="326"/>
      <c r="H13783" s="326"/>
      <c r="P13783" s="318"/>
      <c r="Q13783" s="318"/>
      <c r="R13783" s="318"/>
      <c r="S13783" s="318"/>
      <c r="T13783" s="318"/>
      <c r="U13783" s="318"/>
      <c r="V13783" s="318"/>
      <c r="W13783" s="318"/>
      <c r="X13783" s="318"/>
      <c r="Y13783" s="318"/>
      <c r="Z13783" s="318"/>
      <c r="AA13783" s="318"/>
      <c r="AB13783" s="318"/>
      <c r="AC13783" s="318"/>
      <c r="AD13783" s="318"/>
    </row>
    <row r="13784" spans="2:30" s="323" customFormat="1" ht="12" customHeight="1">
      <c r="B13784" s="324"/>
      <c r="C13784" s="325"/>
      <c r="D13784" s="326"/>
      <c r="E13784" s="326"/>
      <c r="F13784" s="326"/>
      <c r="G13784" s="326"/>
      <c r="H13784" s="326"/>
      <c r="P13784" s="318"/>
      <c r="Q13784" s="318"/>
      <c r="R13784" s="318"/>
      <c r="S13784" s="318"/>
      <c r="T13784" s="318"/>
      <c r="U13784" s="318"/>
      <c r="V13784" s="318"/>
      <c r="W13784" s="318"/>
      <c r="X13784" s="318"/>
      <c r="Y13784" s="318"/>
      <c r="Z13784" s="318"/>
      <c r="AA13784" s="318"/>
      <c r="AB13784" s="318"/>
      <c r="AC13784" s="318"/>
      <c r="AD13784" s="318"/>
    </row>
    <row r="13785" spans="2:30" s="323" customFormat="1" ht="12" customHeight="1">
      <c r="B13785" s="324"/>
      <c r="C13785" s="325"/>
      <c r="D13785" s="326"/>
      <c r="E13785" s="326"/>
      <c r="F13785" s="326"/>
      <c r="G13785" s="326"/>
      <c r="H13785" s="326"/>
      <c r="P13785" s="318"/>
      <c r="Q13785" s="318"/>
      <c r="R13785" s="318"/>
      <c r="S13785" s="318"/>
      <c r="T13785" s="318"/>
      <c r="U13785" s="318"/>
      <c r="V13785" s="318"/>
      <c r="W13785" s="318"/>
      <c r="X13785" s="318"/>
      <c r="Y13785" s="318"/>
      <c r="Z13785" s="318"/>
      <c r="AA13785" s="318"/>
      <c r="AB13785" s="318"/>
      <c r="AC13785" s="318"/>
      <c r="AD13785" s="318"/>
    </row>
    <row r="13786" spans="2:30" s="323" customFormat="1" ht="12" customHeight="1">
      <c r="B13786" s="324"/>
      <c r="C13786" s="325"/>
      <c r="D13786" s="326"/>
      <c r="E13786" s="326"/>
      <c r="F13786" s="326"/>
      <c r="G13786" s="326"/>
      <c r="H13786" s="326"/>
      <c r="P13786" s="318"/>
      <c r="Q13786" s="318"/>
      <c r="R13786" s="318"/>
      <c r="S13786" s="318"/>
      <c r="T13786" s="318"/>
      <c r="U13786" s="318"/>
      <c r="V13786" s="318"/>
      <c r="W13786" s="318"/>
      <c r="X13786" s="318"/>
      <c r="Y13786" s="318"/>
      <c r="Z13786" s="318"/>
      <c r="AA13786" s="318"/>
      <c r="AB13786" s="318"/>
      <c r="AC13786" s="318"/>
      <c r="AD13786" s="318"/>
    </row>
    <row r="13787" spans="2:30" s="323" customFormat="1" ht="12" customHeight="1">
      <c r="B13787" s="324"/>
      <c r="C13787" s="325"/>
      <c r="D13787" s="326"/>
      <c r="E13787" s="326"/>
      <c r="F13787" s="326"/>
      <c r="G13787" s="326"/>
      <c r="H13787" s="326"/>
      <c r="P13787" s="318"/>
      <c r="Q13787" s="318"/>
      <c r="R13787" s="318"/>
      <c r="S13787" s="318"/>
      <c r="T13787" s="318"/>
      <c r="U13787" s="318"/>
      <c r="V13787" s="318"/>
      <c r="W13787" s="318"/>
      <c r="X13787" s="318"/>
      <c r="Y13787" s="318"/>
      <c r="Z13787" s="318"/>
      <c r="AA13787" s="318"/>
      <c r="AB13787" s="318"/>
      <c r="AC13787" s="318"/>
      <c r="AD13787" s="318"/>
    </row>
    <row r="13788" spans="2:30" s="323" customFormat="1" ht="12" customHeight="1">
      <c r="B13788" s="324"/>
      <c r="C13788" s="325"/>
      <c r="D13788" s="326"/>
      <c r="E13788" s="326"/>
      <c r="F13788" s="326"/>
      <c r="G13788" s="326"/>
      <c r="H13788" s="326"/>
      <c r="P13788" s="318"/>
      <c r="Q13788" s="318"/>
      <c r="R13788" s="318"/>
      <c r="S13788" s="318"/>
      <c r="T13788" s="318"/>
      <c r="U13788" s="318"/>
      <c r="V13788" s="318"/>
      <c r="W13788" s="318"/>
      <c r="X13788" s="318"/>
      <c r="Y13788" s="318"/>
      <c r="Z13788" s="318"/>
      <c r="AA13788" s="318"/>
      <c r="AB13788" s="318"/>
      <c r="AC13788" s="318"/>
      <c r="AD13788" s="318"/>
    </row>
    <row r="13789" spans="2:30" s="323" customFormat="1" ht="12" customHeight="1">
      <c r="B13789" s="324"/>
      <c r="C13789" s="325"/>
      <c r="D13789" s="326"/>
      <c r="E13789" s="326"/>
      <c r="F13789" s="326"/>
      <c r="G13789" s="326"/>
      <c r="H13789" s="326"/>
      <c r="P13789" s="318"/>
      <c r="Q13789" s="318"/>
      <c r="R13789" s="318"/>
      <c r="S13789" s="318"/>
      <c r="T13789" s="318"/>
      <c r="U13789" s="318"/>
      <c r="V13789" s="318"/>
      <c r="W13789" s="318"/>
      <c r="X13789" s="318"/>
      <c r="Y13789" s="318"/>
      <c r="Z13789" s="318"/>
      <c r="AA13789" s="318"/>
      <c r="AB13789" s="318"/>
      <c r="AC13789" s="318"/>
      <c r="AD13789" s="318"/>
    </row>
    <row r="13790" spans="2:30" s="323" customFormat="1" ht="12" customHeight="1">
      <c r="B13790" s="324"/>
      <c r="C13790" s="325"/>
      <c r="D13790" s="326"/>
      <c r="E13790" s="326"/>
      <c r="F13790" s="326"/>
      <c r="G13790" s="326"/>
      <c r="H13790" s="326"/>
      <c r="P13790" s="318"/>
      <c r="Q13790" s="318"/>
      <c r="R13790" s="318"/>
      <c r="S13790" s="318"/>
      <c r="T13790" s="318"/>
      <c r="U13790" s="318"/>
      <c r="V13790" s="318"/>
      <c r="W13790" s="318"/>
      <c r="X13790" s="318"/>
      <c r="Y13790" s="318"/>
      <c r="Z13790" s="318"/>
      <c r="AA13790" s="318"/>
      <c r="AB13790" s="318"/>
      <c r="AC13790" s="318"/>
      <c r="AD13790" s="318"/>
    </row>
    <row r="13791" spans="2:30" s="323" customFormat="1" ht="12" customHeight="1">
      <c r="B13791" s="324"/>
      <c r="C13791" s="325"/>
      <c r="D13791" s="326"/>
      <c r="E13791" s="326"/>
      <c r="F13791" s="326"/>
      <c r="G13791" s="326"/>
      <c r="H13791" s="326"/>
      <c r="P13791" s="318"/>
      <c r="Q13791" s="318"/>
      <c r="R13791" s="318"/>
      <c r="S13791" s="318"/>
      <c r="T13791" s="318"/>
      <c r="U13791" s="318"/>
      <c r="V13791" s="318"/>
      <c r="W13791" s="318"/>
      <c r="X13791" s="318"/>
      <c r="Y13791" s="318"/>
      <c r="Z13791" s="318"/>
      <c r="AA13791" s="318"/>
      <c r="AB13791" s="318"/>
      <c r="AC13791" s="318"/>
      <c r="AD13791" s="318"/>
    </row>
    <row r="13792" spans="2:30" s="323" customFormat="1" ht="12" customHeight="1">
      <c r="B13792" s="324"/>
      <c r="C13792" s="325"/>
      <c r="D13792" s="326"/>
      <c r="E13792" s="326"/>
      <c r="F13792" s="326"/>
      <c r="G13792" s="326"/>
      <c r="H13792" s="326"/>
      <c r="P13792" s="318"/>
      <c r="Q13792" s="318"/>
      <c r="R13792" s="318"/>
      <c r="S13792" s="318"/>
      <c r="T13792" s="318"/>
      <c r="U13792" s="318"/>
      <c r="V13792" s="318"/>
      <c r="W13792" s="318"/>
      <c r="X13792" s="318"/>
      <c r="Y13792" s="318"/>
      <c r="Z13792" s="318"/>
      <c r="AA13792" s="318"/>
      <c r="AB13792" s="318"/>
      <c r="AC13792" s="318"/>
      <c r="AD13792" s="318"/>
    </row>
    <row r="13793" spans="2:30" s="323" customFormat="1" ht="12" customHeight="1">
      <c r="B13793" s="324"/>
      <c r="C13793" s="325"/>
      <c r="D13793" s="326"/>
      <c r="E13793" s="326"/>
      <c r="F13793" s="326"/>
      <c r="G13793" s="326"/>
      <c r="H13793" s="326"/>
      <c r="P13793" s="318"/>
      <c r="Q13793" s="318"/>
      <c r="R13793" s="318"/>
      <c r="S13793" s="318"/>
      <c r="T13793" s="318"/>
      <c r="U13793" s="318"/>
      <c r="V13793" s="318"/>
      <c r="W13793" s="318"/>
      <c r="X13793" s="318"/>
      <c r="Y13793" s="318"/>
      <c r="Z13793" s="318"/>
      <c r="AA13793" s="318"/>
      <c r="AB13793" s="318"/>
      <c r="AC13793" s="318"/>
      <c r="AD13793" s="318"/>
    </row>
    <row r="13794" spans="2:30" s="323" customFormat="1" ht="12" customHeight="1">
      <c r="B13794" s="324"/>
      <c r="C13794" s="325"/>
      <c r="D13794" s="326"/>
      <c r="E13794" s="326"/>
      <c r="F13794" s="326"/>
      <c r="G13794" s="326"/>
      <c r="H13794" s="326"/>
      <c r="P13794" s="318"/>
      <c r="Q13794" s="318"/>
      <c r="R13794" s="318"/>
      <c r="S13794" s="318"/>
      <c r="T13794" s="318"/>
      <c r="U13794" s="318"/>
      <c r="V13794" s="318"/>
      <c r="W13794" s="318"/>
      <c r="X13794" s="318"/>
      <c r="Y13794" s="318"/>
      <c r="Z13794" s="318"/>
      <c r="AA13794" s="318"/>
      <c r="AB13794" s="318"/>
      <c r="AC13794" s="318"/>
      <c r="AD13794" s="318"/>
    </row>
    <row r="13795" spans="2:30" s="323" customFormat="1" ht="12" customHeight="1">
      <c r="B13795" s="324"/>
      <c r="C13795" s="325"/>
      <c r="D13795" s="326"/>
      <c r="E13795" s="326"/>
      <c r="F13795" s="326"/>
      <c r="G13795" s="326"/>
      <c r="H13795" s="326"/>
      <c r="P13795" s="318"/>
      <c r="Q13795" s="318"/>
      <c r="R13795" s="318"/>
      <c r="S13795" s="318"/>
      <c r="T13795" s="318"/>
      <c r="U13795" s="318"/>
      <c r="V13795" s="318"/>
      <c r="W13795" s="318"/>
      <c r="X13795" s="318"/>
      <c r="Y13795" s="318"/>
      <c r="Z13795" s="318"/>
      <c r="AA13795" s="318"/>
      <c r="AB13795" s="318"/>
      <c r="AC13795" s="318"/>
      <c r="AD13795" s="318"/>
    </row>
    <row r="13796" spans="2:30" s="323" customFormat="1" ht="12" customHeight="1">
      <c r="B13796" s="324"/>
      <c r="C13796" s="325"/>
      <c r="D13796" s="326"/>
      <c r="E13796" s="326"/>
      <c r="F13796" s="326"/>
      <c r="G13796" s="326"/>
      <c r="H13796" s="326"/>
      <c r="P13796" s="318"/>
      <c r="Q13796" s="318"/>
      <c r="R13796" s="318"/>
      <c r="S13796" s="318"/>
      <c r="T13796" s="318"/>
      <c r="U13796" s="318"/>
      <c r="V13796" s="318"/>
      <c r="W13796" s="318"/>
      <c r="X13796" s="318"/>
      <c r="Y13796" s="318"/>
      <c r="Z13796" s="318"/>
      <c r="AA13796" s="318"/>
      <c r="AB13796" s="318"/>
      <c r="AC13796" s="318"/>
      <c r="AD13796" s="318"/>
    </row>
    <row r="13797" spans="2:30" s="323" customFormat="1" ht="12" customHeight="1">
      <c r="B13797" s="324"/>
      <c r="C13797" s="325"/>
      <c r="D13797" s="326"/>
      <c r="E13797" s="326"/>
      <c r="F13797" s="326"/>
      <c r="G13797" s="326"/>
      <c r="H13797" s="326"/>
      <c r="P13797" s="318"/>
      <c r="Q13797" s="318"/>
      <c r="R13797" s="318"/>
      <c r="S13797" s="318"/>
      <c r="T13797" s="318"/>
      <c r="U13797" s="318"/>
      <c r="V13797" s="318"/>
      <c r="W13797" s="318"/>
      <c r="X13797" s="318"/>
      <c r="Y13797" s="318"/>
      <c r="Z13797" s="318"/>
      <c r="AA13797" s="318"/>
      <c r="AB13797" s="318"/>
      <c r="AC13797" s="318"/>
      <c r="AD13797" s="318"/>
    </row>
    <row r="13798" spans="2:30" s="323" customFormat="1" ht="12" customHeight="1">
      <c r="B13798" s="324"/>
      <c r="C13798" s="325"/>
      <c r="D13798" s="326"/>
      <c r="E13798" s="326"/>
      <c r="F13798" s="326"/>
      <c r="G13798" s="326"/>
      <c r="H13798" s="326"/>
      <c r="P13798" s="318"/>
      <c r="Q13798" s="318"/>
      <c r="R13798" s="318"/>
      <c r="S13798" s="318"/>
      <c r="T13798" s="318"/>
      <c r="U13798" s="318"/>
      <c r="V13798" s="318"/>
      <c r="W13798" s="318"/>
      <c r="X13798" s="318"/>
      <c r="Y13798" s="318"/>
      <c r="Z13798" s="318"/>
      <c r="AA13798" s="318"/>
      <c r="AB13798" s="318"/>
      <c r="AC13798" s="318"/>
      <c r="AD13798" s="318"/>
    </row>
    <row r="13799" spans="2:30" s="323" customFormat="1" ht="12" customHeight="1">
      <c r="B13799" s="324"/>
      <c r="C13799" s="325"/>
      <c r="D13799" s="326"/>
      <c r="E13799" s="326"/>
      <c r="F13799" s="326"/>
      <c r="G13799" s="326"/>
      <c r="H13799" s="326"/>
      <c r="P13799" s="318"/>
      <c r="Q13799" s="318"/>
      <c r="R13799" s="318"/>
      <c r="S13799" s="318"/>
      <c r="T13799" s="318"/>
      <c r="U13799" s="318"/>
      <c r="V13799" s="318"/>
      <c r="W13799" s="318"/>
      <c r="X13799" s="318"/>
      <c r="Y13799" s="318"/>
      <c r="Z13799" s="318"/>
      <c r="AA13799" s="318"/>
      <c r="AB13799" s="318"/>
      <c r="AC13799" s="318"/>
      <c r="AD13799" s="318"/>
    </row>
    <row r="13800" spans="2:30" s="323" customFormat="1" ht="12" customHeight="1">
      <c r="B13800" s="324"/>
      <c r="C13800" s="325"/>
      <c r="D13800" s="326"/>
      <c r="E13800" s="326"/>
      <c r="F13800" s="326"/>
      <c r="G13800" s="326"/>
      <c r="H13800" s="326"/>
      <c r="P13800" s="318"/>
      <c r="Q13800" s="318"/>
      <c r="R13800" s="318"/>
      <c r="S13800" s="318"/>
      <c r="T13800" s="318"/>
      <c r="U13800" s="318"/>
      <c r="V13800" s="318"/>
      <c r="W13800" s="318"/>
      <c r="X13800" s="318"/>
      <c r="Y13800" s="318"/>
      <c r="Z13800" s="318"/>
      <c r="AA13800" s="318"/>
      <c r="AB13800" s="318"/>
      <c r="AC13800" s="318"/>
      <c r="AD13800" s="318"/>
    </row>
    <row r="13801" spans="2:30" s="323" customFormat="1" ht="12" customHeight="1">
      <c r="B13801" s="324"/>
      <c r="C13801" s="325"/>
      <c r="D13801" s="326"/>
      <c r="E13801" s="326"/>
      <c r="F13801" s="326"/>
      <c r="G13801" s="326"/>
      <c r="H13801" s="326"/>
      <c r="P13801" s="318"/>
      <c r="Q13801" s="318"/>
      <c r="R13801" s="318"/>
      <c r="S13801" s="318"/>
      <c r="T13801" s="318"/>
      <c r="U13801" s="318"/>
      <c r="V13801" s="318"/>
      <c r="W13801" s="318"/>
      <c r="X13801" s="318"/>
      <c r="Y13801" s="318"/>
      <c r="Z13801" s="318"/>
      <c r="AA13801" s="318"/>
      <c r="AB13801" s="318"/>
      <c r="AC13801" s="318"/>
      <c r="AD13801" s="318"/>
    </row>
    <row r="13802" spans="2:30" s="323" customFormat="1" ht="12" customHeight="1">
      <c r="B13802" s="324"/>
      <c r="C13802" s="325"/>
      <c r="D13802" s="326"/>
      <c r="E13802" s="326"/>
      <c r="F13802" s="326"/>
      <c r="G13802" s="326"/>
      <c r="H13802" s="326"/>
      <c r="P13802" s="318"/>
      <c r="Q13802" s="318"/>
      <c r="R13802" s="318"/>
      <c r="S13802" s="318"/>
      <c r="T13802" s="318"/>
      <c r="U13802" s="318"/>
      <c r="V13802" s="318"/>
      <c r="W13802" s="318"/>
      <c r="X13802" s="318"/>
      <c r="Y13802" s="318"/>
      <c r="Z13802" s="318"/>
      <c r="AA13802" s="318"/>
      <c r="AB13802" s="318"/>
      <c r="AC13802" s="318"/>
      <c r="AD13802" s="318"/>
    </row>
    <row r="13803" spans="2:30" s="323" customFormat="1" ht="12" customHeight="1">
      <c r="B13803" s="324"/>
      <c r="C13803" s="325"/>
      <c r="D13803" s="326"/>
      <c r="E13803" s="326"/>
      <c r="F13803" s="326"/>
      <c r="G13803" s="326"/>
      <c r="H13803" s="326"/>
      <c r="P13803" s="318"/>
      <c r="Q13803" s="318"/>
      <c r="R13803" s="318"/>
      <c r="S13803" s="318"/>
      <c r="T13803" s="318"/>
      <c r="U13803" s="318"/>
      <c r="V13803" s="318"/>
      <c r="W13803" s="318"/>
      <c r="X13803" s="318"/>
      <c r="Y13803" s="318"/>
      <c r="Z13803" s="318"/>
      <c r="AA13803" s="318"/>
      <c r="AB13803" s="318"/>
      <c r="AC13803" s="318"/>
      <c r="AD13803" s="318"/>
    </row>
    <row r="13804" spans="2:30" s="323" customFormat="1" ht="12" customHeight="1">
      <c r="B13804" s="324"/>
      <c r="C13804" s="325"/>
      <c r="D13804" s="326"/>
      <c r="E13804" s="326"/>
      <c r="F13804" s="326"/>
      <c r="G13804" s="326"/>
      <c r="H13804" s="326"/>
      <c r="P13804" s="318"/>
      <c r="Q13804" s="318"/>
      <c r="R13804" s="318"/>
      <c r="S13804" s="318"/>
      <c r="T13804" s="318"/>
      <c r="U13804" s="318"/>
      <c r="V13804" s="318"/>
      <c r="W13804" s="318"/>
      <c r="X13804" s="318"/>
      <c r="Y13804" s="318"/>
      <c r="Z13804" s="318"/>
      <c r="AA13804" s="318"/>
      <c r="AB13804" s="318"/>
      <c r="AC13804" s="318"/>
      <c r="AD13804" s="318"/>
    </row>
    <row r="13805" spans="2:30" s="323" customFormat="1" ht="12" customHeight="1">
      <c r="B13805" s="324"/>
      <c r="C13805" s="325"/>
      <c r="D13805" s="326"/>
      <c r="E13805" s="326"/>
      <c r="F13805" s="326"/>
      <c r="G13805" s="326"/>
      <c r="H13805" s="326"/>
      <c r="P13805" s="318"/>
      <c r="Q13805" s="318"/>
      <c r="R13805" s="318"/>
      <c r="S13805" s="318"/>
      <c r="T13805" s="318"/>
      <c r="U13805" s="318"/>
      <c r="V13805" s="318"/>
      <c r="W13805" s="318"/>
      <c r="X13805" s="318"/>
      <c r="Y13805" s="318"/>
      <c r="Z13805" s="318"/>
      <c r="AA13805" s="318"/>
      <c r="AB13805" s="318"/>
      <c r="AC13805" s="318"/>
      <c r="AD13805" s="318"/>
    </row>
    <row r="13806" spans="2:30" s="323" customFormat="1" ht="12" customHeight="1">
      <c r="B13806" s="324"/>
      <c r="C13806" s="325"/>
      <c r="D13806" s="326"/>
      <c r="E13806" s="326"/>
      <c r="F13806" s="326"/>
      <c r="G13806" s="326"/>
      <c r="H13806" s="326"/>
      <c r="P13806" s="318"/>
      <c r="Q13806" s="318"/>
      <c r="R13806" s="318"/>
      <c r="S13806" s="318"/>
      <c r="T13806" s="318"/>
      <c r="U13806" s="318"/>
      <c r="V13806" s="318"/>
      <c r="W13806" s="318"/>
      <c r="X13806" s="318"/>
      <c r="Y13806" s="318"/>
      <c r="Z13806" s="318"/>
      <c r="AA13806" s="318"/>
      <c r="AB13806" s="318"/>
      <c r="AC13806" s="318"/>
      <c r="AD13806" s="318"/>
    </row>
    <row r="13807" spans="2:30" s="323" customFormat="1" ht="12" customHeight="1">
      <c r="B13807" s="324"/>
      <c r="C13807" s="325"/>
      <c r="D13807" s="326"/>
      <c r="E13807" s="326"/>
      <c r="F13807" s="326"/>
      <c r="G13807" s="326"/>
      <c r="H13807" s="326"/>
      <c r="P13807" s="318"/>
      <c r="Q13807" s="318"/>
      <c r="R13807" s="318"/>
      <c r="S13807" s="318"/>
      <c r="T13807" s="318"/>
      <c r="U13807" s="318"/>
      <c r="V13807" s="318"/>
      <c r="W13807" s="318"/>
      <c r="X13807" s="318"/>
      <c r="Y13807" s="318"/>
      <c r="Z13807" s="318"/>
      <c r="AA13807" s="318"/>
      <c r="AB13807" s="318"/>
      <c r="AC13807" s="318"/>
      <c r="AD13807" s="318"/>
    </row>
    <row r="13808" spans="2:30" s="323" customFormat="1" ht="12" customHeight="1">
      <c r="B13808" s="324"/>
      <c r="C13808" s="325"/>
      <c r="D13808" s="326"/>
      <c r="E13808" s="326"/>
      <c r="F13808" s="326"/>
      <c r="G13808" s="326"/>
      <c r="H13808" s="326"/>
      <c r="P13808" s="318"/>
      <c r="Q13808" s="318"/>
      <c r="R13808" s="318"/>
      <c r="S13808" s="318"/>
      <c r="T13808" s="318"/>
      <c r="U13808" s="318"/>
      <c r="V13808" s="318"/>
      <c r="W13808" s="318"/>
      <c r="X13808" s="318"/>
      <c r="Y13808" s="318"/>
      <c r="Z13808" s="318"/>
      <c r="AA13808" s="318"/>
      <c r="AB13808" s="318"/>
      <c r="AC13808" s="318"/>
      <c r="AD13808" s="318"/>
    </row>
    <row r="13809" spans="2:30" s="323" customFormat="1" ht="12" customHeight="1">
      <c r="B13809" s="324"/>
      <c r="C13809" s="325"/>
      <c r="D13809" s="326"/>
      <c r="E13809" s="326"/>
      <c r="F13809" s="326"/>
      <c r="G13809" s="326"/>
      <c r="H13809" s="326"/>
      <c r="P13809" s="318"/>
      <c r="Q13809" s="318"/>
      <c r="R13809" s="318"/>
      <c r="S13809" s="318"/>
      <c r="T13809" s="318"/>
      <c r="U13809" s="318"/>
      <c r="V13809" s="318"/>
      <c r="W13809" s="318"/>
      <c r="X13809" s="318"/>
      <c r="Y13809" s="318"/>
      <c r="Z13809" s="318"/>
      <c r="AA13809" s="318"/>
      <c r="AB13809" s="318"/>
      <c r="AC13809" s="318"/>
      <c r="AD13809" s="318"/>
    </row>
    <row r="13810" spans="2:30" s="323" customFormat="1" ht="12" customHeight="1">
      <c r="B13810" s="324"/>
      <c r="C13810" s="325"/>
      <c r="D13810" s="326"/>
      <c r="E13810" s="326"/>
      <c r="F13810" s="326"/>
      <c r="G13810" s="326"/>
      <c r="H13810" s="326"/>
      <c r="P13810" s="318"/>
      <c r="Q13810" s="318"/>
      <c r="R13810" s="318"/>
      <c r="S13810" s="318"/>
      <c r="T13810" s="318"/>
      <c r="U13810" s="318"/>
      <c r="V13810" s="318"/>
      <c r="W13810" s="318"/>
      <c r="X13810" s="318"/>
      <c r="Y13810" s="318"/>
      <c r="Z13810" s="318"/>
      <c r="AA13810" s="318"/>
      <c r="AB13810" s="318"/>
      <c r="AC13810" s="318"/>
      <c r="AD13810" s="318"/>
    </row>
    <row r="13811" spans="2:30" s="323" customFormat="1" ht="12" customHeight="1">
      <c r="B13811" s="324"/>
      <c r="C13811" s="325"/>
      <c r="D13811" s="326"/>
      <c r="E13811" s="326"/>
      <c r="F13811" s="326"/>
      <c r="G13811" s="326"/>
      <c r="H13811" s="326"/>
      <c r="P13811" s="318"/>
      <c r="Q13811" s="318"/>
      <c r="R13811" s="318"/>
      <c r="S13811" s="318"/>
      <c r="T13811" s="318"/>
      <c r="U13811" s="318"/>
      <c r="V13811" s="318"/>
      <c r="W13811" s="318"/>
      <c r="X13811" s="318"/>
      <c r="Y13811" s="318"/>
      <c r="Z13811" s="318"/>
      <c r="AA13811" s="318"/>
      <c r="AB13811" s="318"/>
      <c r="AC13811" s="318"/>
      <c r="AD13811" s="318"/>
    </row>
    <row r="13812" spans="2:30" s="323" customFormat="1" ht="12" customHeight="1">
      <c r="B13812" s="324"/>
      <c r="C13812" s="325"/>
      <c r="D13812" s="326"/>
      <c r="E13812" s="326"/>
      <c r="F13812" s="326"/>
      <c r="G13812" s="326"/>
      <c r="H13812" s="326"/>
      <c r="P13812" s="318"/>
      <c r="Q13812" s="318"/>
      <c r="R13812" s="318"/>
      <c r="S13812" s="318"/>
      <c r="T13812" s="318"/>
      <c r="U13812" s="318"/>
      <c r="V13812" s="318"/>
      <c r="W13812" s="318"/>
      <c r="X13812" s="318"/>
      <c r="Y13812" s="318"/>
      <c r="Z13812" s="318"/>
      <c r="AA13812" s="318"/>
      <c r="AB13812" s="318"/>
      <c r="AC13812" s="318"/>
      <c r="AD13812" s="318"/>
    </row>
    <row r="13813" spans="2:30" s="323" customFormat="1" ht="12" customHeight="1">
      <c r="B13813" s="324"/>
      <c r="C13813" s="325"/>
      <c r="D13813" s="326"/>
      <c r="E13813" s="326"/>
      <c r="F13813" s="326"/>
      <c r="G13813" s="326"/>
      <c r="H13813" s="326"/>
      <c r="P13813" s="318"/>
      <c r="Q13813" s="318"/>
      <c r="R13813" s="318"/>
      <c r="S13813" s="318"/>
      <c r="T13813" s="318"/>
      <c r="U13813" s="318"/>
      <c r="V13813" s="318"/>
      <c r="W13813" s="318"/>
      <c r="X13813" s="318"/>
      <c r="Y13813" s="318"/>
      <c r="Z13813" s="318"/>
      <c r="AA13813" s="318"/>
      <c r="AB13813" s="318"/>
      <c r="AC13813" s="318"/>
      <c r="AD13813" s="318"/>
    </row>
    <row r="13814" spans="2:30" s="323" customFormat="1" ht="12" customHeight="1">
      <c r="B13814" s="324"/>
      <c r="C13814" s="325"/>
      <c r="D13814" s="326"/>
      <c r="E13814" s="326"/>
      <c r="F13814" s="326"/>
      <c r="G13814" s="326"/>
      <c r="H13814" s="326"/>
      <c r="P13814" s="318"/>
      <c r="Q13814" s="318"/>
      <c r="R13814" s="318"/>
      <c r="S13814" s="318"/>
      <c r="T13814" s="318"/>
      <c r="U13814" s="318"/>
      <c r="V13814" s="318"/>
      <c r="W13814" s="318"/>
      <c r="X13814" s="318"/>
      <c r="Y13814" s="318"/>
      <c r="Z13814" s="318"/>
      <c r="AA13814" s="318"/>
      <c r="AB13814" s="318"/>
      <c r="AC13814" s="318"/>
      <c r="AD13814" s="318"/>
    </row>
    <row r="13815" spans="2:30" s="323" customFormat="1" ht="12" customHeight="1">
      <c r="B13815" s="324"/>
      <c r="C13815" s="325"/>
      <c r="D13815" s="326"/>
      <c r="E13815" s="326"/>
      <c r="F13815" s="326"/>
      <c r="G13815" s="326"/>
      <c r="H13815" s="326"/>
      <c r="P13815" s="318"/>
      <c r="Q13815" s="318"/>
      <c r="R13815" s="318"/>
      <c r="S13815" s="318"/>
      <c r="T13815" s="318"/>
      <c r="U13815" s="318"/>
      <c r="V13815" s="318"/>
      <c r="W13815" s="318"/>
      <c r="X13815" s="318"/>
      <c r="Y13815" s="318"/>
      <c r="Z13815" s="318"/>
      <c r="AA13815" s="318"/>
      <c r="AB13815" s="318"/>
      <c r="AC13815" s="318"/>
      <c r="AD13815" s="318"/>
    </row>
    <row r="13816" spans="2:30" s="323" customFormat="1" ht="12" customHeight="1">
      <c r="B13816" s="324"/>
      <c r="C13816" s="325"/>
      <c r="D13816" s="326"/>
      <c r="E13816" s="326"/>
      <c r="F13816" s="326"/>
      <c r="G13816" s="326"/>
      <c r="H13816" s="326"/>
      <c r="P13816" s="318"/>
      <c r="Q13816" s="318"/>
      <c r="R13816" s="318"/>
      <c r="S13816" s="318"/>
      <c r="T13816" s="318"/>
      <c r="U13816" s="318"/>
      <c r="V13816" s="318"/>
      <c r="W13816" s="318"/>
      <c r="X13816" s="318"/>
      <c r="Y13816" s="318"/>
      <c r="Z13816" s="318"/>
      <c r="AA13816" s="318"/>
      <c r="AB13816" s="318"/>
      <c r="AC13816" s="318"/>
      <c r="AD13816" s="318"/>
    </row>
    <row r="13817" spans="2:30" s="323" customFormat="1" ht="12" customHeight="1">
      <c r="B13817" s="324"/>
      <c r="C13817" s="325"/>
      <c r="D13817" s="326"/>
      <c r="E13817" s="326"/>
      <c r="F13817" s="326"/>
      <c r="G13817" s="326"/>
      <c r="H13817" s="326"/>
      <c r="P13817" s="318"/>
      <c r="Q13817" s="318"/>
      <c r="R13817" s="318"/>
      <c r="S13817" s="318"/>
      <c r="T13817" s="318"/>
      <c r="U13817" s="318"/>
      <c r="V13817" s="318"/>
      <c r="W13817" s="318"/>
      <c r="X13817" s="318"/>
      <c r="Y13817" s="318"/>
      <c r="Z13817" s="318"/>
      <c r="AA13817" s="318"/>
      <c r="AB13817" s="318"/>
      <c r="AC13817" s="318"/>
      <c r="AD13817" s="318"/>
    </row>
    <row r="13818" spans="2:30" s="323" customFormat="1" ht="12" customHeight="1">
      <c r="B13818" s="324"/>
      <c r="C13818" s="325"/>
      <c r="D13818" s="326"/>
      <c r="E13818" s="326"/>
      <c r="F13818" s="326"/>
      <c r="G13818" s="326"/>
      <c r="H13818" s="326"/>
      <c r="P13818" s="318"/>
      <c r="Q13818" s="318"/>
      <c r="R13818" s="318"/>
      <c r="S13818" s="318"/>
      <c r="T13818" s="318"/>
      <c r="U13818" s="318"/>
      <c r="V13818" s="318"/>
      <c r="W13818" s="318"/>
      <c r="X13818" s="318"/>
      <c r="Y13818" s="318"/>
      <c r="Z13818" s="318"/>
      <c r="AA13818" s="318"/>
      <c r="AB13818" s="318"/>
      <c r="AC13818" s="318"/>
      <c r="AD13818" s="318"/>
    </row>
    <row r="13819" spans="2:30" s="323" customFormat="1" ht="12" customHeight="1">
      <c r="B13819" s="324"/>
      <c r="C13819" s="325"/>
      <c r="D13819" s="326"/>
      <c r="E13819" s="326"/>
      <c r="F13819" s="326"/>
      <c r="G13819" s="326"/>
      <c r="H13819" s="326"/>
      <c r="P13819" s="318"/>
      <c r="Q13819" s="318"/>
      <c r="R13819" s="318"/>
      <c r="S13819" s="318"/>
      <c r="T13819" s="318"/>
      <c r="U13819" s="318"/>
      <c r="V13819" s="318"/>
      <c r="W13819" s="318"/>
      <c r="X13819" s="318"/>
      <c r="Y13819" s="318"/>
      <c r="Z13819" s="318"/>
      <c r="AA13819" s="318"/>
      <c r="AB13819" s="318"/>
      <c r="AC13819" s="318"/>
      <c r="AD13819" s="318"/>
    </row>
    <row r="13820" spans="2:30" s="323" customFormat="1" ht="12" customHeight="1">
      <c r="B13820" s="324"/>
      <c r="C13820" s="325"/>
      <c r="D13820" s="326"/>
      <c r="E13820" s="326"/>
      <c r="F13820" s="326"/>
      <c r="G13820" s="326"/>
      <c r="H13820" s="326"/>
      <c r="P13820" s="318"/>
      <c r="Q13820" s="318"/>
      <c r="R13820" s="318"/>
      <c r="S13820" s="318"/>
      <c r="T13820" s="318"/>
      <c r="U13820" s="318"/>
      <c r="V13820" s="318"/>
      <c r="W13820" s="318"/>
      <c r="X13820" s="318"/>
      <c r="Y13820" s="318"/>
      <c r="Z13820" s="318"/>
      <c r="AA13820" s="318"/>
      <c r="AB13820" s="318"/>
      <c r="AC13820" s="318"/>
      <c r="AD13820" s="318"/>
    </row>
    <row r="13821" spans="2:30" s="323" customFormat="1" ht="12" customHeight="1">
      <c r="B13821" s="324"/>
      <c r="C13821" s="325"/>
      <c r="D13821" s="326"/>
      <c r="E13821" s="326"/>
      <c r="F13821" s="326"/>
      <c r="G13821" s="326"/>
      <c r="H13821" s="326"/>
      <c r="P13821" s="318"/>
      <c r="Q13821" s="318"/>
      <c r="R13821" s="318"/>
      <c r="S13821" s="318"/>
      <c r="T13821" s="318"/>
      <c r="U13821" s="318"/>
      <c r="V13821" s="318"/>
      <c r="W13821" s="318"/>
      <c r="X13821" s="318"/>
      <c r="Y13821" s="318"/>
      <c r="Z13821" s="318"/>
      <c r="AA13821" s="318"/>
      <c r="AB13821" s="318"/>
      <c r="AC13821" s="318"/>
      <c r="AD13821" s="318"/>
    </row>
    <row r="13822" spans="2:30" s="323" customFormat="1" ht="12" customHeight="1">
      <c r="B13822" s="324"/>
      <c r="C13822" s="325"/>
      <c r="D13822" s="326"/>
      <c r="E13822" s="326"/>
      <c r="F13822" s="326"/>
      <c r="G13822" s="326"/>
      <c r="H13822" s="326"/>
      <c r="P13822" s="318"/>
      <c r="Q13822" s="318"/>
      <c r="R13822" s="318"/>
      <c r="S13822" s="318"/>
      <c r="T13822" s="318"/>
      <c r="U13822" s="318"/>
      <c r="V13822" s="318"/>
      <c r="W13822" s="318"/>
      <c r="X13822" s="318"/>
      <c r="Y13822" s="318"/>
      <c r="Z13822" s="318"/>
      <c r="AA13822" s="318"/>
      <c r="AB13822" s="318"/>
      <c r="AC13822" s="318"/>
      <c r="AD13822" s="318"/>
    </row>
    <row r="13823" spans="2:30" s="323" customFormat="1" ht="12" customHeight="1">
      <c r="B13823" s="324"/>
      <c r="C13823" s="325"/>
      <c r="D13823" s="326"/>
      <c r="E13823" s="326"/>
      <c r="F13823" s="326"/>
      <c r="G13823" s="326"/>
      <c r="H13823" s="326"/>
      <c r="P13823" s="318"/>
      <c r="Q13823" s="318"/>
      <c r="R13823" s="318"/>
      <c r="S13823" s="318"/>
      <c r="T13823" s="318"/>
      <c r="U13823" s="318"/>
      <c r="V13823" s="318"/>
      <c r="W13823" s="318"/>
      <c r="X13823" s="318"/>
      <c r="Y13823" s="318"/>
      <c r="Z13823" s="318"/>
      <c r="AA13823" s="318"/>
      <c r="AB13823" s="318"/>
      <c r="AC13823" s="318"/>
      <c r="AD13823" s="318"/>
    </row>
    <row r="13824" spans="2:30" s="323" customFormat="1" ht="12" customHeight="1">
      <c r="B13824" s="324"/>
      <c r="C13824" s="325"/>
      <c r="D13824" s="326"/>
      <c r="E13824" s="326"/>
      <c r="F13824" s="326"/>
      <c r="G13824" s="326"/>
      <c r="H13824" s="326"/>
      <c r="P13824" s="318"/>
      <c r="Q13824" s="318"/>
      <c r="R13824" s="318"/>
      <c r="S13824" s="318"/>
      <c r="T13824" s="318"/>
      <c r="U13824" s="318"/>
      <c r="V13824" s="318"/>
      <c r="W13824" s="318"/>
      <c r="X13824" s="318"/>
      <c r="Y13824" s="318"/>
      <c r="Z13824" s="318"/>
      <c r="AA13824" s="318"/>
      <c r="AB13824" s="318"/>
      <c r="AC13824" s="318"/>
      <c r="AD13824" s="318"/>
    </row>
    <row r="13825" spans="2:30" s="323" customFormat="1" ht="12" customHeight="1">
      <c r="B13825" s="324"/>
      <c r="C13825" s="325"/>
      <c r="D13825" s="326"/>
      <c r="E13825" s="326"/>
      <c r="F13825" s="326"/>
      <c r="G13825" s="326"/>
      <c r="H13825" s="326"/>
      <c r="P13825" s="318"/>
      <c r="Q13825" s="318"/>
      <c r="R13825" s="318"/>
      <c r="S13825" s="318"/>
      <c r="T13825" s="318"/>
      <c r="U13825" s="318"/>
      <c r="V13825" s="318"/>
      <c r="W13825" s="318"/>
      <c r="X13825" s="318"/>
      <c r="Y13825" s="318"/>
      <c r="Z13825" s="318"/>
      <c r="AA13825" s="318"/>
      <c r="AB13825" s="318"/>
      <c r="AC13825" s="318"/>
      <c r="AD13825" s="318"/>
    </row>
    <row r="13826" spans="2:30" s="323" customFormat="1" ht="12" customHeight="1">
      <c r="B13826" s="324"/>
      <c r="C13826" s="325"/>
      <c r="D13826" s="326"/>
      <c r="E13826" s="326"/>
      <c r="F13826" s="326"/>
      <c r="G13826" s="326"/>
      <c r="H13826" s="326"/>
      <c r="P13826" s="318"/>
      <c r="Q13826" s="318"/>
      <c r="R13826" s="318"/>
      <c r="S13826" s="318"/>
      <c r="T13826" s="318"/>
      <c r="U13826" s="318"/>
      <c r="V13826" s="318"/>
      <c r="W13826" s="318"/>
      <c r="X13826" s="318"/>
      <c r="Y13826" s="318"/>
      <c r="Z13826" s="318"/>
      <c r="AA13826" s="318"/>
      <c r="AB13826" s="318"/>
      <c r="AC13826" s="318"/>
      <c r="AD13826" s="318"/>
    </row>
    <row r="13827" spans="2:30" s="323" customFormat="1" ht="12" customHeight="1">
      <c r="B13827" s="324"/>
      <c r="C13827" s="325"/>
      <c r="D13827" s="326"/>
      <c r="E13827" s="326"/>
      <c r="F13827" s="326"/>
      <c r="G13827" s="326"/>
      <c r="H13827" s="326"/>
      <c r="P13827" s="318"/>
      <c r="Q13827" s="318"/>
      <c r="R13827" s="318"/>
      <c r="S13827" s="318"/>
      <c r="T13827" s="318"/>
      <c r="U13827" s="318"/>
      <c r="V13827" s="318"/>
      <c r="W13827" s="318"/>
      <c r="X13827" s="318"/>
      <c r="Y13827" s="318"/>
      <c r="Z13827" s="318"/>
      <c r="AA13827" s="318"/>
      <c r="AB13827" s="318"/>
      <c r="AC13827" s="318"/>
      <c r="AD13827" s="318"/>
    </row>
    <row r="13828" spans="2:30" s="323" customFormat="1" ht="12" customHeight="1">
      <c r="B13828" s="324"/>
      <c r="C13828" s="325"/>
      <c r="D13828" s="326"/>
      <c r="E13828" s="326"/>
      <c r="F13828" s="326"/>
      <c r="G13828" s="326"/>
      <c r="H13828" s="326"/>
      <c r="P13828" s="318"/>
      <c r="Q13828" s="318"/>
      <c r="R13828" s="318"/>
      <c r="S13828" s="318"/>
      <c r="T13828" s="318"/>
      <c r="U13828" s="318"/>
      <c r="V13828" s="318"/>
      <c r="W13828" s="318"/>
      <c r="X13828" s="318"/>
      <c r="Y13828" s="318"/>
      <c r="Z13828" s="318"/>
      <c r="AA13828" s="318"/>
      <c r="AB13828" s="318"/>
      <c r="AC13828" s="318"/>
      <c r="AD13828" s="318"/>
    </row>
    <row r="13829" spans="2:30" s="323" customFormat="1" ht="12" customHeight="1">
      <c r="B13829" s="324"/>
      <c r="C13829" s="325"/>
      <c r="D13829" s="326"/>
      <c r="E13829" s="326"/>
      <c r="F13829" s="326"/>
      <c r="G13829" s="326"/>
      <c r="H13829" s="326"/>
      <c r="P13829" s="318"/>
      <c r="Q13829" s="318"/>
      <c r="R13829" s="318"/>
      <c r="S13829" s="318"/>
      <c r="T13829" s="318"/>
      <c r="U13829" s="318"/>
      <c r="V13829" s="318"/>
      <c r="W13829" s="318"/>
      <c r="X13829" s="318"/>
      <c r="Y13829" s="318"/>
      <c r="Z13829" s="318"/>
      <c r="AA13829" s="318"/>
      <c r="AB13829" s="318"/>
      <c r="AC13829" s="318"/>
      <c r="AD13829" s="318"/>
    </row>
    <row r="13830" spans="2:30" s="323" customFormat="1" ht="12" customHeight="1">
      <c r="B13830" s="324"/>
      <c r="C13830" s="325"/>
      <c r="D13830" s="326"/>
      <c r="E13830" s="326"/>
      <c r="F13830" s="326"/>
      <c r="G13830" s="326"/>
      <c r="H13830" s="326"/>
      <c r="P13830" s="318"/>
      <c r="Q13830" s="318"/>
      <c r="R13830" s="318"/>
      <c r="S13830" s="318"/>
      <c r="T13830" s="318"/>
      <c r="U13830" s="318"/>
      <c r="V13830" s="318"/>
      <c r="W13830" s="318"/>
      <c r="X13830" s="318"/>
      <c r="Y13830" s="318"/>
      <c r="Z13830" s="318"/>
      <c r="AA13830" s="318"/>
      <c r="AB13830" s="318"/>
      <c r="AC13830" s="318"/>
      <c r="AD13830" s="318"/>
    </row>
    <row r="13831" spans="2:30" s="323" customFormat="1" ht="12" customHeight="1">
      <c r="B13831" s="324"/>
      <c r="C13831" s="325"/>
      <c r="D13831" s="326"/>
      <c r="E13831" s="326"/>
      <c r="F13831" s="326"/>
      <c r="G13831" s="326"/>
      <c r="H13831" s="326"/>
      <c r="P13831" s="318"/>
      <c r="Q13831" s="318"/>
      <c r="R13831" s="318"/>
      <c r="S13831" s="318"/>
      <c r="T13831" s="318"/>
      <c r="U13831" s="318"/>
      <c r="V13831" s="318"/>
      <c r="W13831" s="318"/>
      <c r="X13831" s="318"/>
      <c r="Y13831" s="318"/>
      <c r="Z13831" s="318"/>
      <c r="AA13831" s="318"/>
      <c r="AB13831" s="318"/>
      <c r="AC13831" s="318"/>
      <c r="AD13831" s="318"/>
    </row>
    <row r="13832" spans="2:30" s="323" customFormat="1" ht="12" customHeight="1">
      <c r="B13832" s="324"/>
      <c r="C13832" s="325"/>
      <c r="D13832" s="326"/>
      <c r="E13832" s="326"/>
      <c r="F13832" s="326"/>
      <c r="G13832" s="326"/>
      <c r="H13832" s="326"/>
      <c r="P13832" s="318"/>
      <c r="Q13832" s="318"/>
      <c r="R13832" s="318"/>
      <c r="S13832" s="318"/>
      <c r="T13832" s="318"/>
      <c r="U13832" s="318"/>
      <c r="V13832" s="318"/>
      <c r="W13832" s="318"/>
      <c r="X13832" s="318"/>
      <c r="Y13832" s="318"/>
      <c r="Z13832" s="318"/>
      <c r="AA13832" s="318"/>
      <c r="AB13832" s="318"/>
      <c r="AC13832" s="318"/>
      <c r="AD13832" s="318"/>
    </row>
    <row r="13833" spans="2:30" s="323" customFormat="1" ht="12" customHeight="1">
      <c r="B13833" s="324"/>
      <c r="C13833" s="325"/>
      <c r="D13833" s="326"/>
      <c r="E13833" s="326"/>
      <c r="F13833" s="326"/>
      <c r="G13833" s="326"/>
      <c r="H13833" s="326"/>
      <c r="P13833" s="318"/>
      <c r="Q13833" s="318"/>
      <c r="R13833" s="318"/>
      <c r="S13833" s="318"/>
      <c r="T13833" s="318"/>
      <c r="U13833" s="318"/>
      <c r="V13833" s="318"/>
      <c r="W13833" s="318"/>
      <c r="X13833" s="318"/>
      <c r="Y13833" s="318"/>
      <c r="Z13833" s="318"/>
      <c r="AA13833" s="318"/>
      <c r="AB13833" s="318"/>
      <c r="AC13833" s="318"/>
      <c r="AD13833" s="318"/>
    </row>
    <row r="13834" spans="2:30" s="323" customFormat="1" ht="12" customHeight="1">
      <c r="B13834" s="324"/>
      <c r="C13834" s="325"/>
      <c r="D13834" s="326"/>
      <c r="E13834" s="326"/>
      <c r="F13834" s="326"/>
      <c r="G13834" s="326"/>
      <c r="H13834" s="326"/>
      <c r="P13834" s="318"/>
      <c r="Q13834" s="318"/>
      <c r="R13834" s="318"/>
      <c r="S13834" s="318"/>
      <c r="T13834" s="318"/>
      <c r="U13834" s="318"/>
      <c r="V13834" s="318"/>
      <c r="W13834" s="318"/>
      <c r="X13834" s="318"/>
      <c r="Y13834" s="318"/>
      <c r="Z13834" s="318"/>
      <c r="AA13834" s="318"/>
      <c r="AB13834" s="318"/>
      <c r="AC13834" s="318"/>
      <c r="AD13834" s="318"/>
    </row>
    <row r="13835" spans="2:30" s="323" customFormat="1" ht="12" customHeight="1">
      <c r="B13835" s="324"/>
      <c r="C13835" s="325"/>
      <c r="D13835" s="326"/>
      <c r="E13835" s="326"/>
      <c r="F13835" s="326"/>
      <c r="G13835" s="326"/>
      <c r="H13835" s="326"/>
      <c r="P13835" s="318"/>
      <c r="Q13835" s="318"/>
      <c r="R13835" s="318"/>
      <c r="S13835" s="318"/>
      <c r="T13835" s="318"/>
      <c r="U13835" s="318"/>
      <c r="V13835" s="318"/>
      <c r="W13835" s="318"/>
      <c r="X13835" s="318"/>
      <c r="Y13835" s="318"/>
      <c r="Z13835" s="318"/>
      <c r="AA13835" s="318"/>
      <c r="AB13835" s="318"/>
      <c r="AC13835" s="318"/>
      <c r="AD13835" s="318"/>
    </row>
    <row r="13836" spans="2:30" s="323" customFormat="1" ht="12" customHeight="1">
      <c r="B13836" s="324"/>
      <c r="C13836" s="325"/>
      <c r="D13836" s="326"/>
      <c r="E13836" s="326"/>
      <c r="F13836" s="326"/>
      <c r="G13836" s="326"/>
      <c r="H13836" s="326"/>
      <c r="P13836" s="318"/>
      <c r="Q13836" s="318"/>
      <c r="R13836" s="318"/>
      <c r="S13836" s="318"/>
      <c r="T13836" s="318"/>
      <c r="U13836" s="318"/>
      <c r="V13836" s="318"/>
      <c r="W13836" s="318"/>
      <c r="X13836" s="318"/>
      <c r="Y13836" s="318"/>
      <c r="Z13836" s="318"/>
      <c r="AA13836" s="318"/>
      <c r="AB13836" s="318"/>
      <c r="AC13836" s="318"/>
      <c r="AD13836" s="318"/>
    </row>
    <row r="13837" spans="2:30" s="323" customFormat="1" ht="12" customHeight="1">
      <c r="B13837" s="324"/>
      <c r="C13837" s="325"/>
      <c r="D13837" s="326"/>
      <c r="E13837" s="326"/>
      <c r="F13837" s="326"/>
      <c r="G13837" s="326"/>
      <c r="H13837" s="326"/>
      <c r="P13837" s="318"/>
      <c r="Q13837" s="318"/>
      <c r="R13837" s="318"/>
      <c r="S13837" s="318"/>
      <c r="T13837" s="318"/>
      <c r="U13837" s="318"/>
      <c r="V13837" s="318"/>
      <c r="W13837" s="318"/>
      <c r="X13837" s="318"/>
      <c r="Y13837" s="318"/>
      <c r="Z13837" s="318"/>
      <c r="AA13837" s="318"/>
      <c r="AB13837" s="318"/>
      <c r="AC13837" s="318"/>
      <c r="AD13837" s="318"/>
    </row>
    <row r="13838" spans="2:30" s="323" customFormat="1" ht="12" customHeight="1">
      <c r="B13838" s="324"/>
      <c r="C13838" s="325"/>
      <c r="D13838" s="326"/>
      <c r="E13838" s="326"/>
      <c r="F13838" s="326"/>
      <c r="G13838" s="326"/>
      <c r="H13838" s="326"/>
      <c r="P13838" s="318"/>
      <c r="Q13838" s="318"/>
      <c r="R13838" s="318"/>
      <c r="S13838" s="318"/>
      <c r="T13838" s="318"/>
      <c r="U13838" s="318"/>
      <c r="V13838" s="318"/>
      <c r="W13838" s="318"/>
      <c r="X13838" s="318"/>
      <c r="Y13838" s="318"/>
      <c r="Z13838" s="318"/>
      <c r="AA13838" s="318"/>
      <c r="AB13838" s="318"/>
      <c r="AC13838" s="318"/>
      <c r="AD13838" s="318"/>
    </row>
    <row r="13839" spans="2:30" s="323" customFormat="1" ht="12" customHeight="1">
      <c r="B13839" s="324"/>
      <c r="C13839" s="325"/>
      <c r="D13839" s="326"/>
      <c r="E13839" s="326"/>
      <c r="F13839" s="326"/>
      <c r="G13839" s="326"/>
      <c r="H13839" s="326"/>
      <c r="P13839" s="318"/>
      <c r="Q13839" s="318"/>
      <c r="R13839" s="318"/>
      <c r="S13839" s="318"/>
      <c r="T13839" s="318"/>
      <c r="U13839" s="318"/>
      <c r="V13839" s="318"/>
      <c r="W13839" s="318"/>
      <c r="X13839" s="318"/>
      <c r="Y13839" s="318"/>
      <c r="Z13839" s="318"/>
      <c r="AA13839" s="318"/>
      <c r="AB13839" s="318"/>
      <c r="AC13839" s="318"/>
      <c r="AD13839" s="318"/>
    </row>
    <row r="13840" spans="2:30" s="323" customFormat="1" ht="12" customHeight="1">
      <c r="B13840" s="324"/>
      <c r="C13840" s="325"/>
      <c r="D13840" s="326"/>
      <c r="E13840" s="326"/>
      <c r="F13840" s="326"/>
      <c r="G13840" s="326"/>
      <c r="H13840" s="326"/>
      <c r="P13840" s="318"/>
      <c r="Q13840" s="318"/>
      <c r="R13840" s="318"/>
      <c r="S13840" s="318"/>
      <c r="T13840" s="318"/>
      <c r="U13840" s="318"/>
      <c r="V13840" s="318"/>
      <c r="W13840" s="318"/>
      <c r="X13840" s="318"/>
      <c r="Y13840" s="318"/>
      <c r="Z13840" s="318"/>
      <c r="AA13840" s="318"/>
      <c r="AB13840" s="318"/>
      <c r="AC13840" s="318"/>
      <c r="AD13840" s="318"/>
    </row>
    <row r="13841" spans="2:30" s="323" customFormat="1" ht="12" customHeight="1">
      <c r="B13841" s="324"/>
      <c r="C13841" s="325"/>
      <c r="D13841" s="326"/>
      <c r="E13841" s="326"/>
      <c r="F13841" s="326"/>
      <c r="G13841" s="326"/>
      <c r="H13841" s="326"/>
      <c r="P13841" s="318"/>
      <c r="Q13841" s="318"/>
      <c r="R13841" s="318"/>
      <c r="S13841" s="318"/>
      <c r="T13841" s="318"/>
      <c r="U13841" s="318"/>
      <c r="V13841" s="318"/>
      <c r="W13841" s="318"/>
      <c r="X13841" s="318"/>
      <c r="Y13841" s="318"/>
      <c r="Z13841" s="318"/>
      <c r="AA13841" s="318"/>
      <c r="AB13841" s="318"/>
      <c r="AC13841" s="318"/>
      <c r="AD13841" s="318"/>
    </row>
    <row r="13842" spans="2:30" s="323" customFormat="1" ht="12" customHeight="1">
      <c r="B13842" s="324"/>
      <c r="C13842" s="325"/>
      <c r="D13842" s="326"/>
      <c r="E13842" s="326"/>
      <c r="F13842" s="326"/>
      <c r="G13842" s="326"/>
      <c r="H13842" s="326"/>
      <c r="P13842" s="318"/>
      <c r="Q13842" s="318"/>
      <c r="R13842" s="318"/>
      <c r="S13842" s="318"/>
      <c r="T13842" s="318"/>
      <c r="U13842" s="318"/>
      <c r="V13842" s="318"/>
      <c r="W13842" s="318"/>
      <c r="X13842" s="318"/>
      <c r="Y13842" s="318"/>
      <c r="Z13842" s="318"/>
      <c r="AA13842" s="318"/>
      <c r="AB13842" s="318"/>
      <c r="AC13842" s="318"/>
      <c r="AD13842" s="318"/>
    </row>
    <row r="13843" spans="2:30" s="323" customFormat="1" ht="12" customHeight="1">
      <c r="B13843" s="324"/>
      <c r="C13843" s="325"/>
      <c r="D13843" s="326"/>
      <c r="E13843" s="326"/>
      <c r="F13843" s="326"/>
      <c r="G13843" s="326"/>
      <c r="H13843" s="326"/>
      <c r="P13843" s="318"/>
      <c r="Q13843" s="318"/>
      <c r="R13843" s="318"/>
      <c r="S13843" s="318"/>
      <c r="T13843" s="318"/>
      <c r="U13843" s="318"/>
      <c r="V13843" s="318"/>
      <c r="W13843" s="318"/>
      <c r="X13843" s="318"/>
      <c r="Y13843" s="318"/>
      <c r="Z13843" s="318"/>
      <c r="AA13843" s="318"/>
      <c r="AB13843" s="318"/>
      <c r="AC13843" s="318"/>
      <c r="AD13843" s="318"/>
    </row>
    <row r="13844" spans="2:30" s="323" customFormat="1" ht="12" customHeight="1">
      <c r="B13844" s="324"/>
      <c r="C13844" s="325"/>
      <c r="D13844" s="326"/>
      <c r="E13844" s="326"/>
      <c r="F13844" s="326"/>
      <c r="G13844" s="326"/>
      <c r="H13844" s="326"/>
      <c r="P13844" s="318"/>
      <c r="Q13844" s="318"/>
      <c r="R13844" s="318"/>
      <c r="S13844" s="318"/>
      <c r="T13844" s="318"/>
      <c r="U13844" s="318"/>
      <c r="V13844" s="318"/>
      <c r="W13844" s="318"/>
      <c r="X13844" s="318"/>
      <c r="Y13844" s="318"/>
      <c r="Z13844" s="318"/>
      <c r="AA13844" s="318"/>
      <c r="AB13844" s="318"/>
      <c r="AC13844" s="318"/>
      <c r="AD13844" s="318"/>
    </row>
    <row r="13845" spans="2:30" s="323" customFormat="1" ht="12" customHeight="1">
      <c r="B13845" s="324"/>
      <c r="C13845" s="325"/>
      <c r="D13845" s="326"/>
      <c r="E13845" s="326"/>
      <c r="F13845" s="326"/>
      <c r="G13845" s="326"/>
      <c r="H13845" s="326"/>
      <c r="P13845" s="318"/>
      <c r="Q13845" s="318"/>
      <c r="R13845" s="318"/>
      <c r="S13845" s="318"/>
      <c r="T13845" s="318"/>
      <c r="U13845" s="318"/>
      <c r="V13845" s="318"/>
      <c r="W13845" s="318"/>
      <c r="X13845" s="318"/>
      <c r="Y13845" s="318"/>
      <c r="Z13845" s="318"/>
      <c r="AA13845" s="318"/>
      <c r="AB13845" s="318"/>
      <c r="AC13845" s="318"/>
      <c r="AD13845" s="318"/>
    </row>
    <row r="13846" spans="2:30" s="323" customFormat="1" ht="12" customHeight="1">
      <c r="B13846" s="324"/>
      <c r="C13846" s="325"/>
      <c r="D13846" s="326"/>
      <c r="E13846" s="326"/>
      <c r="F13846" s="326"/>
      <c r="G13846" s="326"/>
      <c r="H13846" s="326"/>
      <c r="P13846" s="318"/>
      <c r="Q13846" s="318"/>
      <c r="R13846" s="318"/>
      <c r="S13846" s="318"/>
      <c r="T13846" s="318"/>
      <c r="U13846" s="318"/>
      <c r="V13846" s="318"/>
      <c r="W13846" s="318"/>
      <c r="X13846" s="318"/>
      <c r="Y13846" s="318"/>
      <c r="Z13846" s="318"/>
      <c r="AA13846" s="318"/>
      <c r="AB13846" s="318"/>
      <c r="AC13846" s="318"/>
      <c r="AD13846" s="318"/>
    </row>
    <row r="13847" spans="2:30" s="323" customFormat="1" ht="12" customHeight="1">
      <c r="B13847" s="324"/>
      <c r="C13847" s="325"/>
      <c r="D13847" s="326"/>
      <c r="E13847" s="326"/>
      <c r="F13847" s="326"/>
      <c r="G13847" s="326"/>
      <c r="H13847" s="326"/>
      <c r="P13847" s="318"/>
      <c r="Q13847" s="318"/>
      <c r="R13847" s="318"/>
      <c r="S13847" s="318"/>
      <c r="T13847" s="318"/>
      <c r="U13847" s="318"/>
      <c r="V13847" s="318"/>
      <c r="W13847" s="318"/>
      <c r="X13847" s="318"/>
      <c r="Y13847" s="318"/>
      <c r="Z13847" s="318"/>
      <c r="AA13847" s="318"/>
      <c r="AB13847" s="318"/>
      <c r="AC13847" s="318"/>
      <c r="AD13847" s="318"/>
    </row>
    <row r="13848" spans="2:30" s="323" customFormat="1" ht="12" customHeight="1">
      <c r="B13848" s="324"/>
      <c r="C13848" s="325"/>
      <c r="D13848" s="326"/>
      <c r="E13848" s="326"/>
      <c r="F13848" s="326"/>
      <c r="G13848" s="326"/>
      <c r="H13848" s="326"/>
      <c r="P13848" s="318"/>
      <c r="Q13848" s="318"/>
      <c r="R13848" s="318"/>
      <c r="S13848" s="318"/>
      <c r="T13848" s="318"/>
      <c r="U13848" s="318"/>
      <c r="V13848" s="318"/>
      <c r="W13848" s="318"/>
      <c r="X13848" s="318"/>
      <c r="Y13848" s="318"/>
      <c r="Z13848" s="318"/>
      <c r="AA13848" s="318"/>
      <c r="AB13848" s="318"/>
      <c r="AC13848" s="318"/>
      <c r="AD13848" s="318"/>
    </row>
    <row r="13849" spans="2:30" s="323" customFormat="1" ht="12" customHeight="1">
      <c r="B13849" s="324"/>
      <c r="C13849" s="325"/>
      <c r="D13849" s="326"/>
      <c r="E13849" s="326"/>
      <c r="F13849" s="326"/>
      <c r="G13849" s="326"/>
      <c r="H13849" s="326"/>
      <c r="P13849" s="318"/>
      <c r="Q13849" s="318"/>
      <c r="R13849" s="318"/>
      <c r="S13849" s="318"/>
      <c r="T13849" s="318"/>
      <c r="U13849" s="318"/>
      <c r="V13849" s="318"/>
      <c r="W13849" s="318"/>
      <c r="X13849" s="318"/>
      <c r="Y13849" s="318"/>
      <c r="Z13849" s="318"/>
      <c r="AA13849" s="318"/>
      <c r="AB13849" s="318"/>
      <c r="AC13849" s="318"/>
      <c r="AD13849" s="318"/>
    </row>
    <row r="13850" spans="2:30" s="323" customFormat="1" ht="12" customHeight="1">
      <c r="B13850" s="324"/>
      <c r="C13850" s="325"/>
      <c r="D13850" s="326"/>
      <c r="E13850" s="326"/>
      <c r="F13850" s="326"/>
      <c r="G13850" s="326"/>
      <c r="H13850" s="326"/>
      <c r="P13850" s="318"/>
      <c r="Q13850" s="318"/>
      <c r="R13850" s="318"/>
      <c r="S13850" s="318"/>
      <c r="T13850" s="318"/>
      <c r="U13850" s="318"/>
      <c r="V13850" s="318"/>
      <c r="W13850" s="318"/>
      <c r="X13850" s="318"/>
      <c r="Y13850" s="318"/>
      <c r="Z13850" s="318"/>
      <c r="AA13850" s="318"/>
      <c r="AB13850" s="318"/>
      <c r="AC13850" s="318"/>
      <c r="AD13850" s="318"/>
    </row>
    <row r="13851" spans="2:30" s="323" customFormat="1" ht="12" customHeight="1">
      <c r="B13851" s="324"/>
      <c r="C13851" s="325"/>
      <c r="D13851" s="326"/>
      <c r="E13851" s="326"/>
      <c r="F13851" s="326"/>
      <c r="G13851" s="326"/>
      <c r="H13851" s="326"/>
      <c r="P13851" s="318"/>
      <c r="Q13851" s="318"/>
      <c r="R13851" s="318"/>
      <c r="S13851" s="318"/>
      <c r="T13851" s="318"/>
      <c r="U13851" s="318"/>
      <c r="V13851" s="318"/>
      <c r="W13851" s="318"/>
      <c r="X13851" s="318"/>
      <c r="Y13851" s="318"/>
      <c r="Z13851" s="318"/>
      <c r="AA13851" s="318"/>
      <c r="AB13851" s="318"/>
      <c r="AC13851" s="318"/>
      <c r="AD13851" s="318"/>
    </row>
    <row r="13852" spans="2:30" s="323" customFormat="1" ht="12" customHeight="1">
      <c r="B13852" s="324"/>
      <c r="C13852" s="325"/>
      <c r="D13852" s="326"/>
      <c r="E13852" s="326"/>
      <c r="F13852" s="326"/>
      <c r="G13852" s="326"/>
      <c r="H13852" s="326"/>
      <c r="P13852" s="318"/>
      <c r="Q13852" s="318"/>
      <c r="R13852" s="318"/>
      <c r="S13852" s="318"/>
      <c r="T13852" s="318"/>
      <c r="U13852" s="318"/>
      <c r="V13852" s="318"/>
      <c r="W13852" s="318"/>
      <c r="X13852" s="318"/>
      <c r="Y13852" s="318"/>
      <c r="Z13852" s="318"/>
      <c r="AA13852" s="318"/>
      <c r="AB13852" s="318"/>
      <c r="AC13852" s="318"/>
      <c r="AD13852" s="318"/>
    </row>
    <row r="13853" spans="2:30" s="323" customFormat="1" ht="12" customHeight="1">
      <c r="B13853" s="324"/>
      <c r="C13853" s="325"/>
      <c r="D13853" s="326"/>
      <c r="E13853" s="326"/>
      <c r="F13853" s="326"/>
      <c r="G13853" s="326"/>
      <c r="H13853" s="326"/>
      <c r="P13853" s="318"/>
      <c r="Q13853" s="318"/>
      <c r="R13853" s="318"/>
      <c r="S13853" s="318"/>
      <c r="T13853" s="318"/>
      <c r="U13853" s="318"/>
      <c r="V13853" s="318"/>
      <c r="W13853" s="318"/>
      <c r="X13853" s="318"/>
      <c r="Y13853" s="318"/>
      <c r="Z13853" s="318"/>
      <c r="AA13853" s="318"/>
      <c r="AB13853" s="318"/>
      <c r="AC13853" s="318"/>
      <c r="AD13853" s="318"/>
    </row>
    <row r="13854" spans="2:30" s="323" customFormat="1" ht="12" customHeight="1">
      <c r="B13854" s="324"/>
      <c r="C13854" s="325"/>
      <c r="D13854" s="326"/>
      <c r="E13854" s="326"/>
      <c r="F13854" s="326"/>
      <c r="G13854" s="326"/>
      <c r="H13854" s="326"/>
      <c r="P13854" s="318"/>
      <c r="Q13854" s="318"/>
      <c r="R13854" s="318"/>
      <c r="S13854" s="318"/>
      <c r="T13854" s="318"/>
      <c r="U13854" s="318"/>
      <c r="V13854" s="318"/>
      <c r="W13854" s="318"/>
      <c r="X13854" s="318"/>
      <c r="Y13854" s="318"/>
      <c r="Z13854" s="318"/>
      <c r="AA13854" s="318"/>
      <c r="AB13854" s="318"/>
      <c r="AC13854" s="318"/>
      <c r="AD13854" s="318"/>
    </row>
    <row r="13855" spans="2:30" s="323" customFormat="1" ht="12" customHeight="1">
      <c r="B13855" s="324"/>
      <c r="C13855" s="325"/>
      <c r="D13855" s="326"/>
      <c r="E13855" s="326"/>
      <c r="F13855" s="326"/>
      <c r="G13855" s="326"/>
      <c r="H13855" s="326"/>
      <c r="P13855" s="318"/>
      <c r="Q13855" s="318"/>
      <c r="R13855" s="318"/>
      <c r="S13855" s="318"/>
      <c r="T13855" s="318"/>
      <c r="U13855" s="318"/>
      <c r="V13855" s="318"/>
      <c r="W13855" s="318"/>
      <c r="X13855" s="318"/>
      <c r="Y13855" s="318"/>
      <c r="Z13855" s="318"/>
      <c r="AA13855" s="318"/>
      <c r="AB13855" s="318"/>
      <c r="AC13855" s="318"/>
      <c r="AD13855" s="318"/>
    </row>
    <row r="13856" spans="2:30" s="323" customFormat="1" ht="12" customHeight="1">
      <c r="B13856" s="324"/>
      <c r="C13856" s="325"/>
      <c r="D13856" s="326"/>
      <c r="E13856" s="326"/>
      <c r="F13856" s="326"/>
      <c r="G13856" s="326"/>
      <c r="H13856" s="326"/>
      <c r="P13856" s="318"/>
      <c r="Q13856" s="318"/>
      <c r="R13856" s="318"/>
      <c r="S13856" s="318"/>
      <c r="T13856" s="318"/>
      <c r="U13856" s="318"/>
      <c r="V13856" s="318"/>
      <c r="W13856" s="318"/>
      <c r="X13856" s="318"/>
      <c r="Y13856" s="318"/>
      <c r="Z13856" s="318"/>
      <c r="AA13856" s="318"/>
      <c r="AB13856" s="318"/>
      <c r="AC13856" s="318"/>
      <c r="AD13856" s="318"/>
    </row>
    <row r="13857" spans="2:30" s="323" customFormat="1" ht="12" customHeight="1">
      <c r="B13857" s="324"/>
      <c r="C13857" s="325"/>
      <c r="D13857" s="326"/>
      <c r="E13857" s="326"/>
      <c r="F13857" s="326"/>
      <c r="G13857" s="326"/>
      <c r="H13857" s="326"/>
      <c r="P13857" s="318"/>
      <c r="Q13857" s="318"/>
      <c r="R13857" s="318"/>
      <c r="S13857" s="318"/>
      <c r="T13857" s="318"/>
      <c r="U13857" s="318"/>
      <c r="V13857" s="318"/>
      <c r="W13857" s="318"/>
      <c r="X13857" s="318"/>
      <c r="Y13857" s="318"/>
      <c r="Z13857" s="318"/>
      <c r="AA13857" s="318"/>
      <c r="AB13857" s="318"/>
      <c r="AC13857" s="318"/>
      <c r="AD13857" s="318"/>
    </row>
    <row r="13858" spans="2:30" s="323" customFormat="1" ht="12" customHeight="1">
      <c r="B13858" s="324"/>
      <c r="C13858" s="325"/>
      <c r="D13858" s="326"/>
      <c r="E13858" s="326"/>
      <c r="F13858" s="326"/>
      <c r="G13858" s="326"/>
      <c r="H13858" s="326"/>
      <c r="P13858" s="318"/>
      <c r="Q13858" s="318"/>
      <c r="R13858" s="318"/>
      <c r="S13858" s="318"/>
      <c r="T13858" s="318"/>
      <c r="U13858" s="318"/>
      <c r="V13858" s="318"/>
      <c r="W13858" s="318"/>
      <c r="X13858" s="318"/>
      <c r="Y13858" s="318"/>
      <c r="Z13858" s="318"/>
      <c r="AA13858" s="318"/>
      <c r="AB13858" s="318"/>
      <c r="AC13858" s="318"/>
      <c r="AD13858" s="318"/>
    </row>
    <row r="13859" spans="2:30" s="323" customFormat="1" ht="12" customHeight="1">
      <c r="B13859" s="324"/>
      <c r="C13859" s="325"/>
      <c r="D13859" s="326"/>
      <c r="E13859" s="326"/>
      <c r="F13859" s="326"/>
      <c r="G13859" s="326"/>
      <c r="H13859" s="326"/>
      <c r="P13859" s="318"/>
      <c r="Q13859" s="318"/>
      <c r="R13859" s="318"/>
      <c r="S13859" s="318"/>
      <c r="T13859" s="318"/>
      <c r="U13859" s="318"/>
      <c r="V13859" s="318"/>
      <c r="W13859" s="318"/>
      <c r="X13859" s="318"/>
      <c r="Y13859" s="318"/>
      <c r="Z13859" s="318"/>
      <c r="AA13859" s="318"/>
      <c r="AB13859" s="318"/>
      <c r="AC13859" s="318"/>
      <c r="AD13859" s="318"/>
    </row>
    <row r="13860" spans="2:30" s="323" customFormat="1" ht="12" customHeight="1">
      <c r="B13860" s="324"/>
      <c r="C13860" s="325"/>
      <c r="D13860" s="326"/>
      <c r="E13860" s="326"/>
      <c r="F13860" s="326"/>
      <c r="G13860" s="326"/>
      <c r="H13860" s="326"/>
      <c r="P13860" s="318"/>
      <c r="Q13860" s="318"/>
      <c r="R13860" s="318"/>
      <c r="S13860" s="318"/>
      <c r="T13860" s="318"/>
      <c r="U13860" s="318"/>
      <c r="V13860" s="318"/>
      <c r="W13860" s="318"/>
      <c r="X13860" s="318"/>
      <c r="Y13860" s="318"/>
      <c r="Z13860" s="318"/>
      <c r="AA13860" s="318"/>
      <c r="AB13860" s="318"/>
      <c r="AC13860" s="318"/>
      <c r="AD13860" s="318"/>
    </row>
    <row r="13861" spans="2:30" s="323" customFormat="1" ht="12" customHeight="1">
      <c r="B13861" s="324"/>
      <c r="C13861" s="325"/>
      <c r="D13861" s="326"/>
      <c r="E13861" s="326"/>
      <c r="F13861" s="326"/>
      <c r="G13861" s="326"/>
      <c r="H13861" s="326"/>
      <c r="P13861" s="318"/>
      <c r="Q13861" s="318"/>
      <c r="R13861" s="318"/>
      <c r="S13861" s="318"/>
      <c r="T13861" s="318"/>
      <c r="U13861" s="318"/>
      <c r="V13861" s="318"/>
      <c r="W13861" s="318"/>
      <c r="X13861" s="318"/>
      <c r="Y13861" s="318"/>
      <c r="Z13861" s="318"/>
      <c r="AA13861" s="318"/>
      <c r="AB13861" s="318"/>
      <c r="AC13861" s="318"/>
      <c r="AD13861" s="318"/>
    </row>
    <row r="13862" spans="2:30" s="323" customFormat="1" ht="12" customHeight="1">
      <c r="B13862" s="324"/>
      <c r="C13862" s="325"/>
      <c r="D13862" s="326"/>
      <c r="E13862" s="326"/>
      <c r="F13862" s="326"/>
      <c r="G13862" s="326"/>
      <c r="H13862" s="326"/>
      <c r="P13862" s="318"/>
      <c r="Q13862" s="318"/>
      <c r="R13862" s="318"/>
      <c r="S13862" s="318"/>
      <c r="T13862" s="318"/>
      <c r="U13862" s="318"/>
      <c r="V13862" s="318"/>
      <c r="W13862" s="318"/>
      <c r="X13862" s="318"/>
      <c r="Y13862" s="318"/>
      <c r="Z13862" s="318"/>
      <c r="AA13862" s="318"/>
      <c r="AB13862" s="318"/>
      <c r="AC13862" s="318"/>
      <c r="AD13862" s="318"/>
    </row>
    <row r="13863" spans="2:30" s="323" customFormat="1" ht="12" customHeight="1">
      <c r="B13863" s="324"/>
      <c r="C13863" s="325"/>
      <c r="D13863" s="326"/>
      <c r="E13863" s="326"/>
      <c r="F13863" s="326"/>
      <c r="G13863" s="326"/>
      <c r="H13863" s="326"/>
      <c r="P13863" s="318"/>
      <c r="Q13863" s="318"/>
      <c r="R13863" s="318"/>
      <c r="S13863" s="318"/>
      <c r="T13863" s="318"/>
      <c r="U13863" s="318"/>
      <c r="V13863" s="318"/>
      <c r="W13863" s="318"/>
      <c r="X13863" s="318"/>
      <c r="Y13863" s="318"/>
      <c r="Z13863" s="318"/>
      <c r="AA13863" s="318"/>
      <c r="AB13863" s="318"/>
      <c r="AC13863" s="318"/>
      <c r="AD13863" s="318"/>
    </row>
    <row r="13864" spans="2:30" s="323" customFormat="1" ht="12" customHeight="1">
      <c r="B13864" s="324"/>
      <c r="C13864" s="325"/>
      <c r="D13864" s="326"/>
      <c r="E13864" s="326"/>
      <c r="F13864" s="326"/>
      <c r="G13864" s="326"/>
      <c r="H13864" s="326"/>
      <c r="P13864" s="318"/>
      <c r="Q13864" s="318"/>
      <c r="R13864" s="318"/>
      <c r="S13864" s="318"/>
      <c r="T13864" s="318"/>
      <c r="U13864" s="318"/>
      <c r="V13864" s="318"/>
      <c r="W13864" s="318"/>
      <c r="X13864" s="318"/>
      <c r="Y13864" s="318"/>
      <c r="Z13864" s="318"/>
      <c r="AA13864" s="318"/>
      <c r="AB13864" s="318"/>
      <c r="AC13864" s="318"/>
      <c r="AD13864" s="318"/>
    </row>
    <row r="13865" spans="2:30" s="323" customFormat="1" ht="12" customHeight="1">
      <c r="B13865" s="324"/>
      <c r="C13865" s="325"/>
      <c r="D13865" s="326"/>
      <c r="E13865" s="326"/>
      <c r="F13865" s="326"/>
      <c r="G13865" s="326"/>
      <c r="H13865" s="326"/>
      <c r="P13865" s="318"/>
      <c r="Q13865" s="318"/>
      <c r="R13865" s="318"/>
      <c r="S13865" s="318"/>
      <c r="T13865" s="318"/>
      <c r="U13865" s="318"/>
      <c r="V13865" s="318"/>
      <c r="W13865" s="318"/>
      <c r="X13865" s="318"/>
      <c r="Y13865" s="318"/>
      <c r="Z13865" s="318"/>
      <c r="AA13865" s="318"/>
      <c r="AB13865" s="318"/>
      <c r="AC13865" s="318"/>
      <c r="AD13865" s="318"/>
    </row>
    <row r="13866" spans="2:30" s="323" customFormat="1" ht="12" customHeight="1">
      <c r="B13866" s="324"/>
      <c r="C13866" s="325"/>
      <c r="D13866" s="326"/>
      <c r="E13866" s="326"/>
      <c r="F13866" s="326"/>
      <c r="G13866" s="326"/>
      <c r="H13866" s="326"/>
      <c r="P13866" s="318"/>
      <c r="Q13866" s="318"/>
      <c r="R13866" s="318"/>
      <c r="S13866" s="318"/>
      <c r="T13866" s="318"/>
      <c r="U13866" s="318"/>
      <c r="V13866" s="318"/>
      <c r="W13866" s="318"/>
      <c r="X13866" s="318"/>
      <c r="Y13866" s="318"/>
      <c r="Z13866" s="318"/>
      <c r="AA13866" s="318"/>
      <c r="AB13866" s="318"/>
      <c r="AC13866" s="318"/>
      <c r="AD13866" s="318"/>
    </row>
    <row r="13867" spans="2:30" s="323" customFormat="1" ht="12" customHeight="1">
      <c r="B13867" s="324"/>
      <c r="C13867" s="325"/>
      <c r="D13867" s="326"/>
      <c r="E13867" s="326"/>
      <c r="F13867" s="326"/>
      <c r="G13867" s="326"/>
      <c r="H13867" s="326"/>
      <c r="P13867" s="318"/>
      <c r="Q13867" s="318"/>
      <c r="R13867" s="318"/>
      <c r="S13867" s="318"/>
      <c r="T13867" s="318"/>
      <c r="U13867" s="318"/>
      <c r="V13867" s="318"/>
      <c r="W13867" s="318"/>
      <c r="X13867" s="318"/>
      <c r="Y13867" s="318"/>
      <c r="Z13867" s="318"/>
      <c r="AA13867" s="318"/>
      <c r="AB13867" s="318"/>
      <c r="AC13867" s="318"/>
      <c r="AD13867" s="318"/>
    </row>
    <row r="13868" spans="2:30" s="323" customFormat="1" ht="12" customHeight="1">
      <c r="B13868" s="324"/>
      <c r="C13868" s="325"/>
      <c r="D13868" s="326"/>
      <c r="E13868" s="326"/>
      <c r="F13868" s="326"/>
      <c r="G13868" s="326"/>
      <c r="H13868" s="326"/>
      <c r="P13868" s="318"/>
      <c r="Q13868" s="318"/>
      <c r="R13868" s="318"/>
      <c r="S13868" s="318"/>
      <c r="T13868" s="318"/>
      <c r="U13868" s="318"/>
      <c r="V13868" s="318"/>
      <c r="W13868" s="318"/>
      <c r="X13868" s="318"/>
      <c r="Y13868" s="318"/>
      <c r="Z13868" s="318"/>
      <c r="AA13868" s="318"/>
      <c r="AB13868" s="318"/>
      <c r="AC13868" s="318"/>
      <c r="AD13868" s="318"/>
    </row>
    <row r="13869" spans="2:30" s="323" customFormat="1" ht="12" customHeight="1">
      <c r="B13869" s="324"/>
      <c r="C13869" s="325"/>
      <c r="D13869" s="326"/>
      <c r="E13869" s="326"/>
      <c r="F13869" s="326"/>
      <c r="G13869" s="326"/>
      <c r="H13869" s="326"/>
      <c r="P13869" s="318"/>
      <c r="Q13869" s="318"/>
      <c r="R13869" s="318"/>
      <c r="S13869" s="318"/>
      <c r="T13869" s="318"/>
      <c r="U13869" s="318"/>
      <c r="V13869" s="318"/>
      <c r="W13869" s="318"/>
      <c r="X13869" s="318"/>
      <c r="Y13869" s="318"/>
      <c r="Z13869" s="318"/>
      <c r="AA13869" s="318"/>
      <c r="AB13869" s="318"/>
      <c r="AC13869" s="318"/>
      <c r="AD13869" s="318"/>
    </row>
    <row r="13870" spans="2:30" s="323" customFormat="1" ht="12" customHeight="1">
      <c r="B13870" s="324"/>
      <c r="C13870" s="325"/>
      <c r="D13870" s="326"/>
      <c r="E13870" s="326"/>
      <c r="F13870" s="326"/>
      <c r="G13870" s="326"/>
      <c r="H13870" s="326"/>
      <c r="P13870" s="318"/>
      <c r="Q13870" s="318"/>
      <c r="R13870" s="318"/>
      <c r="S13870" s="318"/>
      <c r="T13870" s="318"/>
      <c r="U13870" s="318"/>
      <c r="V13870" s="318"/>
      <c r="W13870" s="318"/>
      <c r="X13870" s="318"/>
      <c r="Y13870" s="318"/>
      <c r="Z13870" s="318"/>
      <c r="AA13870" s="318"/>
      <c r="AB13870" s="318"/>
      <c r="AC13870" s="318"/>
      <c r="AD13870" s="318"/>
    </row>
    <row r="13871" spans="2:30" s="323" customFormat="1" ht="12" customHeight="1">
      <c r="B13871" s="324"/>
      <c r="C13871" s="325"/>
      <c r="D13871" s="326"/>
      <c r="E13871" s="326"/>
      <c r="F13871" s="326"/>
      <c r="G13871" s="326"/>
      <c r="H13871" s="326"/>
      <c r="P13871" s="318"/>
      <c r="Q13871" s="318"/>
      <c r="R13871" s="318"/>
      <c r="S13871" s="318"/>
      <c r="T13871" s="318"/>
      <c r="U13871" s="318"/>
      <c r="V13871" s="318"/>
      <c r="W13871" s="318"/>
      <c r="X13871" s="318"/>
      <c r="Y13871" s="318"/>
      <c r="Z13871" s="318"/>
      <c r="AA13871" s="318"/>
      <c r="AB13871" s="318"/>
      <c r="AC13871" s="318"/>
      <c r="AD13871" s="318"/>
    </row>
    <row r="13872" spans="2:30" s="323" customFormat="1" ht="12" customHeight="1">
      <c r="B13872" s="324"/>
      <c r="C13872" s="325"/>
      <c r="D13872" s="326"/>
      <c r="E13872" s="326"/>
      <c r="F13872" s="326"/>
      <c r="G13872" s="326"/>
      <c r="H13872" s="326"/>
      <c r="P13872" s="318"/>
      <c r="Q13872" s="318"/>
      <c r="R13872" s="318"/>
      <c r="S13872" s="318"/>
      <c r="T13872" s="318"/>
      <c r="U13872" s="318"/>
      <c r="V13872" s="318"/>
      <c r="W13872" s="318"/>
      <c r="X13872" s="318"/>
      <c r="Y13872" s="318"/>
      <c r="Z13872" s="318"/>
      <c r="AA13872" s="318"/>
      <c r="AB13872" s="318"/>
      <c r="AC13872" s="318"/>
      <c r="AD13872" s="318"/>
    </row>
    <row r="13873" spans="2:30" s="323" customFormat="1" ht="12" customHeight="1">
      <c r="B13873" s="324"/>
      <c r="C13873" s="325"/>
      <c r="D13873" s="326"/>
      <c r="E13873" s="326"/>
      <c r="F13873" s="326"/>
      <c r="G13873" s="326"/>
      <c r="H13873" s="326"/>
      <c r="P13873" s="318"/>
      <c r="Q13873" s="318"/>
      <c r="R13873" s="318"/>
      <c r="S13873" s="318"/>
      <c r="T13873" s="318"/>
      <c r="U13873" s="318"/>
      <c r="V13873" s="318"/>
      <c r="W13873" s="318"/>
      <c r="X13873" s="318"/>
      <c r="Y13873" s="318"/>
      <c r="Z13873" s="318"/>
      <c r="AA13873" s="318"/>
      <c r="AB13873" s="318"/>
      <c r="AC13873" s="318"/>
      <c r="AD13873" s="318"/>
    </row>
    <row r="13874" spans="2:30" s="323" customFormat="1" ht="12" customHeight="1">
      <c r="B13874" s="324"/>
      <c r="C13874" s="325"/>
      <c r="D13874" s="326"/>
      <c r="E13874" s="326"/>
      <c r="F13874" s="326"/>
      <c r="G13874" s="326"/>
      <c r="H13874" s="326"/>
      <c r="P13874" s="318"/>
      <c r="Q13874" s="318"/>
      <c r="R13874" s="318"/>
      <c r="S13874" s="318"/>
      <c r="T13874" s="318"/>
      <c r="U13874" s="318"/>
      <c r="V13874" s="318"/>
      <c r="W13874" s="318"/>
      <c r="X13874" s="318"/>
      <c r="Y13874" s="318"/>
      <c r="Z13874" s="318"/>
      <c r="AA13874" s="318"/>
      <c r="AB13874" s="318"/>
      <c r="AC13874" s="318"/>
      <c r="AD13874" s="318"/>
    </row>
    <row r="13875" spans="2:30" s="323" customFormat="1" ht="12" customHeight="1">
      <c r="B13875" s="324"/>
      <c r="C13875" s="325"/>
      <c r="D13875" s="326"/>
      <c r="E13875" s="326"/>
      <c r="F13875" s="326"/>
      <c r="G13875" s="326"/>
      <c r="H13875" s="326"/>
      <c r="P13875" s="318"/>
      <c r="Q13875" s="318"/>
      <c r="R13875" s="318"/>
      <c r="S13875" s="318"/>
      <c r="T13875" s="318"/>
      <c r="U13875" s="318"/>
      <c r="V13875" s="318"/>
      <c r="W13875" s="318"/>
      <c r="X13875" s="318"/>
      <c r="Y13875" s="318"/>
      <c r="Z13875" s="318"/>
      <c r="AA13875" s="318"/>
      <c r="AB13875" s="318"/>
      <c r="AC13875" s="318"/>
      <c r="AD13875" s="318"/>
    </row>
    <row r="13876" spans="2:30" s="323" customFormat="1" ht="12" customHeight="1">
      <c r="B13876" s="324"/>
      <c r="C13876" s="325"/>
      <c r="D13876" s="326"/>
      <c r="E13876" s="326"/>
      <c r="F13876" s="326"/>
      <c r="G13876" s="326"/>
      <c r="H13876" s="326"/>
      <c r="P13876" s="318"/>
      <c r="Q13876" s="318"/>
      <c r="R13876" s="318"/>
      <c r="S13876" s="318"/>
      <c r="T13876" s="318"/>
      <c r="U13876" s="318"/>
      <c r="V13876" s="318"/>
      <c r="W13876" s="318"/>
      <c r="X13876" s="318"/>
      <c r="Y13876" s="318"/>
      <c r="Z13876" s="318"/>
      <c r="AA13876" s="318"/>
      <c r="AB13876" s="318"/>
      <c r="AC13876" s="318"/>
      <c r="AD13876" s="318"/>
    </row>
    <row r="13877" spans="2:30" s="323" customFormat="1" ht="12" customHeight="1">
      <c r="B13877" s="324"/>
      <c r="C13877" s="325"/>
      <c r="D13877" s="326"/>
      <c r="E13877" s="326"/>
      <c r="F13877" s="326"/>
      <c r="G13877" s="326"/>
      <c r="H13877" s="326"/>
      <c r="P13877" s="318"/>
      <c r="Q13877" s="318"/>
      <c r="R13877" s="318"/>
      <c r="S13877" s="318"/>
      <c r="T13877" s="318"/>
      <c r="U13877" s="318"/>
      <c r="V13877" s="318"/>
      <c r="W13877" s="318"/>
      <c r="X13877" s="318"/>
      <c r="Y13877" s="318"/>
      <c r="Z13877" s="318"/>
      <c r="AA13877" s="318"/>
      <c r="AB13877" s="318"/>
      <c r="AC13877" s="318"/>
      <c r="AD13877" s="318"/>
    </row>
    <row r="13878" spans="2:30" s="323" customFormat="1" ht="12" customHeight="1">
      <c r="B13878" s="324"/>
      <c r="C13878" s="325"/>
      <c r="D13878" s="326"/>
      <c r="E13878" s="326"/>
      <c r="F13878" s="326"/>
      <c r="G13878" s="326"/>
      <c r="H13878" s="326"/>
      <c r="P13878" s="318"/>
      <c r="Q13878" s="318"/>
      <c r="R13878" s="318"/>
      <c r="S13878" s="318"/>
      <c r="T13878" s="318"/>
      <c r="U13878" s="318"/>
      <c r="V13878" s="318"/>
      <c r="W13878" s="318"/>
      <c r="X13878" s="318"/>
      <c r="Y13878" s="318"/>
      <c r="Z13878" s="318"/>
      <c r="AA13878" s="318"/>
      <c r="AB13878" s="318"/>
      <c r="AC13878" s="318"/>
      <c r="AD13878" s="318"/>
    </row>
    <row r="13879" spans="2:30" s="323" customFormat="1" ht="12" customHeight="1">
      <c r="B13879" s="324"/>
      <c r="C13879" s="325"/>
      <c r="D13879" s="326"/>
      <c r="E13879" s="326"/>
      <c r="F13879" s="326"/>
      <c r="G13879" s="326"/>
      <c r="H13879" s="326"/>
      <c r="P13879" s="318"/>
      <c r="Q13879" s="318"/>
      <c r="R13879" s="318"/>
      <c r="S13879" s="318"/>
      <c r="T13879" s="318"/>
      <c r="U13879" s="318"/>
      <c r="V13879" s="318"/>
      <c r="W13879" s="318"/>
      <c r="X13879" s="318"/>
      <c r="Y13879" s="318"/>
      <c r="Z13879" s="318"/>
      <c r="AA13879" s="318"/>
      <c r="AB13879" s="318"/>
      <c r="AC13879" s="318"/>
      <c r="AD13879" s="318"/>
    </row>
    <row r="13880" spans="2:30" s="323" customFormat="1" ht="12" customHeight="1">
      <c r="B13880" s="324"/>
      <c r="C13880" s="325"/>
      <c r="D13880" s="326"/>
      <c r="E13880" s="326"/>
      <c r="F13880" s="326"/>
      <c r="G13880" s="326"/>
      <c r="H13880" s="326"/>
      <c r="P13880" s="318"/>
      <c r="Q13880" s="318"/>
      <c r="R13880" s="318"/>
      <c r="S13880" s="318"/>
      <c r="T13880" s="318"/>
      <c r="U13880" s="318"/>
      <c r="V13880" s="318"/>
      <c r="W13880" s="318"/>
      <c r="X13880" s="318"/>
      <c r="Y13880" s="318"/>
      <c r="Z13880" s="318"/>
      <c r="AA13880" s="318"/>
      <c r="AB13880" s="318"/>
      <c r="AC13880" s="318"/>
      <c r="AD13880" s="318"/>
    </row>
    <row r="13881" spans="2:30" s="323" customFormat="1" ht="12" customHeight="1">
      <c r="B13881" s="324"/>
      <c r="C13881" s="325"/>
      <c r="D13881" s="326"/>
      <c r="E13881" s="326"/>
      <c r="F13881" s="326"/>
      <c r="G13881" s="326"/>
      <c r="H13881" s="326"/>
      <c r="P13881" s="318"/>
      <c r="Q13881" s="318"/>
      <c r="R13881" s="318"/>
      <c r="S13881" s="318"/>
      <c r="T13881" s="318"/>
      <c r="U13881" s="318"/>
      <c r="V13881" s="318"/>
      <c r="W13881" s="318"/>
      <c r="X13881" s="318"/>
      <c r="Y13881" s="318"/>
      <c r="Z13881" s="318"/>
      <c r="AA13881" s="318"/>
      <c r="AB13881" s="318"/>
      <c r="AC13881" s="318"/>
      <c r="AD13881" s="318"/>
    </row>
    <row r="13882" spans="2:30" s="323" customFormat="1" ht="12" customHeight="1">
      <c r="B13882" s="324"/>
      <c r="C13882" s="325"/>
      <c r="D13882" s="326"/>
      <c r="E13882" s="326"/>
      <c r="F13882" s="326"/>
      <c r="G13882" s="326"/>
      <c r="H13882" s="326"/>
      <c r="P13882" s="318"/>
      <c r="Q13882" s="318"/>
      <c r="R13882" s="318"/>
      <c r="S13882" s="318"/>
      <c r="T13882" s="318"/>
      <c r="U13882" s="318"/>
      <c r="V13882" s="318"/>
      <c r="W13882" s="318"/>
      <c r="X13882" s="318"/>
      <c r="Y13882" s="318"/>
      <c r="Z13882" s="318"/>
      <c r="AA13882" s="318"/>
      <c r="AB13882" s="318"/>
      <c r="AC13882" s="318"/>
      <c r="AD13882" s="318"/>
    </row>
    <row r="13883" spans="2:30" s="323" customFormat="1" ht="12" customHeight="1">
      <c r="B13883" s="324"/>
      <c r="C13883" s="325"/>
      <c r="D13883" s="326"/>
      <c r="E13883" s="326"/>
      <c r="F13883" s="326"/>
      <c r="G13883" s="326"/>
      <c r="H13883" s="326"/>
      <c r="P13883" s="318"/>
      <c r="Q13883" s="318"/>
      <c r="R13883" s="318"/>
      <c r="S13883" s="318"/>
      <c r="T13883" s="318"/>
      <c r="U13883" s="318"/>
      <c r="V13883" s="318"/>
      <c r="W13883" s="318"/>
      <c r="X13883" s="318"/>
      <c r="Y13883" s="318"/>
      <c r="Z13883" s="318"/>
      <c r="AA13883" s="318"/>
      <c r="AB13883" s="318"/>
      <c r="AC13883" s="318"/>
      <c r="AD13883" s="318"/>
    </row>
    <row r="13884" spans="2:30" s="323" customFormat="1" ht="12" customHeight="1">
      <c r="B13884" s="324"/>
      <c r="C13884" s="325"/>
      <c r="D13884" s="326"/>
      <c r="E13884" s="326"/>
      <c r="F13884" s="326"/>
      <c r="G13884" s="326"/>
      <c r="H13884" s="326"/>
      <c r="P13884" s="318"/>
      <c r="Q13884" s="318"/>
      <c r="R13884" s="318"/>
      <c r="S13884" s="318"/>
      <c r="T13884" s="318"/>
      <c r="U13884" s="318"/>
      <c r="V13884" s="318"/>
      <c r="W13884" s="318"/>
      <c r="X13884" s="318"/>
      <c r="Y13884" s="318"/>
      <c r="Z13884" s="318"/>
      <c r="AA13884" s="318"/>
      <c r="AB13884" s="318"/>
      <c r="AC13884" s="318"/>
      <c r="AD13884" s="318"/>
    </row>
    <row r="13885" spans="2:30" s="323" customFormat="1" ht="12" customHeight="1">
      <c r="B13885" s="324"/>
      <c r="C13885" s="325"/>
      <c r="D13885" s="326"/>
      <c r="E13885" s="326"/>
      <c r="F13885" s="326"/>
      <c r="G13885" s="326"/>
      <c r="H13885" s="326"/>
      <c r="P13885" s="318"/>
      <c r="Q13885" s="318"/>
      <c r="R13885" s="318"/>
      <c r="S13885" s="318"/>
      <c r="T13885" s="318"/>
      <c r="U13885" s="318"/>
      <c r="V13885" s="318"/>
      <c r="W13885" s="318"/>
      <c r="X13885" s="318"/>
      <c r="Y13885" s="318"/>
      <c r="Z13885" s="318"/>
      <c r="AA13885" s="318"/>
      <c r="AB13885" s="318"/>
      <c r="AC13885" s="318"/>
      <c r="AD13885" s="318"/>
    </row>
    <row r="13886" spans="2:30" s="323" customFormat="1" ht="12" customHeight="1">
      <c r="B13886" s="324"/>
      <c r="C13886" s="325"/>
      <c r="D13886" s="326"/>
      <c r="E13886" s="326"/>
      <c r="F13886" s="326"/>
      <c r="G13886" s="326"/>
      <c r="H13886" s="326"/>
      <c r="P13886" s="318"/>
      <c r="Q13886" s="318"/>
      <c r="R13886" s="318"/>
      <c r="S13886" s="318"/>
      <c r="T13886" s="318"/>
      <c r="U13886" s="318"/>
      <c r="V13886" s="318"/>
      <c r="W13886" s="318"/>
      <c r="X13886" s="318"/>
      <c r="Y13886" s="318"/>
      <c r="Z13886" s="318"/>
      <c r="AA13886" s="318"/>
      <c r="AB13886" s="318"/>
      <c r="AC13886" s="318"/>
      <c r="AD13886" s="318"/>
    </row>
    <row r="13887" spans="2:30" s="323" customFormat="1" ht="12" customHeight="1">
      <c r="B13887" s="324"/>
      <c r="C13887" s="325"/>
      <c r="D13887" s="326"/>
      <c r="E13887" s="326"/>
      <c r="F13887" s="326"/>
      <c r="G13887" s="326"/>
      <c r="H13887" s="326"/>
      <c r="P13887" s="318"/>
      <c r="Q13887" s="318"/>
      <c r="R13887" s="318"/>
      <c r="S13887" s="318"/>
      <c r="T13887" s="318"/>
      <c r="U13887" s="318"/>
      <c r="V13887" s="318"/>
      <c r="W13887" s="318"/>
      <c r="X13887" s="318"/>
      <c r="Y13887" s="318"/>
      <c r="Z13887" s="318"/>
      <c r="AA13887" s="318"/>
      <c r="AB13887" s="318"/>
      <c r="AC13887" s="318"/>
      <c r="AD13887" s="318"/>
    </row>
    <row r="13888" spans="2:30" s="323" customFormat="1" ht="12" customHeight="1">
      <c r="B13888" s="324"/>
      <c r="C13888" s="325"/>
      <c r="D13888" s="326"/>
      <c r="E13888" s="326"/>
      <c r="F13888" s="326"/>
      <c r="G13888" s="326"/>
      <c r="H13888" s="326"/>
      <c r="P13888" s="318"/>
      <c r="Q13888" s="318"/>
      <c r="R13888" s="318"/>
      <c r="S13888" s="318"/>
      <c r="T13888" s="318"/>
      <c r="U13888" s="318"/>
      <c r="V13888" s="318"/>
      <c r="W13888" s="318"/>
      <c r="X13888" s="318"/>
      <c r="Y13888" s="318"/>
      <c r="Z13888" s="318"/>
      <c r="AA13888" s="318"/>
      <c r="AB13888" s="318"/>
      <c r="AC13888" s="318"/>
      <c r="AD13888" s="318"/>
    </row>
    <row r="13889" spans="2:30" s="323" customFormat="1" ht="12" customHeight="1">
      <c r="B13889" s="324"/>
      <c r="C13889" s="325"/>
      <c r="D13889" s="326"/>
      <c r="E13889" s="326"/>
      <c r="F13889" s="326"/>
      <c r="G13889" s="326"/>
      <c r="H13889" s="326"/>
      <c r="P13889" s="318"/>
      <c r="Q13889" s="318"/>
      <c r="R13889" s="318"/>
      <c r="S13889" s="318"/>
      <c r="T13889" s="318"/>
      <c r="U13889" s="318"/>
      <c r="V13889" s="318"/>
      <c r="W13889" s="318"/>
      <c r="X13889" s="318"/>
      <c r="Y13889" s="318"/>
      <c r="Z13889" s="318"/>
      <c r="AA13889" s="318"/>
      <c r="AB13889" s="318"/>
      <c r="AC13889" s="318"/>
      <c r="AD13889" s="318"/>
    </row>
    <row r="13890" spans="2:30" s="323" customFormat="1" ht="12" customHeight="1">
      <c r="B13890" s="324"/>
      <c r="C13890" s="325"/>
      <c r="D13890" s="326"/>
      <c r="E13890" s="326"/>
      <c r="F13890" s="326"/>
      <c r="G13890" s="326"/>
      <c r="H13890" s="326"/>
      <c r="P13890" s="318"/>
      <c r="Q13890" s="318"/>
      <c r="R13890" s="318"/>
      <c r="S13890" s="318"/>
      <c r="T13890" s="318"/>
      <c r="U13890" s="318"/>
      <c r="V13890" s="318"/>
      <c r="W13890" s="318"/>
      <c r="X13890" s="318"/>
      <c r="Y13890" s="318"/>
      <c r="Z13890" s="318"/>
      <c r="AA13890" s="318"/>
      <c r="AB13890" s="318"/>
      <c r="AC13890" s="318"/>
      <c r="AD13890" s="318"/>
    </row>
    <row r="13891" spans="2:30" s="323" customFormat="1" ht="12" customHeight="1">
      <c r="B13891" s="324"/>
      <c r="C13891" s="325"/>
      <c r="D13891" s="326"/>
      <c r="E13891" s="326"/>
      <c r="F13891" s="326"/>
      <c r="G13891" s="326"/>
      <c r="H13891" s="326"/>
      <c r="P13891" s="318"/>
      <c r="Q13891" s="318"/>
      <c r="R13891" s="318"/>
      <c r="S13891" s="318"/>
      <c r="T13891" s="318"/>
      <c r="U13891" s="318"/>
      <c r="V13891" s="318"/>
      <c r="W13891" s="318"/>
      <c r="X13891" s="318"/>
      <c r="Y13891" s="318"/>
      <c r="Z13891" s="318"/>
      <c r="AA13891" s="318"/>
      <c r="AB13891" s="318"/>
      <c r="AC13891" s="318"/>
      <c r="AD13891" s="318"/>
    </row>
    <row r="13892" spans="2:30" s="323" customFormat="1" ht="12" customHeight="1">
      <c r="B13892" s="324"/>
      <c r="C13892" s="325"/>
      <c r="D13892" s="326"/>
      <c r="E13892" s="326"/>
      <c r="F13892" s="326"/>
      <c r="G13892" s="326"/>
      <c r="H13892" s="326"/>
      <c r="P13892" s="318"/>
      <c r="Q13892" s="318"/>
      <c r="R13892" s="318"/>
      <c r="S13892" s="318"/>
      <c r="T13892" s="318"/>
      <c r="U13892" s="318"/>
      <c r="V13892" s="318"/>
      <c r="W13892" s="318"/>
      <c r="X13892" s="318"/>
      <c r="Y13892" s="318"/>
      <c r="Z13892" s="318"/>
      <c r="AA13892" s="318"/>
      <c r="AB13892" s="318"/>
      <c r="AC13892" s="318"/>
      <c r="AD13892" s="318"/>
    </row>
    <row r="13893" spans="2:30" s="323" customFormat="1" ht="12" customHeight="1">
      <c r="B13893" s="324"/>
      <c r="C13893" s="325"/>
      <c r="D13893" s="326"/>
      <c r="E13893" s="326"/>
      <c r="F13893" s="326"/>
      <c r="G13893" s="326"/>
      <c r="H13893" s="326"/>
      <c r="P13893" s="318"/>
      <c r="Q13893" s="318"/>
      <c r="R13893" s="318"/>
      <c r="S13893" s="318"/>
      <c r="T13893" s="318"/>
      <c r="U13893" s="318"/>
      <c r="V13893" s="318"/>
      <c r="W13893" s="318"/>
      <c r="X13893" s="318"/>
      <c r="Y13893" s="318"/>
      <c r="Z13893" s="318"/>
      <c r="AA13893" s="318"/>
      <c r="AB13893" s="318"/>
      <c r="AC13893" s="318"/>
      <c r="AD13893" s="318"/>
    </row>
    <row r="13894" spans="2:30" s="323" customFormat="1" ht="12" customHeight="1">
      <c r="B13894" s="324"/>
      <c r="C13894" s="325"/>
      <c r="D13894" s="326"/>
      <c r="E13894" s="326"/>
      <c r="F13894" s="326"/>
      <c r="G13894" s="326"/>
      <c r="H13894" s="326"/>
      <c r="P13894" s="318"/>
      <c r="Q13894" s="318"/>
      <c r="R13894" s="318"/>
      <c r="S13894" s="318"/>
      <c r="T13894" s="318"/>
      <c r="U13894" s="318"/>
      <c r="V13894" s="318"/>
      <c r="W13894" s="318"/>
      <c r="X13894" s="318"/>
      <c r="Y13894" s="318"/>
      <c r="Z13894" s="318"/>
      <c r="AA13894" s="318"/>
      <c r="AB13894" s="318"/>
      <c r="AC13894" s="318"/>
      <c r="AD13894" s="318"/>
    </row>
    <row r="13895" spans="2:30" s="323" customFormat="1" ht="12" customHeight="1">
      <c r="B13895" s="324"/>
      <c r="C13895" s="325"/>
      <c r="D13895" s="326"/>
      <c r="E13895" s="326"/>
      <c r="F13895" s="326"/>
      <c r="G13895" s="326"/>
      <c r="H13895" s="326"/>
      <c r="P13895" s="318"/>
      <c r="Q13895" s="318"/>
      <c r="R13895" s="318"/>
      <c r="S13895" s="318"/>
      <c r="T13895" s="318"/>
      <c r="U13895" s="318"/>
      <c r="V13895" s="318"/>
      <c r="W13895" s="318"/>
      <c r="X13895" s="318"/>
      <c r="Y13895" s="318"/>
      <c r="Z13895" s="318"/>
      <c r="AA13895" s="318"/>
      <c r="AB13895" s="318"/>
      <c r="AC13895" s="318"/>
      <c r="AD13895" s="318"/>
    </row>
    <row r="13896" spans="2:30" s="323" customFormat="1" ht="12" customHeight="1">
      <c r="B13896" s="324"/>
      <c r="C13896" s="325"/>
      <c r="D13896" s="326"/>
      <c r="E13896" s="326"/>
      <c r="F13896" s="326"/>
      <c r="G13896" s="326"/>
      <c r="H13896" s="326"/>
      <c r="P13896" s="318"/>
      <c r="Q13896" s="318"/>
      <c r="R13896" s="318"/>
      <c r="S13896" s="318"/>
      <c r="T13896" s="318"/>
      <c r="U13896" s="318"/>
      <c r="V13896" s="318"/>
      <c r="W13896" s="318"/>
      <c r="X13896" s="318"/>
      <c r="Y13896" s="318"/>
      <c r="Z13896" s="318"/>
      <c r="AA13896" s="318"/>
      <c r="AB13896" s="318"/>
      <c r="AC13896" s="318"/>
      <c r="AD13896" s="318"/>
    </row>
    <row r="13897" spans="2:30" s="323" customFormat="1" ht="12" customHeight="1">
      <c r="B13897" s="324"/>
      <c r="C13897" s="325"/>
      <c r="D13897" s="326"/>
      <c r="E13897" s="326"/>
      <c r="F13897" s="326"/>
      <c r="G13897" s="326"/>
      <c r="H13897" s="326"/>
      <c r="P13897" s="318"/>
      <c r="Q13897" s="318"/>
      <c r="R13897" s="318"/>
      <c r="S13897" s="318"/>
      <c r="T13897" s="318"/>
      <c r="U13897" s="318"/>
      <c r="V13897" s="318"/>
      <c r="W13897" s="318"/>
      <c r="X13897" s="318"/>
      <c r="Y13897" s="318"/>
      <c r="Z13897" s="318"/>
      <c r="AA13897" s="318"/>
      <c r="AB13897" s="318"/>
      <c r="AC13897" s="318"/>
      <c r="AD13897" s="318"/>
    </row>
    <row r="13898" spans="2:30" s="323" customFormat="1" ht="12" customHeight="1">
      <c r="B13898" s="324"/>
      <c r="C13898" s="325"/>
      <c r="D13898" s="326"/>
      <c r="E13898" s="326"/>
      <c r="F13898" s="326"/>
      <c r="G13898" s="326"/>
      <c r="H13898" s="326"/>
      <c r="P13898" s="318"/>
      <c r="Q13898" s="318"/>
      <c r="R13898" s="318"/>
      <c r="S13898" s="318"/>
      <c r="T13898" s="318"/>
      <c r="U13898" s="318"/>
      <c r="V13898" s="318"/>
      <c r="W13898" s="318"/>
      <c r="X13898" s="318"/>
      <c r="Y13898" s="318"/>
      <c r="Z13898" s="318"/>
      <c r="AA13898" s="318"/>
      <c r="AB13898" s="318"/>
      <c r="AC13898" s="318"/>
      <c r="AD13898" s="318"/>
    </row>
    <row r="13899" spans="2:30" s="323" customFormat="1" ht="12" customHeight="1">
      <c r="B13899" s="324"/>
      <c r="C13899" s="325"/>
      <c r="D13899" s="326"/>
      <c r="E13899" s="326"/>
      <c r="F13899" s="326"/>
      <c r="G13899" s="326"/>
      <c r="H13899" s="326"/>
      <c r="P13899" s="318"/>
      <c r="Q13899" s="318"/>
      <c r="R13899" s="318"/>
      <c r="S13899" s="318"/>
      <c r="T13899" s="318"/>
      <c r="U13899" s="318"/>
      <c r="V13899" s="318"/>
      <c r="W13899" s="318"/>
      <c r="X13899" s="318"/>
      <c r="Y13899" s="318"/>
      <c r="Z13899" s="318"/>
      <c r="AA13899" s="318"/>
      <c r="AB13899" s="318"/>
      <c r="AC13899" s="318"/>
      <c r="AD13899" s="318"/>
    </row>
    <row r="13900" spans="2:30" s="323" customFormat="1" ht="12" customHeight="1">
      <c r="B13900" s="324"/>
      <c r="C13900" s="325"/>
      <c r="D13900" s="326"/>
      <c r="E13900" s="326"/>
      <c r="F13900" s="326"/>
      <c r="G13900" s="326"/>
      <c r="H13900" s="326"/>
      <c r="P13900" s="318"/>
      <c r="Q13900" s="318"/>
      <c r="R13900" s="318"/>
      <c r="S13900" s="318"/>
      <c r="T13900" s="318"/>
      <c r="U13900" s="318"/>
      <c r="V13900" s="318"/>
      <c r="W13900" s="318"/>
      <c r="X13900" s="318"/>
      <c r="Y13900" s="318"/>
      <c r="Z13900" s="318"/>
      <c r="AA13900" s="318"/>
      <c r="AB13900" s="318"/>
      <c r="AC13900" s="318"/>
      <c r="AD13900" s="318"/>
    </row>
    <row r="13901" spans="2:30" s="323" customFormat="1" ht="12" customHeight="1">
      <c r="B13901" s="324"/>
      <c r="C13901" s="325"/>
      <c r="D13901" s="326"/>
      <c r="E13901" s="326"/>
      <c r="F13901" s="326"/>
      <c r="G13901" s="326"/>
      <c r="H13901" s="326"/>
      <c r="P13901" s="318"/>
      <c r="Q13901" s="318"/>
      <c r="R13901" s="318"/>
      <c r="S13901" s="318"/>
      <c r="T13901" s="318"/>
      <c r="U13901" s="318"/>
      <c r="V13901" s="318"/>
      <c r="W13901" s="318"/>
      <c r="X13901" s="318"/>
      <c r="Y13901" s="318"/>
      <c r="Z13901" s="318"/>
      <c r="AA13901" s="318"/>
      <c r="AB13901" s="318"/>
      <c r="AC13901" s="318"/>
      <c r="AD13901" s="318"/>
    </row>
    <row r="13902" spans="2:30" s="323" customFormat="1" ht="12" customHeight="1">
      <c r="B13902" s="324"/>
      <c r="C13902" s="325"/>
      <c r="D13902" s="326"/>
      <c r="E13902" s="326"/>
      <c r="F13902" s="326"/>
      <c r="G13902" s="326"/>
      <c r="H13902" s="326"/>
      <c r="P13902" s="318"/>
      <c r="Q13902" s="318"/>
      <c r="R13902" s="318"/>
      <c r="S13902" s="318"/>
      <c r="T13902" s="318"/>
      <c r="U13902" s="318"/>
      <c r="V13902" s="318"/>
      <c r="W13902" s="318"/>
      <c r="X13902" s="318"/>
      <c r="Y13902" s="318"/>
      <c r="Z13902" s="318"/>
      <c r="AA13902" s="318"/>
      <c r="AB13902" s="318"/>
      <c r="AC13902" s="318"/>
      <c r="AD13902" s="318"/>
    </row>
    <row r="13903" spans="2:30" s="323" customFormat="1" ht="12" customHeight="1">
      <c r="B13903" s="324"/>
      <c r="C13903" s="325"/>
      <c r="D13903" s="326"/>
      <c r="E13903" s="326"/>
      <c r="F13903" s="326"/>
      <c r="G13903" s="326"/>
      <c r="H13903" s="326"/>
      <c r="P13903" s="318"/>
      <c r="Q13903" s="318"/>
      <c r="R13903" s="318"/>
      <c r="S13903" s="318"/>
      <c r="T13903" s="318"/>
      <c r="U13903" s="318"/>
      <c r="V13903" s="318"/>
      <c r="W13903" s="318"/>
      <c r="X13903" s="318"/>
      <c r="Y13903" s="318"/>
      <c r="Z13903" s="318"/>
      <c r="AA13903" s="318"/>
      <c r="AB13903" s="318"/>
      <c r="AC13903" s="318"/>
      <c r="AD13903" s="318"/>
    </row>
    <row r="13904" spans="2:30" s="323" customFormat="1" ht="12" customHeight="1">
      <c r="B13904" s="324"/>
      <c r="C13904" s="325"/>
      <c r="D13904" s="326"/>
      <c r="E13904" s="326"/>
      <c r="F13904" s="326"/>
      <c r="G13904" s="326"/>
      <c r="H13904" s="326"/>
      <c r="P13904" s="318"/>
      <c r="Q13904" s="318"/>
      <c r="R13904" s="318"/>
      <c r="S13904" s="318"/>
      <c r="T13904" s="318"/>
      <c r="U13904" s="318"/>
      <c r="V13904" s="318"/>
      <c r="W13904" s="318"/>
      <c r="X13904" s="318"/>
      <c r="Y13904" s="318"/>
      <c r="Z13904" s="318"/>
      <c r="AA13904" s="318"/>
      <c r="AB13904" s="318"/>
      <c r="AC13904" s="318"/>
      <c r="AD13904" s="318"/>
    </row>
    <row r="13905" spans="2:30" s="323" customFormat="1" ht="12" customHeight="1">
      <c r="B13905" s="324"/>
      <c r="C13905" s="325"/>
      <c r="D13905" s="326"/>
      <c r="E13905" s="326"/>
      <c r="F13905" s="326"/>
      <c r="G13905" s="326"/>
      <c r="H13905" s="326"/>
      <c r="P13905" s="318"/>
      <c r="Q13905" s="318"/>
      <c r="R13905" s="318"/>
      <c r="S13905" s="318"/>
      <c r="T13905" s="318"/>
      <c r="U13905" s="318"/>
      <c r="V13905" s="318"/>
      <c r="W13905" s="318"/>
      <c r="X13905" s="318"/>
      <c r="Y13905" s="318"/>
      <c r="Z13905" s="318"/>
      <c r="AA13905" s="318"/>
      <c r="AB13905" s="318"/>
      <c r="AC13905" s="318"/>
      <c r="AD13905" s="318"/>
    </row>
    <row r="13906" spans="2:30" s="323" customFormat="1" ht="12" customHeight="1">
      <c r="B13906" s="324"/>
      <c r="C13906" s="325"/>
      <c r="D13906" s="326"/>
      <c r="E13906" s="326"/>
      <c r="F13906" s="326"/>
      <c r="G13906" s="326"/>
      <c r="H13906" s="326"/>
      <c r="P13906" s="318"/>
      <c r="Q13906" s="318"/>
      <c r="R13906" s="318"/>
      <c r="S13906" s="318"/>
      <c r="T13906" s="318"/>
      <c r="U13906" s="318"/>
      <c r="V13906" s="318"/>
      <c r="W13906" s="318"/>
      <c r="X13906" s="318"/>
      <c r="Y13906" s="318"/>
      <c r="Z13906" s="318"/>
      <c r="AA13906" s="318"/>
      <c r="AB13906" s="318"/>
      <c r="AC13906" s="318"/>
      <c r="AD13906" s="318"/>
    </row>
    <row r="13907" spans="2:30" s="323" customFormat="1" ht="12" customHeight="1">
      <c r="B13907" s="324"/>
      <c r="C13907" s="325"/>
      <c r="D13907" s="326"/>
      <c r="E13907" s="326"/>
      <c r="F13907" s="326"/>
      <c r="G13907" s="326"/>
      <c r="H13907" s="326"/>
      <c r="P13907" s="318"/>
      <c r="Q13907" s="318"/>
      <c r="R13907" s="318"/>
      <c r="S13907" s="318"/>
      <c r="T13907" s="318"/>
      <c r="U13907" s="318"/>
      <c r="V13907" s="318"/>
      <c r="W13907" s="318"/>
      <c r="X13907" s="318"/>
      <c r="Y13907" s="318"/>
      <c r="Z13907" s="318"/>
      <c r="AA13907" s="318"/>
      <c r="AB13907" s="318"/>
      <c r="AC13907" s="318"/>
      <c r="AD13907" s="318"/>
    </row>
    <row r="13908" spans="2:30" s="323" customFormat="1" ht="12" customHeight="1">
      <c r="B13908" s="324"/>
      <c r="C13908" s="325"/>
      <c r="D13908" s="326"/>
      <c r="E13908" s="326"/>
      <c r="F13908" s="326"/>
      <c r="G13908" s="326"/>
      <c r="H13908" s="326"/>
      <c r="P13908" s="318"/>
      <c r="Q13908" s="318"/>
      <c r="R13908" s="318"/>
      <c r="S13908" s="318"/>
      <c r="T13908" s="318"/>
      <c r="U13908" s="318"/>
      <c r="V13908" s="318"/>
      <c r="W13908" s="318"/>
      <c r="X13908" s="318"/>
      <c r="Y13908" s="318"/>
      <c r="Z13908" s="318"/>
      <c r="AA13908" s="318"/>
      <c r="AB13908" s="318"/>
      <c r="AC13908" s="318"/>
      <c r="AD13908" s="318"/>
    </row>
    <row r="13909" spans="2:30" s="323" customFormat="1" ht="12" customHeight="1">
      <c r="B13909" s="324"/>
      <c r="C13909" s="325"/>
      <c r="D13909" s="326"/>
      <c r="E13909" s="326"/>
      <c r="F13909" s="326"/>
      <c r="G13909" s="326"/>
      <c r="H13909" s="326"/>
      <c r="P13909" s="318"/>
      <c r="Q13909" s="318"/>
      <c r="R13909" s="318"/>
      <c r="S13909" s="318"/>
      <c r="T13909" s="318"/>
      <c r="U13909" s="318"/>
      <c r="V13909" s="318"/>
      <c r="W13909" s="318"/>
      <c r="X13909" s="318"/>
      <c r="Y13909" s="318"/>
      <c r="Z13909" s="318"/>
      <c r="AA13909" s="318"/>
      <c r="AB13909" s="318"/>
      <c r="AC13909" s="318"/>
      <c r="AD13909" s="318"/>
    </row>
    <row r="13910" spans="2:30" s="323" customFormat="1" ht="12" customHeight="1">
      <c r="B13910" s="324"/>
      <c r="C13910" s="325"/>
      <c r="D13910" s="326"/>
      <c r="E13910" s="326"/>
      <c r="F13910" s="326"/>
      <c r="G13910" s="326"/>
      <c r="H13910" s="326"/>
      <c r="P13910" s="318"/>
      <c r="Q13910" s="318"/>
      <c r="R13910" s="318"/>
      <c r="S13910" s="318"/>
      <c r="T13910" s="318"/>
      <c r="U13910" s="318"/>
      <c r="V13910" s="318"/>
      <c r="W13910" s="318"/>
      <c r="X13910" s="318"/>
      <c r="Y13910" s="318"/>
      <c r="Z13910" s="318"/>
      <c r="AA13910" s="318"/>
      <c r="AB13910" s="318"/>
      <c r="AC13910" s="318"/>
      <c r="AD13910" s="318"/>
    </row>
    <row r="13911" spans="2:30" s="323" customFormat="1" ht="12" customHeight="1">
      <c r="B13911" s="324"/>
      <c r="C13911" s="325"/>
      <c r="D13911" s="326"/>
      <c r="E13911" s="326"/>
      <c r="F13911" s="326"/>
      <c r="G13911" s="326"/>
      <c r="H13911" s="326"/>
      <c r="P13911" s="318"/>
      <c r="Q13911" s="318"/>
      <c r="R13911" s="318"/>
      <c r="S13911" s="318"/>
      <c r="T13911" s="318"/>
      <c r="U13911" s="318"/>
      <c r="V13911" s="318"/>
      <c r="W13911" s="318"/>
      <c r="X13911" s="318"/>
      <c r="Y13911" s="318"/>
      <c r="Z13911" s="318"/>
      <c r="AA13911" s="318"/>
      <c r="AB13911" s="318"/>
      <c r="AC13911" s="318"/>
      <c r="AD13911" s="318"/>
    </row>
    <row r="13912" spans="2:30" s="323" customFormat="1" ht="12" customHeight="1">
      <c r="B13912" s="324"/>
      <c r="C13912" s="325"/>
      <c r="D13912" s="326"/>
      <c r="E13912" s="326"/>
      <c r="F13912" s="326"/>
      <c r="G13912" s="326"/>
      <c r="H13912" s="326"/>
      <c r="P13912" s="318"/>
      <c r="Q13912" s="318"/>
      <c r="R13912" s="318"/>
      <c r="S13912" s="318"/>
      <c r="T13912" s="318"/>
      <c r="U13912" s="318"/>
      <c r="V13912" s="318"/>
      <c r="W13912" s="318"/>
      <c r="X13912" s="318"/>
      <c r="Y13912" s="318"/>
      <c r="Z13912" s="318"/>
      <c r="AA13912" s="318"/>
      <c r="AB13912" s="318"/>
      <c r="AC13912" s="318"/>
      <c r="AD13912" s="318"/>
    </row>
    <row r="13913" spans="2:30" s="323" customFormat="1" ht="12" customHeight="1">
      <c r="B13913" s="324"/>
      <c r="C13913" s="325"/>
      <c r="D13913" s="326"/>
      <c r="E13913" s="326"/>
      <c r="F13913" s="326"/>
      <c r="G13913" s="326"/>
      <c r="H13913" s="326"/>
      <c r="P13913" s="318"/>
      <c r="Q13913" s="318"/>
      <c r="R13913" s="318"/>
      <c r="S13913" s="318"/>
      <c r="T13913" s="318"/>
      <c r="U13913" s="318"/>
      <c r="V13913" s="318"/>
      <c r="W13913" s="318"/>
      <c r="X13913" s="318"/>
      <c r="Y13913" s="318"/>
      <c r="Z13913" s="318"/>
      <c r="AA13913" s="318"/>
      <c r="AB13913" s="318"/>
      <c r="AC13913" s="318"/>
      <c r="AD13913" s="318"/>
    </row>
    <row r="13914" spans="2:30" s="323" customFormat="1" ht="12" customHeight="1">
      <c r="B13914" s="324"/>
      <c r="C13914" s="325"/>
      <c r="D13914" s="326"/>
      <c r="E13914" s="326"/>
      <c r="F13914" s="326"/>
      <c r="G13914" s="326"/>
      <c r="H13914" s="326"/>
      <c r="P13914" s="318"/>
      <c r="Q13914" s="318"/>
      <c r="R13914" s="318"/>
      <c r="S13914" s="318"/>
      <c r="T13914" s="318"/>
      <c r="U13914" s="318"/>
      <c r="V13914" s="318"/>
      <c r="W13914" s="318"/>
      <c r="X13914" s="318"/>
      <c r="Y13914" s="318"/>
      <c r="Z13914" s="318"/>
      <c r="AA13914" s="318"/>
      <c r="AB13914" s="318"/>
      <c r="AC13914" s="318"/>
      <c r="AD13914" s="318"/>
    </row>
    <row r="13915" spans="2:30" s="323" customFormat="1" ht="12" customHeight="1">
      <c r="B13915" s="324"/>
      <c r="C13915" s="325"/>
      <c r="D13915" s="326"/>
      <c r="E13915" s="326"/>
      <c r="F13915" s="326"/>
      <c r="G13915" s="326"/>
      <c r="H13915" s="326"/>
      <c r="P13915" s="318"/>
      <c r="Q13915" s="318"/>
      <c r="R13915" s="318"/>
      <c r="S13915" s="318"/>
      <c r="T13915" s="318"/>
      <c r="U13915" s="318"/>
      <c r="V13915" s="318"/>
      <c r="W13915" s="318"/>
      <c r="X13915" s="318"/>
      <c r="Y13915" s="318"/>
      <c r="Z13915" s="318"/>
      <c r="AA13915" s="318"/>
      <c r="AB13915" s="318"/>
      <c r="AC13915" s="318"/>
      <c r="AD13915" s="318"/>
    </row>
    <row r="13916" spans="2:30" s="323" customFormat="1" ht="12" customHeight="1">
      <c r="B13916" s="324"/>
      <c r="C13916" s="325"/>
      <c r="D13916" s="326"/>
      <c r="E13916" s="326"/>
      <c r="F13916" s="326"/>
      <c r="G13916" s="326"/>
      <c r="H13916" s="326"/>
      <c r="P13916" s="318"/>
      <c r="Q13916" s="318"/>
      <c r="R13916" s="318"/>
      <c r="S13916" s="318"/>
      <c r="T13916" s="318"/>
      <c r="U13916" s="318"/>
      <c r="V13916" s="318"/>
      <c r="W13916" s="318"/>
      <c r="X13916" s="318"/>
      <c r="Y13916" s="318"/>
      <c r="Z13916" s="318"/>
      <c r="AA13916" s="318"/>
      <c r="AB13916" s="318"/>
      <c r="AC13916" s="318"/>
      <c r="AD13916" s="318"/>
    </row>
    <row r="13917" spans="2:30" s="323" customFormat="1" ht="12" customHeight="1">
      <c r="B13917" s="324"/>
      <c r="C13917" s="325"/>
      <c r="D13917" s="326"/>
      <c r="E13917" s="326"/>
      <c r="F13917" s="326"/>
      <c r="G13917" s="326"/>
      <c r="H13917" s="326"/>
      <c r="P13917" s="318"/>
      <c r="Q13917" s="318"/>
      <c r="R13917" s="318"/>
      <c r="S13917" s="318"/>
      <c r="T13917" s="318"/>
      <c r="U13917" s="318"/>
      <c r="V13917" s="318"/>
      <c r="W13917" s="318"/>
      <c r="X13917" s="318"/>
      <c r="Y13917" s="318"/>
      <c r="Z13917" s="318"/>
      <c r="AA13917" s="318"/>
      <c r="AB13917" s="318"/>
      <c r="AC13917" s="318"/>
      <c r="AD13917" s="318"/>
    </row>
    <row r="13918" spans="2:30" s="323" customFormat="1" ht="12" customHeight="1">
      <c r="B13918" s="324"/>
      <c r="C13918" s="325"/>
      <c r="D13918" s="326"/>
      <c r="E13918" s="326"/>
      <c r="F13918" s="326"/>
      <c r="G13918" s="326"/>
      <c r="H13918" s="326"/>
      <c r="P13918" s="318"/>
      <c r="Q13918" s="318"/>
      <c r="R13918" s="318"/>
      <c r="S13918" s="318"/>
      <c r="T13918" s="318"/>
      <c r="U13918" s="318"/>
      <c r="V13918" s="318"/>
      <c r="W13918" s="318"/>
      <c r="X13918" s="318"/>
      <c r="Y13918" s="318"/>
      <c r="Z13918" s="318"/>
      <c r="AA13918" s="318"/>
      <c r="AB13918" s="318"/>
      <c r="AC13918" s="318"/>
      <c r="AD13918" s="318"/>
    </row>
    <row r="13919" spans="2:30" s="323" customFormat="1" ht="12" customHeight="1">
      <c r="B13919" s="324"/>
      <c r="C13919" s="325"/>
      <c r="D13919" s="326"/>
      <c r="E13919" s="326"/>
      <c r="F13919" s="326"/>
      <c r="G13919" s="326"/>
      <c r="H13919" s="326"/>
      <c r="P13919" s="318"/>
      <c r="Q13919" s="318"/>
      <c r="R13919" s="318"/>
      <c r="S13919" s="318"/>
      <c r="T13919" s="318"/>
      <c r="U13919" s="318"/>
      <c r="V13919" s="318"/>
      <c r="W13919" s="318"/>
      <c r="X13919" s="318"/>
      <c r="Y13919" s="318"/>
      <c r="Z13919" s="318"/>
      <c r="AA13919" s="318"/>
      <c r="AB13919" s="318"/>
      <c r="AC13919" s="318"/>
      <c r="AD13919" s="318"/>
    </row>
    <row r="13920" spans="2:30" s="323" customFormat="1" ht="12" customHeight="1">
      <c r="B13920" s="324"/>
      <c r="C13920" s="325"/>
      <c r="D13920" s="326"/>
      <c r="E13920" s="326"/>
      <c r="F13920" s="326"/>
      <c r="G13920" s="326"/>
      <c r="H13920" s="326"/>
      <c r="P13920" s="318"/>
      <c r="Q13920" s="318"/>
      <c r="R13920" s="318"/>
      <c r="S13920" s="318"/>
      <c r="T13920" s="318"/>
      <c r="U13920" s="318"/>
      <c r="V13920" s="318"/>
      <c r="W13920" s="318"/>
      <c r="X13920" s="318"/>
      <c r="Y13920" s="318"/>
      <c r="Z13920" s="318"/>
      <c r="AA13920" s="318"/>
      <c r="AB13920" s="318"/>
      <c r="AC13920" s="318"/>
      <c r="AD13920" s="318"/>
    </row>
    <row r="13921" spans="2:30" s="323" customFormat="1" ht="12" customHeight="1">
      <c r="B13921" s="324"/>
      <c r="C13921" s="325"/>
      <c r="D13921" s="326"/>
      <c r="E13921" s="326"/>
      <c r="F13921" s="326"/>
      <c r="G13921" s="326"/>
      <c r="H13921" s="326"/>
      <c r="P13921" s="318"/>
      <c r="Q13921" s="318"/>
      <c r="R13921" s="318"/>
      <c r="S13921" s="318"/>
      <c r="T13921" s="318"/>
      <c r="U13921" s="318"/>
      <c r="V13921" s="318"/>
      <c r="W13921" s="318"/>
      <c r="X13921" s="318"/>
      <c r="Y13921" s="318"/>
      <c r="Z13921" s="318"/>
      <c r="AA13921" s="318"/>
      <c r="AB13921" s="318"/>
      <c r="AC13921" s="318"/>
      <c r="AD13921" s="318"/>
    </row>
    <row r="13922" spans="2:30" s="323" customFormat="1" ht="12" customHeight="1">
      <c r="B13922" s="324"/>
      <c r="C13922" s="325"/>
      <c r="D13922" s="326"/>
      <c r="E13922" s="326"/>
      <c r="F13922" s="326"/>
      <c r="G13922" s="326"/>
      <c r="H13922" s="326"/>
      <c r="P13922" s="318"/>
      <c r="Q13922" s="318"/>
      <c r="R13922" s="318"/>
      <c r="S13922" s="318"/>
      <c r="T13922" s="318"/>
      <c r="U13922" s="318"/>
      <c r="V13922" s="318"/>
      <c r="W13922" s="318"/>
      <c r="X13922" s="318"/>
      <c r="Y13922" s="318"/>
      <c r="Z13922" s="318"/>
      <c r="AA13922" s="318"/>
      <c r="AB13922" s="318"/>
      <c r="AC13922" s="318"/>
      <c r="AD13922" s="318"/>
    </row>
    <row r="13923" spans="2:30" s="323" customFormat="1" ht="12" customHeight="1">
      <c r="B13923" s="324"/>
      <c r="C13923" s="325"/>
      <c r="D13923" s="326"/>
      <c r="E13923" s="326"/>
      <c r="F13923" s="326"/>
      <c r="G13923" s="326"/>
      <c r="H13923" s="326"/>
      <c r="P13923" s="318"/>
      <c r="Q13923" s="318"/>
      <c r="R13923" s="318"/>
      <c r="S13923" s="318"/>
      <c r="T13923" s="318"/>
      <c r="U13923" s="318"/>
      <c r="V13923" s="318"/>
      <c r="W13923" s="318"/>
      <c r="X13923" s="318"/>
      <c r="Y13923" s="318"/>
      <c r="Z13923" s="318"/>
      <c r="AA13923" s="318"/>
      <c r="AB13923" s="318"/>
      <c r="AC13923" s="318"/>
      <c r="AD13923" s="318"/>
    </row>
    <row r="13924" spans="2:30" s="323" customFormat="1" ht="12" customHeight="1">
      <c r="B13924" s="324"/>
      <c r="C13924" s="325"/>
      <c r="D13924" s="326"/>
      <c r="E13924" s="326"/>
      <c r="F13924" s="326"/>
      <c r="G13924" s="326"/>
      <c r="H13924" s="326"/>
      <c r="P13924" s="318"/>
      <c r="Q13924" s="318"/>
      <c r="R13924" s="318"/>
      <c r="S13924" s="318"/>
      <c r="T13924" s="318"/>
      <c r="U13924" s="318"/>
      <c r="V13924" s="318"/>
      <c r="W13924" s="318"/>
      <c r="X13924" s="318"/>
      <c r="Y13924" s="318"/>
      <c r="Z13924" s="318"/>
      <c r="AA13924" s="318"/>
      <c r="AB13924" s="318"/>
      <c r="AC13924" s="318"/>
      <c r="AD13924" s="318"/>
    </row>
    <row r="13925" spans="2:30" s="323" customFormat="1" ht="12" customHeight="1">
      <c r="B13925" s="324"/>
      <c r="C13925" s="325"/>
      <c r="D13925" s="326"/>
      <c r="E13925" s="326"/>
      <c r="F13925" s="326"/>
      <c r="G13925" s="326"/>
      <c r="H13925" s="326"/>
      <c r="P13925" s="318"/>
      <c r="Q13925" s="318"/>
      <c r="R13925" s="318"/>
      <c r="S13925" s="318"/>
      <c r="T13925" s="318"/>
      <c r="U13925" s="318"/>
      <c r="V13925" s="318"/>
      <c r="W13925" s="318"/>
      <c r="X13925" s="318"/>
      <c r="Y13925" s="318"/>
      <c r="Z13925" s="318"/>
      <c r="AA13925" s="318"/>
      <c r="AB13925" s="318"/>
      <c r="AC13925" s="318"/>
      <c r="AD13925" s="318"/>
    </row>
    <row r="13926" spans="2:30" s="323" customFormat="1" ht="12" customHeight="1">
      <c r="B13926" s="324"/>
      <c r="C13926" s="325"/>
      <c r="D13926" s="326"/>
      <c r="E13926" s="326"/>
      <c r="F13926" s="326"/>
      <c r="G13926" s="326"/>
      <c r="H13926" s="326"/>
      <c r="P13926" s="318"/>
      <c r="Q13926" s="318"/>
      <c r="R13926" s="318"/>
      <c r="S13926" s="318"/>
      <c r="T13926" s="318"/>
      <c r="U13926" s="318"/>
      <c r="V13926" s="318"/>
      <c r="W13926" s="318"/>
      <c r="X13926" s="318"/>
      <c r="Y13926" s="318"/>
      <c r="Z13926" s="318"/>
      <c r="AA13926" s="318"/>
      <c r="AB13926" s="318"/>
      <c r="AC13926" s="318"/>
      <c r="AD13926" s="318"/>
    </row>
    <row r="13927" spans="2:30" s="323" customFormat="1" ht="12" customHeight="1">
      <c r="B13927" s="324"/>
      <c r="C13927" s="325"/>
      <c r="D13927" s="326"/>
      <c r="E13927" s="326"/>
      <c r="F13927" s="326"/>
      <c r="G13927" s="326"/>
      <c r="H13927" s="326"/>
      <c r="P13927" s="318"/>
      <c r="Q13927" s="318"/>
      <c r="R13927" s="318"/>
      <c r="S13927" s="318"/>
      <c r="T13927" s="318"/>
      <c r="U13927" s="318"/>
      <c r="V13927" s="318"/>
      <c r="W13927" s="318"/>
      <c r="X13927" s="318"/>
      <c r="Y13927" s="318"/>
      <c r="Z13927" s="318"/>
      <c r="AA13927" s="318"/>
      <c r="AB13927" s="318"/>
      <c r="AC13927" s="318"/>
      <c r="AD13927" s="318"/>
    </row>
    <row r="13928" spans="2:30" s="323" customFormat="1" ht="12" customHeight="1">
      <c r="B13928" s="324"/>
      <c r="C13928" s="325"/>
      <c r="D13928" s="326"/>
      <c r="E13928" s="326"/>
      <c r="F13928" s="326"/>
      <c r="G13928" s="326"/>
      <c r="H13928" s="326"/>
      <c r="P13928" s="318"/>
      <c r="Q13928" s="318"/>
      <c r="R13928" s="318"/>
      <c r="S13928" s="318"/>
      <c r="T13928" s="318"/>
      <c r="U13928" s="318"/>
      <c r="V13928" s="318"/>
      <c r="W13928" s="318"/>
      <c r="X13928" s="318"/>
      <c r="Y13928" s="318"/>
      <c r="Z13928" s="318"/>
      <c r="AA13928" s="318"/>
      <c r="AB13928" s="318"/>
      <c r="AC13928" s="318"/>
      <c r="AD13928" s="318"/>
    </row>
    <row r="13929" spans="2:30" s="323" customFormat="1" ht="12" customHeight="1">
      <c r="B13929" s="324"/>
      <c r="C13929" s="325"/>
      <c r="D13929" s="326"/>
      <c r="E13929" s="326"/>
      <c r="F13929" s="326"/>
      <c r="G13929" s="326"/>
      <c r="H13929" s="326"/>
      <c r="P13929" s="318"/>
      <c r="Q13929" s="318"/>
      <c r="R13929" s="318"/>
      <c r="S13929" s="318"/>
      <c r="T13929" s="318"/>
      <c r="U13929" s="318"/>
      <c r="V13929" s="318"/>
      <c r="W13929" s="318"/>
      <c r="X13929" s="318"/>
      <c r="Y13929" s="318"/>
      <c r="Z13929" s="318"/>
      <c r="AA13929" s="318"/>
      <c r="AB13929" s="318"/>
      <c r="AC13929" s="318"/>
      <c r="AD13929" s="318"/>
    </row>
    <row r="13930" spans="2:30" s="323" customFormat="1" ht="12" customHeight="1">
      <c r="B13930" s="324"/>
      <c r="C13930" s="325"/>
      <c r="D13930" s="326"/>
      <c r="E13930" s="326"/>
      <c r="F13930" s="326"/>
      <c r="G13930" s="326"/>
      <c r="H13930" s="326"/>
      <c r="P13930" s="318"/>
      <c r="Q13930" s="318"/>
      <c r="R13930" s="318"/>
      <c r="S13930" s="318"/>
      <c r="T13930" s="318"/>
      <c r="U13930" s="318"/>
      <c r="V13930" s="318"/>
      <c r="W13930" s="318"/>
      <c r="X13930" s="318"/>
      <c r="Y13930" s="318"/>
      <c r="Z13930" s="318"/>
      <c r="AA13930" s="318"/>
      <c r="AB13930" s="318"/>
      <c r="AC13930" s="318"/>
      <c r="AD13930" s="318"/>
    </row>
    <row r="13931" spans="2:30" s="323" customFormat="1" ht="12" customHeight="1">
      <c r="B13931" s="324"/>
      <c r="C13931" s="325"/>
      <c r="D13931" s="326"/>
      <c r="E13931" s="326"/>
      <c r="F13931" s="326"/>
      <c r="G13931" s="326"/>
      <c r="H13931" s="326"/>
      <c r="P13931" s="318"/>
      <c r="Q13931" s="318"/>
      <c r="R13931" s="318"/>
      <c r="S13931" s="318"/>
      <c r="T13931" s="318"/>
      <c r="U13931" s="318"/>
      <c r="V13931" s="318"/>
      <c r="W13931" s="318"/>
      <c r="X13931" s="318"/>
      <c r="Y13931" s="318"/>
      <c r="Z13931" s="318"/>
      <c r="AA13931" s="318"/>
      <c r="AB13931" s="318"/>
      <c r="AC13931" s="318"/>
      <c r="AD13931" s="318"/>
    </row>
    <row r="13932" spans="2:30" s="323" customFormat="1" ht="12" customHeight="1">
      <c r="B13932" s="324"/>
      <c r="C13932" s="325"/>
      <c r="D13932" s="326"/>
      <c r="E13932" s="326"/>
      <c r="F13932" s="326"/>
      <c r="G13932" s="326"/>
      <c r="H13932" s="326"/>
      <c r="P13932" s="318"/>
      <c r="Q13932" s="318"/>
      <c r="R13932" s="318"/>
      <c r="S13932" s="318"/>
      <c r="T13932" s="318"/>
      <c r="U13932" s="318"/>
      <c r="V13932" s="318"/>
      <c r="W13932" s="318"/>
      <c r="X13932" s="318"/>
      <c r="Y13932" s="318"/>
      <c r="Z13932" s="318"/>
      <c r="AA13932" s="318"/>
      <c r="AB13932" s="318"/>
      <c r="AC13932" s="318"/>
      <c r="AD13932" s="318"/>
    </row>
    <row r="13933" spans="2:30" s="323" customFormat="1" ht="12" customHeight="1">
      <c r="B13933" s="324"/>
      <c r="C13933" s="325"/>
      <c r="D13933" s="326"/>
      <c r="E13933" s="326"/>
      <c r="F13933" s="326"/>
      <c r="G13933" s="326"/>
      <c r="H13933" s="326"/>
      <c r="P13933" s="318"/>
      <c r="Q13933" s="318"/>
      <c r="R13933" s="318"/>
      <c r="S13933" s="318"/>
      <c r="T13933" s="318"/>
      <c r="U13933" s="318"/>
      <c r="V13933" s="318"/>
      <c r="W13933" s="318"/>
      <c r="X13933" s="318"/>
      <c r="Y13933" s="318"/>
      <c r="Z13933" s="318"/>
      <c r="AA13933" s="318"/>
      <c r="AB13933" s="318"/>
      <c r="AC13933" s="318"/>
      <c r="AD13933" s="318"/>
    </row>
    <row r="13934" spans="2:30" s="323" customFormat="1" ht="12" customHeight="1">
      <c r="B13934" s="324"/>
      <c r="C13934" s="325"/>
      <c r="D13934" s="326"/>
      <c r="E13934" s="326"/>
      <c r="F13934" s="326"/>
      <c r="G13934" s="326"/>
      <c r="H13934" s="326"/>
      <c r="P13934" s="318"/>
      <c r="Q13934" s="318"/>
      <c r="R13934" s="318"/>
      <c r="S13934" s="318"/>
      <c r="T13934" s="318"/>
      <c r="U13934" s="318"/>
      <c r="V13934" s="318"/>
      <c r="W13934" s="318"/>
      <c r="X13934" s="318"/>
      <c r="Y13934" s="318"/>
      <c r="Z13934" s="318"/>
      <c r="AA13934" s="318"/>
      <c r="AB13934" s="318"/>
      <c r="AC13934" s="318"/>
      <c r="AD13934" s="318"/>
    </row>
    <row r="13935" spans="2:30" s="323" customFormat="1" ht="12" customHeight="1">
      <c r="B13935" s="324"/>
      <c r="C13935" s="325"/>
      <c r="D13935" s="326"/>
      <c r="E13935" s="326"/>
      <c r="F13935" s="326"/>
      <c r="G13935" s="326"/>
      <c r="H13935" s="326"/>
      <c r="P13935" s="318"/>
      <c r="Q13935" s="318"/>
      <c r="R13935" s="318"/>
      <c r="S13935" s="318"/>
      <c r="T13935" s="318"/>
      <c r="U13935" s="318"/>
      <c r="V13935" s="318"/>
      <c r="W13935" s="318"/>
      <c r="X13935" s="318"/>
      <c r="Y13935" s="318"/>
      <c r="Z13935" s="318"/>
      <c r="AA13935" s="318"/>
      <c r="AB13935" s="318"/>
      <c r="AC13935" s="318"/>
      <c r="AD13935" s="318"/>
    </row>
    <row r="13936" spans="2:30" s="323" customFormat="1" ht="12" customHeight="1">
      <c r="B13936" s="324"/>
      <c r="C13936" s="325"/>
      <c r="D13936" s="326"/>
      <c r="E13936" s="326"/>
      <c r="F13936" s="326"/>
      <c r="G13936" s="326"/>
      <c r="H13936" s="326"/>
      <c r="P13936" s="318"/>
      <c r="Q13936" s="318"/>
      <c r="R13936" s="318"/>
      <c r="S13936" s="318"/>
      <c r="T13936" s="318"/>
      <c r="U13936" s="318"/>
      <c r="V13936" s="318"/>
      <c r="W13936" s="318"/>
      <c r="X13936" s="318"/>
      <c r="Y13936" s="318"/>
      <c r="Z13936" s="318"/>
      <c r="AA13936" s="318"/>
      <c r="AB13936" s="318"/>
      <c r="AC13936" s="318"/>
      <c r="AD13936" s="318"/>
    </row>
    <row r="13937" spans="2:30" s="323" customFormat="1" ht="12" customHeight="1">
      <c r="B13937" s="324"/>
      <c r="C13937" s="325"/>
      <c r="D13937" s="326"/>
      <c r="E13937" s="326"/>
      <c r="F13937" s="326"/>
      <c r="G13937" s="326"/>
      <c r="H13937" s="326"/>
      <c r="P13937" s="318"/>
      <c r="Q13937" s="318"/>
      <c r="R13937" s="318"/>
      <c r="S13937" s="318"/>
      <c r="T13937" s="318"/>
      <c r="U13937" s="318"/>
      <c r="V13937" s="318"/>
      <c r="W13937" s="318"/>
      <c r="X13937" s="318"/>
      <c r="Y13937" s="318"/>
      <c r="Z13937" s="318"/>
      <c r="AA13937" s="318"/>
      <c r="AB13937" s="318"/>
      <c r="AC13937" s="318"/>
      <c r="AD13937" s="318"/>
    </row>
    <row r="13938" spans="2:30" s="323" customFormat="1" ht="12" customHeight="1">
      <c r="B13938" s="324"/>
      <c r="C13938" s="325"/>
      <c r="D13938" s="326"/>
      <c r="E13938" s="326"/>
      <c r="F13938" s="326"/>
      <c r="G13938" s="326"/>
      <c r="H13938" s="326"/>
      <c r="P13938" s="318"/>
      <c r="Q13938" s="318"/>
      <c r="R13938" s="318"/>
      <c r="S13938" s="318"/>
      <c r="T13938" s="318"/>
      <c r="U13938" s="318"/>
      <c r="V13938" s="318"/>
      <c r="W13938" s="318"/>
      <c r="X13938" s="318"/>
      <c r="Y13938" s="318"/>
      <c r="Z13938" s="318"/>
      <c r="AA13938" s="318"/>
      <c r="AB13938" s="318"/>
      <c r="AC13938" s="318"/>
      <c r="AD13938" s="318"/>
    </row>
    <row r="13939" spans="2:30" s="323" customFormat="1" ht="12" customHeight="1">
      <c r="B13939" s="324"/>
      <c r="C13939" s="325"/>
      <c r="D13939" s="326"/>
      <c r="E13939" s="326"/>
      <c r="F13939" s="326"/>
      <c r="G13939" s="326"/>
      <c r="H13939" s="326"/>
      <c r="P13939" s="318"/>
      <c r="Q13939" s="318"/>
      <c r="R13939" s="318"/>
      <c r="S13939" s="318"/>
      <c r="T13939" s="318"/>
      <c r="U13939" s="318"/>
      <c r="V13939" s="318"/>
      <c r="W13939" s="318"/>
      <c r="X13939" s="318"/>
      <c r="Y13939" s="318"/>
      <c r="Z13939" s="318"/>
      <c r="AA13939" s="318"/>
      <c r="AB13939" s="318"/>
      <c r="AC13939" s="318"/>
      <c r="AD13939" s="318"/>
    </row>
    <row r="13940" spans="2:30" s="323" customFormat="1" ht="12" customHeight="1">
      <c r="B13940" s="324"/>
      <c r="C13940" s="325"/>
      <c r="D13940" s="326"/>
      <c r="E13940" s="326"/>
      <c r="F13940" s="326"/>
      <c r="G13940" s="326"/>
      <c r="H13940" s="326"/>
      <c r="P13940" s="318"/>
      <c r="Q13940" s="318"/>
      <c r="R13940" s="318"/>
      <c r="S13940" s="318"/>
      <c r="T13940" s="318"/>
      <c r="U13940" s="318"/>
      <c r="V13940" s="318"/>
      <c r="W13940" s="318"/>
      <c r="X13940" s="318"/>
      <c r="Y13940" s="318"/>
      <c r="Z13940" s="318"/>
      <c r="AA13940" s="318"/>
      <c r="AB13940" s="318"/>
      <c r="AC13940" s="318"/>
      <c r="AD13940" s="318"/>
    </row>
    <row r="13941" spans="2:30" s="323" customFormat="1" ht="12" customHeight="1">
      <c r="B13941" s="324"/>
      <c r="C13941" s="325"/>
      <c r="D13941" s="326"/>
      <c r="E13941" s="326"/>
      <c r="F13941" s="326"/>
      <c r="G13941" s="326"/>
      <c r="H13941" s="326"/>
      <c r="P13941" s="318"/>
      <c r="Q13941" s="318"/>
      <c r="R13941" s="318"/>
      <c r="S13941" s="318"/>
      <c r="T13941" s="318"/>
      <c r="U13941" s="318"/>
      <c r="V13941" s="318"/>
      <c r="W13941" s="318"/>
      <c r="X13941" s="318"/>
      <c r="Y13941" s="318"/>
      <c r="Z13941" s="318"/>
      <c r="AA13941" s="318"/>
      <c r="AB13941" s="318"/>
      <c r="AC13941" s="318"/>
      <c r="AD13941" s="318"/>
    </row>
    <row r="13942" spans="2:30" s="323" customFormat="1" ht="12" customHeight="1">
      <c r="B13942" s="324"/>
      <c r="C13942" s="325"/>
      <c r="D13942" s="326"/>
      <c r="E13942" s="326"/>
      <c r="F13942" s="326"/>
      <c r="G13942" s="326"/>
      <c r="H13942" s="326"/>
      <c r="P13942" s="318"/>
      <c r="Q13942" s="318"/>
      <c r="R13942" s="318"/>
      <c r="S13942" s="318"/>
      <c r="T13942" s="318"/>
      <c r="U13942" s="318"/>
      <c r="V13942" s="318"/>
      <c r="W13942" s="318"/>
      <c r="X13942" s="318"/>
      <c r="Y13942" s="318"/>
      <c r="Z13942" s="318"/>
      <c r="AA13942" s="318"/>
      <c r="AB13942" s="318"/>
      <c r="AC13942" s="318"/>
      <c r="AD13942" s="318"/>
    </row>
    <row r="13943" spans="2:30" s="323" customFormat="1" ht="12" customHeight="1">
      <c r="B13943" s="324"/>
      <c r="C13943" s="325"/>
      <c r="D13943" s="326"/>
      <c r="E13943" s="326"/>
      <c r="F13943" s="326"/>
      <c r="G13943" s="326"/>
      <c r="H13943" s="326"/>
      <c r="P13943" s="318"/>
      <c r="Q13943" s="318"/>
      <c r="R13943" s="318"/>
      <c r="S13943" s="318"/>
      <c r="T13943" s="318"/>
      <c r="U13943" s="318"/>
      <c r="V13943" s="318"/>
      <c r="W13943" s="318"/>
      <c r="X13943" s="318"/>
      <c r="Y13943" s="318"/>
      <c r="Z13943" s="318"/>
      <c r="AA13943" s="318"/>
      <c r="AB13943" s="318"/>
      <c r="AC13943" s="318"/>
      <c r="AD13943" s="318"/>
    </row>
    <row r="13944" spans="2:30" s="323" customFormat="1" ht="12" customHeight="1">
      <c r="B13944" s="324"/>
      <c r="C13944" s="325"/>
      <c r="D13944" s="326"/>
      <c r="E13944" s="326"/>
      <c r="F13944" s="326"/>
      <c r="G13944" s="326"/>
      <c r="H13944" s="326"/>
      <c r="P13944" s="318"/>
      <c r="Q13944" s="318"/>
      <c r="R13944" s="318"/>
      <c r="S13944" s="318"/>
      <c r="T13944" s="318"/>
      <c r="U13944" s="318"/>
      <c r="V13944" s="318"/>
      <c r="W13944" s="318"/>
      <c r="X13944" s="318"/>
      <c r="Y13944" s="318"/>
      <c r="Z13944" s="318"/>
      <c r="AA13944" s="318"/>
      <c r="AB13944" s="318"/>
      <c r="AC13944" s="318"/>
      <c r="AD13944" s="318"/>
    </row>
    <row r="13945" spans="2:30" s="323" customFormat="1" ht="12" customHeight="1">
      <c r="B13945" s="324"/>
      <c r="C13945" s="325"/>
      <c r="D13945" s="326"/>
      <c r="E13945" s="326"/>
      <c r="F13945" s="326"/>
      <c r="G13945" s="326"/>
      <c r="H13945" s="326"/>
      <c r="P13945" s="318"/>
      <c r="Q13945" s="318"/>
      <c r="R13945" s="318"/>
      <c r="S13945" s="318"/>
      <c r="T13945" s="318"/>
      <c r="U13945" s="318"/>
      <c r="V13945" s="318"/>
      <c r="W13945" s="318"/>
      <c r="X13945" s="318"/>
      <c r="Y13945" s="318"/>
      <c r="Z13945" s="318"/>
      <c r="AA13945" s="318"/>
      <c r="AB13945" s="318"/>
      <c r="AC13945" s="318"/>
      <c r="AD13945" s="318"/>
    </row>
    <row r="13946" spans="2:30" s="323" customFormat="1" ht="12" customHeight="1">
      <c r="B13946" s="324"/>
      <c r="C13946" s="325"/>
      <c r="D13946" s="326"/>
      <c r="E13946" s="326"/>
      <c r="F13946" s="326"/>
      <c r="G13946" s="326"/>
      <c r="H13946" s="326"/>
      <c r="P13946" s="318"/>
      <c r="Q13946" s="318"/>
      <c r="R13946" s="318"/>
      <c r="S13946" s="318"/>
      <c r="T13946" s="318"/>
      <c r="U13946" s="318"/>
      <c r="V13946" s="318"/>
      <c r="W13946" s="318"/>
      <c r="X13946" s="318"/>
      <c r="Y13946" s="318"/>
      <c r="Z13946" s="318"/>
      <c r="AA13946" s="318"/>
      <c r="AB13946" s="318"/>
      <c r="AC13946" s="318"/>
      <c r="AD13946" s="318"/>
    </row>
    <row r="13947" spans="2:30" s="323" customFormat="1" ht="12" customHeight="1">
      <c r="B13947" s="324"/>
      <c r="C13947" s="325"/>
      <c r="D13947" s="326"/>
      <c r="E13947" s="326"/>
      <c r="F13947" s="326"/>
      <c r="G13947" s="326"/>
      <c r="H13947" s="326"/>
      <c r="P13947" s="318"/>
      <c r="Q13947" s="318"/>
      <c r="R13947" s="318"/>
      <c r="S13947" s="318"/>
      <c r="T13947" s="318"/>
      <c r="U13947" s="318"/>
      <c r="V13947" s="318"/>
      <c r="W13947" s="318"/>
      <c r="X13947" s="318"/>
      <c r="Y13947" s="318"/>
      <c r="Z13947" s="318"/>
      <c r="AA13947" s="318"/>
      <c r="AB13947" s="318"/>
      <c r="AC13947" s="318"/>
      <c r="AD13947" s="318"/>
    </row>
    <row r="13948" spans="2:30" s="323" customFormat="1" ht="12" customHeight="1">
      <c r="B13948" s="324"/>
      <c r="C13948" s="325"/>
      <c r="D13948" s="326"/>
      <c r="E13948" s="326"/>
      <c r="F13948" s="326"/>
      <c r="G13948" s="326"/>
      <c r="H13948" s="326"/>
      <c r="P13948" s="318"/>
      <c r="Q13948" s="318"/>
      <c r="R13948" s="318"/>
      <c r="S13948" s="318"/>
      <c r="T13948" s="318"/>
      <c r="U13948" s="318"/>
      <c r="V13948" s="318"/>
      <c r="W13948" s="318"/>
      <c r="X13948" s="318"/>
      <c r="Y13948" s="318"/>
      <c r="Z13948" s="318"/>
      <c r="AA13948" s="318"/>
      <c r="AB13948" s="318"/>
      <c r="AC13948" s="318"/>
      <c r="AD13948" s="318"/>
    </row>
    <row r="13949" spans="2:30" s="323" customFormat="1" ht="12" customHeight="1">
      <c r="B13949" s="324"/>
      <c r="C13949" s="325"/>
      <c r="D13949" s="326"/>
      <c r="E13949" s="326"/>
      <c r="F13949" s="326"/>
      <c r="G13949" s="326"/>
      <c r="H13949" s="326"/>
      <c r="P13949" s="318"/>
      <c r="Q13949" s="318"/>
      <c r="R13949" s="318"/>
      <c r="S13949" s="318"/>
      <c r="T13949" s="318"/>
      <c r="U13949" s="318"/>
      <c r="V13949" s="318"/>
      <c r="W13949" s="318"/>
      <c r="X13949" s="318"/>
      <c r="Y13949" s="318"/>
      <c r="Z13949" s="318"/>
      <c r="AA13949" s="318"/>
      <c r="AB13949" s="318"/>
      <c r="AC13949" s="318"/>
      <c r="AD13949" s="318"/>
    </row>
    <row r="13950" spans="2:30" s="323" customFormat="1" ht="12" customHeight="1">
      <c r="B13950" s="324"/>
      <c r="C13950" s="325"/>
      <c r="D13950" s="326"/>
      <c r="E13950" s="326"/>
      <c r="F13950" s="326"/>
      <c r="G13950" s="326"/>
      <c r="H13950" s="326"/>
      <c r="P13950" s="318"/>
      <c r="Q13950" s="318"/>
      <c r="R13950" s="318"/>
      <c r="S13950" s="318"/>
      <c r="T13950" s="318"/>
      <c r="U13950" s="318"/>
      <c r="V13950" s="318"/>
      <c r="W13950" s="318"/>
      <c r="X13950" s="318"/>
      <c r="Y13950" s="318"/>
      <c r="Z13950" s="318"/>
      <c r="AA13950" s="318"/>
      <c r="AB13950" s="318"/>
      <c r="AC13950" s="318"/>
      <c r="AD13950" s="318"/>
    </row>
    <row r="13951" spans="2:30" s="323" customFormat="1" ht="12" customHeight="1">
      <c r="B13951" s="324"/>
      <c r="C13951" s="325"/>
      <c r="D13951" s="326"/>
      <c r="E13951" s="326"/>
      <c r="F13951" s="326"/>
      <c r="G13951" s="326"/>
      <c r="H13951" s="326"/>
      <c r="P13951" s="318"/>
      <c r="Q13951" s="318"/>
      <c r="R13951" s="318"/>
      <c r="S13951" s="318"/>
      <c r="T13951" s="318"/>
      <c r="U13951" s="318"/>
      <c r="V13951" s="318"/>
      <c r="W13951" s="318"/>
      <c r="X13951" s="318"/>
      <c r="Y13951" s="318"/>
      <c r="Z13951" s="318"/>
      <c r="AA13951" s="318"/>
      <c r="AB13951" s="318"/>
      <c r="AC13951" s="318"/>
      <c r="AD13951" s="318"/>
    </row>
    <row r="13952" spans="2:30" s="323" customFormat="1" ht="12" customHeight="1">
      <c r="B13952" s="324"/>
      <c r="C13952" s="325"/>
      <c r="D13952" s="326"/>
      <c r="E13952" s="326"/>
      <c r="F13952" s="326"/>
      <c r="G13952" s="326"/>
      <c r="H13952" s="326"/>
      <c r="P13952" s="318"/>
      <c r="Q13952" s="318"/>
      <c r="R13952" s="318"/>
      <c r="S13952" s="318"/>
      <c r="T13952" s="318"/>
      <c r="U13952" s="318"/>
      <c r="V13952" s="318"/>
      <c r="W13952" s="318"/>
      <c r="X13952" s="318"/>
      <c r="Y13952" s="318"/>
      <c r="Z13952" s="318"/>
      <c r="AA13952" s="318"/>
      <c r="AB13952" s="318"/>
      <c r="AC13952" s="318"/>
      <c r="AD13952" s="318"/>
    </row>
    <row r="13953" spans="2:30" s="323" customFormat="1" ht="12" customHeight="1">
      <c r="B13953" s="324"/>
      <c r="C13953" s="325"/>
      <c r="D13953" s="326"/>
      <c r="E13953" s="326"/>
      <c r="F13953" s="326"/>
      <c r="G13953" s="326"/>
      <c r="H13953" s="326"/>
      <c r="P13953" s="318"/>
      <c r="Q13953" s="318"/>
      <c r="R13953" s="318"/>
      <c r="S13953" s="318"/>
      <c r="T13953" s="318"/>
      <c r="U13953" s="318"/>
      <c r="V13953" s="318"/>
      <c r="W13953" s="318"/>
      <c r="X13953" s="318"/>
      <c r="Y13953" s="318"/>
      <c r="Z13953" s="318"/>
      <c r="AA13953" s="318"/>
      <c r="AB13953" s="318"/>
      <c r="AC13953" s="318"/>
      <c r="AD13953" s="318"/>
    </row>
    <row r="13954" spans="2:30" s="323" customFormat="1" ht="12" customHeight="1">
      <c r="B13954" s="324"/>
      <c r="C13954" s="325"/>
      <c r="D13954" s="326"/>
      <c r="E13954" s="326"/>
      <c r="F13954" s="326"/>
      <c r="G13954" s="326"/>
      <c r="H13954" s="326"/>
      <c r="P13954" s="318"/>
      <c r="Q13954" s="318"/>
      <c r="R13954" s="318"/>
      <c r="S13954" s="318"/>
      <c r="T13954" s="318"/>
      <c r="U13954" s="318"/>
      <c r="V13954" s="318"/>
      <c r="W13954" s="318"/>
      <c r="X13954" s="318"/>
      <c r="Y13954" s="318"/>
      <c r="Z13954" s="318"/>
      <c r="AA13954" s="318"/>
      <c r="AB13954" s="318"/>
      <c r="AC13954" s="318"/>
      <c r="AD13954" s="318"/>
    </row>
    <row r="13955" spans="2:30" s="323" customFormat="1" ht="12" customHeight="1">
      <c r="B13955" s="324"/>
      <c r="C13955" s="325"/>
      <c r="D13955" s="326"/>
      <c r="E13955" s="326"/>
      <c r="F13955" s="326"/>
      <c r="G13955" s="326"/>
      <c r="H13955" s="326"/>
      <c r="P13955" s="318"/>
      <c r="Q13955" s="318"/>
      <c r="R13955" s="318"/>
      <c r="S13955" s="318"/>
      <c r="T13955" s="318"/>
      <c r="U13955" s="318"/>
      <c r="V13955" s="318"/>
      <c r="W13955" s="318"/>
      <c r="X13955" s="318"/>
      <c r="Y13955" s="318"/>
      <c r="Z13955" s="318"/>
      <c r="AA13955" s="318"/>
      <c r="AB13955" s="318"/>
      <c r="AC13955" s="318"/>
      <c r="AD13955" s="318"/>
    </row>
    <row r="13956" spans="2:30" s="323" customFormat="1" ht="12" customHeight="1">
      <c r="B13956" s="324"/>
      <c r="C13956" s="325"/>
      <c r="D13956" s="326"/>
      <c r="E13956" s="326"/>
      <c r="F13956" s="326"/>
      <c r="G13956" s="326"/>
      <c r="H13956" s="326"/>
      <c r="P13956" s="318"/>
      <c r="Q13956" s="318"/>
      <c r="R13956" s="318"/>
      <c r="S13956" s="318"/>
      <c r="T13956" s="318"/>
      <c r="U13956" s="318"/>
      <c r="V13956" s="318"/>
      <c r="W13956" s="318"/>
      <c r="X13956" s="318"/>
      <c r="Y13956" s="318"/>
      <c r="Z13956" s="318"/>
      <c r="AA13956" s="318"/>
      <c r="AB13956" s="318"/>
      <c r="AC13956" s="318"/>
      <c r="AD13956" s="318"/>
    </row>
    <row r="13957" spans="2:30" s="323" customFormat="1" ht="12" customHeight="1">
      <c r="B13957" s="324"/>
      <c r="C13957" s="325"/>
      <c r="D13957" s="326"/>
      <c r="E13957" s="326"/>
      <c r="F13957" s="326"/>
      <c r="G13957" s="326"/>
      <c r="H13957" s="326"/>
      <c r="P13957" s="318"/>
      <c r="Q13957" s="318"/>
      <c r="R13957" s="318"/>
      <c r="S13957" s="318"/>
      <c r="T13957" s="318"/>
      <c r="U13957" s="318"/>
      <c r="V13957" s="318"/>
      <c r="W13957" s="318"/>
      <c r="X13957" s="318"/>
      <c r="Y13957" s="318"/>
      <c r="Z13957" s="318"/>
      <c r="AA13957" s="318"/>
      <c r="AB13957" s="318"/>
      <c r="AC13957" s="318"/>
      <c r="AD13957" s="318"/>
    </row>
    <row r="13958" spans="2:30" s="323" customFormat="1" ht="12" customHeight="1">
      <c r="B13958" s="324"/>
      <c r="C13958" s="325"/>
      <c r="D13958" s="326"/>
      <c r="E13958" s="326"/>
      <c r="F13958" s="326"/>
      <c r="G13958" s="326"/>
      <c r="H13958" s="326"/>
      <c r="P13958" s="318"/>
      <c r="Q13958" s="318"/>
      <c r="R13958" s="318"/>
      <c r="S13958" s="318"/>
      <c r="T13958" s="318"/>
      <c r="U13958" s="318"/>
      <c r="V13958" s="318"/>
      <c r="W13958" s="318"/>
      <c r="X13958" s="318"/>
      <c r="Y13958" s="318"/>
      <c r="Z13958" s="318"/>
      <c r="AA13958" s="318"/>
      <c r="AB13958" s="318"/>
      <c r="AC13958" s="318"/>
      <c r="AD13958" s="318"/>
    </row>
    <row r="13959" spans="2:30" s="323" customFormat="1" ht="12" customHeight="1">
      <c r="B13959" s="324"/>
      <c r="C13959" s="325"/>
      <c r="D13959" s="326"/>
      <c r="E13959" s="326"/>
      <c r="F13959" s="326"/>
      <c r="G13959" s="326"/>
      <c r="H13959" s="326"/>
      <c r="P13959" s="318"/>
      <c r="Q13959" s="318"/>
      <c r="R13959" s="318"/>
      <c r="S13959" s="318"/>
      <c r="T13959" s="318"/>
      <c r="U13959" s="318"/>
      <c r="V13959" s="318"/>
      <c r="W13959" s="318"/>
      <c r="X13959" s="318"/>
      <c r="Y13959" s="318"/>
      <c r="Z13959" s="318"/>
      <c r="AA13959" s="318"/>
      <c r="AB13959" s="318"/>
      <c r="AC13959" s="318"/>
      <c r="AD13959" s="318"/>
    </row>
    <row r="13960" spans="2:30" s="323" customFormat="1" ht="12" customHeight="1">
      <c r="B13960" s="324"/>
      <c r="C13960" s="325"/>
      <c r="D13960" s="326"/>
      <c r="E13960" s="326"/>
      <c r="F13960" s="326"/>
      <c r="G13960" s="326"/>
      <c r="H13960" s="326"/>
      <c r="P13960" s="318"/>
      <c r="Q13960" s="318"/>
      <c r="R13960" s="318"/>
      <c r="S13960" s="318"/>
      <c r="T13960" s="318"/>
      <c r="U13960" s="318"/>
      <c r="V13960" s="318"/>
      <c r="W13960" s="318"/>
      <c r="X13960" s="318"/>
      <c r="Y13960" s="318"/>
      <c r="Z13960" s="318"/>
      <c r="AA13960" s="318"/>
      <c r="AB13960" s="318"/>
      <c r="AC13960" s="318"/>
      <c r="AD13960" s="318"/>
    </row>
    <row r="13961" spans="2:30" s="323" customFormat="1" ht="12" customHeight="1">
      <c r="B13961" s="324"/>
      <c r="C13961" s="325"/>
      <c r="D13961" s="326"/>
      <c r="E13961" s="326"/>
      <c r="F13961" s="326"/>
      <c r="G13961" s="326"/>
      <c r="H13961" s="326"/>
      <c r="P13961" s="318"/>
      <c r="Q13961" s="318"/>
      <c r="R13961" s="318"/>
      <c r="S13961" s="318"/>
      <c r="T13961" s="318"/>
      <c r="U13961" s="318"/>
      <c r="V13961" s="318"/>
      <c r="W13961" s="318"/>
      <c r="X13961" s="318"/>
      <c r="Y13961" s="318"/>
      <c r="Z13961" s="318"/>
      <c r="AA13961" s="318"/>
      <c r="AB13961" s="318"/>
      <c r="AC13961" s="318"/>
      <c r="AD13961" s="318"/>
    </row>
    <row r="13962" spans="2:30" s="323" customFormat="1" ht="12" customHeight="1">
      <c r="B13962" s="324"/>
      <c r="C13962" s="325"/>
      <c r="D13962" s="326"/>
      <c r="E13962" s="326"/>
      <c r="F13962" s="326"/>
      <c r="G13962" s="326"/>
      <c r="H13962" s="326"/>
      <c r="P13962" s="318"/>
      <c r="Q13962" s="318"/>
      <c r="R13962" s="318"/>
      <c r="S13962" s="318"/>
      <c r="T13962" s="318"/>
      <c r="U13962" s="318"/>
      <c r="V13962" s="318"/>
      <c r="W13962" s="318"/>
      <c r="X13962" s="318"/>
      <c r="Y13962" s="318"/>
      <c r="Z13962" s="318"/>
      <c r="AA13962" s="318"/>
      <c r="AB13962" s="318"/>
      <c r="AC13962" s="318"/>
      <c r="AD13962" s="318"/>
    </row>
    <row r="13963" spans="2:30" s="323" customFormat="1" ht="12" customHeight="1">
      <c r="B13963" s="324"/>
      <c r="C13963" s="325"/>
      <c r="D13963" s="326"/>
      <c r="E13963" s="326"/>
      <c r="F13963" s="326"/>
      <c r="G13963" s="326"/>
      <c r="H13963" s="326"/>
      <c r="P13963" s="318"/>
      <c r="Q13963" s="318"/>
      <c r="R13963" s="318"/>
      <c r="S13963" s="318"/>
      <c r="T13963" s="318"/>
      <c r="U13963" s="318"/>
      <c r="V13963" s="318"/>
      <c r="W13963" s="318"/>
      <c r="X13963" s="318"/>
      <c r="Y13963" s="318"/>
      <c r="Z13963" s="318"/>
      <c r="AA13963" s="318"/>
      <c r="AB13963" s="318"/>
      <c r="AC13963" s="318"/>
      <c r="AD13963" s="318"/>
    </row>
    <row r="13964" spans="2:30" s="323" customFormat="1" ht="12" customHeight="1">
      <c r="B13964" s="324"/>
      <c r="C13964" s="325"/>
      <c r="D13964" s="326"/>
      <c r="E13964" s="326"/>
      <c r="F13964" s="326"/>
      <c r="G13964" s="326"/>
      <c r="H13964" s="326"/>
      <c r="P13964" s="318"/>
      <c r="Q13964" s="318"/>
      <c r="R13964" s="318"/>
      <c r="S13964" s="318"/>
      <c r="T13964" s="318"/>
      <c r="U13964" s="318"/>
      <c r="V13964" s="318"/>
      <c r="W13964" s="318"/>
      <c r="X13964" s="318"/>
      <c r="Y13964" s="318"/>
      <c r="Z13964" s="318"/>
      <c r="AA13964" s="318"/>
      <c r="AB13964" s="318"/>
      <c r="AC13964" s="318"/>
      <c r="AD13964" s="318"/>
    </row>
    <row r="13965" spans="2:30" s="323" customFormat="1" ht="12" customHeight="1">
      <c r="B13965" s="324"/>
      <c r="C13965" s="325"/>
      <c r="D13965" s="326"/>
      <c r="E13965" s="326"/>
      <c r="F13965" s="326"/>
      <c r="G13965" s="326"/>
      <c r="H13965" s="326"/>
      <c r="P13965" s="318"/>
      <c r="Q13965" s="318"/>
      <c r="R13965" s="318"/>
      <c r="S13965" s="318"/>
      <c r="T13965" s="318"/>
      <c r="U13965" s="318"/>
      <c r="V13965" s="318"/>
      <c r="W13965" s="318"/>
      <c r="X13965" s="318"/>
      <c r="Y13965" s="318"/>
      <c r="Z13965" s="318"/>
      <c r="AA13965" s="318"/>
      <c r="AB13965" s="318"/>
      <c r="AC13965" s="318"/>
      <c r="AD13965" s="318"/>
    </row>
    <row r="13966" spans="2:30" s="323" customFormat="1" ht="12" customHeight="1">
      <c r="B13966" s="324"/>
      <c r="C13966" s="325"/>
      <c r="D13966" s="326"/>
      <c r="E13966" s="326"/>
      <c r="F13966" s="326"/>
      <c r="G13966" s="326"/>
      <c r="H13966" s="326"/>
      <c r="P13966" s="318"/>
      <c r="Q13966" s="318"/>
      <c r="R13966" s="318"/>
      <c r="S13966" s="318"/>
      <c r="T13966" s="318"/>
      <c r="U13966" s="318"/>
      <c r="V13966" s="318"/>
      <c r="W13966" s="318"/>
      <c r="X13966" s="318"/>
      <c r="Y13966" s="318"/>
      <c r="Z13966" s="318"/>
      <c r="AA13966" s="318"/>
      <c r="AB13966" s="318"/>
      <c r="AC13966" s="318"/>
      <c r="AD13966" s="318"/>
    </row>
    <row r="13967" spans="2:30" s="323" customFormat="1" ht="12" customHeight="1">
      <c r="B13967" s="324"/>
      <c r="C13967" s="325"/>
      <c r="D13967" s="326"/>
      <c r="E13967" s="326"/>
      <c r="F13967" s="326"/>
      <c r="G13967" s="326"/>
      <c r="H13967" s="326"/>
      <c r="P13967" s="318"/>
      <c r="Q13967" s="318"/>
      <c r="R13967" s="318"/>
      <c r="S13967" s="318"/>
      <c r="T13967" s="318"/>
      <c r="U13967" s="318"/>
      <c r="V13967" s="318"/>
      <c r="W13967" s="318"/>
      <c r="X13967" s="318"/>
      <c r="Y13967" s="318"/>
      <c r="Z13967" s="318"/>
      <c r="AA13967" s="318"/>
      <c r="AB13967" s="318"/>
      <c r="AC13967" s="318"/>
      <c r="AD13967" s="318"/>
    </row>
    <row r="13968" spans="2:30" s="323" customFormat="1" ht="12" customHeight="1">
      <c r="B13968" s="324"/>
      <c r="C13968" s="325"/>
      <c r="D13968" s="326"/>
      <c r="E13968" s="326"/>
      <c r="F13968" s="326"/>
      <c r="G13968" s="326"/>
      <c r="H13968" s="326"/>
      <c r="P13968" s="318"/>
      <c r="Q13968" s="318"/>
      <c r="R13968" s="318"/>
      <c r="S13968" s="318"/>
      <c r="T13968" s="318"/>
      <c r="U13968" s="318"/>
      <c r="V13968" s="318"/>
      <c r="W13968" s="318"/>
      <c r="X13968" s="318"/>
      <c r="Y13968" s="318"/>
      <c r="Z13968" s="318"/>
      <c r="AA13968" s="318"/>
      <c r="AB13968" s="318"/>
      <c r="AC13968" s="318"/>
      <c r="AD13968" s="318"/>
    </row>
    <row r="13969" spans="2:30" s="323" customFormat="1" ht="12" customHeight="1">
      <c r="B13969" s="324"/>
      <c r="C13969" s="325"/>
      <c r="D13969" s="326"/>
      <c r="E13969" s="326"/>
      <c r="F13969" s="326"/>
      <c r="G13969" s="326"/>
      <c r="H13969" s="326"/>
      <c r="P13969" s="318"/>
      <c r="Q13969" s="318"/>
      <c r="R13969" s="318"/>
      <c r="S13969" s="318"/>
      <c r="T13969" s="318"/>
      <c r="U13969" s="318"/>
      <c r="V13969" s="318"/>
      <c r="W13969" s="318"/>
      <c r="X13969" s="318"/>
      <c r="Y13969" s="318"/>
      <c r="Z13969" s="318"/>
      <c r="AA13969" s="318"/>
      <c r="AB13969" s="318"/>
      <c r="AC13969" s="318"/>
      <c r="AD13969" s="318"/>
    </row>
    <row r="13970" spans="2:30" s="323" customFormat="1" ht="12" customHeight="1">
      <c r="B13970" s="324"/>
      <c r="C13970" s="325"/>
      <c r="D13970" s="326"/>
      <c r="E13970" s="326"/>
      <c r="F13970" s="326"/>
      <c r="G13970" s="326"/>
      <c r="H13970" s="326"/>
      <c r="P13970" s="318"/>
      <c r="Q13970" s="318"/>
      <c r="R13970" s="318"/>
      <c r="S13970" s="318"/>
      <c r="T13970" s="318"/>
      <c r="U13970" s="318"/>
      <c r="V13970" s="318"/>
      <c r="W13970" s="318"/>
      <c r="X13970" s="318"/>
      <c r="Y13970" s="318"/>
      <c r="Z13970" s="318"/>
      <c r="AA13970" s="318"/>
      <c r="AB13970" s="318"/>
      <c r="AC13970" s="318"/>
      <c r="AD13970" s="318"/>
    </row>
    <row r="13971" spans="2:30" s="323" customFormat="1" ht="12" customHeight="1">
      <c r="B13971" s="324"/>
      <c r="C13971" s="325"/>
      <c r="D13971" s="326"/>
      <c r="E13971" s="326"/>
      <c r="F13971" s="326"/>
      <c r="G13971" s="326"/>
      <c r="H13971" s="326"/>
      <c r="P13971" s="318"/>
      <c r="Q13971" s="318"/>
      <c r="R13971" s="318"/>
      <c r="S13971" s="318"/>
      <c r="T13971" s="318"/>
      <c r="U13971" s="318"/>
      <c r="V13971" s="318"/>
      <c r="W13971" s="318"/>
      <c r="X13971" s="318"/>
      <c r="Y13971" s="318"/>
      <c r="Z13971" s="318"/>
      <c r="AA13971" s="318"/>
      <c r="AB13971" s="318"/>
      <c r="AC13971" s="318"/>
      <c r="AD13971" s="318"/>
    </row>
    <row r="13972" spans="2:30" s="323" customFormat="1" ht="12" customHeight="1">
      <c r="B13972" s="324"/>
      <c r="C13972" s="325"/>
      <c r="D13972" s="326"/>
      <c r="E13972" s="326"/>
      <c r="F13972" s="326"/>
      <c r="G13972" s="326"/>
      <c r="H13972" s="326"/>
      <c r="P13972" s="318"/>
      <c r="Q13972" s="318"/>
      <c r="R13972" s="318"/>
      <c r="S13972" s="318"/>
      <c r="T13972" s="318"/>
      <c r="U13972" s="318"/>
      <c r="V13972" s="318"/>
      <c r="W13972" s="318"/>
      <c r="X13972" s="318"/>
      <c r="Y13972" s="318"/>
      <c r="Z13972" s="318"/>
      <c r="AA13972" s="318"/>
      <c r="AB13972" s="318"/>
      <c r="AC13972" s="318"/>
      <c r="AD13972" s="318"/>
    </row>
    <row r="13973" spans="2:30" s="323" customFormat="1" ht="12" customHeight="1">
      <c r="B13973" s="324"/>
      <c r="C13973" s="325"/>
      <c r="D13973" s="326"/>
      <c r="E13973" s="326"/>
      <c r="F13973" s="326"/>
      <c r="G13973" s="326"/>
      <c r="H13973" s="326"/>
      <c r="P13973" s="318"/>
      <c r="Q13973" s="318"/>
      <c r="R13973" s="318"/>
      <c r="S13973" s="318"/>
      <c r="T13973" s="318"/>
      <c r="U13973" s="318"/>
      <c r="V13973" s="318"/>
      <c r="W13973" s="318"/>
      <c r="X13973" s="318"/>
      <c r="Y13973" s="318"/>
      <c r="Z13973" s="318"/>
      <c r="AA13973" s="318"/>
      <c r="AB13973" s="318"/>
      <c r="AC13973" s="318"/>
      <c r="AD13973" s="318"/>
    </row>
    <row r="13974" spans="2:30" s="323" customFormat="1" ht="12" customHeight="1">
      <c r="B13974" s="324"/>
      <c r="C13974" s="325"/>
      <c r="D13974" s="326"/>
      <c r="E13974" s="326"/>
      <c r="F13974" s="326"/>
      <c r="G13974" s="326"/>
      <c r="H13974" s="326"/>
      <c r="P13974" s="318"/>
      <c r="Q13974" s="318"/>
      <c r="R13974" s="318"/>
      <c r="S13974" s="318"/>
      <c r="T13974" s="318"/>
      <c r="U13974" s="318"/>
      <c r="V13974" s="318"/>
      <c r="W13974" s="318"/>
      <c r="X13974" s="318"/>
      <c r="Y13974" s="318"/>
      <c r="Z13974" s="318"/>
      <c r="AA13974" s="318"/>
      <c r="AB13974" s="318"/>
      <c r="AC13974" s="318"/>
      <c r="AD13974" s="318"/>
    </row>
    <row r="13975" spans="2:30" s="323" customFormat="1" ht="12" customHeight="1">
      <c r="B13975" s="324"/>
      <c r="C13975" s="325"/>
      <c r="D13975" s="326"/>
      <c r="E13975" s="326"/>
      <c r="F13975" s="326"/>
      <c r="G13975" s="326"/>
      <c r="H13975" s="326"/>
      <c r="P13975" s="318"/>
      <c r="Q13975" s="318"/>
      <c r="R13975" s="318"/>
      <c r="S13975" s="318"/>
      <c r="T13975" s="318"/>
      <c r="U13975" s="318"/>
      <c r="V13975" s="318"/>
      <c r="W13975" s="318"/>
      <c r="X13975" s="318"/>
      <c r="Y13975" s="318"/>
      <c r="Z13975" s="318"/>
      <c r="AA13975" s="318"/>
      <c r="AB13975" s="318"/>
      <c r="AC13975" s="318"/>
      <c r="AD13975" s="318"/>
    </row>
    <row r="13976" spans="2:30" s="323" customFormat="1" ht="12" customHeight="1">
      <c r="B13976" s="324"/>
      <c r="C13976" s="325"/>
      <c r="D13976" s="326"/>
      <c r="E13976" s="326"/>
      <c r="F13976" s="326"/>
      <c r="G13976" s="326"/>
      <c r="H13976" s="326"/>
      <c r="P13976" s="318"/>
      <c r="Q13976" s="318"/>
      <c r="R13976" s="318"/>
      <c r="S13976" s="318"/>
      <c r="T13976" s="318"/>
      <c r="U13976" s="318"/>
      <c r="V13976" s="318"/>
      <c r="W13976" s="318"/>
      <c r="X13976" s="318"/>
      <c r="Y13976" s="318"/>
      <c r="Z13976" s="318"/>
      <c r="AA13976" s="318"/>
      <c r="AB13976" s="318"/>
      <c r="AC13976" s="318"/>
      <c r="AD13976" s="318"/>
    </row>
    <row r="13977" spans="2:30" s="323" customFormat="1" ht="12" customHeight="1">
      <c r="B13977" s="324"/>
      <c r="C13977" s="325"/>
      <c r="D13977" s="326"/>
      <c r="E13977" s="326"/>
      <c r="F13977" s="326"/>
      <c r="G13977" s="326"/>
      <c r="H13977" s="326"/>
      <c r="P13977" s="318"/>
      <c r="Q13977" s="318"/>
      <c r="R13977" s="318"/>
      <c r="S13977" s="318"/>
      <c r="T13977" s="318"/>
      <c r="U13977" s="318"/>
      <c r="V13977" s="318"/>
      <c r="W13977" s="318"/>
      <c r="X13977" s="318"/>
      <c r="Y13977" s="318"/>
      <c r="Z13977" s="318"/>
      <c r="AA13977" s="318"/>
      <c r="AB13977" s="318"/>
      <c r="AC13977" s="318"/>
      <c r="AD13977" s="318"/>
    </row>
    <row r="13978" spans="2:30" s="323" customFormat="1" ht="12" customHeight="1">
      <c r="B13978" s="324"/>
      <c r="C13978" s="325"/>
      <c r="D13978" s="326"/>
      <c r="E13978" s="326"/>
      <c r="F13978" s="326"/>
      <c r="G13978" s="326"/>
      <c r="H13978" s="326"/>
      <c r="P13978" s="318"/>
      <c r="Q13978" s="318"/>
      <c r="R13978" s="318"/>
      <c r="S13978" s="318"/>
      <c r="T13978" s="318"/>
      <c r="U13978" s="318"/>
      <c r="V13978" s="318"/>
      <c r="W13978" s="318"/>
      <c r="X13978" s="318"/>
      <c r="Y13978" s="318"/>
      <c r="Z13978" s="318"/>
      <c r="AA13978" s="318"/>
      <c r="AB13978" s="318"/>
      <c r="AC13978" s="318"/>
      <c r="AD13978" s="318"/>
    </row>
    <row r="13979" spans="2:30" s="323" customFormat="1" ht="12" customHeight="1">
      <c r="B13979" s="324"/>
      <c r="C13979" s="325"/>
      <c r="D13979" s="326"/>
      <c r="E13979" s="326"/>
      <c r="F13979" s="326"/>
      <c r="G13979" s="326"/>
      <c r="H13979" s="326"/>
      <c r="P13979" s="318"/>
      <c r="Q13979" s="318"/>
      <c r="R13979" s="318"/>
      <c r="S13979" s="318"/>
      <c r="T13979" s="318"/>
      <c r="U13979" s="318"/>
      <c r="V13979" s="318"/>
      <c r="W13979" s="318"/>
      <c r="X13979" s="318"/>
      <c r="Y13979" s="318"/>
      <c r="Z13979" s="318"/>
      <c r="AA13979" s="318"/>
      <c r="AB13979" s="318"/>
      <c r="AC13979" s="318"/>
      <c r="AD13979" s="318"/>
    </row>
    <row r="13980" spans="2:30" s="323" customFormat="1" ht="12" customHeight="1">
      <c r="B13980" s="324"/>
      <c r="C13980" s="325"/>
      <c r="D13980" s="326"/>
      <c r="E13980" s="326"/>
      <c r="F13980" s="326"/>
      <c r="G13980" s="326"/>
      <c r="H13980" s="326"/>
      <c r="P13980" s="318"/>
      <c r="Q13980" s="318"/>
      <c r="R13980" s="318"/>
      <c r="S13980" s="318"/>
      <c r="T13980" s="318"/>
      <c r="U13980" s="318"/>
      <c r="V13980" s="318"/>
      <c r="W13980" s="318"/>
      <c r="X13980" s="318"/>
      <c r="Y13980" s="318"/>
      <c r="Z13980" s="318"/>
      <c r="AA13980" s="318"/>
      <c r="AB13980" s="318"/>
      <c r="AC13980" s="318"/>
      <c r="AD13980" s="318"/>
    </row>
    <row r="13981" spans="2:30" s="323" customFormat="1" ht="12" customHeight="1">
      <c r="B13981" s="324"/>
      <c r="C13981" s="325"/>
      <c r="D13981" s="326"/>
      <c r="E13981" s="326"/>
      <c r="F13981" s="326"/>
      <c r="G13981" s="326"/>
      <c r="H13981" s="326"/>
      <c r="P13981" s="318"/>
      <c r="Q13981" s="318"/>
      <c r="R13981" s="318"/>
      <c r="S13981" s="318"/>
      <c r="T13981" s="318"/>
      <c r="U13981" s="318"/>
      <c r="V13981" s="318"/>
      <c r="W13981" s="318"/>
      <c r="X13981" s="318"/>
      <c r="Y13981" s="318"/>
      <c r="Z13981" s="318"/>
      <c r="AA13981" s="318"/>
      <c r="AB13981" s="318"/>
      <c r="AC13981" s="318"/>
      <c r="AD13981" s="318"/>
    </row>
    <row r="13982" spans="2:30" s="323" customFormat="1" ht="12" customHeight="1">
      <c r="B13982" s="324"/>
      <c r="C13982" s="325"/>
      <c r="D13982" s="326"/>
      <c r="E13982" s="326"/>
      <c r="F13982" s="326"/>
      <c r="G13982" s="326"/>
      <c r="H13982" s="326"/>
      <c r="P13982" s="318"/>
      <c r="Q13982" s="318"/>
      <c r="R13982" s="318"/>
      <c r="S13982" s="318"/>
      <c r="T13982" s="318"/>
      <c r="U13982" s="318"/>
      <c r="V13982" s="318"/>
      <c r="W13982" s="318"/>
      <c r="X13982" s="318"/>
      <c r="Y13982" s="318"/>
      <c r="Z13982" s="318"/>
      <c r="AA13982" s="318"/>
      <c r="AB13982" s="318"/>
      <c r="AC13982" s="318"/>
      <c r="AD13982" s="318"/>
    </row>
    <row r="13983" spans="2:30" s="323" customFormat="1" ht="12" customHeight="1">
      <c r="B13983" s="324"/>
      <c r="C13983" s="325"/>
      <c r="D13983" s="326"/>
      <c r="E13983" s="326"/>
      <c r="F13983" s="326"/>
      <c r="G13983" s="326"/>
      <c r="H13983" s="326"/>
      <c r="P13983" s="318"/>
      <c r="Q13983" s="318"/>
      <c r="R13983" s="318"/>
      <c r="S13983" s="318"/>
      <c r="T13983" s="318"/>
      <c r="U13983" s="318"/>
      <c r="V13983" s="318"/>
      <c r="W13983" s="318"/>
      <c r="X13983" s="318"/>
      <c r="Y13983" s="318"/>
      <c r="Z13983" s="318"/>
      <c r="AA13983" s="318"/>
      <c r="AB13983" s="318"/>
      <c r="AC13983" s="318"/>
      <c r="AD13983" s="318"/>
    </row>
    <row r="13984" spans="2:30" s="323" customFormat="1" ht="12" customHeight="1">
      <c r="B13984" s="324"/>
      <c r="C13984" s="325"/>
      <c r="D13984" s="326"/>
      <c r="E13984" s="326"/>
      <c r="F13984" s="326"/>
      <c r="G13984" s="326"/>
      <c r="H13984" s="326"/>
      <c r="P13984" s="318"/>
      <c r="Q13984" s="318"/>
      <c r="R13984" s="318"/>
      <c r="S13984" s="318"/>
      <c r="T13984" s="318"/>
      <c r="U13984" s="318"/>
      <c r="V13984" s="318"/>
      <c r="W13984" s="318"/>
      <c r="X13984" s="318"/>
      <c r="Y13984" s="318"/>
      <c r="Z13984" s="318"/>
      <c r="AA13984" s="318"/>
      <c r="AB13984" s="318"/>
      <c r="AC13984" s="318"/>
      <c r="AD13984" s="318"/>
    </row>
    <row r="13985" spans="2:30" s="323" customFormat="1" ht="12" customHeight="1">
      <c r="B13985" s="324"/>
      <c r="C13985" s="325"/>
      <c r="D13985" s="326"/>
      <c r="E13985" s="326"/>
      <c r="F13985" s="326"/>
      <c r="G13985" s="326"/>
      <c r="H13985" s="326"/>
      <c r="P13985" s="318"/>
      <c r="Q13985" s="318"/>
      <c r="R13985" s="318"/>
      <c r="S13985" s="318"/>
      <c r="T13985" s="318"/>
      <c r="U13985" s="318"/>
      <c r="V13985" s="318"/>
      <c r="W13985" s="318"/>
      <c r="X13985" s="318"/>
      <c r="Y13985" s="318"/>
      <c r="Z13985" s="318"/>
      <c r="AA13985" s="318"/>
      <c r="AB13985" s="318"/>
      <c r="AC13985" s="318"/>
      <c r="AD13985" s="318"/>
    </row>
    <row r="13986" spans="2:30" s="323" customFormat="1" ht="12" customHeight="1">
      <c r="B13986" s="324"/>
      <c r="C13986" s="325"/>
      <c r="D13986" s="326"/>
      <c r="E13986" s="326"/>
      <c r="F13986" s="326"/>
      <c r="G13986" s="326"/>
      <c r="H13986" s="326"/>
      <c r="P13986" s="318"/>
      <c r="Q13986" s="318"/>
      <c r="R13986" s="318"/>
      <c r="S13986" s="318"/>
      <c r="T13986" s="318"/>
      <c r="U13986" s="318"/>
      <c r="V13986" s="318"/>
      <c r="W13986" s="318"/>
      <c r="X13986" s="318"/>
      <c r="Y13986" s="318"/>
      <c r="Z13986" s="318"/>
      <c r="AA13986" s="318"/>
      <c r="AB13986" s="318"/>
      <c r="AC13986" s="318"/>
      <c r="AD13986" s="318"/>
    </row>
    <row r="13987" spans="2:30" s="323" customFormat="1" ht="12" customHeight="1">
      <c r="B13987" s="324"/>
      <c r="C13987" s="325"/>
      <c r="D13987" s="326"/>
      <c r="E13987" s="326"/>
      <c r="F13987" s="326"/>
      <c r="G13987" s="326"/>
      <c r="H13987" s="326"/>
      <c r="P13987" s="318"/>
      <c r="Q13987" s="318"/>
      <c r="R13987" s="318"/>
      <c r="S13987" s="318"/>
      <c r="T13987" s="318"/>
      <c r="U13987" s="318"/>
      <c r="V13987" s="318"/>
      <c r="W13987" s="318"/>
      <c r="X13987" s="318"/>
      <c r="Y13987" s="318"/>
      <c r="Z13987" s="318"/>
      <c r="AA13987" s="318"/>
      <c r="AB13987" s="318"/>
      <c r="AC13987" s="318"/>
      <c r="AD13987" s="318"/>
    </row>
    <row r="13988" spans="2:30" s="323" customFormat="1" ht="12" customHeight="1">
      <c r="B13988" s="324"/>
      <c r="C13988" s="325"/>
      <c r="D13988" s="326"/>
      <c r="E13988" s="326"/>
      <c r="F13988" s="326"/>
      <c r="G13988" s="326"/>
      <c r="H13988" s="326"/>
      <c r="P13988" s="318"/>
      <c r="Q13988" s="318"/>
      <c r="R13988" s="318"/>
      <c r="S13988" s="318"/>
      <c r="T13988" s="318"/>
      <c r="U13988" s="318"/>
      <c r="V13988" s="318"/>
      <c r="W13988" s="318"/>
      <c r="X13988" s="318"/>
      <c r="Y13988" s="318"/>
      <c r="Z13988" s="318"/>
      <c r="AA13988" s="318"/>
      <c r="AB13988" s="318"/>
      <c r="AC13988" s="318"/>
      <c r="AD13988" s="318"/>
    </row>
    <row r="13989" spans="2:30" s="323" customFormat="1" ht="12" customHeight="1">
      <c r="B13989" s="324"/>
      <c r="C13989" s="325"/>
      <c r="D13989" s="326"/>
      <c r="E13989" s="326"/>
      <c r="F13989" s="326"/>
      <c r="G13989" s="326"/>
      <c r="H13989" s="326"/>
      <c r="P13989" s="318"/>
      <c r="Q13989" s="318"/>
      <c r="R13989" s="318"/>
      <c r="S13989" s="318"/>
      <c r="T13989" s="318"/>
      <c r="U13989" s="318"/>
      <c r="V13989" s="318"/>
      <c r="W13989" s="318"/>
      <c r="X13989" s="318"/>
      <c r="Y13989" s="318"/>
      <c r="Z13989" s="318"/>
      <c r="AA13989" s="318"/>
      <c r="AB13989" s="318"/>
      <c r="AC13989" s="318"/>
      <c r="AD13989" s="318"/>
    </row>
    <row r="13990" spans="2:30" s="323" customFormat="1" ht="12" customHeight="1">
      <c r="B13990" s="324"/>
      <c r="C13990" s="325"/>
      <c r="D13990" s="326"/>
      <c r="E13990" s="326"/>
      <c r="F13990" s="326"/>
      <c r="G13990" s="326"/>
      <c r="H13990" s="326"/>
      <c r="P13990" s="318"/>
      <c r="Q13990" s="318"/>
      <c r="R13990" s="318"/>
      <c r="S13990" s="318"/>
      <c r="T13990" s="318"/>
      <c r="U13990" s="318"/>
      <c r="V13990" s="318"/>
      <c r="W13990" s="318"/>
      <c r="X13990" s="318"/>
      <c r="Y13990" s="318"/>
      <c r="Z13990" s="318"/>
      <c r="AA13990" s="318"/>
      <c r="AB13990" s="318"/>
      <c r="AC13990" s="318"/>
      <c r="AD13990" s="318"/>
    </row>
    <row r="13991" spans="2:30" s="323" customFormat="1" ht="12" customHeight="1">
      <c r="B13991" s="324"/>
      <c r="C13991" s="325"/>
      <c r="D13991" s="326"/>
      <c r="E13991" s="326"/>
      <c r="F13991" s="326"/>
      <c r="G13991" s="326"/>
      <c r="H13991" s="326"/>
      <c r="P13991" s="318"/>
      <c r="Q13991" s="318"/>
      <c r="R13991" s="318"/>
      <c r="S13991" s="318"/>
      <c r="T13991" s="318"/>
      <c r="U13991" s="318"/>
      <c r="V13991" s="318"/>
      <c r="W13991" s="318"/>
      <c r="X13991" s="318"/>
      <c r="Y13991" s="318"/>
      <c r="Z13991" s="318"/>
      <c r="AA13991" s="318"/>
      <c r="AB13991" s="318"/>
      <c r="AC13991" s="318"/>
      <c r="AD13991" s="318"/>
    </row>
    <row r="13992" spans="2:30" s="323" customFormat="1" ht="12" customHeight="1">
      <c r="B13992" s="324"/>
      <c r="C13992" s="325"/>
      <c r="D13992" s="326"/>
      <c r="E13992" s="326"/>
      <c r="F13992" s="326"/>
      <c r="G13992" s="326"/>
      <c r="H13992" s="326"/>
      <c r="P13992" s="318"/>
      <c r="Q13992" s="318"/>
      <c r="R13992" s="318"/>
      <c r="S13992" s="318"/>
      <c r="T13992" s="318"/>
      <c r="U13992" s="318"/>
      <c r="V13992" s="318"/>
      <c r="W13992" s="318"/>
      <c r="X13992" s="318"/>
      <c r="Y13992" s="318"/>
      <c r="Z13992" s="318"/>
      <c r="AA13992" s="318"/>
      <c r="AB13992" s="318"/>
      <c r="AC13992" s="318"/>
      <c r="AD13992" s="318"/>
    </row>
    <row r="13993" spans="2:30" s="323" customFormat="1" ht="12" customHeight="1">
      <c r="B13993" s="324"/>
      <c r="C13993" s="325"/>
      <c r="D13993" s="326"/>
      <c r="E13993" s="326"/>
      <c r="F13993" s="326"/>
      <c r="G13993" s="326"/>
      <c r="H13993" s="326"/>
      <c r="P13993" s="318"/>
      <c r="Q13993" s="318"/>
      <c r="R13993" s="318"/>
      <c r="S13993" s="318"/>
      <c r="T13993" s="318"/>
      <c r="U13993" s="318"/>
      <c r="V13993" s="318"/>
      <c r="W13993" s="318"/>
      <c r="X13993" s="318"/>
      <c r="Y13993" s="318"/>
      <c r="Z13993" s="318"/>
      <c r="AA13993" s="318"/>
      <c r="AB13993" s="318"/>
      <c r="AC13993" s="318"/>
      <c r="AD13993" s="318"/>
    </row>
    <row r="13994" spans="2:30" s="323" customFormat="1" ht="12" customHeight="1">
      <c r="B13994" s="324"/>
      <c r="C13994" s="325"/>
      <c r="D13994" s="326"/>
      <c r="E13994" s="326"/>
      <c r="F13994" s="326"/>
      <c r="G13994" s="326"/>
      <c r="H13994" s="326"/>
      <c r="P13994" s="318"/>
      <c r="Q13994" s="318"/>
      <c r="R13994" s="318"/>
      <c r="S13994" s="318"/>
      <c r="T13994" s="318"/>
      <c r="U13994" s="318"/>
      <c r="V13994" s="318"/>
      <c r="W13994" s="318"/>
      <c r="X13994" s="318"/>
      <c r="Y13994" s="318"/>
      <c r="Z13994" s="318"/>
      <c r="AA13994" s="318"/>
      <c r="AB13994" s="318"/>
      <c r="AC13994" s="318"/>
      <c r="AD13994" s="318"/>
    </row>
    <row r="13995" spans="2:30" s="323" customFormat="1" ht="12" customHeight="1">
      <c r="B13995" s="324"/>
      <c r="C13995" s="325"/>
      <c r="D13995" s="326"/>
      <c r="E13995" s="326"/>
      <c r="F13995" s="326"/>
      <c r="G13995" s="326"/>
      <c r="H13995" s="326"/>
      <c r="P13995" s="318"/>
      <c r="Q13995" s="318"/>
      <c r="R13995" s="318"/>
      <c r="S13995" s="318"/>
      <c r="T13995" s="318"/>
      <c r="U13995" s="318"/>
      <c r="V13995" s="318"/>
      <c r="W13995" s="318"/>
      <c r="X13995" s="318"/>
      <c r="Y13995" s="318"/>
      <c r="Z13995" s="318"/>
      <c r="AA13995" s="318"/>
      <c r="AB13995" s="318"/>
      <c r="AC13995" s="318"/>
      <c r="AD13995" s="318"/>
    </row>
    <row r="13996" spans="2:30" s="323" customFormat="1" ht="12" customHeight="1">
      <c r="B13996" s="324"/>
      <c r="C13996" s="325"/>
      <c r="D13996" s="326"/>
      <c r="E13996" s="326"/>
      <c r="F13996" s="326"/>
      <c r="G13996" s="326"/>
      <c r="H13996" s="326"/>
      <c r="P13996" s="318"/>
      <c r="Q13996" s="318"/>
      <c r="R13996" s="318"/>
      <c r="S13996" s="318"/>
      <c r="T13996" s="318"/>
      <c r="U13996" s="318"/>
      <c r="V13996" s="318"/>
      <c r="W13996" s="318"/>
      <c r="X13996" s="318"/>
      <c r="Y13996" s="318"/>
      <c r="Z13996" s="318"/>
      <c r="AA13996" s="318"/>
      <c r="AB13996" s="318"/>
      <c r="AC13996" s="318"/>
      <c r="AD13996" s="318"/>
    </row>
    <row r="13997" spans="2:30" s="323" customFormat="1" ht="12" customHeight="1">
      <c r="B13997" s="324"/>
      <c r="C13997" s="325"/>
      <c r="D13997" s="326"/>
      <c r="E13997" s="326"/>
      <c r="F13997" s="326"/>
      <c r="G13997" s="326"/>
      <c r="H13997" s="326"/>
      <c r="P13997" s="318"/>
      <c r="Q13997" s="318"/>
      <c r="R13997" s="318"/>
      <c r="S13997" s="318"/>
      <c r="T13997" s="318"/>
      <c r="U13997" s="318"/>
      <c r="V13997" s="318"/>
      <c r="W13997" s="318"/>
      <c r="X13997" s="318"/>
      <c r="Y13997" s="318"/>
      <c r="Z13997" s="318"/>
      <c r="AA13997" s="318"/>
      <c r="AB13997" s="318"/>
      <c r="AC13997" s="318"/>
      <c r="AD13997" s="318"/>
    </row>
    <row r="13998" spans="2:30" s="323" customFormat="1" ht="12" customHeight="1">
      <c r="B13998" s="324"/>
      <c r="C13998" s="325"/>
      <c r="D13998" s="326"/>
      <c r="E13998" s="326"/>
      <c r="F13998" s="326"/>
      <c r="G13998" s="326"/>
      <c r="H13998" s="326"/>
      <c r="P13998" s="318"/>
      <c r="Q13998" s="318"/>
      <c r="R13998" s="318"/>
      <c r="S13998" s="318"/>
      <c r="T13998" s="318"/>
      <c r="U13998" s="318"/>
      <c r="V13998" s="318"/>
      <c r="W13998" s="318"/>
      <c r="X13998" s="318"/>
      <c r="Y13998" s="318"/>
      <c r="Z13998" s="318"/>
      <c r="AA13998" s="318"/>
      <c r="AB13998" s="318"/>
      <c r="AC13998" s="318"/>
      <c r="AD13998" s="318"/>
    </row>
    <row r="13999" spans="2:30" s="323" customFormat="1" ht="12" customHeight="1">
      <c r="B13999" s="324"/>
      <c r="C13999" s="325"/>
      <c r="D13999" s="326"/>
      <c r="E13999" s="326"/>
      <c r="F13999" s="326"/>
      <c r="G13999" s="326"/>
      <c r="H13999" s="326"/>
      <c r="P13999" s="318"/>
      <c r="Q13999" s="318"/>
      <c r="R13999" s="318"/>
      <c r="S13999" s="318"/>
      <c r="T13999" s="318"/>
      <c r="U13999" s="318"/>
      <c r="V13999" s="318"/>
      <c r="W13999" s="318"/>
      <c r="X13999" s="318"/>
      <c r="Y13999" s="318"/>
      <c r="Z13999" s="318"/>
      <c r="AA13999" s="318"/>
      <c r="AB13999" s="318"/>
      <c r="AC13999" s="318"/>
      <c r="AD13999" s="318"/>
    </row>
    <row r="14000" spans="2:30" s="323" customFormat="1" ht="12" customHeight="1">
      <c r="B14000" s="324"/>
      <c r="C14000" s="325"/>
      <c r="D14000" s="326"/>
      <c r="E14000" s="326"/>
      <c r="F14000" s="326"/>
      <c r="G14000" s="326"/>
      <c r="H14000" s="326"/>
      <c r="P14000" s="318"/>
      <c r="Q14000" s="318"/>
      <c r="R14000" s="318"/>
      <c r="S14000" s="318"/>
      <c r="T14000" s="318"/>
      <c r="U14000" s="318"/>
      <c r="V14000" s="318"/>
      <c r="W14000" s="318"/>
      <c r="X14000" s="318"/>
      <c r="Y14000" s="318"/>
      <c r="Z14000" s="318"/>
      <c r="AA14000" s="318"/>
      <c r="AB14000" s="318"/>
      <c r="AC14000" s="318"/>
      <c r="AD14000" s="318"/>
    </row>
    <row r="14001" spans="2:30" s="323" customFormat="1" ht="12" customHeight="1">
      <c r="B14001" s="324"/>
      <c r="C14001" s="325"/>
      <c r="D14001" s="326"/>
      <c r="E14001" s="326"/>
      <c r="F14001" s="326"/>
      <c r="G14001" s="326"/>
      <c r="H14001" s="326"/>
      <c r="P14001" s="318"/>
      <c r="Q14001" s="318"/>
      <c r="R14001" s="318"/>
      <c r="S14001" s="318"/>
      <c r="T14001" s="318"/>
      <c r="U14001" s="318"/>
      <c r="V14001" s="318"/>
      <c r="W14001" s="318"/>
      <c r="X14001" s="318"/>
      <c r="Y14001" s="318"/>
      <c r="Z14001" s="318"/>
      <c r="AA14001" s="318"/>
      <c r="AB14001" s="318"/>
      <c r="AC14001" s="318"/>
      <c r="AD14001" s="318"/>
    </row>
    <row r="14002" spans="2:30" s="323" customFormat="1" ht="12" customHeight="1">
      <c r="B14002" s="324"/>
      <c r="C14002" s="325"/>
      <c r="D14002" s="326"/>
      <c r="E14002" s="326"/>
      <c r="F14002" s="326"/>
      <c r="G14002" s="326"/>
      <c r="H14002" s="326"/>
      <c r="P14002" s="318"/>
      <c r="Q14002" s="318"/>
      <c r="R14002" s="318"/>
      <c r="S14002" s="318"/>
      <c r="T14002" s="318"/>
      <c r="U14002" s="318"/>
      <c r="V14002" s="318"/>
      <c r="W14002" s="318"/>
      <c r="X14002" s="318"/>
      <c r="Y14002" s="318"/>
      <c r="Z14002" s="318"/>
      <c r="AA14002" s="318"/>
      <c r="AB14002" s="318"/>
      <c r="AC14002" s="318"/>
      <c r="AD14002" s="318"/>
    </row>
    <row r="14003" spans="2:30" s="323" customFormat="1" ht="12" customHeight="1">
      <c r="B14003" s="324"/>
      <c r="C14003" s="325"/>
      <c r="D14003" s="326"/>
      <c r="E14003" s="326"/>
      <c r="F14003" s="326"/>
      <c r="G14003" s="326"/>
      <c r="H14003" s="326"/>
      <c r="P14003" s="318"/>
      <c r="Q14003" s="318"/>
      <c r="R14003" s="318"/>
      <c r="S14003" s="318"/>
      <c r="T14003" s="318"/>
      <c r="U14003" s="318"/>
      <c r="V14003" s="318"/>
      <c r="W14003" s="318"/>
      <c r="X14003" s="318"/>
      <c r="Y14003" s="318"/>
      <c r="Z14003" s="318"/>
      <c r="AA14003" s="318"/>
      <c r="AB14003" s="318"/>
      <c r="AC14003" s="318"/>
      <c r="AD14003" s="318"/>
    </row>
    <row r="14004" spans="2:30" s="323" customFormat="1" ht="12" customHeight="1">
      <c r="B14004" s="324"/>
      <c r="C14004" s="325"/>
      <c r="D14004" s="326"/>
      <c r="E14004" s="326"/>
      <c r="F14004" s="326"/>
      <c r="G14004" s="326"/>
      <c r="H14004" s="326"/>
      <c r="P14004" s="318"/>
      <c r="Q14004" s="318"/>
      <c r="R14004" s="318"/>
      <c r="S14004" s="318"/>
      <c r="T14004" s="318"/>
      <c r="U14004" s="318"/>
      <c r="V14004" s="318"/>
      <c r="W14004" s="318"/>
      <c r="X14004" s="318"/>
      <c r="Y14004" s="318"/>
      <c r="Z14004" s="318"/>
      <c r="AA14004" s="318"/>
      <c r="AB14004" s="318"/>
      <c r="AC14004" s="318"/>
      <c r="AD14004" s="318"/>
    </row>
    <row r="14005" spans="2:30" s="323" customFormat="1" ht="12" customHeight="1">
      <c r="B14005" s="324"/>
      <c r="C14005" s="325"/>
      <c r="D14005" s="326"/>
      <c r="E14005" s="326"/>
      <c r="F14005" s="326"/>
      <c r="G14005" s="326"/>
      <c r="H14005" s="326"/>
      <c r="P14005" s="318"/>
      <c r="Q14005" s="318"/>
      <c r="R14005" s="318"/>
      <c r="S14005" s="318"/>
      <c r="T14005" s="318"/>
      <c r="U14005" s="318"/>
      <c r="V14005" s="318"/>
      <c r="W14005" s="318"/>
      <c r="X14005" s="318"/>
      <c r="Y14005" s="318"/>
      <c r="Z14005" s="318"/>
      <c r="AA14005" s="318"/>
      <c r="AB14005" s="318"/>
      <c r="AC14005" s="318"/>
      <c r="AD14005" s="318"/>
    </row>
    <row r="14006" spans="2:30" s="323" customFormat="1" ht="12" customHeight="1">
      <c r="B14006" s="324"/>
      <c r="C14006" s="325"/>
      <c r="D14006" s="326"/>
      <c r="E14006" s="326"/>
      <c r="F14006" s="326"/>
      <c r="G14006" s="326"/>
      <c r="H14006" s="326"/>
      <c r="P14006" s="318"/>
      <c r="Q14006" s="318"/>
      <c r="R14006" s="318"/>
      <c r="S14006" s="318"/>
      <c r="T14006" s="318"/>
      <c r="U14006" s="318"/>
      <c r="V14006" s="318"/>
      <c r="W14006" s="318"/>
      <c r="X14006" s="318"/>
      <c r="Y14006" s="318"/>
      <c r="Z14006" s="318"/>
      <c r="AA14006" s="318"/>
      <c r="AB14006" s="318"/>
      <c r="AC14006" s="318"/>
      <c r="AD14006" s="318"/>
    </row>
    <row r="14007" spans="2:30" s="323" customFormat="1" ht="12" customHeight="1">
      <c r="B14007" s="324"/>
      <c r="C14007" s="325"/>
      <c r="D14007" s="326"/>
      <c r="E14007" s="326"/>
      <c r="F14007" s="326"/>
      <c r="G14007" s="326"/>
      <c r="H14007" s="326"/>
      <c r="P14007" s="318"/>
      <c r="Q14007" s="318"/>
      <c r="R14007" s="318"/>
      <c r="S14007" s="318"/>
      <c r="T14007" s="318"/>
      <c r="U14007" s="318"/>
      <c r="V14007" s="318"/>
      <c r="W14007" s="318"/>
      <c r="X14007" s="318"/>
      <c r="Y14007" s="318"/>
      <c r="Z14007" s="318"/>
      <c r="AA14007" s="318"/>
      <c r="AB14007" s="318"/>
      <c r="AC14007" s="318"/>
      <c r="AD14007" s="318"/>
    </row>
    <row r="14008" spans="2:30" s="323" customFormat="1" ht="12" customHeight="1">
      <c r="B14008" s="324"/>
      <c r="C14008" s="325"/>
      <c r="D14008" s="326"/>
      <c r="E14008" s="326"/>
      <c r="F14008" s="326"/>
      <c r="G14008" s="326"/>
      <c r="H14008" s="326"/>
      <c r="P14008" s="318"/>
      <c r="Q14008" s="318"/>
      <c r="R14008" s="318"/>
      <c r="S14008" s="318"/>
      <c r="T14008" s="318"/>
      <c r="U14008" s="318"/>
      <c r="V14008" s="318"/>
      <c r="W14008" s="318"/>
      <c r="X14008" s="318"/>
      <c r="Y14008" s="318"/>
      <c r="Z14008" s="318"/>
      <c r="AA14008" s="318"/>
      <c r="AB14008" s="318"/>
      <c r="AC14008" s="318"/>
      <c r="AD14008" s="318"/>
    </row>
    <row r="14009" spans="2:30" s="323" customFormat="1" ht="12" customHeight="1">
      <c r="B14009" s="324"/>
      <c r="C14009" s="325"/>
      <c r="D14009" s="326"/>
      <c r="E14009" s="326"/>
      <c r="F14009" s="326"/>
      <c r="G14009" s="326"/>
      <c r="H14009" s="326"/>
      <c r="P14009" s="318"/>
      <c r="Q14009" s="318"/>
      <c r="R14009" s="318"/>
      <c r="S14009" s="318"/>
      <c r="T14009" s="318"/>
      <c r="U14009" s="318"/>
      <c r="V14009" s="318"/>
      <c r="W14009" s="318"/>
      <c r="X14009" s="318"/>
      <c r="Y14009" s="318"/>
      <c r="Z14009" s="318"/>
      <c r="AA14009" s="318"/>
      <c r="AB14009" s="318"/>
      <c r="AC14009" s="318"/>
      <c r="AD14009" s="318"/>
    </row>
    <row r="14010" spans="2:30" s="323" customFormat="1" ht="12" customHeight="1">
      <c r="B14010" s="324"/>
      <c r="C14010" s="325"/>
      <c r="D14010" s="326"/>
      <c r="E14010" s="326"/>
      <c r="F14010" s="326"/>
      <c r="G14010" s="326"/>
      <c r="H14010" s="326"/>
      <c r="P14010" s="318"/>
      <c r="Q14010" s="318"/>
      <c r="R14010" s="318"/>
      <c r="S14010" s="318"/>
      <c r="T14010" s="318"/>
      <c r="U14010" s="318"/>
      <c r="V14010" s="318"/>
      <c r="W14010" s="318"/>
      <c r="X14010" s="318"/>
      <c r="Y14010" s="318"/>
      <c r="Z14010" s="318"/>
      <c r="AA14010" s="318"/>
      <c r="AB14010" s="318"/>
      <c r="AC14010" s="318"/>
      <c r="AD14010" s="318"/>
    </row>
    <row r="14011" spans="2:30" s="323" customFormat="1" ht="12" customHeight="1">
      <c r="B14011" s="324"/>
      <c r="C14011" s="325"/>
      <c r="D14011" s="326"/>
      <c r="E14011" s="326"/>
      <c r="F14011" s="326"/>
      <c r="G14011" s="326"/>
      <c r="H14011" s="326"/>
      <c r="P14011" s="318"/>
      <c r="Q14011" s="318"/>
      <c r="R14011" s="318"/>
      <c r="S14011" s="318"/>
      <c r="T14011" s="318"/>
      <c r="U14011" s="318"/>
      <c r="V14011" s="318"/>
      <c r="W14011" s="318"/>
      <c r="X14011" s="318"/>
      <c r="Y14011" s="318"/>
      <c r="Z14011" s="318"/>
      <c r="AA14011" s="318"/>
      <c r="AB14011" s="318"/>
      <c r="AC14011" s="318"/>
      <c r="AD14011" s="318"/>
    </row>
    <row r="14012" spans="2:30" s="323" customFormat="1" ht="12" customHeight="1">
      <c r="B14012" s="324"/>
      <c r="C14012" s="325"/>
      <c r="D14012" s="326"/>
      <c r="E14012" s="326"/>
      <c r="F14012" s="326"/>
      <c r="G14012" s="326"/>
      <c r="H14012" s="326"/>
      <c r="P14012" s="318"/>
      <c r="Q14012" s="318"/>
      <c r="R14012" s="318"/>
      <c r="S14012" s="318"/>
      <c r="T14012" s="318"/>
      <c r="U14012" s="318"/>
      <c r="V14012" s="318"/>
      <c r="W14012" s="318"/>
      <c r="X14012" s="318"/>
      <c r="Y14012" s="318"/>
      <c r="Z14012" s="318"/>
      <c r="AA14012" s="318"/>
      <c r="AB14012" s="318"/>
      <c r="AC14012" s="318"/>
      <c r="AD14012" s="318"/>
    </row>
    <row r="14013" spans="2:30" s="323" customFormat="1" ht="12" customHeight="1">
      <c r="B14013" s="324"/>
      <c r="C14013" s="325"/>
      <c r="D14013" s="326"/>
      <c r="E14013" s="326"/>
      <c r="F14013" s="326"/>
      <c r="G14013" s="326"/>
      <c r="H14013" s="326"/>
      <c r="P14013" s="318"/>
      <c r="Q14013" s="318"/>
      <c r="R14013" s="318"/>
      <c r="S14013" s="318"/>
      <c r="T14013" s="318"/>
      <c r="U14013" s="318"/>
      <c r="V14013" s="318"/>
      <c r="W14013" s="318"/>
      <c r="X14013" s="318"/>
      <c r="Y14013" s="318"/>
      <c r="Z14013" s="318"/>
      <c r="AA14013" s="318"/>
      <c r="AB14013" s="318"/>
      <c r="AC14013" s="318"/>
      <c r="AD14013" s="318"/>
    </row>
    <row r="14014" spans="2:30" s="323" customFormat="1" ht="12" customHeight="1">
      <c r="B14014" s="324"/>
      <c r="C14014" s="325"/>
      <c r="D14014" s="326"/>
      <c r="E14014" s="326"/>
      <c r="F14014" s="326"/>
      <c r="G14014" s="326"/>
      <c r="H14014" s="326"/>
      <c r="P14014" s="318"/>
      <c r="Q14014" s="318"/>
      <c r="R14014" s="318"/>
      <c r="S14014" s="318"/>
      <c r="T14014" s="318"/>
      <c r="U14014" s="318"/>
      <c r="V14014" s="318"/>
      <c r="W14014" s="318"/>
      <c r="X14014" s="318"/>
      <c r="Y14014" s="318"/>
      <c r="Z14014" s="318"/>
      <c r="AA14014" s="318"/>
      <c r="AB14014" s="318"/>
      <c r="AC14014" s="318"/>
      <c r="AD14014" s="318"/>
    </row>
    <row r="14015" spans="2:30" s="323" customFormat="1" ht="12" customHeight="1">
      <c r="B14015" s="324"/>
      <c r="C14015" s="325"/>
      <c r="D14015" s="326"/>
      <c r="E14015" s="326"/>
      <c r="F14015" s="326"/>
      <c r="G14015" s="326"/>
      <c r="H14015" s="326"/>
      <c r="P14015" s="318"/>
      <c r="Q14015" s="318"/>
      <c r="R14015" s="318"/>
      <c r="S14015" s="318"/>
      <c r="T14015" s="318"/>
      <c r="U14015" s="318"/>
      <c r="V14015" s="318"/>
      <c r="W14015" s="318"/>
      <c r="X14015" s="318"/>
      <c r="Y14015" s="318"/>
      <c r="Z14015" s="318"/>
      <c r="AA14015" s="318"/>
      <c r="AB14015" s="318"/>
      <c r="AC14015" s="318"/>
      <c r="AD14015" s="318"/>
    </row>
    <row r="14016" spans="2:30" s="323" customFormat="1" ht="12" customHeight="1">
      <c r="B14016" s="324"/>
      <c r="C14016" s="325"/>
      <c r="D14016" s="326"/>
      <c r="E14016" s="326"/>
      <c r="F14016" s="326"/>
      <c r="G14016" s="326"/>
      <c r="H14016" s="326"/>
      <c r="P14016" s="318"/>
      <c r="Q14016" s="318"/>
      <c r="R14016" s="318"/>
      <c r="S14016" s="318"/>
      <c r="T14016" s="318"/>
      <c r="U14016" s="318"/>
      <c r="V14016" s="318"/>
      <c r="W14016" s="318"/>
      <c r="X14016" s="318"/>
      <c r="Y14016" s="318"/>
      <c r="Z14016" s="318"/>
      <c r="AA14016" s="318"/>
      <c r="AB14016" s="318"/>
      <c r="AC14016" s="318"/>
      <c r="AD14016" s="318"/>
    </row>
    <row r="14017" spans="2:30" s="323" customFormat="1" ht="12" customHeight="1">
      <c r="B14017" s="324"/>
      <c r="C14017" s="325"/>
      <c r="D14017" s="326"/>
      <c r="E14017" s="326"/>
      <c r="F14017" s="326"/>
      <c r="G14017" s="326"/>
      <c r="H14017" s="326"/>
      <c r="P14017" s="318"/>
      <c r="Q14017" s="318"/>
      <c r="R14017" s="318"/>
      <c r="S14017" s="318"/>
      <c r="T14017" s="318"/>
      <c r="U14017" s="318"/>
      <c r="V14017" s="318"/>
      <c r="W14017" s="318"/>
      <c r="X14017" s="318"/>
      <c r="Y14017" s="318"/>
      <c r="Z14017" s="318"/>
      <c r="AA14017" s="318"/>
      <c r="AB14017" s="318"/>
      <c r="AC14017" s="318"/>
      <c r="AD14017" s="318"/>
    </row>
    <row r="14018" spans="2:30" s="323" customFormat="1" ht="12" customHeight="1">
      <c r="B14018" s="324"/>
      <c r="C14018" s="325"/>
      <c r="D14018" s="326"/>
      <c r="E14018" s="326"/>
      <c r="F14018" s="326"/>
      <c r="G14018" s="326"/>
      <c r="H14018" s="326"/>
      <c r="P14018" s="318"/>
      <c r="Q14018" s="318"/>
      <c r="R14018" s="318"/>
      <c r="S14018" s="318"/>
      <c r="T14018" s="318"/>
      <c r="U14018" s="318"/>
      <c r="V14018" s="318"/>
      <c r="W14018" s="318"/>
      <c r="X14018" s="318"/>
      <c r="Y14018" s="318"/>
      <c r="Z14018" s="318"/>
      <c r="AA14018" s="318"/>
      <c r="AB14018" s="318"/>
      <c r="AC14018" s="318"/>
      <c r="AD14018" s="318"/>
    </row>
    <row r="14019" spans="2:30" s="323" customFormat="1" ht="12" customHeight="1">
      <c r="B14019" s="324"/>
      <c r="C14019" s="325"/>
      <c r="D14019" s="326"/>
      <c r="E14019" s="326"/>
      <c r="F14019" s="326"/>
      <c r="G14019" s="326"/>
      <c r="H14019" s="326"/>
      <c r="P14019" s="318"/>
      <c r="Q14019" s="318"/>
      <c r="R14019" s="318"/>
      <c r="S14019" s="318"/>
      <c r="T14019" s="318"/>
      <c r="U14019" s="318"/>
      <c r="V14019" s="318"/>
      <c r="W14019" s="318"/>
      <c r="X14019" s="318"/>
      <c r="Y14019" s="318"/>
      <c r="Z14019" s="318"/>
      <c r="AA14019" s="318"/>
      <c r="AB14019" s="318"/>
      <c r="AC14019" s="318"/>
      <c r="AD14019" s="318"/>
    </row>
    <row r="14020" spans="2:30" s="323" customFormat="1" ht="12" customHeight="1">
      <c r="B14020" s="324"/>
      <c r="C14020" s="325"/>
      <c r="D14020" s="326"/>
      <c r="E14020" s="326"/>
      <c r="F14020" s="326"/>
      <c r="G14020" s="326"/>
      <c r="H14020" s="326"/>
      <c r="P14020" s="318"/>
      <c r="Q14020" s="318"/>
      <c r="R14020" s="318"/>
      <c r="S14020" s="318"/>
      <c r="T14020" s="318"/>
      <c r="U14020" s="318"/>
      <c r="V14020" s="318"/>
      <c r="W14020" s="318"/>
      <c r="X14020" s="318"/>
      <c r="Y14020" s="318"/>
      <c r="Z14020" s="318"/>
      <c r="AA14020" s="318"/>
      <c r="AB14020" s="318"/>
      <c r="AC14020" s="318"/>
      <c r="AD14020" s="318"/>
    </row>
    <row r="14021" spans="2:30" s="323" customFormat="1" ht="12" customHeight="1">
      <c r="B14021" s="324"/>
      <c r="C14021" s="325"/>
      <c r="D14021" s="326"/>
      <c r="E14021" s="326"/>
      <c r="F14021" s="326"/>
      <c r="G14021" s="326"/>
      <c r="H14021" s="326"/>
      <c r="P14021" s="318"/>
      <c r="Q14021" s="318"/>
      <c r="R14021" s="318"/>
      <c r="S14021" s="318"/>
      <c r="T14021" s="318"/>
      <c r="U14021" s="318"/>
      <c r="V14021" s="318"/>
      <c r="W14021" s="318"/>
      <c r="X14021" s="318"/>
      <c r="Y14021" s="318"/>
      <c r="Z14021" s="318"/>
      <c r="AA14021" s="318"/>
      <c r="AB14021" s="318"/>
      <c r="AC14021" s="318"/>
      <c r="AD14021" s="318"/>
    </row>
    <row r="14022" spans="2:30" s="323" customFormat="1" ht="12" customHeight="1">
      <c r="B14022" s="324"/>
      <c r="C14022" s="325"/>
      <c r="D14022" s="326"/>
      <c r="E14022" s="326"/>
      <c r="F14022" s="326"/>
      <c r="G14022" s="326"/>
      <c r="H14022" s="326"/>
      <c r="P14022" s="318"/>
      <c r="Q14022" s="318"/>
      <c r="R14022" s="318"/>
      <c r="S14022" s="318"/>
      <c r="T14022" s="318"/>
      <c r="U14022" s="318"/>
      <c r="V14022" s="318"/>
      <c r="W14022" s="318"/>
      <c r="X14022" s="318"/>
      <c r="Y14022" s="318"/>
      <c r="Z14022" s="318"/>
      <c r="AA14022" s="318"/>
      <c r="AB14022" s="318"/>
      <c r="AC14022" s="318"/>
      <c r="AD14022" s="318"/>
    </row>
    <row r="14023" spans="2:30" s="323" customFormat="1" ht="12" customHeight="1">
      <c r="B14023" s="324"/>
      <c r="C14023" s="325"/>
      <c r="D14023" s="326"/>
      <c r="E14023" s="326"/>
      <c r="F14023" s="326"/>
      <c r="G14023" s="326"/>
      <c r="H14023" s="326"/>
      <c r="P14023" s="318"/>
      <c r="Q14023" s="318"/>
      <c r="R14023" s="318"/>
      <c r="S14023" s="318"/>
      <c r="T14023" s="318"/>
      <c r="U14023" s="318"/>
      <c r="V14023" s="318"/>
      <c r="W14023" s="318"/>
      <c r="X14023" s="318"/>
      <c r="Y14023" s="318"/>
      <c r="Z14023" s="318"/>
      <c r="AA14023" s="318"/>
      <c r="AB14023" s="318"/>
      <c r="AC14023" s="318"/>
      <c r="AD14023" s="318"/>
    </row>
    <row r="14024" spans="2:30" s="323" customFormat="1" ht="12" customHeight="1">
      <c r="B14024" s="324"/>
      <c r="C14024" s="325"/>
      <c r="D14024" s="326"/>
      <c r="E14024" s="326"/>
      <c r="F14024" s="326"/>
      <c r="G14024" s="326"/>
      <c r="H14024" s="326"/>
      <c r="P14024" s="318"/>
      <c r="Q14024" s="318"/>
      <c r="R14024" s="318"/>
      <c r="S14024" s="318"/>
      <c r="T14024" s="318"/>
      <c r="U14024" s="318"/>
      <c r="V14024" s="318"/>
      <c r="W14024" s="318"/>
      <c r="X14024" s="318"/>
      <c r="Y14024" s="318"/>
      <c r="Z14024" s="318"/>
      <c r="AA14024" s="318"/>
      <c r="AB14024" s="318"/>
      <c r="AC14024" s="318"/>
      <c r="AD14024" s="318"/>
    </row>
    <row r="14025" spans="2:30" s="323" customFormat="1" ht="12" customHeight="1">
      <c r="B14025" s="324"/>
      <c r="C14025" s="325"/>
      <c r="D14025" s="326"/>
      <c r="E14025" s="326"/>
      <c r="F14025" s="326"/>
      <c r="G14025" s="326"/>
      <c r="H14025" s="326"/>
      <c r="P14025" s="318"/>
      <c r="Q14025" s="318"/>
      <c r="R14025" s="318"/>
      <c r="S14025" s="318"/>
      <c r="T14025" s="318"/>
      <c r="U14025" s="318"/>
      <c r="V14025" s="318"/>
      <c r="W14025" s="318"/>
      <c r="X14025" s="318"/>
      <c r="Y14025" s="318"/>
      <c r="Z14025" s="318"/>
      <c r="AA14025" s="318"/>
      <c r="AB14025" s="318"/>
      <c r="AC14025" s="318"/>
      <c r="AD14025" s="318"/>
    </row>
    <row r="14026" spans="2:30" s="323" customFormat="1" ht="12" customHeight="1">
      <c r="B14026" s="324"/>
      <c r="C14026" s="325"/>
      <c r="D14026" s="326"/>
      <c r="E14026" s="326"/>
      <c r="F14026" s="326"/>
      <c r="G14026" s="326"/>
      <c r="H14026" s="326"/>
      <c r="P14026" s="318"/>
      <c r="Q14026" s="318"/>
      <c r="R14026" s="318"/>
      <c r="S14026" s="318"/>
      <c r="T14026" s="318"/>
      <c r="U14026" s="318"/>
      <c r="V14026" s="318"/>
      <c r="W14026" s="318"/>
      <c r="X14026" s="318"/>
      <c r="Y14026" s="318"/>
      <c r="Z14026" s="318"/>
      <c r="AA14026" s="318"/>
      <c r="AB14026" s="318"/>
      <c r="AC14026" s="318"/>
      <c r="AD14026" s="318"/>
    </row>
    <row r="14027" spans="2:30" s="323" customFormat="1" ht="12" customHeight="1">
      <c r="B14027" s="324"/>
      <c r="C14027" s="325"/>
      <c r="D14027" s="326"/>
      <c r="E14027" s="326"/>
      <c r="F14027" s="326"/>
      <c r="G14027" s="326"/>
      <c r="H14027" s="326"/>
      <c r="P14027" s="318"/>
      <c r="Q14027" s="318"/>
      <c r="R14027" s="318"/>
      <c r="S14027" s="318"/>
      <c r="T14027" s="318"/>
      <c r="U14027" s="318"/>
      <c r="V14027" s="318"/>
      <c r="W14027" s="318"/>
      <c r="X14027" s="318"/>
      <c r="Y14027" s="318"/>
      <c r="Z14027" s="318"/>
      <c r="AA14027" s="318"/>
      <c r="AB14027" s="318"/>
      <c r="AC14027" s="318"/>
      <c r="AD14027" s="318"/>
    </row>
    <row r="14028" spans="2:30" s="323" customFormat="1" ht="12" customHeight="1">
      <c r="B14028" s="324"/>
      <c r="C14028" s="325"/>
      <c r="D14028" s="326"/>
      <c r="E14028" s="326"/>
      <c r="F14028" s="326"/>
      <c r="G14028" s="326"/>
      <c r="H14028" s="326"/>
      <c r="P14028" s="318"/>
      <c r="Q14028" s="318"/>
      <c r="R14028" s="318"/>
      <c r="S14028" s="318"/>
      <c r="T14028" s="318"/>
      <c r="U14028" s="318"/>
      <c r="V14028" s="318"/>
      <c r="W14028" s="318"/>
      <c r="X14028" s="318"/>
      <c r="Y14028" s="318"/>
      <c r="Z14028" s="318"/>
      <c r="AA14028" s="318"/>
      <c r="AB14028" s="318"/>
      <c r="AC14028" s="318"/>
      <c r="AD14028" s="318"/>
    </row>
    <row r="14029" spans="2:30" s="323" customFormat="1" ht="12" customHeight="1">
      <c r="B14029" s="324"/>
      <c r="C14029" s="325"/>
      <c r="D14029" s="326"/>
      <c r="E14029" s="326"/>
      <c r="F14029" s="326"/>
      <c r="G14029" s="326"/>
      <c r="H14029" s="326"/>
      <c r="P14029" s="318"/>
      <c r="Q14029" s="318"/>
      <c r="R14029" s="318"/>
      <c r="S14029" s="318"/>
      <c r="T14029" s="318"/>
      <c r="U14029" s="318"/>
      <c r="V14029" s="318"/>
      <c r="W14029" s="318"/>
      <c r="X14029" s="318"/>
      <c r="Y14029" s="318"/>
      <c r="Z14029" s="318"/>
      <c r="AA14029" s="318"/>
      <c r="AB14029" s="318"/>
      <c r="AC14029" s="318"/>
      <c r="AD14029" s="318"/>
    </row>
    <row r="14030" spans="2:30" s="323" customFormat="1" ht="12" customHeight="1">
      <c r="B14030" s="324"/>
      <c r="C14030" s="325"/>
      <c r="D14030" s="326"/>
      <c r="E14030" s="326"/>
      <c r="F14030" s="326"/>
      <c r="G14030" s="326"/>
      <c r="H14030" s="326"/>
      <c r="P14030" s="318"/>
      <c r="Q14030" s="318"/>
      <c r="R14030" s="318"/>
      <c r="S14030" s="318"/>
      <c r="T14030" s="318"/>
      <c r="U14030" s="318"/>
      <c r="V14030" s="318"/>
      <c r="W14030" s="318"/>
      <c r="X14030" s="318"/>
      <c r="Y14030" s="318"/>
      <c r="Z14030" s="318"/>
      <c r="AA14030" s="318"/>
      <c r="AB14030" s="318"/>
      <c r="AC14030" s="318"/>
      <c r="AD14030" s="318"/>
    </row>
    <row r="14031" spans="2:30" s="323" customFormat="1" ht="12" customHeight="1">
      <c r="B14031" s="324"/>
      <c r="C14031" s="325"/>
      <c r="D14031" s="326"/>
      <c r="E14031" s="326"/>
      <c r="F14031" s="326"/>
      <c r="G14031" s="326"/>
      <c r="H14031" s="326"/>
      <c r="P14031" s="318"/>
      <c r="Q14031" s="318"/>
      <c r="R14031" s="318"/>
      <c r="S14031" s="318"/>
      <c r="T14031" s="318"/>
      <c r="U14031" s="318"/>
      <c r="V14031" s="318"/>
      <c r="W14031" s="318"/>
      <c r="X14031" s="318"/>
      <c r="Y14031" s="318"/>
      <c r="Z14031" s="318"/>
      <c r="AA14031" s="318"/>
      <c r="AB14031" s="318"/>
      <c r="AC14031" s="318"/>
      <c r="AD14031" s="318"/>
    </row>
    <row r="14032" spans="2:30" s="323" customFormat="1" ht="12" customHeight="1">
      <c r="B14032" s="324"/>
      <c r="C14032" s="325"/>
      <c r="D14032" s="326"/>
      <c r="E14032" s="326"/>
      <c r="F14032" s="326"/>
      <c r="G14032" s="326"/>
      <c r="H14032" s="326"/>
      <c r="P14032" s="318"/>
      <c r="Q14032" s="318"/>
      <c r="R14032" s="318"/>
      <c r="S14032" s="318"/>
      <c r="T14032" s="318"/>
      <c r="U14032" s="318"/>
      <c r="V14032" s="318"/>
      <c r="W14032" s="318"/>
      <c r="X14032" s="318"/>
      <c r="Y14032" s="318"/>
      <c r="Z14032" s="318"/>
      <c r="AA14032" s="318"/>
      <c r="AB14032" s="318"/>
      <c r="AC14032" s="318"/>
      <c r="AD14032" s="318"/>
    </row>
    <row r="14033" spans="2:30" s="323" customFormat="1" ht="12" customHeight="1">
      <c r="B14033" s="324"/>
      <c r="C14033" s="325"/>
      <c r="D14033" s="326"/>
      <c r="E14033" s="326"/>
      <c r="F14033" s="326"/>
      <c r="G14033" s="326"/>
      <c r="H14033" s="326"/>
      <c r="P14033" s="318"/>
      <c r="Q14033" s="318"/>
      <c r="R14033" s="318"/>
      <c r="S14033" s="318"/>
      <c r="T14033" s="318"/>
      <c r="U14033" s="318"/>
      <c r="V14033" s="318"/>
      <c r="W14033" s="318"/>
      <c r="X14033" s="318"/>
      <c r="Y14033" s="318"/>
      <c r="Z14033" s="318"/>
      <c r="AA14033" s="318"/>
      <c r="AB14033" s="318"/>
      <c r="AC14033" s="318"/>
      <c r="AD14033" s="318"/>
    </row>
    <row r="14034" spans="2:30" s="323" customFormat="1" ht="12" customHeight="1">
      <c r="B14034" s="324"/>
      <c r="C14034" s="325"/>
      <c r="D14034" s="326"/>
      <c r="E14034" s="326"/>
      <c r="F14034" s="326"/>
      <c r="G14034" s="326"/>
      <c r="H14034" s="326"/>
      <c r="P14034" s="318"/>
      <c r="Q14034" s="318"/>
      <c r="R14034" s="318"/>
      <c r="S14034" s="318"/>
      <c r="T14034" s="318"/>
      <c r="U14034" s="318"/>
      <c r="V14034" s="318"/>
      <c r="W14034" s="318"/>
      <c r="X14034" s="318"/>
      <c r="Y14034" s="318"/>
      <c r="Z14034" s="318"/>
      <c r="AA14034" s="318"/>
      <c r="AB14034" s="318"/>
      <c r="AC14034" s="318"/>
      <c r="AD14034" s="318"/>
    </row>
    <row r="14035" spans="2:30" s="323" customFormat="1" ht="12" customHeight="1">
      <c r="B14035" s="324"/>
      <c r="C14035" s="325"/>
      <c r="D14035" s="326"/>
      <c r="E14035" s="326"/>
      <c r="F14035" s="326"/>
      <c r="G14035" s="326"/>
      <c r="H14035" s="326"/>
      <c r="P14035" s="318"/>
      <c r="Q14035" s="318"/>
      <c r="R14035" s="318"/>
      <c r="S14035" s="318"/>
      <c r="T14035" s="318"/>
      <c r="U14035" s="318"/>
      <c r="V14035" s="318"/>
      <c r="W14035" s="318"/>
      <c r="X14035" s="318"/>
      <c r="Y14035" s="318"/>
      <c r="Z14035" s="318"/>
      <c r="AA14035" s="318"/>
      <c r="AB14035" s="318"/>
      <c r="AC14035" s="318"/>
      <c r="AD14035" s="318"/>
    </row>
    <row r="14036" spans="2:30" s="323" customFormat="1" ht="12" customHeight="1">
      <c r="B14036" s="324"/>
      <c r="C14036" s="325"/>
      <c r="D14036" s="326"/>
      <c r="E14036" s="326"/>
      <c r="F14036" s="326"/>
      <c r="G14036" s="326"/>
      <c r="H14036" s="326"/>
      <c r="P14036" s="318"/>
      <c r="Q14036" s="318"/>
      <c r="R14036" s="318"/>
      <c r="S14036" s="318"/>
      <c r="T14036" s="318"/>
      <c r="U14036" s="318"/>
      <c r="V14036" s="318"/>
      <c r="W14036" s="318"/>
      <c r="X14036" s="318"/>
      <c r="Y14036" s="318"/>
      <c r="Z14036" s="318"/>
      <c r="AA14036" s="318"/>
      <c r="AB14036" s="318"/>
      <c r="AC14036" s="318"/>
      <c r="AD14036" s="318"/>
    </row>
    <row r="14037" spans="2:30" s="323" customFormat="1" ht="12" customHeight="1">
      <c r="B14037" s="324"/>
      <c r="C14037" s="325"/>
      <c r="D14037" s="326"/>
      <c r="E14037" s="326"/>
      <c r="F14037" s="326"/>
      <c r="G14037" s="326"/>
      <c r="H14037" s="326"/>
      <c r="P14037" s="318"/>
      <c r="Q14037" s="318"/>
      <c r="R14037" s="318"/>
      <c r="S14037" s="318"/>
      <c r="T14037" s="318"/>
      <c r="U14037" s="318"/>
      <c r="V14037" s="318"/>
      <c r="W14037" s="318"/>
      <c r="X14037" s="318"/>
      <c r="Y14037" s="318"/>
      <c r="Z14037" s="318"/>
      <c r="AA14037" s="318"/>
      <c r="AB14037" s="318"/>
      <c r="AC14037" s="318"/>
      <c r="AD14037" s="318"/>
    </row>
    <row r="14038" spans="2:30" s="323" customFormat="1" ht="12" customHeight="1">
      <c r="B14038" s="324"/>
      <c r="C14038" s="325"/>
      <c r="D14038" s="326"/>
      <c r="E14038" s="326"/>
      <c r="F14038" s="326"/>
      <c r="G14038" s="326"/>
      <c r="H14038" s="326"/>
      <c r="P14038" s="318"/>
      <c r="Q14038" s="318"/>
      <c r="R14038" s="318"/>
      <c r="S14038" s="318"/>
      <c r="T14038" s="318"/>
      <c r="U14038" s="318"/>
      <c r="V14038" s="318"/>
      <c r="W14038" s="318"/>
      <c r="X14038" s="318"/>
      <c r="Y14038" s="318"/>
      <c r="Z14038" s="318"/>
      <c r="AA14038" s="318"/>
      <c r="AB14038" s="318"/>
      <c r="AC14038" s="318"/>
      <c r="AD14038" s="318"/>
    </row>
    <row r="14039" spans="2:30" s="323" customFormat="1" ht="12" customHeight="1">
      <c r="B14039" s="324"/>
      <c r="C14039" s="325"/>
      <c r="D14039" s="326"/>
      <c r="E14039" s="326"/>
      <c r="F14039" s="326"/>
      <c r="G14039" s="326"/>
      <c r="H14039" s="326"/>
      <c r="P14039" s="318"/>
      <c r="Q14039" s="318"/>
      <c r="R14039" s="318"/>
      <c r="S14039" s="318"/>
      <c r="T14039" s="318"/>
      <c r="U14039" s="318"/>
      <c r="V14039" s="318"/>
      <c r="W14039" s="318"/>
      <c r="X14039" s="318"/>
      <c r="Y14039" s="318"/>
      <c r="Z14039" s="318"/>
      <c r="AA14039" s="318"/>
      <c r="AB14039" s="318"/>
      <c r="AC14039" s="318"/>
      <c r="AD14039" s="318"/>
    </row>
    <row r="14040" spans="2:30" s="323" customFormat="1" ht="12" customHeight="1">
      <c r="B14040" s="324"/>
      <c r="C14040" s="325"/>
      <c r="D14040" s="326"/>
      <c r="E14040" s="326"/>
      <c r="F14040" s="326"/>
      <c r="G14040" s="326"/>
      <c r="H14040" s="326"/>
      <c r="P14040" s="318"/>
      <c r="Q14040" s="318"/>
      <c r="R14040" s="318"/>
      <c r="S14040" s="318"/>
      <c r="T14040" s="318"/>
      <c r="U14040" s="318"/>
      <c r="V14040" s="318"/>
      <c r="W14040" s="318"/>
      <c r="X14040" s="318"/>
      <c r="Y14040" s="318"/>
      <c r="Z14040" s="318"/>
      <c r="AA14040" s="318"/>
      <c r="AB14040" s="318"/>
      <c r="AC14040" s="318"/>
      <c r="AD14040" s="318"/>
    </row>
    <row r="14041" spans="2:30" s="323" customFormat="1" ht="12" customHeight="1">
      <c r="B14041" s="324"/>
      <c r="C14041" s="325"/>
      <c r="D14041" s="326"/>
      <c r="E14041" s="326"/>
      <c r="F14041" s="326"/>
      <c r="G14041" s="326"/>
      <c r="H14041" s="326"/>
      <c r="P14041" s="318"/>
      <c r="Q14041" s="318"/>
      <c r="R14041" s="318"/>
      <c r="S14041" s="318"/>
      <c r="T14041" s="318"/>
      <c r="U14041" s="318"/>
      <c r="V14041" s="318"/>
      <c r="W14041" s="318"/>
      <c r="X14041" s="318"/>
      <c r="Y14041" s="318"/>
      <c r="Z14041" s="318"/>
      <c r="AA14041" s="318"/>
      <c r="AB14041" s="318"/>
      <c r="AC14041" s="318"/>
      <c r="AD14041" s="318"/>
    </row>
    <row r="14042" spans="2:30" s="323" customFormat="1" ht="12" customHeight="1">
      <c r="B14042" s="324"/>
      <c r="C14042" s="325"/>
      <c r="D14042" s="326"/>
      <c r="E14042" s="326"/>
      <c r="F14042" s="326"/>
      <c r="G14042" s="326"/>
      <c r="H14042" s="326"/>
      <c r="P14042" s="318"/>
      <c r="Q14042" s="318"/>
      <c r="R14042" s="318"/>
      <c r="S14042" s="318"/>
      <c r="T14042" s="318"/>
      <c r="U14042" s="318"/>
      <c r="V14042" s="318"/>
      <c r="W14042" s="318"/>
      <c r="X14042" s="318"/>
      <c r="Y14042" s="318"/>
      <c r="Z14042" s="318"/>
      <c r="AA14042" s="318"/>
      <c r="AB14042" s="318"/>
      <c r="AC14042" s="318"/>
      <c r="AD14042" s="318"/>
    </row>
    <row r="14043" spans="2:30" s="323" customFormat="1" ht="12" customHeight="1">
      <c r="B14043" s="324"/>
      <c r="C14043" s="325"/>
      <c r="D14043" s="326"/>
      <c r="E14043" s="326"/>
      <c r="F14043" s="326"/>
      <c r="G14043" s="326"/>
      <c r="H14043" s="326"/>
      <c r="P14043" s="318"/>
      <c r="Q14043" s="318"/>
      <c r="R14043" s="318"/>
      <c r="S14043" s="318"/>
      <c r="T14043" s="318"/>
      <c r="U14043" s="318"/>
      <c r="V14043" s="318"/>
      <c r="W14043" s="318"/>
      <c r="X14043" s="318"/>
      <c r="Y14043" s="318"/>
      <c r="Z14043" s="318"/>
      <c r="AA14043" s="318"/>
      <c r="AB14043" s="318"/>
      <c r="AC14043" s="318"/>
      <c r="AD14043" s="318"/>
    </row>
    <row r="14044" spans="2:30" s="323" customFormat="1" ht="12" customHeight="1">
      <c r="B14044" s="324"/>
      <c r="C14044" s="325"/>
      <c r="D14044" s="326"/>
      <c r="E14044" s="326"/>
      <c r="F14044" s="326"/>
      <c r="G14044" s="326"/>
      <c r="H14044" s="326"/>
      <c r="P14044" s="318"/>
      <c r="Q14044" s="318"/>
      <c r="R14044" s="318"/>
      <c r="S14044" s="318"/>
      <c r="T14044" s="318"/>
      <c r="U14044" s="318"/>
      <c r="V14044" s="318"/>
      <c r="W14044" s="318"/>
      <c r="X14044" s="318"/>
      <c r="Y14044" s="318"/>
      <c r="Z14044" s="318"/>
      <c r="AA14044" s="318"/>
      <c r="AB14044" s="318"/>
      <c r="AC14044" s="318"/>
      <c r="AD14044" s="318"/>
    </row>
    <row r="14045" spans="2:30" s="323" customFormat="1" ht="12" customHeight="1">
      <c r="B14045" s="324"/>
      <c r="C14045" s="325"/>
      <c r="D14045" s="326"/>
      <c r="E14045" s="326"/>
      <c r="F14045" s="326"/>
      <c r="G14045" s="326"/>
      <c r="H14045" s="326"/>
      <c r="P14045" s="318"/>
      <c r="Q14045" s="318"/>
      <c r="R14045" s="318"/>
      <c r="S14045" s="318"/>
      <c r="T14045" s="318"/>
      <c r="U14045" s="318"/>
      <c r="V14045" s="318"/>
      <c r="W14045" s="318"/>
      <c r="X14045" s="318"/>
      <c r="Y14045" s="318"/>
      <c r="Z14045" s="318"/>
      <c r="AA14045" s="318"/>
      <c r="AB14045" s="318"/>
      <c r="AC14045" s="318"/>
      <c r="AD14045" s="318"/>
    </row>
    <row r="14046" spans="2:30" s="323" customFormat="1" ht="12" customHeight="1">
      <c r="B14046" s="324"/>
      <c r="C14046" s="325"/>
      <c r="D14046" s="326"/>
      <c r="E14046" s="326"/>
      <c r="F14046" s="326"/>
      <c r="G14046" s="326"/>
      <c r="H14046" s="326"/>
      <c r="P14046" s="318"/>
      <c r="Q14046" s="318"/>
      <c r="R14046" s="318"/>
      <c r="S14046" s="318"/>
      <c r="T14046" s="318"/>
      <c r="U14046" s="318"/>
      <c r="V14046" s="318"/>
      <c r="W14046" s="318"/>
      <c r="X14046" s="318"/>
      <c r="Y14046" s="318"/>
      <c r="Z14046" s="318"/>
      <c r="AA14046" s="318"/>
      <c r="AB14046" s="318"/>
      <c r="AC14046" s="318"/>
      <c r="AD14046" s="318"/>
    </row>
    <row r="14047" spans="2:30" s="323" customFormat="1" ht="12" customHeight="1">
      <c r="B14047" s="324"/>
      <c r="C14047" s="325"/>
      <c r="D14047" s="326"/>
      <c r="E14047" s="326"/>
      <c r="F14047" s="326"/>
      <c r="G14047" s="326"/>
      <c r="H14047" s="326"/>
      <c r="P14047" s="318"/>
      <c r="Q14047" s="318"/>
      <c r="R14047" s="318"/>
      <c r="S14047" s="318"/>
      <c r="T14047" s="318"/>
      <c r="U14047" s="318"/>
      <c r="V14047" s="318"/>
      <c r="W14047" s="318"/>
      <c r="X14047" s="318"/>
      <c r="Y14047" s="318"/>
      <c r="Z14047" s="318"/>
      <c r="AA14047" s="318"/>
      <c r="AB14047" s="318"/>
      <c r="AC14047" s="318"/>
      <c r="AD14047" s="318"/>
    </row>
    <row r="14048" spans="2:30" s="323" customFormat="1" ht="12" customHeight="1">
      <c r="B14048" s="324"/>
      <c r="C14048" s="325"/>
      <c r="D14048" s="326"/>
      <c r="E14048" s="326"/>
      <c r="F14048" s="326"/>
      <c r="G14048" s="326"/>
      <c r="H14048" s="326"/>
      <c r="P14048" s="318"/>
      <c r="Q14048" s="318"/>
      <c r="R14048" s="318"/>
      <c r="S14048" s="318"/>
      <c r="T14048" s="318"/>
      <c r="U14048" s="318"/>
      <c r="V14048" s="318"/>
      <c r="W14048" s="318"/>
      <c r="X14048" s="318"/>
      <c r="Y14048" s="318"/>
      <c r="Z14048" s="318"/>
      <c r="AA14048" s="318"/>
      <c r="AB14048" s="318"/>
      <c r="AC14048" s="318"/>
      <c r="AD14048" s="318"/>
    </row>
    <row r="14049" spans="2:30" s="323" customFormat="1" ht="12" customHeight="1">
      <c r="B14049" s="324"/>
      <c r="C14049" s="325"/>
      <c r="D14049" s="326"/>
      <c r="E14049" s="326"/>
      <c r="F14049" s="326"/>
      <c r="G14049" s="326"/>
      <c r="H14049" s="326"/>
      <c r="P14049" s="318"/>
      <c r="Q14049" s="318"/>
      <c r="R14049" s="318"/>
      <c r="S14049" s="318"/>
      <c r="T14049" s="318"/>
      <c r="U14049" s="318"/>
      <c r="V14049" s="318"/>
      <c r="W14049" s="318"/>
      <c r="X14049" s="318"/>
      <c r="Y14049" s="318"/>
      <c r="Z14049" s="318"/>
      <c r="AA14049" s="318"/>
      <c r="AB14049" s="318"/>
      <c r="AC14049" s="318"/>
      <c r="AD14049" s="318"/>
    </row>
    <row r="14050" spans="2:30" s="323" customFormat="1" ht="12" customHeight="1">
      <c r="B14050" s="324"/>
      <c r="C14050" s="325"/>
      <c r="D14050" s="326"/>
      <c r="E14050" s="326"/>
      <c r="F14050" s="326"/>
      <c r="G14050" s="326"/>
      <c r="H14050" s="326"/>
      <c r="P14050" s="318"/>
      <c r="Q14050" s="318"/>
      <c r="R14050" s="318"/>
      <c r="S14050" s="318"/>
      <c r="T14050" s="318"/>
      <c r="U14050" s="318"/>
      <c r="V14050" s="318"/>
      <c r="W14050" s="318"/>
      <c r="X14050" s="318"/>
      <c r="Y14050" s="318"/>
      <c r="Z14050" s="318"/>
      <c r="AA14050" s="318"/>
      <c r="AB14050" s="318"/>
      <c r="AC14050" s="318"/>
      <c r="AD14050" s="318"/>
    </row>
    <row r="14051" spans="2:30" s="323" customFormat="1" ht="12" customHeight="1">
      <c r="B14051" s="324"/>
      <c r="C14051" s="325"/>
      <c r="D14051" s="326"/>
      <c r="E14051" s="326"/>
      <c r="F14051" s="326"/>
      <c r="G14051" s="326"/>
      <c r="H14051" s="326"/>
      <c r="P14051" s="318"/>
      <c r="Q14051" s="318"/>
      <c r="R14051" s="318"/>
      <c r="S14051" s="318"/>
      <c r="T14051" s="318"/>
      <c r="U14051" s="318"/>
      <c r="V14051" s="318"/>
      <c r="W14051" s="318"/>
      <c r="X14051" s="318"/>
      <c r="Y14051" s="318"/>
      <c r="Z14051" s="318"/>
      <c r="AA14051" s="318"/>
      <c r="AB14051" s="318"/>
      <c r="AC14051" s="318"/>
      <c r="AD14051" s="318"/>
    </row>
    <row r="14052" spans="2:30" s="323" customFormat="1" ht="12" customHeight="1">
      <c r="B14052" s="324"/>
      <c r="C14052" s="325"/>
      <c r="D14052" s="326"/>
      <c r="E14052" s="326"/>
      <c r="F14052" s="326"/>
      <c r="G14052" s="326"/>
      <c r="H14052" s="326"/>
      <c r="P14052" s="318"/>
      <c r="Q14052" s="318"/>
      <c r="R14052" s="318"/>
      <c r="S14052" s="318"/>
      <c r="T14052" s="318"/>
      <c r="U14052" s="318"/>
      <c r="V14052" s="318"/>
      <c r="W14052" s="318"/>
      <c r="X14052" s="318"/>
      <c r="Y14052" s="318"/>
      <c r="Z14052" s="318"/>
      <c r="AA14052" s="318"/>
      <c r="AB14052" s="318"/>
      <c r="AC14052" s="318"/>
      <c r="AD14052" s="318"/>
    </row>
    <row r="14053" spans="2:30" s="323" customFormat="1" ht="12" customHeight="1">
      <c r="B14053" s="324"/>
      <c r="C14053" s="325"/>
      <c r="D14053" s="326"/>
      <c r="E14053" s="326"/>
      <c r="F14053" s="326"/>
      <c r="G14053" s="326"/>
      <c r="H14053" s="326"/>
      <c r="P14053" s="318"/>
      <c r="Q14053" s="318"/>
      <c r="R14053" s="318"/>
      <c r="S14053" s="318"/>
      <c r="T14053" s="318"/>
      <c r="U14053" s="318"/>
      <c r="V14053" s="318"/>
      <c r="W14053" s="318"/>
      <c r="X14053" s="318"/>
      <c r="Y14053" s="318"/>
      <c r="Z14053" s="318"/>
      <c r="AA14053" s="318"/>
      <c r="AB14053" s="318"/>
      <c r="AC14053" s="318"/>
      <c r="AD14053" s="318"/>
    </row>
    <row r="14054" spans="2:30" s="323" customFormat="1" ht="12" customHeight="1">
      <c r="B14054" s="324"/>
      <c r="C14054" s="325"/>
      <c r="D14054" s="326"/>
      <c r="E14054" s="326"/>
      <c r="F14054" s="326"/>
      <c r="G14054" s="326"/>
      <c r="H14054" s="326"/>
      <c r="P14054" s="318"/>
      <c r="Q14054" s="318"/>
      <c r="R14054" s="318"/>
      <c r="S14054" s="318"/>
      <c r="T14054" s="318"/>
      <c r="U14054" s="318"/>
      <c r="V14054" s="318"/>
      <c r="W14054" s="318"/>
      <c r="X14054" s="318"/>
      <c r="Y14054" s="318"/>
      <c r="Z14054" s="318"/>
      <c r="AA14054" s="318"/>
      <c r="AB14054" s="318"/>
      <c r="AC14054" s="318"/>
      <c r="AD14054" s="318"/>
    </row>
    <row r="14055" spans="2:30" s="323" customFormat="1" ht="12" customHeight="1">
      <c r="B14055" s="324"/>
      <c r="C14055" s="325"/>
      <c r="D14055" s="326"/>
      <c r="E14055" s="326"/>
      <c r="F14055" s="326"/>
      <c r="G14055" s="326"/>
      <c r="H14055" s="326"/>
      <c r="P14055" s="318"/>
      <c r="Q14055" s="318"/>
      <c r="R14055" s="318"/>
      <c r="S14055" s="318"/>
      <c r="T14055" s="318"/>
      <c r="U14055" s="318"/>
      <c r="V14055" s="318"/>
      <c r="W14055" s="318"/>
      <c r="X14055" s="318"/>
      <c r="Y14055" s="318"/>
      <c r="Z14055" s="318"/>
      <c r="AA14055" s="318"/>
      <c r="AB14055" s="318"/>
      <c r="AC14055" s="318"/>
      <c r="AD14055" s="318"/>
    </row>
    <row r="14056" spans="2:30" s="323" customFormat="1" ht="12" customHeight="1">
      <c r="B14056" s="324"/>
      <c r="C14056" s="325"/>
      <c r="D14056" s="326"/>
      <c r="E14056" s="326"/>
      <c r="F14056" s="326"/>
      <c r="G14056" s="326"/>
      <c r="H14056" s="326"/>
      <c r="P14056" s="318"/>
      <c r="Q14056" s="318"/>
      <c r="R14056" s="318"/>
      <c r="S14056" s="318"/>
      <c r="T14056" s="318"/>
      <c r="U14056" s="318"/>
      <c r="V14056" s="318"/>
      <c r="W14056" s="318"/>
      <c r="X14056" s="318"/>
      <c r="Y14056" s="318"/>
      <c r="Z14056" s="318"/>
      <c r="AA14056" s="318"/>
      <c r="AB14056" s="318"/>
      <c r="AC14056" s="318"/>
      <c r="AD14056" s="318"/>
    </row>
    <row r="14057" spans="2:30" s="323" customFormat="1" ht="12" customHeight="1">
      <c r="B14057" s="324"/>
      <c r="C14057" s="325"/>
      <c r="D14057" s="326"/>
      <c r="E14057" s="326"/>
      <c r="F14057" s="326"/>
      <c r="G14057" s="326"/>
      <c r="H14057" s="326"/>
      <c r="P14057" s="318"/>
      <c r="Q14057" s="318"/>
      <c r="R14057" s="318"/>
      <c r="S14057" s="318"/>
      <c r="T14057" s="318"/>
      <c r="U14057" s="318"/>
      <c r="V14057" s="318"/>
      <c r="W14057" s="318"/>
      <c r="X14057" s="318"/>
      <c r="Y14057" s="318"/>
      <c r="Z14057" s="318"/>
      <c r="AA14057" s="318"/>
      <c r="AB14057" s="318"/>
      <c r="AC14057" s="318"/>
      <c r="AD14057" s="318"/>
    </row>
    <row r="14058" spans="2:30" s="323" customFormat="1" ht="12" customHeight="1">
      <c r="B14058" s="324"/>
      <c r="C14058" s="325"/>
      <c r="D14058" s="326"/>
      <c r="E14058" s="326"/>
      <c r="F14058" s="326"/>
      <c r="G14058" s="326"/>
      <c r="H14058" s="326"/>
      <c r="P14058" s="318"/>
      <c r="Q14058" s="318"/>
      <c r="R14058" s="318"/>
      <c r="S14058" s="318"/>
      <c r="T14058" s="318"/>
      <c r="U14058" s="318"/>
      <c r="V14058" s="318"/>
      <c r="W14058" s="318"/>
      <c r="X14058" s="318"/>
      <c r="Y14058" s="318"/>
      <c r="Z14058" s="318"/>
      <c r="AA14058" s="318"/>
      <c r="AB14058" s="318"/>
      <c r="AC14058" s="318"/>
      <c r="AD14058" s="318"/>
    </row>
    <row r="14059" spans="2:30" s="323" customFormat="1" ht="12" customHeight="1">
      <c r="B14059" s="324"/>
      <c r="C14059" s="325"/>
      <c r="D14059" s="326"/>
      <c r="E14059" s="326"/>
      <c r="F14059" s="326"/>
      <c r="G14059" s="326"/>
      <c r="H14059" s="326"/>
      <c r="P14059" s="318"/>
      <c r="Q14059" s="318"/>
      <c r="R14059" s="318"/>
      <c r="S14059" s="318"/>
      <c r="T14059" s="318"/>
      <c r="U14059" s="318"/>
      <c r="V14059" s="318"/>
      <c r="W14059" s="318"/>
      <c r="X14059" s="318"/>
      <c r="Y14059" s="318"/>
      <c r="Z14059" s="318"/>
      <c r="AA14059" s="318"/>
      <c r="AB14059" s="318"/>
      <c r="AC14059" s="318"/>
      <c r="AD14059" s="318"/>
    </row>
    <row r="14060" spans="2:30" s="323" customFormat="1" ht="12" customHeight="1">
      <c r="B14060" s="324"/>
      <c r="C14060" s="325"/>
      <c r="D14060" s="326"/>
      <c r="E14060" s="326"/>
      <c r="F14060" s="326"/>
      <c r="G14060" s="326"/>
      <c r="H14060" s="326"/>
      <c r="P14060" s="318"/>
      <c r="Q14060" s="318"/>
      <c r="R14060" s="318"/>
      <c r="S14060" s="318"/>
      <c r="T14060" s="318"/>
      <c r="U14060" s="318"/>
      <c r="V14060" s="318"/>
      <c r="W14060" s="318"/>
      <c r="X14060" s="318"/>
      <c r="Y14060" s="318"/>
      <c r="Z14060" s="318"/>
      <c r="AA14060" s="318"/>
      <c r="AB14060" s="318"/>
      <c r="AC14060" s="318"/>
      <c r="AD14060" s="318"/>
    </row>
    <row r="14061" spans="2:30" s="323" customFormat="1" ht="12" customHeight="1">
      <c r="B14061" s="324"/>
      <c r="C14061" s="325"/>
      <c r="D14061" s="326"/>
      <c r="E14061" s="326"/>
      <c r="F14061" s="326"/>
      <c r="G14061" s="326"/>
      <c r="H14061" s="326"/>
      <c r="P14061" s="318"/>
      <c r="Q14061" s="318"/>
      <c r="R14061" s="318"/>
      <c r="S14061" s="318"/>
      <c r="T14061" s="318"/>
      <c r="U14061" s="318"/>
      <c r="V14061" s="318"/>
      <c r="W14061" s="318"/>
      <c r="X14061" s="318"/>
      <c r="Y14061" s="318"/>
      <c r="Z14061" s="318"/>
      <c r="AA14061" s="318"/>
      <c r="AB14061" s="318"/>
      <c r="AC14061" s="318"/>
      <c r="AD14061" s="318"/>
    </row>
    <row r="14062" spans="2:30" s="323" customFormat="1" ht="12" customHeight="1">
      <c r="B14062" s="324"/>
      <c r="C14062" s="325"/>
      <c r="D14062" s="326"/>
      <c r="E14062" s="326"/>
      <c r="F14062" s="326"/>
      <c r="G14062" s="326"/>
      <c r="H14062" s="326"/>
      <c r="P14062" s="318"/>
      <c r="Q14062" s="318"/>
      <c r="R14062" s="318"/>
      <c r="S14062" s="318"/>
      <c r="T14062" s="318"/>
      <c r="U14062" s="318"/>
      <c r="V14062" s="318"/>
      <c r="W14062" s="318"/>
      <c r="X14062" s="318"/>
      <c r="Y14062" s="318"/>
      <c r="Z14062" s="318"/>
      <c r="AA14062" s="318"/>
      <c r="AB14062" s="318"/>
      <c r="AC14062" s="318"/>
      <c r="AD14062" s="318"/>
    </row>
    <row r="14063" spans="2:30" s="323" customFormat="1" ht="12" customHeight="1">
      <c r="B14063" s="324"/>
      <c r="C14063" s="325"/>
      <c r="D14063" s="326"/>
      <c r="E14063" s="326"/>
      <c r="F14063" s="326"/>
      <c r="G14063" s="326"/>
      <c r="H14063" s="326"/>
      <c r="P14063" s="318"/>
      <c r="Q14063" s="318"/>
      <c r="R14063" s="318"/>
      <c r="S14063" s="318"/>
      <c r="T14063" s="318"/>
      <c r="U14063" s="318"/>
      <c r="V14063" s="318"/>
      <c r="W14063" s="318"/>
      <c r="X14063" s="318"/>
      <c r="Y14063" s="318"/>
      <c r="Z14063" s="318"/>
      <c r="AA14063" s="318"/>
      <c r="AB14063" s="318"/>
      <c r="AC14063" s="318"/>
      <c r="AD14063" s="318"/>
    </row>
    <row r="14064" spans="2:30" s="323" customFormat="1" ht="12" customHeight="1">
      <c r="B14064" s="324"/>
      <c r="C14064" s="325"/>
      <c r="D14064" s="326"/>
      <c r="E14064" s="326"/>
      <c r="F14064" s="326"/>
      <c r="G14064" s="326"/>
      <c r="H14064" s="326"/>
      <c r="P14064" s="318"/>
      <c r="Q14064" s="318"/>
      <c r="R14064" s="318"/>
      <c r="S14064" s="318"/>
      <c r="T14064" s="318"/>
      <c r="U14064" s="318"/>
      <c r="V14064" s="318"/>
      <c r="W14064" s="318"/>
      <c r="X14064" s="318"/>
      <c r="Y14064" s="318"/>
      <c r="Z14064" s="318"/>
      <c r="AA14064" s="318"/>
      <c r="AB14064" s="318"/>
      <c r="AC14064" s="318"/>
      <c r="AD14064" s="318"/>
    </row>
    <row r="14065" spans="2:30" s="323" customFormat="1" ht="12" customHeight="1">
      <c r="B14065" s="324"/>
      <c r="C14065" s="325"/>
      <c r="D14065" s="326"/>
      <c r="E14065" s="326"/>
      <c r="F14065" s="326"/>
      <c r="G14065" s="326"/>
      <c r="H14065" s="326"/>
      <c r="P14065" s="318"/>
      <c r="Q14065" s="318"/>
      <c r="R14065" s="318"/>
      <c r="S14065" s="318"/>
      <c r="T14065" s="318"/>
      <c r="U14065" s="318"/>
      <c r="V14065" s="318"/>
      <c r="W14065" s="318"/>
      <c r="X14065" s="318"/>
      <c r="Y14065" s="318"/>
      <c r="Z14065" s="318"/>
      <c r="AA14065" s="318"/>
      <c r="AB14065" s="318"/>
      <c r="AC14065" s="318"/>
      <c r="AD14065" s="318"/>
    </row>
    <row r="14066" spans="2:30" s="323" customFormat="1" ht="12" customHeight="1">
      <c r="B14066" s="324"/>
      <c r="C14066" s="325"/>
      <c r="D14066" s="326"/>
      <c r="E14066" s="326"/>
      <c r="F14066" s="326"/>
      <c r="G14066" s="326"/>
      <c r="H14066" s="326"/>
      <c r="P14066" s="318"/>
      <c r="Q14066" s="318"/>
      <c r="R14066" s="318"/>
      <c r="S14066" s="318"/>
      <c r="T14066" s="318"/>
      <c r="U14066" s="318"/>
      <c r="V14066" s="318"/>
      <c r="W14066" s="318"/>
      <c r="X14066" s="318"/>
      <c r="Y14066" s="318"/>
      <c r="Z14066" s="318"/>
      <c r="AA14066" s="318"/>
      <c r="AB14066" s="318"/>
      <c r="AC14066" s="318"/>
      <c r="AD14066" s="318"/>
    </row>
    <row r="14067" spans="2:30" s="323" customFormat="1" ht="12" customHeight="1">
      <c r="B14067" s="324"/>
      <c r="C14067" s="325"/>
      <c r="D14067" s="326"/>
      <c r="E14067" s="326"/>
      <c r="F14067" s="326"/>
      <c r="G14067" s="326"/>
      <c r="H14067" s="326"/>
      <c r="P14067" s="318"/>
      <c r="Q14067" s="318"/>
      <c r="R14067" s="318"/>
      <c r="S14067" s="318"/>
      <c r="T14067" s="318"/>
      <c r="U14067" s="318"/>
      <c r="V14067" s="318"/>
      <c r="W14067" s="318"/>
      <c r="X14067" s="318"/>
      <c r="Y14067" s="318"/>
      <c r="Z14067" s="318"/>
      <c r="AA14067" s="318"/>
      <c r="AB14067" s="318"/>
      <c r="AC14067" s="318"/>
      <c r="AD14067" s="318"/>
    </row>
    <row r="14068" spans="2:30" s="323" customFormat="1" ht="12" customHeight="1">
      <c r="B14068" s="324"/>
      <c r="C14068" s="325"/>
      <c r="D14068" s="326"/>
      <c r="E14068" s="326"/>
      <c r="F14068" s="326"/>
      <c r="G14068" s="326"/>
      <c r="H14068" s="326"/>
      <c r="P14068" s="318"/>
      <c r="Q14068" s="318"/>
      <c r="R14068" s="318"/>
      <c r="S14068" s="318"/>
      <c r="T14068" s="318"/>
      <c r="U14068" s="318"/>
      <c r="V14068" s="318"/>
      <c r="W14068" s="318"/>
      <c r="X14068" s="318"/>
      <c r="Y14068" s="318"/>
      <c r="Z14068" s="318"/>
      <c r="AA14068" s="318"/>
      <c r="AB14068" s="318"/>
      <c r="AC14068" s="318"/>
      <c r="AD14068" s="318"/>
    </row>
    <row r="14069" spans="2:30" s="323" customFormat="1" ht="12" customHeight="1">
      <c r="B14069" s="324"/>
      <c r="C14069" s="325"/>
      <c r="D14069" s="326"/>
      <c r="E14069" s="326"/>
      <c r="F14069" s="326"/>
      <c r="G14069" s="326"/>
      <c r="H14069" s="326"/>
      <c r="P14069" s="318"/>
      <c r="Q14069" s="318"/>
      <c r="R14069" s="318"/>
      <c r="S14069" s="318"/>
      <c r="T14069" s="318"/>
      <c r="U14069" s="318"/>
      <c r="V14069" s="318"/>
      <c r="W14069" s="318"/>
      <c r="X14069" s="318"/>
      <c r="Y14069" s="318"/>
      <c r="Z14069" s="318"/>
      <c r="AA14069" s="318"/>
      <c r="AB14069" s="318"/>
      <c r="AC14069" s="318"/>
      <c r="AD14069" s="318"/>
    </row>
    <row r="14070" spans="2:30" s="323" customFormat="1" ht="12" customHeight="1">
      <c r="B14070" s="324"/>
      <c r="C14070" s="325"/>
      <c r="D14070" s="326"/>
      <c r="E14070" s="326"/>
      <c r="F14070" s="326"/>
      <c r="G14070" s="326"/>
      <c r="H14070" s="326"/>
      <c r="P14070" s="318"/>
      <c r="Q14070" s="318"/>
      <c r="R14070" s="318"/>
      <c r="S14070" s="318"/>
      <c r="T14070" s="318"/>
      <c r="U14070" s="318"/>
      <c r="V14070" s="318"/>
      <c r="W14070" s="318"/>
      <c r="X14070" s="318"/>
      <c r="Y14070" s="318"/>
      <c r="Z14070" s="318"/>
      <c r="AA14070" s="318"/>
      <c r="AB14070" s="318"/>
      <c r="AC14070" s="318"/>
      <c r="AD14070" s="318"/>
    </row>
    <row r="14071" spans="2:30" s="323" customFormat="1" ht="12" customHeight="1">
      <c r="B14071" s="324"/>
      <c r="C14071" s="325"/>
      <c r="D14071" s="326"/>
      <c r="E14071" s="326"/>
      <c r="F14071" s="326"/>
      <c r="G14071" s="326"/>
      <c r="H14071" s="326"/>
      <c r="P14071" s="318"/>
      <c r="Q14071" s="318"/>
      <c r="R14071" s="318"/>
      <c r="S14071" s="318"/>
      <c r="T14071" s="318"/>
      <c r="U14071" s="318"/>
      <c r="V14071" s="318"/>
      <c r="W14071" s="318"/>
      <c r="X14071" s="318"/>
      <c r="Y14071" s="318"/>
      <c r="Z14071" s="318"/>
      <c r="AA14071" s="318"/>
      <c r="AB14071" s="318"/>
      <c r="AC14071" s="318"/>
      <c r="AD14071" s="318"/>
    </row>
    <row r="14072" spans="2:30" s="323" customFormat="1" ht="12" customHeight="1">
      <c r="B14072" s="324"/>
      <c r="C14072" s="325"/>
      <c r="D14072" s="326"/>
      <c r="E14072" s="326"/>
      <c r="F14072" s="326"/>
      <c r="G14072" s="326"/>
      <c r="H14072" s="326"/>
      <c r="P14072" s="318"/>
      <c r="Q14072" s="318"/>
      <c r="R14072" s="318"/>
      <c r="S14072" s="318"/>
      <c r="T14072" s="318"/>
      <c r="U14072" s="318"/>
      <c r="V14072" s="318"/>
      <c r="W14072" s="318"/>
      <c r="X14072" s="318"/>
      <c r="Y14072" s="318"/>
      <c r="Z14072" s="318"/>
      <c r="AA14072" s="318"/>
      <c r="AB14072" s="318"/>
      <c r="AC14072" s="318"/>
      <c r="AD14072" s="318"/>
    </row>
    <row r="14073" spans="2:30" s="323" customFormat="1" ht="12" customHeight="1">
      <c r="B14073" s="324"/>
      <c r="C14073" s="325"/>
      <c r="D14073" s="326"/>
      <c r="E14073" s="326"/>
      <c r="F14073" s="326"/>
      <c r="G14073" s="326"/>
      <c r="H14073" s="326"/>
      <c r="P14073" s="318"/>
      <c r="Q14073" s="318"/>
      <c r="R14073" s="318"/>
      <c r="S14073" s="318"/>
      <c r="T14073" s="318"/>
      <c r="U14073" s="318"/>
      <c r="V14073" s="318"/>
      <c r="W14073" s="318"/>
      <c r="X14073" s="318"/>
      <c r="Y14073" s="318"/>
      <c r="Z14073" s="318"/>
      <c r="AA14073" s="318"/>
      <c r="AB14073" s="318"/>
      <c r="AC14073" s="318"/>
      <c r="AD14073" s="318"/>
    </row>
    <row r="14074" spans="2:30" s="323" customFormat="1" ht="12" customHeight="1">
      <c r="B14074" s="324"/>
      <c r="C14074" s="325"/>
      <c r="D14074" s="326"/>
      <c r="E14074" s="326"/>
      <c r="F14074" s="326"/>
      <c r="G14074" s="326"/>
      <c r="H14074" s="326"/>
      <c r="P14074" s="318"/>
      <c r="Q14074" s="318"/>
      <c r="R14074" s="318"/>
      <c r="S14074" s="318"/>
      <c r="T14074" s="318"/>
      <c r="U14074" s="318"/>
      <c r="V14074" s="318"/>
      <c r="W14074" s="318"/>
      <c r="X14074" s="318"/>
      <c r="Y14074" s="318"/>
      <c r="Z14074" s="318"/>
      <c r="AA14074" s="318"/>
      <c r="AB14074" s="318"/>
      <c r="AC14074" s="318"/>
      <c r="AD14074" s="318"/>
    </row>
    <row r="14075" spans="2:30" s="323" customFormat="1" ht="12" customHeight="1">
      <c r="B14075" s="324"/>
      <c r="C14075" s="325"/>
      <c r="D14075" s="326"/>
      <c r="E14075" s="326"/>
      <c r="F14075" s="326"/>
      <c r="G14075" s="326"/>
      <c r="H14075" s="326"/>
      <c r="P14075" s="318"/>
      <c r="Q14075" s="318"/>
      <c r="R14075" s="318"/>
      <c r="S14075" s="318"/>
      <c r="T14075" s="318"/>
      <c r="U14075" s="318"/>
      <c r="V14075" s="318"/>
      <c r="W14075" s="318"/>
      <c r="X14075" s="318"/>
      <c r="Y14075" s="318"/>
      <c r="Z14075" s="318"/>
      <c r="AA14075" s="318"/>
      <c r="AB14075" s="318"/>
      <c r="AC14075" s="318"/>
      <c r="AD14075" s="318"/>
    </row>
    <row r="14076" spans="2:30" s="323" customFormat="1" ht="12" customHeight="1">
      <c r="B14076" s="324"/>
      <c r="C14076" s="325"/>
      <c r="D14076" s="326"/>
      <c r="E14076" s="326"/>
      <c r="F14076" s="326"/>
      <c r="G14076" s="326"/>
      <c r="H14076" s="326"/>
      <c r="P14076" s="318"/>
      <c r="Q14076" s="318"/>
      <c r="R14076" s="318"/>
      <c r="S14076" s="318"/>
      <c r="T14076" s="318"/>
      <c r="U14076" s="318"/>
      <c r="V14076" s="318"/>
      <c r="W14076" s="318"/>
      <c r="X14076" s="318"/>
      <c r="Y14076" s="318"/>
      <c r="Z14076" s="318"/>
      <c r="AA14076" s="318"/>
      <c r="AB14076" s="318"/>
      <c r="AC14076" s="318"/>
      <c r="AD14076" s="318"/>
    </row>
    <row r="14077" spans="2:30" s="323" customFormat="1" ht="12" customHeight="1">
      <c r="B14077" s="324"/>
      <c r="C14077" s="325"/>
      <c r="D14077" s="326"/>
      <c r="E14077" s="326"/>
      <c r="F14077" s="326"/>
      <c r="G14077" s="326"/>
      <c r="H14077" s="326"/>
      <c r="P14077" s="318"/>
      <c r="Q14077" s="318"/>
      <c r="R14077" s="318"/>
      <c r="S14077" s="318"/>
      <c r="T14077" s="318"/>
      <c r="U14077" s="318"/>
      <c r="V14077" s="318"/>
      <c r="W14077" s="318"/>
      <c r="X14077" s="318"/>
      <c r="Y14077" s="318"/>
      <c r="Z14077" s="318"/>
      <c r="AA14077" s="318"/>
      <c r="AB14077" s="318"/>
      <c r="AC14077" s="318"/>
      <c r="AD14077" s="318"/>
    </row>
    <row r="14078" spans="2:30" s="323" customFormat="1" ht="12" customHeight="1">
      <c r="B14078" s="324"/>
      <c r="C14078" s="325"/>
      <c r="D14078" s="326"/>
      <c r="E14078" s="326"/>
      <c r="F14078" s="326"/>
      <c r="G14078" s="326"/>
      <c r="H14078" s="326"/>
      <c r="P14078" s="318"/>
      <c r="Q14078" s="318"/>
      <c r="R14078" s="318"/>
      <c r="S14078" s="318"/>
      <c r="T14078" s="318"/>
      <c r="U14078" s="318"/>
      <c r="V14078" s="318"/>
      <c r="W14078" s="318"/>
      <c r="X14078" s="318"/>
      <c r="Y14078" s="318"/>
      <c r="Z14078" s="318"/>
      <c r="AA14078" s="318"/>
      <c r="AB14078" s="318"/>
      <c r="AC14078" s="318"/>
      <c r="AD14078" s="318"/>
    </row>
    <row r="14079" spans="2:30" s="323" customFormat="1" ht="12" customHeight="1">
      <c r="B14079" s="324"/>
      <c r="C14079" s="325"/>
      <c r="D14079" s="326"/>
      <c r="E14079" s="326"/>
      <c r="F14079" s="326"/>
      <c r="G14079" s="326"/>
      <c r="H14079" s="326"/>
      <c r="P14079" s="318"/>
      <c r="Q14079" s="318"/>
      <c r="R14079" s="318"/>
      <c r="S14079" s="318"/>
      <c r="T14079" s="318"/>
      <c r="U14079" s="318"/>
      <c r="V14079" s="318"/>
      <c r="W14079" s="318"/>
      <c r="X14079" s="318"/>
      <c r="Y14079" s="318"/>
      <c r="Z14079" s="318"/>
      <c r="AA14079" s="318"/>
      <c r="AB14079" s="318"/>
      <c r="AC14079" s="318"/>
      <c r="AD14079" s="318"/>
    </row>
    <row r="14080" spans="2:30" s="323" customFormat="1" ht="12" customHeight="1">
      <c r="B14080" s="324"/>
      <c r="C14080" s="325"/>
      <c r="D14080" s="326"/>
      <c r="E14080" s="326"/>
      <c r="F14080" s="326"/>
      <c r="G14080" s="326"/>
      <c r="H14080" s="326"/>
      <c r="P14080" s="318"/>
      <c r="Q14080" s="318"/>
      <c r="R14080" s="318"/>
      <c r="S14080" s="318"/>
      <c r="T14080" s="318"/>
      <c r="U14080" s="318"/>
      <c r="V14080" s="318"/>
      <c r="W14080" s="318"/>
      <c r="X14080" s="318"/>
      <c r="Y14080" s="318"/>
      <c r="Z14080" s="318"/>
      <c r="AA14080" s="318"/>
      <c r="AB14080" s="318"/>
      <c r="AC14080" s="318"/>
      <c r="AD14080" s="318"/>
    </row>
    <row r="14081" spans="2:30" s="323" customFormat="1" ht="12" customHeight="1">
      <c r="B14081" s="324"/>
      <c r="C14081" s="325"/>
      <c r="D14081" s="326"/>
      <c r="E14081" s="326"/>
      <c r="F14081" s="326"/>
      <c r="G14081" s="326"/>
      <c r="H14081" s="326"/>
      <c r="P14081" s="318"/>
      <c r="Q14081" s="318"/>
      <c r="R14081" s="318"/>
      <c r="S14081" s="318"/>
      <c r="T14081" s="318"/>
      <c r="U14081" s="318"/>
      <c r="V14081" s="318"/>
      <c r="W14081" s="318"/>
      <c r="X14081" s="318"/>
      <c r="Y14081" s="318"/>
      <c r="Z14081" s="318"/>
      <c r="AA14081" s="318"/>
      <c r="AB14081" s="318"/>
      <c r="AC14081" s="318"/>
      <c r="AD14081" s="318"/>
    </row>
    <row r="14082" spans="2:30" s="323" customFormat="1" ht="12" customHeight="1">
      <c r="B14082" s="324"/>
      <c r="C14082" s="325"/>
      <c r="D14082" s="326"/>
      <c r="E14082" s="326"/>
      <c r="F14082" s="326"/>
      <c r="G14082" s="326"/>
      <c r="H14082" s="326"/>
      <c r="P14082" s="318"/>
      <c r="Q14082" s="318"/>
      <c r="R14082" s="318"/>
      <c r="S14082" s="318"/>
      <c r="T14082" s="318"/>
      <c r="U14082" s="318"/>
      <c r="V14082" s="318"/>
      <c r="W14082" s="318"/>
      <c r="X14082" s="318"/>
      <c r="Y14082" s="318"/>
      <c r="Z14082" s="318"/>
      <c r="AA14082" s="318"/>
      <c r="AB14082" s="318"/>
      <c r="AC14082" s="318"/>
      <c r="AD14082" s="318"/>
    </row>
    <row r="14083" spans="2:30" s="323" customFormat="1" ht="12" customHeight="1">
      <c r="B14083" s="324"/>
      <c r="C14083" s="325"/>
      <c r="D14083" s="326"/>
      <c r="E14083" s="326"/>
      <c r="F14083" s="326"/>
      <c r="G14083" s="326"/>
      <c r="H14083" s="326"/>
      <c r="P14083" s="318"/>
      <c r="Q14083" s="318"/>
      <c r="R14083" s="318"/>
      <c r="S14083" s="318"/>
      <c r="T14083" s="318"/>
      <c r="U14083" s="318"/>
      <c r="V14083" s="318"/>
      <c r="W14083" s="318"/>
      <c r="X14083" s="318"/>
      <c r="Y14083" s="318"/>
      <c r="Z14083" s="318"/>
      <c r="AA14083" s="318"/>
      <c r="AB14083" s="318"/>
      <c r="AC14083" s="318"/>
      <c r="AD14083" s="318"/>
    </row>
    <row r="14084" spans="2:30" s="323" customFormat="1" ht="12" customHeight="1">
      <c r="B14084" s="324"/>
      <c r="C14084" s="325"/>
      <c r="D14084" s="326"/>
      <c r="E14084" s="326"/>
      <c r="F14084" s="326"/>
      <c r="G14084" s="326"/>
      <c r="H14084" s="326"/>
      <c r="P14084" s="318"/>
      <c r="Q14084" s="318"/>
      <c r="R14084" s="318"/>
      <c r="S14084" s="318"/>
      <c r="T14084" s="318"/>
      <c r="U14084" s="318"/>
      <c r="V14084" s="318"/>
      <c r="W14084" s="318"/>
      <c r="X14084" s="318"/>
      <c r="Y14084" s="318"/>
      <c r="Z14084" s="318"/>
      <c r="AA14084" s="318"/>
      <c r="AB14084" s="318"/>
      <c r="AC14084" s="318"/>
      <c r="AD14084" s="318"/>
    </row>
    <row r="14085" spans="2:30" s="323" customFormat="1" ht="12" customHeight="1">
      <c r="B14085" s="324"/>
      <c r="C14085" s="325"/>
      <c r="D14085" s="326"/>
      <c r="E14085" s="326"/>
      <c r="F14085" s="326"/>
      <c r="G14085" s="326"/>
      <c r="H14085" s="326"/>
      <c r="P14085" s="318"/>
      <c r="Q14085" s="318"/>
      <c r="R14085" s="318"/>
      <c r="S14085" s="318"/>
      <c r="T14085" s="318"/>
      <c r="U14085" s="318"/>
      <c r="V14085" s="318"/>
      <c r="W14085" s="318"/>
      <c r="X14085" s="318"/>
      <c r="Y14085" s="318"/>
      <c r="Z14085" s="318"/>
      <c r="AA14085" s="318"/>
      <c r="AB14085" s="318"/>
      <c r="AC14085" s="318"/>
      <c r="AD14085" s="318"/>
    </row>
    <row r="14086" spans="2:30" s="323" customFormat="1" ht="12" customHeight="1">
      <c r="B14086" s="324"/>
      <c r="C14086" s="325"/>
      <c r="D14086" s="326"/>
      <c r="E14086" s="326"/>
      <c r="F14086" s="326"/>
      <c r="G14086" s="326"/>
      <c r="H14086" s="326"/>
      <c r="P14086" s="318"/>
      <c r="Q14086" s="318"/>
      <c r="R14086" s="318"/>
      <c r="S14086" s="318"/>
      <c r="T14086" s="318"/>
      <c r="U14086" s="318"/>
      <c r="V14086" s="318"/>
      <c r="W14086" s="318"/>
      <c r="X14086" s="318"/>
      <c r="Y14086" s="318"/>
      <c r="Z14086" s="318"/>
      <c r="AA14086" s="318"/>
      <c r="AB14086" s="318"/>
      <c r="AC14086" s="318"/>
      <c r="AD14086" s="318"/>
    </row>
    <row r="14087" spans="2:30" s="323" customFormat="1" ht="12" customHeight="1">
      <c r="B14087" s="324"/>
      <c r="C14087" s="325"/>
      <c r="D14087" s="326"/>
      <c r="E14087" s="326"/>
      <c r="F14087" s="326"/>
      <c r="G14087" s="326"/>
      <c r="H14087" s="326"/>
      <c r="P14087" s="318"/>
      <c r="Q14087" s="318"/>
      <c r="R14087" s="318"/>
      <c r="S14087" s="318"/>
      <c r="T14087" s="318"/>
      <c r="U14087" s="318"/>
      <c r="V14087" s="318"/>
      <c r="W14087" s="318"/>
      <c r="X14087" s="318"/>
      <c r="Y14087" s="318"/>
      <c r="Z14087" s="318"/>
      <c r="AA14087" s="318"/>
      <c r="AB14087" s="318"/>
      <c r="AC14087" s="318"/>
      <c r="AD14087" s="318"/>
    </row>
    <row r="14088" spans="2:30" s="323" customFormat="1" ht="12" customHeight="1">
      <c r="B14088" s="324"/>
      <c r="C14088" s="325"/>
      <c r="D14088" s="326"/>
      <c r="E14088" s="326"/>
      <c r="F14088" s="326"/>
      <c r="G14088" s="326"/>
      <c r="H14088" s="326"/>
      <c r="P14088" s="318"/>
      <c r="Q14088" s="318"/>
      <c r="R14088" s="318"/>
      <c r="S14088" s="318"/>
      <c r="T14088" s="318"/>
      <c r="U14088" s="318"/>
      <c r="V14088" s="318"/>
      <c r="W14088" s="318"/>
      <c r="X14088" s="318"/>
      <c r="Y14088" s="318"/>
      <c r="Z14088" s="318"/>
      <c r="AA14088" s="318"/>
      <c r="AB14088" s="318"/>
      <c r="AC14088" s="318"/>
      <c r="AD14088" s="318"/>
    </row>
    <row r="14089" spans="2:30" s="323" customFormat="1" ht="12" customHeight="1">
      <c r="B14089" s="324"/>
      <c r="C14089" s="325"/>
      <c r="D14089" s="326"/>
      <c r="E14089" s="326"/>
      <c r="F14089" s="326"/>
      <c r="G14089" s="326"/>
      <c r="H14089" s="326"/>
      <c r="P14089" s="318"/>
      <c r="Q14089" s="318"/>
      <c r="R14089" s="318"/>
      <c r="S14089" s="318"/>
      <c r="T14089" s="318"/>
      <c r="U14089" s="318"/>
      <c r="V14089" s="318"/>
      <c r="W14089" s="318"/>
      <c r="X14089" s="318"/>
      <c r="Y14089" s="318"/>
      <c r="Z14089" s="318"/>
      <c r="AA14089" s="318"/>
      <c r="AB14089" s="318"/>
      <c r="AC14089" s="318"/>
      <c r="AD14089" s="318"/>
    </row>
    <row r="14090" spans="2:30" s="323" customFormat="1" ht="12" customHeight="1">
      <c r="B14090" s="324"/>
      <c r="C14090" s="325"/>
      <c r="D14090" s="326"/>
      <c r="E14090" s="326"/>
      <c r="F14090" s="326"/>
      <c r="G14090" s="326"/>
      <c r="H14090" s="326"/>
      <c r="P14090" s="318"/>
      <c r="Q14090" s="318"/>
      <c r="R14090" s="318"/>
      <c r="S14090" s="318"/>
      <c r="T14090" s="318"/>
      <c r="U14090" s="318"/>
      <c r="V14090" s="318"/>
      <c r="W14090" s="318"/>
      <c r="X14090" s="318"/>
      <c r="Y14090" s="318"/>
      <c r="Z14090" s="318"/>
      <c r="AA14090" s="318"/>
      <c r="AB14090" s="318"/>
      <c r="AC14090" s="318"/>
      <c r="AD14090" s="318"/>
    </row>
    <row r="14091" spans="2:30" s="323" customFormat="1" ht="12" customHeight="1">
      <c r="B14091" s="324"/>
      <c r="C14091" s="325"/>
      <c r="D14091" s="326"/>
      <c r="E14091" s="326"/>
      <c r="F14091" s="326"/>
      <c r="G14091" s="326"/>
      <c r="H14091" s="326"/>
      <c r="P14091" s="318"/>
      <c r="Q14091" s="318"/>
      <c r="R14091" s="318"/>
      <c r="S14091" s="318"/>
      <c r="T14091" s="318"/>
      <c r="U14091" s="318"/>
      <c r="V14091" s="318"/>
      <c r="W14091" s="318"/>
      <c r="X14091" s="318"/>
      <c r="Y14091" s="318"/>
      <c r="Z14091" s="318"/>
      <c r="AA14091" s="318"/>
      <c r="AB14091" s="318"/>
      <c r="AC14091" s="318"/>
      <c r="AD14091" s="318"/>
    </row>
    <row r="14092" spans="2:30" s="323" customFormat="1" ht="12" customHeight="1">
      <c r="B14092" s="324"/>
      <c r="C14092" s="325"/>
      <c r="D14092" s="326"/>
      <c r="E14092" s="326"/>
      <c r="F14092" s="326"/>
      <c r="G14092" s="326"/>
      <c r="H14092" s="326"/>
      <c r="P14092" s="318"/>
      <c r="Q14092" s="318"/>
      <c r="R14092" s="318"/>
      <c r="S14092" s="318"/>
      <c r="T14092" s="318"/>
      <c r="U14092" s="318"/>
      <c r="V14092" s="318"/>
      <c r="W14092" s="318"/>
      <c r="X14092" s="318"/>
      <c r="Y14092" s="318"/>
      <c r="Z14092" s="318"/>
      <c r="AA14092" s="318"/>
      <c r="AB14092" s="318"/>
      <c r="AC14092" s="318"/>
      <c r="AD14092" s="318"/>
    </row>
    <row r="14093" spans="2:30" s="323" customFormat="1" ht="12" customHeight="1">
      <c r="B14093" s="324"/>
      <c r="C14093" s="325"/>
      <c r="D14093" s="326"/>
      <c r="E14093" s="326"/>
      <c r="F14093" s="326"/>
      <c r="G14093" s="326"/>
      <c r="H14093" s="326"/>
      <c r="P14093" s="318"/>
      <c r="Q14093" s="318"/>
      <c r="R14093" s="318"/>
      <c r="S14093" s="318"/>
      <c r="T14093" s="318"/>
      <c r="U14093" s="318"/>
      <c r="V14093" s="318"/>
      <c r="W14093" s="318"/>
      <c r="X14093" s="318"/>
      <c r="Y14093" s="318"/>
      <c r="Z14093" s="318"/>
      <c r="AA14093" s="318"/>
      <c r="AB14093" s="318"/>
      <c r="AC14093" s="318"/>
      <c r="AD14093" s="318"/>
    </row>
    <row r="14094" spans="2:30" s="323" customFormat="1" ht="12" customHeight="1">
      <c r="B14094" s="324"/>
      <c r="C14094" s="325"/>
      <c r="D14094" s="326"/>
      <c r="E14094" s="326"/>
      <c r="F14094" s="326"/>
      <c r="G14094" s="326"/>
      <c r="H14094" s="326"/>
      <c r="P14094" s="318"/>
      <c r="Q14094" s="318"/>
      <c r="R14094" s="318"/>
      <c r="S14094" s="318"/>
      <c r="T14094" s="318"/>
      <c r="U14094" s="318"/>
      <c r="V14094" s="318"/>
      <c r="W14094" s="318"/>
      <c r="X14094" s="318"/>
      <c r="Y14094" s="318"/>
      <c r="Z14094" s="318"/>
      <c r="AA14094" s="318"/>
      <c r="AB14094" s="318"/>
      <c r="AC14094" s="318"/>
      <c r="AD14094" s="318"/>
    </row>
    <row r="14095" spans="2:30" s="323" customFormat="1" ht="12" customHeight="1">
      <c r="B14095" s="324"/>
      <c r="C14095" s="325"/>
      <c r="D14095" s="326"/>
      <c r="E14095" s="326"/>
      <c r="F14095" s="326"/>
      <c r="G14095" s="326"/>
      <c r="H14095" s="326"/>
      <c r="P14095" s="318"/>
      <c r="Q14095" s="318"/>
      <c r="R14095" s="318"/>
      <c r="S14095" s="318"/>
      <c r="T14095" s="318"/>
      <c r="U14095" s="318"/>
      <c r="V14095" s="318"/>
      <c r="W14095" s="318"/>
      <c r="X14095" s="318"/>
      <c r="Y14095" s="318"/>
      <c r="Z14095" s="318"/>
      <c r="AA14095" s="318"/>
      <c r="AB14095" s="318"/>
      <c r="AC14095" s="318"/>
      <c r="AD14095" s="318"/>
    </row>
    <row r="14096" spans="2:30" s="323" customFormat="1" ht="12" customHeight="1">
      <c r="B14096" s="324"/>
      <c r="C14096" s="325"/>
      <c r="D14096" s="326"/>
      <c r="E14096" s="326"/>
      <c r="F14096" s="326"/>
      <c r="G14096" s="326"/>
      <c r="H14096" s="326"/>
      <c r="P14096" s="318"/>
      <c r="Q14096" s="318"/>
      <c r="R14096" s="318"/>
      <c r="S14096" s="318"/>
      <c r="T14096" s="318"/>
      <c r="U14096" s="318"/>
      <c r="V14096" s="318"/>
      <c r="W14096" s="318"/>
      <c r="X14096" s="318"/>
      <c r="Y14096" s="318"/>
      <c r="Z14096" s="318"/>
      <c r="AA14096" s="318"/>
      <c r="AB14096" s="318"/>
      <c r="AC14096" s="318"/>
      <c r="AD14096" s="318"/>
    </row>
    <row r="14097" spans="2:30" s="323" customFormat="1" ht="12" customHeight="1">
      <c r="B14097" s="324"/>
      <c r="C14097" s="325"/>
      <c r="D14097" s="326"/>
      <c r="E14097" s="326"/>
      <c r="F14097" s="326"/>
      <c r="G14097" s="326"/>
      <c r="H14097" s="326"/>
      <c r="P14097" s="318"/>
      <c r="Q14097" s="318"/>
      <c r="R14097" s="318"/>
      <c r="S14097" s="318"/>
      <c r="T14097" s="318"/>
      <c r="U14097" s="318"/>
      <c r="V14097" s="318"/>
      <c r="W14097" s="318"/>
      <c r="X14097" s="318"/>
      <c r="Y14097" s="318"/>
      <c r="Z14097" s="318"/>
      <c r="AA14097" s="318"/>
      <c r="AB14097" s="318"/>
      <c r="AC14097" s="318"/>
      <c r="AD14097" s="318"/>
    </row>
    <row r="14098" spans="2:30" s="323" customFormat="1" ht="12" customHeight="1">
      <c r="B14098" s="324"/>
      <c r="C14098" s="325"/>
      <c r="D14098" s="326"/>
      <c r="E14098" s="326"/>
      <c r="F14098" s="326"/>
      <c r="G14098" s="326"/>
      <c r="H14098" s="326"/>
      <c r="P14098" s="318"/>
      <c r="Q14098" s="318"/>
      <c r="R14098" s="318"/>
      <c r="S14098" s="318"/>
      <c r="T14098" s="318"/>
      <c r="U14098" s="318"/>
      <c r="V14098" s="318"/>
      <c r="W14098" s="318"/>
      <c r="X14098" s="318"/>
      <c r="Y14098" s="318"/>
      <c r="Z14098" s="318"/>
      <c r="AA14098" s="318"/>
      <c r="AB14098" s="318"/>
      <c r="AC14098" s="318"/>
      <c r="AD14098" s="318"/>
    </row>
    <row r="14099" spans="2:30" s="323" customFormat="1" ht="12" customHeight="1">
      <c r="B14099" s="324"/>
      <c r="C14099" s="325"/>
      <c r="D14099" s="326"/>
      <c r="E14099" s="326"/>
      <c r="F14099" s="326"/>
      <c r="G14099" s="326"/>
      <c r="H14099" s="326"/>
      <c r="P14099" s="318"/>
      <c r="Q14099" s="318"/>
      <c r="R14099" s="318"/>
      <c r="S14099" s="318"/>
      <c r="T14099" s="318"/>
      <c r="U14099" s="318"/>
      <c r="V14099" s="318"/>
      <c r="W14099" s="318"/>
      <c r="X14099" s="318"/>
      <c r="Y14099" s="318"/>
      <c r="Z14099" s="318"/>
      <c r="AA14099" s="318"/>
      <c r="AB14099" s="318"/>
      <c r="AC14099" s="318"/>
      <c r="AD14099" s="318"/>
    </row>
    <row r="14100" spans="2:30" s="323" customFormat="1" ht="12" customHeight="1">
      <c r="B14100" s="324"/>
      <c r="C14100" s="325"/>
      <c r="D14100" s="326"/>
      <c r="E14100" s="326"/>
      <c r="F14100" s="326"/>
      <c r="G14100" s="326"/>
      <c r="H14100" s="326"/>
      <c r="P14100" s="318"/>
      <c r="Q14100" s="318"/>
      <c r="R14100" s="318"/>
      <c r="S14100" s="318"/>
      <c r="T14100" s="318"/>
      <c r="U14100" s="318"/>
      <c r="V14100" s="318"/>
      <c r="W14100" s="318"/>
      <c r="X14100" s="318"/>
      <c r="Y14100" s="318"/>
      <c r="Z14100" s="318"/>
      <c r="AA14100" s="318"/>
      <c r="AB14100" s="318"/>
      <c r="AC14100" s="318"/>
      <c r="AD14100" s="318"/>
    </row>
    <row r="14101" spans="2:30" s="323" customFormat="1" ht="12" customHeight="1">
      <c r="B14101" s="324"/>
      <c r="C14101" s="325"/>
      <c r="D14101" s="326"/>
      <c r="E14101" s="326"/>
      <c r="F14101" s="326"/>
      <c r="G14101" s="326"/>
      <c r="H14101" s="326"/>
      <c r="P14101" s="318"/>
      <c r="Q14101" s="318"/>
      <c r="R14101" s="318"/>
      <c r="S14101" s="318"/>
      <c r="T14101" s="318"/>
      <c r="U14101" s="318"/>
      <c r="V14101" s="318"/>
      <c r="W14101" s="318"/>
      <c r="X14101" s="318"/>
      <c r="Y14101" s="318"/>
      <c r="Z14101" s="318"/>
      <c r="AA14101" s="318"/>
      <c r="AB14101" s="318"/>
      <c r="AC14101" s="318"/>
      <c r="AD14101" s="318"/>
    </row>
    <row r="14102" spans="2:30" s="323" customFormat="1" ht="12" customHeight="1">
      <c r="B14102" s="324"/>
      <c r="C14102" s="325"/>
      <c r="D14102" s="326"/>
      <c r="E14102" s="326"/>
      <c r="F14102" s="326"/>
      <c r="G14102" s="326"/>
      <c r="H14102" s="326"/>
      <c r="P14102" s="318"/>
      <c r="Q14102" s="318"/>
      <c r="R14102" s="318"/>
      <c r="S14102" s="318"/>
      <c r="T14102" s="318"/>
      <c r="U14102" s="318"/>
      <c r="V14102" s="318"/>
      <c r="W14102" s="318"/>
      <c r="X14102" s="318"/>
      <c r="Y14102" s="318"/>
      <c r="Z14102" s="318"/>
      <c r="AA14102" s="318"/>
      <c r="AB14102" s="318"/>
      <c r="AC14102" s="318"/>
      <c r="AD14102" s="318"/>
    </row>
    <row r="14103" spans="2:30" s="323" customFormat="1" ht="12" customHeight="1">
      <c r="B14103" s="324"/>
      <c r="C14103" s="325"/>
      <c r="D14103" s="326"/>
      <c r="E14103" s="326"/>
      <c r="F14103" s="326"/>
      <c r="G14103" s="326"/>
      <c r="H14103" s="326"/>
      <c r="P14103" s="318"/>
      <c r="Q14103" s="318"/>
      <c r="R14103" s="318"/>
      <c r="S14103" s="318"/>
      <c r="T14103" s="318"/>
      <c r="U14103" s="318"/>
      <c r="V14103" s="318"/>
      <c r="W14103" s="318"/>
      <c r="X14103" s="318"/>
      <c r="Y14103" s="318"/>
      <c r="Z14103" s="318"/>
      <c r="AA14103" s="318"/>
      <c r="AB14103" s="318"/>
      <c r="AC14103" s="318"/>
      <c r="AD14103" s="318"/>
    </row>
    <row r="14104" spans="2:30" s="323" customFormat="1" ht="12" customHeight="1">
      <c r="B14104" s="324"/>
      <c r="C14104" s="325"/>
      <c r="D14104" s="326"/>
      <c r="E14104" s="326"/>
      <c r="F14104" s="326"/>
      <c r="G14104" s="326"/>
      <c r="H14104" s="326"/>
      <c r="P14104" s="318"/>
      <c r="Q14104" s="318"/>
      <c r="R14104" s="318"/>
      <c r="S14104" s="318"/>
      <c r="T14104" s="318"/>
      <c r="U14104" s="318"/>
      <c r="V14104" s="318"/>
      <c r="W14104" s="318"/>
      <c r="X14104" s="318"/>
      <c r="Y14104" s="318"/>
      <c r="Z14104" s="318"/>
      <c r="AA14104" s="318"/>
      <c r="AB14104" s="318"/>
      <c r="AC14104" s="318"/>
      <c r="AD14104" s="318"/>
    </row>
    <row r="14105" spans="2:30" s="323" customFormat="1" ht="12" customHeight="1">
      <c r="B14105" s="324"/>
      <c r="C14105" s="325"/>
      <c r="D14105" s="326"/>
      <c r="E14105" s="326"/>
      <c r="F14105" s="326"/>
      <c r="G14105" s="326"/>
      <c r="H14105" s="326"/>
      <c r="P14105" s="318"/>
      <c r="Q14105" s="318"/>
      <c r="R14105" s="318"/>
      <c r="S14105" s="318"/>
      <c r="T14105" s="318"/>
      <c r="U14105" s="318"/>
      <c r="V14105" s="318"/>
      <c r="W14105" s="318"/>
      <c r="X14105" s="318"/>
      <c r="Y14105" s="318"/>
      <c r="Z14105" s="318"/>
      <c r="AA14105" s="318"/>
      <c r="AB14105" s="318"/>
      <c r="AC14105" s="318"/>
      <c r="AD14105" s="318"/>
    </row>
    <row r="14106" spans="2:30" s="323" customFormat="1" ht="12" customHeight="1">
      <c r="B14106" s="324"/>
      <c r="C14106" s="325"/>
      <c r="D14106" s="326"/>
      <c r="E14106" s="326"/>
      <c r="F14106" s="326"/>
      <c r="G14106" s="326"/>
      <c r="H14106" s="326"/>
      <c r="P14106" s="318"/>
      <c r="Q14106" s="318"/>
      <c r="R14106" s="318"/>
      <c r="S14106" s="318"/>
      <c r="T14106" s="318"/>
      <c r="U14106" s="318"/>
      <c r="V14106" s="318"/>
      <c r="W14106" s="318"/>
      <c r="X14106" s="318"/>
      <c r="Y14106" s="318"/>
      <c r="Z14106" s="318"/>
      <c r="AA14106" s="318"/>
      <c r="AB14106" s="318"/>
      <c r="AC14106" s="318"/>
      <c r="AD14106" s="318"/>
    </row>
    <row r="14107" spans="2:30" s="323" customFormat="1" ht="12" customHeight="1">
      <c r="B14107" s="324"/>
      <c r="C14107" s="325"/>
      <c r="D14107" s="326"/>
      <c r="E14107" s="326"/>
      <c r="F14107" s="326"/>
      <c r="G14107" s="326"/>
      <c r="H14107" s="326"/>
      <c r="P14107" s="318"/>
      <c r="Q14107" s="318"/>
      <c r="R14107" s="318"/>
      <c r="S14107" s="318"/>
      <c r="T14107" s="318"/>
      <c r="U14107" s="318"/>
      <c r="V14107" s="318"/>
      <c r="W14107" s="318"/>
      <c r="X14107" s="318"/>
      <c r="Y14107" s="318"/>
      <c r="Z14107" s="318"/>
      <c r="AA14107" s="318"/>
      <c r="AB14107" s="318"/>
      <c r="AC14107" s="318"/>
      <c r="AD14107" s="318"/>
    </row>
    <row r="14108" spans="2:30" s="323" customFormat="1" ht="12" customHeight="1">
      <c r="B14108" s="324"/>
      <c r="C14108" s="325"/>
      <c r="D14108" s="326"/>
      <c r="E14108" s="326"/>
      <c r="F14108" s="326"/>
      <c r="G14108" s="326"/>
      <c r="H14108" s="326"/>
      <c r="P14108" s="318"/>
      <c r="Q14108" s="318"/>
      <c r="R14108" s="318"/>
      <c r="S14108" s="318"/>
      <c r="T14108" s="318"/>
      <c r="U14108" s="318"/>
      <c r="V14108" s="318"/>
      <c r="W14108" s="318"/>
      <c r="X14108" s="318"/>
      <c r="Y14108" s="318"/>
      <c r="Z14108" s="318"/>
      <c r="AA14108" s="318"/>
      <c r="AB14108" s="318"/>
      <c r="AC14108" s="318"/>
      <c r="AD14108" s="318"/>
    </row>
    <row r="14109" spans="2:30" s="323" customFormat="1" ht="12" customHeight="1">
      <c r="B14109" s="324"/>
      <c r="C14109" s="325"/>
      <c r="D14109" s="326"/>
      <c r="E14109" s="326"/>
      <c r="F14109" s="326"/>
      <c r="G14109" s="326"/>
      <c r="H14109" s="326"/>
      <c r="P14109" s="318"/>
      <c r="Q14109" s="318"/>
      <c r="R14109" s="318"/>
      <c r="S14109" s="318"/>
      <c r="T14109" s="318"/>
      <c r="U14109" s="318"/>
      <c r="V14109" s="318"/>
      <c r="W14109" s="318"/>
      <c r="X14109" s="318"/>
      <c r="Y14109" s="318"/>
      <c r="Z14109" s="318"/>
      <c r="AA14109" s="318"/>
      <c r="AB14109" s="318"/>
      <c r="AC14109" s="318"/>
      <c r="AD14109" s="318"/>
    </row>
    <row r="14110" spans="2:30" s="323" customFormat="1" ht="12" customHeight="1">
      <c r="B14110" s="324"/>
      <c r="C14110" s="325"/>
      <c r="D14110" s="326"/>
      <c r="E14110" s="326"/>
      <c r="F14110" s="326"/>
      <c r="G14110" s="326"/>
      <c r="H14110" s="326"/>
      <c r="P14110" s="318"/>
      <c r="Q14110" s="318"/>
      <c r="R14110" s="318"/>
      <c r="S14110" s="318"/>
      <c r="T14110" s="318"/>
      <c r="U14110" s="318"/>
      <c r="V14110" s="318"/>
      <c r="W14110" s="318"/>
      <c r="X14110" s="318"/>
      <c r="Y14110" s="318"/>
      <c r="Z14110" s="318"/>
      <c r="AA14110" s="318"/>
      <c r="AB14110" s="318"/>
      <c r="AC14110" s="318"/>
      <c r="AD14110" s="318"/>
    </row>
    <row r="14111" spans="2:30" s="323" customFormat="1" ht="12" customHeight="1">
      <c r="B14111" s="324"/>
      <c r="C14111" s="325"/>
      <c r="D14111" s="326"/>
      <c r="E14111" s="326"/>
      <c r="F14111" s="326"/>
      <c r="G14111" s="326"/>
      <c r="H14111" s="326"/>
      <c r="P14111" s="318"/>
      <c r="Q14111" s="318"/>
      <c r="R14111" s="318"/>
      <c r="S14111" s="318"/>
      <c r="T14111" s="318"/>
      <c r="U14111" s="318"/>
      <c r="V14111" s="318"/>
      <c r="W14111" s="318"/>
      <c r="X14111" s="318"/>
      <c r="Y14111" s="318"/>
      <c r="Z14111" s="318"/>
      <c r="AA14111" s="318"/>
      <c r="AB14111" s="318"/>
      <c r="AC14111" s="318"/>
      <c r="AD14111" s="318"/>
    </row>
    <row r="14112" spans="2:30" s="323" customFormat="1" ht="12" customHeight="1">
      <c r="B14112" s="324"/>
      <c r="C14112" s="325"/>
      <c r="D14112" s="326"/>
      <c r="E14112" s="326"/>
      <c r="F14112" s="326"/>
      <c r="G14112" s="326"/>
      <c r="H14112" s="326"/>
      <c r="P14112" s="318"/>
      <c r="Q14112" s="318"/>
      <c r="R14112" s="318"/>
      <c r="S14112" s="318"/>
      <c r="T14112" s="318"/>
      <c r="U14112" s="318"/>
      <c r="V14112" s="318"/>
      <c r="W14112" s="318"/>
      <c r="X14112" s="318"/>
      <c r="Y14112" s="318"/>
      <c r="Z14112" s="318"/>
      <c r="AA14112" s="318"/>
      <c r="AB14112" s="318"/>
      <c r="AC14112" s="318"/>
      <c r="AD14112" s="318"/>
    </row>
    <row r="14113" spans="2:30" s="323" customFormat="1" ht="12" customHeight="1">
      <c r="B14113" s="324"/>
      <c r="C14113" s="325"/>
      <c r="D14113" s="326"/>
      <c r="E14113" s="326"/>
      <c r="F14113" s="326"/>
      <c r="G14113" s="326"/>
      <c r="H14113" s="326"/>
      <c r="P14113" s="318"/>
      <c r="Q14113" s="318"/>
      <c r="R14113" s="318"/>
      <c r="S14113" s="318"/>
      <c r="T14113" s="318"/>
      <c r="U14113" s="318"/>
      <c r="V14113" s="318"/>
      <c r="W14113" s="318"/>
      <c r="X14113" s="318"/>
      <c r="Y14113" s="318"/>
      <c r="Z14113" s="318"/>
      <c r="AA14113" s="318"/>
      <c r="AB14113" s="318"/>
      <c r="AC14113" s="318"/>
      <c r="AD14113" s="318"/>
    </row>
    <row r="14114" spans="2:30" s="323" customFormat="1" ht="12" customHeight="1">
      <c r="B14114" s="324"/>
      <c r="C14114" s="325"/>
      <c r="D14114" s="326"/>
      <c r="E14114" s="326"/>
      <c r="F14114" s="326"/>
      <c r="G14114" s="326"/>
      <c r="H14114" s="326"/>
      <c r="P14114" s="318"/>
      <c r="Q14114" s="318"/>
      <c r="R14114" s="318"/>
      <c r="S14114" s="318"/>
      <c r="T14114" s="318"/>
      <c r="U14114" s="318"/>
      <c r="V14114" s="318"/>
      <c r="W14114" s="318"/>
      <c r="X14114" s="318"/>
      <c r="Y14114" s="318"/>
      <c r="Z14114" s="318"/>
      <c r="AA14114" s="318"/>
      <c r="AB14114" s="318"/>
      <c r="AC14114" s="318"/>
      <c r="AD14114" s="318"/>
    </row>
    <row r="14115" spans="2:30" s="323" customFormat="1" ht="12" customHeight="1">
      <c r="B14115" s="324"/>
      <c r="C14115" s="325"/>
      <c r="D14115" s="326"/>
      <c r="E14115" s="326"/>
      <c r="F14115" s="326"/>
      <c r="G14115" s="326"/>
      <c r="H14115" s="326"/>
      <c r="P14115" s="318"/>
      <c r="Q14115" s="318"/>
      <c r="R14115" s="318"/>
      <c r="S14115" s="318"/>
      <c r="T14115" s="318"/>
      <c r="U14115" s="318"/>
      <c r="V14115" s="318"/>
      <c r="W14115" s="318"/>
      <c r="X14115" s="318"/>
      <c r="Y14115" s="318"/>
      <c r="Z14115" s="318"/>
      <c r="AA14115" s="318"/>
      <c r="AB14115" s="318"/>
      <c r="AC14115" s="318"/>
      <c r="AD14115" s="318"/>
    </row>
    <row r="14116" spans="2:30" s="323" customFormat="1" ht="12" customHeight="1">
      <c r="B14116" s="324"/>
      <c r="C14116" s="325"/>
      <c r="D14116" s="326"/>
      <c r="E14116" s="326"/>
      <c r="F14116" s="326"/>
      <c r="G14116" s="326"/>
      <c r="H14116" s="326"/>
      <c r="P14116" s="318"/>
      <c r="Q14116" s="318"/>
      <c r="R14116" s="318"/>
      <c r="S14116" s="318"/>
      <c r="T14116" s="318"/>
      <c r="U14116" s="318"/>
      <c r="V14116" s="318"/>
      <c r="W14116" s="318"/>
      <c r="X14116" s="318"/>
      <c r="Y14116" s="318"/>
      <c r="Z14116" s="318"/>
      <c r="AA14116" s="318"/>
      <c r="AB14116" s="318"/>
      <c r="AC14116" s="318"/>
      <c r="AD14116" s="318"/>
    </row>
    <row r="14117" spans="2:30" s="323" customFormat="1" ht="12" customHeight="1">
      <c r="B14117" s="324"/>
      <c r="C14117" s="325"/>
      <c r="D14117" s="326"/>
      <c r="E14117" s="326"/>
      <c r="F14117" s="326"/>
      <c r="G14117" s="326"/>
      <c r="H14117" s="326"/>
      <c r="P14117" s="318"/>
      <c r="Q14117" s="318"/>
      <c r="R14117" s="318"/>
      <c r="S14117" s="318"/>
      <c r="T14117" s="318"/>
      <c r="U14117" s="318"/>
      <c r="V14117" s="318"/>
      <c r="W14117" s="318"/>
      <c r="X14117" s="318"/>
      <c r="Y14117" s="318"/>
      <c r="Z14117" s="318"/>
      <c r="AA14117" s="318"/>
      <c r="AB14117" s="318"/>
      <c r="AC14117" s="318"/>
      <c r="AD14117" s="318"/>
    </row>
    <row r="14118" spans="2:30" s="323" customFormat="1" ht="12" customHeight="1">
      <c r="B14118" s="324"/>
      <c r="C14118" s="325"/>
      <c r="D14118" s="326"/>
      <c r="E14118" s="326"/>
      <c r="F14118" s="326"/>
      <c r="G14118" s="326"/>
      <c r="H14118" s="326"/>
      <c r="P14118" s="318"/>
      <c r="Q14118" s="318"/>
      <c r="R14118" s="318"/>
      <c r="S14118" s="318"/>
      <c r="T14118" s="318"/>
      <c r="U14118" s="318"/>
      <c r="V14118" s="318"/>
      <c r="W14118" s="318"/>
      <c r="X14118" s="318"/>
      <c r="Y14118" s="318"/>
      <c r="Z14118" s="318"/>
      <c r="AA14118" s="318"/>
      <c r="AB14118" s="318"/>
      <c r="AC14118" s="318"/>
      <c r="AD14118" s="318"/>
    </row>
    <row r="14119" spans="2:30" s="323" customFormat="1" ht="12" customHeight="1">
      <c r="B14119" s="324"/>
      <c r="C14119" s="325"/>
      <c r="D14119" s="326"/>
      <c r="E14119" s="326"/>
      <c r="F14119" s="326"/>
      <c r="G14119" s="326"/>
      <c r="H14119" s="326"/>
      <c r="P14119" s="318"/>
      <c r="Q14119" s="318"/>
      <c r="R14119" s="318"/>
      <c r="S14119" s="318"/>
      <c r="T14119" s="318"/>
      <c r="U14119" s="318"/>
      <c r="V14119" s="318"/>
      <c r="W14119" s="318"/>
      <c r="X14119" s="318"/>
      <c r="Y14119" s="318"/>
      <c r="Z14119" s="318"/>
      <c r="AA14119" s="318"/>
      <c r="AB14119" s="318"/>
      <c r="AC14119" s="318"/>
      <c r="AD14119" s="318"/>
    </row>
    <row r="14120" spans="2:30" s="323" customFormat="1" ht="12" customHeight="1">
      <c r="B14120" s="324"/>
      <c r="C14120" s="325"/>
      <c r="D14120" s="326"/>
      <c r="E14120" s="326"/>
      <c r="F14120" s="326"/>
      <c r="G14120" s="326"/>
      <c r="H14120" s="326"/>
      <c r="P14120" s="318"/>
      <c r="Q14120" s="318"/>
      <c r="R14120" s="318"/>
      <c r="S14120" s="318"/>
      <c r="T14120" s="318"/>
      <c r="U14120" s="318"/>
      <c r="V14120" s="318"/>
      <c r="W14120" s="318"/>
      <c r="X14120" s="318"/>
      <c r="Y14120" s="318"/>
      <c r="Z14120" s="318"/>
      <c r="AA14120" s="318"/>
      <c r="AB14120" s="318"/>
      <c r="AC14120" s="318"/>
      <c r="AD14120" s="318"/>
    </row>
    <row r="14121" spans="2:30" s="323" customFormat="1" ht="12" customHeight="1">
      <c r="B14121" s="324"/>
      <c r="C14121" s="325"/>
      <c r="D14121" s="326"/>
      <c r="E14121" s="326"/>
      <c r="F14121" s="326"/>
      <c r="G14121" s="326"/>
      <c r="H14121" s="326"/>
      <c r="P14121" s="318"/>
      <c r="Q14121" s="318"/>
      <c r="R14121" s="318"/>
      <c r="S14121" s="318"/>
      <c r="T14121" s="318"/>
      <c r="U14121" s="318"/>
      <c r="V14121" s="318"/>
      <c r="W14121" s="318"/>
      <c r="X14121" s="318"/>
      <c r="Y14121" s="318"/>
      <c r="Z14121" s="318"/>
      <c r="AA14121" s="318"/>
      <c r="AB14121" s="318"/>
      <c r="AC14121" s="318"/>
      <c r="AD14121" s="318"/>
    </row>
    <row r="14122" spans="2:30" s="323" customFormat="1" ht="12" customHeight="1">
      <c r="B14122" s="324"/>
      <c r="C14122" s="325"/>
      <c r="D14122" s="326"/>
      <c r="E14122" s="326"/>
      <c r="F14122" s="326"/>
      <c r="G14122" s="326"/>
      <c r="H14122" s="326"/>
      <c r="P14122" s="318"/>
      <c r="Q14122" s="318"/>
      <c r="R14122" s="318"/>
      <c r="S14122" s="318"/>
      <c r="T14122" s="318"/>
      <c r="U14122" s="318"/>
      <c r="V14122" s="318"/>
      <c r="W14122" s="318"/>
      <c r="X14122" s="318"/>
      <c r="Y14122" s="318"/>
      <c r="Z14122" s="318"/>
      <c r="AA14122" s="318"/>
      <c r="AB14122" s="318"/>
      <c r="AC14122" s="318"/>
      <c r="AD14122" s="318"/>
    </row>
    <row r="14123" spans="2:30" s="323" customFormat="1" ht="12" customHeight="1">
      <c r="B14123" s="324"/>
      <c r="C14123" s="325"/>
      <c r="D14123" s="326"/>
      <c r="E14123" s="326"/>
      <c r="F14123" s="326"/>
      <c r="G14123" s="326"/>
      <c r="H14123" s="326"/>
      <c r="P14123" s="318"/>
      <c r="Q14123" s="318"/>
      <c r="R14123" s="318"/>
      <c r="S14123" s="318"/>
      <c r="T14123" s="318"/>
      <c r="U14123" s="318"/>
      <c r="V14123" s="318"/>
      <c r="W14123" s="318"/>
      <c r="X14123" s="318"/>
      <c r="Y14123" s="318"/>
      <c r="Z14123" s="318"/>
      <c r="AA14123" s="318"/>
      <c r="AB14123" s="318"/>
      <c r="AC14123" s="318"/>
      <c r="AD14123" s="318"/>
    </row>
    <row r="14124" spans="2:30" s="323" customFormat="1" ht="12" customHeight="1">
      <c r="B14124" s="324"/>
      <c r="C14124" s="325"/>
      <c r="D14124" s="326"/>
      <c r="E14124" s="326"/>
      <c r="F14124" s="326"/>
      <c r="G14124" s="326"/>
      <c r="H14124" s="326"/>
      <c r="P14124" s="318"/>
      <c r="Q14124" s="318"/>
      <c r="R14124" s="318"/>
      <c r="S14124" s="318"/>
      <c r="T14124" s="318"/>
      <c r="U14124" s="318"/>
      <c r="V14124" s="318"/>
      <c r="W14124" s="318"/>
      <c r="X14124" s="318"/>
      <c r="Y14124" s="318"/>
      <c r="Z14124" s="318"/>
      <c r="AA14124" s="318"/>
      <c r="AB14124" s="318"/>
      <c r="AC14124" s="318"/>
      <c r="AD14124" s="318"/>
    </row>
    <row r="14125" spans="2:30" s="323" customFormat="1" ht="12" customHeight="1">
      <c r="B14125" s="324"/>
      <c r="C14125" s="325"/>
      <c r="D14125" s="326"/>
      <c r="E14125" s="326"/>
      <c r="F14125" s="326"/>
      <c r="G14125" s="326"/>
      <c r="H14125" s="326"/>
      <c r="P14125" s="318"/>
      <c r="Q14125" s="318"/>
      <c r="R14125" s="318"/>
      <c r="S14125" s="318"/>
      <c r="T14125" s="318"/>
      <c r="U14125" s="318"/>
      <c r="V14125" s="318"/>
      <c r="W14125" s="318"/>
      <c r="X14125" s="318"/>
      <c r="Y14125" s="318"/>
      <c r="Z14125" s="318"/>
      <c r="AA14125" s="318"/>
      <c r="AB14125" s="318"/>
      <c r="AC14125" s="318"/>
      <c r="AD14125" s="318"/>
    </row>
    <row r="14126" spans="2:30" s="323" customFormat="1" ht="12" customHeight="1">
      <c r="B14126" s="324"/>
      <c r="C14126" s="325"/>
      <c r="D14126" s="326"/>
      <c r="E14126" s="326"/>
      <c r="F14126" s="326"/>
      <c r="G14126" s="326"/>
      <c r="H14126" s="326"/>
      <c r="P14126" s="318"/>
      <c r="Q14126" s="318"/>
      <c r="R14126" s="318"/>
      <c r="S14126" s="318"/>
      <c r="T14126" s="318"/>
      <c r="U14126" s="318"/>
      <c r="V14126" s="318"/>
      <c r="W14126" s="318"/>
      <c r="X14126" s="318"/>
      <c r="Y14126" s="318"/>
      <c r="Z14126" s="318"/>
      <c r="AA14126" s="318"/>
      <c r="AB14126" s="318"/>
      <c r="AC14126" s="318"/>
      <c r="AD14126" s="318"/>
    </row>
    <row r="14127" spans="2:30" s="323" customFormat="1" ht="12" customHeight="1">
      <c r="B14127" s="324"/>
      <c r="C14127" s="325"/>
      <c r="D14127" s="326"/>
      <c r="E14127" s="326"/>
      <c r="F14127" s="326"/>
      <c r="G14127" s="326"/>
      <c r="H14127" s="326"/>
      <c r="P14127" s="318"/>
      <c r="Q14127" s="318"/>
      <c r="R14127" s="318"/>
      <c r="S14127" s="318"/>
      <c r="T14127" s="318"/>
      <c r="U14127" s="318"/>
      <c r="V14127" s="318"/>
      <c r="W14127" s="318"/>
      <c r="X14127" s="318"/>
      <c r="Y14127" s="318"/>
      <c r="Z14127" s="318"/>
      <c r="AA14127" s="318"/>
      <c r="AB14127" s="318"/>
      <c r="AC14127" s="318"/>
      <c r="AD14127" s="318"/>
    </row>
    <row r="14128" spans="2:30" s="323" customFormat="1" ht="12" customHeight="1">
      <c r="B14128" s="324"/>
      <c r="C14128" s="325"/>
      <c r="D14128" s="326"/>
      <c r="E14128" s="326"/>
      <c r="F14128" s="326"/>
      <c r="G14128" s="326"/>
      <c r="H14128" s="326"/>
      <c r="P14128" s="318"/>
      <c r="Q14128" s="318"/>
      <c r="R14128" s="318"/>
      <c r="S14128" s="318"/>
      <c r="T14128" s="318"/>
      <c r="U14128" s="318"/>
      <c r="V14128" s="318"/>
      <c r="W14128" s="318"/>
      <c r="X14128" s="318"/>
      <c r="Y14128" s="318"/>
      <c r="Z14128" s="318"/>
      <c r="AA14128" s="318"/>
      <c r="AB14128" s="318"/>
      <c r="AC14128" s="318"/>
      <c r="AD14128" s="318"/>
    </row>
    <row r="14129" spans="2:30" s="323" customFormat="1" ht="12" customHeight="1">
      <c r="B14129" s="324"/>
      <c r="C14129" s="325"/>
      <c r="D14129" s="326"/>
      <c r="E14129" s="326"/>
      <c r="F14129" s="326"/>
      <c r="G14129" s="326"/>
      <c r="H14129" s="326"/>
      <c r="P14129" s="318"/>
      <c r="Q14129" s="318"/>
      <c r="R14129" s="318"/>
      <c r="S14129" s="318"/>
      <c r="T14129" s="318"/>
      <c r="U14129" s="318"/>
      <c r="V14129" s="318"/>
      <c r="W14129" s="318"/>
      <c r="X14129" s="318"/>
      <c r="Y14129" s="318"/>
      <c r="Z14129" s="318"/>
      <c r="AA14129" s="318"/>
      <c r="AB14129" s="318"/>
      <c r="AC14129" s="318"/>
      <c r="AD14129" s="318"/>
    </row>
    <row r="14130" spans="2:30" s="323" customFormat="1" ht="12" customHeight="1">
      <c r="B14130" s="324"/>
      <c r="C14130" s="325"/>
      <c r="D14130" s="326"/>
      <c r="E14130" s="326"/>
      <c r="F14130" s="326"/>
      <c r="G14130" s="326"/>
      <c r="H14130" s="326"/>
      <c r="P14130" s="318"/>
      <c r="Q14130" s="318"/>
      <c r="R14130" s="318"/>
      <c r="S14130" s="318"/>
      <c r="T14130" s="318"/>
      <c r="U14130" s="318"/>
      <c r="V14130" s="318"/>
      <c r="W14130" s="318"/>
      <c r="X14130" s="318"/>
      <c r="Y14130" s="318"/>
      <c r="Z14130" s="318"/>
      <c r="AA14130" s="318"/>
      <c r="AB14130" s="318"/>
      <c r="AC14130" s="318"/>
      <c r="AD14130" s="318"/>
    </row>
    <row r="14131" spans="2:30" s="323" customFormat="1" ht="12" customHeight="1">
      <c r="B14131" s="324"/>
      <c r="C14131" s="325"/>
      <c r="D14131" s="326"/>
      <c r="E14131" s="326"/>
      <c r="F14131" s="326"/>
      <c r="G14131" s="326"/>
      <c r="H14131" s="326"/>
      <c r="P14131" s="318"/>
      <c r="Q14131" s="318"/>
      <c r="R14131" s="318"/>
      <c r="S14131" s="318"/>
      <c r="T14131" s="318"/>
      <c r="U14131" s="318"/>
      <c r="V14131" s="318"/>
      <c r="W14131" s="318"/>
      <c r="X14131" s="318"/>
      <c r="Y14131" s="318"/>
      <c r="Z14131" s="318"/>
      <c r="AA14131" s="318"/>
      <c r="AB14131" s="318"/>
      <c r="AC14131" s="318"/>
      <c r="AD14131" s="318"/>
    </row>
    <row r="14132" spans="2:30" s="323" customFormat="1" ht="12" customHeight="1">
      <c r="B14132" s="324"/>
      <c r="C14132" s="325"/>
      <c r="D14132" s="326"/>
      <c r="E14132" s="326"/>
      <c r="F14132" s="326"/>
      <c r="G14132" s="326"/>
      <c r="H14132" s="326"/>
      <c r="P14132" s="318"/>
      <c r="Q14132" s="318"/>
      <c r="R14132" s="318"/>
      <c r="S14132" s="318"/>
      <c r="T14132" s="318"/>
      <c r="U14132" s="318"/>
      <c r="V14132" s="318"/>
      <c r="W14132" s="318"/>
      <c r="X14132" s="318"/>
      <c r="Y14132" s="318"/>
      <c r="Z14132" s="318"/>
      <c r="AA14132" s="318"/>
      <c r="AB14132" s="318"/>
      <c r="AC14132" s="318"/>
      <c r="AD14132" s="318"/>
    </row>
    <row r="14133" spans="2:30" s="323" customFormat="1" ht="12" customHeight="1">
      <c r="B14133" s="324"/>
      <c r="C14133" s="325"/>
      <c r="D14133" s="326"/>
      <c r="E14133" s="326"/>
      <c r="F14133" s="326"/>
      <c r="G14133" s="326"/>
      <c r="H14133" s="326"/>
      <c r="P14133" s="318"/>
      <c r="Q14133" s="318"/>
      <c r="R14133" s="318"/>
      <c r="S14133" s="318"/>
      <c r="T14133" s="318"/>
      <c r="U14133" s="318"/>
      <c r="V14133" s="318"/>
      <c r="W14133" s="318"/>
      <c r="X14133" s="318"/>
      <c r="Y14133" s="318"/>
      <c r="Z14133" s="318"/>
      <c r="AA14133" s="318"/>
      <c r="AB14133" s="318"/>
      <c r="AC14133" s="318"/>
      <c r="AD14133" s="318"/>
    </row>
    <row r="14134" spans="2:30" s="323" customFormat="1" ht="12" customHeight="1">
      <c r="B14134" s="324"/>
      <c r="C14134" s="325"/>
      <c r="D14134" s="326"/>
      <c r="E14134" s="326"/>
      <c r="F14134" s="326"/>
      <c r="G14134" s="326"/>
      <c r="H14134" s="326"/>
      <c r="P14134" s="318"/>
      <c r="Q14134" s="318"/>
      <c r="R14134" s="318"/>
      <c r="S14134" s="318"/>
      <c r="T14134" s="318"/>
      <c r="U14134" s="318"/>
      <c r="V14134" s="318"/>
      <c r="W14134" s="318"/>
      <c r="X14134" s="318"/>
      <c r="Y14134" s="318"/>
      <c r="Z14134" s="318"/>
      <c r="AA14134" s="318"/>
      <c r="AB14134" s="318"/>
      <c r="AC14134" s="318"/>
      <c r="AD14134" s="318"/>
    </row>
    <row r="14135" spans="2:30" s="323" customFormat="1" ht="12" customHeight="1">
      <c r="B14135" s="324"/>
      <c r="C14135" s="325"/>
      <c r="D14135" s="326"/>
      <c r="E14135" s="326"/>
      <c r="F14135" s="326"/>
      <c r="G14135" s="326"/>
      <c r="H14135" s="326"/>
      <c r="P14135" s="318"/>
      <c r="Q14135" s="318"/>
      <c r="R14135" s="318"/>
      <c r="S14135" s="318"/>
      <c r="T14135" s="318"/>
      <c r="U14135" s="318"/>
      <c r="V14135" s="318"/>
      <c r="W14135" s="318"/>
      <c r="X14135" s="318"/>
      <c r="Y14135" s="318"/>
      <c r="Z14135" s="318"/>
      <c r="AA14135" s="318"/>
      <c r="AB14135" s="318"/>
      <c r="AC14135" s="318"/>
      <c r="AD14135" s="318"/>
    </row>
    <row r="14136" spans="2:30" s="323" customFormat="1" ht="12" customHeight="1">
      <c r="B14136" s="324"/>
      <c r="C14136" s="325"/>
      <c r="D14136" s="326"/>
      <c r="E14136" s="326"/>
      <c r="F14136" s="326"/>
      <c r="G14136" s="326"/>
      <c r="H14136" s="326"/>
      <c r="P14136" s="318"/>
      <c r="Q14136" s="318"/>
      <c r="R14136" s="318"/>
      <c r="S14136" s="318"/>
      <c r="T14136" s="318"/>
      <c r="U14136" s="318"/>
      <c r="V14136" s="318"/>
      <c r="W14136" s="318"/>
      <c r="X14136" s="318"/>
      <c r="Y14136" s="318"/>
      <c r="Z14136" s="318"/>
      <c r="AA14136" s="318"/>
      <c r="AB14136" s="318"/>
      <c r="AC14136" s="318"/>
      <c r="AD14136" s="318"/>
    </row>
    <row r="14137" spans="2:30" s="323" customFormat="1" ht="12" customHeight="1">
      <c r="B14137" s="324"/>
      <c r="C14137" s="325"/>
      <c r="D14137" s="326"/>
      <c r="E14137" s="326"/>
      <c r="F14137" s="326"/>
      <c r="G14137" s="326"/>
      <c r="H14137" s="326"/>
      <c r="P14137" s="318"/>
      <c r="Q14137" s="318"/>
      <c r="R14137" s="318"/>
      <c r="S14137" s="318"/>
      <c r="T14137" s="318"/>
      <c r="U14137" s="318"/>
      <c r="V14137" s="318"/>
      <c r="W14137" s="318"/>
      <c r="X14137" s="318"/>
      <c r="Y14137" s="318"/>
      <c r="Z14137" s="318"/>
      <c r="AA14137" s="318"/>
      <c r="AB14137" s="318"/>
      <c r="AC14137" s="318"/>
      <c r="AD14137" s="318"/>
    </row>
    <row r="14138" spans="2:30" s="323" customFormat="1" ht="12" customHeight="1">
      <c r="B14138" s="324"/>
      <c r="C14138" s="325"/>
      <c r="D14138" s="326"/>
      <c r="E14138" s="326"/>
      <c r="F14138" s="326"/>
      <c r="G14138" s="326"/>
      <c r="H14138" s="326"/>
      <c r="P14138" s="318"/>
      <c r="Q14138" s="318"/>
      <c r="R14138" s="318"/>
      <c r="S14138" s="318"/>
      <c r="T14138" s="318"/>
      <c r="U14138" s="318"/>
      <c r="V14138" s="318"/>
      <c r="W14138" s="318"/>
      <c r="X14138" s="318"/>
      <c r="Y14138" s="318"/>
      <c r="Z14138" s="318"/>
      <c r="AA14138" s="318"/>
      <c r="AB14138" s="318"/>
      <c r="AC14138" s="318"/>
      <c r="AD14138" s="318"/>
    </row>
    <row r="14139" spans="2:30" s="323" customFormat="1" ht="12" customHeight="1">
      <c r="B14139" s="324"/>
      <c r="C14139" s="325"/>
      <c r="D14139" s="326"/>
      <c r="E14139" s="326"/>
      <c r="F14139" s="326"/>
      <c r="G14139" s="326"/>
      <c r="H14139" s="326"/>
      <c r="P14139" s="318"/>
      <c r="Q14139" s="318"/>
      <c r="R14139" s="318"/>
      <c r="S14139" s="318"/>
      <c r="T14139" s="318"/>
      <c r="U14139" s="318"/>
      <c r="V14139" s="318"/>
      <c r="W14139" s="318"/>
      <c r="X14139" s="318"/>
      <c r="Y14139" s="318"/>
      <c r="Z14139" s="318"/>
      <c r="AA14139" s="318"/>
      <c r="AB14139" s="318"/>
      <c r="AC14139" s="318"/>
      <c r="AD14139" s="318"/>
    </row>
    <row r="14140" spans="2:30" s="323" customFormat="1" ht="12" customHeight="1">
      <c r="B14140" s="324"/>
      <c r="C14140" s="325"/>
      <c r="D14140" s="326"/>
      <c r="E14140" s="326"/>
      <c r="F14140" s="326"/>
      <c r="G14140" s="326"/>
      <c r="H14140" s="326"/>
      <c r="P14140" s="318"/>
      <c r="Q14140" s="318"/>
      <c r="R14140" s="318"/>
      <c r="S14140" s="318"/>
      <c r="T14140" s="318"/>
      <c r="U14140" s="318"/>
      <c r="V14140" s="318"/>
      <c r="W14140" s="318"/>
      <c r="X14140" s="318"/>
      <c r="Y14140" s="318"/>
      <c r="Z14140" s="318"/>
      <c r="AA14140" s="318"/>
      <c r="AB14140" s="318"/>
      <c r="AC14140" s="318"/>
      <c r="AD14140" s="318"/>
    </row>
    <row r="14141" spans="2:30" s="323" customFormat="1" ht="12" customHeight="1">
      <c r="B14141" s="324"/>
      <c r="C14141" s="325"/>
      <c r="D14141" s="326"/>
      <c r="E14141" s="326"/>
      <c r="F14141" s="326"/>
      <c r="G14141" s="326"/>
      <c r="H14141" s="326"/>
      <c r="P14141" s="318"/>
      <c r="Q14141" s="318"/>
      <c r="R14141" s="318"/>
      <c r="S14141" s="318"/>
      <c r="T14141" s="318"/>
      <c r="U14141" s="318"/>
      <c r="V14141" s="318"/>
      <c r="W14141" s="318"/>
      <c r="X14141" s="318"/>
      <c r="Y14141" s="318"/>
      <c r="Z14141" s="318"/>
      <c r="AA14141" s="318"/>
      <c r="AB14141" s="318"/>
      <c r="AC14141" s="318"/>
      <c r="AD14141" s="318"/>
    </row>
    <row r="14142" spans="2:30" s="323" customFormat="1" ht="12" customHeight="1">
      <c r="B14142" s="324"/>
      <c r="C14142" s="325"/>
      <c r="D14142" s="326"/>
      <c r="E14142" s="326"/>
      <c r="F14142" s="326"/>
      <c r="G14142" s="326"/>
      <c r="H14142" s="326"/>
      <c r="P14142" s="318"/>
      <c r="Q14142" s="318"/>
      <c r="R14142" s="318"/>
      <c r="S14142" s="318"/>
      <c r="T14142" s="318"/>
      <c r="U14142" s="318"/>
      <c r="V14142" s="318"/>
      <c r="W14142" s="318"/>
      <c r="X14142" s="318"/>
      <c r="Y14142" s="318"/>
      <c r="Z14142" s="318"/>
      <c r="AA14142" s="318"/>
      <c r="AB14142" s="318"/>
      <c r="AC14142" s="318"/>
      <c r="AD14142" s="318"/>
    </row>
    <row r="14143" spans="2:30" s="323" customFormat="1" ht="12" customHeight="1">
      <c r="B14143" s="324"/>
      <c r="C14143" s="325"/>
      <c r="D14143" s="326"/>
      <c r="E14143" s="326"/>
      <c r="F14143" s="326"/>
      <c r="G14143" s="326"/>
      <c r="H14143" s="326"/>
      <c r="P14143" s="318"/>
      <c r="Q14143" s="318"/>
      <c r="R14143" s="318"/>
      <c r="S14143" s="318"/>
      <c r="T14143" s="318"/>
      <c r="U14143" s="318"/>
      <c r="V14143" s="318"/>
      <c r="W14143" s="318"/>
      <c r="X14143" s="318"/>
      <c r="Y14143" s="318"/>
      <c r="Z14143" s="318"/>
      <c r="AA14143" s="318"/>
      <c r="AB14143" s="318"/>
      <c r="AC14143" s="318"/>
      <c r="AD14143" s="318"/>
    </row>
    <row r="14144" spans="2:30" s="323" customFormat="1" ht="12" customHeight="1">
      <c r="B14144" s="324"/>
      <c r="C14144" s="325"/>
      <c r="D14144" s="326"/>
      <c r="E14144" s="326"/>
      <c r="F14144" s="326"/>
      <c r="G14144" s="326"/>
      <c r="H14144" s="326"/>
      <c r="P14144" s="318"/>
      <c r="Q14144" s="318"/>
      <c r="R14144" s="318"/>
      <c r="S14144" s="318"/>
      <c r="T14144" s="318"/>
      <c r="U14144" s="318"/>
      <c r="V14144" s="318"/>
      <c r="W14144" s="318"/>
      <c r="X14144" s="318"/>
      <c r="Y14144" s="318"/>
      <c r="Z14144" s="318"/>
      <c r="AA14144" s="318"/>
      <c r="AB14144" s="318"/>
      <c r="AC14144" s="318"/>
      <c r="AD14144" s="318"/>
    </row>
    <row r="14145" spans="2:30" s="323" customFormat="1" ht="12" customHeight="1">
      <c r="B14145" s="324"/>
      <c r="C14145" s="325"/>
      <c r="D14145" s="326"/>
      <c r="E14145" s="326"/>
      <c r="F14145" s="326"/>
      <c r="G14145" s="326"/>
      <c r="H14145" s="326"/>
      <c r="P14145" s="318"/>
      <c r="Q14145" s="318"/>
      <c r="R14145" s="318"/>
      <c r="S14145" s="318"/>
      <c r="T14145" s="318"/>
      <c r="U14145" s="318"/>
      <c r="V14145" s="318"/>
      <c r="W14145" s="318"/>
      <c r="X14145" s="318"/>
      <c r="Y14145" s="318"/>
      <c r="Z14145" s="318"/>
      <c r="AA14145" s="318"/>
      <c r="AB14145" s="318"/>
      <c r="AC14145" s="318"/>
      <c r="AD14145" s="318"/>
    </row>
    <row r="14146" spans="2:30" s="323" customFormat="1" ht="12" customHeight="1">
      <c r="B14146" s="324"/>
      <c r="C14146" s="325"/>
      <c r="D14146" s="326"/>
      <c r="E14146" s="326"/>
      <c r="F14146" s="326"/>
      <c r="G14146" s="326"/>
      <c r="H14146" s="326"/>
      <c r="P14146" s="318"/>
      <c r="Q14146" s="318"/>
      <c r="R14146" s="318"/>
      <c r="S14146" s="318"/>
      <c r="T14146" s="318"/>
      <c r="U14146" s="318"/>
      <c r="V14146" s="318"/>
      <c r="W14146" s="318"/>
      <c r="X14146" s="318"/>
      <c r="Y14146" s="318"/>
      <c r="Z14146" s="318"/>
      <c r="AA14146" s="318"/>
      <c r="AB14146" s="318"/>
      <c r="AC14146" s="318"/>
      <c r="AD14146" s="318"/>
    </row>
    <row r="14147" spans="2:30" s="323" customFormat="1" ht="12" customHeight="1">
      <c r="B14147" s="324"/>
      <c r="C14147" s="325"/>
      <c r="D14147" s="326"/>
      <c r="E14147" s="326"/>
      <c r="F14147" s="326"/>
      <c r="G14147" s="326"/>
      <c r="H14147" s="326"/>
      <c r="P14147" s="318"/>
      <c r="Q14147" s="318"/>
      <c r="R14147" s="318"/>
      <c r="S14147" s="318"/>
      <c r="T14147" s="318"/>
      <c r="U14147" s="318"/>
      <c r="V14147" s="318"/>
      <c r="W14147" s="318"/>
      <c r="X14147" s="318"/>
      <c r="Y14147" s="318"/>
      <c r="Z14147" s="318"/>
      <c r="AA14147" s="318"/>
      <c r="AB14147" s="318"/>
      <c r="AC14147" s="318"/>
      <c r="AD14147" s="318"/>
    </row>
    <row r="14148" spans="2:30" s="323" customFormat="1" ht="12" customHeight="1">
      <c r="B14148" s="324"/>
      <c r="C14148" s="325"/>
      <c r="D14148" s="326"/>
      <c r="E14148" s="326"/>
      <c r="F14148" s="326"/>
      <c r="G14148" s="326"/>
      <c r="H14148" s="326"/>
      <c r="P14148" s="318"/>
      <c r="Q14148" s="318"/>
      <c r="R14148" s="318"/>
      <c r="S14148" s="318"/>
      <c r="T14148" s="318"/>
      <c r="U14148" s="318"/>
      <c r="V14148" s="318"/>
      <c r="W14148" s="318"/>
      <c r="X14148" s="318"/>
      <c r="Y14148" s="318"/>
      <c r="Z14148" s="318"/>
      <c r="AA14148" s="318"/>
      <c r="AB14148" s="318"/>
      <c r="AC14148" s="318"/>
      <c r="AD14148" s="318"/>
    </row>
    <row r="14149" spans="2:30" s="323" customFormat="1" ht="12" customHeight="1">
      <c r="B14149" s="324"/>
      <c r="C14149" s="325"/>
      <c r="D14149" s="326"/>
      <c r="E14149" s="326"/>
      <c r="F14149" s="326"/>
      <c r="G14149" s="326"/>
      <c r="H14149" s="326"/>
      <c r="P14149" s="318"/>
      <c r="Q14149" s="318"/>
      <c r="R14149" s="318"/>
      <c r="S14149" s="318"/>
      <c r="T14149" s="318"/>
      <c r="U14149" s="318"/>
      <c r="V14149" s="318"/>
      <c r="W14149" s="318"/>
      <c r="X14149" s="318"/>
      <c r="Y14149" s="318"/>
      <c r="Z14149" s="318"/>
      <c r="AA14149" s="318"/>
      <c r="AB14149" s="318"/>
      <c r="AC14149" s="318"/>
      <c r="AD14149" s="318"/>
    </row>
    <row r="14150" spans="2:30" s="323" customFormat="1" ht="12" customHeight="1">
      <c r="B14150" s="324"/>
      <c r="C14150" s="325"/>
      <c r="D14150" s="326"/>
      <c r="E14150" s="326"/>
      <c r="F14150" s="326"/>
      <c r="G14150" s="326"/>
      <c r="H14150" s="326"/>
      <c r="P14150" s="318"/>
      <c r="Q14150" s="318"/>
      <c r="R14150" s="318"/>
      <c r="S14150" s="318"/>
      <c r="T14150" s="318"/>
      <c r="U14150" s="318"/>
      <c r="V14150" s="318"/>
      <c r="W14150" s="318"/>
      <c r="X14150" s="318"/>
      <c r="Y14150" s="318"/>
      <c r="Z14150" s="318"/>
      <c r="AA14150" s="318"/>
      <c r="AB14150" s="318"/>
      <c r="AC14150" s="318"/>
      <c r="AD14150" s="318"/>
    </row>
    <row r="14151" spans="2:30" s="323" customFormat="1" ht="12" customHeight="1">
      <c r="B14151" s="324"/>
      <c r="C14151" s="325"/>
      <c r="D14151" s="326"/>
      <c r="E14151" s="326"/>
      <c r="F14151" s="326"/>
      <c r="G14151" s="326"/>
      <c r="H14151" s="326"/>
      <c r="P14151" s="318"/>
      <c r="Q14151" s="318"/>
      <c r="R14151" s="318"/>
      <c r="S14151" s="318"/>
      <c r="T14151" s="318"/>
      <c r="U14151" s="318"/>
      <c r="V14151" s="318"/>
      <c r="W14151" s="318"/>
      <c r="X14151" s="318"/>
      <c r="Y14151" s="318"/>
      <c r="Z14151" s="318"/>
      <c r="AA14151" s="318"/>
      <c r="AB14151" s="318"/>
      <c r="AC14151" s="318"/>
      <c r="AD14151" s="318"/>
    </row>
    <row r="14152" spans="2:30" s="323" customFormat="1" ht="12" customHeight="1">
      <c r="B14152" s="324"/>
      <c r="C14152" s="325"/>
      <c r="D14152" s="326"/>
      <c r="E14152" s="326"/>
      <c r="F14152" s="326"/>
      <c r="G14152" s="326"/>
      <c r="H14152" s="326"/>
      <c r="P14152" s="318"/>
      <c r="Q14152" s="318"/>
      <c r="R14152" s="318"/>
      <c r="S14152" s="318"/>
      <c r="T14152" s="318"/>
      <c r="U14152" s="318"/>
      <c r="V14152" s="318"/>
      <c r="W14152" s="318"/>
      <c r="X14152" s="318"/>
      <c r="Y14152" s="318"/>
      <c r="Z14152" s="318"/>
      <c r="AA14152" s="318"/>
      <c r="AB14152" s="318"/>
      <c r="AC14152" s="318"/>
      <c r="AD14152" s="318"/>
    </row>
    <row r="14153" spans="2:30" s="323" customFormat="1" ht="12" customHeight="1">
      <c r="B14153" s="324"/>
      <c r="C14153" s="325"/>
      <c r="D14153" s="326"/>
      <c r="E14153" s="326"/>
      <c r="F14153" s="326"/>
      <c r="G14153" s="326"/>
      <c r="H14153" s="326"/>
      <c r="P14153" s="318"/>
      <c r="Q14153" s="318"/>
      <c r="R14153" s="318"/>
      <c r="S14153" s="318"/>
      <c r="T14153" s="318"/>
      <c r="U14153" s="318"/>
      <c r="V14153" s="318"/>
      <c r="W14153" s="318"/>
      <c r="X14153" s="318"/>
      <c r="Y14153" s="318"/>
      <c r="Z14153" s="318"/>
      <c r="AA14153" s="318"/>
      <c r="AB14153" s="318"/>
      <c r="AC14153" s="318"/>
      <c r="AD14153" s="318"/>
    </row>
    <row r="14154" spans="2:30" s="323" customFormat="1" ht="12" customHeight="1">
      <c r="B14154" s="324"/>
      <c r="C14154" s="325"/>
      <c r="D14154" s="326"/>
      <c r="E14154" s="326"/>
      <c r="F14154" s="326"/>
      <c r="G14154" s="326"/>
      <c r="H14154" s="326"/>
      <c r="P14154" s="318"/>
      <c r="Q14154" s="318"/>
      <c r="R14154" s="318"/>
      <c r="S14154" s="318"/>
      <c r="T14154" s="318"/>
      <c r="U14154" s="318"/>
      <c r="V14154" s="318"/>
      <c r="W14154" s="318"/>
      <c r="X14154" s="318"/>
      <c r="Y14154" s="318"/>
      <c r="Z14154" s="318"/>
      <c r="AA14154" s="318"/>
      <c r="AB14154" s="318"/>
      <c r="AC14154" s="318"/>
      <c r="AD14154" s="318"/>
    </row>
    <row r="14155" spans="2:30" s="323" customFormat="1" ht="12" customHeight="1">
      <c r="B14155" s="324"/>
      <c r="C14155" s="325"/>
      <c r="D14155" s="326"/>
      <c r="E14155" s="326"/>
      <c r="F14155" s="326"/>
      <c r="G14155" s="326"/>
      <c r="H14155" s="326"/>
      <c r="P14155" s="318"/>
      <c r="Q14155" s="318"/>
      <c r="R14155" s="318"/>
      <c r="S14155" s="318"/>
      <c r="T14155" s="318"/>
      <c r="U14155" s="318"/>
      <c r="V14155" s="318"/>
      <c r="W14155" s="318"/>
      <c r="X14155" s="318"/>
      <c r="Y14155" s="318"/>
      <c r="Z14155" s="318"/>
      <c r="AA14155" s="318"/>
      <c r="AB14155" s="318"/>
      <c r="AC14155" s="318"/>
      <c r="AD14155" s="318"/>
    </row>
    <row r="14156" spans="2:30" s="323" customFormat="1" ht="12" customHeight="1">
      <c r="B14156" s="324"/>
      <c r="C14156" s="325"/>
      <c r="D14156" s="326"/>
      <c r="E14156" s="326"/>
      <c r="F14156" s="326"/>
      <c r="G14156" s="326"/>
      <c r="H14156" s="326"/>
      <c r="P14156" s="318"/>
      <c r="Q14156" s="318"/>
      <c r="R14156" s="318"/>
      <c r="S14156" s="318"/>
      <c r="T14156" s="318"/>
      <c r="U14156" s="318"/>
      <c r="V14156" s="318"/>
      <c r="W14156" s="318"/>
      <c r="X14156" s="318"/>
      <c r="Y14156" s="318"/>
      <c r="Z14156" s="318"/>
      <c r="AA14156" s="318"/>
      <c r="AB14156" s="318"/>
      <c r="AC14156" s="318"/>
      <c r="AD14156" s="318"/>
    </row>
    <row r="14157" spans="2:30" s="323" customFormat="1" ht="12" customHeight="1">
      <c r="B14157" s="324"/>
      <c r="C14157" s="325"/>
      <c r="D14157" s="326"/>
      <c r="E14157" s="326"/>
      <c r="F14157" s="326"/>
      <c r="G14157" s="326"/>
      <c r="H14157" s="326"/>
      <c r="P14157" s="318"/>
      <c r="Q14157" s="318"/>
      <c r="R14157" s="318"/>
      <c r="S14157" s="318"/>
      <c r="T14157" s="318"/>
      <c r="U14157" s="318"/>
      <c r="V14157" s="318"/>
      <c r="W14157" s="318"/>
      <c r="X14157" s="318"/>
      <c r="Y14157" s="318"/>
      <c r="Z14157" s="318"/>
      <c r="AA14157" s="318"/>
      <c r="AB14157" s="318"/>
      <c r="AC14157" s="318"/>
      <c r="AD14157" s="318"/>
    </row>
    <row r="14158" spans="2:30" s="323" customFormat="1" ht="12" customHeight="1">
      <c r="B14158" s="324"/>
      <c r="C14158" s="325"/>
      <c r="D14158" s="326"/>
      <c r="E14158" s="326"/>
      <c r="F14158" s="326"/>
      <c r="G14158" s="326"/>
      <c r="H14158" s="326"/>
      <c r="P14158" s="318"/>
      <c r="Q14158" s="318"/>
      <c r="R14158" s="318"/>
      <c r="S14158" s="318"/>
      <c r="T14158" s="318"/>
      <c r="U14158" s="318"/>
      <c r="V14158" s="318"/>
      <c r="W14158" s="318"/>
      <c r="X14158" s="318"/>
      <c r="Y14158" s="318"/>
      <c r="Z14158" s="318"/>
      <c r="AA14158" s="318"/>
      <c r="AB14158" s="318"/>
      <c r="AC14158" s="318"/>
      <c r="AD14158" s="318"/>
    </row>
    <row r="14159" spans="2:30" s="323" customFormat="1" ht="12" customHeight="1">
      <c r="B14159" s="324"/>
      <c r="C14159" s="325"/>
      <c r="D14159" s="326"/>
      <c r="E14159" s="326"/>
      <c r="F14159" s="326"/>
      <c r="G14159" s="326"/>
      <c r="H14159" s="326"/>
      <c r="P14159" s="318"/>
      <c r="Q14159" s="318"/>
      <c r="R14159" s="318"/>
      <c r="S14159" s="318"/>
      <c r="T14159" s="318"/>
      <c r="U14159" s="318"/>
      <c r="V14159" s="318"/>
      <c r="W14159" s="318"/>
      <c r="X14159" s="318"/>
      <c r="Y14159" s="318"/>
      <c r="Z14159" s="318"/>
      <c r="AA14159" s="318"/>
      <c r="AB14159" s="318"/>
      <c r="AC14159" s="318"/>
      <c r="AD14159" s="318"/>
    </row>
    <row r="14160" spans="2:30" s="323" customFormat="1" ht="12" customHeight="1">
      <c r="B14160" s="324"/>
      <c r="C14160" s="325"/>
      <c r="D14160" s="326"/>
      <c r="E14160" s="326"/>
      <c r="F14160" s="326"/>
      <c r="G14160" s="326"/>
      <c r="H14160" s="326"/>
      <c r="P14160" s="318"/>
      <c r="Q14160" s="318"/>
      <c r="R14160" s="318"/>
      <c r="S14160" s="318"/>
      <c r="T14160" s="318"/>
      <c r="U14160" s="318"/>
      <c r="V14160" s="318"/>
      <c r="W14160" s="318"/>
      <c r="X14160" s="318"/>
      <c r="Y14160" s="318"/>
      <c r="Z14160" s="318"/>
      <c r="AA14160" s="318"/>
      <c r="AB14160" s="318"/>
      <c r="AC14160" s="318"/>
      <c r="AD14160" s="318"/>
    </row>
    <row r="14161" spans="2:30" s="323" customFormat="1" ht="12" customHeight="1">
      <c r="B14161" s="324"/>
      <c r="C14161" s="325"/>
      <c r="D14161" s="326"/>
      <c r="E14161" s="326"/>
      <c r="F14161" s="326"/>
      <c r="G14161" s="326"/>
      <c r="H14161" s="326"/>
      <c r="P14161" s="318"/>
      <c r="Q14161" s="318"/>
      <c r="R14161" s="318"/>
      <c r="S14161" s="318"/>
      <c r="T14161" s="318"/>
      <c r="U14161" s="318"/>
      <c r="V14161" s="318"/>
      <c r="W14161" s="318"/>
      <c r="X14161" s="318"/>
      <c r="Y14161" s="318"/>
      <c r="Z14161" s="318"/>
      <c r="AA14161" s="318"/>
      <c r="AB14161" s="318"/>
      <c r="AC14161" s="318"/>
      <c r="AD14161" s="318"/>
    </row>
    <row r="14162" spans="2:30" s="323" customFormat="1" ht="12" customHeight="1">
      <c r="B14162" s="324"/>
      <c r="C14162" s="325"/>
      <c r="D14162" s="326"/>
      <c r="E14162" s="326"/>
      <c r="F14162" s="326"/>
      <c r="G14162" s="326"/>
      <c r="H14162" s="326"/>
      <c r="P14162" s="318"/>
      <c r="Q14162" s="318"/>
      <c r="R14162" s="318"/>
      <c r="S14162" s="318"/>
      <c r="T14162" s="318"/>
      <c r="U14162" s="318"/>
      <c r="V14162" s="318"/>
      <c r="W14162" s="318"/>
      <c r="X14162" s="318"/>
      <c r="Y14162" s="318"/>
      <c r="Z14162" s="318"/>
      <c r="AA14162" s="318"/>
      <c r="AB14162" s="318"/>
      <c r="AC14162" s="318"/>
      <c r="AD14162" s="318"/>
    </row>
    <row r="14163" spans="2:30" s="323" customFormat="1" ht="12" customHeight="1">
      <c r="B14163" s="324"/>
      <c r="C14163" s="325"/>
      <c r="D14163" s="326"/>
      <c r="E14163" s="326"/>
      <c r="F14163" s="326"/>
      <c r="G14163" s="326"/>
      <c r="H14163" s="326"/>
      <c r="P14163" s="318"/>
      <c r="Q14163" s="318"/>
      <c r="R14163" s="318"/>
      <c r="S14163" s="318"/>
      <c r="T14163" s="318"/>
      <c r="U14163" s="318"/>
      <c r="V14163" s="318"/>
      <c r="W14163" s="318"/>
      <c r="X14163" s="318"/>
      <c r="Y14163" s="318"/>
      <c r="Z14163" s="318"/>
      <c r="AA14163" s="318"/>
      <c r="AB14163" s="318"/>
      <c r="AC14163" s="318"/>
      <c r="AD14163" s="318"/>
    </row>
    <row r="14164" spans="2:30" s="323" customFormat="1" ht="12" customHeight="1">
      <c r="B14164" s="324"/>
      <c r="C14164" s="325"/>
      <c r="D14164" s="326"/>
      <c r="E14164" s="326"/>
      <c r="F14164" s="326"/>
      <c r="G14164" s="326"/>
      <c r="H14164" s="326"/>
      <c r="P14164" s="318"/>
      <c r="Q14164" s="318"/>
      <c r="R14164" s="318"/>
      <c r="S14164" s="318"/>
      <c r="T14164" s="318"/>
      <c r="U14164" s="318"/>
      <c r="V14164" s="318"/>
      <c r="W14164" s="318"/>
      <c r="X14164" s="318"/>
      <c r="Y14164" s="318"/>
      <c r="Z14164" s="318"/>
      <c r="AA14164" s="318"/>
      <c r="AB14164" s="318"/>
      <c r="AC14164" s="318"/>
      <c r="AD14164" s="318"/>
    </row>
    <row r="14165" spans="2:30" s="323" customFormat="1" ht="12" customHeight="1">
      <c r="B14165" s="324"/>
      <c r="C14165" s="325"/>
      <c r="D14165" s="326"/>
      <c r="E14165" s="326"/>
      <c r="F14165" s="326"/>
      <c r="G14165" s="326"/>
      <c r="H14165" s="326"/>
      <c r="P14165" s="318"/>
      <c r="Q14165" s="318"/>
      <c r="R14165" s="318"/>
      <c r="S14165" s="318"/>
      <c r="T14165" s="318"/>
      <c r="U14165" s="318"/>
      <c r="V14165" s="318"/>
      <c r="W14165" s="318"/>
      <c r="X14165" s="318"/>
      <c r="Y14165" s="318"/>
      <c r="Z14165" s="318"/>
      <c r="AA14165" s="318"/>
      <c r="AB14165" s="318"/>
      <c r="AC14165" s="318"/>
      <c r="AD14165" s="318"/>
    </row>
    <row r="14166" spans="2:30" s="323" customFormat="1" ht="12" customHeight="1">
      <c r="B14166" s="324"/>
      <c r="C14166" s="325"/>
      <c r="D14166" s="326"/>
      <c r="E14166" s="326"/>
      <c r="F14166" s="326"/>
      <c r="G14166" s="326"/>
      <c r="H14166" s="326"/>
      <c r="P14166" s="318"/>
      <c r="Q14166" s="318"/>
      <c r="R14166" s="318"/>
      <c r="S14166" s="318"/>
      <c r="T14166" s="318"/>
      <c r="U14166" s="318"/>
      <c r="V14166" s="318"/>
      <c r="W14166" s="318"/>
      <c r="X14166" s="318"/>
      <c r="Y14166" s="318"/>
      <c r="Z14166" s="318"/>
      <c r="AA14166" s="318"/>
      <c r="AB14166" s="318"/>
      <c r="AC14166" s="318"/>
      <c r="AD14166" s="318"/>
    </row>
    <row r="14167" spans="2:30" s="323" customFormat="1" ht="12" customHeight="1">
      <c r="B14167" s="324"/>
      <c r="C14167" s="325"/>
      <c r="D14167" s="326"/>
      <c r="E14167" s="326"/>
      <c r="F14167" s="326"/>
      <c r="G14167" s="326"/>
      <c r="H14167" s="326"/>
      <c r="P14167" s="318"/>
      <c r="Q14167" s="318"/>
      <c r="R14167" s="318"/>
      <c r="S14167" s="318"/>
      <c r="T14167" s="318"/>
      <c r="U14167" s="318"/>
      <c r="V14167" s="318"/>
      <c r="W14167" s="318"/>
      <c r="X14167" s="318"/>
      <c r="Y14167" s="318"/>
      <c r="Z14167" s="318"/>
      <c r="AA14167" s="318"/>
      <c r="AB14167" s="318"/>
      <c r="AC14167" s="318"/>
      <c r="AD14167" s="318"/>
    </row>
    <row r="14168" spans="2:30" s="323" customFormat="1" ht="12" customHeight="1">
      <c r="B14168" s="324"/>
      <c r="C14168" s="325"/>
      <c r="D14168" s="326"/>
      <c r="E14168" s="326"/>
      <c r="F14168" s="326"/>
      <c r="G14168" s="326"/>
      <c r="H14168" s="326"/>
      <c r="P14168" s="318"/>
      <c r="Q14168" s="318"/>
      <c r="R14168" s="318"/>
      <c r="S14168" s="318"/>
      <c r="T14168" s="318"/>
      <c r="U14168" s="318"/>
      <c r="V14168" s="318"/>
      <c r="W14168" s="318"/>
      <c r="X14168" s="318"/>
      <c r="Y14168" s="318"/>
      <c r="Z14168" s="318"/>
      <c r="AA14168" s="318"/>
      <c r="AB14168" s="318"/>
      <c r="AC14168" s="318"/>
      <c r="AD14168" s="318"/>
    </row>
    <row r="14169" spans="2:30" s="323" customFormat="1" ht="12" customHeight="1">
      <c r="B14169" s="324"/>
      <c r="C14169" s="325"/>
      <c r="D14169" s="326"/>
      <c r="E14169" s="326"/>
      <c r="F14169" s="326"/>
      <c r="G14169" s="326"/>
      <c r="H14169" s="326"/>
      <c r="P14169" s="318"/>
      <c r="Q14169" s="318"/>
      <c r="R14169" s="318"/>
      <c r="S14169" s="318"/>
      <c r="T14169" s="318"/>
      <c r="U14169" s="318"/>
      <c r="V14169" s="318"/>
      <c r="W14169" s="318"/>
      <c r="X14169" s="318"/>
      <c r="Y14169" s="318"/>
      <c r="Z14169" s="318"/>
      <c r="AA14169" s="318"/>
      <c r="AB14169" s="318"/>
      <c r="AC14169" s="318"/>
      <c r="AD14169" s="318"/>
    </row>
    <row r="14170" spans="2:30" s="323" customFormat="1" ht="12" customHeight="1">
      <c r="B14170" s="324"/>
      <c r="C14170" s="325"/>
      <c r="D14170" s="326"/>
      <c r="E14170" s="326"/>
      <c r="F14170" s="326"/>
      <c r="G14170" s="326"/>
      <c r="H14170" s="326"/>
      <c r="P14170" s="318"/>
      <c r="Q14170" s="318"/>
      <c r="R14170" s="318"/>
      <c r="S14170" s="318"/>
      <c r="T14170" s="318"/>
      <c r="U14170" s="318"/>
      <c r="V14170" s="318"/>
      <c r="W14170" s="318"/>
      <c r="X14170" s="318"/>
      <c r="Y14170" s="318"/>
      <c r="Z14170" s="318"/>
      <c r="AA14170" s="318"/>
      <c r="AB14170" s="318"/>
      <c r="AC14170" s="318"/>
      <c r="AD14170" s="318"/>
    </row>
    <row r="14171" spans="2:30" s="323" customFormat="1" ht="12" customHeight="1">
      <c r="B14171" s="324"/>
      <c r="C14171" s="325"/>
      <c r="D14171" s="326"/>
      <c r="E14171" s="326"/>
      <c r="F14171" s="326"/>
      <c r="G14171" s="326"/>
      <c r="H14171" s="326"/>
      <c r="P14171" s="318"/>
      <c r="Q14171" s="318"/>
      <c r="R14171" s="318"/>
      <c r="S14171" s="318"/>
      <c r="T14171" s="318"/>
      <c r="U14171" s="318"/>
      <c r="V14171" s="318"/>
      <c r="W14171" s="318"/>
      <c r="X14171" s="318"/>
      <c r="Y14171" s="318"/>
      <c r="Z14171" s="318"/>
      <c r="AA14171" s="318"/>
      <c r="AB14171" s="318"/>
      <c r="AC14171" s="318"/>
      <c r="AD14171" s="318"/>
    </row>
    <row r="14172" spans="2:30" s="323" customFormat="1" ht="12" customHeight="1">
      <c r="B14172" s="324"/>
      <c r="C14172" s="325"/>
      <c r="D14172" s="326"/>
      <c r="E14172" s="326"/>
      <c r="F14172" s="326"/>
      <c r="G14172" s="326"/>
      <c r="H14172" s="326"/>
      <c r="P14172" s="318"/>
      <c r="Q14172" s="318"/>
      <c r="R14172" s="318"/>
      <c r="S14172" s="318"/>
      <c r="T14172" s="318"/>
      <c r="U14172" s="318"/>
      <c r="V14172" s="318"/>
      <c r="W14172" s="318"/>
      <c r="X14172" s="318"/>
      <c r="Y14172" s="318"/>
      <c r="Z14172" s="318"/>
      <c r="AA14172" s="318"/>
      <c r="AB14172" s="318"/>
      <c r="AC14172" s="318"/>
      <c r="AD14172" s="318"/>
    </row>
    <row r="14173" spans="2:30" s="323" customFormat="1" ht="12" customHeight="1">
      <c r="B14173" s="324"/>
      <c r="C14173" s="325"/>
      <c r="D14173" s="326"/>
      <c r="E14173" s="326"/>
      <c r="F14173" s="326"/>
      <c r="G14173" s="326"/>
      <c r="H14173" s="326"/>
      <c r="P14173" s="318"/>
      <c r="Q14173" s="318"/>
      <c r="R14173" s="318"/>
      <c r="S14173" s="318"/>
      <c r="T14173" s="318"/>
      <c r="U14173" s="318"/>
      <c r="V14173" s="318"/>
      <c r="W14173" s="318"/>
      <c r="X14173" s="318"/>
      <c r="Y14173" s="318"/>
      <c r="Z14173" s="318"/>
      <c r="AA14173" s="318"/>
      <c r="AB14173" s="318"/>
      <c r="AC14173" s="318"/>
      <c r="AD14173" s="318"/>
    </row>
    <row r="14174" spans="2:30" s="323" customFormat="1" ht="12" customHeight="1">
      <c r="B14174" s="324"/>
      <c r="C14174" s="325"/>
      <c r="D14174" s="326"/>
      <c r="E14174" s="326"/>
      <c r="F14174" s="326"/>
      <c r="G14174" s="326"/>
      <c r="H14174" s="326"/>
      <c r="P14174" s="318"/>
      <c r="Q14174" s="318"/>
      <c r="R14174" s="318"/>
      <c r="S14174" s="318"/>
      <c r="T14174" s="318"/>
      <c r="U14174" s="318"/>
      <c r="V14174" s="318"/>
      <c r="W14174" s="318"/>
      <c r="X14174" s="318"/>
      <c r="Y14174" s="318"/>
      <c r="Z14174" s="318"/>
      <c r="AA14174" s="318"/>
      <c r="AB14174" s="318"/>
      <c r="AC14174" s="318"/>
      <c r="AD14174" s="318"/>
    </row>
    <row r="14175" spans="2:30" s="323" customFormat="1" ht="12" customHeight="1">
      <c r="B14175" s="324"/>
      <c r="C14175" s="325"/>
      <c r="D14175" s="326"/>
      <c r="E14175" s="326"/>
      <c r="F14175" s="326"/>
      <c r="G14175" s="326"/>
      <c r="H14175" s="326"/>
      <c r="P14175" s="318"/>
      <c r="Q14175" s="318"/>
      <c r="R14175" s="318"/>
      <c r="S14175" s="318"/>
      <c r="T14175" s="318"/>
      <c r="U14175" s="318"/>
      <c r="V14175" s="318"/>
      <c r="W14175" s="318"/>
      <c r="X14175" s="318"/>
      <c r="Y14175" s="318"/>
      <c r="Z14175" s="318"/>
      <c r="AA14175" s="318"/>
      <c r="AB14175" s="318"/>
      <c r="AC14175" s="318"/>
      <c r="AD14175" s="318"/>
    </row>
    <row r="14176" spans="2:30" s="323" customFormat="1" ht="12" customHeight="1">
      <c r="B14176" s="324"/>
      <c r="C14176" s="325"/>
      <c r="D14176" s="326"/>
      <c r="E14176" s="326"/>
      <c r="F14176" s="326"/>
      <c r="G14176" s="326"/>
      <c r="H14176" s="326"/>
      <c r="P14176" s="318"/>
      <c r="Q14176" s="318"/>
      <c r="R14176" s="318"/>
      <c r="S14176" s="318"/>
      <c r="T14176" s="318"/>
      <c r="U14176" s="318"/>
      <c r="V14176" s="318"/>
      <c r="W14176" s="318"/>
      <c r="X14176" s="318"/>
      <c r="Y14176" s="318"/>
      <c r="Z14176" s="318"/>
      <c r="AA14176" s="318"/>
      <c r="AB14176" s="318"/>
      <c r="AC14176" s="318"/>
      <c r="AD14176" s="318"/>
    </row>
    <row r="14177" spans="2:30" s="323" customFormat="1" ht="12" customHeight="1">
      <c r="B14177" s="324"/>
      <c r="C14177" s="325"/>
      <c r="D14177" s="326"/>
      <c r="E14177" s="326"/>
      <c r="F14177" s="326"/>
      <c r="G14177" s="326"/>
      <c r="H14177" s="326"/>
      <c r="P14177" s="318"/>
      <c r="Q14177" s="318"/>
      <c r="R14177" s="318"/>
      <c r="S14177" s="318"/>
      <c r="T14177" s="318"/>
      <c r="U14177" s="318"/>
      <c r="V14177" s="318"/>
      <c r="W14177" s="318"/>
      <c r="X14177" s="318"/>
      <c r="Y14177" s="318"/>
      <c r="Z14177" s="318"/>
      <c r="AA14177" s="318"/>
      <c r="AB14177" s="318"/>
      <c r="AC14177" s="318"/>
      <c r="AD14177" s="318"/>
    </row>
    <row r="14178" spans="2:30" s="323" customFormat="1" ht="12" customHeight="1">
      <c r="B14178" s="324"/>
      <c r="C14178" s="325"/>
      <c r="D14178" s="326"/>
      <c r="E14178" s="326"/>
      <c r="F14178" s="326"/>
      <c r="G14178" s="326"/>
      <c r="H14178" s="326"/>
      <c r="P14178" s="318"/>
      <c r="Q14178" s="318"/>
      <c r="R14178" s="318"/>
      <c r="S14178" s="318"/>
      <c r="T14178" s="318"/>
      <c r="U14178" s="318"/>
      <c r="V14178" s="318"/>
      <c r="W14178" s="318"/>
      <c r="X14178" s="318"/>
      <c r="Y14178" s="318"/>
      <c r="Z14178" s="318"/>
      <c r="AA14178" s="318"/>
      <c r="AB14178" s="318"/>
      <c r="AC14178" s="318"/>
      <c r="AD14178" s="318"/>
    </row>
    <row r="14179" spans="2:30" s="323" customFormat="1" ht="12" customHeight="1">
      <c r="B14179" s="324"/>
      <c r="C14179" s="325"/>
      <c r="D14179" s="326"/>
      <c r="E14179" s="326"/>
      <c r="F14179" s="326"/>
      <c r="G14179" s="326"/>
      <c r="H14179" s="326"/>
      <c r="P14179" s="318"/>
      <c r="Q14179" s="318"/>
      <c r="R14179" s="318"/>
      <c r="S14179" s="318"/>
      <c r="T14179" s="318"/>
      <c r="U14179" s="318"/>
      <c r="V14179" s="318"/>
      <c r="W14179" s="318"/>
      <c r="X14179" s="318"/>
      <c r="Y14179" s="318"/>
      <c r="Z14179" s="318"/>
      <c r="AA14179" s="318"/>
      <c r="AB14179" s="318"/>
      <c r="AC14179" s="318"/>
      <c r="AD14179" s="318"/>
    </row>
    <row r="14180" spans="2:30" s="323" customFormat="1" ht="12" customHeight="1">
      <c r="B14180" s="324"/>
      <c r="C14180" s="325"/>
      <c r="D14180" s="326"/>
      <c r="E14180" s="326"/>
      <c r="F14180" s="326"/>
      <c r="G14180" s="326"/>
      <c r="H14180" s="326"/>
      <c r="P14180" s="318"/>
      <c r="Q14180" s="318"/>
      <c r="R14180" s="318"/>
      <c r="S14180" s="318"/>
      <c r="T14180" s="318"/>
      <c r="U14180" s="318"/>
      <c r="V14180" s="318"/>
      <c r="W14180" s="318"/>
      <c r="X14180" s="318"/>
      <c r="Y14180" s="318"/>
      <c r="Z14180" s="318"/>
      <c r="AA14180" s="318"/>
      <c r="AB14180" s="318"/>
      <c r="AC14180" s="318"/>
      <c r="AD14180" s="318"/>
    </row>
    <row r="14181" spans="2:30" s="323" customFormat="1" ht="12" customHeight="1">
      <c r="B14181" s="324"/>
      <c r="C14181" s="325"/>
      <c r="D14181" s="326"/>
      <c r="E14181" s="326"/>
      <c r="F14181" s="326"/>
      <c r="G14181" s="326"/>
      <c r="H14181" s="326"/>
      <c r="P14181" s="318"/>
      <c r="Q14181" s="318"/>
      <c r="R14181" s="318"/>
      <c r="S14181" s="318"/>
      <c r="T14181" s="318"/>
      <c r="U14181" s="318"/>
      <c r="V14181" s="318"/>
      <c r="W14181" s="318"/>
      <c r="X14181" s="318"/>
      <c r="Y14181" s="318"/>
      <c r="Z14181" s="318"/>
      <c r="AA14181" s="318"/>
      <c r="AB14181" s="318"/>
      <c r="AC14181" s="318"/>
      <c r="AD14181" s="318"/>
    </row>
    <row r="14182" spans="2:30" s="323" customFormat="1" ht="12" customHeight="1">
      <c r="B14182" s="324"/>
      <c r="C14182" s="325"/>
      <c r="D14182" s="326"/>
      <c r="E14182" s="326"/>
      <c r="F14182" s="326"/>
      <c r="G14182" s="326"/>
      <c r="H14182" s="326"/>
      <c r="P14182" s="318"/>
      <c r="Q14182" s="318"/>
      <c r="R14182" s="318"/>
      <c r="S14182" s="318"/>
      <c r="T14182" s="318"/>
      <c r="U14182" s="318"/>
      <c r="V14182" s="318"/>
      <c r="W14182" s="318"/>
      <c r="X14182" s="318"/>
      <c r="Y14182" s="318"/>
      <c r="Z14182" s="318"/>
      <c r="AA14182" s="318"/>
      <c r="AB14182" s="318"/>
      <c r="AC14182" s="318"/>
      <c r="AD14182" s="318"/>
    </row>
    <row r="14183" spans="2:30" s="323" customFormat="1" ht="12" customHeight="1">
      <c r="B14183" s="324"/>
      <c r="C14183" s="325"/>
      <c r="D14183" s="326"/>
      <c r="E14183" s="326"/>
      <c r="F14183" s="326"/>
      <c r="G14183" s="326"/>
      <c r="H14183" s="326"/>
      <c r="P14183" s="318"/>
      <c r="Q14183" s="318"/>
      <c r="R14183" s="318"/>
      <c r="S14183" s="318"/>
      <c r="T14183" s="318"/>
      <c r="U14183" s="318"/>
      <c r="V14183" s="318"/>
      <c r="W14183" s="318"/>
      <c r="X14183" s="318"/>
      <c r="Y14183" s="318"/>
      <c r="Z14183" s="318"/>
      <c r="AA14183" s="318"/>
      <c r="AB14183" s="318"/>
      <c r="AC14183" s="318"/>
      <c r="AD14183" s="318"/>
    </row>
    <row r="14184" spans="2:30" s="323" customFormat="1" ht="12" customHeight="1">
      <c r="B14184" s="324"/>
      <c r="C14184" s="325"/>
      <c r="D14184" s="326"/>
      <c r="E14184" s="326"/>
      <c r="F14184" s="326"/>
      <c r="G14184" s="326"/>
      <c r="H14184" s="326"/>
      <c r="P14184" s="318"/>
      <c r="Q14184" s="318"/>
      <c r="R14184" s="318"/>
      <c r="S14184" s="318"/>
      <c r="T14184" s="318"/>
      <c r="U14184" s="318"/>
      <c r="V14184" s="318"/>
      <c r="W14184" s="318"/>
      <c r="X14184" s="318"/>
      <c r="Y14184" s="318"/>
      <c r="Z14184" s="318"/>
      <c r="AA14184" s="318"/>
      <c r="AB14184" s="318"/>
      <c r="AC14184" s="318"/>
      <c r="AD14184" s="318"/>
    </row>
    <row r="14185" spans="2:30" s="323" customFormat="1" ht="12" customHeight="1">
      <c r="B14185" s="324"/>
      <c r="C14185" s="325"/>
      <c r="D14185" s="326"/>
      <c r="E14185" s="326"/>
      <c r="F14185" s="326"/>
      <c r="G14185" s="326"/>
      <c r="H14185" s="326"/>
      <c r="P14185" s="318"/>
      <c r="Q14185" s="318"/>
      <c r="R14185" s="318"/>
      <c r="S14185" s="318"/>
      <c r="T14185" s="318"/>
      <c r="U14185" s="318"/>
      <c r="V14185" s="318"/>
      <c r="W14185" s="318"/>
      <c r="X14185" s="318"/>
      <c r="Y14185" s="318"/>
      <c r="Z14185" s="318"/>
      <c r="AA14185" s="318"/>
      <c r="AB14185" s="318"/>
      <c r="AC14185" s="318"/>
      <c r="AD14185" s="318"/>
    </row>
    <row r="14186" spans="2:30" s="323" customFormat="1" ht="12" customHeight="1">
      <c r="B14186" s="324"/>
      <c r="C14186" s="325"/>
      <c r="D14186" s="326"/>
      <c r="E14186" s="326"/>
      <c r="F14186" s="326"/>
      <c r="G14186" s="326"/>
      <c r="H14186" s="326"/>
      <c r="P14186" s="318"/>
      <c r="Q14186" s="318"/>
      <c r="R14186" s="318"/>
      <c r="S14186" s="318"/>
      <c r="T14186" s="318"/>
      <c r="U14186" s="318"/>
      <c r="V14186" s="318"/>
      <c r="W14186" s="318"/>
      <c r="X14186" s="318"/>
      <c r="Y14186" s="318"/>
      <c r="Z14186" s="318"/>
      <c r="AA14186" s="318"/>
      <c r="AB14186" s="318"/>
      <c r="AC14186" s="318"/>
      <c r="AD14186" s="318"/>
    </row>
    <row r="14187" spans="2:30" s="323" customFormat="1" ht="12" customHeight="1">
      <c r="B14187" s="324"/>
      <c r="C14187" s="325"/>
      <c r="D14187" s="326"/>
      <c r="E14187" s="326"/>
      <c r="F14187" s="326"/>
      <c r="G14187" s="326"/>
      <c r="H14187" s="326"/>
      <c r="P14187" s="318"/>
      <c r="Q14187" s="318"/>
      <c r="R14187" s="318"/>
      <c r="S14187" s="318"/>
      <c r="T14187" s="318"/>
      <c r="U14187" s="318"/>
      <c r="V14187" s="318"/>
      <c r="W14187" s="318"/>
      <c r="X14187" s="318"/>
      <c r="Y14187" s="318"/>
      <c r="Z14187" s="318"/>
      <c r="AA14187" s="318"/>
      <c r="AB14187" s="318"/>
      <c r="AC14187" s="318"/>
      <c r="AD14187" s="318"/>
    </row>
    <row r="14188" spans="2:30" s="323" customFormat="1" ht="12" customHeight="1">
      <c r="B14188" s="324"/>
      <c r="C14188" s="325"/>
      <c r="D14188" s="326"/>
      <c r="E14188" s="326"/>
      <c r="F14188" s="326"/>
      <c r="G14188" s="326"/>
      <c r="H14188" s="326"/>
      <c r="P14188" s="318"/>
      <c r="Q14188" s="318"/>
      <c r="R14188" s="318"/>
      <c r="S14188" s="318"/>
      <c r="T14188" s="318"/>
      <c r="U14188" s="318"/>
      <c r="V14188" s="318"/>
      <c r="W14188" s="318"/>
      <c r="X14188" s="318"/>
      <c r="Y14188" s="318"/>
      <c r="Z14188" s="318"/>
      <c r="AA14188" s="318"/>
      <c r="AB14188" s="318"/>
      <c r="AC14188" s="318"/>
      <c r="AD14188" s="318"/>
    </row>
    <row r="14189" spans="2:30" s="323" customFormat="1" ht="12" customHeight="1">
      <c r="B14189" s="324"/>
      <c r="C14189" s="325"/>
      <c r="D14189" s="326"/>
      <c r="E14189" s="326"/>
      <c r="F14189" s="326"/>
      <c r="G14189" s="326"/>
      <c r="H14189" s="326"/>
      <c r="P14189" s="318"/>
      <c r="Q14189" s="318"/>
      <c r="R14189" s="318"/>
      <c r="S14189" s="318"/>
      <c r="T14189" s="318"/>
      <c r="U14189" s="318"/>
      <c r="V14189" s="318"/>
      <c r="W14189" s="318"/>
      <c r="X14189" s="318"/>
      <c r="Y14189" s="318"/>
      <c r="Z14189" s="318"/>
      <c r="AA14189" s="318"/>
      <c r="AB14189" s="318"/>
      <c r="AC14189" s="318"/>
      <c r="AD14189" s="318"/>
    </row>
    <row r="14190" spans="2:30" s="323" customFormat="1" ht="12" customHeight="1">
      <c r="B14190" s="324"/>
      <c r="C14190" s="325"/>
      <c r="D14190" s="326"/>
      <c r="E14190" s="326"/>
      <c r="F14190" s="326"/>
      <c r="G14190" s="326"/>
      <c r="H14190" s="326"/>
      <c r="P14190" s="318"/>
      <c r="Q14190" s="318"/>
      <c r="R14190" s="318"/>
      <c r="S14190" s="318"/>
      <c r="T14190" s="318"/>
      <c r="U14190" s="318"/>
      <c r="V14190" s="318"/>
      <c r="W14190" s="318"/>
      <c r="X14190" s="318"/>
      <c r="Y14190" s="318"/>
      <c r="Z14190" s="318"/>
      <c r="AA14190" s="318"/>
      <c r="AB14190" s="318"/>
      <c r="AC14190" s="318"/>
      <c r="AD14190" s="318"/>
    </row>
    <row r="14191" spans="2:30" s="323" customFormat="1" ht="12" customHeight="1">
      <c r="B14191" s="324"/>
      <c r="C14191" s="325"/>
      <c r="D14191" s="326"/>
      <c r="E14191" s="326"/>
      <c r="F14191" s="326"/>
      <c r="G14191" s="326"/>
      <c r="H14191" s="326"/>
      <c r="P14191" s="318"/>
      <c r="Q14191" s="318"/>
      <c r="R14191" s="318"/>
      <c r="S14191" s="318"/>
      <c r="T14191" s="318"/>
      <c r="U14191" s="318"/>
      <c r="V14191" s="318"/>
      <c r="W14191" s="318"/>
      <c r="X14191" s="318"/>
      <c r="Y14191" s="318"/>
      <c r="Z14191" s="318"/>
      <c r="AA14191" s="318"/>
      <c r="AB14191" s="318"/>
      <c r="AC14191" s="318"/>
      <c r="AD14191" s="318"/>
    </row>
    <row r="14192" spans="2:30" s="323" customFormat="1" ht="12" customHeight="1">
      <c r="B14192" s="324"/>
      <c r="C14192" s="325"/>
      <c r="D14192" s="326"/>
      <c r="E14192" s="326"/>
      <c r="F14192" s="326"/>
      <c r="G14192" s="326"/>
      <c r="H14192" s="326"/>
      <c r="P14192" s="318"/>
      <c r="Q14192" s="318"/>
      <c r="R14192" s="318"/>
      <c r="S14192" s="318"/>
      <c r="T14192" s="318"/>
      <c r="U14192" s="318"/>
      <c r="V14192" s="318"/>
      <c r="W14192" s="318"/>
      <c r="X14192" s="318"/>
      <c r="Y14192" s="318"/>
      <c r="Z14192" s="318"/>
      <c r="AA14192" s="318"/>
      <c r="AB14192" s="318"/>
      <c r="AC14192" s="318"/>
      <c r="AD14192" s="318"/>
    </row>
    <row r="14193" spans="2:30" s="323" customFormat="1" ht="12" customHeight="1">
      <c r="B14193" s="324"/>
      <c r="C14193" s="325"/>
      <c r="D14193" s="326"/>
      <c r="E14193" s="326"/>
      <c r="F14193" s="326"/>
      <c r="G14193" s="326"/>
      <c r="H14193" s="326"/>
      <c r="P14193" s="318"/>
      <c r="Q14193" s="318"/>
      <c r="R14193" s="318"/>
      <c r="S14193" s="318"/>
      <c r="T14193" s="318"/>
      <c r="U14193" s="318"/>
      <c r="V14193" s="318"/>
      <c r="W14193" s="318"/>
      <c r="X14193" s="318"/>
      <c r="Y14193" s="318"/>
      <c r="Z14193" s="318"/>
      <c r="AA14193" s="318"/>
      <c r="AB14193" s="318"/>
      <c r="AC14193" s="318"/>
      <c r="AD14193" s="318"/>
    </row>
    <row r="14194" spans="2:30" s="323" customFormat="1" ht="12" customHeight="1">
      <c r="B14194" s="324"/>
      <c r="C14194" s="325"/>
      <c r="D14194" s="326"/>
      <c r="E14194" s="326"/>
      <c r="F14194" s="326"/>
      <c r="G14194" s="326"/>
      <c r="H14194" s="326"/>
      <c r="P14194" s="318"/>
      <c r="Q14194" s="318"/>
      <c r="R14194" s="318"/>
      <c r="S14194" s="318"/>
      <c r="T14194" s="318"/>
      <c r="U14194" s="318"/>
      <c r="V14194" s="318"/>
      <c r="W14194" s="318"/>
      <c r="X14194" s="318"/>
      <c r="Y14194" s="318"/>
      <c r="Z14194" s="318"/>
      <c r="AA14194" s="318"/>
      <c r="AB14194" s="318"/>
      <c r="AC14194" s="318"/>
      <c r="AD14194" s="318"/>
    </row>
    <row r="14195" spans="2:30" s="323" customFormat="1" ht="12" customHeight="1">
      <c r="B14195" s="324"/>
      <c r="C14195" s="325"/>
      <c r="D14195" s="326"/>
      <c r="E14195" s="326"/>
      <c r="F14195" s="326"/>
      <c r="G14195" s="326"/>
      <c r="H14195" s="326"/>
      <c r="P14195" s="318"/>
      <c r="Q14195" s="318"/>
      <c r="R14195" s="318"/>
      <c r="S14195" s="318"/>
      <c r="T14195" s="318"/>
      <c r="U14195" s="318"/>
      <c r="V14195" s="318"/>
      <c r="W14195" s="318"/>
      <c r="X14195" s="318"/>
      <c r="Y14195" s="318"/>
      <c r="Z14195" s="318"/>
      <c r="AA14195" s="318"/>
      <c r="AB14195" s="318"/>
      <c r="AC14195" s="318"/>
      <c r="AD14195" s="318"/>
    </row>
    <row r="14196" spans="2:30" s="323" customFormat="1" ht="12" customHeight="1">
      <c r="B14196" s="324"/>
      <c r="C14196" s="325"/>
      <c r="D14196" s="326"/>
      <c r="E14196" s="326"/>
      <c r="F14196" s="326"/>
      <c r="G14196" s="326"/>
      <c r="H14196" s="326"/>
      <c r="P14196" s="318"/>
      <c r="Q14196" s="318"/>
      <c r="R14196" s="318"/>
      <c r="S14196" s="318"/>
      <c r="T14196" s="318"/>
      <c r="U14196" s="318"/>
      <c r="V14196" s="318"/>
      <c r="W14196" s="318"/>
      <c r="X14196" s="318"/>
      <c r="Y14196" s="318"/>
      <c r="Z14196" s="318"/>
      <c r="AA14196" s="318"/>
      <c r="AB14196" s="318"/>
      <c r="AC14196" s="318"/>
      <c r="AD14196" s="318"/>
    </row>
    <row r="14197" spans="2:30" s="323" customFormat="1" ht="12" customHeight="1">
      <c r="B14197" s="324"/>
      <c r="C14197" s="325"/>
      <c r="D14197" s="326"/>
      <c r="E14197" s="326"/>
      <c r="F14197" s="326"/>
      <c r="G14197" s="326"/>
      <c r="H14197" s="326"/>
      <c r="P14197" s="318"/>
      <c r="Q14197" s="318"/>
      <c r="R14197" s="318"/>
      <c r="S14197" s="318"/>
      <c r="T14197" s="318"/>
      <c r="U14197" s="318"/>
      <c r="V14197" s="318"/>
      <c r="W14197" s="318"/>
      <c r="X14197" s="318"/>
      <c r="Y14197" s="318"/>
      <c r="Z14197" s="318"/>
      <c r="AA14197" s="318"/>
      <c r="AB14197" s="318"/>
      <c r="AC14197" s="318"/>
      <c r="AD14197" s="318"/>
    </row>
    <row r="14198" spans="2:30" s="323" customFormat="1" ht="12" customHeight="1">
      <c r="B14198" s="324"/>
      <c r="C14198" s="325"/>
      <c r="D14198" s="326"/>
      <c r="E14198" s="326"/>
      <c r="F14198" s="326"/>
      <c r="G14198" s="326"/>
      <c r="H14198" s="326"/>
      <c r="P14198" s="318"/>
      <c r="Q14198" s="318"/>
      <c r="R14198" s="318"/>
      <c r="S14198" s="318"/>
      <c r="T14198" s="318"/>
      <c r="U14198" s="318"/>
      <c r="V14198" s="318"/>
      <c r="W14198" s="318"/>
      <c r="X14198" s="318"/>
      <c r="Y14198" s="318"/>
      <c r="Z14198" s="318"/>
      <c r="AA14198" s="318"/>
      <c r="AB14198" s="318"/>
      <c r="AC14198" s="318"/>
      <c r="AD14198" s="318"/>
    </row>
    <row r="14199" spans="2:30" s="323" customFormat="1" ht="12" customHeight="1">
      <c r="B14199" s="324"/>
      <c r="C14199" s="325"/>
      <c r="D14199" s="326"/>
      <c r="E14199" s="326"/>
      <c r="F14199" s="326"/>
      <c r="G14199" s="326"/>
      <c r="H14199" s="326"/>
      <c r="P14199" s="318"/>
      <c r="Q14199" s="318"/>
      <c r="R14199" s="318"/>
      <c r="S14199" s="318"/>
      <c r="T14199" s="318"/>
      <c r="U14199" s="318"/>
      <c r="V14199" s="318"/>
      <c r="W14199" s="318"/>
      <c r="X14199" s="318"/>
      <c r="Y14199" s="318"/>
      <c r="Z14199" s="318"/>
      <c r="AA14199" s="318"/>
      <c r="AB14199" s="318"/>
      <c r="AC14199" s="318"/>
      <c r="AD14199" s="318"/>
    </row>
    <row r="14200" spans="2:30" s="323" customFormat="1" ht="12" customHeight="1">
      <c r="B14200" s="324"/>
      <c r="C14200" s="325"/>
      <c r="D14200" s="326"/>
      <c r="E14200" s="326"/>
      <c r="F14200" s="326"/>
      <c r="G14200" s="326"/>
      <c r="H14200" s="326"/>
      <c r="P14200" s="318"/>
      <c r="Q14200" s="318"/>
      <c r="R14200" s="318"/>
      <c r="S14200" s="318"/>
      <c r="T14200" s="318"/>
      <c r="U14200" s="318"/>
      <c r="V14200" s="318"/>
      <c r="W14200" s="318"/>
      <c r="X14200" s="318"/>
      <c r="Y14200" s="318"/>
      <c r="Z14200" s="318"/>
      <c r="AA14200" s="318"/>
      <c r="AB14200" s="318"/>
      <c r="AC14200" s="318"/>
      <c r="AD14200" s="318"/>
    </row>
    <row r="14201" spans="2:30" s="323" customFormat="1" ht="12" customHeight="1">
      <c r="B14201" s="324"/>
      <c r="C14201" s="325"/>
      <c r="D14201" s="326"/>
      <c r="E14201" s="326"/>
      <c r="F14201" s="326"/>
      <c r="G14201" s="326"/>
      <c r="H14201" s="326"/>
      <c r="P14201" s="318"/>
      <c r="Q14201" s="318"/>
      <c r="R14201" s="318"/>
      <c r="S14201" s="318"/>
      <c r="T14201" s="318"/>
      <c r="U14201" s="318"/>
      <c r="V14201" s="318"/>
      <c r="W14201" s="318"/>
      <c r="X14201" s="318"/>
      <c r="Y14201" s="318"/>
      <c r="Z14201" s="318"/>
      <c r="AA14201" s="318"/>
      <c r="AB14201" s="318"/>
      <c r="AC14201" s="318"/>
      <c r="AD14201" s="318"/>
    </row>
    <row r="14202" spans="2:30" s="323" customFormat="1" ht="12" customHeight="1">
      <c r="B14202" s="324"/>
      <c r="C14202" s="325"/>
      <c r="D14202" s="326"/>
      <c r="E14202" s="326"/>
      <c r="F14202" s="326"/>
      <c r="G14202" s="326"/>
      <c r="H14202" s="326"/>
      <c r="P14202" s="318"/>
      <c r="Q14202" s="318"/>
      <c r="R14202" s="318"/>
      <c r="S14202" s="318"/>
      <c r="T14202" s="318"/>
      <c r="U14202" s="318"/>
      <c r="V14202" s="318"/>
      <c r="W14202" s="318"/>
      <c r="X14202" s="318"/>
      <c r="Y14202" s="318"/>
      <c r="Z14202" s="318"/>
      <c r="AA14202" s="318"/>
      <c r="AB14202" s="318"/>
      <c r="AC14202" s="318"/>
      <c r="AD14202" s="318"/>
    </row>
    <row r="14203" spans="2:30" s="323" customFormat="1" ht="12" customHeight="1">
      <c r="B14203" s="324"/>
      <c r="C14203" s="325"/>
      <c r="D14203" s="326"/>
      <c r="E14203" s="326"/>
      <c r="F14203" s="326"/>
      <c r="G14203" s="326"/>
      <c r="H14203" s="326"/>
      <c r="P14203" s="318"/>
      <c r="Q14203" s="318"/>
      <c r="R14203" s="318"/>
      <c r="S14203" s="318"/>
      <c r="T14203" s="318"/>
      <c r="U14203" s="318"/>
      <c r="V14203" s="318"/>
      <c r="W14203" s="318"/>
      <c r="X14203" s="318"/>
      <c r="Y14203" s="318"/>
      <c r="Z14203" s="318"/>
      <c r="AA14203" s="318"/>
      <c r="AB14203" s="318"/>
      <c r="AC14203" s="318"/>
      <c r="AD14203" s="318"/>
    </row>
    <row r="14204" spans="2:30" s="323" customFormat="1" ht="12" customHeight="1">
      <c r="B14204" s="324"/>
      <c r="C14204" s="325"/>
      <c r="D14204" s="326"/>
      <c r="E14204" s="326"/>
      <c r="F14204" s="326"/>
      <c r="G14204" s="326"/>
      <c r="H14204" s="326"/>
      <c r="P14204" s="318"/>
      <c r="Q14204" s="318"/>
      <c r="R14204" s="318"/>
      <c r="S14204" s="318"/>
      <c r="T14204" s="318"/>
      <c r="U14204" s="318"/>
      <c r="V14204" s="318"/>
      <c r="W14204" s="318"/>
      <c r="X14204" s="318"/>
      <c r="Y14204" s="318"/>
      <c r="Z14204" s="318"/>
      <c r="AA14204" s="318"/>
      <c r="AB14204" s="318"/>
      <c r="AC14204" s="318"/>
      <c r="AD14204" s="318"/>
    </row>
    <row r="14205" spans="2:30" s="323" customFormat="1" ht="12" customHeight="1">
      <c r="B14205" s="324"/>
      <c r="C14205" s="325"/>
      <c r="D14205" s="326"/>
      <c r="E14205" s="326"/>
      <c r="F14205" s="326"/>
      <c r="G14205" s="326"/>
      <c r="H14205" s="326"/>
      <c r="P14205" s="318"/>
      <c r="Q14205" s="318"/>
      <c r="R14205" s="318"/>
      <c r="S14205" s="318"/>
      <c r="T14205" s="318"/>
      <c r="U14205" s="318"/>
      <c r="V14205" s="318"/>
      <c r="W14205" s="318"/>
      <c r="X14205" s="318"/>
      <c r="Y14205" s="318"/>
      <c r="Z14205" s="318"/>
      <c r="AA14205" s="318"/>
      <c r="AB14205" s="318"/>
      <c r="AC14205" s="318"/>
      <c r="AD14205" s="318"/>
    </row>
    <row r="14206" spans="2:30" s="323" customFormat="1" ht="12" customHeight="1">
      <c r="B14206" s="324"/>
      <c r="C14206" s="325"/>
      <c r="D14206" s="326"/>
      <c r="E14206" s="326"/>
      <c r="F14206" s="326"/>
      <c r="G14206" s="326"/>
      <c r="H14206" s="326"/>
      <c r="P14206" s="318"/>
      <c r="Q14206" s="318"/>
      <c r="R14206" s="318"/>
      <c r="S14206" s="318"/>
      <c r="T14206" s="318"/>
      <c r="U14206" s="318"/>
      <c r="V14206" s="318"/>
      <c r="W14206" s="318"/>
      <c r="X14206" s="318"/>
      <c r="Y14206" s="318"/>
      <c r="Z14206" s="318"/>
      <c r="AA14206" s="318"/>
      <c r="AB14206" s="318"/>
      <c r="AC14206" s="318"/>
      <c r="AD14206" s="318"/>
    </row>
    <row r="14207" spans="2:30" s="323" customFormat="1" ht="12" customHeight="1">
      <c r="B14207" s="324"/>
      <c r="C14207" s="325"/>
      <c r="D14207" s="326"/>
      <c r="E14207" s="326"/>
      <c r="F14207" s="326"/>
      <c r="G14207" s="326"/>
      <c r="H14207" s="326"/>
      <c r="P14207" s="318"/>
      <c r="Q14207" s="318"/>
      <c r="R14207" s="318"/>
      <c r="S14207" s="318"/>
      <c r="T14207" s="318"/>
      <c r="U14207" s="318"/>
      <c r="V14207" s="318"/>
      <c r="W14207" s="318"/>
      <c r="X14207" s="318"/>
      <c r="Y14207" s="318"/>
      <c r="Z14207" s="318"/>
      <c r="AA14207" s="318"/>
      <c r="AB14207" s="318"/>
      <c r="AC14207" s="318"/>
      <c r="AD14207" s="318"/>
    </row>
    <row r="14208" spans="2:30" s="323" customFormat="1" ht="12" customHeight="1">
      <c r="B14208" s="324"/>
      <c r="C14208" s="325"/>
      <c r="D14208" s="326"/>
      <c r="E14208" s="326"/>
      <c r="F14208" s="326"/>
      <c r="G14208" s="326"/>
      <c r="H14208" s="326"/>
      <c r="P14208" s="318"/>
      <c r="Q14208" s="318"/>
      <c r="R14208" s="318"/>
      <c r="S14208" s="318"/>
      <c r="T14208" s="318"/>
      <c r="U14208" s="318"/>
      <c r="V14208" s="318"/>
      <c r="W14208" s="318"/>
      <c r="X14208" s="318"/>
      <c r="Y14208" s="318"/>
      <c r="Z14208" s="318"/>
      <c r="AA14208" s="318"/>
      <c r="AB14208" s="318"/>
      <c r="AC14208" s="318"/>
      <c r="AD14208" s="318"/>
    </row>
    <row r="14209" spans="2:30" s="323" customFormat="1" ht="12" customHeight="1">
      <c r="B14209" s="324"/>
      <c r="C14209" s="325"/>
      <c r="D14209" s="326"/>
      <c r="E14209" s="326"/>
      <c r="F14209" s="326"/>
      <c r="G14209" s="326"/>
      <c r="H14209" s="326"/>
      <c r="P14209" s="318"/>
      <c r="Q14209" s="318"/>
      <c r="R14209" s="318"/>
      <c r="S14209" s="318"/>
      <c r="T14209" s="318"/>
      <c r="U14209" s="318"/>
      <c r="V14209" s="318"/>
      <c r="W14209" s="318"/>
      <c r="X14209" s="318"/>
      <c r="Y14209" s="318"/>
      <c r="Z14209" s="318"/>
      <c r="AA14209" s="318"/>
      <c r="AB14209" s="318"/>
      <c r="AC14209" s="318"/>
      <c r="AD14209" s="318"/>
    </row>
    <row r="14210" spans="2:30" s="323" customFormat="1" ht="12" customHeight="1">
      <c r="B14210" s="324"/>
      <c r="C14210" s="325"/>
      <c r="D14210" s="326"/>
      <c r="E14210" s="326"/>
      <c r="F14210" s="326"/>
      <c r="G14210" s="326"/>
      <c r="H14210" s="326"/>
      <c r="P14210" s="318"/>
      <c r="Q14210" s="318"/>
      <c r="R14210" s="318"/>
      <c r="S14210" s="318"/>
      <c r="T14210" s="318"/>
      <c r="U14210" s="318"/>
      <c r="V14210" s="318"/>
      <c r="W14210" s="318"/>
      <c r="X14210" s="318"/>
      <c r="Y14210" s="318"/>
      <c r="Z14210" s="318"/>
      <c r="AA14210" s="318"/>
      <c r="AB14210" s="318"/>
      <c r="AC14210" s="318"/>
      <c r="AD14210" s="318"/>
    </row>
    <row r="14211" spans="2:30" s="323" customFormat="1" ht="12" customHeight="1">
      <c r="B14211" s="324"/>
      <c r="C14211" s="325"/>
      <c r="D14211" s="326"/>
      <c r="E14211" s="326"/>
      <c r="F14211" s="326"/>
      <c r="G14211" s="326"/>
      <c r="H14211" s="326"/>
      <c r="P14211" s="318"/>
      <c r="Q14211" s="318"/>
      <c r="R14211" s="318"/>
      <c r="S14211" s="318"/>
      <c r="T14211" s="318"/>
      <c r="U14211" s="318"/>
      <c r="V14211" s="318"/>
      <c r="W14211" s="318"/>
      <c r="X14211" s="318"/>
      <c r="Y14211" s="318"/>
      <c r="Z14211" s="318"/>
      <c r="AA14211" s="318"/>
      <c r="AB14211" s="318"/>
      <c r="AC14211" s="318"/>
      <c r="AD14211" s="318"/>
    </row>
    <row r="14212" spans="2:30" s="323" customFormat="1" ht="12" customHeight="1">
      <c r="B14212" s="324"/>
      <c r="C14212" s="325"/>
      <c r="D14212" s="326"/>
      <c r="E14212" s="326"/>
      <c r="F14212" s="326"/>
      <c r="G14212" s="326"/>
      <c r="H14212" s="326"/>
      <c r="P14212" s="318"/>
      <c r="Q14212" s="318"/>
      <c r="R14212" s="318"/>
      <c r="S14212" s="318"/>
      <c r="T14212" s="318"/>
      <c r="U14212" s="318"/>
      <c r="V14212" s="318"/>
      <c r="W14212" s="318"/>
      <c r="X14212" s="318"/>
      <c r="Y14212" s="318"/>
      <c r="Z14212" s="318"/>
      <c r="AA14212" s="318"/>
      <c r="AB14212" s="318"/>
      <c r="AC14212" s="318"/>
      <c r="AD14212" s="318"/>
    </row>
    <row r="14213" spans="2:30" s="323" customFormat="1" ht="12" customHeight="1">
      <c r="B14213" s="324"/>
      <c r="C14213" s="325"/>
      <c r="D14213" s="326"/>
      <c r="E14213" s="326"/>
      <c r="F14213" s="326"/>
      <c r="G14213" s="326"/>
      <c r="H14213" s="326"/>
      <c r="P14213" s="318"/>
      <c r="Q14213" s="318"/>
      <c r="R14213" s="318"/>
      <c r="S14213" s="318"/>
      <c r="T14213" s="318"/>
      <c r="U14213" s="318"/>
      <c r="V14213" s="318"/>
      <c r="W14213" s="318"/>
      <c r="X14213" s="318"/>
      <c r="Y14213" s="318"/>
      <c r="Z14213" s="318"/>
      <c r="AA14213" s="318"/>
      <c r="AB14213" s="318"/>
      <c r="AC14213" s="318"/>
      <c r="AD14213" s="318"/>
    </row>
    <row r="14214" spans="2:30" s="323" customFormat="1" ht="12" customHeight="1">
      <c r="B14214" s="324"/>
      <c r="C14214" s="325"/>
      <c r="D14214" s="326"/>
      <c r="E14214" s="326"/>
      <c r="F14214" s="326"/>
      <c r="G14214" s="326"/>
      <c r="H14214" s="326"/>
      <c r="P14214" s="318"/>
      <c r="Q14214" s="318"/>
      <c r="R14214" s="318"/>
      <c r="S14214" s="318"/>
      <c r="T14214" s="318"/>
      <c r="U14214" s="318"/>
      <c r="V14214" s="318"/>
      <c r="W14214" s="318"/>
      <c r="X14214" s="318"/>
      <c r="Y14214" s="318"/>
      <c r="Z14214" s="318"/>
      <c r="AA14214" s="318"/>
      <c r="AB14214" s="318"/>
      <c r="AC14214" s="318"/>
      <c r="AD14214" s="318"/>
    </row>
    <row r="14215" spans="2:30" s="323" customFormat="1" ht="12" customHeight="1">
      <c r="B14215" s="324"/>
      <c r="C14215" s="325"/>
      <c r="D14215" s="326"/>
      <c r="E14215" s="326"/>
      <c r="F14215" s="326"/>
      <c r="G14215" s="326"/>
      <c r="H14215" s="326"/>
      <c r="P14215" s="318"/>
      <c r="Q14215" s="318"/>
      <c r="R14215" s="318"/>
      <c r="S14215" s="318"/>
      <c r="T14215" s="318"/>
      <c r="U14215" s="318"/>
      <c r="V14215" s="318"/>
      <c r="W14215" s="318"/>
      <c r="X14215" s="318"/>
      <c r="Y14215" s="318"/>
      <c r="Z14215" s="318"/>
      <c r="AA14215" s="318"/>
      <c r="AB14215" s="318"/>
      <c r="AC14215" s="318"/>
      <c r="AD14215" s="318"/>
    </row>
    <row r="14216" spans="2:30" s="323" customFormat="1" ht="12" customHeight="1">
      <c r="B14216" s="324"/>
      <c r="C14216" s="325"/>
      <c r="D14216" s="326"/>
      <c r="E14216" s="326"/>
      <c r="F14216" s="326"/>
      <c r="G14216" s="326"/>
      <c r="H14216" s="326"/>
      <c r="P14216" s="318"/>
      <c r="Q14216" s="318"/>
      <c r="R14216" s="318"/>
      <c r="S14216" s="318"/>
      <c r="T14216" s="318"/>
      <c r="U14216" s="318"/>
      <c r="V14216" s="318"/>
      <c r="W14216" s="318"/>
      <c r="X14216" s="318"/>
      <c r="Y14216" s="318"/>
      <c r="Z14216" s="318"/>
      <c r="AA14216" s="318"/>
      <c r="AB14216" s="318"/>
      <c r="AC14216" s="318"/>
      <c r="AD14216" s="318"/>
    </row>
    <row r="14217" spans="2:30" s="323" customFormat="1" ht="12" customHeight="1">
      <c r="B14217" s="324"/>
      <c r="C14217" s="325"/>
      <c r="D14217" s="326"/>
      <c r="E14217" s="326"/>
      <c r="F14217" s="326"/>
      <c r="G14217" s="326"/>
      <c r="H14217" s="326"/>
      <c r="P14217" s="318"/>
      <c r="Q14217" s="318"/>
      <c r="R14217" s="318"/>
      <c r="S14217" s="318"/>
      <c r="T14217" s="318"/>
      <c r="U14217" s="318"/>
      <c r="V14217" s="318"/>
      <c r="W14217" s="318"/>
      <c r="X14217" s="318"/>
      <c r="Y14217" s="318"/>
      <c r="Z14217" s="318"/>
      <c r="AA14217" s="318"/>
      <c r="AB14217" s="318"/>
      <c r="AC14217" s="318"/>
      <c r="AD14217" s="318"/>
    </row>
    <row r="14218" spans="2:30" s="323" customFormat="1" ht="12" customHeight="1">
      <c r="B14218" s="324"/>
      <c r="C14218" s="325"/>
      <c r="D14218" s="326"/>
      <c r="E14218" s="326"/>
      <c r="F14218" s="326"/>
      <c r="G14218" s="326"/>
      <c r="H14218" s="326"/>
      <c r="P14218" s="318"/>
      <c r="Q14218" s="318"/>
      <c r="R14218" s="318"/>
      <c r="S14218" s="318"/>
      <c r="T14218" s="318"/>
      <c r="U14218" s="318"/>
      <c r="V14218" s="318"/>
      <c r="W14218" s="318"/>
      <c r="X14218" s="318"/>
      <c r="Y14218" s="318"/>
      <c r="Z14218" s="318"/>
      <c r="AA14218" s="318"/>
      <c r="AB14218" s="318"/>
      <c r="AC14218" s="318"/>
      <c r="AD14218" s="318"/>
    </row>
    <row r="14219" spans="2:30" s="323" customFormat="1" ht="12" customHeight="1">
      <c r="B14219" s="324"/>
      <c r="C14219" s="325"/>
      <c r="D14219" s="326"/>
      <c r="E14219" s="326"/>
      <c r="F14219" s="326"/>
      <c r="G14219" s="326"/>
      <c r="H14219" s="326"/>
      <c r="P14219" s="318"/>
      <c r="Q14219" s="318"/>
      <c r="R14219" s="318"/>
      <c r="S14219" s="318"/>
      <c r="T14219" s="318"/>
      <c r="U14219" s="318"/>
      <c r="V14219" s="318"/>
      <c r="W14219" s="318"/>
      <c r="X14219" s="318"/>
      <c r="Y14219" s="318"/>
      <c r="Z14219" s="318"/>
      <c r="AA14219" s="318"/>
      <c r="AB14219" s="318"/>
      <c r="AC14219" s="318"/>
      <c r="AD14219" s="318"/>
    </row>
    <row r="14220" spans="2:30" s="323" customFormat="1" ht="12" customHeight="1">
      <c r="B14220" s="324"/>
      <c r="C14220" s="325"/>
      <c r="D14220" s="326"/>
      <c r="E14220" s="326"/>
      <c r="F14220" s="326"/>
      <c r="G14220" s="326"/>
      <c r="H14220" s="326"/>
      <c r="P14220" s="318"/>
      <c r="Q14220" s="318"/>
      <c r="R14220" s="318"/>
      <c r="S14220" s="318"/>
      <c r="T14220" s="318"/>
      <c r="U14220" s="318"/>
      <c r="V14220" s="318"/>
      <c r="W14220" s="318"/>
      <c r="X14220" s="318"/>
      <c r="Y14220" s="318"/>
      <c r="Z14220" s="318"/>
      <c r="AA14220" s="318"/>
      <c r="AB14220" s="318"/>
      <c r="AC14220" s="318"/>
      <c r="AD14220" s="318"/>
    </row>
    <row r="14221" spans="2:30" s="323" customFormat="1" ht="12" customHeight="1">
      <c r="B14221" s="324"/>
      <c r="C14221" s="325"/>
      <c r="D14221" s="326"/>
      <c r="E14221" s="326"/>
      <c r="F14221" s="326"/>
      <c r="G14221" s="326"/>
      <c r="H14221" s="326"/>
      <c r="P14221" s="318"/>
      <c r="Q14221" s="318"/>
      <c r="R14221" s="318"/>
      <c r="S14221" s="318"/>
      <c r="T14221" s="318"/>
      <c r="U14221" s="318"/>
      <c r="V14221" s="318"/>
      <c r="W14221" s="318"/>
      <c r="X14221" s="318"/>
      <c r="Y14221" s="318"/>
      <c r="Z14221" s="318"/>
      <c r="AA14221" s="318"/>
      <c r="AB14221" s="318"/>
      <c r="AC14221" s="318"/>
      <c r="AD14221" s="318"/>
    </row>
    <row r="14222" spans="2:30" s="323" customFormat="1" ht="12" customHeight="1">
      <c r="B14222" s="324"/>
      <c r="C14222" s="325"/>
      <c r="D14222" s="326"/>
      <c r="E14222" s="326"/>
      <c r="F14222" s="326"/>
      <c r="G14222" s="326"/>
      <c r="H14222" s="326"/>
      <c r="P14222" s="318"/>
      <c r="Q14222" s="318"/>
      <c r="R14222" s="318"/>
      <c r="S14222" s="318"/>
      <c r="T14222" s="318"/>
      <c r="U14222" s="318"/>
      <c r="V14222" s="318"/>
      <c r="W14222" s="318"/>
      <c r="X14222" s="318"/>
      <c r="Y14222" s="318"/>
      <c r="Z14222" s="318"/>
      <c r="AA14222" s="318"/>
      <c r="AB14222" s="318"/>
      <c r="AC14222" s="318"/>
      <c r="AD14222" s="318"/>
    </row>
    <row r="14223" spans="2:30" s="323" customFormat="1" ht="12" customHeight="1">
      <c r="B14223" s="324"/>
      <c r="C14223" s="325"/>
      <c r="D14223" s="326"/>
      <c r="E14223" s="326"/>
      <c r="F14223" s="326"/>
      <c r="G14223" s="326"/>
      <c r="H14223" s="326"/>
      <c r="P14223" s="318"/>
      <c r="Q14223" s="318"/>
      <c r="R14223" s="318"/>
      <c r="S14223" s="318"/>
      <c r="T14223" s="318"/>
      <c r="U14223" s="318"/>
      <c r="V14223" s="318"/>
      <c r="W14223" s="318"/>
      <c r="X14223" s="318"/>
      <c r="Y14223" s="318"/>
      <c r="Z14223" s="318"/>
      <c r="AA14223" s="318"/>
      <c r="AB14223" s="318"/>
      <c r="AC14223" s="318"/>
      <c r="AD14223" s="318"/>
    </row>
    <row r="14224" spans="2:30" s="323" customFormat="1" ht="12" customHeight="1">
      <c r="B14224" s="324"/>
      <c r="C14224" s="325"/>
      <c r="D14224" s="326"/>
      <c r="E14224" s="326"/>
      <c r="F14224" s="326"/>
      <c r="G14224" s="326"/>
      <c r="H14224" s="326"/>
      <c r="P14224" s="318"/>
      <c r="Q14224" s="318"/>
      <c r="R14224" s="318"/>
      <c r="S14224" s="318"/>
      <c r="T14224" s="318"/>
      <c r="U14224" s="318"/>
      <c r="V14224" s="318"/>
      <c r="W14224" s="318"/>
      <c r="X14224" s="318"/>
      <c r="Y14224" s="318"/>
      <c r="Z14224" s="318"/>
      <c r="AA14224" s="318"/>
      <c r="AB14224" s="318"/>
      <c r="AC14224" s="318"/>
      <c r="AD14224" s="318"/>
    </row>
    <row r="14225" spans="2:30" s="323" customFormat="1" ht="12" customHeight="1">
      <c r="B14225" s="324"/>
      <c r="C14225" s="325"/>
      <c r="D14225" s="326"/>
      <c r="E14225" s="326"/>
      <c r="F14225" s="326"/>
      <c r="G14225" s="326"/>
      <c r="H14225" s="326"/>
      <c r="P14225" s="318"/>
      <c r="Q14225" s="318"/>
      <c r="R14225" s="318"/>
      <c r="S14225" s="318"/>
      <c r="T14225" s="318"/>
      <c r="U14225" s="318"/>
      <c r="V14225" s="318"/>
      <c r="W14225" s="318"/>
      <c r="X14225" s="318"/>
      <c r="Y14225" s="318"/>
      <c r="Z14225" s="318"/>
      <c r="AA14225" s="318"/>
      <c r="AB14225" s="318"/>
      <c r="AC14225" s="318"/>
      <c r="AD14225" s="318"/>
    </row>
    <row r="14226" spans="2:30" s="323" customFormat="1" ht="12" customHeight="1">
      <c r="B14226" s="324"/>
      <c r="C14226" s="325"/>
      <c r="D14226" s="326"/>
      <c r="E14226" s="326"/>
      <c r="F14226" s="326"/>
      <c r="G14226" s="326"/>
      <c r="H14226" s="326"/>
      <c r="P14226" s="318"/>
      <c r="Q14226" s="318"/>
      <c r="R14226" s="318"/>
      <c r="S14226" s="318"/>
      <c r="T14226" s="318"/>
      <c r="U14226" s="318"/>
      <c r="V14226" s="318"/>
      <c r="W14226" s="318"/>
      <c r="X14226" s="318"/>
      <c r="Y14226" s="318"/>
      <c r="Z14226" s="318"/>
      <c r="AA14226" s="318"/>
      <c r="AB14226" s="318"/>
      <c r="AC14226" s="318"/>
      <c r="AD14226" s="318"/>
    </row>
    <row r="14227" spans="2:30" s="323" customFormat="1" ht="12" customHeight="1">
      <c r="B14227" s="324"/>
      <c r="C14227" s="325"/>
      <c r="D14227" s="326"/>
      <c r="E14227" s="326"/>
      <c r="F14227" s="326"/>
      <c r="G14227" s="326"/>
      <c r="H14227" s="326"/>
      <c r="P14227" s="318"/>
      <c r="Q14227" s="318"/>
      <c r="R14227" s="318"/>
      <c r="S14227" s="318"/>
      <c r="T14227" s="318"/>
      <c r="U14227" s="318"/>
      <c r="V14227" s="318"/>
      <c r="W14227" s="318"/>
      <c r="X14227" s="318"/>
      <c r="Y14227" s="318"/>
      <c r="Z14227" s="318"/>
      <c r="AA14227" s="318"/>
      <c r="AB14227" s="318"/>
      <c r="AC14227" s="318"/>
      <c r="AD14227" s="318"/>
    </row>
    <row r="14228" spans="2:30" s="323" customFormat="1" ht="12" customHeight="1">
      <c r="B14228" s="324"/>
      <c r="C14228" s="325"/>
      <c r="D14228" s="326"/>
      <c r="E14228" s="326"/>
      <c r="F14228" s="326"/>
      <c r="G14228" s="326"/>
      <c r="H14228" s="326"/>
      <c r="P14228" s="318"/>
      <c r="Q14228" s="318"/>
      <c r="R14228" s="318"/>
      <c r="S14228" s="318"/>
      <c r="T14228" s="318"/>
      <c r="U14228" s="318"/>
      <c r="V14228" s="318"/>
      <c r="W14228" s="318"/>
      <c r="X14228" s="318"/>
      <c r="Y14228" s="318"/>
      <c r="Z14228" s="318"/>
      <c r="AA14228" s="318"/>
      <c r="AB14228" s="318"/>
      <c r="AC14228" s="318"/>
      <c r="AD14228" s="318"/>
    </row>
    <row r="14229" spans="2:30" s="323" customFormat="1" ht="12" customHeight="1">
      <c r="B14229" s="324"/>
      <c r="C14229" s="325"/>
      <c r="D14229" s="326"/>
      <c r="E14229" s="326"/>
      <c r="F14229" s="326"/>
      <c r="G14229" s="326"/>
      <c r="H14229" s="326"/>
      <c r="P14229" s="318"/>
      <c r="Q14229" s="318"/>
      <c r="R14229" s="318"/>
      <c r="S14229" s="318"/>
      <c r="T14229" s="318"/>
      <c r="U14229" s="318"/>
      <c r="V14229" s="318"/>
      <c r="W14229" s="318"/>
      <c r="X14229" s="318"/>
      <c r="Y14229" s="318"/>
      <c r="Z14229" s="318"/>
      <c r="AA14229" s="318"/>
      <c r="AB14229" s="318"/>
      <c r="AC14229" s="318"/>
      <c r="AD14229" s="318"/>
    </row>
    <row r="14230" spans="2:30" s="323" customFormat="1" ht="12" customHeight="1">
      <c r="B14230" s="324"/>
      <c r="C14230" s="325"/>
      <c r="D14230" s="326"/>
      <c r="E14230" s="326"/>
      <c r="F14230" s="326"/>
      <c r="G14230" s="326"/>
      <c r="H14230" s="326"/>
      <c r="P14230" s="318"/>
      <c r="Q14230" s="318"/>
      <c r="R14230" s="318"/>
      <c r="S14230" s="318"/>
      <c r="T14230" s="318"/>
      <c r="U14230" s="318"/>
      <c r="V14230" s="318"/>
      <c r="W14230" s="318"/>
      <c r="X14230" s="318"/>
      <c r="Y14230" s="318"/>
      <c r="Z14230" s="318"/>
      <c r="AA14230" s="318"/>
      <c r="AB14230" s="318"/>
      <c r="AC14230" s="318"/>
      <c r="AD14230" s="318"/>
    </row>
    <row r="14231" spans="2:30" s="323" customFormat="1" ht="12" customHeight="1">
      <c r="B14231" s="324"/>
      <c r="C14231" s="325"/>
      <c r="D14231" s="326"/>
      <c r="E14231" s="326"/>
      <c r="F14231" s="326"/>
      <c r="G14231" s="326"/>
      <c r="H14231" s="326"/>
      <c r="P14231" s="318"/>
      <c r="Q14231" s="318"/>
      <c r="R14231" s="318"/>
      <c r="S14231" s="318"/>
      <c r="T14231" s="318"/>
      <c r="U14231" s="318"/>
      <c r="V14231" s="318"/>
      <c r="W14231" s="318"/>
      <c r="X14231" s="318"/>
      <c r="Y14231" s="318"/>
      <c r="Z14231" s="318"/>
      <c r="AA14231" s="318"/>
      <c r="AB14231" s="318"/>
      <c r="AC14231" s="318"/>
      <c r="AD14231" s="318"/>
    </row>
    <row r="14232" spans="2:30" s="323" customFormat="1" ht="12" customHeight="1">
      <c r="B14232" s="324"/>
      <c r="C14232" s="325"/>
      <c r="D14232" s="326"/>
      <c r="E14232" s="326"/>
      <c r="F14232" s="326"/>
      <c r="G14232" s="326"/>
      <c r="H14232" s="326"/>
      <c r="P14232" s="318"/>
      <c r="Q14232" s="318"/>
      <c r="R14232" s="318"/>
      <c r="S14232" s="318"/>
      <c r="T14232" s="318"/>
      <c r="U14232" s="318"/>
      <c r="V14232" s="318"/>
      <c r="W14232" s="318"/>
      <c r="X14232" s="318"/>
      <c r="Y14232" s="318"/>
      <c r="Z14232" s="318"/>
      <c r="AA14232" s="318"/>
      <c r="AB14232" s="318"/>
      <c r="AC14232" s="318"/>
      <c r="AD14232" s="318"/>
    </row>
    <row r="14233" spans="2:30" s="323" customFormat="1" ht="12" customHeight="1">
      <c r="B14233" s="324"/>
      <c r="C14233" s="325"/>
      <c r="D14233" s="326"/>
      <c r="E14233" s="326"/>
      <c r="F14233" s="326"/>
      <c r="G14233" s="326"/>
      <c r="H14233" s="326"/>
      <c r="P14233" s="318"/>
      <c r="Q14233" s="318"/>
      <c r="R14233" s="318"/>
      <c r="S14233" s="318"/>
      <c r="T14233" s="318"/>
      <c r="U14233" s="318"/>
      <c r="V14233" s="318"/>
      <c r="W14233" s="318"/>
      <c r="X14233" s="318"/>
      <c r="Y14233" s="318"/>
      <c r="Z14233" s="318"/>
      <c r="AA14233" s="318"/>
      <c r="AB14233" s="318"/>
      <c r="AC14233" s="318"/>
      <c r="AD14233" s="318"/>
    </row>
    <row r="14234" spans="2:30" s="323" customFormat="1" ht="12" customHeight="1">
      <c r="B14234" s="324"/>
      <c r="C14234" s="325"/>
      <c r="D14234" s="326"/>
      <c r="E14234" s="326"/>
      <c r="F14234" s="326"/>
      <c r="G14234" s="326"/>
      <c r="H14234" s="326"/>
      <c r="P14234" s="318"/>
      <c r="Q14234" s="318"/>
      <c r="R14234" s="318"/>
      <c r="S14234" s="318"/>
      <c r="T14234" s="318"/>
      <c r="U14234" s="318"/>
      <c r="V14234" s="318"/>
      <c r="W14234" s="318"/>
      <c r="X14234" s="318"/>
      <c r="Y14234" s="318"/>
      <c r="Z14234" s="318"/>
      <c r="AA14234" s="318"/>
      <c r="AB14234" s="318"/>
      <c r="AC14234" s="318"/>
      <c r="AD14234" s="318"/>
    </row>
    <row r="14235" spans="2:30" s="323" customFormat="1" ht="12" customHeight="1">
      <c r="B14235" s="324"/>
      <c r="C14235" s="325"/>
      <c r="D14235" s="326"/>
      <c r="E14235" s="326"/>
      <c r="F14235" s="326"/>
      <c r="G14235" s="326"/>
      <c r="H14235" s="326"/>
      <c r="P14235" s="318"/>
      <c r="Q14235" s="318"/>
      <c r="R14235" s="318"/>
      <c r="S14235" s="318"/>
      <c r="T14235" s="318"/>
      <c r="U14235" s="318"/>
      <c r="V14235" s="318"/>
      <c r="W14235" s="318"/>
      <c r="X14235" s="318"/>
      <c r="Y14235" s="318"/>
      <c r="Z14235" s="318"/>
      <c r="AA14235" s="318"/>
      <c r="AB14235" s="318"/>
      <c r="AC14235" s="318"/>
      <c r="AD14235" s="318"/>
    </row>
    <row r="14236" spans="2:30" s="323" customFormat="1" ht="12" customHeight="1">
      <c r="B14236" s="324"/>
      <c r="C14236" s="325"/>
      <c r="D14236" s="326"/>
      <c r="E14236" s="326"/>
      <c r="F14236" s="326"/>
      <c r="G14236" s="326"/>
      <c r="H14236" s="326"/>
      <c r="P14236" s="318"/>
      <c r="Q14236" s="318"/>
      <c r="R14236" s="318"/>
      <c r="S14236" s="318"/>
      <c r="T14236" s="318"/>
      <c r="U14236" s="318"/>
      <c r="V14236" s="318"/>
      <c r="W14236" s="318"/>
      <c r="X14236" s="318"/>
      <c r="Y14236" s="318"/>
      <c r="Z14236" s="318"/>
      <c r="AA14236" s="318"/>
      <c r="AB14236" s="318"/>
      <c r="AC14236" s="318"/>
      <c r="AD14236" s="318"/>
    </row>
    <row r="14237" spans="2:30" s="323" customFormat="1" ht="12" customHeight="1">
      <c r="B14237" s="324"/>
      <c r="C14237" s="325"/>
      <c r="D14237" s="326"/>
      <c r="E14237" s="326"/>
      <c r="F14237" s="326"/>
      <c r="G14237" s="326"/>
      <c r="H14237" s="326"/>
      <c r="P14237" s="318"/>
      <c r="Q14237" s="318"/>
      <c r="R14237" s="318"/>
      <c r="S14237" s="318"/>
      <c r="T14237" s="318"/>
      <c r="U14237" s="318"/>
      <c r="V14237" s="318"/>
      <c r="W14237" s="318"/>
      <c r="X14237" s="318"/>
      <c r="Y14237" s="318"/>
      <c r="Z14237" s="318"/>
      <c r="AA14237" s="318"/>
      <c r="AB14237" s="318"/>
      <c r="AC14237" s="318"/>
      <c r="AD14237" s="318"/>
    </row>
    <row r="14238" spans="2:30" s="323" customFormat="1" ht="12" customHeight="1">
      <c r="B14238" s="324"/>
      <c r="C14238" s="325"/>
      <c r="D14238" s="326"/>
      <c r="E14238" s="326"/>
      <c r="F14238" s="326"/>
      <c r="G14238" s="326"/>
      <c r="H14238" s="326"/>
      <c r="P14238" s="318"/>
      <c r="Q14238" s="318"/>
      <c r="R14238" s="318"/>
      <c r="S14238" s="318"/>
      <c r="T14238" s="318"/>
      <c r="U14238" s="318"/>
      <c r="V14238" s="318"/>
      <c r="W14238" s="318"/>
      <c r="X14238" s="318"/>
      <c r="Y14238" s="318"/>
      <c r="Z14238" s="318"/>
      <c r="AA14238" s="318"/>
      <c r="AB14238" s="318"/>
      <c r="AC14238" s="318"/>
      <c r="AD14238" s="318"/>
    </row>
    <row r="14239" spans="2:30" s="323" customFormat="1" ht="12" customHeight="1">
      <c r="B14239" s="324"/>
      <c r="C14239" s="325"/>
      <c r="D14239" s="326"/>
      <c r="E14239" s="326"/>
      <c r="F14239" s="326"/>
      <c r="G14239" s="326"/>
      <c r="H14239" s="326"/>
      <c r="P14239" s="318"/>
      <c r="Q14239" s="318"/>
      <c r="R14239" s="318"/>
      <c r="S14239" s="318"/>
      <c r="T14239" s="318"/>
      <c r="U14239" s="318"/>
      <c r="V14239" s="318"/>
      <c r="W14239" s="318"/>
      <c r="X14239" s="318"/>
      <c r="Y14239" s="318"/>
      <c r="Z14239" s="318"/>
      <c r="AA14239" s="318"/>
      <c r="AB14239" s="318"/>
      <c r="AC14239" s="318"/>
      <c r="AD14239" s="318"/>
    </row>
    <row r="14240" spans="2:30" s="323" customFormat="1" ht="12" customHeight="1">
      <c r="B14240" s="324"/>
      <c r="C14240" s="325"/>
      <c r="D14240" s="326"/>
      <c r="E14240" s="326"/>
      <c r="F14240" s="326"/>
      <c r="G14240" s="326"/>
      <c r="H14240" s="326"/>
      <c r="P14240" s="318"/>
      <c r="Q14240" s="318"/>
      <c r="R14240" s="318"/>
      <c r="S14240" s="318"/>
      <c r="T14240" s="318"/>
      <c r="U14240" s="318"/>
      <c r="V14240" s="318"/>
      <c r="W14240" s="318"/>
      <c r="X14240" s="318"/>
      <c r="Y14240" s="318"/>
      <c r="Z14240" s="318"/>
      <c r="AA14240" s="318"/>
      <c r="AB14240" s="318"/>
      <c r="AC14240" s="318"/>
      <c r="AD14240" s="318"/>
    </row>
    <row r="14241" spans="2:30" s="323" customFormat="1" ht="12" customHeight="1">
      <c r="B14241" s="324"/>
      <c r="C14241" s="325"/>
      <c r="D14241" s="326"/>
      <c r="E14241" s="326"/>
      <c r="F14241" s="326"/>
      <c r="G14241" s="326"/>
      <c r="H14241" s="326"/>
      <c r="P14241" s="318"/>
      <c r="Q14241" s="318"/>
      <c r="R14241" s="318"/>
      <c r="S14241" s="318"/>
      <c r="T14241" s="318"/>
      <c r="U14241" s="318"/>
      <c r="V14241" s="318"/>
      <c r="W14241" s="318"/>
      <c r="X14241" s="318"/>
      <c r="Y14241" s="318"/>
      <c r="Z14241" s="318"/>
      <c r="AA14241" s="318"/>
      <c r="AB14241" s="318"/>
      <c r="AC14241" s="318"/>
      <c r="AD14241" s="318"/>
    </row>
    <row r="14242" spans="2:30" s="323" customFormat="1" ht="12" customHeight="1">
      <c r="B14242" s="324"/>
      <c r="C14242" s="325"/>
      <c r="D14242" s="326"/>
      <c r="E14242" s="326"/>
      <c r="F14242" s="326"/>
      <c r="G14242" s="326"/>
      <c r="H14242" s="326"/>
      <c r="P14242" s="318"/>
      <c r="Q14242" s="318"/>
      <c r="R14242" s="318"/>
      <c r="S14242" s="318"/>
      <c r="T14242" s="318"/>
      <c r="U14242" s="318"/>
      <c r="V14242" s="318"/>
      <c r="W14242" s="318"/>
      <c r="X14242" s="318"/>
      <c r="Y14242" s="318"/>
      <c r="Z14242" s="318"/>
      <c r="AA14242" s="318"/>
      <c r="AB14242" s="318"/>
      <c r="AC14242" s="318"/>
      <c r="AD14242" s="318"/>
    </row>
    <row r="14243" spans="2:30" s="323" customFormat="1" ht="12" customHeight="1">
      <c r="B14243" s="324"/>
      <c r="C14243" s="325"/>
      <c r="D14243" s="326"/>
      <c r="E14243" s="326"/>
      <c r="F14243" s="326"/>
      <c r="G14243" s="326"/>
      <c r="H14243" s="326"/>
      <c r="P14243" s="318"/>
      <c r="Q14243" s="318"/>
      <c r="R14243" s="318"/>
      <c r="S14243" s="318"/>
      <c r="T14243" s="318"/>
      <c r="U14243" s="318"/>
      <c r="V14243" s="318"/>
      <c r="W14243" s="318"/>
      <c r="X14243" s="318"/>
      <c r="Y14243" s="318"/>
      <c r="Z14243" s="318"/>
      <c r="AA14243" s="318"/>
      <c r="AB14243" s="318"/>
      <c r="AC14243" s="318"/>
      <c r="AD14243" s="318"/>
    </row>
    <row r="14244" spans="2:30" s="323" customFormat="1" ht="12" customHeight="1">
      <c r="B14244" s="324"/>
      <c r="C14244" s="325"/>
      <c r="D14244" s="326"/>
      <c r="E14244" s="326"/>
      <c r="F14244" s="326"/>
      <c r="G14244" s="326"/>
      <c r="H14244" s="326"/>
      <c r="P14244" s="318"/>
      <c r="Q14244" s="318"/>
      <c r="R14244" s="318"/>
      <c r="S14244" s="318"/>
      <c r="T14244" s="318"/>
      <c r="U14244" s="318"/>
      <c r="V14244" s="318"/>
      <c r="W14244" s="318"/>
      <c r="X14244" s="318"/>
      <c r="Y14244" s="318"/>
      <c r="Z14244" s="318"/>
      <c r="AA14244" s="318"/>
      <c r="AB14244" s="318"/>
      <c r="AC14244" s="318"/>
      <c r="AD14244" s="318"/>
    </row>
    <row r="14245" spans="2:30" s="323" customFormat="1" ht="12" customHeight="1">
      <c r="B14245" s="324"/>
      <c r="C14245" s="325"/>
      <c r="D14245" s="326"/>
      <c r="E14245" s="326"/>
      <c r="F14245" s="326"/>
      <c r="G14245" s="326"/>
      <c r="H14245" s="326"/>
      <c r="P14245" s="318"/>
      <c r="Q14245" s="318"/>
      <c r="R14245" s="318"/>
      <c r="S14245" s="318"/>
      <c r="T14245" s="318"/>
      <c r="U14245" s="318"/>
      <c r="V14245" s="318"/>
      <c r="W14245" s="318"/>
      <c r="X14245" s="318"/>
      <c r="Y14245" s="318"/>
      <c r="Z14245" s="318"/>
      <c r="AA14245" s="318"/>
      <c r="AB14245" s="318"/>
      <c r="AC14245" s="318"/>
      <c r="AD14245" s="318"/>
    </row>
    <row r="14246" spans="2:30" s="323" customFormat="1" ht="12" customHeight="1">
      <c r="B14246" s="324"/>
      <c r="C14246" s="325"/>
      <c r="D14246" s="326"/>
      <c r="E14246" s="326"/>
      <c r="F14246" s="326"/>
      <c r="G14246" s="326"/>
      <c r="H14246" s="326"/>
      <c r="P14246" s="318"/>
      <c r="Q14246" s="318"/>
      <c r="R14246" s="318"/>
      <c r="S14246" s="318"/>
      <c r="T14246" s="318"/>
      <c r="U14246" s="318"/>
      <c r="V14246" s="318"/>
      <c r="W14246" s="318"/>
      <c r="X14246" s="318"/>
      <c r="Y14246" s="318"/>
      <c r="Z14246" s="318"/>
      <c r="AA14246" s="318"/>
      <c r="AB14246" s="318"/>
      <c r="AC14246" s="318"/>
      <c r="AD14246" s="318"/>
    </row>
    <row r="14247" spans="2:30" s="323" customFormat="1" ht="12" customHeight="1">
      <c r="B14247" s="324"/>
      <c r="C14247" s="325"/>
      <c r="D14247" s="326"/>
      <c r="E14247" s="326"/>
      <c r="F14247" s="326"/>
      <c r="G14247" s="326"/>
      <c r="H14247" s="326"/>
      <c r="P14247" s="318"/>
      <c r="Q14247" s="318"/>
      <c r="R14247" s="318"/>
      <c r="S14247" s="318"/>
      <c r="T14247" s="318"/>
      <c r="U14247" s="318"/>
      <c r="V14247" s="318"/>
      <c r="W14247" s="318"/>
      <c r="X14247" s="318"/>
      <c r="Y14247" s="318"/>
      <c r="Z14247" s="318"/>
      <c r="AA14247" s="318"/>
      <c r="AB14247" s="318"/>
      <c r="AC14247" s="318"/>
      <c r="AD14247" s="318"/>
    </row>
    <row r="14248" spans="2:30" s="323" customFormat="1" ht="12" customHeight="1">
      <c r="B14248" s="324"/>
      <c r="C14248" s="325"/>
      <c r="D14248" s="326"/>
      <c r="E14248" s="326"/>
      <c r="F14248" s="326"/>
      <c r="G14248" s="326"/>
      <c r="H14248" s="326"/>
      <c r="P14248" s="318"/>
      <c r="Q14248" s="318"/>
      <c r="R14248" s="318"/>
      <c r="S14248" s="318"/>
      <c r="T14248" s="318"/>
      <c r="U14248" s="318"/>
      <c r="V14248" s="318"/>
      <c r="W14248" s="318"/>
      <c r="X14248" s="318"/>
      <c r="Y14248" s="318"/>
      <c r="Z14248" s="318"/>
      <c r="AA14248" s="318"/>
      <c r="AB14248" s="318"/>
      <c r="AC14248" s="318"/>
      <c r="AD14248" s="318"/>
    </row>
    <row r="14249" spans="2:30" s="323" customFormat="1" ht="12" customHeight="1">
      <c r="B14249" s="324"/>
      <c r="C14249" s="325"/>
      <c r="D14249" s="326"/>
      <c r="E14249" s="326"/>
      <c r="F14249" s="326"/>
      <c r="G14249" s="326"/>
      <c r="H14249" s="326"/>
      <c r="P14249" s="318"/>
      <c r="Q14249" s="318"/>
      <c r="R14249" s="318"/>
      <c r="S14249" s="318"/>
      <c r="T14249" s="318"/>
      <c r="U14249" s="318"/>
      <c r="V14249" s="318"/>
      <c r="W14249" s="318"/>
      <c r="X14249" s="318"/>
      <c r="Y14249" s="318"/>
      <c r="Z14249" s="318"/>
      <c r="AA14249" s="318"/>
      <c r="AB14249" s="318"/>
      <c r="AC14249" s="318"/>
      <c r="AD14249" s="318"/>
    </row>
    <row r="14250" spans="2:30" s="323" customFormat="1" ht="12" customHeight="1">
      <c r="B14250" s="324"/>
      <c r="C14250" s="325"/>
      <c r="D14250" s="326"/>
      <c r="E14250" s="326"/>
      <c r="F14250" s="326"/>
      <c r="G14250" s="326"/>
      <c r="H14250" s="326"/>
      <c r="P14250" s="318"/>
      <c r="Q14250" s="318"/>
      <c r="R14250" s="318"/>
      <c r="S14250" s="318"/>
      <c r="T14250" s="318"/>
      <c r="U14250" s="318"/>
      <c r="V14250" s="318"/>
      <c r="W14250" s="318"/>
      <c r="X14250" s="318"/>
      <c r="Y14250" s="318"/>
      <c r="Z14250" s="318"/>
      <c r="AA14250" s="318"/>
      <c r="AB14250" s="318"/>
      <c r="AC14250" s="318"/>
      <c r="AD14250" s="318"/>
    </row>
    <row r="14251" spans="2:30" s="323" customFormat="1" ht="12" customHeight="1">
      <c r="B14251" s="324"/>
      <c r="C14251" s="325"/>
      <c r="D14251" s="326"/>
      <c r="E14251" s="326"/>
      <c r="F14251" s="326"/>
      <c r="G14251" s="326"/>
      <c r="H14251" s="326"/>
      <c r="P14251" s="318"/>
      <c r="Q14251" s="318"/>
      <c r="R14251" s="318"/>
      <c r="S14251" s="318"/>
      <c r="T14251" s="318"/>
      <c r="U14251" s="318"/>
      <c r="V14251" s="318"/>
      <c r="W14251" s="318"/>
      <c r="X14251" s="318"/>
      <c r="Y14251" s="318"/>
      <c r="Z14251" s="318"/>
      <c r="AA14251" s="318"/>
      <c r="AB14251" s="318"/>
      <c r="AC14251" s="318"/>
      <c r="AD14251" s="318"/>
    </row>
    <row r="14252" spans="2:30" s="323" customFormat="1" ht="12" customHeight="1">
      <c r="B14252" s="324"/>
      <c r="C14252" s="325"/>
      <c r="D14252" s="326"/>
      <c r="E14252" s="326"/>
      <c r="F14252" s="326"/>
      <c r="G14252" s="326"/>
      <c r="H14252" s="326"/>
      <c r="P14252" s="318"/>
      <c r="Q14252" s="318"/>
      <c r="R14252" s="318"/>
      <c r="S14252" s="318"/>
      <c r="T14252" s="318"/>
      <c r="U14252" s="318"/>
      <c r="V14252" s="318"/>
      <c r="W14252" s="318"/>
      <c r="X14252" s="318"/>
      <c r="Y14252" s="318"/>
      <c r="Z14252" s="318"/>
      <c r="AA14252" s="318"/>
      <c r="AB14252" s="318"/>
      <c r="AC14252" s="318"/>
      <c r="AD14252" s="318"/>
    </row>
    <row r="14253" spans="2:30" s="323" customFormat="1" ht="12" customHeight="1">
      <c r="B14253" s="324"/>
      <c r="C14253" s="325"/>
      <c r="D14253" s="326"/>
      <c r="E14253" s="326"/>
      <c r="F14253" s="326"/>
      <c r="G14253" s="326"/>
      <c r="H14253" s="326"/>
      <c r="P14253" s="318"/>
      <c r="Q14253" s="318"/>
      <c r="R14253" s="318"/>
      <c r="S14253" s="318"/>
      <c r="T14253" s="318"/>
      <c r="U14253" s="318"/>
      <c r="V14253" s="318"/>
      <c r="W14253" s="318"/>
      <c r="X14253" s="318"/>
      <c r="Y14253" s="318"/>
      <c r="Z14253" s="318"/>
      <c r="AA14253" s="318"/>
      <c r="AB14253" s="318"/>
      <c r="AC14253" s="318"/>
      <c r="AD14253" s="318"/>
    </row>
    <row r="14254" spans="2:30" s="323" customFormat="1" ht="12" customHeight="1">
      <c r="B14254" s="324"/>
      <c r="C14254" s="325"/>
      <c r="D14254" s="326"/>
      <c r="E14254" s="326"/>
      <c r="F14254" s="326"/>
      <c r="G14254" s="326"/>
      <c r="H14254" s="326"/>
      <c r="P14254" s="318"/>
      <c r="Q14254" s="318"/>
      <c r="R14254" s="318"/>
      <c r="S14254" s="318"/>
      <c r="T14254" s="318"/>
      <c r="U14254" s="318"/>
      <c r="V14254" s="318"/>
      <c r="W14254" s="318"/>
      <c r="X14254" s="318"/>
      <c r="Y14254" s="318"/>
      <c r="Z14254" s="318"/>
      <c r="AA14254" s="318"/>
      <c r="AB14254" s="318"/>
      <c r="AC14254" s="318"/>
      <c r="AD14254" s="318"/>
    </row>
    <row r="14255" spans="2:30" s="323" customFormat="1" ht="12" customHeight="1">
      <c r="B14255" s="324"/>
      <c r="C14255" s="325"/>
      <c r="D14255" s="326"/>
      <c r="E14255" s="326"/>
      <c r="F14255" s="326"/>
      <c r="G14255" s="326"/>
      <c r="H14255" s="326"/>
      <c r="P14255" s="318"/>
      <c r="Q14255" s="318"/>
      <c r="R14255" s="318"/>
      <c r="S14255" s="318"/>
      <c r="T14255" s="318"/>
      <c r="U14255" s="318"/>
      <c r="V14255" s="318"/>
      <c r="W14255" s="318"/>
      <c r="X14255" s="318"/>
      <c r="Y14255" s="318"/>
      <c r="Z14255" s="318"/>
      <c r="AA14255" s="318"/>
      <c r="AB14255" s="318"/>
      <c r="AC14255" s="318"/>
      <c r="AD14255" s="318"/>
    </row>
    <row r="14256" spans="2:30" s="323" customFormat="1" ht="12" customHeight="1">
      <c r="B14256" s="324"/>
      <c r="C14256" s="325"/>
      <c r="D14256" s="326"/>
      <c r="E14256" s="326"/>
      <c r="F14256" s="326"/>
      <c r="G14256" s="326"/>
      <c r="H14256" s="326"/>
      <c r="P14256" s="318"/>
      <c r="Q14256" s="318"/>
      <c r="R14256" s="318"/>
      <c r="S14256" s="318"/>
      <c r="T14256" s="318"/>
      <c r="U14256" s="318"/>
      <c r="V14256" s="318"/>
      <c r="W14256" s="318"/>
      <c r="X14256" s="318"/>
      <c r="Y14256" s="318"/>
      <c r="Z14256" s="318"/>
      <c r="AA14256" s="318"/>
      <c r="AB14256" s="318"/>
      <c r="AC14256" s="318"/>
      <c r="AD14256" s="318"/>
    </row>
    <row r="14257" spans="2:30" s="323" customFormat="1" ht="12" customHeight="1">
      <c r="B14257" s="324"/>
      <c r="C14257" s="325"/>
      <c r="D14257" s="326"/>
      <c r="E14257" s="326"/>
      <c r="F14257" s="326"/>
      <c r="G14257" s="326"/>
      <c r="H14257" s="326"/>
      <c r="P14257" s="318"/>
      <c r="Q14257" s="318"/>
      <c r="R14257" s="318"/>
      <c r="S14257" s="318"/>
      <c r="T14257" s="318"/>
      <c r="U14257" s="318"/>
      <c r="V14257" s="318"/>
      <c r="W14257" s="318"/>
      <c r="X14257" s="318"/>
      <c r="Y14257" s="318"/>
      <c r="Z14257" s="318"/>
      <c r="AA14257" s="318"/>
      <c r="AB14257" s="318"/>
      <c r="AC14257" s="318"/>
      <c r="AD14257" s="318"/>
    </row>
    <row r="14258" spans="2:30" s="323" customFormat="1" ht="12" customHeight="1">
      <c r="B14258" s="324"/>
      <c r="C14258" s="325"/>
      <c r="D14258" s="326"/>
      <c r="E14258" s="326"/>
      <c r="F14258" s="326"/>
      <c r="G14258" s="326"/>
      <c r="H14258" s="326"/>
      <c r="P14258" s="318"/>
      <c r="Q14258" s="318"/>
      <c r="R14258" s="318"/>
      <c r="S14258" s="318"/>
      <c r="T14258" s="318"/>
      <c r="U14258" s="318"/>
      <c r="V14258" s="318"/>
      <c r="W14258" s="318"/>
      <c r="X14258" s="318"/>
      <c r="Y14258" s="318"/>
      <c r="Z14258" s="318"/>
      <c r="AA14258" s="318"/>
      <c r="AB14258" s="318"/>
      <c r="AC14258" s="318"/>
      <c r="AD14258" s="318"/>
    </row>
    <row r="14259" spans="2:30" s="323" customFormat="1" ht="12" customHeight="1">
      <c r="B14259" s="324"/>
      <c r="C14259" s="325"/>
      <c r="D14259" s="326"/>
      <c r="E14259" s="326"/>
      <c r="F14259" s="326"/>
      <c r="G14259" s="326"/>
      <c r="H14259" s="326"/>
      <c r="P14259" s="318"/>
      <c r="Q14259" s="318"/>
      <c r="R14259" s="318"/>
      <c r="S14259" s="318"/>
      <c r="T14259" s="318"/>
      <c r="U14259" s="318"/>
      <c r="V14259" s="318"/>
      <c r="W14259" s="318"/>
      <c r="X14259" s="318"/>
      <c r="Y14259" s="318"/>
      <c r="Z14259" s="318"/>
      <c r="AA14259" s="318"/>
      <c r="AB14259" s="318"/>
      <c r="AC14259" s="318"/>
      <c r="AD14259" s="318"/>
    </row>
    <row r="14260" spans="2:30" s="323" customFormat="1" ht="12" customHeight="1">
      <c r="B14260" s="324"/>
      <c r="C14260" s="325"/>
      <c r="D14260" s="326"/>
      <c r="E14260" s="326"/>
      <c r="F14260" s="326"/>
      <c r="G14260" s="326"/>
      <c r="H14260" s="326"/>
      <c r="P14260" s="318"/>
      <c r="Q14260" s="318"/>
      <c r="R14260" s="318"/>
      <c r="S14260" s="318"/>
      <c r="T14260" s="318"/>
      <c r="U14260" s="318"/>
      <c r="V14260" s="318"/>
      <c r="W14260" s="318"/>
      <c r="X14260" s="318"/>
      <c r="Y14260" s="318"/>
      <c r="Z14260" s="318"/>
      <c r="AA14260" s="318"/>
      <c r="AB14260" s="318"/>
      <c r="AC14260" s="318"/>
      <c r="AD14260" s="318"/>
    </row>
    <row r="14261" spans="2:30" s="323" customFormat="1" ht="12" customHeight="1">
      <c r="B14261" s="324"/>
      <c r="C14261" s="325"/>
      <c r="D14261" s="326"/>
      <c r="E14261" s="326"/>
      <c r="F14261" s="326"/>
      <c r="G14261" s="326"/>
      <c r="H14261" s="326"/>
      <c r="P14261" s="318"/>
      <c r="Q14261" s="318"/>
      <c r="R14261" s="318"/>
      <c r="S14261" s="318"/>
      <c r="T14261" s="318"/>
      <c r="U14261" s="318"/>
      <c r="V14261" s="318"/>
      <c r="W14261" s="318"/>
      <c r="X14261" s="318"/>
      <c r="Y14261" s="318"/>
      <c r="Z14261" s="318"/>
      <c r="AA14261" s="318"/>
      <c r="AB14261" s="318"/>
      <c r="AC14261" s="318"/>
      <c r="AD14261" s="318"/>
    </row>
    <row r="14262" spans="2:30" s="323" customFormat="1" ht="12" customHeight="1">
      <c r="B14262" s="324"/>
      <c r="C14262" s="325"/>
      <c r="D14262" s="326"/>
      <c r="E14262" s="326"/>
      <c r="F14262" s="326"/>
      <c r="G14262" s="326"/>
      <c r="H14262" s="326"/>
      <c r="P14262" s="318"/>
      <c r="Q14262" s="318"/>
      <c r="R14262" s="318"/>
      <c r="S14262" s="318"/>
      <c r="T14262" s="318"/>
      <c r="U14262" s="318"/>
      <c r="V14262" s="318"/>
      <c r="W14262" s="318"/>
      <c r="X14262" s="318"/>
      <c r="Y14262" s="318"/>
      <c r="Z14262" s="318"/>
      <c r="AA14262" s="318"/>
      <c r="AB14262" s="318"/>
      <c r="AC14262" s="318"/>
      <c r="AD14262" s="318"/>
    </row>
    <row r="14263" spans="2:30" s="323" customFormat="1" ht="12" customHeight="1">
      <c r="B14263" s="324"/>
      <c r="C14263" s="325"/>
      <c r="D14263" s="326"/>
      <c r="E14263" s="326"/>
      <c r="F14263" s="326"/>
      <c r="G14263" s="326"/>
      <c r="H14263" s="326"/>
      <c r="P14263" s="318"/>
      <c r="Q14263" s="318"/>
      <c r="R14263" s="318"/>
      <c r="S14263" s="318"/>
      <c r="T14263" s="318"/>
      <c r="U14263" s="318"/>
      <c r="V14263" s="318"/>
      <c r="W14263" s="318"/>
      <c r="X14263" s="318"/>
      <c r="Y14263" s="318"/>
      <c r="Z14263" s="318"/>
      <c r="AA14263" s="318"/>
      <c r="AB14263" s="318"/>
      <c r="AC14263" s="318"/>
      <c r="AD14263" s="318"/>
    </row>
    <row r="14264" spans="2:30" s="323" customFormat="1" ht="12" customHeight="1">
      <c r="B14264" s="324"/>
      <c r="C14264" s="325"/>
      <c r="D14264" s="326"/>
      <c r="E14264" s="326"/>
      <c r="F14264" s="326"/>
      <c r="G14264" s="326"/>
      <c r="H14264" s="326"/>
      <c r="P14264" s="318"/>
      <c r="Q14264" s="318"/>
      <c r="R14264" s="318"/>
      <c r="S14264" s="318"/>
      <c r="T14264" s="318"/>
      <c r="U14264" s="318"/>
      <c r="V14264" s="318"/>
      <c r="W14264" s="318"/>
      <c r="X14264" s="318"/>
      <c r="Y14264" s="318"/>
      <c r="Z14264" s="318"/>
      <c r="AA14264" s="318"/>
      <c r="AB14264" s="318"/>
      <c r="AC14264" s="318"/>
      <c r="AD14264" s="318"/>
    </row>
    <row r="14265" spans="2:30" s="323" customFormat="1" ht="12" customHeight="1">
      <c r="B14265" s="324"/>
      <c r="C14265" s="325"/>
      <c r="D14265" s="326"/>
      <c r="E14265" s="326"/>
      <c r="F14265" s="326"/>
      <c r="G14265" s="326"/>
      <c r="H14265" s="326"/>
      <c r="P14265" s="318"/>
      <c r="Q14265" s="318"/>
      <c r="R14265" s="318"/>
      <c r="S14265" s="318"/>
      <c r="T14265" s="318"/>
      <c r="U14265" s="318"/>
      <c r="V14265" s="318"/>
      <c r="W14265" s="318"/>
      <c r="X14265" s="318"/>
      <c r="Y14265" s="318"/>
      <c r="Z14265" s="318"/>
      <c r="AA14265" s="318"/>
      <c r="AB14265" s="318"/>
      <c r="AC14265" s="318"/>
      <c r="AD14265" s="318"/>
    </row>
    <row r="14266" spans="2:30" s="323" customFormat="1" ht="12" customHeight="1">
      <c r="B14266" s="324"/>
      <c r="C14266" s="325"/>
      <c r="D14266" s="326"/>
      <c r="E14266" s="326"/>
      <c r="F14266" s="326"/>
      <c r="G14266" s="326"/>
      <c r="H14266" s="326"/>
      <c r="P14266" s="318"/>
      <c r="Q14266" s="318"/>
      <c r="R14266" s="318"/>
      <c r="S14266" s="318"/>
      <c r="T14266" s="318"/>
      <c r="U14266" s="318"/>
      <c r="V14266" s="318"/>
      <c r="W14266" s="318"/>
      <c r="X14266" s="318"/>
      <c r="Y14266" s="318"/>
      <c r="Z14266" s="318"/>
      <c r="AA14266" s="318"/>
      <c r="AB14266" s="318"/>
      <c r="AC14266" s="318"/>
      <c r="AD14266" s="318"/>
    </row>
    <row r="14267" spans="2:30" s="323" customFormat="1" ht="12" customHeight="1">
      <c r="B14267" s="324"/>
      <c r="C14267" s="325"/>
      <c r="D14267" s="326"/>
      <c r="E14267" s="326"/>
      <c r="F14267" s="326"/>
      <c r="G14267" s="326"/>
      <c r="H14267" s="326"/>
      <c r="P14267" s="318"/>
      <c r="Q14267" s="318"/>
      <c r="R14267" s="318"/>
      <c r="S14267" s="318"/>
      <c r="T14267" s="318"/>
      <c r="U14267" s="318"/>
      <c r="V14267" s="318"/>
      <c r="W14267" s="318"/>
      <c r="X14267" s="318"/>
      <c r="Y14267" s="318"/>
      <c r="Z14267" s="318"/>
      <c r="AA14267" s="318"/>
      <c r="AB14267" s="318"/>
      <c r="AC14267" s="318"/>
      <c r="AD14267" s="318"/>
    </row>
    <row r="14268" spans="2:30" s="323" customFormat="1" ht="12" customHeight="1">
      <c r="B14268" s="324"/>
      <c r="C14268" s="325"/>
      <c r="D14268" s="326"/>
      <c r="E14268" s="326"/>
      <c r="F14268" s="326"/>
      <c r="G14268" s="326"/>
      <c r="H14268" s="326"/>
      <c r="P14268" s="318"/>
      <c r="Q14268" s="318"/>
      <c r="R14268" s="318"/>
      <c r="S14268" s="318"/>
      <c r="T14268" s="318"/>
      <c r="U14268" s="318"/>
      <c r="V14268" s="318"/>
      <c r="W14268" s="318"/>
      <c r="X14268" s="318"/>
      <c r="Y14268" s="318"/>
      <c r="Z14268" s="318"/>
      <c r="AA14268" s="318"/>
      <c r="AB14268" s="318"/>
      <c r="AC14268" s="318"/>
      <c r="AD14268" s="318"/>
    </row>
    <row r="14269" spans="2:30" s="323" customFormat="1" ht="12" customHeight="1">
      <c r="B14269" s="324"/>
      <c r="C14269" s="325"/>
      <c r="D14269" s="326"/>
      <c r="E14269" s="326"/>
      <c r="F14269" s="326"/>
      <c r="G14269" s="326"/>
      <c r="H14269" s="326"/>
      <c r="P14269" s="318"/>
      <c r="Q14269" s="318"/>
      <c r="R14269" s="318"/>
      <c r="S14269" s="318"/>
      <c r="T14269" s="318"/>
      <c r="U14269" s="318"/>
      <c r="V14269" s="318"/>
      <c r="W14269" s="318"/>
      <c r="X14269" s="318"/>
      <c r="Y14269" s="318"/>
      <c r="Z14269" s="318"/>
      <c r="AA14269" s="318"/>
      <c r="AB14269" s="318"/>
      <c r="AC14269" s="318"/>
      <c r="AD14269" s="318"/>
    </row>
    <row r="14270" spans="2:30" s="323" customFormat="1" ht="12" customHeight="1">
      <c r="B14270" s="324"/>
      <c r="C14270" s="325"/>
      <c r="D14270" s="326"/>
      <c r="E14270" s="326"/>
      <c r="F14270" s="326"/>
      <c r="G14270" s="326"/>
      <c r="H14270" s="326"/>
      <c r="P14270" s="318"/>
      <c r="Q14270" s="318"/>
      <c r="R14270" s="318"/>
      <c r="S14270" s="318"/>
      <c r="T14270" s="318"/>
      <c r="U14270" s="318"/>
      <c r="V14270" s="318"/>
      <c r="W14270" s="318"/>
      <c r="X14270" s="318"/>
      <c r="Y14270" s="318"/>
      <c r="Z14270" s="318"/>
      <c r="AA14270" s="318"/>
      <c r="AB14270" s="318"/>
      <c r="AC14270" s="318"/>
      <c r="AD14270" s="318"/>
    </row>
    <row r="14271" spans="2:30" s="323" customFormat="1" ht="12" customHeight="1">
      <c r="B14271" s="324"/>
      <c r="C14271" s="325"/>
      <c r="D14271" s="326"/>
      <c r="E14271" s="326"/>
      <c r="F14271" s="326"/>
      <c r="G14271" s="326"/>
      <c r="H14271" s="326"/>
      <c r="P14271" s="318"/>
      <c r="Q14271" s="318"/>
      <c r="R14271" s="318"/>
      <c r="S14271" s="318"/>
      <c r="T14271" s="318"/>
      <c r="U14271" s="318"/>
      <c r="V14271" s="318"/>
      <c r="W14271" s="318"/>
      <c r="X14271" s="318"/>
      <c r="Y14271" s="318"/>
      <c r="Z14271" s="318"/>
      <c r="AA14271" s="318"/>
      <c r="AB14271" s="318"/>
      <c r="AC14271" s="318"/>
      <c r="AD14271" s="318"/>
    </row>
    <row r="14272" spans="2:30" s="323" customFormat="1" ht="12" customHeight="1">
      <c r="B14272" s="324"/>
      <c r="C14272" s="325"/>
      <c r="D14272" s="326"/>
      <c r="E14272" s="326"/>
      <c r="F14272" s="326"/>
      <c r="G14272" s="326"/>
      <c r="H14272" s="326"/>
      <c r="P14272" s="318"/>
      <c r="Q14272" s="318"/>
      <c r="R14272" s="318"/>
      <c r="S14272" s="318"/>
      <c r="T14272" s="318"/>
      <c r="U14272" s="318"/>
      <c r="V14272" s="318"/>
      <c r="W14272" s="318"/>
      <c r="X14272" s="318"/>
      <c r="Y14272" s="318"/>
      <c r="Z14272" s="318"/>
      <c r="AA14272" s="318"/>
      <c r="AB14272" s="318"/>
      <c r="AC14272" s="318"/>
      <c r="AD14272" s="318"/>
    </row>
    <row r="14273" spans="2:30" s="323" customFormat="1" ht="12" customHeight="1">
      <c r="B14273" s="324"/>
      <c r="C14273" s="325"/>
      <c r="D14273" s="326"/>
      <c r="E14273" s="326"/>
      <c r="F14273" s="326"/>
      <c r="G14273" s="326"/>
      <c r="H14273" s="326"/>
      <c r="P14273" s="318"/>
      <c r="Q14273" s="318"/>
      <c r="R14273" s="318"/>
      <c r="S14273" s="318"/>
      <c r="T14273" s="318"/>
      <c r="U14273" s="318"/>
      <c r="V14273" s="318"/>
      <c r="W14273" s="318"/>
      <c r="X14273" s="318"/>
      <c r="Y14273" s="318"/>
      <c r="Z14273" s="318"/>
      <c r="AA14273" s="318"/>
      <c r="AB14273" s="318"/>
      <c r="AC14273" s="318"/>
      <c r="AD14273" s="318"/>
    </row>
    <row r="14274" spans="2:30" s="323" customFormat="1" ht="12" customHeight="1">
      <c r="B14274" s="324"/>
      <c r="C14274" s="325"/>
      <c r="D14274" s="326"/>
      <c r="E14274" s="326"/>
      <c r="F14274" s="326"/>
      <c r="G14274" s="326"/>
      <c r="H14274" s="326"/>
      <c r="P14274" s="318"/>
      <c r="Q14274" s="318"/>
      <c r="R14274" s="318"/>
      <c r="S14274" s="318"/>
      <c r="T14274" s="318"/>
      <c r="U14274" s="318"/>
      <c r="V14274" s="318"/>
      <c r="W14274" s="318"/>
      <c r="X14274" s="318"/>
      <c r="Y14274" s="318"/>
      <c r="Z14274" s="318"/>
      <c r="AA14274" s="318"/>
      <c r="AB14274" s="318"/>
      <c r="AC14274" s="318"/>
      <c r="AD14274" s="318"/>
    </row>
    <row r="14275" spans="2:30" s="323" customFormat="1" ht="12" customHeight="1">
      <c r="B14275" s="324"/>
      <c r="C14275" s="325"/>
      <c r="D14275" s="326"/>
      <c r="E14275" s="326"/>
      <c r="F14275" s="326"/>
      <c r="G14275" s="326"/>
      <c r="H14275" s="326"/>
      <c r="P14275" s="318"/>
      <c r="Q14275" s="318"/>
      <c r="R14275" s="318"/>
      <c r="S14275" s="318"/>
      <c r="T14275" s="318"/>
      <c r="U14275" s="318"/>
      <c r="V14275" s="318"/>
      <c r="W14275" s="318"/>
      <c r="X14275" s="318"/>
      <c r="Y14275" s="318"/>
      <c r="Z14275" s="318"/>
      <c r="AA14275" s="318"/>
      <c r="AB14275" s="318"/>
      <c r="AC14275" s="318"/>
      <c r="AD14275" s="318"/>
    </row>
    <row r="14276" spans="2:30" s="323" customFormat="1" ht="12" customHeight="1">
      <c r="B14276" s="324"/>
      <c r="C14276" s="325"/>
      <c r="D14276" s="326"/>
      <c r="E14276" s="326"/>
      <c r="F14276" s="326"/>
      <c r="G14276" s="326"/>
      <c r="H14276" s="326"/>
      <c r="P14276" s="318"/>
      <c r="Q14276" s="318"/>
      <c r="R14276" s="318"/>
      <c r="S14276" s="318"/>
      <c r="T14276" s="318"/>
      <c r="U14276" s="318"/>
      <c r="V14276" s="318"/>
      <c r="W14276" s="318"/>
      <c r="X14276" s="318"/>
      <c r="Y14276" s="318"/>
      <c r="Z14276" s="318"/>
      <c r="AA14276" s="318"/>
      <c r="AB14276" s="318"/>
      <c r="AC14276" s="318"/>
      <c r="AD14276" s="318"/>
    </row>
    <row r="14277" spans="2:30" s="323" customFormat="1" ht="12" customHeight="1">
      <c r="B14277" s="324"/>
      <c r="C14277" s="325"/>
      <c r="D14277" s="326"/>
      <c r="E14277" s="326"/>
      <c r="F14277" s="326"/>
      <c r="G14277" s="326"/>
      <c r="H14277" s="326"/>
      <c r="P14277" s="318"/>
      <c r="Q14277" s="318"/>
      <c r="R14277" s="318"/>
      <c r="S14277" s="318"/>
      <c r="T14277" s="318"/>
      <c r="U14277" s="318"/>
      <c r="V14277" s="318"/>
      <c r="W14277" s="318"/>
      <c r="X14277" s="318"/>
      <c r="Y14277" s="318"/>
      <c r="Z14277" s="318"/>
      <c r="AA14277" s="318"/>
      <c r="AB14277" s="318"/>
      <c r="AC14277" s="318"/>
      <c r="AD14277" s="318"/>
    </row>
    <row r="14278" spans="2:30" s="323" customFormat="1" ht="12" customHeight="1">
      <c r="B14278" s="324"/>
      <c r="C14278" s="325"/>
      <c r="D14278" s="326"/>
      <c r="E14278" s="326"/>
      <c r="F14278" s="326"/>
      <c r="G14278" s="326"/>
      <c r="H14278" s="326"/>
      <c r="P14278" s="318"/>
      <c r="Q14278" s="318"/>
      <c r="R14278" s="318"/>
      <c r="S14278" s="318"/>
      <c r="T14278" s="318"/>
      <c r="U14278" s="318"/>
      <c r="V14278" s="318"/>
      <c r="W14278" s="318"/>
      <c r="X14278" s="318"/>
      <c r="Y14278" s="318"/>
      <c r="Z14278" s="318"/>
      <c r="AA14278" s="318"/>
      <c r="AB14278" s="318"/>
      <c r="AC14278" s="318"/>
      <c r="AD14278" s="318"/>
    </row>
    <row r="14279" spans="2:30" s="323" customFormat="1" ht="12" customHeight="1">
      <c r="B14279" s="324"/>
      <c r="C14279" s="325"/>
      <c r="D14279" s="326"/>
      <c r="E14279" s="326"/>
      <c r="F14279" s="326"/>
      <c r="G14279" s="326"/>
      <c r="H14279" s="326"/>
      <c r="P14279" s="318"/>
      <c r="Q14279" s="318"/>
      <c r="R14279" s="318"/>
      <c r="S14279" s="318"/>
      <c r="T14279" s="318"/>
      <c r="U14279" s="318"/>
      <c r="V14279" s="318"/>
      <c r="W14279" s="318"/>
      <c r="X14279" s="318"/>
      <c r="Y14279" s="318"/>
      <c r="Z14279" s="318"/>
      <c r="AA14279" s="318"/>
      <c r="AB14279" s="318"/>
      <c r="AC14279" s="318"/>
      <c r="AD14279" s="318"/>
    </row>
    <row r="14280" spans="2:30" s="323" customFormat="1" ht="12" customHeight="1">
      <c r="B14280" s="324"/>
      <c r="C14280" s="325"/>
      <c r="D14280" s="326"/>
      <c r="E14280" s="326"/>
      <c r="F14280" s="326"/>
      <c r="G14280" s="326"/>
      <c r="H14280" s="326"/>
      <c r="P14280" s="318"/>
      <c r="Q14280" s="318"/>
      <c r="R14280" s="318"/>
      <c r="S14280" s="318"/>
      <c r="T14280" s="318"/>
      <c r="U14280" s="318"/>
      <c r="V14280" s="318"/>
      <c r="W14280" s="318"/>
      <c r="X14280" s="318"/>
      <c r="Y14280" s="318"/>
      <c r="Z14280" s="318"/>
      <c r="AA14280" s="318"/>
      <c r="AB14280" s="318"/>
      <c r="AC14280" s="318"/>
      <c r="AD14280" s="318"/>
    </row>
    <row r="14281" spans="2:30" s="323" customFormat="1" ht="12" customHeight="1">
      <c r="B14281" s="324"/>
      <c r="C14281" s="325"/>
      <c r="D14281" s="326"/>
      <c r="E14281" s="326"/>
      <c r="F14281" s="326"/>
      <c r="G14281" s="326"/>
      <c r="H14281" s="326"/>
      <c r="P14281" s="318"/>
      <c r="Q14281" s="318"/>
      <c r="R14281" s="318"/>
      <c r="S14281" s="318"/>
      <c r="T14281" s="318"/>
      <c r="U14281" s="318"/>
      <c r="V14281" s="318"/>
      <c r="W14281" s="318"/>
      <c r="X14281" s="318"/>
      <c r="Y14281" s="318"/>
      <c r="Z14281" s="318"/>
      <c r="AA14281" s="318"/>
      <c r="AB14281" s="318"/>
      <c r="AC14281" s="318"/>
      <c r="AD14281" s="318"/>
    </row>
    <row r="14282" spans="2:30" s="323" customFormat="1" ht="12" customHeight="1">
      <c r="B14282" s="324"/>
      <c r="C14282" s="325"/>
      <c r="D14282" s="326"/>
      <c r="E14282" s="326"/>
      <c r="F14282" s="326"/>
      <c r="G14282" s="326"/>
      <c r="H14282" s="326"/>
      <c r="P14282" s="318"/>
      <c r="Q14282" s="318"/>
      <c r="R14282" s="318"/>
      <c r="S14282" s="318"/>
      <c r="T14282" s="318"/>
      <c r="U14282" s="318"/>
      <c r="V14282" s="318"/>
      <c r="W14282" s="318"/>
      <c r="X14282" s="318"/>
      <c r="Y14282" s="318"/>
      <c r="Z14282" s="318"/>
      <c r="AA14282" s="318"/>
      <c r="AB14282" s="318"/>
      <c r="AC14282" s="318"/>
      <c r="AD14282" s="318"/>
    </row>
    <row r="14283" spans="2:30" s="323" customFormat="1" ht="12" customHeight="1">
      <c r="B14283" s="324"/>
      <c r="C14283" s="325"/>
      <c r="D14283" s="326"/>
      <c r="E14283" s="326"/>
      <c r="F14283" s="326"/>
      <c r="G14283" s="326"/>
      <c r="H14283" s="326"/>
      <c r="P14283" s="318"/>
      <c r="Q14283" s="318"/>
      <c r="R14283" s="318"/>
      <c r="S14283" s="318"/>
      <c r="T14283" s="318"/>
      <c r="U14283" s="318"/>
      <c r="V14283" s="318"/>
      <c r="W14283" s="318"/>
      <c r="X14283" s="318"/>
      <c r="Y14283" s="318"/>
      <c r="Z14283" s="318"/>
      <c r="AA14283" s="318"/>
      <c r="AB14283" s="318"/>
      <c r="AC14283" s="318"/>
      <c r="AD14283" s="318"/>
    </row>
    <row r="14284" spans="2:30" s="323" customFormat="1" ht="12" customHeight="1">
      <c r="B14284" s="324"/>
      <c r="C14284" s="325"/>
      <c r="D14284" s="326"/>
      <c r="E14284" s="326"/>
      <c r="F14284" s="326"/>
      <c r="G14284" s="326"/>
      <c r="H14284" s="326"/>
      <c r="P14284" s="318"/>
      <c r="Q14284" s="318"/>
      <c r="R14284" s="318"/>
      <c r="S14284" s="318"/>
      <c r="T14284" s="318"/>
      <c r="U14284" s="318"/>
      <c r="V14284" s="318"/>
      <c r="W14284" s="318"/>
      <c r="X14284" s="318"/>
      <c r="Y14284" s="318"/>
      <c r="Z14284" s="318"/>
      <c r="AA14284" s="318"/>
      <c r="AB14284" s="318"/>
      <c r="AC14284" s="318"/>
      <c r="AD14284" s="318"/>
    </row>
    <row r="14285" spans="2:30" s="323" customFormat="1" ht="12" customHeight="1">
      <c r="B14285" s="324"/>
      <c r="C14285" s="325"/>
      <c r="D14285" s="326"/>
      <c r="E14285" s="326"/>
      <c r="F14285" s="326"/>
      <c r="G14285" s="326"/>
      <c r="H14285" s="326"/>
      <c r="P14285" s="318"/>
      <c r="Q14285" s="318"/>
      <c r="R14285" s="318"/>
      <c r="S14285" s="318"/>
      <c r="T14285" s="318"/>
      <c r="U14285" s="318"/>
      <c r="V14285" s="318"/>
      <c r="W14285" s="318"/>
      <c r="X14285" s="318"/>
      <c r="Y14285" s="318"/>
      <c r="Z14285" s="318"/>
      <c r="AA14285" s="318"/>
      <c r="AB14285" s="318"/>
      <c r="AC14285" s="318"/>
      <c r="AD14285" s="318"/>
    </row>
    <row r="14286" spans="2:30" s="323" customFormat="1" ht="12" customHeight="1">
      <c r="B14286" s="324"/>
      <c r="C14286" s="325"/>
      <c r="D14286" s="326"/>
      <c r="E14286" s="326"/>
      <c r="F14286" s="326"/>
      <c r="G14286" s="326"/>
      <c r="H14286" s="326"/>
      <c r="P14286" s="318"/>
      <c r="Q14286" s="318"/>
      <c r="R14286" s="318"/>
      <c r="S14286" s="318"/>
      <c r="T14286" s="318"/>
      <c r="U14286" s="318"/>
      <c r="V14286" s="318"/>
      <c r="W14286" s="318"/>
      <c r="X14286" s="318"/>
      <c r="Y14286" s="318"/>
      <c r="Z14286" s="318"/>
      <c r="AA14286" s="318"/>
      <c r="AB14286" s="318"/>
      <c r="AC14286" s="318"/>
      <c r="AD14286" s="318"/>
    </row>
    <row r="14287" spans="2:30" s="323" customFormat="1" ht="12" customHeight="1">
      <c r="B14287" s="324"/>
      <c r="C14287" s="325"/>
      <c r="D14287" s="326"/>
      <c r="E14287" s="326"/>
      <c r="F14287" s="326"/>
      <c r="G14287" s="326"/>
      <c r="H14287" s="326"/>
      <c r="P14287" s="318"/>
      <c r="Q14287" s="318"/>
      <c r="R14287" s="318"/>
      <c r="S14287" s="318"/>
      <c r="T14287" s="318"/>
      <c r="U14287" s="318"/>
      <c r="V14287" s="318"/>
      <c r="W14287" s="318"/>
      <c r="X14287" s="318"/>
      <c r="Y14287" s="318"/>
      <c r="Z14287" s="318"/>
      <c r="AA14287" s="318"/>
      <c r="AB14287" s="318"/>
      <c r="AC14287" s="318"/>
      <c r="AD14287" s="318"/>
    </row>
    <row r="14288" spans="2:30" s="323" customFormat="1" ht="12" customHeight="1">
      <c r="B14288" s="324"/>
      <c r="C14288" s="325"/>
      <c r="D14288" s="326"/>
      <c r="E14288" s="326"/>
      <c r="F14288" s="326"/>
      <c r="G14288" s="326"/>
      <c r="H14288" s="326"/>
      <c r="P14288" s="318"/>
      <c r="Q14288" s="318"/>
      <c r="R14288" s="318"/>
      <c r="S14288" s="318"/>
      <c r="T14288" s="318"/>
      <c r="U14288" s="318"/>
      <c r="V14288" s="318"/>
      <c r="W14288" s="318"/>
      <c r="X14288" s="318"/>
      <c r="Y14288" s="318"/>
      <c r="Z14288" s="318"/>
      <c r="AA14288" s="318"/>
      <c r="AB14288" s="318"/>
      <c r="AC14288" s="318"/>
      <c r="AD14288" s="318"/>
    </row>
    <row r="14289" spans="2:30" s="323" customFormat="1" ht="12" customHeight="1">
      <c r="B14289" s="324"/>
      <c r="C14289" s="325"/>
      <c r="D14289" s="326"/>
      <c r="E14289" s="326"/>
      <c r="F14289" s="326"/>
      <c r="G14289" s="326"/>
      <c r="H14289" s="326"/>
      <c r="P14289" s="318"/>
      <c r="Q14289" s="318"/>
      <c r="R14289" s="318"/>
      <c r="S14289" s="318"/>
      <c r="T14289" s="318"/>
      <c r="U14289" s="318"/>
      <c r="V14289" s="318"/>
      <c r="W14289" s="318"/>
      <c r="X14289" s="318"/>
      <c r="Y14289" s="318"/>
      <c r="Z14289" s="318"/>
      <c r="AA14289" s="318"/>
      <c r="AB14289" s="318"/>
      <c r="AC14289" s="318"/>
      <c r="AD14289" s="318"/>
    </row>
    <row r="14290" spans="2:30" s="323" customFormat="1" ht="12" customHeight="1">
      <c r="B14290" s="324"/>
      <c r="C14290" s="325"/>
      <c r="D14290" s="326"/>
      <c r="E14290" s="326"/>
      <c r="F14290" s="326"/>
      <c r="G14290" s="326"/>
      <c r="H14290" s="326"/>
      <c r="P14290" s="318"/>
      <c r="Q14290" s="318"/>
      <c r="R14290" s="318"/>
      <c r="S14290" s="318"/>
      <c r="T14290" s="318"/>
      <c r="U14290" s="318"/>
      <c r="V14290" s="318"/>
      <c r="W14290" s="318"/>
      <c r="X14290" s="318"/>
      <c r="Y14290" s="318"/>
      <c r="Z14290" s="318"/>
      <c r="AA14290" s="318"/>
      <c r="AB14290" s="318"/>
      <c r="AC14290" s="318"/>
      <c r="AD14290" s="318"/>
    </row>
    <row r="14291" spans="2:30" s="323" customFormat="1" ht="12" customHeight="1">
      <c r="B14291" s="324"/>
      <c r="C14291" s="325"/>
      <c r="D14291" s="326"/>
      <c r="E14291" s="326"/>
      <c r="F14291" s="326"/>
      <c r="G14291" s="326"/>
      <c r="H14291" s="326"/>
      <c r="P14291" s="318"/>
      <c r="Q14291" s="318"/>
      <c r="R14291" s="318"/>
      <c r="S14291" s="318"/>
      <c r="T14291" s="318"/>
      <c r="U14291" s="318"/>
      <c r="V14291" s="318"/>
      <c r="W14291" s="318"/>
      <c r="X14291" s="318"/>
      <c r="Y14291" s="318"/>
      <c r="Z14291" s="318"/>
      <c r="AA14291" s="318"/>
      <c r="AB14291" s="318"/>
      <c r="AC14291" s="318"/>
      <c r="AD14291" s="318"/>
    </row>
    <row r="14292" spans="2:30" s="323" customFormat="1" ht="12" customHeight="1">
      <c r="B14292" s="324"/>
      <c r="C14292" s="325"/>
      <c r="D14292" s="326"/>
      <c r="E14292" s="326"/>
      <c r="F14292" s="326"/>
      <c r="G14292" s="326"/>
      <c r="H14292" s="326"/>
      <c r="P14292" s="318"/>
      <c r="Q14292" s="318"/>
      <c r="R14292" s="318"/>
      <c r="S14292" s="318"/>
      <c r="T14292" s="318"/>
      <c r="U14292" s="318"/>
      <c r="V14292" s="318"/>
      <c r="W14292" s="318"/>
      <c r="X14292" s="318"/>
      <c r="Y14292" s="318"/>
      <c r="Z14292" s="318"/>
      <c r="AA14292" s="318"/>
      <c r="AB14292" s="318"/>
      <c r="AC14292" s="318"/>
      <c r="AD14292" s="318"/>
    </row>
    <row r="14293" spans="2:30" s="323" customFormat="1" ht="12" customHeight="1">
      <c r="B14293" s="324"/>
      <c r="C14293" s="325"/>
      <c r="D14293" s="326"/>
      <c r="E14293" s="326"/>
      <c r="F14293" s="326"/>
      <c r="G14293" s="326"/>
      <c r="H14293" s="326"/>
      <c r="P14293" s="318"/>
      <c r="Q14293" s="318"/>
      <c r="R14293" s="318"/>
      <c r="S14293" s="318"/>
      <c r="T14293" s="318"/>
      <c r="U14293" s="318"/>
      <c r="V14293" s="318"/>
      <c r="W14293" s="318"/>
      <c r="X14293" s="318"/>
      <c r="Y14293" s="318"/>
      <c r="Z14293" s="318"/>
      <c r="AA14293" s="318"/>
      <c r="AB14293" s="318"/>
      <c r="AC14293" s="318"/>
      <c r="AD14293" s="318"/>
    </row>
    <row r="14294" spans="2:30" s="323" customFormat="1" ht="12" customHeight="1">
      <c r="B14294" s="324"/>
      <c r="C14294" s="325"/>
      <c r="D14294" s="326"/>
      <c r="E14294" s="326"/>
      <c r="F14294" s="326"/>
      <c r="G14294" s="326"/>
      <c r="H14294" s="326"/>
      <c r="P14294" s="318"/>
      <c r="Q14294" s="318"/>
      <c r="R14294" s="318"/>
      <c r="S14294" s="318"/>
      <c r="T14294" s="318"/>
      <c r="U14294" s="318"/>
      <c r="V14294" s="318"/>
      <c r="W14294" s="318"/>
      <c r="X14294" s="318"/>
      <c r="Y14294" s="318"/>
      <c r="Z14294" s="318"/>
      <c r="AA14294" s="318"/>
      <c r="AB14294" s="318"/>
      <c r="AC14294" s="318"/>
      <c r="AD14294" s="318"/>
    </row>
    <row r="14295" spans="2:30" s="323" customFormat="1" ht="12" customHeight="1">
      <c r="B14295" s="324"/>
      <c r="C14295" s="325"/>
      <c r="D14295" s="326"/>
      <c r="E14295" s="326"/>
      <c r="F14295" s="326"/>
      <c r="G14295" s="326"/>
      <c r="H14295" s="326"/>
      <c r="P14295" s="318"/>
      <c r="Q14295" s="318"/>
      <c r="R14295" s="318"/>
      <c r="S14295" s="318"/>
      <c r="T14295" s="318"/>
      <c r="U14295" s="318"/>
      <c r="V14295" s="318"/>
      <c r="W14295" s="318"/>
      <c r="X14295" s="318"/>
      <c r="Y14295" s="318"/>
      <c r="Z14295" s="318"/>
      <c r="AA14295" s="318"/>
      <c r="AB14295" s="318"/>
      <c r="AC14295" s="318"/>
      <c r="AD14295" s="318"/>
    </row>
    <row r="14296" spans="2:30" s="323" customFormat="1" ht="12" customHeight="1">
      <c r="B14296" s="324"/>
      <c r="C14296" s="325"/>
      <c r="D14296" s="326"/>
      <c r="E14296" s="326"/>
      <c r="F14296" s="326"/>
      <c r="G14296" s="326"/>
      <c r="H14296" s="326"/>
      <c r="P14296" s="318"/>
      <c r="Q14296" s="318"/>
      <c r="R14296" s="318"/>
      <c r="S14296" s="318"/>
      <c r="T14296" s="318"/>
      <c r="U14296" s="318"/>
      <c r="V14296" s="318"/>
      <c r="W14296" s="318"/>
      <c r="X14296" s="318"/>
      <c r="Y14296" s="318"/>
      <c r="Z14296" s="318"/>
      <c r="AA14296" s="318"/>
      <c r="AB14296" s="318"/>
      <c r="AC14296" s="318"/>
      <c r="AD14296" s="318"/>
    </row>
    <row r="14297" spans="2:30" s="323" customFormat="1" ht="12" customHeight="1">
      <c r="B14297" s="324"/>
      <c r="C14297" s="325"/>
      <c r="D14297" s="326"/>
      <c r="E14297" s="326"/>
      <c r="F14297" s="326"/>
      <c r="G14297" s="326"/>
      <c r="H14297" s="326"/>
      <c r="P14297" s="318"/>
      <c r="Q14297" s="318"/>
      <c r="R14297" s="318"/>
      <c r="S14297" s="318"/>
      <c r="T14297" s="318"/>
      <c r="U14297" s="318"/>
      <c r="V14297" s="318"/>
      <c r="W14297" s="318"/>
      <c r="X14297" s="318"/>
      <c r="Y14297" s="318"/>
      <c r="Z14297" s="318"/>
      <c r="AA14297" s="318"/>
      <c r="AB14297" s="318"/>
      <c r="AC14297" s="318"/>
      <c r="AD14297" s="318"/>
    </row>
    <row r="14298" spans="2:30" s="323" customFormat="1" ht="12" customHeight="1">
      <c r="B14298" s="324"/>
      <c r="C14298" s="325"/>
      <c r="D14298" s="326"/>
      <c r="E14298" s="326"/>
      <c r="F14298" s="326"/>
      <c r="G14298" s="326"/>
      <c r="H14298" s="326"/>
      <c r="P14298" s="318"/>
      <c r="Q14298" s="318"/>
      <c r="R14298" s="318"/>
      <c r="S14298" s="318"/>
      <c r="T14298" s="318"/>
      <c r="U14298" s="318"/>
      <c r="V14298" s="318"/>
      <c r="W14298" s="318"/>
      <c r="X14298" s="318"/>
      <c r="Y14298" s="318"/>
      <c r="Z14298" s="318"/>
      <c r="AA14298" s="318"/>
      <c r="AB14298" s="318"/>
      <c r="AC14298" s="318"/>
      <c r="AD14298" s="318"/>
    </row>
    <row r="14299" spans="2:30" s="323" customFormat="1" ht="12" customHeight="1">
      <c r="B14299" s="324"/>
      <c r="C14299" s="325"/>
      <c r="D14299" s="326"/>
      <c r="E14299" s="326"/>
      <c r="F14299" s="326"/>
      <c r="G14299" s="326"/>
      <c r="H14299" s="326"/>
      <c r="P14299" s="318"/>
      <c r="Q14299" s="318"/>
      <c r="R14299" s="318"/>
      <c r="S14299" s="318"/>
      <c r="T14299" s="318"/>
      <c r="U14299" s="318"/>
      <c r="V14299" s="318"/>
      <c r="W14299" s="318"/>
      <c r="X14299" s="318"/>
      <c r="Y14299" s="318"/>
      <c r="Z14299" s="318"/>
      <c r="AA14299" s="318"/>
      <c r="AB14299" s="318"/>
      <c r="AC14299" s="318"/>
      <c r="AD14299" s="318"/>
    </row>
    <row r="14300" spans="2:30" s="323" customFormat="1" ht="12" customHeight="1">
      <c r="B14300" s="324"/>
      <c r="C14300" s="325"/>
      <c r="D14300" s="326"/>
      <c r="E14300" s="326"/>
      <c r="F14300" s="326"/>
      <c r="G14300" s="326"/>
      <c r="H14300" s="326"/>
      <c r="P14300" s="318"/>
      <c r="Q14300" s="318"/>
      <c r="R14300" s="318"/>
      <c r="S14300" s="318"/>
      <c r="T14300" s="318"/>
      <c r="U14300" s="318"/>
      <c r="V14300" s="318"/>
      <c r="W14300" s="318"/>
      <c r="X14300" s="318"/>
      <c r="Y14300" s="318"/>
      <c r="Z14300" s="318"/>
      <c r="AA14300" s="318"/>
      <c r="AB14300" s="318"/>
      <c r="AC14300" s="318"/>
      <c r="AD14300" s="318"/>
    </row>
    <row r="14301" spans="2:30" s="323" customFormat="1" ht="12" customHeight="1">
      <c r="B14301" s="324"/>
      <c r="C14301" s="325"/>
      <c r="D14301" s="326"/>
      <c r="E14301" s="326"/>
      <c r="F14301" s="326"/>
      <c r="G14301" s="326"/>
      <c r="H14301" s="326"/>
      <c r="P14301" s="318"/>
      <c r="Q14301" s="318"/>
      <c r="R14301" s="318"/>
      <c r="S14301" s="318"/>
      <c r="T14301" s="318"/>
      <c r="U14301" s="318"/>
      <c r="V14301" s="318"/>
      <c r="W14301" s="318"/>
      <c r="X14301" s="318"/>
      <c r="Y14301" s="318"/>
      <c r="Z14301" s="318"/>
      <c r="AA14301" s="318"/>
      <c r="AB14301" s="318"/>
      <c r="AC14301" s="318"/>
      <c r="AD14301" s="318"/>
    </row>
    <row r="14302" spans="2:30" s="323" customFormat="1" ht="12" customHeight="1">
      <c r="B14302" s="324"/>
      <c r="C14302" s="325"/>
      <c r="D14302" s="326"/>
      <c r="E14302" s="326"/>
      <c r="F14302" s="326"/>
      <c r="G14302" s="326"/>
      <c r="H14302" s="326"/>
      <c r="P14302" s="318"/>
      <c r="Q14302" s="318"/>
      <c r="R14302" s="318"/>
      <c r="S14302" s="318"/>
      <c r="T14302" s="318"/>
      <c r="U14302" s="318"/>
      <c r="V14302" s="318"/>
      <c r="W14302" s="318"/>
      <c r="X14302" s="318"/>
      <c r="Y14302" s="318"/>
      <c r="Z14302" s="318"/>
      <c r="AA14302" s="318"/>
      <c r="AB14302" s="318"/>
      <c r="AC14302" s="318"/>
      <c r="AD14302" s="318"/>
    </row>
    <row r="14303" spans="2:30" s="323" customFormat="1" ht="12" customHeight="1">
      <c r="B14303" s="324"/>
      <c r="C14303" s="325"/>
      <c r="D14303" s="326"/>
      <c r="E14303" s="326"/>
      <c r="F14303" s="326"/>
      <c r="G14303" s="326"/>
      <c r="H14303" s="326"/>
      <c r="P14303" s="318"/>
      <c r="Q14303" s="318"/>
      <c r="R14303" s="318"/>
      <c r="S14303" s="318"/>
      <c r="T14303" s="318"/>
      <c r="U14303" s="318"/>
      <c r="V14303" s="318"/>
      <c r="W14303" s="318"/>
      <c r="X14303" s="318"/>
      <c r="Y14303" s="318"/>
      <c r="Z14303" s="318"/>
      <c r="AA14303" s="318"/>
      <c r="AB14303" s="318"/>
      <c r="AC14303" s="318"/>
      <c r="AD14303" s="318"/>
    </row>
    <row r="14304" spans="2:30" s="323" customFormat="1" ht="12" customHeight="1">
      <c r="B14304" s="324"/>
      <c r="C14304" s="325"/>
      <c r="D14304" s="326"/>
      <c r="E14304" s="326"/>
      <c r="F14304" s="326"/>
      <c r="G14304" s="326"/>
      <c r="H14304" s="326"/>
      <c r="P14304" s="318"/>
      <c r="Q14304" s="318"/>
      <c r="R14304" s="318"/>
      <c r="S14304" s="318"/>
      <c r="T14304" s="318"/>
      <c r="U14304" s="318"/>
      <c r="V14304" s="318"/>
      <c r="W14304" s="318"/>
      <c r="X14304" s="318"/>
      <c r="Y14304" s="318"/>
      <c r="Z14304" s="318"/>
      <c r="AA14304" s="318"/>
      <c r="AB14304" s="318"/>
      <c r="AC14304" s="318"/>
      <c r="AD14304" s="318"/>
    </row>
    <row r="14305" spans="2:30" s="323" customFormat="1" ht="12" customHeight="1">
      <c r="B14305" s="324"/>
      <c r="C14305" s="325"/>
      <c r="D14305" s="326"/>
      <c r="E14305" s="326"/>
      <c r="F14305" s="326"/>
      <c r="G14305" s="326"/>
      <c r="H14305" s="326"/>
      <c r="P14305" s="318"/>
      <c r="Q14305" s="318"/>
      <c r="R14305" s="318"/>
      <c r="S14305" s="318"/>
      <c r="T14305" s="318"/>
      <c r="U14305" s="318"/>
      <c r="V14305" s="318"/>
      <c r="W14305" s="318"/>
      <c r="X14305" s="318"/>
      <c r="Y14305" s="318"/>
      <c r="Z14305" s="318"/>
      <c r="AA14305" s="318"/>
      <c r="AB14305" s="318"/>
      <c r="AC14305" s="318"/>
      <c r="AD14305" s="318"/>
    </row>
    <row r="14306" spans="2:30" s="323" customFormat="1" ht="12" customHeight="1">
      <c r="B14306" s="324"/>
      <c r="C14306" s="325"/>
      <c r="D14306" s="326"/>
      <c r="E14306" s="326"/>
      <c r="F14306" s="326"/>
      <c r="G14306" s="326"/>
      <c r="H14306" s="326"/>
      <c r="P14306" s="318"/>
      <c r="Q14306" s="318"/>
      <c r="R14306" s="318"/>
      <c r="S14306" s="318"/>
      <c r="T14306" s="318"/>
      <c r="U14306" s="318"/>
      <c r="V14306" s="318"/>
      <c r="W14306" s="318"/>
      <c r="X14306" s="318"/>
      <c r="Y14306" s="318"/>
      <c r="Z14306" s="318"/>
      <c r="AA14306" s="318"/>
      <c r="AB14306" s="318"/>
      <c r="AC14306" s="318"/>
      <c r="AD14306" s="318"/>
    </row>
    <row r="14307" spans="2:30" s="323" customFormat="1" ht="12" customHeight="1">
      <c r="B14307" s="324"/>
      <c r="C14307" s="325"/>
      <c r="D14307" s="326"/>
      <c r="E14307" s="326"/>
      <c r="F14307" s="326"/>
      <c r="G14307" s="326"/>
      <c r="H14307" s="326"/>
      <c r="P14307" s="318"/>
      <c r="Q14307" s="318"/>
      <c r="R14307" s="318"/>
      <c r="S14307" s="318"/>
      <c r="T14307" s="318"/>
      <c r="U14307" s="318"/>
      <c r="V14307" s="318"/>
      <c r="W14307" s="318"/>
      <c r="X14307" s="318"/>
      <c r="Y14307" s="318"/>
      <c r="Z14307" s="318"/>
      <c r="AA14307" s="318"/>
      <c r="AB14307" s="318"/>
      <c r="AC14307" s="318"/>
      <c r="AD14307" s="318"/>
    </row>
    <row r="14308" spans="2:30" s="323" customFormat="1" ht="12" customHeight="1">
      <c r="B14308" s="324"/>
      <c r="C14308" s="325"/>
      <c r="D14308" s="326"/>
      <c r="E14308" s="326"/>
      <c r="F14308" s="326"/>
      <c r="G14308" s="326"/>
      <c r="H14308" s="326"/>
      <c r="P14308" s="318"/>
      <c r="Q14308" s="318"/>
      <c r="R14308" s="318"/>
      <c r="S14308" s="318"/>
      <c r="T14308" s="318"/>
      <c r="U14308" s="318"/>
      <c r="V14308" s="318"/>
      <c r="W14308" s="318"/>
      <c r="X14308" s="318"/>
      <c r="Y14308" s="318"/>
      <c r="Z14308" s="318"/>
      <c r="AA14308" s="318"/>
      <c r="AB14308" s="318"/>
      <c r="AC14308" s="318"/>
      <c r="AD14308" s="318"/>
    </row>
    <row r="14309" spans="2:30" s="323" customFormat="1" ht="12" customHeight="1">
      <c r="B14309" s="324"/>
      <c r="C14309" s="325"/>
      <c r="D14309" s="326"/>
      <c r="E14309" s="326"/>
      <c r="F14309" s="326"/>
      <c r="G14309" s="326"/>
      <c r="H14309" s="326"/>
      <c r="P14309" s="318"/>
      <c r="Q14309" s="318"/>
      <c r="R14309" s="318"/>
      <c r="S14309" s="318"/>
      <c r="T14309" s="318"/>
      <c r="U14309" s="318"/>
      <c r="V14309" s="318"/>
      <c r="W14309" s="318"/>
      <c r="X14309" s="318"/>
      <c r="Y14309" s="318"/>
      <c r="Z14309" s="318"/>
      <c r="AA14309" s="318"/>
      <c r="AB14309" s="318"/>
      <c r="AC14309" s="318"/>
      <c r="AD14309" s="318"/>
    </row>
    <row r="14310" spans="2:30" s="323" customFormat="1" ht="12" customHeight="1">
      <c r="B14310" s="324"/>
      <c r="C14310" s="325"/>
      <c r="D14310" s="326"/>
      <c r="E14310" s="326"/>
      <c r="F14310" s="326"/>
      <c r="G14310" s="326"/>
      <c r="H14310" s="326"/>
      <c r="P14310" s="318"/>
      <c r="Q14310" s="318"/>
      <c r="R14310" s="318"/>
      <c r="S14310" s="318"/>
      <c r="T14310" s="318"/>
      <c r="U14310" s="318"/>
      <c r="V14310" s="318"/>
      <c r="W14310" s="318"/>
      <c r="X14310" s="318"/>
      <c r="Y14310" s="318"/>
      <c r="Z14310" s="318"/>
      <c r="AA14310" s="318"/>
      <c r="AB14310" s="318"/>
      <c r="AC14310" s="318"/>
      <c r="AD14310" s="318"/>
    </row>
    <row r="14311" spans="2:30" s="323" customFormat="1" ht="12" customHeight="1">
      <c r="B14311" s="324"/>
      <c r="C14311" s="325"/>
      <c r="D14311" s="326"/>
      <c r="E14311" s="326"/>
      <c r="F14311" s="326"/>
      <c r="G14311" s="326"/>
      <c r="H14311" s="326"/>
      <c r="P14311" s="318"/>
      <c r="Q14311" s="318"/>
      <c r="R14311" s="318"/>
      <c r="S14311" s="318"/>
      <c r="T14311" s="318"/>
      <c r="U14311" s="318"/>
      <c r="V14311" s="318"/>
      <c r="W14311" s="318"/>
      <c r="X14311" s="318"/>
      <c r="Y14311" s="318"/>
      <c r="Z14311" s="318"/>
      <c r="AA14311" s="318"/>
      <c r="AB14311" s="318"/>
      <c r="AC14311" s="318"/>
      <c r="AD14311" s="318"/>
    </row>
    <row r="14312" spans="2:30" s="323" customFormat="1" ht="12" customHeight="1">
      <c r="B14312" s="324"/>
      <c r="C14312" s="325"/>
      <c r="D14312" s="326"/>
      <c r="E14312" s="326"/>
      <c r="F14312" s="326"/>
      <c r="G14312" s="326"/>
      <c r="H14312" s="326"/>
      <c r="P14312" s="318"/>
      <c r="Q14312" s="318"/>
      <c r="R14312" s="318"/>
      <c r="S14312" s="318"/>
      <c r="T14312" s="318"/>
      <c r="U14312" s="318"/>
      <c r="V14312" s="318"/>
      <c r="W14312" s="318"/>
      <c r="X14312" s="318"/>
      <c r="Y14312" s="318"/>
      <c r="Z14312" s="318"/>
      <c r="AA14312" s="318"/>
      <c r="AB14312" s="318"/>
      <c r="AC14312" s="318"/>
      <c r="AD14312" s="318"/>
    </row>
    <row r="14313" spans="2:30" s="323" customFormat="1" ht="12" customHeight="1">
      <c r="B14313" s="324"/>
      <c r="C14313" s="325"/>
      <c r="D14313" s="326"/>
      <c r="E14313" s="326"/>
      <c r="F14313" s="326"/>
      <c r="G14313" s="326"/>
      <c r="H14313" s="326"/>
      <c r="P14313" s="318"/>
      <c r="Q14313" s="318"/>
      <c r="R14313" s="318"/>
      <c r="S14313" s="318"/>
      <c r="T14313" s="318"/>
      <c r="U14313" s="318"/>
      <c r="V14313" s="318"/>
      <c r="W14313" s="318"/>
      <c r="X14313" s="318"/>
      <c r="Y14313" s="318"/>
      <c r="Z14313" s="318"/>
      <c r="AA14313" s="318"/>
      <c r="AB14313" s="318"/>
      <c r="AC14313" s="318"/>
      <c r="AD14313" s="318"/>
    </row>
    <row r="14314" spans="2:30" s="323" customFormat="1" ht="12" customHeight="1">
      <c r="B14314" s="324"/>
      <c r="C14314" s="325"/>
      <c r="D14314" s="326"/>
      <c r="E14314" s="326"/>
      <c r="F14314" s="326"/>
      <c r="G14314" s="326"/>
      <c r="H14314" s="326"/>
      <c r="P14314" s="318"/>
      <c r="Q14314" s="318"/>
      <c r="R14314" s="318"/>
      <c r="S14314" s="318"/>
      <c r="T14314" s="318"/>
      <c r="U14314" s="318"/>
      <c r="V14314" s="318"/>
      <c r="W14314" s="318"/>
      <c r="X14314" s="318"/>
      <c r="Y14314" s="318"/>
      <c r="Z14314" s="318"/>
      <c r="AA14314" s="318"/>
      <c r="AB14314" s="318"/>
      <c r="AC14314" s="318"/>
      <c r="AD14314" s="318"/>
    </row>
    <row r="14315" spans="2:30" s="323" customFormat="1" ht="12" customHeight="1">
      <c r="B14315" s="324"/>
      <c r="C14315" s="325"/>
      <c r="D14315" s="326"/>
      <c r="E14315" s="326"/>
      <c r="F14315" s="326"/>
      <c r="G14315" s="326"/>
      <c r="H14315" s="326"/>
      <c r="P14315" s="318"/>
      <c r="Q14315" s="318"/>
      <c r="R14315" s="318"/>
      <c r="S14315" s="318"/>
      <c r="T14315" s="318"/>
      <c r="U14315" s="318"/>
      <c r="V14315" s="318"/>
      <c r="W14315" s="318"/>
      <c r="X14315" s="318"/>
      <c r="Y14315" s="318"/>
      <c r="Z14315" s="318"/>
      <c r="AA14315" s="318"/>
      <c r="AB14315" s="318"/>
      <c r="AC14315" s="318"/>
      <c r="AD14315" s="318"/>
    </row>
    <row r="14316" spans="2:30" s="323" customFormat="1" ht="12" customHeight="1">
      <c r="B14316" s="324"/>
      <c r="C14316" s="325"/>
      <c r="D14316" s="326"/>
      <c r="E14316" s="326"/>
      <c r="F14316" s="326"/>
      <c r="G14316" s="326"/>
      <c r="H14316" s="326"/>
      <c r="P14316" s="318"/>
      <c r="Q14316" s="318"/>
      <c r="R14316" s="318"/>
      <c r="S14316" s="318"/>
      <c r="T14316" s="318"/>
      <c r="U14316" s="318"/>
      <c r="V14316" s="318"/>
      <c r="W14316" s="318"/>
      <c r="X14316" s="318"/>
      <c r="Y14316" s="318"/>
      <c r="Z14316" s="318"/>
      <c r="AA14316" s="318"/>
      <c r="AB14316" s="318"/>
      <c r="AC14316" s="318"/>
      <c r="AD14316" s="318"/>
    </row>
    <row r="14317" spans="2:30" s="323" customFormat="1" ht="12" customHeight="1">
      <c r="B14317" s="324"/>
      <c r="C14317" s="325"/>
      <c r="D14317" s="326"/>
      <c r="E14317" s="326"/>
      <c r="F14317" s="326"/>
      <c r="G14317" s="326"/>
      <c r="H14317" s="326"/>
      <c r="P14317" s="318"/>
      <c r="Q14317" s="318"/>
      <c r="R14317" s="318"/>
      <c r="S14317" s="318"/>
      <c r="T14317" s="318"/>
      <c r="U14317" s="318"/>
      <c r="V14317" s="318"/>
      <c r="W14317" s="318"/>
      <c r="X14317" s="318"/>
      <c r="Y14317" s="318"/>
      <c r="Z14317" s="318"/>
      <c r="AA14317" s="318"/>
      <c r="AB14317" s="318"/>
      <c r="AC14317" s="318"/>
      <c r="AD14317" s="318"/>
    </row>
    <row r="14318" spans="2:30" s="323" customFormat="1" ht="12" customHeight="1">
      <c r="B14318" s="324"/>
      <c r="C14318" s="325"/>
      <c r="D14318" s="326"/>
      <c r="E14318" s="326"/>
      <c r="F14318" s="326"/>
      <c r="G14318" s="326"/>
      <c r="H14318" s="326"/>
      <c r="P14318" s="318"/>
      <c r="Q14318" s="318"/>
      <c r="R14318" s="318"/>
      <c r="S14318" s="318"/>
      <c r="T14318" s="318"/>
      <c r="U14318" s="318"/>
      <c r="V14318" s="318"/>
      <c r="W14318" s="318"/>
      <c r="X14318" s="318"/>
      <c r="Y14318" s="318"/>
      <c r="Z14318" s="318"/>
      <c r="AA14318" s="318"/>
      <c r="AB14318" s="318"/>
      <c r="AC14318" s="318"/>
      <c r="AD14318" s="318"/>
    </row>
    <row r="14319" spans="2:30" s="323" customFormat="1" ht="12" customHeight="1">
      <c r="B14319" s="324"/>
      <c r="C14319" s="325"/>
      <c r="D14319" s="326"/>
      <c r="E14319" s="326"/>
      <c r="F14319" s="326"/>
      <c r="G14319" s="326"/>
      <c r="H14319" s="326"/>
      <c r="P14319" s="318"/>
      <c r="Q14319" s="318"/>
      <c r="R14319" s="318"/>
      <c r="S14319" s="318"/>
      <c r="T14319" s="318"/>
      <c r="U14319" s="318"/>
      <c r="V14319" s="318"/>
      <c r="W14319" s="318"/>
      <c r="X14319" s="318"/>
      <c r="Y14319" s="318"/>
      <c r="Z14319" s="318"/>
      <c r="AA14319" s="318"/>
      <c r="AB14319" s="318"/>
      <c r="AC14319" s="318"/>
      <c r="AD14319" s="318"/>
    </row>
    <row r="14320" spans="2:30" s="323" customFormat="1" ht="12" customHeight="1">
      <c r="B14320" s="324"/>
      <c r="C14320" s="325"/>
      <c r="D14320" s="326"/>
      <c r="E14320" s="326"/>
      <c r="F14320" s="326"/>
      <c r="G14320" s="326"/>
      <c r="H14320" s="326"/>
      <c r="P14320" s="318"/>
      <c r="Q14320" s="318"/>
      <c r="R14320" s="318"/>
      <c r="S14320" s="318"/>
      <c r="T14320" s="318"/>
      <c r="U14320" s="318"/>
      <c r="V14320" s="318"/>
      <c r="W14320" s="318"/>
      <c r="X14320" s="318"/>
      <c r="Y14320" s="318"/>
      <c r="Z14320" s="318"/>
      <c r="AA14320" s="318"/>
      <c r="AB14320" s="318"/>
      <c r="AC14320" s="318"/>
      <c r="AD14320" s="318"/>
    </row>
    <row r="14321" spans="2:30" s="323" customFormat="1" ht="12" customHeight="1">
      <c r="B14321" s="324"/>
      <c r="C14321" s="325"/>
      <c r="D14321" s="326"/>
      <c r="E14321" s="326"/>
      <c r="F14321" s="326"/>
      <c r="G14321" s="326"/>
      <c r="H14321" s="326"/>
      <c r="P14321" s="318"/>
      <c r="Q14321" s="318"/>
      <c r="R14321" s="318"/>
      <c r="S14321" s="318"/>
      <c r="T14321" s="318"/>
      <c r="U14321" s="318"/>
      <c r="V14321" s="318"/>
      <c r="W14321" s="318"/>
      <c r="X14321" s="318"/>
      <c r="Y14321" s="318"/>
      <c r="Z14321" s="318"/>
      <c r="AA14321" s="318"/>
      <c r="AB14321" s="318"/>
      <c r="AC14321" s="318"/>
      <c r="AD14321" s="318"/>
    </row>
    <row r="14322" spans="2:30" s="323" customFormat="1" ht="12" customHeight="1">
      <c r="B14322" s="324"/>
      <c r="C14322" s="325"/>
      <c r="D14322" s="326"/>
      <c r="E14322" s="326"/>
      <c r="F14322" s="326"/>
      <c r="G14322" s="326"/>
      <c r="H14322" s="326"/>
      <c r="P14322" s="318"/>
      <c r="Q14322" s="318"/>
      <c r="R14322" s="318"/>
      <c r="S14322" s="318"/>
      <c r="T14322" s="318"/>
      <c r="U14322" s="318"/>
      <c r="V14322" s="318"/>
      <c r="W14322" s="318"/>
      <c r="X14322" s="318"/>
      <c r="Y14322" s="318"/>
      <c r="Z14322" s="318"/>
      <c r="AA14322" s="318"/>
      <c r="AB14322" s="318"/>
      <c r="AC14322" s="318"/>
      <c r="AD14322" s="318"/>
    </row>
    <row r="14323" spans="2:30" s="323" customFormat="1" ht="12" customHeight="1">
      <c r="B14323" s="324"/>
      <c r="C14323" s="325"/>
      <c r="D14323" s="326"/>
      <c r="E14323" s="326"/>
      <c r="F14323" s="326"/>
      <c r="G14323" s="326"/>
      <c r="H14323" s="326"/>
      <c r="P14323" s="318"/>
      <c r="Q14323" s="318"/>
      <c r="R14323" s="318"/>
      <c r="S14323" s="318"/>
      <c r="T14323" s="318"/>
      <c r="U14323" s="318"/>
      <c r="V14323" s="318"/>
      <c r="W14323" s="318"/>
      <c r="X14323" s="318"/>
      <c r="Y14323" s="318"/>
      <c r="Z14323" s="318"/>
      <c r="AA14323" s="318"/>
      <c r="AB14323" s="318"/>
      <c r="AC14323" s="318"/>
      <c r="AD14323" s="318"/>
    </row>
    <row r="14324" spans="2:30" s="323" customFormat="1" ht="12" customHeight="1">
      <c r="B14324" s="324"/>
      <c r="C14324" s="325"/>
      <c r="D14324" s="326"/>
      <c r="E14324" s="326"/>
      <c r="F14324" s="326"/>
      <c r="G14324" s="326"/>
      <c r="H14324" s="326"/>
      <c r="P14324" s="318"/>
      <c r="Q14324" s="318"/>
      <c r="R14324" s="318"/>
      <c r="S14324" s="318"/>
      <c r="T14324" s="318"/>
      <c r="U14324" s="318"/>
      <c r="V14324" s="318"/>
      <c r="W14324" s="318"/>
      <c r="X14324" s="318"/>
      <c r="Y14324" s="318"/>
      <c r="Z14324" s="318"/>
      <c r="AA14324" s="318"/>
      <c r="AB14324" s="318"/>
      <c r="AC14324" s="318"/>
      <c r="AD14324" s="318"/>
    </row>
    <row r="14325" spans="2:30" s="323" customFormat="1" ht="12" customHeight="1">
      <c r="B14325" s="324"/>
      <c r="C14325" s="325"/>
      <c r="D14325" s="326"/>
      <c r="E14325" s="326"/>
      <c r="F14325" s="326"/>
      <c r="G14325" s="326"/>
      <c r="H14325" s="326"/>
      <c r="P14325" s="318"/>
      <c r="Q14325" s="318"/>
      <c r="R14325" s="318"/>
      <c r="S14325" s="318"/>
      <c r="T14325" s="318"/>
      <c r="U14325" s="318"/>
      <c r="V14325" s="318"/>
      <c r="W14325" s="318"/>
      <c r="X14325" s="318"/>
      <c r="Y14325" s="318"/>
      <c r="Z14325" s="318"/>
      <c r="AA14325" s="318"/>
      <c r="AB14325" s="318"/>
      <c r="AC14325" s="318"/>
      <c r="AD14325" s="318"/>
    </row>
    <row r="14326" spans="2:30" s="323" customFormat="1" ht="12" customHeight="1">
      <c r="B14326" s="324"/>
      <c r="C14326" s="325"/>
      <c r="D14326" s="326"/>
      <c r="E14326" s="326"/>
      <c r="F14326" s="326"/>
      <c r="G14326" s="326"/>
      <c r="H14326" s="326"/>
      <c r="P14326" s="318"/>
      <c r="Q14326" s="318"/>
      <c r="R14326" s="318"/>
      <c r="S14326" s="318"/>
      <c r="T14326" s="318"/>
      <c r="U14326" s="318"/>
      <c r="V14326" s="318"/>
      <c r="W14326" s="318"/>
      <c r="X14326" s="318"/>
      <c r="Y14326" s="318"/>
      <c r="Z14326" s="318"/>
      <c r="AA14326" s="318"/>
      <c r="AB14326" s="318"/>
      <c r="AC14326" s="318"/>
      <c r="AD14326" s="318"/>
    </row>
    <row r="14327" spans="2:30" s="323" customFormat="1" ht="12" customHeight="1">
      <c r="B14327" s="324"/>
      <c r="C14327" s="325"/>
      <c r="D14327" s="326"/>
      <c r="E14327" s="326"/>
      <c r="F14327" s="326"/>
      <c r="G14327" s="326"/>
      <c r="H14327" s="326"/>
      <c r="P14327" s="318"/>
      <c r="Q14327" s="318"/>
      <c r="R14327" s="318"/>
      <c r="S14327" s="318"/>
      <c r="T14327" s="318"/>
      <c r="U14327" s="318"/>
      <c r="V14327" s="318"/>
      <c r="W14327" s="318"/>
      <c r="X14327" s="318"/>
      <c r="Y14327" s="318"/>
      <c r="Z14327" s="318"/>
      <c r="AA14327" s="318"/>
      <c r="AB14327" s="318"/>
      <c r="AC14327" s="318"/>
      <c r="AD14327" s="318"/>
    </row>
    <row r="14328" spans="2:30" s="323" customFormat="1" ht="12" customHeight="1">
      <c r="B14328" s="324"/>
      <c r="C14328" s="325"/>
      <c r="D14328" s="326"/>
      <c r="E14328" s="326"/>
      <c r="F14328" s="326"/>
      <c r="G14328" s="326"/>
      <c r="H14328" s="326"/>
      <c r="P14328" s="318"/>
      <c r="Q14328" s="318"/>
      <c r="R14328" s="318"/>
      <c r="S14328" s="318"/>
      <c r="T14328" s="318"/>
      <c r="U14328" s="318"/>
      <c r="V14328" s="318"/>
      <c r="W14328" s="318"/>
      <c r="X14328" s="318"/>
      <c r="Y14328" s="318"/>
      <c r="Z14328" s="318"/>
      <c r="AA14328" s="318"/>
      <c r="AB14328" s="318"/>
      <c r="AC14328" s="318"/>
      <c r="AD14328" s="318"/>
    </row>
    <row r="14329" spans="2:30" s="323" customFormat="1" ht="12" customHeight="1">
      <c r="B14329" s="324"/>
      <c r="C14329" s="325"/>
      <c r="D14329" s="326"/>
      <c r="E14329" s="326"/>
      <c r="F14329" s="326"/>
      <c r="G14329" s="326"/>
      <c r="H14329" s="326"/>
      <c r="P14329" s="318"/>
      <c r="Q14329" s="318"/>
      <c r="R14329" s="318"/>
      <c r="S14329" s="318"/>
      <c r="T14329" s="318"/>
      <c r="U14329" s="318"/>
      <c r="V14329" s="318"/>
      <c r="W14329" s="318"/>
      <c r="X14329" s="318"/>
      <c r="Y14329" s="318"/>
      <c r="Z14329" s="318"/>
      <c r="AA14329" s="318"/>
      <c r="AB14329" s="318"/>
      <c r="AC14329" s="318"/>
      <c r="AD14329" s="318"/>
    </row>
    <row r="14330" spans="2:30" s="323" customFormat="1" ht="12" customHeight="1">
      <c r="B14330" s="324"/>
      <c r="C14330" s="325"/>
      <c r="D14330" s="326"/>
      <c r="E14330" s="326"/>
      <c r="F14330" s="326"/>
      <c r="G14330" s="326"/>
      <c r="H14330" s="326"/>
      <c r="P14330" s="318"/>
      <c r="Q14330" s="318"/>
      <c r="R14330" s="318"/>
      <c r="S14330" s="318"/>
      <c r="T14330" s="318"/>
      <c r="U14330" s="318"/>
      <c r="V14330" s="318"/>
      <c r="W14330" s="318"/>
      <c r="X14330" s="318"/>
      <c r="Y14330" s="318"/>
      <c r="Z14330" s="318"/>
      <c r="AA14330" s="318"/>
      <c r="AB14330" s="318"/>
      <c r="AC14330" s="318"/>
      <c r="AD14330" s="318"/>
    </row>
    <row r="14331" spans="2:30" s="323" customFormat="1" ht="12" customHeight="1">
      <c r="B14331" s="324"/>
      <c r="C14331" s="325"/>
      <c r="D14331" s="326"/>
      <c r="E14331" s="326"/>
      <c r="F14331" s="326"/>
      <c r="G14331" s="326"/>
      <c r="H14331" s="326"/>
      <c r="P14331" s="318"/>
      <c r="Q14331" s="318"/>
      <c r="R14331" s="318"/>
      <c r="S14331" s="318"/>
      <c r="T14331" s="318"/>
      <c r="U14331" s="318"/>
      <c r="V14331" s="318"/>
      <c r="W14331" s="318"/>
      <c r="X14331" s="318"/>
      <c r="Y14331" s="318"/>
      <c r="Z14331" s="318"/>
      <c r="AA14331" s="318"/>
      <c r="AB14331" s="318"/>
      <c r="AC14331" s="318"/>
      <c r="AD14331" s="318"/>
    </row>
    <row r="14332" spans="2:30" s="323" customFormat="1" ht="12" customHeight="1">
      <c r="B14332" s="324"/>
      <c r="C14332" s="325"/>
      <c r="D14332" s="326"/>
      <c r="E14332" s="326"/>
      <c r="F14332" s="326"/>
      <c r="G14332" s="326"/>
      <c r="H14332" s="326"/>
      <c r="P14332" s="318"/>
      <c r="Q14332" s="318"/>
      <c r="R14332" s="318"/>
      <c r="S14332" s="318"/>
      <c r="T14332" s="318"/>
      <c r="U14332" s="318"/>
      <c r="V14332" s="318"/>
      <c r="W14332" s="318"/>
      <c r="X14332" s="318"/>
      <c r="Y14332" s="318"/>
      <c r="Z14332" s="318"/>
      <c r="AA14332" s="318"/>
      <c r="AB14332" s="318"/>
      <c r="AC14332" s="318"/>
      <c r="AD14332" s="318"/>
    </row>
    <row r="14333" spans="2:30" s="323" customFormat="1" ht="12" customHeight="1">
      <c r="B14333" s="324"/>
      <c r="C14333" s="325"/>
      <c r="D14333" s="326"/>
      <c r="E14333" s="326"/>
      <c r="F14333" s="326"/>
      <c r="G14333" s="326"/>
      <c r="H14333" s="326"/>
      <c r="P14333" s="318"/>
      <c r="Q14333" s="318"/>
      <c r="R14333" s="318"/>
      <c r="S14333" s="318"/>
      <c r="T14333" s="318"/>
      <c r="U14333" s="318"/>
      <c r="V14333" s="318"/>
      <c r="W14333" s="318"/>
      <c r="X14333" s="318"/>
      <c r="Y14333" s="318"/>
      <c r="Z14333" s="318"/>
      <c r="AA14333" s="318"/>
      <c r="AB14333" s="318"/>
      <c r="AC14333" s="318"/>
      <c r="AD14333" s="318"/>
    </row>
    <row r="14334" spans="2:30" s="323" customFormat="1" ht="12" customHeight="1">
      <c r="B14334" s="324"/>
      <c r="C14334" s="325"/>
      <c r="D14334" s="326"/>
      <c r="E14334" s="326"/>
      <c r="F14334" s="326"/>
      <c r="G14334" s="326"/>
      <c r="H14334" s="326"/>
      <c r="P14334" s="318"/>
      <c r="Q14334" s="318"/>
      <c r="R14334" s="318"/>
      <c r="S14334" s="318"/>
      <c r="T14334" s="318"/>
      <c r="U14334" s="318"/>
      <c r="V14334" s="318"/>
      <c r="W14334" s="318"/>
      <c r="X14334" s="318"/>
      <c r="Y14334" s="318"/>
      <c r="Z14334" s="318"/>
      <c r="AA14334" s="318"/>
      <c r="AB14334" s="318"/>
      <c r="AC14334" s="318"/>
      <c r="AD14334" s="318"/>
    </row>
    <row r="14335" spans="2:30" s="323" customFormat="1" ht="12" customHeight="1">
      <c r="B14335" s="324"/>
      <c r="C14335" s="325"/>
      <c r="D14335" s="326"/>
      <c r="E14335" s="326"/>
      <c r="F14335" s="326"/>
      <c r="G14335" s="326"/>
      <c r="H14335" s="326"/>
      <c r="P14335" s="318"/>
      <c r="Q14335" s="318"/>
      <c r="R14335" s="318"/>
      <c r="S14335" s="318"/>
      <c r="T14335" s="318"/>
      <c r="U14335" s="318"/>
      <c r="V14335" s="318"/>
      <c r="W14335" s="318"/>
      <c r="X14335" s="318"/>
      <c r="Y14335" s="318"/>
      <c r="Z14335" s="318"/>
      <c r="AA14335" s="318"/>
      <c r="AB14335" s="318"/>
      <c r="AC14335" s="318"/>
      <c r="AD14335" s="318"/>
    </row>
    <row r="14336" spans="2:30" s="323" customFormat="1" ht="12" customHeight="1">
      <c r="B14336" s="324"/>
      <c r="C14336" s="325"/>
      <c r="D14336" s="326"/>
      <c r="E14336" s="326"/>
      <c r="F14336" s="326"/>
      <c r="G14336" s="326"/>
      <c r="H14336" s="326"/>
      <c r="P14336" s="318"/>
      <c r="Q14336" s="318"/>
      <c r="R14336" s="318"/>
      <c r="S14336" s="318"/>
      <c r="T14336" s="318"/>
      <c r="U14336" s="318"/>
      <c r="V14336" s="318"/>
      <c r="W14336" s="318"/>
      <c r="X14336" s="318"/>
      <c r="Y14336" s="318"/>
      <c r="Z14336" s="318"/>
      <c r="AA14336" s="318"/>
      <c r="AB14336" s="318"/>
      <c r="AC14336" s="318"/>
      <c r="AD14336" s="318"/>
    </row>
    <row r="14337" spans="2:30" s="323" customFormat="1" ht="12" customHeight="1">
      <c r="B14337" s="324"/>
      <c r="C14337" s="325"/>
      <c r="D14337" s="326"/>
      <c r="E14337" s="326"/>
      <c r="F14337" s="326"/>
      <c r="G14337" s="326"/>
      <c r="H14337" s="326"/>
      <c r="P14337" s="318"/>
      <c r="Q14337" s="318"/>
      <c r="R14337" s="318"/>
      <c r="S14337" s="318"/>
      <c r="T14337" s="318"/>
      <c r="U14337" s="318"/>
      <c r="V14337" s="318"/>
      <c r="W14337" s="318"/>
      <c r="X14337" s="318"/>
      <c r="Y14337" s="318"/>
      <c r="Z14337" s="318"/>
      <c r="AA14337" s="318"/>
      <c r="AB14337" s="318"/>
      <c r="AC14337" s="318"/>
      <c r="AD14337" s="318"/>
    </row>
    <row r="14338" spans="2:30" s="323" customFormat="1" ht="12" customHeight="1">
      <c r="B14338" s="324"/>
      <c r="C14338" s="325"/>
      <c r="D14338" s="326"/>
      <c r="E14338" s="326"/>
      <c r="F14338" s="326"/>
      <c r="G14338" s="326"/>
      <c r="H14338" s="326"/>
      <c r="P14338" s="318"/>
      <c r="Q14338" s="318"/>
      <c r="R14338" s="318"/>
      <c r="S14338" s="318"/>
      <c r="T14338" s="318"/>
      <c r="U14338" s="318"/>
      <c r="V14338" s="318"/>
      <c r="W14338" s="318"/>
      <c r="X14338" s="318"/>
      <c r="Y14338" s="318"/>
      <c r="Z14338" s="318"/>
      <c r="AA14338" s="318"/>
      <c r="AB14338" s="318"/>
      <c r="AC14338" s="318"/>
      <c r="AD14338" s="318"/>
    </row>
    <row r="14339" spans="2:30" s="323" customFormat="1" ht="12" customHeight="1">
      <c r="B14339" s="324"/>
      <c r="C14339" s="325"/>
      <c r="D14339" s="326"/>
      <c r="E14339" s="326"/>
      <c r="F14339" s="326"/>
      <c r="G14339" s="326"/>
      <c r="H14339" s="326"/>
      <c r="P14339" s="318"/>
      <c r="Q14339" s="318"/>
      <c r="R14339" s="318"/>
      <c r="S14339" s="318"/>
      <c r="T14339" s="318"/>
      <c r="U14339" s="318"/>
      <c r="V14339" s="318"/>
      <c r="W14339" s="318"/>
      <c r="X14339" s="318"/>
      <c r="Y14339" s="318"/>
      <c r="Z14339" s="318"/>
      <c r="AA14339" s="318"/>
      <c r="AB14339" s="318"/>
      <c r="AC14339" s="318"/>
      <c r="AD14339" s="318"/>
    </row>
    <row r="14340" spans="2:30" s="323" customFormat="1" ht="12" customHeight="1">
      <c r="B14340" s="324"/>
      <c r="C14340" s="325"/>
      <c r="D14340" s="326"/>
      <c r="E14340" s="326"/>
      <c r="F14340" s="326"/>
      <c r="G14340" s="326"/>
      <c r="H14340" s="326"/>
      <c r="P14340" s="318"/>
      <c r="Q14340" s="318"/>
      <c r="R14340" s="318"/>
      <c r="S14340" s="318"/>
      <c r="T14340" s="318"/>
      <c r="U14340" s="318"/>
      <c r="V14340" s="318"/>
      <c r="W14340" s="318"/>
      <c r="X14340" s="318"/>
      <c r="Y14340" s="318"/>
      <c r="Z14340" s="318"/>
      <c r="AA14340" s="318"/>
      <c r="AB14340" s="318"/>
      <c r="AC14340" s="318"/>
      <c r="AD14340" s="318"/>
    </row>
    <row r="14341" spans="2:30" s="323" customFormat="1" ht="12" customHeight="1">
      <c r="B14341" s="324"/>
      <c r="C14341" s="325"/>
      <c r="D14341" s="326"/>
      <c r="E14341" s="326"/>
      <c r="F14341" s="326"/>
      <c r="G14341" s="326"/>
      <c r="H14341" s="326"/>
      <c r="P14341" s="318"/>
      <c r="Q14341" s="318"/>
      <c r="R14341" s="318"/>
      <c r="S14341" s="318"/>
      <c r="T14341" s="318"/>
      <c r="U14341" s="318"/>
      <c r="V14341" s="318"/>
      <c r="W14341" s="318"/>
      <c r="X14341" s="318"/>
      <c r="Y14341" s="318"/>
      <c r="Z14341" s="318"/>
      <c r="AA14341" s="318"/>
      <c r="AB14341" s="318"/>
      <c r="AC14341" s="318"/>
      <c r="AD14341" s="318"/>
    </row>
    <row r="14342" spans="2:30" s="323" customFormat="1" ht="12" customHeight="1">
      <c r="B14342" s="324"/>
      <c r="C14342" s="325"/>
      <c r="D14342" s="326"/>
      <c r="E14342" s="326"/>
      <c r="F14342" s="326"/>
      <c r="G14342" s="326"/>
      <c r="H14342" s="326"/>
      <c r="P14342" s="318"/>
      <c r="Q14342" s="318"/>
      <c r="R14342" s="318"/>
      <c r="S14342" s="318"/>
      <c r="T14342" s="318"/>
      <c r="U14342" s="318"/>
      <c r="V14342" s="318"/>
      <c r="W14342" s="318"/>
      <c r="X14342" s="318"/>
      <c r="Y14342" s="318"/>
      <c r="Z14342" s="318"/>
      <c r="AA14342" s="318"/>
      <c r="AB14342" s="318"/>
      <c r="AC14342" s="318"/>
      <c r="AD14342" s="318"/>
    </row>
    <row r="14343" spans="2:30" s="323" customFormat="1" ht="12" customHeight="1">
      <c r="B14343" s="324"/>
      <c r="C14343" s="325"/>
      <c r="D14343" s="326"/>
      <c r="E14343" s="326"/>
      <c r="F14343" s="326"/>
      <c r="G14343" s="326"/>
      <c r="H14343" s="326"/>
      <c r="P14343" s="318"/>
      <c r="Q14343" s="318"/>
      <c r="R14343" s="318"/>
      <c r="S14343" s="318"/>
      <c r="T14343" s="318"/>
      <c r="U14343" s="318"/>
      <c r="V14343" s="318"/>
      <c r="W14343" s="318"/>
      <c r="X14343" s="318"/>
      <c r="Y14343" s="318"/>
      <c r="Z14343" s="318"/>
      <c r="AA14343" s="318"/>
      <c r="AB14343" s="318"/>
      <c r="AC14343" s="318"/>
      <c r="AD14343" s="318"/>
    </row>
    <row r="14344" spans="2:30" s="323" customFormat="1" ht="12" customHeight="1">
      <c r="B14344" s="324"/>
      <c r="C14344" s="325"/>
      <c r="D14344" s="326"/>
      <c r="E14344" s="326"/>
      <c r="F14344" s="326"/>
      <c r="G14344" s="326"/>
      <c r="H14344" s="326"/>
      <c r="P14344" s="318"/>
      <c r="Q14344" s="318"/>
      <c r="R14344" s="318"/>
      <c r="S14344" s="318"/>
      <c r="T14344" s="318"/>
      <c r="U14344" s="318"/>
      <c r="V14344" s="318"/>
      <c r="W14344" s="318"/>
      <c r="X14344" s="318"/>
      <c r="Y14344" s="318"/>
      <c r="Z14344" s="318"/>
      <c r="AA14344" s="318"/>
      <c r="AB14344" s="318"/>
      <c r="AC14344" s="318"/>
      <c r="AD14344" s="318"/>
    </row>
    <row r="14345" spans="2:30" s="323" customFormat="1" ht="12" customHeight="1">
      <c r="B14345" s="324"/>
      <c r="C14345" s="325"/>
      <c r="D14345" s="326"/>
      <c r="E14345" s="326"/>
      <c r="F14345" s="326"/>
      <c r="G14345" s="326"/>
      <c r="H14345" s="326"/>
      <c r="P14345" s="318"/>
      <c r="Q14345" s="318"/>
      <c r="R14345" s="318"/>
      <c r="S14345" s="318"/>
      <c r="T14345" s="318"/>
      <c r="U14345" s="318"/>
      <c r="V14345" s="318"/>
      <c r="W14345" s="318"/>
      <c r="X14345" s="318"/>
      <c r="Y14345" s="318"/>
      <c r="Z14345" s="318"/>
      <c r="AA14345" s="318"/>
      <c r="AB14345" s="318"/>
      <c r="AC14345" s="318"/>
      <c r="AD14345" s="318"/>
    </row>
    <row r="14346" spans="2:30" s="323" customFormat="1" ht="12" customHeight="1">
      <c r="B14346" s="324"/>
      <c r="C14346" s="325"/>
      <c r="D14346" s="326"/>
      <c r="E14346" s="326"/>
      <c r="F14346" s="326"/>
      <c r="G14346" s="326"/>
      <c r="H14346" s="326"/>
      <c r="P14346" s="318"/>
      <c r="Q14346" s="318"/>
      <c r="R14346" s="318"/>
      <c r="S14346" s="318"/>
      <c r="T14346" s="318"/>
      <c r="U14346" s="318"/>
      <c r="V14346" s="318"/>
      <c r="W14346" s="318"/>
      <c r="X14346" s="318"/>
      <c r="Y14346" s="318"/>
      <c r="Z14346" s="318"/>
      <c r="AA14346" s="318"/>
      <c r="AB14346" s="318"/>
      <c r="AC14346" s="318"/>
      <c r="AD14346" s="318"/>
    </row>
    <row r="14347" spans="2:30" s="323" customFormat="1" ht="12" customHeight="1">
      <c r="B14347" s="324"/>
      <c r="C14347" s="325"/>
      <c r="D14347" s="326"/>
      <c r="E14347" s="326"/>
      <c r="F14347" s="326"/>
      <c r="G14347" s="326"/>
      <c r="H14347" s="326"/>
      <c r="P14347" s="318"/>
      <c r="Q14347" s="318"/>
      <c r="R14347" s="318"/>
      <c r="S14347" s="318"/>
      <c r="T14347" s="318"/>
      <c r="U14347" s="318"/>
      <c r="V14347" s="318"/>
      <c r="W14347" s="318"/>
      <c r="X14347" s="318"/>
      <c r="Y14347" s="318"/>
      <c r="Z14347" s="318"/>
      <c r="AA14347" s="318"/>
      <c r="AB14347" s="318"/>
      <c r="AC14347" s="318"/>
      <c r="AD14347" s="318"/>
    </row>
    <row r="14348" spans="2:30" s="323" customFormat="1" ht="12" customHeight="1">
      <c r="B14348" s="324"/>
      <c r="C14348" s="325"/>
      <c r="D14348" s="326"/>
      <c r="E14348" s="326"/>
      <c r="F14348" s="326"/>
      <c r="G14348" s="326"/>
      <c r="H14348" s="326"/>
      <c r="P14348" s="318"/>
      <c r="Q14348" s="318"/>
      <c r="R14348" s="318"/>
      <c r="S14348" s="318"/>
      <c r="T14348" s="318"/>
      <c r="U14348" s="318"/>
      <c r="V14348" s="318"/>
      <c r="W14348" s="318"/>
      <c r="X14348" s="318"/>
      <c r="Y14348" s="318"/>
      <c r="Z14348" s="318"/>
      <c r="AA14348" s="318"/>
      <c r="AB14348" s="318"/>
      <c r="AC14348" s="318"/>
      <c r="AD14348" s="318"/>
    </row>
    <row r="14349" spans="2:30" s="323" customFormat="1" ht="12" customHeight="1">
      <c r="B14349" s="324"/>
      <c r="C14349" s="325"/>
      <c r="D14349" s="326"/>
      <c r="E14349" s="326"/>
      <c r="F14349" s="326"/>
      <c r="G14349" s="326"/>
      <c r="H14349" s="326"/>
      <c r="P14349" s="318"/>
      <c r="Q14349" s="318"/>
      <c r="R14349" s="318"/>
      <c r="S14349" s="318"/>
      <c r="T14349" s="318"/>
      <c r="U14349" s="318"/>
      <c r="V14349" s="318"/>
      <c r="W14349" s="318"/>
      <c r="X14349" s="318"/>
      <c r="Y14349" s="318"/>
      <c r="Z14349" s="318"/>
      <c r="AA14349" s="318"/>
      <c r="AB14349" s="318"/>
      <c r="AC14349" s="318"/>
      <c r="AD14349" s="318"/>
    </row>
    <row r="14350" spans="2:30" s="323" customFormat="1" ht="12" customHeight="1">
      <c r="B14350" s="324"/>
      <c r="C14350" s="325"/>
      <c r="D14350" s="326"/>
      <c r="E14350" s="326"/>
      <c r="F14350" s="326"/>
      <c r="G14350" s="326"/>
      <c r="H14350" s="326"/>
      <c r="P14350" s="318"/>
      <c r="Q14350" s="318"/>
      <c r="R14350" s="318"/>
      <c r="S14350" s="318"/>
      <c r="T14350" s="318"/>
      <c r="U14350" s="318"/>
      <c r="V14350" s="318"/>
      <c r="W14350" s="318"/>
      <c r="X14350" s="318"/>
      <c r="Y14350" s="318"/>
      <c r="Z14350" s="318"/>
      <c r="AA14350" s="318"/>
      <c r="AB14350" s="318"/>
      <c r="AC14350" s="318"/>
      <c r="AD14350" s="318"/>
    </row>
    <row r="14351" spans="2:30" s="323" customFormat="1" ht="12" customHeight="1">
      <c r="B14351" s="324"/>
      <c r="C14351" s="325"/>
      <c r="D14351" s="326"/>
      <c r="E14351" s="326"/>
      <c r="F14351" s="326"/>
      <c r="G14351" s="326"/>
      <c r="H14351" s="326"/>
      <c r="P14351" s="318"/>
      <c r="Q14351" s="318"/>
      <c r="R14351" s="318"/>
      <c r="S14351" s="318"/>
      <c r="T14351" s="318"/>
      <c r="U14351" s="318"/>
      <c r="V14351" s="318"/>
      <c r="W14351" s="318"/>
      <c r="X14351" s="318"/>
      <c r="Y14351" s="318"/>
      <c r="Z14351" s="318"/>
      <c r="AA14351" s="318"/>
      <c r="AB14351" s="318"/>
      <c r="AC14351" s="318"/>
      <c r="AD14351" s="318"/>
    </row>
    <row r="14352" spans="2:30" s="323" customFormat="1" ht="12" customHeight="1">
      <c r="B14352" s="324"/>
      <c r="C14352" s="325"/>
      <c r="D14352" s="326"/>
      <c r="E14352" s="326"/>
      <c r="F14352" s="326"/>
      <c r="G14352" s="326"/>
      <c r="H14352" s="326"/>
      <c r="P14352" s="318"/>
      <c r="Q14352" s="318"/>
      <c r="R14352" s="318"/>
      <c r="S14352" s="318"/>
      <c r="T14352" s="318"/>
      <c r="U14352" s="318"/>
      <c r="V14352" s="318"/>
      <c r="W14352" s="318"/>
      <c r="X14352" s="318"/>
      <c r="Y14352" s="318"/>
      <c r="Z14352" s="318"/>
      <c r="AA14352" s="318"/>
      <c r="AB14352" s="318"/>
      <c r="AC14352" s="318"/>
      <c r="AD14352" s="318"/>
    </row>
    <row r="14353" spans="2:30" s="323" customFormat="1" ht="12" customHeight="1">
      <c r="B14353" s="324"/>
      <c r="C14353" s="325"/>
      <c r="D14353" s="326"/>
      <c r="E14353" s="326"/>
      <c r="F14353" s="326"/>
      <c r="G14353" s="326"/>
      <c r="H14353" s="326"/>
      <c r="P14353" s="318"/>
      <c r="Q14353" s="318"/>
      <c r="R14353" s="318"/>
      <c r="S14353" s="318"/>
      <c r="T14353" s="318"/>
      <c r="U14353" s="318"/>
      <c r="V14353" s="318"/>
      <c r="W14353" s="318"/>
      <c r="X14353" s="318"/>
      <c r="Y14353" s="318"/>
      <c r="Z14353" s="318"/>
      <c r="AA14353" s="318"/>
      <c r="AB14353" s="318"/>
      <c r="AC14353" s="318"/>
      <c r="AD14353" s="318"/>
    </row>
    <row r="14354" spans="2:30" s="323" customFormat="1" ht="12" customHeight="1">
      <c r="B14354" s="324"/>
      <c r="C14354" s="325"/>
      <c r="D14354" s="326"/>
      <c r="E14354" s="326"/>
      <c r="F14354" s="326"/>
      <c r="G14354" s="326"/>
      <c r="H14354" s="326"/>
      <c r="P14354" s="318"/>
      <c r="Q14354" s="318"/>
      <c r="R14354" s="318"/>
      <c r="S14354" s="318"/>
      <c r="T14354" s="318"/>
      <c r="U14354" s="318"/>
      <c r="V14354" s="318"/>
      <c r="W14354" s="318"/>
      <c r="X14354" s="318"/>
      <c r="Y14354" s="318"/>
      <c r="Z14354" s="318"/>
      <c r="AA14354" s="318"/>
      <c r="AB14354" s="318"/>
      <c r="AC14354" s="318"/>
      <c r="AD14354" s="318"/>
    </row>
    <row r="14355" spans="2:30" s="323" customFormat="1" ht="12" customHeight="1">
      <c r="B14355" s="324"/>
      <c r="C14355" s="325"/>
      <c r="D14355" s="326"/>
      <c r="E14355" s="326"/>
      <c r="F14355" s="326"/>
      <c r="G14355" s="326"/>
      <c r="H14355" s="326"/>
      <c r="P14355" s="318"/>
      <c r="Q14355" s="318"/>
      <c r="R14355" s="318"/>
      <c r="S14355" s="318"/>
      <c r="T14355" s="318"/>
      <c r="U14355" s="318"/>
      <c r="V14355" s="318"/>
      <c r="W14355" s="318"/>
      <c r="X14355" s="318"/>
      <c r="Y14355" s="318"/>
      <c r="Z14355" s="318"/>
      <c r="AA14355" s="318"/>
      <c r="AB14355" s="318"/>
      <c r="AC14355" s="318"/>
      <c r="AD14355" s="318"/>
    </row>
    <row r="14356" spans="2:30" s="323" customFormat="1" ht="12" customHeight="1">
      <c r="B14356" s="324"/>
      <c r="C14356" s="325"/>
      <c r="D14356" s="326"/>
      <c r="E14356" s="326"/>
      <c r="F14356" s="326"/>
      <c r="G14356" s="326"/>
      <c r="H14356" s="326"/>
      <c r="P14356" s="318"/>
      <c r="Q14356" s="318"/>
      <c r="R14356" s="318"/>
      <c r="S14356" s="318"/>
      <c r="T14356" s="318"/>
      <c r="U14356" s="318"/>
      <c r="V14356" s="318"/>
      <c r="W14356" s="318"/>
      <c r="X14356" s="318"/>
      <c r="Y14356" s="318"/>
      <c r="Z14356" s="318"/>
      <c r="AA14356" s="318"/>
      <c r="AB14356" s="318"/>
      <c r="AC14356" s="318"/>
      <c r="AD14356" s="318"/>
    </row>
    <row r="14357" spans="2:30" s="323" customFormat="1" ht="12" customHeight="1">
      <c r="B14357" s="324"/>
      <c r="C14357" s="325"/>
      <c r="D14357" s="326"/>
      <c r="E14357" s="326"/>
      <c r="F14357" s="326"/>
      <c r="G14357" s="326"/>
      <c r="H14357" s="326"/>
      <c r="P14357" s="318"/>
      <c r="Q14357" s="318"/>
      <c r="R14357" s="318"/>
      <c r="S14357" s="318"/>
      <c r="T14357" s="318"/>
      <c r="U14357" s="318"/>
      <c r="V14357" s="318"/>
      <c r="W14357" s="318"/>
      <c r="X14357" s="318"/>
      <c r="Y14357" s="318"/>
      <c r="Z14357" s="318"/>
      <c r="AA14357" s="318"/>
      <c r="AB14357" s="318"/>
      <c r="AC14357" s="318"/>
      <c r="AD14357" s="318"/>
    </row>
    <row r="14358" spans="2:30" s="323" customFormat="1" ht="12" customHeight="1">
      <c r="B14358" s="324"/>
      <c r="C14358" s="325"/>
      <c r="D14358" s="326"/>
      <c r="E14358" s="326"/>
      <c r="F14358" s="326"/>
      <c r="G14358" s="326"/>
      <c r="H14358" s="326"/>
      <c r="P14358" s="318"/>
      <c r="Q14358" s="318"/>
      <c r="R14358" s="318"/>
      <c r="S14358" s="318"/>
      <c r="T14358" s="318"/>
      <c r="U14358" s="318"/>
      <c r="V14358" s="318"/>
      <c r="W14358" s="318"/>
      <c r="X14358" s="318"/>
      <c r="Y14358" s="318"/>
      <c r="Z14358" s="318"/>
      <c r="AA14358" s="318"/>
      <c r="AB14358" s="318"/>
      <c r="AC14358" s="318"/>
      <c r="AD14358" s="318"/>
    </row>
    <row r="14359" spans="2:30" s="323" customFormat="1" ht="12" customHeight="1">
      <c r="B14359" s="324"/>
      <c r="C14359" s="325"/>
      <c r="D14359" s="326"/>
      <c r="E14359" s="326"/>
      <c r="F14359" s="326"/>
      <c r="G14359" s="326"/>
      <c r="H14359" s="326"/>
      <c r="P14359" s="318"/>
      <c r="Q14359" s="318"/>
      <c r="R14359" s="318"/>
      <c r="S14359" s="318"/>
      <c r="T14359" s="318"/>
      <c r="U14359" s="318"/>
      <c r="V14359" s="318"/>
      <c r="W14359" s="318"/>
      <c r="X14359" s="318"/>
      <c r="Y14359" s="318"/>
      <c r="Z14359" s="318"/>
      <c r="AA14359" s="318"/>
      <c r="AB14359" s="318"/>
      <c r="AC14359" s="318"/>
      <c r="AD14359" s="318"/>
    </row>
    <row r="14360" spans="2:30" s="323" customFormat="1" ht="12" customHeight="1">
      <c r="B14360" s="324"/>
      <c r="C14360" s="325"/>
      <c r="D14360" s="326"/>
      <c r="E14360" s="326"/>
      <c r="F14360" s="326"/>
      <c r="G14360" s="326"/>
      <c r="H14360" s="326"/>
      <c r="P14360" s="318"/>
      <c r="Q14360" s="318"/>
      <c r="R14360" s="318"/>
      <c r="S14360" s="318"/>
      <c r="T14360" s="318"/>
      <c r="U14360" s="318"/>
      <c r="V14360" s="318"/>
      <c r="W14360" s="318"/>
      <c r="X14360" s="318"/>
      <c r="Y14360" s="318"/>
      <c r="Z14360" s="318"/>
      <c r="AA14360" s="318"/>
      <c r="AB14360" s="318"/>
      <c r="AC14360" s="318"/>
      <c r="AD14360" s="318"/>
    </row>
    <row r="14361" spans="2:30" s="323" customFormat="1" ht="12" customHeight="1">
      <c r="B14361" s="324"/>
      <c r="C14361" s="325"/>
      <c r="D14361" s="326"/>
      <c r="E14361" s="326"/>
      <c r="F14361" s="326"/>
      <c r="G14361" s="326"/>
      <c r="H14361" s="326"/>
      <c r="P14361" s="318"/>
      <c r="Q14361" s="318"/>
      <c r="R14361" s="318"/>
      <c r="S14361" s="318"/>
      <c r="T14361" s="318"/>
      <c r="U14361" s="318"/>
      <c r="V14361" s="318"/>
      <c r="W14361" s="318"/>
      <c r="X14361" s="318"/>
      <c r="Y14361" s="318"/>
      <c r="Z14361" s="318"/>
      <c r="AA14361" s="318"/>
      <c r="AB14361" s="318"/>
      <c r="AC14361" s="318"/>
      <c r="AD14361" s="318"/>
    </row>
    <row r="14362" spans="2:30" s="323" customFormat="1" ht="12" customHeight="1">
      <c r="B14362" s="324"/>
      <c r="C14362" s="325"/>
      <c r="D14362" s="326"/>
      <c r="E14362" s="326"/>
      <c r="F14362" s="326"/>
      <c r="G14362" s="326"/>
      <c r="H14362" s="326"/>
      <c r="P14362" s="318"/>
      <c r="Q14362" s="318"/>
      <c r="R14362" s="318"/>
      <c r="S14362" s="318"/>
      <c r="T14362" s="318"/>
      <c r="U14362" s="318"/>
      <c r="V14362" s="318"/>
      <c r="W14362" s="318"/>
      <c r="X14362" s="318"/>
      <c r="Y14362" s="318"/>
      <c r="Z14362" s="318"/>
      <c r="AA14362" s="318"/>
      <c r="AB14362" s="318"/>
      <c r="AC14362" s="318"/>
      <c r="AD14362" s="318"/>
    </row>
    <row r="14363" spans="2:30" s="323" customFormat="1" ht="12" customHeight="1">
      <c r="B14363" s="324"/>
      <c r="C14363" s="325"/>
      <c r="D14363" s="326"/>
      <c r="E14363" s="326"/>
      <c r="F14363" s="326"/>
      <c r="G14363" s="326"/>
      <c r="H14363" s="326"/>
      <c r="P14363" s="318"/>
      <c r="Q14363" s="318"/>
      <c r="R14363" s="318"/>
      <c r="S14363" s="318"/>
      <c r="T14363" s="318"/>
      <c r="U14363" s="318"/>
      <c r="V14363" s="318"/>
      <c r="W14363" s="318"/>
      <c r="X14363" s="318"/>
      <c r="Y14363" s="318"/>
      <c r="Z14363" s="318"/>
      <c r="AA14363" s="318"/>
      <c r="AB14363" s="318"/>
      <c r="AC14363" s="318"/>
      <c r="AD14363" s="318"/>
    </row>
    <row r="14364" spans="2:30" s="323" customFormat="1" ht="12" customHeight="1">
      <c r="B14364" s="324"/>
      <c r="C14364" s="325"/>
      <c r="D14364" s="326"/>
      <c r="E14364" s="326"/>
      <c r="F14364" s="326"/>
      <c r="G14364" s="326"/>
      <c r="H14364" s="326"/>
      <c r="P14364" s="318"/>
      <c r="Q14364" s="318"/>
      <c r="R14364" s="318"/>
      <c r="S14364" s="318"/>
      <c r="T14364" s="318"/>
      <c r="U14364" s="318"/>
      <c r="V14364" s="318"/>
      <c r="W14364" s="318"/>
      <c r="X14364" s="318"/>
      <c r="Y14364" s="318"/>
      <c r="Z14364" s="318"/>
      <c r="AA14364" s="318"/>
      <c r="AB14364" s="318"/>
      <c r="AC14364" s="318"/>
      <c r="AD14364" s="318"/>
    </row>
    <row r="14365" spans="2:30" s="323" customFormat="1" ht="12" customHeight="1">
      <c r="B14365" s="324"/>
      <c r="C14365" s="325"/>
      <c r="D14365" s="326"/>
      <c r="E14365" s="326"/>
      <c r="F14365" s="326"/>
      <c r="G14365" s="326"/>
      <c r="H14365" s="326"/>
      <c r="P14365" s="318"/>
      <c r="Q14365" s="318"/>
      <c r="R14365" s="318"/>
      <c r="S14365" s="318"/>
      <c r="T14365" s="318"/>
      <c r="U14365" s="318"/>
      <c r="V14365" s="318"/>
      <c r="W14365" s="318"/>
      <c r="X14365" s="318"/>
      <c r="Y14365" s="318"/>
      <c r="Z14365" s="318"/>
      <c r="AA14365" s="318"/>
      <c r="AB14365" s="318"/>
      <c r="AC14365" s="318"/>
      <c r="AD14365" s="318"/>
    </row>
    <row r="14366" spans="2:30" s="323" customFormat="1" ht="12" customHeight="1">
      <c r="B14366" s="324"/>
      <c r="C14366" s="325"/>
      <c r="D14366" s="326"/>
      <c r="E14366" s="326"/>
      <c r="F14366" s="326"/>
      <c r="G14366" s="326"/>
      <c r="H14366" s="326"/>
      <c r="P14366" s="318"/>
      <c r="Q14366" s="318"/>
      <c r="R14366" s="318"/>
      <c r="S14366" s="318"/>
      <c r="T14366" s="318"/>
      <c r="U14366" s="318"/>
      <c r="V14366" s="318"/>
      <c r="W14366" s="318"/>
      <c r="X14366" s="318"/>
      <c r="Y14366" s="318"/>
      <c r="Z14366" s="318"/>
      <c r="AA14366" s="318"/>
      <c r="AB14366" s="318"/>
      <c r="AC14366" s="318"/>
      <c r="AD14366" s="318"/>
    </row>
    <row r="14367" spans="2:30" s="323" customFormat="1" ht="12" customHeight="1">
      <c r="B14367" s="324"/>
      <c r="C14367" s="325"/>
      <c r="D14367" s="326"/>
      <c r="E14367" s="326"/>
      <c r="F14367" s="326"/>
      <c r="G14367" s="326"/>
      <c r="H14367" s="326"/>
      <c r="P14367" s="318"/>
      <c r="Q14367" s="318"/>
      <c r="R14367" s="318"/>
      <c r="S14367" s="318"/>
      <c r="T14367" s="318"/>
      <c r="U14367" s="318"/>
      <c r="V14367" s="318"/>
      <c r="W14367" s="318"/>
      <c r="X14367" s="318"/>
      <c r="Y14367" s="318"/>
      <c r="Z14367" s="318"/>
      <c r="AA14367" s="318"/>
      <c r="AB14367" s="318"/>
      <c r="AC14367" s="318"/>
      <c r="AD14367" s="318"/>
    </row>
    <row r="14368" spans="2:30" s="323" customFormat="1" ht="12" customHeight="1">
      <c r="B14368" s="324"/>
      <c r="C14368" s="325"/>
      <c r="D14368" s="326"/>
      <c r="E14368" s="326"/>
      <c r="F14368" s="326"/>
      <c r="G14368" s="326"/>
      <c r="H14368" s="326"/>
      <c r="P14368" s="318"/>
      <c r="Q14368" s="318"/>
      <c r="R14368" s="318"/>
      <c r="S14368" s="318"/>
      <c r="T14368" s="318"/>
      <c r="U14368" s="318"/>
      <c r="V14368" s="318"/>
      <c r="W14368" s="318"/>
      <c r="X14368" s="318"/>
      <c r="Y14368" s="318"/>
      <c r="Z14368" s="318"/>
      <c r="AA14368" s="318"/>
      <c r="AB14368" s="318"/>
      <c r="AC14368" s="318"/>
      <c r="AD14368" s="318"/>
    </row>
    <row r="14369" spans="2:30" s="323" customFormat="1" ht="12" customHeight="1">
      <c r="B14369" s="324"/>
      <c r="C14369" s="325"/>
      <c r="D14369" s="326"/>
      <c r="E14369" s="326"/>
      <c r="F14369" s="326"/>
      <c r="G14369" s="326"/>
      <c r="H14369" s="326"/>
      <c r="P14369" s="318"/>
      <c r="Q14369" s="318"/>
      <c r="R14369" s="318"/>
      <c r="S14369" s="318"/>
      <c r="T14369" s="318"/>
      <c r="U14369" s="318"/>
      <c r="V14369" s="318"/>
      <c r="W14369" s="318"/>
      <c r="X14369" s="318"/>
      <c r="Y14369" s="318"/>
      <c r="Z14369" s="318"/>
      <c r="AA14369" s="318"/>
      <c r="AB14369" s="318"/>
      <c r="AC14369" s="318"/>
      <c r="AD14369" s="318"/>
    </row>
    <row r="14370" spans="2:30" s="323" customFormat="1" ht="12" customHeight="1">
      <c r="B14370" s="324"/>
      <c r="C14370" s="325"/>
      <c r="D14370" s="326"/>
      <c r="E14370" s="326"/>
      <c r="F14370" s="326"/>
      <c r="G14370" s="326"/>
      <c r="H14370" s="326"/>
      <c r="P14370" s="318"/>
      <c r="Q14370" s="318"/>
      <c r="R14370" s="318"/>
      <c r="S14370" s="318"/>
      <c r="T14370" s="318"/>
      <c r="U14370" s="318"/>
      <c r="V14370" s="318"/>
      <c r="W14370" s="318"/>
      <c r="X14370" s="318"/>
      <c r="Y14370" s="318"/>
      <c r="Z14370" s="318"/>
      <c r="AA14370" s="318"/>
      <c r="AB14370" s="318"/>
      <c r="AC14370" s="318"/>
      <c r="AD14370" s="318"/>
    </row>
    <row r="14371" spans="2:30" s="323" customFormat="1" ht="12" customHeight="1">
      <c r="B14371" s="324"/>
      <c r="C14371" s="325"/>
      <c r="D14371" s="326"/>
      <c r="E14371" s="326"/>
      <c r="F14371" s="326"/>
      <c r="G14371" s="326"/>
      <c r="H14371" s="326"/>
      <c r="P14371" s="318"/>
      <c r="Q14371" s="318"/>
      <c r="R14371" s="318"/>
      <c r="S14371" s="318"/>
      <c r="T14371" s="318"/>
      <c r="U14371" s="318"/>
      <c r="V14371" s="318"/>
      <c r="W14371" s="318"/>
      <c r="X14371" s="318"/>
      <c r="Y14371" s="318"/>
      <c r="Z14371" s="318"/>
      <c r="AA14371" s="318"/>
      <c r="AB14371" s="318"/>
      <c r="AC14371" s="318"/>
      <c r="AD14371" s="318"/>
    </row>
    <row r="14372" spans="2:30" s="323" customFormat="1" ht="12" customHeight="1">
      <c r="B14372" s="324"/>
      <c r="C14372" s="325"/>
      <c r="D14372" s="326"/>
      <c r="E14372" s="326"/>
      <c r="F14372" s="326"/>
      <c r="G14372" s="326"/>
      <c r="H14372" s="326"/>
      <c r="P14372" s="318"/>
      <c r="Q14372" s="318"/>
      <c r="R14372" s="318"/>
      <c r="S14372" s="318"/>
      <c r="T14372" s="318"/>
      <c r="U14372" s="318"/>
      <c r="V14372" s="318"/>
      <c r="W14372" s="318"/>
      <c r="X14372" s="318"/>
      <c r="Y14372" s="318"/>
      <c r="Z14372" s="318"/>
      <c r="AA14372" s="318"/>
      <c r="AB14372" s="318"/>
      <c r="AC14372" s="318"/>
      <c r="AD14372" s="318"/>
    </row>
    <row r="14373" spans="2:30" s="323" customFormat="1" ht="12" customHeight="1">
      <c r="B14373" s="324"/>
      <c r="C14373" s="325"/>
      <c r="D14373" s="326"/>
      <c r="E14373" s="326"/>
      <c r="F14373" s="326"/>
      <c r="G14373" s="326"/>
      <c r="H14373" s="326"/>
      <c r="P14373" s="318"/>
      <c r="Q14373" s="318"/>
      <c r="R14373" s="318"/>
      <c r="S14373" s="318"/>
      <c r="T14373" s="318"/>
      <c r="U14373" s="318"/>
      <c r="V14373" s="318"/>
      <c r="W14373" s="318"/>
      <c r="X14373" s="318"/>
      <c r="Y14373" s="318"/>
      <c r="Z14373" s="318"/>
      <c r="AA14373" s="318"/>
      <c r="AB14373" s="318"/>
      <c r="AC14373" s="318"/>
      <c r="AD14373" s="318"/>
    </row>
    <row r="14374" spans="2:30" s="323" customFormat="1" ht="12" customHeight="1">
      <c r="B14374" s="324"/>
      <c r="C14374" s="325"/>
      <c r="D14374" s="326"/>
      <c r="E14374" s="326"/>
      <c r="F14374" s="326"/>
      <c r="G14374" s="326"/>
      <c r="H14374" s="326"/>
      <c r="P14374" s="318"/>
      <c r="Q14374" s="318"/>
      <c r="R14374" s="318"/>
      <c r="S14374" s="318"/>
      <c r="T14374" s="318"/>
      <c r="U14374" s="318"/>
      <c r="V14374" s="318"/>
      <c r="W14374" s="318"/>
      <c r="X14374" s="318"/>
      <c r="Y14374" s="318"/>
      <c r="Z14374" s="318"/>
      <c r="AA14374" s="318"/>
      <c r="AB14374" s="318"/>
      <c r="AC14374" s="318"/>
      <c r="AD14374" s="318"/>
    </row>
    <row r="14375" spans="2:30" s="323" customFormat="1" ht="12" customHeight="1">
      <c r="B14375" s="324"/>
      <c r="C14375" s="325"/>
      <c r="D14375" s="326"/>
      <c r="E14375" s="326"/>
      <c r="F14375" s="326"/>
      <c r="G14375" s="326"/>
      <c r="H14375" s="326"/>
      <c r="P14375" s="318"/>
      <c r="Q14375" s="318"/>
      <c r="R14375" s="318"/>
      <c r="S14375" s="318"/>
      <c r="T14375" s="318"/>
      <c r="U14375" s="318"/>
      <c r="V14375" s="318"/>
      <c r="W14375" s="318"/>
      <c r="X14375" s="318"/>
      <c r="Y14375" s="318"/>
      <c r="Z14375" s="318"/>
      <c r="AA14375" s="318"/>
      <c r="AB14375" s="318"/>
      <c r="AC14375" s="318"/>
      <c r="AD14375" s="318"/>
    </row>
    <row r="14376" spans="2:30" s="323" customFormat="1" ht="12" customHeight="1">
      <c r="B14376" s="324"/>
      <c r="C14376" s="325"/>
      <c r="D14376" s="326"/>
      <c r="E14376" s="326"/>
      <c r="F14376" s="326"/>
      <c r="G14376" s="326"/>
      <c r="H14376" s="326"/>
      <c r="P14376" s="318"/>
      <c r="Q14376" s="318"/>
      <c r="R14376" s="318"/>
      <c r="S14376" s="318"/>
      <c r="T14376" s="318"/>
      <c r="U14376" s="318"/>
      <c r="V14376" s="318"/>
      <c r="W14376" s="318"/>
      <c r="X14376" s="318"/>
      <c r="Y14376" s="318"/>
      <c r="Z14376" s="318"/>
      <c r="AA14376" s="318"/>
      <c r="AB14376" s="318"/>
      <c r="AC14376" s="318"/>
      <c r="AD14376" s="318"/>
    </row>
    <row r="14377" spans="2:30" s="323" customFormat="1" ht="12" customHeight="1">
      <c r="B14377" s="324"/>
      <c r="C14377" s="325"/>
      <c r="D14377" s="326"/>
      <c r="E14377" s="326"/>
      <c r="F14377" s="326"/>
      <c r="G14377" s="326"/>
      <c r="H14377" s="326"/>
      <c r="P14377" s="318"/>
      <c r="Q14377" s="318"/>
      <c r="R14377" s="318"/>
      <c r="S14377" s="318"/>
      <c r="T14377" s="318"/>
      <c r="U14377" s="318"/>
      <c r="V14377" s="318"/>
      <c r="W14377" s="318"/>
      <c r="X14377" s="318"/>
      <c r="Y14377" s="318"/>
      <c r="Z14377" s="318"/>
      <c r="AA14377" s="318"/>
      <c r="AB14377" s="318"/>
      <c r="AC14377" s="318"/>
      <c r="AD14377" s="318"/>
    </row>
    <row r="14378" spans="2:30" s="323" customFormat="1" ht="12" customHeight="1">
      <c r="B14378" s="324"/>
      <c r="C14378" s="325"/>
      <c r="D14378" s="326"/>
      <c r="E14378" s="326"/>
      <c r="F14378" s="326"/>
      <c r="G14378" s="326"/>
      <c r="H14378" s="326"/>
      <c r="P14378" s="318"/>
      <c r="Q14378" s="318"/>
      <c r="R14378" s="318"/>
      <c r="S14378" s="318"/>
      <c r="T14378" s="318"/>
      <c r="U14378" s="318"/>
      <c r="V14378" s="318"/>
      <c r="W14378" s="318"/>
      <c r="X14378" s="318"/>
      <c r="Y14378" s="318"/>
      <c r="Z14378" s="318"/>
      <c r="AA14378" s="318"/>
      <c r="AB14378" s="318"/>
      <c r="AC14378" s="318"/>
      <c r="AD14378" s="318"/>
    </row>
    <row r="14379" spans="2:30" s="323" customFormat="1" ht="12" customHeight="1">
      <c r="B14379" s="324"/>
      <c r="C14379" s="325"/>
      <c r="D14379" s="326"/>
      <c r="E14379" s="326"/>
      <c r="F14379" s="326"/>
      <c r="G14379" s="326"/>
      <c r="H14379" s="326"/>
      <c r="P14379" s="318"/>
      <c r="Q14379" s="318"/>
      <c r="R14379" s="318"/>
      <c r="S14379" s="318"/>
      <c r="T14379" s="318"/>
      <c r="U14379" s="318"/>
      <c r="V14379" s="318"/>
      <c r="W14379" s="318"/>
      <c r="X14379" s="318"/>
      <c r="Y14379" s="318"/>
      <c r="Z14379" s="318"/>
      <c r="AA14379" s="318"/>
      <c r="AB14379" s="318"/>
      <c r="AC14379" s="318"/>
      <c r="AD14379" s="318"/>
    </row>
    <row r="14380" spans="2:30" s="323" customFormat="1" ht="12" customHeight="1">
      <c r="B14380" s="324"/>
      <c r="C14380" s="325"/>
      <c r="D14380" s="326"/>
      <c r="E14380" s="326"/>
      <c r="F14380" s="326"/>
      <c r="G14380" s="326"/>
      <c r="H14380" s="326"/>
      <c r="P14380" s="318"/>
      <c r="Q14380" s="318"/>
      <c r="R14380" s="318"/>
      <c r="S14380" s="318"/>
      <c r="T14380" s="318"/>
      <c r="U14380" s="318"/>
      <c r="V14380" s="318"/>
      <c r="W14380" s="318"/>
      <c r="X14380" s="318"/>
      <c r="Y14380" s="318"/>
      <c r="Z14380" s="318"/>
      <c r="AA14380" s="318"/>
      <c r="AB14380" s="318"/>
      <c r="AC14380" s="318"/>
      <c r="AD14380" s="318"/>
    </row>
    <row r="14381" spans="2:30" s="323" customFormat="1" ht="12" customHeight="1">
      <c r="B14381" s="324"/>
      <c r="C14381" s="325"/>
      <c r="D14381" s="326"/>
      <c r="E14381" s="326"/>
      <c r="F14381" s="326"/>
      <c r="G14381" s="326"/>
      <c r="H14381" s="326"/>
      <c r="P14381" s="318"/>
      <c r="Q14381" s="318"/>
      <c r="R14381" s="318"/>
      <c r="S14381" s="318"/>
      <c r="T14381" s="318"/>
      <c r="U14381" s="318"/>
      <c r="V14381" s="318"/>
      <c r="W14381" s="318"/>
      <c r="X14381" s="318"/>
      <c r="Y14381" s="318"/>
      <c r="Z14381" s="318"/>
      <c r="AA14381" s="318"/>
      <c r="AB14381" s="318"/>
      <c r="AC14381" s="318"/>
      <c r="AD14381" s="318"/>
    </row>
    <row r="14382" spans="2:30" s="323" customFormat="1" ht="12" customHeight="1">
      <c r="B14382" s="324"/>
      <c r="C14382" s="325"/>
      <c r="D14382" s="326"/>
      <c r="E14382" s="326"/>
      <c r="F14382" s="326"/>
      <c r="G14382" s="326"/>
      <c r="H14382" s="326"/>
      <c r="P14382" s="318"/>
      <c r="Q14382" s="318"/>
      <c r="R14382" s="318"/>
      <c r="S14382" s="318"/>
      <c r="T14382" s="318"/>
      <c r="U14382" s="318"/>
      <c r="V14382" s="318"/>
      <c r="W14382" s="318"/>
      <c r="X14382" s="318"/>
      <c r="Y14382" s="318"/>
      <c r="Z14382" s="318"/>
      <c r="AA14382" s="318"/>
      <c r="AB14382" s="318"/>
      <c r="AC14382" s="318"/>
      <c r="AD14382" s="318"/>
    </row>
    <row r="14383" spans="2:30" s="323" customFormat="1" ht="12" customHeight="1">
      <c r="B14383" s="324"/>
      <c r="C14383" s="325"/>
      <c r="D14383" s="326"/>
      <c r="E14383" s="326"/>
      <c r="F14383" s="326"/>
      <c r="G14383" s="326"/>
      <c r="H14383" s="326"/>
      <c r="P14383" s="318"/>
      <c r="Q14383" s="318"/>
      <c r="R14383" s="318"/>
      <c r="S14383" s="318"/>
      <c r="T14383" s="318"/>
      <c r="U14383" s="318"/>
      <c r="V14383" s="318"/>
      <c r="W14383" s="318"/>
      <c r="X14383" s="318"/>
      <c r="Y14383" s="318"/>
      <c r="Z14383" s="318"/>
      <c r="AA14383" s="318"/>
      <c r="AB14383" s="318"/>
      <c r="AC14383" s="318"/>
      <c r="AD14383" s="318"/>
    </row>
    <row r="14384" spans="2:30" s="323" customFormat="1" ht="12" customHeight="1">
      <c r="B14384" s="324"/>
      <c r="C14384" s="325"/>
      <c r="D14384" s="326"/>
      <c r="E14384" s="326"/>
      <c r="F14384" s="326"/>
      <c r="G14384" s="326"/>
      <c r="H14384" s="326"/>
      <c r="P14384" s="318"/>
      <c r="Q14384" s="318"/>
      <c r="R14384" s="318"/>
      <c r="S14384" s="318"/>
      <c r="T14384" s="318"/>
      <c r="U14384" s="318"/>
      <c r="V14384" s="318"/>
      <c r="W14384" s="318"/>
      <c r="X14384" s="318"/>
      <c r="Y14384" s="318"/>
      <c r="Z14384" s="318"/>
      <c r="AA14384" s="318"/>
      <c r="AB14384" s="318"/>
      <c r="AC14384" s="318"/>
      <c r="AD14384" s="318"/>
    </row>
    <row r="14385" spans="2:30" s="323" customFormat="1" ht="12" customHeight="1">
      <c r="B14385" s="324"/>
      <c r="C14385" s="325"/>
      <c r="D14385" s="326"/>
      <c r="E14385" s="326"/>
      <c r="F14385" s="326"/>
      <c r="G14385" s="326"/>
      <c r="H14385" s="326"/>
      <c r="P14385" s="318"/>
      <c r="Q14385" s="318"/>
      <c r="R14385" s="318"/>
      <c r="S14385" s="318"/>
      <c r="T14385" s="318"/>
      <c r="U14385" s="318"/>
      <c r="V14385" s="318"/>
      <c r="W14385" s="318"/>
      <c r="X14385" s="318"/>
      <c r="Y14385" s="318"/>
      <c r="Z14385" s="318"/>
      <c r="AA14385" s="318"/>
      <c r="AB14385" s="318"/>
      <c r="AC14385" s="318"/>
      <c r="AD14385" s="318"/>
    </row>
    <row r="14386" spans="2:30" s="323" customFormat="1" ht="12" customHeight="1">
      <c r="B14386" s="324"/>
      <c r="C14386" s="325"/>
      <c r="D14386" s="326"/>
      <c r="E14386" s="326"/>
      <c r="F14386" s="326"/>
      <c r="G14386" s="326"/>
      <c r="H14386" s="326"/>
      <c r="P14386" s="318"/>
      <c r="Q14386" s="318"/>
      <c r="R14386" s="318"/>
      <c r="S14386" s="318"/>
      <c r="T14386" s="318"/>
      <c r="U14386" s="318"/>
      <c r="V14386" s="318"/>
      <c r="W14386" s="318"/>
      <c r="X14386" s="318"/>
      <c r="Y14386" s="318"/>
      <c r="Z14386" s="318"/>
      <c r="AA14386" s="318"/>
      <c r="AB14386" s="318"/>
      <c r="AC14386" s="318"/>
      <c r="AD14386" s="318"/>
    </row>
    <row r="14387" spans="2:30" s="323" customFormat="1" ht="12" customHeight="1">
      <c r="B14387" s="324"/>
      <c r="C14387" s="325"/>
      <c r="D14387" s="326"/>
      <c r="E14387" s="326"/>
      <c r="F14387" s="326"/>
      <c r="G14387" s="326"/>
      <c r="H14387" s="326"/>
      <c r="P14387" s="318"/>
      <c r="Q14387" s="318"/>
      <c r="R14387" s="318"/>
      <c r="S14387" s="318"/>
      <c r="T14387" s="318"/>
      <c r="U14387" s="318"/>
      <c r="V14387" s="318"/>
      <c r="W14387" s="318"/>
      <c r="X14387" s="318"/>
      <c r="Y14387" s="318"/>
      <c r="Z14387" s="318"/>
      <c r="AA14387" s="318"/>
      <c r="AB14387" s="318"/>
      <c r="AC14387" s="318"/>
      <c r="AD14387" s="318"/>
    </row>
    <row r="14388" spans="2:30" s="323" customFormat="1" ht="12" customHeight="1">
      <c r="B14388" s="324"/>
      <c r="C14388" s="325"/>
      <c r="D14388" s="326"/>
      <c r="E14388" s="326"/>
      <c r="F14388" s="326"/>
      <c r="G14388" s="326"/>
      <c r="H14388" s="326"/>
      <c r="P14388" s="318"/>
      <c r="Q14388" s="318"/>
      <c r="R14388" s="318"/>
      <c r="S14388" s="318"/>
      <c r="T14388" s="318"/>
      <c r="U14388" s="318"/>
      <c r="V14388" s="318"/>
      <c r="W14388" s="318"/>
      <c r="X14388" s="318"/>
      <c r="Y14388" s="318"/>
      <c r="Z14388" s="318"/>
      <c r="AA14388" s="318"/>
      <c r="AB14388" s="318"/>
      <c r="AC14388" s="318"/>
      <c r="AD14388" s="318"/>
    </row>
    <row r="14389" spans="2:30" s="323" customFormat="1" ht="12" customHeight="1">
      <c r="B14389" s="324"/>
      <c r="C14389" s="325"/>
      <c r="D14389" s="326"/>
      <c r="E14389" s="326"/>
      <c r="F14389" s="326"/>
      <c r="G14389" s="326"/>
      <c r="H14389" s="326"/>
      <c r="P14389" s="318"/>
      <c r="Q14389" s="318"/>
      <c r="R14389" s="318"/>
      <c r="S14389" s="318"/>
      <c r="T14389" s="318"/>
      <c r="U14389" s="318"/>
      <c r="V14389" s="318"/>
      <c r="W14389" s="318"/>
      <c r="X14389" s="318"/>
      <c r="Y14389" s="318"/>
      <c r="Z14389" s="318"/>
      <c r="AA14389" s="318"/>
      <c r="AB14389" s="318"/>
      <c r="AC14389" s="318"/>
      <c r="AD14389" s="318"/>
    </row>
    <row r="14390" spans="2:30" s="323" customFormat="1" ht="12" customHeight="1">
      <c r="B14390" s="324"/>
      <c r="C14390" s="325"/>
      <c r="D14390" s="326"/>
      <c r="E14390" s="326"/>
      <c r="F14390" s="326"/>
      <c r="G14390" s="326"/>
      <c r="H14390" s="326"/>
      <c r="P14390" s="318"/>
      <c r="Q14390" s="318"/>
      <c r="R14390" s="318"/>
      <c r="S14390" s="318"/>
      <c r="T14390" s="318"/>
      <c r="U14390" s="318"/>
      <c r="V14390" s="318"/>
      <c r="W14390" s="318"/>
      <c r="X14390" s="318"/>
      <c r="Y14390" s="318"/>
      <c r="Z14390" s="318"/>
      <c r="AA14390" s="318"/>
      <c r="AB14390" s="318"/>
      <c r="AC14390" s="318"/>
      <c r="AD14390" s="318"/>
    </row>
    <row r="14391" spans="2:30" s="323" customFormat="1" ht="12" customHeight="1">
      <c r="B14391" s="324"/>
      <c r="C14391" s="325"/>
      <c r="D14391" s="326"/>
      <c r="E14391" s="326"/>
      <c r="F14391" s="326"/>
      <c r="G14391" s="326"/>
      <c r="H14391" s="326"/>
      <c r="P14391" s="318"/>
      <c r="Q14391" s="318"/>
      <c r="R14391" s="318"/>
      <c r="S14391" s="318"/>
      <c r="T14391" s="318"/>
      <c r="U14391" s="318"/>
      <c r="V14391" s="318"/>
      <c r="W14391" s="318"/>
      <c r="X14391" s="318"/>
      <c r="Y14391" s="318"/>
      <c r="Z14391" s="318"/>
      <c r="AA14391" s="318"/>
      <c r="AB14391" s="318"/>
      <c r="AC14391" s="318"/>
      <c r="AD14391" s="318"/>
    </row>
    <row r="14392" spans="2:30" s="323" customFormat="1" ht="12" customHeight="1">
      <c r="B14392" s="324"/>
      <c r="C14392" s="325"/>
      <c r="D14392" s="326"/>
      <c r="E14392" s="326"/>
      <c r="F14392" s="326"/>
      <c r="G14392" s="326"/>
      <c r="H14392" s="326"/>
      <c r="P14392" s="318"/>
      <c r="Q14392" s="318"/>
      <c r="R14392" s="318"/>
      <c r="S14392" s="318"/>
      <c r="T14392" s="318"/>
      <c r="U14392" s="318"/>
      <c r="V14392" s="318"/>
      <c r="W14392" s="318"/>
      <c r="X14392" s="318"/>
      <c r="Y14392" s="318"/>
      <c r="Z14392" s="318"/>
      <c r="AA14392" s="318"/>
      <c r="AB14392" s="318"/>
      <c r="AC14392" s="318"/>
      <c r="AD14392" s="318"/>
    </row>
    <row r="14393" spans="2:30" s="323" customFormat="1" ht="12" customHeight="1">
      <c r="B14393" s="324"/>
      <c r="C14393" s="325"/>
      <c r="D14393" s="326"/>
      <c r="E14393" s="326"/>
      <c r="F14393" s="326"/>
      <c r="G14393" s="326"/>
      <c r="H14393" s="326"/>
      <c r="P14393" s="318"/>
      <c r="Q14393" s="318"/>
      <c r="R14393" s="318"/>
      <c r="S14393" s="318"/>
      <c r="T14393" s="318"/>
      <c r="U14393" s="318"/>
      <c r="V14393" s="318"/>
      <c r="W14393" s="318"/>
      <c r="X14393" s="318"/>
      <c r="Y14393" s="318"/>
      <c r="Z14393" s="318"/>
      <c r="AA14393" s="318"/>
      <c r="AB14393" s="318"/>
      <c r="AC14393" s="318"/>
      <c r="AD14393" s="318"/>
    </row>
    <row r="14394" spans="2:30" s="323" customFormat="1" ht="12" customHeight="1">
      <c r="B14394" s="324"/>
      <c r="C14394" s="325"/>
      <c r="D14394" s="326"/>
      <c r="E14394" s="326"/>
      <c r="F14394" s="326"/>
      <c r="G14394" s="326"/>
      <c r="H14394" s="326"/>
      <c r="P14394" s="318"/>
      <c r="Q14394" s="318"/>
      <c r="R14394" s="318"/>
      <c r="S14394" s="318"/>
      <c r="T14394" s="318"/>
      <c r="U14394" s="318"/>
      <c r="V14394" s="318"/>
      <c r="W14394" s="318"/>
      <c r="X14394" s="318"/>
      <c r="Y14394" s="318"/>
      <c r="Z14394" s="318"/>
      <c r="AA14394" s="318"/>
      <c r="AB14394" s="318"/>
      <c r="AC14394" s="318"/>
      <c r="AD14394" s="318"/>
    </row>
    <row r="14395" spans="2:30" s="323" customFormat="1" ht="12" customHeight="1">
      <c r="B14395" s="324"/>
      <c r="C14395" s="325"/>
      <c r="D14395" s="326"/>
      <c r="E14395" s="326"/>
      <c r="F14395" s="326"/>
      <c r="G14395" s="326"/>
      <c r="H14395" s="326"/>
      <c r="P14395" s="318"/>
      <c r="Q14395" s="318"/>
      <c r="R14395" s="318"/>
      <c r="S14395" s="318"/>
      <c r="T14395" s="318"/>
      <c r="U14395" s="318"/>
      <c r="V14395" s="318"/>
      <c r="W14395" s="318"/>
      <c r="X14395" s="318"/>
      <c r="Y14395" s="318"/>
      <c r="Z14395" s="318"/>
      <c r="AA14395" s="318"/>
      <c r="AB14395" s="318"/>
      <c r="AC14395" s="318"/>
      <c r="AD14395" s="318"/>
    </row>
    <row r="14396" spans="2:30" s="323" customFormat="1" ht="12" customHeight="1">
      <c r="B14396" s="324"/>
      <c r="C14396" s="325"/>
      <c r="D14396" s="326"/>
      <c r="E14396" s="326"/>
      <c r="F14396" s="326"/>
      <c r="G14396" s="326"/>
      <c r="H14396" s="326"/>
      <c r="P14396" s="318"/>
      <c r="Q14396" s="318"/>
      <c r="R14396" s="318"/>
      <c r="S14396" s="318"/>
      <c r="T14396" s="318"/>
      <c r="U14396" s="318"/>
      <c r="V14396" s="318"/>
      <c r="W14396" s="318"/>
      <c r="X14396" s="318"/>
      <c r="Y14396" s="318"/>
      <c r="Z14396" s="318"/>
      <c r="AA14396" s="318"/>
      <c r="AB14396" s="318"/>
      <c r="AC14396" s="318"/>
      <c r="AD14396" s="318"/>
    </row>
    <row r="14397" spans="2:30" s="323" customFormat="1" ht="12" customHeight="1">
      <c r="B14397" s="324"/>
      <c r="C14397" s="325"/>
      <c r="D14397" s="326"/>
      <c r="E14397" s="326"/>
      <c r="F14397" s="326"/>
      <c r="G14397" s="326"/>
      <c r="H14397" s="326"/>
      <c r="P14397" s="318"/>
      <c r="Q14397" s="318"/>
      <c r="R14397" s="318"/>
      <c r="S14397" s="318"/>
      <c r="T14397" s="318"/>
      <c r="U14397" s="318"/>
      <c r="V14397" s="318"/>
      <c r="W14397" s="318"/>
      <c r="X14397" s="318"/>
      <c r="Y14397" s="318"/>
      <c r="Z14397" s="318"/>
      <c r="AA14397" s="318"/>
      <c r="AB14397" s="318"/>
      <c r="AC14397" s="318"/>
      <c r="AD14397" s="318"/>
    </row>
    <row r="14398" spans="2:30" s="323" customFormat="1" ht="12" customHeight="1">
      <c r="B14398" s="324"/>
      <c r="C14398" s="325"/>
      <c r="D14398" s="326"/>
      <c r="E14398" s="326"/>
      <c r="F14398" s="326"/>
      <c r="G14398" s="326"/>
      <c r="H14398" s="326"/>
      <c r="P14398" s="318"/>
      <c r="Q14398" s="318"/>
      <c r="R14398" s="318"/>
      <c r="S14398" s="318"/>
      <c r="T14398" s="318"/>
      <c r="U14398" s="318"/>
      <c r="V14398" s="318"/>
      <c r="W14398" s="318"/>
      <c r="X14398" s="318"/>
      <c r="Y14398" s="318"/>
      <c r="Z14398" s="318"/>
      <c r="AA14398" s="318"/>
      <c r="AB14398" s="318"/>
      <c r="AC14398" s="318"/>
      <c r="AD14398" s="318"/>
    </row>
    <row r="14399" spans="2:30" s="323" customFormat="1" ht="12" customHeight="1">
      <c r="B14399" s="324"/>
      <c r="C14399" s="325"/>
      <c r="D14399" s="326"/>
      <c r="E14399" s="326"/>
      <c r="F14399" s="326"/>
      <c r="G14399" s="326"/>
      <c r="H14399" s="326"/>
      <c r="P14399" s="318"/>
      <c r="Q14399" s="318"/>
      <c r="R14399" s="318"/>
      <c r="S14399" s="318"/>
      <c r="T14399" s="318"/>
      <c r="U14399" s="318"/>
      <c r="V14399" s="318"/>
      <c r="W14399" s="318"/>
      <c r="X14399" s="318"/>
      <c r="Y14399" s="318"/>
      <c r="Z14399" s="318"/>
      <c r="AA14399" s="318"/>
      <c r="AB14399" s="318"/>
      <c r="AC14399" s="318"/>
      <c r="AD14399" s="318"/>
    </row>
    <row r="14400" spans="2:30" s="323" customFormat="1" ht="12" customHeight="1">
      <c r="B14400" s="324"/>
      <c r="C14400" s="325"/>
      <c r="D14400" s="326"/>
      <c r="E14400" s="326"/>
      <c r="F14400" s="326"/>
      <c r="G14400" s="326"/>
      <c r="H14400" s="326"/>
      <c r="P14400" s="318"/>
      <c r="Q14400" s="318"/>
      <c r="R14400" s="318"/>
      <c r="S14400" s="318"/>
      <c r="T14400" s="318"/>
      <c r="U14400" s="318"/>
      <c r="V14400" s="318"/>
      <c r="W14400" s="318"/>
      <c r="X14400" s="318"/>
      <c r="Y14400" s="318"/>
      <c r="Z14400" s="318"/>
      <c r="AA14400" s="318"/>
      <c r="AB14400" s="318"/>
      <c r="AC14400" s="318"/>
      <c r="AD14400" s="318"/>
    </row>
    <row r="14401" spans="2:30" s="323" customFormat="1" ht="12" customHeight="1">
      <c r="B14401" s="324"/>
      <c r="C14401" s="325"/>
      <c r="D14401" s="326"/>
      <c r="E14401" s="326"/>
      <c r="F14401" s="326"/>
      <c r="G14401" s="326"/>
      <c r="H14401" s="326"/>
      <c r="P14401" s="318"/>
      <c r="Q14401" s="318"/>
      <c r="R14401" s="318"/>
      <c r="S14401" s="318"/>
      <c r="T14401" s="318"/>
      <c r="U14401" s="318"/>
      <c r="V14401" s="318"/>
      <c r="W14401" s="318"/>
      <c r="X14401" s="318"/>
      <c r="Y14401" s="318"/>
      <c r="Z14401" s="318"/>
      <c r="AA14401" s="318"/>
      <c r="AB14401" s="318"/>
      <c r="AC14401" s="318"/>
      <c r="AD14401" s="318"/>
    </row>
    <row r="14402" spans="2:30" s="323" customFormat="1" ht="12" customHeight="1">
      <c r="B14402" s="324"/>
      <c r="C14402" s="325"/>
      <c r="D14402" s="326"/>
      <c r="E14402" s="326"/>
      <c r="F14402" s="326"/>
      <c r="G14402" s="326"/>
      <c r="H14402" s="326"/>
      <c r="P14402" s="318"/>
      <c r="Q14402" s="318"/>
      <c r="R14402" s="318"/>
      <c r="S14402" s="318"/>
      <c r="T14402" s="318"/>
      <c r="U14402" s="318"/>
      <c r="V14402" s="318"/>
      <c r="W14402" s="318"/>
      <c r="X14402" s="318"/>
      <c r="Y14402" s="318"/>
      <c r="Z14402" s="318"/>
      <c r="AA14402" s="318"/>
      <c r="AB14402" s="318"/>
      <c r="AC14402" s="318"/>
      <c r="AD14402" s="318"/>
    </row>
    <row r="14403" spans="2:30" s="323" customFormat="1" ht="12" customHeight="1">
      <c r="B14403" s="324"/>
      <c r="C14403" s="325"/>
      <c r="D14403" s="326"/>
      <c r="E14403" s="326"/>
      <c r="F14403" s="326"/>
      <c r="G14403" s="326"/>
      <c r="H14403" s="326"/>
      <c r="P14403" s="318"/>
      <c r="Q14403" s="318"/>
      <c r="R14403" s="318"/>
      <c r="S14403" s="318"/>
      <c r="T14403" s="318"/>
      <c r="U14403" s="318"/>
      <c r="V14403" s="318"/>
      <c r="W14403" s="318"/>
      <c r="X14403" s="318"/>
      <c r="Y14403" s="318"/>
      <c r="Z14403" s="318"/>
      <c r="AA14403" s="318"/>
      <c r="AB14403" s="318"/>
      <c r="AC14403" s="318"/>
      <c r="AD14403" s="318"/>
    </row>
    <row r="14404" spans="2:30" s="323" customFormat="1" ht="12" customHeight="1">
      <c r="B14404" s="324"/>
      <c r="C14404" s="325"/>
      <c r="D14404" s="326"/>
      <c r="E14404" s="326"/>
      <c r="F14404" s="326"/>
      <c r="G14404" s="326"/>
      <c r="H14404" s="326"/>
      <c r="P14404" s="318"/>
      <c r="Q14404" s="318"/>
      <c r="R14404" s="318"/>
      <c r="S14404" s="318"/>
      <c r="T14404" s="318"/>
      <c r="U14404" s="318"/>
      <c r="V14404" s="318"/>
      <c r="W14404" s="318"/>
      <c r="X14404" s="318"/>
      <c r="Y14404" s="318"/>
      <c r="Z14404" s="318"/>
      <c r="AA14404" s="318"/>
      <c r="AB14404" s="318"/>
      <c r="AC14404" s="318"/>
      <c r="AD14404" s="318"/>
    </row>
    <row r="14405" spans="2:30" s="323" customFormat="1" ht="12" customHeight="1">
      <c r="B14405" s="324"/>
      <c r="C14405" s="325"/>
      <c r="D14405" s="326"/>
      <c r="E14405" s="326"/>
      <c r="F14405" s="326"/>
      <c r="G14405" s="326"/>
      <c r="H14405" s="326"/>
      <c r="P14405" s="318"/>
      <c r="Q14405" s="318"/>
      <c r="R14405" s="318"/>
      <c r="S14405" s="318"/>
      <c r="T14405" s="318"/>
      <c r="U14405" s="318"/>
      <c r="V14405" s="318"/>
      <c r="W14405" s="318"/>
      <c r="X14405" s="318"/>
      <c r="Y14405" s="318"/>
      <c r="Z14405" s="318"/>
      <c r="AA14405" s="318"/>
      <c r="AB14405" s="318"/>
      <c r="AC14405" s="318"/>
      <c r="AD14405" s="318"/>
    </row>
    <row r="14406" spans="2:30" s="323" customFormat="1" ht="12" customHeight="1">
      <c r="B14406" s="324"/>
      <c r="C14406" s="325"/>
      <c r="D14406" s="326"/>
      <c r="E14406" s="326"/>
      <c r="F14406" s="326"/>
      <c r="G14406" s="326"/>
      <c r="H14406" s="326"/>
      <c r="P14406" s="318"/>
      <c r="Q14406" s="318"/>
      <c r="R14406" s="318"/>
      <c r="S14406" s="318"/>
      <c r="T14406" s="318"/>
      <c r="U14406" s="318"/>
      <c r="V14406" s="318"/>
      <c r="W14406" s="318"/>
      <c r="X14406" s="318"/>
      <c r="Y14406" s="318"/>
      <c r="Z14406" s="318"/>
      <c r="AA14406" s="318"/>
      <c r="AB14406" s="318"/>
      <c r="AC14406" s="318"/>
      <c r="AD14406" s="318"/>
    </row>
    <row r="14407" spans="2:30" s="323" customFormat="1" ht="12" customHeight="1">
      <c r="B14407" s="324"/>
      <c r="C14407" s="325"/>
      <c r="D14407" s="326"/>
      <c r="E14407" s="326"/>
      <c r="F14407" s="326"/>
      <c r="G14407" s="326"/>
      <c r="H14407" s="326"/>
      <c r="P14407" s="318"/>
      <c r="Q14407" s="318"/>
      <c r="R14407" s="318"/>
      <c r="S14407" s="318"/>
      <c r="T14407" s="318"/>
      <c r="U14407" s="318"/>
      <c r="V14407" s="318"/>
      <c r="W14407" s="318"/>
      <c r="X14407" s="318"/>
      <c r="Y14407" s="318"/>
      <c r="Z14407" s="318"/>
      <c r="AA14407" s="318"/>
      <c r="AB14407" s="318"/>
      <c r="AC14407" s="318"/>
      <c r="AD14407" s="318"/>
    </row>
    <row r="14408" spans="2:30" s="323" customFormat="1" ht="12" customHeight="1">
      <c r="B14408" s="324"/>
      <c r="C14408" s="325"/>
      <c r="D14408" s="326"/>
      <c r="E14408" s="326"/>
      <c r="F14408" s="326"/>
      <c r="G14408" s="326"/>
      <c r="H14408" s="326"/>
      <c r="P14408" s="318"/>
      <c r="Q14408" s="318"/>
      <c r="R14408" s="318"/>
      <c r="S14408" s="318"/>
      <c r="T14408" s="318"/>
      <c r="U14408" s="318"/>
      <c r="V14408" s="318"/>
      <c r="W14408" s="318"/>
      <c r="X14408" s="318"/>
      <c r="Y14408" s="318"/>
      <c r="Z14408" s="318"/>
      <c r="AA14408" s="318"/>
      <c r="AB14408" s="318"/>
      <c r="AC14408" s="318"/>
      <c r="AD14408" s="318"/>
    </row>
    <row r="14409" spans="2:30" s="323" customFormat="1" ht="12" customHeight="1">
      <c r="B14409" s="324"/>
      <c r="C14409" s="325"/>
      <c r="D14409" s="326"/>
      <c r="E14409" s="326"/>
      <c r="F14409" s="326"/>
      <c r="G14409" s="326"/>
      <c r="H14409" s="326"/>
      <c r="P14409" s="318"/>
      <c r="Q14409" s="318"/>
      <c r="R14409" s="318"/>
      <c r="S14409" s="318"/>
      <c r="T14409" s="318"/>
      <c r="U14409" s="318"/>
      <c r="V14409" s="318"/>
      <c r="W14409" s="318"/>
      <c r="X14409" s="318"/>
      <c r="Y14409" s="318"/>
      <c r="Z14409" s="318"/>
      <c r="AA14409" s="318"/>
      <c r="AB14409" s="318"/>
      <c r="AC14409" s="318"/>
      <c r="AD14409" s="318"/>
    </row>
    <row r="14410" spans="2:30" s="323" customFormat="1" ht="12" customHeight="1">
      <c r="B14410" s="324"/>
      <c r="C14410" s="325"/>
      <c r="D14410" s="326"/>
      <c r="E14410" s="326"/>
      <c r="F14410" s="326"/>
      <c r="G14410" s="326"/>
      <c r="H14410" s="326"/>
      <c r="P14410" s="318"/>
      <c r="Q14410" s="318"/>
      <c r="R14410" s="318"/>
      <c r="S14410" s="318"/>
      <c r="T14410" s="318"/>
      <c r="U14410" s="318"/>
      <c r="V14410" s="318"/>
      <c r="W14410" s="318"/>
      <c r="X14410" s="318"/>
      <c r="Y14410" s="318"/>
      <c r="Z14410" s="318"/>
      <c r="AA14410" s="318"/>
      <c r="AB14410" s="318"/>
      <c r="AC14410" s="318"/>
      <c r="AD14410" s="318"/>
    </row>
    <row r="14411" spans="2:30" s="323" customFormat="1" ht="12" customHeight="1">
      <c r="B14411" s="324"/>
      <c r="C14411" s="325"/>
      <c r="D14411" s="326"/>
      <c r="E14411" s="326"/>
      <c r="F14411" s="326"/>
      <c r="G14411" s="326"/>
      <c r="H14411" s="326"/>
      <c r="P14411" s="318"/>
      <c r="Q14411" s="318"/>
      <c r="R14411" s="318"/>
      <c r="S14411" s="318"/>
      <c r="T14411" s="318"/>
      <c r="U14411" s="318"/>
      <c r="V14411" s="318"/>
      <c r="W14411" s="318"/>
      <c r="X14411" s="318"/>
      <c r="Y14411" s="318"/>
      <c r="Z14411" s="318"/>
      <c r="AA14411" s="318"/>
      <c r="AB14411" s="318"/>
      <c r="AC14411" s="318"/>
      <c r="AD14411" s="318"/>
    </row>
    <row r="14412" spans="2:30" s="323" customFormat="1" ht="12" customHeight="1">
      <c r="B14412" s="324"/>
      <c r="C14412" s="325"/>
      <c r="D14412" s="326"/>
      <c r="E14412" s="326"/>
      <c r="F14412" s="326"/>
      <c r="G14412" s="326"/>
      <c r="H14412" s="326"/>
      <c r="P14412" s="318"/>
      <c r="Q14412" s="318"/>
      <c r="R14412" s="318"/>
      <c r="S14412" s="318"/>
      <c r="T14412" s="318"/>
      <c r="U14412" s="318"/>
      <c r="V14412" s="318"/>
      <c r="W14412" s="318"/>
      <c r="X14412" s="318"/>
      <c r="Y14412" s="318"/>
      <c r="Z14412" s="318"/>
      <c r="AA14412" s="318"/>
      <c r="AB14412" s="318"/>
      <c r="AC14412" s="318"/>
      <c r="AD14412" s="318"/>
    </row>
    <row r="14413" spans="2:30" s="323" customFormat="1" ht="12" customHeight="1">
      <c r="B14413" s="324"/>
      <c r="C14413" s="325"/>
      <c r="D14413" s="326"/>
      <c r="E14413" s="326"/>
      <c r="F14413" s="326"/>
      <c r="G14413" s="326"/>
      <c r="H14413" s="326"/>
      <c r="P14413" s="318"/>
      <c r="Q14413" s="318"/>
      <c r="R14413" s="318"/>
      <c r="S14413" s="318"/>
      <c r="T14413" s="318"/>
      <c r="U14413" s="318"/>
      <c r="V14413" s="318"/>
      <c r="W14413" s="318"/>
      <c r="X14413" s="318"/>
      <c r="Y14413" s="318"/>
      <c r="Z14413" s="318"/>
      <c r="AA14413" s="318"/>
      <c r="AB14413" s="318"/>
      <c r="AC14413" s="318"/>
      <c r="AD14413" s="318"/>
    </row>
    <row r="14414" spans="2:30" s="323" customFormat="1" ht="12" customHeight="1">
      <c r="B14414" s="324"/>
      <c r="C14414" s="325"/>
      <c r="D14414" s="326"/>
      <c r="E14414" s="326"/>
      <c r="F14414" s="326"/>
      <c r="G14414" s="326"/>
      <c r="H14414" s="326"/>
      <c r="P14414" s="318"/>
      <c r="Q14414" s="318"/>
      <c r="R14414" s="318"/>
      <c r="S14414" s="318"/>
      <c r="T14414" s="318"/>
      <c r="U14414" s="318"/>
      <c r="V14414" s="318"/>
      <c r="W14414" s="318"/>
      <c r="X14414" s="318"/>
      <c r="Y14414" s="318"/>
      <c r="Z14414" s="318"/>
      <c r="AA14414" s="318"/>
      <c r="AB14414" s="318"/>
      <c r="AC14414" s="318"/>
      <c r="AD14414" s="318"/>
    </row>
    <row r="14415" spans="2:30" s="323" customFormat="1" ht="12" customHeight="1">
      <c r="B14415" s="324"/>
      <c r="C14415" s="325"/>
      <c r="D14415" s="326"/>
      <c r="E14415" s="326"/>
      <c r="F14415" s="326"/>
      <c r="G14415" s="326"/>
      <c r="H14415" s="326"/>
      <c r="P14415" s="318"/>
      <c r="Q14415" s="318"/>
      <c r="R14415" s="318"/>
      <c r="S14415" s="318"/>
      <c r="T14415" s="318"/>
      <c r="U14415" s="318"/>
      <c r="V14415" s="318"/>
      <c r="W14415" s="318"/>
      <c r="X14415" s="318"/>
      <c r="Y14415" s="318"/>
      <c r="Z14415" s="318"/>
      <c r="AA14415" s="318"/>
      <c r="AB14415" s="318"/>
      <c r="AC14415" s="318"/>
      <c r="AD14415" s="318"/>
    </row>
    <row r="14416" spans="2:30" s="323" customFormat="1" ht="12" customHeight="1">
      <c r="B14416" s="324"/>
      <c r="C14416" s="325"/>
      <c r="D14416" s="326"/>
      <c r="E14416" s="326"/>
      <c r="F14416" s="326"/>
      <c r="G14416" s="326"/>
      <c r="H14416" s="326"/>
      <c r="P14416" s="318"/>
      <c r="Q14416" s="318"/>
      <c r="R14416" s="318"/>
      <c r="S14416" s="318"/>
      <c r="T14416" s="318"/>
      <c r="U14416" s="318"/>
      <c r="V14416" s="318"/>
      <c r="W14416" s="318"/>
      <c r="X14416" s="318"/>
      <c r="Y14416" s="318"/>
      <c r="Z14416" s="318"/>
      <c r="AA14416" s="318"/>
      <c r="AB14416" s="318"/>
      <c r="AC14416" s="318"/>
      <c r="AD14416" s="318"/>
    </row>
    <row r="14417" spans="2:30" s="323" customFormat="1" ht="12" customHeight="1">
      <c r="B14417" s="324"/>
      <c r="C14417" s="325"/>
      <c r="D14417" s="326"/>
      <c r="E14417" s="326"/>
      <c r="F14417" s="326"/>
      <c r="G14417" s="326"/>
      <c r="H14417" s="326"/>
      <c r="P14417" s="318"/>
      <c r="Q14417" s="318"/>
      <c r="R14417" s="318"/>
      <c r="S14417" s="318"/>
      <c r="T14417" s="318"/>
      <c r="U14417" s="318"/>
      <c r="V14417" s="318"/>
      <c r="W14417" s="318"/>
      <c r="X14417" s="318"/>
      <c r="Y14417" s="318"/>
      <c r="Z14417" s="318"/>
      <c r="AA14417" s="318"/>
      <c r="AB14417" s="318"/>
      <c r="AC14417" s="318"/>
      <c r="AD14417" s="318"/>
    </row>
    <row r="14418" spans="2:30" s="323" customFormat="1" ht="12" customHeight="1">
      <c r="B14418" s="324"/>
      <c r="C14418" s="325"/>
      <c r="D14418" s="326"/>
      <c r="E14418" s="326"/>
      <c r="F14418" s="326"/>
      <c r="G14418" s="326"/>
      <c r="H14418" s="326"/>
      <c r="P14418" s="318"/>
      <c r="Q14418" s="318"/>
      <c r="R14418" s="318"/>
      <c r="S14418" s="318"/>
      <c r="T14418" s="318"/>
      <c r="U14418" s="318"/>
      <c r="V14418" s="318"/>
      <c r="W14418" s="318"/>
      <c r="X14418" s="318"/>
      <c r="Y14418" s="318"/>
      <c r="Z14418" s="318"/>
      <c r="AA14418" s="318"/>
      <c r="AB14418" s="318"/>
      <c r="AC14418" s="318"/>
      <c r="AD14418" s="318"/>
    </row>
    <row r="14419" spans="2:30" s="323" customFormat="1" ht="12" customHeight="1">
      <c r="B14419" s="324"/>
      <c r="C14419" s="325"/>
      <c r="D14419" s="326"/>
      <c r="E14419" s="326"/>
      <c r="F14419" s="326"/>
      <c r="G14419" s="326"/>
      <c r="H14419" s="326"/>
      <c r="P14419" s="318"/>
      <c r="Q14419" s="318"/>
      <c r="R14419" s="318"/>
      <c r="S14419" s="318"/>
      <c r="T14419" s="318"/>
      <c r="U14419" s="318"/>
      <c r="V14419" s="318"/>
      <c r="W14419" s="318"/>
      <c r="X14419" s="318"/>
      <c r="Y14419" s="318"/>
      <c r="Z14419" s="318"/>
      <c r="AA14419" s="318"/>
      <c r="AB14419" s="318"/>
      <c r="AC14419" s="318"/>
      <c r="AD14419" s="318"/>
    </row>
    <row r="14420" spans="2:30" s="323" customFormat="1" ht="12" customHeight="1">
      <c r="B14420" s="324"/>
      <c r="C14420" s="325"/>
      <c r="D14420" s="326"/>
      <c r="E14420" s="326"/>
      <c r="F14420" s="326"/>
      <c r="G14420" s="326"/>
      <c r="H14420" s="326"/>
      <c r="P14420" s="318"/>
      <c r="Q14420" s="318"/>
      <c r="R14420" s="318"/>
      <c r="S14420" s="318"/>
      <c r="T14420" s="318"/>
      <c r="U14420" s="318"/>
      <c r="V14420" s="318"/>
      <c r="W14420" s="318"/>
      <c r="X14420" s="318"/>
      <c r="Y14420" s="318"/>
      <c r="Z14420" s="318"/>
      <c r="AA14420" s="318"/>
      <c r="AB14420" s="318"/>
      <c r="AC14420" s="318"/>
      <c r="AD14420" s="318"/>
    </row>
    <row r="14421" spans="2:30" s="323" customFormat="1" ht="12" customHeight="1">
      <c r="B14421" s="324"/>
      <c r="C14421" s="325"/>
      <c r="D14421" s="326"/>
      <c r="E14421" s="326"/>
      <c r="F14421" s="326"/>
      <c r="G14421" s="326"/>
      <c r="H14421" s="326"/>
      <c r="P14421" s="318"/>
      <c r="Q14421" s="318"/>
      <c r="R14421" s="318"/>
      <c r="S14421" s="318"/>
      <c r="T14421" s="318"/>
      <c r="U14421" s="318"/>
      <c r="V14421" s="318"/>
      <c r="W14421" s="318"/>
      <c r="X14421" s="318"/>
      <c r="Y14421" s="318"/>
      <c r="Z14421" s="318"/>
      <c r="AA14421" s="318"/>
      <c r="AB14421" s="318"/>
      <c r="AC14421" s="318"/>
      <c r="AD14421" s="318"/>
    </row>
    <row r="14422" spans="2:30" s="323" customFormat="1" ht="12" customHeight="1">
      <c r="B14422" s="324"/>
      <c r="C14422" s="325"/>
      <c r="D14422" s="326"/>
      <c r="E14422" s="326"/>
      <c r="F14422" s="326"/>
      <c r="G14422" s="326"/>
      <c r="H14422" s="326"/>
      <c r="P14422" s="318"/>
      <c r="Q14422" s="318"/>
      <c r="R14422" s="318"/>
      <c r="S14422" s="318"/>
      <c r="T14422" s="318"/>
      <c r="U14422" s="318"/>
      <c r="V14422" s="318"/>
      <c r="W14422" s="318"/>
      <c r="X14422" s="318"/>
      <c r="Y14422" s="318"/>
      <c r="Z14422" s="318"/>
      <c r="AA14422" s="318"/>
      <c r="AB14422" s="318"/>
      <c r="AC14422" s="318"/>
      <c r="AD14422" s="318"/>
    </row>
    <row r="14423" spans="2:30" s="323" customFormat="1" ht="12" customHeight="1">
      <c r="B14423" s="324"/>
      <c r="C14423" s="325"/>
      <c r="D14423" s="326"/>
      <c r="E14423" s="326"/>
      <c r="F14423" s="326"/>
      <c r="G14423" s="326"/>
      <c r="H14423" s="326"/>
      <c r="P14423" s="318"/>
      <c r="Q14423" s="318"/>
      <c r="R14423" s="318"/>
      <c r="S14423" s="318"/>
      <c r="T14423" s="318"/>
      <c r="U14423" s="318"/>
      <c r="V14423" s="318"/>
      <c r="W14423" s="318"/>
      <c r="X14423" s="318"/>
      <c r="Y14423" s="318"/>
      <c r="Z14423" s="318"/>
      <c r="AA14423" s="318"/>
      <c r="AB14423" s="318"/>
      <c r="AC14423" s="318"/>
      <c r="AD14423" s="318"/>
    </row>
    <row r="14424" spans="2:30" s="323" customFormat="1" ht="12" customHeight="1">
      <c r="B14424" s="324"/>
      <c r="C14424" s="325"/>
      <c r="D14424" s="326"/>
      <c r="E14424" s="326"/>
      <c r="F14424" s="326"/>
      <c r="G14424" s="326"/>
      <c r="H14424" s="326"/>
      <c r="P14424" s="318"/>
      <c r="Q14424" s="318"/>
      <c r="R14424" s="318"/>
      <c r="S14424" s="318"/>
      <c r="T14424" s="318"/>
      <c r="U14424" s="318"/>
      <c r="V14424" s="318"/>
      <c r="W14424" s="318"/>
      <c r="X14424" s="318"/>
      <c r="Y14424" s="318"/>
      <c r="Z14424" s="318"/>
      <c r="AA14424" s="318"/>
      <c r="AB14424" s="318"/>
      <c r="AC14424" s="318"/>
      <c r="AD14424" s="318"/>
    </row>
    <row r="14425" spans="2:30" s="323" customFormat="1" ht="12" customHeight="1">
      <c r="B14425" s="324"/>
      <c r="C14425" s="325"/>
      <c r="D14425" s="326"/>
      <c r="E14425" s="326"/>
      <c r="F14425" s="326"/>
      <c r="G14425" s="326"/>
      <c r="H14425" s="326"/>
      <c r="P14425" s="318"/>
      <c r="Q14425" s="318"/>
      <c r="R14425" s="318"/>
      <c r="S14425" s="318"/>
      <c r="T14425" s="318"/>
      <c r="U14425" s="318"/>
      <c r="V14425" s="318"/>
      <c r="W14425" s="318"/>
      <c r="X14425" s="318"/>
      <c r="Y14425" s="318"/>
      <c r="Z14425" s="318"/>
      <c r="AA14425" s="318"/>
      <c r="AB14425" s="318"/>
      <c r="AC14425" s="318"/>
      <c r="AD14425" s="318"/>
    </row>
    <row r="14426" spans="2:30" s="323" customFormat="1" ht="12" customHeight="1">
      <c r="B14426" s="324"/>
      <c r="C14426" s="325"/>
      <c r="D14426" s="326"/>
      <c r="E14426" s="326"/>
      <c r="F14426" s="326"/>
      <c r="G14426" s="326"/>
      <c r="H14426" s="326"/>
      <c r="P14426" s="318"/>
      <c r="Q14426" s="318"/>
      <c r="R14426" s="318"/>
      <c r="S14426" s="318"/>
      <c r="T14426" s="318"/>
      <c r="U14426" s="318"/>
      <c r="V14426" s="318"/>
      <c r="W14426" s="318"/>
      <c r="X14426" s="318"/>
      <c r="Y14426" s="318"/>
      <c r="Z14426" s="318"/>
      <c r="AA14426" s="318"/>
      <c r="AB14426" s="318"/>
      <c r="AC14426" s="318"/>
      <c r="AD14426" s="318"/>
    </row>
    <row r="14427" spans="2:30" s="323" customFormat="1" ht="12" customHeight="1">
      <c r="B14427" s="324"/>
      <c r="C14427" s="325"/>
      <c r="D14427" s="326"/>
      <c r="E14427" s="326"/>
      <c r="F14427" s="326"/>
      <c r="G14427" s="326"/>
      <c r="H14427" s="326"/>
      <c r="P14427" s="318"/>
      <c r="Q14427" s="318"/>
      <c r="R14427" s="318"/>
      <c r="S14427" s="318"/>
      <c r="T14427" s="318"/>
      <c r="U14427" s="318"/>
      <c r="V14427" s="318"/>
      <c r="W14427" s="318"/>
      <c r="X14427" s="318"/>
      <c r="Y14427" s="318"/>
      <c r="Z14427" s="318"/>
      <c r="AA14427" s="318"/>
      <c r="AB14427" s="318"/>
      <c r="AC14427" s="318"/>
      <c r="AD14427" s="318"/>
    </row>
    <row r="14428" spans="2:30" s="323" customFormat="1" ht="12" customHeight="1">
      <c r="B14428" s="324"/>
      <c r="C14428" s="325"/>
      <c r="D14428" s="326"/>
      <c r="E14428" s="326"/>
      <c r="F14428" s="326"/>
      <c r="G14428" s="326"/>
      <c r="H14428" s="326"/>
      <c r="P14428" s="318"/>
      <c r="Q14428" s="318"/>
      <c r="R14428" s="318"/>
      <c r="S14428" s="318"/>
      <c r="T14428" s="318"/>
      <c r="U14428" s="318"/>
      <c r="V14428" s="318"/>
      <c r="W14428" s="318"/>
      <c r="X14428" s="318"/>
      <c r="Y14428" s="318"/>
      <c r="Z14428" s="318"/>
      <c r="AA14428" s="318"/>
      <c r="AB14428" s="318"/>
      <c r="AC14428" s="318"/>
      <c r="AD14428" s="318"/>
    </row>
    <row r="14429" spans="2:30" s="323" customFormat="1" ht="12" customHeight="1">
      <c r="B14429" s="324"/>
      <c r="C14429" s="325"/>
      <c r="D14429" s="326"/>
      <c r="E14429" s="326"/>
      <c r="F14429" s="326"/>
      <c r="G14429" s="326"/>
      <c r="H14429" s="326"/>
      <c r="P14429" s="318"/>
      <c r="Q14429" s="318"/>
      <c r="R14429" s="318"/>
      <c r="S14429" s="318"/>
      <c r="T14429" s="318"/>
      <c r="U14429" s="318"/>
      <c r="V14429" s="318"/>
      <c r="W14429" s="318"/>
      <c r="X14429" s="318"/>
      <c r="Y14429" s="318"/>
      <c r="Z14429" s="318"/>
      <c r="AA14429" s="318"/>
      <c r="AB14429" s="318"/>
      <c r="AC14429" s="318"/>
      <c r="AD14429" s="318"/>
    </row>
    <row r="14430" spans="2:30" s="323" customFormat="1" ht="12" customHeight="1">
      <c r="B14430" s="324"/>
      <c r="C14430" s="325"/>
      <c r="D14430" s="326"/>
      <c r="E14430" s="326"/>
      <c r="F14430" s="326"/>
      <c r="G14430" s="326"/>
      <c r="H14430" s="326"/>
      <c r="P14430" s="318"/>
      <c r="Q14430" s="318"/>
      <c r="R14430" s="318"/>
      <c r="S14430" s="318"/>
      <c r="T14430" s="318"/>
      <c r="U14430" s="318"/>
      <c r="V14430" s="318"/>
      <c r="W14430" s="318"/>
      <c r="X14430" s="318"/>
      <c r="Y14430" s="318"/>
      <c r="Z14430" s="318"/>
      <c r="AA14430" s="318"/>
      <c r="AB14430" s="318"/>
      <c r="AC14430" s="318"/>
      <c r="AD14430" s="318"/>
    </row>
    <row r="14431" spans="2:30" s="323" customFormat="1" ht="12" customHeight="1">
      <c r="B14431" s="324"/>
      <c r="C14431" s="325"/>
      <c r="D14431" s="326"/>
      <c r="E14431" s="326"/>
      <c r="F14431" s="326"/>
      <c r="G14431" s="326"/>
      <c r="H14431" s="326"/>
      <c r="P14431" s="318"/>
      <c r="Q14431" s="318"/>
      <c r="R14431" s="318"/>
      <c r="S14431" s="318"/>
      <c r="T14431" s="318"/>
      <c r="U14431" s="318"/>
      <c r="V14431" s="318"/>
      <c r="W14431" s="318"/>
      <c r="X14431" s="318"/>
      <c r="Y14431" s="318"/>
      <c r="Z14431" s="318"/>
      <c r="AA14431" s="318"/>
      <c r="AB14431" s="318"/>
      <c r="AC14431" s="318"/>
      <c r="AD14431" s="318"/>
    </row>
    <row r="14432" spans="2:30" s="323" customFormat="1" ht="12" customHeight="1">
      <c r="B14432" s="324"/>
      <c r="C14432" s="325"/>
      <c r="D14432" s="326"/>
      <c r="E14432" s="326"/>
      <c r="F14432" s="326"/>
      <c r="G14432" s="326"/>
      <c r="H14432" s="326"/>
      <c r="P14432" s="318"/>
      <c r="Q14432" s="318"/>
      <c r="R14432" s="318"/>
      <c r="S14432" s="318"/>
      <c r="T14432" s="318"/>
      <c r="U14432" s="318"/>
      <c r="V14432" s="318"/>
      <c r="W14432" s="318"/>
      <c r="X14432" s="318"/>
      <c r="Y14432" s="318"/>
      <c r="Z14432" s="318"/>
      <c r="AA14432" s="318"/>
      <c r="AB14432" s="318"/>
      <c r="AC14432" s="318"/>
      <c r="AD14432" s="318"/>
    </row>
    <row r="14433" spans="2:30" s="323" customFormat="1" ht="12" customHeight="1">
      <c r="B14433" s="324"/>
      <c r="C14433" s="325"/>
      <c r="D14433" s="326"/>
      <c r="E14433" s="326"/>
      <c r="F14433" s="326"/>
      <c r="G14433" s="326"/>
      <c r="H14433" s="326"/>
      <c r="P14433" s="318"/>
      <c r="Q14433" s="318"/>
      <c r="R14433" s="318"/>
      <c r="S14433" s="318"/>
      <c r="T14433" s="318"/>
      <c r="U14433" s="318"/>
      <c r="V14433" s="318"/>
      <c r="W14433" s="318"/>
      <c r="X14433" s="318"/>
      <c r="Y14433" s="318"/>
      <c r="Z14433" s="318"/>
      <c r="AA14433" s="318"/>
      <c r="AB14433" s="318"/>
      <c r="AC14433" s="318"/>
      <c r="AD14433" s="318"/>
    </row>
    <row r="14434" spans="2:30" s="323" customFormat="1" ht="12" customHeight="1">
      <c r="B14434" s="324"/>
      <c r="C14434" s="325"/>
      <c r="D14434" s="326"/>
      <c r="E14434" s="326"/>
      <c r="F14434" s="326"/>
      <c r="G14434" s="326"/>
      <c r="H14434" s="326"/>
      <c r="P14434" s="318"/>
      <c r="Q14434" s="318"/>
      <c r="R14434" s="318"/>
      <c r="S14434" s="318"/>
      <c r="T14434" s="318"/>
      <c r="U14434" s="318"/>
      <c r="V14434" s="318"/>
      <c r="W14434" s="318"/>
      <c r="X14434" s="318"/>
      <c r="Y14434" s="318"/>
      <c r="Z14434" s="318"/>
      <c r="AA14434" s="318"/>
      <c r="AB14434" s="318"/>
      <c r="AC14434" s="318"/>
      <c r="AD14434" s="318"/>
    </row>
    <row r="14435" spans="2:30" s="323" customFormat="1" ht="12" customHeight="1">
      <c r="B14435" s="324"/>
      <c r="C14435" s="325"/>
      <c r="D14435" s="326"/>
      <c r="E14435" s="326"/>
      <c r="F14435" s="326"/>
      <c r="G14435" s="326"/>
      <c r="H14435" s="326"/>
      <c r="P14435" s="318"/>
      <c r="Q14435" s="318"/>
      <c r="R14435" s="318"/>
      <c r="S14435" s="318"/>
      <c r="T14435" s="318"/>
      <c r="U14435" s="318"/>
      <c r="V14435" s="318"/>
      <c r="W14435" s="318"/>
      <c r="X14435" s="318"/>
      <c r="Y14435" s="318"/>
      <c r="Z14435" s="318"/>
      <c r="AA14435" s="318"/>
      <c r="AB14435" s="318"/>
      <c r="AC14435" s="318"/>
      <c r="AD14435" s="318"/>
    </row>
    <row r="14436" spans="2:30" s="323" customFormat="1" ht="12" customHeight="1">
      <c r="B14436" s="324"/>
      <c r="C14436" s="325"/>
      <c r="D14436" s="326"/>
      <c r="E14436" s="326"/>
      <c r="F14436" s="326"/>
      <c r="G14436" s="326"/>
      <c r="H14436" s="326"/>
      <c r="P14436" s="318"/>
      <c r="Q14436" s="318"/>
      <c r="R14436" s="318"/>
      <c r="S14436" s="318"/>
      <c r="T14436" s="318"/>
      <c r="U14436" s="318"/>
      <c r="V14436" s="318"/>
      <c r="W14436" s="318"/>
      <c r="X14436" s="318"/>
      <c r="Y14436" s="318"/>
      <c r="Z14436" s="318"/>
      <c r="AA14436" s="318"/>
      <c r="AB14436" s="318"/>
      <c r="AC14436" s="318"/>
      <c r="AD14436" s="318"/>
    </row>
    <row r="14437" spans="2:30" s="323" customFormat="1" ht="12" customHeight="1">
      <c r="B14437" s="324"/>
      <c r="C14437" s="325"/>
      <c r="D14437" s="326"/>
      <c r="E14437" s="326"/>
      <c r="F14437" s="326"/>
      <c r="G14437" s="326"/>
      <c r="H14437" s="326"/>
      <c r="P14437" s="318"/>
      <c r="Q14437" s="318"/>
      <c r="R14437" s="318"/>
      <c r="S14437" s="318"/>
      <c r="T14437" s="318"/>
      <c r="U14437" s="318"/>
      <c r="V14437" s="318"/>
      <c r="W14437" s="318"/>
      <c r="X14437" s="318"/>
      <c r="Y14437" s="318"/>
      <c r="Z14437" s="318"/>
      <c r="AA14437" s="318"/>
      <c r="AB14437" s="318"/>
      <c r="AC14437" s="318"/>
      <c r="AD14437" s="318"/>
    </row>
    <row r="14438" spans="2:30" s="323" customFormat="1" ht="12" customHeight="1">
      <c r="B14438" s="324"/>
      <c r="C14438" s="325"/>
      <c r="D14438" s="326"/>
      <c r="E14438" s="326"/>
      <c r="F14438" s="326"/>
      <c r="G14438" s="326"/>
      <c r="H14438" s="326"/>
      <c r="P14438" s="318"/>
      <c r="Q14438" s="318"/>
      <c r="R14438" s="318"/>
      <c r="S14438" s="318"/>
      <c r="T14438" s="318"/>
      <c r="U14438" s="318"/>
      <c r="V14438" s="318"/>
      <c r="W14438" s="318"/>
      <c r="X14438" s="318"/>
      <c r="Y14438" s="318"/>
      <c r="Z14438" s="318"/>
      <c r="AA14438" s="318"/>
      <c r="AB14438" s="318"/>
      <c r="AC14438" s="318"/>
      <c r="AD14438" s="318"/>
    </row>
    <row r="14439" spans="2:30" s="323" customFormat="1" ht="12" customHeight="1">
      <c r="B14439" s="324"/>
      <c r="C14439" s="325"/>
      <c r="D14439" s="326"/>
      <c r="E14439" s="326"/>
      <c r="F14439" s="326"/>
      <c r="G14439" s="326"/>
      <c r="H14439" s="326"/>
      <c r="P14439" s="318"/>
      <c r="Q14439" s="318"/>
      <c r="R14439" s="318"/>
      <c r="S14439" s="318"/>
      <c r="T14439" s="318"/>
      <c r="U14439" s="318"/>
      <c r="V14439" s="318"/>
      <c r="W14439" s="318"/>
      <c r="X14439" s="318"/>
      <c r="Y14439" s="318"/>
      <c r="Z14439" s="318"/>
      <c r="AA14439" s="318"/>
      <c r="AB14439" s="318"/>
      <c r="AC14439" s="318"/>
      <c r="AD14439" s="318"/>
    </row>
    <row r="14440" spans="2:30" s="323" customFormat="1" ht="12" customHeight="1">
      <c r="B14440" s="324"/>
      <c r="C14440" s="325"/>
      <c r="D14440" s="326"/>
      <c r="E14440" s="326"/>
      <c r="F14440" s="326"/>
      <c r="G14440" s="326"/>
      <c r="H14440" s="326"/>
      <c r="P14440" s="318"/>
      <c r="Q14440" s="318"/>
      <c r="R14440" s="318"/>
      <c r="S14440" s="318"/>
      <c r="T14440" s="318"/>
      <c r="U14440" s="318"/>
      <c r="V14440" s="318"/>
      <c r="W14440" s="318"/>
      <c r="X14440" s="318"/>
      <c r="Y14440" s="318"/>
      <c r="Z14440" s="318"/>
      <c r="AA14440" s="318"/>
      <c r="AB14440" s="318"/>
      <c r="AC14440" s="318"/>
      <c r="AD14440" s="318"/>
    </row>
    <row r="14441" spans="2:30" s="323" customFormat="1" ht="12" customHeight="1">
      <c r="B14441" s="324"/>
      <c r="C14441" s="325"/>
      <c r="D14441" s="326"/>
      <c r="E14441" s="326"/>
      <c r="F14441" s="326"/>
      <c r="G14441" s="326"/>
      <c r="H14441" s="326"/>
      <c r="P14441" s="318"/>
      <c r="Q14441" s="318"/>
      <c r="R14441" s="318"/>
      <c r="S14441" s="318"/>
      <c r="T14441" s="318"/>
      <c r="U14441" s="318"/>
      <c r="V14441" s="318"/>
      <c r="W14441" s="318"/>
      <c r="X14441" s="318"/>
      <c r="Y14441" s="318"/>
      <c r="Z14441" s="318"/>
      <c r="AA14441" s="318"/>
      <c r="AB14441" s="318"/>
      <c r="AC14441" s="318"/>
      <c r="AD14441" s="318"/>
    </row>
    <row r="14442" spans="2:30" s="323" customFormat="1" ht="12" customHeight="1">
      <c r="B14442" s="324"/>
      <c r="C14442" s="325"/>
      <c r="D14442" s="326"/>
      <c r="E14442" s="326"/>
      <c r="F14442" s="326"/>
      <c r="G14442" s="326"/>
      <c r="H14442" s="326"/>
      <c r="P14442" s="318"/>
      <c r="Q14442" s="318"/>
      <c r="R14442" s="318"/>
      <c r="S14442" s="318"/>
      <c r="T14442" s="318"/>
      <c r="U14442" s="318"/>
      <c r="V14442" s="318"/>
      <c r="W14442" s="318"/>
      <c r="X14442" s="318"/>
      <c r="Y14442" s="318"/>
      <c r="Z14442" s="318"/>
      <c r="AA14442" s="318"/>
      <c r="AB14442" s="318"/>
      <c r="AC14442" s="318"/>
      <c r="AD14442" s="318"/>
    </row>
    <row r="14443" spans="2:30" s="323" customFormat="1" ht="12" customHeight="1">
      <c r="B14443" s="324"/>
      <c r="C14443" s="325"/>
      <c r="D14443" s="326"/>
      <c r="E14443" s="326"/>
      <c r="F14443" s="326"/>
      <c r="G14443" s="326"/>
      <c r="H14443" s="326"/>
      <c r="P14443" s="318"/>
      <c r="Q14443" s="318"/>
      <c r="R14443" s="318"/>
      <c r="S14443" s="318"/>
      <c r="T14443" s="318"/>
      <c r="U14443" s="318"/>
      <c r="V14443" s="318"/>
      <c r="W14443" s="318"/>
      <c r="X14443" s="318"/>
      <c r="Y14443" s="318"/>
      <c r="Z14443" s="318"/>
      <c r="AA14443" s="318"/>
      <c r="AB14443" s="318"/>
      <c r="AC14443" s="318"/>
      <c r="AD14443" s="318"/>
    </row>
    <row r="14444" spans="2:30" s="323" customFormat="1" ht="12" customHeight="1">
      <c r="B14444" s="324"/>
      <c r="C14444" s="325"/>
      <c r="D14444" s="326"/>
      <c r="E14444" s="326"/>
      <c r="F14444" s="326"/>
      <c r="G14444" s="326"/>
      <c r="H14444" s="326"/>
      <c r="P14444" s="318"/>
      <c r="Q14444" s="318"/>
      <c r="R14444" s="318"/>
      <c r="S14444" s="318"/>
      <c r="T14444" s="318"/>
      <c r="U14444" s="318"/>
      <c r="V14444" s="318"/>
      <c r="W14444" s="318"/>
      <c r="X14444" s="318"/>
      <c r="Y14444" s="318"/>
      <c r="Z14444" s="318"/>
      <c r="AA14444" s="318"/>
      <c r="AB14444" s="318"/>
      <c r="AC14444" s="318"/>
      <c r="AD14444" s="318"/>
    </row>
    <row r="14445" spans="2:30" s="323" customFormat="1" ht="12" customHeight="1">
      <c r="B14445" s="324"/>
      <c r="C14445" s="325"/>
      <c r="D14445" s="326"/>
      <c r="E14445" s="326"/>
      <c r="F14445" s="326"/>
      <c r="G14445" s="326"/>
      <c r="H14445" s="326"/>
      <c r="P14445" s="318"/>
      <c r="Q14445" s="318"/>
      <c r="R14445" s="318"/>
      <c r="S14445" s="318"/>
      <c r="T14445" s="318"/>
      <c r="U14445" s="318"/>
      <c r="V14445" s="318"/>
      <c r="W14445" s="318"/>
      <c r="X14445" s="318"/>
      <c r="Y14445" s="318"/>
      <c r="Z14445" s="318"/>
      <c r="AA14445" s="318"/>
      <c r="AB14445" s="318"/>
      <c r="AC14445" s="318"/>
      <c r="AD14445" s="318"/>
    </row>
    <row r="14446" spans="2:30" s="323" customFormat="1" ht="12" customHeight="1">
      <c r="B14446" s="324"/>
      <c r="C14446" s="325"/>
      <c r="D14446" s="326"/>
      <c r="E14446" s="326"/>
      <c r="F14446" s="326"/>
      <c r="G14446" s="326"/>
      <c r="H14446" s="326"/>
      <c r="P14446" s="318"/>
      <c r="Q14446" s="318"/>
      <c r="R14446" s="318"/>
      <c r="S14446" s="318"/>
      <c r="T14446" s="318"/>
      <c r="U14446" s="318"/>
      <c r="V14446" s="318"/>
      <c r="W14446" s="318"/>
      <c r="X14446" s="318"/>
      <c r="Y14446" s="318"/>
      <c r="Z14446" s="318"/>
      <c r="AA14446" s="318"/>
      <c r="AB14446" s="318"/>
      <c r="AC14446" s="318"/>
      <c r="AD14446" s="318"/>
    </row>
    <row r="14447" spans="2:30" s="323" customFormat="1" ht="12" customHeight="1">
      <c r="B14447" s="324"/>
      <c r="C14447" s="325"/>
      <c r="D14447" s="326"/>
      <c r="E14447" s="326"/>
      <c r="F14447" s="326"/>
      <c r="G14447" s="326"/>
      <c r="H14447" s="326"/>
      <c r="P14447" s="318"/>
      <c r="Q14447" s="318"/>
      <c r="R14447" s="318"/>
      <c r="S14447" s="318"/>
      <c r="T14447" s="318"/>
      <c r="U14447" s="318"/>
      <c r="V14447" s="318"/>
      <c r="W14447" s="318"/>
      <c r="X14447" s="318"/>
      <c r="Y14447" s="318"/>
      <c r="Z14447" s="318"/>
      <c r="AA14447" s="318"/>
      <c r="AB14447" s="318"/>
      <c r="AC14447" s="318"/>
      <c r="AD14447" s="318"/>
    </row>
    <row r="14448" spans="2:30" s="323" customFormat="1" ht="12" customHeight="1">
      <c r="B14448" s="324"/>
      <c r="C14448" s="325"/>
      <c r="D14448" s="326"/>
      <c r="E14448" s="326"/>
      <c r="F14448" s="326"/>
      <c r="G14448" s="326"/>
      <c r="H14448" s="326"/>
      <c r="P14448" s="318"/>
      <c r="Q14448" s="318"/>
      <c r="R14448" s="318"/>
      <c r="S14448" s="318"/>
      <c r="T14448" s="318"/>
      <c r="U14448" s="318"/>
      <c r="V14448" s="318"/>
      <c r="W14448" s="318"/>
      <c r="X14448" s="318"/>
      <c r="Y14448" s="318"/>
      <c r="Z14448" s="318"/>
      <c r="AA14448" s="318"/>
      <c r="AB14448" s="318"/>
      <c r="AC14448" s="318"/>
      <c r="AD14448" s="318"/>
    </row>
    <row r="14449" spans="2:30" s="323" customFormat="1" ht="12" customHeight="1">
      <c r="B14449" s="324"/>
      <c r="C14449" s="325"/>
      <c r="D14449" s="326"/>
      <c r="E14449" s="326"/>
      <c r="F14449" s="326"/>
      <c r="G14449" s="326"/>
      <c r="H14449" s="326"/>
      <c r="P14449" s="318"/>
      <c r="Q14449" s="318"/>
      <c r="R14449" s="318"/>
      <c r="S14449" s="318"/>
      <c r="T14449" s="318"/>
      <c r="U14449" s="318"/>
      <c r="V14449" s="318"/>
      <c r="W14449" s="318"/>
      <c r="X14449" s="318"/>
      <c r="Y14449" s="318"/>
      <c r="Z14449" s="318"/>
      <c r="AA14449" s="318"/>
      <c r="AB14449" s="318"/>
      <c r="AC14449" s="318"/>
      <c r="AD14449" s="318"/>
    </row>
    <row r="14450" spans="2:30" s="323" customFormat="1" ht="12" customHeight="1">
      <c r="B14450" s="324"/>
      <c r="C14450" s="325"/>
      <c r="D14450" s="326"/>
      <c r="E14450" s="326"/>
      <c r="F14450" s="326"/>
      <c r="G14450" s="326"/>
      <c r="H14450" s="326"/>
      <c r="P14450" s="318"/>
      <c r="Q14450" s="318"/>
      <c r="R14450" s="318"/>
      <c r="S14450" s="318"/>
      <c r="T14450" s="318"/>
      <c r="U14450" s="318"/>
      <c r="V14450" s="318"/>
      <c r="W14450" s="318"/>
      <c r="X14450" s="318"/>
      <c r="Y14450" s="318"/>
      <c r="Z14450" s="318"/>
      <c r="AA14450" s="318"/>
      <c r="AB14450" s="318"/>
      <c r="AC14450" s="318"/>
      <c r="AD14450" s="318"/>
    </row>
    <row r="14451" spans="2:30" s="323" customFormat="1" ht="12" customHeight="1">
      <c r="B14451" s="324"/>
      <c r="C14451" s="325"/>
      <c r="D14451" s="326"/>
      <c r="E14451" s="326"/>
      <c r="F14451" s="326"/>
      <c r="G14451" s="326"/>
      <c r="H14451" s="326"/>
      <c r="P14451" s="318"/>
      <c r="Q14451" s="318"/>
      <c r="R14451" s="318"/>
      <c r="S14451" s="318"/>
      <c r="T14451" s="318"/>
      <c r="U14451" s="318"/>
      <c r="V14451" s="318"/>
      <c r="W14451" s="318"/>
      <c r="X14451" s="318"/>
      <c r="Y14451" s="318"/>
      <c r="Z14451" s="318"/>
      <c r="AA14451" s="318"/>
      <c r="AB14451" s="318"/>
      <c r="AC14451" s="318"/>
      <c r="AD14451" s="318"/>
    </row>
    <row r="14452" spans="2:30" s="323" customFormat="1" ht="12" customHeight="1">
      <c r="B14452" s="324"/>
      <c r="C14452" s="325"/>
      <c r="D14452" s="326"/>
      <c r="E14452" s="326"/>
      <c r="F14452" s="326"/>
      <c r="G14452" s="326"/>
      <c r="H14452" s="326"/>
      <c r="P14452" s="318"/>
      <c r="Q14452" s="318"/>
      <c r="R14452" s="318"/>
      <c r="S14452" s="318"/>
      <c r="T14452" s="318"/>
      <c r="U14452" s="318"/>
      <c r="V14452" s="318"/>
      <c r="W14452" s="318"/>
      <c r="X14452" s="318"/>
      <c r="Y14452" s="318"/>
      <c r="Z14452" s="318"/>
      <c r="AA14452" s="318"/>
      <c r="AB14452" s="318"/>
      <c r="AC14452" s="318"/>
      <c r="AD14452" s="318"/>
    </row>
    <row r="14453" spans="2:30" s="323" customFormat="1" ht="12" customHeight="1">
      <c r="B14453" s="324"/>
      <c r="C14453" s="325"/>
      <c r="D14453" s="326"/>
      <c r="E14453" s="326"/>
      <c r="F14453" s="326"/>
      <c r="G14453" s="326"/>
      <c r="H14453" s="326"/>
      <c r="P14453" s="318"/>
      <c r="Q14453" s="318"/>
      <c r="R14453" s="318"/>
      <c r="S14453" s="318"/>
      <c r="T14453" s="318"/>
      <c r="U14453" s="318"/>
      <c r="V14453" s="318"/>
      <c r="W14453" s="318"/>
      <c r="X14453" s="318"/>
      <c r="Y14453" s="318"/>
      <c r="Z14453" s="318"/>
      <c r="AA14453" s="318"/>
      <c r="AB14453" s="318"/>
      <c r="AC14453" s="318"/>
      <c r="AD14453" s="318"/>
    </row>
    <row r="14454" spans="2:30" s="323" customFormat="1" ht="12" customHeight="1">
      <c r="B14454" s="324"/>
      <c r="C14454" s="325"/>
      <c r="D14454" s="326"/>
      <c r="E14454" s="326"/>
      <c r="F14454" s="326"/>
      <c r="G14454" s="326"/>
      <c r="H14454" s="326"/>
      <c r="P14454" s="318"/>
      <c r="Q14454" s="318"/>
      <c r="R14454" s="318"/>
      <c r="S14454" s="318"/>
      <c r="T14454" s="318"/>
      <c r="U14454" s="318"/>
      <c r="V14454" s="318"/>
      <c r="W14454" s="318"/>
      <c r="X14454" s="318"/>
      <c r="Y14454" s="318"/>
      <c r="Z14454" s="318"/>
      <c r="AA14454" s="318"/>
      <c r="AB14454" s="318"/>
      <c r="AC14454" s="318"/>
      <c r="AD14454" s="318"/>
    </row>
    <row r="14455" spans="2:30" s="323" customFormat="1" ht="12" customHeight="1">
      <c r="B14455" s="324"/>
      <c r="C14455" s="325"/>
      <c r="D14455" s="326"/>
      <c r="E14455" s="326"/>
      <c r="F14455" s="326"/>
      <c r="G14455" s="326"/>
      <c r="H14455" s="326"/>
      <c r="P14455" s="318"/>
      <c r="Q14455" s="318"/>
      <c r="R14455" s="318"/>
      <c r="S14455" s="318"/>
      <c r="T14455" s="318"/>
      <c r="U14455" s="318"/>
      <c r="V14455" s="318"/>
      <c r="W14455" s="318"/>
      <c r="X14455" s="318"/>
      <c r="Y14455" s="318"/>
      <c r="Z14455" s="318"/>
      <c r="AA14455" s="318"/>
      <c r="AB14455" s="318"/>
      <c r="AC14455" s="318"/>
      <c r="AD14455" s="318"/>
    </row>
    <row r="14456" spans="2:30" s="323" customFormat="1" ht="12" customHeight="1">
      <c r="B14456" s="324"/>
      <c r="C14456" s="325"/>
      <c r="D14456" s="326"/>
      <c r="E14456" s="326"/>
      <c r="F14456" s="326"/>
      <c r="G14456" s="326"/>
      <c r="H14456" s="326"/>
      <c r="P14456" s="318"/>
      <c r="Q14456" s="318"/>
      <c r="R14456" s="318"/>
      <c r="S14456" s="318"/>
      <c r="T14456" s="318"/>
      <c r="U14456" s="318"/>
      <c r="V14456" s="318"/>
      <c r="W14456" s="318"/>
      <c r="X14456" s="318"/>
      <c r="Y14456" s="318"/>
      <c r="Z14456" s="318"/>
      <c r="AA14456" s="318"/>
      <c r="AB14456" s="318"/>
      <c r="AC14456" s="318"/>
      <c r="AD14456" s="318"/>
    </row>
    <row r="14457" spans="2:30" s="323" customFormat="1" ht="12" customHeight="1">
      <c r="B14457" s="324"/>
      <c r="C14457" s="325"/>
      <c r="D14457" s="326"/>
      <c r="E14457" s="326"/>
      <c r="F14457" s="326"/>
      <c r="G14457" s="326"/>
      <c r="H14457" s="326"/>
      <c r="P14457" s="318"/>
      <c r="Q14457" s="318"/>
      <c r="R14457" s="318"/>
      <c r="S14457" s="318"/>
      <c r="T14457" s="318"/>
      <c r="U14457" s="318"/>
      <c r="V14457" s="318"/>
      <c r="W14457" s="318"/>
      <c r="X14457" s="318"/>
      <c r="Y14457" s="318"/>
      <c r="Z14457" s="318"/>
      <c r="AA14457" s="318"/>
      <c r="AB14457" s="318"/>
      <c r="AC14457" s="318"/>
      <c r="AD14457" s="318"/>
    </row>
    <row r="14458" spans="2:30" s="323" customFormat="1" ht="12" customHeight="1">
      <c r="B14458" s="324"/>
      <c r="C14458" s="325"/>
      <c r="D14458" s="326"/>
      <c r="E14458" s="326"/>
      <c r="F14458" s="326"/>
      <c r="G14458" s="326"/>
      <c r="H14458" s="326"/>
      <c r="P14458" s="318"/>
      <c r="Q14458" s="318"/>
      <c r="R14458" s="318"/>
      <c r="S14458" s="318"/>
      <c r="T14458" s="318"/>
      <c r="U14458" s="318"/>
      <c r="V14458" s="318"/>
      <c r="W14458" s="318"/>
      <c r="X14458" s="318"/>
      <c r="Y14458" s="318"/>
      <c r="Z14458" s="318"/>
      <c r="AA14458" s="318"/>
      <c r="AB14458" s="318"/>
      <c r="AC14458" s="318"/>
      <c r="AD14458" s="318"/>
    </row>
    <row r="14459" spans="2:30" s="323" customFormat="1" ht="12" customHeight="1">
      <c r="B14459" s="324"/>
      <c r="C14459" s="325"/>
      <c r="D14459" s="326"/>
      <c r="E14459" s="326"/>
      <c r="F14459" s="326"/>
      <c r="G14459" s="326"/>
      <c r="H14459" s="326"/>
      <c r="P14459" s="318"/>
      <c r="Q14459" s="318"/>
      <c r="R14459" s="318"/>
      <c r="S14459" s="318"/>
      <c r="T14459" s="318"/>
      <c r="U14459" s="318"/>
      <c r="V14459" s="318"/>
      <c r="W14459" s="318"/>
      <c r="X14459" s="318"/>
      <c r="Y14459" s="318"/>
      <c r="Z14459" s="318"/>
      <c r="AA14459" s="318"/>
      <c r="AB14459" s="318"/>
      <c r="AC14459" s="318"/>
      <c r="AD14459" s="318"/>
    </row>
    <row r="14460" spans="2:30" s="323" customFormat="1" ht="12" customHeight="1">
      <c r="B14460" s="324"/>
      <c r="C14460" s="325"/>
      <c r="D14460" s="326"/>
      <c r="E14460" s="326"/>
      <c r="F14460" s="326"/>
      <c r="G14460" s="326"/>
      <c r="H14460" s="326"/>
      <c r="P14460" s="318"/>
      <c r="Q14460" s="318"/>
      <c r="R14460" s="318"/>
      <c r="S14460" s="318"/>
      <c r="T14460" s="318"/>
      <c r="U14460" s="318"/>
      <c r="V14460" s="318"/>
      <c r="W14460" s="318"/>
      <c r="X14460" s="318"/>
      <c r="Y14460" s="318"/>
      <c r="Z14460" s="318"/>
      <c r="AA14460" s="318"/>
      <c r="AB14460" s="318"/>
      <c r="AC14460" s="318"/>
      <c r="AD14460" s="318"/>
    </row>
    <row r="14461" spans="2:30" s="323" customFormat="1" ht="12" customHeight="1">
      <c r="B14461" s="324"/>
      <c r="C14461" s="325"/>
      <c r="D14461" s="326"/>
      <c r="E14461" s="326"/>
      <c r="F14461" s="326"/>
      <c r="G14461" s="326"/>
      <c r="H14461" s="326"/>
      <c r="P14461" s="318"/>
      <c r="Q14461" s="318"/>
      <c r="R14461" s="318"/>
      <c r="S14461" s="318"/>
      <c r="T14461" s="318"/>
      <c r="U14461" s="318"/>
      <c r="V14461" s="318"/>
      <c r="W14461" s="318"/>
      <c r="X14461" s="318"/>
      <c r="Y14461" s="318"/>
      <c r="Z14461" s="318"/>
      <c r="AA14461" s="318"/>
      <c r="AB14461" s="318"/>
      <c r="AC14461" s="318"/>
      <c r="AD14461" s="318"/>
    </row>
    <row r="14462" spans="2:30" s="323" customFormat="1" ht="12" customHeight="1">
      <c r="B14462" s="324"/>
      <c r="C14462" s="325"/>
      <c r="D14462" s="326"/>
      <c r="E14462" s="326"/>
      <c r="F14462" s="326"/>
      <c r="G14462" s="326"/>
      <c r="H14462" s="326"/>
      <c r="P14462" s="318"/>
      <c r="Q14462" s="318"/>
      <c r="R14462" s="318"/>
      <c r="S14462" s="318"/>
      <c r="T14462" s="318"/>
      <c r="U14462" s="318"/>
      <c r="V14462" s="318"/>
      <c r="W14462" s="318"/>
      <c r="X14462" s="318"/>
      <c r="Y14462" s="318"/>
      <c r="Z14462" s="318"/>
      <c r="AA14462" s="318"/>
      <c r="AB14462" s="318"/>
      <c r="AC14462" s="318"/>
      <c r="AD14462" s="318"/>
    </row>
    <row r="14463" spans="2:30" s="323" customFormat="1" ht="12" customHeight="1">
      <c r="B14463" s="324"/>
      <c r="C14463" s="325"/>
      <c r="D14463" s="326"/>
      <c r="E14463" s="326"/>
      <c r="F14463" s="326"/>
      <c r="G14463" s="326"/>
      <c r="H14463" s="326"/>
      <c r="P14463" s="318"/>
      <c r="Q14463" s="318"/>
      <c r="R14463" s="318"/>
      <c r="S14463" s="318"/>
      <c r="T14463" s="318"/>
      <c r="U14463" s="318"/>
      <c r="V14463" s="318"/>
      <c r="W14463" s="318"/>
      <c r="X14463" s="318"/>
      <c r="Y14463" s="318"/>
      <c r="Z14463" s="318"/>
      <c r="AA14463" s="318"/>
      <c r="AB14463" s="318"/>
      <c r="AC14463" s="318"/>
      <c r="AD14463" s="318"/>
    </row>
    <row r="14464" spans="2:30" s="323" customFormat="1" ht="12" customHeight="1">
      <c r="B14464" s="324"/>
      <c r="C14464" s="325"/>
      <c r="D14464" s="326"/>
      <c r="E14464" s="326"/>
      <c r="F14464" s="326"/>
      <c r="G14464" s="326"/>
      <c r="H14464" s="326"/>
      <c r="P14464" s="318"/>
      <c r="Q14464" s="318"/>
      <c r="R14464" s="318"/>
      <c r="S14464" s="318"/>
      <c r="T14464" s="318"/>
      <c r="U14464" s="318"/>
      <c r="V14464" s="318"/>
      <c r="W14464" s="318"/>
      <c r="X14464" s="318"/>
      <c r="Y14464" s="318"/>
      <c r="Z14464" s="318"/>
      <c r="AA14464" s="318"/>
      <c r="AB14464" s="318"/>
      <c r="AC14464" s="318"/>
      <c r="AD14464" s="318"/>
    </row>
    <row r="14465" spans="2:30" s="323" customFormat="1" ht="12" customHeight="1">
      <c r="B14465" s="324"/>
      <c r="C14465" s="325"/>
      <c r="D14465" s="326"/>
      <c r="E14465" s="326"/>
      <c r="F14465" s="326"/>
      <c r="G14465" s="326"/>
      <c r="H14465" s="326"/>
      <c r="P14465" s="318"/>
      <c r="Q14465" s="318"/>
      <c r="R14465" s="318"/>
      <c r="S14465" s="318"/>
      <c r="T14465" s="318"/>
      <c r="U14465" s="318"/>
      <c r="V14465" s="318"/>
      <c r="W14465" s="318"/>
      <c r="X14465" s="318"/>
      <c r="Y14465" s="318"/>
      <c r="Z14465" s="318"/>
      <c r="AA14465" s="318"/>
      <c r="AB14465" s="318"/>
      <c r="AC14465" s="318"/>
      <c r="AD14465" s="318"/>
    </row>
    <row r="14466" spans="2:30" s="323" customFormat="1" ht="12" customHeight="1">
      <c r="B14466" s="324"/>
      <c r="C14466" s="325"/>
      <c r="D14466" s="326"/>
      <c r="E14466" s="326"/>
      <c r="F14466" s="326"/>
      <c r="G14466" s="326"/>
      <c r="H14466" s="326"/>
      <c r="P14466" s="318"/>
      <c r="Q14466" s="318"/>
      <c r="R14466" s="318"/>
      <c r="S14466" s="318"/>
      <c r="T14466" s="318"/>
      <c r="U14466" s="318"/>
      <c r="V14466" s="318"/>
      <c r="W14466" s="318"/>
      <c r="X14466" s="318"/>
      <c r="Y14466" s="318"/>
      <c r="Z14466" s="318"/>
      <c r="AA14466" s="318"/>
      <c r="AB14466" s="318"/>
      <c r="AC14466" s="318"/>
      <c r="AD14466" s="318"/>
    </row>
    <row r="14467" spans="2:30" s="323" customFormat="1" ht="12" customHeight="1">
      <c r="B14467" s="324"/>
      <c r="C14467" s="325"/>
      <c r="D14467" s="326"/>
      <c r="E14467" s="326"/>
      <c r="F14467" s="326"/>
      <c r="G14467" s="326"/>
      <c r="H14467" s="326"/>
      <c r="P14467" s="318"/>
      <c r="Q14467" s="318"/>
      <c r="R14467" s="318"/>
      <c r="S14467" s="318"/>
      <c r="T14467" s="318"/>
      <c r="U14467" s="318"/>
      <c r="V14467" s="318"/>
      <c r="W14467" s="318"/>
      <c r="X14467" s="318"/>
      <c r="Y14467" s="318"/>
      <c r="Z14467" s="318"/>
      <c r="AA14467" s="318"/>
      <c r="AB14467" s="318"/>
      <c r="AC14467" s="318"/>
      <c r="AD14467" s="318"/>
    </row>
    <row r="14468" spans="2:30" s="323" customFormat="1" ht="12" customHeight="1">
      <c r="B14468" s="324"/>
      <c r="C14468" s="325"/>
      <c r="D14468" s="326"/>
      <c r="E14468" s="326"/>
      <c r="F14468" s="326"/>
      <c r="G14468" s="326"/>
      <c r="H14468" s="326"/>
      <c r="P14468" s="318"/>
      <c r="Q14468" s="318"/>
      <c r="R14468" s="318"/>
      <c r="S14468" s="318"/>
      <c r="T14468" s="318"/>
      <c r="U14468" s="318"/>
      <c r="V14468" s="318"/>
      <c r="W14468" s="318"/>
      <c r="X14468" s="318"/>
      <c r="Y14468" s="318"/>
      <c r="Z14468" s="318"/>
      <c r="AA14468" s="318"/>
      <c r="AB14468" s="318"/>
      <c r="AC14468" s="318"/>
      <c r="AD14468" s="318"/>
    </row>
    <row r="14469" spans="2:30" s="323" customFormat="1" ht="12" customHeight="1">
      <c r="B14469" s="324"/>
      <c r="C14469" s="325"/>
      <c r="D14469" s="326"/>
      <c r="E14469" s="326"/>
      <c r="F14469" s="326"/>
      <c r="G14469" s="326"/>
      <c r="H14469" s="326"/>
      <c r="P14469" s="318"/>
      <c r="Q14469" s="318"/>
      <c r="R14469" s="318"/>
      <c r="S14469" s="318"/>
      <c r="T14469" s="318"/>
      <c r="U14469" s="318"/>
      <c r="V14469" s="318"/>
      <c r="W14469" s="318"/>
      <c r="X14469" s="318"/>
      <c r="Y14469" s="318"/>
      <c r="Z14469" s="318"/>
      <c r="AA14469" s="318"/>
      <c r="AB14469" s="318"/>
      <c r="AC14469" s="318"/>
      <c r="AD14469" s="318"/>
    </row>
    <row r="14470" spans="2:30" s="323" customFormat="1" ht="12" customHeight="1">
      <c r="B14470" s="324"/>
      <c r="C14470" s="325"/>
      <c r="D14470" s="326"/>
      <c r="E14470" s="326"/>
      <c r="F14470" s="326"/>
      <c r="G14470" s="326"/>
      <c r="H14470" s="326"/>
      <c r="P14470" s="318"/>
      <c r="Q14470" s="318"/>
      <c r="R14470" s="318"/>
      <c r="S14470" s="318"/>
      <c r="T14470" s="318"/>
      <c r="U14470" s="318"/>
      <c r="V14470" s="318"/>
      <c r="W14470" s="318"/>
      <c r="X14470" s="318"/>
      <c r="Y14470" s="318"/>
      <c r="Z14470" s="318"/>
      <c r="AA14470" s="318"/>
      <c r="AB14470" s="318"/>
      <c r="AC14470" s="318"/>
      <c r="AD14470" s="318"/>
    </row>
    <row r="14471" spans="2:30" s="323" customFormat="1" ht="12" customHeight="1">
      <c r="B14471" s="324"/>
      <c r="C14471" s="325"/>
      <c r="D14471" s="326"/>
      <c r="E14471" s="326"/>
      <c r="F14471" s="326"/>
      <c r="G14471" s="326"/>
      <c r="H14471" s="326"/>
      <c r="P14471" s="318"/>
      <c r="Q14471" s="318"/>
      <c r="R14471" s="318"/>
      <c r="S14471" s="318"/>
      <c r="T14471" s="318"/>
      <c r="U14471" s="318"/>
      <c r="V14471" s="318"/>
      <c r="W14471" s="318"/>
      <c r="X14471" s="318"/>
      <c r="Y14471" s="318"/>
      <c r="Z14471" s="318"/>
      <c r="AA14471" s="318"/>
      <c r="AB14471" s="318"/>
      <c r="AC14471" s="318"/>
      <c r="AD14471" s="318"/>
    </row>
    <row r="14472" spans="2:30" s="323" customFormat="1" ht="12" customHeight="1">
      <c r="B14472" s="324"/>
      <c r="C14472" s="325"/>
      <c r="D14472" s="326"/>
      <c r="E14472" s="326"/>
      <c r="F14472" s="326"/>
      <c r="G14472" s="326"/>
      <c r="H14472" s="326"/>
      <c r="P14472" s="318"/>
      <c r="Q14472" s="318"/>
      <c r="R14472" s="318"/>
      <c r="S14472" s="318"/>
      <c r="T14472" s="318"/>
      <c r="U14472" s="318"/>
      <c r="V14472" s="318"/>
      <c r="W14472" s="318"/>
      <c r="X14472" s="318"/>
      <c r="Y14472" s="318"/>
      <c r="Z14472" s="318"/>
      <c r="AA14472" s="318"/>
      <c r="AB14472" s="318"/>
      <c r="AC14472" s="318"/>
      <c r="AD14472" s="318"/>
    </row>
    <row r="14473" spans="2:30" s="323" customFormat="1" ht="12" customHeight="1">
      <c r="B14473" s="324"/>
      <c r="C14473" s="325"/>
      <c r="D14473" s="326"/>
      <c r="E14473" s="326"/>
      <c r="F14473" s="326"/>
      <c r="G14473" s="326"/>
      <c r="H14473" s="326"/>
      <c r="P14473" s="318"/>
      <c r="Q14473" s="318"/>
      <c r="R14473" s="318"/>
      <c r="S14473" s="318"/>
      <c r="T14473" s="318"/>
      <c r="U14473" s="318"/>
      <c r="V14473" s="318"/>
      <c r="W14473" s="318"/>
      <c r="X14473" s="318"/>
      <c r="Y14473" s="318"/>
      <c r="Z14473" s="318"/>
      <c r="AA14473" s="318"/>
      <c r="AB14473" s="318"/>
      <c r="AC14473" s="318"/>
      <c r="AD14473" s="318"/>
    </row>
    <row r="14474" spans="2:30" s="323" customFormat="1" ht="12" customHeight="1">
      <c r="B14474" s="324"/>
      <c r="C14474" s="325"/>
      <c r="D14474" s="326"/>
      <c r="E14474" s="326"/>
      <c r="F14474" s="326"/>
      <c r="G14474" s="326"/>
      <c r="H14474" s="326"/>
      <c r="P14474" s="318"/>
      <c r="Q14474" s="318"/>
      <c r="R14474" s="318"/>
      <c r="S14474" s="318"/>
      <c r="T14474" s="318"/>
      <c r="U14474" s="318"/>
      <c r="V14474" s="318"/>
      <c r="W14474" s="318"/>
      <c r="X14474" s="318"/>
      <c r="Y14474" s="318"/>
      <c r="Z14474" s="318"/>
      <c r="AA14474" s="318"/>
      <c r="AB14474" s="318"/>
      <c r="AC14474" s="318"/>
      <c r="AD14474" s="318"/>
    </row>
    <row r="14475" spans="2:30" s="323" customFormat="1" ht="12" customHeight="1">
      <c r="B14475" s="324"/>
      <c r="C14475" s="325"/>
      <c r="D14475" s="326"/>
      <c r="E14475" s="326"/>
      <c r="F14475" s="326"/>
      <c r="G14475" s="326"/>
      <c r="H14475" s="326"/>
      <c r="P14475" s="318"/>
      <c r="Q14475" s="318"/>
      <c r="R14475" s="318"/>
      <c r="S14475" s="318"/>
      <c r="T14475" s="318"/>
      <c r="U14475" s="318"/>
      <c r="V14475" s="318"/>
      <c r="W14475" s="318"/>
      <c r="X14475" s="318"/>
      <c r="Y14475" s="318"/>
      <c r="Z14475" s="318"/>
      <c r="AA14475" s="318"/>
      <c r="AB14475" s="318"/>
      <c r="AC14475" s="318"/>
      <c r="AD14475" s="318"/>
    </row>
    <row r="14476" spans="2:30" s="323" customFormat="1" ht="12" customHeight="1">
      <c r="B14476" s="324"/>
      <c r="C14476" s="325"/>
      <c r="D14476" s="326"/>
      <c r="E14476" s="326"/>
      <c r="F14476" s="326"/>
      <c r="G14476" s="326"/>
      <c r="H14476" s="326"/>
      <c r="P14476" s="318"/>
      <c r="Q14476" s="318"/>
      <c r="R14476" s="318"/>
      <c r="S14476" s="318"/>
      <c r="T14476" s="318"/>
      <c r="U14476" s="318"/>
      <c r="V14476" s="318"/>
      <c r="W14476" s="318"/>
      <c r="X14476" s="318"/>
      <c r="Y14476" s="318"/>
      <c r="Z14476" s="318"/>
      <c r="AA14476" s="318"/>
      <c r="AB14476" s="318"/>
      <c r="AC14476" s="318"/>
      <c r="AD14476" s="318"/>
    </row>
    <row r="14477" spans="2:30" s="323" customFormat="1" ht="12" customHeight="1">
      <c r="B14477" s="324"/>
      <c r="C14477" s="325"/>
      <c r="D14477" s="326"/>
      <c r="E14477" s="326"/>
      <c r="F14477" s="326"/>
      <c r="G14477" s="326"/>
      <c r="H14477" s="326"/>
      <c r="P14477" s="318"/>
      <c r="Q14477" s="318"/>
      <c r="R14477" s="318"/>
      <c r="S14477" s="318"/>
      <c r="T14477" s="318"/>
      <c r="U14477" s="318"/>
      <c r="V14477" s="318"/>
      <c r="W14477" s="318"/>
      <c r="X14477" s="318"/>
      <c r="Y14477" s="318"/>
      <c r="Z14477" s="318"/>
      <c r="AA14477" s="318"/>
      <c r="AB14477" s="318"/>
      <c r="AC14477" s="318"/>
      <c r="AD14477" s="318"/>
    </row>
    <row r="14478" spans="2:30" s="323" customFormat="1" ht="12" customHeight="1">
      <c r="B14478" s="324"/>
      <c r="C14478" s="325"/>
      <c r="D14478" s="326"/>
      <c r="E14478" s="326"/>
      <c r="F14478" s="326"/>
      <c r="G14478" s="326"/>
      <c r="H14478" s="326"/>
      <c r="P14478" s="318"/>
      <c r="Q14478" s="318"/>
      <c r="R14478" s="318"/>
      <c r="S14478" s="318"/>
      <c r="T14478" s="318"/>
      <c r="U14478" s="318"/>
      <c r="V14478" s="318"/>
      <c r="W14478" s="318"/>
      <c r="X14478" s="318"/>
      <c r="Y14478" s="318"/>
      <c r="Z14478" s="318"/>
      <c r="AA14478" s="318"/>
      <c r="AB14478" s="318"/>
      <c r="AC14478" s="318"/>
      <c r="AD14478" s="318"/>
    </row>
    <row r="14479" spans="2:30" s="323" customFormat="1" ht="12" customHeight="1">
      <c r="B14479" s="324"/>
      <c r="C14479" s="325"/>
      <c r="D14479" s="326"/>
      <c r="E14479" s="326"/>
      <c r="F14479" s="326"/>
      <c r="G14479" s="326"/>
      <c r="H14479" s="326"/>
      <c r="P14479" s="318"/>
      <c r="Q14479" s="318"/>
      <c r="R14479" s="318"/>
      <c r="S14479" s="318"/>
      <c r="T14479" s="318"/>
      <c r="U14479" s="318"/>
      <c r="V14479" s="318"/>
      <c r="W14479" s="318"/>
      <c r="X14479" s="318"/>
      <c r="Y14479" s="318"/>
      <c r="Z14479" s="318"/>
      <c r="AA14479" s="318"/>
      <c r="AB14479" s="318"/>
      <c r="AC14479" s="318"/>
      <c r="AD14479" s="318"/>
    </row>
    <row r="14480" spans="2:30" s="323" customFormat="1" ht="12" customHeight="1">
      <c r="B14480" s="324"/>
      <c r="C14480" s="325"/>
      <c r="D14480" s="326"/>
      <c r="E14480" s="326"/>
      <c r="F14480" s="326"/>
      <c r="G14480" s="326"/>
      <c r="H14480" s="326"/>
      <c r="P14480" s="318"/>
      <c r="Q14480" s="318"/>
      <c r="R14480" s="318"/>
      <c r="S14480" s="318"/>
      <c r="T14480" s="318"/>
      <c r="U14480" s="318"/>
      <c r="V14480" s="318"/>
      <c r="W14480" s="318"/>
      <c r="X14480" s="318"/>
      <c r="Y14480" s="318"/>
      <c r="Z14480" s="318"/>
      <c r="AA14480" s="318"/>
      <c r="AB14480" s="318"/>
      <c r="AC14480" s="318"/>
      <c r="AD14480" s="318"/>
    </row>
    <row r="14481" spans="2:30" s="323" customFormat="1" ht="12" customHeight="1">
      <c r="B14481" s="324"/>
      <c r="C14481" s="325"/>
      <c r="D14481" s="326"/>
      <c r="E14481" s="326"/>
      <c r="F14481" s="326"/>
      <c r="G14481" s="326"/>
      <c r="H14481" s="326"/>
      <c r="P14481" s="318"/>
      <c r="Q14481" s="318"/>
      <c r="R14481" s="318"/>
      <c r="S14481" s="318"/>
      <c r="T14481" s="318"/>
      <c r="U14481" s="318"/>
      <c r="V14481" s="318"/>
      <c r="W14481" s="318"/>
      <c r="X14481" s="318"/>
      <c r="Y14481" s="318"/>
      <c r="Z14481" s="318"/>
      <c r="AA14481" s="318"/>
      <c r="AB14481" s="318"/>
      <c r="AC14481" s="318"/>
      <c r="AD14481" s="318"/>
    </row>
    <row r="14482" spans="2:30" s="323" customFormat="1" ht="12" customHeight="1">
      <c r="B14482" s="324"/>
      <c r="C14482" s="325"/>
      <c r="D14482" s="326"/>
      <c r="E14482" s="326"/>
      <c r="F14482" s="326"/>
      <c r="G14482" s="326"/>
      <c r="H14482" s="326"/>
      <c r="P14482" s="318"/>
      <c r="Q14482" s="318"/>
      <c r="R14482" s="318"/>
      <c r="S14482" s="318"/>
      <c r="T14482" s="318"/>
      <c r="U14482" s="318"/>
      <c r="V14482" s="318"/>
      <c r="W14482" s="318"/>
      <c r="X14482" s="318"/>
      <c r="Y14482" s="318"/>
      <c r="Z14482" s="318"/>
      <c r="AA14482" s="318"/>
      <c r="AB14482" s="318"/>
      <c r="AC14482" s="318"/>
      <c r="AD14482" s="318"/>
    </row>
    <row r="14483" spans="2:30" s="323" customFormat="1" ht="12" customHeight="1">
      <c r="B14483" s="324"/>
      <c r="C14483" s="325"/>
      <c r="D14483" s="326"/>
      <c r="E14483" s="326"/>
      <c r="F14483" s="326"/>
      <c r="G14483" s="326"/>
      <c r="H14483" s="326"/>
      <c r="P14483" s="318"/>
      <c r="Q14483" s="318"/>
      <c r="R14483" s="318"/>
      <c r="S14483" s="318"/>
      <c r="T14483" s="318"/>
      <c r="U14483" s="318"/>
      <c r="V14483" s="318"/>
      <c r="W14483" s="318"/>
      <c r="X14483" s="318"/>
      <c r="Y14483" s="318"/>
      <c r="Z14483" s="318"/>
      <c r="AA14483" s="318"/>
      <c r="AB14483" s="318"/>
      <c r="AC14483" s="318"/>
      <c r="AD14483" s="318"/>
    </row>
    <row r="14484" spans="2:30" s="323" customFormat="1" ht="12" customHeight="1">
      <c r="B14484" s="324"/>
      <c r="C14484" s="325"/>
      <c r="D14484" s="326"/>
      <c r="E14484" s="326"/>
      <c r="F14484" s="326"/>
      <c r="G14484" s="326"/>
      <c r="H14484" s="326"/>
      <c r="P14484" s="318"/>
      <c r="Q14484" s="318"/>
      <c r="R14484" s="318"/>
      <c r="S14484" s="318"/>
      <c r="T14484" s="318"/>
      <c r="U14484" s="318"/>
      <c r="V14484" s="318"/>
      <c r="W14484" s="318"/>
      <c r="X14484" s="318"/>
      <c r="Y14484" s="318"/>
      <c r="Z14484" s="318"/>
      <c r="AA14484" s="318"/>
      <c r="AB14484" s="318"/>
      <c r="AC14484" s="318"/>
      <c r="AD14484" s="318"/>
    </row>
    <row r="14485" spans="2:30" s="323" customFormat="1" ht="12" customHeight="1">
      <c r="B14485" s="324"/>
      <c r="C14485" s="325"/>
      <c r="D14485" s="326"/>
      <c r="E14485" s="326"/>
      <c r="F14485" s="326"/>
      <c r="G14485" s="326"/>
      <c r="H14485" s="326"/>
      <c r="P14485" s="318"/>
      <c r="Q14485" s="318"/>
      <c r="R14485" s="318"/>
      <c r="S14485" s="318"/>
      <c r="T14485" s="318"/>
      <c r="U14485" s="318"/>
      <c r="V14485" s="318"/>
      <c r="W14485" s="318"/>
      <c r="X14485" s="318"/>
      <c r="Y14485" s="318"/>
      <c r="Z14485" s="318"/>
      <c r="AA14485" s="318"/>
      <c r="AB14485" s="318"/>
      <c r="AC14485" s="318"/>
      <c r="AD14485" s="318"/>
    </row>
    <row r="14486" spans="2:30" s="323" customFormat="1" ht="12" customHeight="1">
      <c r="B14486" s="324"/>
      <c r="C14486" s="325"/>
      <c r="D14486" s="326"/>
      <c r="E14486" s="326"/>
      <c r="F14486" s="326"/>
      <c r="G14486" s="326"/>
      <c r="H14486" s="326"/>
      <c r="P14486" s="318"/>
      <c r="Q14486" s="318"/>
      <c r="R14486" s="318"/>
      <c r="S14486" s="318"/>
      <c r="T14486" s="318"/>
      <c r="U14486" s="318"/>
      <c r="V14486" s="318"/>
      <c r="W14486" s="318"/>
      <c r="X14486" s="318"/>
      <c r="Y14486" s="318"/>
      <c r="Z14486" s="318"/>
      <c r="AA14486" s="318"/>
      <c r="AB14486" s="318"/>
      <c r="AC14486" s="318"/>
      <c r="AD14486" s="318"/>
    </row>
    <row r="14487" spans="2:30" s="323" customFormat="1" ht="12" customHeight="1">
      <c r="B14487" s="324"/>
      <c r="C14487" s="325"/>
      <c r="D14487" s="326"/>
      <c r="E14487" s="326"/>
      <c r="F14487" s="326"/>
      <c r="G14487" s="326"/>
      <c r="H14487" s="326"/>
      <c r="P14487" s="318"/>
      <c r="Q14487" s="318"/>
      <c r="R14487" s="318"/>
      <c r="S14487" s="318"/>
      <c r="T14487" s="318"/>
      <c r="U14487" s="318"/>
      <c r="V14487" s="318"/>
      <c r="W14487" s="318"/>
      <c r="X14487" s="318"/>
      <c r="Y14487" s="318"/>
      <c r="Z14487" s="318"/>
      <c r="AA14487" s="318"/>
      <c r="AB14487" s="318"/>
      <c r="AC14487" s="318"/>
      <c r="AD14487" s="318"/>
    </row>
    <row r="14488" spans="2:30" s="323" customFormat="1" ht="12" customHeight="1">
      <c r="B14488" s="324"/>
      <c r="C14488" s="325"/>
      <c r="D14488" s="326"/>
      <c r="E14488" s="326"/>
      <c r="F14488" s="326"/>
      <c r="G14488" s="326"/>
      <c r="H14488" s="326"/>
      <c r="P14488" s="318"/>
      <c r="Q14488" s="318"/>
      <c r="R14488" s="318"/>
      <c r="S14488" s="318"/>
      <c r="T14488" s="318"/>
      <c r="U14488" s="318"/>
      <c r="V14488" s="318"/>
      <c r="W14488" s="318"/>
      <c r="X14488" s="318"/>
      <c r="Y14488" s="318"/>
      <c r="Z14488" s="318"/>
      <c r="AA14488" s="318"/>
      <c r="AB14488" s="318"/>
      <c r="AC14488" s="318"/>
      <c r="AD14488" s="318"/>
    </row>
    <row r="14489" spans="2:30" s="323" customFormat="1" ht="12" customHeight="1">
      <c r="B14489" s="324"/>
      <c r="C14489" s="325"/>
      <c r="D14489" s="326"/>
      <c r="E14489" s="326"/>
      <c r="F14489" s="326"/>
      <c r="G14489" s="326"/>
      <c r="H14489" s="326"/>
      <c r="P14489" s="318"/>
      <c r="Q14489" s="318"/>
      <c r="R14489" s="318"/>
      <c r="S14489" s="318"/>
      <c r="T14489" s="318"/>
      <c r="U14489" s="318"/>
      <c r="V14489" s="318"/>
      <c r="W14489" s="318"/>
      <c r="X14489" s="318"/>
      <c r="Y14489" s="318"/>
      <c r="Z14489" s="318"/>
      <c r="AA14489" s="318"/>
      <c r="AB14489" s="318"/>
      <c r="AC14489" s="318"/>
      <c r="AD14489" s="318"/>
    </row>
    <row r="14490" spans="2:30" s="323" customFormat="1" ht="12" customHeight="1">
      <c r="B14490" s="324"/>
      <c r="C14490" s="325"/>
      <c r="D14490" s="326"/>
      <c r="E14490" s="326"/>
      <c r="F14490" s="326"/>
      <c r="G14490" s="326"/>
      <c r="H14490" s="326"/>
      <c r="P14490" s="318"/>
      <c r="Q14490" s="318"/>
      <c r="R14490" s="318"/>
      <c r="S14490" s="318"/>
      <c r="T14490" s="318"/>
      <c r="U14490" s="318"/>
      <c r="V14490" s="318"/>
      <c r="W14490" s="318"/>
      <c r="X14490" s="318"/>
      <c r="Y14490" s="318"/>
      <c r="Z14490" s="318"/>
      <c r="AA14490" s="318"/>
      <c r="AB14490" s="318"/>
      <c r="AC14490" s="318"/>
      <c r="AD14490" s="318"/>
    </row>
    <row r="14491" spans="2:30" s="323" customFormat="1" ht="12" customHeight="1">
      <c r="B14491" s="324"/>
      <c r="C14491" s="325"/>
      <c r="D14491" s="326"/>
      <c r="E14491" s="326"/>
      <c r="F14491" s="326"/>
      <c r="G14491" s="326"/>
      <c r="H14491" s="326"/>
      <c r="P14491" s="318"/>
      <c r="Q14491" s="318"/>
      <c r="R14491" s="318"/>
      <c r="S14491" s="318"/>
      <c r="T14491" s="318"/>
      <c r="U14491" s="318"/>
      <c r="V14491" s="318"/>
      <c r="W14491" s="318"/>
      <c r="X14491" s="318"/>
      <c r="Y14491" s="318"/>
      <c r="Z14491" s="318"/>
      <c r="AA14491" s="318"/>
      <c r="AB14491" s="318"/>
      <c r="AC14491" s="318"/>
      <c r="AD14491" s="318"/>
    </row>
    <row r="14492" spans="2:30" s="323" customFormat="1" ht="12" customHeight="1">
      <c r="B14492" s="324"/>
      <c r="C14492" s="325"/>
      <c r="D14492" s="326"/>
      <c r="E14492" s="326"/>
      <c r="F14492" s="326"/>
      <c r="G14492" s="326"/>
      <c r="H14492" s="326"/>
      <c r="P14492" s="318"/>
      <c r="Q14492" s="318"/>
      <c r="R14492" s="318"/>
      <c r="S14492" s="318"/>
      <c r="T14492" s="318"/>
      <c r="U14492" s="318"/>
      <c r="V14492" s="318"/>
      <c r="W14492" s="318"/>
      <c r="X14492" s="318"/>
      <c r="Y14492" s="318"/>
      <c r="Z14492" s="318"/>
      <c r="AA14492" s="318"/>
      <c r="AB14492" s="318"/>
      <c r="AC14492" s="318"/>
      <c r="AD14492" s="318"/>
    </row>
    <row r="14493" spans="2:30" s="323" customFormat="1" ht="12" customHeight="1">
      <c r="B14493" s="324"/>
      <c r="C14493" s="325"/>
      <c r="D14493" s="326"/>
      <c r="E14493" s="326"/>
      <c r="F14493" s="326"/>
      <c r="G14493" s="326"/>
      <c r="H14493" s="326"/>
      <c r="P14493" s="318"/>
      <c r="Q14493" s="318"/>
      <c r="R14493" s="318"/>
      <c r="S14493" s="318"/>
      <c r="T14493" s="318"/>
      <c r="U14493" s="318"/>
      <c r="V14493" s="318"/>
      <c r="W14493" s="318"/>
      <c r="X14493" s="318"/>
      <c r="Y14493" s="318"/>
      <c r="Z14493" s="318"/>
      <c r="AA14493" s="318"/>
      <c r="AB14493" s="318"/>
      <c r="AC14493" s="318"/>
      <c r="AD14493" s="318"/>
    </row>
    <row r="14494" spans="2:30" s="323" customFormat="1" ht="12" customHeight="1">
      <c r="B14494" s="324"/>
      <c r="C14494" s="325"/>
      <c r="D14494" s="326"/>
      <c r="E14494" s="326"/>
      <c r="F14494" s="326"/>
      <c r="G14494" s="326"/>
      <c r="H14494" s="326"/>
      <c r="P14494" s="318"/>
      <c r="Q14494" s="318"/>
      <c r="R14494" s="318"/>
      <c r="S14494" s="318"/>
      <c r="T14494" s="318"/>
      <c r="U14494" s="318"/>
      <c r="V14494" s="318"/>
      <c r="W14494" s="318"/>
      <c r="X14494" s="318"/>
      <c r="Y14494" s="318"/>
      <c r="Z14494" s="318"/>
      <c r="AA14494" s="318"/>
      <c r="AB14494" s="318"/>
      <c r="AC14494" s="318"/>
      <c r="AD14494" s="318"/>
    </row>
    <row r="14495" spans="2:30" s="323" customFormat="1" ht="12" customHeight="1">
      <c r="B14495" s="324"/>
      <c r="C14495" s="325"/>
      <c r="D14495" s="326"/>
      <c r="E14495" s="326"/>
      <c r="F14495" s="326"/>
      <c r="G14495" s="326"/>
      <c r="H14495" s="326"/>
      <c r="P14495" s="318"/>
      <c r="Q14495" s="318"/>
      <c r="R14495" s="318"/>
      <c r="S14495" s="318"/>
      <c r="T14495" s="318"/>
      <c r="U14495" s="318"/>
      <c r="V14495" s="318"/>
      <c r="W14495" s="318"/>
      <c r="X14495" s="318"/>
      <c r="Y14495" s="318"/>
      <c r="Z14495" s="318"/>
      <c r="AA14495" s="318"/>
      <c r="AB14495" s="318"/>
      <c r="AC14495" s="318"/>
      <c r="AD14495" s="318"/>
    </row>
    <row r="14496" spans="2:30" s="323" customFormat="1" ht="12" customHeight="1">
      <c r="B14496" s="324"/>
      <c r="C14496" s="325"/>
      <c r="D14496" s="326"/>
      <c r="E14496" s="326"/>
      <c r="F14496" s="326"/>
      <c r="G14496" s="326"/>
      <c r="H14496" s="326"/>
      <c r="P14496" s="318"/>
      <c r="Q14496" s="318"/>
      <c r="R14496" s="318"/>
      <c r="S14496" s="318"/>
      <c r="T14496" s="318"/>
      <c r="U14496" s="318"/>
      <c r="V14496" s="318"/>
      <c r="W14496" s="318"/>
      <c r="X14496" s="318"/>
      <c r="Y14496" s="318"/>
      <c r="Z14496" s="318"/>
      <c r="AA14496" s="318"/>
      <c r="AB14496" s="318"/>
      <c r="AC14496" s="318"/>
      <c r="AD14496" s="318"/>
    </row>
    <row r="14497" spans="2:30" s="323" customFormat="1" ht="12" customHeight="1">
      <c r="B14497" s="324"/>
      <c r="C14497" s="325"/>
      <c r="D14497" s="326"/>
      <c r="E14497" s="326"/>
      <c r="F14497" s="326"/>
      <c r="G14497" s="326"/>
      <c r="H14497" s="326"/>
      <c r="P14497" s="318"/>
      <c r="Q14497" s="318"/>
      <c r="R14497" s="318"/>
      <c r="S14497" s="318"/>
      <c r="T14497" s="318"/>
      <c r="U14497" s="318"/>
      <c r="V14497" s="318"/>
      <c r="W14497" s="318"/>
      <c r="X14497" s="318"/>
      <c r="Y14497" s="318"/>
      <c r="Z14497" s="318"/>
      <c r="AA14497" s="318"/>
      <c r="AB14497" s="318"/>
      <c r="AC14497" s="318"/>
      <c r="AD14497" s="318"/>
    </row>
    <row r="14498" spans="2:30" s="323" customFormat="1" ht="12" customHeight="1">
      <c r="B14498" s="324"/>
      <c r="C14498" s="325"/>
      <c r="D14498" s="326"/>
      <c r="E14498" s="326"/>
      <c r="F14498" s="326"/>
      <c r="G14498" s="326"/>
      <c r="H14498" s="326"/>
      <c r="P14498" s="318"/>
      <c r="Q14498" s="318"/>
      <c r="R14498" s="318"/>
      <c r="S14498" s="318"/>
      <c r="T14498" s="318"/>
      <c r="U14498" s="318"/>
      <c r="V14498" s="318"/>
      <c r="W14498" s="318"/>
      <c r="X14498" s="318"/>
      <c r="Y14498" s="318"/>
      <c r="Z14498" s="318"/>
      <c r="AA14498" s="318"/>
      <c r="AB14498" s="318"/>
      <c r="AC14498" s="318"/>
      <c r="AD14498" s="318"/>
    </row>
    <row r="14499" spans="2:30" s="323" customFormat="1" ht="12" customHeight="1">
      <c r="B14499" s="324"/>
      <c r="C14499" s="325"/>
      <c r="D14499" s="326"/>
      <c r="E14499" s="326"/>
      <c r="F14499" s="326"/>
      <c r="G14499" s="326"/>
      <c r="H14499" s="326"/>
      <c r="P14499" s="318"/>
      <c r="Q14499" s="318"/>
      <c r="R14499" s="318"/>
      <c r="S14499" s="318"/>
      <c r="T14499" s="318"/>
      <c r="U14499" s="318"/>
      <c r="V14499" s="318"/>
      <c r="W14499" s="318"/>
      <c r="X14499" s="318"/>
      <c r="Y14499" s="318"/>
      <c r="Z14499" s="318"/>
      <c r="AA14499" s="318"/>
      <c r="AB14499" s="318"/>
      <c r="AC14499" s="318"/>
      <c r="AD14499" s="318"/>
    </row>
    <row r="14500" spans="2:30" s="323" customFormat="1" ht="12" customHeight="1">
      <c r="B14500" s="324"/>
      <c r="C14500" s="325"/>
      <c r="D14500" s="326"/>
      <c r="E14500" s="326"/>
      <c r="F14500" s="326"/>
      <c r="G14500" s="326"/>
      <c r="H14500" s="326"/>
      <c r="P14500" s="318"/>
      <c r="Q14500" s="318"/>
      <c r="R14500" s="318"/>
      <c r="S14500" s="318"/>
      <c r="T14500" s="318"/>
      <c r="U14500" s="318"/>
      <c r="V14500" s="318"/>
      <c r="W14500" s="318"/>
      <c r="X14500" s="318"/>
      <c r="Y14500" s="318"/>
      <c r="Z14500" s="318"/>
      <c r="AA14500" s="318"/>
      <c r="AB14500" s="318"/>
      <c r="AC14500" s="318"/>
      <c r="AD14500" s="318"/>
    </row>
    <row r="14501" spans="2:30" s="323" customFormat="1" ht="12" customHeight="1">
      <c r="B14501" s="324"/>
      <c r="C14501" s="325"/>
      <c r="D14501" s="326"/>
      <c r="E14501" s="326"/>
      <c r="F14501" s="326"/>
      <c r="G14501" s="326"/>
      <c r="H14501" s="326"/>
      <c r="P14501" s="318"/>
      <c r="Q14501" s="318"/>
      <c r="R14501" s="318"/>
      <c r="S14501" s="318"/>
      <c r="T14501" s="318"/>
      <c r="U14501" s="318"/>
      <c r="V14501" s="318"/>
      <c r="W14501" s="318"/>
      <c r="X14501" s="318"/>
      <c r="Y14501" s="318"/>
      <c r="Z14501" s="318"/>
      <c r="AA14501" s="318"/>
      <c r="AB14501" s="318"/>
      <c r="AC14501" s="318"/>
      <c r="AD14501" s="318"/>
    </row>
    <row r="14502" spans="2:30" s="323" customFormat="1" ht="12" customHeight="1">
      <c r="B14502" s="324"/>
      <c r="C14502" s="325"/>
      <c r="D14502" s="326"/>
      <c r="E14502" s="326"/>
      <c r="F14502" s="326"/>
      <c r="G14502" s="326"/>
      <c r="H14502" s="326"/>
      <c r="P14502" s="318"/>
      <c r="Q14502" s="318"/>
      <c r="R14502" s="318"/>
      <c r="S14502" s="318"/>
      <c r="T14502" s="318"/>
      <c r="U14502" s="318"/>
      <c r="V14502" s="318"/>
      <c r="W14502" s="318"/>
      <c r="X14502" s="318"/>
      <c r="Y14502" s="318"/>
      <c r="Z14502" s="318"/>
      <c r="AA14502" s="318"/>
      <c r="AB14502" s="318"/>
      <c r="AC14502" s="318"/>
      <c r="AD14502" s="318"/>
    </row>
    <row r="14503" spans="2:30" s="323" customFormat="1" ht="12" customHeight="1">
      <c r="B14503" s="324"/>
      <c r="C14503" s="325"/>
      <c r="D14503" s="326"/>
      <c r="E14503" s="326"/>
      <c r="F14503" s="326"/>
      <c r="G14503" s="326"/>
      <c r="H14503" s="326"/>
      <c r="P14503" s="318"/>
      <c r="Q14503" s="318"/>
      <c r="R14503" s="318"/>
      <c r="S14503" s="318"/>
      <c r="T14503" s="318"/>
      <c r="U14503" s="318"/>
      <c r="V14503" s="318"/>
      <c r="W14503" s="318"/>
      <c r="X14503" s="318"/>
      <c r="Y14503" s="318"/>
      <c r="Z14503" s="318"/>
      <c r="AA14503" s="318"/>
      <c r="AB14503" s="318"/>
      <c r="AC14503" s="318"/>
      <c r="AD14503" s="318"/>
    </row>
    <row r="14504" spans="2:30" s="323" customFormat="1" ht="12" customHeight="1">
      <c r="B14504" s="324"/>
      <c r="C14504" s="325"/>
      <c r="D14504" s="326"/>
      <c r="E14504" s="326"/>
      <c r="F14504" s="326"/>
      <c r="G14504" s="326"/>
      <c r="H14504" s="326"/>
      <c r="P14504" s="318"/>
      <c r="Q14504" s="318"/>
      <c r="R14504" s="318"/>
      <c r="S14504" s="318"/>
      <c r="T14504" s="318"/>
      <c r="U14504" s="318"/>
      <c r="V14504" s="318"/>
      <c r="W14504" s="318"/>
      <c r="X14504" s="318"/>
      <c r="Y14504" s="318"/>
      <c r="Z14504" s="318"/>
      <c r="AA14504" s="318"/>
      <c r="AB14504" s="318"/>
      <c r="AC14504" s="318"/>
      <c r="AD14504" s="318"/>
    </row>
    <row r="14505" spans="2:30" s="323" customFormat="1" ht="12" customHeight="1">
      <c r="B14505" s="324"/>
      <c r="C14505" s="325"/>
      <c r="D14505" s="326"/>
      <c r="E14505" s="326"/>
      <c r="F14505" s="326"/>
      <c r="G14505" s="326"/>
      <c r="H14505" s="326"/>
      <c r="P14505" s="318"/>
      <c r="Q14505" s="318"/>
      <c r="R14505" s="318"/>
      <c r="S14505" s="318"/>
      <c r="T14505" s="318"/>
      <c r="U14505" s="318"/>
      <c r="V14505" s="318"/>
      <c r="W14505" s="318"/>
      <c r="X14505" s="318"/>
      <c r="Y14505" s="318"/>
      <c r="Z14505" s="318"/>
      <c r="AA14505" s="318"/>
      <c r="AB14505" s="318"/>
      <c r="AC14505" s="318"/>
      <c r="AD14505" s="318"/>
    </row>
    <row r="14506" spans="2:30" s="323" customFormat="1" ht="12" customHeight="1">
      <c r="B14506" s="324"/>
      <c r="C14506" s="325"/>
      <c r="D14506" s="326"/>
      <c r="E14506" s="326"/>
      <c r="F14506" s="326"/>
      <c r="G14506" s="326"/>
      <c r="H14506" s="326"/>
      <c r="P14506" s="318"/>
      <c r="Q14506" s="318"/>
      <c r="R14506" s="318"/>
      <c r="S14506" s="318"/>
      <c r="T14506" s="318"/>
      <c r="U14506" s="318"/>
      <c r="V14506" s="318"/>
      <c r="W14506" s="318"/>
      <c r="X14506" s="318"/>
      <c r="Y14506" s="318"/>
      <c r="Z14506" s="318"/>
      <c r="AA14506" s="318"/>
      <c r="AB14506" s="318"/>
      <c r="AC14506" s="318"/>
      <c r="AD14506" s="318"/>
    </row>
    <row r="14507" spans="2:30" s="323" customFormat="1" ht="12" customHeight="1">
      <c r="B14507" s="324"/>
      <c r="C14507" s="325"/>
      <c r="D14507" s="326"/>
      <c r="E14507" s="326"/>
      <c r="F14507" s="326"/>
      <c r="G14507" s="326"/>
      <c r="H14507" s="326"/>
      <c r="P14507" s="318"/>
      <c r="Q14507" s="318"/>
      <c r="R14507" s="318"/>
      <c r="S14507" s="318"/>
      <c r="T14507" s="318"/>
      <c r="U14507" s="318"/>
      <c r="V14507" s="318"/>
      <c r="W14507" s="318"/>
      <c r="X14507" s="318"/>
      <c r="Y14507" s="318"/>
      <c r="Z14507" s="318"/>
      <c r="AA14507" s="318"/>
      <c r="AB14507" s="318"/>
      <c r="AC14507" s="318"/>
      <c r="AD14507" s="318"/>
    </row>
    <row r="14508" spans="2:30" s="323" customFormat="1" ht="12" customHeight="1">
      <c r="B14508" s="324"/>
      <c r="C14508" s="325"/>
      <c r="D14508" s="326"/>
      <c r="E14508" s="326"/>
      <c r="F14508" s="326"/>
      <c r="G14508" s="326"/>
      <c r="H14508" s="326"/>
      <c r="P14508" s="318"/>
      <c r="Q14508" s="318"/>
      <c r="R14508" s="318"/>
      <c r="S14508" s="318"/>
      <c r="T14508" s="318"/>
      <c r="U14508" s="318"/>
      <c r="V14508" s="318"/>
      <c r="W14508" s="318"/>
      <c r="X14508" s="318"/>
      <c r="Y14508" s="318"/>
      <c r="Z14508" s="318"/>
      <c r="AA14508" s="318"/>
      <c r="AB14508" s="318"/>
      <c r="AC14508" s="318"/>
      <c r="AD14508" s="318"/>
    </row>
    <row r="14509" spans="2:30" s="323" customFormat="1" ht="12" customHeight="1">
      <c r="B14509" s="324"/>
      <c r="C14509" s="325"/>
      <c r="D14509" s="326"/>
      <c r="E14509" s="326"/>
      <c r="F14509" s="326"/>
      <c r="G14509" s="326"/>
      <c r="H14509" s="326"/>
      <c r="P14509" s="318"/>
      <c r="Q14509" s="318"/>
      <c r="R14509" s="318"/>
      <c r="S14509" s="318"/>
      <c r="T14509" s="318"/>
      <c r="U14509" s="318"/>
      <c r="V14509" s="318"/>
      <c r="W14509" s="318"/>
      <c r="X14509" s="318"/>
      <c r="Y14509" s="318"/>
      <c r="Z14509" s="318"/>
      <c r="AA14509" s="318"/>
      <c r="AB14509" s="318"/>
      <c r="AC14509" s="318"/>
      <c r="AD14509" s="318"/>
    </row>
    <row r="14510" spans="2:30" s="323" customFormat="1" ht="12" customHeight="1">
      <c r="B14510" s="324"/>
      <c r="C14510" s="325"/>
      <c r="D14510" s="326"/>
      <c r="E14510" s="326"/>
      <c r="F14510" s="326"/>
      <c r="G14510" s="326"/>
      <c r="H14510" s="326"/>
      <c r="P14510" s="318"/>
      <c r="Q14510" s="318"/>
      <c r="R14510" s="318"/>
      <c r="S14510" s="318"/>
      <c r="T14510" s="318"/>
      <c r="U14510" s="318"/>
      <c r="V14510" s="318"/>
      <c r="W14510" s="318"/>
      <c r="X14510" s="318"/>
      <c r="Y14510" s="318"/>
      <c r="Z14510" s="318"/>
      <c r="AA14510" s="318"/>
      <c r="AB14510" s="318"/>
      <c r="AC14510" s="318"/>
      <c r="AD14510" s="318"/>
    </row>
    <row r="14511" spans="2:30" s="323" customFormat="1" ht="12" customHeight="1">
      <c r="B14511" s="324"/>
      <c r="C14511" s="325"/>
      <c r="D14511" s="326"/>
      <c r="E14511" s="326"/>
      <c r="F14511" s="326"/>
      <c r="G14511" s="326"/>
      <c r="H14511" s="326"/>
      <c r="P14511" s="318"/>
      <c r="Q14511" s="318"/>
      <c r="R14511" s="318"/>
      <c r="S14511" s="318"/>
      <c r="T14511" s="318"/>
      <c r="U14511" s="318"/>
      <c r="V14511" s="318"/>
      <c r="W14511" s="318"/>
      <c r="X14511" s="318"/>
      <c r="Y14511" s="318"/>
      <c r="Z14511" s="318"/>
      <c r="AA14511" s="318"/>
      <c r="AB14511" s="318"/>
      <c r="AC14511" s="318"/>
      <c r="AD14511" s="318"/>
    </row>
    <row r="14512" spans="2:30" s="323" customFormat="1" ht="12" customHeight="1">
      <c r="B14512" s="324"/>
      <c r="C14512" s="325"/>
      <c r="D14512" s="326"/>
      <c r="E14512" s="326"/>
      <c r="F14512" s="326"/>
      <c r="G14512" s="326"/>
      <c r="H14512" s="326"/>
      <c r="P14512" s="318"/>
      <c r="Q14512" s="318"/>
      <c r="R14512" s="318"/>
      <c r="S14512" s="318"/>
      <c r="T14512" s="318"/>
      <c r="U14512" s="318"/>
      <c r="V14512" s="318"/>
      <c r="W14512" s="318"/>
      <c r="X14512" s="318"/>
      <c r="Y14512" s="318"/>
      <c r="Z14512" s="318"/>
      <c r="AA14512" s="318"/>
      <c r="AB14512" s="318"/>
      <c r="AC14512" s="318"/>
      <c r="AD14512" s="318"/>
    </row>
    <row r="14513" spans="2:30" s="323" customFormat="1" ht="12" customHeight="1">
      <c r="B14513" s="324"/>
      <c r="C14513" s="325"/>
      <c r="D14513" s="326"/>
      <c r="E14513" s="326"/>
      <c r="F14513" s="326"/>
      <c r="G14513" s="326"/>
      <c r="H14513" s="326"/>
      <c r="P14513" s="318"/>
      <c r="Q14513" s="318"/>
      <c r="R14513" s="318"/>
      <c r="S14513" s="318"/>
      <c r="T14513" s="318"/>
      <c r="U14513" s="318"/>
      <c r="V14513" s="318"/>
      <c r="W14513" s="318"/>
      <c r="X14513" s="318"/>
      <c r="Y14513" s="318"/>
      <c r="Z14513" s="318"/>
      <c r="AA14513" s="318"/>
      <c r="AB14513" s="318"/>
      <c r="AC14513" s="318"/>
      <c r="AD14513" s="318"/>
    </row>
    <row r="14514" spans="2:30" s="323" customFormat="1" ht="12" customHeight="1">
      <c r="B14514" s="324"/>
      <c r="C14514" s="325"/>
      <c r="D14514" s="326"/>
      <c r="E14514" s="326"/>
      <c r="F14514" s="326"/>
      <c r="G14514" s="326"/>
      <c r="H14514" s="326"/>
      <c r="P14514" s="318"/>
      <c r="Q14514" s="318"/>
      <c r="R14514" s="318"/>
      <c r="S14514" s="318"/>
      <c r="T14514" s="318"/>
      <c r="U14514" s="318"/>
      <c r="V14514" s="318"/>
      <c r="W14514" s="318"/>
      <c r="X14514" s="318"/>
      <c r="Y14514" s="318"/>
      <c r="Z14514" s="318"/>
      <c r="AA14514" s="318"/>
      <c r="AB14514" s="318"/>
      <c r="AC14514" s="318"/>
      <c r="AD14514" s="318"/>
    </row>
    <row r="14515" spans="2:30" s="323" customFormat="1" ht="12" customHeight="1">
      <c r="B14515" s="324"/>
      <c r="C14515" s="325"/>
      <c r="D14515" s="326"/>
      <c r="E14515" s="326"/>
      <c r="F14515" s="326"/>
      <c r="G14515" s="326"/>
      <c r="H14515" s="326"/>
      <c r="P14515" s="318"/>
      <c r="Q14515" s="318"/>
      <c r="R14515" s="318"/>
      <c r="S14515" s="318"/>
      <c r="T14515" s="318"/>
      <c r="U14515" s="318"/>
      <c r="V14515" s="318"/>
      <c r="W14515" s="318"/>
      <c r="X14515" s="318"/>
      <c r="Y14515" s="318"/>
      <c r="Z14515" s="318"/>
      <c r="AA14515" s="318"/>
      <c r="AB14515" s="318"/>
      <c r="AC14515" s="318"/>
      <c r="AD14515" s="318"/>
    </row>
    <row r="14516" spans="2:30" s="323" customFormat="1" ht="12" customHeight="1">
      <c r="B14516" s="324"/>
      <c r="C14516" s="325"/>
      <c r="D14516" s="326"/>
      <c r="E14516" s="326"/>
      <c r="F14516" s="326"/>
      <c r="G14516" s="326"/>
      <c r="H14516" s="326"/>
      <c r="P14516" s="318"/>
      <c r="Q14516" s="318"/>
      <c r="R14516" s="318"/>
      <c r="S14516" s="318"/>
      <c r="T14516" s="318"/>
      <c r="U14516" s="318"/>
      <c r="V14516" s="318"/>
      <c r="W14516" s="318"/>
      <c r="X14516" s="318"/>
      <c r="Y14516" s="318"/>
      <c r="Z14516" s="318"/>
      <c r="AA14516" s="318"/>
      <c r="AB14516" s="318"/>
      <c r="AC14516" s="318"/>
      <c r="AD14516" s="318"/>
    </row>
    <row r="14517" spans="2:30" s="323" customFormat="1" ht="12" customHeight="1">
      <c r="B14517" s="324"/>
      <c r="C14517" s="325"/>
      <c r="D14517" s="326"/>
      <c r="E14517" s="326"/>
      <c r="F14517" s="326"/>
      <c r="G14517" s="326"/>
      <c r="H14517" s="326"/>
      <c r="P14517" s="318"/>
      <c r="Q14517" s="318"/>
      <c r="R14517" s="318"/>
      <c r="S14517" s="318"/>
      <c r="T14517" s="318"/>
      <c r="U14517" s="318"/>
      <c r="V14517" s="318"/>
      <c r="W14517" s="318"/>
      <c r="X14517" s="318"/>
      <c r="Y14517" s="318"/>
      <c r="Z14517" s="318"/>
      <c r="AA14517" s="318"/>
      <c r="AB14517" s="318"/>
      <c r="AC14517" s="318"/>
      <c r="AD14517" s="318"/>
    </row>
    <row r="14518" spans="2:30" s="323" customFormat="1" ht="12" customHeight="1">
      <c r="B14518" s="324"/>
      <c r="C14518" s="325"/>
      <c r="D14518" s="326"/>
      <c r="E14518" s="326"/>
      <c r="F14518" s="326"/>
      <c r="G14518" s="326"/>
      <c r="H14518" s="326"/>
      <c r="P14518" s="318"/>
      <c r="Q14518" s="318"/>
      <c r="R14518" s="318"/>
      <c r="S14518" s="318"/>
      <c r="T14518" s="318"/>
      <c r="U14518" s="318"/>
      <c r="V14518" s="318"/>
      <c r="W14518" s="318"/>
      <c r="X14518" s="318"/>
      <c r="Y14518" s="318"/>
      <c r="Z14518" s="318"/>
      <c r="AA14518" s="318"/>
      <c r="AB14518" s="318"/>
      <c r="AC14518" s="318"/>
      <c r="AD14518" s="318"/>
    </row>
    <row r="14519" spans="2:30" s="323" customFormat="1" ht="12" customHeight="1">
      <c r="B14519" s="324"/>
      <c r="C14519" s="325"/>
      <c r="D14519" s="326"/>
      <c r="E14519" s="326"/>
      <c r="F14519" s="326"/>
      <c r="G14519" s="326"/>
      <c r="H14519" s="326"/>
      <c r="P14519" s="318"/>
      <c r="Q14519" s="318"/>
      <c r="R14519" s="318"/>
      <c r="S14519" s="318"/>
      <c r="T14519" s="318"/>
      <c r="U14519" s="318"/>
      <c r="V14519" s="318"/>
      <c r="W14519" s="318"/>
      <c r="X14519" s="318"/>
      <c r="Y14519" s="318"/>
      <c r="Z14519" s="318"/>
      <c r="AA14519" s="318"/>
      <c r="AB14519" s="318"/>
      <c r="AC14519" s="318"/>
      <c r="AD14519" s="318"/>
    </row>
    <row r="14520" spans="2:30" s="323" customFormat="1" ht="12" customHeight="1">
      <c r="B14520" s="324"/>
      <c r="C14520" s="325"/>
      <c r="D14520" s="326"/>
      <c r="E14520" s="326"/>
      <c r="F14520" s="326"/>
      <c r="G14520" s="326"/>
      <c r="H14520" s="326"/>
      <c r="P14520" s="318"/>
      <c r="Q14520" s="318"/>
      <c r="R14520" s="318"/>
      <c r="S14520" s="318"/>
      <c r="T14520" s="318"/>
      <c r="U14520" s="318"/>
      <c r="V14520" s="318"/>
      <c r="W14520" s="318"/>
      <c r="X14520" s="318"/>
      <c r="Y14520" s="318"/>
      <c r="Z14520" s="318"/>
      <c r="AA14520" s="318"/>
      <c r="AB14520" s="318"/>
      <c r="AC14520" s="318"/>
      <c r="AD14520" s="318"/>
    </row>
    <row r="14521" spans="2:30" s="323" customFormat="1" ht="12" customHeight="1">
      <c r="B14521" s="324"/>
      <c r="C14521" s="325"/>
      <c r="D14521" s="326"/>
      <c r="E14521" s="326"/>
      <c r="F14521" s="326"/>
      <c r="G14521" s="326"/>
      <c r="H14521" s="326"/>
      <c r="P14521" s="318"/>
      <c r="Q14521" s="318"/>
      <c r="R14521" s="318"/>
      <c r="S14521" s="318"/>
      <c r="T14521" s="318"/>
      <c r="U14521" s="318"/>
      <c r="V14521" s="318"/>
      <c r="W14521" s="318"/>
      <c r="X14521" s="318"/>
      <c r="Y14521" s="318"/>
      <c r="Z14521" s="318"/>
      <c r="AA14521" s="318"/>
      <c r="AB14521" s="318"/>
      <c r="AC14521" s="318"/>
      <c r="AD14521" s="318"/>
    </row>
    <row r="14522" spans="2:30" s="323" customFormat="1" ht="12" customHeight="1">
      <c r="B14522" s="324"/>
      <c r="C14522" s="325"/>
      <c r="D14522" s="326"/>
      <c r="E14522" s="326"/>
      <c r="F14522" s="326"/>
      <c r="G14522" s="326"/>
      <c r="H14522" s="326"/>
      <c r="P14522" s="318"/>
      <c r="Q14522" s="318"/>
      <c r="R14522" s="318"/>
      <c r="S14522" s="318"/>
      <c r="T14522" s="318"/>
      <c r="U14522" s="318"/>
      <c r="V14522" s="318"/>
      <c r="W14522" s="318"/>
      <c r="X14522" s="318"/>
      <c r="Y14522" s="318"/>
      <c r="Z14522" s="318"/>
      <c r="AA14522" s="318"/>
      <c r="AB14522" s="318"/>
      <c r="AC14522" s="318"/>
      <c r="AD14522" s="318"/>
    </row>
    <row r="14523" spans="2:30" s="323" customFormat="1" ht="12" customHeight="1">
      <c r="B14523" s="324"/>
      <c r="C14523" s="325"/>
      <c r="D14523" s="326"/>
      <c r="E14523" s="326"/>
      <c r="F14523" s="326"/>
      <c r="G14523" s="326"/>
      <c r="H14523" s="326"/>
      <c r="P14523" s="318"/>
      <c r="Q14523" s="318"/>
      <c r="R14523" s="318"/>
      <c r="S14523" s="318"/>
      <c r="T14523" s="318"/>
      <c r="U14523" s="318"/>
      <c r="V14523" s="318"/>
      <c r="W14523" s="318"/>
      <c r="X14523" s="318"/>
      <c r="Y14523" s="318"/>
      <c r="Z14523" s="318"/>
      <c r="AA14523" s="318"/>
      <c r="AB14523" s="318"/>
      <c r="AC14523" s="318"/>
      <c r="AD14523" s="318"/>
    </row>
    <row r="14524" spans="2:30" s="323" customFormat="1" ht="12" customHeight="1">
      <c r="B14524" s="324"/>
      <c r="C14524" s="325"/>
      <c r="D14524" s="326"/>
      <c r="E14524" s="326"/>
      <c r="F14524" s="326"/>
      <c r="G14524" s="326"/>
      <c r="H14524" s="326"/>
      <c r="P14524" s="318"/>
      <c r="Q14524" s="318"/>
      <c r="R14524" s="318"/>
      <c r="S14524" s="318"/>
      <c r="T14524" s="318"/>
      <c r="U14524" s="318"/>
      <c r="V14524" s="318"/>
      <c r="W14524" s="318"/>
      <c r="X14524" s="318"/>
      <c r="Y14524" s="318"/>
      <c r="Z14524" s="318"/>
      <c r="AA14524" s="318"/>
      <c r="AB14524" s="318"/>
      <c r="AC14524" s="318"/>
      <c r="AD14524" s="318"/>
    </row>
    <row r="14525" spans="2:30" s="323" customFormat="1" ht="12" customHeight="1">
      <c r="B14525" s="324"/>
      <c r="C14525" s="325"/>
      <c r="D14525" s="326"/>
      <c r="E14525" s="326"/>
      <c r="F14525" s="326"/>
      <c r="G14525" s="326"/>
      <c r="H14525" s="326"/>
      <c r="P14525" s="318"/>
      <c r="Q14525" s="318"/>
      <c r="R14525" s="318"/>
      <c r="S14525" s="318"/>
      <c r="T14525" s="318"/>
      <c r="U14525" s="318"/>
      <c r="V14525" s="318"/>
      <c r="W14525" s="318"/>
      <c r="X14525" s="318"/>
      <c r="Y14525" s="318"/>
      <c r="Z14525" s="318"/>
      <c r="AA14525" s="318"/>
      <c r="AB14525" s="318"/>
      <c r="AC14525" s="318"/>
      <c r="AD14525" s="318"/>
    </row>
    <row r="14526" spans="2:30" s="323" customFormat="1" ht="12" customHeight="1">
      <c r="B14526" s="324"/>
      <c r="C14526" s="325"/>
      <c r="D14526" s="326"/>
      <c r="E14526" s="326"/>
      <c r="F14526" s="326"/>
      <c r="G14526" s="326"/>
      <c r="H14526" s="326"/>
      <c r="P14526" s="318"/>
      <c r="Q14526" s="318"/>
      <c r="R14526" s="318"/>
      <c r="S14526" s="318"/>
      <c r="T14526" s="318"/>
      <c r="U14526" s="318"/>
      <c r="V14526" s="318"/>
      <c r="W14526" s="318"/>
      <c r="X14526" s="318"/>
      <c r="Y14526" s="318"/>
      <c r="Z14526" s="318"/>
      <c r="AA14526" s="318"/>
      <c r="AB14526" s="318"/>
      <c r="AC14526" s="318"/>
      <c r="AD14526" s="318"/>
    </row>
    <row r="14527" spans="2:30" s="323" customFormat="1" ht="12" customHeight="1">
      <c r="B14527" s="324"/>
      <c r="C14527" s="325"/>
      <c r="D14527" s="326"/>
      <c r="E14527" s="326"/>
      <c r="F14527" s="326"/>
      <c r="G14527" s="326"/>
      <c r="H14527" s="326"/>
      <c r="P14527" s="318"/>
      <c r="Q14527" s="318"/>
      <c r="R14527" s="318"/>
      <c r="S14527" s="318"/>
      <c r="T14527" s="318"/>
      <c r="U14527" s="318"/>
      <c r="V14527" s="318"/>
      <c r="W14527" s="318"/>
      <c r="X14527" s="318"/>
      <c r="Y14527" s="318"/>
      <c r="Z14527" s="318"/>
      <c r="AA14527" s="318"/>
      <c r="AB14527" s="318"/>
      <c r="AC14527" s="318"/>
      <c r="AD14527" s="318"/>
    </row>
    <row r="14528" spans="2:30" s="323" customFormat="1" ht="12" customHeight="1">
      <c r="B14528" s="324"/>
      <c r="C14528" s="325"/>
      <c r="D14528" s="326"/>
      <c r="E14528" s="326"/>
      <c r="F14528" s="326"/>
      <c r="G14528" s="326"/>
      <c r="H14528" s="326"/>
      <c r="P14528" s="318"/>
      <c r="Q14528" s="318"/>
      <c r="R14528" s="318"/>
      <c r="S14528" s="318"/>
      <c r="T14528" s="318"/>
      <c r="U14528" s="318"/>
      <c r="V14528" s="318"/>
      <c r="W14528" s="318"/>
      <c r="X14528" s="318"/>
      <c r="Y14528" s="318"/>
      <c r="Z14528" s="318"/>
      <c r="AA14528" s="318"/>
      <c r="AB14528" s="318"/>
      <c r="AC14528" s="318"/>
      <c r="AD14528" s="318"/>
    </row>
    <row r="14529" spans="2:30" s="323" customFormat="1" ht="12" customHeight="1">
      <c r="B14529" s="324"/>
      <c r="C14529" s="325"/>
      <c r="D14529" s="326"/>
      <c r="E14529" s="326"/>
      <c r="F14529" s="326"/>
      <c r="G14529" s="326"/>
      <c r="H14529" s="326"/>
      <c r="P14529" s="318"/>
      <c r="Q14529" s="318"/>
      <c r="R14529" s="318"/>
      <c r="S14529" s="318"/>
      <c r="T14529" s="318"/>
      <c r="U14529" s="318"/>
      <c r="V14529" s="318"/>
      <c r="W14529" s="318"/>
      <c r="X14529" s="318"/>
      <c r="Y14529" s="318"/>
      <c r="Z14529" s="318"/>
      <c r="AA14529" s="318"/>
      <c r="AB14529" s="318"/>
      <c r="AC14529" s="318"/>
      <c r="AD14529" s="318"/>
    </row>
    <row r="14530" spans="2:30" s="323" customFormat="1" ht="12" customHeight="1">
      <c r="B14530" s="324"/>
      <c r="C14530" s="325"/>
      <c r="D14530" s="326"/>
      <c r="E14530" s="326"/>
      <c r="F14530" s="326"/>
      <c r="G14530" s="326"/>
      <c r="H14530" s="326"/>
      <c r="P14530" s="318"/>
      <c r="Q14530" s="318"/>
      <c r="R14530" s="318"/>
      <c r="S14530" s="318"/>
      <c r="T14530" s="318"/>
      <c r="U14530" s="318"/>
      <c r="V14530" s="318"/>
      <c r="W14530" s="318"/>
      <c r="X14530" s="318"/>
      <c r="Y14530" s="318"/>
      <c r="Z14530" s="318"/>
      <c r="AA14530" s="318"/>
      <c r="AB14530" s="318"/>
      <c r="AC14530" s="318"/>
      <c r="AD14530" s="318"/>
    </row>
    <row r="14531" spans="2:30" s="323" customFormat="1" ht="12" customHeight="1">
      <c r="B14531" s="324"/>
      <c r="C14531" s="325"/>
      <c r="D14531" s="326"/>
      <c r="E14531" s="326"/>
      <c r="F14531" s="326"/>
      <c r="G14531" s="326"/>
      <c r="H14531" s="326"/>
      <c r="P14531" s="318"/>
      <c r="Q14531" s="318"/>
      <c r="R14531" s="318"/>
      <c r="S14531" s="318"/>
      <c r="T14531" s="318"/>
      <c r="U14531" s="318"/>
      <c r="V14531" s="318"/>
      <c r="W14531" s="318"/>
      <c r="X14531" s="318"/>
      <c r="Y14531" s="318"/>
      <c r="Z14531" s="318"/>
      <c r="AA14531" s="318"/>
      <c r="AB14531" s="318"/>
      <c r="AC14531" s="318"/>
      <c r="AD14531" s="318"/>
    </row>
    <row r="14532" spans="2:30" s="323" customFormat="1" ht="12" customHeight="1">
      <c r="B14532" s="324"/>
      <c r="C14532" s="325"/>
      <c r="D14532" s="326"/>
      <c r="E14532" s="326"/>
      <c r="F14532" s="326"/>
      <c r="G14532" s="326"/>
      <c r="H14532" s="326"/>
      <c r="P14532" s="318"/>
      <c r="Q14532" s="318"/>
      <c r="R14532" s="318"/>
      <c r="S14532" s="318"/>
      <c r="T14532" s="318"/>
      <c r="U14532" s="318"/>
      <c r="V14532" s="318"/>
      <c r="W14532" s="318"/>
      <c r="X14532" s="318"/>
      <c r="Y14532" s="318"/>
      <c r="Z14532" s="318"/>
      <c r="AA14532" s="318"/>
      <c r="AB14532" s="318"/>
      <c r="AC14532" s="318"/>
      <c r="AD14532" s="318"/>
    </row>
    <row r="14533" spans="2:30" s="323" customFormat="1" ht="12" customHeight="1">
      <c r="B14533" s="324"/>
      <c r="C14533" s="325"/>
      <c r="D14533" s="326"/>
      <c r="E14533" s="326"/>
      <c r="F14533" s="326"/>
      <c r="G14533" s="326"/>
      <c r="H14533" s="326"/>
      <c r="P14533" s="318"/>
      <c r="Q14533" s="318"/>
      <c r="R14533" s="318"/>
      <c r="S14533" s="318"/>
      <c r="T14533" s="318"/>
      <c r="U14533" s="318"/>
      <c r="V14533" s="318"/>
      <c r="W14533" s="318"/>
      <c r="X14533" s="318"/>
      <c r="Y14533" s="318"/>
      <c r="Z14533" s="318"/>
      <c r="AA14533" s="318"/>
      <c r="AB14533" s="318"/>
      <c r="AC14533" s="318"/>
      <c r="AD14533" s="318"/>
    </row>
    <row r="14534" spans="2:30" s="323" customFormat="1" ht="12" customHeight="1">
      <c r="B14534" s="324"/>
      <c r="C14534" s="325"/>
      <c r="D14534" s="326"/>
      <c r="E14534" s="326"/>
      <c r="F14534" s="326"/>
      <c r="G14534" s="326"/>
      <c r="H14534" s="326"/>
      <c r="P14534" s="318"/>
      <c r="Q14534" s="318"/>
      <c r="R14534" s="318"/>
      <c r="S14534" s="318"/>
      <c r="T14534" s="318"/>
      <c r="U14534" s="318"/>
      <c r="V14534" s="318"/>
      <c r="W14534" s="318"/>
      <c r="X14534" s="318"/>
      <c r="Y14534" s="318"/>
      <c r="Z14534" s="318"/>
      <c r="AA14534" s="318"/>
      <c r="AB14534" s="318"/>
      <c r="AC14534" s="318"/>
      <c r="AD14534" s="318"/>
    </row>
    <row r="14535" spans="2:30" s="323" customFormat="1" ht="12" customHeight="1">
      <c r="B14535" s="324"/>
      <c r="C14535" s="325"/>
      <c r="D14535" s="326"/>
      <c r="E14535" s="326"/>
      <c r="F14535" s="326"/>
      <c r="G14535" s="326"/>
      <c r="H14535" s="326"/>
      <c r="P14535" s="318"/>
      <c r="Q14535" s="318"/>
      <c r="R14535" s="318"/>
      <c r="S14535" s="318"/>
      <c r="T14535" s="318"/>
      <c r="U14535" s="318"/>
      <c r="V14535" s="318"/>
      <c r="W14535" s="318"/>
      <c r="X14535" s="318"/>
      <c r="Y14535" s="318"/>
      <c r="Z14535" s="318"/>
      <c r="AA14535" s="318"/>
      <c r="AB14535" s="318"/>
      <c r="AC14535" s="318"/>
      <c r="AD14535" s="318"/>
    </row>
    <row r="14536" spans="2:30" s="323" customFormat="1" ht="12" customHeight="1">
      <c r="B14536" s="324"/>
      <c r="C14536" s="325"/>
      <c r="D14536" s="326"/>
      <c r="E14536" s="326"/>
      <c r="F14536" s="326"/>
      <c r="G14536" s="326"/>
      <c r="H14536" s="326"/>
      <c r="P14536" s="318"/>
      <c r="Q14536" s="318"/>
      <c r="R14536" s="318"/>
      <c r="S14536" s="318"/>
      <c r="T14536" s="318"/>
      <c r="U14536" s="318"/>
      <c r="V14536" s="318"/>
      <c r="W14536" s="318"/>
      <c r="X14536" s="318"/>
      <c r="Y14536" s="318"/>
      <c r="Z14536" s="318"/>
      <c r="AA14536" s="318"/>
      <c r="AB14536" s="318"/>
      <c r="AC14536" s="318"/>
      <c r="AD14536" s="318"/>
    </row>
    <row r="14537" spans="2:30" s="323" customFormat="1" ht="12" customHeight="1">
      <c r="B14537" s="324"/>
      <c r="C14537" s="325"/>
      <c r="D14537" s="326"/>
      <c r="E14537" s="326"/>
      <c r="F14537" s="326"/>
      <c r="G14537" s="326"/>
      <c r="H14537" s="326"/>
      <c r="P14537" s="318"/>
      <c r="Q14537" s="318"/>
      <c r="R14537" s="318"/>
      <c r="S14537" s="318"/>
      <c r="T14537" s="318"/>
      <c r="U14537" s="318"/>
      <c r="V14537" s="318"/>
      <c r="W14537" s="318"/>
      <c r="X14537" s="318"/>
      <c r="Y14537" s="318"/>
      <c r="Z14537" s="318"/>
      <c r="AA14537" s="318"/>
      <c r="AB14537" s="318"/>
      <c r="AC14537" s="318"/>
      <c r="AD14537" s="318"/>
    </row>
    <row r="14538" spans="2:30" s="323" customFormat="1" ht="12" customHeight="1">
      <c r="B14538" s="324"/>
      <c r="C14538" s="325"/>
      <c r="D14538" s="326"/>
      <c r="E14538" s="326"/>
      <c r="F14538" s="326"/>
      <c r="G14538" s="326"/>
      <c r="H14538" s="326"/>
      <c r="P14538" s="318"/>
      <c r="Q14538" s="318"/>
      <c r="R14538" s="318"/>
      <c r="S14538" s="318"/>
      <c r="T14538" s="318"/>
      <c r="U14538" s="318"/>
      <c r="V14538" s="318"/>
      <c r="W14538" s="318"/>
      <c r="X14538" s="318"/>
      <c r="Y14538" s="318"/>
      <c r="Z14538" s="318"/>
      <c r="AA14538" s="318"/>
      <c r="AB14538" s="318"/>
      <c r="AC14538" s="318"/>
      <c r="AD14538" s="318"/>
    </row>
    <row r="14539" spans="2:30" s="323" customFormat="1" ht="12" customHeight="1">
      <c r="B14539" s="324"/>
      <c r="C14539" s="325"/>
      <c r="D14539" s="326"/>
      <c r="E14539" s="326"/>
      <c r="F14539" s="326"/>
      <c r="G14539" s="326"/>
      <c r="H14539" s="326"/>
      <c r="P14539" s="318"/>
      <c r="Q14539" s="318"/>
      <c r="R14539" s="318"/>
      <c r="S14539" s="318"/>
      <c r="T14539" s="318"/>
      <c r="U14539" s="318"/>
      <c r="V14539" s="318"/>
      <c r="W14539" s="318"/>
      <c r="X14539" s="318"/>
      <c r="Y14539" s="318"/>
      <c r="Z14539" s="318"/>
      <c r="AA14539" s="318"/>
      <c r="AB14539" s="318"/>
      <c r="AC14539" s="318"/>
      <c r="AD14539" s="318"/>
    </row>
    <row r="14540" spans="2:30" s="323" customFormat="1" ht="12" customHeight="1">
      <c r="B14540" s="324"/>
      <c r="C14540" s="325"/>
      <c r="D14540" s="326"/>
      <c r="E14540" s="326"/>
      <c r="F14540" s="326"/>
      <c r="G14540" s="326"/>
      <c r="H14540" s="326"/>
      <c r="P14540" s="318"/>
      <c r="Q14540" s="318"/>
      <c r="R14540" s="318"/>
      <c r="S14540" s="318"/>
      <c r="T14540" s="318"/>
      <c r="U14540" s="318"/>
      <c r="V14540" s="318"/>
      <c r="W14540" s="318"/>
      <c r="X14540" s="318"/>
      <c r="Y14540" s="318"/>
      <c r="Z14540" s="318"/>
      <c r="AA14540" s="318"/>
      <c r="AB14540" s="318"/>
      <c r="AC14540" s="318"/>
      <c r="AD14540" s="318"/>
    </row>
    <row r="14541" spans="2:30" s="323" customFormat="1" ht="12" customHeight="1">
      <c r="B14541" s="324"/>
      <c r="C14541" s="325"/>
      <c r="D14541" s="326"/>
      <c r="E14541" s="326"/>
      <c r="F14541" s="326"/>
      <c r="G14541" s="326"/>
      <c r="H14541" s="326"/>
      <c r="P14541" s="318"/>
      <c r="Q14541" s="318"/>
      <c r="R14541" s="318"/>
      <c r="S14541" s="318"/>
      <c r="T14541" s="318"/>
      <c r="U14541" s="318"/>
      <c r="V14541" s="318"/>
      <c r="W14541" s="318"/>
      <c r="X14541" s="318"/>
      <c r="Y14541" s="318"/>
      <c r="Z14541" s="318"/>
      <c r="AA14541" s="318"/>
      <c r="AB14541" s="318"/>
      <c r="AC14541" s="318"/>
      <c r="AD14541" s="318"/>
    </row>
    <row r="14542" spans="2:30" s="323" customFormat="1" ht="12" customHeight="1">
      <c r="B14542" s="324"/>
      <c r="C14542" s="325"/>
      <c r="D14542" s="326"/>
      <c r="E14542" s="326"/>
      <c r="F14542" s="326"/>
      <c r="G14542" s="326"/>
      <c r="H14542" s="326"/>
      <c r="P14542" s="318"/>
      <c r="Q14542" s="318"/>
      <c r="R14542" s="318"/>
      <c r="S14542" s="318"/>
      <c r="T14542" s="318"/>
      <c r="U14542" s="318"/>
      <c r="V14542" s="318"/>
      <c r="W14542" s="318"/>
      <c r="X14542" s="318"/>
      <c r="Y14542" s="318"/>
      <c r="Z14542" s="318"/>
      <c r="AA14542" s="318"/>
      <c r="AB14542" s="318"/>
      <c r="AC14542" s="318"/>
      <c r="AD14542" s="318"/>
    </row>
    <row r="14543" spans="2:30" s="323" customFormat="1" ht="12" customHeight="1">
      <c r="B14543" s="324"/>
      <c r="C14543" s="325"/>
      <c r="D14543" s="326"/>
      <c r="E14543" s="326"/>
      <c r="F14543" s="326"/>
      <c r="G14543" s="326"/>
      <c r="H14543" s="326"/>
      <c r="P14543" s="318"/>
      <c r="Q14543" s="318"/>
      <c r="R14543" s="318"/>
      <c r="S14543" s="318"/>
      <c r="T14543" s="318"/>
      <c r="U14543" s="318"/>
      <c r="V14543" s="318"/>
      <c r="W14543" s="318"/>
      <c r="X14543" s="318"/>
      <c r="Y14543" s="318"/>
      <c r="Z14543" s="318"/>
      <c r="AA14543" s="318"/>
      <c r="AB14543" s="318"/>
      <c r="AC14543" s="318"/>
      <c r="AD14543" s="318"/>
    </row>
    <row r="14544" spans="2:30" s="323" customFormat="1" ht="12" customHeight="1">
      <c r="B14544" s="324"/>
      <c r="C14544" s="325"/>
      <c r="D14544" s="326"/>
      <c r="E14544" s="326"/>
      <c r="F14544" s="326"/>
      <c r="G14544" s="326"/>
      <c r="H14544" s="326"/>
      <c r="P14544" s="318"/>
      <c r="Q14544" s="318"/>
      <c r="R14544" s="318"/>
      <c r="S14544" s="318"/>
      <c r="T14544" s="318"/>
      <c r="U14544" s="318"/>
      <c r="V14544" s="318"/>
      <c r="W14544" s="318"/>
      <c r="X14544" s="318"/>
      <c r="Y14544" s="318"/>
      <c r="Z14544" s="318"/>
      <c r="AA14544" s="318"/>
      <c r="AB14544" s="318"/>
      <c r="AC14544" s="318"/>
      <c r="AD14544" s="318"/>
    </row>
    <row r="14545" spans="2:30" s="323" customFormat="1" ht="12" customHeight="1">
      <c r="B14545" s="324"/>
      <c r="C14545" s="325"/>
      <c r="D14545" s="326"/>
      <c r="E14545" s="326"/>
      <c r="F14545" s="326"/>
      <c r="G14545" s="326"/>
      <c r="H14545" s="326"/>
      <c r="P14545" s="318"/>
      <c r="Q14545" s="318"/>
      <c r="R14545" s="318"/>
      <c r="S14545" s="318"/>
      <c r="T14545" s="318"/>
      <c r="U14545" s="318"/>
      <c r="V14545" s="318"/>
      <c r="W14545" s="318"/>
      <c r="X14545" s="318"/>
      <c r="Y14545" s="318"/>
      <c r="Z14545" s="318"/>
      <c r="AA14545" s="318"/>
      <c r="AB14545" s="318"/>
      <c r="AC14545" s="318"/>
      <c r="AD14545" s="318"/>
    </row>
    <row r="14546" spans="2:30" s="323" customFormat="1" ht="12" customHeight="1">
      <c r="B14546" s="324"/>
      <c r="C14546" s="325"/>
      <c r="D14546" s="326"/>
      <c r="E14546" s="326"/>
      <c r="F14546" s="326"/>
      <c r="G14546" s="326"/>
      <c r="H14546" s="326"/>
      <c r="P14546" s="318"/>
      <c r="Q14546" s="318"/>
      <c r="R14546" s="318"/>
      <c r="S14546" s="318"/>
      <c r="T14546" s="318"/>
      <c r="U14546" s="318"/>
      <c r="V14546" s="318"/>
      <c r="W14546" s="318"/>
      <c r="X14546" s="318"/>
      <c r="Y14546" s="318"/>
      <c r="Z14546" s="318"/>
      <c r="AA14546" s="318"/>
      <c r="AB14546" s="318"/>
      <c r="AC14546" s="318"/>
      <c r="AD14546" s="318"/>
    </row>
    <row r="14547" spans="2:30" s="323" customFormat="1" ht="12" customHeight="1">
      <c r="B14547" s="324"/>
      <c r="C14547" s="325"/>
      <c r="D14547" s="326"/>
      <c r="E14547" s="326"/>
      <c r="F14547" s="326"/>
      <c r="G14547" s="326"/>
      <c r="H14547" s="326"/>
      <c r="P14547" s="318"/>
      <c r="Q14547" s="318"/>
      <c r="R14547" s="318"/>
      <c r="S14547" s="318"/>
      <c r="T14547" s="318"/>
      <c r="U14547" s="318"/>
      <c r="V14547" s="318"/>
      <c r="W14547" s="318"/>
      <c r="X14547" s="318"/>
      <c r="Y14547" s="318"/>
      <c r="Z14547" s="318"/>
      <c r="AA14547" s="318"/>
      <c r="AB14547" s="318"/>
      <c r="AC14547" s="318"/>
      <c r="AD14547" s="318"/>
    </row>
    <row r="14548" spans="2:30" s="323" customFormat="1" ht="12" customHeight="1">
      <c r="B14548" s="324"/>
      <c r="C14548" s="325"/>
      <c r="D14548" s="326"/>
      <c r="E14548" s="326"/>
      <c r="F14548" s="326"/>
      <c r="G14548" s="326"/>
      <c r="H14548" s="326"/>
      <c r="P14548" s="318"/>
      <c r="Q14548" s="318"/>
      <c r="R14548" s="318"/>
      <c r="S14548" s="318"/>
      <c r="T14548" s="318"/>
      <c r="U14548" s="318"/>
      <c r="V14548" s="318"/>
      <c r="W14548" s="318"/>
      <c r="X14548" s="318"/>
      <c r="Y14548" s="318"/>
      <c r="Z14548" s="318"/>
      <c r="AA14548" s="318"/>
      <c r="AB14548" s="318"/>
      <c r="AC14548" s="318"/>
      <c r="AD14548" s="318"/>
    </row>
    <row r="14549" spans="2:30" s="323" customFormat="1" ht="12" customHeight="1">
      <c r="B14549" s="324"/>
      <c r="C14549" s="325"/>
      <c r="D14549" s="326"/>
      <c r="E14549" s="326"/>
      <c r="F14549" s="326"/>
      <c r="G14549" s="326"/>
      <c r="H14549" s="326"/>
      <c r="P14549" s="318"/>
      <c r="Q14549" s="318"/>
      <c r="R14549" s="318"/>
      <c r="S14549" s="318"/>
      <c r="T14549" s="318"/>
      <c r="U14549" s="318"/>
      <c r="V14549" s="318"/>
      <c r="W14549" s="318"/>
      <c r="X14549" s="318"/>
      <c r="Y14549" s="318"/>
      <c r="Z14549" s="318"/>
      <c r="AA14549" s="318"/>
      <c r="AB14549" s="318"/>
      <c r="AC14549" s="318"/>
      <c r="AD14549" s="318"/>
    </row>
    <row r="14550" spans="2:30" s="323" customFormat="1" ht="12" customHeight="1">
      <c r="B14550" s="324"/>
      <c r="C14550" s="325"/>
      <c r="D14550" s="326"/>
      <c r="E14550" s="326"/>
      <c r="F14550" s="326"/>
      <c r="G14550" s="326"/>
      <c r="H14550" s="326"/>
      <c r="P14550" s="318"/>
      <c r="Q14550" s="318"/>
      <c r="R14550" s="318"/>
      <c r="S14550" s="318"/>
      <c r="T14550" s="318"/>
      <c r="U14550" s="318"/>
      <c r="V14550" s="318"/>
      <c r="W14550" s="318"/>
      <c r="X14550" s="318"/>
      <c r="Y14550" s="318"/>
      <c r="Z14550" s="318"/>
      <c r="AA14550" s="318"/>
      <c r="AB14550" s="318"/>
      <c r="AC14550" s="318"/>
      <c r="AD14550" s="318"/>
    </row>
    <row r="14551" spans="2:30" s="323" customFormat="1" ht="12" customHeight="1">
      <c r="B14551" s="324"/>
      <c r="C14551" s="325"/>
      <c r="D14551" s="326"/>
      <c r="E14551" s="326"/>
      <c r="F14551" s="326"/>
      <c r="G14551" s="326"/>
      <c r="H14551" s="326"/>
      <c r="P14551" s="318"/>
      <c r="Q14551" s="318"/>
      <c r="R14551" s="318"/>
      <c r="S14551" s="318"/>
      <c r="T14551" s="318"/>
      <c r="U14551" s="318"/>
      <c r="V14551" s="318"/>
      <c r="W14551" s="318"/>
      <c r="X14551" s="318"/>
      <c r="Y14551" s="318"/>
      <c r="Z14551" s="318"/>
      <c r="AA14551" s="318"/>
      <c r="AB14551" s="318"/>
      <c r="AC14551" s="318"/>
      <c r="AD14551" s="318"/>
    </row>
    <row r="14552" spans="2:30" s="323" customFormat="1" ht="12" customHeight="1">
      <c r="B14552" s="324"/>
      <c r="C14552" s="325"/>
      <c r="D14552" s="326"/>
      <c r="E14552" s="326"/>
      <c r="F14552" s="326"/>
      <c r="G14552" s="326"/>
      <c r="H14552" s="326"/>
      <c r="P14552" s="318"/>
      <c r="Q14552" s="318"/>
      <c r="R14552" s="318"/>
      <c r="S14552" s="318"/>
      <c r="T14552" s="318"/>
      <c r="U14552" s="318"/>
      <c r="V14552" s="318"/>
      <c r="W14552" s="318"/>
      <c r="X14552" s="318"/>
      <c r="Y14552" s="318"/>
      <c r="Z14552" s="318"/>
      <c r="AA14552" s="318"/>
      <c r="AB14552" s="318"/>
      <c r="AC14552" s="318"/>
      <c r="AD14552" s="318"/>
    </row>
    <row r="14553" spans="2:30" s="323" customFormat="1" ht="12" customHeight="1">
      <c r="B14553" s="324"/>
      <c r="C14553" s="325"/>
      <c r="D14553" s="326"/>
      <c r="E14553" s="326"/>
      <c r="F14553" s="326"/>
      <c r="G14553" s="326"/>
      <c r="H14553" s="326"/>
      <c r="P14553" s="318"/>
      <c r="Q14553" s="318"/>
      <c r="R14553" s="318"/>
      <c r="S14553" s="318"/>
      <c r="T14553" s="318"/>
      <c r="U14553" s="318"/>
      <c r="V14553" s="318"/>
      <c r="W14553" s="318"/>
      <c r="X14553" s="318"/>
      <c r="Y14553" s="318"/>
      <c r="Z14553" s="318"/>
      <c r="AA14553" s="318"/>
      <c r="AB14553" s="318"/>
      <c r="AC14553" s="318"/>
      <c r="AD14553" s="318"/>
    </row>
    <row r="14554" spans="2:30" s="323" customFormat="1" ht="12" customHeight="1">
      <c r="B14554" s="324"/>
      <c r="C14554" s="325"/>
      <c r="D14554" s="326"/>
      <c r="E14554" s="326"/>
      <c r="F14554" s="326"/>
      <c r="G14554" s="326"/>
      <c r="H14554" s="326"/>
      <c r="P14554" s="318"/>
      <c r="Q14554" s="318"/>
      <c r="R14554" s="318"/>
      <c r="S14554" s="318"/>
      <c r="T14554" s="318"/>
      <c r="U14554" s="318"/>
      <c r="V14554" s="318"/>
      <c r="W14554" s="318"/>
      <c r="X14554" s="318"/>
      <c r="Y14554" s="318"/>
      <c r="Z14554" s="318"/>
      <c r="AA14554" s="318"/>
      <c r="AB14554" s="318"/>
      <c r="AC14554" s="318"/>
      <c r="AD14554" s="318"/>
    </row>
    <row r="14555" spans="2:30" s="323" customFormat="1" ht="12" customHeight="1">
      <c r="B14555" s="324"/>
      <c r="C14555" s="325"/>
      <c r="D14555" s="326"/>
      <c r="E14555" s="326"/>
      <c r="F14555" s="326"/>
      <c r="G14555" s="326"/>
      <c r="H14555" s="326"/>
      <c r="P14555" s="318"/>
      <c r="Q14555" s="318"/>
      <c r="R14555" s="318"/>
      <c r="S14555" s="318"/>
      <c r="T14555" s="318"/>
      <c r="U14555" s="318"/>
      <c r="V14555" s="318"/>
      <c r="W14555" s="318"/>
      <c r="X14555" s="318"/>
      <c r="Y14555" s="318"/>
      <c r="Z14555" s="318"/>
      <c r="AA14555" s="318"/>
      <c r="AB14555" s="318"/>
      <c r="AC14555" s="318"/>
      <c r="AD14555" s="318"/>
    </row>
    <row r="14556" spans="2:30" s="323" customFormat="1" ht="12" customHeight="1">
      <c r="B14556" s="324"/>
      <c r="C14556" s="325"/>
      <c r="D14556" s="326"/>
      <c r="E14556" s="326"/>
      <c r="F14556" s="326"/>
      <c r="G14556" s="326"/>
      <c r="H14556" s="326"/>
      <c r="P14556" s="318"/>
      <c r="Q14556" s="318"/>
      <c r="R14556" s="318"/>
      <c r="S14556" s="318"/>
      <c r="T14556" s="318"/>
      <c r="U14556" s="318"/>
      <c r="V14556" s="318"/>
      <c r="W14556" s="318"/>
      <c r="X14556" s="318"/>
      <c r="Y14556" s="318"/>
      <c r="Z14556" s="318"/>
      <c r="AA14556" s="318"/>
      <c r="AB14556" s="318"/>
      <c r="AC14556" s="318"/>
      <c r="AD14556" s="318"/>
    </row>
    <row r="14557" spans="2:30" s="323" customFormat="1" ht="12" customHeight="1">
      <c r="B14557" s="324"/>
      <c r="C14557" s="325"/>
      <c r="D14557" s="326"/>
      <c r="E14557" s="326"/>
      <c r="F14557" s="326"/>
      <c r="G14557" s="326"/>
      <c r="H14557" s="326"/>
      <c r="P14557" s="318"/>
      <c r="Q14557" s="318"/>
      <c r="R14557" s="318"/>
      <c r="S14557" s="318"/>
      <c r="T14557" s="318"/>
      <c r="U14557" s="318"/>
      <c r="V14557" s="318"/>
      <c r="W14557" s="318"/>
      <c r="X14557" s="318"/>
      <c r="Y14557" s="318"/>
      <c r="Z14557" s="318"/>
      <c r="AA14557" s="318"/>
      <c r="AB14557" s="318"/>
      <c r="AC14557" s="318"/>
      <c r="AD14557" s="318"/>
    </row>
    <row r="14558" spans="2:30" s="323" customFormat="1" ht="12" customHeight="1">
      <c r="B14558" s="324"/>
      <c r="C14558" s="325"/>
      <c r="D14558" s="326"/>
      <c r="E14558" s="326"/>
      <c r="F14558" s="326"/>
      <c r="G14558" s="326"/>
      <c r="H14558" s="326"/>
      <c r="P14558" s="318"/>
      <c r="Q14558" s="318"/>
      <c r="R14558" s="318"/>
      <c r="S14558" s="318"/>
      <c r="T14558" s="318"/>
      <c r="U14558" s="318"/>
      <c r="V14558" s="318"/>
      <c r="W14558" s="318"/>
      <c r="X14558" s="318"/>
      <c r="Y14558" s="318"/>
      <c r="Z14558" s="318"/>
      <c r="AA14558" s="318"/>
      <c r="AB14558" s="318"/>
      <c r="AC14558" s="318"/>
      <c r="AD14558" s="318"/>
    </row>
    <row r="14559" spans="2:30" s="323" customFormat="1" ht="12" customHeight="1">
      <c r="B14559" s="324"/>
      <c r="C14559" s="325"/>
      <c r="D14559" s="326"/>
      <c r="E14559" s="326"/>
      <c r="F14559" s="326"/>
      <c r="G14559" s="326"/>
      <c r="H14559" s="326"/>
      <c r="P14559" s="318"/>
      <c r="Q14559" s="318"/>
      <c r="R14559" s="318"/>
      <c r="S14559" s="318"/>
      <c r="T14559" s="318"/>
      <c r="U14559" s="318"/>
      <c r="V14559" s="318"/>
      <c r="W14559" s="318"/>
      <c r="X14559" s="318"/>
      <c r="Y14559" s="318"/>
      <c r="Z14559" s="318"/>
      <c r="AA14559" s="318"/>
      <c r="AB14559" s="318"/>
      <c r="AC14559" s="318"/>
      <c r="AD14559" s="318"/>
    </row>
    <row r="14560" spans="2:30" s="323" customFormat="1" ht="12" customHeight="1">
      <c r="B14560" s="324"/>
      <c r="C14560" s="325"/>
      <c r="D14560" s="326"/>
      <c r="E14560" s="326"/>
      <c r="F14560" s="326"/>
      <c r="G14560" s="326"/>
      <c r="H14560" s="326"/>
      <c r="P14560" s="318"/>
      <c r="Q14560" s="318"/>
      <c r="R14560" s="318"/>
      <c r="S14560" s="318"/>
      <c r="T14560" s="318"/>
      <c r="U14560" s="318"/>
      <c r="V14560" s="318"/>
      <c r="W14560" s="318"/>
      <c r="X14560" s="318"/>
      <c r="Y14560" s="318"/>
      <c r="Z14560" s="318"/>
      <c r="AA14560" s="318"/>
      <c r="AB14560" s="318"/>
      <c r="AC14560" s="318"/>
      <c r="AD14560" s="318"/>
    </row>
    <row r="14561" spans="2:30" s="323" customFormat="1" ht="12" customHeight="1">
      <c r="B14561" s="324"/>
      <c r="C14561" s="325"/>
      <c r="D14561" s="326"/>
      <c r="E14561" s="326"/>
      <c r="F14561" s="326"/>
      <c r="G14561" s="326"/>
      <c r="H14561" s="326"/>
      <c r="P14561" s="318"/>
      <c r="Q14561" s="318"/>
      <c r="R14561" s="318"/>
      <c r="S14561" s="318"/>
      <c r="T14561" s="318"/>
      <c r="U14561" s="318"/>
      <c r="V14561" s="318"/>
      <c r="W14561" s="318"/>
      <c r="X14561" s="318"/>
      <c r="Y14561" s="318"/>
      <c r="Z14561" s="318"/>
      <c r="AA14561" s="318"/>
      <c r="AB14561" s="318"/>
      <c r="AC14561" s="318"/>
      <c r="AD14561" s="318"/>
    </row>
    <row r="14562" spans="2:30" s="323" customFormat="1" ht="12" customHeight="1">
      <c r="B14562" s="324"/>
      <c r="C14562" s="325"/>
      <c r="D14562" s="326"/>
      <c r="E14562" s="326"/>
      <c r="F14562" s="326"/>
      <c r="G14562" s="326"/>
      <c r="H14562" s="326"/>
      <c r="P14562" s="318"/>
      <c r="Q14562" s="318"/>
      <c r="R14562" s="318"/>
      <c r="S14562" s="318"/>
      <c r="T14562" s="318"/>
      <c r="U14562" s="318"/>
      <c r="V14562" s="318"/>
      <c r="W14562" s="318"/>
      <c r="X14562" s="318"/>
      <c r="Y14562" s="318"/>
      <c r="Z14562" s="318"/>
      <c r="AA14562" s="318"/>
      <c r="AB14562" s="318"/>
      <c r="AC14562" s="318"/>
      <c r="AD14562" s="318"/>
    </row>
    <row r="14563" spans="2:30" s="323" customFormat="1" ht="12" customHeight="1">
      <c r="B14563" s="324"/>
      <c r="C14563" s="325"/>
      <c r="D14563" s="326"/>
      <c r="E14563" s="326"/>
      <c r="F14563" s="326"/>
      <c r="G14563" s="326"/>
      <c r="H14563" s="326"/>
      <c r="P14563" s="318"/>
      <c r="Q14563" s="318"/>
      <c r="R14563" s="318"/>
      <c r="S14563" s="318"/>
      <c r="T14563" s="318"/>
      <c r="U14563" s="318"/>
      <c r="V14563" s="318"/>
      <c r="W14563" s="318"/>
      <c r="X14563" s="318"/>
      <c r="Y14563" s="318"/>
      <c r="Z14563" s="318"/>
      <c r="AA14563" s="318"/>
      <c r="AB14563" s="318"/>
      <c r="AC14563" s="318"/>
      <c r="AD14563" s="318"/>
    </row>
    <row r="14564" spans="2:30" s="323" customFormat="1" ht="12" customHeight="1">
      <c r="B14564" s="324"/>
      <c r="C14564" s="325"/>
      <c r="D14564" s="326"/>
      <c r="E14564" s="326"/>
      <c r="F14564" s="326"/>
      <c r="G14564" s="326"/>
      <c r="H14564" s="326"/>
      <c r="P14564" s="318"/>
      <c r="Q14564" s="318"/>
      <c r="R14564" s="318"/>
      <c r="S14564" s="318"/>
      <c r="T14564" s="318"/>
      <c r="U14564" s="318"/>
      <c r="V14564" s="318"/>
      <c r="W14564" s="318"/>
      <c r="X14564" s="318"/>
      <c r="Y14564" s="318"/>
      <c r="Z14564" s="318"/>
      <c r="AA14564" s="318"/>
      <c r="AB14564" s="318"/>
      <c r="AC14564" s="318"/>
      <c r="AD14564" s="318"/>
    </row>
    <row r="14565" spans="2:30" s="323" customFormat="1" ht="12" customHeight="1">
      <c r="B14565" s="324"/>
      <c r="C14565" s="325"/>
      <c r="D14565" s="326"/>
      <c r="E14565" s="326"/>
      <c r="F14565" s="326"/>
      <c r="G14565" s="326"/>
      <c r="H14565" s="326"/>
      <c r="P14565" s="318"/>
      <c r="Q14565" s="318"/>
      <c r="R14565" s="318"/>
      <c r="S14565" s="318"/>
      <c r="T14565" s="318"/>
      <c r="U14565" s="318"/>
      <c r="V14565" s="318"/>
      <c r="W14565" s="318"/>
      <c r="X14565" s="318"/>
      <c r="Y14565" s="318"/>
      <c r="Z14565" s="318"/>
      <c r="AA14565" s="318"/>
      <c r="AB14565" s="318"/>
      <c r="AC14565" s="318"/>
      <c r="AD14565" s="318"/>
    </row>
    <row r="14566" spans="2:30" s="323" customFormat="1" ht="12" customHeight="1">
      <c r="B14566" s="324"/>
      <c r="C14566" s="325"/>
      <c r="D14566" s="326"/>
      <c r="E14566" s="326"/>
      <c r="F14566" s="326"/>
      <c r="G14566" s="326"/>
      <c r="H14566" s="326"/>
      <c r="P14566" s="318"/>
      <c r="Q14566" s="318"/>
      <c r="R14566" s="318"/>
      <c r="S14566" s="318"/>
      <c r="T14566" s="318"/>
      <c r="U14566" s="318"/>
      <c r="V14566" s="318"/>
      <c r="W14566" s="318"/>
      <c r="X14566" s="318"/>
      <c r="Y14566" s="318"/>
      <c r="Z14566" s="318"/>
      <c r="AA14566" s="318"/>
      <c r="AB14566" s="318"/>
      <c r="AC14566" s="318"/>
      <c r="AD14566" s="318"/>
    </row>
    <row r="14567" spans="2:30" s="323" customFormat="1" ht="12" customHeight="1">
      <c r="B14567" s="324"/>
      <c r="C14567" s="325"/>
      <c r="D14567" s="326"/>
      <c r="E14567" s="326"/>
      <c r="F14567" s="326"/>
      <c r="G14567" s="326"/>
      <c r="H14567" s="326"/>
      <c r="P14567" s="318"/>
      <c r="Q14567" s="318"/>
      <c r="R14567" s="318"/>
      <c r="S14567" s="318"/>
      <c r="T14567" s="318"/>
      <c r="U14567" s="318"/>
      <c r="V14567" s="318"/>
      <c r="W14567" s="318"/>
      <c r="X14567" s="318"/>
      <c r="Y14567" s="318"/>
      <c r="Z14567" s="318"/>
      <c r="AA14567" s="318"/>
      <c r="AB14567" s="318"/>
      <c r="AC14567" s="318"/>
      <c r="AD14567" s="318"/>
    </row>
    <row r="14568" spans="2:30" s="323" customFormat="1" ht="12" customHeight="1">
      <c r="B14568" s="324"/>
      <c r="C14568" s="325"/>
      <c r="D14568" s="326"/>
      <c r="E14568" s="326"/>
      <c r="F14568" s="326"/>
      <c r="G14568" s="326"/>
      <c r="H14568" s="326"/>
      <c r="P14568" s="318"/>
      <c r="Q14568" s="318"/>
      <c r="R14568" s="318"/>
      <c r="S14568" s="318"/>
      <c r="T14568" s="318"/>
      <c r="U14568" s="318"/>
      <c r="V14568" s="318"/>
      <c r="W14568" s="318"/>
      <c r="X14568" s="318"/>
      <c r="Y14568" s="318"/>
      <c r="Z14568" s="318"/>
      <c r="AA14568" s="318"/>
      <c r="AB14568" s="318"/>
      <c r="AC14568" s="318"/>
      <c r="AD14568" s="318"/>
    </row>
    <row r="14569" spans="2:30" s="323" customFormat="1" ht="12" customHeight="1">
      <c r="B14569" s="324"/>
      <c r="C14569" s="325"/>
      <c r="D14569" s="326"/>
      <c r="E14569" s="326"/>
      <c r="F14569" s="326"/>
      <c r="G14569" s="326"/>
      <c r="H14569" s="326"/>
      <c r="P14569" s="318"/>
      <c r="Q14569" s="318"/>
      <c r="R14569" s="318"/>
      <c r="S14569" s="318"/>
      <c r="T14569" s="318"/>
      <c r="U14569" s="318"/>
      <c r="V14569" s="318"/>
      <c r="W14569" s="318"/>
      <c r="X14569" s="318"/>
      <c r="Y14569" s="318"/>
      <c r="Z14569" s="318"/>
      <c r="AA14569" s="318"/>
      <c r="AB14569" s="318"/>
      <c r="AC14569" s="318"/>
      <c r="AD14569" s="318"/>
    </row>
    <row r="14570" spans="2:30" s="323" customFormat="1" ht="12" customHeight="1">
      <c r="B14570" s="324"/>
      <c r="C14570" s="325"/>
      <c r="D14570" s="326"/>
      <c r="E14570" s="326"/>
      <c r="F14570" s="326"/>
      <c r="G14570" s="326"/>
      <c r="H14570" s="326"/>
      <c r="P14570" s="318"/>
      <c r="Q14570" s="318"/>
      <c r="R14570" s="318"/>
      <c r="S14570" s="318"/>
      <c r="T14570" s="318"/>
      <c r="U14570" s="318"/>
      <c r="V14570" s="318"/>
      <c r="W14570" s="318"/>
      <c r="X14570" s="318"/>
      <c r="Y14570" s="318"/>
      <c r="Z14570" s="318"/>
      <c r="AA14570" s="318"/>
      <c r="AB14570" s="318"/>
      <c r="AC14570" s="318"/>
      <c r="AD14570" s="318"/>
    </row>
    <row r="14571" spans="2:30" s="323" customFormat="1" ht="12" customHeight="1">
      <c r="B14571" s="324"/>
      <c r="C14571" s="325"/>
      <c r="D14571" s="326"/>
      <c r="E14571" s="326"/>
      <c r="F14571" s="326"/>
      <c r="G14571" s="326"/>
      <c r="H14571" s="326"/>
      <c r="P14571" s="318"/>
      <c r="Q14571" s="318"/>
      <c r="R14571" s="318"/>
      <c r="S14571" s="318"/>
      <c r="T14571" s="318"/>
      <c r="U14571" s="318"/>
      <c r="V14571" s="318"/>
      <c r="W14571" s="318"/>
      <c r="X14571" s="318"/>
      <c r="Y14571" s="318"/>
      <c r="Z14571" s="318"/>
      <c r="AA14571" s="318"/>
      <c r="AB14571" s="318"/>
      <c r="AC14571" s="318"/>
      <c r="AD14571" s="318"/>
    </row>
    <row r="14572" spans="2:30" s="323" customFormat="1" ht="12" customHeight="1">
      <c r="B14572" s="324"/>
      <c r="C14572" s="325"/>
      <c r="D14572" s="326"/>
      <c r="E14572" s="326"/>
      <c r="F14572" s="326"/>
      <c r="G14572" s="326"/>
      <c r="H14572" s="326"/>
      <c r="P14572" s="318"/>
      <c r="Q14572" s="318"/>
      <c r="R14572" s="318"/>
      <c r="S14572" s="318"/>
      <c r="T14572" s="318"/>
      <c r="U14572" s="318"/>
      <c r="V14572" s="318"/>
      <c r="W14572" s="318"/>
      <c r="X14572" s="318"/>
      <c r="Y14572" s="318"/>
      <c r="Z14572" s="318"/>
      <c r="AA14572" s="318"/>
      <c r="AB14572" s="318"/>
      <c r="AC14572" s="318"/>
      <c r="AD14572" s="318"/>
    </row>
    <row r="14573" spans="2:30" s="323" customFormat="1" ht="12" customHeight="1">
      <c r="B14573" s="324"/>
      <c r="C14573" s="325"/>
      <c r="D14573" s="326"/>
      <c r="E14573" s="326"/>
      <c r="F14573" s="326"/>
      <c r="G14573" s="326"/>
      <c r="H14573" s="326"/>
      <c r="P14573" s="318"/>
      <c r="Q14573" s="318"/>
      <c r="R14573" s="318"/>
      <c r="S14573" s="318"/>
      <c r="T14573" s="318"/>
      <c r="U14573" s="318"/>
      <c r="V14573" s="318"/>
      <c r="W14573" s="318"/>
      <c r="X14573" s="318"/>
      <c r="Y14573" s="318"/>
      <c r="Z14573" s="318"/>
      <c r="AA14573" s="318"/>
      <c r="AB14573" s="318"/>
      <c r="AC14573" s="318"/>
      <c r="AD14573" s="318"/>
    </row>
    <row r="14574" spans="2:30" s="323" customFormat="1" ht="12" customHeight="1">
      <c r="B14574" s="324"/>
      <c r="C14574" s="325"/>
      <c r="D14574" s="326"/>
      <c r="E14574" s="326"/>
      <c r="F14574" s="326"/>
      <c r="G14574" s="326"/>
      <c r="H14574" s="326"/>
      <c r="P14574" s="318"/>
      <c r="Q14574" s="318"/>
      <c r="R14574" s="318"/>
      <c r="S14574" s="318"/>
      <c r="T14574" s="318"/>
      <c r="U14574" s="318"/>
      <c r="V14574" s="318"/>
      <c r="W14574" s="318"/>
      <c r="X14574" s="318"/>
      <c r="Y14574" s="318"/>
      <c r="Z14574" s="318"/>
      <c r="AA14574" s="318"/>
      <c r="AB14574" s="318"/>
      <c r="AC14574" s="318"/>
      <c r="AD14574" s="318"/>
    </row>
    <row r="14575" spans="2:30" s="323" customFormat="1" ht="12" customHeight="1">
      <c r="B14575" s="324"/>
      <c r="C14575" s="325"/>
      <c r="D14575" s="326"/>
      <c r="E14575" s="326"/>
      <c r="F14575" s="326"/>
      <c r="G14575" s="326"/>
      <c r="H14575" s="326"/>
      <c r="P14575" s="318"/>
      <c r="Q14575" s="318"/>
      <c r="R14575" s="318"/>
      <c r="S14575" s="318"/>
      <c r="T14575" s="318"/>
      <c r="U14575" s="318"/>
      <c r="V14575" s="318"/>
      <c r="W14575" s="318"/>
      <c r="X14575" s="318"/>
      <c r="Y14575" s="318"/>
      <c r="Z14575" s="318"/>
      <c r="AA14575" s="318"/>
      <c r="AB14575" s="318"/>
      <c r="AC14575" s="318"/>
      <c r="AD14575" s="318"/>
    </row>
    <row r="14576" spans="2:30" s="323" customFormat="1" ht="12" customHeight="1">
      <c r="B14576" s="324"/>
      <c r="C14576" s="325"/>
      <c r="D14576" s="326"/>
      <c r="E14576" s="326"/>
      <c r="F14576" s="326"/>
      <c r="G14576" s="326"/>
      <c r="H14576" s="326"/>
      <c r="P14576" s="318"/>
      <c r="Q14576" s="318"/>
      <c r="R14576" s="318"/>
      <c r="S14576" s="318"/>
      <c r="T14576" s="318"/>
      <c r="U14576" s="318"/>
      <c r="V14576" s="318"/>
      <c r="W14576" s="318"/>
      <c r="X14576" s="318"/>
      <c r="Y14576" s="318"/>
      <c r="Z14576" s="318"/>
      <c r="AA14576" s="318"/>
      <c r="AB14576" s="318"/>
      <c r="AC14576" s="318"/>
      <c r="AD14576" s="318"/>
    </row>
    <row r="14577" spans="2:30" s="323" customFormat="1" ht="12" customHeight="1">
      <c r="B14577" s="324"/>
      <c r="C14577" s="325"/>
      <c r="D14577" s="326"/>
      <c r="E14577" s="326"/>
      <c r="F14577" s="326"/>
      <c r="G14577" s="326"/>
      <c r="H14577" s="326"/>
      <c r="P14577" s="318"/>
      <c r="Q14577" s="318"/>
      <c r="R14577" s="318"/>
      <c r="S14577" s="318"/>
      <c r="T14577" s="318"/>
      <c r="U14577" s="318"/>
      <c r="V14577" s="318"/>
      <c r="W14577" s="318"/>
      <c r="X14577" s="318"/>
      <c r="Y14577" s="318"/>
      <c r="Z14577" s="318"/>
      <c r="AA14577" s="318"/>
      <c r="AB14577" s="318"/>
      <c r="AC14577" s="318"/>
      <c r="AD14577" s="318"/>
    </row>
    <row r="14578" spans="2:30" s="323" customFormat="1" ht="12" customHeight="1">
      <c r="B14578" s="324"/>
      <c r="C14578" s="325"/>
      <c r="D14578" s="326"/>
      <c r="E14578" s="326"/>
      <c r="F14578" s="326"/>
      <c r="G14578" s="326"/>
      <c r="H14578" s="326"/>
      <c r="P14578" s="318"/>
      <c r="Q14578" s="318"/>
      <c r="R14578" s="318"/>
      <c r="S14578" s="318"/>
      <c r="T14578" s="318"/>
      <c r="U14578" s="318"/>
      <c r="V14578" s="318"/>
      <c r="W14578" s="318"/>
      <c r="X14578" s="318"/>
      <c r="Y14578" s="318"/>
      <c r="Z14578" s="318"/>
      <c r="AA14578" s="318"/>
      <c r="AB14578" s="318"/>
      <c r="AC14578" s="318"/>
      <c r="AD14578" s="318"/>
    </row>
    <row r="14579" spans="2:30" s="323" customFormat="1" ht="12" customHeight="1">
      <c r="B14579" s="324"/>
      <c r="C14579" s="325"/>
      <c r="D14579" s="326"/>
      <c r="E14579" s="326"/>
      <c r="F14579" s="326"/>
      <c r="G14579" s="326"/>
      <c r="H14579" s="326"/>
      <c r="P14579" s="318"/>
      <c r="Q14579" s="318"/>
      <c r="R14579" s="318"/>
      <c r="S14579" s="318"/>
      <c r="T14579" s="318"/>
      <c r="U14579" s="318"/>
      <c r="V14579" s="318"/>
      <c r="W14579" s="318"/>
      <c r="X14579" s="318"/>
      <c r="Y14579" s="318"/>
      <c r="Z14579" s="318"/>
      <c r="AA14579" s="318"/>
      <c r="AB14579" s="318"/>
      <c r="AC14579" s="318"/>
      <c r="AD14579" s="318"/>
    </row>
    <row r="14580" spans="2:30" s="323" customFormat="1" ht="12" customHeight="1">
      <c r="B14580" s="324"/>
      <c r="C14580" s="325"/>
      <c r="D14580" s="326"/>
      <c r="E14580" s="326"/>
      <c r="F14580" s="326"/>
      <c r="G14580" s="326"/>
      <c r="H14580" s="326"/>
      <c r="P14580" s="318"/>
      <c r="Q14580" s="318"/>
      <c r="R14580" s="318"/>
      <c r="S14580" s="318"/>
      <c r="T14580" s="318"/>
      <c r="U14580" s="318"/>
      <c r="V14580" s="318"/>
      <c r="W14580" s="318"/>
      <c r="X14580" s="318"/>
      <c r="Y14580" s="318"/>
      <c r="Z14580" s="318"/>
      <c r="AA14580" s="318"/>
      <c r="AB14580" s="318"/>
      <c r="AC14580" s="318"/>
      <c r="AD14580" s="318"/>
    </row>
    <row r="14581" spans="2:30" s="323" customFormat="1" ht="12" customHeight="1">
      <c r="B14581" s="324"/>
      <c r="C14581" s="325"/>
      <c r="D14581" s="326"/>
      <c r="E14581" s="326"/>
      <c r="F14581" s="326"/>
      <c r="G14581" s="326"/>
      <c r="H14581" s="326"/>
      <c r="P14581" s="318"/>
      <c r="Q14581" s="318"/>
      <c r="R14581" s="318"/>
      <c r="S14581" s="318"/>
      <c r="T14581" s="318"/>
      <c r="U14581" s="318"/>
      <c r="V14581" s="318"/>
      <c r="W14581" s="318"/>
      <c r="X14581" s="318"/>
      <c r="Y14581" s="318"/>
      <c r="Z14581" s="318"/>
      <c r="AA14581" s="318"/>
      <c r="AB14581" s="318"/>
      <c r="AC14581" s="318"/>
      <c r="AD14581" s="318"/>
    </row>
    <row r="14582" spans="2:30" s="323" customFormat="1" ht="12" customHeight="1">
      <c r="B14582" s="324"/>
      <c r="C14582" s="325"/>
      <c r="D14582" s="326"/>
      <c r="E14582" s="326"/>
      <c r="F14582" s="326"/>
      <c r="G14582" s="326"/>
      <c r="H14582" s="326"/>
      <c r="P14582" s="318"/>
      <c r="Q14582" s="318"/>
      <c r="R14582" s="318"/>
      <c r="S14582" s="318"/>
      <c r="T14582" s="318"/>
      <c r="U14582" s="318"/>
      <c r="V14582" s="318"/>
      <c r="W14582" s="318"/>
      <c r="X14582" s="318"/>
      <c r="Y14582" s="318"/>
      <c r="Z14582" s="318"/>
      <c r="AA14582" s="318"/>
      <c r="AB14582" s="318"/>
      <c r="AC14582" s="318"/>
      <c r="AD14582" s="318"/>
    </row>
    <row r="14583" spans="2:30" s="323" customFormat="1" ht="12" customHeight="1">
      <c r="B14583" s="324"/>
      <c r="C14583" s="325"/>
      <c r="D14583" s="326"/>
      <c r="E14583" s="326"/>
      <c r="F14583" s="326"/>
      <c r="G14583" s="326"/>
      <c r="H14583" s="326"/>
      <c r="P14583" s="318"/>
      <c r="Q14583" s="318"/>
      <c r="R14583" s="318"/>
      <c r="S14583" s="318"/>
      <c r="T14583" s="318"/>
      <c r="U14583" s="318"/>
      <c r="V14583" s="318"/>
      <c r="W14583" s="318"/>
      <c r="X14583" s="318"/>
      <c r="Y14583" s="318"/>
      <c r="Z14583" s="318"/>
      <c r="AA14583" s="318"/>
      <c r="AB14583" s="318"/>
      <c r="AC14583" s="318"/>
      <c r="AD14583" s="318"/>
    </row>
    <row r="14584" spans="2:30" s="323" customFormat="1" ht="12" customHeight="1">
      <c r="B14584" s="324"/>
      <c r="C14584" s="325"/>
      <c r="D14584" s="326"/>
      <c r="E14584" s="326"/>
      <c r="F14584" s="326"/>
      <c r="G14584" s="326"/>
      <c r="H14584" s="326"/>
      <c r="P14584" s="318"/>
      <c r="Q14584" s="318"/>
      <c r="R14584" s="318"/>
      <c r="S14584" s="318"/>
      <c r="T14584" s="318"/>
      <c r="U14584" s="318"/>
      <c r="V14584" s="318"/>
      <c r="W14584" s="318"/>
      <c r="X14584" s="318"/>
      <c r="Y14584" s="318"/>
      <c r="Z14584" s="318"/>
      <c r="AA14584" s="318"/>
      <c r="AB14584" s="318"/>
      <c r="AC14584" s="318"/>
      <c r="AD14584" s="318"/>
    </row>
    <row r="14585" spans="2:30" s="323" customFormat="1" ht="12" customHeight="1">
      <c r="B14585" s="324"/>
      <c r="C14585" s="325"/>
      <c r="D14585" s="326"/>
      <c r="E14585" s="326"/>
      <c r="F14585" s="326"/>
      <c r="G14585" s="326"/>
      <c r="H14585" s="326"/>
      <c r="P14585" s="318"/>
      <c r="Q14585" s="318"/>
      <c r="R14585" s="318"/>
      <c r="S14585" s="318"/>
      <c r="T14585" s="318"/>
      <c r="U14585" s="318"/>
      <c r="V14585" s="318"/>
      <c r="W14585" s="318"/>
      <c r="X14585" s="318"/>
      <c r="Y14585" s="318"/>
      <c r="Z14585" s="318"/>
      <c r="AA14585" s="318"/>
      <c r="AB14585" s="318"/>
      <c r="AC14585" s="318"/>
      <c r="AD14585" s="318"/>
    </row>
    <row r="14586" spans="2:30" s="323" customFormat="1" ht="12" customHeight="1">
      <c r="B14586" s="324"/>
      <c r="C14586" s="325"/>
      <c r="D14586" s="326"/>
      <c r="E14586" s="326"/>
      <c r="F14586" s="326"/>
      <c r="G14586" s="326"/>
      <c r="H14586" s="326"/>
      <c r="P14586" s="318"/>
      <c r="Q14586" s="318"/>
      <c r="R14586" s="318"/>
      <c r="S14586" s="318"/>
      <c r="T14586" s="318"/>
      <c r="U14586" s="318"/>
      <c r="V14586" s="318"/>
      <c r="W14586" s="318"/>
      <c r="X14586" s="318"/>
      <c r="Y14586" s="318"/>
      <c r="Z14586" s="318"/>
      <c r="AA14586" s="318"/>
      <c r="AB14586" s="318"/>
      <c r="AC14586" s="318"/>
      <c r="AD14586" s="318"/>
    </row>
    <row r="14587" spans="2:30" s="323" customFormat="1" ht="12" customHeight="1">
      <c r="B14587" s="324"/>
      <c r="C14587" s="325"/>
      <c r="D14587" s="326"/>
      <c r="E14587" s="326"/>
      <c r="F14587" s="326"/>
      <c r="G14587" s="326"/>
      <c r="H14587" s="326"/>
      <c r="P14587" s="318"/>
      <c r="Q14587" s="318"/>
      <c r="R14587" s="318"/>
      <c r="S14587" s="318"/>
      <c r="T14587" s="318"/>
      <c r="U14587" s="318"/>
      <c r="V14587" s="318"/>
      <c r="W14587" s="318"/>
      <c r="X14587" s="318"/>
      <c r="Y14587" s="318"/>
      <c r="Z14587" s="318"/>
      <c r="AA14587" s="318"/>
      <c r="AB14587" s="318"/>
      <c r="AC14587" s="318"/>
      <c r="AD14587" s="318"/>
    </row>
    <row r="14588" spans="2:30" s="323" customFormat="1" ht="12" customHeight="1">
      <c r="B14588" s="324"/>
      <c r="C14588" s="325"/>
      <c r="D14588" s="326"/>
      <c r="E14588" s="326"/>
      <c r="F14588" s="326"/>
      <c r="G14588" s="326"/>
      <c r="H14588" s="326"/>
      <c r="P14588" s="318"/>
      <c r="Q14588" s="318"/>
      <c r="R14588" s="318"/>
      <c r="S14588" s="318"/>
      <c r="T14588" s="318"/>
      <c r="U14588" s="318"/>
      <c r="V14588" s="318"/>
      <c r="W14588" s="318"/>
      <c r="X14588" s="318"/>
      <c r="Y14588" s="318"/>
      <c r="Z14588" s="318"/>
      <c r="AA14588" s="318"/>
      <c r="AB14588" s="318"/>
      <c r="AC14588" s="318"/>
      <c r="AD14588" s="318"/>
    </row>
    <row r="14589" spans="2:30" s="323" customFormat="1" ht="12" customHeight="1">
      <c r="B14589" s="324"/>
      <c r="C14589" s="325"/>
      <c r="D14589" s="326"/>
      <c r="E14589" s="326"/>
      <c r="F14589" s="326"/>
      <c r="G14589" s="326"/>
      <c r="H14589" s="326"/>
      <c r="P14589" s="318"/>
      <c r="Q14589" s="318"/>
      <c r="R14589" s="318"/>
      <c r="S14589" s="318"/>
      <c r="T14589" s="318"/>
      <c r="U14589" s="318"/>
      <c r="V14589" s="318"/>
      <c r="W14589" s="318"/>
      <c r="X14589" s="318"/>
      <c r="Y14589" s="318"/>
      <c r="Z14589" s="318"/>
      <c r="AA14589" s="318"/>
      <c r="AB14589" s="318"/>
      <c r="AC14589" s="318"/>
      <c r="AD14589" s="318"/>
    </row>
    <row r="14590" spans="2:30" s="323" customFormat="1" ht="12" customHeight="1">
      <c r="B14590" s="324"/>
      <c r="C14590" s="325"/>
      <c r="D14590" s="326"/>
      <c r="E14590" s="326"/>
      <c r="F14590" s="326"/>
      <c r="G14590" s="326"/>
      <c r="H14590" s="326"/>
      <c r="P14590" s="318"/>
      <c r="Q14590" s="318"/>
      <c r="R14590" s="318"/>
      <c r="S14590" s="318"/>
      <c r="T14590" s="318"/>
      <c r="U14590" s="318"/>
      <c r="V14590" s="318"/>
      <c r="W14590" s="318"/>
      <c r="X14590" s="318"/>
      <c r="Y14590" s="318"/>
      <c r="Z14590" s="318"/>
      <c r="AA14590" s="318"/>
      <c r="AB14590" s="318"/>
      <c r="AC14590" s="318"/>
      <c r="AD14590" s="318"/>
    </row>
    <row r="14591" spans="2:30" s="323" customFormat="1" ht="12" customHeight="1">
      <c r="B14591" s="324"/>
      <c r="C14591" s="325"/>
      <c r="D14591" s="326"/>
      <c r="E14591" s="326"/>
      <c r="F14591" s="326"/>
      <c r="G14591" s="326"/>
      <c r="H14591" s="326"/>
      <c r="P14591" s="318"/>
      <c r="Q14591" s="318"/>
      <c r="R14591" s="318"/>
      <c r="S14591" s="318"/>
      <c r="T14591" s="318"/>
      <c r="U14591" s="318"/>
      <c r="V14591" s="318"/>
      <c r="W14591" s="318"/>
      <c r="X14591" s="318"/>
      <c r="Y14591" s="318"/>
      <c r="Z14591" s="318"/>
      <c r="AA14591" s="318"/>
      <c r="AB14591" s="318"/>
      <c r="AC14591" s="318"/>
      <c r="AD14591" s="318"/>
    </row>
    <row r="14592" spans="2:30" s="323" customFormat="1" ht="12" customHeight="1">
      <c r="B14592" s="324"/>
      <c r="C14592" s="325"/>
      <c r="D14592" s="326"/>
      <c r="E14592" s="326"/>
      <c r="F14592" s="326"/>
      <c r="G14592" s="326"/>
      <c r="H14592" s="326"/>
      <c r="P14592" s="318"/>
      <c r="Q14592" s="318"/>
      <c r="R14592" s="318"/>
      <c r="S14592" s="318"/>
      <c r="T14592" s="318"/>
      <c r="U14592" s="318"/>
      <c r="V14592" s="318"/>
      <c r="W14592" s="318"/>
      <c r="X14592" s="318"/>
      <c r="Y14592" s="318"/>
      <c r="Z14592" s="318"/>
      <c r="AA14592" s="318"/>
      <c r="AB14592" s="318"/>
      <c r="AC14592" s="318"/>
      <c r="AD14592" s="318"/>
    </row>
    <row r="14593" spans="2:30" s="323" customFormat="1" ht="12" customHeight="1">
      <c r="B14593" s="324"/>
      <c r="C14593" s="325"/>
      <c r="D14593" s="326"/>
      <c r="E14593" s="326"/>
      <c r="F14593" s="326"/>
      <c r="G14593" s="326"/>
      <c r="H14593" s="326"/>
      <c r="P14593" s="318"/>
      <c r="Q14593" s="318"/>
      <c r="R14593" s="318"/>
      <c r="S14593" s="318"/>
      <c r="T14593" s="318"/>
      <c r="U14593" s="318"/>
      <c r="V14593" s="318"/>
      <c r="W14593" s="318"/>
      <c r="X14593" s="318"/>
      <c r="Y14593" s="318"/>
      <c r="Z14593" s="318"/>
      <c r="AA14593" s="318"/>
      <c r="AB14593" s="318"/>
      <c r="AC14593" s="318"/>
      <c r="AD14593" s="318"/>
    </row>
    <row r="14594" spans="2:30" s="323" customFormat="1" ht="12" customHeight="1">
      <c r="B14594" s="324"/>
      <c r="C14594" s="325"/>
      <c r="D14594" s="326"/>
      <c r="E14594" s="326"/>
      <c r="F14594" s="326"/>
      <c r="G14594" s="326"/>
      <c r="H14594" s="326"/>
      <c r="P14594" s="318"/>
      <c r="Q14594" s="318"/>
      <c r="R14594" s="318"/>
      <c r="S14594" s="318"/>
      <c r="T14594" s="318"/>
      <c r="U14594" s="318"/>
      <c r="V14594" s="318"/>
      <c r="W14594" s="318"/>
      <c r="X14594" s="318"/>
      <c r="Y14594" s="318"/>
      <c r="Z14594" s="318"/>
      <c r="AA14594" s="318"/>
      <c r="AB14594" s="318"/>
      <c r="AC14594" s="318"/>
      <c r="AD14594" s="318"/>
    </row>
    <row r="14595" spans="2:30" s="323" customFormat="1" ht="12" customHeight="1">
      <c r="B14595" s="324"/>
      <c r="C14595" s="325"/>
      <c r="D14595" s="326"/>
      <c r="E14595" s="326"/>
      <c r="F14595" s="326"/>
      <c r="G14595" s="326"/>
      <c r="H14595" s="326"/>
      <c r="P14595" s="318"/>
      <c r="Q14595" s="318"/>
      <c r="R14595" s="318"/>
      <c r="S14595" s="318"/>
      <c r="T14595" s="318"/>
      <c r="U14595" s="318"/>
      <c r="V14595" s="318"/>
      <c r="W14595" s="318"/>
      <c r="X14595" s="318"/>
      <c r="Y14595" s="318"/>
      <c r="Z14595" s="318"/>
      <c r="AA14595" s="318"/>
      <c r="AB14595" s="318"/>
      <c r="AC14595" s="318"/>
      <c r="AD14595" s="318"/>
    </row>
    <row r="14596" spans="2:30" s="323" customFormat="1" ht="12" customHeight="1">
      <c r="B14596" s="324"/>
      <c r="C14596" s="325"/>
      <c r="D14596" s="326"/>
      <c r="E14596" s="326"/>
      <c r="F14596" s="326"/>
      <c r="G14596" s="326"/>
      <c r="H14596" s="326"/>
      <c r="P14596" s="318"/>
      <c r="Q14596" s="318"/>
      <c r="R14596" s="318"/>
      <c r="S14596" s="318"/>
      <c r="T14596" s="318"/>
      <c r="U14596" s="318"/>
      <c r="V14596" s="318"/>
      <c r="W14596" s="318"/>
      <c r="X14596" s="318"/>
      <c r="Y14596" s="318"/>
      <c r="Z14596" s="318"/>
      <c r="AA14596" s="318"/>
      <c r="AB14596" s="318"/>
      <c r="AC14596" s="318"/>
      <c r="AD14596" s="318"/>
    </row>
    <row r="14597" spans="2:30" s="323" customFormat="1" ht="12" customHeight="1">
      <c r="B14597" s="324"/>
      <c r="C14597" s="325"/>
      <c r="D14597" s="326"/>
      <c r="E14597" s="326"/>
      <c r="F14597" s="326"/>
      <c r="G14597" s="326"/>
      <c r="H14597" s="326"/>
      <c r="P14597" s="318"/>
      <c r="Q14597" s="318"/>
      <c r="R14597" s="318"/>
      <c r="S14597" s="318"/>
      <c r="T14597" s="318"/>
      <c r="U14597" s="318"/>
      <c r="V14597" s="318"/>
      <c r="W14597" s="318"/>
      <c r="X14597" s="318"/>
      <c r="Y14597" s="318"/>
      <c r="Z14597" s="318"/>
      <c r="AA14597" s="318"/>
      <c r="AB14597" s="318"/>
      <c r="AC14597" s="318"/>
      <c r="AD14597" s="318"/>
    </row>
    <row r="14598" spans="2:30" s="323" customFormat="1" ht="12" customHeight="1">
      <c r="B14598" s="324"/>
      <c r="C14598" s="325"/>
      <c r="D14598" s="326"/>
      <c r="E14598" s="326"/>
      <c r="F14598" s="326"/>
      <c r="G14598" s="326"/>
      <c r="H14598" s="326"/>
      <c r="P14598" s="318"/>
      <c r="Q14598" s="318"/>
      <c r="R14598" s="318"/>
      <c r="S14598" s="318"/>
      <c r="T14598" s="318"/>
      <c r="U14598" s="318"/>
      <c r="V14598" s="318"/>
      <c r="W14598" s="318"/>
      <c r="X14598" s="318"/>
      <c r="Y14598" s="318"/>
      <c r="Z14598" s="318"/>
      <c r="AA14598" s="318"/>
      <c r="AB14598" s="318"/>
      <c r="AC14598" s="318"/>
      <c r="AD14598" s="318"/>
    </row>
    <row r="14599" spans="2:30" s="323" customFormat="1" ht="12" customHeight="1">
      <c r="B14599" s="324"/>
      <c r="C14599" s="325"/>
      <c r="D14599" s="326"/>
      <c r="E14599" s="326"/>
      <c r="F14599" s="326"/>
      <c r="G14599" s="326"/>
      <c r="H14599" s="326"/>
      <c r="P14599" s="318"/>
      <c r="Q14599" s="318"/>
      <c r="R14599" s="318"/>
      <c r="S14599" s="318"/>
      <c r="T14599" s="318"/>
      <c r="U14599" s="318"/>
      <c r="V14599" s="318"/>
      <c r="W14599" s="318"/>
      <c r="X14599" s="318"/>
      <c r="Y14599" s="318"/>
      <c r="Z14599" s="318"/>
      <c r="AA14599" s="318"/>
      <c r="AB14599" s="318"/>
      <c r="AC14599" s="318"/>
      <c r="AD14599" s="318"/>
    </row>
    <row r="14600" spans="2:30" s="323" customFormat="1" ht="12" customHeight="1">
      <c r="B14600" s="324"/>
      <c r="C14600" s="325"/>
      <c r="D14600" s="326"/>
      <c r="E14600" s="326"/>
      <c r="F14600" s="326"/>
      <c r="G14600" s="326"/>
      <c r="H14600" s="326"/>
      <c r="P14600" s="318"/>
      <c r="Q14600" s="318"/>
      <c r="R14600" s="318"/>
      <c r="S14600" s="318"/>
      <c r="T14600" s="318"/>
      <c r="U14600" s="318"/>
      <c r="V14600" s="318"/>
      <c r="W14600" s="318"/>
      <c r="X14600" s="318"/>
      <c r="Y14600" s="318"/>
      <c r="Z14600" s="318"/>
      <c r="AA14600" s="318"/>
      <c r="AB14600" s="318"/>
      <c r="AC14600" s="318"/>
      <c r="AD14600" s="318"/>
    </row>
    <row r="14601" spans="2:30" s="323" customFormat="1" ht="12" customHeight="1">
      <c r="B14601" s="324"/>
      <c r="C14601" s="325"/>
      <c r="D14601" s="326"/>
      <c r="E14601" s="326"/>
      <c r="F14601" s="326"/>
      <c r="G14601" s="326"/>
      <c r="H14601" s="326"/>
      <c r="P14601" s="318"/>
      <c r="Q14601" s="318"/>
      <c r="R14601" s="318"/>
      <c r="S14601" s="318"/>
      <c r="T14601" s="318"/>
      <c r="U14601" s="318"/>
      <c r="V14601" s="318"/>
      <c r="W14601" s="318"/>
      <c r="X14601" s="318"/>
      <c r="Y14601" s="318"/>
      <c r="Z14601" s="318"/>
      <c r="AA14601" s="318"/>
      <c r="AB14601" s="318"/>
      <c r="AC14601" s="318"/>
      <c r="AD14601" s="318"/>
    </row>
    <row r="14602" spans="2:30" s="323" customFormat="1" ht="12" customHeight="1">
      <c r="B14602" s="324"/>
      <c r="C14602" s="325"/>
      <c r="D14602" s="326"/>
      <c r="E14602" s="326"/>
      <c r="F14602" s="326"/>
      <c r="G14602" s="326"/>
      <c r="H14602" s="326"/>
      <c r="P14602" s="318"/>
      <c r="Q14602" s="318"/>
      <c r="R14602" s="318"/>
      <c r="S14602" s="318"/>
      <c r="T14602" s="318"/>
      <c r="U14602" s="318"/>
      <c r="V14602" s="318"/>
      <c r="W14602" s="318"/>
      <c r="X14602" s="318"/>
      <c r="Y14602" s="318"/>
      <c r="Z14602" s="318"/>
      <c r="AA14602" s="318"/>
      <c r="AB14602" s="318"/>
      <c r="AC14602" s="318"/>
      <c r="AD14602" s="318"/>
    </row>
    <row r="14603" spans="2:30" s="323" customFormat="1" ht="12" customHeight="1">
      <c r="B14603" s="324"/>
      <c r="C14603" s="325"/>
      <c r="D14603" s="326"/>
      <c r="E14603" s="326"/>
      <c r="F14603" s="326"/>
      <c r="G14603" s="326"/>
      <c r="H14603" s="326"/>
      <c r="P14603" s="318"/>
      <c r="Q14603" s="318"/>
      <c r="R14603" s="318"/>
      <c r="S14603" s="318"/>
      <c r="T14603" s="318"/>
      <c r="U14603" s="318"/>
      <c r="V14603" s="318"/>
      <c r="W14603" s="318"/>
      <c r="X14603" s="318"/>
      <c r="Y14603" s="318"/>
      <c r="Z14603" s="318"/>
      <c r="AA14603" s="318"/>
      <c r="AB14603" s="318"/>
      <c r="AC14603" s="318"/>
      <c r="AD14603" s="318"/>
    </row>
    <row r="14604" spans="2:30" s="323" customFormat="1" ht="12" customHeight="1">
      <c r="B14604" s="324"/>
      <c r="C14604" s="325"/>
      <c r="D14604" s="326"/>
      <c r="E14604" s="326"/>
      <c r="F14604" s="326"/>
      <c r="G14604" s="326"/>
      <c r="H14604" s="326"/>
      <c r="P14604" s="318"/>
      <c r="Q14604" s="318"/>
      <c r="R14604" s="318"/>
      <c r="S14604" s="318"/>
      <c r="T14604" s="318"/>
      <c r="U14604" s="318"/>
      <c r="V14604" s="318"/>
      <c r="W14604" s="318"/>
      <c r="X14604" s="318"/>
      <c r="Y14604" s="318"/>
      <c r="Z14604" s="318"/>
      <c r="AA14604" s="318"/>
      <c r="AB14604" s="318"/>
      <c r="AC14604" s="318"/>
      <c r="AD14604" s="318"/>
    </row>
    <row r="14605" spans="2:30" s="323" customFormat="1" ht="12" customHeight="1">
      <c r="B14605" s="324"/>
      <c r="C14605" s="325"/>
      <c r="D14605" s="326"/>
      <c r="E14605" s="326"/>
      <c r="F14605" s="326"/>
      <c r="G14605" s="326"/>
      <c r="H14605" s="326"/>
      <c r="P14605" s="318"/>
      <c r="Q14605" s="318"/>
      <c r="R14605" s="318"/>
      <c r="S14605" s="318"/>
      <c r="T14605" s="318"/>
      <c r="U14605" s="318"/>
      <c r="V14605" s="318"/>
      <c r="W14605" s="318"/>
      <c r="X14605" s="318"/>
      <c r="Y14605" s="318"/>
      <c r="Z14605" s="318"/>
      <c r="AA14605" s="318"/>
      <c r="AB14605" s="318"/>
      <c r="AC14605" s="318"/>
      <c r="AD14605" s="318"/>
    </row>
    <row r="14606" spans="2:30" s="323" customFormat="1" ht="12" customHeight="1">
      <c r="B14606" s="324"/>
      <c r="C14606" s="325"/>
      <c r="D14606" s="326"/>
      <c r="E14606" s="326"/>
      <c r="F14606" s="326"/>
      <c r="G14606" s="326"/>
      <c r="H14606" s="326"/>
      <c r="P14606" s="318"/>
      <c r="Q14606" s="318"/>
      <c r="R14606" s="318"/>
      <c r="S14606" s="318"/>
      <c r="T14606" s="318"/>
      <c r="U14606" s="318"/>
      <c r="V14606" s="318"/>
      <c r="W14606" s="318"/>
      <c r="X14606" s="318"/>
      <c r="Y14606" s="318"/>
      <c r="Z14606" s="318"/>
      <c r="AA14606" s="318"/>
      <c r="AB14606" s="318"/>
      <c r="AC14606" s="318"/>
      <c r="AD14606" s="318"/>
    </row>
    <row r="14607" spans="2:30" s="323" customFormat="1" ht="12" customHeight="1">
      <c r="B14607" s="324"/>
      <c r="C14607" s="325"/>
      <c r="D14607" s="326"/>
      <c r="E14607" s="326"/>
      <c r="F14607" s="326"/>
      <c r="G14607" s="326"/>
      <c r="H14607" s="326"/>
      <c r="P14607" s="318"/>
      <c r="Q14607" s="318"/>
      <c r="R14607" s="318"/>
      <c r="S14607" s="318"/>
      <c r="T14607" s="318"/>
      <c r="U14607" s="318"/>
      <c r="V14607" s="318"/>
      <c r="W14607" s="318"/>
      <c r="X14607" s="318"/>
      <c r="Y14607" s="318"/>
      <c r="Z14607" s="318"/>
      <c r="AA14607" s="318"/>
      <c r="AB14607" s="318"/>
      <c r="AC14607" s="318"/>
      <c r="AD14607" s="318"/>
    </row>
    <row r="14608" spans="2:30" s="323" customFormat="1" ht="12" customHeight="1">
      <c r="B14608" s="324"/>
      <c r="C14608" s="325"/>
      <c r="D14608" s="326"/>
      <c r="E14608" s="326"/>
      <c r="F14608" s="326"/>
      <c r="G14608" s="326"/>
      <c r="H14608" s="326"/>
      <c r="P14608" s="318"/>
      <c r="Q14608" s="318"/>
      <c r="R14608" s="318"/>
      <c r="S14608" s="318"/>
      <c r="T14608" s="318"/>
      <c r="U14608" s="318"/>
      <c r="V14608" s="318"/>
      <c r="W14608" s="318"/>
      <c r="X14608" s="318"/>
      <c r="Y14608" s="318"/>
      <c r="Z14608" s="318"/>
      <c r="AA14608" s="318"/>
      <c r="AB14608" s="318"/>
      <c r="AC14608" s="318"/>
      <c r="AD14608" s="318"/>
    </row>
    <row r="14609" spans="2:30" s="323" customFormat="1" ht="12" customHeight="1">
      <c r="B14609" s="324"/>
      <c r="C14609" s="325"/>
      <c r="D14609" s="326"/>
      <c r="E14609" s="326"/>
      <c r="F14609" s="326"/>
      <c r="G14609" s="326"/>
      <c r="H14609" s="326"/>
      <c r="P14609" s="318"/>
      <c r="Q14609" s="318"/>
      <c r="R14609" s="318"/>
      <c r="S14609" s="318"/>
      <c r="T14609" s="318"/>
      <c r="U14609" s="318"/>
      <c r="V14609" s="318"/>
      <c r="W14609" s="318"/>
      <c r="X14609" s="318"/>
      <c r="Y14609" s="318"/>
      <c r="Z14609" s="318"/>
      <c r="AA14609" s="318"/>
      <c r="AB14609" s="318"/>
      <c r="AC14609" s="318"/>
      <c r="AD14609" s="318"/>
    </row>
    <row r="14610" spans="2:30" s="323" customFormat="1" ht="12" customHeight="1">
      <c r="B14610" s="324"/>
      <c r="C14610" s="325"/>
      <c r="D14610" s="326"/>
      <c r="E14610" s="326"/>
      <c r="F14610" s="326"/>
      <c r="G14610" s="326"/>
      <c r="H14610" s="326"/>
      <c r="P14610" s="318"/>
      <c r="Q14610" s="318"/>
      <c r="R14610" s="318"/>
      <c r="S14610" s="318"/>
      <c r="T14610" s="318"/>
      <c r="U14610" s="318"/>
      <c r="V14610" s="318"/>
      <c r="W14610" s="318"/>
      <c r="X14610" s="318"/>
      <c r="Y14610" s="318"/>
      <c r="Z14610" s="318"/>
      <c r="AA14610" s="318"/>
      <c r="AB14610" s="318"/>
      <c r="AC14610" s="318"/>
      <c r="AD14610" s="318"/>
    </row>
    <row r="14611" spans="2:30" s="323" customFormat="1" ht="12" customHeight="1">
      <c r="B14611" s="324"/>
      <c r="C14611" s="325"/>
      <c r="D14611" s="326"/>
      <c r="E14611" s="326"/>
      <c r="F14611" s="326"/>
      <c r="G14611" s="326"/>
      <c r="H14611" s="326"/>
      <c r="P14611" s="318"/>
      <c r="Q14611" s="318"/>
      <c r="R14611" s="318"/>
      <c r="S14611" s="318"/>
      <c r="T14611" s="318"/>
      <c r="U14611" s="318"/>
      <c r="V14611" s="318"/>
      <c r="W14611" s="318"/>
      <c r="X14611" s="318"/>
      <c r="Y14611" s="318"/>
      <c r="Z14611" s="318"/>
      <c r="AA14611" s="318"/>
      <c r="AB14611" s="318"/>
      <c r="AC14611" s="318"/>
      <c r="AD14611" s="318"/>
    </row>
    <row r="14612" spans="2:30" s="323" customFormat="1" ht="12" customHeight="1">
      <c r="B14612" s="324"/>
      <c r="C14612" s="325"/>
      <c r="D14612" s="326"/>
      <c r="E14612" s="326"/>
      <c r="F14612" s="326"/>
      <c r="G14612" s="326"/>
      <c r="H14612" s="326"/>
      <c r="P14612" s="318"/>
      <c r="Q14612" s="318"/>
      <c r="R14612" s="318"/>
      <c r="S14612" s="318"/>
      <c r="T14612" s="318"/>
      <c r="U14612" s="318"/>
      <c r="V14612" s="318"/>
      <c r="W14612" s="318"/>
      <c r="X14612" s="318"/>
      <c r="Y14612" s="318"/>
      <c r="Z14612" s="318"/>
      <c r="AA14612" s="318"/>
      <c r="AB14612" s="318"/>
      <c r="AC14612" s="318"/>
      <c r="AD14612" s="318"/>
    </row>
    <row r="14613" spans="2:30" s="323" customFormat="1" ht="12" customHeight="1">
      <c r="B14613" s="324"/>
      <c r="C14613" s="325"/>
      <c r="D14613" s="326"/>
      <c r="E14613" s="326"/>
      <c r="F14613" s="326"/>
      <c r="G14613" s="326"/>
      <c r="H14613" s="326"/>
      <c r="P14613" s="318"/>
      <c r="Q14613" s="318"/>
      <c r="R14613" s="318"/>
      <c r="S14613" s="318"/>
      <c r="T14613" s="318"/>
      <c r="U14613" s="318"/>
      <c r="V14613" s="318"/>
      <c r="W14613" s="318"/>
      <c r="X14613" s="318"/>
      <c r="Y14613" s="318"/>
      <c r="Z14613" s="318"/>
      <c r="AA14613" s="318"/>
      <c r="AB14613" s="318"/>
      <c r="AC14613" s="318"/>
      <c r="AD14613" s="318"/>
    </row>
    <row r="14614" spans="2:30" s="323" customFormat="1" ht="12" customHeight="1">
      <c r="B14614" s="324"/>
      <c r="C14614" s="325"/>
      <c r="D14614" s="326"/>
      <c r="E14614" s="326"/>
      <c r="F14614" s="326"/>
      <c r="G14614" s="326"/>
      <c r="H14614" s="326"/>
      <c r="P14614" s="318"/>
      <c r="Q14614" s="318"/>
      <c r="R14614" s="318"/>
      <c r="S14614" s="318"/>
      <c r="T14614" s="318"/>
      <c r="U14614" s="318"/>
      <c r="V14614" s="318"/>
      <c r="W14614" s="318"/>
      <c r="X14614" s="318"/>
      <c r="Y14614" s="318"/>
      <c r="Z14614" s="318"/>
      <c r="AA14614" s="318"/>
      <c r="AB14614" s="318"/>
      <c r="AC14614" s="318"/>
      <c r="AD14614" s="318"/>
    </row>
    <row r="14615" spans="2:30" s="323" customFormat="1" ht="12" customHeight="1">
      <c r="B14615" s="324"/>
      <c r="C14615" s="325"/>
      <c r="D14615" s="326"/>
      <c r="E14615" s="326"/>
      <c r="F14615" s="326"/>
      <c r="G14615" s="326"/>
      <c r="H14615" s="326"/>
      <c r="P14615" s="318"/>
      <c r="Q14615" s="318"/>
      <c r="R14615" s="318"/>
      <c r="S14615" s="318"/>
      <c r="T14615" s="318"/>
      <c r="U14615" s="318"/>
      <c r="V14615" s="318"/>
      <c r="W14615" s="318"/>
      <c r="X14615" s="318"/>
      <c r="Y14615" s="318"/>
      <c r="Z14615" s="318"/>
      <c r="AA14615" s="318"/>
      <c r="AB14615" s="318"/>
      <c r="AC14615" s="318"/>
      <c r="AD14615" s="318"/>
    </row>
    <row r="14616" spans="2:30" s="323" customFormat="1" ht="12" customHeight="1">
      <c r="B14616" s="324"/>
      <c r="C14616" s="325"/>
      <c r="D14616" s="326"/>
      <c r="E14616" s="326"/>
      <c r="F14616" s="326"/>
      <c r="G14616" s="326"/>
      <c r="H14616" s="326"/>
      <c r="P14616" s="318"/>
      <c r="Q14616" s="318"/>
      <c r="R14616" s="318"/>
      <c r="S14616" s="318"/>
      <c r="T14616" s="318"/>
      <c r="U14616" s="318"/>
      <c r="V14616" s="318"/>
      <c r="W14616" s="318"/>
      <c r="X14616" s="318"/>
      <c r="Y14616" s="318"/>
      <c r="Z14616" s="318"/>
      <c r="AA14616" s="318"/>
      <c r="AB14616" s="318"/>
      <c r="AC14616" s="318"/>
      <c r="AD14616" s="318"/>
    </row>
    <row r="14617" spans="2:30" s="323" customFormat="1" ht="12" customHeight="1">
      <c r="B14617" s="324"/>
      <c r="C14617" s="325"/>
      <c r="D14617" s="326"/>
      <c r="E14617" s="326"/>
      <c r="F14617" s="326"/>
      <c r="G14617" s="326"/>
      <c r="H14617" s="326"/>
      <c r="P14617" s="318"/>
      <c r="Q14617" s="318"/>
      <c r="R14617" s="318"/>
      <c r="S14617" s="318"/>
      <c r="T14617" s="318"/>
      <c r="U14617" s="318"/>
      <c r="V14617" s="318"/>
      <c r="W14617" s="318"/>
      <c r="X14617" s="318"/>
      <c r="Y14617" s="318"/>
      <c r="Z14617" s="318"/>
      <c r="AA14617" s="318"/>
      <c r="AB14617" s="318"/>
      <c r="AC14617" s="318"/>
      <c r="AD14617" s="318"/>
    </row>
    <row r="14618" spans="2:30" s="323" customFormat="1" ht="12" customHeight="1">
      <c r="B14618" s="324"/>
      <c r="C14618" s="325"/>
      <c r="D14618" s="326"/>
      <c r="E14618" s="326"/>
      <c r="F14618" s="326"/>
      <c r="G14618" s="326"/>
      <c r="H14618" s="326"/>
      <c r="P14618" s="318"/>
      <c r="Q14618" s="318"/>
      <c r="R14618" s="318"/>
      <c r="S14618" s="318"/>
      <c r="T14618" s="318"/>
      <c r="U14618" s="318"/>
      <c r="V14618" s="318"/>
      <c r="W14618" s="318"/>
      <c r="X14618" s="318"/>
      <c r="Y14618" s="318"/>
      <c r="Z14618" s="318"/>
      <c r="AA14618" s="318"/>
      <c r="AB14618" s="318"/>
      <c r="AC14618" s="318"/>
      <c r="AD14618" s="318"/>
    </row>
    <row r="14619" spans="2:30" s="323" customFormat="1" ht="12" customHeight="1">
      <c r="B14619" s="324"/>
      <c r="C14619" s="325"/>
      <c r="D14619" s="326"/>
      <c r="E14619" s="326"/>
      <c r="F14619" s="326"/>
      <c r="G14619" s="326"/>
      <c r="H14619" s="326"/>
      <c r="P14619" s="318"/>
      <c r="Q14619" s="318"/>
      <c r="R14619" s="318"/>
      <c r="S14619" s="318"/>
      <c r="T14619" s="318"/>
      <c r="U14619" s="318"/>
      <c r="V14619" s="318"/>
      <c r="W14619" s="318"/>
      <c r="X14619" s="318"/>
      <c r="Y14619" s="318"/>
      <c r="Z14619" s="318"/>
      <c r="AA14619" s="318"/>
      <c r="AB14619" s="318"/>
      <c r="AC14619" s="318"/>
      <c r="AD14619" s="318"/>
    </row>
    <row r="14620" spans="2:30" s="323" customFormat="1" ht="12" customHeight="1">
      <c r="B14620" s="324"/>
      <c r="C14620" s="325"/>
      <c r="D14620" s="326"/>
      <c r="E14620" s="326"/>
      <c r="F14620" s="326"/>
      <c r="G14620" s="326"/>
      <c r="H14620" s="326"/>
      <c r="P14620" s="318"/>
      <c r="Q14620" s="318"/>
      <c r="R14620" s="318"/>
      <c r="S14620" s="318"/>
      <c r="T14620" s="318"/>
      <c r="U14620" s="318"/>
      <c r="V14620" s="318"/>
      <c r="W14620" s="318"/>
      <c r="X14620" s="318"/>
      <c r="Y14620" s="318"/>
      <c r="Z14620" s="318"/>
      <c r="AA14620" s="318"/>
      <c r="AB14620" s="318"/>
      <c r="AC14620" s="318"/>
      <c r="AD14620" s="318"/>
    </row>
    <row r="14621" spans="2:30" s="323" customFormat="1" ht="12" customHeight="1">
      <c r="B14621" s="324"/>
      <c r="C14621" s="325"/>
      <c r="D14621" s="326"/>
      <c r="E14621" s="326"/>
      <c r="F14621" s="326"/>
      <c r="G14621" s="326"/>
      <c r="H14621" s="326"/>
      <c r="P14621" s="318"/>
      <c r="Q14621" s="318"/>
      <c r="R14621" s="318"/>
      <c r="S14621" s="318"/>
      <c r="T14621" s="318"/>
      <c r="U14621" s="318"/>
      <c r="V14621" s="318"/>
      <c r="W14621" s="318"/>
      <c r="X14621" s="318"/>
      <c r="Y14621" s="318"/>
      <c r="Z14621" s="318"/>
      <c r="AA14621" s="318"/>
      <c r="AB14621" s="318"/>
      <c r="AC14621" s="318"/>
      <c r="AD14621" s="318"/>
    </row>
    <row r="14622" spans="2:30" s="323" customFormat="1" ht="12" customHeight="1">
      <c r="B14622" s="324"/>
      <c r="C14622" s="325"/>
      <c r="D14622" s="326"/>
      <c r="E14622" s="326"/>
      <c r="F14622" s="326"/>
      <c r="G14622" s="326"/>
      <c r="H14622" s="326"/>
      <c r="P14622" s="318"/>
      <c r="Q14622" s="318"/>
      <c r="R14622" s="318"/>
      <c r="S14622" s="318"/>
      <c r="T14622" s="318"/>
      <c r="U14622" s="318"/>
      <c r="V14622" s="318"/>
      <c r="W14622" s="318"/>
      <c r="X14622" s="318"/>
      <c r="Y14622" s="318"/>
      <c r="Z14622" s="318"/>
      <c r="AA14622" s="318"/>
      <c r="AB14622" s="318"/>
      <c r="AC14622" s="318"/>
      <c r="AD14622" s="318"/>
    </row>
    <row r="14623" spans="2:30" s="323" customFormat="1" ht="12" customHeight="1">
      <c r="B14623" s="324"/>
      <c r="C14623" s="325"/>
      <c r="D14623" s="326"/>
      <c r="E14623" s="326"/>
      <c r="F14623" s="326"/>
      <c r="G14623" s="326"/>
      <c r="H14623" s="326"/>
      <c r="P14623" s="318"/>
      <c r="Q14623" s="318"/>
      <c r="R14623" s="318"/>
      <c r="S14623" s="318"/>
      <c r="T14623" s="318"/>
      <c r="U14623" s="318"/>
      <c r="V14623" s="318"/>
      <c r="W14623" s="318"/>
      <c r="X14623" s="318"/>
      <c r="Y14623" s="318"/>
      <c r="Z14623" s="318"/>
      <c r="AA14623" s="318"/>
      <c r="AB14623" s="318"/>
      <c r="AC14623" s="318"/>
      <c r="AD14623" s="318"/>
    </row>
    <row r="14624" spans="2:30" s="323" customFormat="1" ht="12" customHeight="1">
      <c r="B14624" s="324"/>
      <c r="C14624" s="325"/>
      <c r="D14624" s="326"/>
      <c r="E14624" s="326"/>
      <c r="F14624" s="326"/>
      <c r="G14624" s="326"/>
      <c r="H14624" s="326"/>
      <c r="P14624" s="318"/>
      <c r="Q14624" s="318"/>
      <c r="R14624" s="318"/>
      <c r="S14624" s="318"/>
      <c r="T14624" s="318"/>
      <c r="U14624" s="318"/>
      <c r="V14624" s="318"/>
      <c r="W14624" s="318"/>
      <c r="X14624" s="318"/>
      <c r="Y14624" s="318"/>
      <c r="Z14624" s="318"/>
      <c r="AA14624" s="318"/>
      <c r="AB14624" s="318"/>
      <c r="AC14624" s="318"/>
      <c r="AD14624" s="318"/>
    </row>
    <row r="14625" spans="2:30" s="323" customFormat="1" ht="12" customHeight="1">
      <c r="B14625" s="324"/>
      <c r="C14625" s="325"/>
      <c r="D14625" s="326"/>
      <c r="E14625" s="326"/>
      <c r="F14625" s="326"/>
      <c r="G14625" s="326"/>
      <c r="H14625" s="326"/>
      <c r="P14625" s="318"/>
      <c r="Q14625" s="318"/>
      <c r="R14625" s="318"/>
      <c r="S14625" s="318"/>
      <c r="T14625" s="318"/>
      <c r="U14625" s="318"/>
      <c r="V14625" s="318"/>
      <c r="W14625" s="318"/>
      <c r="X14625" s="318"/>
      <c r="Y14625" s="318"/>
      <c r="Z14625" s="318"/>
      <c r="AA14625" s="318"/>
      <c r="AB14625" s="318"/>
      <c r="AC14625" s="318"/>
      <c r="AD14625" s="318"/>
    </row>
    <row r="14626" spans="2:30" s="323" customFormat="1" ht="12" customHeight="1">
      <c r="B14626" s="324"/>
      <c r="C14626" s="325"/>
      <c r="D14626" s="326"/>
      <c r="E14626" s="326"/>
      <c r="F14626" s="326"/>
      <c r="G14626" s="326"/>
      <c r="H14626" s="326"/>
      <c r="P14626" s="318"/>
      <c r="Q14626" s="318"/>
      <c r="R14626" s="318"/>
      <c r="S14626" s="318"/>
      <c r="T14626" s="318"/>
      <c r="U14626" s="318"/>
      <c r="V14626" s="318"/>
      <c r="W14626" s="318"/>
      <c r="X14626" s="318"/>
      <c r="Y14626" s="318"/>
      <c r="Z14626" s="318"/>
      <c r="AA14626" s="318"/>
      <c r="AB14626" s="318"/>
      <c r="AC14626" s="318"/>
      <c r="AD14626" s="318"/>
    </row>
    <row r="14627" spans="2:30" s="323" customFormat="1" ht="12" customHeight="1">
      <c r="B14627" s="324"/>
      <c r="C14627" s="325"/>
      <c r="D14627" s="326"/>
      <c r="E14627" s="326"/>
      <c r="F14627" s="326"/>
      <c r="G14627" s="326"/>
      <c r="H14627" s="326"/>
      <c r="P14627" s="318"/>
      <c r="Q14627" s="318"/>
      <c r="R14627" s="318"/>
      <c r="S14627" s="318"/>
      <c r="T14627" s="318"/>
      <c r="U14627" s="318"/>
      <c r="V14627" s="318"/>
      <c r="W14627" s="318"/>
      <c r="X14627" s="318"/>
      <c r="Y14627" s="318"/>
      <c r="Z14627" s="318"/>
      <c r="AA14627" s="318"/>
      <c r="AB14627" s="318"/>
      <c r="AC14627" s="318"/>
      <c r="AD14627" s="318"/>
    </row>
    <row r="14628" spans="2:30" s="323" customFormat="1" ht="12" customHeight="1">
      <c r="B14628" s="324"/>
      <c r="C14628" s="325"/>
      <c r="D14628" s="326"/>
      <c r="E14628" s="326"/>
      <c r="F14628" s="326"/>
      <c r="G14628" s="326"/>
      <c r="H14628" s="326"/>
      <c r="P14628" s="318"/>
      <c r="Q14628" s="318"/>
      <c r="R14628" s="318"/>
      <c r="S14628" s="318"/>
      <c r="T14628" s="318"/>
      <c r="U14628" s="318"/>
      <c r="V14628" s="318"/>
      <c r="W14628" s="318"/>
      <c r="X14628" s="318"/>
      <c r="Y14628" s="318"/>
      <c r="Z14628" s="318"/>
      <c r="AA14628" s="318"/>
      <c r="AB14628" s="318"/>
      <c r="AC14628" s="318"/>
      <c r="AD14628" s="318"/>
    </row>
    <row r="14629" spans="2:30" s="323" customFormat="1" ht="12" customHeight="1">
      <c r="B14629" s="324"/>
      <c r="C14629" s="325"/>
      <c r="D14629" s="326"/>
      <c r="E14629" s="326"/>
      <c r="F14629" s="326"/>
      <c r="G14629" s="326"/>
      <c r="H14629" s="326"/>
      <c r="P14629" s="318"/>
      <c r="Q14629" s="318"/>
      <c r="R14629" s="318"/>
      <c r="S14629" s="318"/>
      <c r="T14629" s="318"/>
      <c r="U14629" s="318"/>
      <c r="V14629" s="318"/>
      <c r="W14629" s="318"/>
      <c r="X14629" s="318"/>
      <c r="Y14629" s="318"/>
      <c r="Z14629" s="318"/>
      <c r="AA14629" s="318"/>
      <c r="AB14629" s="318"/>
      <c r="AC14629" s="318"/>
      <c r="AD14629" s="318"/>
    </row>
    <row r="14630" spans="2:30" s="323" customFormat="1" ht="12" customHeight="1">
      <c r="B14630" s="324"/>
      <c r="C14630" s="325"/>
      <c r="D14630" s="326"/>
      <c r="E14630" s="326"/>
      <c r="F14630" s="326"/>
      <c r="G14630" s="326"/>
      <c r="H14630" s="326"/>
      <c r="P14630" s="318"/>
      <c r="Q14630" s="318"/>
      <c r="R14630" s="318"/>
      <c r="S14630" s="318"/>
      <c r="T14630" s="318"/>
      <c r="U14630" s="318"/>
      <c r="V14630" s="318"/>
      <c r="W14630" s="318"/>
      <c r="X14630" s="318"/>
      <c r="Y14630" s="318"/>
      <c r="Z14630" s="318"/>
      <c r="AA14630" s="318"/>
      <c r="AB14630" s="318"/>
      <c r="AC14630" s="318"/>
      <c r="AD14630" s="318"/>
    </row>
    <row r="14631" spans="2:30" s="323" customFormat="1" ht="12" customHeight="1">
      <c r="B14631" s="324"/>
      <c r="C14631" s="325"/>
      <c r="D14631" s="326"/>
      <c r="E14631" s="326"/>
      <c r="F14631" s="326"/>
      <c r="G14631" s="326"/>
      <c r="H14631" s="326"/>
      <c r="P14631" s="318"/>
      <c r="Q14631" s="318"/>
      <c r="R14631" s="318"/>
      <c r="S14631" s="318"/>
      <c r="T14631" s="318"/>
      <c r="U14631" s="318"/>
      <c r="V14631" s="318"/>
      <c r="W14631" s="318"/>
      <c r="X14631" s="318"/>
      <c r="Y14631" s="318"/>
      <c r="Z14631" s="318"/>
      <c r="AA14631" s="318"/>
      <c r="AB14631" s="318"/>
      <c r="AC14631" s="318"/>
      <c r="AD14631" s="318"/>
    </row>
    <row r="14632" spans="2:30" s="323" customFormat="1" ht="12" customHeight="1">
      <c r="B14632" s="324"/>
      <c r="C14632" s="325"/>
      <c r="D14632" s="326"/>
      <c r="E14632" s="326"/>
      <c r="F14632" s="326"/>
      <c r="G14632" s="326"/>
      <c r="H14632" s="326"/>
      <c r="P14632" s="318"/>
      <c r="Q14632" s="318"/>
      <c r="R14632" s="318"/>
      <c r="S14632" s="318"/>
      <c r="T14632" s="318"/>
      <c r="U14632" s="318"/>
      <c r="V14632" s="318"/>
      <c r="W14632" s="318"/>
      <c r="X14632" s="318"/>
      <c r="Y14632" s="318"/>
      <c r="Z14632" s="318"/>
      <c r="AA14632" s="318"/>
      <c r="AB14632" s="318"/>
      <c r="AC14632" s="318"/>
      <c r="AD14632" s="318"/>
    </row>
    <row r="14633" spans="2:30" s="323" customFormat="1" ht="12" customHeight="1">
      <c r="B14633" s="324"/>
      <c r="C14633" s="325"/>
      <c r="D14633" s="326"/>
      <c r="E14633" s="326"/>
      <c r="F14633" s="326"/>
      <c r="G14633" s="326"/>
      <c r="H14633" s="326"/>
      <c r="P14633" s="318"/>
      <c r="Q14633" s="318"/>
      <c r="R14633" s="318"/>
      <c r="S14633" s="318"/>
      <c r="T14633" s="318"/>
      <c r="U14633" s="318"/>
      <c r="V14633" s="318"/>
      <c r="W14633" s="318"/>
      <c r="X14633" s="318"/>
      <c r="Y14633" s="318"/>
      <c r="Z14633" s="318"/>
      <c r="AA14633" s="318"/>
      <c r="AB14633" s="318"/>
      <c r="AC14633" s="318"/>
      <c r="AD14633" s="318"/>
    </row>
    <row r="14634" spans="2:30" s="323" customFormat="1" ht="12" customHeight="1">
      <c r="B14634" s="324"/>
      <c r="C14634" s="325"/>
      <c r="D14634" s="326"/>
      <c r="E14634" s="326"/>
      <c r="F14634" s="326"/>
      <c r="G14634" s="326"/>
      <c r="H14634" s="326"/>
      <c r="P14634" s="318"/>
      <c r="Q14634" s="318"/>
      <c r="R14634" s="318"/>
      <c r="S14634" s="318"/>
      <c r="T14634" s="318"/>
      <c r="U14634" s="318"/>
      <c r="V14634" s="318"/>
      <c r="W14634" s="318"/>
      <c r="X14634" s="318"/>
      <c r="Y14634" s="318"/>
      <c r="Z14634" s="318"/>
      <c r="AA14634" s="318"/>
      <c r="AB14634" s="318"/>
      <c r="AC14634" s="318"/>
      <c r="AD14634" s="318"/>
    </row>
    <row r="14635" spans="2:30" s="323" customFormat="1" ht="12" customHeight="1">
      <c r="B14635" s="324"/>
      <c r="C14635" s="325"/>
      <c r="D14635" s="326"/>
      <c r="E14635" s="326"/>
      <c r="F14635" s="326"/>
      <c r="G14635" s="326"/>
      <c r="H14635" s="326"/>
      <c r="P14635" s="318"/>
      <c r="Q14635" s="318"/>
      <c r="R14635" s="318"/>
      <c r="S14635" s="318"/>
      <c r="T14635" s="318"/>
      <c r="U14635" s="318"/>
      <c r="V14635" s="318"/>
      <c r="W14635" s="318"/>
      <c r="X14635" s="318"/>
      <c r="Y14635" s="318"/>
      <c r="Z14635" s="318"/>
      <c r="AA14635" s="318"/>
      <c r="AB14635" s="318"/>
      <c r="AC14635" s="318"/>
      <c r="AD14635" s="318"/>
    </row>
    <row r="14636" spans="2:30" s="323" customFormat="1" ht="12" customHeight="1">
      <c r="B14636" s="324"/>
      <c r="C14636" s="325"/>
      <c r="D14636" s="326"/>
      <c r="E14636" s="326"/>
      <c r="F14636" s="326"/>
      <c r="G14636" s="326"/>
      <c r="H14636" s="326"/>
      <c r="P14636" s="318"/>
      <c r="Q14636" s="318"/>
      <c r="R14636" s="318"/>
      <c r="S14636" s="318"/>
      <c r="T14636" s="318"/>
      <c r="U14636" s="318"/>
      <c r="V14636" s="318"/>
      <c r="W14636" s="318"/>
      <c r="X14636" s="318"/>
      <c r="Y14636" s="318"/>
      <c r="Z14636" s="318"/>
      <c r="AA14636" s="318"/>
      <c r="AB14636" s="318"/>
      <c r="AC14636" s="318"/>
      <c r="AD14636" s="318"/>
    </row>
    <row r="14637" spans="2:30" s="323" customFormat="1" ht="12" customHeight="1">
      <c r="B14637" s="324"/>
      <c r="C14637" s="325"/>
      <c r="D14637" s="326"/>
      <c r="E14637" s="326"/>
      <c r="F14637" s="326"/>
      <c r="G14637" s="326"/>
      <c r="H14637" s="326"/>
      <c r="P14637" s="318"/>
      <c r="Q14637" s="318"/>
      <c r="R14637" s="318"/>
      <c r="S14637" s="318"/>
      <c r="T14637" s="318"/>
      <c r="U14637" s="318"/>
      <c r="V14637" s="318"/>
      <c r="W14637" s="318"/>
      <c r="X14637" s="318"/>
      <c r="Y14637" s="318"/>
      <c r="Z14637" s="318"/>
      <c r="AA14637" s="318"/>
      <c r="AB14637" s="318"/>
      <c r="AC14637" s="318"/>
      <c r="AD14637" s="318"/>
    </row>
    <row r="14638" spans="2:30" s="323" customFormat="1" ht="12" customHeight="1">
      <c r="B14638" s="324"/>
      <c r="C14638" s="325"/>
      <c r="D14638" s="326"/>
      <c r="E14638" s="326"/>
      <c r="F14638" s="326"/>
      <c r="G14638" s="326"/>
      <c r="H14638" s="326"/>
      <c r="P14638" s="318"/>
      <c r="Q14638" s="318"/>
      <c r="R14638" s="318"/>
      <c r="S14638" s="318"/>
      <c r="T14638" s="318"/>
      <c r="U14638" s="318"/>
      <c r="V14638" s="318"/>
      <c r="W14638" s="318"/>
      <c r="X14638" s="318"/>
      <c r="Y14638" s="318"/>
      <c r="Z14638" s="318"/>
      <c r="AA14638" s="318"/>
      <c r="AB14638" s="318"/>
      <c r="AC14638" s="318"/>
      <c r="AD14638" s="318"/>
    </row>
    <row r="14639" spans="2:30" s="323" customFormat="1" ht="12" customHeight="1">
      <c r="B14639" s="324"/>
      <c r="C14639" s="325"/>
      <c r="D14639" s="326"/>
      <c r="E14639" s="326"/>
      <c r="F14639" s="326"/>
      <c r="G14639" s="326"/>
      <c r="H14639" s="326"/>
      <c r="P14639" s="318"/>
      <c r="Q14639" s="318"/>
      <c r="R14639" s="318"/>
      <c r="S14639" s="318"/>
      <c r="T14639" s="318"/>
      <c r="U14639" s="318"/>
      <c r="V14639" s="318"/>
      <c r="W14639" s="318"/>
      <c r="X14639" s="318"/>
      <c r="Y14639" s="318"/>
      <c r="Z14639" s="318"/>
      <c r="AA14639" s="318"/>
      <c r="AB14639" s="318"/>
      <c r="AC14639" s="318"/>
      <c r="AD14639" s="318"/>
    </row>
    <row r="14640" spans="2:30" s="323" customFormat="1" ht="12" customHeight="1">
      <c r="B14640" s="324"/>
      <c r="C14640" s="325"/>
      <c r="D14640" s="326"/>
      <c r="E14640" s="326"/>
      <c r="F14640" s="326"/>
      <c r="G14640" s="326"/>
      <c r="H14640" s="326"/>
      <c r="P14640" s="318"/>
      <c r="Q14640" s="318"/>
      <c r="R14640" s="318"/>
      <c r="S14640" s="318"/>
      <c r="T14640" s="318"/>
      <c r="U14640" s="318"/>
      <c r="V14640" s="318"/>
      <c r="W14640" s="318"/>
      <c r="X14640" s="318"/>
      <c r="Y14640" s="318"/>
      <c r="Z14640" s="318"/>
      <c r="AA14640" s="318"/>
      <c r="AB14640" s="318"/>
      <c r="AC14640" s="318"/>
      <c r="AD14640" s="318"/>
    </row>
    <row r="14641" spans="2:30" s="323" customFormat="1" ht="12" customHeight="1">
      <c r="B14641" s="324"/>
      <c r="C14641" s="325"/>
      <c r="D14641" s="326"/>
      <c r="E14641" s="326"/>
      <c r="F14641" s="326"/>
      <c r="G14641" s="326"/>
      <c r="H14641" s="326"/>
      <c r="P14641" s="318"/>
      <c r="Q14641" s="318"/>
      <c r="R14641" s="318"/>
      <c r="S14641" s="318"/>
      <c r="T14641" s="318"/>
      <c r="U14641" s="318"/>
      <c r="V14641" s="318"/>
      <c r="W14641" s="318"/>
      <c r="X14641" s="318"/>
      <c r="Y14641" s="318"/>
      <c r="Z14641" s="318"/>
      <c r="AA14641" s="318"/>
      <c r="AB14641" s="318"/>
      <c r="AC14641" s="318"/>
      <c r="AD14641" s="318"/>
    </row>
    <row r="14642" spans="2:30" s="323" customFormat="1" ht="12" customHeight="1">
      <c r="B14642" s="324"/>
      <c r="C14642" s="325"/>
      <c r="D14642" s="326"/>
      <c r="E14642" s="326"/>
      <c r="F14642" s="326"/>
      <c r="G14642" s="326"/>
      <c r="H14642" s="326"/>
      <c r="P14642" s="318"/>
      <c r="Q14642" s="318"/>
      <c r="R14642" s="318"/>
      <c r="S14642" s="318"/>
      <c r="T14642" s="318"/>
      <c r="U14642" s="318"/>
      <c r="V14642" s="318"/>
      <c r="W14642" s="318"/>
      <c r="X14642" s="318"/>
      <c r="Y14642" s="318"/>
      <c r="Z14642" s="318"/>
      <c r="AA14642" s="318"/>
      <c r="AB14642" s="318"/>
      <c r="AC14642" s="318"/>
      <c r="AD14642" s="318"/>
    </row>
    <row r="14643" spans="2:30" s="323" customFormat="1" ht="12" customHeight="1">
      <c r="B14643" s="324"/>
      <c r="C14643" s="325"/>
      <c r="D14643" s="326"/>
      <c r="E14643" s="326"/>
      <c r="F14643" s="326"/>
      <c r="G14643" s="326"/>
      <c r="H14643" s="326"/>
      <c r="P14643" s="318"/>
      <c r="Q14643" s="318"/>
      <c r="R14643" s="318"/>
      <c r="S14643" s="318"/>
      <c r="T14643" s="318"/>
      <c r="U14643" s="318"/>
      <c r="V14643" s="318"/>
      <c r="W14643" s="318"/>
      <c r="X14643" s="318"/>
      <c r="Y14643" s="318"/>
      <c r="Z14643" s="318"/>
      <c r="AA14643" s="318"/>
      <c r="AB14643" s="318"/>
      <c r="AC14643" s="318"/>
      <c r="AD14643" s="318"/>
    </row>
    <row r="14644" spans="2:30" s="323" customFormat="1" ht="12" customHeight="1">
      <c r="B14644" s="324"/>
      <c r="C14644" s="325"/>
      <c r="D14644" s="326"/>
      <c r="E14644" s="326"/>
      <c r="F14644" s="326"/>
      <c r="G14644" s="326"/>
      <c r="H14644" s="326"/>
      <c r="P14644" s="318"/>
      <c r="Q14644" s="318"/>
      <c r="R14644" s="318"/>
      <c r="S14644" s="318"/>
      <c r="T14644" s="318"/>
      <c r="U14644" s="318"/>
      <c r="V14644" s="318"/>
      <c r="W14644" s="318"/>
      <c r="X14644" s="318"/>
      <c r="Y14644" s="318"/>
      <c r="Z14644" s="318"/>
      <c r="AA14644" s="318"/>
      <c r="AB14644" s="318"/>
      <c r="AC14644" s="318"/>
      <c r="AD14644" s="318"/>
    </row>
    <row r="14645" spans="2:30" s="323" customFormat="1" ht="12" customHeight="1">
      <c r="B14645" s="324"/>
      <c r="C14645" s="325"/>
      <c r="D14645" s="326"/>
      <c r="E14645" s="326"/>
      <c r="F14645" s="326"/>
      <c r="G14645" s="326"/>
      <c r="H14645" s="326"/>
      <c r="P14645" s="318"/>
      <c r="Q14645" s="318"/>
      <c r="R14645" s="318"/>
      <c r="S14645" s="318"/>
      <c r="T14645" s="318"/>
      <c r="U14645" s="318"/>
      <c r="V14645" s="318"/>
      <c r="W14645" s="318"/>
      <c r="X14645" s="318"/>
      <c r="Y14645" s="318"/>
      <c r="Z14645" s="318"/>
      <c r="AA14645" s="318"/>
      <c r="AB14645" s="318"/>
      <c r="AC14645" s="318"/>
      <c r="AD14645" s="318"/>
    </row>
    <row r="14646" spans="2:30" s="323" customFormat="1" ht="12" customHeight="1">
      <c r="B14646" s="324"/>
      <c r="C14646" s="325"/>
      <c r="D14646" s="326"/>
      <c r="E14646" s="326"/>
      <c r="F14646" s="326"/>
      <c r="G14646" s="326"/>
      <c r="H14646" s="326"/>
      <c r="P14646" s="318"/>
      <c r="Q14646" s="318"/>
      <c r="R14646" s="318"/>
      <c r="S14646" s="318"/>
      <c r="T14646" s="318"/>
      <c r="U14646" s="318"/>
      <c r="V14646" s="318"/>
      <c r="W14646" s="318"/>
      <c r="X14646" s="318"/>
      <c r="Y14646" s="318"/>
      <c r="Z14646" s="318"/>
      <c r="AA14646" s="318"/>
      <c r="AB14646" s="318"/>
      <c r="AC14646" s="318"/>
      <c r="AD14646" s="318"/>
    </row>
    <row r="14647" spans="2:30" s="323" customFormat="1" ht="12" customHeight="1">
      <c r="B14647" s="324"/>
      <c r="C14647" s="325"/>
      <c r="D14647" s="326"/>
      <c r="E14647" s="326"/>
      <c r="F14647" s="326"/>
      <c r="G14647" s="326"/>
      <c r="H14647" s="326"/>
      <c r="P14647" s="318"/>
      <c r="Q14647" s="318"/>
      <c r="R14647" s="318"/>
      <c r="S14647" s="318"/>
      <c r="T14647" s="318"/>
      <c r="U14647" s="318"/>
      <c r="V14647" s="318"/>
      <c r="W14647" s="318"/>
      <c r="X14647" s="318"/>
      <c r="Y14647" s="318"/>
      <c r="Z14647" s="318"/>
      <c r="AA14647" s="318"/>
      <c r="AB14647" s="318"/>
      <c r="AC14647" s="318"/>
      <c r="AD14647" s="318"/>
    </row>
    <row r="14648" spans="2:30" s="323" customFormat="1" ht="12" customHeight="1">
      <c r="B14648" s="324"/>
      <c r="C14648" s="325"/>
      <c r="D14648" s="326"/>
      <c r="E14648" s="326"/>
      <c r="F14648" s="326"/>
      <c r="G14648" s="326"/>
      <c r="H14648" s="326"/>
      <c r="P14648" s="318"/>
      <c r="Q14648" s="318"/>
      <c r="R14648" s="318"/>
      <c r="S14648" s="318"/>
      <c r="T14648" s="318"/>
      <c r="U14648" s="318"/>
      <c r="V14648" s="318"/>
      <c r="W14648" s="318"/>
      <c r="X14648" s="318"/>
      <c r="Y14648" s="318"/>
      <c r="Z14648" s="318"/>
      <c r="AA14648" s="318"/>
      <c r="AB14648" s="318"/>
      <c r="AC14648" s="318"/>
      <c r="AD14648" s="318"/>
    </row>
    <row r="14649" spans="2:30" s="323" customFormat="1" ht="12" customHeight="1">
      <c r="B14649" s="324"/>
      <c r="C14649" s="325"/>
      <c r="D14649" s="326"/>
      <c r="E14649" s="326"/>
      <c r="F14649" s="326"/>
      <c r="G14649" s="326"/>
      <c r="H14649" s="326"/>
      <c r="P14649" s="318"/>
      <c r="Q14649" s="318"/>
      <c r="R14649" s="318"/>
      <c r="S14649" s="318"/>
      <c r="T14649" s="318"/>
      <c r="U14649" s="318"/>
      <c r="V14649" s="318"/>
      <c r="W14649" s="318"/>
      <c r="X14649" s="318"/>
      <c r="Y14649" s="318"/>
      <c r="Z14649" s="318"/>
      <c r="AA14649" s="318"/>
      <c r="AB14649" s="318"/>
      <c r="AC14649" s="318"/>
      <c r="AD14649" s="318"/>
    </row>
    <row r="14650" spans="2:30" s="323" customFormat="1" ht="12" customHeight="1">
      <c r="B14650" s="324"/>
      <c r="C14650" s="325"/>
      <c r="D14650" s="326"/>
      <c r="E14650" s="326"/>
      <c r="F14650" s="326"/>
      <c r="G14650" s="326"/>
      <c r="H14650" s="326"/>
      <c r="P14650" s="318"/>
      <c r="Q14650" s="318"/>
      <c r="R14650" s="318"/>
      <c r="S14650" s="318"/>
      <c r="T14650" s="318"/>
      <c r="U14650" s="318"/>
      <c r="V14650" s="318"/>
      <c r="W14650" s="318"/>
      <c r="X14650" s="318"/>
      <c r="Y14650" s="318"/>
      <c r="Z14650" s="318"/>
      <c r="AA14650" s="318"/>
      <c r="AB14650" s="318"/>
      <c r="AC14650" s="318"/>
      <c r="AD14650" s="318"/>
    </row>
    <row r="14651" spans="2:30" s="323" customFormat="1" ht="12" customHeight="1">
      <c r="B14651" s="324"/>
      <c r="C14651" s="325"/>
      <c r="D14651" s="326"/>
      <c r="E14651" s="326"/>
      <c r="F14651" s="326"/>
      <c r="G14651" s="326"/>
      <c r="H14651" s="326"/>
      <c r="P14651" s="318"/>
      <c r="Q14651" s="318"/>
      <c r="R14651" s="318"/>
      <c r="S14651" s="318"/>
      <c r="T14651" s="318"/>
      <c r="U14651" s="318"/>
      <c r="V14651" s="318"/>
      <c r="W14651" s="318"/>
      <c r="X14651" s="318"/>
      <c r="Y14651" s="318"/>
      <c r="Z14651" s="318"/>
      <c r="AA14651" s="318"/>
      <c r="AB14651" s="318"/>
      <c r="AC14651" s="318"/>
      <c r="AD14651" s="318"/>
    </row>
    <row r="14652" spans="2:30" s="323" customFormat="1" ht="12" customHeight="1">
      <c r="B14652" s="324"/>
      <c r="C14652" s="325"/>
      <c r="D14652" s="326"/>
      <c r="E14652" s="326"/>
      <c r="F14652" s="326"/>
      <c r="G14652" s="326"/>
      <c r="H14652" s="326"/>
      <c r="P14652" s="318"/>
      <c r="Q14652" s="318"/>
      <c r="R14652" s="318"/>
      <c r="S14652" s="318"/>
      <c r="T14652" s="318"/>
      <c r="U14652" s="318"/>
      <c r="V14652" s="318"/>
      <c r="W14652" s="318"/>
      <c r="X14652" s="318"/>
      <c r="Y14652" s="318"/>
      <c r="Z14652" s="318"/>
      <c r="AA14652" s="318"/>
      <c r="AB14652" s="318"/>
      <c r="AC14652" s="318"/>
      <c r="AD14652" s="318"/>
    </row>
    <row r="14653" spans="2:30" s="323" customFormat="1" ht="12" customHeight="1">
      <c r="B14653" s="324"/>
      <c r="C14653" s="325"/>
      <c r="D14653" s="326"/>
      <c r="E14653" s="326"/>
      <c r="F14653" s="326"/>
      <c r="G14653" s="326"/>
      <c r="H14653" s="326"/>
      <c r="P14653" s="318"/>
      <c r="Q14653" s="318"/>
      <c r="R14653" s="318"/>
      <c r="S14653" s="318"/>
      <c r="T14653" s="318"/>
      <c r="U14653" s="318"/>
      <c r="V14653" s="318"/>
      <c r="W14653" s="318"/>
      <c r="X14653" s="318"/>
      <c r="Y14653" s="318"/>
      <c r="Z14653" s="318"/>
      <c r="AA14653" s="318"/>
      <c r="AB14653" s="318"/>
      <c r="AC14653" s="318"/>
      <c r="AD14653" s="318"/>
    </row>
    <row r="14654" spans="2:30" s="323" customFormat="1" ht="12" customHeight="1">
      <c r="B14654" s="324"/>
      <c r="C14654" s="325"/>
      <c r="D14654" s="326"/>
      <c r="E14654" s="326"/>
      <c r="F14654" s="326"/>
      <c r="G14654" s="326"/>
      <c r="H14654" s="326"/>
      <c r="P14654" s="318"/>
      <c r="Q14654" s="318"/>
      <c r="R14654" s="318"/>
      <c r="S14654" s="318"/>
      <c r="T14654" s="318"/>
      <c r="U14654" s="318"/>
      <c r="V14654" s="318"/>
      <c r="W14654" s="318"/>
      <c r="X14654" s="318"/>
      <c r="Y14654" s="318"/>
      <c r="Z14654" s="318"/>
      <c r="AA14654" s="318"/>
      <c r="AB14654" s="318"/>
      <c r="AC14654" s="318"/>
      <c r="AD14654" s="318"/>
    </row>
    <row r="14655" spans="2:30" s="323" customFormat="1" ht="12" customHeight="1">
      <c r="B14655" s="324"/>
      <c r="C14655" s="325"/>
      <c r="D14655" s="326"/>
      <c r="E14655" s="326"/>
      <c r="F14655" s="326"/>
      <c r="G14655" s="326"/>
      <c r="H14655" s="326"/>
      <c r="P14655" s="318"/>
      <c r="Q14655" s="318"/>
      <c r="R14655" s="318"/>
      <c r="S14655" s="318"/>
      <c r="T14655" s="318"/>
      <c r="U14655" s="318"/>
      <c r="V14655" s="318"/>
      <c r="W14655" s="318"/>
      <c r="X14655" s="318"/>
      <c r="Y14655" s="318"/>
      <c r="Z14655" s="318"/>
      <c r="AA14655" s="318"/>
      <c r="AB14655" s="318"/>
      <c r="AC14655" s="318"/>
      <c r="AD14655" s="318"/>
    </row>
    <row r="14656" spans="2:30" s="323" customFormat="1" ht="12" customHeight="1">
      <c r="B14656" s="324"/>
      <c r="C14656" s="325"/>
      <c r="D14656" s="326"/>
      <c r="E14656" s="326"/>
      <c r="F14656" s="326"/>
      <c r="G14656" s="326"/>
      <c r="H14656" s="326"/>
      <c r="P14656" s="318"/>
      <c r="Q14656" s="318"/>
      <c r="R14656" s="318"/>
      <c r="S14656" s="318"/>
      <c r="T14656" s="318"/>
      <c r="U14656" s="318"/>
      <c r="V14656" s="318"/>
      <c r="W14656" s="318"/>
      <c r="X14656" s="318"/>
      <c r="Y14656" s="318"/>
      <c r="Z14656" s="318"/>
      <c r="AA14656" s="318"/>
      <c r="AB14656" s="318"/>
      <c r="AC14656" s="318"/>
      <c r="AD14656" s="318"/>
    </row>
    <row r="14657" spans="2:30" s="323" customFormat="1" ht="12" customHeight="1">
      <c r="B14657" s="324"/>
      <c r="C14657" s="325"/>
      <c r="D14657" s="326"/>
      <c r="E14657" s="326"/>
      <c r="F14657" s="326"/>
      <c r="G14657" s="326"/>
      <c r="H14657" s="326"/>
      <c r="P14657" s="318"/>
      <c r="Q14657" s="318"/>
      <c r="R14657" s="318"/>
      <c r="S14657" s="318"/>
      <c r="T14657" s="318"/>
      <c r="U14657" s="318"/>
      <c r="V14657" s="318"/>
      <c r="W14657" s="318"/>
      <c r="X14657" s="318"/>
      <c r="Y14657" s="318"/>
      <c r="Z14657" s="318"/>
      <c r="AA14657" s="318"/>
      <c r="AB14657" s="318"/>
      <c r="AC14657" s="318"/>
      <c r="AD14657" s="318"/>
    </row>
    <row r="14658" spans="2:30" s="323" customFormat="1" ht="12" customHeight="1">
      <c r="B14658" s="324"/>
      <c r="C14658" s="325"/>
      <c r="D14658" s="326"/>
      <c r="E14658" s="326"/>
      <c r="F14658" s="326"/>
      <c r="G14658" s="326"/>
      <c r="H14658" s="326"/>
      <c r="P14658" s="318"/>
      <c r="Q14658" s="318"/>
      <c r="R14658" s="318"/>
      <c r="S14658" s="318"/>
      <c r="T14658" s="318"/>
      <c r="U14658" s="318"/>
      <c r="V14658" s="318"/>
      <c r="W14658" s="318"/>
      <c r="X14658" s="318"/>
      <c r="Y14658" s="318"/>
      <c r="Z14658" s="318"/>
      <c r="AA14658" s="318"/>
      <c r="AB14658" s="318"/>
      <c r="AC14658" s="318"/>
      <c r="AD14658" s="318"/>
    </row>
    <row r="14659" spans="2:30" s="323" customFormat="1" ht="12" customHeight="1">
      <c r="B14659" s="324"/>
      <c r="C14659" s="325"/>
      <c r="D14659" s="326"/>
      <c r="E14659" s="326"/>
      <c r="F14659" s="326"/>
      <c r="G14659" s="326"/>
      <c r="H14659" s="326"/>
      <c r="P14659" s="318"/>
      <c r="Q14659" s="318"/>
      <c r="R14659" s="318"/>
      <c r="S14659" s="318"/>
      <c r="T14659" s="318"/>
      <c r="U14659" s="318"/>
      <c r="V14659" s="318"/>
      <c r="W14659" s="318"/>
      <c r="X14659" s="318"/>
      <c r="Y14659" s="318"/>
      <c r="Z14659" s="318"/>
      <c r="AA14659" s="318"/>
      <c r="AB14659" s="318"/>
      <c r="AC14659" s="318"/>
      <c r="AD14659" s="318"/>
    </row>
    <row r="14660" spans="2:30" s="323" customFormat="1" ht="12" customHeight="1">
      <c r="B14660" s="324"/>
      <c r="C14660" s="325"/>
      <c r="D14660" s="326"/>
      <c r="E14660" s="326"/>
      <c r="F14660" s="326"/>
      <c r="G14660" s="326"/>
      <c r="H14660" s="326"/>
      <c r="P14660" s="318"/>
      <c r="Q14660" s="318"/>
      <c r="R14660" s="318"/>
      <c r="S14660" s="318"/>
      <c r="T14660" s="318"/>
      <c r="U14660" s="318"/>
      <c r="V14660" s="318"/>
      <c r="W14660" s="318"/>
      <c r="X14660" s="318"/>
      <c r="Y14660" s="318"/>
      <c r="Z14660" s="318"/>
      <c r="AA14660" s="318"/>
      <c r="AB14660" s="318"/>
      <c r="AC14660" s="318"/>
      <c r="AD14660" s="318"/>
    </row>
    <row r="14661" spans="2:30" s="323" customFormat="1" ht="12" customHeight="1">
      <c r="B14661" s="324"/>
      <c r="C14661" s="325"/>
      <c r="D14661" s="326"/>
      <c r="E14661" s="326"/>
      <c r="F14661" s="326"/>
      <c r="G14661" s="326"/>
      <c r="H14661" s="326"/>
      <c r="P14661" s="318"/>
      <c r="Q14661" s="318"/>
      <c r="R14661" s="318"/>
      <c r="S14661" s="318"/>
      <c r="T14661" s="318"/>
      <c r="U14661" s="318"/>
      <c r="V14661" s="318"/>
      <c r="W14661" s="318"/>
      <c r="X14661" s="318"/>
      <c r="Y14661" s="318"/>
      <c r="Z14661" s="318"/>
      <c r="AA14661" s="318"/>
      <c r="AB14661" s="318"/>
      <c r="AC14661" s="318"/>
      <c r="AD14661" s="318"/>
    </row>
    <row r="14662" spans="2:30" s="323" customFormat="1" ht="12" customHeight="1">
      <c r="B14662" s="324"/>
      <c r="C14662" s="325"/>
      <c r="D14662" s="326"/>
      <c r="E14662" s="326"/>
      <c r="F14662" s="326"/>
      <c r="G14662" s="326"/>
      <c r="H14662" s="326"/>
      <c r="P14662" s="318"/>
      <c r="Q14662" s="318"/>
      <c r="R14662" s="318"/>
      <c r="S14662" s="318"/>
      <c r="T14662" s="318"/>
      <c r="U14662" s="318"/>
      <c r="V14662" s="318"/>
      <c r="W14662" s="318"/>
      <c r="X14662" s="318"/>
      <c r="Y14662" s="318"/>
      <c r="Z14662" s="318"/>
      <c r="AA14662" s="318"/>
      <c r="AB14662" s="318"/>
      <c r="AC14662" s="318"/>
      <c r="AD14662" s="318"/>
    </row>
    <row r="14663" spans="2:30" s="323" customFormat="1" ht="12" customHeight="1">
      <c r="B14663" s="324"/>
      <c r="C14663" s="325"/>
      <c r="D14663" s="326"/>
      <c r="E14663" s="326"/>
      <c r="F14663" s="326"/>
      <c r="G14663" s="326"/>
      <c r="H14663" s="326"/>
      <c r="P14663" s="318"/>
      <c r="Q14663" s="318"/>
      <c r="R14663" s="318"/>
      <c r="S14663" s="318"/>
      <c r="T14663" s="318"/>
      <c r="U14663" s="318"/>
      <c r="V14663" s="318"/>
      <c r="W14663" s="318"/>
      <c r="X14663" s="318"/>
      <c r="Y14663" s="318"/>
      <c r="Z14663" s="318"/>
      <c r="AA14663" s="318"/>
      <c r="AB14663" s="318"/>
      <c r="AC14663" s="318"/>
      <c r="AD14663" s="318"/>
    </row>
    <row r="14664" spans="2:30" s="323" customFormat="1" ht="12" customHeight="1">
      <c r="B14664" s="324"/>
      <c r="C14664" s="325"/>
      <c r="D14664" s="326"/>
      <c r="E14664" s="326"/>
      <c r="F14664" s="326"/>
      <c r="G14664" s="326"/>
      <c r="H14664" s="326"/>
      <c r="P14664" s="318"/>
      <c r="Q14664" s="318"/>
      <c r="R14664" s="318"/>
      <c r="S14664" s="318"/>
      <c r="T14664" s="318"/>
      <c r="U14664" s="318"/>
      <c r="V14664" s="318"/>
      <c r="W14664" s="318"/>
      <c r="X14664" s="318"/>
      <c r="Y14664" s="318"/>
      <c r="Z14664" s="318"/>
      <c r="AA14664" s="318"/>
      <c r="AB14664" s="318"/>
      <c r="AC14664" s="318"/>
      <c r="AD14664" s="318"/>
    </row>
    <row r="14665" spans="2:30" s="323" customFormat="1" ht="12" customHeight="1">
      <c r="B14665" s="324"/>
      <c r="C14665" s="325"/>
      <c r="D14665" s="326"/>
      <c r="E14665" s="326"/>
      <c r="F14665" s="326"/>
      <c r="G14665" s="326"/>
      <c r="H14665" s="326"/>
      <c r="P14665" s="318"/>
      <c r="Q14665" s="318"/>
      <c r="R14665" s="318"/>
      <c r="S14665" s="318"/>
      <c r="T14665" s="318"/>
      <c r="U14665" s="318"/>
      <c r="V14665" s="318"/>
      <c r="W14665" s="318"/>
      <c r="X14665" s="318"/>
      <c r="Y14665" s="318"/>
      <c r="Z14665" s="318"/>
      <c r="AA14665" s="318"/>
      <c r="AB14665" s="318"/>
      <c r="AC14665" s="318"/>
      <c r="AD14665" s="318"/>
    </row>
    <row r="14666" spans="2:30" s="323" customFormat="1" ht="12" customHeight="1">
      <c r="B14666" s="324"/>
      <c r="C14666" s="325"/>
      <c r="D14666" s="326"/>
      <c r="E14666" s="326"/>
      <c r="F14666" s="326"/>
      <c r="G14666" s="326"/>
      <c r="H14666" s="326"/>
      <c r="P14666" s="318"/>
      <c r="Q14666" s="318"/>
      <c r="R14666" s="318"/>
      <c r="S14666" s="318"/>
      <c r="T14666" s="318"/>
      <c r="U14666" s="318"/>
      <c r="V14666" s="318"/>
      <c r="W14666" s="318"/>
      <c r="X14666" s="318"/>
      <c r="Y14666" s="318"/>
      <c r="Z14666" s="318"/>
      <c r="AA14666" s="318"/>
      <c r="AB14666" s="318"/>
      <c r="AC14666" s="318"/>
      <c r="AD14666" s="318"/>
    </row>
    <row r="14667" spans="2:30" s="323" customFormat="1" ht="12" customHeight="1">
      <c r="B14667" s="324"/>
      <c r="C14667" s="325"/>
      <c r="D14667" s="326"/>
      <c r="E14667" s="326"/>
      <c r="F14667" s="326"/>
      <c r="G14667" s="326"/>
      <c r="H14667" s="326"/>
      <c r="P14667" s="318"/>
      <c r="Q14667" s="318"/>
      <c r="R14667" s="318"/>
      <c r="S14667" s="318"/>
      <c r="T14667" s="318"/>
      <c r="U14667" s="318"/>
      <c r="V14667" s="318"/>
      <c r="W14667" s="318"/>
      <c r="X14667" s="318"/>
      <c r="Y14667" s="318"/>
      <c r="Z14667" s="318"/>
      <c r="AA14667" s="318"/>
      <c r="AB14667" s="318"/>
      <c r="AC14667" s="318"/>
      <c r="AD14667" s="318"/>
    </row>
    <row r="14668" spans="2:30" s="323" customFormat="1" ht="12" customHeight="1">
      <c r="B14668" s="324"/>
      <c r="C14668" s="325"/>
      <c r="D14668" s="326"/>
      <c r="E14668" s="326"/>
      <c r="F14668" s="326"/>
      <c r="G14668" s="326"/>
      <c r="H14668" s="326"/>
      <c r="P14668" s="318"/>
      <c r="Q14668" s="318"/>
      <c r="R14668" s="318"/>
      <c r="S14668" s="318"/>
      <c r="T14668" s="318"/>
      <c r="U14668" s="318"/>
      <c r="V14668" s="318"/>
      <c r="W14668" s="318"/>
      <c r="X14668" s="318"/>
      <c r="Y14668" s="318"/>
      <c r="Z14668" s="318"/>
      <c r="AA14668" s="318"/>
      <c r="AB14668" s="318"/>
      <c r="AC14668" s="318"/>
      <c r="AD14668" s="318"/>
    </row>
    <row r="14669" spans="2:30" s="323" customFormat="1" ht="12" customHeight="1">
      <c r="B14669" s="324"/>
      <c r="C14669" s="325"/>
      <c r="D14669" s="326"/>
      <c r="E14669" s="326"/>
      <c r="F14669" s="326"/>
      <c r="G14669" s="326"/>
      <c r="H14669" s="326"/>
      <c r="P14669" s="318"/>
      <c r="Q14669" s="318"/>
      <c r="R14669" s="318"/>
      <c r="S14669" s="318"/>
      <c r="T14669" s="318"/>
      <c r="U14669" s="318"/>
      <c r="V14669" s="318"/>
      <c r="W14669" s="318"/>
      <c r="X14669" s="318"/>
      <c r="Y14669" s="318"/>
      <c r="Z14669" s="318"/>
      <c r="AA14669" s="318"/>
      <c r="AB14669" s="318"/>
      <c r="AC14669" s="318"/>
      <c r="AD14669" s="318"/>
    </row>
    <row r="14670" spans="2:30" s="323" customFormat="1" ht="12" customHeight="1">
      <c r="B14670" s="324"/>
      <c r="C14670" s="325"/>
      <c r="D14670" s="326"/>
      <c r="E14670" s="326"/>
      <c r="F14670" s="326"/>
      <c r="G14670" s="326"/>
      <c r="H14670" s="326"/>
      <c r="P14670" s="318"/>
      <c r="Q14670" s="318"/>
      <c r="R14670" s="318"/>
      <c r="S14670" s="318"/>
      <c r="T14670" s="318"/>
      <c r="U14670" s="318"/>
      <c r="V14670" s="318"/>
      <c r="W14670" s="318"/>
      <c r="X14670" s="318"/>
      <c r="Y14670" s="318"/>
      <c r="Z14670" s="318"/>
      <c r="AA14670" s="318"/>
      <c r="AB14670" s="318"/>
      <c r="AC14670" s="318"/>
      <c r="AD14670" s="318"/>
    </row>
    <row r="14671" spans="2:30" s="323" customFormat="1" ht="12" customHeight="1">
      <c r="B14671" s="324"/>
      <c r="C14671" s="325"/>
      <c r="D14671" s="326"/>
      <c r="E14671" s="326"/>
      <c r="F14671" s="326"/>
      <c r="G14671" s="326"/>
      <c r="H14671" s="326"/>
      <c r="P14671" s="318"/>
      <c r="Q14671" s="318"/>
      <c r="R14671" s="318"/>
      <c r="S14671" s="318"/>
      <c r="T14671" s="318"/>
      <c r="U14671" s="318"/>
      <c r="V14671" s="318"/>
      <c r="W14671" s="318"/>
      <c r="X14671" s="318"/>
      <c r="Y14671" s="318"/>
      <c r="Z14671" s="318"/>
      <c r="AA14671" s="318"/>
      <c r="AB14671" s="318"/>
      <c r="AC14671" s="318"/>
      <c r="AD14671" s="318"/>
    </row>
    <row r="14672" spans="2:30" s="323" customFormat="1" ht="12" customHeight="1">
      <c r="B14672" s="324"/>
      <c r="C14672" s="325"/>
      <c r="D14672" s="326"/>
      <c r="E14672" s="326"/>
      <c r="F14672" s="326"/>
      <c r="G14672" s="326"/>
      <c r="H14672" s="326"/>
      <c r="P14672" s="318"/>
      <c r="Q14672" s="318"/>
      <c r="R14672" s="318"/>
      <c r="S14672" s="318"/>
      <c r="T14672" s="318"/>
      <c r="U14672" s="318"/>
      <c r="V14672" s="318"/>
      <c r="W14672" s="318"/>
      <c r="X14672" s="318"/>
      <c r="Y14672" s="318"/>
      <c r="Z14672" s="318"/>
      <c r="AA14672" s="318"/>
      <c r="AB14672" s="318"/>
      <c r="AC14672" s="318"/>
      <c r="AD14672" s="318"/>
    </row>
    <row r="14673" spans="2:30" s="323" customFormat="1" ht="12" customHeight="1">
      <c r="B14673" s="324"/>
      <c r="C14673" s="325"/>
      <c r="D14673" s="326"/>
      <c r="E14673" s="326"/>
      <c r="F14673" s="326"/>
      <c r="G14673" s="326"/>
      <c r="H14673" s="326"/>
      <c r="P14673" s="318"/>
      <c r="Q14673" s="318"/>
      <c r="R14673" s="318"/>
      <c r="S14673" s="318"/>
      <c r="T14673" s="318"/>
      <c r="U14673" s="318"/>
      <c r="V14673" s="318"/>
      <c r="W14673" s="318"/>
      <c r="X14673" s="318"/>
      <c r="Y14673" s="318"/>
      <c r="Z14673" s="318"/>
      <c r="AA14673" s="318"/>
      <c r="AB14673" s="318"/>
      <c r="AC14673" s="318"/>
      <c r="AD14673" s="318"/>
    </row>
    <row r="14674" spans="2:30" s="323" customFormat="1" ht="12" customHeight="1">
      <c r="B14674" s="324"/>
      <c r="C14674" s="325"/>
      <c r="D14674" s="326"/>
      <c r="E14674" s="326"/>
      <c r="F14674" s="326"/>
      <c r="G14674" s="326"/>
      <c r="H14674" s="326"/>
      <c r="P14674" s="318"/>
      <c r="Q14674" s="318"/>
      <c r="R14674" s="318"/>
      <c r="S14674" s="318"/>
      <c r="T14674" s="318"/>
      <c r="U14674" s="318"/>
      <c r="V14674" s="318"/>
      <c r="W14674" s="318"/>
      <c r="X14674" s="318"/>
      <c r="Y14674" s="318"/>
      <c r="Z14674" s="318"/>
      <c r="AA14674" s="318"/>
      <c r="AB14674" s="318"/>
      <c r="AC14674" s="318"/>
      <c r="AD14674" s="318"/>
    </row>
    <row r="14675" spans="2:30" s="323" customFormat="1" ht="12" customHeight="1">
      <c r="B14675" s="324"/>
      <c r="C14675" s="325"/>
      <c r="D14675" s="326"/>
      <c r="E14675" s="326"/>
      <c r="F14675" s="326"/>
      <c r="G14675" s="326"/>
      <c r="H14675" s="326"/>
      <c r="P14675" s="318"/>
      <c r="Q14675" s="318"/>
      <c r="R14675" s="318"/>
      <c r="S14675" s="318"/>
      <c r="T14675" s="318"/>
      <c r="U14675" s="318"/>
      <c r="V14675" s="318"/>
      <c r="W14675" s="318"/>
      <c r="X14675" s="318"/>
      <c r="Y14675" s="318"/>
      <c r="Z14675" s="318"/>
      <c r="AA14675" s="318"/>
      <c r="AB14675" s="318"/>
      <c r="AC14675" s="318"/>
      <c r="AD14675" s="318"/>
    </row>
    <row r="14676" spans="2:30" s="323" customFormat="1" ht="12" customHeight="1">
      <c r="B14676" s="324"/>
      <c r="C14676" s="325"/>
      <c r="D14676" s="326"/>
      <c r="E14676" s="326"/>
      <c r="F14676" s="326"/>
      <c r="G14676" s="326"/>
      <c r="H14676" s="326"/>
      <c r="P14676" s="318"/>
      <c r="Q14676" s="318"/>
      <c r="R14676" s="318"/>
      <c r="S14676" s="318"/>
      <c r="T14676" s="318"/>
      <c r="U14676" s="318"/>
      <c r="V14676" s="318"/>
      <c r="W14676" s="318"/>
      <c r="X14676" s="318"/>
      <c r="Y14676" s="318"/>
      <c r="Z14676" s="318"/>
      <c r="AA14676" s="318"/>
      <c r="AB14676" s="318"/>
      <c r="AC14676" s="318"/>
      <c r="AD14676" s="318"/>
    </row>
    <row r="14677" spans="2:30" s="323" customFormat="1" ht="12" customHeight="1">
      <c r="B14677" s="324"/>
      <c r="C14677" s="325"/>
      <c r="D14677" s="326"/>
      <c r="E14677" s="326"/>
      <c r="F14677" s="326"/>
      <c r="G14677" s="326"/>
      <c r="H14677" s="326"/>
      <c r="P14677" s="318"/>
      <c r="Q14677" s="318"/>
      <c r="R14677" s="318"/>
      <c r="S14677" s="318"/>
      <c r="T14677" s="318"/>
      <c r="U14677" s="318"/>
      <c r="V14677" s="318"/>
      <c r="W14677" s="318"/>
      <c r="X14677" s="318"/>
      <c r="Y14677" s="318"/>
      <c r="Z14677" s="318"/>
      <c r="AA14677" s="318"/>
      <c r="AB14677" s="318"/>
      <c r="AC14677" s="318"/>
      <c r="AD14677" s="318"/>
    </row>
    <row r="14678" spans="2:30" s="323" customFormat="1" ht="12" customHeight="1">
      <c r="B14678" s="324"/>
      <c r="C14678" s="325"/>
      <c r="D14678" s="326"/>
      <c r="E14678" s="326"/>
      <c r="F14678" s="326"/>
      <c r="G14678" s="326"/>
      <c r="H14678" s="326"/>
      <c r="P14678" s="318"/>
      <c r="Q14678" s="318"/>
      <c r="R14678" s="318"/>
      <c r="S14678" s="318"/>
      <c r="T14678" s="318"/>
      <c r="U14678" s="318"/>
      <c r="V14678" s="318"/>
      <c r="W14678" s="318"/>
      <c r="X14678" s="318"/>
      <c r="Y14678" s="318"/>
      <c r="Z14678" s="318"/>
      <c r="AA14678" s="318"/>
      <c r="AB14678" s="318"/>
      <c r="AC14678" s="318"/>
      <c r="AD14678" s="318"/>
    </row>
    <row r="14679" spans="2:30" s="323" customFormat="1" ht="12" customHeight="1">
      <c r="B14679" s="324"/>
      <c r="C14679" s="325"/>
      <c r="D14679" s="326"/>
      <c r="E14679" s="326"/>
      <c r="F14679" s="326"/>
      <c r="G14679" s="326"/>
      <c r="H14679" s="326"/>
      <c r="P14679" s="318"/>
      <c r="Q14679" s="318"/>
      <c r="R14679" s="318"/>
      <c r="S14679" s="318"/>
      <c r="T14679" s="318"/>
      <c r="U14679" s="318"/>
      <c r="V14679" s="318"/>
      <c r="W14679" s="318"/>
      <c r="X14679" s="318"/>
      <c r="Y14679" s="318"/>
      <c r="Z14679" s="318"/>
      <c r="AA14679" s="318"/>
      <c r="AB14679" s="318"/>
      <c r="AC14679" s="318"/>
      <c r="AD14679" s="318"/>
    </row>
    <row r="14680" spans="2:30" s="323" customFormat="1" ht="12" customHeight="1">
      <c r="B14680" s="324"/>
      <c r="C14680" s="325"/>
      <c r="D14680" s="326"/>
      <c r="E14680" s="326"/>
      <c r="F14680" s="326"/>
      <c r="G14680" s="326"/>
      <c r="H14680" s="326"/>
      <c r="P14680" s="318"/>
      <c r="Q14680" s="318"/>
      <c r="R14680" s="318"/>
      <c r="S14680" s="318"/>
      <c r="T14680" s="318"/>
      <c r="U14680" s="318"/>
      <c r="V14680" s="318"/>
      <c r="W14680" s="318"/>
      <c r="X14680" s="318"/>
      <c r="Y14680" s="318"/>
      <c r="Z14680" s="318"/>
      <c r="AA14680" s="318"/>
      <c r="AB14680" s="318"/>
      <c r="AC14680" s="318"/>
      <c r="AD14680" s="318"/>
    </row>
    <row r="14681" spans="2:30" s="323" customFormat="1" ht="12" customHeight="1">
      <c r="B14681" s="324"/>
      <c r="C14681" s="325"/>
      <c r="D14681" s="326"/>
      <c r="E14681" s="326"/>
      <c r="F14681" s="326"/>
      <c r="G14681" s="326"/>
      <c r="H14681" s="326"/>
      <c r="P14681" s="318"/>
      <c r="Q14681" s="318"/>
      <c r="R14681" s="318"/>
      <c r="S14681" s="318"/>
      <c r="T14681" s="318"/>
      <c r="U14681" s="318"/>
      <c r="V14681" s="318"/>
      <c r="W14681" s="318"/>
      <c r="X14681" s="318"/>
      <c r="Y14681" s="318"/>
      <c r="Z14681" s="318"/>
      <c r="AA14681" s="318"/>
      <c r="AB14681" s="318"/>
      <c r="AC14681" s="318"/>
      <c r="AD14681" s="318"/>
    </row>
    <row r="14682" spans="2:30" s="323" customFormat="1" ht="12" customHeight="1">
      <c r="B14682" s="324"/>
      <c r="C14682" s="325"/>
      <c r="D14682" s="326"/>
      <c r="E14682" s="326"/>
      <c r="F14682" s="326"/>
      <c r="G14682" s="326"/>
      <c r="H14682" s="326"/>
      <c r="P14682" s="318"/>
      <c r="Q14682" s="318"/>
      <c r="R14682" s="318"/>
      <c r="S14682" s="318"/>
      <c r="T14682" s="318"/>
      <c r="U14682" s="318"/>
      <c r="V14682" s="318"/>
      <c r="W14682" s="318"/>
      <c r="X14682" s="318"/>
      <c r="Y14682" s="318"/>
      <c r="Z14682" s="318"/>
      <c r="AA14682" s="318"/>
      <c r="AB14682" s="318"/>
      <c r="AC14682" s="318"/>
      <c r="AD14682" s="318"/>
    </row>
    <row r="14683" spans="2:30" s="323" customFormat="1" ht="12" customHeight="1">
      <c r="B14683" s="324"/>
      <c r="C14683" s="325"/>
      <c r="D14683" s="326"/>
      <c r="E14683" s="326"/>
      <c r="F14683" s="326"/>
      <c r="G14683" s="326"/>
      <c r="H14683" s="326"/>
      <c r="P14683" s="318"/>
      <c r="Q14683" s="318"/>
      <c r="R14683" s="318"/>
      <c r="S14683" s="318"/>
      <c r="T14683" s="318"/>
      <c r="U14683" s="318"/>
      <c r="V14683" s="318"/>
      <c r="W14683" s="318"/>
      <c r="X14683" s="318"/>
      <c r="Y14683" s="318"/>
      <c r="Z14683" s="318"/>
      <c r="AA14683" s="318"/>
      <c r="AB14683" s="318"/>
      <c r="AC14683" s="318"/>
      <c r="AD14683" s="318"/>
    </row>
    <row r="14684" spans="2:30" s="323" customFormat="1" ht="12" customHeight="1">
      <c r="B14684" s="324"/>
      <c r="C14684" s="325"/>
      <c r="D14684" s="326"/>
      <c r="E14684" s="326"/>
      <c r="F14684" s="326"/>
      <c r="G14684" s="326"/>
      <c r="H14684" s="326"/>
      <c r="P14684" s="318"/>
      <c r="Q14684" s="318"/>
      <c r="R14684" s="318"/>
      <c r="S14684" s="318"/>
      <c r="T14684" s="318"/>
      <c r="U14684" s="318"/>
      <c r="V14684" s="318"/>
      <c r="W14684" s="318"/>
      <c r="X14684" s="318"/>
      <c r="Y14684" s="318"/>
      <c r="Z14684" s="318"/>
      <c r="AA14684" s="318"/>
      <c r="AB14684" s="318"/>
      <c r="AC14684" s="318"/>
      <c r="AD14684" s="318"/>
    </row>
    <row r="14685" spans="2:30" s="323" customFormat="1" ht="12" customHeight="1">
      <c r="B14685" s="324"/>
      <c r="C14685" s="325"/>
      <c r="D14685" s="326"/>
      <c r="E14685" s="326"/>
      <c r="F14685" s="326"/>
      <c r="G14685" s="326"/>
      <c r="H14685" s="326"/>
      <c r="P14685" s="318"/>
      <c r="Q14685" s="318"/>
      <c r="R14685" s="318"/>
      <c r="S14685" s="318"/>
      <c r="T14685" s="318"/>
      <c r="U14685" s="318"/>
      <c r="V14685" s="318"/>
      <c r="W14685" s="318"/>
      <c r="X14685" s="318"/>
      <c r="Y14685" s="318"/>
      <c r="Z14685" s="318"/>
      <c r="AA14685" s="318"/>
      <c r="AB14685" s="318"/>
      <c r="AC14685" s="318"/>
      <c r="AD14685" s="318"/>
    </row>
    <row r="14686" spans="2:30" s="323" customFormat="1" ht="12" customHeight="1">
      <c r="B14686" s="324"/>
      <c r="C14686" s="325"/>
      <c r="D14686" s="326"/>
      <c r="E14686" s="326"/>
      <c r="F14686" s="326"/>
      <c r="G14686" s="326"/>
      <c r="H14686" s="326"/>
      <c r="P14686" s="318"/>
      <c r="Q14686" s="318"/>
      <c r="R14686" s="318"/>
      <c r="S14686" s="318"/>
      <c r="T14686" s="318"/>
      <c r="U14686" s="318"/>
      <c r="V14686" s="318"/>
      <c r="W14686" s="318"/>
      <c r="X14686" s="318"/>
      <c r="Y14686" s="318"/>
      <c r="Z14686" s="318"/>
      <c r="AA14686" s="318"/>
      <c r="AB14686" s="318"/>
      <c r="AC14686" s="318"/>
      <c r="AD14686" s="318"/>
    </row>
    <row r="14687" spans="2:30" s="323" customFormat="1" ht="12" customHeight="1">
      <c r="B14687" s="324"/>
      <c r="C14687" s="325"/>
      <c r="D14687" s="326"/>
      <c r="E14687" s="326"/>
      <c r="F14687" s="326"/>
      <c r="G14687" s="326"/>
      <c r="H14687" s="326"/>
      <c r="P14687" s="318"/>
      <c r="Q14687" s="318"/>
      <c r="R14687" s="318"/>
      <c r="S14687" s="318"/>
      <c r="T14687" s="318"/>
      <c r="U14687" s="318"/>
      <c r="V14687" s="318"/>
      <c r="W14687" s="318"/>
      <c r="X14687" s="318"/>
      <c r="Y14687" s="318"/>
      <c r="Z14687" s="318"/>
      <c r="AA14687" s="318"/>
      <c r="AB14687" s="318"/>
      <c r="AC14687" s="318"/>
      <c r="AD14687" s="318"/>
    </row>
    <row r="14688" spans="2:30" s="323" customFormat="1" ht="12" customHeight="1">
      <c r="B14688" s="324"/>
      <c r="C14688" s="325"/>
      <c r="D14688" s="326"/>
      <c r="E14688" s="326"/>
      <c r="F14688" s="326"/>
      <c r="G14688" s="326"/>
      <c r="H14688" s="326"/>
      <c r="P14688" s="318"/>
      <c r="Q14688" s="318"/>
      <c r="R14688" s="318"/>
      <c r="S14688" s="318"/>
      <c r="T14688" s="318"/>
      <c r="U14688" s="318"/>
      <c r="V14688" s="318"/>
      <c r="W14688" s="318"/>
      <c r="X14688" s="318"/>
      <c r="Y14688" s="318"/>
      <c r="Z14688" s="318"/>
      <c r="AA14688" s="318"/>
      <c r="AB14688" s="318"/>
      <c r="AC14688" s="318"/>
      <c r="AD14688" s="318"/>
    </row>
    <row r="14689" spans="2:30" s="323" customFormat="1" ht="12" customHeight="1">
      <c r="B14689" s="324"/>
      <c r="C14689" s="325"/>
      <c r="D14689" s="326"/>
      <c r="E14689" s="326"/>
      <c r="F14689" s="326"/>
      <c r="G14689" s="326"/>
      <c r="H14689" s="326"/>
      <c r="P14689" s="318"/>
      <c r="Q14689" s="318"/>
      <c r="R14689" s="318"/>
      <c r="S14689" s="318"/>
      <c r="T14689" s="318"/>
      <c r="U14689" s="318"/>
      <c r="V14689" s="318"/>
      <c r="W14689" s="318"/>
      <c r="X14689" s="318"/>
      <c r="Y14689" s="318"/>
      <c r="Z14689" s="318"/>
      <c r="AA14689" s="318"/>
      <c r="AB14689" s="318"/>
      <c r="AC14689" s="318"/>
      <c r="AD14689" s="318"/>
    </row>
    <row r="14690" spans="2:30" s="323" customFormat="1" ht="12" customHeight="1">
      <c r="B14690" s="324"/>
      <c r="C14690" s="325"/>
      <c r="D14690" s="326"/>
      <c r="E14690" s="326"/>
      <c r="F14690" s="326"/>
      <c r="G14690" s="326"/>
      <c r="H14690" s="326"/>
      <c r="P14690" s="318"/>
      <c r="Q14690" s="318"/>
      <c r="R14690" s="318"/>
      <c r="S14690" s="318"/>
      <c r="T14690" s="318"/>
      <c r="U14690" s="318"/>
      <c r="V14690" s="318"/>
      <c r="W14690" s="318"/>
      <c r="X14690" s="318"/>
      <c r="Y14690" s="318"/>
      <c r="Z14690" s="318"/>
      <c r="AA14690" s="318"/>
      <c r="AB14690" s="318"/>
      <c r="AC14690" s="318"/>
      <c r="AD14690" s="318"/>
    </row>
    <row r="14691" spans="2:30" s="323" customFormat="1" ht="12" customHeight="1">
      <c r="B14691" s="324"/>
      <c r="C14691" s="325"/>
      <c r="D14691" s="326"/>
      <c r="E14691" s="326"/>
      <c r="F14691" s="326"/>
      <c r="G14691" s="326"/>
      <c r="H14691" s="326"/>
      <c r="P14691" s="318"/>
      <c r="Q14691" s="318"/>
      <c r="R14691" s="318"/>
      <c r="S14691" s="318"/>
      <c r="T14691" s="318"/>
      <c r="U14691" s="318"/>
      <c r="V14691" s="318"/>
      <c r="W14691" s="318"/>
      <c r="X14691" s="318"/>
      <c r="Y14691" s="318"/>
      <c r="Z14691" s="318"/>
      <c r="AA14691" s="318"/>
      <c r="AB14691" s="318"/>
      <c r="AC14691" s="318"/>
      <c r="AD14691" s="318"/>
    </row>
    <row r="14692" spans="2:30" s="323" customFormat="1" ht="12" customHeight="1">
      <c r="B14692" s="324"/>
      <c r="C14692" s="325"/>
      <c r="D14692" s="326"/>
      <c r="E14692" s="326"/>
      <c r="F14692" s="326"/>
      <c r="G14692" s="326"/>
      <c r="H14692" s="326"/>
      <c r="P14692" s="318"/>
      <c r="Q14692" s="318"/>
      <c r="R14692" s="318"/>
      <c r="S14692" s="318"/>
      <c r="T14692" s="318"/>
      <c r="U14692" s="318"/>
      <c r="V14692" s="318"/>
      <c r="W14692" s="318"/>
      <c r="X14692" s="318"/>
      <c r="Y14692" s="318"/>
      <c r="Z14692" s="318"/>
      <c r="AA14692" s="318"/>
      <c r="AB14692" s="318"/>
      <c r="AC14692" s="318"/>
      <c r="AD14692" s="318"/>
    </row>
    <row r="14693" spans="2:30" s="323" customFormat="1" ht="12" customHeight="1">
      <c r="B14693" s="324"/>
      <c r="C14693" s="325"/>
      <c r="D14693" s="326"/>
      <c r="E14693" s="326"/>
      <c r="F14693" s="326"/>
      <c r="G14693" s="326"/>
      <c r="H14693" s="326"/>
      <c r="P14693" s="318"/>
      <c r="Q14693" s="318"/>
      <c r="R14693" s="318"/>
      <c r="S14693" s="318"/>
      <c r="T14693" s="318"/>
      <c r="U14693" s="318"/>
      <c r="V14693" s="318"/>
      <c r="W14693" s="318"/>
      <c r="X14693" s="318"/>
      <c r="Y14693" s="318"/>
      <c r="Z14693" s="318"/>
      <c r="AA14693" s="318"/>
      <c r="AB14693" s="318"/>
      <c r="AC14693" s="318"/>
      <c r="AD14693" s="318"/>
    </row>
    <row r="14694" spans="2:30" s="323" customFormat="1" ht="12" customHeight="1">
      <c r="B14694" s="324"/>
      <c r="C14694" s="325"/>
      <c r="D14694" s="326"/>
      <c r="E14694" s="326"/>
      <c r="F14694" s="326"/>
      <c r="G14694" s="326"/>
      <c r="H14694" s="326"/>
      <c r="P14694" s="318"/>
      <c r="Q14694" s="318"/>
      <c r="R14694" s="318"/>
      <c r="S14694" s="318"/>
      <c r="T14694" s="318"/>
      <c r="U14694" s="318"/>
      <c r="V14694" s="318"/>
      <c r="W14694" s="318"/>
      <c r="X14694" s="318"/>
      <c r="Y14694" s="318"/>
      <c r="Z14694" s="318"/>
      <c r="AA14694" s="318"/>
      <c r="AB14694" s="318"/>
      <c r="AC14694" s="318"/>
      <c r="AD14694" s="318"/>
    </row>
    <row r="14695" spans="2:30" s="323" customFormat="1" ht="12" customHeight="1">
      <c r="B14695" s="324"/>
      <c r="C14695" s="325"/>
      <c r="D14695" s="326"/>
      <c r="E14695" s="326"/>
      <c r="F14695" s="326"/>
      <c r="G14695" s="326"/>
      <c r="H14695" s="326"/>
      <c r="P14695" s="318"/>
      <c r="Q14695" s="318"/>
      <c r="R14695" s="318"/>
      <c r="S14695" s="318"/>
      <c r="T14695" s="318"/>
      <c r="U14695" s="318"/>
      <c r="V14695" s="318"/>
      <c r="W14695" s="318"/>
      <c r="X14695" s="318"/>
      <c r="Y14695" s="318"/>
      <c r="Z14695" s="318"/>
      <c r="AA14695" s="318"/>
      <c r="AB14695" s="318"/>
      <c r="AC14695" s="318"/>
      <c r="AD14695" s="318"/>
    </row>
    <row r="14696" spans="2:30" s="323" customFormat="1" ht="12" customHeight="1">
      <c r="B14696" s="324"/>
      <c r="C14696" s="325"/>
      <c r="D14696" s="326"/>
      <c r="E14696" s="326"/>
      <c r="F14696" s="326"/>
      <c r="G14696" s="326"/>
      <c r="H14696" s="326"/>
      <c r="P14696" s="318"/>
      <c r="Q14696" s="318"/>
      <c r="R14696" s="318"/>
      <c r="S14696" s="318"/>
      <c r="T14696" s="318"/>
      <c r="U14696" s="318"/>
      <c r="V14696" s="318"/>
      <c r="W14696" s="318"/>
      <c r="X14696" s="318"/>
      <c r="Y14696" s="318"/>
      <c r="Z14696" s="318"/>
      <c r="AA14696" s="318"/>
      <c r="AB14696" s="318"/>
      <c r="AC14696" s="318"/>
      <c r="AD14696" s="318"/>
    </row>
    <row r="14697" spans="2:30" s="323" customFormat="1" ht="12" customHeight="1">
      <c r="B14697" s="324"/>
      <c r="C14697" s="325"/>
      <c r="D14697" s="326"/>
      <c r="E14697" s="326"/>
      <c r="F14697" s="326"/>
      <c r="G14697" s="326"/>
      <c r="H14697" s="326"/>
      <c r="P14697" s="318"/>
      <c r="Q14697" s="318"/>
      <c r="R14697" s="318"/>
      <c r="S14697" s="318"/>
      <c r="T14697" s="318"/>
      <c r="U14697" s="318"/>
      <c r="V14697" s="318"/>
      <c r="W14697" s="318"/>
      <c r="X14697" s="318"/>
      <c r="Y14697" s="318"/>
      <c r="Z14697" s="318"/>
      <c r="AA14697" s="318"/>
      <c r="AB14697" s="318"/>
      <c r="AC14697" s="318"/>
      <c r="AD14697" s="318"/>
    </row>
    <row r="14698" spans="2:30" s="323" customFormat="1" ht="12" customHeight="1">
      <c r="B14698" s="324"/>
      <c r="C14698" s="325"/>
      <c r="D14698" s="326"/>
      <c r="E14698" s="326"/>
      <c r="F14698" s="326"/>
      <c r="G14698" s="326"/>
      <c r="H14698" s="326"/>
      <c r="P14698" s="318"/>
      <c r="Q14698" s="318"/>
      <c r="R14698" s="318"/>
      <c r="S14698" s="318"/>
      <c r="T14698" s="318"/>
      <c r="U14698" s="318"/>
      <c r="V14698" s="318"/>
      <c r="W14698" s="318"/>
      <c r="X14698" s="318"/>
      <c r="Y14698" s="318"/>
      <c r="Z14698" s="318"/>
      <c r="AA14698" s="318"/>
      <c r="AB14698" s="318"/>
      <c r="AC14698" s="318"/>
      <c r="AD14698" s="318"/>
    </row>
    <row r="14699" spans="2:30" s="323" customFormat="1" ht="12" customHeight="1">
      <c r="B14699" s="324"/>
      <c r="C14699" s="325"/>
      <c r="D14699" s="326"/>
      <c r="E14699" s="326"/>
      <c r="F14699" s="326"/>
      <c r="G14699" s="326"/>
      <c r="H14699" s="326"/>
      <c r="P14699" s="318"/>
      <c r="Q14699" s="318"/>
      <c r="R14699" s="318"/>
      <c r="S14699" s="318"/>
      <c r="T14699" s="318"/>
      <c r="U14699" s="318"/>
      <c r="V14699" s="318"/>
      <c r="W14699" s="318"/>
      <c r="X14699" s="318"/>
      <c r="Y14699" s="318"/>
      <c r="Z14699" s="318"/>
      <c r="AA14699" s="318"/>
      <c r="AB14699" s="318"/>
      <c r="AC14699" s="318"/>
      <c r="AD14699" s="318"/>
    </row>
    <row r="14700" spans="2:30" s="323" customFormat="1" ht="12" customHeight="1">
      <c r="B14700" s="324"/>
      <c r="C14700" s="325"/>
      <c r="D14700" s="326"/>
      <c r="E14700" s="326"/>
      <c r="F14700" s="326"/>
      <c r="G14700" s="326"/>
      <c r="H14700" s="326"/>
      <c r="P14700" s="318"/>
      <c r="Q14700" s="318"/>
      <c r="R14700" s="318"/>
      <c r="S14700" s="318"/>
      <c r="T14700" s="318"/>
      <c r="U14700" s="318"/>
      <c r="V14700" s="318"/>
      <c r="W14700" s="318"/>
      <c r="X14700" s="318"/>
      <c r="Y14700" s="318"/>
      <c r="Z14700" s="318"/>
      <c r="AA14700" s="318"/>
      <c r="AB14700" s="318"/>
      <c r="AC14700" s="318"/>
      <c r="AD14700" s="318"/>
    </row>
    <row r="14701" spans="2:30" s="323" customFormat="1" ht="12" customHeight="1">
      <c r="B14701" s="324"/>
      <c r="C14701" s="325"/>
      <c r="D14701" s="326"/>
      <c r="E14701" s="326"/>
      <c r="F14701" s="326"/>
      <c r="G14701" s="326"/>
      <c r="H14701" s="326"/>
      <c r="P14701" s="318"/>
      <c r="Q14701" s="318"/>
      <c r="R14701" s="318"/>
      <c r="S14701" s="318"/>
      <c r="T14701" s="318"/>
      <c r="U14701" s="318"/>
      <c r="V14701" s="318"/>
      <c r="W14701" s="318"/>
      <c r="X14701" s="318"/>
      <c r="Y14701" s="318"/>
      <c r="Z14701" s="318"/>
      <c r="AA14701" s="318"/>
      <c r="AB14701" s="318"/>
      <c r="AC14701" s="318"/>
      <c r="AD14701" s="318"/>
    </row>
    <row r="14702" spans="2:30" s="323" customFormat="1" ht="12" customHeight="1">
      <c r="B14702" s="324"/>
      <c r="C14702" s="325"/>
      <c r="D14702" s="326"/>
      <c r="E14702" s="326"/>
      <c r="F14702" s="326"/>
      <c r="G14702" s="326"/>
      <c r="H14702" s="326"/>
      <c r="P14702" s="318"/>
      <c r="Q14702" s="318"/>
      <c r="R14702" s="318"/>
      <c r="S14702" s="318"/>
      <c r="T14702" s="318"/>
      <c r="U14702" s="318"/>
      <c r="V14702" s="318"/>
      <c r="W14702" s="318"/>
      <c r="X14702" s="318"/>
      <c r="Y14702" s="318"/>
      <c r="Z14702" s="318"/>
      <c r="AA14702" s="318"/>
      <c r="AB14702" s="318"/>
      <c r="AC14702" s="318"/>
      <c r="AD14702" s="318"/>
    </row>
    <row r="14703" spans="2:30" s="323" customFormat="1" ht="12" customHeight="1">
      <c r="B14703" s="324"/>
      <c r="C14703" s="325"/>
      <c r="D14703" s="326"/>
      <c r="E14703" s="326"/>
      <c r="F14703" s="326"/>
      <c r="G14703" s="326"/>
      <c r="H14703" s="326"/>
      <c r="P14703" s="318"/>
      <c r="Q14703" s="318"/>
      <c r="R14703" s="318"/>
      <c r="S14703" s="318"/>
      <c r="T14703" s="318"/>
      <c r="U14703" s="318"/>
      <c r="V14703" s="318"/>
      <c r="W14703" s="318"/>
      <c r="X14703" s="318"/>
      <c r="Y14703" s="318"/>
      <c r="Z14703" s="318"/>
      <c r="AA14703" s="318"/>
      <c r="AB14703" s="318"/>
      <c r="AC14703" s="318"/>
      <c r="AD14703" s="318"/>
    </row>
    <row r="14704" spans="2:30" s="323" customFormat="1" ht="12" customHeight="1">
      <c r="B14704" s="324"/>
      <c r="C14704" s="325"/>
      <c r="D14704" s="326"/>
      <c r="E14704" s="326"/>
      <c r="F14704" s="326"/>
      <c r="G14704" s="326"/>
      <c r="H14704" s="326"/>
      <c r="P14704" s="318"/>
      <c r="Q14704" s="318"/>
      <c r="R14704" s="318"/>
      <c r="S14704" s="318"/>
      <c r="T14704" s="318"/>
      <c r="U14704" s="318"/>
      <c r="V14704" s="318"/>
      <c r="W14704" s="318"/>
      <c r="X14704" s="318"/>
      <c r="Y14704" s="318"/>
      <c r="Z14704" s="318"/>
      <c r="AA14704" s="318"/>
      <c r="AB14704" s="318"/>
      <c r="AC14704" s="318"/>
      <c r="AD14704" s="318"/>
    </row>
    <row r="14705" spans="2:30" s="323" customFormat="1" ht="12" customHeight="1">
      <c r="B14705" s="324"/>
      <c r="C14705" s="325"/>
      <c r="D14705" s="326"/>
      <c r="E14705" s="326"/>
      <c r="F14705" s="326"/>
      <c r="G14705" s="326"/>
      <c r="H14705" s="326"/>
      <c r="P14705" s="318"/>
      <c r="Q14705" s="318"/>
      <c r="R14705" s="318"/>
      <c r="S14705" s="318"/>
      <c r="T14705" s="318"/>
      <c r="U14705" s="318"/>
      <c r="V14705" s="318"/>
      <c r="W14705" s="318"/>
      <c r="X14705" s="318"/>
      <c r="Y14705" s="318"/>
      <c r="Z14705" s="318"/>
      <c r="AA14705" s="318"/>
      <c r="AB14705" s="318"/>
      <c r="AC14705" s="318"/>
      <c r="AD14705" s="318"/>
    </row>
    <row r="14706" spans="2:30" s="323" customFormat="1" ht="12" customHeight="1">
      <c r="B14706" s="324"/>
      <c r="C14706" s="325"/>
      <c r="D14706" s="326"/>
      <c r="E14706" s="326"/>
      <c r="F14706" s="326"/>
      <c r="G14706" s="326"/>
      <c r="H14706" s="326"/>
      <c r="P14706" s="318"/>
      <c r="Q14706" s="318"/>
      <c r="R14706" s="318"/>
      <c r="S14706" s="318"/>
      <c r="T14706" s="318"/>
      <c r="U14706" s="318"/>
      <c r="V14706" s="318"/>
      <c r="W14706" s="318"/>
      <c r="X14706" s="318"/>
      <c r="Y14706" s="318"/>
      <c r="Z14706" s="318"/>
      <c r="AA14706" s="318"/>
      <c r="AB14706" s="318"/>
      <c r="AC14706" s="318"/>
      <c r="AD14706" s="318"/>
    </row>
    <row r="14707" spans="2:30" s="323" customFormat="1" ht="12" customHeight="1">
      <c r="B14707" s="324"/>
      <c r="C14707" s="325"/>
      <c r="D14707" s="326"/>
      <c r="E14707" s="326"/>
      <c r="F14707" s="326"/>
      <c r="G14707" s="326"/>
      <c r="H14707" s="326"/>
      <c r="P14707" s="318"/>
      <c r="Q14707" s="318"/>
      <c r="R14707" s="318"/>
      <c r="S14707" s="318"/>
      <c r="T14707" s="318"/>
      <c r="U14707" s="318"/>
      <c r="V14707" s="318"/>
      <c r="W14707" s="318"/>
      <c r="X14707" s="318"/>
      <c r="Y14707" s="318"/>
      <c r="Z14707" s="318"/>
      <c r="AA14707" s="318"/>
      <c r="AB14707" s="318"/>
      <c r="AC14707" s="318"/>
      <c r="AD14707" s="318"/>
    </row>
    <row r="14708" spans="2:30" s="323" customFormat="1" ht="12" customHeight="1">
      <c r="B14708" s="324"/>
      <c r="C14708" s="325"/>
      <c r="D14708" s="326"/>
      <c r="E14708" s="326"/>
      <c r="F14708" s="326"/>
      <c r="G14708" s="326"/>
      <c r="H14708" s="326"/>
      <c r="P14708" s="318"/>
      <c r="Q14708" s="318"/>
      <c r="R14708" s="318"/>
      <c r="S14708" s="318"/>
      <c r="T14708" s="318"/>
      <c r="U14708" s="318"/>
      <c r="V14708" s="318"/>
      <c r="W14708" s="318"/>
      <c r="X14708" s="318"/>
      <c r="Y14708" s="318"/>
      <c r="Z14708" s="318"/>
      <c r="AA14708" s="318"/>
      <c r="AB14708" s="318"/>
      <c r="AC14708" s="318"/>
      <c r="AD14708" s="318"/>
    </row>
    <row r="14709" spans="2:30" s="323" customFormat="1" ht="12" customHeight="1">
      <c r="B14709" s="324"/>
      <c r="C14709" s="325"/>
      <c r="D14709" s="326"/>
      <c r="E14709" s="326"/>
      <c r="F14709" s="326"/>
      <c r="G14709" s="326"/>
      <c r="H14709" s="326"/>
      <c r="P14709" s="318"/>
      <c r="Q14709" s="318"/>
      <c r="R14709" s="318"/>
      <c r="S14709" s="318"/>
      <c r="T14709" s="318"/>
      <c r="U14709" s="318"/>
      <c r="V14709" s="318"/>
      <c r="W14709" s="318"/>
      <c r="X14709" s="318"/>
      <c r="Y14709" s="318"/>
      <c r="Z14709" s="318"/>
      <c r="AA14709" s="318"/>
      <c r="AB14709" s="318"/>
      <c r="AC14709" s="318"/>
      <c r="AD14709" s="318"/>
    </row>
    <row r="14710" spans="2:30" s="323" customFormat="1" ht="12" customHeight="1">
      <c r="B14710" s="324"/>
      <c r="C14710" s="325"/>
      <c r="D14710" s="326"/>
      <c r="E14710" s="326"/>
      <c r="F14710" s="326"/>
      <c r="G14710" s="326"/>
      <c r="H14710" s="326"/>
      <c r="P14710" s="318"/>
      <c r="Q14710" s="318"/>
      <c r="R14710" s="318"/>
      <c r="S14710" s="318"/>
      <c r="T14710" s="318"/>
      <c r="U14710" s="318"/>
      <c r="V14710" s="318"/>
      <c r="W14710" s="318"/>
      <c r="X14710" s="318"/>
      <c r="Y14710" s="318"/>
      <c r="Z14710" s="318"/>
      <c r="AA14710" s="318"/>
      <c r="AB14710" s="318"/>
      <c r="AC14710" s="318"/>
      <c r="AD14710" s="318"/>
    </row>
    <row r="14711" spans="2:30" s="323" customFormat="1" ht="12" customHeight="1">
      <c r="B14711" s="324"/>
      <c r="C14711" s="325"/>
      <c r="D14711" s="326"/>
      <c r="E14711" s="326"/>
      <c r="F14711" s="326"/>
      <c r="G14711" s="326"/>
      <c r="H14711" s="326"/>
      <c r="P14711" s="318"/>
      <c r="Q14711" s="318"/>
      <c r="R14711" s="318"/>
      <c r="S14711" s="318"/>
      <c r="T14711" s="318"/>
      <c r="U14711" s="318"/>
      <c r="V14711" s="318"/>
      <c r="W14711" s="318"/>
      <c r="X14711" s="318"/>
      <c r="Y14711" s="318"/>
      <c r="Z14711" s="318"/>
      <c r="AA14711" s="318"/>
      <c r="AB14711" s="318"/>
      <c r="AC14711" s="318"/>
      <c r="AD14711" s="318"/>
    </row>
    <row r="14712" spans="2:30" s="323" customFormat="1" ht="12" customHeight="1">
      <c r="B14712" s="324"/>
      <c r="C14712" s="325"/>
      <c r="D14712" s="326"/>
      <c r="E14712" s="326"/>
      <c r="F14712" s="326"/>
      <c r="G14712" s="326"/>
      <c r="H14712" s="326"/>
      <c r="P14712" s="318"/>
      <c r="Q14712" s="318"/>
      <c r="R14712" s="318"/>
      <c r="S14712" s="318"/>
      <c r="T14712" s="318"/>
      <c r="U14712" s="318"/>
      <c r="V14712" s="318"/>
      <c r="W14712" s="318"/>
      <c r="X14712" s="318"/>
      <c r="Y14712" s="318"/>
      <c r="Z14712" s="318"/>
      <c r="AA14712" s="318"/>
      <c r="AB14712" s="318"/>
      <c r="AC14712" s="318"/>
      <c r="AD14712" s="318"/>
    </row>
    <row r="14713" spans="2:30" s="323" customFormat="1" ht="12" customHeight="1">
      <c r="B14713" s="324"/>
      <c r="C14713" s="325"/>
      <c r="D14713" s="326"/>
      <c r="E14713" s="326"/>
      <c r="F14713" s="326"/>
      <c r="G14713" s="326"/>
      <c r="H14713" s="326"/>
      <c r="P14713" s="318"/>
      <c r="Q14713" s="318"/>
      <c r="R14713" s="318"/>
      <c r="S14713" s="318"/>
      <c r="T14713" s="318"/>
      <c r="U14713" s="318"/>
      <c r="V14713" s="318"/>
      <c r="W14713" s="318"/>
      <c r="X14713" s="318"/>
      <c r="Y14713" s="318"/>
      <c r="Z14713" s="318"/>
      <c r="AA14713" s="318"/>
      <c r="AB14713" s="318"/>
      <c r="AC14713" s="318"/>
      <c r="AD14713" s="318"/>
    </row>
    <row r="14714" spans="2:30" s="323" customFormat="1" ht="12" customHeight="1">
      <c r="B14714" s="324"/>
      <c r="C14714" s="325"/>
      <c r="D14714" s="326"/>
      <c r="E14714" s="326"/>
      <c r="F14714" s="326"/>
      <c r="G14714" s="326"/>
      <c r="H14714" s="326"/>
      <c r="P14714" s="318"/>
      <c r="Q14714" s="318"/>
      <c r="R14714" s="318"/>
      <c r="S14714" s="318"/>
      <c r="T14714" s="318"/>
      <c r="U14714" s="318"/>
      <c r="V14714" s="318"/>
      <c r="W14714" s="318"/>
      <c r="X14714" s="318"/>
      <c r="Y14714" s="318"/>
      <c r="Z14714" s="318"/>
      <c r="AA14714" s="318"/>
      <c r="AB14714" s="318"/>
      <c r="AC14714" s="318"/>
      <c r="AD14714" s="318"/>
    </row>
    <row r="14715" spans="2:30" s="323" customFormat="1" ht="12" customHeight="1">
      <c r="B14715" s="324"/>
      <c r="C14715" s="325"/>
      <c r="D14715" s="326"/>
      <c r="E14715" s="326"/>
      <c r="F14715" s="326"/>
      <c r="G14715" s="326"/>
      <c r="H14715" s="326"/>
      <c r="P14715" s="318"/>
      <c r="Q14715" s="318"/>
      <c r="R14715" s="318"/>
      <c r="S14715" s="318"/>
      <c r="T14715" s="318"/>
      <c r="U14715" s="318"/>
      <c r="V14715" s="318"/>
      <c r="W14715" s="318"/>
      <c r="X14715" s="318"/>
      <c r="Y14715" s="318"/>
      <c r="Z14715" s="318"/>
      <c r="AA14715" s="318"/>
      <c r="AB14715" s="318"/>
      <c r="AC14715" s="318"/>
      <c r="AD14715" s="318"/>
    </row>
    <row r="14716" spans="2:30" s="323" customFormat="1" ht="12" customHeight="1">
      <c r="B14716" s="324"/>
      <c r="C14716" s="325"/>
      <c r="D14716" s="326"/>
      <c r="E14716" s="326"/>
      <c r="F14716" s="326"/>
      <c r="G14716" s="326"/>
      <c r="H14716" s="326"/>
      <c r="P14716" s="318"/>
      <c r="Q14716" s="318"/>
      <c r="R14716" s="318"/>
      <c r="S14716" s="318"/>
      <c r="T14716" s="318"/>
      <c r="U14716" s="318"/>
      <c r="V14716" s="318"/>
      <c r="W14716" s="318"/>
      <c r="X14716" s="318"/>
      <c r="Y14716" s="318"/>
      <c r="Z14716" s="318"/>
      <c r="AA14716" s="318"/>
      <c r="AB14716" s="318"/>
      <c r="AC14716" s="318"/>
      <c r="AD14716" s="318"/>
    </row>
    <row r="14717" spans="2:30" s="323" customFormat="1" ht="12" customHeight="1">
      <c r="B14717" s="324"/>
      <c r="C14717" s="325"/>
      <c r="D14717" s="326"/>
      <c r="E14717" s="326"/>
      <c r="F14717" s="326"/>
      <c r="G14717" s="326"/>
      <c r="H14717" s="326"/>
      <c r="P14717" s="318"/>
      <c r="Q14717" s="318"/>
      <c r="R14717" s="318"/>
      <c r="S14717" s="318"/>
      <c r="T14717" s="318"/>
      <c r="U14717" s="318"/>
      <c r="V14717" s="318"/>
      <c r="W14717" s="318"/>
      <c r="X14717" s="318"/>
      <c r="Y14717" s="318"/>
      <c r="Z14717" s="318"/>
      <c r="AA14717" s="318"/>
      <c r="AB14717" s="318"/>
      <c r="AC14717" s="318"/>
      <c r="AD14717" s="318"/>
    </row>
    <row r="14718" spans="2:30" s="323" customFormat="1" ht="12" customHeight="1">
      <c r="B14718" s="324"/>
      <c r="C14718" s="325"/>
      <c r="D14718" s="326"/>
      <c r="E14718" s="326"/>
      <c r="F14718" s="326"/>
      <c r="G14718" s="326"/>
      <c r="H14718" s="326"/>
      <c r="P14718" s="318"/>
      <c r="Q14718" s="318"/>
      <c r="R14718" s="318"/>
      <c r="S14718" s="318"/>
      <c r="T14718" s="318"/>
      <c r="U14718" s="318"/>
      <c r="V14718" s="318"/>
      <c r="W14718" s="318"/>
      <c r="X14718" s="318"/>
      <c r="Y14718" s="318"/>
      <c r="Z14718" s="318"/>
      <c r="AA14718" s="318"/>
      <c r="AB14718" s="318"/>
      <c r="AC14718" s="318"/>
      <c r="AD14718" s="318"/>
    </row>
    <row r="14719" spans="2:30" s="323" customFormat="1" ht="12" customHeight="1">
      <c r="B14719" s="324"/>
      <c r="C14719" s="325"/>
      <c r="D14719" s="326"/>
      <c r="E14719" s="326"/>
      <c r="F14719" s="326"/>
      <c r="G14719" s="326"/>
      <c r="H14719" s="326"/>
      <c r="P14719" s="318"/>
      <c r="Q14719" s="318"/>
      <c r="R14719" s="318"/>
      <c r="S14719" s="318"/>
      <c r="T14719" s="318"/>
      <c r="U14719" s="318"/>
      <c r="V14719" s="318"/>
      <c r="W14719" s="318"/>
      <c r="X14719" s="318"/>
      <c r="Y14719" s="318"/>
      <c r="Z14719" s="318"/>
      <c r="AA14719" s="318"/>
      <c r="AB14719" s="318"/>
      <c r="AC14719" s="318"/>
      <c r="AD14719" s="318"/>
    </row>
    <row r="14720" spans="2:30" s="323" customFormat="1" ht="12" customHeight="1">
      <c r="B14720" s="324"/>
      <c r="C14720" s="325"/>
      <c r="D14720" s="326"/>
      <c r="E14720" s="326"/>
      <c r="F14720" s="326"/>
      <c r="G14720" s="326"/>
      <c r="H14720" s="326"/>
      <c r="P14720" s="318"/>
      <c r="Q14720" s="318"/>
      <c r="R14720" s="318"/>
      <c r="S14720" s="318"/>
      <c r="T14720" s="318"/>
      <c r="U14720" s="318"/>
      <c r="V14720" s="318"/>
      <c r="W14720" s="318"/>
      <c r="X14720" s="318"/>
      <c r="Y14720" s="318"/>
      <c r="Z14720" s="318"/>
      <c r="AA14720" s="318"/>
      <c r="AB14720" s="318"/>
      <c r="AC14720" s="318"/>
      <c r="AD14720" s="318"/>
    </row>
    <row r="14721" spans="2:30" s="323" customFormat="1" ht="12" customHeight="1">
      <c r="B14721" s="324"/>
      <c r="C14721" s="325"/>
      <c r="D14721" s="326"/>
      <c r="E14721" s="326"/>
      <c r="F14721" s="326"/>
      <c r="G14721" s="326"/>
      <c r="H14721" s="326"/>
      <c r="P14721" s="318"/>
      <c r="Q14721" s="318"/>
      <c r="R14721" s="318"/>
      <c r="S14721" s="318"/>
      <c r="T14721" s="318"/>
      <c r="U14721" s="318"/>
      <c r="V14721" s="318"/>
      <c r="W14721" s="318"/>
      <c r="X14721" s="318"/>
      <c r="Y14721" s="318"/>
      <c r="Z14721" s="318"/>
      <c r="AA14721" s="318"/>
      <c r="AB14721" s="318"/>
      <c r="AC14721" s="318"/>
      <c r="AD14721" s="318"/>
    </row>
    <row r="14722" spans="2:30" s="323" customFormat="1" ht="12" customHeight="1">
      <c r="B14722" s="324"/>
      <c r="C14722" s="325"/>
      <c r="D14722" s="326"/>
      <c r="E14722" s="326"/>
      <c r="F14722" s="326"/>
      <c r="G14722" s="326"/>
      <c r="H14722" s="326"/>
      <c r="P14722" s="318"/>
      <c r="Q14722" s="318"/>
      <c r="R14722" s="318"/>
      <c r="S14722" s="318"/>
      <c r="T14722" s="318"/>
      <c r="U14722" s="318"/>
      <c r="V14722" s="318"/>
      <c r="W14722" s="318"/>
      <c r="X14722" s="318"/>
      <c r="Y14722" s="318"/>
      <c r="Z14722" s="318"/>
      <c r="AA14722" s="318"/>
      <c r="AB14722" s="318"/>
      <c r="AC14722" s="318"/>
      <c r="AD14722" s="318"/>
    </row>
    <row r="14723" spans="2:30" s="323" customFormat="1" ht="12" customHeight="1">
      <c r="B14723" s="324"/>
      <c r="C14723" s="325"/>
      <c r="D14723" s="326"/>
      <c r="E14723" s="326"/>
      <c r="F14723" s="326"/>
      <c r="G14723" s="326"/>
      <c r="H14723" s="326"/>
      <c r="P14723" s="318"/>
      <c r="Q14723" s="318"/>
      <c r="R14723" s="318"/>
      <c r="S14723" s="318"/>
      <c r="T14723" s="318"/>
      <c r="U14723" s="318"/>
      <c r="V14723" s="318"/>
      <c r="W14723" s="318"/>
      <c r="X14723" s="318"/>
      <c r="Y14723" s="318"/>
      <c r="Z14723" s="318"/>
      <c r="AA14723" s="318"/>
      <c r="AB14723" s="318"/>
      <c r="AC14723" s="318"/>
      <c r="AD14723" s="318"/>
    </row>
    <row r="14724" spans="2:30" s="323" customFormat="1" ht="12" customHeight="1">
      <c r="B14724" s="324"/>
      <c r="C14724" s="325"/>
      <c r="D14724" s="326"/>
      <c r="E14724" s="326"/>
      <c r="F14724" s="326"/>
      <c r="G14724" s="326"/>
      <c r="H14724" s="326"/>
      <c r="P14724" s="318"/>
      <c r="Q14724" s="318"/>
      <c r="R14724" s="318"/>
      <c r="S14724" s="318"/>
      <c r="T14724" s="318"/>
      <c r="U14724" s="318"/>
      <c r="V14724" s="318"/>
      <c r="W14724" s="318"/>
      <c r="X14724" s="318"/>
      <c r="Y14724" s="318"/>
      <c r="Z14724" s="318"/>
      <c r="AA14724" s="318"/>
      <c r="AB14724" s="318"/>
      <c r="AC14724" s="318"/>
      <c r="AD14724" s="318"/>
    </row>
    <row r="14725" spans="2:30" s="323" customFormat="1" ht="12" customHeight="1">
      <c r="B14725" s="324"/>
      <c r="C14725" s="325"/>
      <c r="D14725" s="326"/>
      <c r="E14725" s="326"/>
      <c r="F14725" s="326"/>
      <c r="G14725" s="326"/>
      <c r="H14725" s="326"/>
      <c r="P14725" s="318"/>
      <c r="Q14725" s="318"/>
      <c r="R14725" s="318"/>
      <c r="S14725" s="318"/>
      <c r="T14725" s="318"/>
      <c r="U14725" s="318"/>
      <c r="V14725" s="318"/>
      <c r="W14725" s="318"/>
      <c r="X14725" s="318"/>
      <c r="Y14725" s="318"/>
      <c r="Z14725" s="318"/>
      <c r="AA14725" s="318"/>
      <c r="AB14725" s="318"/>
      <c r="AC14725" s="318"/>
      <c r="AD14725" s="318"/>
    </row>
    <row r="14726" spans="2:30" s="323" customFormat="1" ht="12" customHeight="1">
      <c r="B14726" s="324"/>
      <c r="C14726" s="325"/>
      <c r="D14726" s="326"/>
      <c r="E14726" s="326"/>
      <c r="F14726" s="326"/>
      <c r="G14726" s="326"/>
      <c r="H14726" s="326"/>
      <c r="P14726" s="318"/>
      <c r="Q14726" s="318"/>
      <c r="R14726" s="318"/>
      <c r="S14726" s="318"/>
      <c r="T14726" s="318"/>
      <c r="U14726" s="318"/>
      <c r="V14726" s="318"/>
      <c r="W14726" s="318"/>
      <c r="X14726" s="318"/>
      <c r="Y14726" s="318"/>
      <c r="Z14726" s="318"/>
      <c r="AA14726" s="318"/>
      <c r="AB14726" s="318"/>
      <c r="AC14726" s="318"/>
      <c r="AD14726" s="318"/>
    </row>
    <row r="14727" spans="2:30" s="323" customFormat="1" ht="12" customHeight="1">
      <c r="B14727" s="324"/>
      <c r="C14727" s="325"/>
      <c r="D14727" s="326"/>
      <c r="E14727" s="326"/>
      <c r="F14727" s="326"/>
      <c r="G14727" s="326"/>
      <c r="H14727" s="326"/>
      <c r="P14727" s="318"/>
      <c r="Q14727" s="318"/>
      <c r="R14727" s="318"/>
      <c r="S14727" s="318"/>
      <c r="T14727" s="318"/>
      <c r="U14727" s="318"/>
      <c r="V14727" s="318"/>
      <c r="W14727" s="318"/>
      <c r="X14727" s="318"/>
      <c r="Y14727" s="318"/>
      <c r="Z14727" s="318"/>
      <c r="AA14727" s="318"/>
      <c r="AB14727" s="318"/>
      <c r="AC14727" s="318"/>
      <c r="AD14727" s="318"/>
    </row>
    <row r="14728" spans="2:30" s="323" customFormat="1" ht="12" customHeight="1">
      <c r="B14728" s="324"/>
      <c r="C14728" s="325"/>
      <c r="D14728" s="326"/>
      <c r="E14728" s="326"/>
      <c r="F14728" s="326"/>
      <c r="G14728" s="326"/>
      <c r="H14728" s="326"/>
      <c r="P14728" s="318"/>
      <c r="Q14728" s="318"/>
      <c r="R14728" s="318"/>
      <c r="S14728" s="318"/>
      <c r="T14728" s="318"/>
      <c r="U14728" s="318"/>
      <c r="V14728" s="318"/>
      <c r="W14728" s="318"/>
      <c r="X14728" s="318"/>
      <c r="Y14728" s="318"/>
      <c r="Z14728" s="318"/>
      <c r="AA14728" s="318"/>
      <c r="AB14728" s="318"/>
      <c r="AC14728" s="318"/>
      <c r="AD14728" s="318"/>
    </row>
    <row r="14729" spans="2:30" s="323" customFormat="1" ht="12" customHeight="1">
      <c r="B14729" s="324"/>
      <c r="C14729" s="325"/>
      <c r="D14729" s="326"/>
      <c r="E14729" s="326"/>
      <c r="F14729" s="326"/>
      <c r="G14729" s="326"/>
      <c r="H14729" s="326"/>
      <c r="P14729" s="318"/>
      <c r="Q14729" s="318"/>
      <c r="R14729" s="318"/>
      <c r="S14729" s="318"/>
      <c r="T14729" s="318"/>
      <c r="U14729" s="318"/>
      <c r="V14729" s="318"/>
      <c r="W14729" s="318"/>
      <c r="X14729" s="318"/>
      <c r="Y14729" s="318"/>
      <c r="Z14729" s="318"/>
      <c r="AA14729" s="318"/>
      <c r="AB14729" s="318"/>
      <c r="AC14729" s="318"/>
      <c r="AD14729" s="318"/>
    </row>
    <row r="14730" spans="2:30" s="323" customFormat="1" ht="12" customHeight="1">
      <c r="B14730" s="324"/>
      <c r="C14730" s="325"/>
      <c r="D14730" s="326"/>
      <c r="E14730" s="326"/>
      <c r="F14730" s="326"/>
      <c r="G14730" s="326"/>
      <c r="H14730" s="326"/>
      <c r="P14730" s="318"/>
      <c r="Q14730" s="318"/>
      <c r="R14730" s="318"/>
      <c r="S14730" s="318"/>
      <c r="T14730" s="318"/>
      <c r="U14730" s="318"/>
      <c r="V14730" s="318"/>
      <c r="W14730" s="318"/>
      <c r="X14730" s="318"/>
      <c r="Y14730" s="318"/>
      <c r="Z14730" s="318"/>
      <c r="AA14730" s="318"/>
      <c r="AB14730" s="318"/>
      <c r="AC14730" s="318"/>
      <c r="AD14730" s="318"/>
    </row>
    <row r="14731" spans="2:30" s="323" customFormat="1" ht="12" customHeight="1">
      <c r="B14731" s="324"/>
      <c r="C14731" s="325"/>
      <c r="D14731" s="326"/>
      <c r="E14731" s="326"/>
      <c r="F14731" s="326"/>
      <c r="G14731" s="326"/>
      <c r="H14731" s="326"/>
      <c r="P14731" s="318"/>
      <c r="Q14731" s="318"/>
      <c r="R14731" s="318"/>
      <c r="S14731" s="318"/>
      <c r="T14731" s="318"/>
      <c r="U14731" s="318"/>
      <c r="V14731" s="318"/>
      <c r="W14731" s="318"/>
      <c r="X14731" s="318"/>
      <c r="Y14731" s="318"/>
      <c r="Z14731" s="318"/>
      <c r="AA14731" s="318"/>
      <c r="AB14731" s="318"/>
      <c r="AC14731" s="318"/>
      <c r="AD14731" s="318"/>
    </row>
    <row r="14732" spans="2:30" s="323" customFormat="1" ht="12" customHeight="1">
      <c r="B14732" s="324"/>
      <c r="C14732" s="325"/>
      <c r="D14732" s="326"/>
      <c r="E14732" s="326"/>
      <c r="F14732" s="326"/>
      <c r="G14732" s="326"/>
      <c r="H14732" s="326"/>
      <c r="P14732" s="318"/>
      <c r="Q14732" s="318"/>
      <c r="R14732" s="318"/>
      <c r="S14732" s="318"/>
      <c r="T14732" s="318"/>
      <c r="U14732" s="318"/>
      <c r="V14732" s="318"/>
      <c r="W14732" s="318"/>
      <c r="X14732" s="318"/>
      <c r="Y14732" s="318"/>
      <c r="Z14732" s="318"/>
      <c r="AA14732" s="318"/>
      <c r="AB14732" s="318"/>
      <c r="AC14732" s="318"/>
      <c r="AD14732" s="318"/>
    </row>
    <row r="14733" spans="2:30" s="323" customFormat="1" ht="12" customHeight="1">
      <c r="B14733" s="324"/>
      <c r="C14733" s="325"/>
      <c r="D14733" s="326"/>
      <c r="E14733" s="326"/>
      <c r="F14733" s="326"/>
      <c r="G14733" s="326"/>
      <c r="H14733" s="326"/>
      <c r="P14733" s="318"/>
      <c r="Q14733" s="318"/>
      <c r="R14733" s="318"/>
      <c r="S14733" s="318"/>
      <c r="T14733" s="318"/>
      <c r="U14733" s="318"/>
      <c r="V14733" s="318"/>
      <c r="W14733" s="318"/>
      <c r="X14733" s="318"/>
      <c r="Y14733" s="318"/>
      <c r="Z14733" s="318"/>
      <c r="AA14733" s="318"/>
      <c r="AB14733" s="318"/>
      <c r="AC14733" s="318"/>
      <c r="AD14733" s="318"/>
    </row>
    <row r="14734" spans="2:30" s="323" customFormat="1" ht="12" customHeight="1">
      <c r="B14734" s="324"/>
      <c r="C14734" s="325"/>
      <c r="D14734" s="326"/>
      <c r="E14734" s="326"/>
      <c r="F14734" s="326"/>
      <c r="G14734" s="326"/>
      <c r="H14734" s="326"/>
      <c r="P14734" s="318"/>
      <c r="Q14734" s="318"/>
      <c r="R14734" s="318"/>
      <c r="S14734" s="318"/>
      <c r="T14734" s="318"/>
      <c r="U14734" s="318"/>
      <c r="V14734" s="318"/>
      <c r="W14734" s="318"/>
      <c r="X14734" s="318"/>
      <c r="Y14734" s="318"/>
      <c r="Z14734" s="318"/>
      <c r="AA14734" s="318"/>
      <c r="AB14734" s="318"/>
      <c r="AC14734" s="318"/>
      <c r="AD14734" s="318"/>
    </row>
    <row r="14735" spans="2:30" s="323" customFormat="1" ht="12" customHeight="1">
      <c r="B14735" s="324"/>
      <c r="C14735" s="325"/>
      <c r="D14735" s="326"/>
      <c r="E14735" s="326"/>
      <c r="F14735" s="326"/>
      <c r="G14735" s="326"/>
      <c r="H14735" s="326"/>
      <c r="P14735" s="318"/>
      <c r="Q14735" s="318"/>
      <c r="R14735" s="318"/>
      <c r="S14735" s="318"/>
      <c r="T14735" s="318"/>
      <c r="U14735" s="318"/>
      <c r="V14735" s="318"/>
      <c r="W14735" s="318"/>
      <c r="X14735" s="318"/>
      <c r="Y14735" s="318"/>
      <c r="Z14735" s="318"/>
      <c r="AA14735" s="318"/>
      <c r="AB14735" s="318"/>
      <c r="AC14735" s="318"/>
      <c r="AD14735" s="318"/>
    </row>
    <row r="14736" spans="2:30" s="323" customFormat="1" ht="12" customHeight="1">
      <c r="B14736" s="324"/>
      <c r="C14736" s="325"/>
      <c r="D14736" s="326"/>
      <c r="E14736" s="326"/>
      <c r="F14736" s="326"/>
      <c r="G14736" s="326"/>
      <c r="H14736" s="326"/>
      <c r="P14736" s="318"/>
      <c r="Q14736" s="318"/>
      <c r="R14736" s="318"/>
      <c r="S14736" s="318"/>
      <c r="T14736" s="318"/>
      <c r="U14736" s="318"/>
      <c r="V14736" s="318"/>
      <c r="W14736" s="318"/>
      <c r="X14736" s="318"/>
      <c r="Y14736" s="318"/>
      <c r="Z14736" s="318"/>
      <c r="AA14736" s="318"/>
      <c r="AB14736" s="318"/>
      <c r="AC14736" s="318"/>
      <c r="AD14736" s="318"/>
    </row>
    <row r="14737" spans="2:30" s="323" customFormat="1" ht="12" customHeight="1">
      <c r="B14737" s="324"/>
      <c r="C14737" s="325"/>
      <c r="D14737" s="326"/>
      <c r="E14737" s="326"/>
      <c r="F14737" s="326"/>
      <c r="G14737" s="326"/>
      <c r="H14737" s="326"/>
      <c r="P14737" s="318"/>
      <c r="Q14737" s="318"/>
      <c r="R14737" s="318"/>
      <c r="S14737" s="318"/>
      <c r="T14737" s="318"/>
      <c r="U14737" s="318"/>
      <c r="V14737" s="318"/>
      <c r="W14737" s="318"/>
      <c r="X14737" s="318"/>
      <c r="Y14737" s="318"/>
      <c r="Z14737" s="318"/>
      <c r="AA14737" s="318"/>
      <c r="AB14737" s="318"/>
      <c r="AC14737" s="318"/>
      <c r="AD14737" s="318"/>
    </row>
    <row r="14738" spans="2:30" s="323" customFormat="1" ht="12" customHeight="1">
      <c r="B14738" s="324"/>
      <c r="C14738" s="325"/>
      <c r="D14738" s="326"/>
      <c r="E14738" s="326"/>
      <c r="F14738" s="326"/>
      <c r="G14738" s="326"/>
      <c r="H14738" s="326"/>
      <c r="P14738" s="318"/>
      <c r="Q14738" s="318"/>
      <c r="R14738" s="318"/>
      <c r="S14738" s="318"/>
      <c r="T14738" s="318"/>
      <c r="U14738" s="318"/>
      <c r="V14738" s="318"/>
      <c r="W14738" s="318"/>
      <c r="X14738" s="318"/>
      <c r="Y14738" s="318"/>
      <c r="Z14738" s="318"/>
      <c r="AA14738" s="318"/>
      <c r="AB14738" s="318"/>
      <c r="AC14738" s="318"/>
      <c r="AD14738" s="318"/>
    </row>
    <row r="14739" spans="2:30" s="323" customFormat="1" ht="12" customHeight="1">
      <c r="B14739" s="324"/>
      <c r="C14739" s="325"/>
      <c r="D14739" s="326"/>
      <c r="E14739" s="326"/>
      <c r="F14739" s="326"/>
      <c r="G14739" s="326"/>
      <c r="H14739" s="326"/>
      <c r="P14739" s="318"/>
      <c r="Q14739" s="318"/>
      <c r="R14739" s="318"/>
      <c r="S14739" s="318"/>
      <c r="T14739" s="318"/>
      <c r="U14739" s="318"/>
      <c r="V14739" s="318"/>
      <c r="W14739" s="318"/>
      <c r="X14739" s="318"/>
      <c r="Y14739" s="318"/>
      <c r="Z14739" s="318"/>
      <c r="AA14739" s="318"/>
      <c r="AB14739" s="318"/>
      <c r="AC14739" s="318"/>
      <c r="AD14739" s="318"/>
    </row>
    <row r="14740" spans="2:30" s="323" customFormat="1" ht="12" customHeight="1">
      <c r="B14740" s="324"/>
      <c r="C14740" s="325"/>
      <c r="D14740" s="326"/>
      <c r="E14740" s="326"/>
      <c r="F14740" s="326"/>
      <c r="G14740" s="326"/>
      <c r="H14740" s="326"/>
      <c r="P14740" s="318"/>
      <c r="Q14740" s="318"/>
      <c r="R14740" s="318"/>
      <c r="S14740" s="318"/>
      <c r="T14740" s="318"/>
      <c r="U14740" s="318"/>
      <c r="V14740" s="318"/>
      <c r="W14740" s="318"/>
      <c r="X14740" s="318"/>
      <c r="Y14740" s="318"/>
      <c r="Z14740" s="318"/>
      <c r="AA14740" s="318"/>
      <c r="AB14740" s="318"/>
      <c r="AC14740" s="318"/>
      <c r="AD14740" s="318"/>
    </row>
    <row r="14741" spans="2:30" s="323" customFormat="1" ht="12" customHeight="1">
      <c r="B14741" s="324"/>
      <c r="C14741" s="325"/>
      <c r="D14741" s="326"/>
      <c r="E14741" s="326"/>
      <c r="F14741" s="326"/>
      <c r="G14741" s="326"/>
      <c r="H14741" s="326"/>
      <c r="P14741" s="318"/>
      <c r="Q14741" s="318"/>
      <c r="R14741" s="318"/>
      <c r="S14741" s="318"/>
      <c r="T14741" s="318"/>
      <c r="U14741" s="318"/>
      <c r="V14741" s="318"/>
      <c r="W14741" s="318"/>
      <c r="X14741" s="318"/>
      <c r="Y14741" s="318"/>
      <c r="Z14741" s="318"/>
      <c r="AA14741" s="318"/>
      <c r="AB14741" s="318"/>
      <c r="AC14741" s="318"/>
      <c r="AD14741" s="318"/>
    </row>
    <row r="14742" spans="2:30" s="323" customFormat="1" ht="12" customHeight="1">
      <c r="B14742" s="324"/>
      <c r="C14742" s="325"/>
      <c r="D14742" s="326"/>
      <c r="E14742" s="326"/>
      <c r="F14742" s="326"/>
      <c r="G14742" s="326"/>
      <c r="H14742" s="326"/>
      <c r="P14742" s="318"/>
      <c r="Q14742" s="318"/>
      <c r="R14742" s="318"/>
      <c r="S14742" s="318"/>
      <c r="T14742" s="318"/>
      <c r="U14742" s="318"/>
      <c r="V14742" s="318"/>
      <c r="W14742" s="318"/>
      <c r="X14742" s="318"/>
      <c r="Y14742" s="318"/>
      <c r="Z14742" s="318"/>
      <c r="AA14742" s="318"/>
      <c r="AB14742" s="318"/>
      <c r="AC14742" s="318"/>
      <c r="AD14742" s="318"/>
    </row>
    <row r="14743" spans="2:30" s="323" customFormat="1" ht="12" customHeight="1">
      <c r="B14743" s="324"/>
      <c r="C14743" s="325"/>
      <c r="D14743" s="326"/>
      <c r="E14743" s="326"/>
      <c r="F14743" s="326"/>
      <c r="G14743" s="326"/>
      <c r="H14743" s="326"/>
      <c r="P14743" s="318"/>
      <c r="Q14743" s="318"/>
      <c r="R14743" s="318"/>
      <c r="S14743" s="318"/>
      <c r="T14743" s="318"/>
      <c r="U14743" s="318"/>
      <c r="V14743" s="318"/>
      <c r="W14743" s="318"/>
      <c r="X14743" s="318"/>
      <c r="Y14743" s="318"/>
      <c r="Z14743" s="318"/>
      <c r="AA14743" s="318"/>
      <c r="AB14743" s="318"/>
      <c r="AC14743" s="318"/>
      <c r="AD14743" s="318"/>
    </row>
    <row r="14744" spans="2:30" s="323" customFormat="1" ht="12" customHeight="1">
      <c r="B14744" s="324"/>
      <c r="C14744" s="325"/>
      <c r="D14744" s="326"/>
      <c r="E14744" s="326"/>
      <c r="F14744" s="326"/>
      <c r="G14744" s="326"/>
      <c r="H14744" s="326"/>
      <c r="P14744" s="318"/>
      <c r="Q14744" s="318"/>
      <c r="R14744" s="318"/>
      <c r="S14744" s="318"/>
      <c r="T14744" s="318"/>
      <c r="U14744" s="318"/>
      <c r="V14744" s="318"/>
      <c r="W14744" s="318"/>
      <c r="X14744" s="318"/>
      <c r="Y14744" s="318"/>
      <c r="Z14744" s="318"/>
      <c r="AA14744" s="318"/>
      <c r="AB14744" s="318"/>
      <c r="AC14744" s="318"/>
      <c r="AD14744" s="318"/>
    </row>
    <row r="14745" spans="2:30" s="323" customFormat="1" ht="12" customHeight="1">
      <c r="B14745" s="324"/>
      <c r="C14745" s="325"/>
      <c r="D14745" s="326"/>
      <c r="E14745" s="326"/>
      <c r="F14745" s="326"/>
      <c r="G14745" s="326"/>
      <c r="H14745" s="326"/>
      <c r="P14745" s="318"/>
      <c r="Q14745" s="318"/>
      <c r="R14745" s="318"/>
      <c r="S14745" s="318"/>
      <c r="T14745" s="318"/>
      <c r="U14745" s="318"/>
      <c r="V14745" s="318"/>
      <c r="W14745" s="318"/>
      <c r="X14745" s="318"/>
      <c r="Y14745" s="318"/>
      <c r="Z14745" s="318"/>
      <c r="AA14745" s="318"/>
      <c r="AB14745" s="318"/>
      <c r="AC14745" s="318"/>
      <c r="AD14745" s="318"/>
    </row>
    <row r="14746" spans="2:30" s="323" customFormat="1" ht="12" customHeight="1">
      <c r="B14746" s="324"/>
      <c r="C14746" s="325"/>
      <c r="D14746" s="326"/>
      <c r="E14746" s="326"/>
      <c r="F14746" s="326"/>
      <c r="G14746" s="326"/>
      <c r="H14746" s="326"/>
      <c r="P14746" s="318"/>
      <c r="Q14746" s="318"/>
      <c r="R14746" s="318"/>
      <c r="S14746" s="318"/>
      <c r="T14746" s="318"/>
      <c r="U14746" s="318"/>
      <c r="V14746" s="318"/>
      <c r="W14746" s="318"/>
      <c r="X14746" s="318"/>
      <c r="Y14746" s="318"/>
      <c r="Z14746" s="318"/>
      <c r="AA14746" s="318"/>
      <c r="AB14746" s="318"/>
      <c r="AC14746" s="318"/>
      <c r="AD14746" s="318"/>
    </row>
    <row r="14747" spans="2:30" s="323" customFormat="1" ht="12" customHeight="1">
      <c r="B14747" s="324"/>
      <c r="C14747" s="325"/>
      <c r="D14747" s="326"/>
      <c r="E14747" s="326"/>
      <c r="F14747" s="326"/>
      <c r="G14747" s="326"/>
      <c r="H14747" s="326"/>
      <c r="P14747" s="318"/>
      <c r="Q14747" s="318"/>
      <c r="R14747" s="318"/>
      <c r="S14747" s="318"/>
      <c r="T14747" s="318"/>
      <c r="U14747" s="318"/>
      <c r="V14747" s="318"/>
      <c r="W14747" s="318"/>
      <c r="X14747" s="318"/>
      <c r="Y14747" s="318"/>
      <c r="Z14747" s="318"/>
      <c r="AA14747" s="318"/>
      <c r="AB14747" s="318"/>
      <c r="AC14747" s="318"/>
      <c r="AD14747" s="318"/>
    </row>
    <row r="14748" spans="2:30" s="323" customFormat="1" ht="12" customHeight="1">
      <c r="B14748" s="324"/>
      <c r="C14748" s="325"/>
      <c r="D14748" s="326"/>
      <c r="E14748" s="326"/>
      <c r="F14748" s="326"/>
      <c r="G14748" s="326"/>
      <c r="H14748" s="326"/>
      <c r="P14748" s="318"/>
      <c r="Q14748" s="318"/>
      <c r="R14748" s="318"/>
      <c r="S14748" s="318"/>
      <c r="T14748" s="318"/>
      <c r="U14748" s="318"/>
      <c r="V14748" s="318"/>
      <c r="W14748" s="318"/>
      <c r="X14748" s="318"/>
      <c r="Y14748" s="318"/>
      <c r="Z14748" s="318"/>
      <c r="AA14748" s="318"/>
      <c r="AB14748" s="318"/>
      <c r="AC14748" s="318"/>
      <c r="AD14748" s="318"/>
    </row>
    <row r="14749" spans="2:30" s="323" customFormat="1" ht="12" customHeight="1">
      <c r="B14749" s="324"/>
      <c r="C14749" s="325"/>
      <c r="D14749" s="326"/>
      <c r="E14749" s="326"/>
      <c r="F14749" s="326"/>
      <c r="G14749" s="326"/>
      <c r="H14749" s="326"/>
      <c r="P14749" s="318"/>
      <c r="Q14749" s="318"/>
      <c r="R14749" s="318"/>
      <c r="S14749" s="318"/>
      <c r="T14749" s="318"/>
      <c r="U14749" s="318"/>
      <c r="V14749" s="318"/>
      <c r="W14749" s="318"/>
      <c r="X14749" s="318"/>
      <c r="Y14749" s="318"/>
      <c r="Z14749" s="318"/>
      <c r="AA14749" s="318"/>
      <c r="AB14749" s="318"/>
      <c r="AC14749" s="318"/>
      <c r="AD14749" s="318"/>
    </row>
    <row r="14750" spans="2:30" s="323" customFormat="1" ht="12" customHeight="1">
      <c r="B14750" s="324"/>
      <c r="C14750" s="325"/>
      <c r="D14750" s="326"/>
      <c r="E14750" s="326"/>
      <c r="F14750" s="326"/>
      <c r="G14750" s="326"/>
      <c r="H14750" s="326"/>
      <c r="P14750" s="318"/>
      <c r="Q14750" s="318"/>
      <c r="R14750" s="318"/>
      <c r="S14750" s="318"/>
      <c r="T14750" s="318"/>
      <c r="U14750" s="318"/>
      <c r="V14750" s="318"/>
      <c r="W14750" s="318"/>
      <c r="X14750" s="318"/>
      <c r="Y14750" s="318"/>
      <c r="Z14750" s="318"/>
      <c r="AA14750" s="318"/>
      <c r="AB14750" s="318"/>
      <c r="AC14750" s="318"/>
      <c r="AD14750" s="318"/>
    </row>
    <row r="14751" spans="2:30" s="323" customFormat="1" ht="12" customHeight="1">
      <c r="B14751" s="324"/>
      <c r="C14751" s="325"/>
      <c r="D14751" s="326"/>
      <c r="E14751" s="326"/>
      <c r="F14751" s="326"/>
      <c r="G14751" s="326"/>
      <c r="H14751" s="326"/>
      <c r="P14751" s="318"/>
      <c r="Q14751" s="318"/>
      <c r="R14751" s="318"/>
      <c r="S14751" s="318"/>
      <c r="T14751" s="318"/>
      <c r="U14751" s="318"/>
      <c r="V14751" s="318"/>
      <c r="W14751" s="318"/>
      <c r="X14751" s="318"/>
      <c r="Y14751" s="318"/>
      <c r="Z14751" s="318"/>
      <c r="AA14751" s="318"/>
      <c r="AB14751" s="318"/>
      <c r="AC14751" s="318"/>
      <c r="AD14751" s="318"/>
    </row>
    <row r="14752" spans="2:30" s="323" customFormat="1" ht="12" customHeight="1">
      <c r="B14752" s="324"/>
      <c r="C14752" s="325"/>
      <c r="D14752" s="326"/>
      <c r="E14752" s="326"/>
      <c r="F14752" s="326"/>
      <c r="G14752" s="326"/>
      <c r="H14752" s="326"/>
      <c r="P14752" s="318"/>
      <c r="Q14752" s="318"/>
      <c r="R14752" s="318"/>
      <c r="S14752" s="318"/>
      <c r="T14752" s="318"/>
      <c r="U14752" s="318"/>
      <c r="V14752" s="318"/>
      <c r="W14752" s="318"/>
      <c r="X14752" s="318"/>
      <c r="Y14752" s="318"/>
      <c r="Z14752" s="318"/>
      <c r="AA14752" s="318"/>
      <c r="AB14752" s="318"/>
      <c r="AC14752" s="318"/>
      <c r="AD14752" s="318"/>
    </row>
    <row r="14753" spans="2:30" s="323" customFormat="1" ht="12" customHeight="1">
      <c r="B14753" s="324"/>
      <c r="C14753" s="325"/>
      <c r="D14753" s="326"/>
      <c r="E14753" s="326"/>
      <c r="F14753" s="326"/>
      <c r="G14753" s="326"/>
      <c r="H14753" s="326"/>
      <c r="P14753" s="318"/>
      <c r="Q14753" s="318"/>
      <c r="R14753" s="318"/>
      <c r="S14753" s="318"/>
      <c r="T14753" s="318"/>
      <c r="U14753" s="318"/>
      <c r="V14753" s="318"/>
      <c r="W14753" s="318"/>
      <c r="X14753" s="318"/>
      <c r="Y14753" s="318"/>
      <c r="Z14753" s="318"/>
      <c r="AA14753" s="318"/>
      <c r="AB14753" s="318"/>
      <c r="AC14753" s="318"/>
      <c r="AD14753" s="318"/>
    </row>
    <row r="14754" spans="2:30" s="323" customFormat="1" ht="12" customHeight="1">
      <c r="B14754" s="324"/>
      <c r="C14754" s="325"/>
      <c r="D14754" s="326"/>
      <c r="E14754" s="326"/>
      <c r="F14754" s="326"/>
      <c r="G14754" s="326"/>
      <c r="H14754" s="326"/>
      <c r="P14754" s="318"/>
      <c r="Q14754" s="318"/>
      <c r="R14754" s="318"/>
      <c r="S14754" s="318"/>
      <c r="T14754" s="318"/>
      <c r="U14754" s="318"/>
      <c r="V14754" s="318"/>
      <c r="W14754" s="318"/>
      <c r="X14754" s="318"/>
      <c r="Y14754" s="318"/>
      <c r="Z14754" s="318"/>
      <c r="AA14754" s="318"/>
      <c r="AB14754" s="318"/>
      <c r="AC14754" s="318"/>
      <c r="AD14754" s="318"/>
    </row>
    <row r="14755" spans="2:30" s="323" customFormat="1" ht="12" customHeight="1">
      <c r="B14755" s="324"/>
      <c r="C14755" s="325"/>
      <c r="D14755" s="326"/>
      <c r="E14755" s="326"/>
      <c r="F14755" s="326"/>
      <c r="G14755" s="326"/>
      <c r="H14755" s="326"/>
      <c r="P14755" s="318"/>
      <c r="Q14755" s="318"/>
      <c r="R14755" s="318"/>
      <c r="S14755" s="318"/>
      <c r="T14755" s="318"/>
      <c r="U14755" s="318"/>
      <c r="V14755" s="318"/>
      <c r="W14755" s="318"/>
      <c r="X14755" s="318"/>
      <c r="Y14755" s="318"/>
      <c r="Z14755" s="318"/>
      <c r="AA14755" s="318"/>
      <c r="AB14755" s="318"/>
      <c r="AC14755" s="318"/>
      <c r="AD14755" s="318"/>
    </row>
    <row r="14756" spans="2:30" s="323" customFormat="1" ht="12" customHeight="1">
      <c r="B14756" s="324"/>
      <c r="C14756" s="325"/>
      <c r="D14756" s="326"/>
      <c r="E14756" s="326"/>
      <c r="F14756" s="326"/>
      <c r="G14756" s="326"/>
      <c r="H14756" s="326"/>
      <c r="P14756" s="318"/>
      <c r="Q14756" s="318"/>
      <c r="R14756" s="318"/>
      <c r="S14756" s="318"/>
      <c r="T14756" s="318"/>
      <c r="U14756" s="318"/>
      <c r="V14756" s="318"/>
      <c r="W14756" s="318"/>
      <c r="X14756" s="318"/>
      <c r="Y14756" s="318"/>
      <c r="Z14756" s="318"/>
      <c r="AA14756" s="318"/>
      <c r="AB14756" s="318"/>
      <c r="AC14756" s="318"/>
      <c r="AD14756" s="318"/>
    </row>
    <row r="14757" spans="2:30" s="323" customFormat="1" ht="12" customHeight="1">
      <c r="B14757" s="324"/>
      <c r="C14757" s="325"/>
      <c r="D14757" s="326"/>
      <c r="E14757" s="326"/>
      <c r="F14757" s="326"/>
      <c r="G14757" s="326"/>
      <c r="H14757" s="326"/>
      <c r="P14757" s="318"/>
      <c r="Q14757" s="318"/>
      <c r="R14757" s="318"/>
      <c r="S14757" s="318"/>
      <c r="T14757" s="318"/>
      <c r="U14757" s="318"/>
      <c r="V14757" s="318"/>
      <c r="W14757" s="318"/>
      <c r="X14757" s="318"/>
      <c r="Y14757" s="318"/>
      <c r="Z14757" s="318"/>
      <c r="AA14757" s="318"/>
      <c r="AB14757" s="318"/>
      <c r="AC14757" s="318"/>
      <c r="AD14757" s="318"/>
    </row>
    <row r="14758" spans="2:30" s="323" customFormat="1" ht="12" customHeight="1">
      <c r="B14758" s="324"/>
      <c r="C14758" s="325"/>
      <c r="D14758" s="326"/>
      <c r="E14758" s="326"/>
      <c r="F14758" s="326"/>
      <c r="G14758" s="326"/>
      <c r="H14758" s="326"/>
      <c r="P14758" s="318"/>
      <c r="Q14758" s="318"/>
      <c r="R14758" s="318"/>
      <c r="S14758" s="318"/>
      <c r="T14758" s="318"/>
      <c r="U14758" s="318"/>
      <c r="V14758" s="318"/>
      <c r="W14758" s="318"/>
      <c r="X14758" s="318"/>
      <c r="Y14758" s="318"/>
      <c r="Z14758" s="318"/>
      <c r="AA14758" s="318"/>
      <c r="AB14758" s="318"/>
      <c r="AC14758" s="318"/>
      <c r="AD14758" s="318"/>
    </row>
    <row r="14759" spans="2:30" s="323" customFormat="1" ht="12" customHeight="1">
      <c r="B14759" s="324"/>
      <c r="C14759" s="325"/>
      <c r="D14759" s="326"/>
      <c r="E14759" s="326"/>
      <c r="F14759" s="326"/>
      <c r="G14759" s="326"/>
      <c r="H14759" s="326"/>
      <c r="P14759" s="318"/>
      <c r="Q14759" s="318"/>
      <c r="R14759" s="318"/>
      <c r="S14759" s="318"/>
      <c r="T14759" s="318"/>
      <c r="U14759" s="318"/>
      <c r="V14759" s="318"/>
      <c r="W14759" s="318"/>
      <c r="X14759" s="318"/>
      <c r="Y14759" s="318"/>
      <c r="Z14759" s="318"/>
      <c r="AA14759" s="318"/>
      <c r="AB14759" s="318"/>
      <c r="AC14759" s="318"/>
      <c r="AD14759" s="318"/>
    </row>
    <row r="14760" spans="2:30" s="323" customFormat="1" ht="12" customHeight="1">
      <c r="B14760" s="324"/>
      <c r="C14760" s="325"/>
      <c r="D14760" s="326"/>
      <c r="E14760" s="326"/>
      <c r="F14760" s="326"/>
      <c r="G14760" s="326"/>
      <c r="H14760" s="326"/>
      <c r="P14760" s="318"/>
      <c r="Q14760" s="318"/>
      <c r="R14760" s="318"/>
      <c r="S14760" s="318"/>
      <c r="T14760" s="318"/>
      <c r="U14760" s="318"/>
      <c r="V14760" s="318"/>
      <c r="W14760" s="318"/>
      <c r="X14760" s="318"/>
      <c r="Y14760" s="318"/>
      <c r="Z14760" s="318"/>
      <c r="AA14760" s="318"/>
      <c r="AB14760" s="318"/>
      <c r="AC14760" s="318"/>
      <c r="AD14760" s="318"/>
    </row>
    <row r="14761" spans="2:30" s="323" customFormat="1" ht="12" customHeight="1">
      <c r="B14761" s="324"/>
      <c r="C14761" s="325"/>
      <c r="D14761" s="326"/>
      <c r="E14761" s="326"/>
      <c r="F14761" s="326"/>
      <c r="G14761" s="326"/>
      <c r="H14761" s="326"/>
      <c r="P14761" s="318"/>
      <c r="Q14761" s="318"/>
      <c r="R14761" s="318"/>
      <c r="S14761" s="318"/>
      <c r="T14761" s="318"/>
      <c r="U14761" s="318"/>
      <c r="V14761" s="318"/>
      <c r="W14761" s="318"/>
      <c r="X14761" s="318"/>
      <c r="Y14761" s="318"/>
      <c r="Z14761" s="318"/>
      <c r="AA14761" s="318"/>
      <c r="AB14761" s="318"/>
      <c r="AC14761" s="318"/>
      <c r="AD14761" s="318"/>
    </row>
    <row r="14762" spans="2:30" s="323" customFormat="1" ht="12" customHeight="1">
      <c r="B14762" s="324"/>
      <c r="C14762" s="325"/>
      <c r="D14762" s="326"/>
      <c r="E14762" s="326"/>
      <c r="F14762" s="326"/>
      <c r="G14762" s="326"/>
      <c r="H14762" s="326"/>
      <c r="P14762" s="318"/>
      <c r="Q14762" s="318"/>
      <c r="R14762" s="318"/>
      <c r="S14762" s="318"/>
      <c r="T14762" s="318"/>
      <c r="U14762" s="318"/>
      <c r="V14762" s="318"/>
      <c r="W14762" s="318"/>
      <c r="X14762" s="318"/>
      <c r="Y14762" s="318"/>
      <c r="Z14762" s="318"/>
      <c r="AA14762" s="318"/>
      <c r="AB14762" s="318"/>
      <c r="AC14762" s="318"/>
      <c r="AD14762" s="318"/>
    </row>
    <row r="14763" spans="2:30" s="323" customFormat="1" ht="12" customHeight="1">
      <c r="B14763" s="324"/>
      <c r="C14763" s="325"/>
      <c r="D14763" s="326"/>
      <c r="E14763" s="326"/>
      <c r="F14763" s="326"/>
      <c r="G14763" s="326"/>
      <c r="H14763" s="326"/>
      <c r="P14763" s="318"/>
      <c r="Q14763" s="318"/>
      <c r="R14763" s="318"/>
      <c r="S14763" s="318"/>
      <c r="T14763" s="318"/>
      <c r="U14763" s="318"/>
      <c r="V14763" s="318"/>
      <c r="W14763" s="318"/>
      <c r="X14763" s="318"/>
      <c r="Y14763" s="318"/>
      <c r="Z14763" s="318"/>
      <c r="AA14763" s="318"/>
      <c r="AB14763" s="318"/>
      <c r="AC14763" s="318"/>
      <c r="AD14763" s="318"/>
    </row>
    <row r="14764" spans="2:30" s="323" customFormat="1" ht="12" customHeight="1">
      <c r="B14764" s="324"/>
      <c r="C14764" s="325"/>
      <c r="D14764" s="326"/>
      <c r="E14764" s="326"/>
      <c r="F14764" s="326"/>
      <c r="G14764" s="326"/>
      <c r="H14764" s="326"/>
      <c r="P14764" s="318"/>
      <c r="Q14764" s="318"/>
      <c r="R14764" s="318"/>
      <c r="S14764" s="318"/>
      <c r="T14764" s="318"/>
      <c r="U14764" s="318"/>
      <c r="V14764" s="318"/>
      <c r="W14764" s="318"/>
      <c r="X14764" s="318"/>
      <c r="Y14764" s="318"/>
      <c r="Z14764" s="318"/>
      <c r="AA14764" s="318"/>
      <c r="AB14764" s="318"/>
      <c r="AC14764" s="318"/>
      <c r="AD14764" s="318"/>
    </row>
    <row r="14765" spans="2:30" s="323" customFormat="1" ht="12" customHeight="1">
      <c r="B14765" s="324"/>
      <c r="C14765" s="325"/>
      <c r="D14765" s="326"/>
      <c r="E14765" s="326"/>
      <c r="F14765" s="326"/>
      <c r="G14765" s="326"/>
      <c r="H14765" s="326"/>
      <c r="P14765" s="318"/>
      <c r="Q14765" s="318"/>
      <c r="R14765" s="318"/>
      <c r="S14765" s="318"/>
      <c r="T14765" s="318"/>
      <c r="U14765" s="318"/>
      <c r="V14765" s="318"/>
      <c r="W14765" s="318"/>
      <c r="X14765" s="318"/>
      <c r="Y14765" s="318"/>
      <c r="Z14765" s="318"/>
      <c r="AA14765" s="318"/>
      <c r="AB14765" s="318"/>
      <c r="AC14765" s="318"/>
      <c r="AD14765" s="318"/>
    </row>
    <row r="14766" spans="2:30" s="323" customFormat="1" ht="12" customHeight="1">
      <c r="B14766" s="324"/>
      <c r="C14766" s="325"/>
      <c r="D14766" s="326"/>
      <c r="E14766" s="326"/>
      <c r="F14766" s="326"/>
      <c r="G14766" s="326"/>
      <c r="H14766" s="326"/>
      <c r="P14766" s="318"/>
      <c r="Q14766" s="318"/>
      <c r="R14766" s="318"/>
      <c r="S14766" s="318"/>
      <c r="T14766" s="318"/>
      <c r="U14766" s="318"/>
      <c r="V14766" s="318"/>
      <c r="W14766" s="318"/>
      <c r="X14766" s="318"/>
      <c r="Y14766" s="318"/>
      <c r="Z14766" s="318"/>
      <c r="AA14766" s="318"/>
      <c r="AB14766" s="318"/>
      <c r="AC14766" s="318"/>
      <c r="AD14766" s="318"/>
    </row>
    <row r="14767" spans="2:30" s="323" customFormat="1" ht="12" customHeight="1">
      <c r="B14767" s="324"/>
      <c r="C14767" s="325"/>
      <c r="D14767" s="326"/>
      <c r="E14767" s="326"/>
      <c r="F14767" s="326"/>
      <c r="G14767" s="326"/>
      <c r="H14767" s="326"/>
      <c r="P14767" s="318"/>
      <c r="Q14767" s="318"/>
      <c r="R14767" s="318"/>
      <c r="S14767" s="318"/>
      <c r="T14767" s="318"/>
      <c r="U14767" s="318"/>
      <c r="V14767" s="318"/>
      <c r="W14767" s="318"/>
      <c r="X14767" s="318"/>
      <c r="Y14767" s="318"/>
      <c r="Z14767" s="318"/>
      <c r="AA14767" s="318"/>
      <c r="AB14767" s="318"/>
      <c r="AC14767" s="318"/>
      <c r="AD14767" s="318"/>
    </row>
    <row r="14768" spans="2:30" s="323" customFormat="1" ht="12" customHeight="1">
      <c r="B14768" s="324"/>
      <c r="C14768" s="325"/>
      <c r="D14768" s="326"/>
      <c r="E14768" s="326"/>
      <c r="F14768" s="326"/>
      <c r="G14768" s="326"/>
      <c r="H14768" s="326"/>
      <c r="P14768" s="318"/>
      <c r="Q14768" s="318"/>
      <c r="R14768" s="318"/>
      <c r="S14768" s="318"/>
      <c r="T14768" s="318"/>
      <c r="U14768" s="318"/>
      <c r="V14768" s="318"/>
      <c r="W14768" s="318"/>
      <c r="X14768" s="318"/>
      <c r="Y14768" s="318"/>
      <c r="Z14768" s="318"/>
      <c r="AA14768" s="318"/>
      <c r="AB14768" s="318"/>
      <c r="AC14768" s="318"/>
      <c r="AD14768" s="318"/>
    </row>
    <row r="14769" spans="2:30" s="323" customFormat="1" ht="12" customHeight="1">
      <c r="B14769" s="324"/>
      <c r="C14769" s="325"/>
      <c r="D14769" s="326"/>
      <c r="E14769" s="326"/>
      <c r="F14769" s="326"/>
      <c r="G14769" s="326"/>
      <c r="H14769" s="326"/>
      <c r="P14769" s="318"/>
      <c r="Q14769" s="318"/>
      <c r="R14769" s="318"/>
      <c r="S14769" s="318"/>
      <c r="T14769" s="318"/>
      <c r="U14769" s="318"/>
      <c r="V14769" s="318"/>
      <c r="W14769" s="318"/>
      <c r="X14769" s="318"/>
      <c r="Y14769" s="318"/>
      <c r="Z14769" s="318"/>
      <c r="AA14769" s="318"/>
      <c r="AB14769" s="318"/>
      <c r="AC14769" s="318"/>
      <c r="AD14769" s="318"/>
    </row>
    <row r="14770" spans="2:30" s="323" customFormat="1" ht="12" customHeight="1">
      <c r="B14770" s="324"/>
      <c r="C14770" s="325"/>
      <c r="D14770" s="326"/>
      <c r="E14770" s="326"/>
      <c r="F14770" s="326"/>
      <c r="G14770" s="326"/>
      <c r="H14770" s="326"/>
      <c r="P14770" s="318"/>
      <c r="Q14770" s="318"/>
      <c r="R14770" s="318"/>
      <c r="S14770" s="318"/>
      <c r="T14770" s="318"/>
      <c r="U14770" s="318"/>
      <c r="V14770" s="318"/>
      <c r="W14770" s="318"/>
      <c r="X14770" s="318"/>
      <c r="Y14770" s="318"/>
      <c r="Z14770" s="318"/>
      <c r="AA14770" s="318"/>
      <c r="AB14770" s="318"/>
      <c r="AC14770" s="318"/>
      <c r="AD14770" s="318"/>
    </row>
    <row r="14771" spans="2:30" s="323" customFormat="1" ht="12" customHeight="1">
      <c r="B14771" s="324"/>
      <c r="C14771" s="325"/>
      <c r="D14771" s="326"/>
      <c r="E14771" s="326"/>
      <c r="F14771" s="326"/>
      <c r="G14771" s="326"/>
      <c r="H14771" s="326"/>
      <c r="P14771" s="318"/>
      <c r="Q14771" s="318"/>
      <c r="R14771" s="318"/>
      <c r="S14771" s="318"/>
      <c r="T14771" s="318"/>
      <c r="U14771" s="318"/>
      <c r="V14771" s="318"/>
      <c r="W14771" s="318"/>
      <c r="X14771" s="318"/>
      <c r="Y14771" s="318"/>
      <c r="Z14771" s="318"/>
      <c r="AA14771" s="318"/>
      <c r="AB14771" s="318"/>
      <c r="AC14771" s="318"/>
      <c r="AD14771" s="318"/>
    </row>
    <row r="14772" spans="2:30" s="323" customFormat="1" ht="12" customHeight="1">
      <c r="B14772" s="324"/>
      <c r="C14772" s="325"/>
      <c r="D14772" s="326"/>
      <c r="E14772" s="326"/>
      <c r="F14772" s="326"/>
      <c r="G14772" s="326"/>
      <c r="H14772" s="326"/>
      <c r="P14772" s="318"/>
      <c r="Q14772" s="318"/>
      <c r="R14772" s="318"/>
      <c r="S14772" s="318"/>
      <c r="T14772" s="318"/>
      <c r="U14772" s="318"/>
      <c r="V14772" s="318"/>
      <c r="W14772" s="318"/>
      <c r="X14772" s="318"/>
      <c r="Y14772" s="318"/>
      <c r="Z14772" s="318"/>
      <c r="AA14772" s="318"/>
      <c r="AB14772" s="318"/>
      <c r="AC14772" s="318"/>
      <c r="AD14772" s="318"/>
    </row>
    <row r="14773" spans="2:30" s="323" customFormat="1" ht="12" customHeight="1">
      <c r="B14773" s="324"/>
      <c r="C14773" s="325"/>
      <c r="D14773" s="326"/>
      <c r="E14773" s="326"/>
      <c r="F14773" s="326"/>
      <c r="G14773" s="326"/>
      <c r="H14773" s="326"/>
      <c r="P14773" s="318"/>
      <c r="Q14773" s="318"/>
      <c r="R14773" s="318"/>
      <c r="S14773" s="318"/>
      <c r="T14773" s="318"/>
      <c r="U14773" s="318"/>
      <c r="V14773" s="318"/>
      <c r="W14773" s="318"/>
      <c r="X14773" s="318"/>
      <c r="Y14773" s="318"/>
      <c r="Z14773" s="318"/>
      <c r="AA14773" s="318"/>
      <c r="AB14773" s="318"/>
      <c r="AC14773" s="318"/>
      <c r="AD14773" s="318"/>
    </row>
    <row r="14774" spans="2:30" s="323" customFormat="1" ht="12" customHeight="1">
      <c r="B14774" s="324"/>
      <c r="C14774" s="325"/>
      <c r="D14774" s="326"/>
      <c r="E14774" s="326"/>
      <c r="F14774" s="326"/>
      <c r="G14774" s="326"/>
      <c r="H14774" s="326"/>
      <c r="P14774" s="318"/>
      <c r="Q14774" s="318"/>
      <c r="R14774" s="318"/>
      <c r="S14774" s="318"/>
      <c r="T14774" s="318"/>
      <c r="U14774" s="318"/>
      <c r="V14774" s="318"/>
      <c r="W14774" s="318"/>
      <c r="X14774" s="318"/>
      <c r="Y14774" s="318"/>
      <c r="Z14774" s="318"/>
      <c r="AA14774" s="318"/>
      <c r="AB14774" s="318"/>
      <c r="AC14774" s="318"/>
      <c r="AD14774" s="318"/>
    </row>
    <row r="14775" spans="2:30" s="323" customFormat="1" ht="12" customHeight="1">
      <c r="B14775" s="324"/>
      <c r="C14775" s="325"/>
      <c r="D14775" s="326"/>
      <c r="E14775" s="326"/>
      <c r="F14775" s="326"/>
      <c r="G14775" s="326"/>
      <c r="H14775" s="326"/>
      <c r="P14775" s="318"/>
      <c r="Q14775" s="318"/>
      <c r="R14775" s="318"/>
      <c r="S14775" s="318"/>
      <c r="T14775" s="318"/>
      <c r="U14775" s="318"/>
      <c r="V14775" s="318"/>
      <c r="W14775" s="318"/>
      <c r="X14775" s="318"/>
      <c r="Y14775" s="318"/>
      <c r="Z14775" s="318"/>
      <c r="AA14775" s="318"/>
      <c r="AB14775" s="318"/>
      <c r="AC14775" s="318"/>
      <c r="AD14775" s="318"/>
    </row>
    <row r="14776" spans="2:30" s="323" customFormat="1" ht="12" customHeight="1">
      <c r="B14776" s="324"/>
      <c r="C14776" s="325"/>
      <c r="D14776" s="326"/>
      <c r="E14776" s="326"/>
      <c r="F14776" s="326"/>
      <c r="G14776" s="326"/>
      <c r="H14776" s="326"/>
      <c r="P14776" s="318"/>
      <c r="Q14776" s="318"/>
      <c r="R14776" s="318"/>
      <c r="S14776" s="318"/>
      <c r="T14776" s="318"/>
      <c r="U14776" s="318"/>
      <c r="V14776" s="318"/>
      <c r="W14776" s="318"/>
      <c r="X14776" s="318"/>
      <c r="Y14776" s="318"/>
      <c r="Z14776" s="318"/>
      <c r="AA14776" s="318"/>
      <c r="AB14776" s="318"/>
      <c r="AC14776" s="318"/>
      <c r="AD14776" s="318"/>
    </row>
    <row r="14777" spans="2:30" s="323" customFormat="1" ht="12" customHeight="1">
      <c r="B14777" s="324"/>
      <c r="C14777" s="325"/>
      <c r="D14777" s="326"/>
      <c r="E14777" s="326"/>
      <c r="F14777" s="326"/>
      <c r="G14777" s="326"/>
      <c r="H14777" s="326"/>
      <c r="P14777" s="318"/>
      <c r="Q14777" s="318"/>
      <c r="R14777" s="318"/>
      <c r="S14777" s="318"/>
      <c r="T14777" s="318"/>
      <c r="U14777" s="318"/>
      <c r="V14777" s="318"/>
      <c r="W14777" s="318"/>
      <c r="X14777" s="318"/>
      <c r="Y14777" s="318"/>
      <c r="Z14777" s="318"/>
      <c r="AA14777" s="318"/>
      <c r="AB14777" s="318"/>
      <c r="AC14777" s="318"/>
      <c r="AD14777" s="318"/>
    </row>
    <row r="14778" spans="2:30" s="323" customFormat="1" ht="12" customHeight="1">
      <c r="B14778" s="324"/>
      <c r="C14778" s="325"/>
      <c r="D14778" s="326"/>
      <c r="E14778" s="326"/>
      <c r="F14778" s="326"/>
      <c r="G14778" s="326"/>
      <c r="H14778" s="326"/>
      <c r="P14778" s="318"/>
      <c r="Q14778" s="318"/>
      <c r="R14778" s="318"/>
      <c r="S14778" s="318"/>
      <c r="T14778" s="318"/>
      <c r="U14778" s="318"/>
      <c r="V14778" s="318"/>
      <c r="W14778" s="318"/>
      <c r="X14778" s="318"/>
      <c r="Y14778" s="318"/>
      <c r="Z14778" s="318"/>
      <c r="AA14778" s="318"/>
      <c r="AB14778" s="318"/>
      <c r="AC14778" s="318"/>
      <c r="AD14778" s="318"/>
    </row>
    <row r="14779" spans="2:30" s="323" customFormat="1" ht="12" customHeight="1">
      <c r="B14779" s="324"/>
      <c r="C14779" s="325"/>
      <c r="D14779" s="326"/>
      <c r="E14779" s="326"/>
      <c r="F14779" s="326"/>
      <c r="G14779" s="326"/>
      <c r="H14779" s="326"/>
      <c r="P14779" s="318"/>
      <c r="Q14779" s="318"/>
      <c r="R14779" s="318"/>
      <c r="S14779" s="318"/>
      <c r="T14779" s="318"/>
      <c r="U14779" s="318"/>
      <c r="V14779" s="318"/>
      <c r="W14779" s="318"/>
      <c r="X14779" s="318"/>
      <c r="Y14779" s="318"/>
      <c r="Z14779" s="318"/>
      <c r="AA14779" s="318"/>
      <c r="AB14779" s="318"/>
      <c r="AC14779" s="318"/>
      <c r="AD14779" s="318"/>
    </row>
    <row r="14780" spans="2:30" s="323" customFormat="1" ht="12" customHeight="1">
      <c r="B14780" s="324"/>
      <c r="C14780" s="325"/>
      <c r="D14780" s="326"/>
      <c r="E14780" s="326"/>
      <c r="F14780" s="326"/>
      <c r="G14780" s="326"/>
      <c r="H14780" s="326"/>
      <c r="P14780" s="318"/>
      <c r="Q14780" s="318"/>
      <c r="R14780" s="318"/>
      <c r="S14780" s="318"/>
      <c r="T14780" s="318"/>
      <c r="U14780" s="318"/>
      <c r="V14780" s="318"/>
      <c r="W14780" s="318"/>
      <c r="X14780" s="318"/>
      <c r="Y14780" s="318"/>
      <c r="Z14780" s="318"/>
      <c r="AA14780" s="318"/>
      <c r="AB14780" s="318"/>
      <c r="AC14780" s="318"/>
      <c r="AD14780" s="318"/>
    </row>
    <row r="14781" spans="2:30" s="323" customFormat="1" ht="12" customHeight="1">
      <c r="B14781" s="324"/>
      <c r="C14781" s="325"/>
      <c r="D14781" s="326"/>
      <c r="E14781" s="326"/>
      <c r="F14781" s="326"/>
      <c r="G14781" s="326"/>
      <c r="H14781" s="326"/>
      <c r="P14781" s="318"/>
      <c r="Q14781" s="318"/>
      <c r="R14781" s="318"/>
      <c r="S14781" s="318"/>
      <c r="T14781" s="318"/>
      <c r="U14781" s="318"/>
      <c r="V14781" s="318"/>
      <c r="W14781" s="318"/>
      <c r="X14781" s="318"/>
      <c r="Y14781" s="318"/>
      <c r="Z14781" s="318"/>
      <c r="AA14781" s="318"/>
      <c r="AB14781" s="318"/>
      <c r="AC14781" s="318"/>
      <c r="AD14781" s="318"/>
    </row>
    <row r="14782" spans="2:30" s="323" customFormat="1" ht="12" customHeight="1">
      <c r="B14782" s="324"/>
      <c r="C14782" s="325"/>
      <c r="D14782" s="326"/>
      <c r="E14782" s="326"/>
      <c r="F14782" s="326"/>
      <c r="G14782" s="326"/>
      <c r="H14782" s="326"/>
      <c r="P14782" s="318"/>
      <c r="Q14782" s="318"/>
      <c r="R14782" s="318"/>
      <c r="S14782" s="318"/>
      <c r="T14782" s="318"/>
      <c r="U14782" s="318"/>
      <c r="V14782" s="318"/>
      <c r="W14782" s="318"/>
      <c r="X14782" s="318"/>
      <c r="Y14782" s="318"/>
      <c r="Z14782" s="318"/>
      <c r="AA14782" s="318"/>
      <c r="AB14782" s="318"/>
      <c r="AC14782" s="318"/>
      <c r="AD14782" s="318"/>
    </row>
    <row r="14783" spans="2:30" s="323" customFormat="1" ht="12" customHeight="1">
      <c r="B14783" s="324"/>
      <c r="C14783" s="325"/>
      <c r="D14783" s="326"/>
      <c r="E14783" s="326"/>
      <c r="F14783" s="326"/>
      <c r="G14783" s="326"/>
      <c r="H14783" s="326"/>
      <c r="P14783" s="318"/>
      <c r="Q14783" s="318"/>
      <c r="R14783" s="318"/>
      <c r="S14783" s="318"/>
      <c r="T14783" s="318"/>
      <c r="U14783" s="318"/>
      <c r="V14783" s="318"/>
      <c r="W14783" s="318"/>
      <c r="X14783" s="318"/>
      <c r="Y14783" s="318"/>
      <c r="Z14783" s="318"/>
      <c r="AA14783" s="318"/>
      <c r="AB14783" s="318"/>
      <c r="AC14783" s="318"/>
      <c r="AD14783" s="318"/>
    </row>
    <row r="14784" spans="2:30" s="323" customFormat="1" ht="12" customHeight="1">
      <c r="B14784" s="324"/>
      <c r="C14784" s="325"/>
      <c r="D14784" s="326"/>
      <c r="E14784" s="326"/>
      <c r="F14784" s="326"/>
      <c r="G14784" s="326"/>
      <c r="H14784" s="326"/>
      <c r="P14784" s="318"/>
      <c r="Q14784" s="318"/>
      <c r="R14784" s="318"/>
      <c r="S14784" s="318"/>
      <c r="T14784" s="318"/>
      <c r="U14784" s="318"/>
      <c r="V14784" s="318"/>
      <c r="W14784" s="318"/>
      <c r="X14784" s="318"/>
      <c r="Y14784" s="318"/>
      <c r="Z14784" s="318"/>
      <c r="AA14784" s="318"/>
      <c r="AB14784" s="318"/>
      <c r="AC14784" s="318"/>
      <c r="AD14784" s="318"/>
    </row>
    <row r="14785" spans="2:30" s="323" customFormat="1" ht="12" customHeight="1">
      <c r="B14785" s="324"/>
      <c r="C14785" s="325"/>
      <c r="D14785" s="326"/>
      <c r="E14785" s="326"/>
      <c r="F14785" s="326"/>
      <c r="G14785" s="326"/>
      <c r="H14785" s="326"/>
      <c r="P14785" s="318"/>
      <c r="Q14785" s="318"/>
      <c r="R14785" s="318"/>
      <c r="S14785" s="318"/>
      <c r="T14785" s="318"/>
      <c r="U14785" s="318"/>
      <c r="V14785" s="318"/>
      <c r="W14785" s="318"/>
      <c r="X14785" s="318"/>
      <c r="Y14785" s="318"/>
      <c r="Z14785" s="318"/>
      <c r="AA14785" s="318"/>
      <c r="AB14785" s="318"/>
      <c r="AC14785" s="318"/>
      <c r="AD14785" s="318"/>
    </row>
    <row r="14786" spans="2:30" s="323" customFormat="1" ht="12" customHeight="1">
      <c r="B14786" s="324"/>
      <c r="C14786" s="325"/>
      <c r="D14786" s="326"/>
      <c r="E14786" s="326"/>
      <c r="F14786" s="326"/>
      <c r="G14786" s="326"/>
      <c r="H14786" s="326"/>
      <c r="P14786" s="318"/>
      <c r="Q14786" s="318"/>
      <c r="R14786" s="318"/>
      <c r="S14786" s="318"/>
      <c r="T14786" s="318"/>
      <c r="U14786" s="318"/>
      <c r="V14786" s="318"/>
      <c r="W14786" s="318"/>
      <c r="X14786" s="318"/>
      <c r="Y14786" s="318"/>
      <c r="Z14786" s="318"/>
      <c r="AA14786" s="318"/>
      <c r="AB14786" s="318"/>
      <c r="AC14786" s="318"/>
      <c r="AD14786" s="318"/>
    </row>
    <row r="14787" spans="2:30" s="323" customFormat="1" ht="12" customHeight="1">
      <c r="B14787" s="324"/>
      <c r="C14787" s="325"/>
      <c r="D14787" s="326"/>
      <c r="E14787" s="326"/>
      <c r="F14787" s="326"/>
      <c r="G14787" s="326"/>
      <c r="H14787" s="326"/>
      <c r="P14787" s="318"/>
      <c r="Q14787" s="318"/>
      <c r="R14787" s="318"/>
      <c r="S14787" s="318"/>
      <c r="T14787" s="318"/>
      <c r="U14787" s="318"/>
      <c r="V14787" s="318"/>
      <c r="W14787" s="318"/>
      <c r="X14787" s="318"/>
      <c r="Y14787" s="318"/>
      <c r="Z14787" s="318"/>
      <c r="AA14787" s="318"/>
      <c r="AB14787" s="318"/>
      <c r="AC14787" s="318"/>
      <c r="AD14787" s="318"/>
    </row>
    <row r="14788" spans="2:30" s="323" customFormat="1" ht="12" customHeight="1">
      <c r="B14788" s="324"/>
      <c r="C14788" s="325"/>
      <c r="D14788" s="326"/>
      <c r="E14788" s="326"/>
      <c r="F14788" s="326"/>
      <c r="G14788" s="326"/>
      <c r="H14788" s="326"/>
      <c r="P14788" s="318"/>
      <c r="Q14788" s="318"/>
      <c r="R14788" s="318"/>
      <c r="S14788" s="318"/>
      <c r="T14788" s="318"/>
      <c r="U14788" s="318"/>
      <c r="V14788" s="318"/>
      <c r="W14788" s="318"/>
      <c r="X14788" s="318"/>
      <c r="Y14788" s="318"/>
      <c r="Z14788" s="318"/>
      <c r="AA14788" s="318"/>
      <c r="AB14788" s="318"/>
      <c r="AC14788" s="318"/>
      <c r="AD14788" s="318"/>
    </row>
    <row r="14789" spans="2:30" s="323" customFormat="1" ht="12" customHeight="1">
      <c r="B14789" s="324"/>
      <c r="C14789" s="325"/>
      <c r="D14789" s="326"/>
      <c r="E14789" s="326"/>
      <c r="F14789" s="326"/>
      <c r="G14789" s="326"/>
      <c r="H14789" s="326"/>
      <c r="P14789" s="318"/>
      <c r="Q14789" s="318"/>
      <c r="R14789" s="318"/>
      <c r="S14789" s="318"/>
      <c r="T14789" s="318"/>
      <c r="U14789" s="318"/>
      <c r="V14789" s="318"/>
      <c r="W14789" s="318"/>
      <c r="X14789" s="318"/>
      <c r="Y14789" s="318"/>
      <c r="Z14789" s="318"/>
      <c r="AA14789" s="318"/>
      <c r="AB14789" s="318"/>
      <c r="AC14789" s="318"/>
      <c r="AD14789" s="318"/>
    </row>
    <row r="14790" spans="2:30" s="323" customFormat="1" ht="12" customHeight="1">
      <c r="B14790" s="324"/>
      <c r="C14790" s="325"/>
      <c r="D14790" s="326"/>
      <c r="E14790" s="326"/>
      <c r="F14790" s="326"/>
      <c r="G14790" s="326"/>
      <c r="H14790" s="326"/>
      <c r="P14790" s="318"/>
      <c r="Q14790" s="318"/>
      <c r="R14790" s="318"/>
      <c r="S14790" s="318"/>
      <c r="T14790" s="318"/>
      <c r="U14790" s="318"/>
      <c r="V14790" s="318"/>
      <c r="W14790" s="318"/>
      <c r="X14790" s="318"/>
      <c r="Y14790" s="318"/>
      <c r="Z14790" s="318"/>
      <c r="AA14790" s="318"/>
      <c r="AB14790" s="318"/>
      <c r="AC14790" s="318"/>
      <c r="AD14790" s="318"/>
    </row>
    <row r="14791" spans="2:30" s="323" customFormat="1" ht="12" customHeight="1">
      <c r="B14791" s="324"/>
      <c r="C14791" s="325"/>
      <c r="D14791" s="326"/>
      <c r="E14791" s="326"/>
      <c r="F14791" s="326"/>
      <c r="G14791" s="326"/>
      <c r="H14791" s="326"/>
      <c r="P14791" s="318"/>
      <c r="Q14791" s="318"/>
      <c r="R14791" s="318"/>
      <c r="S14791" s="318"/>
      <c r="T14791" s="318"/>
      <c r="U14791" s="318"/>
      <c r="V14791" s="318"/>
      <c r="W14791" s="318"/>
      <c r="X14791" s="318"/>
      <c r="Y14791" s="318"/>
      <c r="Z14791" s="318"/>
      <c r="AA14791" s="318"/>
      <c r="AB14791" s="318"/>
      <c r="AC14791" s="318"/>
      <c r="AD14791" s="318"/>
    </row>
    <row r="14792" spans="2:30" s="323" customFormat="1" ht="12" customHeight="1">
      <c r="B14792" s="324"/>
      <c r="C14792" s="325"/>
      <c r="D14792" s="326"/>
      <c r="E14792" s="326"/>
      <c r="F14792" s="326"/>
      <c r="G14792" s="326"/>
      <c r="H14792" s="326"/>
      <c r="P14792" s="318"/>
      <c r="Q14792" s="318"/>
      <c r="R14792" s="318"/>
      <c r="S14792" s="318"/>
      <c r="T14792" s="318"/>
      <c r="U14792" s="318"/>
      <c r="V14792" s="318"/>
      <c r="W14792" s="318"/>
      <c r="X14792" s="318"/>
      <c r="Y14792" s="318"/>
      <c r="Z14792" s="318"/>
      <c r="AA14792" s="318"/>
      <c r="AB14792" s="318"/>
      <c r="AC14792" s="318"/>
      <c r="AD14792" s="318"/>
    </row>
    <row r="14793" spans="2:30" s="323" customFormat="1" ht="12" customHeight="1">
      <c r="B14793" s="324"/>
      <c r="C14793" s="325"/>
      <c r="D14793" s="326"/>
      <c r="E14793" s="326"/>
      <c r="F14793" s="326"/>
      <c r="G14793" s="326"/>
      <c r="H14793" s="326"/>
      <c r="P14793" s="318"/>
      <c r="Q14793" s="318"/>
      <c r="R14793" s="318"/>
      <c r="S14793" s="318"/>
      <c r="T14793" s="318"/>
      <c r="U14793" s="318"/>
      <c r="V14793" s="318"/>
      <c r="W14793" s="318"/>
      <c r="X14793" s="318"/>
      <c r="Y14793" s="318"/>
      <c r="Z14793" s="318"/>
      <c r="AA14793" s="318"/>
      <c r="AB14793" s="318"/>
      <c r="AC14793" s="318"/>
      <c r="AD14793" s="318"/>
    </row>
    <row r="14794" spans="2:30" s="323" customFormat="1" ht="12" customHeight="1">
      <c r="B14794" s="324"/>
      <c r="C14794" s="325"/>
      <c r="D14794" s="326"/>
      <c r="E14794" s="326"/>
      <c r="F14794" s="326"/>
      <c r="G14794" s="326"/>
      <c r="H14794" s="326"/>
      <c r="P14794" s="318"/>
      <c r="Q14794" s="318"/>
      <c r="R14794" s="318"/>
      <c r="S14794" s="318"/>
      <c r="T14794" s="318"/>
      <c r="U14794" s="318"/>
      <c r="V14794" s="318"/>
      <c r="W14794" s="318"/>
      <c r="X14794" s="318"/>
      <c r="Y14794" s="318"/>
      <c r="Z14794" s="318"/>
      <c r="AA14794" s="318"/>
      <c r="AB14794" s="318"/>
      <c r="AC14794" s="318"/>
      <c r="AD14794" s="318"/>
    </row>
    <row r="14795" spans="2:30" s="323" customFormat="1" ht="12" customHeight="1">
      <c r="B14795" s="324"/>
      <c r="C14795" s="325"/>
      <c r="D14795" s="326"/>
      <c r="E14795" s="326"/>
      <c r="F14795" s="326"/>
      <c r="G14795" s="326"/>
      <c r="H14795" s="326"/>
      <c r="P14795" s="318"/>
      <c r="Q14795" s="318"/>
      <c r="R14795" s="318"/>
      <c r="S14795" s="318"/>
      <c r="T14795" s="318"/>
      <c r="U14795" s="318"/>
      <c r="V14795" s="318"/>
      <c r="W14795" s="318"/>
      <c r="X14795" s="318"/>
      <c r="Y14795" s="318"/>
      <c r="Z14795" s="318"/>
      <c r="AA14795" s="318"/>
      <c r="AB14795" s="318"/>
      <c r="AC14795" s="318"/>
      <c r="AD14795" s="318"/>
    </row>
    <row r="14796" spans="2:30" s="323" customFormat="1" ht="12" customHeight="1">
      <c r="B14796" s="324"/>
      <c r="C14796" s="325"/>
      <c r="D14796" s="326"/>
      <c r="E14796" s="326"/>
      <c r="F14796" s="326"/>
      <c r="G14796" s="326"/>
      <c r="H14796" s="326"/>
      <c r="P14796" s="318"/>
      <c r="Q14796" s="318"/>
      <c r="R14796" s="318"/>
      <c r="S14796" s="318"/>
      <c r="T14796" s="318"/>
      <c r="U14796" s="318"/>
      <c r="V14796" s="318"/>
      <c r="W14796" s="318"/>
      <c r="X14796" s="318"/>
      <c r="Y14796" s="318"/>
      <c r="Z14796" s="318"/>
      <c r="AA14796" s="318"/>
      <c r="AB14796" s="318"/>
      <c r="AC14796" s="318"/>
      <c r="AD14796" s="318"/>
    </row>
    <row r="14797" spans="2:30" s="323" customFormat="1" ht="12" customHeight="1">
      <c r="B14797" s="324"/>
      <c r="C14797" s="325"/>
      <c r="D14797" s="326"/>
      <c r="E14797" s="326"/>
      <c r="F14797" s="326"/>
      <c r="G14797" s="326"/>
      <c r="H14797" s="326"/>
      <c r="P14797" s="318"/>
      <c r="Q14797" s="318"/>
      <c r="R14797" s="318"/>
      <c r="S14797" s="318"/>
      <c r="T14797" s="318"/>
      <c r="U14797" s="318"/>
      <c r="V14797" s="318"/>
      <c r="W14797" s="318"/>
      <c r="X14797" s="318"/>
      <c r="Y14797" s="318"/>
      <c r="Z14797" s="318"/>
      <c r="AA14797" s="318"/>
      <c r="AB14797" s="318"/>
      <c r="AC14797" s="318"/>
      <c r="AD14797" s="318"/>
    </row>
    <row r="14798" spans="2:30" s="323" customFormat="1" ht="12" customHeight="1">
      <c r="B14798" s="324"/>
      <c r="C14798" s="325"/>
      <c r="D14798" s="326"/>
      <c r="E14798" s="326"/>
      <c r="F14798" s="326"/>
      <c r="G14798" s="326"/>
      <c r="H14798" s="326"/>
      <c r="P14798" s="318"/>
      <c r="Q14798" s="318"/>
      <c r="R14798" s="318"/>
      <c r="S14798" s="318"/>
      <c r="T14798" s="318"/>
      <c r="U14798" s="318"/>
      <c r="V14798" s="318"/>
      <c r="W14798" s="318"/>
      <c r="X14798" s="318"/>
      <c r="Y14798" s="318"/>
      <c r="Z14798" s="318"/>
      <c r="AA14798" s="318"/>
      <c r="AB14798" s="318"/>
      <c r="AC14798" s="318"/>
      <c r="AD14798" s="318"/>
    </row>
    <row r="14799" spans="2:30" s="323" customFormat="1" ht="12" customHeight="1">
      <c r="B14799" s="324"/>
      <c r="C14799" s="325"/>
      <c r="D14799" s="326"/>
      <c r="E14799" s="326"/>
      <c r="F14799" s="326"/>
      <c r="G14799" s="326"/>
      <c r="H14799" s="326"/>
      <c r="P14799" s="318"/>
      <c r="Q14799" s="318"/>
      <c r="R14799" s="318"/>
      <c r="S14799" s="318"/>
      <c r="T14799" s="318"/>
      <c r="U14799" s="318"/>
      <c r="V14799" s="318"/>
      <c r="W14799" s="318"/>
      <c r="X14799" s="318"/>
      <c r="Y14799" s="318"/>
      <c r="Z14799" s="318"/>
      <c r="AA14799" s="318"/>
      <c r="AB14799" s="318"/>
      <c r="AC14799" s="318"/>
      <c r="AD14799" s="318"/>
    </row>
    <row r="14800" spans="2:30" s="323" customFormat="1" ht="12" customHeight="1">
      <c r="B14800" s="324"/>
      <c r="C14800" s="325"/>
      <c r="D14800" s="326"/>
      <c r="E14800" s="326"/>
      <c r="F14800" s="326"/>
      <c r="G14800" s="326"/>
      <c r="H14800" s="326"/>
      <c r="P14800" s="318"/>
      <c r="Q14800" s="318"/>
      <c r="R14800" s="318"/>
      <c r="S14800" s="318"/>
      <c r="T14800" s="318"/>
      <c r="U14800" s="318"/>
      <c r="V14800" s="318"/>
      <c r="W14800" s="318"/>
      <c r="X14800" s="318"/>
      <c r="Y14800" s="318"/>
      <c r="Z14800" s="318"/>
      <c r="AA14800" s="318"/>
      <c r="AB14800" s="318"/>
      <c r="AC14800" s="318"/>
      <c r="AD14800" s="318"/>
    </row>
    <row r="14801" spans="2:30" s="323" customFormat="1" ht="12" customHeight="1">
      <c r="B14801" s="324"/>
      <c r="C14801" s="325"/>
      <c r="D14801" s="326"/>
      <c r="E14801" s="326"/>
      <c r="F14801" s="326"/>
      <c r="G14801" s="326"/>
      <c r="H14801" s="326"/>
      <c r="P14801" s="318"/>
      <c r="Q14801" s="318"/>
      <c r="R14801" s="318"/>
      <c r="S14801" s="318"/>
      <c r="T14801" s="318"/>
      <c r="U14801" s="318"/>
      <c r="V14801" s="318"/>
      <c r="W14801" s="318"/>
      <c r="X14801" s="318"/>
      <c r="Y14801" s="318"/>
      <c r="Z14801" s="318"/>
      <c r="AA14801" s="318"/>
      <c r="AB14801" s="318"/>
      <c r="AC14801" s="318"/>
      <c r="AD14801" s="318"/>
    </row>
    <row r="14802" spans="2:30" s="323" customFormat="1" ht="12" customHeight="1">
      <c r="B14802" s="324"/>
      <c r="C14802" s="325"/>
      <c r="D14802" s="326"/>
      <c r="E14802" s="326"/>
      <c r="F14802" s="326"/>
      <c r="G14802" s="326"/>
      <c r="H14802" s="326"/>
      <c r="P14802" s="318"/>
      <c r="Q14802" s="318"/>
      <c r="R14802" s="318"/>
      <c r="S14802" s="318"/>
      <c r="T14802" s="318"/>
      <c r="U14802" s="318"/>
      <c r="V14802" s="318"/>
      <c r="W14802" s="318"/>
      <c r="X14802" s="318"/>
      <c r="Y14802" s="318"/>
      <c r="Z14802" s="318"/>
      <c r="AA14802" s="318"/>
      <c r="AB14802" s="318"/>
      <c r="AC14802" s="318"/>
      <c r="AD14802" s="318"/>
    </row>
    <row r="14803" spans="2:30" s="323" customFormat="1" ht="12" customHeight="1">
      <c r="B14803" s="324"/>
      <c r="C14803" s="325"/>
      <c r="D14803" s="326"/>
      <c r="E14803" s="326"/>
      <c r="F14803" s="326"/>
      <c r="G14803" s="326"/>
      <c r="H14803" s="326"/>
      <c r="P14803" s="318"/>
      <c r="Q14803" s="318"/>
      <c r="R14803" s="318"/>
      <c r="S14803" s="318"/>
      <c r="T14803" s="318"/>
      <c r="U14803" s="318"/>
      <c r="V14803" s="318"/>
      <c r="W14803" s="318"/>
      <c r="X14803" s="318"/>
      <c r="Y14803" s="318"/>
      <c r="Z14803" s="318"/>
      <c r="AA14803" s="318"/>
      <c r="AB14803" s="318"/>
      <c r="AC14803" s="318"/>
      <c r="AD14803" s="318"/>
    </row>
    <row r="14804" spans="2:30" s="323" customFormat="1" ht="12" customHeight="1">
      <c r="B14804" s="324"/>
      <c r="C14804" s="325"/>
      <c r="D14804" s="326"/>
      <c r="E14804" s="326"/>
      <c r="F14804" s="326"/>
      <c r="G14804" s="326"/>
      <c r="H14804" s="326"/>
      <c r="P14804" s="318"/>
      <c r="Q14804" s="318"/>
      <c r="R14804" s="318"/>
      <c r="S14804" s="318"/>
      <c r="T14804" s="318"/>
      <c r="U14804" s="318"/>
      <c r="V14804" s="318"/>
      <c r="W14804" s="318"/>
      <c r="X14804" s="318"/>
      <c r="Y14804" s="318"/>
      <c r="Z14804" s="318"/>
      <c r="AA14804" s="318"/>
      <c r="AB14804" s="318"/>
      <c r="AC14804" s="318"/>
      <c r="AD14804" s="318"/>
    </row>
    <row r="14805" spans="2:30" s="323" customFormat="1" ht="12" customHeight="1">
      <c r="B14805" s="324"/>
      <c r="C14805" s="325"/>
      <c r="D14805" s="326"/>
      <c r="E14805" s="326"/>
      <c r="F14805" s="326"/>
      <c r="G14805" s="326"/>
      <c r="H14805" s="326"/>
      <c r="P14805" s="318"/>
      <c r="Q14805" s="318"/>
      <c r="R14805" s="318"/>
      <c r="S14805" s="318"/>
      <c r="T14805" s="318"/>
      <c r="U14805" s="318"/>
      <c r="V14805" s="318"/>
      <c r="W14805" s="318"/>
      <c r="X14805" s="318"/>
      <c r="Y14805" s="318"/>
      <c r="Z14805" s="318"/>
      <c r="AA14805" s="318"/>
      <c r="AB14805" s="318"/>
      <c r="AC14805" s="318"/>
      <c r="AD14805" s="318"/>
    </row>
    <row r="14806" spans="2:30" s="323" customFormat="1" ht="12" customHeight="1">
      <c r="B14806" s="324"/>
      <c r="C14806" s="325"/>
      <c r="D14806" s="326"/>
      <c r="E14806" s="326"/>
      <c r="F14806" s="326"/>
      <c r="G14806" s="326"/>
      <c r="H14806" s="326"/>
      <c r="P14806" s="318"/>
      <c r="Q14806" s="318"/>
      <c r="R14806" s="318"/>
      <c r="S14806" s="318"/>
      <c r="T14806" s="318"/>
      <c r="U14806" s="318"/>
      <c r="V14806" s="318"/>
      <c r="W14806" s="318"/>
      <c r="X14806" s="318"/>
      <c r="Y14806" s="318"/>
      <c r="Z14806" s="318"/>
      <c r="AA14806" s="318"/>
      <c r="AB14806" s="318"/>
      <c r="AC14806" s="318"/>
      <c r="AD14806" s="318"/>
    </row>
    <row r="14807" spans="2:30" s="323" customFormat="1" ht="12" customHeight="1">
      <c r="B14807" s="324"/>
      <c r="C14807" s="325"/>
      <c r="D14807" s="326"/>
      <c r="E14807" s="326"/>
      <c r="F14807" s="326"/>
      <c r="G14807" s="326"/>
      <c r="H14807" s="326"/>
      <c r="P14807" s="318"/>
      <c r="Q14807" s="318"/>
      <c r="R14807" s="318"/>
      <c r="S14807" s="318"/>
      <c r="T14807" s="318"/>
      <c r="U14807" s="318"/>
      <c r="V14807" s="318"/>
      <c r="W14807" s="318"/>
      <c r="X14807" s="318"/>
      <c r="Y14807" s="318"/>
      <c r="Z14807" s="318"/>
      <c r="AA14807" s="318"/>
      <c r="AB14807" s="318"/>
      <c r="AC14807" s="318"/>
      <c r="AD14807" s="318"/>
    </row>
    <row r="14808" spans="2:30" s="323" customFormat="1" ht="12" customHeight="1">
      <c r="B14808" s="324"/>
      <c r="C14808" s="325"/>
      <c r="D14808" s="326"/>
      <c r="E14808" s="326"/>
      <c r="F14808" s="326"/>
      <c r="G14808" s="326"/>
      <c r="H14808" s="326"/>
      <c r="P14808" s="318"/>
      <c r="Q14808" s="318"/>
      <c r="R14808" s="318"/>
      <c r="S14808" s="318"/>
      <c r="T14808" s="318"/>
      <c r="U14808" s="318"/>
      <c r="V14808" s="318"/>
      <c r="W14808" s="318"/>
      <c r="X14808" s="318"/>
      <c r="Y14808" s="318"/>
      <c r="Z14808" s="318"/>
      <c r="AA14808" s="318"/>
      <c r="AB14808" s="318"/>
      <c r="AC14808" s="318"/>
      <c r="AD14808" s="318"/>
    </row>
    <row r="14809" spans="2:30" s="323" customFormat="1" ht="12" customHeight="1">
      <c r="B14809" s="324"/>
      <c r="C14809" s="325"/>
      <c r="D14809" s="326"/>
      <c r="E14809" s="326"/>
      <c r="F14809" s="326"/>
      <c r="G14809" s="326"/>
      <c r="H14809" s="326"/>
      <c r="P14809" s="318"/>
      <c r="Q14809" s="318"/>
      <c r="R14809" s="318"/>
      <c r="S14809" s="318"/>
      <c r="T14809" s="318"/>
      <c r="U14809" s="318"/>
      <c r="V14809" s="318"/>
      <c r="W14809" s="318"/>
      <c r="X14809" s="318"/>
      <c r="Y14809" s="318"/>
      <c r="Z14809" s="318"/>
      <c r="AA14809" s="318"/>
      <c r="AB14809" s="318"/>
      <c r="AC14809" s="318"/>
      <c r="AD14809" s="318"/>
    </row>
    <row r="14810" spans="2:30" s="323" customFormat="1" ht="12" customHeight="1">
      <c r="B14810" s="324"/>
      <c r="C14810" s="325"/>
      <c r="D14810" s="326"/>
      <c r="E14810" s="326"/>
      <c r="F14810" s="326"/>
      <c r="G14810" s="326"/>
      <c r="H14810" s="326"/>
      <c r="P14810" s="318"/>
      <c r="Q14810" s="318"/>
      <c r="R14810" s="318"/>
      <c r="S14810" s="318"/>
      <c r="T14810" s="318"/>
      <c r="U14810" s="318"/>
      <c r="V14810" s="318"/>
      <c r="W14810" s="318"/>
      <c r="X14810" s="318"/>
      <c r="Y14810" s="318"/>
      <c r="Z14810" s="318"/>
      <c r="AA14810" s="318"/>
      <c r="AB14810" s="318"/>
      <c r="AC14810" s="318"/>
      <c r="AD14810" s="318"/>
    </row>
    <row r="14811" spans="2:30" s="323" customFormat="1" ht="12" customHeight="1">
      <c r="B14811" s="324"/>
      <c r="C14811" s="325"/>
      <c r="D14811" s="326"/>
      <c r="E14811" s="326"/>
      <c r="F14811" s="326"/>
      <c r="G14811" s="326"/>
      <c r="H14811" s="326"/>
      <c r="P14811" s="318"/>
      <c r="Q14811" s="318"/>
      <c r="R14811" s="318"/>
      <c r="S14811" s="318"/>
      <c r="T14811" s="318"/>
      <c r="U14811" s="318"/>
      <c r="V14811" s="318"/>
      <c r="W14811" s="318"/>
      <c r="X14811" s="318"/>
      <c r="Y14811" s="318"/>
      <c r="Z14811" s="318"/>
      <c r="AA14811" s="318"/>
      <c r="AB14811" s="318"/>
      <c r="AC14811" s="318"/>
      <c r="AD14811" s="318"/>
    </row>
    <row r="14812" spans="2:30" s="323" customFormat="1" ht="12" customHeight="1">
      <c r="B14812" s="324"/>
      <c r="C14812" s="325"/>
      <c r="D14812" s="326"/>
      <c r="E14812" s="326"/>
      <c r="F14812" s="326"/>
      <c r="G14812" s="326"/>
      <c r="H14812" s="326"/>
      <c r="P14812" s="318"/>
      <c r="Q14812" s="318"/>
      <c r="R14812" s="318"/>
      <c r="S14812" s="318"/>
      <c r="T14812" s="318"/>
      <c r="U14812" s="318"/>
      <c r="V14812" s="318"/>
      <c r="W14812" s="318"/>
      <c r="X14812" s="318"/>
      <c r="Y14812" s="318"/>
      <c r="Z14812" s="318"/>
      <c r="AA14812" s="318"/>
      <c r="AB14812" s="318"/>
      <c r="AC14812" s="318"/>
      <c r="AD14812" s="318"/>
    </row>
    <row r="14813" spans="2:30" s="323" customFormat="1" ht="12" customHeight="1">
      <c r="B14813" s="324"/>
      <c r="C14813" s="325"/>
      <c r="D14813" s="326"/>
      <c r="E14813" s="326"/>
      <c r="F14813" s="326"/>
      <c r="G14813" s="326"/>
      <c r="H14813" s="326"/>
      <c r="P14813" s="318"/>
      <c r="Q14813" s="318"/>
      <c r="R14813" s="318"/>
      <c r="S14813" s="318"/>
      <c r="T14813" s="318"/>
      <c r="U14813" s="318"/>
      <c r="V14813" s="318"/>
      <c r="W14813" s="318"/>
      <c r="X14813" s="318"/>
      <c r="Y14813" s="318"/>
      <c r="Z14813" s="318"/>
      <c r="AA14813" s="318"/>
      <c r="AB14813" s="318"/>
      <c r="AC14813" s="318"/>
      <c r="AD14813" s="318"/>
    </row>
    <row r="14814" spans="2:30" s="323" customFormat="1" ht="12" customHeight="1">
      <c r="B14814" s="324"/>
      <c r="C14814" s="325"/>
      <c r="D14814" s="326"/>
      <c r="E14814" s="326"/>
      <c r="F14814" s="326"/>
      <c r="G14814" s="326"/>
      <c r="H14814" s="326"/>
      <c r="P14814" s="318"/>
      <c r="Q14814" s="318"/>
      <c r="R14814" s="318"/>
      <c r="S14814" s="318"/>
      <c r="T14814" s="318"/>
      <c r="U14814" s="318"/>
      <c r="V14814" s="318"/>
      <c r="W14814" s="318"/>
      <c r="X14814" s="318"/>
      <c r="Y14814" s="318"/>
      <c r="Z14814" s="318"/>
      <c r="AA14814" s="318"/>
      <c r="AB14814" s="318"/>
      <c r="AC14814" s="318"/>
      <c r="AD14814" s="318"/>
    </row>
    <row r="14815" spans="2:30" s="323" customFormat="1" ht="12" customHeight="1">
      <c r="B14815" s="324"/>
      <c r="C14815" s="325"/>
      <c r="D14815" s="326"/>
      <c r="E14815" s="326"/>
      <c r="F14815" s="326"/>
      <c r="G14815" s="326"/>
      <c r="H14815" s="326"/>
      <c r="P14815" s="318"/>
      <c r="Q14815" s="318"/>
      <c r="R14815" s="318"/>
      <c r="S14815" s="318"/>
      <c r="T14815" s="318"/>
      <c r="U14815" s="318"/>
      <c r="V14815" s="318"/>
      <c r="W14815" s="318"/>
      <c r="X14815" s="318"/>
      <c r="Y14815" s="318"/>
      <c r="Z14815" s="318"/>
      <c r="AA14815" s="318"/>
      <c r="AB14815" s="318"/>
      <c r="AC14815" s="318"/>
      <c r="AD14815" s="318"/>
    </row>
    <row r="14816" spans="2:30" s="323" customFormat="1" ht="12" customHeight="1">
      <c r="B14816" s="324"/>
      <c r="C14816" s="325"/>
      <c r="D14816" s="326"/>
      <c r="E14816" s="326"/>
      <c r="F14816" s="326"/>
      <c r="G14816" s="326"/>
      <c r="H14816" s="326"/>
      <c r="P14816" s="318"/>
      <c r="Q14816" s="318"/>
      <c r="R14816" s="318"/>
      <c r="S14816" s="318"/>
      <c r="T14816" s="318"/>
      <c r="U14816" s="318"/>
      <c r="V14816" s="318"/>
      <c r="W14816" s="318"/>
      <c r="X14816" s="318"/>
      <c r="Y14816" s="318"/>
      <c r="Z14816" s="318"/>
      <c r="AA14816" s="318"/>
      <c r="AB14816" s="318"/>
      <c r="AC14816" s="318"/>
      <c r="AD14816" s="318"/>
    </row>
    <row r="14817" spans="2:30" s="323" customFormat="1" ht="12" customHeight="1">
      <c r="B14817" s="324"/>
      <c r="C14817" s="325"/>
      <c r="D14817" s="326"/>
      <c r="E14817" s="326"/>
      <c r="F14817" s="326"/>
      <c r="G14817" s="326"/>
      <c r="H14817" s="326"/>
      <c r="P14817" s="318"/>
      <c r="Q14817" s="318"/>
      <c r="R14817" s="318"/>
      <c r="S14817" s="318"/>
      <c r="T14817" s="318"/>
      <c r="U14817" s="318"/>
      <c r="V14817" s="318"/>
      <c r="W14817" s="318"/>
      <c r="X14817" s="318"/>
      <c r="Y14817" s="318"/>
      <c r="Z14817" s="318"/>
      <c r="AA14817" s="318"/>
      <c r="AB14817" s="318"/>
      <c r="AC14817" s="318"/>
      <c r="AD14817" s="318"/>
    </row>
    <row r="14818" spans="2:30" s="323" customFormat="1" ht="12" customHeight="1">
      <c r="B14818" s="324"/>
      <c r="C14818" s="325"/>
      <c r="D14818" s="326"/>
      <c r="E14818" s="326"/>
      <c r="F14818" s="326"/>
      <c r="G14818" s="326"/>
      <c r="H14818" s="326"/>
      <c r="P14818" s="318"/>
      <c r="Q14818" s="318"/>
      <c r="R14818" s="318"/>
      <c r="S14818" s="318"/>
      <c r="T14818" s="318"/>
      <c r="U14818" s="318"/>
      <c r="V14818" s="318"/>
      <c r="W14818" s="318"/>
      <c r="X14818" s="318"/>
      <c r="Y14818" s="318"/>
      <c r="Z14818" s="318"/>
      <c r="AA14818" s="318"/>
      <c r="AB14818" s="318"/>
      <c r="AC14818" s="318"/>
      <c r="AD14818" s="318"/>
    </row>
    <row r="14819" spans="2:30" s="323" customFormat="1" ht="12" customHeight="1">
      <c r="B14819" s="324"/>
      <c r="C14819" s="325"/>
      <c r="D14819" s="326"/>
      <c r="E14819" s="326"/>
      <c r="F14819" s="326"/>
      <c r="G14819" s="326"/>
      <c r="H14819" s="326"/>
      <c r="P14819" s="318"/>
      <c r="Q14819" s="318"/>
      <c r="R14819" s="318"/>
      <c r="S14819" s="318"/>
      <c r="T14819" s="318"/>
      <c r="U14819" s="318"/>
      <c r="V14819" s="318"/>
      <c r="W14819" s="318"/>
      <c r="X14819" s="318"/>
      <c r="Y14819" s="318"/>
      <c r="Z14819" s="318"/>
      <c r="AA14819" s="318"/>
      <c r="AB14819" s="318"/>
      <c r="AC14819" s="318"/>
      <c r="AD14819" s="318"/>
    </row>
    <row r="14820" spans="2:30" s="323" customFormat="1" ht="12" customHeight="1">
      <c r="B14820" s="324"/>
      <c r="C14820" s="325"/>
      <c r="D14820" s="326"/>
      <c r="E14820" s="326"/>
      <c r="F14820" s="326"/>
      <c r="G14820" s="326"/>
      <c r="H14820" s="326"/>
      <c r="P14820" s="318"/>
      <c r="Q14820" s="318"/>
      <c r="R14820" s="318"/>
      <c r="S14820" s="318"/>
      <c r="T14820" s="318"/>
      <c r="U14820" s="318"/>
      <c r="V14820" s="318"/>
      <c r="W14820" s="318"/>
      <c r="X14820" s="318"/>
      <c r="Y14820" s="318"/>
      <c r="Z14820" s="318"/>
      <c r="AA14820" s="318"/>
      <c r="AB14820" s="318"/>
      <c r="AC14820" s="318"/>
      <c r="AD14820" s="318"/>
    </row>
    <row r="14821" spans="2:30" s="323" customFormat="1" ht="12" customHeight="1">
      <c r="B14821" s="324"/>
      <c r="C14821" s="325"/>
      <c r="D14821" s="326"/>
      <c r="E14821" s="326"/>
      <c r="F14821" s="326"/>
      <c r="G14821" s="326"/>
      <c r="H14821" s="326"/>
      <c r="P14821" s="318"/>
      <c r="Q14821" s="318"/>
      <c r="R14821" s="318"/>
      <c r="S14821" s="318"/>
      <c r="T14821" s="318"/>
      <c r="U14821" s="318"/>
      <c r="V14821" s="318"/>
      <c r="W14821" s="318"/>
      <c r="X14821" s="318"/>
      <c r="Y14821" s="318"/>
      <c r="Z14821" s="318"/>
      <c r="AA14821" s="318"/>
      <c r="AB14821" s="318"/>
      <c r="AC14821" s="318"/>
      <c r="AD14821" s="318"/>
    </row>
    <row r="14822" spans="2:30" s="323" customFormat="1" ht="12" customHeight="1">
      <c r="B14822" s="324"/>
      <c r="C14822" s="325"/>
      <c r="D14822" s="326"/>
      <c r="E14822" s="326"/>
      <c r="F14822" s="326"/>
      <c r="G14822" s="326"/>
      <c r="H14822" s="326"/>
      <c r="P14822" s="318"/>
      <c r="Q14822" s="318"/>
      <c r="R14822" s="318"/>
      <c r="S14822" s="318"/>
      <c r="T14822" s="318"/>
      <c r="U14822" s="318"/>
      <c r="V14822" s="318"/>
      <c r="W14822" s="318"/>
      <c r="X14822" s="318"/>
      <c r="Y14822" s="318"/>
      <c r="Z14822" s="318"/>
      <c r="AA14822" s="318"/>
      <c r="AB14822" s="318"/>
      <c r="AC14822" s="318"/>
      <c r="AD14822" s="318"/>
    </row>
    <row r="14823" spans="2:30" s="323" customFormat="1" ht="12" customHeight="1">
      <c r="B14823" s="324"/>
      <c r="C14823" s="325"/>
      <c r="D14823" s="326"/>
      <c r="E14823" s="326"/>
      <c r="F14823" s="326"/>
      <c r="G14823" s="326"/>
      <c r="H14823" s="326"/>
      <c r="P14823" s="318"/>
      <c r="Q14823" s="318"/>
      <c r="R14823" s="318"/>
      <c r="S14823" s="318"/>
      <c r="T14823" s="318"/>
      <c r="U14823" s="318"/>
      <c r="V14823" s="318"/>
      <c r="W14823" s="318"/>
      <c r="X14823" s="318"/>
      <c r="Y14823" s="318"/>
      <c r="Z14823" s="318"/>
      <c r="AA14823" s="318"/>
      <c r="AB14823" s="318"/>
      <c r="AC14823" s="318"/>
      <c r="AD14823" s="318"/>
    </row>
    <row r="14824" spans="2:30" s="323" customFormat="1" ht="12" customHeight="1">
      <c r="B14824" s="324"/>
      <c r="C14824" s="325"/>
      <c r="D14824" s="326"/>
      <c r="E14824" s="326"/>
      <c r="F14824" s="326"/>
      <c r="G14824" s="326"/>
      <c r="H14824" s="326"/>
      <c r="P14824" s="318"/>
      <c r="Q14824" s="318"/>
      <c r="R14824" s="318"/>
      <c r="S14824" s="318"/>
      <c r="T14824" s="318"/>
      <c r="U14824" s="318"/>
      <c r="V14824" s="318"/>
      <c r="W14824" s="318"/>
      <c r="X14824" s="318"/>
      <c r="Y14824" s="318"/>
      <c r="Z14824" s="318"/>
      <c r="AA14824" s="318"/>
      <c r="AB14824" s="318"/>
      <c r="AC14824" s="318"/>
      <c r="AD14824" s="318"/>
    </row>
    <row r="14825" spans="2:30" s="323" customFormat="1" ht="12" customHeight="1">
      <c r="B14825" s="324"/>
      <c r="C14825" s="325"/>
      <c r="D14825" s="326"/>
      <c r="E14825" s="326"/>
      <c r="F14825" s="326"/>
      <c r="G14825" s="326"/>
      <c r="H14825" s="326"/>
      <c r="P14825" s="318"/>
      <c r="Q14825" s="318"/>
      <c r="R14825" s="318"/>
      <c r="S14825" s="318"/>
      <c r="T14825" s="318"/>
      <c r="U14825" s="318"/>
      <c r="V14825" s="318"/>
      <c r="W14825" s="318"/>
      <c r="X14825" s="318"/>
      <c r="Y14825" s="318"/>
      <c r="Z14825" s="318"/>
      <c r="AA14825" s="318"/>
      <c r="AB14825" s="318"/>
      <c r="AC14825" s="318"/>
      <c r="AD14825" s="318"/>
    </row>
    <row r="14826" spans="2:30" s="323" customFormat="1" ht="12" customHeight="1">
      <c r="B14826" s="324"/>
      <c r="C14826" s="325"/>
      <c r="D14826" s="326"/>
      <c r="E14826" s="326"/>
      <c r="F14826" s="326"/>
      <c r="G14826" s="326"/>
      <c r="H14826" s="326"/>
      <c r="P14826" s="318"/>
      <c r="Q14826" s="318"/>
      <c r="R14826" s="318"/>
      <c r="S14826" s="318"/>
      <c r="T14826" s="318"/>
      <c r="U14826" s="318"/>
      <c r="V14826" s="318"/>
      <c r="W14826" s="318"/>
      <c r="X14826" s="318"/>
      <c r="Y14826" s="318"/>
      <c r="Z14826" s="318"/>
      <c r="AA14826" s="318"/>
      <c r="AB14826" s="318"/>
      <c r="AC14826" s="318"/>
      <c r="AD14826" s="318"/>
    </row>
    <row r="14827" spans="2:30" s="323" customFormat="1" ht="12" customHeight="1">
      <c r="B14827" s="324"/>
      <c r="C14827" s="325"/>
      <c r="D14827" s="326"/>
      <c r="E14827" s="326"/>
      <c r="F14827" s="326"/>
      <c r="G14827" s="326"/>
      <c r="H14827" s="326"/>
      <c r="P14827" s="318"/>
      <c r="Q14827" s="318"/>
      <c r="R14827" s="318"/>
      <c r="S14827" s="318"/>
      <c r="T14827" s="318"/>
      <c r="U14827" s="318"/>
      <c r="V14827" s="318"/>
      <c r="W14827" s="318"/>
      <c r="X14827" s="318"/>
      <c r="Y14827" s="318"/>
      <c r="Z14827" s="318"/>
      <c r="AA14827" s="318"/>
      <c r="AB14827" s="318"/>
      <c r="AC14827" s="318"/>
      <c r="AD14827" s="318"/>
    </row>
    <row r="14828" spans="2:30" s="323" customFormat="1" ht="12" customHeight="1">
      <c r="B14828" s="324"/>
      <c r="C14828" s="325"/>
      <c r="D14828" s="326"/>
      <c r="E14828" s="326"/>
      <c r="F14828" s="326"/>
      <c r="G14828" s="326"/>
      <c r="H14828" s="326"/>
      <c r="P14828" s="318"/>
      <c r="Q14828" s="318"/>
      <c r="R14828" s="318"/>
      <c r="S14828" s="318"/>
      <c r="T14828" s="318"/>
      <c r="U14828" s="318"/>
      <c r="V14828" s="318"/>
      <c r="W14828" s="318"/>
      <c r="X14828" s="318"/>
      <c r="Y14828" s="318"/>
      <c r="Z14828" s="318"/>
      <c r="AA14828" s="318"/>
      <c r="AB14828" s="318"/>
      <c r="AC14828" s="318"/>
      <c r="AD14828" s="318"/>
    </row>
    <row r="14829" spans="2:30" s="323" customFormat="1" ht="12" customHeight="1">
      <c r="B14829" s="324"/>
      <c r="C14829" s="325"/>
      <c r="D14829" s="326"/>
      <c r="E14829" s="326"/>
      <c r="F14829" s="326"/>
      <c r="G14829" s="326"/>
      <c r="H14829" s="326"/>
      <c r="P14829" s="318"/>
      <c r="Q14829" s="318"/>
      <c r="R14829" s="318"/>
      <c r="S14829" s="318"/>
      <c r="T14829" s="318"/>
      <c r="U14829" s="318"/>
      <c r="V14829" s="318"/>
      <c r="W14829" s="318"/>
      <c r="X14829" s="318"/>
      <c r="Y14829" s="318"/>
      <c r="Z14829" s="318"/>
      <c r="AA14829" s="318"/>
      <c r="AB14829" s="318"/>
      <c r="AC14829" s="318"/>
      <c r="AD14829" s="318"/>
    </row>
    <row r="14830" spans="2:30" s="323" customFormat="1" ht="12" customHeight="1">
      <c r="B14830" s="324"/>
      <c r="C14830" s="325"/>
      <c r="D14830" s="326"/>
      <c r="E14830" s="326"/>
      <c r="F14830" s="326"/>
      <c r="G14830" s="326"/>
      <c r="H14830" s="326"/>
      <c r="P14830" s="318"/>
      <c r="Q14830" s="318"/>
      <c r="R14830" s="318"/>
      <c r="S14830" s="318"/>
      <c r="T14830" s="318"/>
      <c r="U14830" s="318"/>
      <c r="V14830" s="318"/>
      <c r="W14830" s="318"/>
      <c r="X14830" s="318"/>
      <c r="Y14830" s="318"/>
      <c r="Z14830" s="318"/>
      <c r="AA14830" s="318"/>
      <c r="AB14830" s="318"/>
      <c r="AC14830" s="318"/>
      <c r="AD14830" s="318"/>
    </row>
    <row r="14831" spans="2:30" s="323" customFormat="1" ht="12" customHeight="1">
      <c r="B14831" s="324"/>
      <c r="C14831" s="325"/>
      <c r="D14831" s="326"/>
      <c r="E14831" s="326"/>
      <c r="F14831" s="326"/>
      <c r="G14831" s="326"/>
      <c r="H14831" s="326"/>
      <c r="P14831" s="318"/>
      <c r="Q14831" s="318"/>
      <c r="R14831" s="318"/>
      <c r="S14831" s="318"/>
      <c r="T14831" s="318"/>
      <c r="U14831" s="318"/>
      <c r="V14831" s="318"/>
      <c r="W14831" s="318"/>
      <c r="X14831" s="318"/>
      <c r="Y14831" s="318"/>
      <c r="Z14831" s="318"/>
      <c r="AA14831" s="318"/>
      <c r="AB14831" s="318"/>
      <c r="AC14831" s="318"/>
      <c r="AD14831" s="318"/>
    </row>
    <row r="14832" spans="2:30" s="323" customFormat="1" ht="12" customHeight="1">
      <c r="B14832" s="324"/>
      <c r="C14832" s="325"/>
      <c r="D14832" s="326"/>
      <c r="E14832" s="326"/>
      <c r="F14832" s="326"/>
      <c r="G14832" s="326"/>
      <c r="H14832" s="326"/>
      <c r="P14832" s="318"/>
      <c r="Q14832" s="318"/>
      <c r="R14832" s="318"/>
      <c r="S14832" s="318"/>
      <c r="T14832" s="318"/>
      <c r="U14832" s="318"/>
      <c r="V14832" s="318"/>
      <c r="W14832" s="318"/>
      <c r="X14832" s="318"/>
      <c r="Y14832" s="318"/>
      <c r="Z14832" s="318"/>
      <c r="AA14832" s="318"/>
      <c r="AB14832" s="318"/>
      <c r="AC14832" s="318"/>
      <c r="AD14832" s="318"/>
    </row>
    <row r="14833" spans="2:30" s="323" customFormat="1" ht="12" customHeight="1">
      <c r="B14833" s="324"/>
      <c r="C14833" s="325"/>
      <c r="D14833" s="326"/>
      <c r="E14833" s="326"/>
      <c r="F14833" s="326"/>
      <c r="G14833" s="326"/>
      <c r="H14833" s="326"/>
      <c r="P14833" s="318"/>
      <c r="Q14833" s="318"/>
      <c r="R14833" s="318"/>
      <c r="S14833" s="318"/>
      <c r="T14833" s="318"/>
      <c r="U14833" s="318"/>
      <c r="V14833" s="318"/>
      <c r="W14833" s="318"/>
      <c r="X14833" s="318"/>
      <c r="Y14833" s="318"/>
      <c r="Z14833" s="318"/>
      <c r="AA14833" s="318"/>
      <c r="AB14833" s="318"/>
      <c r="AC14833" s="318"/>
      <c r="AD14833" s="318"/>
    </row>
    <row r="14834" spans="2:30" s="323" customFormat="1" ht="12" customHeight="1">
      <c r="B14834" s="324"/>
      <c r="C14834" s="325"/>
      <c r="D14834" s="326"/>
      <c r="E14834" s="326"/>
      <c r="F14834" s="326"/>
      <c r="G14834" s="326"/>
      <c r="H14834" s="326"/>
      <c r="P14834" s="318"/>
      <c r="Q14834" s="318"/>
      <c r="R14834" s="318"/>
      <c r="S14834" s="318"/>
      <c r="T14834" s="318"/>
      <c r="U14834" s="318"/>
      <c r="V14834" s="318"/>
      <c r="W14834" s="318"/>
      <c r="X14834" s="318"/>
      <c r="Y14834" s="318"/>
      <c r="Z14834" s="318"/>
      <c r="AA14834" s="318"/>
      <c r="AB14834" s="318"/>
      <c r="AC14834" s="318"/>
      <c r="AD14834" s="318"/>
    </row>
    <row r="14835" spans="2:30" s="323" customFormat="1" ht="12" customHeight="1">
      <c r="B14835" s="324"/>
      <c r="C14835" s="325"/>
      <c r="D14835" s="326"/>
      <c r="E14835" s="326"/>
      <c r="F14835" s="326"/>
      <c r="G14835" s="326"/>
      <c r="H14835" s="326"/>
      <c r="P14835" s="318"/>
      <c r="Q14835" s="318"/>
      <c r="R14835" s="318"/>
      <c r="S14835" s="318"/>
      <c r="T14835" s="318"/>
      <c r="U14835" s="318"/>
      <c r="V14835" s="318"/>
      <c r="W14835" s="318"/>
      <c r="X14835" s="318"/>
      <c r="Y14835" s="318"/>
      <c r="Z14835" s="318"/>
      <c r="AA14835" s="318"/>
      <c r="AB14835" s="318"/>
      <c r="AC14835" s="318"/>
      <c r="AD14835" s="318"/>
    </row>
    <row r="14836" spans="2:30" s="323" customFormat="1" ht="12" customHeight="1">
      <c r="B14836" s="324"/>
      <c r="C14836" s="325"/>
      <c r="D14836" s="326"/>
      <c r="E14836" s="326"/>
      <c r="F14836" s="326"/>
      <c r="G14836" s="326"/>
      <c r="H14836" s="326"/>
      <c r="P14836" s="318"/>
      <c r="Q14836" s="318"/>
      <c r="R14836" s="318"/>
      <c r="S14836" s="318"/>
      <c r="T14836" s="318"/>
      <c r="U14836" s="318"/>
      <c r="V14836" s="318"/>
      <c r="W14836" s="318"/>
      <c r="X14836" s="318"/>
      <c r="Y14836" s="318"/>
      <c r="Z14836" s="318"/>
      <c r="AA14836" s="318"/>
      <c r="AB14836" s="318"/>
      <c r="AC14836" s="318"/>
      <c r="AD14836" s="318"/>
    </row>
    <row r="14837" spans="2:30" s="323" customFormat="1" ht="12" customHeight="1">
      <c r="B14837" s="324"/>
      <c r="C14837" s="325"/>
      <c r="D14837" s="326"/>
      <c r="E14837" s="326"/>
      <c r="F14837" s="326"/>
      <c r="G14837" s="326"/>
      <c r="H14837" s="326"/>
      <c r="P14837" s="318"/>
      <c r="Q14837" s="318"/>
      <c r="R14837" s="318"/>
      <c r="S14837" s="318"/>
      <c r="T14837" s="318"/>
      <c r="U14837" s="318"/>
      <c r="V14837" s="318"/>
      <c r="W14837" s="318"/>
      <c r="X14837" s="318"/>
      <c r="Y14837" s="318"/>
      <c r="Z14837" s="318"/>
      <c r="AA14837" s="318"/>
      <c r="AB14837" s="318"/>
      <c r="AC14837" s="318"/>
      <c r="AD14837" s="318"/>
    </row>
    <row r="14838" spans="2:30" s="323" customFormat="1" ht="12" customHeight="1">
      <c r="B14838" s="324"/>
      <c r="C14838" s="325"/>
      <c r="D14838" s="326"/>
      <c r="E14838" s="326"/>
      <c r="F14838" s="326"/>
      <c r="G14838" s="326"/>
      <c r="H14838" s="326"/>
      <c r="P14838" s="318"/>
      <c r="Q14838" s="318"/>
      <c r="R14838" s="318"/>
      <c r="S14838" s="318"/>
      <c r="T14838" s="318"/>
      <c r="U14838" s="318"/>
      <c r="V14838" s="318"/>
      <c r="W14838" s="318"/>
      <c r="X14838" s="318"/>
      <c r="Y14838" s="318"/>
      <c r="Z14838" s="318"/>
      <c r="AA14838" s="318"/>
      <c r="AB14838" s="318"/>
      <c r="AC14838" s="318"/>
      <c r="AD14838" s="318"/>
    </row>
    <row r="14839" spans="2:30" s="323" customFormat="1" ht="12" customHeight="1">
      <c r="B14839" s="324"/>
      <c r="C14839" s="325"/>
      <c r="D14839" s="326"/>
      <c r="E14839" s="326"/>
      <c r="F14839" s="326"/>
      <c r="G14839" s="326"/>
      <c r="H14839" s="326"/>
      <c r="P14839" s="318"/>
      <c r="Q14839" s="318"/>
      <c r="R14839" s="318"/>
      <c r="S14839" s="318"/>
      <c r="T14839" s="318"/>
      <c r="U14839" s="318"/>
      <c r="V14839" s="318"/>
      <c r="W14839" s="318"/>
      <c r="X14839" s="318"/>
      <c r="Y14839" s="318"/>
      <c r="Z14839" s="318"/>
      <c r="AA14839" s="318"/>
      <c r="AB14839" s="318"/>
      <c r="AC14839" s="318"/>
      <c r="AD14839" s="318"/>
    </row>
    <row r="14840" spans="2:30" s="323" customFormat="1" ht="12" customHeight="1">
      <c r="B14840" s="324"/>
      <c r="C14840" s="325"/>
      <c r="D14840" s="326"/>
      <c r="E14840" s="326"/>
      <c r="F14840" s="326"/>
      <c r="G14840" s="326"/>
      <c r="H14840" s="326"/>
      <c r="P14840" s="318"/>
      <c r="Q14840" s="318"/>
      <c r="R14840" s="318"/>
      <c r="S14840" s="318"/>
      <c r="T14840" s="318"/>
      <c r="U14840" s="318"/>
      <c r="V14840" s="318"/>
      <c r="W14840" s="318"/>
      <c r="X14840" s="318"/>
      <c r="Y14840" s="318"/>
      <c r="Z14840" s="318"/>
      <c r="AA14840" s="318"/>
      <c r="AB14840" s="318"/>
      <c r="AC14840" s="318"/>
      <c r="AD14840" s="318"/>
    </row>
    <row r="14841" spans="2:30" s="323" customFormat="1" ht="12" customHeight="1">
      <c r="B14841" s="324"/>
      <c r="C14841" s="325"/>
      <c r="D14841" s="326"/>
      <c r="E14841" s="326"/>
      <c r="F14841" s="326"/>
      <c r="G14841" s="326"/>
      <c r="H14841" s="326"/>
      <c r="P14841" s="318"/>
      <c r="Q14841" s="318"/>
      <c r="R14841" s="318"/>
      <c r="S14841" s="318"/>
      <c r="T14841" s="318"/>
      <c r="U14841" s="318"/>
      <c r="V14841" s="318"/>
      <c r="W14841" s="318"/>
      <c r="X14841" s="318"/>
      <c r="Y14841" s="318"/>
      <c r="Z14841" s="318"/>
      <c r="AA14841" s="318"/>
      <c r="AB14841" s="318"/>
      <c r="AC14841" s="318"/>
      <c r="AD14841" s="318"/>
    </row>
    <row r="14842" spans="2:30" s="323" customFormat="1" ht="12" customHeight="1">
      <c r="B14842" s="324"/>
      <c r="C14842" s="325"/>
      <c r="D14842" s="326"/>
      <c r="E14842" s="326"/>
      <c r="F14842" s="326"/>
      <c r="G14842" s="326"/>
      <c r="H14842" s="326"/>
      <c r="P14842" s="318"/>
      <c r="Q14842" s="318"/>
      <c r="R14842" s="318"/>
      <c r="S14842" s="318"/>
      <c r="T14842" s="318"/>
      <c r="U14842" s="318"/>
      <c r="V14842" s="318"/>
      <c r="W14842" s="318"/>
      <c r="X14842" s="318"/>
      <c r="Y14842" s="318"/>
      <c r="Z14842" s="318"/>
      <c r="AA14842" s="318"/>
      <c r="AB14842" s="318"/>
      <c r="AC14842" s="318"/>
      <c r="AD14842" s="318"/>
    </row>
    <row r="14843" spans="2:30" s="323" customFormat="1" ht="12" customHeight="1">
      <c r="B14843" s="324"/>
      <c r="C14843" s="325"/>
      <c r="D14843" s="326"/>
      <c r="E14843" s="326"/>
      <c r="F14843" s="326"/>
      <c r="G14843" s="326"/>
      <c r="H14843" s="326"/>
      <c r="P14843" s="318"/>
      <c r="Q14843" s="318"/>
      <c r="R14843" s="318"/>
      <c r="S14843" s="318"/>
      <c r="T14843" s="318"/>
      <c r="U14843" s="318"/>
      <c r="V14843" s="318"/>
      <c r="W14843" s="318"/>
      <c r="X14843" s="318"/>
      <c r="Y14843" s="318"/>
      <c r="Z14843" s="318"/>
      <c r="AA14843" s="318"/>
      <c r="AB14843" s="318"/>
      <c r="AC14843" s="318"/>
      <c r="AD14843" s="318"/>
    </row>
    <row r="14844" spans="2:30" s="323" customFormat="1" ht="12" customHeight="1">
      <c r="B14844" s="324"/>
      <c r="C14844" s="325"/>
      <c r="D14844" s="326"/>
      <c r="E14844" s="326"/>
      <c r="F14844" s="326"/>
      <c r="G14844" s="326"/>
      <c r="H14844" s="326"/>
      <c r="P14844" s="318"/>
      <c r="Q14844" s="318"/>
      <c r="R14844" s="318"/>
      <c r="S14844" s="318"/>
      <c r="T14844" s="318"/>
      <c r="U14844" s="318"/>
      <c r="V14844" s="318"/>
      <c r="W14844" s="318"/>
      <c r="X14844" s="318"/>
      <c r="Y14844" s="318"/>
      <c r="Z14844" s="318"/>
      <c r="AA14844" s="318"/>
      <c r="AB14844" s="318"/>
      <c r="AC14844" s="318"/>
      <c r="AD14844" s="318"/>
    </row>
    <row r="14845" spans="2:30" s="323" customFormat="1" ht="12" customHeight="1">
      <c r="B14845" s="324"/>
      <c r="C14845" s="325"/>
      <c r="D14845" s="326"/>
      <c r="E14845" s="326"/>
      <c r="F14845" s="326"/>
      <c r="G14845" s="326"/>
      <c r="H14845" s="326"/>
      <c r="P14845" s="318"/>
      <c r="Q14845" s="318"/>
      <c r="R14845" s="318"/>
      <c r="S14845" s="318"/>
      <c r="T14845" s="318"/>
      <c r="U14845" s="318"/>
      <c r="V14845" s="318"/>
      <c r="W14845" s="318"/>
      <c r="X14845" s="318"/>
      <c r="Y14845" s="318"/>
      <c r="Z14845" s="318"/>
      <c r="AA14845" s="318"/>
      <c r="AB14845" s="318"/>
      <c r="AC14845" s="318"/>
      <c r="AD14845" s="318"/>
    </row>
    <row r="14846" spans="2:30" s="323" customFormat="1" ht="12" customHeight="1">
      <c r="B14846" s="324"/>
      <c r="C14846" s="325"/>
      <c r="D14846" s="326"/>
      <c r="E14846" s="326"/>
      <c r="F14846" s="326"/>
      <c r="G14846" s="326"/>
      <c r="H14846" s="326"/>
      <c r="P14846" s="318"/>
      <c r="Q14846" s="318"/>
      <c r="R14846" s="318"/>
      <c r="S14846" s="318"/>
      <c r="T14846" s="318"/>
      <c r="U14846" s="318"/>
      <c r="V14846" s="318"/>
      <c r="W14846" s="318"/>
      <c r="X14846" s="318"/>
      <c r="Y14846" s="318"/>
      <c r="Z14846" s="318"/>
      <c r="AA14846" s="318"/>
      <c r="AB14846" s="318"/>
      <c r="AC14846" s="318"/>
      <c r="AD14846" s="318"/>
    </row>
    <row r="14847" spans="2:30" s="323" customFormat="1" ht="12" customHeight="1">
      <c r="B14847" s="324"/>
      <c r="C14847" s="325"/>
      <c r="D14847" s="326"/>
      <c r="E14847" s="326"/>
      <c r="F14847" s="326"/>
      <c r="G14847" s="326"/>
      <c r="H14847" s="326"/>
      <c r="P14847" s="318"/>
      <c r="Q14847" s="318"/>
      <c r="R14847" s="318"/>
      <c r="S14847" s="318"/>
      <c r="T14847" s="318"/>
      <c r="U14847" s="318"/>
      <c r="V14847" s="318"/>
      <c r="W14847" s="318"/>
      <c r="X14847" s="318"/>
      <c r="Y14847" s="318"/>
      <c r="Z14847" s="318"/>
      <c r="AA14847" s="318"/>
      <c r="AB14847" s="318"/>
      <c r="AC14847" s="318"/>
      <c r="AD14847" s="318"/>
    </row>
    <row r="14848" spans="2:30" s="323" customFormat="1" ht="12" customHeight="1">
      <c r="B14848" s="324"/>
      <c r="C14848" s="325"/>
      <c r="D14848" s="326"/>
      <c r="E14848" s="326"/>
      <c r="F14848" s="326"/>
      <c r="G14848" s="326"/>
      <c r="H14848" s="326"/>
      <c r="P14848" s="318"/>
      <c r="Q14848" s="318"/>
      <c r="R14848" s="318"/>
      <c r="S14848" s="318"/>
      <c r="T14848" s="318"/>
      <c r="U14848" s="318"/>
      <c r="V14848" s="318"/>
      <c r="W14848" s="318"/>
      <c r="X14848" s="318"/>
      <c r="Y14848" s="318"/>
      <c r="Z14848" s="318"/>
      <c r="AA14848" s="318"/>
      <c r="AB14848" s="318"/>
      <c r="AC14848" s="318"/>
      <c r="AD14848" s="318"/>
    </row>
    <row r="14849" spans="2:30" s="323" customFormat="1" ht="12" customHeight="1">
      <c r="B14849" s="324"/>
      <c r="C14849" s="325"/>
      <c r="D14849" s="326"/>
      <c r="E14849" s="326"/>
      <c r="F14849" s="326"/>
      <c r="G14849" s="326"/>
      <c r="H14849" s="326"/>
      <c r="P14849" s="318"/>
      <c r="Q14849" s="318"/>
      <c r="R14849" s="318"/>
      <c r="S14849" s="318"/>
      <c r="T14849" s="318"/>
      <c r="U14849" s="318"/>
      <c r="V14849" s="318"/>
      <c r="W14849" s="318"/>
      <c r="X14849" s="318"/>
      <c r="Y14849" s="318"/>
      <c r="Z14849" s="318"/>
      <c r="AA14849" s="318"/>
      <c r="AB14849" s="318"/>
      <c r="AC14849" s="318"/>
      <c r="AD14849" s="318"/>
    </row>
    <row r="14850" spans="2:30" s="323" customFormat="1" ht="12" customHeight="1">
      <c r="B14850" s="324"/>
      <c r="C14850" s="325"/>
      <c r="D14850" s="326"/>
      <c r="E14850" s="326"/>
      <c r="F14850" s="326"/>
      <c r="G14850" s="326"/>
      <c r="H14850" s="326"/>
      <c r="P14850" s="318"/>
      <c r="Q14850" s="318"/>
      <c r="R14850" s="318"/>
      <c r="S14850" s="318"/>
      <c r="T14850" s="318"/>
      <c r="U14850" s="318"/>
      <c r="V14850" s="318"/>
      <c r="W14850" s="318"/>
      <c r="X14850" s="318"/>
      <c r="Y14850" s="318"/>
      <c r="Z14850" s="318"/>
      <c r="AA14850" s="318"/>
      <c r="AB14850" s="318"/>
      <c r="AC14850" s="318"/>
      <c r="AD14850" s="318"/>
    </row>
    <row r="14851" spans="2:30" s="323" customFormat="1" ht="12" customHeight="1">
      <c r="B14851" s="324"/>
      <c r="C14851" s="325"/>
      <c r="D14851" s="326"/>
      <c r="E14851" s="326"/>
      <c r="F14851" s="326"/>
      <c r="G14851" s="326"/>
      <c r="H14851" s="326"/>
      <c r="P14851" s="318"/>
      <c r="Q14851" s="318"/>
      <c r="R14851" s="318"/>
      <c r="S14851" s="318"/>
      <c r="T14851" s="318"/>
      <c r="U14851" s="318"/>
      <c r="V14851" s="318"/>
      <c r="W14851" s="318"/>
      <c r="X14851" s="318"/>
      <c r="Y14851" s="318"/>
      <c r="Z14851" s="318"/>
      <c r="AA14851" s="318"/>
      <c r="AB14851" s="318"/>
      <c r="AC14851" s="318"/>
      <c r="AD14851" s="318"/>
    </row>
    <row r="14852" spans="2:30" s="323" customFormat="1" ht="12" customHeight="1">
      <c r="B14852" s="324"/>
      <c r="C14852" s="325"/>
      <c r="D14852" s="326"/>
      <c r="E14852" s="326"/>
      <c r="F14852" s="326"/>
      <c r="G14852" s="326"/>
      <c r="H14852" s="326"/>
      <c r="P14852" s="318"/>
      <c r="Q14852" s="318"/>
      <c r="R14852" s="318"/>
      <c r="S14852" s="318"/>
      <c r="T14852" s="318"/>
      <c r="U14852" s="318"/>
      <c r="V14852" s="318"/>
      <c r="W14852" s="318"/>
      <c r="X14852" s="318"/>
      <c r="Y14852" s="318"/>
      <c r="Z14852" s="318"/>
      <c r="AA14852" s="318"/>
      <c r="AB14852" s="318"/>
      <c r="AC14852" s="318"/>
      <c r="AD14852" s="318"/>
    </row>
    <row r="14853" spans="2:30" s="323" customFormat="1" ht="12" customHeight="1">
      <c r="B14853" s="324"/>
      <c r="C14853" s="325"/>
      <c r="D14853" s="326"/>
      <c r="E14853" s="326"/>
      <c r="F14853" s="326"/>
      <c r="G14853" s="326"/>
      <c r="H14853" s="326"/>
      <c r="P14853" s="318"/>
      <c r="Q14853" s="318"/>
      <c r="R14853" s="318"/>
      <c r="S14853" s="318"/>
      <c r="T14853" s="318"/>
      <c r="U14853" s="318"/>
      <c r="V14853" s="318"/>
      <c r="W14853" s="318"/>
      <c r="X14853" s="318"/>
      <c r="Y14853" s="318"/>
      <c r="Z14853" s="318"/>
      <c r="AA14853" s="318"/>
      <c r="AB14853" s="318"/>
      <c r="AC14853" s="318"/>
      <c r="AD14853" s="318"/>
    </row>
    <row r="14854" spans="2:30" s="323" customFormat="1" ht="12" customHeight="1">
      <c r="B14854" s="324"/>
      <c r="C14854" s="325"/>
      <c r="D14854" s="326"/>
      <c r="E14854" s="326"/>
      <c r="F14854" s="326"/>
      <c r="G14854" s="326"/>
      <c r="H14854" s="326"/>
      <c r="P14854" s="318"/>
      <c r="Q14854" s="318"/>
      <c r="R14854" s="318"/>
      <c r="S14854" s="318"/>
      <c r="T14854" s="318"/>
      <c r="U14854" s="318"/>
      <c r="V14854" s="318"/>
      <c r="W14854" s="318"/>
      <c r="X14854" s="318"/>
      <c r="Y14854" s="318"/>
      <c r="Z14854" s="318"/>
      <c r="AA14854" s="318"/>
      <c r="AB14854" s="318"/>
      <c r="AC14854" s="318"/>
      <c r="AD14854" s="318"/>
    </row>
    <row r="14855" spans="2:30" s="323" customFormat="1" ht="12" customHeight="1">
      <c r="B14855" s="324"/>
      <c r="C14855" s="325"/>
      <c r="D14855" s="326"/>
      <c r="E14855" s="326"/>
      <c r="F14855" s="326"/>
      <c r="G14855" s="326"/>
      <c r="H14855" s="326"/>
      <c r="P14855" s="318"/>
      <c r="Q14855" s="318"/>
      <c r="R14855" s="318"/>
      <c r="S14855" s="318"/>
      <c r="T14855" s="318"/>
      <c r="U14855" s="318"/>
      <c r="V14855" s="318"/>
      <c r="W14855" s="318"/>
      <c r="X14855" s="318"/>
      <c r="Y14855" s="318"/>
      <c r="Z14855" s="318"/>
      <c r="AA14855" s="318"/>
      <c r="AB14855" s="318"/>
      <c r="AC14855" s="318"/>
      <c r="AD14855" s="318"/>
    </row>
    <row r="14856" spans="2:30" s="323" customFormat="1" ht="12" customHeight="1">
      <c r="B14856" s="324"/>
      <c r="C14856" s="325"/>
      <c r="D14856" s="326"/>
      <c r="E14856" s="326"/>
      <c r="F14856" s="326"/>
      <c r="G14856" s="326"/>
      <c r="H14856" s="326"/>
      <c r="P14856" s="318"/>
      <c r="Q14856" s="318"/>
      <c r="R14856" s="318"/>
      <c r="S14856" s="318"/>
      <c r="T14856" s="318"/>
      <c r="U14856" s="318"/>
      <c r="V14856" s="318"/>
      <c r="W14856" s="318"/>
      <c r="X14856" s="318"/>
      <c r="Y14856" s="318"/>
      <c r="Z14856" s="318"/>
      <c r="AA14856" s="318"/>
      <c r="AB14856" s="318"/>
      <c r="AC14856" s="318"/>
      <c r="AD14856" s="318"/>
    </row>
    <row r="14857" spans="2:30" s="323" customFormat="1" ht="12" customHeight="1">
      <c r="B14857" s="324"/>
      <c r="C14857" s="325"/>
      <c r="D14857" s="326"/>
      <c r="E14857" s="326"/>
      <c r="F14857" s="326"/>
      <c r="G14857" s="326"/>
      <c r="H14857" s="326"/>
      <c r="P14857" s="318"/>
      <c r="Q14857" s="318"/>
      <c r="R14857" s="318"/>
      <c r="S14857" s="318"/>
      <c r="T14857" s="318"/>
      <c r="U14857" s="318"/>
      <c r="V14857" s="318"/>
      <c r="W14857" s="318"/>
      <c r="X14857" s="318"/>
      <c r="Y14857" s="318"/>
      <c r="Z14857" s="318"/>
      <c r="AA14857" s="318"/>
      <c r="AB14857" s="318"/>
      <c r="AC14857" s="318"/>
      <c r="AD14857" s="318"/>
    </row>
    <row r="14858" spans="2:30" s="323" customFormat="1" ht="12" customHeight="1">
      <c r="B14858" s="324"/>
      <c r="C14858" s="325"/>
      <c r="D14858" s="326"/>
      <c r="E14858" s="326"/>
      <c r="F14858" s="326"/>
      <c r="G14858" s="326"/>
      <c r="H14858" s="326"/>
      <c r="P14858" s="318"/>
      <c r="Q14858" s="318"/>
      <c r="R14858" s="318"/>
      <c r="S14858" s="318"/>
      <c r="T14858" s="318"/>
      <c r="U14858" s="318"/>
      <c r="V14858" s="318"/>
      <c r="W14858" s="318"/>
      <c r="X14858" s="318"/>
      <c r="Y14858" s="318"/>
      <c r="Z14858" s="318"/>
      <c r="AA14858" s="318"/>
      <c r="AB14858" s="318"/>
      <c r="AC14858" s="318"/>
      <c r="AD14858" s="318"/>
    </row>
    <row r="14859" spans="2:30" s="323" customFormat="1" ht="12" customHeight="1">
      <c r="B14859" s="324"/>
      <c r="C14859" s="325"/>
      <c r="D14859" s="326"/>
      <c r="E14859" s="326"/>
      <c r="F14859" s="326"/>
      <c r="G14859" s="326"/>
      <c r="H14859" s="326"/>
      <c r="P14859" s="318"/>
      <c r="Q14859" s="318"/>
      <c r="R14859" s="318"/>
      <c r="S14859" s="318"/>
      <c r="T14859" s="318"/>
      <c r="U14859" s="318"/>
      <c r="V14859" s="318"/>
      <c r="W14859" s="318"/>
      <c r="X14859" s="318"/>
      <c r="Y14859" s="318"/>
      <c r="Z14859" s="318"/>
      <c r="AA14859" s="318"/>
      <c r="AB14859" s="318"/>
      <c r="AC14859" s="318"/>
      <c r="AD14859" s="318"/>
    </row>
    <row r="14860" spans="2:30" s="323" customFormat="1" ht="12" customHeight="1">
      <c r="B14860" s="324"/>
      <c r="C14860" s="325"/>
      <c r="D14860" s="326"/>
      <c r="E14860" s="326"/>
      <c r="F14860" s="326"/>
      <c r="G14860" s="326"/>
      <c r="H14860" s="326"/>
      <c r="P14860" s="318"/>
      <c r="Q14860" s="318"/>
      <c r="R14860" s="318"/>
      <c r="S14860" s="318"/>
      <c r="T14860" s="318"/>
      <c r="U14860" s="318"/>
      <c r="V14860" s="318"/>
      <c r="W14860" s="318"/>
      <c r="X14860" s="318"/>
      <c r="Y14860" s="318"/>
      <c r="Z14860" s="318"/>
      <c r="AA14860" s="318"/>
      <c r="AB14860" s="318"/>
      <c r="AC14860" s="318"/>
      <c r="AD14860" s="318"/>
    </row>
    <row r="14861" spans="2:30" s="323" customFormat="1" ht="12" customHeight="1">
      <c r="B14861" s="324"/>
      <c r="C14861" s="325"/>
      <c r="D14861" s="326"/>
      <c r="E14861" s="326"/>
      <c r="F14861" s="326"/>
      <c r="G14861" s="326"/>
      <c r="H14861" s="326"/>
      <c r="P14861" s="318"/>
      <c r="Q14861" s="318"/>
      <c r="R14861" s="318"/>
      <c r="S14861" s="318"/>
      <c r="T14861" s="318"/>
      <c r="U14861" s="318"/>
      <c r="V14861" s="318"/>
      <c r="W14861" s="318"/>
      <c r="X14861" s="318"/>
      <c r="Y14861" s="318"/>
      <c r="Z14861" s="318"/>
      <c r="AA14861" s="318"/>
      <c r="AB14861" s="318"/>
      <c r="AC14861" s="318"/>
      <c r="AD14861" s="318"/>
    </row>
    <row r="14862" spans="2:30" s="323" customFormat="1" ht="12" customHeight="1">
      <c r="B14862" s="324"/>
      <c r="C14862" s="325"/>
      <c r="D14862" s="326"/>
      <c r="E14862" s="326"/>
      <c r="F14862" s="326"/>
      <c r="G14862" s="326"/>
      <c r="H14862" s="326"/>
      <c r="P14862" s="318"/>
      <c r="Q14862" s="318"/>
      <c r="R14862" s="318"/>
      <c r="S14862" s="318"/>
      <c r="T14862" s="318"/>
      <c r="U14862" s="318"/>
      <c r="V14862" s="318"/>
      <c r="W14862" s="318"/>
      <c r="X14862" s="318"/>
      <c r="Y14862" s="318"/>
      <c r="Z14862" s="318"/>
      <c r="AA14862" s="318"/>
      <c r="AB14862" s="318"/>
      <c r="AC14862" s="318"/>
      <c r="AD14862" s="318"/>
    </row>
    <row r="14863" spans="2:30" s="323" customFormat="1" ht="12" customHeight="1">
      <c r="B14863" s="324"/>
      <c r="C14863" s="325"/>
      <c r="D14863" s="326"/>
      <c r="E14863" s="326"/>
      <c r="F14863" s="326"/>
      <c r="G14863" s="326"/>
      <c r="H14863" s="326"/>
      <c r="P14863" s="318"/>
      <c r="Q14863" s="318"/>
      <c r="R14863" s="318"/>
      <c r="S14863" s="318"/>
      <c r="T14863" s="318"/>
      <c r="U14863" s="318"/>
      <c r="V14863" s="318"/>
      <c r="W14863" s="318"/>
      <c r="X14863" s="318"/>
      <c r="Y14863" s="318"/>
      <c r="Z14863" s="318"/>
      <c r="AA14863" s="318"/>
      <c r="AB14863" s="318"/>
      <c r="AC14863" s="318"/>
      <c r="AD14863" s="318"/>
    </row>
    <row r="14864" spans="2:30" s="323" customFormat="1" ht="12" customHeight="1">
      <c r="B14864" s="324"/>
      <c r="C14864" s="325"/>
      <c r="D14864" s="326"/>
      <c r="E14864" s="326"/>
      <c r="F14864" s="326"/>
      <c r="G14864" s="326"/>
      <c r="H14864" s="326"/>
      <c r="P14864" s="318"/>
      <c r="Q14864" s="318"/>
      <c r="R14864" s="318"/>
      <c r="S14864" s="318"/>
      <c r="T14864" s="318"/>
      <c r="U14864" s="318"/>
      <c r="V14864" s="318"/>
      <c r="W14864" s="318"/>
      <c r="X14864" s="318"/>
      <c r="Y14864" s="318"/>
      <c r="Z14864" s="318"/>
      <c r="AA14864" s="318"/>
      <c r="AB14864" s="318"/>
      <c r="AC14864" s="318"/>
      <c r="AD14864" s="318"/>
    </row>
    <row r="14865" spans="2:30" s="323" customFormat="1" ht="12" customHeight="1">
      <c r="B14865" s="324"/>
      <c r="C14865" s="325"/>
      <c r="D14865" s="326"/>
      <c r="E14865" s="326"/>
      <c r="F14865" s="326"/>
      <c r="G14865" s="326"/>
      <c r="H14865" s="326"/>
      <c r="P14865" s="318"/>
      <c r="Q14865" s="318"/>
      <c r="R14865" s="318"/>
      <c r="S14865" s="318"/>
      <c r="T14865" s="318"/>
      <c r="U14865" s="318"/>
      <c r="V14865" s="318"/>
      <c r="W14865" s="318"/>
      <c r="X14865" s="318"/>
      <c r="Y14865" s="318"/>
      <c r="Z14865" s="318"/>
      <c r="AA14865" s="318"/>
      <c r="AB14865" s="318"/>
      <c r="AC14865" s="318"/>
      <c r="AD14865" s="318"/>
    </row>
    <row r="14866" spans="2:30" s="323" customFormat="1" ht="12" customHeight="1">
      <c r="B14866" s="324"/>
      <c r="C14866" s="325"/>
      <c r="D14866" s="326"/>
      <c r="E14866" s="326"/>
      <c r="F14866" s="326"/>
      <c r="G14866" s="326"/>
      <c r="H14866" s="326"/>
      <c r="P14866" s="318"/>
      <c r="Q14866" s="318"/>
      <c r="R14866" s="318"/>
      <c r="S14866" s="318"/>
      <c r="T14866" s="318"/>
      <c r="U14866" s="318"/>
      <c r="V14866" s="318"/>
      <c r="W14866" s="318"/>
      <c r="X14866" s="318"/>
      <c r="Y14866" s="318"/>
      <c r="Z14866" s="318"/>
      <c r="AA14866" s="318"/>
      <c r="AB14866" s="318"/>
      <c r="AC14866" s="318"/>
      <c r="AD14866" s="318"/>
    </row>
    <row r="14867" spans="2:30" s="323" customFormat="1" ht="12" customHeight="1">
      <c r="B14867" s="324"/>
      <c r="C14867" s="325"/>
      <c r="D14867" s="326"/>
      <c r="E14867" s="326"/>
      <c r="F14867" s="326"/>
      <c r="G14867" s="326"/>
      <c r="H14867" s="326"/>
      <c r="P14867" s="318"/>
      <c r="Q14867" s="318"/>
      <c r="R14867" s="318"/>
      <c r="S14867" s="318"/>
      <c r="T14867" s="318"/>
      <c r="U14867" s="318"/>
      <c r="V14867" s="318"/>
      <c r="W14867" s="318"/>
      <c r="X14867" s="318"/>
      <c r="Y14867" s="318"/>
      <c r="Z14867" s="318"/>
      <c r="AA14867" s="318"/>
      <c r="AB14867" s="318"/>
      <c r="AC14867" s="318"/>
      <c r="AD14867" s="318"/>
    </row>
    <row r="14868" spans="2:30" s="323" customFormat="1" ht="12" customHeight="1">
      <c r="B14868" s="324"/>
      <c r="C14868" s="325"/>
      <c r="D14868" s="326"/>
      <c r="E14868" s="326"/>
      <c r="F14868" s="326"/>
      <c r="G14868" s="326"/>
      <c r="H14868" s="326"/>
      <c r="P14868" s="318"/>
      <c r="Q14868" s="318"/>
      <c r="R14868" s="318"/>
      <c r="S14868" s="318"/>
      <c r="T14868" s="318"/>
      <c r="U14868" s="318"/>
      <c r="V14868" s="318"/>
      <c r="W14868" s="318"/>
      <c r="X14868" s="318"/>
      <c r="Y14868" s="318"/>
      <c r="Z14868" s="318"/>
      <c r="AA14868" s="318"/>
      <c r="AB14868" s="318"/>
      <c r="AC14868" s="318"/>
      <c r="AD14868" s="318"/>
    </row>
    <row r="14869" spans="2:30" s="323" customFormat="1" ht="12" customHeight="1">
      <c r="B14869" s="324"/>
      <c r="C14869" s="325"/>
      <c r="D14869" s="326"/>
      <c r="E14869" s="326"/>
      <c r="F14869" s="326"/>
      <c r="G14869" s="326"/>
      <c r="H14869" s="326"/>
      <c r="P14869" s="318"/>
      <c r="Q14869" s="318"/>
      <c r="R14869" s="318"/>
      <c r="S14869" s="318"/>
      <c r="T14869" s="318"/>
      <c r="U14869" s="318"/>
      <c r="V14869" s="318"/>
      <c r="W14869" s="318"/>
      <c r="X14869" s="318"/>
      <c r="Y14869" s="318"/>
      <c r="Z14869" s="318"/>
      <c r="AA14869" s="318"/>
      <c r="AB14869" s="318"/>
      <c r="AC14869" s="318"/>
      <c r="AD14869" s="318"/>
    </row>
    <row r="14870" spans="2:30" s="323" customFormat="1" ht="12" customHeight="1">
      <c r="B14870" s="324"/>
      <c r="C14870" s="325"/>
      <c r="D14870" s="326"/>
      <c r="E14870" s="326"/>
      <c r="F14870" s="326"/>
      <c r="G14870" s="326"/>
      <c r="H14870" s="326"/>
      <c r="P14870" s="318"/>
      <c r="Q14870" s="318"/>
      <c r="R14870" s="318"/>
      <c r="S14870" s="318"/>
      <c r="T14870" s="318"/>
      <c r="U14870" s="318"/>
      <c r="V14870" s="318"/>
      <c r="W14870" s="318"/>
      <c r="X14870" s="318"/>
      <c r="Y14870" s="318"/>
      <c r="Z14870" s="318"/>
      <c r="AA14870" s="318"/>
      <c r="AB14870" s="318"/>
      <c r="AC14870" s="318"/>
      <c r="AD14870" s="318"/>
    </row>
    <row r="14871" spans="2:30" s="323" customFormat="1" ht="12" customHeight="1">
      <c r="B14871" s="324"/>
      <c r="C14871" s="325"/>
      <c r="D14871" s="326"/>
      <c r="E14871" s="326"/>
      <c r="F14871" s="326"/>
      <c r="G14871" s="326"/>
      <c r="H14871" s="326"/>
      <c r="P14871" s="318"/>
      <c r="Q14871" s="318"/>
      <c r="R14871" s="318"/>
      <c r="S14871" s="318"/>
      <c r="T14871" s="318"/>
      <c r="U14871" s="318"/>
      <c r="V14871" s="318"/>
      <c r="W14871" s="318"/>
      <c r="X14871" s="318"/>
      <c r="Y14871" s="318"/>
      <c r="Z14871" s="318"/>
      <c r="AA14871" s="318"/>
      <c r="AB14871" s="318"/>
      <c r="AC14871" s="318"/>
      <c r="AD14871" s="318"/>
    </row>
    <row r="14872" spans="2:30" s="323" customFormat="1" ht="12" customHeight="1">
      <c r="B14872" s="324"/>
      <c r="C14872" s="325"/>
      <c r="D14872" s="326"/>
      <c r="E14872" s="326"/>
      <c r="F14872" s="326"/>
      <c r="G14872" s="326"/>
      <c r="H14872" s="326"/>
      <c r="P14872" s="318"/>
      <c r="Q14872" s="318"/>
      <c r="R14872" s="318"/>
      <c r="S14872" s="318"/>
      <c r="T14872" s="318"/>
      <c r="U14872" s="318"/>
      <c r="V14872" s="318"/>
      <c r="W14872" s="318"/>
      <c r="X14872" s="318"/>
      <c r="Y14872" s="318"/>
      <c r="Z14872" s="318"/>
      <c r="AA14872" s="318"/>
      <c r="AB14872" s="318"/>
      <c r="AC14872" s="318"/>
      <c r="AD14872" s="318"/>
    </row>
    <row r="14873" spans="2:30" s="323" customFormat="1" ht="12" customHeight="1">
      <c r="B14873" s="324"/>
      <c r="C14873" s="325"/>
      <c r="D14873" s="326"/>
      <c r="E14873" s="326"/>
      <c r="F14873" s="326"/>
      <c r="G14873" s="326"/>
      <c r="H14873" s="326"/>
      <c r="P14873" s="318"/>
      <c r="Q14873" s="318"/>
      <c r="R14873" s="318"/>
      <c r="S14873" s="318"/>
      <c r="T14873" s="318"/>
      <c r="U14873" s="318"/>
      <c r="V14873" s="318"/>
      <c r="W14873" s="318"/>
      <c r="X14873" s="318"/>
      <c r="Y14873" s="318"/>
      <c r="Z14873" s="318"/>
      <c r="AA14873" s="318"/>
      <c r="AB14873" s="318"/>
      <c r="AC14873" s="318"/>
      <c r="AD14873" s="318"/>
    </row>
    <row r="14874" spans="2:30" s="323" customFormat="1" ht="12" customHeight="1">
      <c r="B14874" s="324"/>
      <c r="C14874" s="325"/>
      <c r="D14874" s="326"/>
      <c r="E14874" s="326"/>
      <c r="F14874" s="326"/>
      <c r="G14874" s="326"/>
      <c r="H14874" s="326"/>
      <c r="P14874" s="318"/>
      <c r="Q14874" s="318"/>
      <c r="R14874" s="318"/>
      <c r="S14874" s="318"/>
      <c r="T14874" s="318"/>
      <c r="U14874" s="318"/>
      <c r="V14874" s="318"/>
      <c r="W14874" s="318"/>
      <c r="X14874" s="318"/>
      <c r="Y14874" s="318"/>
      <c r="Z14874" s="318"/>
      <c r="AA14874" s="318"/>
      <c r="AB14874" s="318"/>
      <c r="AC14874" s="318"/>
      <c r="AD14874" s="318"/>
    </row>
    <row r="14875" spans="2:30" s="323" customFormat="1" ht="12" customHeight="1">
      <c r="B14875" s="324"/>
      <c r="C14875" s="325"/>
      <c r="D14875" s="326"/>
      <c r="E14875" s="326"/>
      <c r="F14875" s="326"/>
      <c r="G14875" s="326"/>
      <c r="H14875" s="326"/>
      <c r="P14875" s="318"/>
      <c r="Q14875" s="318"/>
      <c r="R14875" s="318"/>
      <c r="S14875" s="318"/>
      <c r="T14875" s="318"/>
      <c r="U14875" s="318"/>
      <c r="V14875" s="318"/>
      <c r="W14875" s="318"/>
      <c r="X14875" s="318"/>
      <c r="Y14875" s="318"/>
      <c r="Z14875" s="318"/>
      <c r="AA14875" s="318"/>
      <c r="AB14875" s="318"/>
      <c r="AC14875" s="318"/>
      <c r="AD14875" s="318"/>
    </row>
    <row r="14876" spans="2:30" s="323" customFormat="1" ht="12" customHeight="1">
      <c r="B14876" s="324"/>
      <c r="C14876" s="325"/>
      <c r="D14876" s="326"/>
      <c r="E14876" s="326"/>
      <c r="F14876" s="326"/>
      <c r="G14876" s="326"/>
      <c r="H14876" s="326"/>
      <c r="P14876" s="318"/>
      <c r="Q14876" s="318"/>
      <c r="R14876" s="318"/>
      <c r="S14876" s="318"/>
      <c r="T14876" s="318"/>
      <c r="U14876" s="318"/>
      <c r="V14876" s="318"/>
      <c r="W14876" s="318"/>
      <c r="X14876" s="318"/>
      <c r="Y14876" s="318"/>
      <c r="Z14876" s="318"/>
      <c r="AA14876" s="318"/>
      <c r="AB14876" s="318"/>
      <c r="AC14876" s="318"/>
      <c r="AD14876" s="318"/>
    </row>
    <row r="14877" spans="2:30" s="323" customFormat="1" ht="12" customHeight="1">
      <c r="B14877" s="324"/>
      <c r="C14877" s="325"/>
      <c r="D14877" s="326"/>
      <c r="E14877" s="326"/>
      <c r="F14877" s="326"/>
      <c r="G14877" s="326"/>
      <c r="H14877" s="326"/>
      <c r="P14877" s="318"/>
      <c r="Q14877" s="318"/>
      <c r="R14877" s="318"/>
      <c r="S14877" s="318"/>
      <c r="T14877" s="318"/>
      <c r="U14877" s="318"/>
      <c r="V14877" s="318"/>
      <c r="W14877" s="318"/>
      <c r="X14877" s="318"/>
      <c r="Y14877" s="318"/>
      <c r="Z14877" s="318"/>
      <c r="AA14877" s="318"/>
      <c r="AB14877" s="318"/>
      <c r="AC14877" s="318"/>
      <c r="AD14877" s="318"/>
    </row>
    <row r="14878" spans="2:30" s="323" customFormat="1" ht="12" customHeight="1">
      <c r="B14878" s="324"/>
      <c r="C14878" s="325"/>
      <c r="D14878" s="326"/>
      <c r="E14878" s="326"/>
      <c r="F14878" s="326"/>
      <c r="G14878" s="326"/>
      <c r="H14878" s="326"/>
      <c r="P14878" s="318"/>
      <c r="Q14878" s="318"/>
      <c r="R14878" s="318"/>
      <c r="S14878" s="318"/>
      <c r="T14878" s="318"/>
      <c r="U14878" s="318"/>
      <c r="V14878" s="318"/>
      <c r="W14878" s="318"/>
      <c r="X14878" s="318"/>
      <c r="Y14878" s="318"/>
      <c r="Z14878" s="318"/>
      <c r="AA14878" s="318"/>
      <c r="AB14878" s="318"/>
      <c r="AC14878" s="318"/>
      <c r="AD14878" s="318"/>
    </row>
    <row r="14879" spans="2:30" s="323" customFormat="1" ht="12" customHeight="1">
      <c r="B14879" s="324"/>
      <c r="C14879" s="325"/>
      <c r="D14879" s="326"/>
      <c r="E14879" s="326"/>
      <c r="F14879" s="326"/>
      <c r="G14879" s="326"/>
      <c r="H14879" s="326"/>
      <c r="P14879" s="318"/>
      <c r="Q14879" s="318"/>
      <c r="R14879" s="318"/>
      <c r="S14879" s="318"/>
      <c r="T14879" s="318"/>
      <c r="U14879" s="318"/>
      <c r="V14879" s="318"/>
      <c r="W14879" s="318"/>
      <c r="X14879" s="318"/>
      <c r="Y14879" s="318"/>
      <c r="Z14879" s="318"/>
      <c r="AA14879" s="318"/>
      <c r="AB14879" s="318"/>
      <c r="AC14879" s="318"/>
      <c r="AD14879" s="318"/>
    </row>
    <row r="14880" spans="2:30" s="323" customFormat="1" ht="12" customHeight="1">
      <c r="B14880" s="324"/>
      <c r="C14880" s="325"/>
      <c r="D14880" s="326"/>
      <c r="E14880" s="326"/>
      <c r="F14880" s="326"/>
      <c r="G14880" s="326"/>
      <c r="H14880" s="326"/>
      <c r="P14880" s="318"/>
      <c r="Q14880" s="318"/>
      <c r="R14880" s="318"/>
      <c r="S14880" s="318"/>
      <c r="T14880" s="318"/>
      <c r="U14880" s="318"/>
      <c r="V14880" s="318"/>
      <c r="W14880" s="318"/>
      <c r="X14880" s="318"/>
      <c r="Y14880" s="318"/>
      <c r="Z14880" s="318"/>
      <c r="AA14880" s="318"/>
      <c r="AB14880" s="318"/>
      <c r="AC14880" s="318"/>
      <c r="AD14880" s="318"/>
    </row>
    <row r="14881" spans="2:30" s="323" customFormat="1" ht="12" customHeight="1">
      <c r="B14881" s="324"/>
      <c r="C14881" s="325"/>
      <c r="D14881" s="326"/>
      <c r="E14881" s="326"/>
      <c r="F14881" s="326"/>
      <c r="G14881" s="326"/>
      <c r="H14881" s="326"/>
      <c r="P14881" s="318"/>
      <c r="Q14881" s="318"/>
      <c r="R14881" s="318"/>
      <c r="S14881" s="318"/>
      <c r="T14881" s="318"/>
      <c r="U14881" s="318"/>
      <c r="V14881" s="318"/>
      <c r="W14881" s="318"/>
      <c r="X14881" s="318"/>
      <c r="Y14881" s="318"/>
      <c r="Z14881" s="318"/>
      <c r="AA14881" s="318"/>
      <c r="AB14881" s="318"/>
      <c r="AC14881" s="318"/>
      <c r="AD14881" s="318"/>
    </row>
    <row r="14882" spans="2:30" s="323" customFormat="1" ht="12" customHeight="1">
      <c r="B14882" s="324"/>
      <c r="C14882" s="325"/>
      <c r="D14882" s="326"/>
      <c r="E14882" s="326"/>
      <c r="F14882" s="326"/>
      <c r="G14882" s="326"/>
      <c r="H14882" s="326"/>
      <c r="P14882" s="318"/>
      <c r="Q14882" s="318"/>
      <c r="R14882" s="318"/>
      <c r="S14882" s="318"/>
      <c r="T14882" s="318"/>
      <c r="U14882" s="318"/>
      <c r="V14882" s="318"/>
      <c r="W14882" s="318"/>
      <c r="X14882" s="318"/>
      <c r="Y14882" s="318"/>
      <c r="Z14882" s="318"/>
      <c r="AA14882" s="318"/>
      <c r="AB14882" s="318"/>
      <c r="AC14882" s="318"/>
      <c r="AD14882" s="318"/>
    </row>
    <row r="14883" spans="2:30" s="323" customFormat="1" ht="12" customHeight="1">
      <c r="B14883" s="324"/>
      <c r="C14883" s="325"/>
      <c r="D14883" s="326"/>
      <c r="E14883" s="326"/>
      <c r="F14883" s="326"/>
      <c r="G14883" s="326"/>
      <c r="H14883" s="326"/>
      <c r="P14883" s="318"/>
      <c r="Q14883" s="318"/>
      <c r="R14883" s="318"/>
      <c r="S14883" s="318"/>
      <c r="T14883" s="318"/>
      <c r="U14883" s="318"/>
      <c r="V14883" s="318"/>
      <c r="W14883" s="318"/>
      <c r="X14883" s="318"/>
      <c r="Y14883" s="318"/>
      <c r="Z14883" s="318"/>
      <c r="AA14883" s="318"/>
      <c r="AB14883" s="318"/>
      <c r="AC14883" s="318"/>
      <c r="AD14883" s="318"/>
    </row>
    <row r="14884" spans="2:30" s="323" customFormat="1" ht="12" customHeight="1">
      <c r="B14884" s="324"/>
      <c r="C14884" s="325"/>
      <c r="D14884" s="326"/>
      <c r="E14884" s="326"/>
      <c r="F14884" s="326"/>
      <c r="G14884" s="326"/>
      <c r="H14884" s="326"/>
      <c r="P14884" s="318"/>
      <c r="Q14884" s="318"/>
      <c r="R14884" s="318"/>
      <c r="S14884" s="318"/>
      <c r="T14884" s="318"/>
      <c r="U14884" s="318"/>
      <c r="V14884" s="318"/>
      <c r="W14884" s="318"/>
      <c r="X14884" s="318"/>
      <c r="Y14884" s="318"/>
      <c r="Z14884" s="318"/>
      <c r="AA14884" s="318"/>
      <c r="AB14884" s="318"/>
      <c r="AC14884" s="318"/>
      <c r="AD14884" s="318"/>
    </row>
    <row r="14885" spans="2:30" s="323" customFormat="1" ht="12" customHeight="1">
      <c r="B14885" s="324"/>
      <c r="C14885" s="325"/>
      <c r="D14885" s="326"/>
      <c r="E14885" s="326"/>
      <c r="F14885" s="326"/>
      <c r="G14885" s="326"/>
      <c r="H14885" s="326"/>
      <c r="P14885" s="318"/>
      <c r="Q14885" s="318"/>
      <c r="R14885" s="318"/>
      <c r="S14885" s="318"/>
      <c r="T14885" s="318"/>
      <c r="U14885" s="318"/>
      <c r="V14885" s="318"/>
      <c r="W14885" s="318"/>
      <c r="X14885" s="318"/>
      <c r="Y14885" s="318"/>
      <c r="Z14885" s="318"/>
      <c r="AA14885" s="318"/>
      <c r="AB14885" s="318"/>
      <c r="AC14885" s="318"/>
      <c r="AD14885" s="318"/>
    </row>
    <row r="14886" spans="2:30" s="323" customFormat="1" ht="12" customHeight="1">
      <c r="B14886" s="324"/>
      <c r="C14886" s="325"/>
      <c r="D14886" s="326"/>
      <c r="E14886" s="326"/>
      <c r="F14886" s="326"/>
      <c r="G14886" s="326"/>
      <c r="H14886" s="326"/>
      <c r="P14886" s="318"/>
      <c r="Q14886" s="318"/>
      <c r="R14886" s="318"/>
      <c r="S14886" s="318"/>
      <c r="T14886" s="318"/>
      <c r="U14886" s="318"/>
      <c r="V14886" s="318"/>
      <c r="W14886" s="318"/>
      <c r="X14886" s="318"/>
      <c r="Y14886" s="318"/>
      <c r="Z14886" s="318"/>
      <c r="AA14886" s="318"/>
      <c r="AB14886" s="318"/>
      <c r="AC14886" s="318"/>
      <c r="AD14886" s="318"/>
    </row>
    <row r="14887" spans="2:30" s="323" customFormat="1" ht="12" customHeight="1">
      <c r="B14887" s="324"/>
      <c r="C14887" s="325"/>
      <c r="D14887" s="326"/>
      <c r="E14887" s="326"/>
      <c r="F14887" s="326"/>
      <c r="G14887" s="326"/>
      <c r="H14887" s="326"/>
      <c r="P14887" s="318"/>
      <c r="Q14887" s="318"/>
      <c r="R14887" s="318"/>
      <c r="S14887" s="318"/>
      <c r="T14887" s="318"/>
      <c r="U14887" s="318"/>
      <c r="V14887" s="318"/>
      <c r="W14887" s="318"/>
      <c r="X14887" s="318"/>
      <c r="Y14887" s="318"/>
      <c r="Z14887" s="318"/>
      <c r="AA14887" s="318"/>
      <c r="AB14887" s="318"/>
      <c r="AC14887" s="318"/>
      <c r="AD14887" s="318"/>
    </row>
    <row r="14888" spans="2:30" s="323" customFormat="1" ht="12" customHeight="1">
      <c r="B14888" s="324"/>
      <c r="C14888" s="325"/>
      <c r="D14888" s="326"/>
      <c r="E14888" s="326"/>
      <c r="F14888" s="326"/>
      <c r="G14888" s="326"/>
      <c r="H14888" s="326"/>
      <c r="P14888" s="318"/>
      <c r="Q14888" s="318"/>
      <c r="R14888" s="318"/>
      <c r="S14888" s="318"/>
      <c r="T14888" s="318"/>
      <c r="U14888" s="318"/>
      <c r="V14888" s="318"/>
      <c r="W14888" s="318"/>
      <c r="X14888" s="318"/>
      <c r="Y14888" s="318"/>
      <c r="Z14888" s="318"/>
      <c r="AA14888" s="318"/>
      <c r="AB14888" s="318"/>
      <c r="AC14888" s="318"/>
      <c r="AD14888" s="318"/>
    </row>
    <row r="14889" spans="2:30" s="323" customFormat="1" ht="12" customHeight="1">
      <c r="B14889" s="324"/>
      <c r="C14889" s="325"/>
      <c r="D14889" s="326"/>
      <c r="E14889" s="326"/>
      <c r="F14889" s="326"/>
      <c r="G14889" s="326"/>
      <c r="H14889" s="326"/>
      <c r="P14889" s="318"/>
      <c r="Q14889" s="318"/>
      <c r="R14889" s="318"/>
      <c r="S14889" s="318"/>
      <c r="T14889" s="318"/>
      <c r="U14889" s="318"/>
      <c r="V14889" s="318"/>
      <c r="W14889" s="318"/>
      <c r="X14889" s="318"/>
      <c r="Y14889" s="318"/>
      <c r="Z14889" s="318"/>
      <c r="AA14889" s="318"/>
      <c r="AB14889" s="318"/>
      <c r="AC14889" s="318"/>
      <c r="AD14889" s="318"/>
    </row>
    <row r="14890" spans="2:30" s="323" customFormat="1" ht="12" customHeight="1">
      <c r="B14890" s="324"/>
      <c r="C14890" s="325"/>
      <c r="D14890" s="326"/>
      <c r="E14890" s="326"/>
      <c r="F14890" s="326"/>
      <c r="G14890" s="326"/>
      <c r="H14890" s="326"/>
      <c r="P14890" s="318"/>
      <c r="Q14890" s="318"/>
      <c r="R14890" s="318"/>
      <c r="S14890" s="318"/>
      <c r="T14890" s="318"/>
      <c r="U14890" s="318"/>
      <c r="V14890" s="318"/>
      <c r="W14890" s="318"/>
      <c r="X14890" s="318"/>
      <c r="Y14890" s="318"/>
      <c r="Z14890" s="318"/>
      <c r="AA14890" s="318"/>
      <c r="AB14890" s="318"/>
      <c r="AC14890" s="318"/>
      <c r="AD14890" s="318"/>
    </row>
    <row r="14891" spans="2:30" s="323" customFormat="1" ht="12" customHeight="1">
      <c r="B14891" s="324"/>
      <c r="C14891" s="325"/>
      <c r="D14891" s="326"/>
      <c r="E14891" s="326"/>
      <c r="F14891" s="326"/>
      <c r="G14891" s="326"/>
      <c r="H14891" s="326"/>
      <c r="P14891" s="318"/>
      <c r="Q14891" s="318"/>
      <c r="R14891" s="318"/>
      <c r="S14891" s="318"/>
      <c r="T14891" s="318"/>
      <c r="U14891" s="318"/>
      <c r="V14891" s="318"/>
      <c r="W14891" s="318"/>
      <c r="X14891" s="318"/>
      <c r="Y14891" s="318"/>
      <c r="Z14891" s="318"/>
      <c r="AA14891" s="318"/>
      <c r="AB14891" s="318"/>
      <c r="AC14891" s="318"/>
      <c r="AD14891" s="318"/>
    </row>
    <row r="14892" spans="2:30" s="323" customFormat="1" ht="12" customHeight="1">
      <c r="B14892" s="324"/>
      <c r="C14892" s="325"/>
      <c r="D14892" s="326"/>
      <c r="E14892" s="326"/>
      <c r="F14892" s="326"/>
      <c r="G14892" s="326"/>
      <c r="H14892" s="326"/>
      <c r="P14892" s="318"/>
      <c r="Q14892" s="318"/>
      <c r="R14892" s="318"/>
      <c r="S14892" s="318"/>
      <c r="T14892" s="318"/>
      <c r="U14892" s="318"/>
      <c r="V14892" s="318"/>
      <c r="W14892" s="318"/>
      <c r="X14892" s="318"/>
      <c r="Y14892" s="318"/>
      <c r="Z14892" s="318"/>
      <c r="AA14892" s="318"/>
      <c r="AB14892" s="318"/>
      <c r="AC14892" s="318"/>
      <c r="AD14892" s="318"/>
    </row>
    <row r="14893" spans="2:30" s="323" customFormat="1" ht="12" customHeight="1">
      <c r="B14893" s="324"/>
      <c r="C14893" s="325"/>
      <c r="D14893" s="326"/>
      <c r="E14893" s="326"/>
      <c r="F14893" s="326"/>
      <c r="G14893" s="326"/>
      <c r="H14893" s="326"/>
      <c r="P14893" s="318"/>
      <c r="Q14893" s="318"/>
      <c r="R14893" s="318"/>
      <c r="S14893" s="318"/>
      <c r="T14893" s="318"/>
      <c r="U14893" s="318"/>
      <c r="V14893" s="318"/>
      <c r="W14893" s="318"/>
      <c r="X14893" s="318"/>
      <c r="Y14893" s="318"/>
      <c r="Z14893" s="318"/>
      <c r="AA14893" s="318"/>
      <c r="AB14893" s="318"/>
      <c r="AC14893" s="318"/>
      <c r="AD14893" s="318"/>
    </row>
    <row r="14894" spans="2:30" s="323" customFormat="1" ht="12" customHeight="1">
      <c r="B14894" s="324"/>
      <c r="C14894" s="325"/>
      <c r="D14894" s="326"/>
      <c r="E14894" s="326"/>
      <c r="F14894" s="326"/>
      <c r="G14894" s="326"/>
      <c r="H14894" s="326"/>
      <c r="P14894" s="318"/>
      <c r="Q14894" s="318"/>
      <c r="R14894" s="318"/>
      <c r="S14894" s="318"/>
      <c r="T14894" s="318"/>
      <c r="U14894" s="318"/>
      <c r="V14894" s="318"/>
      <c r="W14894" s="318"/>
      <c r="X14894" s="318"/>
      <c r="Y14894" s="318"/>
      <c r="Z14894" s="318"/>
      <c r="AA14894" s="318"/>
      <c r="AB14894" s="318"/>
      <c r="AC14894" s="318"/>
      <c r="AD14894" s="318"/>
    </row>
    <row r="14895" spans="2:30" s="323" customFormat="1" ht="12" customHeight="1">
      <c r="B14895" s="324"/>
      <c r="C14895" s="325"/>
      <c r="D14895" s="326"/>
      <c r="E14895" s="326"/>
      <c r="F14895" s="326"/>
      <c r="G14895" s="326"/>
      <c r="H14895" s="326"/>
      <c r="P14895" s="318"/>
      <c r="Q14895" s="318"/>
      <c r="R14895" s="318"/>
      <c r="S14895" s="318"/>
      <c r="T14895" s="318"/>
      <c r="U14895" s="318"/>
      <c r="V14895" s="318"/>
      <c r="W14895" s="318"/>
      <c r="X14895" s="318"/>
      <c r="Y14895" s="318"/>
      <c r="Z14895" s="318"/>
      <c r="AA14895" s="318"/>
      <c r="AB14895" s="318"/>
      <c r="AC14895" s="318"/>
      <c r="AD14895" s="318"/>
    </row>
    <row r="14896" spans="2:30" s="323" customFormat="1" ht="12" customHeight="1">
      <c r="B14896" s="324"/>
      <c r="C14896" s="325"/>
      <c r="D14896" s="326"/>
      <c r="E14896" s="326"/>
      <c r="F14896" s="326"/>
      <c r="G14896" s="326"/>
      <c r="H14896" s="326"/>
      <c r="P14896" s="318"/>
      <c r="Q14896" s="318"/>
      <c r="R14896" s="318"/>
      <c r="S14896" s="318"/>
      <c r="T14896" s="318"/>
      <c r="U14896" s="318"/>
      <c r="V14896" s="318"/>
      <c r="W14896" s="318"/>
      <c r="X14896" s="318"/>
      <c r="Y14896" s="318"/>
      <c r="Z14896" s="318"/>
      <c r="AA14896" s="318"/>
      <c r="AB14896" s="318"/>
      <c r="AC14896" s="318"/>
      <c r="AD14896" s="318"/>
    </row>
    <row r="14897" spans="2:30" s="323" customFormat="1" ht="12" customHeight="1">
      <c r="B14897" s="324"/>
      <c r="C14897" s="325"/>
      <c r="D14897" s="326"/>
      <c r="E14897" s="326"/>
      <c r="F14897" s="326"/>
      <c r="G14897" s="326"/>
      <c r="H14897" s="326"/>
      <c r="P14897" s="318"/>
      <c r="Q14897" s="318"/>
      <c r="R14897" s="318"/>
      <c r="S14897" s="318"/>
      <c r="T14897" s="318"/>
      <c r="U14897" s="318"/>
      <c r="V14897" s="318"/>
      <c r="W14897" s="318"/>
      <c r="X14897" s="318"/>
      <c r="Y14897" s="318"/>
      <c r="Z14897" s="318"/>
      <c r="AA14897" s="318"/>
      <c r="AB14897" s="318"/>
      <c r="AC14897" s="318"/>
      <c r="AD14897" s="318"/>
    </row>
    <row r="14898" spans="2:30" s="323" customFormat="1" ht="12" customHeight="1">
      <c r="B14898" s="324"/>
      <c r="C14898" s="325"/>
      <c r="D14898" s="326"/>
      <c r="E14898" s="326"/>
      <c r="F14898" s="326"/>
      <c r="G14898" s="326"/>
      <c r="H14898" s="326"/>
      <c r="P14898" s="318"/>
      <c r="Q14898" s="318"/>
      <c r="R14898" s="318"/>
      <c r="S14898" s="318"/>
      <c r="T14898" s="318"/>
      <c r="U14898" s="318"/>
      <c r="V14898" s="318"/>
      <c r="W14898" s="318"/>
      <c r="X14898" s="318"/>
      <c r="Y14898" s="318"/>
      <c r="Z14898" s="318"/>
      <c r="AA14898" s="318"/>
      <c r="AB14898" s="318"/>
      <c r="AC14898" s="318"/>
      <c r="AD14898" s="318"/>
    </row>
    <row r="14899" spans="2:30" s="323" customFormat="1" ht="12" customHeight="1">
      <c r="B14899" s="324"/>
      <c r="C14899" s="325"/>
      <c r="D14899" s="326"/>
      <c r="E14899" s="326"/>
      <c r="F14899" s="326"/>
      <c r="G14899" s="326"/>
      <c r="H14899" s="326"/>
      <c r="P14899" s="318"/>
      <c r="Q14899" s="318"/>
      <c r="R14899" s="318"/>
      <c r="S14899" s="318"/>
      <c r="T14899" s="318"/>
      <c r="U14899" s="318"/>
      <c r="V14899" s="318"/>
      <c r="W14899" s="318"/>
      <c r="X14899" s="318"/>
      <c r="Y14899" s="318"/>
      <c r="Z14899" s="318"/>
      <c r="AA14899" s="318"/>
      <c r="AB14899" s="318"/>
      <c r="AC14899" s="318"/>
      <c r="AD14899" s="318"/>
    </row>
    <row r="14900" spans="2:30" s="323" customFormat="1" ht="12" customHeight="1">
      <c r="B14900" s="324"/>
      <c r="C14900" s="325"/>
      <c r="D14900" s="326"/>
      <c r="E14900" s="326"/>
      <c r="F14900" s="326"/>
      <c r="G14900" s="326"/>
      <c r="H14900" s="326"/>
      <c r="P14900" s="318"/>
      <c r="Q14900" s="318"/>
      <c r="R14900" s="318"/>
      <c r="S14900" s="318"/>
      <c r="T14900" s="318"/>
      <c r="U14900" s="318"/>
      <c r="V14900" s="318"/>
      <c r="W14900" s="318"/>
      <c r="X14900" s="318"/>
      <c r="Y14900" s="318"/>
      <c r="Z14900" s="318"/>
      <c r="AA14900" s="318"/>
      <c r="AB14900" s="318"/>
      <c r="AC14900" s="318"/>
      <c r="AD14900" s="318"/>
    </row>
    <row r="14901" spans="2:30" s="323" customFormat="1" ht="12" customHeight="1">
      <c r="B14901" s="324"/>
      <c r="C14901" s="325"/>
      <c r="D14901" s="326"/>
      <c r="E14901" s="326"/>
      <c r="F14901" s="326"/>
      <c r="G14901" s="326"/>
      <c r="H14901" s="326"/>
      <c r="P14901" s="318"/>
      <c r="Q14901" s="318"/>
      <c r="R14901" s="318"/>
      <c r="S14901" s="318"/>
      <c r="T14901" s="318"/>
      <c r="U14901" s="318"/>
      <c r="V14901" s="318"/>
      <c r="W14901" s="318"/>
      <c r="X14901" s="318"/>
      <c r="Y14901" s="318"/>
      <c r="Z14901" s="318"/>
      <c r="AA14901" s="318"/>
      <c r="AB14901" s="318"/>
      <c r="AC14901" s="318"/>
      <c r="AD14901" s="318"/>
    </row>
    <row r="14902" spans="2:30" s="323" customFormat="1" ht="12" customHeight="1">
      <c r="B14902" s="324"/>
      <c r="C14902" s="325"/>
      <c r="D14902" s="326"/>
      <c r="E14902" s="326"/>
      <c r="F14902" s="326"/>
      <c r="G14902" s="326"/>
      <c r="H14902" s="326"/>
      <c r="P14902" s="318"/>
      <c r="Q14902" s="318"/>
      <c r="R14902" s="318"/>
      <c r="S14902" s="318"/>
      <c r="T14902" s="318"/>
      <c r="U14902" s="318"/>
      <c r="V14902" s="318"/>
      <c r="W14902" s="318"/>
      <c r="X14902" s="318"/>
      <c r="Y14902" s="318"/>
      <c r="Z14902" s="318"/>
      <c r="AA14902" s="318"/>
      <c r="AB14902" s="318"/>
      <c r="AC14902" s="318"/>
      <c r="AD14902" s="318"/>
    </row>
    <row r="14903" spans="2:30" s="323" customFormat="1" ht="12" customHeight="1">
      <c r="B14903" s="324"/>
      <c r="C14903" s="325"/>
      <c r="D14903" s="326"/>
      <c r="E14903" s="326"/>
      <c r="F14903" s="326"/>
      <c r="G14903" s="326"/>
      <c r="H14903" s="326"/>
      <c r="P14903" s="318"/>
      <c r="Q14903" s="318"/>
      <c r="R14903" s="318"/>
      <c r="S14903" s="318"/>
      <c r="T14903" s="318"/>
      <c r="U14903" s="318"/>
      <c r="V14903" s="318"/>
      <c r="W14903" s="318"/>
      <c r="X14903" s="318"/>
      <c r="Y14903" s="318"/>
      <c r="Z14903" s="318"/>
      <c r="AA14903" s="318"/>
      <c r="AB14903" s="318"/>
      <c r="AC14903" s="318"/>
      <c r="AD14903" s="318"/>
    </row>
    <row r="14904" spans="2:30" s="323" customFormat="1" ht="12" customHeight="1">
      <c r="B14904" s="324"/>
      <c r="C14904" s="325"/>
      <c r="D14904" s="326"/>
      <c r="E14904" s="326"/>
      <c r="F14904" s="326"/>
      <c r="G14904" s="326"/>
      <c r="H14904" s="326"/>
      <c r="P14904" s="318"/>
      <c r="Q14904" s="318"/>
      <c r="R14904" s="318"/>
      <c r="S14904" s="318"/>
      <c r="T14904" s="318"/>
      <c r="U14904" s="318"/>
      <c r="V14904" s="318"/>
      <c r="W14904" s="318"/>
      <c r="X14904" s="318"/>
      <c r="Y14904" s="318"/>
      <c r="Z14904" s="318"/>
      <c r="AA14904" s="318"/>
      <c r="AB14904" s="318"/>
      <c r="AC14904" s="318"/>
      <c r="AD14904" s="318"/>
    </row>
    <row r="14905" spans="2:30" s="323" customFormat="1" ht="12" customHeight="1">
      <c r="B14905" s="324"/>
      <c r="C14905" s="325"/>
      <c r="D14905" s="326"/>
      <c r="E14905" s="326"/>
      <c r="F14905" s="326"/>
      <c r="G14905" s="326"/>
      <c r="H14905" s="326"/>
      <c r="P14905" s="318"/>
      <c r="Q14905" s="318"/>
      <c r="R14905" s="318"/>
      <c r="S14905" s="318"/>
      <c r="T14905" s="318"/>
      <c r="U14905" s="318"/>
      <c r="V14905" s="318"/>
      <c r="W14905" s="318"/>
      <c r="X14905" s="318"/>
      <c r="Y14905" s="318"/>
      <c r="Z14905" s="318"/>
      <c r="AA14905" s="318"/>
      <c r="AB14905" s="318"/>
      <c r="AC14905" s="318"/>
      <c r="AD14905" s="318"/>
    </row>
    <row r="14906" spans="2:30" s="323" customFormat="1" ht="12" customHeight="1">
      <c r="B14906" s="324"/>
      <c r="C14906" s="325"/>
      <c r="D14906" s="326"/>
      <c r="E14906" s="326"/>
      <c r="F14906" s="326"/>
      <c r="G14906" s="326"/>
      <c r="H14906" s="326"/>
      <c r="P14906" s="318"/>
      <c r="Q14906" s="318"/>
      <c r="R14906" s="318"/>
      <c r="S14906" s="318"/>
      <c r="T14906" s="318"/>
      <c r="U14906" s="318"/>
      <c r="V14906" s="318"/>
      <c r="W14906" s="318"/>
      <c r="X14906" s="318"/>
      <c r="Y14906" s="318"/>
      <c r="Z14906" s="318"/>
      <c r="AA14906" s="318"/>
      <c r="AB14906" s="318"/>
      <c r="AC14906" s="318"/>
      <c r="AD14906" s="318"/>
    </row>
    <row r="14907" spans="2:30" s="323" customFormat="1" ht="12" customHeight="1">
      <c r="B14907" s="324"/>
      <c r="C14907" s="325"/>
      <c r="D14907" s="326"/>
      <c r="E14907" s="326"/>
      <c r="F14907" s="326"/>
      <c r="G14907" s="326"/>
      <c r="H14907" s="326"/>
      <c r="P14907" s="318"/>
      <c r="Q14907" s="318"/>
      <c r="R14907" s="318"/>
      <c r="S14907" s="318"/>
      <c r="T14907" s="318"/>
      <c r="U14907" s="318"/>
      <c r="V14907" s="318"/>
      <c r="W14907" s="318"/>
      <c r="X14907" s="318"/>
      <c r="Y14907" s="318"/>
      <c r="Z14907" s="318"/>
      <c r="AA14907" s="318"/>
      <c r="AB14907" s="318"/>
      <c r="AC14907" s="318"/>
      <c r="AD14907" s="318"/>
    </row>
    <row r="14908" spans="2:30" s="323" customFormat="1" ht="12" customHeight="1">
      <c r="B14908" s="324"/>
      <c r="C14908" s="325"/>
      <c r="D14908" s="326"/>
      <c r="E14908" s="326"/>
      <c r="F14908" s="326"/>
      <c r="G14908" s="326"/>
      <c r="H14908" s="326"/>
      <c r="P14908" s="318"/>
      <c r="Q14908" s="318"/>
      <c r="R14908" s="318"/>
      <c r="S14908" s="318"/>
      <c r="T14908" s="318"/>
      <c r="U14908" s="318"/>
      <c r="V14908" s="318"/>
      <c r="W14908" s="318"/>
      <c r="X14908" s="318"/>
      <c r="Y14908" s="318"/>
      <c r="Z14908" s="318"/>
      <c r="AA14908" s="318"/>
      <c r="AB14908" s="318"/>
      <c r="AC14908" s="318"/>
      <c r="AD14908" s="318"/>
    </row>
    <row r="14909" spans="2:30" s="323" customFormat="1" ht="12" customHeight="1">
      <c r="B14909" s="324"/>
      <c r="C14909" s="325"/>
      <c r="D14909" s="326"/>
      <c r="E14909" s="326"/>
      <c r="F14909" s="326"/>
      <c r="G14909" s="326"/>
      <c r="H14909" s="326"/>
      <c r="P14909" s="318"/>
      <c r="Q14909" s="318"/>
      <c r="R14909" s="318"/>
      <c r="S14909" s="318"/>
      <c r="T14909" s="318"/>
      <c r="U14909" s="318"/>
      <c r="V14909" s="318"/>
      <c r="W14909" s="318"/>
      <c r="X14909" s="318"/>
      <c r="Y14909" s="318"/>
      <c r="Z14909" s="318"/>
      <c r="AA14909" s="318"/>
      <c r="AB14909" s="318"/>
      <c r="AC14909" s="318"/>
      <c r="AD14909" s="318"/>
    </row>
    <row r="14910" spans="2:30" s="323" customFormat="1" ht="12" customHeight="1">
      <c r="B14910" s="324"/>
      <c r="C14910" s="325"/>
      <c r="D14910" s="326"/>
      <c r="E14910" s="326"/>
      <c r="F14910" s="326"/>
      <c r="G14910" s="326"/>
      <c r="H14910" s="326"/>
      <c r="P14910" s="318"/>
      <c r="Q14910" s="318"/>
      <c r="R14910" s="318"/>
      <c r="S14910" s="318"/>
      <c r="T14910" s="318"/>
      <c r="U14910" s="318"/>
      <c r="V14910" s="318"/>
      <c r="W14910" s="318"/>
      <c r="X14910" s="318"/>
      <c r="Y14910" s="318"/>
      <c r="Z14910" s="318"/>
      <c r="AA14910" s="318"/>
      <c r="AB14910" s="318"/>
      <c r="AC14910" s="318"/>
      <c r="AD14910" s="318"/>
    </row>
    <row r="14911" spans="2:30" s="323" customFormat="1" ht="12" customHeight="1">
      <c r="B14911" s="324"/>
      <c r="C14911" s="325"/>
      <c r="D14911" s="326"/>
      <c r="E14911" s="326"/>
      <c r="F14911" s="326"/>
      <c r="G14911" s="326"/>
      <c r="H14911" s="326"/>
      <c r="P14911" s="318"/>
      <c r="Q14911" s="318"/>
      <c r="R14911" s="318"/>
      <c r="S14911" s="318"/>
      <c r="T14911" s="318"/>
      <c r="U14911" s="318"/>
      <c r="V14911" s="318"/>
      <c r="W14911" s="318"/>
      <c r="X14911" s="318"/>
      <c r="Y14911" s="318"/>
      <c r="Z14911" s="318"/>
      <c r="AA14911" s="318"/>
      <c r="AB14911" s="318"/>
      <c r="AC14911" s="318"/>
      <c r="AD14911" s="318"/>
    </row>
    <row r="14912" spans="2:30" s="323" customFormat="1" ht="12" customHeight="1">
      <c r="B14912" s="324"/>
      <c r="C14912" s="325"/>
      <c r="D14912" s="326"/>
      <c r="E14912" s="326"/>
      <c r="F14912" s="326"/>
      <c r="G14912" s="326"/>
      <c r="H14912" s="326"/>
      <c r="P14912" s="318"/>
      <c r="Q14912" s="318"/>
      <c r="R14912" s="318"/>
      <c r="S14912" s="318"/>
      <c r="T14912" s="318"/>
      <c r="U14912" s="318"/>
      <c r="V14912" s="318"/>
      <c r="W14912" s="318"/>
      <c r="X14912" s="318"/>
      <c r="Y14912" s="318"/>
      <c r="Z14912" s="318"/>
      <c r="AA14912" s="318"/>
      <c r="AB14912" s="318"/>
      <c r="AC14912" s="318"/>
      <c r="AD14912" s="318"/>
    </row>
    <row r="14913" spans="2:30" s="323" customFormat="1" ht="12" customHeight="1">
      <c r="B14913" s="324"/>
      <c r="C14913" s="325"/>
      <c r="D14913" s="326"/>
      <c r="E14913" s="326"/>
      <c r="F14913" s="326"/>
      <c r="G14913" s="326"/>
      <c r="H14913" s="326"/>
      <c r="P14913" s="318"/>
      <c r="Q14913" s="318"/>
      <c r="R14913" s="318"/>
      <c r="S14913" s="318"/>
      <c r="T14913" s="318"/>
      <c r="U14913" s="318"/>
      <c r="V14913" s="318"/>
      <c r="W14913" s="318"/>
      <c r="X14913" s="318"/>
      <c r="Y14913" s="318"/>
      <c r="Z14913" s="318"/>
      <c r="AA14913" s="318"/>
      <c r="AB14913" s="318"/>
      <c r="AC14913" s="318"/>
      <c r="AD14913" s="318"/>
    </row>
    <row r="14914" spans="2:30" s="323" customFormat="1" ht="12" customHeight="1">
      <c r="B14914" s="324"/>
      <c r="C14914" s="325"/>
      <c r="D14914" s="326"/>
      <c r="E14914" s="326"/>
      <c r="F14914" s="326"/>
      <c r="G14914" s="326"/>
      <c r="H14914" s="326"/>
      <c r="P14914" s="318"/>
      <c r="Q14914" s="318"/>
      <c r="R14914" s="318"/>
      <c r="S14914" s="318"/>
      <c r="T14914" s="318"/>
      <c r="U14914" s="318"/>
      <c r="V14914" s="318"/>
      <c r="W14914" s="318"/>
      <c r="X14914" s="318"/>
      <c r="Y14914" s="318"/>
      <c r="Z14914" s="318"/>
      <c r="AA14914" s="318"/>
      <c r="AB14914" s="318"/>
      <c r="AC14914" s="318"/>
      <c r="AD14914" s="318"/>
    </row>
    <row r="14915" spans="2:30" s="323" customFormat="1" ht="12" customHeight="1">
      <c r="B14915" s="324"/>
      <c r="C14915" s="325"/>
      <c r="D14915" s="326"/>
      <c r="E14915" s="326"/>
      <c r="F14915" s="326"/>
      <c r="G14915" s="326"/>
      <c r="H14915" s="326"/>
      <c r="P14915" s="318"/>
      <c r="Q14915" s="318"/>
      <c r="R14915" s="318"/>
      <c r="S14915" s="318"/>
      <c r="T14915" s="318"/>
      <c r="U14915" s="318"/>
      <c r="V14915" s="318"/>
      <c r="W14915" s="318"/>
      <c r="X14915" s="318"/>
      <c r="Y14915" s="318"/>
      <c r="Z14915" s="318"/>
      <c r="AA14915" s="318"/>
      <c r="AB14915" s="318"/>
      <c r="AC14915" s="318"/>
      <c r="AD14915" s="318"/>
    </row>
    <row r="14916" spans="2:30" s="323" customFormat="1" ht="12" customHeight="1">
      <c r="B14916" s="324"/>
      <c r="C14916" s="325"/>
      <c r="D14916" s="326"/>
      <c r="E14916" s="326"/>
      <c r="F14916" s="326"/>
      <c r="G14916" s="326"/>
      <c r="H14916" s="326"/>
      <c r="P14916" s="318"/>
      <c r="Q14916" s="318"/>
      <c r="R14916" s="318"/>
      <c r="S14916" s="318"/>
      <c r="T14916" s="318"/>
      <c r="U14916" s="318"/>
      <c r="V14916" s="318"/>
      <c r="W14916" s="318"/>
      <c r="X14916" s="318"/>
      <c r="Y14916" s="318"/>
      <c r="Z14916" s="318"/>
      <c r="AA14916" s="318"/>
      <c r="AB14916" s="318"/>
      <c r="AC14916" s="318"/>
      <c r="AD14916" s="318"/>
    </row>
    <row r="14917" spans="2:30" s="323" customFormat="1" ht="12" customHeight="1">
      <c r="B14917" s="324"/>
      <c r="C14917" s="325"/>
      <c r="D14917" s="326"/>
      <c r="E14917" s="326"/>
      <c r="F14917" s="326"/>
      <c r="G14917" s="326"/>
      <c r="H14917" s="326"/>
      <c r="P14917" s="318"/>
      <c r="Q14917" s="318"/>
      <c r="R14917" s="318"/>
      <c r="S14917" s="318"/>
      <c r="T14917" s="318"/>
      <c r="U14917" s="318"/>
      <c r="V14917" s="318"/>
      <c r="W14917" s="318"/>
      <c r="X14917" s="318"/>
      <c r="Y14917" s="318"/>
      <c r="Z14917" s="318"/>
      <c r="AA14917" s="318"/>
      <c r="AB14917" s="318"/>
      <c r="AC14917" s="318"/>
      <c r="AD14917" s="318"/>
    </row>
    <row r="14918" spans="2:30" s="323" customFormat="1" ht="12" customHeight="1">
      <c r="B14918" s="324"/>
      <c r="C14918" s="325"/>
      <c r="D14918" s="326"/>
      <c r="E14918" s="326"/>
      <c r="F14918" s="326"/>
      <c r="G14918" s="326"/>
      <c r="H14918" s="326"/>
      <c r="P14918" s="318"/>
      <c r="Q14918" s="318"/>
      <c r="R14918" s="318"/>
      <c r="S14918" s="318"/>
      <c r="T14918" s="318"/>
      <c r="U14918" s="318"/>
      <c r="V14918" s="318"/>
      <c r="W14918" s="318"/>
      <c r="X14918" s="318"/>
      <c r="Y14918" s="318"/>
      <c r="Z14918" s="318"/>
      <c r="AA14918" s="318"/>
      <c r="AB14918" s="318"/>
      <c r="AC14918" s="318"/>
      <c r="AD14918" s="318"/>
    </row>
    <row r="14919" spans="2:30" s="323" customFormat="1" ht="12" customHeight="1">
      <c r="B14919" s="324"/>
      <c r="C14919" s="325"/>
      <c r="D14919" s="326"/>
      <c r="E14919" s="326"/>
      <c r="F14919" s="326"/>
      <c r="G14919" s="326"/>
      <c r="H14919" s="326"/>
      <c r="P14919" s="318"/>
      <c r="Q14919" s="318"/>
      <c r="R14919" s="318"/>
      <c r="S14919" s="318"/>
      <c r="T14919" s="318"/>
      <c r="U14919" s="318"/>
      <c r="V14919" s="318"/>
      <c r="W14919" s="318"/>
      <c r="X14919" s="318"/>
      <c r="Y14919" s="318"/>
      <c r="Z14919" s="318"/>
      <c r="AA14919" s="318"/>
      <c r="AB14919" s="318"/>
      <c r="AC14919" s="318"/>
      <c r="AD14919" s="318"/>
    </row>
    <row r="14920" spans="2:30" s="323" customFormat="1" ht="12" customHeight="1">
      <c r="B14920" s="324"/>
      <c r="C14920" s="325"/>
      <c r="D14920" s="326"/>
      <c r="E14920" s="326"/>
      <c r="F14920" s="326"/>
      <c r="G14920" s="326"/>
      <c r="H14920" s="326"/>
      <c r="P14920" s="318"/>
      <c r="Q14920" s="318"/>
      <c r="R14920" s="318"/>
      <c r="S14920" s="318"/>
      <c r="T14920" s="318"/>
      <c r="U14920" s="318"/>
      <c r="V14920" s="318"/>
      <c r="W14920" s="318"/>
      <c r="X14920" s="318"/>
      <c r="Y14920" s="318"/>
      <c r="Z14920" s="318"/>
      <c r="AA14920" s="318"/>
      <c r="AB14920" s="318"/>
      <c r="AC14920" s="318"/>
      <c r="AD14920" s="318"/>
    </row>
    <row r="14921" spans="2:30" s="323" customFormat="1" ht="12" customHeight="1">
      <c r="B14921" s="324"/>
      <c r="C14921" s="325"/>
      <c r="D14921" s="326"/>
      <c r="E14921" s="326"/>
      <c r="F14921" s="326"/>
      <c r="G14921" s="326"/>
      <c r="H14921" s="326"/>
      <c r="P14921" s="318"/>
      <c r="Q14921" s="318"/>
      <c r="R14921" s="318"/>
      <c r="S14921" s="318"/>
      <c r="T14921" s="318"/>
      <c r="U14921" s="318"/>
      <c r="V14921" s="318"/>
      <c r="W14921" s="318"/>
      <c r="X14921" s="318"/>
      <c r="Y14921" s="318"/>
      <c r="Z14921" s="318"/>
      <c r="AA14921" s="318"/>
      <c r="AB14921" s="318"/>
      <c r="AC14921" s="318"/>
      <c r="AD14921" s="318"/>
    </row>
    <row r="14922" spans="2:30" s="323" customFormat="1" ht="12" customHeight="1">
      <c r="B14922" s="324"/>
      <c r="C14922" s="325"/>
      <c r="D14922" s="326"/>
      <c r="E14922" s="326"/>
      <c r="F14922" s="326"/>
      <c r="G14922" s="326"/>
      <c r="H14922" s="326"/>
      <c r="P14922" s="318"/>
      <c r="Q14922" s="318"/>
      <c r="R14922" s="318"/>
      <c r="S14922" s="318"/>
      <c r="T14922" s="318"/>
      <c r="U14922" s="318"/>
      <c r="V14922" s="318"/>
      <c r="W14922" s="318"/>
      <c r="X14922" s="318"/>
      <c r="Y14922" s="318"/>
      <c r="Z14922" s="318"/>
      <c r="AA14922" s="318"/>
      <c r="AB14922" s="318"/>
      <c r="AC14922" s="318"/>
      <c r="AD14922" s="318"/>
    </row>
    <row r="14923" spans="2:30" s="323" customFormat="1" ht="12" customHeight="1">
      <c r="B14923" s="324"/>
      <c r="C14923" s="325"/>
      <c r="D14923" s="326"/>
      <c r="E14923" s="326"/>
      <c r="F14923" s="326"/>
      <c r="G14923" s="326"/>
      <c r="H14923" s="326"/>
      <c r="P14923" s="318"/>
      <c r="Q14923" s="318"/>
      <c r="R14923" s="318"/>
      <c r="S14923" s="318"/>
      <c r="T14923" s="318"/>
      <c r="U14923" s="318"/>
      <c r="V14923" s="318"/>
      <c r="W14923" s="318"/>
      <c r="X14923" s="318"/>
      <c r="Y14923" s="318"/>
      <c r="Z14923" s="318"/>
      <c r="AA14923" s="318"/>
      <c r="AB14923" s="318"/>
      <c r="AC14923" s="318"/>
      <c r="AD14923" s="318"/>
    </row>
    <row r="14924" spans="2:30" s="323" customFormat="1" ht="12" customHeight="1">
      <c r="B14924" s="324"/>
      <c r="C14924" s="325"/>
      <c r="D14924" s="326"/>
      <c r="E14924" s="326"/>
      <c r="F14924" s="326"/>
      <c r="G14924" s="326"/>
      <c r="H14924" s="326"/>
      <c r="P14924" s="318"/>
      <c r="Q14924" s="318"/>
      <c r="R14924" s="318"/>
      <c r="S14924" s="318"/>
      <c r="T14924" s="318"/>
      <c r="U14924" s="318"/>
      <c r="V14924" s="318"/>
      <c r="W14924" s="318"/>
      <c r="X14924" s="318"/>
      <c r="Y14924" s="318"/>
      <c r="Z14924" s="318"/>
      <c r="AA14924" s="318"/>
      <c r="AB14924" s="318"/>
      <c r="AC14924" s="318"/>
      <c r="AD14924" s="318"/>
    </row>
    <row r="14925" spans="2:30" s="323" customFormat="1" ht="12" customHeight="1">
      <c r="B14925" s="324"/>
      <c r="C14925" s="325"/>
      <c r="D14925" s="326"/>
      <c r="E14925" s="326"/>
      <c r="F14925" s="326"/>
      <c r="G14925" s="326"/>
      <c r="H14925" s="326"/>
      <c r="P14925" s="318"/>
      <c r="Q14925" s="318"/>
      <c r="R14925" s="318"/>
      <c r="S14925" s="318"/>
      <c r="T14925" s="318"/>
      <c r="U14925" s="318"/>
      <c r="V14925" s="318"/>
      <c r="W14925" s="318"/>
      <c r="X14925" s="318"/>
      <c r="Y14925" s="318"/>
      <c r="Z14925" s="318"/>
      <c r="AA14925" s="318"/>
      <c r="AB14925" s="318"/>
      <c r="AC14925" s="318"/>
      <c r="AD14925" s="318"/>
    </row>
    <row r="14926" spans="2:30" s="323" customFormat="1" ht="12" customHeight="1">
      <c r="B14926" s="324"/>
      <c r="C14926" s="325"/>
      <c r="D14926" s="326"/>
      <c r="E14926" s="326"/>
      <c r="F14926" s="326"/>
      <c r="G14926" s="326"/>
      <c r="H14926" s="326"/>
      <c r="P14926" s="318"/>
      <c r="Q14926" s="318"/>
      <c r="R14926" s="318"/>
      <c r="S14926" s="318"/>
      <c r="T14926" s="318"/>
      <c r="U14926" s="318"/>
      <c r="V14926" s="318"/>
      <c r="W14926" s="318"/>
      <c r="X14926" s="318"/>
      <c r="Y14926" s="318"/>
      <c r="Z14926" s="318"/>
      <c r="AA14926" s="318"/>
      <c r="AB14926" s="318"/>
      <c r="AC14926" s="318"/>
      <c r="AD14926" s="318"/>
    </row>
    <row r="14927" spans="2:30" s="323" customFormat="1" ht="12" customHeight="1">
      <c r="B14927" s="324"/>
      <c r="C14927" s="325"/>
      <c r="D14927" s="326"/>
      <c r="E14927" s="326"/>
      <c r="F14927" s="326"/>
      <c r="G14927" s="326"/>
      <c r="H14927" s="326"/>
      <c r="P14927" s="318"/>
      <c r="Q14927" s="318"/>
      <c r="R14927" s="318"/>
      <c r="S14927" s="318"/>
      <c r="T14927" s="318"/>
      <c r="U14927" s="318"/>
      <c r="V14927" s="318"/>
      <c r="W14927" s="318"/>
      <c r="X14927" s="318"/>
      <c r="Y14927" s="318"/>
      <c r="Z14927" s="318"/>
      <c r="AA14927" s="318"/>
      <c r="AB14927" s="318"/>
      <c r="AC14927" s="318"/>
      <c r="AD14927" s="318"/>
    </row>
    <row r="14928" spans="2:30" s="323" customFormat="1" ht="12" customHeight="1">
      <c r="B14928" s="324"/>
      <c r="C14928" s="325"/>
      <c r="D14928" s="326"/>
      <c r="E14928" s="326"/>
      <c r="F14928" s="326"/>
      <c r="G14928" s="326"/>
      <c r="H14928" s="326"/>
      <c r="P14928" s="318"/>
      <c r="Q14928" s="318"/>
      <c r="R14928" s="318"/>
      <c r="S14928" s="318"/>
      <c r="T14928" s="318"/>
      <c r="U14928" s="318"/>
      <c r="V14928" s="318"/>
      <c r="W14928" s="318"/>
      <c r="X14928" s="318"/>
      <c r="Y14928" s="318"/>
      <c r="Z14928" s="318"/>
      <c r="AA14928" s="318"/>
      <c r="AB14928" s="318"/>
      <c r="AC14928" s="318"/>
      <c r="AD14928" s="318"/>
    </row>
    <row r="14929" spans="2:30" s="323" customFormat="1" ht="12" customHeight="1">
      <c r="B14929" s="324"/>
      <c r="C14929" s="325"/>
      <c r="D14929" s="326"/>
      <c r="E14929" s="326"/>
      <c r="F14929" s="326"/>
      <c r="G14929" s="326"/>
      <c r="H14929" s="326"/>
      <c r="P14929" s="318"/>
      <c r="Q14929" s="318"/>
      <c r="R14929" s="318"/>
      <c r="S14929" s="318"/>
      <c r="T14929" s="318"/>
      <c r="U14929" s="318"/>
      <c r="V14929" s="318"/>
      <c r="W14929" s="318"/>
      <c r="X14929" s="318"/>
      <c r="Y14929" s="318"/>
      <c r="Z14929" s="318"/>
      <c r="AA14929" s="318"/>
      <c r="AB14929" s="318"/>
      <c r="AC14929" s="318"/>
      <c r="AD14929" s="318"/>
    </row>
    <row r="14930" spans="2:30" s="323" customFormat="1" ht="12" customHeight="1">
      <c r="B14930" s="324"/>
      <c r="C14930" s="325"/>
      <c r="D14930" s="326"/>
      <c r="E14930" s="326"/>
      <c r="F14930" s="326"/>
      <c r="G14930" s="326"/>
      <c r="H14930" s="326"/>
      <c r="P14930" s="318"/>
      <c r="Q14930" s="318"/>
      <c r="R14930" s="318"/>
      <c r="S14930" s="318"/>
      <c r="T14930" s="318"/>
      <c r="U14930" s="318"/>
      <c r="V14930" s="318"/>
      <c r="W14930" s="318"/>
      <c r="X14930" s="318"/>
      <c r="Y14930" s="318"/>
      <c r="Z14930" s="318"/>
      <c r="AA14930" s="318"/>
      <c r="AB14930" s="318"/>
      <c r="AC14930" s="318"/>
      <c r="AD14930" s="318"/>
    </row>
    <row r="14931" spans="2:30" s="323" customFormat="1" ht="12" customHeight="1">
      <c r="B14931" s="324"/>
      <c r="C14931" s="325"/>
      <c r="D14931" s="326"/>
      <c r="E14931" s="326"/>
      <c r="F14931" s="326"/>
      <c r="G14931" s="326"/>
      <c r="H14931" s="326"/>
      <c r="P14931" s="318"/>
      <c r="Q14931" s="318"/>
      <c r="R14931" s="318"/>
      <c r="S14931" s="318"/>
      <c r="T14931" s="318"/>
      <c r="U14931" s="318"/>
      <c r="V14931" s="318"/>
      <c r="W14931" s="318"/>
      <c r="X14931" s="318"/>
      <c r="Y14931" s="318"/>
      <c r="Z14931" s="318"/>
      <c r="AA14931" s="318"/>
      <c r="AB14931" s="318"/>
      <c r="AC14931" s="318"/>
      <c r="AD14931" s="318"/>
    </row>
    <row r="14932" spans="2:30" s="323" customFormat="1" ht="12" customHeight="1">
      <c r="B14932" s="324"/>
      <c r="C14932" s="325"/>
      <c r="D14932" s="326"/>
      <c r="E14932" s="326"/>
      <c r="F14932" s="326"/>
      <c r="G14932" s="326"/>
      <c r="H14932" s="326"/>
      <c r="P14932" s="318"/>
      <c r="Q14932" s="318"/>
      <c r="R14932" s="318"/>
      <c r="S14932" s="318"/>
      <c r="T14932" s="318"/>
      <c r="U14932" s="318"/>
      <c r="V14932" s="318"/>
      <c r="W14932" s="318"/>
      <c r="X14932" s="318"/>
      <c r="Y14932" s="318"/>
      <c r="Z14932" s="318"/>
      <c r="AA14932" s="318"/>
      <c r="AB14932" s="318"/>
      <c r="AC14932" s="318"/>
      <c r="AD14932" s="318"/>
    </row>
    <row r="14933" spans="2:30" s="323" customFormat="1" ht="12" customHeight="1">
      <c r="B14933" s="324"/>
      <c r="C14933" s="325"/>
      <c r="D14933" s="326"/>
      <c r="E14933" s="326"/>
      <c r="F14933" s="326"/>
      <c r="G14933" s="326"/>
      <c r="H14933" s="326"/>
      <c r="P14933" s="318"/>
      <c r="Q14933" s="318"/>
      <c r="R14933" s="318"/>
      <c r="S14933" s="318"/>
      <c r="T14933" s="318"/>
      <c r="U14933" s="318"/>
      <c r="V14933" s="318"/>
      <c r="W14933" s="318"/>
      <c r="X14933" s="318"/>
      <c r="Y14933" s="318"/>
      <c r="Z14933" s="318"/>
      <c r="AA14933" s="318"/>
      <c r="AB14933" s="318"/>
      <c r="AC14933" s="318"/>
      <c r="AD14933" s="318"/>
    </row>
    <row r="14934" spans="2:30" s="323" customFormat="1" ht="12" customHeight="1">
      <c r="B14934" s="324"/>
      <c r="C14934" s="325"/>
      <c r="D14934" s="326"/>
      <c r="E14934" s="326"/>
      <c r="F14934" s="326"/>
      <c r="G14934" s="326"/>
      <c r="H14934" s="326"/>
      <c r="P14934" s="318"/>
      <c r="Q14934" s="318"/>
      <c r="R14934" s="318"/>
      <c r="S14934" s="318"/>
      <c r="T14934" s="318"/>
      <c r="U14934" s="318"/>
      <c r="V14934" s="318"/>
      <c r="W14934" s="318"/>
      <c r="X14934" s="318"/>
      <c r="Y14934" s="318"/>
      <c r="Z14934" s="318"/>
      <c r="AA14934" s="318"/>
      <c r="AB14934" s="318"/>
      <c r="AC14934" s="318"/>
      <c r="AD14934" s="318"/>
    </row>
    <row r="14935" spans="2:30" s="323" customFormat="1" ht="12" customHeight="1">
      <c r="B14935" s="324"/>
      <c r="C14935" s="325"/>
      <c r="D14935" s="326"/>
      <c r="E14935" s="326"/>
      <c r="F14935" s="326"/>
      <c r="G14935" s="326"/>
      <c r="H14935" s="326"/>
      <c r="P14935" s="318"/>
      <c r="Q14935" s="318"/>
      <c r="R14935" s="318"/>
      <c r="S14935" s="318"/>
      <c r="T14935" s="318"/>
      <c r="U14935" s="318"/>
      <c r="V14935" s="318"/>
      <c r="W14935" s="318"/>
      <c r="X14935" s="318"/>
      <c r="Y14935" s="318"/>
      <c r="Z14935" s="318"/>
      <c r="AA14935" s="318"/>
      <c r="AB14935" s="318"/>
      <c r="AC14935" s="318"/>
      <c r="AD14935" s="318"/>
    </row>
    <row r="14936" spans="2:30" s="323" customFormat="1" ht="12" customHeight="1">
      <c r="B14936" s="324"/>
      <c r="C14936" s="325"/>
      <c r="D14936" s="326"/>
      <c r="E14936" s="326"/>
      <c r="F14936" s="326"/>
      <c r="G14936" s="326"/>
      <c r="H14936" s="326"/>
      <c r="P14936" s="318"/>
      <c r="Q14936" s="318"/>
      <c r="R14936" s="318"/>
      <c r="S14936" s="318"/>
      <c r="T14936" s="318"/>
      <c r="U14936" s="318"/>
      <c r="V14936" s="318"/>
      <c r="W14936" s="318"/>
      <c r="X14936" s="318"/>
      <c r="Y14936" s="318"/>
      <c r="Z14936" s="318"/>
      <c r="AA14936" s="318"/>
      <c r="AB14936" s="318"/>
      <c r="AC14936" s="318"/>
      <c r="AD14936" s="318"/>
    </row>
    <row r="14937" spans="2:30" s="323" customFormat="1" ht="12" customHeight="1">
      <c r="B14937" s="324"/>
      <c r="C14937" s="325"/>
      <c r="D14937" s="326"/>
      <c r="E14937" s="326"/>
      <c r="F14937" s="326"/>
      <c r="G14937" s="326"/>
      <c r="H14937" s="326"/>
      <c r="P14937" s="318"/>
      <c r="Q14937" s="318"/>
      <c r="R14937" s="318"/>
      <c r="S14937" s="318"/>
      <c r="T14937" s="318"/>
      <c r="U14937" s="318"/>
      <c r="V14937" s="318"/>
      <c r="W14937" s="318"/>
      <c r="X14937" s="318"/>
      <c r="Y14937" s="318"/>
      <c r="Z14937" s="318"/>
      <c r="AA14937" s="318"/>
      <c r="AB14937" s="318"/>
      <c r="AC14937" s="318"/>
      <c r="AD14937" s="318"/>
    </row>
    <row r="14938" spans="2:30" s="323" customFormat="1" ht="12" customHeight="1">
      <c r="B14938" s="324"/>
      <c r="C14938" s="325"/>
      <c r="D14938" s="326"/>
      <c r="E14938" s="326"/>
      <c r="F14938" s="326"/>
      <c r="G14938" s="326"/>
      <c r="H14938" s="326"/>
      <c r="P14938" s="318"/>
      <c r="Q14938" s="318"/>
      <c r="R14938" s="318"/>
      <c r="S14938" s="318"/>
      <c r="T14938" s="318"/>
      <c r="U14938" s="318"/>
      <c r="V14938" s="318"/>
      <c r="W14938" s="318"/>
      <c r="X14938" s="318"/>
      <c r="Y14938" s="318"/>
      <c r="Z14938" s="318"/>
      <c r="AA14938" s="318"/>
      <c r="AB14938" s="318"/>
      <c r="AC14938" s="318"/>
      <c r="AD14938" s="318"/>
    </row>
    <row r="14939" spans="2:30" s="323" customFormat="1" ht="12" customHeight="1">
      <c r="B14939" s="324"/>
      <c r="C14939" s="325"/>
      <c r="D14939" s="326"/>
      <c r="E14939" s="326"/>
      <c r="F14939" s="326"/>
      <c r="G14939" s="326"/>
      <c r="H14939" s="326"/>
      <c r="P14939" s="318"/>
      <c r="Q14939" s="318"/>
      <c r="R14939" s="318"/>
      <c r="S14939" s="318"/>
      <c r="T14939" s="318"/>
      <c r="U14939" s="318"/>
      <c r="V14939" s="318"/>
      <c r="W14939" s="318"/>
      <c r="X14939" s="318"/>
      <c r="Y14939" s="318"/>
      <c r="Z14939" s="318"/>
      <c r="AA14939" s="318"/>
      <c r="AB14939" s="318"/>
      <c r="AC14939" s="318"/>
      <c r="AD14939" s="318"/>
    </row>
    <row r="14940" spans="2:30" s="323" customFormat="1" ht="12" customHeight="1">
      <c r="B14940" s="324"/>
      <c r="C14940" s="325"/>
      <c r="D14940" s="326"/>
      <c r="E14940" s="326"/>
      <c r="F14940" s="326"/>
      <c r="G14940" s="326"/>
      <c r="H14940" s="326"/>
      <c r="P14940" s="318"/>
      <c r="Q14940" s="318"/>
      <c r="R14940" s="318"/>
      <c r="S14940" s="318"/>
      <c r="T14940" s="318"/>
      <c r="U14940" s="318"/>
      <c r="V14940" s="318"/>
      <c r="W14940" s="318"/>
      <c r="X14940" s="318"/>
      <c r="Y14940" s="318"/>
      <c r="Z14940" s="318"/>
      <c r="AA14940" s="318"/>
      <c r="AB14940" s="318"/>
      <c r="AC14940" s="318"/>
      <c r="AD14940" s="318"/>
    </row>
    <row r="14941" spans="2:30" s="323" customFormat="1" ht="12" customHeight="1">
      <c r="B14941" s="324"/>
      <c r="C14941" s="325"/>
      <c r="D14941" s="326"/>
      <c r="E14941" s="326"/>
      <c r="F14941" s="326"/>
      <c r="G14941" s="326"/>
      <c r="H14941" s="326"/>
      <c r="P14941" s="318"/>
      <c r="Q14941" s="318"/>
      <c r="R14941" s="318"/>
      <c r="S14941" s="318"/>
      <c r="T14941" s="318"/>
      <c r="U14941" s="318"/>
      <c r="V14941" s="318"/>
      <c r="W14941" s="318"/>
      <c r="X14941" s="318"/>
      <c r="Y14941" s="318"/>
      <c r="Z14941" s="318"/>
      <c r="AA14941" s="318"/>
      <c r="AB14941" s="318"/>
      <c r="AC14941" s="318"/>
      <c r="AD14941" s="318"/>
    </row>
    <row r="14942" spans="2:30" s="323" customFormat="1" ht="12" customHeight="1">
      <c r="B14942" s="324"/>
      <c r="C14942" s="325"/>
      <c r="D14942" s="326"/>
      <c r="E14942" s="326"/>
      <c r="F14942" s="326"/>
      <c r="G14942" s="326"/>
      <c r="H14942" s="326"/>
      <c r="P14942" s="318"/>
      <c r="Q14942" s="318"/>
      <c r="R14942" s="318"/>
      <c r="S14942" s="318"/>
      <c r="T14942" s="318"/>
      <c r="U14942" s="318"/>
      <c r="V14942" s="318"/>
      <c r="W14942" s="318"/>
      <c r="X14942" s="318"/>
      <c r="Y14942" s="318"/>
      <c r="Z14942" s="318"/>
      <c r="AA14942" s="318"/>
      <c r="AB14942" s="318"/>
      <c r="AC14942" s="318"/>
      <c r="AD14942" s="318"/>
    </row>
    <row r="14943" spans="2:30" s="323" customFormat="1" ht="12" customHeight="1">
      <c r="B14943" s="324"/>
      <c r="C14943" s="325"/>
      <c r="D14943" s="326"/>
      <c r="E14943" s="326"/>
      <c r="F14943" s="326"/>
      <c r="G14943" s="326"/>
      <c r="H14943" s="326"/>
      <c r="P14943" s="318"/>
      <c r="Q14943" s="318"/>
      <c r="R14943" s="318"/>
      <c r="S14943" s="318"/>
      <c r="T14943" s="318"/>
      <c r="U14943" s="318"/>
      <c r="V14943" s="318"/>
      <c r="W14943" s="318"/>
      <c r="X14943" s="318"/>
      <c r="Y14943" s="318"/>
      <c r="Z14943" s="318"/>
      <c r="AA14943" s="318"/>
      <c r="AB14943" s="318"/>
      <c r="AC14943" s="318"/>
      <c r="AD14943" s="318"/>
    </row>
    <row r="14944" spans="2:30" s="323" customFormat="1" ht="12" customHeight="1">
      <c r="B14944" s="324"/>
      <c r="C14944" s="325"/>
      <c r="D14944" s="326"/>
      <c r="E14944" s="326"/>
      <c r="F14944" s="326"/>
      <c r="G14944" s="326"/>
      <c r="H14944" s="326"/>
      <c r="P14944" s="318"/>
      <c r="Q14944" s="318"/>
      <c r="R14944" s="318"/>
      <c r="S14944" s="318"/>
      <c r="T14944" s="318"/>
      <c r="U14944" s="318"/>
      <c r="V14944" s="318"/>
      <c r="W14944" s="318"/>
      <c r="X14944" s="318"/>
      <c r="Y14944" s="318"/>
      <c r="Z14944" s="318"/>
      <c r="AA14944" s="318"/>
      <c r="AB14944" s="318"/>
      <c r="AC14944" s="318"/>
      <c r="AD14944" s="318"/>
    </row>
    <row r="14945" spans="2:30" s="323" customFormat="1" ht="12" customHeight="1">
      <c r="B14945" s="324"/>
      <c r="C14945" s="325"/>
      <c r="D14945" s="326"/>
      <c r="E14945" s="326"/>
      <c r="F14945" s="326"/>
      <c r="G14945" s="326"/>
      <c r="H14945" s="326"/>
      <c r="P14945" s="318"/>
      <c r="Q14945" s="318"/>
      <c r="R14945" s="318"/>
      <c r="S14945" s="318"/>
      <c r="T14945" s="318"/>
      <c r="U14945" s="318"/>
      <c r="V14945" s="318"/>
      <c r="W14945" s="318"/>
      <c r="X14945" s="318"/>
      <c r="Y14945" s="318"/>
      <c r="Z14945" s="318"/>
      <c r="AA14945" s="318"/>
      <c r="AB14945" s="318"/>
      <c r="AC14945" s="318"/>
      <c r="AD14945" s="318"/>
    </row>
    <row r="14946" spans="2:30" s="323" customFormat="1" ht="12" customHeight="1">
      <c r="B14946" s="324"/>
      <c r="C14946" s="325"/>
      <c r="D14946" s="326"/>
      <c r="E14946" s="326"/>
      <c r="F14946" s="326"/>
      <c r="G14946" s="326"/>
      <c r="H14946" s="326"/>
      <c r="P14946" s="318"/>
      <c r="Q14946" s="318"/>
      <c r="R14946" s="318"/>
      <c r="S14946" s="318"/>
      <c r="T14946" s="318"/>
      <c r="U14946" s="318"/>
      <c r="V14946" s="318"/>
      <c r="W14946" s="318"/>
      <c r="X14946" s="318"/>
      <c r="Y14946" s="318"/>
      <c r="Z14946" s="318"/>
      <c r="AA14946" s="318"/>
      <c r="AB14946" s="318"/>
      <c r="AC14946" s="318"/>
      <c r="AD14946" s="318"/>
    </row>
    <row r="14947" spans="2:30" s="323" customFormat="1" ht="12" customHeight="1">
      <c r="B14947" s="324"/>
      <c r="C14947" s="325"/>
      <c r="D14947" s="326"/>
      <c r="E14947" s="326"/>
      <c r="F14947" s="326"/>
      <c r="G14947" s="326"/>
      <c r="H14947" s="326"/>
      <c r="P14947" s="318"/>
      <c r="Q14947" s="318"/>
      <c r="R14947" s="318"/>
      <c r="S14947" s="318"/>
      <c r="T14947" s="318"/>
      <c r="U14947" s="318"/>
      <c r="V14947" s="318"/>
      <c r="W14947" s="318"/>
      <c r="X14947" s="318"/>
      <c r="Y14947" s="318"/>
      <c r="Z14947" s="318"/>
      <c r="AA14947" s="318"/>
      <c r="AB14947" s="318"/>
      <c r="AC14947" s="318"/>
      <c r="AD14947" s="318"/>
    </row>
    <row r="14948" spans="2:30" s="323" customFormat="1" ht="12" customHeight="1">
      <c r="B14948" s="324"/>
      <c r="C14948" s="325"/>
      <c r="D14948" s="326"/>
      <c r="E14948" s="326"/>
      <c r="F14948" s="326"/>
      <c r="G14948" s="326"/>
      <c r="H14948" s="326"/>
      <c r="P14948" s="318"/>
      <c r="Q14948" s="318"/>
      <c r="R14948" s="318"/>
      <c r="S14948" s="318"/>
      <c r="T14948" s="318"/>
      <c r="U14948" s="318"/>
      <c r="V14948" s="318"/>
      <c r="W14948" s="318"/>
      <c r="X14948" s="318"/>
      <c r="Y14948" s="318"/>
      <c r="Z14948" s="318"/>
      <c r="AA14948" s="318"/>
      <c r="AB14948" s="318"/>
      <c r="AC14948" s="318"/>
      <c r="AD14948" s="318"/>
    </row>
    <row r="14949" spans="2:30" s="323" customFormat="1" ht="12" customHeight="1">
      <c r="B14949" s="324"/>
      <c r="C14949" s="325"/>
      <c r="D14949" s="326"/>
      <c r="E14949" s="326"/>
      <c r="F14949" s="326"/>
      <c r="G14949" s="326"/>
      <c r="H14949" s="326"/>
      <c r="P14949" s="318"/>
      <c r="Q14949" s="318"/>
      <c r="R14949" s="318"/>
      <c r="S14949" s="318"/>
      <c r="T14949" s="318"/>
      <c r="U14949" s="318"/>
      <c r="V14949" s="318"/>
      <c r="W14949" s="318"/>
      <c r="X14949" s="318"/>
      <c r="Y14949" s="318"/>
      <c r="Z14949" s="318"/>
      <c r="AA14949" s="318"/>
      <c r="AB14949" s="318"/>
      <c r="AC14949" s="318"/>
      <c r="AD14949" s="318"/>
    </row>
    <row r="14950" spans="2:30" s="323" customFormat="1" ht="12" customHeight="1">
      <c r="B14950" s="324"/>
      <c r="C14950" s="325"/>
      <c r="D14950" s="326"/>
      <c r="E14950" s="326"/>
      <c r="F14950" s="326"/>
      <c r="G14950" s="326"/>
      <c r="H14950" s="326"/>
      <c r="P14950" s="318"/>
      <c r="Q14950" s="318"/>
      <c r="R14950" s="318"/>
      <c r="S14950" s="318"/>
      <c r="T14950" s="318"/>
      <c r="U14950" s="318"/>
      <c r="V14950" s="318"/>
      <c r="W14950" s="318"/>
      <c r="X14950" s="318"/>
      <c r="Y14950" s="318"/>
      <c r="Z14950" s="318"/>
      <c r="AA14950" s="318"/>
      <c r="AB14950" s="318"/>
      <c r="AC14950" s="318"/>
      <c r="AD14950" s="318"/>
    </row>
    <row r="14951" spans="2:30" s="323" customFormat="1" ht="12" customHeight="1">
      <c r="B14951" s="324"/>
      <c r="C14951" s="325"/>
      <c r="D14951" s="326"/>
      <c r="E14951" s="326"/>
      <c r="F14951" s="326"/>
      <c r="G14951" s="326"/>
      <c r="H14951" s="326"/>
      <c r="P14951" s="318"/>
      <c r="Q14951" s="318"/>
      <c r="R14951" s="318"/>
      <c r="S14951" s="318"/>
      <c r="T14951" s="318"/>
      <c r="U14951" s="318"/>
      <c r="V14951" s="318"/>
      <c r="W14951" s="318"/>
      <c r="X14951" s="318"/>
      <c r="Y14951" s="318"/>
      <c r="Z14951" s="318"/>
      <c r="AA14951" s="318"/>
      <c r="AB14951" s="318"/>
      <c r="AC14951" s="318"/>
      <c r="AD14951" s="318"/>
    </row>
    <row r="14952" spans="2:30" s="323" customFormat="1" ht="12" customHeight="1">
      <c r="B14952" s="324"/>
      <c r="C14952" s="325"/>
      <c r="D14952" s="326"/>
      <c r="E14952" s="326"/>
      <c r="F14952" s="326"/>
      <c r="G14952" s="326"/>
      <c r="H14952" s="326"/>
      <c r="P14952" s="318"/>
      <c r="Q14952" s="318"/>
      <c r="R14952" s="318"/>
      <c r="S14952" s="318"/>
      <c r="T14952" s="318"/>
      <c r="U14952" s="318"/>
      <c r="V14952" s="318"/>
      <c r="W14952" s="318"/>
      <c r="X14952" s="318"/>
      <c r="Y14952" s="318"/>
      <c r="Z14952" s="318"/>
      <c r="AA14952" s="318"/>
      <c r="AB14952" s="318"/>
      <c r="AC14952" s="318"/>
      <c r="AD14952" s="318"/>
    </row>
    <row r="14953" spans="2:30" s="323" customFormat="1" ht="12" customHeight="1">
      <c r="B14953" s="324"/>
      <c r="C14953" s="325"/>
      <c r="D14953" s="326"/>
      <c r="E14953" s="326"/>
      <c r="F14953" s="326"/>
      <c r="G14953" s="326"/>
      <c r="H14953" s="326"/>
      <c r="P14953" s="318"/>
      <c r="Q14953" s="318"/>
      <c r="R14953" s="318"/>
      <c r="S14953" s="318"/>
      <c r="T14953" s="318"/>
      <c r="U14953" s="318"/>
      <c r="V14953" s="318"/>
      <c r="W14953" s="318"/>
      <c r="X14953" s="318"/>
      <c r="Y14953" s="318"/>
      <c r="Z14953" s="318"/>
      <c r="AA14953" s="318"/>
      <c r="AB14953" s="318"/>
      <c r="AC14953" s="318"/>
      <c r="AD14953" s="318"/>
    </row>
    <row r="14954" spans="2:30" s="323" customFormat="1" ht="12" customHeight="1">
      <c r="B14954" s="324"/>
      <c r="C14954" s="325"/>
      <c r="D14954" s="326"/>
      <c r="E14954" s="326"/>
      <c r="F14954" s="326"/>
      <c r="G14954" s="326"/>
      <c r="H14954" s="326"/>
      <c r="P14954" s="318"/>
      <c r="Q14954" s="318"/>
      <c r="R14954" s="318"/>
      <c r="S14954" s="318"/>
      <c r="T14954" s="318"/>
      <c r="U14954" s="318"/>
      <c r="V14954" s="318"/>
      <c r="W14954" s="318"/>
      <c r="X14954" s="318"/>
      <c r="Y14954" s="318"/>
      <c r="Z14954" s="318"/>
      <c r="AA14954" s="318"/>
      <c r="AB14954" s="318"/>
      <c r="AC14954" s="318"/>
      <c r="AD14954" s="318"/>
    </row>
    <row r="14955" spans="2:30" s="323" customFormat="1" ht="12" customHeight="1">
      <c r="B14955" s="324"/>
      <c r="C14955" s="325"/>
      <c r="D14955" s="326"/>
      <c r="E14955" s="326"/>
      <c r="F14955" s="326"/>
      <c r="G14955" s="326"/>
      <c r="H14955" s="326"/>
      <c r="P14955" s="318"/>
      <c r="Q14955" s="318"/>
      <c r="R14955" s="318"/>
      <c r="S14955" s="318"/>
      <c r="T14955" s="318"/>
      <c r="U14955" s="318"/>
      <c r="V14955" s="318"/>
      <c r="W14955" s="318"/>
      <c r="X14955" s="318"/>
      <c r="Y14955" s="318"/>
      <c r="Z14955" s="318"/>
      <c r="AA14955" s="318"/>
      <c r="AB14955" s="318"/>
      <c r="AC14955" s="318"/>
      <c r="AD14955" s="318"/>
    </row>
    <row r="14956" spans="2:30" s="323" customFormat="1" ht="12" customHeight="1">
      <c r="B14956" s="324"/>
      <c r="C14956" s="325"/>
      <c r="D14956" s="326"/>
      <c r="E14956" s="326"/>
      <c r="F14956" s="326"/>
      <c r="G14956" s="326"/>
      <c r="H14956" s="326"/>
      <c r="P14956" s="318"/>
      <c r="Q14956" s="318"/>
      <c r="R14956" s="318"/>
      <c r="S14956" s="318"/>
      <c r="T14956" s="318"/>
      <c r="U14956" s="318"/>
      <c r="V14956" s="318"/>
      <c r="W14956" s="318"/>
      <c r="X14956" s="318"/>
      <c r="Y14956" s="318"/>
      <c r="Z14956" s="318"/>
      <c r="AA14956" s="318"/>
      <c r="AB14956" s="318"/>
      <c r="AC14956" s="318"/>
      <c r="AD14956" s="318"/>
    </row>
    <row r="14957" spans="2:30" s="323" customFormat="1" ht="12" customHeight="1">
      <c r="B14957" s="324"/>
      <c r="C14957" s="325"/>
      <c r="D14957" s="326"/>
      <c r="E14957" s="326"/>
      <c r="F14957" s="326"/>
      <c r="G14957" s="326"/>
      <c r="H14957" s="326"/>
      <c r="P14957" s="318"/>
      <c r="Q14957" s="318"/>
      <c r="R14957" s="318"/>
      <c r="S14957" s="318"/>
      <c r="T14957" s="318"/>
      <c r="U14957" s="318"/>
      <c r="V14957" s="318"/>
      <c r="W14957" s="318"/>
      <c r="X14957" s="318"/>
      <c r="Y14957" s="318"/>
      <c r="Z14957" s="318"/>
      <c r="AA14957" s="318"/>
      <c r="AB14957" s="318"/>
      <c r="AC14957" s="318"/>
      <c r="AD14957" s="318"/>
    </row>
    <row r="14958" spans="2:30" s="323" customFormat="1" ht="12" customHeight="1">
      <c r="B14958" s="324"/>
      <c r="C14958" s="325"/>
      <c r="D14958" s="326"/>
      <c r="E14958" s="326"/>
      <c r="F14958" s="326"/>
      <c r="G14958" s="326"/>
      <c r="H14958" s="326"/>
      <c r="P14958" s="318"/>
      <c r="Q14958" s="318"/>
      <c r="R14958" s="318"/>
      <c r="S14958" s="318"/>
      <c r="T14958" s="318"/>
      <c r="U14958" s="318"/>
      <c r="V14958" s="318"/>
      <c r="W14958" s="318"/>
      <c r="X14958" s="318"/>
      <c r="Y14958" s="318"/>
      <c r="Z14958" s="318"/>
      <c r="AA14958" s="318"/>
      <c r="AB14958" s="318"/>
      <c r="AC14958" s="318"/>
      <c r="AD14958" s="318"/>
    </row>
    <row r="14959" spans="2:30" s="323" customFormat="1" ht="12" customHeight="1">
      <c r="B14959" s="324"/>
      <c r="C14959" s="325"/>
      <c r="D14959" s="326"/>
      <c r="E14959" s="326"/>
      <c r="F14959" s="326"/>
      <c r="G14959" s="326"/>
      <c r="H14959" s="326"/>
      <c r="P14959" s="318"/>
      <c r="Q14959" s="318"/>
      <c r="R14959" s="318"/>
      <c r="S14959" s="318"/>
      <c r="T14959" s="318"/>
      <c r="U14959" s="318"/>
      <c r="V14959" s="318"/>
      <c r="W14959" s="318"/>
      <c r="X14959" s="318"/>
      <c r="Y14959" s="318"/>
      <c r="Z14959" s="318"/>
      <c r="AA14959" s="318"/>
      <c r="AB14959" s="318"/>
      <c r="AC14959" s="318"/>
      <c r="AD14959" s="318"/>
    </row>
    <row r="14960" spans="2:30" s="323" customFormat="1" ht="12" customHeight="1">
      <c r="B14960" s="324"/>
      <c r="C14960" s="325"/>
      <c r="D14960" s="326"/>
      <c r="E14960" s="326"/>
      <c r="F14960" s="326"/>
      <c r="G14960" s="326"/>
      <c r="H14960" s="326"/>
      <c r="P14960" s="318"/>
      <c r="Q14960" s="318"/>
      <c r="R14960" s="318"/>
      <c r="S14960" s="318"/>
      <c r="T14960" s="318"/>
      <c r="U14960" s="318"/>
      <c r="V14960" s="318"/>
      <c r="W14960" s="318"/>
      <c r="X14960" s="318"/>
      <c r="Y14960" s="318"/>
      <c r="Z14960" s="318"/>
      <c r="AA14960" s="318"/>
      <c r="AB14960" s="318"/>
      <c r="AC14960" s="318"/>
      <c r="AD14960" s="318"/>
    </row>
    <row r="14961" spans="2:30" s="323" customFormat="1" ht="12" customHeight="1">
      <c r="B14961" s="324"/>
      <c r="C14961" s="325"/>
      <c r="D14961" s="326"/>
      <c r="E14961" s="326"/>
      <c r="F14961" s="326"/>
      <c r="G14961" s="326"/>
      <c r="H14961" s="326"/>
      <c r="P14961" s="318"/>
      <c r="Q14961" s="318"/>
      <c r="R14961" s="318"/>
      <c r="S14961" s="318"/>
      <c r="T14961" s="318"/>
      <c r="U14961" s="318"/>
      <c r="V14961" s="318"/>
      <c r="W14961" s="318"/>
      <c r="X14961" s="318"/>
      <c r="Y14961" s="318"/>
      <c r="Z14961" s="318"/>
      <c r="AA14961" s="318"/>
      <c r="AB14961" s="318"/>
      <c r="AC14961" s="318"/>
      <c r="AD14961" s="318"/>
    </row>
    <row r="14962" spans="2:30" s="323" customFormat="1" ht="12" customHeight="1">
      <c r="B14962" s="324"/>
      <c r="C14962" s="325"/>
      <c r="D14962" s="326"/>
      <c r="E14962" s="326"/>
      <c r="F14962" s="326"/>
      <c r="G14962" s="326"/>
      <c r="H14962" s="326"/>
      <c r="P14962" s="318"/>
      <c r="Q14962" s="318"/>
      <c r="R14962" s="318"/>
      <c r="S14962" s="318"/>
      <c r="T14962" s="318"/>
      <c r="U14962" s="318"/>
      <c r="V14962" s="318"/>
      <c r="W14962" s="318"/>
      <c r="X14962" s="318"/>
      <c r="Y14962" s="318"/>
      <c r="Z14962" s="318"/>
      <c r="AA14962" s="318"/>
      <c r="AB14962" s="318"/>
      <c r="AC14962" s="318"/>
      <c r="AD14962" s="318"/>
    </row>
    <row r="14963" spans="2:30" s="323" customFormat="1" ht="12" customHeight="1">
      <c r="B14963" s="324"/>
      <c r="C14963" s="325"/>
      <c r="D14963" s="326"/>
      <c r="E14963" s="326"/>
      <c r="F14963" s="326"/>
      <c r="G14963" s="326"/>
      <c r="H14963" s="326"/>
      <c r="P14963" s="318"/>
      <c r="Q14963" s="318"/>
      <c r="R14963" s="318"/>
      <c r="S14963" s="318"/>
      <c r="T14963" s="318"/>
      <c r="U14963" s="318"/>
      <c r="V14963" s="318"/>
      <c r="W14963" s="318"/>
      <c r="X14963" s="318"/>
      <c r="Y14963" s="318"/>
      <c r="Z14963" s="318"/>
      <c r="AA14963" s="318"/>
      <c r="AB14963" s="318"/>
      <c r="AC14963" s="318"/>
      <c r="AD14963" s="318"/>
    </row>
    <row r="14964" spans="2:30" s="323" customFormat="1" ht="12" customHeight="1">
      <c r="B14964" s="324"/>
      <c r="C14964" s="325"/>
      <c r="D14964" s="326"/>
      <c r="E14964" s="326"/>
      <c r="F14964" s="326"/>
      <c r="G14964" s="326"/>
      <c r="H14964" s="326"/>
      <c r="P14964" s="318"/>
      <c r="Q14964" s="318"/>
      <c r="R14964" s="318"/>
      <c r="S14964" s="318"/>
      <c r="T14964" s="318"/>
      <c r="U14964" s="318"/>
      <c r="V14964" s="318"/>
      <c r="W14964" s="318"/>
      <c r="X14964" s="318"/>
      <c r="Y14964" s="318"/>
      <c r="Z14964" s="318"/>
      <c r="AA14964" s="318"/>
      <c r="AB14964" s="318"/>
      <c r="AC14964" s="318"/>
      <c r="AD14964" s="318"/>
    </row>
    <row r="14965" spans="2:30" s="323" customFormat="1" ht="12" customHeight="1">
      <c r="B14965" s="324"/>
      <c r="C14965" s="325"/>
      <c r="D14965" s="326"/>
      <c r="E14965" s="326"/>
      <c r="F14965" s="326"/>
      <c r="G14965" s="326"/>
      <c r="H14965" s="326"/>
      <c r="P14965" s="318"/>
      <c r="Q14965" s="318"/>
      <c r="R14965" s="318"/>
      <c r="S14965" s="318"/>
      <c r="T14965" s="318"/>
      <c r="U14965" s="318"/>
      <c r="V14965" s="318"/>
      <c r="W14965" s="318"/>
      <c r="X14965" s="318"/>
      <c r="Y14965" s="318"/>
      <c r="Z14965" s="318"/>
      <c r="AA14965" s="318"/>
      <c r="AB14965" s="318"/>
      <c r="AC14965" s="318"/>
      <c r="AD14965" s="318"/>
    </row>
    <row r="14966" spans="2:30" s="323" customFormat="1" ht="12" customHeight="1">
      <c r="B14966" s="324"/>
      <c r="C14966" s="325"/>
      <c r="D14966" s="326"/>
      <c r="E14966" s="326"/>
      <c r="F14966" s="326"/>
      <c r="G14966" s="326"/>
      <c r="H14966" s="326"/>
      <c r="P14966" s="318"/>
      <c r="Q14966" s="318"/>
      <c r="R14966" s="318"/>
      <c r="S14966" s="318"/>
      <c r="T14966" s="318"/>
      <c r="U14966" s="318"/>
      <c r="V14966" s="318"/>
      <c r="W14966" s="318"/>
      <c r="X14966" s="318"/>
      <c r="Y14966" s="318"/>
      <c r="Z14966" s="318"/>
      <c r="AA14966" s="318"/>
      <c r="AB14966" s="318"/>
      <c r="AC14966" s="318"/>
      <c r="AD14966" s="318"/>
    </row>
    <row r="14967" spans="2:30" s="323" customFormat="1" ht="12" customHeight="1">
      <c r="B14967" s="324"/>
      <c r="C14967" s="325"/>
      <c r="D14967" s="326"/>
      <c r="E14967" s="326"/>
      <c r="F14967" s="326"/>
      <c r="G14967" s="326"/>
      <c r="H14967" s="326"/>
      <c r="P14967" s="318"/>
      <c r="Q14967" s="318"/>
      <c r="R14967" s="318"/>
      <c r="S14967" s="318"/>
      <c r="T14967" s="318"/>
      <c r="U14967" s="318"/>
      <c r="V14967" s="318"/>
      <c r="W14967" s="318"/>
      <c r="X14967" s="318"/>
      <c r="Y14967" s="318"/>
      <c r="Z14967" s="318"/>
      <c r="AA14967" s="318"/>
      <c r="AB14967" s="318"/>
      <c r="AC14967" s="318"/>
      <c r="AD14967" s="318"/>
    </row>
    <row r="14968" spans="2:30" s="323" customFormat="1" ht="12" customHeight="1">
      <c r="B14968" s="324"/>
      <c r="C14968" s="325"/>
      <c r="D14968" s="326"/>
      <c r="E14968" s="326"/>
      <c r="F14968" s="326"/>
      <c r="G14968" s="326"/>
      <c r="H14968" s="326"/>
      <c r="P14968" s="318"/>
      <c r="Q14968" s="318"/>
      <c r="R14968" s="318"/>
      <c r="S14968" s="318"/>
      <c r="T14968" s="318"/>
      <c r="U14968" s="318"/>
      <c r="V14968" s="318"/>
      <c r="W14968" s="318"/>
      <c r="X14968" s="318"/>
      <c r="Y14968" s="318"/>
      <c r="Z14968" s="318"/>
      <c r="AA14968" s="318"/>
      <c r="AB14968" s="318"/>
      <c r="AC14968" s="318"/>
      <c r="AD14968" s="318"/>
    </row>
    <row r="14969" spans="2:30" s="323" customFormat="1" ht="12" customHeight="1">
      <c r="B14969" s="324"/>
      <c r="C14969" s="325"/>
      <c r="D14969" s="326"/>
      <c r="E14969" s="326"/>
      <c r="F14969" s="326"/>
      <c r="G14969" s="326"/>
      <c r="H14969" s="326"/>
      <c r="P14969" s="318"/>
      <c r="Q14969" s="318"/>
      <c r="R14969" s="318"/>
      <c r="S14969" s="318"/>
      <c r="T14969" s="318"/>
      <c r="U14969" s="318"/>
      <c r="V14969" s="318"/>
      <c r="W14969" s="318"/>
      <c r="X14969" s="318"/>
      <c r="Y14969" s="318"/>
      <c r="Z14969" s="318"/>
      <c r="AA14969" s="318"/>
      <c r="AB14969" s="318"/>
      <c r="AC14969" s="318"/>
      <c r="AD14969" s="318"/>
    </row>
    <row r="14970" spans="2:30" s="323" customFormat="1" ht="12" customHeight="1">
      <c r="B14970" s="324"/>
      <c r="C14970" s="325"/>
      <c r="D14970" s="326"/>
      <c r="E14970" s="326"/>
      <c r="F14970" s="326"/>
      <c r="G14970" s="326"/>
      <c r="H14970" s="326"/>
      <c r="P14970" s="318"/>
      <c r="Q14970" s="318"/>
      <c r="R14970" s="318"/>
      <c r="S14970" s="318"/>
      <c r="T14970" s="318"/>
      <c r="U14970" s="318"/>
      <c r="V14970" s="318"/>
      <c r="W14970" s="318"/>
      <c r="X14970" s="318"/>
      <c r="Y14970" s="318"/>
      <c r="Z14970" s="318"/>
      <c r="AA14970" s="318"/>
      <c r="AB14970" s="318"/>
      <c r="AC14970" s="318"/>
      <c r="AD14970" s="318"/>
    </row>
    <row r="14971" spans="2:30" s="323" customFormat="1" ht="12" customHeight="1">
      <c r="B14971" s="324"/>
      <c r="C14971" s="325"/>
      <c r="D14971" s="326"/>
      <c r="E14971" s="326"/>
      <c r="F14971" s="326"/>
      <c r="G14971" s="326"/>
      <c r="H14971" s="326"/>
      <c r="P14971" s="318"/>
      <c r="Q14971" s="318"/>
      <c r="R14971" s="318"/>
      <c r="S14971" s="318"/>
      <c r="T14971" s="318"/>
      <c r="U14971" s="318"/>
      <c r="V14971" s="318"/>
      <c r="W14971" s="318"/>
      <c r="X14971" s="318"/>
      <c r="Y14971" s="318"/>
      <c r="Z14971" s="318"/>
      <c r="AA14971" s="318"/>
      <c r="AB14971" s="318"/>
      <c r="AC14971" s="318"/>
      <c r="AD14971" s="318"/>
    </row>
    <row r="14972" spans="2:30" s="323" customFormat="1" ht="12" customHeight="1">
      <c r="B14972" s="324"/>
      <c r="C14972" s="325"/>
      <c r="D14972" s="326"/>
      <c r="E14972" s="326"/>
      <c r="F14972" s="326"/>
      <c r="G14972" s="326"/>
      <c r="H14972" s="326"/>
      <c r="P14972" s="318"/>
      <c r="Q14972" s="318"/>
      <c r="R14972" s="318"/>
      <c r="S14972" s="318"/>
      <c r="T14972" s="318"/>
      <c r="U14972" s="318"/>
      <c r="V14972" s="318"/>
      <c r="W14972" s="318"/>
      <c r="X14972" s="318"/>
      <c r="Y14972" s="318"/>
      <c r="Z14972" s="318"/>
      <c r="AA14972" s="318"/>
      <c r="AB14972" s="318"/>
      <c r="AC14972" s="318"/>
      <c r="AD14972" s="318"/>
    </row>
    <row r="14973" spans="2:30" s="323" customFormat="1" ht="12" customHeight="1">
      <c r="B14973" s="324"/>
      <c r="C14973" s="325"/>
      <c r="D14973" s="326"/>
      <c r="E14973" s="326"/>
      <c r="F14973" s="326"/>
      <c r="G14973" s="326"/>
      <c r="H14973" s="326"/>
      <c r="P14973" s="318"/>
      <c r="Q14973" s="318"/>
      <c r="R14973" s="318"/>
      <c r="S14973" s="318"/>
      <c r="T14973" s="318"/>
      <c r="U14973" s="318"/>
      <c r="V14973" s="318"/>
      <c r="W14973" s="318"/>
      <c r="X14973" s="318"/>
      <c r="Y14973" s="318"/>
      <c r="Z14973" s="318"/>
      <c r="AA14973" s="318"/>
      <c r="AB14973" s="318"/>
      <c r="AC14973" s="318"/>
      <c r="AD14973" s="318"/>
    </row>
    <row r="14974" spans="2:30" s="323" customFormat="1" ht="12" customHeight="1">
      <c r="B14974" s="324"/>
      <c r="C14974" s="325"/>
      <c r="D14974" s="326"/>
      <c r="E14974" s="326"/>
      <c r="F14974" s="326"/>
      <c r="G14974" s="326"/>
      <c r="H14974" s="326"/>
      <c r="P14974" s="318"/>
      <c r="Q14974" s="318"/>
      <c r="R14974" s="318"/>
      <c r="S14974" s="318"/>
      <c r="T14974" s="318"/>
      <c r="U14974" s="318"/>
      <c r="V14974" s="318"/>
      <c r="W14974" s="318"/>
      <c r="X14974" s="318"/>
      <c r="Y14974" s="318"/>
      <c r="Z14974" s="318"/>
      <c r="AA14974" s="318"/>
      <c r="AB14974" s="318"/>
      <c r="AC14974" s="318"/>
      <c r="AD14974" s="318"/>
    </row>
    <row r="14975" spans="2:30" s="323" customFormat="1" ht="12" customHeight="1">
      <c r="B14975" s="324"/>
      <c r="C14975" s="325"/>
      <c r="D14975" s="326"/>
      <c r="E14975" s="326"/>
      <c r="F14975" s="326"/>
      <c r="G14975" s="326"/>
      <c r="H14975" s="326"/>
      <c r="P14975" s="318"/>
      <c r="Q14975" s="318"/>
      <c r="R14975" s="318"/>
      <c r="S14975" s="318"/>
      <c r="T14975" s="318"/>
      <c r="U14975" s="318"/>
      <c r="V14975" s="318"/>
      <c r="W14975" s="318"/>
      <c r="X14975" s="318"/>
      <c r="Y14975" s="318"/>
      <c r="Z14975" s="318"/>
      <c r="AA14975" s="318"/>
      <c r="AB14975" s="318"/>
      <c r="AC14975" s="318"/>
      <c r="AD14975" s="318"/>
    </row>
    <row r="14976" spans="2:30" s="323" customFormat="1" ht="12" customHeight="1">
      <c r="B14976" s="324"/>
      <c r="C14976" s="325"/>
      <c r="D14976" s="326"/>
      <c r="E14976" s="326"/>
      <c r="F14976" s="326"/>
      <c r="G14976" s="326"/>
      <c r="H14976" s="326"/>
      <c r="P14976" s="318"/>
      <c r="Q14976" s="318"/>
      <c r="R14976" s="318"/>
      <c r="S14976" s="318"/>
      <c r="T14976" s="318"/>
      <c r="U14976" s="318"/>
      <c r="V14976" s="318"/>
      <c r="W14976" s="318"/>
      <c r="X14976" s="318"/>
      <c r="Y14976" s="318"/>
      <c r="Z14976" s="318"/>
      <c r="AA14976" s="318"/>
      <c r="AB14976" s="318"/>
      <c r="AC14976" s="318"/>
      <c r="AD14976" s="318"/>
    </row>
    <row r="14977" spans="2:30" s="323" customFormat="1" ht="12" customHeight="1">
      <c r="B14977" s="324"/>
      <c r="C14977" s="325"/>
      <c r="D14977" s="326"/>
      <c r="E14977" s="326"/>
      <c r="F14977" s="326"/>
      <c r="G14977" s="326"/>
      <c r="H14977" s="326"/>
      <c r="P14977" s="318"/>
      <c r="Q14977" s="318"/>
      <c r="R14977" s="318"/>
      <c r="S14977" s="318"/>
      <c r="T14977" s="318"/>
      <c r="U14977" s="318"/>
      <c r="V14977" s="318"/>
      <c r="W14977" s="318"/>
      <c r="X14977" s="318"/>
      <c r="Y14977" s="318"/>
      <c r="Z14977" s="318"/>
      <c r="AA14977" s="318"/>
      <c r="AB14977" s="318"/>
      <c r="AC14977" s="318"/>
      <c r="AD14977" s="318"/>
    </row>
    <row r="14978" spans="2:30" s="323" customFormat="1" ht="12" customHeight="1">
      <c r="B14978" s="324"/>
      <c r="C14978" s="325"/>
      <c r="D14978" s="326"/>
      <c r="E14978" s="326"/>
      <c r="F14978" s="326"/>
      <c r="G14978" s="326"/>
      <c r="H14978" s="326"/>
      <c r="P14978" s="318"/>
      <c r="Q14978" s="318"/>
      <c r="R14978" s="318"/>
      <c r="S14978" s="318"/>
      <c r="T14978" s="318"/>
      <c r="U14978" s="318"/>
      <c r="V14978" s="318"/>
      <c r="W14978" s="318"/>
      <c r="X14978" s="318"/>
      <c r="Y14978" s="318"/>
      <c r="Z14978" s="318"/>
      <c r="AA14978" s="318"/>
      <c r="AB14978" s="318"/>
      <c r="AC14978" s="318"/>
      <c r="AD14978" s="318"/>
    </row>
    <row r="14979" spans="2:30" s="323" customFormat="1" ht="12" customHeight="1">
      <c r="B14979" s="324"/>
      <c r="C14979" s="325"/>
      <c r="D14979" s="326"/>
      <c r="E14979" s="326"/>
      <c r="F14979" s="326"/>
      <c r="G14979" s="326"/>
      <c r="H14979" s="326"/>
      <c r="P14979" s="318"/>
      <c r="Q14979" s="318"/>
      <c r="R14979" s="318"/>
      <c r="S14979" s="318"/>
      <c r="T14979" s="318"/>
      <c r="U14979" s="318"/>
      <c r="V14979" s="318"/>
      <c r="W14979" s="318"/>
      <c r="X14979" s="318"/>
      <c r="Y14979" s="318"/>
      <c r="Z14979" s="318"/>
      <c r="AA14979" s="318"/>
      <c r="AB14979" s="318"/>
      <c r="AC14979" s="318"/>
      <c r="AD14979" s="318"/>
    </row>
    <row r="14980" spans="2:30" s="323" customFormat="1" ht="12" customHeight="1">
      <c r="B14980" s="324"/>
      <c r="C14980" s="325"/>
      <c r="D14980" s="326"/>
      <c r="E14980" s="326"/>
      <c r="F14980" s="326"/>
      <c r="G14980" s="326"/>
      <c r="H14980" s="326"/>
      <c r="P14980" s="318"/>
      <c r="Q14980" s="318"/>
      <c r="R14980" s="318"/>
      <c r="S14980" s="318"/>
      <c r="T14980" s="318"/>
      <c r="U14980" s="318"/>
      <c r="V14980" s="318"/>
      <c r="W14980" s="318"/>
      <c r="X14980" s="318"/>
      <c r="Y14980" s="318"/>
      <c r="Z14980" s="318"/>
      <c r="AA14980" s="318"/>
      <c r="AB14980" s="318"/>
      <c r="AC14980" s="318"/>
      <c r="AD14980" s="318"/>
    </row>
    <row r="14981" spans="2:30" s="323" customFormat="1" ht="12" customHeight="1">
      <c r="B14981" s="324"/>
      <c r="C14981" s="325"/>
      <c r="D14981" s="326"/>
      <c r="E14981" s="326"/>
      <c r="F14981" s="326"/>
      <c r="G14981" s="326"/>
      <c r="H14981" s="326"/>
      <c r="P14981" s="318"/>
      <c r="Q14981" s="318"/>
      <c r="R14981" s="318"/>
      <c r="S14981" s="318"/>
      <c r="T14981" s="318"/>
      <c r="U14981" s="318"/>
      <c r="V14981" s="318"/>
      <c r="W14981" s="318"/>
      <c r="X14981" s="318"/>
      <c r="Y14981" s="318"/>
      <c r="Z14981" s="318"/>
      <c r="AA14981" s="318"/>
      <c r="AB14981" s="318"/>
      <c r="AC14981" s="318"/>
      <c r="AD14981" s="318"/>
    </row>
    <row r="14982" spans="2:30" s="323" customFormat="1" ht="12" customHeight="1">
      <c r="B14982" s="324"/>
      <c r="C14982" s="325"/>
      <c r="D14982" s="326"/>
      <c r="E14982" s="326"/>
      <c r="F14982" s="326"/>
      <c r="G14982" s="326"/>
      <c r="H14982" s="326"/>
      <c r="P14982" s="318"/>
      <c r="Q14982" s="318"/>
      <c r="R14982" s="318"/>
      <c r="S14982" s="318"/>
      <c r="T14982" s="318"/>
      <c r="U14982" s="318"/>
      <c r="V14982" s="318"/>
      <c r="W14982" s="318"/>
      <c r="X14982" s="318"/>
      <c r="Y14982" s="318"/>
      <c r="Z14982" s="318"/>
      <c r="AA14982" s="318"/>
      <c r="AB14982" s="318"/>
      <c r="AC14982" s="318"/>
      <c r="AD14982" s="318"/>
    </row>
    <row r="14983" spans="2:30" s="323" customFormat="1" ht="12" customHeight="1">
      <c r="B14983" s="324"/>
      <c r="C14983" s="325"/>
      <c r="D14983" s="326"/>
      <c r="E14983" s="326"/>
      <c r="F14983" s="326"/>
      <c r="G14983" s="326"/>
      <c r="H14983" s="326"/>
      <c r="P14983" s="318"/>
      <c r="Q14983" s="318"/>
      <c r="R14983" s="318"/>
      <c r="S14983" s="318"/>
      <c r="T14983" s="318"/>
      <c r="U14983" s="318"/>
      <c r="V14983" s="318"/>
      <c r="W14983" s="318"/>
      <c r="X14983" s="318"/>
      <c r="Y14983" s="318"/>
      <c r="Z14983" s="318"/>
      <c r="AA14983" s="318"/>
      <c r="AB14983" s="318"/>
      <c r="AC14983" s="318"/>
      <c r="AD14983" s="318"/>
    </row>
    <row r="14984" spans="2:30" s="323" customFormat="1" ht="12" customHeight="1">
      <c r="B14984" s="324"/>
      <c r="C14984" s="325"/>
      <c r="D14984" s="326"/>
      <c r="E14984" s="326"/>
      <c r="F14984" s="326"/>
      <c r="G14984" s="326"/>
      <c r="H14984" s="326"/>
      <c r="P14984" s="318"/>
      <c r="Q14984" s="318"/>
      <c r="R14984" s="318"/>
      <c r="S14984" s="318"/>
      <c r="T14984" s="318"/>
      <c r="U14984" s="318"/>
      <c r="V14984" s="318"/>
      <c r="W14984" s="318"/>
      <c r="X14984" s="318"/>
      <c r="Y14984" s="318"/>
      <c r="Z14984" s="318"/>
      <c r="AA14984" s="318"/>
      <c r="AB14984" s="318"/>
      <c r="AC14984" s="318"/>
      <c r="AD14984" s="318"/>
    </row>
    <row r="14985" spans="2:30" s="323" customFormat="1" ht="12" customHeight="1">
      <c r="B14985" s="324"/>
      <c r="C14985" s="325"/>
      <c r="D14985" s="326"/>
      <c r="E14985" s="326"/>
      <c r="F14985" s="326"/>
      <c r="G14985" s="326"/>
      <c r="H14985" s="326"/>
      <c r="P14985" s="318"/>
      <c r="Q14985" s="318"/>
      <c r="R14985" s="318"/>
      <c r="S14985" s="318"/>
      <c r="T14985" s="318"/>
      <c r="U14985" s="318"/>
      <c r="V14985" s="318"/>
      <c r="W14985" s="318"/>
      <c r="X14985" s="318"/>
      <c r="Y14985" s="318"/>
      <c r="Z14985" s="318"/>
      <c r="AA14985" s="318"/>
      <c r="AB14985" s="318"/>
      <c r="AC14985" s="318"/>
      <c r="AD14985" s="318"/>
    </row>
    <row r="14986" spans="2:30" s="323" customFormat="1" ht="12" customHeight="1">
      <c r="B14986" s="324"/>
      <c r="C14986" s="325"/>
      <c r="D14986" s="326"/>
      <c r="E14986" s="326"/>
      <c r="F14986" s="326"/>
      <c r="G14986" s="326"/>
      <c r="H14986" s="326"/>
      <c r="P14986" s="318"/>
      <c r="Q14986" s="318"/>
      <c r="R14986" s="318"/>
      <c r="S14986" s="318"/>
      <c r="T14986" s="318"/>
      <c r="U14986" s="318"/>
      <c r="V14986" s="318"/>
      <c r="W14986" s="318"/>
      <c r="X14986" s="318"/>
      <c r="Y14986" s="318"/>
      <c r="Z14986" s="318"/>
      <c r="AA14986" s="318"/>
      <c r="AB14986" s="318"/>
      <c r="AC14986" s="318"/>
      <c r="AD14986" s="318"/>
    </row>
    <row r="14987" spans="2:30" s="323" customFormat="1" ht="12" customHeight="1">
      <c r="B14987" s="324"/>
      <c r="C14987" s="325"/>
      <c r="D14987" s="326"/>
      <c r="E14987" s="326"/>
      <c r="F14987" s="326"/>
      <c r="G14987" s="326"/>
      <c r="H14987" s="326"/>
      <c r="P14987" s="318"/>
      <c r="Q14987" s="318"/>
      <c r="R14987" s="318"/>
      <c r="S14987" s="318"/>
      <c r="T14987" s="318"/>
      <c r="U14987" s="318"/>
      <c r="V14987" s="318"/>
      <c r="W14987" s="318"/>
      <c r="X14987" s="318"/>
      <c r="Y14987" s="318"/>
      <c r="Z14987" s="318"/>
      <c r="AA14987" s="318"/>
      <c r="AB14987" s="318"/>
      <c r="AC14987" s="318"/>
      <c r="AD14987" s="318"/>
    </row>
    <row r="14988" spans="2:30" s="323" customFormat="1" ht="12" customHeight="1">
      <c r="B14988" s="324"/>
      <c r="C14988" s="325"/>
      <c r="D14988" s="326"/>
      <c r="E14988" s="326"/>
      <c r="F14988" s="326"/>
      <c r="G14988" s="326"/>
      <c r="H14988" s="326"/>
      <c r="P14988" s="318"/>
      <c r="Q14988" s="318"/>
      <c r="R14988" s="318"/>
      <c r="S14988" s="318"/>
      <c r="T14988" s="318"/>
      <c r="U14988" s="318"/>
      <c r="V14988" s="318"/>
      <c r="W14988" s="318"/>
      <c r="X14988" s="318"/>
      <c r="Y14988" s="318"/>
      <c r="Z14988" s="318"/>
      <c r="AA14988" s="318"/>
      <c r="AB14988" s="318"/>
      <c r="AC14988" s="318"/>
      <c r="AD14988" s="318"/>
    </row>
    <row r="14989" spans="2:30" s="323" customFormat="1" ht="12" customHeight="1">
      <c r="B14989" s="324"/>
      <c r="C14989" s="325"/>
      <c r="D14989" s="326"/>
      <c r="E14989" s="326"/>
      <c r="F14989" s="326"/>
      <c r="G14989" s="326"/>
      <c r="H14989" s="326"/>
      <c r="P14989" s="318"/>
      <c r="Q14989" s="318"/>
      <c r="R14989" s="318"/>
      <c r="S14989" s="318"/>
      <c r="T14989" s="318"/>
      <c r="U14989" s="318"/>
      <c r="V14989" s="318"/>
      <c r="W14989" s="318"/>
      <c r="X14989" s="318"/>
      <c r="Y14989" s="318"/>
      <c r="Z14989" s="318"/>
      <c r="AA14989" s="318"/>
      <c r="AB14989" s="318"/>
      <c r="AC14989" s="318"/>
      <c r="AD14989" s="318"/>
    </row>
    <row r="14990" spans="2:30" s="323" customFormat="1" ht="12" customHeight="1">
      <c r="B14990" s="324"/>
      <c r="C14990" s="325"/>
      <c r="D14990" s="326"/>
      <c r="E14990" s="326"/>
      <c r="F14990" s="326"/>
      <c r="G14990" s="326"/>
      <c r="H14990" s="326"/>
      <c r="P14990" s="318"/>
      <c r="Q14990" s="318"/>
      <c r="R14990" s="318"/>
      <c r="S14990" s="318"/>
      <c r="T14990" s="318"/>
      <c r="U14990" s="318"/>
      <c r="V14990" s="318"/>
      <c r="W14990" s="318"/>
      <c r="X14990" s="318"/>
      <c r="Y14990" s="318"/>
      <c r="Z14990" s="318"/>
      <c r="AA14990" s="318"/>
      <c r="AB14990" s="318"/>
      <c r="AC14990" s="318"/>
      <c r="AD14990" s="318"/>
    </row>
    <row r="14991" spans="2:30" s="323" customFormat="1" ht="12" customHeight="1">
      <c r="B14991" s="324"/>
      <c r="C14991" s="325"/>
      <c r="D14991" s="326"/>
      <c r="E14991" s="326"/>
      <c r="F14991" s="326"/>
      <c r="G14991" s="326"/>
      <c r="H14991" s="326"/>
      <c r="P14991" s="318"/>
      <c r="Q14991" s="318"/>
      <c r="R14991" s="318"/>
      <c r="S14991" s="318"/>
      <c r="T14991" s="318"/>
      <c r="U14991" s="318"/>
      <c r="V14991" s="318"/>
      <c r="W14991" s="318"/>
      <c r="X14991" s="318"/>
      <c r="Y14991" s="318"/>
      <c r="Z14991" s="318"/>
      <c r="AA14991" s="318"/>
      <c r="AB14991" s="318"/>
      <c r="AC14991" s="318"/>
      <c r="AD14991" s="318"/>
    </row>
    <row r="14992" spans="2:30" s="323" customFormat="1" ht="12" customHeight="1">
      <c r="B14992" s="324"/>
      <c r="C14992" s="325"/>
      <c r="D14992" s="326"/>
      <c r="E14992" s="326"/>
      <c r="F14992" s="326"/>
      <c r="G14992" s="326"/>
      <c r="H14992" s="326"/>
      <c r="P14992" s="318"/>
      <c r="Q14992" s="318"/>
      <c r="R14992" s="318"/>
      <c r="S14992" s="318"/>
      <c r="T14992" s="318"/>
      <c r="U14992" s="318"/>
      <c r="V14992" s="318"/>
      <c r="W14992" s="318"/>
      <c r="X14992" s="318"/>
      <c r="Y14992" s="318"/>
      <c r="Z14992" s="318"/>
      <c r="AA14992" s="318"/>
      <c r="AB14992" s="318"/>
      <c r="AC14992" s="318"/>
      <c r="AD14992" s="318"/>
    </row>
    <row r="14993" spans="2:30" s="323" customFormat="1" ht="12" customHeight="1">
      <c r="B14993" s="324"/>
      <c r="C14993" s="325"/>
      <c r="D14993" s="326"/>
      <c r="E14993" s="326"/>
      <c r="F14993" s="326"/>
      <c r="G14993" s="326"/>
      <c r="H14993" s="326"/>
      <c r="P14993" s="318"/>
      <c r="Q14993" s="318"/>
      <c r="R14993" s="318"/>
      <c r="S14993" s="318"/>
      <c r="T14993" s="318"/>
      <c r="U14993" s="318"/>
      <c r="V14993" s="318"/>
      <c r="W14993" s="318"/>
      <c r="X14993" s="318"/>
      <c r="Y14993" s="318"/>
      <c r="Z14993" s="318"/>
      <c r="AA14993" s="318"/>
      <c r="AB14993" s="318"/>
      <c r="AC14993" s="318"/>
      <c r="AD14993" s="318"/>
    </row>
    <row r="14994" spans="2:30" s="323" customFormat="1" ht="12" customHeight="1">
      <c r="B14994" s="324"/>
      <c r="C14994" s="325"/>
      <c r="D14994" s="326"/>
      <c r="E14994" s="326"/>
      <c r="F14994" s="326"/>
      <c r="G14994" s="326"/>
      <c r="H14994" s="326"/>
      <c r="P14994" s="318"/>
      <c r="Q14994" s="318"/>
      <c r="R14994" s="318"/>
      <c r="S14994" s="318"/>
      <c r="T14994" s="318"/>
      <c r="U14994" s="318"/>
      <c r="V14994" s="318"/>
      <c r="W14994" s="318"/>
      <c r="X14994" s="318"/>
      <c r="Y14994" s="318"/>
      <c r="Z14994" s="318"/>
      <c r="AA14994" s="318"/>
      <c r="AB14994" s="318"/>
      <c r="AC14994" s="318"/>
      <c r="AD14994" s="318"/>
    </row>
    <row r="14995" spans="2:30" s="323" customFormat="1" ht="12" customHeight="1">
      <c r="B14995" s="324"/>
      <c r="C14995" s="325"/>
      <c r="D14995" s="326"/>
      <c r="E14995" s="326"/>
      <c r="F14995" s="326"/>
      <c r="G14995" s="326"/>
      <c r="H14995" s="326"/>
      <c r="P14995" s="318"/>
      <c r="Q14995" s="318"/>
      <c r="R14995" s="318"/>
      <c r="S14995" s="318"/>
      <c r="T14995" s="318"/>
      <c r="U14995" s="318"/>
      <c r="V14995" s="318"/>
      <c r="W14995" s="318"/>
      <c r="X14995" s="318"/>
      <c r="Y14995" s="318"/>
      <c r="Z14995" s="318"/>
      <c r="AA14995" s="318"/>
      <c r="AB14995" s="318"/>
      <c r="AC14995" s="318"/>
      <c r="AD14995" s="318"/>
    </row>
    <row r="14996" spans="2:30" s="323" customFormat="1" ht="12" customHeight="1">
      <c r="B14996" s="324"/>
      <c r="C14996" s="325"/>
      <c r="D14996" s="326"/>
      <c r="E14996" s="326"/>
      <c r="F14996" s="326"/>
      <c r="G14996" s="326"/>
      <c r="H14996" s="326"/>
      <c r="P14996" s="318"/>
      <c r="Q14996" s="318"/>
      <c r="R14996" s="318"/>
      <c r="S14996" s="318"/>
      <c r="T14996" s="318"/>
      <c r="U14996" s="318"/>
      <c r="V14996" s="318"/>
      <c r="W14996" s="318"/>
      <c r="X14996" s="318"/>
      <c r="Y14996" s="318"/>
      <c r="Z14996" s="318"/>
      <c r="AA14996" s="318"/>
      <c r="AB14996" s="318"/>
      <c r="AC14996" s="318"/>
      <c r="AD14996" s="318"/>
    </row>
    <row r="14997" spans="2:30" s="323" customFormat="1" ht="12" customHeight="1">
      <c r="B14997" s="324"/>
      <c r="C14997" s="325"/>
      <c r="D14997" s="326"/>
      <c r="E14997" s="326"/>
      <c r="F14997" s="326"/>
      <c r="G14997" s="326"/>
      <c r="H14997" s="326"/>
      <c r="P14997" s="318"/>
      <c r="Q14997" s="318"/>
      <c r="R14997" s="318"/>
      <c r="S14997" s="318"/>
      <c r="T14997" s="318"/>
      <c r="U14997" s="318"/>
      <c r="V14997" s="318"/>
      <c r="W14997" s="318"/>
      <c r="X14997" s="318"/>
      <c r="Y14997" s="318"/>
      <c r="Z14997" s="318"/>
      <c r="AA14997" s="318"/>
      <c r="AB14997" s="318"/>
      <c r="AC14997" s="318"/>
      <c r="AD14997" s="318"/>
    </row>
    <row r="14998" spans="2:30" s="323" customFormat="1" ht="12" customHeight="1">
      <c r="B14998" s="324"/>
      <c r="C14998" s="325"/>
      <c r="D14998" s="326"/>
      <c r="E14998" s="326"/>
      <c r="F14998" s="326"/>
      <c r="G14998" s="326"/>
      <c r="H14998" s="326"/>
      <c r="P14998" s="318"/>
      <c r="Q14998" s="318"/>
      <c r="R14998" s="318"/>
      <c r="S14998" s="318"/>
      <c r="T14998" s="318"/>
      <c r="U14998" s="318"/>
      <c r="V14998" s="318"/>
      <c r="W14998" s="318"/>
      <c r="X14998" s="318"/>
      <c r="Y14998" s="318"/>
      <c r="Z14998" s="318"/>
      <c r="AA14998" s="318"/>
      <c r="AB14998" s="318"/>
      <c r="AC14998" s="318"/>
      <c r="AD14998" s="318"/>
    </row>
    <row r="14999" spans="2:30" s="323" customFormat="1" ht="12" customHeight="1">
      <c r="B14999" s="324"/>
      <c r="C14999" s="325"/>
      <c r="D14999" s="326"/>
      <c r="E14999" s="326"/>
      <c r="F14999" s="326"/>
      <c r="G14999" s="326"/>
      <c r="H14999" s="326"/>
      <c r="P14999" s="318"/>
      <c r="Q14999" s="318"/>
      <c r="R14999" s="318"/>
      <c r="S14999" s="318"/>
      <c r="T14999" s="318"/>
      <c r="U14999" s="318"/>
      <c r="V14999" s="318"/>
      <c r="W14999" s="318"/>
      <c r="X14999" s="318"/>
      <c r="Y14999" s="318"/>
      <c r="Z14999" s="318"/>
      <c r="AA14999" s="318"/>
      <c r="AB14999" s="318"/>
      <c r="AC14999" s="318"/>
      <c r="AD14999" s="318"/>
    </row>
    <row r="15000" spans="2:30" s="323" customFormat="1" ht="12" customHeight="1">
      <c r="B15000" s="324"/>
      <c r="C15000" s="325"/>
      <c r="D15000" s="326"/>
      <c r="E15000" s="326"/>
      <c r="F15000" s="326"/>
      <c r="G15000" s="326"/>
      <c r="H15000" s="326"/>
      <c r="P15000" s="318"/>
      <c r="Q15000" s="318"/>
      <c r="R15000" s="318"/>
      <c r="S15000" s="318"/>
      <c r="T15000" s="318"/>
      <c r="U15000" s="318"/>
      <c r="V15000" s="318"/>
      <c r="W15000" s="318"/>
      <c r="X15000" s="318"/>
      <c r="Y15000" s="318"/>
      <c r="Z15000" s="318"/>
      <c r="AA15000" s="318"/>
      <c r="AB15000" s="318"/>
      <c r="AC15000" s="318"/>
      <c r="AD15000" s="318"/>
    </row>
    <row r="15001" spans="2:30" s="323" customFormat="1" ht="12" customHeight="1">
      <c r="B15001" s="324"/>
      <c r="C15001" s="325"/>
      <c r="D15001" s="326"/>
      <c r="E15001" s="326"/>
      <c r="F15001" s="326"/>
      <c r="G15001" s="326"/>
      <c r="H15001" s="326"/>
      <c r="P15001" s="318"/>
      <c r="Q15001" s="318"/>
      <c r="R15001" s="318"/>
      <c r="S15001" s="318"/>
      <c r="T15001" s="318"/>
      <c r="U15001" s="318"/>
      <c r="V15001" s="318"/>
      <c r="W15001" s="318"/>
      <c r="X15001" s="318"/>
      <c r="Y15001" s="318"/>
      <c r="Z15001" s="318"/>
      <c r="AA15001" s="318"/>
      <c r="AB15001" s="318"/>
      <c r="AC15001" s="318"/>
      <c r="AD15001" s="318"/>
    </row>
    <row r="15002" spans="2:30" s="323" customFormat="1" ht="12" customHeight="1">
      <c r="B15002" s="324"/>
      <c r="C15002" s="325"/>
      <c r="D15002" s="326"/>
      <c r="E15002" s="326"/>
      <c r="F15002" s="326"/>
      <c r="G15002" s="326"/>
      <c r="H15002" s="326"/>
      <c r="P15002" s="318"/>
      <c r="Q15002" s="318"/>
      <c r="R15002" s="318"/>
      <c r="S15002" s="318"/>
      <c r="T15002" s="318"/>
      <c r="U15002" s="318"/>
      <c r="V15002" s="318"/>
      <c r="W15002" s="318"/>
      <c r="X15002" s="318"/>
      <c r="Y15002" s="318"/>
      <c r="Z15002" s="318"/>
      <c r="AA15002" s="318"/>
      <c r="AB15002" s="318"/>
      <c r="AC15002" s="318"/>
      <c r="AD15002" s="318"/>
    </row>
    <row r="15003" spans="2:30" s="323" customFormat="1" ht="12" customHeight="1">
      <c r="B15003" s="324"/>
      <c r="C15003" s="325"/>
      <c r="D15003" s="326"/>
      <c r="E15003" s="326"/>
      <c r="F15003" s="326"/>
      <c r="G15003" s="326"/>
      <c r="H15003" s="326"/>
      <c r="P15003" s="318"/>
      <c r="Q15003" s="318"/>
      <c r="R15003" s="318"/>
      <c r="S15003" s="318"/>
      <c r="T15003" s="318"/>
      <c r="U15003" s="318"/>
      <c r="V15003" s="318"/>
      <c r="W15003" s="318"/>
      <c r="X15003" s="318"/>
      <c r="Y15003" s="318"/>
      <c r="Z15003" s="318"/>
      <c r="AA15003" s="318"/>
      <c r="AB15003" s="318"/>
      <c r="AC15003" s="318"/>
      <c r="AD15003" s="318"/>
    </row>
    <row r="15004" spans="2:30" s="323" customFormat="1" ht="12" customHeight="1">
      <c r="B15004" s="324"/>
      <c r="C15004" s="325"/>
      <c r="D15004" s="326"/>
      <c r="E15004" s="326"/>
      <c r="F15004" s="326"/>
      <c r="G15004" s="326"/>
      <c r="H15004" s="326"/>
      <c r="P15004" s="318"/>
      <c r="Q15004" s="318"/>
      <c r="R15004" s="318"/>
      <c r="S15004" s="318"/>
      <c r="T15004" s="318"/>
      <c r="U15004" s="318"/>
      <c r="V15004" s="318"/>
      <c r="W15004" s="318"/>
      <c r="X15004" s="318"/>
      <c r="Y15004" s="318"/>
      <c r="Z15004" s="318"/>
      <c r="AA15004" s="318"/>
      <c r="AB15004" s="318"/>
      <c r="AC15004" s="318"/>
      <c r="AD15004" s="318"/>
    </row>
    <row r="15005" spans="2:30" s="323" customFormat="1" ht="12" customHeight="1">
      <c r="B15005" s="324"/>
      <c r="C15005" s="325"/>
      <c r="D15005" s="326"/>
      <c r="E15005" s="326"/>
      <c r="F15005" s="326"/>
      <c r="G15005" s="326"/>
      <c r="H15005" s="326"/>
      <c r="P15005" s="318"/>
      <c r="Q15005" s="318"/>
      <c r="R15005" s="318"/>
      <c r="S15005" s="318"/>
      <c r="T15005" s="318"/>
      <c r="U15005" s="318"/>
      <c r="V15005" s="318"/>
      <c r="W15005" s="318"/>
      <c r="X15005" s="318"/>
      <c r="Y15005" s="318"/>
      <c r="Z15005" s="318"/>
      <c r="AA15005" s="318"/>
      <c r="AB15005" s="318"/>
      <c r="AC15005" s="318"/>
      <c r="AD15005" s="318"/>
    </row>
    <row r="15006" spans="2:30" s="323" customFormat="1" ht="12" customHeight="1">
      <c r="B15006" s="324"/>
      <c r="C15006" s="325"/>
      <c r="D15006" s="326"/>
      <c r="E15006" s="326"/>
      <c r="F15006" s="326"/>
      <c r="G15006" s="326"/>
      <c r="H15006" s="326"/>
      <c r="P15006" s="318"/>
      <c r="Q15006" s="318"/>
      <c r="R15006" s="318"/>
      <c r="S15006" s="318"/>
      <c r="T15006" s="318"/>
      <c r="U15006" s="318"/>
      <c r="V15006" s="318"/>
      <c r="W15006" s="318"/>
      <c r="X15006" s="318"/>
      <c r="Y15006" s="318"/>
      <c r="Z15006" s="318"/>
      <c r="AA15006" s="318"/>
      <c r="AB15006" s="318"/>
      <c r="AC15006" s="318"/>
      <c r="AD15006" s="318"/>
    </row>
    <row r="15007" spans="2:30" s="323" customFormat="1" ht="12" customHeight="1">
      <c r="B15007" s="324"/>
      <c r="C15007" s="325"/>
      <c r="D15007" s="326"/>
      <c r="E15007" s="326"/>
      <c r="F15007" s="326"/>
      <c r="G15007" s="326"/>
      <c r="H15007" s="326"/>
      <c r="P15007" s="318"/>
      <c r="Q15007" s="318"/>
      <c r="R15007" s="318"/>
      <c r="S15007" s="318"/>
      <c r="T15007" s="318"/>
      <c r="U15007" s="318"/>
      <c r="V15007" s="318"/>
      <c r="W15007" s="318"/>
      <c r="X15007" s="318"/>
      <c r="Y15007" s="318"/>
      <c r="Z15007" s="318"/>
      <c r="AA15007" s="318"/>
      <c r="AB15007" s="318"/>
      <c r="AC15007" s="318"/>
      <c r="AD15007" s="318"/>
    </row>
    <row r="15008" spans="2:30" s="323" customFormat="1" ht="12" customHeight="1">
      <c r="B15008" s="324"/>
      <c r="C15008" s="325"/>
      <c r="D15008" s="326"/>
      <c r="E15008" s="326"/>
      <c r="F15008" s="326"/>
      <c r="G15008" s="326"/>
      <c r="H15008" s="326"/>
      <c r="P15008" s="318"/>
      <c r="Q15008" s="318"/>
      <c r="R15008" s="318"/>
      <c r="S15008" s="318"/>
      <c r="T15008" s="318"/>
      <c r="U15008" s="318"/>
      <c r="V15008" s="318"/>
      <c r="W15008" s="318"/>
      <c r="X15008" s="318"/>
      <c r="Y15008" s="318"/>
      <c r="Z15008" s="318"/>
      <c r="AA15008" s="318"/>
      <c r="AB15008" s="318"/>
      <c r="AC15008" s="318"/>
      <c r="AD15008" s="318"/>
    </row>
    <row r="15009" spans="2:30" s="323" customFormat="1" ht="12" customHeight="1">
      <c r="B15009" s="324"/>
      <c r="C15009" s="325"/>
      <c r="D15009" s="326"/>
      <c r="E15009" s="326"/>
      <c r="F15009" s="326"/>
      <c r="G15009" s="326"/>
      <c r="H15009" s="326"/>
      <c r="P15009" s="318"/>
      <c r="Q15009" s="318"/>
      <c r="R15009" s="318"/>
      <c r="S15009" s="318"/>
      <c r="T15009" s="318"/>
      <c r="U15009" s="318"/>
      <c r="V15009" s="318"/>
      <c r="W15009" s="318"/>
      <c r="X15009" s="318"/>
      <c r="Y15009" s="318"/>
      <c r="Z15009" s="318"/>
      <c r="AA15009" s="318"/>
      <c r="AB15009" s="318"/>
      <c r="AC15009" s="318"/>
      <c r="AD15009" s="318"/>
    </row>
    <row r="15010" spans="2:30" s="323" customFormat="1" ht="12" customHeight="1">
      <c r="B15010" s="324"/>
      <c r="C15010" s="325"/>
      <c r="D15010" s="326"/>
      <c r="E15010" s="326"/>
      <c r="F15010" s="326"/>
      <c r="G15010" s="326"/>
      <c r="H15010" s="326"/>
      <c r="P15010" s="318"/>
      <c r="Q15010" s="318"/>
      <c r="R15010" s="318"/>
      <c r="S15010" s="318"/>
      <c r="T15010" s="318"/>
      <c r="U15010" s="318"/>
      <c r="V15010" s="318"/>
      <c r="W15010" s="318"/>
      <c r="X15010" s="318"/>
      <c r="Y15010" s="318"/>
      <c r="Z15010" s="318"/>
      <c r="AA15010" s="318"/>
      <c r="AB15010" s="318"/>
      <c r="AC15010" s="318"/>
      <c r="AD15010" s="318"/>
    </row>
    <row r="15011" spans="2:30" s="323" customFormat="1" ht="12" customHeight="1">
      <c r="B15011" s="324"/>
      <c r="C15011" s="325"/>
      <c r="D15011" s="326"/>
      <c r="E15011" s="326"/>
      <c r="F15011" s="326"/>
      <c r="G15011" s="326"/>
      <c r="H15011" s="326"/>
      <c r="P15011" s="318"/>
      <c r="Q15011" s="318"/>
      <c r="R15011" s="318"/>
      <c r="S15011" s="318"/>
      <c r="T15011" s="318"/>
      <c r="U15011" s="318"/>
      <c r="V15011" s="318"/>
      <c r="W15011" s="318"/>
      <c r="X15011" s="318"/>
      <c r="Y15011" s="318"/>
      <c r="Z15011" s="318"/>
      <c r="AA15011" s="318"/>
      <c r="AB15011" s="318"/>
      <c r="AC15011" s="318"/>
      <c r="AD15011" s="318"/>
    </row>
    <row r="15012" spans="2:30" s="323" customFormat="1" ht="12" customHeight="1">
      <c r="B15012" s="324"/>
      <c r="C15012" s="325"/>
      <c r="D15012" s="326"/>
      <c r="E15012" s="326"/>
      <c r="F15012" s="326"/>
      <c r="G15012" s="326"/>
      <c r="H15012" s="326"/>
      <c r="P15012" s="318"/>
      <c r="Q15012" s="318"/>
      <c r="R15012" s="318"/>
      <c r="S15012" s="318"/>
      <c r="T15012" s="318"/>
      <c r="U15012" s="318"/>
      <c r="V15012" s="318"/>
      <c r="W15012" s="318"/>
      <c r="X15012" s="318"/>
      <c r="Y15012" s="318"/>
      <c r="Z15012" s="318"/>
      <c r="AA15012" s="318"/>
      <c r="AB15012" s="318"/>
      <c r="AC15012" s="318"/>
      <c r="AD15012" s="318"/>
    </row>
    <row r="15013" spans="2:30" s="323" customFormat="1" ht="12" customHeight="1">
      <c r="B15013" s="324"/>
      <c r="C15013" s="325"/>
      <c r="D15013" s="326"/>
      <c r="E15013" s="326"/>
      <c r="F15013" s="326"/>
      <c r="G15013" s="326"/>
      <c r="H15013" s="326"/>
      <c r="P15013" s="318"/>
      <c r="Q15013" s="318"/>
      <c r="R15013" s="318"/>
      <c r="S15013" s="318"/>
      <c r="T15013" s="318"/>
      <c r="U15013" s="318"/>
      <c r="V15013" s="318"/>
      <c r="W15013" s="318"/>
      <c r="X15013" s="318"/>
      <c r="Y15013" s="318"/>
      <c r="Z15013" s="318"/>
      <c r="AA15013" s="318"/>
      <c r="AB15013" s="318"/>
      <c r="AC15013" s="318"/>
      <c r="AD15013" s="318"/>
    </row>
    <row r="15014" spans="2:30" s="323" customFormat="1" ht="12" customHeight="1">
      <c r="B15014" s="324"/>
      <c r="C15014" s="325"/>
      <c r="D15014" s="326"/>
      <c r="E15014" s="326"/>
      <c r="F15014" s="326"/>
      <c r="G15014" s="326"/>
      <c r="H15014" s="326"/>
      <c r="P15014" s="318"/>
      <c r="Q15014" s="318"/>
      <c r="R15014" s="318"/>
      <c r="S15014" s="318"/>
      <c r="T15014" s="318"/>
      <c r="U15014" s="318"/>
      <c r="V15014" s="318"/>
      <c r="W15014" s="318"/>
      <c r="X15014" s="318"/>
      <c r="Y15014" s="318"/>
      <c r="Z15014" s="318"/>
      <c r="AA15014" s="318"/>
      <c r="AB15014" s="318"/>
      <c r="AC15014" s="318"/>
      <c r="AD15014" s="318"/>
    </row>
    <row r="15015" spans="2:30" s="323" customFormat="1" ht="12" customHeight="1">
      <c r="B15015" s="324"/>
      <c r="C15015" s="325"/>
      <c r="D15015" s="326"/>
      <c r="E15015" s="326"/>
      <c r="F15015" s="326"/>
      <c r="G15015" s="326"/>
      <c r="H15015" s="326"/>
      <c r="P15015" s="318"/>
      <c r="Q15015" s="318"/>
      <c r="R15015" s="318"/>
      <c r="S15015" s="318"/>
      <c r="T15015" s="318"/>
      <c r="U15015" s="318"/>
      <c r="V15015" s="318"/>
      <c r="W15015" s="318"/>
      <c r="X15015" s="318"/>
      <c r="Y15015" s="318"/>
      <c r="Z15015" s="318"/>
      <c r="AA15015" s="318"/>
      <c r="AB15015" s="318"/>
      <c r="AC15015" s="318"/>
      <c r="AD15015" s="318"/>
    </row>
    <row r="15016" spans="2:30" s="323" customFormat="1" ht="12" customHeight="1">
      <c r="B15016" s="324"/>
      <c r="C15016" s="325"/>
      <c r="D15016" s="326"/>
      <c r="E15016" s="326"/>
      <c r="F15016" s="326"/>
      <c r="G15016" s="326"/>
      <c r="H15016" s="326"/>
      <c r="P15016" s="318"/>
      <c r="Q15016" s="318"/>
      <c r="R15016" s="318"/>
      <c r="S15016" s="318"/>
      <c r="T15016" s="318"/>
      <c r="U15016" s="318"/>
      <c r="V15016" s="318"/>
      <c r="W15016" s="318"/>
      <c r="X15016" s="318"/>
      <c r="Y15016" s="318"/>
      <c r="Z15016" s="318"/>
      <c r="AA15016" s="318"/>
      <c r="AB15016" s="318"/>
      <c r="AC15016" s="318"/>
      <c r="AD15016" s="318"/>
    </row>
    <row r="15017" spans="2:30" s="323" customFormat="1" ht="12" customHeight="1">
      <c r="B15017" s="324"/>
      <c r="C15017" s="325"/>
      <c r="D15017" s="326"/>
      <c r="E15017" s="326"/>
      <c r="F15017" s="326"/>
      <c r="G15017" s="326"/>
      <c r="H15017" s="326"/>
      <c r="P15017" s="318"/>
      <c r="Q15017" s="318"/>
      <c r="R15017" s="318"/>
      <c r="S15017" s="318"/>
      <c r="T15017" s="318"/>
      <c r="U15017" s="318"/>
      <c r="V15017" s="318"/>
      <c r="W15017" s="318"/>
      <c r="X15017" s="318"/>
      <c r="Y15017" s="318"/>
      <c r="Z15017" s="318"/>
      <c r="AA15017" s="318"/>
      <c r="AB15017" s="318"/>
      <c r="AC15017" s="318"/>
      <c r="AD15017" s="318"/>
    </row>
    <row r="15018" spans="2:30" s="323" customFormat="1" ht="12" customHeight="1">
      <c r="B15018" s="324"/>
      <c r="C15018" s="325"/>
      <c r="D15018" s="326"/>
      <c r="E15018" s="326"/>
      <c r="F15018" s="326"/>
      <c r="G15018" s="326"/>
      <c r="H15018" s="326"/>
      <c r="P15018" s="318"/>
      <c r="Q15018" s="318"/>
      <c r="R15018" s="318"/>
      <c r="S15018" s="318"/>
      <c r="T15018" s="318"/>
      <c r="U15018" s="318"/>
      <c r="V15018" s="318"/>
      <c r="W15018" s="318"/>
      <c r="X15018" s="318"/>
      <c r="Y15018" s="318"/>
      <c r="Z15018" s="318"/>
      <c r="AA15018" s="318"/>
      <c r="AB15018" s="318"/>
      <c r="AC15018" s="318"/>
      <c r="AD15018" s="318"/>
    </row>
    <row r="15019" spans="2:30" s="323" customFormat="1" ht="12" customHeight="1">
      <c r="B15019" s="324"/>
      <c r="C15019" s="325"/>
      <c r="D15019" s="326"/>
      <c r="E15019" s="326"/>
      <c r="F15019" s="326"/>
      <c r="G15019" s="326"/>
      <c r="H15019" s="326"/>
      <c r="P15019" s="318"/>
      <c r="Q15019" s="318"/>
      <c r="R15019" s="318"/>
      <c r="S15019" s="318"/>
      <c r="T15019" s="318"/>
      <c r="U15019" s="318"/>
      <c r="V15019" s="318"/>
      <c r="W15019" s="318"/>
      <c r="X15019" s="318"/>
      <c r="Y15019" s="318"/>
      <c r="Z15019" s="318"/>
      <c r="AA15019" s="318"/>
      <c r="AB15019" s="318"/>
      <c r="AC15019" s="318"/>
      <c r="AD15019" s="318"/>
    </row>
    <row r="15020" spans="2:30" s="323" customFormat="1" ht="12" customHeight="1">
      <c r="B15020" s="324"/>
      <c r="C15020" s="325"/>
      <c r="D15020" s="326"/>
      <c r="E15020" s="326"/>
      <c r="F15020" s="326"/>
      <c r="G15020" s="326"/>
      <c r="H15020" s="326"/>
      <c r="P15020" s="318"/>
      <c r="Q15020" s="318"/>
      <c r="R15020" s="318"/>
      <c r="S15020" s="318"/>
      <c r="T15020" s="318"/>
      <c r="U15020" s="318"/>
      <c r="V15020" s="318"/>
      <c r="W15020" s="318"/>
      <c r="X15020" s="318"/>
      <c r="Y15020" s="318"/>
      <c r="Z15020" s="318"/>
      <c r="AA15020" s="318"/>
      <c r="AB15020" s="318"/>
      <c r="AC15020" s="318"/>
      <c r="AD15020" s="318"/>
    </row>
    <row r="15021" spans="2:30" s="323" customFormat="1" ht="12" customHeight="1">
      <c r="B15021" s="324"/>
      <c r="C15021" s="325"/>
      <c r="D15021" s="326"/>
      <c r="E15021" s="326"/>
      <c r="F15021" s="326"/>
      <c r="G15021" s="326"/>
      <c r="H15021" s="326"/>
      <c r="P15021" s="318"/>
      <c r="Q15021" s="318"/>
      <c r="R15021" s="318"/>
      <c r="S15021" s="318"/>
      <c r="T15021" s="318"/>
      <c r="U15021" s="318"/>
      <c r="V15021" s="318"/>
      <c r="W15021" s="318"/>
      <c r="X15021" s="318"/>
      <c r="Y15021" s="318"/>
      <c r="Z15021" s="318"/>
      <c r="AA15021" s="318"/>
      <c r="AB15021" s="318"/>
      <c r="AC15021" s="318"/>
      <c r="AD15021" s="318"/>
    </row>
    <row r="15022" spans="2:30" s="323" customFormat="1" ht="12" customHeight="1">
      <c r="B15022" s="324"/>
      <c r="C15022" s="325"/>
      <c r="D15022" s="326"/>
      <c r="E15022" s="326"/>
      <c r="F15022" s="326"/>
      <c r="G15022" s="326"/>
      <c r="H15022" s="326"/>
      <c r="P15022" s="318"/>
      <c r="Q15022" s="318"/>
      <c r="R15022" s="318"/>
      <c r="S15022" s="318"/>
      <c r="T15022" s="318"/>
      <c r="U15022" s="318"/>
      <c r="V15022" s="318"/>
      <c r="W15022" s="318"/>
      <c r="X15022" s="318"/>
      <c r="Y15022" s="318"/>
      <c r="Z15022" s="318"/>
      <c r="AA15022" s="318"/>
      <c r="AB15022" s="318"/>
      <c r="AC15022" s="318"/>
      <c r="AD15022" s="318"/>
    </row>
    <row r="15023" spans="2:30" s="323" customFormat="1" ht="12" customHeight="1">
      <c r="B15023" s="324"/>
      <c r="C15023" s="325"/>
      <c r="D15023" s="326"/>
      <c r="E15023" s="326"/>
      <c r="F15023" s="326"/>
      <c r="G15023" s="326"/>
      <c r="H15023" s="326"/>
      <c r="P15023" s="318"/>
      <c r="Q15023" s="318"/>
      <c r="R15023" s="318"/>
      <c r="S15023" s="318"/>
      <c r="T15023" s="318"/>
      <c r="U15023" s="318"/>
      <c r="V15023" s="318"/>
      <c r="W15023" s="318"/>
      <c r="X15023" s="318"/>
      <c r="Y15023" s="318"/>
      <c r="Z15023" s="318"/>
      <c r="AA15023" s="318"/>
      <c r="AB15023" s="318"/>
      <c r="AC15023" s="318"/>
      <c r="AD15023" s="318"/>
    </row>
    <row r="15024" spans="2:30" s="323" customFormat="1" ht="12" customHeight="1">
      <c r="B15024" s="324"/>
      <c r="C15024" s="325"/>
      <c r="D15024" s="326"/>
      <c r="E15024" s="326"/>
      <c r="F15024" s="326"/>
      <c r="G15024" s="326"/>
      <c r="H15024" s="326"/>
      <c r="P15024" s="318"/>
      <c r="Q15024" s="318"/>
      <c r="R15024" s="318"/>
      <c r="S15024" s="318"/>
      <c r="T15024" s="318"/>
      <c r="U15024" s="318"/>
      <c r="V15024" s="318"/>
      <c r="W15024" s="318"/>
      <c r="X15024" s="318"/>
      <c r="Y15024" s="318"/>
      <c r="Z15024" s="318"/>
      <c r="AA15024" s="318"/>
      <c r="AB15024" s="318"/>
      <c r="AC15024" s="318"/>
      <c r="AD15024" s="318"/>
    </row>
    <row r="15025" spans="2:30" s="323" customFormat="1" ht="12" customHeight="1">
      <c r="B15025" s="324"/>
      <c r="C15025" s="325"/>
      <c r="D15025" s="326"/>
      <c r="E15025" s="326"/>
      <c r="F15025" s="326"/>
      <c r="G15025" s="326"/>
      <c r="H15025" s="326"/>
      <c r="P15025" s="318"/>
      <c r="Q15025" s="318"/>
      <c r="R15025" s="318"/>
      <c r="S15025" s="318"/>
      <c r="T15025" s="318"/>
      <c r="U15025" s="318"/>
      <c r="V15025" s="318"/>
      <c r="W15025" s="318"/>
      <c r="X15025" s="318"/>
      <c r="Y15025" s="318"/>
      <c r="Z15025" s="318"/>
      <c r="AA15025" s="318"/>
      <c r="AB15025" s="318"/>
      <c r="AC15025" s="318"/>
      <c r="AD15025" s="318"/>
    </row>
    <row r="15026" spans="2:30" s="323" customFormat="1" ht="12" customHeight="1">
      <c r="B15026" s="324"/>
      <c r="C15026" s="325"/>
      <c r="D15026" s="326"/>
      <c r="E15026" s="326"/>
      <c r="F15026" s="326"/>
      <c r="G15026" s="326"/>
      <c r="H15026" s="326"/>
      <c r="P15026" s="318"/>
      <c r="Q15026" s="318"/>
      <c r="R15026" s="318"/>
      <c r="S15026" s="318"/>
      <c r="T15026" s="318"/>
      <c r="U15026" s="318"/>
      <c r="V15026" s="318"/>
      <c r="W15026" s="318"/>
      <c r="X15026" s="318"/>
      <c r="Y15026" s="318"/>
      <c r="Z15026" s="318"/>
      <c r="AA15026" s="318"/>
      <c r="AB15026" s="318"/>
      <c r="AC15026" s="318"/>
      <c r="AD15026" s="318"/>
    </row>
    <row r="15027" spans="2:30" s="323" customFormat="1" ht="12" customHeight="1">
      <c r="B15027" s="324"/>
      <c r="C15027" s="325"/>
      <c r="D15027" s="326"/>
      <c r="E15027" s="326"/>
      <c r="F15027" s="326"/>
      <c r="G15027" s="326"/>
      <c r="H15027" s="326"/>
      <c r="P15027" s="318"/>
      <c r="Q15027" s="318"/>
      <c r="R15027" s="318"/>
      <c r="S15027" s="318"/>
      <c r="T15027" s="318"/>
      <c r="U15027" s="318"/>
      <c r="V15027" s="318"/>
      <c r="W15027" s="318"/>
      <c r="X15027" s="318"/>
      <c r="Y15027" s="318"/>
      <c r="Z15027" s="318"/>
      <c r="AA15027" s="318"/>
      <c r="AB15027" s="318"/>
      <c r="AC15027" s="318"/>
      <c r="AD15027" s="318"/>
    </row>
    <row r="15028" spans="2:30" s="323" customFormat="1" ht="12" customHeight="1">
      <c r="B15028" s="324"/>
      <c r="C15028" s="325"/>
      <c r="D15028" s="326"/>
      <c r="E15028" s="326"/>
      <c r="F15028" s="326"/>
      <c r="G15028" s="326"/>
      <c r="H15028" s="326"/>
      <c r="P15028" s="318"/>
      <c r="Q15028" s="318"/>
      <c r="R15028" s="318"/>
      <c r="S15028" s="318"/>
      <c r="T15028" s="318"/>
      <c r="U15028" s="318"/>
      <c r="V15028" s="318"/>
      <c r="W15028" s="318"/>
      <c r="X15028" s="318"/>
      <c r="Y15028" s="318"/>
      <c r="Z15028" s="318"/>
      <c r="AA15028" s="318"/>
      <c r="AB15028" s="318"/>
      <c r="AC15028" s="318"/>
      <c r="AD15028" s="318"/>
    </row>
    <row r="15029" spans="2:30" s="323" customFormat="1" ht="12" customHeight="1">
      <c r="B15029" s="324"/>
      <c r="C15029" s="325"/>
      <c r="D15029" s="326"/>
      <c r="E15029" s="326"/>
      <c r="F15029" s="326"/>
      <c r="G15029" s="326"/>
      <c r="H15029" s="326"/>
      <c r="P15029" s="318"/>
      <c r="Q15029" s="318"/>
      <c r="R15029" s="318"/>
      <c r="S15029" s="318"/>
      <c r="T15029" s="318"/>
      <c r="U15029" s="318"/>
      <c r="V15029" s="318"/>
      <c r="W15029" s="318"/>
      <c r="X15029" s="318"/>
      <c r="Y15029" s="318"/>
      <c r="Z15029" s="318"/>
      <c r="AA15029" s="318"/>
      <c r="AB15029" s="318"/>
      <c r="AC15029" s="318"/>
      <c r="AD15029" s="318"/>
    </row>
    <row r="15030" spans="2:30" s="323" customFormat="1" ht="12" customHeight="1">
      <c r="B15030" s="324"/>
      <c r="C15030" s="325"/>
      <c r="D15030" s="326"/>
      <c r="E15030" s="326"/>
      <c r="F15030" s="326"/>
      <c r="G15030" s="326"/>
      <c r="H15030" s="326"/>
      <c r="P15030" s="318"/>
      <c r="Q15030" s="318"/>
      <c r="R15030" s="318"/>
      <c r="S15030" s="318"/>
      <c r="T15030" s="318"/>
      <c r="U15030" s="318"/>
      <c r="V15030" s="318"/>
      <c r="W15030" s="318"/>
      <c r="X15030" s="318"/>
      <c r="Y15030" s="318"/>
      <c r="Z15030" s="318"/>
      <c r="AA15030" s="318"/>
      <c r="AB15030" s="318"/>
      <c r="AC15030" s="318"/>
      <c r="AD15030" s="318"/>
    </row>
    <row r="15031" spans="2:30" s="323" customFormat="1" ht="12" customHeight="1">
      <c r="B15031" s="324"/>
      <c r="C15031" s="325"/>
      <c r="D15031" s="326"/>
      <c r="E15031" s="326"/>
      <c r="F15031" s="326"/>
      <c r="G15031" s="326"/>
      <c r="H15031" s="326"/>
      <c r="P15031" s="318"/>
      <c r="Q15031" s="318"/>
      <c r="R15031" s="318"/>
      <c r="S15031" s="318"/>
      <c r="T15031" s="318"/>
      <c r="U15031" s="318"/>
      <c r="V15031" s="318"/>
      <c r="W15031" s="318"/>
      <c r="X15031" s="318"/>
      <c r="Y15031" s="318"/>
      <c r="Z15031" s="318"/>
      <c r="AA15031" s="318"/>
      <c r="AB15031" s="318"/>
      <c r="AC15031" s="318"/>
      <c r="AD15031" s="318"/>
    </row>
    <row r="15032" spans="2:30" s="323" customFormat="1" ht="12" customHeight="1">
      <c r="B15032" s="324"/>
      <c r="C15032" s="325"/>
      <c r="D15032" s="326"/>
      <c r="E15032" s="326"/>
      <c r="F15032" s="326"/>
      <c r="G15032" s="326"/>
      <c r="H15032" s="326"/>
      <c r="P15032" s="318"/>
      <c r="Q15032" s="318"/>
      <c r="R15032" s="318"/>
      <c r="S15032" s="318"/>
      <c r="T15032" s="318"/>
      <c r="U15032" s="318"/>
      <c r="V15032" s="318"/>
      <c r="W15032" s="318"/>
      <c r="X15032" s="318"/>
      <c r="Y15032" s="318"/>
      <c r="Z15032" s="318"/>
      <c r="AA15032" s="318"/>
      <c r="AB15032" s="318"/>
      <c r="AC15032" s="318"/>
      <c r="AD15032" s="318"/>
    </row>
    <row r="15033" spans="2:30" s="323" customFormat="1" ht="12" customHeight="1">
      <c r="B15033" s="324"/>
      <c r="C15033" s="325"/>
      <c r="D15033" s="326"/>
      <c r="E15033" s="326"/>
      <c r="F15033" s="326"/>
      <c r="G15033" s="326"/>
      <c r="H15033" s="326"/>
      <c r="P15033" s="318"/>
      <c r="Q15033" s="318"/>
      <c r="R15033" s="318"/>
      <c r="S15033" s="318"/>
      <c r="T15033" s="318"/>
      <c r="U15033" s="318"/>
      <c r="V15033" s="318"/>
      <c r="W15033" s="318"/>
      <c r="X15033" s="318"/>
      <c r="Y15033" s="318"/>
      <c r="Z15033" s="318"/>
      <c r="AA15033" s="318"/>
      <c r="AB15033" s="318"/>
      <c r="AC15033" s="318"/>
      <c r="AD15033" s="318"/>
    </row>
    <row r="15034" spans="2:30" s="323" customFormat="1" ht="12" customHeight="1">
      <c r="B15034" s="324"/>
      <c r="C15034" s="325"/>
      <c r="D15034" s="326"/>
      <c r="E15034" s="326"/>
      <c r="F15034" s="326"/>
      <c r="G15034" s="326"/>
      <c r="H15034" s="326"/>
      <c r="P15034" s="318"/>
      <c r="Q15034" s="318"/>
      <c r="R15034" s="318"/>
      <c r="S15034" s="318"/>
      <c r="T15034" s="318"/>
      <c r="U15034" s="318"/>
      <c r="V15034" s="318"/>
      <c r="W15034" s="318"/>
      <c r="X15034" s="318"/>
      <c r="Y15034" s="318"/>
      <c r="Z15034" s="318"/>
      <c r="AA15034" s="318"/>
      <c r="AB15034" s="318"/>
      <c r="AC15034" s="318"/>
      <c r="AD15034" s="318"/>
    </row>
    <row r="15035" spans="2:30" s="323" customFormat="1" ht="12" customHeight="1">
      <c r="B15035" s="324"/>
      <c r="C15035" s="325"/>
      <c r="D15035" s="326"/>
      <c r="E15035" s="326"/>
      <c r="F15035" s="326"/>
      <c r="G15035" s="326"/>
      <c r="H15035" s="326"/>
      <c r="P15035" s="318"/>
      <c r="Q15035" s="318"/>
      <c r="R15035" s="318"/>
      <c r="S15035" s="318"/>
      <c r="T15035" s="318"/>
      <c r="U15035" s="318"/>
      <c r="V15035" s="318"/>
      <c r="W15035" s="318"/>
      <c r="X15035" s="318"/>
      <c r="Y15035" s="318"/>
      <c r="Z15035" s="318"/>
      <c r="AA15035" s="318"/>
      <c r="AB15035" s="318"/>
      <c r="AC15035" s="318"/>
      <c r="AD15035" s="318"/>
    </row>
    <row r="15036" spans="2:30" s="323" customFormat="1" ht="12" customHeight="1">
      <c r="B15036" s="324"/>
      <c r="C15036" s="325"/>
      <c r="D15036" s="326"/>
      <c r="E15036" s="326"/>
      <c r="F15036" s="326"/>
      <c r="G15036" s="326"/>
      <c r="H15036" s="326"/>
      <c r="P15036" s="318"/>
      <c r="Q15036" s="318"/>
      <c r="R15036" s="318"/>
      <c r="S15036" s="318"/>
      <c r="T15036" s="318"/>
      <c r="U15036" s="318"/>
      <c r="V15036" s="318"/>
      <c r="W15036" s="318"/>
      <c r="X15036" s="318"/>
      <c r="Y15036" s="318"/>
      <c r="Z15036" s="318"/>
      <c r="AA15036" s="318"/>
      <c r="AB15036" s="318"/>
      <c r="AC15036" s="318"/>
      <c r="AD15036" s="318"/>
    </row>
    <row r="15037" spans="2:30" s="323" customFormat="1" ht="12" customHeight="1">
      <c r="B15037" s="324"/>
      <c r="C15037" s="325"/>
      <c r="D15037" s="326"/>
      <c r="E15037" s="326"/>
      <c r="F15037" s="326"/>
      <c r="G15037" s="326"/>
      <c r="H15037" s="326"/>
      <c r="P15037" s="318"/>
      <c r="Q15037" s="318"/>
      <c r="R15037" s="318"/>
      <c r="S15037" s="318"/>
      <c r="T15037" s="318"/>
      <c r="U15037" s="318"/>
      <c r="V15037" s="318"/>
      <c r="W15037" s="318"/>
      <c r="X15037" s="318"/>
      <c r="Y15037" s="318"/>
      <c r="Z15037" s="318"/>
      <c r="AA15037" s="318"/>
      <c r="AB15037" s="318"/>
      <c r="AC15037" s="318"/>
      <c r="AD15037" s="318"/>
    </row>
    <row r="15038" spans="2:30" s="323" customFormat="1" ht="12" customHeight="1">
      <c r="B15038" s="324"/>
      <c r="C15038" s="325"/>
      <c r="D15038" s="326"/>
      <c r="E15038" s="326"/>
      <c r="F15038" s="326"/>
      <c r="G15038" s="326"/>
      <c r="H15038" s="326"/>
      <c r="P15038" s="318"/>
      <c r="Q15038" s="318"/>
      <c r="R15038" s="318"/>
      <c r="S15038" s="318"/>
      <c r="T15038" s="318"/>
      <c r="U15038" s="318"/>
      <c r="V15038" s="318"/>
      <c r="W15038" s="318"/>
      <c r="X15038" s="318"/>
      <c r="Y15038" s="318"/>
      <c r="Z15038" s="318"/>
      <c r="AA15038" s="318"/>
      <c r="AB15038" s="318"/>
      <c r="AC15038" s="318"/>
      <c r="AD15038" s="318"/>
    </row>
    <row r="15039" spans="2:30" s="323" customFormat="1" ht="12" customHeight="1">
      <c r="B15039" s="324"/>
      <c r="C15039" s="325"/>
      <c r="D15039" s="326"/>
      <c r="E15039" s="326"/>
      <c r="F15039" s="326"/>
      <c r="G15039" s="326"/>
      <c r="H15039" s="326"/>
      <c r="P15039" s="318"/>
      <c r="Q15039" s="318"/>
      <c r="R15039" s="318"/>
      <c r="S15039" s="318"/>
      <c r="T15039" s="318"/>
      <c r="U15039" s="318"/>
      <c r="V15039" s="318"/>
      <c r="W15039" s="318"/>
      <c r="X15039" s="318"/>
      <c r="Y15039" s="318"/>
      <c r="Z15039" s="318"/>
      <c r="AA15039" s="318"/>
      <c r="AB15039" s="318"/>
      <c r="AC15039" s="318"/>
      <c r="AD15039" s="318"/>
    </row>
    <row r="15040" spans="2:30" s="323" customFormat="1" ht="12" customHeight="1">
      <c r="B15040" s="324"/>
      <c r="C15040" s="325"/>
      <c r="D15040" s="326"/>
      <c r="E15040" s="326"/>
      <c r="F15040" s="326"/>
      <c r="G15040" s="326"/>
      <c r="H15040" s="326"/>
      <c r="P15040" s="318"/>
      <c r="Q15040" s="318"/>
      <c r="R15040" s="318"/>
      <c r="S15040" s="318"/>
      <c r="T15040" s="318"/>
      <c r="U15040" s="318"/>
      <c r="V15040" s="318"/>
      <c r="W15040" s="318"/>
      <c r="X15040" s="318"/>
      <c r="Y15040" s="318"/>
      <c r="Z15040" s="318"/>
      <c r="AA15040" s="318"/>
      <c r="AB15040" s="318"/>
      <c r="AC15040" s="318"/>
      <c r="AD15040" s="318"/>
    </row>
    <row r="15041" spans="2:30" s="323" customFormat="1" ht="12" customHeight="1">
      <c r="B15041" s="324"/>
      <c r="C15041" s="325"/>
      <c r="D15041" s="326"/>
      <c r="E15041" s="326"/>
      <c r="F15041" s="326"/>
      <c r="G15041" s="326"/>
      <c r="H15041" s="326"/>
      <c r="P15041" s="318"/>
      <c r="Q15041" s="318"/>
      <c r="R15041" s="318"/>
      <c r="S15041" s="318"/>
      <c r="T15041" s="318"/>
      <c r="U15041" s="318"/>
      <c r="V15041" s="318"/>
      <c r="W15041" s="318"/>
      <c r="X15041" s="318"/>
      <c r="Y15041" s="318"/>
      <c r="Z15041" s="318"/>
      <c r="AA15041" s="318"/>
      <c r="AB15041" s="318"/>
      <c r="AC15041" s="318"/>
      <c r="AD15041" s="318"/>
    </row>
    <row r="15042" spans="2:30" s="323" customFormat="1" ht="12" customHeight="1">
      <c r="B15042" s="324"/>
      <c r="C15042" s="325"/>
      <c r="D15042" s="326"/>
      <c r="E15042" s="326"/>
      <c r="F15042" s="326"/>
      <c r="G15042" s="326"/>
      <c r="H15042" s="326"/>
      <c r="P15042" s="318"/>
      <c r="Q15042" s="318"/>
      <c r="R15042" s="318"/>
      <c r="S15042" s="318"/>
      <c r="T15042" s="318"/>
      <c r="U15042" s="318"/>
      <c r="V15042" s="318"/>
      <c r="W15042" s="318"/>
      <c r="X15042" s="318"/>
      <c r="Y15042" s="318"/>
      <c r="Z15042" s="318"/>
      <c r="AA15042" s="318"/>
      <c r="AB15042" s="318"/>
      <c r="AC15042" s="318"/>
      <c r="AD15042" s="318"/>
    </row>
    <row r="15043" spans="2:30" s="323" customFormat="1" ht="12" customHeight="1">
      <c r="B15043" s="324"/>
      <c r="C15043" s="325"/>
      <c r="D15043" s="326"/>
      <c r="E15043" s="326"/>
      <c r="F15043" s="326"/>
      <c r="G15043" s="326"/>
      <c r="H15043" s="326"/>
      <c r="P15043" s="318"/>
      <c r="Q15043" s="318"/>
      <c r="R15043" s="318"/>
      <c r="S15043" s="318"/>
      <c r="T15043" s="318"/>
      <c r="U15043" s="318"/>
      <c r="V15043" s="318"/>
      <c r="W15043" s="318"/>
      <c r="X15043" s="318"/>
      <c r="Y15043" s="318"/>
      <c r="Z15043" s="318"/>
      <c r="AA15043" s="318"/>
      <c r="AB15043" s="318"/>
      <c r="AC15043" s="318"/>
      <c r="AD15043" s="318"/>
    </row>
    <row r="15044" spans="2:30" s="323" customFormat="1" ht="12" customHeight="1">
      <c r="B15044" s="324"/>
      <c r="C15044" s="325"/>
      <c r="D15044" s="326"/>
      <c r="E15044" s="326"/>
      <c r="F15044" s="326"/>
      <c r="G15044" s="326"/>
      <c r="H15044" s="326"/>
      <c r="P15044" s="318"/>
      <c r="Q15044" s="318"/>
      <c r="R15044" s="318"/>
      <c r="S15044" s="318"/>
      <c r="T15044" s="318"/>
      <c r="U15044" s="318"/>
      <c r="V15044" s="318"/>
      <c r="W15044" s="318"/>
      <c r="X15044" s="318"/>
      <c r="Y15044" s="318"/>
      <c r="Z15044" s="318"/>
      <c r="AA15044" s="318"/>
      <c r="AB15044" s="318"/>
      <c r="AC15044" s="318"/>
      <c r="AD15044" s="318"/>
    </row>
    <row r="15045" spans="2:30" s="323" customFormat="1" ht="12" customHeight="1">
      <c r="B15045" s="324"/>
      <c r="C15045" s="325"/>
      <c r="D15045" s="326"/>
      <c r="E15045" s="326"/>
      <c r="F15045" s="326"/>
      <c r="G15045" s="326"/>
      <c r="H15045" s="326"/>
      <c r="P15045" s="318"/>
      <c r="Q15045" s="318"/>
      <c r="R15045" s="318"/>
      <c r="S15045" s="318"/>
      <c r="T15045" s="318"/>
      <c r="U15045" s="318"/>
      <c r="V15045" s="318"/>
      <c r="W15045" s="318"/>
      <c r="X15045" s="318"/>
      <c r="Y15045" s="318"/>
      <c r="Z15045" s="318"/>
      <c r="AA15045" s="318"/>
      <c r="AB15045" s="318"/>
      <c r="AC15045" s="318"/>
      <c r="AD15045" s="318"/>
    </row>
    <row r="15046" spans="2:30" s="323" customFormat="1" ht="12" customHeight="1">
      <c r="B15046" s="324"/>
      <c r="C15046" s="325"/>
      <c r="D15046" s="326"/>
      <c r="E15046" s="326"/>
      <c r="F15046" s="326"/>
      <c r="G15046" s="326"/>
      <c r="H15046" s="326"/>
      <c r="P15046" s="318"/>
      <c r="Q15046" s="318"/>
      <c r="R15046" s="318"/>
      <c r="S15046" s="318"/>
      <c r="T15046" s="318"/>
      <c r="U15046" s="318"/>
      <c r="V15046" s="318"/>
      <c r="W15046" s="318"/>
      <c r="X15046" s="318"/>
      <c r="Y15046" s="318"/>
      <c r="Z15046" s="318"/>
      <c r="AA15046" s="318"/>
      <c r="AB15046" s="318"/>
      <c r="AC15046" s="318"/>
      <c r="AD15046" s="318"/>
    </row>
    <row r="15047" spans="2:30" s="323" customFormat="1" ht="12" customHeight="1">
      <c r="B15047" s="324"/>
      <c r="C15047" s="325"/>
      <c r="D15047" s="326"/>
      <c r="E15047" s="326"/>
      <c r="F15047" s="326"/>
      <c r="G15047" s="326"/>
      <c r="H15047" s="326"/>
      <c r="P15047" s="318"/>
      <c r="Q15047" s="318"/>
      <c r="R15047" s="318"/>
      <c r="S15047" s="318"/>
      <c r="T15047" s="318"/>
      <c r="U15047" s="318"/>
      <c r="V15047" s="318"/>
      <c r="W15047" s="318"/>
      <c r="X15047" s="318"/>
      <c r="Y15047" s="318"/>
      <c r="Z15047" s="318"/>
      <c r="AA15047" s="318"/>
      <c r="AB15047" s="318"/>
      <c r="AC15047" s="318"/>
      <c r="AD15047" s="318"/>
    </row>
    <row r="15048" spans="2:30" s="323" customFormat="1" ht="12" customHeight="1">
      <c r="B15048" s="324"/>
      <c r="C15048" s="325"/>
      <c r="D15048" s="326"/>
      <c r="E15048" s="326"/>
      <c r="F15048" s="326"/>
      <c r="G15048" s="326"/>
      <c r="H15048" s="326"/>
      <c r="P15048" s="318"/>
      <c r="Q15048" s="318"/>
      <c r="R15048" s="318"/>
      <c r="S15048" s="318"/>
      <c r="T15048" s="318"/>
      <c r="U15048" s="318"/>
      <c r="V15048" s="318"/>
      <c r="W15048" s="318"/>
      <c r="X15048" s="318"/>
      <c r="Y15048" s="318"/>
      <c r="Z15048" s="318"/>
      <c r="AA15048" s="318"/>
      <c r="AB15048" s="318"/>
      <c r="AC15048" s="318"/>
      <c r="AD15048" s="318"/>
    </row>
    <row r="15049" spans="2:30" s="323" customFormat="1" ht="12" customHeight="1">
      <c r="B15049" s="324"/>
      <c r="C15049" s="325"/>
      <c r="D15049" s="326"/>
      <c r="E15049" s="326"/>
      <c r="F15049" s="326"/>
      <c r="G15049" s="326"/>
      <c r="H15049" s="326"/>
      <c r="P15049" s="318"/>
      <c r="Q15049" s="318"/>
      <c r="R15049" s="318"/>
      <c r="S15049" s="318"/>
      <c r="T15049" s="318"/>
      <c r="U15049" s="318"/>
      <c r="V15049" s="318"/>
      <c r="W15049" s="318"/>
      <c r="X15049" s="318"/>
      <c r="Y15049" s="318"/>
      <c r="Z15049" s="318"/>
      <c r="AA15049" s="318"/>
      <c r="AB15049" s="318"/>
      <c r="AC15049" s="318"/>
      <c r="AD15049" s="318"/>
    </row>
    <row r="15050" spans="2:30" s="323" customFormat="1" ht="12" customHeight="1">
      <c r="B15050" s="324"/>
      <c r="C15050" s="325"/>
      <c r="D15050" s="326"/>
      <c r="E15050" s="326"/>
      <c r="F15050" s="326"/>
      <c r="G15050" s="326"/>
      <c r="H15050" s="326"/>
      <c r="P15050" s="318"/>
      <c r="Q15050" s="318"/>
      <c r="R15050" s="318"/>
      <c r="S15050" s="318"/>
      <c r="T15050" s="318"/>
      <c r="U15050" s="318"/>
      <c r="V15050" s="318"/>
      <c r="W15050" s="318"/>
      <c r="X15050" s="318"/>
      <c r="Y15050" s="318"/>
      <c r="Z15050" s="318"/>
      <c r="AA15050" s="318"/>
      <c r="AB15050" s="318"/>
      <c r="AC15050" s="318"/>
      <c r="AD15050" s="318"/>
    </row>
    <row r="15051" spans="2:30" s="323" customFormat="1" ht="12" customHeight="1">
      <c r="B15051" s="324"/>
      <c r="C15051" s="325"/>
      <c r="D15051" s="326"/>
      <c r="E15051" s="326"/>
      <c r="F15051" s="326"/>
      <c r="G15051" s="326"/>
      <c r="H15051" s="326"/>
      <c r="P15051" s="318"/>
      <c r="Q15051" s="318"/>
      <c r="R15051" s="318"/>
      <c r="S15051" s="318"/>
      <c r="T15051" s="318"/>
      <c r="U15051" s="318"/>
      <c r="V15051" s="318"/>
      <c r="W15051" s="318"/>
      <c r="X15051" s="318"/>
      <c r="Y15051" s="318"/>
      <c r="Z15051" s="318"/>
      <c r="AA15051" s="318"/>
      <c r="AB15051" s="318"/>
      <c r="AC15051" s="318"/>
      <c r="AD15051" s="318"/>
    </row>
    <row r="15052" spans="2:30" s="323" customFormat="1" ht="12" customHeight="1">
      <c r="B15052" s="324"/>
      <c r="C15052" s="325"/>
      <c r="D15052" s="326"/>
      <c r="E15052" s="326"/>
      <c r="F15052" s="326"/>
      <c r="G15052" s="326"/>
      <c r="H15052" s="326"/>
      <c r="P15052" s="318"/>
      <c r="Q15052" s="318"/>
      <c r="R15052" s="318"/>
      <c r="S15052" s="318"/>
      <c r="T15052" s="318"/>
      <c r="U15052" s="318"/>
      <c r="V15052" s="318"/>
      <c r="W15052" s="318"/>
      <c r="X15052" s="318"/>
      <c r="Y15052" s="318"/>
      <c r="Z15052" s="318"/>
      <c r="AA15052" s="318"/>
      <c r="AB15052" s="318"/>
      <c r="AC15052" s="318"/>
      <c r="AD15052" s="318"/>
    </row>
    <row r="15053" spans="2:30" s="323" customFormat="1" ht="12" customHeight="1">
      <c r="B15053" s="324"/>
      <c r="C15053" s="325"/>
      <c r="D15053" s="326"/>
      <c r="E15053" s="326"/>
      <c r="F15053" s="326"/>
      <c r="G15053" s="326"/>
      <c r="H15053" s="326"/>
      <c r="P15053" s="318"/>
      <c r="Q15053" s="318"/>
      <c r="R15053" s="318"/>
      <c r="S15053" s="318"/>
      <c r="T15053" s="318"/>
      <c r="U15053" s="318"/>
      <c r="V15053" s="318"/>
      <c r="W15053" s="318"/>
      <c r="X15053" s="318"/>
      <c r="Y15053" s="318"/>
      <c r="Z15053" s="318"/>
      <c r="AA15053" s="318"/>
      <c r="AB15053" s="318"/>
      <c r="AC15053" s="318"/>
      <c r="AD15053" s="318"/>
    </row>
    <row r="15054" spans="2:30" s="323" customFormat="1" ht="12" customHeight="1">
      <c r="B15054" s="324"/>
      <c r="C15054" s="325"/>
      <c r="D15054" s="326"/>
      <c r="E15054" s="326"/>
      <c r="F15054" s="326"/>
      <c r="G15054" s="326"/>
      <c r="H15054" s="326"/>
      <c r="P15054" s="318"/>
      <c r="Q15054" s="318"/>
      <c r="R15054" s="318"/>
      <c r="S15054" s="318"/>
      <c r="T15054" s="318"/>
      <c r="U15054" s="318"/>
      <c r="V15054" s="318"/>
      <c r="W15054" s="318"/>
      <c r="X15054" s="318"/>
      <c r="Y15054" s="318"/>
      <c r="Z15054" s="318"/>
      <c r="AA15054" s="318"/>
      <c r="AB15054" s="318"/>
      <c r="AC15054" s="318"/>
      <c r="AD15054" s="318"/>
    </row>
    <row r="15055" spans="2:30" s="323" customFormat="1" ht="12" customHeight="1">
      <c r="B15055" s="324"/>
      <c r="C15055" s="325"/>
      <c r="D15055" s="326"/>
      <c r="E15055" s="326"/>
      <c r="F15055" s="326"/>
      <c r="G15055" s="326"/>
      <c r="H15055" s="326"/>
      <c r="P15055" s="318"/>
      <c r="Q15055" s="318"/>
      <c r="R15055" s="318"/>
      <c r="S15055" s="318"/>
      <c r="T15055" s="318"/>
      <c r="U15055" s="318"/>
      <c r="V15055" s="318"/>
      <c r="W15055" s="318"/>
      <c r="X15055" s="318"/>
      <c r="Y15055" s="318"/>
      <c r="Z15055" s="318"/>
      <c r="AA15055" s="318"/>
      <c r="AB15055" s="318"/>
      <c r="AC15055" s="318"/>
      <c r="AD15055" s="318"/>
    </row>
    <row r="15056" spans="2:30" s="323" customFormat="1" ht="12" customHeight="1">
      <c r="B15056" s="324"/>
      <c r="C15056" s="325"/>
      <c r="D15056" s="326"/>
      <c r="E15056" s="326"/>
      <c r="F15056" s="326"/>
      <c r="G15056" s="326"/>
      <c r="H15056" s="326"/>
      <c r="P15056" s="318"/>
      <c r="Q15056" s="318"/>
      <c r="R15056" s="318"/>
      <c r="S15056" s="318"/>
      <c r="T15056" s="318"/>
      <c r="U15056" s="318"/>
      <c r="V15056" s="318"/>
      <c r="W15056" s="318"/>
      <c r="X15056" s="318"/>
      <c r="Y15056" s="318"/>
      <c r="Z15056" s="318"/>
      <c r="AA15056" s="318"/>
      <c r="AB15056" s="318"/>
      <c r="AC15056" s="318"/>
      <c r="AD15056" s="318"/>
    </row>
    <row r="15057" spans="2:30" s="323" customFormat="1" ht="12" customHeight="1">
      <c r="B15057" s="324"/>
      <c r="C15057" s="325"/>
      <c r="D15057" s="326"/>
      <c r="E15057" s="326"/>
      <c r="F15057" s="326"/>
      <c r="G15057" s="326"/>
      <c r="H15057" s="326"/>
      <c r="P15057" s="318"/>
      <c r="Q15057" s="318"/>
      <c r="R15057" s="318"/>
      <c r="S15057" s="318"/>
      <c r="T15057" s="318"/>
      <c r="U15057" s="318"/>
      <c r="V15057" s="318"/>
      <c r="W15057" s="318"/>
      <c r="X15057" s="318"/>
      <c r="Y15057" s="318"/>
      <c r="Z15057" s="318"/>
      <c r="AA15057" s="318"/>
      <c r="AB15057" s="318"/>
      <c r="AC15057" s="318"/>
      <c r="AD15057" s="318"/>
    </row>
    <row r="15058" spans="2:30" s="323" customFormat="1" ht="12" customHeight="1">
      <c r="B15058" s="324"/>
      <c r="C15058" s="325"/>
      <c r="D15058" s="326"/>
      <c r="E15058" s="326"/>
      <c r="F15058" s="326"/>
      <c r="G15058" s="326"/>
      <c r="H15058" s="326"/>
      <c r="P15058" s="318"/>
      <c r="Q15058" s="318"/>
      <c r="R15058" s="318"/>
      <c r="S15058" s="318"/>
      <c r="T15058" s="318"/>
      <c r="U15058" s="318"/>
      <c r="V15058" s="318"/>
      <c r="W15058" s="318"/>
      <c r="X15058" s="318"/>
      <c r="Y15058" s="318"/>
      <c r="Z15058" s="318"/>
      <c r="AA15058" s="318"/>
      <c r="AB15058" s="318"/>
      <c r="AC15058" s="318"/>
      <c r="AD15058" s="318"/>
    </row>
    <row r="15059" spans="2:30" s="323" customFormat="1" ht="12" customHeight="1">
      <c r="B15059" s="324"/>
      <c r="C15059" s="325"/>
      <c r="D15059" s="326"/>
      <c r="E15059" s="326"/>
      <c r="F15059" s="326"/>
      <c r="G15059" s="326"/>
      <c r="H15059" s="326"/>
      <c r="P15059" s="318"/>
      <c r="Q15059" s="318"/>
      <c r="R15059" s="318"/>
      <c r="S15059" s="318"/>
      <c r="T15059" s="318"/>
      <c r="U15059" s="318"/>
      <c r="V15059" s="318"/>
      <c r="W15059" s="318"/>
      <c r="X15059" s="318"/>
      <c r="Y15059" s="318"/>
      <c r="Z15059" s="318"/>
      <c r="AA15059" s="318"/>
      <c r="AB15059" s="318"/>
      <c r="AC15059" s="318"/>
      <c r="AD15059" s="318"/>
    </row>
    <row r="15060" spans="2:30" s="323" customFormat="1" ht="12" customHeight="1">
      <c r="B15060" s="324"/>
      <c r="C15060" s="325"/>
      <c r="D15060" s="326"/>
      <c r="E15060" s="326"/>
      <c r="F15060" s="326"/>
      <c r="G15060" s="326"/>
      <c r="H15060" s="326"/>
      <c r="P15060" s="318"/>
      <c r="Q15060" s="318"/>
      <c r="R15060" s="318"/>
      <c r="S15060" s="318"/>
      <c r="T15060" s="318"/>
      <c r="U15060" s="318"/>
      <c r="V15060" s="318"/>
      <c r="W15060" s="318"/>
      <c r="X15060" s="318"/>
      <c r="Y15060" s="318"/>
      <c r="Z15060" s="318"/>
      <c r="AA15060" s="318"/>
      <c r="AB15060" s="318"/>
      <c r="AC15060" s="318"/>
      <c r="AD15060" s="318"/>
    </row>
    <row r="15061" spans="2:30" s="323" customFormat="1" ht="12" customHeight="1">
      <c r="B15061" s="324"/>
      <c r="C15061" s="325"/>
      <c r="D15061" s="326"/>
      <c r="E15061" s="326"/>
      <c r="F15061" s="326"/>
      <c r="G15061" s="326"/>
      <c r="H15061" s="326"/>
      <c r="P15061" s="318"/>
      <c r="Q15061" s="318"/>
      <c r="R15061" s="318"/>
      <c r="S15061" s="318"/>
      <c r="T15061" s="318"/>
      <c r="U15061" s="318"/>
      <c r="V15061" s="318"/>
      <c r="W15061" s="318"/>
      <c r="X15061" s="318"/>
      <c r="Y15061" s="318"/>
      <c r="Z15061" s="318"/>
      <c r="AA15061" s="318"/>
      <c r="AB15061" s="318"/>
      <c r="AC15061" s="318"/>
      <c r="AD15061" s="318"/>
    </row>
    <row r="15062" spans="2:30" s="323" customFormat="1" ht="12" customHeight="1">
      <c r="B15062" s="324"/>
      <c r="C15062" s="325"/>
      <c r="D15062" s="326"/>
      <c r="E15062" s="326"/>
      <c r="F15062" s="326"/>
      <c r="G15062" s="326"/>
      <c r="H15062" s="326"/>
      <c r="P15062" s="318"/>
      <c r="Q15062" s="318"/>
      <c r="R15062" s="318"/>
      <c r="S15062" s="318"/>
      <c r="T15062" s="318"/>
      <c r="U15062" s="318"/>
      <c r="V15062" s="318"/>
      <c r="W15062" s="318"/>
      <c r="X15062" s="318"/>
      <c r="Y15062" s="318"/>
      <c r="Z15062" s="318"/>
      <c r="AA15062" s="318"/>
      <c r="AB15062" s="318"/>
      <c r="AC15062" s="318"/>
      <c r="AD15062" s="318"/>
    </row>
    <row r="15063" spans="2:30" s="323" customFormat="1" ht="12" customHeight="1">
      <c r="B15063" s="324"/>
      <c r="C15063" s="325"/>
      <c r="D15063" s="326"/>
      <c r="E15063" s="326"/>
      <c r="F15063" s="326"/>
      <c r="G15063" s="326"/>
      <c r="H15063" s="326"/>
      <c r="P15063" s="318"/>
      <c r="Q15063" s="318"/>
      <c r="R15063" s="318"/>
      <c r="S15063" s="318"/>
      <c r="T15063" s="318"/>
      <c r="U15063" s="318"/>
      <c r="V15063" s="318"/>
      <c r="W15063" s="318"/>
      <c r="X15063" s="318"/>
      <c r="Y15063" s="318"/>
      <c r="Z15063" s="318"/>
      <c r="AA15063" s="318"/>
      <c r="AB15063" s="318"/>
      <c r="AC15063" s="318"/>
      <c r="AD15063" s="318"/>
    </row>
    <row r="15064" spans="2:30" s="323" customFormat="1" ht="12" customHeight="1">
      <c r="B15064" s="324"/>
      <c r="C15064" s="325"/>
      <c r="D15064" s="326"/>
      <c r="E15064" s="326"/>
      <c r="F15064" s="326"/>
      <c r="G15064" s="326"/>
      <c r="H15064" s="326"/>
      <c r="P15064" s="318"/>
      <c r="Q15064" s="318"/>
      <c r="R15064" s="318"/>
      <c r="S15064" s="318"/>
      <c r="T15064" s="318"/>
      <c r="U15064" s="318"/>
      <c r="V15064" s="318"/>
      <c r="W15064" s="318"/>
      <c r="X15064" s="318"/>
      <c r="Y15064" s="318"/>
      <c r="Z15064" s="318"/>
      <c r="AA15064" s="318"/>
      <c r="AB15064" s="318"/>
      <c r="AC15064" s="318"/>
      <c r="AD15064" s="318"/>
    </row>
    <row r="15065" spans="2:30" s="323" customFormat="1" ht="12" customHeight="1">
      <c r="B15065" s="324"/>
      <c r="C15065" s="325"/>
      <c r="D15065" s="326"/>
      <c r="E15065" s="326"/>
      <c r="F15065" s="326"/>
      <c r="G15065" s="326"/>
      <c r="H15065" s="326"/>
      <c r="P15065" s="318"/>
      <c r="Q15065" s="318"/>
      <c r="R15065" s="318"/>
      <c r="S15065" s="318"/>
      <c r="T15065" s="318"/>
      <c r="U15065" s="318"/>
      <c r="V15065" s="318"/>
      <c r="W15065" s="318"/>
      <c r="X15065" s="318"/>
      <c r="Y15065" s="318"/>
      <c r="Z15065" s="318"/>
      <c r="AA15065" s="318"/>
      <c r="AB15065" s="318"/>
      <c r="AC15065" s="318"/>
      <c r="AD15065" s="318"/>
    </row>
    <row r="15066" spans="2:30" s="323" customFormat="1" ht="12" customHeight="1">
      <c r="B15066" s="324"/>
      <c r="C15066" s="325"/>
      <c r="D15066" s="326"/>
      <c r="E15066" s="326"/>
      <c r="F15066" s="326"/>
      <c r="G15066" s="326"/>
      <c r="H15066" s="326"/>
      <c r="P15066" s="318"/>
      <c r="Q15066" s="318"/>
      <c r="R15066" s="318"/>
      <c r="S15066" s="318"/>
      <c r="T15066" s="318"/>
      <c r="U15066" s="318"/>
      <c r="V15066" s="318"/>
      <c r="W15066" s="318"/>
      <c r="X15066" s="318"/>
      <c r="Y15066" s="318"/>
      <c r="Z15066" s="318"/>
      <c r="AA15066" s="318"/>
      <c r="AB15066" s="318"/>
      <c r="AC15066" s="318"/>
      <c r="AD15066" s="318"/>
    </row>
    <row r="15067" spans="2:30" s="323" customFormat="1" ht="12" customHeight="1">
      <c r="B15067" s="324"/>
      <c r="C15067" s="325"/>
      <c r="D15067" s="326"/>
      <c r="E15067" s="326"/>
      <c r="F15067" s="326"/>
      <c r="G15067" s="326"/>
      <c r="H15067" s="326"/>
      <c r="P15067" s="318"/>
      <c r="Q15067" s="318"/>
      <c r="R15067" s="318"/>
      <c r="S15067" s="318"/>
      <c r="T15067" s="318"/>
      <c r="U15067" s="318"/>
      <c r="V15067" s="318"/>
      <c r="W15067" s="318"/>
      <c r="X15067" s="318"/>
      <c r="Y15067" s="318"/>
      <c r="Z15067" s="318"/>
      <c r="AA15067" s="318"/>
      <c r="AB15067" s="318"/>
      <c r="AC15067" s="318"/>
      <c r="AD15067" s="318"/>
    </row>
    <row r="15068" spans="2:30" s="323" customFormat="1" ht="12" customHeight="1">
      <c r="B15068" s="324"/>
      <c r="C15068" s="325"/>
      <c r="D15068" s="326"/>
      <c r="E15068" s="326"/>
      <c r="F15068" s="326"/>
      <c r="G15068" s="326"/>
      <c r="H15068" s="326"/>
      <c r="P15068" s="318"/>
      <c r="Q15068" s="318"/>
      <c r="R15068" s="318"/>
      <c r="S15068" s="318"/>
      <c r="T15068" s="318"/>
      <c r="U15068" s="318"/>
      <c r="V15068" s="318"/>
      <c r="W15068" s="318"/>
      <c r="X15068" s="318"/>
      <c r="Y15068" s="318"/>
      <c r="Z15068" s="318"/>
      <c r="AA15068" s="318"/>
      <c r="AB15068" s="318"/>
      <c r="AC15068" s="318"/>
      <c r="AD15068" s="318"/>
    </row>
    <row r="15069" spans="2:30" s="323" customFormat="1" ht="12" customHeight="1">
      <c r="B15069" s="324"/>
      <c r="C15069" s="325"/>
      <c r="D15069" s="326"/>
      <c r="E15069" s="326"/>
      <c r="F15069" s="326"/>
      <c r="G15069" s="326"/>
      <c r="H15069" s="326"/>
      <c r="P15069" s="318"/>
      <c r="Q15069" s="318"/>
      <c r="R15069" s="318"/>
      <c r="S15069" s="318"/>
      <c r="T15069" s="318"/>
      <c r="U15069" s="318"/>
      <c r="V15069" s="318"/>
      <c r="W15069" s="318"/>
      <c r="X15069" s="318"/>
      <c r="Y15069" s="318"/>
      <c r="Z15069" s="318"/>
      <c r="AA15069" s="318"/>
      <c r="AB15069" s="318"/>
      <c r="AC15069" s="318"/>
      <c r="AD15069" s="318"/>
    </row>
    <row r="15070" spans="2:30" s="323" customFormat="1" ht="12" customHeight="1">
      <c r="B15070" s="324"/>
      <c r="C15070" s="325"/>
      <c r="D15070" s="326"/>
      <c r="E15070" s="326"/>
      <c r="F15070" s="326"/>
      <c r="G15070" s="326"/>
      <c r="H15070" s="326"/>
      <c r="P15070" s="318"/>
      <c r="Q15070" s="318"/>
      <c r="R15070" s="318"/>
      <c r="S15070" s="318"/>
      <c r="T15070" s="318"/>
      <c r="U15070" s="318"/>
      <c r="V15070" s="318"/>
      <c r="W15070" s="318"/>
      <c r="X15070" s="318"/>
      <c r="Y15070" s="318"/>
      <c r="Z15070" s="318"/>
      <c r="AA15070" s="318"/>
      <c r="AB15070" s="318"/>
      <c r="AC15070" s="318"/>
      <c r="AD15070" s="318"/>
    </row>
    <row r="15071" spans="2:30" s="323" customFormat="1" ht="12" customHeight="1">
      <c r="B15071" s="324"/>
      <c r="C15071" s="325"/>
      <c r="D15071" s="326"/>
      <c r="E15071" s="326"/>
      <c r="F15071" s="326"/>
      <c r="G15071" s="326"/>
      <c r="H15071" s="326"/>
      <c r="P15071" s="318"/>
      <c r="Q15071" s="318"/>
      <c r="R15071" s="318"/>
      <c r="S15071" s="318"/>
      <c r="T15071" s="318"/>
      <c r="U15071" s="318"/>
      <c r="V15071" s="318"/>
      <c r="W15071" s="318"/>
      <c r="X15071" s="318"/>
      <c r="Y15071" s="318"/>
      <c r="Z15071" s="318"/>
      <c r="AA15071" s="318"/>
      <c r="AB15071" s="318"/>
      <c r="AC15071" s="318"/>
      <c r="AD15071" s="318"/>
    </row>
    <row r="15072" spans="2:30" s="323" customFormat="1" ht="12" customHeight="1">
      <c r="B15072" s="324"/>
      <c r="C15072" s="325"/>
      <c r="D15072" s="326"/>
      <c r="E15072" s="326"/>
      <c r="F15072" s="326"/>
      <c r="G15072" s="326"/>
      <c r="H15072" s="326"/>
      <c r="P15072" s="318"/>
      <c r="Q15072" s="318"/>
      <c r="R15072" s="318"/>
      <c r="S15072" s="318"/>
      <c r="T15072" s="318"/>
      <c r="U15072" s="318"/>
      <c r="V15072" s="318"/>
      <c r="W15072" s="318"/>
      <c r="X15072" s="318"/>
      <c r="Y15072" s="318"/>
      <c r="Z15072" s="318"/>
      <c r="AA15072" s="318"/>
      <c r="AB15072" s="318"/>
      <c r="AC15072" s="318"/>
      <c r="AD15072" s="318"/>
    </row>
    <row r="15073" spans="2:30" s="323" customFormat="1" ht="12" customHeight="1">
      <c r="B15073" s="324"/>
      <c r="C15073" s="325"/>
      <c r="D15073" s="326"/>
      <c r="E15073" s="326"/>
      <c r="F15073" s="326"/>
      <c r="G15073" s="326"/>
      <c r="H15073" s="326"/>
      <c r="P15073" s="318"/>
      <c r="Q15073" s="318"/>
      <c r="R15073" s="318"/>
      <c r="S15073" s="318"/>
      <c r="T15073" s="318"/>
      <c r="U15073" s="318"/>
      <c r="V15073" s="318"/>
      <c r="W15073" s="318"/>
      <c r="X15073" s="318"/>
      <c r="Y15073" s="318"/>
      <c r="Z15073" s="318"/>
      <c r="AA15073" s="318"/>
      <c r="AB15073" s="318"/>
      <c r="AC15073" s="318"/>
      <c r="AD15073" s="318"/>
    </row>
    <row r="15074" spans="2:30" s="323" customFormat="1" ht="12" customHeight="1">
      <c r="B15074" s="324"/>
      <c r="C15074" s="325"/>
      <c r="D15074" s="326"/>
      <c r="E15074" s="326"/>
      <c r="F15074" s="326"/>
      <c r="G15074" s="326"/>
      <c r="H15074" s="326"/>
      <c r="P15074" s="318"/>
      <c r="Q15074" s="318"/>
      <c r="R15074" s="318"/>
      <c r="S15074" s="318"/>
      <c r="T15074" s="318"/>
      <c r="U15074" s="318"/>
      <c r="V15074" s="318"/>
      <c r="W15074" s="318"/>
      <c r="X15074" s="318"/>
      <c r="Y15074" s="318"/>
      <c r="Z15074" s="318"/>
      <c r="AA15074" s="318"/>
      <c r="AB15074" s="318"/>
      <c r="AC15074" s="318"/>
      <c r="AD15074" s="318"/>
    </row>
    <row r="15075" spans="2:30" s="323" customFormat="1" ht="12" customHeight="1">
      <c r="B15075" s="324"/>
      <c r="C15075" s="325"/>
      <c r="D15075" s="326"/>
      <c r="E15075" s="326"/>
      <c r="F15075" s="326"/>
      <c r="G15075" s="326"/>
      <c r="H15075" s="326"/>
      <c r="P15075" s="318"/>
      <c r="Q15075" s="318"/>
      <c r="R15075" s="318"/>
      <c r="S15075" s="318"/>
      <c r="T15075" s="318"/>
      <c r="U15075" s="318"/>
      <c r="V15075" s="318"/>
      <c r="W15075" s="318"/>
      <c r="X15075" s="318"/>
      <c r="Y15075" s="318"/>
      <c r="Z15075" s="318"/>
      <c r="AA15075" s="318"/>
      <c r="AB15075" s="318"/>
      <c r="AC15075" s="318"/>
      <c r="AD15075" s="318"/>
    </row>
    <row r="15076" spans="2:30" s="323" customFormat="1" ht="12" customHeight="1">
      <c r="B15076" s="324"/>
      <c r="C15076" s="325"/>
      <c r="D15076" s="326"/>
      <c r="E15076" s="326"/>
      <c r="F15076" s="326"/>
      <c r="G15076" s="326"/>
      <c r="H15076" s="326"/>
      <c r="P15076" s="318"/>
      <c r="Q15076" s="318"/>
      <c r="R15076" s="318"/>
      <c r="S15076" s="318"/>
      <c r="T15076" s="318"/>
      <c r="U15076" s="318"/>
      <c r="V15076" s="318"/>
      <c r="W15076" s="318"/>
      <c r="X15076" s="318"/>
      <c r="Y15076" s="318"/>
      <c r="Z15076" s="318"/>
      <c r="AA15076" s="318"/>
      <c r="AB15076" s="318"/>
      <c r="AC15076" s="318"/>
      <c r="AD15076" s="318"/>
    </row>
    <row r="15077" spans="2:30" s="323" customFormat="1" ht="12" customHeight="1">
      <c r="B15077" s="324"/>
      <c r="C15077" s="325"/>
      <c r="D15077" s="326"/>
      <c r="E15077" s="326"/>
      <c r="F15077" s="326"/>
      <c r="G15077" s="326"/>
      <c r="H15077" s="326"/>
      <c r="P15077" s="318"/>
      <c r="Q15077" s="318"/>
      <c r="R15077" s="318"/>
      <c r="S15077" s="318"/>
      <c r="T15077" s="318"/>
      <c r="U15077" s="318"/>
      <c r="V15077" s="318"/>
      <c r="W15077" s="318"/>
      <c r="X15077" s="318"/>
      <c r="Y15077" s="318"/>
      <c r="Z15077" s="318"/>
      <c r="AA15077" s="318"/>
      <c r="AB15077" s="318"/>
      <c r="AC15077" s="318"/>
      <c r="AD15077" s="318"/>
    </row>
    <row r="15078" spans="2:30" s="323" customFormat="1" ht="12" customHeight="1">
      <c r="B15078" s="324"/>
      <c r="C15078" s="325"/>
      <c r="D15078" s="326"/>
      <c r="E15078" s="326"/>
      <c r="F15078" s="326"/>
      <c r="G15078" s="326"/>
      <c r="H15078" s="326"/>
      <c r="P15078" s="318"/>
      <c r="Q15078" s="318"/>
      <c r="R15078" s="318"/>
      <c r="S15078" s="318"/>
      <c r="T15078" s="318"/>
      <c r="U15078" s="318"/>
      <c r="V15078" s="318"/>
      <c r="W15078" s="318"/>
      <c r="X15078" s="318"/>
      <c r="Y15078" s="318"/>
      <c r="Z15078" s="318"/>
      <c r="AA15078" s="318"/>
      <c r="AB15078" s="318"/>
      <c r="AC15078" s="318"/>
      <c r="AD15078" s="318"/>
    </row>
    <row r="15079" spans="2:30" s="323" customFormat="1" ht="12" customHeight="1">
      <c r="B15079" s="324"/>
      <c r="C15079" s="325"/>
      <c r="D15079" s="326"/>
      <c r="E15079" s="326"/>
      <c r="F15079" s="326"/>
      <c r="G15079" s="326"/>
      <c r="H15079" s="326"/>
      <c r="P15079" s="318"/>
      <c r="Q15079" s="318"/>
      <c r="R15079" s="318"/>
      <c r="S15079" s="318"/>
      <c r="T15079" s="318"/>
      <c r="U15079" s="318"/>
      <c r="V15079" s="318"/>
      <c r="W15079" s="318"/>
      <c r="X15079" s="318"/>
      <c r="Y15079" s="318"/>
      <c r="Z15079" s="318"/>
      <c r="AA15079" s="318"/>
      <c r="AB15079" s="318"/>
      <c r="AC15079" s="318"/>
      <c r="AD15079" s="318"/>
    </row>
    <row r="15080" spans="2:30" s="323" customFormat="1" ht="12" customHeight="1">
      <c r="B15080" s="324"/>
      <c r="C15080" s="325"/>
      <c r="D15080" s="326"/>
      <c r="E15080" s="326"/>
      <c r="F15080" s="326"/>
      <c r="G15080" s="326"/>
      <c r="H15080" s="326"/>
      <c r="P15080" s="318"/>
      <c r="Q15080" s="318"/>
      <c r="R15080" s="318"/>
      <c r="S15080" s="318"/>
      <c r="T15080" s="318"/>
      <c r="U15080" s="318"/>
      <c r="V15080" s="318"/>
      <c r="W15080" s="318"/>
      <c r="X15080" s="318"/>
      <c r="Y15080" s="318"/>
      <c r="Z15080" s="318"/>
      <c r="AA15080" s="318"/>
      <c r="AB15080" s="318"/>
      <c r="AC15080" s="318"/>
      <c r="AD15080" s="318"/>
    </row>
    <row r="15081" spans="2:30" s="323" customFormat="1" ht="12" customHeight="1">
      <c r="B15081" s="324"/>
      <c r="C15081" s="325"/>
      <c r="D15081" s="326"/>
      <c r="E15081" s="326"/>
      <c r="F15081" s="326"/>
      <c r="G15081" s="326"/>
      <c r="H15081" s="326"/>
      <c r="P15081" s="318"/>
      <c r="Q15081" s="318"/>
      <c r="R15081" s="318"/>
      <c r="S15081" s="318"/>
      <c r="T15081" s="318"/>
      <c r="U15081" s="318"/>
      <c r="V15081" s="318"/>
      <c r="W15081" s="318"/>
      <c r="X15081" s="318"/>
      <c r="Y15081" s="318"/>
      <c r="Z15081" s="318"/>
      <c r="AA15081" s="318"/>
      <c r="AB15081" s="318"/>
      <c r="AC15081" s="318"/>
      <c r="AD15081" s="318"/>
    </row>
    <row r="15082" spans="2:30" s="323" customFormat="1" ht="12" customHeight="1">
      <c r="B15082" s="324"/>
      <c r="C15082" s="325"/>
      <c r="D15082" s="326"/>
      <c r="E15082" s="326"/>
      <c r="F15082" s="326"/>
      <c r="G15082" s="326"/>
      <c r="H15082" s="326"/>
      <c r="P15082" s="318"/>
      <c r="Q15082" s="318"/>
      <c r="R15082" s="318"/>
      <c r="S15082" s="318"/>
      <c r="T15082" s="318"/>
      <c r="U15082" s="318"/>
      <c r="V15082" s="318"/>
      <c r="W15082" s="318"/>
      <c r="X15082" s="318"/>
      <c r="Y15082" s="318"/>
      <c r="Z15082" s="318"/>
      <c r="AA15082" s="318"/>
      <c r="AB15082" s="318"/>
      <c r="AC15082" s="318"/>
      <c r="AD15082" s="318"/>
    </row>
    <row r="15083" spans="2:30" s="323" customFormat="1" ht="12" customHeight="1">
      <c r="B15083" s="324"/>
      <c r="C15083" s="325"/>
      <c r="D15083" s="326"/>
      <c r="E15083" s="326"/>
      <c r="F15083" s="326"/>
      <c r="G15083" s="326"/>
      <c r="H15083" s="326"/>
      <c r="P15083" s="318"/>
      <c r="Q15083" s="318"/>
      <c r="R15083" s="318"/>
      <c r="S15083" s="318"/>
      <c r="T15083" s="318"/>
      <c r="U15083" s="318"/>
      <c r="V15083" s="318"/>
      <c r="W15083" s="318"/>
      <c r="X15083" s="318"/>
      <c r="Y15083" s="318"/>
      <c r="Z15083" s="318"/>
      <c r="AA15083" s="318"/>
      <c r="AB15083" s="318"/>
      <c r="AC15083" s="318"/>
      <c r="AD15083" s="318"/>
    </row>
    <row r="15084" spans="2:30" s="323" customFormat="1" ht="12" customHeight="1">
      <c r="B15084" s="324"/>
      <c r="C15084" s="325"/>
      <c r="D15084" s="326"/>
      <c r="E15084" s="326"/>
      <c r="F15084" s="326"/>
      <c r="G15084" s="326"/>
      <c r="H15084" s="326"/>
      <c r="P15084" s="318"/>
      <c r="Q15084" s="318"/>
      <c r="R15084" s="318"/>
      <c r="S15084" s="318"/>
      <c r="T15084" s="318"/>
      <c r="U15084" s="318"/>
      <c r="V15084" s="318"/>
      <c r="W15084" s="318"/>
      <c r="X15084" s="318"/>
      <c r="Y15084" s="318"/>
      <c r="Z15084" s="318"/>
      <c r="AA15084" s="318"/>
      <c r="AB15084" s="318"/>
      <c r="AC15084" s="318"/>
      <c r="AD15084" s="318"/>
    </row>
    <row r="15085" spans="2:30" s="323" customFormat="1" ht="12" customHeight="1">
      <c r="B15085" s="324"/>
      <c r="C15085" s="325"/>
      <c r="D15085" s="326"/>
      <c r="E15085" s="326"/>
      <c r="F15085" s="326"/>
      <c r="G15085" s="326"/>
      <c r="H15085" s="326"/>
      <c r="P15085" s="318"/>
      <c r="Q15085" s="318"/>
      <c r="R15085" s="318"/>
      <c r="S15085" s="318"/>
      <c r="T15085" s="318"/>
      <c r="U15085" s="318"/>
      <c r="V15085" s="318"/>
      <c r="W15085" s="318"/>
      <c r="X15085" s="318"/>
      <c r="Y15085" s="318"/>
      <c r="Z15085" s="318"/>
      <c r="AA15085" s="318"/>
      <c r="AB15085" s="318"/>
      <c r="AC15085" s="318"/>
      <c r="AD15085" s="318"/>
    </row>
    <row r="15086" spans="2:30" s="323" customFormat="1" ht="12" customHeight="1">
      <c r="B15086" s="324"/>
      <c r="C15086" s="325"/>
      <c r="D15086" s="326"/>
      <c r="E15086" s="326"/>
      <c r="F15086" s="326"/>
      <c r="G15086" s="326"/>
      <c r="H15086" s="326"/>
      <c r="P15086" s="318"/>
      <c r="Q15086" s="318"/>
      <c r="R15086" s="318"/>
      <c r="S15086" s="318"/>
      <c r="T15086" s="318"/>
      <c r="U15086" s="318"/>
      <c r="V15086" s="318"/>
      <c r="W15086" s="318"/>
      <c r="X15086" s="318"/>
      <c r="Y15086" s="318"/>
      <c r="Z15086" s="318"/>
      <c r="AA15086" s="318"/>
      <c r="AB15086" s="318"/>
      <c r="AC15086" s="318"/>
      <c r="AD15086" s="318"/>
    </row>
    <row r="15087" spans="2:30" s="323" customFormat="1" ht="12" customHeight="1">
      <c r="B15087" s="324"/>
      <c r="C15087" s="325"/>
      <c r="D15087" s="326"/>
      <c r="E15087" s="326"/>
      <c r="F15087" s="326"/>
      <c r="G15087" s="326"/>
      <c r="H15087" s="326"/>
      <c r="P15087" s="318"/>
      <c r="Q15087" s="318"/>
      <c r="R15087" s="318"/>
      <c r="S15087" s="318"/>
      <c r="T15087" s="318"/>
      <c r="U15087" s="318"/>
      <c r="V15087" s="318"/>
      <c r="W15087" s="318"/>
      <c r="X15087" s="318"/>
      <c r="Y15087" s="318"/>
      <c r="Z15087" s="318"/>
      <c r="AA15087" s="318"/>
      <c r="AB15087" s="318"/>
      <c r="AC15087" s="318"/>
      <c r="AD15087" s="318"/>
    </row>
    <row r="15088" spans="2:30" s="323" customFormat="1" ht="12" customHeight="1">
      <c r="B15088" s="324"/>
      <c r="C15088" s="325"/>
      <c r="D15088" s="326"/>
      <c r="E15088" s="326"/>
      <c r="F15088" s="326"/>
      <c r="G15088" s="326"/>
      <c r="H15088" s="326"/>
      <c r="P15088" s="318"/>
      <c r="Q15088" s="318"/>
      <c r="R15088" s="318"/>
      <c r="S15088" s="318"/>
      <c r="T15088" s="318"/>
      <c r="U15088" s="318"/>
      <c r="V15088" s="318"/>
      <c r="W15088" s="318"/>
      <c r="X15088" s="318"/>
      <c r="Y15088" s="318"/>
      <c r="Z15088" s="318"/>
      <c r="AA15088" s="318"/>
      <c r="AB15088" s="318"/>
      <c r="AC15088" s="318"/>
      <c r="AD15088" s="318"/>
    </row>
    <row r="15089" spans="2:30" s="323" customFormat="1" ht="12" customHeight="1">
      <c r="B15089" s="324"/>
      <c r="C15089" s="325"/>
      <c r="D15089" s="326"/>
      <c r="E15089" s="326"/>
      <c r="F15089" s="326"/>
      <c r="G15089" s="326"/>
      <c r="H15089" s="326"/>
      <c r="P15089" s="318"/>
      <c r="Q15089" s="318"/>
      <c r="R15089" s="318"/>
      <c r="S15089" s="318"/>
      <c r="T15089" s="318"/>
      <c r="U15089" s="318"/>
      <c r="V15089" s="318"/>
      <c r="W15089" s="318"/>
      <c r="X15089" s="318"/>
      <c r="Y15089" s="318"/>
      <c r="Z15089" s="318"/>
      <c r="AA15089" s="318"/>
      <c r="AB15089" s="318"/>
      <c r="AC15089" s="318"/>
      <c r="AD15089" s="318"/>
    </row>
    <row r="15090" spans="2:30" s="323" customFormat="1" ht="12" customHeight="1">
      <c r="B15090" s="324"/>
      <c r="C15090" s="325"/>
      <c r="D15090" s="326"/>
      <c r="E15090" s="326"/>
      <c r="F15090" s="326"/>
      <c r="G15090" s="326"/>
      <c r="H15090" s="326"/>
      <c r="P15090" s="318"/>
      <c r="Q15090" s="318"/>
      <c r="R15090" s="318"/>
      <c r="S15090" s="318"/>
      <c r="T15090" s="318"/>
      <c r="U15090" s="318"/>
      <c r="V15090" s="318"/>
      <c r="W15090" s="318"/>
      <c r="X15090" s="318"/>
      <c r="Y15090" s="318"/>
      <c r="Z15090" s="318"/>
      <c r="AA15090" s="318"/>
      <c r="AB15090" s="318"/>
      <c r="AC15090" s="318"/>
      <c r="AD15090" s="318"/>
    </row>
    <row r="15091" spans="2:30" s="323" customFormat="1" ht="12" customHeight="1">
      <c r="B15091" s="324"/>
      <c r="C15091" s="325"/>
      <c r="D15091" s="326"/>
      <c r="E15091" s="326"/>
      <c r="F15091" s="326"/>
      <c r="G15091" s="326"/>
      <c r="H15091" s="326"/>
      <c r="P15091" s="318"/>
      <c r="Q15091" s="318"/>
      <c r="R15091" s="318"/>
      <c r="S15091" s="318"/>
      <c r="T15091" s="318"/>
      <c r="U15091" s="318"/>
      <c r="V15091" s="318"/>
      <c r="W15091" s="318"/>
      <c r="X15091" s="318"/>
      <c r="Y15091" s="318"/>
      <c r="Z15091" s="318"/>
      <c r="AA15091" s="318"/>
      <c r="AB15091" s="318"/>
      <c r="AC15091" s="318"/>
      <c r="AD15091" s="318"/>
    </row>
    <row r="15092" spans="2:30" s="323" customFormat="1" ht="12" customHeight="1">
      <c r="B15092" s="324"/>
      <c r="C15092" s="325"/>
      <c r="D15092" s="326"/>
      <c r="E15092" s="326"/>
      <c r="F15092" s="326"/>
      <c r="G15092" s="326"/>
      <c r="H15092" s="326"/>
      <c r="P15092" s="318"/>
      <c r="Q15092" s="318"/>
      <c r="R15092" s="318"/>
      <c r="S15092" s="318"/>
      <c r="T15092" s="318"/>
      <c r="U15092" s="318"/>
      <c r="V15092" s="318"/>
      <c r="W15092" s="318"/>
      <c r="X15092" s="318"/>
      <c r="Y15092" s="318"/>
      <c r="Z15092" s="318"/>
      <c r="AA15092" s="318"/>
      <c r="AB15092" s="318"/>
      <c r="AC15092" s="318"/>
      <c r="AD15092" s="318"/>
    </row>
    <row r="15093" spans="2:30" s="323" customFormat="1" ht="12" customHeight="1">
      <c r="B15093" s="324"/>
      <c r="C15093" s="325"/>
      <c r="D15093" s="326"/>
      <c r="E15093" s="326"/>
      <c r="F15093" s="326"/>
      <c r="G15093" s="326"/>
      <c r="H15093" s="326"/>
      <c r="P15093" s="318"/>
      <c r="Q15093" s="318"/>
      <c r="R15093" s="318"/>
      <c r="S15093" s="318"/>
      <c r="T15093" s="318"/>
      <c r="U15093" s="318"/>
      <c r="V15093" s="318"/>
      <c r="W15093" s="318"/>
      <c r="X15093" s="318"/>
      <c r="Y15093" s="318"/>
      <c r="Z15093" s="318"/>
      <c r="AA15093" s="318"/>
      <c r="AB15093" s="318"/>
      <c r="AC15093" s="318"/>
      <c r="AD15093" s="318"/>
    </row>
    <row r="15094" spans="2:30" s="323" customFormat="1" ht="12" customHeight="1">
      <c r="B15094" s="324"/>
      <c r="C15094" s="325"/>
      <c r="D15094" s="326"/>
      <c r="E15094" s="326"/>
      <c r="F15094" s="326"/>
      <c r="G15094" s="326"/>
      <c r="H15094" s="326"/>
      <c r="P15094" s="318"/>
      <c r="Q15094" s="318"/>
      <c r="R15094" s="318"/>
      <c r="S15094" s="318"/>
      <c r="T15094" s="318"/>
      <c r="U15094" s="318"/>
      <c r="V15094" s="318"/>
      <c r="W15094" s="318"/>
      <c r="X15094" s="318"/>
      <c r="Y15094" s="318"/>
      <c r="Z15094" s="318"/>
      <c r="AA15094" s="318"/>
      <c r="AB15094" s="318"/>
      <c r="AC15094" s="318"/>
      <c r="AD15094" s="318"/>
    </row>
    <row r="15095" spans="2:30" s="323" customFormat="1" ht="12" customHeight="1">
      <c r="B15095" s="324"/>
      <c r="C15095" s="325"/>
      <c r="D15095" s="326"/>
      <c r="E15095" s="326"/>
      <c r="F15095" s="326"/>
      <c r="G15095" s="326"/>
      <c r="H15095" s="326"/>
      <c r="P15095" s="318"/>
      <c r="Q15095" s="318"/>
      <c r="R15095" s="318"/>
      <c r="S15095" s="318"/>
      <c r="T15095" s="318"/>
      <c r="U15095" s="318"/>
      <c r="V15095" s="318"/>
      <c r="W15095" s="318"/>
      <c r="X15095" s="318"/>
      <c r="Y15095" s="318"/>
      <c r="Z15095" s="318"/>
      <c r="AA15095" s="318"/>
      <c r="AB15095" s="318"/>
      <c r="AC15095" s="318"/>
      <c r="AD15095" s="318"/>
    </row>
    <row r="15096" spans="2:30" s="323" customFormat="1" ht="12" customHeight="1">
      <c r="B15096" s="324"/>
      <c r="C15096" s="325"/>
      <c r="D15096" s="326"/>
      <c r="E15096" s="326"/>
      <c r="F15096" s="326"/>
      <c r="G15096" s="326"/>
      <c r="H15096" s="326"/>
      <c r="P15096" s="318"/>
      <c r="Q15096" s="318"/>
      <c r="R15096" s="318"/>
      <c r="S15096" s="318"/>
      <c r="T15096" s="318"/>
      <c r="U15096" s="318"/>
      <c r="V15096" s="318"/>
      <c r="W15096" s="318"/>
      <c r="X15096" s="318"/>
      <c r="Y15096" s="318"/>
      <c r="Z15096" s="318"/>
      <c r="AA15096" s="318"/>
      <c r="AB15096" s="318"/>
      <c r="AC15096" s="318"/>
      <c r="AD15096" s="318"/>
    </row>
    <row r="15097" spans="2:30" s="323" customFormat="1" ht="12" customHeight="1">
      <c r="B15097" s="324"/>
      <c r="C15097" s="325"/>
      <c r="D15097" s="326"/>
      <c r="E15097" s="326"/>
      <c r="F15097" s="326"/>
      <c r="G15097" s="326"/>
      <c r="H15097" s="326"/>
      <c r="P15097" s="318"/>
      <c r="Q15097" s="318"/>
      <c r="R15097" s="318"/>
      <c r="S15097" s="318"/>
      <c r="T15097" s="318"/>
      <c r="U15097" s="318"/>
      <c r="V15097" s="318"/>
      <c r="W15097" s="318"/>
      <c r="X15097" s="318"/>
      <c r="Y15097" s="318"/>
      <c r="Z15097" s="318"/>
      <c r="AA15097" s="318"/>
      <c r="AB15097" s="318"/>
      <c r="AC15097" s="318"/>
      <c r="AD15097" s="318"/>
    </row>
    <row r="15098" spans="2:30" s="323" customFormat="1" ht="12" customHeight="1">
      <c r="B15098" s="324"/>
      <c r="C15098" s="325"/>
      <c r="D15098" s="326"/>
      <c r="E15098" s="326"/>
      <c r="F15098" s="326"/>
      <c r="G15098" s="326"/>
      <c r="H15098" s="326"/>
      <c r="P15098" s="318"/>
      <c r="Q15098" s="318"/>
      <c r="R15098" s="318"/>
      <c r="S15098" s="318"/>
      <c r="T15098" s="318"/>
      <c r="U15098" s="318"/>
      <c r="V15098" s="318"/>
      <c r="W15098" s="318"/>
      <c r="X15098" s="318"/>
      <c r="Y15098" s="318"/>
      <c r="Z15098" s="318"/>
      <c r="AA15098" s="318"/>
      <c r="AB15098" s="318"/>
      <c r="AC15098" s="318"/>
      <c r="AD15098" s="318"/>
    </row>
    <row r="15099" spans="2:30" s="323" customFormat="1" ht="12" customHeight="1">
      <c r="B15099" s="324"/>
      <c r="C15099" s="325"/>
      <c r="D15099" s="326"/>
      <c r="E15099" s="326"/>
      <c r="F15099" s="326"/>
      <c r="G15099" s="326"/>
      <c r="H15099" s="326"/>
      <c r="P15099" s="318"/>
      <c r="Q15099" s="318"/>
      <c r="R15099" s="318"/>
      <c r="S15099" s="318"/>
      <c r="T15099" s="318"/>
      <c r="U15099" s="318"/>
      <c r="V15099" s="318"/>
      <c r="W15099" s="318"/>
      <c r="X15099" s="318"/>
      <c r="Y15099" s="318"/>
      <c r="Z15099" s="318"/>
      <c r="AA15099" s="318"/>
      <c r="AB15099" s="318"/>
      <c r="AC15099" s="318"/>
      <c r="AD15099" s="318"/>
    </row>
    <row r="15100" spans="2:30" s="323" customFormat="1" ht="12" customHeight="1">
      <c r="B15100" s="324"/>
      <c r="C15100" s="325"/>
      <c r="D15100" s="326"/>
      <c r="E15100" s="326"/>
      <c r="F15100" s="326"/>
      <c r="G15100" s="326"/>
      <c r="H15100" s="326"/>
      <c r="P15100" s="318"/>
      <c r="Q15100" s="318"/>
      <c r="R15100" s="318"/>
      <c r="S15100" s="318"/>
      <c r="T15100" s="318"/>
      <c r="U15100" s="318"/>
      <c r="V15100" s="318"/>
      <c r="W15100" s="318"/>
      <c r="X15100" s="318"/>
      <c r="Y15100" s="318"/>
      <c r="Z15100" s="318"/>
      <c r="AA15100" s="318"/>
      <c r="AB15100" s="318"/>
      <c r="AC15100" s="318"/>
      <c r="AD15100" s="318"/>
    </row>
    <row r="15101" spans="2:30" s="323" customFormat="1" ht="12" customHeight="1">
      <c r="B15101" s="324"/>
      <c r="C15101" s="325"/>
      <c r="D15101" s="326"/>
      <c r="E15101" s="326"/>
      <c r="F15101" s="326"/>
      <c r="G15101" s="326"/>
      <c r="H15101" s="326"/>
      <c r="P15101" s="318"/>
      <c r="Q15101" s="318"/>
      <c r="R15101" s="318"/>
      <c r="S15101" s="318"/>
      <c r="T15101" s="318"/>
      <c r="U15101" s="318"/>
      <c r="V15101" s="318"/>
      <c r="W15101" s="318"/>
      <c r="X15101" s="318"/>
      <c r="Y15101" s="318"/>
      <c r="Z15101" s="318"/>
      <c r="AA15101" s="318"/>
      <c r="AB15101" s="318"/>
      <c r="AC15101" s="318"/>
      <c r="AD15101" s="318"/>
    </row>
    <row r="15102" spans="2:30" s="323" customFormat="1" ht="12" customHeight="1">
      <c r="B15102" s="324"/>
      <c r="C15102" s="325"/>
      <c r="D15102" s="326"/>
      <c r="E15102" s="326"/>
      <c r="F15102" s="326"/>
      <c r="G15102" s="326"/>
      <c r="H15102" s="326"/>
      <c r="P15102" s="318"/>
      <c r="Q15102" s="318"/>
      <c r="R15102" s="318"/>
      <c r="S15102" s="318"/>
      <c r="T15102" s="318"/>
      <c r="U15102" s="318"/>
      <c r="V15102" s="318"/>
      <c r="W15102" s="318"/>
      <c r="X15102" s="318"/>
      <c r="Y15102" s="318"/>
      <c r="Z15102" s="318"/>
      <c r="AA15102" s="318"/>
      <c r="AB15102" s="318"/>
      <c r="AC15102" s="318"/>
      <c r="AD15102" s="318"/>
    </row>
    <row r="15103" spans="2:30" s="323" customFormat="1" ht="12" customHeight="1">
      <c r="B15103" s="324"/>
      <c r="C15103" s="325"/>
      <c r="D15103" s="326"/>
      <c r="E15103" s="326"/>
      <c r="F15103" s="326"/>
      <c r="G15103" s="326"/>
      <c r="H15103" s="326"/>
      <c r="P15103" s="318"/>
      <c r="Q15103" s="318"/>
      <c r="R15103" s="318"/>
      <c r="S15103" s="318"/>
      <c r="T15103" s="318"/>
      <c r="U15103" s="318"/>
      <c r="V15103" s="318"/>
      <c r="W15103" s="318"/>
      <c r="X15103" s="318"/>
      <c r="Y15103" s="318"/>
      <c r="Z15103" s="318"/>
      <c r="AA15103" s="318"/>
      <c r="AB15103" s="318"/>
      <c r="AC15103" s="318"/>
      <c r="AD15103" s="318"/>
    </row>
    <row r="15104" spans="2:30" s="323" customFormat="1" ht="12" customHeight="1">
      <c r="B15104" s="324"/>
      <c r="C15104" s="325"/>
      <c r="D15104" s="326"/>
      <c r="E15104" s="326"/>
      <c r="F15104" s="326"/>
      <c r="G15104" s="326"/>
      <c r="H15104" s="326"/>
      <c r="P15104" s="318"/>
      <c r="Q15104" s="318"/>
      <c r="R15104" s="318"/>
      <c r="S15104" s="318"/>
      <c r="T15104" s="318"/>
      <c r="U15104" s="318"/>
      <c r="V15104" s="318"/>
      <c r="W15104" s="318"/>
      <c r="X15104" s="318"/>
      <c r="Y15104" s="318"/>
      <c r="Z15104" s="318"/>
      <c r="AA15104" s="318"/>
      <c r="AB15104" s="318"/>
      <c r="AC15104" s="318"/>
      <c r="AD15104" s="318"/>
    </row>
    <row r="15105" spans="2:30" s="323" customFormat="1" ht="12" customHeight="1">
      <c r="B15105" s="324"/>
      <c r="C15105" s="325"/>
      <c r="D15105" s="326"/>
      <c r="E15105" s="326"/>
      <c r="F15105" s="326"/>
      <c r="G15105" s="326"/>
      <c r="H15105" s="326"/>
      <c r="P15105" s="318"/>
      <c r="Q15105" s="318"/>
      <c r="R15105" s="318"/>
      <c r="S15105" s="318"/>
      <c r="T15105" s="318"/>
      <c r="U15105" s="318"/>
      <c r="V15105" s="318"/>
      <c r="W15105" s="318"/>
      <c r="X15105" s="318"/>
      <c r="Y15105" s="318"/>
      <c r="Z15105" s="318"/>
      <c r="AA15105" s="318"/>
      <c r="AB15105" s="318"/>
      <c r="AC15105" s="318"/>
      <c r="AD15105" s="318"/>
    </row>
    <row r="15106" spans="2:30" s="323" customFormat="1" ht="12" customHeight="1">
      <c r="B15106" s="324"/>
      <c r="C15106" s="325"/>
      <c r="D15106" s="326"/>
      <c r="E15106" s="326"/>
      <c r="F15106" s="326"/>
      <c r="G15106" s="326"/>
      <c r="H15106" s="326"/>
      <c r="P15106" s="318"/>
      <c r="Q15106" s="318"/>
      <c r="R15106" s="318"/>
      <c r="S15106" s="318"/>
      <c r="T15106" s="318"/>
      <c r="U15106" s="318"/>
      <c r="V15106" s="318"/>
      <c r="W15106" s="318"/>
      <c r="X15106" s="318"/>
      <c r="Y15106" s="318"/>
      <c r="Z15106" s="318"/>
      <c r="AA15106" s="318"/>
      <c r="AB15106" s="318"/>
      <c r="AC15106" s="318"/>
      <c r="AD15106" s="318"/>
    </row>
    <row r="15107" spans="2:30" s="323" customFormat="1" ht="12" customHeight="1">
      <c r="B15107" s="324"/>
      <c r="C15107" s="325"/>
      <c r="D15107" s="326"/>
      <c r="E15107" s="326"/>
      <c r="F15107" s="326"/>
      <c r="G15107" s="326"/>
      <c r="H15107" s="326"/>
      <c r="P15107" s="318"/>
      <c r="Q15107" s="318"/>
      <c r="R15107" s="318"/>
      <c r="S15107" s="318"/>
      <c r="T15107" s="318"/>
      <c r="U15107" s="318"/>
      <c r="V15107" s="318"/>
      <c r="W15107" s="318"/>
      <c r="X15107" s="318"/>
      <c r="Y15107" s="318"/>
      <c r="Z15107" s="318"/>
      <c r="AA15107" s="318"/>
      <c r="AB15107" s="318"/>
      <c r="AC15107" s="318"/>
      <c r="AD15107" s="318"/>
    </row>
    <row r="15108" spans="2:30" s="323" customFormat="1" ht="12" customHeight="1">
      <c r="B15108" s="324"/>
      <c r="C15108" s="325"/>
      <c r="D15108" s="326"/>
      <c r="E15108" s="326"/>
      <c r="F15108" s="326"/>
      <c r="G15108" s="326"/>
      <c r="H15108" s="326"/>
      <c r="P15108" s="318"/>
      <c r="Q15108" s="318"/>
      <c r="R15108" s="318"/>
      <c r="S15108" s="318"/>
      <c r="T15108" s="318"/>
      <c r="U15108" s="318"/>
      <c r="V15108" s="318"/>
      <c r="W15108" s="318"/>
      <c r="X15108" s="318"/>
      <c r="Y15108" s="318"/>
      <c r="Z15108" s="318"/>
      <c r="AA15108" s="318"/>
      <c r="AB15108" s="318"/>
      <c r="AC15108" s="318"/>
      <c r="AD15108" s="318"/>
    </row>
    <row r="15109" spans="2:30" s="323" customFormat="1" ht="12" customHeight="1">
      <c r="B15109" s="324"/>
      <c r="C15109" s="325"/>
      <c r="D15109" s="326"/>
      <c r="E15109" s="326"/>
      <c r="F15109" s="326"/>
      <c r="G15109" s="326"/>
      <c r="H15109" s="326"/>
      <c r="P15109" s="318"/>
      <c r="Q15109" s="318"/>
      <c r="R15109" s="318"/>
      <c r="S15109" s="318"/>
      <c r="T15109" s="318"/>
      <c r="U15109" s="318"/>
      <c r="V15109" s="318"/>
      <c r="W15109" s="318"/>
      <c r="X15109" s="318"/>
      <c r="Y15109" s="318"/>
      <c r="Z15109" s="318"/>
      <c r="AA15109" s="318"/>
      <c r="AB15109" s="318"/>
      <c r="AC15109" s="318"/>
      <c r="AD15109" s="318"/>
    </row>
    <row r="15110" spans="2:30" s="323" customFormat="1" ht="12" customHeight="1">
      <c r="B15110" s="324"/>
      <c r="C15110" s="325"/>
      <c r="D15110" s="326"/>
      <c r="E15110" s="326"/>
      <c r="F15110" s="326"/>
      <c r="G15110" s="326"/>
      <c r="H15110" s="326"/>
      <c r="P15110" s="318"/>
      <c r="Q15110" s="318"/>
      <c r="R15110" s="318"/>
      <c r="S15110" s="318"/>
      <c r="T15110" s="318"/>
      <c r="U15110" s="318"/>
      <c r="V15110" s="318"/>
      <c r="W15110" s="318"/>
      <c r="X15110" s="318"/>
      <c r="Y15110" s="318"/>
      <c r="Z15110" s="318"/>
      <c r="AA15110" s="318"/>
      <c r="AB15110" s="318"/>
      <c r="AC15110" s="318"/>
      <c r="AD15110" s="318"/>
    </row>
    <row r="15111" spans="2:30" s="323" customFormat="1" ht="12" customHeight="1">
      <c r="B15111" s="324"/>
      <c r="C15111" s="325"/>
      <c r="D15111" s="326"/>
      <c r="E15111" s="326"/>
      <c r="F15111" s="326"/>
      <c r="G15111" s="326"/>
      <c r="H15111" s="326"/>
      <c r="P15111" s="318"/>
      <c r="Q15111" s="318"/>
      <c r="R15111" s="318"/>
      <c r="S15111" s="318"/>
      <c r="T15111" s="318"/>
      <c r="U15111" s="318"/>
      <c r="V15111" s="318"/>
      <c r="W15111" s="318"/>
      <c r="X15111" s="318"/>
      <c r="Y15111" s="318"/>
      <c r="Z15111" s="318"/>
      <c r="AA15111" s="318"/>
      <c r="AB15111" s="318"/>
      <c r="AC15111" s="318"/>
      <c r="AD15111" s="318"/>
    </row>
    <row r="15112" spans="2:30" s="323" customFormat="1" ht="12" customHeight="1">
      <c r="B15112" s="324"/>
      <c r="C15112" s="325"/>
      <c r="D15112" s="326"/>
      <c r="E15112" s="326"/>
      <c r="F15112" s="326"/>
      <c r="G15112" s="326"/>
      <c r="H15112" s="326"/>
      <c r="P15112" s="318"/>
      <c r="Q15112" s="318"/>
      <c r="R15112" s="318"/>
      <c r="S15112" s="318"/>
      <c r="T15112" s="318"/>
      <c r="U15112" s="318"/>
      <c r="V15112" s="318"/>
      <c r="W15112" s="318"/>
      <c r="X15112" s="318"/>
      <c r="Y15112" s="318"/>
      <c r="Z15112" s="318"/>
      <c r="AA15112" s="318"/>
      <c r="AB15112" s="318"/>
      <c r="AC15112" s="318"/>
      <c r="AD15112" s="318"/>
    </row>
    <row r="15113" spans="2:30" s="323" customFormat="1" ht="12" customHeight="1">
      <c r="B15113" s="324"/>
      <c r="C15113" s="325"/>
      <c r="D15113" s="326"/>
      <c r="E15113" s="326"/>
      <c r="F15113" s="326"/>
      <c r="G15113" s="326"/>
      <c r="H15113" s="326"/>
      <c r="P15113" s="318"/>
      <c r="Q15113" s="318"/>
      <c r="R15113" s="318"/>
      <c r="S15113" s="318"/>
      <c r="T15113" s="318"/>
      <c r="U15113" s="318"/>
      <c r="V15113" s="318"/>
      <c r="W15113" s="318"/>
      <c r="X15113" s="318"/>
      <c r="Y15113" s="318"/>
      <c r="Z15113" s="318"/>
      <c r="AA15113" s="318"/>
      <c r="AB15113" s="318"/>
      <c r="AC15113" s="318"/>
      <c r="AD15113" s="318"/>
    </row>
    <row r="15114" spans="2:30" s="323" customFormat="1" ht="12" customHeight="1">
      <c r="B15114" s="324"/>
      <c r="C15114" s="325"/>
      <c r="D15114" s="326"/>
      <c r="E15114" s="326"/>
      <c r="F15114" s="326"/>
      <c r="G15114" s="326"/>
      <c r="H15114" s="326"/>
      <c r="P15114" s="318"/>
      <c r="Q15114" s="318"/>
      <c r="R15114" s="318"/>
      <c r="S15114" s="318"/>
      <c r="T15114" s="318"/>
      <c r="U15114" s="318"/>
      <c r="V15114" s="318"/>
      <c r="W15114" s="318"/>
      <c r="X15114" s="318"/>
      <c r="Y15114" s="318"/>
      <c r="Z15114" s="318"/>
      <c r="AA15114" s="318"/>
      <c r="AB15114" s="318"/>
      <c r="AC15114" s="318"/>
      <c r="AD15114" s="318"/>
    </row>
    <row r="15115" spans="2:30" s="323" customFormat="1" ht="12" customHeight="1">
      <c r="B15115" s="324"/>
      <c r="C15115" s="325"/>
      <c r="D15115" s="326"/>
      <c r="E15115" s="326"/>
      <c r="F15115" s="326"/>
      <c r="G15115" s="326"/>
      <c r="H15115" s="326"/>
      <c r="P15115" s="318"/>
      <c r="Q15115" s="318"/>
      <c r="R15115" s="318"/>
      <c r="S15115" s="318"/>
      <c r="T15115" s="318"/>
      <c r="U15115" s="318"/>
      <c r="V15115" s="318"/>
      <c r="W15115" s="318"/>
      <c r="X15115" s="318"/>
      <c r="Y15115" s="318"/>
      <c r="Z15115" s="318"/>
      <c r="AA15115" s="318"/>
      <c r="AB15115" s="318"/>
      <c r="AC15115" s="318"/>
      <c r="AD15115" s="318"/>
    </row>
    <row r="15116" spans="2:30" s="323" customFormat="1" ht="12" customHeight="1">
      <c r="B15116" s="324"/>
      <c r="C15116" s="325"/>
      <c r="D15116" s="326"/>
      <c r="E15116" s="326"/>
      <c r="F15116" s="326"/>
      <c r="G15116" s="326"/>
      <c r="H15116" s="326"/>
      <c r="P15116" s="318"/>
      <c r="Q15116" s="318"/>
      <c r="R15116" s="318"/>
      <c r="S15116" s="318"/>
      <c r="T15116" s="318"/>
      <c r="U15116" s="318"/>
      <c r="V15116" s="318"/>
      <c r="W15116" s="318"/>
      <c r="X15116" s="318"/>
      <c r="Y15116" s="318"/>
      <c r="Z15116" s="318"/>
      <c r="AA15116" s="318"/>
      <c r="AB15116" s="318"/>
      <c r="AC15116" s="318"/>
      <c r="AD15116" s="318"/>
    </row>
    <row r="15117" spans="2:30" s="323" customFormat="1" ht="12" customHeight="1">
      <c r="B15117" s="324"/>
      <c r="C15117" s="325"/>
      <c r="D15117" s="326"/>
      <c r="E15117" s="326"/>
      <c r="F15117" s="326"/>
      <c r="G15117" s="326"/>
      <c r="H15117" s="326"/>
      <c r="P15117" s="318"/>
      <c r="Q15117" s="318"/>
      <c r="R15117" s="318"/>
      <c r="S15117" s="318"/>
      <c r="T15117" s="318"/>
      <c r="U15117" s="318"/>
      <c r="V15117" s="318"/>
      <c r="W15117" s="318"/>
      <c r="X15117" s="318"/>
      <c r="Y15117" s="318"/>
      <c r="Z15117" s="318"/>
      <c r="AA15117" s="318"/>
      <c r="AB15117" s="318"/>
      <c r="AC15117" s="318"/>
      <c r="AD15117" s="318"/>
    </row>
    <row r="15118" spans="2:30" s="323" customFormat="1" ht="12" customHeight="1">
      <c r="B15118" s="324"/>
      <c r="C15118" s="325"/>
      <c r="D15118" s="326"/>
      <c r="E15118" s="326"/>
      <c r="F15118" s="326"/>
      <c r="G15118" s="326"/>
      <c r="H15118" s="326"/>
      <c r="P15118" s="318"/>
      <c r="Q15118" s="318"/>
      <c r="R15118" s="318"/>
      <c r="S15118" s="318"/>
      <c r="T15118" s="318"/>
      <c r="U15118" s="318"/>
      <c r="V15118" s="318"/>
      <c r="W15118" s="318"/>
      <c r="X15118" s="318"/>
      <c r="Y15118" s="318"/>
      <c r="Z15118" s="318"/>
      <c r="AA15118" s="318"/>
      <c r="AB15118" s="318"/>
      <c r="AC15118" s="318"/>
      <c r="AD15118" s="318"/>
    </row>
    <row r="15119" spans="2:30" s="323" customFormat="1" ht="12" customHeight="1">
      <c r="B15119" s="324"/>
      <c r="C15119" s="325"/>
      <c r="D15119" s="326"/>
      <c r="E15119" s="326"/>
      <c r="F15119" s="326"/>
      <c r="G15119" s="326"/>
      <c r="H15119" s="326"/>
      <c r="P15119" s="318"/>
      <c r="Q15119" s="318"/>
      <c r="R15119" s="318"/>
      <c r="S15119" s="318"/>
      <c r="T15119" s="318"/>
      <c r="U15119" s="318"/>
      <c r="V15119" s="318"/>
      <c r="W15119" s="318"/>
      <c r="X15119" s="318"/>
      <c r="Y15119" s="318"/>
      <c r="Z15119" s="318"/>
      <c r="AA15119" s="318"/>
      <c r="AB15119" s="318"/>
      <c r="AC15119" s="318"/>
      <c r="AD15119" s="318"/>
    </row>
    <row r="15120" spans="2:30" s="323" customFormat="1" ht="12" customHeight="1">
      <c r="B15120" s="324"/>
      <c r="C15120" s="325"/>
      <c r="D15120" s="326"/>
      <c r="E15120" s="326"/>
      <c r="F15120" s="326"/>
      <c r="G15120" s="326"/>
      <c r="H15120" s="326"/>
      <c r="P15120" s="318"/>
      <c r="Q15120" s="318"/>
      <c r="R15120" s="318"/>
      <c r="S15120" s="318"/>
      <c r="T15120" s="318"/>
      <c r="U15120" s="318"/>
      <c r="V15120" s="318"/>
      <c r="W15120" s="318"/>
      <c r="X15120" s="318"/>
      <c r="Y15120" s="318"/>
      <c r="Z15120" s="318"/>
      <c r="AA15120" s="318"/>
      <c r="AB15120" s="318"/>
      <c r="AC15120" s="318"/>
      <c r="AD15120" s="318"/>
    </row>
    <row r="15121" spans="2:30" s="323" customFormat="1" ht="12" customHeight="1">
      <c r="B15121" s="324"/>
      <c r="C15121" s="325"/>
      <c r="D15121" s="326"/>
      <c r="E15121" s="326"/>
      <c r="F15121" s="326"/>
      <c r="G15121" s="326"/>
      <c r="H15121" s="326"/>
      <c r="P15121" s="318"/>
      <c r="Q15121" s="318"/>
      <c r="R15121" s="318"/>
      <c r="S15121" s="318"/>
      <c r="T15121" s="318"/>
      <c r="U15121" s="318"/>
      <c r="V15121" s="318"/>
      <c r="W15121" s="318"/>
      <c r="X15121" s="318"/>
      <c r="Y15121" s="318"/>
      <c r="Z15121" s="318"/>
      <c r="AA15121" s="318"/>
      <c r="AB15121" s="318"/>
      <c r="AC15121" s="318"/>
      <c r="AD15121" s="318"/>
    </row>
    <row r="15122" spans="2:30" s="323" customFormat="1" ht="12" customHeight="1">
      <c r="B15122" s="324"/>
      <c r="C15122" s="325"/>
      <c r="D15122" s="326"/>
      <c r="E15122" s="326"/>
      <c r="F15122" s="326"/>
      <c r="G15122" s="326"/>
      <c r="H15122" s="326"/>
      <c r="P15122" s="318"/>
      <c r="Q15122" s="318"/>
      <c r="R15122" s="318"/>
      <c r="S15122" s="318"/>
      <c r="T15122" s="318"/>
      <c r="U15122" s="318"/>
      <c r="V15122" s="318"/>
      <c r="W15122" s="318"/>
      <c r="X15122" s="318"/>
      <c r="Y15122" s="318"/>
      <c r="Z15122" s="318"/>
      <c r="AA15122" s="318"/>
      <c r="AB15122" s="318"/>
      <c r="AC15122" s="318"/>
      <c r="AD15122" s="318"/>
    </row>
    <row r="15123" spans="2:30" s="323" customFormat="1" ht="12" customHeight="1">
      <c r="B15123" s="324"/>
      <c r="C15123" s="325"/>
      <c r="D15123" s="326"/>
      <c r="E15123" s="326"/>
      <c r="F15123" s="326"/>
      <c r="G15123" s="326"/>
      <c r="H15123" s="326"/>
      <c r="P15123" s="318"/>
      <c r="Q15123" s="318"/>
      <c r="R15123" s="318"/>
      <c r="S15123" s="318"/>
      <c r="T15123" s="318"/>
      <c r="U15123" s="318"/>
      <c r="V15123" s="318"/>
      <c r="W15123" s="318"/>
      <c r="X15123" s="318"/>
      <c r="Y15123" s="318"/>
      <c r="Z15123" s="318"/>
      <c r="AA15123" s="318"/>
      <c r="AB15123" s="318"/>
      <c r="AC15123" s="318"/>
      <c r="AD15123" s="318"/>
    </row>
    <row r="15124" spans="2:30" s="323" customFormat="1" ht="12" customHeight="1">
      <c r="B15124" s="324"/>
      <c r="C15124" s="325"/>
      <c r="D15124" s="326"/>
      <c r="E15124" s="326"/>
      <c r="F15124" s="326"/>
      <c r="G15124" s="326"/>
      <c r="H15124" s="326"/>
      <c r="P15124" s="318"/>
      <c r="Q15124" s="318"/>
      <c r="R15124" s="318"/>
      <c r="S15124" s="318"/>
      <c r="T15124" s="318"/>
      <c r="U15124" s="318"/>
      <c r="V15124" s="318"/>
      <c r="W15124" s="318"/>
      <c r="X15124" s="318"/>
      <c r="Y15124" s="318"/>
      <c r="Z15124" s="318"/>
      <c r="AA15124" s="318"/>
      <c r="AB15124" s="318"/>
      <c r="AC15124" s="318"/>
      <c r="AD15124" s="318"/>
    </row>
    <row r="15125" spans="2:30" s="323" customFormat="1" ht="12" customHeight="1">
      <c r="B15125" s="324"/>
      <c r="C15125" s="325"/>
      <c r="D15125" s="326"/>
      <c r="E15125" s="326"/>
      <c r="F15125" s="326"/>
      <c r="G15125" s="326"/>
      <c r="H15125" s="326"/>
      <c r="P15125" s="318"/>
      <c r="Q15125" s="318"/>
      <c r="R15125" s="318"/>
      <c r="S15125" s="318"/>
      <c r="T15125" s="318"/>
      <c r="U15125" s="318"/>
      <c r="V15125" s="318"/>
      <c r="W15125" s="318"/>
      <c r="X15125" s="318"/>
      <c r="Y15125" s="318"/>
      <c r="Z15125" s="318"/>
      <c r="AA15125" s="318"/>
      <c r="AB15125" s="318"/>
      <c r="AC15125" s="318"/>
      <c r="AD15125" s="318"/>
    </row>
    <row r="15126" spans="2:30" s="323" customFormat="1" ht="12" customHeight="1">
      <c r="B15126" s="324"/>
      <c r="C15126" s="325"/>
      <c r="D15126" s="326"/>
      <c r="E15126" s="326"/>
      <c r="F15126" s="326"/>
      <c r="G15126" s="326"/>
      <c r="H15126" s="326"/>
      <c r="P15126" s="318"/>
      <c r="Q15126" s="318"/>
      <c r="R15126" s="318"/>
      <c r="S15126" s="318"/>
      <c r="T15126" s="318"/>
      <c r="U15126" s="318"/>
      <c r="V15126" s="318"/>
      <c r="W15126" s="318"/>
      <c r="X15126" s="318"/>
      <c r="Y15126" s="318"/>
      <c r="Z15126" s="318"/>
      <c r="AA15126" s="318"/>
      <c r="AB15126" s="318"/>
      <c r="AC15126" s="318"/>
      <c r="AD15126" s="318"/>
    </row>
    <row r="15127" spans="2:30" s="323" customFormat="1" ht="12" customHeight="1">
      <c r="B15127" s="324"/>
      <c r="C15127" s="325"/>
      <c r="D15127" s="326"/>
      <c r="E15127" s="326"/>
      <c r="F15127" s="326"/>
      <c r="G15127" s="326"/>
      <c r="H15127" s="326"/>
      <c r="P15127" s="318"/>
      <c r="Q15127" s="318"/>
      <c r="R15127" s="318"/>
      <c r="S15127" s="318"/>
      <c r="T15127" s="318"/>
      <c r="U15127" s="318"/>
      <c r="V15127" s="318"/>
      <c r="W15127" s="318"/>
      <c r="X15127" s="318"/>
      <c r="Y15127" s="318"/>
      <c r="Z15127" s="318"/>
      <c r="AA15127" s="318"/>
      <c r="AB15127" s="318"/>
      <c r="AC15127" s="318"/>
      <c r="AD15127" s="318"/>
    </row>
    <row r="15128" spans="2:30" s="323" customFormat="1" ht="12" customHeight="1">
      <c r="B15128" s="324"/>
      <c r="C15128" s="325"/>
      <c r="D15128" s="326"/>
      <c r="E15128" s="326"/>
      <c r="F15128" s="326"/>
      <c r="G15128" s="326"/>
      <c r="H15128" s="326"/>
      <c r="P15128" s="318"/>
      <c r="Q15128" s="318"/>
      <c r="R15128" s="318"/>
      <c r="S15128" s="318"/>
      <c r="T15128" s="318"/>
      <c r="U15128" s="318"/>
      <c r="V15128" s="318"/>
      <c r="W15128" s="318"/>
      <c r="X15128" s="318"/>
      <c r="Y15128" s="318"/>
      <c r="Z15128" s="318"/>
      <c r="AA15128" s="318"/>
      <c r="AB15128" s="318"/>
      <c r="AC15128" s="318"/>
      <c r="AD15128" s="318"/>
    </row>
    <row r="15129" spans="2:30" s="323" customFormat="1" ht="12" customHeight="1">
      <c r="B15129" s="324"/>
      <c r="C15129" s="325"/>
      <c r="D15129" s="326"/>
      <c r="E15129" s="326"/>
      <c r="F15129" s="326"/>
      <c r="G15129" s="326"/>
      <c r="H15129" s="326"/>
      <c r="P15129" s="318"/>
      <c r="Q15129" s="318"/>
      <c r="R15129" s="318"/>
      <c r="S15129" s="318"/>
      <c r="T15129" s="318"/>
      <c r="U15129" s="318"/>
      <c r="V15129" s="318"/>
      <c r="W15129" s="318"/>
      <c r="X15129" s="318"/>
      <c r="Y15129" s="318"/>
      <c r="Z15129" s="318"/>
      <c r="AA15129" s="318"/>
      <c r="AB15129" s="318"/>
      <c r="AC15129" s="318"/>
      <c r="AD15129" s="318"/>
    </row>
    <row r="15130" spans="2:30" s="323" customFormat="1" ht="12" customHeight="1">
      <c r="B15130" s="324"/>
      <c r="C15130" s="325"/>
      <c r="D15130" s="326"/>
      <c r="E15130" s="326"/>
      <c r="F15130" s="326"/>
      <c r="G15130" s="326"/>
      <c r="H15130" s="326"/>
      <c r="P15130" s="318"/>
      <c r="Q15130" s="318"/>
      <c r="R15130" s="318"/>
      <c r="S15130" s="318"/>
      <c r="T15130" s="318"/>
      <c r="U15130" s="318"/>
      <c r="V15130" s="318"/>
      <c r="W15130" s="318"/>
      <c r="X15130" s="318"/>
      <c r="Y15130" s="318"/>
      <c r="Z15130" s="318"/>
      <c r="AA15130" s="318"/>
      <c r="AB15130" s="318"/>
      <c r="AC15130" s="318"/>
      <c r="AD15130" s="318"/>
    </row>
    <row r="15131" spans="2:30" s="323" customFormat="1" ht="12" customHeight="1">
      <c r="B15131" s="324"/>
      <c r="C15131" s="325"/>
      <c r="D15131" s="326"/>
      <c r="E15131" s="326"/>
      <c r="F15131" s="326"/>
      <c r="G15131" s="326"/>
      <c r="H15131" s="326"/>
      <c r="P15131" s="318"/>
      <c r="Q15131" s="318"/>
      <c r="R15131" s="318"/>
      <c r="S15131" s="318"/>
      <c r="T15131" s="318"/>
      <c r="U15131" s="318"/>
      <c r="V15131" s="318"/>
      <c r="W15131" s="318"/>
      <c r="X15131" s="318"/>
      <c r="Y15131" s="318"/>
      <c r="Z15131" s="318"/>
      <c r="AA15131" s="318"/>
      <c r="AB15131" s="318"/>
      <c r="AC15131" s="318"/>
      <c r="AD15131" s="318"/>
    </row>
    <row r="15132" spans="2:30" s="323" customFormat="1" ht="12" customHeight="1">
      <c r="B15132" s="324"/>
      <c r="C15132" s="325"/>
      <c r="D15132" s="326"/>
      <c r="E15132" s="326"/>
      <c r="F15132" s="326"/>
      <c r="G15132" s="326"/>
      <c r="H15132" s="326"/>
      <c r="P15132" s="318"/>
      <c r="Q15132" s="318"/>
      <c r="R15132" s="318"/>
      <c r="S15132" s="318"/>
      <c r="T15132" s="318"/>
      <c r="U15132" s="318"/>
      <c r="V15132" s="318"/>
      <c r="W15132" s="318"/>
      <c r="X15132" s="318"/>
      <c r="Y15132" s="318"/>
      <c r="Z15132" s="318"/>
      <c r="AA15132" s="318"/>
      <c r="AB15132" s="318"/>
      <c r="AC15132" s="318"/>
      <c r="AD15132" s="318"/>
    </row>
    <row r="15133" spans="2:30" s="323" customFormat="1" ht="12" customHeight="1">
      <c r="B15133" s="324"/>
      <c r="C15133" s="325"/>
      <c r="D15133" s="326"/>
      <c r="E15133" s="326"/>
      <c r="F15133" s="326"/>
      <c r="G15133" s="326"/>
      <c r="H15133" s="326"/>
      <c r="P15133" s="318"/>
      <c r="Q15133" s="318"/>
      <c r="R15133" s="318"/>
      <c r="S15133" s="318"/>
      <c r="T15133" s="318"/>
      <c r="U15133" s="318"/>
      <c r="V15133" s="318"/>
      <c r="W15133" s="318"/>
      <c r="X15133" s="318"/>
      <c r="Y15133" s="318"/>
      <c r="Z15133" s="318"/>
      <c r="AA15133" s="318"/>
      <c r="AB15133" s="318"/>
      <c r="AC15133" s="318"/>
      <c r="AD15133" s="318"/>
    </row>
    <row r="15134" spans="2:30" s="323" customFormat="1" ht="12" customHeight="1">
      <c r="B15134" s="324"/>
      <c r="C15134" s="325"/>
      <c r="D15134" s="326"/>
      <c r="E15134" s="326"/>
      <c r="F15134" s="326"/>
      <c r="G15134" s="326"/>
      <c r="H15134" s="326"/>
      <c r="P15134" s="318"/>
      <c r="Q15134" s="318"/>
      <c r="R15134" s="318"/>
      <c r="S15134" s="318"/>
      <c r="T15134" s="318"/>
      <c r="U15134" s="318"/>
      <c r="V15134" s="318"/>
      <c r="W15134" s="318"/>
      <c r="X15134" s="318"/>
      <c r="Y15134" s="318"/>
      <c r="Z15134" s="318"/>
      <c r="AA15134" s="318"/>
      <c r="AB15134" s="318"/>
      <c r="AC15134" s="318"/>
      <c r="AD15134" s="318"/>
    </row>
    <row r="15135" spans="2:30" s="323" customFormat="1" ht="12" customHeight="1">
      <c r="B15135" s="324"/>
      <c r="C15135" s="325"/>
      <c r="D15135" s="326"/>
      <c r="E15135" s="326"/>
      <c r="F15135" s="326"/>
      <c r="G15135" s="326"/>
      <c r="H15135" s="326"/>
      <c r="P15135" s="318"/>
      <c r="Q15135" s="318"/>
      <c r="R15135" s="318"/>
      <c r="S15135" s="318"/>
      <c r="T15135" s="318"/>
      <c r="U15135" s="318"/>
      <c r="V15135" s="318"/>
      <c r="W15135" s="318"/>
      <c r="X15135" s="318"/>
      <c r="Y15135" s="318"/>
      <c r="Z15135" s="318"/>
      <c r="AA15135" s="318"/>
      <c r="AB15135" s="318"/>
      <c r="AC15135" s="318"/>
      <c r="AD15135" s="318"/>
    </row>
    <row r="15136" spans="2:30" s="323" customFormat="1" ht="12" customHeight="1">
      <c r="B15136" s="324"/>
      <c r="C15136" s="325"/>
      <c r="D15136" s="326"/>
      <c r="E15136" s="326"/>
      <c r="F15136" s="326"/>
      <c r="G15136" s="326"/>
      <c r="H15136" s="326"/>
      <c r="P15136" s="318"/>
      <c r="Q15136" s="318"/>
      <c r="R15136" s="318"/>
      <c r="S15136" s="318"/>
      <c r="T15136" s="318"/>
      <c r="U15136" s="318"/>
      <c r="V15136" s="318"/>
      <c r="W15136" s="318"/>
      <c r="X15136" s="318"/>
      <c r="Y15136" s="318"/>
      <c r="Z15136" s="318"/>
      <c r="AA15136" s="318"/>
      <c r="AB15136" s="318"/>
      <c r="AC15136" s="318"/>
      <c r="AD15136" s="318"/>
    </row>
    <row r="15137" spans="2:30" s="323" customFormat="1" ht="12" customHeight="1">
      <c r="B15137" s="324"/>
      <c r="C15137" s="325"/>
      <c r="D15137" s="326"/>
      <c r="E15137" s="326"/>
      <c r="F15137" s="326"/>
      <c r="G15137" s="326"/>
      <c r="H15137" s="326"/>
      <c r="P15137" s="318"/>
      <c r="Q15137" s="318"/>
      <c r="R15137" s="318"/>
      <c r="S15137" s="318"/>
      <c r="T15137" s="318"/>
      <c r="U15137" s="318"/>
      <c r="V15137" s="318"/>
      <c r="W15137" s="318"/>
      <c r="X15137" s="318"/>
      <c r="Y15137" s="318"/>
      <c r="Z15137" s="318"/>
      <c r="AA15137" s="318"/>
      <c r="AB15137" s="318"/>
      <c r="AC15137" s="318"/>
      <c r="AD15137" s="318"/>
    </row>
    <row r="15138" spans="2:30" s="323" customFormat="1" ht="12" customHeight="1">
      <c r="B15138" s="324"/>
      <c r="C15138" s="325"/>
      <c r="D15138" s="326"/>
      <c r="E15138" s="326"/>
      <c r="F15138" s="326"/>
      <c r="G15138" s="326"/>
      <c r="H15138" s="326"/>
      <c r="P15138" s="318"/>
      <c r="Q15138" s="318"/>
      <c r="R15138" s="318"/>
      <c r="S15138" s="318"/>
      <c r="T15138" s="318"/>
      <c r="U15138" s="318"/>
      <c r="V15138" s="318"/>
      <c r="W15138" s="318"/>
      <c r="X15138" s="318"/>
      <c r="Y15138" s="318"/>
      <c r="Z15138" s="318"/>
      <c r="AA15138" s="318"/>
      <c r="AB15138" s="318"/>
      <c r="AC15138" s="318"/>
      <c r="AD15138" s="318"/>
    </row>
    <row r="15139" spans="2:30" s="323" customFormat="1" ht="12" customHeight="1">
      <c r="B15139" s="324"/>
      <c r="C15139" s="325"/>
      <c r="D15139" s="326"/>
      <c r="E15139" s="326"/>
      <c r="F15139" s="326"/>
      <c r="G15139" s="326"/>
      <c r="H15139" s="326"/>
      <c r="P15139" s="318"/>
      <c r="Q15139" s="318"/>
      <c r="R15139" s="318"/>
      <c r="S15139" s="318"/>
      <c r="T15139" s="318"/>
      <c r="U15139" s="318"/>
      <c r="V15139" s="318"/>
      <c r="W15139" s="318"/>
      <c r="X15139" s="318"/>
      <c r="Y15139" s="318"/>
      <c r="Z15139" s="318"/>
      <c r="AA15139" s="318"/>
      <c r="AB15139" s="318"/>
      <c r="AC15139" s="318"/>
      <c r="AD15139" s="318"/>
    </row>
    <row r="15140" spans="2:30" s="323" customFormat="1" ht="12" customHeight="1">
      <c r="B15140" s="324"/>
      <c r="C15140" s="325"/>
      <c r="D15140" s="326"/>
      <c r="E15140" s="326"/>
      <c r="F15140" s="326"/>
      <c r="G15140" s="326"/>
      <c r="H15140" s="326"/>
      <c r="P15140" s="318"/>
      <c r="Q15140" s="318"/>
      <c r="R15140" s="318"/>
      <c r="S15140" s="318"/>
      <c r="T15140" s="318"/>
      <c r="U15140" s="318"/>
      <c r="V15140" s="318"/>
      <c r="W15140" s="318"/>
      <c r="X15140" s="318"/>
      <c r="Y15140" s="318"/>
      <c r="Z15140" s="318"/>
      <c r="AA15140" s="318"/>
      <c r="AB15140" s="318"/>
      <c r="AC15140" s="318"/>
      <c r="AD15140" s="318"/>
    </row>
    <row r="15141" spans="2:30" s="323" customFormat="1" ht="12" customHeight="1">
      <c r="B15141" s="324"/>
      <c r="C15141" s="325"/>
      <c r="D15141" s="326"/>
      <c r="E15141" s="326"/>
      <c r="F15141" s="326"/>
      <c r="G15141" s="326"/>
      <c r="H15141" s="326"/>
      <c r="P15141" s="318"/>
      <c r="Q15141" s="318"/>
      <c r="R15141" s="318"/>
      <c r="S15141" s="318"/>
      <c r="T15141" s="318"/>
      <c r="U15141" s="318"/>
      <c r="V15141" s="318"/>
      <c r="W15141" s="318"/>
      <c r="X15141" s="318"/>
      <c r="Y15141" s="318"/>
      <c r="Z15141" s="318"/>
      <c r="AA15141" s="318"/>
      <c r="AB15141" s="318"/>
      <c r="AC15141" s="318"/>
      <c r="AD15141" s="318"/>
    </row>
    <row r="15142" spans="2:30" s="323" customFormat="1" ht="12" customHeight="1">
      <c r="B15142" s="324"/>
      <c r="C15142" s="325"/>
      <c r="D15142" s="326"/>
      <c r="E15142" s="326"/>
      <c r="F15142" s="326"/>
      <c r="G15142" s="326"/>
      <c r="H15142" s="326"/>
      <c r="P15142" s="318"/>
      <c r="Q15142" s="318"/>
      <c r="R15142" s="318"/>
      <c r="S15142" s="318"/>
      <c r="T15142" s="318"/>
      <c r="U15142" s="318"/>
      <c r="V15142" s="318"/>
      <c r="W15142" s="318"/>
      <c r="X15142" s="318"/>
      <c r="Y15142" s="318"/>
      <c r="Z15142" s="318"/>
      <c r="AA15142" s="318"/>
      <c r="AB15142" s="318"/>
      <c r="AC15142" s="318"/>
      <c r="AD15142" s="318"/>
    </row>
    <row r="15143" spans="2:30" s="323" customFormat="1" ht="12" customHeight="1">
      <c r="B15143" s="324"/>
      <c r="C15143" s="325"/>
      <c r="D15143" s="326"/>
      <c r="E15143" s="326"/>
      <c r="F15143" s="326"/>
      <c r="G15143" s="326"/>
      <c r="H15143" s="326"/>
      <c r="P15143" s="318"/>
      <c r="Q15143" s="318"/>
      <c r="R15143" s="318"/>
      <c r="S15143" s="318"/>
      <c r="T15143" s="318"/>
      <c r="U15143" s="318"/>
      <c r="V15143" s="318"/>
      <c r="W15143" s="318"/>
      <c r="X15143" s="318"/>
      <c r="Y15143" s="318"/>
      <c r="Z15143" s="318"/>
      <c r="AA15143" s="318"/>
      <c r="AB15143" s="318"/>
      <c r="AC15143" s="318"/>
      <c r="AD15143" s="318"/>
    </row>
    <row r="15144" spans="2:30" s="323" customFormat="1" ht="12" customHeight="1">
      <c r="B15144" s="324"/>
      <c r="C15144" s="325"/>
      <c r="D15144" s="326"/>
      <c r="E15144" s="326"/>
      <c r="F15144" s="326"/>
      <c r="G15144" s="326"/>
      <c r="H15144" s="326"/>
      <c r="P15144" s="318"/>
      <c r="Q15144" s="318"/>
      <c r="R15144" s="318"/>
      <c r="S15144" s="318"/>
      <c r="T15144" s="318"/>
      <c r="U15144" s="318"/>
      <c r="V15144" s="318"/>
      <c r="W15144" s="318"/>
      <c r="X15144" s="318"/>
      <c r="Y15144" s="318"/>
      <c r="Z15144" s="318"/>
      <c r="AA15144" s="318"/>
      <c r="AB15144" s="318"/>
      <c r="AC15144" s="318"/>
      <c r="AD15144" s="318"/>
    </row>
    <row r="15145" spans="2:30" s="323" customFormat="1" ht="12" customHeight="1">
      <c r="B15145" s="324"/>
      <c r="C15145" s="325"/>
      <c r="D15145" s="326"/>
      <c r="E15145" s="326"/>
      <c r="F15145" s="326"/>
      <c r="G15145" s="326"/>
      <c r="H15145" s="326"/>
      <c r="P15145" s="318"/>
      <c r="Q15145" s="318"/>
      <c r="R15145" s="318"/>
      <c r="S15145" s="318"/>
      <c r="T15145" s="318"/>
      <c r="U15145" s="318"/>
      <c r="V15145" s="318"/>
      <c r="W15145" s="318"/>
      <c r="X15145" s="318"/>
      <c r="Y15145" s="318"/>
      <c r="Z15145" s="318"/>
      <c r="AA15145" s="318"/>
      <c r="AB15145" s="318"/>
      <c r="AC15145" s="318"/>
      <c r="AD15145" s="318"/>
    </row>
    <row r="15146" spans="2:30" s="323" customFormat="1" ht="12" customHeight="1">
      <c r="B15146" s="324"/>
      <c r="C15146" s="325"/>
      <c r="D15146" s="326"/>
      <c r="E15146" s="326"/>
      <c r="F15146" s="326"/>
      <c r="G15146" s="326"/>
      <c r="H15146" s="326"/>
      <c r="P15146" s="318"/>
      <c r="Q15146" s="318"/>
      <c r="R15146" s="318"/>
      <c r="S15146" s="318"/>
      <c r="T15146" s="318"/>
      <c r="U15146" s="318"/>
      <c r="V15146" s="318"/>
      <c r="W15146" s="318"/>
      <c r="X15146" s="318"/>
      <c r="Y15146" s="318"/>
      <c r="Z15146" s="318"/>
      <c r="AA15146" s="318"/>
      <c r="AB15146" s="318"/>
      <c r="AC15146" s="318"/>
      <c r="AD15146" s="318"/>
    </row>
    <row r="15147" spans="2:30" s="323" customFormat="1" ht="12" customHeight="1">
      <c r="B15147" s="324"/>
      <c r="C15147" s="325"/>
      <c r="D15147" s="326"/>
      <c r="E15147" s="326"/>
      <c r="F15147" s="326"/>
      <c r="G15147" s="326"/>
      <c r="H15147" s="326"/>
      <c r="P15147" s="318"/>
      <c r="Q15147" s="318"/>
      <c r="R15147" s="318"/>
      <c r="S15147" s="318"/>
      <c r="T15147" s="318"/>
      <c r="U15147" s="318"/>
      <c r="V15147" s="318"/>
      <c r="W15147" s="318"/>
      <c r="X15147" s="318"/>
      <c r="Y15147" s="318"/>
      <c r="Z15147" s="318"/>
      <c r="AA15147" s="318"/>
      <c r="AB15147" s="318"/>
      <c r="AC15147" s="318"/>
      <c r="AD15147" s="318"/>
    </row>
    <row r="15148" spans="2:30" s="323" customFormat="1" ht="12" customHeight="1">
      <c r="B15148" s="324"/>
      <c r="C15148" s="325"/>
      <c r="D15148" s="326"/>
      <c r="E15148" s="326"/>
      <c r="F15148" s="326"/>
      <c r="G15148" s="326"/>
      <c r="H15148" s="326"/>
      <c r="P15148" s="318"/>
      <c r="Q15148" s="318"/>
      <c r="R15148" s="318"/>
      <c r="S15148" s="318"/>
      <c r="T15148" s="318"/>
      <c r="U15148" s="318"/>
      <c r="V15148" s="318"/>
      <c r="W15148" s="318"/>
      <c r="X15148" s="318"/>
      <c r="Y15148" s="318"/>
      <c r="Z15148" s="318"/>
      <c r="AA15148" s="318"/>
      <c r="AB15148" s="318"/>
      <c r="AC15148" s="318"/>
      <c r="AD15148" s="318"/>
    </row>
    <row r="15149" spans="2:30" s="323" customFormat="1" ht="12" customHeight="1">
      <c r="B15149" s="324"/>
      <c r="C15149" s="325"/>
      <c r="D15149" s="326"/>
      <c r="E15149" s="326"/>
      <c r="F15149" s="326"/>
      <c r="G15149" s="326"/>
      <c r="H15149" s="326"/>
      <c r="P15149" s="318"/>
      <c r="Q15149" s="318"/>
      <c r="R15149" s="318"/>
      <c r="S15149" s="318"/>
      <c r="T15149" s="318"/>
      <c r="U15149" s="318"/>
      <c r="V15149" s="318"/>
      <c r="W15149" s="318"/>
      <c r="X15149" s="318"/>
      <c r="Y15149" s="318"/>
      <c r="Z15149" s="318"/>
      <c r="AA15149" s="318"/>
      <c r="AB15149" s="318"/>
      <c r="AC15149" s="318"/>
      <c r="AD15149" s="318"/>
    </row>
    <row r="15150" spans="2:30" s="323" customFormat="1" ht="12" customHeight="1">
      <c r="B15150" s="324"/>
      <c r="C15150" s="325"/>
      <c r="D15150" s="326"/>
      <c r="E15150" s="326"/>
      <c r="F15150" s="326"/>
      <c r="G15150" s="326"/>
      <c r="H15150" s="326"/>
      <c r="P15150" s="318"/>
      <c r="Q15150" s="318"/>
      <c r="R15150" s="318"/>
      <c r="S15150" s="318"/>
      <c r="T15150" s="318"/>
      <c r="U15150" s="318"/>
      <c r="V15150" s="318"/>
      <c r="W15150" s="318"/>
      <c r="X15150" s="318"/>
      <c r="Y15150" s="318"/>
      <c r="Z15150" s="318"/>
      <c r="AA15150" s="318"/>
      <c r="AB15150" s="318"/>
      <c r="AC15150" s="318"/>
      <c r="AD15150" s="318"/>
    </row>
    <row r="15151" spans="2:30" s="323" customFormat="1" ht="12" customHeight="1">
      <c r="B15151" s="324"/>
      <c r="C15151" s="325"/>
      <c r="D15151" s="326"/>
      <c r="E15151" s="326"/>
      <c r="F15151" s="326"/>
      <c r="G15151" s="326"/>
      <c r="H15151" s="326"/>
      <c r="P15151" s="318"/>
      <c r="Q15151" s="318"/>
      <c r="R15151" s="318"/>
      <c r="S15151" s="318"/>
      <c r="T15151" s="318"/>
      <c r="U15151" s="318"/>
      <c r="V15151" s="318"/>
      <c r="W15151" s="318"/>
      <c r="X15151" s="318"/>
      <c r="Y15151" s="318"/>
      <c r="Z15151" s="318"/>
      <c r="AA15151" s="318"/>
      <c r="AB15151" s="318"/>
      <c r="AC15151" s="318"/>
      <c r="AD15151" s="318"/>
    </row>
    <row r="15152" spans="2:30" s="323" customFormat="1" ht="12" customHeight="1">
      <c r="B15152" s="324"/>
      <c r="C15152" s="325"/>
      <c r="D15152" s="326"/>
      <c r="E15152" s="326"/>
      <c r="F15152" s="326"/>
      <c r="G15152" s="326"/>
      <c r="H15152" s="326"/>
      <c r="P15152" s="318"/>
      <c r="Q15152" s="318"/>
      <c r="R15152" s="318"/>
      <c r="S15152" s="318"/>
      <c r="T15152" s="318"/>
      <c r="U15152" s="318"/>
      <c r="V15152" s="318"/>
      <c r="W15152" s="318"/>
      <c r="X15152" s="318"/>
      <c r="Y15152" s="318"/>
      <c r="Z15152" s="318"/>
      <c r="AA15152" s="318"/>
      <c r="AB15152" s="318"/>
      <c r="AC15152" s="318"/>
      <c r="AD15152" s="318"/>
    </row>
    <row r="15153" spans="2:30" s="323" customFormat="1" ht="12" customHeight="1">
      <c r="B15153" s="324"/>
      <c r="C15153" s="325"/>
      <c r="D15153" s="326"/>
      <c r="E15153" s="326"/>
      <c r="F15153" s="326"/>
      <c r="G15153" s="326"/>
      <c r="H15153" s="326"/>
      <c r="P15153" s="318"/>
      <c r="Q15153" s="318"/>
      <c r="R15153" s="318"/>
      <c r="S15153" s="318"/>
      <c r="T15153" s="318"/>
      <c r="U15153" s="318"/>
      <c r="V15153" s="318"/>
      <c r="W15153" s="318"/>
      <c r="X15153" s="318"/>
      <c r="Y15153" s="318"/>
      <c r="Z15153" s="318"/>
      <c r="AA15153" s="318"/>
      <c r="AB15153" s="318"/>
      <c r="AC15153" s="318"/>
      <c r="AD15153" s="318"/>
    </row>
    <row r="15154" spans="2:30" s="323" customFormat="1" ht="12" customHeight="1">
      <c r="B15154" s="324"/>
      <c r="C15154" s="325"/>
      <c r="D15154" s="326"/>
      <c r="E15154" s="326"/>
      <c r="F15154" s="326"/>
      <c r="G15154" s="326"/>
      <c r="H15154" s="326"/>
      <c r="P15154" s="318"/>
      <c r="Q15154" s="318"/>
      <c r="R15154" s="318"/>
      <c r="S15154" s="318"/>
      <c r="T15154" s="318"/>
      <c r="U15154" s="318"/>
      <c r="V15154" s="318"/>
      <c r="W15154" s="318"/>
      <c r="X15154" s="318"/>
      <c r="Y15154" s="318"/>
      <c r="Z15154" s="318"/>
      <c r="AA15154" s="318"/>
      <c r="AB15154" s="318"/>
      <c r="AC15154" s="318"/>
      <c r="AD15154" s="318"/>
    </row>
    <row r="15155" spans="2:30" s="323" customFormat="1" ht="12" customHeight="1">
      <c r="B15155" s="324"/>
      <c r="C15155" s="325"/>
      <c r="D15155" s="326"/>
      <c r="E15155" s="326"/>
      <c r="F15155" s="326"/>
      <c r="G15155" s="326"/>
      <c r="H15155" s="326"/>
      <c r="P15155" s="318"/>
      <c r="Q15155" s="318"/>
      <c r="R15155" s="318"/>
      <c r="S15155" s="318"/>
      <c r="T15155" s="318"/>
      <c r="U15155" s="318"/>
      <c r="V15155" s="318"/>
      <c r="W15155" s="318"/>
      <c r="X15155" s="318"/>
      <c r="Y15155" s="318"/>
      <c r="Z15155" s="318"/>
      <c r="AA15155" s="318"/>
      <c r="AB15155" s="318"/>
      <c r="AC15155" s="318"/>
      <c r="AD15155" s="318"/>
    </row>
    <row r="15156" spans="2:30" s="323" customFormat="1" ht="12" customHeight="1">
      <c r="B15156" s="324"/>
      <c r="C15156" s="325"/>
      <c r="D15156" s="326"/>
      <c r="E15156" s="326"/>
      <c r="F15156" s="326"/>
      <c r="G15156" s="326"/>
      <c r="H15156" s="326"/>
      <c r="P15156" s="318"/>
      <c r="Q15156" s="318"/>
      <c r="R15156" s="318"/>
      <c r="S15156" s="318"/>
      <c r="T15156" s="318"/>
      <c r="U15156" s="318"/>
      <c r="V15156" s="318"/>
      <c r="W15156" s="318"/>
      <c r="X15156" s="318"/>
      <c r="Y15156" s="318"/>
      <c r="Z15156" s="318"/>
      <c r="AA15156" s="318"/>
      <c r="AB15156" s="318"/>
      <c r="AC15156" s="318"/>
      <c r="AD15156" s="318"/>
    </row>
    <row r="15157" spans="2:30" s="323" customFormat="1" ht="12" customHeight="1">
      <c r="B15157" s="324"/>
      <c r="C15157" s="325"/>
      <c r="D15157" s="326"/>
      <c r="E15157" s="326"/>
      <c r="F15157" s="326"/>
      <c r="G15157" s="326"/>
      <c r="H15157" s="326"/>
      <c r="P15157" s="318"/>
      <c r="Q15157" s="318"/>
      <c r="R15157" s="318"/>
      <c r="S15157" s="318"/>
      <c r="T15157" s="318"/>
      <c r="U15157" s="318"/>
      <c r="V15157" s="318"/>
      <c r="W15157" s="318"/>
      <c r="X15157" s="318"/>
      <c r="Y15157" s="318"/>
      <c r="Z15157" s="318"/>
      <c r="AA15157" s="318"/>
      <c r="AB15157" s="318"/>
      <c r="AC15157" s="318"/>
      <c r="AD15157" s="318"/>
    </row>
    <row r="15158" spans="2:30" s="323" customFormat="1" ht="12" customHeight="1">
      <c r="B15158" s="324"/>
      <c r="C15158" s="325"/>
      <c r="D15158" s="326"/>
      <c r="E15158" s="326"/>
      <c r="F15158" s="326"/>
      <c r="G15158" s="326"/>
      <c r="H15158" s="326"/>
      <c r="P15158" s="318"/>
      <c r="Q15158" s="318"/>
      <c r="R15158" s="318"/>
      <c r="S15158" s="318"/>
      <c r="T15158" s="318"/>
      <c r="U15158" s="318"/>
      <c r="V15158" s="318"/>
      <c r="W15158" s="318"/>
      <c r="X15158" s="318"/>
      <c r="Y15158" s="318"/>
      <c r="Z15158" s="318"/>
      <c r="AA15158" s="318"/>
      <c r="AB15158" s="318"/>
      <c r="AC15158" s="318"/>
      <c r="AD15158" s="318"/>
    </row>
    <row r="15159" spans="2:30" s="323" customFormat="1" ht="12" customHeight="1">
      <c r="B15159" s="324"/>
      <c r="C15159" s="325"/>
      <c r="D15159" s="326"/>
      <c r="E15159" s="326"/>
      <c r="F15159" s="326"/>
      <c r="G15159" s="326"/>
      <c r="H15159" s="326"/>
      <c r="P15159" s="318"/>
      <c r="Q15159" s="318"/>
      <c r="R15159" s="318"/>
      <c r="S15159" s="318"/>
      <c r="T15159" s="318"/>
      <c r="U15159" s="318"/>
      <c r="V15159" s="318"/>
      <c r="W15159" s="318"/>
      <c r="X15159" s="318"/>
      <c r="Y15159" s="318"/>
      <c r="Z15159" s="318"/>
      <c r="AA15159" s="318"/>
      <c r="AB15159" s="318"/>
      <c r="AC15159" s="318"/>
      <c r="AD15159" s="318"/>
    </row>
    <row r="15160" spans="2:30" s="323" customFormat="1" ht="12" customHeight="1">
      <c r="B15160" s="324"/>
      <c r="C15160" s="325"/>
      <c r="D15160" s="326"/>
      <c r="E15160" s="326"/>
      <c r="F15160" s="326"/>
      <c r="G15160" s="326"/>
      <c r="H15160" s="326"/>
      <c r="P15160" s="318"/>
      <c r="Q15160" s="318"/>
      <c r="R15160" s="318"/>
      <c r="S15160" s="318"/>
      <c r="T15160" s="318"/>
      <c r="U15160" s="318"/>
      <c r="V15160" s="318"/>
      <c r="W15160" s="318"/>
      <c r="X15160" s="318"/>
      <c r="Y15160" s="318"/>
      <c r="Z15160" s="318"/>
      <c r="AA15160" s="318"/>
      <c r="AB15160" s="318"/>
      <c r="AC15160" s="318"/>
      <c r="AD15160" s="318"/>
    </row>
    <row r="15161" spans="2:30" s="323" customFormat="1" ht="12" customHeight="1">
      <c r="B15161" s="324"/>
      <c r="C15161" s="325"/>
      <c r="D15161" s="326"/>
      <c r="E15161" s="326"/>
      <c r="F15161" s="326"/>
      <c r="G15161" s="326"/>
      <c r="H15161" s="326"/>
      <c r="P15161" s="318"/>
      <c r="Q15161" s="318"/>
      <c r="R15161" s="318"/>
      <c r="S15161" s="318"/>
      <c r="T15161" s="318"/>
      <c r="U15161" s="318"/>
      <c r="V15161" s="318"/>
      <c r="W15161" s="318"/>
      <c r="X15161" s="318"/>
      <c r="Y15161" s="318"/>
      <c r="Z15161" s="318"/>
      <c r="AA15161" s="318"/>
      <c r="AB15161" s="318"/>
      <c r="AC15161" s="318"/>
      <c r="AD15161" s="318"/>
    </row>
    <row r="15162" spans="2:30" s="323" customFormat="1" ht="12" customHeight="1">
      <c r="B15162" s="324"/>
      <c r="C15162" s="325"/>
      <c r="D15162" s="326"/>
      <c r="E15162" s="326"/>
      <c r="F15162" s="326"/>
      <c r="G15162" s="326"/>
      <c r="H15162" s="326"/>
      <c r="P15162" s="318"/>
      <c r="Q15162" s="318"/>
      <c r="R15162" s="318"/>
      <c r="S15162" s="318"/>
      <c r="T15162" s="318"/>
      <c r="U15162" s="318"/>
      <c r="V15162" s="318"/>
      <c r="W15162" s="318"/>
      <c r="X15162" s="318"/>
      <c r="Y15162" s="318"/>
      <c r="Z15162" s="318"/>
      <c r="AA15162" s="318"/>
      <c r="AB15162" s="318"/>
      <c r="AC15162" s="318"/>
      <c r="AD15162" s="318"/>
    </row>
    <row r="15163" spans="2:30" s="323" customFormat="1" ht="12" customHeight="1">
      <c r="B15163" s="324"/>
      <c r="C15163" s="325"/>
      <c r="D15163" s="326"/>
      <c r="E15163" s="326"/>
      <c r="F15163" s="326"/>
      <c r="G15163" s="326"/>
      <c r="H15163" s="326"/>
      <c r="P15163" s="318"/>
      <c r="Q15163" s="318"/>
      <c r="R15163" s="318"/>
      <c r="S15163" s="318"/>
      <c r="T15163" s="318"/>
      <c r="U15163" s="318"/>
      <c r="V15163" s="318"/>
      <c r="W15163" s="318"/>
      <c r="X15163" s="318"/>
      <c r="Y15163" s="318"/>
      <c r="Z15163" s="318"/>
      <c r="AA15163" s="318"/>
      <c r="AB15163" s="318"/>
      <c r="AC15163" s="318"/>
      <c r="AD15163" s="318"/>
    </row>
    <row r="15164" spans="2:30" s="323" customFormat="1" ht="12" customHeight="1">
      <c r="B15164" s="324"/>
      <c r="C15164" s="325"/>
      <c r="D15164" s="326"/>
      <c r="E15164" s="326"/>
      <c r="F15164" s="326"/>
      <c r="G15164" s="326"/>
      <c r="H15164" s="326"/>
      <c r="P15164" s="318"/>
      <c r="Q15164" s="318"/>
      <c r="R15164" s="318"/>
      <c r="S15164" s="318"/>
      <c r="T15164" s="318"/>
      <c r="U15164" s="318"/>
      <c r="V15164" s="318"/>
      <c r="W15164" s="318"/>
      <c r="X15164" s="318"/>
      <c r="Y15164" s="318"/>
      <c r="Z15164" s="318"/>
      <c r="AA15164" s="318"/>
      <c r="AB15164" s="318"/>
      <c r="AC15164" s="318"/>
      <c r="AD15164" s="318"/>
    </row>
    <row r="15165" spans="2:30" s="323" customFormat="1" ht="12" customHeight="1">
      <c r="B15165" s="324"/>
      <c r="C15165" s="325"/>
      <c r="D15165" s="326"/>
      <c r="E15165" s="326"/>
      <c r="F15165" s="326"/>
      <c r="G15165" s="326"/>
      <c r="H15165" s="326"/>
      <c r="P15165" s="318"/>
      <c r="Q15165" s="318"/>
      <c r="R15165" s="318"/>
      <c r="S15165" s="318"/>
      <c r="T15165" s="318"/>
      <c r="U15165" s="318"/>
      <c r="V15165" s="318"/>
      <c r="W15165" s="318"/>
      <c r="X15165" s="318"/>
      <c r="Y15165" s="318"/>
      <c r="Z15165" s="318"/>
      <c r="AA15165" s="318"/>
      <c r="AB15165" s="318"/>
      <c r="AC15165" s="318"/>
      <c r="AD15165" s="318"/>
    </row>
    <row r="15166" spans="2:30" s="323" customFormat="1" ht="12" customHeight="1">
      <c r="B15166" s="324"/>
      <c r="C15166" s="325"/>
      <c r="D15166" s="326"/>
      <c r="E15166" s="326"/>
      <c r="F15166" s="326"/>
      <c r="G15166" s="326"/>
      <c r="H15166" s="326"/>
      <c r="P15166" s="318"/>
      <c r="Q15166" s="318"/>
      <c r="R15166" s="318"/>
      <c r="S15166" s="318"/>
      <c r="T15166" s="318"/>
      <c r="U15166" s="318"/>
      <c r="V15166" s="318"/>
      <c r="W15166" s="318"/>
      <c r="X15166" s="318"/>
      <c r="Y15166" s="318"/>
      <c r="Z15166" s="318"/>
      <c r="AA15166" s="318"/>
      <c r="AB15166" s="318"/>
      <c r="AC15166" s="318"/>
      <c r="AD15166" s="318"/>
    </row>
    <row r="15167" spans="2:30" s="323" customFormat="1" ht="12" customHeight="1">
      <c r="B15167" s="324"/>
      <c r="C15167" s="325"/>
      <c r="D15167" s="326"/>
      <c r="E15167" s="326"/>
      <c r="F15167" s="326"/>
      <c r="G15167" s="326"/>
      <c r="H15167" s="326"/>
      <c r="P15167" s="318"/>
      <c r="Q15167" s="318"/>
      <c r="R15167" s="318"/>
      <c r="S15167" s="318"/>
      <c r="T15167" s="318"/>
      <c r="U15167" s="318"/>
      <c r="V15167" s="318"/>
      <c r="W15167" s="318"/>
      <c r="X15167" s="318"/>
      <c r="Y15167" s="318"/>
      <c r="Z15167" s="318"/>
      <c r="AA15167" s="318"/>
      <c r="AB15167" s="318"/>
      <c r="AC15167" s="318"/>
      <c r="AD15167" s="318"/>
    </row>
    <row r="15168" spans="2:30" s="323" customFormat="1" ht="12" customHeight="1">
      <c r="B15168" s="324"/>
      <c r="C15168" s="325"/>
      <c r="D15168" s="326"/>
      <c r="E15168" s="326"/>
      <c r="F15168" s="326"/>
      <c r="G15168" s="326"/>
      <c r="H15168" s="326"/>
      <c r="P15168" s="318"/>
      <c r="Q15168" s="318"/>
      <c r="R15168" s="318"/>
      <c r="S15168" s="318"/>
      <c r="T15168" s="318"/>
      <c r="U15168" s="318"/>
      <c r="V15168" s="318"/>
      <c r="W15168" s="318"/>
      <c r="X15168" s="318"/>
      <c r="Y15168" s="318"/>
      <c r="Z15168" s="318"/>
      <c r="AA15168" s="318"/>
      <c r="AB15168" s="318"/>
      <c r="AC15168" s="318"/>
      <c r="AD15168" s="318"/>
    </row>
    <row r="15169" spans="2:30" s="323" customFormat="1" ht="12" customHeight="1">
      <c r="B15169" s="324"/>
      <c r="C15169" s="325"/>
      <c r="D15169" s="326"/>
      <c r="E15169" s="326"/>
      <c r="F15169" s="326"/>
      <c r="G15169" s="326"/>
      <c r="H15169" s="326"/>
      <c r="P15169" s="318"/>
      <c r="Q15169" s="318"/>
      <c r="R15169" s="318"/>
      <c r="S15169" s="318"/>
      <c r="T15169" s="318"/>
      <c r="U15169" s="318"/>
      <c r="V15169" s="318"/>
      <c r="W15169" s="318"/>
      <c r="X15169" s="318"/>
      <c r="Y15169" s="318"/>
      <c r="Z15169" s="318"/>
      <c r="AA15169" s="318"/>
      <c r="AB15169" s="318"/>
      <c r="AC15169" s="318"/>
      <c r="AD15169" s="318"/>
    </row>
    <row r="15170" spans="2:30" s="323" customFormat="1" ht="12" customHeight="1">
      <c r="B15170" s="324"/>
      <c r="C15170" s="325"/>
      <c r="D15170" s="326"/>
      <c r="E15170" s="326"/>
      <c r="F15170" s="326"/>
      <c r="G15170" s="326"/>
      <c r="H15170" s="326"/>
      <c r="P15170" s="318"/>
      <c r="Q15170" s="318"/>
      <c r="R15170" s="318"/>
      <c r="S15170" s="318"/>
      <c r="T15170" s="318"/>
      <c r="U15170" s="318"/>
      <c r="V15170" s="318"/>
      <c r="W15170" s="318"/>
      <c r="X15170" s="318"/>
      <c r="Y15170" s="318"/>
      <c r="Z15170" s="318"/>
      <c r="AA15170" s="318"/>
      <c r="AB15170" s="318"/>
      <c r="AC15170" s="318"/>
      <c r="AD15170" s="318"/>
    </row>
    <row r="15171" spans="2:30" s="323" customFormat="1" ht="12" customHeight="1">
      <c r="B15171" s="324"/>
      <c r="C15171" s="325"/>
      <c r="D15171" s="326"/>
      <c r="E15171" s="326"/>
      <c r="F15171" s="326"/>
      <c r="G15171" s="326"/>
      <c r="H15171" s="326"/>
      <c r="P15171" s="318"/>
      <c r="Q15171" s="318"/>
      <c r="R15171" s="318"/>
      <c r="S15171" s="318"/>
      <c r="T15171" s="318"/>
      <c r="U15171" s="318"/>
      <c r="V15171" s="318"/>
      <c r="W15171" s="318"/>
      <c r="X15171" s="318"/>
      <c r="Y15171" s="318"/>
      <c r="Z15171" s="318"/>
      <c r="AA15171" s="318"/>
      <c r="AB15171" s="318"/>
      <c r="AC15171" s="318"/>
      <c r="AD15171" s="318"/>
    </row>
    <row r="15172" spans="2:30" s="323" customFormat="1" ht="12" customHeight="1">
      <c r="B15172" s="324"/>
      <c r="C15172" s="325"/>
      <c r="D15172" s="326"/>
      <c r="E15172" s="326"/>
      <c r="F15172" s="326"/>
      <c r="G15172" s="326"/>
      <c r="H15172" s="326"/>
      <c r="P15172" s="318"/>
      <c r="Q15172" s="318"/>
      <c r="R15172" s="318"/>
      <c r="S15172" s="318"/>
      <c r="T15172" s="318"/>
      <c r="U15172" s="318"/>
      <c r="V15172" s="318"/>
      <c r="W15172" s="318"/>
      <c r="X15172" s="318"/>
      <c r="Y15172" s="318"/>
      <c r="Z15172" s="318"/>
      <c r="AA15172" s="318"/>
      <c r="AB15172" s="318"/>
      <c r="AC15172" s="318"/>
      <c r="AD15172" s="318"/>
    </row>
    <row r="15173" spans="2:30" s="323" customFormat="1" ht="12" customHeight="1">
      <c r="B15173" s="324"/>
      <c r="C15173" s="325"/>
      <c r="D15173" s="326"/>
      <c r="E15173" s="326"/>
      <c r="F15173" s="326"/>
      <c r="G15173" s="326"/>
      <c r="H15173" s="326"/>
      <c r="P15173" s="318"/>
      <c r="Q15173" s="318"/>
      <c r="R15173" s="318"/>
      <c r="S15173" s="318"/>
      <c r="T15173" s="318"/>
      <c r="U15173" s="318"/>
      <c r="V15173" s="318"/>
      <c r="W15173" s="318"/>
      <c r="X15173" s="318"/>
      <c r="Y15173" s="318"/>
      <c r="Z15173" s="318"/>
      <c r="AA15173" s="318"/>
      <c r="AB15173" s="318"/>
      <c r="AC15173" s="318"/>
      <c r="AD15173" s="318"/>
    </row>
    <row r="15174" spans="2:30" s="323" customFormat="1" ht="12" customHeight="1">
      <c r="B15174" s="324"/>
      <c r="C15174" s="325"/>
      <c r="D15174" s="326"/>
      <c r="E15174" s="326"/>
      <c r="F15174" s="326"/>
      <c r="G15174" s="326"/>
      <c r="H15174" s="326"/>
      <c r="P15174" s="318"/>
      <c r="Q15174" s="318"/>
      <c r="R15174" s="318"/>
      <c r="S15174" s="318"/>
      <c r="T15174" s="318"/>
      <c r="U15174" s="318"/>
      <c r="V15174" s="318"/>
      <c r="W15174" s="318"/>
      <c r="X15174" s="318"/>
      <c r="Y15174" s="318"/>
      <c r="Z15174" s="318"/>
      <c r="AA15174" s="318"/>
      <c r="AB15174" s="318"/>
      <c r="AC15174" s="318"/>
      <c r="AD15174" s="318"/>
    </row>
    <row r="15175" spans="2:30" s="323" customFormat="1" ht="12" customHeight="1">
      <c r="B15175" s="324"/>
      <c r="C15175" s="325"/>
      <c r="D15175" s="326"/>
      <c r="E15175" s="326"/>
      <c r="F15175" s="326"/>
      <c r="G15175" s="326"/>
      <c r="H15175" s="326"/>
      <c r="P15175" s="318"/>
      <c r="Q15175" s="318"/>
      <c r="R15175" s="318"/>
      <c r="S15175" s="318"/>
      <c r="T15175" s="318"/>
      <c r="U15175" s="318"/>
      <c r="V15175" s="318"/>
      <c r="W15175" s="318"/>
      <c r="X15175" s="318"/>
      <c r="Y15175" s="318"/>
      <c r="Z15175" s="318"/>
      <c r="AA15175" s="318"/>
      <c r="AB15175" s="318"/>
      <c r="AC15175" s="318"/>
      <c r="AD15175" s="318"/>
    </row>
    <row r="15176" spans="2:30" s="323" customFormat="1" ht="12" customHeight="1">
      <c r="B15176" s="324"/>
      <c r="C15176" s="325"/>
      <c r="D15176" s="326"/>
      <c r="E15176" s="326"/>
      <c r="F15176" s="326"/>
      <c r="G15176" s="326"/>
      <c r="H15176" s="326"/>
      <c r="P15176" s="318"/>
      <c r="Q15176" s="318"/>
      <c r="R15176" s="318"/>
      <c r="S15176" s="318"/>
      <c r="T15176" s="318"/>
      <c r="U15176" s="318"/>
      <c r="V15176" s="318"/>
      <c r="W15176" s="318"/>
      <c r="X15176" s="318"/>
      <c r="Y15176" s="318"/>
      <c r="Z15176" s="318"/>
      <c r="AA15176" s="318"/>
      <c r="AB15176" s="318"/>
      <c r="AC15176" s="318"/>
      <c r="AD15176" s="318"/>
    </row>
    <row r="15177" spans="2:30" s="323" customFormat="1" ht="12" customHeight="1">
      <c r="B15177" s="324"/>
      <c r="C15177" s="325"/>
      <c r="D15177" s="326"/>
      <c r="E15177" s="326"/>
      <c r="F15177" s="326"/>
      <c r="G15177" s="326"/>
      <c r="H15177" s="326"/>
      <c r="P15177" s="318"/>
      <c r="Q15177" s="318"/>
      <c r="R15177" s="318"/>
      <c r="S15177" s="318"/>
      <c r="T15177" s="318"/>
      <c r="U15177" s="318"/>
      <c r="V15177" s="318"/>
      <c r="W15177" s="318"/>
      <c r="X15177" s="318"/>
      <c r="Y15177" s="318"/>
      <c r="Z15177" s="318"/>
      <c r="AA15177" s="318"/>
      <c r="AB15177" s="318"/>
      <c r="AC15177" s="318"/>
      <c r="AD15177" s="318"/>
    </row>
    <row r="15178" spans="2:30" s="323" customFormat="1" ht="12" customHeight="1">
      <c r="B15178" s="324"/>
      <c r="C15178" s="325"/>
      <c r="D15178" s="326"/>
      <c r="E15178" s="326"/>
      <c r="F15178" s="326"/>
      <c r="G15178" s="326"/>
      <c r="H15178" s="326"/>
      <c r="P15178" s="318"/>
      <c r="Q15178" s="318"/>
      <c r="R15178" s="318"/>
      <c r="S15178" s="318"/>
      <c r="T15178" s="318"/>
      <c r="U15178" s="318"/>
      <c r="V15178" s="318"/>
      <c r="W15178" s="318"/>
      <c r="X15178" s="318"/>
      <c r="Y15178" s="318"/>
      <c r="Z15178" s="318"/>
      <c r="AA15178" s="318"/>
      <c r="AB15178" s="318"/>
      <c r="AC15178" s="318"/>
      <c r="AD15178" s="318"/>
    </row>
    <row r="15179" spans="2:30" s="323" customFormat="1" ht="12" customHeight="1">
      <c r="B15179" s="324"/>
      <c r="C15179" s="325"/>
      <c r="D15179" s="326"/>
      <c r="E15179" s="326"/>
      <c r="F15179" s="326"/>
      <c r="G15179" s="326"/>
      <c r="H15179" s="326"/>
      <c r="P15179" s="318"/>
      <c r="Q15179" s="318"/>
      <c r="R15179" s="318"/>
      <c r="S15179" s="318"/>
      <c r="T15179" s="318"/>
      <c r="U15179" s="318"/>
      <c r="V15179" s="318"/>
      <c r="W15179" s="318"/>
      <c r="X15179" s="318"/>
      <c r="Y15179" s="318"/>
      <c r="Z15179" s="318"/>
      <c r="AA15179" s="318"/>
      <c r="AB15179" s="318"/>
      <c r="AC15179" s="318"/>
      <c r="AD15179" s="318"/>
    </row>
    <row r="15180" spans="2:30" s="323" customFormat="1" ht="12" customHeight="1">
      <c r="B15180" s="324"/>
      <c r="C15180" s="325"/>
      <c r="D15180" s="326"/>
      <c r="E15180" s="326"/>
      <c r="F15180" s="326"/>
      <c r="G15180" s="326"/>
      <c r="H15180" s="326"/>
      <c r="P15180" s="318"/>
      <c r="Q15180" s="318"/>
      <c r="R15180" s="318"/>
      <c r="S15180" s="318"/>
      <c r="T15180" s="318"/>
      <c r="U15180" s="318"/>
      <c r="V15180" s="318"/>
      <c r="W15180" s="318"/>
      <c r="X15180" s="318"/>
      <c r="Y15180" s="318"/>
      <c r="Z15180" s="318"/>
      <c r="AA15180" s="318"/>
      <c r="AB15180" s="318"/>
      <c r="AC15180" s="318"/>
      <c r="AD15180" s="318"/>
    </row>
    <row r="15181" spans="2:30" s="323" customFormat="1" ht="12" customHeight="1">
      <c r="B15181" s="324"/>
      <c r="C15181" s="325"/>
      <c r="D15181" s="326"/>
      <c r="E15181" s="326"/>
      <c r="F15181" s="326"/>
      <c r="G15181" s="326"/>
      <c r="H15181" s="326"/>
      <c r="P15181" s="318"/>
      <c r="Q15181" s="318"/>
      <c r="R15181" s="318"/>
      <c r="S15181" s="318"/>
      <c r="T15181" s="318"/>
      <c r="U15181" s="318"/>
      <c r="V15181" s="318"/>
      <c r="W15181" s="318"/>
      <c r="X15181" s="318"/>
      <c r="Y15181" s="318"/>
      <c r="Z15181" s="318"/>
      <c r="AA15181" s="318"/>
      <c r="AB15181" s="318"/>
      <c r="AC15181" s="318"/>
      <c r="AD15181" s="318"/>
    </row>
    <row r="15182" spans="2:30" s="323" customFormat="1" ht="12" customHeight="1">
      <c r="B15182" s="324"/>
      <c r="C15182" s="325"/>
      <c r="D15182" s="326"/>
      <c r="E15182" s="326"/>
      <c r="F15182" s="326"/>
      <c r="G15182" s="326"/>
      <c r="H15182" s="326"/>
      <c r="P15182" s="318"/>
      <c r="Q15182" s="318"/>
      <c r="R15182" s="318"/>
      <c r="S15182" s="318"/>
      <c r="T15182" s="318"/>
      <c r="U15182" s="318"/>
      <c r="V15182" s="318"/>
      <c r="W15182" s="318"/>
      <c r="X15182" s="318"/>
      <c r="Y15182" s="318"/>
      <c r="Z15182" s="318"/>
      <c r="AA15182" s="318"/>
      <c r="AB15182" s="318"/>
      <c r="AC15182" s="318"/>
      <c r="AD15182" s="318"/>
    </row>
    <row r="15183" spans="2:30" s="323" customFormat="1" ht="12" customHeight="1">
      <c r="B15183" s="324"/>
      <c r="C15183" s="325"/>
      <c r="D15183" s="326"/>
      <c r="E15183" s="326"/>
      <c r="F15183" s="326"/>
      <c r="G15183" s="326"/>
      <c r="H15183" s="326"/>
      <c r="P15183" s="318"/>
      <c r="Q15183" s="318"/>
      <c r="R15183" s="318"/>
      <c r="S15183" s="318"/>
      <c r="T15183" s="318"/>
      <c r="U15183" s="318"/>
      <c r="V15183" s="318"/>
      <c r="W15183" s="318"/>
      <c r="X15183" s="318"/>
      <c r="Y15183" s="318"/>
      <c r="Z15183" s="318"/>
      <c r="AA15183" s="318"/>
      <c r="AB15183" s="318"/>
      <c r="AC15183" s="318"/>
      <c r="AD15183" s="318"/>
    </row>
    <row r="15184" spans="2:30" s="323" customFormat="1" ht="12" customHeight="1">
      <c r="B15184" s="324"/>
      <c r="C15184" s="325"/>
      <c r="D15184" s="326"/>
      <c r="E15184" s="326"/>
      <c r="F15184" s="326"/>
      <c r="G15184" s="326"/>
      <c r="H15184" s="326"/>
      <c r="P15184" s="318"/>
      <c r="Q15184" s="318"/>
      <c r="R15184" s="318"/>
      <c r="S15184" s="318"/>
      <c r="T15184" s="318"/>
      <c r="U15184" s="318"/>
      <c r="V15184" s="318"/>
      <c r="W15184" s="318"/>
      <c r="X15184" s="318"/>
      <c r="Y15184" s="318"/>
      <c r="Z15184" s="318"/>
      <c r="AA15184" s="318"/>
      <c r="AB15184" s="318"/>
      <c r="AC15184" s="318"/>
      <c r="AD15184" s="318"/>
    </row>
    <row r="15185" spans="2:30" s="323" customFormat="1" ht="12" customHeight="1">
      <c r="B15185" s="324"/>
      <c r="C15185" s="325"/>
      <c r="D15185" s="326"/>
      <c r="E15185" s="326"/>
      <c r="F15185" s="326"/>
      <c r="G15185" s="326"/>
      <c r="H15185" s="326"/>
      <c r="P15185" s="318"/>
      <c r="Q15185" s="318"/>
      <c r="R15185" s="318"/>
      <c r="S15185" s="318"/>
      <c r="T15185" s="318"/>
      <c r="U15185" s="318"/>
      <c r="V15185" s="318"/>
      <c r="W15185" s="318"/>
      <c r="X15185" s="318"/>
      <c r="Y15185" s="318"/>
      <c r="Z15185" s="318"/>
      <c r="AA15185" s="318"/>
      <c r="AB15185" s="318"/>
      <c r="AC15185" s="318"/>
      <c r="AD15185" s="318"/>
    </row>
    <row r="15186" spans="2:30" s="323" customFormat="1" ht="12" customHeight="1">
      <c r="B15186" s="324"/>
      <c r="C15186" s="325"/>
      <c r="D15186" s="326"/>
      <c r="E15186" s="326"/>
      <c r="F15186" s="326"/>
      <c r="G15186" s="326"/>
      <c r="H15186" s="326"/>
      <c r="P15186" s="318"/>
      <c r="Q15186" s="318"/>
      <c r="R15186" s="318"/>
      <c r="S15186" s="318"/>
      <c r="T15186" s="318"/>
      <c r="U15186" s="318"/>
      <c r="V15186" s="318"/>
      <c r="W15186" s="318"/>
      <c r="X15186" s="318"/>
      <c r="Y15186" s="318"/>
      <c r="Z15186" s="318"/>
      <c r="AA15186" s="318"/>
      <c r="AB15186" s="318"/>
      <c r="AC15186" s="318"/>
      <c r="AD15186" s="318"/>
    </row>
    <row r="15187" spans="2:30" s="323" customFormat="1" ht="12" customHeight="1">
      <c r="B15187" s="324"/>
      <c r="C15187" s="325"/>
      <c r="D15187" s="326"/>
      <c r="E15187" s="326"/>
      <c r="F15187" s="326"/>
      <c r="G15187" s="326"/>
      <c r="H15187" s="326"/>
      <c r="P15187" s="318"/>
      <c r="Q15187" s="318"/>
      <c r="R15187" s="318"/>
      <c r="S15187" s="318"/>
      <c r="T15187" s="318"/>
      <c r="U15187" s="318"/>
      <c r="V15187" s="318"/>
      <c r="W15187" s="318"/>
      <c r="X15187" s="318"/>
      <c r="Y15187" s="318"/>
      <c r="Z15187" s="318"/>
      <c r="AA15187" s="318"/>
      <c r="AB15187" s="318"/>
      <c r="AC15187" s="318"/>
      <c r="AD15187" s="318"/>
    </row>
    <row r="15188" spans="2:30" s="323" customFormat="1" ht="12" customHeight="1">
      <c r="B15188" s="324"/>
      <c r="C15188" s="325"/>
      <c r="D15188" s="326"/>
      <c r="E15188" s="326"/>
      <c r="F15188" s="326"/>
      <c r="G15188" s="326"/>
      <c r="H15188" s="326"/>
      <c r="P15188" s="318"/>
      <c r="Q15188" s="318"/>
      <c r="R15188" s="318"/>
      <c r="S15188" s="318"/>
      <c r="T15188" s="318"/>
      <c r="U15188" s="318"/>
      <c r="V15188" s="318"/>
      <c r="W15188" s="318"/>
      <c r="X15188" s="318"/>
      <c r="Y15188" s="318"/>
      <c r="Z15188" s="318"/>
      <c r="AA15188" s="318"/>
      <c r="AB15188" s="318"/>
      <c r="AC15188" s="318"/>
      <c r="AD15188" s="318"/>
    </row>
    <row r="15189" spans="2:30" s="323" customFormat="1" ht="12" customHeight="1">
      <c r="B15189" s="324"/>
      <c r="C15189" s="325"/>
      <c r="D15189" s="326"/>
      <c r="E15189" s="326"/>
      <c r="F15189" s="326"/>
      <c r="G15189" s="326"/>
      <c r="H15189" s="326"/>
      <c r="P15189" s="318"/>
      <c r="Q15189" s="318"/>
      <c r="R15189" s="318"/>
      <c r="S15189" s="318"/>
      <c r="T15189" s="318"/>
      <c r="U15189" s="318"/>
      <c r="V15189" s="318"/>
      <c r="W15189" s="318"/>
      <c r="X15189" s="318"/>
      <c r="Y15189" s="318"/>
      <c r="Z15189" s="318"/>
      <c r="AA15189" s="318"/>
      <c r="AB15189" s="318"/>
      <c r="AC15189" s="318"/>
      <c r="AD15189" s="318"/>
    </row>
    <row r="15190" spans="2:30" s="323" customFormat="1" ht="12" customHeight="1">
      <c r="B15190" s="324"/>
      <c r="C15190" s="325"/>
      <c r="D15190" s="326"/>
      <c r="E15190" s="326"/>
      <c r="F15190" s="326"/>
      <c r="G15190" s="326"/>
      <c r="H15190" s="326"/>
      <c r="P15190" s="318"/>
      <c r="Q15190" s="318"/>
      <c r="R15190" s="318"/>
      <c r="S15190" s="318"/>
      <c r="T15190" s="318"/>
      <c r="U15190" s="318"/>
      <c r="V15190" s="318"/>
      <c r="W15190" s="318"/>
      <c r="X15190" s="318"/>
      <c r="Y15190" s="318"/>
      <c r="Z15190" s="318"/>
      <c r="AA15190" s="318"/>
      <c r="AB15190" s="318"/>
      <c r="AC15190" s="318"/>
      <c r="AD15190" s="318"/>
    </row>
    <row r="15191" spans="2:30" s="323" customFormat="1" ht="12" customHeight="1">
      <c r="B15191" s="324"/>
      <c r="C15191" s="325"/>
      <c r="D15191" s="326"/>
      <c r="E15191" s="326"/>
      <c r="F15191" s="326"/>
      <c r="G15191" s="326"/>
      <c r="H15191" s="326"/>
      <c r="P15191" s="318"/>
      <c r="Q15191" s="318"/>
      <c r="R15191" s="318"/>
      <c r="S15191" s="318"/>
      <c r="T15191" s="318"/>
      <c r="U15191" s="318"/>
      <c r="V15191" s="318"/>
      <c r="W15191" s="318"/>
      <c r="X15191" s="318"/>
      <c r="Y15191" s="318"/>
      <c r="Z15191" s="318"/>
      <c r="AA15191" s="318"/>
      <c r="AB15191" s="318"/>
      <c r="AC15191" s="318"/>
      <c r="AD15191" s="318"/>
    </row>
    <row r="15192" spans="2:30" s="323" customFormat="1" ht="12" customHeight="1">
      <c r="B15192" s="324"/>
      <c r="C15192" s="325"/>
      <c r="D15192" s="326"/>
      <c r="E15192" s="326"/>
      <c r="F15192" s="326"/>
      <c r="G15192" s="326"/>
      <c r="H15192" s="326"/>
      <c r="P15192" s="318"/>
      <c r="Q15192" s="318"/>
      <c r="R15192" s="318"/>
      <c r="S15192" s="318"/>
      <c r="T15192" s="318"/>
      <c r="U15192" s="318"/>
      <c r="V15192" s="318"/>
      <c r="W15192" s="318"/>
      <c r="X15192" s="318"/>
      <c r="Y15192" s="318"/>
      <c r="Z15192" s="318"/>
      <c r="AA15192" s="318"/>
      <c r="AB15192" s="318"/>
      <c r="AC15192" s="318"/>
      <c r="AD15192" s="318"/>
    </row>
    <row r="15193" spans="2:30" s="323" customFormat="1" ht="12" customHeight="1">
      <c r="B15193" s="324"/>
      <c r="C15193" s="325"/>
      <c r="D15193" s="326"/>
      <c r="E15193" s="326"/>
      <c r="F15193" s="326"/>
      <c r="G15193" s="326"/>
      <c r="H15193" s="326"/>
      <c r="P15193" s="318"/>
      <c r="Q15193" s="318"/>
      <c r="R15193" s="318"/>
      <c r="S15193" s="318"/>
      <c r="T15193" s="318"/>
      <c r="U15193" s="318"/>
      <c r="V15193" s="318"/>
      <c r="W15193" s="318"/>
      <c r="X15193" s="318"/>
      <c r="Y15193" s="318"/>
      <c r="Z15193" s="318"/>
      <c r="AA15193" s="318"/>
      <c r="AB15193" s="318"/>
      <c r="AC15193" s="318"/>
      <c r="AD15193" s="318"/>
    </row>
    <row r="15194" spans="2:30" s="323" customFormat="1" ht="12" customHeight="1">
      <c r="B15194" s="324"/>
      <c r="C15194" s="325"/>
      <c r="D15194" s="326"/>
      <c r="E15194" s="326"/>
      <c r="F15194" s="326"/>
      <c r="G15194" s="326"/>
      <c r="H15194" s="326"/>
      <c r="P15194" s="318"/>
      <c r="Q15194" s="318"/>
      <c r="R15194" s="318"/>
      <c r="S15194" s="318"/>
      <c r="T15194" s="318"/>
      <c r="U15194" s="318"/>
      <c r="V15194" s="318"/>
      <c r="W15194" s="318"/>
      <c r="X15194" s="318"/>
      <c r="Y15194" s="318"/>
      <c r="Z15194" s="318"/>
      <c r="AA15194" s="318"/>
      <c r="AB15194" s="318"/>
      <c r="AC15194" s="318"/>
      <c r="AD15194" s="318"/>
    </row>
    <row r="15195" spans="2:30" s="323" customFormat="1" ht="12" customHeight="1">
      <c r="B15195" s="324"/>
      <c r="C15195" s="325"/>
      <c r="D15195" s="326"/>
      <c r="E15195" s="326"/>
      <c r="F15195" s="326"/>
      <c r="G15195" s="326"/>
      <c r="H15195" s="326"/>
      <c r="P15195" s="318"/>
      <c r="Q15195" s="318"/>
      <c r="R15195" s="318"/>
      <c r="S15195" s="318"/>
      <c r="T15195" s="318"/>
      <c r="U15195" s="318"/>
      <c r="V15195" s="318"/>
      <c r="W15195" s="318"/>
      <c r="X15195" s="318"/>
      <c r="Y15195" s="318"/>
      <c r="Z15195" s="318"/>
      <c r="AA15195" s="318"/>
      <c r="AB15195" s="318"/>
      <c r="AC15195" s="318"/>
      <c r="AD15195" s="318"/>
    </row>
    <row r="15196" spans="2:30" s="323" customFormat="1" ht="12" customHeight="1">
      <c r="B15196" s="324"/>
      <c r="C15196" s="325"/>
      <c r="D15196" s="326"/>
      <c r="E15196" s="326"/>
      <c r="F15196" s="326"/>
      <c r="G15196" s="326"/>
      <c r="H15196" s="326"/>
      <c r="P15196" s="318"/>
      <c r="Q15196" s="318"/>
      <c r="R15196" s="318"/>
      <c r="S15196" s="318"/>
      <c r="T15196" s="318"/>
      <c r="U15196" s="318"/>
      <c r="V15196" s="318"/>
      <c r="W15196" s="318"/>
      <c r="X15196" s="318"/>
      <c r="Y15196" s="318"/>
      <c r="Z15196" s="318"/>
      <c r="AA15196" s="318"/>
      <c r="AB15196" s="318"/>
      <c r="AC15196" s="318"/>
      <c r="AD15196" s="318"/>
    </row>
    <row r="15197" spans="2:30" s="323" customFormat="1" ht="12" customHeight="1">
      <c r="B15197" s="324"/>
      <c r="C15197" s="325"/>
      <c r="D15197" s="326"/>
      <c r="E15197" s="326"/>
      <c r="F15197" s="326"/>
      <c r="G15197" s="326"/>
      <c r="H15197" s="326"/>
      <c r="P15197" s="318"/>
      <c r="Q15197" s="318"/>
      <c r="R15197" s="318"/>
      <c r="S15197" s="318"/>
      <c r="T15197" s="318"/>
      <c r="U15197" s="318"/>
      <c r="V15197" s="318"/>
      <c r="W15197" s="318"/>
      <c r="X15197" s="318"/>
      <c r="Y15197" s="318"/>
      <c r="Z15197" s="318"/>
      <c r="AA15197" s="318"/>
      <c r="AB15197" s="318"/>
      <c r="AC15197" s="318"/>
      <c r="AD15197" s="318"/>
    </row>
    <row r="15198" spans="2:30" s="323" customFormat="1" ht="12" customHeight="1">
      <c r="B15198" s="324"/>
      <c r="C15198" s="325"/>
      <c r="D15198" s="326"/>
      <c r="E15198" s="326"/>
      <c r="F15198" s="326"/>
      <c r="G15198" s="326"/>
      <c r="H15198" s="326"/>
      <c r="P15198" s="318"/>
      <c r="Q15198" s="318"/>
      <c r="R15198" s="318"/>
      <c r="S15198" s="318"/>
      <c r="T15198" s="318"/>
      <c r="U15198" s="318"/>
      <c r="V15198" s="318"/>
      <c r="W15198" s="318"/>
      <c r="X15198" s="318"/>
      <c r="Y15198" s="318"/>
      <c r="Z15198" s="318"/>
      <c r="AA15198" s="318"/>
      <c r="AB15198" s="318"/>
      <c r="AC15198" s="318"/>
      <c r="AD15198" s="318"/>
    </row>
    <row r="15199" spans="2:30" s="323" customFormat="1" ht="12" customHeight="1">
      <c r="B15199" s="324"/>
      <c r="C15199" s="325"/>
      <c r="D15199" s="326"/>
      <c r="E15199" s="326"/>
      <c r="F15199" s="326"/>
      <c r="G15199" s="326"/>
      <c r="H15199" s="326"/>
      <c r="P15199" s="318"/>
      <c r="Q15199" s="318"/>
      <c r="R15199" s="318"/>
      <c r="S15199" s="318"/>
      <c r="T15199" s="318"/>
      <c r="U15199" s="318"/>
      <c r="V15199" s="318"/>
      <c r="W15199" s="318"/>
      <c r="X15199" s="318"/>
      <c r="Y15199" s="318"/>
      <c r="Z15199" s="318"/>
      <c r="AA15199" s="318"/>
      <c r="AB15199" s="318"/>
      <c r="AC15199" s="318"/>
      <c r="AD15199" s="318"/>
    </row>
    <row r="15200" spans="2:30" s="323" customFormat="1" ht="12" customHeight="1">
      <c r="B15200" s="324"/>
      <c r="C15200" s="325"/>
      <c r="D15200" s="326"/>
      <c r="E15200" s="326"/>
      <c r="F15200" s="326"/>
      <c r="G15200" s="326"/>
      <c r="H15200" s="326"/>
      <c r="P15200" s="318"/>
      <c r="Q15200" s="318"/>
      <c r="R15200" s="318"/>
      <c r="S15200" s="318"/>
      <c r="T15200" s="318"/>
      <c r="U15200" s="318"/>
      <c r="V15200" s="318"/>
      <c r="W15200" s="318"/>
      <c r="X15200" s="318"/>
      <c r="Y15200" s="318"/>
      <c r="Z15200" s="318"/>
      <c r="AA15200" s="318"/>
      <c r="AB15200" s="318"/>
      <c r="AC15200" s="318"/>
      <c r="AD15200" s="318"/>
    </row>
    <row r="15201" spans="2:30" s="323" customFormat="1" ht="12" customHeight="1">
      <c r="B15201" s="324"/>
      <c r="C15201" s="325"/>
      <c r="D15201" s="326"/>
      <c r="E15201" s="326"/>
      <c r="F15201" s="326"/>
      <c r="G15201" s="326"/>
      <c r="H15201" s="326"/>
      <c r="P15201" s="318"/>
      <c r="Q15201" s="318"/>
      <c r="R15201" s="318"/>
      <c r="S15201" s="318"/>
      <c r="T15201" s="318"/>
      <c r="U15201" s="318"/>
      <c r="V15201" s="318"/>
      <c r="W15201" s="318"/>
      <c r="X15201" s="318"/>
      <c r="Y15201" s="318"/>
      <c r="Z15201" s="318"/>
      <c r="AA15201" s="318"/>
      <c r="AB15201" s="318"/>
      <c r="AC15201" s="318"/>
      <c r="AD15201" s="318"/>
    </row>
    <row r="15202" spans="2:30" s="323" customFormat="1" ht="12" customHeight="1">
      <c r="B15202" s="324"/>
      <c r="C15202" s="325"/>
      <c r="D15202" s="326"/>
      <c r="E15202" s="326"/>
      <c r="F15202" s="326"/>
      <c r="G15202" s="326"/>
      <c r="H15202" s="326"/>
      <c r="P15202" s="318"/>
      <c r="Q15202" s="318"/>
      <c r="R15202" s="318"/>
      <c r="S15202" s="318"/>
      <c r="T15202" s="318"/>
      <c r="U15202" s="318"/>
      <c r="V15202" s="318"/>
      <c r="W15202" s="318"/>
      <c r="X15202" s="318"/>
      <c r="Y15202" s="318"/>
      <c r="Z15202" s="318"/>
      <c r="AA15202" s="318"/>
      <c r="AB15202" s="318"/>
      <c r="AC15202" s="318"/>
      <c r="AD15202" s="318"/>
    </row>
    <row r="15203" spans="2:30" s="323" customFormat="1" ht="12" customHeight="1">
      <c r="B15203" s="324"/>
      <c r="C15203" s="325"/>
      <c r="D15203" s="326"/>
      <c r="E15203" s="326"/>
      <c r="F15203" s="326"/>
      <c r="G15203" s="326"/>
      <c r="H15203" s="326"/>
      <c r="P15203" s="318"/>
      <c r="Q15203" s="318"/>
      <c r="R15203" s="318"/>
      <c r="S15203" s="318"/>
      <c r="T15203" s="318"/>
      <c r="U15203" s="318"/>
      <c r="V15203" s="318"/>
      <c r="W15203" s="318"/>
      <c r="X15203" s="318"/>
      <c r="Y15203" s="318"/>
      <c r="Z15203" s="318"/>
      <c r="AA15203" s="318"/>
      <c r="AB15203" s="318"/>
      <c r="AC15203" s="318"/>
      <c r="AD15203" s="318"/>
    </row>
    <row r="15204" spans="2:30" s="323" customFormat="1" ht="12" customHeight="1">
      <c r="B15204" s="324"/>
      <c r="C15204" s="325"/>
      <c r="D15204" s="326"/>
      <c r="E15204" s="326"/>
      <c r="F15204" s="326"/>
      <c r="G15204" s="326"/>
      <c r="H15204" s="326"/>
      <c r="P15204" s="318"/>
      <c r="Q15204" s="318"/>
      <c r="R15204" s="318"/>
      <c r="S15204" s="318"/>
      <c r="T15204" s="318"/>
      <c r="U15204" s="318"/>
      <c r="V15204" s="318"/>
      <c r="W15204" s="318"/>
      <c r="X15204" s="318"/>
      <c r="Y15204" s="318"/>
      <c r="Z15204" s="318"/>
      <c r="AA15204" s="318"/>
      <c r="AB15204" s="318"/>
      <c r="AC15204" s="318"/>
      <c r="AD15204" s="318"/>
    </row>
    <row r="15205" spans="2:30" s="323" customFormat="1" ht="12" customHeight="1">
      <c r="B15205" s="324"/>
      <c r="C15205" s="325"/>
      <c r="D15205" s="326"/>
      <c r="E15205" s="326"/>
      <c r="F15205" s="326"/>
      <c r="G15205" s="326"/>
      <c r="H15205" s="326"/>
      <c r="P15205" s="318"/>
      <c r="Q15205" s="318"/>
      <c r="R15205" s="318"/>
      <c r="S15205" s="318"/>
      <c r="T15205" s="318"/>
      <c r="U15205" s="318"/>
      <c r="V15205" s="318"/>
      <c r="W15205" s="318"/>
      <c r="X15205" s="318"/>
      <c r="Y15205" s="318"/>
      <c r="Z15205" s="318"/>
      <c r="AA15205" s="318"/>
      <c r="AB15205" s="318"/>
      <c r="AC15205" s="318"/>
      <c r="AD15205" s="318"/>
    </row>
    <row r="15206" spans="2:30" s="323" customFormat="1" ht="12" customHeight="1">
      <c r="B15206" s="324"/>
      <c r="C15206" s="325"/>
      <c r="D15206" s="326"/>
      <c r="E15206" s="326"/>
      <c r="F15206" s="326"/>
      <c r="G15206" s="326"/>
      <c r="H15206" s="326"/>
      <c r="P15206" s="318"/>
      <c r="Q15206" s="318"/>
      <c r="R15206" s="318"/>
      <c r="S15206" s="318"/>
      <c r="T15206" s="318"/>
      <c r="U15206" s="318"/>
      <c r="V15206" s="318"/>
      <c r="W15206" s="318"/>
      <c r="X15206" s="318"/>
      <c r="Y15206" s="318"/>
      <c r="Z15206" s="318"/>
      <c r="AA15206" s="318"/>
      <c r="AB15206" s="318"/>
      <c r="AC15206" s="318"/>
      <c r="AD15206" s="318"/>
    </row>
    <row r="15207" spans="2:30" s="323" customFormat="1" ht="12" customHeight="1">
      <c r="B15207" s="324"/>
      <c r="C15207" s="325"/>
      <c r="D15207" s="326"/>
      <c r="E15207" s="326"/>
      <c r="F15207" s="326"/>
      <c r="G15207" s="326"/>
      <c r="H15207" s="326"/>
      <c r="P15207" s="318"/>
      <c r="Q15207" s="318"/>
      <c r="R15207" s="318"/>
      <c r="S15207" s="318"/>
      <c r="T15207" s="318"/>
      <c r="U15207" s="318"/>
      <c r="V15207" s="318"/>
      <c r="W15207" s="318"/>
      <c r="X15207" s="318"/>
      <c r="Y15207" s="318"/>
      <c r="Z15207" s="318"/>
      <c r="AA15207" s="318"/>
      <c r="AB15207" s="318"/>
      <c r="AC15207" s="318"/>
      <c r="AD15207" s="318"/>
    </row>
    <row r="15208" spans="2:30" s="323" customFormat="1" ht="12" customHeight="1">
      <c r="B15208" s="324"/>
      <c r="C15208" s="325"/>
      <c r="D15208" s="326"/>
      <c r="E15208" s="326"/>
      <c r="F15208" s="326"/>
      <c r="G15208" s="326"/>
      <c r="H15208" s="326"/>
      <c r="P15208" s="318"/>
      <c r="Q15208" s="318"/>
      <c r="R15208" s="318"/>
      <c r="S15208" s="318"/>
      <c r="T15208" s="318"/>
      <c r="U15208" s="318"/>
      <c r="V15208" s="318"/>
      <c r="W15208" s="318"/>
      <c r="X15208" s="318"/>
      <c r="Y15208" s="318"/>
      <c r="Z15208" s="318"/>
      <c r="AA15208" s="318"/>
      <c r="AB15208" s="318"/>
      <c r="AC15208" s="318"/>
      <c r="AD15208" s="318"/>
    </row>
    <row r="15209" spans="2:30" s="323" customFormat="1" ht="12" customHeight="1">
      <c r="B15209" s="324"/>
      <c r="C15209" s="325"/>
      <c r="D15209" s="326"/>
      <c r="E15209" s="326"/>
      <c r="F15209" s="326"/>
      <c r="G15209" s="326"/>
      <c r="H15209" s="326"/>
      <c r="P15209" s="318"/>
      <c r="Q15209" s="318"/>
      <c r="R15209" s="318"/>
      <c r="S15209" s="318"/>
      <c r="T15209" s="318"/>
      <c r="U15209" s="318"/>
      <c r="V15209" s="318"/>
      <c r="W15209" s="318"/>
      <c r="X15209" s="318"/>
      <c r="Y15209" s="318"/>
      <c r="Z15209" s="318"/>
      <c r="AA15209" s="318"/>
      <c r="AB15209" s="318"/>
      <c r="AC15209" s="318"/>
      <c r="AD15209" s="318"/>
    </row>
    <row r="15210" spans="2:30" s="323" customFormat="1" ht="12" customHeight="1">
      <c r="B15210" s="324"/>
      <c r="C15210" s="325"/>
      <c r="D15210" s="326"/>
      <c r="E15210" s="326"/>
      <c r="F15210" s="326"/>
      <c r="G15210" s="326"/>
      <c r="H15210" s="326"/>
      <c r="P15210" s="318"/>
      <c r="Q15210" s="318"/>
      <c r="R15210" s="318"/>
      <c r="S15210" s="318"/>
      <c r="T15210" s="318"/>
      <c r="U15210" s="318"/>
      <c r="V15210" s="318"/>
      <c r="W15210" s="318"/>
      <c r="X15210" s="318"/>
      <c r="Y15210" s="318"/>
      <c r="Z15210" s="318"/>
      <c r="AA15210" s="318"/>
      <c r="AB15210" s="318"/>
      <c r="AC15210" s="318"/>
      <c r="AD15210" s="318"/>
    </row>
    <row r="15211" spans="2:30" s="323" customFormat="1" ht="12" customHeight="1">
      <c r="B15211" s="324"/>
      <c r="C15211" s="325"/>
      <c r="D15211" s="326"/>
      <c r="E15211" s="326"/>
      <c r="F15211" s="326"/>
      <c r="G15211" s="326"/>
      <c r="H15211" s="326"/>
      <c r="P15211" s="318"/>
      <c r="Q15211" s="318"/>
      <c r="R15211" s="318"/>
      <c r="S15211" s="318"/>
      <c r="T15211" s="318"/>
      <c r="U15211" s="318"/>
      <c r="V15211" s="318"/>
      <c r="W15211" s="318"/>
      <c r="X15211" s="318"/>
      <c r="Y15211" s="318"/>
      <c r="Z15211" s="318"/>
      <c r="AA15211" s="318"/>
      <c r="AB15211" s="318"/>
      <c r="AC15211" s="318"/>
      <c r="AD15211" s="318"/>
    </row>
    <row r="15212" spans="2:30" s="323" customFormat="1" ht="12" customHeight="1">
      <c r="B15212" s="324"/>
      <c r="C15212" s="325"/>
      <c r="D15212" s="326"/>
      <c r="E15212" s="326"/>
      <c r="F15212" s="326"/>
      <c r="G15212" s="326"/>
      <c r="H15212" s="326"/>
      <c r="P15212" s="318"/>
      <c r="Q15212" s="318"/>
      <c r="R15212" s="318"/>
      <c r="S15212" s="318"/>
      <c r="T15212" s="318"/>
      <c r="U15212" s="318"/>
      <c r="V15212" s="318"/>
      <c r="W15212" s="318"/>
      <c r="X15212" s="318"/>
      <c r="Y15212" s="318"/>
      <c r="Z15212" s="318"/>
      <c r="AA15212" s="318"/>
      <c r="AB15212" s="318"/>
      <c r="AC15212" s="318"/>
      <c r="AD15212" s="318"/>
    </row>
    <row r="15213" spans="2:30" s="323" customFormat="1" ht="12" customHeight="1">
      <c r="B15213" s="324"/>
      <c r="C15213" s="325"/>
      <c r="D15213" s="326"/>
      <c r="E15213" s="326"/>
      <c r="F15213" s="326"/>
      <c r="G15213" s="326"/>
      <c r="H15213" s="326"/>
      <c r="P15213" s="318"/>
      <c r="Q15213" s="318"/>
      <c r="R15213" s="318"/>
      <c r="S15213" s="318"/>
      <c r="T15213" s="318"/>
      <c r="U15213" s="318"/>
      <c r="V15213" s="318"/>
      <c r="W15213" s="318"/>
      <c r="X15213" s="318"/>
      <c r="Y15213" s="318"/>
      <c r="Z15213" s="318"/>
      <c r="AA15213" s="318"/>
      <c r="AB15213" s="318"/>
      <c r="AC15213" s="318"/>
      <c r="AD15213" s="318"/>
    </row>
    <row r="15214" spans="2:30" s="323" customFormat="1" ht="12" customHeight="1">
      <c r="B15214" s="324"/>
      <c r="C15214" s="325"/>
      <c r="D15214" s="326"/>
      <c r="E15214" s="326"/>
      <c r="F15214" s="326"/>
      <c r="G15214" s="326"/>
      <c r="H15214" s="326"/>
      <c r="P15214" s="318"/>
      <c r="Q15214" s="318"/>
      <c r="R15214" s="318"/>
      <c r="S15214" s="318"/>
      <c r="T15214" s="318"/>
      <c r="U15214" s="318"/>
      <c r="V15214" s="318"/>
      <c r="W15214" s="318"/>
      <c r="X15214" s="318"/>
      <c r="Y15214" s="318"/>
      <c r="Z15214" s="318"/>
      <c r="AA15214" s="318"/>
      <c r="AB15214" s="318"/>
      <c r="AC15214" s="318"/>
      <c r="AD15214" s="318"/>
    </row>
    <row r="15215" spans="2:30" s="323" customFormat="1" ht="12" customHeight="1">
      <c r="B15215" s="324"/>
      <c r="C15215" s="325"/>
      <c r="D15215" s="326"/>
      <c r="E15215" s="326"/>
      <c r="F15215" s="326"/>
      <c r="G15215" s="326"/>
      <c r="H15215" s="326"/>
      <c r="P15215" s="318"/>
      <c r="Q15215" s="318"/>
      <c r="R15215" s="318"/>
      <c r="S15215" s="318"/>
      <c r="T15215" s="318"/>
      <c r="U15215" s="318"/>
      <c r="V15215" s="318"/>
      <c r="W15215" s="318"/>
      <c r="X15215" s="318"/>
      <c r="Y15215" s="318"/>
      <c r="Z15215" s="318"/>
      <c r="AA15215" s="318"/>
      <c r="AB15215" s="318"/>
      <c r="AC15215" s="318"/>
      <c r="AD15215" s="318"/>
    </row>
    <row r="15216" spans="2:30" s="323" customFormat="1" ht="12" customHeight="1">
      <c r="B15216" s="324"/>
      <c r="C15216" s="325"/>
      <c r="D15216" s="326"/>
      <c r="E15216" s="326"/>
      <c r="F15216" s="326"/>
      <c r="G15216" s="326"/>
      <c r="H15216" s="326"/>
      <c r="P15216" s="318"/>
      <c r="Q15216" s="318"/>
      <c r="R15216" s="318"/>
      <c r="S15216" s="318"/>
      <c r="T15216" s="318"/>
      <c r="U15216" s="318"/>
      <c r="V15216" s="318"/>
      <c r="W15216" s="318"/>
      <c r="X15216" s="318"/>
      <c r="Y15216" s="318"/>
      <c r="Z15216" s="318"/>
      <c r="AA15216" s="318"/>
      <c r="AB15216" s="318"/>
      <c r="AC15216" s="318"/>
      <c r="AD15216" s="318"/>
    </row>
    <row r="15217" spans="2:30" s="323" customFormat="1" ht="12" customHeight="1">
      <c r="B15217" s="324"/>
      <c r="C15217" s="325"/>
      <c r="D15217" s="326"/>
      <c r="E15217" s="326"/>
      <c r="F15217" s="326"/>
      <c r="G15217" s="326"/>
      <c r="H15217" s="326"/>
      <c r="P15217" s="318"/>
      <c r="Q15217" s="318"/>
      <c r="R15217" s="318"/>
      <c r="S15217" s="318"/>
      <c r="T15217" s="318"/>
      <c r="U15217" s="318"/>
      <c r="V15217" s="318"/>
      <c r="W15217" s="318"/>
      <c r="X15217" s="318"/>
      <c r="Y15217" s="318"/>
      <c r="Z15217" s="318"/>
      <c r="AA15217" s="318"/>
      <c r="AB15217" s="318"/>
      <c r="AC15217" s="318"/>
      <c r="AD15217" s="318"/>
    </row>
    <row r="15218" spans="2:30" s="323" customFormat="1" ht="12" customHeight="1">
      <c r="B15218" s="324"/>
      <c r="C15218" s="325"/>
      <c r="D15218" s="326"/>
      <c r="E15218" s="326"/>
      <c r="F15218" s="326"/>
      <c r="G15218" s="326"/>
      <c r="H15218" s="326"/>
      <c r="P15218" s="318"/>
      <c r="Q15218" s="318"/>
      <c r="R15218" s="318"/>
      <c r="S15218" s="318"/>
      <c r="T15218" s="318"/>
      <c r="U15218" s="318"/>
      <c r="V15218" s="318"/>
      <c r="W15218" s="318"/>
      <c r="X15218" s="318"/>
      <c r="Y15218" s="318"/>
      <c r="Z15218" s="318"/>
      <c r="AA15218" s="318"/>
      <c r="AB15218" s="318"/>
      <c r="AC15218" s="318"/>
      <c r="AD15218" s="318"/>
    </row>
    <row r="15219" spans="2:30" s="323" customFormat="1" ht="12" customHeight="1">
      <c r="B15219" s="324"/>
      <c r="C15219" s="325"/>
      <c r="D15219" s="326"/>
      <c r="E15219" s="326"/>
      <c r="F15219" s="326"/>
      <c r="G15219" s="326"/>
      <c r="H15219" s="326"/>
      <c r="P15219" s="318"/>
      <c r="Q15219" s="318"/>
      <c r="R15219" s="318"/>
      <c r="S15219" s="318"/>
      <c r="T15219" s="318"/>
      <c r="U15219" s="318"/>
      <c r="V15219" s="318"/>
      <c r="W15219" s="318"/>
      <c r="X15219" s="318"/>
      <c r="Y15219" s="318"/>
      <c r="Z15219" s="318"/>
      <c r="AA15219" s="318"/>
      <c r="AB15219" s="318"/>
      <c r="AC15219" s="318"/>
      <c r="AD15219" s="318"/>
    </row>
    <row r="15220" spans="2:30" s="323" customFormat="1" ht="12" customHeight="1">
      <c r="B15220" s="324"/>
      <c r="C15220" s="325"/>
      <c r="D15220" s="326"/>
      <c r="E15220" s="326"/>
      <c r="F15220" s="326"/>
      <c r="G15220" s="326"/>
      <c r="H15220" s="326"/>
      <c r="P15220" s="318"/>
      <c r="Q15220" s="318"/>
      <c r="R15220" s="318"/>
      <c r="S15220" s="318"/>
      <c r="T15220" s="318"/>
      <c r="U15220" s="318"/>
      <c r="V15220" s="318"/>
      <c r="W15220" s="318"/>
      <c r="X15220" s="318"/>
      <c r="Y15220" s="318"/>
      <c r="Z15220" s="318"/>
      <c r="AA15220" s="318"/>
      <c r="AB15220" s="318"/>
      <c r="AC15220" s="318"/>
      <c r="AD15220" s="318"/>
    </row>
    <row r="15221" spans="2:30" s="323" customFormat="1" ht="12" customHeight="1">
      <c r="B15221" s="324"/>
      <c r="C15221" s="325"/>
      <c r="D15221" s="326"/>
      <c r="E15221" s="326"/>
      <c r="F15221" s="326"/>
      <c r="G15221" s="326"/>
      <c r="H15221" s="326"/>
      <c r="P15221" s="318"/>
      <c r="Q15221" s="318"/>
      <c r="R15221" s="318"/>
      <c r="S15221" s="318"/>
      <c r="T15221" s="318"/>
      <c r="U15221" s="318"/>
      <c r="V15221" s="318"/>
      <c r="W15221" s="318"/>
      <c r="X15221" s="318"/>
      <c r="Y15221" s="318"/>
      <c r="Z15221" s="318"/>
      <c r="AA15221" s="318"/>
      <c r="AB15221" s="318"/>
      <c r="AC15221" s="318"/>
      <c r="AD15221" s="318"/>
    </row>
    <row r="15222" spans="2:30" s="323" customFormat="1" ht="12" customHeight="1">
      <c r="B15222" s="324"/>
      <c r="C15222" s="325"/>
      <c r="D15222" s="326"/>
      <c r="E15222" s="326"/>
      <c r="F15222" s="326"/>
      <c r="G15222" s="326"/>
      <c r="H15222" s="326"/>
      <c r="P15222" s="318"/>
      <c r="Q15222" s="318"/>
      <c r="R15222" s="318"/>
      <c r="S15222" s="318"/>
      <c r="T15222" s="318"/>
      <c r="U15222" s="318"/>
      <c r="V15222" s="318"/>
      <c r="W15222" s="318"/>
      <c r="X15222" s="318"/>
      <c r="Y15222" s="318"/>
      <c r="Z15222" s="318"/>
      <c r="AA15222" s="318"/>
      <c r="AB15222" s="318"/>
      <c r="AC15222" s="318"/>
      <c r="AD15222" s="318"/>
    </row>
    <row r="15223" spans="2:30" s="323" customFormat="1" ht="12" customHeight="1">
      <c r="B15223" s="324"/>
      <c r="C15223" s="325"/>
      <c r="D15223" s="326"/>
      <c r="E15223" s="326"/>
      <c r="F15223" s="326"/>
      <c r="G15223" s="326"/>
      <c r="H15223" s="326"/>
      <c r="P15223" s="318"/>
      <c r="Q15223" s="318"/>
      <c r="R15223" s="318"/>
      <c r="S15223" s="318"/>
      <c r="T15223" s="318"/>
      <c r="U15223" s="318"/>
      <c r="V15223" s="318"/>
      <c r="W15223" s="318"/>
      <c r="X15223" s="318"/>
      <c r="Y15223" s="318"/>
      <c r="Z15223" s="318"/>
      <c r="AA15223" s="318"/>
      <c r="AB15223" s="318"/>
      <c r="AC15223" s="318"/>
      <c r="AD15223" s="318"/>
    </row>
    <row r="15224" spans="2:30" s="323" customFormat="1" ht="12" customHeight="1">
      <c r="B15224" s="324"/>
      <c r="C15224" s="325"/>
      <c r="D15224" s="326"/>
      <c r="E15224" s="326"/>
      <c r="F15224" s="326"/>
      <c r="G15224" s="326"/>
      <c r="H15224" s="326"/>
      <c r="P15224" s="318"/>
      <c r="Q15224" s="318"/>
      <c r="R15224" s="318"/>
      <c r="S15224" s="318"/>
      <c r="T15224" s="318"/>
      <c r="U15224" s="318"/>
      <c r="V15224" s="318"/>
      <c r="W15224" s="318"/>
      <c r="X15224" s="318"/>
      <c r="Y15224" s="318"/>
      <c r="Z15224" s="318"/>
      <c r="AA15224" s="318"/>
      <c r="AB15224" s="318"/>
      <c r="AC15224" s="318"/>
      <c r="AD15224" s="318"/>
    </row>
    <row r="15225" spans="2:30" s="323" customFormat="1" ht="12" customHeight="1">
      <c r="B15225" s="324"/>
      <c r="C15225" s="325"/>
      <c r="D15225" s="326"/>
      <c r="E15225" s="326"/>
      <c r="F15225" s="326"/>
      <c r="G15225" s="326"/>
      <c r="H15225" s="326"/>
      <c r="P15225" s="318"/>
      <c r="Q15225" s="318"/>
      <c r="R15225" s="318"/>
      <c r="S15225" s="318"/>
      <c r="T15225" s="318"/>
      <c r="U15225" s="318"/>
      <c r="V15225" s="318"/>
      <c r="W15225" s="318"/>
      <c r="X15225" s="318"/>
      <c r="Y15225" s="318"/>
      <c r="Z15225" s="318"/>
      <c r="AA15225" s="318"/>
      <c r="AB15225" s="318"/>
      <c r="AC15225" s="318"/>
      <c r="AD15225" s="318"/>
    </row>
    <row r="15226" spans="2:30" s="323" customFormat="1" ht="12" customHeight="1">
      <c r="B15226" s="324"/>
      <c r="C15226" s="325"/>
      <c r="D15226" s="326"/>
      <c r="E15226" s="326"/>
      <c r="F15226" s="326"/>
      <c r="G15226" s="326"/>
      <c r="H15226" s="326"/>
      <c r="P15226" s="318"/>
      <c r="Q15226" s="318"/>
      <c r="R15226" s="318"/>
      <c r="S15226" s="318"/>
      <c r="T15226" s="318"/>
      <c r="U15226" s="318"/>
      <c r="V15226" s="318"/>
      <c r="W15226" s="318"/>
      <c r="X15226" s="318"/>
      <c r="Y15226" s="318"/>
      <c r="Z15226" s="318"/>
      <c r="AA15226" s="318"/>
      <c r="AB15226" s="318"/>
      <c r="AC15226" s="318"/>
      <c r="AD15226" s="318"/>
    </row>
    <row r="15227" spans="2:30" s="323" customFormat="1" ht="12" customHeight="1">
      <c r="B15227" s="324"/>
      <c r="C15227" s="325"/>
      <c r="D15227" s="326"/>
      <c r="E15227" s="326"/>
      <c r="F15227" s="326"/>
      <c r="G15227" s="326"/>
      <c r="H15227" s="326"/>
      <c r="P15227" s="318"/>
      <c r="Q15227" s="318"/>
      <c r="R15227" s="318"/>
      <c r="S15227" s="318"/>
      <c r="T15227" s="318"/>
      <c r="U15227" s="318"/>
      <c r="V15227" s="318"/>
      <c r="W15227" s="318"/>
      <c r="X15227" s="318"/>
      <c r="Y15227" s="318"/>
      <c r="Z15227" s="318"/>
      <c r="AA15227" s="318"/>
      <c r="AB15227" s="318"/>
      <c r="AC15227" s="318"/>
      <c r="AD15227" s="318"/>
    </row>
    <row r="15228" spans="2:30" s="323" customFormat="1" ht="12" customHeight="1">
      <c r="B15228" s="324"/>
      <c r="C15228" s="325"/>
      <c r="D15228" s="326"/>
      <c r="E15228" s="326"/>
      <c r="F15228" s="326"/>
      <c r="G15228" s="326"/>
      <c r="H15228" s="326"/>
      <c r="P15228" s="318"/>
      <c r="Q15228" s="318"/>
      <c r="R15228" s="318"/>
      <c r="S15228" s="318"/>
      <c r="T15228" s="318"/>
      <c r="U15228" s="318"/>
      <c r="V15228" s="318"/>
      <c r="W15228" s="318"/>
      <c r="X15228" s="318"/>
      <c r="Y15228" s="318"/>
      <c r="Z15228" s="318"/>
      <c r="AA15228" s="318"/>
      <c r="AB15228" s="318"/>
      <c r="AC15228" s="318"/>
      <c r="AD15228" s="318"/>
    </row>
    <row r="15229" spans="2:30" s="323" customFormat="1" ht="12" customHeight="1">
      <c r="B15229" s="324"/>
      <c r="C15229" s="325"/>
      <c r="D15229" s="326"/>
      <c r="E15229" s="326"/>
      <c r="F15229" s="326"/>
      <c r="G15229" s="326"/>
      <c r="H15229" s="326"/>
      <c r="P15229" s="318"/>
      <c r="Q15229" s="318"/>
      <c r="R15229" s="318"/>
      <c r="S15229" s="318"/>
      <c r="T15229" s="318"/>
      <c r="U15229" s="318"/>
      <c r="V15229" s="318"/>
      <c r="W15229" s="318"/>
      <c r="X15229" s="318"/>
      <c r="Y15229" s="318"/>
      <c r="Z15229" s="318"/>
      <c r="AA15229" s="318"/>
      <c r="AB15229" s="318"/>
      <c r="AC15229" s="318"/>
      <c r="AD15229" s="318"/>
    </row>
    <row r="15230" spans="2:30" s="323" customFormat="1" ht="12" customHeight="1">
      <c r="B15230" s="324"/>
      <c r="C15230" s="325"/>
      <c r="D15230" s="326"/>
      <c r="E15230" s="326"/>
      <c r="F15230" s="326"/>
      <c r="G15230" s="326"/>
      <c r="H15230" s="326"/>
      <c r="P15230" s="318"/>
      <c r="Q15230" s="318"/>
      <c r="R15230" s="318"/>
      <c r="S15230" s="318"/>
      <c r="T15230" s="318"/>
      <c r="U15230" s="318"/>
      <c r="V15230" s="318"/>
      <c r="W15230" s="318"/>
      <c r="X15230" s="318"/>
      <c r="Y15230" s="318"/>
      <c r="Z15230" s="318"/>
      <c r="AA15230" s="318"/>
      <c r="AB15230" s="318"/>
      <c r="AC15230" s="318"/>
      <c r="AD15230" s="318"/>
    </row>
    <row r="15231" spans="2:30" s="323" customFormat="1" ht="12" customHeight="1">
      <c r="B15231" s="324"/>
      <c r="C15231" s="325"/>
      <c r="D15231" s="326"/>
      <c r="E15231" s="326"/>
      <c r="F15231" s="326"/>
      <c r="G15231" s="326"/>
      <c r="H15231" s="326"/>
      <c r="P15231" s="318"/>
      <c r="Q15231" s="318"/>
      <c r="R15231" s="318"/>
      <c r="S15231" s="318"/>
      <c r="T15231" s="318"/>
      <c r="U15231" s="318"/>
      <c r="V15231" s="318"/>
      <c r="W15231" s="318"/>
      <c r="X15231" s="318"/>
      <c r="Y15231" s="318"/>
      <c r="Z15231" s="318"/>
      <c r="AA15231" s="318"/>
      <c r="AB15231" s="318"/>
      <c r="AC15231" s="318"/>
      <c r="AD15231" s="318"/>
    </row>
    <row r="15232" spans="2:30" s="323" customFormat="1" ht="12" customHeight="1">
      <c r="B15232" s="324"/>
      <c r="C15232" s="325"/>
      <c r="D15232" s="326"/>
      <c r="E15232" s="326"/>
      <c r="F15232" s="326"/>
      <c r="G15232" s="326"/>
      <c r="H15232" s="326"/>
      <c r="P15232" s="318"/>
      <c r="Q15232" s="318"/>
      <c r="R15232" s="318"/>
      <c r="S15232" s="318"/>
      <c r="T15232" s="318"/>
      <c r="U15232" s="318"/>
      <c r="V15232" s="318"/>
      <c r="W15232" s="318"/>
      <c r="X15232" s="318"/>
      <c r="Y15232" s="318"/>
      <c r="Z15232" s="318"/>
      <c r="AA15232" s="318"/>
      <c r="AB15232" s="318"/>
      <c r="AC15232" s="318"/>
      <c r="AD15232" s="318"/>
    </row>
    <row r="15233" spans="2:30" s="323" customFormat="1" ht="12" customHeight="1">
      <c r="B15233" s="324"/>
      <c r="C15233" s="325"/>
      <c r="D15233" s="326"/>
      <c r="E15233" s="326"/>
      <c r="F15233" s="326"/>
      <c r="G15233" s="326"/>
      <c r="H15233" s="326"/>
      <c r="P15233" s="318"/>
      <c r="Q15233" s="318"/>
      <c r="R15233" s="318"/>
      <c r="S15233" s="318"/>
      <c r="T15233" s="318"/>
      <c r="U15233" s="318"/>
      <c r="V15233" s="318"/>
      <c r="W15233" s="318"/>
      <c r="X15233" s="318"/>
      <c r="Y15233" s="318"/>
      <c r="Z15233" s="318"/>
      <c r="AA15233" s="318"/>
      <c r="AB15233" s="318"/>
      <c r="AC15233" s="318"/>
      <c r="AD15233" s="318"/>
    </row>
    <row r="15234" spans="2:30" s="323" customFormat="1" ht="12" customHeight="1">
      <c r="B15234" s="324"/>
      <c r="C15234" s="325"/>
      <c r="D15234" s="326"/>
      <c r="E15234" s="326"/>
      <c r="F15234" s="326"/>
      <c r="G15234" s="326"/>
      <c r="H15234" s="326"/>
      <c r="P15234" s="318"/>
      <c r="Q15234" s="318"/>
      <c r="R15234" s="318"/>
      <c r="S15234" s="318"/>
      <c r="T15234" s="318"/>
      <c r="U15234" s="318"/>
      <c r="V15234" s="318"/>
      <c r="W15234" s="318"/>
      <c r="X15234" s="318"/>
      <c r="Y15234" s="318"/>
      <c r="Z15234" s="318"/>
      <c r="AA15234" s="318"/>
      <c r="AB15234" s="318"/>
      <c r="AC15234" s="318"/>
      <c r="AD15234" s="318"/>
    </row>
    <row r="15235" spans="2:30" s="323" customFormat="1" ht="12" customHeight="1">
      <c r="B15235" s="324"/>
      <c r="C15235" s="325"/>
      <c r="D15235" s="326"/>
      <c r="E15235" s="326"/>
      <c r="F15235" s="326"/>
      <c r="G15235" s="326"/>
      <c r="H15235" s="326"/>
      <c r="P15235" s="318"/>
      <c r="Q15235" s="318"/>
      <c r="R15235" s="318"/>
      <c r="S15235" s="318"/>
      <c r="T15235" s="318"/>
      <c r="U15235" s="318"/>
      <c r="V15235" s="318"/>
      <c r="W15235" s="318"/>
      <c r="X15235" s="318"/>
      <c r="Y15235" s="318"/>
      <c r="Z15235" s="318"/>
      <c r="AA15235" s="318"/>
      <c r="AB15235" s="318"/>
      <c r="AC15235" s="318"/>
      <c r="AD15235" s="318"/>
    </row>
    <row r="15236" spans="2:30" s="323" customFormat="1" ht="12" customHeight="1">
      <c r="B15236" s="324"/>
      <c r="C15236" s="325"/>
      <c r="D15236" s="326"/>
      <c r="E15236" s="326"/>
      <c r="F15236" s="326"/>
      <c r="G15236" s="326"/>
      <c r="H15236" s="326"/>
      <c r="P15236" s="318"/>
      <c r="Q15236" s="318"/>
      <c r="R15236" s="318"/>
      <c r="S15236" s="318"/>
      <c r="T15236" s="318"/>
      <c r="U15236" s="318"/>
      <c r="V15236" s="318"/>
      <c r="W15236" s="318"/>
      <c r="X15236" s="318"/>
      <c r="Y15236" s="318"/>
      <c r="Z15236" s="318"/>
      <c r="AA15236" s="318"/>
      <c r="AB15236" s="318"/>
      <c r="AC15236" s="318"/>
      <c r="AD15236" s="318"/>
    </row>
    <row r="15237" spans="2:30" s="323" customFormat="1" ht="12" customHeight="1">
      <c r="B15237" s="324"/>
      <c r="C15237" s="325"/>
      <c r="D15237" s="326"/>
      <c r="E15237" s="326"/>
      <c r="F15237" s="326"/>
      <c r="G15237" s="326"/>
      <c r="H15237" s="326"/>
      <c r="P15237" s="318"/>
      <c r="Q15237" s="318"/>
      <c r="R15237" s="318"/>
      <c r="S15237" s="318"/>
      <c r="T15237" s="318"/>
      <c r="U15237" s="318"/>
      <c r="V15237" s="318"/>
      <c r="W15237" s="318"/>
      <c r="X15237" s="318"/>
      <c r="Y15237" s="318"/>
      <c r="Z15237" s="318"/>
      <c r="AA15237" s="318"/>
      <c r="AB15237" s="318"/>
      <c r="AC15237" s="318"/>
      <c r="AD15237" s="318"/>
    </row>
    <row r="15238" spans="2:30" s="323" customFormat="1" ht="12" customHeight="1">
      <c r="B15238" s="324"/>
      <c r="C15238" s="325"/>
      <c r="D15238" s="326"/>
      <c r="E15238" s="326"/>
      <c r="F15238" s="326"/>
      <c r="G15238" s="326"/>
      <c r="H15238" s="326"/>
      <c r="P15238" s="318"/>
      <c r="Q15238" s="318"/>
      <c r="R15238" s="318"/>
      <c r="S15238" s="318"/>
      <c r="T15238" s="318"/>
      <c r="U15238" s="318"/>
      <c r="V15238" s="318"/>
      <c r="W15238" s="318"/>
      <c r="X15238" s="318"/>
      <c r="Y15238" s="318"/>
      <c r="Z15238" s="318"/>
      <c r="AA15238" s="318"/>
      <c r="AB15238" s="318"/>
      <c r="AC15238" s="318"/>
      <c r="AD15238" s="318"/>
    </row>
    <row r="15239" spans="2:30" s="323" customFormat="1" ht="12" customHeight="1">
      <c r="B15239" s="324"/>
      <c r="C15239" s="325"/>
      <c r="D15239" s="326"/>
      <c r="E15239" s="326"/>
      <c r="F15239" s="326"/>
      <c r="G15239" s="326"/>
      <c r="H15239" s="326"/>
      <c r="P15239" s="318"/>
      <c r="Q15239" s="318"/>
      <c r="R15239" s="318"/>
      <c r="S15239" s="318"/>
      <c r="T15239" s="318"/>
      <c r="U15239" s="318"/>
      <c r="V15239" s="318"/>
      <c r="W15239" s="318"/>
      <c r="X15239" s="318"/>
      <c r="Y15239" s="318"/>
      <c r="Z15239" s="318"/>
      <c r="AA15239" s="318"/>
      <c r="AB15239" s="318"/>
      <c r="AC15239" s="318"/>
      <c r="AD15239" s="318"/>
    </row>
    <row r="15240" spans="2:30" s="323" customFormat="1" ht="12" customHeight="1">
      <c r="B15240" s="324"/>
      <c r="C15240" s="325"/>
      <c r="D15240" s="326"/>
      <c r="E15240" s="326"/>
      <c r="F15240" s="326"/>
      <c r="G15240" s="326"/>
      <c r="H15240" s="326"/>
      <c r="P15240" s="318"/>
      <c r="Q15240" s="318"/>
      <c r="R15240" s="318"/>
      <c r="S15240" s="318"/>
      <c r="T15240" s="318"/>
      <c r="U15240" s="318"/>
      <c r="V15240" s="318"/>
      <c r="W15240" s="318"/>
      <c r="X15240" s="318"/>
      <c r="Y15240" s="318"/>
      <c r="Z15240" s="318"/>
      <c r="AA15240" s="318"/>
      <c r="AB15240" s="318"/>
      <c r="AC15240" s="318"/>
      <c r="AD15240" s="318"/>
    </row>
    <row r="15241" spans="2:30" s="323" customFormat="1" ht="12" customHeight="1">
      <c r="B15241" s="324"/>
      <c r="C15241" s="325"/>
      <c r="D15241" s="326"/>
      <c r="E15241" s="326"/>
      <c r="F15241" s="326"/>
      <c r="G15241" s="326"/>
      <c r="H15241" s="326"/>
      <c r="P15241" s="318"/>
      <c r="Q15241" s="318"/>
      <c r="R15241" s="318"/>
      <c r="S15241" s="318"/>
      <c r="T15241" s="318"/>
      <c r="U15241" s="318"/>
      <c r="V15241" s="318"/>
      <c r="W15241" s="318"/>
      <c r="X15241" s="318"/>
      <c r="Y15241" s="318"/>
      <c r="Z15241" s="318"/>
      <c r="AA15241" s="318"/>
      <c r="AB15241" s="318"/>
      <c r="AC15241" s="318"/>
      <c r="AD15241" s="318"/>
    </row>
    <row r="15242" spans="2:30" s="323" customFormat="1" ht="12" customHeight="1">
      <c r="B15242" s="324"/>
      <c r="C15242" s="325"/>
      <c r="D15242" s="326"/>
      <c r="E15242" s="326"/>
      <c r="F15242" s="326"/>
      <c r="G15242" s="326"/>
      <c r="H15242" s="326"/>
      <c r="P15242" s="318"/>
      <c r="Q15242" s="318"/>
      <c r="R15242" s="318"/>
      <c r="S15242" s="318"/>
      <c r="T15242" s="318"/>
      <c r="U15242" s="318"/>
      <c r="V15242" s="318"/>
      <c r="W15242" s="318"/>
      <c r="X15242" s="318"/>
      <c r="Y15242" s="318"/>
      <c r="Z15242" s="318"/>
      <c r="AA15242" s="318"/>
      <c r="AB15242" s="318"/>
      <c r="AC15242" s="318"/>
      <c r="AD15242" s="318"/>
    </row>
    <row r="15243" spans="2:30" s="323" customFormat="1" ht="12" customHeight="1">
      <c r="B15243" s="324"/>
      <c r="C15243" s="325"/>
      <c r="D15243" s="326"/>
      <c r="E15243" s="326"/>
      <c r="F15243" s="326"/>
      <c r="G15243" s="326"/>
      <c r="H15243" s="326"/>
      <c r="P15243" s="318"/>
      <c r="Q15243" s="318"/>
      <c r="R15243" s="318"/>
      <c r="S15243" s="318"/>
      <c r="T15243" s="318"/>
      <c r="U15243" s="318"/>
      <c r="V15243" s="318"/>
      <c r="W15243" s="318"/>
      <c r="X15243" s="318"/>
      <c r="Y15243" s="318"/>
      <c r="Z15243" s="318"/>
      <c r="AA15243" s="318"/>
      <c r="AB15243" s="318"/>
      <c r="AC15243" s="318"/>
      <c r="AD15243" s="318"/>
    </row>
    <row r="15244" spans="2:30" s="323" customFormat="1" ht="12" customHeight="1">
      <c r="B15244" s="324"/>
      <c r="C15244" s="325"/>
      <c r="D15244" s="326"/>
      <c r="E15244" s="326"/>
      <c r="F15244" s="326"/>
      <c r="G15244" s="326"/>
      <c r="H15244" s="326"/>
      <c r="P15244" s="318"/>
      <c r="Q15244" s="318"/>
      <c r="R15244" s="318"/>
      <c r="S15244" s="318"/>
      <c r="T15244" s="318"/>
      <c r="U15244" s="318"/>
      <c r="V15244" s="318"/>
      <c r="W15244" s="318"/>
      <c r="X15244" s="318"/>
      <c r="Y15244" s="318"/>
      <c r="Z15244" s="318"/>
      <c r="AA15244" s="318"/>
      <c r="AB15244" s="318"/>
      <c r="AC15244" s="318"/>
      <c r="AD15244" s="318"/>
    </row>
    <row r="15245" spans="2:30" s="323" customFormat="1" ht="12" customHeight="1">
      <c r="B15245" s="324"/>
      <c r="C15245" s="325"/>
      <c r="D15245" s="326"/>
      <c r="E15245" s="326"/>
      <c r="F15245" s="326"/>
      <c r="G15245" s="326"/>
      <c r="H15245" s="326"/>
      <c r="P15245" s="318"/>
      <c r="Q15245" s="318"/>
      <c r="R15245" s="318"/>
      <c r="S15245" s="318"/>
      <c r="T15245" s="318"/>
      <c r="U15245" s="318"/>
      <c r="V15245" s="318"/>
      <c r="W15245" s="318"/>
      <c r="X15245" s="318"/>
      <c r="Y15245" s="318"/>
      <c r="Z15245" s="318"/>
      <c r="AA15245" s="318"/>
      <c r="AB15245" s="318"/>
      <c r="AC15245" s="318"/>
      <c r="AD15245" s="318"/>
    </row>
    <row r="15246" spans="2:30" s="323" customFormat="1" ht="12" customHeight="1">
      <c r="B15246" s="324"/>
      <c r="C15246" s="325"/>
      <c r="D15246" s="326"/>
      <c r="E15246" s="326"/>
      <c r="F15246" s="326"/>
      <c r="G15246" s="326"/>
      <c r="H15246" s="326"/>
      <c r="P15246" s="318"/>
      <c r="Q15246" s="318"/>
      <c r="R15246" s="318"/>
      <c r="S15246" s="318"/>
      <c r="T15246" s="318"/>
      <c r="U15246" s="318"/>
      <c r="V15246" s="318"/>
      <c r="W15246" s="318"/>
      <c r="X15246" s="318"/>
      <c r="Y15246" s="318"/>
      <c r="Z15246" s="318"/>
      <c r="AA15246" s="318"/>
      <c r="AB15246" s="318"/>
      <c r="AC15246" s="318"/>
      <c r="AD15246" s="318"/>
    </row>
    <row r="15247" spans="2:30" s="323" customFormat="1" ht="12" customHeight="1">
      <c r="B15247" s="324"/>
      <c r="C15247" s="325"/>
      <c r="D15247" s="326"/>
      <c r="E15247" s="326"/>
      <c r="F15247" s="326"/>
      <c r="G15247" s="326"/>
      <c r="H15247" s="326"/>
      <c r="P15247" s="318"/>
      <c r="Q15247" s="318"/>
      <c r="R15247" s="318"/>
      <c r="S15247" s="318"/>
      <c r="T15247" s="318"/>
      <c r="U15247" s="318"/>
      <c r="V15247" s="318"/>
      <c r="W15247" s="318"/>
      <c r="X15247" s="318"/>
      <c r="Y15247" s="318"/>
      <c r="Z15247" s="318"/>
      <c r="AA15247" s="318"/>
      <c r="AB15247" s="318"/>
      <c r="AC15247" s="318"/>
      <c r="AD15247" s="318"/>
    </row>
    <row r="15248" spans="2:30" s="323" customFormat="1" ht="12" customHeight="1">
      <c r="B15248" s="324"/>
      <c r="C15248" s="325"/>
      <c r="D15248" s="326"/>
      <c r="E15248" s="326"/>
      <c r="F15248" s="326"/>
      <c r="G15248" s="326"/>
      <c r="H15248" s="326"/>
      <c r="P15248" s="318"/>
      <c r="Q15248" s="318"/>
      <c r="R15248" s="318"/>
      <c r="S15248" s="318"/>
      <c r="T15248" s="318"/>
      <c r="U15248" s="318"/>
      <c r="V15248" s="318"/>
      <c r="W15248" s="318"/>
      <c r="X15248" s="318"/>
      <c r="Y15248" s="318"/>
      <c r="Z15248" s="318"/>
      <c r="AA15248" s="318"/>
      <c r="AB15248" s="318"/>
      <c r="AC15248" s="318"/>
      <c r="AD15248" s="318"/>
    </row>
    <row r="15249" spans="2:30" s="323" customFormat="1" ht="12" customHeight="1">
      <c r="B15249" s="324"/>
      <c r="C15249" s="325"/>
      <c r="D15249" s="326"/>
      <c r="E15249" s="326"/>
      <c r="F15249" s="326"/>
      <c r="G15249" s="326"/>
      <c r="H15249" s="326"/>
      <c r="P15249" s="318"/>
      <c r="Q15249" s="318"/>
      <c r="R15249" s="318"/>
      <c r="S15249" s="318"/>
      <c r="T15249" s="318"/>
      <c r="U15249" s="318"/>
      <c r="V15249" s="318"/>
      <c r="W15249" s="318"/>
      <c r="X15249" s="318"/>
      <c r="Y15249" s="318"/>
      <c r="Z15249" s="318"/>
      <c r="AA15249" s="318"/>
      <c r="AB15249" s="318"/>
      <c r="AC15249" s="318"/>
      <c r="AD15249" s="318"/>
    </row>
    <row r="15250" spans="2:30" s="323" customFormat="1" ht="12" customHeight="1">
      <c r="B15250" s="324"/>
      <c r="C15250" s="325"/>
      <c r="D15250" s="326"/>
      <c r="E15250" s="326"/>
      <c r="F15250" s="326"/>
      <c r="G15250" s="326"/>
      <c r="H15250" s="326"/>
      <c r="P15250" s="318"/>
      <c r="Q15250" s="318"/>
      <c r="R15250" s="318"/>
      <c r="S15250" s="318"/>
      <c r="T15250" s="318"/>
      <c r="U15250" s="318"/>
      <c r="V15250" s="318"/>
      <c r="W15250" s="318"/>
      <c r="X15250" s="318"/>
      <c r="Y15250" s="318"/>
      <c r="Z15250" s="318"/>
      <c r="AA15250" s="318"/>
      <c r="AB15250" s="318"/>
      <c r="AC15250" s="318"/>
      <c r="AD15250" s="318"/>
    </row>
    <row r="15251" spans="2:30" s="323" customFormat="1" ht="12" customHeight="1">
      <c r="B15251" s="324"/>
      <c r="C15251" s="325"/>
      <c r="D15251" s="326"/>
      <c r="E15251" s="326"/>
      <c r="F15251" s="326"/>
      <c r="G15251" s="326"/>
      <c r="H15251" s="326"/>
      <c r="P15251" s="318"/>
      <c r="Q15251" s="318"/>
      <c r="R15251" s="318"/>
      <c r="S15251" s="318"/>
      <c r="T15251" s="318"/>
      <c r="U15251" s="318"/>
      <c r="V15251" s="318"/>
      <c r="W15251" s="318"/>
      <c r="X15251" s="318"/>
      <c r="Y15251" s="318"/>
      <c r="Z15251" s="318"/>
      <c r="AA15251" s="318"/>
      <c r="AB15251" s="318"/>
      <c r="AC15251" s="318"/>
      <c r="AD15251" s="318"/>
    </row>
    <row r="15252" spans="2:30" s="323" customFormat="1" ht="12" customHeight="1">
      <c r="B15252" s="324"/>
      <c r="C15252" s="325"/>
      <c r="D15252" s="326"/>
      <c r="E15252" s="326"/>
      <c r="F15252" s="326"/>
      <c r="G15252" s="326"/>
      <c r="H15252" s="326"/>
      <c r="P15252" s="318"/>
      <c r="Q15252" s="318"/>
      <c r="R15252" s="318"/>
      <c r="S15252" s="318"/>
      <c r="T15252" s="318"/>
      <c r="U15252" s="318"/>
      <c r="V15252" s="318"/>
      <c r="W15252" s="318"/>
      <c r="X15252" s="318"/>
      <c r="Y15252" s="318"/>
      <c r="Z15252" s="318"/>
      <c r="AA15252" s="318"/>
      <c r="AB15252" s="318"/>
      <c r="AC15252" s="318"/>
      <c r="AD15252" s="318"/>
    </row>
    <row r="15253" spans="2:30" s="323" customFormat="1" ht="12" customHeight="1">
      <c r="B15253" s="324"/>
      <c r="C15253" s="325"/>
      <c r="D15253" s="326"/>
      <c r="E15253" s="326"/>
      <c r="F15253" s="326"/>
      <c r="G15253" s="326"/>
      <c r="H15253" s="326"/>
      <c r="P15253" s="318"/>
      <c r="Q15253" s="318"/>
      <c r="R15253" s="318"/>
      <c r="S15253" s="318"/>
      <c r="T15253" s="318"/>
      <c r="U15253" s="318"/>
      <c r="V15253" s="318"/>
      <c r="W15253" s="318"/>
      <c r="X15253" s="318"/>
      <c r="Y15253" s="318"/>
      <c r="Z15253" s="318"/>
      <c r="AA15253" s="318"/>
      <c r="AB15253" s="318"/>
      <c r="AC15253" s="318"/>
      <c r="AD15253" s="318"/>
    </row>
    <row r="15254" spans="2:30" s="323" customFormat="1" ht="12" customHeight="1">
      <c r="B15254" s="324"/>
      <c r="C15254" s="325"/>
      <c r="D15254" s="326"/>
      <c r="E15254" s="326"/>
      <c r="F15254" s="326"/>
      <c r="G15254" s="326"/>
      <c r="H15254" s="326"/>
      <c r="P15254" s="318"/>
      <c r="Q15254" s="318"/>
      <c r="R15254" s="318"/>
      <c r="S15254" s="318"/>
      <c r="T15254" s="318"/>
      <c r="U15254" s="318"/>
      <c r="V15254" s="318"/>
      <c r="W15254" s="318"/>
      <c r="X15254" s="318"/>
      <c r="Y15254" s="318"/>
      <c r="Z15254" s="318"/>
      <c r="AA15254" s="318"/>
      <c r="AB15254" s="318"/>
      <c r="AC15254" s="318"/>
      <c r="AD15254" s="318"/>
    </row>
    <row r="15255" spans="2:30" s="323" customFormat="1" ht="12" customHeight="1">
      <c r="B15255" s="324"/>
      <c r="C15255" s="325"/>
      <c r="D15255" s="326"/>
      <c r="E15255" s="326"/>
      <c r="F15255" s="326"/>
      <c r="G15255" s="326"/>
      <c r="H15255" s="326"/>
      <c r="P15255" s="318"/>
      <c r="Q15255" s="318"/>
      <c r="R15255" s="318"/>
      <c r="S15255" s="318"/>
      <c r="T15255" s="318"/>
      <c r="U15255" s="318"/>
      <c r="V15255" s="318"/>
      <c r="W15255" s="318"/>
      <c r="X15255" s="318"/>
      <c r="Y15255" s="318"/>
      <c r="Z15255" s="318"/>
      <c r="AA15255" s="318"/>
      <c r="AB15255" s="318"/>
      <c r="AC15255" s="318"/>
      <c r="AD15255" s="318"/>
    </row>
    <row r="15256" spans="2:30" s="323" customFormat="1" ht="12" customHeight="1">
      <c r="B15256" s="324"/>
      <c r="C15256" s="325"/>
      <c r="D15256" s="326"/>
      <c r="E15256" s="326"/>
      <c r="F15256" s="326"/>
      <c r="G15256" s="326"/>
      <c r="H15256" s="326"/>
      <c r="P15256" s="318"/>
      <c r="Q15256" s="318"/>
      <c r="R15256" s="318"/>
      <c r="S15256" s="318"/>
      <c r="T15256" s="318"/>
      <c r="U15256" s="318"/>
      <c r="V15256" s="318"/>
      <c r="W15256" s="318"/>
      <c r="X15256" s="318"/>
      <c r="Y15256" s="318"/>
      <c r="Z15256" s="318"/>
      <c r="AA15256" s="318"/>
      <c r="AB15256" s="318"/>
      <c r="AC15256" s="318"/>
      <c r="AD15256" s="318"/>
    </row>
    <row r="15257" spans="2:30" s="323" customFormat="1" ht="12" customHeight="1">
      <c r="B15257" s="324"/>
      <c r="C15257" s="325"/>
      <c r="D15257" s="326"/>
      <c r="E15257" s="326"/>
      <c r="F15257" s="326"/>
      <c r="G15257" s="326"/>
      <c r="H15257" s="326"/>
      <c r="P15257" s="318"/>
      <c r="Q15257" s="318"/>
      <c r="R15257" s="318"/>
      <c r="S15257" s="318"/>
      <c r="T15257" s="318"/>
      <c r="U15257" s="318"/>
      <c r="V15257" s="318"/>
      <c r="W15257" s="318"/>
      <c r="X15257" s="318"/>
      <c r="Y15257" s="318"/>
      <c r="Z15257" s="318"/>
      <c r="AA15257" s="318"/>
      <c r="AB15257" s="318"/>
      <c r="AC15257" s="318"/>
      <c r="AD15257" s="318"/>
    </row>
    <row r="15258" spans="2:30" s="323" customFormat="1" ht="12" customHeight="1">
      <c r="B15258" s="324"/>
      <c r="C15258" s="325"/>
      <c r="D15258" s="326"/>
      <c r="E15258" s="326"/>
      <c r="F15258" s="326"/>
      <c r="G15258" s="326"/>
      <c r="H15258" s="326"/>
      <c r="P15258" s="318"/>
      <c r="Q15258" s="318"/>
      <c r="R15258" s="318"/>
      <c r="S15258" s="318"/>
      <c r="T15258" s="318"/>
      <c r="U15258" s="318"/>
      <c r="V15258" s="318"/>
      <c r="W15258" s="318"/>
      <c r="X15258" s="318"/>
      <c r="Y15258" s="318"/>
      <c r="Z15258" s="318"/>
      <c r="AA15258" s="318"/>
      <c r="AB15258" s="318"/>
      <c r="AC15258" s="318"/>
      <c r="AD15258" s="318"/>
    </row>
    <row r="15259" spans="2:30" s="323" customFormat="1" ht="12" customHeight="1">
      <c r="B15259" s="324"/>
      <c r="C15259" s="325"/>
      <c r="D15259" s="326"/>
      <c r="E15259" s="326"/>
      <c r="F15259" s="326"/>
      <c r="G15259" s="326"/>
      <c r="H15259" s="326"/>
      <c r="P15259" s="318"/>
      <c r="Q15259" s="318"/>
      <c r="R15259" s="318"/>
      <c r="S15259" s="318"/>
      <c r="T15259" s="318"/>
      <c r="U15259" s="318"/>
      <c r="V15259" s="318"/>
      <c r="W15259" s="318"/>
      <c r="X15259" s="318"/>
      <c r="Y15259" s="318"/>
      <c r="Z15259" s="318"/>
      <c r="AA15259" s="318"/>
      <c r="AB15259" s="318"/>
      <c r="AC15259" s="318"/>
      <c r="AD15259" s="318"/>
    </row>
    <row r="15260" spans="2:30" s="323" customFormat="1" ht="12" customHeight="1">
      <c r="B15260" s="324"/>
      <c r="C15260" s="325"/>
      <c r="D15260" s="326"/>
      <c r="E15260" s="326"/>
      <c r="F15260" s="326"/>
      <c r="G15260" s="326"/>
      <c r="H15260" s="326"/>
      <c r="P15260" s="318"/>
      <c r="Q15260" s="318"/>
      <c r="R15260" s="318"/>
      <c r="S15260" s="318"/>
      <c r="T15260" s="318"/>
      <c r="U15260" s="318"/>
      <c r="V15260" s="318"/>
      <c r="W15260" s="318"/>
      <c r="X15260" s="318"/>
      <c r="Y15260" s="318"/>
      <c r="Z15260" s="318"/>
      <c r="AA15260" s="318"/>
      <c r="AB15260" s="318"/>
      <c r="AC15260" s="318"/>
      <c r="AD15260" s="318"/>
    </row>
    <row r="15261" spans="2:30" s="323" customFormat="1" ht="12" customHeight="1">
      <c r="B15261" s="324"/>
      <c r="C15261" s="325"/>
      <c r="D15261" s="326"/>
      <c r="E15261" s="326"/>
      <c r="F15261" s="326"/>
      <c r="G15261" s="326"/>
      <c r="H15261" s="326"/>
      <c r="P15261" s="318"/>
      <c r="Q15261" s="318"/>
      <c r="R15261" s="318"/>
      <c r="S15261" s="318"/>
      <c r="T15261" s="318"/>
      <c r="U15261" s="318"/>
      <c r="V15261" s="318"/>
      <c r="W15261" s="318"/>
      <c r="X15261" s="318"/>
      <c r="Y15261" s="318"/>
      <c r="Z15261" s="318"/>
      <c r="AA15261" s="318"/>
      <c r="AB15261" s="318"/>
      <c r="AC15261" s="318"/>
      <c r="AD15261" s="318"/>
    </row>
    <row r="15262" spans="2:30" s="323" customFormat="1" ht="12" customHeight="1">
      <c r="B15262" s="324"/>
      <c r="C15262" s="325"/>
      <c r="D15262" s="326"/>
      <c r="E15262" s="326"/>
      <c r="F15262" s="326"/>
      <c r="G15262" s="326"/>
      <c r="H15262" s="326"/>
      <c r="P15262" s="318"/>
      <c r="Q15262" s="318"/>
      <c r="R15262" s="318"/>
      <c r="S15262" s="318"/>
      <c r="T15262" s="318"/>
      <c r="U15262" s="318"/>
      <c r="V15262" s="318"/>
      <c r="W15262" s="318"/>
      <c r="X15262" s="318"/>
      <c r="Y15262" s="318"/>
      <c r="Z15262" s="318"/>
      <c r="AA15262" s="318"/>
      <c r="AB15262" s="318"/>
      <c r="AC15262" s="318"/>
      <c r="AD15262" s="318"/>
    </row>
    <row r="15263" spans="2:30" s="323" customFormat="1" ht="12" customHeight="1">
      <c r="B15263" s="324"/>
      <c r="C15263" s="325"/>
      <c r="D15263" s="326"/>
      <c r="E15263" s="326"/>
      <c r="F15263" s="326"/>
      <c r="G15263" s="326"/>
      <c r="H15263" s="326"/>
      <c r="P15263" s="318"/>
      <c r="Q15263" s="318"/>
      <c r="R15263" s="318"/>
      <c r="S15263" s="318"/>
      <c r="T15263" s="318"/>
      <c r="U15263" s="318"/>
      <c r="V15263" s="318"/>
      <c r="W15263" s="318"/>
      <c r="X15263" s="318"/>
      <c r="Y15263" s="318"/>
      <c r="Z15263" s="318"/>
      <c r="AA15263" s="318"/>
      <c r="AB15263" s="318"/>
      <c r="AC15263" s="318"/>
      <c r="AD15263" s="318"/>
    </row>
    <row r="15264" spans="2:30" s="323" customFormat="1" ht="12" customHeight="1">
      <c r="B15264" s="324"/>
      <c r="C15264" s="325"/>
      <c r="D15264" s="326"/>
      <c r="E15264" s="326"/>
      <c r="F15264" s="326"/>
      <c r="G15264" s="326"/>
      <c r="H15264" s="326"/>
      <c r="P15264" s="318"/>
      <c r="Q15264" s="318"/>
      <c r="R15264" s="318"/>
      <c r="S15264" s="318"/>
      <c r="T15264" s="318"/>
      <c r="U15264" s="318"/>
      <c r="V15264" s="318"/>
      <c r="W15264" s="318"/>
      <c r="X15264" s="318"/>
      <c r="Y15264" s="318"/>
      <c r="Z15264" s="318"/>
      <c r="AA15264" s="318"/>
      <c r="AB15264" s="318"/>
      <c r="AC15264" s="318"/>
      <c r="AD15264" s="318"/>
    </row>
    <row r="15265" spans="2:30" s="323" customFormat="1" ht="12" customHeight="1">
      <c r="B15265" s="324"/>
      <c r="C15265" s="325"/>
      <c r="D15265" s="326"/>
      <c r="E15265" s="326"/>
      <c r="F15265" s="326"/>
      <c r="G15265" s="326"/>
      <c r="H15265" s="326"/>
      <c r="P15265" s="318"/>
      <c r="Q15265" s="318"/>
      <c r="R15265" s="318"/>
      <c r="S15265" s="318"/>
      <c r="T15265" s="318"/>
      <c r="U15265" s="318"/>
      <c r="V15265" s="318"/>
      <c r="W15265" s="318"/>
      <c r="X15265" s="318"/>
      <c r="Y15265" s="318"/>
      <c r="Z15265" s="318"/>
      <c r="AA15265" s="318"/>
      <c r="AB15265" s="318"/>
      <c r="AC15265" s="318"/>
      <c r="AD15265" s="318"/>
    </row>
    <row r="15266" spans="2:30" s="323" customFormat="1" ht="12" customHeight="1">
      <c r="B15266" s="324"/>
      <c r="C15266" s="325"/>
      <c r="D15266" s="326"/>
      <c r="E15266" s="326"/>
      <c r="F15266" s="326"/>
      <c r="G15266" s="326"/>
      <c r="H15266" s="326"/>
      <c r="P15266" s="318"/>
      <c r="Q15266" s="318"/>
      <c r="R15266" s="318"/>
      <c r="S15266" s="318"/>
      <c r="T15266" s="318"/>
      <c r="U15266" s="318"/>
      <c r="V15266" s="318"/>
      <c r="W15266" s="318"/>
      <c r="X15266" s="318"/>
      <c r="Y15266" s="318"/>
      <c r="Z15266" s="318"/>
      <c r="AA15266" s="318"/>
      <c r="AB15266" s="318"/>
      <c r="AC15266" s="318"/>
      <c r="AD15266" s="318"/>
    </row>
    <row r="15267" spans="2:30" s="323" customFormat="1" ht="12" customHeight="1">
      <c r="B15267" s="324"/>
      <c r="C15267" s="325"/>
      <c r="D15267" s="326"/>
      <c r="E15267" s="326"/>
      <c r="F15267" s="326"/>
      <c r="G15267" s="326"/>
      <c r="H15267" s="326"/>
      <c r="P15267" s="318"/>
      <c r="Q15267" s="318"/>
      <c r="R15267" s="318"/>
      <c r="S15267" s="318"/>
      <c r="T15267" s="318"/>
      <c r="U15267" s="318"/>
      <c r="V15267" s="318"/>
      <c r="W15267" s="318"/>
      <c r="X15267" s="318"/>
      <c r="Y15267" s="318"/>
      <c r="Z15267" s="318"/>
      <c r="AA15267" s="318"/>
      <c r="AB15267" s="318"/>
      <c r="AC15267" s="318"/>
      <c r="AD15267" s="318"/>
    </row>
    <row r="15268" spans="2:30" s="323" customFormat="1" ht="12" customHeight="1">
      <c r="B15268" s="324"/>
      <c r="C15268" s="325"/>
      <c r="D15268" s="326"/>
      <c r="E15268" s="326"/>
      <c r="F15268" s="326"/>
      <c r="G15268" s="326"/>
      <c r="H15268" s="326"/>
      <c r="P15268" s="318"/>
      <c r="Q15268" s="318"/>
      <c r="R15268" s="318"/>
      <c r="S15268" s="318"/>
      <c r="T15268" s="318"/>
      <c r="U15268" s="318"/>
      <c r="V15268" s="318"/>
      <c r="W15268" s="318"/>
      <c r="X15268" s="318"/>
      <c r="Y15268" s="318"/>
      <c r="Z15268" s="318"/>
      <c r="AA15268" s="318"/>
      <c r="AB15268" s="318"/>
      <c r="AC15268" s="318"/>
      <c r="AD15268" s="318"/>
    </row>
    <row r="15269" spans="2:30" s="323" customFormat="1" ht="12" customHeight="1">
      <c r="B15269" s="324"/>
      <c r="C15269" s="325"/>
      <c r="D15269" s="326"/>
      <c r="E15269" s="326"/>
      <c r="F15269" s="326"/>
      <c r="G15269" s="326"/>
      <c r="H15269" s="326"/>
      <c r="P15269" s="318"/>
      <c r="Q15269" s="318"/>
      <c r="R15269" s="318"/>
      <c r="S15269" s="318"/>
      <c r="T15269" s="318"/>
      <c r="U15269" s="318"/>
      <c r="V15269" s="318"/>
      <c r="W15269" s="318"/>
      <c r="X15269" s="318"/>
      <c r="Y15269" s="318"/>
      <c r="Z15269" s="318"/>
      <c r="AA15269" s="318"/>
      <c r="AB15269" s="318"/>
      <c r="AC15269" s="318"/>
      <c r="AD15269" s="318"/>
    </row>
    <row r="15270" spans="2:30" s="323" customFormat="1" ht="12" customHeight="1">
      <c r="B15270" s="324"/>
      <c r="C15270" s="325"/>
      <c r="D15270" s="326"/>
      <c r="E15270" s="326"/>
      <c r="F15270" s="326"/>
      <c r="G15270" s="326"/>
      <c r="H15270" s="326"/>
      <c r="P15270" s="318"/>
      <c r="Q15270" s="318"/>
      <c r="R15270" s="318"/>
      <c r="S15270" s="318"/>
      <c r="T15270" s="318"/>
      <c r="U15270" s="318"/>
      <c r="V15270" s="318"/>
      <c r="W15270" s="318"/>
      <c r="X15270" s="318"/>
      <c r="Y15270" s="318"/>
      <c r="Z15270" s="318"/>
      <c r="AA15270" s="318"/>
      <c r="AB15270" s="318"/>
      <c r="AC15270" s="318"/>
      <c r="AD15270" s="318"/>
    </row>
    <row r="15271" spans="2:30" s="323" customFormat="1" ht="12" customHeight="1">
      <c r="B15271" s="324"/>
      <c r="C15271" s="325"/>
      <c r="D15271" s="326"/>
      <c r="E15271" s="326"/>
      <c r="F15271" s="326"/>
      <c r="G15271" s="326"/>
      <c r="H15271" s="326"/>
      <c r="P15271" s="318"/>
      <c r="Q15271" s="318"/>
      <c r="R15271" s="318"/>
      <c r="S15271" s="318"/>
      <c r="T15271" s="318"/>
      <c r="U15271" s="318"/>
      <c r="V15271" s="318"/>
      <c r="W15271" s="318"/>
      <c r="X15271" s="318"/>
      <c r="Y15271" s="318"/>
      <c r="Z15271" s="318"/>
      <c r="AA15271" s="318"/>
      <c r="AB15271" s="318"/>
      <c r="AC15271" s="318"/>
      <c r="AD15271" s="318"/>
    </row>
    <row r="15272" spans="2:30" s="323" customFormat="1" ht="12" customHeight="1">
      <c r="B15272" s="324"/>
      <c r="C15272" s="325"/>
      <c r="D15272" s="326"/>
      <c r="E15272" s="326"/>
      <c r="F15272" s="326"/>
      <c r="G15272" s="326"/>
      <c r="H15272" s="326"/>
      <c r="P15272" s="318"/>
      <c r="Q15272" s="318"/>
      <c r="R15272" s="318"/>
      <c r="S15272" s="318"/>
      <c r="T15272" s="318"/>
      <c r="U15272" s="318"/>
      <c r="V15272" s="318"/>
      <c r="W15272" s="318"/>
      <c r="X15272" s="318"/>
      <c r="Y15272" s="318"/>
      <c r="Z15272" s="318"/>
      <c r="AA15272" s="318"/>
      <c r="AB15272" s="318"/>
      <c r="AC15272" s="318"/>
      <c r="AD15272" s="318"/>
    </row>
    <row r="15273" spans="2:30" s="323" customFormat="1" ht="12" customHeight="1">
      <c r="B15273" s="324"/>
      <c r="C15273" s="325"/>
      <c r="D15273" s="326"/>
      <c r="E15273" s="326"/>
      <c r="F15273" s="326"/>
      <c r="G15273" s="326"/>
      <c r="H15273" s="326"/>
      <c r="P15273" s="318"/>
      <c r="Q15273" s="318"/>
      <c r="R15273" s="318"/>
      <c r="S15273" s="318"/>
      <c r="T15273" s="318"/>
      <c r="U15273" s="318"/>
      <c r="V15273" s="318"/>
      <c r="W15273" s="318"/>
      <c r="X15273" s="318"/>
      <c r="Y15273" s="318"/>
      <c r="Z15273" s="318"/>
      <c r="AA15273" s="318"/>
      <c r="AB15273" s="318"/>
      <c r="AC15273" s="318"/>
      <c r="AD15273" s="318"/>
    </row>
    <row r="15274" spans="2:30" s="323" customFormat="1" ht="12" customHeight="1">
      <c r="B15274" s="324"/>
      <c r="C15274" s="325"/>
      <c r="D15274" s="326"/>
      <c r="E15274" s="326"/>
      <c r="F15274" s="326"/>
      <c r="G15274" s="326"/>
      <c r="H15274" s="326"/>
      <c r="P15274" s="318"/>
      <c r="Q15274" s="318"/>
      <c r="R15274" s="318"/>
      <c r="S15274" s="318"/>
      <c r="T15274" s="318"/>
      <c r="U15274" s="318"/>
      <c r="V15274" s="318"/>
      <c r="W15274" s="318"/>
      <c r="X15274" s="318"/>
      <c r="Y15274" s="318"/>
      <c r="Z15274" s="318"/>
      <c r="AA15274" s="318"/>
      <c r="AB15274" s="318"/>
      <c r="AC15274" s="318"/>
      <c r="AD15274" s="318"/>
    </row>
    <row r="15275" spans="2:30" s="323" customFormat="1" ht="12" customHeight="1">
      <c r="B15275" s="324"/>
      <c r="C15275" s="325"/>
      <c r="D15275" s="326"/>
      <c r="E15275" s="326"/>
      <c r="F15275" s="326"/>
      <c r="G15275" s="326"/>
      <c r="H15275" s="326"/>
      <c r="P15275" s="318"/>
      <c r="Q15275" s="318"/>
      <c r="R15275" s="318"/>
      <c r="S15275" s="318"/>
      <c r="T15275" s="318"/>
      <c r="U15275" s="318"/>
      <c r="V15275" s="318"/>
      <c r="W15275" s="318"/>
      <c r="X15275" s="318"/>
      <c r="Y15275" s="318"/>
      <c r="Z15275" s="318"/>
      <c r="AA15275" s="318"/>
      <c r="AB15275" s="318"/>
      <c r="AC15275" s="318"/>
      <c r="AD15275" s="318"/>
    </row>
    <row r="15276" spans="2:30" s="323" customFormat="1" ht="12" customHeight="1">
      <c r="B15276" s="324"/>
      <c r="C15276" s="325"/>
      <c r="D15276" s="326"/>
      <c r="E15276" s="326"/>
      <c r="F15276" s="326"/>
      <c r="G15276" s="326"/>
      <c r="H15276" s="326"/>
      <c r="P15276" s="318"/>
      <c r="Q15276" s="318"/>
      <c r="R15276" s="318"/>
      <c r="S15276" s="318"/>
      <c r="T15276" s="318"/>
      <c r="U15276" s="318"/>
      <c r="V15276" s="318"/>
      <c r="W15276" s="318"/>
      <c r="X15276" s="318"/>
      <c r="Y15276" s="318"/>
      <c r="Z15276" s="318"/>
      <c r="AA15276" s="318"/>
      <c r="AB15276" s="318"/>
      <c r="AC15276" s="318"/>
      <c r="AD15276" s="318"/>
    </row>
    <row r="15277" spans="2:30" s="323" customFormat="1" ht="12" customHeight="1">
      <c r="B15277" s="324"/>
      <c r="C15277" s="325"/>
      <c r="D15277" s="326"/>
      <c r="E15277" s="326"/>
      <c r="F15277" s="326"/>
      <c r="G15277" s="326"/>
      <c r="H15277" s="326"/>
      <c r="P15277" s="318"/>
      <c r="Q15277" s="318"/>
      <c r="R15277" s="318"/>
      <c r="S15277" s="318"/>
      <c r="T15277" s="318"/>
      <c r="U15277" s="318"/>
      <c r="V15277" s="318"/>
      <c r="W15277" s="318"/>
      <c r="X15277" s="318"/>
      <c r="Y15277" s="318"/>
      <c r="Z15277" s="318"/>
      <c r="AA15277" s="318"/>
      <c r="AB15277" s="318"/>
      <c r="AC15277" s="318"/>
      <c r="AD15277" s="318"/>
    </row>
    <row r="15278" spans="2:30" s="323" customFormat="1" ht="12" customHeight="1">
      <c r="B15278" s="324"/>
      <c r="C15278" s="325"/>
      <c r="D15278" s="326"/>
      <c r="E15278" s="326"/>
      <c r="F15278" s="326"/>
      <c r="G15278" s="326"/>
      <c r="H15278" s="326"/>
      <c r="P15278" s="318"/>
      <c r="Q15278" s="318"/>
      <c r="R15278" s="318"/>
      <c r="S15278" s="318"/>
      <c r="T15278" s="318"/>
      <c r="U15278" s="318"/>
      <c r="V15278" s="318"/>
      <c r="W15278" s="318"/>
      <c r="X15278" s="318"/>
      <c r="Y15278" s="318"/>
      <c r="Z15278" s="318"/>
      <c r="AA15278" s="318"/>
      <c r="AB15278" s="318"/>
      <c r="AC15278" s="318"/>
      <c r="AD15278" s="318"/>
    </row>
    <row r="15279" spans="2:30" s="323" customFormat="1" ht="12" customHeight="1">
      <c r="B15279" s="324"/>
      <c r="C15279" s="325"/>
      <c r="D15279" s="326"/>
      <c r="E15279" s="326"/>
      <c r="F15279" s="326"/>
      <c r="G15279" s="326"/>
      <c r="H15279" s="326"/>
      <c r="P15279" s="318"/>
      <c r="Q15279" s="318"/>
      <c r="R15279" s="318"/>
      <c r="S15279" s="318"/>
      <c r="T15279" s="318"/>
      <c r="U15279" s="318"/>
      <c r="V15279" s="318"/>
      <c r="W15279" s="318"/>
      <c r="X15279" s="318"/>
      <c r="Y15279" s="318"/>
      <c r="Z15279" s="318"/>
      <c r="AA15279" s="318"/>
      <c r="AB15279" s="318"/>
      <c r="AC15279" s="318"/>
      <c r="AD15279" s="318"/>
    </row>
    <row r="15280" spans="2:30" s="323" customFormat="1" ht="12" customHeight="1">
      <c r="B15280" s="324"/>
      <c r="C15280" s="325"/>
      <c r="D15280" s="326"/>
      <c r="E15280" s="326"/>
      <c r="F15280" s="326"/>
      <c r="G15280" s="326"/>
      <c r="H15280" s="326"/>
      <c r="P15280" s="318"/>
      <c r="Q15280" s="318"/>
      <c r="R15280" s="318"/>
      <c r="S15280" s="318"/>
      <c r="T15280" s="318"/>
      <c r="U15280" s="318"/>
      <c r="V15280" s="318"/>
      <c r="W15280" s="318"/>
      <c r="X15280" s="318"/>
      <c r="Y15280" s="318"/>
      <c r="Z15280" s="318"/>
      <c r="AA15280" s="318"/>
      <c r="AB15280" s="318"/>
      <c r="AC15280" s="318"/>
      <c r="AD15280" s="318"/>
    </row>
    <row r="15281" spans="2:30" s="323" customFormat="1" ht="12" customHeight="1">
      <c r="B15281" s="324"/>
      <c r="C15281" s="325"/>
      <c r="D15281" s="326"/>
      <c r="E15281" s="326"/>
      <c r="F15281" s="326"/>
      <c r="G15281" s="326"/>
      <c r="H15281" s="326"/>
      <c r="P15281" s="318"/>
      <c r="Q15281" s="318"/>
      <c r="R15281" s="318"/>
      <c r="S15281" s="318"/>
      <c r="T15281" s="318"/>
      <c r="U15281" s="318"/>
      <c r="V15281" s="318"/>
      <c r="W15281" s="318"/>
      <c r="X15281" s="318"/>
      <c r="Y15281" s="318"/>
      <c r="Z15281" s="318"/>
      <c r="AA15281" s="318"/>
      <c r="AB15281" s="318"/>
      <c r="AC15281" s="318"/>
      <c r="AD15281" s="318"/>
    </row>
    <row r="15282" spans="2:30" s="323" customFormat="1" ht="12" customHeight="1">
      <c r="B15282" s="324"/>
      <c r="C15282" s="325"/>
      <c r="D15282" s="326"/>
      <c r="E15282" s="326"/>
      <c r="F15282" s="326"/>
      <c r="G15282" s="326"/>
      <c r="H15282" s="326"/>
      <c r="P15282" s="318"/>
      <c r="Q15282" s="318"/>
      <c r="R15282" s="318"/>
      <c r="S15282" s="318"/>
      <c r="T15282" s="318"/>
      <c r="U15282" s="318"/>
      <c r="V15282" s="318"/>
      <c r="W15282" s="318"/>
      <c r="X15282" s="318"/>
      <c r="Y15282" s="318"/>
      <c r="Z15282" s="318"/>
      <c r="AA15282" s="318"/>
      <c r="AB15282" s="318"/>
      <c r="AC15282" s="318"/>
      <c r="AD15282" s="318"/>
    </row>
    <row r="15283" spans="2:30" s="323" customFormat="1" ht="12" customHeight="1">
      <c r="B15283" s="324"/>
      <c r="C15283" s="325"/>
      <c r="D15283" s="326"/>
      <c r="E15283" s="326"/>
      <c r="F15283" s="326"/>
      <c r="G15283" s="326"/>
      <c r="H15283" s="326"/>
      <c r="P15283" s="318"/>
      <c r="Q15283" s="318"/>
      <c r="R15283" s="318"/>
      <c r="S15283" s="318"/>
      <c r="T15283" s="318"/>
      <c r="U15283" s="318"/>
      <c r="V15283" s="318"/>
      <c r="W15283" s="318"/>
      <c r="X15283" s="318"/>
      <c r="Y15283" s="318"/>
      <c r="Z15283" s="318"/>
      <c r="AA15283" s="318"/>
      <c r="AB15283" s="318"/>
      <c r="AC15283" s="318"/>
      <c r="AD15283" s="318"/>
    </row>
    <row r="15284" spans="2:30" s="323" customFormat="1" ht="12" customHeight="1">
      <c r="B15284" s="324"/>
      <c r="C15284" s="325"/>
      <c r="D15284" s="326"/>
      <c r="E15284" s="326"/>
      <c r="F15284" s="326"/>
      <c r="G15284" s="326"/>
      <c r="H15284" s="326"/>
      <c r="P15284" s="318"/>
      <c r="Q15284" s="318"/>
      <c r="R15284" s="318"/>
      <c r="S15284" s="318"/>
      <c r="T15284" s="318"/>
      <c r="U15284" s="318"/>
      <c r="V15284" s="318"/>
      <c r="W15284" s="318"/>
      <c r="X15284" s="318"/>
      <c r="Y15284" s="318"/>
      <c r="Z15284" s="318"/>
      <c r="AA15284" s="318"/>
      <c r="AB15284" s="318"/>
      <c r="AC15284" s="318"/>
      <c r="AD15284" s="318"/>
    </row>
    <row r="15285" spans="2:30" s="323" customFormat="1" ht="12" customHeight="1">
      <c r="B15285" s="324"/>
      <c r="C15285" s="325"/>
      <c r="D15285" s="326"/>
      <c r="E15285" s="326"/>
      <c r="F15285" s="326"/>
      <c r="G15285" s="326"/>
      <c r="H15285" s="326"/>
      <c r="P15285" s="318"/>
      <c r="Q15285" s="318"/>
      <c r="R15285" s="318"/>
      <c r="S15285" s="318"/>
      <c r="T15285" s="318"/>
      <c r="U15285" s="318"/>
      <c r="V15285" s="318"/>
      <c r="W15285" s="318"/>
      <c r="X15285" s="318"/>
      <c r="Y15285" s="318"/>
      <c r="Z15285" s="318"/>
      <c r="AA15285" s="318"/>
      <c r="AB15285" s="318"/>
      <c r="AC15285" s="318"/>
      <c r="AD15285" s="318"/>
    </row>
    <row r="15286" spans="2:30" s="323" customFormat="1" ht="12" customHeight="1">
      <c r="B15286" s="324"/>
      <c r="C15286" s="325"/>
      <c r="D15286" s="326"/>
      <c r="E15286" s="326"/>
      <c r="F15286" s="326"/>
      <c r="G15286" s="326"/>
      <c r="H15286" s="326"/>
      <c r="P15286" s="318"/>
      <c r="Q15286" s="318"/>
      <c r="R15286" s="318"/>
      <c r="S15286" s="318"/>
      <c r="T15286" s="318"/>
      <c r="U15286" s="318"/>
      <c r="V15286" s="318"/>
      <c r="W15286" s="318"/>
      <c r="X15286" s="318"/>
      <c r="Y15286" s="318"/>
      <c r="Z15286" s="318"/>
      <c r="AA15286" s="318"/>
      <c r="AB15286" s="318"/>
      <c r="AC15286" s="318"/>
      <c r="AD15286" s="318"/>
    </row>
    <row r="15287" spans="2:30" s="323" customFormat="1" ht="12" customHeight="1">
      <c r="B15287" s="324"/>
      <c r="C15287" s="325"/>
      <c r="D15287" s="326"/>
      <c r="E15287" s="326"/>
      <c r="F15287" s="326"/>
      <c r="G15287" s="326"/>
      <c r="H15287" s="326"/>
      <c r="P15287" s="318"/>
      <c r="Q15287" s="318"/>
      <c r="R15287" s="318"/>
      <c r="S15287" s="318"/>
      <c r="T15287" s="318"/>
      <c r="U15287" s="318"/>
      <c r="V15287" s="318"/>
      <c r="W15287" s="318"/>
      <c r="X15287" s="318"/>
      <c r="Y15287" s="318"/>
      <c r="Z15287" s="318"/>
      <c r="AA15287" s="318"/>
      <c r="AB15287" s="318"/>
      <c r="AC15287" s="318"/>
      <c r="AD15287" s="318"/>
    </row>
    <row r="15288" spans="2:30" s="323" customFormat="1" ht="12" customHeight="1">
      <c r="B15288" s="324"/>
      <c r="C15288" s="325"/>
      <c r="D15288" s="326"/>
      <c r="E15288" s="326"/>
      <c r="F15288" s="326"/>
      <c r="G15288" s="326"/>
      <c r="H15288" s="326"/>
      <c r="P15288" s="318"/>
      <c r="Q15288" s="318"/>
      <c r="R15288" s="318"/>
      <c r="S15288" s="318"/>
      <c r="T15288" s="318"/>
      <c r="U15288" s="318"/>
      <c r="V15288" s="318"/>
      <c r="W15288" s="318"/>
      <c r="X15288" s="318"/>
      <c r="Y15288" s="318"/>
      <c r="Z15288" s="318"/>
      <c r="AA15288" s="318"/>
      <c r="AB15288" s="318"/>
      <c r="AC15288" s="318"/>
      <c r="AD15288" s="318"/>
    </row>
    <row r="15289" spans="2:30" s="323" customFormat="1" ht="12" customHeight="1">
      <c r="B15289" s="324"/>
      <c r="C15289" s="325"/>
      <c r="D15289" s="326"/>
      <c r="E15289" s="326"/>
      <c r="F15289" s="326"/>
      <c r="G15289" s="326"/>
      <c r="H15289" s="326"/>
      <c r="P15289" s="318"/>
      <c r="Q15289" s="318"/>
      <c r="R15289" s="318"/>
      <c r="S15289" s="318"/>
      <c r="T15289" s="318"/>
      <c r="U15289" s="318"/>
      <c r="V15289" s="318"/>
      <c r="W15289" s="318"/>
      <c r="X15289" s="318"/>
      <c r="Y15289" s="318"/>
      <c r="Z15289" s="318"/>
      <c r="AA15289" s="318"/>
      <c r="AB15289" s="318"/>
      <c r="AC15289" s="318"/>
      <c r="AD15289" s="318"/>
    </row>
    <row r="15290" spans="2:30" s="323" customFormat="1" ht="12" customHeight="1">
      <c r="B15290" s="324"/>
      <c r="C15290" s="325"/>
      <c r="D15290" s="326"/>
      <c r="E15290" s="326"/>
      <c r="F15290" s="326"/>
      <c r="G15290" s="326"/>
      <c r="H15290" s="326"/>
      <c r="P15290" s="318"/>
      <c r="Q15290" s="318"/>
      <c r="R15290" s="318"/>
      <c r="S15290" s="318"/>
      <c r="T15290" s="318"/>
      <c r="U15290" s="318"/>
      <c r="V15290" s="318"/>
      <c r="W15290" s="318"/>
      <c r="X15290" s="318"/>
      <c r="Y15290" s="318"/>
      <c r="Z15290" s="318"/>
      <c r="AA15290" s="318"/>
      <c r="AB15290" s="318"/>
      <c r="AC15290" s="318"/>
      <c r="AD15290" s="318"/>
    </row>
    <row r="15291" spans="2:30" s="323" customFormat="1" ht="12" customHeight="1">
      <c r="B15291" s="324"/>
      <c r="C15291" s="325"/>
      <c r="D15291" s="326"/>
      <c r="E15291" s="326"/>
      <c r="F15291" s="326"/>
      <c r="G15291" s="326"/>
      <c r="H15291" s="326"/>
      <c r="P15291" s="318"/>
      <c r="Q15291" s="318"/>
      <c r="R15291" s="318"/>
      <c r="S15291" s="318"/>
      <c r="T15291" s="318"/>
      <c r="U15291" s="318"/>
      <c r="V15291" s="318"/>
      <c r="W15291" s="318"/>
      <c r="X15291" s="318"/>
      <c r="Y15291" s="318"/>
      <c r="Z15291" s="318"/>
      <c r="AA15291" s="318"/>
      <c r="AB15291" s="318"/>
      <c r="AC15291" s="318"/>
      <c r="AD15291" s="318"/>
    </row>
    <row r="15292" spans="2:30" s="323" customFormat="1" ht="12" customHeight="1">
      <c r="B15292" s="324"/>
      <c r="C15292" s="325"/>
      <c r="D15292" s="326"/>
      <c r="E15292" s="326"/>
      <c r="F15292" s="326"/>
      <c r="G15292" s="326"/>
      <c r="H15292" s="326"/>
      <c r="P15292" s="318"/>
      <c r="Q15292" s="318"/>
      <c r="R15292" s="318"/>
      <c r="S15292" s="318"/>
      <c r="T15292" s="318"/>
      <c r="U15292" s="318"/>
      <c r="V15292" s="318"/>
      <c r="W15292" s="318"/>
      <c r="X15292" s="318"/>
      <c r="Y15292" s="318"/>
      <c r="Z15292" s="318"/>
      <c r="AA15292" s="318"/>
      <c r="AB15292" s="318"/>
      <c r="AC15292" s="318"/>
      <c r="AD15292" s="318"/>
    </row>
    <row r="15293" spans="2:30" s="323" customFormat="1" ht="12" customHeight="1">
      <c r="B15293" s="324"/>
      <c r="C15293" s="325"/>
      <c r="D15293" s="326"/>
      <c r="E15293" s="326"/>
      <c r="F15293" s="326"/>
      <c r="G15293" s="326"/>
      <c r="H15293" s="326"/>
      <c r="P15293" s="318"/>
      <c r="Q15293" s="318"/>
      <c r="R15293" s="318"/>
      <c r="S15293" s="318"/>
      <c r="T15293" s="318"/>
      <c r="U15293" s="318"/>
      <c r="V15293" s="318"/>
      <c r="W15293" s="318"/>
      <c r="X15293" s="318"/>
      <c r="Y15293" s="318"/>
      <c r="Z15293" s="318"/>
      <c r="AA15293" s="318"/>
      <c r="AB15293" s="318"/>
      <c r="AC15293" s="318"/>
      <c r="AD15293" s="318"/>
    </row>
    <row r="15294" spans="2:30" s="323" customFormat="1" ht="12" customHeight="1">
      <c r="B15294" s="324"/>
      <c r="C15294" s="325"/>
      <c r="D15294" s="326"/>
      <c r="E15294" s="326"/>
      <c r="F15294" s="326"/>
      <c r="G15294" s="326"/>
      <c r="H15294" s="326"/>
      <c r="P15294" s="318"/>
      <c r="Q15294" s="318"/>
      <c r="R15294" s="318"/>
      <c r="S15294" s="318"/>
      <c r="T15294" s="318"/>
      <c r="U15294" s="318"/>
      <c r="V15294" s="318"/>
      <c r="W15294" s="318"/>
      <c r="X15294" s="318"/>
      <c r="Y15294" s="318"/>
      <c r="Z15294" s="318"/>
      <c r="AA15294" s="318"/>
      <c r="AB15294" s="318"/>
      <c r="AC15294" s="318"/>
      <c r="AD15294" s="318"/>
    </row>
    <row r="15295" spans="2:30" s="323" customFormat="1" ht="12" customHeight="1">
      <c r="B15295" s="324"/>
      <c r="C15295" s="325"/>
      <c r="D15295" s="326"/>
      <c r="E15295" s="326"/>
      <c r="F15295" s="326"/>
      <c r="G15295" s="326"/>
      <c r="H15295" s="326"/>
      <c r="P15295" s="318"/>
      <c r="Q15295" s="318"/>
      <c r="R15295" s="318"/>
      <c r="S15295" s="318"/>
      <c r="T15295" s="318"/>
      <c r="U15295" s="318"/>
      <c r="V15295" s="318"/>
      <c r="W15295" s="318"/>
      <c r="X15295" s="318"/>
      <c r="Y15295" s="318"/>
      <c r="Z15295" s="318"/>
      <c r="AA15295" s="318"/>
      <c r="AB15295" s="318"/>
      <c r="AC15295" s="318"/>
      <c r="AD15295" s="318"/>
    </row>
    <row r="15296" spans="2:30" s="323" customFormat="1" ht="12" customHeight="1">
      <c r="B15296" s="324"/>
      <c r="C15296" s="325"/>
      <c r="D15296" s="326"/>
      <c r="E15296" s="326"/>
      <c r="F15296" s="326"/>
      <c r="G15296" s="326"/>
      <c r="H15296" s="326"/>
      <c r="P15296" s="318"/>
      <c r="Q15296" s="318"/>
      <c r="R15296" s="318"/>
      <c r="S15296" s="318"/>
      <c r="T15296" s="318"/>
      <c r="U15296" s="318"/>
      <c r="V15296" s="318"/>
      <c r="W15296" s="318"/>
      <c r="X15296" s="318"/>
      <c r="Y15296" s="318"/>
      <c r="Z15296" s="318"/>
      <c r="AA15296" s="318"/>
      <c r="AB15296" s="318"/>
      <c r="AC15296" s="318"/>
      <c r="AD15296" s="318"/>
    </row>
    <row r="15297" spans="2:30" s="323" customFormat="1" ht="12" customHeight="1">
      <c r="B15297" s="324"/>
      <c r="C15297" s="325"/>
      <c r="D15297" s="326"/>
      <c r="E15297" s="326"/>
      <c r="F15297" s="326"/>
      <c r="G15297" s="326"/>
      <c r="H15297" s="326"/>
      <c r="P15297" s="318"/>
      <c r="Q15297" s="318"/>
      <c r="R15297" s="318"/>
      <c r="S15297" s="318"/>
      <c r="T15297" s="318"/>
      <c r="U15297" s="318"/>
      <c r="V15297" s="318"/>
      <c r="W15297" s="318"/>
      <c r="X15297" s="318"/>
      <c r="Y15297" s="318"/>
      <c r="Z15297" s="318"/>
      <c r="AA15297" s="318"/>
      <c r="AB15297" s="318"/>
      <c r="AC15297" s="318"/>
      <c r="AD15297" s="318"/>
    </row>
    <row r="15298" spans="2:30" s="323" customFormat="1" ht="12" customHeight="1">
      <c r="B15298" s="324"/>
      <c r="C15298" s="325"/>
      <c r="D15298" s="326"/>
      <c r="E15298" s="326"/>
      <c r="F15298" s="326"/>
      <c r="G15298" s="326"/>
      <c r="H15298" s="326"/>
      <c r="P15298" s="318"/>
      <c r="Q15298" s="318"/>
      <c r="R15298" s="318"/>
      <c r="S15298" s="318"/>
      <c r="T15298" s="318"/>
      <c r="U15298" s="318"/>
      <c r="V15298" s="318"/>
      <c r="W15298" s="318"/>
      <c r="X15298" s="318"/>
      <c r="Y15298" s="318"/>
      <c r="Z15298" s="318"/>
      <c r="AA15298" s="318"/>
      <c r="AB15298" s="318"/>
      <c r="AC15298" s="318"/>
      <c r="AD15298" s="318"/>
    </row>
    <row r="15299" spans="2:30" s="323" customFormat="1" ht="12" customHeight="1">
      <c r="B15299" s="324"/>
      <c r="C15299" s="325"/>
      <c r="D15299" s="326"/>
      <c r="E15299" s="326"/>
      <c r="F15299" s="326"/>
      <c r="G15299" s="326"/>
      <c r="H15299" s="326"/>
      <c r="P15299" s="318"/>
      <c r="Q15299" s="318"/>
      <c r="R15299" s="318"/>
      <c r="S15299" s="318"/>
      <c r="T15299" s="318"/>
      <c r="U15299" s="318"/>
      <c r="V15299" s="318"/>
      <c r="W15299" s="318"/>
      <c r="X15299" s="318"/>
      <c r="Y15299" s="318"/>
      <c r="Z15299" s="318"/>
      <c r="AA15299" s="318"/>
      <c r="AB15299" s="318"/>
      <c r="AC15299" s="318"/>
      <c r="AD15299" s="318"/>
    </row>
    <row r="15300" spans="2:30" s="323" customFormat="1" ht="12" customHeight="1">
      <c r="B15300" s="324"/>
      <c r="C15300" s="325"/>
      <c r="D15300" s="326"/>
      <c r="E15300" s="326"/>
      <c r="F15300" s="326"/>
      <c r="G15300" s="326"/>
      <c r="H15300" s="326"/>
      <c r="P15300" s="318"/>
      <c r="Q15300" s="318"/>
      <c r="R15300" s="318"/>
      <c r="S15300" s="318"/>
      <c r="T15300" s="318"/>
      <c r="U15300" s="318"/>
      <c r="V15300" s="318"/>
      <c r="W15300" s="318"/>
      <c r="X15300" s="318"/>
      <c r="Y15300" s="318"/>
      <c r="Z15300" s="318"/>
      <c r="AA15300" s="318"/>
      <c r="AB15300" s="318"/>
      <c r="AC15300" s="318"/>
      <c r="AD15300" s="318"/>
    </row>
    <row r="15301" spans="2:30" s="323" customFormat="1" ht="12" customHeight="1">
      <c r="B15301" s="324"/>
      <c r="C15301" s="325"/>
      <c r="D15301" s="326"/>
      <c r="E15301" s="326"/>
      <c r="F15301" s="326"/>
      <c r="G15301" s="326"/>
      <c r="H15301" s="326"/>
      <c r="P15301" s="318"/>
      <c r="Q15301" s="318"/>
      <c r="R15301" s="318"/>
      <c r="S15301" s="318"/>
      <c r="T15301" s="318"/>
      <c r="U15301" s="318"/>
      <c r="V15301" s="318"/>
      <c r="W15301" s="318"/>
      <c r="X15301" s="318"/>
      <c r="Y15301" s="318"/>
      <c r="Z15301" s="318"/>
      <c r="AA15301" s="318"/>
      <c r="AB15301" s="318"/>
      <c r="AC15301" s="318"/>
      <c r="AD15301" s="318"/>
    </row>
    <row r="15302" spans="2:30" s="323" customFormat="1" ht="12" customHeight="1">
      <c r="B15302" s="324"/>
      <c r="C15302" s="325"/>
      <c r="D15302" s="326"/>
      <c r="E15302" s="326"/>
      <c r="F15302" s="326"/>
      <c r="G15302" s="326"/>
      <c r="H15302" s="326"/>
      <c r="P15302" s="318"/>
      <c r="Q15302" s="318"/>
      <c r="R15302" s="318"/>
      <c r="S15302" s="318"/>
      <c r="T15302" s="318"/>
      <c r="U15302" s="318"/>
      <c r="V15302" s="318"/>
      <c r="W15302" s="318"/>
      <c r="X15302" s="318"/>
      <c r="Y15302" s="318"/>
      <c r="Z15302" s="318"/>
      <c r="AA15302" s="318"/>
      <c r="AB15302" s="318"/>
      <c r="AC15302" s="318"/>
      <c r="AD15302" s="318"/>
    </row>
    <row r="15303" spans="2:30" s="323" customFormat="1" ht="12" customHeight="1">
      <c r="B15303" s="324"/>
      <c r="C15303" s="325"/>
      <c r="D15303" s="326"/>
      <c r="E15303" s="326"/>
      <c r="F15303" s="326"/>
      <c r="G15303" s="326"/>
      <c r="H15303" s="326"/>
      <c r="P15303" s="318"/>
      <c r="Q15303" s="318"/>
      <c r="R15303" s="318"/>
      <c r="S15303" s="318"/>
      <c r="T15303" s="318"/>
      <c r="U15303" s="318"/>
      <c r="V15303" s="318"/>
      <c r="W15303" s="318"/>
      <c r="X15303" s="318"/>
      <c r="Y15303" s="318"/>
      <c r="Z15303" s="318"/>
      <c r="AA15303" s="318"/>
      <c r="AB15303" s="318"/>
      <c r="AC15303" s="318"/>
      <c r="AD15303" s="318"/>
    </row>
    <row r="15304" spans="2:30" s="323" customFormat="1" ht="12" customHeight="1">
      <c r="B15304" s="324"/>
      <c r="C15304" s="325"/>
      <c r="D15304" s="326"/>
      <c r="E15304" s="326"/>
      <c r="F15304" s="326"/>
      <c r="G15304" s="326"/>
      <c r="H15304" s="326"/>
      <c r="P15304" s="318"/>
      <c r="Q15304" s="318"/>
      <c r="R15304" s="318"/>
      <c r="S15304" s="318"/>
      <c r="T15304" s="318"/>
      <c r="U15304" s="318"/>
      <c r="V15304" s="318"/>
      <c r="W15304" s="318"/>
      <c r="X15304" s="318"/>
      <c r="Y15304" s="318"/>
      <c r="Z15304" s="318"/>
      <c r="AA15304" s="318"/>
      <c r="AB15304" s="318"/>
      <c r="AC15304" s="318"/>
      <c r="AD15304" s="318"/>
    </row>
    <row r="15305" spans="2:30" s="323" customFormat="1" ht="12" customHeight="1">
      <c r="B15305" s="324"/>
      <c r="C15305" s="325"/>
      <c r="D15305" s="326"/>
      <c r="E15305" s="326"/>
      <c r="F15305" s="326"/>
      <c r="G15305" s="326"/>
      <c r="H15305" s="326"/>
      <c r="P15305" s="318"/>
      <c r="Q15305" s="318"/>
      <c r="R15305" s="318"/>
      <c r="S15305" s="318"/>
      <c r="T15305" s="318"/>
      <c r="U15305" s="318"/>
      <c r="V15305" s="318"/>
      <c r="W15305" s="318"/>
      <c r="X15305" s="318"/>
      <c r="Y15305" s="318"/>
      <c r="Z15305" s="318"/>
      <c r="AA15305" s="318"/>
      <c r="AB15305" s="318"/>
      <c r="AC15305" s="318"/>
      <c r="AD15305" s="318"/>
    </row>
    <row r="15306" spans="2:30" s="323" customFormat="1" ht="12" customHeight="1">
      <c r="B15306" s="324"/>
      <c r="C15306" s="325"/>
      <c r="D15306" s="326"/>
      <c r="E15306" s="326"/>
      <c r="F15306" s="326"/>
      <c r="G15306" s="326"/>
      <c r="H15306" s="326"/>
      <c r="P15306" s="318"/>
      <c r="Q15306" s="318"/>
      <c r="R15306" s="318"/>
      <c r="S15306" s="318"/>
      <c r="T15306" s="318"/>
      <c r="U15306" s="318"/>
      <c r="V15306" s="318"/>
      <c r="W15306" s="318"/>
      <c r="X15306" s="318"/>
      <c r="Y15306" s="318"/>
      <c r="Z15306" s="318"/>
      <c r="AA15306" s="318"/>
      <c r="AB15306" s="318"/>
      <c r="AC15306" s="318"/>
      <c r="AD15306" s="318"/>
    </row>
    <row r="15307" spans="2:30" s="323" customFormat="1" ht="12" customHeight="1">
      <c r="B15307" s="324"/>
      <c r="C15307" s="325"/>
      <c r="D15307" s="326"/>
      <c r="E15307" s="326"/>
      <c r="F15307" s="326"/>
      <c r="G15307" s="326"/>
      <c r="H15307" s="326"/>
      <c r="P15307" s="318"/>
      <c r="Q15307" s="318"/>
      <c r="R15307" s="318"/>
      <c r="S15307" s="318"/>
      <c r="T15307" s="318"/>
      <c r="U15307" s="318"/>
      <c r="V15307" s="318"/>
      <c r="W15307" s="318"/>
      <c r="X15307" s="318"/>
      <c r="Y15307" s="318"/>
      <c r="Z15307" s="318"/>
      <c r="AA15307" s="318"/>
      <c r="AB15307" s="318"/>
      <c r="AC15307" s="318"/>
      <c r="AD15307" s="318"/>
    </row>
    <row r="15308" spans="2:30" s="323" customFormat="1" ht="12" customHeight="1">
      <c r="B15308" s="324"/>
      <c r="C15308" s="325"/>
      <c r="D15308" s="326"/>
      <c r="E15308" s="326"/>
      <c r="F15308" s="326"/>
      <c r="G15308" s="326"/>
      <c r="H15308" s="326"/>
      <c r="P15308" s="318"/>
      <c r="Q15308" s="318"/>
      <c r="R15308" s="318"/>
      <c r="S15308" s="318"/>
      <c r="T15308" s="318"/>
      <c r="U15308" s="318"/>
      <c r="V15308" s="318"/>
      <c r="W15308" s="318"/>
      <c r="X15308" s="318"/>
      <c r="Y15308" s="318"/>
      <c r="Z15308" s="318"/>
      <c r="AA15308" s="318"/>
      <c r="AB15308" s="318"/>
      <c r="AC15308" s="318"/>
      <c r="AD15308" s="318"/>
    </row>
    <row r="15309" spans="2:30" s="323" customFormat="1" ht="12" customHeight="1">
      <c r="B15309" s="324"/>
      <c r="C15309" s="325"/>
      <c r="D15309" s="326"/>
      <c r="E15309" s="326"/>
      <c r="F15309" s="326"/>
      <c r="G15309" s="326"/>
      <c r="H15309" s="326"/>
      <c r="P15309" s="318"/>
      <c r="Q15309" s="318"/>
      <c r="R15309" s="318"/>
      <c r="S15309" s="318"/>
      <c r="T15309" s="318"/>
      <c r="U15309" s="318"/>
      <c r="V15309" s="318"/>
      <c r="W15309" s="318"/>
      <c r="X15309" s="318"/>
      <c r="Y15309" s="318"/>
      <c r="Z15309" s="318"/>
      <c r="AA15309" s="318"/>
      <c r="AB15309" s="318"/>
      <c r="AC15309" s="318"/>
      <c r="AD15309" s="318"/>
    </row>
    <row r="15310" spans="2:30" s="323" customFormat="1" ht="12" customHeight="1">
      <c r="B15310" s="324"/>
      <c r="C15310" s="325"/>
      <c r="D15310" s="326"/>
      <c r="E15310" s="326"/>
      <c r="F15310" s="326"/>
      <c r="G15310" s="326"/>
      <c r="H15310" s="326"/>
      <c r="P15310" s="318"/>
      <c r="Q15310" s="318"/>
      <c r="R15310" s="318"/>
      <c r="S15310" s="318"/>
      <c r="T15310" s="318"/>
      <c r="U15310" s="318"/>
      <c r="V15310" s="318"/>
      <c r="W15310" s="318"/>
      <c r="X15310" s="318"/>
      <c r="Y15310" s="318"/>
      <c r="Z15310" s="318"/>
      <c r="AA15310" s="318"/>
      <c r="AB15310" s="318"/>
      <c r="AC15310" s="318"/>
      <c r="AD15310" s="318"/>
    </row>
    <row r="15311" spans="2:30" s="323" customFormat="1" ht="12" customHeight="1">
      <c r="B15311" s="324"/>
      <c r="C15311" s="325"/>
      <c r="D15311" s="326"/>
      <c r="E15311" s="326"/>
      <c r="F15311" s="326"/>
      <c r="G15311" s="326"/>
      <c r="H15311" s="326"/>
      <c r="P15311" s="318"/>
      <c r="Q15311" s="318"/>
      <c r="R15311" s="318"/>
      <c r="S15311" s="318"/>
      <c r="T15311" s="318"/>
      <c r="U15311" s="318"/>
      <c r="V15311" s="318"/>
      <c r="W15311" s="318"/>
      <c r="X15311" s="318"/>
      <c r="Y15311" s="318"/>
      <c r="Z15311" s="318"/>
      <c r="AA15311" s="318"/>
      <c r="AB15311" s="318"/>
      <c r="AC15311" s="318"/>
      <c r="AD15311" s="318"/>
    </row>
    <row r="15312" spans="2:30" s="323" customFormat="1" ht="12" customHeight="1">
      <c r="B15312" s="324"/>
      <c r="C15312" s="325"/>
      <c r="D15312" s="326"/>
      <c r="E15312" s="326"/>
      <c r="F15312" s="326"/>
      <c r="G15312" s="326"/>
      <c r="H15312" s="326"/>
      <c r="P15312" s="318"/>
      <c r="Q15312" s="318"/>
      <c r="R15312" s="318"/>
      <c r="S15312" s="318"/>
      <c r="T15312" s="318"/>
      <c r="U15312" s="318"/>
      <c r="V15312" s="318"/>
      <c r="W15312" s="318"/>
      <c r="X15312" s="318"/>
      <c r="Y15312" s="318"/>
      <c r="Z15312" s="318"/>
      <c r="AA15312" s="318"/>
      <c r="AB15312" s="318"/>
      <c r="AC15312" s="318"/>
      <c r="AD15312" s="318"/>
    </row>
    <row r="15313" spans="2:30" s="323" customFormat="1" ht="12" customHeight="1">
      <c r="B15313" s="324"/>
      <c r="C15313" s="325"/>
      <c r="D15313" s="326"/>
      <c r="E15313" s="326"/>
      <c r="F15313" s="326"/>
      <c r="G15313" s="326"/>
      <c r="H15313" s="326"/>
      <c r="P15313" s="318"/>
      <c r="Q15313" s="318"/>
      <c r="R15313" s="318"/>
      <c r="S15313" s="318"/>
      <c r="T15313" s="318"/>
      <c r="U15313" s="318"/>
      <c r="V15313" s="318"/>
      <c r="W15313" s="318"/>
      <c r="X15313" s="318"/>
      <c r="Y15313" s="318"/>
      <c r="Z15313" s="318"/>
      <c r="AA15313" s="318"/>
      <c r="AB15313" s="318"/>
      <c r="AC15313" s="318"/>
      <c r="AD15313" s="318"/>
    </row>
    <row r="15314" spans="2:30" s="323" customFormat="1" ht="12" customHeight="1">
      <c r="B15314" s="324"/>
      <c r="C15314" s="325"/>
      <c r="D15314" s="326"/>
      <c r="E15314" s="326"/>
      <c r="F15314" s="326"/>
      <c r="G15314" s="326"/>
      <c r="H15314" s="326"/>
      <c r="P15314" s="318"/>
      <c r="Q15314" s="318"/>
      <c r="R15314" s="318"/>
      <c r="S15314" s="318"/>
      <c r="T15314" s="318"/>
      <c r="U15314" s="318"/>
      <c r="V15314" s="318"/>
      <c r="W15314" s="318"/>
      <c r="X15314" s="318"/>
      <c r="Y15314" s="318"/>
      <c r="Z15314" s="318"/>
      <c r="AA15314" s="318"/>
      <c r="AB15314" s="318"/>
      <c r="AC15314" s="318"/>
      <c r="AD15314" s="318"/>
    </row>
    <row r="15315" spans="2:30" s="323" customFormat="1" ht="12" customHeight="1">
      <c r="B15315" s="324"/>
      <c r="C15315" s="325"/>
      <c r="D15315" s="326"/>
      <c r="E15315" s="326"/>
      <c r="F15315" s="326"/>
      <c r="G15315" s="326"/>
      <c r="H15315" s="326"/>
      <c r="P15315" s="318"/>
      <c r="Q15315" s="318"/>
      <c r="R15315" s="318"/>
      <c r="S15315" s="318"/>
      <c r="T15315" s="318"/>
      <c r="U15315" s="318"/>
      <c r="V15315" s="318"/>
      <c r="W15315" s="318"/>
      <c r="X15315" s="318"/>
      <c r="Y15315" s="318"/>
      <c r="Z15315" s="318"/>
      <c r="AA15315" s="318"/>
      <c r="AB15315" s="318"/>
      <c r="AC15315" s="318"/>
      <c r="AD15315" s="318"/>
    </row>
    <row r="15316" spans="2:30" s="323" customFormat="1" ht="12" customHeight="1">
      <c r="B15316" s="324"/>
      <c r="C15316" s="325"/>
      <c r="D15316" s="326"/>
      <c r="E15316" s="326"/>
      <c r="F15316" s="326"/>
      <c r="G15316" s="326"/>
      <c r="H15316" s="326"/>
      <c r="P15316" s="318"/>
      <c r="Q15316" s="318"/>
      <c r="R15316" s="318"/>
      <c r="S15316" s="318"/>
      <c r="T15316" s="318"/>
      <c r="U15316" s="318"/>
      <c r="V15316" s="318"/>
      <c r="W15316" s="318"/>
      <c r="X15316" s="318"/>
      <c r="Y15316" s="318"/>
      <c r="Z15316" s="318"/>
      <c r="AA15316" s="318"/>
      <c r="AB15316" s="318"/>
      <c r="AC15316" s="318"/>
      <c r="AD15316" s="318"/>
    </row>
    <row r="15317" spans="2:30" s="323" customFormat="1" ht="12" customHeight="1">
      <c r="B15317" s="324"/>
      <c r="C15317" s="325"/>
      <c r="D15317" s="326"/>
      <c r="E15317" s="326"/>
      <c r="F15317" s="326"/>
      <c r="G15317" s="326"/>
      <c r="H15317" s="326"/>
      <c r="P15317" s="318"/>
      <c r="Q15317" s="318"/>
      <c r="R15317" s="318"/>
      <c r="S15317" s="318"/>
      <c r="T15317" s="318"/>
      <c r="U15317" s="318"/>
      <c r="V15317" s="318"/>
      <c r="W15317" s="318"/>
      <c r="X15317" s="318"/>
      <c r="Y15317" s="318"/>
      <c r="Z15317" s="318"/>
      <c r="AA15317" s="318"/>
      <c r="AB15317" s="318"/>
      <c r="AC15317" s="318"/>
      <c r="AD15317" s="318"/>
    </row>
    <row r="15318" spans="2:30" s="323" customFormat="1" ht="12" customHeight="1">
      <c r="B15318" s="324"/>
      <c r="C15318" s="325"/>
      <c r="D15318" s="326"/>
      <c r="E15318" s="326"/>
      <c r="F15318" s="326"/>
      <c r="G15318" s="326"/>
      <c r="H15318" s="326"/>
      <c r="P15318" s="318"/>
      <c r="Q15318" s="318"/>
      <c r="R15318" s="318"/>
      <c r="S15318" s="318"/>
      <c r="T15318" s="318"/>
      <c r="U15318" s="318"/>
      <c r="V15318" s="318"/>
      <c r="W15318" s="318"/>
      <c r="X15318" s="318"/>
      <c r="Y15318" s="318"/>
      <c r="Z15318" s="318"/>
      <c r="AA15318" s="318"/>
      <c r="AB15318" s="318"/>
      <c r="AC15318" s="318"/>
      <c r="AD15318" s="318"/>
    </row>
    <row r="15319" spans="2:30" s="323" customFormat="1" ht="12" customHeight="1">
      <c r="B15319" s="324"/>
      <c r="C15319" s="325"/>
      <c r="D15319" s="326"/>
      <c r="E15319" s="326"/>
      <c r="F15319" s="326"/>
      <c r="G15319" s="326"/>
      <c r="H15319" s="326"/>
      <c r="P15319" s="318"/>
      <c r="Q15319" s="318"/>
      <c r="R15319" s="318"/>
      <c r="S15319" s="318"/>
      <c r="T15319" s="318"/>
      <c r="U15319" s="318"/>
      <c r="V15319" s="318"/>
      <c r="W15319" s="318"/>
      <c r="X15319" s="318"/>
      <c r="Y15319" s="318"/>
      <c r="Z15319" s="318"/>
      <c r="AA15319" s="318"/>
      <c r="AB15319" s="318"/>
      <c r="AC15319" s="318"/>
      <c r="AD15319" s="318"/>
    </row>
    <row r="15320" spans="2:30" s="323" customFormat="1" ht="12" customHeight="1">
      <c r="B15320" s="324"/>
      <c r="C15320" s="325"/>
      <c r="D15320" s="326"/>
      <c r="E15320" s="326"/>
      <c r="F15320" s="326"/>
      <c r="G15320" s="326"/>
      <c r="H15320" s="326"/>
      <c r="P15320" s="318"/>
      <c r="Q15320" s="318"/>
      <c r="R15320" s="318"/>
      <c r="S15320" s="318"/>
      <c r="T15320" s="318"/>
      <c r="U15320" s="318"/>
      <c r="V15320" s="318"/>
      <c r="W15320" s="318"/>
      <c r="X15320" s="318"/>
      <c r="Y15320" s="318"/>
      <c r="Z15320" s="318"/>
      <c r="AA15320" s="318"/>
      <c r="AB15320" s="318"/>
      <c r="AC15320" s="318"/>
      <c r="AD15320" s="318"/>
    </row>
    <row r="15321" spans="2:30" s="323" customFormat="1" ht="12" customHeight="1">
      <c r="B15321" s="324"/>
      <c r="C15321" s="325"/>
      <c r="D15321" s="326"/>
      <c r="E15321" s="326"/>
      <c r="F15321" s="326"/>
      <c r="G15321" s="326"/>
      <c r="H15321" s="326"/>
      <c r="P15321" s="318"/>
      <c r="Q15321" s="318"/>
      <c r="R15321" s="318"/>
      <c r="S15321" s="318"/>
      <c r="T15321" s="318"/>
      <c r="U15321" s="318"/>
      <c r="V15321" s="318"/>
      <c r="W15321" s="318"/>
      <c r="X15321" s="318"/>
      <c r="Y15321" s="318"/>
      <c r="Z15321" s="318"/>
      <c r="AA15321" s="318"/>
      <c r="AB15321" s="318"/>
      <c r="AC15321" s="318"/>
      <c r="AD15321" s="318"/>
    </row>
    <row r="15322" spans="2:30" s="323" customFormat="1" ht="12" customHeight="1">
      <c r="B15322" s="324"/>
      <c r="C15322" s="325"/>
      <c r="D15322" s="326"/>
      <c r="E15322" s="326"/>
      <c r="F15322" s="326"/>
      <c r="G15322" s="326"/>
      <c r="H15322" s="326"/>
      <c r="P15322" s="318"/>
      <c r="Q15322" s="318"/>
      <c r="R15322" s="318"/>
      <c r="S15322" s="318"/>
      <c r="T15322" s="318"/>
      <c r="U15322" s="318"/>
      <c r="V15322" s="318"/>
      <c r="W15322" s="318"/>
      <c r="X15322" s="318"/>
      <c r="Y15322" s="318"/>
      <c r="Z15322" s="318"/>
      <c r="AA15322" s="318"/>
      <c r="AB15322" s="318"/>
      <c r="AC15322" s="318"/>
      <c r="AD15322" s="318"/>
    </row>
    <row r="15323" spans="2:30" s="323" customFormat="1" ht="12" customHeight="1">
      <c r="B15323" s="324"/>
      <c r="C15323" s="325"/>
      <c r="D15323" s="326"/>
      <c r="E15323" s="326"/>
      <c r="F15323" s="326"/>
      <c r="G15323" s="326"/>
      <c r="H15323" s="326"/>
      <c r="P15323" s="318"/>
      <c r="Q15323" s="318"/>
      <c r="R15323" s="318"/>
      <c r="S15323" s="318"/>
      <c r="T15323" s="318"/>
      <c r="U15323" s="318"/>
      <c r="V15323" s="318"/>
      <c r="W15323" s="318"/>
      <c r="X15323" s="318"/>
      <c r="Y15323" s="318"/>
      <c r="Z15323" s="318"/>
      <c r="AA15323" s="318"/>
      <c r="AB15323" s="318"/>
      <c r="AC15323" s="318"/>
      <c r="AD15323" s="318"/>
    </row>
    <row r="15324" spans="2:30" s="323" customFormat="1" ht="12" customHeight="1">
      <c r="B15324" s="324"/>
      <c r="C15324" s="325"/>
      <c r="D15324" s="326"/>
      <c r="E15324" s="326"/>
      <c r="F15324" s="326"/>
      <c r="G15324" s="326"/>
      <c r="H15324" s="326"/>
      <c r="P15324" s="318"/>
      <c r="Q15324" s="318"/>
      <c r="R15324" s="318"/>
      <c r="S15324" s="318"/>
      <c r="T15324" s="318"/>
      <c r="U15324" s="318"/>
      <c r="V15324" s="318"/>
      <c r="W15324" s="318"/>
      <c r="X15324" s="318"/>
      <c r="Y15324" s="318"/>
      <c r="Z15324" s="318"/>
      <c r="AA15324" s="318"/>
      <c r="AB15324" s="318"/>
      <c r="AC15324" s="318"/>
      <c r="AD15324" s="318"/>
    </row>
    <row r="15325" spans="2:30" s="323" customFormat="1" ht="12" customHeight="1">
      <c r="B15325" s="324"/>
      <c r="C15325" s="325"/>
      <c r="D15325" s="326"/>
      <c r="E15325" s="326"/>
      <c r="F15325" s="326"/>
      <c r="G15325" s="326"/>
      <c r="H15325" s="326"/>
      <c r="P15325" s="318"/>
      <c r="Q15325" s="318"/>
      <c r="R15325" s="318"/>
      <c r="S15325" s="318"/>
      <c r="T15325" s="318"/>
      <c r="U15325" s="318"/>
      <c r="V15325" s="318"/>
      <c r="W15325" s="318"/>
      <c r="X15325" s="318"/>
      <c r="Y15325" s="318"/>
      <c r="Z15325" s="318"/>
      <c r="AA15325" s="318"/>
      <c r="AB15325" s="318"/>
      <c r="AC15325" s="318"/>
      <c r="AD15325" s="318"/>
    </row>
    <row r="15326" spans="2:30" s="323" customFormat="1" ht="12" customHeight="1">
      <c r="B15326" s="324"/>
      <c r="C15326" s="325"/>
      <c r="D15326" s="326"/>
      <c r="E15326" s="326"/>
      <c r="F15326" s="326"/>
      <c r="G15326" s="326"/>
      <c r="H15326" s="326"/>
      <c r="P15326" s="318"/>
      <c r="Q15326" s="318"/>
      <c r="R15326" s="318"/>
      <c r="S15326" s="318"/>
      <c r="T15326" s="318"/>
      <c r="U15326" s="318"/>
      <c r="V15326" s="318"/>
      <c r="W15326" s="318"/>
      <c r="X15326" s="318"/>
      <c r="Y15326" s="318"/>
      <c r="Z15326" s="318"/>
      <c r="AA15326" s="318"/>
      <c r="AB15326" s="318"/>
      <c r="AC15326" s="318"/>
      <c r="AD15326" s="318"/>
    </row>
    <row r="15327" spans="2:30" s="323" customFormat="1" ht="12" customHeight="1">
      <c r="B15327" s="324"/>
      <c r="C15327" s="325"/>
      <c r="D15327" s="326"/>
      <c r="E15327" s="326"/>
      <c r="F15327" s="326"/>
      <c r="G15327" s="326"/>
      <c r="H15327" s="326"/>
      <c r="P15327" s="318"/>
      <c r="Q15327" s="318"/>
      <c r="R15327" s="318"/>
      <c r="S15327" s="318"/>
      <c r="T15327" s="318"/>
      <c r="U15327" s="318"/>
      <c r="V15327" s="318"/>
      <c r="W15327" s="318"/>
      <c r="X15327" s="318"/>
      <c r="Y15327" s="318"/>
      <c r="Z15327" s="318"/>
      <c r="AA15327" s="318"/>
      <c r="AB15327" s="318"/>
      <c r="AC15327" s="318"/>
      <c r="AD15327" s="318"/>
    </row>
    <row r="15328" spans="2:30" s="323" customFormat="1" ht="12" customHeight="1">
      <c r="B15328" s="324"/>
      <c r="C15328" s="325"/>
      <c r="D15328" s="326"/>
      <c r="E15328" s="326"/>
      <c r="F15328" s="326"/>
      <c r="G15328" s="326"/>
      <c r="H15328" s="326"/>
      <c r="P15328" s="318"/>
      <c r="Q15328" s="318"/>
      <c r="R15328" s="318"/>
      <c r="S15328" s="318"/>
      <c r="T15328" s="318"/>
      <c r="U15328" s="318"/>
      <c r="V15328" s="318"/>
      <c r="W15328" s="318"/>
      <c r="X15328" s="318"/>
      <c r="Y15328" s="318"/>
      <c r="Z15328" s="318"/>
      <c r="AA15328" s="318"/>
      <c r="AB15328" s="318"/>
      <c r="AC15328" s="318"/>
      <c r="AD15328" s="318"/>
    </row>
    <row r="15329" spans="2:30" s="323" customFormat="1" ht="12" customHeight="1">
      <c r="B15329" s="324"/>
      <c r="C15329" s="325"/>
      <c r="D15329" s="326"/>
      <c r="E15329" s="326"/>
      <c r="F15329" s="326"/>
      <c r="G15329" s="326"/>
      <c r="H15329" s="326"/>
      <c r="P15329" s="318"/>
      <c r="Q15329" s="318"/>
      <c r="R15329" s="318"/>
      <c r="S15329" s="318"/>
      <c r="T15329" s="318"/>
      <c r="U15329" s="318"/>
      <c r="V15329" s="318"/>
      <c r="W15329" s="318"/>
      <c r="X15329" s="318"/>
      <c r="Y15329" s="318"/>
      <c r="Z15329" s="318"/>
      <c r="AA15329" s="318"/>
      <c r="AB15329" s="318"/>
      <c r="AC15329" s="318"/>
      <c r="AD15329" s="318"/>
    </row>
    <row r="15330" spans="2:30" s="323" customFormat="1" ht="12" customHeight="1">
      <c r="B15330" s="324"/>
      <c r="C15330" s="325"/>
      <c r="D15330" s="326"/>
      <c r="E15330" s="326"/>
      <c r="F15330" s="326"/>
      <c r="G15330" s="326"/>
      <c r="H15330" s="326"/>
      <c r="P15330" s="318"/>
      <c r="Q15330" s="318"/>
      <c r="R15330" s="318"/>
      <c r="S15330" s="318"/>
      <c r="T15330" s="318"/>
      <c r="U15330" s="318"/>
      <c r="V15330" s="318"/>
      <c r="W15330" s="318"/>
      <c r="X15330" s="318"/>
      <c r="Y15330" s="318"/>
      <c r="Z15330" s="318"/>
      <c r="AA15330" s="318"/>
      <c r="AB15330" s="318"/>
      <c r="AC15330" s="318"/>
      <c r="AD15330" s="318"/>
    </row>
    <row r="15331" spans="2:30" s="323" customFormat="1" ht="12" customHeight="1">
      <c r="B15331" s="324"/>
      <c r="C15331" s="325"/>
      <c r="D15331" s="326"/>
      <c r="E15331" s="326"/>
      <c r="F15331" s="326"/>
      <c r="G15331" s="326"/>
      <c r="H15331" s="326"/>
      <c r="P15331" s="318"/>
      <c r="Q15331" s="318"/>
      <c r="R15331" s="318"/>
      <c r="S15331" s="318"/>
      <c r="T15331" s="318"/>
      <c r="U15331" s="318"/>
      <c r="V15331" s="318"/>
      <c r="W15331" s="318"/>
      <c r="X15331" s="318"/>
      <c r="Y15331" s="318"/>
      <c r="Z15331" s="318"/>
      <c r="AA15331" s="318"/>
      <c r="AB15331" s="318"/>
      <c r="AC15331" s="318"/>
      <c r="AD15331" s="318"/>
    </row>
    <row r="15332" spans="2:30" s="323" customFormat="1" ht="12" customHeight="1">
      <c r="B15332" s="324"/>
      <c r="C15332" s="325"/>
      <c r="D15332" s="326"/>
      <c r="E15332" s="326"/>
      <c r="F15332" s="326"/>
      <c r="G15332" s="326"/>
      <c r="H15332" s="326"/>
      <c r="P15332" s="318"/>
      <c r="Q15332" s="318"/>
      <c r="R15332" s="318"/>
      <c r="S15332" s="318"/>
      <c r="T15332" s="318"/>
      <c r="U15332" s="318"/>
      <c r="V15332" s="318"/>
      <c r="W15332" s="318"/>
      <c r="X15332" s="318"/>
      <c r="Y15332" s="318"/>
      <c r="Z15332" s="318"/>
      <c r="AA15332" s="318"/>
      <c r="AB15332" s="318"/>
      <c r="AC15332" s="318"/>
      <c r="AD15332" s="318"/>
    </row>
    <row r="15333" spans="2:30" s="323" customFormat="1" ht="12" customHeight="1">
      <c r="B15333" s="324"/>
      <c r="C15333" s="325"/>
      <c r="D15333" s="326"/>
      <c r="E15333" s="326"/>
      <c r="F15333" s="326"/>
      <c r="G15333" s="326"/>
      <c r="H15333" s="326"/>
      <c r="P15333" s="318"/>
      <c r="Q15333" s="318"/>
      <c r="R15333" s="318"/>
      <c r="S15333" s="318"/>
      <c r="T15333" s="318"/>
      <c r="U15333" s="318"/>
      <c r="V15333" s="318"/>
      <c r="W15333" s="318"/>
      <c r="X15333" s="318"/>
      <c r="Y15333" s="318"/>
      <c r="Z15333" s="318"/>
      <c r="AA15333" s="318"/>
      <c r="AB15333" s="318"/>
      <c r="AC15333" s="318"/>
      <c r="AD15333" s="318"/>
    </row>
    <row r="15334" spans="2:30" s="323" customFormat="1" ht="12" customHeight="1">
      <c r="B15334" s="324"/>
      <c r="C15334" s="325"/>
      <c r="D15334" s="326"/>
      <c r="E15334" s="326"/>
      <c r="F15334" s="326"/>
      <c r="G15334" s="326"/>
      <c r="H15334" s="326"/>
      <c r="P15334" s="318"/>
      <c r="Q15334" s="318"/>
      <c r="R15334" s="318"/>
      <c r="S15334" s="318"/>
      <c r="T15334" s="318"/>
      <c r="U15334" s="318"/>
      <c r="V15334" s="318"/>
      <c r="W15334" s="318"/>
      <c r="X15334" s="318"/>
      <c r="Y15334" s="318"/>
      <c r="Z15334" s="318"/>
      <c r="AA15334" s="318"/>
      <c r="AB15334" s="318"/>
      <c r="AC15334" s="318"/>
      <c r="AD15334" s="318"/>
    </row>
    <row r="15335" spans="2:30" s="323" customFormat="1" ht="12" customHeight="1">
      <c r="B15335" s="324"/>
      <c r="C15335" s="325"/>
      <c r="D15335" s="326"/>
      <c r="E15335" s="326"/>
      <c r="F15335" s="326"/>
      <c r="G15335" s="326"/>
      <c r="H15335" s="326"/>
      <c r="P15335" s="318"/>
      <c r="Q15335" s="318"/>
      <c r="R15335" s="318"/>
      <c r="S15335" s="318"/>
      <c r="T15335" s="318"/>
      <c r="U15335" s="318"/>
      <c r="V15335" s="318"/>
      <c r="W15335" s="318"/>
      <c r="X15335" s="318"/>
      <c r="Y15335" s="318"/>
      <c r="Z15335" s="318"/>
      <c r="AA15335" s="318"/>
      <c r="AB15335" s="318"/>
      <c r="AC15335" s="318"/>
      <c r="AD15335" s="318"/>
    </row>
    <row r="15336" spans="2:30" s="323" customFormat="1" ht="12" customHeight="1">
      <c r="B15336" s="324"/>
      <c r="C15336" s="325"/>
      <c r="D15336" s="326"/>
      <c r="E15336" s="326"/>
      <c r="F15336" s="326"/>
      <c r="G15336" s="326"/>
      <c r="H15336" s="326"/>
      <c r="P15336" s="318"/>
      <c r="Q15336" s="318"/>
      <c r="R15336" s="318"/>
      <c r="S15336" s="318"/>
      <c r="T15336" s="318"/>
      <c r="U15336" s="318"/>
      <c r="V15336" s="318"/>
      <c r="W15336" s="318"/>
      <c r="X15336" s="318"/>
      <c r="Y15336" s="318"/>
      <c r="Z15336" s="318"/>
      <c r="AA15336" s="318"/>
      <c r="AB15336" s="318"/>
      <c r="AC15336" s="318"/>
      <c r="AD15336" s="318"/>
    </row>
    <row r="15337" spans="2:30" s="323" customFormat="1" ht="12" customHeight="1">
      <c r="B15337" s="324"/>
      <c r="C15337" s="325"/>
      <c r="D15337" s="326"/>
      <c r="E15337" s="326"/>
      <c r="F15337" s="326"/>
      <c r="G15337" s="326"/>
      <c r="H15337" s="326"/>
      <c r="P15337" s="318"/>
      <c r="Q15337" s="318"/>
      <c r="R15337" s="318"/>
      <c r="S15337" s="318"/>
      <c r="T15337" s="318"/>
      <c r="U15337" s="318"/>
      <c r="V15337" s="318"/>
      <c r="W15337" s="318"/>
      <c r="X15337" s="318"/>
      <c r="Y15337" s="318"/>
      <c r="Z15337" s="318"/>
      <c r="AA15337" s="318"/>
      <c r="AB15337" s="318"/>
      <c r="AC15337" s="318"/>
      <c r="AD15337" s="318"/>
    </row>
    <row r="15338" spans="2:30" s="323" customFormat="1" ht="12" customHeight="1">
      <c r="B15338" s="324"/>
      <c r="C15338" s="325"/>
      <c r="D15338" s="326"/>
      <c r="E15338" s="326"/>
      <c r="F15338" s="326"/>
      <c r="G15338" s="326"/>
      <c r="H15338" s="326"/>
      <c r="P15338" s="318"/>
      <c r="Q15338" s="318"/>
      <c r="R15338" s="318"/>
      <c r="S15338" s="318"/>
      <c r="T15338" s="318"/>
      <c r="U15338" s="318"/>
      <c r="V15338" s="318"/>
      <c r="W15338" s="318"/>
      <c r="X15338" s="318"/>
      <c r="Y15338" s="318"/>
      <c r="Z15338" s="318"/>
      <c r="AA15338" s="318"/>
      <c r="AB15338" s="318"/>
      <c r="AC15338" s="318"/>
      <c r="AD15338" s="318"/>
    </row>
    <row r="15339" spans="2:30" s="323" customFormat="1" ht="12" customHeight="1">
      <c r="B15339" s="324"/>
      <c r="C15339" s="325"/>
      <c r="D15339" s="326"/>
      <c r="E15339" s="326"/>
      <c r="F15339" s="326"/>
      <c r="G15339" s="326"/>
      <c r="H15339" s="326"/>
      <c r="P15339" s="318"/>
      <c r="Q15339" s="318"/>
      <c r="R15339" s="318"/>
      <c r="S15339" s="318"/>
      <c r="T15339" s="318"/>
      <c r="U15339" s="318"/>
      <c r="V15339" s="318"/>
      <c r="W15339" s="318"/>
      <c r="X15339" s="318"/>
      <c r="Y15339" s="318"/>
      <c r="Z15339" s="318"/>
      <c r="AA15339" s="318"/>
      <c r="AB15339" s="318"/>
      <c r="AC15339" s="318"/>
      <c r="AD15339" s="318"/>
    </row>
    <row r="15340" spans="2:30" s="323" customFormat="1" ht="12" customHeight="1">
      <c r="B15340" s="324"/>
      <c r="C15340" s="325"/>
      <c r="D15340" s="326"/>
      <c r="E15340" s="326"/>
      <c r="F15340" s="326"/>
      <c r="G15340" s="326"/>
      <c r="H15340" s="326"/>
      <c r="P15340" s="318"/>
      <c r="Q15340" s="318"/>
      <c r="R15340" s="318"/>
      <c r="S15340" s="318"/>
      <c r="T15340" s="318"/>
      <c r="U15340" s="318"/>
      <c r="V15340" s="318"/>
      <c r="W15340" s="318"/>
      <c r="X15340" s="318"/>
      <c r="Y15340" s="318"/>
      <c r="Z15340" s="318"/>
      <c r="AA15340" s="318"/>
      <c r="AB15340" s="318"/>
      <c r="AC15340" s="318"/>
      <c r="AD15340" s="318"/>
    </row>
    <row r="15341" spans="2:30" s="323" customFormat="1" ht="12" customHeight="1">
      <c r="B15341" s="324"/>
      <c r="C15341" s="325"/>
      <c r="D15341" s="326"/>
      <c r="E15341" s="326"/>
      <c r="F15341" s="326"/>
      <c r="G15341" s="326"/>
      <c r="H15341" s="326"/>
      <c r="P15341" s="318"/>
      <c r="Q15341" s="318"/>
      <c r="R15341" s="318"/>
      <c r="S15341" s="318"/>
      <c r="T15341" s="318"/>
      <c r="U15341" s="318"/>
      <c r="V15341" s="318"/>
      <c r="W15341" s="318"/>
      <c r="X15341" s="318"/>
      <c r="Y15341" s="318"/>
      <c r="Z15341" s="318"/>
      <c r="AA15341" s="318"/>
      <c r="AB15341" s="318"/>
      <c r="AC15341" s="318"/>
      <c r="AD15341" s="318"/>
    </row>
    <row r="15342" spans="2:30" s="323" customFormat="1" ht="12" customHeight="1">
      <c r="B15342" s="324"/>
      <c r="C15342" s="325"/>
      <c r="D15342" s="326"/>
      <c r="E15342" s="326"/>
      <c r="F15342" s="326"/>
      <c r="G15342" s="326"/>
      <c r="H15342" s="326"/>
      <c r="P15342" s="318"/>
      <c r="Q15342" s="318"/>
      <c r="R15342" s="318"/>
      <c r="S15342" s="318"/>
      <c r="T15342" s="318"/>
      <c r="U15342" s="318"/>
      <c r="V15342" s="318"/>
      <c r="W15342" s="318"/>
      <c r="X15342" s="318"/>
      <c r="Y15342" s="318"/>
      <c r="Z15342" s="318"/>
      <c r="AA15342" s="318"/>
      <c r="AB15342" s="318"/>
      <c r="AC15342" s="318"/>
      <c r="AD15342" s="318"/>
    </row>
    <row r="15343" spans="2:30" s="323" customFormat="1" ht="12" customHeight="1">
      <c r="B15343" s="324"/>
      <c r="C15343" s="325"/>
      <c r="D15343" s="326"/>
      <c r="E15343" s="326"/>
      <c r="F15343" s="326"/>
      <c r="G15343" s="326"/>
      <c r="H15343" s="326"/>
      <c r="P15343" s="318"/>
      <c r="Q15343" s="318"/>
      <c r="R15343" s="318"/>
      <c r="S15343" s="318"/>
      <c r="T15343" s="318"/>
      <c r="U15343" s="318"/>
      <c r="V15343" s="318"/>
      <c r="W15343" s="318"/>
      <c r="X15343" s="318"/>
      <c r="Y15343" s="318"/>
      <c r="Z15343" s="318"/>
      <c r="AA15343" s="318"/>
      <c r="AB15343" s="318"/>
      <c r="AC15343" s="318"/>
      <c r="AD15343" s="318"/>
    </row>
    <row r="15344" spans="2:30" s="323" customFormat="1" ht="12" customHeight="1">
      <c r="B15344" s="324"/>
      <c r="C15344" s="325"/>
      <c r="D15344" s="326"/>
      <c r="E15344" s="326"/>
      <c r="F15344" s="326"/>
      <c r="G15344" s="326"/>
      <c r="H15344" s="326"/>
      <c r="P15344" s="318"/>
      <c r="Q15344" s="318"/>
      <c r="R15344" s="318"/>
      <c r="S15344" s="318"/>
      <c r="T15344" s="318"/>
      <c r="U15344" s="318"/>
      <c r="V15344" s="318"/>
      <c r="W15344" s="318"/>
      <c r="X15344" s="318"/>
      <c r="Y15344" s="318"/>
      <c r="Z15344" s="318"/>
      <c r="AA15344" s="318"/>
      <c r="AB15344" s="318"/>
      <c r="AC15344" s="318"/>
      <c r="AD15344" s="318"/>
    </row>
    <row r="15345" spans="2:30" s="323" customFormat="1" ht="12" customHeight="1">
      <c r="B15345" s="324"/>
      <c r="C15345" s="325"/>
      <c r="D15345" s="326"/>
      <c r="E15345" s="326"/>
      <c r="F15345" s="326"/>
      <c r="G15345" s="326"/>
      <c r="H15345" s="326"/>
      <c r="P15345" s="318"/>
      <c r="Q15345" s="318"/>
      <c r="R15345" s="318"/>
      <c r="S15345" s="318"/>
      <c r="T15345" s="318"/>
      <c r="U15345" s="318"/>
      <c r="V15345" s="318"/>
      <c r="W15345" s="318"/>
      <c r="X15345" s="318"/>
      <c r="Y15345" s="318"/>
      <c r="Z15345" s="318"/>
      <c r="AA15345" s="318"/>
      <c r="AB15345" s="318"/>
      <c r="AC15345" s="318"/>
      <c r="AD15345" s="318"/>
    </row>
    <row r="15346" spans="2:30" s="323" customFormat="1" ht="12" customHeight="1">
      <c r="B15346" s="324"/>
      <c r="C15346" s="325"/>
      <c r="D15346" s="326"/>
      <c r="E15346" s="326"/>
      <c r="F15346" s="326"/>
      <c r="G15346" s="326"/>
      <c r="H15346" s="326"/>
      <c r="P15346" s="318"/>
      <c r="Q15346" s="318"/>
      <c r="R15346" s="318"/>
      <c r="S15346" s="318"/>
      <c r="T15346" s="318"/>
      <c r="U15346" s="318"/>
      <c r="V15346" s="318"/>
      <c r="W15346" s="318"/>
      <c r="X15346" s="318"/>
      <c r="Y15346" s="318"/>
      <c r="Z15346" s="318"/>
      <c r="AA15346" s="318"/>
      <c r="AB15346" s="318"/>
      <c r="AC15346" s="318"/>
      <c r="AD15346" s="318"/>
    </row>
    <row r="15347" spans="2:30" s="323" customFormat="1" ht="12" customHeight="1">
      <c r="B15347" s="324"/>
      <c r="C15347" s="325"/>
      <c r="D15347" s="326"/>
      <c r="E15347" s="326"/>
      <c r="F15347" s="326"/>
      <c r="G15347" s="326"/>
      <c r="H15347" s="326"/>
      <c r="P15347" s="318"/>
      <c r="Q15347" s="318"/>
      <c r="R15347" s="318"/>
      <c r="S15347" s="318"/>
      <c r="T15347" s="318"/>
      <c r="U15347" s="318"/>
      <c r="V15347" s="318"/>
      <c r="W15347" s="318"/>
      <c r="X15347" s="318"/>
      <c r="Y15347" s="318"/>
      <c r="Z15347" s="318"/>
      <c r="AA15347" s="318"/>
      <c r="AB15347" s="318"/>
      <c r="AC15347" s="318"/>
      <c r="AD15347" s="318"/>
    </row>
    <row r="15348" spans="2:30" s="323" customFormat="1" ht="12" customHeight="1">
      <c r="B15348" s="324"/>
      <c r="C15348" s="325"/>
      <c r="D15348" s="326"/>
      <c r="E15348" s="326"/>
      <c r="F15348" s="326"/>
      <c r="G15348" s="326"/>
      <c r="H15348" s="326"/>
      <c r="P15348" s="318"/>
      <c r="Q15348" s="318"/>
      <c r="R15348" s="318"/>
      <c r="S15348" s="318"/>
      <c r="T15348" s="318"/>
      <c r="U15348" s="318"/>
      <c r="V15348" s="318"/>
      <c r="W15348" s="318"/>
      <c r="X15348" s="318"/>
      <c r="Y15348" s="318"/>
      <c r="Z15348" s="318"/>
      <c r="AA15348" s="318"/>
      <c r="AB15348" s="318"/>
      <c r="AC15348" s="318"/>
      <c r="AD15348" s="318"/>
    </row>
    <row r="15349" spans="2:30" s="323" customFormat="1" ht="12" customHeight="1">
      <c r="B15349" s="324"/>
      <c r="C15349" s="325"/>
      <c r="D15349" s="326"/>
      <c r="E15349" s="326"/>
      <c r="F15349" s="326"/>
      <c r="G15349" s="326"/>
      <c r="H15349" s="326"/>
      <c r="P15349" s="318"/>
      <c r="Q15349" s="318"/>
      <c r="R15349" s="318"/>
      <c r="S15349" s="318"/>
      <c r="T15349" s="318"/>
      <c r="U15349" s="318"/>
      <c r="V15349" s="318"/>
      <c r="W15349" s="318"/>
      <c r="X15349" s="318"/>
      <c r="Y15349" s="318"/>
      <c r="Z15349" s="318"/>
      <c r="AA15349" s="318"/>
      <c r="AB15349" s="318"/>
      <c r="AC15349" s="318"/>
      <c r="AD15349" s="318"/>
    </row>
    <row r="15350" spans="2:30" s="323" customFormat="1" ht="12" customHeight="1">
      <c r="B15350" s="324"/>
      <c r="C15350" s="325"/>
      <c r="D15350" s="326"/>
      <c r="E15350" s="326"/>
      <c r="F15350" s="326"/>
      <c r="G15350" s="326"/>
      <c r="H15350" s="326"/>
      <c r="P15350" s="318"/>
      <c r="Q15350" s="318"/>
      <c r="R15350" s="318"/>
      <c r="S15350" s="318"/>
      <c r="T15350" s="318"/>
      <c r="U15350" s="318"/>
      <c r="V15350" s="318"/>
      <c r="W15350" s="318"/>
      <c r="X15350" s="318"/>
      <c r="Y15350" s="318"/>
      <c r="Z15350" s="318"/>
      <c r="AA15350" s="318"/>
      <c r="AB15350" s="318"/>
      <c r="AC15350" s="318"/>
      <c r="AD15350" s="318"/>
    </row>
    <row r="15351" spans="2:30" s="323" customFormat="1" ht="12" customHeight="1">
      <c r="B15351" s="324"/>
      <c r="C15351" s="325"/>
      <c r="D15351" s="326"/>
      <c r="E15351" s="326"/>
      <c r="F15351" s="326"/>
      <c r="G15351" s="326"/>
      <c r="H15351" s="326"/>
      <c r="P15351" s="318"/>
      <c r="Q15351" s="318"/>
      <c r="R15351" s="318"/>
      <c r="S15351" s="318"/>
      <c r="T15351" s="318"/>
      <c r="U15351" s="318"/>
      <c r="V15351" s="318"/>
      <c r="W15351" s="318"/>
      <c r="X15351" s="318"/>
      <c r="Y15351" s="318"/>
      <c r="Z15351" s="318"/>
      <c r="AA15351" s="318"/>
      <c r="AB15351" s="318"/>
      <c r="AC15351" s="318"/>
      <c r="AD15351" s="318"/>
    </row>
    <row r="15352" spans="2:30" s="323" customFormat="1" ht="12" customHeight="1">
      <c r="B15352" s="324"/>
      <c r="C15352" s="325"/>
      <c r="D15352" s="326"/>
      <c r="E15352" s="326"/>
      <c r="F15352" s="326"/>
      <c r="G15352" s="326"/>
      <c r="H15352" s="326"/>
      <c r="P15352" s="318"/>
      <c r="Q15352" s="318"/>
      <c r="R15352" s="318"/>
      <c r="S15352" s="318"/>
      <c r="T15352" s="318"/>
      <c r="U15352" s="318"/>
      <c r="V15352" s="318"/>
      <c r="W15352" s="318"/>
      <c r="X15352" s="318"/>
      <c r="Y15352" s="318"/>
      <c r="Z15352" s="318"/>
      <c r="AA15352" s="318"/>
      <c r="AB15352" s="318"/>
      <c r="AC15352" s="318"/>
      <c r="AD15352" s="318"/>
    </row>
    <row r="15353" spans="2:30" s="323" customFormat="1" ht="12" customHeight="1">
      <c r="B15353" s="324"/>
      <c r="C15353" s="325"/>
      <c r="D15353" s="326"/>
      <c r="E15353" s="326"/>
      <c r="F15353" s="326"/>
      <c r="G15353" s="326"/>
      <c r="H15353" s="326"/>
      <c r="P15353" s="318"/>
      <c r="Q15353" s="318"/>
      <c r="R15353" s="318"/>
      <c r="S15353" s="318"/>
      <c r="T15353" s="318"/>
      <c r="U15353" s="318"/>
      <c r="V15353" s="318"/>
      <c r="W15353" s="318"/>
      <c r="X15353" s="318"/>
      <c r="Y15353" s="318"/>
      <c r="Z15353" s="318"/>
      <c r="AA15353" s="318"/>
      <c r="AB15353" s="318"/>
      <c r="AC15353" s="318"/>
      <c r="AD15353" s="318"/>
    </row>
    <row r="15354" spans="2:30" s="323" customFormat="1" ht="12" customHeight="1">
      <c r="B15354" s="324"/>
      <c r="C15354" s="325"/>
      <c r="D15354" s="326"/>
      <c r="E15354" s="326"/>
      <c r="F15354" s="326"/>
      <c r="G15354" s="326"/>
      <c r="H15354" s="326"/>
      <c r="P15354" s="318"/>
      <c r="Q15354" s="318"/>
      <c r="R15354" s="318"/>
      <c r="S15354" s="318"/>
      <c r="T15354" s="318"/>
      <c r="U15354" s="318"/>
      <c r="V15354" s="318"/>
      <c r="W15354" s="318"/>
      <c r="X15354" s="318"/>
      <c r="Y15354" s="318"/>
      <c r="Z15354" s="318"/>
      <c r="AA15354" s="318"/>
      <c r="AB15354" s="318"/>
      <c r="AC15354" s="318"/>
      <c r="AD15354" s="318"/>
    </row>
    <row r="15355" spans="2:30" s="323" customFormat="1" ht="12" customHeight="1">
      <c r="B15355" s="324"/>
      <c r="C15355" s="325"/>
      <c r="D15355" s="326"/>
      <c r="E15355" s="326"/>
      <c r="F15355" s="326"/>
      <c r="G15355" s="326"/>
      <c r="H15355" s="326"/>
      <c r="P15355" s="318"/>
      <c r="Q15355" s="318"/>
      <c r="R15355" s="318"/>
      <c r="S15355" s="318"/>
      <c r="T15355" s="318"/>
      <c r="U15355" s="318"/>
      <c r="V15355" s="318"/>
      <c r="W15355" s="318"/>
      <c r="X15355" s="318"/>
      <c r="Y15355" s="318"/>
      <c r="Z15355" s="318"/>
      <c r="AA15355" s="318"/>
      <c r="AB15355" s="318"/>
      <c r="AC15355" s="318"/>
      <c r="AD15355" s="318"/>
    </row>
    <row r="15356" spans="2:30" s="323" customFormat="1" ht="12" customHeight="1">
      <c r="B15356" s="324"/>
      <c r="C15356" s="325"/>
      <c r="D15356" s="326"/>
      <c r="E15356" s="326"/>
      <c r="F15356" s="326"/>
      <c r="G15356" s="326"/>
      <c r="H15356" s="326"/>
      <c r="P15356" s="318"/>
      <c r="Q15356" s="318"/>
      <c r="R15356" s="318"/>
      <c r="S15356" s="318"/>
      <c r="T15356" s="318"/>
      <c r="U15356" s="318"/>
      <c r="V15356" s="318"/>
      <c r="W15356" s="318"/>
      <c r="X15356" s="318"/>
      <c r="Y15356" s="318"/>
      <c r="Z15356" s="318"/>
      <c r="AA15356" s="318"/>
      <c r="AB15356" s="318"/>
      <c r="AC15356" s="318"/>
      <c r="AD15356" s="318"/>
    </row>
    <row r="15357" spans="2:30" s="323" customFormat="1" ht="12" customHeight="1">
      <c r="B15357" s="324"/>
      <c r="C15357" s="325"/>
      <c r="D15357" s="326"/>
      <c r="E15357" s="326"/>
      <c r="F15357" s="326"/>
      <c r="G15357" s="326"/>
      <c r="H15357" s="326"/>
      <c r="P15357" s="318"/>
      <c r="Q15357" s="318"/>
      <c r="R15357" s="318"/>
      <c r="S15357" s="318"/>
      <c r="T15357" s="318"/>
      <c r="U15357" s="318"/>
      <c r="V15357" s="318"/>
      <c r="W15357" s="318"/>
      <c r="X15357" s="318"/>
      <c r="Y15357" s="318"/>
      <c r="Z15357" s="318"/>
      <c r="AA15357" s="318"/>
      <c r="AB15357" s="318"/>
      <c r="AC15357" s="318"/>
      <c r="AD15357" s="318"/>
    </row>
    <row r="15358" spans="2:30" s="323" customFormat="1" ht="12" customHeight="1">
      <c r="B15358" s="324"/>
      <c r="C15358" s="325"/>
      <c r="D15358" s="326"/>
      <c r="E15358" s="326"/>
      <c r="F15358" s="326"/>
      <c r="G15358" s="326"/>
      <c r="H15358" s="326"/>
      <c r="P15358" s="318"/>
      <c r="Q15358" s="318"/>
      <c r="R15358" s="318"/>
      <c r="S15358" s="318"/>
      <c r="T15358" s="318"/>
      <c r="U15358" s="318"/>
      <c r="V15358" s="318"/>
      <c r="W15358" s="318"/>
      <c r="X15358" s="318"/>
      <c r="Y15358" s="318"/>
      <c r="Z15358" s="318"/>
      <c r="AA15358" s="318"/>
      <c r="AB15358" s="318"/>
      <c r="AC15358" s="318"/>
      <c r="AD15358" s="318"/>
    </row>
    <row r="15359" spans="2:30" s="323" customFormat="1" ht="12" customHeight="1">
      <c r="B15359" s="324"/>
      <c r="C15359" s="325"/>
      <c r="D15359" s="326"/>
      <c r="E15359" s="326"/>
      <c r="F15359" s="326"/>
      <c r="G15359" s="326"/>
      <c r="H15359" s="326"/>
      <c r="P15359" s="318"/>
      <c r="Q15359" s="318"/>
      <c r="R15359" s="318"/>
      <c r="S15359" s="318"/>
      <c r="T15359" s="318"/>
      <c r="U15359" s="318"/>
      <c r="V15359" s="318"/>
      <c r="W15359" s="318"/>
      <c r="X15359" s="318"/>
      <c r="Y15359" s="318"/>
      <c r="Z15359" s="318"/>
      <c r="AA15359" s="318"/>
      <c r="AB15359" s="318"/>
      <c r="AC15359" s="318"/>
      <c r="AD15359" s="318"/>
    </row>
    <row r="15360" spans="2:30" s="323" customFormat="1" ht="12" customHeight="1">
      <c r="B15360" s="324"/>
      <c r="C15360" s="325"/>
      <c r="D15360" s="326"/>
      <c r="E15360" s="326"/>
      <c r="F15360" s="326"/>
      <c r="G15360" s="326"/>
      <c r="H15360" s="326"/>
      <c r="P15360" s="318"/>
      <c r="Q15360" s="318"/>
      <c r="R15360" s="318"/>
      <c r="S15360" s="318"/>
      <c r="T15360" s="318"/>
      <c r="U15360" s="318"/>
      <c r="V15360" s="318"/>
      <c r="W15360" s="318"/>
      <c r="X15360" s="318"/>
      <c r="Y15360" s="318"/>
      <c r="Z15360" s="318"/>
      <c r="AA15360" s="318"/>
      <c r="AB15360" s="318"/>
      <c r="AC15360" s="318"/>
      <c r="AD15360" s="318"/>
    </row>
    <row r="15361" spans="2:30" s="323" customFormat="1" ht="12" customHeight="1">
      <c r="B15361" s="324"/>
      <c r="C15361" s="325"/>
      <c r="D15361" s="326"/>
      <c r="E15361" s="326"/>
      <c r="F15361" s="326"/>
      <c r="G15361" s="326"/>
      <c r="H15361" s="326"/>
      <c r="P15361" s="318"/>
      <c r="Q15361" s="318"/>
      <c r="R15361" s="318"/>
      <c r="S15361" s="318"/>
      <c r="T15361" s="318"/>
      <c r="U15361" s="318"/>
      <c r="V15361" s="318"/>
      <c r="W15361" s="318"/>
      <c r="X15361" s="318"/>
      <c r="Y15361" s="318"/>
      <c r="Z15361" s="318"/>
      <c r="AA15361" s="318"/>
      <c r="AB15361" s="318"/>
      <c r="AC15361" s="318"/>
      <c r="AD15361" s="318"/>
    </row>
    <row r="15362" spans="2:30" s="323" customFormat="1" ht="12" customHeight="1">
      <c r="B15362" s="324"/>
      <c r="C15362" s="325"/>
      <c r="D15362" s="326"/>
      <c r="E15362" s="326"/>
      <c r="F15362" s="326"/>
      <c r="G15362" s="326"/>
      <c r="H15362" s="326"/>
      <c r="P15362" s="318"/>
      <c r="Q15362" s="318"/>
      <c r="R15362" s="318"/>
      <c r="S15362" s="318"/>
      <c r="T15362" s="318"/>
      <c r="U15362" s="318"/>
      <c r="V15362" s="318"/>
      <c r="W15362" s="318"/>
      <c r="X15362" s="318"/>
      <c r="Y15362" s="318"/>
      <c r="Z15362" s="318"/>
      <c r="AA15362" s="318"/>
      <c r="AB15362" s="318"/>
      <c r="AC15362" s="318"/>
      <c r="AD15362" s="318"/>
    </row>
    <row r="15363" spans="2:30" s="323" customFormat="1" ht="12" customHeight="1">
      <c r="B15363" s="324"/>
      <c r="C15363" s="325"/>
      <c r="D15363" s="326"/>
      <c r="E15363" s="326"/>
      <c r="F15363" s="326"/>
      <c r="G15363" s="326"/>
      <c r="H15363" s="326"/>
      <c r="P15363" s="318"/>
      <c r="Q15363" s="318"/>
      <c r="R15363" s="318"/>
      <c r="S15363" s="318"/>
      <c r="T15363" s="318"/>
      <c r="U15363" s="318"/>
      <c r="V15363" s="318"/>
      <c r="W15363" s="318"/>
      <c r="X15363" s="318"/>
      <c r="Y15363" s="318"/>
      <c r="Z15363" s="318"/>
      <c r="AA15363" s="318"/>
      <c r="AB15363" s="318"/>
      <c r="AC15363" s="318"/>
      <c r="AD15363" s="318"/>
    </row>
    <row r="15364" spans="2:30" s="323" customFormat="1" ht="12" customHeight="1">
      <c r="B15364" s="324"/>
      <c r="C15364" s="325"/>
      <c r="D15364" s="326"/>
      <c r="E15364" s="326"/>
      <c r="F15364" s="326"/>
      <c r="G15364" s="326"/>
      <c r="H15364" s="326"/>
      <c r="P15364" s="318"/>
      <c r="Q15364" s="318"/>
      <c r="R15364" s="318"/>
      <c r="S15364" s="318"/>
      <c r="T15364" s="318"/>
      <c r="U15364" s="318"/>
      <c r="V15364" s="318"/>
      <c r="W15364" s="318"/>
      <c r="X15364" s="318"/>
      <c r="Y15364" s="318"/>
      <c r="Z15364" s="318"/>
      <c r="AA15364" s="318"/>
      <c r="AB15364" s="318"/>
      <c r="AC15364" s="318"/>
      <c r="AD15364" s="318"/>
    </row>
    <row r="15365" spans="2:30" s="323" customFormat="1" ht="12" customHeight="1">
      <c r="B15365" s="324"/>
      <c r="C15365" s="325"/>
      <c r="D15365" s="326"/>
      <c r="E15365" s="326"/>
      <c r="F15365" s="326"/>
      <c r="G15365" s="326"/>
      <c r="H15365" s="326"/>
      <c r="P15365" s="318"/>
      <c r="Q15365" s="318"/>
      <c r="R15365" s="318"/>
      <c r="S15365" s="318"/>
      <c r="T15365" s="318"/>
      <c r="U15365" s="318"/>
      <c r="V15365" s="318"/>
      <c r="W15365" s="318"/>
      <c r="X15365" s="318"/>
      <c r="Y15365" s="318"/>
      <c r="Z15365" s="318"/>
      <c r="AA15365" s="318"/>
      <c r="AB15365" s="318"/>
      <c r="AC15365" s="318"/>
      <c r="AD15365" s="318"/>
    </row>
    <row r="15366" spans="2:30" s="323" customFormat="1" ht="12" customHeight="1">
      <c r="B15366" s="324"/>
      <c r="C15366" s="325"/>
      <c r="D15366" s="326"/>
      <c r="E15366" s="326"/>
      <c r="F15366" s="326"/>
      <c r="G15366" s="326"/>
      <c r="H15366" s="326"/>
      <c r="P15366" s="318"/>
      <c r="Q15366" s="318"/>
      <c r="R15366" s="318"/>
      <c r="S15366" s="318"/>
      <c r="T15366" s="318"/>
      <c r="U15366" s="318"/>
      <c r="V15366" s="318"/>
      <c r="W15366" s="318"/>
      <c r="X15366" s="318"/>
      <c r="Y15366" s="318"/>
      <c r="Z15366" s="318"/>
      <c r="AA15366" s="318"/>
      <c r="AB15366" s="318"/>
      <c r="AC15366" s="318"/>
      <c r="AD15366" s="318"/>
    </row>
    <row r="15367" spans="2:30" s="323" customFormat="1" ht="12" customHeight="1">
      <c r="B15367" s="324"/>
      <c r="C15367" s="325"/>
      <c r="D15367" s="326"/>
      <c r="E15367" s="326"/>
      <c r="F15367" s="326"/>
      <c r="G15367" s="326"/>
      <c r="H15367" s="326"/>
      <c r="P15367" s="318"/>
      <c r="Q15367" s="318"/>
      <c r="R15367" s="318"/>
      <c r="S15367" s="318"/>
      <c r="T15367" s="318"/>
      <c r="U15367" s="318"/>
      <c r="V15367" s="318"/>
      <c r="W15367" s="318"/>
      <c r="X15367" s="318"/>
      <c r="Y15367" s="318"/>
      <c r="Z15367" s="318"/>
      <c r="AA15367" s="318"/>
      <c r="AB15367" s="318"/>
      <c r="AC15367" s="318"/>
      <c r="AD15367" s="318"/>
    </row>
    <row r="15368" spans="2:30" s="323" customFormat="1" ht="12" customHeight="1">
      <c r="B15368" s="324"/>
      <c r="C15368" s="325"/>
      <c r="D15368" s="326"/>
      <c r="E15368" s="326"/>
      <c r="F15368" s="326"/>
      <c r="G15368" s="326"/>
      <c r="H15368" s="326"/>
      <c r="P15368" s="318"/>
      <c r="Q15368" s="318"/>
      <c r="R15368" s="318"/>
      <c r="S15368" s="318"/>
      <c r="T15368" s="318"/>
      <c r="U15368" s="318"/>
      <c r="V15368" s="318"/>
      <c r="W15368" s="318"/>
      <c r="X15368" s="318"/>
      <c r="Y15368" s="318"/>
      <c r="Z15368" s="318"/>
      <c r="AA15368" s="318"/>
      <c r="AB15368" s="318"/>
      <c r="AC15368" s="318"/>
      <c r="AD15368" s="318"/>
    </row>
    <row r="15369" spans="2:30" s="323" customFormat="1" ht="12" customHeight="1">
      <c r="B15369" s="324"/>
      <c r="C15369" s="325"/>
      <c r="D15369" s="326"/>
      <c r="E15369" s="326"/>
      <c r="F15369" s="326"/>
      <c r="G15369" s="326"/>
      <c r="H15369" s="326"/>
      <c r="P15369" s="318"/>
      <c r="Q15369" s="318"/>
      <c r="R15369" s="318"/>
      <c r="S15369" s="318"/>
      <c r="T15369" s="318"/>
      <c r="U15369" s="318"/>
      <c r="V15369" s="318"/>
      <c r="W15369" s="318"/>
      <c r="X15369" s="318"/>
      <c r="Y15369" s="318"/>
      <c r="Z15369" s="318"/>
      <c r="AA15369" s="318"/>
      <c r="AB15369" s="318"/>
      <c r="AC15369" s="318"/>
      <c r="AD15369" s="318"/>
    </row>
    <row r="15370" spans="2:30" s="323" customFormat="1" ht="12" customHeight="1">
      <c r="B15370" s="324"/>
      <c r="C15370" s="325"/>
      <c r="D15370" s="326"/>
      <c r="E15370" s="326"/>
      <c r="F15370" s="326"/>
      <c r="G15370" s="326"/>
      <c r="H15370" s="326"/>
      <c r="P15370" s="318"/>
      <c r="Q15370" s="318"/>
      <c r="R15370" s="318"/>
      <c r="S15370" s="318"/>
      <c r="T15370" s="318"/>
      <c r="U15370" s="318"/>
      <c r="V15370" s="318"/>
      <c r="W15370" s="318"/>
      <c r="X15370" s="318"/>
      <c r="Y15370" s="318"/>
      <c r="Z15370" s="318"/>
      <c r="AA15370" s="318"/>
      <c r="AB15370" s="318"/>
      <c r="AC15370" s="318"/>
      <c r="AD15370" s="318"/>
    </row>
    <row r="15371" spans="2:30" s="323" customFormat="1" ht="12" customHeight="1">
      <c r="B15371" s="324"/>
      <c r="C15371" s="325"/>
      <c r="D15371" s="326"/>
      <c r="E15371" s="326"/>
      <c r="F15371" s="326"/>
      <c r="G15371" s="326"/>
      <c r="H15371" s="326"/>
      <c r="P15371" s="318"/>
      <c r="Q15371" s="318"/>
      <c r="R15371" s="318"/>
      <c r="S15371" s="318"/>
      <c r="T15371" s="318"/>
      <c r="U15371" s="318"/>
      <c r="V15371" s="318"/>
      <c r="W15371" s="318"/>
      <c r="X15371" s="318"/>
      <c r="Y15371" s="318"/>
      <c r="Z15371" s="318"/>
      <c r="AA15371" s="318"/>
      <c r="AB15371" s="318"/>
      <c r="AC15371" s="318"/>
      <c r="AD15371" s="318"/>
    </row>
    <row r="15372" spans="2:30" s="323" customFormat="1" ht="12" customHeight="1">
      <c r="B15372" s="324"/>
      <c r="C15372" s="325"/>
      <c r="D15372" s="326"/>
      <c r="E15372" s="326"/>
      <c r="F15372" s="326"/>
      <c r="G15372" s="326"/>
      <c r="H15372" s="326"/>
      <c r="P15372" s="318"/>
      <c r="Q15372" s="318"/>
      <c r="R15372" s="318"/>
      <c r="S15372" s="318"/>
      <c r="T15372" s="318"/>
      <c r="U15372" s="318"/>
      <c r="V15372" s="318"/>
      <c r="W15372" s="318"/>
      <c r="X15372" s="318"/>
      <c r="Y15372" s="318"/>
      <c r="Z15372" s="318"/>
      <c r="AA15372" s="318"/>
      <c r="AB15372" s="318"/>
      <c r="AC15372" s="318"/>
      <c r="AD15372" s="318"/>
    </row>
    <row r="15373" spans="2:30" s="323" customFormat="1" ht="12" customHeight="1">
      <c r="B15373" s="324"/>
      <c r="C15373" s="325"/>
      <c r="D15373" s="326"/>
      <c r="E15373" s="326"/>
      <c r="F15373" s="326"/>
      <c r="G15373" s="326"/>
      <c r="H15373" s="326"/>
      <c r="P15373" s="318"/>
      <c r="Q15373" s="318"/>
      <c r="R15373" s="318"/>
      <c r="S15373" s="318"/>
      <c r="T15373" s="318"/>
      <c r="U15373" s="318"/>
      <c r="V15373" s="318"/>
      <c r="W15373" s="318"/>
      <c r="X15373" s="318"/>
      <c r="Y15373" s="318"/>
      <c r="Z15373" s="318"/>
      <c r="AA15373" s="318"/>
      <c r="AB15373" s="318"/>
      <c r="AC15373" s="318"/>
      <c r="AD15373" s="318"/>
    </row>
    <row r="15374" spans="2:30" s="323" customFormat="1" ht="12" customHeight="1">
      <c r="B15374" s="324"/>
      <c r="C15374" s="325"/>
      <c r="D15374" s="326"/>
      <c r="E15374" s="326"/>
      <c r="F15374" s="326"/>
      <c r="G15374" s="326"/>
      <c r="H15374" s="326"/>
      <c r="P15374" s="318"/>
      <c r="Q15374" s="318"/>
      <c r="R15374" s="318"/>
      <c r="S15374" s="318"/>
      <c r="T15374" s="318"/>
      <c r="U15374" s="318"/>
      <c r="V15374" s="318"/>
      <c r="W15374" s="318"/>
      <c r="X15374" s="318"/>
      <c r="Y15374" s="318"/>
      <c r="Z15374" s="318"/>
      <c r="AA15374" s="318"/>
      <c r="AB15374" s="318"/>
      <c r="AC15374" s="318"/>
      <c r="AD15374" s="318"/>
    </row>
    <row r="15375" spans="2:30" s="323" customFormat="1" ht="12" customHeight="1">
      <c r="B15375" s="324"/>
      <c r="C15375" s="325"/>
      <c r="D15375" s="326"/>
      <c r="E15375" s="326"/>
      <c r="F15375" s="326"/>
      <c r="G15375" s="326"/>
      <c r="H15375" s="326"/>
      <c r="P15375" s="318"/>
      <c r="Q15375" s="318"/>
      <c r="R15375" s="318"/>
      <c r="S15375" s="318"/>
      <c r="T15375" s="318"/>
      <c r="U15375" s="318"/>
      <c r="V15375" s="318"/>
      <c r="W15375" s="318"/>
      <c r="X15375" s="318"/>
      <c r="Y15375" s="318"/>
      <c r="Z15375" s="318"/>
      <c r="AA15375" s="318"/>
      <c r="AB15375" s="318"/>
      <c r="AC15375" s="318"/>
      <c r="AD15375" s="318"/>
    </row>
    <row r="15376" spans="2:30" s="323" customFormat="1" ht="12" customHeight="1">
      <c r="B15376" s="324"/>
      <c r="C15376" s="325"/>
      <c r="D15376" s="326"/>
      <c r="E15376" s="326"/>
      <c r="F15376" s="326"/>
      <c r="G15376" s="326"/>
      <c r="H15376" s="326"/>
      <c r="P15376" s="318"/>
      <c r="Q15376" s="318"/>
      <c r="R15376" s="318"/>
      <c r="S15376" s="318"/>
      <c r="T15376" s="318"/>
      <c r="U15376" s="318"/>
      <c r="V15376" s="318"/>
      <c r="W15376" s="318"/>
      <c r="X15376" s="318"/>
      <c r="Y15376" s="318"/>
      <c r="Z15376" s="318"/>
      <c r="AA15376" s="318"/>
      <c r="AB15376" s="318"/>
      <c r="AC15376" s="318"/>
      <c r="AD15376" s="318"/>
    </row>
    <row r="15377" spans="2:30" s="323" customFormat="1" ht="12" customHeight="1">
      <c r="B15377" s="324"/>
      <c r="C15377" s="325"/>
      <c r="D15377" s="326"/>
      <c r="E15377" s="326"/>
      <c r="F15377" s="326"/>
      <c r="G15377" s="326"/>
      <c r="H15377" s="326"/>
      <c r="P15377" s="318"/>
      <c r="Q15377" s="318"/>
      <c r="R15377" s="318"/>
      <c r="S15377" s="318"/>
      <c r="T15377" s="318"/>
      <c r="U15377" s="318"/>
      <c r="V15377" s="318"/>
      <c r="W15377" s="318"/>
      <c r="X15377" s="318"/>
      <c r="Y15377" s="318"/>
      <c r="Z15377" s="318"/>
      <c r="AA15377" s="318"/>
      <c r="AB15377" s="318"/>
      <c r="AC15377" s="318"/>
      <c r="AD15377" s="318"/>
    </row>
    <row r="15378" spans="2:30" s="323" customFormat="1" ht="12" customHeight="1">
      <c r="B15378" s="324"/>
      <c r="C15378" s="325"/>
      <c r="D15378" s="326"/>
      <c r="E15378" s="326"/>
      <c r="F15378" s="326"/>
      <c r="G15378" s="326"/>
      <c r="H15378" s="326"/>
      <c r="P15378" s="318"/>
      <c r="Q15378" s="318"/>
      <c r="R15378" s="318"/>
      <c r="S15378" s="318"/>
      <c r="T15378" s="318"/>
      <c r="U15378" s="318"/>
      <c r="V15378" s="318"/>
      <c r="W15378" s="318"/>
      <c r="X15378" s="318"/>
      <c r="Y15378" s="318"/>
      <c r="Z15378" s="318"/>
      <c r="AA15378" s="318"/>
      <c r="AB15378" s="318"/>
      <c r="AC15378" s="318"/>
      <c r="AD15378" s="318"/>
    </row>
    <row r="15379" spans="2:30" s="323" customFormat="1" ht="12" customHeight="1">
      <c r="B15379" s="324"/>
      <c r="C15379" s="325"/>
      <c r="D15379" s="326"/>
      <c r="E15379" s="326"/>
      <c r="F15379" s="326"/>
      <c r="G15379" s="326"/>
      <c r="H15379" s="326"/>
      <c r="P15379" s="318"/>
      <c r="Q15379" s="318"/>
      <c r="R15379" s="318"/>
      <c r="S15379" s="318"/>
      <c r="T15379" s="318"/>
      <c r="U15379" s="318"/>
      <c r="V15379" s="318"/>
      <c r="W15379" s="318"/>
      <c r="X15379" s="318"/>
      <c r="Y15379" s="318"/>
      <c r="Z15379" s="318"/>
      <c r="AA15379" s="318"/>
      <c r="AB15379" s="318"/>
      <c r="AC15379" s="318"/>
      <c r="AD15379" s="318"/>
    </row>
    <row r="15380" spans="2:30" s="323" customFormat="1" ht="12" customHeight="1">
      <c r="B15380" s="324"/>
      <c r="C15380" s="325"/>
      <c r="D15380" s="326"/>
      <c r="E15380" s="326"/>
      <c r="F15380" s="326"/>
      <c r="G15380" s="326"/>
      <c r="H15380" s="326"/>
      <c r="P15380" s="318"/>
      <c r="Q15380" s="318"/>
      <c r="R15380" s="318"/>
      <c r="S15380" s="318"/>
      <c r="T15380" s="318"/>
      <c r="U15380" s="318"/>
      <c r="V15380" s="318"/>
      <c r="W15380" s="318"/>
      <c r="X15380" s="318"/>
      <c r="Y15380" s="318"/>
      <c r="Z15380" s="318"/>
      <c r="AA15380" s="318"/>
      <c r="AB15380" s="318"/>
      <c r="AC15380" s="318"/>
      <c r="AD15380" s="318"/>
    </row>
    <row r="15381" spans="2:30" s="323" customFormat="1" ht="12" customHeight="1">
      <c r="B15381" s="324"/>
      <c r="C15381" s="325"/>
      <c r="D15381" s="326"/>
      <c r="E15381" s="326"/>
      <c r="F15381" s="326"/>
      <c r="G15381" s="326"/>
      <c r="H15381" s="326"/>
      <c r="P15381" s="318"/>
      <c r="Q15381" s="318"/>
      <c r="R15381" s="318"/>
      <c r="S15381" s="318"/>
      <c r="T15381" s="318"/>
      <c r="U15381" s="318"/>
      <c r="V15381" s="318"/>
      <c r="W15381" s="318"/>
      <c r="X15381" s="318"/>
      <c r="Y15381" s="318"/>
      <c r="Z15381" s="318"/>
      <c r="AA15381" s="318"/>
      <c r="AB15381" s="318"/>
      <c r="AC15381" s="318"/>
      <c r="AD15381" s="318"/>
    </row>
    <row r="15382" spans="2:30" s="323" customFormat="1" ht="12" customHeight="1">
      <c r="B15382" s="324"/>
      <c r="C15382" s="325"/>
      <c r="D15382" s="326"/>
      <c r="E15382" s="326"/>
      <c r="F15382" s="326"/>
      <c r="G15382" s="326"/>
      <c r="H15382" s="326"/>
      <c r="P15382" s="318"/>
      <c r="Q15382" s="318"/>
      <c r="R15382" s="318"/>
      <c r="S15382" s="318"/>
      <c r="T15382" s="318"/>
      <c r="U15382" s="318"/>
      <c r="V15382" s="318"/>
      <c r="W15382" s="318"/>
      <c r="X15382" s="318"/>
      <c r="Y15382" s="318"/>
      <c r="Z15382" s="318"/>
      <c r="AA15382" s="318"/>
      <c r="AB15382" s="318"/>
      <c r="AC15382" s="318"/>
      <c r="AD15382" s="318"/>
    </row>
    <row r="15383" spans="2:30" s="323" customFormat="1" ht="12" customHeight="1">
      <c r="B15383" s="324"/>
      <c r="C15383" s="325"/>
      <c r="D15383" s="326"/>
      <c r="E15383" s="326"/>
      <c r="F15383" s="326"/>
      <c r="G15383" s="326"/>
      <c r="H15383" s="326"/>
      <c r="P15383" s="318"/>
      <c r="Q15383" s="318"/>
      <c r="R15383" s="318"/>
      <c r="S15383" s="318"/>
      <c r="T15383" s="318"/>
      <c r="U15383" s="318"/>
      <c r="V15383" s="318"/>
      <c r="W15383" s="318"/>
      <c r="X15383" s="318"/>
      <c r="Y15383" s="318"/>
      <c r="Z15383" s="318"/>
      <c r="AA15383" s="318"/>
      <c r="AB15383" s="318"/>
      <c r="AC15383" s="318"/>
      <c r="AD15383" s="318"/>
    </row>
    <row r="15384" spans="2:30" s="323" customFormat="1" ht="12" customHeight="1">
      <c r="B15384" s="324"/>
      <c r="C15384" s="325"/>
      <c r="D15384" s="326"/>
      <c r="E15384" s="326"/>
      <c r="F15384" s="326"/>
      <c r="G15384" s="326"/>
      <c r="H15384" s="326"/>
      <c r="P15384" s="318"/>
      <c r="Q15384" s="318"/>
      <c r="R15384" s="318"/>
      <c r="S15384" s="318"/>
      <c r="T15384" s="318"/>
      <c r="U15384" s="318"/>
      <c r="V15384" s="318"/>
      <c r="W15384" s="318"/>
      <c r="X15384" s="318"/>
      <c r="Y15384" s="318"/>
      <c r="Z15384" s="318"/>
      <c r="AA15384" s="318"/>
      <c r="AB15384" s="318"/>
      <c r="AC15384" s="318"/>
      <c r="AD15384" s="318"/>
    </row>
    <row r="15385" spans="2:30" s="323" customFormat="1" ht="12" customHeight="1">
      <c r="B15385" s="324"/>
      <c r="C15385" s="325"/>
      <c r="D15385" s="326"/>
      <c r="E15385" s="326"/>
      <c r="F15385" s="326"/>
      <c r="G15385" s="326"/>
      <c r="H15385" s="326"/>
      <c r="P15385" s="318"/>
      <c r="Q15385" s="318"/>
      <c r="R15385" s="318"/>
      <c r="S15385" s="318"/>
      <c r="T15385" s="318"/>
      <c r="U15385" s="318"/>
      <c r="V15385" s="318"/>
      <c r="W15385" s="318"/>
      <c r="X15385" s="318"/>
      <c r="Y15385" s="318"/>
      <c r="Z15385" s="318"/>
      <c r="AA15385" s="318"/>
      <c r="AB15385" s="318"/>
      <c r="AC15385" s="318"/>
      <c r="AD15385" s="318"/>
    </row>
    <row r="15386" spans="2:30" s="323" customFormat="1" ht="12" customHeight="1">
      <c r="B15386" s="324"/>
      <c r="C15386" s="325"/>
      <c r="D15386" s="326"/>
      <c r="E15386" s="326"/>
      <c r="F15386" s="326"/>
      <c r="G15386" s="326"/>
      <c r="H15386" s="326"/>
      <c r="P15386" s="318"/>
      <c r="Q15386" s="318"/>
      <c r="R15386" s="318"/>
      <c r="S15386" s="318"/>
      <c r="T15386" s="318"/>
      <c r="U15386" s="318"/>
      <c r="V15386" s="318"/>
      <c r="W15386" s="318"/>
      <c r="X15386" s="318"/>
      <c r="Y15386" s="318"/>
      <c r="Z15386" s="318"/>
      <c r="AA15386" s="318"/>
      <c r="AB15386" s="318"/>
      <c r="AC15386" s="318"/>
      <c r="AD15386" s="318"/>
    </row>
    <row r="15387" spans="2:30" s="323" customFormat="1" ht="12" customHeight="1">
      <c r="B15387" s="324"/>
      <c r="C15387" s="325"/>
      <c r="D15387" s="326"/>
      <c r="E15387" s="326"/>
      <c r="F15387" s="326"/>
      <c r="G15387" s="326"/>
      <c r="H15387" s="326"/>
      <c r="P15387" s="318"/>
      <c r="Q15387" s="318"/>
      <c r="R15387" s="318"/>
      <c r="S15387" s="318"/>
      <c r="T15387" s="318"/>
      <c r="U15387" s="318"/>
      <c r="V15387" s="318"/>
      <c r="W15387" s="318"/>
      <c r="X15387" s="318"/>
      <c r="Y15387" s="318"/>
      <c r="Z15387" s="318"/>
      <c r="AA15387" s="318"/>
      <c r="AB15387" s="318"/>
      <c r="AC15387" s="318"/>
      <c r="AD15387" s="318"/>
    </row>
    <row r="15388" spans="2:30" s="323" customFormat="1" ht="12" customHeight="1">
      <c r="B15388" s="324"/>
      <c r="C15388" s="325"/>
      <c r="D15388" s="326"/>
      <c r="E15388" s="326"/>
      <c r="F15388" s="326"/>
      <c r="G15388" s="326"/>
      <c r="H15388" s="326"/>
      <c r="P15388" s="318"/>
      <c r="Q15388" s="318"/>
      <c r="R15388" s="318"/>
      <c r="S15388" s="318"/>
      <c r="T15388" s="318"/>
      <c r="U15388" s="318"/>
      <c r="V15388" s="318"/>
      <c r="W15388" s="318"/>
      <c r="X15388" s="318"/>
      <c r="Y15388" s="318"/>
      <c r="Z15388" s="318"/>
      <c r="AA15388" s="318"/>
      <c r="AB15388" s="318"/>
      <c r="AC15388" s="318"/>
      <c r="AD15388" s="318"/>
    </row>
    <row r="15389" spans="2:30" s="323" customFormat="1" ht="12" customHeight="1">
      <c r="B15389" s="324"/>
      <c r="C15389" s="325"/>
      <c r="D15389" s="326"/>
      <c r="E15389" s="326"/>
      <c r="F15389" s="326"/>
      <c r="G15389" s="326"/>
      <c r="H15389" s="326"/>
      <c r="P15389" s="318"/>
      <c r="Q15389" s="318"/>
      <c r="R15389" s="318"/>
      <c r="S15389" s="318"/>
      <c r="T15389" s="318"/>
      <c r="U15389" s="318"/>
      <c r="V15389" s="318"/>
      <c r="W15389" s="318"/>
      <c r="X15389" s="318"/>
      <c r="Y15389" s="318"/>
      <c r="Z15389" s="318"/>
      <c r="AA15389" s="318"/>
      <c r="AB15389" s="318"/>
      <c r="AC15389" s="318"/>
      <c r="AD15389" s="318"/>
    </row>
    <row r="15390" spans="2:30" s="323" customFormat="1" ht="12" customHeight="1">
      <c r="B15390" s="324"/>
      <c r="C15390" s="325"/>
      <c r="D15390" s="326"/>
      <c r="E15390" s="326"/>
      <c r="F15390" s="326"/>
      <c r="G15390" s="326"/>
      <c r="H15390" s="326"/>
      <c r="P15390" s="318"/>
      <c r="Q15390" s="318"/>
      <c r="R15390" s="318"/>
      <c r="S15390" s="318"/>
      <c r="T15390" s="318"/>
      <c r="U15390" s="318"/>
      <c r="V15390" s="318"/>
      <c r="W15390" s="318"/>
      <c r="X15390" s="318"/>
      <c r="Y15390" s="318"/>
      <c r="Z15390" s="318"/>
      <c r="AA15390" s="318"/>
      <c r="AB15390" s="318"/>
      <c r="AC15390" s="318"/>
      <c r="AD15390" s="318"/>
    </row>
    <row r="15391" spans="2:30" s="323" customFormat="1" ht="12" customHeight="1">
      <c r="B15391" s="324"/>
      <c r="C15391" s="325"/>
      <c r="D15391" s="326"/>
      <c r="E15391" s="326"/>
      <c r="F15391" s="326"/>
      <c r="G15391" s="326"/>
      <c r="H15391" s="326"/>
      <c r="P15391" s="318"/>
      <c r="Q15391" s="318"/>
      <c r="R15391" s="318"/>
      <c r="S15391" s="318"/>
      <c r="T15391" s="318"/>
      <c r="U15391" s="318"/>
      <c r="V15391" s="318"/>
      <c r="W15391" s="318"/>
      <c r="X15391" s="318"/>
      <c r="Y15391" s="318"/>
      <c r="Z15391" s="318"/>
      <c r="AA15391" s="318"/>
      <c r="AB15391" s="318"/>
      <c r="AC15391" s="318"/>
      <c r="AD15391" s="318"/>
    </row>
    <row r="15392" spans="2:30" s="323" customFormat="1" ht="12" customHeight="1">
      <c r="B15392" s="324"/>
      <c r="C15392" s="325"/>
      <c r="D15392" s="326"/>
      <c r="E15392" s="326"/>
      <c r="F15392" s="326"/>
      <c r="G15392" s="326"/>
      <c r="H15392" s="326"/>
      <c r="P15392" s="318"/>
      <c r="Q15392" s="318"/>
      <c r="R15392" s="318"/>
      <c r="S15392" s="318"/>
      <c r="T15392" s="318"/>
      <c r="U15392" s="318"/>
      <c r="V15392" s="318"/>
      <c r="W15392" s="318"/>
      <c r="X15392" s="318"/>
      <c r="Y15392" s="318"/>
      <c r="Z15392" s="318"/>
      <c r="AA15392" s="318"/>
      <c r="AB15392" s="318"/>
      <c r="AC15392" s="318"/>
      <c r="AD15392" s="318"/>
    </row>
    <row r="15393" spans="2:30" s="323" customFormat="1" ht="12" customHeight="1">
      <c r="B15393" s="324"/>
      <c r="C15393" s="325"/>
      <c r="D15393" s="326"/>
      <c r="E15393" s="326"/>
      <c r="F15393" s="326"/>
      <c r="G15393" s="326"/>
      <c r="H15393" s="326"/>
      <c r="P15393" s="318"/>
      <c r="Q15393" s="318"/>
      <c r="R15393" s="318"/>
      <c r="S15393" s="318"/>
      <c r="T15393" s="318"/>
      <c r="U15393" s="318"/>
      <c r="V15393" s="318"/>
      <c r="W15393" s="318"/>
      <c r="X15393" s="318"/>
      <c r="Y15393" s="318"/>
      <c r="Z15393" s="318"/>
      <c r="AA15393" s="318"/>
      <c r="AB15393" s="318"/>
      <c r="AC15393" s="318"/>
      <c r="AD15393" s="318"/>
    </row>
    <row r="15394" spans="2:30" s="323" customFormat="1" ht="12" customHeight="1">
      <c r="B15394" s="324"/>
      <c r="C15394" s="325"/>
      <c r="D15394" s="326"/>
      <c r="E15394" s="326"/>
      <c r="F15394" s="326"/>
      <c r="G15394" s="326"/>
      <c r="H15394" s="326"/>
      <c r="P15394" s="318"/>
      <c r="Q15394" s="318"/>
      <c r="R15394" s="318"/>
      <c r="S15394" s="318"/>
      <c r="T15394" s="318"/>
      <c r="U15394" s="318"/>
      <c r="V15394" s="318"/>
      <c r="W15394" s="318"/>
      <c r="X15394" s="318"/>
      <c r="Y15394" s="318"/>
      <c r="Z15394" s="318"/>
      <c r="AA15394" s="318"/>
      <c r="AB15394" s="318"/>
      <c r="AC15394" s="318"/>
      <c r="AD15394" s="318"/>
    </row>
    <row r="15395" spans="2:30" s="323" customFormat="1" ht="12" customHeight="1">
      <c r="B15395" s="324"/>
      <c r="C15395" s="325"/>
      <c r="D15395" s="326"/>
      <c r="E15395" s="326"/>
      <c r="F15395" s="326"/>
      <c r="G15395" s="326"/>
      <c r="H15395" s="326"/>
      <c r="P15395" s="318"/>
      <c r="Q15395" s="318"/>
      <c r="R15395" s="318"/>
      <c r="S15395" s="318"/>
      <c r="T15395" s="318"/>
      <c r="U15395" s="318"/>
      <c r="V15395" s="318"/>
      <c r="W15395" s="318"/>
      <c r="X15395" s="318"/>
      <c r="Y15395" s="318"/>
      <c r="Z15395" s="318"/>
      <c r="AA15395" s="318"/>
      <c r="AB15395" s="318"/>
      <c r="AC15395" s="318"/>
      <c r="AD15395" s="318"/>
    </row>
    <row r="15396" spans="2:30" s="323" customFormat="1" ht="12" customHeight="1">
      <c r="B15396" s="324"/>
      <c r="C15396" s="325"/>
      <c r="D15396" s="326"/>
      <c r="E15396" s="326"/>
      <c r="F15396" s="326"/>
      <c r="G15396" s="326"/>
      <c r="H15396" s="326"/>
      <c r="P15396" s="318"/>
      <c r="Q15396" s="318"/>
      <c r="R15396" s="318"/>
      <c r="S15396" s="318"/>
      <c r="T15396" s="318"/>
      <c r="U15396" s="318"/>
      <c r="V15396" s="318"/>
      <c r="W15396" s="318"/>
      <c r="X15396" s="318"/>
      <c r="Y15396" s="318"/>
      <c r="Z15396" s="318"/>
      <c r="AA15396" s="318"/>
      <c r="AB15396" s="318"/>
      <c r="AC15396" s="318"/>
      <c r="AD15396" s="318"/>
    </row>
    <row r="15397" spans="2:30" s="323" customFormat="1" ht="12" customHeight="1">
      <c r="B15397" s="324"/>
      <c r="C15397" s="325"/>
      <c r="D15397" s="326"/>
      <c r="E15397" s="326"/>
      <c r="F15397" s="326"/>
      <c r="G15397" s="326"/>
      <c r="H15397" s="326"/>
      <c r="P15397" s="318"/>
      <c r="Q15397" s="318"/>
      <c r="R15397" s="318"/>
      <c r="S15397" s="318"/>
      <c r="T15397" s="318"/>
      <c r="U15397" s="318"/>
      <c r="V15397" s="318"/>
      <c r="W15397" s="318"/>
      <c r="X15397" s="318"/>
      <c r="Y15397" s="318"/>
      <c r="Z15397" s="318"/>
      <c r="AA15397" s="318"/>
      <c r="AB15397" s="318"/>
      <c r="AC15397" s="318"/>
      <c r="AD15397" s="318"/>
    </row>
    <row r="15398" spans="2:30" s="323" customFormat="1" ht="12" customHeight="1">
      <c r="B15398" s="324"/>
      <c r="C15398" s="325"/>
      <c r="D15398" s="326"/>
      <c r="E15398" s="326"/>
      <c r="F15398" s="326"/>
      <c r="G15398" s="326"/>
      <c r="H15398" s="326"/>
      <c r="P15398" s="318"/>
      <c r="Q15398" s="318"/>
      <c r="R15398" s="318"/>
      <c r="S15398" s="318"/>
      <c r="T15398" s="318"/>
      <c r="U15398" s="318"/>
      <c r="V15398" s="318"/>
      <c r="W15398" s="318"/>
      <c r="X15398" s="318"/>
      <c r="Y15398" s="318"/>
      <c r="Z15398" s="318"/>
      <c r="AA15398" s="318"/>
      <c r="AB15398" s="318"/>
      <c r="AC15398" s="318"/>
      <c r="AD15398" s="318"/>
    </row>
    <row r="15399" spans="2:30" s="323" customFormat="1" ht="12" customHeight="1">
      <c r="B15399" s="324"/>
      <c r="C15399" s="325"/>
      <c r="D15399" s="326"/>
      <c r="E15399" s="326"/>
      <c r="F15399" s="326"/>
      <c r="G15399" s="326"/>
      <c r="H15399" s="326"/>
      <c r="P15399" s="318"/>
      <c r="Q15399" s="318"/>
      <c r="R15399" s="318"/>
      <c r="S15399" s="318"/>
      <c r="T15399" s="318"/>
      <c r="U15399" s="318"/>
      <c r="V15399" s="318"/>
      <c r="W15399" s="318"/>
      <c r="X15399" s="318"/>
      <c r="Y15399" s="318"/>
      <c r="Z15399" s="318"/>
      <c r="AA15399" s="318"/>
      <c r="AB15399" s="318"/>
      <c r="AC15399" s="318"/>
      <c r="AD15399" s="318"/>
    </row>
    <row r="15400" spans="2:30" s="323" customFormat="1" ht="12" customHeight="1">
      <c r="B15400" s="324"/>
      <c r="C15400" s="325"/>
      <c r="D15400" s="326"/>
      <c r="E15400" s="326"/>
      <c r="F15400" s="326"/>
      <c r="G15400" s="326"/>
      <c r="H15400" s="326"/>
      <c r="P15400" s="318"/>
      <c r="Q15400" s="318"/>
      <c r="R15400" s="318"/>
      <c r="S15400" s="318"/>
      <c r="T15400" s="318"/>
      <c r="U15400" s="318"/>
      <c r="V15400" s="318"/>
      <c r="W15400" s="318"/>
      <c r="X15400" s="318"/>
      <c r="Y15400" s="318"/>
      <c r="Z15400" s="318"/>
      <c r="AA15400" s="318"/>
      <c r="AB15400" s="318"/>
      <c r="AC15400" s="318"/>
      <c r="AD15400" s="318"/>
    </row>
    <row r="15401" spans="2:30" s="323" customFormat="1" ht="12" customHeight="1">
      <c r="B15401" s="324"/>
      <c r="C15401" s="325"/>
      <c r="D15401" s="326"/>
      <c r="E15401" s="326"/>
      <c r="F15401" s="326"/>
      <c r="G15401" s="326"/>
      <c r="H15401" s="326"/>
      <c r="P15401" s="318"/>
      <c r="Q15401" s="318"/>
      <c r="R15401" s="318"/>
      <c r="S15401" s="318"/>
      <c r="T15401" s="318"/>
      <c r="U15401" s="318"/>
      <c r="V15401" s="318"/>
      <c r="W15401" s="318"/>
      <c r="X15401" s="318"/>
      <c r="Y15401" s="318"/>
      <c r="Z15401" s="318"/>
      <c r="AA15401" s="318"/>
      <c r="AB15401" s="318"/>
      <c r="AC15401" s="318"/>
      <c r="AD15401" s="318"/>
    </row>
    <row r="15402" spans="2:30" s="323" customFormat="1" ht="12" customHeight="1">
      <c r="B15402" s="324"/>
      <c r="C15402" s="325"/>
      <c r="D15402" s="326"/>
      <c r="E15402" s="326"/>
      <c r="F15402" s="326"/>
      <c r="G15402" s="326"/>
      <c r="H15402" s="326"/>
      <c r="P15402" s="318"/>
      <c r="Q15402" s="318"/>
      <c r="R15402" s="318"/>
      <c r="S15402" s="318"/>
      <c r="T15402" s="318"/>
      <c r="U15402" s="318"/>
      <c r="V15402" s="318"/>
      <c r="W15402" s="318"/>
      <c r="X15402" s="318"/>
      <c r="Y15402" s="318"/>
      <c r="Z15402" s="318"/>
      <c r="AA15402" s="318"/>
      <c r="AB15402" s="318"/>
      <c r="AC15402" s="318"/>
      <c r="AD15402" s="318"/>
    </row>
    <row r="15403" spans="2:30" s="323" customFormat="1" ht="12" customHeight="1">
      <c r="B15403" s="324"/>
      <c r="C15403" s="325"/>
      <c r="D15403" s="326"/>
      <c r="E15403" s="326"/>
      <c r="F15403" s="326"/>
      <c r="G15403" s="326"/>
      <c r="H15403" s="326"/>
      <c r="P15403" s="318"/>
      <c r="Q15403" s="318"/>
      <c r="R15403" s="318"/>
      <c r="S15403" s="318"/>
      <c r="T15403" s="318"/>
      <c r="U15403" s="318"/>
      <c r="V15403" s="318"/>
      <c r="W15403" s="318"/>
      <c r="X15403" s="318"/>
      <c r="Y15403" s="318"/>
      <c r="Z15403" s="318"/>
      <c r="AA15403" s="318"/>
      <c r="AB15403" s="318"/>
      <c r="AC15403" s="318"/>
      <c r="AD15403" s="318"/>
    </row>
    <row r="15404" spans="2:30" s="323" customFormat="1" ht="12" customHeight="1">
      <c r="B15404" s="324"/>
      <c r="C15404" s="325"/>
      <c r="D15404" s="326"/>
      <c r="E15404" s="326"/>
      <c r="F15404" s="326"/>
      <c r="G15404" s="326"/>
      <c r="H15404" s="326"/>
      <c r="P15404" s="318"/>
      <c r="Q15404" s="318"/>
      <c r="R15404" s="318"/>
      <c r="S15404" s="318"/>
      <c r="T15404" s="318"/>
      <c r="U15404" s="318"/>
      <c r="V15404" s="318"/>
      <c r="W15404" s="318"/>
      <c r="X15404" s="318"/>
      <c r="Y15404" s="318"/>
      <c r="Z15404" s="318"/>
      <c r="AA15404" s="318"/>
      <c r="AB15404" s="318"/>
      <c r="AC15404" s="318"/>
      <c r="AD15404" s="318"/>
    </row>
    <row r="15405" spans="2:30" s="323" customFormat="1" ht="12" customHeight="1">
      <c r="B15405" s="324"/>
      <c r="C15405" s="325"/>
      <c r="D15405" s="326"/>
      <c r="E15405" s="326"/>
      <c r="F15405" s="326"/>
      <c r="G15405" s="326"/>
      <c r="H15405" s="326"/>
      <c r="P15405" s="318"/>
      <c r="Q15405" s="318"/>
      <c r="R15405" s="318"/>
      <c r="S15405" s="318"/>
      <c r="T15405" s="318"/>
      <c r="U15405" s="318"/>
      <c r="V15405" s="318"/>
      <c r="W15405" s="318"/>
      <c r="X15405" s="318"/>
      <c r="Y15405" s="318"/>
      <c r="Z15405" s="318"/>
      <c r="AA15405" s="318"/>
      <c r="AB15405" s="318"/>
      <c r="AC15405" s="318"/>
      <c r="AD15405" s="318"/>
    </row>
    <row r="15406" spans="2:30" s="323" customFormat="1" ht="12" customHeight="1">
      <c r="B15406" s="324"/>
      <c r="C15406" s="325"/>
      <c r="D15406" s="326"/>
      <c r="E15406" s="326"/>
      <c r="F15406" s="326"/>
      <c r="G15406" s="326"/>
      <c r="H15406" s="326"/>
      <c r="P15406" s="318"/>
      <c r="Q15406" s="318"/>
      <c r="R15406" s="318"/>
      <c r="S15406" s="318"/>
      <c r="T15406" s="318"/>
      <c r="U15406" s="318"/>
      <c r="V15406" s="318"/>
      <c r="W15406" s="318"/>
      <c r="X15406" s="318"/>
      <c r="Y15406" s="318"/>
      <c r="Z15406" s="318"/>
      <c r="AA15406" s="318"/>
      <c r="AB15406" s="318"/>
      <c r="AC15406" s="318"/>
      <c r="AD15406" s="318"/>
    </row>
    <row r="15407" spans="2:30" s="323" customFormat="1" ht="12" customHeight="1">
      <c r="B15407" s="324"/>
      <c r="C15407" s="325"/>
      <c r="D15407" s="326"/>
      <c r="E15407" s="326"/>
      <c r="F15407" s="326"/>
      <c r="G15407" s="326"/>
      <c r="H15407" s="326"/>
      <c r="P15407" s="318"/>
      <c r="Q15407" s="318"/>
      <c r="R15407" s="318"/>
      <c r="S15407" s="318"/>
      <c r="T15407" s="318"/>
      <c r="U15407" s="318"/>
      <c r="V15407" s="318"/>
      <c r="W15407" s="318"/>
      <c r="X15407" s="318"/>
      <c r="Y15407" s="318"/>
      <c r="Z15407" s="318"/>
      <c r="AA15407" s="318"/>
      <c r="AB15407" s="318"/>
      <c r="AC15407" s="318"/>
      <c r="AD15407" s="318"/>
    </row>
    <row r="15408" spans="2:30" s="323" customFormat="1" ht="12" customHeight="1">
      <c r="B15408" s="324"/>
      <c r="C15408" s="325"/>
      <c r="D15408" s="326"/>
      <c r="E15408" s="326"/>
      <c r="F15408" s="326"/>
      <c r="G15408" s="326"/>
      <c r="H15408" s="326"/>
      <c r="P15408" s="318"/>
      <c r="Q15408" s="318"/>
      <c r="R15408" s="318"/>
      <c r="S15408" s="318"/>
      <c r="T15408" s="318"/>
      <c r="U15408" s="318"/>
      <c r="V15408" s="318"/>
      <c r="W15408" s="318"/>
      <c r="X15408" s="318"/>
      <c r="Y15408" s="318"/>
      <c r="Z15408" s="318"/>
      <c r="AA15408" s="318"/>
      <c r="AB15408" s="318"/>
      <c r="AC15408" s="318"/>
      <c r="AD15408" s="318"/>
    </row>
    <row r="15409" spans="2:30" s="323" customFormat="1" ht="12" customHeight="1">
      <c r="B15409" s="324"/>
      <c r="C15409" s="325"/>
      <c r="D15409" s="326"/>
      <c r="E15409" s="326"/>
      <c r="F15409" s="326"/>
      <c r="G15409" s="326"/>
      <c r="H15409" s="326"/>
      <c r="P15409" s="318"/>
      <c r="Q15409" s="318"/>
      <c r="R15409" s="318"/>
      <c r="S15409" s="318"/>
      <c r="T15409" s="318"/>
      <c r="U15409" s="318"/>
      <c r="V15409" s="318"/>
      <c r="W15409" s="318"/>
      <c r="X15409" s="318"/>
      <c r="Y15409" s="318"/>
      <c r="Z15409" s="318"/>
      <c r="AA15409" s="318"/>
      <c r="AB15409" s="318"/>
      <c r="AC15409" s="318"/>
      <c r="AD15409" s="318"/>
    </row>
    <row r="15410" spans="2:30" s="323" customFormat="1" ht="12" customHeight="1">
      <c r="B15410" s="324"/>
      <c r="C15410" s="325"/>
      <c r="D15410" s="326"/>
      <c r="E15410" s="326"/>
      <c r="F15410" s="326"/>
      <c r="G15410" s="326"/>
      <c r="H15410" s="326"/>
      <c r="P15410" s="318"/>
      <c r="Q15410" s="318"/>
      <c r="R15410" s="318"/>
      <c r="S15410" s="318"/>
      <c r="T15410" s="318"/>
      <c r="U15410" s="318"/>
      <c r="V15410" s="318"/>
      <c r="W15410" s="318"/>
      <c r="X15410" s="318"/>
      <c r="Y15410" s="318"/>
      <c r="Z15410" s="318"/>
      <c r="AA15410" s="318"/>
      <c r="AB15410" s="318"/>
      <c r="AC15410" s="318"/>
      <c r="AD15410" s="318"/>
    </row>
    <row r="15411" spans="2:30" s="323" customFormat="1" ht="12" customHeight="1">
      <c r="B15411" s="324"/>
      <c r="C15411" s="325"/>
      <c r="D15411" s="326"/>
      <c r="E15411" s="326"/>
      <c r="F15411" s="326"/>
      <c r="G15411" s="326"/>
      <c r="H15411" s="326"/>
      <c r="P15411" s="318"/>
      <c r="Q15411" s="318"/>
      <c r="R15411" s="318"/>
      <c r="S15411" s="318"/>
      <c r="T15411" s="318"/>
      <c r="U15411" s="318"/>
      <c r="V15411" s="318"/>
      <c r="W15411" s="318"/>
      <c r="X15411" s="318"/>
      <c r="Y15411" s="318"/>
      <c r="Z15411" s="318"/>
      <c r="AA15411" s="318"/>
      <c r="AB15411" s="318"/>
      <c r="AC15411" s="318"/>
      <c r="AD15411" s="318"/>
    </row>
    <row r="15412" spans="2:30" s="323" customFormat="1" ht="12" customHeight="1">
      <c r="B15412" s="324"/>
      <c r="C15412" s="325"/>
      <c r="D15412" s="326"/>
      <c r="E15412" s="326"/>
      <c r="F15412" s="326"/>
      <c r="G15412" s="326"/>
      <c r="H15412" s="326"/>
      <c r="P15412" s="318"/>
      <c r="Q15412" s="318"/>
      <c r="R15412" s="318"/>
      <c r="S15412" s="318"/>
      <c r="T15412" s="318"/>
      <c r="U15412" s="318"/>
      <c r="V15412" s="318"/>
      <c r="W15412" s="318"/>
      <c r="X15412" s="318"/>
      <c r="Y15412" s="318"/>
      <c r="Z15412" s="318"/>
      <c r="AA15412" s="318"/>
      <c r="AB15412" s="318"/>
      <c r="AC15412" s="318"/>
      <c r="AD15412" s="318"/>
    </row>
    <row r="15413" spans="2:30" s="323" customFormat="1" ht="12" customHeight="1">
      <c r="B15413" s="324"/>
      <c r="C15413" s="325"/>
      <c r="D15413" s="326"/>
      <c r="E15413" s="326"/>
      <c r="F15413" s="326"/>
      <c r="G15413" s="326"/>
      <c r="H15413" s="326"/>
      <c r="P15413" s="318"/>
      <c r="Q15413" s="318"/>
      <c r="R15413" s="318"/>
      <c r="S15413" s="318"/>
      <c r="T15413" s="318"/>
      <c r="U15413" s="318"/>
      <c r="V15413" s="318"/>
      <c r="W15413" s="318"/>
      <c r="X15413" s="318"/>
      <c r="Y15413" s="318"/>
      <c r="Z15413" s="318"/>
      <c r="AA15413" s="318"/>
      <c r="AB15413" s="318"/>
      <c r="AC15413" s="318"/>
      <c r="AD15413" s="318"/>
    </row>
    <row r="15414" spans="2:30" s="323" customFormat="1" ht="12" customHeight="1">
      <c r="B15414" s="324"/>
      <c r="C15414" s="325"/>
      <c r="D15414" s="326"/>
      <c r="E15414" s="326"/>
      <c r="F15414" s="326"/>
      <c r="G15414" s="326"/>
      <c r="H15414" s="326"/>
      <c r="P15414" s="318"/>
      <c r="Q15414" s="318"/>
      <c r="R15414" s="318"/>
      <c r="S15414" s="318"/>
      <c r="T15414" s="318"/>
      <c r="U15414" s="318"/>
      <c r="V15414" s="318"/>
      <c r="W15414" s="318"/>
      <c r="X15414" s="318"/>
      <c r="Y15414" s="318"/>
      <c r="Z15414" s="318"/>
      <c r="AA15414" s="318"/>
      <c r="AB15414" s="318"/>
      <c r="AC15414" s="318"/>
      <c r="AD15414" s="318"/>
    </row>
    <row r="15415" spans="2:30" s="323" customFormat="1" ht="12" customHeight="1">
      <c r="B15415" s="324"/>
      <c r="C15415" s="325"/>
      <c r="D15415" s="326"/>
      <c r="E15415" s="326"/>
      <c r="F15415" s="326"/>
      <c r="G15415" s="326"/>
      <c r="H15415" s="326"/>
      <c r="P15415" s="318"/>
      <c r="Q15415" s="318"/>
      <c r="R15415" s="318"/>
      <c r="S15415" s="318"/>
      <c r="T15415" s="318"/>
      <c r="U15415" s="318"/>
      <c r="V15415" s="318"/>
      <c r="W15415" s="318"/>
      <c r="X15415" s="318"/>
      <c r="Y15415" s="318"/>
      <c r="Z15415" s="318"/>
      <c r="AA15415" s="318"/>
      <c r="AB15415" s="318"/>
      <c r="AC15415" s="318"/>
      <c r="AD15415" s="318"/>
    </row>
    <row r="15416" spans="2:30" s="323" customFormat="1" ht="12" customHeight="1">
      <c r="B15416" s="324"/>
      <c r="C15416" s="325"/>
      <c r="D15416" s="326"/>
      <c r="E15416" s="326"/>
      <c r="F15416" s="326"/>
      <c r="G15416" s="326"/>
      <c r="H15416" s="326"/>
      <c r="P15416" s="318"/>
      <c r="Q15416" s="318"/>
      <c r="R15416" s="318"/>
      <c r="S15416" s="318"/>
      <c r="T15416" s="318"/>
      <c r="U15416" s="318"/>
      <c r="V15416" s="318"/>
      <c r="W15416" s="318"/>
      <c r="X15416" s="318"/>
      <c r="Y15416" s="318"/>
      <c r="Z15416" s="318"/>
      <c r="AA15416" s="318"/>
      <c r="AB15416" s="318"/>
      <c r="AC15416" s="318"/>
      <c r="AD15416" s="318"/>
    </row>
    <row r="15417" spans="2:30" s="323" customFormat="1" ht="12" customHeight="1">
      <c r="B15417" s="324"/>
      <c r="C15417" s="325"/>
      <c r="D15417" s="326"/>
      <c r="E15417" s="326"/>
      <c r="F15417" s="326"/>
      <c r="G15417" s="326"/>
      <c r="H15417" s="326"/>
      <c r="P15417" s="318"/>
      <c r="Q15417" s="318"/>
      <c r="R15417" s="318"/>
      <c r="S15417" s="318"/>
      <c r="T15417" s="318"/>
      <c r="U15417" s="318"/>
      <c r="V15417" s="318"/>
      <c r="W15417" s="318"/>
      <c r="X15417" s="318"/>
      <c r="Y15417" s="318"/>
      <c r="Z15417" s="318"/>
      <c r="AA15417" s="318"/>
      <c r="AB15417" s="318"/>
      <c r="AC15417" s="318"/>
      <c r="AD15417" s="318"/>
    </row>
    <row r="15418" spans="2:30" s="323" customFormat="1" ht="12" customHeight="1">
      <c r="B15418" s="324"/>
      <c r="C15418" s="325"/>
      <c r="D15418" s="326"/>
      <c r="E15418" s="326"/>
      <c r="F15418" s="326"/>
      <c r="G15418" s="326"/>
      <c r="H15418" s="326"/>
      <c r="P15418" s="318"/>
      <c r="Q15418" s="318"/>
      <c r="R15418" s="318"/>
      <c r="S15418" s="318"/>
      <c r="T15418" s="318"/>
      <c r="U15418" s="318"/>
      <c r="V15418" s="318"/>
      <c r="W15418" s="318"/>
      <c r="X15418" s="318"/>
      <c r="Y15418" s="318"/>
      <c r="Z15418" s="318"/>
      <c r="AA15418" s="318"/>
      <c r="AB15418" s="318"/>
      <c r="AC15418" s="318"/>
      <c r="AD15418" s="318"/>
    </row>
    <row r="15419" spans="2:30" s="323" customFormat="1" ht="12" customHeight="1">
      <c r="B15419" s="324"/>
      <c r="C15419" s="325"/>
      <c r="D15419" s="326"/>
      <c r="E15419" s="326"/>
      <c r="F15419" s="326"/>
      <c r="G15419" s="326"/>
      <c r="H15419" s="326"/>
      <c r="P15419" s="318"/>
      <c r="Q15419" s="318"/>
      <c r="R15419" s="318"/>
      <c r="S15419" s="318"/>
      <c r="T15419" s="318"/>
      <c r="U15419" s="318"/>
      <c r="V15419" s="318"/>
      <c r="W15419" s="318"/>
      <c r="X15419" s="318"/>
      <c r="Y15419" s="318"/>
      <c r="Z15419" s="318"/>
      <c r="AA15419" s="318"/>
      <c r="AB15419" s="318"/>
      <c r="AC15419" s="318"/>
      <c r="AD15419" s="318"/>
    </row>
    <row r="15420" spans="2:30" s="323" customFormat="1" ht="12" customHeight="1">
      <c r="B15420" s="324"/>
      <c r="C15420" s="325"/>
      <c r="D15420" s="326"/>
      <c r="E15420" s="326"/>
      <c r="F15420" s="326"/>
      <c r="G15420" s="326"/>
      <c r="H15420" s="326"/>
      <c r="P15420" s="318"/>
      <c r="Q15420" s="318"/>
      <c r="R15420" s="318"/>
      <c r="S15420" s="318"/>
      <c r="T15420" s="318"/>
      <c r="U15420" s="318"/>
      <c r="V15420" s="318"/>
      <c r="W15420" s="318"/>
      <c r="X15420" s="318"/>
      <c r="Y15420" s="318"/>
      <c r="Z15420" s="318"/>
      <c r="AA15420" s="318"/>
      <c r="AB15420" s="318"/>
      <c r="AC15420" s="318"/>
      <c r="AD15420" s="318"/>
    </row>
    <row r="15421" spans="2:30" s="323" customFormat="1" ht="12" customHeight="1">
      <c r="B15421" s="324"/>
      <c r="C15421" s="325"/>
      <c r="D15421" s="326"/>
      <c r="E15421" s="326"/>
      <c r="F15421" s="326"/>
      <c r="G15421" s="326"/>
      <c r="H15421" s="326"/>
      <c r="P15421" s="318"/>
      <c r="Q15421" s="318"/>
      <c r="R15421" s="318"/>
      <c r="S15421" s="318"/>
      <c r="T15421" s="318"/>
      <c r="U15421" s="318"/>
      <c r="V15421" s="318"/>
      <c r="W15421" s="318"/>
      <c r="X15421" s="318"/>
      <c r="Y15421" s="318"/>
      <c r="Z15421" s="318"/>
      <c r="AA15421" s="318"/>
      <c r="AB15421" s="318"/>
      <c r="AC15421" s="318"/>
      <c r="AD15421" s="318"/>
    </row>
    <row r="15422" spans="2:30" s="323" customFormat="1" ht="12" customHeight="1">
      <c r="B15422" s="324"/>
      <c r="C15422" s="325"/>
      <c r="D15422" s="326"/>
      <c r="E15422" s="326"/>
      <c r="F15422" s="326"/>
      <c r="G15422" s="326"/>
      <c r="H15422" s="326"/>
      <c r="P15422" s="318"/>
      <c r="Q15422" s="318"/>
      <c r="R15422" s="318"/>
      <c r="S15422" s="318"/>
      <c r="T15422" s="318"/>
      <c r="U15422" s="318"/>
      <c r="V15422" s="318"/>
      <c r="W15422" s="318"/>
      <c r="X15422" s="318"/>
      <c r="Y15422" s="318"/>
      <c r="Z15422" s="318"/>
      <c r="AA15422" s="318"/>
      <c r="AB15422" s="318"/>
      <c r="AC15422" s="318"/>
      <c r="AD15422" s="318"/>
    </row>
    <row r="15423" spans="2:30" s="323" customFormat="1" ht="12" customHeight="1">
      <c r="B15423" s="324"/>
      <c r="C15423" s="325"/>
      <c r="D15423" s="326"/>
      <c r="E15423" s="326"/>
      <c r="F15423" s="326"/>
      <c r="G15423" s="326"/>
      <c r="H15423" s="326"/>
      <c r="P15423" s="318"/>
      <c r="Q15423" s="318"/>
      <c r="R15423" s="318"/>
      <c r="S15423" s="318"/>
      <c r="T15423" s="318"/>
      <c r="U15423" s="318"/>
      <c r="V15423" s="318"/>
      <c r="W15423" s="318"/>
      <c r="X15423" s="318"/>
      <c r="Y15423" s="318"/>
      <c r="Z15423" s="318"/>
      <c r="AA15423" s="318"/>
      <c r="AB15423" s="318"/>
      <c r="AC15423" s="318"/>
      <c r="AD15423" s="318"/>
    </row>
    <row r="15424" spans="2:30" s="323" customFormat="1" ht="12" customHeight="1">
      <c r="B15424" s="324"/>
      <c r="C15424" s="325"/>
      <c r="D15424" s="326"/>
      <c r="E15424" s="326"/>
      <c r="F15424" s="326"/>
      <c r="G15424" s="326"/>
      <c r="H15424" s="326"/>
      <c r="P15424" s="318"/>
      <c r="Q15424" s="318"/>
      <c r="R15424" s="318"/>
      <c r="S15424" s="318"/>
      <c r="T15424" s="318"/>
      <c r="U15424" s="318"/>
      <c r="V15424" s="318"/>
      <c r="W15424" s="318"/>
      <c r="X15424" s="318"/>
      <c r="Y15424" s="318"/>
      <c r="Z15424" s="318"/>
      <c r="AA15424" s="318"/>
      <c r="AB15424" s="318"/>
      <c r="AC15424" s="318"/>
      <c r="AD15424" s="318"/>
    </row>
    <row r="15425" spans="2:30" s="323" customFormat="1" ht="12" customHeight="1">
      <c r="B15425" s="324"/>
      <c r="C15425" s="325"/>
      <c r="D15425" s="326"/>
      <c r="E15425" s="326"/>
      <c r="F15425" s="326"/>
      <c r="G15425" s="326"/>
      <c r="H15425" s="326"/>
      <c r="P15425" s="318"/>
      <c r="Q15425" s="318"/>
      <c r="R15425" s="318"/>
      <c r="S15425" s="318"/>
      <c r="T15425" s="318"/>
      <c r="U15425" s="318"/>
      <c r="V15425" s="318"/>
      <c r="W15425" s="318"/>
      <c r="X15425" s="318"/>
      <c r="Y15425" s="318"/>
      <c r="Z15425" s="318"/>
      <c r="AA15425" s="318"/>
      <c r="AB15425" s="318"/>
      <c r="AC15425" s="318"/>
      <c r="AD15425" s="318"/>
    </row>
    <row r="15426" spans="2:30" s="323" customFormat="1" ht="12" customHeight="1">
      <c r="B15426" s="324"/>
      <c r="C15426" s="325"/>
      <c r="D15426" s="326"/>
      <c r="E15426" s="326"/>
      <c r="F15426" s="326"/>
      <c r="G15426" s="326"/>
      <c r="H15426" s="326"/>
      <c r="P15426" s="318"/>
      <c r="Q15426" s="318"/>
      <c r="R15426" s="318"/>
      <c r="S15426" s="318"/>
      <c r="T15426" s="318"/>
      <c r="U15426" s="318"/>
      <c r="V15426" s="318"/>
      <c r="W15426" s="318"/>
      <c r="X15426" s="318"/>
      <c r="Y15426" s="318"/>
      <c r="Z15426" s="318"/>
      <c r="AA15426" s="318"/>
      <c r="AB15426" s="318"/>
      <c r="AC15426" s="318"/>
      <c r="AD15426" s="318"/>
    </row>
    <row r="15427" spans="2:30" s="323" customFormat="1" ht="12" customHeight="1">
      <c r="B15427" s="324"/>
      <c r="C15427" s="325"/>
      <c r="D15427" s="326"/>
      <c r="E15427" s="326"/>
      <c r="F15427" s="326"/>
      <c r="G15427" s="326"/>
      <c r="H15427" s="326"/>
      <c r="P15427" s="318"/>
      <c r="Q15427" s="318"/>
      <c r="R15427" s="318"/>
      <c r="S15427" s="318"/>
      <c r="T15427" s="318"/>
      <c r="U15427" s="318"/>
      <c r="V15427" s="318"/>
      <c r="W15427" s="318"/>
      <c r="X15427" s="318"/>
      <c r="Y15427" s="318"/>
      <c r="Z15427" s="318"/>
      <c r="AA15427" s="318"/>
      <c r="AB15427" s="318"/>
      <c r="AC15427" s="318"/>
      <c r="AD15427" s="318"/>
    </row>
    <row r="15428" spans="2:30" s="323" customFormat="1" ht="12" customHeight="1">
      <c r="B15428" s="324"/>
      <c r="C15428" s="325"/>
      <c r="D15428" s="326"/>
      <c r="E15428" s="326"/>
      <c r="F15428" s="326"/>
      <c r="G15428" s="326"/>
      <c r="H15428" s="326"/>
      <c r="P15428" s="318"/>
      <c r="Q15428" s="318"/>
      <c r="R15428" s="318"/>
      <c r="S15428" s="318"/>
      <c r="T15428" s="318"/>
      <c r="U15428" s="318"/>
      <c r="V15428" s="318"/>
      <c r="W15428" s="318"/>
      <c r="X15428" s="318"/>
      <c r="Y15428" s="318"/>
      <c r="Z15428" s="318"/>
      <c r="AA15428" s="318"/>
      <c r="AB15428" s="318"/>
      <c r="AC15428" s="318"/>
      <c r="AD15428" s="318"/>
    </row>
    <row r="15429" spans="2:30" s="323" customFormat="1" ht="12" customHeight="1">
      <c r="B15429" s="324"/>
      <c r="C15429" s="325"/>
      <c r="D15429" s="326"/>
      <c r="E15429" s="326"/>
      <c r="F15429" s="326"/>
      <c r="G15429" s="326"/>
      <c r="H15429" s="326"/>
      <c r="P15429" s="318"/>
      <c r="Q15429" s="318"/>
      <c r="R15429" s="318"/>
      <c r="S15429" s="318"/>
      <c r="T15429" s="318"/>
      <c r="U15429" s="318"/>
      <c r="V15429" s="318"/>
      <c r="W15429" s="318"/>
      <c r="X15429" s="318"/>
      <c r="Y15429" s="318"/>
      <c r="Z15429" s="318"/>
      <c r="AA15429" s="318"/>
      <c r="AB15429" s="318"/>
      <c r="AC15429" s="318"/>
      <c r="AD15429" s="318"/>
    </row>
    <row r="15430" spans="2:30" s="323" customFormat="1" ht="12" customHeight="1">
      <c r="B15430" s="324"/>
      <c r="C15430" s="325"/>
      <c r="D15430" s="326"/>
      <c r="E15430" s="326"/>
      <c r="F15430" s="326"/>
      <c r="G15430" s="326"/>
      <c r="H15430" s="326"/>
      <c r="P15430" s="318"/>
      <c r="Q15430" s="318"/>
      <c r="R15430" s="318"/>
      <c r="S15430" s="318"/>
      <c r="T15430" s="318"/>
      <c r="U15430" s="318"/>
      <c r="V15430" s="318"/>
      <c r="W15430" s="318"/>
      <c r="X15430" s="318"/>
      <c r="Y15430" s="318"/>
      <c r="Z15430" s="318"/>
      <c r="AA15430" s="318"/>
      <c r="AB15430" s="318"/>
      <c r="AC15430" s="318"/>
      <c r="AD15430" s="318"/>
    </row>
    <row r="15431" spans="2:30" s="323" customFormat="1" ht="12" customHeight="1">
      <c r="B15431" s="324"/>
      <c r="C15431" s="325"/>
      <c r="D15431" s="326"/>
      <c r="E15431" s="326"/>
      <c r="F15431" s="326"/>
      <c r="G15431" s="326"/>
      <c r="H15431" s="326"/>
      <c r="P15431" s="318"/>
      <c r="Q15431" s="318"/>
      <c r="R15431" s="318"/>
      <c r="S15431" s="318"/>
      <c r="T15431" s="318"/>
      <c r="U15431" s="318"/>
      <c r="V15431" s="318"/>
      <c r="W15431" s="318"/>
      <c r="X15431" s="318"/>
      <c r="Y15431" s="318"/>
      <c r="Z15431" s="318"/>
      <c r="AA15431" s="318"/>
      <c r="AB15431" s="318"/>
      <c r="AC15431" s="318"/>
      <c r="AD15431" s="318"/>
    </row>
    <row r="15432" spans="2:30" s="323" customFormat="1" ht="12" customHeight="1">
      <c r="B15432" s="324"/>
      <c r="C15432" s="325"/>
      <c r="D15432" s="326"/>
      <c r="E15432" s="326"/>
      <c r="F15432" s="326"/>
      <c r="G15432" s="326"/>
      <c r="H15432" s="326"/>
      <c r="P15432" s="318"/>
      <c r="Q15432" s="318"/>
      <c r="R15432" s="318"/>
      <c r="S15432" s="318"/>
      <c r="T15432" s="318"/>
      <c r="U15432" s="318"/>
      <c r="V15432" s="318"/>
      <c r="W15432" s="318"/>
      <c r="X15432" s="318"/>
      <c r="Y15432" s="318"/>
      <c r="Z15432" s="318"/>
      <c r="AA15432" s="318"/>
      <c r="AB15432" s="318"/>
      <c r="AC15432" s="318"/>
      <c r="AD15432" s="318"/>
    </row>
    <row r="15433" spans="2:30" s="323" customFormat="1" ht="12" customHeight="1">
      <c r="B15433" s="324"/>
      <c r="C15433" s="325"/>
      <c r="D15433" s="326"/>
      <c r="E15433" s="326"/>
      <c r="F15433" s="326"/>
      <c r="G15433" s="326"/>
      <c r="H15433" s="326"/>
      <c r="P15433" s="318"/>
      <c r="Q15433" s="318"/>
      <c r="R15433" s="318"/>
      <c r="S15433" s="318"/>
      <c r="T15433" s="318"/>
      <c r="U15433" s="318"/>
      <c r="V15433" s="318"/>
      <c r="W15433" s="318"/>
      <c r="X15433" s="318"/>
      <c r="Y15433" s="318"/>
      <c r="Z15433" s="318"/>
      <c r="AA15433" s="318"/>
      <c r="AB15433" s="318"/>
      <c r="AC15433" s="318"/>
      <c r="AD15433" s="318"/>
    </row>
    <row r="15434" spans="2:30" s="323" customFormat="1" ht="12" customHeight="1">
      <c r="B15434" s="324"/>
      <c r="C15434" s="325"/>
      <c r="D15434" s="326"/>
      <c r="E15434" s="326"/>
      <c r="F15434" s="326"/>
      <c r="G15434" s="326"/>
      <c r="H15434" s="326"/>
      <c r="P15434" s="318"/>
      <c r="Q15434" s="318"/>
      <c r="R15434" s="318"/>
      <c r="S15434" s="318"/>
      <c r="T15434" s="318"/>
      <c r="U15434" s="318"/>
      <c r="V15434" s="318"/>
      <c r="W15434" s="318"/>
      <c r="X15434" s="318"/>
      <c r="Y15434" s="318"/>
      <c r="Z15434" s="318"/>
      <c r="AA15434" s="318"/>
      <c r="AB15434" s="318"/>
      <c r="AC15434" s="318"/>
      <c r="AD15434" s="318"/>
    </row>
    <row r="15435" spans="2:30" s="323" customFormat="1" ht="12" customHeight="1">
      <c r="B15435" s="324"/>
      <c r="C15435" s="325"/>
      <c r="D15435" s="326"/>
      <c r="E15435" s="326"/>
      <c r="F15435" s="326"/>
      <c r="G15435" s="326"/>
      <c r="H15435" s="326"/>
      <c r="P15435" s="318"/>
      <c r="Q15435" s="318"/>
      <c r="R15435" s="318"/>
      <c r="S15435" s="318"/>
      <c r="T15435" s="318"/>
      <c r="U15435" s="318"/>
      <c r="V15435" s="318"/>
      <c r="W15435" s="318"/>
      <c r="X15435" s="318"/>
      <c r="Y15435" s="318"/>
      <c r="Z15435" s="318"/>
      <c r="AA15435" s="318"/>
      <c r="AB15435" s="318"/>
      <c r="AC15435" s="318"/>
      <c r="AD15435" s="318"/>
    </row>
    <row r="15436" spans="2:30" s="323" customFormat="1" ht="12" customHeight="1">
      <c r="B15436" s="324"/>
      <c r="C15436" s="325"/>
      <c r="D15436" s="326"/>
      <c r="E15436" s="326"/>
      <c r="F15436" s="326"/>
      <c r="G15436" s="326"/>
      <c r="H15436" s="326"/>
      <c r="P15436" s="318"/>
      <c r="Q15436" s="318"/>
      <c r="R15436" s="318"/>
      <c r="S15436" s="318"/>
      <c r="T15436" s="318"/>
      <c r="U15436" s="318"/>
      <c r="V15436" s="318"/>
      <c r="W15436" s="318"/>
      <c r="X15436" s="318"/>
      <c r="Y15436" s="318"/>
      <c r="Z15436" s="318"/>
      <c r="AA15436" s="318"/>
      <c r="AB15436" s="318"/>
      <c r="AC15436" s="318"/>
      <c r="AD15436" s="318"/>
    </row>
    <row r="15437" spans="2:30" s="323" customFormat="1" ht="12" customHeight="1">
      <c r="B15437" s="324"/>
      <c r="C15437" s="325"/>
      <c r="D15437" s="326"/>
      <c r="E15437" s="326"/>
      <c r="F15437" s="326"/>
      <c r="G15437" s="326"/>
      <c r="H15437" s="326"/>
      <c r="P15437" s="318"/>
      <c r="Q15437" s="318"/>
      <c r="R15437" s="318"/>
      <c r="S15437" s="318"/>
      <c r="T15437" s="318"/>
      <c r="U15437" s="318"/>
      <c r="V15437" s="318"/>
      <c r="W15437" s="318"/>
      <c r="X15437" s="318"/>
      <c r="Y15437" s="318"/>
      <c r="Z15437" s="318"/>
      <c r="AA15437" s="318"/>
      <c r="AB15437" s="318"/>
      <c r="AC15437" s="318"/>
      <c r="AD15437" s="318"/>
    </row>
    <row r="15438" spans="2:30" s="323" customFormat="1" ht="12" customHeight="1">
      <c r="B15438" s="324"/>
      <c r="C15438" s="325"/>
      <c r="D15438" s="326"/>
      <c r="E15438" s="326"/>
      <c r="F15438" s="326"/>
      <c r="G15438" s="326"/>
      <c r="H15438" s="326"/>
      <c r="P15438" s="318"/>
      <c r="Q15438" s="318"/>
      <c r="R15438" s="318"/>
      <c r="S15438" s="318"/>
      <c r="T15438" s="318"/>
      <c r="U15438" s="318"/>
      <c r="V15438" s="318"/>
      <c r="W15438" s="318"/>
      <c r="X15438" s="318"/>
      <c r="Y15438" s="318"/>
      <c r="Z15438" s="318"/>
      <c r="AA15438" s="318"/>
      <c r="AB15438" s="318"/>
      <c r="AC15438" s="318"/>
      <c r="AD15438" s="318"/>
    </row>
    <row r="15439" spans="2:30" s="323" customFormat="1" ht="12" customHeight="1">
      <c r="B15439" s="324"/>
      <c r="C15439" s="325"/>
      <c r="D15439" s="326"/>
      <c r="E15439" s="326"/>
      <c r="F15439" s="326"/>
      <c r="G15439" s="326"/>
      <c r="H15439" s="326"/>
      <c r="P15439" s="318"/>
      <c r="Q15439" s="318"/>
      <c r="R15439" s="318"/>
      <c r="S15439" s="318"/>
      <c r="T15439" s="318"/>
      <c r="U15439" s="318"/>
      <c r="V15439" s="318"/>
      <c r="W15439" s="318"/>
      <c r="X15439" s="318"/>
      <c r="Y15439" s="318"/>
      <c r="Z15439" s="318"/>
      <c r="AA15439" s="318"/>
      <c r="AB15439" s="318"/>
      <c r="AC15439" s="318"/>
      <c r="AD15439" s="318"/>
    </row>
    <row r="15440" spans="2:30" s="323" customFormat="1" ht="12" customHeight="1">
      <c r="B15440" s="324"/>
      <c r="C15440" s="325"/>
      <c r="D15440" s="326"/>
      <c r="E15440" s="326"/>
      <c r="F15440" s="326"/>
      <c r="G15440" s="326"/>
      <c r="H15440" s="326"/>
      <c r="P15440" s="318"/>
      <c r="Q15440" s="318"/>
      <c r="R15440" s="318"/>
      <c r="S15440" s="318"/>
      <c r="T15440" s="318"/>
      <c r="U15440" s="318"/>
      <c r="V15440" s="318"/>
      <c r="W15440" s="318"/>
      <c r="X15440" s="318"/>
      <c r="Y15440" s="318"/>
      <c r="Z15440" s="318"/>
      <c r="AA15440" s="318"/>
      <c r="AB15440" s="318"/>
      <c r="AC15440" s="318"/>
      <c r="AD15440" s="318"/>
    </row>
    <row r="15441" spans="2:30" s="323" customFormat="1" ht="12" customHeight="1">
      <c r="B15441" s="324"/>
      <c r="C15441" s="325"/>
      <c r="D15441" s="326"/>
      <c r="E15441" s="326"/>
      <c r="F15441" s="326"/>
      <c r="G15441" s="326"/>
      <c r="H15441" s="326"/>
      <c r="P15441" s="318"/>
      <c r="Q15441" s="318"/>
      <c r="R15441" s="318"/>
      <c r="S15441" s="318"/>
      <c r="T15441" s="318"/>
      <c r="U15441" s="318"/>
      <c r="V15441" s="318"/>
      <c r="W15441" s="318"/>
      <c r="X15441" s="318"/>
      <c r="Y15441" s="318"/>
      <c r="Z15441" s="318"/>
      <c r="AA15441" s="318"/>
      <c r="AB15441" s="318"/>
      <c r="AC15441" s="318"/>
      <c r="AD15441" s="318"/>
    </row>
    <row r="15442" spans="2:30" s="323" customFormat="1" ht="12" customHeight="1">
      <c r="B15442" s="324"/>
      <c r="C15442" s="325"/>
      <c r="D15442" s="326"/>
      <c r="E15442" s="326"/>
      <c r="F15442" s="326"/>
      <c r="G15442" s="326"/>
      <c r="H15442" s="326"/>
      <c r="P15442" s="318"/>
      <c r="Q15442" s="318"/>
      <c r="R15442" s="318"/>
      <c r="S15442" s="318"/>
      <c r="T15442" s="318"/>
      <c r="U15442" s="318"/>
      <c r="V15442" s="318"/>
      <c r="W15442" s="318"/>
      <c r="X15442" s="318"/>
      <c r="Y15442" s="318"/>
      <c r="Z15442" s="318"/>
      <c r="AA15442" s="318"/>
      <c r="AB15442" s="318"/>
      <c r="AC15442" s="318"/>
      <c r="AD15442" s="318"/>
    </row>
    <row r="15443" spans="2:30" s="323" customFormat="1" ht="12" customHeight="1">
      <c r="B15443" s="324"/>
      <c r="C15443" s="325"/>
      <c r="D15443" s="326"/>
      <c r="E15443" s="326"/>
      <c r="F15443" s="326"/>
      <c r="G15443" s="326"/>
      <c r="H15443" s="326"/>
      <c r="P15443" s="318"/>
      <c r="Q15443" s="318"/>
      <c r="R15443" s="318"/>
      <c r="S15443" s="318"/>
      <c r="T15443" s="318"/>
      <c r="U15443" s="318"/>
      <c r="V15443" s="318"/>
      <c r="W15443" s="318"/>
      <c r="X15443" s="318"/>
      <c r="Y15443" s="318"/>
      <c r="Z15443" s="318"/>
      <c r="AA15443" s="318"/>
      <c r="AB15443" s="318"/>
      <c r="AC15443" s="318"/>
      <c r="AD15443" s="318"/>
    </row>
    <row r="15444" spans="2:30" s="323" customFormat="1" ht="12" customHeight="1">
      <c r="B15444" s="324"/>
      <c r="C15444" s="325"/>
      <c r="D15444" s="326"/>
      <c r="E15444" s="326"/>
      <c r="F15444" s="326"/>
      <c r="G15444" s="326"/>
      <c r="H15444" s="326"/>
      <c r="P15444" s="318"/>
      <c r="Q15444" s="318"/>
      <c r="R15444" s="318"/>
      <c r="S15444" s="318"/>
      <c r="T15444" s="318"/>
      <c r="U15444" s="318"/>
      <c r="V15444" s="318"/>
      <c r="W15444" s="318"/>
      <c r="X15444" s="318"/>
      <c r="Y15444" s="318"/>
      <c r="Z15444" s="318"/>
      <c r="AA15444" s="318"/>
      <c r="AB15444" s="318"/>
      <c r="AC15444" s="318"/>
      <c r="AD15444" s="318"/>
    </row>
    <row r="15445" spans="2:30" s="323" customFormat="1" ht="12" customHeight="1">
      <c r="B15445" s="324"/>
      <c r="C15445" s="325"/>
      <c r="D15445" s="326"/>
      <c r="E15445" s="326"/>
      <c r="F15445" s="326"/>
      <c r="G15445" s="326"/>
      <c r="H15445" s="326"/>
      <c r="P15445" s="318"/>
      <c r="Q15445" s="318"/>
      <c r="R15445" s="318"/>
      <c r="S15445" s="318"/>
      <c r="T15445" s="318"/>
      <c r="U15445" s="318"/>
      <c r="V15445" s="318"/>
      <c r="W15445" s="318"/>
      <c r="X15445" s="318"/>
      <c r="Y15445" s="318"/>
      <c r="Z15445" s="318"/>
      <c r="AA15445" s="318"/>
      <c r="AB15445" s="318"/>
      <c r="AC15445" s="318"/>
      <c r="AD15445" s="318"/>
    </row>
    <row r="15446" spans="2:30" s="323" customFormat="1" ht="12" customHeight="1">
      <c r="B15446" s="324"/>
      <c r="C15446" s="325"/>
      <c r="D15446" s="326"/>
      <c r="E15446" s="326"/>
      <c r="F15446" s="326"/>
      <c r="G15446" s="326"/>
      <c r="H15446" s="326"/>
      <c r="P15446" s="318"/>
      <c r="Q15446" s="318"/>
      <c r="R15446" s="318"/>
      <c r="S15446" s="318"/>
      <c r="T15446" s="318"/>
      <c r="U15446" s="318"/>
      <c r="V15446" s="318"/>
      <c r="W15446" s="318"/>
      <c r="X15446" s="318"/>
      <c r="Y15446" s="318"/>
      <c r="Z15446" s="318"/>
      <c r="AA15446" s="318"/>
      <c r="AB15446" s="318"/>
      <c r="AC15446" s="318"/>
      <c r="AD15446" s="318"/>
    </row>
    <row r="15447" spans="2:30" s="323" customFormat="1" ht="12" customHeight="1">
      <c r="B15447" s="324"/>
      <c r="C15447" s="325"/>
      <c r="D15447" s="326"/>
      <c r="E15447" s="326"/>
      <c r="F15447" s="326"/>
      <c r="G15447" s="326"/>
      <c r="H15447" s="326"/>
      <c r="P15447" s="318"/>
      <c r="Q15447" s="318"/>
      <c r="R15447" s="318"/>
      <c r="S15447" s="318"/>
      <c r="T15447" s="318"/>
      <c r="U15447" s="318"/>
      <c r="V15447" s="318"/>
      <c r="W15447" s="318"/>
      <c r="X15447" s="318"/>
      <c r="Y15447" s="318"/>
      <c r="Z15447" s="318"/>
      <c r="AA15447" s="318"/>
      <c r="AB15447" s="318"/>
      <c r="AC15447" s="318"/>
      <c r="AD15447" s="318"/>
    </row>
    <row r="15448" spans="2:30" s="323" customFormat="1" ht="12" customHeight="1">
      <c r="B15448" s="324"/>
      <c r="C15448" s="325"/>
      <c r="D15448" s="326"/>
      <c r="E15448" s="326"/>
      <c r="F15448" s="326"/>
      <c r="G15448" s="326"/>
      <c r="H15448" s="326"/>
      <c r="P15448" s="318"/>
      <c r="Q15448" s="318"/>
      <c r="R15448" s="318"/>
      <c r="S15448" s="318"/>
      <c r="T15448" s="318"/>
      <c r="U15448" s="318"/>
      <c r="V15448" s="318"/>
      <c r="W15448" s="318"/>
      <c r="X15448" s="318"/>
      <c r="Y15448" s="318"/>
      <c r="Z15448" s="318"/>
      <c r="AA15448" s="318"/>
      <c r="AB15448" s="318"/>
      <c r="AC15448" s="318"/>
      <c r="AD15448" s="318"/>
    </row>
    <row r="15449" spans="2:30" s="323" customFormat="1" ht="12" customHeight="1">
      <c r="B15449" s="324"/>
      <c r="C15449" s="325"/>
      <c r="D15449" s="326"/>
      <c r="E15449" s="326"/>
      <c r="F15449" s="326"/>
      <c r="G15449" s="326"/>
      <c r="H15449" s="326"/>
      <c r="P15449" s="318"/>
      <c r="Q15449" s="318"/>
      <c r="R15449" s="318"/>
      <c r="S15449" s="318"/>
      <c r="T15449" s="318"/>
      <c r="U15449" s="318"/>
      <c r="V15449" s="318"/>
      <c r="W15449" s="318"/>
      <c r="X15449" s="318"/>
      <c r="Y15449" s="318"/>
      <c r="Z15449" s="318"/>
      <c r="AA15449" s="318"/>
      <c r="AB15449" s="318"/>
      <c r="AC15449" s="318"/>
      <c r="AD15449" s="318"/>
    </row>
    <row r="15450" spans="2:30" s="323" customFormat="1" ht="12" customHeight="1">
      <c r="B15450" s="324"/>
      <c r="C15450" s="325"/>
      <c r="D15450" s="326"/>
      <c r="E15450" s="326"/>
      <c r="F15450" s="326"/>
      <c r="G15450" s="326"/>
      <c r="H15450" s="326"/>
      <c r="P15450" s="318"/>
      <c r="Q15450" s="318"/>
      <c r="R15450" s="318"/>
      <c r="S15450" s="318"/>
      <c r="T15450" s="318"/>
      <c r="U15450" s="318"/>
      <c r="V15450" s="318"/>
      <c r="W15450" s="318"/>
      <c r="X15450" s="318"/>
      <c r="Y15450" s="318"/>
      <c r="Z15450" s="318"/>
      <c r="AA15450" s="318"/>
      <c r="AB15450" s="318"/>
      <c r="AC15450" s="318"/>
      <c r="AD15450" s="318"/>
    </row>
    <row r="15451" spans="2:30" s="323" customFormat="1" ht="12" customHeight="1">
      <c r="B15451" s="324"/>
      <c r="C15451" s="325"/>
      <c r="D15451" s="326"/>
      <c r="E15451" s="326"/>
      <c r="F15451" s="326"/>
      <c r="G15451" s="326"/>
      <c r="H15451" s="326"/>
      <c r="P15451" s="318"/>
      <c r="Q15451" s="318"/>
      <c r="R15451" s="318"/>
      <c r="S15451" s="318"/>
      <c r="T15451" s="318"/>
      <c r="U15451" s="318"/>
      <c r="V15451" s="318"/>
      <c r="W15451" s="318"/>
      <c r="X15451" s="318"/>
      <c r="Y15451" s="318"/>
      <c r="Z15451" s="318"/>
      <c r="AA15451" s="318"/>
      <c r="AB15451" s="318"/>
      <c r="AC15451" s="318"/>
      <c r="AD15451" s="318"/>
    </row>
    <row r="15452" spans="2:30" s="323" customFormat="1" ht="12" customHeight="1">
      <c r="B15452" s="324"/>
      <c r="C15452" s="325"/>
      <c r="D15452" s="326"/>
      <c r="E15452" s="326"/>
      <c r="F15452" s="326"/>
      <c r="G15452" s="326"/>
      <c r="H15452" s="326"/>
      <c r="P15452" s="318"/>
      <c r="Q15452" s="318"/>
      <c r="R15452" s="318"/>
      <c r="S15452" s="318"/>
      <c r="T15452" s="318"/>
      <c r="U15452" s="318"/>
      <c r="V15452" s="318"/>
      <c r="W15452" s="318"/>
      <c r="X15452" s="318"/>
      <c r="Y15452" s="318"/>
      <c r="Z15452" s="318"/>
      <c r="AA15452" s="318"/>
      <c r="AB15452" s="318"/>
      <c r="AC15452" s="318"/>
      <c r="AD15452" s="318"/>
    </row>
    <row r="15453" spans="2:30" s="323" customFormat="1" ht="12" customHeight="1">
      <c r="B15453" s="324"/>
      <c r="C15453" s="325"/>
      <c r="D15453" s="326"/>
      <c r="E15453" s="326"/>
      <c r="F15453" s="326"/>
      <c r="G15453" s="326"/>
      <c r="H15453" s="326"/>
      <c r="P15453" s="318"/>
      <c r="Q15453" s="318"/>
      <c r="R15453" s="318"/>
      <c r="S15453" s="318"/>
      <c r="T15453" s="318"/>
      <c r="U15453" s="318"/>
      <c r="V15453" s="318"/>
      <c r="W15453" s="318"/>
      <c r="X15453" s="318"/>
      <c r="Y15453" s="318"/>
      <c r="Z15453" s="318"/>
      <c r="AA15453" s="318"/>
      <c r="AB15453" s="318"/>
      <c r="AC15453" s="318"/>
      <c r="AD15453" s="318"/>
    </row>
    <row r="15454" spans="2:30" s="323" customFormat="1" ht="12" customHeight="1">
      <c r="B15454" s="324"/>
      <c r="C15454" s="325"/>
      <c r="D15454" s="326"/>
      <c r="E15454" s="326"/>
      <c r="F15454" s="326"/>
      <c r="G15454" s="326"/>
      <c r="H15454" s="326"/>
      <c r="P15454" s="318"/>
      <c r="Q15454" s="318"/>
      <c r="R15454" s="318"/>
      <c r="S15454" s="318"/>
      <c r="T15454" s="318"/>
      <c r="U15454" s="318"/>
      <c r="V15454" s="318"/>
      <c r="W15454" s="318"/>
      <c r="X15454" s="318"/>
      <c r="Y15454" s="318"/>
      <c r="Z15454" s="318"/>
      <c r="AA15454" s="318"/>
      <c r="AB15454" s="318"/>
      <c r="AC15454" s="318"/>
      <c r="AD15454" s="318"/>
    </row>
    <row r="15455" spans="2:30" s="323" customFormat="1" ht="12" customHeight="1">
      <c r="B15455" s="324"/>
      <c r="C15455" s="325"/>
      <c r="D15455" s="326"/>
      <c r="E15455" s="326"/>
      <c r="F15455" s="326"/>
      <c r="G15455" s="326"/>
      <c r="H15455" s="326"/>
      <c r="P15455" s="318"/>
      <c r="Q15455" s="318"/>
      <c r="R15455" s="318"/>
      <c r="S15455" s="318"/>
      <c r="T15455" s="318"/>
      <c r="U15455" s="318"/>
      <c r="V15455" s="318"/>
      <c r="W15455" s="318"/>
      <c r="X15455" s="318"/>
      <c r="Y15455" s="318"/>
      <c r="Z15455" s="318"/>
      <c r="AA15455" s="318"/>
      <c r="AB15455" s="318"/>
      <c r="AC15455" s="318"/>
      <c r="AD15455" s="318"/>
    </row>
    <row r="15456" spans="2:30" s="323" customFormat="1" ht="12" customHeight="1">
      <c r="B15456" s="324"/>
      <c r="C15456" s="325"/>
      <c r="D15456" s="326"/>
      <c r="E15456" s="326"/>
      <c r="F15456" s="326"/>
      <c r="G15456" s="326"/>
      <c r="H15456" s="326"/>
      <c r="P15456" s="318"/>
      <c r="Q15456" s="318"/>
      <c r="R15456" s="318"/>
      <c r="S15456" s="318"/>
      <c r="T15456" s="318"/>
      <c r="U15456" s="318"/>
      <c r="V15456" s="318"/>
      <c r="W15456" s="318"/>
      <c r="X15456" s="318"/>
      <c r="Y15456" s="318"/>
      <c r="Z15456" s="318"/>
      <c r="AA15456" s="318"/>
      <c r="AB15456" s="318"/>
      <c r="AC15456" s="318"/>
      <c r="AD15456" s="318"/>
    </row>
    <row r="15457" spans="2:30" s="323" customFormat="1" ht="12" customHeight="1">
      <c r="B15457" s="324"/>
      <c r="C15457" s="325"/>
      <c r="D15457" s="326"/>
      <c r="E15457" s="326"/>
      <c r="F15457" s="326"/>
      <c r="G15457" s="326"/>
      <c r="H15457" s="326"/>
      <c r="P15457" s="318"/>
      <c r="Q15457" s="318"/>
      <c r="R15457" s="318"/>
      <c r="S15457" s="318"/>
      <c r="T15457" s="318"/>
      <c r="U15457" s="318"/>
      <c r="V15457" s="318"/>
      <c r="W15457" s="318"/>
      <c r="X15457" s="318"/>
      <c r="Y15457" s="318"/>
      <c r="Z15457" s="318"/>
      <c r="AA15457" s="318"/>
      <c r="AB15457" s="318"/>
      <c r="AC15457" s="318"/>
      <c r="AD15457" s="318"/>
    </row>
    <row r="15458" spans="2:30" s="323" customFormat="1" ht="12" customHeight="1">
      <c r="B15458" s="324"/>
      <c r="C15458" s="325"/>
      <c r="D15458" s="326"/>
      <c r="E15458" s="326"/>
      <c r="F15458" s="326"/>
      <c r="G15458" s="326"/>
      <c r="H15458" s="326"/>
      <c r="P15458" s="318"/>
      <c r="Q15458" s="318"/>
      <c r="R15458" s="318"/>
      <c r="S15458" s="318"/>
      <c r="T15458" s="318"/>
      <c r="U15458" s="318"/>
      <c r="V15458" s="318"/>
      <c r="W15458" s="318"/>
      <c r="X15458" s="318"/>
      <c r="Y15458" s="318"/>
      <c r="Z15458" s="318"/>
      <c r="AA15458" s="318"/>
      <c r="AB15458" s="318"/>
      <c r="AC15458" s="318"/>
      <c r="AD15458" s="318"/>
    </row>
    <row r="15459" spans="2:30" s="323" customFormat="1" ht="12" customHeight="1">
      <c r="B15459" s="324"/>
      <c r="C15459" s="325"/>
      <c r="D15459" s="326"/>
      <c r="E15459" s="326"/>
      <c r="F15459" s="326"/>
      <c r="G15459" s="326"/>
      <c r="H15459" s="326"/>
      <c r="P15459" s="318"/>
      <c r="Q15459" s="318"/>
      <c r="R15459" s="318"/>
      <c r="S15459" s="318"/>
      <c r="T15459" s="318"/>
      <c r="U15459" s="318"/>
      <c r="V15459" s="318"/>
      <c r="W15459" s="318"/>
      <c r="X15459" s="318"/>
      <c r="Y15459" s="318"/>
      <c r="Z15459" s="318"/>
      <c r="AA15459" s="318"/>
      <c r="AB15459" s="318"/>
      <c r="AC15459" s="318"/>
      <c r="AD15459" s="318"/>
    </row>
    <row r="15460" spans="2:30" s="323" customFormat="1" ht="12" customHeight="1">
      <c r="B15460" s="324"/>
      <c r="C15460" s="325"/>
      <c r="D15460" s="326"/>
      <c r="E15460" s="326"/>
      <c r="F15460" s="326"/>
      <c r="G15460" s="326"/>
      <c r="H15460" s="326"/>
      <c r="P15460" s="318"/>
      <c r="Q15460" s="318"/>
      <c r="R15460" s="318"/>
      <c r="S15460" s="318"/>
      <c r="T15460" s="318"/>
      <c r="U15460" s="318"/>
      <c r="V15460" s="318"/>
      <c r="W15460" s="318"/>
      <c r="X15460" s="318"/>
      <c r="Y15460" s="318"/>
      <c r="Z15460" s="318"/>
      <c r="AA15460" s="318"/>
      <c r="AB15460" s="318"/>
      <c r="AC15460" s="318"/>
      <c r="AD15460" s="318"/>
    </row>
    <row r="15461" spans="2:30" s="323" customFormat="1" ht="12" customHeight="1">
      <c r="B15461" s="324"/>
      <c r="C15461" s="325"/>
      <c r="D15461" s="326"/>
      <c r="E15461" s="326"/>
      <c r="F15461" s="326"/>
      <c r="G15461" s="326"/>
      <c r="H15461" s="326"/>
      <c r="P15461" s="318"/>
      <c r="Q15461" s="318"/>
      <c r="R15461" s="318"/>
      <c r="S15461" s="318"/>
      <c r="T15461" s="318"/>
      <c r="U15461" s="318"/>
      <c r="V15461" s="318"/>
      <c r="W15461" s="318"/>
      <c r="X15461" s="318"/>
      <c r="Y15461" s="318"/>
      <c r="Z15461" s="318"/>
      <c r="AA15461" s="318"/>
      <c r="AB15461" s="318"/>
      <c r="AC15461" s="318"/>
      <c r="AD15461" s="318"/>
    </row>
    <row r="15462" spans="2:30" s="323" customFormat="1" ht="12" customHeight="1">
      <c r="B15462" s="324"/>
      <c r="C15462" s="325"/>
      <c r="D15462" s="326"/>
      <c r="E15462" s="326"/>
      <c r="F15462" s="326"/>
      <c r="G15462" s="326"/>
      <c r="H15462" s="326"/>
      <c r="P15462" s="318"/>
      <c r="Q15462" s="318"/>
      <c r="R15462" s="318"/>
      <c r="S15462" s="318"/>
      <c r="T15462" s="318"/>
      <c r="U15462" s="318"/>
      <c r="V15462" s="318"/>
      <c r="W15462" s="318"/>
      <c r="X15462" s="318"/>
      <c r="Y15462" s="318"/>
      <c r="Z15462" s="318"/>
      <c r="AA15462" s="318"/>
      <c r="AB15462" s="318"/>
      <c r="AC15462" s="318"/>
      <c r="AD15462" s="318"/>
    </row>
    <row r="15463" spans="2:30" s="323" customFormat="1" ht="12" customHeight="1">
      <c r="B15463" s="324"/>
      <c r="C15463" s="325"/>
      <c r="D15463" s="326"/>
      <c r="E15463" s="326"/>
      <c r="F15463" s="326"/>
      <c r="G15463" s="326"/>
      <c r="H15463" s="326"/>
      <c r="P15463" s="318"/>
      <c r="Q15463" s="318"/>
      <c r="R15463" s="318"/>
      <c r="S15463" s="318"/>
      <c r="T15463" s="318"/>
      <c r="U15463" s="318"/>
      <c r="V15463" s="318"/>
      <c r="W15463" s="318"/>
      <c r="X15463" s="318"/>
      <c r="Y15463" s="318"/>
      <c r="Z15463" s="318"/>
      <c r="AA15463" s="318"/>
      <c r="AB15463" s="318"/>
      <c r="AC15463" s="318"/>
      <c r="AD15463" s="318"/>
    </row>
    <row r="15464" spans="2:30" s="323" customFormat="1" ht="12" customHeight="1">
      <c r="B15464" s="324"/>
      <c r="C15464" s="325"/>
      <c r="D15464" s="326"/>
      <c r="E15464" s="326"/>
      <c r="F15464" s="326"/>
      <c r="G15464" s="326"/>
      <c r="H15464" s="326"/>
      <c r="P15464" s="318"/>
      <c r="Q15464" s="318"/>
      <c r="R15464" s="318"/>
      <c r="S15464" s="318"/>
      <c r="T15464" s="318"/>
      <c r="U15464" s="318"/>
      <c r="V15464" s="318"/>
      <c r="W15464" s="318"/>
      <c r="X15464" s="318"/>
      <c r="Y15464" s="318"/>
      <c r="Z15464" s="318"/>
      <c r="AA15464" s="318"/>
      <c r="AB15464" s="318"/>
      <c r="AC15464" s="318"/>
      <c r="AD15464" s="318"/>
    </row>
    <row r="15465" spans="2:30" s="323" customFormat="1" ht="12" customHeight="1">
      <c r="B15465" s="324"/>
      <c r="C15465" s="325"/>
      <c r="D15465" s="326"/>
      <c r="E15465" s="326"/>
      <c r="F15465" s="326"/>
      <c r="G15465" s="326"/>
      <c r="H15465" s="326"/>
      <c r="P15465" s="318"/>
      <c r="Q15465" s="318"/>
      <c r="R15465" s="318"/>
      <c r="S15465" s="318"/>
      <c r="T15465" s="318"/>
      <c r="U15465" s="318"/>
      <c r="V15465" s="318"/>
      <c r="W15465" s="318"/>
      <c r="X15465" s="318"/>
      <c r="Y15465" s="318"/>
      <c r="Z15465" s="318"/>
      <c r="AA15465" s="318"/>
      <c r="AB15465" s="318"/>
      <c r="AC15465" s="318"/>
      <c r="AD15465" s="318"/>
    </row>
    <row r="15466" spans="2:30" s="323" customFormat="1" ht="12" customHeight="1">
      <c r="B15466" s="324"/>
      <c r="C15466" s="325"/>
      <c r="D15466" s="326"/>
      <c r="E15466" s="326"/>
      <c r="F15466" s="326"/>
      <c r="G15466" s="326"/>
      <c r="H15466" s="326"/>
      <c r="P15466" s="318"/>
      <c r="Q15466" s="318"/>
      <c r="R15466" s="318"/>
      <c r="S15466" s="318"/>
      <c r="T15466" s="318"/>
      <c r="U15466" s="318"/>
      <c r="V15466" s="318"/>
      <c r="W15466" s="318"/>
      <c r="X15466" s="318"/>
      <c r="Y15466" s="318"/>
      <c r="Z15466" s="318"/>
      <c r="AA15466" s="318"/>
      <c r="AB15466" s="318"/>
      <c r="AC15466" s="318"/>
      <c r="AD15466" s="318"/>
    </row>
    <row r="15467" spans="2:30" s="323" customFormat="1" ht="12" customHeight="1">
      <c r="B15467" s="324"/>
      <c r="C15467" s="325"/>
      <c r="D15467" s="326"/>
      <c r="E15467" s="326"/>
      <c r="F15467" s="326"/>
      <c r="G15467" s="326"/>
      <c r="H15467" s="326"/>
      <c r="P15467" s="318"/>
      <c r="Q15467" s="318"/>
      <c r="R15467" s="318"/>
      <c r="S15467" s="318"/>
      <c r="T15467" s="318"/>
      <c r="U15467" s="318"/>
      <c r="V15467" s="318"/>
      <c r="W15467" s="318"/>
      <c r="X15467" s="318"/>
      <c r="Y15467" s="318"/>
      <c r="Z15467" s="318"/>
      <c r="AA15467" s="318"/>
      <c r="AB15467" s="318"/>
      <c r="AC15467" s="318"/>
      <c r="AD15467" s="318"/>
    </row>
    <row r="15468" spans="2:30" s="323" customFormat="1" ht="12" customHeight="1">
      <c r="B15468" s="324"/>
      <c r="C15468" s="325"/>
      <c r="D15468" s="326"/>
      <c r="E15468" s="326"/>
      <c r="F15468" s="326"/>
      <c r="G15468" s="326"/>
      <c r="H15468" s="326"/>
      <c r="P15468" s="318"/>
      <c r="Q15468" s="318"/>
      <c r="R15468" s="318"/>
      <c r="S15468" s="318"/>
      <c r="T15468" s="318"/>
      <c r="U15468" s="318"/>
      <c r="V15468" s="318"/>
      <c r="W15468" s="318"/>
      <c r="X15468" s="318"/>
      <c r="Y15468" s="318"/>
      <c r="Z15468" s="318"/>
      <c r="AA15468" s="318"/>
      <c r="AB15468" s="318"/>
      <c r="AC15468" s="318"/>
      <c r="AD15468" s="318"/>
    </row>
    <row r="15469" spans="2:30" s="323" customFormat="1" ht="12" customHeight="1">
      <c r="B15469" s="324"/>
      <c r="C15469" s="325"/>
      <c r="D15469" s="326"/>
      <c r="E15469" s="326"/>
      <c r="F15469" s="326"/>
      <c r="G15469" s="326"/>
      <c r="H15469" s="326"/>
      <c r="P15469" s="318"/>
      <c r="Q15469" s="318"/>
      <c r="R15469" s="318"/>
      <c r="S15469" s="318"/>
      <c r="T15469" s="318"/>
      <c r="U15469" s="318"/>
      <c r="V15469" s="318"/>
      <c r="W15469" s="318"/>
      <c r="X15469" s="318"/>
      <c r="Y15469" s="318"/>
      <c r="Z15469" s="318"/>
      <c r="AA15469" s="318"/>
      <c r="AB15469" s="318"/>
      <c r="AC15469" s="318"/>
      <c r="AD15469" s="318"/>
    </row>
    <row r="15470" spans="2:30" s="323" customFormat="1" ht="12" customHeight="1">
      <c r="B15470" s="324"/>
      <c r="C15470" s="325"/>
      <c r="D15470" s="326"/>
      <c r="E15470" s="326"/>
      <c r="F15470" s="326"/>
      <c r="G15470" s="326"/>
      <c r="H15470" s="326"/>
      <c r="P15470" s="318"/>
      <c r="Q15470" s="318"/>
      <c r="R15470" s="318"/>
      <c r="S15470" s="318"/>
      <c r="T15470" s="318"/>
      <c r="U15470" s="318"/>
      <c r="V15470" s="318"/>
      <c r="W15470" s="318"/>
      <c r="X15470" s="318"/>
      <c r="Y15470" s="318"/>
      <c r="Z15470" s="318"/>
      <c r="AA15470" s="318"/>
      <c r="AB15470" s="318"/>
      <c r="AC15470" s="318"/>
      <c r="AD15470" s="318"/>
    </row>
    <row r="15471" spans="2:30" s="323" customFormat="1" ht="12" customHeight="1">
      <c r="B15471" s="324"/>
      <c r="C15471" s="325"/>
      <c r="D15471" s="326"/>
      <c r="E15471" s="326"/>
      <c r="F15471" s="326"/>
      <c r="G15471" s="326"/>
      <c r="H15471" s="326"/>
      <c r="P15471" s="318"/>
      <c r="Q15471" s="318"/>
      <c r="R15471" s="318"/>
      <c r="S15471" s="318"/>
      <c r="T15471" s="318"/>
      <c r="U15471" s="318"/>
      <c r="V15471" s="318"/>
      <c r="W15471" s="318"/>
      <c r="X15471" s="318"/>
      <c r="Y15471" s="318"/>
      <c r="Z15471" s="318"/>
      <c r="AA15471" s="318"/>
      <c r="AB15471" s="318"/>
      <c r="AC15471" s="318"/>
      <c r="AD15471" s="318"/>
    </row>
    <row r="15472" spans="2:30" s="323" customFormat="1" ht="12" customHeight="1">
      <c r="B15472" s="324"/>
      <c r="C15472" s="325"/>
      <c r="D15472" s="326"/>
      <c r="E15472" s="326"/>
      <c r="F15472" s="326"/>
      <c r="G15472" s="326"/>
      <c r="H15472" s="326"/>
      <c r="P15472" s="318"/>
      <c r="Q15472" s="318"/>
      <c r="R15472" s="318"/>
      <c r="S15472" s="318"/>
      <c r="T15472" s="318"/>
      <c r="U15472" s="318"/>
      <c r="V15472" s="318"/>
      <c r="W15472" s="318"/>
      <c r="X15472" s="318"/>
      <c r="Y15472" s="318"/>
      <c r="Z15472" s="318"/>
      <c r="AA15472" s="318"/>
      <c r="AB15472" s="318"/>
      <c r="AC15472" s="318"/>
      <c r="AD15472" s="318"/>
    </row>
    <row r="15473" spans="2:30" s="323" customFormat="1" ht="12" customHeight="1">
      <c r="B15473" s="324"/>
      <c r="C15473" s="325"/>
      <c r="D15473" s="326"/>
      <c r="E15473" s="326"/>
      <c r="F15473" s="326"/>
      <c r="G15473" s="326"/>
      <c r="H15473" s="326"/>
      <c r="P15473" s="318"/>
      <c r="Q15473" s="318"/>
      <c r="R15473" s="318"/>
      <c r="S15473" s="318"/>
      <c r="T15473" s="318"/>
      <c r="U15473" s="318"/>
      <c r="V15473" s="318"/>
      <c r="W15473" s="318"/>
      <c r="X15473" s="318"/>
      <c r="Y15473" s="318"/>
      <c r="Z15473" s="318"/>
      <c r="AA15473" s="318"/>
      <c r="AB15473" s="318"/>
      <c r="AC15473" s="318"/>
      <c r="AD15473" s="318"/>
    </row>
    <row r="15474" spans="2:30" s="323" customFormat="1" ht="12" customHeight="1">
      <c r="B15474" s="324"/>
      <c r="C15474" s="325"/>
      <c r="D15474" s="326"/>
      <c r="E15474" s="326"/>
      <c r="F15474" s="326"/>
      <c r="G15474" s="326"/>
      <c r="H15474" s="326"/>
      <c r="P15474" s="318"/>
      <c r="Q15474" s="318"/>
      <c r="R15474" s="318"/>
      <c r="S15474" s="318"/>
      <c r="T15474" s="318"/>
      <c r="U15474" s="318"/>
      <c r="V15474" s="318"/>
      <c r="W15474" s="318"/>
      <c r="X15474" s="318"/>
      <c r="Y15474" s="318"/>
      <c r="Z15474" s="318"/>
      <c r="AA15474" s="318"/>
      <c r="AB15474" s="318"/>
      <c r="AC15474" s="318"/>
      <c r="AD15474" s="318"/>
    </row>
    <row r="15475" spans="2:30" s="323" customFormat="1" ht="12" customHeight="1">
      <c r="B15475" s="324"/>
      <c r="C15475" s="325"/>
      <c r="D15475" s="326"/>
      <c r="E15475" s="326"/>
      <c r="F15475" s="326"/>
      <c r="G15475" s="326"/>
      <c r="H15475" s="326"/>
      <c r="P15475" s="318"/>
      <c r="Q15475" s="318"/>
      <c r="R15475" s="318"/>
      <c r="S15475" s="318"/>
      <c r="T15475" s="318"/>
      <c r="U15475" s="318"/>
      <c r="V15475" s="318"/>
      <c r="W15475" s="318"/>
      <c r="X15475" s="318"/>
      <c r="Y15475" s="318"/>
      <c r="Z15475" s="318"/>
      <c r="AA15475" s="318"/>
      <c r="AB15475" s="318"/>
      <c r="AC15475" s="318"/>
      <c r="AD15475" s="318"/>
    </row>
    <row r="15476" spans="2:30" s="323" customFormat="1" ht="12" customHeight="1">
      <c r="B15476" s="324"/>
      <c r="C15476" s="325"/>
      <c r="D15476" s="326"/>
      <c r="E15476" s="326"/>
      <c r="F15476" s="326"/>
      <c r="G15476" s="326"/>
      <c r="H15476" s="326"/>
      <c r="P15476" s="318"/>
      <c r="Q15476" s="318"/>
      <c r="R15476" s="318"/>
      <c r="S15476" s="318"/>
      <c r="T15476" s="318"/>
      <c r="U15476" s="318"/>
      <c r="V15476" s="318"/>
      <c r="W15476" s="318"/>
      <c r="X15476" s="318"/>
      <c r="Y15476" s="318"/>
      <c r="Z15476" s="318"/>
      <c r="AA15476" s="318"/>
      <c r="AB15476" s="318"/>
      <c r="AC15476" s="318"/>
      <c r="AD15476" s="318"/>
    </row>
    <row r="15477" spans="2:30" s="323" customFormat="1" ht="12" customHeight="1">
      <c r="B15477" s="324"/>
      <c r="C15477" s="325"/>
      <c r="D15477" s="326"/>
      <c r="E15477" s="326"/>
      <c r="F15477" s="326"/>
      <c r="G15477" s="326"/>
      <c r="H15477" s="326"/>
      <c r="P15477" s="318"/>
      <c r="Q15477" s="318"/>
      <c r="R15477" s="318"/>
      <c r="S15477" s="318"/>
      <c r="T15477" s="318"/>
      <c r="U15477" s="318"/>
      <c r="V15477" s="318"/>
      <c r="W15477" s="318"/>
      <c r="X15477" s="318"/>
      <c r="Y15477" s="318"/>
      <c r="Z15477" s="318"/>
      <c r="AA15477" s="318"/>
      <c r="AB15477" s="318"/>
      <c r="AC15477" s="318"/>
      <c r="AD15477" s="318"/>
    </row>
    <row r="15478" spans="2:30" s="323" customFormat="1" ht="12" customHeight="1">
      <c r="B15478" s="324"/>
      <c r="C15478" s="325"/>
      <c r="D15478" s="326"/>
      <c r="E15478" s="326"/>
      <c r="F15478" s="326"/>
      <c r="G15478" s="326"/>
      <c r="H15478" s="326"/>
      <c r="P15478" s="318"/>
      <c r="Q15478" s="318"/>
      <c r="R15478" s="318"/>
      <c r="S15478" s="318"/>
      <c r="T15478" s="318"/>
      <c r="U15478" s="318"/>
      <c r="V15478" s="318"/>
      <c r="W15478" s="318"/>
      <c r="X15478" s="318"/>
      <c r="Y15478" s="318"/>
      <c r="Z15478" s="318"/>
      <c r="AA15478" s="318"/>
      <c r="AB15478" s="318"/>
      <c r="AC15478" s="318"/>
      <c r="AD15478" s="318"/>
    </row>
    <row r="15479" spans="2:30" s="323" customFormat="1" ht="12" customHeight="1">
      <c r="B15479" s="324"/>
      <c r="C15479" s="325"/>
      <c r="D15479" s="326"/>
      <c r="E15479" s="326"/>
      <c r="F15479" s="326"/>
      <c r="G15479" s="326"/>
      <c r="H15479" s="326"/>
      <c r="P15479" s="318"/>
      <c r="Q15479" s="318"/>
      <c r="R15479" s="318"/>
      <c r="S15479" s="318"/>
      <c r="T15479" s="318"/>
      <c r="U15479" s="318"/>
      <c r="V15479" s="318"/>
      <c r="W15479" s="318"/>
      <c r="X15479" s="318"/>
      <c r="Y15479" s="318"/>
      <c r="Z15479" s="318"/>
      <c r="AA15479" s="318"/>
      <c r="AB15479" s="318"/>
      <c r="AC15479" s="318"/>
      <c r="AD15479" s="318"/>
    </row>
    <row r="15480" spans="2:30" s="323" customFormat="1" ht="12" customHeight="1">
      <c r="B15480" s="324"/>
      <c r="C15480" s="325"/>
      <c r="D15480" s="326"/>
      <c r="E15480" s="326"/>
      <c r="F15480" s="326"/>
      <c r="G15480" s="326"/>
      <c r="H15480" s="326"/>
      <c r="P15480" s="318"/>
      <c r="Q15480" s="318"/>
      <c r="R15480" s="318"/>
      <c r="S15480" s="318"/>
      <c r="T15480" s="318"/>
      <c r="U15480" s="318"/>
      <c r="V15480" s="318"/>
      <c r="W15480" s="318"/>
      <c r="X15480" s="318"/>
      <c r="Y15480" s="318"/>
      <c r="Z15480" s="318"/>
      <c r="AA15480" s="318"/>
      <c r="AB15480" s="318"/>
      <c r="AC15480" s="318"/>
      <c r="AD15480" s="318"/>
    </row>
    <row r="15481" spans="2:30" s="323" customFormat="1" ht="12" customHeight="1">
      <c r="B15481" s="324"/>
      <c r="C15481" s="325"/>
      <c r="D15481" s="326"/>
      <c r="E15481" s="326"/>
      <c r="F15481" s="326"/>
      <c r="G15481" s="326"/>
      <c r="H15481" s="326"/>
      <c r="P15481" s="318"/>
      <c r="Q15481" s="318"/>
      <c r="R15481" s="318"/>
      <c r="S15481" s="318"/>
      <c r="T15481" s="318"/>
      <c r="U15481" s="318"/>
      <c r="V15481" s="318"/>
      <c r="W15481" s="318"/>
      <c r="X15481" s="318"/>
      <c r="Y15481" s="318"/>
      <c r="Z15481" s="318"/>
      <c r="AA15481" s="318"/>
      <c r="AB15481" s="318"/>
      <c r="AC15481" s="318"/>
      <c r="AD15481" s="318"/>
    </row>
    <row r="15482" spans="2:30" s="323" customFormat="1" ht="12" customHeight="1">
      <c r="B15482" s="324"/>
      <c r="C15482" s="325"/>
      <c r="D15482" s="326"/>
      <c r="E15482" s="326"/>
      <c r="F15482" s="326"/>
      <c r="G15482" s="326"/>
      <c r="H15482" s="326"/>
      <c r="P15482" s="318"/>
      <c r="Q15482" s="318"/>
      <c r="R15482" s="318"/>
      <c r="S15482" s="318"/>
      <c r="T15482" s="318"/>
      <c r="U15482" s="318"/>
      <c r="V15482" s="318"/>
      <c r="W15482" s="318"/>
      <c r="X15482" s="318"/>
      <c r="Y15482" s="318"/>
      <c r="Z15482" s="318"/>
      <c r="AA15482" s="318"/>
      <c r="AB15482" s="318"/>
      <c r="AC15482" s="318"/>
      <c r="AD15482" s="318"/>
    </row>
    <row r="15483" spans="2:30" s="323" customFormat="1" ht="12" customHeight="1">
      <c r="B15483" s="324"/>
      <c r="C15483" s="325"/>
      <c r="D15483" s="326"/>
      <c r="E15483" s="326"/>
      <c r="F15483" s="326"/>
      <c r="G15483" s="326"/>
      <c r="H15483" s="326"/>
      <c r="P15483" s="318"/>
      <c r="Q15483" s="318"/>
      <c r="R15483" s="318"/>
      <c r="S15483" s="318"/>
      <c r="T15483" s="318"/>
      <c r="U15483" s="318"/>
      <c r="V15483" s="318"/>
      <c r="W15483" s="318"/>
      <c r="X15483" s="318"/>
      <c r="Y15483" s="318"/>
      <c r="Z15483" s="318"/>
      <c r="AA15483" s="318"/>
      <c r="AB15483" s="318"/>
      <c r="AC15483" s="318"/>
      <c r="AD15483" s="318"/>
    </row>
    <row r="15484" spans="2:30" s="323" customFormat="1" ht="12" customHeight="1">
      <c r="B15484" s="324"/>
      <c r="C15484" s="325"/>
      <c r="D15484" s="326"/>
      <c r="E15484" s="326"/>
      <c r="F15484" s="326"/>
      <c r="G15484" s="326"/>
      <c r="H15484" s="326"/>
      <c r="P15484" s="318"/>
      <c r="Q15484" s="318"/>
      <c r="R15484" s="318"/>
      <c r="S15484" s="318"/>
      <c r="T15484" s="318"/>
      <c r="U15484" s="318"/>
      <c r="V15484" s="318"/>
      <c r="W15484" s="318"/>
      <c r="X15484" s="318"/>
      <c r="Y15484" s="318"/>
      <c r="Z15484" s="318"/>
      <c r="AA15484" s="318"/>
      <c r="AB15484" s="318"/>
      <c r="AC15484" s="318"/>
      <c r="AD15484" s="318"/>
    </row>
    <row r="15485" spans="2:30" s="323" customFormat="1" ht="12" customHeight="1">
      <c r="B15485" s="324"/>
      <c r="C15485" s="325"/>
      <c r="D15485" s="326"/>
      <c r="E15485" s="326"/>
      <c r="F15485" s="326"/>
      <c r="G15485" s="326"/>
      <c r="H15485" s="326"/>
      <c r="P15485" s="318"/>
      <c r="Q15485" s="318"/>
      <c r="R15485" s="318"/>
      <c r="S15485" s="318"/>
      <c r="T15485" s="318"/>
      <c r="U15485" s="318"/>
      <c r="V15485" s="318"/>
      <c r="W15485" s="318"/>
      <c r="X15485" s="318"/>
      <c r="Y15485" s="318"/>
      <c r="Z15485" s="318"/>
      <c r="AA15485" s="318"/>
      <c r="AB15485" s="318"/>
      <c r="AC15485" s="318"/>
      <c r="AD15485" s="318"/>
    </row>
    <row r="15486" spans="2:30" s="323" customFormat="1" ht="12" customHeight="1">
      <c r="B15486" s="324"/>
      <c r="C15486" s="325"/>
      <c r="D15486" s="326"/>
      <c r="E15486" s="326"/>
      <c r="F15486" s="326"/>
      <c r="G15486" s="326"/>
      <c r="H15486" s="326"/>
      <c r="P15486" s="318"/>
      <c r="Q15486" s="318"/>
      <c r="R15486" s="318"/>
      <c r="S15486" s="318"/>
      <c r="T15486" s="318"/>
      <c r="U15486" s="318"/>
      <c r="V15486" s="318"/>
      <c r="W15486" s="318"/>
      <c r="X15486" s="318"/>
      <c r="Y15486" s="318"/>
      <c r="Z15486" s="318"/>
      <c r="AA15486" s="318"/>
      <c r="AB15486" s="318"/>
      <c r="AC15486" s="318"/>
      <c r="AD15486" s="318"/>
    </row>
    <row r="15487" spans="2:30" s="323" customFormat="1" ht="12" customHeight="1">
      <c r="B15487" s="324"/>
      <c r="C15487" s="325"/>
      <c r="D15487" s="326"/>
      <c r="E15487" s="326"/>
      <c r="F15487" s="326"/>
      <c r="G15487" s="326"/>
      <c r="H15487" s="326"/>
      <c r="P15487" s="318"/>
      <c r="Q15487" s="318"/>
      <c r="R15487" s="318"/>
      <c r="S15487" s="318"/>
      <c r="T15487" s="318"/>
      <c r="U15487" s="318"/>
      <c r="V15487" s="318"/>
      <c r="W15487" s="318"/>
      <c r="X15487" s="318"/>
      <c r="Y15487" s="318"/>
      <c r="Z15487" s="318"/>
      <c r="AA15487" s="318"/>
      <c r="AB15487" s="318"/>
      <c r="AC15487" s="318"/>
      <c r="AD15487" s="318"/>
    </row>
    <row r="15488" spans="2:30" s="323" customFormat="1" ht="12" customHeight="1">
      <c r="B15488" s="324"/>
      <c r="C15488" s="325"/>
      <c r="D15488" s="326"/>
      <c r="E15488" s="326"/>
      <c r="F15488" s="326"/>
      <c r="G15488" s="326"/>
      <c r="H15488" s="326"/>
      <c r="P15488" s="318"/>
      <c r="Q15488" s="318"/>
      <c r="R15488" s="318"/>
      <c r="S15488" s="318"/>
      <c r="T15488" s="318"/>
      <c r="U15488" s="318"/>
      <c r="V15488" s="318"/>
      <c r="W15488" s="318"/>
      <c r="X15488" s="318"/>
      <c r="Y15488" s="318"/>
      <c r="Z15488" s="318"/>
      <c r="AA15488" s="318"/>
      <c r="AB15488" s="318"/>
      <c r="AC15488" s="318"/>
      <c r="AD15488" s="318"/>
    </row>
    <row r="15489" spans="2:30" s="323" customFormat="1" ht="12" customHeight="1">
      <c r="B15489" s="324"/>
      <c r="C15489" s="325"/>
      <c r="D15489" s="326"/>
      <c r="E15489" s="326"/>
      <c r="F15489" s="326"/>
      <c r="G15489" s="326"/>
      <c r="H15489" s="326"/>
      <c r="P15489" s="318"/>
      <c r="Q15489" s="318"/>
      <c r="R15489" s="318"/>
      <c r="S15489" s="318"/>
      <c r="T15489" s="318"/>
      <c r="U15489" s="318"/>
      <c r="V15489" s="318"/>
      <c r="W15489" s="318"/>
      <c r="X15489" s="318"/>
      <c r="Y15489" s="318"/>
      <c r="Z15489" s="318"/>
      <c r="AA15489" s="318"/>
      <c r="AB15489" s="318"/>
      <c r="AC15489" s="318"/>
      <c r="AD15489" s="318"/>
    </row>
    <row r="15490" spans="2:30" s="323" customFormat="1" ht="12" customHeight="1">
      <c r="B15490" s="324"/>
      <c r="C15490" s="325"/>
      <c r="D15490" s="326"/>
      <c r="E15490" s="326"/>
      <c r="F15490" s="326"/>
      <c r="G15490" s="326"/>
      <c r="H15490" s="326"/>
      <c r="P15490" s="318"/>
      <c r="Q15490" s="318"/>
      <c r="R15490" s="318"/>
      <c r="S15490" s="318"/>
      <c r="T15490" s="318"/>
      <c r="U15490" s="318"/>
      <c r="V15490" s="318"/>
      <c r="W15490" s="318"/>
      <c r="X15490" s="318"/>
      <c r="Y15490" s="318"/>
      <c r="Z15490" s="318"/>
      <c r="AA15490" s="318"/>
      <c r="AB15490" s="318"/>
      <c r="AC15490" s="318"/>
      <c r="AD15490" s="318"/>
    </row>
    <row r="15491" spans="2:30" s="323" customFormat="1" ht="12" customHeight="1">
      <c r="B15491" s="324"/>
      <c r="C15491" s="325"/>
      <c r="D15491" s="326"/>
      <c r="E15491" s="326"/>
      <c r="F15491" s="326"/>
      <c r="G15491" s="326"/>
      <c r="H15491" s="326"/>
      <c r="P15491" s="318"/>
      <c r="Q15491" s="318"/>
      <c r="R15491" s="318"/>
      <c r="S15491" s="318"/>
      <c r="T15491" s="318"/>
      <c r="U15491" s="318"/>
      <c r="V15491" s="318"/>
      <c r="W15491" s="318"/>
      <c r="X15491" s="318"/>
      <c r="Y15491" s="318"/>
      <c r="Z15491" s="318"/>
      <c r="AA15491" s="318"/>
      <c r="AB15491" s="318"/>
      <c r="AC15491" s="318"/>
      <c r="AD15491" s="318"/>
    </row>
    <row r="15492" spans="2:30" s="323" customFormat="1" ht="12" customHeight="1">
      <c r="B15492" s="324"/>
      <c r="C15492" s="325"/>
      <c r="D15492" s="326"/>
      <c r="E15492" s="326"/>
      <c r="F15492" s="326"/>
      <c r="G15492" s="326"/>
      <c r="H15492" s="326"/>
      <c r="P15492" s="318"/>
      <c r="Q15492" s="318"/>
      <c r="R15492" s="318"/>
      <c r="S15492" s="318"/>
      <c r="T15492" s="318"/>
      <c r="U15492" s="318"/>
      <c r="V15492" s="318"/>
      <c r="W15492" s="318"/>
      <c r="X15492" s="318"/>
      <c r="Y15492" s="318"/>
      <c r="Z15492" s="318"/>
      <c r="AA15492" s="318"/>
      <c r="AB15492" s="318"/>
      <c r="AC15492" s="318"/>
      <c r="AD15492" s="318"/>
    </row>
    <row r="15493" spans="2:30" s="323" customFormat="1" ht="12" customHeight="1">
      <c r="B15493" s="324"/>
      <c r="C15493" s="325"/>
      <c r="D15493" s="326"/>
      <c r="E15493" s="326"/>
      <c r="F15493" s="326"/>
      <c r="G15493" s="326"/>
      <c r="H15493" s="326"/>
      <c r="P15493" s="318"/>
      <c r="Q15493" s="318"/>
      <c r="R15493" s="318"/>
      <c r="S15493" s="318"/>
      <c r="T15493" s="318"/>
      <c r="U15493" s="318"/>
      <c r="V15493" s="318"/>
      <c r="W15493" s="318"/>
      <c r="X15493" s="318"/>
      <c r="Y15493" s="318"/>
      <c r="Z15493" s="318"/>
      <c r="AA15493" s="318"/>
      <c r="AB15493" s="318"/>
      <c r="AC15493" s="318"/>
      <c r="AD15493" s="318"/>
    </row>
    <row r="15494" spans="2:30" s="323" customFormat="1" ht="12" customHeight="1">
      <c r="B15494" s="324"/>
      <c r="C15494" s="325"/>
      <c r="D15494" s="326"/>
      <c r="E15494" s="326"/>
      <c r="F15494" s="326"/>
      <c r="G15494" s="326"/>
      <c r="H15494" s="326"/>
      <c r="P15494" s="318"/>
      <c r="Q15494" s="318"/>
      <c r="R15494" s="318"/>
      <c r="S15494" s="318"/>
      <c r="T15494" s="318"/>
      <c r="U15494" s="318"/>
      <c r="V15494" s="318"/>
      <c r="W15494" s="318"/>
      <c r="X15494" s="318"/>
      <c r="Y15494" s="318"/>
      <c r="Z15494" s="318"/>
      <c r="AA15494" s="318"/>
      <c r="AB15494" s="318"/>
      <c r="AC15494" s="318"/>
      <c r="AD15494" s="318"/>
    </row>
    <row r="15495" spans="2:30" s="323" customFormat="1" ht="12" customHeight="1">
      <c r="B15495" s="324"/>
      <c r="C15495" s="325"/>
      <c r="D15495" s="326"/>
      <c r="E15495" s="326"/>
      <c r="F15495" s="326"/>
      <c r="G15495" s="326"/>
      <c r="H15495" s="326"/>
      <c r="P15495" s="318"/>
      <c r="Q15495" s="318"/>
      <c r="R15495" s="318"/>
      <c r="S15495" s="318"/>
      <c r="T15495" s="318"/>
      <c r="U15495" s="318"/>
      <c r="V15495" s="318"/>
      <c r="W15495" s="318"/>
      <c r="X15495" s="318"/>
      <c r="Y15495" s="318"/>
      <c r="Z15495" s="318"/>
      <c r="AA15495" s="318"/>
      <c r="AB15495" s="318"/>
      <c r="AC15495" s="318"/>
      <c r="AD15495" s="318"/>
    </row>
    <row r="15496" spans="2:30" s="323" customFormat="1" ht="12" customHeight="1">
      <c r="B15496" s="324"/>
      <c r="C15496" s="325"/>
      <c r="D15496" s="326"/>
      <c r="E15496" s="326"/>
      <c r="F15496" s="326"/>
      <c r="G15496" s="326"/>
      <c r="H15496" s="326"/>
      <c r="P15496" s="318"/>
      <c r="Q15496" s="318"/>
      <c r="R15496" s="318"/>
      <c r="S15496" s="318"/>
      <c r="T15496" s="318"/>
      <c r="U15496" s="318"/>
      <c r="V15496" s="318"/>
      <c r="W15496" s="318"/>
      <c r="X15496" s="318"/>
      <c r="Y15496" s="318"/>
      <c r="Z15496" s="318"/>
      <c r="AA15496" s="318"/>
      <c r="AB15496" s="318"/>
      <c r="AC15496" s="318"/>
      <c r="AD15496" s="318"/>
    </row>
    <row r="15497" spans="2:30" s="323" customFormat="1" ht="12" customHeight="1">
      <c r="B15497" s="324"/>
      <c r="C15497" s="325"/>
      <c r="D15497" s="326"/>
      <c r="E15497" s="326"/>
      <c r="F15497" s="326"/>
      <c r="G15497" s="326"/>
      <c r="H15497" s="326"/>
      <c r="P15497" s="318"/>
      <c r="Q15497" s="318"/>
      <c r="R15497" s="318"/>
      <c r="S15497" s="318"/>
      <c r="T15497" s="318"/>
      <c r="U15497" s="318"/>
      <c r="V15497" s="318"/>
      <c r="W15497" s="318"/>
      <c r="X15497" s="318"/>
      <c r="Y15497" s="318"/>
      <c r="Z15497" s="318"/>
      <c r="AA15497" s="318"/>
      <c r="AB15497" s="318"/>
      <c r="AC15497" s="318"/>
      <c r="AD15497" s="318"/>
    </row>
    <row r="15498" spans="2:30" s="323" customFormat="1" ht="12" customHeight="1">
      <c r="B15498" s="324"/>
      <c r="C15498" s="325"/>
      <c r="D15498" s="326"/>
      <c r="E15498" s="326"/>
      <c r="F15498" s="326"/>
      <c r="G15498" s="326"/>
      <c r="H15498" s="326"/>
      <c r="P15498" s="318"/>
      <c r="Q15498" s="318"/>
      <c r="R15498" s="318"/>
      <c r="S15498" s="318"/>
      <c r="T15498" s="318"/>
      <c r="U15498" s="318"/>
      <c r="V15498" s="318"/>
      <c r="W15498" s="318"/>
      <c r="X15498" s="318"/>
      <c r="Y15498" s="318"/>
      <c r="Z15498" s="318"/>
      <c r="AA15498" s="318"/>
      <c r="AB15498" s="318"/>
      <c r="AC15498" s="318"/>
      <c r="AD15498" s="318"/>
    </row>
    <row r="15499" spans="2:30" s="323" customFormat="1" ht="12" customHeight="1">
      <c r="B15499" s="324"/>
      <c r="C15499" s="325"/>
      <c r="D15499" s="326"/>
      <c r="E15499" s="326"/>
      <c r="F15499" s="326"/>
      <c r="G15499" s="326"/>
      <c r="H15499" s="326"/>
      <c r="P15499" s="318"/>
      <c r="Q15499" s="318"/>
      <c r="R15499" s="318"/>
      <c r="S15499" s="318"/>
      <c r="T15499" s="318"/>
      <c r="U15499" s="318"/>
      <c r="V15499" s="318"/>
      <c r="W15499" s="318"/>
      <c r="X15499" s="318"/>
      <c r="Y15499" s="318"/>
      <c r="Z15499" s="318"/>
      <c r="AA15499" s="318"/>
      <c r="AB15499" s="318"/>
      <c r="AC15499" s="318"/>
      <c r="AD15499" s="318"/>
    </row>
    <row r="15500" spans="2:30" s="323" customFormat="1" ht="12" customHeight="1">
      <c r="B15500" s="324"/>
      <c r="C15500" s="325"/>
      <c r="D15500" s="326"/>
      <c r="E15500" s="326"/>
      <c r="F15500" s="326"/>
      <c r="G15500" s="326"/>
      <c r="H15500" s="326"/>
      <c r="P15500" s="318"/>
      <c r="Q15500" s="318"/>
      <c r="R15500" s="318"/>
      <c r="S15500" s="318"/>
      <c r="T15500" s="318"/>
      <c r="U15500" s="318"/>
      <c r="V15500" s="318"/>
      <c r="W15500" s="318"/>
      <c r="X15500" s="318"/>
      <c r="Y15500" s="318"/>
      <c r="Z15500" s="318"/>
      <c r="AA15500" s="318"/>
      <c r="AB15500" s="318"/>
      <c r="AC15500" s="318"/>
      <c r="AD15500" s="318"/>
    </row>
    <row r="15501" spans="2:30" s="323" customFormat="1" ht="12" customHeight="1">
      <c r="B15501" s="324"/>
      <c r="C15501" s="325"/>
      <c r="D15501" s="326"/>
      <c r="E15501" s="326"/>
      <c r="F15501" s="326"/>
      <c r="G15501" s="326"/>
      <c r="H15501" s="326"/>
      <c r="P15501" s="318"/>
      <c r="Q15501" s="318"/>
      <c r="R15501" s="318"/>
      <c r="S15501" s="318"/>
      <c r="T15501" s="318"/>
      <c r="U15501" s="318"/>
      <c r="V15501" s="318"/>
      <c r="W15501" s="318"/>
      <c r="X15501" s="318"/>
      <c r="Y15501" s="318"/>
      <c r="Z15501" s="318"/>
      <c r="AA15501" s="318"/>
      <c r="AB15501" s="318"/>
      <c r="AC15501" s="318"/>
      <c r="AD15501" s="318"/>
    </row>
    <row r="15502" spans="2:30" s="323" customFormat="1" ht="12" customHeight="1">
      <c r="B15502" s="324"/>
      <c r="C15502" s="325"/>
      <c r="D15502" s="326"/>
      <c r="E15502" s="326"/>
      <c r="F15502" s="326"/>
      <c r="G15502" s="326"/>
      <c r="H15502" s="326"/>
      <c r="P15502" s="318"/>
      <c r="Q15502" s="318"/>
      <c r="R15502" s="318"/>
      <c r="S15502" s="318"/>
      <c r="T15502" s="318"/>
      <c r="U15502" s="318"/>
      <c r="V15502" s="318"/>
      <c r="W15502" s="318"/>
      <c r="X15502" s="318"/>
      <c r="Y15502" s="318"/>
      <c r="Z15502" s="318"/>
      <c r="AA15502" s="318"/>
      <c r="AB15502" s="318"/>
      <c r="AC15502" s="318"/>
      <c r="AD15502" s="318"/>
    </row>
    <row r="15503" spans="2:30" s="323" customFormat="1" ht="12" customHeight="1">
      <c r="B15503" s="324"/>
      <c r="C15503" s="325"/>
      <c r="D15503" s="326"/>
      <c r="E15503" s="326"/>
      <c r="F15503" s="326"/>
      <c r="G15503" s="326"/>
      <c r="H15503" s="326"/>
      <c r="P15503" s="318"/>
      <c r="Q15503" s="318"/>
      <c r="R15503" s="318"/>
      <c r="S15503" s="318"/>
      <c r="T15503" s="318"/>
      <c r="U15503" s="318"/>
      <c r="V15503" s="318"/>
      <c r="W15503" s="318"/>
      <c r="X15503" s="318"/>
      <c r="Y15503" s="318"/>
      <c r="Z15503" s="318"/>
      <c r="AA15503" s="318"/>
      <c r="AB15503" s="318"/>
      <c r="AC15503" s="318"/>
      <c r="AD15503" s="318"/>
    </row>
    <row r="15504" spans="2:30" s="323" customFormat="1" ht="12" customHeight="1">
      <c r="B15504" s="324"/>
      <c r="C15504" s="325"/>
      <c r="D15504" s="326"/>
      <c r="E15504" s="326"/>
      <c r="F15504" s="326"/>
      <c r="G15504" s="326"/>
      <c r="H15504" s="326"/>
      <c r="P15504" s="318"/>
      <c r="Q15504" s="318"/>
      <c r="R15504" s="318"/>
      <c r="S15504" s="318"/>
      <c r="T15504" s="318"/>
      <c r="U15504" s="318"/>
      <c r="V15504" s="318"/>
      <c r="W15504" s="318"/>
      <c r="X15504" s="318"/>
      <c r="Y15504" s="318"/>
      <c r="Z15504" s="318"/>
      <c r="AA15504" s="318"/>
      <c r="AB15504" s="318"/>
      <c r="AC15504" s="318"/>
      <c r="AD15504" s="318"/>
    </row>
    <row r="15505" spans="2:30" s="323" customFormat="1" ht="12" customHeight="1">
      <c r="B15505" s="324"/>
      <c r="C15505" s="325"/>
      <c r="D15505" s="326"/>
      <c r="E15505" s="326"/>
      <c r="F15505" s="326"/>
      <c r="G15505" s="326"/>
      <c r="H15505" s="326"/>
      <c r="P15505" s="318"/>
      <c r="Q15505" s="318"/>
      <c r="R15505" s="318"/>
      <c r="S15505" s="318"/>
      <c r="T15505" s="318"/>
      <c r="U15505" s="318"/>
      <c r="V15505" s="318"/>
      <c r="W15505" s="318"/>
      <c r="X15505" s="318"/>
      <c r="Y15505" s="318"/>
      <c r="Z15505" s="318"/>
      <c r="AA15505" s="318"/>
      <c r="AB15505" s="318"/>
      <c r="AC15505" s="318"/>
      <c r="AD15505" s="318"/>
    </row>
    <row r="15506" spans="2:30" s="323" customFormat="1" ht="12" customHeight="1">
      <c r="B15506" s="324"/>
      <c r="C15506" s="325"/>
      <c r="D15506" s="326"/>
      <c r="E15506" s="326"/>
      <c r="F15506" s="326"/>
      <c r="G15506" s="326"/>
      <c r="H15506" s="326"/>
      <c r="P15506" s="318"/>
      <c r="Q15506" s="318"/>
      <c r="R15506" s="318"/>
      <c r="S15506" s="318"/>
      <c r="T15506" s="318"/>
      <c r="U15506" s="318"/>
      <c r="V15506" s="318"/>
      <c r="W15506" s="318"/>
      <c r="X15506" s="318"/>
      <c r="Y15506" s="318"/>
      <c r="Z15506" s="318"/>
      <c r="AA15506" s="318"/>
      <c r="AB15506" s="318"/>
      <c r="AC15506" s="318"/>
      <c r="AD15506" s="318"/>
    </row>
    <row r="15507" spans="2:30" s="323" customFormat="1" ht="12" customHeight="1">
      <c r="B15507" s="324"/>
      <c r="C15507" s="325"/>
      <c r="D15507" s="326"/>
      <c r="E15507" s="326"/>
      <c r="F15507" s="326"/>
      <c r="G15507" s="326"/>
      <c r="H15507" s="326"/>
      <c r="P15507" s="318"/>
      <c r="Q15507" s="318"/>
      <c r="R15507" s="318"/>
      <c r="S15507" s="318"/>
      <c r="T15507" s="318"/>
      <c r="U15507" s="318"/>
      <c r="V15507" s="318"/>
      <c r="W15507" s="318"/>
      <c r="X15507" s="318"/>
      <c r="Y15507" s="318"/>
      <c r="Z15507" s="318"/>
      <c r="AA15507" s="318"/>
      <c r="AB15507" s="318"/>
      <c r="AC15507" s="318"/>
      <c r="AD15507" s="318"/>
    </row>
    <row r="15508" spans="2:30" s="323" customFormat="1" ht="12" customHeight="1">
      <c r="B15508" s="324"/>
      <c r="C15508" s="325"/>
      <c r="D15508" s="326"/>
      <c r="E15508" s="326"/>
      <c r="F15508" s="326"/>
      <c r="G15508" s="326"/>
      <c r="H15508" s="326"/>
      <c r="P15508" s="318"/>
      <c r="Q15508" s="318"/>
      <c r="R15508" s="318"/>
      <c r="S15508" s="318"/>
      <c r="T15508" s="318"/>
      <c r="U15508" s="318"/>
      <c r="V15508" s="318"/>
      <c r="W15508" s="318"/>
      <c r="X15508" s="318"/>
      <c r="Y15508" s="318"/>
      <c r="Z15508" s="318"/>
      <c r="AA15508" s="318"/>
      <c r="AB15508" s="318"/>
      <c r="AC15508" s="318"/>
      <c r="AD15508" s="318"/>
    </row>
    <row r="15509" spans="2:30" s="323" customFormat="1" ht="12" customHeight="1">
      <c r="B15509" s="324"/>
      <c r="C15509" s="325"/>
      <c r="D15509" s="326"/>
      <c r="E15509" s="326"/>
      <c r="F15509" s="326"/>
      <c r="G15509" s="326"/>
      <c r="H15509" s="326"/>
      <c r="P15509" s="318"/>
      <c r="Q15509" s="318"/>
      <c r="R15509" s="318"/>
      <c r="S15509" s="318"/>
      <c r="T15509" s="318"/>
      <c r="U15509" s="318"/>
      <c r="V15509" s="318"/>
      <c r="W15509" s="318"/>
      <c r="X15509" s="318"/>
      <c r="Y15509" s="318"/>
      <c r="Z15509" s="318"/>
      <c r="AA15509" s="318"/>
      <c r="AB15509" s="318"/>
      <c r="AC15509" s="318"/>
      <c r="AD15509" s="318"/>
    </row>
    <row r="15510" spans="2:30" s="323" customFormat="1" ht="12" customHeight="1">
      <c r="B15510" s="324"/>
      <c r="C15510" s="325"/>
      <c r="D15510" s="326"/>
      <c r="E15510" s="326"/>
      <c r="F15510" s="326"/>
      <c r="G15510" s="326"/>
      <c r="H15510" s="326"/>
      <c r="P15510" s="318"/>
      <c r="Q15510" s="318"/>
      <c r="R15510" s="318"/>
      <c r="S15510" s="318"/>
      <c r="T15510" s="318"/>
      <c r="U15510" s="318"/>
      <c r="V15510" s="318"/>
      <c r="W15510" s="318"/>
      <c r="X15510" s="318"/>
      <c r="Y15510" s="318"/>
      <c r="Z15510" s="318"/>
      <c r="AA15510" s="318"/>
      <c r="AB15510" s="318"/>
      <c r="AC15510" s="318"/>
      <c r="AD15510" s="318"/>
    </row>
    <row r="15511" spans="2:30" s="323" customFormat="1" ht="12" customHeight="1">
      <c r="B15511" s="324"/>
      <c r="C15511" s="325"/>
      <c r="D15511" s="326"/>
      <c r="E15511" s="326"/>
      <c r="F15511" s="326"/>
      <c r="G15511" s="326"/>
      <c r="H15511" s="326"/>
      <c r="P15511" s="318"/>
      <c r="Q15511" s="318"/>
      <c r="R15511" s="318"/>
      <c r="S15511" s="318"/>
      <c r="T15511" s="318"/>
      <c r="U15511" s="318"/>
      <c r="V15511" s="318"/>
      <c r="W15511" s="318"/>
      <c r="X15511" s="318"/>
      <c r="Y15511" s="318"/>
      <c r="Z15511" s="318"/>
      <c r="AA15511" s="318"/>
      <c r="AB15511" s="318"/>
      <c r="AC15511" s="318"/>
      <c r="AD15511" s="318"/>
    </row>
    <row r="15512" spans="2:30" s="323" customFormat="1" ht="12" customHeight="1">
      <c r="B15512" s="324"/>
      <c r="C15512" s="325"/>
      <c r="D15512" s="326"/>
      <c r="E15512" s="326"/>
      <c r="F15512" s="326"/>
      <c r="G15512" s="326"/>
      <c r="H15512" s="326"/>
      <c r="P15512" s="318"/>
      <c r="Q15512" s="318"/>
      <c r="R15512" s="318"/>
      <c r="S15512" s="318"/>
      <c r="T15512" s="318"/>
      <c r="U15512" s="318"/>
      <c r="V15512" s="318"/>
      <c r="W15512" s="318"/>
      <c r="X15512" s="318"/>
      <c r="Y15512" s="318"/>
      <c r="Z15512" s="318"/>
      <c r="AA15512" s="318"/>
      <c r="AB15512" s="318"/>
      <c r="AC15512" s="318"/>
      <c r="AD15512" s="318"/>
    </row>
    <row r="15513" spans="2:30" s="323" customFormat="1" ht="12" customHeight="1">
      <c r="B15513" s="324"/>
      <c r="C15513" s="325"/>
      <c r="D15513" s="326"/>
      <c r="E15513" s="326"/>
      <c r="F15513" s="326"/>
      <c r="G15513" s="326"/>
      <c r="H15513" s="326"/>
      <c r="P15513" s="318"/>
      <c r="Q15513" s="318"/>
      <c r="R15513" s="318"/>
      <c r="S15513" s="318"/>
      <c r="T15513" s="318"/>
      <c r="U15513" s="318"/>
      <c r="V15513" s="318"/>
      <c r="W15513" s="318"/>
      <c r="X15513" s="318"/>
      <c r="Y15513" s="318"/>
      <c r="Z15513" s="318"/>
      <c r="AA15513" s="318"/>
      <c r="AB15513" s="318"/>
      <c r="AC15513" s="318"/>
      <c r="AD15513" s="318"/>
    </row>
    <row r="15514" spans="2:30" s="323" customFormat="1" ht="12" customHeight="1">
      <c r="B15514" s="324"/>
      <c r="C15514" s="325"/>
      <c r="D15514" s="326"/>
      <c r="E15514" s="326"/>
      <c r="F15514" s="326"/>
      <c r="G15514" s="326"/>
      <c r="H15514" s="326"/>
      <c r="P15514" s="318"/>
      <c r="Q15514" s="318"/>
      <c r="R15514" s="318"/>
      <c r="S15514" s="318"/>
      <c r="T15514" s="318"/>
      <c r="U15514" s="318"/>
      <c r="V15514" s="318"/>
      <c r="W15514" s="318"/>
      <c r="X15514" s="318"/>
      <c r="Y15514" s="318"/>
      <c r="Z15514" s="318"/>
      <c r="AA15514" s="318"/>
      <c r="AB15514" s="318"/>
      <c r="AC15514" s="318"/>
      <c r="AD15514" s="318"/>
    </row>
    <row r="15515" spans="2:30" s="323" customFormat="1" ht="12" customHeight="1">
      <c r="B15515" s="324"/>
      <c r="C15515" s="325"/>
      <c r="D15515" s="326"/>
      <c r="E15515" s="326"/>
      <c r="F15515" s="326"/>
      <c r="G15515" s="326"/>
      <c r="H15515" s="326"/>
      <c r="P15515" s="318"/>
      <c r="Q15515" s="318"/>
      <c r="R15515" s="318"/>
      <c r="S15515" s="318"/>
      <c r="T15515" s="318"/>
      <c r="U15515" s="318"/>
      <c r="V15515" s="318"/>
      <c r="W15515" s="318"/>
      <c r="X15515" s="318"/>
      <c r="Y15515" s="318"/>
      <c r="Z15515" s="318"/>
      <c r="AA15515" s="318"/>
      <c r="AB15515" s="318"/>
      <c r="AC15515" s="318"/>
      <c r="AD15515" s="318"/>
    </row>
    <row r="15516" spans="2:30" s="323" customFormat="1" ht="12" customHeight="1">
      <c r="B15516" s="324"/>
      <c r="C15516" s="325"/>
      <c r="D15516" s="326"/>
      <c r="E15516" s="326"/>
      <c r="F15516" s="326"/>
      <c r="G15516" s="326"/>
      <c r="H15516" s="326"/>
      <c r="P15516" s="318"/>
      <c r="Q15516" s="318"/>
      <c r="R15516" s="318"/>
      <c r="S15516" s="318"/>
      <c r="T15516" s="318"/>
      <c r="U15516" s="318"/>
      <c r="V15516" s="318"/>
      <c r="W15516" s="318"/>
      <c r="X15516" s="318"/>
      <c r="Y15516" s="318"/>
      <c r="Z15516" s="318"/>
      <c r="AA15516" s="318"/>
      <c r="AB15516" s="318"/>
      <c r="AC15516" s="318"/>
      <c r="AD15516" s="318"/>
    </row>
    <row r="15517" spans="2:30" s="323" customFormat="1" ht="12" customHeight="1">
      <c r="B15517" s="324"/>
      <c r="C15517" s="325"/>
      <c r="D15517" s="326"/>
      <c r="E15517" s="326"/>
      <c r="F15517" s="326"/>
      <c r="G15517" s="326"/>
      <c r="H15517" s="326"/>
      <c r="P15517" s="318"/>
      <c r="Q15517" s="318"/>
      <c r="R15517" s="318"/>
      <c r="S15517" s="318"/>
      <c r="T15517" s="318"/>
      <c r="U15517" s="318"/>
      <c r="V15517" s="318"/>
      <c r="W15517" s="318"/>
      <c r="X15517" s="318"/>
      <c r="Y15517" s="318"/>
      <c r="Z15517" s="318"/>
      <c r="AA15517" s="318"/>
      <c r="AB15517" s="318"/>
      <c r="AC15517" s="318"/>
      <c r="AD15517" s="318"/>
    </row>
    <row r="15518" spans="2:30" s="323" customFormat="1" ht="12" customHeight="1">
      <c r="B15518" s="324"/>
      <c r="C15518" s="325"/>
      <c r="D15518" s="326"/>
      <c r="E15518" s="326"/>
      <c r="F15518" s="326"/>
      <c r="G15518" s="326"/>
      <c r="H15518" s="326"/>
      <c r="P15518" s="318"/>
      <c r="Q15518" s="318"/>
      <c r="R15518" s="318"/>
      <c r="S15518" s="318"/>
      <c r="T15518" s="318"/>
      <c r="U15518" s="318"/>
      <c r="V15518" s="318"/>
      <c r="W15518" s="318"/>
      <c r="X15518" s="318"/>
      <c r="Y15518" s="318"/>
      <c r="Z15518" s="318"/>
      <c r="AA15518" s="318"/>
      <c r="AB15518" s="318"/>
      <c r="AC15518" s="318"/>
      <c r="AD15518" s="318"/>
    </row>
    <row r="15519" spans="2:30" s="323" customFormat="1" ht="12" customHeight="1">
      <c r="B15519" s="324"/>
      <c r="C15519" s="325"/>
      <c r="D15519" s="326"/>
      <c r="E15519" s="326"/>
      <c r="F15519" s="326"/>
      <c r="G15519" s="326"/>
      <c r="H15519" s="326"/>
      <c r="P15519" s="318"/>
      <c r="Q15519" s="318"/>
      <c r="R15519" s="318"/>
      <c r="S15519" s="318"/>
      <c r="T15519" s="318"/>
      <c r="U15519" s="318"/>
      <c r="V15519" s="318"/>
      <c r="W15519" s="318"/>
      <c r="X15519" s="318"/>
      <c r="Y15519" s="318"/>
      <c r="Z15519" s="318"/>
      <c r="AA15519" s="318"/>
      <c r="AB15519" s="318"/>
      <c r="AC15519" s="318"/>
      <c r="AD15519" s="318"/>
    </row>
    <row r="15520" spans="2:30" s="323" customFormat="1" ht="12" customHeight="1">
      <c r="B15520" s="324"/>
      <c r="C15520" s="325"/>
      <c r="D15520" s="326"/>
      <c r="E15520" s="326"/>
      <c r="F15520" s="326"/>
      <c r="G15520" s="326"/>
      <c r="H15520" s="326"/>
      <c r="P15520" s="318"/>
      <c r="Q15520" s="318"/>
      <c r="R15520" s="318"/>
      <c r="S15520" s="318"/>
      <c r="T15520" s="318"/>
      <c r="U15520" s="318"/>
      <c r="V15520" s="318"/>
      <c r="W15520" s="318"/>
      <c r="X15520" s="318"/>
      <c r="Y15520" s="318"/>
      <c r="Z15520" s="318"/>
      <c r="AA15520" s="318"/>
      <c r="AB15520" s="318"/>
      <c r="AC15520" s="318"/>
      <c r="AD15520" s="318"/>
    </row>
    <row r="15521" spans="2:30" s="323" customFormat="1" ht="12" customHeight="1">
      <c r="B15521" s="324"/>
      <c r="C15521" s="325"/>
      <c r="D15521" s="326"/>
      <c r="E15521" s="326"/>
      <c r="F15521" s="326"/>
      <c r="G15521" s="326"/>
      <c r="H15521" s="326"/>
      <c r="P15521" s="318"/>
      <c r="Q15521" s="318"/>
      <c r="R15521" s="318"/>
      <c r="S15521" s="318"/>
      <c r="T15521" s="318"/>
      <c r="U15521" s="318"/>
      <c r="V15521" s="318"/>
      <c r="W15521" s="318"/>
      <c r="X15521" s="318"/>
      <c r="Y15521" s="318"/>
      <c r="Z15521" s="318"/>
      <c r="AA15521" s="318"/>
      <c r="AB15521" s="318"/>
      <c r="AC15521" s="318"/>
      <c r="AD15521" s="318"/>
    </row>
    <row r="15522" spans="2:30" s="323" customFormat="1" ht="12" customHeight="1">
      <c r="B15522" s="324"/>
      <c r="C15522" s="325"/>
      <c r="D15522" s="326"/>
      <c r="E15522" s="326"/>
      <c r="F15522" s="326"/>
      <c r="G15522" s="326"/>
      <c r="H15522" s="326"/>
      <c r="P15522" s="318"/>
      <c r="Q15522" s="318"/>
      <c r="R15522" s="318"/>
      <c r="S15522" s="318"/>
      <c r="T15522" s="318"/>
      <c r="U15522" s="318"/>
      <c r="V15522" s="318"/>
      <c r="W15522" s="318"/>
      <c r="X15522" s="318"/>
      <c r="Y15522" s="318"/>
      <c r="Z15522" s="318"/>
      <c r="AA15522" s="318"/>
      <c r="AB15522" s="318"/>
      <c r="AC15522" s="318"/>
      <c r="AD15522" s="318"/>
    </row>
    <row r="15523" spans="2:30" s="323" customFormat="1" ht="12" customHeight="1">
      <c r="B15523" s="324"/>
      <c r="C15523" s="325"/>
      <c r="D15523" s="326"/>
      <c r="E15523" s="326"/>
      <c r="F15523" s="326"/>
      <c r="G15523" s="326"/>
      <c r="H15523" s="326"/>
      <c r="P15523" s="318"/>
      <c r="Q15523" s="318"/>
      <c r="R15523" s="318"/>
      <c r="S15523" s="318"/>
      <c r="T15523" s="318"/>
      <c r="U15523" s="318"/>
      <c r="V15523" s="318"/>
      <c r="W15523" s="318"/>
      <c r="X15523" s="318"/>
      <c r="Y15523" s="318"/>
      <c r="Z15523" s="318"/>
      <c r="AA15523" s="318"/>
      <c r="AB15523" s="318"/>
      <c r="AC15523" s="318"/>
      <c r="AD15523" s="318"/>
    </row>
    <row r="15524" spans="2:30" s="323" customFormat="1" ht="12" customHeight="1">
      <c r="B15524" s="324"/>
      <c r="C15524" s="325"/>
      <c r="D15524" s="326"/>
      <c r="E15524" s="326"/>
      <c r="F15524" s="326"/>
      <c r="G15524" s="326"/>
      <c r="H15524" s="326"/>
      <c r="P15524" s="318"/>
      <c r="Q15524" s="318"/>
      <c r="R15524" s="318"/>
      <c r="S15524" s="318"/>
      <c r="T15524" s="318"/>
      <c r="U15524" s="318"/>
      <c r="V15524" s="318"/>
      <c r="W15524" s="318"/>
      <c r="X15524" s="318"/>
      <c r="Y15524" s="318"/>
      <c r="Z15524" s="318"/>
      <c r="AA15524" s="318"/>
      <c r="AB15524" s="318"/>
      <c r="AC15524" s="318"/>
      <c r="AD15524" s="318"/>
    </row>
    <row r="15525" spans="2:30" s="323" customFormat="1" ht="12" customHeight="1">
      <c r="B15525" s="324"/>
      <c r="C15525" s="325"/>
      <c r="D15525" s="326"/>
      <c r="E15525" s="326"/>
      <c r="F15525" s="326"/>
      <c r="G15525" s="326"/>
      <c r="H15525" s="326"/>
      <c r="P15525" s="318"/>
      <c r="Q15525" s="318"/>
      <c r="R15525" s="318"/>
      <c r="S15525" s="318"/>
      <c r="T15525" s="318"/>
      <c r="U15525" s="318"/>
      <c r="V15525" s="318"/>
      <c r="W15525" s="318"/>
      <c r="X15525" s="318"/>
      <c r="Y15525" s="318"/>
      <c r="Z15525" s="318"/>
      <c r="AA15525" s="318"/>
      <c r="AB15525" s="318"/>
      <c r="AC15525" s="318"/>
      <c r="AD15525" s="318"/>
    </row>
    <row r="15526" spans="2:30" s="323" customFormat="1" ht="12" customHeight="1">
      <c r="B15526" s="324"/>
      <c r="C15526" s="325"/>
      <c r="D15526" s="326"/>
      <c r="E15526" s="326"/>
      <c r="F15526" s="326"/>
      <c r="G15526" s="326"/>
      <c r="H15526" s="326"/>
      <c r="P15526" s="318"/>
      <c r="Q15526" s="318"/>
      <c r="R15526" s="318"/>
      <c r="S15526" s="318"/>
      <c r="T15526" s="318"/>
      <c r="U15526" s="318"/>
      <c r="V15526" s="318"/>
      <c r="W15526" s="318"/>
      <c r="X15526" s="318"/>
      <c r="Y15526" s="318"/>
      <c r="Z15526" s="318"/>
      <c r="AA15526" s="318"/>
      <c r="AB15526" s="318"/>
      <c r="AC15526" s="318"/>
      <c r="AD15526" s="318"/>
    </row>
    <row r="15527" spans="2:30" s="323" customFormat="1" ht="12" customHeight="1">
      <c r="B15527" s="324"/>
      <c r="C15527" s="325"/>
      <c r="D15527" s="326"/>
      <c r="E15527" s="326"/>
      <c r="F15527" s="326"/>
      <c r="G15527" s="326"/>
      <c r="H15527" s="326"/>
      <c r="P15527" s="318"/>
      <c r="Q15527" s="318"/>
      <c r="R15527" s="318"/>
      <c r="S15527" s="318"/>
      <c r="T15527" s="318"/>
      <c r="U15527" s="318"/>
      <c r="V15527" s="318"/>
      <c r="W15527" s="318"/>
      <c r="X15527" s="318"/>
      <c r="Y15527" s="318"/>
      <c r="Z15527" s="318"/>
      <c r="AA15527" s="318"/>
      <c r="AB15527" s="318"/>
      <c r="AC15527" s="318"/>
      <c r="AD15527" s="318"/>
    </row>
    <row r="15528" spans="2:30" s="323" customFormat="1" ht="12" customHeight="1">
      <c r="B15528" s="324"/>
      <c r="C15528" s="325"/>
      <c r="D15528" s="326"/>
      <c r="E15528" s="326"/>
      <c r="F15528" s="326"/>
      <c r="G15528" s="326"/>
      <c r="H15528" s="326"/>
      <c r="P15528" s="318"/>
      <c r="Q15528" s="318"/>
      <c r="R15528" s="318"/>
      <c r="S15528" s="318"/>
      <c r="T15528" s="318"/>
      <c r="U15528" s="318"/>
      <c r="V15528" s="318"/>
      <c r="W15528" s="318"/>
      <c r="X15528" s="318"/>
      <c r="Y15528" s="318"/>
      <c r="Z15528" s="318"/>
      <c r="AA15528" s="318"/>
      <c r="AB15528" s="318"/>
      <c r="AC15528" s="318"/>
      <c r="AD15528" s="318"/>
    </row>
    <row r="15529" spans="2:30" s="323" customFormat="1" ht="12" customHeight="1">
      <c r="B15529" s="324"/>
      <c r="C15529" s="325"/>
      <c r="D15529" s="326"/>
      <c r="E15529" s="326"/>
      <c r="F15529" s="326"/>
      <c r="G15529" s="326"/>
      <c r="H15529" s="326"/>
      <c r="P15529" s="318"/>
      <c r="Q15529" s="318"/>
      <c r="R15529" s="318"/>
      <c r="S15529" s="318"/>
      <c r="T15529" s="318"/>
      <c r="U15529" s="318"/>
      <c r="V15529" s="318"/>
      <c r="W15529" s="318"/>
      <c r="X15529" s="318"/>
      <c r="Y15529" s="318"/>
      <c r="Z15529" s="318"/>
      <c r="AA15529" s="318"/>
      <c r="AB15529" s="318"/>
      <c r="AC15529" s="318"/>
      <c r="AD15529" s="318"/>
    </row>
    <row r="15530" spans="2:30" s="323" customFormat="1" ht="12" customHeight="1">
      <c r="B15530" s="324"/>
      <c r="C15530" s="325"/>
      <c r="D15530" s="326"/>
      <c r="E15530" s="326"/>
      <c r="F15530" s="326"/>
      <c r="G15530" s="326"/>
      <c r="H15530" s="326"/>
      <c r="P15530" s="318"/>
      <c r="Q15530" s="318"/>
      <c r="R15530" s="318"/>
      <c r="S15530" s="318"/>
      <c r="T15530" s="318"/>
      <c r="U15530" s="318"/>
      <c r="V15530" s="318"/>
      <c r="W15530" s="318"/>
      <c r="X15530" s="318"/>
      <c r="Y15530" s="318"/>
      <c r="Z15530" s="318"/>
      <c r="AA15530" s="318"/>
      <c r="AB15530" s="318"/>
      <c r="AC15530" s="318"/>
      <c r="AD15530" s="318"/>
    </row>
    <row r="15531" spans="2:30" s="323" customFormat="1" ht="12" customHeight="1">
      <c r="B15531" s="324"/>
      <c r="C15531" s="325"/>
      <c r="D15531" s="326"/>
      <c r="E15531" s="326"/>
      <c r="F15531" s="326"/>
      <c r="G15531" s="326"/>
      <c r="H15531" s="326"/>
      <c r="P15531" s="318"/>
      <c r="Q15531" s="318"/>
      <c r="R15531" s="318"/>
      <c r="S15531" s="318"/>
      <c r="T15531" s="318"/>
      <c r="U15531" s="318"/>
      <c r="V15531" s="318"/>
      <c r="W15531" s="318"/>
      <c r="X15531" s="318"/>
      <c r="Y15531" s="318"/>
      <c r="Z15531" s="318"/>
      <c r="AA15531" s="318"/>
      <c r="AB15531" s="318"/>
      <c r="AC15531" s="318"/>
      <c r="AD15531" s="318"/>
    </row>
    <row r="15532" spans="2:30" s="323" customFormat="1" ht="12" customHeight="1">
      <c r="B15532" s="324"/>
      <c r="C15532" s="325"/>
      <c r="D15532" s="326"/>
      <c r="E15532" s="326"/>
      <c r="F15532" s="326"/>
      <c r="G15532" s="326"/>
      <c r="H15532" s="326"/>
      <c r="P15532" s="318"/>
      <c r="Q15532" s="318"/>
      <c r="R15532" s="318"/>
      <c r="S15532" s="318"/>
      <c r="T15532" s="318"/>
      <c r="U15532" s="318"/>
      <c r="V15532" s="318"/>
      <c r="W15532" s="318"/>
      <c r="X15532" s="318"/>
      <c r="Y15532" s="318"/>
      <c r="Z15532" s="318"/>
      <c r="AA15532" s="318"/>
      <c r="AB15532" s="318"/>
      <c r="AC15532" s="318"/>
      <c r="AD15532" s="318"/>
    </row>
    <row r="15533" spans="2:30" s="323" customFormat="1" ht="12" customHeight="1">
      <c r="B15533" s="324"/>
      <c r="C15533" s="325"/>
      <c r="D15533" s="326"/>
      <c r="E15533" s="326"/>
      <c r="F15533" s="326"/>
      <c r="G15533" s="326"/>
      <c r="H15533" s="326"/>
      <c r="P15533" s="318"/>
      <c r="Q15533" s="318"/>
      <c r="R15533" s="318"/>
      <c r="S15533" s="318"/>
      <c r="T15533" s="318"/>
      <c r="U15533" s="318"/>
      <c r="V15533" s="318"/>
      <c r="W15533" s="318"/>
      <c r="X15533" s="318"/>
      <c r="Y15533" s="318"/>
      <c r="Z15533" s="318"/>
      <c r="AA15533" s="318"/>
      <c r="AB15533" s="318"/>
      <c r="AC15533" s="318"/>
      <c r="AD15533" s="318"/>
    </row>
    <row r="15534" spans="2:30" s="323" customFormat="1" ht="12" customHeight="1">
      <c r="B15534" s="324"/>
      <c r="C15534" s="325"/>
      <c r="D15534" s="326"/>
      <c r="E15534" s="326"/>
      <c r="F15534" s="326"/>
      <c r="G15534" s="326"/>
      <c r="H15534" s="326"/>
      <c r="P15534" s="318"/>
      <c r="Q15534" s="318"/>
      <c r="R15534" s="318"/>
      <c r="S15534" s="318"/>
      <c r="T15534" s="318"/>
      <c r="U15534" s="318"/>
      <c r="V15534" s="318"/>
      <c r="W15534" s="318"/>
      <c r="X15534" s="318"/>
      <c r="Y15534" s="318"/>
      <c r="Z15534" s="318"/>
      <c r="AA15534" s="318"/>
      <c r="AB15534" s="318"/>
      <c r="AC15534" s="318"/>
      <c r="AD15534" s="318"/>
    </row>
    <row r="15535" spans="2:30" s="323" customFormat="1" ht="12" customHeight="1">
      <c r="B15535" s="324"/>
      <c r="C15535" s="325"/>
      <c r="D15535" s="326"/>
      <c r="E15535" s="326"/>
      <c r="F15535" s="326"/>
      <c r="G15535" s="326"/>
      <c r="H15535" s="326"/>
      <c r="P15535" s="318"/>
      <c r="Q15535" s="318"/>
      <c r="R15535" s="318"/>
      <c r="S15535" s="318"/>
      <c r="T15535" s="318"/>
      <c r="U15535" s="318"/>
      <c r="V15535" s="318"/>
      <c r="W15535" s="318"/>
      <c r="X15535" s="318"/>
      <c r="Y15535" s="318"/>
      <c r="Z15535" s="318"/>
      <c r="AA15535" s="318"/>
      <c r="AB15535" s="318"/>
      <c r="AC15535" s="318"/>
      <c r="AD15535" s="318"/>
    </row>
    <row r="15536" spans="2:30" s="323" customFormat="1" ht="12" customHeight="1">
      <c r="B15536" s="324"/>
      <c r="C15536" s="325"/>
      <c r="D15536" s="326"/>
      <c r="E15536" s="326"/>
      <c r="F15536" s="326"/>
      <c r="G15536" s="326"/>
      <c r="H15536" s="326"/>
      <c r="P15536" s="318"/>
      <c r="Q15536" s="318"/>
      <c r="R15536" s="318"/>
      <c r="S15536" s="318"/>
      <c r="T15536" s="318"/>
      <c r="U15536" s="318"/>
      <c r="V15536" s="318"/>
      <c r="W15536" s="318"/>
      <c r="X15536" s="318"/>
      <c r="Y15536" s="318"/>
      <c r="Z15536" s="318"/>
      <c r="AA15536" s="318"/>
      <c r="AB15536" s="318"/>
      <c r="AC15536" s="318"/>
      <c r="AD15536" s="318"/>
    </row>
    <row r="15537" spans="2:30" s="323" customFormat="1" ht="12" customHeight="1">
      <c r="B15537" s="324"/>
      <c r="C15537" s="325"/>
      <c r="D15537" s="326"/>
      <c r="E15537" s="326"/>
      <c r="F15537" s="326"/>
      <c r="G15537" s="326"/>
      <c r="H15537" s="326"/>
      <c r="P15537" s="318"/>
      <c r="Q15537" s="318"/>
      <c r="R15537" s="318"/>
      <c r="S15537" s="318"/>
      <c r="T15537" s="318"/>
      <c r="U15537" s="318"/>
      <c r="V15537" s="318"/>
      <c r="W15537" s="318"/>
      <c r="X15537" s="318"/>
      <c r="Y15537" s="318"/>
      <c r="Z15537" s="318"/>
      <c r="AA15537" s="318"/>
      <c r="AB15537" s="318"/>
      <c r="AC15537" s="318"/>
      <c r="AD15537" s="318"/>
    </row>
    <row r="15538" spans="2:30" s="323" customFormat="1" ht="12" customHeight="1">
      <c r="B15538" s="324"/>
      <c r="C15538" s="325"/>
      <c r="D15538" s="326"/>
      <c r="E15538" s="326"/>
      <c r="F15538" s="326"/>
      <c r="G15538" s="326"/>
      <c r="H15538" s="326"/>
      <c r="P15538" s="318"/>
      <c r="Q15538" s="318"/>
      <c r="R15538" s="318"/>
      <c r="S15538" s="318"/>
      <c r="T15538" s="318"/>
      <c r="U15538" s="318"/>
      <c r="V15538" s="318"/>
      <c r="W15538" s="318"/>
      <c r="X15538" s="318"/>
      <c r="Y15538" s="318"/>
      <c r="Z15538" s="318"/>
      <c r="AA15538" s="318"/>
      <c r="AB15538" s="318"/>
      <c r="AC15538" s="318"/>
      <c r="AD15538" s="318"/>
    </row>
    <row r="15539" spans="2:30" s="323" customFormat="1" ht="12" customHeight="1">
      <c r="B15539" s="324"/>
      <c r="C15539" s="325"/>
      <c r="D15539" s="326"/>
      <c r="E15539" s="326"/>
      <c r="F15539" s="326"/>
      <c r="G15539" s="326"/>
      <c r="H15539" s="326"/>
      <c r="P15539" s="318"/>
      <c r="Q15539" s="318"/>
      <c r="R15539" s="318"/>
      <c r="S15539" s="318"/>
      <c r="T15539" s="318"/>
      <c r="U15539" s="318"/>
      <c r="V15539" s="318"/>
      <c r="W15539" s="318"/>
      <c r="X15539" s="318"/>
      <c r="Y15539" s="318"/>
      <c r="Z15539" s="318"/>
      <c r="AA15539" s="318"/>
      <c r="AB15539" s="318"/>
      <c r="AC15539" s="318"/>
      <c r="AD15539" s="318"/>
    </row>
    <row r="15540" spans="2:30" s="323" customFormat="1" ht="12" customHeight="1">
      <c r="B15540" s="324"/>
      <c r="C15540" s="325"/>
      <c r="D15540" s="326"/>
      <c r="E15540" s="326"/>
      <c r="F15540" s="326"/>
      <c r="G15540" s="326"/>
      <c r="H15540" s="326"/>
      <c r="P15540" s="318"/>
      <c r="Q15540" s="318"/>
      <c r="R15540" s="318"/>
      <c r="S15540" s="318"/>
      <c r="T15540" s="318"/>
      <c r="U15540" s="318"/>
      <c r="V15540" s="318"/>
      <c r="W15540" s="318"/>
      <c r="X15540" s="318"/>
      <c r="Y15540" s="318"/>
      <c r="Z15540" s="318"/>
      <c r="AA15540" s="318"/>
      <c r="AB15540" s="318"/>
      <c r="AC15540" s="318"/>
      <c r="AD15540" s="318"/>
    </row>
    <row r="15541" spans="2:30" s="323" customFormat="1" ht="12" customHeight="1">
      <c r="B15541" s="324"/>
      <c r="C15541" s="325"/>
      <c r="D15541" s="326"/>
      <c r="E15541" s="326"/>
      <c r="F15541" s="326"/>
      <c r="G15541" s="326"/>
      <c r="H15541" s="326"/>
      <c r="P15541" s="318"/>
      <c r="Q15541" s="318"/>
      <c r="R15541" s="318"/>
      <c r="S15541" s="318"/>
      <c r="T15541" s="318"/>
      <c r="U15541" s="318"/>
      <c r="V15541" s="318"/>
      <c r="W15541" s="318"/>
      <c r="X15541" s="318"/>
      <c r="Y15541" s="318"/>
      <c r="Z15541" s="318"/>
      <c r="AA15541" s="318"/>
      <c r="AB15541" s="318"/>
      <c r="AC15541" s="318"/>
      <c r="AD15541" s="318"/>
    </row>
    <row r="15542" spans="2:30" s="323" customFormat="1" ht="12" customHeight="1">
      <c r="B15542" s="324"/>
      <c r="C15542" s="325"/>
      <c r="D15542" s="326"/>
      <c r="E15542" s="326"/>
      <c r="F15542" s="326"/>
      <c r="G15542" s="326"/>
      <c r="H15542" s="326"/>
      <c r="P15542" s="318"/>
      <c r="Q15542" s="318"/>
      <c r="R15542" s="318"/>
      <c r="S15542" s="318"/>
      <c r="T15542" s="318"/>
      <c r="U15542" s="318"/>
      <c r="V15542" s="318"/>
      <c r="W15542" s="318"/>
      <c r="X15542" s="318"/>
      <c r="Y15542" s="318"/>
      <c r="Z15542" s="318"/>
      <c r="AA15542" s="318"/>
      <c r="AB15542" s="318"/>
      <c r="AC15542" s="318"/>
      <c r="AD15542" s="318"/>
    </row>
    <row r="15543" spans="2:30" s="323" customFormat="1" ht="12" customHeight="1">
      <c r="B15543" s="324"/>
      <c r="C15543" s="325"/>
      <c r="D15543" s="326"/>
      <c r="E15543" s="326"/>
      <c r="F15543" s="326"/>
      <c r="G15543" s="326"/>
      <c r="H15543" s="326"/>
      <c r="P15543" s="318"/>
      <c r="Q15543" s="318"/>
      <c r="R15543" s="318"/>
      <c r="S15543" s="318"/>
      <c r="T15543" s="318"/>
      <c r="U15543" s="318"/>
      <c r="V15543" s="318"/>
      <c r="W15543" s="318"/>
      <c r="X15543" s="318"/>
      <c r="Y15543" s="318"/>
      <c r="Z15543" s="318"/>
      <c r="AA15543" s="318"/>
      <c r="AB15543" s="318"/>
      <c r="AC15543" s="318"/>
      <c r="AD15543" s="318"/>
    </row>
    <row r="15544" spans="2:30" s="323" customFormat="1" ht="12" customHeight="1">
      <c r="B15544" s="324"/>
      <c r="C15544" s="325"/>
      <c r="D15544" s="326"/>
      <c r="E15544" s="326"/>
      <c r="F15544" s="326"/>
      <c r="G15544" s="326"/>
      <c r="H15544" s="326"/>
      <c r="P15544" s="318"/>
      <c r="Q15544" s="318"/>
      <c r="R15544" s="318"/>
      <c r="S15544" s="318"/>
      <c r="T15544" s="318"/>
      <c r="U15544" s="318"/>
      <c r="V15544" s="318"/>
      <c r="W15544" s="318"/>
      <c r="X15544" s="318"/>
      <c r="Y15544" s="318"/>
      <c r="Z15544" s="318"/>
      <c r="AA15544" s="318"/>
      <c r="AB15544" s="318"/>
      <c r="AC15544" s="318"/>
      <c r="AD15544" s="318"/>
    </row>
    <row r="15545" spans="2:30" s="323" customFormat="1" ht="12" customHeight="1">
      <c r="B15545" s="324"/>
      <c r="C15545" s="325"/>
      <c r="D15545" s="326"/>
      <c r="E15545" s="326"/>
      <c r="F15545" s="326"/>
      <c r="G15545" s="326"/>
      <c r="H15545" s="326"/>
      <c r="P15545" s="318"/>
      <c r="Q15545" s="318"/>
      <c r="R15545" s="318"/>
      <c r="S15545" s="318"/>
      <c r="T15545" s="318"/>
      <c r="U15545" s="318"/>
      <c r="V15545" s="318"/>
      <c r="W15545" s="318"/>
      <c r="X15545" s="318"/>
      <c r="Y15545" s="318"/>
      <c r="Z15545" s="318"/>
      <c r="AA15545" s="318"/>
      <c r="AB15545" s="318"/>
      <c r="AC15545" s="318"/>
      <c r="AD15545" s="318"/>
    </row>
    <row r="15546" spans="2:30" s="323" customFormat="1" ht="12" customHeight="1">
      <c r="B15546" s="324"/>
      <c r="C15546" s="325"/>
      <c r="D15546" s="326"/>
      <c r="E15546" s="326"/>
      <c r="F15546" s="326"/>
      <c r="G15546" s="326"/>
      <c r="H15546" s="326"/>
      <c r="P15546" s="318"/>
      <c r="Q15546" s="318"/>
      <c r="R15546" s="318"/>
      <c r="S15546" s="318"/>
      <c r="T15546" s="318"/>
      <c r="U15546" s="318"/>
      <c r="V15546" s="318"/>
      <c r="W15546" s="318"/>
      <c r="X15546" s="318"/>
      <c r="Y15546" s="318"/>
      <c r="Z15546" s="318"/>
      <c r="AA15546" s="318"/>
      <c r="AB15546" s="318"/>
      <c r="AC15546" s="318"/>
      <c r="AD15546" s="318"/>
    </row>
    <row r="15547" spans="2:30" s="323" customFormat="1" ht="12" customHeight="1">
      <c r="B15547" s="324"/>
      <c r="C15547" s="325"/>
      <c r="D15547" s="326"/>
      <c r="E15547" s="326"/>
      <c r="F15547" s="326"/>
      <c r="G15547" s="326"/>
      <c r="H15547" s="326"/>
      <c r="P15547" s="318"/>
      <c r="Q15547" s="318"/>
      <c r="R15547" s="318"/>
      <c r="S15547" s="318"/>
      <c r="T15547" s="318"/>
      <c r="U15547" s="318"/>
      <c r="V15547" s="318"/>
      <c r="W15547" s="318"/>
      <c r="X15547" s="318"/>
      <c r="Y15547" s="318"/>
      <c r="Z15547" s="318"/>
      <c r="AA15547" s="318"/>
      <c r="AB15547" s="318"/>
      <c r="AC15547" s="318"/>
      <c r="AD15547" s="318"/>
    </row>
    <row r="15548" spans="2:30" s="323" customFormat="1" ht="12" customHeight="1">
      <c r="B15548" s="324"/>
      <c r="C15548" s="325"/>
      <c r="D15548" s="326"/>
      <c r="E15548" s="326"/>
      <c r="F15548" s="326"/>
      <c r="G15548" s="326"/>
      <c r="H15548" s="326"/>
      <c r="P15548" s="318"/>
      <c r="Q15548" s="318"/>
      <c r="R15548" s="318"/>
      <c r="S15548" s="318"/>
      <c r="T15548" s="318"/>
      <c r="U15548" s="318"/>
      <c r="V15548" s="318"/>
      <c r="W15548" s="318"/>
      <c r="X15548" s="318"/>
      <c r="Y15548" s="318"/>
      <c r="Z15548" s="318"/>
      <c r="AA15548" s="318"/>
      <c r="AB15548" s="318"/>
      <c r="AC15548" s="318"/>
      <c r="AD15548" s="318"/>
    </row>
    <row r="15549" spans="2:30" s="323" customFormat="1" ht="12" customHeight="1">
      <c r="B15549" s="324"/>
      <c r="C15549" s="325"/>
      <c r="D15549" s="326"/>
      <c r="E15549" s="326"/>
      <c r="F15549" s="326"/>
      <c r="G15549" s="326"/>
      <c r="H15549" s="326"/>
      <c r="P15549" s="318"/>
      <c r="Q15549" s="318"/>
      <c r="R15549" s="318"/>
      <c r="S15549" s="318"/>
      <c r="T15549" s="318"/>
      <c r="U15549" s="318"/>
      <c r="V15549" s="318"/>
      <c r="W15549" s="318"/>
      <c r="X15549" s="318"/>
      <c r="Y15549" s="318"/>
      <c r="Z15549" s="318"/>
      <c r="AA15549" s="318"/>
      <c r="AB15549" s="318"/>
      <c r="AC15549" s="318"/>
      <c r="AD15549" s="318"/>
    </row>
    <row r="15550" spans="2:30" s="323" customFormat="1" ht="12" customHeight="1">
      <c r="B15550" s="324"/>
      <c r="C15550" s="325"/>
      <c r="D15550" s="326"/>
      <c r="E15550" s="326"/>
      <c r="F15550" s="326"/>
      <c r="G15550" s="326"/>
      <c r="H15550" s="326"/>
      <c r="P15550" s="318"/>
      <c r="Q15550" s="318"/>
      <c r="R15550" s="318"/>
      <c r="S15550" s="318"/>
      <c r="T15550" s="318"/>
      <c r="U15550" s="318"/>
      <c r="V15550" s="318"/>
      <c r="W15550" s="318"/>
      <c r="X15550" s="318"/>
      <c r="Y15550" s="318"/>
      <c r="Z15550" s="318"/>
      <c r="AA15550" s="318"/>
      <c r="AB15550" s="318"/>
      <c r="AC15550" s="318"/>
      <c r="AD15550" s="318"/>
    </row>
    <row r="15551" spans="2:30" s="323" customFormat="1" ht="12" customHeight="1">
      <c r="B15551" s="324"/>
      <c r="C15551" s="325"/>
      <c r="D15551" s="326"/>
      <c r="E15551" s="326"/>
      <c r="F15551" s="326"/>
      <c r="G15551" s="326"/>
      <c r="H15551" s="326"/>
      <c r="P15551" s="318"/>
      <c r="Q15551" s="318"/>
      <c r="R15551" s="318"/>
      <c r="S15551" s="318"/>
      <c r="T15551" s="318"/>
      <c r="U15551" s="318"/>
      <c r="V15551" s="318"/>
      <c r="W15551" s="318"/>
      <c r="X15551" s="318"/>
      <c r="Y15551" s="318"/>
      <c r="Z15551" s="318"/>
      <c r="AA15551" s="318"/>
      <c r="AB15551" s="318"/>
      <c r="AC15551" s="318"/>
      <c r="AD15551" s="318"/>
    </row>
    <row r="15552" spans="2:30" s="323" customFormat="1" ht="12" customHeight="1">
      <c r="B15552" s="324"/>
      <c r="C15552" s="325"/>
      <c r="D15552" s="326"/>
      <c r="E15552" s="326"/>
      <c r="F15552" s="326"/>
      <c r="G15552" s="326"/>
      <c r="H15552" s="326"/>
      <c r="P15552" s="318"/>
      <c r="Q15552" s="318"/>
      <c r="R15552" s="318"/>
      <c r="S15552" s="318"/>
      <c r="T15552" s="318"/>
      <c r="U15552" s="318"/>
      <c r="V15552" s="318"/>
      <c r="W15552" s="318"/>
      <c r="X15552" s="318"/>
      <c r="Y15552" s="318"/>
      <c r="Z15552" s="318"/>
      <c r="AA15552" s="318"/>
      <c r="AB15552" s="318"/>
      <c r="AC15552" s="318"/>
      <c r="AD15552" s="318"/>
    </row>
    <row r="15553" spans="2:30" s="323" customFormat="1" ht="12" customHeight="1">
      <c r="B15553" s="324"/>
      <c r="C15553" s="325"/>
      <c r="D15553" s="326"/>
      <c r="E15553" s="326"/>
      <c r="F15553" s="326"/>
      <c r="G15553" s="326"/>
      <c r="H15553" s="326"/>
      <c r="P15553" s="318"/>
      <c r="Q15553" s="318"/>
      <c r="R15553" s="318"/>
      <c r="S15553" s="318"/>
      <c r="T15553" s="318"/>
      <c r="U15553" s="318"/>
      <c r="V15553" s="318"/>
      <c r="W15553" s="318"/>
      <c r="X15553" s="318"/>
      <c r="Y15553" s="318"/>
      <c r="Z15553" s="318"/>
      <c r="AA15553" s="318"/>
      <c r="AB15553" s="318"/>
      <c r="AC15553" s="318"/>
      <c r="AD15553" s="318"/>
    </row>
    <row r="15554" spans="2:30" s="323" customFormat="1" ht="12" customHeight="1">
      <c r="B15554" s="324"/>
      <c r="C15554" s="325"/>
      <c r="D15554" s="326"/>
      <c r="E15554" s="326"/>
      <c r="F15554" s="326"/>
      <c r="G15554" s="326"/>
      <c r="H15554" s="326"/>
      <c r="P15554" s="318"/>
      <c r="Q15554" s="318"/>
      <c r="R15554" s="318"/>
      <c r="S15554" s="318"/>
      <c r="T15554" s="318"/>
      <c r="U15554" s="318"/>
      <c r="V15554" s="318"/>
      <c r="W15554" s="318"/>
      <c r="X15554" s="318"/>
      <c r="Y15554" s="318"/>
      <c r="Z15554" s="318"/>
      <c r="AA15554" s="318"/>
      <c r="AB15554" s="318"/>
      <c r="AC15554" s="318"/>
      <c r="AD15554" s="318"/>
    </row>
    <row r="15555" spans="2:30" s="323" customFormat="1" ht="12" customHeight="1">
      <c r="B15555" s="324"/>
      <c r="C15555" s="325"/>
      <c r="D15555" s="326"/>
      <c r="E15555" s="326"/>
      <c r="F15555" s="326"/>
      <c r="G15555" s="326"/>
      <c r="H15555" s="326"/>
      <c r="P15555" s="318"/>
      <c r="Q15555" s="318"/>
      <c r="R15555" s="318"/>
      <c r="S15555" s="318"/>
      <c r="T15555" s="318"/>
      <c r="U15555" s="318"/>
      <c r="V15555" s="318"/>
      <c r="W15555" s="318"/>
      <c r="X15555" s="318"/>
      <c r="Y15555" s="318"/>
      <c r="Z15555" s="318"/>
      <c r="AA15555" s="318"/>
      <c r="AB15555" s="318"/>
      <c r="AC15555" s="318"/>
      <c r="AD15555" s="318"/>
    </row>
    <row r="15556" spans="2:30" s="323" customFormat="1" ht="12" customHeight="1">
      <c r="B15556" s="324"/>
      <c r="C15556" s="325"/>
      <c r="D15556" s="326"/>
      <c r="E15556" s="326"/>
      <c r="F15556" s="326"/>
      <c r="G15556" s="326"/>
      <c r="H15556" s="326"/>
      <c r="P15556" s="318"/>
      <c r="Q15556" s="318"/>
      <c r="R15556" s="318"/>
      <c r="S15556" s="318"/>
      <c r="T15556" s="318"/>
      <c r="U15556" s="318"/>
      <c r="V15556" s="318"/>
      <c r="W15556" s="318"/>
      <c r="X15556" s="318"/>
      <c r="Y15556" s="318"/>
      <c r="Z15556" s="318"/>
      <c r="AA15556" s="318"/>
      <c r="AB15556" s="318"/>
      <c r="AC15556" s="318"/>
      <c r="AD15556" s="318"/>
    </row>
    <row r="15557" spans="2:30" s="323" customFormat="1" ht="12" customHeight="1">
      <c r="B15557" s="324"/>
      <c r="C15557" s="325"/>
      <c r="D15557" s="326"/>
      <c r="E15557" s="326"/>
      <c r="F15557" s="326"/>
      <c r="G15557" s="326"/>
      <c r="H15557" s="326"/>
      <c r="P15557" s="318"/>
      <c r="Q15557" s="318"/>
      <c r="R15557" s="318"/>
      <c r="S15557" s="318"/>
      <c r="T15557" s="318"/>
      <c r="U15557" s="318"/>
      <c r="V15557" s="318"/>
      <c r="W15557" s="318"/>
      <c r="X15557" s="318"/>
      <c r="Y15557" s="318"/>
      <c r="Z15557" s="318"/>
      <c r="AA15557" s="318"/>
      <c r="AB15557" s="318"/>
      <c r="AC15557" s="318"/>
      <c r="AD15557" s="318"/>
    </row>
    <row r="15558" spans="2:30" s="323" customFormat="1" ht="12" customHeight="1">
      <c r="B15558" s="324"/>
      <c r="C15558" s="325"/>
      <c r="D15558" s="326"/>
      <c r="E15558" s="326"/>
      <c r="F15558" s="326"/>
      <c r="G15558" s="326"/>
      <c r="H15558" s="326"/>
      <c r="P15558" s="318"/>
      <c r="Q15558" s="318"/>
      <c r="R15558" s="318"/>
      <c r="S15558" s="318"/>
      <c r="T15558" s="318"/>
      <c r="U15558" s="318"/>
      <c r="V15558" s="318"/>
      <c r="W15558" s="318"/>
      <c r="X15558" s="318"/>
      <c r="Y15558" s="318"/>
      <c r="Z15558" s="318"/>
      <c r="AA15558" s="318"/>
      <c r="AB15558" s="318"/>
      <c r="AC15558" s="318"/>
      <c r="AD15558" s="318"/>
    </row>
    <row r="15559" spans="2:30" s="323" customFormat="1" ht="12" customHeight="1">
      <c r="B15559" s="324"/>
      <c r="C15559" s="325"/>
      <c r="D15559" s="326"/>
      <c r="E15559" s="326"/>
      <c r="F15559" s="326"/>
      <c r="G15559" s="326"/>
      <c r="H15559" s="326"/>
      <c r="P15559" s="318"/>
      <c r="Q15559" s="318"/>
      <c r="R15559" s="318"/>
      <c r="S15559" s="318"/>
      <c r="T15559" s="318"/>
      <c r="U15559" s="318"/>
      <c r="V15559" s="318"/>
      <c r="W15559" s="318"/>
      <c r="X15559" s="318"/>
      <c r="Y15559" s="318"/>
      <c r="Z15559" s="318"/>
      <c r="AA15559" s="318"/>
      <c r="AB15559" s="318"/>
      <c r="AC15559" s="318"/>
      <c r="AD15559" s="318"/>
    </row>
    <row r="15560" spans="2:30" s="323" customFormat="1" ht="12" customHeight="1">
      <c r="B15560" s="324"/>
      <c r="C15560" s="325"/>
      <c r="D15560" s="326"/>
      <c r="E15560" s="326"/>
      <c r="F15560" s="326"/>
      <c r="G15560" s="326"/>
      <c r="H15560" s="326"/>
      <c r="P15560" s="318"/>
      <c r="Q15560" s="318"/>
      <c r="R15560" s="318"/>
      <c r="S15560" s="318"/>
      <c r="T15560" s="318"/>
      <c r="U15560" s="318"/>
      <c r="V15560" s="318"/>
      <c r="W15560" s="318"/>
      <c r="X15560" s="318"/>
      <c r="Y15560" s="318"/>
      <c r="Z15560" s="318"/>
      <c r="AA15560" s="318"/>
      <c r="AB15560" s="318"/>
      <c r="AC15560" s="318"/>
      <c r="AD15560" s="318"/>
    </row>
    <row r="15561" spans="2:30" s="323" customFormat="1" ht="12" customHeight="1">
      <c r="B15561" s="324"/>
      <c r="C15561" s="325"/>
      <c r="D15561" s="326"/>
      <c r="E15561" s="326"/>
      <c r="F15561" s="326"/>
      <c r="G15561" s="326"/>
      <c r="H15561" s="326"/>
      <c r="P15561" s="318"/>
      <c r="Q15561" s="318"/>
      <c r="R15561" s="318"/>
      <c r="S15561" s="318"/>
      <c r="T15561" s="318"/>
      <c r="U15561" s="318"/>
      <c r="V15561" s="318"/>
      <c r="W15561" s="318"/>
      <c r="X15561" s="318"/>
      <c r="Y15561" s="318"/>
      <c r="Z15561" s="318"/>
      <c r="AA15561" s="318"/>
      <c r="AB15561" s="318"/>
      <c r="AC15561" s="318"/>
      <c r="AD15561" s="318"/>
    </row>
    <row r="15562" spans="2:30" s="323" customFormat="1" ht="12" customHeight="1">
      <c r="B15562" s="324"/>
      <c r="C15562" s="325"/>
      <c r="D15562" s="326"/>
      <c r="E15562" s="326"/>
      <c r="F15562" s="326"/>
      <c r="G15562" s="326"/>
      <c r="H15562" s="326"/>
      <c r="P15562" s="318"/>
      <c r="Q15562" s="318"/>
      <c r="R15562" s="318"/>
      <c r="S15562" s="318"/>
      <c r="T15562" s="318"/>
      <c r="U15562" s="318"/>
      <c r="V15562" s="318"/>
      <c r="W15562" s="318"/>
      <c r="X15562" s="318"/>
      <c r="Y15562" s="318"/>
      <c r="Z15562" s="318"/>
      <c r="AA15562" s="318"/>
      <c r="AB15562" s="318"/>
      <c r="AC15562" s="318"/>
      <c r="AD15562" s="318"/>
    </row>
    <row r="15563" spans="2:30" s="323" customFormat="1" ht="12" customHeight="1">
      <c r="B15563" s="324"/>
      <c r="C15563" s="325"/>
      <c r="D15563" s="326"/>
      <c r="E15563" s="326"/>
      <c r="F15563" s="326"/>
      <c r="G15563" s="326"/>
      <c r="H15563" s="326"/>
      <c r="P15563" s="318"/>
      <c r="Q15563" s="318"/>
      <c r="R15563" s="318"/>
      <c r="S15563" s="318"/>
      <c r="T15563" s="318"/>
      <c r="U15563" s="318"/>
      <c r="V15563" s="318"/>
      <c r="W15563" s="318"/>
      <c r="X15563" s="318"/>
      <c r="Y15563" s="318"/>
      <c r="Z15563" s="318"/>
      <c r="AA15563" s="318"/>
      <c r="AB15563" s="318"/>
      <c r="AC15563" s="318"/>
      <c r="AD15563" s="318"/>
    </row>
    <row r="15564" spans="2:30" s="323" customFormat="1" ht="12" customHeight="1">
      <c r="B15564" s="324"/>
      <c r="C15564" s="325"/>
      <c r="D15564" s="326"/>
      <c r="E15564" s="326"/>
      <c r="F15564" s="326"/>
      <c r="G15564" s="326"/>
      <c r="H15564" s="326"/>
      <c r="P15564" s="318"/>
      <c r="Q15564" s="318"/>
      <c r="R15564" s="318"/>
      <c r="S15564" s="318"/>
      <c r="T15564" s="318"/>
      <c r="U15564" s="318"/>
      <c r="V15564" s="318"/>
      <c r="W15564" s="318"/>
      <c r="X15564" s="318"/>
      <c r="Y15564" s="318"/>
      <c r="Z15564" s="318"/>
      <c r="AA15564" s="318"/>
      <c r="AB15564" s="318"/>
      <c r="AC15564" s="318"/>
      <c r="AD15564" s="318"/>
    </row>
    <row r="15565" spans="2:30" s="323" customFormat="1" ht="12" customHeight="1">
      <c r="B15565" s="324"/>
      <c r="C15565" s="325"/>
      <c r="D15565" s="326"/>
      <c r="E15565" s="326"/>
      <c r="F15565" s="326"/>
      <c r="G15565" s="326"/>
      <c r="H15565" s="326"/>
      <c r="P15565" s="318"/>
      <c r="Q15565" s="318"/>
      <c r="R15565" s="318"/>
      <c r="S15565" s="318"/>
      <c r="T15565" s="318"/>
      <c r="U15565" s="318"/>
      <c r="V15565" s="318"/>
      <c r="W15565" s="318"/>
      <c r="X15565" s="318"/>
      <c r="Y15565" s="318"/>
      <c r="Z15565" s="318"/>
      <c r="AA15565" s="318"/>
      <c r="AB15565" s="318"/>
      <c r="AC15565" s="318"/>
      <c r="AD15565" s="318"/>
    </row>
    <row r="15566" spans="2:30" s="323" customFormat="1" ht="12" customHeight="1">
      <c r="B15566" s="324"/>
      <c r="C15566" s="325"/>
      <c r="D15566" s="326"/>
      <c r="E15566" s="326"/>
      <c r="F15566" s="326"/>
      <c r="G15566" s="326"/>
      <c r="H15566" s="326"/>
      <c r="P15566" s="318"/>
      <c r="Q15566" s="318"/>
      <c r="R15566" s="318"/>
      <c r="S15566" s="318"/>
      <c r="T15566" s="318"/>
      <c r="U15566" s="318"/>
      <c r="V15566" s="318"/>
      <c r="W15566" s="318"/>
      <c r="X15566" s="318"/>
      <c r="Y15566" s="318"/>
      <c r="Z15566" s="318"/>
      <c r="AA15566" s="318"/>
      <c r="AB15566" s="318"/>
      <c r="AC15566" s="318"/>
      <c r="AD15566" s="318"/>
    </row>
    <row r="15567" spans="2:30" s="323" customFormat="1" ht="12" customHeight="1">
      <c r="B15567" s="324"/>
      <c r="C15567" s="325"/>
      <c r="D15567" s="326"/>
      <c r="E15567" s="326"/>
      <c r="F15567" s="326"/>
      <c r="G15567" s="326"/>
      <c r="H15567" s="326"/>
      <c r="P15567" s="318"/>
      <c r="Q15567" s="318"/>
      <c r="R15567" s="318"/>
      <c r="S15567" s="318"/>
      <c r="T15567" s="318"/>
      <c r="U15567" s="318"/>
      <c r="V15567" s="318"/>
      <c r="W15567" s="318"/>
      <c r="X15567" s="318"/>
      <c r="Y15567" s="318"/>
      <c r="Z15567" s="318"/>
      <c r="AA15567" s="318"/>
      <c r="AB15567" s="318"/>
      <c r="AC15567" s="318"/>
      <c r="AD15567" s="318"/>
    </row>
    <row r="15568" spans="2:30" s="323" customFormat="1" ht="12" customHeight="1">
      <c r="B15568" s="324"/>
      <c r="C15568" s="325"/>
      <c r="D15568" s="326"/>
      <c r="E15568" s="326"/>
      <c r="F15568" s="326"/>
      <c r="G15568" s="326"/>
      <c r="H15568" s="326"/>
      <c r="P15568" s="318"/>
      <c r="Q15568" s="318"/>
      <c r="R15568" s="318"/>
      <c r="S15568" s="318"/>
      <c r="T15568" s="318"/>
      <c r="U15568" s="318"/>
      <c r="V15568" s="318"/>
      <c r="W15568" s="318"/>
      <c r="X15568" s="318"/>
      <c r="Y15568" s="318"/>
      <c r="Z15568" s="318"/>
      <c r="AA15568" s="318"/>
      <c r="AB15568" s="318"/>
      <c r="AC15568" s="318"/>
      <c r="AD15568" s="318"/>
    </row>
    <row r="15569" spans="2:30" s="323" customFormat="1" ht="12" customHeight="1">
      <c r="B15569" s="324"/>
      <c r="C15569" s="325"/>
      <c r="D15569" s="326"/>
      <c r="E15569" s="326"/>
      <c r="F15569" s="326"/>
      <c r="G15569" s="326"/>
      <c r="H15569" s="326"/>
      <c r="P15569" s="318"/>
      <c r="Q15569" s="318"/>
      <c r="R15569" s="318"/>
      <c r="S15569" s="318"/>
      <c r="T15569" s="318"/>
      <c r="U15569" s="318"/>
      <c r="V15569" s="318"/>
      <c r="W15569" s="318"/>
      <c r="X15569" s="318"/>
      <c r="Y15569" s="318"/>
      <c r="Z15569" s="318"/>
      <c r="AA15569" s="318"/>
      <c r="AB15569" s="318"/>
      <c r="AC15569" s="318"/>
      <c r="AD15569" s="318"/>
    </row>
    <row r="15570" spans="2:30" s="323" customFormat="1" ht="12" customHeight="1">
      <c r="B15570" s="324"/>
      <c r="C15570" s="325"/>
      <c r="D15570" s="326"/>
      <c r="E15570" s="326"/>
      <c r="F15570" s="326"/>
      <c r="G15570" s="326"/>
      <c r="H15570" s="326"/>
      <c r="P15570" s="318"/>
      <c r="Q15570" s="318"/>
      <c r="R15570" s="318"/>
      <c r="S15570" s="318"/>
      <c r="T15570" s="318"/>
      <c r="U15570" s="318"/>
      <c r="V15570" s="318"/>
      <c r="W15570" s="318"/>
      <c r="X15570" s="318"/>
      <c r="Y15570" s="318"/>
      <c r="Z15570" s="318"/>
      <c r="AA15570" s="318"/>
      <c r="AB15570" s="318"/>
      <c r="AC15570" s="318"/>
      <c r="AD15570" s="318"/>
    </row>
    <row r="15571" spans="2:30" s="323" customFormat="1" ht="12" customHeight="1">
      <c r="B15571" s="324"/>
      <c r="C15571" s="325"/>
      <c r="D15571" s="326"/>
      <c r="E15571" s="326"/>
      <c r="F15571" s="326"/>
      <c r="G15571" s="326"/>
      <c r="H15571" s="326"/>
      <c r="P15571" s="318"/>
      <c r="Q15571" s="318"/>
      <c r="R15571" s="318"/>
      <c r="S15571" s="318"/>
      <c r="T15571" s="318"/>
      <c r="U15571" s="318"/>
      <c r="V15571" s="318"/>
      <c r="W15571" s="318"/>
      <c r="X15571" s="318"/>
      <c r="Y15571" s="318"/>
      <c r="Z15571" s="318"/>
      <c r="AA15571" s="318"/>
      <c r="AB15571" s="318"/>
      <c r="AC15571" s="318"/>
      <c r="AD15571" s="318"/>
    </row>
    <row r="15572" spans="2:30" s="323" customFormat="1" ht="12" customHeight="1">
      <c r="B15572" s="324"/>
      <c r="C15572" s="325"/>
      <c r="D15572" s="326"/>
      <c r="E15572" s="326"/>
      <c r="F15572" s="326"/>
      <c r="G15572" s="326"/>
      <c r="H15572" s="326"/>
      <c r="P15572" s="318"/>
      <c r="Q15572" s="318"/>
      <c r="R15572" s="318"/>
      <c r="S15572" s="318"/>
      <c r="T15572" s="318"/>
      <c r="U15572" s="318"/>
      <c r="V15572" s="318"/>
      <c r="W15572" s="318"/>
      <c r="X15572" s="318"/>
      <c r="Y15572" s="318"/>
      <c r="Z15572" s="318"/>
      <c r="AA15572" s="318"/>
      <c r="AB15572" s="318"/>
      <c r="AC15572" s="318"/>
      <c r="AD15572" s="318"/>
    </row>
    <row r="15573" spans="2:30" s="323" customFormat="1" ht="12" customHeight="1">
      <c r="B15573" s="324"/>
      <c r="C15573" s="325"/>
      <c r="D15573" s="326"/>
      <c r="E15573" s="326"/>
      <c r="F15573" s="326"/>
      <c r="G15573" s="326"/>
      <c r="H15573" s="326"/>
      <c r="P15573" s="318"/>
      <c r="Q15573" s="318"/>
      <c r="R15573" s="318"/>
      <c r="S15573" s="318"/>
      <c r="T15573" s="318"/>
      <c r="U15573" s="318"/>
      <c r="V15573" s="318"/>
      <c r="W15573" s="318"/>
      <c r="X15573" s="318"/>
      <c r="Y15573" s="318"/>
      <c r="Z15573" s="318"/>
      <c r="AA15573" s="318"/>
      <c r="AB15573" s="318"/>
      <c r="AC15573" s="318"/>
      <c r="AD15573" s="318"/>
    </row>
    <row r="15574" spans="2:30" s="323" customFormat="1" ht="12" customHeight="1">
      <c r="B15574" s="324"/>
      <c r="C15574" s="325"/>
      <c r="D15574" s="326"/>
      <c r="E15574" s="326"/>
      <c r="F15574" s="326"/>
      <c r="G15574" s="326"/>
      <c r="H15574" s="326"/>
      <c r="P15574" s="318"/>
      <c r="Q15574" s="318"/>
      <c r="R15574" s="318"/>
      <c r="S15574" s="318"/>
      <c r="T15574" s="318"/>
      <c r="U15574" s="318"/>
      <c r="V15574" s="318"/>
      <c r="W15574" s="318"/>
      <c r="X15574" s="318"/>
      <c r="Y15574" s="318"/>
      <c r="Z15574" s="318"/>
      <c r="AA15574" s="318"/>
      <c r="AB15574" s="318"/>
      <c r="AC15574" s="318"/>
      <c r="AD15574" s="318"/>
    </row>
    <row r="15575" spans="2:30" s="323" customFormat="1" ht="12" customHeight="1">
      <c r="B15575" s="324"/>
      <c r="C15575" s="325"/>
      <c r="D15575" s="326"/>
      <c r="E15575" s="326"/>
      <c r="F15575" s="326"/>
      <c r="G15575" s="326"/>
      <c r="H15575" s="326"/>
      <c r="P15575" s="318"/>
      <c r="Q15575" s="318"/>
      <c r="R15575" s="318"/>
      <c r="S15575" s="318"/>
      <c r="T15575" s="318"/>
      <c r="U15575" s="318"/>
      <c r="V15575" s="318"/>
      <c r="W15575" s="318"/>
      <c r="X15575" s="318"/>
      <c r="Y15575" s="318"/>
      <c r="Z15575" s="318"/>
      <c r="AA15575" s="318"/>
      <c r="AB15575" s="318"/>
      <c r="AC15575" s="318"/>
      <c r="AD15575" s="318"/>
    </row>
    <row r="15576" spans="2:30" s="323" customFormat="1" ht="12" customHeight="1">
      <c r="B15576" s="324"/>
      <c r="C15576" s="325"/>
      <c r="D15576" s="326"/>
      <c r="E15576" s="326"/>
      <c r="F15576" s="326"/>
      <c r="G15576" s="326"/>
      <c r="H15576" s="326"/>
      <c r="P15576" s="318"/>
      <c r="Q15576" s="318"/>
      <c r="R15576" s="318"/>
      <c r="S15576" s="318"/>
      <c r="T15576" s="318"/>
      <c r="U15576" s="318"/>
      <c r="V15576" s="318"/>
      <c r="W15576" s="318"/>
      <c r="X15576" s="318"/>
      <c r="Y15576" s="318"/>
      <c r="Z15576" s="318"/>
      <c r="AA15576" s="318"/>
      <c r="AB15576" s="318"/>
      <c r="AC15576" s="318"/>
      <c r="AD15576" s="318"/>
    </row>
    <row r="15577" spans="2:30" s="323" customFormat="1" ht="12" customHeight="1">
      <c r="B15577" s="324"/>
      <c r="C15577" s="325"/>
      <c r="D15577" s="326"/>
      <c r="E15577" s="326"/>
      <c r="F15577" s="326"/>
      <c r="G15577" s="326"/>
      <c r="H15577" s="326"/>
      <c r="P15577" s="318"/>
      <c r="Q15577" s="318"/>
      <c r="R15577" s="318"/>
      <c r="S15577" s="318"/>
      <c r="T15577" s="318"/>
      <c r="U15577" s="318"/>
      <c r="V15577" s="318"/>
      <c r="W15577" s="318"/>
      <c r="X15577" s="318"/>
      <c r="Y15577" s="318"/>
      <c r="Z15577" s="318"/>
      <c r="AA15577" s="318"/>
      <c r="AB15577" s="318"/>
      <c r="AC15577" s="318"/>
      <c r="AD15577" s="318"/>
    </row>
    <row r="15578" spans="2:30" s="323" customFormat="1" ht="12" customHeight="1">
      <c r="B15578" s="324"/>
      <c r="C15578" s="325"/>
      <c r="D15578" s="326"/>
      <c r="E15578" s="326"/>
      <c r="F15578" s="326"/>
      <c r="G15578" s="326"/>
      <c r="H15578" s="326"/>
      <c r="P15578" s="318"/>
      <c r="Q15578" s="318"/>
      <c r="R15578" s="318"/>
      <c r="S15578" s="318"/>
      <c r="T15578" s="318"/>
      <c r="U15578" s="318"/>
      <c r="V15578" s="318"/>
      <c r="W15578" s="318"/>
      <c r="X15578" s="318"/>
      <c r="Y15578" s="318"/>
      <c r="Z15578" s="318"/>
      <c r="AA15578" s="318"/>
      <c r="AB15578" s="318"/>
      <c r="AC15578" s="318"/>
      <c r="AD15578" s="318"/>
    </row>
    <row r="15579" spans="2:30" s="323" customFormat="1" ht="12" customHeight="1">
      <c r="B15579" s="324"/>
      <c r="C15579" s="325"/>
      <c r="D15579" s="326"/>
      <c r="E15579" s="326"/>
      <c r="F15579" s="326"/>
      <c r="G15579" s="326"/>
      <c r="H15579" s="326"/>
      <c r="P15579" s="318"/>
      <c r="Q15579" s="318"/>
      <c r="R15579" s="318"/>
      <c r="S15579" s="318"/>
      <c r="T15579" s="318"/>
      <c r="U15579" s="318"/>
      <c r="V15579" s="318"/>
      <c r="W15579" s="318"/>
      <c r="X15579" s="318"/>
      <c r="Y15579" s="318"/>
      <c r="Z15579" s="318"/>
      <c r="AA15579" s="318"/>
      <c r="AB15579" s="318"/>
      <c r="AC15579" s="318"/>
      <c r="AD15579" s="318"/>
    </row>
    <row r="15580" spans="2:30" s="323" customFormat="1" ht="12" customHeight="1">
      <c r="B15580" s="324"/>
      <c r="C15580" s="325"/>
      <c r="D15580" s="326"/>
      <c r="E15580" s="326"/>
      <c r="F15580" s="326"/>
      <c r="G15580" s="326"/>
      <c r="H15580" s="326"/>
      <c r="P15580" s="318"/>
      <c r="Q15580" s="318"/>
      <c r="R15580" s="318"/>
      <c r="S15580" s="318"/>
      <c r="T15580" s="318"/>
      <c r="U15580" s="318"/>
      <c r="V15580" s="318"/>
      <c r="W15580" s="318"/>
      <c r="X15580" s="318"/>
      <c r="Y15580" s="318"/>
      <c r="Z15580" s="318"/>
      <c r="AA15580" s="318"/>
      <c r="AB15580" s="318"/>
      <c r="AC15580" s="318"/>
      <c r="AD15580" s="318"/>
    </row>
    <row r="15581" spans="2:30" s="323" customFormat="1" ht="12" customHeight="1">
      <c r="B15581" s="324"/>
      <c r="C15581" s="325"/>
      <c r="D15581" s="326"/>
      <c r="E15581" s="326"/>
      <c r="F15581" s="326"/>
      <c r="G15581" s="326"/>
      <c r="H15581" s="326"/>
      <c r="P15581" s="318"/>
      <c r="Q15581" s="318"/>
      <c r="R15581" s="318"/>
      <c r="S15581" s="318"/>
      <c r="T15581" s="318"/>
      <c r="U15581" s="318"/>
      <c r="V15581" s="318"/>
      <c r="W15581" s="318"/>
      <c r="X15581" s="318"/>
      <c r="Y15581" s="318"/>
      <c r="Z15581" s="318"/>
      <c r="AA15581" s="318"/>
      <c r="AB15581" s="318"/>
      <c r="AC15581" s="318"/>
      <c r="AD15581" s="318"/>
    </row>
    <row r="15582" spans="2:30" s="323" customFormat="1" ht="12" customHeight="1">
      <c r="B15582" s="324"/>
      <c r="C15582" s="325"/>
      <c r="D15582" s="326"/>
      <c r="E15582" s="326"/>
      <c r="F15582" s="326"/>
      <c r="G15582" s="326"/>
      <c r="H15582" s="326"/>
      <c r="P15582" s="318"/>
      <c r="Q15582" s="318"/>
      <c r="R15582" s="318"/>
      <c r="S15582" s="318"/>
      <c r="T15582" s="318"/>
      <c r="U15582" s="318"/>
      <c r="V15582" s="318"/>
      <c r="W15582" s="318"/>
      <c r="X15582" s="318"/>
      <c r="Y15582" s="318"/>
      <c r="Z15582" s="318"/>
      <c r="AA15582" s="318"/>
      <c r="AB15582" s="318"/>
      <c r="AC15582" s="318"/>
      <c r="AD15582" s="318"/>
    </row>
    <row r="15583" spans="2:30" s="323" customFormat="1" ht="12" customHeight="1">
      <c r="B15583" s="324"/>
      <c r="C15583" s="325"/>
      <c r="D15583" s="326"/>
      <c r="E15583" s="326"/>
      <c r="F15583" s="326"/>
      <c r="G15583" s="326"/>
      <c r="H15583" s="326"/>
      <c r="P15583" s="318"/>
      <c r="Q15583" s="318"/>
      <c r="R15583" s="318"/>
      <c r="S15583" s="318"/>
      <c r="T15583" s="318"/>
      <c r="U15583" s="318"/>
      <c r="V15583" s="318"/>
      <c r="W15583" s="318"/>
      <c r="X15583" s="318"/>
      <c r="Y15583" s="318"/>
      <c r="Z15583" s="318"/>
      <c r="AA15583" s="318"/>
      <c r="AB15583" s="318"/>
      <c r="AC15583" s="318"/>
      <c r="AD15583" s="318"/>
    </row>
    <row r="15584" spans="2:30" s="323" customFormat="1" ht="12" customHeight="1">
      <c r="B15584" s="324"/>
      <c r="C15584" s="325"/>
      <c r="D15584" s="326"/>
      <c r="E15584" s="326"/>
      <c r="F15584" s="326"/>
      <c r="G15584" s="326"/>
      <c r="H15584" s="326"/>
      <c r="P15584" s="318"/>
      <c r="Q15584" s="318"/>
      <c r="R15584" s="318"/>
      <c r="S15584" s="318"/>
      <c r="T15584" s="318"/>
      <c r="U15584" s="318"/>
      <c r="V15584" s="318"/>
      <c r="W15584" s="318"/>
      <c r="X15584" s="318"/>
      <c r="Y15584" s="318"/>
      <c r="Z15584" s="318"/>
      <c r="AA15584" s="318"/>
      <c r="AB15584" s="318"/>
      <c r="AC15584" s="318"/>
      <c r="AD15584" s="318"/>
    </row>
    <row r="15585" spans="2:30" s="323" customFormat="1" ht="12" customHeight="1">
      <c r="B15585" s="324"/>
      <c r="C15585" s="325"/>
      <c r="D15585" s="326"/>
      <c r="E15585" s="326"/>
      <c r="F15585" s="326"/>
      <c r="G15585" s="326"/>
      <c r="H15585" s="326"/>
      <c r="P15585" s="318"/>
      <c r="Q15585" s="318"/>
      <c r="R15585" s="318"/>
      <c r="S15585" s="318"/>
      <c r="T15585" s="318"/>
      <c r="U15585" s="318"/>
      <c r="V15585" s="318"/>
      <c r="W15585" s="318"/>
      <c r="X15585" s="318"/>
      <c r="Y15585" s="318"/>
      <c r="Z15585" s="318"/>
      <c r="AA15585" s="318"/>
      <c r="AB15585" s="318"/>
      <c r="AC15585" s="318"/>
      <c r="AD15585" s="318"/>
    </row>
    <row r="15586" spans="2:30" s="323" customFormat="1" ht="12" customHeight="1">
      <c r="B15586" s="324"/>
      <c r="C15586" s="325"/>
      <c r="D15586" s="326"/>
      <c r="E15586" s="326"/>
      <c r="F15586" s="326"/>
      <c r="G15586" s="326"/>
      <c r="H15586" s="326"/>
      <c r="P15586" s="318"/>
      <c r="Q15586" s="318"/>
      <c r="R15586" s="318"/>
      <c r="S15586" s="318"/>
      <c r="T15586" s="318"/>
      <c r="U15586" s="318"/>
      <c r="V15586" s="318"/>
      <c r="W15586" s="318"/>
      <c r="X15586" s="318"/>
      <c r="Y15586" s="318"/>
      <c r="Z15586" s="318"/>
      <c r="AA15586" s="318"/>
      <c r="AB15586" s="318"/>
      <c r="AC15586" s="318"/>
      <c r="AD15586" s="318"/>
    </row>
    <row r="15587" spans="2:30" s="323" customFormat="1" ht="12" customHeight="1">
      <c r="B15587" s="324"/>
      <c r="C15587" s="325"/>
      <c r="D15587" s="326"/>
      <c r="E15587" s="326"/>
      <c r="F15587" s="326"/>
      <c r="G15587" s="326"/>
      <c r="H15587" s="326"/>
      <c r="P15587" s="318"/>
      <c r="Q15587" s="318"/>
      <c r="R15587" s="318"/>
      <c r="S15587" s="318"/>
      <c r="T15587" s="318"/>
      <c r="U15587" s="318"/>
      <c r="V15587" s="318"/>
      <c r="W15587" s="318"/>
      <c r="X15587" s="318"/>
      <c r="Y15587" s="318"/>
      <c r="Z15587" s="318"/>
      <c r="AA15587" s="318"/>
      <c r="AB15587" s="318"/>
      <c r="AC15587" s="318"/>
      <c r="AD15587" s="318"/>
    </row>
    <row r="15588" spans="2:30" s="323" customFormat="1" ht="12" customHeight="1">
      <c r="B15588" s="324"/>
      <c r="C15588" s="325"/>
      <c r="D15588" s="326"/>
      <c r="E15588" s="326"/>
      <c r="F15588" s="326"/>
      <c r="G15588" s="326"/>
      <c r="H15588" s="326"/>
      <c r="P15588" s="318"/>
      <c r="Q15588" s="318"/>
      <c r="R15588" s="318"/>
      <c r="S15588" s="318"/>
      <c r="T15588" s="318"/>
      <c r="U15588" s="318"/>
      <c r="V15588" s="318"/>
      <c r="W15588" s="318"/>
      <c r="X15588" s="318"/>
      <c r="Y15588" s="318"/>
      <c r="Z15588" s="318"/>
      <c r="AA15588" s="318"/>
      <c r="AB15588" s="318"/>
      <c r="AC15588" s="318"/>
      <c r="AD15588" s="318"/>
    </row>
    <row r="15589" spans="2:30" s="323" customFormat="1" ht="12" customHeight="1">
      <c r="B15589" s="324"/>
      <c r="C15589" s="325"/>
      <c r="D15589" s="326"/>
      <c r="E15589" s="326"/>
      <c r="F15589" s="326"/>
      <c r="G15589" s="326"/>
      <c r="H15589" s="326"/>
      <c r="P15589" s="318"/>
      <c r="Q15589" s="318"/>
      <c r="R15589" s="318"/>
      <c r="S15589" s="318"/>
      <c r="T15589" s="318"/>
      <c r="U15589" s="318"/>
      <c r="V15589" s="318"/>
      <c r="W15589" s="318"/>
      <c r="X15589" s="318"/>
      <c r="Y15589" s="318"/>
      <c r="Z15589" s="318"/>
      <c r="AA15589" s="318"/>
      <c r="AB15589" s="318"/>
      <c r="AC15589" s="318"/>
      <c r="AD15589" s="318"/>
    </row>
    <row r="15590" spans="2:30" s="323" customFormat="1" ht="12" customHeight="1">
      <c r="B15590" s="324"/>
      <c r="C15590" s="325"/>
      <c r="D15590" s="326"/>
      <c r="E15590" s="326"/>
      <c r="F15590" s="326"/>
      <c r="G15590" s="326"/>
      <c r="H15590" s="326"/>
      <c r="P15590" s="318"/>
      <c r="Q15590" s="318"/>
      <c r="R15590" s="318"/>
      <c r="S15590" s="318"/>
      <c r="T15590" s="318"/>
      <c r="U15590" s="318"/>
      <c r="V15590" s="318"/>
      <c r="W15590" s="318"/>
      <c r="X15590" s="318"/>
      <c r="Y15590" s="318"/>
      <c r="Z15590" s="318"/>
      <c r="AA15590" s="318"/>
      <c r="AB15590" s="318"/>
      <c r="AC15590" s="318"/>
      <c r="AD15590" s="318"/>
    </row>
    <row r="15591" spans="2:30" s="323" customFormat="1" ht="12" customHeight="1">
      <c r="B15591" s="324"/>
      <c r="C15591" s="325"/>
      <c r="D15591" s="326"/>
      <c r="E15591" s="326"/>
      <c r="F15591" s="326"/>
      <c r="G15591" s="326"/>
      <c r="H15591" s="326"/>
      <c r="P15591" s="318"/>
      <c r="Q15591" s="318"/>
      <c r="R15591" s="318"/>
      <c r="S15591" s="318"/>
      <c r="T15591" s="318"/>
      <c r="U15591" s="318"/>
      <c r="V15591" s="318"/>
      <c r="W15591" s="318"/>
      <c r="X15591" s="318"/>
      <c r="Y15591" s="318"/>
      <c r="Z15591" s="318"/>
      <c r="AA15591" s="318"/>
      <c r="AB15591" s="318"/>
      <c r="AC15591" s="318"/>
      <c r="AD15591" s="318"/>
    </row>
    <row r="15592" spans="2:30" s="323" customFormat="1" ht="12" customHeight="1">
      <c r="B15592" s="324"/>
      <c r="C15592" s="325"/>
      <c r="D15592" s="326"/>
      <c r="E15592" s="326"/>
      <c r="F15592" s="326"/>
      <c r="G15592" s="326"/>
      <c r="H15592" s="326"/>
      <c r="P15592" s="318"/>
      <c r="Q15592" s="318"/>
      <c r="R15592" s="318"/>
      <c r="S15592" s="318"/>
      <c r="T15592" s="318"/>
      <c r="U15592" s="318"/>
      <c r="V15592" s="318"/>
      <c r="W15592" s="318"/>
      <c r="X15592" s="318"/>
      <c r="Y15592" s="318"/>
      <c r="Z15592" s="318"/>
      <c r="AA15592" s="318"/>
      <c r="AB15592" s="318"/>
      <c r="AC15592" s="318"/>
      <c r="AD15592" s="318"/>
    </row>
    <row r="15593" spans="2:30" s="323" customFormat="1" ht="12" customHeight="1">
      <c r="B15593" s="324"/>
      <c r="C15593" s="325"/>
      <c r="D15593" s="326"/>
      <c r="E15593" s="326"/>
      <c r="F15593" s="326"/>
      <c r="G15593" s="326"/>
      <c r="H15593" s="326"/>
      <c r="P15593" s="318"/>
      <c r="Q15593" s="318"/>
      <c r="R15593" s="318"/>
      <c r="S15593" s="318"/>
      <c r="T15593" s="318"/>
      <c r="U15593" s="318"/>
      <c r="V15593" s="318"/>
      <c r="W15593" s="318"/>
      <c r="X15593" s="318"/>
      <c r="Y15593" s="318"/>
      <c r="Z15593" s="318"/>
      <c r="AA15593" s="318"/>
      <c r="AB15593" s="318"/>
      <c r="AC15593" s="318"/>
      <c r="AD15593" s="318"/>
    </row>
    <row r="15594" spans="2:30" s="323" customFormat="1" ht="12" customHeight="1">
      <c r="B15594" s="324"/>
      <c r="C15594" s="325"/>
      <c r="D15594" s="326"/>
      <c r="E15594" s="326"/>
      <c r="F15594" s="326"/>
      <c r="G15594" s="326"/>
      <c r="H15594" s="326"/>
      <c r="P15594" s="318"/>
      <c r="Q15594" s="318"/>
      <c r="R15594" s="318"/>
      <c r="S15594" s="318"/>
      <c r="T15594" s="318"/>
      <c r="U15594" s="318"/>
      <c r="V15594" s="318"/>
      <c r="W15594" s="318"/>
      <c r="X15594" s="318"/>
      <c r="Y15594" s="318"/>
      <c r="Z15594" s="318"/>
      <c r="AA15594" s="318"/>
      <c r="AB15594" s="318"/>
      <c r="AC15594" s="318"/>
      <c r="AD15594" s="318"/>
    </row>
    <row r="15595" spans="2:30" s="323" customFormat="1" ht="12" customHeight="1">
      <c r="B15595" s="324"/>
      <c r="C15595" s="325"/>
      <c r="D15595" s="326"/>
      <c r="E15595" s="326"/>
      <c r="F15595" s="326"/>
      <c r="G15595" s="326"/>
      <c r="H15595" s="326"/>
      <c r="P15595" s="318"/>
      <c r="Q15595" s="318"/>
      <c r="R15595" s="318"/>
      <c r="S15595" s="318"/>
      <c r="T15595" s="318"/>
      <c r="U15595" s="318"/>
      <c r="V15595" s="318"/>
      <c r="W15595" s="318"/>
      <c r="X15595" s="318"/>
      <c r="Y15595" s="318"/>
      <c r="Z15595" s="318"/>
      <c r="AA15595" s="318"/>
      <c r="AB15595" s="318"/>
      <c r="AC15595" s="318"/>
      <c r="AD15595" s="318"/>
    </row>
    <row r="15596" spans="2:30" s="323" customFormat="1" ht="12" customHeight="1">
      <c r="B15596" s="324"/>
      <c r="C15596" s="325"/>
      <c r="D15596" s="326"/>
      <c r="E15596" s="326"/>
      <c r="F15596" s="326"/>
      <c r="G15596" s="326"/>
      <c r="H15596" s="326"/>
      <c r="P15596" s="318"/>
      <c r="Q15596" s="318"/>
      <c r="R15596" s="318"/>
      <c r="S15596" s="318"/>
      <c r="T15596" s="318"/>
      <c r="U15596" s="318"/>
      <c r="V15596" s="318"/>
      <c r="W15596" s="318"/>
      <c r="X15596" s="318"/>
      <c r="Y15596" s="318"/>
      <c r="Z15596" s="318"/>
      <c r="AA15596" s="318"/>
      <c r="AB15596" s="318"/>
      <c r="AC15596" s="318"/>
      <c r="AD15596" s="318"/>
    </row>
    <row r="15597" spans="2:30" s="323" customFormat="1" ht="12" customHeight="1">
      <c r="B15597" s="324"/>
      <c r="C15597" s="325"/>
      <c r="D15597" s="326"/>
      <c r="E15597" s="326"/>
      <c r="F15597" s="326"/>
      <c r="G15597" s="326"/>
      <c r="H15597" s="326"/>
      <c r="P15597" s="318"/>
      <c r="Q15597" s="318"/>
      <c r="R15597" s="318"/>
      <c r="S15597" s="318"/>
      <c r="T15597" s="318"/>
      <c r="U15597" s="318"/>
      <c r="V15597" s="318"/>
      <c r="W15597" s="318"/>
      <c r="X15597" s="318"/>
      <c r="Y15597" s="318"/>
      <c r="Z15597" s="318"/>
      <c r="AA15597" s="318"/>
      <c r="AB15597" s="318"/>
      <c r="AC15597" s="318"/>
      <c r="AD15597" s="318"/>
    </row>
    <row r="15598" spans="2:30" s="323" customFormat="1" ht="12" customHeight="1">
      <c r="B15598" s="324"/>
      <c r="C15598" s="325"/>
      <c r="D15598" s="326"/>
      <c r="E15598" s="326"/>
      <c r="F15598" s="326"/>
      <c r="G15598" s="326"/>
      <c r="H15598" s="326"/>
      <c r="P15598" s="318"/>
      <c r="Q15598" s="318"/>
      <c r="R15598" s="318"/>
      <c r="S15598" s="318"/>
      <c r="T15598" s="318"/>
      <c r="U15598" s="318"/>
      <c r="V15598" s="318"/>
      <c r="W15598" s="318"/>
      <c r="X15598" s="318"/>
      <c r="Y15598" s="318"/>
      <c r="Z15598" s="318"/>
      <c r="AA15598" s="318"/>
      <c r="AB15598" s="318"/>
      <c r="AC15598" s="318"/>
      <c r="AD15598" s="318"/>
    </row>
    <row r="15599" spans="2:30" s="323" customFormat="1" ht="12" customHeight="1">
      <c r="B15599" s="324"/>
      <c r="C15599" s="325"/>
      <c r="D15599" s="326"/>
      <c r="E15599" s="326"/>
      <c r="F15599" s="326"/>
      <c r="G15599" s="326"/>
      <c r="H15599" s="326"/>
      <c r="P15599" s="318"/>
      <c r="Q15599" s="318"/>
      <c r="R15599" s="318"/>
      <c r="S15599" s="318"/>
      <c r="T15599" s="318"/>
      <c r="U15599" s="318"/>
      <c r="V15599" s="318"/>
      <c r="W15599" s="318"/>
      <c r="X15599" s="318"/>
      <c r="Y15599" s="318"/>
      <c r="Z15599" s="318"/>
      <c r="AA15599" s="318"/>
      <c r="AB15599" s="318"/>
      <c r="AC15599" s="318"/>
      <c r="AD15599" s="318"/>
    </row>
    <row r="15600" spans="2:30" s="323" customFormat="1" ht="12" customHeight="1">
      <c r="B15600" s="324"/>
      <c r="C15600" s="325"/>
      <c r="D15600" s="326"/>
      <c r="E15600" s="326"/>
      <c r="F15600" s="326"/>
      <c r="G15600" s="326"/>
      <c r="H15600" s="326"/>
      <c r="P15600" s="318"/>
      <c r="Q15600" s="318"/>
      <c r="R15600" s="318"/>
      <c r="S15600" s="318"/>
      <c r="T15600" s="318"/>
      <c r="U15600" s="318"/>
      <c r="V15600" s="318"/>
      <c r="W15600" s="318"/>
      <c r="X15600" s="318"/>
      <c r="Y15600" s="318"/>
      <c r="Z15600" s="318"/>
      <c r="AA15600" s="318"/>
      <c r="AB15600" s="318"/>
      <c r="AC15600" s="318"/>
      <c r="AD15600" s="318"/>
    </row>
    <row r="15601" spans="2:30" s="323" customFormat="1" ht="12" customHeight="1">
      <c r="B15601" s="324"/>
      <c r="C15601" s="325"/>
      <c r="D15601" s="326"/>
      <c r="E15601" s="326"/>
      <c r="F15601" s="326"/>
      <c r="G15601" s="326"/>
      <c r="H15601" s="326"/>
      <c r="P15601" s="318"/>
      <c r="Q15601" s="318"/>
      <c r="R15601" s="318"/>
      <c r="S15601" s="318"/>
      <c r="T15601" s="318"/>
      <c r="U15601" s="318"/>
      <c r="V15601" s="318"/>
      <c r="W15601" s="318"/>
      <c r="X15601" s="318"/>
      <c r="Y15601" s="318"/>
      <c r="Z15601" s="318"/>
      <c r="AA15601" s="318"/>
      <c r="AB15601" s="318"/>
      <c r="AC15601" s="318"/>
      <c r="AD15601" s="318"/>
    </row>
    <row r="15602" spans="2:30" s="323" customFormat="1" ht="12" customHeight="1">
      <c r="B15602" s="324"/>
      <c r="C15602" s="325"/>
      <c r="D15602" s="326"/>
      <c r="E15602" s="326"/>
      <c r="F15602" s="326"/>
      <c r="G15602" s="326"/>
      <c r="H15602" s="326"/>
      <c r="P15602" s="318"/>
      <c r="Q15602" s="318"/>
      <c r="R15602" s="318"/>
      <c r="S15602" s="318"/>
      <c r="T15602" s="318"/>
      <c r="U15602" s="318"/>
      <c r="V15602" s="318"/>
      <c r="W15602" s="318"/>
      <c r="X15602" s="318"/>
      <c r="Y15602" s="318"/>
      <c r="Z15602" s="318"/>
      <c r="AA15602" s="318"/>
      <c r="AB15602" s="318"/>
      <c r="AC15602" s="318"/>
      <c r="AD15602" s="318"/>
    </row>
    <row r="15603" spans="2:30" s="323" customFormat="1" ht="12" customHeight="1">
      <c r="B15603" s="324"/>
      <c r="C15603" s="325"/>
      <c r="D15603" s="326"/>
      <c r="E15603" s="326"/>
      <c r="F15603" s="326"/>
      <c r="G15603" s="326"/>
      <c r="H15603" s="326"/>
      <c r="P15603" s="318"/>
      <c r="Q15603" s="318"/>
      <c r="R15603" s="318"/>
      <c r="S15603" s="318"/>
      <c r="T15603" s="318"/>
      <c r="U15603" s="318"/>
      <c r="V15603" s="318"/>
      <c r="W15603" s="318"/>
      <c r="X15603" s="318"/>
      <c r="Y15603" s="318"/>
      <c r="Z15603" s="318"/>
      <c r="AA15603" s="318"/>
      <c r="AB15603" s="318"/>
      <c r="AC15603" s="318"/>
      <c r="AD15603" s="318"/>
    </row>
    <row r="15604" spans="2:30" s="323" customFormat="1" ht="12" customHeight="1">
      <c r="B15604" s="324"/>
      <c r="C15604" s="325"/>
      <c r="D15604" s="326"/>
      <c r="E15604" s="326"/>
      <c r="F15604" s="326"/>
      <c r="G15604" s="326"/>
      <c r="H15604" s="326"/>
      <c r="P15604" s="318"/>
      <c r="Q15604" s="318"/>
      <c r="R15604" s="318"/>
      <c r="S15604" s="318"/>
      <c r="T15604" s="318"/>
      <c r="U15604" s="318"/>
      <c r="V15604" s="318"/>
      <c r="W15604" s="318"/>
      <c r="X15604" s="318"/>
      <c r="Y15604" s="318"/>
      <c r="Z15604" s="318"/>
      <c r="AA15604" s="318"/>
      <c r="AB15604" s="318"/>
      <c r="AC15604" s="318"/>
      <c r="AD15604" s="318"/>
    </row>
    <row r="15605" spans="2:30" s="323" customFormat="1" ht="12" customHeight="1">
      <c r="B15605" s="324"/>
      <c r="C15605" s="325"/>
      <c r="D15605" s="326"/>
      <c r="E15605" s="326"/>
      <c r="F15605" s="326"/>
      <c r="G15605" s="326"/>
      <c r="H15605" s="326"/>
      <c r="P15605" s="318"/>
      <c r="Q15605" s="318"/>
      <c r="R15605" s="318"/>
      <c r="S15605" s="318"/>
      <c r="T15605" s="318"/>
      <c r="U15605" s="318"/>
      <c r="V15605" s="318"/>
      <c r="W15605" s="318"/>
      <c r="X15605" s="318"/>
      <c r="Y15605" s="318"/>
      <c r="Z15605" s="318"/>
      <c r="AA15605" s="318"/>
      <c r="AB15605" s="318"/>
      <c r="AC15605" s="318"/>
      <c r="AD15605" s="318"/>
    </row>
    <row r="15606" spans="2:30" s="323" customFormat="1" ht="12" customHeight="1">
      <c r="B15606" s="324"/>
      <c r="C15606" s="325"/>
      <c r="D15606" s="326"/>
      <c r="E15606" s="326"/>
      <c r="F15606" s="326"/>
      <c r="G15606" s="326"/>
      <c r="H15606" s="326"/>
      <c r="P15606" s="318"/>
      <c r="Q15606" s="318"/>
      <c r="R15606" s="318"/>
      <c r="S15606" s="318"/>
      <c r="T15606" s="318"/>
      <c r="U15606" s="318"/>
      <c r="V15606" s="318"/>
      <c r="W15606" s="318"/>
      <c r="X15606" s="318"/>
      <c r="Y15606" s="318"/>
      <c r="Z15606" s="318"/>
      <c r="AA15606" s="318"/>
      <c r="AB15606" s="318"/>
      <c r="AC15606" s="318"/>
      <c r="AD15606" s="318"/>
    </row>
    <row r="15607" spans="2:30" s="323" customFormat="1" ht="12" customHeight="1">
      <c r="B15607" s="324"/>
      <c r="C15607" s="325"/>
      <c r="D15607" s="326"/>
      <c r="E15607" s="326"/>
      <c r="F15607" s="326"/>
      <c r="G15607" s="326"/>
      <c r="H15607" s="326"/>
      <c r="P15607" s="318"/>
      <c r="Q15607" s="318"/>
      <c r="R15607" s="318"/>
      <c r="S15607" s="318"/>
      <c r="T15607" s="318"/>
      <c r="U15607" s="318"/>
      <c r="V15607" s="318"/>
      <c r="W15607" s="318"/>
      <c r="X15607" s="318"/>
      <c r="Y15607" s="318"/>
      <c r="Z15607" s="318"/>
      <c r="AA15607" s="318"/>
      <c r="AB15607" s="318"/>
      <c r="AC15607" s="318"/>
      <c r="AD15607" s="318"/>
    </row>
    <row r="15608" spans="2:30" s="323" customFormat="1" ht="12" customHeight="1">
      <c r="B15608" s="324"/>
      <c r="C15608" s="325"/>
      <c r="D15608" s="326"/>
      <c r="E15608" s="326"/>
      <c r="F15608" s="326"/>
      <c r="G15608" s="326"/>
      <c r="H15608" s="326"/>
      <c r="P15608" s="318"/>
      <c r="Q15608" s="318"/>
      <c r="R15608" s="318"/>
      <c r="S15608" s="318"/>
      <c r="T15608" s="318"/>
      <c r="U15608" s="318"/>
      <c r="V15608" s="318"/>
      <c r="W15608" s="318"/>
      <c r="X15608" s="318"/>
      <c r="Y15608" s="318"/>
      <c r="Z15608" s="318"/>
      <c r="AA15608" s="318"/>
      <c r="AB15608" s="318"/>
      <c r="AC15608" s="318"/>
      <c r="AD15608" s="318"/>
    </row>
    <row r="15609" spans="2:30" s="323" customFormat="1" ht="12" customHeight="1">
      <c r="B15609" s="324"/>
      <c r="C15609" s="325"/>
      <c r="D15609" s="326"/>
      <c r="E15609" s="326"/>
      <c r="F15609" s="326"/>
      <c r="G15609" s="326"/>
      <c r="H15609" s="326"/>
      <c r="P15609" s="318"/>
      <c r="Q15609" s="318"/>
      <c r="R15609" s="318"/>
      <c r="S15609" s="318"/>
      <c r="T15609" s="318"/>
      <c r="U15609" s="318"/>
      <c r="V15609" s="318"/>
      <c r="W15609" s="318"/>
      <c r="X15609" s="318"/>
      <c r="Y15609" s="318"/>
      <c r="Z15609" s="318"/>
      <c r="AA15609" s="318"/>
      <c r="AB15609" s="318"/>
      <c r="AC15609" s="318"/>
      <c r="AD15609" s="318"/>
    </row>
    <row r="15610" spans="2:30" s="323" customFormat="1" ht="12" customHeight="1">
      <c r="B15610" s="324"/>
      <c r="C15610" s="325"/>
      <c r="D15610" s="326"/>
      <c r="E15610" s="326"/>
      <c r="F15610" s="326"/>
      <c r="G15610" s="326"/>
      <c r="H15610" s="326"/>
      <c r="P15610" s="318"/>
      <c r="Q15610" s="318"/>
      <c r="R15610" s="318"/>
      <c r="S15610" s="318"/>
      <c r="T15610" s="318"/>
      <c r="U15610" s="318"/>
      <c r="V15610" s="318"/>
      <c r="W15610" s="318"/>
      <c r="X15610" s="318"/>
      <c r="Y15610" s="318"/>
      <c r="Z15610" s="318"/>
      <c r="AA15610" s="318"/>
      <c r="AB15610" s="318"/>
      <c r="AC15610" s="318"/>
      <c r="AD15610" s="318"/>
    </row>
    <row r="15611" spans="2:30" s="323" customFormat="1" ht="12" customHeight="1">
      <c r="B15611" s="324"/>
      <c r="C15611" s="325"/>
      <c r="D15611" s="326"/>
      <c r="E15611" s="326"/>
      <c r="F15611" s="326"/>
      <c r="G15611" s="326"/>
      <c r="H15611" s="326"/>
      <c r="P15611" s="318"/>
      <c r="Q15611" s="318"/>
      <c r="R15611" s="318"/>
      <c r="S15611" s="318"/>
      <c r="T15611" s="318"/>
      <c r="U15611" s="318"/>
      <c r="V15611" s="318"/>
      <c r="W15611" s="318"/>
      <c r="X15611" s="318"/>
      <c r="Y15611" s="318"/>
      <c r="Z15611" s="318"/>
      <c r="AA15611" s="318"/>
      <c r="AB15611" s="318"/>
      <c r="AC15611" s="318"/>
      <c r="AD15611" s="318"/>
    </row>
    <row r="15612" spans="2:30" s="323" customFormat="1" ht="12" customHeight="1">
      <c r="B15612" s="324"/>
      <c r="C15612" s="325"/>
      <c r="D15612" s="326"/>
      <c r="E15612" s="326"/>
      <c r="F15612" s="326"/>
      <c r="G15612" s="326"/>
      <c r="H15612" s="326"/>
      <c r="P15612" s="318"/>
      <c r="Q15612" s="318"/>
      <c r="R15612" s="318"/>
      <c r="S15612" s="318"/>
      <c r="T15612" s="318"/>
      <c r="U15612" s="318"/>
      <c r="V15612" s="318"/>
      <c r="W15612" s="318"/>
      <c r="X15612" s="318"/>
      <c r="Y15612" s="318"/>
      <c r="Z15612" s="318"/>
      <c r="AA15612" s="318"/>
      <c r="AB15612" s="318"/>
      <c r="AC15612" s="318"/>
      <c r="AD15612" s="318"/>
    </row>
    <row r="15613" spans="2:30" s="323" customFormat="1" ht="12" customHeight="1">
      <c r="B15613" s="324"/>
      <c r="C15613" s="325"/>
      <c r="D15613" s="326"/>
      <c r="E15613" s="326"/>
      <c r="F15613" s="326"/>
      <c r="G15613" s="326"/>
      <c r="H15613" s="326"/>
      <c r="P15613" s="318"/>
      <c r="Q15613" s="318"/>
      <c r="R15613" s="318"/>
      <c r="S15613" s="318"/>
      <c r="T15613" s="318"/>
      <c r="U15613" s="318"/>
      <c r="V15613" s="318"/>
      <c r="W15613" s="318"/>
      <c r="X15613" s="318"/>
      <c r="Y15613" s="318"/>
      <c r="Z15613" s="318"/>
      <c r="AA15613" s="318"/>
      <c r="AB15613" s="318"/>
      <c r="AC15613" s="318"/>
      <c r="AD15613" s="318"/>
    </row>
    <row r="15614" spans="2:30" s="323" customFormat="1" ht="12" customHeight="1">
      <c r="B15614" s="324"/>
      <c r="C15614" s="325"/>
      <c r="D15614" s="326"/>
      <c r="E15614" s="326"/>
      <c r="F15614" s="326"/>
      <c r="G15614" s="326"/>
      <c r="H15614" s="326"/>
      <c r="P15614" s="318"/>
      <c r="Q15614" s="318"/>
      <c r="R15614" s="318"/>
      <c r="S15614" s="318"/>
      <c r="T15614" s="318"/>
      <c r="U15614" s="318"/>
      <c r="V15614" s="318"/>
      <c r="W15614" s="318"/>
      <c r="X15614" s="318"/>
      <c r="Y15614" s="318"/>
      <c r="Z15614" s="318"/>
      <c r="AA15614" s="318"/>
      <c r="AB15614" s="318"/>
      <c r="AC15614" s="318"/>
      <c r="AD15614" s="318"/>
    </row>
    <row r="15615" spans="2:30" s="323" customFormat="1" ht="12" customHeight="1">
      <c r="B15615" s="324"/>
      <c r="C15615" s="325"/>
      <c r="D15615" s="326"/>
      <c r="E15615" s="326"/>
      <c r="F15615" s="326"/>
      <c r="G15615" s="326"/>
      <c r="H15615" s="326"/>
      <c r="P15615" s="318"/>
      <c r="Q15615" s="318"/>
      <c r="R15615" s="318"/>
      <c r="S15615" s="318"/>
      <c r="T15615" s="318"/>
      <c r="U15615" s="318"/>
      <c r="V15615" s="318"/>
      <c r="W15615" s="318"/>
      <c r="X15615" s="318"/>
      <c r="Y15615" s="318"/>
      <c r="Z15615" s="318"/>
      <c r="AA15615" s="318"/>
      <c r="AB15615" s="318"/>
      <c r="AC15615" s="318"/>
      <c r="AD15615" s="318"/>
    </row>
    <row r="15616" spans="2:30" s="323" customFormat="1" ht="12" customHeight="1">
      <c r="B15616" s="324"/>
      <c r="C15616" s="325"/>
      <c r="D15616" s="326"/>
      <c r="E15616" s="326"/>
      <c r="F15616" s="326"/>
      <c r="G15616" s="326"/>
      <c r="H15616" s="326"/>
      <c r="P15616" s="318"/>
      <c r="Q15616" s="318"/>
      <c r="R15616" s="318"/>
      <c r="S15616" s="318"/>
      <c r="T15616" s="318"/>
      <c r="U15616" s="318"/>
      <c r="V15616" s="318"/>
      <c r="W15616" s="318"/>
      <c r="X15616" s="318"/>
      <c r="Y15616" s="318"/>
      <c r="Z15616" s="318"/>
      <c r="AA15616" s="318"/>
      <c r="AB15616" s="318"/>
      <c r="AC15616" s="318"/>
      <c r="AD15616" s="318"/>
    </row>
    <row r="15617" spans="2:30" s="323" customFormat="1" ht="12" customHeight="1">
      <c r="B15617" s="324"/>
      <c r="C15617" s="325"/>
      <c r="D15617" s="326"/>
      <c r="E15617" s="326"/>
      <c r="F15617" s="326"/>
      <c r="G15617" s="326"/>
      <c r="H15617" s="326"/>
      <c r="P15617" s="318"/>
      <c r="Q15617" s="318"/>
      <c r="R15617" s="318"/>
      <c r="S15617" s="318"/>
      <c r="T15617" s="318"/>
      <c r="U15617" s="318"/>
      <c r="V15617" s="318"/>
      <c r="W15617" s="318"/>
      <c r="X15617" s="318"/>
      <c r="Y15617" s="318"/>
      <c r="Z15617" s="318"/>
      <c r="AA15617" s="318"/>
      <c r="AB15617" s="318"/>
      <c r="AC15617" s="318"/>
      <c r="AD15617" s="318"/>
    </row>
    <row r="15618" spans="2:30" s="323" customFormat="1" ht="12" customHeight="1">
      <c r="B15618" s="324"/>
      <c r="C15618" s="325"/>
      <c r="D15618" s="326"/>
      <c r="E15618" s="326"/>
      <c r="F15618" s="326"/>
      <c r="G15618" s="326"/>
      <c r="H15618" s="326"/>
      <c r="P15618" s="318"/>
      <c r="Q15618" s="318"/>
      <c r="R15618" s="318"/>
      <c r="S15618" s="318"/>
      <c r="T15618" s="318"/>
      <c r="U15618" s="318"/>
      <c r="V15618" s="318"/>
      <c r="W15618" s="318"/>
      <c r="X15618" s="318"/>
      <c r="Y15618" s="318"/>
      <c r="Z15618" s="318"/>
      <c r="AA15618" s="318"/>
      <c r="AB15618" s="318"/>
      <c r="AC15618" s="318"/>
      <c r="AD15618" s="318"/>
    </row>
    <row r="15619" spans="2:30" s="323" customFormat="1" ht="12" customHeight="1">
      <c r="B15619" s="324"/>
      <c r="C15619" s="325"/>
      <c r="D15619" s="326"/>
      <c r="E15619" s="326"/>
      <c r="F15619" s="326"/>
      <c r="G15619" s="326"/>
      <c r="H15619" s="326"/>
      <c r="P15619" s="318"/>
      <c r="Q15619" s="318"/>
      <c r="R15619" s="318"/>
      <c r="S15619" s="318"/>
      <c r="T15619" s="318"/>
      <c r="U15619" s="318"/>
      <c r="V15619" s="318"/>
      <c r="W15619" s="318"/>
      <c r="X15619" s="318"/>
      <c r="Y15619" s="318"/>
      <c r="Z15619" s="318"/>
      <c r="AA15619" s="318"/>
      <c r="AB15619" s="318"/>
      <c r="AC15619" s="318"/>
      <c r="AD15619" s="318"/>
    </row>
    <row r="15620" spans="2:30" s="323" customFormat="1" ht="12" customHeight="1">
      <c r="B15620" s="324"/>
      <c r="C15620" s="325"/>
      <c r="D15620" s="326"/>
      <c r="E15620" s="326"/>
      <c r="F15620" s="326"/>
      <c r="G15620" s="326"/>
      <c r="H15620" s="326"/>
      <c r="P15620" s="318"/>
      <c r="Q15620" s="318"/>
      <c r="R15620" s="318"/>
      <c r="S15620" s="318"/>
      <c r="T15620" s="318"/>
      <c r="U15620" s="318"/>
      <c r="V15620" s="318"/>
      <c r="W15620" s="318"/>
      <c r="X15620" s="318"/>
      <c r="Y15620" s="318"/>
      <c r="Z15620" s="318"/>
      <c r="AA15620" s="318"/>
      <c r="AB15620" s="318"/>
      <c r="AC15620" s="318"/>
      <c r="AD15620" s="318"/>
    </row>
    <row r="15621" spans="2:30" s="323" customFormat="1" ht="12" customHeight="1">
      <c r="B15621" s="324"/>
      <c r="C15621" s="325"/>
      <c r="D15621" s="326"/>
      <c r="E15621" s="326"/>
      <c r="F15621" s="326"/>
      <c r="G15621" s="326"/>
      <c r="H15621" s="326"/>
      <c r="P15621" s="318"/>
      <c r="Q15621" s="318"/>
      <c r="R15621" s="318"/>
      <c r="S15621" s="318"/>
      <c r="T15621" s="318"/>
      <c r="U15621" s="318"/>
      <c r="V15621" s="318"/>
      <c r="W15621" s="318"/>
      <c r="X15621" s="318"/>
      <c r="Y15621" s="318"/>
      <c r="Z15621" s="318"/>
      <c r="AA15621" s="318"/>
      <c r="AB15621" s="318"/>
      <c r="AC15621" s="318"/>
      <c r="AD15621" s="318"/>
    </row>
    <row r="15622" spans="2:30" s="323" customFormat="1" ht="12" customHeight="1">
      <c r="B15622" s="324"/>
      <c r="C15622" s="325"/>
      <c r="D15622" s="326"/>
      <c r="E15622" s="326"/>
      <c r="F15622" s="326"/>
      <c r="G15622" s="326"/>
      <c r="H15622" s="326"/>
      <c r="P15622" s="318"/>
      <c r="Q15622" s="318"/>
      <c r="R15622" s="318"/>
      <c r="S15622" s="318"/>
      <c r="T15622" s="318"/>
      <c r="U15622" s="318"/>
      <c r="V15622" s="318"/>
      <c r="W15622" s="318"/>
      <c r="X15622" s="318"/>
      <c r="Y15622" s="318"/>
      <c r="Z15622" s="318"/>
      <c r="AA15622" s="318"/>
      <c r="AB15622" s="318"/>
      <c r="AC15622" s="318"/>
      <c r="AD15622" s="318"/>
    </row>
    <row r="15623" spans="2:30" s="323" customFormat="1" ht="12" customHeight="1">
      <c r="B15623" s="324"/>
      <c r="C15623" s="325"/>
      <c r="D15623" s="326"/>
      <c r="E15623" s="326"/>
      <c r="F15623" s="326"/>
      <c r="G15623" s="326"/>
      <c r="H15623" s="326"/>
      <c r="P15623" s="318"/>
      <c r="Q15623" s="318"/>
      <c r="R15623" s="318"/>
      <c r="S15623" s="318"/>
      <c r="T15623" s="318"/>
      <c r="U15623" s="318"/>
      <c r="V15623" s="318"/>
      <c r="W15623" s="318"/>
      <c r="X15623" s="318"/>
      <c r="Y15623" s="318"/>
      <c r="Z15623" s="318"/>
      <c r="AA15623" s="318"/>
      <c r="AB15623" s="318"/>
      <c r="AC15623" s="318"/>
      <c r="AD15623" s="318"/>
    </row>
    <row r="15624" spans="2:30" s="323" customFormat="1" ht="12" customHeight="1">
      <c r="B15624" s="324"/>
      <c r="C15624" s="325"/>
      <c r="D15624" s="326"/>
      <c r="E15624" s="326"/>
      <c r="F15624" s="326"/>
      <c r="G15624" s="326"/>
      <c r="H15624" s="326"/>
      <c r="P15624" s="318"/>
      <c r="Q15624" s="318"/>
      <c r="R15624" s="318"/>
      <c r="S15624" s="318"/>
      <c r="T15624" s="318"/>
      <c r="U15624" s="318"/>
      <c r="V15624" s="318"/>
      <c r="W15624" s="318"/>
      <c r="X15624" s="318"/>
      <c r="Y15624" s="318"/>
      <c r="Z15624" s="318"/>
      <c r="AA15624" s="318"/>
      <c r="AB15624" s="318"/>
      <c r="AC15624" s="318"/>
      <c r="AD15624" s="318"/>
    </row>
    <row r="15625" spans="2:30" s="323" customFormat="1" ht="12" customHeight="1">
      <c r="B15625" s="324"/>
      <c r="C15625" s="325"/>
      <c r="D15625" s="326"/>
      <c r="E15625" s="326"/>
      <c r="F15625" s="326"/>
      <c r="G15625" s="326"/>
      <c r="H15625" s="326"/>
      <c r="P15625" s="318"/>
      <c r="Q15625" s="318"/>
      <c r="R15625" s="318"/>
      <c r="S15625" s="318"/>
      <c r="T15625" s="318"/>
      <c r="U15625" s="318"/>
      <c r="V15625" s="318"/>
      <c r="W15625" s="318"/>
      <c r="X15625" s="318"/>
      <c r="Y15625" s="318"/>
      <c r="Z15625" s="318"/>
      <c r="AA15625" s="318"/>
      <c r="AB15625" s="318"/>
      <c r="AC15625" s="318"/>
      <c r="AD15625" s="318"/>
    </row>
    <row r="15626" spans="2:30" s="323" customFormat="1" ht="12" customHeight="1">
      <c r="B15626" s="324"/>
      <c r="C15626" s="325"/>
      <c r="D15626" s="326"/>
      <c r="E15626" s="326"/>
      <c r="F15626" s="326"/>
      <c r="G15626" s="326"/>
      <c r="H15626" s="326"/>
      <c r="P15626" s="318"/>
      <c r="Q15626" s="318"/>
      <c r="R15626" s="318"/>
      <c r="S15626" s="318"/>
      <c r="T15626" s="318"/>
      <c r="U15626" s="318"/>
      <c r="V15626" s="318"/>
      <c r="W15626" s="318"/>
      <c r="X15626" s="318"/>
      <c r="Y15626" s="318"/>
      <c r="Z15626" s="318"/>
      <c r="AA15626" s="318"/>
      <c r="AB15626" s="318"/>
      <c r="AC15626" s="318"/>
      <c r="AD15626" s="318"/>
    </row>
    <row r="15627" spans="2:30" s="323" customFormat="1" ht="12" customHeight="1">
      <c r="B15627" s="324"/>
      <c r="C15627" s="325"/>
      <c r="D15627" s="326"/>
      <c r="E15627" s="326"/>
      <c r="F15627" s="326"/>
      <c r="G15627" s="326"/>
      <c r="H15627" s="326"/>
      <c r="P15627" s="318"/>
      <c r="Q15627" s="318"/>
      <c r="R15627" s="318"/>
      <c r="S15627" s="318"/>
      <c r="T15627" s="318"/>
      <c r="U15627" s="318"/>
      <c r="V15627" s="318"/>
      <c r="W15627" s="318"/>
      <c r="X15627" s="318"/>
      <c r="Y15627" s="318"/>
      <c r="Z15627" s="318"/>
      <c r="AA15627" s="318"/>
      <c r="AB15627" s="318"/>
      <c r="AC15627" s="318"/>
      <c r="AD15627" s="318"/>
    </row>
    <row r="15628" spans="2:30" s="323" customFormat="1" ht="12" customHeight="1">
      <c r="B15628" s="324"/>
      <c r="C15628" s="325"/>
      <c r="D15628" s="326"/>
      <c r="E15628" s="326"/>
      <c r="F15628" s="326"/>
      <c r="G15628" s="326"/>
      <c r="H15628" s="326"/>
      <c r="P15628" s="318"/>
      <c r="Q15628" s="318"/>
      <c r="R15628" s="318"/>
      <c r="S15628" s="318"/>
      <c r="T15628" s="318"/>
      <c r="U15628" s="318"/>
      <c r="V15628" s="318"/>
      <c r="W15628" s="318"/>
      <c r="X15628" s="318"/>
      <c r="Y15628" s="318"/>
      <c r="Z15628" s="318"/>
      <c r="AA15628" s="318"/>
      <c r="AB15628" s="318"/>
      <c r="AC15628" s="318"/>
      <c r="AD15628" s="318"/>
    </row>
    <row r="15629" spans="2:30" s="323" customFormat="1" ht="12" customHeight="1">
      <c r="B15629" s="324"/>
      <c r="C15629" s="325"/>
      <c r="D15629" s="326"/>
      <c r="E15629" s="326"/>
      <c r="F15629" s="326"/>
      <c r="G15629" s="326"/>
      <c r="H15629" s="326"/>
      <c r="P15629" s="318"/>
      <c r="Q15629" s="318"/>
      <c r="R15629" s="318"/>
      <c r="S15629" s="318"/>
      <c r="T15629" s="318"/>
      <c r="U15629" s="318"/>
      <c r="V15629" s="318"/>
      <c r="W15629" s="318"/>
      <c r="X15629" s="318"/>
      <c r="Y15629" s="318"/>
      <c r="Z15629" s="318"/>
      <c r="AA15629" s="318"/>
      <c r="AB15629" s="318"/>
      <c r="AC15629" s="318"/>
      <c r="AD15629" s="318"/>
    </row>
    <row r="15630" spans="2:30" s="323" customFormat="1" ht="12" customHeight="1">
      <c r="B15630" s="324"/>
      <c r="C15630" s="325"/>
      <c r="D15630" s="326"/>
      <c r="E15630" s="326"/>
      <c r="F15630" s="326"/>
      <c r="G15630" s="326"/>
      <c r="H15630" s="326"/>
      <c r="P15630" s="318"/>
      <c r="Q15630" s="318"/>
      <c r="R15630" s="318"/>
      <c r="S15630" s="318"/>
      <c r="T15630" s="318"/>
      <c r="U15630" s="318"/>
      <c r="V15630" s="318"/>
      <c r="W15630" s="318"/>
      <c r="X15630" s="318"/>
      <c r="Y15630" s="318"/>
      <c r="Z15630" s="318"/>
      <c r="AA15630" s="318"/>
      <c r="AB15630" s="318"/>
      <c r="AC15630" s="318"/>
      <c r="AD15630" s="318"/>
    </row>
    <row r="15631" spans="2:30" s="323" customFormat="1" ht="12" customHeight="1">
      <c r="B15631" s="324"/>
      <c r="C15631" s="325"/>
      <c r="D15631" s="326"/>
      <c r="E15631" s="326"/>
      <c r="F15631" s="326"/>
      <c r="G15631" s="326"/>
      <c r="H15631" s="326"/>
      <c r="P15631" s="318"/>
      <c r="Q15631" s="318"/>
      <c r="R15631" s="318"/>
      <c r="S15631" s="318"/>
      <c r="T15631" s="318"/>
      <c r="U15631" s="318"/>
      <c r="V15631" s="318"/>
      <c r="W15631" s="318"/>
      <c r="X15631" s="318"/>
      <c r="Y15631" s="318"/>
      <c r="Z15631" s="318"/>
      <c r="AA15631" s="318"/>
      <c r="AB15631" s="318"/>
      <c r="AC15631" s="318"/>
      <c r="AD15631" s="318"/>
    </row>
    <row r="15632" spans="2:30" s="323" customFormat="1" ht="12" customHeight="1">
      <c r="B15632" s="324"/>
      <c r="C15632" s="325"/>
      <c r="D15632" s="326"/>
      <c r="E15632" s="326"/>
      <c r="F15632" s="326"/>
      <c r="G15632" s="326"/>
      <c r="H15632" s="326"/>
      <c r="P15632" s="318"/>
      <c r="Q15632" s="318"/>
      <c r="R15632" s="318"/>
      <c r="S15632" s="318"/>
      <c r="T15632" s="318"/>
      <c r="U15632" s="318"/>
      <c r="V15632" s="318"/>
      <c r="W15632" s="318"/>
      <c r="X15632" s="318"/>
      <c r="Y15632" s="318"/>
      <c r="Z15632" s="318"/>
      <c r="AA15632" s="318"/>
      <c r="AB15632" s="318"/>
      <c r="AC15632" s="318"/>
      <c r="AD15632" s="318"/>
    </row>
    <row r="15633" spans="2:30" s="323" customFormat="1" ht="12" customHeight="1">
      <c r="B15633" s="324"/>
      <c r="C15633" s="325"/>
      <c r="D15633" s="326"/>
      <c r="E15633" s="326"/>
      <c r="F15633" s="326"/>
      <c r="G15633" s="326"/>
      <c r="H15633" s="326"/>
      <c r="P15633" s="318"/>
      <c r="Q15633" s="318"/>
      <c r="R15633" s="318"/>
      <c r="S15633" s="318"/>
      <c r="T15633" s="318"/>
      <c r="U15633" s="318"/>
      <c r="V15633" s="318"/>
      <c r="W15633" s="318"/>
      <c r="X15633" s="318"/>
      <c r="Y15633" s="318"/>
      <c r="Z15633" s="318"/>
      <c r="AA15633" s="318"/>
      <c r="AB15633" s="318"/>
      <c r="AC15633" s="318"/>
      <c r="AD15633" s="318"/>
    </row>
    <row r="15634" spans="2:30" s="323" customFormat="1" ht="12" customHeight="1">
      <c r="B15634" s="324"/>
      <c r="C15634" s="325"/>
      <c r="D15634" s="326"/>
      <c r="E15634" s="326"/>
      <c r="F15634" s="326"/>
      <c r="G15634" s="326"/>
      <c r="H15634" s="326"/>
      <c r="P15634" s="318"/>
      <c r="Q15634" s="318"/>
      <c r="R15634" s="318"/>
      <c r="S15634" s="318"/>
      <c r="T15634" s="318"/>
      <c r="U15634" s="318"/>
      <c r="V15634" s="318"/>
      <c r="W15634" s="318"/>
      <c r="X15634" s="318"/>
      <c r="Y15634" s="318"/>
      <c r="Z15634" s="318"/>
      <c r="AA15634" s="318"/>
      <c r="AB15634" s="318"/>
      <c r="AC15634" s="318"/>
      <c r="AD15634" s="318"/>
    </row>
    <row r="15635" spans="2:30" s="323" customFormat="1" ht="12" customHeight="1">
      <c r="B15635" s="324"/>
      <c r="C15635" s="325"/>
      <c r="D15635" s="326"/>
      <c r="E15635" s="326"/>
      <c r="F15635" s="326"/>
      <c r="G15635" s="326"/>
      <c r="H15635" s="326"/>
      <c r="P15635" s="318"/>
      <c r="Q15635" s="318"/>
      <c r="R15635" s="318"/>
      <c r="S15635" s="318"/>
      <c r="T15635" s="318"/>
      <c r="U15635" s="318"/>
      <c r="V15635" s="318"/>
      <c r="W15635" s="318"/>
      <c r="X15635" s="318"/>
      <c r="Y15635" s="318"/>
      <c r="Z15635" s="318"/>
      <c r="AA15635" s="318"/>
      <c r="AB15635" s="318"/>
      <c r="AC15635" s="318"/>
      <c r="AD15635" s="318"/>
    </row>
    <row r="15636" spans="2:30" s="323" customFormat="1" ht="12" customHeight="1">
      <c r="B15636" s="324"/>
      <c r="C15636" s="325"/>
      <c r="D15636" s="326"/>
      <c r="E15636" s="326"/>
      <c r="F15636" s="326"/>
      <c r="G15636" s="326"/>
      <c r="H15636" s="326"/>
      <c r="P15636" s="318"/>
      <c r="Q15636" s="318"/>
      <c r="R15636" s="318"/>
      <c r="S15636" s="318"/>
      <c r="T15636" s="318"/>
      <c r="U15636" s="318"/>
      <c r="V15636" s="318"/>
      <c r="W15636" s="318"/>
      <c r="X15636" s="318"/>
      <c r="Y15636" s="318"/>
      <c r="Z15636" s="318"/>
      <c r="AA15636" s="318"/>
      <c r="AB15636" s="318"/>
      <c r="AC15636" s="318"/>
      <c r="AD15636" s="318"/>
    </row>
    <row r="15637" spans="2:30" s="323" customFormat="1" ht="12" customHeight="1">
      <c r="B15637" s="324"/>
      <c r="C15637" s="325"/>
      <c r="D15637" s="326"/>
      <c r="E15637" s="326"/>
      <c r="F15637" s="326"/>
      <c r="G15637" s="326"/>
      <c r="H15637" s="326"/>
      <c r="P15637" s="318"/>
      <c r="Q15637" s="318"/>
      <c r="R15637" s="318"/>
      <c r="S15637" s="318"/>
      <c r="T15637" s="318"/>
      <c r="U15637" s="318"/>
      <c r="V15637" s="318"/>
      <c r="W15637" s="318"/>
      <c r="X15637" s="318"/>
      <c r="Y15637" s="318"/>
      <c r="Z15637" s="318"/>
      <c r="AA15637" s="318"/>
      <c r="AB15637" s="318"/>
      <c r="AC15637" s="318"/>
      <c r="AD15637" s="318"/>
    </row>
    <row r="15638" spans="2:30" s="323" customFormat="1" ht="12" customHeight="1">
      <c r="B15638" s="324"/>
      <c r="C15638" s="325"/>
      <c r="D15638" s="326"/>
      <c r="E15638" s="326"/>
      <c r="F15638" s="326"/>
      <c r="G15638" s="326"/>
      <c r="H15638" s="326"/>
      <c r="P15638" s="318"/>
      <c r="Q15638" s="318"/>
      <c r="R15638" s="318"/>
      <c r="S15638" s="318"/>
      <c r="T15638" s="318"/>
      <c r="U15638" s="318"/>
      <c r="V15638" s="318"/>
      <c r="W15638" s="318"/>
      <c r="X15638" s="318"/>
      <c r="Y15638" s="318"/>
      <c r="Z15638" s="318"/>
      <c r="AA15638" s="318"/>
      <c r="AB15638" s="318"/>
      <c r="AC15638" s="318"/>
      <c r="AD15638" s="318"/>
    </row>
    <row r="15639" spans="2:30" s="323" customFormat="1" ht="12" customHeight="1">
      <c r="B15639" s="324"/>
      <c r="C15639" s="325"/>
      <c r="D15639" s="326"/>
      <c r="E15639" s="326"/>
      <c r="F15639" s="326"/>
      <c r="G15639" s="326"/>
      <c r="H15639" s="326"/>
      <c r="P15639" s="318"/>
      <c r="Q15639" s="318"/>
      <c r="R15639" s="318"/>
      <c r="S15639" s="318"/>
      <c r="T15639" s="318"/>
      <c r="U15639" s="318"/>
      <c r="V15639" s="318"/>
      <c r="W15639" s="318"/>
      <c r="X15639" s="318"/>
      <c r="Y15639" s="318"/>
      <c r="Z15639" s="318"/>
      <c r="AA15639" s="318"/>
      <c r="AB15639" s="318"/>
      <c r="AC15639" s="318"/>
      <c r="AD15639" s="318"/>
    </row>
    <row r="15640" spans="2:30" s="323" customFormat="1" ht="12" customHeight="1">
      <c r="B15640" s="324"/>
      <c r="C15640" s="325"/>
      <c r="D15640" s="326"/>
      <c r="E15640" s="326"/>
      <c r="F15640" s="326"/>
      <c r="G15640" s="326"/>
      <c r="H15640" s="326"/>
      <c r="P15640" s="318"/>
      <c r="Q15640" s="318"/>
      <c r="R15640" s="318"/>
      <c r="S15640" s="318"/>
      <c r="T15640" s="318"/>
      <c r="U15640" s="318"/>
      <c r="V15640" s="318"/>
      <c r="W15640" s="318"/>
      <c r="X15640" s="318"/>
      <c r="Y15640" s="318"/>
      <c r="Z15640" s="318"/>
      <c r="AA15640" s="318"/>
      <c r="AB15640" s="318"/>
      <c r="AC15640" s="318"/>
      <c r="AD15640" s="318"/>
    </row>
    <row r="15641" spans="2:30" s="323" customFormat="1" ht="12" customHeight="1">
      <c r="B15641" s="324"/>
      <c r="C15641" s="325"/>
      <c r="D15641" s="326"/>
      <c r="E15641" s="326"/>
      <c r="F15641" s="326"/>
      <c r="G15641" s="326"/>
      <c r="H15641" s="326"/>
      <c r="P15641" s="318"/>
      <c r="Q15641" s="318"/>
      <c r="R15641" s="318"/>
      <c r="S15641" s="318"/>
      <c r="T15641" s="318"/>
      <c r="U15641" s="318"/>
      <c r="V15641" s="318"/>
      <c r="W15641" s="318"/>
      <c r="X15641" s="318"/>
      <c r="Y15641" s="318"/>
      <c r="Z15641" s="318"/>
      <c r="AA15641" s="318"/>
      <c r="AB15641" s="318"/>
      <c r="AC15641" s="318"/>
      <c r="AD15641" s="318"/>
    </row>
    <row r="15642" spans="2:30" s="323" customFormat="1" ht="12" customHeight="1">
      <c r="B15642" s="324"/>
      <c r="C15642" s="325"/>
      <c r="D15642" s="326"/>
      <c r="E15642" s="326"/>
      <c r="F15642" s="326"/>
      <c r="G15642" s="326"/>
      <c r="H15642" s="326"/>
      <c r="P15642" s="318"/>
      <c r="Q15642" s="318"/>
      <c r="R15642" s="318"/>
      <c r="S15642" s="318"/>
      <c r="T15642" s="318"/>
      <c r="U15642" s="318"/>
      <c r="V15642" s="318"/>
      <c r="W15642" s="318"/>
      <c r="X15642" s="318"/>
      <c r="Y15642" s="318"/>
      <c r="Z15642" s="318"/>
      <c r="AA15642" s="318"/>
      <c r="AB15642" s="318"/>
      <c r="AC15642" s="318"/>
      <c r="AD15642" s="318"/>
    </row>
    <row r="15643" spans="2:30" s="323" customFormat="1" ht="12" customHeight="1">
      <c r="B15643" s="324"/>
      <c r="C15643" s="325"/>
      <c r="D15643" s="326"/>
      <c r="E15643" s="326"/>
      <c r="F15643" s="326"/>
      <c r="G15643" s="326"/>
      <c r="H15643" s="326"/>
      <c r="P15643" s="318"/>
      <c r="Q15643" s="318"/>
      <c r="R15643" s="318"/>
      <c r="S15643" s="318"/>
      <c r="T15643" s="318"/>
      <c r="U15643" s="318"/>
      <c r="V15643" s="318"/>
      <c r="W15643" s="318"/>
      <c r="X15643" s="318"/>
      <c r="Y15643" s="318"/>
      <c r="Z15643" s="318"/>
      <c r="AA15643" s="318"/>
      <c r="AB15643" s="318"/>
      <c r="AC15643" s="318"/>
      <c r="AD15643" s="318"/>
    </row>
    <row r="15644" spans="2:30" s="323" customFormat="1" ht="12" customHeight="1">
      <c r="B15644" s="324"/>
      <c r="C15644" s="325"/>
      <c r="D15644" s="326"/>
      <c r="E15644" s="326"/>
      <c r="F15644" s="326"/>
      <c r="G15644" s="326"/>
      <c r="H15644" s="326"/>
      <c r="P15644" s="318"/>
      <c r="Q15644" s="318"/>
      <c r="R15644" s="318"/>
      <c r="S15644" s="318"/>
      <c r="T15644" s="318"/>
      <c r="U15644" s="318"/>
      <c r="V15644" s="318"/>
      <c r="W15644" s="318"/>
      <c r="X15644" s="318"/>
      <c r="Y15644" s="318"/>
      <c r="Z15644" s="318"/>
      <c r="AA15644" s="318"/>
      <c r="AB15644" s="318"/>
      <c r="AC15644" s="318"/>
      <c r="AD15644" s="318"/>
    </row>
    <row r="15645" spans="2:30" s="323" customFormat="1" ht="12" customHeight="1">
      <c r="B15645" s="324"/>
      <c r="C15645" s="325"/>
      <c r="D15645" s="326"/>
      <c r="E15645" s="326"/>
      <c r="F15645" s="326"/>
      <c r="G15645" s="326"/>
      <c r="H15645" s="326"/>
      <c r="P15645" s="318"/>
      <c r="Q15645" s="318"/>
      <c r="R15645" s="318"/>
      <c r="S15645" s="318"/>
      <c r="T15645" s="318"/>
      <c r="U15645" s="318"/>
      <c r="V15645" s="318"/>
      <c r="W15645" s="318"/>
      <c r="X15645" s="318"/>
      <c r="Y15645" s="318"/>
      <c r="Z15645" s="318"/>
      <c r="AA15645" s="318"/>
      <c r="AB15645" s="318"/>
      <c r="AC15645" s="318"/>
      <c r="AD15645" s="318"/>
    </row>
    <row r="15646" spans="2:30" s="323" customFormat="1" ht="12" customHeight="1">
      <c r="B15646" s="324"/>
      <c r="C15646" s="325"/>
      <c r="D15646" s="326"/>
      <c r="E15646" s="326"/>
      <c r="F15646" s="326"/>
      <c r="G15646" s="326"/>
      <c r="H15646" s="326"/>
      <c r="P15646" s="318"/>
      <c r="Q15646" s="318"/>
      <c r="R15646" s="318"/>
      <c r="S15646" s="318"/>
      <c r="T15646" s="318"/>
      <c r="U15646" s="318"/>
      <c r="V15646" s="318"/>
      <c r="W15646" s="318"/>
      <c r="X15646" s="318"/>
      <c r="Y15646" s="318"/>
      <c r="Z15646" s="318"/>
      <c r="AA15646" s="318"/>
      <c r="AB15646" s="318"/>
      <c r="AC15646" s="318"/>
      <c r="AD15646" s="318"/>
    </row>
    <row r="15647" spans="2:30" s="323" customFormat="1" ht="12" customHeight="1">
      <c r="B15647" s="324"/>
      <c r="C15647" s="325"/>
      <c r="D15647" s="326"/>
      <c r="E15647" s="326"/>
      <c r="F15647" s="326"/>
      <c r="G15647" s="326"/>
      <c r="H15647" s="326"/>
      <c r="P15647" s="318"/>
      <c r="Q15647" s="318"/>
      <c r="R15647" s="318"/>
      <c r="S15647" s="318"/>
      <c r="T15647" s="318"/>
      <c r="U15647" s="318"/>
      <c r="V15647" s="318"/>
      <c r="W15647" s="318"/>
      <c r="X15647" s="318"/>
      <c r="Y15647" s="318"/>
      <c r="Z15647" s="318"/>
      <c r="AA15647" s="318"/>
      <c r="AB15647" s="318"/>
      <c r="AC15647" s="318"/>
      <c r="AD15647" s="318"/>
    </row>
    <row r="15648" spans="2:30" s="323" customFormat="1" ht="12" customHeight="1">
      <c r="B15648" s="324"/>
      <c r="C15648" s="325"/>
      <c r="D15648" s="326"/>
      <c r="E15648" s="326"/>
      <c r="F15648" s="326"/>
      <c r="G15648" s="326"/>
      <c r="H15648" s="326"/>
      <c r="P15648" s="318"/>
      <c r="Q15648" s="318"/>
      <c r="R15648" s="318"/>
      <c r="S15648" s="318"/>
      <c r="T15648" s="318"/>
      <c r="U15648" s="318"/>
      <c r="V15648" s="318"/>
      <c r="W15648" s="318"/>
      <c r="X15648" s="318"/>
      <c r="Y15648" s="318"/>
      <c r="Z15648" s="318"/>
      <c r="AA15648" s="318"/>
      <c r="AB15648" s="318"/>
      <c r="AC15648" s="318"/>
      <c r="AD15648" s="318"/>
    </row>
    <row r="15649" spans="2:30" s="323" customFormat="1" ht="12" customHeight="1">
      <c r="B15649" s="324"/>
      <c r="C15649" s="325"/>
      <c r="D15649" s="326"/>
      <c r="E15649" s="326"/>
      <c r="F15649" s="326"/>
      <c r="G15649" s="326"/>
      <c r="H15649" s="326"/>
      <c r="P15649" s="318"/>
      <c r="Q15649" s="318"/>
      <c r="R15649" s="318"/>
      <c r="S15649" s="318"/>
      <c r="T15649" s="318"/>
      <c r="U15649" s="318"/>
      <c r="V15649" s="318"/>
      <c r="W15649" s="318"/>
      <c r="X15649" s="318"/>
      <c r="Y15649" s="318"/>
      <c r="Z15649" s="318"/>
      <c r="AA15649" s="318"/>
      <c r="AB15649" s="318"/>
      <c r="AC15649" s="318"/>
      <c r="AD15649" s="318"/>
    </row>
    <row r="15650" spans="2:30" s="323" customFormat="1" ht="12" customHeight="1">
      <c r="B15650" s="324"/>
      <c r="C15650" s="325"/>
      <c r="D15650" s="326"/>
      <c r="E15650" s="326"/>
      <c r="F15650" s="326"/>
      <c r="G15650" s="326"/>
      <c r="H15650" s="326"/>
      <c r="P15650" s="318"/>
      <c r="Q15650" s="318"/>
      <c r="R15650" s="318"/>
      <c r="S15650" s="318"/>
      <c r="T15650" s="318"/>
      <c r="U15650" s="318"/>
      <c r="V15650" s="318"/>
      <c r="W15650" s="318"/>
      <c r="X15650" s="318"/>
      <c r="Y15650" s="318"/>
      <c r="Z15650" s="318"/>
      <c r="AA15650" s="318"/>
      <c r="AB15650" s="318"/>
      <c r="AC15650" s="318"/>
      <c r="AD15650" s="318"/>
    </row>
    <row r="15651" spans="2:30" s="323" customFormat="1" ht="12" customHeight="1">
      <c r="B15651" s="324"/>
      <c r="C15651" s="325"/>
      <c r="D15651" s="326"/>
      <c r="E15651" s="326"/>
      <c r="F15651" s="326"/>
      <c r="G15651" s="326"/>
      <c r="H15651" s="326"/>
      <c r="P15651" s="318"/>
      <c r="Q15651" s="318"/>
      <c r="R15651" s="318"/>
      <c r="S15651" s="318"/>
      <c r="T15651" s="318"/>
      <c r="U15651" s="318"/>
      <c r="V15651" s="318"/>
      <c r="W15651" s="318"/>
      <c r="X15651" s="318"/>
      <c r="Y15651" s="318"/>
      <c r="Z15651" s="318"/>
      <c r="AA15651" s="318"/>
      <c r="AB15651" s="318"/>
      <c r="AC15651" s="318"/>
      <c r="AD15651" s="318"/>
    </row>
    <row r="15652" spans="2:30" s="323" customFormat="1" ht="12" customHeight="1">
      <c r="B15652" s="324"/>
      <c r="C15652" s="325"/>
      <c r="D15652" s="326"/>
      <c r="E15652" s="326"/>
      <c r="F15652" s="326"/>
      <c r="G15652" s="326"/>
      <c r="H15652" s="326"/>
      <c r="P15652" s="318"/>
      <c r="Q15652" s="318"/>
      <c r="R15652" s="318"/>
      <c r="S15652" s="318"/>
      <c r="T15652" s="318"/>
      <c r="U15652" s="318"/>
      <c r="V15652" s="318"/>
      <c r="W15652" s="318"/>
      <c r="X15652" s="318"/>
      <c r="Y15652" s="318"/>
      <c r="Z15652" s="318"/>
      <c r="AA15652" s="318"/>
      <c r="AB15652" s="318"/>
      <c r="AC15652" s="318"/>
      <c r="AD15652" s="318"/>
    </row>
    <row r="15653" spans="2:30" s="323" customFormat="1" ht="12" customHeight="1">
      <c r="B15653" s="324"/>
      <c r="C15653" s="325"/>
      <c r="D15653" s="326"/>
      <c r="E15653" s="326"/>
      <c r="F15653" s="326"/>
      <c r="G15653" s="326"/>
      <c r="H15653" s="326"/>
      <c r="P15653" s="318"/>
      <c r="Q15653" s="318"/>
      <c r="R15653" s="318"/>
      <c r="S15653" s="318"/>
      <c r="T15653" s="318"/>
      <c r="U15653" s="318"/>
      <c r="V15653" s="318"/>
      <c r="W15653" s="318"/>
      <c r="X15653" s="318"/>
      <c r="Y15653" s="318"/>
      <c r="Z15653" s="318"/>
      <c r="AA15653" s="318"/>
      <c r="AB15653" s="318"/>
      <c r="AC15653" s="318"/>
      <c r="AD15653" s="318"/>
    </row>
    <row r="15654" spans="2:30" s="323" customFormat="1" ht="12" customHeight="1">
      <c r="B15654" s="324"/>
      <c r="C15654" s="325"/>
      <c r="D15654" s="326"/>
      <c r="E15654" s="326"/>
      <c r="F15654" s="326"/>
      <c r="G15654" s="326"/>
      <c r="H15654" s="326"/>
      <c r="P15654" s="318"/>
      <c r="Q15654" s="318"/>
      <c r="R15654" s="318"/>
      <c r="S15654" s="318"/>
      <c r="T15654" s="318"/>
      <c r="U15654" s="318"/>
      <c r="V15654" s="318"/>
      <c r="W15654" s="318"/>
      <c r="X15654" s="318"/>
      <c r="Y15654" s="318"/>
      <c r="Z15654" s="318"/>
      <c r="AA15654" s="318"/>
      <c r="AB15654" s="318"/>
      <c r="AC15654" s="318"/>
      <c r="AD15654" s="318"/>
    </row>
    <row r="15655" spans="2:30" s="323" customFormat="1" ht="12" customHeight="1">
      <c r="B15655" s="324"/>
      <c r="C15655" s="325"/>
      <c r="D15655" s="326"/>
      <c r="E15655" s="326"/>
      <c r="F15655" s="326"/>
      <c r="G15655" s="326"/>
      <c r="H15655" s="326"/>
      <c r="P15655" s="318"/>
      <c r="Q15655" s="318"/>
      <c r="R15655" s="318"/>
      <c r="S15655" s="318"/>
      <c r="T15655" s="318"/>
      <c r="U15655" s="318"/>
      <c r="V15655" s="318"/>
      <c r="W15655" s="318"/>
      <c r="X15655" s="318"/>
      <c r="Y15655" s="318"/>
      <c r="Z15655" s="318"/>
      <c r="AA15655" s="318"/>
      <c r="AB15655" s="318"/>
      <c r="AC15655" s="318"/>
      <c r="AD15655" s="318"/>
    </row>
    <row r="15656" spans="2:30" s="323" customFormat="1" ht="12" customHeight="1">
      <c r="B15656" s="324"/>
      <c r="C15656" s="325"/>
      <c r="D15656" s="326"/>
      <c r="E15656" s="326"/>
      <c r="F15656" s="326"/>
      <c r="G15656" s="326"/>
      <c r="H15656" s="326"/>
      <c r="P15656" s="318"/>
      <c r="Q15656" s="318"/>
      <c r="R15656" s="318"/>
      <c r="S15656" s="318"/>
      <c r="T15656" s="318"/>
      <c r="U15656" s="318"/>
      <c r="V15656" s="318"/>
      <c r="W15656" s="318"/>
      <c r="X15656" s="318"/>
      <c r="Y15656" s="318"/>
      <c r="Z15656" s="318"/>
      <c r="AA15656" s="318"/>
      <c r="AB15656" s="318"/>
      <c r="AC15656" s="318"/>
      <c r="AD15656" s="318"/>
    </row>
    <row r="15657" spans="2:30" s="323" customFormat="1" ht="12" customHeight="1">
      <c r="B15657" s="324"/>
      <c r="C15657" s="325"/>
      <c r="D15657" s="326"/>
      <c r="E15657" s="326"/>
      <c r="F15657" s="326"/>
      <c r="G15657" s="326"/>
      <c r="H15657" s="326"/>
      <c r="P15657" s="318"/>
      <c r="Q15657" s="318"/>
      <c r="R15657" s="318"/>
      <c r="S15657" s="318"/>
      <c r="T15657" s="318"/>
      <c r="U15657" s="318"/>
      <c r="V15657" s="318"/>
      <c r="W15657" s="318"/>
      <c r="X15657" s="318"/>
      <c r="Y15657" s="318"/>
      <c r="Z15657" s="318"/>
      <c r="AA15657" s="318"/>
      <c r="AB15657" s="318"/>
      <c r="AC15657" s="318"/>
      <c r="AD15657" s="318"/>
    </row>
    <row r="15658" spans="2:30" s="323" customFormat="1" ht="12" customHeight="1">
      <c r="B15658" s="324"/>
      <c r="C15658" s="325"/>
      <c r="D15658" s="326"/>
      <c r="E15658" s="326"/>
      <c r="F15658" s="326"/>
      <c r="G15658" s="326"/>
      <c r="H15658" s="326"/>
      <c r="P15658" s="318"/>
      <c r="Q15658" s="318"/>
      <c r="R15658" s="318"/>
      <c r="S15658" s="318"/>
      <c r="T15658" s="318"/>
      <c r="U15658" s="318"/>
      <c r="V15658" s="318"/>
      <c r="W15658" s="318"/>
      <c r="X15658" s="318"/>
      <c r="Y15658" s="318"/>
      <c r="Z15658" s="318"/>
      <c r="AA15658" s="318"/>
      <c r="AB15658" s="318"/>
      <c r="AC15658" s="318"/>
      <c r="AD15658" s="318"/>
    </row>
    <row r="15659" spans="2:30" s="323" customFormat="1" ht="12" customHeight="1">
      <c r="B15659" s="324"/>
      <c r="C15659" s="325"/>
      <c r="D15659" s="326"/>
      <c r="E15659" s="326"/>
      <c r="F15659" s="326"/>
      <c r="G15659" s="326"/>
      <c r="H15659" s="326"/>
      <c r="P15659" s="318"/>
      <c r="Q15659" s="318"/>
      <c r="R15659" s="318"/>
      <c r="S15659" s="318"/>
      <c r="T15659" s="318"/>
      <c r="U15659" s="318"/>
      <c r="V15659" s="318"/>
      <c r="W15659" s="318"/>
      <c r="X15659" s="318"/>
      <c r="Y15659" s="318"/>
      <c r="Z15659" s="318"/>
      <c r="AA15659" s="318"/>
      <c r="AB15659" s="318"/>
      <c r="AC15659" s="318"/>
      <c r="AD15659" s="318"/>
    </row>
    <row r="15660" spans="2:30" s="323" customFormat="1" ht="12" customHeight="1">
      <c r="B15660" s="324"/>
      <c r="C15660" s="325"/>
      <c r="D15660" s="326"/>
      <c r="E15660" s="326"/>
      <c r="F15660" s="326"/>
      <c r="G15660" s="326"/>
      <c r="H15660" s="326"/>
      <c r="P15660" s="318"/>
      <c r="Q15660" s="318"/>
      <c r="R15660" s="318"/>
      <c r="S15660" s="318"/>
      <c r="T15660" s="318"/>
      <c r="U15660" s="318"/>
      <c r="V15660" s="318"/>
      <c r="W15660" s="318"/>
      <c r="X15660" s="318"/>
      <c r="Y15660" s="318"/>
      <c r="Z15660" s="318"/>
      <c r="AA15660" s="318"/>
      <c r="AB15660" s="318"/>
      <c r="AC15660" s="318"/>
      <c r="AD15660" s="318"/>
    </row>
    <row r="15661" spans="2:30" s="323" customFormat="1" ht="12" customHeight="1">
      <c r="B15661" s="324"/>
      <c r="C15661" s="325"/>
      <c r="D15661" s="326"/>
      <c r="E15661" s="326"/>
      <c r="F15661" s="326"/>
      <c r="G15661" s="326"/>
      <c r="H15661" s="326"/>
      <c r="P15661" s="318"/>
      <c r="Q15661" s="318"/>
      <c r="R15661" s="318"/>
      <c r="S15661" s="318"/>
      <c r="T15661" s="318"/>
      <c r="U15661" s="318"/>
      <c r="V15661" s="318"/>
      <c r="W15661" s="318"/>
      <c r="X15661" s="318"/>
      <c r="Y15661" s="318"/>
      <c r="Z15661" s="318"/>
      <c r="AA15661" s="318"/>
      <c r="AB15661" s="318"/>
      <c r="AC15661" s="318"/>
      <c r="AD15661" s="318"/>
    </row>
    <row r="15662" spans="2:30" s="323" customFormat="1" ht="12" customHeight="1">
      <c r="B15662" s="324"/>
      <c r="C15662" s="325"/>
      <c r="D15662" s="326"/>
      <c r="E15662" s="326"/>
      <c r="F15662" s="326"/>
      <c r="G15662" s="326"/>
      <c r="H15662" s="326"/>
      <c r="P15662" s="318"/>
      <c r="Q15662" s="318"/>
      <c r="R15662" s="318"/>
      <c r="S15662" s="318"/>
      <c r="T15662" s="318"/>
      <c r="U15662" s="318"/>
      <c r="V15662" s="318"/>
      <c r="W15662" s="318"/>
      <c r="X15662" s="318"/>
      <c r="Y15662" s="318"/>
      <c r="Z15662" s="318"/>
      <c r="AA15662" s="318"/>
      <c r="AB15662" s="318"/>
      <c r="AC15662" s="318"/>
      <c r="AD15662" s="318"/>
    </row>
    <row r="15663" spans="2:30" s="323" customFormat="1" ht="12" customHeight="1">
      <c r="B15663" s="324"/>
      <c r="C15663" s="325"/>
      <c r="D15663" s="326"/>
      <c r="E15663" s="326"/>
      <c r="F15663" s="326"/>
      <c r="G15663" s="326"/>
      <c r="H15663" s="326"/>
      <c r="P15663" s="318"/>
      <c r="Q15663" s="318"/>
      <c r="R15663" s="318"/>
      <c r="S15663" s="318"/>
      <c r="T15663" s="318"/>
      <c r="U15663" s="318"/>
      <c r="V15663" s="318"/>
      <c r="W15663" s="318"/>
      <c r="X15663" s="318"/>
      <c r="Y15663" s="318"/>
      <c r="Z15663" s="318"/>
      <c r="AA15663" s="318"/>
      <c r="AB15663" s="318"/>
      <c r="AC15663" s="318"/>
      <c r="AD15663" s="318"/>
    </row>
    <row r="15664" spans="2:30" s="323" customFormat="1" ht="12" customHeight="1">
      <c r="B15664" s="324"/>
      <c r="C15664" s="325"/>
      <c r="D15664" s="326"/>
      <c r="E15664" s="326"/>
      <c r="F15664" s="326"/>
      <c r="G15664" s="326"/>
      <c r="H15664" s="326"/>
      <c r="P15664" s="318"/>
      <c r="Q15664" s="318"/>
      <c r="R15664" s="318"/>
      <c r="S15664" s="318"/>
      <c r="T15664" s="318"/>
      <c r="U15664" s="318"/>
      <c r="V15664" s="318"/>
      <c r="W15664" s="318"/>
      <c r="X15664" s="318"/>
      <c r="Y15664" s="318"/>
      <c r="Z15664" s="318"/>
      <c r="AA15664" s="318"/>
      <c r="AB15664" s="318"/>
      <c r="AC15664" s="318"/>
      <c r="AD15664" s="318"/>
    </row>
    <row r="15665" spans="2:30" s="323" customFormat="1" ht="12" customHeight="1">
      <c r="B15665" s="324"/>
      <c r="C15665" s="325"/>
      <c r="D15665" s="326"/>
      <c r="E15665" s="326"/>
      <c r="F15665" s="326"/>
      <c r="G15665" s="326"/>
      <c r="H15665" s="326"/>
      <c r="P15665" s="318"/>
      <c r="Q15665" s="318"/>
      <c r="R15665" s="318"/>
      <c r="S15665" s="318"/>
      <c r="T15665" s="318"/>
      <c r="U15665" s="318"/>
      <c r="V15665" s="318"/>
      <c r="W15665" s="318"/>
      <c r="X15665" s="318"/>
      <c r="Y15665" s="318"/>
      <c r="Z15665" s="318"/>
      <c r="AA15665" s="318"/>
      <c r="AB15665" s="318"/>
      <c r="AC15665" s="318"/>
      <c r="AD15665" s="318"/>
    </row>
    <row r="15666" spans="2:30" s="323" customFormat="1" ht="12" customHeight="1">
      <c r="B15666" s="324"/>
      <c r="C15666" s="325"/>
      <c r="D15666" s="326"/>
      <c r="E15666" s="326"/>
      <c r="F15666" s="326"/>
      <c r="G15666" s="326"/>
      <c r="H15666" s="326"/>
      <c r="P15666" s="318"/>
      <c r="Q15666" s="318"/>
      <c r="R15666" s="318"/>
      <c r="S15666" s="318"/>
      <c r="T15666" s="318"/>
      <c r="U15666" s="318"/>
      <c r="V15666" s="318"/>
      <c r="W15666" s="318"/>
      <c r="X15666" s="318"/>
      <c r="Y15666" s="318"/>
      <c r="Z15666" s="318"/>
      <c r="AA15666" s="318"/>
      <c r="AB15666" s="318"/>
      <c r="AC15666" s="318"/>
      <c r="AD15666" s="318"/>
    </row>
    <row r="15667" spans="2:30" s="323" customFormat="1" ht="12" customHeight="1">
      <c r="B15667" s="324"/>
      <c r="C15667" s="325"/>
      <c r="D15667" s="326"/>
      <c r="E15667" s="326"/>
      <c r="F15667" s="326"/>
      <c r="G15667" s="326"/>
      <c r="H15667" s="326"/>
      <c r="P15667" s="318"/>
      <c r="Q15667" s="318"/>
      <c r="R15667" s="318"/>
      <c r="S15667" s="318"/>
      <c r="T15667" s="318"/>
      <c r="U15667" s="318"/>
      <c r="V15667" s="318"/>
      <c r="W15667" s="318"/>
      <c r="X15667" s="318"/>
      <c r="Y15667" s="318"/>
      <c r="Z15667" s="318"/>
      <c r="AA15667" s="318"/>
      <c r="AB15667" s="318"/>
      <c r="AC15667" s="318"/>
      <c r="AD15667" s="318"/>
    </row>
    <row r="15668" spans="2:30" s="323" customFormat="1" ht="12" customHeight="1">
      <c r="B15668" s="324"/>
      <c r="C15668" s="325"/>
      <c r="D15668" s="326"/>
      <c r="E15668" s="326"/>
      <c r="F15668" s="326"/>
      <c r="G15668" s="326"/>
      <c r="H15668" s="326"/>
      <c r="P15668" s="318"/>
      <c r="Q15668" s="318"/>
      <c r="R15668" s="318"/>
      <c r="S15668" s="318"/>
      <c r="T15668" s="318"/>
      <c r="U15668" s="318"/>
      <c r="V15668" s="318"/>
      <c r="W15668" s="318"/>
      <c r="X15668" s="318"/>
      <c r="Y15668" s="318"/>
      <c r="Z15668" s="318"/>
      <c r="AA15668" s="318"/>
      <c r="AB15668" s="318"/>
      <c r="AC15668" s="318"/>
      <c r="AD15668" s="318"/>
    </row>
    <row r="15669" spans="2:30" s="323" customFormat="1" ht="12" customHeight="1">
      <c r="B15669" s="324"/>
      <c r="C15669" s="325"/>
      <c r="D15669" s="326"/>
      <c r="E15669" s="326"/>
      <c r="F15669" s="326"/>
      <c r="G15669" s="326"/>
      <c r="H15669" s="326"/>
      <c r="P15669" s="318"/>
      <c r="Q15669" s="318"/>
      <c r="R15669" s="318"/>
      <c r="S15669" s="318"/>
      <c r="T15669" s="318"/>
      <c r="U15669" s="318"/>
      <c r="V15669" s="318"/>
      <c r="W15669" s="318"/>
      <c r="X15669" s="318"/>
      <c r="Y15669" s="318"/>
      <c r="Z15669" s="318"/>
      <c r="AA15669" s="318"/>
      <c r="AB15669" s="318"/>
      <c r="AC15669" s="318"/>
      <c r="AD15669" s="318"/>
    </row>
    <row r="15670" spans="2:30" s="323" customFormat="1" ht="12" customHeight="1">
      <c r="B15670" s="324"/>
      <c r="C15670" s="325"/>
      <c r="D15670" s="326"/>
      <c r="E15670" s="326"/>
      <c r="F15670" s="326"/>
      <c r="G15670" s="326"/>
      <c r="H15670" s="326"/>
      <c r="P15670" s="318"/>
      <c r="Q15670" s="318"/>
      <c r="R15670" s="318"/>
      <c r="S15670" s="318"/>
      <c r="T15670" s="318"/>
      <c r="U15670" s="318"/>
      <c r="V15670" s="318"/>
      <c r="W15670" s="318"/>
      <c r="X15670" s="318"/>
      <c r="Y15670" s="318"/>
      <c r="Z15670" s="318"/>
      <c r="AA15670" s="318"/>
      <c r="AB15670" s="318"/>
      <c r="AC15670" s="318"/>
      <c r="AD15670" s="318"/>
    </row>
    <row r="15671" spans="2:30" s="323" customFormat="1" ht="12" customHeight="1">
      <c r="B15671" s="324"/>
      <c r="C15671" s="325"/>
      <c r="D15671" s="326"/>
      <c r="E15671" s="326"/>
      <c r="F15671" s="326"/>
      <c r="G15671" s="326"/>
      <c r="H15671" s="326"/>
      <c r="P15671" s="318"/>
      <c r="Q15671" s="318"/>
      <c r="R15671" s="318"/>
      <c r="S15671" s="318"/>
      <c r="T15671" s="318"/>
      <c r="U15671" s="318"/>
      <c r="V15671" s="318"/>
      <c r="W15671" s="318"/>
      <c r="X15671" s="318"/>
      <c r="Y15671" s="318"/>
      <c r="Z15671" s="318"/>
      <c r="AA15671" s="318"/>
      <c r="AB15671" s="318"/>
      <c r="AC15671" s="318"/>
      <c r="AD15671" s="318"/>
    </row>
    <row r="15672" spans="2:30" s="323" customFormat="1" ht="12" customHeight="1">
      <c r="B15672" s="324"/>
      <c r="C15672" s="325"/>
      <c r="D15672" s="326"/>
      <c r="E15672" s="326"/>
      <c r="F15672" s="326"/>
      <c r="G15672" s="326"/>
      <c r="H15672" s="326"/>
      <c r="P15672" s="318"/>
      <c r="Q15672" s="318"/>
      <c r="R15672" s="318"/>
      <c r="S15672" s="318"/>
      <c r="T15672" s="318"/>
      <c r="U15672" s="318"/>
      <c r="V15672" s="318"/>
      <c r="W15672" s="318"/>
      <c r="X15672" s="318"/>
      <c r="Y15672" s="318"/>
      <c r="Z15672" s="318"/>
      <c r="AA15672" s="318"/>
      <c r="AB15672" s="318"/>
      <c r="AC15672" s="318"/>
      <c r="AD15672" s="318"/>
    </row>
    <row r="15673" spans="2:30" s="323" customFormat="1" ht="12" customHeight="1">
      <c r="B15673" s="324"/>
      <c r="C15673" s="325"/>
      <c r="D15673" s="326"/>
      <c r="E15673" s="326"/>
      <c r="F15673" s="326"/>
      <c r="G15673" s="326"/>
      <c r="H15673" s="326"/>
      <c r="P15673" s="318"/>
      <c r="Q15673" s="318"/>
      <c r="R15673" s="318"/>
      <c r="S15673" s="318"/>
      <c r="T15673" s="318"/>
      <c r="U15673" s="318"/>
      <c r="V15673" s="318"/>
      <c r="W15673" s="318"/>
      <c r="X15673" s="318"/>
      <c r="Y15673" s="318"/>
      <c r="Z15673" s="318"/>
      <c r="AA15673" s="318"/>
      <c r="AB15673" s="318"/>
      <c r="AC15673" s="318"/>
      <c r="AD15673" s="318"/>
    </row>
    <row r="15674" spans="2:30" s="323" customFormat="1" ht="12" customHeight="1">
      <c r="B15674" s="324"/>
      <c r="C15674" s="325"/>
      <c r="D15674" s="326"/>
      <c r="E15674" s="326"/>
      <c r="F15674" s="326"/>
      <c r="G15674" s="326"/>
      <c r="H15674" s="326"/>
      <c r="P15674" s="318"/>
      <c r="Q15674" s="318"/>
      <c r="R15674" s="318"/>
      <c r="S15674" s="318"/>
      <c r="T15674" s="318"/>
      <c r="U15674" s="318"/>
      <c r="V15674" s="318"/>
      <c r="W15674" s="318"/>
      <c r="X15674" s="318"/>
      <c r="Y15674" s="318"/>
      <c r="Z15674" s="318"/>
      <c r="AA15674" s="318"/>
      <c r="AB15674" s="318"/>
      <c r="AC15674" s="318"/>
      <c r="AD15674" s="318"/>
    </row>
    <row r="15675" spans="2:30" s="323" customFormat="1" ht="12" customHeight="1">
      <c r="B15675" s="324"/>
      <c r="C15675" s="325"/>
      <c r="D15675" s="326"/>
      <c r="E15675" s="326"/>
      <c r="F15675" s="326"/>
      <c r="G15675" s="326"/>
      <c r="H15675" s="326"/>
      <c r="P15675" s="318"/>
      <c r="Q15675" s="318"/>
      <c r="R15675" s="318"/>
      <c r="S15675" s="318"/>
      <c r="T15675" s="318"/>
      <c r="U15675" s="318"/>
      <c r="V15675" s="318"/>
      <c r="W15675" s="318"/>
      <c r="X15675" s="318"/>
      <c r="Y15675" s="318"/>
      <c r="Z15675" s="318"/>
      <c r="AA15675" s="318"/>
      <c r="AB15675" s="318"/>
      <c r="AC15675" s="318"/>
      <c r="AD15675" s="318"/>
    </row>
    <row r="15676" spans="2:30" s="323" customFormat="1" ht="12" customHeight="1">
      <c r="B15676" s="324"/>
      <c r="C15676" s="325"/>
      <c r="D15676" s="326"/>
      <c r="E15676" s="326"/>
      <c r="F15676" s="326"/>
      <c r="G15676" s="326"/>
      <c r="H15676" s="326"/>
      <c r="P15676" s="318"/>
      <c r="Q15676" s="318"/>
      <c r="R15676" s="318"/>
      <c r="S15676" s="318"/>
      <c r="T15676" s="318"/>
      <c r="U15676" s="318"/>
      <c r="V15676" s="318"/>
      <c r="W15676" s="318"/>
      <c r="X15676" s="318"/>
      <c r="Y15676" s="318"/>
      <c r="Z15676" s="318"/>
      <c r="AA15676" s="318"/>
      <c r="AB15676" s="318"/>
      <c r="AC15676" s="318"/>
      <c r="AD15676" s="318"/>
    </row>
    <row r="15677" spans="2:30" s="323" customFormat="1" ht="12" customHeight="1">
      <c r="B15677" s="324"/>
      <c r="C15677" s="325"/>
      <c r="D15677" s="326"/>
      <c r="E15677" s="326"/>
      <c r="F15677" s="326"/>
      <c r="G15677" s="326"/>
      <c r="H15677" s="326"/>
      <c r="P15677" s="318"/>
      <c r="Q15677" s="318"/>
      <c r="R15677" s="318"/>
      <c r="S15677" s="318"/>
      <c r="T15677" s="318"/>
      <c r="U15677" s="318"/>
      <c r="V15677" s="318"/>
      <c r="W15677" s="318"/>
      <c r="X15677" s="318"/>
      <c r="Y15677" s="318"/>
      <c r="Z15677" s="318"/>
      <c r="AA15677" s="318"/>
      <c r="AB15677" s="318"/>
      <c r="AC15677" s="318"/>
      <c r="AD15677" s="318"/>
    </row>
    <row r="15678" spans="2:30" s="323" customFormat="1" ht="12" customHeight="1">
      <c r="B15678" s="324"/>
      <c r="C15678" s="325"/>
      <c r="D15678" s="326"/>
      <c r="E15678" s="326"/>
      <c r="F15678" s="326"/>
      <c r="G15678" s="326"/>
      <c r="H15678" s="326"/>
      <c r="P15678" s="318"/>
      <c r="Q15678" s="318"/>
      <c r="R15678" s="318"/>
      <c r="S15678" s="318"/>
      <c r="T15678" s="318"/>
      <c r="U15678" s="318"/>
      <c r="V15678" s="318"/>
      <c r="W15678" s="318"/>
      <c r="X15678" s="318"/>
      <c r="Y15678" s="318"/>
      <c r="Z15678" s="318"/>
      <c r="AA15678" s="318"/>
      <c r="AB15678" s="318"/>
      <c r="AC15678" s="318"/>
      <c r="AD15678" s="318"/>
    </row>
    <row r="15679" spans="2:30" s="323" customFormat="1" ht="12" customHeight="1">
      <c r="B15679" s="324"/>
      <c r="C15679" s="325"/>
      <c r="D15679" s="326"/>
      <c r="E15679" s="326"/>
      <c r="F15679" s="326"/>
      <c r="G15679" s="326"/>
      <c r="H15679" s="326"/>
      <c r="P15679" s="318"/>
      <c r="Q15679" s="318"/>
      <c r="R15679" s="318"/>
      <c r="S15679" s="318"/>
      <c r="T15679" s="318"/>
      <c r="U15679" s="318"/>
      <c r="V15679" s="318"/>
      <c r="W15679" s="318"/>
      <c r="X15679" s="318"/>
      <c r="Y15679" s="318"/>
      <c r="Z15679" s="318"/>
      <c r="AA15679" s="318"/>
      <c r="AB15679" s="318"/>
      <c r="AC15679" s="318"/>
      <c r="AD15679" s="318"/>
    </row>
    <row r="15680" spans="2:30" s="323" customFormat="1" ht="12" customHeight="1">
      <c r="B15680" s="324"/>
      <c r="C15680" s="325"/>
      <c r="D15680" s="326"/>
      <c r="E15680" s="326"/>
      <c r="F15680" s="326"/>
      <c r="G15680" s="326"/>
      <c r="H15680" s="326"/>
      <c r="P15680" s="318"/>
      <c r="Q15680" s="318"/>
      <c r="R15680" s="318"/>
      <c r="S15680" s="318"/>
      <c r="T15680" s="318"/>
      <c r="U15680" s="318"/>
      <c r="V15680" s="318"/>
      <c r="W15680" s="318"/>
      <c r="X15680" s="318"/>
      <c r="Y15680" s="318"/>
      <c r="Z15680" s="318"/>
      <c r="AA15680" s="318"/>
      <c r="AB15680" s="318"/>
      <c r="AC15680" s="318"/>
      <c r="AD15680" s="318"/>
    </row>
    <row r="15681" spans="2:30" s="323" customFormat="1" ht="12" customHeight="1">
      <c r="B15681" s="324"/>
      <c r="C15681" s="325"/>
      <c r="D15681" s="326"/>
      <c r="E15681" s="326"/>
      <c r="F15681" s="326"/>
      <c r="G15681" s="326"/>
      <c r="H15681" s="326"/>
      <c r="P15681" s="318"/>
      <c r="Q15681" s="318"/>
      <c r="R15681" s="318"/>
      <c r="S15681" s="318"/>
      <c r="T15681" s="318"/>
      <c r="U15681" s="318"/>
      <c r="V15681" s="318"/>
      <c r="W15681" s="318"/>
      <c r="X15681" s="318"/>
      <c r="Y15681" s="318"/>
      <c r="Z15681" s="318"/>
      <c r="AA15681" s="318"/>
      <c r="AB15681" s="318"/>
      <c r="AC15681" s="318"/>
      <c r="AD15681" s="318"/>
    </row>
    <row r="15682" spans="2:30" s="323" customFormat="1" ht="12" customHeight="1">
      <c r="B15682" s="324"/>
      <c r="C15682" s="325"/>
      <c r="D15682" s="326"/>
      <c r="E15682" s="326"/>
      <c r="F15682" s="326"/>
      <c r="G15682" s="326"/>
      <c r="H15682" s="326"/>
      <c r="P15682" s="318"/>
      <c r="Q15682" s="318"/>
      <c r="R15682" s="318"/>
      <c r="S15682" s="318"/>
      <c r="T15682" s="318"/>
      <c r="U15682" s="318"/>
      <c r="V15682" s="318"/>
      <c r="W15682" s="318"/>
      <c r="X15682" s="318"/>
      <c r="Y15682" s="318"/>
      <c r="Z15682" s="318"/>
      <c r="AA15682" s="318"/>
      <c r="AB15682" s="318"/>
      <c r="AC15682" s="318"/>
      <c r="AD15682" s="318"/>
    </row>
    <row r="15683" spans="2:30" s="323" customFormat="1" ht="12" customHeight="1">
      <c r="B15683" s="324"/>
      <c r="C15683" s="325"/>
      <c r="D15683" s="326"/>
      <c r="E15683" s="326"/>
      <c r="F15683" s="326"/>
      <c r="G15683" s="326"/>
      <c r="H15683" s="326"/>
      <c r="P15683" s="318"/>
      <c r="Q15683" s="318"/>
      <c r="R15683" s="318"/>
      <c r="S15683" s="318"/>
      <c r="T15683" s="318"/>
      <c r="U15683" s="318"/>
      <c r="V15683" s="318"/>
      <c r="W15683" s="318"/>
      <c r="X15683" s="318"/>
      <c r="Y15683" s="318"/>
      <c r="Z15683" s="318"/>
      <c r="AA15683" s="318"/>
      <c r="AB15683" s="318"/>
      <c r="AC15683" s="318"/>
      <c r="AD15683" s="318"/>
    </row>
    <row r="15684" spans="2:30" s="323" customFormat="1" ht="12" customHeight="1">
      <c r="B15684" s="324"/>
      <c r="C15684" s="325"/>
      <c r="D15684" s="326"/>
      <c r="E15684" s="326"/>
      <c r="F15684" s="326"/>
      <c r="G15684" s="326"/>
      <c r="H15684" s="326"/>
      <c r="P15684" s="318"/>
      <c r="Q15684" s="318"/>
      <c r="R15684" s="318"/>
      <c r="S15684" s="318"/>
      <c r="T15684" s="318"/>
      <c r="U15684" s="318"/>
      <c r="V15684" s="318"/>
      <c r="W15684" s="318"/>
      <c r="X15684" s="318"/>
      <c r="Y15684" s="318"/>
      <c r="Z15684" s="318"/>
      <c r="AA15684" s="318"/>
      <c r="AB15684" s="318"/>
      <c r="AC15684" s="318"/>
      <c r="AD15684" s="318"/>
    </row>
    <row r="15685" spans="2:30" s="323" customFormat="1" ht="12" customHeight="1">
      <c r="B15685" s="324"/>
      <c r="C15685" s="325"/>
      <c r="D15685" s="326"/>
      <c r="E15685" s="326"/>
      <c r="F15685" s="326"/>
      <c r="G15685" s="326"/>
      <c r="H15685" s="326"/>
      <c r="P15685" s="318"/>
      <c r="Q15685" s="318"/>
      <c r="R15685" s="318"/>
      <c r="S15685" s="318"/>
      <c r="T15685" s="318"/>
      <c r="U15685" s="318"/>
      <c r="V15685" s="318"/>
      <c r="W15685" s="318"/>
      <c r="X15685" s="318"/>
      <c r="Y15685" s="318"/>
      <c r="Z15685" s="318"/>
      <c r="AA15685" s="318"/>
      <c r="AB15685" s="318"/>
      <c r="AC15685" s="318"/>
      <c r="AD15685" s="318"/>
    </row>
    <row r="15686" spans="2:30" s="323" customFormat="1" ht="12" customHeight="1">
      <c r="B15686" s="324"/>
      <c r="C15686" s="325"/>
      <c r="D15686" s="326"/>
      <c r="E15686" s="326"/>
      <c r="F15686" s="326"/>
      <c r="G15686" s="326"/>
      <c r="H15686" s="326"/>
      <c r="P15686" s="318"/>
      <c r="Q15686" s="318"/>
      <c r="R15686" s="318"/>
      <c r="S15686" s="318"/>
      <c r="T15686" s="318"/>
      <c r="U15686" s="318"/>
      <c r="V15686" s="318"/>
      <c r="W15686" s="318"/>
      <c r="X15686" s="318"/>
      <c r="Y15686" s="318"/>
      <c r="Z15686" s="318"/>
      <c r="AA15686" s="318"/>
      <c r="AB15686" s="318"/>
      <c r="AC15686" s="318"/>
      <c r="AD15686" s="318"/>
    </row>
    <row r="15687" spans="2:30" s="323" customFormat="1" ht="12" customHeight="1">
      <c r="B15687" s="324"/>
      <c r="C15687" s="325"/>
      <c r="D15687" s="326"/>
      <c r="E15687" s="326"/>
      <c r="F15687" s="326"/>
      <c r="G15687" s="326"/>
      <c r="H15687" s="326"/>
      <c r="P15687" s="318"/>
      <c r="Q15687" s="318"/>
      <c r="R15687" s="318"/>
      <c r="S15687" s="318"/>
      <c r="T15687" s="318"/>
      <c r="U15687" s="318"/>
      <c r="V15687" s="318"/>
      <c r="W15687" s="318"/>
      <c r="X15687" s="318"/>
      <c r="Y15687" s="318"/>
      <c r="Z15687" s="318"/>
      <c r="AA15687" s="318"/>
      <c r="AB15687" s="318"/>
      <c r="AC15687" s="318"/>
      <c r="AD15687" s="318"/>
    </row>
    <row r="15688" spans="2:30" s="323" customFormat="1" ht="12" customHeight="1">
      <c r="B15688" s="324"/>
      <c r="C15688" s="325"/>
      <c r="D15688" s="326"/>
      <c r="E15688" s="326"/>
      <c r="F15688" s="326"/>
      <c r="G15688" s="326"/>
      <c r="H15688" s="326"/>
      <c r="P15688" s="318"/>
      <c r="Q15688" s="318"/>
      <c r="R15688" s="318"/>
      <c r="S15688" s="318"/>
      <c r="T15688" s="318"/>
      <c r="U15688" s="318"/>
      <c r="V15688" s="318"/>
      <c r="W15688" s="318"/>
      <c r="X15688" s="318"/>
      <c r="Y15688" s="318"/>
      <c r="Z15688" s="318"/>
      <c r="AA15688" s="318"/>
      <c r="AB15688" s="318"/>
      <c r="AC15688" s="318"/>
      <c r="AD15688" s="318"/>
    </row>
    <row r="15689" spans="2:30" s="323" customFormat="1" ht="12" customHeight="1">
      <c r="B15689" s="324"/>
      <c r="C15689" s="325"/>
      <c r="D15689" s="326"/>
      <c r="E15689" s="326"/>
      <c r="F15689" s="326"/>
      <c r="G15689" s="326"/>
      <c r="H15689" s="326"/>
      <c r="P15689" s="318"/>
      <c r="Q15689" s="318"/>
      <c r="R15689" s="318"/>
      <c r="S15689" s="318"/>
      <c r="T15689" s="318"/>
      <c r="U15689" s="318"/>
      <c r="V15689" s="318"/>
      <c r="W15689" s="318"/>
      <c r="X15689" s="318"/>
      <c r="Y15689" s="318"/>
      <c r="Z15689" s="318"/>
      <c r="AA15689" s="318"/>
      <c r="AB15689" s="318"/>
      <c r="AC15689" s="318"/>
      <c r="AD15689" s="318"/>
    </row>
    <row r="15690" spans="2:30" s="323" customFormat="1" ht="12" customHeight="1">
      <c r="B15690" s="324"/>
      <c r="C15690" s="325"/>
      <c r="D15690" s="326"/>
      <c r="E15690" s="326"/>
      <c r="F15690" s="326"/>
      <c r="G15690" s="326"/>
      <c r="H15690" s="326"/>
      <c r="P15690" s="318"/>
      <c r="Q15690" s="318"/>
      <c r="R15690" s="318"/>
      <c r="S15690" s="318"/>
      <c r="T15690" s="318"/>
      <c r="U15690" s="318"/>
      <c r="V15690" s="318"/>
      <c r="W15690" s="318"/>
      <c r="X15690" s="318"/>
      <c r="Y15690" s="318"/>
      <c r="Z15690" s="318"/>
      <c r="AA15690" s="318"/>
      <c r="AB15690" s="318"/>
      <c r="AC15690" s="318"/>
      <c r="AD15690" s="318"/>
    </row>
    <row r="15691" spans="2:30" s="323" customFormat="1" ht="12" customHeight="1">
      <c r="B15691" s="324"/>
      <c r="C15691" s="325"/>
      <c r="D15691" s="326"/>
      <c r="E15691" s="326"/>
      <c r="F15691" s="326"/>
      <c r="G15691" s="326"/>
      <c r="H15691" s="326"/>
      <c r="P15691" s="318"/>
      <c r="Q15691" s="318"/>
      <c r="R15691" s="318"/>
      <c r="S15691" s="318"/>
      <c r="T15691" s="318"/>
      <c r="U15691" s="318"/>
      <c r="V15691" s="318"/>
      <c r="W15691" s="318"/>
      <c r="X15691" s="318"/>
      <c r="Y15691" s="318"/>
      <c r="Z15691" s="318"/>
      <c r="AA15691" s="318"/>
      <c r="AB15691" s="318"/>
      <c r="AC15691" s="318"/>
      <c r="AD15691" s="318"/>
    </row>
    <row r="15692" spans="2:30" s="323" customFormat="1" ht="12" customHeight="1">
      <c r="B15692" s="324"/>
      <c r="C15692" s="325"/>
      <c r="D15692" s="326"/>
      <c r="E15692" s="326"/>
      <c r="F15692" s="326"/>
      <c r="G15692" s="326"/>
      <c r="H15692" s="326"/>
      <c r="P15692" s="318"/>
      <c r="Q15692" s="318"/>
      <c r="R15692" s="318"/>
      <c r="S15692" s="318"/>
      <c r="T15692" s="318"/>
      <c r="U15692" s="318"/>
      <c r="V15692" s="318"/>
      <c r="W15692" s="318"/>
      <c r="X15692" s="318"/>
      <c r="Y15692" s="318"/>
      <c r="Z15692" s="318"/>
      <c r="AA15692" s="318"/>
      <c r="AB15692" s="318"/>
      <c r="AC15692" s="318"/>
      <c r="AD15692" s="318"/>
    </row>
    <row r="15693" spans="2:30" s="323" customFormat="1" ht="12" customHeight="1">
      <c r="B15693" s="324"/>
      <c r="C15693" s="325"/>
      <c r="D15693" s="326"/>
      <c r="E15693" s="326"/>
      <c r="F15693" s="326"/>
      <c r="G15693" s="326"/>
      <c r="H15693" s="326"/>
      <c r="P15693" s="318"/>
      <c r="Q15693" s="318"/>
      <c r="R15693" s="318"/>
      <c r="S15693" s="318"/>
      <c r="T15693" s="318"/>
      <c r="U15693" s="318"/>
      <c r="V15693" s="318"/>
      <c r="W15693" s="318"/>
      <c r="X15693" s="318"/>
      <c r="Y15693" s="318"/>
      <c r="Z15693" s="318"/>
      <c r="AA15693" s="318"/>
      <c r="AB15693" s="318"/>
      <c r="AC15693" s="318"/>
      <c r="AD15693" s="318"/>
    </row>
    <row r="15694" spans="2:30" s="323" customFormat="1" ht="12" customHeight="1">
      <c r="B15694" s="324"/>
      <c r="C15694" s="325"/>
      <c r="D15694" s="326"/>
      <c r="E15694" s="326"/>
      <c r="F15694" s="326"/>
      <c r="G15694" s="326"/>
      <c r="H15694" s="326"/>
      <c r="P15694" s="318"/>
      <c r="Q15694" s="318"/>
      <c r="R15694" s="318"/>
      <c r="S15694" s="318"/>
      <c r="T15694" s="318"/>
      <c r="U15694" s="318"/>
      <c r="V15694" s="318"/>
      <c r="W15694" s="318"/>
      <c r="X15694" s="318"/>
      <c r="Y15694" s="318"/>
      <c r="Z15694" s="318"/>
      <c r="AA15694" s="318"/>
      <c r="AB15694" s="318"/>
      <c r="AC15694" s="318"/>
      <c r="AD15694" s="318"/>
    </row>
    <row r="15695" spans="2:30" s="323" customFormat="1" ht="12" customHeight="1">
      <c r="B15695" s="324"/>
      <c r="C15695" s="325"/>
      <c r="D15695" s="326"/>
      <c r="E15695" s="326"/>
      <c r="F15695" s="326"/>
      <c r="G15695" s="326"/>
      <c r="H15695" s="326"/>
      <c r="P15695" s="318"/>
      <c r="Q15695" s="318"/>
      <c r="R15695" s="318"/>
      <c r="S15695" s="318"/>
      <c r="T15695" s="318"/>
      <c r="U15695" s="318"/>
      <c r="V15695" s="318"/>
      <c r="W15695" s="318"/>
      <c r="X15695" s="318"/>
      <c r="Y15695" s="318"/>
      <c r="Z15695" s="318"/>
      <c r="AA15695" s="318"/>
      <c r="AB15695" s="318"/>
      <c r="AC15695" s="318"/>
      <c r="AD15695" s="318"/>
    </row>
    <row r="15696" spans="2:30" s="323" customFormat="1" ht="12" customHeight="1">
      <c r="B15696" s="324"/>
      <c r="C15696" s="325"/>
      <c r="D15696" s="326"/>
      <c r="E15696" s="326"/>
      <c r="F15696" s="326"/>
      <c r="G15696" s="326"/>
      <c r="H15696" s="326"/>
      <c r="P15696" s="318"/>
      <c r="Q15696" s="318"/>
      <c r="R15696" s="318"/>
      <c r="S15696" s="318"/>
      <c r="T15696" s="318"/>
      <c r="U15696" s="318"/>
      <c r="V15696" s="318"/>
      <c r="W15696" s="318"/>
      <c r="X15696" s="318"/>
      <c r="Y15696" s="318"/>
      <c r="Z15696" s="318"/>
      <c r="AA15696" s="318"/>
      <c r="AB15696" s="318"/>
      <c r="AC15696" s="318"/>
      <c r="AD15696" s="318"/>
    </row>
    <row r="15697" spans="2:30" s="323" customFormat="1" ht="12" customHeight="1">
      <c r="B15697" s="324"/>
      <c r="C15697" s="325"/>
      <c r="D15697" s="326"/>
      <c r="E15697" s="326"/>
      <c r="F15697" s="326"/>
      <c r="G15697" s="326"/>
      <c r="H15697" s="326"/>
      <c r="P15697" s="318"/>
      <c r="Q15697" s="318"/>
      <c r="R15697" s="318"/>
      <c r="S15697" s="318"/>
      <c r="T15697" s="318"/>
      <c r="U15697" s="318"/>
      <c r="V15697" s="318"/>
      <c r="W15697" s="318"/>
      <c r="X15697" s="318"/>
      <c r="Y15697" s="318"/>
      <c r="Z15697" s="318"/>
      <c r="AA15697" s="318"/>
      <c r="AB15697" s="318"/>
      <c r="AC15697" s="318"/>
      <c r="AD15697" s="318"/>
    </row>
    <row r="15698" spans="2:30" s="323" customFormat="1" ht="12" customHeight="1">
      <c r="B15698" s="324"/>
      <c r="C15698" s="325"/>
      <c r="D15698" s="326"/>
      <c r="E15698" s="326"/>
      <c r="F15698" s="326"/>
      <c r="G15698" s="326"/>
      <c r="H15698" s="326"/>
      <c r="P15698" s="318"/>
      <c r="Q15698" s="318"/>
      <c r="R15698" s="318"/>
      <c r="S15698" s="318"/>
      <c r="T15698" s="318"/>
      <c r="U15698" s="318"/>
      <c r="V15698" s="318"/>
      <c r="W15698" s="318"/>
      <c r="X15698" s="318"/>
      <c r="Y15698" s="318"/>
      <c r="Z15698" s="318"/>
      <c r="AA15698" s="318"/>
      <c r="AB15698" s="318"/>
      <c r="AC15698" s="318"/>
      <c r="AD15698" s="318"/>
    </row>
    <row r="15699" spans="2:30" s="323" customFormat="1" ht="12" customHeight="1">
      <c r="B15699" s="324"/>
      <c r="C15699" s="325"/>
      <c r="D15699" s="326"/>
      <c r="E15699" s="326"/>
      <c r="F15699" s="326"/>
      <c r="G15699" s="326"/>
      <c r="H15699" s="326"/>
      <c r="P15699" s="318"/>
      <c r="Q15699" s="318"/>
      <c r="R15699" s="318"/>
      <c r="S15699" s="318"/>
      <c r="T15699" s="318"/>
      <c r="U15699" s="318"/>
      <c r="V15699" s="318"/>
      <c r="W15699" s="318"/>
      <c r="X15699" s="318"/>
      <c r="Y15699" s="318"/>
      <c r="Z15699" s="318"/>
      <c r="AA15699" s="318"/>
      <c r="AB15699" s="318"/>
      <c r="AC15699" s="318"/>
      <c r="AD15699" s="318"/>
    </row>
    <row r="15700" spans="2:30" s="323" customFormat="1" ht="12" customHeight="1">
      <c r="B15700" s="324"/>
      <c r="C15700" s="325"/>
      <c r="D15700" s="326"/>
      <c r="E15700" s="326"/>
      <c r="F15700" s="326"/>
      <c r="G15700" s="326"/>
      <c r="H15700" s="326"/>
      <c r="P15700" s="318"/>
      <c r="Q15700" s="318"/>
      <c r="R15700" s="318"/>
      <c r="S15700" s="318"/>
      <c r="T15700" s="318"/>
      <c r="U15700" s="318"/>
      <c r="V15700" s="318"/>
      <c r="W15700" s="318"/>
      <c r="X15700" s="318"/>
      <c r="Y15700" s="318"/>
      <c r="Z15700" s="318"/>
      <c r="AA15700" s="318"/>
      <c r="AB15700" s="318"/>
      <c r="AC15700" s="318"/>
      <c r="AD15700" s="318"/>
    </row>
    <row r="15701" spans="2:30" s="323" customFormat="1" ht="12" customHeight="1">
      <c r="B15701" s="324"/>
      <c r="C15701" s="325"/>
      <c r="D15701" s="326"/>
      <c r="E15701" s="326"/>
      <c r="F15701" s="326"/>
      <c r="G15701" s="326"/>
      <c r="H15701" s="326"/>
      <c r="P15701" s="318"/>
      <c r="Q15701" s="318"/>
      <c r="R15701" s="318"/>
      <c r="S15701" s="318"/>
      <c r="T15701" s="318"/>
      <c r="U15701" s="318"/>
      <c r="V15701" s="318"/>
      <c r="W15701" s="318"/>
      <c r="X15701" s="318"/>
      <c r="Y15701" s="318"/>
      <c r="Z15701" s="318"/>
      <c r="AA15701" s="318"/>
      <c r="AB15701" s="318"/>
      <c r="AC15701" s="318"/>
      <c r="AD15701" s="318"/>
    </row>
    <row r="15702" spans="2:30" s="323" customFormat="1" ht="12" customHeight="1">
      <c r="B15702" s="324"/>
      <c r="C15702" s="325"/>
      <c r="D15702" s="326"/>
      <c r="E15702" s="326"/>
      <c r="F15702" s="326"/>
      <c r="G15702" s="326"/>
      <c r="H15702" s="326"/>
      <c r="P15702" s="318"/>
      <c r="Q15702" s="318"/>
      <c r="R15702" s="318"/>
      <c r="S15702" s="318"/>
      <c r="T15702" s="318"/>
      <c r="U15702" s="318"/>
      <c r="V15702" s="318"/>
      <c r="W15702" s="318"/>
      <c r="X15702" s="318"/>
      <c r="Y15702" s="318"/>
      <c r="Z15702" s="318"/>
      <c r="AA15702" s="318"/>
      <c r="AB15702" s="318"/>
      <c r="AC15702" s="318"/>
      <c r="AD15702" s="318"/>
    </row>
    <row r="15703" spans="2:30" s="323" customFormat="1" ht="12" customHeight="1">
      <c r="B15703" s="324"/>
      <c r="C15703" s="325"/>
      <c r="D15703" s="326"/>
      <c r="E15703" s="326"/>
      <c r="F15703" s="326"/>
      <c r="G15703" s="326"/>
      <c r="H15703" s="326"/>
      <c r="P15703" s="318"/>
      <c r="Q15703" s="318"/>
      <c r="R15703" s="318"/>
      <c r="S15703" s="318"/>
      <c r="T15703" s="318"/>
      <c r="U15703" s="318"/>
      <c r="V15703" s="318"/>
      <c r="W15703" s="318"/>
      <c r="X15703" s="318"/>
      <c r="Y15703" s="318"/>
      <c r="Z15703" s="318"/>
      <c r="AA15703" s="318"/>
      <c r="AB15703" s="318"/>
      <c r="AC15703" s="318"/>
      <c r="AD15703" s="318"/>
    </row>
    <row r="15704" spans="2:30" s="323" customFormat="1" ht="12" customHeight="1">
      <c r="B15704" s="324"/>
      <c r="C15704" s="325"/>
      <c r="D15704" s="326"/>
      <c r="E15704" s="326"/>
      <c r="F15704" s="326"/>
      <c r="G15704" s="326"/>
      <c r="H15704" s="326"/>
      <c r="P15704" s="318"/>
      <c r="Q15704" s="318"/>
      <c r="R15704" s="318"/>
      <c r="S15704" s="318"/>
      <c r="T15704" s="318"/>
      <c r="U15704" s="318"/>
      <c r="V15704" s="318"/>
      <c r="W15704" s="318"/>
      <c r="X15704" s="318"/>
      <c r="Y15704" s="318"/>
      <c r="Z15704" s="318"/>
      <c r="AA15704" s="318"/>
      <c r="AB15704" s="318"/>
      <c r="AC15704" s="318"/>
      <c r="AD15704" s="318"/>
    </row>
    <row r="15705" spans="2:30" s="323" customFormat="1" ht="12" customHeight="1">
      <c r="B15705" s="324"/>
      <c r="C15705" s="325"/>
      <c r="D15705" s="326"/>
      <c r="E15705" s="326"/>
      <c r="F15705" s="326"/>
      <c r="G15705" s="326"/>
      <c r="H15705" s="326"/>
      <c r="P15705" s="318"/>
      <c r="Q15705" s="318"/>
      <c r="R15705" s="318"/>
      <c r="S15705" s="318"/>
      <c r="T15705" s="318"/>
      <c r="U15705" s="318"/>
      <c r="V15705" s="318"/>
      <c r="W15705" s="318"/>
      <c r="X15705" s="318"/>
      <c r="Y15705" s="318"/>
      <c r="Z15705" s="318"/>
      <c r="AA15705" s="318"/>
      <c r="AB15705" s="318"/>
      <c r="AC15705" s="318"/>
      <c r="AD15705" s="318"/>
    </row>
    <row r="15706" spans="2:30" s="323" customFormat="1" ht="12" customHeight="1">
      <c r="B15706" s="324"/>
      <c r="C15706" s="325"/>
      <c r="D15706" s="326"/>
      <c r="E15706" s="326"/>
      <c r="F15706" s="326"/>
      <c r="G15706" s="326"/>
      <c r="H15706" s="326"/>
      <c r="P15706" s="318"/>
      <c r="Q15706" s="318"/>
      <c r="R15706" s="318"/>
      <c r="S15706" s="318"/>
      <c r="T15706" s="318"/>
      <c r="U15706" s="318"/>
      <c r="V15706" s="318"/>
      <c r="W15706" s="318"/>
      <c r="X15706" s="318"/>
      <c r="Y15706" s="318"/>
      <c r="Z15706" s="318"/>
      <c r="AA15706" s="318"/>
      <c r="AB15706" s="318"/>
      <c r="AC15706" s="318"/>
      <c r="AD15706" s="318"/>
    </row>
    <row r="15707" spans="2:30" s="323" customFormat="1" ht="12" customHeight="1">
      <c r="B15707" s="324"/>
      <c r="C15707" s="325"/>
      <c r="D15707" s="326"/>
      <c r="E15707" s="326"/>
      <c r="F15707" s="326"/>
      <c r="G15707" s="326"/>
      <c r="H15707" s="326"/>
      <c r="P15707" s="318"/>
      <c r="Q15707" s="318"/>
      <c r="R15707" s="318"/>
      <c r="S15707" s="318"/>
      <c r="T15707" s="318"/>
      <c r="U15707" s="318"/>
      <c r="V15707" s="318"/>
      <c r="W15707" s="318"/>
      <c r="X15707" s="318"/>
      <c r="Y15707" s="318"/>
      <c r="Z15707" s="318"/>
      <c r="AA15707" s="318"/>
      <c r="AB15707" s="318"/>
      <c r="AC15707" s="318"/>
      <c r="AD15707" s="318"/>
    </row>
    <row r="15708" spans="2:30" s="323" customFormat="1" ht="12" customHeight="1">
      <c r="B15708" s="324"/>
      <c r="C15708" s="325"/>
      <c r="D15708" s="326"/>
      <c r="E15708" s="326"/>
      <c r="F15708" s="326"/>
      <c r="G15708" s="326"/>
      <c r="H15708" s="326"/>
      <c r="P15708" s="318"/>
      <c r="Q15708" s="318"/>
      <c r="R15708" s="318"/>
      <c r="S15708" s="318"/>
      <c r="T15708" s="318"/>
      <c r="U15708" s="318"/>
      <c r="V15708" s="318"/>
      <c r="W15708" s="318"/>
      <c r="X15708" s="318"/>
      <c r="Y15708" s="318"/>
      <c r="Z15708" s="318"/>
      <c r="AA15708" s="318"/>
      <c r="AB15708" s="318"/>
      <c r="AC15708" s="318"/>
      <c r="AD15708" s="318"/>
    </row>
    <row r="15709" spans="2:30" s="323" customFormat="1" ht="12" customHeight="1">
      <c r="B15709" s="324"/>
      <c r="C15709" s="325"/>
      <c r="D15709" s="326"/>
      <c r="E15709" s="326"/>
      <c r="F15709" s="326"/>
      <c r="G15709" s="326"/>
      <c r="H15709" s="326"/>
      <c r="P15709" s="318"/>
      <c r="Q15709" s="318"/>
      <c r="R15709" s="318"/>
      <c r="S15709" s="318"/>
      <c r="T15709" s="318"/>
      <c r="U15709" s="318"/>
      <c r="V15709" s="318"/>
      <c r="W15709" s="318"/>
      <c r="X15709" s="318"/>
      <c r="Y15709" s="318"/>
      <c r="Z15709" s="318"/>
      <c r="AA15709" s="318"/>
      <c r="AB15709" s="318"/>
      <c r="AC15709" s="318"/>
      <c r="AD15709" s="318"/>
    </row>
    <row r="15710" spans="2:30" s="323" customFormat="1" ht="12" customHeight="1">
      <c r="B15710" s="324"/>
      <c r="C15710" s="325"/>
      <c r="D15710" s="326"/>
      <c r="E15710" s="326"/>
      <c r="F15710" s="326"/>
      <c r="G15710" s="326"/>
      <c r="H15710" s="326"/>
      <c r="P15710" s="318"/>
      <c r="Q15710" s="318"/>
      <c r="R15710" s="318"/>
      <c r="S15710" s="318"/>
      <c r="T15710" s="318"/>
      <c r="U15710" s="318"/>
      <c r="V15710" s="318"/>
      <c r="W15710" s="318"/>
      <c r="X15710" s="318"/>
      <c r="Y15710" s="318"/>
      <c r="Z15710" s="318"/>
      <c r="AA15710" s="318"/>
      <c r="AB15710" s="318"/>
      <c r="AC15710" s="318"/>
      <c r="AD15710" s="318"/>
    </row>
    <row r="15711" spans="2:30" s="323" customFormat="1" ht="12" customHeight="1">
      <c r="B15711" s="324"/>
      <c r="C15711" s="325"/>
      <c r="D15711" s="326"/>
      <c r="E15711" s="326"/>
      <c r="F15711" s="326"/>
      <c r="G15711" s="326"/>
      <c r="H15711" s="326"/>
      <c r="P15711" s="318"/>
      <c r="Q15711" s="318"/>
      <c r="R15711" s="318"/>
      <c r="S15711" s="318"/>
      <c r="T15711" s="318"/>
      <c r="U15711" s="318"/>
      <c r="V15711" s="318"/>
      <c r="W15711" s="318"/>
      <c r="X15711" s="318"/>
      <c r="Y15711" s="318"/>
      <c r="Z15711" s="318"/>
      <c r="AA15711" s="318"/>
      <c r="AB15711" s="318"/>
      <c r="AC15711" s="318"/>
      <c r="AD15711" s="318"/>
    </row>
    <row r="15712" spans="2:30" s="323" customFormat="1" ht="12" customHeight="1">
      <c r="B15712" s="324"/>
      <c r="C15712" s="325"/>
      <c r="D15712" s="326"/>
      <c r="E15712" s="326"/>
      <c r="F15712" s="326"/>
      <c r="G15712" s="326"/>
      <c r="H15712" s="326"/>
      <c r="P15712" s="318"/>
      <c r="Q15712" s="318"/>
      <c r="R15712" s="318"/>
      <c r="S15712" s="318"/>
      <c r="T15712" s="318"/>
      <c r="U15712" s="318"/>
      <c r="V15712" s="318"/>
      <c r="W15712" s="318"/>
      <c r="X15712" s="318"/>
      <c r="Y15712" s="318"/>
      <c r="Z15712" s="318"/>
      <c r="AA15712" s="318"/>
      <c r="AB15712" s="318"/>
      <c r="AC15712" s="318"/>
      <c r="AD15712" s="318"/>
    </row>
    <row r="15713" spans="2:30" s="323" customFormat="1" ht="12" customHeight="1">
      <c r="B15713" s="324"/>
      <c r="C15713" s="325"/>
      <c r="D15713" s="326"/>
      <c r="E15713" s="326"/>
      <c r="F15713" s="326"/>
      <c r="G15713" s="326"/>
      <c r="H15713" s="326"/>
      <c r="P15713" s="318"/>
      <c r="Q15713" s="318"/>
      <c r="R15713" s="318"/>
      <c r="S15713" s="318"/>
      <c r="T15713" s="318"/>
      <c r="U15713" s="318"/>
      <c r="V15713" s="318"/>
      <c r="W15713" s="318"/>
      <c r="X15713" s="318"/>
      <c r="Y15713" s="318"/>
      <c r="Z15713" s="318"/>
      <c r="AA15713" s="318"/>
      <c r="AB15713" s="318"/>
      <c r="AC15713" s="318"/>
      <c r="AD15713" s="318"/>
    </row>
    <row r="15714" spans="2:30" s="323" customFormat="1" ht="12" customHeight="1">
      <c r="B15714" s="324"/>
      <c r="C15714" s="325"/>
      <c r="D15714" s="326"/>
      <c r="E15714" s="326"/>
      <c r="F15714" s="326"/>
      <c r="G15714" s="326"/>
      <c r="H15714" s="326"/>
      <c r="P15714" s="318"/>
      <c r="Q15714" s="318"/>
      <c r="R15714" s="318"/>
      <c r="S15714" s="318"/>
      <c r="T15714" s="318"/>
      <c r="U15714" s="318"/>
      <c r="V15714" s="318"/>
      <c r="W15714" s="318"/>
      <c r="X15714" s="318"/>
      <c r="Y15714" s="318"/>
      <c r="Z15714" s="318"/>
      <c r="AA15714" s="318"/>
      <c r="AB15714" s="318"/>
      <c r="AC15714" s="318"/>
      <c r="AD15714" s="318"/>
    </row>
    <row r="15715" spans="2:30" s="323" customFormat="1" ht="12" customHeight="1">
      <c r="B15715" s="324"/>
      <c r="C15715" s="325"/>
      <c r="D15715" s="326"/>
      <c r="E15715" s="326"/>
      <c r="F15715" s="326"/>
      <c r="G15715" s="326"/>
      <c r="H15715" s="326"/>
      <c r="P15715" s="318"/>
      <c r="Q15715" s="318"/>
      <c r="R15715" s="318"/>
      <c r="S15715" s="318"/>
      <c r="T15715" s="318"/>
      <c r="U15715" s="318"/>
      <c r="V15715" s="318"/>
      <c r="W15715" s="318"/>
      <c r="X15715" s="318"/>
      <c r="Y15715" s="318"/>
      <c r="Z15715" s="318"/>
      <c r="AA15715" s="318"/>
      <c r="AB15715" s="318"/>
      <c r="AC15715" s="318"/>
      <c r="AD15715" s="318"/>
    </row>
    <row r="15716" spans="2:30" s="323" customFormat="1" ht="12" customHeight="1">
      <c r="B15716" s="324"/>
      <c r="C15716" s="325"/>
      <c r="D15716" s="326"/>
      <c r="E15716" s="326"/>
      <c r="F15716" s="326"/>
      <c r="G15716" s="326"/>
      <c r="H15716" s="326"/>
      <c r="P15716" s="318"/>
      <c r="Q15716" s="318"/>
      <c r="R15716" s="318"/>
      <c r="S15716" s="318"/>
      <c r="T15716" s="318"/>
      <c r="U15716" s="318"/>
      <c r="V15716" s="318"/>
      <c r="W15716" s="318"/>
      <c r="X15716" s="318"/>
      <c r="Y15716" s="318"/>
      <c r="Z15716" s="318"/>
      <c r="AA15716" s="318"/>
      <c r="AB15716" s="318"/>
      <c r="AC15716" s="318"/>
      <c r="AD15716" s="318"/>
    </row>
    <row r="15717" spans="2:30" s="323" customFormat="1" ht="12" customHeight="1">
      <c r="B15717" s="324"/>
      <c r="C15717" s="325"/>
      <c r="D15717" s="326"/>
      <c r="E15717" s="326"/>
      <c r="F15717" s="326"/>
      <c r="G15717" s="326"/>
      <c r="H15717" s="326"/>
      <c r="P15717" s="318"/>
      <c r="Q15717" s="318"/>
      <c r="R15717" s="318"/>
      <c r="S15717" s="318"/>
      <c r="T15717" s="318"/>
      <c r="U15717" s="318"/>
      <c r="V15717" s="318"/>
      <c r="W15717" s="318"/>
      <c r="X15717" s="318"/>
      <c r="Y15717" s="318"/>
      <c r="Z15717" s="318"/>
      <c r="AA15717" s="318"/>
      <c r="AB15717" s="318"/>
      <c r="AC15717" s="318"/>
      <c r="AD15717" s="318"/>
    </row>
    <row r="15718" spans="2:30" s="323" customFormat="1" ht="12" customHeight="1">
      <c r="B15718" s="324"/>
      <c r="C15718" s="325"/>
      <c r="D15718" s="326"/>
      <c r="E15718" s="326"/>
      <c r="F15718" s="326"/>
      <c r="G15718" s="326"/>
      <c r="H15718" s="326"/>
      <c r="P15718" s="318"/>
      <c r="Q15718" s="318"/>
      <c r="R15718" s="318"/>
      <c r="S15718" s="318"/>
      <c r="T15718" s="318"/>
      <c r="U15718" s="318"/>
      <c r="V15718" s="318"/>
      <c r="W15718" s="318"/>
      <c r="X15718" s="318"/>
      <c r="Y15718" s="318"/>
      <c r="Z15718" s="318"/>
      <c r="AA15718" s="318"/>
      <c r="AB15718" s="318"/>
      <c r="AC15718" s="318"/>
      <c r="AD15718" s="318"/>
    </row>
    <row r="15719" spans="2:30" s="323" customFormat="1" ht="12" customHeight="1">
      <c r="B15719" s="324"/>
      <c r="C15719" s="325"/>
      <c r="D15719" s="326"/>
      <c r="E15719" s="326"/>
      <c r="F15719" s="326"/>
      <c r="G15719" s="326"/>
      <c r="H15719" s="326"/>
      <c r="P15719" s="318"/>
      <c r="Q15719" s="318"/>
      <c r="R15719" s="318"/>
      <c r="S15719" s="318"/>
      <c r="T15719" s="318"/>
      <c r="U15719" s="318"/>
      <c r="V15719" s="318"/>
      <c r="W15719" s="318"/>
      <c r="X15719" s="318"/>
      <c r="Y15719" s="318"/>
      <c r="Z15719" s="318"/>
      <c r="AA15719" s="318"/>
      <c r="AB15719" s="318"/>
      <c r="AC15719" s="318"/>
      <c r="AD15719" s="318"/>
    </row>
    <row r="15720" spans="2:30" s="323" customFormat="1" ht="12" customHeight="1">
      <c r="B15720" s="324"/>
      <c r="C15720" s="325"/>
      <c r="D15720" s="326"/>
      <c r="E15720" s="326"/>
      <c r="F15720" s="326"/>
      <c r="G15720" s="326"/>
      <c r="H15720" s="326"/>
      <c r="P15720" s="318"/>
      <c r="Q15720" s="318"/>
      <c r="R15720" s="318"/>
      <c r="S15720" s="318"/>
      <c r="T15720" s="318"/>
      <c r="U15720" s="318"/>
      <c r="V15720" s="318"/>
      <c r="W15720" s="318"/>
      <c r="X15720" s="318"/>
      <c r="Y15720" s="318"/>
      <c r="Z15720" s="318"/>
      <c r="AA15720" s="318"/>
      <c r="AB15720" s="318"/>
      <c r="AC15720" s="318"/>
      <c r="AD15720" s="318"/>
    </row>
    <row r="15721" spans="2:30" s="323" customFormat="1" ht="12" customHeight="1">
      <c r="B15721" s="324"/>
      <c r="C15721" s="325"/>
      <c r="D15721" s="326"/>
      <c r="E15721" s="326"/>
      <c r="F15721" s="326"/>
      <c r="G15721" s="326"/>
      <c r="H15721" s="326"/>
      <c r="P15721" s="318"/>
      <c r="Q15721" s="318"/>
      <c r="R15721" s="318"/>
      <c r="S15721" s="318"/>
      <c r="T15721" s="318"/>
      <c r="U15721" s="318"/>
      <c r="V15721" s="318"/>
      <c r="W15721" s="318"/>
      <c r="X15721" s="318"/>
      <c r="Y15721" s="318"/>
      <c r="Z15721" s="318"/>
      <c r="AA15721" s="318"/>
      <c r="AB15721" s="318"/>
      <c r="AC15721" s="318"/>
      <c r="AD15721" s="318"/>
    </row>
    <row r="15722" spans="2:30" s="323" customFormat="1" ht="12" customHeight="1">
      <c r="B15722" s="324"/>
      <c r="C15722" s="325"/>
      <c r="D15722" s="326"/>
      <c r="E15722" s="326"/>
      <c r="F15722" s="326"/>
      <c r="G15722" s="326"/>
      <c r="H15722" s="326"/>
      <c r="P15722" s="318"/>
      <c r="Q15722" s="318"/>
      <c r="R15722" s="318"/>
      <c r="S15722" s="318"/>
      <c r="T15722" s="318"/>
      <c r="U15722" s="318"/>
      <c r="V15722" s="318"/>
      <c r="W15722" s="318"/>
      <c r="X15722" s="318"/>
      <c r="Y15722" s="318"/>
      <c r="Z15722" s="318"/>
      <c r="AA15722" s="318"/>
      <c r="AB15722" s="318"/>
      <c r="AC15722" s="318"/>
      <c r="AD15722" s="318"/>
    </row>
    <row r="15723" spans="2:30" s="323" customFormat="1" ht="12" customHeight="1">
      <c r="B15723" s="324"/>
      <c r="C15723" s="325"/>
      <c r="D15723" s="326"/>
      <c r="E15723" s="326"/>
      <c r="F15723" s="326"/>
      <c r="G15723" s="326"/>
      <c r="H15723" s="326"/>
      <c r="P15723" s="318"/>
      <c r="Q15723" s="318"/>
      <c r="R15723" s="318"/>
      <c r="S15723" s="318"/>
      <c r="T15723" s="318"/>
      <c r="U15723" s="318"/>
      <c r="V15723" s="318"/>
      <c r="W15723" s="318"/>
      <c r="X15723" s="318"/>
      <c r="Y15723" s="318"/>
      <c r="Z15723" s="318"/>
      <c r="AA15723" s="318"/>
      <c r="AB15723" s="318"/>
      <c r="AC15723" s="318"/>
      <c r="AD15723" s="318"/>
    </row>
    <row r="15724" spans="2:30" s="323" customFormat="1" ht="12" customHeight="1">
      <c r="B15724" s="324"/>
      <c r="C15724" s="325"/>
      <c r="D15724" s="326"/>
      <c r="E15724" s="326"/>
      <c r="F15724" s="326"/>
      <c r="G15724" s="326"/>
      <c r="H15724" s="326"/>
      <c r="P15724" s="318"/>
      <c r="Q15724" s="318"/>
      <c r="R15724" s="318"/>
      <c r="S15724" s="318"/>
      <c r="T15724" s="318"/>
      <c r="U15724" s="318"/>
      <c r="V15724" s="318"/>
      <c r="W15724" s="318"/>
      <c r="X15724" s="318"/>
      <c r="Y15724" s="318"/>
      <c r="Z15724" s="318"/>
      <c r="AA15724" s="318"/>
      <c r="AB15724" s="318"/>
      <c r="AC15724" s="318"/>
      <c r="AD15724" s="318"/>
    </row>
    <row r="15725" spans="2:30" s="323" customFormat="1" ht="12" customHeight="1">
      <c r="B15725" s="324"/>
      <c r="C15725" s="325"/>
      <c r="D15725" s="326"/>
      <c r="E15725" s="326"/>
      <c r="F15725" s="326"/>
      <c r="G15725" s="326"/>
      <c r="H15725" s="326"/>
      <c r="P15725" s="318"/>
      <c r="Q15725" s="318"/>
      <c r="R15725" s="318"/>
      <c r="S15725" s="318"/>
      <c r="T15725" s="318"/>
      <c r="U15725" s="318"/>
      <c r="V15725" s="318"/>
      <c r="W15725" s="318"/>
      <c r="X15725" s="318"/>
      <c r="Y15725" s="318"/>
      <c r="Z15725" s="318"/>
      <c r="AA15725" s="318"/>
      <c r="AB15725" s="318"/>
      <c r="AC15725" s="318"/>
      <c r="AD15725" s="318"/>
    </row>
    <row r="15726" spans="2:30" s="323" customFormat="1" ht="12" customHeight="1">
      <c r="B15726" s="324"/>
      <c r="C15726" s="325"/>
      <c r="D15726" s="326"/>
      <c r="E15726" s="326"/>
      <c r="F15726" s="326"/>
      <c r="G15726" s="326"/>
      <c r="H15726" s="326"/>
      <c r="P15726" s="318"/>
      <c r="Q15726" s="318"/>
      <c r="R15726" s="318"/>
      <c r="S15726" s="318"/>
      <c r="T15726" s="318"/>
      <c r="U15726" s="318"/>
      <c r="V15726" s="318"/>
      <c r="W15726" s="318"/>
      <c r="X15726" s="318"/>
      <c r="Y15726" s="318"/>
      <c r="Z15726" s="318"/>
      <c r="AA15726" s="318"/>
      <c r="AB15726" s="318"/>
      <c r="AC15726" s="318"/>
      <c r="AD15726" s="318"/>
    </row>
    <row r="15727" spans="2:30" s="323" customFormat="1" ht="12" customHeight="1">
      <c r="B15727" s="324"/>
      <c r="C15727" s="325"/>
      <c r="D15727" s="326"/>
      <c r="E15727" s="326"/>
      <c r="F15727" s="326"/>
      <c r="G15727" s="326"/>
      <c r="H15727" s="326"/>
      <c r="P15727" s="318"/>
      <c r="Q15727" s="318"/>
      <c r="R15727" s="318"/>
      <c r="S15727" s="318"/>
      <c r="T15727" s="318"/>
      <c r="U15727" s="318"/>
      <c r="V15727" s="318"/>
      <c r="W15727" s="318"/>
      <c r="X15727" s="318"/>
      <c r="Y15727" s="318"/>
      <c r="Z15727" s="318"/>
      <c r="AA15727" s="318"/>
      <c r="AB15727" s="318"/>
      <c r="AC15727" s="318"/>
      <c r="AD15727" s="318"/>
    </row>
    <row r="15728" spans="2:30" s="323" customFormat="1" ht="12" customHeight="1">
      <c r="B15728" s="324"/>
      <c r="C15728" s="325"/>
      <c r="D15728" s="326"/>
      <c r="E15728" s="326"/>
      <c r="F15728" s="326"/>
      <c r="G15728" s="326"/>
      <c r="H15728" s="326"/>
      <c r="P15728" s="318"/>
      <c r="Q15728" s="318"/>
      <c r="R15728" s="318"/>
      <c r="S15728" s="318"/>
      <c r="T15728" s="318"/>
      <c r="U15728" s="318"/>
      <c r="V15728" s="318"/>
      <c r="W15728" s="318"/>
      <c r="X15728" s="318"/>
      <c r="Y15728" s="318"/>
      <c r="Z15728" s="318"/>
      <c r="AA15728" s="318"/>
      <c r="AB15728" s="318"/>
      <c r="AC15728" s="318"/>
      <c r="AD15728" s="318"/>
    </row>
    <row r="15729" spans="2:30" s="323" customFormat="1" ht="12" customHeight="1">
      <c r="B15729" s="324"/>
      <c r="C15729" s="325"/>
      <c r="D15729" s="326"/>
      <c r="E15729" s="326"/>
      <c r="F15729" s="326"/>
      <c r="G15729" s="326"/>
      <c r="H15729" s="326"/>
      <c r="P15729" s="318"/>
      <c r="Q15729" s="318"/>
      <c r="R15729" s="318"/>
      <c r="S15729" s="318"/>
      <c r="T15729" s="318"/>
      <c r="U15729" s="318"/>
      <c r="V15729" s="318"/>
      <c r="W15729" s="318"/>
      <c r="X15729" s="318"/>
      <c r="Y15729" s="318"/>
      <c r="Z15729" s="318"/>
      <c r="AA15729" s="318"/>
      <c r="AB15729" s="318"/>
      <c r="AC15729" s="318"/>
      <c r="AD15729" s="318"/>
    </row>
    <row r="15730" spans="2:30" s="323" customFormat="1" ht="12" customHeight="1">
      <c r="B15730" s="324"/>
      <c r="C15730" s="325"/>
      <c r="D15730" s="326"/>
      <c r="E15730" s="326"/>
      <c r="F15730" s="326"/>
      <c r="G15730" s="326"/>
      <c r="H15730" s="326"/>
      <c r="P15730" s="318"/>
      <c r="Q15730" s="318"/>
      <c r="R15730" s="318"/>
      <c r="S15730" s="318"/>
      <c r="T15730" s="318"/>
      <c r="U15730" s="318"/>
      <c r="V15730" s="318"/>
      <c r="W15730" s="318"/>
      <c r="X15730" s="318"/>
      <c r="Y15730" s="318"/>
      <c r="Z15730" s="318"/>
      <c r="AA15730" s="318"/>
      <c r="AB15730" s="318"/>
      <c r="AC15730" s="318"/>
      <c r="AD15730" s="318"/>
    </row>
    <row r="15731" spans="2:30" s="323" customFormat="1" ht="12" customHeight="1">
      <c r="B15731" s="324"/>
      <c r="C15731" s="325"/>
      <c r="D15731" s="326"/>
      <c r="E15731" s="326"/>
      <c r="F15731" s="326"/>
      <c r="G15731" s="326"/>
      <c r="H15731" s="326"/>
      <c r="P15731" s="318"/>
      <c r="Q15731" s="318"/>
      <c r="R15731" s="318"/>
      <c r="S15731" s="318"/>
      <c r="T15731" s="318"/>
      <c r="U15731" s="318"/>
      <c r="V15731" s="318"/>
      <c r="W15731" s="318"/>
      <c r="X15731" s="318"/>
      <c r="Y15731" s="318"/>
      <c r="Z15731" s="318"/>
      <c r="AA15731" s="318"/>
      <c r="AB15731" s="318"/>
      <c r="AC15731" s="318"/>
      <c r="AD15731" s="318"/>
    </row>
    <row r="15732" spans="2:30" s="323" customFormat="1" ht="12" customHeight="1">
      <c r="B15732" s="324"/>
      <c r="C15732" s="325"/>
      <c r="D15732" s="326"/>
      <c r="E15732" s="326"/>
      <c r="F15732" s="326"/>
      <c r="G15732" s="326"/>
      <c r="H15732" s="326"/>
      <c r="P15732" s="318"/>
      <c r="Q15732" s="318"/>
      <c r="R15732" s="318"/>
      <c r="S15732" s="318"/>
      <c r="T15732" s="318"/>
      <c r="U15732" s="318"/>
      <c r="V15732" s="318"/>
      <c r="W15732" s="318"/>
      <c r="X15732" s="318"/>
      <c r="Y15732" s="318"/>
      <c r="Z15732" s="318"/>
      <c r="AA15732" s="318"/>
      <c r="AB15732" s="318"/>
      <c r="AC15732" s="318"/>
      <c r="AD15732" s="318"/>
    </row>
    <row r="15733" spans="2:30" s="323" customFormat="1" ht="12" customHeight="1">
      <c r="B15733" s="324"/>
      <c r="C15733" s="325"/>
      <c r="D15733" s="326"/>
      <c r="E15733" s="326"/>
      <c r="F15733" s="326"/>
      <c r="G15733" s="326"/>
      <c r="H15733" s="326"/>
      <c r="P15733" s="318"/>
      <c r="Q15733" s="318"/>
      <c r="R15733" s="318"/>
      <c r="S15733" s="318"/>
      <c r="T15733" s="318"/>
      <c r="U15733" s="318"/>
      <c r="V15733" s="318"/>
      <c r="W15733" s="318"/>
      <c r="X15733" s="318"/>
      <c r="Y15733" s="318"/>
      <c r="Z15733" s="318"/>
      <c r="AA15733" s="318"/>
      <c r="AB15733" s="318"/>
      <c r="AC15733" s="318"/>
      <c r="AD15733" s="318"/>
    </row>
    <row r="15734" spans="2:30" s="323" customFormat="1" ht="12" customHeight="1">
      <c r="B15734" s="324"/>
      <c r="C15734" s="325"/>
      <c r="D15734" s="326"/>
      <c r="E15734" s="326"/>
      <c r="F15734" s="326"/>
      <c r="G15734" s="326"/>
      <c r="H15734" s="326"/>
      <c r="P15734" s="318"/>
      <c r="Q15734" s="318"/>
      <c r="R15734" s="318"/>
      <c r="S15734" s="318"/>
      <c r="T15734" s="318"/>
      <c r="U15734" s="318"/>
      <c r="V15734" s="318"/>
      <c r="W15734" s="318"/>
      <c r="X15734" s="318"/>
      <c r="Y15734" s="318"/>
      <c r="Z15734" s="318"/>
      <c r="AA15734" s="318"/>
      <c r="AB15734" s="318"/>
      <c r="AC15734" s="318"/>
      <c r="AD15734" s="318"/>
    </row>
    <row r="15735" spans="2:30" s="323" customFormat="1" ht="12" customHeight="1">
      <c r="B15735" s="324"/>
      <c r="C15735" s="325"/>
      <c r="D15735" s="326"/>
      <c r="E15735" s="326"/>
      <c r="F15735" s="326"/>
      <c r="G15735" s="326"/>
      <c r="H15735" s="326"/>
      <c r="P15735" s="318"/>
      <c r="Q15735" s="318"/>
      <c r="R15735" s="318"/>
      <c r="S15735" s="318"/>
      <c r="T15735" s="318"/>
      <c r="U15735" s="318"/>
      <c r="V15735" s="318"/>
      <c r="W15735" s="318"/>
      <c r="X15735" s="318"/>
      <c r="Y15735" s="318"/>
      <c r="Z15735" s="318"/>
      <c r="AA15735" s="318"/>
      <c r="AB15735" s="318"/>
      <c r="AC15735" s="318"/>
      <c r="AD15735" s="318"/>
    </row>
    <row r="15736" spans="2:30" s="323" customFormat="1" ht="12" customHeight="1">
      <c r="B15736" s="324"/>
      <c r="C15736" s="325"/>
      <c r="D15736" s="326"/>
      <c r="E15736" s="326"/>
      <c r="F15736" s="326"/>
      <c r="G15736" s="326"/>
      <c r="H15736" s="326"/>
      <c r="P15736" s="318"/>
      <c r="Q15736" s="318"/>
      <c r="R15736" s="318"/>
      <c r="S15736" s="318"/>
      <c r="T15736" s="318"/>
      <c r="U15736" s="318"/>
      <c r="V15736" s="318"/>
      <c r="W15736" s="318"/>
      <c r="X15736" s="318"/>
      <c r="Y15736" s="318"/>
      <c r="Z15736" s="318"/>
      <c r="AA15736" s="318"/>
      <c r="AB15736" s="318"/>
      <c r="AC15736" s="318"/>
      <c r="AD15736" s="318"/>
    </row>
    <row r="15737" spans="2:30" s="323" customFormat="1" ht="12" customHeight="1">
      <c r="B15737" s="324"/>
      <c r="C15737" s="325"/>
      <c r="D15737" s="326"/>
      <c r="E15737" s="326"/>
      <c r="F15737" s="326"/>
      <c r="G15737" s="326"/>
      <c r="H15737" s="326"/>
      <c r="P15737" s="318"/>
      <c r="Q15737" s="318"/>
      <c r="R15737" s="318"/>
      <c r="S15737" s="318"/>
      <c r="T15737" s="318"/>
      <c r="U15737" s="318"/>
      <c r="V15737" s="318"/>
      <c r="W15737" s="318"/>
      <c r="X15737" s="318"/>
      <c r="Y15737" s="318"/>
      <c r="Z15737" s="318"/>
      <c r="AA15737" s="318"/>
      <c r="AB15737" s="318"/>
      <c r="AC15737" s="318"/>
      <c r="AD15737" s="318"/>
    </row>
    <row r="15738" spans="2:30" s="323" customFormat="1" ht="12" customHeight="1">
      <c r="B15738" s="324"/>
      <c r="C15738" s="325"/>
      <c r="D15738" s="326"/>
      <c r="E15738" s="326"/>
      <c r="F15738" s="326"/>
      <c r="G15738" s="326"/>
      <c r="H15738" s="326"/>
      <c r="P15738" s="318"/>
      <c r="Q15738" s="318"/>
      <c r="R15738" s="318"/>
      <c r="S15738" s="318"/>
      <c r="T15738" s="318"/>
      <c r="U15738" s="318"/>
      <c r="V15738" s="318"/>
      <c r="W15738" s="318"/>
      <c r="X15738" s="318"/>
      <c r="Y15738" s="318"/>
      <c r="Z15738" s="318"/>
      <c r="AA15738" s="318"/>
      <c r="AB15738" s="318"/>
      <c r="AC15738" s="318"/>
      <c r="AD15738" s="318"/>
    </row>
    <row r="15739" spans="2:30" s="323" customFormat="1" ht="12" customHeight="1">
      <c r="B15739" s="324"/>
      <c r="C15739" s="325"/>
      <c r="D15739" s="326"/>
      <c r="E15739" s="326"/>
      <c r="F15739" s="326"/>
      <c r="G15739" s="326"/>
      <c r="H15739" s="326"/>
      <c r="P15739" s="318"/>
      <c r="Q15739" s="318"/>
      <c r="R15739" s="318"/>
      <c r="S15739" s="318"/>
      <c r="T15739" s="318"/>
      <c r="U15739" s="318"/>
      <c r="V15739" s="318"/>
      <c r="W15739" s="318"/>
      <c r="X15739" s="318"/>
      <c r="Y15739" s="318"/>
      <c r="Z15739" s="318"/>
      <c r="AA15739" s="318"/>
      <c r="AB15739" s="318"/>
      <c r="AC15739" s="318"/>
      <c r="AD15739" s="318"/>
    </row>
    <row r="15740" spans="2:30" s="323" customFormat="1" ht="12" customHeight="1">
      <c r="B15740" s="324"/>
      <c r="C15740" s="325"/>
      <c r="D15740" s="326"/>
      <c r="E15740" s="326"/>
      <c r="F15740" s="326"/>
      <c r="G15740" s="326"/>
      <c r="H15740" s="326"/>
      <c r="P15740" s="318"/>
      <c r="Q15740" s="318"/>
      <c r="R15740" s="318"/>
      <c r="S15740" s="318"/>
      <c r="T15740" s="318"/>
      <c r="U15740" s="318"/>
      <c r="V15740" s="318"/>
      <c r="W15740" s="318"/>
      <c r="X15740" s="318"/>
      <c r="Y15740" s="318"/>
      <c r="Z15740" s="318"/>
      <c r="AA15740" s="318"/>
      <c r="AB15740" s="318"/>
      <c r="AC15740" s="318"/>
      <c r="AD15740" s="318"/>
    </row>
    <row r="15741" spans="2:30" s="323" customFormat="1" ht="12" customHeight="1">
      <c r="B15741" s="324"/>
      <c r="C15741" s="325"/>
      <c r="D15741" s="326"/>
      <c r="E15741" s="326"/>
      <c r="F15741" s="326"/>
      <c r="G15741" s="326"/>
      <c r="H15741" s="326"/>
      <c r="P15741" s="318"/>
      <c r="Q15741" s="318"/>
      <c r="R15741" s="318"/>
      <c r="S15741" s="318"/>
      <c r="T15741" s="318"/>
      <c r="U15741" s="318"/>
      <c r="V15741" s="318"/>
      <c r="W15741" s="318"/>
      <c r="X15741" s="318"/>
      <c r="Y15741" s="318"/>
      <c r="Z15741" s="318"/>
      <c r="AA15741" s="318"/>
      <c r="AB15741" s="318"/>
      <c r="AC15741" s="318"/>
      <c r="AD15741" s="318"/>
    </row>
    <row r="15742" spans="2:30" s="323" customFormat="1" ht="12" customHeight="1">
      <c r="B15742" s="324"/>
      <c r="C15742" s="325"/>
      <c r="D15742" s="326"/>
      <c r="E15742" s="326"/>
      <c r="F15742" s="326"/>
      <c r="G15742" s="326"/>
      <c r="H15742" s="326"/>
      <c r="P15742" s="318"/>
      <c r="Q15742" s="318"/>
      <c r="R15742" s="318"/>
      <c r="S15742" s="318"/>
      <c r="T15742" s="318"/>
      <c r="U15742" s="318"/>
      <c r="V15742" s="318"/>
      <c r="W15742" s="318"/>
      <c r="X15742" s="318"/>
      <c r="Y15742" s="318"/>
      <c r="Z15742" s="318"/>
      <c r="AA15742" s="318"/>
      <c r="AB15742" s="318"/>
      <c r="AC15742" s="318"/>
      <c r="AD15742" s="318"/>
    </row>
    <row r="15743" spans="2:30" s="323" customFormat="1" ht="12" customHeight="1">
      <c r="B15743" s="324"/>
      <c r="C15743" s="325"/>
      <c r="D15743" s="326"/>
      <c r="E15743" s="326"/>
      <c r="F15743" s="326"/>
      <c r="G15743" s="326"/>
      <c r="H15743" s="326"/>
      <c r="P15743" s="318"/>
      <c r="Q15743" s="318"/>
      <c r="R15743" s="318"/>
      <c r="S15743" s="318"/>
      <c r="T15743" s="318"/>
      <c r="U15743" s="318"/>
      <c r="V15743" s="318"/>
      <c r="W15743" s="318"/>
      <c r="X15743" s="318"/>
      <c r="Y15743" s="318"/>
      <c r="Z15743" s="318"/>
      <c r="AA15743" s="318"/>
      <c r="AB15743" s="318"/>
      <c r="AC15743" s="318"/>
      <c r="AD15743" s="318"/>
    </row>
    <row r="15744" spans="2:30" s="323" customFormat="1" ht="12" customHeight="1">
      <c r="B15744" s="324"/>
      <c r="C15744" s="325"/>
      <c r="D15744" s="326"/>
      <c r="E15744" s="326"/>
      <c r="F15744" s="326"/>
      <c r="G15744" s="326"/>
      <c r="H15744" s="326"/>
      <c r="P15744" s="318"/>
      <c r="Q15744" s="318"/>
      <c r="R15744" s="318"/>
      <c r="S15744" s="318"/>
      <c r="T15744" s="318"/>
      <c r="U15744" s="318"/>
      <c r="V15744" s="318"/>
      <c r="W15744" s="318"/>
      <c r="X15744" s="318"/>
      <c r="Y15744" s="318"/>
      <c r="Z15744" s="318"/>
      <c r="AA15744" s="318"/>
      <c r="AB15744" s="318"/>
      <c r="AC15744" s="318"/>
      <c r="AD15744" s="318"/>
    </row>
    <row r="15745" spans="2:30" s="323" customFormat="1" ht="12" customHeight="1">
      <c r="B15745" s="324"/>
      <c r="C15745" s="325"/>
      <c r="D15745" s="326"/>
      <c r="E15745" s="326"/>
      <c r="F15745" s="326"/>
      <c r="G15745" s="326"/>
      <c r="H15745" s="326"/>
      <c r="P15745" s="318"/>
      <c r="Q15745" s="318"/>
      <c r="R15745" s="318"/>
      <c r="S15745" s="318"/>
      <c r="T15745" s="318"/>
      <c r="U15745" s="318"/>
      <c r="V15745" s="318"/>
      <c r="W15745" s="318"/>
      <c r="X15745" s="318"/>
      <c r="Y15745" s="318"/>
      <c r="Z15745" s="318"/>
      <c r="AA15745" s="318"/>
      <c r="AB15745" s="318"/>
      <c r="AC15745" s="318"/>
      <c r="AD15745" s="318"/>
    </row>
    <row r="15746" spans="2:30" s="323" customFormat="1" ht="12" customHeight="1">
      <c r="B15746" s="324"/>
      <c r="C15746" s="325"/>
      <c r="D15746" s="326"/>
      <c r="E15746" s="326"/>
      <c r="F15746" s="326"/>
      <c r="G15746" s="326"/>
      <c r="H15746" s="326"/>
      <c r="P15746" s="318"/>
      <c r="Q15746" s="318"/>
      <c r="R15746" s="318"/>
      <c r="S15746" s="318"/>
      <c r="T15746" s="318"/>
      <c r="U15746" s="318"/>
      <c r="V15746" s="318"/>
      <c r="W15746" s="318"/>
      <c r="X15746" s="318"/>
      <c r="Y15746" s="318"/>
      <c r="Z15746" s="318"/>
      <c r="AA15746" s="318"/>
      <c r="AB15746" s="318"/>
      <c r="AC15746" s="318"/>
      <c r="AD15746" s="318"/>
    </row>
    <row r="15747" spans="2:30" s="323" customFormat="1" ht="12" customHeight="1">
      <c r="B15747" s="324"/>
      <c r="C15747" s="325"/>
      <c r="D15747" s="326"/>
      <c r="E15747" s="326"/>
      <c r="F15747" s="326"/>
      <c r="G15747" s="326"/>
      <c r="H15747" s="326"/>
      <c r="P15747" s="318"/>
      <c r="Q15747" s="318"/>
      <c r="R15747" s="318"/>
      <c r="S15747" s="318"/>
      <c r="T15747" s="318"/>
      <c r="U15747" s="318"/>
      <c r="V15747" s="318"/>
      <c r="W15747" s="318"/>
      <c r="X15747" s="318"/>
      <c r="Y15747" s="318"/>
      <c r="Z15747" s="318"/>
      <c r="AA15747" s="318"/>
      <c r="AB15747" s="318"/>
      <c r="AC15747" s="318"/>
      <c r="AD15747" s="318"/>
    </row>
    <row r="15748" spans="2:30" s="323" customFormat="1" ht="12" customHeight="1">
      <c r="B15748" s="324"/>
      <c r="C15748" s="325"/>
      <c r="D15748" s="326"/>
      <c r="E15748" s="326"/>
      <c r="F15748" s="326"/>
      <c r="G15748" s="326"/>
      <c r="H15748" s="326"/>
      <c r="P15748" s="318"/>
      <c r="Q15748" s="318"/>
      <c r="R15748" s="318"/>
      <c r="S15748" s="318"/>
      <c r="T15748" s="318"/>
      <c r="U15748" s="318"/>
      <c r="V15748" s="318"/>
      <c r="W15748" s="318"/>
      <c r="X15748" s="318"/>
      <c r="Y15748" s="318"/>
      <c r="Z15748" s="318"/>
      <c r="AA15748" s="318"/>
      <c r="AB15748" s="318"/>
      <c r="AC15748" s="318"/>
      <c r="AD15748" s="318"/>
    </row>
    <row r="15749" spans="2:30" s="323" customFormat="1" ht="12" customHeight="1">
      <c r="B15749" s="324"/>
      <c r="C15749" s="325"/>
      <c r="D15749" s="326"/>
      <c r="E15749" s="326"/>
      <c r="F15749" s="326"/>
      <c r="G15749" s="326"/>
      <c r="H15749" s="326"/>
      <c r="P15749" s="318"/>
      <c r="Q15749" s="318"/>
      <c r="R15749" s="318"/>
      <c r="S15749" s="318"/>
      <c r="T15749" s="318"/>
      <c r="U15749" s="318"/>
      <c r="V15749" s="318"/>
      <c r="W15749" s="318"/>
      <c r="X15749" s="318"/>
      <c r="Y15749" s="318"/>
      <c r="Z15749" s="318"/>
      <c r="AA15749" s="318"/>
      <c r="AB15749" s="318"/>
      <c r="AC15749" s="318"/>
      <c r="AD15749" s="318"/>
    </row>
    <row r="15750" spans="2:30" s="323" customFormat="1" ht="12" customHeight="1">
      <c r="B15750" s="324"/>
      <c r="C15750" s="325"/>
      <c r="D15750" s="326"/>
      <c r="E15750" s="326"/>
      <c r="F15750" s="326"/>
      <c r="G15750" s="326"/>
      <c r="H15750" s="326"/>
      <c r="P15750" s="318"/>
      <c r="Q15750" s="318"/>
      <c r="R15750" s="318"/>
      <c r="S15750" s="318"/>
      <c r="T15750" s="318"/>
      <c r="U15750" s="318"/>
      <c r="V15750" s="318"/>
      <c r="W15750" s="318"/>
      <c r="X15750" s="318"/>
      <c r="Y15750" s="318"/>
      <c r="Z15750" s="318"/>
      <c r="AA15750" s="318"/>
      <c r="AB15750" s="318"/>
      <c r="AC15750" s="318"/>
      <c r="AD15750" s="318"/>
    </row>
    <row r="15751" spans="2:30" s="323" customFormat="1" ht="12" customHeight="1">
      <c r="B15751" s="324"/>
      <c r="C15751" s="325"/>
      <c r="D15751" s="326"/>
      <c r="E15751" s="326"/>
      <c r="F15751" s="326"/>
      <c r="G15751" s="326"/>
      <c r="H15751" s="326"/>
      <c r="P15751" s="318"/>
      <c r="Q15751" s="318"/>
      <c r="R15751" s="318"/>
      <c r="S15751" s="318"/>
      <c r="T15751" s="318"/>
      <c r="U15751" s="318"/>
      <c r="V15751" s="318"/>
      <c r="W15751" s="318"/>
      <c r="X15751" s="318"/>
      <c r="Y15751" s="318"/>
      <c r="Z15751" s="318"/>
      <c r="AA15751" s="318"/>
      <c r="AB15751" s="318"/>
      <c r="AC15751" s="318"/>
      <c r="AD15751" s="318"/>
    </row>
    <row r="15752" spans="2:30" s="323" customFormat="1" ht="12" customHeight="1">
      <c r="B15752" s="324"/>
      <c r="C15752" s="325"/>
      <c r="D15752" s="326"/>
      <c r="E15752" s="326"/>
      <c r="F15752" s="326"/>
      <c r="G15752" s="326"/>
      <c r="H15752" s="326"/>
      <c r="P15752" s="318"/>
      <c r="Q15752" s="318"/>
      <c r="R15752" s="318"/>
      <c r="S15752" s="318"/>
      <c r="T15752" s="318"/>
      <c r="U15752" s="318"/>
      <c r="V15752" s="318"/>
      <c r="W15752" s="318"/>
      <c r="X15752" s="318"/>
      <c r="Y15752" s="318"/>
      <c r="Z15752" s="318"/>
      <c r="AA15752" s="318"/>
      <c r="AB15752" s="318"/>
      <c r="AC15752" s="318"/>
      <c r="AD15752" s="318"/>
    </row>
    <row r="15753" spans="2:30" s="323" customFormat="1" ht="12" customHeight="1">
      <c r="B15753" s="324"/>
      <c r="C15753" s="325"/>
      <c r="D15753" s="326"/>
      <c r="E15753" s="326"/>
      <c r="F15753" s="326"/>
      <c r="G15753" s="326"/>
      <c r="H15753" s="326"/>
      <c r="P15753" s="318"/>
      <c r="Q15753" s="318"/>
      <c r="R15753" s="318"/>
      <c r="S15753" s="318"/>
      <c r="T15753" s="318"/>
      <c r="U15753" s="318"/>
      <c r="V15753" s="318"/>
      <c r="W15753" s="318"/>
      <c r="X15753" s="318"/>
      <c r="Y15753" s="318"/>
      <c r="Z15753" s="318"/>
      <c r="AA15753" s="318"/>
      <c r="AB15753" s="318"/>
      <c r="AC15753" s="318"/>
      <c r="AD15753" s="318"/>
    </row>
    <row r="15754" spans="2:30" s="323" customFormat="1" ht="12" customHeight="1">
      <c r="B15754" s="324"/>
      <c r="C15754" s="325"/>
      <c r="D15754" s="326"/>
      <c r="E15754" s="326"/>
      <c r="F15754" s="326"/>
      <c r="G15754" s="326"/>
      <c r="H15754" s="326"/>
      <c r="P15754" s="318"/>
      <c r="Q15754" s="318"/>
      <c r="R15754" s="318"/>
      <c r="S15754" s="318"/>
      <c r="T15754" s="318"/>
      <c r="U15754" s="318"/>
      <c r="V15754" s="318"/>
      <c r="W15754" s="318"/>
      <c r="X15754" s="318"/>
      <c r="Y15754" s="318"/>
      <c r="Z15754" s="318"/>
      <c r="AA15754" s="318"/>
      <c r="AB15754" s="318"/>
      <c r="AC15754" s="318"/>
      <c r="AD15754" s="318"/>
    </row>
    <row r="15755" spans="2:30" s="323" customFormat="1" ht="12" customHeight="1">
      <c r="B15755" s="324"/>
      <c r="C15755" s="325"/>
      <c r="D15755" s="326"/>
      <c r="E15755" s="326"/>
      <c r="F15755" s="326"/>
      <c r="G15755" s="326"/>
      <c r="H15755" s="326"/>
      <c r="P15755" s="318"/>
      <c r="Q15755" s="318"/>
      <c r="R15755" s="318"/>
      <c r="S15755" s="318"/>
      <c r="T15755" s="318"/>
      <c r="U15755" s="318"/>
      <c r="V15755" s="318"/>
      <c r="W15755" s="318"/>
      <c r="X15755" s="318"/>
      <c r="Y15755" s="318"/>
      <c r="Z15755" s="318"/>
      <c r="AA15755" s="318"/>
      <c r="AB15755" s="318"/>
      <c r="AC15755" s="318"/>
      <c r="AD15755" s="318"/>
    </row>
    <row r="15756" spans="2:30" s="323" customFormat="1" ht="12" customHeight="1">
      <c r="B15756" s="324"/>
      <c r="C15756" s="325"/>
      <c r="D15756" s="326"/>
      <c r="E15756" s="326"/>
      <c r="F15756" s="326"/>
      <c r="G15756" s="326"/>
      <c r="H15756" s="326"/>
      <c r="P15756" s="318"/>
      <c r="Q15756" s="318"/>
      <c r="R15756" s="318"/>
      <c r="S15756" s="318"/>
      <c r="T15756" s="318"/>
      <c r="U15756" s="318"/>
      <c r="V15756" s="318"/>
      <c r="W15756" s="318"/>
      <c r="X15756" s="318"/>
      <c r="Y15756" s="318"/>
      <c r="Z15756" s="318"/>
      <c r="AA15756" s="318"/>
      <c r="AB15756" s="318"/>
      <c r="AC15756" s="318"/>
      <c r="AD15756" s="318"/>
    </row>
    <row r="15757" spans="2:30" s="323" customFormat="1" ht="12" customHeight="1">
      <c r="B15757" s="324"/>
      <c r="C15757" s="325"/>
      <c r="D15757" s="326"/>
      <c r="E15757" s="326"/>
      <c r="F15757" s="326"/>
      <c r="G15757" s="326"/>
      <c r="H15757" s="326"/>
      <c r="P15757" s="318"/>
      <c r="Q15757" s="318"/>
      <c r="R15757" s="318"/>
      <c r="S15757" s="318"/>
      <c r="T15757" s="318"/>
      <c r="U15757" s="318"/>
      <c r="V15757" s="318"/>
      <c r="W15757" s="318"/>
      <c r="X15757" s="318"/>
      <c r="Y15757" s="318"/>
      <c r="Z15757" s="318"/>
      <c r="AA15757" s="318"/>
      <c r="AB15757" s="318"/>
      <c r="AC15757" s="318"/>
      <c r="AD15757" s="318"/>
    </row>
    <row r="15758" spans="2:30" s="323" customFormat="1" ht="12" customHeight="1">
      <c r="B15758" s="324"/>
      <c r="C15758" s="325"/>
      <c r="D15758" s="326"/>
      <c r="E15758" s="326"/>
      <c r="F15758" s="326"/>
      <c r="G15758" s="326"/>
      <c r="H15758" s="326"/>
      <c r="P15758" s="318"/>
      <c r="Q15758" s="318"/>
      <c r="R15758" s="318"/>
      <c r="S15758" s="318"/>
      <c r="T15758" s="318"/>
      <c r="U15758" s="318"/>
      <c r="V15758" s="318"/>
      <c r="W15758" s="318"/>
      <c r="X15758" s="318"/>
      <c r="Y15758" s="318"/>
      <c r="Z15758" s="318"/>
      <c r="AA15758" s="318"/>
      <c r="AB15758" s="318"/>
      <c r="AC15758" s="318"/>
      <c r="AD15758" s="318"/>
    </row>
    <row r="15759" spans="2:30" s="323" customFormat="1" ht="12" customHeight="1">
      <c r="B15759" s="324"/>
      <c r="C15759" s="325"/>
      <c r="D15759" s="326"/>
      <c r="E15759" s="326"/>
      <c r="F15759" s="326"/>
      <c r="G15759" s="326"/>
      <c r="H15759" s="326"/>
      <c r="P15759" s="318"/>
      <c r="Q15759" s="318"/>
      <c r="R15759" s="318"/>
      <c r="S15759" s="318"/>
      <c r="T15759" s="318"/>
      <c r="U15759" s="318"/>
      <c r="V15759" s="318"/>
      <c r="W15759" s="318"/>
      <c r="X15759" s="318"/>
      <c r="Y15759" s="318"/>
      <c r="Z15759" s="318"/>
      <c r="AA15759" s="318"/>
      <c r="AB15759" s="318"/>
      <c r="AC15759" s="318"/>
      <c r="AD15759" s="318"/>
    </row>
    <row r="15760" spans="2:30" s="323" customFormat="1" ht="12" customHeight="1">
      <c r="B15760" s="324"/>
      <c r="C15760" s="325"/>
      <c r="D15760" s="326"/>
      <c r="E15760" s="326"/>
      <c r="F15760" s="326"/>
      <c r="G15760" s="326"/>
      <c r="H15760" s="326"/>
      <c r="P15760" s="318"/>
      <c r="Q15760" s="318"/>
      <c r="R15760" s="318"/>
      <c r="S15760" s="318"/>
      <c r="T15760" s="318"/>
      <c r="U15760" s="318"/>
      <c r="V15760" s="318"/>
      <c r="W15760" s="318"/>
      <c r="X15760" s="318"/>
      <c r="Y15760" s="318"/>
      <c r="Z15760" s="318"/>
      <c r="AA15760" s="318"/>
      <c r="AB15760" s="318"/>
      <c r="AC15760" s="318"/>
      <c r="AD15760" s="318"/>
    </row>
    <row r="15761" spans="2:30" s="323" customFormat="1" ht="12" customHeight="1">
      <c r="B15761" s="324"/>
      <c r="C15761" s="325"/>
      <c r="D15761" s="326"/>
      <c r="E15761" s="326"/>
      <c r="F15761" s="326"/>
      <c r="G15761" s="326"/>
      <c r="H15761" s="326"/>
      <c r="P15761" s="318"/>
      <c r="Q15761" s="318"/>
      <c r="R15761" s="318"/>
      <c r="S15761" s="318"/>
      <c r="T15761" s="318"/>
      <c r="U15761" s="318"/>
      <c r="V15761" s="318"/>
      <c r="W15761" s="318"/>
      <c r="X15761" s="318"/>
      <c r="Y15761" s="318"/>
      <c r="Z15761" s="318"/>
      <c r="AA15761" s="318"/>
      <c r="AB15761" s="318"/>
      <c r="AC15761" s="318"/>
      <c r="AD15761" s="318"/>
    </row>
    <row r="15762" spans="2:30" s="323" customFormat="1" ht="12" customHeight="1">
      <c r="B15762" s="324"/>
      <c r="C15762" s="325"/>
      <c r="D15762" s="326"/>
      <c r="E15762" s="326"/>
      <c r="F15762" s="326"/>
      <c r="G15762" s="326"/>
      <c r="H15762" s="326"/>
      <c r="P15762" s="318"/>
      <c r="Q15762" s="318"/>
      <c r="R15762" s="318"/>
      <c r="S15762" s="318"/>
      <c r="T15762" s="318"/>
      <c r="U15762" s="318"/>
      <c r="V15762" s="318"/>
      <c r="W15762" s="318"/>
      <c r="X15762" s="318"/>
      <c r="Y15762" s="318"/>
      <c r="Z15762" s="318"/>
      <c r="AA15762" s="318"/>
      <c r="AB15762" s="318"/>
      <c r="AC15762" s="318"/>
      <c r="AD15762" s="318"/>
    </row>
    <row r="15763" spans="2:30" s="323" customFormat="1" ht="12" customHeight="1">
      <c r="B15763" s="324"/>
      <c r="C15763" s="325"/>
      <c r="D15763" s="326"/>
      <c r="E15763" s="326"/>
      <c r="F15763" s="326"/>
      <c r="G15763" s="326"/>
      <c r="H15763" s="326"/>
      <c r="P15763" s="318"/>
      <c r="Q15763" s="318"/>
      <c r="R15763" s="318"/>
      <c r="S15763" s="318"/>
      <c r="T15763" s="318"/>
      <c r="U15763" s="318"/>
      <c r="V15763" s="318"/>
      <c r="W15763" s="318"/>
      <c r="X15763" s="318"/>
      <c r="Y15763" s="318"/>
      <c r="Z15763" s="318"/>
      <c r="AA15763" s="318"/>
      <c r="AB15763" s="318"/>
      <c r="AC15763" s="318"/>
      <c r="AD15763" s="318"/>
    </row>
    <row r="15764" spans="2:30" s="323" customFormat="1" ht="12" customHeight="1">
      <c r="B15764" s="324"/>
      <c r="C15764" s="325"/>
      <c r="D15764" s="326"/>
      <c r="E15764" s="326"/>
      <c r="F15764" s="326"/>
      <c r="G15764" s="326"/>
      <c r="H15764" s="326"/>
      <c r="P15764" s="318"/>
      <c r="Q15764" s="318"/>
      <c r="R15764" s="318"/>
      <c r="S15764" s="318"/>
      <c r="T15764" s="318"/>
      <c r="U15764" s="318"/>
      <c r="V15764" s="318"/>
      <c r="W15764" s="318"/>
      <c r="X15764" s="318"/>
      <c r="Y15764" s="318"/>
      <c r="Z15764" s="318"/>
      <c r="AA15764" s="318"/>
      <c r="AB15764" s="318"/>
      <c r="AC15764" s="318"/>
      <c r="AD15764" s="318"/>
    </row>
    <row r="15765" spans="2:30" s="323" customFormat="1" ht="12" customHeight="1">
      <c r="B15765" s="324"/>
      <c r="C15765" s="325"/>
      <c r="D15765" s="326"/>
      <c r="E15765" s="326"/>
      <c r="F15765" s="326"/>
      <c r="G15765" s="326"/>
      <c r="H15765" s="326"/>
      <c r="P15765" s="318"/>
      <c r="Q15765" s="318"/>
      <c r="R15765" s="318"/>
      <c r="S15765" s="318"/>
      <c r="T15765" s="318"/>
      <c r="U15765" s="318"/>
      <c r="V15765" s="318"/>
      <c r="W15765" s="318"/>
      <c r="X15765" s="318"/>
      <c r="Y15765" s="318"/>
      <c r="Z15765" s="318"/>
      <c r="AA15765" s="318"/>
      <c r="AB15765" s="318"/>
      <c r="AC15765" s="318"/>
      <c r="AD15765" s="318"/>
    </row>
    <row r="15766" spans="2:30" s="323" customFormat="1" ht="12" customHeight="1">
      <c r="B15766" s="324"/>
      <c r="C15766" s="325"/>
      <c r="D15766" s="326"/>
      <c r="E15766" s="326"/>
      <c r="F15766" s="326"/>
      <c r="G15766" s="326"/>
      <c r="H15766" s="326"/>
      <c r="P15766" s="318"/>
      <c r="Q15766" s="318"/>
      <c r="R15766" s="318"/>
      <c r="S15766" s="318"/>
      <c r="T15766" s="318"/>
      <c r="U15766" s="318"/>
      <c r="V15766" s="318"/>
      <c r="W15766" s="318"/>
      <c r="X15766" s="318"/>
      <c r="Y15766" s="318"/>
      <c r="Z15766" s="318"/>
      <c r="AA15766" s="318"/>
      <c r="AB15766" s="318"/>
      <c r="AC15766" s="318"/>
      <c r="AD15766" s="318"/>
    </row>
    <row r="15767" spans="2:30" s="323" customFormat="1" ht="12" customHeight="1">
      <c r="B15767" s="324"/>
      <c r="C15767" s="325"/>
      <c r="D15767" s="326"/>
      <c r="E15767" s="326"/>
      <c r="F15767" s="326"/>
      <c r="G15767" s="326"/>
      <c r="H15767" s="326"/>
      <c r="P15767" s="318"/>
      <c r="Q15767" s="318"/>
      <c r="R15767" s="318"/>
      <c r="S15767" s="318"/>
      <c r="T15767" s="318"/>
      <c r="U15767" s="318"/>
      <c r="V15767" s="318"/>
      <c r="W15767" s="318"/>
      <c r="X15767" s="318"/>
      <c r="Y15767" s="318"/>
      <c r="Z15767" s="318"/>
      <c r="AA15767" s="318"/>
      <c r="AB15767" s="318"/>
      <c r="AC15767" s="318"/>
      <c r="AD15767" s="318"/>
    </row>
    <row r="15768" spans="2:30" s="323" customFormat="1" ht="12" customHeight="1">
      <c r="B15768" s="324"/>
      <c r="C15768" s="325"/>
      <c r="D15768" s="326"/>
      <c r="E15768" s="326"/>
      <c r="F15768" s="326"/>
      <c r="G15768" s="326"/>
      <c r="H15768" s="326"/>
      <c r="P15768" s="318"/>
      <c r="Q15768" s="318"/>
      <c r="R15768" s="318"/>
      <c r="S15768" s="318"/>
      <c r="T15768" s="318"/>
      <c r="U15768" s="318"/>
      <c r="V15768" s="318"/>
      <c r="W15768" s="318"/>
      <c r="X15768" s="318"/>
      <c r="Y15768" s="318"/>
      <c r="Z15768" s="318"/>
      <c r="AA15768" s="318"/>
      <c r="AB15768" s="318"/>
      <c r="AC15768" s="318"/>
      <c r="AD15768" s="318"/>
    </row>
    <row r="15769" spans="2:30" s="323" customFormat="1" ht="12" customHeight="1">
      <c r="B15769" s="324"/>
      <c r="C15769" s="325"/>
      <c r="D15769" s="326"/>
      <c r="E15769" s="326"/>
      <c r="F15769" s="326"/>
      <c r="G15769" s="326"/>
      <c r="H15769" s="326"/>
      <c r="P15769" s="318"/>
      <c r="Q15769" s="318"/>
      <c r="R15769" s="318"/>
      <c r="S15769" s="318"/>
      <c r="T15769" s="318"/>
      <c r="U15769" s="318"/>
      <c r="V15769" s="318"/>
      <c r="W15769" s="318"/>
      <c r="X15769" s="318"/>
      <c r="Y15769" s="318"/>
      <c r="Z15769" s="318"/>
      <c r="AA15769" s="318"/>
      <c r="AB15769" s="318"/>
      <c r="AC15769" s="318"/>
      <c r="AD15769" s="318"/>
    </row>
    <row r="15770" spans="2:30" s="323" customFormat="1" ht="12" customHeight="1">
      <c r="B15770" s="324"/>
      <c r="C15770" s="325"/>
      <c r="D15770" s="326"/>
      <c r="E15770" s="326"/>
      <c r="F15770" s="326"/>
      <c r="G15770" s="326"/>
      <c r="H15770" s="326"/>
      <c r="P15770" s="318"/>
      <c r="Q15770" s="318"/>
      <c r="R15770" s="318"/>
      <c r="S15770" s="318"/>
      <c r="T15770" s="318"/>
      <c r="U15770" s="318"/>
      <c r="V15770" s="318"/>
      <c r="W15770" s="318"/>
      <c r="X15770" s="318"/>
      <c r="Y15770" s="318"/>
      <c r="Z15770" s="318"/>
      <c r="AA15770" s="318"/>
      <c r="AB15770" s="318"/>
      <c r="AC15770" s="318"/>
      <c r="AD15770" s="318"/>
    </row>
    <row r="15771" spans="2:30" s="323" customFormat="1" ht="12" customHeight="1">
      <c r="B15771" s="324"/>
      <c r="C15771" s="325"/>
      <c r="D15771" s="326"/>
      <c r="E15771" s="326"/>
      <c r="F15771" s="326"/>
      <c r="G15771" s="326"/>
      <c r="H15771" s="326"/>
      <c r="P15771" s="318"/>
      <c r="Q15771" s="318"/>
      <c r="R15771" s="318"/>
      <c r="S15771" s="318"/>
      <c r="T15771" s="318"/>
      <c r="U15771" s="318"/>
      <c r="V15771" s="318"/>
      <c r="W15771" s="318"/>
      <c r="X15771" s="318"/>
      <c r="Y15771" s="318"/>
      <c r="Z15771" s="318"/>
      <c r="AA15771" s="318"/>
      <c r="AB15771" s="318"/>
      <c r="AC15771" s="318"/>
      <c r="AD15771" s="318"/>
    </row>
    <row r="15772" spans="2:30" s="323" customFormat="1" ht="12" customHeight="1">
      <c r="B15772" s="324"/>
      <c r="C15772" s="325"/>
      <c r="D15772" s="326"/>
      <c r="E15772" s="326"/>
      <c r="F15772" s="326"/>
      <c r="G15772" s="326"/>
      <c r="H15772" s="326"/>
      <c r="P15772" s="318"/>
      <c r="Q15772" s="318"/>
      <c r="R15772" s="318"/>
      <c r="S15772" s="318"/>
      <c r="T15772" s="318"/>
      <c r="U15772" s="318"/>
      <c r="V15772" s="318"/>
      <c r="W15772" s="318"/>
      <c r="X15772" s="318"/>
      <c r="Y15772" s="318"/>
      <c r="Z15772" s="318"/>
      <c r="AA15772" s="318"/>
      <c r="AB15772" s="318"/>
      <c r="AC15772" s="318"/>
      <c r="AD15772" s="318"/>
    </row>
    <row r="15773" spans="2:30" s="323" customFormat="1" ht="12" customHeight="1">
      <c r="B15773" s="324"/>
      <c r="C15773" s="325"/>
      <c r="D15773" s="326"/>
      <c r="E15773" s="326"/>
      <c r="F15773" s="326"/>
      <c r="G15773" s="326"/>
      <c r="H15773" s="326"/>
      <c r="P15773" s="318"/>
      <c r="Q15773" s="318"/>
      <c r="R15773" s="318"/>
      <c r="S15773" s="318"/>
      <c r="T15773" s="318"/>
      <c r="U15773" s="318"/>
      <c r="V15773" s="318"/>
      <c r="W15773" s="318"/>
      <c r="X15773" s="318"/>
      <c r="Y15773" s="318"/>
      <c r="Z15773" s="318"/>
      <c r="AA15773" s="318"/>
      <c r="AB15773" s="318"/>
      <c r="AC15773" s="318"/>
      <c r="AD15773" s="318"/>
    </row>
    <row r="15774" spans="2:30" s="323" customFormat="1" ht="12" customHeight="1">
      <c r="B15774" s="324"/>
      <c r="C15774" s="325"/>
      <c r="D15774" s="326"/>
      <c r="E15774" s="326"/>
      <c r="F15774" s="326"/>
      <c r="G15774" s="326"/>
      <c r="H15774" s="326"/>
      <c r="P15774" s="318"/>
      <c r="Q15774" s="318"/>
      <c r="R15774" s="318"/>
      <c r="S15774" s="318"/>
      <c r="T15774" s="318"/>
      <c r="U15774" s="318"/>
      <c r="V15774" s="318"/>
      <c r="W15774" s="318"/>
      <c r="X15774" s="318"/>
      <c r="Y15774" s="318"/>
      <c r="Z15774" s="318"/>
      <c r="AA15774" s="318"/>
      <c r="AB15774" s="318"/>
      <c r="AC15774" s="318"/>
      <c r="AD15774" s="318"/>
    </row>
    <row r="15775" spans="2:30" s="323" customFormat="1" ht="12" customHeight="1">
      <c r="B15775" s="324"/>
      <c r="C15775" s="325"/>
      <c r="D15775" s="326"/>
      <c r="E15775" s="326"/>
      <c r="F15775" s="326"/>
      <c r="G15775" s="326"/>
      <c r="H15775" s="326"/>
      <c r="P15775" s="318"/>
      <c r="Q15775" s="318"/>
      <c r="R15775" s="318"/>
      <c r="S15775" s="318"/>
      <c r="T15775" s="318"/>
      <c r="U15775" s="318"/>
      <c r="V15775" s="318"/>
      <c r="W15775" s="318"/>
      <c r="X15775" s="318"/>
      <c r="Y15775" s="318"/>
      <c r="Z15775" s="318"/>
      <c r="AA15775" s="318"/>
      <c r="AB15775" s="318"/>
      <c r="AC15775" s="318"/>
      <c r="AD15775" s="318"/>
    </row>
    <row r="15776" spans="2:30" s="323" customFormat="1" ht="12" customHeight="1">
      <c r="B15776" s="324"/>
      <c r="C15776" s="325"/>
      <c r="D15776" s="326"/>
      <c r="E15776" s="326"/>
      <c r="F15776" s="326"/>
      <c r="G15776" s="326"/>
      <c r="H15776" s="326"/>
      <c r="P15776" s="318"/>
      <c r="Q15776" s="318"/>
      <c r="R15776" s="318"/>
      <c r="S15776" s="318"/>
      <c r="T15776" s="318"/>
      <c r="U15776" s="318"/>
      <c r="V15776" s="318"/>
      <c r="W15776" s="318"/>
      <c r="X15776" s="318"/>
      <c r="Y15776" s="318"/>
      <c r="Z15776" s="318"/>
      <c r="AA15776" s="318"/>
      <c r="AB15776" s="318"/>
      <c r="AC15776" s="318"/>
      <c r="AD15776" s="318"/>
    </row>
    <row r="15777" spans="2:30" s="323" customFormat="1" ht="12" customHeight="1">
      <c r="B15777" s="324"/>
      <c r="C15777" s="325"/>
      <c r="D15777" s="326"/>
      <c r="E15777" s="326"/>
      <c r="F15777" s="326"/>
      <c r="G15777" s="326"/>
      <c r="H15777" s="326"/>
      <c r="P15777" s="318"/>
      <c r="Q15777" s="318"/>
      <c r="R15777" s="318"/>
      <c r="S15777" s="318"/>
      <c r="T15777" s="318"/>
      <c r="U15777" s="318"/>
      <c r="V15777" s="318"/>
      <c r="W15777" s="318"/>
      <c r="X15777" s="318"/>
      <c r="Y15777" s="318"/>
      <c r="Z15777" s="318"/>
      <c r="AA15777" s="318"/>
      <c r="AB15777" s="318"/>
      <c r="AC15777" s="318"/>
      <c r="AD15777" s="318"/>
    </row>
    <row r="15778" spans="2:30" s="323" customFormat="1" ht="12" customHeight="1">
      <c r="B15778" s="324"/>
      <c r="C15778" s="325"/>
      <c r="D15778" s="326"/>
      <c r="E15778" s="326"/>
      <c r="F15778" s="326"/>
      <c r="G15778" s="326"/>
      <c r="H15778" s="326"/>
      <c r="P15778" s="318"/>
      <c r="Q15778" s="318"/>
      <c r="R15778" s="318"/>
      <c r="S15778" s="318"/>
      <c r="T15778" s="318"/>
      <c r="U15778" s="318"/>
      <c r="V15778" s="318"/>
      <c r="W15778" s="318"/>
      <c r="X15778" s="318"/>
      <c r="Y15778" s="318"/>
      <c r="Z15778" s="318"/>
      <c r="AA15778" s="318"/>
      <c r="AB15778" s="318"/>
      <c r="AC15778" s="318"/>
      <c r="AD15778" s="318"/>
    </row>
    <row r="15779" spans="2:30" s="323" customFormat="1" ht="12" customHeight="1">
      <c r="B15779" s="324"/>
      <c r="C15779" s="325"/>
      <c r="D15779" s="326"/>
      <c r="E15779" s="326"/>
      <c r="F15779" s="326"/>
      <c r="G15779" s="326"/>
      <c r="H15779" s="326"/>
      <c r="P15779" s="318"/>
      <c r="Q15779" s="318"/>
      <c r="R15779" s="318"/>
      <c r="S15779" s="318"/>
      <c r="T15779" s="318"/>
      <c r="U15779" s="318"/>
      <c r="V15779" s="318"/>
      <c r="W15779" s="318"/>
      <c r="X15779" s="318"/>
      <c r="Y15779" s="318"/>
      <c r="Z15779" s="318"/>
      <c r="AA15779" s="318"/>
      <c r="AB15779" s="318"/>
      <c r="AC15779" s="318"/>
      <c r="AD15779" s="318"/>
    </row>
    <row r="15780" spans="2:30" s="323" customFormat="1" ht="12" customHeight="1">
      <c r="B15780" s="324"/>
      <c r="C15780" s="325"/>
      <c r="D15780" s="326"/>
      <c r="E15780" s="326"/>
      <c r="F15780" s="326"/>
      <c r="G15780" s="326"/>
      <c r="H15780" s="326"/>
      <c r="P15780" s="318"/>
      <c r="Q15780" s="318"/>
      <c r="R15780" s="318"/>
      <c r="S15780" s="318"/>
      <c r="T15780" s="318"/>
      <c r="U15780" s="318"/>
      <c r="V15780" s="318"/>
      <c r="W15780" s="318"/>
      <c r="X15780" s="318"/>
      <c r="Y15780" s="318"/>
      <c r="Z15780" s="318"/>
      <c r="AA15780" s="318"/>
      <c r="AB15780" s="318"/>
      <c r="AC15780" s="318"/>
      <c r="AD15780" s="318"/>
    </row>
    <row r="15781" spans="2:30" s="323" customFormat="1" ht="12" customHeight="1">
      <c r="B15781" s="324"/>
      <c r="C15781" s="325"/>
      <c r="D15781" s="326"/>
      <c r="E15781" s="326"/>
      <c r="F15781" s="326"/>
      <c r="G15781" s="326"/>
      <c r="H15781" s="326"/>
      <c r="P15781" s="318"/>
      <c r="Q15781" s="318"/>
      <c r="R15781" s="318"/>
      <c r="S15781" s="318"/>
      <c r="T15781" s="318"/>
      <c r="U15781" s="318"/>
      <c r="V15781" s="318"/>
      <c r="W15781" s="318"/>
      <c r="X15781" s="318"/>
      <c r="Y15781" s="318"/>
      <c r="Z15781" s="318"/>
      <c r="AA15781" s="318"/>
      <c r="AB15781" s="318"/>
      <c r="AC15781" s="318"/>
      <c r="AD15781" s="318"/>
    </row>
    <row r="15782" spans="2:30" s="323" customFormat="1" ht="12" customHeight="1">
      <c r="B15782" s="324"/>
      <c r="C15782" s="325"/>
      <c r="D15782" s="326"/>
      <c r="E15782" s="326"/>
      <c r="F15782" s="326"/>
      <c r="G15782" s="326"/>
      <c r="H15782" s="326"/>
      <c r="P15782" s="318"/>
      <c r="Q15782" s="318"/>
      <c r="R15782" s="318"/>
      <c r="S15782" s="318"/>
      <c r="T15782" s="318"/>
      <c r="U15782" s="318"/>
      <c r="V15782" s="318"/>
      <c r="W15782" s="318"/>
      <c r="X15782" s="318"/>
      <c r="Y15782" s="318"/>
      <c r="Z15782" s="318"/>
      <c r="AA15782" s="318"/>
      <c r="AB15782" s="318"/>
      <c r="AC15782" s="318"/>
      <c r="AD15782" s="318"/>
    </row>
    <row r="15783" spans="2:30" s="323" customFormat="1" ht="12" customHeight="1">
      <c r="B15783" s="324"/>
      <c r="C15783" s="325"/>
      <c r="D15783" s="326"/>
      <c r="E15783" s="326"/>
      <c r="F15783" s="326"/>
      <c r="G15783" s="326"/>
      <c r="H15783" s="326"/>
      <c r="P15783" s="318"/>
      <c r="Q15783" s="318"/>
      <c r="R15783" s="318"/>
      <c r="S15783" s="318"/>
      <c r="T15783" s="318"/>
      <c r="U15783" s="318"/>
      <c r="V15783" s="318"/>
      <c r="W15783" s="318"/>
      <c r="X15783" s="318"/>
      <c r="Y15783" s="318"/>
      <c r="Z15783" s="318"/>
      <c r="AA15783" s="318"/>
      <c r="AB15783" s="318"/>
      <c r="AC15783" s="318"/>
      <c r="AD15783" s="318"/>
    </row>
    <row r="15784" spans="2:30" s="323" customFormat="1" ht="12" customHeight="1">
      <c r="B15784" s="324"/>
      <c r="C15784" s="325"/>
      <c r="D15784" s="326"/>
      <c r="E15784" s="326"/>
      <c r="F15784" s="326"/>
      <c r="G15784" s="326"/>
      <c r="H15784" s="326"/>
      <c r="P15784" s="318"/>
      <c r="Q15784" s="318"/>
      <c r="R15784" s="318"/>
      <c r="S15784" s="318"/>
      <c r="T15784" s="318"/>
      <c r="U15784" s="318"/>
      <c r="V15784" s="318"/>
      <c r="W15784" s="318"/>
      <c r="X15784" s="318"/>
      <c r="Y15784" s="318"/>
      <c r="Z15784" s="318"/>
      <c r="AA15784" s="318"/>
      <c r="AB15784" s="318"/>
      <c r="AC15784" s="318"/>
      <c r="AD15784" s="318"/>
    </row>
    <row r="15785" spans="2:30" s="323" customFormat="1" ht="12" customHeight="1">
      <c r="B15785" s="324"/>
      <c r="C15785" s="325"/>
      <c r="D15785" s="326"/>
      <c r="E15785" s="326"/>
      <c r="F15785" s="326"/>
      <c r="G15785" s="326"/>
      <c r="H15785" s="326"/>
      <c r="P15785" s="318"/>
      <c r="Q15785" s="318"/>
      <c r="R15785" s="318"/>
      <c r="S15785" s="318"/>
      <c r="T15785" s="318"/>
      <c r="U15785" s="318"/>
      <c r="V15785" s="318"/>
      <c r="W15785" s="318"/>
      <c r="X15785" s="318"/>
      <c r="Y15785" s="318"/>
      <c r="Z15785" s="318"/>
      <c r="AA15785" s="318"/>
      <c r="AB15785" s="318"/>
      <c r="AC15785" s="318"/>
      <c r="AD15785" s="318"/>
    </row>
    <row r="15786" spans="2:30" s="323" customFormat="1" ht="12" customHeight="1">
      <c r="B15786" s="324"/>
      <c r="C15786" s="325"/>
      <c r="D15786" s="326"/>
      <c r="E15786" s="326"/>
      <c r="F15786" s="326"/>
      <c r="G15786" s="326"/>
      <c r="H15786" s="326"/>
      <c r="P15786" s="318"/>
      <c r="Q15786" s="318"/>
      <c r="R15786" s="318"/>
      <c r="S15786" s="318"/>
      <c r="T15786" s="318"/>
      <c r="U15786" s="318"/>
      <c r="V15786" s="318"/>
      <c r="W15786" s="318"/>
      <c r="X15786" s="318"/>
      <c r="Y15786" s="318"/>
      <c r="Z15786" s="318"/>
      <c r="AA15786" s="318"/>
      <c r="AB15786" s="318"/>
      <c r="AC15786" s="318"/>
      <c r="AD15786" s="318"/>
    </row>
    <row r="15787" spans="2:30" s="323" customFormat="1" ht="12" customHeight="1">
      <c r="B15787" s="324"/>
      <c r="C15787" s="325"/>
      <c r="D15787" s="326"/>
      <c r="E15787" s="326"/>
      <c r="F15787" s="326"/>
      <c r="G15787" s="326"/>
      <c r="H15787" s="326"/>
      <c r="P15787" s="318"/>
      <c r="Q15787" s="318"/>
      <c r="R15787" s="318"/>
      <c r="S15787" s="318"/>
      <c r="T15787" s="318"/>
      <c r="U15787" s="318"/>
      <c r="V15787" s="318"/>
      <c r="W15787" s="318"/>
      <c r="X15787" s="318"/>
      <c r="Y15787" s="318"/>
      <c r="Z15787" s="318"/>
      <c r="AA15787" s="318"/>
      <c r="AB15787" s="318"/>
      <c r="AC15787" s="318"/>
      <c r="AD15787" s="318"/>
    </row>
    <row r="15788" spans="2:30" s="323" customFormat="1" ht="12" customHeight="1">
      <c r="B15788" s="324"/>
      <c r="C15788" s="325"/>
      <c r="D15788" s="326"/>
      <c r="E15788" s="326"/>
      <c r="F15788" s="326"/>
      <c r="G15788" s="326"/>
      <c r="H15788" s="326"/>
      <c r="P15788" s="318"/>
      <c r="Q15788" s="318"/>
      <c r="R15788" s="318"/>
      <c r="S15788" s="318"/>
      <c r="T15788" s="318"/>
      <c r="U15788" s="318"/>
      <c r="V15788" s="318"/>
      <c r="W15788" s="318"/>
      <c r="X15788" s="318"/>
      <c r="Y15788" s="318"/>
      <c r="Z15788" s="318"/>
      <c r="AA15788" s="318"/>
      <c r="AB15788" s="318"/>
      <c r="AC15788" s="318"/>
      <c r="AD15788" s="318"/>
    </row>
    <row r="15789" spans="2:30" s="323" customFormat="1" ht="12" customHeight="1">
      <c r="B15789" s="324"/>
      <c r="C15789" s="325"/>
      <c r="D15789" s="326"/>
      <c r="E15789" s="326"/>
      <c r="F15789" s="326"/>
      <c r="G15789" s="326"/>
      <c r="H15789" s="326"/>
      <c r="P15789" s="318"/>
      <c r="Q15789" s="318"/>
      <c r="R15789" s="318"/>
      <c r="S15789" s="318"/>
      <c r="T15789" s="318"/>
      <c r="U15789" s="318"/>
      <c r="V15789" s="318"/>
      <c r="W15789" s="318"/>
      <c r="X15789" s="318"/>
      <c r="Y15789" s="318"/>
      <c r="Z15789" s="318"/>
      <c r="AA15789" s="318"/>
      <c r="AB15789" s="318"/>
      <c r="AC15789" s="318"/>
      <c r="AD15789" s="318"/>
    </row>
    <row r="15790" spans="2:30" s="323" customFormat="1" ht="12" customHeight="1">
      <c r="B15790" s="324"/>
      <c r="C15790" s="325"/>
      <c r="D15790" s="326"/>
      <c r="E15790" s="326"/>
      <c r="F15790" s="326"/>
      <c r="G15790" s="326"/>
      <c r="H15790" s="326"/>
      <c r="P15790" s="318"/>
      <c r="Q15790" s="318"/>
      <c r="R15790" s="318"/>
      <c r="S15790" s="318"/>
      <c r="T15790" s="318"/>
      <c r="U15790" s="318"/>
      <c r="V15790" s="318"/>
      <c r="W15790" s="318"/>
      <c r="X15790" s="318"/>
      <c r="Y15790" s="318"/>
      <c r="Z15790" s="318"/>
      <c r="AA15790" s="318"/>
      <c r="AB15790" s="318"/>
      <c r="AC15790" s="318"/>
      <c r="AD15790" s="318"/>
    </row>
    <row r="15791" spans="2:30" s="323" customFormat="1" ht="12" customHeight="1">
      <c r="B15791" s="324"/>
      <c r="C15791" s="325"/>
      <c r="D15791" s="326"/>
      <c r="E15791" s="326"/>
      <c r="F15791" s="326"/>
      <c r="G15791" s="326"/>
      <c r="H15791" s="326"/>
      <c r="P15791" s="318"/>
      <c r="Q15791" s="318"/>
      <c r="R15791" s="318"/>
      <c r="S15791" s="318"/>
      <c r="T15791" s="318"/>
      <c r="U15791" s="318"/>
      <c r="V15791" s="318"/>
      <c r="W15791" s="318"/>
      <c r="X15791" s="318"/>
      <c r="Y15791" s="318"/>
      <c r="Z15791" s="318"/>
      <c r="AA15791" s="318"/>
      <c r="AB15791" s="318"/>
      <c r="AC15791" s="318"/>
      <c r="AD15791" s="318"/>
    </row>
    <row r="15792" spans="2:30" s="323" customFormat="1" ht="12" customHeight="1">
      <c r="B15792" s="324"/>
      <c r="C15792" s="325"/>
      <c r="D15792" s="326"/>
      <c r="E15792" s="326"/>
      <c r="F15792" s="326"/>
      <c r="G15792" s="326"/>
      <c r="H15792" s="326"/>
      <c r="P15792" s="318"/>
      <c r="Q15792" s="318"/>
      <c r="R15792" s="318"/>
      <c r="S15792" s="318"/>
      <c r="T15792" s="318"/>
      <c r="U15792" s="318"/>
      <c r="V15792" s="318"/>
      <c r="W15792" s="318"/>
      <c r="X15792" s="318"/>
      <c r="Y15792" s="318"/>
      <c r="Z15792" s="318"/>
      <c r="AA15792" s="318"/>
      <c r="AB15792" s="318"/>
      <c r="AC15792" s="318"/>
      <c r="AD15792" s="318"/>
    </row>
    <row r="15793" spans="2:30" s="323" customFormat="1" ht="12" customHeight="1">
      <c r="B15793" s="324"/>
      <c r="C15793" s="325"/>
      <c r="D15793" s="326"/>
      <c r="E15793" s="326"/>
      <c r="F15793" s="326"/>
      <c r="G15793" s="326"/>
      <c r="H15793" s="326"/>
      <c r="P15793" s="318"/>
      <c r="Q15793" s="318"/>
      <c r="R15793" s="318"/>
      <c r="S15793" s="318"/>
      <c r="T15793" s="318"/>
      <c r="U15793" s="318"/>
      <c r="V15793" s="318"/>
      <c r="W15793" s="318"/>
      <c r="X15793" s="318"/>
      <c r="Y15793" s="318"/>
      <c r="Z15793" s="318"/>
      <c r="AA15793" s="318"/>
      <c r="AB15793" s="318"/>
      <c r="AC15793" s="318"/>
      <c r="AD15793" s="318"/>
    </row>
    <row r="15794" spans="2:30" s="323" customFormat="1" ht="12" customHeight="1">
      <c r="B15794" s="324"/>
      <c r="C15794" s="325"/>
      <c r="D15794" s="326"/>
      <c r="E15794" s="326"/>
      <c r="F15794" s="326"/>
      <c r="G15794" s="326"/>
      <c r="H15794" s="326"/>
      <c r="P15794" s="318"/>
      <c r="Q15794" s="318"/>
      <c r="R15794" s="318"/>
      <c r="S15794" s="318"/>
      <c r="T15794" s="318"/>
      <c r="U15794" s="318"/>
      <c r="V15794" s="318"/>
      <c r="W15794" s="318"/>
      <c r="X15794" s="318"/>
      <c r="Y15794" s="318"/>
      <c r="Z15794" s="318"/>
      <c r="AA15794" s="318"/>
      <c r="AB15794" s="318"/>
      <c r="AC15794" s="318"/>
      <c r="AD15794" s="318"/>
    </row>
    <row r="15795" spans="2:30" s="323" customFormat="1" ht="12" customHeight="1">
      <c r="B15795" s="324"/>
      <c r="C15795" s="325"/>
      <c r="D15795" s="326"/>
      <c r="E15795" s="326"/>
      <c r="F15795" s="326"/>
      <c r="G15795" s="326"/>
      <c r="H15795" s="326"/>
      <c r="P15795" s="318"/>
      <c r="Q15795" s="318"/>
      <c r="R15795" s="318"/>
      <c r="S15795" s="318"/>
      <c r="T15795" s="318"/>
      <c r="U15795" s="318"/>
      <c r="V15795" s="318"/>
      <c r="W15795" s="318"/>
      <c r="X15795" s="318"/>
      <c r="Y15795" s="318"/>
      <c r="Z15795" s="318"/>
      <c r="AA15795" s="318"/>
      <c r="AB15795" s="318"/>
      <c r="AC15795" s="318"/>
      <c r="AD15795" s="318"/>
    </row>
    <row r="15796" spans="2:30" s="323" customFormat="1" ht="12" customHeight="1">
      <c r="B15796" s="324"/>
      <c r="C15796" s="325"/>
      <c r="D15796" s="326"/>
      <c r="E15796" s="326"/>
      <c r="F15796" s="326"/>
      <c r="G15796" s="326"/>
      <c r="H15796" s="326"/>
      <c r="P15796" s="318"/>
      <c r="Q15796" s="318"/>
      <c r="R15796" s="318"/>
      <c r="S15796" s="318"/>
      <c r="T15796" s="318"/>
      <c r="U15796" s="318"/>
      <c r="V15796" s="318"/>
      <c r="W15796" s="318"/>
      <c r="X15796" s="318"/>
      <c r="Y15796" s="318"/>
      <c r="Z15796" s="318"/>
      <c r="AA15796" s="318"/>
      <c r="AB15796" s="318"/>
      <c r="AC15796" s="318"/>
      <c r="AD15796" s="318"/>
    </row>
    <row r="15797" spans="2:30" s="323" customFormat="1" ht="12" customHeight="1">
      <c r="B15797" s="324"/>
      <c r="C15797" s="325"/>
      <c r="D15797" s="326"/>
      <c r="E15797" s="326"/>
      <c r="F15797" s="326"/>
      <c r="G15797" s="326"/>
      <c r="H15797" s="326"/>
      <c r="P15797" s="318"/>
      <c r="Q15797" s="318"/>
      <c r="R15797" s="318"/>
      <c r="S15797" s="318"/>
      <c r="T15797" s="318"/>
      <c r="U15797" s="318"/>
      <c r="V15797" s="318"/>
      <c r="W15797" s="318"/>
      <c r="X15797" s="318"/>
      <c r="Y15797" s="318"/>
      <c r="Z15797" s="318"/>
      <c r="AA15797" s="318"/>
      <c r="AB15797" s="318"/>
      <c r="AC15797" s="318"/>
      <c r="AD15797" s="318"/>
    </row>
    <row r="15798" spans="2:30" s="323" customFormat="1" ht="12" customHeight="1">
      <c r="B15798" s="324"/>
      <c r="C15798" s="325"/>
      <c r="D15798" s="326"/>
      <c r="E15798" s="326"/>
      <c r="F15798" s="326"/>
      <c r="G15798" s="326"/>
      <c r="H15798" s="326"/>
      <c r="P15798" s="318"/>
      <c r="Q15798" s="318"/>
      <c r="R15798" s="318"/>
      <c r="S15798" s="318"/>
      <c r="T15798" s="318"/>
      <c r="U15798" s="318"/>
      <c r="V15798" s="318"/>
      <c r="W15798" s="318"/>
      <c r="X15798" s="318"/>
      <c r="Y15798" s="318"/>
      <c r="Z15798" s="318"/>
      <c r="AA15798" s="318"/>
      <c r="AB15798" s="318"/>
      <c r="AC15798" s="318"/>
      <c r="AD15798" s="318"/>
    </row>
    <row r="15799" spans="2:30" s="323" customFormat="1" ht="12" customHeight="1">
      <c r="B15799" s="324"/>
      <c r="C15799" s="325"/>
      <c r="D15799" s="326"/>
      <c r="E15799" s="326"/>
      <c r="F15799" s="326"/>
      <c r="G15799" s="326"/>
      <c r="H15799" s="326"/>
      <c r="P15799" s="318"/>
      <c r="Q15799" s="318"/>
      <c r="R15799" s="318"/>
      <c r="S15799" s="318"/>
      <c r="T15799" s="318"/>
      <c r="U15799" s="318"/>
      <c r="V15799" s="318"/>
      <c r="W15799" s="318"/>
      <c r="X15799" s="318"/>
      <c r="Y15799" s="318"/>
      <c r="Z15799" s="318"/>
      <c r="AA15799" s="318"/>
      <c r="AB15799" s="318"/>
      <c r="AC15799" s="318"/>
      <c r="AD15799" s="318"/>
    </row>
    <row r="15800" spans="2:30" s="323" customFormat="1" ht="12" customHeight="1">
      <c r="B15800" s="324"/>
      <c r="C15800" s="325"/>
      <c r="D15800" s="326"/>
      <c r="E15800" s="326"/>
      <c r="F15800" s="326"/>
      <c r="G15800" s="326"/>
      <c r="H15800" s="326"/>
      <c r="P15800" s="318"/>
      <c r="Q15800" s="318"/>
      <c r="R15800" s="318"/>
      <c r="S15800" s="318"/>
      <c r="T15800" s="318"/>
      <c r="U15800" s="318"/>
      <c r="V15800" s="318"/>
      <c r="W15800" s="318"/>
      <c r="X15800" s="318"/>
      <c r="Y15800" s="318"/>
      <c r="Z15800" s="318"/>
      <c r="AA15800" s="318"/>
      <c r="AB15800" s="318"/>
      <c r="AC15800" s="318"/>
      <c r="AD15800" s="318"/>
    </row>
    <row r="15801" spans="2:30" s="323" customFormat="1" ht="12" customHeight="1">
      <c r="B15801" s="324"/>
      <c r="C15801" s="325"/>
      <c r="D15801" s="326"/>
      <c r="E15801" s="326"/>
      <c r="F15801" s="326"/>
      <c r="G15801" s="326"/>
      <c r="H15801" s="326"/>
      <c r="P15801" s="318"/>
      <c r="Q15801" s="318"/>
      <c r="R15801" s="318"/>
      <c r="S15801" s="318"/>
      <c r="T15801" s="318"/>
      <c r="U15801" s="318"/>
      <c r="V15801" s="318"/>
      <c r="W15801" s="318"/>
      <c r="X15801" s="318"/>
      <c r="Y15801" s="318"/>
      <c r="Z15801" s="318"/>
      <c r="AA15801" s="318"/>
      <c r="AB15801" s="318"/>
      <c r="AC15801" s="318"/>
      <c r="AD15801" s="318"/>
    </row>
    <row r="15802" spans="2:30" s="323" customFormat="1" ht="12" customHeight="1">
      <c r="B15802" s="324"/>
      <c r="C15802" s="325"/>
      <c r="D15802" s="326"/>
      <c r="E15802" s="326"/>
      <c r="F15802" s="326"/>
      <c r="G15802" s="326"/>
      <c r="H15802" s="326"/>
      <c r="P15802" s="318"/>
      <c r="Q15802" s="318"/>
      <c r="R15802" s="318"/>
      <c r="S15802" s="318"/>
      <c r="T15802" s="318"/>
      <c r="U15802" s="318"/>
      <c r="V15802" s="318"/>
      <c r="W15802" s="318"/>
      <c r="X15802" s="318"/>
      <c r="Y15802" s="318"/>
      <c r="Z15802" s="318"/>
      <c r="AA15802" s="318"/>
      <c r="AB15802" s="318"/>
      <c r="AC15802" s="318"/>
      <c r="AD15802" s="318"/>
    </row>
    <row r="15803" spans="2:30" s="323" customFormat="1" ht="12" customHeight="1">
      <c r="B15803" s="324"/>
      <c r="C15803" s="325"/>
      <c r="D15803" s="326"/>
      <c r="E15803" s="326"/>
      <c r="F15803" s="326"/>
      <c r="G15803" s="326"/>
      <c r="H15803" s="326"/>
      <c r="P15803" s="318"/>
      <c r="Q15803" s="318"/>
      <c r="R15803" s="318"/>
      <c r="S15803" s="318"/>
      <c r="T15803" s="318"/>
      <c r="U15803" s="318"/>
      <c r="V15803" s="318"/>
      <c r="W15803" s="318"/>
      <c r="X15803" s="318"/>
      <c r="Y15803" s="318"/>
      <c r="Z15803" s="318"/>
      <c r="AA15803" s="318"/>
      <c r="AB15803" s="318"/>
      <c r="AC15803" s="318"/>
      <c r="AD15803" s="318"/>
    </row>
    <row r="15804" spans="2:30" s="323" customFormat="1" ht="12" customHeight="1">
      <c r="B15804" s="324"/>
      <c r="C15804" s="325"/>
      <c r="D15804" s="326"/>
      <c r="E15804" s="326"/>
      <c r="F15804" s="326"/>
      <c r="G15804" s="326"/>
      <c r="H15804" s="326"/>
      <c r="P15804" s="318"/>
      <c r="Q15804" s="318"/>
      <c r="R15804" s="318"/>
      <c r="S15804" s="318"/>
      <c r="T15804" s="318"/>
      <c r="U15804" s="318"/>
      <c r="V15804" s="318"/>
      <c r="W15804" s="318"/>
      <c r="X15804" s="318"/>
      <c r="Y15804" s="318"/>
      <c r="Z15804" s="318"/>
      <c r="AA15804" s="318"/>
      <c r="AB15804" s="318"/>
      <c r="AC15804" s="318"/>
      <c r="AD15804" s="318"/>
    </row>
    <row r="15805" spans="2:30" s="323" customFormat="1" ht="12" customHeight="1">
      <c r="B15805" s="324"/>
      <c r="C15805" s="325"/>
      <c r="D15805" s="326"/>
      <c r="E15805" s="326"/>
      <c r="F15805" s="326"/>
      <c r="G15805" s="326"/>
      <c r="H15805" s="326"/>
      <c r="P15805" s="318"/>
      <c r="Q15805" s="318"/>
      <c r="R15805" s="318"/>
      <c r="S15805" s="318"/>
      <c r="T15805" s="318"/>
      <c r="U15805" s="318"/>
      <c r="V15805" s="318"/>
      <c r="W15805" s="318"/>
      <c r="X15805" s="318"/>
      <c r="Y15805" s="318"/>
      <c r="Z15805" s="318"/>
      <c r="AA15805" s="318"/>
      <c r="AB15805" s="318"/>
      <c r="AC15805" s="318"/>
      <c r="AD15805" s="318"/>
    </row>
    <row r="15806" spans="2:30" s="323" customFormat="1" ht="12" customHeight="1">
      <c r="B15806" s="324"/>
      <c r="C15806" s="325"/>
      <c r="D15806" s="326"/>
      <c r="E15806" s="326"/>
      <c r="F15806" s="326"/>
      <c r="G15806" s="326"/>
      <c r="H15806" s="326"/>
      <c r="P15806" s="318"/>
      <c r="Q15806" s="318"/>
      <c r="R15806" s="318"/>
      <c r="S15806" s="318"/>
      <c r="T15806" s="318"/>
      <c r="U15806" s="318"/>
      <c r="V15806" s="318"/>
      <c r="W15806" s="318"/>
      <c r="X15806" s="318"/>
      <c r="Y15806" s="318"/>
      <c r="Z15806" s="318"/>
      <c r="AA15806" s="318"/>
      <c r="AB15806" s="318"/>
      <c r="AC15806" s="318"/>
      <c r="AD15806" s="318"/>
    </row>
    <row r="15807" spans="2:30" s="323" customFormat="1" ht="12" customHeight="1">
      <c r="B15807" s="324"/>
      <c r="C15807" s="325"/>
      <c r="D15807" s="326"/>
      <c r="E15807" s="326"/>
      <c r="F15807" s="326"/>
      <c r="G15807" s="326"/>
      <c r="H15807" s="326"/>
      <c r="P15807" s="318"/>
      <c r="Q15807" s="318"/>
      <c r="R15807" s="318"/>
      <c r="S15807" s="318"/>
      <c r="T15807" s="318"/>
      <c r="U15807" s="318"/>
      <c r="V15807" s="318"/>
      <c r="W15807" s="318"/>
      <c r="X15807" s="318"/>
      <c r="Y15807" s="318"/>
      <c r="Z15807" s="318"/>
      <c r="AA15807" s="318"/>
      <c r="AB15807" s="318"/>
      <c r="AC15807" s="318"/>
      <c r="AD15807" s="318"/>
    </row>
    <row r="15808" spans="2:30" s="323" customFormat="1" ht="12" customHeight="1">
      <c r="B15808" s="324"/>
      <c r="C15808" s="325"/>
      <c r="D15808" s="326"/>
      <c r="E15808" s="326"/>
      <c r="F15808" s="326"/>
      <c r="G15808" s="326"/>
      <c r="H15808" s="326"/>
      <c r="P15808" s="318"/>
      <c r="Q15808" s="318"/>
      <c r="R15808" s="318"/>
      <c r="S15808" s="318"/>
      <c r="T15808" s="318"/>
      <c r="U15808" s="318"/>
      <c r="V15808" s="318"/>
      <c r="W15808" s="318"/>
      <c r="X15808" s="318"/>
      <c r="Y15808" s="318"/>
      <c r="Z15808" s="318"/>
      <c r="AA15808" s="318"/>
      <c r="AB15808" s="318"/>
      <c r="AC15808" s="318"/>
      <c r="AD15808" s="318"/>
    </row>
    <row r="15809" spans="2:30" s="323" customFormat="1" ht="12" customHeight="1">
      <c r="B15809" s="324"/>
      <c r="C15809" s="325"/>
      <c r="D15809" s="326"/>
      <c r="E15809" s="326"/>
      <c r="F15809" s="326"/>
      <c r="G15809" s="326"/>
      <c r="H15809" s="326"/>
      <c r="P15809" s="318"/>
      <c r="Q15809" s="318"/>
      <c r="R15809" s="318"/>
      <c r="S15809" s="318"/>
      <c r="T15809" s="318"/>
      <c r="U15809" s="318"/>
      <c r="V15809" s="318"/>
      <c r="W15809" s="318"/>
      <c r="X15809" s="318"/>
      <c r="Y15809" s="318"/>
      <c r="Z15809" s="318"/>
      <c r="AA15809" s="318"/>
      <c r="AB15809" s="318"/>
      <c r="AC15809" s="318"/>
      <c r="AD15809" s="318"/>
    </row>
    <row r="15810" spans="2:30" s="323" customFormat="1" ht="12" customHeight="1">
      <c r="B15810" s="324"/>
      <c r="C15810" s="325"/>
      <c r="D15810" s="326"/>
      <c r="E15810" s="326"/>
      <c r="F15810" s="326"/>
      <c r="G15810" s="326"/>
      <c r="H15810" s="326"/>
      <c r="P15810" s="318"/>
      <c r="Q15810" s="318"/>
      <c r="R15810" s="318"/>
      <c r="S15810" s="318"/>
      <c r="T15810" s="318"/>
      <c r="U15810" s="318"/>
      <c r="V15810" s="318"/>
      <c r="W15810" s="318"/>
      <c r="X15810" s="318"/>
      <c r="Y15810" s="318"/>
      <c r="Z15810" s="318"/>
      <c r="AA15810" s="318"/>
      <c r="AB15810" s="318"/>
      <c r="AC15810" s="318"/>
      <c r="AD15810" s="318"/>
    </row>
    <row r="15811" spans="2:30" s="323" customFormat="1" ht="12" customHeight="1">
      <c r="B15811" s="324"/>
      <c r="C15811" s="325"/>
      <c r="D15811" s="326"/>
      <c r="E15811" s="326"/>
      <c r="F15811" s="326"/>
      <c r="G15811" s="326"/>
      <c r="H15811" s="326"/>
      <c r="P15811" s="318"/>
      <c r="Q15811" s="318"/>
      <c r="R15811" s="318"/>
      <c r="S15811" s="318"/>
      <c r="T15811" s="318"/>
      <c r="U15811" s="318"/>
      <c r="V15811" s="318"/>
      <c r="W15811" s="318"/>
      <c r="X15811" s="318"/>
      <c r="Y15811" s="318"/>
      <c r="Z15811" s="318"/>
      <c r="AA15811" s="318"/>
      <c r="AB15811" s="318"/>
      <c r="AC15811" s="318"/>
      <c r="AD15811" s="318"/>
    </row>
    <row r="15812" spans="2:30" s="323" customFormat="1" ht="12" customHeight="1">
      <c r="B15812" s="324"/>
      <c r="C15812" s="325"/>
      <c r="D15812" s="326"/>
      <c r="E15812" s="326"/>
      <c r="F15812" s="326"/>
      <c r="G15812" s="326"/>
      <c r="H15812" s="326"/>
      <c r="P15812" s="318"/>
      <c r="Q15812" s="318"/>
      <c r="R15812" s="318"/>
      <c r="S15812" s="318"/>
      <c r="T15812" s="318"/>
      <c r="U15812" s="318"/>
      <c r="V15812" s="318"/>
      <c r="W15812" s="318"/>
      <c r="X15812" s="318"/>
      <c r="Y15812" s="318"/>
      <c r="Z15812" s="318"/>
      <c r="AA15812" s="318"/>
      <c r="AB15812" s="318"/>
      <c r="AC15812" s="318"/>
      <c r="AD15812" s="318"/>
    </row>
    <row r="15813" spans="2:30" s="323" customFormat="1" ht="12" customHeight="1">
      <c r="B15813" s="324"/>
      <c r="C15813" s="325"/>
      <c r="D15813" s="326"/>
      <c r="E15813" s="326"/>
      <c r="F15813" s="326"/>
      <c r="G15813" s="326"/>
      <c r="H15813" s="326"/>
      <c r="P15813" s="318"/>
      <c r="Q15813" s="318"/>
      <c r="R15813" s="318"/>
      <c r="S15813" s="318"/>
      <c r="T15813" s="318"/>
      <c r="U15813" s="318"/>
      <c r="V15813" s="318"/>
      <c r="W15813" s="318"/>
      <c r="X15813" s="318"/>
      <c r="Y15813" s="318"/>
      <c r="Z15813" s="318"/>
      <c r="AA15813" s="318"/>
      <c r="AB15813" s="318"/>
      <c r="AC15813" s="318"/>
      <c r="AD15813" s="318"/>
    </row>
    <row r="15814" spans="2:30" s="323" customFormat="1" ht="12" customHeight="1">
      <c r="B15814" s="324"/>
      <c r="C15814" s="325"/>
      <c r="D15814" s="326"/>
      <c r="E15814" s="326"/>
      <c r="F15814" s="326"/>
      <c r="G15814" s="326"/>
      <c r="H15814" s="326"/>
      <c r="P15814" s="318"/>
      <c r="Q15814" s="318"/>
      <c r="R15814" s="318"/>
      <c r="S15814" s="318"/>
      <c r="T15814" s="318"/>
      <c r="U15814" s="318"/>
      <c r="V15814" s="318"/>
      <c r="W15814" s="318"/>
      <c r="X15814" s="318"/>
      <c r="Y15814" s="318"/>
      <c r="Z15814" s="318"/>
      <c r="AA15814" s="318"/>
      <c r="AB15814" s="318"/>
      <c r="AC15814" s="318"/>
      <c r="AD15814" s="318"/>
    </row>
    <row r="15815" spans="2:30" s="323" customFormat="1" ht="12" customHeight="1">
      <c r="B15815" s="324"/>
      <c r="C15815" s="325"/>
      <c r="D15815" s="326"/>
      <c r="E15815" s="326"/>
      <c r="F15815" s="326"/>
      <c r="G15815" s="326"/>
      <c r="H15815" s="326"/>
      <c r="P15815" s="318"/>
      <c r="Q15815" s="318"/>
      <c r="R15815" s="318"/>
      <c r="S15815" s="318"/>
      <c r="T15815" s="318"/>
      <c r="U15815" s="318"/>
      <c r="V15815" s="318"/>
      <c r="W15815" s="318"/>
      <c r="X15815" s="318"/>
      <c r="Y15815" s="318"/>
      <c r="Z15815" s="318"/>
      <c r="AA15815" s="318"/>
      <c r="AB15815" s="318"/>
      <c r="AC15815" s="318"/>
      <c r="AD15815" s="318"/>
    </row>
    <row r="15816" spans="2:30" s="323" customFormat="1" ht="12" customHeight="1">
      <c r="B15816" s="324"/>
      <c r="C15816" s="325"/>
      <c r="D15816" s="326"/>
      <c r="E15816" s="326"/>
      <c r="F15816" s="326"/>
      <c r="G15816" s="326"/>
      <c r="H15816" s="326"/>
      <c r="P15816" s="318"/>
      <c r="Q15816" s="318"/>
      <c r="R15816" s="318"/>
      <c r="S15816" s="318"/>
      <c r="T15816" s="318"/>
      <c r="U15816" s="318"/>
      <c r="V15816" s="318"/>
      <c r="W15816" s="318"/>
      <c r="X15816" s="318"/>
      <c r="Y15816" s="318"/>
      <c r="Z15816" s="318"/>
      <c r="AA15816" s="318"/>
      <c r="AB15816" s="318"/>
      <c r="AC15816" s="318"/>
      <c r="AD15816" s="318"/>
    </row>
    <row r="15817" spans="2:30" s="323" customFormat="1" ht="12" customHeight="1">
      <c r="B15817" s="324"/>
      <c r="C15817" s="325"/>
      <c r="D15817" s="326"/>
      <c r="E15817" s="326"/>
      <c r="F15817" s="326"/>
      <c r="G15817" s="326"/>
      <c r="H15817" s="326"/>
      <c r="P15817" s="318"/>
      <c r="Q15817" s="318"/>
      <c r="R15817" s="318"/>
      <c r="S15817" s="318"/>
      <c r="T15817" s="318"/>
      <c r="U15817" s="318"/>
      <c r="V15817" s="318"/>
      <c r="W15817" s="318"/>
      <c r="X15817" s="318"/>
      <c r="Y15817" s="318"/>
      <c r="Z15817" s="318"/>
      <c r="AA15817" s="318"/>
      <c r="AB15817" s="318"/>
      <c r="AC15817" s="318"/>
      <c r="AD15817" s="318"/>
    </row>
    <row r="15818" spans="2:30" s="323" customFormat="1" ht="12" customHeight="1">
      <c r="B15818" s="324"/>
      <c r="C15818" s="325"/>
      <c r="D15818" s="326"/>
      <c r="E15818" s="326"/>
      <c r="F15818" s="326"/>
      <c r="G15818" s="326"/>
      <c r="H15818" s="326"/>
      <c r="P15818" s="318"/>
      <c r="Q15818" s="318"/>
      <c r="R15818" s="318"/>
      <c r="S15818" s="318"/>
      <c r="T15818" s="318"/>
      <c r="U15818" s="318"/>
      <c r="V15818" s="318"/>
      <c r="W15818" s="318"/>
      <c r="X15818" s="318"/>
      <c r="Y15818" s="318"/>
      <c r="Z15818" s="318"/>
      <c r="AA15818" s="318"/>
      <c r="AB15818" s="318"/>
      <c r="AC15818" s="318"/>
      <c r="AD15818" s="318"/>
    </row>
    <row r="15819" spans="2:30" s="323" customFormat="1" ht="12" customHeight="1">
      <c r="B15819" s="324"/>
      <c r="C15819" s="325"/>
      <c r="D15819" s="326"/>
      <c r="E15819" s="326"/>
      <c r="F15819" s="326"/>
      <c r="G15819" s="326"/>
      <c r="H15819" s="326"/>
      <c r="P15819" s="318"/>
      <c r="Q15819" s="318"/>
      <c r="R15819" s="318"/>
      <c r="S15819" s="318"/>
      <c r="T15819" s="318"/>
      <c r="U15819" s="318"/>
      <c r="V15819" s="318"/>
      <c r="W15819" s="318"/>
      <c r="X15819" s="318"/>
      <c r="Y15819" s="318"/>
      <c r="Z15819" s="318"/>
      <c r="AA15819" s="318"/>
      <c r="AB15819" s="318"/>
      <c r="AC15819" s="318"/>
      <c r="AD15819" s="318"/>
    </row>
    <row r="15820" spans="2:30" s="323" customFormat="1" ht="12" customHeight="1">
      <c r="B15820" s="324"/>
      <c r="C15820" s="325"/>
      <c r="D15820" s="326"/>
      <c r="E15820" s="326"/>
      <c r="F15820" s="326"/>
      <c r="G15820" s="326"/>
      <c r="H15820" s="326"/>
      <c r="P15820" s="318"/>
      <c r="Q15820" s="318"/>
      <c r="R15820" s="318"/>
      <c r="S15820" s="318"/>
      <c r="T15820" s="318"/>
      <c r="U15820" s="318"/>
      <c r="V15820" s="318"/>
      <c r="W15820" s="318"/>
      <c r="X15820" s="318"/>
      <c r="Y15820" s="318"/>
      <c r="Z15820" s="318"/>
      <c r="AA15820" s="318"/>
      <c r="AB15820" s="318"/>
      <c r="AC15820" s="318"/>
      <c r="AD15820" s="318"/>
    </row>
    <row r="15821" spans="2:30" s="323" customFormat="1" ht="12" customHeight="1">
      <c r="B15821" s="324"/>
      <c r="C15821" s="325"/>
      <c r="D15821" s="326"/>
      <c r="E15821" s="326"/>
      <c r="F15821" s="326"/>
      <c r="G15821" s="326"/>
      <c r="H15821" s="326"/>
      <c r="P15821" s="318"/>
      <c r="Q15821" s="318"/>
      <c r="R15821" s="318"/>
      <c r="S15821" s="318"/>
      <c r="T15821" s="318"/>
      <c r="U15821" s="318"/>
      <c r="V15821" s="318"/>
      <c r="W15821" s="318"/>
      <c r="X15821" s="318"/>
      <c r="Y15821" s="318"/>
      <c r="Z15821" s="318"/>
      <c r="AA15821" s="318"/>
      <c r="AB15821" s="318"/>
      <c r="AC15821" s="318"/>
      <c r="AD15821" s="318"/>
    </row>
    <row r="15822" spans="2:30" s="323" customFormat="1" ht="12" customHeight="1">
      <c r="B15822" s="324"/>
      <c r="C15822" s="325"/>
      <c r="D15822" s="326"/>
      <c r="E15822" s="326"/>
      <c r="F15822" s="326"/>
      <c r="G15822" s="326"/>
      <c r="H15822" s="326"/>
      <c r="P15822" s="318"/>
      <c r="Q15822" s="318"/>
      <c r="R15822" s="318"/>
      <c r="S15822" s="318"/>
      <c r="T15822" s="318"/>
      <c r="U15822" s="318"/>
      <c r="V15822" s="318"/>
      <c r="W15822" s="318"/>
      <c r="X15822" s="318"/>
      <c r="Y15822" s="318"/>
      <c r="Z15822" s="318"/>
      <c r="AA15822" s="318"/>
      <c r="AB15822" s="318"/>
      <c r="AC15822" s="318"/>
      <c r="AD15822" s="318"/>
    </row>
    <row r="15823" spans="2:30" s="323" customFormat="1" ht="12" customHeight="1">
      <c r="B15823" s="324"/>
      <c r="C15823" s="325"/>
      <c r="D15823" s="326"/>
      <c r="E15823" s="326"/>
      <c r="F15823" s="326"/>
      <c r="G15823" s="326"/>
      <c r="H15823" s="326"/>
      <c r="P15823" s="318"/>
      <c r="Q15823" s="318"/>
      <c r="R15823" s="318"/>
      <c r="S15823" s="318"/>
      <c r="T15823" s="318"/>
      <c r="U15823" s="318"/>
      <c r="V15823" s="318"/>
      <c r="W15823" s="318"/>
      <c r="X15823" s="318"/>
      <c r="Y15823" s="318"/>
      <c r="Z15823" s="318"/>
      <c r="AA15823" s="318"/>
      <c r="AB15823" s="318"/>
      <c r="AC15823" s="318"/>
      <c r="AD15823" s="318"/>
    </row>
    <row r="15824" spans="2:30" s="323" customFormat="1" ht="12" customHeight="1">
      <c r="B15824" s="324"/>
      <c r="C15824" s="325"/>
      <c r="D15824" s="326"/>
      <c r="E15824" s="326"/>
      <c r="F15824" s="326"/>
      <c r="G15824" s="326"/>
      <c r="H15824" s="326"/>
      <c r="P15824" s="318"/>
      <c r="Q15824" s="318"/>
      <c r="R15824" s="318"/>
      <c r="S15824" s="318"/>
      <c r="T15824" s="318"/>
      <c r="U15824" s="318"/>
      <c r="V15824" s="318"/>
      <c r="W15824" s="318"/>
      <c r="X15824" s="318"/>
      <c r="Y15824" s="318"/>
      <c r="Z15824" s="318"/>
      <c r="AA15824" s="318"/>
      <c r="AB15824" s="318"/>
      <c r="AC15824" s="318"/>
      <c r="AD15824" s="318"/>
    </row>
    <row r="15825" spans="2:30" s="323" customFormat="1" ht="12" customHeight="1">
      <c r="B15825" s="324"/>
      <c r="C15825" s="325"/>
      <c r="D15825" s="326"/>
      <c r="E15825" s="326"/>
      <c r="F15825" s="326"/>
      <c r="G15825" s="326"/>
      <c r="H15825" s="326"/>
      <c r="P15825" s="318"/>
      <c r="Q15825" s="318"/>
      <c r="R15825" s="318"/>
      <c r="S15825" s="318"/>
      <c r="T15825" s="318"/>
      <c r="U15825" s="318"/>
      <c r="V15825" s="318"/>
      <c r="W15825" s="318"/>
      <c r="X15825" s="318"/>
      <c r="Y15825" s="318"/>
      <c r="Z15825" s="318"/>
      <c r="AA15825" s="318"/>
      <c r="AB15825" s="318"/>
      <c r="AC15825" s="318"/>
      <c r="AD15825" s="318"/>
    </row>
    <row r="15826" spans="2:30" s="323" customFormat="1" ht="12" customHeight="1">
      <c r="B15826" s="324"/>
      <c r="C15826" s="325"/>
      <c r="D15826" s="326"/>
      <c r="E15826" s="326"/>
      <c r="F15826" s="326"/>
      <c r="G15826" s="326"/>
      <c r="H15826" s="326"/>
      <c r="P15826" s="318"/>
      <c r="Q15826" s="318"/>
      <c r="R15826" s="318"/>
      <c r="S15826" s="318"/>
      <c r="T15826" s="318"/>
      <c r="U15826" s="318"/>
      <c r="V15826" s="318"/>
      <c r="W15826" s="318"/>
      <c r="X15826" s="318"/>
      <c r="Y15826" s="318"/>
      <c r="Z15826" s="318"/>
      <c r="AA15826" s="318"/>
      <c r="AB15826" s="318"/>
      <c r="AC15826" s="318"/>
      <c r="AD15826" s="318"/>
    </row>
    <row r="15827" spans="2:30" s="323" customFormat="1" ht="12" customHeight="1">
      <c r="B15827" s="324"/>
      <c r="C15827" s="325"/>
      <c r="D15827" s="326"/>
      <c r="E15827" s="326"/>
      <c r="F15827" s="326"/>
      <c r="G15827" s="326"/>
      <c r="H15827" s="326"/>
      <c r="P15827" s="318"/>
      <c r="Q15827" s="318"/>
      <c r="R15827" s="318"/>
      <c r="S15827" s="318"/>
      <c r="T15827" s="318"/>
      <c r="U15827" s="318"/>
      <c r="V15827" s="318"/>
      <c r="W15827" s="318"/>
      <c r="X15827" s="318"/>
      <c r="Y15827" s="318"/>
      <c r="Z15827" s="318"/>
      <c r="AA15827" s="318"/>
      <c r="AB15827" s="318"/>
      <c r="AC15827" s="318"/>
      <c r="AD15827" s="318"/>
    </row>
    <row r="15828" spans="2:30" s="323" customFormat="1" ht="12" customHeight="1">
      <c r="B15828" s="324"/>
      <c r="C15828" s="325"/>
      <c r="D15828" s="326"/>
      <c r="E15828" s="326"/>
      <c r="F15828" s="326"/>
      <c r="G15828" s="326"/>
      <c r="H15828" s="326"/>
      <c r="P15828" s="318"/>
      <c r="Q15828" s="318"/>
      <c r="R15828" s="318"/>
      <c r="S15828" s="318"/>
      <c r="T15828" s="318"/>
      <c r="U15828" s="318"/>
      <c r="V15828" s="318"/>
      <c r="W15828" s="318"/>
      <c r="X15828" s="318"/>
      <c r="Y15828" s="318"/>
      <c r="Z15828" s="318"/>
      <c r="AA15828" s="318"/>
      <c r="AB15828" s="318"/>
      <c r="AC15828" s="318"/>
      <c r="AD15828" s="318"/>
    </row>
    <row r="15829" spans="2:30" s="323" customFormat="1" ht="12" customHeight="1">
      <c r="B15829" s="324"/>
      <c r="C15829" s="325"/>
      <c r="D15829" s="326"/>
      <c r="E15829" s="326"/>
      <c r="F15829" s="326"/>
      <c r="G15829" s="326"/>
      <c r="H15829" s="326"/>
      <c r="P15829" s="318"/>
      <c r="Q15829" s="318"/>
      <c r="R15829" s="318"/>
      <c r="S15829" s="318"/>
      <c r="T15829" s="318"/>
      <c r="U15829" s="318"/>
      <c r="V15829" s="318"/>
      <c r="W15829" s="318"/>
      <c r="X15829" s="318"/>
      <c r="Y15829" s="318"/>
      <c r="Z15829" s="318"/>
      <c r="AA15829" s="318"/>
      <c r="AB15829" s="318"/>
      <c r="AC15829" s="318"/>
      <c r="AD15829" s="318"/>
    </row>
    <row r="15830" spans="2:30" s="323" customFormat="1" ht="12" customHeight="1">
      <c r="B15830" s="324"/>
      <c r="C15830" s="325"/>
      <c r="D15830" s="326"/>
      <c r="E15830" s="326"/>
      <c r="F15830" s="326"/>
      <c r="G15830" s="326"/>
      <c r="H15830" s="326"/>
      <c r="P15830" s="318"/>
      <c r="Q15830" s="318"/>
      <c r="R15830" s="318"/>
      <c r="S15830" s="318"/>
      <c r="T15830" s="318"/>
      <c r="U15830" s="318"/>
      <c r="V15830" s="318"/>
      <c r="W15830" s="318"/>
      <c r="X15830" s="318"/>
      <c r="Y15830" s="318"/>
      <c r="Z15830" s="318"/>
      <c r="AA15830" s="318"/>
      <c r="AB15830" s="318"/>
      <c r="AC15830" s="318"/>
      <c r="AD15830" s="318"/>
    </row>
    <row r="15831" spans="2:30" s="323" customFormat="1" ht="12" customHeight="1">
      <c r="B15831" s="324"/>
      <c r="C15831" s="325"/>
      <c r="D15831" s="326"/>
      <c r="E15831" s="326"/>
      <c r="F15831" s="326"/>
      <c r="G15831" s="326"/>
      <c r="H15831" s="326"/>
      <c r="P15831" s="318"/>
      <c r="Q15831" s="318"/>
      <c r="R15831" s="318"/>
      <c r="S15831" s="318"/>
      <c r="T15831" s="318"/>
      <c r="U15831" s="318"/>
      <c r="V15831" s="318"/>
      <c r="W15831" s="318"/>
      <c r="X15831" s="318"/>
      <c r="Y15831" s="318"/>
      <c r="Z15831" s="318"/>
      <c r="AA15831" s="318"/>
      <c r="AB15831" s="318"/>
      <c r="AC15831" s="318"/>
      <c r="AD15831" s="318"/>
    </row>
    <row r="15832" spans="2:30" s="323" customFormat="1" ht="12" customHeight="1">
      <c r="B15832" s="324"/>
      <c r="C15832" s="325"/>
      <c r="D15832" s="326"/>
      <c r="E15832" s="326"/>
      <c r="F15832" s="326"/>
      <c r="G15832" s="326"/>
      <c r="H15832" s="326"/>
      <c r="P15832" s="318"/>
      <c r="Q15832" s="318"/>
      <c r="R15832" s="318"/>
      <c r="S15832" s="318"/>
      <c r="T15832" s="318"/>
      <c r="U15832" s="318"/>
      <c r="V15832" s="318"/>
      <c r="W15832" s="318"/>
      <c r="X15832" s="318"/>
      <c r="Y15832" s="318"/>
      <c r="Z15832" s="318"/>
      <c r="AA15832" s="318"/>
      <c r="AB15832" s="318"/>
      <c r="AC15832" s="318"/>
      <c r="AD15832" s="318"/>
    </row>
    <row r="15833" spans="2:30" s="323" customFormat="1" ht="12" customHeight="1">
      <c r="B15833" s="324"/>
      <c r="C15833" s="325"/>
      <c r="D15833" s="326"/>
      <c r="E15833" s="326"/>
      <c r="F15833" s="326"/>
      <c r="G15833" s="326"/>
      <c r="H15833" s="326"/>
      <c r="P15833" s="318"/>
      <c r="Q15833" s="318"/>
      <c r="R15833" s="318"/>
      <c r="S15833" s="318"/>
      <c r="T15833" s="318"/>
      <c r="U15833" s="318"/>
      <c r="V15833" s="318"/>
      <c r="W15833" s="318"/>
      <c r="X15833" s="318"/>
      <c r="Y15833" s="318"/>
      <c r="Z15833" s="318"/>
      <c r="AA15833" s="318"/>
      <c r="AB15833" s="318"/>
      <c r="AC15833" s="318"/>
      <c r="AD15833" s="318"/>
    </row>
    <row r="15834" spans="2:30" s="323" customFormat="1" ht="12" customHeight="1">
      <c r="B15834" s="324"/>
      <c r="C15834" s="325"/>
      <c r="D15834" s="326"/>
      <c r="E15834" s="326"/>
      <c r="F15834" s="326"/>
      <c r="G15834" s="326"/>
      <c r="H15834" s="326"/>
      <c r="P15834" s="318"/>
      <c r="Q15834" s="318"/>
      <c r="R15834" s="318"/>
      <c r="S15834" s="318"/>
      <c r="T15834" s="318"/>
      <c r="U15834" s="318"/>
      <c r="V15834" s="318"/>
      <c r="W15834" s="318"/>
      <c r="X15834" s="318"/>
      <c r="Y15834" s="318"/>
      <c r="Z15834" s="318"/>
      <c r="AA15834" s="318"/>
      <c r="AB15834" s="318"/>
      <c r="AC15834" s="318"/>
      <c r="AD15834" s="318"/>
    </row>
    <row r="15835" spans="2:30" s="323" customFormat="1" ht="12" customHeight="1">
      <c r="B15835" s="324"/>
      <c r="C15835" s="325"/>
      <c r="D15835" s="326"/>
      <c r="E15835" s="326"/>
      <c r="F15835" s="326"/>
      <c r="G15835" s="326"/>
      <c r="H15835" s="326"/>
      <c r="P15835" s="318"/>
      <c r="Q15835" s="318"/>
      <c r="R15835" s="318"/>
      <c r="S15835" s="318"/>
      <c r="T15835" s="318"/>
      <c r="U15835" s="318"/>
      <c r="V15835" s="318"/>
      <c r="W15835" s="318"/>
      <c r="X15835" s="318"/>
      <c r="Y15835" s="318"/>
      <c r="Z15835" s="318"/>
      <c r="AA15835" s="318"/>
      <c r="AB15835" s="318"/>
      <c r="AC15835" s="318"/>
      <c r="AD15835" s="318"/>
    </row>
    <row r="15836" spans="2:30" s="323" customFormat="1" ht="12" customHeight="1">
      <c r="B15836" s="324"/>
      <c r="C15836" s="325"/>
      <c r="D15836" s="326"/>
      <c r="E15836" s="326"/>
      <c r="F15836" s="326"/>
      <c r="G15836" s="326"/>
      <c r="H15836" s="326"/>
      <c r="P15836" s="318"/>
      <c r="Q15836" s="318"/>
      <c r="R15836" s="318"/>
      <c r="S15836" s="318"/>
      <c r="T15836" s="318"/>
      <c r="U15836" s="318"/>
      <c r="V15836" s="318"/>
      <c r="W15836" s="318"/>
      <c r="X15836" s="318"/>
      <c r="Y15836" s="318"/>
      <c r="Z15836" s="318"/>
      <c r="AA15836" s="318"/>
      <c r="AB15836" s="318"/>
      <c r="AC15836" s="318"/>
      <c r="AD15836" s="318"/>
    </row>
    <row r="15837" spans="2:30" s="323" customFormat="1" ht="12" customHeight="1">
      <c r="B15837" s="324"/>
      <c r="C15837" s="325"/>
      <c r="D15837" s="326"/>
      <c r="E15837" s="326"/>
      <c r="F15837" s="326"/>
      <c r="G15837" s="326"/>
      <c r="H15837" s="326"/>
      <c r="P15837" s="318"/>
      <c r="Q15837" s="318"/>
      <c r="R15837" s="318"/>
      <c r="S15837" s="318"/>
      <c r="T15837" s="318"/>
      <c r="U15837" s="318"/>
      <c r="V15837" s="318"/>
      <c r="W15837" s="318"/>
      <c r="X15837" s="318"/>
      <c r="Y15837" s="318"/>
      <c r="Z15837" s="318"/>
      <c r="AA15837" s="318"/>
      <c r="AB15837" s="318"/>
      <c r="AC15837" s="318"/>
      <c r="AD15837" s="318"/>
    </row>
    <row r="15838" spans="2:30" s="323" customFormat="1" ht="12" customHeight="1">
      <c r="B15838" s="324"/>
      <c r="C15838" s="325"/>
      <c r="D15838" s="326"/>
      <c r="E15838" s="326"/>
      <c r="F15838" s="326"/>
      <c r="G15838" s="326"/>
      <c r="H15838" s="326"/>
      <c r="P15838" s="318"/>
      <c r="Q15838" s="318"/>
      <c r="R15838" s="318"/>
      <c r="S15838" s="318"/>
      <c r="T15838" s="318"/>
      <c r="U15838" s="318"/>
      <c r="V15838" s="318"/>
      <c r="W15838" s="318"/>
      <c r="X15838" s="318"/>
      <c r="Y15838" s="318"/>
      <c r="Z15838" s="318"/>
      <c r="AA15838" s="318"/>
      <c r="AB15838" s="318"/>
      <c r="AC15838" s="318"/>
      <c r="AD15838" s="318"/>
    </row>
    <row r="15839" spans="2:30" s="323" customFormat="1" ht="12" customHeight="1">
      <c r="B15839" s="324"/>
      <c r="C15839" s="325"/>
      <c r="D15839" s="326"/>
      <c r="E15839" s="326"/>
      <c r="F15839" s="326"/>
      <c r="G15839" s="326"/>
      <c r="H15839" s="326"/>
      <c r="P15839" s="318"/>
      <c r="Q15839" s="318"/>
      <c r="R15839" s="318"/>
      <c r="S15839" s="318"/>
      <c r="T15839" s="318"/>
      <c r="U15839" s="318"/>
      <c r="V15839" s="318"/>
      <c r="W15839" s="318"/>
      <c r="X15839" s="318"/>
      <c r="Y15839" s="318"/>
      <c r="Z15839" s="318"/>
      <c r="AA15839" s="318"/>
      <c r="AB15839" s="318"/>
      <c r="AC15839" s="318"/>
      <c r="AD15839" s="318"/>
    </row>
    <row r="15840" spans="2:30" s="323" customFormat="1" ht="12" customHeight="1">
      <c r="B15840" s="324"/>
      <c r="C15840" s="325"/>
      <c r="D15840" s="326"/>
      <c r="E15840" s="326"/>
      <c r="F15840" s="326"/>
      <c r="G15840" s="326"/>
      <c r="H15840" s="326"/>
      <c r="P15840" s="318"/>
      <c r="Q15840" s="318"/>
      <c r="R15840" s="318"/>
      <c r="S15840" s="318"/>
      <c r="T15840" s="318"/>
      <c r="U15840" s="318"/>
      <c r="V15840" s="318"/>
      <c r="W15840" s="318"/>
      <c r="X15840" s="318"/>
      <c r="Y15840" s="318"/>
      <c r="Z15840" s="318"/>
      <c r="AA15840" s="318"/>
      <c r="AB15840" s="318"/>
      <c r="AC15840" s="318"/>
      <c r="AD15840" s="318"/>
    </row>
    <row r="15841" spans="2:30" s="323" customFormat="1" ht="12" customHeight="1">
      <c r="B15841" s="324"/>
      <c r="C15841" s="325"/>
      <c r="D15841" s="326"/>
      <c r="E15841" s="326"/>
      <c r="F15841" s="326"/>
      <c r="G15841" s="326"/>
      <c r="H15841" s="326"/>
      <c r="P15841" s="318"/>
      <c r="Q15841" s="318"/>
      <c r="R15841" s="318"/>
      <c r="S15841" s="318"/>
      <c r="T15841" s="318"/>
      <c r="U15841" s="318"/>
      <c r="V15841" s="318"/>
      <c r="W15841" s="318"/>
      <c r="X15841" s="318"/>
      <c r="Y15841" s="318"/>
      <c r="Z15841" s="318"/>
      <c r="AA15841" s="318"/>
      <c r="AB15841" s="318"/>
      <c r="AC15841" s="318"/>
      <c r="AD15841" s="318"/>
    </row>
    <row r="15842" spans="2:30" s="323" customFormat="1" ht="12" customHeight="1">
      <c r="B15842" s="324"/>
      <c r="C15842" s="325"/>
      <c r="D15842" s="326"/>
      <c r="E15842" s="326"/>
      <c r="F15842" s="326"/>
      <c r="G15842" s="326"/>
      <c r="H15842" s="326"/>
      <c r="P15842" s="318"/>
      <c r="Q15842" s="318"/>
      <c r="R15842" s="318"/>
      <c r="S15842" s="318"/>
      <c r="T15842" s="318"/>
      <c r="U15842" s="318"/>
      <c r="V15842" s="318"/>
      <c r="W15842" s="318"/>
      <c r="X15842" s="318"/>
      <c r="Y15842" s="318"/>
      <c r="Z15842" s="318"/>
      <c r="AA15842" s="318"/>
      <c r="AB15842" s="318"/>
      <c r="AC15842" s="318"/>
      <c r="AD15842" s="318"/>
    </row>
    <row r="15843" spans="2:30" s="323" customFormat="1" ht="12" customHeight="1">
      <c r="B15843" s="324"/>
      <c r="C15843" s="325"/>
      <c r="D15843" s="326"/>
      <c r="E15843" s="326"/>
      <c r="F15843" s="326"/>
      <c r="G15843" s="326"/>
      <c r="H15843" s="326"/>
      <c r="P15843" s="318"/>
      <c r="Q15843" s="318"/>
      <c r="R15843" s="318"/>
      <c r="S15843" s="318"/>
      <c r="T15843" s="318"/>
      <c r="U15843" s="318"/>
      <c r="V15843" s="318"/>
      <c r="W15843" s="318"/>
      <c r="X15843" s="318"/>
      <c r="Y15843" s="318"/>
      <c r="Z15843" s="318"/>
      <c r="AA15843" s="318"/>
      <c r="AB15843" s="318"/>
      <c r="AC15843" s="318"/>
      <c r="AD15843" s="318"/>
    </row>
    <row r="15844" spans="2:30" s="323" customFormat="1" ht="12" customHeight="1">
      <c r="B15844" s="324"/>
      <c r="C15844" s="325"/>
      <c r="D15844" s="326"/>
      <c r="E15844" s="326"/>
      <c r="F15844" s="326"/>
      <c r="G15844" s="326"/>
      <c r="H15844" s="326"/>
      <c r="P15844" s="318"/>
      <c r="Q15844" s="318"/>
      <c r="R15844" s="318"/>
      <c r="S15844" s="318"/>
      <c r="T15844" s="318"/>
      <c r="U15844" s="318"/>
      <c r="V15844" s="318"/>
      <c r="W15844" s="318"/>
      <c r="X15844" s="318"/>
      <c r="Y15844" s="318"/>
      <c r="Z15844" s="318"/>
      <c r="AA15844" s="318"/>
      <c r="AB15844" s="318"/>
      <c r="AC15844" s="318"/>
      <c r="AD15844" s="318"/>
    </row>
    <row r="15845" spans="2:30" s="323" customFormat="1" ht="12" customHeight="1">
      <c r="B15845" s="324"/>
      <c r="C15845" s="325"/>
      <c r="D15845" s="326"/>
      <c r="E15845" s="326"/>
      <c r="F15845" s="326"/>
      <c r="G15845" s="326"/>
      <c r="H15845" s="326"/>
      <c r="P15845" s="318"/>
      <c r="Q15845" s="318"/>
      <c r="R15845" s="318"/>
      <c r="S15845" s="318"/>
      <c r="T15845" s="318"/>
      <c r="U15845" s="318"/>
      <c r="V15845" s="318"/>
      <c r="W15845" s="318"/>
      <c r="X15845" s="318"/>
      <c r="Y15845" s="318"/>
      <c r="Z15845" s="318"/>
      <c r="AA15845" s="318"/>
      <c r="AB15845" s="318"/>
      <c r="AC15845" s="318"/>
      <c r="AD15845" s="318"/>
    </row>
    <row r="15846" spans="2:30" s="323" customFormat="1" ht="12" customHeight="1">
      <c r="B15846" s="324"/>
      <c r="C15846" s="325"/>
      <c r="D15846" s="326"/>
      <c r="E15846" s="326"/>
      <c r="F15846" s="326"/>
      <c r="G15846" s="326"/>
      <c r="H15846" s="326"/>
      <c r="P15846" s="318"/>
      <c r="Q15846" s="318"/>
      <c r="R15846" s="318"/>
      <c r="S15846" s="318"/>
      <c r="T15846" s="318"/>
      <c r="U15846" s="318"/>
      <c r="V15846" s="318"/>
      <c r="W15846" s="318"/>
      <c r="X15846" s="318"/>
      <c r="Y15846" s="318"/>
      <c r="Z15846" s="318"/>
      <c r="AA15846" s="318"/>
      <c r="AB15846" s="318"/>
      <c r="AC15846" s="318"/>
      <c r="AD15846" s="318"/>
    </row>
    <row r="15847" spans="2:30" s="323" customFormat="1" ht="12" customHeight="1">
      <c r="B15847" s="324"/>
      <c r="C15847" s="325"/>
      <c r="D15847" s="326"/>
      <c r="E15847" s="326"/>
      <c r="F15847" s="326"/>
      <c r="G15847" s="326"/>
      <c r="H15847" s="326"/>
      <c r="P15847" s="318"/>
      <c r="Q15847" s="318"/>
      <c r="R15847" s="318"/>
      <c r="S15847" s="318"/>
      <c r="T15847" s="318"/>
      <c r="U15847" s="318"/>
      <c r="V15847" s="318"/>
      <c r="W15847" s="318"/>
      <c r="X15847" s="318"/>
      <c r="Y15847" s="318"/>
      <c r="Z15847" s="318"/>
      <c r="AA15847" s="318"/>
      <c r="AB15847" s="318"/>
      <c r="AC15847" s="318"/>
      <c r="AD15847" s="318"/>
    </row>
    <row r="15848" spans="2:30" s="323" customFormat="1" ht="12" customHeight="1">
      <c r="B15848" s="324"/>
      <c r="C15848" s="325"/>
      <c r="D15848" s="326"/>
      <c r="E15848" s="326"/>
      <c r="F15848" s="326"/>
      <c r="G15848" s="326"/>
      <c r="H15848" s="326"/>
      <c r="P15848" s="318"/>
      <c r="Q15848" s="318"/>
      <c r="R15848" s="318"/>
      <c r="S15848" s="318"/>
      <c r="T15848" s="318"/>
      <c r="U15848" s="318"/>
      <c r="V15848" s="318"/>
      <c r="W15848" s="318"/>
      <c r="X15848" s="318"/>
      <c r="Y15848" s="318"/>
      <c r="Z15848" s="318"/>
      <c r="AA15848" s="318"/>
      <c r="AB15848" s="318"/>
      <c r="AC15848" s="318"/>
      <c r="AD15848" s="318"/>
    </row>
    <row r="15849" spans="2:30" s="323" customFormat="1" ht="12" customHeight="1">
      <c r="B15849" s="324"/>
      <c r="C15849" s="325"/>
      <c r="D15849" s="326"/>
      <c r="E15849" s="326"/>
      <c r="F15849" s="326"/>
      <c r="G15849" s="326"/>
      <c r="H15849" s="326"/>
      <c r="P15849" s="318"/>
      <c r="Q15849" s="318"/>
      <c r="R15849" s="318"/>
      <c r="S15849" s="318"/>
      <c r="T15849" s="318"/>
      <c r="U15849" s="318"/>
      <c r="V15849" s="318"/>
      <c r="W15849" s="318"/>
      <c r="X15849" s="318"/>
      <c r="Y15849" s="318"/>
      <c r="Z15849" s="318"/>
      <c r="AA15849" s="318"/>
      <c r="AB15849" s="318"/>
      <c r="AC15849" s="318"/>
      <c r="AD15849" s="318"/>
    </row>
    <row r="15850" spans="2:30" s="323" customFormat="1" ht="12" customHeight="1">
      <c r="B15850" s="324"/>
      <c r="C15850" s="325"/>
      <c r="D15850" s="326"/>
      <c r="E15850" s="326"/>
      <c r="F15850" s="326"/>
      <c r="G15850" s="326"/>
      <c r="H15850" s="326"/>
      <c r="P15850" s="318"/>
      <c r="Q15850" s="318"/>
      <c r="R15850" s="318"/>
      <c r="S15850" s="318"/>
      <c r="T15850" s="318"/>
      <c r="U15850" s="318"/>
      <c r="V15850" s="318"/>
      <c r="W15850" s="318"/>
      <c r="X15850" s="318"/>
      <c r="Y15850" s="318"/>
      <c r="Z15850" s="318"/>
      <c r="AA15850" s="318"/>
      <c r="AB15850" s="318"/>
      <c r="AC15850" s="318"/>
      <c r="AD15850" s="318"/>
    </row>
    <row r="15851" spans="2:30" s="323" customFormat="1" ht="12" customHeight="1">
      <c r="B15851" s="324"/>
      <c r="C15851" s="325"/>
      <c r="D15851" s="326"/>
      <c r="E15851" s="326"/>
      <c r="F15851" s="326"/>
      <c r="G15851" s="326"/>
      <c r="H15851" s="326"/>
      <c r="P15851" s="318"/>
      <c r="Q15851" s="318"/>
      <c r="R15851" s="318"/>
      <c r="S15851" s="318"/>
      <c r="T15851" s="318"/>
      <c r="U15851" s="318"/>
      <c r="V15851" s="318"/>
      <c r="W15851" s="318"/>
      <c r="X15851" s="318"/>
      <c r="Y15851" s="318"/>
      <c r="Z15851" s="318"/>
      <c r="AA15851" s="318"/>
      <c r="AB15851" s="318"/>
      <c r="AC15851" s="318"/>
      <c r="AD15851" s="318"/>
    </row>
    <row r="15852" spans="2:30" s="323" customFormat="1" ht="12" customHeight="1">
      <c r="B15852" s="324"/>
      <c r="C15852" s="325"/>
      <c r="D15852" s="326"/>
      <c r="E15852" s="326"/>
      <c r="F15852" s="326"/>
      <c r="G15852" s="326"/>
      <c r="H15852" s="326"/>
      <c r="P15852" s="318"/>
      <c r="Q15852" s="318"/>
      <c r="R15852" s="318"/>
      <c r="S15852" s="318"/>
      <c r="T15852" s="318"/>
      <c r="U15852" s="318"/>
      <c r="V15852" s="318"/>
      <c r="W15852" s="318"/>
      <c r="X15852" s="318"/>
      <c r="Y15852" s="318"/>
      <c r="Z15852" s="318"/>
      <c r="AA15852" s="318"/>
      <c r="AB15852" s="318"/>
      <c r="AC15852" s="318"/>
      <c r="AD15852" s="318"/>
    </row>
    <row r="15853" spans="2:30" s="323" customFormat="1" ht="12" customHeight="1">
      <c r="B15853" s="324"/>
      <c r="C15853" s="325"/>
      <c r="D15853" s="326"/>
      <c r="E15853" s="326"/>
      <c r="F15853" s="326"/>
      <c r="G15853" s="326"/>
      <c r="H15853" s="326"/>
      <c r="P15853" s="318"/>
      <c r="Q15853" s="318"/>
      <c r="R15853" s="318"/>
      <c r="S15853" s="318"/>
      <c r="T15853" s="318"/>
      <c r="U15853" s="318"/>
      <c r="V15853" s="318"/>
      <c r="W15853" s="318"/>
      <c r="X15853" s="318"/>
      <c r="Y15853" s="318"/>
      <c r="Z15853" s="318"/>
      <c r="AA15853" s="318"/>
      <c r="AB15853" s="318"/>
      <c r="AC15853" s="318"/>
      <c r="AD15853" s="318"/>
    </row>
    <row r="15854" spans="2:30" s="323" customFormat="1" ht="12" customHeight="1">
      <c r="B15854" s="324"/>
      <c r="C15854" s="325"/>
      <c r="D15854" s="326"/>
      <c r="E15854" s="326"/>
      <c r="F15854" s="326"/>
      <c r="G15854" s="326"/>
      <c r="H15854" s="326"/>
      <c r="P15854" s="318"/>
      <c r="Q15854" s="318"/>
      <c r="R15854" s="318"/>
      <c r="S15854" s="318"/>
      <c r="T15854" s="318"/>
      <c r="U15854" s="318"/>
      <c r="V15854" s="318"/>
      <c r="W15854" s="318"/>
      <c r="X15854" s="318"/>
      <c r="Y15854" s="318"/>
      <c r="Z15854" s="318"/>
      <c r="AA15854" s="318"/>
      <c r="AB15854" s="318"/>
      <c r="AC15854" s="318"/>
      <c r="AD15854" s="318"/>
    </row>
    <row r="15855" spans="2:30" s="323" customFormat="1" ht="12" customHeight="1">
      <c r="B15855" s="324"/>
      <c r="C15855" s="325"/>
      <c r="D15855" s="326"/>
      <c r="E15855" s="326"/>
      <c r="F15855" s="326"/>
      <c r="G15855" s="326"/>
      <c r="H15855" s="326"/>
      <c r="P15855" s="318"/>
      <c r="Q15855" s="318"/>
      <c r="R15855" s="318"/>
      <c r="S15855" s="318"/>
      <c r="T15855" s="318"/>
      <c r="U15855" s="318"/>
      <c r="V15855" s="318"/>
      <c r="W15855" s="318"/>
      <c r="X15855" s="318"/>
      <c r="Y15855" s="318"/>
      <c r="Z15855" s="318"/>
      <c r="AA15855" s="318"/>
      <c r="AB15855" s="318"/>
      <c r="AC15855" s="318"/>
      <c r="AD15855" s="318"/>
    </row>
    <row r="15856" spans="2:30" s="323" customFormat="1" ht="12" customHeight="1">
      <c r="B15856" s="324"/>
      <c r="C15856" s="325"/>
      <c r="D15856" s="326"/>
      <c r="E15856" s="326"/>
      <c r="F15856" s="326"/>
      <c r="G15856" s="326"/>
      <c r="H15856" s="326"/>
      <c r="P15856" s="318"/>
      <c r="Q15856" s="318"/>
      <c r="R15856" s="318"/>
      <c r="S15856" s="318"/>
      <c r="T15856" s="318"/>
      <c r="U15856" s="318"/>
      <c r="V15856" s="318"/>
      <c r="W15856" s="318"/>
      <c r="X15856" s="318"/>
      <c r="Y15856" s="318"/>
      <c r="Z15856" s="318"/>
      <c r="AA15856" s="318"/>
      <c r="AB15856" s="318"/>
      <c r="AC15856" s="318"/>
      <c r="AD15856" s="318"/>
    </row>
    <row r="15857" spans="2:30" s="323" customFormat="1" ht="12" customHeight="1">
      <c r="B15857" s="324"/>
      <c r="C15857" s="325"/>
      <c r="D15857" s="326"/>
      <c r="E15857" s="326"/>
      <c r="F15857" s="326"/>
      <c r="G15857" s="326"/>
      <c r="H15857" s="326"/>
      <c r="P15857" s="318"/>
      <c r="Q15857" s="318"/>
      <c r="R15857" s="318"/>
      <c r="S15857" s="318"/>
      <c r="T15857" s="318"/>
      <c r="U15857" s="318"/>
      <c r="V15857" s="318"/>
      <c r="W15857" s="318"/>
      <c r="X15857" s="318"/>
      <c r="Y15857" s="318"/>
      <c r="Z15857" s="318"/>
      <c r="AA15857" s="318"/>
      <c r="AB15857" s="318"/>
      <c r="AC15857" s="318"/>
      <c r="AD15857" s="318"/>
    </row>
    <row r="15858" spans="2:30" s="323" customFormat="1" ht="12" customHeight="1">
      <c r="B15858" s="324"/>
      <c r="C15858" s="325"/>
      <c r="D15858" s="326"/>
      <c r="E15858" s="326"/>
      <c r="F15858" s="326"/>
      <c r="G15858" s="326"/>
      <c r="H15858" s="326"/>
      <c r="P15858" s="318"/>
      <c r="Q15858" s="318"/>
      <c r="R15858" s="318"/>
      <c r="S15858" s="318"/>
      <c r="T15858" s="318"/>
      <c r="U15858" s="318"/>
      <c r="V15858" s="318"/>
      <c r="W15858" s="318"/>
      <c r="X15858" s="318"/>
      <c r="Y15858" s="318"/>
      <c r="Z15858" s="318"/>
      <c r="AA15858" s="318"/>
      <c r="AB15858" s="318"/>
      <c r="AC15858" s="318"/>
      <c r="AD15858" s="318"/>
    </row>
    <row r="15859" spans="2:30" s="323" customFormat="1" ht="12" customHeight="1">
      <c r="B15859" s="324"/>
      <c r="C15859" s="325"/>
      <c r="D15859" s="326"/>
      <c r="E15859" s="326"/>
      <c r="F15859" s="326"/>
      <c r="G15859" s="326"/>
      <c r="H15859" s="326"/>
      <c r="P15859" s="318"/>
      <c r="Q15859" s="318"/>
      <c r="R15859" s="318"/>
      <c r="S15859" s="318"/>
      <c r="T15859" s="318"/>
      <c r="U15859" s="318"/>
      <c r="V15859" s="318"/>
      <c r="W15859" s="318"/>
      <c r="X15859" s="318"/>
      <c r="Y15859" s="318"/>
      <c r="Z15859" s="318"/>
      <c r="AA15859" s="318"/>
      <c r="AB15859" s="318"/>
      <c r="AC15859" s="318"/>
      <c r="AD15859" s="318"/>
    </row>
    <row r="15860" spans="2:30" s="323" customFormat="1" ht="12" customHeight="1">
      <c r="B15860" s="324"/>
      <c r="C15860" s="325"/>
      <c r="D15860" s="326"/>
      <c r="E15860" s="326"/>
      <c r="F15860" s="326"/>
      <c r="G15860" s="326"/>
      <c r="H15860" s="326"/>
      <c r="P15860" s="318"/>
      <c r="Q15860" s="318"/>
      <c r="R15860" s="318"/>
      <c r="S15860" s="318"/>
      <c r="T15860" s="318"/>
      <c r="U15860" s="318"/>
      <c r="V15860" s="318"/>
      <c r="W15860" s="318"/>
      <c r="X15860" s="318"/>
      <c r="Y15860" s="318"/>
      <c r="Z15860" s="318"/>
      <c r="AA15860" s="318"/>
      <c r="AB15860" s="318"/>
      <c r="AC15860" s="318"/>
      <c r="AD15860" s="318"/>
    </row>
    <row r="15861" spans="2:30" s="323" customFormat="1" ht="12" customHeight="1">
      <c r="B15861" s="324"/>
      <c r="C15861" s="325"/>
      <c r="D15861" s="326"/>
      <c r="E15861" s="326"/>
      <c r="F15861" s="326"/>
      <c r="G15861" s="326"/>
      <c r="H15861" s="326"/>
      <c r="P15861" s="318"/>
      <c r="Q15861" s="318"/>
      <c r="R15861" s="318"/>
      <c r="S15861" s="318"/>
      <c r="T15861" s="318"/>
      <c r="U15861" s="318"/>
      <c r="V15861" s="318"/>
      <c r="W15861" s="318"/>
      <c r="X15861" s="318"/>
      <c r="Y15861" s="318"/>
      <c r="Z15861" s="318"/>
      <c r="AA15861" s="318"/>
      <c r="AB15861" s="318"/>
      <c r="AC15861" s="318"/>
      <c r="AD15861" s="318"/>
    </row>
    <row r="15862" spans="2:30" s="323" customFormat="1" ht="12" customHeight="1">
      <c r="B15862" s="324"/>
      <c r="C15862" s="325"/>
      <c r="D15862" s="326"/>
      <c r="E15862" s="326"/>
      <c r="F15862" s="326"/>
      <c r="G15862" s="326"/>
      <c r="H15862" s="326"/>
      <c r="P15862" s="318"/>
      <c r="Q15862" s="318"/>
      <c r="R15862" s="318"/>
      <c r="S15862" s="318"/>
      <c r="T15862" s="318"/>
      <c r="U15862" s="318"/>
      <c r="V15862" s="318"/>
      <c r="W15862" s="318"/>
      <c r="X15862" s="318"/>
      <c r="Y15862" s="318"/>
      <c r="Z15862" s="318"/>
      <c r="AA15862" s="318"/>
      <c r="AB15862" s="318"/>
      <c r="AC15862" s="318"/>
      <c r="AD15862" s="318"/>
    </row>
    <row r="15863" spans="2:30" s="323" customFormat="1" ht="12" customHeight="1">
      <c r="B15863" s="324"/>
      <c r="C15863" s="325"/>
      <c r="D15863" s="326"/>
      <c r="E15863" s="326"/>
      <c r="F15863" s="326"/>
      <c r="G15863" s="326"/>
      <c r="H15863" s="326"/>
      <c r="P15863" s="318"/>
      <c r="Q15863" s="318"/>
      <c r="R15863" s="318"/>
      <c r="S15863" s="318"/>
      <c r="T15863" s="318"/>
      <c r="U15863" s="318"/>
      <c r="V15863" s="318"/>
      <c r="W15863" s="318"/>
      <c r="X15863" s="318"/>
      <c r="Y15863" s="318"/>
      <c r="Z15863" s="318"/>
      <c r="AA15863" s="318"/>
      <c r="AB15863" s="318"/>
      <c r="AC15863" s="318"/>
      <c r="AD15863" s="318"/>
    </row>
    <row r="15864" spans="2:30" s="323" customFormat="1" ht="12" customHeight="1">
      <c r="B15864" s="324"/>
      <c r="C15864" s="325"/>
      <c r="D15864" s="326"/>
      <c r="E15864" s="326"/>
      <c r="F15864" s="326"/>
      <c r="G15864" s="326"/>
      <c r="H15864" s="326"/>
      <c r="P15864" s="318"/>
      <c r="Q15864" s="318"/>
      <c r="R15864" s="318"/>
      <c r="S15864" s="318"/>
      <c r="T15864" s="318"/>
      <c r="U15864" s="318"/>
      <c r="V15864" s="318"/>
      <c r="W15864" s="318"/>
      <c r="X15864" s="318"/>
      <c r="Y15864" s="318"/>
      <c r="Z15864" s="318"/>
      <c r="AA15864" s="318"/>
      <c r="AB15864" s="318"/>
      <c r="AC15864" s="318"/>
      <c r="AD15864" s="318"/>
    </row>
    <row r="15865" spans="2:30" s="323" customFormat="1" ht="12" customHeight="1">
      <c r="B15865" s="324"/>
      <c r="C15865" s="325"/>
      <c r="D15865" s="326"/>
      <c r="E15865" s="326"/>
      <c r="F15865" s="326"/>
      <c r="G15865" s="326"/>
      <c r="H15865" s="326"/>
      <c r="P15865" s="318"/>
      <c r="Q15865" s="318"/>
      <c r="R15865" s="318"/>
      <c r="S15865" s="318"/>
      <c r="T15865" s="318"/>
      <c r="U15865" s="318"/>
      <c r="V15865" s="318"/>
      <c r="W15865" s="318"/>
      <c r="X15865" s="318"/>
      <c r="Y15865" s="318"/>
      <c r="Z15865" s="318"/>
      <c r="AA15865" s="318"/>
      <c r="AB15865" s="318"/>
      <c r="AC15865" s="318"/>
      <c r="AD15865" s="318"/>
    </row>
    <row r="15866" spans="2:30" s="323" customFormat="1" ht="12" customHeight="1">
      <c r="B15866" s="324"/>
      <c r="C15866" s="325"/>
      <c r="D15866" s="326"/>
      <c r="E15866" s="326"/>
      <c r="F15866" s="326"/>
      <c r="G15866" s="326"/>
      <c r="H15866" s="326"/>
      <c r="P15866" s="318"/>
      <c r="Q15866" s="318"/>
      <c r="R15866" s="318"/>
      <c r="S15866" s="318"/>
      <c r="T15866" s="318"/>
      <c r="U15866" s="318"/>
      <c r="V15866" s="318"/>
      <c r="W15866" s="318"/>
      <c r="X15866" s="318"/>
      <c r="Y15866" s="318"/>
      <c r="Z15866" s="318"/>
      <c r="AA15866" s="318"/>
      <c r="AB15866" s="318"/>
      <c r="AC15866" s="318"/>
      <c r="AD15866" s="318"/>
    </row>
    <row r="15867" spans="2:30" s="323" customFormat="1" ht="12" customHeight="1">
      <c r="B15867" s="324"/>
      <c r="C15867" s="325"/>
      <c r="D15867" s="326"/>
      <c r="E15867" s="326"/>
      <c r="F15867" s="326"/>
      <c r="G15867" s="326"/>
      <c r="H15867" s="326"/>
      <c r="P15867" s="318"/>
      <c r="Q15867" s="318"/>
      <c r="R15867" s="318"/>
      <c r="S15867" s="318"/>
      <c r="T15867" s="318"/>
      <c r="U15867" s="318"/>
      <c r="V15867" s="318"/>
      <c r="W15867" s="318"/>
      <c r="X15867" s="318"/>
      <c r="Y15867" s="318"/>
      <c r="Z15867" s="318"/>
      <c r="AA15867" s="318"/>
      <c r="AB15867" s="318"/>
      <c r="AC15867" s="318"/>
      <c r="AD15867" s="318"/>
    </row>
    <row r="15868" spans="2:30" s="323" customFormat="1" ht="12" customHeight="1">
      <c r="B15868" s="324"/>
      <c r="C15868" s="325"/>
      <c r="D15868" s="326"/>
      <c r="E15868" s="326"/>
      <c r="F15868" s="326"/>
      <c r="G15868" s="326"/>
      <c r="H15868" s="326"/>
      <c r="P15868" s="318"/>
      <c r="Q15868" s="318"/>
      <c r="R15868" s="318"/>
      <c r="S15868" s="318"/>
      <c r="T15868" s="318"/>
      <c r="U15868" s="318"/>
      <c r="V15868" s="318"/>
      <c r="W15868" s="318"/>
      <c r="X15868" s="318"/>
      <c r="Y15868" s="318"/>
      <c r="Z15868" s="318"/>
      <c r="AA15868" s="318"/>
      <c r="AB15868" s="318"/>
      <c r="AC15868" s="318"/>
      <c r="AD15868" s="318"/>
    </row>
    <row r="15869" spans="2:30" s="323" customFormat="1" ht="12" customHeight="1">
      <c r="B15869" s="324"/>
      <c r="C15869" s="325"/>
      <c r="D15869" s="326"/>
      <c r="E15869" s="326"/>
      <c r="F15869" s="326"/>
      <c r="G15869" s="326"/>
      <c r="H15869" s="326"/>
      <c r="P15869" s="318"/>
      <c r="Q15869" s="318"/>
      <c r="R15869" s="318"/>
      <c r="S15869" s="318"/>
      <c r="T15869" s="318"/>
      <c r="U15869" s="318"/>
      <c r="V15869" s="318"/>
      <c r="W15869" s="318"/>
      <c r="X15869" s="318"/>
      <c r="Y15869" s="318"/>
      <c r="Z15869" s="318"/>
      <c r="AA15869" s="318"/>
      <c r="AB15869" s="318"/>
      <c r="AC15869" s="318"/>
      <c r="AD15869" s="318"/>
    </row>
    <row r="15870" spans="2:30" s="323" customFormat="1" ht="12" customHeight="1">
      <c r="B15870" s="324"/>
      <c r="C15870" s="325"/>
      <c r="D15870" s="326"/>
      <c r="E15870" s="326"/>
      <c r="F15870" s="326"/>
      <c r="G15870" s="326"/>
      <c r="H15870" s="326"/>
      <c r="P15870" s="318"/>
      <c r="Q15870" s="318"/>
      <c r="R15870" s="318"/>
      <c r="S15870" s="318"/>
      <c r="T15870" s="318"/>
      <c r="U15870" s="318"/>
      <c r="V15870" s="318"/>
      <c r="W15870" s="318"/>
      <c r="X15870" s="318"/>
      <c r="Y15870" s="318"/>
      <c r="Z15870" s="318"/>
      <c r="AA15870" s="318"/>
      <c r="AB15870" s="318"/>
      <c r="AC15870" s="318"/>
      <c r="AD15870" s="318"/>
    </row>
    <row r="15871" spans="2:30" s="323" customFormat="1" ht="12" customHeight="1">
      <c r="B15871" s="324"/>
      <c r="C15871" s="325"/>
      <c r="D15871" s="326"/>
      <c r="E15871" s="326"/>
      <c r="F15871" s="326"/>
      <c r="G15871" s="326"/>
      <c r="H15871" s="326"/>
      <c r="P15871" s="318"/>
      <c r="Q15871" s="318"/>
      <c r="R15871" s="318"/>
      <c r="S15871" s="318"/>
      <c r="T15871" s="318"/>
      <c r="U15871" s="318"/>
      <c r="V15871" s="318"/>
      <c r="W15871" s="318"/>
      <c r="X15871" s="318"/>
      <c r="Y15871" s="318"/>
      <c r="Z15871" s="318"/>
      <c r="AA15871" s="318"/>
      <c r="AB15871" s="318"/>
      <c r="AC15871" s="318"/>
      <c r="AD15871" s="318"/>
    </row>
    <row r="15872" spans="2:30" s="323" customFormat="1" ht="12" customHeight="1">
      <c r="B15872" s="324"/>
      <c r="C15872" s="325"/>
      <c r="D15872" s="326"/>
      <c r="E15872" s="326"/>
      <c r="F15872" s="326"/>
      <c r="G15872" s="326"/>
      <c r="H15872" s="326"/>
      <c r="P15872" s="318"/>
      <c r="Q15872" s="318"/>
      <c r="R15872" s="318"/>
      <c r="S15872" s="318"/>
      <c r="T15872" s="318"/>
      <c r="U15872" s="318"/>
      <c r="V15872" s="318"/>
      <c r="W15872" s="318"/>
      <c r="X15872" s="318"/>
      <c r="Y15872" s="318"/>
      <c r="Z15872" s="318"/>
      <c r="AA15872" s="318"/>
      <c r="AB15872" s="318"/>
      <c r="AC15872" s="318"/>
      <c r="AD15872" s="318"/>
    </row>
    <row r="15873" spans="2:30" s="323" customFormat="1" ht="12" customHeight="1">
      <c r="B15873" s="324"/>
      <c r="C15873" s="325"/>
      <c r="D15873" s="326"/>
      <c r="E15873" s="326"/>
      <c r="F15873" s="326"/>
      <c r="G15873" s="326"/>
      <c r="H15873" s="326"/>
      <c r="P15873" s="318"/>
      <c r="Q15873" s="318"/>
      <c r="R15873" s="318"/>
      <c r="S15873" s="318"/>
      <c r="T15873" s="318"/>
      <c r="U15873" s="318"/>
      <c r="V15873" s="318"/>
      <c r="W15873" s="318"/>
      <c r="X15873" s="318"/>
      <c r="Y15873" s="318"/>
      <c r="Z15873" s="318"/>
      <c r="AA15873" s="318"/>
      <c r="AB15873" s="318"/>
      <c r="AC15873" s="318"/>
      <c r="AD15873" s="318"/>
    </row>
    <row r="15874" spans="2:30" s="323" customFormat="1" ht="12" customHeight="1">
      <c r="B15874" s="324"/>
      <c r="C15874" s="325"/>
      <c r="D15874" s="326"/>
      <c r="E15874" s="326"/>
      <c r="F15874" s="326"/>
      <c r="G15874" s="326"/>
      <c r="H15874" s="326"/>
      <c r="P15874" s="318"/>
      <c r="Q15874" s="318"/>
      <c r="R15874" s="318"/>
      <c r="S15874" s="318"/>
      <c r="T15874" s="318"/>
      <c r="U15874" s="318"/>
      <c r="V15874" s="318"/>
      <c r="W15874" s="318"/>
      <c r="X15874" s="318"/>
      <c r="Y15874" s="318"/>
      <c r="Z15874" s="318"/>
      <c r="AA15874" s="318"/>
      <c r="AB15874" s="318"/>
      <c r="AC15874" s="318"/>
      <c r="AD15874" s="318"/>
    </row>
    <row r="15875" spans="2:30" s="323" customFormat="1" ht="12" customHeight="1">
      <c r="B15875" s="324"/>
      <c r="C15875" s="325"/>
      <c r="D15875" s="326"/>
      <c r="E15875" s="326"/>
      <c r="F15875" s="326"/>
      <c r="G15875" s="326"/>
      <c r="H15875" s="326"/>
      <c r="P15875" s="318"/>
      <c r="Q15875" s="318"/>
      <c r="R15875" s="318"/>
      <c r="S15875" s="318"/>
      <c r="T15875" s="318"/>
      <c r="U15875" s="318"/>
      <c r="V15875" s="318"/>
      <c r="W15875" s="318"/>
      <c r="X15875" s="318"/>
      <c r="Y15875" s="318"/>
      <c r="Z15875" s="318"/>
      <c r="AA15875" s="318"/>
      <c r="AB15875" s="318"/>
      <c r="AC15875" s="318"/>
      <c r="AD15875" s="318"/>
    </row>
    <row r="15876" spans="2:30" s="323" customFormat="1" ht="12" customHeight="1">
      <c r="B15876" s="324"/>
      <c r="C15876" s="325"/>
      <c r="D15876" s="326"/>
      <c r="E15876" s="326"/>
      <c r="F15876" s="326"/>
      <c r="G15876" s="326"/>
      <c r="H15876" s="326"/>
      <c r="P15876" s="318"/>
      <c r="Q15876" s="318"/>
      <c r="R15876" s="318"/>
      <c r="S15876" s="318"/>
      <c r="T15876" s="318"/>
      <c r="U15876" s="318"/>
      <c r="V15876" s="318"/>
      <c r="W15876" s="318"/>
      <c r="X15876" s="318"/>
      <c r="Y15876" s="318"/>
      <c r="Z15876" s="318"/>
      <c r="AA15876" s="318"/>
      <c r="AB15876" s="318"/>
      <c r="AC15876" s="318"/>
      <c r="AD15876" s="318"/>
    </row>
    <row r="15877" spans="2:30" s="323" customFormat="1" ht="12" customHeight="1">
      <c r="B15877" s="324"/>
      <c r="C15877" s="325"/>
      <c r="D15877" s="326"/>
      <c r="E15877" s="326"/>
      <c r="F15877" s="326"/>
      <c r="G15877" s="326"/>
      <c r="H15877" s="326"/>
      <c r="P15877" s="318"/>
      <c r="Q15877" s="318"/>
      <c r="R15877" s="318"/>
      <c r="S15877" s="318"/>
      <c r="T15877" s="318"/>
      <c r="U15877" s="318"/>
      <c r="V15877" s="318"/>
      <c r="W15877" s="318"/>
      <c r="X15877" s="318"/>
      <c r="Y15877" s="318"/>
      <c r="Z15877" s="318"/>
      <c r="AA15877" s="318"/>
      <c r="AB15877" s="318"/>
      <c r="AC15877" s="318"/>
      <c r="AD15877" s="318"/>
    </row>
    <row r="15878" spans="2:30" s="323" customFormat="1" ht="12" customHeight="1">
      <c r="B15878" s="324"/>
      <c r="C15878" s="325"/>
      <c r="D15878" s="326"/>
      <c r="E15878" s="326"/>
      <c r="F15878" s="326"/>
      <c r="G15878" s="326"/>
      <c r="H15878" s="326"/>
      <c r="P15878" s="318"/>
      <c r="Q15878" s="318"/>
      <c r="R15878" s="318"/>
      <c r="S15878" s="318"/>
      <c r="T15878" s="318"/>
      <c r="U15878" s="318"/>
      <c r="V15878" s="318"/>
      <c r="W15878" s="318"/>
      <c r="X15878" s="318"/>
      <c r="Y15878" s="318"/>
      <c r="Z15878" s="318"/>
      <c r="AA15878" s="318"/>
      <c r="AB15878" s="318"/>
      <c r="AC15878" s="318"/>
      <c r="AD15878" s="318"/>
    </row>
    <row r="15879" spans="2:30" s="323" customFormat="1" ht="12" customHeight="1">
      <c r="B15879" s="324"/>
      <c r="C15879" s="325"/>
      <c r="D15879" s="326"/>
      <c r="E15879" s="326"/>
      <c r="F15879" s="326"/>
      <c r="G15879" s="326"/>
      <c r="H15879" s="326"/>
      <c r="P15879" s="318"/>
      <c r="Q15879" s="318"/>
      <c r="R15879" s="318"/>
      <c r="S15879" s="318"/>
      <c r="T15879" s="318"/>
      <c r="U15879" s="318"/>
      <c r="V15879" s="318"/>
      <c r="W15879" s="318"/>
      <c r="X15879" s="318"/>
      <c r="Y15879" s="318"/>
      <c r="Z15879" s="318"/>
      <c r="AA15879" s="318"/>
      <c r="AB15879" s="318"/>
      <c r="AC15879" s="318"/>
      <c r="AD15879" s="318"/>
    </row>
    <row r="15880" spans="2:30" s="323" customFormat="1" ht="12" customHeight="1">
      <c r="B15880" s="324"/>
      <c r="C15880" s="325"/>
      <c r="D15880" s="326"/>
      <c r="E15880" s="326"/>
      <c r="F15880" s="326"/>
      <c r="G15880" s="326"/>
      <c r="H15880" s="326"/>
      <c r="P15880" s="318"/>
      <c r="Q15880" s="318"/>
      <c r="R15880" s="318"/>
      <c r="S15880" s="318"/>
      <c r="T15880" s="318"/>
      <c r="U15880" s="318"/>
      <c r="V15880" s="318"/>
      <c r="W15880" s="318"/>
      <c r="X15880" s="318"/>
      <c r="Y15880" s="318"/>
      <c r="Z15880" s="318"/>
      <c r="AA15880" s="318"/>
      <c r="AB15880" s="318"/>
      <c r="AC15880" s="318"/>
      <c r="AD15880" s="318"/>
    </row>
    <row r="15881" spans="2:30" s="323" customFormat="1" ht="12" customHeight="1">
      <c r="B15881" s="324"/>
      <c r="C15881" s="325"/>
      <c r="D15881" s="326"/>
      <c r="E15881" s="326"/>
      <c r="F15881" s="326"/>
      <c r="G15881" s="326"/>
      <c r="H15881" s="326"/>
      <c r="P15881" s="318"/>
      <c r="Q15881" s="318"/>
      <c r="R15881" s="318"/>
      <c r="S15881" s="318"/>
      <c r="T15881" s="318"/>
      <c r="U15881" s="318"/>
      <c r="V15881" s="318"/>
      <c r="W15881" s="318"/>
      <c r="X15881" s="318"/>
      <c r="Y15881" s="318"/>
      <c r="Z15881" s="318"/>
      <c r="AA15881" s="318"/>
      <c r="AB15881" s="318"/>
      <c r="AC15881" s="318"/>
      <c r="AD15881" s="318"/>
    </row>
    <row r="15882" spans="2:30" s="323" customFormat="1" ht="12" customHeight="1">
      <c r="B15882" s="324"/>
      <c r="C15882" s="325"/>
      <c r="D15882" s="326"/>
      <c r="E15882" s="326"/>
      <c r="F15882" s="326"/>
      <c r="G15882" s="326"/>
      <c r="H15882" s="326"/>
      <c r="P15882" s="318"/>
      <c r="Q15882" s="318"/>
      <c r="R15882" s="318"/>
      <c r="S15882" s="318"/>
      <c r="T15882" s="318"/>
      <c r="U15882" s="318"/>
      <c r="V15882" s="318"/>
      <c r="W15882" s="318"/>
      <c r="X15882" s="318"/>
      <c r="Y15882" s="318"/>
      <c r="Z15882" s="318"/>
      <c r="AA15882" s="318"/>
      <c r="AB15882" s="318"/>
      <c r="AC15882" s="318"/>
      <c r="AD15882" s="318"/>
    </row>
    <row r="15883" spans="2:30" s="323" customFormat="1" ht="12" customHeight="1">
      <c r="B15883" s="324"/>
      <c r="C15883" s="325"/>
      <c r="D15883" s="326"/>
      <c r="E15883" s="326"/>
      <c r="F15883" s="326"/>
      <c r="G15883" s="326"/>
      <c r="H15883" s="326"/>
      <c r="P15883" s="318"/>
      <c r="Q15883" s="318"/>
      <c r="R15883" s="318"/>
      <c r="S15883" s="318"/>
      <c r="T15883" s="318"/>
      <c r="U15883" s="318"/>
      <c r="V15883" s="318"/>
      <c r="W15883" s="318"/>
      <c r="X15883" s="318"/>
      <c r="Y15883" s="318"/>
      <c r="Z15883" s="318"/>
      <c r="AA15883" s="318"/>
      <c r="AB15883" s="318"/>
      <c r="AC15883" s="318"/>
      <c r="AD15883" s="318"/>
    </row>
    <row r="15884" spans="2:30" s="323" customFormat="1" ht="12" customHeight="1">
      <c r="B15884" s="324"/>
      <c r="C15884" s="325"/>
      <c r="D15884" s="326"/>
      <c r="E15884" s="326"/>
      <c r="F15884" s="326"/>
      <c r="G15884" s="326"/>
      <c r="H15884" s="326"/>
      <c r="P15884" s="318"/>
      <c r="Q15884" s="318"/>
      <c r="R15884" s="318"/>
      <c r="S15884" s="318"/>
      <c r="T15884" s="318"/>
      <c r="U15884" s="318"/>
      <c r="V15884" s="318"/>
      <c r="W15884" s="318"/>
      <c r="X15884" s="318"/>
      <c r="Y15884" s="318"/>
      <c r="Z15884" s="318"/>
      <c r="AA15884" s="318"/>
      <c r="AB15884" s="318"/>
      <c r="AC15884" s="318"/>
      <c r="AD15884" s="318"/>
    </row>
    <row r="15885" spans="2:30" s="323" customFormat="1" ht="12" customHeight="1">
      <c r="B15885" s="324"/>
      <c r="C15885" s="325"/>
      <c r="D15885" s="326"/>
      <c r="E15885" s="326"/>
      <c r="F15885" s="326"/>
      <c r="G15885" s="326"/>
      <c r="H15885" s="326"/>
      <c r="P15885" s="318"/>
      <c r="Q15885" s="318"/>
      <c r="R15885" s="318"/>
      <c r="S15885" s="318"/>
      <c r="T15885" s="318"/>
      <c r="U15885" s="318"/>
      <c r="V15885" s="318"/>
      <c r="W15885" s="318"/>
      <c r="X15885" s="318"/>
      <c r="Y15885" s="318"/>
      <c r="Z15885" s="318"/>
      <c r="AA15885" s="318"/>
      <c r="AB15885" s="318"/>
      <c r="AC15885" s="318"/>
      <c r="AD15885" s="318"/>
    </row>
    <row r="15886" spans="2:30" s="323" customFormat="1" ht="12" customHeight="1">
      <c r="B15886" s="324"/>
      <c r="C15886" s="325"/>
      <c r="D15886" s="326"/>
      <c r="E15886" s="326"/>
      <c r="F15886" s="326"/>
      <c r="G15886" s="326"/>
      <c r="H15886" s="326"/>
      <c r="P15886" s="318"/>
      <c r="Q15886" s="318"/>
      <c r="R15886" s="318"/>
      <c r="S15886" s="318"/>
      <c r="T15886" s="318"/>
      <c r="U15886" s="318"/>
      <c r="V15886" s="318"/>
      <c r="W15886" s="318"/>
      <c r="X15886" s="318"/>
      <c r="Y15886" s="318"/>
      <c r="Z15886" s="318"/>
      <c r="AA15886" s="318"/>
      <c r="AB15886" s="318"/>
      <c r="AC15886" s="318"/>
      <c r="AD15886" s="318"/>
    </row>
    <row r="15887" spans="2:30" s="323" customFormat="1" ht="12" customHeight="1">
      <c r="B15887" s="324"/>
      <c r="C15887" s="325"/>
      <c r="D15887" s="326"/>
      <c r="E15887" s="326"/>
      <c r="F15887" s="326"/>
      <c r="G15887" s="326"/>
      <c r="H15887" s="326"/>
      <c r="P15887" s="318"/>
      <c r="Q15887" s="318"/>
      <c r="R15887" s="318"/>
      <c r="S15887" s="318"/>
      <c r="T15887" s="318"/>
      <c r="U15887" s="318"/>
      <c r="V15887" s="318"/>
      <c r="W15887" s="318"/>
      <c r="X15887" s="318"/>
      <c r="Y15887" s="318"/>
      <c r="Z15887" s="318"/>
      <c r="AA15887" s="318"/>
      <c r="AB15887" s="318"/>
      <c r="AC15887" s="318"/>
      <c r="AD15887" s="318"/>
    </row>
    <row r="15888" spans="2:30" s="323" customFormat="1" ht="12" customHeight="1">
      <c r="B15888" s="324"/>
      <c r="C15888" s="325"/>
      <c r="D15888" s="326"/>
      <c r="E15888" s="326"/>
      <c r="F15888" s="326"/>
      <c r="G15888" s="326"/>
      <c r="H15888" s="326"/>
      <c r="P15888" s="318"/>
      <c r="Q15888" s="318"/>
      <c r="R15888" s="318"/>
      <c r="S15888" s="318"/>
      <c r="T15888" s="318"/>
      <c r="U15888" s="318"/>
      <c r="V15888" s="318"/>
      <c r="W15888" s="318"/>
      <c r="X15888" s="318"/>
      <c r="Y15888" s="318"/>
      <c r="Z15888" s="318"/>
      <c r="AA15888" s="318"/>
      <c r="AB15888" s="318"/>
      <c r="AC15888" s="318"/>
      <c r="AD15888" s="318"/>
    </row>
    <row r="15889" spans="2:30" s="323" customFormat="1" ht="12" customHeight="1">
      <c r="B15889" s="324"/>
      <c r="C15889" s="325"/>
      <c r="D15889" s="326"/>
      <c r="E15889" s="326"/>
      <c r="F15889" s="326"/>
      <c r="G15889" s="326"/>
      <c r="H15889" s="326"/>
      <c r="P15889" s="318"/>
      <c r="Q15889" s="318"/>
      <c r="R15889" s="318"/>
      <c r="S15889" s="318"/>
      <c r="T15889" s="318"/>
      <c r="U15889" s="318"/>
      <c r="V15889" s="318"/>
      <c r="W15889" s="318"/>
      <c r="X15889" s="318"/>
      <c r="Y15889" s="318"/>
      <c r="Z15889" s="318"/>
      <c r="AA15889" s="318"/>
      <c r="AB15889" s="318"/>
      <c r="AC15889" s="318"/>
      <c r="AD15889" s="318"/>
    </row>
    <row r="15890" spans="2:30" s="323" customFormat="1" ht="12" customHeight="1">
      <c r="B15890" s="324"/>
      <c r="C15890" s="325"/>
      <c r="D15890" s="326"/>
      <c r="E15890" s="326"/>
      <c r="F15890" s="326"/>
      <c r="G15890" s="326"/>
      <c r="H15890" s="326"/>
      <c r="P15890" s="318"/>
      <c r="Q15890" s="318"/>
      <c r="R15890" s="318"/>
      <c r="S15890" s="318"/>
      <c r="T15890" s="318"/>
      <c r="U15890" s="318"/>
      <c r="V15890" s="318"/>
      <c r="W15890" s="318"/>
      <c r="X15890" s="318"/>
      <c r="Y15890" s="318"/>
      <c r="Z15890" s="318"/>
      <c r="AA15890" s="318"/>
      <c r="AB15890" s="318"/>
      <c r="AC15890" s="318"/>
      <c r="AD15890" s="318"/>
    </row>
    <row r="15891" spans="2:30" s="323" customFormat="1" ht="12" customHeight="1">
      <c r="B15891" s="324"/>
      <c r="C15891" s="325"/>
      <c r="D15891" s="326"/>
      <c r="E15891" s="326"/>
      <c r="F15891" s="326"/>
      <c r="G15891" s="326"/>
      <c r="H15891" s="326"/>
      <c r="P15891" s="318"/>
      <c r="Q15891" s="318"/>
      <c r="R15891" s="318"/>
      <c r="S15891" s="318"/>
      <c r="T15891" s="318"/>
      <c r="U15891" s="318"/>
      <c r="V15891" s="318"/>
      <c r="W15891" s="318"/>
      <c r="X15891" s="318"/>
      <c r="Y15891" s="318"/>
      <c r="Z15891" s="318"/>
      <c r="AA15891" s="318"/>
      <c r="AB15891" s="318"/>
      <c r="AC15891" s="318"/>
      <c r="AD15891" s="318"/>
    </row>
    <row r="15892" spans="2:30" s="323" customFormat="1" ht="12" customHeight="1">
      <c r="B15892" s="324"/>
      <c r="C15892" s="325"/>
      <c r="D15892" s="326"/>
      <c r="E15892" s="326"/>
      <c r="F15892" s="326"/>
      <c r="G15892" s="326"/>
      <c r="H15892" s="326"/>
      <c r="P15892" s="318"/>
      <c r="Q15892" s="318"/>
      <c r="R15892" s="318"/>
      <c r="S15892" s="318"/>
      <c r="T15892" s="318"/>
      <c r="U15892" s="318"/>
      <c r="V15892" s="318"/>
      <c r="W15892" s="318"/>
      <c r="X15892" s="318"/>
      <c r="Y15892" s="318"/>
      <c r="Z15892" s="318"/>
      <c r="AA15892" s="318"/>
      <c r="AB15892" s="318"/>
      <c r="AC15892" s="318"/>
      <c r="AD15892" s="318"/>
    </row>
    <row r="15893" spans="2:30" s="323" customFormat="1" ht="12" customHeight="1">
      <c r="B15893" s="324"/>
      <c r="C15893" s="325"/>
      <c r="D15893" s="326"/>
      <c r="E15893" s="326"/>
      <c r="F15893" s="326"/>
      <c r="G15893" s="326"/>
      <c r="H15893" s="326"/>
      <c r="P15893" s="318"/>
      <c r="Q15893" s="318"/>
      <c r="R15893" s="318"/>
      <c r="S15893" s="318"/>
      <c r="T15893" s="318"/>
      <c r="U15893" s="318"/>
      <c r="V15893" s="318"/>
      <c r="W15893" s="318"/>
      <c r="X15893" s="318"/>
      <c r="Y15893" s="318"/>
      <c r="Z15893" s="318"/>
      <c r="AA15893" s="318"/>
      <c r="AB15893" s="318"/>
      <c r="AC15893" s="318"/>
      <c r="AD15893" s="318"/>
    </row>
    <row r="15894" spans="2:30" s="323" customFormat="1" ht="12" customHeight="1">
      <c r="B15894" s="324"/>
      <c r="C15894" s="325"/>
      <c r="D15894" s="326"/>
      <c r="E15894" s="326"/>
      <c r="F15894" s="326"/>
      <c r="G15894" s="326"/>
      <c r="H15894" s="326"/>
      <c r="P15894" s="318"/>
      <c r="Q15894" s="318"/>
      <c r="R15894" s="318"/>
      <c r="S15894" s="318"/>
      <c r="T15894" s="318"/>
      <c r="U15894" s="318"/>
      <c r="V15894" s="318"/>
      <c r="W15894" s="318"/>
      <c r="X15894" s="318"/>
      <c r="Y15894" s="318"/>
      <c r="Z15894" s="318"/>
      <c r="AA15894" s="318"/>
      <c r="AB15894" s="318"/>
      <c r="AC15894" s="318"/>
      <c r="AD15894" s="318"/>
    </row>
    <row r="15895" spans="2:30" s="323" customFormat="1" ht="12" customHeight="1">
      <c r="B15895" s="324"/>
      <c r="C15895" s="325"/>
      <c r="D15895" s="326"/>
      <c r="E15895" s="326"/>
      <c r="F15895" s="326"/>
      <c r="G15895" s="326"/>
      <c r="H15895" s="326"/>
      <c r="P15895" s="318"/>
      <c r="Q15895" s="318"/>
      <c r="R15895" s="318"/>
      <c r="S15895" s="318"/>
      <c r="T15895" s="318"/>
      <c r="U15895" s="318"/>
      <c r="V15895" s="318"/>
      <c r="W15895" s="318"/>
      <c r="X15895" s="318"/>
      <c r="Y15895" s="318"/>
      <c r="Z15895" s="318"/>
      <c r="AA15895" s="318"/>
      <c r="AB15895" s="318"/>
      <c r="AC15895" s="318"/>
      <c r="AD15895" s="318"/>
    </row>
    <row r="15896" spans="2:30" s="323" customFormat="1" ht="12" customHeight="1">
      <c r="B15896" s="324"/>
      <c r="C15896" s="325"/>
      <c r="D15896" s="326"/>
      <c r="E15896" s="326"/>
      <c r="F15896" s="326"/>
      <c r="G15896" s="326"/>
      <c r="H15896" s="326"/>
      <c r="P15896" s="318"/>
      <c r="Q15896" s="318"/>
      <c r="R15896" s="318"/>
      <c r="S15896" s="318"/>
      <c r="T15896" s="318"/>
      <c r="U15896" s="318"/>
      <c r="V15896" s="318"/>
      <c r="W15896" s="318"/>
      <c r="X15896" s="318"/>
      <c r="Y15896" s="318"/>
      <c r="Z15896" s="318"/>
      <c r="AA15896" s="318"/>
      <c r="AB15896" s="318"/>
      <c r="AC15896" s="318"/>
      <c r="AD15896" s="318"/>
    </row>
    <row r="15897" spans="2:30" s="323" customFormat="1" ht="12" customHeight="1">
      <c r="B15897" s="324"/>
      <c r="C15897" s="325"/>
      <c r="D15897" s="326"/>
      <c r="E15897" s="326"/>
      <c r="F15897" s="326"/>
      <c r="G15897" s="326"/>
      <c r="H15897" s="326"/>
      <c r="P15897" s="318"/>
      <c r="Q15897" s="318"/>
      <c r="R15897" s="318"/>
      <c r="S15897" s="318"/>
      <c r="T15897" s="318"/>
      <c r="U15897" s="318"/>
      <c r="V15897" s="318"/>
      <c r="W15897" s="318"/>
      <c r="X15897" s="318"/>
      <c r="Y15897" s="318"/>
      <c r="Z15897" s="318"/>
      <c r="AA15897" s="318"/>
      <c r="AB15897" s="318"/>
      <c r="AC15897" s="318"/>
      <c r="AD15897" s="318"/>
    </row>
    <row r="15898" spans="2:30" s="323" customFormat="1" ht="12" customHeight="1">
      <c r="B15898" s="324"/>
      <c r="C15898" s="325"/>
      <c r="D15898" s="326"/>
      <c r="E15898" s="326"/>
      <c r="F15898" s="326"/>
      <c r="G15898" s="326"/>
      <c r="H15898" s="326"/>
      <c r="P15898" s="318"/>
      <c r="Q15898" s="318"/>
      <c r="R15898" s="318"/>
      <c r="S15898" s="318"/>
      <c r="T15898" s="318"/>
      <c r="U15898" s="318"/>
      <c r="V15898" s="318"/>
      <c r="W15898" s="318"/>
      <c r="X15898" s="318"/>
      <c r="Y15898" s="318"/>
      <c r="Z15898" s="318"/>
      <c r="AA15898" s="318"/>
      <c r="AB15898" s="318"/>
      <c r="AC15898" s="318"/>
      <c r="AD15898" s="318"/>
    </row>
    <row r="15899" spans="2:30" s="323" customFormat="1" ht="12" customHeight="1">
      <c r="B15899" s="324"/>
      <c r="C15899" s="325"/>
      <c r="D15899" s="326"/>
      <c r="E15899" s="326"/>
      <c r="F15899" s="326"/>
      <c r="G15899" s="326"/>
      <c r="H15899" s="326"/>
      <c r="P15899" s="318"/>
      <c r="Q15899" s="318"/>
      <c r="R15899" s="318"/>
      <c r="S15899" s="318"/>
      <c r="T15899" s="318"/>
      <c r="U15899" s="318"/>
      <c r="V15899" s="318"/>
      <c r="W15899" s="318"/>
      <c r="X15899" s="318"/>
      <c r="Y15899" s="318"/>
      <c r="Z15899" s="318"/>
      <c r="AA15899" s="318"/>
      <c r="AB15899" s="318"/>
      <c r="AC15899" s="318"/>
      <c r="AD15899" s="318"/>
    </row>
    <row r="15900" spans="2:30" s="323" customFormat="1" ht="12" customHeight="1">
      <c r="B15900" s="324"/>
      <c r="C15900" s="325"/>
      <c r="D15900" s="326"/>
      <c r="E15900" s="326"/>
      <c r="F15900" s="326"/>
      <c r="G15900" s="326"/>
      <c r="H15900" s="326"/>
      <c r="P15900" s="318"/>
      <c r="Q15900" s="318"/>
      <c r="R15900" s="318"/>
      <c r="S15900" s="318"/>
      <c r="T15900" s="318"/>
      <c r="U15900" s="318"/>
      <c r="V15900" s="318"/>
      <c r="W15900" s="318"/>
      <c r="X15900" s="318"/>
      <c r="Y15900" s="318"/>
      <c r="Z15900" s="318"/>
      <c r="AA15900" s="318"/>
      <c r="AB15900" s="318"/>
      <c r="AC15900" s="318"/>
      <c r="AD15900" s="318"/>
    </row>
    <row r="15901" spans="2:30" s="323" customFormat="1" ht="12" customHeight="1">
      <c r="B15901" s="324"/>
      <c r="C15901" s="325"/>
      <c r="D15901" s="326"/>
      <c r="E15901" s="326"/>
      <c r="F15901" s="326"/>
      <c r="G15901" s="326"/>
      <c r="H15901" s="326"/>
      <c r="P15901" s="318"/>
      <c r="Q15901" s="318"/>
      <c r="R15901" s="318"/>
      <c r="S15901" s="318"/>
      <c r="T15901" s="318"/>
      <c r="U15901" s="318"/>
      <c r="V15901" s="318"/>
      <c r="W15901" s="318"/>
      <c r="X15901" s="318"/>
      <c r="Y15901" s="318"/>
      <c r="Z15901" s="318"/>
      <c r="AA15901" s="318"/>
      <c r="AB15901" s="318"/>
      <c r="AC15901" s="318"/>
      <c r="AD15901" s="318"/>
    </row>
    <row r="15902" spans="2:30" s="323" customFormat="1" ht="12" customHeight="1">
      <c r="B15902" s="324"/>
      <c r="C15902" s="325"/>
      <c r="D15902" s="326"/>
      <c r="E15902" s="326"/>
      <c r="F15902" s="326"/>
      <c r="G15902" s="326"/>
      <c r="H15902" s="326"/>
      <c r="P15902" s="318"/>
      <c r="Q15902" s="318"/>
      <c r="R15902" s="318"/>
      <c r="S15902" s="318"/>
      <c r="T15902" s="318"/>
      <c r="U15902" s="318"/>
      <c r="V15902" s="318"/>
      <c r="W15902" s="318"/>
      <c r="X15902" s="318"/>
      <c r="Y15902" s="318"/>
      <c r="Z15902" s="318"/>
      <c r="AA15902" s="318"/>
      <c r="AB15902" s="318"/>
      <c r="AC15902" s="318"/>
      <c r="AD15902" s="318"/>
    </row>
    <row r="15903" spans="2:30" s="323" customFormat="1" ht="12" customHeight="1">
      <c r="B15903" s="324"/>
      <c r="C15903" s="325"/>
      <c r="D15903" s="326"/>
      <c r="E15903" s="326"/>
      <c r="F15903" s="326"/>
      <c r="G15903" s="326"/>
      <c r="H15903" s="326"/>
      <c r="P15903" s="318"/>
      <c r="Q15903" s="318"/>
      <c r="R15903" s="318"/>
      <c r="S15903" s="318"/>
      <c r="T15903" s="318"/>
      <c r="U15903" s="318"/>
      <c r="V15903" s="318"/>
      <c r="W15903" s="318"/>
      <c r="X15903" s="318"/>
      <c r="Y15903" s="318"/>
      <c r="Z15903" s="318"/>
      <c r="AA15903" s="318"/>
      <c r="AB15903" s="318"/>
      <c r="AC15903" s="318"/>
      <c r="AD15903" s="318"/>
    </row>
    <row r="15904" spans="2:30" s="323" customFormat="1" ht="12" customHeight="1">
      <c r="B15904" s="324"/>
      <c r="C15904" s="325"/>
      <c r="D15904" s="326"/>
      <c r="E15904" s="326"/>
      <c r="F15904" s="326"/>
      <c r="G15904" s="326"/>
      <c r="H15904" s="326"/>
      <c r="P15904" s="318"/>
      <c r="Q15904" s="318"/>
      <c r="R15904" s="318"/>
      <c r="S15904" s="318"/>
      <c r="T15904" s="318"/>
      <c r="U15904" s="318"/>
      <c r="V15904" s="318"/>
      <c r="W15904" s="318"/>
      <c r="X15904" s="318"/>
      <c r="Y15904" s="318"/>
      <c r="Z15904" s="318"/>
      <c r="AA15904" s="318"/>
      <c r="AB15904" s="318"/>
      <c r="AC15904" s="318"/>
      <c r="AD15904" s="318"/>
    </row>
    <row r="15905" spans="2:30" s="323" customFormat="1" ht="12" customHeight="1">
      <c r="B15905" s="324"/>
      <c r="C15905" s="325"/>
      <c r="D15905" s="326"/>
      <c r="E15905" s="326"/>
      <c r="F15905" s="326"/>
      <c r="G15905" s="326"/>
      <c r="H15905" s="326"/>
      <c r="P15905" s="318"/>
      <c r="Q15905" s="318"/>
      <c r="R15905" s="318"/>
      <c r="S15905" s="318"/>
      <c r="T15905" s="318"/>
      <c r="U15905" s="318"/>
      <c r="V15905" s="318"/>
      <c r="W15905" s="318"/>
      <c r="X15905" s="318"/>
      <c r="Y15905" s="318"/>
      <c r="Z15905" s="318"/>
      <c r="AA15905" s="318"/>
      <c r="AB15905" s="318"/>
      <c r="AC15905" s="318"/>
      <c r="AD15905" s="318"/>
    </row>
    <row r="15906" spans="2:30" s="323" customFormat="1" ht="12" customHeight="1">
      <c r="B15906" s="324"/>
      <c r="C15906" s="325"/>
      <c r="D15906" s="326"/>
      <c r="E15906" s="326"/>
      <c r="F15906" s="326"/>
      <c r="G15906" s="326"/>
      <c r="H15906" s="326"/>
      <c r="P15906" s="318"/>
      <c r="Q15906" s="318"/>
      <c r="R15906" s="318"/>
      <c r="S15906" s="318"/>
      <c r="T15906" s="318"/>
      <c r="U15906" s="318"/>
      <c r="V15906" s="318"/>
      <c r="W15906" s="318"/>
      <c r="X15906" s="318"/>
      <c r="Y15906" s="318"/>
      <c r="Z15906" s="318"/>
      <c r="AA15906" s="318"/>
      <c r="AB15906" s="318"/>
      <c r="AC15906" s="318"/>
      <c r="AD15906" s="318"/>
    </row>
    <row r="15907" spans="2:30" s="323" customFormat="1" ht="12" customHeight="1">
      <c r="B15907" s="324"/>
      <c r="C15907" s="325"/>
      <c r="D15907" s="326"/>
      <c r="E15907" s="326"/>
      <c r="F15907" s="326"/>
      <c r="G15907" s="326"/>
      <c r="H15907" s="326"/>
      <c r="P15907" s="318"/>
      <c r="Q15907" s="318"/>
      <c r="R15907" s="318"/>
      <c r="S15907" s="318"/>
      <c r="T15907" s="318"/>
      <c r="U15907" s="318"/>
      <c r="V15907" s="318"/>
      <c r="W15907" s="318"/>
      <c r="X15907" s="318"/>
      <c r="Y15907" s="318"/>
      <c r="Z15907" s="318"/>
      <c r="AA15907" s="318"/>
      <c r="AB15907" s="318"/>
      <c r="AC15907" s="318"/>
      <c r="AD15907" s="318"/>
    </row>
    <row r="15908" spans="2:30" s="323" customFormat="1" ht="12" customHeight="1">
      <c r="B15908" s="324"/>
      <c r="C15908" s="325"/>
      <c r="D15908" s="326"/>
      <c r="E15908" s="326"/>
      <c r="F15908" s="326"/>
      <c r="G15908" s="326"/>
      <c r="H15908" s="326"/>
      <c r="P15908" s="318"/>
      <c r="Q15908" s="318"/>
      <c r="R15908" s="318"/>
      <c r="S15908" s="318"/>
      <c r="T15908" s="318"/>
      <c r="U15908" s="318"/>
      <c r="V15908" s="318"/>
      <c r="W15908" s="318"/>
      <c r="X15908" s="318"/>
      <c r="Y15908" s="318"/>
      <c r="Z15908" s="318"/>
      <c r="AA15908" s="318"/>
      <c r="AB15908" s="318"/>
      <c r="AC15908" s="318"/>
      <c r="AD15908" s="318"/>
    </row>
    <row r="15909" spans="2:30" s="323" customFormat="1" ht="12" customHeight="1">
      <c r="B15909" s="324"/>
      <c r="C15909" s="325"/>
      <c r="D15909" s="326"/>
      <c r="E15909" s="326"/>
      <c r="F15909" s="326"/>
      <c r="G15909" s="326"/>
      <c r="H15909" s="326"/>
      <c r="P15909" s="318"/>
      <c r="Q15909" s="318"/>
      <c r="R15909" s="318"/>
      <c r="S15909" s="318"/>
      <c r="T15909" s="318"/>
      <c r="U15909" s="318"/>
      <c r="V15909" s="318"/>
      <c r="W15909" s="318"/>
      <c r="X15909" s="318"/>
      <c r="Y15909" s="318"/>
      <c r="Z15909" s="318"/>
      <c r="AA15909" s="318"/>
      <c r="AB15909" s="318"/>
      <c r="AC15909" s="318"/>
      <c r="AD15909" s="318"/>
    </row>
    <row r="15910" spans="2:30" s="323" customFormat="1" ht="12" customHeight="1">
      <c r="B15910" s="324"/>
      <c r="C15910" s="325"/>
      <c r="D15910" s="326"/>
      <c r="E15910" s="326"/>
      <c r="F15910" s="326"/>
      <c r="G15910" s="326"/>
      <c r="H15910" s="326"/>
      <c r="P15910" s="318"/>
      <c r="Q15910" s="318"/>
      <c r="R15910" s="318"/>
      <c r="S15910" s="318"/>
      <c r="T15910" s="318"/>
      <c r="U15910" s="318"/>
      <c r="V15910" s="318"/>
      <c r="W15910" s="318"/>
      <c r="X15910" s="318"/>
      <c r="Y15910" s="318"/>
      <c r="Z15910" s="318"/>
      <c r="AA15910" s="318"/>
      <c r="AB15910" s="318"/>
      <c r="AC15910" s="318"/>
      <c r="AD15910" s="318"/>
    </row>
    <row r="15911" spans="2:30" s="323" customFormat="1" ht="12" customHeight="1">
      <c r="B15911" s="324"/>
      <c r="C15911" s="325"/>
      <c r="D15911" s="326"/>
      <c r="E15911" s="326"/>
      <c r="F15911" s="326"/>
      <c r="G15911" s="326"/>
      <c r="H15911" s="326"/>
      <c r="P15911" s="318"/>
      <c r="Q15911" s="318"/>
      <c r="R15911" s="318"/>
      <c r="S15911" s="318"/>
      <c r="T15911" s="318"/>
      <c r="U15911" s="318"/>
      <c r="V15911" s="318"/>
      <c r="W15911" s="318"/>
      <c r="X15911" s="318"/>
      <c r="Y15911" s="318"/>
      <c r="Z15911" s="318"/>
      <c r="AA15911" s="318"/>
      <c r="AB15911" s="318"/>
      <c r="AC15911" s="318"/>
      <c r="AD15911" s="318"/>
    </row>
    <row r="15912" spans="2:30" s="323" customFormat="1" ht="12" customHeight="1">
      <c r="B15912" s="324"/>
      <c r="C15912" s="325"/>
      <c r="D15912" s="326"/>
      <c r="E15912" s="326"/>
      <c r="F15912" s="326"/>
      <c r="G15912" s="326"/>
      <c r="H15912" s="326"/>
      <c r="P15912" s="318"/>
      <c r="Q15912" s="318"/>
      <c r="R15912" s="318"/>
      <c r="S15912" s="318"/>
      <c r="T15912" s="318"/>
      <c r="U15912" s="318"/>
      <c r="V15912" s="318"/>
      <c r="W15912" s="318"/>
      <c r="X15912" s="318"/>
      <c r="Y15912" s="318"/>
      <c r="Z15912" s="318"/>
      <c r="AA15912" s="318"/>
      <c r="AB15912" s="318"/>
      <c r="AC15912" s="318"/>
      <c r="AD15912" s="318"/>
    </row>
    <row r="15913" spans="2:30" s="323" customFormat="1" ht="12" customHeight="1">
      <c r="B15913" s="324"/>
      <c r="C15913" s="325"/>
      <c r="D15913" s="326"/>
      <c r="E15913" s="326"/>
      <c r="F15913" s="326"/>
      <c r="G15913" s="326"/>
      <c r="H15913" s="326"/>
      <c r="P15913" s="318"/>
      <c r="Q15913" s="318"/>
      <c r="R15913" s="318"/>
      <c r="S15913" s="318"/>
      <c r="T15913" s="318"/>
      <c r="U15913" s="318"/>
      <c r="V15913" s="318"/>
      <c r="W15913" s="318"/>
      <c r="X15913" s="318"/>
      <c r="Y15913" s="318"/>
      <c r="Z15913" s="318"/>
      <c r="AA15913" s="318"/>
      <c r="AB15913" s="318"/>
      <c r="AC15913" s="318"/>
      <c r="AD15913" s="318"/>
    </row>
    <row r="15914" spans="2:30" s="323" customFormat="1" ht="12" customHeight="1">
      <c r="B15914" s="324"/>
      <c r="C15914" s="325"/>
      <c r="D15914" s="326"/>
      <c r="E15914" s="326"/>
      <c r="F15914" s="326"/>
      <c r="G15914" s="326"/>
      <c r="H15914" s="326"/>
      <c r="P15914" s="318"/>
      <c r="Q15914" s="318"/>
      <c r="R15914" s="318"/>
      <c r="S15914" s="318"/>
      <c r="T15914" s="318"/>
      <c r="U15914" s="318"/>
      <c r="V15914" s="318"/>
      <c r="W15914" s="318"/>
      <c r="X15914" s="318"/>
      <c r="Y15914" s="318"/>
      <c r="Z15914" s="318"/>
      <c r="AA15914" s="318"/>
      <c r="AB15914" s="318"/>
      <c r="AC15914" s="318"/>
      <c r="AD15914" s="318"/>
    </row>
    <row r="15915" spans="2:30" s="323" customFormat="1" ht="12" customHeight="1">
      <c r="B15915" s="324"/>
      <c r="C15915" s="325"/>
      <c r="D15915" s="326"/>
      <c r="E15915" s="326"/>
      <c r="F15915" s="326"/>
      <c r="G15915" s="326"/>
      <c r="H15915" s="326"/>
      <c r="P15915" s="318"/>
      <c r="Q15915" s="318"/>
      <c r="R15915" s="318"/>
      <c r="S15915" s="318"/>
      <c r="T15915" s="318"/>
      <c r="U15915" s="318"/>
      <c r="V15915" s="318"/>
      <c r="W15915" s="318"/>
      <c r="X15915" s="318"/>
      <c r="Y15915" s="318"/>
      <c r="Z15915" s="318"/>
      <c r="AA15915" s="318"/>
      <c r="AB15915" s="318"/>
      <c r="AC15915" s="318"/>
      <c r="AD15915" s="318"/>
    </row>
    <row r="15916" spans="2:30" s="323" customFormat="1" ht="12" customHeight="1">
      <c r="B15916" s="324"/>
      <c r="C15916" s="325"/>
      <c r="D15916" s="326"/>
      <c r="E15916" s="326"/>
      <c r="F15916" s="326"/>
      <c r="G15916" s="326"/>
      <c r="H15916" s="326"/>
      <c r="P15916" s="318"/>
      <c r="Q15916" s="318"/>
      <c r="R15916" s="318"/>
      <c r="S15916" s="318"/>
      <c r="T15916" s="318"/>
      <c r="U15916" s="318"/>
      <c r="V15916" s="318"/>
      <c r="W15916" s="318"/>
      <c r="X15916" s="318"/>
      <c r="Y15916" s="318"/>
      <c r="Z15916" s="318"/>
      <c r="AA15916" s="318"/>
      <c r="AB15916" s="318"/>
      <c r="AC15916" s="318"/>
      <c r="AD15916" s="318"/>
    </row>
    <row r="15917" spans="2:30" s="323" customFormat="1" ht="12" customHeight="1">
      <c r="B15917" s="324"/>
      <c r="C15917" s="325"/>
      <c r="D15917" s="326"/>
      <c r="E15917" s="326"/>
      <c r="F15917" s="326"/>
      <c r="G15917" s="326"/>
      <c r="H15917" s="326"/>
      <c r="P15917" s="318"/>
      <c r="Q15917" s="318"/>
      <c r="R15917" s="318"/>
      <c r="S15917" s="318"/>
      <c r="T15917" s="318"/>
      <c r="U15917" s="318"/>
      <c r="V15917" s="318"/>
      <c r="W15917" s="318"/>
      <c r="X15917" s="318"/>
      <c r="Y15917" s="318"/>
      <c r="Z15917" s="318"/>
      <c r="AA15917" s="318"/>
      <c r="AB15917" s="318"/>
      <c r="AC15917" s="318"/>
      <c r="AD15917" s="318"/>
    </row>
    <row r="15918" spans="2:30" s="323" customFormat="1" ht="12" customHeight="1">
      <c r="B15918" s="324"/>
      <c r="C15918" s="325"/>
      <c r="D15918" s="326"/>
      <c r="E15918" s="326"/>
      <c r="F15918" s="326"/>
      <c r="G15918" s="326"/>
      <c r="H15918" s="326"/>
      <c r="P15918" s="318"/>
      <c r="Q15918" s="318"/>
      <c r="R15918" s="318"/>
      <c r="S15918" s="318"/>
      <c r="T15918" s="318"/>
      <c r="U15918" s="318"/>
      <c r="V15918" s="318"/>
      <c r="W15918" s="318"/>
      <c r="X15918" s="318"/>
      <c r="Y15918" s="318"/>
      <c r="Z15918" s="318"/>
      <c r="AA15918" s="318"/>
      <c r="AB15918" s="318"/>
      <c r="AC15918" s="318"/>
      <c r="AD15918" s="318"/>
    </row>
    <row r="15919" spans="2:30" s="323" customFormat="1" ht="12" customHeight="1">
      <c r="B15919" s="324"/>
      <c r="C15919" s="325"/>
      <c r="D15919" s="326"/>
      <c r="E15919" s="326"/>
      <c r="F15919" s="326"/>
      <c r="G15919" s="326"/>
      <c r="H15919" s="326"/>
      <c r="P15919" s="318"/>
      <c r="Q15919" s="318"/>
      <c r="R15919" s="318"/>
      <c r="S15919" s="318"/>
      <c r="T15919" s="318"/>
      <c r="U15919" s="318"/>
      <c r="V15919" s="318"/>
      <c r="W15919" s="318"/>
      <c r="X15919" s="318"/>
      <c r="Y15919" s="318"/>
      <c r="Z15919" s="318"/>
      <c r="AA15919" s="318"/>
      <c r="AB15919" s="318"/>
      <c r="AC15919" s="318"/>
      <c r="AD15919" s="318"/>
    </row>
    <row r="15920" spans="2:30" s="323" customFormat="1" ht="12" customHeight="1">
      <c r="B15920" s="324"/>
      <c r="C15920" s="325"/>
      <c r="D15920" s="326"/>
      <c r="E15920" s="326"/>
      <c r="F15920" s="326"/>
      <c r="G15920" s="326"/>
      <c r="H15920" s="326"/>
      <c r="P15920" s="318"/>
      <c r="Q15920" s="318"/>
      <c r="R15920" s="318"/>
      <c r="S15920" s="318"/>
      <c r="T15920" s="318"/>
      <c r="U15920" s="318"/>
      <c r="V15920" s="318"/>
      <c r="W15920" s="318"/>
      <c r="X15920" s="318"/>
      <c r="Y15920" s="318"/>
      <c r="Z15920" s="318"/>
      <c r="AA15920" s="318"/>
      <c r="AB15920" s="318"/>
      <c r="AC15920" s="318"/>
      <c r="AD15920" s="318"/>
    </row>
    <row r="15921" spans="2:30" s="323" customFormat="1" ht="12" customHeight="1">
      <c r="B15921" s="324"/>
      <c r="C15921" s="325"/>
      <c r="D15921" s="326"/>
      <c r="E15921" s="326"/>
      <c r="F15921" s="326"/>
      <c r="G15921" s="326"/>
      <c r="H15921" s="326"/>
      <c r="P15921" s="318"/>
      <c r="Q15921" s="318"/>
      <c r="R15921" s="318"/>
      <c r="S15921" s="318"/>
      <c r="T15921" s="318"/>
      <c r="U15921" s="318"/>
      <c r="V15921" s="318"/>
      <c r="W15921" s="318"/>
      <c r="X15921" s="318"/>
      <c r="Y15921" s="318"/>
      <c r="Z15921" s="318"/>
      <c r="AA15921" s="318"/>
      <c r="AB15921" s="318"/>
      <c r="AC15921" s="318"/>
      <c r="AD15921" s="318"/>
    </row>
    <row r="15922" spans="2:30" s="323" customFormat="1" ht="12" customHeight="1">
      <c r="B15922" s="324"/>
      <c r="C15922" s="325"/>
      <c r="D15922" s="326"/>
      <c r="E15922" s="326"/>
      <c r="F15922" s="326"/>
      <c r="G15922" s="326"/>
      <c r="H15922" s="326"/>
      <c r="P15922" s="318"/>
      <c r="Q15922" s="318"/>
      <c r="R15922" s="318"/>
      <c r="S15922" s="318"/>
      <c r="T15922" s="318"/>
      <c r="U15922" s="318"/>
      <c r="V15922" s="318"/>
      <c r="W15922" s="318"/>
      <c r="X15922" s="318"/>
      <c r="Y15922" s="318"/>
      <c r="Z15922" s="318"/>
      <c r="AA15922" s="318"/>
      <c r="AB15922" s="318"/>
      <c r="AC15922" s="318"/>
      <c r="AD15922" s="318"/>
    </row>
    <row r="15923" spans="2:30" s="323" customFormat="1" ht="12" customHeight="1">
      <c r="B15923" s="324"/>
      <c r="C15923" s="325"/>
      <c r="D15923" s="326"/>
      <c r="E15923" s="326"/>
      <c r="F15923" s="326"/>
      <c r="G15923" s="326"/>
      <c r="H15923" s="326"/>
      <c r="P15923" s="318"/>
      <c r="Q15923" s="318"/>
      <c r="R15923" s="318"/>
      <c r="S15923" s="318"/>
      <c r="T15923" s="318"/>
      <c r="U15923" s="318"/>
      <c r="V15923" s="318"/>
      <c r="W15923" s="318"/>
      <c r="X15923" s="318"/>
      <c r="Y15923" s="318"/>
      <c r="Z15923" s="318"/>
      <c r="AA15923" s="318"/>
      <c r="AB15923" s="318"/>
      <c r="AC15923" s="318"/>
      <c r="AD15923" s="318"/>
    </row>
    <row r="15924" spans="2:30" s="323" customFormat="1" ht="12" customHeight="1">
      <c r="B15924" s="324"/>
      <c r="C15924" s="325"/>
      <c r="D15924" s="326"/>
      <c r="E15924" s="326"/>
      <c r="F15924" s="326"/>
      <c r="G15924" s="326"/>
      <c r="H15924" s="326"/>
      <c r="P15924" s="318"/>
      <c r="Q15924" s="318"/>
      <c r="R15924" s="318"/>
      <c r="S15924" s="318"/>
      <c r="T15924" s="318"/>
      <c r="U15924" s="318"/>
      <c r="V15924" s="318"/>
      <c r="W15924" s="318"/>
      <c r="X15924" s="318"/>
      <c r="Y15924" s="318"/>
      <c r="Z15924" s="318"/>
      <c r="AA15924" s="318"/>
      <c r="AB15924" s="318"/>
      <c r="AC15924" s="318"/>
      <c r="AD15924" s="318"/>
    </row>
    <row r="15925" spans="2:30" s="323" customFormat="1" ht="12" customHeight="1">
      <c r="B15925" s="324"/>
      <c r="C15925" s="325"/>
      <c r="D15925" s="326"/>
      <c r="E15925" s="326"/>
      <c r="F15925" s="326"/>
      <c r="G15925" s="326"/>
      <c r="H15925" s="326"/>
      <c r="P15925" s="318"/>
      <c r="Q15925" s="318"/>
      <c r="R15925" s="318"/>
      <c r="S15925" s="318"/>
      <c r="T15925" s="318"/>
      <c r="U15925" s="318"/>
      <c r="V15925" s="318"/>
      <c r="W15925" s="318"/>
      <c r="X15925" s="318"/>
      <c r="Y15925" s="318"/>
      <c r="Z15925" s="318"/>
      <c r="AA15925" s="318"/>
      <c r="AB15925" s="318"/>
      <c r="AC15925" s="318"/>
      <c r="AD15925" s="318"/>
    </row>
    <row r="15926" spans="2:30" s="323" customFormat="1" ht="12" customHeight="1">
      <c r="B15926" s="324"/>
      <c r="C15926" s="325"/>
      <c r="D15926" s="326"/>
      <c r="E15926" s="326"/>
      <c r="F15926" s="326"/>
      <c r="G15926" s="326"/>
      <c r="H15926" s="326"/>
      <c r="P15926" s="318"/>
      <c r="Q15926" s="318"/>
      <c r="R15926" s="318"/>
      <c r="S15926" s="318"/>
      <c r="T15926" s="318"/>
      <c r="U15926" s="318"/>
      <c r="V15926" s="318"/>
      <c r="W15926" s="318"/>
      <c r="X15926" s="318"/>
      <c r="Y15926" s="318"/>
      <c r="Z15926" s="318"/>
      <c r="AA15926" s="318"/>
      <c r="AB15926" s="318"/>
      <c r="AC15926" s="318"/>
      <c r="AD15926" s="318"/>
    </row>
    <row r="15927" spans="2:30" s="323" customFormat="1" ht="12" customHeight="1">
      <c r="B15927" s="324"/>
      <c r="C15927" s="325"/>
      <c r="D15927" s="326"/>
      <c r="E15927" s="326"/>
      <c r="F15927" s="326"/>
      <c r="G15927" s="326"/>
      <c r="H15927" s="326"/>
      <c r="P15927" s="318"/>
      <c r="Q15927" s="318"/>
      <c r="R15927" s="318"/>
      <c r="S15927" s="318"/>
      <c r="T15927" s="318"/>
      <c r="U15927" s="318"/>
      <c r="V15927" s="318"/>
      <c r="W15927" s="318"/>
      <c r="X15927" s="318"/>
      <c r="Y15927" s="318"/>
      <c r="Z15927" s="318"/>
      <c r="AA15927" s="318"/>
      <c r="AB15927" s="318"/>
      <c r="AC15927" s="318"/>
      <c r="AD15927" s="318"/>
    </row>
    <row r="15928" spans="2:30" s="323" customFormat="1" ht="12" customHeight="1">
      <c r="B15928" s="324"/>
      <c r="C15928" s="325"/>
      <c r="D15928" s="326"/>
      <c r="E15928" s="326"/>
      <c r="F15928" s="326"/>
      <c r="G15928" s="326"/>
      <c r="H15928" s="326"/>
      <c r="P15928" s="318"/>
      <c r="Q15928" s="318"/>
      <c r="R15928" s="318"/>
      <c r="S15928" s="318"/>
      <c r="T15928" s="318"/>
      <c r="U15928" s="318"/>
      <c r="V15928" s="318"/>
      <c r="W15928" s="318"/>
      <c r="X15928" s="318"/>
      <c r="Y15928" s="318"/>
      <c r="Z15928" s="318"/>
      <c r="AA15928" s="318"/>
      <c r="AB15928" s="318"/>
      <c r="AC15928" s="318"/>
      <c r="AD15928" s="318"/>
    </row>
    <row r="15929" spans="2:30" s="323" customFormat="1" ht="12" customHeight="1">
      <c r="B15929" s="324"/>
      <c r="C15929" s="325"/>
      <c r="D15929" s="326"/>
      <c r="E15929" s="326"/>
      <c r="F15929" s="326"/>
      <c r="G15929" s="326"/>
      <c r="H15929" s="326"/>
      <c r="P15929" s="318"/>
      <c r="Q15929" s="318"/>
      <c r="R15929" s="318"/>
      <c r="S15929" s="318"/>
      <c r="T15929" s="318"/>
      <c r="U15929" s="318"/>
      <c r="V15929" s="318"/>
      <c r="W15929" s="318"/>
      <c r="X15929" s="318"/>
      <c r="Y15929" s="318"/>
      <c r="Z15929" s="318"/>
      <c r="AA15929" s="318"/>
      <c r="AB15929" s="318"/>
      <c r="AC15929" s="318"/>
      <c r="AD15929" s="318"/>
    </row>
    <row r="15930" spans="2:30" s="323" customFormat="1" ht="12" customHeight="1">
      <c r="B15930" s="324"/>
      <c r="C15930" s="325"/>
      <c r="D15930" s="326"/>
      <c r="E15930" s="326"/>
      <c r="F15930" s="326"/>
      <c r="G15930" s="326"/>
      <c r="H15930" s="326"/>
      <c r="P15930" s="318"/>
      <c r="Q15930" s="318"/>
      <c r="R15930" s="318"/>
      <c r="S15930" s="318"/>
      <c r="T15930" s="318"/>
      <c r="U15930" s="318"/>
      <c r="V15930" s="318"/>
      <c r="W15930" s="318"/>
      <c r="X15930" s="318"/>
      <c r="Y15930" s="318"/>
      <c r="Z15930" s="318"/>
      <c r="AA15930" s="318"/>
      <c r="AB15930" s="318"/>
      <c r="AC15930" s="318"/>
      <c r="AD15930" s="318"/>
    </row>
    <row r="15931" spans="2:30" s="323" customFormat="1" ht="12" customHeight="1">
      <c r="B15931" s="324"/>
      <c r="C15931" s="325"/>
      <c r="D15931" s="326"/>
      <c r="E15931" s="326"/>
      <c r="F15931" s="326"/>
      <c r="G15931" s="326"/>
      <c r="H15931" s="326"/>
      <c r="P15931" s="318"/>
      <c r="Q15931" s="318"/>
      <c r="R15931" s="318"/>
      <c r="S15931" s="318"/>
      <c r="T15931" s="318"/>
      <c r="U15931" s="318"/>
      <c r="V15931" s="318"/>
      <c r="W15931" s="318"/>
      <c r="X15931" s="318"/>
      <c r="Y15931" s="318"/>
      <c r="Z15931" s="318"/>
      <c r="AA15931" s="318"/>
      <c r="AB15931" s="318"/>
      <c r="AC15931" s="318"/>
      <c r="AD15931" s="318"/>
    </row>
    <row r="15932" spans="2:30" s="323" customFormat="1" ht="12" customHeight="1">
      <c r="B15932" s="324"/>
      <c r="C15932" s="325"/>
      <c r="D15932" s="326"/>
      <c r="E15932" s="326"/>
      <c r="F15932" s="326"/>
      <c r="G15932" s="326"/>
      <c r="H15932" s="326"/>
      <c r="P15932" s="318"/>
      <c r="Q15932" s="318"/>
      <c r="R15932" s="318"/>
      <c r="S15932" s="318"/>
      <c r="T15932" s="318"/>
      <c r="U15932" s="318"/>
      <c r="V15932" s="318"/>
      <c r="W15932" s="318"/>
      <c r="X15932" s="318"/>
      <c r="Y15932" s="318"/>
      <c r="Z15932" s="318"/>
      <c r="AA15932" s="318"/>
      <c r="AB15932" s="318"/>
      <c r="AC15932" s="318"/>
      <c r="AD15932" s="318"/>
    </row>
    <row r="15933" spans="2:30" s="323" customFormat="1" ht="12" customHeight="1">
      <c r="B15933" s="324"/>
      <c r="C15933" s="325"/>
      <c r="D15933" s="326"/>
      <c r="E15933" s="326"/>
      <c r="F15933" s="326"/>
      <c r="G15933" s="326"/>
      <c r="H15933" s="326"/>
      <c r="P15933" s="318"/>
      <c r="Q15933" s="318"/>
      <c r="R15933" s="318"/>
      <c r="S15933" s="318"/>
      <c r="T15933" s="318"/>
      <c r="U15933" s="318"/>
      <c r="V15933" s="318"/>
      <c r="W15933" s="318"/>
      <c r="X15933" s="318"/>
      <c r="Y15933" s="318"/>
      <c r="Z15933" s="318"/>
      <c r="AA15933" s="318"/>
      <c r="AB15933" s="318"/>
      <c r="AC15933" s="318"/>
      <c r="AD15933" s="318"/>
    </row>
    <row r="15934" spans="2:30" s="323" customFormat="1" ht="12" customHeight="1">
      <c r="B15934" s="324"/>
      <c r="C15934" s="325"/>
      <c r="D15934" s="326"/>
      <c r="E15934" s="326"/>
      <c r="F15934" s="326"/>
      <c r="G15934" s="326"/>
      <c r="H15934" s="326"/>
      <c r="P15934" s="318"/>
      <c r="Q15934" s="318"/>
      <c r="R15934" s="318"/>
      <c r="S15934" s="318"/>
      <c r="T15934" s="318"/>
      <c r="U15934" s="318"/>
      <c r="V15934" s="318"/>
      <c r="W15934" s="318"/>
      <c r="X15934" s="318"/>
      <c r="Y15934" s="318"/>
      <c r="Z15934" s="318"/>
      <c r="AA15934" s="318"/>
      <c r="AB15934" s="318"/>
      <c r="AC15934" s="318"/>
      <c r="AD15934" s="318"/>
    </row>
    <row r="15935" spans="2:30" s="323" customFormat="1" ht="12" customHeight="1">
      <c r="B15935" s="324"/>
      <c r="C15935" s="325"/>
      <c r="D15935" s="326"/>
      <c r="E15935" s="326"/>
      <c r="F15935" s="326"/>
      <c r="G15935" s="326"/>
      <c r="H15935" s="326"/>
      <c r="P15935" s="318"/>
      <c r="Q15935" s="318"/>
      <c r="R15935" s="318"/>
      <c r="S15935" s="318"/>
      <c r="T15935" s="318"/>
      <c r="U15935" s="318"/>
      <c r="V15935" s="318"/>
      <c r="W15935" s="318"/>
      <c r="X15935" s="318"/>
      <c r="Y15935" s="318"/>
      <c r="Z15935" s="318"/>
      <c r="AA15935" s="318"/>
      <c r="AB15935" s="318"/>
      <c r="AC15935" s="318"/>
      <c r="AD15935" s="318"/>
    </row>
    <row r="15936" spans="2:30" s="323" customFormat="1" ht="12" customHeight="1">
      <c r="B15936" s="324"/>
      <c r="C15936" s="325"/>
      <c r="D15936" s="326"/>
      <c r="E15936" s="326"/>
      <c r="F15936" s="326"/>
      <c r="G15936" s="326"/>
      <c r="H15936" s="326"/>
      <c r="P15936" s="318"/>
      <c r="Q15936" s="318"/>
      <c r="R15936" s="318"/>
      <c r="S15936" s="318"/>
      <c r="T15936" s="318"/>
      <c r="U15936" s="318"/>
      <c r="V15936" s="318"/>
      <c r="W15936" s="318"/>
      <c r="X15936" s="318"/>
      <c r="Y15936" s="318"/>
      <c r="Z15936" s="318"/>
      <c r="AA15936" s="318"/>
      <c r="AB15936" s="318"/>
      <c r="AC15936" s="318"/>
      <c r="AD15936" s="318"/>
    </row>
    <row r="15937" spans="2:30" s="323" customFormat="1" ht="12" customHeight="1">
      <c r="B15937" s="324"/>
      <c r="C15937" s="325"/>
      <c r="D15937" s="326"/>
      <c r="E15937" s="326"/>
      <c r="F15937" s="326"/>
      <c r="G15937" s="326"/>
      <c r="H15937" s="326"/>
      <c r="P15937" s="318"/>
      <c r="Q15937" s="318"/>
      <c r="R15937" s="318"/>
      <c r="S15937" s="318"/>
      <c r="T15937" s="318"/>
      <c r="U15937" s="318"/>
      <c r="V15937" s="318"/>
      <c r="W15937" s="318"/>
      <c r="X15937" s="318"/>
      <c r="Y15937" s="318"/>
      <c r="Z15937" s="318"/>
      <c r="AA15937" s="318"/>
      <c r="AB15937" s="318"/>
      <c r="AC15937" s="318"/>
      <c r="AD15937" s="318"/>
    </row>
    <row r="15938" spans="2:30" s="323" customFormat="1" ht="12" customHeight="1">
      <c r="B15938" s="324"/>
      <c r="C15938" s="325"/>
      <c r="D15938" s="326"/>
      <c r="E15938" s="326"/>
      <c r="F15938" s="326"/>
      <c r="G15938" s="326"/>
      <c r="H15938" s="326"/>
      <c r="P15938" s="318"/>
      <c r="Q15938" s="318"/>
      <c r="R15938" s="318"/>
      <c r="S15938" s="318"/>
      <c r="T15938" s="318"/>
      <c r="U15938" s="318"/>
      <c r="V15938" s="318"/>
      <c r="W15938" s="318"/>
      <c r="X15938" s="318"/>
      <c r="Y15938" s="318"/>
      <c r="Z15938" s="318"/>
      <c r="AA15938" s="318"/>
      <c r="AB15938" s="318"/>
      <c r="AC15938" s="318"/>
      <c r="AD15938" s="318"/>
    </row>
    <row r="15939" spans="2:30" s="323" customFormat="1" ht="12" customHeight="1">
      <c r="B15939" s="324"/>
      <c r="C15939" s="325"/>
      <c r="D15939" s="326"/>
      <c r="E15939" s="326"/>
      <c r="F15939" s="326"/>
      <c r="G15939" s="326"/>
      <c r="H15939" s="326"/>
      <c r="P15939" s="318"/>
      <c r="Q15939" s="318"/>
      <c r="R15939" s="318"/>
      <c r="S15939" s="318"/>
      <c r="T15939" s="318"/>
      <c r="U15939" s="318"/>
      <c r="V15939" s="318"/>
      <c r="W15939" s="318"/>
      <c r="X15939" s="318"/>
      <c r="Y15939" s="318"/>
      <c r="Z15939" s="318"/>
      <c r="AA15939" s="318"/>
      <c r="AB15939" s="318"/>
      <c r="AC15939" s="318"/>
      <c r="AD15939" s="318"/>
    </row>
    <row r="15940" spans="2:30" s="323" customFormat="1" ht="12" customHeight="1">
      <c r="B15940" s="324"/>
      <c r="C15940" s="325"/>
      <c r="D15940" s="326"/>
      <c r="E15940" s="326"/>
      <c r="F15940" s="326"/>
      <c r="G15940" s="326"/>
      <c r="H15940" s="326"/>
      <c r="P15940" s="318"/>
      <c r="Q15940" s="318"/>
      <c r="R15940" s="318"/>
      <c r="S15940" s="318"/>
      <c r="T15940" s="318"/>
      <c r="U15940" s="318"/>
      <c r="V15940" s="318"/>
      <c r="W15940" s="318"/>
      <c r="X15940" s="318"/>
      <c r="Y15940" s="318"/>
      <c r="Z15940" s="318"/>
      <c r="AA15940" s="318"/>
      <c r="AB15940" s="318"/>
      <c r="AC15940" s="318"/>
      <c r="AD15940" s="318"/>
    </row>
    <row r="15941" spans="2:30" s="323" customFormat="1" ht="12" customHeight="1">
      <c r="B15941" s="324"/>
      <c r="C15941" s="325"/>
      <c r="D15941" s="326"/>
      <c r="E15941" s="326"/>
      <c r="F15941" s="326"/>
      <c r="G15941" s="326"/>
      <c r="H15941" s="326"/>
      <c r="P15941" s="318"/>
      <c r="Q15941" s="318"/>
      <c r="R15941" s="318"/>
      <c r="S15941" s="318"/>
      <c r="T15941" s="318"/>
      <c r="U15941" s="318"/>
      <c r="V15941" s="318"/>
      <c r="W15941" s="318"/>
      <c r="X15941" s="318"/>
      <c r="Y15941" s="318"/>
      <c r="Z15941" s="318"/>
      <c r="AA15941" s="318"/>
      <c r="AB15941" s="318"/>
      <c r="AC15941" s="318"/>
      <c r="AD15941" s="318"/>
    </row>
    <row r="15942" spans="2:30" s="323" customFormat="1" ht="12" customHeight="1">
      <c r="B15942" s="324"/>
      <c r="C15942" s="325"/>
      <c r="D15942" s="326"/>
      <c r="E15942" s="326"/>
      <c r="F15942" s="326"/>
      <c r="G15942" s="326"/>
      <c r="H15942" s="326"/>
      <c r="P15942" s="318"/>
      <c r="Q15942" s="318"/>
      <c r="R15942" s="318"/>
      <c r="S15942" s="318"/>
      <c r="T15942" s="318"/>
      <c r="U15942" s="318"/>
      <c r="V15942" s="318"/>
      <c r="W15942" s="318"/>
      <c r="X15942" s="318"/>
      <c r="Y15942" s="318"/>
      <c r="Z15942" s="318"/>
      <c r="AA15942" s="318"/>
      <c r="AB15942" s="318"/>
      <c r="AC15942" s="318"/>
      <c r="AD15942" s="318"/>
    </row>
    <row r="15943" spans="2:30" s="323" customFormat="1" ht="12" customHeight="1">
      <c r="B15943" s="324"/>
      <c r="C15943" s="325"/>
      <c r="D15943" s="326"/>
      <c r="E15943" s="326"/>
      <c r="F15943" s="326"/>
      <c r="G15943" s="326"/>
      <c r="H15943" s="326"/>
      <c r="P15943" s="318"/>
      <c r="Q15943" s="318"/>
      <c r="R15943" s="318"/>
      <c r="S15943" s="318"/>
      <c r="T15943" s="318"/>
      <c r="U15943" s="318"/>
      <c r="V15943" s="318"/>
      <c r="W15943" s="318"/>
      <c r="X15943" s="318"/>
      <c r="Y15943" s="318"/>
      <c r="Z15943" s="318"/>
      <c r="AA15943" s="318"/>
      <c r="AB15943" s="318"/>
      <c r="AC15943" s="318"/>
      <c r="AD15943" s="318"/>
    </row>
    <row r="15944" spans="2:30" s="323" customFormat="1" ht="12" customHeight="1">
      <c r="B15944" s="324"/>
      <c r="C15944" s="325"/>
      <c r="D15944" s="326"/>
      <c r="E15944" s="326"/>
      <c r="F15944" s="326"/>
      <c r="G15944" s="326"/>
      <c r="H15944" s="326"/>
      <c r="P15944" s="318"/>
      <c r="Q15944" s="318"/>
      <c r="R15944" s="318"/>
      <c r="S15944" s="318"/>
      <c r="T15944" s="318"/>
      <c r="U15944" s="318"/>
      <c r="V15944" s="318"/>
      <c r="W15944" s="318"/>
      <c r="X15944" s="318"/>
      <c r="Y15944" s="318"/>
      <c r="Z15944" s="318"/>
      <c r="AA15944" s="318"/>
      <c r="AB15944" s="318"/>
      <c r="AC15944" s="318"/>
      <c r="AD15944" s="318"/>
    </row>
    <row r="15945" spans="2:30" s="323" customFormat="1" ht="12" customHeight="1">
      <c r="B15945" s="324"/>
      <c r="C15945" s="325"/>
      <c r="D15945" s="326"/>
      <c r="E15945" s="326"/>
      <c r="F15945" s="326"/>
      <c r="G15945" s="326"/>
      <c r="H15945" s="326"/>
      <c r="P15945" s="318"/>
      <c r="Q15945" s="318"/>
      <c r="R15945" s="318"/>
      <c r="S15945" s="318"/>
      <c r="T15945" s="318"/>
      <c r="U15945" s="318"/>
      <c r="V15945" s="318"/>
      <c r="W15945" s="318"/>
      <c r="X15945" s="318"/>
      <c r="Y15945" s="318"/>
      <c r="Z15945" s="318"/>
      <c r="AA15945" s="318"/>
      <c r="AB15945" s="318"/>
      <c r="AC15945" s="318"/>
      <c r="AD15945" s="318"/>
    </row>
    <row r="15946" spans="2:30" s="323" customFormat="1" ht="12" customHeight="1">
      <c r="B15946" s="324"/>
      <c r="C15946" s="325"/>
      <c r="D15946" s="326"/>
      <c r="E15946" s="326"/>
      <c r="F15946" s="326"/>
      <c r="G15946" s="326"/>
      <c r="H15946" s="326"/>
      <c r="P15946" s="318"/>
      <c r="Q15946" s="318"/>
      <c r="R15946" s="318"/>
      <c r="S15946" s="318"/>
      <c r="T15946" s="318"/>
      <c r="U15946" s="318"/>
      <c r="V15946" s="318"/>
      <c r="W15946" s="318"/>
      <c r="X15946" s="318"/>
      <c r="Y15946" s="318"/>
      <c r="Z15946" s="318"/>
      <c r="AA15946" s="318"/>
      <c r="AB15946" s="318"/>
      <c r="AC15946" s="318"/>
      <c r="AD15946" s="318"/>
    </row>
    <row r="15947" spans="2:30" s="323" customFormat="1" ht="12" customHeight="1">
      <c r="B15947" s="324"/>
      <c r="C15947" s="325"/>
      <c r="D15947" s="326"/>
      <c r="E15947" s="326"/>
      <c r="F15947" s="326"/>
      <c r="G15947" s="326"/>
      <c r="H15947" s="326"/>
      <c r="P15947" s="318"/>
      <c r="Q15947" s="318"/>
      <c r="R15947" s="318"/>
      <c r="S15947" s="318"/>
      <c r="T15947" s="318"/>
      <c r="U15947" s="318"/>
      <c r="V15947" s="318"/>
      <c r="W15947" s="318"/>
      <c r="X15947" s="318"/>
      <c r="Y15947" s="318"/>
      <c r="Z15947" s="318"/>
      <c r="AA15947" s="318"/>
      <c r="AB15947" s="318"/>
      <c r="AC15947" s="318"/>
      <c r="AD15947" s="318"/>
    </row>
    <row r="15948" spans="2:30" s="323" customFormat="1" ht="12" customHeight="1">
      <c r="B15948" s="324"/>
      <c r="C15948" s="325"/>
      <c r="D15948" s="326"/>
      <c r="E15948" s="326"/>
      <c r="F15948" s="326"/>
      <c r="G15948" s="326"/>
      <c r="H15948" s="326"/>
      <c r="P15948" s="318"/>
      <c r="Q15948" s="318"/>
      <c r="R15948" s="318"/>
      <c r="S15948" s="318"/>
      <c r="T15948" s="318"/>
      <c r="U15948" s="318"/>
      <c r="V15948" s="318"/>
      <c r="W15948" s="318"/>
      <c r="X15948" s="318"/>
      <c r="Y15948" s="318"/>
      <c r="Z15948" s="318"/>
      <c r="AA15948" s="318"/>
      <c r="AB15948" s="318"/>
      <c r="AC15948" s="318"/>
      <c r="AD15948" s="318"/>
    </row>
    <row r="15949" spans="2:30" s="323" customFormat="1" ht="12" customHeight="1">
      <c r="B15949" s="324"/>
      <c r="C15949" s="325"/>
      <c r="D15949" s="326"/>
      <c r="E15949" s="326"/>
      <c r="F15949" s="326"/>
      <c r="G15949" s="326"/>
      <c r="H15949" s="326"/>
      <c r="P15949" s="318"/>
      <c r="Q15949" s="318"/>
      <c r="R15949" s="318"/>
      <c r="S15949" s="318"/>
      <c r="T15949" s="318"/>
      <c r="U15949" s="318"/>
      <c r="V15949" s="318"/>
      <c r="W15949" s="318"/>
      <c r="X15949" s="318"/>
      <c r="Y15949" s="318"/>
      <c r="Z15949" s="318"/>
      <c r="AA15949" s="318"/>
      <c r="AB15949" s="318"/>
      <c r="AC15949" s="318"/>
      <c r="AD15949" s="318"/>
    </row>
    <row r="15950" spans="2:30" s="323" customFormat="1" ht="12" customHeight="1">
      <c r="B15950" s="324"/>
      <c r="C15950" s="325"/>
      <c r="D15950" s="326"/>
      <c r="E15950" s="326"/>
      <c r="F15950" s="326"/>
      <c r="G15950" s="326"/>
      <c r="H15950" s="326"/>
      <c r="P15950" s="318"/>
      <c r="Q15950" s="318"/>
      <c r="R15950" s="318"/>
      <c r="S15950" s="318"/>
      <c r="T15950" s="318"/>
      <c r="U15950" s="318"/>
      <c r="V15950" s="318"/>
      <c r="W15950" s="318"/>
      <c r="X15950" s="318"/>
      <c r="Y15950" s="318"/>
      <c r="Z15950" s="318"/>
      <c r="AA15950" s="318"/>
      <c r="AB15950" s="318"/>
      <c r="AC15950" s="318"/>
      <c r="AD15950" s="318"/>
    </row>
    <row r="15951" spans="2:30" s="323" customFormat="1" ht="12" customHeight="1">
      <c r="B15951" s="324"/>
      <c r="C15951" s="325"/>
      <c r="D15951" s="326"/>
      <c r="E15951" s="326"/>
      <c r="F15951" s="326"/>
      <c r="G15951" s="326"/>
      <c r="H15951" s="326"/>
      <c r="P15951" s="318"/>
      <c r="Q15951" s="318"/>
      <c r="R15951" s="318"/>
      <c r="S15951" s="318"/>
      <c r="T15951" s="318"/>
      <c r="U15951" s="318"/>
      <c r="V15951" s="318"/>
      <c r="W15951" s="318"/>
      <c r="X15951" s="318"/>
      <c r="Y15951" s="318"/>
      <c r="Z15951" s="318"/>
      <c r="AA15951" s="318"/>
      <c r="AB15951" s="318"/>
      <c r="AC15951" s="318"/>
      <c r="AD15951" s="318"/>
    </row>
    <row r="15952" spans="2:30" s="323" customFormat="1" ht="12" customHeight="1">
      <c r="B15952" s="324"/>
      <c r="C15952" s="325"/>
      <c r="D15952" s="326"/>
      <c r="E15952" s="326"/>
      <c r="F15952" s="326"/>
      <c r="G15952" s="326"/>
      <c r="H15952" s="326"/>
      <c r="P15952" s="318"/>
      <c r="Q15952" s="318"/>
      <c r="R15952" s="318"/>
      <c r="S15952" s="318"/>
      <c r="T15952" s="318"/>
      <c r="U15952" s="318"/>
      <c r="V15952" s="318"/>
      <c r="W15952" s="318"/>
      <c r="X15952" s="318"/>
      <c r="Y15952" s="318"/>
      <c r="Z15952" s="318"/>
      <c r="AA15952" s="318"/>
      <c r="AB15952" s="318"/>
      <c r="AC15952" s="318"/>
      <c r="AD15952" s="318"/>
    </row>
    <row r="15953" spans="2:30" s="323" customFormat="1" ht="12" customHeight="1">
      <c r="B15953" s="324"/>
      <c r="C15953" s="325"/>
      <c r="D15953" s="326"/>
      <c r="E15953" s="326"/>
      <c r="F15953" s="326"/>
      <c r="G15953" s="326"/>
      <c r="H15953" s="326"/>
      <c r="P15953" s="318"/>
      <c r="Q15953" s="318"/>
      <c r="R15953" s="318"/>
      <c r="S15953" s="318"/>
      <c r="T15953" s="318"/>
      <c r="U15953" s="318"/>
      <c r="V15953" s="318"/>
      <c r="W15953" s="318"/>
      <c r="X15953" s="318"/>
      <c r="Y15953" s="318"/>
      <c r="Z15953" s="318"/>
      <c r="AA15953" s="318"/>
      <c r="AB15953" s="318"/>
      <c r="AC15953" s="318"/>
      <c r="AD15953" s="318"/>
    </row>
    <row r="15954" spans="2:30" s="323" customFormat="1" ht="12" customHeight="1">
      <c r="B15954" s="324"/>
      <c r="C15954" s="325"/>
      <c r="D15954" s="326"/>
      <c r="E15954" s="326"/>
      <c r="F15954" s="326"/>
      <c r="G15954" s="326"/>
      <c r="H15954" s="326"/>
      <c r="P15954" s="318"/>
      <c r="Q15954" s="318"/>
      <c r="R15954" s="318"/>
      <c r="S15954" s="318"/>
      <c r="T15954" s="318"/>
      <c r="U15954" s="318"/>
      <c r="V15954" s="318"/>
      <c r="W15954" s="318"/>
      <c r="X15954" s="318"/>
      <c r="Y15954" s="318"/>
      <c r="Z15954" s="318"/>
      <c r="AA15954" s="318"/>
      <c r="AB15954" s="318"/>
      <c r="AC15954" s="318"/>
      <c r="AD15954" s="318"/>
    </row>
    <row r="15955" spans="2:30" s="323" customFormat="1" ht="12" customHeight="1">
      <c r="B15955" s="324"/>
      <c r="C15955" s="325"/>
      <c r="D15955" s="326"/>
      <c r="E15955" s="326"/>
      <c r="F15955" s="326"/>
      <c r="G15955" s="326"/>
      <c r="H15955" s="326"/>
      <c r="P15955" s="318"/>
      <c r="Q15955" s="318"/>
      <c r="R15955" s="318"/>
      <c r="S15955" s="318"/>
      <c r="T15955" s="318"/>
      <c r="U15955" s="318"/>
      <c r="V15955" s="318"/>
      <c r="W15955" s="318"/>
      <c r="X15955" s="318"/>
      <c r="Y15955" s="318"/>
      <c r="Z15955" s="318"/>
      <c r="AA15955" s="318"/>
      <c r="AB15955" s="318"/>
      <c r="AC15955" s="318"/>
      <c r="AD15955" s="318"/>
    </row>
    <row r="15956" spans="2:30" s="323" customFormat="1" ht="12" customHeight="1">
      <c r="B15956" s="324"/>
      <c r="C15956" s="325"/>
      <c r="D15956" s="326"/>
      <c r="E15956" s="326"/>
      <c r="F15956" s="326"/>
      <c r="G15956" s="326"/>
      <c r="H15956" s="326"/>
      <c r="P15956" s="318"/>
      <c r="Q15956" s="318"/>
      <c r="R15956" s="318"/>
      <c r="S15956" s="318"/>
      <c r="T15956" s="318"/>
      <c r="U15956" s="318"/>
      <c r="V15956" s="318"/>
      <c r="W15956" s="318"/>
      <c r="X15956" s="318"/>
      <c r="Y15956" s="318"/>
      <c r="Z15956" s="318"/>
      <c r="AA15956" s="318"/>
      <c r="AB15956" s="318"/>
      <c r="AC15956" s="318"/>
      <c r="AD15956" s="318"/>
    </row>
    <row r="15957" spans="2:30" s="323" customFormat="1" ht="12" customHeight="1">
      <c r="B15957" s="324"/>
      <c r="C15957" s="325"/>
      <c r="D15957" s="326"/>
      <c r="E15957" s="326"/>
      <c r="F15957" s="326"/>
      <c r="G15957" s="326"/>
      <c r="H15957" s="326"/>
      <c r="P15957" s="318"/>
      <c r="Q15957" s="318"/>
      <c r="R15957" s="318"/>
      <c r="S15957" s="318"/>
      <c r="T15957" s="318"/>
      <c r="U15957" s="318"/>
      <c r="V15957" s="318"/>
      <c r="W15957" s="318"/>
      <c r="X15957" s="318"/>
      <c r="Y15957" s="318"/>
      <c r="Z15957" s="318"/>
      <c r="AA15957" s="318"/>
      <c r="AB15957" s="318"/>
      <c r="AC15957" s="318"/>
      <c r="AD15957" s="318"/>
    </row>
    <row r="15958" spans="2:30" s="323" customFormat="1" ht="12" customHeight="1">
      <c r="B15958" s="324"/>
      <c r="C15958" s="325"/>
      <c r="D15958" s="326"/>
      <c r="E15958" s="326"/>
      <c r="F15958" s="326"/>
      <c r="G15958" s="326"/>
      <c r="H15958" s="326"/>
      <c r="P15958" s="318"/>
      <c r="Q15958" s="318"/>
      <c r="R15958" s="318"/>
      <c r="S15958" s="318"/>
      <c r="T15958" s="318"/>
      <c r="U15958" s="318"/>
      <c r="V15958" s="318"/>
      <c r="W15958" s="318"/>
      <c r="X15958" s="318"/>
      <c r="Y15958" s="318"/>
      <c r="Z15958" s="318"/>
      <c r="AA15958" s="318"/>
      <c r="AB15958" s="318"/>
      <c r="AC15958" s="318"/>
      <c r="AD15958" s="318"/>
    </row>
    <row r="15959" spans="2:30" s="323" customFormat="1" ht="12" customHeight="1">
      <c r="B15959" s="324"/>
      <c r="C15959" s="325"/>
      <c r="D15959" s="326"/>
      <c r="E15959" s="326"/>
      <c r="F15959" s="326"/>
      <c r="G15959" s="326"/>
      <c r="H15959" s="326"/>
      <c r="P15959" s="318"/>
      <c r="Q15959" s="318"/>
      <c r="R15959" s="318"/>
      <c r="S15959" s="318"/>
      <c r="T15959" s="318"/>
      <c r="U15959" s="318"/>
      <c r="V15959" s="318"/>
      <c r="W15959" s="318"/>
      <c r="X15959" s="318"/>
      <c r="Y15959" s="318"/>
      <c r="Z15959" s="318"/>
      <c r="AA15959" s="318"/>
      <c r="AB15959" s="318"/>
      <c r="AC15959" s="318"/>
      <c r="AD15959" s="318"/>
    </row>
    <row r="15960" spans="2:30" s="323" customFormat="1" ht="12" customHeight="1">
      <c r="B15960" s="324"/>
      <c r="C15960" s="325"/>
      <c r="D15960" s="326"/>
      <c r="E15960" s="326"/>
      <c r="F15960" s="326"/>
      <c r="G15960" s="326"/>
      <c r="H15960" s="326"/>
      <c r="P15960" s="318"/>
      <c r="Q15960" s="318"/>
      <c r="R15960" s="318"/>
      <c r="S15960" s="318"/>
      <c r="T15960" s="318"/>
      <c r="U15960" s="318"/>
      <c r="V15960" s="318"/>
      <c r="W15960" s="318"/>
      <c r="X15960" s="318"/>
      <c r="Y15960" s="318"/>
      <c r="Z15960" s="318"/>
      <c r="AA15960" s="318"/>
      <c r="AB15960" s="318"/>
      <c r="AC15960" s="318"/>
      <c r="AD15960" s="318"/>
    </row>
    <row r="15961" spans="2:30" s="323" customFormat="1" ht="12" customHeight="1">
      <c r="B15961" s="324"/>
      <c r="C15961" s="325"/>
      <c r="D15961" s="326"/>
      <c r="E15961" s="326"/>
      <c r="F15961" s="326"/>
      <c r="G15961" s="326"/>
      <c r="H15961" s="326"/>
      <c r="P15961" s="318"/>
      <c r="Q15961" s="318"/>
      <c r="R15961" s="318"/>
      <c r="S15961" s="318"/>
      <c r="T15961" s="318"/>
      <c r="U15961" s="318"/>
      <c r="V15961" s="318"/>
      <c r="W15961" s="318"/>
      <c r="X15961" s="318"/>
      <c r="Y15961" s="318"/>
      <c r="Z15961" s="318"/>
      <c r="AA15961" s="318"/>
      <c r="AB15961" s="318"/>
      <c r="AC15961" s="318"/>
      <c r="AD15961" s="318"/>
    </row>
    <row r="15962" spans="2:30" s="323" customFormat="1" ht="12" customHeight="1">
      <c r="B15962" s="324"/>
      <c r="C15962" s="325"/>
      <c r="D15962" s="326"/>
      <c r="E15962" s="326"/>
      <c r="F15962" s="326"/>
      <c r="G15962" s="326"/>
      <c r="H15962" s="326"/>
      <c r="P15962" s="318"/>
      <c r="Q15962" s="318"/>
      <c r="R15962" s="318"/>
      <c r="S15962" s="318"/>
      <c r="T15962" s="318"/>
      <c r="U15962" s="318"/>
      <c r="V15962" s="318"/>
      <c r="W15962" s="318"/>
      <c r="X15962" s="318"/>
      <c r="Y15962" s="318"/>
      <c r="Z15962" s="318"/>
      <c r="AA15962" s="318"/>
      <c r="AB15962" s="318"/>
      <c r="AC15962" s="318"/>
      <c r="AD15962" s="318"/>
    </row>
    <row r="15963" spans="2:30" s="323" customFormat="1" ht="12" customHeight="1">
      <c r="B15963" s="324"/>
      <c r="C15963" s="325"/>
      <c r="D15963" s="326"/>
      <c r="E15963" s="326"/>
      <c r="F15963" s="326"/>
      <c r="G15963" s="326"/>
      <c r="H15963" s="326"/>
      <c r="P15963" s="318"/>
      <c r="Q15963" s="318"/>
      <c r="R15963" s="318"/>
      <c r="S15963" s="318"/>
      <c r="T15963" s="318"/>
      <c r="U15963" s="318"/>
      <c r="V15963" s="318"/>
      <c r="W15963" s="318"/>
      <c r="X15963" s="318"/>
      <c r="Y15963" s="318"/>
      <c r="Z15963" s="318"/>
      <c r="AA15963" s="318"/>
      <c r="AB15963" s="318"/>
      <c r="AC15963" s="318"/>
      <c r="AD15963" s="318"/>
    </row>
    <row r="15964" spans="2:30" s="323" customFormat="1" ht="12" customHeight="1">
      <c r="B15964" s="324"/>
      <c r="C15964" s="325"/>
      <c r="D15964" s="326"/>
      <c r="E15964" s="326"/>
      <c r="F15964" s="326"/>
      <c r="G15964" s="326"/>
      <c r="H15964" s="326"/>
      <c r="P15964" s="318"/>
      <c r="Q15964" s="318"/>
      <c r="R15964" s="318"/>
      <c r="S15964" s="318"/>
      <c r="T15964" s="318"/>
      <c r="U15964" s="318"/>
      <c r="V15964" s="318"/>
      <c r="W15964" s="318"/>
      <c r="X15964" s="318"/>
      <c r="Y15964" s="318"/>
      <c r="Z15964" s="318"/>
      <c r="AA15964" s="318"/>
      <c r="AB15964" s="318"/>
      <c r="AC15964" s="318"/>
      <c r="AD15964" s="318"/>
    </row>
    <row r="15965" spans="2:30" s="323" customFormat="1" ht="12" customHeight="1">
      <c r="B15965" s="324"/>
      <c r="C15965" s="325"/>
      <c r="D15965" s="326"/>
      <c r="E15965" s="326"/>
      <c r="F15965" s="326"/>
      <c r="G15965" s="326"/>
      <c r="H15965" s="326"/>
      <c r="P15965" s="318"/>
      <c r="Q15965" s="318"/>
      <c r="R15965" s="318"/>
      <c r="S15965" s="318"/>
      <c r="T15965" s="318"/>
      <c r="U15965" s="318"/>
      <c r="V15965" s="318"/>
      <c r="W15965" s="318"/>
      <c r="X15965" s="318"/>
      <c r="Y15965" s="318"/>
      <c r="Z15965" s="318"/>
      <c r="AA15965" s="318"/>
      <c r="AB15965" s="318"/>
      <c r="AC15965" s="318"/>
      <c r="AD15965" s="318"/>
    </row>
    <row r="15966" spans="2:30" s="323" customFormat="1" ht="12" customHeight="1">
      <c r="B15966" s="324"/>
      <c r="C15966" s="325"/>
      <c r="D15966" s="326"/>
      <c r="E15966" s="326"/>
      <c r="F15966" s="326"/>
      <c r="G15966" s="326"/>
      <c r="H15966" s="326"/>
      <c r="P15966" s="318"/>
      <c r="Q15966" s="318"/>
      <c r="R15966" s="318"/>
      <c r="S15966" s="318"/>
      <c r="T15966" s="318"/>
      <c r="U15966" s="318"/>
      <c r="V15966" s="318"/>
      <c r="W15966" s="318"/>
      <c r="X15966" s="318"/>
      <c r="Y15966" s="318"/>
      <c r="Z15966" s="318"/>
      <c r="AA15966" s="318"/>
      <c r="AB15966" s="318"/>
      <c r="AC15966" s="318"/>
      <c r="AD15966" s="318"/>
    </row>
    <row r="15967" spans="2:30" s="323" customFormat="1" ht="12" customHeight="1">
      <c r="B15967" s="324"/>
      <c r="C15967" s="325"/>
      <c r="D15967" s="326"/>
      <c r="E15967" s="326"/>
      <c r="F15967" s="326"/>
      <c r="G15967" s="326"/>
      <c r="H15967" s="326"/>
      <c r="P15967" s="318"/>
      <c r="Q15967" s="318"/>
      <c r="R15967" s="318"/>
      <c r="S15967" s="318"/>
      <c r="T15967" s="318"/>
      <c r="U15967" s="318"/>
      <c r="V15967" s="318"/>
      <c r="W15967" s="318"/>
      <c r="X15967" s="318"/>
      <c r="Y15967" s="318"/>
      <c r="Z15967" s="318"/>
      <c r="AA15967" s="318"/>
      <c r="AB15967" s="318"/>
      <c r="AC15967" s="318"/>
      <c r="AD15967" s="318"/>
    </row>
    <row r="15968" spans="2:30" s="323" customFormat="1" ht="12" customHeight="1">
      <c r="B15968" s="324"/>
      <c r="C15968" s="325"/>
      <c r="D15968" s="326"/>
      <c r="E15968" s="326"/>
      <c r="F15968" s="326"/>
      <c r="G15968" s="326"/>
      <c r="H15968" s="326"/>
      <c r="P15968" s="318"/>
      <c r="Q15968" s="318"/>
      <c r="R15968" s="318"/>
      <c r="S15968" s="318"/>
      <c r="T15968" s="318"/>
      <c r="U15968" s="318"/>
      <c r="V15968" s="318"/>
      <c r="W15968" s="318"/>
      <c r="X15968" s="318"/>
      <c r="Y15968" s="318"/>
      <c r="Z15968" s="318"/>
      <c r="AA15968" s="318"/>
      <c r="AB15968" s="318"/>
      <c r="AC15968" s="318"/>
      <c r="AD15968" s="318"/>
    </row>
    <row r="15969" spans="2:30" s="323" customFormat="1" ht="12" customHeight="1">
      <c r="B15969" s="324"/>
      <c r="C15969" s="325"/>
      <c r="D15969" s="326"/>
      <c r="E15969" s="326"/>
      <c r="F15969" s="326"/>
      <c r="G15969" s="326"/>
      <c r="H15969" s="326"/>
      <c r="P15969" s="318"/>
      <c r="Q15969" s="318"/>
      <c r="R15969" s="318"/>
      <c r="S15969" s="318"/>
      <c r="T15969" s="318"/>
      <c r="U15969" s="318"/>
      <c r="V15969" s="318"/>
      <c r="W15969" s="318"/>
      <c r="X15969" s="318"/>
      <c r="Y15969" s="318"/>
      <c r="Z15969" s="318"/>
      <c r="AA15969" s="318"/>
      <c r="AB15969" s="318"/>
      <c r="AC15969" s="318"/>
      <c r="AD15969" s="318"/>
    </row>
    <row r="15970" spans="2:30" s="323" customFormat="1" ht="12" customHeight="1">
      <c r="B15970" s="324"/>
      <c r="C15970" s="325"/>
      <c r="D15970" s="326"/>
      <c r="E15970" s="326"/>
      <c r="F15970" s="326"/>
      <c r="G15970" s="326"/>
      <c r="H15970" s="326"/>
      <c r="P15970" s="318"/>
      <c r="Q15970" s="318"/>
      <c r="R15970" s="318"/>
      <c r="S15970" s="318"/>
      <c r="T15970" s="318"/>
      <c r="U15970" s="318"/>
      <c r="V15970" s="318"/>
      <c r="W15970" s="318"/>
      <c r="X15970" s="318"/>
      <c r="Y15970" s="318"/>
      <c r="Z15970" s="318"/>
      <c r="AA15970" s="318"/>
      <c r="AB15970" s="318"/>
      <c r="AC15970" s="318"/>
      <c r="AD15970" s="318"/>
    </row>
    <row r="15971" spans="2:30" s="323" customFormat="1" ht="12" customHeight="1">
      <c r="B15971" s="324"/>
      <c r="C15971" s="325"/>
      <c r="D15971" s="326"/>
      <c r="E15971" s="326"/>
      <c r="F15971" s="326"/>
      <c r="G15971" s="326"/>
      <c r="H15971" s="326"/>
      <c r="P15971" s="318"/>
      <c r="Q15971" s="318"/>
      <c r="R15971" s="318"/>
      <c r="S15971" s="318"/>
      <c r="T15971" s="318"/>
      <c r="U15971" s="318"/>
      <c r="V15971" s="318"/>
      <c r="W15971" s="318"/>
      <c r="X15971" s="318"/>
      <c r="Y15971" s="318"/>
      <c r="Z15971" s="318"/>
      <c r="AA15971" s="318"/>
      <c r="AB15971" s="318"/>
      <c r="AC15971" s="318"/>
      <c r="AD15971" s="318"/>
    </row>
    <row r="15972" spans="2:30" s="323" customFormat="1" ht="12" customHeight="1">
      <c r="B15972" s="324"/>
      <c r="C15972" s="325"/>
      <c r="D15972" s="326"/>
      <c r="E15972" s="326"/>
      <c r="F15972" s="326"/>
      <c r="G15972" s="326"/>
      <c r="H15972" s="326"/>
      <c r="P15972" s="318"/>
      <c r="Q15972" s="318"/>
      <c r="R15972" s="318"/>
      <c r="S15972" s="318"/>
      <c r="T15972" s="318"/>
      <c r="U15972" s="318"/>
      <c r="V15972" s="318"/>
      <c r="W15972" s="318"/>
      <c r="X15972" s="318"/>
      <c r="Y15972" s="318"/>
      <c r="Z15972" s="318"/>
      <c r="AA15972" s="318"/>
      <c r="AB15972" s="318"/>
      <c r="AC15972" s="318"/>
      <c r="AD15972" s="318"/>
    </row>
    <row r="15973" spans="2:30" s="323" customFormat="1" ht="12" customHeight="1">
      <c r="B15973" s="324"/>
      <c r="C15973" s="325"/>
      <c r="D15973" s="326"/>
      <c r="E15973" s="326"/>
      <c r="F15973" s="326"/>
      <c r="G15973" s="326"/>
      <c r="H15973" s="326"/>
      <c r="P15973" s="318"/>
      <c r="Q15973" s="318"/>
      <c r="R15973" s="318"/>
      <c r="S15973" s="318"/>
      <c r="T15973" s="318"/>
      <c r="U15973" s="318"/>
      <c r="V15973" s="318"/>
      <c r="W15973" s="318"/>
      <c r="X15973" s="318"/>
      <c r="Y15973" s="318"/>
      <c r="Z15973" s="318"/>
      <c r="AA15973" s="318"/>
      <c r="AB15973" s="318"/>
      <c r="AC15973" s="318"/>
      <c r="AD15973" s="318"/>
    </row>
    <row r="15974" spans="2:30" s="323" customFormat="1" ht="12" customHeight="1">
      <c r="B15974" s="324"/>
      <c r="C15974" s="325"/>
      <c r="D15974" s="326"/>
      <c r="E15974" s="326"/>
      <c r="F15974" s="326"/>
      <c r="G15974" s="326"/>
      <c r="H15974" s="326"/>
      <c r="P15974" s="318"/>
      <c r="Q15974" s="318"/>
      <c r="R15974" s="318"/>
      <c r="S15974" s="318"/>
      <c r="T15974" s="318"/>
      <c r="U15974" s="318"/>
      <c r="V15974" s="318"/>
      <c r="W15974" s="318"/>
      <c r="X15974" s="318"/>
      <c r="Y15974" s="318"/>
      <c r="Z15974" s="318"/>
      <c r="AA15974" s="318"/>
      <c r="AB15974" s="318"/>
      <c r="AC15974" s="318"/>
      <c r="AD15974" s="318"/>
    </row>
    <row r="15975" spans="2:30" s="323" customFormat="1" ht="12" customHeight="1">
      <c r="B15975" s="324"/>
      <c r="C15975" s="325"/>
      <c r="D15975" s="326"/>
      <c r="E15975" s="326"/>
      <c r="F15975" s="326"/>
      <c r="G15975" s="326"/>
      <c r="H15975" s="326"/>
      <c r="P15975" s="318"/>
      <c r="Q15975" s="318"/>
      <c r="R15975" s="318"/>
      <c r="S15975" s="318"/>
      <c r="T15975" s="318"/>
      <c r="U15975" s="318"/>
      <c r="V15975" s="318"/>
      <c r="W15975" s="318"/>
      <c r="X15975" s="318"/>
      <c r="Y15975" s="318"/>
      <c r="Z15975" s="318"/>
      <c r="AA15975" s="318"/>
      <c r="AB15975" s="318"/>
      <c r="AC15975" s="318"/>
      <c r="AD15975" s="318"/>
    </row>
    <row r="15976" spans="2:30" s="323" customFormat="1" ht="12" customHeight="1">
      <c r="B15976" s="324"/>
      <c r="C15976" s="325"/>
      <c r="D15976" s="326"/>
      <c r="E15976" s="326"/>
      <c r="F15976" s="326"/>
      <c r="G15976" s="326"/>
      <c r="H15976" s="326"/>
      <c r="P15976" s="318"/>
      <c r="Q15976" s="318"/>
      <c r="R15976" s="318"/>
      <c r="S15976" s="318"/>
      <c r="T15976" s="318"/>
      <c r="U15976" s="318"/>
      <c r="V15976" s="318"/>
      <c r="W15976" s="318"/>
      <c r="X15976" s="318"/>
      <c r="Y15976" s="318"/>
      <c r="Z15976" s="318"/>
      <c r="AA15976" s="318"/>
      <c r="AB15976" s="318"/>
      <c r="AC15976" s="318"/>
      <c r="AD15976" s="318"/>
    </row>
    <row r="15977" spans="2:30" s="323" customFormat="1" ht="12" customHeight="1">
      <c r="B15977" s="324"/>
      <c r="C15977" s="325"/>
      <c r="D15977" s="326"/>
      <c r="E15977" s="326"/>
      <c r="F15977" s="326"/>
      <c r="G15977" s="326"/>
      <c r="H15977" s="326"/>
      <c r="P15977" s="318"/>
      <c r="Q15977" s="318"/>
      <c r="R15977" s="318"/>
      <c r="S15977" s="318"/>
      <c r="T15977" s="318"/>
      <c r="U15977" s="318"/>
      <c r="V15977" s="318"/>
      <c r="W15977" s="318"/>
      <c r="X15977" s="318"/>
      <c r="Y15977" s="318"/>
      <c r="Z15977" s="318"/>
      <c r="AA15977" s="318"/>
      <c r="AB15977" s="318"/>
      <c r="AC15977" s="318"/>
      <c r="AD15977" s="318"/>
    </row>
    <row r="15978" spans="2:30" s="323" customFormat="1" ht="12" customHeight="1">
      <c r="B15978" s="324"/>
      <c r="C15978" s="325"/>
      <c r="D15978" s="326"/>
      <c r="E15978" s="326"/>
      <c r="F15978" s="326"/>
      <c r="G15978" s="326"/>
      <c r="H15978" s="326"/>
      <c r="P15978" s="318"/>
      <c r="Q15978" s="318"/>
      <c r="R15978" s="318"/>
      <c r="S15978" s="318"/>
      <c r="T15978" s="318"/>
      <c r="U15978" s="318"/>
      <c r="V15978" s="318"/>
      <c r="W15978" s="318"/>
      <c r="X15978" s="318"/>
      <c r="Y15978" s="318"/>
      <c r="Z15978" s="318"/>
      <c r="AA15978" s="318"/>
      <c r="AB15978" s="318"/>
      <c r="AC15978" s="318"/>
      <c r="AD15978" s="318"/>
    </row>
    <row r="15979" spans="2:30" s="323" customFormat="1" ht="12" customHeight="1">
      <c r="B15979" s="324"/>
      <c r="C15979" s="325"/>
      <c r="D15979" s="326"/>
      <c r="E15979" s="326"/>
      <c r="F15979" s="326"/>
      <c r="G15979" s="326"/>
      <c r="H15979" s="326"/>
      <c r="P15979" s="318"/>
      <c r="Q15979" s="318"/>
      <c r="R15979" s="318"/>
      <c r="S15979" s="318"/>
      <c r="T15979" s="318"/>
      <c r="U15979" s="318"/>
      <c r="V15979" s="318"/>
      <c r="W15979" s="318"/>
      <c r="X15979" s="318"/>
      <c r="Y15979" s="318"/>
      <c r="Z15979" s="318"/>
      <c r="AA15979" s="318"/>
      <c r="AB15979" s="318"/>
      <c r="AC15979" s="318"/>
      <c r="AD15979" s="318"/>
    </row>
    <row r="15980" spans="2:30" s="323" customFormat="1" ht="12" customHeight="1">
      <c r="B15980" s="324"/>
      <c r="C15980" s="325"/>
      <c r="D15980" s="326"/>
      <c r="E15980" s="326"/>
      <c r="F15980" s="326"/>
      <c r="G15980" s="326"/>
      <c r="H15980" s="326"/>
      <c r="P15980" s="318"/>
      <c r="Q15980" s="318"/>
      <c r="R15980" s="318"/>
      <c r="S15980" s="318"/>
      <c r="T15980" s="318"/>
      <c r="U15980" s="318"/>
      <c r="V15980" s="318"/>
      <c r="W15980" s="318"/>
      <c r="X15980" s="318"/>
      <c r="Y15980" s="318"/>
      <c r="Z15980" s="318"/>
      <c r="AA15980" s="318"/>
      <c r="AB15980" s="318"/>
      <c r="AC15980" s="318"/>
      <c r="AD15980" s="318"/>
    </row>
    <row r="15981" spans="2:30" s="323" customFormat="1" ht="12" customHeight="1">
      <c r="B15981" s="324"/>
      <c r="C15981" s="325"/>
      <c r="D15981" s="326"/>
      <c r="E15981" s="326"/>
      <c r="F15981" s="326"/>
      <c r="G15981" s="326"/>
      <c r="H15981" s="326"/>
      <c r="P15981" s="318"/>
      <c r="Q15981" s="318"/>
      <c r="R15981" s="318"/>
      <c r="S15981" s="318"/>
      <c r="T15981" s="318"/>
      <c r="U15981" s="318"/>
      <c r="V15981" s="318"/>
      <c r="W15981" s="318"/>
      <c r="X15981" s="318"/>
      <c r="Y15981" s="318"/>
      <c r="Z15981" s="318"/>
      <c r="AA15981" s="318"/>
      <c r="AB15981" s="318"/>
      <c r="AC15981" s="318"/>
      <c r="AD15981" s="318"/>
    </row>
    <row r="15982" spans="2:30" s="323" customFormat="1" ht="12" customHeight="1">
      <c r="B15982" s="324"/>
      <c r="C15982" s="325"/>
      <c r="D15982" s="326"/>
      <c r="E15982" s="326"/>
      <c r="F15982" s="326"/>
      <c r="G15982" s="326"/>
      <c r="H15982" s="326"/>
      <c r="P15982" s="318"/>
      <c r="Q15982" s="318"/>
      <c r="R15982" s="318"/>
      <c r="S15982" s="318"/>
      <c r="T15982" s="318"/>
      <c r="U15982" s="318"/>
      <c r="V15982" s="318"/>
      <c r="W15982" s="318"/>
      <c r="X15982" s="318"/>
      <c r="Y15982" s="318"/>
      <c r="Z15982" s="318"/>
      <c r="AA15982" s="318"/>
      <c r="AB15982" s="318"/>
      <c r="AC15982" s="318"/>
      <c r="AD15982" s="318"/>
    </row>
    <row r="15983" spans="2:30" s="323" customFormat="1" ht="12" customHeight="1">
      <c r="B15983" s="324"/>
      <c r="C15983" s="325"/>
      <c r="D15983" s="326"/>
      <c r="E15983" s="326"/>
      <c r="F15983" s="326"/>
      <c r="G15983" s="326"/>
      <c r="H15983" s="326"/>
      <c r="P15983" s="318"/>
      <c r="Q15983" s="318"/>
      <c r="R15983" s="318"/>
      <c r="S15983" s="318"/>
      <c r="T15983" s="318"/>
      <c r="U15983" s="318"/>
      <c r="V15983" s="318"/>
      <c r="W15983" s="318"/>
      <c r="X15983" s="318"/>
      <c r="Y15983" s="318"/>
      <c r="Z15983" s="318"/>
      <c r="AA15983" s="318"/>
      <c r="AB15983" s="318"/>
      <c r="AC15983" s="318"/>
      <c r="AD15983" s="318"/>
    </row>
    <row r="15984" spans="2:30" s="323" customFormat="1" ht="12" customHeight="1">
      <c r="B15984" s="324"/>
      <c r="C15984" s="325"/>
      <c r="D15984" s="326"/>
      <c r="E15984" s="326"/>
      <c r="F15984" s="326"/>
      <c r="G15984" s="326"/>
      <c r="H15984" s="326"/>
      <c r="P15984" s="318"/>
      <c r="Q15984" s="318"/>
      <c r="R15984" s="318"/>
      <c r="S15984" s="318"/>
      <c r="T15984" s="318"/>
      <c r="U15984" s="318"/>
      <c r="V15984" s="318"/>
      <c r="W15984" s="318"/>
      <c r="X15984" s="318"/>
      <c r="Y15984" s="318"/>
      <c r="Z15984" s="318"/>
      <c r="AA15984" s="318"/>
      <c r="AB15984" s="318"/>
      <c r="AC15984" s="318"/>
      <c r="AD15984" s="318"/>
    </row>
    <row r="15985" spans="2:30" s="323" customFormat="1" ht="12" customHeight="1">
      <c r="B15985" s="324"/>
      <c r="C15985" s="325"/>
      <c r="D15985" s="326"/>
      <c r="E15985" s="326"/>
      <c r="F15985" s="326"/>
      <c r="G15985" s="326"/>
      <c r="H15985" s="326"/>
      <c r="P15985" s="318"/>
      <c r="Q15985" s="318"/>
      <c r="R15985" s="318"/>
      <c r="S15985" s="318"/>
      <c r="T15985" s="318"/>
      <c r="U15985" s="318"/>
      <c r="V15985" s="318"/>
      <c r="W15985" s="318"/>
      <c r="X15985" s="318"/>
      <c r="Y15985" s="318"/>
      <c r="Z15985" s="318"/>
      <c r="AA15985" s="318"/>
      <c r="AB15985" s="318"/>
      <c r="AC15985" s="318"/>
      <c r="AD15985" s="318"/>
    </row>
    <row r="15986" spans="2:30" s="323" customFormat="1" ht="12" customHeight="1">
      <c r="B15986" s="324"/>
      <c r="C15986" s="325"/>
      <c r="D15986" s="326"/>
      <c r="E15986" s="326"/>
      <c r="F15986" s="326"/>
      <c r="G15986" s="326"/>
      <c r="H15986" s="326"/>
      <c r="P15986" s="318"/>
      <c r="Q15986" s="318"/>
      <c r="R15986" s="318"/>
      <c r="S15986" s="318"/>
      <c r="T15986" s="318"/>
      <c r="U15986" s="318"/>
      <c r="V15986" s="318"/>
      <c r="W15986" s="318"/>
      <c r="X15986" s="318"/>
      <c r="Y15986" s="318"/>
      <c r="Z15986" s="318"/>
      <c r="AA15986" s="318"/>
      <c r="AB15986" s="318"/>
      <c r="AC15986" s="318"/>
      <c r="AD15986" s="318"/>
    </row>
    <row r="15987" spans="2:30" s="323" customFormat="1" ht="12" customHeight="1">
      <c r="B15987" s="324"/>
      <c r="C15987" s="325"/>
      <c r="D15987" s="326"/>
      <c r="E15987" s="326"/>
      <c r="F15987" s="326"/>
      <c r="G15987" s="326"/>
      <c r="H15987" s="326"/>
      <c r="P15987" s="318"/>
      <c r="Q15987" s="318"/>
      <c r="R15987" s="318"/>
      <c r="S15987" s="318"/>
      <c r="T15987" s="318"/>
      <c r="U15987" s="318"/>
      <c r="V15987" s="318"/>
      <c r="W15987" s="318"/>
      <c r="X15987" s="318"/>
      <c r="Y15987" s="318"/>
      <c r="Z15987" s="318"/>
      <c r="AA15987" s="318"/>
      <c r="AB15987" s="318"/>
      <c r="AC15987" s="318"/>
      <c r="AD15987" s="318"/>
    </row>
    <row r="15988" spans="2:30" s="323" customFormat="1" ht="12" customHeight="1">
      <c r="B15988" s="324"/>
      <c r="C15988" s="325"/>
      <c r="D15988" s="326"/>
      <c r="E15988" s="326"/>
      <c r="F15988" s="326"/>
      <c r="G15988" s="326"/>
      <c r="H15988" s="326"/>
      <c r="P15988" s="318"/>
      <c r="Q15988" s="318"/>
      <c r="R15988" s="318"/>
      <c r="S15988" s="318"/>
      <c r="T15988" s="318"/>
      <c r="U15988" s="318"/>
      <c r="V15988" s="318"/>
      <c r="W15988" s="318"/>
      <c r="X15988" s="318"/>
      <c r="Y15988" s="318"/>
      <c r="Z15988" s="318"/>
      <c r="AA15988" s="318"/>
      <c r="AB15988" s="318"/>
      <c r="AC15988" s="318"/>
      <c r="AD15988" s="318"/>
    </row>
    <row r="15989" spans="2:30" s="323" customFormat="1" ht="12" customHeight="1">
      <c r="B15989" s="324"/>
      <c r="C15989" s="325"/>
      <c r="D15989" s="326"/>
      <c r="E15989" s="326"/>
      <c r="F15989" s="326"/>
      <c r="G15989" s="326"/>
      <c r="H15989" s="326"/>
      <c r="P15989" s="318"/>
      <c r="Q15989" s="318"/>
      <c r="R15989" s="318"/>
      <c r="S15989" s="318"/>
      <c r="T15989" s="318"/>
      <c r="U15989" s="318"/>
      <c r="V15989" s="318"/>
      <c r="W15989" s="318"/>
      <c r="X15989" s="318"/>
      <c r="Y15989" s="318"/>
      <c r="Z15989" s="318"/>
      <c r="AA15989" s="318"/>
      <c r="AB15989" s="318"/>
      <c r="AC15989" s="318"/>
      <c r="AD15989" s="318"/>
    </row>
    <row r="15990" spans="2:30" s="323" customFormat="1" ht="12" customHeight="1">
      <c r="B15990" s="324"/>
      <c r="C15990" s="325"/>
      <c r="D15990" s="326"/>
      <c r="E15990" s="326"/>
      <c r="F15990" s="326"/>
      <c r="G15990" s="326"/>
      <c r="H15990" s="326"/>
      <c r="P15990" s="318"/>
      <c r="Q15990" s="318"/>
      <c r="R15990" s="318"/>
      <c r="S15990" s="318"/>
      <c r="T15990" s="318"/>
      <c r="U15990" s="318"/>
      <c r="V15990" s="318"/>
      <c r="W15990" s="318"/>
      <c r="X15990" s="318"/>
      <c r="Y15990" s="318"/>
      <c r="Z15990" s="318"/>
      <c r="AA15990" s="318"/>
      <c r="AB15990" s="318"/>
      <c r="AC15990" s="318"/>
      <c r="AD15990" s="318"/>
    </row>
    <row r="15991" spans="2:30" s="323" customFormat="1" ht="12" customHeight="1">
      <c r="B15991" s="324"/>
      <c r="C15991" s="325"/>
      <c r="D15991" s="326"/>
      <c r="E15991" s="326"/>
      <c r="F15991" s="326"/>
      <c r="G15991" s="326"/>
      <c r="H15991" s="326"/>
      <c r="P15991" s="318"/>
      <c r="Q15991" s="318"/>
      <c r="R15991" s="318"/>
      <c r="S15991" s="318"/>
      <c r="T15991" s="318"/>
      <c r="U15991" s="318"/>
      <c r="V15991" s="318"/>
      <c r="W15991" s="318"/>
      <c r="X15991" s="318"/>
      <c r="Y15991" s="318"/>
      <c r="Z15991" s="318"/>
      <c r="AA15991" s="318"/>
      <c r="AB15991" s="318"/>
      <c r="AC15991" s="318"/>
      <c r="AD15991" s="318"/>
    </row>
    <row r="15992" spans="2:30" s="323" customFormat="1" ht="12" customHeight="1">
      <c r="B15992" s="324"/>
      <c r="C15992" s="325"/>
      <c r="D15992" s="326"/>
      <c r="E15992" s="326"/>
      <c r="F15992" s="326"/>
      <c r="G15992" s="326"/>
      <c r="H15992" s="326"/>
      <c r="P15992" s="318"/>
      <c r="Q15992" s="318"/>
      <c r="R15992" s="318"/>
      <c r="S15992" s="318"/>
      <c r="T15992" s="318"/>
      <c r="U15992" s="318"/>
      <c r="V15992" s="318"/>
      <c r="W15992" s="318"/>
      <c r="X15992" s="318"/>
      <c r="Y15992" s="318"/>
      <c r="Z15992" s="318"/>
      <c r="AA15992" s="318"/>
      <c r="AB15992" s="318"/>
      <c r="AC15992" s="318"/>
      <c r="AD15992" s="318"/>
    </row>
    <row r="15993" spans="2:30" s="323" customFormat="1" ht="12" customHeight="1">
      <c r="B15993" s="324"/>
      <c r="C15993" s="325"/>
      <c r="D15993" s="326"/>
      <c r="E15993" s="326"/>
      <c r="F15993" s="326"/>
      <c r="G15993" s="326"/>
      <c r="H15993" s="326"/>
      <c r="P15993" s="318"/>
      <c r="Q15993" s="318"/>
      <c r="R15993" s="318"/>
      <c r="S15993" s="318"/>
      <c r="T15993" s="318"/>
      <c r="U15993" s="318"/>
      <c r="V15993" s="318"/>
      <c r="W15993" s="318"/>
      <c r="X15993" s="318"/>
      <c r="Y15993" s="318"/>
      <c r="Z15993" s="318"/>
      <c r="AA15993" s="318"/>
      <c r="AB15993" s="318"/>
      <c r="AC15993" s="318"/>
      <c r="AD15993" s="318"/>
    </row>
    <row r="15994" spans="2:30" s="323" customFormat="1" ht="12" customHeight="1">
      <c r="B15994" s="324"/>
      <c r="C15994" s="325"/>
      <c r="D15994" s="326"/>
      <c r="E15994" s="326"/>
      <c r="F15994" s="326"/>
      <c r="G15994" s="326"/>
      <c r="H15994" s="326"/>
      <c r="P15994" s="318"/>
      <c r="Q15994" s="318"/>
      <c r="R15994" s="318"/>
      <c r="S15994" s="318"/>
      <c r="T15994" s="318"/>
      <c r="U15994" s="318"/>
      <c r="V15994" s="318"/>
      <c r="W15994" s="318"/>
      <c r="X15994" s="318"/>
      <c r="Y15994" s="318"/>
      <c r="Z15994" s="318"/>
      <c r="AA15994" s="318"/>
      <c r="AB15994" s="318"/>
      <c r="AC15994" s="318"/>
      <c r="AD15994" s="318"/>
    </row>
    <row r="15995" spans="2:30" s="323" customFormat="1" ht="12" customHeight="1">
      <c r="B15995" s="324"/>
      <c r="C15995" s="325"/>
      <c r="D15995" s="326"/>
      <c r="E15995" s="326"/>
      <c r="F15995" s="326"/>
      <c r="G15995" s="326"/>
      <c r="H15995" s="326"/>
      <c r="P15995" s="318"/>
      <c r="Q15995" s="318"/>
      <c r="R15995" s="318"/>
      <c r="S15995" s="318"/>
      <c r="T15995" s="318"/>
      <c r="U15995" s="318"/>
      <c r="V15995" s="318"/>
      <c r="W15995" s="318"/>
      <c r="X15995" s="318"/>
      <c r="Y15995" s="318"/>
      <c r="Z15995" s="318"/>
      <c r="AA15995" s="318"/>
      <c r="AB15995" s="318"/>
      <c r="AC15995" s="318"/>
      <c r="AD15995" s="318"/>
    </row>
    <row r="15996" spans="2:30" s="323" customFormat="1" ht="12" customHeight="1">
      <c r="B15996" s="324"/>
      <c r="C15996" s="325"/>
      <c r="D15996" s="326"/>
      <c r="E15996" s="326"/>
      <c r="F15996" s="326"/>
      <c r="G15996" s="326"/>
      <c r="H15996" s="326"/>
      <c r="P15996" s="318"/>
      <c r="Q15996" s="318"/>
      <c r="R15996" s="318"/>
      <c r="S15996" s="318"/>
      <c r="T15996" s="318"/>
      <c r="U15996" s="318"/>
      <c r="V15996" s="318"/>
      <c r="W15996" s="318"/>
      <c r="X15996" s="318"/>
      <c r="Y15996" s="318"/>
      <c r="Z15996" s="318"/>
      <c r="AA15996" s="318"/>
      <c r="AB15996" s="318"/>
      <c r="AC15996" s="318"/>
      <c r="AD15996" s="318"/>
    </row>
    <row r="15997" spans="2:30" s="323" customFormat="1" ht="12" customHeight="1">
      <c r="B15997" s="324"/>
      <c r="C15997" s="325"/>
      <c r="D15997" s="326"/>
      <c r="E15997" s="326"/>
      <c r="F15997" s="326"/>
      <c r="G15997" s="326"/>
      <c r="H15997" s="326"/>
      <c r="P15997" s="318"/>
      <c r="Q15997" s="318"/>
      <c r="R15997" s="318"/>
      <c r="S15997" s="318"/>
      <c r="T15997" s="318"/>
      <c r="U15997" s="318"/>
      <c r="V15997" s="318"/>
      <c r="W15997" s="318"/>
      <c r="X15997" s="318"/>
      <c r="Y15997" s="318"/>
      <c r="Z15997" s="318"/>
      <c r="AA15997" s="318"/>
      <c r="AB15997" s="318"/>
      <c r="AC15997" s="318"/>
      <c r="AD15997" s="318"/>
    </row>
    <row r="15998" spans="2:30" s="323" customFormat="1" ht="12" customHeight="1">
      <c r="B15998" s="324"/>
      <c r="C15998" s="325"/>
      <c r="D15998" s="326"/>
      <c r="E15998" s="326"/>
      <c r="F15998" s="326"/>
      <c r="G15998" s="326"/>
      <c r="H15998" s="326"/>
      <c r="P15998" s="318"/>
      <c r="Q15998" s="318"/>
      <c r="R15998" s="318"/>
      <c r="S15998" s="318"/>
      <c r="T15998" s="318"/>
      <c r="U15998" s="318"/>
      <c r="V15998" s="318"/>
      <c r="W15998" s="318"/>
      <c r="X15998" s="318"/>
      <c r="Y15998" s="318"/>
      <c r="Z15998" s="318"/>
      <c r="AA15998" s="318"/>
      <c r="AB15998" s="318"/>
      <c r="AC15998" s="318"/>
      <c r="AD15998" s="318"/>
    </row>
    <row r="15999" spans="2:30" s="323" customFormat="1" ht="12" customHeight="1">
      <c r="B15999" s="324"/>
      <c r="C15999" s="325"/>
      <c r="D15999" s="326"/>
      <c r="E15999" s="326"/>
      <c r="F15999" s="326"/>
      <c r="G15999" s="326"/>
      <c r="H15999" s="326"/>
      <c r="P15999" s="318"/>
      <c r="Q15999" s="318"/>
      <c r="R15999" s="318"/>
      <c r="S15999" s="318"/>
      <c r="T15999" s="318"/>
      <c r="U15999" s="318"/>
      <c r="V15999" s="318"/>
      <c r="W15999" s="318"/>
      <c r="X15999" s="318"/>
      <c r="Y15999" s="318"/>
      <c r="Z15999" s="318"/>
      <c r="AA15999" s="318"/>
      <c r="AB15999" s="318"/>
      <c r="AC15999" s="318"/>
      <c r="AD15999" s="318"/>
    </row>
    <row r="16000" spans="2:30" s="323" customFormat="1" ht="12" customHeight="1">
      <c r="B16000" s="324"/>
      <c r="C16000" s="325"/>
      <c r="D16000" s="326"/>
      <c r="E16000" s="326"/>
      <c r="F16000" s="326"/>
      <c r="G16000" s="326"/>
      <c r="H16000" s="326"/>
      <c r="P16000" s="318"/>
      <c r="Q16000" s="318"/>
      <c r="R16000" s="318"/>
      <c r="S16000" s="318"/>
      <c r="T16000" s="318"/>
      <c r="U16000" s="318"/>
      <c r="V16000" s="318"/>
      <c r="W16000" s="318"/>
      <c r="X16000" s="318"/>
      <c r="Y16000" s="318"/>
      <c r="Z16000" s="318"/>
      <c r="AA16000" s="318"/>
      <c r="AB16000" s="318"/>
      <c r="AC16000" s="318"/>
      <c r="AD16000" s="318"/>
    </row>
    <row r="16001" spans="2:30" s="323" customFormat="1" ht="12" customHeight="1">
      <c r="B16001" s="324"/>
      <c r="C16001" s="325"/>
      <c r="D16001" s="326"/>
      <c r="E16001" s="326"/>
      <c r="F16001" s="326"/>
      <c r="G16001" s="326"/>
      <c r="H16001" s="326"/>
      <c r="P16001" s="318"/>
      <c r="Q16001" s="318"/>
      <c r="R16001" s="318"/>
      <c r="S16001" s="318"/>
      <c r="T16001" s="318"/>
      <c r="U16001" s="318"/>
      <c r="V16001" s="318"/>
      <c r="W16001" s="318"/>
      <c r="X16001" s="318"/>
      <c r="Y16001" s="318"/>
      <c r="Z16001" s="318"/>
      <c r="AA16001" s="318"/>
      <c r="AB16001" s="318"/>
      <c r="AC16001" s="318"/>
      <c r="AD16001" s="318"/>
    </row>
    <row r="16002" spans="2:30" s="323" customFormat="1" ht="12" customHeight="1">
      <c r="B16002" s="324"/>
      <c r="C16002" s="325"/>
      <c r="D16002" s="326"/>
      <c r="E16002" s="326"/>
      <c r="F16002" s="326"/>
      <c r="G16002" s="326"/>
      <c r="H16002" s="326"/>
      <c r="P16002" s="318"/>
      <c r="Q16002" s="318"/>
      <c r="R16002" s="318"/>
      <c r="S16002" s="318"/>
      <c r="T16002" s="318"/>
      <c r="U16002" s="318"/>
      <c r="V16002" s="318"/>
      <c r="W16002" s="318"/>
      <c r="X16002" s="318"/>
      <c r="Y16002" s="318"/>
      <c r="Z16002" s="318"/>
      <c r="AA16002" s="318"/>
      <c r="AB16002" s="318"/>
      <c r="AC16002" s="318"/>
      <c r="AD16002" s="318"/>
    </row>
    <row r="16003" spans="2:30" s="323" customFormat="1" ht="12" customHeight="1">
      <c r="B16003" s="324"/>
      <c r="C16003" s="325"/>
      <c r="D16003" s="326"/>
      <c r="E16003" s="326"/>
      <c r="F16003" s="326"/>
      <c r="G16003" s="326"/>
      <c r="H16003" s="326"/>
      <c r="P16003" s="318"/>
      <c r="Q16003" s="318"/>
      <c r="R16003" s="318"/>
      <c r="S16003" s="318"/>
      <c r="T16003" s="318"/>
      <c r="U16003" s="318"/>
      <c r="V16003" s="318"/>
      <c r="W16003" s="318"/>
      <c r="X16003" s="318"/>
      <c r="Y16003" s="318"/>
      <c r="Z16003" s="318"/>
      <c r="AA16003" s="318"/>
      <c r="AB16003" s="318"/>
      <c r="AC16003" s="318"/>
      <c r="AD16003" s="318"/>
    </row>
    <row r="16004" spans="2:30" s="323" customFormat="1" ht="12" customHeight="1">
      <c r="B16004" s="324"/>
      <c r="C16004" s="325"/>
      <c r="D16004" s="326"/>
      <c r="E16004" s="326"/>
      <c r="F16004" s="326"/>
      <c r="G16004" s="326"/>
      <c r="H16004" s="326"/>
      <c r="P16004" s="318"/>
      <c r="Q16004" s="318"/>
      <c r="R16004" s="318"/>
      <c r="S16004" s="318"/>
      <c r="T16004" s="318"/>
      <c r="U16004" s="318"/>
      <c r="V16004" s="318"/>
      <c r="W16004" s="318"/>
      <c r="X16004" s="318"/>
      <c r="Y16004" s="318"/>
      <c r="Z16004" s="318"/>
      <c r="AA16004" s="318"/>
      <c r="AB16004" s="318"/>
      <c r="AC16004" s="318"/>
      <c r="AD16004" s="318"/>
    </row>
    <row r="16005" spans="2:30" s="323" customFormat="1" ht="12" customHeight="1">
      <c r="B16005" s="324"/>
      <c r="C16005" s="325"/>
      <c r="D16005" s="326"/>
      <c r="E16005" s="326"/>
      <c r="F16005" s="326"/>
      <c r="G16005" s="326"/>
      <c r="H16005" s="326"/>
      <c r="P16005" s="318"/>
      <c r="Q16005" s="318"/>
      <c r="R16005" s="318"/>
      <c r="S16005" s="318"/>
      <c r="T16005" s="318"/>
      <c r="U16005" s="318"/>
      <c r="V16005" s="318"/>
      <c r="W16005" s="318"/>
      <c r="X16005" s="318"/>
      <c r="Y16005" s="318"/>
      <c r="Z16005" s="318"/>
      <c r="AA16005" s="318"/>
      <c r="AB16005" s="318"/>
      <c r="AC16005" s="318"/>
      <c r="AD16005" s="318"/>
    </row>
    <row r="16006" spans="2:30" s="323" customFormat="1" ht="12" customHeight="1">
      <c r="B16006" s="324"/>
      <c r="C16006" s="325"/>
      <c r="D16006" s="326"/>
      <c r="E16006" s="326"/>
      <c r="F16006" s="326"/>
      <c r="G16006" s="326"/>
      <c r="H16006" s="326"/>
      <c r="P16006" s="318"/>
      <c r="Q16006" s="318"/>
      <c r="R16006" s="318"/>
      <c r="S16006" s="318"/>
      <c r="T16006" s="318"/>
      <c r="U16006" s="318"/>
      <c r="V16006" s="318"/>
      <c r="W16006" s="318"/>
      <c r="X16006" s="318"/>
      <c r="Y16006" s="318"/>
      <c r="Z16006" s="318"/>
      <c r="AA16006" s="318"/>
      <c r="AB16006" s="318"/>
      <c r="AC16006" s="318"/>
      <c r="AD16006" s="318"/>
    </row>
    <row r="16007" spans="2:30" s="323" customFormat="1" ht="12" customHeight="1">
      <c r="B16007" s="324"/>
      <c r="C16007" s="325"/>
      <c r="D16007" s="326"/>
      <c r="E16007" s="326"/>
      <c r="F16007" s="326"/>
      <c r="G16007" s="326"/>
      <c r="H16007" s="326"/>
      <c r="P16007" s="318"/>
      <c r="Q16007" s="318"/>
      <c r="R16007" s="318"/>
      <c r="S16007" s="318"/>
      <c r="T16007" s="318"/>
      <c r="U16007" s="318"/>
      <c r="V16007" s="318"/>
      <c r="W16007" s="318"/>
      <c r="X16007" s="318"/>
      <c r="Y16007" s="318"/>
      <c r="Z16007" s="318"/>
      <c r="AA16007" s="318"/>
      <c r="AB16007" s="318"/>
      <c r="AC16007" s="318"/>
      <c r="AD16007" s="318"/>
    </row>
    <row r="16008" spans="2:30" s="323" customFormat="1" ht="12" customHeight="1">
      <c r="B16008" s="324"/>
      <c r="C16008" s="325"/>
      <c r="D16008" s="326"/>
      <c r="E16008" s="326"/>
      <c r="F16008" s="326"/>
      <c r="G16008" s="326"/>
      <c r="H16008" s="326"/>
      <c r="P16008" s="318"/>
      <c r="Q16008" s="318"/>
      <c r="R16008" s="318"/>
      <c r="S16008" s="318"/>
      <c r="T16008" s="318"/>
      <c r="U16008" s="318"/>
      <c r="V16008" s="318"/>
      <c r="W16008" s="318"/>
      <c r="X16008" s="318"/>
      <c r="Y16008" s="318"/>
      <c r="Z16008" s="318"/>
      <c r="AA16008" s="318"/>
      <c r="AB16008" s="318"/>
      <c r="AC16008" s="318"/>
      <c r="AD16008" s="318"/>
    </row>
    <row r="16009" spans="2:30" s="323" customFormat="1" ht="12" customHeight="1">
      <c r="B16009" s="324"/>
      <c r="C16009" s="325"/>
      <c r="D16009" s="326"/>
      <c r="E16009" s="326"/>
      <c r="F16009" s="326"/>
      <c r="G16009" s="326"/>
      <c r="H16009" s="326"/>
      <c r="P16009" s="318"/>
      <c r="Q16009" s="318"/>
      <c r="R16009" s="318"/>
      <c r="S16009" s="318"/>
      <c r="T16009" s="318"/>
      <c r="U16009" s="318"/>
      <c r="V16009" s="318"/>
      <c r="W16009" s="318"/>
      <c r="X16009" s="318"/>
      <c r="Y16009" s="318"/>
      <c r="Z16009" s="318"/>
      <c r="AA16009" s="318"/>
      <c r="AB16009" s="318"/>
      <c r="AC16009" s="318"/>
      <c r="AD16009" s="318"/>
    </row>
    <row r="16010" spans="2:30" s="323" customFormat="1" ht="12" customHeight="1">
      <c r="B16010" s="324"/>
      <c r="C16010" s="325"/>
      <c r="D16010" s="326"/>
      <c r="E16010" s="326"/>
      <c r="F16010" s="326"/>
      <c r="G16010" s="326"/>
      <c r="H16010" s="326"/>
      <c r="P16010" s="318"/>
      <c r="Q16010" s="318"/>
      <c r="R16010" s="318"/>
      <c r="S16010" s="318"/>
      <c r="T16010" s="318"/>
      <c r="U16010" s="318"/>
      <c r="V16010" s="318"/>
      <c r="W16010" s="318"/>
      <c r="X16010" s="318"/>
      <c r="Y16010" s="318"/>
      <c r="Z16010" s="318"/>
      <c r="AA16010" s="318"/>
      <c r="AB16010" s="318"/>
      <c r="AC16010" s="318"/>
      <c r="AD16010" s="318"/>
    </row>
    <row r="16011" spans="2:30" s="323" customFormat="1" ht="12" customHeight="1">
      <c r="B16011" s="324"/>
      <c r="C16011" s="325"/>
      <c r="D16011" s="326"/>
      <c r="E16011" s="326"/>
      <c r="F16011" s="326"/>
      <c r="G16011" s="326"/>
      <c r="H16011" s="326"/>
      <c r="P16011" s="318"/>
      <c r="Q16011" s="318"/>
      <c r="R16011" s="318"/>
      <c r="S16011" s="318"/>
      <c r="T16011" s="318"/>
      <c r="U16011" s="318"/>
      <c r="V16011" s="318"/>
      <c r="W16011" s="318"/>
      <c r="X16011" s="318"/>
      <c r="Y16011" s="318"/>
      <c r="Z16011" s="318"/>
      <c r="AA16011" s="318"/>
      <c r="AB16011" s="318"/>
      <c r="AC16011" s="318"/>
      <c r="AD16011" s="318"/>
    </row>
    <row r="16012" spans="2:30" s="323" customFormat="1" ht="12" customHeight="1">
      <c r="B16012" s="324"/>
      <c r="C16012" s="325"/>
      <c r="D16012" s="326"/>
      <c r="E16012" s="326"/>
      <c r="F16012" s="326"/>
      <c r="G16012" s="326"/>
      <c r="H16012" s="326"/>
      <c r="P16012" s="318"/>
      <c r="Q16012" s="318"/>
      <c r="R16012" s="318"/>
      <c r="S16012" s="318"/>
      <c r="T16012" s="318"/>
      <c r="U16012" s="318"/>
      <c r="V16012" s="318"/>
      <c r="W16012" s="318"/>
      <c r="X16012" s="318"/>
      <c r="Y16012" s="318"/>
      <c r="Z16012" s="318"/>
      <c r="AA16012" s="318"/>
      <c r="AB16012" s="318"/>
      <c r="AC16012" s="318"/>
      <c r="AD16012" s="318"/>
    </row>
    <row r="16013" spans="2:30" s="323" customFormat="1" ht="12" customHeight="1">
      <c r="B16013" s="324"/>
      <c r="C16013" s="325"/>
      <c r="D16013" s="326"/>
      <c r="E16013" s="326"/>
      <c r="F16013" s="326"/>
      <c r="G16013" s="326"/>
      <c r="H16013" s="326"/>
      <c r="P16013" s="318"/>
      <c r="Q16013" s="318"/>
      <c r="R16013" s="318"/>
      <c r="S16013" s="318"/>
      <c r="T16013" s="318"/>
      <c r="U16013" s="318"/>
      <c r="V16013" s="318"/>
      <c r="W16013" s="318"/>
      <c r="X16013" s="318"/>
      <c r="Y16013" s="318"/>
      <c r="Z16013" s="318"/>
      <c r="AA16013" s="318"/>
      <c r="AB16013" s="318"/>
      <c r="AC16013" s="318"/>
      <c r="AD16013" s="318"/>
    </row>
    <row r="16014" spans="2:30" s="323" customFormat="1" ht="12" customHeight="1">
      <c r="B16014" s="324"/>
      <c r="C16014" s="325"/>
      <c r="D16014" s="326"/>
      <c r="E16014" s="326"/>
      <c r="F16014" s="326"/>
      <c r="G16014" s="326"/>
      <c r="H16014" s="326"/>
      <c r="P16014" s="318"/>
      <c r="Q16014" s="318"/>
      <c r="R16014" s="318"/>
      <c r="S16014" s="318"/>
      <c r="T16014" s="318"/>
      <c r="U16014" s="318"/>
      <c r="V16014" s="318"/>
      <c r="W16014" s="318"/>
      <c r="X16014" s="318"/>
      <c r="Y16014" s="318"/>
      <c r="Z16014" s="318"/>
      <c r="AA16014" s="318"/>
      <c r="AB16014" s="318"/>
      <c r="AC16014" s="318"/>
      <c r="AD16014" s="318"/>
    </row>
    <row r="16015" spans="2:30" s="323" customFormat="1" ht="12" customHeight="1">
      <c r="B16015" s="324"/>
      <c r="C16015" s="325"/>
      <c r="D16015" s="326"/>
      <c r="E16015" s="326"/>
      <c r="F16015" s="326"/>
      <c r="G16015" s="326"/>
      <c r="H16015" s="326"/>
      <c r="P16015" s="318"/>
      <c r="Q16015" s="318"/>
      <c r="R16015" s="318"/>
      <c r="S16015" s="318"/>
      <c r="T16015" s="318"/>
      <c r="U16015" s="318"/>
      <c r="V16015" s="318"/>
      <c r="W16015" s="318"/>
      <c r="X16015" s="318"/>
      <c r="Y16015" s="318"/>
      <c r="Z16015" s="318"/>
      <c r="AA16015" s="318"/>
      <c r="AB16015" s="318"/>
      <c r="AC16015" s="318"/>
      <c r="AD16015" s="318"/>
    </row>
    <row r="16016" spans="2:30" s="323" customFormat="1" ht="12" customHeight="1">
      <c r="B16016" s="324"/>
      <c r="C16016" s="325"/>
      <c r="D16016" s="326"/>
      <c r="E16016" s="326"/>
      <c r="F16016" s="326"/>
      <c r="G16016" s="326"/>
      <c r="H16016" s="326"/>
      <c r="P16016" s="318"/>
      <c r="Q16016" s="318"/>
      <c r="R16016" s="318"/>
      <c r="S16016" s="318"/>
      <c r="T16016" s="318"/>
      <c r="U16016" s="318"/>
      <c r="V16016" s="318"/>
      <c r="W16016" s="318"/>
      <c r="X16016" s="318"/>
      <c r="Y16016" s="318"/>
      <c r="Z16016" s="318"/>
      <c r="AA16016" s="318"/>
      <c r="AB16016" s="318"/>
      <c r="AC16016" s="318"/>
      <c r="AD16016" s="318"/>
    </row>
    <row r="16017" spans="2:30" s="323" customFormat="1" ht="12" customHeight="1">
      <c r="B16017" s="324"/>
      <c r="C16017" s="325"/>
      <c r="D16017" s="326"/>
      <c r="E16017" s="326"/>
      <c r="F16017" s="326"/>
      <c r="G16017" s="326"/>
      <c r="H16017" s="326"/>
      <c r="P16017" s="318"/>
      <c r="Q16017" s="318"/>
      <c r="R16017" s="318"/>
      <c r="S16017" s="318"/>
      <c r="T16017" s="318"/>
      <c r="U16017" s="318"/>
      <c r="V16017" s="318"/>
      <c r="W16017" s="318"/>
      <c r="X16017" s="318"/>
      <c r="Y16017" s="318"/>
      <c r="Z16017" s="318"/>
      <c r="AA16017" s="318"/>
      <c r="AB16017" s="318"/>
      <c r="AC16017" s="318"/>
      <c r="AD16017" s="318"/>
    </row>
    <row r="16018" spans="2:30" s="323" customFormat="1" ht="12" customHeight="1">
      <c r="B16018" s="324"/>
      <c r="C16018" s="325"/>
      <c r="D16018" s="326"/>
      <c r="E16018" s="326"/>
      <c r="F16018" s="326"/>
      <c r="G16018" s="326"/>
      <c r="H16018" s="326"/>
      <c r="P16018" s="318"/>
      <c r="Q16018" s="318"/>
      <c r="R16018" s="318"/>
      <c r="S16018" s="318"/>
      <c r="T16018" s="318"/>
      <c r="U16018" s="318"/>
      <c r="V16018" s="318"/>
      <c r="W16018" s="318"/>
      <c r="X16018" s="318"/>
      <c r="Y16018" s="318"/>
      <c r="Z16018" s="318"/>
      <c r="AA16018" s="318"/>
      <c r="AB16018" s="318"/>
      <c r="AC16018" s="318"/>
      <c r="AD16018" s="318"/>
    </row>
    <row r="16019" spans="2:30" s="323" customFormat="1" ht="12" customHeight="1">
      <c r="B16019" s="324"/>
      <c r="C16019" s="325"/>
      <c r="D16019" s="326"/>
      <c r="E16019" s="326"/>
      <c r="F16019" s="326"/>
      <c r="G16019" s="326"/>
      <c r="H16019" s="326"/>
      <c r="P16019" s="318"/>
      <c r="Q16019" s="318"/>
      <c r="R16019" s="318"/>
      <c r="S16019" s="318"/>
      <c r="T16019" s="318"/>
      <c r="U16019" s="318"/>
      <c r="V16019" s="318"/>
      <c r="W16019" s="318"/>
      <c r="X16019" s="318"/>
      <c r="Y16019" s="318"/>
      <c r="Z16019" s="318"/>
      <c r="AA16019" s="318"/>
      <c r="AB16019" s="318"/>
      <c r="AC16019" s="318"/>
      <c r="AD16019" s="318"/>
    </row>
    <row r="16020" spans="2:30" s="323" customFormat="1" ht="12" customHeight="1">
      <c r="B16020" s="324"/>
      <c r="C16020" s="325"/>
      <c r="D16020" s="326"/>
      <c r="E16020" s="326"/>
      <c r="F16020" s="326"/>
      <c r="G16020" s="326"/>
      <c r="H16020" s="326"/>
      <c r="P16020" s="318"/>
      <c r="Q16020" s="318"/>
      <c r="R16020" s="318"/>
      <c r="S16020" s="318"/>
      <c r="T16020" s="318"/>
      <c r="U16020" s="318"/>
      <c r="V16020" s="318"/>
      <c r="W16020" s="318"/>
      <c r="X16020" s="318"/>
      <c r="Y16020" s="318"/>
      <c r="Z16020" s="318"/>
      <c r="AA16020" s="318"/>
      <c r="AB16020" s="318"/>
      <c r="AC16020" s="318"/>
      <c r="AD16020" s="318"/>
    </row>
    <row r="16021" spans="2:30" s="323" customFormat="1" ht="12" customHeight="1">
      <c r="B16021" s="324"/>
      <c r="C16021" s="325"/>
      <c r="D16021" s="326"/>
      <c r="E16021" s="326"/>
      <c r="F16021" s="326"/>
      <c r="G16021" s="326"/>
      <c r="H16021" s="326"/>
      <c r="P16021" s="318"/>
      <c r="Q16021" s="318"/>
      <c r="R16021" s="318"/>
      <c r="S16021" s="318"/>
      <c r="T16021" s="318"/>
      <c r="U16021" s="318"/>
      <c r="V16021" s="318"/>
      <c r="W16021" s="318"/>
      <c r="X16021" s="318"/>
      <c r="Y16021" s="318"/>
      <c r="Z16021" s="318"/>
      <c r="AA16021" s="318"/>
      <c r="AB16021" s="318"/>
      <c r="AC16021" s="318"/>
      <c r="AD16021" s="318"/>
    </row>
    <row r="16022" spans="2:30" s="323" customFormat="1" ht="12" customHeight="1">
      <c r="B16022" s="324"/>
      <c r="C16022" s="325"/>
      <c r="D16022" s="326"/>
      <c r="E16022" s="326"/>
      <c r="F16022" s="326"/>
      <c r="G16022" s="326"/>
      <c r="H16022" s="326"/>
      <c r="P16022" s="318"/>
      <c r="Q16022" s="318"/>
      <c r="R16022" s="318"/>
      <c r="S16022" s="318"/>
      <c r="T16022" s="318"/>
      <c r="U16022" s="318"/>
      <c r="V16022" s="318"/>
      <c r="W16022" s="318"/>
      <c r="X16022" s="318"/>
      <c r="Y16022" s="318"/>
      <c r="Z16022" s="318"/>
      <c r="AA16022" s="318"/>
      <c r="AB16022" s="318"/>
      <c r="AC16022" s="318"/>
      <c r="AD16022" s="318"/>
    </row>
    <row r="16023" spans="2:30" s="323" customFormat="1" ht="12" customHeight="1">
      <c r="B16023" s="324"/>
      <c r="C16023" s="325"/>
      <c r="D16023" s="326"/>
      <c r="E16023" s="326"/>
      <c r="F16023" s="326"/>
      <c r="G16023" s="326"/>
      <c r="H16023" s="326"/>
      <c r="P16023" s="318"/>
      <c r="Q16023" s="318"/>
      <c r="R16023" s="318"/>
      <c r="S16023" s="318"/>
      <c r="T16023" s="318"/>
      <c r="U16023" s="318"/>
      <c r="V16023" s="318"/>
      <c r="W16023" s="318"/>
      <c r="X16023" s="318"/>
      <c r="Y16023" s="318"/>
      <c r="Z16023" s="318"/>
      <c r="AA16023" s="318"/>
      <c r="AB16023" s="318"/>
      <c r="AC16023" s="318"/>
      <c r="AD16023" s="318"/>
    </row>
    <row r="16024" spans="2:30" s="323" customFormat="1" ht="12" customHeight="1">
      <c r="B16024" s="324"/>
      <c r="C16024" s="325"/>
      <c r="D16024" s="326"/>
      <c r="E16024" s="326"/>
      <c r="F16024" s="326"/>
      <c r="G16024" s="326"/>
      <c r="H16024" s="326"/>
      <c r="P16024" s="318"/>
      <c r="Q16024" s="318"/>
      <c r="R16024" s="318"/>
      <c r="S16024" s="318"/>
      <c r="T16024" s="318"/>
      <c r="U16024" s="318"/>
      <c r="V16024" s="318"/>
      <c r="W16024" s="318"/>
      <c r="X16024" s="318"/>
      <c r="Y16024" s="318"/>
      <c r="Z16024" s="318"/>
      <c r="AA16024" s="318"/>
      <c r="AB16024" s="318"/>
      <c r="AC16024" s="318"/>
      <c r="AD16024" s="318"/>
    </row>
    <row r="16025" spans="2:30" s="323" customFormat="1" ht="12" customHeight="1">
      <c r="B16025" s="324"/>
      <c r="C16025" s="325"/>
      <c r="D16025" s="326"/>
      <c r="E16025" s="326"/>
      <c r="F16025" s="326"/>
      <c r="G16025" s="326"/>
      <c r="H16025" s="326"/>
      <c r="P16025" s="318"/>
      <c r="Q16025" s="318"/>
      <c r="R16025" s="318"/>
      <c r="S16025" s="318"/>
      <c r="T16025" s="318"/>
      <c r="U16025" s="318"/>
      <c r="V16025" s="318"/>
      <c r="W16025" s="318"/>
      <c r="X16025" s="318"/>
      <c r="Y16025" s="318"/>
      <c r="Z16025" s="318"/>
      <c r="AA16025" s="318"/>
      <c r="AB16025" s="318"/>
      <c r="AC16025" s="318"/>
      <c r="AD16025" s="318"/>
    </row>
    <row r="16026" spans="2:30" s="323" customFormat="1" ht="12" customHeight="1">
      <c r="B16026" s="324"/>
      <c r="C16026" s="325"/>
      <c r="D16026" s="326"/>
      <c r="E16026" s="326"/>
      <c r="F16026" s="326"/>
      <c r="G16026" s="326"/>
      <c r="H16026" s="326"/>
      <c r="P16026" s="318"/>
      <c r="Q16026" s="318"/>
      <c r="R16026" s="318"/>
      <c r="S16026" s="318"/>
      <c r="T16026" s="318"/>
      <c r="U16026" s="318"/>
      <c r="V16026" s="318"/>
      <c r="W16026" s="318"/>
      <c r="X16026" s="318"/>
      <c r="Y16026" s="318"/>
      <c r="Z16026" s="318"/>
      <c r="AA16026" s="318"/>
      <c r="AB16026" s="318"/>
      <c r="AC16026" s="318"/>
      <c r="AD16026" s="318"/>
    </row>
    <row r="16027" spans="2:30" s="323" customFormat="1" ht="12" customHeight="1">
      <c r="B16027" s="324"/>
      <c r="C16027" s="325"/>
      <c r="D16027" s="326"/>
      <c r="E16027" s="326"/>
      <c r="F16027" s="326"/>
      <c r="G16027" s="326"/>
      <c r="H16027" s="326"/>
      <c r="P16027" s="318"/>
      <c r="Q16027" s="318"/>
      <c r="R16027" s="318"/>
      <c r="S16027" s="318"/>
      <c r="T16027" s="318"/>
      <c r="U16027" s="318"/>
      <c r="V16027" s="318"/>
      <c r="W16027" s="318"/>
      <c r="X16027" s="318"/>
      <c r="Y16027" s="318"/>
      <c r="Z16027" s="318"/>
      <c r="AA16027" s="318"/>
      <c r="AB16027" s="318"/>
      <c r="AC16027" s="318"/>
      <c r="AD16027" s="318"/>
    </row>
    <row r="16028" spans="2:30" s="323" customFormat="1" ht="12" customHeight="1">
      <c r="B16028" s="324"/>
      <c r="C16028" s="325"/>
      <c r="D16028" s="326"/>
      <c r="E16028" s="326"/>
      <c r="F16028" s="326"/>
      <c r="G16028" s="326"/>
      <c r="H16028" s="326"/>
      <c r="P16028" s="318"/>
      <c r="Q16028" s="318"/>
      <c r="R16028" s="318"/>
      <c r="S16028" s="318"/>
      <c r="T16028" s="318"/>
      <c r="U16028" s="318"/>
      <c r="V16028" s="318"/>
      <c r="W16028" s="318"/>
      <c r="X16028" s="318"/>
      <c r="Y16028" s="318"/>
      <c r="Z16028" s="318"/>
      <c r="AA16028" s="318"/>
      <c r="AB16028" s="318"/>
      <c r="AC16028" s="318"/>
      <c r="AD16028" s="318"/>
    </row>
    <row r="16029" spans="2:30" s="323" customFormat="1" ht="12" customHeight="1">
      <c r="B16029" s="324"/>
      <c r="C16029" s="325"/>
      <c r="D16029" s="326"/>
      <c r="E16029" s="326"/>
      <c r="F16029" s="326"/>
      <c r="G16029" s="326"/>
      <c r="H16029" s="326"/>
      <c r="P16029" s="318"/>
      <c r="Q16029" s="318"/>
      <c r="R16029" s="318"/>
      <c r="S16029" s="318"/>
      <c r="T16029" s="318"/>
      <c r="U16029" s="318"/>
      <c r="V16029" s="318"/>
      <c r="W16029" s="318"/>
      <c r="X16029" s="318"/>
      <c r="Y16029" s="318"/>
      <c r="Z16029" s="318"/>
      <c r="AA16029" s="318"/>
      <c r="AB16029" s="318"/>
      <c r="AC16029" s="318"/>
      <c r="AD16029" s="318"/>
    </row>
    <row r="16030" spans="2:30" s="323" customFormat="1" ht="12" customHeight="1">
      <c r="B16030" s="324"/>
      <c r="C16030" s="325"/>
      <c r="D16030" s="326"/>
      <c r="E16030" s="326"/>
      <c r="F16030" s="326"/>
      <c r="G16030" s="326"/>
      <c r="H16030" s="326"/>
      <c r="P16030" s="318"/>
      <c r="Q16030" s="318"/>
      <c r="R16030" s="318"/>
      <c r="S16030" s="318"/>
      <c r="T16030" s="318"/>
      <c r="U16030" s="318"/>
      <c r="V16030" s="318"/>
      <c r="W16030" s="318"/>
      <c r="X16030" s="318"/>
      <c r="Y16030" s="318"/>
      <c r="Z16030" s="318"/>
      <c r="AA16030" s="318"/>
      <c r="AB16030" s="318"/>
      <c r="AC16030" s="318"/>
      <c r="AD16030" s="318"/>
    </row>
    <row r="16031" spans="2:30" s="323" customFormat="1" ht="12" customHeight="1">
      <c r="B16031" s="324"/>
      <c r="C16031" s="325"/>
      <c r="D16031" s="326"/>
      <c r="E16031" s="326"/>
      <c r="F16031" s="326"/>
      <c r="G16031" s="326"/>
      <c r="H16031" s="326"/>
      <c r="P16031" s="318"/>
      <c r="Q16031" s="318"/>
      <c r="R16031" s="318"/>
      <c r="S16031" s="318"/>
      <c r="T16031" s="318"/>
      <c r="U16031" s="318"/>
      <c r="V16031" s="318"/>
      <c r="W16031" s="318"/>
      <c r="X16031" s="318"/>
      <c r="Y16031" s="318"/>
      <c r="Z16031" s="318"/>
      <c r="AA16031" s="318"/>
      <c r="AB16031" s="318"/>
      <c r="AC16031" s="318"/>
      <c r="AD16031" s="318"/>
    </row>
    <row r="16032" spans="2:30" s="323" customFormat="1" ht="12" customHeight="1">
      <c r="B16032" s="324"/>
      <c r="C16032" s="325"/>
      <c r="D16032" s="326"/>
      <c r="E16032" s="326"/>
      <c r="F16032" s="326"/>
      <c r="G16032" s="326"/>
      <c r="H16032" s="326"/>
      <c r="P16032" s="318"/>
      <c r="Q16032" s="318"/>
      <c r="R16032" s="318"/>
      <c r="S16032" s="318"/>
      <c r="T16032" s="318"/>
      <c r="U16032" s="318"/>
      <c r="V16032" s="318"/>
      <c r="W16032" s="318"/>
      <c r="X16032" s="318"/>
      <c r="Y16032" s="318"/>
      <c r="Z16032" s="318"/>
      <c r="AA16032" s="318"/>
      <c r="AB16032" s="318"/>
      <c r="AC16032" s="318"/>
      <c r="AD16032" s="318"/>
    </row>
    <row r="16033" spans="2:30" s="323" customFormat="1" ht="12" customHeight="1">
      <c r="B16033" s="324"/>
      <c r="C16033" s="325"/>
      <c r="D16033" s="326"/>
      <c r="E16033" s="326"/>
      <c r="F16033" s="326"/>
      <c r="G16033" s="326"/>
      <c r="H16033" s="326"/>
      <c r="P16033" s="318"/>
      <c r="Q16033" s="318"/>
      <c r="R16033" s="318"/>
      <c r="S16033" s="318"/>
      <c r="T16033" s="318"/>
      <c r="U16033" s="318"/>
      <c r="V16033" s="318"/>
      <c r="W16033" s="318"/>
      <c r="X16033" s="318"/>
      <c r="Y16033" s="318"/>
      <c r="Z16033" s="318"/>
      <c r="AA16033" s="318"/>
      <c r="AB16033" s="318"/>
      <c r="AC16033" s="318"/>
      <c r="AD16033" s="318"/>
    </row>
    <row r="16034" spans="2:30" s="323" customFormat="1" ht="12" customHeight="1">
      <c r="B16034" s="324"/>
      <c r="C16034" s="325"/>
      <c r="D16034" s="326"/>
      <c r="E16034" s="326"/>
      <c r="F16034" s="326"/>
      <c r="G16034" s="326"/>
      <c r="H16034" s="326"/>
      <c r="P16034" s="318"/>
      <c r="Q16034" s="318"/>
      <c r="R16034" s="318"/>
      <c r="S16034" s="318"/>
      <c r="T16034" s="318"/>
      <c r="U16034" s="318"/>
      <c r="V16034" s="318"/>
      <c r="W16034" s="318"/>
      <c r="X16034" s="318"/>
      <c r="Y16034" s="318"/>
      <c r="Z16034" s="318"/>
      <c r="AA16034" s="318"/>
      <c r="AB16034" s="318"/>
      <c r="AC16034" s="318"/>
      <c r="AD16034" s="318"/>
    </row>
    <row r="16035" spans="2:30" s="323" customFormat="1" ht="12" customHeight="1">
      <c r="B16035" s="324"/>
      <c r="C16035" s="325"/>
      <c r="D16035" s="326"/>
      <c r="E16035" s="326"/>
      <c r="F16035" s="326"/>
      <c r="G16035" s="326"/>
      <c r="H16035" s="326"/>
      <c r="P16035" s="318"/>
      <c r="Q16035" s="318"/>
      <c r="R16035" s="318"/>
      <c r="S16035" s="318"/>
      <c r="T16035" s="318"/>
      <c r="U16035" s="318"/>
      <c r="V16035" s="318"/>
      <c r="W16035" s="318"/>
      <c r="X16035" s="318"/>
      <c r="Y16035" s="318"/>
      <c r="Z16035" s="318"/>
      <c r="AA16035" s="318"/>
      <c r="AB16035" s="318"/>
      <c r="AC16035" s="318"/>
      <c r="AD16035" s="318"/>
    </row>
    <row r="16036" spans="2:30" s="323" customFormat="1" ht="12" customHeight="1">
      <c r="B16036" s="324"/>
      <c r="C16036" s="325"/>
      <c r="D16036" s="326"/>
      <c r="E16036" s="326"/>
      <c r="F16036" s="326"/>
      <c r="G16036" s="326"/>
      <c r="H16036" s="326"/>
      <c r="P16036" s="318"/>
      <c r="Q16036" s="318"/>
      <c r="R16036" s="318"/>
      <c r="S16036" s="318"/>
      <c r="T16036" s="318"/>
      <c r="U16036" s="318"/>
      <c r="V16036" s="318"/>
      <c r="W16036" s="318"/>
      <c r="X16036" s="318"/>
      <c r="Y16036" s="318"/>
      <c r="Z16036" s="318"/>
      <c r="AA16036" s="318"/>
      <c r="AB16036" s="318"/>
      <c r="AC16036" s="318"/>
      <c r="AD16036" s="318"/>
    </row>
    <row r="16037" spans="2:30" s="323" customFormat="1" ht="12" customHeight="1">
      <c r="B16037" s="324"/>
      <c r="C16037" s="325"/>
      <c r="D16037" s="326"/>
      <c r="E16037" s="326"/>
      <c r="F16037" s="326"/>
      <c r="G16037" s="326"/>
      <c r="H16037" s="326"/>
      <c r="P16037" s="318"/>
      <c r="Q16037" s="318"/>
      <c r="R16037" s="318"/>
      <c r="S16037" s="318"/>
      <c r="T16037" s="318"/>
      <c r="U16037" s="318"/>
      <c r="V16037" s="318"/>
      <c r="W16037" s="318"/>
      <c r="X16037" s="318"/>
      <c r="Y16037" s="318"/>
      <c r="Z16037" s="318"/>
      <c r="AA16037" s="318"/>
      <c r="AB16037" s="318"/>
      <c r="AC16037" s="318"/>
      <c r="AD16037" s="318"/>
    </row>
    <row r="16038" spans="2:30" s="323" customFormat="1" ht="12" customHeight="1">
      <c r="B16038" s="324"/>
      <c r="C16038" s="325"/>
      <c r="D16038" s="326"/>
      <c r="E16038" s="326"/>
      <c r="F16038" s="326"/>
      <c r="G16038" s="326"/>
      <c r="H16038" s="326"/>
      <c r="P16038" s="318"/>
      <c r="Q16038" s="318"/>
      <c r="R16038" s="318"/>
      <c r="S16038" s="318"/>
      <c r="T16038" s="318"/>
      <c r="U16038" s="318"/>
      <c r="V16038" s="318"/>
      <c r="W16038" s="318"/>
      <c r="X16038" s="318"/>
      <c r="Y16038" s="318"/>
      <c r="Z16038" s="318"/>
      <c r="AA16038" s="318"/>
      <c r="AB16038" s="318"/>
      <c r="AC16038" s="318"/>
      <c r="AD16038" s="318"/>
    </row>
    <row r="16039" spans="2:30" s="323" customFormat="1" ht="12" customHeight="1">
      <c r="B16039" s="324"/>
      <c r="C16039" s="325"/>
      <c r="D16039" s="326"/>
      <c r="E16039" s="326"/>
      <c r="F16039" s="326"/>
      <c r="G16039" s="326"/>
      <c r="H16039" s="326"/>
      <c r="P16039" s="318"/>
      <c r="Q16039" s="318"/>
      <c r="R16039" s="318"/>
      <c r="S16039" s="318"/>
      <c r="T16039" s="318"/>
      <c r="U16039" s="318"/>
      <c r="V16039" s="318"/>
      <c r="W16039" s="318"/>
      <c r="X16039" s="318"/>
      <c r="Y16039" s="318"/>
      <c r="Z16039" s="318"/>
      <c r="AA16039" s="318"/>
      <c r="AB16039" s="318"/>
      <c r="AC16039" s="318"/>
      <c r="AD16039" s="318"/>
    </row>
    <row r="16040" spans="2:30" s="323" customFormat="1" ht="12" customHeight="1">
      <c r="B16040" s="324"/>
      <c r="C16040" s="325"/>
      <c r="D16040" s="326"/>
      <c r="E16040" s="326"/>
      <c r="F16040" s="326"/>
      <c r="G16040" s="326"/>
      <c r="H16040" s="326"/>
      <c r="P16040" s="318"/>
      <c r="Q16040" s="318"/>
      <c r="R16040" s="318"/>
      <c r="S16040" s="318"/>
      <c r="T16040" s="318"/>
      <c r="U16040" s="318"/>
      <c r="V16040" s="318"/>
      <c r="W16040" s="318"/>
      <c r="X16040" s="318"/>
      <c r="Y16040" s="318"/>
      <c r="Z16040" s="318"/>
      <c r="AA16040" s="318"/>
      <c r="AB16040" s="318"/>
      <c r="AC16040" s="318"/>
      <c r="AD16040" s="318"/>
    </row>
    <row r="16041" spans="2:30" s="323" customFormat="1" ht="12" customHeight="1">
      <c r="B16041" s="324"/>
      <c r="C16041" s="325"/>
      <c r="D16041" s="326"/>
      <c r="E16041" s="326"/>
      <c r="F16041" s="326"/>
      <c r="G16041" s="326"/>
      <c r="H16041" s="326"/>
      <c r="P16041" s="318"/>
      <c r="Q16041" s="318"/>
      <c r="R16041" s="318"/>
      <c r="S16041" s="318"/>
      <c r="T16041" s="318"/>
      <c r="U16041" s="318"/>
      <c r="V16041" s="318"/>
      <c r="W16041" s="318"/>
      <c r="X16041" s="318"/>
      <c r="Y16041" s="318"/>
      <c r="Z16041" s="318"/>
      <c r="AA16041" s="318"/>
      <c r="AB16041" s="318"/>
      <c r="AC16041" s="318"/>
      <c r="AD16041" s="318"/>
    </row>
    <row r="16042" spans="2:30" s="323" customFormat="1" ht="12" customHeight="1">
      <c r="B16042" s="324"/>
      <c r="C16042" s="325"/>
      <c r="D16042" s="326"/>
      <c r="E16042" s="326"/>
      <c r="F16042" s="326"/>
      <c r="G16042" s="326"/>
      <c r="H16042" s="326"/>
      <c r="P16042" s="318"/>
      <c r="Q16042" s="318"/>
      <c r="R16042" s="318"/>
      <c r="S16042" s="318"/>
      <c r="T16042" s="318"/>
      <c r="U16042" s="318"/>
      <c r="V16042" s="318"/>
      <c r="W16042" s="318"/>
      <c r="X16042" s="318"/>
      <c r="Y16042" s="318"/>
      <c r="Z16042" s="318"/>
      <c r="AA16042" s="318"/>
      <c r="AB16042" s="318"/>
      <c r="AC16042" s="318"/>
      <c r="AD16042" s="318"/>
    </row>
    <row r="16043" spans="2:30" s="323" customFormat="1" ht="12" customHeight="1">
      <c r="B16043" s="324"/>
      <c r="C16043" s="325"/>
      <c r="D16043" s="326"/>
      <c r="E16043" s="326"/>
      <c r="F16043" s="326"/>
      <c r="G16043" s="326"/>
      <c r="H16043" s="326"/>
      <c r="P16043" s="318"/>
      <c r="Q16043" s="318"/>
      <c r="R16043" s="318"/>
      <c r="S16043" s="318"/>
      <c r="T16043" s="318"/>
      <c r="U16043" s="318"/>
      <c r="V16043" s="318"/>
      <c r="W16043" s="318"/>
      <c r="X16043" s="318"/>
      <c r="Y16043" s="318"/>
      <c r="Z16043" s="318"/>
      <c r="AA16043" s="318"/>
      <c r="AB16043" s="318"/>
      <c r="AC16043" s="318"/>
      <c r="AD16043" s="318"/>
    </row>
    <row r="16044" spans="2:30" s="323" customFormat="1" ht="12" customHeight="1">
      <c r="B16044" s="324"/>
      <c r="C16044" s="325"/>
      <c r="D16044" s="326"/>
      <c r="E16044" s="326"/>
      <c r="F16044" s="326"/>
      <c r="G16044" s="326"/>
      <c r="H16044" s="326"/>
      <c r="P16044" s="318"/>
      <c r="Q16044" s="318"/>
      <c r="R16044" s="318"/>
      <c r="S16044" s="318"/>
      <c r="T16044" s="318"/>
      <c r="U16044" s="318"/>
      <c r="V16044" s="318"/>
      <c r="W16044" s="318"/>
      <c r="X16044" s="318"/>
      <c r="Y16044" s="318"/>
      <c r="Z16044" s="318"/>
      <c r="AA16044" s="318"/>
      <c r="AB16044" s="318"/>
      <c r="AC16044" s="318"/>
      <c r="AD16044" s="318"/>
    </row>
    <row r="16045" spans="2:30" s="323" customFormat="1" ht="12" customHeight="1">
      <c r="B16045" s="324"/>
      <c r="C16045" s="325"/>
      <c r="D16045" s="326"/>
      <c r="E16045" s="326"/>
      <c r="F16045" s="326"/>
      <c r="G16045" s="326"/>
      <c r="H16045" s="326"/>
      <c r="P16045" s="318"/>
      <c r="Q16045" s="318"/>
      <c r="R16045" s="318"/>
      <c r="S16045" s="318"/>
      <c r="T16045" s="318"/>
      <c r="U16045" s="318"/>
      <c r="V16045" s="318"/>
      <c r="W16045" s="318"/>
      <c r="X16045" s="318"/>
      <c r="Y16045" s="318"/>
      <c r="Z16045" s="318"/>
      <c r="AA16045" s="318"/>
      <c r="AB16045" s="318"/>
      <c r="AC16045" s="318"/>
      <c r="AD16045" s="318"/>
    </row>
    <row r="16046" spans="2:30" s="323" customFormat="1" ht="12" customHeight="1">
      <c r="B16046" s="324"/>
      <c r="C16046" s="325"/>
      <c r="D16046" s="326"/>
      <c r="E16046" s="326"/>
      <c r="F16046" s="326"/>
      <c r="G16046" s="326"/>
      <c r="H16046" s="326"/>
      <c r="P16046" s="318"/>
      <c r="Q16046" s="318"/>
      <c r="R16046" s="318"/>
      <c r="S16046" s="318"/>
      <c r="T16046" s="318"/>
      <c r="U16046" s="318"/>
      <c r="V16046" s="318"/>
      <c r="W16046" s="318"/>
      <c r="X16046" s="318"/>
      <c r="Y16046" s="318"/>
      <c r="Z16046" s="318"/>
      <c r="AA16046" s="318"/>
      <c r="AB16046" s="318"/>
      <c r="AC16046" s="318"/>
      <c r="AD16046" s="318"/>
    </row>
    <row r="16047" spans="2:30" s="323" customFormat="1" ht="12" customHeight="1">
      <c r="B16047" s="324"/>
      <c r="C16047" s="325"/>
      <c r="D16047" s="326"/>
      <c r="E16047" s="326"/>
      <c r="F16047" s="326"/>
      <c r="G16047" s="326"/>
      <c r="H16047" s="326"/>
      <c r="P16047" s="318"/>
      <c r="Q16047" s="318"/>
      <c r="R16047" s="318"/>
      <c r="S16047" s="318"/>
      <c r="T16047" s="318"/>
      <c r="U16047" s="318"/>
      <c r="V16047" s="318"/>
      <c r="W16047" s="318"/>
      <c r="X16047" s="318"/>
      <c r="Y16047" s="318"/>
      <c r="Z16047" s="318"/>
      <c r="AA16047" s="318"/>
      <c r="AB16047" s="318"/>
      <c r="AC16047" s="318"/>
      <c r="AD16047" s="318"/>
    </row>
    <row r="16048" spans="2:30" s="323" customFormat="1" ht="12" customHeight="1">
      <c r="B16048" s="324"/>
      <c r="C16048" s="325"/>
      <c r="D16048" s="326"/>
      <c r="E16048" s="326"/>
      <c r="F16048" s="326"/>
      <c r="G16048" s="326"/>
      <c r="H16048" s="326"/>
      <c r="P16048" s="318"/>
      <c r="Q16048" s="318"/>
      <c r="R16048" s="318"/>
      <c r="S16048" s="318"/>
      <c r="T16048" s="318"/>
      <c r="U16048" s="318"/>
      <c r="V16048" s="318"/>
      <c r="W16048" s="318"/>
      <c r="X16048" s="318"/>
      <c r="Y16048" s="318"/>
      <c r="Z16048" s="318"/>
      <c r="AA16048" s="318"/>
      <c r="AB16048" s="318"/>
      <c r="AC16048" s="318"/>
      <c r="AD16048" s="318"/>
    </row>
    <row r="16049" spans="2:30" s="323" customFormat="1" ht="12" customHeight="1">
      <c r="B16049" s="324"/>
      <c r="C16049" s="325"/>
      <c r="D16049" s="326"/>
      <c r="E16049" s="326"/>
      <c r="F16049" s="326"/>
      <c r="G16049" s="326"/>
      <c r="H16049" s="326"/>
      <c r="P16049" s="318"/>
      <c r="Q16049" s="318"/>
      <c r="R16049" s="318"/>
      <c r="S16049" s="318"/>
      <c r="T16049" s="318"/>
      <c r="U16049" s="318"/>
      <c r="V16049" s="318"/>
      <c r="W16049" s="318"/>
      <c r="X16049" s="318"/>
      <c r="Y16049" s="318"/>
      <c r="Z16049" s="318"/>
      <c r="AA16049" s="318"/>
      <c r="AB16049" s="318"/>
      <c r="AC16049" s="318"/>
      <c r="AD16049" s="318"/>
    </row>
    <row r="16050" spans="2:30" s="323" customFormat="1" ht="12" customHeight="1">
      <c r="B16050" s="324"/>
      <c r="C16050" s="325"/>
      <c r="D16050" s="326"/>
      <c r="E16050" s="326"/>
      <c r="F16050" s="326"/>
      <c r="G16050" s="326"/>
      <c r="H16050" s="326"/>
      <c r="P16050" s="318"/>
      <c r="Q16050" s="318"/>
      <c r="R16050" s="318"/>
      <c r="S16050" s="318"/>
      <c r="T16050" s="318"/>
      <c r="U16050" s="318"/>
      <c r="V16050" s="318"/>
      <c r="W16050" s="318"/>
      <c r="X16050" s="318"/>
      <c r="Y16050" s="318"/>
      <c r="Z16050" s="318"/>
      <c r="AA16050" s="318"/>
      <c r="AB16050" s="318"/>
      <c r="AC16050" s="318"/>
      <c r="AD16050" s="318"/>
    </row>
    <row r="16051" spans="2:30" s="323" customFormat="1" ht="12" customHeight="1">
      <c r="B16051" s="324"/>
      <c r="C16051" s="325"/>
      <c r="D16051" s="326"/>
      <c r="E16051" s="326"/>
      <c r="F16051" s="326"/>
      <c r="G16051" s="326"/>
      <c r="H16051" s="326"/>
      <c r="P16051" s="318"/>
      <c r="Q16051" s="318"/>
      <c r="R16051" s="318"/>
      <c r="S16051" s="318"/>
      <c r="T16051" s="318"/>
      <c r="U16051" s="318"/>
      <c r="V16051" s="318"/>
      <c r="W16051" s="318"/>
      <c r="X16051" s="318"/>
      <c r="Y16051" s="318"/>
      <c r="Z16051" s="318"/>
      <c r="AA16051" s="318"/>
      <c r="AB16051" s="318"/>
      <c r="AC16051" s="318"/>
      <c r="AD16051" s="318"/>
    </row>
    <row r="16052" spans="2:30" s="323" customFormat="1" ht="12" customHeight="1">
      <c r="B16052" s="324"/>
      <c r="C16052" s="325"/>
      <c r="D16052" s="326"/>
      <c r="E16052" s="326"/>
      <c r="F16052" s="326"/>
      <c r="G16052" s="326"/>
      <c r="H16052" s="326"/>
      <c r="P16052" s="318"/>
      <c r="Q16052" s="318"/>
      <c r="R16052" s="318"/>
      <c r="S16052" s="318"/>
      <c r="T16052" s="318"/>
      <c r="U16052" s="318"/>
      <c r="V16052" s="318"/>
      <c r="W16052" s="318"/>
      <c r="X16052" s="318"/>
      <c r="Y16052" s="318"/>
      <c r="Z16052" s="318"/>
      <c r="AA16052" s="318"/>
      <c r="AB16052" s="318"/>
      <c r="AC16052" s="318"/>
      <c r="AD16052" s="318"/>
    </row>
    <row r="16053" spans="2:30" s="323" customFormat="1" ht="12" customHeight="1">
      <c r="B16053" s="324"/>
      <c r="C16053" s="325"/>
      <c r="D16053" s="326"/>
      <c r="E16053" s="326"/>
      <c r="F16053" s="326"/>
      <c r="G16053" s="326"/>
      <c r="H16053" s="326"/>
      <c r="P16053" s="318"/>
      <c r="Q16053" s="318"/>
      <c r="R16053" s="318"/>
      <c r="S16053" s="318"/>
      <c r="T16053" s="318"/>
      <c r="U16053" s="318"/>
      <c r="V16053" s="318"/>
      <c r="W16053" s="318"/>
      <c r="X16053" s="318"/>
      <c r="Y16053" s="318"/>
      <c r="Z16053" s="318"/>
      <c r="AA16053" s="318"/>
      <c r="AB16053" s="318"/>
      <c r="AC16053" s="318"/>
      <c r="AD16053" s="318"/>
    </row>
    <row r="16054" spans="2:30" s="323" customFormat="1" ht="12" customHeight="1">
      <c r="B16054" s="324"/>
      <c r="C16054" s="325"/>
      <c r="D16054" s="326"/>
      <c r="E16054" s="326"/>
      <c r="F16054" s="326"/>
      <c r="G16054" s="326"/>
      <c r="H16054" s="326"/>
      <c r="P16054" s="318"/>
      <c r="Q16054" s="318"/>
      <c r="R16054" s="318"/>
      <c r="S16054" s="318"/>
      <c r="T16054" s="318"/>
      <c r="U16054" s="318"/>
      <c r="V16054" s="318"/>
      <c r="W16054" s="318"/>
      <c r="X16054" s="318"/>
      <c r="Y16054" s="318"/>
      <c r="Z16054" s="318"/>
      <c r="AA16054" s="318"/>
      <c r="AB16054" s="318"/>
      <c r="AC16054" s="318"/>
      <c r="AD16054" s="318"/>
    </row>
    <row r="16055" spans="2:30" s="323" customFormat="1" ht="12" customHeight="1">
      <c r="B16055" s="324"/>
      <c r="C16055" s="325"/>
      <c r="D16055" s="326"/>
      <c r="E16055" s="326"/>
      <c r="F16055" s="326"/>
      <c r="G16055" s="326"/>
      <c r="H16055" s="326"/>
      <c r="P16055" s="318"/>
      <c r="Q16055" s="318"/>
      <c r="R16055" s="318"/>
      <c r="S16055" s="318"/>
      <c r="T16055" s="318"/>
      <c r="U16055" s="318"/>
      <c r="V16055" s="318"/>
      <c r="W16055" s="318"/>
      <c r="X16055" s="318"/>
      <c r="Y16055" s="318"/>
      <c r="Z16055" s="318"/>
      <c r="AA16055" s="318"/>
      <c r="AB16055" s="318"/>
      <c r="AC16055" s="318"/>
      <c r="AD16055" s="318"/>
    </row>
    <row r="16056" spans="2:30" s="323" customFormat="1" ht="12" customHeight="1">
      <c r="B16056" s="324"/>
      <c r="C16056" s="325"/>
      <c r="D16056" s="326"/>
      <c r="E16056" s="326"/>
      <c r="F16056" s="326"/>
      <c r="G16056" s="326"/>
      <c r="H16056" s="326"/>
      <c r="P16056" s="318"/>
      <c r="Q16056" s="318"/>
      <c r="R16056" s="318"/>
      <c r="S16056" s="318"/>
      <c r="T16056" s="318"/>
      <c r="U16056" s="318"/>
      <c r="V16056" s="318"/>
      <c r="W16056" s="318"/>
      <c r="X16056" s="318"/>
      <c r="Y16056" s="318"/>
      <c r="Z16056" s="318"/>
      <c r="AA16056" s="318"/>
      <c r="AB16056" s="318"/>
      <c r="AC16056" s="318"/>
      <c r="AD16056" s="318"/>
    </row>
    <row r="16057" spans="2:30" s="323" customFormat="1" ht="12" customHeight="1">
      <c r="B16057" s="324"/>
      <c r="C16057" s="325"/>
      <c r="D16057" s="326"/>
      <c r="E16057" s="326"/>
      <c r="F16057" s="326"/>
      <c r="G16057" s="326"/>
      <c r="H16057" s="326"/>
      <c r="P16057" s="318"/>
      <c r="Q16057" s="318"/>
      <c r="R16057" s="318"/>
      <c r="S16057" s="318"/>
      <c r="T16057" s="318"/>
      <c r="U16057" s="318"/>
      <c r="V16057" s="318"/>
      <c r="W16057" s="318"/>
      <c r="X16057" s="318"/>
      <c r="Y16057" s="318"/>
      <c r="Z16057" s="318"/>
      <c r="AA16057" s="318"/>
      <c r="AB16057" s="318"/>
      <c r="AC16057" s="318"/>
      <c r="AD16057" s="318"/>
    </row>
    <row r="16058" spans="2:30" s="323" customFormat="1" ht="12" customHeight="1">
      <c r="B16058" s="324"/>
      <c r="C16058" s="325"/>
      <c r="D16058" s="326"/>
      <c r="E16058" s="326"/>
      <c r="F16058" s="326"/>
      <c r="G16058" s="326"/>
      <c r="H16058" s="326"/>
      <c r="P16058" s="318"/>
      <c r="Q16058" s="318"/>
      <c r="R16058" s="318"/>
      <c r="S16058" s="318"/>
      <c r="T16058" s="318"/>
      <c r="U16058" s="318"/>
      <c r="V16058" s="318"/>
      <c r="W16058" s="318"/>
      <c r="X16058" s="318"/>
      <c r="Y16058" s="318"/>
      <c r="Z16058" s="318"/>
      <c r="AA16058" s="318"/>
      <c r="AB16058" s="318"/>
      <c r="AC16058" s="318"/>
      <c r="AD16058" s="318"/>
    </row>
    <row r="16059" spans="2:30" s="323" customFormat="1" ht="12" customHeight="1">
      <c r="B16059" s="324"/>
      <c r="C16059" s="325"/>
      <c r="D16059" s="326"/>
      <c r="E16059" s="326"/>
      <c r="F16059" s="326"/>
      <c r="G16059" s="326"/>
      <c r="H16059" s="326"/>
      <c r="P16059" s="318"/>
      <c r="Q16059" s="318"/>
      <c r="R16059" s="318"/>
      <c r="S16059" s="318"/>
      <c r="T16059" s="318"/>
      <c r="U16059" s="318"/>
      <c r="V16059" s="318"/>
      <c r="W16059" s="318"/>
      <c r="X16059" s="318"/>
      <c r="Y16059" s="318"/>
      <c r="Z16059" s="318"/>
      <c r="AA16059" s="318"/>
      <c r="AB16059" s="318"/>
      <c r="AC16059" s="318"/>
      <c r="AD16059" s="318"/>
    </row>
    <row r="16060" spans="2:30" s="323" customFormat="1" ht="12" customHeight="1">
      <c r="B16060" s="324"/>
      <c r="C16060" s="325"/>
      <c r="D16060" s="326"/>
      <c r="E16060" s="326"/>
      <c r="F16060" s="326"/>
      <c r="G16060" s="326"/>
      <c r="H16060" s="326"/>
      <c r="P16060" s="318"/>
      <c r="Q16060" s="318"/>
      <c r="R16060" s="318"/>
      <c r="S16060" s="318"/>
      <c r="T16060" s="318"/>
      <c r="U16060" s="318"/>
      <c r="V16060" s="318"/>
      <c r="W16060" s="318"/>
      <c r="X16060" s="318"/>
      <c r="Y16060" s="318"/>
      <c r="Z16060" s="318"/>
      <c r="AA16060" s="318"/>
      <c r="AB16060" s="318"/>
      <c r="AC16060" s="318"/>
      <c r="AD16060" s="318"/>
    </row>
    <row r="16061" spans="2:30" s="323" customFormat="1" ht="12" customHeight="1">
      <c r="B16061" s="324"/>
      <c r="C16061" s="325"/>
      <c r="D16061" s="326"/>
      <c r="E16061" s="326"/>
      <c r="F16061" s="326"/>
      <c r="G16061" s="326"/>
      <c r="H16061" s="326"/>
      <c r="P16061" s="318"/>
      <c r="Q16061" s="318"/>
      <c r="R16061" s="318"/>
      <c r="S16061" s="318"/>
      <c r="T16061" s="318"/>
      <c r="U16061" s="318"/>
      <c r="V16061" s="318"/>
      <c r="W16061" s="318"/>
      <c r="X16061" s="318"/>
      <c r="Y16061" s="318"/>
      <c r="Z16061" s="318"/>
      <c r="AA16061" s="318"/>
      <c r="AB16061" s="318"/>
      <c r="AC16061" s="318"/>
      <c r="AD16061" s="318"/>
    </row>
    <row r="16062" spans="2:30" s="323" customFormat="1" ht="12" customHeight="1">
      <c r="B16062" s="324"/>
      <c r="C16062" s="325"/>
      <c r="D16062" s="326"/>
      <c r="E16062" s="326"/>
      <c r="F16062" s="326"/>
      <c r="G16062" s="326"/>
      <c r="H16062" s="326"/>
      <c r="P16062" s="318"/>
      <c r="Q16062" s="318"/>
      <c r="R16062" s="318"/>
      <c r="S16062" s="318"/>
      <c r="T16062" s="318"/>
      <c r="U16062" s="318"/>
      <c r="V16062" s="318"/>
      <c r="W16062" s="318"/>
      <c r="X16062" s="318"/>
      <c r="Y16062" s="318"/>
      <c r="Z16062" s="318"/>
      <c r="AA16062" s="318"/>
      <c r="AB16062" s="318"/>
      <c r="AC16062" s="318"/>
      <c r="AD16062" s="318"/>
    </row>
    <row r="16063" spans="2:30" s="323" customFormat="1" ht="12" customHeight="1">
      <c r="B16063" s="324"/>
      <c r="C16063" s="325"/>
      <c r="D16063" s="326"/>
      <c r="E16063" s="326"/>
      <c r="F16063" s="326"/>
      <c r="G16063" s="326"/>
      <c r="H16063" s="326"/>
      <c r="P16063" s="318"/>
      <c r="Q16063" s="318"/>
      <c r="R16063" s="318"/>
      <c r="S16063" s="318"/>
      <c r="T16063" s="318"/>
      <c r="U16063" s="318"/>
      <c r="V16063" s="318"/>
      <c r="W16063" s="318"/>
      <c r="X16063" s="318"/>
      <c r="Y16063" s="318"/>
      <c r="Z16063" s="318"/>
      <c r="AA16063" s="318"/>
      <c r="AB16063" s="318"/>
      <c r="AC16063" s="318"/>
      <c r="AD16063" s="318"/>
    </row>
    <row r="16064" spans="2:30" s="323" customFormat="1" ht="12" customHeight="1">
      <c r="B16064" s="324"/>
      <c r="C16064" s="325"/>
      <c r="D16064" s="326"/>
      <c r="E16064" s="326"/>
      <c r="F16064" s="326"/>
      <c r="G16064" s="326"/>
      <c r="H16064" s="326"/>
      <c r="P16064" s="318"/>
      <c r="Q16064" s="318"/>
      <c r="R16064" s="318"/>
      <c r="S16064" s="318"/>
      <c r="T16064" s="318"/>
      <c r="U16064" s="318"/>
      <c r="V16064" s="318"/>
      <c r="W16064" s="318"/>
      <c r="X16064" s="318"/>
      <c r="Y16064" s="318"/>
      <c r="Z16064" s="318"/>
      <c r="AA16064" s="318"/>
      <c r="AB16064" s="318"/>
      <c r="AC16064" s="318"/>
      <c r="AD16064" s="318"/>
    </row>
    <row r="16065" spans="2:30" s="323" customFormat="1" ht="12" customHeight="1">
      <c r="B16065" s="324"/>
      <c r="C16065" s="325"/>
      <c r="D16065" s="326"/>
      <c r="E16065" s="326"/>
      <c r="F16065" s="326"/>
      <c r="G16065" s="326"/>
      <c r="H16065" s="326"/>
      <c r="P16065" s="318"/>
      <c r="Q16065" s="318"/>
      <c r="R16065" s="318"/>
      <c r="S16065" s="318"/>
      <c r="T16065" s="318"/>
      <c r="U16065" s="318"/>
      <c r="V16065" s="318"/>
      <c r="W16065" s="318"/>
      <c r="X16065" s="318"/>
      <c r="Y16065" s="318"/>
      <c r="Z16065" s="318"/>
      <c r="AA16065" s="318"/>
      <c r="AB16065" s="318"/>
      <c r="AC16065" s="318"/>
      <c r="AD16065" s="318"/>
    </row>
    <row r="16066" spans="2:30" s="323" customFormat="1" ht="12" customHeight="1">
      <c r="B16066" s="324"/>
      <c r="C16066" s="325"/>
      <c r="D16066" s="326"/>
      <c r="E16066" s="326"/>
      <c r="F16066" s="326"/>
      <c r="G16066" s="326"/>
      <c r="H16066" s="326"/>
      <c r="P16066" s="318"/>
      <c r="Q16066" s="318"/>
      <c r="R16066" s="318"/>
      <c r="S16066" s="318"/>
      <c r="T16066" s="318"/>
      <c r="U16066" s="318"/>
      <c r="V16066" s="318"/>
      <c r="W16066" s="318"/>
      <c r="X16066" s="318"/>
      <c r="Y16066" s="318"/>
      <c r="Z16066" s="318"/>
      <c r="AA16066" s="318"/>
      <c r="AB16066" s="318"/>
      <c r="AC16066" s="318"/>
      <c r="AD16066" s="318"/>
    </row>
    <row r="16067" spans="2:30" s="323" customFormat="1" ht="12" customHeight="1">
      <c r="B16067" s="324"/>
      <c r="C16067" s="325"/>
      <c r="D16067" s="326"/>
      <c r="E16067" s="326"/>
      <c r="F16067" s="326"/>
      <c r="G16067" s="326"/>
      <c r="H16067" s="326"/>
      <c r="P16067" s="318"/>
      <c r="Q16067" s="318"/>
      <c r="R16067" s="318"/>
      <c r="S16067" s="318"/>
      <c r="T16067" s="318"/>
      <c r="U16067" s="318"/>
      <c r="V16067" s="318"/>
      <c r="W16067" s="318"/>
      <c r="X16067" s="318"/>
      <c r="Y16067" s="318"/>
      <c r="Z16067" s="318"/>
      <c r="AA16067" s="318"/>
      <c r="AB16067" s="318"/>
      <c r="AC16067" s="318"/>
      <c r="AD16067" s="318"/>
    </row>
    <row r="16068" spans="2:30" s="323" customFormat="1" ht="12" customHeight="1">
      <c r="B16068" s="324"/>
      <c r="C16068" s="325"/>
      <c r="D16068" s="326"/>
      <c r="E16068" s="326"/>
      <c r="F16068" s="326"/>
      <c r="G16068" s="326"/>
      <c r="H16068" s="326"/>
      <c r="P16068" s="318"/>
      <c r="Q16068" s="318"/>
      <c r="R16068" s="318"/>
      <c r="S16068" s="318"/>
      <c r="T16068" s="318"/>
      <c r="U16068" s="318"/>
      <c r="V16068" s="318"/>
      <c r="W16068" s="318"/>
      <c r="X16068" s="318"/>
      <c r="Y16068" s="318"/>
      <c r="Z16068" s="318"/>
      <c r="AA16068" s="318"/>
      <c r="AB16068" s="318"/>
      <c r="AC16068" s="318"/>
      <c r="AD16068" s="318"/>
    </row>
    <row r="16069" spans="2:30" s="323" customFormat="1" ht="12" customHeight="1">
      <c r="B16069" s="324"/>
      <c r="C16069" s="325"/>
      <c r="D16069" s="326"/>
      <c r="E16069" s="326"/>
      <c r="F16069" s="326"/>
      <c r="G16069" s="326"/>
      <c r="H16069" s="326"/>
      <c r="P16069" s="318"/>
      <c r="Q16069" s="318"/>
      <c r="R16069" s="318"/>
      <c r="S16069" s="318"/>
      <c r="T16069" s="318"/>
      <c r="U16069" s="318"/>
      <c r="V16069" s="318"/>
      <c r="W16069" s="318"/>
      <c r="X16069" s="318"/>
      <c r="Y16069" s="318"/>
      <c r="Z16069" s="318"/>
      <c r="AA16069" s="318"/>
      <c r="AB16069" s="318"/>
      <c r="AC16069" s="318"/>
      <c r="AD16069" s="318"/>
    </row>
    <row r="16070" spans="2:30" s="323" customFormat="1" ht="12" customHeight="1">
      <c r="B16070" s="324"/>
      <c r="C16070" s="325"/>
      <c r="D16070" s="326"/>
      <c r="E16070" s="326"/>
      <c r="F16070" s="326"/>
      <c r="G16070" s="326"/>
      <c r="H16070" s="326"/>
      <c r="P16070" s="318"/>
      <c r="Q16070" s="318"/>
      <c r="R16070" s="318"/>
      <c r="S16070" s="318"/>
      <c r="T16070" s="318"/>
      <c r="U16070" s="318"/>
      <c r="V16070" s="318"/>
      <c r="W16070" s="318"/>
      <c r="X16070" s="318"/>
      <c r="Y16070" s="318"/>
      <c r="Z16070" s="318"/>
      <c r="AA16070" s="318"/>
      <c r="AB16070" s="318"/>
      <c r="AC16070" s="318"/>
      <c r="AD16070" s="318"/>
    </row>
    <row r="16071" spans="2:30" s="323" customFormat="1" ht="12" customHeight="1">
      <c r="B16071" s="324"/>
      <c r="C16071" s="325"/>
      <c r="D16071" s="326"/>
      <c r="E16071" s="326"/>
      <c r="F16071" s="326"/>
      <c r="G16071" s="326"/>
      <c r="H16071" s="326"/>
      <c r="P16071" s="318"/>
      <c r="Q16071" s="318"/>
      <c r="R16071" s="318"/>
      <c r="S16071" s="318"/>
      <c r="T16071" s="318"/>
      <c r="U16071" s="318"/>
      <c r="V16071" s="318"/>
      <c r="W16071" s="318"/>
      <c r="X16071" s="318"/>
      <c r="Y16071" s="318"/>
      <c r="Z16071" s="318"/>
      <c r="AA16071" s="318"/>
      <c r="AB16071" s="318"/>
      <c r="AC16071" s="318"/>
      <c r="AD16071" s="318"/>
    </row>
    <row r="16072" spans="2:30" s="323" customFormat="1" ht="12" customHeight="1">
      <c r="B16072" s="324"/>
      <c r="C16072" s="325"/>
      <c r="D16072" s="326"/>
      <c r="E16072" s="326"/>
      <c r="F16072" s="326"/>
      <c r="G16072" s="326"/>
      <c r="H16072" s="326"/>
      <c r="P16072" s="318"/>
      <c r="Q16072" s="318"/>
      <c r="R16072" s="318"/>
      <c r="S16072" s="318"/>
      <c r="T16072" s="318"/>
      <c r="U16072" s="318"/>
      <c r="V16072" s="318"/>
      <c r="W16072" s="318"/>
      <c r="X16072" s="318"/>
      <c r="Y16072" s="318"/>
      <c r="Z16072" s="318"/>
      <c r="AA16072" s="318"/>
      <c r="AB16072" s="318"/>
      <c r="AC16072" s="318"/>
      <c r="AD16072" s="318"/>
    </row>
    <row r="16073" spans="2:30" s="323" customFormat="1" ht="12" customHeight="1">
      <c r="B16073" s="324"/>
      <c r="C16073" s="325"/>
      <c r="D16073" s="326"/>
      <c r="E16073" s="326"/>
      <c r="F16073" s="326"/>
      <c r="G16073" s="326"/>
      <c r="H16073" s="326"/>
      <c r="P16073" s="318"/>
      <c r="Q16073" s="318"/>
      <c r="R16073" s="318"/>
      <c r="S16073" s="318"/>
      <c r="T16073" s="318"/>
      <c r="U16073" s="318"/>
      <c r="V16073" s="318"/>
      <c r="W16073" s="318"/>
      <c r="X16073" s="318"/>
      <c r="Y16073" s="318"/>
      <c r="Z16073" s="318"/>
      <c r="AA16073" s="318"/>
      <c r="AB16073" s="318"/>
      <c r="AC16073" s="318"/>
      <c r="AD16073" s="318"/>
    </row>
    <row r="16074" spans="2:30" s="323" customFormat="1" ht="12" customHeight="1">
      <c r="B16074" s="324"/>
      <c r="C16074" s="325"/>
      <c r="D16074" s="326"/>
      <c r="E16074" s="326"/>
      <c r="F16074" s="326"/>
      <c r="G16074" s="326"/>
      <c r="H16074" s="326"/>
      <c r="P16074" s="318"/>
      <c r="Q16074" s="318"/>
      <c r="R16074" s="318"/>
      <c r="S16074" s="318"/>
      <c r="T16074" s="318"/>
      <c r="U16074" s="318"/>
      <c r="V16074" s="318"/>
      <c r="W16074" s="318"/>
      <c r="X16074" s="318"/>
      <c r="Y16074" s="318"/>
      <c r="Z16074" s="318"/>
      <c r="AA16074" s="318"/>
      <c r="AB16074" s="318"/>
      <c r="AC16074" s="318"/>
      <c r="AD16074" s="318"/>
    </row>
    <row r="16075" spans="2:30" s="323" customFormat="1" ht="12" customHeight="1">
      <c r="B16075" s="324"/>
      <c r="C16075" s="325"/>
      <c r="D16075" s="326"/>
      <c r="E16075" s="326"/>
      <c r="F16075" s="326"/>
      <c r="G16075" s="326"/>
      <c r="H16075" s="326"/>
      <c r="P16075" s="318"/>
      <c r="Q16075" s="318"/>
      <c r="R16075" s="318"/>
      <c r="S16075" s="318"/>
      <c r="T16075" s="318"/>
      <c r="U16075" s="318"/>
      <c r="V16075" s="318"/>
      <c r="W16075" s="318"/>
      <c r="X16075" s="318"/>
      <c r="Y16075" s="318"/>
      <c r="Z16075" s="318"/>
      <c r="AA16075" s="318"/>
      <c r="AB16075" s="318"/>
      <c r="AC16075" s="318"/>
      <c r="AD16075" s="318"/>
    </row>
    <row r="16076" spans="2:30" s="323" customFormat="1" ht="12" customHeight="1">
      <c r="B16076" s="324"/>
      <c r="C16076" s="325"/>
      <c r="D16076" s="326"/>
      <c r="E16076" s="326"/>
      <c r="F16076" s="326"/>
      <c r="G16076" s="326"/>
      <c r="H16076" s="326"/>
      <c r="P16076" s="318"/>
      <c r="Q16076" s="318"/>
      <c r="R16076" s="318"/>
      <c r="S16076" s="318"/>
      <c r="T16076" s="318"/>
      <c r="U16076" s="318"/>
      <c r="V16076" s="318"/>
      <c r="W16076" s="318"/>
      <c r="X16076" s="318"/>
      <c r="Y16076" s="318"/>
      <c r="Z16076" s="318"/>
      <c r="AA16076" s="318"/>
      <c r="AB16076" s="318"/>
      <c r="AC16076" s="318"/>
      <c r="AD16076" s="318"/>
    </row>
    <row r="16077" spans="2:30" s="323" customFormat="1" ht="12" customHeight="1">
      <c r="B16077" s="324"/>
      <c r="C16077" s="325"/>
      <c r="D16077" s="326"/>
      <c r="E16077" s="326"/>
      <c r="F16077" s="326"/>
      <c r="G16077" s="326"/>
      <c r="H16077" s="326"/>
      <c r="P16077" s="318"/>
      <c r="Q16077" s="318"/>
      <c r="R16077" s="318"/>
      <c r="S16077" s="318"/>
      <c r="T16077" s="318"/>
      <c r="U16077" s="318"/>
      <c r="V16077" s="318"/>
      <c r="W16077" s="318"/>
      <c r="X16077" s="318"/>
      <c r="Y16077" s="318"/>
      <c r="Z16077" s="318"/>
      <c r="AA16077" s="318"/>
      <c r="AB16077" s="318"/>
      <c r="AC16077" s="318"/>
      <c r="AD16077" s="318"/>
    </row>
    <row r="16078" spans="2:30" s="323" customFormat="1" ht="12" customHeight="1">
      <c r="B16078" s="324"/>
      <c r="C16078" s="325"/>
      <c r="D16078" s="326"/>
      <c r="E16078" s="326"/>
      <c r="F16078" s="326"/>
      <c r="G16078" s="326"/>
      <c r="H16078" s="326"/>
      <c r="P16078" s="318"/>
      <c r="Q16078" s="318"/>
      <c r="R16078" s="318"/>
      <c r="S16078" s="318"/>
      <c r="T16078" s="318"/>
      <c r="U16078" s="318"/>
      <c r="V16078" s="318"/>
      <c r="W16078" s="318"/>
      <c r="X16078" s="318"/>
      <c r="Y16078" s="318"/>
      <c r="Z16078" s="318"/>
      <c r="AA16078" s="318"/>
      <c r="AB16078" s="318"/>
      <c r="AC16078" s="318"/>
      <c r="AD16078" s="318"/>
    </row>
    <row r="16079" spans="2:30" s="323" customFormat="1" ht="12" customHeight="1">
      <c r="B16079" s="324"/>
      <c r="C16079" s="325"/>
      <c r="D16079" s="326"/>
      <c r="E16079" s="326"/>
      <c r="F16079" s="326"/>
      <c r="G16079" s="326"/>
      <c r="H16079" s="326"/>
      <c r="P16079" s="318"/>
      <c r="Q16079" s="318"/>
      <c r="R16079" s="318"/>
      <c r="S16079" s="318"/>
      <c r="T16079" s="318"/>
      <c r="U16079" s="318"/>
      <c r="V16079" s="318"/>
      <c r="W16079" s="318"/>
      <c r="X16079" s="318"/>
      <c r="Y16079" s="318"/>
      <c r="Z16079" s="318"/>
      <c r="AA16079" s="318"/>
      <c r="AB16079" s="318"/>
      <c r="AC16079" s="318"/>
      <c r="AD16079" s="318"/>
    </row>
    <row r="16080" spans="2:30" s="323" customFormat="1" ht="12" customHeight="1">
      <c r="B16080" s="324"/>
      <c r="C16080" s="325"/>
      <c r="D16080" s="326"/>
      <c r="E16080" s="326"/>
      <c r="F16080" s="326"/>
      <c r="G16080" s="326"/>
      <c r="H16080" s="326"/>
      <c r="P16080" s="318"/>
      <c r="Q16080" s="318"/>
      <c r="R16080" s="318"/>
      <c r="S16080" s="318"/>
      <c r="T16080" s="318"/>
      <c r="U16080" s="318"/>
      <c r="V16080" s="318"/>
      <c r="W16080" s="318"/>
      <c r="X16080" s="318"/>
      <c r="Y16080" s="318"/>
      <c r="Z16080" s="318"/>
      <c r="AA16080" s="318"/>
      <c r="AB16080" s="318"/>
      <c r="AC16080" s="318"/>
      <c r="AD16080" s="318"/>
    </row>
    <row r="16081" spans="2:30" s="323" customFormat="1" ht="12" customHeight="1">
      <c r="B16081" s="324"/>
      <c r="C16081" s="325"/>
      <c r="D16081" s="326"/>
      <c r="E16081" s="326"/>
      <c r="F16081" s="326"/>
      <c r="G16081" s="326"/>
      <c r="H16081" s="326"/>
      <c r="P16081" s="318"/>
      <c r="Q16081" s="318"/>
      <c r="R16081" s="318"/>
      <c r="S16081" s="318"/>
      <c r="T16081" s="318"/>
      <c r="U16081" s="318"/>
      <c r="V16081" s="318"/>
      <c r="W16081" s="318"/>
      <c r="X16081" s="318"/>
      <c r="Y16081" s="318"/>
      <c r="Z16081" s="318"/>
      <c r="AA16081" s="318"/>
      <c r="AB16081" s="318"/>
      <c r="AC16081" s="318"/>
      <c r="AD16081" s="318"/>
    </row>
    <row r="16082" spans="2:30" s="323" customFormat="1" ht="12" customHeight="1">
      <c r="B16082" s="324"/>
      <c r="C16082" s="325"/>
      <c r="D16082" s="326"/>
      <c r="E16082" s="326"/>
      <c r="F16082" s="326"/>
      <c r="G16082" s="326"/>
      <c r="H16082" s="326"/>
      <c r="P16082" s="318"/>
      <c r="Q16082" s="318"/>
      <c r="R16082" s="318"/>
      <c r="S16082" s="318"/>
      <c r="T16082" s="318"/>
      <c r="U16082" s="318"/>
      <c r="V16082" s="318"/>
      <c r="W16082" s="318"/>
      <c r="X16082" s="318"/>
      <c r="Y16082" s="318"/>
      <c r="Z16082" s="318"/>
      <c r="AA16082" s="318"/>
      <c r="AB16082" s="318"/>
      <c r="AC16082" s="318"/>
      <c r="AD16082" s="318"/>
    </row>
    <row r="16083" spans="2:30" s="323" customFormat="1" ht="12" customHeight="1">
      <c r="B16083" s="324"/>
      <c r="C16083" s="325"/>
      <c r="D16083" s="326"/>
      <c r="E16083" s="326"/>
      <c r="F16083" s="326"/>
      <c r="G16083" s="326"/>
      <c r="H16083" s="326"/>
      <c r="P16083" s="318"/>
      <c r="Q16083" s="318"/>
      <c r="R16083" s="318"/>
      <c r="S16083" s="318"/>
      <c r="T16083" s="318"/>
      <c r="U16083" s="318"/>
      <c r="V16083" s="318"/>
      <c r="W16083" s="318"/>
      <c r="X16083" s="318"/>
      <c r="Y16083" s="318"/>
      <c r="Z16083" s="318"/>
      <c r="AA16083" s="318"/>
      <c r="AB16083" s="318"/>
      <c r="AC16083" s="318"/>
      <c r="AD16083" s="318"/>
    </row>
    <row r="16084" spans="2:30" s="323" customFormat="1" ht="12" customHeight="1">
      <c r="B16084" s="324"/>
      <c r="C16084" s="325"/>
      <c r="D16084" s="326"/>
      <c r="E16084" s="326"/>
      <c r="F16084" s="326"/>
      <c r="G16084" s="326"/>
      <c r="H16084" s="326"/>
      <c r="P16084" s="318"/>
      <c r="Q16084" s="318"/>
      <c r="R16084" s="318"/>
      <c r="S16084" s="318"/>
      <c r="T16084" s="318"/>
      <c r="U16084" s="318"/>
      <c r="V16084" s="318"/>
      <c r="W16084" s="318"/>
      <c r="X16084" s="318"/>
      <c r="Y16084" s="318"/>
      <c r="Z16084" s="318"/>
      <c r="AA16084" s="318"/>
      <c r="AB16084" s="318"/>
      <c r="AC16084" s="318"/>
      <c r="AD16084" s="318"/>
    </row>
    <row r="16085" spans="2:30" s="323" customFormat="1" ht="12" customHeight="1">
      <c r="B16085" s="324"/>
      <c r="C16085" s="325"/>
      <c r="D16085" s="326"/>
      <c r="E16085" s="326"/>
      <c r="F16085" s="326"/>
      <c r="G16085" s="326"/>
      <c r="H16085" s="326"/>
      <c r="P16085" s="318"/>
      <c r="Q16085" s="318"/>
      <c r="R16085" s="318"/>
      <c r="S16085" s="318"/>
      <c r="T16085" s="318"/>
      <c r="U16085" s="318"/>
      <c r="V16085" s="318"/>
      <c r="W16085" s="318"/>
      <c r="X16085" s="318"/>
      <c r="Y16085" s="318"/>
      <c r="Z16085" s="318"/>
      <c r="AA16085" s="318"/>
      <c r="AB16085" s="318"/>
      <c r="AC16085" s="318"/>
      <c r="AD16085" s="318"/>
    </row>
    <row r="16086" spans="2:30" s="323" customFormat="1" ht="12" customHeight="1">
      <c r="B16086" s="324"/>
      <c r="C16086" s="325"/>
      <c r="D16086" s="326"/>
      <c r="E16086" s="326"/>
      <c r="F16086" s="326"/>
      <c r="G16086" s="326"/>
      <c r="H16086" s="326"/>
      <c r="P16086" s="318"/>
      <c r="Q16086" s="318"/>
      <c r="R16086" s="318"/>
      <c r="S16086" s="318"/>
      <c r="T16086" s="318"/>
      <c r="U16086" s="318"/>
      <c r="V16086" s="318"/>
      <c r="W16086" s="318"/>
      <c r="X16086" s="318"/>
      <c r="Y16086" s="318"/>
      <c r="Z16086" s="318"/>
      <c r="AA16086" s="318"/>
      <c r="AB16086" s="318"/>
      <c r="AC16086" s="318"/>
      <c r="AD16086" s="318"/>
    </row>
    <row r="16087" spans="2:30" s="323" customFormat="1" ht="12" customHeight="1">
      <c r="B16087" s="324"/>
      <c r="C16087" s="325"/>
      <c r="D16087" s="326"/>
      <c r="E16087" s="326"/>
      <c r="F16087" s="326"/>
      <c r="G16087" s="326"/>
      <c r="H16087" s="326"/>
      <c r="P16087" s="318"/>
      <c r="Q16087" s="318"/>
      <c r="R16087" s="318"/>
      <c r="S16087" s="318"/>
      <c r="T16087" s="318"/>
      <c r="U16087" s="318"/>
      <c r="V16087" s="318"/>
      <c r="W16087" s="318"/>
      <c r="X16087" s="318"/>
      <c r="Y16087" s="318"/>
      <c r="Z16087" s="318"/>
      <c r="AA16087" s="318"/>
      <c r="AB16087" s="318"/>
      <c r="AC16087" s="318"/>
      <c r="AD16087" s="318"/>
    </row>
    <row r="16088" spans="2:30" s="323" customFormat="1" ht="12" customHeight="1">
      <c r="B16088" s="324"/>
      <c r="C16088" s="325"/>
      <c r="D16088" s="326"/>
      <c r="E16088" s="326"/>
      <c r="F16088" s="326"/>
      <c r="G16088" s="326"/>
      <c r="H16088" s="326"/>
      <c r="P16088" s="318"/>
      <c r="Q16088" s="318"/>
      <c r="R16088" s="318"/>
      <c r="S16088" s="318"/>
      <c r="T16088" s="318"/>
      <c r="U16088" s="318"/>
      <c r="V16088" s="318"/>
      <c r="W16088" s="318"/>
      <c r="X16088" s="318"/>
      <c r="Y16088" s="318"/>
      <c r="Z16088" s="318"/>
      <c r="AA16088" s="318"/>
      <c r="AB16088" s="318"/>
      <c r="AC16088" s="318"/>
      <c r="AD16088" s="318"/>
    </row>
    <row r="16089" spans="2:30" s="323" customFormat="1" ht="12" customHeight="1">
      <c r="B16089" s="324"/>
      <c r="C16089" s="325"/>
      <c r="D16089" s="326"/>
      <c r="E16089" s="326"/>
      <c r="F16089" s="326"/>
      <c r="G16089" s="326"/>
      <c r="H16089" s="326"/>
      <c r="P16089" s="318"/>
      <c r="Q16089" s="318"/>
      <c r="R16089" s="318"/>
      <c r="S16089" s="318"/>
      <c r="T16089" s="318"/>
      <c r="U16089" s="318"/>
      <c r="V16089" s="318"/>
      <c r="W16089" s="318"/>
      <c r="X16089" s="318"/>
      <c r="Y16089" s="318"/>
      <c r="Z16089" s="318"/>
      <c r="AA16089" s="318"/>
      <c r="AB16089" s="318"/>
      <c r="AC16089" s="318"/>
      <c r="AD16089" s="318"/>
    </row>
    <row r="16090" spans="2:30" s="323" customFormat="1" ht="12" customHeight="1">
      <c r="B16090" s="324"/>
      <c r="C16090" s="325"/>
      <c r="D16090" s="326"/>
      <c r="E16090" s="326"/>
      <c r="F16090" s="326"/>
      <c r="G16090" s="326"/>
      <c r="H16090" s="326"/>
      <c r="P16090" s="318"/>
      <c r="Q16090" s="318"/>
      <c r="R16090" s="318"/>
      <c r="S16090" s="318"/>
      <c r="T16090" s="318"/>
      <c r="U16090" s="318"/>
      <c r="V16090" s="318"/>
      <c r="W16090" s="318"/>
      <c r="X16090" s="318"/>
      <c r="Y16090" s="318"/>
      <c r="Z16090" s="318"/>
      <c r="AA16090" s="318"/>
      <c r="AB16090" s="318"/>
      <c r="AC16090" s="318"/>
      <c r="AD16090" s="318"/>
    </row>
    <row r="16091" spans="2:30" s="323" customFormat="1" ht="12" customHeight="1">
      <c r="B16091" s="324"/>
      <c r="C16091" s="325"/>
      <c r="D16091" s="326"/>
      <c r="E16091" s="326"/>
      <c r="F16091" s="326"/>
      <c r="G16091" s="326"/>
      <c r="H16091" s="326"/>
      <c r="P16091" s="318"/>
      <c r="Q16091" s="318"/>
      <c r="R16091" s="318"/>
      <c r="S16091" s="318"/>
      <c r="T16091" s="318"/>
      <c r="U16091" s="318"/>
      <c r="V16091" s="318"/>
      <c r="W16091" s="318"/>
      <c r="X16091" s="318"/>
      <c r="Y16091" s="318"/>
      <c r="Z16091" s="318"/>
      <c r="AA16091" s="318"/>
      <c r="AB16091" s="318"/>
      <c r="AC16091" s="318"/>
      <c r="AD16091" s="318"/>
    </row>
    <row r="16092" spans="2:30" s="323" customFormat="1" ht="12" customHeight="1">
      <c r="B16092" s="324"/>
      <c r="C16092" s="325"/>
      <c r="D16092" s="326"/>
      <c r="E16092" s="326"/>
      <c r="F16092" s="326"/>
      <c r="G16092" s="326"/>
      <c r="H16092" s="326"/>
      <c r="P16092" s="318"/>
      <c r="Q16092" s="318"/>
      <c r="R16092" s="318"/>
      <c r="S16092" s="318"/>
      <c r="T16092" s="318"/>
      <c r="U16092" s="318"/>
      <c r="V16092" s="318"/>
      <c r="W16092" s="318"/>
      <c r="X16092" s="318"/>
      <c r="Y16092" s="318"/>
      <c r="Z16092" s="318"/>
      <c r="AA16092" s="318"/>
      <c r="AB16092" s="318"/>
      <c r="AC16092" s="318"/>
      <c r="AD16092" s="318"/>
    </row>
    <row r="16093" spans="2:30" s="323" customFormat="1" ht="12" customHeight="1">
      <c r="B16093" s="324"/>
      <c r="C16093" s="325"/>
      <c r="D16093" s="326"/>
      <c r="E16093" s="326"/>
      <c r="F16093" s="326"/>
      <c r="G16093" s="326"/>
      <c r="H16093" s="326"/>
      <c r="P16093" s="318"/>
      <c r="Q16093" s="318"/>
      <c r="R16093" s="318"/>
      <c r="S16093" s="318"/>
      <c r="T16093" s="318"/>
      <c r="U16093" s="318"/>
      <c r="V16093" s="318"/>
      <c r="W16093" s="318"/>
      <c r="X16093" s="318"/>
      <c r="Y16093" s="318"/>
      <c r="Z16093" s="318"/>
      <c r="AA16093" s="318"/>
      <c r="AB16093" s="318"/>
      <c r="AC16093" s="318"/>
      <c r="AD16093" s="318"/>
    </row>
    <row r="16094" spans="2:30" s="323" customFormat="1" ht="12" customHeight="1">
      <c r="B16094" s="324"/>
      <c r="C16094" s="325"/>
      <c r="D16094" s="326"/>
      <c r="E16094" s="326"/>
      <c r="F16094" s="326"/>
      <c r="G16094" s="326"/>
      <c r="H16094" s="326"/>
      <c r="P16094" s="318"/>
      <c r="Q16094" s="318"/>
      <c r="R16094" s="318"/>
      <c r="S16094" s="318"/>
      <c r="T16094" s="318"/>
      <c r="U16094" s="318"/>
      <c r="V16094" s="318"/>
      <c r="W16094" s="318"/>
      <c r="X16094" s="318"/>
      <c r="Y16094" s="318"/>
      <c r="Z16094" s="318"/>
      <c r="AA16094" s="318"/>
      <c r="AB16094" s="318"/>
      <c r="AC16094" s="318"/>
      <c r="AD16094" s="318"/>
    </row>
    <row r="16095" spans="2:30" s="323" customFormat="1" ht="12" customHeight="1">
      <c r="B16095" s="324"/>
      <c r="C16095" s="325"/>
      <c r="D16095" s="326"/>
      <c r="E16095" s="326"/>
      <c r="F16095" s="326"/>
      <c r="G16095" s="326"/>
      <c r="H16095" s="326"/>
      <c r="P16095" s="318"/>
      <c r="Q16095" s="318"/>
      <c r="R16095" s="318"/>
      <c r="S16095" s="318"/>
      <c r="T16095" s="318"/>
      <c r="U16095" s="318"/>
      <c r="V16095" s="318"/>
      <c r="W16095" s="318"/>
      <c r="X16095" s="318"/>
      <c r="Y16095" s="318"/>
      <c r="Z16095" s="318"/>
      <c r="AA16095" s="318"/>
      <c r="AB16095" s="318"/>
      <c r="AC16095" s="318"/>
      <c r="AD16095" s="318"/>
    </row>
    <row r="16096" spans="2:30" s="323" customFormat="1" ht="12" customHeight="1">
      <c r="B16096" s="324"/>
      <c r="C16096" s="325"/>
      <c r="D16096" s="326"/>
      <c r="E16096" s="326"/>
      <c r="F16096" s="326"/>
      <c r="G16096" s="326"/>
      <c r="H16096" s="326"/>
      <c r="P16096" s="318"/>
      <c r="Q16096" s="318"/>
      <c r="R16096" s="318"/>
      <c r="S16096" s="318"/>
      <c r="T16096" s="318"/>
      <c r="U16096" s="318"/>
      <c r="V16096" s="318"/>
      <c r="W16096" s="318"/>
      <c r="X16096" s="318"/>
      <c r="Y16096" s="318"/>
      <c r="Z16096" s="318"/>
      <c r="AA16096" s="318"/>
      <c r="AB16096" s="318"/>
      <c r="AC16096" s="318"/>
      <c r="AD16096" s="318"/>
    </row>
    <row r="16097" spans="2:30" s="323" customFormat="1" ht="12" customHeight="1">
      <c r="B16097" s="324"/>
      <c r="C16097" s="325"/>
      <c r="D16097" s="326"/>
      <c r="E16097" s="326"/>
      <c r="F16097" s="326"/>
      <c r="G16097" s="326"/>
      <c r="H16097" s="326"/>
      <c r="P16097" s="318"/>
      <c r="Q16097" s="318"/>
      <c r="R16097" s="318"/>
      <c r="S16097" s="318"/>
      <c r="T16097" s="318"/>
      <c r="U16097" s="318"/>
      <c r="V16097" s="318"/>
      <c r="W16097" s="318"/>
      <c r="X16097" s="318"/>
      <c r="Y16097" s="318"/>
      <c r="Z16097" s="318"/>
      <c r="AA16097" s="318"/>
      <c r="AB16097" s="318"/>
      <c r="AC16097" s="318"/>
      <c r="AD16097" s="318"/>
    </row>
    <row r="16098" spans="2:30" s="323" customFormat="1" ht="12" customHeight="1">
      <c r="B16098" s="324"/>
      <c r="C16098" s="325"/>
      <c r="D16098" s="326"/>
      <c r="E16098" s="326"/>
      <c r="F16098" s="326"/>
      <c r="G16098" s="326"/>
      <c r="H16098" s="326"/>
      <c r="P16098" s="318"/>
      <c r="Q16098" s="318"/>
      <c r="R16098" s="318"/>
      <c r="S16098" s="318"/>
      <c r="T16098" s="318"/>
      <c r="U16098" s="318"/>
      <c r="V16098" s="318"/>
      <c r="W16098" s="318"/>
      <c r="X16098" s="318"/>
      <c r="Y16098" s="318"/>
      <c r="Z16098" s="318"/>
      <c r="AA16098" s="318"/>
      <c r="AB16098" s="318"/>
      <c r="AC16098" s="318"/>
      <c r="AD16098" s="318"/>
    </row>
    <row r="16099" spans="2:30" s="323" customFormat="1" ht="12" customHeight="1">
      <c r="B16099" s="324"/>
      <c r="C16099" s="325"/>
      <c r="D16099" s="326"/>
      <c r="E16099" s="326"/>
      <c r="F16099" s="326"/>
      <c r="G16099" s="326"/>
      <c r="H16099" s="326"/>
      <c r="P16099" s="318"/>
      <c r="Q16099" s="318"/>
      <c r="R16099" s="318"/>
      <c r="S16099" s="318"/>
      <c r="T16099" s="318"/>
      <c r="U16099" s="318"/>
      <c r="V16099" s="318"/>
      <c r="W16099" s="318"/>
      <c r="X16099" s="318"/>
      <c r="Y16099" s="318"/>
      <c r="Z16099" s="318"/>
      <c r="AA16099" s="318"/>
      <c r="AB16099" s="318"/>
      <c r="AC16099" s="318"/>
      <c r="AD16099" s="318"/>
    </row>
    <row r="16100" spans="2:30" s="323" customFormat="1" ht="12" customHeight="1">
      <c r="B16100" s="324"/>
      <c r="C16100" s="325"/>
      <c r="D16100" s="326"/>
      <c r="E16100" s="326"/>
      <c r="F16100" s="326"/>
      <c r="G16100" s="326"/>
      <c r="H16100" s="326"/>
      <c r="P16100" s="318"/>
      <c r="Q16100" s="318"/>
      <c r="R16100" s="318"/>
      <c r="S16100" s="318"/>
      <c r="T16100" s="318"/>
      <c r="U16100" s="318"/>
      <c r="V16100" s="318"/>
      <c r="W16100" s="318"/>
      <c r="X16100" s="318"/>
      <c r="Y16100" s="318"/>
      <c r="Z16100" s="318"/>
      <c r="AA16100" s="318"/>
      <c r="AB16100" s="318"/>
      <c r="AC16100" s="318"/>
      <c r="AD16100" s="318"/>
    </row>
    <row r="16101" spans="2:30" s="323" customFormat="1" ht="12" customHeight="1">
      <c r="B16101" s="324"/>
      <c r="C16101" s="325"/>
      <c r="D16101" s="326"/>
      <c r="E16101" s="326"/>
      <c r="F16101" s="326"/>
      <c r="G16101" s="326"/>
      <c r="H16101" s="326"/>
      <c r="P16101" s="318"/>
      <c r="Q16101" s="318"/>
      <c r="R16101" s="318"/>
      <c r="S16101" s="318"/>
      <c r="T16101" s="318"/>
      <c r="U16101" s="318"/>
      <c r="V16101" s="318"/>
      <c r="W16101" s="318"/>
      <c r="X16101" s="318"/>
      <c r="Y16101" s="318"/>
      <c r="Z16101" s="318"/>
      <c r="AA16101" s="318"/>
      <c r="AB16101" s="318"/>
      <c r="AC16101" s="318"/>
      <c r="AD16101" s="318"/>
    </row>
    <row r="16102" spans="2:30" s="323" customFormat="1" ht="12" customHeight="1">
      <c r="B16102" s="324"/>
      <c r="C16102" s="325"/>
      <c r="D16102" s="326"/>
      <c r="E16102" s="326"/>
      <c r="F16102" s="326"/>
      <c r="G16102" s="326"/>
      <c r="H16102" s="326"/>
      <c r="P16102" s="318"/>
      <c r="Q16102" s="318"/>
      <c r="R16102" s="318"/>
      <c r="S16102" s="318"/>
      <c r="T16102" s="318"/>
      <c r="U16102" s="318"/>
      <c r="V16102" s="318"/>
      <c r="W16102" s="318"/>
      <c r="X16102" s="318"/>
      <c r="Y16102" s="318"/>
      <c r="Z16102" s="318"/>
      <c r="AA16102" s="318"/>
      <c r="AB16102" s="318"/>
      <c r="AC16102" s="318"/>
      <c r="AD16102" s="318"/>
    </row>
    <row r="16103" spans="2:30" s="323" customFormat="1" ht="12" customHeight="1">
      <c r="B16103" s="324"/>
      <c r="C16103" s="325"/>
      <c r="D16103" s="326"/>
      <c r="E16103" s="326"/>
      <c r="F16103" s="326"/>
      <c r="G16103" s="326"/>
      <c r="H16103" s="326"/>
      <c r="P16103" s="318"/>
      <c r="Q16103" s="318"/>
      <c r="R16103" s="318"/>
      <c r="S16103" s="318"/>
      <c r="T16103" s="318"/>
      <c r="U16103" s="318"/>
      <c r="V16103" s="318"/>
      <c r="W16103" s="318"/>
      <c r="X16103" s="318"/>
      <c r="Y16103" s="318"/>
      <c r="Z16103" s="318"/>
      <c r="AA16103" s="318"/>
      <c r="AB16103" s="318"/>
      <c r="AC16103" s="318"/>
      <c r="AD16103" s="318"/>
    </row>
    <row r="16104" spans="2:30" s="323" customFormat="1" ht="12" customHeight="1">
      <c r="B16104" s="324"/>
      <c r="C16104" s="325"/>
      <c r="D16104" s="326"/>
      <c r="E16104" s="326"/>
      <c r="F16104" s="326"/>
      <c r="G16104" s="326"/>
      <c r="H16104" s="326"/>
      <c r="P16104" s="318"/>
      <c r="Q16104" s="318"/>
      <c r="R16104" s="318"/>
      <c r="S16104" s="318"/>
      <c r="T16104" s="318"/>
      <c r="U16104" s="318"/>
      <c r="V16104" s="318"/>
      <c r="W16104" s="318"/>
      <c r="X16104" s="318"/>
      <c r="Y16104" s="318"/>
      <c r="Z16104" s="318"/>
      <c r="AA16104" s="318"/>
      <c r="AB16104" s="318"/>
      <c r="AC16104" s="318"/>
      <c r="AD16104" s="318"/>
    </row>
    <row r="16105" spans="2:30" s="323" customFormat="1" ht="12" customHeight="1">
      <c r="B16105" s="324"/>
      <c r="C16105" s="325"/>
      <c r="D16105" s="326"/>
      <c r="E16105" s="326"/>
      <c r="F16105" s="326"/>
      <c r="G16105" s="326"/>
      <c r="H16105" s="326"/>
      <c r="P16105" s="318"/>
      <c r="Q16105" s="318"/>
      <c r="R16105" s="318"/>
      <c r="S16105" s="318"/>
      <c r="T16105" s="318"/>
      <c r="U16105" s="318"/>
      <c r="V16105" s="318"/>
      <c r="W16105" s="318"/>
      <c r="X16105" s="318"/>
      <c r="Y16105" s="318"/>
      <c r="Z16105" s="318"/>
      <c r="AA16105" s="318"/>
      <c r="AB16105" s="318"/>
      <c r="AC16105" s="318"/>
      <c r="AD16105" s="318"/>
    </row>
    <row r="16106" spans="2:30" s="323" customFormat="1" ht="12" customHeight="1">
      <c r="B16106" s="324"/>
      <c r="C16106" s="325"/>
      <c r="D16106" s="326"/>
      <c r="E16106" s="326"/>
      <c r="F16106" s="326"/>
      <c r="G16106" s="326"/>
      <c r="H16106" s="326"/>
      <c r="P16106" s="318"/>
      <c r="Q16106" s="318"/>
      <c r="R16106" s="318"/>
      <c r="S16106" s="318"/>
      <c r="T16106" s="318"/>
      <c r="U16106" s="318"/>
      <c r="V16106" s="318"/>
      <c r="W16106" s="318"/>
      <c r="X16106" s="318"/>
      <c r="Y16106" s="318"/>
      <c r="Z16106" s="318"/>
      <c r="AA16106" s="318"/>
      <c r="AB16106" s="318"/>
      <c r="AC16106" s="318"/>
      <c r="AD16106" s="318"/>
    </row>
    <row r="16107" spans="2:30" s="323" customFormat="1" ht="12" customHeight="1">
      <c r="B16107" s="324"/>
      <c r="C16107" s="325"/>
      <c r="D16107" s="326"/>
      <c r="E16107" s="326"/>
      <c r="F16107" s="326"/>
      <c r="G16107" s="326"/>
      <c r="H16107" s="326"/>
      <c r="P16107" s="318"/>
      <c r="Q16107" s="318"/>
      <c r="R16107" s="318"/>
      <c r="S16107" s="318"/>
      <c r="T16107" s="318"/>
      <c r="U16107" s="318"/>
      <c r="V16107" s="318"/>
      <c r="W16107" s="318"/>
      <c r="X16107" s="318"/>
      <c r="Y16107" s="318"/>
      <c r="Z16107" s="318"/>
      <c r="AA16107" s="318"/>
      <c r="AB16107" s="318"/>
      <c r="AC16107" s="318"/>
      <c r="AD16107" s="318"/>
    </row>
    <row r="16108" spans="2:30" s="323" customFormat="1" ht="12" customHeight="1">
      <c r="B16108" s="324"/>
      <c r="C16108" s="325"/>
      <c r="D16108" s="326"/>
      <c r="E16108" s="326"/>
      <c r="F16108" s="326"/>
      <c r="G16108" s="326"/>
      <c r="H16108" s="326"/>
      <c r="P16108" s="318"/>
      <c r="Q16108" s="318"/>
      <c r="R16108" s="318"/>
      <c r="S16108" s="318"/>
      <c r="T16108" s="318"/>
      <c r="U16108" s="318"/>
      <c r="V16108" s="318"/>
      <c r="W16108" s="318"/>
      <c r="X16108" s="318"/>
      <c r="Y16108" s="318"/>
      <c r="Z16108" s="318"/>
      <c r="AA16108" s="318"/>
      <c r="AB16108" s="318"/>
      <c r="AC16108" s="318"/>
      <c r="AD16108" s="318"/>
    </row>
    <row r="16109" spans="2:30" s="323" customFormat="1" ht="12" customHeight="1">
      <c r="B16109" s="324"/>
      <c r="C16109" s="325"/>
      <c r="D16109" s="326"/>
      <c r="E16109" s="326"/>
      <c r="F16109" s="326"/>
      <c r="G16109" s="326"/>
      <c r="H16109" s="326"/>
      <c r="P16109" s="318"/>
      <c r="Q16109" s="318"/>
      <c r="R16109" s="318"/>
      <c r="S16109" s="318"/>
      <c r="T16109" s="318"/>
      <c r="U16109" s="318"/>
      <c r="V16109" s="318"/>
      <c r="W16109" s="318"/>
      <c r="X16109" s="318"/>
      <c r="Y16109" s="318"/>
      <c r="Z16109" s="318"/>
      <c r="AA16109" s="318"/>
      <c r="AB16109" s="318"/>
      <c r="AC16109" s="318"/>
      <c r="AD16109" s="318"/>
    </row>
    <row r="16110" spans="2:30" s="323" customFormat="1" ht="12" customHeight="1">
      <c r="B16110" s="324"/>
      <c r="C16110" s="325"/>
      <c r="D16110" s="326"/>
      <c r="E16110" s="326"/>
      <c r="F16110" s="326"/>
      <c r="G16110" s="326"/>
      <c r="H16110" s="326"/>
      <c r="P16110" s="318"/>
      <c r="Q16110" s="318"/>
      <c r="R16110" s="318"/>
      <c r="S16110" s="318"/>
      <c r="T16110" s="318"/>
      <c r="U16110" s="318"/>
      <c r="V16110" s="318"/>
      <c r="W16110" s="318"/>
      <c r="X16110" s="318"/>
      <c r="Y16110" s="318"/>
      <c r="Z16110" s="318"/>
      <c r="AA16110" s="318"/>
      <c r="AB16110" s="318"/>
      <c r="AC16110" s="318"/>
      <c r="AD16110" s="318"/>
    </row>
    <row r="16111" spans="2:30" s="323" customFormat="1" ht="12" customHeight="1">
      <c r="B16111" s="324"/>
      <c r="C16111" s="325"/>
      <c r="D16111" s="326"/>
      <c r="E16111" s="326"/>
      <c r="F16111" s="326"/>
      <c r="G16111" s="326"/>
      <c r="H16111" s="326"/>
      <c r="P16111" s="318"/>
      <c r="Q16111" s="318"/>
      <c r="R16111" s="318"/>
      <c r="S16111" s="318"/>
      <c r="T16111" s="318"/>
      <c r="U16111" s="318"/>
      <c r="V16111" s="318"/>
      <c r="W16111" s="318"/>
      <c r="X16111" s="318"/>
      <c r="Y16111" s="318"/>
      <c r="Z16111" s="318"/>
      <c r="AA16111" s="318"/>
      <c r="AB16111" s="318"/>
      <c r="AC16111" s="318"/>
      <c r="AD16111" s="318"/>
    </row>
    <row r="16112" spans="2:30" s="323" customFormat="1" ht="12" customHeight="1">
      <c r="B16112" s="324"/>
      <c r="C16112" s="325"/>
      <c r="D16112" s="326"/>
      <c r="E16112" s="326"/>
      <c r="F16112" s="326"/>
      <c r="G16112" s="326"/>
      <c r="H16112" s="326"/>
      <c r="P16112" s="318"/>
      <c r="Q16112" s="318"/>
      <c r="R16112" s="318"/>
      <c r="S16112" s="318"/>
      <c r="T16112" s="318"/>
      <c r="U16112" s="318"/>
      <c r="V16112" s="318"/>
      <c r="W16112" s="318"/>
      <c r="X16112" s="318"/>
      <c r="Y16112" s="318"/>
      <c r="Z16112" s="318"/>
      <c r="AA16112" s="318"/>
      <c r="AB16112" s="318"/>
      <c r="AC16112" s="318"/>
      <c r="AD16112" s="318"/>
    </row>
    <row r="16113" spans="2:30" s="323" customFormat="1" ht="12" customHeight="1">
      <c r="B16113" s="324"/>
      <c r="C16113" s="325"/>
      <c r="D16113" s="326"/>
      <c r="E16113" s="326"/>
      <c r="F16113" s="326"/>
      <c r="G16113" s="326"/>
      <c r="H16113" s="326"/>
      <c r="P16113" s="318"/>
      <c r="Q16113" s="318"/>
      <c r="R16113" s="318"/>
      <c r="S16113" s="318"/>
      <c r="T16113" s="318"/>
      <c r="U16113" s="318"/>
      <c r="V16113" s="318"/>
      <c r="W16113" s="318"/>
      <c r="X16113" s="318"/>
      <c r="Y16113" s="318"/>
      <c r="Z16113" s="318"/>
      <c r="AA16113" s="318"/>
      <c r="AB16113" s="318"/>
      <c r="AC16113" s="318"/>
      <c r="AD16113" s="318"/>
    </row>
    <row r="16114" spans="2:30" s="323" customFormat="1" ht="12" customHeight="1">
      <c r="B16114" s="324"/>
      <c r="C16114" s="325"/>
      <c r="D16114" s="326"/>
      <c r="E16114" s="326"/>
      <c r="F16114" s="326"/>
      <c r="G16114" s="326"/>
      <c r="H16114" s="326"/>
      <c r="P16114" s="318"/>
      <c r="Q16114" s="318"/>
      <c r="R16114" s="318"/>
      <c r="S16114" s="318"/>
      <c r="T16114" s="318"/>
      <c r="U16114" s="318"/>
      <c r="V16114" s="318"/>
      <c r="W16114" s="318"/>
      <c r="X16114" s="318"/>
      <c r="Y16114" s="318"/>
      <c r="Z16114" s="318"/>
      <c r="AA16114" s="318"/>
      <c r="AB16114" s="318"/>
      <c r="AC16114" s="318"/>
      <c r="AD16114" s="318"/>
    </row>
    <row r="16115" spans="2:30" s="323" customFormat="1" ht="12" customHeight="1">
      <c r="B16115" s="324"/>
      <c r="C16115" s="325"/>
      <c r="D16115" s="326"/>
      <c r="E16115" s="326"/>
      <c r="F16115" s="326"/>
      <c r="G16115" s="326"/>
      <c r="H16115" s="326"/>
      <c r="P16115" s="318"/>
      <c r="Q16115" s="318"/>
      <c r="R16115" s="318"/>
      <c r="S16115" s="318"/>
      <c r="T16115" s="318"/>
      <c r="U16115" s="318"/>
      <c r="V16115" s="318"/>
      <c r="W16115" s="318"/>
      <c r="X16115" s="318"/>
      <c r="Y16115" s="318"/>
      <c r="Z16115" s="318"/>
      <c r="AA16115" s="318"/>
      <c r="AB16115" s="318"/>
      <c r="AC16115" s="318"/>
      <c r="AD16115" s="318"/>
    </row>
    <row r="16116" spans="2:30" s="323" customFormat="1" ht="12" customHeight="1">
      <c r="B16116" s="324"/>
      <c r="C16116" s="325"/>
      <c r="D16116" s="326"/>
      <c r="E16116" s="326"/>
      <c r="F16116" s="326"/>
      <c r="G16116" s="326"/>
      <c r="H16116" s="326"/>
      <c r="P16116" s="318"/>
      <c r="Q16116" s="318"/>
      <c r="R16116" s="318"/>
      <c r="S16116" s="318"/>
      <c r="T16116" s="318"/>
      <c r="U16116" s="318"/>
      <c r="V16116" s="318"/>
      <c r="W16116" s="318"/>
      <c r="X16116" s="318"/>
      <c r="Y16116" s="318"/>
      <c r="Z16116" s="318"/>
      <c r="AA16116" s="318"/>
      <c r="AB16116" s="318"/>
      <c r="AC16116" s="318"/>
      <c r="AD16116" s="318"/>
    </row>
    <row r="16117" spans="2:30" s="323" customFormat="1" ht="12" customHeight="1">
      <c r="B16117" s="324"/>
      <c r="C16117" s="325"/>
      <c r="D16117" s="326"/>
      <c r="E16117" s="326"/>
      <c r="F16117" s="326"/>
      <c r="G16117" s="326"/>
      <c r="H16117" s="326"/>
      <c r="P16117" s="318"/>
      <c r="Q16117" s="318"/>
      <c r="R16117" s="318"/>
      <c r="S16117" s="318"/>
      <c r="T16117" s="318"/>
      <c r="U16117" s="318"/>
      <c r="V16117" s="318"/>
      <c r="W16117" s="318"/>
      <c r="X16117" s="318"/>
      <c r="Y16117" s="318"/>
      <c r="Z16117" s="318"/>
      <c r="AA16117" s="318"/>
      <c r="AB16117" s="318"/>
      <c r="AC16117" s="318"/>
      <c r="AD16117" s="318"/>
    </row>
    <row r="16118" spans="2:30" s="323" customFormat="1" ht="12" customHeight="1">
      <c r="B16118" s="324"/>
      <c r="C16118" s="325"/>
      <c r="D16118" s="326"/>
      <c r="E16118" s="326"/>
      <c r="F16118" s="326"/>
      <c r="G16118" s="326"/>
      <c r="H16118" s="326"/>
      <c r="P16118" s="318"/>
      <c r="Q16118" s="318"/>
      <c r="R16118" s="318"/>
      <c r="S16118" s="318"/>
      <c r="T16118" s="318"/>
      <c r="U16118" s="318"/>
      <c r="V16118" s="318"/>
      <c r="W16118" s="318"/>
      <c r="X16118" s="318"/>
      <c r="Y16118" s="318"/>
      <c r="Z16118" s="318"/>
      <c r="AA16118" s="318"/>
      <c r="AB16118" s="318"/>
      <c r="AC16118" s="318"/>
      <c r="AD16118" s="318"/>
    </row>
    <row r="16119" spans="2:30" s="323" customFormat="1" ht="12" customHeight="1">
      <c r="B16119" s="324"/>
      <c r="C16119" s="325"/>
      <c r="D16119" s="326"/>
      <c r="E16119" s="326"/>
      <c r="F16119" s="326"/>
      <c r="G16119" s="326"/>
      <c r="H16119" s="326"/>
      <c r="P16119" s="318"/>
      <c r="Q16119" s="318"/>
      <c r="R16119" s="318"/>
      <c r="S16119" s="318"/>
      <c r="T16119" s="318"/>
      <c r="U16119" s="318"/>
      <c r="V16119" s="318"/>
      <c r="W16119" s="318"/>
      <c r="X16119" s="318"/>
      <c r="Y16119" s="318"/>
      <c r="Z16119" s="318"/>
      <c r="AA16119" s="318"/>
      <c r="AB16119" s="318"/>
      <c r="AC16119" s="318"/>
      <c r="AD16119" s="318"/>
    </row>
    <row r="16120" spans="2:30" s="323" customFormat="1" ht="12" customHeight="1">
      <c r="B16120" s="324"/>
      <c r="C16120" s="325"/>
      <c r="D16120" s="326"/>
      <c r="E16120" s="326"/>
      <c r="F16120" s="326"/>
      <c r="G16120" s="326"/>
      <c r="H16120" s="326"/>
      <c r="P16120" s="318"/>
      <c r="Q16120" s="318"/>
      <c r="R16120" s="318"/>
      <c r="S16120" s="318"/>
      <c r="T16120" s="318"/>
      <c r="U16120" s="318"/>
      <c r="V16120" s="318"/>
      <c r="W16120" s="318"/>
      <c r="X16120" s="318"/>
      <c r="Y16120" s="318"/>
      <c r="Z16120" s="318"/>
      <c r="AA16120" s="318"/>
      <c r="AB16120" s="318"/>
      <c r="AC16120" s="318"/>
      <c r="AD16120" s="318"/>
    </row>
    <row r="16121" spans="2:30" s="323" customFormat="1" ht="12" customHeight="1">
      <c r="B16121" s="324"/>
      <c r="C16121" s="325"/>
      <c r="D16121" s="326"/>
      <c r="E16121" s="326"/>
      <c r="F16121" s="326"/>
      <c r="G16121" s="326"/>
      <c r="H16121" s="326"/>
      <c r="P16121" s="318"/>
      <c r="Q16121" s="318"/>
      <c r="R16121" s="318"/>
      <c r="S16121" s="318"/>
      <c r="T16121" s="318"/>
      <c r="U16121" s="318"/>
      <c r="V16121" s="318"/>
      <c r="W16121" s="318"/>
      <c r="X16121" s="318"/>
      <c r="Y16121" s="318"/>
      <c r="Z16121" s="318"/>
      <c r="AA16121" s="318"/>
      <c r="AB16121" s="318"/>
      <c r="AC16121" s="318"/>
      <c r="AD16121" s="318"/>
    </row>
    <row r="16122" spans="2:30" s="323" customFormat="1" ht="12" customHeight="1">
      <c r="B16122" s="324"/>
      <c r="C16122" s="325"/>
      <c r="D16122" s="326"/>
      <c r="E16122" s="326"/>
      <c r="F16122" s="326"/>
      <c r="G16122" s="326"/>
      <c r="H16122" s="326"/>
      <c r="P16122" s="318"/>
      <c r="Q16122" s="318"/>
      <c r="R16122" s="318"/>
      <c r="S16122" s="318"/>
      <c r="T16122" s="318"/>
      <c r="U16122" s="318"/>
      <c r="V16122" s="318"/>
      <c r="W16122" s="318"/>
      <c r="X16122" s="318"/>
      <c r="Y16122" s="318"/>
      <c r="Z16122" s="318"/>
      <c r="AA16122" s="318"/>
      <c r="AB16122" s="318"/>
      <c r="AC16122" s="318"/>
      <c r="AD16122" s="318"/>
    </row>
    <row r="16123" spans="2:30" s="323" customFormat="1" ht="12" customHeight="1">
      <c r="B16123" s="324"/>
      <c r="C16123" s="325"/>
      <c r="D16123" s="326"/>
      <c r="E16123" s="326"/>
      <c r="F16123" s="326"/>
      <c r="G16123" s="326"/>
      <c r="H16123" s="326"/>
      <c r="P16123" s="318"/>
      <c r="Q16123" s="318"/>
      <c r="R16123" s="318"/>
      <c r="S16123" s="318"/>
      <c r="T16123" s="318"/>
      <c r="U16123" s="318"/>
      <c r="V16123" s="318"/>
      <c r="W16123" s="318"/>
      <c r="X16123" s="318"/>
      <c r="Y16123" s="318"/>
      <c r="Z16123" s="318"/>
      <c r="AA16123" s="318"/>
      <c r="AB16123" s="318"/>
      <c r="AC16123" s="318"/>
      <c r="AD16123" s="318"/>
    </row>
    <row r="16124" spans="2:30" s="323" customFormat="1" ht="12" customHeight="1">
      <c r="B16124" s="324"/>
      <c r="C16124" s="325"/>
      <c r="D16124" s="326"/>
      <c r="E16124" s="326"/>
      <c r="F16124" s="326"/>
      <c r="G16124" s="326"/>
      <c r="H16124" s="326"/>
      <c r="P16124" s="318"/>
      <c r="Q16124" s="318"/>
      <c r="R16124" s="318"/>
      <c r="S16124" s="318"/>
      <c r="T16124" s="318"/>
      <c r="U16124" s="318"/>
      <c r="V16124" s="318"/>
      <c r="W16124" s="318"/>
      <c r="X16124" s="318"/>
      <c r="Y16124" s="318"/>
      <c r="Z16124" s="318"/>
      <c r="AA16124" s="318"/>
      <c r="AB16124" s="318"/>
      <c r="AC16124" s="318"/>
      <c r="AD16124" s="318"/>
    </row>
    <row r="16125" spans="2:30" s="323" customFormat="1" ht="12" customHeight="1">
      <c r="B16125" s="324"/>
      <c r="C16125" s="325"/>
      <c r="D16125" s="326"/>
      <c r="E16125" s="326"/>
      <c r="F16125" s="326"/>
      <c r="G16125" s="326"/>
      <c r="H16125" s="326"/>
      <c r="P16125" s="318"/>
      <c r="Q16125" s="318"/>
      <c r="R16125" s="318"/>
      <c r="S16125" s="318"/>
      <c r="T16125" s="318"/>
      <c r="U16125" s="318"/>
      <c r="V16125" s="318"/>
      <c r="W16125" s="318"/>
      <c r="X16125" s="318"/>
      <c r="Y16125" s="318"/>
      <c r="Z16125" s="318"/>
      <c r="AA16125" s="318"/>
      <c r="AB16125" s="318"/>
      <c r="AC16125" s="318"/>
      <c r="AD16125" s="318"/>
    </row>
    <row r="16126" spans="2:30" s="323" customFormat="1" ht="12" customHeight="1">
      <c r="B16126" s="324"/>
      <c r="C16126" s="325"/>
      <c r="D16126" s="326"/>
      <c r="E16126" s="326"/>
      <c r="F16126" s="326"/>
      <c r="G16126" s="326"/>
      <c r="H16126" s="326"/>
      <c r="P16126" s="318"/>
      <c r="Q16126" s="318"/>
      <c r="R16126" s="318"/>
      <c r="S16126" s="318"/>
      <c r="T16126" s="318"/>
      <c r="U16126" s="318"/>
      <c r="V16126" s="318"/>
      <c r="W16126" s="318"/>
      <c r="X16126" s="318"/>
      <c r="Y16126" s="318"/>
      <c r="Z16126" s="318"/>
      <c r="AA16126" s="318"/>
      <c r="AB16126" s="318"/>
      <c r="AC16126" s="318"/>
      <c r="AD16126" s="318"/>
    </row>
    <row r="16127" spans="2:30" s="323" customFormat="1" ht="12" customHeight="1">
      <c r="B16127" s="324"/>
      <c r="C16127" s="325"/>
      <c r="D16127" s="326"/>
      <c r="E16127" s="326"/>
      <c r="F16127" s="326"/>
      <c r="G16127" s="326"/>
      <c r="H16127" s="326"/>
      <c r="P16127" s="318"/>
      <c r="Q16127" s="318"/>
      <c r="R16127" s="318"/>
      <c r="S16127" s="318"/>
      <c r="T16127" s="318"/>
      <c r="U16127" s="318"/>
      <c r="V16127" s="318"/>
      <c r="W16127" s="318"/>
      <c r="X16127" s="318"/>
      <c r="Y16127" s="318"/>
      <c r="Z16127" s="318"/>
      <c r="AA16127" s="318"/>
      <c r="AB16127" s="318"/>
      <c r="AC16127" s="318"/>
      <c r="AD16127" s="318"/>
    </row>
    <row r="16128" spans="2:30" s="323" customFormat="1" ht="12" customHeight="1">
      <c r="B16128" s="324"/>
      <c r="C16128" s="325"/>
      <c r="D16128" s="326"/>
      <c r="E16128" s="326"/>
      <c r="F16128" s="326"/>
      <c r="G16128" s="326"/>
      <c r="H16128" s="326"/>
      <c r="P16128" s="318"/>
      <c r="Q16128" s="318"/>
      <c r="R16128" s="318"/>
      <c r="S16128" s="318"/>
      <c r="T16128" s="318"/>
      <c r="U16128" s="318"/>
      <c r="V16128" s="318"/>
      <c r="W16128" s="318"/>
      <c r="X16128" s="318"/>
      <c r="Y16128" s="318"/>
      <c r="Z16128" s="318"/>
      <c r="AA16128" s="318"/>
      <c r="AB16128" s="318"/>
      <c r="AC16128" s="318"/>
      <c r="AD16128" s="318"/>
    </row>
    <row r="16129" spans="2:30" s="323" customFormat="1" ht="12" customHeight="1">
      <c r="B16129" s="324"/>
      <c r="C16129" s="325"/>
      <c r="D16129" s="326"/>
      <c r="E16129" s="326"/>
      <c r="F16129" s="326"/>
      <c r="G16129" s="326"/>
      <c r="H16129" s="326"/>
      <c r="P16129" s="318"/>
      <c r="Q16129" s="318"/>
      <c r="R16129" s="318"/>
      <c r="S16129" s="318"/>
      <c r="T16129" s="318"/>
      <c r="U16129" s="318"/>
      <c r="V16129" s="318"/>
      <c r="W16129" s="318"/>
      <c r="X16129" s="318"/>
      <c r="Y16129" s="318"/>
      <c r="Z16129" s="318"/>
      <c r="AA16129" s="318"/>
      <c r="AB16129" s="318"/>
      <c r="AC16129" s="318"/>
      <c r="AD16129" s="318"/>
    </row>
    <row r="16130" spans="2:30" s="323" customFormat="1" ht="12" customHeight="1">
      <c r="B16130" s="324"/>
      <c r="C16130" s="325"/>
      <c r="D16130" s="326"/>
      <c r="E16130" s="326"/>
      <c r="F16130" s="326"/>
      <c r="G16130" s="326"/>
      <c r="H16130" s="326"/>
      <c r="P16130" s="318"/>
      <c r="Q16130" s="318"/>
      <c r="R16130" s="318"/>
      <c r="S16130" s="318"/>
      <c r="T16130" s="318"/>
      <c r="U16130" s="318"/>
      <c r="V16130" s="318"/>
      <c r="W16130" s="318"/>
      <c r="X16130" s="318"/>
      <c r="Y16130" s="318"/>
      <c r="Z16130" s="318"/>
      <c r="AA16130" s="318"/>
      <c r="AB16130" s="318"/>
      <c r="AC16130" s="318"/>
      <c r="AD16130" s="318"/>
    </row>
    <row r="16131" spans="2:30" s="323" customFormat="1" ht="12" customHeight="1">
      <c r="B16131" s="324"/>
      <c r="C16131" s="325"/>
      <c r="D16131" s="326"/>
      <c r="E16131" s="326"/>
      <c r="F16131" s="326"/>
      <c r="G16131" s="326"/>
      <c r="H16131" s="326"/>
      <c r="P16131" s="318"/>
      <c r="Q16131" s="318"/>
      <c r="R16131" s="318"/>
      <c r="S16131" s="318"/>
      <c r="T16131" s="318"/>
      <c r="U16131" s="318"/>
      <c r="V16131" s="318"/>
      <c r="W16131" s="318"/>
      <c r="X16131" s="318"/>
      <c r="Y16131" s="318"/>
      <c r="Z16131" s="318"/>
      <c r="AA16131" s="318"/>
      <c r="AB16131" s="318"/>
      <c r="AC16131" s="318"/>
      <c r="AD16131" s="318"/>
    </row>
    <row r="16132" spans="2:30" s="323" customFormat="1" ht="12" customHeight="1">
      <c r="B16132" s="324"/>
      <c r="C16132" s="325"/>
      <c r="D16132" s="326"/>
      <c r="E16132" s="326"/>
      <c r="F16132" s="326"/>
      <c r="G16132" s="326"/>
      <c r="H16132" s="326"/>
      <c r="P16132" s="318"/>
      <c r="Q16132" s="318"/>
      <c r="R16132" s="318"/>
      <c r="S16132" s="318"/>
      <c r="T16132" s="318"/>
      <c r="U16132" s="318"/>
      <c r="V16132" s="318"/>
      <c r="W16132" s="318"/>
      <c r="X16132" s="318"/>
      <c r="Y16132" s="318"/>
      <c r="Z16132" s="318"/>
      <c r="AA16132" s="318"/>
      <c r="AB16132" s="318"/>
      <c r="AC16132" s="318"/>
      <c r="AD16132" s="318"/>
    </row>
    <row r="16133" spans="2:30" s="323" customFormat="1" ht="12" customHeight="1">
      <c r="B16133" s="324"/>
      <c r="C16133" s="325"/>
      <c r="D16133" s="326"/>
      <c r="E16133" s="326"/>
      <c r="F16133" s="326"/>
      <c r="G16133" s="326"/>
      <c r="H16133" s="326"/>
      <c r="P16133" s="318"/>
      <c r="Q16133" s="318"/>
      <c r="R16133" s="318"/>
      <c r="S16133" s="318"/>
      <c r="T16133" s="318"/>
      <c r="U16133" s="318"/>
      <c r="V16133" s="318"/>
      <c r="W16133" s="318"/>
      <c r="X16133" s="318"/>
      <c r="Y16133" s="318"/>
      <c r="Z16133" s="318"/>
      <c r="AA16133" s="318"/>
      <c r="AB16133" s="318"/>
      <c r="AC16133" s="318"/>
      <c r="AD16133" s="318"/>
    </row>
    <row r="16134" spans="2:30" s="323" customFormat="1" ht="12" customHeight="1">
      <c r="B16134" s="324"/>
      <c r="C16134" s="325"/>
      <c r="D16134" s="326"/>
      <c r="E16134" s="326"/>
      <c r="F16134" s="326"/>
      <c r="G16134" s="326"/>
      <c r="H16134" s="326"/>
      <c r="P16134" s="318"/>
      <c r="Q16134" s="318"/>
      <c r="R16134" s="318"/>
      <c r="S16134" s="318"/>
      <c r="T16134" s="318"/>
      <c r="U16134" s="318"/>
      <c r="V16134" s="318"/>
      <c r="W16134" s="318"/>
      <c r="X16134" s="318"/>
      <c r="Y16134" s="318"/>
      <c r="Z16134" s="318"/>
      <c r="AA16134" s="318"/>
      <c r="AB16134" s="318"/>
      <c r="AC16134" s="318"/>
      <c r="AD16134" s="318"/>
    </row>
    <row r="16135" spans="2:30" s="323" customFormat="1" ht="12" customHeight="1">
      <c r="B16135" s="324"/>
      <c r="C16135" s="325"/>
      <c r="D16135" s="326"/>
      <c r="E16135" s="326"/>
      <c r="F16135" s="326"/>
      <c r="G16135" s="326"/>
      <c r="H16135" s="326"/>
      <c r="P16135" s="318"/>
      <c r="Q16135" s="318"/>
      <c r="R16135" s="318"/>
      <c r="S16135" s="318"/>
      <c r="T16135" s="318"/>
      <c r="U16135" s="318"/>
      <c r="V16135" s="318"/>
      <c r="W16135" s="318"/>
      <c r="X16135" s="318"/>
      <c r="Y16135" s="318"/>
      <c r="Z16135" s="318"/>
      <c r="AA16135" s="318"/>
      <c r="AB16135" s="318"/>
      <c r="AC16135" s="318"/>
      <c r="AD16135" s="318"/>
    </row>
    <row r="16136" spans="2:30" s="323" customFormat="1" ht="12" customHeight="1">
      <c r="B16136" s="324"/>
      <c r="C16136" s="325"/>
      <c r="D16136" s="326"/>
      <c r="E16136" s="326"/>
      <c r="F16136" s="326"/>
      <c r="G16136" s="326"/>
      <c r="H16136" s="326"/>
      <c r="P16136" s="318"/>
      <c r="Q16136" s="318"/>
      <c r="R16136" s="318"/>
      <c r="S16136" s="318"/>
      <c r="T16136" s="318"/>
      <c r="U16136" s="318"/>
      <c r="V16136" s="318"/>
      <c r="W16136" s="318"/>
      <c r="X16136" s="318"/>
      <c r="Y16136" s="318"/>
      <c r="Z16136" s="318"/>
      <c r="AA16136" s="318"/>
      <c r="AB16136" s="318"/>
      <c r="AC16136" s="318"/>
      <c r="AD16136" s="318"/>
    </row>
    <row r="16137" spans="2:30" s="323" customFormat="1" ht="12" customHeight="1">
      <c r="B16137" s="324"/>
      <c r="C16137" s="325"/>
      <c r="D16137" s="326"/>
      <c r="E16137" s="326"/>
      <c r="F16137" s="326"/>
      <c r="G16137" s="326"/>
      <c r="H16137" s="326"/>
      <c r="P16137" s="318"/>
      <c r="Q16137" s="318"/>
      <c r="R16137" s="318"/>
      <c r="S16137" s="318"/>
      <c r="T16137" s="318"/>
      <c r="U16137" s="318"/>
      <c r="V16137" s="318"/>
      <c r="W16137" s="318"/>
      <c r="X16137" s="318"/>
      <c r="Y16137" s="318"/>
      <c r="Z16137" s="318"/>
      <c r="AA16137" s="318"/>
      <c r="AB16137" s="318"/>
      <c r="AC16137" s="318"/>
      <c r="AD16137" s="318"/>
    </row>
    <row r="16138" spans="2:30" s="323" customFormat="1" ht="12" customHeight="1">
      <c r="B16138" s="324"/>
      <c r="C16138" s="325"/>
      <c r="D16138" s="326"/>
      <c r="E16138" s="326"/>
      <c r="F16138" s="326"/>
      <c r="G16138" s="326"/>
      <c r="H16138" s="326"/>
      <c r="P16138" s="318"/>
      <c r="Q16138" s="318"/>
      <c r="R16138" s="318"/>
      <c r="S16138" s="318"/>
      <c r="T16138" s="318"/>
      <c r="U16138" s="318"/>
      <c r="V16138" s="318"/>
      <c r="W16138" s="318"/>
      <c r="X16138" s="318"/>
      <c r="Y16138" s="318"/>
      <c r="Z16138" s="318"/>
      <c r="AA16138" s="318"/>
      <c r="AB16138" s="318"/>
      <c r="AC16138" s="318"/>
      <c r="AD16138" s="318"/>
    </row>
    <row r="16139" spans="2:30" s="323" customFormat="1" ht="12" customHeight="1">
      <c r="B16139" s="324"/>
      <c r="C16139" s="325"/>
      <c r="D16139" s="326"/>
      <c r="E16139" s="326"/>
      <c r="F16139" s="326"/>
      <c r="G16139" s="326"/>
      <c r="H16139" s="326"/>
      <c r="P16139" s="318"/>
      <c r="Q16139" s="318"/>
      <c r="R16139" s="318"/>
      <c r="S16139" s="318"/>
      <c r="T16139" s="318"/>
      <c r="U16139" s="318"/>
      <c r="V16139" s="318"/>
      <c r="W16139" s="318"/>
      <c r="X16139" s="318"/>
      <c r="Y16139" s="318"/>
      <c r="Z16139" s="318"/>
      <c r="AA16139" s="318"/>
      <c r="AB16139" s="318"/>
      <c r="AC16139" s="318"/>
      <c r="AD16139" s="318"/>
    </row>
    <row r="16140" spans="2:30" s="323" customFormat="1" ht="12" customHeight="1">
      <c r="B16140" s="324"/>
      <c r="C16140" s="325"/>
      <c r="D16140" s="326"/>
      <c r="E16140" s="326"/>
      <c r="F16140" s="326"/>
      <c r="G16140" s="326"/>
      <c r="H16140" s="326"/>
      <c r="P16140" s="318"/>
      <c r="Q16140" s="318"/>
      <c r="R16140" s="318"/>
      <c r="S16140" s="318"/>
      <c r="T16140" s="318"/>
      <c r="U16140" s="318"/>
      <c r="V16140" s="318"/>
      <c r="W16140" s="318"/>
      <c r="X16140" s="318"/>
      <c r="Y16140" s="318"/>
      <c r="Z16140" s="318"/>
      <c r="AA16140" s="318"/>
      <c r="AB16140" s="318"/>
      <c r="AC16140" s="318"/>
      <c r="AD16140" s="318"/>
    </row>
    <row r="16141" spans="2:30" s="323" customFormat="1" ht="12" customHeight="1">
      <c r="B16141" s="324"/>
      <c r="C16141" s="325"/>
      <c r="D16141" s="326"/>
      <c r="E16141" s="326"/>
      <c r="F16141" s="326"/>
      <c r="G16141" s="326"/>
      <c r="H16141" s="326"/>
      <c r="P16141" s="318"/>
      <c r="Q16141" s="318"/>
      <c r="R16141" s="318"/>
      <c r="S16141" s="318"/>
      <c r="T16141" s="318"/>
      <c r="U16141" s="318"/>
      <c r="V16141" s="318"/>
      <c r="W16141" s="318"/>
      <c r="X16141" s="318"/>
      <c r="Y16141" s="318"/>
      <c r="Z16141" s="318"/>
      <c r="AA16141" s="318"/>
      <c r="AB16141" s="318"/>
      <c r="AC16141" s="318"/>
      <c r="AD16141" s="318"/>
    </row>
    <row r="16142" spans="2:30" s="323" customFormat="1" ht="12" customHeight="1">
      <c r="B16142" s="324"/>
      <c r="C16142" s="325"/>
      <c r="D16142" s="326"/>
      <c r="E16142" s="326"/>
      <c r="F16142" s="326"/>
      <c r="G16142" s="326"/>
      <c r="H16142" s="326"/>
      <c r="P16142" s="318"/>
      <c r="Q16142" s="318"/>
      <c r="R16142" s="318"/>
      <c r="S16142" s="318"/>
      <c r="T16142" s="318"/>
      <c r="U16142" s="318"/>
      <c r="V16142" s="318"/>
      <c r="W16142" s="318"/>
      <c r="X16142" s="318"/>
      <c r="Y16142" s="318"/>
      <c r="Z16142" s="318"/>
      <c r="AA16142" s="318"/>
      <c r="AB16142" s="318"/>
      <c r="AC16142" s="318"/>
      <c r="AD16142" s="318"/>
    </row>
    <row r="16143" spans="2:30" s="323" customFormat="1" ht="12" customHeight="1">
      <c r="B16143" s="324"/>
      <c r="C16143" s="325"/>
      <c r="D16143" s="326"/>
      <c r="E16143" s="326"/>
      <c r="F16143" s="326"/>
      <c r="G16143" s="326"/>
      <c r="H16143" s="326"/>
      <c r="P16143" s="318"/>
      <c r="Q16143" s="318"/>
      <c r="R16143" s="318"/>
      <c r="S16143" s="318"/>
      <c r="T16143" s="318"/>
      <c r="U16143" s="318"/>
      <c r="V16143" s="318"/>
      <c r="W16143" s="318"/>
      <c r="X16143" s="318"/>
      <c r="Y16143" s="318"/>
      <c r="Z16143" s="318"/>
      <c r="AA16143" s="318"/>
      <c r="AB16143" s="318"/>
      <c r="AC16143" s="318"/>
      <c r="AD16143" s="318"/>
    </row>
    <row r="16144" spans="2:30" s="323" customFormat="1" ht="12" customHeight="1">
      <c r="B16144" s="324"/>
      <c r="C16144" s="325"/>
      <c r="D16144" s="326"/>
      <c r="E16144" s="326"/>
      <c r="F16144" s="326"/>
      <c r="G16144" s="326"/>
      <c r="H16144" s="326"/>
      <c r="P16144" s="318"/>
      <c r="Q16144" s="318"/>
      <c r="R16144" s="318"/>
      <c r="S16144" s="318"/>
      <c r="T16144" s="318"/>
      <c r="U16144" s="318"/>
      <c r="V16144" s="318"/>
      <c r="W16144" s="318"/>
      <c r="X16144" s="318"/>
      <c r="Y16144" s="318"/>
      <c r="Z16144" s="318"/>
      <c r="AA16144" s="318"/>
      <c r="AB16144" s="318"/>
      <c r="AC16144" s="318"/>
      <c r="AD16144" s="318"/>
    </row>
    <row r="16145" spans="2:30" s="323" customFormat="1" ht="12" customHeight="1">
      <c r="B16145" s="324"/>
      <c r="C16145" s="325"/>
      <c r="D16145" s="326"/>
      <c r="E16145" s="326"/>
      <c r="F16145" s="326"/>
      <c r="G16145" s="326"/>
      <c r="H16145" s="326"/>
      <c r="P16145" s="318"/>
      <c r="Q16145" s="318"/>
      <c r="R16145" s="318"/>
      <c r="S16145" s="318"/>
      <c r="T16145" s="318"/>
      <c r="U16145" s="318"/>
      <c r="V16145" s="318"/>
      <c r="W16145" s="318"/>
      <c r="X16145" s="318"/>
      <c r="Y16145" s="318"/>
      <c r="Z16145" s="318"/>
      <c r="AA16145" s="318"/>
      <c r="AB16145" s="318"/>
      <c r="AC16145" s="318"/>
      <c r="AD16145" s="318"/>
    </row>
    <row r="16146" spans="2:30" s="323" customFormat="1" ht="12" customHeight="1">
      <c r="B16146" s="324"/>
      <c r="C16146" s="325"/>
      <c r="D16146" s="326"/>
      <c r="E16146" s="326"/>
      <c r="F16146" s="326"/>
      <c r="G16146" s="326"/>
      <c r="H16146" s="326"/>
      <c r="P16146" s="318"/>
      <c r="Q16146" s="318"/>
      <c r="R16146" s="318"/>
      <c r="S16146" s="318"/>
      <c r="T16146" s="318"/>
      <c r="U16146" s="318"/>
      <c r="V16146" s="318"/>
      <c r="W16146" s="318"/>
      <c r="X16146" s="318"/>
      <c r="Y16146" s="318"/>
      <c r="Z16146" s="318"/>
      <c r="AA16146" s="318"/>
      <c r="AB16146" s="318"/>
      <c r="AC16146" s="318"/>
      <c r="AD16146" s="318"/>
    </row>
    <row r="16147" spans="2:30" s="323" customFormat="1" ht="12" customHeight="1">
      <c r="B16147" s="324"/>
      <c r="C16147" s="325"/>
      <c r="D16147" s="326"/>
      <c r="E16147" s="326"/>
      <c r="F16147" s="326"/>
      <c r="G16147" s="326"/>
      <c r="H16147" s="326"/>
      <c r="P16147" s="318"/>
      <c r="Q16147" s="318"/>
      <c r="R16147" s="318"/>
      <c r="S16147" s="318"/>
      <c r="T16147" s="318"/>
      <c r="U16147" s="318"/>
      <c r="V16147" s="318"/>
      <c r="W16147" s="318"/>
      <c r="X16147" s="318"/>
      <c r="Y16147" s="318"/>
      <c r="Z16147" s="318"/>
      <c r="AA16147" s="318"/>
      <c r="AB16147" s="318"/>
      <c r="AC16147" s="318"/>
      <c r="AD16147" s="318"/>
    </row>
    <row r="16148" spans="2:30" s="323" customFormat="1" ht="12" customHeight="1">
      <c r="B16148" s="324"/>
      <c r="C16148" s="325"/>
      <c r="D16148" s="326"/>
      <c r="E16148" s="326"/>
      <c r="F16148" s="326"/>
      <c r="G16148" s="326"/>
      <c r="H16148" s="326"/>
      <c r="P16148" s="318"/>
      <c r="Q16148" s="318"/>
      <c r="R16148" s="318"/>
      <c r="S16148" s="318"/>
      <c r="T16148" s="318"/>
      <c r="U16148" s="318"/>
      <c r="V16148" s="318"/>
      <c r="W16148" s="318"/>
      <c r="X16148" s="318"/>
      <c r="Y16148" s="318"/>
      <c r="Z16148" s="318"/>
      <c r="AA16148" s="318"/>
      <c r="AB16148" s="318"/>
      <c r="AC16148" s="318"/>
      <c r="AD16148" s="318"/>
    </row>
    <row r="16149" spans="2:30" s="323" customFormat="1" ht="12" customHeight="1">
      <c r="B16149" s="324"/>
      <c r="C16149" s="325"/>
      <c r="D16149" s="326"/>
      <c r="E16149" s="326"/>
      <c r="F16149" s="326"/>
      <c r="G16149" s="326"/>
      <c r="H16149" s="326"/>
      <c r="P16149" s="318"/>
      <c r="Q16149" s="318"/>
      <c r="R16149" s="318"/>
      <c r="S16149" s="318"/>
      <c r="T16149" s="318"/>
      <c r="U16149" s="318"/>
      <c r="V16149" s="318"/>
      <c r="W16149" s="318"/>
      <c r="X16149" s="318"/>
      <c r="Y16149" s="318"/>
      <c r="Z16149" s="318"/>
      <c r="AA16149" s="318"/>
      <c r="AB16149" s="318"/>
      <c r="AC16149" s="318"/>
      <c r="AD16149" s="318"/>
    </row>
    <row r="16150" spans="2:30" s="323" customFormat="1" ht="12" customHeight="1">
      <c r="B16150" s="324"/>
      <c r="C16150" s="325"/>
      <c r="D16150" s="326"/>
      <c r="E16150" s="326"/>
      <c r="F16150" s="326"/>
      <c r="G16150" s="326"/>
      <c r="H16150" s="326"/>
      <c r="P16150" s="318"/>
      <c r="Q16150" s="318"/>
      <c r="R16150" s="318"/>
      <c r="S16150" s="318"/>
      <c r="T16150" s="318"/>
      <c r="U16150" s="318"/>
      <c r="V16150" s="318"/>
      <c r="W16150" s="318"/>
      <c r="X16150" s="318"/>
      <c r="Y16150" s="318"/>
      <c r="Z16150" s="318"/>
      <c r="AA16150" s="318"/>
      <c r="AB16150" s="318"/>
      <c r="AC16150" s="318"/>
      <c r="AD16150" s="318"/>
    </row>
    <row r="16151" spans="2:30" s="323" customFormat="1" ht="12" customHeight="1">
      <c r="B16151" s="324"/>
      <c r="C16151" s="325"/>
      <c r="D16151" s="326"/>
      <c r="E16151" s="326"/>
      <c r="F16151" s="326"/>
      <c r="G16151" s="326"/>
      <c r="H16151" s="326"/>
      <c r="P16151" s="318"/>
      <c r="Q16151" s="318"/>
      <c r="R16151" s="318"/>
      <c r="S16151" s="318"/>
      <c r="T16151" s="318"/>
      <c r="U16151" s="318"/>
      <c r="V16151" s="318"/>
      <c r="W16151" s="318"/>
      <c r="X16151" s="318"/>
      <c r="Y16151" s="318"/>
      <c r="Z16151" s="318"/>
      <c r="AA16151" s="318"/>
      <c r="AB16151" s="318"/>
      <c r="AC16151" s="318"/>
      <c r="AD16151" s="318"/>
    </row>
    <row r="16152" spans="2:30" s="323" customFormat="1" ht="12" customHeight="1">
      <c r="B16152" s="324"/>
      <c r="C16152" s="325"/>
      <c r="D16152" s="326"/>
      <c r="E16152" s="326"/>
      <c r="F16152" s="326"/>
      <c r="G16152" s="326"/>
      <c r="H16152" s="326"/>
      <c r="P16152" s="318"/>
      <c r="Q16152" s="318"/>
      <c r="R16152" s="318"/>
      <c r="S16152" s="318"/>
      <c r="T16152" s="318"/>
      <c r="U16152" s="318"/>
      <c r="V16152" s="318"/>
      <c r="W16152" s="318"/>
      <c r="X16152" s="318"/>
      <c r="Y16152" s="318"/>
      <c r="Z16152" s="318"/>
      <c r="AA16152" s="318"/>
      <c r="AB16152" s="318"/>
      <c r="AC16152" s="318"/>
      <c r="AD16152" s="318"/>
    </row>
    <row r="16153" spans="2:30" s="323" customFormat="1" ht="12" customHeight="1">
      <c r="B16153" s="324"/>
      <c r="C16153" s="325"/>
      <c r="D16153" s="326"/>
      <c r="E16153" s="326"/>
      <c r="F16153" s="326"/>
      <c r="G16153" s="326"/>
      <c r="H16153" s="326"/>
      <c r="P16153" s="318"/>
      <c r="Q16153" s="318"/>
      <c r="R16153" s="318"/>
      <c r="S16153" s="318"/>
      <c r="T16153" s="318"/>
      <c r="U16153" s="318"/>
      <c r="V16153" s="318"/>
      <c r="W16153" s="318"/>
      <c r="X16153" s="318"/>
      <c r="Y16153" s="318"/>
      <c r="Z16153" s="318"/>
      <c r="AA16153" s="318"/>
      <c r="AB16153" s="318"/>
      <c r="AC16153" s="318"/>
      <c r="AD16153" s="318"/>
    </row>
    <row r="16154" spans="2:30" s="323" customFormat="1" ht="12" customHeight="1">
      <c r="B16154" s="324"/>
      <c r="C16154" s="325"/>
      <c r="D16154" s="326"/>
      <c r="E16154" s="326"/>
      <c r="F16154" s="326"/>
      <c r="G16154" s="326"/>
      <c r="H16154" s="326"/>
      <c r="P16154" s="318"/>
      <c r="Q16154" s="318"/>
      <c r="R16154" s="318"/>
      <c r="S16154" s="318"/>
      <c r="T16154" s="318"/>
      <c r="U16154" s="318"/>
      <c r="V16154" s="318"/>
      <c r="W16154" s="318"/>
      <c r="X16154" s="318"/>
      <c r="Y16154" s="318"/>
      <c r="Z16154" s="318"/>
      <c r="AA16154" s="318"/>
      <c r="AB16154" s="318"/>
      <c r="AC16154" s="318"/>
      <c r="AD16154" s="318"/>
    </row>
    <row r="16155" spans="2:30" s="323" customFormat="1" ht="12" customHeight="1">
      <c r="B16155" s="324"/>
      <c r="C16155" s="325"/>
      <c r="D16155" s="326"/>
      <c r="E16155" s="326"/>
      <c r="F16155" s="326"/>
      <c r="G16155" s="326"/>
      <c r="H16155" s="326"/>
      <c r="P16155" s="318"/>
      <c r="Q16155" s="318"/>
      <c r="R16155" s="318"/>
      <c r="S16155" s="318"/>
      <c r="T16155" s="318"/>
      <c r="U16155" s="318"/>
      <c r="V16155" s="318"/>
      <c r="W16155" s="318"/>
      <c r="X16155" s="318"/>
      <c r="Y16155" s="318"/>
      <c r="Z16155" s="318"/>
      <c r="AA16155" s="318"/>
      <c r="AB16155" s="318"/>
      <c r="AC16155" s="318"/>
      <c r="AD16155" s="318"/>
    </row>
    <row r="16156" spans="2:30" s="323" customFormat="1" ht="12" customHeight="1">
      <c r="B16156" s="324"/>
      <c r="C16156" s="325"/>
      <c r="D16156" s="326"/>
      <c r="E16156" s="326"/>
      <c r="F16156" s="326"/>
      <c r="G16156" s="326"/>
      <c r="H16156" s="326"/>
      <c r="P16156" s="318"/>
      <c r="Q16156" s="318"/>
      <c r="R16156" s="318"/>
      <c r="S16156" s="318"/>
      <c r="T16156" s="318"/>
      <c r="U16156" s="318"/>
      <c r="V16156" s="318"/>
      <c r="W16156" s="318"/>
      <c r="X16156" s="318"/>
      <c r="Y16156" s="318"/>
      <c r="Z16156" s="318"/>
      <c r="AA16156" s="318"/>
      <c r="AB16156" s="318"/>
      <c r="AC16156" s="318"/>
      <c r="AD16156" s="318"/>
    </row>
    <row r="16157" spans="2:30" s="323" customFormat="1" ht="12" customHeight="1">
      <c r="B16157" s="324"/>
      <c r="C16157" s="325"/>
      <c r="D16157" s="326"/>
      <c r="E16157" s="326"/>
      <c r="F16157" s="326"/>
      <c r="G16157" s="326"/>
      <c r="H16157" s="326"/>
      <c r="P16157" s="318"/>
      <c r="Q16157" s="318"/>
      <c r="R16157" s="318"/>
      <c r="S16157" s="318"/>
      <c r="T16157" s="318"/>
      <c r="U16157" s="318"/>
      <c r="V16157" s="318"/>
      <c r="W16157" s="318"/>
      <c r="X16157" s="318"/>
      <c r="Y16157" s="318"/>
      <c r="Z16157" s="318"/>
      <c r="AA16157" s="318"/>
      <c r="AB16157" s="318"/>
      <c r="AC16157" s="318"/>
      <c r="AD16157" s="318"/>
    </row>
    <row r="16158" spans="2:30" s="323" customFormat="1" ht="12" customHeight="1">
      <c r="B16158" s="324"/>
      <c r="C16158" s="325"/>
      <c r="D16158" s="326"/>
      <c r="E16158" s="326"/>
      <c r="F16158" s="326"/>
      <c r="G16158" s="326"/>
      <c r="H16158" s="326"/>
      <c r="P16158" s="318"/>
      <c r="Q16158" s="318"/>
      <c r="R16158" s="318"/>
      <c r="S16158" s="318"/>
      <c r="T16158" s="318"/>
      <c r="U16158" s="318"/>
      <c r="V16158" s="318"/>
      <c r="W16158" s="318"/>
      <c r="X16158" s="318"/>
      <c r="Y16158" s="318"/>
      <c r="Z16158" s="318"/>
      <c r="AA16158" s="318"/>
      <c r="AB16158" s="318"/>
      <c r="AC16158" s="318"/>
      <c r="AD16158" s="318"/>
    </row>
    <row r="16159" spans="2:30" s="323" customFormat="1" ht="12" customHeight="1">
      <c r="B16159" s="324"/>
      <c r="C16159" s="325"/>
      <c r="D16159" s="326"/>
      <c r="E16159" s="326"/>
      <c r="F16159" s="326"/>
      <c r="G16159" s="326"/>
      <c r="H16159" s="326"/>
      <c r="P16159" s="318"/>
      <c r="Q16159" s="318"/>
      <c r="R16159" s="318"/>
      <c r="S16159" s="318"/>
      <c r="T16159" s="318"/>
      <c r="U16159" s="318"/>
      <c r="V16159" s="318"/>
      <c r="W16159" s="318"/>
      <c r="X16159" s="318"/>
      <c r="Y16159" s="318"/>
      <c r="Z16159" s="318"/>
      <c r="AA16159" s="318"/>
      <c r="AB16159" s="318"/>
      <c r="AC16159" s="318"/>
      <c r="AD16159" s="318"/>
    </row>
    <row r="16160" spans="2:30" s="323" customFormat="1" ht="12" customHeight="1">
      <c r="B16160" s="324"/>
      <c r="C16160" s="325"/>
      <c r="D16160" s="326"/>
      <c r="E16160" s="326"/>
      <c r="F16160" s="326"/>
      <c r="G16160" s="326"/>
      <c r="H16160" s="326"/>
      <c r="P16160" s="318"/>
      <c r="Q16160" s="318"/>
      <c r="R16160" s="318"/>
      <c r="S16160" s="318"/>
      <c r="T16160" s="318"/>
      <c r="U16160" s="318"/>
      <c r="V16160" s="318"/>
      <c r="W16160" s="318"/>
      <c r="X16160" s="318"/>
      <c r="Y16160" s="318"/>
      <c r="Z16160" s="318"/>
      <c r="AA16160" s="318"/>
      <c r="AB16160" s="318"/>
      <c r="AC16160" s="318"/>
      <c r="AD16160" s="318"/>
    </row>
    <row r="16161" spans="2:30" s="323" customFormat="1" ht="12" customHeight="1">
      <c r="B16161" s="324"/>
      <c r="C16161" s="325"/>
      <c r="D16161" s="326"/>
      <c r="E16161" s="326"/>
      <c r="F16161" s="326"/>
      <c r="G16161" s="326"/>
      <c r="H16161" s="326"/>
      <c r="P16161" s="318"/>
      <c r="Q16161" s="318"/>
      <c r="R16161" s="318"/>
      <c r="S16161" s="318"/>
      <c r="T16161" s="318"/>
      <c r="U16161" s="318"/>
      <c r="V16161" s="318"/>
      <c r="W16161" s="318"/>
      <c r="X16161" s="318"/>
      <c r="Y16161" s="318"/>
      <c r="Z16161" s="318"/>
      <c r="AA16161" s="318"/>
      <c r="AB16161" s="318"/>
      <c r="AC16161" s="318"/>
      <c r="AD16161" s="318"/>
    </row>
    <row r="16162" spans="2:30" s="323" customFormat="1" ht="12" customHeight="1">
      <c r="B16162" s="324"/>
      <c r="C16162" s="325"/>
      <c r="D16162" s="326"/>
      <c r="E16162" s="326"/>
      <c r="F16162" s="326"/>
      <c r="G16162" s="326"/>
      <c r="H16162" s="326"/>
      <c r="P16162" s="318"/>
      <c r="Q16162" s="318"/>
      <c r="R16162" s="318"/>
      <c r="S16162" s="318"/>
      <c r="T16162" s="318"/>
      <c r="U16162" s="318"/>
      <c r="V16162" s="318"/>
      <c r="W16162" s="318"/>
      <c r="X16162" s="318"/>
      <c r="Y16162" s="318"/>
      <c r="Z16162" s="318"/>
      <c r="AA16162" s="318"/>
      <c r="AB16162" s="318"/>
      <c r="AC16162" s="318"/>
      <c r="AD16162" s="318"/>
    </row>
    <row r="16163" spans="2:30" s="323" customFormat="1" ht="12" customHeight="1">
      <c r="B16163" s="324"/>
      <c r="C16163" s="325"/>
      <c r="D16163" s="326"/>
      <c r="E16163" s="326"/>
      <c r="F16163" s="326"/>
      <c r="G16163" s="326"/>
      <c r="H16163" s="326"/>
      <c r="P16163" s="318"/>
      <c r="Q16163" s="318"/>
      <c r="R16163" s="318"/>
      <c r="S16163" s="318"/>
      <c r="T16163" s="318"/>
      <c r="U16163" s="318"/>
      <c r="V16163" s="318"/>
      <c r="W16163" s="318"/>
      <c r="X16163" s="318"/>
      <c r="Y16163" s="318"/>
      <c r="Z16163" s="318"/>
      <c r="AA16163" s="318"/>
      <c r="AB16163" s="318"/>
      <c r="AC16163" s="318"/>
      <c r="AD16163" s="318"/>
    </row>
    <row r="16164" spans="2:30" s="323" customFormat="1" ht="12" customHeight="1">
      <c r="B16164" s="324"/>
      <c r="C16164" s="325"/>
      <c r="D16164" s="326"/>
      <c r="E16164" s="326"/>
      <c r="F16164" s="326"/>
      <c r="G16164" s="326"/>
      <c r="H16164" s="326"/>
      <c r="P16164" s="318"/>
      <c r="Q16164" s="318"/>
      <c r="R16164" s="318"/>
      <c r="S16164" s="318"/>
      <c r="T16164" s="318"/>
      <c r="U16164" s="318"/>
      <c r="V16164" s="318"/>
      <c r="W16164" s="318"/>
      <c r="X16164" s="318"/>
      <c r="Y16164" s="318"/>
      <c r="Z16164" s="318"/>
      <c r="AA16164" s="318"/>
      <c r="AB16164" s="318"/>
      <c r="AC16164" s="318"/>
      <c r="AD16164" s="318"/>
    </row>
    <row r="16165" spans="2:30" s="323" customFormat="1" ht="12" customHeight="1">
      <c r="B16165" s="324"/>
      <c r="C16165" s="325"/>
      <c r="D16165" s="326"/>
      <c r="E16165" s="326"/>
      <c r="F16165" s="326"/>
      <c r="G16165" s="326"/>
      <c r="H16165" s="326"/>
      <c r="P16165" s="318"/>
      <c r="Q16165" s="318"/>
      <c r="R16165" s="318"/>
      <c r="S16165" s="318"/>
      <c r="T16165" s="318"/>
      <c r="U16165" s="318"/>
      <c r="V16165" s="318"/>
      <c r="W16165" s="318"/>
      <c r="X16165" s="318"/>
      <c r="Y16165" s="318"/>
      <c r="Z16165" s="318"/>
      <c r="AA16165" s="318"/>
      <c r="AB16165" s="318"/>
      <c r="AC16165" s="318"/>
      <c r="AD16165" s="318"/>
    </row>
    <row r="16166" spans="2:30" s="323" customFormat="1" ht="12" customHeight="1">
      <c r="B16166" s="324"/>
      <c r="C16166" s="325"/>
      <c r="D16166" s="326"/>
      <c r="E16166" s="326"/>
      <c r="F16166" s="326"/>
      <c r="G16166" s="326"/>
      <c r="H16166" s="326"/>
      <c r="P16166" s="318"/>
      <c r="Q16166" s="318"/>
      <c r="R16166" s="318"/>
      <c r="S16166" s="318"/>
      <c r="T16166" s="318"/>
      <c r="U16166" s="318"/>
      <c r="V16166" s="318"/>
      <c r="W16166" s="318"/>
      <c r="X16166" s="318"/>
      <c r="Y16166" s="318"/>
      <c r="Z16166" s="318"/>
      <c r="AA16166" s="318"/>
      <c r="AB16166" s="318"/>
      <c r="AC16166" s="318"/>
      <c r="AD16166" s="318"/>
    </row>
    <row r="16167" spans="2:30" s="323" customFormat="1" ht="12" customHeight="1">
      <c r="B16167" s="324"/>
      <c r="C16167" s="325"/>
      <c r="D16167" s="326"/>
      <c r="E16167" s="326"/>
      <c r="F16167" s="326"/>
      <c r="G16167" s="326"/>
      <c r="H16167" s="326"/>
      <c r="P16167" s="318"/>
      <c r="Q16167" s="318"/>
      <c r="R16167" s="318"/>
      <c r="S16167" s="318"/>
      <c r="T16167" s="318"/>
      <c r="U16167" s="318"/>
      <c r="V16167" s="318"/>
      <c r="W16167" s="318"/>
      <c r="X16167" s="318"/>
      <c r="Y16167" s="318"/>
      <c r="Z16167" s="318"/>
      <c r="AA16167" s="318"/>
      <c r="AB16167" s="318"/>
      <c r="AC16167" s="318"/>
      <c r="AD16167" s="318"/>
    </row>
    <row r="16168" spans="2:30" s="323" customFormat="1" ht="12" customHeight="1">
      <c r="B16168" s="324"/>
      <c r="C16168" s="325"/>
      <c r="D16168" s="326"/>
      <c r="E16168" s="326"/>
      <c r="F16168" s="326"/>
      <c r="G16168" s="326"/>
      <c r="H16168" s="326"/>
      <c r="P16168" s="318"/>
      <c r="Q16168" s="318"/>
      <c r="R16168" s="318"/>
      <c r="S16168" s="318"/>
      <c r="T16168" s="318"/>
      <c r="U16168" s="318"/>
      <c r="V16168" s="318"/>
      <c r="W16168" s="318"/>
      <c r="X16168" s="318"/>
      <c r="Y16168" s="318"/>
      <c r="Z16168" s="318"/>
      <c r="AA16168" s="318"/>
      <c r="AB16168" s="318"/>
      <c r="AC16168" s="318"/>
      <c r="AD16168" s="318"/>
    </row>
    <row r="16169" spans="2:30" s="323" customFormat="1" ht="12" customHeight="1">
      <c r="B16169" s="324"/>
      <c r="C16169" s="325"/>
      <c r="D16169" s="326"/>
      <c r="E16169" s="326"/>
      <c r="F16169" s="326"/>
      <c r="G16169" s="326"/>
      <c r="H16169" s="326"/>
      <c r="P16169" s="318"/>
      <c r="Q16169" s="318"/>
      <c r="R16169" s="318"/>
      <c r="S16169" s="318"/>
      <c r="T16169" s="318"/>
      <c r="U16169" s="318"/>
      <c r="V16169" s="318"/>
      <c r="W16169" s="318"/>
      <c r="X16169" s="318"/>
      <c r="Y16169" s="318"/>
      <c r="Z16169" s="318"/>
      <c r="AA16169" s="318"/>
      <c r="AB16169" s="318"/>
      <c r="AC16169" s="318"/>
      <c r="AD16169" s="318"/>
    </row>
    <row r="16170" spans="2:30" s="323" customFormat="1" ht="12" customHeight="1">
      <c r="B16170" s="324"/>
      <c r="C16170" s="325"/>
      <c r="D16170" s="326"/>
      <c r="E16170" s="326"/>
      <c r="F16170" s="326"/>
      <c r="G16170" s="326"/>
      <c r="H16170" s="326"/>
      <c r="P16170" s="318"/>
      <c r="Q16170" s="318"/>
      <c r="R16170" s="318"/>
      <c r="S16170" s="318"/>
      <c r="T16170" s="318"/>
      <c r="U16170" s="318"/>
      <c r="V16170" s="318"/>
      <c r="W16170" s="318"/>
      <c r="X16170" s="318"/>
      <c r="Y16170" s="318"/>
      <c r="Z16170" s="318"/>
      <c r="AA16170" s="318"/>
      <c r="AB16170" s="318"/>
      <c r="AC16170" s="318"/>
      <c r="AD16170" s="318"/>
    </row>
    <row r="16171" spans="2:30" s="323" customFormat="1" ht="12" customHeight="1">
      <c r="B16171" s="324"/>
      <c r="C16171" s="325"/>
      <c r="D16171" s="326"/>
      <c r="E16171" s="326"/>
      <c r="F16171" s="326"/>
      <c r="G16171" s="326"/>
      <c r="H16171" s="326"/>
      <c r="P16171" s="318"/>
      <c r="Q16171" s="318"/>
      <c r="R16171" s="318"/>
      <c r="S16171" s="318"/>
      <c r="T16171" s="318"/>
      <c r="U16171" s="318"/>
      <c r="V16171" s="318"/>
      <c r="W16171" s="318"/>
      <c r="X16171" s="318"/>
      <c r="Y16171" s="318"/>
      <c r="Z16171" s="318"/>
      <c r="AA16171" s="318"/>
      <c r="AB16171" s="318"/>
      <c r="AC16171" s="318"/>
      <c r="AD16171" s="318"/>
    </row>
    <row r="16172" spans="2:30" s="323" customFormat="1" ht="12" customHeight="1">
      <c r="B16172" s="324"/>
      <c r="C16172" s="325"/>
      <c r="D16172" s="326"/>
      <c r="E16172" s="326"/>
      <c r="F16172" s="326"/>
      <c r="G16172" s="326"/>
      <c r="H16172" s="326"/>
      <c r="P16172" s="318"/>
      <c r="Q16172" s="318"/>
      <c r="R16172" s="318"/>
      <c r="S16172" s="318"/>
      <c r="T16172" s="318"/>
      <c r="U16172" s="318"/>
      <c r="V16172" s="318"/>
      <c r="W16172" s="318"/>
      <c r="X16172" s="318"/>
      <c r="Y16172" s="318"/>
      <c r="Z16172" s="318"/>
      <c r="AA16172" s="318"/>
      <c r="AB16172" s="318"/>
      <c r="AC16172" s="318"/>
      <c r="AD16172" s="318"/>
    </row>
    <row r="16173" spans="2:30" s="323" customFormat="1" ht="12" customHeight="1">
      <c r="B16173" s="324"/>
      <c r="C16173" s="325"/>
      <c r="D16173" s="326"/>
      <c r="E16173" s="326"/>
      <c r="F16173" s="326"/>
      <c r="G16173" s="326"/>
      <c r="H16173" s="326"/>
      <c r="P16173" s="318"/>
      <c r="Q16173" s="318"/>
      <c r="R16173" s="318"/>
      <c r="S16173" s="318"/>
      <c r="T16173" s="318"/>
      <c r="U16173" s="318"/>
      <c r="V16173" s="318"/>
      <c r="W16173" s="318"/>
      <c r="X16173" s="318"/>
      <c r="Y16173" s="318"/>
      <c r="Z16173" s="318"/>
      <c r="AA16173" s="318"/>
      <c r="AB16173" s="318"/>
      <c r="AC16173" s="318"/>
      <c r="AD16173" s="318"/>
    </row>
    <row r="16174" spans="2:30" s="323" customFormat="1" ht="12" customHeight="1">
      <c r="B16174" s="324"/>
      <c r="C16174" s="325"/>
      <c r="D16174" s="326"/>
      <c r="E16174" s="326"/>
      <c r="F16174" s="326"/>
      <c r="G16174" s="326"/>
      <c r="H16174" s="326"/>
      <c r="P16174" s="318"/>
      <c r="Q16174" s="318"/>
      <c r="R16174" s="318"/>
      <c r="S16174" s="318"/>
      <c r="T16174" s="318"/>
      <c r="U16174" s="318"/>
      <c r="V16174" s="318"/>
      <c r="W16174" s="318"/>
      <c r="X16174" s="318"/>
      <c r="Y16174" s="318"/>
      <c r="Z16174" s="318"/>
      <c r="AA16174" s="318"/>
      <c r="AB16174" s="318"/>
      <c r="AC16174" s="318"/>
      <c r="AD16174" s="318"/>
    </row>
    <row r="16175" spans="2:30" s="323" customFormat="1" ht="12" customHeight="1">
      <c r="B16175" s="324"/>
      <c r="C16175" s="325"/>
      <c r="D16175" s="326"/>
      <c r="E16175" s="326"/>
      <c r="F16175" s="326"/>
      <c r="G16175" s="326"/>
      <c r="H16175" s="326"/>
      <c r="P16175" s="318"/>
      <c r="Q16175" s="318"/>
      <c r="R16175" s="318"/>
      <c r="S16175" s="318"/>
      <c r="T16175" s="318"/>
      <c r="U16175" s="318"/>
      <c r="V16175" s="318"/>
      <c r="W16175" s="318"/>
      <c r="X16175" s="318"/>
      <c r="Y16175" s="318"/>
      <c r="Z16175" s="318"/>
      <c r="AA16175" s="318"/>
      <c r="AB16175" s="318"/>
      <c r="AC16175" s="318"/>
      <c r="AD16175" s="318"/>
    </row>
    <row r="16176" spans="2:30" s="323" customFormat="1" ht="12" customHeight="1">
      <c r="B16176" s="324"/>
      <c r="C16176" s="325"/>
      <c r="D16176" s="326"/>
      <c r="E16176" s="326"/>
      <c r="F16176" s="326"/>
      <c r="G16176" s="326"/>
      <c r="H16176" s="326"/>
      <c r="P16176" s="318"/>
      <c r="Q16176" s="318"/>
      <c r="R16176" s="318"/>
      <c r="S16176" s="318"/>
      <c r="T16176" s="318"/>
      <c r="U16176" s="318"/>
      <c r="V16176" s="318"/>
      <c r="W16176" s="318"/>
      <c r="X16176" s="318"/>
      <c r="Y16176" s="318"/>
      <c r="Z16176" s="318"/>
      <c r="AA16176" s="318"/>
      <c r="AB16176" s="318"/>
      <c r="AC16176" s="318"/>
      <c r="AD16176" s="318"/>
    </row>
    <row r="16177" spans="2:30" s="323" customFormat="1" ht="12" customHeight="1">
      <c r="B16177" s="324"/>
      <c r="C16177" s="325"/>
      <c r="D16177" s="326"/>
      <c r="E16177" s="326"/>
      <c r="F16177" s="326"/>
      <c r="G16177" s="326"/>
      <c r="H16177" s="326"/>
      <c r="P16177" s="318"/>
      <c r="Q16177" s="318"/>
      <c r="R16177" s="318"/>
      <c r="S16177" s="318"/>
      <c r="T16177" s="318"/>
      <c r="U16177" s="318"/>
      <c r="V16177" s="318"/>
      <c r="W16177" s="318"/>
      <c r="X16177" s="318"/>
      <c r="Y16177" s="318"/>
      <c r="Z16177" s="318"/>
      <c r="AA16177" s="318"/>
      <c r="AB16177" s="318"/>
      <c r="AC16177" s="318"/>
      <c r="AD16177" s="318"/>
    </row>
    <row r="16178" spans="2:30" s="323" customFormat="1" ht="12" customHeight="1">
      <c r="B16178" s="324"/>
      <c r="C16178" s="325"/>
      <c r="D16178" s="326"/>
      <c r="E16178" s="326"/>
      <c r="F16178" s="326"/>
      <c r="G16178" s="326"/>
      <c r="H16178" s="326"/>
      <c r="P16178" s="318"/>
      <c r="Q16178" s="318"/>
      <c r="R16178" s="318"/>
      <c r="S16178" s="318"/>
      <c r="T16178" s="318"/>
      <c r="U16178" s="318"/>
      <c r="V16178" s="318"/>
      <c r="W16178" s="318"/>
      <c r="X16178" s="318"/>
      <c r="Y16178" s="318"/>
      <c r="Z16178" s="318"/>
      <c r="AA16178" s="318"/>
      <c r="AB16178" s="318"/>
      <c r="AC16178" s="318"/>
      <c r="AD16178" s="318"/>
    </row>
    <row r="16179" spans="2:30" s="323" customFormat="1" ht="12" customHeight="1">
      <c r="B16179" s="324"/>
      <c r="C16179" s="325"/>
      <c r="D16179" s="326"/>
      <c r="E16179" s="326"/>
      <c r="F16179" s="326"/>
      <c r="G16179" s="326"/>
      <c r="H16179" s="326"/>
      <c r="P16179" s="318"/>
      <c r="Q16179" s="318"/>
      <c r="R16179" s="318"/>
      <c r="S16179" s="318"/>
      <c r="T16179" s="318"/>
      <c r="U16179" s="318"/>
      <c r="V16179" s="318"/>
      <c r="W16179" s="318"/>
      <c r="X16179" s="318"/>
      <c r="Y16179" s="318"/>
      <c r="Z16179" s="318"/>
      <c r="AA16179" s="318"/>
      <c r="AB16179" s="318"/>
      <c r="AC16179" s="318"/>
      <c r="AD16179" s="318"/>
    </row>
    <row r="16180" spans="2:30" s="323" customFormat="1" ht="12" customHeight="1">
      <c r="B16180" s="324"/>
      <c r="C16180" s="325"/>
      <c r="D16180" s="326"/>
      <c r="E16180" s="326"/>
      <c r="F16180" s="326"/>
      <c r="G16180" s="326"/>
      <c r="H16180" s="326"/>
      <c r="P16180" s="318"/>
      <c r="Q16180" s="318"/>
      <c r="R16180" s="318"/>
      <c r="S16180" s="318"/>
      <c r="T16180" s="318"/>
      <c r="U16180" s="318"/>
      <c r="V16180" s="318"/>
      <c r="W16180" s="318"/>
      <c r="X16180" s="318"/>
      <c r="Y16180" s="318"/>
      <c r="Z16180" s="318"/>
      <c r="AA16180" s="318"/>
      <c r="AB16180" s="318"/>
      <c r="AC16180" s="318"/>
      <c r="AD16180" s="318"/>
    </row>
    <row r="16181" spans="2:30" s="323" customFormat="1" ht="12" customHeight="1">
      <c r="B16181" s="324"/>
      <c r="C16181" s="325"/>
      <c r="D16181" s="326"/>
      <c r="E16181" s="326"/>
      <c r="F16181" s="326"/>
      <c r="G16181" s="326"/>
      <c r="H16181" s="326"/>
      <c r="P16181" s="318"/>
      <c r="Q16181" s="318"/>
      <c r="R16181" s="318"/>
      <c r="S16181" s="318"/>
      <c r="T16181" s="318"/>
      <c r="U16181" s="318"/>
      <c r="V16181" s="318"/>
      <c r="W16181" s="318"/>
      <c r="X16181" s="318"/>
      <c r="Y16181" s="318"/>
      <c r="Z16181" s="318"/>
      <c r="AA16181" s="318"/>
      <c r="AB16181" s="318"/>
      <c r="AC16181" s="318"/>
      <c r="AD16181" s="318"/>
    </row>
    <row r="16182" spans="2:30" s="323" customFormat="1" ht="12" customHeight="1">
      <c r="B16182" s="324"/>
      <c r="C16182" s="325"/>
      <c r="D16182" s="326"/>
      <c r="E16182" s="326"/>
      <c r="F16182" s="326"/>
      <c r="G16182" s="326"/>
      <c r="H16182" s="326"/>
      <c r="P16182" s="318"/>
      <c r="Q16182" s="318"/>
      <c r="R16182" s="318"/>
      <c r="S16182" s="318"/>
      <c r="T16182" s="318"/>
      <c r="U16182" s="318"/>
      <c r="V16182" s="318"/>
      <c r="W16182" s="318"/>
      <c r="X16182" s="318"/>
      <c r="Y16182" s="318"/>
      <c r="Z16182" s="318"/>
      <c r="AA16182" s="318"/>
      <c r="AB16182" s="318"/>
      <c r="AC16182" s="318"/>
      <c r="AD16182" s="318"/>
    </row>
    <row r="16183" spans="2:30" s="323" customFormat="1" ht="12" customHeight="1">
      <c r="B16183" s="324"/>
      <c r="C16183" s="325"/>
      <c r="D16183" s="326"/>
      <c r="E16183" s="326"/>
      <c r="F16183" s="326"/>
      <c r="G16183" s="326"/>
      <c r="H16183" s="326"/>
      <c r="P16183" s="318"/>
      <c r="Q16183" s="318"/>
      <c r="R16183" s="318"/>
      <c r="S16183" s="318"/>
      <c r="T16183" s="318"/>
      <c r="U16183" s="318"/>
      <c r="V16183" s="318"/>
      <c r="W16183" s="318"/>
      <c r="X16183" s="318"/>
      <c r="Y16183" s="318"/>
      <c r="Z16183" s="318"/>
      <c r="AA16183" s="318"/>
      <c r="AB16183" s="318"/>
      <c r="AC16183" s="318"/>
      <c r="AD16183" s="318"/>
    </row>
    <row r="16184" spans="2:30" s="323" customFormat="1" ht="12" customHeight="1">
      <c r="B16184" s="324"/>
      <c r="C16184" s="325"/>
      <c r="D16184" s="326"/>
      <c r="E16184" s="326"/>
      <c r="F16184" s="326"/>
      <c r="G16184" s="326"/>
      <c r="H16184" s="326"/>
      <c r="P16184" s="318"/>
      <c r="Q16184" s="318"/>
      <c r="R16184" s="318"/>
      <c r="S16184" s="318"/>
      <c r="T16184" s="318"/>
      <c r="U16184" s="318"/>
      <c r="V16184" s="318"/>
      <c r="W16184" s="318"/>
      <c r="X16184" s="318"/>
      <c r="Y16184" s="318"/>
      <c r="Z16184" s="318"/>
      <c r="AA16184" s="318"/>
      <c r="AB16184" s="318"/>
      <c r="AC16184" s="318"/>
      <c r="AD16184" s="318"/>
    </row>
    <row r="16185" spans="2:30" s="323" customFormat="1" ht="12" customHeight="1">
      <c r="B16185" s="324"/>
      <c r="C16185" s="325"/>
      <c r="D16185" s="326"/>
      <c r="E16185" s="326"/>
      <c r="F16185" s="326"/>
      <c r="G16185" s="326"/>
      <c r="H16185" s="326"/>
      <c r="P16185" s="318"/>
      <c r="Q16185" s="318"/>
      <c r="R16185" s="318"/>
      <c r="S16185" s="318"/>
      <c r="T16185" s="318"/>
      <c r="U16185" s="318"/>
      <c r="V16185" s="318"/>
      <c r="W16185" s="318"/>
      <c r="X16185" s="318"/>
      <c r="Y16185" s="318"/>
      <c r="Z16185" s="318"/>
      <c r="AA16185" s="318"/>
      <c r="AB16185" s="318"/>
      <c r="AC16185" s="318"/>
      <c r="AD16185" s="318"/>
    </row>
    <row r="16186" spans="2:30" s="323" customFormat="1" ht="12" customHeight="1">
      <c r="B16186" s="324"/>
      <c r="C16186" s="325"/>
      <c r="D16186" s="326"/>
      <c r="E16186" s="326"/>
      <c r="F16186" s="326"/>
      <c r="G16186" s="326"/>
      <c r="H16186" s="326"/>
      <c r="P16186" s="318"/>
      <c r="Q16186" s="318"/>
      <c r="R16186" s="318"/>
      <c r="S16186" s="318"/>
      <c r="T16186" s="318"/>
      <c r="U16186" s="318"/>
      <c r="V16186" s="318"/>
      <c r="W16186" s="318"/>
      <c r="X16186" s="318"/>
      <c r="Y16186" s="318"/>
      <c r="Z16186" s="318"/>
      <c r="AA16186" s="318"/>
      <c r="AB16186" s="318"/>
      <c r="AC16186" s="318"/>
      <c r="AD16186" s="318"/>
    </row>
    <row r="16187" spans="2:30" s="323" customFormat="1" ht="12" customHeight="1">
      <c r="B16187" s="324"/>
      <c r="C16187" s="325"/>
      <c r="D16187" s="326"/>
      <c r="E16187" s="326"/>
      <c r="F16187" s="326"/>
      <c r="G16187" s="326"/>
      <c r="H16187" s="326"/>
      <c r="P16187" s="318"/>
      <c r="Q16187" s="318"/>
      <c r="R16187" s="318"/>
      <c r="S16187" s="318"/>
      <c r="T16187" s="318"/>
      <c r="U16187" s="318"/>
      <c r="V16187" s="318"/>
      <c r="W16187" s="318"/>
      <c r="X16187" s="318"/>
      <c r="Y16187" s="318"/>
      <c r="Z16187" s="318"/>
      <c r="AA16187" s="318"/>
      <c r="AB16187" s="318"/>
      <c r="AC16187" s="318"/>
      <c r="AD16187" s="318"/>
    </row>
    <row r="16188" spans="2:30" s="323" customFormat="1" ht="12" customHeight="1">
      <c r="B16188" s="324"/>
      <c r="C16188" s="325"/>
      <c r="D16188" s="326"/>
      <c r="E16188" s="326"/>
      <c r="F16188" s="326"/>
      <c r="G16188" s="326"/>
      <c r="H16188" s="326"/>
      <c r="P16188" s="318"/>
      <c r="Q16188" s="318"/>
      <c r="R16188" s="318"/>
      <c r="S16188" s="318"/>
      <c r="T16188" s="318"/>
      <c r="U16188" s="318"/>
      <c r="V16188" s="318"/>
      <c r="W16188" s="318"/>
      <c r="X16188" s="318"/>
      <c r="Y16188" s="318"/>
      <c r="Z16188" s="318"/>
      <c r="AA16188" s="318"/>
      <c r="AB16188" s="318"/>
      <c r="AC16188" s="318"/>
      <c r="AD16188" s="318"/>
    </row>
    <row r="16189" spans="2:30" s="323" customFormat="1" ht="12" customHeight="1">
      <c r="B16189" s="324"/>
      <c r="C16189" s="325"/>
      <c r="D16189" s="326"/>
      <c r="E16189" s="326"/>
      <c r="F16189" s="326"/>
      <c r="G16189" s="326"/>
      <c r="H16189" s="326"/>
      <c r="P16189" s="318"/>
      <c r="Q16189" s="318"/>
      <c r="R16189" s="318"/>
      <c r="S16189" s="318"/>
      <c r="T16189" s="318"/>
      <c r="U16189" s="318"/>
      <c r="V16189" s="318"/>
      <c r="W16189" s="318"/>
      <c r="X16189" s="318"/>
      <c r="Y16189" s="318"/>
      <c r="Z16189" s="318"/>
      <c r="AA16189" s="318"/>
      <c r="AB16189" s="318"/>
      <c r="AC16189" s="318"/>
      <c r="AD16189" s="318"/>
    </row>
    <row r="16190" spans="2:30" s="323" customFormat="1" ht="12" customHeight="1">
      <c r="B16190" s="324"/>
      <c r="C16190" s="325"/>
      <c r="D16190" s="326"/>
      <c r="E16190" s="326"/>
      <c r="F16190" s="326"/>
      <c r="G16190" s="326"/>
      <c r="H16190" s="326"/>
      <c r="P16190" s="318"/>
      <c r="Q16190" s="318"/>
      <c r="R16190" s="318"/>
      <c r="S16190" s="318"/>
      <c r="T16190" s="318"/>
      <c r="U16190" s="318"/>
      <c r="V16190" s="318"/>
      <c r="W16190" s="318"/>
      <c r="X16190" s="318"/>
      <c r="Y16190" s="318"/>
      <c r="Z16190" s="318"/>
      <c r="AA16190" s="318"/>
      <c r="AB16190" s="318"/>
      <c r="AC16190" s="318"/>
      <c r="AD16190" s="318"/>
    </row>
    <row r="16191" spans="2:30" s="323" customFormat="1" ht="12" customHeight="1">
      <c r="B16191" s="324"/>
      <c r="C16191" s="325"/>
      <c r="D16191" s="326"/>
      <c r="E16191" s="326"/>
      <c r="F16191" s="326"/>
      <c r="G16191" s="326"/>
      <c r="H16191" s="326"/>
      <c r="P16191" s="318"/>
      <c r="Q16191" s="318"/>
      <c r="R16191" s="318"/>
      <c r="S16191" s="318"/>
      <c r="T16191" s="318"/>
      <c r="U16191" s="318"/>
      <c r="V16191" s="318"/>
      <c r="W16191" s="318"/>
      <c r="X16191" s="318"/>
      <c r="Y16191" s="318"/>
      <c r="Z16191" s="318"/>
      <c r="AA16191" s="318"/>
      <c r="AB16191" s="318"/>
      <c r="AC16191" s="318"/>
      <c r="AD16191" s="318"/>
    </row>
    <row r="16192" spans="2:30" s="323" customFormat="1" ht="12" customHeight="1">
      <c r="B16192" s="324"/>
      <c r="C16192" s="325"/>
      <c r="D16192" s="326"/>
      <c r="E16192" s="326"/>
      <c r="F16192" s="326"/>
      <c r="G16192" s="326"/>
      <c r="H16192" s="326"/>
      <c r="P16192" s="318"/>
      <c r="Q16192" s="318"/>
      <c r="R16192" s="318"/>
      <c r="S16192" s="318"/>
      <c r="T16192" s="318"/>
      <c r="U16192" s="318"/>
      <c r="V16192" s="318"/>
      <c r="W16192" s="318"/>
      <c r="X16192" s="318"/>
      <c r="Y16192" s="318"/>
      <c r="Z16192" s="318"/>
      <c r="AA16192" s="318"/>
      <c r="AB16192" s="318"/>
      <c r="AC16192" s="318"/>
      <c r="AD16192" s="318"/>
    </row>
    <row r="16193" spans="2:30" s="323" customFormat="1" ht="12" customHeight="1">
      <c r="B16193" s="324"/>
      <c r="C16193" s="325"/>
      <c r="D16193" s="326"/>
      <c r="E16193" s="326"/>
      <c r="F16193" s="326"/>
      <c r="G16193" s="326"/>
      <c r="H16193" s="326"/>
      <c r="P16193" s="318"/>
      <c r="Q16193" s="318"/>
      <c r="R16193" s="318"/>
      <c r="S16193" s="318"/>
      <c r="T16193" s="318"/>
      <c r="U16193" s="318"/>
      <c r="V16193" s="318"/>
      <c r="W16193" s="318"/>
      <c r="X16193" s="318"/>
      <c r="Y16193" s="318"/>
      <c r="Z16193" s="318"/>
      <c r="AA16193" s="318"/>
      <c r="AB16193" s="318"/>
      <c r="AC16193" s="318"/>
      <c r="AD16193" s="318"/>
    </row>
    <row r="16194" spans="2:30" s="323" customFormat="1" ht="12" customHeight="1">
      <c r="B16194" s="324"/>
      <c r="C16194" s="325"/>
      <c r="D16194" s="326"/>
      <c r="E16194" s="326"/>
      <c r="F16194" s="326"/>
      <c r="G16194" s="326"/>
      <c r="H16194" s="326"/>
      <c r="P16194" s="318"/>
      <c r="Q16194" s="318"/>
      <c r="R16194" s="318"/>
      <c r="S16194" s="318"/>
      <c r="T16194" s="318"/>
      <c r="U16194" s="318"/>
      <c r="V16194" s="318"/>
      <c r="W16194" s="318"/>
      <c r="X16194" s="318"/>
      <c r="Y16194" s="318"/>
      <c r="Z16194" s="318"/>
      <c r="AA16194" s="318"/>
      <c r="AB16194" s="318"/>
      <c r="AC16194" s="318"/>
      <c r="AD16194" s="318"/>
    </row>
    <row r="16195" spans="2:30" s="323" customFormat="1" ht="12" customHeight="1">
      <c r="B16195" s="324"/>
      <c r="C16195" s="325"/>
      <c r="D16195" s="326"/>
      <c r="E16195" s="326"/>
      <c r="F16195" s="326"/>
      <c r="G16195" s="326"/>
      <c r="H16195" s="326"/>
      <c r="P16195" s="318"/>
      <c r="Q16195" s="318"/>
      <c r="R16195" s="318"/>
      <c r="S16195" s="318"/>
      <c r="T16195" s="318"/>
      <c r="U16195" s="318"/>
      <c r="V16195" s="318"/>
      <c r="W16195" s="318"/>
      <c r="X16195" s="318"/>
      <c r="Y16195" s="318"/>
      <c r="Z16195" s="318"/>
      <c r="AA16195" s="318"/>
      <c r="AB16195" s="318"/>
      <c r="AC16195" s="318"/>
      <c r="AD16195" s="318"/>
    </row>
    <row r="16196" spans="2:30" s="323" customFormat="1" ht="12" customHeight="1">
      <c r="B16196" s="324"/>
      <c r="C16196" s="325"/>
      <c r="D16196" s="326"/>
      <c r="E16196" s="326"/>
      <c r="F16196" s="326"/>
      <c r="G16196" s="326"/>
      <c r="H16196" s="326"/>
      <c r="P16196" s="318"/>
      <c r="Q16196" s="318"/>
      <c r="R16196" s="318"/>
      <c r="S16196" s="318"/>
      <c r="T16196" s="318"/>
      <c r="U16196" s="318"/>
      <c r="V16196" s="318"/>
      <c r="W16196" s="318"/>
      <c r="X16196" s="318"/>
      <c r="Y16196" s="318"/>
      <c r="Z16196" s="318"/>
      <c r="AA16196" s="318"/>
      <c r="AB16196" s="318"/>
      <c r="AC16196" s="318"/>
      <c r="AD16196" s="318"/>
    </row>
    <row r="16197" spans="2:30" s="323" customFormat="1" ht="12" customHeight="1">
      <c r="B16197" s="324"/>
      <c r="C16197" s="325"/>
      <c r="D16197" s="326"/>
      <c r="E16197" s="326"/>
      <c r="F16197" s="326"/>
      <c r="G16197" s="326"/>
      <c r="H16197" s="326"/>
      <c r="P16197" s="318"/>
      <c r="Q16197" s="318"/>
      <c r="R16197" s="318"/>
      <c r="S16197" s="318"/>
      <c r="T16197" s="318"/>
      <c r="U16197" s="318"/>
      <c r="V16197" s="318"/>
      <c r="W16197" s="318"/>
      <c r="X16197" s="318"/>
      <c r="Y16197" s="318"/>
      <c r="Z16197" s="318"/>
      <c r="AA16197" s="318"/>
      <c r="AB16197" s="318"/>
      <c r="AC16197" s="318"/>
      <c r="AD16197" s="318"/>
    </row>
    <row r="16198" spans="2:30" s="323" customFormat="1" ht="12" customHeight="1">
      <c r="B16198" s="324"/>
      <c r="C16198" s="325"/>
      <c r="D16198" s="326"/>
      <c r="E16198" s="326"/>
      <c r="F16198" s="326"/>
      <c r="G16198" s="326"/>
      <c r="H16198" s="326"/>
      <c r="P16198" s="318"/>
      <c r="Q16198" s="318"/>
      <c r="R16198" s="318"/>
      <c r="S16198" s="318"/>
      <c r="T16198" s="318"/>
      <c r="U16198" s="318"/>
      <c r="V16198" s="318"/>
      <c r="W16198" s="318"/>
      <c r="X16198" s="318"/>
      <c r="Y16198" s="318"/>
      <c r="Z16198" s="318"/>
      <c r="AA16198" s="318"/>
      <c r="AB16198" s="318"/>
      <c r="AC16198" s="318"/>
      <c r="AD16198" s="318"/>
    </row>
    <row r="16199" spans="2:30" s="323" customFormat="1" ht="12" customHeight="1">
      <c r="B16199" s="324"/>
      <c r="C16199" s="325"/>
      <c r="D16199" s="326"/>
      <c r="E16199" s="326"/>
      <c r="F16199" s="326"/>
      <c r="G16199" s="326"/>
      <c r="H16199" s="326"/>
      <c r="P16199" s="318"/>
      <c r="Q16199" s="318"/>
      <c r="R16199" s="318"/>
      <c r="S16199" s="318"/>
      <c r="T16199" s="318"/>
      <c r="U16199" s="318"/>
      <c r="V16199" s="318"/>
      <c r="W16199" s="318"/>
      <c r="X16199" s="318"/>
      <c r="Y16199" s="318"/>
      <c r="Z16199" s="318"/>
      <c r="AA16199" s="318"/>
      <c r="AB16199" s="318"/>
      <c r="AC16199" s="318"/>
      <c r="AD16199" s="318"/>
    </row>
    <row r="16200" spans="2:30" s="323" customFormat="1" ht="12" customHeight="1">
      <c r="B16200" s="324"/>
      <c r="C16200" s="325"/>
      <c r="D16200" s="326"/>
      <c r="E16200" s="326"/>
      <c r="F16200" s="326"/>
      <c r="G16200" s="326"/>
      <c r="H16200" s="326"/>
      <c r="P16200" s="318"/>
      <c r="Q16200" s="318"/>
      <c r="R16200" s="318"/>
      <c r="S16200" s="318"/>
      <c r="T16200" s="318"/>
      <c r="U16200" s="318"/>
      <c r="V16200" s="318"/>
      <c r="W16200" s="318"/>
      <c r="X16200" s="318"/>
      <c r="Y16200" s="318"/>
      <c r="Z16200" s="318"/>
      <c r="AA16200" s="318"/>
      <c r="AB16200" s="318"/>
      <c r="AC16200" s="318"/>
      <c r="AD16200" s="318"/>
    </row>
    <row r="16201" spans="2:30" s="323" customFormat="1" ht="12" customHeight="1">
      <c r="B16201" s="324"/>
      <c r="C16201" s="325"/>
      <c r="D16201" s="326"/>
      <c r="E16201" s="326"/>
      <c r="F16201" s="326"/>
      <c r="G16201" s="326"/>
      <c r="H16201" s="326"/>
      <c r="P16201" s="318"/>
      <c r="Q16201" s="318"/>
      <c r="R16201" s="318"/>
      <c r="S16201" s="318"/>
      <c r="T16201" s="318"/>
      <c r="U16201" s="318"/>
      <c r="V16201" s="318"/>
      <c r="W16201" s="318"/>
      <c r="X16201" s="318"/>
      <c r="Y16201" s="318"/>
      <c r="Z16201" s="318"/>
      <c r="AA16201" s="318"/>
      <c r="AB16201" s="318"/>
      <c r="AC16201" s="318"/>
      <c r="AD16201" s="318"/>
    </row>
    <row r="16202" spans="2:30" s="323" customFormat="1" ht="12" customHeight="1">
      <c r="B16202" s="324"/>
      <c r="C16202" s="325"/>
      <c r="D16202" s="326"/>
      <c r="E16202" s="326"/>
      <c r="F16202" s="326"/>
      <c r="G16202" s="326"/>
      <c r="H16202" s="326"/>
      <c r="P16202" s="318"/>
      <c r="Q16202" s="318"/>
      <c r="R16202" s="318"/>
      <c r="S16202" s="318"/>
      <c r="T16202" s="318"/>
      <c r="U16202" s="318"/>
      <c r="V16202" s="318"/>
      <c r="W16202" s="318"/>
      <c r="X16202" s="318"/>
      <c r="Y16202" s="318"/>
      <c r="Z16202" s="318"/>
      <c r="AA16202" s="318"/>
      <c r="AB16202" s="318"/>
      <c r="AC16202" s="318"/>
      <c r="AD16202" s="318"/>
    </row>
    <row r="16203" spans="2:30" s="323" customFormat="1" ht="12" customHeight="1">
      <c r="B16203" s="324"/>
      <c r="C16203" s="325"/>
      <c r="D16203" s="326"/>
      <c r="E16203" s="326"/>
      <c r="F16203" s="326"/>
      <c r="G16203" s="326"/>
      <c r="H16203" s="326"/>
      <c r="P16203" s="318"/>
      <c r="Q16203" s="318"/>
      <c r="R16203" s="318"/>
      <c r="S16203" s="318"/>
      <c r="T16203" s="318"/>
      <c r="U16203" s="318"/>
      <c r="V16203" s="318"/>
      <c r="W16203" s="318"/>
      <c r="X16203" s="318"/>
      <c r="Y16203" s="318"/>
      <c r="Z16203" s="318"/>
      <c r="AA16203" s="318"/>
      <c r="AB16203" s="318"/>
      <c r="AC16203" s="318"/>
      <c r="AD16203" s="318"/>
    </row>
    <row r="16204" spans="2:30" s="323" customFormat="1" ht="12" customHeight="1">
      <c r="B16204" s="324"/>
      <c r="C16204" s="325"/>
      <c r="D16204" s="326"/>
      <c r="E16204" s="326"/>
      <c r="F16204" s="326"/>
      <c r="G16204" s="326"/>
      <c r="H16204" s="326"/>
      <c r="P16204" s="318"/>
      <c r="Q16204" s="318"/>
      <c r="R16204" s="318"/>
      <c r="S16204" s="318"/>
      <c r="T16204" s="318"/>
      <c r="U16204" s="318"/>
      <c r="V16204" s="318"/>
      <c r="W16204" s="318"/>
      <c r="X16204" s="318"/>
      <c r="Y16204" s="318"/>
      <c r="Z16204" s="318"/>
      <c r="AA16204" s="318"/>
      <c r="AB16204" s="318"/>
      <c r="AC16204" s="318"/>
      <c r="AD16204" s="318"/>
    </row>
    <row r="16205" spans="2:30" s="323" customFormat="1" ht="12" customHeight="1">
      <c r="B16205" s="324"/>
      <c r="C16205" s="325"/>
      <c r="D16205" s="326"/>
      <c r="E16205" s="326"/>
      <c r="F16205" s="326"/>
      <c r="G16205" s="326"/>
      <c r="H16205" s="326"/>
      <c r="P16205" s="318"/>
      <c r="Q16205" s="318"/>
      <c r="R16205" s="318"/>
      <c r="S16205" s="318"/>
      <c r="T16205" s="318"/>
      <c r="U16205" s="318"/>
      <c r="V16205" s="318"/>
      <c r="W16205" s="318"/>
      <c r="X16205" s="318"/>
      <c r="Y16205" s="318"/>
      <c r="Z16205" s="318"/>
      <c r="AA16205" s="318"/>
      <c r="AB16205" s="318"/>
      <c r="AC16205" s="318"/>
      <c r="AD16205" s="318"/>
    </row>
    <row r="16206" spans="2:30" s="323" customFormat="1" ht="12" customHeight="1">
      <c r="B16206" s="324"/>
      <c r="C16206" s="325"/>
      <c r="D16206" s="326"/>
      <c r="E16206" s="326"/>
      <c r="F16206" s="326"/>
      <c r="G16206" s="326"/>
      <c r="H16206" s="326"/>
      <c r="P16206" s="318"/>
      <c r="Q16206" s="318"/>
      <c r="R16206" s="318"/>
      <c r="S16206" s="318"/>
      <c r="T16206" s="318"/>
      <c r="U16206" s="318"/>
      <c r="V16206" s="318"/>
      <c r="W16206" s="318"/>
      <c r="X16206" s="318"/>
      <c r="Y16206" s="318"/>
      <c r="Z16206" s="318"/>
      <c r="AA16206" s="318"/>
      <c r="AB16206" s="318"/>
      <c r="AC16206" s="318"/>
      <c r="AD16206" s="318"/>
    </row>
    <row r="16207" spans="2:30" s="323" customFormat="1" ht="12" customHeight="1">
      <c r="B16207" s="324"/>
      <c r="C16207" s="325"/>
      <c r="D16207" s="326"/>
      <c r="E16207" s="326"/>
      <c r="F16207" s="326"/>
      <c r="G16207" s="326"/>
      <c r="H16207" s="326"/>
      <c r="P16207" s="318"/>
      <c r="Q16207" s="318"/>
      <c r="R16207" s="318"/>
      <c r="S16207" s="318"/>
      <c r="T16207" s="318"/>
      <c r="U16207" s="318"/>
      <c r="V16207" s="318"/>
      <c r="W16207" s="318"/>
      <c r="X16207" s="318"/>
      <c r="Y16207" s="318"/>
      <c r="Z16207" s="318"/>
      <c r="AA16207" s="318"/>
      <c r="AB16207" s="318"/>
      <c r="AC16207" s="318"/>
      <c r="AD16207" s="318"/>
    </row>
    <row r="16208" spans="2:30" s="323" customFormat="1" ht="12" customHeight="1">
      <c r="B16208" s="324"/>
      <c r="C16208" s="325"/>
      <c r="D16208" s="326"/>
      <c r="E16208" s="326"/>
      <c r="F16208" s="326"/>
      <c r="G16208" s="326"/>
      <c r="H16208" s="326"/>
      <c r="P16208" s="318"/>
      <c r="Q16208" s="318"/>
      <c r="R16208" s="318"/>
      <c r="S16208" s="318"/>
      <c r="T16208" s="318"/>
      <c r="U16208" s="318"/>
      <c r="V16208" s="318"/>
      <c r="W16208" s="318"/>
      <c r="X16208" s="318"/>
      <c r="Y16208" s="318"/>
      <c r="Z16208" s="318"/>
      <c r="AA16208" s="318"/>
      <c r="AB16208" s="318"/>
      <c r="AC16208" s="318"/>
      <c r="AD16208" s="318"/>
    </row>
    <row r="16209" spans="2:30" s="323" customFormat="1" ht="12" customHeight="1">
      <c r="B16209" s="324"/>
      <c r="C16209" s="325"/>
      <c r="D16209" s="326"/>
      <c r="E16209" s="326"/>
      <c r="F16209" s="326"/>
      <c r="G16209" s="326"/>
      <c r="H16209" s="326"/>
      <c r="P16209" s="318"/>
      <c r="Q16209" s="318"/>
      <c r="R16209" s="318"/>
      <c r="S16209" s="318"/>
      <c r="T16209" s="318"/>
      <c r="U16209" s="318"/>
      <c r="V16209" s="318"/>
      <c r="W16209" s="318"/>
      <c r="X16209" s="318"/>
      <c r="Y16209" s="318"/>
      <c r="Z16209" s="318"/>
      <c r="AA16209" s="318"/>
      <c r="AB16209" s="318"/>
      <c r="AC16209" s="318"/>
      <c r="AD16209" s="318"/>
    </row>
    <row r="16210" spans="2:30" s="323" customFormat="1" ht="12" customHeight="1">
      <c r="B16210" s="324"/>
      <c r="C16210" s="325"/>
      <c r="D16210" s="326"/>
      <c r="E16210" s="326"/>
      <c r="F16210" s="326"/>
      <c r="G16210" s="326"/>
      <c r="H16210" s="326"/>
      <c r="P16210" s="318"/>
      <c r="Q16210" s="318"/>
      <c r="R16210" s="318"/>
      <c r="S16210" s="318"/>
      <c r="T16210" s="318"/>
      <c r="U16210" s="318"/>
      <c r="V16210" s="318"/>
      <c r="W16210" s="318"/>
      <c r="X16210" s="318"/>
      <c r="Y16210" s="318"/>
      <c r="Z16210" s="318"/>
      <c r="AA16210" s="318"/>
      <c r="AB16210" s="318"/>
      <c r="AC16210" s="318"/>
      <c r="AD16210" s="318"/>
    </row>
    <row r="16211" spans="2:30" s="323" customFormat="1" ht="12" customHeight="1">
      <c r="B16211" s="324"/>
      <c r="C16211" s="325"/>
      <c r="D16211" s="326"/>
      <c r="E16211" s="326"/>
      <c r="F16211" s="326"/>
      <c r="G16211" s="326"/>
      <c r="H16211" s="326"/>
      <c r="P16211" s="318"/>
      <c r="Q16211" s="318"/>
      <c r="R16211" s="318"/>
      <c r="S16211" s="318"/>
      <c r="T16211" s="318"/>
      <c r="U16211" s="318"/>
      <c r="V16211" s="318"/>
      <c r="W16211" s="318"/>
      <c r="X16211" s="318"/>
      <c r="Y16211" s="318"/>
      <c r="Z16211" s="318"/>
      <c r="AA16211" s="318"/>
      <c r="AB16211" s="318"/>
      <c r="AC16211" s="318"/>
      <c r="AD16211" s="318"/>
    </row>
    <row r="16212" spans="2:30" s="323" customFormat="1" ht="12" customHeight="1">
      <c r="B16212" s="324"/>
      <c r="C16212" s="325"/>
      <c r="D16212" s="326"/>
      <c r="E16212" s="326"/>
      <c r="F16212" s="326"/>
      <c r="G16212" s="326"/>
      <c r="H16212" s="326"/>
      <c r="P16212" s="318"/>
      <c r="Q16212" s="318"/>
      <c r="R16212" s="318"/>
      <c r="S16212" s="318"/>
      <c r="T16212" s="318"/>
      <c r="U16212" s="318"/>
      <c r="V16212" s="318"/>
      <c r="W16212" s="318"/>
      <c r="X16212" s="318"/>
      <c r="Y16212" s="318"/>
      <c r="Z16212" s="318"/>
      <c r="AA16212" s="318"/>
      <c r="AB16212" s="318"/>
      <c r="AC16212" s="318"/>
      <c r="AD16212" s="318"/>
    </row>
    <row r="16213" spans="2:30" s="323" customFormat="1" ht="12" customHeight="1">
      <c r="B16213" s="324"/>
      <c r="C16213" s="325"/>
      <c r="D16213" s="326"/>
      <c r="E16213" s="326"/>
      <c r="F16213" s="326"/>
      <c r="G16213" s="326"/>
      <c r="H16213" s="326"/>
      <c r="P16213" s="318"/>
      <c r="Q16213" s="318"/>
      <c r="R16213" s="318"/>
      <c r="S16213" s="318"/>
      <c r="T16213" s="318"/>
      <c r="U16213" s="318"/>
      <c r="V16213" s="318"/>
      <c r="W16213" s="318"/>
      <c r="X16213" s="318"/>
      <c r="Y16213" s="318"/>
      <c r="Z16213" s="318"/>
      <c r="AA16213" s="318"/>
      <c r="AB16213" s="318"/>
      <c r="AC16213" s="318"/>
      <c r="AD16213" s="318"/>
    </row>
    <row r="16214" spans="2:30" s="323" customFormat="1" ht="12" customHeight="1">
      <c r="B16214" s="324"/>
      <c r="C16214" s="325"/>
      <c r="D16214" s="326"/>
      <c r="E16214" s="326"/>
      <c r="F16214" s="326"/>
      <c r="G16214" s="326"/>
      <c r="H16214" s="326"/>
      <c r="P16214" s="318"/>
      <c r="Q16214" s="318"/>
      <c r="R16214" s="318"/>
      <c r="S16214" s="318"/>
      <c r="T16214" s="318"/>
      <c r="U16214" s="318"/>
      <c r="V16214" s="318"/>
      <c r="W16214" s="318"/>
      <c r="X16214" s="318"/>
      <c r="Y16214" s="318"/>
      <c r="Z16214" s="318"/>
      <c r="AA16214" s="318"/>
      <c r="AB16214" s="318"/>
      <c r="AC16214" s="318"/>
      <c r="AD16214" s="318"/>
    </row>
    <row r="16215" spans="2:30" s="323" customFormat="1" ht="12" customHeight="1">
      <c r="B16215" s="324"/>
      <c r="C16215" s="325"/>
      <c r="D16215" s="326"/>
      <c r="E16215" s="326"/>
      <c r="F16215" s="326"/>
      <c r="G16215" s="326"/>
      <c r="H16215" s="326"/>
      <c r="P16215" s="318"/>
      <c r="Q16215" s="318"/>
      <c r="R16215" s="318"/>
      <c r="S16215" s="318"/>
      <c r="T16215" s="318"/>
      <c r="U16215" s="318"/>
      <c r="V16215" s="318"/>
      <c r="W16215" s="318"/>
      <c r="X16215" s="318"/>
      <c r="Y16215" s="318"/>
      <c r="Z16215" s="318"/>
      <c r="AA16215" s="318"/>
      <c r="AB16215" s="318"/>
      <c r="AC16215" s="318"/>
      <c r="AD16215" s="318"/>
    </row>
    <row r="16216" spans="2:30" s="323" customFormat="1" ht="12" customHeight="1">
      <c r="B16216" s="324"/>
      <c r="C16216" s="325"/>
      <c r="D16216" s="326"/>
      <c r="E16216" s="326"/>
      <c r="F16216" s="326"/>
      <c r="G16216" s="326"/>
      <c r="H16216" s="326"/>
      <c r="P16216" s="318"/>
      <c r="Q16216" s="318"/>
      <c r="R16216" s="318"/>
      <c r="S16216" s="318"/>
      <c r="T16216" s="318"/>
      <c r="U16216" s="318"/>
      <c r="V16216" s="318"/>
      <c r="W16216" s="318"/>
      <c r="X16216" s="318"/>
      <c r="Y16216" s="318"/>
      <c r="Z16216" s="318"/>
      <c r="AA16216" s="318"/>
      <c r="AB16216" s="318"/>
      <c r="AC16216" s="318"/>
      <c r="AD16216" s="318"/>
    </row>
    <row r="16217" spans="2:30" s="323" customFormat="1" ht="12" customHeight="1">
      <c r="B16217" s="324"/>
      <c r="C16217" s="325"/>
      <c r="D16217" s="326"/>
      <c r="E16217" s="326"/>
      <c r="F16217" s="326"/>
      <c r="G16217" s="326"/>
      <c r="H16217" s="326"/>
      <c r="P16217" s="318"/>
      <c r="Q16217" s="318"/>
      <c r="R16217" s="318"/>
      <c r="S16217" s="318"/>
      <c r="T16217" s="318"/>
      <c r="U16217" s="318"/>
      <c r="V16217" s="318"/>
      <c r="W16217" s="318"/>
      <c r="X16217" s="318"/>
      <c r="Y16217" s="318"/>
      <c r="Z16217" s="318"/>
      <c r="AA16217" s="318"/>
      <c r="AB16217" s="318"/>
      <c r="AC16217" s="318"/>
      <c r="AD16217" s="318"/>
    </row>
    <row r="16218" spans="2:30" s="323" customFormat="1" ht="12" customHeight="1">
      <c r="B16218" s="324"/>
      <c r="C16218" s="325"/>
      <c r="D16218" s="326"/>
      <c r="E16218" s="326"/>
      <c r="F16218" s="326"/>
      <c r="G16218" s="326"/>
      <c r="H16218" s="326"/>
      <c r="P16218" s="318"/>
      <c r="Q16218" s="318"/>
      <c r="R16218" s="318"/>
      <c r="S16218" s="318"/>
      <c r="T16218" s="318"/>
      <c r="U16218" s="318"/>
      <c r="V16218" s="318"/>
      <c r="W16218" s="318"/>
      <c r="X16218" s="318"/>
      <c r="Y16218" s="318"/>
      <c r="Z16218" s="318"/>
      <c r="AA16218" s="318"/>
      <c r="AB16218" s="318"/>
      <c r="AC16218" s="318"/>
      <c r="AD16218" s="318"/>
    </row>
    <row r="16219" spans="2:30" s="323" customFormat="1" ht="12" customHeight="1">
      <c r="B16219" s="324"/>
      <c r="C16219" s="325"/>
      <c r="D16219" s="326"/>
      <c r="E16219" s="326"/>
      <c r="F16219" s="326"/>
      <c r="G16219" s="326"/>
      <c r="H16219" s="326"/>
      <c r="P16219" s="318"/>
      <c r="Q16219" s="318"/>
      <c r="R16219" s="318"/>
      <c r="S16219" s="318"/>
      <c r="T16219" s="318"/>
      <c r="U16219" s="318"/>
      <c r="V16219" s="318"/>
      <c r="W16219" s="318"/>
      <c r="X16219" s="318"/>
      <c r="Y16219" s="318"/>
      <c r="Z16219" s="318"/>
      <c r="AA16219" s="318"/>
      <c r="AB16219" s="318"/>
      <c r="AC16219" s="318"/>
      <c r="AD16219" s="318"/>
    </row>
    <row r="16220" spans="2:30" s="323" customFormat="1" ht="12" customHeight="1">
      <c r="B16220" s="324"/>
      <c r="C16220" s="325"/>
      <c r="D16220" s="326"/>
      <c r="E16220" s="326"/>
      <c r="F16220" s="326"/>
      <c r="G16220" s="326"/>
      <c r="H16220" s="326"/>
      <c r="P16220" s="318"/>
      <c r="Q16220" s="318"/>
      <c r="R16220" s="318"/>
      <c r="S16220" s="318"/>
      <c r="T16220" s="318"/>
      <c r="U16220" s="318"/>
      <c r="V16220" s="318"/>
      <c r="W16220" s="318"/>
      <c r="X16220" s="318"/>
      <c r="Y16220" s="318"/>
      <c r="Z16220" s="318"/>
      <c r="AA16220" s="318"/>
      <c r="AB16220" s="318"/>
      <c r="AC16220" s="318"/>
      <c r="AD16220" s="318"/>
    </row>
    <row r="16221" spans="2:30" s="323" customFormat="1" ht="12" customHeight="1">
      <c r="B16221" s="324"/>
      <c r="C16221" s="325"/>
      <c r="D16221" s="326"/>
      <c r="E16221" s="326"/>
      <c r="F16221" s="326"/>
      <c r="G16221" s="326"/>
      <c r="H16221" s="326"/>
      <c r="P16221" s="318"/>
      <c r="Q16221" s="318"/>
      <c r="R16221" s="318"/>
      <c r="S16221" s="318"/>
      <c r="T16221" s="318"/>
      <c r="U16221" s="318"/>
      <c r="V16221" s="318"/>
      <c r="W16221" s="318"/>
      <c r="X16221" s="318"/>
      <c r="Y16221" s="318"/>
      <c r="Z16221" s="318"/>
      <c r="AA16221" s="318"/>
      <c r="AB16221" s="318"/>
      <c r="AC16221" s="318"/>
      <c r="AD16221" s="318"/>
    </row>
    <row r="16222" spans="2:30" s="323" customFormat="1" ht="12" customHeight="1">
      <c r="B16222" s="324"/>
      <c r="C16222" s="325"/>
      <c r="D16222" s="326"/>
      <c r="E16222" s="326"/>
      <c r="F16222" s="326"/>
      <c r="G16222" s="326"/>
      <c r="H16222" s="326"/>
      <c r="P16222" s="318"/>
      <c r="Q16222" s="318"/>
      <c r="R16222" s="318"/>
      <c r="S16222" s="318"/>
      <c r="T16222" s="318"/>
      <c r="U16222" s="318"/>
      <c r="V16222" s="318"/>
      <c r="W16222" s="318"/>
      <c r="X16222" s="318"/>
      <c r="Y16222" s="318"/>
      <c r="Z16222" s="318"/>
      <c r="AA16222" s="318"/>
      <c r="AB16222" s="318"/>
      <c r="AC16222" s="318"/>
      <c r="AD16222" s="318"/>
    </row>
    <row r="16223" spans="2:30" s="323" customFormat="1" ht="12" customHeight="1">
      <c r="B16223" s="324"/>
      <c r="C16223" s="325"/>
      <c r="D16223" s="326"/>
      <c r="E16223" s="326"/>
      <c r="F16223" s="326"/>
      <c r="G16223" s="326"/>
      <c r="H16223" s="326"/>
      <c r="P16223" s="318"/>
      <c r="Q16223" s="318"/>
      <c r="R16223" s="318"/>
      <c r="S16223" s="318"/>
      <c r="T16223" s="318"/>
      <c r="U16223" s="318"/>
      <c r="V16223" s="318"/>
      <c r="W16223" s="318"/>
      <c r="X16223" s="318"/>
      <c r="Y16223" s="318"/>
      <c r="Z16223" s="318"/>
      <c r="AA16223" s="318"/>
      <c r="AB16223" s="318"/>
      <c r="AC16223" s="318"/>
      <c r="AD16223" s="318"/>
    </row>
    <row r="16224" spans="2:30" s="323" customFormat="1" ht="12" customHeight="1">
      <c r="B16224" s="324"/>
      <c r="C16224" s="325"/>
      <c r="D16224" s="326"/>
      <c r="E16224" s="326"/>
      <c r="F16224" s="326"/>
      <c r="G16224" s="326"/>
      <c r="H16224" s="326"/>
      <c r="P16224" s="318"/>
      <c r="Q16224" s="318"/>
      <c r="R16224" s="318"/>
      <c r="S16224" s="318"/>
      <c r="T16224" s="318"/>
      <c r="U16224" s="318"/>
      <c r="V16224" s="318"/>
      <c r="W16224" s="318"/>
      <c r="X16224" s="318"/>
      <c r="Y16224" s="318"/>
      <c r="Z16224" s="318"/>
      <c r="AA16224" s="318"/>
      <c r="AB16224" s="318"/>
      <c r="AC16224" s="318"/>
      <c r="AD16224" s="318"/>
    </row>
    <row r="16225" spans="2:30" s="323" customFormat="1" ht="12" customHeight="1">
      <c r="B16225" s="324"/>
      <c r="C16225" s="325"/>
      <c r="D16225" s="326"/>
      <c r="E16225" s="326"/>
      <c r="F16225" s="326"/>
      <c r="G16225" s="326"/>
      <c r="H16225" s="326"/>
      <c r="P16225" s="318"/>
      <c r="Q16225" s="318"/>
      <c r="R16225" s="318"/>
      <c r="S16225" s="318"/>
      <c r="T16225" s="318"/>
      <c r="U16225" s="318"/>
      <c r="V16225" s="318"/>
      <c r="W16225" s="318"/>
      <c r="X16225" s="318"/>
      <c r="Y16225" s="318"/>
      <c r="Z16225" s="318"/>
      <c r="AA16225" s="318"/>
      <c r="AB16225" s="318"/>
      <c r="AC16225" s="318"/>
      <c r="AD16225" s="318"/>
    </row>
    <row r="16226" spans="2:30" s="323" customFormat="1" ht="12" customHeight="1">
      <c r="B16226" s="324"/>
      <c r="C16226" s="325"/>
      <c r="D16226" s="326"/>
      <c r="E16226" s="326"/>
      <c r="F16226" s="326"/>
      <c r="G16226" s="326"/>
      <c r="H16226" s="326"/>
      <c r="P16226" s="318"/>
      <c r="Q16226" s="318"/>
      <c r="R16226" s="318"/>
      <c r="S16226" s="318"/>
      <c r="T16226" s="318"/>
      <c r="U16226" s="318"/>
      <c r="V16226" s="318"/>
      <c r="W16226" s="318"/>
      <c r="X16226" s="318"/>
      <c r="Y16226" s="318"/>
      <c r="Z16226" s="318"/>
      <c r="AA16226" s="318"/>
      <c r="AB16226" s="318"/>
      <c r="AC16226" s="318"/>
      <c r="AD16226" s="318"/>
    </row>
    <row r="16227" spans="2:30" s="323" customFormat="1" ht="12" customHeight="1">
      <c r="B16227" s="324"/>
      <c r="C16227" s="325"/>
      <c r="D16227" s="326"/>
      <c r="E16227" s="326"/>
      <c r="F16227" s="326"/>
      <c r="G16227" s="326"/>
      <c r="H16227" s="326"/>
      <c r="P16227" s="318"/>
      <c r="Q16227" s="318"/>
      <c r="R16227" s="318"/>
      <c r="S16227" s="318"/>
      <c r="T16227" s="318"/>
      <c r="U16227" s="318"/>
      <c r="V16227" s="318"/>
      <c r="W16227" s="318"/>
      <c r="X16227" s="318"/>
      <c r="Y16227" s="318"/>
      <c r="Z16227" s="318"/>
      <c r="AA16227" s="318"/>
      <c r="AB16227" s="318"/>
      <c r="AC16227" s="318"/>
      <c r="AD16227" s="318"/>
    </row>
    <row r="16228" spans="2:30" s="323" customFormat="1" ht="12" customHeight="1">
      <c r="B16228" s="324"/>
      <c r="C16228" s="325"/>
      <c r="D16228" s="326"/>
      <c r="E16228" s="326"/>
      <c r="F16228" s="326"/>
      <c r="G16228" s="326"/>
      <c r="H16228" s="326"/>
      <c r="P16228" s="318"/>
      <c r="Q16228" s="318"/>
      <c r="R16228" s="318"/>
      <c r="S16228" s="318"/>
      <c r="T16228" s="318"/>
      <c r="U16228" s="318"/>
      <c r="V16228" s="318"/>
      <c r="W16228" s="318"/>
      <c r="X16228" s="318"/>
      <c r="Y16228" s="318"/>
      <c r="Z16228" s="318"/>
      <c r="AA16228" s="318"/>
      <c r="AB16228" s="318"/>
      <c r="AC16228" s="318"/>
      <c r="AD16228" s="318"/>
    </row>
    <row r="16229" spans="2:30" s="323" customFormat="1" ht="12" customHeight="1">
      <c r="B16229" s="324"/>
      <c r="C16229" s="325"/>
      <c r="D16229" s="326"/>
      <c r="E16229" s="326"/>
      <c r="F16229" s="326"/>
      <c r="G16229" s="326"/>
      <c r="H16229" s="326"/>
      <c r="P16229" s="318"/>
      <c r="Q16229" s="318"/>
      <c r="R16229" s="318"/>
      <c r="S16229" s="318"/>
      <c r="T16229" s="318"/>
      <c r="U16229" s="318"/>
      <c r="V16229" s="318"/>
      <c r="W16229" s="318"/>
      <c r="X16229" s="318"/>
      <c r="Y16229" s="318"/>
      <c r="Z16229" s="318"/>
      <c r="AA16229" s="318"/>
      <c r="AB16229" s="318"/>
      <c r="AC16229" s="318"/>
      <c r="AD16229" s="318"/>
    </row>
    <row r="16230" spans="2:30" s="323" customFormat="1" ht="12" customHeight="1">
      <c r="B16230" s="324"/>
      <c r="C16230" s="325"/>
      <c r="D16230" s="326"/>
      <c r="E16230" s="326"/>
      <c r="F16230" s="326"/>
      <c r="G16230" s="326"/>
      <c r="H16230" s="326"/>
      <c r="P16230" s="318"/>
      <c r="Q16230" s="318"/>
      <c r="R16230" s="318"/>
      <c r="S16230" s="318"/>
      <c r="T16230" s="318"/>
      <c r="U16230" s="318"/>
      <c r="V16230" s="318"/>
      <c r="W16230" s="318"/>
      <c r="X16230" s="318"/>
      <c r="Y16230" s="318"/>
      <c r="Z16230" s="318"/>
      <c r="AA16230" s="318"/>
      <c r="AB16230" s="318"/>
      <c r="AC16230" s="318"/>
      <c r="AD16230" s="318"/>
    </row>
    <row r="16231" spans="2:30" s="323" customFormat="1" ht="12" customHeight="1">
      <c r="B16231" s="324"/>
      <c r="C16231" s="325"/>
      <c r="D16231" s="326"/>
      <c r="E16231" s="326"/>
      <c r="F16231" s="326"/>
      <c r="G16231" s="326"/>
      <c r="H16231" s="326"/>
      <c r="P16231" s="318"/>
      <c r="Q16231" s="318"/>
      <c r="R16231" s="318"/>
      <c r="S16231" s="318"/>
      <c r="T16231" s="318"/>
      <c r="U16231" s="318"/>
      <c r="V16231" s="318"/>
      <c r="W16231" s="318"/>
      <c r="X16231" s="318"/>
      <c r="Y16231" s="318"/>
      <c r="Z16231" s="318"/>
      <c r="AA16231" s="318"/>
      <c r="AB16231" s="318"/>
      <c r="AC16231" s="318"/>
      <c r="AD16231" s="318"/>
    </row>
    <row r="16232" spans="2:30" s="323" customFormat="1" ht="12" customHeight="1">
      <c r="B16232" s="324"/>
      <c r="C16232" s="325"/>
      <c r="D16232" s="326"/>
      <c r="E16232" s="326"/>
      <c r="F16232" s="326"/>
      <c r="G16232" s="326"/>
      <c r="H16232" s="326"/>
      <c r="P16232" s="318"/>
      <c r="Q16232" s="318"/>
      <c r="R16232" s="318"/>
      <c r="S16232" s="318"/>
      <c r="T16232" s="318"/>
      <c r="U16232" s="318"/>
      <c r="V16232" s="318"/>
      <c r="W16232" s="318"/>
      <c r="X16232" s="318"/>
      <c r="Y16232" s="318"/>
      <c r="Z16232" s="318"/>
      <c r="AA16232" s="318"/>
      <c r="AB16232" s="318"/>
      <c r="AC16232" s="318"/>
      <c r="AD16232" s="318"/>
    </row>
    <row r="16233" spans="2:30" s="323" customFormat="1" ht="12" customHeight="1">
      <c r="B16233" s="324"/>
      <c r="C16233" s="325"/>
      <c r="D16233" s="326"/>
      <c r="E16233" s="326"/>
      <c r="F16233" s="326"/>
      <c r="G16233" s="326"/>
      <c r="H16233" s="326"/>
      <c r="P16233" s="318"/>
      <c r="Q16233" s="318"/>
      <c r="R16233" s="318"/>
      <c r="S16233" s="318"/>
      <c r="T16233" s="318"/>
      <c r="U16233" s="318"/>
      <c r="V16233" s="318"/>
      <c r="W16233" s="318"/>
      <c r="X16233" s="318"/>
      <c r="Y16233" s="318"/>
      <c r="Z16233" s="318"/>
      <c r="AA16233" s="318"/>
      <c r="AB16233" s="318"/>
      <c r="AC16233" s="318"/>
      <c r="AD16233" s="318"/>
    </row>
    <row r="16234" spans="2:30" s="323" customFormat="1" ht="12" customHeight="1">
      <c r="B16234" s="324"/>
      <c r="C16234" s="325"/>
      <c r="D16234" s="326"/>
      <c r="E16234" s="326"/>
      <c r="F16234" s="326"/>
      <c r="G16234" s="326"/>
      <c r="H16234" s="326"/>
      <c r="P16234" s="318"/>
      <c r="Q16234" s="318"/>
      <c r="R16234" s="318"/>
      <c r="S16234" s="318"/>
      <c r="T16234" s="318"/>
      <c r="U16234" s="318"/>
      <c r="V16234" s="318"/>
      <c r="W16234" s="318"/>
      <c r="X16234" s="318"/>
      <c r="Y16234" s="318"/>
      <c r="Z16234" s="318"/>
      <c r="AA16234" s="318"/>
      <c r="AB16234" s="318"/>
      <c r="AC16234" s="318"/>
      <c r="AD16234" s="318"/>
    </row>
    <row r="16235" spans="2:30" s="323" customFormat="1" ht="12" customHeight="1">
      <c r="B16235" s="324"/>
      <c r="C16235" s="325"/>
      <c r="D16235" s="326"/>
      <c r="E16235" s="326"/>
      <c r="F16235" s="326"/>
      <c r="G16235" s="326"/>
      <c r="H16235" s="326"/>
      <c r="P16235" s="318"/>
      <c r="Q16235" s="318"/>
      <c r="R16235" s="318"/>
      <c r="S16235" s="318"/>
      <c r="T16235" s="318"/>
      <c r="U16235" s="318"/>
      <c r="V16235" s="318"/>
      <c r="W16235" s="318"/>
      <c r="X16235" s="318"/>
      <c r="Y16235" s="318"/>
      <c r="Z16235" s="318"/>
      <c r="AA16235" s="318"/>
      <c r="AB16235" s="318"/>
      <c r="AC16235" s="318"/>
      <c r="AD16235" s="318"/>
    </row>
    <row r="16236" spans="2:30" s="323" customFormat="1" ht="12" customHeight="1">
      <c r="B16236" s="324"/>
      <c r="C16236" s="325"/>
      <c r="D16236" s="326"/>
      <c r="E16236" s="326"/>
      <c r="F16236" s="326"/>
      <c r="G16236" s="326"/>
      <c r="H16236" s="326"/>
      <c r="P16236" s="318"/>
      <c r="Q16236" s="318"/>
      <c r="R16236" s="318"/>
      <c r="S16236" s="318"/>
      <c r="T16236" s="318"/>
      <c r="U16236" s="318"/>
      <c r="V16236" s="318"/>
      <c r="W16236" s="318"/>
      <c r="X16236" s="318"/>
      <c r="Y16236" s="318"/>
      <c r="Z16236" s="318"/>
      <c r="AA16236" s="318"/>
      <c r="AB16236" s="318"/>
      <c r="AC16236" s="318"/>
      <c r="AD16236" s="318"/>
    </row>
    <row r="16237" spans="2:30" s="323" customFormat="1" ht="12" customHeight="1">
      <c r="B16237" s="324"/>
      <c r="C16237" s="325"/>
      <c r="D16237" s="326"/>
      <c r="E16237" s="326"/>
      <c r="F16237" s="326"/>
      <c r="G16237" s="326"/>
      <c r="H16237" s="326"/>
      <c r="P16237" s="318"/>
      <c r="Q16237" s="318"/>
      <c r="R16237" s="318"/>
      <c r="S16237" s="318"/>
      <c r="T16237" s="318"/>
      <c r="U16237" s="318"/>
      <c r="V16237" s="318"/>
      <c r="W16237" s="318"/>
      <c r="X16237" s="318"/>
      <c r="Y16237" s="318"/>
      <c r="Z16237" s="318"/>
      <c r="AA16237" s="318"/>
      <c r="AB16237" s="318"/>
      <c r="AC16237" s="318"/>
      <c r="AD16237" s="318"/>
    </row>
    <row r="16238" spans="2:30" s="323" customFormat="1" ht="12" customHeight="1">
      <c r="B16238" s="324"/>
      <c r="C16238" s="325"/>
      <c r="D16238" s="326"/>
      <c r="E16238" s="326"/>
      <c r="F16238" s="326"/>
      <c r="G16238" s="326"/>
      <c r="H16238" s="326"/>
      <c r="P16238" s="318"/>
      <c r="Q16238" s="318"/>
      <c r="R16238" s="318"/>
      <c r="S16238" s="318"/>
      <c r="T16238" s="318"/>
      <c r="U16238" s="318"/>
      <c r="V16238" s="318"/>
      <c r="W16238" s="318"/>
      <c r="X16238" s="318"/>
      <c r="Y16238" s="318"/>
      <c r="Z16238" s="318"/>
      <c r="AA16238" s="318"/>
      <c r="AB16238" s="318"/>
      <c r="AC16238" s="318"/>
      <c r="AD16238" s="318"/>
    </row>
    <row r="16239" spans="2:30" s="323" customFormat="1" ht="12" customHeight="1">
      <c r="B16239" s="324"/>
      <c r="C16239" s="325"/>
      <c r="D16239" s="326"/>
      <c r="E16239" s="326"/>
      <c r="F16239" s="326"/>
      <c r="G16239" s="326"/>
      <c r="H16239" s="326"/>
      <c r="P16239" s="318"/>
      <c r="Q16239" s="318"/>
      <c r="R16239" s="318"/>
      <c r="S16239" s="318"/>
      <c r="T16239" s="318"/>
      <c r="U16239" s="318"/>
      <c r="V16239" s="318"/>
      <c r="W16239" s="318"/>
      <c r="X16239" s="318"/>
      <c r="Y16239" s="318"/>
      <c r="Z16239" s="318"/>
      <c r="AA16239" s="318"/>
      <c r="AB16239" s="318"/>
      <c r="AC16239" s="318"/>
      <c r="AD16239" s="318"/>
    </row>
    <row r="16240" spans="2:30" s="323" customFormat="1" ht="12" customHeight="1">
      <c r="B16240" s="324"/>
      <c r="C16240" s="325"/>
      <c r="D16240" s="326"/>
      <c r="E16240" s="326"/>
      <c r="F16240" s="326"/>
      <c r="G16240" s="326"/>
      <c r="H16240" s="326"/>
      <c r="P16240" s="318"/>
      <c r="Q16240" s="318"/>
      <c r="R16240" s="318"/>
      <c r="S16240" s="318"/>
      <c r="T16240" s="318"/>
      <c r="U16240" s="318"/>
      <c r="V16240" s="318"/>
      <c r="W16240" s="318"/>
      <c r="X16240" s="318"/>
      <c r="Y16240" s="318"/>
      <c r="Z16240" s="318"/>
      <c r="AA16240" s="318"/>
      <c r="AB16240" s="318"/>
      <c r="AC16240" s="318"/>
      <c r="AD16240" s="318"/>
    </row>
    <row r="16241" spans="2:30" s="323" customFormat="1" ht="12" customHeight="1">
      <c r="B16241" s="324"/>
      <c r="C16241" s="325"/>
      <c r="D16241" s="326"/>
      <c r="E16241" s="326"/>
      <c r="F16241" s="326"/>
      <c r="G16241" s="326"/>
      <c r="H16241" s="326"/>
      <c r="P16241" s="318"/>
      <c r="Q16241" s="318"/>
      <c r="R16241" s="318"/>
      <c r="S16241" s="318"/>
      <c r="T16241" s="318"/>
      <c r="U16241" s="318"/>
      <c r="V16241" s="318"/>
      <c r="W16241" s="318"/>
      <c r="X16241" s="318"/>
      <c r="Y16241" s="318"/>
      <c r="Z16241" s="318"/>
      <c r="AA16241" s="318"/>
      <c r="AB16241" s="318"/>
      <c r="AC16241" s="318"/>
      <c r="AD16241" s="318"/>
    </row>
    <row r="16242" spans="2:30" s="323" customFormat="1" ht="12" customHeight="1">
      <c r="B16242" s="324"/>
      <c r="C16242" s="325"/>
      <c r="D16242" s="326"/>
      <c r="E16242" s="326"/>
      <c r="F16242" s="326"/>
      <c r="G16242" s="326"/>
      <c r="H16242" s="326"/>
      <c r="P16242" s="318"/>
      <c r="Q16242" s="318"/>
      <c r="R16242" s="318"/>
      <c r="S16242" s="318"/>
      <c r="T16242" s="318"/>
      <c r="U16242" s="318"/>
      <c r="V16242" s="318"/>
      <c r="W16242" s="318"/>
      <c r="X16242" s="318"/>
      <c r="Y16242" s="318"/>
      <c r="Z16242" s="318"/>
      <c r="AA16242" s="318"/>
      <c r="AB16242" s="318"/>
      <c r="AC16242" s="318"/>
      <c r="AD16242" s="318"/>
    </row>
    <row r="16243" spans="2:30" s="323" customFormat="1" ht="12" customHeight="1">
      <c r="B16243" s="324"/>
      <c r="C16243" s="325"/>
      <c r="D16243" s="326"/>
      <c r="E16243" s="326"/>
      <c r="F16243" s="326"/>
      <c r="G16243" s="326"/>
      <c r="H16243" s="326"/>
      <c r="P16243" s="318"/>
      <c r="Q16243" s="318"/>
      <c r="R16243" s="318"/>
      <c r="S16243" s="318"/>
      <c r="T16243" s="318"/>
      <c r="U16243" s="318"/>
      <c r="V16243" s="318"/>
      <c r="W16243" s="318"/>
      <c r="X16243" s="318"/>
      <c r="Y16243" s="318"/>
      <c r="Z16243" s="318"/>
      <c r="AA16243" s="318"/>
      <c r="AB16243" s="318"/>
      <c r="AC16243" s="318"/>
      <c r="AD16243" s="318"/>
    </row>
    <row r="16244" spans="2:30" s="323" customFormat="1" ht="12" customHeight="1">
      <c r="B16244" s="324"/>
      <c r="C16244" s="325"/>
      <c r="D16244" s="326"/>
      <c r="E16244" s="326"/>
      <c r="F16244" s="326"/>
      <c r="G16244" s="326"/>
      <c r="H16244" s="326"/>
      <c r="P16244" s="318"/>
      <c r="Q16244" s="318"/>
      <c r="R16244" s="318"/>
      <c r="S16244" s="318"/>
      <c r="T16244" s="318"/>
      <c r="U16244" s="318"/>
      <c r="V16244" s="318"/>
      <c r="W16244" s="318"/>
      <c r="X16244" s="318"/>
      <c r="Y16244" s="318"/>
      <c r="Z16244" s="318"/>
      <c r="AA16244" s="318"/>
      <c r="AB16244" s="318"/>
      <c r="AC16244" s="318"/>
      <c r="AD16244" s="318"/>
    </row>
    <row r="16245" spans="2:30" s="323" customFormat="1" ht="12" customHeight="1">
      <c r="B16245" s="324"/>
      <c r="C16245" s="325"/>
      <c r="D16245" s="326"/>
      <c r="E16245" s="326"/>
      <c r="F16245" s="326"/>
      <c r="G16245" s="326"/>
      <c r="H16245" s="326"/>
      <c r="P16245" s="318"/>
      <c r="Q16245" s="318"/>
      <c r="R16245" s="318"/>
      <c r="S16245" s="318"/>
      <c r="T16245" s="318"/>
      <c r="U16245" s="318"/>
      <c r="V16245" s="318"/>
      <c r="W16245" s="318"/>
      <c r="X16245" s="318"/>
      <c r="Y16245" s="318"/>
      <c r="Z16245" s="318"/>
      <c r="AA16245" s="318"/>
      <c r="AB16245" s="318"/>
      <c r="AC16245" s="318"/>
      <c r="AD16245" s="318"/>
    </row>
    <row r="16246" spans="2:30" s="323" customFormat="1" ht="12" customHeight="1">
      <c r="B16246" s="324"/>
      <c r="C16246" s="325"/>
      <c r="D16246" s="326"/>
      <c r="E16246" s="326"/>
      <c r="F16246" s="326"/>
      <c r="G16246" s="326"/>
      <c r="H16246" s="326"/>
      <c r="P16246" s="318"/>
      <c r="Q16246" s="318"/>
      <c r="R16246" s="318"/>
      <c r="S16246" s="318"/>
      <c r="T16246" s="318"/>
      <c r="U16246" s="318"/>
      <c r="V16246" s="318"/>
      <c r="W16246" s="318"/>
      <c r="X16246" s="318"/>
      <c r="Y16246" s="318"/>
      <c r="Z16246" s="318"/>
      <c r="AA16246" s="318"/>
      <c r="AB16246" s="318"/>
      <c r="AC16246" s="318"/>
      <c r="AD16246" s="318"/>
    </row>
    <row r="16247" spans="2:30" s="323" customFormat="1" ht="12" customHeight="1">
      <c r="B16247" s="324"/>
      <c r="C16247" s="325"/>
      <c r="D16247" s="326"/>
      <c r="E16247" s="326"/>
      <c r="F16247" s="326"/>
      <c r="G16247" s="326"/>
      <c r="H16247" s="326"/>
      <c r="P16247" s="318"/>
      <c r="Q16247" s="318"/>
      <c r="R16247" s="318"/>
      <c r="S16247" s="318"/>
      <c r="T16247" s="318"/>
      <c r="U16247" s="318"/>
      <c r="V16247" s="318"/>
      <c r="W16247" s="318"/>
      <c r="X16247" s="318"/>
      <c r="Y16247" s="318"/>
      <c r="Z16247" s="318"/>
      <c r="AA16247" s="318"/>
      <c r="AB16247" s="318"/>
      <c r="AC16247" s="318"/>
      <c r="AD16247" s="318"/>
    </row>
    <row r="16248" spans="2:30" s="323" customFormat="1" ht="12" customHeight="1">
      <c r="B16248" s="324"/>
      <c r="C16248" s="325"/>
      <c r="D16248" s="326"/>
      <c r="E16248" s="326"/>
      <c r="F16248" s="326"/>
      <c r="G16248" s="326"/>
      <c r="H16248" s="326"/>
      <c r="P16248" s="318"/>
      <c r="Q16248" s="318"/>
      <c r="R16248" s="318"/>
      <c r="S16248" s="318"/>
      <c r="T16248" s="318"/>
      <c r="U16248" s="318"/>
      <c r="V16248" s="318"/>
      <c r="W16248" s="318"/>
      <c r="X16248" s="318"/>
      <c r="Y16248" s="318"/>
      <c r="Z16248" s="318"/>
      <c r="AA16248" s="318"/>
      <c r="AB16248" s="318"/>
      <c r="AC16248" s="318"/>
      <c r="AD16248" s="318"/>
    </row>
    <row r="16249" spans="2:30" s="323" customFormat="1" ht="12" customHeight="1">
      <c r="B16249" s="324"/>
      <c r="C16249" s="325"/>
      <c r="D16249" s="326"/>
      <c r="E16249" s="326"/>
      <c r="F16249" s="326"/>
      <c r="G16249" s="326"/>
      <c r="H16249" s="326"/>
      <c r="P16249" s="318"/>
      <c r="Q16249" s="318"/>
      <c r="R16249" s="318"/>
      <c r="S16249" s="318"/>
      <c r="T16249" s="318"/>
      <c r="U16249" s="318"/>
      <c r="V16249" s="318"/>
      <c r="W16249" s="318"/>
      <c r="X16249" s="318"/>
      <c r="Y16249" s="318"/>
      <c r="Z16249" s="318"/>
      <c r="AA16249" s="318"/>
      <c r="AB16249" s="318"/>
      <c r="AC16249" s="318"/>
      <c r="AD16249" s="318"/>
    </row>
    <row r="16250" spans="2:30" s="323" customFormat="1" ht="12" customHeight="1">
      <c r="B16250" s="324"/>
      <c r="C16250" s="325"/>
      <c r="D16250" s="326"/>
      <c r="E16250" s="326"/>
      <c r="F16250" s="326"/>
      <c r="G16250" s="326"/>
      <c r="H16250" s="326"/>
      <c r="P16250" s="318"/>
      <c r="Q16250" s="318"/>
      <c r="R16250" s="318"/>
      <c r="S16250" s="318"/>
      <c r="T16250" s="318"/>
      <c r="U16250" s="318"/>
      <c r="V16250" s="318"/>
      <c r="W16250" s="318"/>
      <c r="X16250" s="318"/>
      <c r="Y16250" s="318"/>
      <c r="Z16250" s="318"/>
      <c r="AA16250" s="318"/>
      <c r="AB16250" s="318"/>
      <c r="AC16250" s="318"/>
      <c r="AD16250" s="318"/>
    </row>
    <row r="16251" spans="2:30" s="323" customFormat="1" ht="12" customHeight="1">
      <c r="B16251" s="324"/>
      <c r="C16251" s="325"/>
      <c r="D16251" s="326"/>
      <c r="E16251" s="326"/>
      <c r="F16251" s="326"/>
      <c r="G16251" s="326"/>
      <c r="H16251" s="326"/>
      <c r="P16251" s="318"/>
      <c r="Q16251" s="318"/>
      <c r="R16251" s="318"/>
      <c r="S16251" s="318"/>
      <c r="T16251" s="318"/>
      <c r="U16251" s="318"/>
      <c r="V16251" s="318"/>
      <c r="W16251" s="318"/>
      <c r="X16251" s="318"/>
      <c r="Y16251" s="318"/>
      <c r="Z16251" s="318"/>
      <c r="AA16251" s="318"/>
      <c r="AB16251" s="318"/>
      <c r="AC16251" s="318"/>
      <c r="AD16251" s="318"/>
    </row>
    <row r="16252" spans="2:30" s="323" customFormat="1" ht="12" customHeight="1">
      <c r="B16252" s="324"/>
      <c r="C16252" s="325"/>
      <c r="D16252" s="326"/>
      <c r="E16252" s="326"/>
      <c r="F16252" s="326"/>
      <c r="G16252" s="326"/>
      <c r="H16252" s="326"/>
      <c r="P16252" s="318"/>
      <c r="Q16252" s="318"/>
      <c r="R16252" s="318"/>
      <c r="S16252" s="318"/>
      <c r="T16252" s="318"/>
      <c r="U16252" s="318"/>
      <c r="V16252" s="318"/>
      <c r="W16252" s="318"/>
      <c r="X16252" s="318"/>
      <c r="Y16252" s="318"/>
      <c r="Z16252" s="318"/>
      <c r="AA16252" s="318"/>
      <c r="AB16252" s="318"/>
      <c r="AC16252" s="318"/>
      <c r="AD16252" s="318"/>
    </row>
    <row r="16253" spans="2:30" s="323" customFormat="1" ht="12" customHeight="1">
      <c r="B16253" s="324"/>
      <c r="C16253" s="325"/>
      <c r="D16253" s="326"/>
      <c r="E16253" s="326"/>
      <c r="F16253" s="326"/>
      <c r="G16253" s="326"/>
      <c r="H16253" s="326"/>
      <c r="P16253" s="318"/>
      <c r="Q16253" s="318"/>
      <c r="R16253" s="318"/>
      <c r="S16253" s="318"/>
      <c r="T16253" s="318"/>
      <c r="U16253" s="318"/>
      <c r="V16253" s="318"/>
      <c r="W16253" s="318"/>
      <c r="X16253" s="318"/>
      <c r="Y16253" s="318"/>
      <c r="Z16253" s="318"/>
      <c r="AA16253" s="318"/>
      <c r="AB16253" s="318"/>
      <c r="AC16253" s="318"/>
      <c r="AD16253" s="318"/>
    </row>
    <row r="16254" spans="2:30" s="323" customFormat="1" ht="12" customHeight="1">
      <c r="B16254" s="324"/>
      <c r="C16254" s="325"/>
      <c r="D16254" s="326"/>
      <c r="E16254" s="326"/>
      <c r="F16254" s="326"/>
      <c r="G16254" s="326"/>
      <c r="H16254" s="326"/>
      <c r="P16254" s="318"/>
      <c r="Q16254" s="318"/>
      <c r="R16254" s="318"/>
      <c r="S16254" s="318"/>
      <c r="T16254" s="318"/>
      <c r="U16254" s="318"/>
      <c r="V16254" s="318"/>
      <c r="W16254" s="318"/>
      <c r="X16254" s="318"/>
      <c r="Y16254" s="318"/>
      <c r="Z16254" s="318"/>
      <c r="AA16254" s="318"/>
      <c r="AB16254" s="318"/>
      <c r="AC16254" s="318"/>
      <c r="AD16254" s="318"/>
    </row>
    <row r="16255" spans="2:30" s="323" customFormat="1" ht="12" customHeight="1">
      <c r="B16255" s="324"/>
      <c r="C16255" s="325"/>
      <c r="D16255" s="326"/>
      <c r="E16255" s="326"/>
      <c r="F16255" s="326"/>
      <c r="G16255" s="326"/>
      <c r="H16255" s="326"/>
      <c r="P16255" s="318"/>
      <c r="Q16255" s="318"/>
      <c r="R16255" s="318"/>
      <c r="S16255" s="318"/>
      <c r="T16255" s="318"/>
      <c r="U16255" s="318"/>
      <c r="V16255" s="318"/>
      <c r="W16255" s="318"/>
      <c r="X16255" s="318"/>
      <c r="Y16255" s="318"/>
      <c r="Z16255" s="318"/>
      <c r="AA16255" s="318"/>
      <c r="AB16255" s="318"/>
      <c r="AC16255" s="318"/>
      <c r="AD16255" s="318"/>
    </row>
    <row r="16256" spans="2:30" s="323" customFormat="1" ht="12" customHeight="1">
      <c r="B16256" s="324"/>
      <c r="C16256" s="325"/>
      <c r="D16256" s="326"/>
      <c r="E16256" s="326"/>
      <c r="F16256" s="326"/>
      <c r="G16256" s="326"/>
      <c r="H16256" s="326"/>
      <c r="P16256" s="318"/>
      <c r="Q16256" s="318"/>
      <c r="R16256" s="318"/>
      <c r="S16256" s="318"/>
      <c r="T16256" s="318"/>
      <c r="U16256" s="318"/>
      <c r="V16256" s="318"/>
      <c r="W16256" s="318"/>
      <c r="X16256" s="318"/>
      <c r="Y16256" s="318"/>
      <c r="Z16256" s="318"/>
      <c r="AA16256" s="318"/>
      <c r="AB16256" s="318"/>
      <c r="AC16256" s="318"/>
      <c r="AD16256" s="318"/>
    </row>
    <row r="16257" spans="2:30" s="323" customFormat="1" ht="12" customHeight="1">
      <c r="B16257" s="324"/>
      <c r="C16257" s="325"/>
      <c r="D16257" s="326"/>
      <c r="E16257" s="326"/>
      <c r="F16257" s="326"/>
      <c r="G16257" s="326"/>
      <c r="H16257" s="326"/>
      <c r="P16257" s="318"/>
      <c r="Q16257" s="318"/>
      <c r="R16257" s="318"/>
      <c r="S16257" s="318"/>
      <c r="T16257" s="318"/>
      <c r="U16257" s="318"/>
      <c r="V16257" s="318"/>
      <c r="W16257" s="318"/>
      <c r="X16257" s="318"/>
      <c r="Y16257" s="318"/>
      <c r="Z16257" s="318"/>
      <c r="AA16257" s="318"/>
      <c r="AB16257" s="318"/>
      <c r="AC16257" s="318"/>
      <c r="AD16257" s="318"/>
    </row>
    <row r="16258" spans="2:30" s="323" customFormat="1" ht="12" customHeight="1">
      <c r="B16258" s="324"/>
      <c r="C16258" s="325"/>
      <c r="D16258" s="326"/>
      <c r="E16258" s="326"/>
      <c r="F16258" s="326"/>
      <c r="G16258" s="326"/>
      <c r="H16258" s="326"/>
      <c r="P16258" s="318"/>
      <c r="Q16258" s="318"/>
      <c r="R16258" s="318"/>
      <c r="S16258" s="318"/>
      <c r="T16258" s="318"/>
      <c r="U16258" s="318"/>
      <c r="V16258" s="318"/>
      <c r="W16258" s="318"/>
      <c r="X16258" s="318"/>
      <c r="Y16258" s="318"/>
      <c r="Z16258" s="318"/>
      <c r="AA16258" s="318"/>
      <c r="AB16258" s="318"/>
      <c r="AC16258" s="318"/>
      <c r="AD16258" s="318"/>
    </row>
    <row r="16259" spans="2:30" s="323" customFormat="1" ht="12" customHeight="1">
      <c r="B16259" s="324"/>
      <c r="C16259" s="325"/>
      <c r="D16259" s="326"/>
      <c r="E16259" s="326"/>
      <c r="F16259" s="326"/>
      <c r="G16259" s="326"/>
      <c r="H16259" s="326"/>
      <c r="P16259" s="318"/>
      <c r="Q16259" s="318"/>
      <c r="R16259" s="318"/>
      <c r="S16259" s="318"/>
      <c r="T16259" s="318"/>
      <c r="U16259" s="318"/>
      <c r="V16259" s="318"/>
      <c r="W16259" s="318"/>
      <c r="X16259" s="318"/>
      <c r="Y16259" s="318"/>
      <c r="Z16259" s="318"/>
      <c r="AA16259" s="318"/>
      <c r="AB16259" s="318"/>
      <c r="AC16259" s="318"/>
      <c r="AD16259" s="318"/>
    </row>
    <row r="16260" spans="2:30" s="323" customFormat="1" ht="12" customHeight="1">
      <c r="B16260" s="324"/>
      <c r="C16260" s="325"/>
      <c r="D16260" s="326"/>
      <c r="E16260" s="326"/>
      <c r="F16260" s="326"/>
      <c r="G16260" s="326"/>
      <c r="H16260" s="326"/>
      <c r="P16260" s="318"/>
      <c r="Q16260" s="318"/>
      <c r="R16260" s="318"/>
      <c r="S16260" s="318"/>
      <c r="T16260" s="318"/>
      <c r="U16260" s="318"/>
      <c r="V16260" s="318"/>
      <c r="W16260" s="318"/>
      <c r="X16260" s="318"/>
      <c r="Y16260" s="318"/>
      <c r="Z16260" s="318"/>
      <c r="AA16260" s="318"/>
      <c r="AB16260" s="318"/>
      <c r="AC16260" s="318"/>
      <c r="AD16260" s="318"/>
    </row>
    <row r="16261" spans="2:30" s="323" customFormat="1" ht="12" customHeight="1">
      <c r="B16261" s="324"/>
      <c r="C16261" s="325"/>
      <c r="D16261" s="326"/>
      <c r="E16261" s="326"/>
      <c r="F16261" s="326"/>
      <c r="G16261" s="326"/>
      <c r="H16261" s="326"/>
      <c r="P16261" s="318"/>
      <c r="Q16261" s="318"/>
      <c r="R16261" s="318"/>
      <c r="S16261" s="318"/>
      <c r="T16261" s="318"/>
      <c r="U16261" s="318"/>
      <c r="V16261" s="318"/>
      <c r="W16261" s="318"/>
      <c r="X16261" s="318"/>
      <c r="Y16261" s="318"/>
      <c r="Z16261" s="318"/>
      <c r="AA16261" s="318"/>
      <c r="AB16261" s="318"/>
      <c r="AC16261" s="318"/>
      <c r="AD16261" s="318"/>
    </row>
    <row r="16262" spans="2:30" s="323" customFormat="1" ht="12" customHeight="1">
      <c r="B16262" s="324"/>
      <c r="C16262" s="325"/>
      <c r="D16262" s="326"/>
      <c r="E16262" s="326"/>
      <c r="F16262" s="326"/>
      <c r="G16262" s="326"/>
      <c r="H16262" s="326"/>
      <c r="P16262" s="318"/>
      <c r="Q16262" s="318"/>
      <c r="R16262" s="318"/>
      <c r="S16262" s="318"/>
      <c r="T16262" s="318"/>
      <c r="U16262" s="318"/>
      <c r="V16262" s="318"/>
      <c r="W16262" s="318"/>
      <c r="X16262" s="318"/>
      <c r="Y16262" s="318"/>
      <c r="Z16262" s="318"/>
      <c r="AA16262" s="318"/>
      <c r="AB16262" s="318"/>
      <c r="AC16262" s="318"/>
      <c r="AD16262" s="318"/>
    </row>
    <row r="16263" spans="2:30" s="323" customFormat="1" ht="12" customHeight="1">
      <c r="B16263" s="324"/>
      <c r="C16263" s="325"/>
      <c r="D16263" s="326"/>
      <c r="E16263" s="326"/>
      <c r="F16263" s="326"/>
      <c r="G16263" s="326"/>
      <c r="H16263" s="326"/>
      <c r="P16263" s="318"/>
      <c r="Q16263" s="318"/>
      <c r="R16263" s="318"/>
      <c r="S16263" s="318"/>
      <c r="T16263" s="318"/>
      <c r="U16263" s="318"/>
      <c r="V16263" s="318"/>
      <c r="W16263" s="318"/>
      <c r="X16263" s="318"/>
      <c r="Y16263" s="318"/>
      <c r="Z16263" s="318"/>
      <c r="AA16263" s="318"/>
      <c r="AB16263" s="318"/>
      <c r="AC16263" s="318"/>
      <c r="AD16263" s="318"/>
    </row>
    <row r="16264" spans="2:30" s="323" customFormat="1" ht="12" customHeight="1">
      <c r="B16264" s="324"/>
      <c r="C16264" s="325"/>
      <c r="D16264" s="326"/>
      <c r="E16264" s="326"/>
      <c r="F16264" s="326"/>
      <c r="G16264" s="326"/>
      <c r="H16264" s="326"/>
      <c r="P16264" s="318"/>
      <c r="Q16264" s="318"/>
      <c r="R16264" s="318"/>
      <c r="S16264" s="318"/>
      <c r="T16264" s="318"/>
      <c r="U16264" s="318"/>
      <c r="V16264" s="318"/>
      <c r="W16264" s="318"/>
      <c r="X16264" s="318"/>
      <c r="Y16264" s="318"/>
      <c r="Z16264" s="318"/>
      <c r="AA16264" s="318"/>
      <c r="AB16264" s="318"/>
      <c r="AC16264" s="318"/>
      <c r="AD16264" s="318"/>
    </row>
    <row r="16265" spans="2:30" s="323" customFormat="1" ht="12" customHeight="1">
      <c r="B16265" s="324"/>
      <c r="C16265" s="325"/>
      <c r="D16265" s="326"/>
      <c r="E16265" s="326"/>
      <c r="F16265" s="326"/>
      <c r="G16265" s="326"/>
      <c r="H16265" s="326"/>
      <c r="P16265" s="318"/>
      <c r="Q16265" s="318"/>
      <c r="R16265" s="318"/>
      <c r="S16265" s="318"/>
      <c r="T16265" s="318"/>
      <c r="U16265" s="318"/>
      <c r="V16265" s="318"/>
      <c r="W16265" s="318"/>
      <c r="X16265" s="318"/>
      <c r="Y16265" s="318"/>
      <c r="Z16265" s="318"/>
      <c r="AA16265" s="318"/>
      <c r="AB16265" s="318"/>
      <c r="AC16265" s="318"/>
      <c r="AD16265" s="318"/>
    </row>
    <row r="16266" spans="2:30" s="323" customFormat="1" ht="12" customHeight="1">
      <c r="B16266" s="324"/>
      <c r="C16266" s="325"/>
      <c r="D16266" s="326"/>
      <c r="E16266" s="326"/>
      <c r="F16266" s="326"/>
      <c r="G16266" s="326"/>
      <c r="H16266" s="326"/>
      <c r="P16266" s="318"/>
      <c r="Q16266" s="318"/>
      <c r="R16266" s="318"/>
      <c r="S16266" s="318"/>
      <c r="T16266" s="318"/>
      <c r="U16266" s="318"/>
      <c r="V16266" s="318"/>
      <c r="W16266" s="318"/>
      <c r="X16266" s="318"/>
      <c r="Y16266" s="318"/>
      <c r="Z16266" s="318"/>
      <c r="AA16266" s="318"/>
      <c r="AB16266" s="318"/>
      <c r="AC16266" s="318"/>
      <c r="AD16266" s="318"/>
    </row>
    <row r="16267" spans="2:30" s="323" customFormat="1" ht="12" customHeight="1">
      <c r="B16267" s="324"/>
      <c r="C16267" s="325"/>
      <c r="D16267" s="326"/>
      <c r="E16267" s="326"/>
      <c r="F16267" s="326"/>
      <c r="G16267" s="326"/>
      <c r="H16267" s="326"/>
      <c r="P16267" s="318"/>
      <c r="Q16267" s="318"/>
      <c r="R16267" s="318"/>
      <c r="S16267" s="318"/>
      <c r="T16267" s="318"/>
      <c r="U16267" s="318"/>
      <c r="V16267" s="318"/>
      <c r="W16267" s="318"/>
      <c r="X16267" s="318"/>
      <c r="Y16267" s="318"/>
      <c r="Z16267" s="318"/>
      <c r="AA16267" s="318"/>
      <c r="AB16267" s="318"/>
      <c r="AC16267" s="318"/>
      <c r="AD16267" s="318"/>
    </row>
    <row r="16268" spans="2:30" s="323" customFormat="1" ht="12" customHeight="1">
      <c r="B16268" s="324"/>
      <c r="C16268" s="325"/>
      <c r="D16268" s="326"/>
      <c r="E16268" s="326"/>
      <c r="F16268" s="326"/>
      <c r="G16268" s="326"/>
      <c r="H16268" s="326"/>
      <c r="P16268" s="318"/>
      <c r="Q16268" s="318"/>
      <c r="R16268" s="318"/>
      <c r="S16268" s="318"/>
      <c r="T16268" s="318"/>
      <c r="U16268" s="318"/>
      <c r="V16268" s="318"/>
      <c r="W16268" s="318"/>
      <c r="X16268" s="318"/>
      <c r="Y16268" s="318"/>
      <c r="Z16268" s="318"/>
      <c r="AA16268" s="318"/>
      <c r="AB16268" s="318"/>
      <c r="AC16268" s="318"/>
      <c r="AD16268" s="318"/>
    </row>
    <row r="16269" spans="2:30" s="323" customFormat="1" ht="12" customHeight="1">
      <c r="B16269" s="324"/>
      <c r="C16269" s="325"/>
      <c r="D16269" s="326"/>
      <c r="E16269" s="326"/>
      <c r="F16269" s="326"/>
      <c r="G16269" s="326"/>
      <c r="H16269" s="326"/>
      <c r="P16269" s="318"/>
      <c r="Q16269" s="318"/>
      <c r="R16269" s="318"/>
      <c r="S16269" s="318"/>
      <c r="T16269" s="318"/>
      <c r="U16269" s="318"/>
      <c r="V16269" s="318"/>
      <c r="W16269" s="318"/>
      <c r="X16269" s="318"/>
      <c r="Y16269" s="318"/>
      <c r="Z16269" s="318"/>
      <c r="AA16269" s="318"/>
      <c r="AB16269" s="318"/>
      <c r="AC16269" s="318"/>
      <c r="AD16269" s="318"/>
    </row>
    <row r="16270" spans="2:30" s="323" customFormat="1" ht="12" customHeight="1">
      <c r="B16270" s="324"/>
      <c r="C16270" s="325"/>
      <c r="D16270" s="326"/>
      <c r="E16270" s="326"/>
      <c r="F16270" s="326"/>
      <c r="G16270" s="326"/>
      <c r="H16270" s="326"/>
      <c r="P16270" s="318"/>
      <c r="Q16270" s="318"/>
      <c r="R16270" s="318"/>
      <c r="S16270" s="318"/>
      <c r="T16270" s="318"/>
      <c r="U16270" s="318"/>
      <c r="V16270" s="318"/>
      <c r="W16270" s="318"/>
      <c r="X16270" s="318"/>
      <c r="Y16270" s="318"/>
      <c r="Z16270" s="318"/>
      <c r="AA16270" s="318"/>
      <c r="AB16270" s="318"/>
      <c r="AC16270" s="318"/>
      <c r="AD16270" s="318"/>
    </row>
    <row r="16271" spans="2:30" s="323" customFormat="1" ht="12" customHeight="1">
      <c r="B16271" s="324"/>
      <c r="C16271" s="325"/>
      <c r="D16271" s="326"/>
      <c r="E16271" s="326"/>
      <c r="F16271" s="326"/>
      <c r="G16271" s="326"/>
      <c r="H16271" s="326"/>
      <c r="P16271" s="318"/>
      <c r="Q16271" s="318"/>
      <c r="R16271" s="318"/>
      <c r="S16271" s="318"/>
      <c r="T16271" s="318"/>
      <c r="U16271" s="318"/>
      <c r="V16271" s="318"/>
      <c r="W16271" s="318"/>
      <c r="X16271" s="318"/>
      <c r="Y16271" s="318"/>
      <c r="Z16271" s="318"/>
      <c r="AA16271" s="318"/>
      <c r="AB16271" s="318"/>
      <c r="AC16271" s="318"/>
      <c r="AD16271" s="318"/>
    </row>
    <row r="16272" spans="2:30" s="323" customFormat="1" ht="12" customHeight="1">
      <c r="B16272" s="324"/>
      <c r="C16272" s="325"/>
      <c r="D16272" s="326"/>
      <c r="E16272" s="326"/>
      <c r="F16272" s="326"/>
      <c r="G16272" s="326"/>
      <c r="H16272" s="326"/>
      <c r="P16272" s="318"/>
      <c r="Q16272" s="318"/>
      <c r="R16272" s="318"/>
      <c r="S16272" s="318"/>
      <c r="T16272" s="318"/>
      <c r="U16272" s="318"/>
      <c r="V16272" s="318"/>
      <c r="W16272" s="318"/>
      <c r="X16272" s="318"/>
      <c r="Y16272" s="318"/>
      <c r="Z16272" s="318"/>
      <c r="AA16272" s="318"/>
      <c r="AB16272" s="318"/>
      <c r="AC16272" s="318"/>
      <c r="AD16272" s="318"/>
    </row>
    <row r="16273" spans="2:30" s="323" customFormat="1" ht="12" customHeight="1">
      <c r="B16273" s="324"/>
      <c r="C16273" s="325"/>
      <c r="D16273" s="326"/>
      <c r="E16273" s="326"/>
      <c r="F16273" s="326"/>
      <c r="G16273" s="326"/>
      <c r="H16273" s="326"/>
      <c r="P16273" s="318"/>
      <c r="Q16273" s="318"/>
      <c r="R16273" s="318"/>
      <c r="S16273" s="318"/>
      <c r="T16273" s="318"/>
      <c r="U16273" s="318"/>
      <c r="V16273" s="318"/>
      <c r="W16273" s="318"/>
      <c r="X16273" s="318"/>
      <c r="Y16273" s="318"/>
      <c r="Z16273" s="318"/>
      <c r="AA16273" s="318"/>
      <c r="AB16273" s="318"/>
      <c r="AC16273" s="318"/>
      <c r="AD16273" s="318"/>
    </row>
    <row r="16274" spans="2:30" s="323" customFormat="1" ht="12" customHeight="1">
      <c r="B16274" s="324"/>
      <c r="C16274" s="325"/>
      <c r="D16274" s="326"/>
      <c r="E16274" s="326"/>
      <c r="F16274" s="326"/>
      <c r="G16274" s="326"/>
      <c r="H16274" s="326"/>
      <c r="P16274" s="318"/>
      <c r="Q16274" s="318"/>
      <c r="R16274" s="318"/>
      <c r="S16274" s="318"/>
      <c r="T16274" s="318"/>
      <c r="U16274" s="318"/>
      <c r="V16274" s="318"/>
      <c r="W16274" s="318"/>
      <c r="X16274" s="318"/>
      <c r="Y16274" s="318"/>
      <c r="Z16274" s="318"/>
      <c r="AA16274" s="318"/>
      <c r="AB16274" s="318"/>
      <c r="AC16274" s="318"/>
      <c r="AD16274" s="318"/>
    </row>
    <row r="16275" spans="2:30" s="323" customFormat="1" ht="12" customHeight="1">
      <c r="B16275" s="324"/>
      <c r="C16275" s="325"/>
      <c r="D16275" s="326"/>
      <c r="E16275" s="326"/>
      <c r="F16275" s="326"/>
      <c r="G16275" s="326"/>
      <c r="H16275" s="326"/>
      <c r="P16275" s="318"/>
      <c r="Q16275" s="318"/>
      <c r="R16275" s="318"/>
      <c r="S16275" s="318"/>
      <c r="T16275" s="318"/>
      <c r="U16275" s="318"/>
      <c r="V16275" s="318"/>
      <c r="W16275" s="318"/>
      <c r="X16275" s="318"/>
      <c r="Y16275" s="318"/>
      <c r="Z16275" s="318"/>
      <c r="AA16275" s="318"/>
      <c r="AB16275" s="318"/>
      <c r="AC16275" s="318"/>
      <c r="AD16275" s="318"/>
    </row>
    <row r="16276" spans="2:30" s="323" customFormat="1" ht="12" customHeight="1">
      <c r="B16276" s="324"/>
      <c r="C16276" s="325"/>
      <c r="D16276" s="326"/>
      <c r="E16276" s="326"/>
      <c r="F16276" s="326"/>
      <c r="G16276" s="326"/>
      <c r="H16276" s="326"/>
      <c r="P16276" s="318"/>
      <c r="Q16276" s="318"/>
      <c r="R16276" s="318"/>
      <c r="S16276" s="318"/>
      <c r="T16276" s="318"/>
      <c r="U16276" s="318"/>
      <c r="V16276" s="318"/>
      <c r="W16276" s="318"/>
      <c r="X16276" s="318"/>
      <c r="Y16276" s="318"/>
      <c r="Z16276" s="318"/>
      <c r="AA16276" s="318"/>
      <c r="AB16276" s="318"/>
      <c r="AC16276" s="318"/>
      <c r="AD16276" s="318"/>
    </row>
    <row r="16277" spans="2:30" s="323" customFormat="1" ht="12" customHeight="1">
      <c r="B16277" s="324"/>
      <c r="C16277" s="325"/>
      <c r="D16277" s="326"/>
      <c r="E16277" s="326"/>
      <c r="F16277" s="326"/>
      <c r="G16277" s="326"/>
      <c r="H16277" s="326"/>
      <c r="P16277" s="318"/>
      <c r="Q16277" s="318"/>
      <c r="R16277" s="318"/>
      <c r="S16277" s="318"/>
      <c r="T16277" s="318"/>
      <c r="U16277" s="318"/>
      <c r="V16277" s="318"/>
      <c r="W16277" s="318"/>
      <c r="X16277" s="318"/>
      <c r="Y16277" s="318"/>
      <c r="Z16277" s="318"/>
      <c r="AA16277" s="318"/>
      <c r="AB16277" s="318"/>
      <c r="AC16277" s="318"/>
      <c r="AD16277" s="318"/>
    </row>
    <row r="16278" spans="2:30" s="323" customFormat="1" ht="12" customHeight="1">
      <c r="B16278" s="324"/>
      <c r="C16278" s="325"/>
      <c r="D16278" s="326"/>
      <c r="E16278" s="326"/>
      <c r="F16278" s="326"/>
      <c r="G16278" s="326"/>
      <c r="H16278" s="326"/>
      <c r="P16278" s="318"/>
      <c r="Q16278" s="318"/>
      <c r="R16278" s="318"/>
      <c r="S16278" s="318"/>
      <c r="T16278" s="318"/>
      <c r="U16278" s="318"/>
      <c r="V16278" s="318"/>
      <c r="W16278" s="318"/>
      <c r="X16278" s="318"/>
      <c r="Y16278" s="318"/>
      <c r="Z16278" s="318"/>
      <c r="AA16278" s="318"/>
      <c r="AB16278" s="318"/>
      <c r="AC16278" s="318"/>
      <c r="AD16278" s="318"/>
    </row>
    <row r="16279" spans="2:30" s="323" customFormat="1" ht="12" customHeight="1">
      <c r="B16279" s="324"/>
      <c r="C16279" s="325"/>
      <c r="D16279" s="326"/>
      <c r="E16279" s="326"/>
      <c r="F16279" s="326"/>
      <c r="G16279" s="326"/>
      <c r="H16279" s="326"/>
      <c r="P16279" s="318"/>
      <c r="Q16279" s="318"/>
      <c r="R16279" s="318"/>
      <c r="S16279" s="318"/>
      <c r="T16279" s="318"/>
      <c r="U16279" s="318"/>
      <c r="V16279" s="318"/>
      <c r="W16279" s="318"/>
      <c r="X16279" s="318"/>
      <c r="Y16279" s="318"/>
      <c r="Z16279" s="318"/>
      <c r="AA16279" s="318"/>
      <c r="AB16279" s="318"/>
      <c r="AC16279" s="318"/>
      <c r="AD16279" s="318"/>
    </row>
    <row r="16280" spans="2:30" s="323" customFormat="1" ht="12" customHeight="1">
      <c r="B16280" s="324"/>
      <c r="C16280" s="325"/>
      <c r="D16280" s="326"/>
      <c r="E16280" s="326"/>
      <c r="F16280" s="326"/>
      <c r="G16280" s="326"/>
      <c r="H16280" s="326"/>
      <c r="P16280" s="318"/>
      <c r="Q16280" s="318"/>
      <c r="R16280" s="318"/>
      <c r="S16280" s="318"/>
      <c r="T16280" s="318"/>
      <c r="U16280" s="318"/>
      <c r="V16280" s="318"/>
      <c r="W16280" s="318"/>
      <c r="X16280" s="318"/>
      <c r="Y16280" s="318"/>
      <c r="Z16280" s="318"/>
      <c r="AA16280" s="318"/>
      <c r="AB16280" s="318"/>
      <c r="AC16280" s="318"/>
      <c r="AD16280" s="318"/>
    </row>
    <row r="16281" spans="2:30" s="323" customFormat="1" ht="12" customHeight="1">
      <c r="B16281" s="324"/>
      <c r="C16281" s="325"/>
      <c r="D16281" s="326"/>
      <c r="E16281" s="326"/>
      <c r="F16281" s="326"/>
      <c r="G16281" s="326"/>
      <c r="H16281" s="326"/>
      <c r="P16281" s="318"/>
      <c r="Q16281" s="318"/>
      <c r="R16281" s="318"/>
      <c r="S16281" s="318"/>
      <c r="T16281" s="318"/>
      <c r="U16281" s="318"/>
      <c r="V16281" s="318"/>
      <c r="W16281" s="318"/>
      <c r="X16281" s="318"/>
      <c r="Y16281" s="318"/>
      <c r="Z16281" s="318"/>
      <c r="AA16281" s="318"/>
      <c r="AB16281" s="318"/>
      <c r="AC16281" s="318"/>
      <c r="AD16281" s="318"/>
    </row>
    <row r="16282" spans="2:30" s="323" customFormat="1" ht="12" customHeight="1">
      <c r="B16282" s="324"/>
      <c r="C16282" s="325"/>
      <c r="D16282" s="326"/>
      <c r="E16282" s="326"/>
      <c r="F16282" s="326"/>
      <c r="G16282" s="326"/>
      <c r="H16282" s="326"/>
      <c r="P16282" s="318"/>
      <c r="Q16282" s="318"/>
      <c r="R16282" s="318"/>
      <c r="S16282" s="318"/>
      <c r="T16282" s="318"/>
      <c r="U16282" s="318"/>
      <c r="V16282" s="318"/>
      <c r="W16282" s="318"/>
      <c r="X16282" s="318"/>
      <c r="Y16282" s="318"/>
      <c r="Z16282" s="318"/>
      <c r="AA16282" s="318"/>
      <c r="AB16282" s="318"/>
      <c r="AC16282" s="318"/>
      <c r="AD16282" s="318"/>
    </row>
    <row r="16283" spans="2:30" s="323" customFormat="1" ht="12" customHeight="1">
      <c r="B16283" s="324"/>
      <c r="C16283" s="325"/>
      <c r="D16283" s="326"/>
      <c r="E16283" s="326"/>
      <c r="F16283" s="326"/>
      <c r="G16283" s="326"/>
      <c r="H16283" s="326"/>
      <c r="P16283" s="318"/>
      <c r="Q16283" s="318"/>
      <c r="R16283" s="318"/>
      <c r="S16283" s="318"/>
      <c r="T16283" s="318"/>
      <c r="U16283" s="318"/>
      <c r="V16283" s="318"/>
      <c r="W16283" s="318"/>
      <c r="X16283" s="318"/>
      <c r="Y16283" s="318"/>
      <c r="Z16283" s="318"/>
      <c r="AA16283" s="318"/>
      <c r="AB16283" s="318"/>
      <c r="AC16283" s="318"/>
      <c r="AD16283" s="318"/>
    </row>
    <row r="16284" spans="2:30" s="323" customFormat="1" ht="12" customHeight="1">
      <c r="B16284" s="324"/>
      <c r="C16284" s="325"/>
      <c r="D16284" s="326"/>
      <c r="E16284" s="326"/>
      <c r="F16284" s="326"/>
      <c r="G16284" s="326"/>
      <c r="H16284" s="326"/>
      <c r="P16284" s="318"/>
      <c r="Q16284" s="318"/>
      <c r="R16284" s="318"/>
      <c r="S16284" s="318"/>
      <c r="T16284" s="318"/>
      <c r="U16284" s="318"/>
      <c r="V16284" s="318"/>
      <c r="W16284" s="318"/>
      <c r="X16284" s="318"/>
      <c r="Y16284" s="318"/>
      <c r="Z16284" s="318"/>
      <c r="AA16284" s="318"/>
      <c r="AB16284" s="318"/>
      <c r="AC16284" s="318"/>
      <c r="AD16284" s="318"/>
    </row>
    <row r="16285" spans="2:30" s="323" customFormat="1" ht="12" customHeight="1">
      <c r="B16285" s="324"/>
      <c r="C16285" s="325"/>
      <c r="D16285" s="326"/>
      <c r="E16285" s="326"/>
      <c r="F16285" s="326"/>
      <c r="G16285" s="326"/>
      <c r="H16285" s="326"/>
      <c r="P16285" s="318"/>
      <c r="Q16285" s="318"/>
      <c r="R16285" s="318"/>
      <c r="S16285" s="318"/>
      <c r="T16285" s="318"/>
      <c r="U16285" s="318"/>
      <c r="V16285" s="318"/>
      <c r="W16285" s="318"/>
      <c r="X16285" s="318"/>
      <c r="Y16285" s="318"/>
      <c r="Z16285" s="318"/>
      <c r="AA16285" s="318"/>
      <c r="AB16285" s="318"/>
      <c r="AC16285" s="318"/>
      <c r="AD16285" s="318"/>
    </row>
    <row r="16286" spans="2:30" s="323" customFormat="1" ht="12" customHeight="1">
      <c r="B16286" s="324"/>
      <c r="C16286" s="325"/>
      <c r="D16286" s="326"/>
      <c r="E16286" s="326"/>
      <c r="F16286" s="326"/>
      <c r="G16286" s="326"/>
      <c r="H16286" s="326"/>
      <c r="P16286" s="318"/>
      <c r="Q16286" s="318"/>
      <c r="R16286" s="318"/>
      <c r="S16286" s="318"/>
      <c r="T16286" s="318"/>
      <c r="U16286" s="318"/>
      <c r="V16286" s="318"/>
      <c r="W16286" s="318"/>
      <c r="X16286" s="318"/>
      <c r="Y16286" s="318"/>
      <c r="Z16286" s="318"/>
      <c r="AA16286" s="318"/>
      <c r="AB16286" s="318"/>
      <c r="AC16286" s="318"/>
      <c r="AD16286" s="318"/>
    </row>
    <row r="16287" spans="2:30" s="323" customFormat="1" ht="12" customHeight="1">
      <c r="B16287" s="324"/>
      <c r="C16287" s="325"/>
      <c r="D16287" s="326"/>
      <c r="E16287" s="326"/>
      <c r="F16287" s="326"/>
      <c r="G16287" s="326"/>
      <c r="H16287" s="326"/>
      <c r="P16287" s="318"/>
      <c r="Q16287" s="318"/>
      <c r="R16287" s="318"/>
      <c r="S16287" s="318"/>
      <c r="T16287" s="318"/>
      <c r="U16287" s="318"/>
      <c r="V16287" s="318"/>
      <c r="W16287" s="318"/>
      <c r="X16287" s="318"/>
      <c r="Y16287" s="318"/>
      <c r="Z16287" s="318"/>
      <c r="AA16287" s="318"/>
      <c r="AB16287" s="318"/>
      <c r="AC16287" s="318"/>
      <c r="AD16287" s="318"/>
    </row>
    <row r="16288" spans="2:30" s="323" customFormat="1" ht="12" customHeight="1">
      <c r="B16288" s="324"/>
      <c r="C16288" s="325"/>
      <c r="D16288" s="326"/>
      <c r="E16288" s="326"/>
      <c r="F16288" s="326"/>
      <c r="G16288" s="326"/>
      <c r="H16288" s="326"/>
      <c r="P16288" s="318"/>
      <c r="Q16288" s="318"/>
      <c r="R16288" s="318"/>
      <c r="S16288" s="318"/>
      <c r="T16288" s="318"/>
      <c r="U16288" s="318"/>
      <c r="V16288" s="318"/>
      <c r="W16288" s="318"/>
      <c r="X16288" s="318"/>
      <c r="Y16288" s="318"/>
      <c r="Z16288" s="318"/>
      <c r="AA16288" s="318"/>
      <c r="AB16288" s="318"/>
      <c r="AC16288" s="318"/>
      <c r="AD16288" s="318"/>
    </row>
    <row r="16289" spans="2:30" s="323" customFormat="1" ht="12" customHeight="1">
      <c r="B16289" s="324"/>
      <c r="C16289" s="325"/>
      <c r="D16289" s="326"/>
      <c r="E16289" s="326"/>
      <c r="F16289" s="326"/>
      <c r="G16289" s="326"/>
      <c r="H16289" s="326"/>
      <c r="P16289" s="318"/>
      <c r="Q16289" s="318"/>
      <c r="R16289" s="318"/>
      <c r="S16289" s="318"/>
      <c r="T16289" s="318"/>
      <c r="U16289" s="318"/>
      <c r="V16289" s="318"/>
      <c r="W16289" s="318"/>
      <c r="X16289" s="318"/>
      <c r="Y16289" s="318"/>
      <c r="Z16289" s="318"/>
      <c r="AA16289" s="318"/>
      <c r="AB16289" s="318"/>
      <c r="AC16289" s="318"/>
      <c r="AD16289" s="318"/>
    </row>
    <row r="16290" spans="2:30" s="323" customFormat="1" ht="12" customHeight="1">
      <c r="B16290" s="324"/>
      <c r="C16290" s="325"/>
      <c r="D16290" s="326"/>
      <c r="E16290" s="326"/>
      <c r="F16290" s="326"/>
      <c r="G16290" s="326"/>
      <c r="H16290" s="326"/>
      <c r="P16290" s="318"/>
      <c r="Q16290" s="318"/>
      <c r="R16290" s="318"/>
      <c r="S16290" s="318"/>
      <c r="T16290" s="318"/>
      <c r="U16290" s="318"/>
      <c r="V16290" s="318"/>
      <c r="W16290" s="318"/>
      <c r="X16290" s="318"/>
      <c r="Y16290" s="318"/>
      <c r="Z16290" s="318"/>
      <c r="AA16290" s="318"/>
      <c r="AB16290" s="318"/>
      <c r="AC16290" s="318"/>
      <c r="AD16290" s="318"/>
    </row>
    <row r="16291" spans="2:30" s="323" customFormat="1" ht="12" customHeight="1">
      <c r="B16291" s="324"/>
      <c r="C16291" s="325"/>
      <c r="D16291" s="326"/>
      <c r="E16291" s="326"/>
      <c r="F16291" s="326"/>
      <c r="G16291" s="326"/>
      <c r="H16291" s="326"/>
      <c r="P16291" s="318"/>
      <c r="Q16291" s="318"/>
      <c r="R16291" s="318"/>
      <c r="S16291" s="318"/>
      <c r="T16291" s="318"/>
      <c r="U16291" s="318"/>
      <c r="V16291" s="318"/>
      <c r="W16291" s="318"/>
      <c r="X16291" s="318"/>
      <c r="Y16291" s="318"/>
      <c r="Z16291" s="318"/>
      <c r="AA16291" s="318"/>
      <c r="AB16291" s="318"/>
      <c r="AC16291" s="318"/>
      <c r="AD16291" s="318"/>
    </row>
    <row r="16292" spans="2:30" s="323" customFormat="1" ht="12" customHeight="1">
      <c r="B16292" s="324"/>
      <c r="C16292" s="325"/>
      <c r="D16292" s="326"/>
      <c r="E16292" s="326"/>
      <c r="F16292" s="326"/>
      <c r="G16292" s="326"/>
      <c r="H16292" s="326"/>
      <c r="P16292" s="318"/>
      <c r="Q16292" s="318"/>
      <c r="R16292" s="318"/>
      <c r="S16292" s="318"/>
      <c r="T16292" s="318"/>
      <c r="U16292" s="318"/>
      <c r="V16292" s="318"/>
      <c r="W16292" s="318"/>
      <c r="X16292" s="318"/>
      <c r="Y16292" s="318"/>
      <c r="Z16292" s="318"/>
      <c r="AA16292" s="318"/>
      <c r="AB16292" s="318"/>
      <c r="AC16292" s="318"/>
      <c r="AD16292" s="318"/>
    </row>
    <row r="16293" spans="2:30" s="323" customFormat="1" ht="12" customHeight="1">
      <c r="B16293" s="324"/>
      <c r="C16293" s="325"/>
      <c r="D16293" s="326"/>
      <c r="E16293" s="326"/>
      <c r="F16293" s="326"/>
      <c r="G16293" s="326"/>
      <c r="H16293" s="326"/>
      <c r="P16293" s="318"/>
      <c r="Q16293" s="318"/>
      <c r="R16293" s="318"/>
      <c r="S16293" s="318"/>
      <c r="T16293" s="318"/>
      <c r="U16293" s="318"/>
      <c r="V16293" s="318"/>
      <c r="W16293" s="318"/>
      <c r="X16293" s="318"/>
      <c r="Y16293" s="318"/>
      <c r="Z16293" s="318"/>
      <c r="AA16293" s="318"/>
      <c r="AB16293" s="318"/>
      <c r="AC16293" s="318"/>
      <c r="AD16293" s="318"/>
    </row>
    <row r="16294" spans="2:30" s="323" customFormat="1" ht="12" customHeight="1">
      <c r="B16294" s="324"/>
      <c r="C16294" s="325"/>
      <c r="D16294" s="326"/>
      <c r="E16294" s="326"/>
      <c r="F16294" s="326"/>
      <c r="G16294" s="326"/>
      <c r="H16294" s="326"/>
      <c r="P16294" s="318"/>
      <c r="Q16294" s="318"/>
      <c r="R16294" s="318"/>
      <c r="S16294" s="318"/>
      <c r="T16294" s="318"/>
      <c r="U16294" s="318"/>
      <c r="V16294" s="318"/>
      <c r="W16294" s="318"/>
      <c r="X16294" s="318"/>
      <c r="Y16294" s="318"/>
      <c r="Z16294" s="318"/>
      <c r="AA16294" s="318"/>
      <c r="AB16294" s="318"/>
      <c r="AC16294" s="318"/>
      <c r="AD16294" s="318"/>
    </row>
    <row r="16295" spans="2:30" s="323" customFormat="1" ht="12" customHeight="1">
      <c r="B16295" s="324"/>
      <c r="C16295" s="325"/>
      <c r="D16295" s="326"/>
      <c r="E16295" s="326"/>
      <c r="F16295" s="326"/>
      <c r="G16295" s="326"/>
      <c r="H16295" s="326"/>
      <c r="P16295" s="318"/>
      <c r="Q16295" s="318"/>
      <c r="R16295" s="318"/>
      <c r="S16295" s="318"/>
      <c r="T16295" s="318"/>
      <c r="U16295" s="318"/>
      <c r="V16295" s="318"/>
      <c r="W16295" s="318"/>
      <c r="X16295" s="318"/>
      <c r="Y16295" s="318"/>
      <c r="Z16295" s="318"/>
      <c r="AA16295" s="318"/>
      <c r="AB16295" s="318"/>
      <c r="AC16295" s="318"/>
      <c r="AD16295" s="318"/>
    </row>
    <row r="16296" spans="2:30" s="323" customFormat="1" ht="12" customHeight="1">
      <c r="B16296" s="324"/>
      <c r="C16296" s="325"/>
      <c r="D16296" s="326"/>
      <c r="E16296" s="326"/>
      <c r="F16296" s="326"/>
      <c r="G16296" s="326"/>
      <c r="H16296" s="326"/>
      <c r="P16296" s="318"/>
      <c r="Q16296" s="318"/>
      <c r="R16296" s="318"/>
      <c r="S16296" s="318"/>
      <c r="T16296" s="318"/>
      <c r="U16296" s="318"/>
      <c r="V16296" s="318"/>
      <c r="W16296" s="318"/>
      <c r="X16296" s="318"/>
      <c r="Y16296" s="318"/>
      <c r="Z16296" s="318"/>
      <c r="AA16296" s="318"/>
      <c r="AB16296" s="318"/>
      <c r="AC16296" s="318"/>
      <c r="AD16296" s="318"/>
    </row>
    <row r="16297" spans="2:30" s="323" customFormat="1" ht="12" customHeight="1">
      <c r="B16297" s="324"/>
      <c r="C16297" s="325"/>
      <c r="D16297" s="326"/>
      <c r="E16297" s="326"/>
      <c r="F16297" s="326"/>
      <c r="G16297" s="326"/>
      <c r="H16297" s="326"/>
      <c r="P16297" s="318"/>
      <c r="Q16297" s="318"/>
      <c r="R16297" s="318"/>
      <c r="S16297" s="318"/>
      <c r="T16297" s="318"/>
      <c r="U16297" s="318"/>
      <c r="V16297" s="318"/>
      <c r="W16297" s="318"/>
      <c r="X16297" s="318"/>
      <c r="Y16297" s="318"/>
      <c r="Z16297" s="318"/>
      <c r="AA16297" s="318"/>
      <c r="AB16297" s="318"/>
      <c r="AC16297" s="318"/>
      <c r="AD16297" s="318"/>
    </row>
    <row r="16298" spans="2:30" s="323" customFormat="1" ht="12" customHeight="1">
      <c r="B16298" s="324"/>
      <c r="C16298" s="325"/>
      <c r="D16298" s="326"/>
      <c r="E16298" s="326"/>
      <c r="F16298" s="326"/>
      <c r="G16298" s="326"/>
      <c r="H16298" s="326"/>
      <c r="P16298" s="318"/>
      <c r="Q16298" s="318"/>
      <c r="R16298" s="318"/>
      <c r="S16298" s="318"/>
      <c r="T16298" s="318"/>
      <c r="U16298" s="318"/>
      <c r="V16298" s="318"/>
      <c r="W16298" s="318"/>
      <c r="X16298" s="318"/>
      <c r="Y16298" s="318"/>
      <c r="Z16298" s="318"/>
      <c r="AA16298" s="318"/>
      <c r="AB16298" s="318"/>
      <c r="AC16298" s="318"/>
      <c r="AD16298" s="318"/>
    </row>
    <row r="16299" spans="2:30" s="323" customFormat="1" ht="12" customHeight="1">
      <c r="B16299" s="324"/>
      <c r="C16299" s="325"/>
      <c r="D16299" s="326"/>
      <c r="E16299" s="326"/>
      <c r="F16299" s="326"/>
      <c r="G16299" s="326"/>
      <c r="H16299" s="326"/>
      <c r="P16299" s="318"/>
      <c r="Q16299" s="318"/>
      <c r="R16299" s="318"/>
      <c r="S16299" s="318"/>
      <c r="T16299" s="318"/>
      <c r="U16299" s="318"/>
      <c r="V16299" s="318"/>
      <c r="W16299" s="318"/>
      <c r="X16299" s="318"/>
      <c r="Y16299" s="318"/>
      <c r="Z16299" s="318"/>
      <c r="AA16299" s="318"/>
      <c r="AB16299" s="318"/>
      <c r="AC16299" s="318"/>
      <c r="AD16299" s="318"/>
    </row>
    <row r="16300" spans="2:30" s="323" customFormat="1" ht="12" customHeight="1">
      <c r="B16300" s="324"/>
      <c r="C16300" s="325"/>
      <c r="D16300" s="326"/>
      <c r="E16300" s="326"/>
      <c r="F16300" s="326"/>
      <c r="G16300" s="326"/>
      <c r="H16300" s="326"/>
      <c r="P16300" s="318"/>
      <c r="Q16300" s="318"/>
      <c r="R16300" s="318"/>
      <c r="S16300" s="318"/>
      <c r="T16300" s="318"/>
      <c r="U16300" s="318"/>
      <c r="V16300" s="318"/>
      <c r="W16300" s="318"/>
      <c r="X16300" s="318"/>
      <c r="Y16300" s="318"/>
      <c r="Z16300" s="318"/>
      <c r="AA16300" s="318"/>
      <c r="AB16300" s="318"/>
      <c r="AC16300" s="318"/>
      <c r="AD16300" s="318"/>
    </row>
    <row r="16301" spans="2:30" s="323" customFormat="1" ht="12" customHeight="1">
      <c r="B16301" s="324"/>
      <c r="C16301" s="325"/>
      <c r="D16301" s="326"/>
      <c r="E16301" s="326"/>
      <c r="F16301" s="326"/>
      <c r="G16301" s="326"/>
      <c r="H16301" s="326"/>
      <c r="P16301" s="318"/>
      <c r="Q16301" s="318"/>
      <c r="R16301" s="318"/>
      <c r="S16301" s="318"/>
      <c r="T16301" s="318"/>
      <c r="U16301" s="318"/>
      <c r="V16301" s="318"/>
      <c r="W16301" s="318"/>
      <c r="X16301" s="318"/>
      <c r="Y16301" s="318"/>
      <c r="Z16301" s="318"/>
      <c r="AA16301" s="318"/>
      <c r="AB16301" s="318"/>
      <c r="AC16301" s="318"/>
      <c r="AD16301" s="318"/>
    </row>
    <row r="16302" spans="2:30" s="323" customFormat="1" ht="12" customHeight="1">
      <c r="B16302" s="324"/>
      <c r="C16302" s="325"/>
      <c r="D16302" s="326"/>
      <c r="E16302" s="326"/>
      <c r="F16302" s="326"/>
      <c r="G16302" s="326"/>
      <c r="H16302" s="326"/>
      <c r="P16302" s="318"/>
      <c r="Q16302" s="318"/>
      <c r="R16302" s="318"/>
      <c r="S16302" s="318"/>
      <c r="T16302" s="318"/>
      <c r="U16302" s="318"/>
      <c r="V16302" s="318"/>
      <c r="W16302" s="318"/>
      <c r="X16302" s="318"/>
      <c r="Y16302" s="318"/>
      <c r="Z16302" s="318"/>
      <c r="AA16302" s="318"/>
      <c r="AB16302" s="318"/>
      <c r="AC16302" s="318"/>
      <c r="AD16302" s="318"/>
    </row>
    <row r="16303" spans="2:30" s="323" customFormat="1" ht="12" customHeight="1">
      <c r="B16303" s="324"/>
      <c r="C16303" s="325"/>
      <c r="D16303" s="326"/>
      <c r="E16303" s="326"/>
      <c r="F16303" s="326"/>
      <c r="G16303" s="326"/>
      <c r="H16303" s="326"/>
      <c r="P16303" s="318"/>
      <c r="Q16303" s="318"/>
      <c r="R16303" s="318"/>
      <c r="S16303" s="318"/>
      <c r="T16303" s="318"/>
      <c r="U16303" s="318"/>
      <c r="V16303" s="318"/>
      <c r="W16303" s="318"/>
      <c r="X16303" s="318"/>
      <c r="Y16303" s="318"/>
      <c r="Z16303" s="318"/>
      <c r="AA16303" s="318"/>
      <c r="AB16303" s="318"/>
      <c r="AC16303" s="318"/>
      <c r="AD16303" s="318"/>
    </row>
    <row r="16304" spans="2:30" s="323" customFormat="1" ht="12" customHeight="1">
      <c r="B16304" s="324"/>
      <c r="C16304" s="325"/>
      <c r="D16304" s="326"/>
      <c r="E16304" s="326"/>
      <c r="F16304" s="326"/>
      <c r="G16304" s="326"/>
      <c r="H16304" s="326"/>
      <c r="P16304" s="318"/>
      <c r="Q16304" s="318"/>
      <c r="R16304" s="318"/>
      <c r="S16304" s="318"/>
      <c r="T16304" s="318"/>
      <c r="U16304" s="318"/>
      <c r="V16304" s="318"/>
      <c r="W16304" s="318"/>
      <c r="X16304" s="318"/>
      <c r="Y16304" s="318"/>
      <c r="Z16304" s="318"/>
      <c r="AA16304" s="318"/>
      <c r="AB16304" s="318"/>
      <c r="AC16304" s="318"/>
      <c r="AD16304" s="318"/>
    </row>
    <row r="16305" spans="2:30" s="323" customFormat="1" ht="12" customHeight="1">
      <c r="B16305" s="324"/>
      <c r="C16305" s="325"/>
      <c r="D16305" s="326"/>
      <c r="E16305" s="326"/>
      <c r="F16305" s="326"/>
      <c r="G16305" s="326"/>
      <c r="H16305" s="326"/>
      <c r="P16305" s="318"/>
      <c r="Q16305" s="318"/>
      <c r="R16305" s="318"/>
      <c r="S16305" s="318"/>
      <c r="T16305" s="318"/>
      <c r="U16305" s="318"/>
      <c r="V16305" s="318"/>
      <c r="W16305" s="318"/>
      <c r="X16305" s="318"/>
      <c r="Y16305" s="318"/>
      <c r="Z16305" s="318"/>
      <c r="AA16305" s="318"/>
      <c r="AB16305" s="318"/>
      <c r="AC16305" s="318"/>
      <c r="AD16305" s="318"/>
    </row>
    <row r="16306" spans="2:30" s="323" customFormat="1" ht="12" customHeight="1">
      <c r="B16306" s="324"/>
      <c r="C16306" s="325"/>
      <c r="D16306" s="326"/>
      <c r="E16306" s="326"/>
      <c r="F16306" s="326"/>
      <c r="G16306" s="326"/>
      <c r="H16306" s="326"/>
      <c r="P16306" s="318"/>
      <c r="Q16306" s="318"/>
      <c r="R16306" s="318"/>
      <c r="S16306" s="318"/>
      <c r="T16306" s="318"/>
      <c r="U16306" s="318"/>
      <c r="V16306" s="318"/>
      <c r="W16306" s="318"/>
      <c r="X16306" s="318"/>
      <c r="Y16306" s="318"/>
      <c r="Z16306" s="318"/>
      <c r="AA16306" s="318"/>
      <c r="AB16306" s="318"/>
      <c r="AC16306" s="318"/>
      <c r="AD16306" s="318"/>
    </row>
    <row r="16307" spans="2:30" s="323" customFormat="1" ht="12" customHeight="1">
      <c r="B16307" s="324"/>
      <c r="C16307" s="325"/>
      <c r="D16307" s="326"/>
      <c r="E16307" s="326"/>
      <c r="F16307" s="326"/>
      <c r="G16307" s="326"/>
      <c r="H16307" s="326"/>
      <c r="P16307" s="318"/>
      <c r="Q16307" s="318"/>
      <c r="R16307" s="318"/>
      <c r="S16307" s="318"/>
      <c r="T16307" s="318"/>
      <c r="U16307" s="318"/>
      <c r="V16307" s="318"/>
      <c r="W16307" s="318"/>
      <c r="X16307" s="318"/>
      <c r="Y16307" s="318"/>
      <c r="Z16307" s="318"/>
      <c r="AA16307" s="318"/>
      <c r="AB16307" s="318"/>
      <c r="AC16307" s="318"/>
      <c r="AD16307" s="318"/>
    </row>
    <row r="16308" spans="2:30" s="323" customFormat="1" ht="12" customHeight="1">
      <c r="B16308" s="324"/>
      <c r="C16308" s="325"/>
      <c r="D16308" s="326"/>
      <c r="E16308" s="326"/>
      <c r="F16308" s="326"/>
      <c r="G16308" s="326"/>
      <c r="H16308" s="326"/>
      <c r="P16308" s="318"/>
      <c r="Q16308" s="318"/>
      <c r="R16308" s="318"/>
      <c r="S16308" s="318"/>
      <c r="T16308" s="318"/>
      <c r="U16308" s="318"/>
      <c r="V16308" s="318"/>
      <c r="W16308" s="318"/>
      <c r="X16308" s="318"/>
      <c r="Y16308" s="318"/>
      <c r="Z16308" s="318"/>
      <c r="AA16308" s="318"/>
      <c r="AB16308" s="318"/>
      <c r="AC16308" s="318"/>
      <c r="AD16308" s="318"/>
    </row>
    <row r="16309" spans="2:30" s="323" customFormat="1" ht="12" customHeight="1">
      <c r="B16309" s="324"/>
      <c r="C16309" s="325"/>
      <c r="D16309" s="326"/>
      <c r="E16309" s="326"/>
      <c r="F16309" s="326"/>
      <c r="G16309" s="326"/>
      <c r="H16309" s="326"/>
      <c r="P16309" s="318"/>
      <c r="Q16309" s="318"/>
      <c r="R16309" s="318"/>
      <c r="S16309" s="318"/>
      <c r="T16309" s="318"/>
      <c r="U16309" s="318"/>
      <c r="V16309" s="318"/>
      <c r="W16309" s="318"/>
      <c r="X16309" s="318"/>
      <c r="Y16309" s="318"/>
      <c r="Z16309" s="318"/>
      <c r="AA16309" s="318"/>
      <c r="AB16309" s="318"/>
      <c r="AC16309" s="318"/>
      <c r="AD16309" s="318"/>
    </row>
    <row r="16310" spans="2:30" s="323" customFormat="1" ht="12" customHeight="1">
      <c r="B16310" s="324"/>
      <c r="C16310" s="325"/>
      <c r="D16310" s="326"/>
      <c r="E16310" s="326"/>
      <c r="F16310" s="326"/>
      <c r="G16310" s="326"/>
      <c r="H16310" s="326"/>
      <c r="P16310" s="318"/>
      <c r="Q16310" s="318"/>
      <c r="R16310" s="318"/>
      <c r="S16310" s="318"/>
      <c r="T16310" s="318"/>
      <c r="U16310" s="318"/>
      <c r="V16310" s="318"/>
      <c r="W16310" s="318"/>
      <c r="X16310" s="318"/>
      <c r="Y16310" s="318"/>
      <c r="Z16310" s="318"/>
      <c r="AA16310" s="318"/>
      <c r="AB16310" s="318"/>
      <c r="AC16310" s="318"/>
      <c r="AD16310" s="318"/>
    </row>
    <row r="16311" spans="2:30" s="323" customFormat="1" ht="12" customHeight="1">
      <c r="B16311" s="324"/>
      <c r="C16311" s="325"/>
      <c r="D16311" s="326"/>
      <c r="E16311" s="326"/>
      <c r="F16311" s="326"/>
      <c r="G16311" s="326"/>
      <c r="H16311" s="326"/>
      <c r="P16311" s="318"/>
      <c r="Q16311" s="318"/>
      <c r="R16311" s="318"/>
      <c r="S16311" s="318"/>
      <c r="T16311" s="318"/>
      <c r="U16311" s="318"/>
      <c r="V16311" s="318"/>
      <c r="W16311" s="318"/>
      <c r="X16311" s="318"/>
      <c r="Y16311" s="318"/>
      <c r="Z16311" s="318"/>
      <c r="AA16311" s="318"/>
      <c r="AB16311" s="318"/>
      <c r="AC16311" s="318"/>
      <c r="AD16311" s="318"/>
    </row>
    <row r="16312" spans="2:30" s="323" customFormat="1" ht="12" customHeight="1">
      <c r="B16312" s="324"/>
      <c r="C16312" s="325"/>
      <c r="D16312" s="326"/>
      <c r="E16312" s="326"/>
      <c r="F16312" s="326"/>
      <c r="G16312" s="326"/>
      <c r="H16312" s="326"/>
      <c r="P16312" s="318"/>
      <c r="Q16312" s="318"/>
      <c r="R16312" s="318"/>
      <c r="S16312" s="318"/>
      <c r="T16312" s="318"/>
      <c r="U16312" s="318"/>
      <c r="V16312" s="318"/>
      <c r="W16312" s="318"/>
      <c r="X16312" s="318"/>
      <c r="Y16312" s="318"/>
      <c r="Z16312" s="318"/>
      <c r="AA16312" s="318"/>
      <c r="AB16312" s="318"/>
      <c r="AC16312" s="318"/>
      <c r="AD16312" s="318"/>
    </row>
    <row r="16313" spans="2:30" s="323" customFormat="1" ht="12" customHeight="1">
      <c r="B16313" s="324"/>
      <c r="C16313" s="325"/>
      <c r="D16313" s="326"/>
      <c r="E16313" s="326"/>
      <c r="F16313" s="326"/>
      <c r="G16313" s="326"/>
      <c r="H16313" s="326"/>
      <c r="P16313" s="318"/>
      <c r="Q16313" s="318"/>
      <c r="R16313" s="318"/>
      <c r="S16313" s="318"/>
      <c r="T16313" s="318"/>
      <c r="U16313" s="318"/>
      <c r="V16313" s="318"/>
      <c r="W16313" s="318"/>
      <c r="X16313" s="318"/>
      <c r="Y16313" s="318"/>
      <c r="Z16313" s="318"/>
      <c r="AA16313" s="318"/>
      <c r="AB16313" s="318"/>
      <c r="AC16313" s="318"/>
      <c r="AD16313" s="318"/>
    </row>
    <row r="16314" spans="2:30" s="323" customFormat="1" ht="12" customHeight="1">
      <c r="B16314" s="324"/>
      <c r="C16314" s="325"/>
      <c r="D16314" s="326"/>
      <c r="E16314" s="326"/>
      <c r="F16314" s="326"/>
      <c r="G16314" s="326"/>
      <c r="H16314" s="326"/>
      <c r="P16314" s="318"/>
      <c r="Q16314" s="318"/>
      <c r="R16314" s="318"/>
      <c r="S16314" s="318"/>
      <c r="T16314" s="318"/>
      <c r="U16314" s="318"/>
      <c r="V16314" s="318"/>
      <c r="W16314" s="318"/>
      <c r="X16314" s="318"/>
      <c r="Y16314" s="318"/>
      <c r="Z16314" s="318"/>
      <c r="AA16314" s="318"/>
      <c r="AB16314" s="318"/>
      <c r="AC16314" s="318"/>
      <c r="AD16314" s="318"/>
    </row>
    <row r="16315" spans="2:30" s="323" customFormat="1" ht="12" customHeight="1">
      <c r="B16315" s="324"/>
      <c r="C16315" s="325"/>
      <c r="D16315" s="326"/>
      <c r="E16315" s="326"/>
      <c r="F16315" s="326"/>
      <c r="G16315" s="326"/>
      <c r="H16315" s="326"/>
      <c r="P16315" s="318"/>
      <c r="Q16315" s="318"/>
      <c r="R16315" s="318"/>
      <c r="S16315" s="318"/>
      <c r="T16315" s="318"/>
      <c r="U16315" s="318"/>
      <c r="V16315" s="318"/>
      <c r="W16315" s="318"/>
      <c r="X16315" s="318"/>
      <c r="Y16315" s="318"/>
      <c r="Z16315" s="318"/>
      <c r="AA16315" s="318"/>
      <c r="AB16315" s="318"/>
      <c r="AC16315" s="318"/>
      <c r="AD16315" s="318"/>
    </row>
    <row r="16316" spans="2:30" s="323" customFormat="1" ht="12" customHeight="1">
      <c r="B16316" s="324"/>
      <c r="C16316" s="325"/>
      <c r="D16316" s="326"/>
      <c r="E16316" s="326"/>
      <c r="F16316" s="326"/>
      <c r="G16316" s="326"/>
      <c r="H16316" s="326"/>
      <c r="P16316" s="318"/>
      <c r="Q16316" s="318"/>
      <c r="R16316" s="318"/>
      <c r="S16316" s="318"/>
      <c r="T16316" s="318"/>
      <c r="U16316" s="318"/>
      <c r="V16316" s="318"/>
      <c r="W16316" s="318"/>
      <c r="X16316" s="318"/>
      <c r="Y16316" s="318"/>
      <c r="Z16316" s="318"/>
      <c r="AA16316" s="318"/>
      <c r="AB16316" s="318"/>
      <c r="AC16316" s="318"/>
      <c r="AD16316" s="318"/>
    </row>
    <row r="16317" spans="2:30" s="323" customFormat="1" ht="12" customHeight="1">
      <c r="B16317" s="324"/>
      <c r="C16317" s="325"/>
      <c r="D16317" s="326"/>
      <c r="E16317" s="326"/>
      <c r="F16317" s="326"/>
      <c r="G16317" s="326"/>
      <c r="H16317" s="326"/>
      <c r="P16317" s="318"/>
      <c r="Q16317" s="318"/>
      <c r="R16317" s="318"/>
      <c r="S16317" s="318"/>
      <c r="T16317" s="318"/>
      <c r="U16317" s="318"/>
      <c r="V16317" s="318"/>
      <c r="W16317" s="318"/>
      <c r="X16317" s="318"/>
      <c r="Y16317" s="318"/>
      <c r="Z16317" s="318"/>
      <c r="AA16317" s="318"/>
      <c r="AB16317" s="318"/>
      <c r="AC16317" s="318"/>
      <c r="AD16317" s="318"/>
    </row>
    <row r="16318" spans="2:30" s="323" customFormat="1" ht="12" customHeight="1">
      <c r="B16318" s="324"/>
      <c r="C16318" s="325"/>
      <c r="D16318" s="326"/>
      <c r="E16318" s="326"/>
      <c r="F16318" s="326"/>
      <c r="G16318" s="326"/>
      <c r="H16318" s="326"/>
      <c r="P16318" s="318"/>
      <c r="Q16318" s="318"/>
      <c r="R16318" s="318"/>
      <c r="S16318" s="318"/>
      <c r="T16318" s="318"/>
      <c r="U16318" s="318"/>
      <c r="V16318" s="318"/>
      <c r="W16318" s="318"/>
      <c r="X16318" s="318"/>
      <c r="Y16318" s="318"/>
      <c r="Z16318" s="318"/>
      <c r="AA16318" s="318"/>
      <c r="AB16318" s="318"/>
      <c r="AC16318" s="318"/>
      <c r="AD16318" s="318"/>
    </row>
    <row r="16319" spans="2:30" s="323" customFormat="1" ht="12" customHeight="1">
      <c r="B16319" s="324"/>
      <c r="C16319" s="325"/>
      <c r="D16319" s="326"/>
      <c r="E16319" s="326"/>
      <c r="F16319" s="326"/>
      <c r="G16319" s="326"/>
      <c r="H16319" s="326"/>
      <c r="P16319" s="318"/>
      <c r="Q16319" s="318"/>
      <c r="R16319" s="318"/>
      <c r="S16319" s="318"/>
      <c r="T16319" s="318"/>
      <c r="U16319" s="318"/>
      <c r="V16319" s="318"/>
      <c r="W16319" s="318"/>
      <c r="X16319" s="318"/>
      <c r="Y16319" s="318"/>
      <c r="Z16319" s="318"/>
      <c r="AA16319" s="318"/>
      <c r="AB16319" s="318"/>
      <c r="AC16319" s="318"/>
      <c r="AD16319" s="318"/>
    </row>
    <row r="16320" spans="2:30" s="323" customFormat="1" ht="12" customHeight="1">
      <c r="B16320" s="324"/>
      <c r="C16320" s="325"/>
      <c r="D16320" s="326"/>
      <c r="E16320" s="326"/>
      <c r="F16320" s="326"/>
      <c r="G16320" s="326"/>
      <c r="H16320" s="326"/>
      <c r="P16320" s="318"/>
      <c r="Q16320" s="318"/>
      <c r="R16320" s="318"/>
      <c r="S16320" s="318"/>
      <c r="T16320" s="318"/>
      <c r="U16320" s="318"/>
      <c r="V16320" s="318"/>
      <c r="W16320" s="318"/>
      <c r="X16320" s="318"/>
      <c r="Y16320" s="318"/>
      <c r="Z16320" s="318"/>
      <c r="AA16320" s="318"/>
      <c r="AB16320" s="318"/>
      <c r="AC16320" s="318"/>
      <c r="AD16320" s="318"/>
    </row>
    <row r="16321" spans="2:30" s="323" customFormat="1" ht="12" customHeight="1">
      <c r="B16321" s="324"/>
      <c r="C16321" s="325"/>
      <c r="D16321" s="326"/>
      <c r="E16321" s="326"/>
      <c r="F16321" s="326"/>
      <c r="G16321" s="326"/>
      <c r="H16321" s="326"/>
      <c r="P16321" s="318"/>
      <c r="Q16321" s="318"/>
      <c r="R16321" s="318"/>
      <c r="S16321" s="318"/>
      <c r="T16321" s="318"/>
      <c r="U16321" s="318"/>
      <c r="V16321" s="318"/>
      <c r="W16321" s="318"/>
      <c r="X16321" s="318"/>
      <c r="Y16321" s="318"/>
      <c r="Z16321" s="318"/>
      <c r="AA16321" s="318"/>
      <c r="AB16321" s="318"/>
      <c r="AC16321" s="318"/>
      <c r="AD16321" s="318"/>
    </row>
    <row r="16322" spans="2:30" s="323" customFormat="1" ht="12" customHeight="1">
      <c r="B16322" s="324"/>
      <c r="C16322" s="325"/>
      <c r="D16322" s="326"/>
      <c r="E16322" s="326"/>
      <c r="F16322" s="326"/>
      <c r="G16322" s="326"/>
      <c r="H16322" s="326"/>
      <c r="P16322" s="318"/>
      <c r="Q16322" s="318"/>
      <c r="R16322" s="318"/>
      <c r="S16322" s="318"/>
      <c r="T16322" s="318"/>
      <c r="U16322" s="318"/>
      <c r="V16322" s="318"/>
      <c r="W16322" s="318"/>
      <c r="X16322" s="318"/>
      <c r="Y16322" s="318"/>
      <c r="Z16322" s="318"/>
      <c r="AA16322" s="318"/>
      <c r="AB16322" s="318"/>
      <c r="AC16322" s="318"/>
      <c r="AD16322" s="318"/>
    </row>
    <row r="16323" spans="2:30" s="323" customFormat="1" ht="12" customHeight="1">
      <c r="B16323" s="324"/>
      <c r="C16323" s="325"/>
      <c r="D16323" s="326"/>
      <c r="E16323" s="326"/>
      <c r="F16323" s="326"/>
      <c r="G16323" s="326"/>
      <c r="H16323" s="326"/>
      <c r="P16323" s="318"/>
      <c r="Q16323" s="318"/>
      <c r="R16323" s="318"/>
      <c r="S16323" s="318"/>
      <c r="T16323" s="318"/>
      <c r="U16323" s="318"/>
      <c r="V16323" s="318"/>
      <c r="W16323" s="318"/>
      <c r="X16323" s="318"/>
      <c r="Y16323" s="318"/>
      <c r="Z16323" s="318"/>
      <c r="AA16323" s="318"/>
      <c r="AB16323" s="318"/>
      <c r="AC16323" s="318"/>
      <c r="AD16323" s="318"/>
    </row>
    <row r="16324" spans="2:30" s="323" customFormat="1" ht="12" customHeight="1">
      <c r="B16324" s="324"/>
      <c r="C16324" s="325"/>
      <c r="D16324" s="326"/>
      <c r="E16324" s="326"/>
      <c r="F16324" s="326"/>
      <c r="G16324" s="326"/>
      <c r="H16324" s="326"/>
      <c r="P16324" s="318"/>
      <c r="Q16324" s="318"/>
      <c r="R16324" s="318"/>
      <c r="S16324" s="318"/>
      <c r="T16324" s="318"/>
      <c r="U16324" s="318"/>
      <c r="V16324" s="318"/>
      <c r="W16324" s="318"/>
      <c r="X16324" s="318"/>
      <c r="Y16324" s="318"/>
      <c r="Z16324" s="318"/>
      <c r="AA16324" s="318"/>
      <c r="AB16324" s="318"/>
      <c r="AC16324" s="318"/>
      <c r="AD16324" s="318"/>
    </row>
    <row r="16325" spans="2:30" s="323" customFormat="1" ht="12" customHeight="1">
      <c r="B16325" s="324"/>
      <c r="C16325" s="325"/>
      <c r="D16325" s="326"/>
      <c r="E16325" s="326"/>
      <c r="F16325" s="326"/>
      <c r="G16325" s="326"/>
      <c r="H16325" s="326"/>
      <c r="P16325" s="318"/>
      <c r="Q16325" s="318"/>
      <c r="R16325" s="318"/>
      <c r="S16325" s="318"/>
      <c r="T16325" s="318"/>
      <c r="U16325" s="318"/>
      <c r="V16325" s="318"/>
      <c r="W16325" s="318"/>
      <c r="X16325" s="318"/>
      <c r="Y16325" s="318"/>
      <c r="Z16325" s="318"/>
      <c r="AA16325" s="318"/>
      <c r="AB16325" s="318"/>
      <c r="AC16325" s="318"/>
      <c r="AD16325" s="318"/>
    </row>
    <row r="16326" spans="2:30" s="323" customFormat="1" ht="12" customHeight="1">
      <c r="B16326" s="324"/>
      <c r="C16326" s="325"/>
      <c r="D16326" s="326"/>
      <c r="E16326" s="326"/>
      <c r="F16326" s="326"/>
      <c r="G16326" s="326"/>
      <c r="H16326" s="326"/>
      <c r="P16326" s="318"/>
      <c r="Q16326" s="318"/>
      <c r="R16326" s="318"/>
      <c r="S16326" s="318"/>
      <c r="T16326" s="318"/>
      <c r="U16326" s="318"/>
      <c r="V16326" s="318"/>
      <c r="W16326" s="318"/>
      <c r="X16326" s="318"/>
      <c r="Y16326" s="318"/>
      <c r="Z16326" s="318"/>
      <c r="AA16326" s="318"/>
      <c r="AB16326" s="318"/>
      <c r="AC16326" s="318"/>
      <c r="AD16326" s="318"/>
    </row>
    <row r="16327" spans="2:30" s="323" customFormat="1" ht="12" customHeight="1">
      <c r="B16327" s="324"/>
      <c r="C16327" s="325"/>
      <c r="D16327" s="326"/>
      <c r="E16327" s="326"/>
      <c r="F16327" s="326"/>
      <c r="G16327" s="326"/>
      <c r="H16327" s="326"/>
      <c r="P16327" s="318"/>
      <c r="Q16327" s="318"/>
      <c r="R16327" s="318"/>
      <c r="S16327" s="318"/>
      <c r="T16327" s="318"/>
      <c r="U16327" s="318"/>
      <c r="V16327" s="318"/>
      <c r="W16327" s="318"/>
      <c r="X16327" s="318"/>
      <c r="Y16327" s="318"/>
      <c r="Z16327" s="318"/>
      <c r="AA16327" s="318"/>
      <c r="AB16327" s="318"/>
      <c r="AC16327" s="318"/>
      <c r="AD16327" s="318"/>
    </row>
    <row r="16328" spans="2:30" s="323" customFormat="1" ht="12" customHeight="1">
      <c r="B16328" s="324"/>
      <c r="C16328" s="325"/>
      <c r="D16328" s="326"/>
      <c r="E16328" s="326"/>
      <c r="F16328" s="326"/>
      <c r="G16328" s="326"/>
      <c r="H16328" s="326"/>
      <c r="P16328" s="318"/>
      <c r="Q16328" s="318"/>
      <c r="R16328" s="318"/>
      <c r="S16328" s="318"/>
      <c r="T16328" s="318"/>
      <c r="U16328" s="318"/>
      <c r="V16328" s="318"/>
      <c r="W16328" s="318"/>
      <c r="X16328" s="318"/>
      <c r="Y16328" s="318"/>
      <c r="Z16328" s="318"/>
      <c r="AA16328" s="318"/>
      <c r="AB16328" s="318"/>
      <c r="AC16328" s="318"/>
      <c r="AD16328" s="318"/>
    </row>
    <row r="16329" spans="2:30" s="323" customFormat="1" ht="12" customHeight="1">
      <c r="B16329" s="324"/>
      <c r="C16329" s="325"/>
      <c r="D16329" s="326"/>
      <c r="E16329" s="326"/>
      <c r="F16329" s="326"/>
      <c r="G16329" s="326"/>
      <c r="H16329" s="326"/>
      <c r="P16329" s="318"/>
      <c r="Q16329" s="318"/>
      <c r="R16329" s="318"/>
      <c r="S16329" s="318"/>
      <c r="T16329" s="318"/>
      <c r="U16329" s="318"/>
      <c r="V16329" s="318"/>
      <c r="W16329" s="318"/>
      <c r="X16329" s="318"/>
      <c r="Y16329" s="318"/>
      <c r="Z16329" s="318"/>
      <c r="AA16329" s="318"/>
      <c r="AB16329" s="318"/>
      <c r="AC16329" s="318"/>
      <c r="AD16329" s="318"/>
    </row>
    <row r="16330" spans="2:30" s="323" customFormat="1" ht="12" customHeight="1">
      <c r="B16330" s="324"/>
      <c r="C16330" s="325"/>
      <c r="D16330" s="326"/>
      <c r="E16330" s="326"/>
      <c r="F16330" s="326"/>
      <c r="G16330" s="326"/>
      <c r="H16330" s="326"/>
      <c r="P16330" s="318"/>
      <c r="Q16330" s="318"/>
      <c r="R16330" s="318"/>
      <c r="S16330" s="318"/>
      <c r="T16330" s="318"/>
      <c r="U16330" s="318"/>
      <c r="V16330" s="318"/>
      <c r="W16330" s="318"/>
      <c r="X16330" s="318"/>
      <c r="Y16330" s="318"/>
      <c r="Z16330" s="318"/>
      <c r="AA16330" s="318"/>
      <c r="AB16330" s="318"/>
      <c r="AC16330" s="318"/>
      <c r="AD16330" s="318"/>
    </row>
    <row r="16331" spans="2:30" s="323" customFormat="1" ht="12" customHeight="1">
      <c r="B16331" s="324"/>
      <c r="C16331" s="325"/>
      <c r="D16331" s="326"/>
      <c r="E16331" s="326"/>
      <c r="F16331" s="326"/>
      <c r="G16331" s="326"/>
      <c r="H16331" s="326"/>
      <c r="P16331" s="318"/>
      <c r="Q16331" s="318"/>
      <c r="R16331" s="318"/>
      <c r="S16331" s="318"/>
      <c r="T16331" s="318"/>
      <c r="U16331" s="318"/>
      <c r="V16331" s="318"/>
      <c r="W16331" s="318"/>
      <c r="X16331" s="318"/>
      <c r="Y16331" s="318"/>
      <c r="Z16331" s="318"/>
      <c r="AA16331" s="318"/>
      <c r="AB16331" s="318"/>
      <c r="AC16331" s="318"/>
      <c r="AD16331" s="318"/>
    </row>
    <row r="16332" spans="2:30" s="323" customFormat="1" ht="12" customHeight="1">
      <c r="B16332" s="324"/>
      <c r="C16332" s="325"/>
      <c r="D16332" s="326"/>
      <c r="E16332" s="326"/>
      <c r="F16332" s="326"/>
      <c r="G16332" s="326"/>
      <c r="H16332" s="326"/>
      <c r="P16332" s="318"/>
      <c r="Q16332" s="318"/>
      <c r="R16332" s="318"/>
      <c r="S16332" s="318"/>
      <c r="T16332" s="318"/>
      <c r="U16332" s="318"/>
      <c r="V16332" s="318"/>
      <c r="W16332" s="318"/>
      <c r="X16332" s="318"/>
      <c r="Y16332" s="318"/>
      <c r="Z16332" s="318"/>
      <c r="AA16332" s="318"/>
      <c r="AB16332" s="318"/>
      <c r="AC16332" s="318"/>
      <c r="AD16332" s="318"/>
    </row>
    <row r="16333" spans="2:30" s="323" customFormat="1" ht="12" customHeight="1">
      <c r="B16333" s="324"/>
      <c r="C16333" s="325"/>
      <c r="D16333" s="326"/>
      <c r="E16333" s="326"/>
      <c r="F16333" s="326"/>
      <c r="G16333" s="326"/>
      <c r="H16333" s="326"/>
      <c r="P16333" s="318"/>
      <c r="Q16333" s="318"/>
      <c r="R16333" s="318"/>
      <c r="S16333" s="318"/>
      <c r="T16333" s="318"/>
      <c r="U16333" s="318"/>
      <c r="V16333" s="318"/>
      <c r="W16333" s="318"/>
      <c r="X16333" s="318"/>
      <c r="Y16333" s="318"/>
      <c r="Z16333" s="318"/>
      <c r="AA16333" s="318"/>
      <c r="AB16333" s="318"/>
      <c r="AC16333" s="318"/>
      <c r="AD16333" s="318"/>
    </row>
    <row r="16334" spans="2:30" s="323" customFormat="1" ht="12" customHeight="1">
      <c r="B16334" s="324"/>
      <c r="C16334" s="325"/>
      <c r="D16334" s="326"/>
      <c r="E16334" s="326"/>
      <c r="F16334" s="326"/>
      <c r="G16334" s="326"/>
      <c r="H16334" s="326"/>
      <c r="P16334" s="318"/>
      <c r="Q16334" s="318"/>
      <c r="R16334" s="318"/>
      <c r="S16334" s="318"/>
      <c r="T16334" s="318"/>
      <c r="U16334" s="318"/>
      <c r="V16334" s="318"/>
      <c r="W16334" s="318"/>
      <c r="X16334" s="318"/>
      <c r="Y16334" s="318"/>
      <c r="Z16334" s="318"/>
      <c r="AA16334" s="318"/>
      <c r="AB16334" s="318"/>
      <c r="AC16334" s="318"/>
      <c r="AD16334" s="318"/>
    </row>
    <row r="16335" spans="2:30" s="323" customFormat="1" ht="12" customHeight="1">
      <c r="B16335" s="324"/>
      <c r="C16335" s="325"/>
      <c r="D16335" s="326"/>
      <c r="E16335" s="326"/>
      <c r="F16335" s="326"/>
      <c r="G16335" s="326"/>
      <c r="H16335" s="326"/>
      <c r="P16335" s="318"/>
      <c r="Q16335" s="318"/>
      <c r="R16335" s="318"/>
      <c r="S16335" s="318"/>
      <c r="T16335" s="318"/>
      <c r="U16335" s="318"/>
      <c r="V16335" s="318"/>
      <c r="W16335" s="318"/>
      <c r="X16335" s="318"/>
      <c r="Y16335" s="318"/>
      <c r="Z16335" s="318"/>
      <c r="AA16335" s="318"/>
      <c r="AB16335" s="318"/>
      <c r="AC16335" s="318"/>
      <c r="AD16335" s="318"/>
    </row>
    <row r="16336" spans="2:30" s="323" customFormat="1" ht="12" customHeight="1">
      <c r="B16336" s="324"/>
      <c r="C16336" s="325"/>
      <c r="D16336" s="326"/>
      <c r="E16336" s="326"/>
      <c r="F16336" s="326"/>
      <c r="G16336" s="326"/>
      <c r="H16336" s="326"/>
      <c r="P16336" s="318"/>
      <c r="Q16336" s="318"/>
      <c r="R16336" s="318"/>
      <c r="S16336" s="318"/>
      <c r="T16336" s="318"/>
      <c r="U16336" s="318"/>
      <c r="V16336" s="318"/>
      <c r="W16336" s="318"/>
      <c r="X16336" s="318"/>
      <c r="Y16336" s="318"/>
      <c r="Z16336" s="318"/>
      <c r="AA16336" s="318"/>
      <c r="AB16336" s="318"/>
      <c r="AC16336" s="318"/>
      <c r="AD16336" s="318"/>
    </row>
    <row r="16337" spans="2:30" s="323" customFormat="1" ht="12" customHeight="1">
      <c r="B16337" s="324"/>
      <c r="C16337" s="325"/>
      <c r="D16337" s="326"/>
      <c r="E16337" s="326"/>
      <c r="F16337" s="326"/>
      <c r="G16337" s="326"/>
      <c r="H16337" s="326"/>
      <c r="P16337" s="318"/>
      <c r="Q16337" s="318"/>
      <c r="R16337" s="318"/>
      <c r="S16337" s="318"/>
      <c r="T16337" s="318"/>
      <c r="U16337" s="318"/>
      <c r="V16337" s="318"/>
      <c r="W16337" s="318"/>
      <c r="X16337" s="318"/>
      <c r="Y16337" s="318"/>
      <c r="Z16337" s="318"/>
      <c r="AA16337" s="318"/>
      <c r="AB16337" s="318"/>
      <c r="AC16337" s="318"/>
      <c r="AD16337" s="318"/>
    </row>
    <row r="16338" spans="2:30" s="323" customFormat="1" ht="12" customHeight="1">
      <c r="B16338" s="324"/>
      <c r="C16338" s="325"/>
      <c r="D16338" s="326"/>
      <c r="E16338" s="326"/>
      <c r="F16338" s="326"/>
      <c r="G16338" s="326"/>
      <c r="H16338" s="326"/>
      <c r="P16338" s="318"/>
      <c r="Q16338" s="318"/>
      <c r="R16338" s="318"/>
      <c r="S16338" s="318"/>
      <c r="T16338" s="318"/>
      <c r="U16338" s="318"/>
      <c r="V16338" s="318"/>
      <c r="W16338" s="318"/>
      <c r="X16338" s="318"/>
      <c r="Y16338" s="318"/>
      <c r="Z16338" s="318"/>
      <c r="AA16338" s="318"/>
      <c r="AB16338" s="318"/>
      <c r="AC16338" s="318"/>
      <c r="AD16338" s="318"/>
    </row>
    <row r="16339" spans="2:30" s="323" customFormat="1" ht="12" customHeight="1">
      <c r="B16339" s="324"/>
      <c r="C16339" s="325"/>
      <c r="D16339" s="326"/>
      <c r="E16339" s="326"/>
      <c r="F16339" s="326"/>
      <c r="G16339" s="326"/>
      <c r="H16339" s="326"/>
      <c r="P16339" s="318"/>
      <c r="Q16339" s="318"/>
      <c r="R16339" s="318"/>
      <c r="S16339" s="318"/>
      <c r="T16339" s="318"/>
      <c r="U16339" s="318"/>
      <c r="V16339" s="318"/>
      <c r="W16339" s="318"/>
      <c r="X16339" s="318"/>
      <c r="Y16339" s="318"/>
      <c r="Z16339" s="318"/>
      <c r="AA16339" s="318"/>
      <c r="AB16339" s="318"/>
      <c r="AC16339" s="318"/>
      <c r="AD16339" s="318"/>
    </row>
    <row r="16340" spans="2:30" s="323" customFormat="1" ht="12" customHeight="1">
      <c r="B16340" s="324"/>
      <c r="C16340" s="325"/>
      <c r="D16340" s="326"/>
      <c r="E16340" s="326"/>
      <c r="F16340" s="326"/>
      <c r="G16340" s="326"/>
      <c r="H16340" s="326"/>
      <c r="P16340" s="318"/>
      <c r="Q16340" s="318"/>
      <c r="R16340" s="318"/>
      <c r="S16340" s="318"/>
      <c r="T16340" s="318"/>
      <c r="U16340" s="318"/>
      <c r="V16340" s="318"/>
      <c r="W16340" s="318"/>
      <c r="X16340" s="318"/>
      <c r="Y16340" s="318"/>
      <c r="Z16340" s="318"/>
      <c r="AA16340" s="318"/>
      <c r="AB16340" s="318"/>
      <c r="AC16340" s="318"/>
      <c r="AD16340" s="318"/>
    </row>
    <row r="16341" spans="2:30" s="323" customFormat="1" ht="12" customHeight="1">
      <c r="B16341" s="324"/>
      <c r="C16341" s="325"/>
      <c r="D16341" s="326"/>
      <c r="E16341" s="326"/>
      <c r="F16341" s="326"/>
      <c r="G16341" s="326"/>
      <c r="H16341" s="326"/>
      <c r="P16341" s="318"/>
      <c r="Q16341" s="318"/>
      <c r="R16341" s="318"/>
      <c r="S16341" s="318"/>
      <c r="T16341" s="318"/>
      <c r="U16341" s="318"/>
      <c r="V16341" s="318"/>
      <c r="W16341" s="318"/>
      <c r="X16341" s="318"/>
      <c r="Y16341" s="318"/>
      <c r="Z16341" s="318"/>
      <c r="AA16341" s="318"/>
      <c r="AB16341" s="318"/>
      <c r="AC16341" s="318"/>
      <c r="AD16341" s="318"/>
    </row>
    <row r="16342" spans="2:30" s="323" customFormat="1" ht="12" customHeight="1">
      <c r="B16342" s="324"/>
      <c r="C16342" s="325"/>
      <c r="D16342" s="326"/>
      <c r="E16342" s="326"/>
      <c r="F16342" s="326"/>
      <c r="G16342" s="326"/>
      <c r="H16342" s="326"/>
      <c r="P16342" s="318"/>
      <c r="Q16342" s="318"/>
      <c r="R16342" s="318"/>
      <c r="S16342" s="318"/>
      <c r="T16342" s="318"/>
      <c r="U16342" s="318"/>
      <c r="V16342" s="318"/>
      <c r="W16342" s="318"/>
      <c r="X16342" s="318"/>
      <c r="Y16342" s="318"/>
      <c r="Z16342" s="318"/>
      <c r="AA16342" s="318"/>
      <c r="AB16342" s="318"/>
      <c r="AC16342" s="318"/>
      <c r="AD16342" s="318"/>
    </row>
    <row r="16343" spans="2:30" s="323" customFormat="1" ht="12" customHeight="1">
      <c r="B16343" s="324"/>
      <c r="C16343" s="325"/>
      <c r="D16343" s="326"/>
      <c r="E16343" s="326"/>
      <c r="F16343" s="326"/>
      <c r="G16343" s="326"/>
      <c r="H16343" s="326"/>
      <c r="P16343" s="318"/>
      <c r="Q16343" s="318"/>
      <c r="R16343" s="318"/>
      <c r="S16343" s="318"/>
      <c r="T16343" s="318"/>
      <c r="U16343" s="318"/>
      <c r="V16343" s="318"/>
      <c r="W16343" s="318"/>
      <c r="X16343" s="318"/>
      <c r="Y16343" s="318"/>
      <c r="Z16343" s="318"/>
      <c r="AA16343" s="318"/>
      <c r="AB16343" s="318"/>
      <c r="AC16343" s="318"/>
      <c r="AD16343" s="318"/>
    </row>
    <row r="16344" spans="2:30" s="323" customFormat="1" ht="12" customHeight="1">
      <c r="B16344" s="324"/>
      <c r="C16344" s="325"/>
      <c r="D16344" s="326"/>
      <c r="E16344" s="326"/>
      <c r="F16344" s="326"/>
      <c r="G16344" s="326"/>
      <c r="H16344" s="326"/>
      <c r="P16344" s="318"/>
      <c r="Q16344" s="318"/>
      <c r="R16344" s="318"/>
      <c r="S16344" s="318"/>
      <c r="T16344" s="318"/>
      <c r="U16344" s="318"/>
      <c r="V16344" s="318"/>
      <c r="W16344" s="318"/>
      <c r="X16344" s="318"/>
      <c r="Y16344" s="318"/>
      <c r="Z16344" s="318"/>
      <c r="AA16344" s="318"/>
      <c r="AB16344" s="318"/>
      <c r="AC16344" s="318"/>
      <c r="AD16344" s="318"/>
    </row>
    <row r="16345" spans="2:30" s="323" customFormat="1" ht="12" customHeight="1">
      <c r="B16345" s="324"/>
      <c r="C16345" s="325"/>
      <c r="D16345" s="326"/>
      <c r="E16345" s="326"/>
      <c r="F16345" s="326"/>
      <c r="G16345" s="326"/>
      <c r="H16345" s="326"/>
      <c r="P16345" s="318"/>
      <c r="Q16345" s="318"/>
      <c r="R16345" s="318"/>
      <c r="S16345" s="318"/>
      <c r="T16345" s="318"/>
      <c r="U16345" s="318"/>
      <c r="V16345" s="318"/>
      <c r="W16345" s="318"/>
      <c r="X16345" s="318"/>
      <c r="Y16345" s="318"/>
      <c r="Z16345" s="318"/>
      <c r="AA16345" s="318"/>
      <c r="AB16345" s="318"/>
      <c r="AC16345" s="318"/>
      <c r="AD16345" s="318"/>
    </row>
    <row r="16346" spans="2:30" s="323" customFormat="1" ht="12" customHeight="1">
      <c r="B16346" s="324"/>
      <c r="C16346" s="325"/>
      <c r="D16346" s="326"/>
      <c r="E16346" s="326"/>
      <c r="F16346" s="326"/>
      <c r="G16346" s="326"/>
      <c r="H16346" s="326"/>
      <c r="P16346" s="318"/>
      <c r="Q16346" s="318"/>
      <c r="R16346" s="318"/>
      <c r="S16346" s="318"/>
      <c r="T16346" s="318"/>
      <c r="U16346" s="318"/>
      <c r="V16346" s="318"/>
      <c r="W16346" s="318"/>
      <c r="X16346" s="318"/>
      <c r="Y16346" s="318"/>
      <c r="Z16346" s="318"/>
      <c r="AA16346" s="318"/>
      <c r="AB16346" s="318"/>
      <c r="AC16346" s="318"/>
      <c r="AD16346" s="318"/>
    </row>
    <row r="16347" spans="2:30" s="323" customFormat="1" ht="12" customHeight="1">
      <c r="B16347" s="324"/>
      <c r="C16347" s="325"/>
      <c r="D16347" s="326"/>
      <c r="E16347" s="326"/>
      <c r="F16347" s="326"/>
      <c r="G16347" s="326"/>
      <c r="H16347" s="326"/>
      <c r="P16347" s="318"/>
      <c r="Q16347" s="318"/>
      <c r="R16347" s="318"/>
      <c r="S16347" s="318"/>
      <c r="T16347" s="318"/>
      <c r="U16347" s="318"/>
      <c r="V16347" s="318"/>
      <c r="W16347" s="318"/>
      <c r="X16347" s="318"/>
      <c r="Y16347" s="318"/>
      <c r="Z16347" s="318"/>
      <c r="AA16347" s="318"/>
      <c r="AB16347" s="318"/>
      <c r="AC16347" s="318"/>
      <c r="AD16347" s="318"/>
    </row>
    <row r="16348" spans="2:30" s="323" customFormat="1" ht="12" customHeight="1">
      <c r="B16348" s="324"/>
      <c r="C16348" s="325"/>
      <c r="D16348" s="326"/>
      <c r="E16348" s="326"/>
      <c r="F16348" s="326"/>
      <c r="G16348" s="326"/>
      <c r="H16348" s="326"/>
      <c r="P16348" s="318"/>
      <c r="Q16348" s="318"/>
      <c r="R16348" s="318"/>
      <c r="S16348" s="318"/>
      <c r="T16348" s="318"/>
      <c r="U16348" s="318"/>
      <c r="V16348" s="318"/>
      <c r="W16348" s="318"/>
      <c r="X16348" s="318"/>
      <c r="Y16348" s="318"/>
      <c r="Z16348" s="318"/>
      <c r="AA16348" s="318"/>
      <c r="AB16348" s="318"/>
      <c r="AC16348" s="318"/>
      <c r="AD16348" s="318"/>
    </row>
    <row r="16349" spans="2:30" s="323" customFormat="1" ht="12" customHeight="1">
      <c r="B16349" s="324"/>
      <c r="C16349" s="325"/>
      <c r="D16349" s="326"/>
      <c r="E16349" s="326"/>
      <c r="F16349" s="326"/>
      <c r="G16349" s="326"/>
      <c r="H16349" s="326"/>
      <c r="P16349" s="318"/>
      <c r="Q16349" s="318"/>
      <c r="R16349" s="318"/>
      <c r="S16349" s="318"/>
      <c r="T16349" s="318"/>
      <c r="U16349" s="318"/>
      <c r="V16349" s="318"/>
      <c r="W16349" s="318"/>
      <c r="X16349" s="318"/>
      <c r="Y16349" s="318"/>
      <c r="Z16349" s="318"/>
      <c r="AA16349" s="318"/>
      <c r="AB16349" s="318"/>
      <c r="AC16349" s="318"/>
      <c r="AD16349" s="318"/>
    </row>
    <row r="16350" spans="2:30" s="323" customFormat="1" ht="12" customHeight="1">
      <c r="B16350" s="324"/>
      <c r="C16350" s="325"/>
      <c r="D16350" s="326"/>
      <c r="E16350" s="326"/>
      <c r="F16350" s="326"/>
      <c r="G16350" s="326"/>
      <c r="H16350" s="326"/>
      <c r="P16350" s="318"/>
      <c r="Q16350" s="318"/>
      <c r="R16350" s="318"/>
      <c r="S16350" s="318"/>
      <c r="T16350" s="318"/>
      <c r="U16350" s="318"/>
      <c r="V16350" s="318"/>
      <c r="W16350" s="318"/>
      <c r="X16350" s="318"/>
      <c r="Y16350" s="318"/>
      <c r="Z16350" s="318"/>
      <c r="AA16350" s="318"/>
      <c r="AB16350" s="318"/>
      <c r="AC16350" s="318"/>
      <c r="AD16350" s="318"/>
    </row>
    <row r="16351" spans="2:30" s="323" customFormat="1" ht="12" customHeight="1">
      <c r="B16351" s="324"/>
      <c r="C16351" s="325"/>
      <c r="D16351" s="326"/>
      <c r="E16351" s="326"/>
      <c r="F16351" s="326"/>
      <c r="G16351" s="326"/>
      <c r="H16351" s="326"/>
      <c r="P16351" s="318"/>
      <c r="Q16351" s="318"/>
      <c r="R16351" s="318"/>
      <c r="S16351" s="318"/>
      <c r="T16351" s="318"/>
      <c r="U16351" s="318"/>
      <c r="V16351" s="318"/>
      <c r="W16351" s="318"/>
      <c r="X16351" s="318"/>
      <c r="Y16351" s="318"/>
      <c r="Z16351" s="318"/>
      <c r="AA16351" s="318"/>
      <c r="AB16351" s="318"/>
      <c r="AC16351" s="318"/>
      <c r="AD16351" s="318"/>
    </row>
    <row r="16352" spans="2:30" s="323" customFormat="1" ht="12" customHeight="1">
      <c r="B16352" s="324"/>
      <c r="C16352" s="325"/>
      <c r="D16352" s="326"/>
      <c r="E16352" s="326"/>
      <c r="F16352" s="326"/>
      <c r="G16352" s="326"/>
      <c r="H16352" s="326"/>
      <c r="P16352" s="318"/>
      <c r="Q16352" s="318"/>
      <c r="R16352" s="318"/>
      <c r="S16352" s="318"/>
      <c r="T16352" s="318"/>
      <c r="U16352" s="318"/>
      <c r="V16352" s="318"/>
      <c r="W16352" s="318"/>
      <c r="X16352" s="318"/>
      <c r="Y16352" s="318"/>
      <c r="Z16352" s="318"/>
      <c r="AA16352" s="318"/>
      <c r="AB16352" s="318"/>
      <c r="AC16352" s="318"/>
      <c r="AD16352" s="318"/>
    </row>
    <row r="16353" spans="2:30" s="323" customFormat="1" ht="12" customHeight="1">
      <c r="B16353" s="324"/>
      <c r="C16353" s="325"/>
      <c r="D16353" s="326"/>
      <c r="E16353" s="326"/>
      <c r="F16353" s="326"/>
      <c r="G16353" s="326"/>
      <c r="H16353" s="326"/>
      <c r="P16353" s="318"/>
      <c r="Q16353" s="318"/>
      <c r="R16353" s="318"/>
      <c r="S16353" s="318"/>
      <c r="T16353" s="318"/>
      <c r="U16353" s="318"/>
      <c r="V16353" s="318"/>
      <c r="W16353" s="318"/>
      <c r="X16353" s="318"/>
      <c r="Y16353" s="318"/>
      <c r="Z16353" s="318"/>
      <c r="AA16353" s="318"/>
      <c r="AB16353" s="318"/>
      <c r="AC16353" s="318"/>
      <c r="AD16353" s="318"/>
    </row>
    <row r="16354" spans="2:30" s="323" customFormat="1" ht="12" customHeight="1">
      <c r="B16354" s="324"/>
      <c r="C16354" s="325"/>
      <c r="D16354" s="326"/>
      <c r="E16354" s="326"/>
      <c r="F16354" s="326"/>
      <c r="G16354" s="326"/>
      <c r="H16354" s="326"/>
      <c r="P16354" s="318"/>
      <c r="Q16354" s="318"/>
      <c r="R16354" s="318"/>
      <c r="S16354" s="318"/>
      <c r="T16354" s="318"/>
      <c r="U16354" s="318"/>
      <c r="V16354" s="318"/>
      <c r="W16354" s="318"/>
      <c r="X16354" s="318"/>
      <c r="Y16354" s="318"/>
      <c r="Z16354" s="318"/>
      <c r="AA16354" s="318"/>
      <c r="AB16354" s="318"/>
      <c r="AC16354" s="318"/>
      <c r="AD16354" s="318"/>
    </row>
    <row r="16355" spans="2:30" s="323" customFormat="1" ht="12" customHeight="1">
      <c r="B16355" s="324"/>
      <c r="C16355" s="325"/>
      <c r="D16355" s="326"/>
      <c r="E16355" s="326"/>
      <c r="F16355" s="326"/>
      <c r="G16355" s="326"/>
      <c r="H16355" s="326"/>
      <c r="P16355" s="318"/>
      <c r="Q16355" s="318"/>
      <c r="R16355" s="318"/>
      <c r="S16355" s="318"/>
      <c r="T16355" s="318"/>
      <c r="U16355" s="318"/>
      <c r="V16355" s="318"/>
      <c r="W16355" s="318"/>
      <c r="X16355" s="318"/>
      <c r="Y16355" s="318"/>
      <c r="Z16355" s="318"/>
      <c r="AA16355" s="318"/>
      <c r="AB16355" s="318"/>
      <c r="AC16355" s="318"/>
      <c r="AD16355" s="318"/>
    </row>
    <row r="16356" spans="2:30" s="323" customFormat="1" ht="12" customHeight="1">
      <c r="B16356" s="324"/>
      <c r="C16356" s="325"/>
      <c r="D16356" s="326"/>
      <c r="E16356" s="326"/>
      <c r="F16356" s="326"/>
      <c r="G16356" s="326"/>
      <c r="H16356" s="326"/>
      <c r="P16356" s="318"/>
      <c r="Q16356" s="318"/>
      <c r="R16356" s="318"/>
      <c r="S16356" s="318"/>
      <c r="T16356" s="318"/>
      <c r="U16356" s="318"/>
      <c r="V16356" s="318"/>
      <c r="W16356" s="318"/>
      <c r="X16356" s="318"/>
      <c r="Y16356" s="318"/>
      <c r="Z16356" s="318"/>
      <c r="AA16356" s="318"/>
      <c r="AB16356" s="318"/>
      <c r="AC16356" s="318"/>
      <c r="AD16356" s="318"/>
    </row>
    <row r="16357" spans="2:30" s="323" customFormat="1" ht="12" customHeight="1">
      <c r="B16357" s="324"/>
      <c r="C16357" s="325"/>
      <c r="D16357" s="326"/>
      <c r="E16357" s="326"/>
      <c r="F16357" s="326"/>
      <c r="G16357" s="326"/>
      <c r="H16357" s="326"/>
      <c r="P16357" s="318"/>
      <c r="Q16357" s="318"/>
      <c r="R16357" s="318"/>
      <c r="S16357" s="318"/>
      <c r="T16357" s="318"/>
      <c r="U16357" s="318"/>
      <c r="V16357" s="318"/>
      <c r="W16357" s="318"/>
      <c r="X16357" s="318"/>
      <c r="Y16357" s="318"/>
      <c r="Z16357" s="318"/>
      <c r="AA16357" s="318"/>
      <c r="AB16357" s="318"/>
      <c r="AC16357" s="318"/>
      <c r="AD16357" s="318"/>
    </row>
    <row r="16358" spans="2:30" s="323" customFormat="1" ht="12" customHeight="1">
      <c r="B16358" s="324"/>
      <c r="C16358" s="325"/>
      <c r="D16358" s="326"/>
      <c r="E16358" s="326"/>
      <c r="F16358" s="326"/>
      <c r="G16358" s="326"/>
      <c r="H16358" s="326"/>
      <c r="P16358" s="318"/>
      <c r="Q16358" s="318"/>
      <c r="R16358" s="318"/>
      <c r="S16358" s="318"/>
      <c r="T16358" s="318"/>
      <c r="U16358" s="318"/>
      <c r="V16358" s="318"/>
      <c r="W16358" s="318"/>
      <c r="X16358" s="318"/>
      <c r="Y16358" s="318"/>
      <c r="Z16358" s="318"/>
      <c r="AA16358" s="318"/>
      <c r="AB16358" s="318"/>
      <c r="AC16358" s="318"/>
      <c r="AD16358" s="318"/>
    </row>
    <row r="16359" spans="2:30" s="323" customFormat="1" ht="12" customHeight="1">
      <c r="B16359" s="324"/>
      <c r="C16359" s="325"/>
      <c r="D16359" s="326"/>
      <c r="E16359" s="326"/>
      <c r="F16359" s="326"/>
      <c r="G16359" s="326"/>
      <c r="H16359" s="326"/>
      <c r="P16359" s="318"/>
      <c r="Q16359" s="318"/>
      <c r="R16359" s="318"/>
      <c r="S16359" s="318"/>
      <c r="T16359" s="318"/>
      <c r="U16359" s="318"/>
      <c r="V16359" s="318"/>
      <c r="W16359" s="318"/>
      <c r="X16359" s="318"/>
      <c r="Y16359" s="318"/>
      <c r="Z16359" s="318"/>
      <c r="AA16359" s="318"/>
      <c r="AB16359" s="318"/>
      <c r="AC16359" s="318"/>
      <c r="AD16359" s="318"/>
    </row>
    <row r="16360" spans="2:30" s="323" customFormat="1" ht="12" customHeight="1">
      <c r="B16360" s="324"/>
      <c r="C16360" s="325"/>
      <c r="D16360" s="326"/>
      <c r="E16360" s="326"/>
      <c r="F16360" s="326"/>
      <c r="G16360" s="326"/>
      <c r="H16360" s="326"/>
      <c r="P16360" s="318"/>
      <c r="Q16360" s="318"/>
      <c r="R16360" s="318"/>
      <c r="S16360" s="318"/>
      <c r="T16360" s="318"/>
      <c r="U16360" s="318"/>
      <c r="V16360" s="318"/>
      <c r="W16360" s="318"/>
      <c r="X16360" s="318"/>
      <c r="Y16360" s="318"/>
      <c r="Z16360" s="318"/>
      <c r="AA16360" s="318"/>
      <c r="AB16360" s="318"/>
      <c r="AC16360" s="318"/>
      <c r="AD16360" s="318"/>
    </row>
    <row r="16361" spans="2:30" s="323" customFormat="1" ht="12" customHeight="1">
      <c r="B16361" s="324"/>
      <c r="C16361" s="325"/>
      <c r="D16361" s="326"/>
      <c r="E16361" s="326"/>
      <c r="F16361" s="326"/>
      <c r="G16361" s="326"/>
      <c r="H16361" s="326"/>
      <c r="P16361" s="318"/>
      <c r="Q16361" s="318"/>
      <c r="R16361" s="318"/>
      <c r="S16361" s="318"/>
      <c r="T16361" s="318"/>
      <c r="U16361" s="318"/>
      <c r="V16361" s="318"/>
      <c r="W16361" s="318"/>
      <c r="X16361" s="318"/>
      <c r="Y16361" s="318"/>
      <c r="Z16361" s="318"/>
      <c r="AA16361" s="318"/>
      <c r="AB16361" s="318"/>
      <c r="AC16361" s="318"/>
      <c r="AD16361" s="318"/>
    </row>
    <row r="16362" spans="2:30" s="323" customFormat="1" ht="12" customHeight="1">
      <c r="B16362" s="324"/>
      <c r="C16362" s="325"/>
      <c r="D16362" s="326"/>
      <c r="E16362" s="326"/>
      <c r="F16362" s="326"/>
      <c r="G16362" s="326"/>
      <c r="H16362" s="326"/>
      <c r="P16362" s="318"/>
      <c r="Q16362" s="318"/>
      <c r="R16362" s="318"/>
      <c r="S16362" s="318"/>
      <c r="T16362" s="318"/>
      <c r="U16362" s="318"/>
      <c r="V16362" s="318"/>
      <c r="W16362" s="318"/>
      <c r="X16362" s="318"/>
      <c r="Y16362" s="318"/>
      <c r="Z16362" s="318"/>
      <c r="AA16362" s="318"/>
      <c r="AB16362" s="318"/>
      <c r="AC16362" s="318"/>
      <c r="AD16362" s="318"/>
    </row>
    <row r="16363" spans="2:30" s="323" customFormat="1" ht="12" customHeight="1">
      <c r="B16363" s="324"/>
      <c r="C16363" s="325"/>
      <c r="D16363" s="326"/>
      <c r="E16363" s="326"/>
      <c r="F16363" s="326"/>
      <c r="G16363" s="326"/>
      <c r="H16363" s="326"/>
      <c r="P16363" s="318"/>
      <c r="Q16363" s="318"/>
      <c r="R16363" s="318"/>
      <c r="S16363" s="318"/>
      <c r="T16363" s="318"/>
      <c r="U16363" s="318"/>
      <c r="V16363" s="318"/>
      <c r="W16363" s="318"/>
      <c r="X16363" s="318"/>
      <c r="Y16363" s="318"/>
      <c r="Z16363" s="318"/>
      <c r="AA16363" s="318"/>
      <c r="AB16363" s="318"/>
      <c r="AC16363" s="318"/>
      <c r="AD16363" s="318"/>
    </row>
    <row r="16364" spans="2:30" s="323" customFormat="1" ht="12" customHeight="1">
      <c r="B16364" s="324"/>
      <c r="C16364" s="325"/>
      <c r="D16364" s="326"/>
      <c r="E16364" s="326"/>
      <c r="F16364" s="326"/>
      <c r="G16364" s="326"/>
      <c r="H16364" s="326"/>
      <c r="P16364" s="318"/>
      <c r="Q16364" s="318"/>
      <c r="R16364" s="318"/>
      <c r="S16364" s="318"/>
      <c r="T16364" s="318"/>
      <c r="U16364" s="318"/>
      <c r="V16364" s="318"/>
      <c r="W16364" s="318"/>
      <c r="X16364" s="318"/>
      <c r="Y16364" s="318"/>
      <c r="Z16364" s="318"/>
      <c r="AA16364" s="318"/>
      <c r="AB16364" s="318"/>
      <c r="AC16364" s="318"/>
      <c r="AD16364" s="318"/>
    </row>
    <row r="16365" spans="2:30" s="323" customFormat="1" ht="12" customHeight="1">
      <c r="B16365" s="324"/>
      <c r="C16365" s="325"/>
      <c r="D16365" s="326"/>
      <c r="E16365" s="326"/>
      <c r="F16365" s="326"/>
      <c r="G16365" s="326"/>
      <c r="H16365" s="326"/>
      <c r="P16365" s="318"/>
      <c r="Q16365" s="318"/>
      <c r="R16365" s="318"/>
      <c r="S16365" s="318"/>
      <c r="T16365" s="318"/>
      <c r="U16365" s="318"/>
      <c r="V16365" s="318"/>
      <c r="W16365" s="318"/>
      <c r="X16365" s="318"/>
      <c r="Y16365" s="318"/>
      <c r="Z16365" s="318"/>
      <c r="AA16365" s="318"/>
      <c r="AB16365" s="318"/>
      <c r="AC16365" s="318"/>
      <c r="AD16365" s="318"/>
    </row>
    <row r="16366" spans="2:30" s="323" customFormat="1" ht="12" customHeight="1">
      <c r="B16366" s="324"/>
      <c r="C16366" s="325"/>
      <c r="D16366" s="326"/>
      <c r="E16366" s="326"/>
      <c r="F16366" s="326"/>
      <c r="G16366" s="326"/>
      <c r="H16366" s="326"/>
      <c r="P16366" s="318"/>
      <c r="Q16366" s="318"/>
      <c r="R16366" s="318"/>
      <c r="S16366" s="318"/>
      <c r="T16366" s="318"/>
      <c r="U16366" s="318"/>
      <c r="V16366" s="318"/>
      <c r="W16366" s="318"/>
      <c r="X16366" s="318"/>
      <c r="Y16366" s="318"/>
      <c r="Z16366" s="318"/>
      <c r="AA16366" s="318"/>
      <c r="AB16366" s="318"/>
      <c r="AC16366" s="318"/>
      <c r="AD16366" s="318"/>
    </row>
    <row r="16367" spans="2:30" s="323" customFormat="1" ht="12" customHeight="1">
      <c r="B16367" s="324"/>
      <c r="C16367" s="325"/>
      <c r="D16367" s="326"/>
      <c r="E16367" s="326"/>
      <c r="F16367" s="326"/>
      <c r="G16367" s="326"/>
      <c r="H16367" s="326"/>
      <c r="P16367" s="318"/>
      <c r="Q16367" s="318"/>
      <c r="R16367" s="318"/>
      <c r="S16367" s="318"/>
      <c r="T16367" s="318"/>
      <c r="U16367" s="318"/>
      <c r="V16367" s="318"/>
      <c r="W16367" s="318"/>
      <c r="X16367" s="318"/>
      <c r="Y16367" s="318"/>
      <c r="Z16367" s="318"/>
      <c r="AA16367" s="318"/>
      <c r="AB16367" s="318"/>
      <c r="AC16367" s="318"/>
      <c r="AD16367" s="318"/>
    </row>
    <row r="16368" spans="2:30" s="323" customFormat="1" ht="12" customHeight="1">
      <c r="B16368" s="324"/>
      <c r="C16368" s="325"/>
      <c r="D16368" s="326"/>
      <c r="E16368" s="326"/>
      <c r="F16368" s="326"/>
      <c r="G16368" s="326"/>
      <c r="H16368" s="326"/>
      <c r="P16368" s="318"/>
      <c r="Q16368" s="318"/>
      <c r="R16368" s="318"/>
      <c r="S16368" s="318"/>
      <c r="T16368" s="318"/>
      <c r="U16368" s="318"/>
      <c r="V16368" s="318"/>
      <c r="W16368" s="318"/>
      <c r="X16368" s="318"/>
      <c r="Y16368" s="318"/>
      <c r="Z16368" s="318"/>
      <c r="AA16368" s="318"/>
      <c r="AB16368" s="318"/>
      <c r="AC16368" s="318"/>
      <c r="AD16368" s="318"/>
    </row>
    <row r="16369" spans="2:30" s="323" customFormat="1" ht="12" customHeight="1">
      <c r="B16369" s="324"/>
      <c r="C16369" s="325"/>
      <c r="D16369" s="326"/>
      <c r="E16369" s="326"/>
      <c r="F16369" s="326"/>
      <c r="G16369" s="326"/>
      <c r="H16369" s="326"/>
      <c r="P16369" s="318"/>
      <c r="Q16369" s="318"/>
      <c r="R16369" s="318"/>
      <c r="S16369" s="318"/>
      <c r="T16369" s="318"/>
      <c r="U16369" s="318"/>
      <c r="V16369" s="318"/>
      <c r="W16369" s="318"/>
      <c r="X16369" s="318"/>
      <c r="Y16369" s="318"/>
      <c r="Z16369" s="318"/>
      <c r="AA16369" s="318"/>
      <c r="AB16369" s="318"/>
      <c r="AC16369" s="318"/>
      <c r="AD16369" s="318"/>
    </row>
    <row r="16370" spans="2:30" s="323" customFormat="1" ht="12" customHeight="1">
      <c r="B16370" s="324"/>
      <c r="C16370" s="325"/>
      <c r="D16370" s="326"/>
      <c r="E16370" s="326"/>
      <c r="F16370" s="326"/>
      <c r="G16370" s="326"/>
      <c r="H16370" s="326"/>
      <c r="P16370" s="318"/>
      <c r="Q16370" s="318"/>
      <c r="R16370" s="318"/>
      <c r="S16370" s="318"/>
      <c r="T16370" s="318"/>
      <c r="U16370" s="318"/>
      <c r="V16370" s="318"/>
      <c r="W16370" s="318"/>
      <c r="X16370" s="318"/>
      <c r="Y16370" s="318"/>
      <c r="Z16370" s="318"/>
      <c r="AA16370" s="318"/>
      <c r="AB16370" s="318"/>
      <c r="AC16370" s="318"/>
      <c r="AD16370" s="318"/>
    </row>
    <row r="16371" spans="2:30" s="323" customFormat="1" ht="12" customHeight="1">
      <c r="B16371" s="324"/>
      <c r="C16371" s="325"/>
      <c r="D16371" s="326"/>
      <c r="E16371" s="326"/>
      <c r="F16371" s="326"/>
      <c r="G16371" s="326"/>
      <c r="H16371" s="326"/>
      <c r="P16371" s="318"/>
      <c r="Q16371" s="318"/>
      <c r="R16371" s="318"/>
      <c r="S16371" s="318"/>
      <c r="T16371" s="318"/>
      <c r="U16371" s="318"/>
      <c r="V16371" s="318"/>
      <c r="W16371" s="318"/>
      <c r="X16371" s="318"/>
      <c r="Y16371" s="318"/>
      <c r="Z16371" s="318"/>
      <c r="AA16371" s="318"/>
      <c r="AB16371" s="318"/>
      <c r="AC16371" s="318"/>
      <c r="AD16371" s="318"/>
    </row>
    <row r="16372" spans="2:30" s="323" customFormat="1" ht="12" customHeight="1">
      <c r="B16372" s="324"/>
      <c r="C16372" s="325"/>
      <c r="D16372" s="326"/>
      <c r="E16372" s="326"/>
      <c r="F16372" s="326"/>
      <c r="G16372" s="326"/>
      <c r="H16372" s="326"/>
      <c r="P16372" s="318"/>
      <c r="Q16372" s="318"/>
      <c r="R16372" s="318"/>
      <c r="S16372" s="318"/>
      <c r="T16372" s="318"/>
      <c r="U16372" s="318"/>
      <c r="V16372" s="318"/>
      <c r="W16372" s="318"/>
      <c r="X16372" s="318"/>
      <c r="Y16372" s="318"/>
      <c r="Z16372" s="318"/>
      <c r="AA16372" s="318"/>
      <c r="AB16372" s="318"/>
      <c r="AC16372" s="318"/>
      <c r="AD16372" s="318"/>
    </row>
    <row r="16373" spans="2:30" s="323" customFormat="1" ht="12" customHeight="1">
      <c r="B16373" s="324"/>
      <c r="C16373" s="325"/>
      <c r="D16373" s="326"/>
      <c r="E16373" s="326"/>
      <c r="F16373" s="326"/>
      <c r="G16373" s="326"/>
      <c r="H16373" s="326"/>
      <c r="P16373" s="318"/>
      <c r="Q16373" s="318"/>
      <c r="R16373" s="318"/>
      <c r="S16373" s="318"/>
      <c r="T16373" s="318"/>
      <c r="U16373" s="318"/>
      <c r="V16373" s="318"/>
      <c r="W16373" s="318"/>
      <c r="X16373" s="318"/>
      <c r="Y16373" s="318"/>
      <c r="Z16373" s="318"/>
      <c r="AA16373" s="318"/>
      <c r="AB16373" s="318"/>
      <c r="AC16373" s="318"/>
      <c r="AD16373" s="318"/>
    </row>
    <row r="16374" spans="2:30" s="323" customFormat="1" ht="12" customHeight="1">
      <c r="B16374" s="324"/>
      <c r="C16374" s="325"/>
      <c r="D16374" s="326"/>
      <c r="E16374" s="326"/>
      <c r="F16374" s="326"/>
      <c r="G16374" s="326"/>
      <c r="H16374" s="326"/>
      <c r="P16374" s="318"/>
      <c r="Q16374" s="318"/>
      <c r="R16374" s="318"/>
      <c r="S16374" s="318"/>
      <c r="T16374" s="318"/>
      <c r="U16374" s="318"/>
      <c r="V16374" s="318"/>
      <c r="W16374" s="318"/>
      <c r="X16374" s="318"/>
      <c r="Y16374" s="318"/>
      <c r="Z16374" s="318"/>
      <c r="AA16374" s="318"/>
      <c r="AB16374" s="318"/>
      <c r="AC16374" s="318"/>
      <c r="AD16374" s="318"/>
    </row>
    <row r="16375" spans="2:30" s="323" customFormat="1" ht="12" customHeight="1">
      <c r="B16375" s="324"/>
      <c r="C16375" s="325"/>
      <c r="D16375" s="326"/>
      <c r="E16375" s="326"/>
      <c r="F16375" s="326"/>
      <c r="G16375" s="326"/>
      <c r="H16375" s="326"/>
      <c r="P16375" s="318"/>
      <c r="Q16375" s="318"/>
      <c r="R16375" s="318"/>
      <c r="S16375" s="318"/>
      <c r="T16375" s="318"/>
      <c r="U16375" s="318"/>
      <c r="V16375" s="318"/>
      <c r="W16375" s="318"/>
      <c r="X16375" s="318"/>
      <c r="Y16375" s="318"/>
      <c r="Z16375" s="318"/>
      <c r="AA16375" s="318"/>
      <c r="AB16375" s="318"/>
      <c r="AC16375" s="318"/>
      <c r="AD16375" s="318"/>
    </row>
    <row r="16376" spans="2:30" s="323" customFormat="1" ht="12" customHeight="1">
      <c r="B16376" s="324"/>
      <c r="C16376" s="325"/>
      <c r="D16376" s="326"/>
      <c r="E16376" s="326"/>
      <c r="F16376" s="326"/>
      <c r="G16376" s="326"/>
      <c r="H16376" s="326"/>
      <c r="P16376" s="318"/>
      <c r="Q16376" s="318"/>
      <c r="R16376" s="318"/>
      <c r="S16376" s="318"/>
      <c r="T16376" s="318"/>
      <c r="U16376" s="318"/>
      <c r="V16376" s="318"/>
      <c r="W16376" s="318"/>
      <c r="X16376" s="318"/>
      <c r="Y16376" s="318"/>
      <c r="Z16376" s="318"/>
      <c r="AA16376" s="318"/>
      <c r="AB16376" s="318"/>
      <c r="AC16376" s="318"/>
      <c r="AD16376" s="318"/>
    </row>
    <row r="16377" spans="2:30" s="323" customFormat="1" ht="12" customHeight="1">
      <c r="B16377" s="324"/>
      <c r="C16377" s="325"/>
      <c r="D16377" s="326"/>
      <c r="E16377" s="326"/>
      <c r="F16377" s="326"/>
      <c r="G16377" s="326"/>
      <c r="H16377" s="326"/>
      <c r="P16377" s="318"/>
      <c r="Q16377" s="318"/>
      <c r="R16377" s="318"/>
      <c r="S16377" s="318"/>
      <c r="T16377" s="318"/>
      <c r="U16377" s="318"/>
      <c r="V16377" s="318"/>
      <c r="W16377" s="318"/>
      <c r="X16377" s="318"/>
      <c r="Y16377" s="318"/>
      <c r="Z16377" s="318"/>
      <c r="AA16377" s="318"/>
      <c r="AB16377" s="318"/>
      <c r="AC16377" s="318"/>
      <c r="AD16377" s="318"/>
    </row>
    <row r="16378" spans="2:30" s="323" customFormat="1" ht="12" customHeight="1">
      <c r="B16378" s="324"/>
      <c r="C16378" s="325"/>
      <c r="D16378" s="326"/>
      <c r="E16378" s="326"/>
      <c r="F16378" s="326"/>
      <c r="G16378" s="326"/>
      <c r="H16378" s="326"/>
      <c r="P16378" s="318"/>
      <c r="Q16378" s="318"/>
      <c r="R16378" s="318"/>
      <c r="S16378" s="318"/>
      <c r="T16378" s="318"/>
      <c r="U16378" s="318"/>
      <c r="V16378" s="318"/>
      <c r="W16378" s="318"/>
      <c r="X16378" s="318"/>
      <c r="Y16378" s="318"/>
      <c r="Z16378" s="318"/>
      <c r="AA16378" s="318"/>
      <c r="AB16378" s="318"/>
      <c r="AC16378" s="318"/>
      <c r="AD16378" s="318"/>
    </row>
    <row r="16379" spans="2:30" s="323" customFormat="1" ht="12" customHeight="1">
      <c r="B16379" s="324"/>
      <c r="C16379" s="325"/>
      <c r="D16379" s="326"/>
      <c r="E16379" s="326"/>
      <c r="F16379" s="326"/>
      <c r="G16379" s="326"/>
      <c r="H16379" s="326"/>
      <c r="P16379" s="318"/>
      <c r="Q16379" s="318"/>
      <c r="R16379" s="318"/>
      <c r="S16379" s="318"/>
      <c r="T16379" s="318"/>
      <c r="U16379" s="318"/>
      <c r="V16379" s="318"/>
      <c r="W16379" s="318"/>
      <c r="X16379" s="318"/>
      <c r="Y16379" s="318"/>
      <c r="Z16379" s="318"/>
      <c r="AA16379" s="318"/>
      <c r="AB16379" s="318"/>
      <c r="AC16379" s="318"/>
      <c r="AD16379" s="318"/>
    </row>
    <row r="16380" spans="2:30" s="323" customFormat="1" ht="12" customHeight="1">
      <c r="B16380" s="324"/>
      <c r="C16380" s="325"/>
      <c r="D16380" s="326"/>
      <c r="E16380" s="326"/>
      <c r="F16380" s="326"/>
      <c r="G16380" s="326"/>
      <c r="H16380" s="326"/>
      <c r="P16380" s="318"/>
      <c r="Q16380" s="318"/>
      <c r="R16380" s="318"/>
      <c r="S16380" s="318"/>
      <c r="T16380" s="318"/>
      <c r="U16380" s="318"/>
      <c r="V16380" s="318"/>
      <c r="W16380" s="318"/>
      <c r="X16380" s="318"/>
      <c r="Y16380" s="318"/>
      <c r="Z16380" s="318"/>
      <c r="AA16380" s="318"/>
      <c r="AB16380" s="318"/>
      <c r="AC16380" s="318"/>
      <c r="AD16380" s="318"/>
    </row>
    <row r="16381" spans="2:30" s="323" customFormat="1" ht="12" customHeight="1">
      <c r="B16381" s="324"/>
      <c r="C16381" s="325"/>
      <c r="D16381" s="326"/>
      <c r="E16381" s="326"/>
      <c r="F16381" s="326"/>
      <c r="G16381" s="326"/>
      <c r="H16381" s="326"/>
      <c r="P16381" s="318"/>
      <c r="Q16381" s="318"/>
      <c r="R16381" s="318"/>
      <c r="S16381" s="318"/>
      <c r="T16381" s="318"/>
      <c r="U16381" s="318"/>
      <c r="V16381" s="318"/>
      <c r="W16381" s="318"/>
      <c r="X16381" s="318"/>
      <c r="Y16381" s="318"/>
      <c r="Z16381" s="318"/>
      <c r="AA16381" s="318"/>
      <c r="AB16381" s="318"/>
      <c r="AC16381" s="318"/>
      <c r="AD16381" s="318"/>
    </row>
    <row r="16382" spans="2:30" s="323" customFormat="1" ht="12" customHeight="1">
      <c r="B16382" s="324"/>
      <c r="C16382" s="325"/>
      <c r="D16382" s="326"/>
      <c r="E16382" s="326"/>
      <c r="F16382" s="326"/>
      <c r="G16382" s="326"/>
      <c r="H16382" s="326"/>
      <c r="P16382" s="318"/>
      <c r="Q16382" s="318"/>
      <c r="R16382" s="318"/>
      <c r="S16382" s="318"/>
      <c r="T16382" s="318"/>
      <c r="U16382" s="318"/>
      <c r="V16382" s="318"/>
      <c r="W16382" s="318"/>
      <c r="X16382" s="318"/>
      <c r="Y16382" s="318"/>
      <c r="Z16382" s="318"/>
      <c r="AA16382" s="318"/>
      <c r="AB16382" s="318"/>
      <c r="AC16382" s="318"/>
      <c r="AD16382" s="318"/>
    </row>
    <row r="16383" spans="2:30" s="323" customFormat="1" ht="12" customHeight="1">
      <c r="B16383" s="324"/>
      <c r="C16383" s="325"/>
      <c r="D16383" s="326"/>
      <c r="E16383" s="326"/>
      <c r="F16383" s="326"/>
      <c r="G16383" s="326"/>
      <c r="H16383" s="326"/>
      <c r="P16383" s="318"/>
      <c r="Q16383" s="318"/>
      <c r="R16383" s="318"/>
      <c r="S16383" s="318"/>
      <c r="T16383" s="318"/>
      <c r="U16383" s="318"/>
      <c r="V16383" s="318"/>
      <c r="W16383" s="318"/>
      <c r="X16383" s="318"/>
      <c r="Y16383" s="318"/>
      <c r="Z16383" s="318"/>
      <c r="AA16383" s="318"/>
      <c r="AB16383" s="318"/>
      <c r="AC16383" s="318"/>
      <c r="AD16383" s="318"/>
    </row>
    <row r="16384" spans="2:30" s="323" customFormat="1" ht="12" customHeight="1">
      <c r="B16384" s="324"/>
      <c r="C16384" s="325"/>
      <c r="D16384" s="326"/>
      <c r="E16384" s="326"/>
      <c r="F16384" s="326"/>
      <c r="G16384" s="326"/>
      <c r="H16384" s="326"/>
      <c r="P16384" s="318"/>
      <c r="Q16384" s="318"/>
      <c r="R16384" s="318"/>
      <c r="S16384" s="318"/>
      <c r="T16384" s="318"/>
      <c r="U16384" s="318"/>
      <c r="V16384" s="318"/>
      <c r="W16384" s="318"/>
      <c r="X16384" s="318"/>
      <c r="Y16384" s="318"/>
      <c r="Z16384" s="318"/>
      <c r="AA16384" s="318"/>
      <c r="AB16384" s="318"/>
      <c r="AC16384" s="318"/>
      <c r="AD16384" s="318"/>
    </row>
    <row r="16385" spans="2:30" s="323" customFormat="1" ht="12" customHeight="1">
      <c r="B16385" s="324"/>
      <c r="C16385" s="325"/>
      <c r="D16385" s="326"/>
      <c r="E16385" s="326"/>
      <c r="F16385" s="326"/>
      <c r="G16385" s="326"/>
      <c r="H16385" s="326"/>
      <c r="P16385" s="318"/>
      <c r="Q16385" s="318"/>
      <c r="R16385" s="318"/>
      <c r="S16385" s="318"/>
      <c r="T16385" s="318"/>
      <c r="U16385" s="318"/>
      <c r="V16385" s="318"/>
      <c r="W16385" s="318"/>
      <c r="X16385" s="318"/>
      <c r="Y16385" s="318"/>
      <c r="Z16385" s="318"/>
      <c r="AA16385" s="318"/>
      <c r="AB16385" s="318"/>
      <c r="AC16385" s="318"/>
      <c r="AD16385" s="318"/>
    </row>
    <row r="16386" spans="2:30" s="323" customFormat="1" ht="12" customHeight="1">
      <c r="B16386" s="324"/>
      <c r="C16386" s="325"/>
      <c r="D16386" s="326"/>
      <c r="E16386" s="326"/>
      <c r="F16386" s="326"/>
      <c r="G16386" s="326"/>
      <c r="H16386" s="326"/>
      <c r="P16386" s="318"/>
      <c r="Q16386" s="318"/>
      <c r="R16386" s="318"/>
      <c r="S16386" s="318"/>
      <c r="T16386" s="318"/>
      <c r="U16386" s="318"/>
      <c r="V16386" s="318"/>
      <c r="W16386" s="318"/>
      <c r="X16386" s="318"/>
      <c r="Y16386" s="318"/>
      <c r="Z16386" s="318"/>
      <c r="AA16386" s="318"/>
      <c r="AB16386" s="318"/>
      <c r="AC16386" s="318"/>
      <c r="AD16386" s="318"/>
    </row>
    <row r="16387" spans="2:30" s="323" customFormat="1" ht="12" customHeight="1">
      <c r="B16387" s="324"/>
      <c r="C16387" s="325"/>
      <c r="D16387" s="326"/>
      <c r="E16387" s="326"/>
      <c r="F16387" s="326"/>
      <c r="G16387" s="326"/>
      <c r="H16387" s="326"/>
      <c r="P16387" s="318"/>
      <c r="Q16387" s="318"/>
      <c r="R16387" s="318"/>
      <c r="S16387" s="318"/>
      <c r="T16387" s="318"/>
      <c r="U16387" s="318"/>
      <c r="V16387" s="318"/>
      <c r="W16387" s="318"/>
      <c r="X16387" s="318"/>
      <c r="Y16387" s="318"/>
      <c r="Z16387" s="318"/>
      <c r="AA16387" s="318"/>
      <c r="AB16387" s="318"/>
      <c r="AC16387" s="318"/>
      <c r="AD16387" s="318"/>
    </row>
    <row r="16388" spans="2:30" s="323" customFormat="1" ht="12" customHeight="1">
      <c r="B16388" s="324"/>
      <c r="C16388" s="325"/>
      <c r="D16388" s="326"/>
      <c r="E16388" s="326"/>
      <c r="F16388" s="326"/>
      <c r="G16388" s="326"/>
      <c r="H16388" s="326"/>
      <c r="P16388" s="318"/>
      <c r="Q16388" s="318"/>
      <c r="R16388" s="318"/>
      <c r="S16388" s="318"/>
      <c r="T16388" s="318"/>
      <c r="U16388" s="318"/>
      <c r="V16388" s="318"/>
      <c r="W16388" s="318"/>
      <c r="X16388" s="318"/>
      <c r="Y16388" s="318"/>
      <c r="Z16388" s="318"/>
      <c r="AA16388" s="318"/>
      <c r="AB16388" s="318"/>
      <c r="AC16388" s="318"/>
      <c r="AD16388" s="318"/>
    </row>
    <row r="16389" spans="2:30" s="323" customFormat="1" ht="12" customHeight="1">
      <c r="B16389" s="324"/>
      <c r="C16389" s="325"/>
      <c r="D16389" s="326"/>
      <c r="E16389" s="326"/>
      <c r="F16389" s="326"/>
      <c r="G16389" s="326"/>
      <c r="H16389" s="326"/>
      <c r="P16389" s="318"/>
      <c r="Q16389" s="318"/>
      <c r="R16389" s="318"/>
      <c r="S16389" s="318"/>
      <c r="T16389" s="318"/>
      <c r="U16389" s="318"/>
      <c r="V16389" s="318"/>
      <c r="W16389" s="318"/>
      <c r="X16389" s="318"/>
      <c r="Y16389" s="318"/>
      <c r="Z16389" s="318"/>
      <c r="AA16389" s="318"/>
      <c r="AB16389" s="318"/>
      <c r="AC16389" s="318"/>
      <c r="AD16389" s="318"/>
    </row>
    <row r="16390" spans="2:30" s="323" customFormat="1" ht="12" customHeight="1">
      <c r="B16390" s="324"/>
      <c r="C16390" s="325"/>
      <c r="D16390" s="326"/>
      <c r="E16390" s="326"/>
      <c r="F16390" s="326"/>
      <c r="G16390" s="326"/>
      <c r="H16390" s="326"/>
      <c r="P16390" s="318"/>
      <c r="Q16390" s="318"/>
      <c r="R16390" s="318"/>
      <c r="S16390" s="318"/>
      <c r="T16390" s="318"/>
      <c r="U16390" s="318"/>
      <c r="V16390" s="318"/>
      <c r="W16390" s="318"/>
      <c r="X16390" s="318"/>
      <c r="Y16390" s="318"/>
      <c r="Z16390" s="318"/>
      <c r="AA16390" s="318"/>
      <c r="AB16390" s="318"/>
      <c r="AC16390" s="318"/>
      <c r="AD16390" s="318"/>
    </row>
    <row r="16391" spans="2:30" s="323" customFormat="1" ht="12" customHeight="1">
      <c r="B16391" s="324"/>
      <c r="C16391" s="325"/>
      <c r="D16391" s="326"/>
      <c r="E16391" s="326"/>
      <c r="F16391" s="326"/>
      <c r="G16391" s="326"/>
      <c r="H16391" s="326"/>
      <c r="P16391" s="318"/>
      <c r="Q16391" s="318"/>
      <c r="R16391" s="318"/>
      <c r="S16391" s="318"/>
      <c r="T16391" s="318"/>
      <c r="U16391" s="318"/>
      <c r="V16391" s="318"/>
      <c r="W16391" s="318"/>
      <c r="X16391" s="318"/>
      <c r="Y16391" s="318"/>
      <c r="Z16391" s="318"/>
      <c r="AA16391" s="318"/>
      <c r="AB16391" s="318"/>
      <c r="AC16391" s="318"/>
      <c r="AD16391" s="318"/>
    </row>
    <row r="16392" spans="2:30" s="323" customFormat="1" ht="12" customHeight="1">
      <c r="B16392" s="324"/>
      <c r="C16392" s="325"/>
      <c r="D16392" s="326"/>
      <c r="E16392" s="326"/>
      <c r="F16392" s="326"/>
      <c r="G16392" s="326"/>
      <c r="H16392" s="326"/>
      <c r="P16392" s="318"/>
      <c r="Q16392" s="318"/>
      <c r="R16392" s="318"/>
      <c r="S16392" s="318"/>
      <c r="T16392" s="318"/>
      <c r="U16392" s="318"/>
      <c r="V16392" s="318"/>
      <c r="W16392" s="318"/>
      <c r="X16392" s="318"/>
      <c r="Y16392" s="318"/>
      <c r="Z16392" s="318"/>
      <c r="AA16392" s="318"/>
      <c r="AB16392" s="318"/>
      <c r="AC16392" s="318"/>
      <c r="AD16392" s="318"/>
    </row>
    <row r="16393" spans="2:30" s="323" customFormat="1" ht="12" customHeight="1">
      <c r="B16393" s="324"/>
      <c r="C16393" s="325"/>
      <c r="D16393" s="326"/>
      <c r="E16393" s="326"/>
      <c r="F16393" s="326"/>
      <c r="G16393" s="326"/>
      <c r="H16393" s="326"/>
      <c r="P16393" s="318"/>
      <c r="Q16393" s="318"/>
      <c r="R16393" s="318"/>
      <c r="S16393" s="318"/>
      <c r="T16393" s="318"/>
      <c r="U16393" s="318"/>
      <c r="V16393" s="318"/>
      <c r="W16393" s="318"/>
      <c r="X16393" s="318"/>
      <c r="Y16393" s="318"/>
      <c r="Z16393" s="318"/>
      <c r="AA16393" s="318"/>
      <c r="AB16393" s="318"/>
      <c r="AC16393" s="318"/>
      <c r="AD16393" s="318"/>
    </row>
    <row r="16394" spans="2:30" s="323" customFormat="1" ht="12" customHeight="1">
      <c r="B16394" s="324"/>
      <c r="C16394" s="325"/>
      <c r="D16394" s="326"/>
      <c r="E16394" s="326"/>
      <c r="F16394" s="326"/>
      <c r="G16394" s="326"/>
      <c r="H16394" s="326"/>
      <c r="P16394" s="318"/>
      <c r="Q16394" s="318"/>
      <c r="R16394" s="318"/>
      <c r="S16394" s="318"/>
      <c r="T16394" s="318"/>
      <c r="U16394" s="318"/>
      <c r="V16394" s="318"/>
      <c r="W16394" s="318"/>
      <c r="X16394" s="318"/>
      <c r="Y16394" s="318"/>
      <c r="Z16394" s="318"/>
      <c r="AA16394" s="318"/>
      <c r="AB16394" s="318"/>
      <c r="AC16394" s="318"/>
      <c r="AD16394" s="318"/>
    </row>
    <row r="16395" spans="2:30" s="323" customFormat="1" ht="12" customHeight="1">
      <c r="B16395" s="324"/>
      <c r="C16395" s="325"/>
      <c r="D16395" s="326"/>
      <c r="E16395" s="326"/>
      <c r="F16395" s="326"/>
      <c r="G16395" s="326"/>
      <c r="H16395" s="326"/>
      <c r="P16395" s="318"/>
      <c r="Q16395" s="318"/>
      <c r="R16395" s="318"/>
      <c r="S16395" s="318"/>
      <c r="T16395" s="318"/>
      <c r="U16395" s="318"/>
      <c r="V16395" s="318"/>
      <c r="W16395" s="318"/>
      <c r="X16395" s="318"/>
      <c r="Y16395" s="318"/>
      <c r="Z16395" s="318"/>
      <c r="AA16395" s="318"/>
      <c r="AB16395" s="318"/>
      <c r="AC16395" s="318"/>
      <c r="AD16395" s="318"/>
    </row>
    <row r="16396" spans="2:30" s="323" customFormat="1" ht="12" customHeight="1">
      <c r="B16396" s="324"/>
      <c r="C16396" s="325"/>
      <c r="D16396" s="326"/>
      <c r="E16396" s="326"/>
      <c r="F16396" s="326"/>
      <c r="G16396" s="326"/>
      <c r="H16396" s="326"/>
      <c r="P16396" s="318"/>
      <c r="Q16396" s="318"/>
      <c r="R16396" s="318"/>
      <c r="S16396" s="318"/>
      <c r="T16396" s="318"/>
      <c r="U16396" s="318"/>
      <c r="V16396" s="318"/>
      <c r="W16396" s="318"/>
      <c r="X16396" s="318"/>
      <c r="Y16396" s="318"/>
      <c r="Z16396" s="318"/>
      <c r="AA16396" s="318"/>
      <c r="AB16396" s="318"/>
      <c r="AC16396" s="318"/>
      <c r="AD16396" s="318"/>
    </row>
    <row r="16397" spans="2:30" s="323" customFormat="1" ht="12" customHeight="1">
      <c r="B16397" s="324"/>
      <c r="C16397" s="325"/>
      <c r="D16397" s="326"/>
      <c r="E16397" s="326"/>
      <c r="F16397" s="326"/>
      <c r="G16397" s="326"/>
      <c r="H16397" s="326"/>
      <c r="P16397" s="318"/>
      <c r="Q16397" s="318"/>
      <c r="R16397" s="318"/>
      <c r="S16397" s="318"/>
      <c r="T16397" s="318"/>
      <c r="U16397" s="318"/>
      <c r="V16397" s="318"/>
      <c r="W16397" s="318"/>
      <c r="X16397" s="318"/>
      <c r="Y16397" s="318"/>
      <c r="Z16397" s="318"/>
      <c r="AA16397" s="318"/>
      <c r="AB16397" s="318"/>
      <c r="AC16397" s="318"/>
      <c r="AD16397" s="318"/>
    </row>
    <row r="16398" spans="2:30" s="323" customFormat="1" ht="12" customHeight="1">
      <c r="B16398" s="324"/>
      <c r="C16398" s="325"/>
      <c r="D16398" s="326"/>
      <c r="E16398" s="326"/>
      <c r="F16398" s="326"/>
      <c r="G16398" s="326"/>
      <c r="H16398" s="326"/>
      <c r="P16398" s="318"/>
      <c r="Q16398" s="318"/>
      <c r="R16398" s="318"/>
      <c r="S16398" s="318"/>
      <c r="T16398" s="318"/>
      <c r="U16398" s="318"/>
      <c r="V16398" s="318"/>
      <c r="W16398" s="318"/>
      <c r="X16398" s="318"/>
      <c r="Y16398" s="318"/>
      <c r="Z16398" s="318"/>
      <c r="AA16398" s="318"/>
      <c r="AB16398" s="318"/>
      <c r="AC16398" s="318"/>
      <c r="AD16398" s="318"/>
    </row>
    <row r="16399" spans="2:30" s="323" customFormat="1" ht="12" customHeight="1">
      <c r="B16399" s="324"/>
      <c r="C16399" s="325"/>
      <c r="D16399" s="326"/>
      <c r="E16399" s="326"/>
      <c r="F16399" s="326"/>
      <c r="G16399" s="326"/>
      <c r="H16399" s="326"/>
      <c r="P16399" s="318"/>
      <c r="Q16399" s="318"/>
      <c r="R16399" s="318"/>
      <c r="S16399" s="318"/>
      <c r="T16399" s="318"/>
      <c r="U16399" s="318"/>
      <c r="V16399" s="318"/>
      <c r="W16399" s="318"/>
      <c r="X16399" s="318"/>
      <c r="Y16399" s="318"/>
      <c r="Z16399" s="318"/>
      <c r="AA16399" s="318"/>
      <c r="AB16399" s="318"/>
      <c r="AC16399" s="318"/>
      <c r="AD16399" s="318"/>
    </row>
    <row r="16400" spans="2:30" s="323" customFormat="1" ht="12" customHeight="1">
      <c r="B16400" s="324"/>
      <c r="C16400" s="325"/>
      <c r="D16400" s="326"/>
      <c r="E16400" s="326"/>
      <c r="F16400" s="326"/>
      <c r="G16400" s="326"/>
      <c r="H16400" s="326"/>
      <c r="P16400" s="318"/>
      <c r="Q16400" s="318"/>
      <c r="R16400" s="318"/>
      <c r="S16400" s="318"/>
      <c r="T16400" s="318"/>
      <c r="U16400" s="318"/>
      <c r="V16400" s="318"/>
      <c r="W16400" s="318"/>
      <c r="X16400" s="318"/>
      <c r="Y16400" s="318"/>
      <c r="Z16400" s="318"/>
      <c r="AA16400" s="318"/>
      <c r="AB16400" s="318"/>
      <c r="AC16400" s="318"/>
      <c r="AD16400" s="318"/>
    </row>
    <row r="16401" spans="2:30" s="323" customFormat="1" ht="12" customHeight="1">
      <c r="B16401" s="324"/>
      <c r="C16401" s="325"/>
      <c r="D16401" s="326"/>
      <c r="E16401" s="326"/>
      <c r="F16401" s="326"/>
      <c r="G16401" s="326"/>
      <c r="H16401" s="326"/>
      <c r="P16401" s="318"/>
      <c r="Q16401" s="318"/>
      <c r="R16401" s="318"/>
      <c r="S16401" s="318"/>
      <c r="T16401" s="318"/>
      <c r="U16401" s="318"/>
      <c r="V16401" s="318"/>
      <c r="W16401" s="318"/>
      <c r="X16401" s="318"/>
      <c r="Y16401" s="318"/>
      <c r="Z16401" s="318"/>
      <c r="AA16401" s="318"/>
      <c r="AB16401" s="318"/>
      <c r="AC16401" s="318"/>
      <c r="AD16401" s="318"/>
    </row>
    <row r="16402" spans="2:30" s="323" customFormat="1" ht="12" customHeight="1">
      <c r="B16402" s="324"/>
      <c r="C16402" s="325"/>
      <c r="D16402" s="326"/>
      <c r="E16402" s="326"/>
      <c r="F16402" s="326"/>
      <c r="G16402" s="326"/>
      <c r="H16402" s="326"/>
      <c r="P16402" s="318"/>
      <c r="Q16402" s="318"/>
      <c r="R16402" s="318"/>
      <c r="S16402" s="318"/>
      <c r="T16402" s="318"/>
      <c r="U16402" s="318"/>
      <c r="V16402" s="318"/>
      <c r="W16402" s="318"/>
      <c r="X16402" s="318"/>
      <c r="Y16402" s="318"/>
      <c r="Z16402" s="318"/>
      <c r="AA16402" s="318"/>
      <c r="AB16402" s="318"/>
      <c r="AC16402" s="318"/>
      <c r="AD16402" s="318"/>
    </row>
    <row r="16403" spans="2:30" s="323" customFormat="1" ht="12" customHeight="1">
      <c r="B16403" s="324"/>
      <c r="C16403" s="325"/>
      <c r="D16403" s="326"/>
      <c r="E16403" s="326"/>
      <c r="F16403" s="326"/>
      <c r="G16403" s="326"/>
      <c r="H16403" s="326"/>
      <c r="P16403" s="318"/>
      <c r="Q16403" s="318"/>
      <c r="R16403" s="318"/>
      <c r="S16403" s="318"/>
      <c r="T16403" s="318"/>
      <c r="U16403" s="318"/>
      <c r="V16403" s="318"/>
      <c r="W16403" s="318"/>
      <c r="X16403" s="318"/>
      <c r="Y16403" s="318"/>
      <c r="Z16403" s="318"/>
      <c r="AA16403" s="318"/>
      <c r="AB16403" s="318"/>
      <c r="AC16403" s="318"/>
      <c r="AD16403" s="318"/>
    </row>
    <row r="16404" spans="2:30" s="323" customFormat="1" ht="12" customHeight="1">
      <c r="B16404" s="324"/>
      <c r="C16404" s="325"/>
      <c r="D16404" s="326"/>
      <c r="E16404" s="326"/>
      <c r="F16404" s="326"/>
      <c r="G16404" s="326"/>
      <c r="H16404" s="326"/>
      <c r="P16404" s="318"/>
      <c r="Q16404" s="318"/>
      <c r="R16404" s="318"/>
      <c r="S16404" s="318"/>
      <c r="T16404" s="318"/>
      <c r="U16404" s="318"/>
      <c r="V16404" s="318"/>
      <c r="W16404" s="318"/>
      <c r="X16404" s="318"/>
      <c r="Y16404" s="318"/>
      <c r="Z16404" s="318"/>
      <c r="AA16404" s="318"/>
      <c r="AB16404" s="318"/>
      <c r="AC16404" s="318"/>
      <c r="AD16404" s="318"/>
    </row>
    <row r="16405" spans="2:30" s="323" customFormat="1" ht="12" customHeight="1">
      <c r="B16405" s="324"/>
      <c r="C16405" s="325"/>
      <c r="D16405" s="326"/>
      <c r="E16405" s="326"/>
      <c r="F16405" s="326"/>
      <c r="G16405" s="326"/>
      <c r="H16405" s="326"/>
      <c r="P16405" s="318"/>
      <c r="Q16405" s="318"/>
      <c r="R16405" s="318"/>
      <c r="S16405" s="318"/>
      <c r="T16405" s="318"/>
      <c r="U16405" s="318"/>
      <c r="V16405" s="318"/>
      <c r="W16405" s="318"/>
      <c r="X16405" s="318"/>
      <c r="Y16405" s="318"/>
      <c r="Z16405" s="318"/>
      <c r="AA16405" s="318"/>
      <c r="AB16405" s="318"/>
      <c r="AC16405" s="318"/>
      <c r="AD16405" s="318"/>
    </row>
    <row r="16406" spans="2:30" s="323" customFormat="1" ht="12" customHeight="1">
      <c r="B16406" s="324"/>
      <c r="C16406" s="325"/>
      <c r="D16406" s="326"/>
      <c r="E16406" s="326"/>
      <c r="F16406" s="326"/>
      <c r="G16406" s="326"/>
      <c r="H16406" s="326"/>
      <c r="P16406" s="318"/>
      <c r="Q16406" s="318"/>
      <c r="R16406" s="318"/>
      <c r="S16406" s="318"/>
      <c r="T16406" s="318"/>
      <c r="U16406" s="318"/>
      <c r="V16406" s="318"/>
      <c r="W16406" s="318"/>
      <c r="X16406" s="318"/>
      <c r="Y16406" s="318"/>
      <c r="Z16406" s="318"/>
      <c r="AA16406" s="318"/>
      <c r="AB16406" s="318"/>
      <c r="AC16406" s="318"/>
      <c r="AD16406" s="318"/>
    </row>
    <row r="16407" spans="2:30" s="323" customFormat="1" ht="12" customHeight="1">
      <c r="B16407" s="324"/>
      <c r="C16407" s="325"/>
      <c r="D16407" s="326"/>
      <c r="E16407" s="326"/>
      <c r="F16407" s="326"/>
      <c r="G16407" s="326"/>
      <c r="H16407" s="326"/>
      <c r="P16407" s="318"/>
      <c r="Q16407" s="318"/>
      <c r="R16407" s="318"/>
      <c r="S16407" s="318"/>
      <c r="T16407" s="318"/>
      <c r="U16407" s="318"/>
      <c r="V16407" s="318"/>
      <c r="W16407" s="318"/>
      <c r="X16407" s="318"/>
      <c r="Y16407" s="318"/>
      <c r="Z16407" s="318"/>
      <c r="AA16407" s="318"/>
      <c r="AB16407" s="318"/>
      <c r="AC16407" s="318"/>
      <c r="AD16407" s="318"/>
    </row>
    <row r="16408" spans="2:30" s="323" customFormat="1" ht="12" customHeight="1">
      <c r="B16408" s="324"/>
      <c r="C16408" s="325"/>
      <c r="D16408" s="326"/>
      <c r="E16408" s="326"/>
      <c r="F16408" s="326"/>
      <c r="G16408" s="326"/>
      <c r="H16408" s="326"/>
      <c r="P16408" s="318"/>
      <c r="Q16408" s="318"/>
      <c r="R16408" s="318"/>
      <c r="S16408" s="318"/>
      <c r="T16408" s="318"/>
      <c r="U16408" s="318"/>
      <c r="V16408" s="318"/>
      <c r="W16408" s="318"/>
      <c r="X16408" s="318"/>
      <c r="Y16408" s="318"/>
      <c r="Z16408" s="318"/>
      <c r="AA16408" s="318"/>
      <c r="AB16408" s="318"/>
      <c r="AC16408" s="318"/>
      <c r="AD16408" s="318"/>
    </row>
    <row r="16409" spans="2:30" s="323" customFormat="1" ht="12" customHeight="1">
      <c r="B16409" s="324"/>
      <c r="C16409" s="325"/>
      <c r="D16409" s="326"/>
      <c r="E16409" s="326"/>
      <c r="F16409" s="326"/>
      <c r="G16409" s="326"/>
      <c r="H16409" s="326"/>
      <c r="P16409" s="318"/>
      <c r="Q16409" s="318"/>
      <c r="R16409" s="318"/>
      <c r="S16409" s="318"/>
      <c r="T16409" s="318"/>
      <c r="U16409" s="318"/>
      <c r="V16409" s="318"/>
      <c r="W16409" s="318"/>
      <c r="X16409" s="318"/>
      <c r="Y16409" s="318"/>
      <c r="Z16409" s="318"/>
      <c r="AA16409" s="318"/>
      <c r="AB16409" s="318"/>
      <c r="AC16409" s="318"/>
      <c r="AD16409" s="318"/>
    </row>
    <row r="16410" spans="2:30" s="323" customFormat="1" ht="12" customHeight="1">
      <c r="B16410" s="324"/>
      <c r="C16410" s="325"/>
      <c r="D16410" s="326"/>
      <c r="E16410" s="326"/>
      <c r="F16410" s="326"/>
      <c r="G16410" s="326"/>
      <c r="H16410" s="326"/>
      <c r="P16410" s="318"/>
      <c r="Q16410" s="318"/>
      <c r="R16410" s="318"/>
      <c r="S16410" s="318"/>
      <c r="T16410" s="318"/>
      <c r="U16410" s="318"/>
      <c r="V16410" s="318"/>
      <c r="W16410" s="318"/>
      <c r="X16410" s="318"/>
      <c r="Y16410" s="318"/>
      <c r="Z16410" s="318"/>
      <c r="AA16410" s="318"/>
      <c r="AB16410" s="318"/>
      <c r="AC16410" s="318"/>
      <c r="AD16410" s="318"/>
    </row>
    <row r="16411" spans="2:30" s="323" customFormat="1" ht="12" customHeight="1">
      <c r="B16411" s="324"/>
      <c r="C16411" s="325"/>
      <c r="D16411" s="326"/>
      <c r="E16411" s="326"/>
      <c r="F16411" s="326"/>
      <c r="G16411" s="326"/>
      <c r="H16411" s="326"/>
      <c r="P16411" s="318"/>
      <c r="Q16411" s="318"/>
      <c r="R16411" s="318"/>
      <c r="S16411" s="318"/>
      <c r="T16411" s="318"/>
      <c r="U16411" s="318"/>
      <c r="V16411" s="318"/>
      <c r="W16411" s="318"/>
      <c r="X16411" s="318"/>
      <c r="Y16411" s="318"/>
      <c r="Z16411" s="318"/>
      <c r="AA16411" s="318"/>
      <c r="AB16411" s="318"/>
      <c r="AC16411" s="318"/>
      <c r="AD16411" s="318"/>
    </row>
    <row r="16412" spans="2:30" s="323" customFormat="1" ht="12" customHeight="1">
      <c r="B16412" s="324"/>
      <c r="C16412" s="325"/>
      <c r="D16412" s="326"/>
      <c r="E16412" s="326"/>
      <c r="F16412" s="326"/>
      <c r="G16412" s="326"/>
      <c r="H16412" s="326"/>
      <c r="P16412" s="318"/>
      <c r="Q16412" s="318"/>
      <c r="R16412" s="318"/>
      <c r="S16412" s="318"/>
      <c r="T16412" s="318"/>
      <c r="U16412" s="318"/>
      <c r="V16412" s="318"/>
      <c r="W16412" s="318"/>
      <c r="X16412" s="318"/>
      <c r="Y16412" s="318"/>
      <c r="Z16412" s="318"/>
      <c r="AA16412" s="318"/>
      <c r="AB16412" s="318"/>
      <c r="AC16412" s="318"/>
      <c r="AD16412" s="318"/>
    </row>
    <row r="16413" spans="2:30" s="323" customFormat="1" ht="12" customHeight="1">
      <c r="B16413" s="324"/>
      <c r="C16413" s="325"/>
      <c r="D16413" s="326"/>
      <c r="E16413" s="326"/>
      <c r="F16413" s="326"/>
      <c r="G16413" s="326"/>
      <c r="H16413" s="326"/>
      <c r="P16413" s="318"/>
      <c r="Q16413" s="318"/>
      <c r="R16413" s="318"/>
      <c r="S16413" s="318"/>
      <c r="T16413" s="318"/>
      <c r="U16413" s="318"/>
      <c r="V16413" s="318"/>
      <c r="W16413" s="318"/>
      <c r="X16413" s="318"/>
      <c r="Y16413" s="318"/>
      <c r="Z16413" s="318"/>
      <c r="AA16413" s="318"/>
      <c r="AB16413" s="318"/>
      <c r="AC16413" s="318"/>
      <c r="AD16413" s="318"/>
    </row>
    <row r="16414" spans="2:30" s="323" customFormat="1" ht="12" customHeight="1">
      <c r="B16414" s="324"/>
      <c r="C16414" s="325"/>
      <c r="D16414" s="326"/>
      <c r="E16414" s="326"/>
      <c r="F16414" s="326"/>
      <c r="G16414" s="326"/>
      <c r="H16414" s="326"/>
      <c r="P16414" s="318"/>
      <c r="Q16414" s="318"/>
      <c r="R16414" s="318"/>
      <c r="S16414" s="318"/>
      <c r="T16414" s="318"/>
      <c r="U16414" s="318"/>
      <c r="V16414" s="318"/>
      <c r="W16414" s="318"/>
      <c r="X16414" s="318"/>
      <c r="Y16414" s="318"/>
      <c r="Z16414" s="318"/>
      <c r="AA16414" s="318"/>
      <c r="AB16414" s="318"/>
      <c r="AC16414" s="318"/>
      <c r="AD16414" s="318"/>
    </row>
    <row r="16415" spans="2:30" s="323" customFormat="1" ht="12" customHeight="1">
      <c r="B16415" s="324"/>
      <c r="C16415" s="325"/>
      <c r="D16415" s="326"/>
      <c r="E16415" s="326"/>
      <c r="F16415" s="326"/>
      <c r="G16415" s="326"/>
      <c r="H16415" s="326"/>
      <c r="P16415" s="318"/>
      <c r="Q16415" s="318"/>
      <c r="R16415" s="318"/>
      <c r="S16415" s="318"/>
      <c r="T16415" s="318"/>
      <c r="U16415" s="318"/>
      <c r="V16415" s="318"/>
      <c r="W16415" s="318"/>
      <c r="X16415" s="318"/>
      <c r="Y16415" s="318"/>
      <c r="Z16415" s="318"/>
      <c r="AA16415" s="318"/>
      <c r="AB16415" s="318"/>
      <c r="AC16415" s="318"/>
      <c r="AD16415" s="318"/>
    </row>
    <row r="16416" spans="2:30" s="323" customFormat="1" ht="12" customHeight="1">
      <c r="B16416" s="324"/>
      <c r="C16416" s="325"/>
      <c r="D16416" s="326"/>
      <c r="E16416" s="326"/>
      <c r="F16416" s="326"/>
      <c r="G16416" s="326"/>
      <c r="H16416" s="326"/>
      <c r="P16416" s="318"/>
      <c r="Q16416" s="318"/>
      <c r="R16416" s="318"/>
      <c r="S16416" s="318"/>
      <c r="T16416" s="318"/>
      <c r="U16416" s="318"/>
      <c r="V16416" s="318"/>
      <c r="W16416" s="318"/>
      <c r="X16416" s="318"/>
      <c r="Y16416" s="318"/>
      <c r="Z16416" s="318"/>
      <c r="AA16416" s="318"/>
      <c r="AB16416" s="318"/>
      <c r="AC16416" s="318"/>
      <c r="AD16416" s="318"/>
    </row>
    <row r="16417" spans="2:30" s="323" customFormat="1" ht="12" customHeight="1">
      <c r="B16417" s="324"/>
      <c r="C16417" s="325"/>
      <c r="D16417" s="326"/>
      <c r="E16417" s="326"/>
      <c r="F16417" s="326"/>
      <c r="G16417" s="326"/>
      <c r="H16417" s="326"/>
      <c r="P16417" s="318"/>
      <c r="Q16417" s="318"/>
      <c r="R16417" s="318"/>
      <c r="S16417" s="318"/>
      <c r="T16417" s="318"/>
      <c r="U16417" s="318"/>
      <c r="V16417" s="318"/>
      <c r="W16417" s="318"/>
      <c r="X16417" s="318"/>
      <c r="Y16417" s="318"/>
      <c r="Z16417" s="318"/>
      <c r="AA16417" s="318"/>
      <c r="AB16417" s="318"/>
      <c r="AC16417" s="318"/>
      <c r="AD16417" s="318"/>
    </row>
    <row r="16418" spans="2:30" s="323" customFormat="1" ht="12" customHeight="1">
      <c r="B16418" s="324"/>
      <c r="C16418" s="325"/>
      <c r="D16418" s="326"/>
      <c r="E16418" s="326"/>
      <c r="F16418" s="326"/>
      <c r="G16418" s="326"/>
      <c r="H16418" s="326"/>
      <c r="P16418" s="318"/>
      <c r="Q16418" s="318"/>
      <c r="R16418" s="318"/>
      <c r="S16418" s="318"/>
      <c r="T16418" s="318"/>
      <c r="U16418" s="318"/>
      <c r="V16418" s="318"/>
      <c r="W16418" s="318"/>
      <c r="X16418" s="318"/>
      <c r="Y16418" s="318"/>
      <c r="Z16418" s="318"/>
      <c r="AA16418" s="318"/>
      <c r="AB16418" s="318"/>
      <c r="AC16418" s="318"/>
      <c r="AD16418" s="318"/>
    </row>
    <row r="16419" spans="2:30" s="323" customFormat="1" ht="12" customHeight="1">
      <c r="B16419" s="324"/>
      <c r="C16419" s="325"/>
      <c r="D16419" s="326"/>
      <c r="E16419" s="326"/>
      <c r="F16419" s="326"/>
      <c r="G16419" s="326"/>
      <c r="H16419" s="326"/>
      <c r="P16419" s="318"/>
      <c r="Q16419" s="318"/>
      <c r="R16419" s="318"/>
      <c r="S16419" s="318"/>
      <c r="T16419" s="318"/>
      <c r="U16419" s="318"/>
      <c r="V16419" s="318"/>
      <c r="W16419" s="318"/>
      <c r="X16419" s="318"/>
      <c r="Y16419" s="318"/>
      <c r="Z16419" s="318"/>
      <c r="AA16419" s="318"/>
      <c r="AB16419" s="318"/>
      <c r="AC16419" s="318"/>
      <c r="AD16419" s="318"/>
    </row>
    <row r="16420" spans="2:30" s="323" customFormat="1" ht="12" customHeight="1">
      <c r="B16420" s="324"/>
      <c r="C16420" s="325"/>
      <c r="D16420" s="326"/>
      <c r="E16420" s="326"/>
      <c r="F16420" s="326"/>
      <c r="G16420" s="326"/>
      <c r="H16420" s="326"/>
      <c r="P16420" s="318"/>
      <c r="Q16420" s="318"/>
      <c r="R16420" s="318"/>
      <c r="S16420" s="318"/>
      <c r="T16420" s="318"/>
      <c r="U16420" s="318"/>
      <c r="V16420" s="318"/>
      <c r="W16420" s="318"/>
      <c r="X16420" s="318"/>
      <c r="Y16420" s="318"/>
      <c r="Z16420" s="318"/>
      <c r="AA16420" s="318"/>
      <c r="AB16420" s="318"/>
      <c r="AC16420" s="318"/>
      <c r="AD16420" s="318"/>
    </row>
    <row r="16421" spans="2:30" s="323" customFormat="1" ht="12" customHeight="1">
      <c r="B16421" s="324"/>
      <c r="C16421" s="325"/>
      <c r="D16421" s="326"/>
      <c r="E16421" s="326"/>
      <c r="F16421" s="326"/>
      <c r="G16421" s="326"/>
      <c r="H16421" s="326"/>
      <c r="P16421" s="318"/>
      <c r="Q16421" s="318"/>
      <c r="R16421" s="318"/>
      <c r="S16421" s="318"/>
      <c r="T16421" s="318"/>
      <c r="U16421" s="318"/>
      <c r="V16421" s="318"/>
      <c r="W16421" s="318"/>
      <c r="X16421" s="318"/>
      <c r="Y16421" s="318"/>
      <c r="Z16421" s="318"/>
      <c r="AA16421" s="318"/>
      <c r="AB16421" s="318"/>
      <c r="AC16421" s="318"/>
      <c r="AD16421" s="318"/>
    </row>
    <row r="16422" spans="2:30" s="323" customFormat="1" ht="12" customHeight="1">
      <c r="B16422" s="324"/>
      <c r="C16422" s="325"/>
      <c r="D16422" s="326"/>
      <c r="E16422" s="326"/>
      <c r="F16422" s="326"/>
      <c r="G16422" s="326"/>
      <c r="H16422" s="326"/>
      <c r="P16422" s="318"/>
      <c r="Q16422" s="318"/>
      <c r="R16422" s="318"/>
      <c r="S16422" s="318"/>
      <c r="T16422" s="318"/>
      <c r="U16422" s="318"/>
      <c r="V16422" s="318"/>
      <c r="W16422" s="318"/>
      <c r="X16422" s="318"/>
      <c r="Y16422" s="318"/>
      <c r="Z16422" s="318"/>
      <c r="AA16422" s="318"/>
      <c r="AB16422" s="318"/>
      <c r="AC16422" s="318"/>
      <c r="AD16422" s="318"/>
    </row>
    <row r="16423" spans="2:30" s="323" customFormat="1" ht="12" customHeight="1">
      <c r="B16423" s="324"/>
      <c r="C16423" s="325"/>
      <c r="D16423" s="326"/>
      <c r="E16423" s="326"/>
      <c r="F16423" s="326"/>
      <c r="G16423" s="326"/>
      <c r="H16423" s="326"/>
      <c r="P16423" s="318"/>
      <c r="Q16423" s="318"/>
      <c r="R16423" s="318"/>
      <c r="S16423" s="318"/>
      <c r="T16423" s="318"/>
      <c r="U16423" s="318"/>
      <c r="V16423" s="318"/>
      <c r="W16423" s="318"/>
      <c r="X16423" s="318"/>
      <c r="Y16423" s="318"/>
      <c r="Z16423" s="318"/>
      <c r="AA16423" s="318"/>
      <c r="AB16423" s="318"/>
      <c r="AC16423" s="318"/>
      <c r="AD16423" s="318"/>
    </row>
    <row r="16424" spans="2:30" s="323" customFormat="1" ht="12" customHeight="1">
      <c r="B16424" s="324"/>
      <c r="C16424" s="325"/>
      <c r="D16424" s="326"/>
      <c r="E16424" s="326"/>
      <c r="F16424" s="326"/>
      <c r="G16424" s="326"/>
      <c r="H16424" s="326"/>
      <c r="P16424" s="318"/>
      <c r="Q16424" s="318"/>
      <c r="R16424" s="318"/>
      <c r="S16424" s="318"/>
      <c r="T16424" s="318"/>
      <c r="U16424" s="318"/>
      <c r="V16424" s="318"/>
      <c r="W16424" s="318"/>
      <c r="X16424" s="318"/>
      <c r="Y16424" s="318"/>
      <c r="Z16424" s="318"/>
      <c r="AA16424" s="318"/>
      <c r="AB16424" s="318"/>
      <c r="AC16424" s="318"/>
      <c r="AD16424" s="318"/>
    </row>
    <row r="16425" spans="2:30" s="323" customFormat="1" ht="12" customHeight="1">
      <c r="B16425" s="324"/>
      <c r="C16425" s="325"/>
      <c r="D16425" s="326"/>
      <c r="E16425" s="326"/>
      <c r="F16425" s="326"/>
      <c r="G16425" s="326"/>
      <c r="H16425" s="326"/>
      <c r="P16425" s="318"/>
      <c r="Q16425" s="318"/>
      <c r="R16425" s="318"/>
      <c r="S16425" s="318"/>
      <c r="T16425" s="318"/>
      <c r="U16425" s="318"/>
      <c r="V16425" s="318"/>
      <c r="W16425" s="318"/>
      <c r="X16425" s="318"/>
      <c r="Y16425" s="318"/>
      <c r="Z16425" s="318"/>
      <c r="AA16425" s="318"/>
      <c r="AB16425" s="318"/>
      <c r="AC16425" s="318"/>
      <c r="AD16425" s="318"/>
    </row>
    <row r="16426" spans="2:30" s="323" customFormat="1" ht="12" customHeight="1">
      <c r="B16426" s="324"/>
      <c r="C16426" s="325"/>
      <c r="D16426" s="326"/>
      <c r="E16426" s="326"/>
      <c r="F16426" s="326"/>
      <c r="G16426" s="326"/>
      <c r="H16426" s="326"/>
      <c r="P16426" s="318"/>
      <c r="Q16426" s="318"/>
      <c r="R16426" s="318"/>
      <c r="S16426" s="318"/>
      <c r="T16426" s="318"/>
      <c r="U16426" s="318"/>
      <c r="V16426" s="318"/>
      <c r="W16426" s="318"/>
      <c r="X16426" s="318"/>
      <c r="Y16426" s="318"/>
      <c r="Z16426" s="318"/>
      <c r="AA16426" s="318"/>
      <c r="AB16426" s="318"/>
      <c r="AC16426" s="318"/>
      <c r="AD16426" s="318"/>
    </row>
    <row r="16427" spans="2:30" s="323" customFormat="1" ht="12" customHeight="1">
      <c r="B16427" s="324"/>
      <c r="C16427" s="325"/>
      <c r="D16427" s="326"/>
      <c r="E16427" s="326"/>
      <c r="F16427" s="326"/>
      <c r="G16427" s="326"/>
      <c r="H16427" s="326"/>
      <c r="P16427" s="318"/>
      <c r="Q16427" s="318"/>
      <c r="R16427" s="318"/>
      <c r="S16427" s="318"/>
      <c r="T16427" s="318"/>
      <c r="U16427" s="318"/>
      <c r="V16427" s="318"/>
      <c r="W16427" s="318"/>
      <c r="X16427" s="318"/>
      <c r="Y16427" s="318"/>
      <c r="Z16427" s="318"/>
      <c r="AA16427" s="318"/>
      <c r="AB16427" s="318"/>
      <c r="AC16427" s="318"/>
      <c r="AD16427" s="318"/>
    </row>
    <row r="16428" spans="2:30" s="323" customFormat="1" ht="12" customHeight="1">
      <c r="B16428" s="324"/>
      <c r="C16428" s="325"/>
      <c r="D16428" s="326"/>
      <c r="E16428" s="326"/>
      <c r="F16428" s="326"/>
      <c r="G16428" s="326"/>
      <c r="H16428" s="326"/>
      <c r="P16428" s="318"/>
      <c r="Q16428" s="318"/>
      <c r="R16428" s="318"/>
      <c r="S16428" s="318"/>
      <c r="T16428" s="318"/>
      <c r="U16428" s="318"/>
      <c r="V16428" s="318"/>
      <c r="W16428" s="318"/>
      <c r="X16428" s="318"/>
      <c r="Y16428" s="318"/>
      <c r="Z16428" s="318"/>
      <c r="AA16428" s="318"/>
      <c r="AB16428" s="318"/>
      <c r="AC16428" s="318"/>
      <c r="AD16428" s="318"/>
    </row>
    <row r="16429" spans="2:30" s="323" customFormat="1" ht="12" customHeight="1">
      <c r="B16429" s="324"/>
      <c r="C16429" s="325"/>
      <c r="D16429" s="326"/>
      <c r="E16429" s="326"/>
      <c r="F16429" s="326"/>
      <c r="G16429" s="326"/>
      <c r="H16429" s="326"/>
      <c r="P16429" s="318"/>
      <c r="Q16429" s="318"/>
      <c r="R16429" s="318"/>
      <c r="S16429" s="318"/>
      <c r="T16429" s="318"/>
      <c r="U16429" s="318"/>
      <c r="V16429" s="318"/>
      <c r="W16429" s="318"/>
      <c r="X16429" s="318"/>
      <c r="Y16429" s="318"/>
      <c r="Z16429" s="318"/>
      <c r="AA16429" s="318"/>
      <c r="AB16429" s="318"/>
      <c r="AC16429" s="318"/>
      <c r="AD16429" s="318"/>
    </row>
    <row r="16430" spans="2:30" s="323" customFormat="1" ht="12" customHeight="1">
      <c r="B16430" s="324"/>
      <c r="C16430" s="325"/>
      <c r="D16430" s="326"/>
      <c r="E16430" s="326"/>
      <c r="F16430" s="326"/>
      <c r="G16430" s="326"/>
      <c r="H16430" s="326"/>
      <c r="P16430" s="318"/>
      <c r="Q16430" s="318"/>
      <c r="R16430" s="318"/>
      <c r="S16430" s="318"/>
      <c r="T16430" s="318"/>
      <c r="U16430" s="318"/>
      <c r="V16430" s="318"/>
      <c r="W16430" s="318"/>
      <c r="X16430" s="318"/>
      <c r="Y16430" s="318"/>
      <c r="Z16430" s="318"/>
      <c r="AA16430" s="318"/>
      <c r="AB16430" s="318"/>
      <c r="AC16430" s="318"/>
      <c r="AD16430" s="318"/>
    </row>
    <row r="16431" spans="2:30" s="323" customFormat="1" ht="12" customHeight="1">
      <c r="B16431" s="324"/>
      <c r="C16431" s="325"/>
      <c r="D16431" s="326"/>
      <c r="E16431" s="326"/>
      <c r="F16431" s="326"/>
      <c r="G16431" s="326"/>
      <c r="H16431" s="326"/>
      <c r="P16431" s="318"/>
      <c r="Q16431" s="318"/>
      <c r="R16431" s="318"/>
      <c r="S16431" s="318"/>
      <c r="T16431" s="318"/>
      <c r="U16431" s="318"/>
      <c r="V16431" s="318"/>
      <c r="W16431" s="318"/>
      <c r="X16431" s="318"/>
      <c r="Y16431" s="318"/>
      <c r="Z16431" s="318"/>
      <c r="AA16431" s="318"/>
      <c r="AB16431" s="318"/>
      <c r="AC16431" s="318"/>
      <c r="AD16431" s="318"/>
    </row>
    <row r="16432" spans="2:30" s="323" customFormat="1" ht="12" customHeight="1">
      <c r="B16432" s="324"/>
      <c r="C16432" s="325"/>
      <c r="D16432" s="326"/>
      <c r="E16432" s="326"/>
      <c r="F16432" s="326"/>
      <c r="G16432" s="326"/>
      <c r="H16432" s="326"/>
      <c r="P16432" s="318"/>
      <c r="Q16432" s="318"/>
      <c r="R16432" s="318"/>
      <c r="S16432" s="318"/>
      <c r="T16432" s="318"/>
      <c r="U16432" s="318"/>
      <c r="V16432" s="318"/>
      <c r="W16432" s="318"/>
      <c r="X16432" s="318"/>
      <c r="Y16432" s="318"/>
      <c r="Z16432" s="318"/>
      <c r="AA16432" s="318"/>
      <c r="AB16432" s="318"/>
      <c r="AC16432" s="318"/>
      <c r="AD16432" s="318"/>
    </row>
    <row r="16433" spans="2:30" s="323" customFormat="1" ht="12" customHeight="1">
      <c r="B16433" s="324"/>
      <c r="C16433" s="325"/>
      <c r="D16433" s="326"/>
      <c r="E16433" s="326"/>
      <c r="F16433" s="326"/>
      <c r="G16433" s="326"/>
      <c r="H16433" s="326"/>
      <c r="P16433" s="318"/>
      <c r="Q16433" s="318"/>
      <c r="R16433" s="318"/>
      <c r="S16433" s="318"/>
      <c r="T16433" s="318"/>
      <c r="U16433" s="318"/>
      <c r="V16433" s="318"/>
      <c r="W16433" s="318"/>
      <c r="X16433" s="318"/>
      <c r="Y16433" s="318"/>
      <c r="Z16433" s="318"/>
      <c r="AA16433" s="318"/>
      <c r="AB16433" s="318"/>
      <c r="AC16433" s="318"/>
      <c r="AD16433" s="318"/>
    </row>
    <row r="16434" spans="2:30" s="323" customFormat="1" ht="12" customHeight="1">
      <c r="B16434" s="324"/>
      <c r="C16434" s="325"/>
      <c r="D16434" s="326"/>
      <c r="E16434" s="326"/>
      <c r="F16434" s="326"/>
      <c r="G16434" s="326"/>
      <c r="H16434" s="326"/>
      <c r="P16434" s="318"/>
      <c r="Q16434" s="318"/>
      <c r="R16434" s="318"/>
      <c r="S16434" s="318"/>
      <c r="T16434" s="318"/>
      <c r="U16434" s="318"/>
      <c r="V16434" s="318"/>
      <c r="W16434" s="318"/>
      <c r="X16434" s="318"/>
      <c r="Y16434" s="318"/>
      <c r="Z16434" s="318"/>
      <c r="AA16434" s="318"/>
      <c r="AB16434" s="318"/>
      <c r="AC16434" s="318"/>
      <c r="AD16434" s="318"/>
    </row>
    <row r="16435" spans="2:30" s="323" customFormat="1" ht="12" customHeight="1">
      <c r="B16435" s="324"/>
      <c r="C16435" s="325"/>
      <c r="D16435" s="326"/>
      <c r="E16435" s="326"/>
      <c r="F16435" s="326"/>
      <c r="G16435" s="326"/>
      <c r="H16435" s="326"/>
      <c r="P16435" s="318"/>
      <c r="Q16435" s="318"/>
      <c r="R16435" s="318"/>
      <c r="S16435" s="318"/>
      <c r="T16435" s="318"/>
      <c r="U16435" s="318"/>
      <c r="V16435" s="318"/>
      <c r="W16435" s="318"/>
      <c r="X16435" s="318"/>
      <c r="Y16435" s="318"/>
      <c r="Z16435" s="318"/>
      <c r="AA16435" s="318"/>
      <c r="AB16435" s="318"/>
      <c r="AC16435" s="318"/>
      <c r="AD16435" s="318"/>
    </row>
    <row r="16436" spans="2:30" s="323" customFormat="1" ht="12" customHeight="1">
      <c r="B16436" s="324"/>
      <c r="C16436" s="325"/>
      <c r="D16436" s="326"/>
      <c r="E16436" s="326"/>
      <c r="F16436" s="326"/>
      <c r="G16436" s="326"/>
      <c r="H16436" s="326"/>
      <c r="P16436" s="318"/>
      <c r="Q16436" s="318"/>
      <c r="R16436" s="318"/>
      <c r="S16436" s="318"/>
      <c r="T16436" s="318"/>
      <c r="U16436" s="318"/>
      <c r="V16436" s="318"/>
      <c r="W16436" s="318"/>
      <c r="X16436" s="318"/>
      <c r="Y16436" s="318"/>
      <c r="Z16436" s="318"/>
      <c r="AA16436" s="318"/>
      <c r="AB16436" s="318"/>
      <c r="AC16436" s="318"/>
      <c r="AD16436" s="318"/>
    </row>
    <row r="16437" spans="2:30" s="323" customFormat="1" ht="12" customHeight="1">
      <c r="B16437" s="324"/>
      <c r="C16437" s="325"/>
      <c r="D16437" s="326"/>
      <c r="E16437" s="326"/>
      <c r="F16437" s="326"/>
      <c r="G16437" s="326"/>
      <c r="H16437" s="326"/>
      <c r="P16437" s="318"/>
      <c r="Q16437" s="318"/>
      <c r="R16437" s="318"/>
      <c r="S16437" s="318"/>
      <c r="T16437" s="318"/>
      <c r="U16437" s="318"/>
      <c r="V16437" s="318"/>
      <c r="W16437" s="318"/>
      <c r="X16437" s="318"/>
      <c r="Y16437" s="318"/>
      <c r="Z16437" s="318"/>
      <c r="AA16437" s="318"/>
      <c r="AB16437" s="318"/>
      <c r="AC16437" s="318"/>
      <c r="AD16437" s="318"/>
    </row>
    <row r="16438" spans="2:30" s="323" customFormat="1" ht="12" customHeight="1">
      <c r="B16438" s="324"/>
      <c r="C16438" s="325"/>
      <c r="D16438" s="326"/>
      <c r="E16438" s="326"/>
      <c r="F16438" s="326"/>
      <c r="G16438" s="326"/>
      <c r="H16438" s="326"/>
      <c r="P16438" s="318"/>
      <c r="Q16438" s="318"/>
      <c r="R16438" s="318"/>
      <c r="S16438" s="318"/>
      <c r="T16438" s="318"/>
      <c r="U16438" s="318"/>
      <c r="V16438" s="318"/>
      <c r="W16438" s="318"/>
      <c r="X16438" s="318"/>
      <c r="Y16438" s="318"/>
      <c r="Z16438" s="318"/>
      <c r="AA16438" s="318"/>
      <c r="AB16438" s="318"/>
      <c r="AC16438" s="318"/>
      <c r="AD16438" s="318"/>
    </row>
    <row r="16439" spans="2:30" s="323" customFormat="1" ht="12" customHeight="1">
      <c r="B16439" s="324"/>
      <c r="C16439" s="325"/>
      <c r="D16439" s="326"/>
      <c r="E16439" s="326"/>
      <c r="F16439" s="326"/>
      <c r="G16439" s="326"/>
      <c r="H16439" s="326"/>
      <c r="P16439" s="318"/>
      <c r="Q16439" s="318"/>
      <c r="R16439" s="318"/>
      <c r="S16439" s="318"/>
      <c r="T16439" s="318"/>
      <c r="U16439" s="318"/>
      <c r="V16439" s="318"/>
      <c r="W16439" s="318"/>
      <c r="X16439" s="318"/>
      <c r="Y16439" s="318"/>
      <c r="Z16439" s="318"/>
      <c r="AA16439" s="318"/>
      <c r="AB16439" s="318"/>
      <c r="AC16439" s="318"/>
      <c r="AD16439" s="318"/>
    </row>
    <row r="16440" spans="2:30" s="323" customFormat="1" ht="12" customHeight="1">
      <c r="B16440" s="324"/>
      <c r="C16440" s="325"/>
      <c r="D16440" s="326"/>
      <c r="E16440" s="326"/>
      <c r="F16440" s="326"/>
      <c r="G16440" s="326"/>
      <c r="H16440" s="326"/>
      <c r="P16440" s="318"/>
      <c r="Q16440" s="318"/>
      <c r="R16440" s="318"/>
      <c r="S16440" s="318"/>
      <c r="T16440" s="318"/>
      <c r="U16440" s="318"/>
      <c r="V16440" s="318"/>
      <c r="W16440" s="318"/>
      <c r="X16440" s="318"/>
      <c r="Y16440" s="318"/>
      <c r="Z16440" s="318"/>
      <c r="AA16440" s="318"/>
      <c r="AB16440" s="318"/>
      <c r="AC16440" s="318"/>
      <c r="AD16440" s="318"/>
    </row>
    <row r="16441" spans="2:30" s="323" customFormat="1" ht="12" customHeight="1">
      <c r="B16441" s="324"/>
      <c r="C16441" s="325"/>
      <c r="D16441" s="326"/>
      <c r="E16441" s="326"/>
      <c r="F16441" s="326"/>
      <c r="G16441" s="326"/>
      <c r="H16441" s="326"/>
      <c r="P16441" s="318"/>
      <c r="Q16441" s="318"/>
      <c r="R16441" s="318"/>
      <c r="S16441" s="318"/>
      <c r="T16441" s="318"/>
      <c r="U16441" s="318"/>
      <c r="V16441" s="318"/>
      <c r="W16441" s="318"/>
      <c r="X16441" s="318"/>
      <c r="Y16441" s="318"/>
      <c r="Z16441" s="318"/>
      <c r="AA16441" s="318"/>
      <c r="AB16441" s="318"/>
      <c r="AC16441" s="318"/>
      <c r="AD16441" s="318"/>
    </row>
    <row r="16442" spans="2:30" s="323" customFormat="1" ht="12" customHeight="1">
      <c r="B16442" s="324"/>
      <c r="C16442" s="325"/>
      <c r="D16442" s="326"/>
      <c r="E16442" s="326"/>
      <c r="F16442" s="326"/>
      <c r="G16442" s="326"/>
      <c r="H16442" s="326"/>
      <c r="P16442" s="318"/>
      <c r="Q16442" s="318"/>
      <c r="R16442" s="318"/>
      <c r="S16442" s="318"/>
      <c r="T16442" s="318"/>
      <c r="U16442" s="318"/>
      <c r="V16442" s="318"/>
      <c r="W16442" s="318"/>
      <c r="X16442" s="318"/>
      <c r="Y16442" s="318"/>
      <c r="Z16442" s="318"/>
      <c r="AA16442" s="318"/>
      <c r="AB16442" s="318"/>
      <c r="AC16442" s="318"/>
      <c r="AD16442" s="318"/>
    </row>
    <row r="16443" spans="2:30" s="323" customFormat="1" ht="12" customHeight="1">
      <c r="B16443" s="324"/>
      <c r="C16443" s="325"/>
      <c r="D16443" s="326"/>
      <c r="E16443" s="326"/>
      <c r="F16443" s="326"/>
      <c r="G16443" s="326"/>
      <c r="H16443" s="326"/>
      <c r="P16443" s="318"/>
      <c r="Q16443" s="318"/>
      <c r="R16443" s="318"/>
      <c r="S16443" s="318"/>
      <c r="T16443" s="318"/>
      <c r="U16443" s="318"/>
      <c r="V16443" s="318"/>
      <c r="W16443" s="318"/>
      <c r="X16443" s="318"/>
      <c r="Y16443" s="318"/>
      <c r="Z16443" s="318"/>
      <c r="AA16443" s="318"/>
      <c r="AB16443" s="318"/>
      <c r="AC16443" s="318"/>
      <c r="AD16443" s="318"/>
    </row>
    <row r="16444" spans="2:30" s="323" customFormat="1" ht="12" customHeight="1">
      <c r="B16444" s="324"/>
      <c r="C16444" s="325"/>
      <c r="D16444" s="326"/>
      <c r="E16444" s="326"/>
      <c r="F16444" s="326"/>
      <c r="G16444" s="326"/>
      <c r="H16444" s="326"/>
      <c r="P16444" s="318"/>
      <c r="Q16444" s="318"/>
      <c r="R16444" s="318"/>
      <c r="S16444" s="318"/>
      <c r="T16444" s="318"/>
      <c r="U16444" s="318"/>
      <c r="V16444" s="318"/>
      <c r="W16444" s="318"/>
      <c r="X16444" s="318"/>
      <c r="Y16444" s="318"/>
      <c r="Z16444" s="318"/>
      <c r="AA16444" s="318"/>
      <c r="AB16444" s="318"/>
      <c r="AC16444" s="318"/>
      <c r="AD16444" s="318"/>
    </row>
    <row r="16445" spans="2:30" s="323" customFormat="1" ht="12" customHeight="1">
      <c r="B16445" s="324"/>
      <c r="C16445" s="325"/>
      <c r="D16445" s="326"/>
      <c r="E16445" s="326"/>
      <c r="F16445" s="326"/>
      <c r="G16445" s="326"/>
      <c r="H16445" s="326"/>
      <c r="P16445" s="318"/>
      <c r="Q16445" s="318"/>
      <c r="R16445" s="318"/>
      <c r="S16445" s="318"/>
      <c r="T16445" s="318"/>
      <c r="U16445" s="318"/>
      <c r="V16445" s="318"/>
      <c r="W16445" s="318"/>
      <c r="X16445" s="318"/>
      <c r="Y16445" s="318"/>
      <c r="Z16445" s="318"/>
      <c r="AA16445" s="318"/>
      <c r="AB16445" s="318"/>
      <c r="AC16445" s="318"/>
      <c r="AD16445" s="318"/>
    </row>
    <row r="16446" spans="2:30" s="323" customFormat="1" ht="12" customHeight="1">
      <c r="B16446" s="324"/>
      <c r="C16446" s="325"/>
      <c r="D16446" s="326"/>
      <c r="E16446" s="326"/>
      <c r="F16446" s="326"/>
      <c r="G16446" s="326"/>
      <c r="H16446" s="326"/>
      <c r="P16446" s="318"/>
      <c r="Q16446" s="318"/>
      <c r="R16446" s="318"/>
      <c r="S16446" s="318"/>
      <c r="T16446" s="318"/>
      <c r="U16446" s="318"/>
      <c r="V16446" s="318"/>
      <c r="W16446" s="318"/>
      <c r="X16446" s="318"/>
      <c r="Y16446" s="318"/>
      <c r="Z16446" s="318"/>
      <c r="AA16446" s="318"/>
      <c r="AB16446" s="318"/>
      <c r="AC16446" s="318"/>
      <c r="AD16446" s="318"/>
    </row>
    <row r="16447" spans="2:30" s="323" customFormat="1" ht="12" customHeight="1">
      <c r="B16447" s="324"/>
      <c r="C16447" s="325"/>
      <c r="D16447" s="326"/>
      <c r="E16447" s="326"/>
      <c r="F16447" s="326"/>
      <c r="G16447" s="326"/>
      <c r="H16447" s="326"/>
      <c r="P16447" s="318"/>
      <c r="Q16447" s="318"/>
      <c r="R16447" s="318"/>
      <c r="S16447" s="318"/>
      <c r="T16447" s="318"/>
      <c r="U16447" s="318"/>
      <c r="V16447" s="318"/>
      <c r="W16447" s="318"/>
      <c r="X16447" s="318"/>
      <c r="Y16447" s="318"/>
      <c r="Z16447" s="318"/>
      <c r="AA16447" s="318"/>
      <c r="AB16447" s="318"/>
      <c r="AC16447" s="318"/>
      <c r="AD16447" s="318"/>
    </row>
    <row r="16448" spans="2:30" s="323" customFormat="1" ht="12" customHeight="1">
      <c r="B16448" s="324"/>
      <c r="C16448" s="325"/>
      <c r="D16448" s="326"/>
      <c r="E16448" s="326"/>
      <c r="F16448" s="326"/>
      <c r="G16448" s="326"/>
      <c r="H16448" s="326"/>
      <c r="P16448" s="318"/>
      <c r="Q16448" s="318"/>
      <c r="R16448" s="318"/>
      <c r="S16448" s="318"/>
      <c r="T16448" s="318"/>
      <c r="U16448" s="318"/>
      <c r="V16448" s="318"/>
      <c r="W16448" s="318"/>
      <c r="X16448" s="318"/>
      <c r="Y16448" s="318"/>
      <c r="Z16448" s="318"/>
      <c r="AA16448" s="318"/>
      <c r="AB16448" s="318"/>
      <c r="AC16448" s="318"/>
      <c r="AD16448" s="318"/>
    </row>
    <row r="16449" spans="2:30" s="323" customFormat="1" ht="12" customHeight="1">
      <c r="B16449" s="324"/>
      <c r="C16449" s="325"/>
      <c r="D16449" s="326"/>
      <c r="E16449" s="326"/>
      <c r="F16449" s="326"/>
      <c r="G16449" s="326"/>
      <c r="H16449" s="326"/>
      <c r="P16449" s="318"/>
      <c r="Q16449" s="318"/>
      <c r="R16449" s="318"/>
      <c r="S16449" s="318"/>
      <c r="T16449" s="318"/>
      <c r="U16449" s="318"/>
      <c r="V16449" s="318"/>
      <c r="W16449" s="318"/>
      <c r="X16449" s="318"/>
      <c r="Y16449" s="318"/>
      <c r="Z16449" s="318"/>
      <c r="AA16449" s="318"/>
      <c r="AB16449" s="318"/>
      <c r="AC16449" s="318"/>
      <c r="AD16449" s="318"/>
    </row>
    <row r="16450" spans="2:30" s="323" customFormat="1" ht="12" customHeight="1">
      <c r="B16450" s="324"/>
      <c r="C16450" s="325"/>
      <c r="D16450" s="326"/>
      <c r="E16450" s="326"/>
      <c r="F16450" s="326"/>
      <c r="G16450" s="326"/>
      <c r="H16450" s="326"/>
      <c r="P16450" s="318"/>
      <c r="Q16450" s="318"/>
      <c r="R16450" s="318"/>
      <c r="S16450" s="318"/>
      <c r="T16450" s="318"/>
      <c r="U16450" s="318"/>
      <c r="V16450" s="318"/>
      <c r="W16450" s="318"/>
      <c r="X16450" s="318"/>
      <c r="Y16450" s="318"/>
      <c r="Z16450" s="318"/>
      <c r="AA16450" s="318"/>
      <c r="AB16450" s="318"/>
      <c r="AC16450" s="318"/>
      <c r="AD16450" s="318"/>
    </row>
    <row r="16451" spans="2:30" s="323" customFormat="1" ht="12" customHeight="1">
      <c r="B16451" s="324"/>
      <c r="C16451" s="325"/>
      <c r="D16451" s="326"/>
      <c r="E16451" s="326"/>
      <c r="F16451" s="326"/>
      <c r="G16451" s="326"/>
      <c r="H16451" s="326"/>
      <c r="P16451" s="318"/>
      <c r="Q16451" s="318"/>
      <c r="R16451" s="318"/>
      <c r="S16451" s="318"/>
      <c r="T16451" s="318"/>
      <c r="U16451" s="318"/>
      <c r="V16451" s="318"/>
      <c r="W16451" s="318"/>
      <c r="X16451" s="318"/>
      <c r="Y16451" s="318"/>
      <c r="Z16451" s="318"/>
      <c r="AA16451" s="318"/>
      <c r="AB16451" s="318"/>
      <c r="AC16451" s="318"/>
      <c r="AD16451" s="318"/>
    </row>
    <row r="16452" spans="2:30" s="323" customFormat="1" ht="12" customHeight="1">
      <c r="B16452" s="324"/>
      <c r="C16452" s="325"/>
      <c r="D16452" s="326"/>
      <c r="E16452" s="326"/>
      <c r="F16452" s="326"/>
      <c r="G16452" s="326"/>
      <c r="H16452" s="326"/>
      <c r="P16452" s="318"/>
      <c r="Q16452" s="318"/>
      <c r="R16452" s="318"/>
      <c r="S16452" s="318"/>
      <c r="T16452" s="318"/>
      <c r="U16452" s="318"/>
      <c r="V16452" s="318"/>
      <c r="W16452" s="318"/>
      <c r="X16452" s="318"/>
      <c r="Y16452" s="318"/>
      <c r="Z16452" s="318"/>
      <c r="AA16452" s="318"/>
      <c r="AB16452" s="318"/>
      <c r="AC16452" s="318"/>
      <c r="AD16452" s="318"/>
    </row>
    <row r="16453" spans="2:30" s="323" customFormat="1" ht="12" customHeight="1">
      <c r="B16453" s="324"/>
      <c r="C16453" s="325"/>
      <c r="D16453" s="326"/>
      <c r="E16453" s="326"/>
      <c r="F16453" s="326"/>
      <c r="G16453" s="326"/>
      <c r="H16453" s="326"/>
      <c r="P16453" s="318"/>
      <c r="Q16453" s="318"/>
      <c r="R16453" s="318"/>
      <c r="S16453" s="318"/>
      <c r="T16453" s="318"/>
      <c r="U16453" s="318"/>
      <c r="V16453" s="318"/>
      <c r="W16453" s="318"/>
      <c r="X16453" s="318"/>
      <c r="Y16453" s="318"/>
      <c r="Z16453" s="318"/>
      <c r="AA16453" s="318"/>
      <c r="AB16453" s="318"/>
      <c r="AC16453" s="318"/>
      <c r="AD16453" s="318"/>
    </row>
    <row r="16454" spans="2:30" s="323" customFormat="1" ht="12" customHeight="1">
      <c r="B16454" s="324"/>
      <c r="C16454" s="325"/>
      <c r="D16454" s="326"/>
      <c r="E16454" s="326"/>
      <c r="F16454" s="326"/>
      <c r="G16454" s="326"/>
      <c r="H16454" s="326"/>
      <c r="P16454" s="318"/>
      <c r="Q16454" s="318"/>
      <c r="R16454" s="318"/>
      <c r="S16454" s="318"/>
      <c r="T16454" s="318"/>
      <c r="U16454" s="318"/>
      <c r="V16454" s="318"/>
      <c r="W16454" s="318"/>
      <c r="X16454" s="318"/>
      <c r="Y16454" s="318"/>
      <c r="Z16454" s="318"/>
      <c r="AA16454" s="318"/>
      <c r="AB16454" s="318"/>
      <c r="AC16454" s="318"/>
      <c r="AD16454" s="318"/>
    </row>
    <row r="16455" spans="2:30" s="323" customFormat="1" ht="12" customHeight="1">
      <c r="B16455" s="324"/>
      <c r="C16455" s="325"/>
      <c r="D16455" s="326"/>
      <c r="E16455" s="326"/>
      <c r="F16455" s="326"/>
      <c r="G16455" s="326"/>
      <c r="H16455" s="326"/>
      <c r="P16455" s="318"/>
      <c r="Q16455" s="318"/>
      <c r="R16455" s="318"/>
      <c r="S16455" s="318"/>
      <c r="T16455" s="318"/>
      <c r="U16455" s="318"/>
      <c r="V16455" s="318"/>
      <c r="W16455" s="318"/>
      <c r="X16455" s="318"/>
      <c r="Y16455" s="318"/>
      <c r="Z16455" s="318"/>
      <c r="AA16455" s="318"/>
      <c r="AB16455" s="318"/>
      <c r="AC16455" s="318"/>
      <c r="AD16455" s="318"/>
    </row>
    <row r="16456" spans="2:30" s="323" customFormat="1" ht="12" customHeight="1">
      <c r="B16456" s="324"/>
      <c r="C16456" s="325"/>
      <c r="D16456" s="326"/>
      <c r="E16456" s="326"/>
      <c r="F16456" s="326"/>
      <c r="G16456" s="326"/>
      <c r="H16456" s="326"/>
      <c r="P16456" s="318"/>
      <c r="Q16456" s="318"/>
      <c r="R16456" s="318"/>
      <c r="S16456" s="318"/>
      <c r="T16456" s="318"/>
      <c r="U16456" s="318"/>
      <c r="V16456" s="318"/>
      <c r="W16456" s="318"/>
      <c r="X16456" s="318"/>
      <c r="Y16456" s="318"/>
      <c r="Z16456" s="318"/>
      <c r="AA16456" s="318"/>
      <c r="AB16456" s="318"/>
      <c r="AC16456" s="318"/>
      <c r="AD16456" s="318"/>
    </row>
    <row r="16457" spans="2:30" s="323" customFormat="1" ht="12" customHeight="1">
      <c r="B16457" s="324"/>
      <c r="C16457" s="325"/>
      <c r="D16457" s="326"/>
      <c r="E16457" s="326"/>
      <c r="F16457" s="326"/>
      <c r="G16457" s="326"/>
      <c r="H16457" s="326"/>
      <c r="P16457" s="318"/>
      <c r="Q16457" s="318"/>
      <c r="R16457" s="318"/>
      <c r="S16457" s="318"/>
      <c r="T16457" s="318"/>
      <c r="U16457" s="318"/>
      <c r="V16457" s="318"/>
      <c r="W16457" s="318"/>
      <c r="X16457" s="318"/>
      <c r="Y16457" s="318"/>
      <c r="Z16457" s="318"/>
      <c r="AA16457" s="318"/>
      <c r="AB16457" s="318"/>
      <c r="AC16457" s="318"/>
      <c r="AD16457" s="318"/>
    </row>
    <row r="16458" spans="2:30" s="323" customFormat="1" ht="12" customHeight="1">
      <c r="B16458" s="324"/>
      <c r="C16458" s="325"/>
      <c r="D16458" s="326"/>
      <c r="E16458" s="326"/>
      <c r="F16458" s="326"/>
      <c r="G16458" s="326"/>
      <c r="H16458" s="326"/>
      <c r="P16458" s="318"/>
      <c r="Q16458" s="318"/>
      <c r="R16458" s="318"/>
      <c r="S16458" s="318"/>
      <c r="T16458" s="318"/>
      <c r="U16458" s="318"/>
      <c r="V16458" s="318"/>
      <c r="W16458" s="318"/>
      <c r="X16458" s="318"/>
      <c r="Y16458" s="318"/>
      <c r="Z16458" s="318"/>
      <c r="AA16458" s="318"/>
      <c r="AB16458" s="318"/>
      <c r="AC16458" s="318"/>
      <c r="AD16458" s="318"/>
    </row>
    <row r="16459" spans="2:30" s="323" customFormat="1" ht="12" customHeight="1">
      <c r="B16459" s="324"/>
      <c r="C16459" s="325"/>
      <c r="D16459" s="326"/>
      <c r="E16459" s="326"/>
      <c r="F16459" s="326"/>
      <c r="G16459" s="326"/>
      <c r="H16459" s="326"/>
      <c r="P16459" s="318"/>
      <c r="Q16459" s="318"/>
      <c r="R16459" s="318"/>
      <c r="S16459" s="318"/>
      <c r="T16459" s="318"/>
      <c r="U16459" s="318"/>
      <c r="V16459" s="318"/>
      <c r="W16459" s="318"/>
      <c r="X16459" s="318"/>
      <c r="Y16459" s="318"/>
      <c r="Z16459" s="318"/>
      <c r="AA16459" s="318"/>
      <c r="AB16459" s="318"/>
      <c r="AC16459" s="318"/>
      <c r="AD16459" s="318"/>
    </row>
    <row r="16460" spans="2:30" s="323" customFormat="1" ht="12" customHeight="1">
      <c r="B16460" s="324"/>
      <c r="C16460" s="325"/>
      <c r="D16460" s="326"/>
      <c r="E16460" s="326"/>
      <c r="F16460" s="326"/>
      <c r="G16460" s="326"/>
      <c r="H16460" s="326"/>
      <c r="P16460" s="318"/>
      <c r="Q16460" s="318"/>
      <c r="R16460" s="318"/>
      <c r="S16460" s="318"/>
      <c r="T16460" s="318"/>
      <c r="U16460" s="318"/>
      <c r="V16460" s="318"/>
      <c r="W16460" s="318"/>
      <c r="X16460" s="318"/>
      <c r="Y16460" s="318"/>
      <c r="Z16460" s="318"/>
      <c r="AA16460" s="318"/>
      <c r="AB16460" s="318"/>
      <c r="AC16460" s="318"/>
      <c r="AD16460" s="318"/>
    </row>
    <row r="16461" spans="2:30" s="323" customFormat="1" ht="12" customHeight="1">
      <c r="B16461" s="324"/>
      <c r="C16461" s="325"/>
      <c r="D16461" s="326"/>
      <c r="E16461" s="326"/>
      <c r="F16461" s="326"/>
      <c r="G16461" s="326"/>
      <c r="H16461" s="326"/>
      <c r="P16461" s="318"/>
      <c r="Q16461" s="318"/>
      <c r="R16461" s="318"/>
      <c r="S16461" s="318"/>
      <c r="T16461" s="318"/>
      <c r="U16461" s="318"/>
      <c r="V16461" s="318"/>
      <c r="W16461" s="318"/>
      <c r="X16461" s="318"/>
      <c r="Y16461" s="318"/>
      <c r="Z16461" s="318"/>
      <c r="AA16461" s="318"/>
      <c r="AB16461" s="318"/>
      <c r="AC16461" s="318"/>
      <c r="AD16461" s="318"/>
    </row>
    <row r="16462" spans="2:30" s="323" customFormat="1" ht="12" customHeight="1">
      <c r="B16462" s="324"/>
      <c r="C16462" s="325"/>
      <c r="D16462" s="326"/>
      <c r="E16462" s="326"/>
      <c r="F16462" s="326"/>
      <c r="G16462" s="326"/>
      <c r="H16462" s="326"/>
      <c r="P16462" s="318"/>
      <c r="Q16462" s="318"/>
      <c r="R16462" s="318"/>
      <c r="S16462" s="318"/>
      <c r="T16462" s="318"/>
      <c r="U16462" s="318"/>
      <c r="V16462" s="318"/>
      <c r="W16462" s="318"/>
      <c r="X16462" s="318"/>
      <c r="Y16462" s="318"/>
      <c r="Z16462" s="318"/>
      <c r="AA16462" s="318"/>
      <c r="AB16462" s="318"/>
      <c r="AC16462" s="318"/>
      <c r="AD16462" s="318"/>
    </row>
    <row r="16463" spans="2:30" s="323" customFormat="1" ht="12" customHeight="1">
      <c r="B16463" s="324"/>
      <c r="C16463" s="325"/>
      <c r="D16463" s="326"/>
      <c r="E16463" s="326"/>
      <c r="F16463" s="326"/>
      <c r="G16463" s="326"/>
      <c r="H16463" s="326"/>
      <c r="P16463" s="318"/>
      <c r="Q16463" s="318"/>
      <c r="R16463" s="318"/>
      <c r="S16463" s="318"/>
      <c r="T16463" s="318"/>
      <c r="U16463" s="318"/>
      <c r="V16463" s="318"/>
      <c r="W16463" s="318"/>
      <c r="X16463" s="318"/>
      <c r="Y16463" s="318"/>
      <c r="Z16463" s="318"/>
      <c r="AA16463" s="318"/>
      <c r="AB16463" s="318"/>
      <c r="AC16463" s="318"/>
      <c r="AD16463" s="318"/>
    </row>
    <row r="16464" spans="2:30" s="323" customFormat="1" ht="12" customHeight="1">
      <c r="B16464" s="324"/>
      <c r="C16464" s="325"/>
      <c r="D16464" s="326"/>
      <c r="E16464" s="326"/>
      <c r="F16464" s="326"/>
      <c r="G16464" s="326"/>
      <c r="H16464" s="326"/>
      <c r="P16464" s="318"/>
      <c r="Q16464" s="318"/>
      <c r="R16464" s="318"/>
      <c r="S16464" s="318"/>
      <c r="T16464" s="318"/>
      <c r="U16464" s="318"/>
      <c r="V16464" s="318"/>
      <c r="W16464" s="318"/>
      <c r="X16464" s="318"/>
      <c r="Y16464" s="318"/>
      <c r="Z16464" s="318"/>
      <c r="AA16464" s="318"/>
      <c r="AB16464" s="318"/>
      <c r="AC16464" s="318"/>
      <c r="AD16464" s="318"/>
    </row>
    <row r="16465" spans="2:30" s="323" customFormat="1" ht="12" customHeight="1">
      <c r="B16465" s="324"/>
      <c r="C16465" s="325"/>
      <c r="D16465" s="326"/>
      <c r="E16465" s="326"/>
      <c r="F16465" s="326"/>
      <c r="G16465" s="326"/>
      <c r="H16465" s="326"/>
      <c r="P16465" s="318"/>
      <c r="Q16465" s="318"/>
      <c r="R16465" s="318"/>
      <c r="S16465" s="318"/>
      <c r="T16465" s="318"/>
      <c r="U16465" s="318"/>
      <c r="V16465" s="318"/>
      <c r="W16465" s="318"/>
      <c r="X16465" s="318"/>
      <c r="Y16465" s="318"/>
      <c r="Z16465" s="318"/>
      <c r="AA16465" s="318"/>
      <c r="AB16465" s="318"/>
      <c r="AC16465" s="318"/>
      <c r="AD16465" s="318"/>
    </row>
    <row r="16466" spans="2:30" s="323" customFormat="1" ht="12" customHeight="1">
      <c r="B16466" s="324"/>
      <c r="C16466" s="325"/>
      <c r="D16466" s="326"/>
      <c r="E16466" s="326"/>
      <c r="F16466" s="326"/>
      <c r="G16466" s="326"/>
      <c r="H16466" s="326"/>
      <c r="P16466" s="318"/>
      <c r="Q16466" s="318"/>
      <c r="R16466" s="318"/>
      <c r="S16466" s="318"/>
      <c r="T16466" s="318"/>
      <c r="U16466" s="318"/>
      <c r="V16466" s="318"/>
      <c r="W16466" s="318"/>
      <c r="X16466" s="318"/>
      <c r="Y16466" s="318"/>
      <c r="Z16466" s="318"/>
      <c r="AA16466" s="318"/>
      <c r="AB16466" s="318"/>
      <c r="AC16466" s="318"/>
      <c r="AD16466" s="318"/>
    </row>
    <row r="16467" spans="2:30" s="323" customFormat="1" ht="12" customHeight="1">
      <c r="B16467" s="324"/>
      <c r="C16467" s="325"/>
      <c r="D16467" s="326"/>
      <c r="E16467" s="326"/>
      <c r="F16467" s="326"/>
      <c r="G16467" s="326"/>
      <c r="H16467" s="326"/>
      <c r="P16467" s="318"/>
      <c r="Q16467" s="318"/>
      <c r="R16467" s="318"/>
      <c r="S16467" s="318"/>
      <c r="T16467" s="318"/>
      <c r="U16467" s="318"/>
      <c r="V16467" s="318"/>
      <c r="W16467" s="318"/>
      <c r="X16467" s="318"/>
      <c r="Y16467" s="318"/>
      <c r="Z16467" s="318"/>
      <c r="AA16467" s="318"/>
      <c r="AB16467" s="318"/>
      <c r="AC16467" s="318"/>
      <c r="AD16467" s="318"/>
    </row>
    <row r="16468" spans="2:30" s="323" customFormat="1" ht="12" customHeight="1">
      <c r="B16468" s="324"/>
      <c r="C16468" s="325"/>
      <c r="D16468" s="326"/>
      <c r="E16468" s="326"/>
      <c r="F16468" s="326"/>
      <c r="G16468" s="326"/>
      <c r="H16468" s="326"/>
      <c r="P16468" s="318"/>
      <c r="Q16468" s="318"/>
      <c r="R16468" s="318"/>
      <c r="S16468" s="318"/>
      <c r="T16468" s="318"/>
      <c r="U16468" s="318"/>
      <c r="V16468" s="318"/>
      <c r="W16468" s="318"/>
      <c r="X16468" s="318"/>
      <c r="Y16468" s="318"/>
      <c r="Z16468" s="318"/>
      <c r="AA16468" s="318"/>
      <c r="AB16468" s="318"/>
      <c r="AC16468" s="318"/>
      <c r="AD16468" s="318"/>
    </row>
    <row r="16469" spans="2:30" s="323" customFormat="1" ht="12" customHeight="1">
      <c r="B16469" s="324"/>
      <c r="C16469" s="325"/>
      <c r="D16469" s="326"/>
      <c r="E16469" s="326"/>
      <c r="F16469" s="326"/>
      <c r="G16469" s="326"/>
      <c r="H16469" s="326"/>
      <c r="P16469" s="318"/>
      <c r="Q16469" s="318"/>
      <c r="R16469" s="318"/>
      <c r="S16469" s="318"/>
      <c r="T16469" s="318"/>
      <c r="U16469" s="318"/>
      <c r="V16469" s="318"/>
      <c r="W16469" s="318"/>
      <c r="X16469" s="318"/>
      <c r="Y16469" s="318"/>
      <c r="Z16469" s="318"/>
      <c r="AA16469" s="318"/>
      <c r="AB16469" s="318"/>
      <c r="AC16469" s="318"/>
      <c r="AD16469" s="318"/>
    </row>
    <row r="16470" spans="2:30" s="323" customFormat="1" ht="12" customHeight="1">
      <c r="B16470" s="324"/>
      <c r="C16470" s="325"/>
      <c r="D16470" s="326"/>
      <c r="E16470" s="326"/>
      <c r="F16470" s="326"/>
      <c r="G16470" s="326"/>
      <c r="H16470" s="326"/>
      <c r="P16470" s="318"/>
      <c r="Q16470" s="318"/>
      <c r="R16470" s="318"/>
      <c r="S16470" s="318"/>
      <c r="T16470" s="318"/>
      <c r="U16470" s="318"/>
      <c r="V16470" s="318"/>
      <c r="W16470" s="318"/>
      <c r="X16470" s="318"/>
      <c r="Y16470" s="318"/>
      <c r="Z16470" s="318"/>
      <c r="AA16470" s="318"/>
      <c r="AB16470" s="318"/>
      <c r="AC16470" s="318"/>
      <c r="AD16470" s="318"/>
    </row>
    <row r="16471" spans="2:30" s="323" customFormat="1" ht="12" customHeight="1">
      <c r="B16471" s="324"/>
      <c r="C16471" s="325"/>
      <c r="D16471" s="326"/>
      <c r="E16471" s="326"/>
      <c r="F16471" s="326"/>
      <c r="G16471" s="326"/>
      <c r="H16471" s="326"/>
      <c r="P16471" s="318"/>
      <c r="Q16471" s="318"/>
      <c r="R16471" s="318"/>
      <c r="S16471" s="318"/>
      <c r="T16471" s="318"/>
      <c r="U16471" s="318"/>
      <c r="V16471" s="318"/>
      <c r="W16471" s="318"/>
      <c r="X16471" s="318"/>
      <c r="Y16471" s="318"/>
      <c r="Z16471" s="318"/>
      <c r="AA16471" s="318"/>
      <c r="AB16471" s="318"/>
      <c r="AC16471" s="318"/>
      <c r="AD16471" s="318"/>
    </row>
    <row r="16472" spans="2:30" s="323" customFormat="1" ht="12" customHeight="1">
      <c r="B16472" s="324"/>
      <c r="C16472" s="325"/>
      <c r="D16472" s="326"/>
      <c r="E16472" s="326"/>
      <c r="F16472" s="326"/>
      <c r="G16472" s="326"/>
      <c r="H16472" s="326"/>
      <c r="P16472" s="318"/>
      <c r="Q16472" s="318"/>
      <c r="R16472" s="318"/>
      <c r="S16472" s="318"/>
      <c r="T16472" s="318"/>
      <c r="U16472" s="318"/>
      <c r="V16472" s="318"/>
      <c r="W16472" s="318"/>
      <c r="X16472" s="318"/>
      <c r="Y16472" s="318"/>
      <c r="Z16472" s="318"/>
      <c r="AA16472" s="318"/>
      <c r="AB16472" s="318"/>
      <c r="AC16472" s="318"/>
      <c r="AD16472" s="318"/>
    </row>
    <row r="16473" spans="2:30" s="323" customFormat="1" ht="12" customHeight="1">
      <c r="B16473" s="324"/>
      <c r="C16473" s="325"/>
      <c r="D16473" s="326"/>
      <c r="E16473" s="326"/>
      <c r="F16473" s="326"/>
      <c r="G16473" s="326"/>
      <c r="H16473" s="326"/>
      <c r="P16473" s="318"/>
      <c r="Q16473" s="318"/>
      <c r="R16473" s="318"/>
      <c r="S16473" s="318"/>
      <c r="T16473" s="318"/>
      <c r="U16473" s="318"/>
      <c r="V16473" s="318"/>
      <c r="W16473" s="318"/>
      <c r="X16473" s="318"/>
      <c r="Y16473" s="318"/>
      <c r="Z16473" s="318"/>
      <c r="AA16473" s="318"/>
      <c r="AB16473" s="318"/>
      <c r="AC16473" s="318"/>
      <c r="AD16473" s="318"/>
    </row>
    <row r="16474" spans="2:30" s="323" customFormat="1" ht="12" customHeight="1">
      <c r="B16474" s="324"/>
      <c r="C16474" s="325"/>
      <c r="D16474" s="326"/>
      <c r="E16474" s="326"/>
      <c r="F16474" s="326"/>
      <c r="G16474" s="326"/>
      <c r="H16474" s="326"/>
      <c r="P16474" s="318"/>
      <c r="Q16474" s="318"/>
      <c r="R16474" s="318"/>
      <c r="S16474" s="318"/>
      <c r="T16474" s="318"/>
      <c r="U16474" s="318"/>
      <c r="V16474" s="318"/>
      <c r="W16474" s="318"/>
      <c r="X16474" s="318"/>
      <c r="Y16474" s="318"/>
      <c r="Z16474" s="318"/>
      <c r="AA16474" s="318"/>
      <c r="AB16474" s="318"/>
      <c r="AC16474" s="318"/>
      <c r="AD16474" s="318"/>
    </row>
    <row r="16475" spans="2:30" s="323" customFormat="1" ht="12" customHeight="1">
      <c r="B16475" s="324"/>
      <c r="C16475" s="325"/>
      <c r="D16475" s="326"/>
      <c r="E16475" s="326"/>
      <c r="F16475" s="326"/>
      <c r="G16475" s="326"/>
      <c r="H16475" s="326"/>
      <c r="P16475" s="318"/>
      <c r="Q16475" s="318"/>
      <c r="R16475" s="318"/>
      <c r="S16475" s="318"/>
      <c r="T16475" s="318"/>
      <c r="U16475" s="318"/>
      <c r="V16475" s="318"/>
      <c r="W16475" s="318"/>
      <c r="X16475" s="318"/>
      <c r="Y16475" s="318"/>
      <c r="Z16475" s="318"/>
      <c r="AA16475" s="318"/>
      <c r="AB16475" s="318"/>
      <c r="AC16475" s="318"/>
      <c r="AD16475" s="318"/>
    </row>
    <row r="16476" spans="2:30" s="323" customFormat="1" ht="12" customHeight="1">
      <c r="B16476" s="324"/>
      <c r="C16476" s="325"/>
      <c r="D16476" s="326"/>
      <c r="E16476" s="326"/>
      <c r="F16476" s="326"/>
      <c r="G16476" s="326"/>
      <c r="H16476" s="326"/>
      <c r="P16476" s="318"/>
      <c r="Q16476" s="318"/>
      <c r="R16476" s="318"/>
      <c r="S16476" s="318"/>
      <c r="T16476" s="318"/>
      <c r="U16476" s="318"/>
      <c r="V16476" s="318"/>
      <c r="W16476" s="318"/>
      <c r="X16476" s="318"/>
      <c r="Y16476" s="318"/>
      <c r="Z16476" s="318"/>
      <c r="AA16476" s="318"/>
      <c r="AB16476" s="318"/>
      <c r="AC16476" s="318"/>
      <c r="AD16476" s="318"/>
    </row>
    <row r="16477" spans="2:30" s="323" customFormat="1" ht="12" customHeight="1">
      <c r="B16477" s="324"/>
      <c r="C16477" s="325"/>
      <c r="D16477" s="326"/>
      <c r="E16477" s="326"/>
      <c r="F16477" s="326"/>
      <c r="G16477" s="326"/>
      <c r="H16477" s="326"/>
      <c r="P16477" s="318"/>
      <c r="Q16477" s="318"/>
      <c r="R16477" s="318"/>
      <c r="S16477" s="318"/>
      <c r="T16477" s="318"/>
      <c r="U16477" s="318"/>
      <c r="V16477" s="318"/>
      <c r="W16477" s="318"/>
      <c r="X16477" s="318"/>
      <c r="Y16477" s="318"/>
      <c r="Z16477" s="318"/>
      <c r="AA16477" s="318"/>
      <c r="AB16477" s="318"/>
      <c r="AC16477" s="318"/>
      <c r="AD16477" s="318"/>
    </row>
    <row r="16478" spans="2:30" s="323" customFormat="1" ht="12" customHeight="1">
      <c r="B16478" s="324"/>
      <c r="C16478" s="325"/>
      <c r="D16478" s="326"/>
      <c r="E16478" s="326"/>
      <c r="F16478" s="326"/>
      <c r="G16478" s="326"/>
      <c r="H16478" s="326"/>
      <c r="P16478" s="318"/>
      <c r="Q16478" s="318"/>
      <c r="R16478" s="318"/>
      <c r="S16478" s="318"/>
      <c r="T16478" s="318"/>
      <c r="U16478" s="318"/>
      <c r="V16478" s="318"/>
      <c r="W16478" s="318"/>
      <c r="X16478" s="318"/>
      <c r="Y16478" s="318"/>
      <c r="Z16478" s="318"/>
      <c r="AA16478" s="318"/>
      <c r="AB16478" s="318"/>
      <c r="AC16478" s="318"/>
      <c r="AD16478" s="318"/>
    </row>
    <row r="16479" spans="2:30" s="323" customFormat="1" ht="12" customHeight="1">
      <c r="B16479" s="324"/>
      <c r="C16479" s="325"/>
      <c r="D16479" s="326"/>
      <c r="E16479" s="326"/>
      <c r="F16479" s="326"/>
      <c r="G16479" s="326"/>
      <c r="H16479" s="326"/>
      <c r="P16479" s="318"/>
      <c r="Q16479" s="318"/>
      <c r="R16479" s="318"/>
      <c r="S16479" s="318"/>
      <c r="T16479" s="318"/>
      <c r="U16479" s="318"/>
      <c r="V16479" s="318"/>
      <c r="W16479" s="318"/>
      <c r="X16479" s="318"/>
      <c r="Y16479" s="318"/>
      <c r="Z16479" s="318"/>
      <c r="AA16479" s="318"/>
      <c r="AB16479" s="318"/>
      <c r="AC16479" s="318"/>
      <c r="AD16479" s="318"/>
    </row>
    <row r="16480" spans="2:30" s="323" customFormat="1" ht="12" customHeight="1">
      <c r="B16480" s="324"/>
      <c r="C16480" s="325"/>
      <c r="D16480" s="326"/>
      <c r="E16480" s="326"/>
      <c r="F16480" s="326"/>
      <c r="G16480" s="326"/>
      <c r="H16480" s="326"/>
      <c r="P16480" s="318"/>
      <c r="Q16480" s="318"/>
      <c r="R16480" s="318"/>
      <c r="S16480" s="318"/>
      <c r="T16480" s="318"/>
      <c r="U16480" s="318"/>
      <c r="V16480" s="318"/>
      <c r="W16480" s="318"/>
      <c r="X16480" s="318"/>
      <c r="Y16480" s="318"/>
      <c r="Z16480" s="318"/>
      <c r="AA16480" s="318"/>
      <c r="AB16480" s="318"/>
      <c r="AC16480" s="318"/>
      <c r="AD16480" s="318"/>
    </row>
    <row r="16481" spans="2:30" s="323" customFormat="1" ht="12" customHeight="1">
      <c r="B16481" s="324"/>
      <c r="C16481" s="325"/>
      <c r="D16481" s="326"/>
      <c r="E16481" s="326"/>
      <c r="F16481" s="326"/>
      <c r="G16481" s="326"/>
      <c r="H16481" s="326"/>
      <c r="P16481" s="318"/>
      <c r="Q16481" s="318"/>
      <c r="R16481" s="318"/>
      <c r="S16481" s="318"/>
      <c r="T16481" s="318"/>
      <c r="U16481" s="318"/>
      <c r="V16481" s="318"/>
      <c r="W16481" s="318"/>
      <c r="X16481" s="318"/>
      <c r="Y16481" s="318"/>
      <c r="Z16481" s="318"/>
      <c r="AA16481" s="318"/>
      <c r="AB16481" s="318"/>
      <c r="AC16481" s="318"/>
      <c r="AD16481" s="318"/>
    </row>
    <row r="16482" spans="2:30" s="323" customFormat="1" ht="12" customHeight="1">
      <c r="B16482" s="324"/>
      <c r="C16482" s="325"/>
      <c r="D16482" s="326"/>
      <c r="E16482" s="326"/>
      <c r="F16482" s="326"/>
      <c r="G16482" s="326"/>
      <c r="H16482" s="326"/>
      <c r="P16482" s="318"/>
      <c r="Q16482" s="318"/>
      <c r="R16482" s="318"/>
      <c r="S16482" s="318"/>
      <c r="T16482" s="318"/>
      <c r="U16482" s="318"/>
      <c r="V16482" s="318"/>
      <c r="W16482" s="318"/>
      <c r="X16482" s="318"/>
      <c r="Y16482" s="318"/>
      <c r="Z16482" s="318"/>
      <c r="AA16482" s="318"/>
      <c r="AB16482" s="318"/>
      <c r="AC16482" s="318"/>
      <c r="AD16482" s="318"/>
    </row>
    <row r="16483" spans="2:30" s="323" customFormat="1" ht="12" customHeight="1">
      <c r="B16483" s="324"/>
      <c r="C16483" s="325"/>
      <c r="D16483" s="326"/>
      <c r="E16483" s="326"/>
      <c r="F16483" s="326"/>
      <c r="G16483" s="326"/>
      <c r="H16483" s="326"/>
      <c r="P16483" s="318"/>
      <c r="Q16483" s="318"/>
      <c r="R16483" s="318"/>
      <c r="S16483" s="318"/>
      <c r="T16483" s="318"/>
      <c r="U16483" s="318"/>
      <c r="V16483" s="318"/>
      <c r="W16483" s="318"/>
      <c r="X16483" s="318"/>
      <c r="Y16483" s="318"/>
      <c r="Z16483" s="318"/>
      <c r="AA16483" s="318"/>
      <c r="AB16483" s="318"/>
      <c r="AC16483" s="318"/>
      <c r="AD16483" s="318"/>
    </row>
    <row r="16484" spans="2:30" s="323" customFormat="1" ht="12" customHeight="1">
      <c r="B16484" s="324"/>
      <c r="C16484" s="325"/>
      <c r="D16484" s="326"/>
      <c r="E16484" s="326"/>
      <c r="F16484" s="326"/>
      <c r="G16484" s="326"/>
      <c r="H16484" s="326"/>
      <c r="P16484" s="318"/>
      <c r="Q16484" s="318"/>
      <c r="R16484" s="318"/>
      <c r="S16484" s="318"/>
      <c r="T16484" s="318"/>
      <c r="U16484" s="318"/>
      <c r="V16484" s="318"/>
      <c r="W16484" s="318"/>
      <c r="X16484" s="318"/>
      <c r="Y16484" s="318"/>
      <c r="Z16484" s="318"/>
      <c r="AA16484" s="318"/>
      <c r="AB16484" s="318"/>
      <c r="AC16484" s="318"/>
      <c r="AD16484" s="318"/>
    </row>
    <row r="16485" spans="2:30" s="323" customFormat="1" ht="12" customHeight="1">
      <c r="B16485" s="324"/>
      <c r="C16485" s="325"/>
      <c r="D16485" s="326"/>
      <c r="E16485" s="326"/>
      <c r="F16485" s="326"/>
      <c r="G16485" s="326"/>
      <c r="H16485" s="326"/>
      <c r="P16485" s="318"/>
      <c r="Q16485" s="318"/>
      <c r="R16485" s="318"/>
      <c r="S16485" s="318"/>
      <c r="T16485" s="318"/>
      <c r="U16485" s="318"/>
      <c r="V16485" s="318"/>
      <c r="W16485" s="318"/>
      <c r="X16485" s="318"/>
      <c r="Y16485" s="318"/>
      <c r="Z16485" s="318"/>
      <c r="AA16485" s="318"/>
      <c r="AB16485" s="318"/>
      <c r="AC16485" s="318"/>
      <c r="AD16485" s="318"/>
    </row>
    <row r="16486" spans="2:30" s="323" customFormat="1" ht="12" customHeight="1">
      <c r="B16486" s="324"/>
      <c r="C16486" s="325"/>
      <c r="D16486" s="326"/>
      <c r="E16486" s="326"/>
      <c r="F16486" s="326"/>
      <c r="G16486" s="326"/>
      <c r="H16486" s="326"/>
      <c r="P16486" s="318"/>
      <c r="Q16486" s="318"/>
      <c r="R16486" s="318"/>
      <c r="S16486" s="318"/>
      <c r="T16486" s="318"/>
      <c r="U16486" s="318"/>
      <c r="V16486" s="318"/>
      <c r="W16486" s="318"/>
      <c r="X16486" s="318"/>
      <c r="Y16486" s="318"/>
      <c r="Z16486" s="318"/>
      <c r="AA16486" s="318"/>
      <c r="AB16486" s="318"/>
      <c r="AC16486" s="318"/>
      <c r="AD16486" s="318"/>
    </row>
    <row r="16487" spans="2:30" s="323" customFormat="1" ht="12" customHeight="1">
      <c r="B16487" s="324"/>
      <c r="C16487" s="325"/>
      <c r="D16487" s="326"/>
      <c r="E16487" s="326"/>
      <c r="F16487" s="326"/>
      <c r="G16487" s="326"/>
      <c r="H16487" s="326"/>
      <c r="P16487" s="318"/>
      <c r="Q16487" s="318"/>
      <c r="R16487" s="318"/>
      <c r="S16487" s="318"/>
      <c r="T16487" s="318"/>
      <c r="U16487" s="318"/>
      <c r="V16487" s="318"/>
      <c r="W16487" s="318"/>
      <c r="X16487" s="318"/>
      <c r="Y16487" s="318"/>
      <c r="Z16487" s="318"/>
      <c r="AA16487" s="318"/>
      <c r="AB16487" s="318"/>
      <c r="AC16487" s="318"/>
      <c r="AD16487" s="318"/>
    </row>
    <row r="16488" spans="2:30" s="323" customFormat="1" ht="12" customHeight="1">
      <c r="B16488" s="324"/>
      <c r="C16488" s="325"/>
      <c r="D16488" s="326"/>
      <c r="E16488" s="326"/>
      <c r="F16488" s="326"/>
      <c r="G16488" s="326"/>
      <c r="H16488" s="326"/>
      <c r="P16488" s="318"/>
      <c r="Q16488" s="318"/>
      <c r="R16488" s="318"/>
      <c r="S16488" s="318"/>
      <c r="T16488" s="318"/>
      <c r="U16488" s="318"/>
      <c r="V16488" s="318"/>
      <c r="W16488" s="318"/>
      <c r="X16488" s="318"/>
      <c r="Y16488" s="318"/>
      <c r="Z16488" s="318"/>
      <c r="AA16488" s="318"/>
      <c r="AB16488" s="318"/>
      <c r="AC16488" s="318"/>
      <c r="AD16488" s="318"/>
    </row>
    <row r="16489" spans="2:30" s="323" customFormat="1" ht="12" customHeight="1">
      <c r="B16489" s="324"/>
      <c r="C16489" s="325"/>
      <c r="D16489" s="326"/>
      <c r="E16489" s="326"/>
      <c r="F16489" s="326"/>
      <c r="G16489" s="326"/>
      <c r="H16489" s="326"/>
      <c r="P16489" s="318"/>
      <c r="Q16489" s="318"/>
      <c r="R16489" s="318"/>
      <c r="S16489" s="318"/>
      <c r="T16489" s="318"/>
      <c r="U16489" s="318"/>
      <c r="V16489" s="318"/>
      <c r="W16489" s="318"/>
      <c r="X16489" s="318"/>
      <c r="Y16489" s="318"/>
      <c r="Z16489" s="318"/>
      <c r="AA16489" s="318"/>
      <c r="AB16489" s="318"/>
      <c r="AC16489" s="318"/>
      <c r="AD16489" s="318"/>
    </row>
    <row r="16490" spans="2:30" s="323" customFormat="1" ht="12" customHeight="1">
      <c r="B16490" s="324"/>
      <c r="C16490" s="325"/>
      <c r="D16490" s="326"/>
      <c r="E16490" s="326"/>
      <c r="F16490" s="326"/>
      <c r="G16490" s="326"/>
      <c r="H16490" s="326"/>
      <c r="P16490" s="318"/>
      <c r="Q16490" s="318"/>
      <c r="R16490" s="318"/>
      <c r="S16490" s="318"/>
      <c r="T16490" s="318"/>
      <c r="U16490" s="318"/>
      <c r="V16490" s="318"/>
      <c r="W16490" s="318"/>
      <c r="X16490" s="318"/>
      <c r="Y16490" s="318"/>
      <c r="Z16490" s="318"/>
      <c r="AA16490" s="318"/>
      <c r="AB16490" s="318"/>
      <c r="AC16490" s="318"/>
      <c r="AD16490" s="318"/>
    </row>
    <row r="16491" spans="2:30" s="323" customFormat="1" ht="12" customHeight="1">
      <c r="B16491" s="324"/>
      <c r="C16491" s="325"/>
      <c r="D16491" s="326"/>
      <c r="E16491" s="326"/>
      <c r="F16491" s="326"/>
      <c r="G16491" s="326"/>
      <c r="H16491" s="326"/>
      <c r="P16491" s="318"/>
      <c r="Q16491" s="318"/>
      <c r="R16491" s="318"/>
      <c r="S16491" s="318"/>
      <c r="T16491" s="318"/>
      <c r="U16491" s="318"/>
      <c r="V16491" s="318"/>
      <c r="W16491" s="318"/>
      <c r="X16491" s="318"/>
      <c r="Y16491" s="318"/>
      <c r="Z16491" s="318"/>
      <c r="AA16491" s="318"/>
      <c r="AB16491" s="318"/>
      <c r="AC16491" s="318"/>
      <c r="AD16491" s="318"/>
    </row>
    <row r="16492" spans="2:30" s="323" customFormat="1" ht="12" customHeight="1">
      <c r="B16492" s="324"/>
      <c r="C16492" s="325"/>
      <c r="D16492" s="326"/>
      <c r="E16492" s="326"/>
      <c r="F16492" s="326"/>
      <c r="G16492" s="326"/>
      <c r="H16492" s="326"/>
      <c r="P16492" s="318"/>
      <c r="Q16492" s="318"/>
      <c r="R16492" s="318"/>
      <c r="S16492" s="318"/>
      <c r="T16492" s="318"/>
      <c r="U16492" s="318"/>
      <c r="V16492" s="318"/>
      <c r="W16492" s="318"/>
      <c r="X16492" s="318"/>
      <c r="Y16492" s="318"/>
      <c r="Z16492" s="318"/>
      <c r="AA16492" s="318"/>
      <c r="AB16492" s="318"/>
      <c r="AC16492" s="318"/>
      <c r="AD16492" s="318"/>
    </row>
    <row r="16493" spans="2:30" s="323" customFormat="1" ht="12" customHeight="1">
      <c r="B16493" s="324"/>
      <c r="C16493" s="325"/>
      <c r="D16493" s="326"/>
      <c r="E16493" s="326"/>
      <c r="F16493" s="326"/>
      <c r="G16493" s="326"/>
      <c r="H16493" s="326"/>
      <c r="P16493" s="318"/>
      <c r="Q16493" s="318"/>
      <c r="R16493" s="318"/>
      <c r="S16493" s="318"/>
      <c r="T16493" s="318"/>
      <c r="U16493" s="318"/>
      <c r="V16493" s="318"/>
      <c r="W16493" s="318"/>
      <c r="X16493" s="318"/>
      <c r="Y16493" s="318"/>
      <c r="Z16493" s="318"/>
      <c r="AA16493" s="318"/>
      <c r="AB16493" s="318"/>
      <c r="AC16493" s="318"/>
      <c r="AD16493" s="318"/>
    </row>
    <row r="16494" spans="2:30" s="323" customFormat="1" ht="12" customHeight="1">
      <c r="B16494" s="324"/>
      <c r="C16494" s="325"/>
      <c r="D16494" s="326"/>
      <c r="E16494" s="326"/>
      <c r="F16494" s="326"/>
      <c r="G16494" s="326"/>
      <c r="H16494" s="326"/>
      <c r="P16494" s="318"/>
      <c r="Q16494" s="318"/>
      <c r="R16494" s="318"/>
      <c r="S16494" s="318"/>
      <c r="T16494" s="318"/>
      <c r="U16494" s="318"/>
      <c r="V16494" s="318"/>
      <c r="W16494" s="318"/>
      <c r="X16494" s="318"/>
      <c r="Y16494" s="318"/>
      <c r="Z16494" s="318"/>
      <c r="AA16494" s="318"/>
      <c r="AB16494" s="318"/>
      <c r="AC16494" s="318"/>
      <c r="AD16494" s="318"/>
    </row>
    <row r="16495" spans="2:30" s="323" customFormat="1" ht="12" customHeight="1">
      <c r="B16495" s="324"/>
      <c r="C16495" s="325"/>
      <c r="D16495" s="326"/>
      <c r="E16495" s="326"/>
      <c r="F16495" s="326"/>
      <c r="G16495" s="326"/>
      <c r="H16495" s="326"/>
      <c r="P16495" s="318"/>
      <c r="Q16495" s="318"/>
      <c r="R16495" s="318"/>
      <c r="S16495" s="318"/>
      <c r="T16495" s="318"/>
      <c r="U16495" s="318"/>
      <c r="V16495" s="318"/>
      <c r="W16495" s="318"/>
      <c r="X16495" s="318"/>
      <c r="Y16495" s="318"/>
      <c r="Z16495" s="318"/>
      <c r="AA16495" s="318"/>
      <c r="AB16495" s="318"/>
      <c r="AC16495" s="318"/>
      <c r="AD16495" s="318"/>
    </row>
    <row r="16496" spans="2:30" s="323" customFormat="1" ht="12" customHeight="1">
      <c r="B16496" s="324"/>
      <c r="C16496" s="325"/>
      <c r="D16496" s="326"/>
      <c r="E16496" s="326"/>
      <c r="F16496" s="326"/>
      <c r="G16496" s="326"/>
      <c r="H16496" s="326"/>
      <c r="P16496" s="318"/>
      <c r="Q16496" s="318"/>
      <c r="R16496" s="318"/>
      <c r="S16496" s="318"/>
      <c r="T16496" s="318"/>
      <c r="U16496" s="318"/>
      <c r="V16496" s="318"/>
      <c r="W16496" s="318"/>
      <c r="X16496" s="318"/>
      <c r="Y16496" s="318"/>
      <c r="Z16496" s="318"/>
      <c r="AA16496" s="318"/>
      <c r="AB16496" s="318"/>
      <c r="AC16496" s="318"/>
      <c r="AD16496" s="318"/>
    </row>
    <row r="16497" spans="2:30" s="323" customFormat="1" ht="12" customHeight="1">
      <c r="B16497" s="324"/>
      <c r="C16497" s="325"/>
      <c r="D16497" s="326"/>
      <c r="E16497" s="326"/>
      <c r="F16497" s="326"/>
      <c r="G16497" s="326"/>
      <c r="H16497" s="326"/>
      <c r="P16497" s="318"/>
      <c r="Q16497" s="318"/>
      <c r="R16497" s="318"/>
      <c r="S16497" s="318"/>
      <c r="T16497" s="318"/>
      <c r="U16497" s="318"/>
      <c r="V16497" s="318"/>
      <c r="W16497" s="318"/>
      <c r="X16497" s="318"/>
      <c r="Y16497" s="318"/>
      <c r="Z16497" s="318"/>
      <c r="AA16497" s="318"/>
      <c r="AB16497" s="318"/>
      <c r="AC16497" s="318"/>
      <c r="AD16497" s="318"/>
    </row>
    <row r="16498" spans="2:30" s="323" customFormat="1" ht="12" customHeight="1">
      <c r="B16498" s="324"/>
      <c r="C16498" s="325"/>
      <c r="D16498" s="326"/>
      <c r="E16498" s="326"/>
      <c r="F16498" s="326"/>
      <c r="G16498" s="326"/>
      <c r="H16498" s="326"/>
      <c r="P16498" s="318"/>
      <c r="Q16498" s="318"/>
      <c r="R16498" s="318"/>
      <c r="S16498" s="318"/>
      <c r="T16498" s="318"/>
      <c r="U16498" s="318"/>
      <c r="V16498" s="318"/>
      <c r="W16498" s="318"/>
      <c r="X16498" s="318"/>
      <c r="Y16498" s="318"/>
      <c r="Z16498" s="318"/>
      <c r="AA16498" s="318"/>
      <c r="AB16498" s="318"/>
      <c r="AC16498" s="318"/>
      <c r="AD16498" s="318"/>
    </row>
    <row r="16499" spans="2:30" s="323" customFormat="1" ht="12" customHeight="1">
      <c r="B16499" s="324"/>
      <c r="C16499" s="325"/>
      <c r="D16499" s="326"/>
      <c r="E16499" s="326"/>
      <c r="F16499" s="326"/>
      <c r="G16499" s="326"/>
      <c r="H16499" s="326"/>
      <c r="P16499" s="318"/>
      <c r="Q16499" s="318"/>
      <c r="R16499" s="318"/>
      <c r="S16499" s="318"/>
      <c r="T16499" s="318"/>
      <c r="U16499" s="318"/>
      <c r="V16499" s="318"/>
      <c r="W16499" s="318"/>
      <c r="X16499" s="318"/>
      <c r="Y16499" s="318"/>
      <c r="Z16499" s="318"/>
      <c r="AA16499" s="318"/>
      <c r="AB16499" s="318"/>
      <c r="AC16499" s="318"/>
      <c r="AD16499" s="318"/>
    </row>
    <row r="16500" spans="2:30" s="323" customFormat="1" ht="12" customHeight="1">
      <c r="B16500" s="324"/>
      <c r="C16500" s="325"/>
      <c r="D16500" s="326"/>
      <c r="E16500" s="326"/>
      <c r="F16500" s="326"/>
      <c r="G16500" s="326"/>
      <c r="H16500" s="326"/>
      <c r="P16500" s="318"/>
      <c r="Q16500" s="318"/>
      <c r="R16500" s="318"/>
      <c r="S16500" s="318"/>
      <c r="T16500" s="318"/>
      <c r="U16500" s="318"/>
      <c r="V16500" s="318"/>
      <c r="W16500" s="318"/>
      <c r="X16500" s="318"/>
      <c r="Y16500" s="318"/>
      <c r="Z16500" s="318"/>
      <c r="AA16500" s="318"/>
      <c r="AB16500" s="318"/>
      <c r="AC16500" s="318"/>
      <c r="AD16500" s="318"/>
    </row>
    <row r="16501" spans="2:30" s="323" customFormat="1" ht="12" customHeight="1">
      <c r="B16501" s="324"/>
      <c r="C16501" s="325"/>
      <c r="D16501" s="326"/>
      <c r="E16501" s="326"/>
      <c r="F16501" s="326"/>
      <c r="G16501" s="326"/>
      <c r="H16501" s="326"/>
      <c r="P16501" s="318"/>
      <c r="Q16501" s="318"/>
      <c r="R16501" s="318"/>
      <c r="S16501" s="318"/>
      <c r="T16501" s="318"/>
      <c r="U16501" s="318"/>
      <c r="V16501" s="318"/>
      <c r="W16501" s="318"/>
      <c r="X16501" s="318"/>
      <c r="Y16501" s="318"/>
      <c r="Z16501" s="318"/>
      <c r="AA16501" s="318"/>
      <c r="AB16501" s="318"/>
      <c r="AC16501" s="318"/>
      <c r="AD16501" s="318"/>
    </row>
    <row r="16502" spans="2:30" s="323" customFormat="1" ht="12" customHeight="1">
      <c r="B16502" s="324"/>
      <c r="C16502" s="325"/>
      <c r="D16502" s="326"/>
      <c r="E16502" s="326"/>
      <c r="F16502" s="326"/>
      <c r="G16502" s="326"/>
      <c r="H16502" s="326"/>
      <c r="P16502" s="318"/>
      <c r="Q16502" s="318"/>
      <c r="R16502" s="318"/>
      <c r="S16502" s="318"/>
      <c r="T16502" s="318"/>
      <c r="U16502" s="318"/>
      <c r="V16502" s="318"/>
      <c r="W16502" s="318"/>
      <c r="X16502" s="318"/>
      <c r="Y16502" s="318"/>
      <c r="Z16502" s="318"/>
      <c r="AA16502" s="318"/>
      <c r="AB16502" s="318"/>
      <c r="AC16502" s="318"/>
      <c r="AD16502" s="318"/>
    </row>
    <row r="16503" spans="2:30" s="323" customFormat="1" ht="12" customHeight="1">
      <c r="B16503" s="324"/>
      <c r="C16503" s="325"/>
      <c r="D16503" s="326"/>
      <c r="E16503" s="326"/>
      <c r="F16503" s="326"/>
      <c r="G16503" s="326"/>
      <c r="H16503" s="326"/>
      <c r="P16503" s="318"/>
      <c r="Q16503" s="318"/>
      <c r="R16503" s="318"/>
      <c r="S16503" s="318"/>
      <c r="T16503" s="318"/>
      <c r="U16503" s="318"/>
      <c r="V16503" s="318"/>
      <c r="W16503" s="318"/>
      <c r="X16503" s="318"/>
      <c r="Y16503" s="318"/>
      <c r="Z16503" s="318"/>
      <c r="AA16503" s="318"/>
      <c r="AB16503" s="318"/>
      <c r="AC16503" s="318"/>
      <c r="AD16503" s="318"/>
    </row>
    <row r="16504" spans="2:30" s="323" customFormat="1" ht="12" customHeight="1">
      <c r="B16504" s="324"/>
      <c r="C16504" s="325"/>
      <c r="D16504" s="326"/>
      <c r="E16504" s="326"/>
      <c r="F16504" s="326"/>
      <c r="G16504" s="326"/>
      <c r="H16504" s="326"/>
      <c r="P16504" s="318"/>
      <c r="Q16504" s="318"/>
      <c r="R16504" s="318"/>
      <c r="S16504" s="318"/>
      <c r="T16504" s="318"/>
      <c r="U16504" s="318"/>
      <c r="V16504" s="318"/>
      <c r="W16504" s="318"/>
      <c r="X16504" s="318"/>
      <c r="Y16504" s="318"/>
      <c r="Z16504" s="318"/>
      <c r="AA16504" s="318"/>
      <c r="AB16504" s="318"/>
      <c r="AC16504" s="318"/>
      <c r="AD16504" s="318"/>
    </row>
    <row r="16505" spans="2:30" s="323" customFormat="1" ht="12" customHeight="1">
      <c r="B16505" s="324"/>
      <c r="C16505" s="325"/>
      <c r="D16505" s="326"/>
      <c r="E16505" s="326"/>
      <c r="F16505" s="326"/>
      <c r="G16505" s="326"/>
      <c r="H16505" s="326"/>
      <c r="P16505" s="318"/>
      <c r="Q16505" s="318"/>
      <c r="R16505" s="318"/>
      <c r="S16505" s="318"/>
      <c r="T16505" s="318"/>
      <c r="U16505" s="318"/>
      <c r="V16505" s="318"/>
      <c r="W16505" s="318"/>
      <c r="X16505" s="318"/>
      <c r="Y16505" s="318"/>
      <c r="Z16505" s="318"/>
      <c r="AA16505" s="318"/>
      <c r="AB16505" s="318"/>
      <c r="AC16505" s="318"/>
      <c r="AD16505" s="318"/>
    </row>
    <row r="16506" spans="2:30" s="323" customFormat="1" ht="12" customHeight="1">
      <c r="B16506" s="324"/>
      <c r="C16506" s="325"/>
      <c r="D16506" s="326"/>
      <c r="E16506" s="326"/>
      <c r="F16506" s="326"/>
      <c r="G16506" s="326"/>
      <c r="H16506" s="326"/>
      <c r="P16506" s="318"/>
      <c r="Q16506" s="318"/>
      <c r="R16506" s="318"/>
      <c r="S16506" s="318"/>
      <c r="T16506" s="318"/>
      <c r="U16506" s="318"/>
      <c r="V16506" s="318"/>
      <c r="W16506" s="318"/>
      <c r="X16506" s="318"/>
      <c r="Y16506" s="318"/>
      <c r="Z16506" s="318"/>
      <c r="AA16506" s="318"/>
      <c r="AB16506" s="318"/>
      <c r="AC16506" s="318"/>
      <c r="AD16506" s="318"/>
    </row>
    <row r="16507" spans="2:30" s="323" customFormat="1" ht="12" customHeight="1">
      <c r="B16507" s="324"/>
      <c r="C16507" s="325"/>
      <c r="D16507" s="326"/>
      <c r="E16507" s="326"/>
      <c r="F16507" s="326"/>
      <c r="G16507" s="326"/>
      <c r="H16507" s="326"/>
      <c r="P16507" s="318"/>
      <c r="Q16507" s="318"/>
      <c r="R16507" s="318"/>
      <c r="S16507" s="318"/>
      <c r="T16507" s="318"/>
      <c r="U16507" s="318"/>
      <c r="V16507" s="318"/>
      <c r="W16507" s="318"/>
      <c r="X16507" s="318"/>
      <c r="Y16507" s="318"/>
      <c r="Z16507" s="318"/>
      <c r="AA16507" s="318"/>
      <c r="AB16507" s="318"/>
      <c r="AC16507" s="318"/>
      <c r="AD16507" s="318"/>
    </row>
    <row r="16508" spans="2:30" s="323" customFormat="1" ht="12" customHeight="1">
      <c r="B16508" s="324"/>
      <c r="C16508" s="325"/>
      <c r="D16508" s="326"/>
      <c r="E16508" s="326"/>
      <c r="F16508" s="326"/>
      <c r="G16508" s="326"/>
      <c r="H16508" s="326"/>
      <c r="P16508" s="318"/>
      <c r="Q16508" s="318"/>
      <c r="R16508" s="318"/>
      <c r="S16508" s="318"/>
      <c r="T16508" s="318"/>
      <c r="U16508" s="318"/>
      <c r="V16508" s="318"/>
      <c r="W16508" s="318"/>
      <c r="X16508" s="318"/>
      <c r="Y16508" s="318"/>
      <c r="Z16508" s="318"/>
      <c r="AA16508" s="318"/>
      <c r="AB16508" s="318"/>
      <c r="AC16508" s="318"/>
      <c r="AD16508" s="318"/>
    </row>
    <row r="16509" spans="2:30" s="323" customFormat="1" ht="12" customHeight="1">
      <c r="B16509" s="324"/>
      <c r="C16509" s="325"/>
      <c r="D16509" s="326"/>
      <c r="E16509" s="326"/>
      <c r="F16509" s="326"/>
      <c r="G16509" s="326"/>
      <c r="H16509" s="326"/>
      <c r="P16509" s="318"/>
      <c r="Q16509" s="318"/>
      <c r="R16509" s="318"/>
      <c r="S16509" s="318"/>
      <c r="T16509" s="318"/>
      <c r="U16509" s="318"/>
      <c r="V16509" s="318"/>
      <c r="W16509" s="318"/>
      <c r="X16509" s="318"/>
      <c r="Y16509" s="318"/>
      <c r="Z16509" s="318"/>
      <c r="AA16509" s="318"/>
      <c r="AB16509" s="318"/>
      <c r="AC16509" s="318"/>
      <c r="AD16509" s="318"/>
    </row>
    <row r="16510" spans="2:30" s="323" customFormat="1" ht="12" customHeight="1">
      <c r="B16510" s="324"/>
      <c r="C16510" s="325"/>
      <c r="D16510" s="326"/>
      <c r="E16510" s="326"/>
      <c r="F16510" s="326"/>
      <c r="G16510" s="326"/>
      <c r="H16510" s="326"/>
      <c r="P16510" s="318"/>
      <c r="Q16510" s="318"/>
      <c r="R16510" s="318"/>
      <c r="S16510" s="318"/>
      <c r="T16510" s="318"/>
      <c r="U16510" s="318"/>
      <c r="V16510" s="318"/>
      <c r="W16510" s="318"/>
      <c r="X16510" s="318"/>
      <c r="Y16510" s="318"/>
      <c r="Z16510" s="318"/>
      <c r="AA16510" s="318"/>
      <c r="AB16510" s="318"/>
      <c r="AC16510" s="318"/>
      <c r="AD16510" s="318"/>
    </row>
    <row r="16511" spans="2:30" s="323" customFormat="1" ht="12" customHeight="1">
      <c r="B16511" s="324"/>
      <c r="C16511" s="325"/>
      <c r="D16511" s="326"/>
      <c r="E16511" s="326"/>
      <c r="F16511" s="326"/>
      <c r="G16511" s="326"/>
      <c r="H16511" s="326"/>
      <c r="P16511" s="318"/>
      <c r="Q16511" s="318"/>
      <c r="R16511" s="318"/>
      <c r="S16511" s="318"/>
      <c r="T16511" s="318"/>
      <c r="U16511" s="318"/>
      <c r="V16511" s="318"/>
      <c r="W16511" s="318"/>
      <c r="X16511" s="318"/>
      <c r="Y16511" s="318"/>
      <c r="Z16511" s="318"/>
      <c r="AA16511" s="318"/>
      <c r="AB16511" s="318"/>
      <c r="AC16511" s="318"/>
      <c r="AD16511" s="318"/>
    </row>
    <row r="16512" spans="2:30" s="323" customFormat="1" ht="12" customHeight="1">
      <c r="B16512" s="324"/>
      <c r="C16512" s="325"/>
      <c r="D16512" s="326"/>
      <c r="E16512" s="326"/>
      <c r="F16512" s="326"/>
      <c r="G16512" s="326"/>
      <c r="H16512" s="326"/>
      <c r="P16512" s="318"/>
      <c r="Q16512" s="318"/>
      <c r="R16512" s="318"/>
      <c r="S16512" s="318"/>
      <c r="T16512" s="318"/>
      <c r="U16512" s="318"/>
      <c r="V16512" s="318"/>
      <c r="W16512" s="318"/>
      <c r="X16512" s="318"/>
      <c r="Y16512" s="318"/>
      <c r="Z16512" s="318"/>
      <c r="AA16512" s="318"/>
      <c r="AB16512" s="318"/>
      <c r="AC16512" s="318"/>
      <c r="AD16512" s="318"/>
    </row>
    <row r="16513" spans="2:30" s="323" customFormat="1" ht="12" customHeight="1">
      <c r="B16513" s="324"/>
      <c r="C16513" s="325"/>
      <c r="D16513" s="326"/>
      <c r="E16513" s="326"/>
      <c r="F16513" s="326"/>
      <c r="G16513" s="326"/>
      <c r="H16513" s="326"/>
      <c r="P16513" s="318"/>
      <c r="Q16513" s="318"/>
      <c r="R16513" s="318"/>
      <c r="S16513" s="318"/>
      <c r="T16513" s="318"/>
      <c r="U16513" s="318"/>
      <c r="V16513" s="318"/>
      <c r="W16513" s="318"/>
      <c r="X16513" s="318"/>
      <c r="Y16513" s="318"/>
      <c r="Z16513" s="318"/>
      <c r="AA16513" s="318"/>
      <c r="AB16513" s="318"/>
      <c r="AC16513" s="318"/>
      <c r="AD16513" s="318"/>
    </row>
    <row r="16514" spans="2:30" s="323" customFormat="1" ht="12" customHeight="1">
      <c r="B16514" s="324"/>
      <c r="C16514" s="325"/>
      <c r="D16514" s="326"/>
      <c r="E16514" s="326"/>
      <c r="F16514" s="326"/>
      <c r="G16514" s="326"/>
      <c r="H16514" s="326"/>
      <c r="P16514" s="318"/>
      <c r="Q16514" s="318"/>
      <c r="R16514" s="318"/>
      <c r="S16514" s="318"/>
      <c r="T16514" s="318"/>
      <c r="U16514" s="318"/>
      <c r="V16514" s="318"/>
      <c r="W16514" s="318"/>
      <c r="X16514" s="318"/>
      <c r="Y16514" s="318"/>
      <c r="Z16514" s="318"/>
      <c r="AA16514" s="318"/>
      <c r="AB16514" s="318"/>
      <c r="AC16514" s="318"/>
      <c r="AD16514" s="318"/>
    </row>
    <row r="16515" spans="2:30" s="323" customFormat="1" ht="12" customHeight="1">
      <c r="B16515" s="324"/>
      <c r="C16515" s="325"/>
      <c r="D16515" s="326"/>
      <c r="E16515" s="326"/>
      <c r="F16515" s="326"/>
      <c r="G16515" s="326"/>
      <c r="H16515" s="326"/>
      <c r="P16515" s="318"/>
      <c r="Q16515" s="318"/>
      <c r="R16515" s="318"/>
      <c r="S16515" s="318"/>
      <c r="T16515" s="318"/>
      <c r="U16515" s="318"/>
      <c r="V16515" s="318"/>
      <c r="W16515" s="318"/>
      <c r="X16515" s="318"/>
      <c r="Y16515" s="318"/>
      <c r="Z16515" s="318"/>
      <c r="AA16515" s="318"/>
      <c r="AB16515" s="318"/>
      <c r="AC16515" s="318"/>
      <c r="AD16515" s="318"/>
    </row>
    <row r="16516" spans="2:30" s="323" customFormat="1" ht="12" customHeight="1">
      <c r="B16516" s="324"/>
      <c r="C16516" s="325"/>
      <c r="D16516" s="326"/>
      <c r="E16516" s="326"/>
      <c r="F16516" s="326"/>
      <c r="G16516" s="326"/>
      <c r="H16516" s="326"/>
      <c r="P16516" s="318"/>
      <c r="Q16516" s="318"/>
      <c r="R16516" s="318"/>
      <c r="S16516" s="318"/>
      <c r="T16516" s="318"/>
      <c r="U16516" s="318"/>
      <c r="V16516" s="318"/>
      <c r="W16516" s="318"/>
      <c r="X16516" s="318"/>
      <c r="Y16516" s="318"/>
      <c r="Z16516" s="318"/>
      <c r="AA16516" s="318"/>
      <c r="AB16516" s="318"/>
      <c r="AC16516" s="318"/>
      <c r="AD16516" s="318"/>
    </row>
    <row r="16517" spans="2:30" s="323" customFormat="1" ht="12" customHeight="1">
      <c r="B16517" s="324"/>
      <c r="C16517" s="325"/>
      <c r="D16517" s="326"/>
      <c r="E16517" s="326"/>
      <c r="F16517" s="326"/>
      <c r="G16517" s="326"/>
      <c r="H16517" s="326"/>
      <c r="P16517" s="318"/>
      <c r="Q16517" s="318"/>
      <c r="R16517" s="318"/>
      <c r="S16517" s="318"/>
      <c r="T16517" s="318"/>
      <c r="U16517" s="318"/>
      <c r="V16517" s="318"/>
      <c r="W16517" s="318"/>
      <c r="X16517" s="318"/>
      <c r="Y16517" s="318"/>
      <c r="Z16517" s="318"/>
      <c r="AA16517" s="318"/>
      <c r="AB16517" s="318"/>
      <c r="AC16517" s="318"/>
      <c r="AD16517" s="318"/>
    </row>
    <row r="16518" spans="2:30" s="323" customFormat="1" ht="12" customHeight="1">
      <c r="B16518" s="324"/>
      <c r="C16518" s="325"/>
      <c r="D16518" s="326"/>
      <c r="E16518" s="326"/>
      <c r="F16518" s="326"/>
      <c r="G16518" s="326"/>
      <c r="H16518" s="326"/>
      <c r="P16518" s="318"/>
      <c r="Q16518" s="318"/>
      <c r="R16518" s="318"/>
      <c r="S16518" s="318"/>
      <c r="T16518" s="318"/>
      <c r="U16518" s="318"/>
      <c r="V16518" s="318"/>
      <c r="W16518" s="318"/>
      <c r="X16518" s="318"/>
      <c r="Y16518" s="318"/>
      <c r="Z16518" s="318"/>
      <c r="AA16518" s="318"/>
      <c r="AB16518" s="318"/>
      <c r="AC16518" s="318"/>
      <c r="AD16518" s="318"/>
    </row>
    <row r="16519" spans="2:30" s="323" customFormat="1" ht="12" customHeight="1">
      <c r="B16519" s="324"/>
      <c r="C16519" s="325"/>
      <c r="D16519" s="326"/>
      <c r="E16519" s="326"/>
      <c r="F16519" s="326"/>
      <c r="G16519" s="326"/>
      <c r="H16519" s="326"/>
      <c r="P16519" s="318"/>
      <c r="Q16519" s="318"/>
      <c r="R16519" s="318"/>
      <c r="S16519" s="318"/>
      <c r="T16519" s="318"/>
      <c r="U16519" s="318"/>
      <c r="V16519" s="318"/>
      <c r="W16519" s="318"/>
      <c r="X16519" s="318"/>
      <c r="Y16519" s="318"/>
      <c r="Z16519" s="318"/>
      <c r="AA16519" s="318"/>
      <c r="AB16519" s="318"/>
      <c r="AC16519" s="318"/>
      <c r="AD16519" s="318"/>
    </row>
    <row r="16520" spans="2:30" s="323" customFormat="1" ht="12" customHeight="1">
      <c r="B16520" s="324"/>
      <c r="C16520" s="325"/>
      <c r="D16520" s="326"/>
      <c r="E16520" s="326"/>
      <c r="F16520" s="326"/>
      <c r="G16520" s="326"/>
      <c r="H16520" s="326"/>
      <c r="P16520" s="318"/>
      <c r="Q16520" s="318"/>
      <c r="R16520" s="318"/>
      <c r="S16520" s="318"/>
      <c r="T16520" s="318"/>
      <c r="U16520" s="318"/>
      <c r="V16520" s="318"/>
      <c r="W16520" s="318"/>
      <c r="X16520" s="318"/>
      <c r="Y16520" s="318"/>
      <c r="Z16520" s="318"/>
      <c r="AA16520" s="318"/>
      <c r="AB16520" s="318"/>
      <c r="AC16520" s="318"/>
      <c r="AD16520" s="318"/>
    </row>
    <row r="16521" spans="2:30" s="323" customFormat="1" ht="12" customHeight="1">
      <c r="B16521" s="324"/>
      <c r="C16521" s="325"/>
      <c r="D16521" s="326"/>
      <c r="E16521" s="326"/>
      <c r="F16521" s="326"/>
      <c r="G16521" s="326"/>
      <c r="H16521" s="326"/>
      <c r="P16521" s="318"/>
      <c r="Q16521" s="318"/>
      <c r="R16521" s="318"/>
      <c r="S16521" s="318"/>
      <c r="T16521" s="318"/>
      <c r="U16521" s="318"/>
      <c r="V16521" s="318"/>
      <c r="W16521" s="318"/>
      <c r="X16521" s="318"/>
      <c r="Y16521" s="318"/>
      <c r="Z16521" s="318"/>
      <c r="AA16521" s="318"/>
      <c r="AB16521" s="318"/>
      <c r="AC16521" s="318"/>
      <c r="AD16521" s="318"/>
    </row>
    <row r="16522" spans="2:30" s="323" customFormat="1" ht="12" customHeight="1">
      <c r="B16522" s="324"/>
      <c r="C16522" s="325"/>
      <c r="D16522" s="326"/>
      <c r="E16522" s="326"/>
      <c r="F16522" s="326"/>
      <c r="G16522" s="326"/>
      <c r="H16522" s="326"/>
      <c r="P16522" s="318"/>
      <c r="Q16522" s="318"/>
      <c r="R16522" s="318"/>
      <c r="S16522" s="318"/>
      <c r="T16522" s="318"/>
      <c r="U16522" s="318"/>
      <c r="V16522" s="318"/>
      <c r="W16522" s="318"/>
      <c r="X16522" s="318"/>
      <c r="Y16522" s="318"/>
      <c r="Z16522" s="318"/>
      <c r="AA16522" s="318"/>
      <c r="AB16522" s="318"/>
      <c r="AC16522" s="318"/>
      <c r="AD16522" s="318"/>
    </row>
    <row r="16523" spans="2:30" s="323" customFormat="1" ht="12" customHeight="1">
      <c r="B16523" s="324"/>
      <c r="C16523" s="325"/>
      <c r="D16523" s="326"/>
      <c r="E16523" s="326"/>
      <c r="F16523" s="326"/>
      <c r="G16523" s="326"/>
      <c r="H16523" s="326"/>
      <c r="P16523" s="318"/>
      <c r="Q16523" s="318"/>
      <c r="R16523" s="318"/>
      <c r="S16523" s="318"/>
      <c r="T16523" s="318"/>
      <c r="U16523" s="318"/>
      <c r="V16523" s="318"/>
      <c r="W16523" s="318"/>
      <c r="X16523" s="318"/>
      <c r="Y16523" s="318"/>
      <c r="Z16523" s="318"/>
      <c r="AA16523" s="318"/>
      <c r="AB16523" s="318"/>
      <c r="AC16523" s="318"/>
      <c r="AD16523" s="318"/>
    </row>
    <row r="16524" spans="2:30" s="323" customFormat="1" ht="12" customHeight="1">
      <c r="B16524" s="324"/>
      <c r="C16524" s="325"/>
      <c r="D16524" s="326"/>
      <c r="E16524" s="326"/>
      <c r="F16524" s="326"/>
      <c r="G16524" s="326"/>
      <c r="H16524" s="326"/>
      <c r="P16524" s="318"/>
      <c r="Q16524" s="318"/>
      <c r="R16524" s="318"/>
      <c r="S16524" s="318"/>
      <c r="T16524" s="318"/>
      <c r="U16524" s="318"/>
      <c r="V16524" s="318"/>
      <c r="W16524" s="318"/>
      <c r="X16524" s="318"/>
      <c r="Y16524" s="318"/>
      <c r="Z16524" s="318"/>
      <c r="AA16524" s="318"/>
      <c r="AB16524" s="318"/>
      <c r="AC16524" s="318"/>
      <c r="AD16524" s="318"/>
    </row>
    <row r="16525" spans="2:30" s="323" customFormat="1" ht="12" customHeight="1">
      <c r="B16525" s="324"/>
      <c r="C16525" s="325"/>
      <c r="D16525" s="326"/>
      <c r="E16525" s="326"/>
      <c r="F16525" s="326"/>
      <c r="G16525" s="326"/>
      <c r="H16525" s="326"/>
      <c r="P16525" s="318"/>
      <c r="Q16525" s="318"/>
      <c r="R16525" s="318"/>
      <c r="S16525" s="318"/>
      <c r="T16525" s="318"/>
      <c r="U16525" s="318"/>
      <c r="V16525" s="318"/>
      <c r="W16525" s="318"/>
      <c r="X16525" s="318"/>
      <c r="Y16525" s="318"/>
      <c r="Z16525" s="318"/>
      <c r="AA16525" s="318"/>
      <c r="AB16525" s="318"/>
      <c r="AC16525" s="318"/>
      <c r="AD16525" s="318"/>
    </row>
    <row r="16526" spans="2:30" s="323" customFormat="1" ht="12" customHeight="1">
      <c r="B16526" s="324"/>
      <c r="C16526" s="325"/>
      <c r="D16526" s="326"/>
      <c r="E16526" s="326"/>
      <c r="F16526" s="326"/>
      <c r="G16526" s="326"/>
      <c r="H16526" s="326"/>
      <c r="P16526" s="318"/>
      <c r="Q16526" s="318"/>
      <c r="R16526" s="318"/>
      <c r="S16526" s="318"/>
      <c r="T16526" s="318"/>
      <c r="U16526" s="318"/>
      <c r="V16526" s="318"/>
      <c r="W16526" s="318"/>
      <c r="X16526" s="318"/>
      <c r="Y16526" s="318"/>
      <c r="Z16526" s="318"/>
      <c r="AA16526" s="318"/>
      <c r="AB16526" s="318"/>
      <c r="AC16526" s="318"/>
      <c r="AD16526" s="318"/>
    </row>
    <row r="16527" spans="2:30" s="323" customFormat="1" ht="12" customHeight="1">
      <c r="B16527" s="324"/>
      <c r="C16527" s="325"/>
      <c r="D16527" s="326"/>
      <c r="E16527" s="326"/>
      <c r="F16527" s="326"/>
      <c r="G16527" s="326"/>
      <c r="H16527" s="326"/>
      <c r="P16527" s="318"/>
      <c r="Q16527" s="318"/>
      <c r="R16527" s="318"/>
      <c r="S16527" s="318"/>
      <c r="T16527" s="318"/>
      <c r="U16527" s="318"/>
      <c r="V16527" s="318"/>
      <c r="W16527" s="318"/>
      <c r="X16527" s="318"/>
      <c r="Y16527" s="318"/>
      <c r="Z16527" s="318"/>
      <c r="AA16527" s="318"/>
      <c r="AB16527" s="318"/>
      <c r="AC16527" s="318"/>
      <c r="AD16527" s="318"/>
    </row>
    <row r="16528" spans="2:30" s="323" customFormat="1" ht="12" customHeight="1">
      <c r="B16528" s="324"/>
      <c r="C16528" s="325"/>
      <c r="D16528" s="326"/>
      <c r="E16528" s="326"/>
      <c r="F16528" s="326"/>
      <c r="G16528" s="326"/>
      <c r="H16528" s="326"/>
      <c r="P16528" s="318"/>
      <c r="Q16528" s="318"/>
      <c r="R16528" s="318"/>
      <c r="S16528" s="318"/>
      <c r="T16528" s="318"/>
      <c r="U16528" s="318"/>
      <c r="V16528" s="318"/>
      <c r="W16528" s="318"/>
      <c r="X16528" s="318"/>
      <c r="Y16528" s="318"/>
      <c r="Z16528" s="318"/>
      <c r="AA16528" s="318"/>
      <c r="AB16528" s="318"/>
      <c r="AC16528" s="318"/>
      <c r="AD16528" s="318"/>
    </row>
    <row r="16529" spans="2:30" s="323" customFormat="1" ht="12" customHeight="1">
      <c r="B16529" s="324"/>
      <c r="C16529" s="325"/>
      <c r="D16529" s="326"/>
      <c r="E16529" s="326"/>
      <c r="F16529" s="326"/>
      <c r="G16529" s="326"/>
      <c r="H16529" s="326"/>
      <c r="P16529" s="318"/>
      <c r="Q16529" s="318"/>
      <c r="R16529" s="318"/>
      <c r="S16529" s="318"/>
      <c r="T16529" s="318"/>
      <c r="U16529" s="318"/>
      <c r="V16529" s="318"/>
      <c r="W16529" s="318"/>
      <c r="X16529" s="318"/>
      <c r="Y16529" s="318"/>
      <c r="Z16529" s="318"/>
      <c r="AA16529" s="318"/>
      <c r="AB16529" s="318"/>
      <c r="AC16529" s="318"/>
      <c r="AD16529" s="318"/>
    </row>
    <row r="16530" spans="2:30" s="323" customFormat="1" ht="12" customHeight="1">
      <c r="B16530" s="324"/>
      <c r="C16530" s="325"/>
      <c r="D16530" s="326"/>
      <c r="E16530" s="326"/>
      <c r="F16530" s="326"/>
      <c r="G16530" s="326"/>
      <c r="H16530" s="326"/>
      <c r="P16530" s="318"/>
      <c r="Q16530" s="318"/>
      <c r="R16530" s="318"/>
      <c r="S16530" s="318"/>
      <c r="T16530" s="318"/>
      <c r="U16530" s="318"/>
      <c r="V16530" s="318"/>
      <c r="W16530" s="318"/>
      <c r="X16530" s="318"/>
      <c r="Y16530" s="318"/>
      <c r="Z16530" s="318"/>
      <c r="AA16530" s="318"/>
      <c r="AB16530" s="318"/>
      <c r="AC16530" s="318"/>
      <c r="AD16530" s="318"/>
    </row>
    <row r="16531" spans="2:30" s="323" customFormat="1" ht="12" customHeight="1">
      <c r="B16531" s="324"/>
      <c r="C16531" s="325"/>
      <c r="D16531" s="326"/>
      <c r="E16531" s="326"/>
      <c r="F16531" s="326"/>
      <c r="G16531" s="326"/>
      <c r="H16531" s="326"/>
      <c r="P16531" s="318"/>
      <c r="Q16531" s="318"/>
      <c r="R16531" s="318"/>
      <c r="S16531" s="318"/>
      <c r="T16531" s="318"/>
      <c r="U16531" s="318"/>
      <c r="V16531" s="318"/>
      <c r="W16531" s="318"/>
      <c r="X16531" s="318"/>
      <c r="Y16531" s="318"/>
      <c r="Z16531" s="318"/>
      <c r="AA16531" s="318"/>
      <c r="AB16531" s="318"/>
      <c r="AC16531" s="318"/>
      <c r="AD16531" s="318"/>
    </row>
    <row r="16532" spans="2:30" s="323" customFormat="1" ht="12" customHeight="1">
      <c r="B16532" s="324"/>
      <c r="C16532" s="325"/>
      <c r="D16532" s="326"/>
      <c r="E16532" s="326"/>
      <c r="F16532" s="326"/>
      <c r="G16532" s="326"/>
      <c r="H16532" s="326"/>
      <c r="P16532" s="318"/>
      <c r="Q16532" s="318"/>
      <c r="R16532" s="318"/>
      <c r="S16532" s="318"/>
      <c r="T16532" s="318"/>
      <c r="U16532" s="318"/>
      <c r="V16532" s="318"/>
      <c r="W16532" s="318"/>
      <c r="X16532" s="318"/>
      <c r="Y16532" s="318"/>
      <c r="Z16532" s="318"/>
      <c r="AA16532" s="318"/>
      <c r="AB16532" s="318"/>
      <c r="AC16532" s="318"/>
      <c r="AD16532" s="318"/>
    </row>
    <row r="16533" spans="2:30" s="323" customFormat="1" ht="12" customHeight="1">
      <c r="B16533" s="324"/>
      <c r="C16533" s="325"/>
      <c r="D16533" s="326"/>
      <c r="E16533" s="326"/>
      <c r="F16533" s="326"/>
      <c r="G16533" s="326"/>
      <c r="H16533" s="326"/>
      <c r="P16533" s="318"/>
      <c r="Q16533" s="318"/>
      <c r="R16533" s="318"/>
      <c r="S16533" s="318"/>
      <c r="T16533" s="318"/>
      <c r="U16533" s="318"/>
      <c r="V16533" s="318"/>
      <c r="W16533" s="318"/>
      <c r="X16533" s="318"/>
      <c r="Y16533" s="318"/>
      <c r="Z16533" s="318"/>
      <c r="AA16533" s="318"/>
      <c r="AB16533" s="318"/>
      <c r="AC16533" s="318"/>
      <c r="AD16533" s="318"/>
    </row>
    <row r="16534" spans="2:30" s="323" customFormat="1" ht="12" customHeight="1">
      <c r="B16534" s="324"/>
      <c r="C16534" s="325"/>
      <c r="D16534" s="326"/>
      <c r="E16534" s="326"/>
      <c r="F16534" s="326"/>
      <c r="G16534" s="326"/>
      <c r="H16534" s="326"/>
      <c r="P16534" s="318"/>
      <c r="Q16534" s="318"/>
      <c r="R16534" s="318"/>
      <c r="S16534" s="318"/>
      <c r="T16534" s="318"/>
      <c r="U16534" s="318"/>
      <c r="V16534" s="318"/>
      <c r="W16534" s="318"/>
      <c r="X16534" s="318"/>
      <c r="Y16534" s="318"/>
      <c r="Z16534" s="318"/>
      <c r="AA16534" s="318"/>
      <c r="AB16534" s="318"/>
      <c r="AC16534" s="318"/>
      <c r="AD16534" s="318"/>
    </row>
    <row r="16535" spans="2:30" s="323" customFormat="1" ht="12" customHeight="1">
      <c r="B16535" s="324"/>
      <c r="C16535" s="325"/>
      <c r="D16535" s="326"/>
      <c r="E16535" s="326"/>
      <c r="F16535" s="326"/>
      <c r="G16535" s="326"/>
      <c r="H16535" s="326"/>
      <c r="P16535" s="318"/>
      <c r="Q16535" s="318"/>
      <c r="R16535" s="318"/>
      <c r="S16535" s="318"/>
      <c r="T16535" s="318"/>
      <c r="U16535" s="318"/>
      <c r="V16535" s="318"/>
      <c r="W16535" s="318"/>
      <c r="X16535" s="318"/>
      <c r="Y16535" s="318"/>
      <c r="Z16535" s="318"/>
      <c r="AA16535" s="318"/>
      <c r="AB16535" s="318"/>
      <c r="AC16535" s="318"/>
      <c r="AD16535" s="318"/>
    </row>
    <row r="16536" spans="2:30" s="323" customFormat="1" ht="12" customHeight="1">
      <c r="B16536" s="324"/>
      <c r="C16536" s="325"/>
      <c r="D16536" s="326"/>
      <c r="E16536" s="326"/>
      <c r="F16536" s="326"/>
      <c r="G16536" s="326"/>
      <c r="H16536" s="326"/>
      <c r="P16536" s="318"/>
      <c r="Q16536" s="318"/>
      <c r="R16536" s="318"/>
      <c r="S16536" s="318"/>
      <c r="T16536" s="318"/>
      <c r="U16536" s="318"/>
      <c r="V16536" s="318"/>
      <c r="W16536" s="318"/>
      <c r="X16536" s="318"/>
      <c r="Y16536" s="318"/>
      <c r="Z16536" s="318"/>
      <c r="AA16536" s="318"/>
      <c r="AB16536" s="318"/>
      <c r="AC16536" s="318"/>
      <c r="AD16536" s="318"/>
    </row>
    <row r="16537" spans="2:30" s="323" customFormat="1" ht="12" customHeight="1">
      <c r="B16537" s="324"/>
      <c r="C16537" s="325"/>
      <c r="D16537" s="326"/>
      <c r="E16537" s="326"/>
      <c r="F16537" s="326"/>
      <c r="G16537" s="326"/>
      <c r="H16537" s="326"/>
      <c r="P16537" s="318"/>
      <c r="Q16537" s="318"/>
      <c r="R16537" s="318"/>
      <c r="S16537" s="318"/>
      <c r="T16537" s="318"/>
      <c r="U16537" s="318"/>
      <c r="V16537" s="318"/>
      <c r="W16537" s="318"/>
      <c r="X16537" s="318"/>
      <c r="Y16537" s="318"/>
      <c r="Z16537" s="318"/>
      <c r="AA16537" s="318"/>
      <c r="AB16537" s="318"/>
      <c r="AC16537" s="318"/>
      <c r="AD16537" s="318"/>
    </row>
    <row r="16538" spans="2:30" s="323" customFormat="1" ht="12" customHeight="1">
      <c r="B16538" s="324"/>
      <c r="C16538" s="325"/>
      <c r="D16538" s="326"/>
      <c r="E16538" s="326"/>
      <c r="F16538" s="326"/>
      <c r="G16538" s="326"/>
      <c r="H16538" s="326"/>
      <c r="P16538" s="318"/>
      <c r="Q16538" s="318"/>
      <c r="R16538" s="318"/>
      <c r="S16538" s="318"/>
      <c r="T16538" s="318"/>
      <c r="U16538" s="318"/>
      <c r="V16538" s="318"/>
      <c r="W16538" s="318"/>
      <c r="X16538" s="318"/>
      <c r="Y16538" s="318"/>
      <c r="Z16538" s="318"/>
      <c r="AA16538" s="318"/>
      <c r="AB16538" s="318"/>
      <c r="AC16538" s="318"/>
      <c r="AD16538" s="318"/>
    </row>
    <row r="16539" spans="2:30" s="323" customFormat="1" ht="12" customHeight="1">
      <c r="B16539" s="324"/>
      <c r="C16539" s="325"/>
      <c r="D16539" s="326"/>
      <c r="E16539" s="326"/>
      <c r="F16539" s="326"/>
      <c r="G16539" s="326"/>
      <c r="H16539" s="326"/>
      <c r="P16539" s="318"/>
      <c r="Q16539" s="318"/>
      <c r="R16539" s="318"/>
      <c r="S16539" s="318"/>
      <c r="T16539" s="318"/>
      <c r="U16539" s="318"/>
      <c r="V16539" s="318"/>
      <c r="W16539" s="318"/>
      <c r="X16539" s="318"/>
      <c r="Y16539" s="318"/>
      <c r="Z16539" s="318"/>
      <c r="AA16539" s="318"/>
      <c r="AB16539" s="318"/>
      <c r="AC16539" s="318"/>
      <c r="AD16539" s="318"/>
    </row>
    <row r="16540" spans="2:30" s="323" customFormat="1" ht="12" customHeight="1">
      <c r="B16540" s="324"/>
      <c r="C16540" s="325"/>
      <c r="D16540" s="326"/>
      <c r="E16540" s="326"/>
      <c r="F16540" s="326"/>
      <c r="G16540" s="326"/>
      <c r="H16540" s="326"/>
      <c r="P16540" s="318"/>
      <c r="Q16540" s="318"/>
      <c r="R16540" s="318"/>
      <c r="S16540" s="318"/>
      <c r="T16540" s="318"/>
      <c r="U16540" s="318"/>
      <c r="V16540" s="318"/>
      <c r="W16540" s="318"/>
      <c r="X16540" s="318"/>
      <c r="Y16540" s="318"/>
      <c r="Z16540" s="318"/>
      <c r="AA16540" s="318"/>
      <c r="AB16540" s="318"/>
      <c r="AC16540" s="318"/>
      <c r="AD16540" s="318"/>
    </row>
    <row r="16541" spans="2:30" s="323" customFormat="1" ht="12" customHeight="1">
      <c r="B16541" s="324"/>
      <c r="C16541" s="325"/>
      <c r="D16541" s="326"/>
      <c r="E16541" s="326"/>
      <c r="F16541" s="326"/>
      <c r="G16541" s="326"/>
      <c r="H16541" s="326"/>
      <c r="P16541" s="318"/>
      <c r="Q16541" s="318"/>
      <c r="R16541" s="318"/>
      <c r="S16541" s="318"/>
      <c r="T16541" s="318"/>
      <c r="U16541" s="318"/>
      <c r="V16541" s="318"/>
      <c r="W16541" s="318"/>
      <c r="X16541" s="318"/>
      <c r="Y16541" s="318"/>
      <c r="Z16541" s="318"/>
      <c r="AA16541" s="318"/>
      <c r="AB16541" s="318"/>
      <c r="AC16541" s="318"/>
      <c r="AD16541" s="318"/>
    </row>
    <row r="16542" spans="2:30" s="323" customFormat="1" ht="12" customHeight="1">
      <c r="B16542" s="324"/>
      <c r="C16542" s="325"/>
      <c r="D16542" s="326"/>
      <c r="E16542" s="326"/>
      <c r="F16542" s="326"/>
      <c r="G16542" s="326"/>
      <c r="H16542" s="326"/>
      <c r="P16542" s="318"/>
      <c r="Q16542" s="318"/>
      <c r="R16542" s="318"/>
      <c r="S16542" s="318"/>
      <c r="T16542" s="318"/>
      <c r="U16542" s="318"/>
      <c r="V16542" s="318"/>
      <c r="W16542" s="318"/>
      <c r="X16542" s="318"/>
      <c r="Y16542" s="318"/>
      <c r="Z16542" s="318"/>
      <c r="AA16542" s="318"/>
      <c r="AB16542" s="318"/>
      <c r="AC16542" s="318"/>
      <c r="AD16542" s="318"/>
    </row>
    <row r="16543" spans="2:30" s="323" customFormat="1" ht="12" customHeight="1">
      <c r="B16543" s="324"/>
      <c r="C16543" s="325"/>
      <c r="D16543" s="326"/>
      <c r="E16543" s="326"/>
      <c r="F16543" s="326"/>
      <c r="G16543" s="326"/>
      <c r="H16543" s="326"/>
      <c r="P16543" s="318"/>
      <c r="Q16543" s="318"/>
      <c r="R16543" s="318"/>
      <c r="S16543" s="318"/>
      <c r="T16543" s="318"/>
      <c r="U16543" s="318"/>
      <c r="V16543" s="318"/>
      <c r="W16543" s="318"/>
      <c r="X16543" s="318"/>
      <c r="Y16543" s="318"/>
      <c r="Z16543" s="318"/>
      <c r="AA16543" s="318"/>
      <c r="AB16543" s="318"/>
      <c r="AC16543" s="318"/>
      <c r="AD16543" s="318"/>
    </row>
    <row r="16544" spans="2:30" s="323" customFormat="1" ht="12" customHeight="1">
      <c r="B16544" s="324"/>
      <c r="C16544" s="325"/>
      <c r="D16544" s="326"/>
      <c r="E16544" s="326"/>
      <c r="F16544" s="326"/>
      <c r="G16544" s="326"/>
      <c r="H16544" s="326"/>
      <c r="P16544" s="318"/>
      <c r="Q16544" s="318"/>
      <c r="R16544" s="318"/>
      <c r="S16544" s="318"/>
      <c r="T16544" s="318"/>
      <c r="U16544" s="318"/>
      <c r="V16544" s="318"/>
      <c r="W16544" s="318"/>
      <c r="X16544" s="318"/>
      <c r="Y16544" s="318"/>
      <c r="Z16544" s="318"/>
      <c r="AA16544" s="318"/>
      <c r="AB16544" s="318"/>
      <c r="AC16544" s="318"/>
      <c r="AD16544" s="318"/>
    </row>
    <row r="16545" spans="2:30" s="323" customFormat="1" ht="12" customHeight="1">
      <c r="B16545" s="324"/>
      <c r="C16545" s="325"/>
      <c r="D16545" s="326"/>
      <c r="E16545" s="326"/>
      <c r="F16545" s="326"/>
      <c r="G16545" s="326"/>
      <c r="H16545" s="326"/>
      <c r="P16545" s="318"/>
      <c r="Q16545" s="318"/>
      <c r="R16545" s="318"/>
      <c r="S16545" s="318"/>
      <c r="T16545" s="318"/>
      <c r="U16545" s="318"/>
      <c r="V16545" s="318"/>
      <c r="W16545" s="318"/>
      <c r="X16545" s="318"/>
      <c r="Y16545" s="318"/>
      <c r="Z16545" s="318"/>
      <c r="AA16545" s="318"/>
      <c r="AB16545" s="318"/>
      <c r="AC16545" s="318"/>
      <c r="AD16545" s="318"/>
    </row>
    <row r="16546" spans="2:30" s="323" customFormat="1" ht="12" customHeight="1">
      <c r="B16546" s="324"/>
      <c r="C16546" s="325"/>
      <c r="D16546" s="326"/>
      <c r="E16546" s="326"/>
      <c r="F16546" s="326"/>
      <c r="G16546" s="326"/>
      <c r="H16546" s="326"/>
      <c r="P16546" s="318"/>
      <c r="Q16546" s="318"/>
      <c r="R16546" s="318"/>
      <c r="S16546" s="318"/>
      <c r="T16546" s="318"/>
      <c r="U16546" s="318"/>
      <c r="V16546" s="318"/>
      <c r="W16546" s="318"/>
      <c r="X16546" s="318"/>
      <c r="Y16546" s="318"/>
      <c r="Z16546" s="318"/>
      <c r="AA16546" s="318"/>
      <c r="AB16546" s="318"/>
      <c r="AC16546" s="318"/>
      <c r="AD16546" s="318"/>
    </row>
    <row r="16547" spans="2:30" s="323" customFormat="1" ht="12" customHeight="1">
      <c r="B16547" s="324"/>
      <c r="C16547" s="325"/>
      <c r="D16547" s="326"/>
      <c r="E16547" s="326"/>
      <c r="F16547" s="326"/>
      <c r="G16547" s="326"/>
      <c r="H16547" s="326"/>
      <c r="P16547" s="318"/>
      <c r="Q16547" s="318"/>
      <c r="R16547" s="318"/>
      <c r="S16547" s="318"/>
      <c r="T16547" s="318"/>
      <c r="U16547" s="318"/>
      <c r="V16547" s="318"/>
      <c r="W16547" s="318"/>
      <c r="X16547" s="318"/>
      <c r="Y16547" s="318"/>
      <c r="Z16547" s="318"/>
      <c r="AA16547" s="318"/>
      <c r="AB16547" s="318"/>
      <c r="AC16547" s="318"/>
      <c r="AD16547" s="318"/>
    </row>
    <row r="16548" spans="2:30" s="323" customFormat="1" ht="12" customHeight="1">
      <c r="B16548" s="324"/>
      <c r="C16548" s="325"/>
      <c r="D16548" s="326"/>
      <c r="E16548" s="326"/>
      <c r="F16548" s="326"/>
      <c r="G16548" s="326"/>
      <c r="H16548" s="326"/>
      <c r="P16548" s="318"/>
      <c r="Q16548" s="318"/>
      <c r="R16548" s="318"/>
      <c r="S16548" s="318"/>
      <c r="T16548" s="318"/>
      <c r="U16548" s="318"/>
      <c r="V16548" s="318"/>
      <c r="W16548" s="318"/>
      <c r="X16548" s="318"/>
      <c r="Y16548" s="318"/>
      <c r="Z16548" s="318"/>
      <c r="AA16548" s="318"/>
      <c r="AB16548" s="318"/>
      <c r="AC16548" s="318"/>
      <c r="AD16548" s="318"/>
    </row>
    <row r="16549" spans="2:30" s="323" customFormat="1" ht="12" customHeight="1">
      <c r="B16549" s="324"/>
      <c r="C16549" s="325"/>
      <c r="D16549" s="326"/>
      <c r="E16549" s="326"/>
      <c r="F16549" s="326"/>
      <c r="G16549" s="326"/>
      <c r="H16549" s="326"/>
      <c r="P16549" s="318"/>
      <c r="Q16549" s="318"/>
      <c r="R16549" s="318"/>
      <c r="S16549" s="318"/>
      <c r="T16549" s="318"/>
      <c r="U16549" s="318"/>
      <c r="V16549" s="318"/>
      <c r="W16549" s="318"/>
      <c r="X16549" s="318"/>
      <c r="Y16549" s="318"/>
      <c r="Z16549" s="318"/>
      <c r="AA16549" s="318"/>
      <c r="AB16549" s="318"/>
      <c r="AC16549" s="318"/>
      <c r="AD16549" s="318"/>
    </row>
    <row r="16550" spans="2:30" s="323" customFormat="1" ht="12" customHeight="1">
      <c r="B16550" s="324"/>
      <c r="C16550" s="325"/>
      <c r="D16550" s="326"/>
      <c r="E16550" s="326"/>
      <c r="F16550" s="326"/>
      <c r="G16550" s="326"/>
      <c r="H16550" s="326"/>
      <c r="P16550" s="318"/>
      <c r="Q16550" s="318"/>
      <c r="R16550" s="318"/>
      <c r="S16550" s="318"/>
      <c r="T16550" s="318"/>
      <c r="U16550" s="318"/>
      <c r="V16550" s="318"/>
      <c r="W16550" s="318"/>
      <c r="X16550" s="318"/>
      <c r="Y16550" s="318"/>
      <c r="Z16550" s="318"/>
      <c r="AA16550" s="318"/>
      <c r="AB16550" s="318"/>
      <c r="AC16550" s="318"/>
      <c r="AD16550" s="318"/>
    </row>
    <row r="16551" spans="2:30" s="323" customFormat="1" ht="12" customHeight="1">
      <c r="B16551" s="324"/>
      <c r="C16551" s="325"/>
      <c r="D16551" s="326"/>
      <c r="E16551" s="326"/>
      <c r="F16551" s="326"/>
      <c r="G16551" s="326"/>
      <c r="H16551" s="326"/>
      <c r="P16551" s="318"/>
      <c r="Q16551" s="318"/>
      <c r="R16551" s="318"/>
      <c r="S16551" s="318"/>
      <c r="T16551" s="318"/>
      <c r="U16551" s="318"/>
      <c r="V16551" s="318"/>
      <c r="W16551" s="318"/>
      <c r="X16551" s="318"/>
      <c r="Y16551" s="318"/>
      <c r="Z16551" s="318"/>
      <c r="AA16551" s="318"/>
      <c r="AB16551" s="318"/>
      <c r="AC16551" s="318"/>
      <c r="AD16551" s="318"/>
    </row>
    <row r="16552" spans="2:30" s="323" customFormat="1" ht="12" customHeight="1">
      <c r="B16552" s="324"/>
      <c r="C16552" s="325"/>
      <c r="D16552" s="326"/>
      <c r="E16552" s="326"/>
      <c r="F16552" s="326"/>
      <c r="G16552" s="326"/>
      <c r="H16552" s="326"/>
      <c r="P16552" s="318"/>
      <c r="Q16552" s="318"/>
      <c r="R16552" s="318"/>
      <c r="S16552" s="318"/>
      <c r="T16552" s="318"/>
      <c r="U16552" s="318"/>
      <c r="V16552" s="318"/>
      <c r="W16552" s="318"/>
      <c r="X16552" s="318"/>
      <c r="Y16552" s="318"/>
      <c r="Z16552" s="318"/>
      <c r="AA16552" s="318"/>
      <c r="AB16552" s="318"/>
      <c r="AC16552" s="318"/>
      <c r="AD16552" s="318"/>
    </row>
    <row r="16553" spans="2:30" s="323" customFormat="1" ht="12" customHeight="1">
      <c r="B16553" s="324"/>
      <c r="C16553" s="325"/>
      <c r="D16553" s="326"/>
      <c r="E16553" s="326"/>
      <c r="F16553" s="326"/>
      <c r="G16553" s="326"/>
      <c r="H16553" s="326"/>
      <c r="P16553" s="318"/>
      <c r="Q16553" s="318"/>
      <c r="R16553" s="318"/>
      <c r="S16553" s="318"/>
      <c r="T16553" s="318"/>
      <c r="U16553" s="318"/>
      <c r="V16553" s="318"/>
      <c r="W16553" s="318"/>
      <c r="X16553" s="318"/>
      <c r="Y16553" s="318"/>
      <c r="Z16553" s="318"/>
      <c r="AA16553" s="318"/>
      <c r="AB16553" s="318"/>
      <c r="AC16553" s="318"/>
      <c r="AD16553" s="318"/>
    </row>
    <row r="16554" spans="2:30" s="323" customFormat="1" ht="12" customHeight="1">
      <c r="B16554" s="324"/>
      <c r="C16554" s="325"/>
      <c r="D16554" s="326"/>
      <c r="E16554" s="326"/>
      <c r="F16554" s="326"/>
      <c r="G16554" s="326"/>
      <c r="H16554" s="326"/>
      <c r="P16554" s="318"/>
      <c r="Q16554" s="318"/>
      <c r="R16554" s="318"/>
      <c r="S16554" s="318"/>
      <c r="T16554" s="318"/>
      <c r="U16554" s="318"/>
      <c r="V16554" s="318"/>
      <c r="W16554" s="318"/>
      <c r="X16554" s="318"/>
      <c r="Y16554" s="318"/>
      <c r="Z16554" s="318"/>
      <c r="AA16554" s="318"/>
      <c r="AB16554" s="318"/>
      <c r="AC16554" s="318"/>
      <c r="AD16554" s="318"/>
    </row>
    <row r="16555" spans="2:30" s="323" customFormat="1" ht="12" customHeight="1">
      <c r="B16555" s="324"/>
      <c r="C16555" s="325"/>
      <c r="D16555" s="326"/>
      <c r="E16555" s="326"/>
      <c r="F16555" s="326"/>
      <c r="G16555" s="326"/>
      <c r="H16555" s="326"/>
      <c r="P16555" s="318"/>
      <c r="Q16555" s="318"/>
      <c r="R16555" s="318"/>
      <c r="S16555" s="318"/>
      <c r="T16555" s="318"/>
      <c r="U16555" s="318"/>
      <c r="V16555" s="318"/>
      <c r="W16555" s="318"/>
      <c r="X16555" s="318"/>
      <c r="Y16555" s="318"/>
      <c r="Z16555" s="318"/>
      <c r="AA16555" s="318"/>
      <c r="AB16555" s="318"/>
      <c r="AC16555" s="318"/>
      <c r="AD16555" s="318"/>
    </row>
    <row r="16556" spans="2:30" s="323" customFormat="1" ht="12" customHeight="1">
      <c r="B16556" s="324"/>
      <c r="C16556" s="325"/>
      <c r="D16556" s="326"/>
      <c r="E16556" s="326"/>
      <c r="F16556" s="326"/>
      <c r="G16556" s="326"/>
      <c r="H16556" s="326"/>
      <c r="P16556" s="318"/>
      <c r="Q16556" s="318"/>
      <c r="R16556" s="318"/>
      <c r="S16556" s="318"/>
      <c r="T16556" s="318"/>
      <c r="U16556" s="318"/>
      <c r="V16556" s="318"/>
      <c r="W16556" s="318"/>
      <c r="X16556" s="318"/>
      <c r="Y16556" s="318"/>
      <c r="Z16556" s="318"/>
      <c r="AA16556" s="318"/>
      <c r="AB16556" s="318"/>
      <c r="AC16556" s="318"/>
      <c r="AD16556" s="318"/>
    </row>
    <row r="16557" spans="2:30" s="323" customFormat="1" ht="12" customHeight="1">
      <c r="B16557" s="324"/>
      <c r="C16557" s="325"/>
      <c r="D16557" s="326"/>
      <c r="E16557" s="326"/>
      <c r="F16557" s="326"/>
      <c r="G16557" s="326"/>
      <c r="H16557" s="326"/>
      <c r="P16557" s="318"/>
      <c r="Q16557" s="318"/>
      <c r="R16557" s="318"/>
      <c r="S16557" s="318"/>
      <c r="T16557" s="318"/>
      <c r="U16557" s="318"/>
      <c r="V16557" s="318"/>
      <c r="W16557" s="318"/>
      <c r="X16557" s="318"/>
      <c r="Y16557" s="318"/>
      <c r="Z16557" s="318"/>
      <c r="AA16557" s="318"/>
      <c r="AB16557" s="318"/>
      <c r="AC16557" s="318"/>
      <c r="AD16557" s="318"/>
    </row>
    <row r="16558" spans="2:30" s="323" customFormat="1" ht="12" customHeight="1">
      <c r="B16558" s="324"/>
      <c r="C16558" s="325"/>
      <c r="D16558" s="326"/>
      <c r="E16558" s="326"/>
      <c r="F16558" s="326"/>
      <c r="G16558" s="326"/>
      <c r="H16558" s="326"/>
      <c r="P16558" s="318"/>
      <c r="Q16558" s="318"/>
      <c r="R16558" s="318"/>
      <c r="S16558" s="318"/>
      <c r="T16558" s="318"/>
      <c r="U16558" s="318"/>
      <c r="V16558" s="318"/>
      <c r="W16558" s="318"/>
      <c r="X16558" s="318"/>
      <c r="Y16558" s="318"/>
      <c r="Z16558" s="318"/>
      <c r="AA16558" s="318"/>
      <c r="AB16558" s="318"/>
      <c r="AC16558" s="318"/>
      <c r="AD16558" s="318"/>
    </row>
    <row r="16559" spans="2:30" s="323" customFormat="1" ht="12" customHeight="1">
      <c r="B16559" s="324"/>
      <c r="C16559" s="325"/>
      <c r="D16559" s="326"/>
      <c r="E16559" s="326"/>
      <c r="F16559" s="326"/>
      <c r="G16559" s="326"/>
      <c r="H16559" s="326"/>
      <c r="P16559" s="318"/>
      <c r="Q16559" s="318"/>
      <c r="R16559" s="318"/>
      <c r="S16559" s="318"/>
      <c r="T16559" s="318"/>
      <c r="U16559" s="318"/>
      <c r="V16559" s="318"/>
      <c r="W16559" s="318"/>
      <c r="X16559" s="318"/>
      <c r="Y16559" s="318"/>
      <c r="Z16559" s="318"/>
      <c r="AA16559" s="318"/>
      <c r="AB16559" s="318"/>
      <c r="AC16559" s="318"/>
      <c r="AD16559" s="318"/>
    </row>
    <row r="16560" spans="2:30" s="323" customFormat="1" ht="12" customHeight="1">
      <c r="B16560" s="324"/>
      <c r="C16560" s="325"/>
      <c r="D16560" s="326"/>
      <c r="E16560" s="326"/>
      <c r="F16560" s="326"/>
      <c r="G16560" s="326"/>
      <c r="H16560" s="326"/>
      <c r="P16560" s="318"/>
      <c r="Q16560" s="318"/>
      <c r="R16560" s="318"/>
      <c r="S16560" s="318"/>
      <c r="T16560" s="318"/>
      <c r="U16560" s="318"/>
      <c r="V16560" s="318"/>
      <c r="W16560" s="318"/>
      <c r="X16560" s="318"/>
      <c r="Y16560" s="318"/>
      <c r="Z16560" s="318"/>
      <c r="AA16560" s="318"/>
      <c r="AB16560" s="318"/>
      <c r="AC16560" s="318"/>
      <c r="AD16560" s="318"/>
    </row>
    <row r="16561" spans="2:30" s="323" customFormat="1" ht="12" customHeight="1">
      <c r="B16561" s="324"/>
      <c r="C16561" s="325"/>
      <c r="D16561" s="326"/>
      <c r="E16561" s="326"/>
      <c r="F16561" s="326"/>
      <c r="G16561" s="326"/>
      <c r="H16561" s="326"/>
      <c r="P16561" s="318"/>
      <c r="Q16561" s="318"/>
      <c r="R16561" s="318"/>
      <c r="S16561" s="318"/>
      <c r="T16561" s="318"/>
      <c r="U16561" s="318"/>
      <c r="V16561" s="318"/>
      <c r="W16561" s="318"/>
      <c r="X16561" s="318"/>
      <c r="Y16561" s="318"/>
      <c r="Z16561" s="318"/>
      <c r="AA16561" s="318"/>
      <c r="AB16561" s="318"/>
      <c r="AC16561" s="318"/>
      <c r="AD16561" s="318"/>
    </row>
    <row r="16562" spans="2:30" s="323" customFormat="1" ht="12" customHeight="1">
      <c r="B16562" s="324"/>
      <c r="C16562" s="325"/>
      <c r="D16562" s="326"/>
      <c r="E16562" s="326"/>
      <c r="F16562" s="326"/>
      <c r="G16562" s="326"/>
      <c r="H16562" s="326"/>
      <c r="P16562" s="318"/>
      <c r="Q16562" s="318"/>
      <c r="R16562" s="318"/>
      <c r="S16562" s="318"/>
      <c r="T16562" s="318"/>
      <c r="U16562" s="318"/>
      <c r="V16562" s="318"/>
      <c r="W16562" s="318"/>
      <c r="X16562" s="318"/>
      <c r="Y16562" s="318"/>
      <c r="Z16562" s="318"/>
      <c r="AA16562" s="318"/>
      <c r="AB16562" s="318"/>
      <c r="AC16562" s="318"/>
      <c r="AD16562" s="318"/>
    </row>
    <row r="16563" spans="2:30" s="323" customFormat="1" ht="12" customHeight="1">
      <c r="B16563" s="324"/>
      <c r="C16563" s="325"/>
      <c r="D16563" s="326"/>
      <c r="E16563" s="326"/>
      <c r="F16563" s="326"/>
      <c r="G16563" s="326"/>
      <c r="H16563" s="326"/>
      <c r="P16563" s="318"/>
      <c r="Q16563" s="318"/>
      <c r="R16563" s="318"/>
      <c r="S16563" s="318"/>
      <c r="T16563" s="318"/>
      <c r="U16563" s="318"/>
      <c r="V16563" s="318"/>
      <c r="W16563" s="318"/>
      <c r="X16563" s="318"/>
      <c r="Y16563" s="318"/>
      <c r="Z16563" s="318"/>
      <c r="AA16563" s="318"/>
      <c r="AB16563" s="318"/>
      <c r="AC16563" s="318"/>
      <c r="AD16563" s="318"/>
    </row>
    <row r="16564" spans="2:30" s="323" customFormat="1" ht="12" customHeight="1">
      <c r="B16564" s="324"/>
      <c r="C16564" s="325"/>
      <c r="D16564" s="326"/>
      <c r="E16564" s="326"/>
      <c r="F16564" s="326"/>
      <c r="G16564" s="326"/>
      <c r="H16564" s="326"/>
      <c r="P16564" s="318"/>
      <c r="Q16564" s="318"/>
      <c r="R16564" s="318"/>
      <c r="S16564" s="318"/>
      <c r="T16564" s="318"/>
      <c r="U16564" s="318"/>
      <c r="V16564" s="318"/>
      <c r="W16564" s="318"/>
      <c r="X16564" s="318"/>
      <c r="Y16564" s="318"/>
      <c r="Z16564" s="318"/>
      <c r="AA16564" s="318"/>
      <c r="AB16564" s="318"/>
      <c r="AC16564" s="318"/>
      <c r="AD16564" s="318"/>
    </row>
    <row r="16565" spans="2:30" s="323" customFormat="1" ht="12" customHeight="1">
      <c r="B16565" s="324"/>
      <c r="C16565" s="325"/>
      <c r="D16565" s="326"/>
      <c r="E16565" s="326"/>
      <c r="F16565" s="326"/>
      <c r="G16565" s="326"/>
      <c r="H16565" s="326"/>
      <c r="P16565" s="318"/>
      <c r="Q16565" s="318"/>
      <c r="R16565" s="318"/>
      <c r="S16565" s="318"/>
      <c r="T16565" s="318"/>
      <c r="U16565" s="318"/>
      <c r="V16565" s="318"/>
      <c r="W16565" s="318"/>
      <c r="X16565" s="318"/>
      <c r="Y16565" s="318"/>
      <c r="Z16565" s="318"/>
      <c r="AA16565" s="318"/>
      <c r="AB16565" s="318"/>
      <c r="AC16565" s="318"/>
      <c r="AD16565" s="318"/>
    </row>
    <row r="16566" spans="2:30" s="323" customFormat="1" ht="12" customHeight="1">
      <c r="B16566" s="324"/>
      <c r="C16566" s="325"/>
      <c r="D16566" s="326"/>
      <c r="E16566" s="326"/>
      <c r="F16566" s="326"/>
      <c r="G16566" s="326"/>
      <c r="H16566" s="326"/>
      <c r="P16566" s="318"/>
      <c r="Q16566" s="318"/>
      <c r="R16566" s="318"/>
      <c r="S16566" s="318"/>
      <c r="T16566" s="318"/>
      <c r="U16566" s="318"/>
      <c r="V16566" s="318"/>
      <c r="W16566" s="318"/>
      <c r="X16566" s="318"/>
      <c r="Y16566" s="318"/>
      <c r="Z16566" s="318"/>
      <c r="AA16566" s="318"/>
      <c r="AB16566" s="318"/>
      <c r="AC16566" s="318"/>
      <c r="AD16566" s="318"/>
    </row>
    <row r="16567" spans="2:30" s="323" customFormat="1" ht="12" customHeight="1">
      <c r="B16567" s="324"/>
      <c r="C16567" s="325"/>
      <c r="D16567" s="326"/>
      <c r="E16567" s="326"/>
      <c r="F16567" s="326"/>
      <c r="G16567" s="326"/>
      <c r="H16567" s="326"/>
      <c r="P16567" s="318"/>
      <c r="Q16567" s="318"/>
      <c r="R16567" s="318"/>
      <c r="S16567" s="318"/>
      <c r="T16567" s="318"/>
      <c r="U16567" s="318"/>
      <c r="V16567" s="318"/>
      <c r="W16567" s="318"/>
      <c r="X16567" s="318"/>
      <c r="Y16567" s="318"/>
      <c r="Z16567" s="318"/>
      <c r="AA16567" s="318"/>
      <c r="AB16567" s="318"/>
      <c r="AC16567" s="318"/>
      <c r="AD16567" s="318"/>
    </row>
    <row r="16568" spans="2:30" s="323" customFormat="1" ht="12" customHeight="1">
      <c r="B16568" s="324"/>
      <c r="C16568" s="325"/>
      <c r="D16568" s="326"/>
      <c r="E16568" s="326"/>
      <c r="F16568" s="326"/>
      <c r="G16568" s="326"/>
      <c r="H16568" s="326"/>
      <c r="P16568" s="318"/>
      <c r="Q16568" s="318"/>
      <c r="R16568" s="318"/>
      <c r="S16568" s="318"/>
      <c r="T16568" s="318"/>
      <c r="U16568" s="318"/>
      <c r="V16568" s="318"/>
      <c r="W16568" s="318"/>
      <c r="X16568" s="318"/>
      <c r="Y16568" s="318"/>
      <c r="Z16568" s="318"/>
      <c r="AA16568" s="318"/>
      <c r="AB16568" s="318"/>
      <c r="AC16568" s="318"/>
      <c r="AD16568" s="318"/>
    </row>
    <row r="16569" spans="2:30" s="323" customFormat="1" ht="12" customHeight="1">
      <c r="B16569" s="324"/>
      <c r="C16569" s="325"/>
      <c r="D16569" s="326"/>
      <c r="E16569" s="326"/>
      <c r="F16569" s="326"/>
      <c r="G16569" s="326"/>
      <c r="H16569" s="326"/>
      <c r="P16569" s="318"/>
      <c r="Q16569" s="318"/>
      <c r="R16569" s="318"/>
      <c r="S16569" s="318"/>
      <c r="T16569" s="318"/>
      <c r="U16569" s="318"/>
      <c r="V16569" s="318"/>
      <c r="W16569" s="318"/>
      <c r="X16569" s="318"/>
      <c r="Y16569" s="318"/>
      <c r="Z16569" s="318"/>
      <c r="AA16569" s="318"/>
      <c r="AB16569" s="318"/>
      <c r="AC16569" s="318"/>
      <c r="AD16569" s="318"/>
    </row>
    <row r="16570" spans="2:30" s="323" customFormat="1" ht="12" customHeight="1">
      <c r="B16570" s="324"/>
      <c r="C16570" s="325"/>
      <c r="D16570" s="326"/>
      <c r="E16570" s="326"/>
      <c r="F16570" s="326"/>
      <c r="G16570" s="326"/>
      <c r="H16570" s="326"/>
      <c r="P16570" s="318"/>
      <c r="Q16570" s="318"/>
      <c r="R16570" s="318"/>
      <c r="S16570" s="318"/>
      <c r="T16570" s="318"/>
      <c r="U16570" s="318"/>
      <c r="V16570" s="318"/>
      <c r="W16570" s="318"/>
      <c r="X16570" s="318"/>
      <c r="Y16570" s="318"/>
      <c r="Z16570" s="318"/>
      <c r="AA16570" s="318"/>
      <c r="AB16570" s="318"/>
      <c r="AC16570" s="318"/>
      <c r="AD16570" s="318"/>
    </row>
    <row r="16571" spans="2:30" s="323" customFormat="1" ht="12" customHeight="1">
      <c r="B16571" s="324"/>
      <c r="C16571" s="325"/>
      <c r="D16571" s="326"/>
      <c r="E16571" s="326"/>
      <c r="F16571" s="326"/>
      <c r="G16571" s="326"/>
      <c r="H16571" s="326"/>
      <c r="P16571" s="318"/>
      <c r="Q16571" s="318"/>
      <c r="R16571" s="318"/>
      <c r="S16571" s="318"/>
      <c r="T16571" s="318"/>
      <c r="U16571" s="318"/>
      <c r="V16571" s="318"/>
      <c r="W16571" s="318"/>
      <c r="X16571" s="318"/>
      <c r="Y16571" s="318"/>
      <c r="Z16571" s="318"/>
      <c r="AA16571" s="318"/>
      <c r="AB16571" s="318"/>
      <c r="AC16571" s="318"/>
      <c r="AD16571" s="318"/>
    </row>
    <row r="16572" spans="2:30" s="323" customFormat="1" ht="12" customHeight="1">
      <c r="B16572" s="324"/>
      <c r="C16572" s="325"/>
      <c r="D16572" s="326"/>
      <c r="E16572" s="326"/>
      <c r="F16572" s="326"/>
      <c r="G16572" s="326"/>
      <c r="H16572" s="326"/>
      <c r="P16572" s="318"/>
      <c r="Q16572" s="318"/>
      <c r="R16572" s="318"/>
      <c r="S16572" s="318"/>
      <c r="T16572" s="318"/>
      <c r="U16572" s="318"/>
      <c r="V16572" s="318"/>
      <c r="W16572" s="318"/>
      <c r="X16572" s="318"/>
      <c r="Y16572" s="318"/>
      <c r="Z16572" s="318"/>
      <c r="AA16572" s="318"/>
      <c r="AB16572" s="318"/>
      <c r="AC16572" s="318"/>
      <c r="AD16572" s="318"/>
    </row>
    <row r="16573" spans="2:30" s="323" customFormat="1" ht="12" customHeight="1">
      <c r="B16573" s="324"/>
      <c r="C16573" s="325"/>
      <c r="D16573" s="326"/>
      <c r="E16573" s="326"/>
      <c r="F16573" s="326"/>
      <c r="G16573" s="326"/>
      <c r="H16573" s="326"/>
      <c r="P16573" s="318"/>
      <c r="Q16573" s="318"/>
      <c r="R16573" s="318"/>
      <c r="S16573" s="318"/>
      <c r="T16573" s="318"/>
      <c r="U16573" s="318"/>
      <c r="V16573" s="318"/>
      <c r="W16573" s="318"/>
      <c r="X16573" s="318"/>
      <c r="Y16573" s="318"/>
      <c r="Z16573" s="318"/>
      <c r="AA16573" s="318"/>
      <c r="AB16573" s="318"/>
      <c r="AC16573" s="318"/>
      <c r="AD16573" s="318"/>
    </row>
    <row r="16574" spans="2:30" s="323" customFormat="1" ht="12" customHeight="1">
      <c r="B16574" s="324"/>
      <c r="C16574" s="325"/>
      <c r="D16574" s="326"/>
      <c r="E16574" s="326"/>
      <c r="F16574" s="326"/>
      <c r="G16574" s="326"/>
      <c r="H16574" s="326"/>
      <c r="P16574" s="318"/>
      <c r="Q16574" s="318"/>
      <c r="R16574" s="318"/>
      <c r="S16574" s="318"/>
      <c r="T16574" s="318"/>
      <c r="U16574" s="318"/>
      <c r="V16574" s="318"/>
      <c r="W16574" s="318"/>
      <c r="X16574" s="318"/>
      <c r="Y16574" s="318"/>
      <c r="Z16574" s="318"/>
      <c r="AA16574" s="318"/>
      <c r="AB16574" s="318"/>
      <c r="AC16574" s="318"/>
      <c r="AD16574" s="318"/>
    </row>
    <row r="16575" spans="2:30" s="323" customFormat="1" ht="12" customHeight="1">
      <c r="B16575" s="324"/>
      <c r="C16575" s="325"/>
      <c r="D16575" s="326"/>
      <c r="E16575" s="326"/>
      <c r="F16575" s="326"/>
      <c r="G16575" s="326"/>
      <c r="H16575" s="326"/>
      <c r="P16575" s="318"/>
      <c r="Q16575" s="318"/>
      <c r="R16575" s="318"/>
      <c r="S16575" s="318"/>
      <c r="T16575" s="318"/>
      <c r="U16575" s="318"/>
      <c r="V16575" s="318"/>
      <c r="W16575" s="318"/>
      <c r="X16575" s="318"/>
      <c r="Y16575" s="318"/>
      <c r="Z16575" s="318"/>
      <c r="AA16575" s="318"/>
      <c r="AB16575" s="318"/>
      <c r="AC16575" s="318"/>
      <c r="AD16575" s="318"/>
    </row>
    <row r="16576" spans="2:30" s="323" customFormat="1" ht="12" customHeight="1">
      <c r="B16576" s="324"/>
      <c r="C16576" s="325"/>
      <c r="D16576" s="326"/>
      <c r="E16576" s="326"/>
      <c r="F16576" s="326"/>
      <c r="G16576" s="326"/>
      <c r="H16576" s="326"/>
      <c r="P16576" s="318"/>
      <c r="Q16576" s="318"/>
      <c r="R16576" s="318"/>
      <c r="S16576" s="318"/>
      <c r="T16576" s="318"/>
      <c r="U16576" s="318"/>
      <c r="V16576" s="318"/>
      <c r="W16576" s="318"/>
      <c r="X16576" s="318"/>
      <c r="Y16576" s="318"/>
      <c r="Z16576" s="318"/>
      <c r="AA16576" s="318"/>
      <c r="AB16576" s="318"/>
      <c r="AC16576" s="318"/>
      <c r="AD16576" s="318"/>
    </row>
    <row r="16577" spans="2:30" s="323" customFormat="1" ht="12" customHeight="1">
      <c r="B16577" s="324"/>
      <c r="C16577" s="325"/>
      <c r="D16577" s="326"/>
      <c r="E16577" s="326"/>
      <c r="F16577" s="326"/>
      <c r="G16577" s="326"/>
      <c r="H16577" s="326"/>
      <c r="P16577" s="318"/>
      <c r="Q16577" s="318"/>
      <c r="R16577" s="318"/>
      <c r="S16577" s="318"/>
      <c r="T16577" s="318"/>
      <c r="U16577" s="318"/>
      <c r="V16577" s="318"/>
      <c r="W16577" s="318"/>
      <c r="X16577" s="318"/>
      <c r="Y16577" s="318"/>
      <c r="Z16577" s="318"/>
      <c r="AA16577" s="318"/>
      <c r="AB16577" s="318"/>
      <c r="AC16577" s="318"/>
      <c r="AD16577" s="318"/>
    </row>
    <row r="16578" spans="2:30" s="323" customFormat="1" ht="12" customHeight="1">
      <c r="B16578" s="324"/>
      <c r="C16578" s="325"/>
      <c r="D16578" s="326"/>
      <c r="E16578" s="326"/>
      <c r="F16578" s="326"/>
      <c r="G16578" s="326"/>
      <c r="H16578" s="326"/>
      <c r="P16578" s="318"/>
      <c r="Q16578" s="318"/>
      <c r="R16578" s="318"/>
      <c r="S16578" s="318"/>
      <c r="T16578" s="318"/>
      <c r="U16578" s="318"/>
      <c r="V16578" s="318"/>
      <c r="W16578" s="318"/>
      <c r="X16578" s="318"/>
      <c r="Y16578" s="318"/>
      <c r="Z16578" s="318"/>
      <c r="AA16578" s="318"/>
      <c r="AB16578" s="318"/>
      <c r="AC16578" s="318"/>
      <c r="AD16578" s="318"/>
    </row>
    <row r="16579" spans="2:30" s="323" customFormat="1" ht="12" customHeight="1">
      <c r="B16579" s="324"/>
      <c r="C16579" s="325"/>
      <c r="D16579" s="326"/>
      <c r="E16579" s="326"/>
      <c r="F16579" s="326"/>
      <c r="G16579" s="326"/>
      <c r="H16579" s="326"/>
      <c r="P16579" s="318"/>
      <c r="Q16579" s="318"/>
      <c r="R16579" s="318"/>
      <c r="S16579" s="318"/>
      <c r="T16579" s="318"/>
      <c r="U16579" s="318"/>
      <c r="V16579" s="318"/>
      <c r="W16579" s="318"/>
      <c r="X16579" s="318"/>
      <c r="Y16579" s="318"/>
      <c r="Z16579" s="318"/>
      <c r="AA16579" s="318"/>
      <c r="AB16579" s="318"/>
      <c r="AC16579" s="318"/>
      <c r="AD16579" s="318"/>
    </row>
    <row r="16580" spans="2:30" s="323" customFormat="1" ht="12" customHeight="1">
      <c r="B16580" s="324"/>
      <c r="C16580" s="325"/>
      <c r="D16580" s="326"/>
      <c r="E16580" s="326"/>
      <c r="F16580" s="326"/>
      <c r="G16580" s="326"/>
      <c r="H16580" s="326"/>
      <c r="P16580" s="318"/>
      <c r="Q16580" s="318"/>
      <c r="R16580" s="318"/>
      <c r="S16580" s="318"/>
      <c r="T16580" s="318"/>
      <c r="U16580" s="318"/>
      <c r="V16580" s="318"/>
      <c r="W16580" s="318"/>
      <c r="X16580" s="318"/>
      <c r="Y16580" s="318"/>
      <c r="Z16580" s="318"/>
      <c r="AA16580" s="318"/>
      <c r="AB16580" s="318"/>
      <c r="AC16580" s="318"/>
      <c r="AD16580" s="318"/>
    </row>
    <row r="16581" spans="2:30" s="323" customFormat="1" ht="12" customHeight="1">
      <c r="B16581" s="324"/>
      <c r="C16581" s="325"/>
      <c r="D16581" s="326"/>
      <c r="E16581" s="326"/>
      <c r="F16581" s="326"/>
      <c r="G16581" s="326"/>
      <c r="H16581" s="326"/>
      <c r="P16581" s="318"/>
      <c r="Q16581" s="318"/>
      <c r="R16581" s="318"/>
      <c r="S16581" s="318"/>
      <c r="T16581" s="318"/>
      <c r="U16581" s="318"/>
      <c r="V16581" s="318"/>
      <c r="W16581" s="318"/>
      <c r="X16581" s="318"/>
      <c r="Y16581" s="318"/>
      <c r="Z16581" s="318"/>
      <c r="AA16581" s="318"/>
      <c r="AB16581" s="318"/>
      <c r="AC16581" s="318"/>
      <c r="AD16581" s="318"/>
    </row>
    <row r="16582" spans="2:30" s="323" customFormat="1" ht="12" customHeight="1">
      <c r="B16582" s="324"/>
      <c r="C16582" s="325"/>
      <c r="D16582" s="326"/>
      <c r="E16582" s="326"/>
      <c r="F16582" s="326"/>
      <c r="G16582" s="326"/>
      <c r="H16582" s="326"/>
      <c r="P16582" s="318"/>
      <c r="Q16582" s="318"/>
      <c r="R16582" s="318"/>
      <c r="S16582" s="318"/>
      <c r="T16582" s="318"/>
      <c r="U16582" s="318"/>
      <c r="V16582" s="318"/>
      <c r="W16582" s="318"/>
      <c r="X16582" s="318"/>
      <c r="Y16582" s="318"/>
      <c r="Z16582" s="318"/>
      <c r="AA16582" s="318"/>
      <c r="AB16582" s="318"/>
      <c r="AC16582" s="318"/>
      <c r="AD16582" s="318"/>
    </row>
    <row r="16583" spans="2:30" s="323" customFormat="1" ht="12" customHeight="1">
      <c r="B16583" s="324"/>
      <c r="C16583" s="325"/>
      <c r="D16583" s="326"/>
      <c r="E16583" s="326"/>
      <c r="F16583" s="326"/>
      <c r="G16583" s="326"/>
      <c r="H16583" s="326"/>
      <c r="P16583" s="318"/>
      <c r="Q16583" s="318"/>
      <c r="R16583" s="318"/>
      <c r="S16583" s="318"/>
      <c r="T16583" s="318"/>
      <c r="U16583" s="318"/>
      <c r="V16583" s="318"/>
      <c r="W16583" s="318"/>
      <c r="X16583" s="318"/>
      <c r="Y16583" s="318"/>
      <c r="Z16583" s="318"/>
      <c r="AA16583" s="318"/>
      <c r="AB16583" s="318"/>
      <c r="AC16583" s="318"/>
      <c r="AD16583" s="318"/>
    </row>
    <row r="16584" spans="2:30" s="323" customFormat="1" ht="12" customHeight="1">
      <c r="B16584" s="324"/>
      <c r="C16584" s="325"/>
      <c r="D16584" s="326"/>
      <c r="E16584" s="326"/>
      <c r="F16584" s="326"/>
      <c r="G16584" s="326"/>
      <c r="H16584" s="326"/>
      <c r="P16584" s="318"/>
      <c r="Q16584" s="318"/>
      <c r="R16584" s="318"/>
      <c r="S16584" s="318"/>
      <c r="T16584" s="318"/>
      <c r="U16584" s="318"/>
      <c r="V16584" s="318"/>
      <c r="W16584" s="318"/>
      <c r="X16584" s="318"/>
      <c r="Y16584" s="318"/>
      <c r="Z16584" s="318"/>
      <c r="AA16584" s="318"/>
      <c r="AB16584" s="318"/>
      <c r="AC16584" s="318"/>
      <c r="AD16584" s="318"/>
    </row>
    <row r="16585" spans="2:30" s="323" customFormat="1" ht="12" customHeight="1">
      <c r="B16585" s="324"/>
      <c r="C16585" s="325"/>
      <c r="D16585" s="326"/>
      <c r="E16585" s="326"/>
      <c r="F16585" s="326"/>
      <c r="G16585" s="326"/>
      <c r="H16585" s="326"/>
      <c r="P16585" s="318"/>
      <c r="Q16585" s="318"/>
      <c r="R16585" s="318"/>
      <c r="S16585" s="318"/>
      <c r="T16585" s="318"/>
      <c r="U16585" s="318"/>
      <c r="V16585" s="318"/>
      <c r="W16585" s="318"/>
      <c r="X16585" s="318"/>
      <c r="Y16585" s="318"/>
      <c r="Z16585" s="318"/>
      <c r="AA16585" s="318"/>
      <c r="AB16585" s="318"/>
      <c r="AC16585" s="318"/>
      <c r="AD16585" s="318"/>
    </row>
    <row r="16586" spans="2:30" s="323" customFormat="1" ht="12" customHeight="1">
      <c r="B16586" s="324"/>
      <c r="C16586" s="325"/>
      <c r="D16586" s="326"/>
      <c r="E16586" s="326"/>
      <c r="F16586" s="326"/>
      <c r="G16586" s="326"/>
      <c r="H16586" s="326"/>
      <c r="P16586" s="318"/>
      <c r="Q16586" s="318"/>
      <c r="R16586" s="318"/>
      <c r="S16586" s="318"/>
      <c r="T16586" s="318"/>
      <c r="U16586" s="318"/>
      <c r="V16586" s="318"/>
      <c r="W16586" s="318"/>
      <c r="X16586" s="318"/>
      <c r="Y16586" s="318"/>
      <c r="Z16586" s="318"/>
      <c r="AA16586" s="318"/>
      <c r="AB16586" s="318"/>
      <c r="AC16586" s="318"/>
      <c r="AD16586" s="318"/>
    </row>
    <row r="16587" spans="2:30" s="323" customFormat="1" ht="12" customHeight="1">
      <c r="B16587" s="324"/>
      <c r="C16587" s="325"/>
      <c r="D16587" s="326"/>
      <c r="E16587" s="326"/>
      <c r="F16587" s="326"/>
      <c r="G16587" s="326"/>
      <c r="H16587" s="326"/>
      <c r="P16587" s="318"/>
      <c r="Q16587" s="318"/>
      <c r="R16587" s="318"/>
      <c r="S16587" s="318"/>
      <c r="T16587" s="318"/>
      <c r="U16587" s="318"/>
      <c r="V16587" s="318"/>
      <c r="W16587" s="318"/>
      <c r="X16587" s="318"/>
      <c r="Y16587" s="318"/>
      <c r="Z16587" s="318"/>
      <c r="AA16587" s="318"/>
      <c r="AB16587" s="318"/>
      <c r="AC16587" s="318"/>
      <c r="AD16587" s="318"/>
    </row>
    <row r="16588" spans="2:30" s="323" customFormat="1" ht="12" customHeight="1">
      <c r="B16588" s="324"/>
      <c r="C16588" s="325"/>
      <c r="D16588" s="326"/>
      <c r="E16588" s="326"/>
      <c r="F16588" s="326"/>
      <c r="G16588" s="326"/>
      <c r="H16588" s="326"/>
      <c r="P16588" s="318"/>
      <c r="Q16588" s="318"/>
      <c r="R16588" s="318"/>
      <c r="S16588" s="318"/>
      <c r="T16588" s="318"/>
      <c r="U16588" s="318"/>
      <c r="V16588" s="318"/>
      <c r="W16588" s="318"/>
      <c r="X16588" s="318"/>
      <c r="Y16588" s="318"/>
      <c r="Z16588" s="318"/>
      <c r="AA16588" s="318"/>
      <c r="AB16588" s="318"/>
      <c r="AC16588" s="318"/>
      <c r="AD16588" s="318"/>
    </row>
    <row r="16589" spans="2:30" s="323" customFormat="1" ht="12" customHeight="1">
      <c r="B16589" s="324"/>
      <c r="C16589" s="325"/>
      <c r="D16589" s="326"/>
      <c r="E16589" s="326"/>
      <c r="F16589" s="326"/>
      <c r="G16589" s="326"/>
      <c r="H16589" s="326"/>
      <c r="P16589" s="318"/>
      <c r="Q16589" s="318"/>
      <c r="R16589" s="318"/>
      <c r="S16589" s="318"/>
      <c r="T16589" s="318"/>
      <c r="U16589" s="318"/>
      <c r="V16589" s="318"/>
      <c r="W16589" s="318"/>
      <c r="X16589" s="318"/>
      <c r="Y16589" s="318"/>
      <c r="Z16589" s="318"/>
      <c r="AA16589" s="318"/>
      <c r="AB16589" s="318"/>
      <c r="AC16589" s="318"/>
      <c r="AD16589" s="318"/>
    </row>
    <row r="16590" spans="2:30" s="323" customFormat="1" ht="12" customHeight="1">
      <c r="B16590" s="324"/>
      <c r="C16590" s="325"/>
      <c r="D16590" s="326"/>
      <c r="E16590" s="326"/>
      <c r="F16590" s="326"/>
      <c r="G16590" s="326"/>
      <c r="H16590" s="326"/>
      <c r="P16590" s="318"/>
      <c r="Q16590" s="318"/>
      <c r="R16590" s="318"/>
      <c r="S16590" s="318"/>
      <c r="T16590" s="318"/>
      <c r="U16590" s="318"/>
      <c r="V16590" s="318"/>
      <c r="W16590" s="318"/>
      <c r="X16590" s="318"/>
      <c r="Y16590" s="318"/>
      <c r="Z16590" s="318"/>
      <c r="AA16590" s="318"/>
      <c r="AB16590" s="318"/>
      <c r="AC16590" s="318"/>
      <c r="AD16590" s="318"/>
    </row>
    <row r="16591" spans="2:30" s="323" customFormat="1" ht="12" customHeight="1">
      <c r="B16591" s="324"/>
      <c r="C16591" s="325"/>
      <c r="D16591" s="326"/>
      <c r="E16591" s="326"/>
      <c r="F16591" s="326"/>
      <c r="G16591" s="326"/>
      <c r="H16591" s="326"/>
      <c r="P16591" s="318"/>
      <c r="Q16591" s="318"/>
      <c r="R16591" s="318"/>
      <c r="S16591" s="318"/>
      <c r="T16591" s="318"/>
      <c r="U16591" s="318"/>
      <c r="V16591" s="318"/>
      <c r="W16591" s="318"/>
      <c r="X16591" s="318"/>
      <c r="Y16591" s="318"/>
      <c r="Z16591" s="318"/>
      <c r="AA16591" s="318"/>
      <c r="AB16591" s="318"/>
      <c r="AC16591" s="318"/>
      <c r="AD16591" s="318"/>
    </row>
    <row r="16592" spans="2:30" s="323" customFormat="1" ht="12" customHeight="1">
      <c r="B16592" s="324"/>
      <c r="C16592" s="325"/>
      <c r="D16592" s="326"/>
      <c r="E16592" s="326"/>
      <c r="F16592" s="326"/>
      <c r="G16592" s="326"/>
      <c r="H16592" s="326"/>
      <c r="P16592" s="318"/>
      <c r="Q16592" s="318"/>
      <c r="R16592" s="318"/>
      <c r="S16592" s="318"/>
      <c r="T16592" s="318"/>
      <c r="U16592" s="318"/>
      <c r="V16592" s="318"/>
      <c r="W16592" s="318"/>
      <c r="X16592" s="318"/>
      <c r="Y16592" s="318"/>
      <c r="Z16592" s="318"/>
      <c r="AA16592" s="318"/>
      <c r="AB16592" s="318"/>
      <c r="AC16592" s="318"/>
      <c r="AD16592" s="318"/>
    </row>
    <row r="16593" spans="2:30" s="323" customFormat="1" ht="12" customHeight="1">
      <c r="B16593" s="324"/>
      <c r="C16593" s="325"/>
      <c r="D16593" s="326"/>
      <c r="E16593" s="326"/>
      <c r="F16593" s="326"/>
      <c r="G16593" s="326"/>
      <c r="H16593" s="326"/>
      <c r="P16593" s="318"/>
      <c r="Q16593" s="318"/>
      <c r="R16593" s="318"/>
      <c r="S16593" s="318"/>
      <c r="T16593" s="318"/>
      <c r="U16593" s="318"/>
      <c r="V16593" s="318"/>
      <c r="W16593" s="318"/>
      <c r="X16593" s="318"/>
      <c r="Y16593" s="318"/>
      <c r="Z16593" s="318"/>
      <c r="AA16593" s="318"/>
      <c r="AB16593" s="318"/>
      <c r="AC16593" s="318"/>
      <c r="AD16593" s="318"/>
    </row>
    <row r="16594" spans="2:30" s="323" customFormat="1" ht="12" customHeight="1">
      <c r="B16594" s="324"/>
      <c r="C16594" s="325"/>
      <c r="D16594" s="326"/>
      <c r="E16594" s="326"/>
      <c r="F16594" s="326"/>
      <c r="G16594" s="326"/>
      <c r="H16594" s="326"/>
      <c r="P16594" s="318"/>
      <c r="Q16594" s="318"/>
      <c r="R16594" s="318"/>
      <c r="S16594" s="318"/>
      <c r="T16594" s="318"/>
      <c r="U16594" s="318"/>
      <c r="V16594" s="318"/>
      <c r="W16594" s="318"/>
      <c r="X16594" s="318"/>
      <c r="Y16594" s="318"/>
      <c r="Z16594" s="318"/>
      <c r="AA16594" s="318"/>
      <c r="AB16594" s="318"/>
      <c r="AC16594" s="318"/>
      <c r="AD16594" s="318"/>
    </row>
    <row r="16595" spans="2:30" s="323" customFormat="1" ht="12" customHeight="1">
      <c r="B16595" s="324"/>
      <c r="C16595" s="325"/>
      <c r="D16595" s="326"/>
      <c r="E16595" s="326"/>
      <c r="F16595" s="326"/>
      <c r="G16595" s="326"/>
      <c r="H16595" s="326"/>
      <c r="P16595" s="318"/>
      <c r="Q16595" s="318"/>
      <c r="R16595" s="318"/>
      <c r="S16595" s="318"/>
      <c r="T16595" s="318"/>
      <c r="U16595" s="318"/>
      <c r="V16595" s="318"/>
      <c r="W16595" s="318"/>
      <c r="X16595" s="318"/>
      <c r="Y16595" s="318"/>
      <c r="Z16595" s="318"/>
      <c r="AA16595" s="318"/>
      <c r="AB16595" s="318"/>
      <c r="AC16595" s="318"/>
      <c r="AD16595" s="318"/>
    </row>
    <row r="16596" spans="2:30" s="323" customFormat="1" ht="12" customHeight="1">
      <c r="B16596" s="324"/>
      <c r="C16596" s="325"/>
      <c r="D16596" s="326"/>
      <c r="E16596" s="326"/>
      <c r="F16596" s="326"/>
      <c r="G16596" s="326"/>
      <c r="H16596" s="326"/>
      <c r="P16596" s="318"/>
      <c r="Q16596" s="318"/>
      <c r="R16596" s="318"/>
      <c r="S16596" s="318"/>
      <c r="T16596" s="318"/>
      <c r="U16596" s="318"/>
      <c r="V16596" s="318"/>
      <c r="W16596" s="318"/>
      <c r="X16596" s="318"/>
      <c r="Y16596" s="318"/>
      <c r="Z16596" s="318"/>
      <c r="AA16596" s="318"/>
      <c r="AB16596" s="318"/>
      <c r="AC16596" s="318"/>
      <c r="AD16596" s="318"/>
    </row>
    <row r="16597" spans="2:30" s="323" customFormat="1" ht="12" customHeight="1">
      <c r="B16597" s="324"/>
      <c r="C16597" s="325"/>
      <c r="D16597" s="326"/>
      <c r="E16597" s="326"/>
      <c r="F16597" s="326"/>
      <c r="G16597" s="326"/>
      <c r="H16597" s="326"/>
      <c r="P16597" s="318"/>
      <c r="Q16597" s="318"/>
      <c r="R16597" s="318"/>
      <c r="S16597" s="318"/>
      <c r="T16597" s="318"/>
      <c r="U16597" s="318"/>
      <c r="V16597" s="318"/>
      <c r="W16597" s="318"/>
      <c r="X16597" s="318"/>
      <c r="Y16597" s="318"/>
      <c r="Z16597" s="318"/>
      <c r="AA16597" s="318"/>
      <c r="AB16597" s="318"/>
      <c r="AC16597" s="318"/>
      <c r="AD16597" s="318"/>
    </row>
    <row r="16598" spans="2:30" s="323" customFormat="1" ht="12" customHeight="1">
      <c r="B16598" s="324"/>
      <c r="C16598" s="325"/>
      <c r="D16598" s="326"/>
      <c r="E16598" s="326"/>
      <c r="F16598" s="326"/>
      <c r="G16598" s="326"/>
      <c r="H16598" s="326"/>
      <c r="P16598" s="318"/>
      <c r="Q16598" s="318"/>
      <c r="R16598" s="318"/>
      <c r="S16598" s="318"/>
      <c r="T16598" s="318"/>
      <c r="U16598" s="318"/>
      <c r="V16598" s="318"/>
      <c r="W16598" s="318"/>
      <c r="X16598" s="318"/>
      <c r="Y16598" s="318"/>
      <c r="Z16598" s="318"/>
      <c r="AA16598" s="318"/>
      <c r="AB16598" s="318"/>
      <c r="AC16598" s="318"/>
      <c r="AD16598" s="318"/>
    </row>
    <row r="16599" spans="2:30" s="323" customFormat="1" ht="12" customHeight="1">
      <c r="B16599" s="324"/>
      <c r="C16599" s="325"/>
      <c r="D16599" s="326"/>
      <c r="E16599" s="326"/>
      <c r="F16599" s="326"/>
      <c r="G16599" s="326"/>
      <c r="H16599" s="326"/>
      <c r="P16599" s="318"/>
      <c r="Q16599" s="318"/>
      <c r="R16599" s="318"/>
      <c r="S16599" s="318"/>
      <c r="T16599" s="318"/>
      <c r="U16599" s="318"/>
      <c r="V16599" s="318"/>
      <c r="W16599" s="318"/>
      <c r="X16599" s="318"/>
      <c r="Y16599" s="318"/>
      <c r="Z16599" s="318"/>
      <c r="AA16599" s="318"/>
      <c r="AB16599" s="318"/>
      <c r="AC16599" s="318"/>
      <c r="AD16599" s="318"/>
    </row>
    <row r="16600" spans="2:30" s="323" customFormat="1" ht="12" customHeight="1">
      <c r="B16600" s="324"/>
      <c r="C16600" s="325"/>
      <c r="D16600" s="326"/>
      <c r="E16600" s="326"/>
      <c r="F16600" s="326"/>
      <c r="G16600" s="326"/>
      <c r="H16600" s="326"/>
      <c r="P16600" s="318"/>
      <c r="Q16600" s="318"/>
      <c r="R16600" s="318"/>
      <c r="S16600" s="318"/>
      <c r="T16600" s="318"/>
      <c r="U16600" s="318"/>
      <c r="V16600" s="318"/>
      <c r="W16600" s="318"/>
      <c r="X16600" s="318"/>
      <c r="Y16600" s="318"/>
      <c r="Z16600" s="318"/>
      <c r="AA16600" s="318"/>
      <c r="AB16600" s="318"/>
      <c r="AC16600" s="318"/>
      <c r="AD16600" s="318"/>
    </row>
    <row r="16601" spans="2:30" s="323" customFormat="1" ht="12" customHeight="1">
      <c r="B16601" s="324"/>
      <c r="C16601" s="325"/>
      <c r="D16601" s="326"/>
      <c r="E16601" s="326"/>
      <c r="F16601" s="326"/>
      <c r="G16601" s="326"/>
      <c r="H16601" s="326"/>
      <c r="P16601" s="318"/>
      <c r="Q16601" s="318"/>
      <c r="R16601" s="318"/>
      <c r="S16601" s="318"/>
      <c r="T16601" s="318"/>
      <c r="U16601" s="318"/>
      <c r="V16601" s="318"/>
      <c r="W16601" s="318"/>
      <c r="X16601" s="318"/>
      <c r="Y16601" s="318"/>
      <c r="Z16601" s="318"/>
      <c r="AA16601" s="318"/>
      <c r="AB16601" s="318"/>
      <c r="AC16601" s="318"/>
      <c r="AD16601" s="318"/>
    </row>
    <row r="16602" spans="2:30" s="323" customFormat="1" ht="12" customHeight="1">
      <c r="B16602" s="324"/>
      <c r="C16602" s="325"/>
      <c r="D16602" s="326"/>
      <c r="E16602" s="326"/>
      <c r="F16602" s="326"/>
      <c r="G16602" s="326"/>
      <c r="H16602" s="326"/>
      <c r="P16602" s="318"/>
      <c r="Q16602" s="318"/>
      <c r="R16602" s="318"/>
      <c r="S16602" s="318"/>
      <c r="T16602" s="318"/>
      <c r="U16602" s="318"/>
      <c r="V16602" s="318"/>
      <c r="W16602" s="318"/>
      <c r="X16602" s="318"/>
      <c r="Y16602" s="318"/>
      <c r="Z16602" s="318"/>
      <c r="AA16602" s="318"/>
      <c r="AB16602" s="318"/>
      <c r="AC16602" s="318"/>
      <c r="AD16602" s="318"/>
    </row>
    <row r="16603" spans="2:30" s="323" customFormat="1" ht="12" customHeight="1">
      <c r="B16603" s="324"/>
      <c r="C16603" s="325"/>
      <c r="D16603" s="326"/>
      <c r="E16603" s="326"/>
      <c r="F16603" s="326"/>
      <c r="G16603" s="326"/>
      <c r="H16603" s="326"/>
      <c r="P16603" s="318"/>
      <c r="Q16603" s="318"/>
      <c r="R16603" s="318"/>
      <c r="S16603" s="318"/>
      <c r="T16603" s="318"/>
      <c r="U16603" s="318"/>
      <c r="V16603" s="318"/>
      <c r="W16603" s="318"/>
      <c r="X16603" s="318"/>
      <c r="Y16603" s="318"/>
      <c r="Z16603" s="318"/>
      <c r="AA16603" s="318"/>
      <c r="AB16603" s="318"/>
      <c r="AC16603" s="318"/>
      <c r="AD16603" s="318"/>
    </row>
    <row r="16604" spans="2:30" s="323" customFormat="1" ht="12" customHeight="1">
      <c r="B16604" s="324"/>
      <c r="C16604" s="325"/>
      <c r="D16604" s="326"/>
      <c r="E16604" s="326"/>
      <c r="F16604" s="326"/>
      <c r="G16604" s="326"/>
      <c r="H16604" s="326"/>
      <c r="P16604" s="318"/>
      <c r="Q16604" s="318"/>
      <c r="R16604" s="318"/>
      <c r="S16604" s="318"/>
      <c r="T16604" s="318"/>
      <c r="U16604" s="318"/>
      <c r="V16604" s="318"/>
      <c r="W16604" s="318"/>
      <c r="X16604" s="318"/>
      <c r="Y16604" s="318"/>
      <c r="Z16604" s="318"/>
      <c r="AA16604" s="318"/>
      <c r="AB16604" s="318"/>
      <c r="AC16604" s="318"/>
      <c r="AD16604" s="318"/>
    </row>
    <row r="16605" spans="2:30" s="323" customFormat="1" ht="12" customHeight="1">
      <c r="B16605" s="324"/>
      <c r="C16605" s="325"/>
      <c r="D16605" s="326"/>
      <c r="E16605" s="326"/>
      <c r="F16605" s="326"/>
      <c r="G16605" s="326"/>
      <c r="H16605" s="326"/>
      <c r="P16605" s="318"/>
      <c r="Q16605" s="318"/>
      <c r="R16605" s="318"/>
      <c r="S16605" s="318"/>
      <c r="T16605" s="318"/>
      <c r="U16605" s="318"/>
      <c r="V16605" s="318"/>
      <c r="W16605" s="318"/>
      <c r="X16605" s="318"/>
      <c r="Y16605" s="318"/>
      <c r="Z16605" s="318"/>
      <c r="AA16605" s="318"/>
      <c r="AB16605" s="318"/>
      <c r="AC16605" s="318"/>
      <c r="AD16605" s="318"/>
    </row>
    <row r="16606" spans="2:30" s="323" customFormat="1" ht="12" customHeight="1">
      <c r="B16606" s="324"/>
      <c r="C16606" s="325"/>
      <c r="D16606" s="326"/>
      <c r="E16606" s="326"/>
      <c r="F16606" s="326"/>
      <c r="G16606" s="326"/>
      <c r="H16606" s="326"/>
      <c r="P16606" s="318"/>
      <c r="Q16606" s="318"/>
      <c r="R16606" s="318"/>
      <c r="S16606" s="318"/>
      <c r="T16606" s="318"/>
      <c r="U16606" s="318"/>
      <c r="V16606" s="318"/>
      <c r="W16606" s="318"/>
      <c r="X16606" s="318"/>
      <c r="Y16606" s="318"/>
      <c r="Z16606" s="318"/>
      <c r="AA16606" s="318"/>
      <c r="AB16606" s="318"/>
      <c r="AC16606" s="318"/>
      <c r="AD16606" s="318"/>
    </row>
    <row r="16607" spans="2:30" s="323" customFormat="1" ht="12" customHeight="1">
      <c r="B16607" s="324"/>
      <c r="C16607" s="325"/>
      <c r="D16607" s="326"/>
      <c r="E16607" s="326"/>
      <c r="F16607" s="326"/>
      <c r="G16607" s="326"/>
      <c r="H16607" s="326"/>
      <c r="P16607" s="318"/>
      <c r="Q16607" s="318"/>
      <c r="R16607" s="318"/>
      <c r="S16607" s="318"/>
      <c r="T16607" s="318"/>
      <c r="U16607" s="318"/>
      <c r="V16607" s="318"/>
      <c r="W16607" s="318"/>
      <c r="X16607" s="318"/>
      <c r="Y16607" s="318"/>
      <c r="Z16607" s="318"/>
      <c r="AA16607" s="318"/>
      <c r="AB16607" s="318"/>
      <c r="AC16607" s="318"/>
      <c r="AD16607" s="318"/>
    </row>
    <row r="16608" spans="2:30" s="323" customFormat="1" ht="12" customHeight="1">
      <c r="B16608" s="324"/>
      <c r="C16608" s="325"/>
      <c r="D16608" s="326"/>
      <c r="E16608" s="326"/>
      <c r="F16608" s="326"/>
      <c r="G16608" s="326"/>
      <c r="H16608" s="326"/>
      <c r="P16608" s="318"/>
      <c r="Q16608" s="318"/>
      <c r="R16608" s="318"/>
      <c r="S16608" s="318"/>
      <c r="T16608" s="318"/>
      <c r="U16608" s="318"/>
      <c r="V16608" s="318"/>
      <c r="W16608" s="318"/>
      <c r="X16608" s="318"/>
      <c r="Y16608" s="318"/>
      <c r="Z16608" s="318"/>
      <c r="AA16608" s="318"/>
      <c r="AB16608" s="318"/>
      <c r="AC16608" s="318"/>
      <c r="AD16608" s="318"/>
    </row>
    <row r="16609" spans="2:30" s="323" customFormat="1" ht="12" customHeight="1">
      <c r="B16609" s="324"/>
      <c r="C16609" s="325"/>
      <c r="D16609" s="326"/>
      <c r="E16609" s="326"/>
      <c r="F16609" s="326"/>
      <c r="G16609" s="326"/>
      <c r="H16609" s="326"/>
      <c r="P16609" s="318"/>
      <c r="Q16609" s="318"/>
      <c r="R16609" s="318"/>
      <c r="S16609" s="318"/>
      <c r="T16609" s="318"/>
      <c r="U16609" s="318"/>
      <c r="V16609" s="318"/>
      <c r="W16609" s="318"/>
      <c r="X16609" s="318"/>
      <c r="Y16609" s="318"/>
      <c r="Z16609" s="318"/>
      <c r="AA16609" s="318"/>
      <c r="AB16609" s="318"/>
      <c r="AC16609" s="318"/>
      <c r="AD16609" s="318"/>
    </row>
    <row r="16610" spans="2:30" s="323" customFormat="1" ht="12" customHeight="1">
      <c r="B16610" s="324"/>
      <c r="C16610" s="325"/>
      <c r="D16610" s="326"/>
      <c r="E16610" s="326"/>
      <c r="F16610" s="326"/>
      <c r="G16610" s="326"/>
      <c r="H16610" s="326"/>
      <c r="P16610" s="318"/>
      <c r="Q16610" s="318"/>
      <c r="R16610" s="318"/>
      <c r="S16610" s="318"/>
      <c r="T16610" s="318"/>
      <c r="U16610" s="318"/>
      <c r="V16610" s="318"/>
      <c r="W16610" s="318"/>
      <c r="X16610" s="318"/>
      <c r="Y16610" s="318"/>
      <c r="Z16610" s="318"/>
      <c r="AA16610" s="318"/>
      <c r="AB16610" s="318"/>
      <c r="AC16610" s="318"/>
      <c r="AD16610" s="318"/>
    </row>
    <row r="16611" spans="2:30" s="323" customFormat="1" ht="12" customHeight="1">
      <c r="B16611" s="324"/>
      <c r="C16611" s="325"/>
      <c r="D16611" s="326"/>
      <c r="E16611" s="326"/>
      <c r="F16611" s="326"/>
      <c r="G16611" s="326"/>
      <c r="H16611" s="326"/>
      <c r="P16611" s="318"/>
      <c r="Q16611" s="318"/>
      <c r="R16611" s="318"/>
      <c r="S16611" s="318"/>
      <c r="T16611" s="318"/>
      <c r="U16611" s="318"/>
      <c r="V16611" s="318"/>
      <c r="W16611" s="318"/>
      <c r="X16611" s="318"/>
      <c r="Y16611" s="318"/>
      <c r="Z16611" s="318"/>
      <c r="AA16611" s="318"/>
      <c r="AB16611" s="318"/>
      <c r="AC16611" s="318"/>
      <c r="AD16611" s="318"/>
    </row>
    <row r="16612" spans="2:30" s="323" customFormat="1" ht="12" customHeight="1">
      <c r="B16612" s="324"/>
      <c r="C16612" s="325"/>
      <c r="D16612" s="326"/>
      <c r="E16612" s="326"/>
      <c r="F16612" s="326"/>
      <c r="G16612" s="326"/>
      <c r="H16612" s="326"/>
      <c r="P16612" s="318"/>
      <c r="Q16612" s="318"/>
      <c r="R16612" s="318"/>
      <c r="S16612" s="318"/>
      <c r="T16612" s="318"/>
      <c r="U16612" s="318"/>
      <c r="V16612" s="318"/>
      <c r="W16612" s="318"/>
      <c r="X16612" s="318"/>
      <c r="Y16612" s="318"/>
      <c r="Z16612" s="318"/>
      <c r="AA16612" s="318"/>
      <c r="AB16612" s="318"/>
      <c r="AC16612" s="318"/>
      <c r="AD16612" s="318"/>
    </row>
    <row r="16613" spans="2:30" s="323" customFormat="1" ht="12" customHeight="1">
      <c r="B16613" s="324"/>
      <c r="C16613" s="325"/>
      <c r="D16613" s="326"/>
      <c r="E16613" s="326"/>
      <c r="F16613" s="326"/>
      <c r="G16613" s="326"/>
      <c r="H16613" s="326"/>
      <c r="P16613" s="318"/>
      <c r="Q16613" s="318"/>
      <c r="R16613" s="318"/>
      <c r="S16613" s="318"/>
      <c r="T16613" s="318"/>
      <c r="U16613" s="318"/>
      <c r="V16613" s="318"/>
      <c r="W16613" s="318"/>
      <c r="X16613" s="318"/>
      <c r="Y16613" s="318"/>
      <c r="Z16613" s="318"/>
      <c r="AA16613" s="318"/>
      <c r="AB16613" s="318"/>
      <c r="AC16613" s="318"/>
      <c r="AD16613" s="318"/>
    </row>
    <row r="16614" spans="2:30" s="323" customFormat="1" ht="12" customHeight="1">
      <c r="B16614" s="324"/>
      <c r="C16614" s="325"/>
      <c r="D16614" s="326"/>
      <c r="E16614" s="326"/>
      <c r="F16614" s="326"/>
      <c r="G16614" s="326"/>
      <c r="H16614" s="326"/>
      <c r="P16614" s="318"/>
      <c r="Q16614" s="318"/>
      <c r="R16614" s="318"/>
      <c r="S16614" s="318"/>
      <c r="T16614" s="318"/>
      <c r="U16614" s="318"/>
      <c r="V16614" s="318"/>
      <c r="W16614" s="318"/>
      <c r="X16614" s="318"/>
      <c r="Y16614" s="318"/>
      <c r="Z16614" s="318"/>
      <c r="AA16614" s="318"/>
      <c r="AB16614" s="318"/>
      <c r="AC16614" s="318"/>
      <c r="AD16614" s="318"/>
    </row>
    <row r="16615" spans="2:30" s="323" customFormat="1" ht="12" customHeight="1">
      <c r="B16615" s="324"/>
      <c r="C16615" s="325"/>
      <c r="D16615" s="326"/>
      <c r="E16615" s="326"/>
      <c r="F16615" s="326"/>
      <c r="G16615" s="326"/>
      <c r="H16615" s="326"/>
      <c r="P16615" s="318"/>
      <c r="Q16615" s="318"/>
      <c r="R16615" s="318"/>
      <c r="S16615" s="318"/>
      <c r="T16615" s="318"/>
      <c r="U16615" s="318"/>
      <c r="V16615" s="318"/>
      <c r="W16615" s="318"/>
      <c r="X16615" s="318"/>
      <c r="Y16615" s="318"/>
      <c r="Z16615" s="318"/>
      <c r="AA16615" s="318"/>
      <c r="AB16615" s="318"/>
      <c r="AC16615" s="318"/>
      <c r="AD16615" s="318"/>
    </row>
    <row r="16616" spans="2:30" s="323" customFormat="1" ht="12" customHeight="1">
      <c r="B16616" s="324"/>
      <c r="C16616" s="325"/>
      <c r="D16616" s="326"/>
      <c r="E16616" s="326"/>
      <c r="F16616" s="326"/>
      <c r="G16616" s="326"/>
      <c r="H16616" s="326"/>
      <c r="P16616" s="318"/>
      <c r="Q16616" s="318"/>
      <c r="R16616" s="318"/>
      <c r="S16616" s="318"/>
      <c r="T16616" s="318"/>
      <c r="U16616" s="318"/>
      <c r="V16616" s="318"/>
      <c r="W16616" s="318"/>
      <c r="X16616" s="318"/>
      <c r="Y16616" s="318"/>
      <c r="Z16616" s="318"/>
      <c r="AA16616" s="318"/>
      <c r="AB16616" s="318"/>
      <c r="AC16616" s="318"/>
      <c r="AD16616" s="318"/>
    </row>
    <row r="16617" spans="2:30" s="323" customFormat="1" ht="12" customHeight="1">
      <c r="B16617" s="324"/>
      <c r="C16617" s="325"/>
      <c r="D16617" s="326"/>
      <c r="E16617" s="326"/>
      <c r="F16617" s="326"/>
      <c r="G16617" s="326"/>
      <c r="H16617" s="326"/>
      <c r="P16617" s="318"/>
      <c r="Q16617" s="318"/>
      <c r="R16617" s="318"/>
      <c r="S16617" s="318"/>
      <c r="T16617" s="318"/>
      <c r="U16617" s="318"/>
      <c r="V16617" s="318"/>
      <c r="W16617" s="318"/>
      <c r="X16617" s="318"/>
      <c r="Y16617" s="318"/>
      <c r="Z16617" s="318"/>
      <c r="AA16617" s="318"/>
      <c r="AB16617" s="318"/>
      <c r="AC16617" s="318"/>
      <c r="AD16617" s="318"/>
    </row>
    <row r="16618" spans="2:30" s="323" customFormat="1" ht="12" customHeight="1">
      <c r="B16618" s="324"/>
      <c r="C16618" s="325"/>
      <c r="D16618" s="326"/>
      <c r="E16618" s="326"/>
      <c r="F16618" s="326"/>
      <c r="G16618" s="326"/>
      <c r="H16618" s="326"/>
      <c r="P16618" s="318"/>
      <c r="Q16618" s="318"/>
      <c r="R16618" s="318"/>
      <c r="S16618" s="318"/>
      <c r="T16618" s="318"/>
      <c r="U16618" s="318"/>
      <c r="V16618" s="318"/>
      <c r="W16618" s="318"/>
      <c r="X16618" s="318"/>
      <c r="Y16618" s="318"/>
      <c r="Z16618" s="318"/>
      <c r="AA16618" s="318"/>
      <c r="AB16618" s="318"/>
      <c r="AC16618" s="318"/>
      <c r="AD16618" s="318"/>
    </row>
    <row r="16619" spans="2:30" s="323" customFormat="1" ht="12" customHeight="1">
      <c r="B16619" s="324"/>
      <c r="C16619" s="325"/>
      <c r="D16619" s="326"/>
      <c r="E16619" s="326"/>
      <c r="F16619" s="326"/>
      <c r="G16619" s="326"/>
      <c r="H16619" s="326"/>
      <c r="P16619" s="318"/>
      <c r="Q16619" s="318"/>
      <c r="R16619" s="318"/>
      <c r="S16619" s="318"/>
      <c r="T16619" s="318"/>
      <c r="U16619" s="318"/>
      <c r="V16619" s="318"/>
      <c r="W16619" s="318"/>
      <c r="X16619" s="318"/>
      <c r="Y16619" s="318"/>
      <c r="Z16619" s="318"/>
      <c r="AA16619" s="318"/>
      <c r="AB16619" s="318"/>
      <c r="AC16619" s="318"/>
      <c r="AD16619" s="318"/>
    </row>
    <row r="16620" spans="2:30" s="323" customFormat="1" ht="12" customHeight="1">
      <c r="B16620" s="324"/>
      <c r="C16620" s="325"/>
      <c r="D16620" s="326"/>
      <c r="E16620" s="326"/>
      <c r="F16620" s="326"/>
      <c r="G16620" s="326"/>
      <c r="H16620" s="326"/>
      <c r="P16620" s="318"/>
      <c r="Q16620" s="318"/>
      <c r="R16620" s="318"/>
      <c r="S16620" s="318"/>
      <c r="T16620" s="318"/>
      <c r="U16620" s="318"/>
      <c r="V16620" s="318"/>
      <c r="W16620" s="318"/>
      <c r="X16620" s="318"/>
      <c r="Y16620" s="318"/>
      <c r="Z16620" s="318"/>
      <c r="AA16620" s="318"/>
      <c r="AB16620" s="318"/>
      <c r="AC16620" s="318"/>
      <c r="AD16620" s="318"/>
    </row>
    <row r="16621" spans="2:30" s="323" customFormat="1" ht="12" customHeight="1">
      <c r="B16621" s="324"/>
      <c r="C16621" s="325"/>
      <c r="D16621" s="326"/>
      <c r="E16621" s="326"/>
      <c r="F16621" s="326"/>
      <c r="G16621" s="326"/>
      <c r="H16621" s="326"/>
      <c r="P16621" s="318"/>
      <c r="Q16621" s="318"/>
      <c r="R16621" s="318"/>
      <c r="S16621" s="318"/>
      <c r="T16621" s="318"/>
      <c r="U16621" s="318"/>
      <c r="V16621" s="318"/>
      <c r="W16621" s="318"/>
      <c r="X16621" s="318"/>
      <c r="Y16621" s="318"/>
      <c r="Z16621" s="318"/>
      <c r="AA16621" s="318"/>
      <c r="AB16621" s="318"/>
      <c r="AC16621" s="318"/>
      <c r="AD16621" s="318"/>
    </row>
    <row r="16622" spans="2:30" s="323" customFormat="1" ht="12" customHeight="1">
      <c r="B16622" s="324"/>
      <c r="C16622" s="325"/>
      <c r="D16622" s="326"/>
      <c r="E16622" s="326"/>
      <c r="F16622" s="326"/>
      <c r="G16622" s="326"/>
      <c r="H16622" s="326"/>
      <c r="P16622" s="318"/>
      <c r="Q16622" s="318"/>
      <c r="R16622" s="318"/>
      <c r="S16622" s="318"/>
      <c r="T16622" s="318"/>
      <c r="U16622" s="318"/>
      <c r="V16622" s="318"/>
      <c r="W16622" s="318"/>
      <c r="X16622" s="318"/>
      <c r="Y16622" s="318"/>
      <c r="Z16622" s="318"/>
      <c r="AA16622" s="318"/>
      <c r="AB16622" s="318"/>
      <c r="AC16622" s="318"/>
      <c r="AD16622" s="318"/>
    </row>
    <row r="16623" spans="2:30" s="323" customFormat="1" ht="12" customHeight="1">
      <c r="B16623" s="324"/>
      <c r="C16623" s="325"/>
      <c r="D16623" s="326"/>
      <c r="E16623" s="326"/>
      <c r="F16623" s="326"/>
      <c r="G16623" s="326"/>
      <c r="H16623" s="326"/>
      <c r="P16623" s="318"/>
      <c r="Q16623" s="318"/>
      <c r="R16623" s="318"/>
      <c r="S16623" s="318"/>
      <c r="T16623" s="318"/>
      <c r="U16623" s="318"/>
      <c r="V16623" s="318"/>
      <c r="W16623" s="318"/>
      <c r="X16623" s="318"/>
      <c r="Y16623" s="318"/>
      <c r="Z16623" s="318"/>
      <c r="AA16623" s="318"/>
      <c r="AB16623" s="318"/>
      <c r="AC16623" s="318"/>
      <c r="AD16623" s="318"/>
    </row>
    <row r="16624" spans="2:30" s="323" customFormat="1" ht="12" customHeight="1">
      <c r="B16624" s="324"/>
      <c r="C16624" s="325"/>
      <c r="D16624" s="326"/>
      <c r="E16624" s="326"/>
      <c r="F16624" s="326"/>
      <c r="G16624" s="326"/>
      <c r="H16624" s="326"/>
      <c r="P16624" s="318"/>
      <c r="Q16624" s="318"/>
      <c r="R16624" s="318"/>
      <c r="S16624" s="318"/>
      <c r="T16624" s="318"/>
      <c r="U16624" s="318"/>
      <c r="V16624" s="318"/>
      <c r="W16624" s="318"/>
      <c r="X16624" s="318"/>
      <c r="Y16624" s="318"/>
      <c r="Z16624" s="318"/>
      <c r="AA16624" s="318"/>
      <c r="AB16624" s="318"/>
      <c r="AC16624" s="318"/>
      <c r="AD16624" s="318"/>
    </row>
    <row r="16625" spans="2:30" s="323" customFormat="1" ht="12" customHeight="1">
      <c r="B16625" s="324"/>
      <c r="C16625" s="325"/>
      <c r="D16625" s="326"/>
      <c r="E16625" s="326"/>
      <c r="F16625" s="326"/>
      <c r="G16625" s="326"/>
      <c r="H16625" s="326"/>
      <c r="P16625" s="318"/>
      <c r="Q16625" s="318"/>
      <c r="R16625" s="318"/>
      <c r="S16625" s="318"/>
      <c r="T16625" s="318"/>
      <c r="U16625" s="318"/>
      <c r="V16625" s="318"/>
      <c r="W16625" s="318"/>
      <c r="X16625" s="318"/>
      <c r="Y16625" s="318"/>
      <c r="Z16625" s="318"/>
      <c r="AA16625" s="318"/>
      <c r="AB16625" s="318"/>
      <c r="AC16625" s="318"/>
      <c r="AD16625" s="318"/>
    </row>
    <row r="16626" spans="2:30" s="323" customFormat="1" ht="12" customHeight="1">
      <c r="B16626" s="324"/>
      <c r="C16626" s="325"/>
      <c r="D16626" s="326"/>
      <c r="E16626" s="326"/>
      <c r="F16626" s="326"/>
      <c r="G16626" s="326"/>
      <c r="H16626" s="326"/>
      <c r="P16626" s="318"/>
      <c r="Q16626" s="318"/>
      <c r="R16626" s="318"/>
      <c r="S16626" s="318"/>
      <c r="T16626" s="318"/>
      <c r="U16626" s="318"/>
      <c r="V16626" s="318"/>
      <c r="W16626" s="318"/>
      <c r="X16626" s="318"/>
      <c r="Y16626" s="318"/>
      <c r="Z16626" s="318"/>
      <c r="AA16626" s="318"/>
      <c r="AB16626" s="318"/>
      <c r="AC16626" s="318"/>
      <c r="AD16626" s="318"/>
    </row>
    <row r="16627" spans="2:30" s="323" customFormat="1" ht="12" customHeight="1">
      <c r="B16627" s="324"/>
      <c r="C16627" s="325"/>
      <c r="D16627" s="326"/>
      <c r="E16627" s="326"/>
      <c r="F16627" s="326"/>
      <c r="G16627" s="326"/>
      <c r="H16627" s="326"/>
      <c r="P16627" s="318"/>
      <c r="Q16627" s="318"/>
      <c r="R16627" s="318"/>
      <c r="S16627" s="318"/>
      <c r="T16627" s="318"/>
      <c r="U16627" s="318"/>
      <c r="V16627" s="318"/>
      <c r="W16627" s="318"/>
      <c r="X16627" s="318"/>
      <c r="Y16627" s="318"/>
      <c r="Z16627" s="318"/>
      <c r="AA16627" s="318"/>
      <c r="AB16627" s="318"/>
      <c r="AC16627" s="318"/>
      <c r="AD16627" s="318"/>
    </row>
    <row r="16628" spans="2:30" s="323" customFormat="1" ht="12" customHeight="1">
      <c r="B16628" s="324"/>
      <c r="C16628" s="325"/>
      <c r="D16628" s="326"/>
      <c r="E16628" s="326"/>
      <c r="F16628" s="326"/>
      <c r="G16628" s="326"/>
      <c r="H16628" s="326"/>
      <c r="P16628" s="318"/>
      <c r="Q16628" s="318"/>
      <c r="R16628" s="318"/>
      <c r="S16628" s="318"/>
      <c r="T16628" s="318"/>
      <c r="U16628" s="318"/>
      <c r="V16628" s="318"/>
      <c r="W16628" s="318"/>
      <c r="X16628" s="318"/>
      <c r="Y16628" s="318"/>
      <c r="Z16628" s="318"/>
      <c r="AA16628" s="318"/>
      <c r="AB16628" s="318"/>
      <c r="AC16628" s="318"/>
      <c r="AD16628" s="318"/>
    </row>
    <row r="16629" spans="2:30" s="323" customFormat="1" ht="12" customHeight="1">
      <c r="B16629" s="324"/>
      <c r="C16629" s="325"/>
      <c r="D16629" s="326"/>
      <c r="E16629" s="326"/>
      <c r="F16629" s="326"/>
      <c r="G16629" s="326"/>
      <c r="H16629" s="326"/>
      <c r="P16629" s="318"/>
      <c r="Q16629" s="318"/>
      <c r="R16629" s="318"/>
      <c r="S16629" s="318"/>
      <c r="T16629" s="318"/>
      <c r="U16629" s="318"/>
      <c r="V16629" s="318"/>
      <c r="W16629" s="318"/>
      <c r="X16629" s="318"/>
      <c r="Y16629" s="318"/>
      <c r="Z16629" s="318"/>
      <c r="AA16629" s="318"/>
      <c r="AB16629" s="318"/>
      <c r="AC16629" s="318"/>
      <c r="AD16629" s="318"/>
    </row>
    <row r="16630" spans="2:30" s="323" customFormat="1" ht="12" customHeight="1">
      <c r="B16630" s="324"/>
      <c r="C16630" s="325"/>
      <c r="D16630" s="326"/>
      <c r="E16630" s="326"/>
      <c r="F16630" s="326"/>
      <c r="G16630" s="326"/>
      <c r="H16630" s="326"/>
      <c r="P16630" s="318"/>
      <c r="Q16630" s="318"/>
      <c r="R16630" s="318"/>
      <c r="S16630" s="318"/>
      <c r="T16630" s="318"/>
      <c r="U16630" s="318"/>
      <c r="V16630" s="318"/>
      <c r="W16630" s="318"/>
      <c r="X16630" s="318"/>
      <c r="Y16630" s="318"/>
      <c r="Z16630" s="318"/>
      <c r="AA16630" s="318"/>
      <c r="AB16630" s="318"/>
      <c r="AC16630" s="318"/>
      <c r="AD16630" s="318"/>
    </row>
    <row r="16631" spans="2:30" s="323" customFormat="1" ht="12" customHeight="1">
      <c r="B16631" s="324"/>
      <c r="C16631" s="325"/>
      <c r="D16631" s="326"/>
      <c r="E16631" s="326"/>
      <c r="F16631" s="326"/>
      <c r="G16631" s="326"/>
      <c r="H16631" s="326"/>
      <c r="P16631" s="318"/>
      <c r="Q16631" s="318"/>
      <c r="R16631" s="318"/>
      <c r="S16631" s="318"/>
      <c r="T16631" s="318"/>
      <c r="U16631" s="318"/>
      <c r="V16631" s="318"/>
      <c r="W16631" s="318"/>
      <c r="X16631" s="318"/>
      <c r="Y16631" s="318"/>
      <c r="Z16631" s="318"/>
      <c r="AA16631" s="318"/>
      <c r="AB16631" s="318"/>
      <c r="AC16631" s="318"/>
      <c r="AD16631" s="318"/>
    </row>
    <row r="16632" spans="2:30" s="323" customFormat="1" ht="12" customHeight="1">
      <c r="B16632" s="324"/>
      <c r="C16632" s="325"/>
      <c r="D16632" s="326"/>
      <c r="E16632" s="326"/>
      <c r="F16632" s="326"/>
      <c r="G16632" s="326"/>
      <c r="H16632" s="326"/>
      <c r="P16632" s="318"/>
      <c r="Q16632" s="318"/>
      <c r="R16632" s="318"/>
      <c r="S16632" s="318"/>
      <c r="T16632" s="318"/>
      <c r="U16632" s="318"/>
      <c r="V16632" s="318"/>
      <c r="W16632" s="318"/>
      <c r="X16632" s="318"/>
      <c r="Y16632" s="318"/>
      <c r="Z16632" s="318"/>
      <c r="AA16632" s="318"/>
      <c r="AB16632" s="318"/>
      <c r="AC16632" s="318"/>
      <c r="AD16632" s="318"/>
    </row>
    <row r="16633" spans="2:30" s="323" customFormat="1" ht="12" customHeight="1">
      <c r="B16633" s="324"/>
      <c r="C16633" s="325"/>
      <c r="D16633" s="326"/>
      <c r="E16633" s="326"/>
      <c r="F16633" s="326"/>
      <c r="G16633" s="326"/>
      <c r="H16633" s="326"/>
      <c r="P16633" s="318"/>
      <c r="Q16633" s="318"/>
      <c r="R16633" s="318"/>
      <c r="S16633" s="318"/>
      <c r="T16633" s="318"/>
      <c r="U16633" s="318"/>
      <c r="V16633" s="318"/>
      <c r="W16633" s="318"/>
      <c r="X16633" s="318"/>
      <c r="Y16633" s="318"/>
      <c r="Z16633" s="318"/>
      <c r="AA16633" s="318"/>
      <c r="AB16633" s="318"/>
      <c r="AC16633" s="318"/>
      <c r="AD16633" s="318"/>
    </row>
    <row r="16634" spans="2:30" s="323" customFormat="1" ht="12" customHeight="1">
      <c r="B16634" s="324"/>
      <c r="C16634" s="325"/>
      <c r="D16634" s="326"/>
      <c r="E16634" s="326"/>
      <c r="F16634" s="326"/>
      <c r="G16634" s="326"/>
      <c r="H16634" s="326"/>
      <c r="P16634" s="318"/>
      <c r="Q16634" s="318"/>
      <c r="R16634" s="318"/>
      <c r="S16634" s="318"/>
      <c r="T16634" s="318"/>
      <c r="U16634" s="318"/>
      <c r="V16634" s="318"/>
      <c r="W16634" s="318"/>
      <c r="X16634" s="318"/>
      <c r="Y16634" s="318"/>
      <c r="Z16634" s="318"/>
      <c r="AA16634" s="318"/>
      <c r="AB16634" s="318"/>
      <c r="AC16634" s="318"/>
      <c r="AD16634" s="318"/>
    </row>
    <row r="16635" spans="2:30" s="323" customFormat="1" ht="12" customHeight="1">
      <c r="B16635" s="324"/>
      <c r="C16635" s="325"/>
      <c r="D16635" s="326"/>
      <c r="E16635" s="326"/>
      <c r="F16635" s="326"/>
      <c r="G16635" s="326"/>
      <c r="H16635" s="326"/>
      <c r="P16635" s="318"/>
      <c r="Q16635" s="318"/>
      <c r="R16635" s="318"/>
      <c r="S16635" s="318"/>
      <c r="T16635" s="318"/>
      <c r="U16635" s="318"/>
      <c r="V16635" s="318"/>
      <c r="W16635" s="318"/>
      <c r="X16635" s="318"/>
      <c r="Y16635" s="318"/>
      <c r="Z16635" s="318"/>
      <c r="AA16635" s="318"/>
      <c r="AB16635" s="318"/>
      <c r="AC16635" s="318"/>
      <c r="AD16635" s="318"/>
    </row>
    <row r="16636" spans="2:30" s="323" customFormat="1" ht="12" customHeight="1">
      <c r="B16636" s="324"/>
      <c r="C16636" s="325"/>
      <c r="D16636" s="326"/>
      <c r="E16636" s="326"/>
      <c r="F16636" s="326"/>
      <c r="G16636" s="326"/>
      <c r="H16636" s="326"/>
      <c r="P16636" s="318"/>
      <c r="Q16636" s="318"/>
      <c r="R16636" s="318"/>
      <c r="S16636" s="318"/>
      <c r="T16636" s="318"/>
      <c r="U16636" s="318"/>
      <c r="V16636" s="318"/>
      <c r="W16636" s="318"/>
      <c r="X16636" s="318"/>
      <c r="Y16636" s="318"/>
      <c r="Z16636" s="318"/>
      <c r="AA16636" s="318"/>
      <c r="AB16636" s="318"/>
      <c r="AC16636" s="318"/>
      <c r="AD16636" s="318"/>
    </row>
    <row r="16637" spans="2:30" s="323" customFormat="1" ht="12" customHeight="1">
      <c r="B16637" s="324"/>
      <c r="C16637" s="325"/>
      <c r="D16637" s="326"/>
      <c r="E16637" s="326"/>
      <c r="F16637" s="326"/>
      <c r="G16637" s="326"/>
      <c r="H16637" s="326"/>
      <c r="P16637" s="318"/>
      <c r="Q16637" s="318"/>
      <c r="R16637" s="318"/>
      <c r="S16637" s="318"/>
      <c r="T16637" s="318"/>
      <c r="U16637" s="318"/>
      <c r="V16637" s="318"/>
      <c r="W16637" s="318"/>
      <c r="X16637" s="318"/>
      <c r="Y16637" s="318"/>
      <c r="Z16637" s="318"/>
      <c r="AA16637" s="318"/>
      <c r="AB16637" s="318"/>
      <c r="AC16637" s="318"/>
      <c r="AD16637" s="318"/>
    </row>
    <row r="16638" spans="2:30" s="323" customFormat="1" ht="12" customHeight="1">
      <c r="B16638" s="324"/>
      <c r="C16638" s="325"/>
      <c r="D16638" s="326"/>
      <c r="E16638" s="326"/>
      <c r="F16638" s="326"/>
      <c r="G16638" s="326"/>
      <c r="H16638" s="326"/>
      <c r="P16638" s="318"/>
      <c r="Q16638" s="318"/>
      <c r="R16638" s="318"/>
      <c r="S16638" s="318"/>
      <c r="T16638" s="318"/>
      <c r="U16638" s="318"/>
      <c r="V16638" s="318"/>
      <c r="W16638" s="318"/>
      <c r="X16638" s="318"/>
      <c r="Y16638" s="318"/>
      <c r="Z16638" s="318"/>
      <c r="AA16638" s="318"/>
      <c r="AB16638" s="318"/>
      <c r="AC16638" s="318"/>
      <c r="AD16638" s="318"/>
    </row>
    <row r="16639" spans="2:30" s="323" customFormat="1" ht="12" customHeight="1">
      <c r="B16639" s="324"/>
      <c r="C16639" s="325"/>
      <c r="D16639" s="326"/>
      <c r="E16639" s="326"/>
      <c r="F16639" s="326"/>
      <c r="G16639" s="326"/>
      <c r="H16639" s="326"/>
      <c r="P16639" s="318"/>
      <c r="Q16639" s="318"/>
      <c r="R16639" s="318"/>
      <c r="S16639" s="318"/>
      <c r="T16639" s="318"/>
      <c r="U16639" s="318"/>
      <c r="V16639" s="318"/>
      <c r="W16639" s="318"/>
      <c r="X16639" s="318"/>
      <c r="Y16639" s="318"/>
      <c r="Z16639" s="318"/>
      <c r="AA16639" s="318"/>
      <c r="AB16639" s="318"/>
      <c r="AC16639" s="318"/>
      <c r="AD16639" s="318"/>
    </row>
    <row r="16640" spans="2:30" s="323" customFormat="1" ht="12" customHeight="1">
      <c r="B16640" s="324"/>
      <c r="C16640" s="325"/>
      <c r="D16640" s="326"/>
      <c r="E16640" s="326"/>
      <c r="F16640" s="326"/>
      <c r="G16640" s="326"/>
      <c r="H16640" s="326"/>
      <c r="P16640" s="318"/>
      <c r="Q16640" s="318"/>
      <c r="R16640" s="318"/>
      <c r="S16640" s="318"/>
      <c r="T16640" s="318"/>
      <c r="U16640" s="318"/>
      <c r="V16640" s="318"/>
      <c r="W16640" s="318"/>
      <c r="X16640" s="318"/>
      <c r="Y16640" s="318"/>
      <c r="Z16640" s="318"/>
      <c r="AA16640" s="318"/>
      <c r="AB16640" s="318"/>
      <c r="AC16640" s="318"/>
      <c r="AD16640" s="318"/>
    </row>
    <row r="16641" spans="2:30" s="323" customFormat="1" ht="12" customHeight="1">
      <c r="B16641" s="324"/>
      <c r="C16641" s="325"/>
      <c r="D16641" s="326"/>
      <c r="E16641" s="326"/>
      <c r="F16641" s="326"/>
      <c r="G16641" s="326"/>
      <c r="H16641" s="326"/>
      <c r="P16641" s="318"/>
      <c r="Q16641" s="318"/>
      <c r="R16641" s="318"/>
      <c r="S16641" s="318"/>
      <c r="T16641" s="318"/>
      <c r="U16641" s="318"/>
      <c r="V16641" s="318"/>
      <c r="W16641" s="318"/>
      <c r="X16641" s="318"/>
      <c r="Y16641" s="318"/>
      <c r="Z16641" s="318"/>
      <c r="AA16641" s="318"/>
      <c r="AB16641" s="318"/>
      <c r="AC16641" s="318"/>
      <c r="AD16641" s="318"/>
    </row>
    <row r="16642" spans="2:30" s="323" customFormat="1" ht="12" customHeight="1">
      <c r="B16642" s="324"/>
      <c r="C16642" s="325"/>
      <c r="D16642" s="326"/>
      <c r="E16642" s="326"/>
      <c r="F16642" s="326"/>
      <c r="G16642" s="326"/>
      <c r="H16642" s="326"/>
      <c r="P16642" s="318"/>
      <c r="Q16642" s="318"/>
      <c r="R16642" s="318"/>
      <c r="S16642" s="318"/>
      <c r="T16642" s="318"/>
      <c r="U16642" s="318"/>
      <c r="V16642" s="318"/>
      <c r="W16642" s="318"/>
      <c r="X16642" s="318"/>
      <c r="Y16642" s="318"/>
      <c r="Z16642" s="318"/>
      <c r="AA16642" s="318"/>
      <c r="AB16642" s="318"/>
      <c r="AC16642" s="318"/>
      <c r="AD16642" s="318"/>
    </row>
    <row r="16643" spans="2:30" s="323" customFormat="1" ht="12" customHeight="1">
      <c r="B16643" s="324"/>
      <c r="C16643" s="325"/>
      <c r="D16643" s="326"/>
      <c r="E16643" s="326"/>
      <c r="F16643" s="326"/>
      <c r="G16643" s="326"/>
      <c r="H16643" s="326"/>
      <c r="P16643" s="318"/>
      <c r="Q16643" s="318"/>
      <c r="R16643" s="318"/>
      <c r="S16643" s="318"/>
      <c r="T16643" s="318"/>
      <c r="U16643" s="318"/>
      <c r="V16643" s="318"/>
      <c r="W16643" s="318"/>
      <c r="X16643" s="318"/>
      <c r="Y16643" s="318"/>
      <c r="Z16643" s="318"/>
      <c r="AA16643" s="318"/>
      <c r="AB16643" s="318"/>
      <c r="AC16643" s="318"/>
      <c r="AD16643" s="318"/>
    </row>
    <row r="16644" spans="2:30" s="323" customFormat="1" ht="12" customHeight="1">
      <c r="B16644" s="324"/>
      <c r="C16644" s="325"/>
      <c r="D16644" s="326"/>
      <c r="E16644" s="326"/>
      <c r="F16644" s="326"/>
      <c r="G16644" s="326"/>
      <c r="H16644" s="326"/>
      <c r="P16644" s="318"/>
      <c r="Q16644" s="318"/>
      <c r="R16644" s="318"/>
      <c r="S16644" s="318"/>
      <c r="T16644" s="318"/>
      <c r="U16644" s="318"/>
      <c r="V16644" s="318"/>
      <c r="W16644" s="318"/>
      <c r="X16644" s="318"/>
      <c r="Y16644" s="318"/>
      <c r="Z16644" s="318"/>
      <c r="AA16644" s="318"/>
      <c r="AB16644" s="318"/>
      <c r="AC16644" s="318"/>
      <c r="AD16644" s="318"/>
    </row>
    <row r="16645" spans="2:30" s="323" customFormat="1" ht="12" customHeight="1">
      <c r="B16645" s="324"/>
      <c r="C16645" s="325"/>
      <c r="D16645" s="326"/>
      <c r="E16645" s="326"/>
      <c r="F16645" s="326"/>
      <c r="G16645" s="326"/>
      <c r="H16645" s="326"/>
      <c r="P16645" s="318"/>
      <c r="Q16645" s="318"/>
      <c r="R16645" s="318"/>
      <c r="S16645" s="318"/>
      <c r="T16645" s="318"/>
      <c r="U16645" s="318"/>
      <c r="V16645" s="318"/>
      <c r="W16645" s="318"/>
      <c r="X16645" s="318"/>
      <c r="Y16645" s="318"/>
      <c r="Z16645" s="318"/>
      <c r="AA16645" s="318"/>
      <c r="AB16645" s="318"/>
      <c r="AC16645" s="318"/>
      <c r="AD16645" s="318"/>
    </row>
    <row r="16646" spans="2:30" s="323" customFormat="1" ht="12" customHeight="1">
      <c r="B16646" s="324"/>
      <c r="C16646" s="325"/>
      <c r="D16646" s="326"/>
      <c r="E16646" s="326"/>
      <c r="F16646" s="326"/>
      <c r="G16646" s="326"/>
      <c r="H16646" s="326"/>
      <c r="P16646" s="318"/>
      <c r="Q16646" s="318"/>
      <c r="R16646" s="318"/>
      <c r="S16646" s="318"/>
      <c r="T16646" s="318"/>
      <c r="U16646" s="318"/>
      <c r="V16646" s="318"/>
      <c r="W16646" s="318"/>
      <c r="X16646" s="318"/>
      <c r="Y16646" s="318"/>
      <c r="Z16646" s="318"/>
      <c r="AA16646" s="318"/>
      <c r="AB16646" s="318"/>
      <c r="AC16646" s="318"/>
      <c r="AD16646" s="318"/>
    </row>
    <row r="16647" spans="2:30" s="323" customFormat="1" ht="12" customHeight="1">
      <c r="B16647" s="324"/>
      <c r="C16647" s="325"/>
      <c r="D16647" s="326"/>
      <c r="E16647" s="326"/>
      <c r="F16647" s="326"/>
      <c r="G16647" s="326"/>
      <c r="H16647" s="326"/>
      <c r="P16647" s="318"/>
      <c r="Q16647" s="318"/>
      <c r="R16647" s="318"/>
      <c r="S16647" s="318"/>
      <c r="T16647" s="318"/>
      <c r="U16647" s="318"/>
      <c r="V16647" s="318"/>
      <c r="W16647" s="318"/>
      <c r="X16647" s="318"/>
      <c r="Y16647" s="318"/>
      <c r="Z16647" s="318"/>
      <c r="AA16647" s="318"/>
      <c r="AB16647" s="318"/>
      <c r="AC16647" s="318"/>
      <c r="AD16647" s="318"/>
    </row>
    <row r="16648" spans="2:30" s="323" customFormat="1" ht="12" customHeight="1">
      <c r="B16648" s="324"/>
      <c r="C16648" s="325"/>
      <c r="D16648" s="326"/>
      <c r="E16648" s="326"/>
      <c r="F16648" s="326"/>
      <c r="G16648" s="326"/>
      <c r="H16648" s="326"/>
      <c r="P16648" s="318"/>
      <c r="Q16648" s="318"/>
      <c r="R16648" s="318"/>
      <c r="S16648" s="318"/>
      <c r="T16648" s="318"/>
      <c r="U16648" s="318"/>
      <c r="V16648" s="318"/>
      <c r="W16648" s="318"/>
      <c r="X16648" s="318"/>
      <c r="Y16648" s="318"/>
      <c r="Z16648" s="318"/>
      <c r="AA16648" s="318"/>
      <c r="AB16648" s="318"/>
      <c r="AC16648" s="318"/>
      <c r="AD16648" s="318"/>
    </row>
    <row r="16649" spans="2:30" s="323" customFormat="1" ht="12" customHeight="1">
      <c r="B16649" s="324"/>
      <c r="C16649" s="325"/>
      <c r="D16649" s="326"/>
      <c r="E16649" s="326"/>
      <c r="F16649" s="326"/>
      <c r="G16649" s="326"/>
      <c r="H16649" s="326"/>
      <c r="P16649" s="318"/>
      <c r="Q16649" s="318"/>
      <c r="R16649" s="318"/>
      <c r="S16649" s="318"/>
      <c r="T16649" s="318"/>
      <c r="U16649" s="318"/>
      <c r="V16649" s="318"/>
      <c r="W16649" s="318"/>
      <c r="X16649" s="318"/>
      <c r="Y16649" s="318"/>
      <c r="Z16649" s="318"/>
      <c r="AA16649" s="318"/>
      <c r="AB16649" s="318"/>
      <c r="AC16649" s="318"/>
      <c r="AD16649" s="318"/>
    </row>
    <row r="16650" spans="2:30" s="323" customFormat="1" ht="12" customHeight="1">
      <c r="B16650" s="324"/>
      <c r="C16650" s="325"/>
      <c r="D16650" s="326"/>
      <c r="E16650" s="326"/>
      <c r="F16650" s="326"/>
      <c r="G16650" s="326"/>
      <c r="H16650" s="326"/>
      <c r="P16650" s="318"/>
      <c r="Q16650" s="318"/>
      <c r="R16650" s="318"/>
      <c r="S16650" s="318"/>
      <c r="T16650" s="318"/>
      <c r="U16650" s="318"/>
      <c r="V16650" s="318"/>
      <c r="W16650" s="318"/>
      <c r="X16650" s="318"/>
      <c r="Y16650" s="318"/>
      <c r="Z16650" s="318"/>
      <c r="AA16650" s="318"/>
      <c r="AB16650" s="318"/>
      <c r="AC16650" s="318"/>
      <c r="AD16650" s="318"/>
    </row>
    <row r="16651" spans="2:30" s="323" customFormat="1" ht="12" customHeight="1">
      <c r="B16651" s="324"/>
      <c r="C16651" s="325"/>
      <c r="D16651" s="326"/>
      <c r="E16651" s="326"/>
      <c r="F16651" s="326"/>
      <c r="G16651" s="326"/>
      <c r="H16651" s="326"/>
      <c r="P16651" s="318"/>
      <c r="Q16651" s="318"/>
      <c r="R16651" s="318"/>
      <c r="S16651" s="318"/>
      <c r="T16651" s="318"/>
      <c r="U16651" s="318"/>
      <c r="V16651" s="318"/>
      <c r="W16651" s="318"/>
      <c r="X16651" s="318"/>
      <c r="Y16651" s="318"/>
      <c r="Z16651" s="318"/>
      <c r="AA16651" s="318"/>
      <c r="AB16651" s="318"/>
      <c r="AC16651" s="318"/>
      <c r="AD16651" s="318"/>
    </row>
    <row r="16652" spans="2:30" s="323" customFormat="1" ht="12" customHeight="1">
      <c r="B16652" s="324"/>
      <c r="C16652" s="325"/>
      <c r="D16652" s="326"/>
      <c r="E16652" s="326"/>
      <c r="F16652" s="326"/>
      <c r="G16652" s="326"/>
      <c r="H16652" s="326"/>
      <c r="P16652" s="318"/>
      <c r="Q16652" s="318"/>
      <c r="R16652" s="318"/>
      <c r="S16652" s="318"/>
      <c r="T16652" s="318"/>
      <c r="U16652" s="318"/>
      <c r="V16652" s="318"/>
      <c r="W16652" s="318"/>
      <c r="X16652" s="318"/>
      <c r="Y16652" s="318"/>
      <c r="Z16652" s="318"/>
      <c r="AA16652" s="318"/>
      <c r="AB16652" s="318"/>
      <c r="AC16652" s="318"/>
      <c r="AD16652" s="318"/>
    </row>
    <row r="16653" spans="2:30" s="323" customFormat="1" ht="12" customHeight="1">
      <c r="B16653" s="324"/>
      <c r="C16653" s="325"/>
      <c r="D16653" s="326"/>
      <c r="E16653" s="326"/>
      <c r="F16653" s="326"/>
      <c r="G16653" s="326"/>
      <c r="H16653" s="326"/>
      <c r="P16653" s="318"/>
      <c r="Q16653" s="318"/>
      <c r="R16653" s="318"/>
      <c r="S16653" s="318"/>
      <c r="T16653" s="318"/>
      <c r="U16653" s="318"/>
      <c r="V16653" s="318"/>
      <c r="W16653" s="318"/>
      <c r="X16653" s="318"/>
      <c r="Y16653" s="318"/>
      <c r="Z16653" s="318"/>
      <c r="AA16653" s="318"/>
      <c r="AB16653" s="318"/>
      <c r="AC16653" s="318"/>
      <c r="AD16653" s="318"/>
    </row>
    <row r="16654" spans="2:30" s="323" customFormat="1" ht="12" customHeight="1">
      <c r="B16654" s="324"/>
      <c r="C16654" s="325"/>
      <c r="D16654" s="326"/>
      <c r="E16654" s="326"/>
      <c r="F16654" s="326"/>
      <c r="G16654" s="326"/>
      <c r="H16654" s="326"/>
      <c r="P16654" s="318"/>
      <c r="Q16654" s="318"/>
      <c r="R16654" s="318"/>
      <c r="S16654" s="318"/>
      <c r="T16654" s="318"/>
      <c r="U16654" s="318"/>
      <c r="V16654" s="318"/>
      <c r="W16654" s="318"/>
      <c r="X16654" s="318"/>
      <c r="Y16654" s="318"/>
      <c r="Z16654" s="318"/>
      <c r="AA16654" s="318"/>
      <c r="AB16654" s="318"/>
      <c r="AC16654" s="318"/>
      <c r="AD16654" s="318"/>
    </row>
    <row r="16655" spans="2:30" s="323" customFormat="1" ht="12" customHeight="1">
      <c r="B16655" s="324"/>
      <c r="C16655" s="325"/>
      <c r="D16655" s="326"/>
      <c r="E16655" s="326"/>
      <c r="F16655" s="326"/>
      <c r="G16655" s="326"/>
      <c r="H16655" s="326"/>
      <c r="P16655" s="318"/>
      <c r="Q16655" s="318"/>
      <c r="R16655" s="318"/>
      <c r="S16655" s="318"/>
      <c r="T16655" s="318"/>
      <c r="U16655" s="318"/>
      <c r="V16655" s="318"/>
      <c r="W16655" s="318"/>
      <c r="X16655" s="318"/>
      <c r="Y16655" s="318"/>
      <c r="Z16655" s="318"/>
      <c r="AA16655" s="318"/>
      <c r="AB16655" s="318"/>
      <c r="AC16655" s="318"/>
      <c r="AD16655" s="318"/>
    </row>
    <row r="16656" spans="2:30" s="323" customFormat="1" ht="12" customHeight="1">
      <c r="B16656" s="324"/>
      <c r="C16656" s="325"/>
      <c r="D16656" s="326"/>
      <c r="E16656" s="326"/>
      <c r="F16656" s="326"/>
      <c r="G16656" s="326"/>
      <c r="H16656" s="326"/>
      <c r="P16656" s="318"/>
      <c r="Q16656" s="318"/>
      <c r="R16656" s="318"/>
      <c r="S16656" s="318"/>
      <c r="T16656" s="318"/>
      <c r="U16656" s="318"/>
      <c r="V16656" s="318"/>
      <c r="W16656" s="318"/>
      <c r="X16656" s="318"/>
      <c r="Y16656" s="318"/>
      <c r="Z16656" s="318"/>
      <c r="AA16656" s="318"/>
      <c r="AB16656" s="318"/>
      <c r="AC16656" s="318"/>
      <c r="AD16656" s="318"/>
    </row>
    <row r="16657" spans="2:30" s="323" customFormat="1" ht="12" customHeight="1">
      <c r="B16657" s="324"/>
      <c r="C16657" s="325"/>
      <c r="D16657" s="326"/>
      <c r="E16657" s="326"/>
      <c r="F16657" s="326"/>
      <c r="G16657" s="326"/>
      <c r="H16657" s="326"/>
      <c r="P16657" s="318"/>
      <c r="Q16657" s="318"/>
      <c r="R16657" s="318"/>
      <c r="S16657" s="318"/>
      <c r="T16657" s="318"/>
      <c r="U16657" s="318"/>
      <c r="V16657" s="318"/>
      <c r="W16657" s="318"/>
      <c r="X16657" s="318"/>
      <c r="Y16657" s="318"/>
      <c r="Z16657" s="318"/>
      <c r="AA16657" s="318"/>
      <c r="AB16657" s="318"/>
      <c r="AC16657" s="318"/>
      <c r="AD16657" s="318"/>
    </row>
    <row r="16658" spans="2:30" s="323" customFormat="1" ht="12" customHeight="1">
      <c r="B16658" s="324"/>
      <c r="C16658" s="325"/>
      <c r="D16658" s="326"/>
      <c r="E16658" s="326"/>
      <c r="F16658" s="326"/>
      <c r="G16658" s="326"/>
      <c r="H16658" s="326"/>
      <c r="P16658" s="318"/>
      <c r="Q16658" s="318"/>
      <c r="R16658" s="318"/>
      <c r="S16658" s="318"/>
      <c r="T16658" s="318"/>
      <c r="U16658" s="318"/>
      <c r="V16658" s="318"/>
      <c r="W16658" s="318"/>
      <c r="X16658" s="318"/>
      <c r="Y16658" s="318"/>
      <c r="Z16658" s="318"/>
      <c r="AA16658" s="318"/>
      <c r="AB16658" s="318"/>
      <c r="AC16658" s="318"/>
      <c r="AD16658" s="318"/>
    </row>
    <row r="16659" spans="2:30" s="323" customFormat="1" ht="12" customHeight="1">
      <c r="B16659" s="324"/>
      <c r="C16659" s="325"/>
      <c r="D16659" s="326"/>
      <c r="E16659" s="326"/>
      <c r="F16659" s="326"/>
      <c r="G16659" s="326"/>
      <c r="H16659" s="326"/>
      <c r="P16659" s="318"/>
      <c r="Q16659" s="318"/>
      <c r="R16659" s="318"/>
      <c r="S16659" s="318"/>
      <c r="T16659" s="318"/>
      <c r="U16659" s="318"/>
      <c r="V16659" s="318"/>
      <c r="W16659" s="318"/>
      <c r="X16659" s="318"/>
      <c r="Y16659" s="318"/>
      <c r="Z16659" s="318"/>
      <c r="AA16659" s="318"/>
      <c r="AB16659" s="318"/>
      <c r="AC16659" s="318"/>
      <c r="AD16659" s="318"/>
    </row>
    <row r="16660" spans="2:30" s="323" customFormat="1" ht="12" customHeight="1">
      <c r="B16660" s="324"/>
      <c r="C16660" s="325"/>
      <c r="D16660" s="326"/>
      <c r="E16660" s="326"/>
      <c r="F16660" s="326"/>
      <c r="G16660" s="326"/>
      <c r="H16660" s="326"/>
      <c r="P16660" s="318"/>
      <c r="Q16660" s="318"/>
      <c r="R16660" s="318"/>
      <c r="S16660" s="318"/>
      <c r="T16660" s="318"/>
      <c r="U16660" s="318"/>
      <c r="V16660" s="318"/>
      <c r="W16660" s="318"/>
      <c r="X16660" s="318"/>
      <c r="Y16660" s="318"/>
      <c r="Z16660" s="318"/>
      <c r="AA16660" s="318"/>
      <c r="AB16660" s="318"/>
      <c r="AC16660" s="318"/>
      <c r="AD16660" s="318"/>
    </row>
    <row r="16661" spans="2:30" s="323" customFormat="1" ht="12" customHeight="1">
      <c r="B16661" s="324"/>
      <c r="C16661" s="325"/>
      <c r="D16661" s="326"/>
      <c r="E16661" s="326"/>
      <c r="F16661" s="326"/>
      <c r="G16661" s="326"/>
      <c r="H16661" s="326"/>
      <c r="P16661" s="318"/>
      <c r="Q16661" s="318"/>
      <c r="R16661" s="318"/>
      <c r="S16661" s="318"/>
      <c r="T16661" s="318"/>
      <c r="U16661" s="318"/>
      <c r="V16661" s="318"/>
      <c r="W16661" s="318"/>
      <c r="X16661" s="318"/>
      <c r="Y16661" s="318"/>
      <c r="Z16661" s="318"/>
      <c r="AA16661" s="318"/>
      <c r="AB16661" s="318"/>
      <c r="AC16661" s="318"/>
      <c r="AD16661" s="318"/>
    </row>
    <row r="16662" spans="2:30" s="323" customFormat="1" ht="12" customHeight="1">
      <c r="B16662" s="324"/>
      <c r="C16662" s="325"/>
      <c r="D16662" s="326"/>
      <c r="E16662" s="326"/>
      <c r="F16662" s="326"/>
      <c r="G16662" s="326"/>
      <c r="H16662" s="326"/>
      <c r="P16662" s="318"/>
      <c r="Q16662" s="318"/>
      <c r="R16662" s="318"/>
      <c r="S16662" s="318"/>
      <c r="T16662" s="318"/>
      <c r="U16662" s="318"/>
      <c r="V16662" s="318"/>
      <c r="W16662" s="318"/>
      <c r="X16662" s="318"/>
      <c r="Y16662" s="318"/>
      <c r="Z16662" s="318"/>
      <c r="AA16662" s="318"/>
      <c r="AB16662" s="318"/>
      <c r="AC16662" s="318"/>
      <c r="AD16662" s="318"/>
    </row>
    <row r="16663" spans="2:30" s="323" customFormat="1" ht="12" customHeight="1">
      <c r="B16663" s="324"/>
      <c r="C16663" s="325"/>
      <c r="D16663" s="326"/>
      <c r="E16663" s="326"/>
      <c r="F16663" s="326"/>
      <c r="G16663" s="326"/>
      <c r="H16663" s="326"/>
      <c r="P16663" s="318"/>
      <c r="Q16663" s="318"/>
      <c r="R16663" s="318"/>
      <c r="S16663" s="318"/>
      <c r="T16663" s="318"/>
      <c r="U16663" s="318"/>
      <c r="V16663" s="318"/>
      <c r="W16663" s="318"/>
      <c r="X16663" s="318"/>
      <c r="Y16663" s="318"/>
      <c r="Z16663" s="318"/>
      <c r="AA16663" s="318"/>
      <c r="AB16663" s="318"/>
      <c r="AC16663" s="318"/>
      <c r="AD16663" s="318"/>
    </row>
    <row r="16664" spans="2:30" s="323" customFormat="1" ht="12" customHeight="1">
      <c r="B16664" s="324"/>
      <c r="C16664" s="325"/>
      <c r="D16664" s="326"/>
      <c r="E16664" s="326"/>
      <c r="F16664" s="326"/>
      <c r="G16664" s="326"/>
      <c r="H16664" s="326"/>
      <c r="P16664" s="318"/>
      <c r="Q16664" s="318"/>
      <c r="R16664" s="318"/>
      <c r="S16664" s="318"/>
      <c r="T16664" s="318"/>
      <c r="U16664" s="318"/>
      <c r="V16664" s="318"/>
      <c r="W16664" s="318"/>
      <c r="X16664" s="318"/>
      <c r="Y16664" s="318"/>
      <c r="Z16664" s="318"/>
      <c r="AA16664" s="318"/>
      <c r="AB16664" s="318"/>
      <c r="AC16664" s="318"/>
      <c r="AD16664" s="318"/>
    </row>
    <row r="16665" spans="2:30" s="323" customFormat="1" ht="12" customHeight="1">
      <c r="B16665" s="324"/>
      <c r="C16665" s="325"/>
      <c r="D16665" s="326"/>
      <c r="E16665" s="326"/>
      <c r="F16665" s="326"/>
      <c r="G16665" s="326"/>
      <c r="H16665" s="326"/>
      <c r="P16665" s="318"/>
      <c r="Q16665" s="318"/>
      <c r="R16665" s="318"/>
      <c r="S16665" s="318"/>
      <c r="T16665" s="318"/>
      <c r="U16665" s="318"/>
      <c r="V16665" s="318"/>
      <c r="W16665" s="318"/>
      <c r="X16665" s="318"/>
      <c r="Y16665" s="318"/>
      <c r="Z16665" s="318"/>
      <c r="AA16665" s="318"/>
      <c r="AB16665" s="318"/>
      <c r="AC16665" s="318"/>
      <c r="AD16665" s="318"/>
    </row>
    <row r="16666" spans="2:30" s="323" customFormat="1" ht="12" customHeight="1">
      <c r="B16666" s="324"/>
      <c r="C16666" s="325"/>
      <c r="D16666" s="326"/>
      <c r="E16666" s="326"/>
      <c r="F16666" s="326"/>
      <c r="G16666" s="326"/>
      <c r="H16666" s="326"/>
      <c r="P16666" s="318"/>
      <c r="Q16666" s="318"/>
      <c r="R16666" s="318"/>
      <c r="S16666" s="318"/>
      <c r="T16666" s="318"/>
      <c r="U16666" s="318"/>
      <c r="V16666" s="318"/>
      <c r="W16666" s="318"/>
      <c r="X16666" s="318"/>
      <c r="Y16666" s="318"/>
      <c r="Z16666" s="318"/>
      <c r="AA16666" s="318"/>
      <c r="AB16666" s="318"/>
      <c r="AC16666" s="318"/>
      <c r="AD16666" s="318"/>
    </row>
    <row r="16667" spans="2:30" s="323" customFormat="1" ht="12" customHeight="1">
      <c r="B16667" s="324"/>
      <c r="C16667" s="325"/>
      <c r="D16667" s="326"/>
      <c r="E16667" s="326"/>
      <c r="F16667" s="326"/>
      <c r="G16667" s="326"/>
      <c r="H16667" s="326"/>
      <c r="P16667" s="318"/>
      <c r="Q16667" s="318"/>
      <c r="R16667" s="318"/>
      <c r="S16667" s="318"/>
      <c r="T16667" s="318"/>
      <c r="U16667" s="318"/>
      <c r="V16667" s="318"/>
      <c r="W16667" s="318"/>
      <c r="X16667" s="318"/>
      <c r="Y16667" s="318"/>
      <c r="Z16667" s="318"/>
      <c r="AA16667" s="318"/>
      <c r="AB16667" s="318"/>
      <c r="AC16667" s="318"/>
      <c r="AD16667" s="318"/>
    </row>
    <row r="16668" spans="2:30" s="323" customFormat="1" ht="12" customHeight="1">
      <c r="B16668" s="324"/>
      <c r="C16668" s="325"/>
      <c r="D16668" s="326"/>
      <c r="E16668" s="326"/>
      <c r="F16668" s="326"/>
      <c r="G16668" s="326"/>
      <c r="H16668" s="326"/>
      <c r="P16668" s="318"/>
      <c r="Q16668" s="318"/>
      <c r="R16668" s="318"/>
      <c r="S16668" s="318"/>
      <c r="T16668" s="318"/>
      <c r="U16668" s="318"/>
      <c r="V16668" s="318"/>
      <c r="W16668" s="318"/>
      <c r="X16668" s="318"/>
      <c r="Y16668" s="318"/>
      <c r="Z16668" s="318"/>
      <c r="AA16668" s="318"/>
      <c r="AB16668" s="318"/>
      <c r="AC16668" s="318"/>
      <c r="AD16668" s="318"/>
    </row>
    <row r="16669" spans="2:30" s="323" customFormat="1" ht="12" customHeight="1">
      <c r="B16669" s="324"/>
      <c r="C16669" s="325"/>
      <c r="D16669" s="326"/>
      <c r="E16669" s="326"/>
      <c r="F16669" s="326"/>
      <c r="G16669" s="326"/>
      <c r="H16669" s="326"/>
      <c r="P16669" s="318"/>
      <c r="Q16669" s="318"/>
      <c r="R16669" s="318"/>
      <c r="S16669" s="318"/>
      <c r="T16669" s="318"/>
      <c r="U16669" s="318"/>
      <c r="V16669" s="318"/>
      <c r="W16669" s="318"/>
      <c r="X16669" s="318"/>
      <c r="Y16669" s="318"/>
      <c r="Z16669" s="318"/>
      <c r="AA16669" s="318"/>
      <c r="AB16669" s="318"/>
      <c r="AC16669" s="318"/>
      <c r="AD16669" s="318"/>
    </row>
    <row r="16670" spans="2:30" s="323" customFormat="1" ht="12" customHeight="1">
      <c r="B16670" s="324"/>
      <c r="C16670" s="325"/>
      <c r="D16670" s="326"/>
      <c r="E16670" s="326"/>
      <c r="F16670" s="326"/>
      <c r="G16670" s="326"/>
      <c r="H16670" s="326"/>
      <c r="P16670" s="318"/>
      <c r="Q16670" s="318"/>
      <c r="R16670" s="318"/>
      <c r="S16670" s="318"/>
      <c r="T16670" s="318"/>
      <c r="U16670" s="318"/>
      <c r="V16670" s="318"/>
      <c r="W16670" s="318"/>
      <c r="X16670" s="318"/>
      <c r="Y16670" s="318"/>
      <c r="Z16670" s="318"/>
      <c r="AA16670" s="318"/>
      <c r="AB16670" s="318"/>
      <c r="AC16670" s="318"/>
      <c r="AD16670" s="318"/>
    </row>
    <row r="16671" spans="2:30" s="323" customFormat="1" ht="12" customHeight="1">
      <c r="B16671" s="324"/>
      <c r="C16671" s="325"/>
      <c r="D16671" s="326"/>
      <c r="E16671" s="326"/>
      <c r="F16671" s="326"/>
      <c r="G16671" s="326"/>
      <c r="H16671" s="326"/>
      <c r="P16671" s="318"/>
      <c r="Q16671" s="318"/>
      <c r="R16671" s="318"/>
      <c r="S16671" s="318"/>
      <c r="T16671" s="318"/>
      <c r="U16671" s="318"/>
      <c r="V16671" s="318"/>
      <c r="W16671" s="318"/>
      <c r="X16671" s="318"/>
      <c r="Y16671" s="318"/>
      <c r="Z16671" s="318"/>
      <c r="AA16671" s="318"/>
      <c r="AB16671" s="318"/>
      <c r="AC16671" s="318"/>
      <c r="AD16671" s="318"/>
    </row>
    <row r="16672" spans="2:30" s="323" customFormat="1" ht="12" customHeight="1">
      <c r="B16672" s="324"/>
      <c r="C16672" s="325"/>
      <c r="D16672" s="326"/>
      <c r="E16672" s="326"/>
      <c r="F16672" s="326"/>
      <c r="G16672" s="326"/>
      <c r="H16672" s="326"/>
      <c r="P16672" s="318"/>
      <c r="Q16672" s="318"/>
      <c r="R16672" s="318"/>
      <c r="S16672" s="318"/>
      <c r="T16672" s="318"/>
      <c r="U16672" s="318"/>
      <c r="V16672" s="318"/>
      <c r="W16672" s="318"/>
      <c r="X16672" s="318"/>
      <c r="Y16672" s="318"/>
      <c r="Z16672" s="318"/>
      <c r="AA16672" s="318"/>
      <c r="AB16672" s="318"/>
      <c r="AC16672" s="318"/>
      <c r="AD16672" s="318"/>
    </row>
    <row r="16673" spans="2:30" s="323" customFormat="1" ht="12" customHeight="1">
      <c r="B16673" s="324"/>
      <c r="C16673" s="325"/>
      <c r="D16673" s="326"/>
      <c r="E16673" s="326"/>
      <c r="F16673" s="326"/>
      <c r="G16673" s="326"/>
      <c r="H16673" s="326"/>
      <c r="P16673" s="318"/>
      <c r="Q16673" s="318"/>
      <c r="R16673" s="318"/>
      <c r="S16673" s="318"/>
      <c r="T16673" s="318"/>
      <c r="U16673" s="318"/>
      <c r="V16673" s="318"/>
      <c r="W16673" s="318"/>
      <c r="X16673" s="318"/>
      <c r="Y16673" s="318"/>
      <c r="Z16673" s="318"/>
      <c r="AA16673" s="318"/>
      <c r="AB16673" s="318"/>
      <c r="AC16673" s="318"/>
      <c r="AD16673" s="318"/>
    </row>
    <row r="16674" spans="2:30" s="323" customFormat="1" ht="12" customHeight="1">
      <c r="B16674" s="324"/>
      <c r="C16674" s="325"/>
      <c r="D16674" s="326"/>
      <c r="E16674" s="326"/>
      <c r="F16674" s="326"/>
      <c r="G16674" s="326"/>
      <c r="H16674" s="326"/>
      <c r="P16674" s="318"/>
      <c r="Q16674" s="318"/>
      <c r="R16674" s="318"/>
      <c r="S16674" s="318"/>
      <c r="T16674" s="318"/>
      <c r="U16674" s="318"/>
      <c r="V16674" s="318"/>
      <c r="W16674" s="318"/>
      <c r="X16674" s="318"/>
      <c r="Y16674" s="318"/>
      <c r="Z16674" s="318"/>
      <c r="AA16674" s="318"/>
      <c r="AB16674" s="318"/>
      <c r="AC16674" s="318"/>
      <c r="AD16674" s="318"/>
    </row>
    <row r="16675" spans="2:30" s="323" customFormat="1" ht="12" customHeight="1">
      <c r="B16675" s="324"/>
      <c r="C16675" s="325"/>
      <c r="D16675" s="326"/>
      <c r="E16675" s="326"/>
      <c r="F16675" s="326"/>
      <c r="G16675" s="326"/>
      <c r="H16675" s="326"/>
      <c r="P16675" s="318"/>
      <c r="Q16675" s="318"/>
      <c r="R16675" s="318"/>
      <c r="S16675" s="318"/>
      <c r="T16675" s="318"/>
      <c r="U16675" s="318"/>
      <c r="V16675" s="318"/>
      <c r="W16675" s="318"/>
      <c r="X16675" s="318"/>
      <c r="Y16675" s="318"/>
      <c r="Z16675" s="318"/>
      <c r="AA16675" s="318"/>
      <c r="AB16675" s="318"/>
      <c r="AC16675" s="318"/>
      <c r="AD16675" s="318"/>
    </row>
    <row r="16676" spans="2:30" s="323" customFormat="1" ht="12" customHeight="1">
      <c r="B16676" s="324"/>
      <c r="C16676" s="325"/>
      <c r="D16676" s="326"/>
      <c r="E16676" s="326"/>
      <c r="F16676" s="326"/>
      <c r="G16676" s="326"/>
      <c r="H16676" s="326"/>
      <c r="P16676" s="318"/>
      <c r="Q16676" s="318"/>
      <c r="R16676" s="318"/>
      <c r="S16676" s="318"/>
      <c r="T16676" s="318"/>
      <c r="U16676" s="318"/>
      <c r="V16676" s="318"/>
      <c r="W16676" s="318"/>
      <c r="X16676" s="318"/>
      <c r="Y16676" s="318"/>
      <c r="Z16676" s="318"/>
      <c r="AA16676" s="318"/>
      <c r="AB16676" s="318"/>
      <c r="AC16676" s="318"/>
      <c r="AD16676" s="318"/>
    </row>
    <row r="16677" spans="2:30" s="323" customFormat="1" ht="12" customHeight="1">
      <c r="B16677" s="324"/>
      <c r="C16677" s="325"/>
      <c r="D16677" s="326"/>
      <c r="E16677" s="326"/>
      <c r="F16677" s="326"/>
      <c r="G16677" s="326"/>
      <c r="H16677" s="326"/>
      <c r="P16677" s="318"/>
      <c r="Q16677" s="318"/>
      <c r="R16677" s="318"/>
      <c r="S16677" s="318"/>
      <c r="T16677" s="318"/>
      <c r="U16677" s="318"/>
      <c r="V16677" s="318"/>
      <c r="W16677" s="318"/>
      <c r="X16677" s="318"/>
      <c r="Y16677" s="318"/>
      <c r="Z16677" s="318"/>
      <c r="AA16677" s="318"/>
      <c r="AB16677" s="318"/>
      <c r="AC16677" s="318"/>
      <c r="AD16677" s="318"/>
    </row>
    <row r="16678" spans="2:30" s="323" customFormat="1" ht="12" customHeight="1">
      <c r="B16678" s="324"/>
      <c r="C16678" s="325"/>
      <c r="D16678" s="326"/>
      <c r="E16678" s="326"/>
      <c r="F16678" s="326"/>
      <c r="G16678" s="326"/>
      <c r="H16678" s="326"/>
      <c r="P16678" s="318"/>
      <c r="Q16678" s="318"/>
      <c r="R16678" s="318"/>
      <c r="S16678" s="318"/>
      <c r="T16678" s="318"/>
      <c r="U16678" s="318"/>
      <c r="V16678" s="318"/>
      <c r="W16678" s="318"/>
      <c r="X16678" s="318"/>
      <c r="Y16678" s="318"/>
      <c r="Z16678" s="318"/>
      <c r="AA16678" s="318"/>
      <c r="AB16678" s="318"/>
      <c r="AC16678" s="318"/>
      <c r="AD16678" s="318"/>
    </row>
    <row r="16679" spans="2:30" s="323" customFormat="1" ht="12" customHeight="1">
      <c r="B16679" s="324"/>
      <c r="C16679" s="325"/>
      <c r="D16679" s="326"/>
      <c r="E16679" s="326"/>
      <c r="F16679" s="326"/>
      <c r="G16679" s="326"/>
      <c r="H16679" s="326"/>
      <c r="P16679" s="318"/>
      <c r="Q16679" s="318"/>
      <c r="R16679" s="318"/>
      <c r="S16679" s="318"/>
      <c r="T16679" s="318"/>
      <c r="U16679" s="318"/>
      <c r="V16679" s="318"/>
      <c r="W16679" s="318"/>
      <c r="X16679" s="318"/>
      <c r="Y16679" s="318"/>
      <c r="Z16679" s="318"/>
      <c r="AA16679" s="318"/>
      <c r="AB16679" s="318"/>
      <c r="AC16679" s="318"/>
      <c r="AD16679" s="318"/>
    </row>
    <row r="16680" spans="2:30" s="323" customFormat="1" ht="12" customHeight="1">
      <c r="B16680" s="324"/>
      <c r="C16680" s="325"/>
      <c r="D16680" s="326"/>
      <c r="E16680" s="326"/>
      <c r="F16680" s="326"/>
      <c r="G16680" s="326"/>
      <c r="H16680" s="326"/>
      <c r="P16680" s="318"/>
      <c r="Q16680" s="318"/>
      <c r="R16680" s="318"/>
      <c r="S16680" s="318"/>
      <c r="T16680" s="318"/>
      <c r="U16680" s="318"/>
      <c r="V16680" s="318"/>
      <c r="W16680" s="318"/>
      <c r="X16680" s="318"/>
      <c r="Y16680" s="318"/>
      <c r="Z16680" s="318"/>
      <c r="AA16680" s="318"/>
      <c r="AB16680" s="318"/>
      <c r="AC16680" s="318"/>
      <c r="AD16680" s="318"/>
    </row>
    <row r="16681" spans="2:30" s="323" customFormat="1" ht="12" customHeight="1">
      <c r="B16681" s="324"/>
      <c r="C16681" s="325"/>
      <c r="D16681" s="326"/>
      <c r="E16681" s="326"/>
      <c r="F16681" s="326"/>
      <c r="G16681" s="326"/>
      <c r="H16681" s="326"/>
      <c r="P16681" s="318"/>
      <c r="Q16681" s="318"/>
      <c r="R16681" s="318"/>
      <c r="S16681" s="318"/>
      <c r="T16681" s="318"/>
      <c r="U16681" s="318"/>
      <c r="V16681" s="318"/>
      <c r="W16681" s="318"/>
      <c r="X16681" s="318"/>
      <c r="Y16681" s="318"/>
      <c r="Z16681" s="318"/>
      <c r="AA16681" s="318"/>
      <c r="AB16681" s="318"/>
      <c r="AC16681" s="318"/>
      <c r="AD16681" s="318"/>
    </row>
    <row r="16682" spans="2:30" s="323" customFormat="1" ht="12" customHeight="1">
      <c r="B16682" s="324"/>
      <c r="C16682" s="325"/>
      <c r="D16682" s="326"/>
      <c r="E16682" s="326"/>
      <c r="F16682" s="326"/>
      <c r="G16682" s="326"/>
      <c r="H16682" s="326"/>
      <c r="P16682" s="318"/>
      <c r="Q16682" s="318"/>
      <c r="R16682" s="318"/>
      <c r="S16682" s="318"/>
      <c r="T16682" s="318"/>
      <c r="U16682" s="318"/>
      <c r="V16682" s="318"/>
      <c r="W16682" s="318"/>
      <c r="X16682" s="318"/>
      <c r="Y16682" s="318"/>
      <c r="Z16682" s="318"/>
      <c r="AA16682" s="318"/>
      <c r="AB16682" s="318"/>
      <c r="AC16682" s="318"/>
      <c r="AD16682" s="318"/>
    </row>
    <row r="16683" spans="2:30" s="323" customFormat="1" ht="12" customHeight="1">
      <c r="B16683" s="324"/>
      <c r="C16683" s="325"/>
      <c r="D16683" s="326"/>
      <c r="E16683" s="326"/>
      <c r="F16683" s="326"/>
      <c r="G16683" s="326"/>
      <c r="H16683" s="326"/>
      <c r="P16683" s="318"/>
      <c r="Q16683" s="318"/>
      <c r="R16683" s="318"/>
      <c r="S16683" s="318"/>
      <c r="T16683" s="318"/>
      <c r="U16683" s="318"/>
      <c r="V16683" s="318"/>
      <c r="W16683" s="318"/>
      <c r="X16683" s="318"/>
      <c r="Y16683" s="318"/>
      <c r="Z16683" s="318"/>
      <c r="AA16683" s="318"/>
      <c r="AB16683" s="318"/>
      <c r="AC16683" s="318"/>
      <c r="AD16683" s="318"/>
    </row>
    <row r="16684" spans="2:30" s="323" customFormat="1" ht="12" customHeight="1">
      <c r="B16684" s="324"/>
      <c r="C16684" s="325"/>
      <c r="D16684" s="326"/>
      <c r="E16684" s="326"/>
      <c r="F16684" s="326"/>
      <c r="G16684" s="326"/>
      <c r="H16684" s="326"/>
      <c r="P16684" s="318"/>
      <c r="Q16684" s="318"/>
      <c r="R16684" s="318"/>
      <c r="S16684" s="318"/>
      <c r="T16684" s="318"/>
      <c r="U16684" s="318"/>
      <c r="V16684" s="318"/>
      <c r="W16684" s="318"/>
      <c r="X16684" s="318"/>
      <c r="Y16684" s="318"/>
      <c r="Z16684" s="318"/>
      <c r="AA16684" s="318"/>
      <c r="AB16684" s="318"/>
      <c r="AC16684" s="318"/>
      <c r="AD16684" s="318"/>
    </row>
    <row r="16685" spans="2:30" s="323" customFormat="1" ht="12" customHeight="1">
      <c r="B16685" s="324"/>
      <c r="C16685" s="325"/>
      <c r="D16685" s="326"/>
      <c r="E16685" s="326"/>
      <c r="F16685" s="326"/>
      <c r="G16685" s="326"/>
      <c r="H16685" s="326"/>
      <c r="P16685" s="318"/>
      <c r="Q16685" s="318"/>
      <c r="R16685" s="318"/>
      <c r="S16685" s="318"/>
      <c r="T16685" s="318"/>
      <c r="U16685" s="318"/>
      <c r="V16685" s="318"/>
      <c r="W16685" s="318"/>
      <c r="X16685" s="318"/>
      <c r="Y16685" s="318"/>
      <c r="Z16685" s="318"/>
      <c r="AA16685" s="318"/>
      <c r="AB16685" s="318"/>
      <c r="AC16685" s="318"/>
      <c r="AD16685" s="318"/>
    </row>
    <row r="16686" spans="2:30" s="323" customFormat="1" ht="12" customHeight="1">
      <c r="B16686" s="324"/>
      <c r="C16686" s="325"/>
      <c r="D16686" s="326"/>
      <c r="E16686" s="326"/>
      <c r="F16686" s="326"/>
      <c r="G16686" s="326"/>
      <c r="H16686" s="326"/>
      <c r="P16686" s="318"/>
      <c r="Q16686" s="318"/>
      <c r="R16686" s="318"/>
      <c r="S16686" s="318"/>
      <c r="T16686" s="318"/>
      <c r="U16686" s="318"/>
      <c r="V16686" s="318"/>
      <c r="W16686" s="318"/>
      <c r="X16686" s="318"/>
      <c r="Y16686" s="318"/>
      <c r="Z16686" s="318"/>
      <c r="AA16686" s="318"/>
      <c r="AB16686" s="318"/>
      <c r="AC16686" s="318"/>
      <c r="AD16686" s="318"/>
    </row>
    <row r="16687" spans="2:30" s="323" customFormat="1" ht="12" customHeight="1">
      <c r="B16687" s="324"/>
      <c r="C16687" s="325"/>
      <c r="D16687" s="326"/>
      <c r="E16687" s="326"/>
      <c r="F16687" s="326"/>
      <c r="G16687" s="326"/>
      <c r="H16687" s="326"/>
      <c r="P16687" s="318"/>
      <c r="Q16687" s="318"/>
      <c r="R16687" s="318"/>
      <c r="S16687" s="318"/>
      <c r="T16687" s="318"/>
      <c r="U16687" s="318"/>
      <c r="V16687" s="318"/>
      <c r="W16687" s="318"/>
      <c r="X16687" s="318"/>
      <c r="Y16687" s="318"/>
      <c r="Z16687" s="318"/>
      <c r="AA16687" s="318"/>
      <c r="AB16687" s="318"/>
      <c r="AC16687" s="318"/>
      <c r="AD16687" s="318"/>
    </row>
    <row r="16688" spans="2:30" s="323" customFormat="1" ht="12" customHeight="1">
      <c r="B16688" s="324"/>
      <c r="C16688" s="325"/>
      <c r="D16688" s="326"/>
      <c r="E16688" s="326"/>
      <c r="F16688" s="326"/>
      <c r="G16688" s="326"/>
      <c r="H16688" s="326"/>
      <c r="P16688" s="318"/>
      <c r="Q16688" s="318"/>
      <c r="R16688" s="318"/>
      <c r="S16688" s="318"/>
      <c r="T16688" s="318"/>
      <c r="U16688" s="318"/>
      <c r="V16688" s="318"/>
      <c r="W16688" s="318"/>
      <c r="X16688" s="318"/>
      <c r="Y16688" s="318"/>
      <c r="Z16688" s="318"/>
      <c r="AA16688" s="318"/>
      <c r="AB16688" s="318"/>
      <c r="AC16688" s="318"/>
      <c r="AD16688" s="318"/>
    </row>
    <row r="16689" spans="2:30" s="323" customFormat="1" ht="12" customHeight="1">
      <c r="B16689" s="324"/>
      <c r="C16689" s="325"/>
      <c r="D16689" s="326"/>
      <c r="E16689" s="326"/>
      <c r="F16689" s="326"/>
      <c r="G16689" s="326"/>
      <c r="H16689" s="326"/>
      <c r="P16689" s="318"/>
      <c r="Q16689" s="318"/>
      <c r="R16689" s="318"/>
      <c r="S16689" s="318"/>
      <c r="T16689" s="318"/>
      <c r="U16689" s="318"/>
      <c r="V16689" s="318"/>
      <c r="W16689" s="318"/>
      <c r="X16689" s="318"/>
      <c r="Y16689" s="318"/>
      <c r="Z16689" s="318"/>
      <c r="AA16689" s="318"/>
      <c r="AB16689" s="318"/>
      <c r="AC16689" s="318"/>
      <c r="AD16689" s="318"/>
    </row>
    <row r="16690" spans="2:30" s="323" customFormat="1" ht="12" customHeight="1">
      <c r="B16690" s="324"/>
      <c r="C16690" s="325"/>
      <c r="D16690" s="326"/>
      <c r="E16690" s="326"/>
      <c r="F16690" s="326"/>
      <c r="G16690" s="326"/>
      <c r="H16690" s="326"/>
      <c r="P16690" s="318"/>
      <c r="Q16690" s="318"/>
      <c r="R16690" s="318"/>
      <c r="S16690" s="318"/>
      <c r="T16690" s="318"/>
      <c r="U16690" s="318"/>
      <c r="V16690" s="318"/>
      <c r="W16690" s="318"/>
      <c r="X16690" s="318"/>
      <c r="Y16690" s="318"/>
      <c r="Z16690" s="318"/>
      <c r="AA16690" s="318"/>
      <c r="AB16690" s="318"/>
      <c r="AC16690" s="318"/>
      <c r="AD16690" s="318"/>
    </row>
    <row r="16691" spans="2:30" s="323" customFormat="1" ht="12" customHeight="1">
      <c r="B16691" s="324"/>
      <c r="C16691" s="325"/>
      <c r="D16691" s="326"/>
      <c r="E16691" s="326"/>
      <c r="F16691" s="326"/>
      <c r="G16691" s="326"/>
      <c r="H16691" s="326"/>
      <c r="P16691" s="318"/>
      <c r="Q16691" s="318"/>
      <c r="R16691" s="318"/>
      <c r="S16691" s="318"/>
      <c r="T16691" s="318"/>
      <c r="U16691" s="318"/>
      <c r="V16691" s="318"/>
      <c r="W16691" s="318"/>
      <c r="X16691" s="318"/>
      <c r="Y16691" s="318"/>
      <c r="Z16691" s="318"/>
      <c r="AA16691" s="318"/>
      <c r="AB16691" s="318"/>
      <c r="AC16691" s="318"/>
      <c r="AD16691" s="318"/>
    </row>
    <row r="16692" spans="2:30" s="323" customFormat="1" ht="12" customHeight="1">
      <c r="B16692" s="324"/>
      <c r="C16692" s="325"/>
      <c r="D16692" s="326"/>
      <c r="E16692" s="326"/>
      <c r="F16692" s="326"/>
      <c r="G16692" s="326"/>
      <c r="H16692" s="326"/>
      <c r="P16692" s="318"/>
      <c r="Q16692" s="318"/>
      <c r="R16692" s="318"/>
      <c r="S16692" s="318"/>
      <c r="T16692" s="318"/>
      <c r="U16692" s="318"/>
      <c r="V16692" s="318"/>
      <c r="W16692" s="318"/>
      <c r="X16692" s="318"/>
      <c r="Y16692" s="318"/>
      <c r="Z16692" s="318"/>
      <c r="AA16692" s="318"/>
      <c r="AB16692" s="318"/>
      <c r="AC16692" s="318"/>
      <c r="AD16692" s="318"/>
    </row>
    <row r="16693" spans="2:30" s="323" customFormat="1" ht="12" customHeight="1">
      <c r="B16693" s="324"/>
      <c r="C16693" s="325"/>
      <c r="D16693" s="326"/>
      <c r="E16693" s="326"/>
      <c r="F16693" s="326"/>
      <c r="G16693" s="326"/>
      <c r="H16693" s="326"/>
      <c r="P16693" s="318"/>
      <c r="Q16693" s="318"/>
      <c r="R16693" s="318"/>
      <c r="S16693" s="318"/>
      <c r="T16693" s="318"/>
      <c r="U16693" s="318"/>
      <c r="V16693" s="318"/>
      <c r="W16693" s="318"/>
      <c r="X16693" s="318"/>
      <c r="Y16693" s="318"/>
      <c r="Z16693" s="318"/>
      <c r="AA16693" s="318"/>
      <c r="AB16693" s="318"/>
      <c r="AC16693" s="318"/>
      <c r="AD16693" s="318"/>
    </row>
    <row r="16694" spans="2:30" s="323" customFormat="1" ht="12" customHeight="1">
      <c r="B16694" s="324"/>
      <c r="C16694" s="325"/>
      <c r="D16694" s="326"/>
      <c r="E16694" s="326"/>
      <c r="F16694" s="326"/>
      <c r="G16694" s="326"/>
      <c r="H16694" s="326"/>
      <c r="P16694" s="318"/>
      <c r="Q16694" s="318"/>
      <c r="R16694" s="318"/>
      <c r="S16694" s="318"/>
      <c r="T16694" s="318"/>
      <c r="U16694" s="318"/>
      <c r="V16694" s="318"/>
      <c r="W16694" s="318"/>
      <c r="X16694" s="318"/>
      <c r="Y16694" s="318"/>
      <c r="Z16694" s="318"/>
      <c r="AA16694" s="318"/>
      <c r="AB16694" s="318"/>
      <c r="AC16694" s="318"/>
      <c r="AD16694" s="318"/>
    </row>
    <row r="16695" spans="2:30" s="323" customFormat="1" ht="12" customHeight="1">
      <c r="B16695" s="324"/>
      <c r="C16695" s="325"/>
      <c r="D16695" s="326"/>
      <c r="E16695" s="326"/>
      <c r="F16695" s="326"/>
      <c r="G16695" s="326"/>
      <c r="H16695" s="326"/>
      <c r="P16695" s="318"/>
      <c r="Q16695" s="318"/>
      <c r="R16695" s="318"/>
      <c r="S16695" s="318"/>
      <c r="T16695" s="318"/>
      <c r="U16695" s="318"/>
      <c r="V16695" s="318"/>
      <c r="W16695" s="318"/>
      <c r="X16695" s="318"/>
      <c r="Y16695" s="318"/>
      <c r="Z16695" s="318"/>
      <c r="AA16695" s="318"/>
      <c r="AB16695" s="318"/>
      <c r="AC16695" s="318"/>
      <c r="AD16695" s="318"/>
    </row>
    <row r="16696" spans="2:30" s="323" customFormat="1" ht="12" customHeight="1">
      <c r="B16696" s="324"/>
      <c r="C16696" s="325"/>
      <c r="D16696" s="326"/>
      <c r="E16696" s="326"/>
      <c r="F16696" s="326"/>
      <c r="G16696" s="326"/>
      <c r="H16696" s="326"/>
      <c r="P16696" s="318"/>
      <c r="Q16696" s="318"/>
      <c r="R16696" s="318"/>
      <c r="S16696" s="318"/>
      <c r="T16696" s="318"/>
      <c r="U16696" s="318"/>
      <c r="V16696" s="318"/>
      <c r="W16696" s="318"/>
      <c r="X16696" s="318"/>
      <c r="Y16696" s="318"/>
      <c r="Z16696" s="318"/>
      <c r="AA16696" s="318"/>
      <c r="AB16696" s="318"/>
      <c r="AC16696" s="318"/>
      <c r="AD16696" s="318"/>
    </row>
    <row r="16697" spans="2:30" s="323" customFormat="1" ht="12" customHeight="1">
      <c r="B16697" s="324"/>
      <c r="C16697" s="325"/>
      <c r="D16697" s="326"/>
      <c r="E16697" s="326"/>
      <c r="F16697" s="326"/>
      <c r="G16697" s="326"/>
      <c r="H16697" s="326"/>
      <c r="P16697" s="318"/>
      <c r="Q16697" s="318"/>
      <c r="R16697" s="318"/>
      <c r="S16697" s="318"/>
      <c r="T16697" s="318"/>
      <c r="U16697" s="318"/>
      <c r="V16697" s="318"/>
      <c r="W16697" s="318"/>
      <c r="X16697" s="318"/>
      <c r="Y16697" s="318"/>
      <c r="Z16697" s="318"/>
      <c r="AA16697" s="318"/>
      <c r="AB16697" s="318"/>
      <c r="AC16697" s="318"/>
      <c r="AD16697" s="318"/>
    </row>
    <row r="16698" spans="2:30" s="323" customFormat="1" ht="12" customHeight="1">
      <c r="B16698" s="324"/>
      <c r="C16698" s="325"/>
      <c r="D16698" s="326"/>
      <c r="E16698" s="326"/>
      <c r="F16698" s="326"/>
      <c r="G16698" s="326"/>
      <c r="H16698" s="326"/>
      <c r="P16698" s="318"/>
      <c r="Q16698" s="318"/>
      <c r="R16698" s="318"/>
      <c r="S16698" s="318"/>
      <c r="T16698" s="318"/>
      <c r="U16698" s="318"/>
      <c r="V16698" s="318"/>
      <c r="W16698" s="318"/>
      <c r="X16698" s="318"/>
      <c r="Y16698" s="318"/>
      <c r="Z16698" s="318"/>
      <c r="AA16698" s="318"/>
      <c r="AB16698" s="318"/>
      <c r="AC16698" s="318"/>
      <c r="AD16698" s="318"/>
    </row>
    <row r="16699" spans="2:30" s="323" customFormat="1" ht="12" customHeight="1">
      <c r="B16699" s="324"/>
      <c r="C16699" s="325"/>
      <c r="D16699" s="326"/>
      <c r="E16699" s="326"/>
      <c r="F16699" s="326"/>
      <c r="G16699" s="326"/>
      <c r="H16699" s="326"/>
      <c r="P16699" s="318"/>
      <c r="Q16699" s="318"/>
      <c r="R16699" s="318"/>
      <c r="S16699" s="318"/>
      <c r="T16699" s="318"/>
      <c r="U16699" s="318"/>
      <c r="V16699" s="318"/>
      <c r="W16699" s="318"/>
      <c r="X16699" s="318"/>
      <c r="Y16699" s="318"/>
      <c r="Z16699" s="318"/>
      <c r="AA16699" s="318"/>
      <c r="AB16699" s="318"/>
      <c r="AC16699" s="318"/>
      <c r="AD16699" s="318"/>
    </row>
    <row r="16700" spans="2:30" s="323" customFormat="1" ht="12" customHeight="1">
      <c r="B16700" s="324"/>
      <c r="C16700" s="325"/>
      <c r="D16700" s="326"/>
      <c r="E16700" s="326"/>
      <c r="F16700" s="326"/>
      <c r="G16700" s="326"/>
      <c r="H16700" s="326"/>
      <c r="P16700" s="318"/>
      <c r="Q16700" s="318"/>
      <c r="R16700" s="318"/>
      <c r="S16700" s="318"/>
      <c r="T16700" s="318"/>
      <c r="U16700" s="318"/>
      <c r="V16700" s="318"/>
      <c r="W16700" s="318"/>
      <c r="X16700" s="318"/>
      <c r="Y16700" s="318"/>
      <c r="Z16700" s="318"/>
      <c r="AA16700" s="318"/>
      <c r="AB16700" s="318"/>
      <c r="AC16700" s="318"/>
      <c r="AD16700" s="318"/>
    </row>
    <row r="16701" spans="2:30" s="323" customFormat="1" ht="12" customHeight="1">
      <c r="B16701" s="324"/>
      <c r="C16701" s="325"/>
      <c r="D16701" s="326"/>
      <c r="E16701" s="326"/>
      <c r="F16701" s="326"/>
      <c r="G16701" s="326"/>
      <c r="H16701" s="326"/>
      <c r="P16701" s="318"/>
      <c r="Q16701" s="318"/>
      <c r="R16701" s="318"/>
      <c r="S16701" s="318"/>
      <c r="T16701" s="318"/>
      <c r="U16701" s="318"/>
      <c r="V16701" s="318"/>
      <c r="W16701" s="318"/>
      <c r="X16701" s="318"/>
      <c r="Y16701" s="318"/>
      <c r="Z16701" s="318"/>
      <c r="AA16701" s="318"/>
      <c r="AB16701" s="318"/>
      <c r="AC16701" s="318"/>
      <c r="AD16701" s="318"/>
    </row>
    <row r="16702" spans="2:30" s="323" customFormat="1" ht="12" customHeight="1">
      <c r="B16702" s="324"/>
      <c r="C16702" s="325"/>
      <c r="D16702" s="326"/>
      <c r="E16702" s="326"/>
      <c r="F16702" s="326"/>
      <c r="G16702" s="326"/>
      <c r="H16702" s="326"/>
      <c r="P16702" s="318"/>
      <c r="Q16702" s="318"/>
      <c r="R16702" s="318"/>
      <c r="S16702" s="318"/>
      <c r="T16702" s="318"/>
      <c r="U16702" s="318"/>
      <c r="V16702" s="318"/>
      <c r="W16702" s="318"/>
      <c r="X16702" s="318"/>
      <c r="Y16702" s="318"/>
      <c r="Z16702" s="318"/>
      <c r="AA16702" s="318"/>
      <c r="AB16702" s="318"/>
      <c r="AC16702" s="318"/>
      <c r="AD16702" s="318"/>
    </row>
    <row r="16703" spans="2:30" s="323" customFormat="1" ht="12" customHeight="1">
      <c r="B16703" s="324"/>
      <c r="C16703" s="325"/>
      <c r="D16703" s="326"/>
      <c r="E16703" s="326"/>
      <c r="F16703" s="326"/>
      <c r="G16703" s="326"/>
      <c r="H16703" s="326"/>
      <c r="P16703" s="318"/>
      <c r="Q16703" s="318"/>
      <c r="R16703" s="318"/>
      <c r="S16703" s="318"/>
      <c r="T16703" s="318"/>
      <c r="U16703" s="318"/>
      <c r="V16703" s="318"/>
      <c r="W16703" s="318"/>
      <c r="X16703" s="318"/>
      <c r="Y16703" s="318"/>
      <c r="Z16703" s="318"/>
      <c r="AA16703" s="318"/>
      <c r="AB16703" s="318"/>
      <c r="AC16703" s="318"/>
      <c r="AD16703" s="318"/>
    </row>
    <row r="16704" spans="2:30" s="323" customFormat="1" ht="12" customHeight="1">
      <c r="B16704" s="324"/>
      <c r="C16704" s="325"/>
      <c r="D16704" s="326"/>
      <c r="E16704" s="326"/>
      <c r="F16704" s="326"/>
      <c r="G16704" s="326"/>
      <c r="H16704" s="326"/>
      <c r="P16704" s="318"/>
      <c r="Q16704" s="318"/>
      <c r="R16704" s="318"/>
      <c r="S16704" s="318"/>
      <c r="T16704" s="318"/>
      <c r="U16704" s="318"/>
      <c r="V16704" s="318"/>
      <c r="W16704" s="318"/>
      <c r="X16704" s="318"/>
      <c r="Y16704" s="318"/>
      <c r="Z16704" s="318"/>
      <c r="AA16704" s="318"/>
      <c r="AB16704" s="318"/>
      <c r="AC16704" s="318"/>
      <c r="AD16704" s="318"/>
    </row>
    <row r="16705" spans="2:30" s="323" customFormat="1" ht="12" customHeight="1">
      <c r="B16705" s="324"/>
      <c r="C16705" s="325"/>
      <c r="D16705" s="326"/>
      <c r="E16705" s="326"/>
      <c r="F16705" s="326"/>
      <c r="G16705" s="326"/>
      <c r="H16705" s="326"/>
      <c r="P16705" s="318"/>
      <c r="Q16705" s="318"/>
      <c r="R16705" s="318"/>
      <c r="S16705" s="318"/>
      <c r="T16705" s="318"/>
      <c r="U16705" s="318"/>
      <c r="V16705" s="318"/>
      <c r="W16705" s="318"/>
      <c r="X16705" s="318"/>
      <c r="Y16705" s="318"/>
      <c r="Z16705" s="318"/>
      <c r="AA16705" s="318"/>
      <c r="AB16705" s="318"/>
      <c r="AC16705" s="318"/>
      <c r="AD16705" s="318"/>
    </row>
    <row r="16706" spans="2:30" s="323" customFormat="1" ht="12" customHeight="1">
      <c r="B16706" s="324"/>
      <c r="C16706" s="325"/>
      <c r="D16706" s="326"/>
      <c r="E16706" s="326"/>
      <c r="F16706" s="326"/>
      <c r="G16706" s="326"/>
      <c r="H16706" s="326"/>
      <c r="P16706" s="318"/>
      <c r="Q16706" s="318"/>
      <c r="R16706" s="318"/>
      <c r="S16706" s="318"/>
      <c r="T16706" s="318"/>
      <c r="U16706" s="318"/>
      <c r="V16706" s="318"/>
      <c r="W16706" s="318"/>
      <c r="X16706" s="318"/>
      <c r="Y16706" s="318"/>
      <c r="Z16706" s="318"/>
      <c r="AA16706" s="318"/>
      <c r="AB16706" s="318"/>
      <c r="AC16706" s="318"/>
      <c r="AD16706" s="318"/>
    </row>
    <row r="16707" spans="2:30" s="323" customFormat="1" ht="12" customHeight="1">
      <c r="B16707" s="324"/>
      <c r="C16707" s="325"/>
      <c r="D16707" s="326"/>
      <c r="E16707" s="326"/>
      <c r="F16707" s="326"/>
      <c r="G16707" s="326"/>
      <c r="H16707" s="326"/>
      <c r="P16707" s="318"/>
      <c r="Q16707" s="318"/>
      <c r="R16707" s="318"/>
      <c r="S16707" s="318"/>
      <c r="T16707" s="318"/>
      <c r="U16707" s="318"/>
      <c r="V16707" s="318"/>
      <c r="W16707" s="318"/>
      <c r="X16707" s="318"/>
      <c r="Y16707" s="318"/>
      <c r="Z16707" s="318"/>
      <c r="AA16707" s="318"/>
      <c r="AB16707" s="318"/>
      <c r="AC16707" s="318"/>
      <c r="AD16707" s="318"/>
    </row>
    <row r="16708" spans="2:30" s="323" customFormat="1" ht="12" customHeight="1">
      <c r="B16708" s="324"/>
      <c r="C16708" s="325"/>
      <c r="D16708" s="326"/>
      <c r="E16708" s="326"/>
      <c r="F16708" s="326"/>
      <c r="G16708" s="326"/>
      <c r="H16708" s="326"/>
      <c r="P16708" s="318"/>
      <c r="Q16708" s="318"/>
      <c r="R16708" s="318"/>
      <c r="S16708" s="318"/>
      <c r="T16708" s="318"/>
      <c r="U16708" s="318"/>
      <c r="V16708" s="318"/>
      <c r="W16708" s="318"/>
      <c r="X16708" s="318"/>
      <c r="Y16708" s="318"/>
      <c r="Z16708" s="318"/>
      <c r="AA16708" s="318"/>
      <c r="AB16708" s="318"/>
      <c r="AC16708" s="318"/>
      <c r="AD16708" s="318"/>
    </row>
    <row r="16709" spans="2:30" s="323" customFormat="1" ht="12" customHeight="1">
      <c r="B16709" s="324"/>
      <c r="C16709" s="325"/>
      <c r="D16709" s="326"/>
      <c r="E16709" s="326"/>
      <c r="F16709" s="326"/>
      <c r="G16709" s="326"/>
      <c r="H16709" s="326"/>
      <c r="P16709" s="318"/>
      <c r="Q16709" s="318"/>
      <c r="R16709" s="318"/>
      <c r="S16709" s="318"/>
      <c r="T16709" s="318"/>
      <c r="U16709" s="318"/>
      <c r="V16709" s="318"/>
      <c r="W16709" s="318"/>
      <c r="X16709" s="318"/>
      <c r="Y16709" s="318"/>
      <c r="Z16709" s="318"/>
      <c r="AA16709" s="318"/>
      <c r="AB16709" s="318"/>
      <c r="AC16709" s="318"/>
      <c r="AD16709" s="318"/>
    </row>
    <row r="16710" spans="2:30" s="323" customFormat="1" ht="12" customHeight="1">
      <c r="B16710" s="324"/>
      <c r="C16710" s="325"/>
      <c r="D16710" s="326"/>
      <c r="E16710" s="326"/>
      <c r="F16710" s="326"/>
      <c r="G16710" s="326"/>
      <c r="H16710" s="326"/>
      <c r="P16710" s="318"/>
      <c r="Q16710" s="318"/>
      <c r="R16710" s="318"/>
      <c r="S16710" s="318"/>
      <c r="T16710" s="318"/>
      <c r="U16710" s="318"/>
      <c r="V16710" s="318"/>
      <c r="W16710" s="318"/>
      <c r="X16710" s="318"/>
      <c r="Y16710" s="318"/>
      <c r="Z16710" s="318"/>
      <c r="AA16710" s="318"/>
      <c r="AB16710" s="318"/>
      <c r="AC16710" s="318"/>
      <c r="AD16710" s="318"/>
    </row>
    <row r="16711" spans="2:30" s="323" customFormat="1" ht="12" customHeight="1">
      <c r="B16711" s="324"/>
      <c r="C16711" s="325"/>
      <c r="D16711" s="326"/>
      <c r="E16711" s="326"/>
      <c r="F16711" s="326"/>
      <c r="G16711" s="326"/>
      <c r="H16711" s="326"/>
      <c r="P16711" s="318"/>
      <c r="Q16711" s="318"/>
      <c r="R16711" s="318"/>
      <c r="S16711" s="318"/>
      <c r="T16711" s="318"/>
      <c r="U16711" s="318"/>
      <c r="V16711" s="318"/>
      <c r="W16711" s="318"/>
      <c r="X16711" s="318"/>
      <c r="Y16711" s="318"/>
      <c r="Z16711" s="318"/>
      <c r="AA16711" s="318"/>
      <c r="AB16711" s="318"/>
      <c r="AC16711" s="318"/>
      <c r="AD16711" s="318"/>
    </row>
    <row r="16712" spans="2:30" s="323" customFormat="1" ht="12" customHeight="1">
      <c r="B16712" s="324"/>
      <c r="C16712" s="325"/>
      <c r="D16712" s="326"/>
      <c r="E16712" s="326"/>
      <c r="F16712" s="326"/>
      <c r="G16712" s="326"/>
      <c r="H16712" s="326"/>
      <c r="P16712" s="318"/>
      <c r="Q16712" s="318"/>
      <c r="R16712" s="318"/>
      <c r="S16712" s="318"/>
      <c r="T16712" s="318"/>
      <c r="U16712" s="318"/>
      <c r="V16712" s="318"/>
      <c r="W16712" s="318"/>
      <c r="X16712" s="318"/>
      <c r="Y16712" s="318"/>
      <c r="Z16712" s="318"/>
      <c r="AA16712" s="318"/>
      <c r="AB16712" s="318"/>
      <c r="AC16712" s="318"/>
      <c r="AD16712" s="318"/>
    </row>
    <row r="16713" spans="2:30" s="323" customFormat="1" ht="12" customHeight="1">
      <c r="B16713" s="324"/>
      <c r="C16713" s="325"/>
      <c r="D16713" s="326"/>
      <c r="E16713" s="326"/>
      <c r="F16713" s="326"/>
      <c r="G16713" s="326"/>
      <c r="H16713" s="326"/>
      <c r="P16713" s="318"/>
      <c r="Q16713" s="318"/>
      <c r="R16713" s="318"/>
      <c r="S16713" s="318"/>
      <c r="T16713" s="318"/>
      <c r="U16713" s="318"/>
      <c r="V16713" s="318"/>
      <c r="W16713" s="318"/>
      <c r="X16713" s="318"/>
      <c r="Y16713" s="318"/>
      <c r="Z16713" s="318"/>
      <c r="AA16713" s="318"/>
      <c r="AB16713" s="318"/>
      <c r="AC16713" s="318"/>
      <c r="AD16713" s="318"/>
    </row>
    <row r="16714" spans="2:30" s="323" customFormat="1" ht="12" customHeight="1">
      <c r="B16714" s="324"/>
      <c r="C16714" s="325"/>
      <c r="D16714" s="326"/>
      <c r="E16714" s="326"/>
      <c r="F16714" s="326"/>
      <c r="G16714" s="326"/>
      <c r="H16714" s="326"/>
      <c r="P16714" s="318"/>
      <c r="Q16714" s="318"/>
      <c r="R16714" s="318"/>
      <c r="S16714" s="318"/>
      <c r="T16714" s="318"/>
      <c r="U16714" s="318"/>
      <c r="V16714" s="318"/>
      <c r="W16714" s="318"/>
      <c r="X16714" s="318"/>
      <c r="Y16714" s="318"/>
      <c r="Z16714" s="318"/>
      <c r="AA16714" s="318"/>
      <c r="AB16714" s="318"/>
      <c r="AC16714" s="318"/>
      <c r="AD16714" s="318"/>
    </row>
    <row r="16715" spans="2:30" s="323" customFormat="1" ht="12" customHeight="1">
      <c r="B16715" s="324"/>
      <c r="C16715" s="325"/>
      <c r="D16715" s="326"/>
      <c r="E16715" s="326"/>
      <c r="F16715" s="326"/>
      <c r="G16715" s="326"/>
      <c r="H16715" s="326"/>
      <c r="P16715" s="318"/>
      <c r="Q16715" s="318"/>
      <c r="R16715" s="318"/>
      <c r="S16715" s="318"/>
      <c r="T16715" s="318"/>
      <c r="U16715" s="318"/>
      <c r="V16715" s="318"/>
      <c r="W16715" s="318"/>
      <c r="X16715" s="318"/>
      <c r="Y16715" s="318"/>
      <c r="Z16715" s="318"/>
      <c r="AA16715" s="318"/>
      <c r="AB16715" s="318"/>
      <c r="AC16715" s="318"/>
      <c r="AD16715" s="318"/>
    </row>
    <row r="16716" spans="2:30" s="323" customFormat="1" ht="12" customHeight="1">
      <c r="B16716" s="324"/>
      <c r="C16716" s="325"/>
      <c r="D16716" s="326"/>
      <c r="E16716" s="326"/>
      <c r="F16716" s="326"/>
      <c r="G16716" s="326"/>
      <c r="H16716" s="326"/>
      <c r="P16716" s="318"/>
      <c r="Q16716" s="318"/>
      <c r="R16716" s="318"/>
      <c r="S16716" s="318"/>
      <c r="T16716" s="318"/>
      <c r="U16716" s="318"/>
      <c r="V16716" s="318"/>
      <c r="W16716" s="318"/>
      <c r="X16716" s="318"/>
      <c r="Y16716" s="318"/>
      <c r="Z16716" s="318"/>
      <c r="AA16716" s="318"/>
      <c r="AB16716" s="318"/>
      <c r="AC16716" s="318"/>
      <c r="AD16716" s="318"/>
    </row>
    <row r="16717" spans="2:30" s="323" customFormat="1" ht="12" customHeight="1">
      <c r="B16717" s="324"/>
      <c r="C16717" s="325"/>
      <c r="D16717" s="326"/>
      <c r="E16717" s="326"/>
      <c r="F16717" s="326"/>
      <c r="G16717" s="326"/>
      <c r="H16717" s="326"/>
      <c r="P16717" s="318"/>
      <c r="Q16717" s="318"/>
      <c r="R16717" s="318"/>
      <c r="S16717" s="318"/>
      <c r="T16717" s="318"/>
      <c r="U16717" s="318"/>
      <c r="V16717" s="318"/>
      <c r="W16717" s="318"/>
      <c r="X16717" s="318"/>
      <c r="Y16717" s="318"/>
      <c r="Z16717" s="318"/>
      <c r="AA16717" s="318"/>
      <c r="AB16717" s="318"/>
      <c r="AC16717" s="318"/>
      <c r="AD16717" s="318"/>
    </row>
    <row r="16718" spans="2:30" s="323" customFormat="1" ht="12" customHeight="1">
      <c r="B16718" s="324"/>
      <c r="C16718" s="325"/>
      <c r="D16718" s="326"/>
      <c r="E16718" s="326"/>
      <c r="F16718" s="326"/>
      <c r="G16718" s="326"/>
      <c r="H16718" s="326"/>
      <c r="P16718" s="318"/>
      <c r="Q16718" s="318"/>
      <c r="R16718" s="318"/>
      <c r="S16718" s="318"/>
      <c r="T16718" s="318"/>
      <c r="U16718" s="318"/>
      <c r="V16718" s="318"/>
      <c r="W16718" s="318"/>
      <c r="X16718" s="318"/>
      <c r="Y16718" s="318"/>
      <c r="Z16718" s="318"/>
      <c r="AA16718" s="318"/>
      <c r="AB16718" s="318"/>
      <c r="AC16718" s="318"/>
      <c r="AD16718" s="318"/>
    </row>
    <row r="16719" spans="2:30" s="323" customFormat="1" ht="12" customHeight="1">
      <c r="B16719" s="324"/>
      <c r="C16719" s="325"/>
      <c r="D16719" s="326"/>
      <c r="E16719" s="326"/>
      <c r="F16719" s="326"/>
      <c r="G16719" s="326"/>
      <c r="H16719" s="326"/>
      <c r="P16719" s="318"/>
      <c r="Q16719" s="318"/>
      <c r="R16719" s="318"/>
      <c r="S16719" s="318"/>
      <c r="T16719" s="318"/>
      <c r="U16719" s="318"/>
      <c r="V16719" s="318"/>
      <c r="W16719" s="318"/>
      <c r="X16719" s="318"/>
      <c r="Y16719" s="318"/>
      <c r="Z16719" s="318"/>
      <c r="AA16719" s="318"/>
      <c r="AB16719" s="318"/>
      <c r="AC16719" s="318"/>
      <c r="AD16719" s="318"/>
    </row>
    <row r="16720" spans="2:30" s="323" customFormat="1" ht="12" customHeight="1">
      <c r="B16720" s="324"/>
      <c r="C16720" s="325"/>
      <c r="D16720" s="326"/>
      <c r="E16720" s="326"/>
      <c r="F16720" s="326"/>
      <c r="G16720" s="326"/>
      <c r="H16720" s="326"/>
      <c r="P16720" s="318"/>
      <c r="Q16720" s="318"/>
      <c r="R16720" s="318"/>
      <c r="S16720" s="318"/>
      <c r="T16720" s="318"/>
      <c r="U16720" s="318"/>
      <c r="V16720" s="318"/>
      <c r="W16720" s="318"/>
      <c r="X16720" s="318"/>
      <c r="Y16720" s="318"/>
      <c r="Z16720" s="318"/>
      <c r="AA16720" s="318"/>
      <c r="AB16720" s="318"/>
      <c r="AC16720" s="318"/>
      <c r="AD16720" s="318"/>
    </row>
    <row r="16721" spans="2:30" s="323" customFormat="1" ht="12" customHeight="1">
      <c r="B16721" s="324"/>
      <c r="C16721" s="325"/>
      <c r="D16721" s="326"/>
      <c r="E16721" s="326"/>
      <c r="F16721" s="326"/>
      <c r="G16721" s="326"/>
      <c r="H16721" s="326"/>
      <c r="P16721" s="318"/>
      <c r="Q16721" s="318"/>
      <c r="R16721" s="318"/>
      <c r="S16721" s="318"/>
      <c r="T16721" s="318"/>
      <c r="U16721" s="318"/>
      <c r="V16721" s="318"/>
      <c r="W16721" s="318"/>
      <c r="X16721" s="318"/>
      <c r="Y16721" s="318"/>
      <c r="Z16721" s="318"/>
      <c r="AA16721" s="318"/>
      <c r="AB16721" s="318"/>
      <c r="AC16721" s="318"/>
      <c r="AD16721" s="318"/>
    </row>
    <row r="16722" spans="2:30" s="323" customFormat="1" ht="12" customHeight="1">
      <c r="B16722" s="324"/>
      <c r="C16722" s="325"/>
      <c r="D16722" s="326"/>
      <c r="E16722" s="326"/>
      <c r="F16722" s="326"/>
      <c r="G16722" s="326"/>
      <c r="H16722" s="326"/>
      <c r="P16722" s="318"/>
      <c r="Q16722" s="318"/>
      <c r="R16722" s="318"/>
      <c r="S16722" s="318"/>
      <c r="T16722" s="318"/>
      <c r="U16722" s="318"/>
      <c r="V16722" s="318"/>
      <c r="W16722" s="318"/>
      <c r="X16722" s="318"/>
      <c r="Y16722" s="318"/>
      <c r="Z16722" s="318"/>
      <c r="AA16722" s="318"/>
      <c r="AB16722" s="318"/>
      <c r="AC16722" s="318"/>
      <c r="AD16722" s="318"/>
    </row>
    <row r="16723" spans="2:30" s="323" customFormat="1" ht="12" customHeight="1">
      <c r="B16723" s="324"/>
      <c r="C16723" s="325"/>
      <c r="D16723" s="326"/>
      <c r="E16723" s="326"/>
      <c r="F16723" s="326"/>
      <c r="G16723" s="326"/>
      <c r="H16723" s="326"/>
      <c r="P16723" s="318"/>
      <c r="Q16723" s="318"/>
      <c r="R16723" s="318"/>
      <c r="S16723" s="318"/>
      <c r="T16723" s="318"/>
      <c r="U16723" s="318"/>
      <c r="V16723" s="318"/>
      <c r="W16723" s="318"/>
      <c r="X16723" s="318"/>
      <c r="Y16723" s="318"/>
      <c r="Z16723" s="318"/>
      <c r="AA16723" s="318"/>
      <c r="AB16723" s="318"/>
      <c r="AC16723" s="318"/>
      <c r="AD16723" s="318"/>
    </row>
    <row r="16724" spans="2:30" s="323" customFormat="1" ht="12" customHeight="1">
      <c r="B16724" s="324"/>
      <c r="C16724" s="325"/>
      <c r="D16724" s="326"/>
      <c r="E16724" s="326"/>
      <c r="F16724" s="326"/>
      <c r="G16724" s="326"/>
      <c r="H16724" s="326"/>
      <c r="P16724" s="318"/>
      <c r="Q16724" s="318"/>
      <c r="R16724" s="318"/>
      <c r="S16724" s="318"/>
      <c r="T16724" s="318"/>
      <c r="U16724" s="318"/>
      <c r="V16724" s="318"/>
      <c r="W16724" s="318"/>
      <c r="X16724" s="318"/>
      <c r="Y16724" s="318"/>
      <c r="Z16724" s="318"/>
      <c r="AA16724" s="318"/>
      <c r="AB16724" s="318"/>
      <c r="AC16724" s="318"/>
      <c r="AD16724" s="318"/>
    </row>
    <row r="16725" spans="2:30" s="323" customFormat="1" ht="12" customHeight="1">
      <c r="B16725" s="324"/>
      <c r="C16725" s="325"/>
      <c r="D16725" s="326"/>
      <c r="E16725" s="326"/>
      <c r="F16725" s="326"/>
      <c r="G16725" s="326"/>
      <c r="H16725" s="326"/>
      <c r="P16725" s="318"/>
      <c r="Q16725" s="318"/>
      <c r="R16725" s="318"/>
      <c r="S16725" s="318"/>
      <c r="T16725" s="318"/>
      <c r="U16725" s="318"/>
      <c r="V16725" s="318"/>
      <c r="W16725" s="318"/>
      <c r="X16725" s="318"/>
      <c r="Y16725" s="318"/>
      <c r="Z16725" s="318"/>
      <c r="AA16725" s="318"/>
      <c r="AB16725" s="318"/>
      <c r="AC16725" s="318"/>
      <c r="AD16725" s="318"/>
    </row>
    <row r="16726" spans="2:30" s="323" customFormat="1" ht="12" customHeight="1">
      <c r="B16726" s="324"/>
      <c r="C16726" s="325"/>
      <c r="D16726" s="326"/>
      <c r="E16726" s="326"/>
      <c r="F16726" s="326"/>
      <c r="G16726" s="326"/>
      <c r="H16726" s="326"/>
      <c r="P16726" s="318"/>
      <c r="Q16726" s="318"/>
      <c r="R16726" s="318"/>
      <c r="S16726" s="318"/>
      <c r="T16726" s="318"/>
      <c r="U16726" s="318"/>
      <c r="V16726" s="318"/>
      <c r="W16726" s="318"/>
      <c r="X16726" s="318"/>
      <c r="Y16726" s="318"/>
      <c r="Z16726" s="318"/>
      <c r="AA16726" s="318"/>
      <c r="AB16726" s="318"/>
      <c r="AC16726" s="318"/>
      <c r="AD16726" s="318"/>
    </row>
    <row r="16727" spans="2:30" s="323" customFormat="1" ht="12" customHeight="1">
      <c r="B16727" s="324"/>
      <c r="C16727" s="325"/>
      <c r="D16727" s="326"/>
      <c r="E16727" s="326"/>
      <c r="F16727" s="326"/>
      <c r="G16727" s="326"/>
      <c r="H16727" s="326"/>
      <c r="P16727" s="318"/>
      <c r="Q16727" s="318"/>
      <c r="R16727" s="318"/>
      <c r="S16727" s="318"/>
      <c r="T16727" s="318"/>
      <c r="U16727" s="318"/>
      <c r="V16727" s="318"/>
      <c r="W16727" s="318"/>
      <c r="X16727" s="318"/>
      <c r="Y16727" s="318"/>
      <c r="Z16727" s="318"/>
      <c r="AA16727" s="318"/>
      <c r="AB16727" s="318"/>
      <c r="AC16727" s="318"/>
      <c r="AD16727" s="318"/>
    </row>
    <row r="16728" spans="2:30" s="323" customFormat="1" ht="12" customHeight="1">
      <c r="B16728" s="324"/>
      <c r="C16728" s="325"/>
      <c r="D16728" s="326"/>
      <c r="E16728" s="326"/>
      <c r="F16728" s="326"/>
      <c r="G16728" s="326"/>
      <c r="H16728" s="326"/>
      <c r="P16728" s="318"/>
      <c r="Q16728" s="318"/>
      <c r="R16728" s="318"/>
      <c r="S16728" s="318"/>
      <c r="T16728" s="318"/>
      <c r="U16728" s="318"/>
      <c r="V16728" s="318"/>
      <c r="W16728" s="318"/>
      <c r="X16728" s="318"/>
      <c r="Y16728" s="318"/>
      <c r="Z16728" s="318"/>
      <c r="AA16728" s="318"/>
      <c r="AB16728" s="318"/>
      <c r="AC16728" s="318"/>
      <c r="AD16728" s="318"/>
    </row>
    <row r="16729" spans="2:30" s="323" customFormat="1" ht="12" customHeight="1">
      <c r="B16729" s="324"/>
      <c r="C16729" s="325"/>
      <c r="D16729" s="326"/>
      <c r="E16729" s="326"/>
      <c r="F16729" s="326"/>
      <c r="G16729" s="326"/>
      <c r="H16729" s="326"/>
      <c r="P16729" s="318"/>
      <c r="Q16729" s="318"/>
      <c r="R16729" s="318"/>
      <c r="S16729" s="318"/>
      <c r="T16729" s="318"/>
      <c r="U16729" s="318"/>
      <c r="V16729" s="318"/>
      <c r="W16729" s="318"/>
      <c r="X16729" s="318"/>
      <c r="Y16729" s="318"/>
      <c r="Z16729" s="318"/>
      <c r="AA16729" s="318"/>
      <c r="AB16729" s="318"/>
      <c r="AC16729" s="318"/>
      <c r="AD16729" s="318"/>
    </row>
    <row r="16730" spans="2:30" s="323" customFormat="1" ht="12" customHeight="1">
      <c r="B16730" s="324"/>
      <c r="C16730" s="325"/>
      <c r="D16730" s="326"/>
      <c r="E16730" s="326"/>
      <c r="F16730" s="326"/>
      <c r="G16730" s="326"/>
      <c r="H16730" s="326"/>
      <c r="P16730" s="318"/>
      <c r="Q16730" s="318"/>
      <c r="R16730" s="318"/>
      <c r="S16730" s="318"/>
      <c r="T16730" s="318"/>
      <c r="U16730" s="318"/>
      <c r="V16730" s="318"/>
      <c r="W16730" s="318"/>
      <c r="X16730" s="318"/>
      <c r="Y16730" s="318"/>
      <c r="Z16730" s="318"/>
      <c r="AA16730" s="318"/>
      <c r="AB16730" s="318"/>
      <c r="AC16730" s="318"/>
      <c r="AD16730" s="318"/>
    </row>
    <row r="16731" spans="2:30" s="323" customFormat="1" ht="12" customHeight="1">
      <c r="B16731" s="324"/>
      <c r="C16731" s="325"/>
      <c r="D16731" s="326"/>
      <c r="E16731" s="326"/>
      <c r="F16731" s="326"/>
      <c r="G16731" s="326"/>
      <c r="H16731" s="326"/>
      <c r="P16731" s="318"/>
      <c r="Q16731" s="318"/>
      <c r="R16731" s="318"/>
      <c r="S16731" s="318"/>
      <c r="T16731" s="318"/>
      <c r="U16731" s="318"/>
      <c r="V16731" s="318"/>
      <c r="W16731" s="318"/>
      <c r="X16731" s="318"/>
      <c r="Y16731" s="318"/>
      <c r="Z16731" s="318"/>
      <c r="AA16731" s="318"/>
      <c r="AB16731" s="318"/>
      <c r="AC16731" s="318"/>
      <c r="AD16731" s="318"/>
    </row>
    <row r="16732" spans="2:30" s="323" customFormat="1" ht="12" customHeight="1">
      <c r="B16732" s="324"/>
      <c r="C16732" s="325"/>
      <c r="D16732" s="326"/>
      <c r="E16732" s="326"/>
      <c r="F16732" s="326"/>
      <c r="G16732" s="326"/>
      <c r="H16732" s="326"/>
      <c r="P16732" s="318"/>
      <c r="Q16732" s="318"/>
      <c r="R16732" s="318"/>
      <c r="S16732" s="318"/>
      <c r="T16732" s="318"/>
      <c r="U16732" s="318"/>
      <c r="V16732" s="318"/>
      <c r="W16732" s="318"/>
      <c r="X16732" s="318"/>
      <c r="Y16732" s="318"/>
      <c r="Z16732" s="318"/>
      <c r="AA16732" s="318"/>
      <c r="AB16732" s="318"/>
      <c r="AC16732" s="318"/>
      <c r="AD16732" s="318"/>
    </row>
    <row r="16733" spans="2:30" s="323" customFormat="1" ht="12" customHeight="1">
      <c r="B16733" s="324"/>
      <c r="C16733" s="325"/>
      <c r="D16733" s="326"/>
      <c r="E16733" s="326"/>
      <c r="F16733" s="326"/>
      <c r="G16733" s="326"/>
      <c r="H16733" s="326"/>
      <c r="P16733" s="318"/>
      <c r="Q16733" s="318"/>
      <c r="R16733" s="318"/>
      <c r="S16733" s="318"/>
      <c r="T16733" s="318"/>
      <c r="U16733" s="318"/>
      <c r="V16733" s="318"/>
      <c r="W16733" s="318"/>
      <c r="X16733" s="318"/>
      <c r="Y16733" s="318"/>
      <c r="Z16733" s="318"/>
      <c r="AA16733" s="318"/>
      <c r="AB16733" s="318"/>
      <c r="AC16733" s="318"/>
      <c r="AD16733" s="318"/>
    </row>
    <row r="16734" spans="2:30" s="323" customFormat="1" ht="12" customHeight="1">
      <c r="B16734" s="324"/>
      <c r="C16734" s="325"/>
      <c r="D16734" s="326"/>
      <c r="E16734" s="326"/>
      <c r="F16734" s="326"/>
      <c r="G16734" s="326"/>
      <c r="H16734" s="326"/>
      <c r="P16734" s="318"/>
      <c r="Q16734" s="318"/>
      <c r="R16734" s="318"/>
      <c r="S16734" s="318"/>
      <c r="T16734" s="318"/>
      <c r="U16734" s="318"/>
      <c r="V16734" s="318"/>
      <c r="W16734" s="318"/>
      <c r="X16734" s="318"/>
      <c r="Y16734" s="318"/>
      <c r="Z16734" s="318"/>
      <c r="AA16734" s="318"/>
      <c r="AB16734" s="318"/>
      <c r="AC16734" s="318"/>
      <c r="AD16734" s="318"/>
    </row>
    <row r="16735" spans="2:30" s="323" customFormat="1" ht="12" customHeight="1">
      <c r="B16735" s="324"/>
      <c r="C16735" s="325"/>
      <c r="D16735" s="326"/>
      <c r="E16735" s="326"/>
      <c r="F16735" s="326"/>
      <c r="G16735" s="326"/>
      <c r="H16735" s="326"/>
      <c r="P16735" s="318"/>
      <c r="Q16735" s="318"/>
      <c r="R16735" s="318"/>
      <c r="S16735" s="318"/>
      <c r="T16735" s="318"/>
      <c r="U16735" s="318"/>
      <c r="V16735" s="318"/>
      <c r="W16735" s="318"/>
      <c r="X16735" s="318"/>
      <c r="Y16735" s="318"/>
      <c r="Z16735" s="318"/>
      <c r="AA16735" s="318"/>
      <c r="AB16735" s="318"/>
      <c r="AC16735" s="318"/>
      <c r="AD16735" s="318"/>
    </row>
    <row r="16736" spans="2:30" s="323" customFormat="1" ht="12" customHeight="1">
      <c r="B16736" s="324"/>
      <c r="C16736" s="325"/>
      <c r="D16736" s="326"/>
      <c r="E16736" s="326"/>
      <c r="F16736" s="326"/>
      <c r="G16736" s="326"/>
      <c r="H16736" s="326"/>
      <c r="P16736" s="318"/>
      <c r="Q16736" s="318"/>
      <c r="R16736" s="318"/>
      <c r="S16736" s="318"/>
      <c r="T16736" s="318"/>
      <c r="U16736" s="318"/>
      <c r="V16736" s="318"/>
      <c r="W16736" s="318"/>
      <c r="X16736" s="318"/>
      <c r="Y16736" s="318"/>
      <c r="Z16736" s="318"/>
      <c r="AA16736" s="318"/>
      <c r="AB16736" s="318"/>
      <c r="AC16736" s="318"/>
      <c r="AD16736" s="318"/>
    </row>
    <row r="16737" spans="2:30" s="323" customFormat="1" ht="12" customHeight="1">
      <c r="B16737" s="324"/>
      <c r="C16737" s="325"/>
      <c r="D16737" s="326"/>
      <c r="E16737" s="326"/>
      <c r="F16737" s="326"/>
      <c r="G16737" s="326"/>
      <c r="H16737" s="326"/>
      <c r="P16737" s="318"/>
      <c r="Q16737" s="318"/>
      <c r="R16737" s="318"/>
      <c r="S16737" s="318"/>
      <c r="T16737" s="318"/>
      <c r="U16737" s="318"/>
      <c r="V16737" s="318"/>
      <c r="W16737" s="318"/>
      <c r="X16737" s="318"/>
      <c r="Y16737" s="318"/>
      <c r="Z16737" s="318"/>
      <c r="AA16737" s="318"/>
      <c r="AB16737" s="318"/>
      <c r="AC16737" s="318"/>
      <c r="AD16737" s="318"/>
    </row>
    <row r="16738" spans="2:30" s="323" customFormat="1" ht="12" customHeight="1">
      <c r="B16738" s="324"/>
      <c r="C16738" s="325"/>
      <c r="D16738" s="326"/>
      <c r="E16738" s="326"/>
      <c r="F16738" s="326"/>
      <c r="G16738" s="326"/>
      <c r="H16738" s="326"/>
      <c r="P16738" s="318"/>
      <c r="Q16738" s="318"/>
      <c r="R16738" s="318"/>
      <c r="S16738" s="318"/>
      <c r="T16738" s="318"/>
      <c r="U16738" s="318"/>
      <c r="V16738" s="318"/>
      <c r="W16738" s="318"/>
      <c r="X16738" s="318"/>
      <c r="Y16738" s="318"/>
      <c r="Z16738" s="318"/>
      <c r="AA16738" s="318"/>
      <c r="AB16738" s="318"/>
      <c r="AC16738" s="318"/>
      <c r="AD16738" s="318"/>
    </row>
    <row r="16739" spans="2:30" s="323" customFormat="1" ht="12" customHeight="1">
      <c r="B16739" s="324"/>
      <c r="C16739" s="325"/>
      <c r="D16739" s="326"/>
      <c r="E16739" s="326"/>
      <c r="F16739" s="326"/>
      <c r="G16739" s="326"/>
      <c r="H16739" s="326"/>
      <c r="P16739" s="318"/>
      <c r="Q16739" s="318"/>
      <c r="R16739" s="318"/>
      <c r="S16739" s="318"/>
      <c r="T16739" s="318"/>
      <c r="U16739" s="318"/>
      <c r="V16739" s="318"/>
      <c r="W16739" s="318"/>
      <c r="X16739" s="318"/>
      <c r="Y16739" s="318"/>
      <c r="Z16739" s="318"/>
      <c r="AA16739" s="318"/>
      <c r="AB16739" s="318"/>
      <c r="AC16739" s="318"/>
      <c r="AD16739" s="318"/>
    </row>
    <row r="16740" spans="2:30" s="323" customFormat="1" ht="12" customHeight="1">
      <c r="B16740" s="324"/>
      <c r="C16740" s="325"/>
      <c r="D16740" s="326"/>
      <c r="E16740" s="326"/>
      <c r="F16740" s="326"/>
      <c r="G16740" s="326"/>
      <c r="H16740" s="326"/>
      <c r="P16740" s="318"/>
      <c r="Q16740" s="318"/>
      <c r="R16740" s="318"/>
      <c r="S16740" s="318"/>
      <c r="T16740" s="318"/>
      <c r="U16740" s="318"/>
      <c r="V16740" s="318"/>
      <c r="W16740" s="318"/>
      <c r="X16740" s="318"/>
      <c r="Y16740" s="318"/>
      <c r="Z16740" s="318"/>
      <c r="AA16740" s="318"/>
      <c r="AB16740" s="318"/>
      <c r="AC16740" s="318"/>
      <c r="AD16740" s="318"/>
    </row>
    <row r="16741" spans="2:30" s="323" customFormat="1" ht="12" customHeight="1">
      <c r="B16741" s="324"/>
      <c r="C16741" s="325"/>
      <c r="D16741" s="326"/>
      <c r="E16741" s="326"/>
      <c r="F16741" s="326"/>
      <c r="G16741" s="326"/>
      <c r="H16741" s="326"/>
      <c r="P16741" s="318"/>
      <c r="Q16741" s="318"/>
      <c r="R16741" s="318"/>
      <c r="S16741" s="318"/>
      <c r="T16741" s="318"/>
      <c r="U16741" s="318"/>
      <c r="V16741" s="318"/>
      <c r="W16741" s="318"/>
      <c r="X16741" s="318"/>
      <c r="Y16741" s="318"/>
      <c r="Z16741" s="318"/>
      <c r="AA16741" s="318"/>
      <c r="AB16741" s="318"/>
      <c r="AC16741" s="318"/>
      <c r="AD16741" s="318"/>
    </row>
    <row r="16742" spans="2:30" s="323" customFormat="1" ht="12" customHeight="1">
      <c r="B16742" s="324"/>
      <c r="C16742" s="325"/>
      <c r="D16742" s="326"/>
      <c r="E16742" s="326"/>
      <c r="F16742" s="326"/>
      <c r="G16742" s="326"/>
      <c r="H16742" s="326"/>
      <c r="P16742" s="318"/>
      <c r="Q16742" s="318"/>
      <c r="R16742" s="318"/>
      <c r="S16742" s="318"/>
      <c r="T16742" s="318"/>
      <c r="U16742" s="318"/>
      <c r="V16742" s="318"/>
      <c r="W16742" s="318"/>
      <c r="X16742" s="318"/>
      <c r="Y16742" s="318"/>
      <c r="Z16742" s="318"/>
      <c r="AA16742" s="318"/>
      <c r="AB16742" s="318"/>
      <c r="AC16742" s="318"/>
      <c r="AD16742" s="318"/>
    </row>
    <row r="16743" spans="2:30" s="323" customFormat="1" ht="12" customHeight="1">
      <c r="B16743" s="324"/>
      <c r="C16743" s="325"/>
      <c r="D16743" s="326"/>
      <c r="E16743" s="326"/>
      <c r="F16743" s="326"/>
      <c r="G16743" s="326"/>
      <c r="H16743" s="326"/>
      <c r="P16743" s="318"/>
      <c r="Q16743" s="318"/>
      <c r="R16743" s="318"/>
      <c r="S16743" s="318"/>
      <c r="T16743" s="318"/>
      <c r="U16743" s="318"/>
      <c r="V16743" s="318"/>
      <c r="W16743" s="318"/>
      <c r="X16743" s="318"/>
      <c r="Y16743" s="318"/>
      <c r="Z16743" s="318"/>
      <c r="AA16743" s="318"/>
      <c r="AB16743" s="318"/>
      <c r="AC16743" s="318"/>
      <c r="AD16743" s="318"/>
    </row>
    <row r="16744" spans="2:30" s="323" customFormat="1" ht="12" customHeight="1">
      <c r="B16744" s="324"/>
      <c r="C16744" s="325"/>
      <c r="D16744" s="326"/>
      <c r="E16744" s="326"/>
      <c r="F16744" s="326"/>
      <c r="G16744" s="326"/>
      <c r="H16744" s="326"/>
      <c r="P16744" s="318"/>
      <c r="Q16744" s="318"/>
      <c r="R16744" s="318"/>
      <c r="S16744" s="318"/>
      <c r="T16744" s="318"/>
      <c r="U16744" s="318"/>
      <c r="V16744" s="318"/>
      <c r="W16744" s="318"/>
      <c r="X16744" s="318"/>
      <c r="Y16744" s="318"/>
      <c r="Z16744" s="318"/>
      <c r="AA16744" s="318"/>
      <c r="AB16744" s="318"/>
      <c r="AC16744" s="318"/>
      <c r="AD16744" s="318"/>
    </row>
    <row r="16745" spans="2:30" s="323" customFormat="1" ht="12" customHeight="1">
      <c r="B16745" s="324"/>
      <c r="C16745" s="325"/>
      <c r="D16745" s="326"/>
      <c r="E16745" s="326"/>
      <c r="F16745" s="326"/>
      <c r="G16745" s="326"/>
      <c r="H16745" s="326"/>
      <c r="P16745" s="318"/>
      <c r="Q16745" s="318"/>
      <c r="R16745" s="318"/>
      <c r="S16745" s="318"/>
      <c r="T16745" s="318"/>
      <c r="U16745" s="318"/>
      <c r="V16745" s="318"/>
      <c r="W16745" s="318"/>
      <c r="X16745" s="318"/>
      <c r="Y16745" s="318"/>
      <c r="Z16745" s="318"/>
      <c r="AA16745" s="318"/>
      <c r="AB16745" s="318"/>
      <c r="AC16745" s="318"/>
      <c r="AD16745" s="318"/>
    </row>
    <row r="16746" spans="2:30" s="323" customFormat="1" ht="12" customHeight="1">
      <c r="B16746" s="324"/>
      <c r="C16746" s="325"/>
      <c r="D16746" s="326"/>
      <c r="E16746" s="326"/>
      <c r="F16746" s="326"/>
      <c r="G16746" s="326"/>
      <c r="H16746" s="326"/>
      <c r="P16746" s="318"/>
      <c r="Q16746" s="318"/>
      <c r="R16746" s="318"/>
      <c r="S16746" s="318"/>
      <c r="T16746" s="318"/>
      <c r="U16746" s="318"/>
      <c r="V16746" s="318"/>
      <c r="W16746" s="318"/>
      <c r="X16746" s="318"/>
      <c r="Y16746" s="318"/>
      <c r="Z16746" s="318"/>
      <c r="AA16746" s="318"/>
      <c r="AB16746" s="318"/>
      <c r="AC16746" s="318"/>
      <c r="AD16746" s="318"/>
    </row>
    <row r="16747" spans="2:30" s="323" customFormat="1" ht="12" customHeight="1">
      <c r="B16747" s="324"/>
      <c r="C16747" s="325"/>
      <c r="D16747" s="326"/>
      <c r="E16747" s="326"/>
      <c r="F16747" s="326"/>
      <c r="G16747" s="326"/>
      <c r="H16747" s="326"/>
      <c r="P16747" s="318"/>
      <c r="Q16747" s="318"/>
      <c r="R16747" s="318"/>
      <c r="S16747" s="318"/>
      <c r="T16747" s="318"/>
      <c r="U16747" s="318"/>
      <c r="V16747" s="318"/>
      <c r="W16747" s="318"/>
      <c r="X16747" s="318"/>
      <c r="Y16747" s="318"/>
      <c r="Z16747" s="318"/>
      <c r="AA16747" s="318"/>
      <c r="AB16747" s="318"/>
      <c r="AC16747" s="318"/>
      <c r="AD16747" s="318"/>
    </row>
    <row r="16748" spans="2:30" s="323" customFormat="1" ht="12" customHeight="1">
      <c r="B16748" s="324"/>
      <c r="C16748" s="325"/>
      <c r="D16748" s="326"/>
      <c r="E16748" s="326"/>
      <c r="F16748" s="326"/>
      <c r="G16748" s="326"/>
      <c r="H16748" s="326"/>
      <c r="P16748" s="318"/>
      <c r="Q16748" s="318"/>
      <c r="R16748" s="318"/>
      <c r="S16748" s="318"/>
      <c r="T16748" s="318"/>
      <c r="U16748" s="318"/>
      <c r="V16748" s="318"/>
      <c r="W16748" s="318"/>
      <c r="X16748" s="318"/>
      <c r="Y16748" s="318"/>
      <c r="Z16748" s="318"/>
      <c r="AA16748" s="318"/>
      <c r="AB16748" s="318"/>
      <c r="AC16748" s="318"/>
      <c r="AD16748" s="318"/>
    </row>
    <row r="16749" spans="2:30" s="323" customFormat="1" ht="12" customHeight="1">
      <c r="B16749" s="324"/>
      <c r="C16749" s="325"/>
      <c r="D16749" s="326"/>
      <c r="E16749" s="326"/>
      <c r="F16749" s="326"/>
      <c r="G16749" s="326"/>
      <c r="H16749" s="326"/>
      <c r="P16749" s="318"/>
      <c r="Q16749" s="318"/>
      <c r="R16749" s="318"/>
      <c r="S16749" s="318"/>
      <c r="T16749" s="318"/>
      <c r="U16749" s="318"/>
      <c r="V16749" s="318"/>
      <c r="W16749" s="318"/>
      <c r="X16749" s="318"/>
      <c r="Y16749" s="318"/>
      <c r="Z16749" s="318"/>
      <c r="AA16749" s="318"/>
      <c r="AB16749" s="318"/>
      <c r="AC16749" s="318"/>
      <c r="AD16749" s="318"/>
    </row>
    <row r="16750" spans="2:30" s="323" customFormat="1" ht="12" customHeight="1">
      <c r="B16750" s="324"/>
      <c r="C16750" s="325"/>
      <c r="D16750" s="326"/>
      <c r="E16750" s="326"/>
      <c r="F16750" s="326"/>
      <c r="G16750" s="326"/>
      <c r="H16750" s="326"/>
      <c r="P16750" s="318"/>
      <c r="Q16750" s="318"/>
      <c r="R16750" s="318"/>
      <c r="S16750" s="318"/>
      <c r="T16750" s="318"/>
      <c r="U16750" s="318"/>
      <c r="V16750" s="318"/>
      <c r="W16750" s="318"/>
      <c r="X16750" s="318"/>
      <c r="Y16750" s="318"/>
      <c r="Z16750" s="318"/>
      <c r="AA16750" s="318"/>
      <c r="AB16750" s="318"/>
      <c r="AC16750" s="318"/>
      <c r="AD16750" s="318"/>
    </row>
    <row r="16751" spans="2:30" s="323" customFormat="1" ht="12" customHeight="1">
      <c r="B16751" s="324"/>
      <c r="C16751" s="325"/>
      <c r="D16751" s="326"/>
      <c r="E16751" s="326"/>
      <c r="F16751" s="326"/>
      <c r="G16751" s="326"/>
      <c r="H16751" s="326"/>
      <c r="P16751" s="318"/>
      <c r="Q16751" s="318"/>
      <c r="R16751" s="318"/>
      <c r="S16751" s="318"/>
      <c r="T16751" s="318"/>
      <c r="U16751" s="318"/>
      <c r="V16751" s="318"/>
      <c r="W16751" s="318"/>
      <c r="X16751" s="318"/>
      <c r="Y16751" s="318"/>
      <c r="Z16751" s="318"/>
      <c r="AA16751" s="318"/>
      <c r="AB16751" s="318"/>
      <c r="AC16751" s="318"/>
      <c r="AD16751" s="318"/>
    </row>
    <row r="16752" spans="2:30" s="323" customFormat="1" ht="12" customHeight="1">
      <c r="B16752" s="324"/>
      <c r="C16752" s="325"/>
      <c r="D16752" s="326"/>
      <c r="E16752" s="326"/>
      <c r="F16752" s="326"/>
      <c r="G16752" s="326"/>
      <c r="H16752" s="326"/>
      <c r="P16752" s="318"/>
      <c r="Q16752" s="318"/>
      <c r="R16752" s="318"/>
      <c r="S16752" s="318"/>
      <c r="T16752" s="318"/>
      <c r="U16752" s="318"/>
      <c r="V16752" s="318"/>
      <c r="W16752" s="318"/>
      <c r="X16752" s="318"/>
      <c r="Y16752" s="318"/>
      <c r="Z16752" s="318"/>
      <c r="AA16752" s="318"/>
      <c r="AB16752" s="318"/>
      <c r="AC16752" s="318"/>
      <c r="AD16752" s="318"/>
    </row>
    <row r="16753" spans="2:30" s="323" customFormat="1" ht="12" customHeight="1">
      <c r="B16753" s="324"/>
      <c r="C16753" s="325"/>
      <c r="D16753" s="326"/>
      <c r="E16753" s="326"/>
      <c r="F16753" s="326"/>
      <c r="G16753" s="326"/>
      <c r="H16753" s="326"/>
      <c r="P16753" s="318"/>
      <c r="Q16753" s="318"/>
      <c r="R16753" s="318"/>
      <c r="S16753" s="318"/>
      <c r="T16753" s="318"/>
      <c r="U16753" s="318"/>
      <c r="V16753" s="318"/>
      <c r="W16753" s="318"/>
      <c r="X16753" s="318"/>
      <c r="Y16753" s="318"/>
      <c r="Z16753" s="318"/>
      <c r="AA16753" s="318"/>
      <c r="AB16753" s="318"/>
      <c r="AC16753" s="318"/>
      <c r="AD16753" s="318"/>
    </row>
    <row r="16754" spans="2:30" s="323" customFormat="1" ht="12" customHeight="1">
      <c r="B16754" s="324"/>
      <c r="C16754" s="325"/>
      <c r="D16754" s="326"/>
      <c r="E16754" s="326"/>
      <c r="F16754" s="326"/>
      <c r="G16754" s="326"/>
      <c r="H16754" s="326"/>
      <c r="P16754" s="318"/>
      <c r="Q16754" s="318"/>
      <c r="R16754" s="318"/>
      <c r="S16754" s="318"/>
      <c r="T16754" s="318"/>
      <c r="U16754" s="318"/>
      <c r="V16754" s="318"/>
      <c r="W16754" s="318"/>
      <c r="X16754" s="318"/>
      <c r="Y16754" s="318"/>
      <c r="Z16754" s="318"/>
      <c r="AA16754" s="318"/>
      <c r="AB16754" s="318"/>
      <c r="AC16754" s="318"/>
      <c r="AD16754" s="318"/>
    </row>
    <row r="16755" spans="2:30" s="323" customFormat="1" ht="12" customHeight="1">
      <c r="B16755" s="324"/>
      <c r="C16755" s="325"/>
      <c r="D16755" s="326"/>
      <c r="E16755" s="326"/>
      <c r="F16755" s="326"/>
      <c r="G16755" s="326"/>
      <c r="H16755" s="326"/>
      <c r="P16755" s="318"/>
      <c r="Q16755" s="318"/>
      <c r="R16755" s="318"/>
      <c r="S16755" s="318"/>
      <c r="T16755" s="318"/>
      <c r="U16755" s="318"/>
      <c r="V16755" s="318"/>
      <c r="W16755" s="318"/>
      <c r="X16755" s="318"/>
      <c r="Y16755" s="318"/>
      <c r="Z16755" s="318"/>
      <c r="AA16755" s="318"/>
      <c r="AB16755" s="318"/>
      <c r="AC16755" s="318"/>
      <c r="AD16755" s="318"/>
    </row>
    <row r="16756" spans="2:30" s="323" customFormat="1" ht="12" customHeight="1">
      <c r="B16756" s="324"/>
      <c r="C16756" s="325"/>
      <c r="D16756" s="326"/>
      <c r="E16756" s="326"/>
      <c r="F16756" s="326"/>
      <c r="G16756" s="326"/>
      <c r="H16756" s="326"/>
      <c r="P16756" s="318"/>
      <c r="Q16756" s="318"/>
      <c r="R16756" s="318"/>
      <c r="S16756" s="318"/>
      <c r="T16756" s="318"/>
      <c r="U16756" s="318"/>
      <c r="V16756" s="318"/>
      <c r="W16756" s="318"/>
      <c r="X16756" s="318"/>
      <c r="Y16756" s="318"/>
      <c r="Z16756" s="318"/>
      <c r="AA16756" s="318"/>
      <c r="AB16756" s="318"/>
      <c r="AC16756" s="318"/>
      <c r="AD16756" s="318"/>
    </row>
    <row r="16757" spans="2:30" s="323" customFormat="1" ht="12" customHeight="1">
      <c r="B16757" s="324"/>
      <c r="C16757" s="325"/>
      <c r="D16757" s="326"/>
      <c r="E16757" s="326"/>
      <c r="F16757" s="326"/>
      <c r="G16757" s="326"/>
      <c r="H16757" s="326"/>
      <c r="P16757" s="318"/>
      <c r="Q16757" s="318"/>
      <c r="R16757" s="318"/>
      <c r="S16757" s="318"/>
      <c r="T16757" s="318"/>
      <c r="U16757" s="318"/>
      <c r="V16757" s="318"/>
      <c r="W16757" s="318"/>
      <c r="X16757" s="318"/>
      <c r="Y16757" s="318"/>
      <c r="Z16757" s="318"/>
      <c r="AA16757" s="318"/>
      <c r="AB16757" s="318"/>
      <c r="AC16757" s="318"/>
      <c r="AD16757" s="318"/>
    </row>
    <row r="16758" spans="2:30" s="323" customFormat="1" ht="12" customHeight="1">
      <c r="B16758" s="324"/>
      <c r="C16758" s="325"/>
      <c r="D16758" s="326"/>
      <c r="E16758" s="326"/>
      <c r="F16758" s="326"/>
      <c r="G16758" s="326"/>
      <c r="H16758" s="326"/>
      <c r="P16758" s="318"/>
      <c r="Q16758" s="318"/>
      <c r="R16758" s="318"/>
      <c r="S16758" s="318"/>
      <c r="T16758" s="318"/>
      <c r="U16758" s="318"/>
      <c r="V16758" s="318"/>
      <c r="W16758" s="318"/>
      <c r="X16758" s="318"/>
      <c r="Y16758" s="318"/>
      <c r="Z16758" s="318"/>
      <c r="AA16758" s="318"/>
      <c r="AB16758" s="318"/>
      <c r="AC16758" s="318"/>
      <c r="AD16758" s="318"/>
    </row>
    <row r="16759" spans="2:30" s="323" customFormat="1" ht="12" customHeight="1">
      <c r="B16759" s="324"/>
      <c r="C16759" s="325"/>
      <c r="D16759" s="326"/>
      <c r="E16759" s="326"/>
      <c r="F16759" s="326"/>
      <c r="G16759" s="326"/>
      <c r="H16759" s="326"/>
      <c r="P16759" s="318"/>
      <c r="Q16759" s="318"/>
      <c r="R16759" s="318"/>
      <c r="S16759" s="318"/>
      <c r="T16759" s="318"/>
      <c r="U16759" s="318"/>
      <c r="V16759" s="318"/>
      <c r="W16759" s="318"/>
      <c r="X16759" s="318"/>
      <c r="Y16759" s="318"/>
      <c r="Z16759" s="318"/>
      <c r="AA16759" s="318"/>
      <c r="AB16759" s="318"/>
      <c r="AC16759" s="318"/>
      <c r="AD16759" s="318"/>
    </row>
    <row r="16760" spans="2:30" s="323" customFormat="1" ht="12" customHeight="1">
      <c r="B16760" s="324"/>
      <c r="C16760" s="325"/>
      <c r="D16760" s="326"/>
      <c r="E16760" s="326"/>
      <c r="F16760" s="326"/>
      <c r="G16760" s="326"/>
      <c r="H16760" s="326"/>
      <c r="P16760" s="318"/>
      <c r="Q16760" s="318"/>
      <c r="R16760" s="318"/>
      <c r="S16760" s="318"/>
      <c r="T16760" s="318"/>
      <c r="U16760" s="318"/>
      <c r="V16760" s="318"/>
      <c r="W16760" s="318"/>
      <c r="X16760" s="318"/>
      <c r="Y16760" s="318"/>
      <c r="Z16760" s="318"/>
      <c r="AA16760" s="318"/>
      <c r="AB16760" s="318"/>
      <c r="AC16760" s="318"/>
      <c r="AD16760" s="318"/>
    </row>
    <row r="16761" spans="2:30" s="323" customFormat="1" ht="12" customHeight="1">
      <c r="B16761" s="324"/>
      <c r="C16761" s="325"/>
      <c r="D16761" s="326"/>
      <c r="E16761" s="326"/>
      <c r="F16761" s="326"/>
      <c r="G16761" s="326"/>
      <c r="H16761" s="326"/>
      <c r="P16761" s="318"/>
      <c r="Q16761" s="318"/>
      <c r="R16761" s="318"/>
      <c r="S16761" s="318"/>
      <c r="T16761" s="318"/>
      <c r="U16761" s="318"/>
      <c r="V16761" s="318"/>
      <c r="W16761" s="318"/>
      <c r="X16761" s="318"/>
      <c r="Y16761" s="318"/>
      <c r="Z16761" s="318"/>
      <c r="AA16761" s="318"/>
      <c r="AB16761" s="318"/>
      <c r="AC16761" s="318"/>
      <c r="AD16761" s="318"/>
    </row>
    <row r="16762" spans="2:30" s="323" customFormat="1" ht="12" customHeight="1">
      <c r="B16762" s="324"/>
      <c r="C16762" s="325"/>
      <c r="D16762" s="326"/>
      <c r="E16762" s="326"/>
      <c r="F16762" s="326"/>
      <c r="G16762" s="326"/>
      <c r="H16762" s="326"/>
      <c r="P16762" s="318"/>
      <c r="Q16762" s="318"/>
      <c r="R16762" s="318"/>
      <c r="S16762" s="318"/>
      <c r="T16762" s="318"/>
      <c r="U16762" s="318"/>
      <c r="V16762" s="318"/>
      <c r="W16762" s="318"/>
      <c r="X16762" s="318"/>
      <c r="Y16762" s="318"/>
      <c r="Z16762" s="318"/>
      <c r="AA16762" s="318"/>
      <c r="AB16762" s="318"/>
      <c r="AC16762" s="318"/>
      <c r="AD16762" s="318"/>
    </row>
    <row r="16763" spans="2:30" s="323" customFormat="1" ht="12" customHeight="1">
      <c r="B16763" s="324"/>
      <c r="C16763" s="325"/>
      <c r="D16763" s="326"/>
      <c r="E16763" s="326"/>
      <c r="F16763" s="326"/>
      <c r="G16763" s="326"/>
      <c r="H16763" s="326"/>
      <c r="P16763" s="318"/>
      <c r="Q16763" s="318"/>
      <c r="R16763" s="318"/>
      <c r="S16763" s="318"/>
      <c r="T16763" s="318"/>
      <c r="U16763" s="318"/>
      <c r="V16763" s="318"/>
      <c r="W16763" s="318"/>
      <c r="X16763" s="318"/>
      <c r="Y16763" s="318"/>
      <c r="Z16763" s="318"/>
      <c r="AA16763" s="318"/>
      <c r="AB16763" s="318"/>
      <c r="AC16763" s="318"/>
      <c r="AD16763" s="318"/>
    </row>
    <row r="16764" spans="2:30" s="323" customFormat="1" ht="12" customHeight="1">
      <c r="B16764" s="324"/>
      <c r="C16764" s="325"/>
      <c r="D16764" s="326"/>
      <c r="E16764" s="326"/>
      <c r="F16764" s="326"/>
      <c r="G16764" s="326"/>
      <c r="H16764" s="326"/>
      <c r="P16764" s="318"/>
      <c r="Q16764" s="318"/>
      <c r="R16764" s="318"/>
      <c r="S16764" s="318"/>
      <c r="T16764" s="318"/>
      <c r="U16764" s="318"/>
      <c r="V16764" s="318"/>
      <c r="W16764" s="318"/>
      <c r="X16764" s="318"/>
      <c r="Y16764" s="318"/>
      <c r="Z16764" s="318"/>
      <c r="AA16764" s="318"/>
      <c r="AB16764" s="318"/>
      <c r="AC16764" s="318"/>
      <c r="AD16764" s="318"/>
    </row>
    <row r="16765" spans="2:30" s="323" customFormat="1" ht="12" customHeight="1">
      <c r="B16765" s="324"/>
      <c r="C16765" s="325"/>
      <c r="D16765" s="326"/>
      <c r="E16765" s="326"/>
      <c r="F16765" s="326"/>
      <c r="G16765" s="326"/>
      <c r="H16765" s="326"/>
      <c r="P16765" s="318"/>
      <c r="Q16765" s="318"/>
      <c r="R16765" s="318"/>
      <c r="S16765" s="318"/>
      <c r="T16765" s="318"/>
      <c r="U16765" s="318"/>
      <c r="V16765" s="318"/>
      <c r="W16765" s="318"/>
      <c r="X16765" s="318"/>
      <c r="Y16765" s="318"/>
      <c r="Z16765" s="318"/>
      <c r="AA16765" s="318"/>
      <c r="AB16765" s="318"/>
      <c r="AC16765" s="318"/>
      <c r="AD16765" s="318"/>
    </row>
    <row r="16766" spans="2:30" s="323" customFormat="1" ht="12" customHeight="1">
      <c r="B16766" s="324"/>
      <c r="C16766" s="325"/>
      <c r="D16766" s="326"/>
      <c r="E16766" s="326"/>
      <c r="F16766" s="326"/>
      <c r="G16766" s="326"/>
      <c r="H16766" s="326"/>
      <c r="P16766" s="318"/>
      <c r="Q16766" s="318"/>
      <c r="R16766" s="318"/>
      <c r="S16766" s="318"/>
      <c r="T16766" s="318"/>
      <c r="U16766" s="318"/>
      <c r="V16766" s="318"/>
      <c r="W16766" s="318"/>
      <c r="X16766" s="318"/>
      <c r="Y16766" s="318"/>
      <c r="Z16766" s="318"/>
      <c r="AA16766" s="318"/>
      <c r="AB16766" s="318"/>
      <c r="AC16766" s="318"/>
      <c r="AD16766" s="318"/>
    </row>
    <row r="16767" spans="2:30" s="323" customFormat="1" ht="12" customHeight="1">
      <c r="B16767" s="324"/>
      <c r="C16767" s="325"/>
      <c r="D16767" s="326"/>
      <c r="E16767" s="326"/>
      <c r="F16767" s="326"/>
      <c r="G16767" s="326"/>
      <c r="H16767" s="326"/>
      <c r="P16767" s="318"/>
      <c r="Q16767" s="318"/>
      <c r="R16767" s="318"/>
      <c r="S16767" s="318"/>
      <c r="T16767" s="318"/>
      <c r="U16767" s="318"/>
      <c r="V16767" s="318"/>
      <c r="W16767" s="318"/>
      <c r="X16767" s="318"/>
      <c r="Y16767" s="318"/>
      <c r="Z16767" s="318"/>
      <c r="AA16767" s="318"/>
      <c r="AB16767" s="318"/>
      <c r="AC16767" s="318"/>
      <c r="AD16767" s="318"/>
    </row>
    <row r="16768" spans="2:30" s="323" customFormat="1" ht="12" customHeight="1">
      <c r="B16768" s="324"/>
      <c r="C16768" s="325"/>
      <c r="D16768" s="326"/>
      <c r="E16768" s="326"/>
      <c r="F16768" s="326"/>
      <c r="G16768" s="326"/>
      <c r="H16768" s="326"/>
      <c r="P16768" s="318"/>
      <c r="Q16768" s="318"/>
      <c r="R16768" s="318"/>
      <c r="S16768" s="318"/>
      <c r="T16768" s="318"/>
      <c r="U16768" s="318"/>
      <c r="V16768" s="318"/>
      <c r="W16768" s="318"/>
      <c r="X16768" s="318"/>
      <c r="Y16768" s="318"/>
      <c r="Z16768" s="318"/>
      <c r="AA16768" s="318"/>
      <c r="AB16768" s="318"/>
      <c r="AC16768" s="318"/>
      <c r="AD16768" s="318"/>
    </row>
    <row r="16769" spans="2:30" s="323" customFormat="1" ht="12" customHeight="1">
      <c r="B16769" s="324"/>
      <c r="C16769" s="325"/>
      <c r="D16769" s="326"/>
      <c r="E16769" s="326"/>
      <c r="F16769" s="326"/>
      <c r="G16769" s="326"/>
      <c r="H16769" s="326"/>
      <c r="P16769" s="318"/>
      <c r="Q16769" s="318"/>
      <c r="R16769" s="318"/>
      <c r="S16769" s="318"/>
      <c r="T16769" s="318"/>
      <c r="U16769" s="318"/>
      <c r="V16769" s="318"/>
      <c r="W16769" s="318"/>
      <c r="X16769" s="318"/>
      <c r="Y16769" s="318"/>
      <c r="Z16769" s="318"/>
      <c r="AA16769" s="318"/>
      <c r="AB16769" s="318"/>
      <c r="AC16769" s="318"/>
      <c r="AD16769" s="318"/>
    </row>
    <row r="16770" spans="2:30" s="323" customFormat="1" ht="12" customHeight="1">
      <c r="B16770" s="324"/>
      <c r="C16770" s="325"/>
      <c r="D16770" s="326"/>
      <c r="E16770" s="326"/>
      <c r="F16770" s="326"/>
      <c r="G16770" s="326"/>
      <c r="H16770" s="326"/>
      <c r="P16770" s="318"/>
      <c r="Q16770" s="318"/>
      <c r="R16770" s="318"/>
      <c r="S16770" s="318"/>
      <c r="T16770" s="318"/>
      <c r="U16770" s="318"/>
      <c r="V16770" s="318"/>
      <c r="W16770" s="318"/>
      <c r="X16770" s="318"/>
      <c r="Y16770" s="318"/>
      <c r="Z16770" s="318"/>
      <c r="AA16770" s="318"/>
      <c r="AB16770" s="318"/>
      <c r="AC16770" s="318"/>
      <c r="AD16770" s="318"/>
    </row>
    <row r="16771" spans="2:30" s="323" customFormat="1" ht="12" customHeight="1">
      <c r="B16771" s="324"/>
      <c r="C16771" s="325"/>
      <c r="D16771" s="326"/>
      <c r="E16771" s="326"/>
      <c r="F16771" s="326"/>
      <c r="G16771" s="326"/>
      <c r="H16771" s="326"/>
      <c r="P16771" s="318"/>
      <c r="Q16771" s="318"/>
      <c r="R16771" s="318"/>
      <c r="S16771" s="318"/>
      <c r="T16771" s="318"/>
      <c r="U16771" s="318"/>
      <c r="V16771" s="318"/>
      <c r="W16771" s="318"/>
      <c r="X16771" s="318"/>
      <c r="Y16771" s="318"/>
      <c r="Z16771" s="318"/>
      <c r="AA16771" s="318"/>
      <c r="AB16771" s="318"/>
      <c r="AC16771" s="318"/>
      <c r="AD16771" s="318"/>
    </row>
    <row r="16772" spans="2:30" s="323" customFormat="1" ht="12" customHeight="1">
      <c r="B16772" s="324"/>
      <c r="C16772" s="325"/>
      <c r="D16772" s="326"/>
      <c r="E16772" s="326"/>
      <c r="F16772" s="326"/>
      <c r="G16772" s="326"/>
      <c r="H16772" s="326"/>
      <c r="P16772" s="318"/>
      <c r="Q16772" s="318"/>
      <c r="R16772" s="318"/>
      <c r="S16772" s="318"/>
      <c r="T16772" s="318"/>
      <c r="U16772" s="318"/>
      <c r="V16772" s="318"/>
      <c r="W16772" s="318"/>
      <c r="X16772" s="318"/>
      <c r="Y16772" s="318"/>
      <c r="Z16772" s="318"/>
      <c r="AA16772" s="318"/>
      <c r="AB16772" s="318"/>
      <c r="AC16772" s="318"/>
      <c r="AD16772" s="318"/>
    </row>
    <row r="16773" spans="2:30" s="323" customFormat="1" ht="12" customHeight="1">
      <c r="B16773" s="324"/>
      <c r="C16773" s="325"/>
      <c r="D16773" s="326"/>
      <c r="E16773" s="326"/>
      <c r="F16773" s="326"/>
      <c r="G16773" s="326"/>
      <c r="H16773" s="326"/>
      <c r="P16773" s="318"/>
      <c r="Q16773" s="318"/>
      <c r="R16773" s="318"/>
      <c r="S16773" s="318"/>
      <c r="T16773" s="318"/>
      <c r="U16773" s="318"/>
      <c r="V16773" s="318"/>
      <c r="W16773" s="318"/>
      <c r="X16773" s="318"/>
      <c r="Y16773" s="318"/>
      <c r="Z16773" s="318"/>
      <c r="AA16773" s="318"/>
      <c r="AB16773" s="318"/>
      <c r="AC16773" s="318"/>
      <c r="AD16773" s="318"/>
    </row>
    <row r="16774" spans="2:30" s="323" customFormat="1" ht="12" customHeight="1">
      <c r="B16774" s="324"/>
      <c r="C16774" s="325"/>
      <c r="D16774" s="326"/>
      <c r="E16774" s="326"/>
      <c r="F16774" s="326"/>
      <c r="G16774" s="326"/>
      <c r="H16774" s="326"/>
      <c r="P16774" s="318"/>
      <c r="Q16774" s="318"/>
      <c r="R16774" s="318"/>
      <c r="S16774" s="318"/>
      <c r="T16774" s="318"/>
      <c r="U16774" s="318"/>
      <c r="V16774" s="318"/>
      <c r="W16774" s="318"/>
      <c r="X16774" s="318"/>
      <c r="Y16774" s="318"/>
      <c r="Z16774" s="318"/>
      <c r="AA16774" s="318"/>
      <c r="AB16774" s="318"/>
      <c r="AC16774" s="318"/>
      <c r="AD16774" s="318"/>
    </row>
    <row r="16775" spans="2:30" s="323" customFormat="1" ht="12" customHeight="1">
      <c r="B16775" s="324"/>
      <c r="C16775" s="325"/>
      <c r="D16775" s="326"/>
      <c r="E16775" s="326"/>
      <c r="F16775" s="326"/>
      <c r="G16775" s="326"/>
      <c r="H16775" s="326"/>
      <c r="P16775" s="318"/>
      <c r="Q16775" s="318"/>
      <c r="R16775" s="318"/>
      <c r="S16775" s="318"/>
      <c r="T16775" s="318"/>
      <c r="U16775" s="318"/>
      <c r="V16775" s="318"/>
      <c r="W16775" s="318"/>
      <c r="X16775" s="318"/>
      <c r="Y16775" s="318"/>
      <c r="Z16775" s="318"/>
      <c r="AA16775" s="318"/>
      <c r="AB16775" s="318"/>
      <c r="AC16775" s="318"/>
      <c r="AD16775" s="318"/>
    </row>
    <row r="16776" spans="2:30" s="323" customFormat="1" ht="12" customHeight="1">
      <c r="B16776" s="324"/>
      <c r="C16776" s="325"/>
      <c r="D16776" s="326"/>
      <c r="E16776" s="326"/>
      <c r="F16776" s="326"/>
      <c r="G16776" s="326"/>
      <c r="H16776" s="326"/>
      <c r="P16776" s="318"/>
      <c r="Q16776" s="318"/>
      <c r="R16776" s="318"/>
      <c r="S16776" s="318"/>
      <c r="T16776" s="318"/>
      <c r="U16776" s="318"/>
      <c r="V16776" s="318"/>
      <c r="W16776" s="318"/>
      <c r="X16776" s="318"/>
      <c r="Y16776" s="318"/>
      <c r="Z16776" s="318"/>
      <c r="AA16776" s="318"/>
      <c r="AB16776" s="318"/>
      <c r="AC16776" s="318"/>
      <c r="AD16776" s="318"/>
    </row>
    <row r="16777" spans="2:30" s="323" customFormat="1" ht="12" customHeight="1">
      <c r="B16777" s="324"/>
      <c r="C16777" s="325"/>
      <c r="D16777" s="326"/>
      <c r="E16777" s="326"/>
      <c r="F16777" s="326"/>
      <c r="G16777" s="326"/>
      <c r="H16777" s="326"/>
      <c r="P16777" s="318"/>
      <c r="Q16777" s="318"/>
      <c r="R16777" s="318"/>
      <c r="S16777" s="318"/>
      <c r="T16777" s="318"/>
      <c r="U16777" s="318"/>
      <c r="V16777" s="318"/>
      <c r="W16777" s="318"/>
      <c r="X16777" s="318"/>
      <c r="Y16777" s="318"/>
      <c r="Z16777" s="318"/>
      <c r="AA16777" s="318"/>
      <c r="AB16777" s="318"/>
      <c r="AC16777" s="318"/>
      <c r="AD16777" s="318"/>
    </row>
    <row r="16778" spans="2:30" s="323" customFormat="1" ht="12" customHeight="1">
      <c r="B16778" s="324"/>
      <c r="C16778" s="325"/>
      <c r="D16778" s="326"/>
      <c r="E16778" s="326"/>
      <c r="F16778" s="326"/>
      <c r="G16778" s="326"/>
      <c r="H16778" s="326"/>
      <c r="P16778" s="318"/>
      <c r="Q16778" s="318"/>
      <c r="R16778" s="318"/>
      <c r="S16778" s="318"/>
      <c r="T16778" s="318"/>
      <c r="U16778" s="318"/>
      <c r="V16778" s="318"/>
      <c r="W16778" s="318"/>
      <c r="X16778" s="318"/>
      <c r="Y16778" s="318"/>
      <c r="Z16778" s="318"/>
      <c r="AA16778" s="318"/>
      <c r="AB16778" s="318"/>
      <c r="AC16778" s="318"/>
      <c r="AD16778" s="318"/>
    </row>
    <row r="16779" spans="2:30" s="323" customFormat="1" ht="12" customHeight="1">
      <c r="B16779" s="324"/>
      <c r="C16779" s="325"/>
      <c r="D16779" s="326"/>
      <c r="E16779" s="326"/>
      <c r="F16779" s="326"/>
      <c r="G16779" s="326"/>
      <c r="H16779" s="326"/>
      <c r="P16779" s="318"/>
      <c r="Q16779" s="318"/>
      <c r="R16779" s="318"/>
      <c r="S16779" s="318"/>
      <c r="T16779" s="318"/>
      <c r="U16779" s="318"/>
      <c r="V16779" s="318"/>
      <c r="W16779" s="318"/>
      <c r="X16779" s="318"/>
      <c r="Y16779" s="318"/>
      <c r="Z16779" s="318"/>
      <c r="AA16779" s="318"/>
      <c r="AB16779" s="318"/>
      <c r="AC16779" s="318"/>
      <c r="AD16779" s="318"/>
    </row>
    <row r="16780" spans="2:30" s="323" customFormat="1" ht="12" customHeight="1">
      <c r="B16780" s="324"/>
      <c r="C16780" s="325"/>
      <c r="D16780" s="326"/>
      <c r="E16780" s="326"/>
      <c r="F16780" s="326"/>
      <c r="G16780" s="326"/>
      <c r="H16780" s="326"/>
      <c r="P16780" s="318"/>
      <c r="Q16780" s="318"/>
      <c r="R16780" s="318"/>
      <c r="S16780" s="318"/>
      <c r="T16780" s="318"/>
      <c r="U16780" s="318"/>
      <c r="V16780" s="318"/>
      <c r="W16780" s="318"/>
      <c r="X16780" s="318"/>
      <c r="Y16780" s="318"/>
      <c r="Z16780" s="318"/>
      <c r="AA16780" s="318"/>
      <c r="AB16780" s="318"/>
      <c r="AC16780" s="318"/>
      <c r="AD16780" s="318"/>
    </row>
    <row r="16781" spans="2:30" s="323" customFormat="1" ht="12" customHeight="1">
      <c r="B16781" s="324"/>
      <c r="C16781" s="325"/>
      <c r="D16781" s="326"/>
      <c r="E16781" s="326"/>
      <c r="F16781" s="326"/>
      <c r="G16781" s="326"/>
      <c r="H16781" s="326"/>
      <c r="P16781" s="318"/>
      <c r="Q16781" s="318"/>
      <c r="R16781" s="318"/>
      <c r="S16781" s="318"/>
      <c r="T16781" s="318"/>
      <c r="U16781" s="318"/>
      <c r="V16781" s="318"/>
      <c r="W16781" s="318"/>
      <c r="X16781" s="318"/>
      <c r="Y16781" s="318"/>
      <c r="Z16781" s="318"/>
      <c r="AA16781" s="318"/>
      <c r="AB16781" s="318"/>
      <c r="AC16781" s="318"/>
      <c r="AD16781" s="318"/>
    </row>
    <row r="16782" spans="2:30" s="323" customFormat="1" ht="12" customHeight="1">
      <c r="B16782" s="324"/>
      <c r="C16782" s="325"/>
      <c r="D16782" s="326"/>
      <c r="E16782" s="326"/>
      <c r="F16782" s="326"/>
      <c r="G16782" s="326"/>
      <c r="H16782" s="326"/>
      <c r="P16782" s="318"/>
      <c r="Q16782" s="318"/>
      <c r="R16782" s="318"/>
      <c r="S16782" s="318"/>
      <c r="T16782" s="318"/>
      <c r="U16782" s="318"/>
      <c r="V16782" s="318"/>
      <c r="W16782" s="318"/>
      <c r="X16782" s="318"/>
      <c r="Y16782" s="318"/>
      <c r="Z16782" s="318"/>
      <c r="AA16782" s="318"/>
      <c r="AB16782" s="318"/>
      <c r="AC16782" s="318"/>
      <c r="AD16782" s="318"/>
    </row>
    <row r="16783" spans="2:30" s="323" customFormat="1" ht="12" customHeight="1">
      <c r="B16783" s="324"/>
      <c r="C16783" s="325"/>
      <c r="D16783" s="326"/>
      <c r="E16783" s="326"/>
      <c r="F16783" s="326"/>
      <c r="G16783" s="326"/>
      <c r="H16783" s="326"/>
      <c r="P16783" s="318"/>
      <c r="Q16783" s="318"/>
      <c r="R16783" s="318"/>
      <c r="S16783" s="318"/>
      <c r="T16783" s="318"/>
      <c r="U16783" s="318"/>
      <c r="V16783" s="318"/>
      <c r="W16783" s="318"/>
      <c r="X16783" s="318"/>
      <c r="Y16783" s="318"/>
      <c r="Z16783" s="318"/>
      <c r="AA16783" s="318"/>
      <c r="AB16783" s="318"/>
      <c r="AC16783" s="318"/>
      <c r="AD16783" s="318"/>
    </row>
    <row r="16784" spans="2:30" s="323" customFormat="1" ht="12" customHeight="1">
      <c r="B16784" s="324"/>
      <c r="C16784" s="325"/>
      <c r="D16784" s="326"/>
      <c r="E16784" s="326"/>
      <c r="F16784" s="326"/>
      <c r="G16784" s="326"/>
      <c r="H16784" s="326"/>
      <c r="P16784" s="318"/>
      <c r="Q16784" s="318"/>
      <c r="R16784" s="318"/>
      <c r="S16784" s="318"/>
      <c r="T16784" s="318"/>
      <c r="U16784" s="318"/>
      <c r="V16784" s="318"/>
      <c r="W16784" s="318"/>
      <c r="X16784" s="318"/>
      <c r="Y16784" s="318"/>
      <c r="Z16784" s="318"/>
      <c r="AA16784" s="318"/>
      <c r="AB16784" s="318"/>
      <c r="AC16784" s="318"/>
      <c r="AD16784" s="318"/>
    </row>
    <row r="16785" spans="2:30" s="323" customFormat="1" ht="12" customHeight="1">
      <c r="B16785" s="324"/>
      <c r="C16785" s="325"/>
      <c r="D16785" s="326"/>
      <c r="E16785" s="326"/>
      <c r="F16785" s="326"/>
      <c r="G16785" s="326"/>
      <c r="H16785" s="326"/>
      <c r="P16785" s="318"/>
      <c r="Q16785" s="318"/>
      <c r="R16785" s="318"/>
      <c r="S16785" s="318"/>
      <c r="T16785" s="318"/>
      <c r="U16785" s="318"/>
      <c r="V16785" s="318"/>
      <c r="W16785" s="318"/>
      <c r="X16785" s="318"/>
      <c r="Y16785" s="318"/>
      <c r="Z16785" s="318"/>
      <c r="AA16785" s="318"/>
      <c r="AB16785" s="318"/>
      <c r="AC16785" s="318"/>
      <c r="AD16785" s="318"/>
    </row>
    <row r="16786" spans="2:30" s="323" customFormat="1" ht="12" customHeight="1">
      <c r="B16786" s="324"/>
      <c r="C16786" s="325"/>
      <c r="D16786" s="326"/>
      <c r="E16786" s="326"/>
      <c r="F16786" s="326"/>
      <c r="G16786" s="326"/>
      <c r="H16786" s="326"/>
      <c r="P16786" s="318"/>
      <c r="Q16786" s="318"/>
      <c r="R16786" s="318"/>
      <c r="S16786" s="318"/>
      <c r="T16786" s="318"/>
      <c r="U16786" s="318"/>
      <c r="V16786" s="318"/>
      <c r="W16786" s="318"/>
      <c r="X16786" s="318"/>
      <c r="Y16786" s="318"/>
      <c r="Z16786" s="318"/>
      <c r="AA16786" s="318"/>
      <c r="AB16786" s="318"/>
      <c r="AC16786" s="318"/>
      <c r="AD16786" s="318"/>
    </row>
    <row r="16787" spans="2:30" s="323" customFormat="1" ht="12" customHeight="1">
      <c r="B16787" s="324"/>
      <c r="C16787" s="325"/>
      <c r="D16787" s="326"/>
      <c r="E16787" s="326"/>
      <c r="F16787" s="326"/>
      <c r="G16787" s="326"/>
      <c r="H16787" s="326"/>
      <c r="P16787" s="318"/>
      <c r="Q16787" s="318"/>
      <c r="R16787" s="318"/>
      <c r="S16787" s="318"/>
      <c r="T16787" s="318"/>
      <c r="U16787" s="318"/>
      <c r="V16787" s="318"/>
      <c r="W16787" s="318"/>
      <c r="X16787" s="318"/>
      <c r="Y16787" s="318"/>
      <c r="Z16787" s="318"/>
      <c r="AA16787" s="318"/>
      <c r="AB16787" s="318"/>
      <c r="AC16787" s="318"/>
      <c r="AD16787" s="318"/>
    </row>
    <row r="16788" spans="2:30" s="323" customFormat="1" ht="12" customHeight="1">
      <c r="B16788" s="324"/>
      <c r="C16788" s="325"/>
      <c r="D16788" s="326"/>
      <c r="E16788" s="326"/>
      <c r="F16788" s="326"/>
      <c r="G16788" s="326"/>
      <c r="H16788" s="326"/>
      <c r="P16788" s="318"/>
      <c r="Q16788" s="318"/>
      <c r="R16788" s="318"/>
      <c r="S16788" s="318"/>
      <c r="T16788" s="318"/>
      <c r="U16788" s="318"/>
      <c r="V16788" s="318"/>
      <c r="W16788" s="318"/>
      <c r="X16788" s="318"/>
      <c r="Y16788" s="318"/>
      <c r="Z16788" s="318"/>
      <c r="AA16788" s="318"/>
      <c r="AB16788" s="318"/>
      <c r="AC16788" s="318"/>
      <c r="AD16788" s="318"/>
    </row>
    <row r="16789" spans="2:30" s="323" customFormat="1" ht="12" customHeight="1">
      <c r="B16789" s="324"/>
      <c r="C16789" s="325"/>
      <c r="D16789" s="326"/>
      <c r="E16789" s="326"/>
      <c r="F16789" s="326"/>
      <c r="G16789" s="326"/>
      <c r="H16789" s="326"/>
      <c r="P16789" s="318"/>
      <c r="Q16789" s="318"/>
      <c r="R16789" s="318"/>
      <c r="S16789" s="318"/>
      <c r="T16789" s="318"/>
      <c r="U16789" s="318"/>
      <c r="V16789" s="318"/>
      <c r="W16789" s="318"/>
      <c r="X16789" s="318"/>
      <c r="Y16789" s="318"/>
      <c r="Z16789" s="318"/>
      <c r="AA16789" s="318"/>
      <c r="AB16789" s="318"/>
      <c r="AC16789" s="318"/>
      <c r="AD16789" s="318"/>
    </row>
    <row r="16790" spans="2:30" s="323" customFormat="1" ht="12" customHeight="1">
      <c r="B16790" s="324"/>
      <c r="C16790" s="325"/>
      <c r="D16790" s="326"/>
      <c r="E16790" s="326"/>
      <c r="F16790" s="326"/>
      <c r="G16790" s="326"/>
      <c r="H16790" s="326"/>
      <c r="P16790" s="318"/>
      <c r="Q16790" s="318"/>
      <c r="R16790" s="318"/>
      <c r="S16790" s="318"/>
      <c r="T16790" s="318"/>
      <c r="U16790" s="318"/>
      <c r="V16790" s="318"/>
      <c r="W16790" s="318"/>
      <c r="X16790" s="318"/>
      <c r="Y16790" s="318"/>
      <c r="Z16790" s="318"/>
      <c r="AA16790" s="318"/>
      <c r="AB16790" s="318"/>
      <c r="AC16790" s="318"/>
      <c r="AD16790" s="318"/>
    </row>
    <row r="16791" spans="2:30" s="323" customFormat="1" ht="12" customHeight="1">
      <c r="B16791" s="324"/>
      <c r="C16791" s="325"/>
      <c r="D16791" s="326"/>
      <c r="E16791" s="326"/>
      <c r="F16791" s="326"/>
      <c r="G16791" s="326"/>
      <c r="H16791" s="326"/>
      <c r="P16791" s="318"/>
      <c r="Q16791" s="318"/>
      <c r="R16791" s="318"/>
      <c r="S16791" s="318"/>
      <c r="T16791" s="318"/>
      <c r="U16791" s="318"/>
      <c r="V16791" s="318"/>
      <c r="W16791" s="318"/>
      <c r="X16791" s="318"/>
      <c r="Y16791" s="318"/>
      <c r="Z16791" s="318"/>
      <c r="AA16791" s="318"/>
      <c r="AB16791" s="318"/>
      <c r="AC16791" s="318"/>
      <c r="AD16791" s="318"/>
    </row>
    <row r="16792" spans="2:30" s="323" customFormat="1" ht="12" customHeight="1">
      <c r="B16792" s="324"/>
      <c r="C16792" s="325"/>
      <c r="D16792" s="326"/>
      <c r="E16792" s="326"/>
      <c r="F16792" s="326"/>
      <c r="G16792" s="326"/>
      <c r="H16792" s="326"/>
      <c r="P16792" s="318"/>
      <c r="Q16792" s="318"/>
      <c r="R16792" s="318"/>
      <c r="S16792" s="318"/>
      <c r="T16792" s="318"/>
      <c r="U16792" s="318"/>
      <c r="V16792" s="318"/>
      <c r="W16792" s="318"/>
      <c r="X16792" s="318"/>
      <c r="Y16792" s="318"/>
      <c r="Z16792" s="318"/>
      <c r="AA16792" s="318"/>
      <c r="AB16792" s="318"/>
      <c r="AC16792" s="318"/>
      <c r="AD16792" s="318"/>
    </row>
    <row r="16793" spans="2:30" s="323" customFormat="1" ht="12" customHeight="1">
      <c r="B16793" s="324"/>
      <c r="C16793" s="325"/>
      <c r="D16793" s="326"/>
      <c r="E16793" s="326"/>
      <c r="F16793" s="326"/>
      <c r="G16793" s="326"/>
      <c r="H16793" s="326"/>
      <c r="P16793" s="318"/>
      <c r="Q16793" s="318"/>
      <c r="R16793" s="318"/>
      <c r="S16793" s="318"/>
      <c r="T16793" s="318"/>
      <c r="U16793" s="318"/>
      <c r="V16793" s="318"/>
      <c r="W16793" s="318"/>
      <c r="X16793" s="318"/>
      <c r="Y16793" s="318"/>
      <c r="Z16793" s="318"/>
      <c r="AA16793" s="318"/>
      <c r="AB16793" s="318"/>
      <c r="AC16793" s="318"/>
      <c r="AD16793" s="318"/>
    </row>
    <row r="16794" spans="2:30" s="323" customFormat="1" ht="12" customHeight="1">
      <c r="B16794" s="324"/>
      <c r="C16794" s="325"/>
      <c r="D16794" s="326"/>
      <c r="E16794" s="326"/>
      <c r="F16794" s="326"/>
      <c r="G16794" s="326"/>
      <c r="H16794" s="326"/>
      <c r="P16794" s="318"/>
      <c r="Q16794" s="318"/>
      <c r="R16794" s="318"/>
      <c r="S16794" s="318"/>
      <c r="T16794" s="318"/>
      <c r="U16794" s="318"/>
      <c r="V16794" s="318"/>
      <c r="W16794" s="318"/>
      <c r="X16794" s="318"/>
      <c r="Y16794" s="318"/>
      <c r="Z16794" s="318"/>
      <c r="AA16794" s="318"/>
      <c r="AB16794" s="318"/>
      <c r="AC16794" s="318"/>
      <c r="AD16794" s="318"/>
    </row>
    <row r="16795" spans="2:30" s="323" customFormat="1" ht="12" customHeight="1">
      <c r="B16795" s="324"/>
      <c r="C16795" s="325"/>
      <c r="D16795" s="326"/>
      <c r="E16795" s="326"/>
      <c r="F16795" s="326"/>
      <c r="G16795" s="326"/>
      <c r="H16795" s="326"/>
      <c r="P16795" s="318"/>
      <c r="Q16795" s="318"/>
      <c r="R16795" s="318"/>
      <c r="S16795" s="318"/>
      <c r="T16795" s="318"/>
      <c r="U16795" s="318"/>
      <c r="V16795" s="318"/>
      <c r="W16795" s="318"/>
      <c r="X16795" s="318"/>
      <c r="Y16795" s="318"/>
      <c r="Z16795" s="318"/>
      <c r="AA16795" s="318"/>
      <c r="AB16795" s="318"/>
      <c r="AC16795" s="318"/>
      <c r="AD16795" s="318"/>
    </row>
    <row r="16796" spans="2:30" s="323" customFormat="1" ht="12" customHeight="1">
      <c r="B16796" s="324"/>
      <c r="C16796" s="325"/>
      <c r="D16796" s="326"/>
      <c r="E16796" s="326"/>
      <c r="F16796" s="326"/>
      <c r="G16796" s="326"/>
      <c r="H16796" s="326"/>
      <c r="P16796" s="318"/>
      <c r="Q16796" s="318"/>
      <c r="R16796" s="318"/>
      <c r="S16796" s="318"/>
      <c r="T16796" s="318"/>
      <c r="U16796" s="318"/>
      <c r="V16796" s="318"/>
      <c r="W16796" s="318"/>
      <c r="X16796" s="318"/>
      <c r="Y16796" s="318"/>
      <c r="Z16796" s="318"/>
      <c r="AA16796" s="318"/>
      <c r="AB16796" s="318"/>
      <c r="AC16796" s="318"/>
      <c r="AD16796" s="318"/>
    </row>
    <row r="16797" spans="2:30" s="323" customFormat="1" ht="12" customHeight="1">
      <c r="B16797" s="324"/>
      <c r="C16797" s="325"/>
      <c r="D16797" s="326"/>
      <c r="E16797" s="326"/>
      <c r="F16797" s="326"/>
      <c r="G16797" s="326"/>
      <c r="H16797" s="326"/>
      <c r="P16797" s="318"/>
      <c r="Q16797" s="318"/>
      <c r="R16797" s="318"/>
      <c r="S16797" s="318"/>
      <c r="T16797" s="318"/>
      <c r="U16797" s="318"/>
      <c r="V16797" s="318"/>
      <c r="W16797" s="318"/>
      <c r="X16797" s="318"/>
      <c r="Y16797" s="318"/>
      <c r="Z16797" s="318"/>
      <c r="AA16797" s="318"/>
      <c r="AB16797" s="318"/>
      <c r="AC16797" s="318"/>
      <c r="AD16797" s="318"/>
    </row>
    <row r="16798" spans="2:30" s="323" customFormat="1" ht="12" customHeight="1">
      <c r="B16798" s="324"/>
      <c r="C16798" s="325"/>
      <c r="D16798" s="326"/>
      <c r="E16798" s="326"/>
      <c r="F16798" s="326"/>
      <c r="G16798" s="326"/>
      <c r="H16798" s="326"/>
      <c r="P16798" s="318"/>
      <c r="Q16798" s="318"/>
      <c r="R16798" s="318"/>
      <c r="S16798" s="318"/>
      <c r="T16798" s="318"/>
      <c r="U16798" s="318"/>
      <c r="V16798" s="318"/>
      <c r="W16798" s="318"/>
      <c r="X16798" s="318"/>
      <c r="Y16798" s="318"/>
      <c r="Z16798" s="318"/>
      <c r="AA16798" s="318"/>
      <c r="AB16798" s="318"/>
      <c r="AC16798" s="318"/>
      <c r="AD16798" s="318"/>
    </row>
    <row r="16799" spans="2:30" s="323" customFormat="1" ht="12" customHeight="1">
      <c r="B16799" s="324"/>
      <c r="C16799" s="325"/>
      <c r="D16799" s="326"/>
      <c r="E16799" s="326"/>
      <c r="F16799" s="326"/>
      <c r="G16799" s="326"/>
      <c r="H16799" s="326"/>
      <c r="P16799" s="318"/>
      <c r="Q16799" s="318"/>
      <c r="R16799" s="318"/>
      <c r="S16799" s="318"/>
      <c r="T16799" s="318"/>
      <c r="U16799" s="318"/>
      <c r="V16799" s="318"/>
      <c r="W16799" s="318"/>
      <c r="X16799" s="318"/>
      <c r="Y16799" s="318"/>
      <c r="Z16799" s="318"/>
      <c r="AA16799" s="318"/>
      <c r="AB16799" s="318"/>
      <c r="AC16799" s="318"/>
      <c r="AD16799" s="318"/>
    </row>
    <row r="16800" spans="2:30" s="323" customFormat="1" ht="12" customHeight="1">
      <c r="B16800" s="324"/>
      <c r="C16800" s="325"/>
      <c r="D16800" s="326"/>
      <c r="E16800" s="326"/>
      <c r="F16800" s="326"/>
      <c r="G16800" s="326"/>
      <c r="H16800" s="326"/>
      <c r="P16800" s="318"/>
      <c r="Q16800" s="318"/>
      <c r="R16800" s="318"/>
      <c r="S16800" s="318"/>
      <c r="T16800" s="318"/>
      <c r="U16800" s="318"/>
      <c r="V16800" s="318"/>
      <c r="W16800" s="318"/>
      <c r="X16800" s="318"/>
      <c r="Y16800" s="318"/>
      <c r="Z16800" s="318"/>
      <c r="AA16800" s="318"/>
      <c r="AB16800" s="318"/>
      <c r="AC16800" s="318"/>
      <c r="AD16800" s="318"/>
    </row>
    <row r="16801" spans="2:30" s="323" customFormat="1" ht="12" customHeight="1">
      <c r="B16801" s="324"/>
      <c r="C16801" s="325"/>
      <c r="D16801" s="326"/>
      <c r="E16801" s="326"/>
      <c r="F16801" s="326"/>
      <c r="G16801" s="326"/>
      <c r="H16801" s="326"/>
      <c r="P16801" s="318"/>
      <c r="Q16801" s="318"/>
      <c r="R16801" s="318"/>
      <c r="S16801" s="318"/>
      <c r="T16801" s="318"/>
      <c r="U16801" s="318"/>
      <c r="V16801" s="318"/>
      <c r="W16801" s="318"/>
      <c r="X16801" s="318"/>
      <c r="Y16801" s="318"/>
      <c r="Z16801" s="318"/>
      <c r="AA16801" s="318"/>
      <c r="AB16801" s="318"/>
      <c r="AC16801" s="318"/>
      <c r="AD16801" s="318"/>
    </row>
    <row r="16802" spans="2:30" s="323" customFormat="1" ht="12" customHeight="1">
      <c r="B16802" s="324"/>
      <c r="C16802" s="325"/>
      <c r="D16802" s="326"/>
      <c r="E16802" s="326"/>
      <c r="F16802" s="326"/>
      <c r="G16802" s="326"/>
      <c r="H16802" s="326"/>
      <c r="P16802" s="318"/>
      <c r="Q16802" s="318"/>
      <c r="R16802" s="318"/>
      <c r="S16802" s="318"/>
      <c r="T16802" s="318"/>
      <c r="U16802" s="318"/>
      <c r="V16802" s="318"/>
      <c r="W16802" s="318"/>
      <c r="X16802" s="318"/>
      <c r="Y16802" s="318"/>
      <c r="Z16802" s="318"/>
      <c r="AA16802" s="318"/>
      <c r="AB16802" s="318"/>
      <c r="AC16802" s="318"/>
      <c r="AD16802" s="318"/>
    </row>
    <row r="16803" spans="2:30" s="323" customFormat="1" ht="12" customHeight="1">
      <c r="B16803" s="324"/>
      <c r="C16803" s="325"/>
      <c r="D16803" s="326"/>
      <c r="E16803" s="326"/>
      <c r="F16803" s="326"/>
      <c r="G16803" s="326"/>
      <c r="H16803" s="326"/>
      <c r="P16803" s="318"/>
      <c r="Q16803" s="318"/>
      <c r="R16803" s="318"/>
      <c r="S16803" s="318"/>
      <c r="T16803" s="318"/>
      <c r="U16803" s="318"/>
      <c r="V16803" s="318"/>
      <c r="W16803" s="318"/>
      <c r="X16803" s="318"/>
      <c r="Y16803" s="318"/>
      <c r="Z16803" s="318"/>
      <c r="AA16803" s="318"/>
      <c r="AB16803" s="318"/>
      <c r="AC16803" s="318"/>
      <c r="AD16803" s="318"/>
    </row>
    <row r="16804" spans="2:30" s="323" customFormat="1" ht="12" customHeight="1">
      <c r="B16804" s="324"/>
      <c r="C16804" s="325"/>
      <c r="D16804" s="326"/>
      <c r="E16804" s="326"/>
      <c r="F16804" s="326"/>
      <c r="G16804" s="326"/>
      <c r="H16804" s="326"/>
      <c r="P16804" s="318"/>
      <c r="Q16804" s="318"/>
      <c r="R16804" s="318"/>
      <c r="S16804" s="318"/>
      <c r="T16804" s="318"/>
      <c r="U16804" s="318"/>
      <c r="V16804" s="318"/>
      <c r="W16804" s="318"/>
      <c r="X16804" s="318"/>
      <c r="Y16804" s="318"/>
      <c r="Z16804" s="318"/>
      <c r="AA16804" s="318"/>
      <c r="AB16804" s="318"/>
      <c r="AC16804" s="318"/>
      <c r="AD16804" s="318"/>
    </row>
    <row r="16805" spans="2:30" s="323" customFormat="1" ht="12" customHeight="1">
      <c r="B16805" s="324"/>
      <c r="C16805" s="325"/>
      <c r="D16805" s="326"/>
      <c r="E16805" s="326"/>
      <c r="F16805" s="326"/>
      <c r="G16805" s="326"/>
      <c r="H16805" s="326"/>
      <c r="P16805" s="318"/>
      <c r="Q16805" s="318"/>
      <c r="R16805" s="318"/>
      <c r="S16805" s="318"/>
      <c r="T16805" s="318"/>
      <c r="U16805" s="318"/>
      <c r="V16805" s="318"/>
      <c r="W16805" s="318"/>
      <c r="X16805" s="318"/>
      <c r="Y16805" s="318"/>
      <c r="Z16805" s="318"/>
      <c r="AA16805" s="318"/>
      <c r="AB16805" s="318"/>
      <c r="AC16805" s="318"/>
      <c r="AD16805" s="318"/>
    </row>
    <row r="16806" spans="2:30" s="323" customFormat="1" ht="12" customHeight="1">
      <c r="B16806" s="324"/>
      <c r="C16806" s="325"/>
      <c r="D16806" s="326"/>
      <c r="E16806" s="326"/>
      <c r="F16806" s="326"/>
      <c r="G16806" s="326"/>
      <c r="H16806" s="326"/>
      <c r="P16806" s="318"/>
      <c r="Q16806" s="318"/>
      <c r="R16806" s="318"/>
      <c r="S16806" s="318"/>
      <c r="T16806" s="318"/>
      <c r="U16806" s="318"/>
      <c r="V16806" s="318"/>
      <c r="W16806" s="318"/>
      <c r="X16806" s="318"/>
      <c r="Y16806" s="318"/>
      <c r="Z16806" s="318"/>
      <c r="AA16806" s="318"/>
      <c r="AB16806" s="318"/>
      <c r="AC16806" s="318"/>
      <c r="AD16806" s="318"/>
    </row>
    <row r="16807" spans="2:30" s="323" customFormat="1" ht="12" customHeight="1">
      <c r="B16807" s="324"/>
      <c r="C16807" s="325"/>
      <c r="D16807" s="326"/>
      <c r="E16807" s="326"/>
      <c r="F16807" s="326"/>
      <c r="G16807" s="326"/>
      <c r="H16807" s="326"/>
      <c r="P16807" s="318"/>
      <c r="Q16807" s="318"/>
      <c r="R16807" s="318"/>
      <c r="S16807" s="318"/>
      <c r="T16807" s="318"/>
      <c r="U16807" s="318"/>
      <c r="V16807" s="318"/>
      <c r="W16807" s="318"/>
      <c r="X16807" s="318"/>
      <c r="Y16807" s="318"/>
      <c r="Z16807" s="318"/>
      <c r="AA16807" s="318"/>
      <c r="AB16807" s="318"/>
      <c r="AC16807" s="318"/>
      <c r="AD16807" s="318"/>
    </row>
    <row r="16808" spans="2:30" s="323" customFormat="1" ht="12" customHeight="1">
      <c r="B16808" s="324"/>
      <c r="C16808" s="325"/>
      <c r="D16808" s="326"/>
      <c r="E16808" s="326"/>
      <c r="F16808" s="326"/>
      <c r="G16808" s="326"/>
      <c r="H16808" s="326"/>
      <c r="P16808" s="318"/>
      <c r="Q16808" s="318"/>
      <c r="R16808" s="318"/>
      <c r="S16808" s="318"/>
      <c r="T16808" s="318"/>
      <c r="U16808" s="318"/>
      <c r="V16808" s="318"/>
      <c r="W16808" s="318"/>
      <c r="X16808" s="318"/>
      <c r="Y16808" s="318"/>
      <c r="Z16808" s="318"/>
      <c r="AA16808" s="318"/>
      <c r="AB16808" s="318"/>
      <c r="AC16808" s="318"/>
      <c r="AD16808" s="318"/>
    </row>
    <row r="16809" spans="2:30" s="323" customFormat="1" ht="12" customHeight="1">
      <c r="B16809" s="324"/>
      <c r="C16809" s="325"/>
      <c r="D16809" s="326"/>
      <c r="E16809" s="326"/>
      <c r="F16809" s="326"/>
      <c r="G16809" s="326"/>
      <c r="H16809" s="326"/>
      <c r="P16809" s="318"/>
      <c r="Q16809" s="318"/>
      <c r="R16809" s="318"/>
      <c r="S16809" s="318"/>
      <c r="T16809" s="318"/>
      <c r="U16809" s="318"/>
      <c r="V16809" s="318"/>
      <c r="W16809" s="318"/>
      <c r="X16809" s="318"/>
      <c r="Y16809" s="318"/>
      <c r="Z16809" s="318"/>
      <c r="AA16809" s="318"/>
      <c r="AB16809" s="318"/>
      <c r="AC16809" s="318"/>
      <c r="AD16809" s="318"/>
    </row>
    <row r="16810" spans="2:30" s="323" customFormat="1" ht="12" customHeight="1">
      <c r="B16810" s="324"/>
      <c r="C16810" s="325"/>
      <c r="D16810" s="326"/>
      <c r="E16810" s="326"/>
      <c r="F16810" s="326"/>
      <c r="G16810" s="326"/>
      <c r="H16810" s="326"/>
      <c r="P16810" s="318"/>
      <c r="Q16810" s="318"/>
      <c r="R16810" s="318"/>
      <c r="S16810" s="318"/>
      <c r="T16810" s="318"/>
      <c r="U16810" s="318"/>
      <c r="V16810" s="318"/>
      <c r="W16810" s="318"/>
      <c r="X16810" s="318"/>
      <c r="Y16810" s="318"/>
      <c r="Z16810" s="318"/>
      <c r="AA16810" s="318"/>
      <c r="AB16810" s="318"/>
      <c r="AC16810" s="318"/>
      <c r="AD16810" s="318"/>
    </row>
    <row r="16811" spans="2:30" s="323" customFormat="1" ht="12" customHeight="1">
      <c r="B16811" s="324"/>
      <c r="C16811" s="325"/>
      <c r="D16811" s="326"/>
      <c r="E16811" s="326"/>
      <c r="F16811" s="326"/>
      <c r="G16811" s="326"/>
      <c r="H16811" s="326"/>
      <c r="P16811" s="318"/>
      <c r="Q16811" s="318"/>
      <c r="R16811" s="318"/>
      <c r="S16811" s="318"/>
      <c r="T16811" s="318"/>
      <c r="U16811" s="318"/>
      <c r="V16811" s="318"/>
      <c r="W16811" s="318"/>
      <c r="X16811" s="318"/>
      <c r="Y16811" s="318"/>
      <c r="Z16811" s="318"/>
      <c r="AA16811" s="318"/>
      <c r="AB16811" s="318"/>
      <c r="AC16811" s="318"/>
      <c r="AD16811" s="318"/>
    </row>
    <row r="16812" spans="2:30" s="323" customFormat="1" ht="12" customHeight="1">
      <c r="B16812" s="324"/>
      <c r="C16812" s="325"/>
      <c r="D16812" s="326"/>
      <c r="E16812" s="326"/>
      <c r="F16812" s="326"/>
      <c r="G16812" s="326"/>
      <c r="H16812" s="326"/>
      <c r="P16812" s="318"/>
      <c r="Q16812" s="318"/>
      <c r="R16812" s="318"/>
      <c r="S16812" s="318"/>
      <c r="T16812" s="318"/>
      <c r="U16812" s="318"/>
      <c r="V16812" s="318"/>
      <c r="W16812" s="318"/>
      <c r="X16812" s="318"/>
      <c r="Y16812" s="318"/>
      <c r="Z16812" s="318"/>
      <c r="AA16812" s="318"/>
      <c r="AB16812" s="318"/>
      <c r="AC16812" s="318"/>
      <c r="AD16812" s="318"/>
    </row>
    <row r="16813" spans="2:30" s="323" customFormat="1" ht="12" customHeight="1">
      <c r="B16813" s="324"/>
      <c r="C16813" s="325"/>
      <c r="D16813" s="326"/>
      <c r="E16813" s="326"/>
      <c r="F16813" s="326"/>
      <c r="G16813" s="326"/>
      <c r="H16813" s="326"/>
      <c r="P16813" s="318"/>
      <c r="Q16813" s="318"/>
      <c r="R16813" s="318"/>
      <c r="S16813" s="318"/>
      <c r="T16813" s="318"/>
      <c r="U16813" s="318"/>
      <c r="V16813" s="318"/>
      <c r="W16813" s="318"/>
      <c r="X16813" s="318"/>
      <c r="Y16813" s="318"/>
      <c r="Z16813" s="318"/>
      <c r="AA16813" s="318"/>
      <c r="AB16813" s="318"/>
      <c r="AC16813" s="318"/>
      <c r="AD16813" s="318"/>
    </row>
    <row r="16814" spans="2:30" s="323" customFormat="1" ht="12" customHeight="1">
      <c r="B16814" s="324"/>
      <c r="C16814" s="325"/>
      <c r="D16814" s="326"/>
      <c r="E16814" s="326"/>
      <c r="F16814" s="326"/>
      <c r="G16814" s="326"/>
      <c r="H16814" s="326"/>
      <c r="P16814" s="318"/>
      <c r="Q16814" s="318"/>
      <c r="R16814" s="318"/>
      <c r="S16814" s="318"/>
      <c r="T16814" s="318"/>
      <c r="U16814" s="318"/>
      <c r="V16814" s="318"/>
      <c r="W16814" s="318"/>
      <c r="X16814" s="318"/>
      <c r="Y16814" s="318"/>
      <c r="Z16814" s="318"/>
      <c r="AA16814" s="318"/>
      <c r="AB16814" s="318"/>
      <c r="AC16814" s="318"/>
      <c r="AD16814" s="318"/>
    </row>
    <row r="16815" spans="2:30" s="323" customFormat="1" ht="12" customHeight="1">
      <c r="B16815" s="324"/>
      <c r="C16815" s="325"/>
      <c r="D16815" s="326"/>
      <c r="E16815" s="326"/>
      <c r="F16815" s="326"/>
      <c r="G16815" s="326"/>
      <c r="H16815" s="326"/>
      <c r="P16815" s="318"/>
      <c r="Q16815" s="318"/>
      <c r="R16815" s="318"/>
      <c r="S16815" s="318"/>
      <c r="T16815" s="318"/>
      <c r="U16815" s="318"/>
      <c r="V16815" s="318"/>
      <c r="W16815" s="318"/>
      <c r="X16815" s="318"/>
      <c r="Y16815" s="318"/>
      <c r="Z16815" s="318"/>
      <c r="AA16815" s="318"/>
      <c r="AB16815" s="318"/>
      <c r="AC16815" s="318"/>
      <c r="AD16815" s="318"/>
    </row>
    <row r="16816" spans="2:30" s="323" customFormat="1" ht="12" customHeight="1">
      <c r="B16816" s="324"/>
      <c r="C16816" s="325"/>
      <c r="D16816" s="326"/>
      <c r="E16816" s="326"/>
      <c r="F16816" s="326"/>
      <c r="G16816" s="326"/>
      <c r="H16816" s="326"/>
      <c r="P16816" s="318"/>
      <c r="Q16816" s="318"/>
      <c r="R16816" s="318"/>
      <c r="S16816" s="318"/>
      <c r="T16816" s="318"/>
      <c r="U16816" s="318"/>
      <c r="V16816" s="318"/>
      <c r="W16816" s="318"/>
      <c r="X16816" s="318"/>
      <c r="Y16816" s="318"/>
      <c r="Z16816" s="318"/>
      <c r="AA16816" s="318"/>
      <c r="AB16816" s="318"/>
      <c r="AC16816" s="318"/>
      <c r="AD16816" s="318"/>
    </row>
    <row r="16817" spans="2:30" s="323" customFormat="1" ht="12" customHeight="1">
      <c r="B16817" s="324"/>
      <c r="C16817" s="325"/>
      <c r="D16817" s="326"/>
      <c r="E16817" s="326"/>
      <c r="F16817" s="326"/>
      <c r="G16817" s="326"/>
      <c r="H16817" s="326"/>
      <c r="P16817" s="318"/>
      <c r="Q16817" s="318"/>
      <c r="R16817" s="318"/>
      <c r="S16817" s="318"/>
      <c r="T16817" s="318"/>
      <c r="U16817" s="318"/>
      <c r="V16817" s="318"/>
      <c r="W16817" s="318"/>
      <c r="X16817" s="318"/>
      <c r="Y16817" s="318"/>
      <c r="Z16817" s="318"/>
      <c r="AA16817" s="318"/>
      <c r="AB16817" s="318"/>
      <c r="AC16817" s="318"/>
      <c r="AD16817" s="318"/>
    </row>
    <row r="16818" spans="2:30" s="323" customFormat="1" ht="12" customHeight="1">
      <c r="B16818" s="324"/>
      <c r="C16818" s="325"/>
      <c r="D16818" s="326"/>
      <c r="E16818" s="326"/>
      <c r="F16818" s="326"/>
      <c r="G16818" s="326"/>
      <c r="H16818" s="326"/>
      <c r="P16818" s="318"/>
      <c r="Q16818" s="318"/>
      <c r="R16818" s="318"/>
      <c r="S16818" s="318"/>
      <c r="T16818" s="318"/>
      <c r="U16818" s="318"/>
      <c r="V16818" s="318"/>
      <c r="W16818" s="318"/>
      <c r="X16818" s="318"/>
      <c r="Y16818" s="318"/>
      <c r="Z16818" s="318"/>
      <c r="AA16818" s="318"/>
      <c r="AB16818" s="318"/>
      <c r="AC16818" s="318"/>
      <c r="AD16818" s="318"/>
    </row>
    <row r="16819" spans="2:30" s="323" customFormat="1" ht="12" customHeight="1">
      <c r="B16819" s="324"/>
      <c r="C16819" s="325"/>
      <c r="D16819" s="326"/>
      <c r="E16819" s="326"/>
      <c r="F16819" s="326"/>
      <c r="G16819" s="326"/>
      <c r="H16819" s="326"/>
      <c r="P16819" s="318"/>
      <c r="Q16819" s="318"/>
      <c r="R16819" s="318"/>
      <c r="S16819" s="318"/>
      <c r="T16819" s="318"/>
      <c r="U16819" s="318"/>
      <c r="V16819" s="318"/>
      <c r="W16819" s="318"/>
      <c r="X16819" s="318"/>
      <c r="Y16819" s="318"/>
      <c r="Z16819" s="318"/>
      <c r="AA16819" s="318"/>
      <c r="AB16819" s="318"/>
      <c r="AC16819" s="318"/>
      <c r="AD16819" s="318"/>
    </row>
    <row r="16820" spans="2:30" s="323" customFormat="1" ht="12" customHeight="1">
      <c r="B16820" s="324"/>
      <c r="C16820" s="325"/>
      <c r="D16820" s="326"/>
      <c r="E16820" s="326"/>
      <c r="F16820" s="326"/>
      <c r="G16820" s="326"/>
      <c r="H16820" s="326"/>
      <c r="P16820" s="318"/>
      <c r="Q16820" s="318"/>
      <c r="R16820" s="318"/>
      <c r="S16820" s="318"/>
      <c r="T16820" s="318"/>
      <c r="U16820" s="318"/>
      <c r="V16820" s="318"/>
      <c r="W16820" s="318"/>
      <c r="X16820" s="318"/>
      <c r="Y16820" s="318"/>
      <c r="Z16820" s="318"/>
      <c r="AA16820" s="318"/>
      <c r="AB16820" s="318"/>
      <c r="AC16820" s="318"/>
      <c r="AD16820" s="318"/>
    </row>
    <row r="16821" spans="2:30" s="323" customFormat="1" ht="12" customHeight="1">
      <c r="B16821" s="324"/>
      <c r="C16821" s="325"/>
      <c r="D16821" s="326"/>
      <c r="E16821" s="326"/>
      <c r="F16821" s="326"/>
      <c r="G16821" s="326"/>
      <c r="H16821" s="326"/>
      <c r="P16821" s="318"/>
      <c r="Q16821" s="318"/>
      <c r="R16821" s="318"/>
      <c r="S16821" s="318"/>
      <c r="T16821" s="318"/>
      <c r="U16821" s="318"/>
      <c r="V16821" s="318"/>
      <c r="W16821" s="318"/>
      <c r="X16821" s="318"/>
      <c r="Y16821" s="318"/>
      <c r="Z16821" s="318"/>
      <c r="AA16821" s="318"/>
      <c r="AB16821" s="318"/>
      <c r="AC16821" s="318"/>
      <c r="AD16821" s="318"/>
    </row>
    <row r="16822" spans="2:30" s="323" customFormat="1" ht="12" customHeight="1">
      <c r="B16822" s="324"/>
      <c r="C16822" s="325"/>
      <c r="D16822" s="326"/>
      <c r="E16822" s="326"/>
      <c r="F16822" s="326"/>
      <c r="G16822" s="326"/>
      <c r="H16822" s="326"/>
      <c r="P16822" s="318"/>
      <c r="Q16822" s="318"/>
      <c r="R16822" s="318"/>
      <c r="S16822" s="318"/>
      <c r="T16822" s="318"/>
      <c r="U16822" s="318"/>
      <c r="V16822" s="318"/>
      <c r="W16822" s="318"/>
      <c r="X16822" s="318"/>
      <c r="Y16822" s="318"/>
      <c r="Z16822" s="318"/>
      <c r="AA16822" s="318"/>
      <c r="AB16822" s="318"/>
      <c r="AC16822" s="318"/>
      <c r="AD16822" s="318"/>
    </row>
    <row r="16823" spans="2:30" s="323" customFormat="1" ht="12" customHeight="1">
      <c r="B16823" s="324"/>
      <c r="C16823" s="325"/>
      <c r="D16823" s="326"/>
      <c r="E16823" s="326"/>
      <c r="F16823" s="326"/>
      <c r="G16823" s="326"/>
      <c r="H16823" s="326"/>
      <c r="P16823" s="318"/>
      <c r="Q16823" s="318"/>
      <c r="R16823" s="318"/>
      <c r="S16823" s="318"/>
      <c r="T16823" s="318"/>
      <c r="U16823" s="318"/>
      <c r="V16823" s="318"/>
      <c r="W16823" s="318"/>
      <c r="X16823" s="318"/>
      <c r="Y16823" s="318"/>
      <c r="Z16823" s="318"/>
      <c r="AA16823" s="318"/>
      <c r="AB16823" s="318"/>
      <c r="AC16823" s="318"/>
      <c r="AD16823" s="318"/>
    </row>
    <row r="16824" spans="2:30" s="323" customFormat="1" ht="12" customHeight="1">
      <c r="B16824" s="324"/>
      <c r="C16824" s="325"/>
      <c r="D16824" s="326"/>
      <c r="E16824" s="326"/>
      <c r="F16824" s="326"/>
      <c r="G16824" s="326"/>
      <c r="H16824" s="326"/>
      <c r="P16824" s="318"/>
      <c r="Q16824" s="318"/>
      <c r="R16824" s="318"/>
      <c r="S16824" s="318"/>
      <c r="T16824" s="318"/>
      <c r="U16824" s="318"/>
      <c r="V16824" s="318"/>
      <c r="W16824" s="318"/>
      <c r="X16824" s="318"/>
      <c r="Y16824" s="318"/>
      <c r="Z16824" s="318"/>
      <c r="AA16824" s="318"/>
      <c r="AB16824" s="318"/>
      <c r="AC16824" s="318"/>
      <c r="AD16824" s="318"/>
    </row>
    <row r="16825" spans="2:30" s="323" customFormat="1" ht="12" customHeight="1">
      <c r="B16825" s="324"/>
      <c r="C16825" s="325"/>
      <c r="D16825" s="326"/>
      <c r="E16825" s="326"/>
      <c r="F16825" s="326"/>
      <c r="G16825" s="326"/>
      <c r="H16825" s="326"/>
      <c r="P16825" s="318"/>
      <c r="Q16825" s="318"/>
      <c r="R16825" s="318"/>
      <c r="S16825" s="318"/>
      <c r="T16825" s="318"/>
      <c r="U16825" s="318"/>
      <c r="V16825" s="318"/>
      <c r="W16825" s="318"/>
      <c r="X16825" s="318"/>
      <c r="Y16825" s="318"/>
      <c r="Z16825" s="318"/>
      <c r="AA16825" s="318"/>
      <c r="AB16825" s="318"/>
      <c r="AC16825" s="318"/>
      <c r="AD16825" s="318"/>
    </row>
    <row r="16826" spans="2:30" s="323" customFormat="1" ht="12" customHeight="1">
      <c r="B16826" s="324"/>
      <c r="C16826" s="325"/>
      <c r="D16826" s="326"/>
      <c r="E16826" s="326"/>
      <c r="F16826" s="326"/>
      <c r="G16826" s="326"/>
      <c r="H16826" s="326"/>
      <c r="P16826" s="318"/>
      <c r="Q16826" s="318"/>
      <c r="R16826" s="318"/>
      <c r="S16826" s="318"/>
      <c r="T16826" s="318"/>
      <c r="U16826" s="318"/>
      <c r="V16826" s="318"/>
      <c r="W16826" s="318"/>
      <c r="X16826" s="318"/>
      <c r="Y16826" s="318"/>
      <c r="Z16826" s="318"/>
      <c r="AA16826" s="318"/>
      <c r="AB16826" s="318"/>
      <c r="AC16826" s="318"/>
      <c r="AD16826" s="318"/>
    </row>
    <row r="16827" spans="2:30" s="323" customFormat="1" ht="12" customHeight="1">
      <c r="B16827" s="324"/>
      <c r="C16827" s="325"/>
      <c r="D16827" s="326"/>
      <c r="E16827" s="326"/>
      <c r="F16827" s="326"/>
      <c r="G16827" s="326"/>
      <c r="H16827" s="326"/>
      <c r="P16827" s="318"/>
      <c r="Q16827" s="318"/>
      <c r="R16827" s="318"/>
      <c r="S16827" s="318"/>
      <c r="T16827" s="318"/>
      <c r="U16827" s="318"/>
      <c r="V16827" s="318"/>
      <c r="W16827" s="318"/>
      <c r="X16827" s="318"/>
      <c r="Y16827" s="318"/>
      <c r="Z16827" s="318"/>
      <c r="AA16827" s="318"/>
      <c r="AB16827" s="318"/>
      <c r="AC16827" s="318"/>
      <c r="AD16827" s="318"/>
    </row>
    <row r="16828" spans="2:30" s="323" customFormat="1" ht="12" customHeight="1">
      <c r="B16828" s="324"/>
      <c r="C16828" s="325"/>
      <c r="D16828" s="326"/>
      <c r="E16828" s="326"/>
      <c r="F16828" s="326"/>
      <c r="G16828" s="326"/>
      <c r="H16828" s="326"/>
      <c r="P16828" s="318"/>
      <c r="Q16828" s="318"/>
      <c r="R16828" s="318"/>
      <c r="S16828" s="318"/>
      <c r="T16828" s="318"/>
      <c r="U16828" s="318"/>
      <c r="V16828" s="318"/>
      <c r="W16828" s="318"/>
      <c r="X16828" s="318"/>
      <c r="Y16828" s="318"/>
      <c r="Z16828" s="318"/>
      <c r="AA16828" s="318"/>
      <c r="AB16828" s="318"/>
      <c r="AC16828" s="318"/>
      <c r="AD16828" s="318"/>
    </row>
    <row r="16829" spans="2:30" s="323" customFormat="1" ht="12" customHeight="1">
      <c r="B16829" s="324"/>
      <c r="C16829" s="325"/>
      <c r="D16829" s="326"/>
      <c r="E16829" s="326"/>
      <c r="F16829" s="326"/>
      <c r="G16829" s="326"/>
      <c r="H16829" s="326"/>
      <c r="P16829" s="318"/>
      <c r="Q16829" s="318"/>
      <c r="R16829" s="318"/>
      <c r="S16829" s="318"/>
      <c r="T16829" s="318"/>
      <c r="U16829" s="318"/>
      <c r="V16829" s="318"/>
      <c r="W16829" s="318"/>
      <c r="X16829" s="318"/>
      <c r="Y16829" s="318"/>
      <c r="Z16829" s="318"/>
      <c r="AA16829" s="318"/>
      <c r="AB16829" s="318"/>
      <c r="AC16829" s="318"/>
      <c r="AD16829" s="318"/>
    </row>
    <row r="16830" spans="2:30" s="323" customFormat="1" ht="12" customHeight="1">
      <c r="B16830" s="324"/>
      <c r="C16830" s="325"/>
      <c r="D16830" s="326"/>
      <c r="E16830" s="326"/>
      <c r="F16830" s="326"/>
      <c r="G16830" s="326"/>
      <c r="H16830" s="326"/>
      <c r="P16830" s="318"/>
      <c r="Q16830" s="318"/>
      <c r="R16830" s="318"/>
      <c r="S16830" s="318"/>
      <c r="T16830" s="318"/>
      <c r="U16830" s="318"/>
      <c r="V16830" s="318"/>
      <c r="W16830" s="318"/>
      <c r="X16830" s="318"/>
      <c r="Y16830" s="318"/>
      <c r="Z16830" s="318"/>
      <c r="AA16830" s="318"/>
      <c r="AB16830" s="318"/>
      <c r="AC16830" s="318"/>
      <c r="AD16830" s="318"/>
    </row>
    <row r="16831" spans="2:30" s="323" customFormat="1" ht="12" customHeight="1">
      <c r="B16831" s="324"/>
      <c r="C16831" s="325"/>
      <c r="D16831" s="326"/>
      <c r="E16831" s="326"/>
      <c r="F16831" s="326"/>
      <c r="G16831" s="326"/>
      <c r="H16831" s="326"/>
      <c r="P16831" s="318"/>
      <c r="Q16831" s="318"/>
      <c r="R16831" s="318"/>
      <c r="S16831" s="318"/>
      <c r="T16831" s="318"/>
      <c r="U16831" s="318"/>
      <c r="V16831" s="318"/>
      <c r="W16831" s="318"/>
      <c r="X16831" s="318"/>
      <c r="Y16831" s="318"/>
      <c r="Z16831" s="318"/>
      <c r="AA16831" s="318"/>
      <c r="AB16831" s="318"/>
      <c r="AC16831" s="318"/>
      <c r="AD16831" s="318"/>
    </row>
    <row r="16832" spans="2:30" s="323" customFormat="1" ht="12" customHeight="1">
      <c r="B16832" s="324"/>
      <c r="C16832" s="325"/>
      <c r="D16832" s="326"/>
      <c r="E16832" s="326"/>
      <c r="F16832" s="326"/>
      <c r="G16832" s="326"/>
      <c r="H16832" s="326"/>
      <c r="P16832" s="318"/>
      <c r="Q16832" s="318"/>
      <c r="R16832" s="318"/>
      <c r="S16832" s="318"/>
      <c r="T16832" s="318"/>
      <c r="U16832" s="318"/>
      <c r="V16832" s="318"/>
      <c r="W16832" s="318"/>
      <c r="X16832" s="318"/>
      <c r="Y16832" s="318"/>
      <c r="Z16832" s="318"/>
      <c r="AA16832" s="318"/>
      <c r="AB16832" s="318"/>
      <c r="AC16832" s="318"/>
      <c r="AD16832" s="318"/>
    </row>
    <row r="16833" spans="2:30" s="323" customFormat="1" ht="12" customHeight="1">
      <c r="B16833" s="324"/>
      <c r="C16833" s="325"/>
      <c r="D16833" s="326"/>
      <c r="E16833" s="326"/>
      <c r="F16833" s="326"/>
      <c r="G16833" s="326"/>
      <c r="H16833" s="326"/>
      <c r="P16833" s="318"/>
      <c r="Q16833" s="318"/>
      <c r="R16833" s="318"/>
      <c r="S16833" s="318"/>
      <c r="T16833" s="318"/>
      <c r="U16833" s="318"/>
      <c r="V16833" s="318"/>
      <c r="W16833" s="318"/>
      <c r="X16833" s="318"/>
      <c r="Y16833" s="318"/>
      <c r="Z16833" s="318"/>
      <c r="AA16833" s="318"/>
      <c r="AB16833" s="318"/>
      <c r="AC16833" s="318"/>
      <c r="AD16833" s="318"/>
    </row>
    <row r="16834" spans="2:30" s="323" customFormat="1" ht="12" customHeight="1">
      <c r="B16834" s="324"/>
      <c r="C16834" s="325"/>
      <c r="D16834" s="326"/>
      <c r="E16834" s="326"/>
      <c r="F16834" s="326"/>
      <c r="G16834" s="326"/>
      <c r="H16834" s="326"/>
      <c r="P16834" s="318"/>
      <c r="Q16834" s="318"/>
      <c r="R16834" s="318"/>
      <c r="S16834" s="318"/>
      <c r="T16834" s="318"/>
      <c r="U16834" s="318"/>
      <c r="V16834" s="318"/>
      <c r="W16834" s="318"/>
      <c r="X16834" s="318"/>
      <c r="Y16834" s="318"/>
      <c r="Z16834" s="318"/>
      <c r="AA16834" s="318"/>
      <c r="AB16834" s="318"/>
      <c r="AC16834" s="318"/>
      <c r="AD16834" s="318"/>
    </row>
    <row r="16835" spans="2:30" s="323" customFormat="1" ht="12" customHeight="1">
      <c r="B16835" s="324"/>
      <c r="C16835" s="325"/>
      <c r="D16835" s="326"/>
      <c r="E16835" s="326"/>
      <c r="F16835" s="326"/>
      <c r="G16835" s="326"/>
      <c r="H16835" s="326"/>
      <c r="P16835" s="318"/>
      <c r="Q16835" s="318"/>
      <c r="R16835" s="318"/>
      <c r="S16835" s="318"/>
      <c r="T16835" s="318"/>
      <c r="U16835" s="318"/>
      <c r="V16835" s="318"/>
      <c r="W16835" s="318"/>
      <c r="X16835" s="318"/>
      <c r="Y16835" s="318"/>
      <c r="Z16835" s="318"/>
      <c r="AA16835" s="318"/>
      <c r="AB16835" s="318"/>
      <c r="AC16835" s="318"/>
      <c r="AD16835" s="318"/>
    </row>
    <row r="16836" spans="2:30" s="323" customFormat="1" ht="12" customHeight="1">
      <c r="B16836" s="324"/>
      <c r="C16836" s="325"/>
      <c r="D16836" s="326"/>
      <c r="E16836" s="326"/>
      <c r="F16836" s="326"/>
      <c r="G16836" s="326"/>
      <c r="H16836" s="326"/>
      <c r="P16836" s="318"/>
      <c r="Q16836" s="318"/>
      <c r="R16836" s="318"/>
      <c r="S16836" s="318"/>
      <c r="T16836" s="318"/>
      <c r="U16836" s="318"/>
      <c r="V16836" s="318"/>
      <c r="W16836" s="318"/>
      <c r="X16836" s="318"/>
      <c r="Y16836" s="318"/>
      <c r="Z16836" s="318"/>
      <c r="AA16836" s="318"/>
      <c r="AB16836" s="318"/>
      <c r="AC16836" s="318"/>
      <c r="AD16836" s="318"/>
    </row>
    <row r="16837" spans="2:30" s="323" customFormat="1" ht="12" customHeight="1">
      <c r="B16837" s="324"/>
      <c r="C16837" s="325"/>
      <c r="D16837" s="326"/>
      <c r="E16837" s="326"/>
      <c r="F16837" s="326"/>
      <c r="G16837" s="326"/>
      <c r="H16837" s="326"/>
      <c r="P16837" s="318"/>
      <c r="Q16837" s="318"/>
      <c r="R16837" s="318"/>
      <c r="S16837" s="318"/>
      <c r="T16837" s="318"/>
      <c r="U16837" s="318"/>
      <c r="V16837" s="318"/>
      <c r="W16837" s="318"/>
      <c r="X16837" s="318"/>
      <c r="Y16837" s="318"/>
      <c r="Z16837" s="318"/>
      <c r="AA16837" s="318"/>
      <c r="AB16837" s="318"/>
      <c r="AC16837" s="318"/>
      <c r="AD16837" s="318"/>
    </row>
    <row r="16838" spans="2:30" s="323" customFormat="1" ht="12" customHeight="1">
      <c r="B16838" s="324"/>
      <c r="C16838" s="325"/>
      <c r="D16838" s="326"/>
      <c r="E16838" s="326"/>
      <c r="F16838" s="326"/>
      <c r="G16838" s="326"/>
      <c r="H16838" s="326"/>
      <c r="P16838" s="318"/>
      <c r="Q16838" s="318"/>
      <c r="R16838" s="318"/>
      <c r="S16838" s="318"/>
      <c r="T16838" s="318"/>
      <c r="U16838" s="318"/>
      <c r="V16838" s="318"/>
      <c r="W16838" s="318"/>
      <c r="X16838" s="318"/>
      <c r="Y16838" s="318"/>
      <c r="Z16838" s="318"/>
      <c r="AA16838" s="318"/>
      <c r="AB16838" s="318"/>
      <c r="AC16838" s="318"/>
      <c r="AD16838" s="318"/>
    </row>
    <row r="16839" spans="2:30" s="323" customFormat="1" ht="12" customHeight="1">
      <c r="B16839" s="324"/>
      <c r="C16839" s="325"/>
      <c r="D16839" s="326"/>
      <c r="E16839" s="326"/>
      <c r="F16839" s="326"/>
      <c r="G16839" s="326"/>
      <c r="H16839" s="326"/>
      <c r="P16839" s="318"/>
      <c r="Q16839" s="318"/>
      <c r="R16839" s="318"/>
      <c r="S16839" s="318"/>
      <c r="T16839" s="318"/>
      <c r="U16839" s="318"/>
      <c r="V16839" s="318"/>
      <c r="W16839" s="318"/>
      <c r="X16839" s="318"/>
      <c r="Y16839" s="318"/>
      <c r="Z16839" s="318"/>
      <c r="AA16839" s="318"/>
      <c r="AB16839" s="318"/>
      <c r="AC16839" s="318"/>
      <c r="AD16839" s="318"/>
    </row>
    <row r="16840" spans="2:30" s="323" customFormat="1" ht="12" customHeight="1">
      <c r="B16840" s="324"/>
      <c r="C16840" s="325"/>
      <c r="D16840" s="326"/>
      <c r="E16840" s="326"/>
      <c r="F16840" s="326"/>
      <c r="G16840" s="326"/>
      <c r="H16840" s="326"/>
      <c r="P16840" s="318"/>
      <c r="Q16840" s="318"/>
      <c r="R16840" s="318"/>
      <c r="S16840" s="318"/>
      <c r="T16840" s="318"/>
      <c r="U16840" s="318"/>
      <c r="V16840" s="318"/>
      <c r="W16840" s="318"/>
      <c r="X16840" s="318"/>
      <c r="Y16840" s="318"/>
      <c r="Z16840" s="318"/>
      <c r="AA16840" s="318"/>
      <c r="AB16840" s="318"/>
      <c r="AC16840" s="318"/>
      <c r="AD16840" s="318"/>
    </row>
    <row r="16841" spans="2:30" s="323" customFormat="1" ht="12" customHeight="1">
      <c r="B16841" s="324"/>
      <c r="C16841" s="325"/>
      <c r="D16841" s="326"/>
      <c r="E16841" s="326"/>
      <c r="F16841" s="326"/>
      <c r="G16841" s="326"/>
      <c r="H16841" s="326"/>
      <c r="P16841" s="318"/>
      <c r="Q16841" s="318"/>
      <c r="R16841" s="318"/>
      <c r="S16841" s="318"/>
      <c r="T16841" s="318"/>
      <c r="U16841" s="318"/>
      <c r="V16841" s="318"/>
      <c r="W16841" s="318"/>
      <c r="X16841" s="318"/>
      <c r="Y16841" s="318"/>
      <c r="Z16841" s="318"/>
      <c r="AA16841" s="318"/>
      <c r="AB16841" s="318"/>
      <c r="AC16841" s="318"/>
      <c r="AD16841" s="318"/>
    </row>
    <row r="16842" spans="2:30" s="323" customFormat="1" ht="12" customHeight="1">
      <c r="B16842" s="324"/>
      <c r="C16842" s="325"/>
      <c r="D16842" s="326"/>
      <c r="E16842" s="326"/>
      <c r="F16842" s="326"/>
      <c r="G16842" s="326"/>
      <c r="H16842" s="326"/>
      <c r="P16842" s="318"/>
      <c r="Q16842" s="318"/>
      <c r="R16842" s="318"/>
      <c r="S16842" s="318"/>
      <c r="T16842" s="318"/>
      <c r="U16842" s="318"/>
      <c r="V16842" s="318"/>
      <c r="W16842" s="318"/>
      <c r="X16842" s="318"/>
      <c r="Y16842" s="318"/>
      <c r="Z16842" s="318"/>
      <c r="AA16842" s="318"/>
      <c r="AB16842" s="318"/>
      <c r="AC16842" s="318"/>
      <c r="AD16842" s="318"/>
    </row>
    <row r="16843" spans="2:30" s="323" customFormat="1" ht="12" customHeight="1">
      <c r="B16843" s="324"/>
      <c r="C16843" s="325"/>
      <c r="D16843" s="326"/>
      <c r="E16843" s="326"/>
      <c r="F16843" s="326"/>
      <c r="G16843" s="326"/>
      <c r="H16843" s="326"/>
      <c r="P16843" s="318"/>
      <c r="Q16843" s="318"/>
      <c r="R16843" s="318"/>
      <c r="S16843" s="318"/>
      <c r="T16843" s="318"/>
      <c r="U16843" s="318"/>
      <c r="V16843" s="318"/>
      <c r="W16843" s="318"/>
      <c r="X16843" s="318"/>
      <c r="Y16843" s="318"/>
      <c r="Z16843" s="318"/>
      <c r="AA16843" s="318"/>
      <c r="AB16843" s="318"/>
      <c r="AC16843" s="318"/>
      <c r="AD16843" s="318"/>
    </row>
    <row r="16844" spans="2:30" s="323" customFormat="1" ht="12" customHeight="1">
      <c r="B16844" s="324"/>
      <c r="C16844" s="325"/>
      <c r="D16844" s="326"/>
      <c r="E16844" s="326"/>
      <c r="F16844" s="326"/>
      <c r="G16844" s="326"/>
      <c r="H16844" s="326"/>
      <c r="P16844" s="318"/>
      <c r="Q16844" s="318"/>
      <c r="R16844" s="318"/>
      <c r="S16844" s="318"/>
      <c r="T16844" s="318"/>
      <c r="U16844" s="318"/>
      <c r="V16844" s="318"/>
      <c r="W16844" s="318"/>
      <c r="X16844" s="318"/>
      <c r="Y16844" s="318"/>
      <c r="Z16844" s="318"/>
      <c r="AA16844" s="318"/>
      <c r="AB16844" s="318"/>
      <c r="AC16844" s="318"/>
      <c r="AD16844" s="318"/>
    </row>
    <row r="16845" spans="2:30" s="323" customFormat="1" ht="12" customHeight="1">
      <c r="B16845" s="324"/>
      <c r="C16845" s="325"/>
      <c r="D16845" s="326"/>
      <c r="E16845" s="326"/>
      <c r="F16845" s="326"/>
      <c r="G16845" s="326"/>
      <c r="H16845" s="326"/>
      <c r="P16845" s="318"/>
      <c r="Q16845" s="318"/>
      <c r="R16845" s="318"/>
      <c r="S16845" s="318"/>
      <c r="T16845" s="318"/>
      <c r="U16845" s="318"/>
      <c r="V16845" s="318"/>
      <c r="W16845" s="318"/>
      <c r="X16845" s="318"/>
      <c r="Y16845" s="318"/>
      <c r="Z16845" s="318"/>
      <c r="AA16845" s="318"/>
      <c r="AB16845" s="318"/>
      <c r="AC16845" s="318"/>
      <c r="AD16845" s="318"/>
    </row>
    <row r="16846" spans="2:30" s="323" customFormat="1" ht="12" customHeight="1">
      <c r="B16846" s="324"/>
      <c r="C16846" s="325"/>
      <c r="D16846" s="326"/>
      <c r="E16846" s="326"/>
      <c r="F16846" s="326"/>
      <c r="G16846" s="326"/>
      <c r="H16846" s="326"/>
      <c r="P16846" s="318"/>
      <c r="Q16846" s="318"/>
      <c r="R16846" s="318"/>
      <c r="S16846" s="318"/>
      <c r="T16846" s="318"/>
      <c r="U16846" s="318"/>
      <c r="V16846" s="318"/>
      <c r="W16846" s="318"/>
      <c r="X16846" s="318"/>
      <c r="Y16846" s="318"/>
      <c r="Z16846" s="318"/>
      <c r="AA16846" s="318"/>
      <c r="AB16846" s="318"/>
      <c r="AC16846" s="318"/>
      <c r="AD16846" s="318"/>
    </row>
    <row r="16847" spans="2:30" s="323" customFormat="1" ht="12" customHeight="1">
      <c r="B16847" s="324"/>
      <c r="C16847" s="325"/>
      <c r="D16847" s="326"/>
      <c r="E16847" s="326"/>
      <c r="F16847" s="326"/>
      <c r="G16847" s="326"/>
      <c r="H16847" s="326"/>
      <c r="P16847" s="318"/>
      <c r="Q16847" s="318"/>
      <c r="R16847" s="318"/>
      <c r="S16847" s="318"/>
      <c r="T16847" s="318"/>
      <c r="U16847" s="318"/>
      <c r="V16847" s="318"/>
      <c r="W16847" s="318"/>
      <c r="X16847" s="318"/>
      <c r="Y16847" s="318"/>
      <c r="Z16847" s="318"/>
      <c r="AA16847" s="318"/>
      <c r="AB16847" s="318"/>
      <c r="AC16847" s="318"/>
      <c r="AD16847" s="318"/>
    </row>
    <row r="16848" spans="2:30" s="323" customFormat="1" ht="12" customHeight="1">
      <c r="B16848" s="324"/>
      <c r="C16848" s="325"/>
      <c r="D16848" s="326"/>
      <c r="E16848" s="326"/>
      <c r="F16848" s="326"/>
      <c r="G16848" s="326"/>
      <c r="H16848" s="326"/>
      <c r="P16848" s="318"/>
      <c r="Q16848" s="318"/>
      <c r="R16848" s="318"/>
      <c r="S16848" s="318"/>
      <c r="T16848" s="318"/>
      <c r="U16848" s="318"/>
      <c r="V16848" s="318"/>
      <c r="W16848" s="318"/>
      <c r="X16848" s="318"/>
      <c r="Y16848" s="318"/>
      <c r="Z16848" s="318"/>
      <c r="AA16848" s="318"/>
      <c r="AB16848" s="318"/>
      <c r="AC16848" s="318"/>
      <c r="AD16848" s="318"/>
    </row>
    <row r="16849" spans="2:30" s="323" customFormat="1" ht="12" customHeight="1">
      <c r="B16849" s="324"/>
      <c r="C16849" s="325"/>
      <c r="D16849" s="326"/>
      <c r="E16849" s="326"/>
      <c r="F16849" s="326"/>
      <c r="G16849" s="326"/>
      <c r="H16849" s="326"/>
      <c r="P16849" s="318"/>
      <c r="Q16849" s="318"/>
      <c r="R16849" s="318"/>
      <c r="S16849" s="318"/>
      <c r="T16849" s="318"/>
      <c r="U16849" s="318"/>
      <c r="V16849" s="318"/>
      <c r="W16849" s="318"/>
      <c r="X16849" s="318"/>
      <c r="Y16849" s="318"/>
      <c r="Z16849" s="318"/>
      <c r="AA16849" s="318"/>
      <c r="AB16849" s="318"/>
      <c r="AC16849" s="318"/>
      <c r="AD16849" s="318"/>
    </row>
    <row r="16850" spans="2:30" s="323" customFormat="1" ht="12" customHeight="1">
      <c r="B16850" s="324"/>
      <c r="C16850" s="325"/>
      <c r="D16850" s="326"/>
      <c r="E16850" s="326"/>
      <c r="F16850" s="326"/>
      <c r="G16850" s="326"/>
      <c r="H16850" s="326"/>
      <c r="P16850" s="318"/>
      <c r="Q16850" s="318"/>
      <c r="R16850" s="318"/>
      <c r="S16850" s="318"/>
      <c r="T16850" s="318"/>
      <c r="U16850" s="318"/>
      <c r="V16850" s="318"/>
      <c r="W16850" s="318"/>
      <c r="X16850" s="318"/>
      <c r="Y16850" s="318"/>
      <c r="Z16850" s="318"/>
      <c r="AA16850" s="318"/>
      <c r="AB16850" s="318"/>
      <c r="AC16850" s="318"/>
      <c r="AD16850" s="318"/>
    </row>
    <row r="16851" spans="2:30" s="323" customFormat="1" ht="12" customHeight="1">
      <c r="B16851" s="324"/>
      <c r="C16851" s="325"/>
      <c r="D16851" s="326"/>
      <c r="E16851" s="326"/>
      <c r="F16851" s="326"/>
      <c r="G16851" s="326"/>
      <c r="H16851" s="326"/>
      <c r="P16851" s="318"/>
      <c r="Q16851" s="318"/>
      <c r="R16851" s="318"/>
      <c r="S16851" s="318"/>
      <c r="T16851" s="318"/>
      <c r="U16851" s="318"/>
      <c r="V16851" s="318"/>
      <c r="W16851" s="318"/>
      <c r="X16851" s="318"/>
      <c r="Y16851" s="318"/>
      <c r="Z16851" s="318"/>
      <c r="AA16851" s="318"/>
      <c r="AB16851" s="318"/>
      <c r="AC16851" s="318"/>
      <c r="AD16851" s="318"/>
    </row>
    <row r="16852" spans="2:30" s="323" customFormat="1" ht="12" customHeight="1">
      <c r="B16852" s="324"/>
      <c r="C16852" s="325"/>
      <c r="D16852" s="326"/>
      <c r="E16852" s="326"/>
      <c r="F16852" s="326"/>
      <c r="G16852" s="326"/>
      <c r="H16852" s="326"/>
      <c r="P16852" s="318"/>
      <c r="Q16852" s="318"/>
      <c r="R16852" s="318"/>
      <c r="S16852" s="318"/>
      <c r="T16852" s="318"/>
      <c r="U16852" s="318"/>
      <c r="V16852" s="318"/>
      <c r="W16852" s="318"/>
      <c r="X16852" s="318"/>
      <c r="Y16852" s="318"/>
      <c r="Z16852" s="318"/>
      <c r="AA16852" s="318"/>
      <c r="AB16852" s="318"/>
      <c r="AC16852" s="318"/>
      <c r="AD16852" s="318"/>
    </row>
    <row r="16853" spans="2:30" s="323" customFormat="1" ht="12" customHeight="1">
      <c r="B16853" s="324"/>
      <c r="C16853" s="325"/>
      <c r="D16853" s="326"/>
      <c r="E16853" s="326"/>
      <c r="F16853" s="326"/>
      <c r="G16853" s="326"/>
      <c r="H16853" s="326"/>
      <c r="P16853" s="318"/>
      <c r="Q16853" s="318"/>
      <c r="R16853" s="318"/>
      <c r="S16853" s="318"/>
      <c r="T16853" s="318"/>
      <c r="U16853" s="318"/>
      <c r="V16853" s="318"/>
      <c r="W16853" s="318"/>
      <c r="X16853" s="318"/>
      <c r="Y16853" s="318"/>
      <c r="Z16853" s="318"/>
      <c r="AA16853" s="318"/>
      <c r="AB16853" s="318"/>
      <c r="AC16853" s="318"/>
      <c r="AD16853" s="318"/>
    </row>
    <row r="16854" spans="2:30" s="323" customFormat="1" ht="12" customHeight="1">
      <c r="B16854" s="324"/>
      <c r="C16854" s="325"/>
      <c r="D16854" s="326"/>
      <c r="E16854" s="326"/>
      <c r="F16854" s="326"/>
      <c r="G16854" s="326"/>
      <c r="H16854" s="326"/>
      <c r="P16854" s="318"/>
      <c r="Q16854" s="318"/>
      <c r="R16854" s="318"/>
      <c r="S16854" s="318"/>
      <c r="T16854" s="318"/>
      <c r="U16854" s="318"/>
      <c r="V16854" s="318"/>
      <c r="W16854" s="318"/>
      <c r="X16854" s="318"/>
      <c r="Y16854" s="318"/>
      <c r="Z16854" s="318"/>
      <c r="AA16854" s="318"/>
      <c r="AB16854" s="318"/>
      <c r="AC16854" s="318"/>
      <c r="AD16854" s="318"/>
    </row>
    <row r="16855" spans="2:30" s="323" customFormat="1" ht="12" customHeight="1">
      <c r="B16855" s="324"/>
      <c r="C16855" s="325"/>
      <c r="D16855" s="326"/>
      <c r="E16855" s="326"/>
      <c r="F16855" s="326"/>
      <c r="G16855" s="326"/>
      <c r="H16855" s="326"/>
      <c r="P16855" s="318"/>
      <c r="Q16855" s="318"/>
      <c r="R16855" s="318"/>
      <c r="S16855" s="318"/>
      <c r="T16855" s="318"/>
      <c r="U16855" s="318"/>
      <c r="V16855" s="318"/>
      <c r="W16855" s="318"/>
      <c r="X16855" s="318"/>
      <c r="Y16855" s="318"/>
      <c r="Z16855" s="318"/>
      <c r="AA16855" s="318"/>
      <c r="AB16855" s="318"/>
      <c r="AC16855" s="318"/>
      <c r="AD16855" s="318"/>
    </row>
    <row r="16856" spans="2:30" s="323" customFormat="1" ht="12" customHeight="1">
      <c r="B16856" s="324"/>
      <c r="C16856" s="325"/>
      <c r="D16856" s="326"/>
      <c r="E16856" s="326"/>
      <c r="F16856" s="326"/>
      <c r="G16856" s="326"/>
      <c r="H16856" s="326"/>
      <c r="P16856" s="318"/>
      <c r="Q16856" s="318"/>
      <c r="R16856" s="318"/>
      <c r="S16856" s="318"/>
      <c r="T16856" s="318"/>
      <c r="U16856" s="318"/>
      <c r="V16856" s="318"/>
      <c r="W16856" s="318"/>
      <c r="X16856" s="318"/>
      <c r="Y16856" s="318"/>
      <c r="Z16856" s="318"/>
      <c r="AA16856" s="318"/>
      <c r="AB16856" s="318"/>
      <c r="AC16856" s="318"/>
      <c r="AD16856" s="318"/>
    </row>
    <row r="16857" spans="2:30" s="323" customFormat="1" ht="12" customHeight="1">
      <c r="B16857" s="324"/>
      <c r="C16857" s="325"/>
      <c r="D16857" s="326"/>
      <c r="E16857" s="326"/>
      <c r="F16857" s="326"/>
      <c r="G16857" s="326"/>
      <c r="H16857" s="326"/>
      <c r="P16857" s="318"/>
      <c r="Q16857" s="318"/>
      <c r="R16857" s="318"/>
      <c r="S16857" s="318"/>
      <c r="T16857" s="318"/>
      <c r="U16857" s="318"/>
      <c r="V16857" s="318"/>
      <c r="W16857" s="318"/>
      <c r="X16857" s="318"/>
      <c r="Y16857" s="318"/>
      <c r="Z16857" s="318"/>
      <c r="AA16857" s="318"/>
      <c r="AB16857" s="318"/>
      <c r="AC16857" s="318"/>
      <c r="AD16857" s="318"/>
    </row>
    <row r="16858" spans="2:30" s="323" customFormat="1" ht="12" customHeight="1">
      <c r="B16858" s="324"/>
      <c r="C16858" s="325"/>
      <c r="D16858" s="326"/>
      <c r="E16858" s="326"/>
      <c r="F16858" s="326"/>
      <c r="G16858" s="326"/>
      <c r="H16858" s="326"/>
      <c r="P16858" s="318"/>
      <c r="Q16858" s="318"/>
      <c r="R16858" s="318"/>
      <c r="S16858" s="318"/>
      <c r="T16858" s="318"/>
      <c r="U16858" s="318"/>
      <c r="V16858" s="318"/>
      <c r="W16858" s="318"/>
      <c r="X16858" s="318"/>
      <c r="Y16858" s="318"/>
      <c r="Z16858" s="318"/>
      <c r="AA16858" s="318"/>
      <c r="AB16858" s="318"/>
      <c r="AC16858" s="318"/>
      <c r="AD16858" s="318"/>
    </row>
    <row r="16859" spans="2:30" s="323" customFormat="1" ht="12" customHeight="1">
      <c r="B16859" s="324"/>
      <c r="C16859" s="325"/>
      <c r="D16859" s="326"/>
      <c r="E16859" s="326"/>
      <c r="F16859" s="326"/>
      <c r="G16859" s="326"/>
      <c r="H16859" s="326"/>
      <c r="P16859" s="318"/>
      <c r="Q16859" s="318"/>
      <c r="R16859" s="318"/>
      <c r="S16859" s="318"/>
      <c r="T16859" s="318"/>
      <c r="U16859" s="318"/>
      <c r="V16859" s="318"/>
      <c r="W16859" s="318"/>
      <c r="X16859" s="318"/>
      <c r="Y16859" s="318"/>
      <c r="Z16859" s="318"/>
      <c r="AA16859" s="318"/>
      <c r="AB16859" s="318"/>
      <c r="AC16859" s="318"/>
      <c r="AD16859" s="318"/>
    </row>
    <row r="16860" spans="2:30" s="323" customFormat="1" ht="12" customHeight="1">
      <c r="B16860" s="324"/>
      <c r="C16860" s="325"/>
      <c r="D16860" s="326"/>
      <c r="E16860" s="326"/>
      <c r="F16860" s="326"/>
      <c r="G16860" s="326"/>
      <c r="H16860" s="326"/>
      <c r="P16860" s="318"/>
      <c r="Q16860" s="318"/>
      <c r="R16860" s="318"/>
      <c r="S16860" s="318"/>
      <c r="T16860" s="318"/>
      <c r="U16860" s="318"/>
      <c r="V16860" s="318"/>
      <c r="W16860" s="318"/>
      <c r="X16860" s="318"/>
      <c r="Y16860" s="318"/>
      <c r="Z16860" s="318"/>
      <c r="AA16860" s="318"/>
      <c r="AB16860" s="318"/>
      <c r="AC16860" s="318"/>
      <c r="AD16860" s="318"/>
    </row>
    <row r="16861" spans="2:30" s="323" customFormat="1" ht="12" customHeight="1">
      <c r="B16861" s="324"/>
      <c r="C16861" s="325"/>
      <c r="D16861" s="326"/>
      <c r="E16861" s="326"/>
      <c r="F16861" s="326"/>
      <c r="G16861" s="326"/>
      <c r="H16861" s="326"/>
      <c r="P16861" s="318"/>
      <c r="Q16861" s="318"/>
      <c r="R16861" s="318"/>
      <c r="S16861" s="318"/>
      <c r="T16861" s="318"/>
      <c r="U16861" s="318"/>
      <c r="V16861" s="318"/>
      <c r="W16861" s="318"/>
      <c r="X16861" s="318"/>
      <c r="Y16861" s="318"/>
      <c r="Z16861" s="318"/>
      <c r="AA16861" s="318"/>
      <c r="AB16861" s="318"/>
      <c r="AC16861" s="318"/>
      <c r="AD16861" s="318"/>
    </row>
    <row r="16862" spans="2:30" s="323" customFormat="1" ht="12" customHeight="1">
      <c r="B16862" s="324"/>
      <c r="C16862" s="325"/>
      <c r="D16862" s="326"/>
      <c r="E16862" s="326"/>
      <c r="F16862" s="326"/>
      <c r="G16862" s="326"/>
      <c r="H16862" s="326"/>
      <c r="P16862" s="318"/>
      <c r="Q16862" s="318"/>
      <c r="R16862" s="318"/>
      <c r="S16862" s="318"/>
      <c r="T16862" s="318"/>
      <c r="U16862" s="318"/>
      <c r="V16862" s="318"/>
      <c r="W16862" s="318"/>
      <c r="X16862" s="318"/>
      <c r="Y16862" s="318"/>
      <c r="Z16862" s="318"/>
      <c r="AA16862" s="318"/>
      <c r="AB16862" s="318"/>
      <c r="AC16862" s="318"/>
      <c r="AD16862" s="318"/>
    </row>
    <row r="16863" spans="2:30" s="323" customFormat="1" ht="12" customHeight="1">
      <c r="B16863" s="324"/>
      <c r="C16863" s="325"/>
      <c r="D16863" s="326"/>
      <c r="E16863" s="326"/>
      <c r="F16863" s="326"/>
      <c r="G16863" s="326"/>
      <c r="H16863" s="326"/>
      <c r="P16863" s="318"/>
      <c r="Q16863" s="318"/>
      <c r="R16863" s="318"/>
      <c r="S16863" s="318"/>
      <c r="T16863" s="318"/>
      <c r="U16863" s="318"/>
      <c r="V16863" s="318"/>
      <c r="W16863" s="318"/>
      <c r="X16863" s="318"/>
      <c r="Y16863" s="318"/>
      <c r="Z16863" s="318"/>
      <c r="AA16863" s="318"/>
      <c r="AB16863" s="318"/>
      <c r="AC16863" s="318"/>
      <c r="AD16863" s="318"/>
    </row>
    <row r="16864" spans="2:30" s="323" customFormat="1" ht="12" customHeight="1">
      <c r="B16864" s="324"/>
      <c r="C16864" s="325"/>
      <c r="D16864" s="326"/>
      <c r="E16864" s="326"/>
      <c r="F16864" s="326"/>
      <c r="G16864" s="326"/>
      <c r="H16864" s="326"/>
      <c r="P16864" s="318"/>
      <c r="Q16864" s="318"/>
      <c r="R16864" s="318"/>
      <c r="S16864" s="318"/>
      <c r="T16864" s="318"/>
      <c r="U16864" s="318"/>
      <c r="V16864" s="318"/>
      <c r="W16864" s="318"/>
      <c r="X16864" s="318"/>
      <c r="Y16864" s="318"/>
      <c r="Z16864" s="318"/>
      <c r="AA16864" s="318"/>
      <c r="AB16864" s="318"/>
      <c r="AC16864" s="318"/>
      <c r="AD16864" s="318"/>
    </row>
    <row r="16865" spans="2:30" s="323" customFormat="1" ht="12" customHeight="1">
      <c r="B16865" s="324"/>
      <c r="C16865" s="325"/>
      <c r="D16865" s="326"/>
      <c r="E16865" s="326"/>
      <c r="F16865" s="326"/>
      <c r="G16865" s="326"/>
      <c r="H16865" s="326"/>
      <c r="P16865" s="318"/>
      <c r="Q16865" s="318"/>
      <c r="R16865" s="318"/>
      <c r="S16865" s="318"/>
      <c r="T16865" s="318"/>
      <c r="U16865" s="318"/>
      <c r="V16865" s="318"/>
      <c r="W16865" s="318"/>
      <c r="X16865" s="318"/>
      <c r="Y16865" s="318"/>
      <c r="Z16865" s="318"/>
      <c r="AA16865" s="318"/>
      <c r="AB16865" s="318"/>
      <c r="AC16865" s="318"/>
      <c r="AD16865" s="318"/>
    </row>
    <row r="16866" spans="2:30" s="323" customFormat="1" ht="12" customHeight="1">
      <c r="B16866" s="324"/>
      <c r="C16866" s="325"/>
      <c r="D16866" s="326"/>
      <c r="E16866" s="326"/>
      <c r="F16866" s="326"/>
      <c r="G16866" s="326"/>
      <c r="H16866" s="326"/>
      <c r="P16866" s="318"/>
      <c r="Q16866" s="318"/>
      <c r="R16866" s="318"/>
      <c r="S16866" s="318"/>
      <c r="T16866" s="318"/>
      <c r="U16866" s="318"/>
      <c r="V16866" s="318"/>
      <c r="W16866" s="318"/>
      <c r="X16866" s="318"/>
      <c r="Y16866" s="318"/>
      <c r="Z16866" s="318"/>
      <c r="AA16866" s="318"/>
      <c r="AB16866" s="318"/>
      <c r="AC16866" s="318"/>
      <c r="AD16866" s="318"/>
    </row>
    <row r="16867" spans="2:30" s="323" customFormat="1" ht="12" customHeight="1">
      <c r="B16867" s="324"/>
      <c r="C16867" s="325"/>
      <c r="D16867" s="326"/>
      <c r="E16867" s="326"/>
      <c r="F16867" s="326"/>
      <c r="G16867" s="326"/>
      <c r="H16867" s="326"/>
      <c r="P16867" s="318"/>
      <c r="Q16867" s="318"/>
      <c r="R16867" s="318"/>
      <c r="S16867" s="318"/>
      <c r="T16867" s="318"/>
      <c r="U16867" s="318"/>
      <c r="V16867" s="318"/>
      <c r="W16867" s="318"/>
      <c r="X16867" s="318"/>
      <c r="Y16867" s="318"/>
      <c r="Z16867" s="318"/>
      <c r="AA16867" s="318"/>
      <c r="AB16867" s="318"/>
      <c r="AC16867" s="318"/>
      <c r="AD16867" s="318"/>
    </row>
    <row r="16868" spans="2:30" s="323" customFormat="1" ht="12" customHeight="1">
      <c r="B16868" s="324"/>
      <c r="C16868" s="325"/>
      <c r="D16868" s="326"/>
      <c r="E16868" s="326"/>
      <c r="F16868" s="326"/>
      <c r="G16868" s="326"/>
      <c r="H16868" s="326"/>
      <c r="P16868" s="318"/>
      <c r="Q16868" s="318"/>
      <c r="R16868" s="318"/>
      <c r="S16868" s="318"/>
      <c r="T16868" s="318"/>
      <c r="U16868" s="318"/>
      <c r="V16868" s="318"/>
      <c r="W16868" s="318"/>
      <c r="X16868" s="318"/>
      <c r="Y16868" s="318"/>
      <c r="Z16868" s="318"/>
      <c r="AA16868" s="318"/>
      <c r="AB16868" s="318"/>
      <c r="AC16868" s="318"/>
      <c r="AD16868" s="318"/>
    </row>
    <row r="16869" spans="2:30" s="323" customFormat="1" ht="12" customHeight="1">
      <c r="B16869" s="324"/>
      <c r="C16869" s="325"/>
      <c r="D16869" s="326"/>
      <c r="E16869" s="326"/>
      <c r="F16869" s="326"/>
      <c r="G16869" s="326"/>
      <c r="H16869" s="326"/>
      <c r="P16869" s="318"/>
      <c r="Q16869" s="318"/>
      <c r="R16869" s="318"/>
      <c r="S16869" s="318"/>
      <c r="T16869" s="318"/>
      <c r="U16869" s="318"/>
      <c r="V16869" s="318"/>
      <c r="W16869" s="318"/>
      <c r="X16869" s="318"/>
      <c r="Y16869" s="318"/>
      <c r="Z16869" s="318"/>
      <c r="AA16869" s="318"/>
      <c r="AB16869" s="318"/>
      <c r="AC16869" s="318"/>
      <c r="AD16869" s="318"/>
    </row>
    <row r="16870" spans="2:30" s="323" customFormat="1" ht="12" customHeight="1">
      <c r="B16870" s="324"/>
      <c r="C16870" s="325"/>
      <c r="D16870" s="326"/>
      <c r="E16870" s="326"/>
      <c r="F16870" s="326"/>
      <c r="G16870" s="326"/>
      <c r="H16870" s="326"/>
      <c r="P16870" s="318"/>
      <c r="Q16870" s="318"/>
      <c r="R16870" s="318"/>
      <c r="S16870" s="318"/>
      <c r="T16870" s="318"/>
      <c r="U16870" s="318"/>
      <c r="V16870" s="318"/>
      <c r="W16870" s="318"/>
      <c r="X16870" s="318"/>
      <c r="Y16870" s="318"/>
      <c r="Z16870" s="318"/>
      <c r="AA16870" s="318"/>
      <c r="AB16870" s="318"/>
      <c r="AC16870" s="318"/>
      <c r="AD16870" s="318"/>
    </row>
    <row r="16871" spans="2:30" s="323" customFormat="1" ht="12" customHeight="1">
      <c r="B16871" s="324"/>
      <c r="C16871" s="325"/>
      <c r="D16871" s="326"/>
      <c r="E16871" s="326"/>
      <c r="F16871" s="326"/>
      <c r="G16871" s="326"/>
      <c r="H16871" s="326"/>
      <c r="P16871" s="318"/>
      <c r="Q16871" s="318"/>
      <c r="R16871" s="318"/>
      <c r="S16871" s="318"/>
      <c r="T16871" s="318"/>
      <c r="U16871" s="318"/>
      <c r="V16871" s="318"/>
      <c r="W16871" s="318"/>
      <c r="X16871" s="318"/>
      <c r="Y16871" s="318"/>
      <c r="Z16871" s="318"/>
      <c r="AA16871" s="318"/>
      <c r="AB16871" s="318"/>
      <c r="AC16871" s="318"/>
      <c r="AD16871" s="318"/>
    </row>
    <row r="16872" spans="2:30" s="323" customFormat="1" ht="12" customHeight="1">
      <c r="B16872" s="324"/>
      <c r="C16872" s="325"/>
      <c r="D16872" s="326"/>
      <c r="E16872" s="326"/>
      <c r="F16872" s="326"/>
      <c r="G16872" s="326"/>
      <c r="H16872" s="326"/>
      <c r="P16872" s="318"/>
      <c r="Q16872" s="318"/>
      <c r="R16872" s="318"/>
      <c r="S16872" s="318"/>
      <c r="T16872" s="318"/>
      <c r="U16872" s="318"/>
      <c r="V16872" s="318"/>
      <c r="W16872" s="318"/>
      <c r="X16872" s="318"/>
      <c r="Y16872" s="318"/>
      <c r="Z16872" s="318"/>
      <c r="AA16872" s="318"/>
      <c r="AB16872" s="318"/>
      <c r="AC16872" s="318"/>
      <c r="AD16872" s="318"/>
    </row>
    <row r="16873" spans="2:30" s="323" customFormat="1" ht="12" customHeight="1">
      <c r="B16873" s="324"/>
      <c r="C16873" s="325"/>
      <c r="D16873" s="326"/>
      <c r="E16873" s="326"/>
      <c r="F16873" s="326"/>
      <c r="G16873" s="326"/>
      <c r="H16873" s="326"/>
      <c r="P16873" s="318"/>
      <c r="Q16873" s="318"/>
      <c r="R16873" s="318"/>
      <c r="S16873" s="318"/>
      <c r="T16873" s="318"/>
      <c r="U16873" s="318"/>
      <c r="V16873" s="318"/>
      <c r="W16873" s="318"/>
      <c r="X16873" s="318"/>
      <c r="Y16873" s="318"/>
      <c r="Z16873" s="318"/>
      <c r="AA16873" s="318"/>
      <c r="AB16873" s="318"/>
      <c r="AC16873" s="318"/>
      <c r="AD16873" s="318"/>
    </row>
    <row r="16874" spans="2:30" s="323" customFormat="1" ht="12" customHeight="1">
      <c r="B16874" s="324"/>
      <c r="C16874" s="325"/>
      <c r="D16874" s="326"/>
      <c r="E16874" s="326"/>
      <c r="F16874" s="326"/>
      <c r="G16874" s="326"/>
      <c r="H16874" s="326"/>
      <c r="P16874" s="318"/>
      <c r="Q16874" s="318"/>
      <c r="R16874" s="318"/>
      <c r="S16874" s="318"/>
      <c r="T16874" s="318"/>
      <c r="U16874" s="318"/>
      <c r="V16874" s="318"/>
      <c r="W16874" s="318"/>
      <c r="X16874" s="318"/>
      <c r="Y16874" s="318"/>
      <c r="Z16874" s="318"/>
      <c r="AA16874" s="318"/>
      <c r="AB16874" s="318"/>
      <c r="AC16874" s="318"/>
      <c r="AD16874" s="318"/>
    </row>
    <row r="16875" spans="2:30" s="323" customFormat="1" ht="12" customHeight="1">
      <c r="B16875" s="324"/>
      <c r="C16875" s="325"/>
      <c r="D16875" s="326"/>
      <c r="E16875" s="326"/>
      <c r="F16875" s="326"/>
      <c r="G16875" s="326"/>
      <c r="H16875" s="326"/>
      <c r="P16875" s="318"/>
      <c r="Q16875" s="318"/>
      <c r="R16875" s="318"/>
      <c r="S16875" s="318"/>
      <c r="T16875" s="318"/>
      <c r="U16875" s="318"/>
      <c r="V16875" s="318"/>
      <c r="W16875" s="318"/>
      <c r="X16875" s="318"/>
      <c r="Y16875" s="318"/>
      <c r="Z16875" s="318"/>
      <c r="AA16875" s="318"/>
      <c r="AB16875" s="318"/>
      <c r="AC16875" s="318"/>
      <c r="AD16875" s="318"/>
    </row>
    <row r="16876" spans="2:30" s="323" customFormat="1" ht="12" customHeight="1">
      <c r="B16876" s="324"/>
      <c r="C16876" s="325"/>
      <c r="D16876" s="326"/>
      <c r="E16876" s="326"/>
      <c r="F16876" s="326"/>
      <c r="G16876" s="326"/>
      <c r="H16876" s="326"/>
      <c r="P16876" s="318"/>
      <c r="Q16876" s="318"/>
      <c r="R16876" s="318"/>
      <c r="S16876" s="318"/>
      <c r="T16876" s="318"/>
      <c r="U16876" s="318"/>
      <c r="V16876" s="318"/>
      <c r="W16876" s="318"/>
      <c r="X16876" s="318"/>
      <c r="Y16876" s="318"/>
      <c r="Z16876" s="318"/>
      <c r="AA16876" s="318"/>
      <c r="AB16876" s="318"/>
      <c r="AC16876" s="318"/>
      <c r="AD16876" s="318"/>
    </row>
    <row r="16877" spans="2:30" s="323" customFormat="1" ht="12" customHeight="1">
      <c r="B16877" s="324"/>
      <c r="C16877" s="325"/>
      <c r="D16877" s="326"/>
      <c r="E16877" s="326"/>
      <c r="F16877" s="326"/>
      <c r="G16877" s="326"/>
      <c r="H16877" s="326"/>
      <c r="P16877" s="318"/>
      <c r="Q16877" s="318"/>
      <c r="R16877" s="318"/>
      <c r="S16877" s="318"/>
      <c r="T16877" s="318"/>
      <c r="U16877" s="318"/>
      <c r="V16877" s="318"/>
      <c r="W16877" s="318"/>
      <c r="X16877" s="318"/>
      <c r="Y16877" s="318"/>
      <c r="Z16877" s="318"/>
      <c r="AA16877" s="318"/>
      <c r="AB16877" s="318"/>
      <c r="AC16877" s="318"/>
      <c r="AD16877" s="318"/>
    </row>
    <row r="16878" spans="2:30" s="323" customFormat="1" ht="12" customHeight="1">
      <c r="B16878" s="324"/>
      <c r="C16878" s="325"/>
      <c r="D16878" s="326"/>
      <c r="E16878" s="326"/>
      <c r="F16878" s="326"/>
      <c r="G16878" s="326"/>
      <c r="H16878" s="326"/>
      <c r="P16878" s="318"/>
      <c r="Q16878" s="318"/>
      <c r="R16878" s="318"/>
      <c r="S16878" s="318"/>
      <c r="T16878" s="318"/>
      <c r="U16878" s="318"/>
      <c r="V16878" s="318"/>
      <c r="W16878" s="318"/>
      <c r="X16878" s="318"/>
      <c r="Y16878" s="318"/>
      <c r="Z16878" s="318"/>
      <c r="AA16878" s="318"/>
      <c r="AB16878" s="318"/>
      <c r="AC16878" s="318"/>
      <c r="AD16878" s="318"/>
    </row>
    <row r="16879" spans="2:30" s="323" customFormat="1" ht="12" customHeight="1">
      <c r="B16879" s="324"/>
      <c r="C16879" s="325"/>
      <c r="D16879" s="326"/>
      <c r="E16879" s="326"/>
      <c r="F16879" s="326"/>
      <c r="G16879" s="326"/>
      <c r="H16879" s="326"/>
      <c r="P16879" s="318"/>
      <c r="Q16879" s="318"/>
      <c r="R16879" s="318"/>
      <c r="S16879" s="318"/>
      <c r="T16879" s="318"/>
      <c r="U16879" s="318"/>
      <c r="V16879" s="318"/>
      <c r="W16879" s="318"/>
      <c r="X16879" s="318"/>
      <c r="Y16879" s="318"/>
      <c r="Z16879" s="318"/>
      <c r="AA16879" s="318"/>
      <c r="AB16879" s="318"/>
      <c r="AC16879" s="318"/>
      <c r="AD16879" s="318"/>
    </row>
    <row r="16880" spans="2:30" s="323" customFormat="1" ht="12" customHeight="1">
      <c r="B16880" s="324"/>
      <c r="C16880" s="325"/>
      <c r="D16880" s="326"/>
      <c r="E16880" s="326"/>
      <c r="F16880" s="326"/>
      <c r="G16880" s="326"/>
      <c r="H16880" s="326"/>
      <c r="P16880" s="318"/>
      <c r="Q16880" s="318"/>
      <c r="R16880" s="318"/>
      <c r="S16880" s="318"/>
      <c r="T16880" s="318"/>
      <c r="U16880" s="318"/>
      <c r="V16880" s="318"/>
      <c r="W16880" s="318"/>
      <c r="X16880" s="318"/>
      <c r="Y16880" s="318"/>
      <c r="Z16880" s="318"/>
      <c r="AA16880" s="318"/>
      <c r="AB16880" s="318"/>
      <c r="AC16880" s="318"/>
      <c r="AD16880" s="318"/>
    </row>
    <row r="16881" spans="2:30" s="323" customFormat="1" ht="12" customHeight="1">
      <c r="B16881" s="324"/>
      <c r="C16881" s="325"/>
      <c r="D16881" s="326"/>
      <c r="E16881" s="326"/>
      <c r="F16881" s="326"/>
      <c r="G16881" s="326"/>
      <c r="H16881" s="326"/>
      <c r="P16881" s="318"/>
      <c r="Q16881" s="318"/>
      <c r="R16881" s="318"/>
      <c r="S16881" s="318"/>
      <c r="T16881" s="318"/>
      <c r="U16881" s="318"/>
      <c r="V16881" s="318"/>
      <c r="W16881" s="318"/>
      <c r="X16881" s="318"/>
      <c r="Y16881" s="318"/>
      <c r="Z16881" s="318"/>
      <c r="AA16881" s="318"/>
      <c r="AB16881" s="318"/>
      <c r="AC16881" s="318"/>
      <c r="AD16881" s="318"/>
    </row>
    <row r="16882" spans="2:30" s="323" customFormat="1" ht="12" customHeight="1">
      <c r="B16882" s="324"/>
      <c r="C16882" s="325"/>
      <c r="D16882" s="326"/>
      <c r="E16882" s="326"/>
      <c r="F16882" s="326"/>
      <c r="G16882" s="326"/>
      <c r="H16882" s="326"/>
      <c r="P16882" s="318"/>
      <c r="Q16882" s="318"/>
      <c r="R16882" s="318"/>
      <c r="S16882" s="318"/>
      <c r="T16882" s="318"/>
      <c r="U16882" s="318"/>
      <c r="V16882" s="318"/>
      <c r="W16882" s="318"/>
      <c r="X16882" s="318"/>
      <c r="Y16882" s="318"/>
      <c r="Z16882" s="318"/>
      <c r="AA16882" s="318"/>
      <c r="AB16882" s="318"/>
      <c r="AC16882" s="318"/>
      <c r="AD16882" s="318"/>
    </row>
    <row r="16883" spans="2:30" s="323" customFormat="1" ht="12" customHeight="1">
      <c r="B16883" s="324"/>
      <c r="C16883" s="325"/>
      <c r="D16883" s="326"/>
      <c r="E16883" s="326"/>
      <c r="F16883" s="326"/>
      <c r="G16883" s="326"/>
      <c r="H16883" s="326"/>
      <c r="P16883" s="318"/>
      <c r="Q16883" s="318"/>
      <c r="R16883" s="318"/>
      <c r="S16883" s="318"/>
      <c r="T16883" s="318"/>
      <c r="U16883" s="318"/>
      <c r="V16883" s="318"/>
      <c r="W16883" s="318"/>
      <c r="X16883" s="318"/>
      <c r="Y16883" s="318"/>
      <c r="Z16883" s="318"/>
      <c r="AA16883" s="318"/>
      <c r="AB16883" s="318"/>
      <c r="AC16883" s="318"/>
      <c r="AD16883" s="318"/>
    </row>
    <row r="16884" spans="2:30" s="323" customFormat="1" ht="12" customHeight="1">
      <c r="B16884" s="324"/>
      <c r="C16884" s="325"/>
      <c r="D16884" s="326"/>
      <c r="E16884" s="326"/>
      <c r="F16884" s="326"/>
      <c r="G16884" s="326"/>
      <c r="H16884" s="326"/>
      <c r="P16884" s="318"/>
      <c r="Q16884" s="318"/>
      <c r="R16884" s="318"/>
      <c r="S16884" s="318"/>
      <c r="T16884" s="318"/>
      <c r="U16884" s="318"/>
      <c r="V16884" s="318"/>
      <c r="W16884" s="318"/>
      <c r="X16884" s="318"/>
      <c r="Y16884" s="318"/>
      <c r="Z16884" s="318"/>
      <c r="AA16884" s="318"/>
      <c r="AB16884" s="318"/>
      <c r="AC16884" s="318"/>
      <c r="AD16884" s="318"/>
    </row>
    <row r="16885" spans="2:30" s="323" customFormat="1" ht="12" customHeight="1">
      <c r="B16885" s="324"/>
      <c r="C16885" s="325"/>
      <c r="D16885" s="326"/>
      <c r="E16885" s="326"/>
      <c r="F16885" s="326"/>
      <c r="G16885" s="326"/>
      <c r="H16885" s="326"/>
      <c r="P16885" s="318"/>
      <c r="Q16885" s="318"/>
      <c r="R16885" s="318"/>
      <c r="S16885" s="318"/>
      <c r="T16885" s="318"/>
      <c r="U16885" s="318"/>
      <c r="V16885" s="318"/>
      <c r="W16885" s="318"/>
      <c r="X16885" s="318"/>
      <c r="Y16885" s="318"/>
      <c r="Z16885" s="318"/>
      <c r="AA16885" s="318"/>
      <c r="AB16885" s="318"/>
      <c r="AC16885" s="318"/>
      <c r="AD16885" s="318"/>
    </row>
    <row r="16886" spans="2:30" s="323" customFormat="1" ht="12" customHeight="1">
      <c r="B16886" s="324"/>
      <c r="C16886" s="325"/>
      <c r="D16886" s="326"/>
      <c r="E16886" s="326"/>
      <c r="F16886" s="326"/>
      <c r="G16886" s="326"/>
      <c r="H16886" s="326"/>
      <c r="P16886" s="318"/>
      <c r="Q16886" s="318"/>
      <c r="R16886" s="318"/>
      <c r="S16886" s="318"/>
      <c r="T16886" s="318"/>
      <c r="U16886" s="318"/>
      <c r="V16886" s="318"/>
      <c r="W16886" s="318"/>
      <c r="X16886" s="318"/>
      <c r="Y16886" s="318"/>
      <c r="Z16886" s="318"/>
      <c r="AA16886" s="318"/>
      <c r="AB16886" s="318"/>
      <c r="AC16886" s="318"/>
      <c r="AD16886" s="318"/>
    </row>
    <row r="16887" spans="2:30" s="323" customFormat="1" ht="12" customHeight="1">
      <c r="B16887" s="324"/>
      <c r="C16887" s="325"/>
      <c r="D16887" s="326"/>
      <c r="E16887" s="326"/>
      <c r="F16887" s="326"/>
      <c r="G16887" s="326"/>
      <c r="H16887" s="326"/>
      <c r="P16887" s="318"/>
      <c r="Q16887" s="318"/>
      <c r="R16887" s="318"/>
      <c r="S16887" s="318"/>
      <c r="T16887" s="318"/>
      <c r="U16887" s="318"/>
      <c r="V16887" s="318"/>
      <c r="W16887" s="318"/>
      <c r="X16887" s="318"/>
      <c r="Y16887" s="318"/>
      <c r="Z16887" s="318"/>
      <c r="AA16887" s="318"/>
      <c r="AB16887" s="318"/>
      <c r="AC16887" s="318"/>
      <c r="AD16887" s="318"/>
    </row>
    <row r="16888" spans="2:30" s="323" customFormat="1" ht="12" customHeight="1">
      <c r="B16888" s="324"/>
      <c r="C16888" s="325"/>
      <c r="D16888" s="326"/>
      <c r="E16888" s="326"/>
      <c r="F16888" s="326"/>
      <c r="G16888" s="326"/>
      <c r="H16888" s="326"/>
      <c r="P16888" s="318"/>
      <c r="Q16888" s="318"/>
      <c r="R16888" s="318"/>
      <c r="S16888" s="318"/>
      <c r="T16888" s="318"/>
      <c r="U16888" s="318"/>
      <c r="V16888" s="318"/>
      <c r="W16888" s="318"/>
      <c r="X16888" s="318"/>
      <c r="Y16888" s="318"/>
      <c r="Z16888" s="318"/>
      <c r="AA16888" s="318"/>
      <c r="AB16888" s="318"/>
      <c r="AC16888" s="318"/>
      <c r="AD16888" s="318"/>
    </row>
    <row r="16889" spans="2:30" s="323" customFormat="1" ht="12" customHeight="1">
      <c r="B16889" s="324"/>
      <c r="C16889" s="325"/>
      <c r="D16889" s="326"/>
      <c r="E16889" s="326"/>
      <c r="F16889" s="326"/>
      <c r="G16889" s="326"/>
      <c r="H16889" s="326"/>
      <c r="P16889" s="318"/>
      <c r="Q16889" s="318"/>
      <c r="R16889" s="318"/>
      <c r="S16889" s="318"/>
      <c r="T16889" s="318"/>
      <c r="U16889" s="318"/>
      <c r="V16889" s="318"/>
      <c r="W16889" s="318"/>
      <c r="X16889" s="318"/>
      <c r="Y16889" s="318"/>
      <c r="Z16889" s="318"/>
      <c r="AA16889" s="318"/>
      <c r="AB16889" s="318"/>
      <c r="AC16889" s="318"/>
      <c r="AD16889" s="318"/>
    </row>
    <row r="16890" spans="2:30" s="323" customFormat="1" ht="12" customHeight="1">
      <c r="B16890" s="324"/>
      <c r="C16890" s="325"/>
      <c r="D16890" s="326"/>
      <c r="E16890" s="326"/>
      <c r="F16890" s="326"/>
      <c r="G16890" s="326"/>
      <c r="H16890" s="326"/>
      <c r="P16890" s="318"/>
      <c r="Q16890" s="318"/>
      <c r="R16890" s="318"/>
      <c r="S16890" s="318"/>
      <c r="T16890" s="318"/>
      <c r="U16890" s="318"/>
      <c r="V16890" s="318"/>
      <c r="W16890" s="318"/>
      <c r="X16890" s="318"/>
      <c r="Y16890" s="318"/>
      <c r="Z16890" s="318"/>
      <c r="AA16890" s="318"/>
      <c r="AB16890" s="318"/>
      <c r="AC16890" s="318"/>
      <c r="AD16890" s="318"/>
    </row>
    <row r="16891" spans="2:30" s="323" customFormat="1" ht="12" customHeight="1">
      <c r="B16891" s="324"/>
      <c r="C16891" s="325"/>
      <c r="D16891" s="326"/>
      <c r="E16891" s="326"/>
      <c r="F16891" s="326"/>
      <c r="G16891" s="326"/>
      <c r="H16891" s="326"/>
      <c r="P16891" s="318"/>
      <c r="Q16891" s="318"/>
      <c r="R16891" s="318"/>
      <c r="S16891" s="318"/>
      <c r="T16891" s="318"/>
      <c r="U16891" s="318"/>
      <c r="V16891" s="318"/>
      <c r="W16891" s="318"/>
      <c r="X16891" s="318"/>
      <c r="Y16891" s="318"/>
      <c r="Z16891" s="318"/>
      <c r="AA16891" s="318"/>
      <c r="AB16891" s="318"/>
      <c r="AC16891" s="318"/>
      <c r="AD16891" s="318"/>
    </row>
    <row r="16892" spans="2:30" s="323" customFormat="1" ht="12" customHeight="1">
      <c r="B16892" s="324"/>
      <c r="C16892" s="325"/>
      <c r="D16892" s="326"/>
      <c r="E16892" s="326"/>
      <c r="F16892" s="326"/>
      <c r="G16892" s="326"/>
      <c r="H16892" s="326"/>
      <c r="P16892" s="318"/>
      <c r="Q16892" s="318"/>
      <c r="R16892" s="318"/>
      <c r="S16892" s="318"/>
      <c r="T16892" s="318"/>
      <c r="U16892" s="318"/>
      <c r="V16892" s="318"/>
      <c r="W16892" s="318"/>
      <c r="X16892" s="318"/>
      <c r="Y16892" s="318"/>
      <c r="Z16892" s="318"/>
      <c r="AA16892" s="318"/>
      <c r="AB16892" s="318"/>
      <c r="AC16892" s="318"/>
      <c r="AD16892" s="318"/>
    </row>
    <row r="16893" spans="2:30" s="323" customFormat="1" ht="12" customHeight="1">
      <c r="B16893" s="324"/>
      <c r="C16893" s="325"/>
      <c r="D16893" s="326"/>
      <c r="E16893" s="326"/>
      <c r="F16893" s="326"/>
      <c r="G16893" s="326"/>
      <c r="H16893" s="326"/>
      <c r="P16893" s="318"/>
      <c r="Q16893" s="318"/>
      <c r="R16893" s="318"/>
      <c r="S16893" s="318"/>
      <c r="T16893" s="318"/>
      <c r="U16893" s="318"/>
      <c r="V16893" s="318"/>
      <c r="W16893" s="318"/>
      <c r="X16893" s="318"/>
      <c r="Y16893" s="318"/>
      <c r="Z16893" s="318"/>
      <c r="AA16893" s="318"/>
      <c r="AB16893" s="318"/>
      <c r="AC16893" s="318"/>
      <c r="AD16893" s="318"/>
    </row>
    <row r="16894" spans="2:30" s="323" customFormat="1" ht="12" customHeight="1">
      <c r="B16894" s="324"/>
      <c r="C16894" s="325"/>
      <c r="D16894" s="326"/>
      <c r="E16894" s="326"/>
      <c r="F16894" s="326"/>
      <c r="G16894" s="326"/>
      <c r="H16894" s="326"/>
      <c r="P16894" s="318"/>
      <c r="Q16894" s="318"/>
      <c r="R16894" s="318"/>
      <c r="S16894" s="318"/>
      <c r="T16894" s="318"/>
      <c r="U16894" s="318"/>
      <c r="V16894" s="318"/>
      <c r="W16894" s="318"/>
      <c r="X16894" s="318"/>
      <c r="Y16894" s="318"/>
      <c r="Z16894" s="318"/>
      <c r="AA16894" s="318"/>
      <c r="AB16894" s="318"/>
      <c r="AC16894" s="318"/>
      <c r="AD16894" s="318"/>
    </row>
    <row r="16895" spans="2:30" s="323" customFormat="1" ht="12" customHeight="1">
      <c r="B16895" s="324"/>
      <c r="C16895" s="325"/>
      <c r="D16895" s="326"/>
      <c r="E16895" s="326"/>
      <c r="F16895" s="326"/>
      <c r="G16895" s="326"/>
      <c r="H16895" s="326"/>
      <c r="P16895" s="318"/>
      <c r="Q16895" s="318"/>
      <c r="R16895" s="318"/>
      <c r="S16895" s="318"/>
      <c r="T16895" s="318"/>
      <c r="U16895" s="318"/>
      <c r="V16895" s="318"/>
      <c r="W16895" s="318"/>
      <c r="X16895" s="318"/>
      <c r="Y16895" s="318"/>
      <c r="Z16895" s="318"/>
      <c r="AA16895" s="318"/>
      <c r="AB16895" s="318"/>
      <c r="AC16895" s="318"/>
      <c r="AD16895" s="318"/>
    </row>
    <row r="16896" spans="2:30" s="323" customFormat="1" ht="12" customHeight="1">
      <c r="B16896" s="324"/>
      <c r="C16896" s="325"/>
      <c r="D16896" s="326"/>
      <c r="E16896" s="326"/>
      <c r="F16896" s="326"/>
      <c r="G16896" s="326"/>
      <c r="H16896" s="326"/>
      <c r="P16896" s="318"/>
      <c r="Q16896" s="318"/>
      <c r="R16896" s="318"/>
      <c r="S16896" s="318"/>
      <c r="T16896" s="318"/>
      <c r="U16896" s="318"/>
      <c r="V16896" s="318"/>
      <c r="W16896" s="318"/>
      <c r="X16896" s="318"/>
      <c r="Y16896" s="318"/>
      <c r="Z16896" s="318"/>
      <c r="AA16896" s="318"/>
      <c r="AB16896" s="318"/>
      <c r="AC16896" s="318"/>
      <c r="AD16896" s="318"/>
    </row>
    <row r="16897" spans="2:30" s="323" customFormat="1" ht="12" customHeight="1">
      <c r="B16897" s="324"/>
      <c r="C16897" s="325"/>
      <c r="D16897" s="326"/>
      <c r="E16897" s="326"/>
      <c r="F16897" s="326"/>
      <c r="G16897" s="326"/>
      <c r="H16897" s="326"/>
      <c r="P16897" s="318"/>
      <c r="Q16897" s="318"/>
      <c r="R16897" s="318"/>
      <c r="S16897" s="318"/>
      <c r="T16897" s="318"/>
      <c r="U16897" s="318"/>
      <c r="V16897" s="318"/>
      <c r="W16897" s="318"/>
      <c r="X16897" s="318"/>
      <c r="Y16897" s="318"/>
      <c r="Z16897" s="318"/>
      <c r="AA16897" s="318"/>
      <c r="AB16897" s="318"/>
      <c r="AC16897" s="318"/>
      <c r="AD16897" s="318"/>
    </row>
    <row r="16898" spans="2:30" s="323" customFormat="1" ht="12" customHeight="1">
      <c r="B16898" s="324"/>
      <c r="C16898" s="325"/>
      <c r="D16898" s="326"/>
      <c r="E16898" s="326"/>
      <c r="F16898" s="326"/>
      <c r="G16898" s="326"/>
      <c r="H16898" s="326"/>
      <c r="P16898" s="318"/>
      <c r="Q16898" s="318"/>
      <c r="R16898" s="318"/>
      <c r="S16898" s="318"/>
      <c r="T16898" s="318"/>
      <c r="U16898" s="318"/>
      <c r="V16898" s="318"/>
      <c r="W16898" s="318"/>
      <c r="X16898" s="318"/>
      <c r="Y16898" s="318"/>
      <c r="Z16898" s="318"/>
      <c r="AA16898" s="318"/>
      <c r="AB16898" s="318"/>
      <c r="AC16898" s="318"/>
      <c r="AD16898" s="318"/>
    </row>
    <row r="16899" spans="2:30" s="323" customFormat="1" ht="12" customHeight="1">
      <c r="B16899" s="324"/>
      <c r="C16899" s="325"/>
      <c r="D16899" s="326"/>
      <c r="E16899" s="326"/>
      <c r="F16899" s="326"/>
      <c r="G16899" s="326"/>
      <c r="H16899" s="326"/>
      <c r="P16899" s="318"/>
      <c r="Q16899" s="318"/>
      <c r="R16899" s="318"/>
      <c r="S16899" s="318"/>
      <c r="T16899" s="318"/>
      <c r="U16899" s="318"/>
      <c r="V16899" s="318"/>
      <c r="W16899" s="318"/>
      <c r="X16899" s="318"/>
      <c r="Y16899" s="318"/>
      <c r="Z16899" s="318"/>
      <c r="AA16899" s="318"/>
      <c r="AB16899" s="318"/>
      <c r="AC16899" s="318"/>
      <c r="AD16899" s="318"/>
    </row>
    <row r="16900" spans="2:30" s="323" customFormat="1" ht="12" customHeight="1">
      <c r="B16900" s="324"/>
      <c r="C16900" s="325"/>
      <c r="D16900" s="326"/>
      <c r="E16900" s="326"/>
      <c r="F16900" s="326"/>
      <c r="G16900" s="326"/>
      <c r="H16900" s="326"/>
      <c r="P16900" s="318"/>
      <c r="Q16900" s="318"/>
      <c r="R16900" s="318"/>
      <c r="S16900" s="318"/>
      <c r="T16900" s="318"/>
      <c r="U16900" s="318"/>
      <c r="V16900" s="318"/>
      <c r="W16900" s="318"/>
      <c r="X16900" s="318"/>
      <c r="Y16900" s="318"/>
      <c r="Z16900" s="318"/>
      <c r="AA16900" s="318"/>
      <c r="AB16900" s="318"/>
      <c r="AC16900" s="318"/>
      <c r="AD16900" s="318"/>
    </row>
    <row r="16901" spans="2:30" s="323" customFormat="1" ht="12" customHeight="1">
      <c r="B16901" s="324"/>
      <c r="C16901" s="325"/>
      <c r="D16901" s="326"/>
      <c r="E16901" s="326"/>
      <c r="F16901" s="326"/>
      <c r="G16901" s="326"/>
      <c r="H16901" s="326"/>
      <c r="P16901" s="318"/>
      <c r="Q16901" s="318"/>
      <c r="R16901" s="318"/>
      <c r="S16901" s="318"/>
      <c r="T16901" s="318"/>
      <c r="U16901" s="318"/>
      <c r="V16901" s="318"/>
      <c r="W16901" s="318"/>
      <c r="X16901" s="318"/>
      <c r="Y16901" s="318"/>
      <c r="Z16901" s="318"/>
      <c r="AA16901" s="318"/>
      <c r="AB16901" s="318"/>
      <c r="AC16901" s="318"/>
      <c r="AD16901" s="318"/>
    </row>
    <row r="16902" spans="2:30" s="323" customFormat="1" ht="12" customHeight="1">
      <c r="B16902" s="324"/>
      <c r="C16902" s="325"/>
      <c r="D16902" s="326"/>
      <c r="E16902" s="326"/>
      <c r="F16902" s="326"/>
      <c r="G16902" s="326"/>
      <c r="H16902" s="326"/>
      <c r="P16902" s="318"/>
      <c r="Q16902" s="318"/>
      <c r="R16902" s="318"/>
      <c r="S16902" s="318"/>
      <c r="T16902" s="318"/>
      <c r="U16902" s="318"/>
      <c r="V16902" s="318"/>
      <c r="W16902" s="318"/>
      <c r="X16902" s="318"/>
      <c r="Y16902" s="318"/>
      <c r="Z16902" s="318"/>
      <c r="AA16902" s="318"/>
      <c r="AB16902" s="318"/>
      <c r="AC16902" s="318"/>
      <c r="AD16902" s="318"/>
    </row>
    <row r="16903" spans="2:30" s="323" customFormat="1" ht="12" customHeight="1">
      <c r="B16903" s="324"/>
      <c r="C16903" s="325"/>
      <c r="D16903" s="326"/>
      <c r="E16903" s="326"/>
      <c r="F16903" s="326"/>
      <c r="G16903" s="326"/>
      <c r="H16903" s="326"/>
      <c r="P16903" s="318"/>
      <c r="Q16903" s="318"/>
      <c r="R16903" s="318"/>
      <c r="S16903" s="318"/>
      <c r="T16903" s="318"/>
      <c r="U16903" s="318"/>
      <c r="V16903" s="318"/>
      <c r="W16903" s="318"/>
      <c r="X16903" s="318"/>
      <c r="Y16903" s="318"/>
      <c r="Z16903" s="318"/>
      <c r="AA16903" s="318"/>
      <c r="AB16903" s="318"/>
      <c r="AC16903" s="318"/>
      <c r="AD16903" s="318"/>
    </row>
    <row r="16904" spans="2:30" s="323" customFormat="1" ht="12" customHeight="1">
      <c r="B16904" s="324"/>
      <c r="C16904" s="325"/>
      <c r="D16904" s="326"/>
      <c r="E16904" s="326"/>
      <c r="F16904" s="326"/>
      <c r="G16904" s="326"/>
      <c r="H16904" s="326"/>
      <c r="P16904" s="318"/>
      <c r="Q16904" s="318"/>
      <c r="R16904" s="318"/>
      <c r="S16904" s="318"/>
      <c r="T16904" s="318"/>
      <c r="U16904" s="318"/>
      <c r="V16904" s="318"/>
      <c r="W16904" s="318"/>
      <c r="X16904" s="318"/>
      <c r="Y16904" s="318"/>
      <c r="Z16904" s="318"/>
      <c r="AA16904" s="318"/>
      <c r="AB16904" s="318"/>
      <c r="AC16904" s="318"/>
      <c r="AD16904" s="318"/>
    </row>
    <row r="16905" spans="2:30" s="323" customFormat="1" ht="12" customHeight="1">
      <c r="B16905" s="324"/>
      <c r="C16905" s="325"/>
      <c r="D16905" s="326"/>
      <c r="E16905" s="326"/>
      <c r="F16905" s="326"/>
      <c r="G16905" s="326"/>
      <c r="H16905" s="326"/>
      <c r="P16905" s="318"/>
      <c r="Q16905" s="318"/>
      <c r="R16905" s="318"/>
      <c r="S16905" s="318"/>
      <c r="T16905" s="318"/>
      <c r="U16905" s="318"/>
      <c r="V16905" s="318"/>
      <c r="W16905" s="318"/>
      <c r="X16905" s="318"/>
      <c r="Y16905" s="318"/>
      <c r="Z16905" s="318"/>
      <c r="AA16905" s="318"/>
      <c r="AB16905" s="318"/>
      <c r="AC16905" s="318"/>
      <c r="AD16905" s="318"/>
    </row>
    <row r="16906" spans="2:30" s="323" customFormat="1" ht="12" customHeight="1">
      <c r="B16906" s="324"/>
      <c r="C16906" s="325"/>
      <c r="D16906" s="326"/>
      <c r="E16906" s="326"/>
      <c r="F16906" s="326"/>
      <c r="G16906" s="326"/>
      <c r="H16906" s="326"/>
      <c r="P16906" s="318"/>
      <c r="Q16906" s="318"/>
      <c r="R16906" s="318"/>
      <c r="S16906" s="318"/>
      <c r="T16906" s="318"/>
      <c r="U16906" s="318"/>
      <c r="V16906" s="318"/>
      <c r="W16906" s="318"/>
      <c r="X16906" s="318"/>
      <c r="Y16906" s="318"/>
      <c r="Z16906" s="318"/>
      <c r="AA16906" s="318"/>
      <c r="AB16906" s="318"/>
      <c r="AC16906" s="318"/>
      <c r="AD16906" s="318"/>
    </row>
    <row r="16907" spans="2:30" s="323" customFormat="1" ht="12" customHeight="1">
      <c r="B16907" s="324"/>
      <c r="C16907" s="325"/>
      <c r="D16907" s="326"/>
      <c r="E16907" s="326"/>
      <c r="F16907" s="326"/>
      <c r="G16907" s="326"/>
      <c r="H16907" s="326"/>
      <c r="P16907" s="318"/>
      <c r="Q16907" s="318"/>
      <c r="R16907" s="318"/>
      <c r="S16907" s="318"/>
      <c r="T16907" s="318"/>
      <c r="U16907" s="318"/>
      <c r="V16907" s="318"/>
      <c r="W16907" s="318"/>
      <c r="X16907" s="318"/>
      <c r="Y16907" s="318"/>
      <c r="Z16907" s="318"/>
      <c r="AA16907" s="318"/>
      <c r="AB16907" s="318"/>
      <c r="AC16907" s="318"/>
      <c r="AD16907" s="318"/>
    </row>
    <row r="16908" spans="2:30" s="323" customFormat="1" ht="12" customHeight="1">
      <c r="B16908" s="324"/>
      <c r="C16908" s="325"/>
      <c r="D16908" s="326"/>
      <c r="E16908" s="326"/>
      <c r="F16908" s="326"/>
      <c r="G16908" s="326"/>
      <c r="H16908" s="326"/>
      <c r="P16908" s="318"/>
      <c r="Q16908" s="318"/>
      <c r="R16908" s="318"/>
      <c r="S16908" s="318"/>
      <c r="T16908" s="318"/>
      <c r="U16908" s="318"/>
      <c r="V16908" s="318"/>
      <c r="W16908" s="318"/>
      <c r="X16908" s="318"/>
      <c r="Y16908" s="318"/>
      <c r="Z16908" s="318"/>
      <c r="AA16908" s="318"/>
      <c r="AB16908" s="318"/>
      <c r="AC16908" s="318"/>
      <c r="AD16908" s="318"/>
    </row>
    <row r="16909" spans="2:30" s="323" customFormat="1" ht="12" customHeight="1">
      <c r="B16909" s="324"/>
      <c r="C16909" s="325"/>
      <c r="D16909" s="326"/>
      <c r="E16909" s="326"/>
      <c r="F16909" s="326"/>
      <c r="G16909" s="326"/>
      <c r="H16909" s="326"/>
      <c r="P16909" s="318"/>
      <c r="Q16909" s="318"/>
      <c r="R16909" s="318"/>
      <c r="S16909" s="318"/>
      <c r="T16909" s="318"/>
      <c r="U16909" s="318"/>
      <c r="V16909" s="318"/>
      <c r="W16909" s="318"/>
      <c r="X16909" s="318"/>
      <c r="Y16909" s="318"/>
      <c r="Z16909" s="318"/>
      <c r="AA16909" s="318"/>
      <c r="AB16909" s="318"/>
      <c r="AC16909" s="318"/>
      <c r="AD16909" s="318"/>
    </row>
    <row r="16910" spans="2:30" s="323" customFormat="1" ht="12" customHeight="1">
      <c r="B16910" s="324"/>
      <c r="C16910" s="325"/>
      <c r="D16910" s="326"/>
      <c r="E16910" s="326"/>
      <c r="F16910" s="326"/>
      <c r="G16910" s="326"/>
      <c r="H16910" s="326"/>
      <c r="P16910" s="318"/>
      <c r="Q16910" s="318"/>
      <c r="R16910" s="318"/>
      <c r="S16910" s="318"/>
      <c r="T16910" s="318"/>
      <c r="U16910" s="318"/>
      <c r="V16910" s="318"/>
      <c r="W16910" s="318"/>
      <c r="X16910" s="318"/>
      <c r="Y16910" s="318"/>
      <c r="Z16910" s="318"/>
      <c r="AA16910" s="318"/>
      <c r="AB16910" s="318"/>
      <c r="AC16910" s="318"/>
      <c r="AD16910" s="318"/>
    </row>
    <row r="16911" spans="2:30" s="323" customFormat="1" ht="12" customHeight="1">
      <c r="B16911" s="324"/>
      <c r="C16911" s="325"/>
      <c r="D16911" s="326"/>
      <c r="E16911" s="326"/>
      <c r="F16911" s="326"/>
      <c r="G16911" s="326"/>
      <c r="H16911" s="326"/>
      <c r="P16911" s="318"/>
      <c r="Q16911" s="318"/>
      <c r="R16911" s="318"/>
      <c r="S16911" s="318"/>
      <c r="T16911" s="318"/>
      <c r="U16911" s="318"/>
      <c r="V16911" s="318"/>
      <c r="W16911" s="318"/>
      <c r="X16911" s="318"/>
      <c r="Y16911" s="318"/>
      <c r="Z16911" s="318"/>
      <c r="AA16911" s="318"/>
      <c r="AB16911" s="318"/>
      <c r="AC16911" s="318"/>
      <c r="AD16911" s="318"/>
    </row>
    <row r="16912" spans="2:30" s="323" customFormat="1" ht="12" customHeight="1">
      <c r="B16912" s="324"/>
      <c r="C16912" s="325"/>
      <c r="D16912" s="326"/>
      <c r="E16912" s="326"/>
      <c r="F16912" s="326"/>
      <c r="G16912" s="326"/>
      <c r="H16912" s="326"/>
      <c r="P16912" s="318"/>
      <c r="Q16912" s="318"/>
      <c r="R16912" s="318"/>
      <c r="S16912" s="318"/>
      <c r="T16912" s="318"/>
      <c r="U16912" s="318"/>
      <c r="V16912" s="318"/>
      <c r="W16912" s="318"/>
      <c r="X16912" s="318"/>
      <c r="Y16912" s="318"/>
      <c r="Z16912" s="318"/>
      <c r="AA16912" s="318"/>
      <c r="AB16912" s="318"/>
      <c r="AC16912" s="318"/>
      <c r="AD16912" s="318"/>
    </row>
    <row r="16913" spans="2:30" s="323" customFormat="1" ht="12" customHeight="1">
      <c r="B16913" s="324"/>
      <c r="C16913" s="325"/>
      <c r="D16913" s="326"/>
      <c r="E16913" s="326"/>
      <c r="F16913" s="326"/>
      <c r="G16913" s="326"/>
      <c r="H16913" s="326"/>
      <c r="P16913" s="318"/>
      <c r="Q16913" s="318"/>
      <c r="R16913" s="318"/>
      <c r="S16913" s="318"/>
      <c r="T16913" s="318"/>
      <c r="U16913" s="318"/>
      <c r="V16913" s="318"/>
      <c r="W16913" s="318"/>
      <c r="X16913" s="318"/>
      <c r="Y16913" s="318"/>
      <c r="Z16913" s="318"/>
      <c r="AA16913" s="318"/>
      <c r="AB16913" s="318"/>
      <c r="AC16913" s="318"/>
      <c r="AD16913" s="318"/>
    </row>
    <row r="16914" spans="2:30" s="323" customFormat="1" ht="12" customHeight="1">
      <c r="B16914" s="324"/>
      <c r="C16914" s="325"/>
      <c r="D16914" s="326"/>
      <c r="E16914" s="326"/>
      <c r="F16914" s="326"/>
      <c r="G16914" s="326"/>
      <c r="H16914" s="326"/>
      <c r="P16914" s="318"/>
      <c r="Q16914" s="318"/>
      <c r="R16914" s="318"/>
      <c r="S16914" s="318"/>
      <c r="T16914" s="318"/>
      <c r="U16914" s="318"/>
      <c r="V16914" s="318"/>
      <c r="W16914" s="318"/>
      <c r="X16914" s="318"/>
      <c r="Y16914" s="318"/>
      <c r="Z16914" s="318"/>
      <c r="AA16914" s="318"/>
      <c r="AB16914" s="318"/>
      <c r="AC16914" s="318"/>
      <c r="AD16914" s="318"/>
    </row>
    <row r="16915" spans="2:30" s="323" customFormat="1" ht="12" customHeight="1">
      <c r="B16915" s="324"/>
      <c r="C16915" s="325"/>
      <c r="D16915" s="326"/>
      <c r="E16915" s="326"/>
      <c r="F16915" s="326"/>
      <c r="G16915" s="326"/>
      <c r="H16915" s="326"/>
      <c r="P16915" s="318"/>
      <c r="Q16915" s="318"/>
      <c r="R16915" s="318"/>
      <c r="S16915" s="318"/>
      <c r="T16915" s="318"/>
      <c r="U16915" s="318"/>
      <c r="V16915" s="318"/>
      <c r="W16915" s="318"/>
      <c r="X16915" s="318"/>
      <c r="Y16915" s="318"/>
      <c r="Z16915" s="318"/>
      <c r="AA16915" s="318"/>
      <c r="AB16915" s="318"/>
      <c r="AC16915" s="318"/>
      <c r="AD16915" s="318"/>
    </row>
    <row r="16916" spans="2:30" s="323" customFormat="1" ht="12" customHeight="1">
      <c r="B16916" s="324"/>
      <c r="C16916" s="325"/>
      <c r="D16916" s="326"/>
      <c r="E16916" s="326"/>
      <c r="F16916" s="326"/>
      <c r="G16916" s="326"/>
      <c r="H16916" s="326"/>
      <c r="P16916" s="318"/>
      <c r="Q16916" s="318"/>
      <c r="R16916" s="318"/>
      <c r="S16916" s="318"/>
      <c r="T16916" s="318"/>
      <c r="U16916" s="318"/>
      <c r="V16916" s="318"/>
      <c r="W16916" s="318"/>
      <c r="X16916" s="318"/>
      <c r="Y16916" s="318"/>
      <c r="Z16916" s="318"/>
      <c r="AA16916" s="318"/>
      <c r="AB16916" s="318"/>
      <c r="AC16916" s="318"/>
      <c r="AD16916" s="318"/>
    </row>
    <row r="16917" spans="2:30" s="323" customFormat="1" ht="12" customHeight="1">
      <c r="B16917" s="324"/>
      <c r="C16917" s="325"/>
      <c r="D16917" s="326"/>
      <c r="E16917" s="326"/>
      <c r="F16917" s="326"/>
      <c r="G16917" s="326"/>
      <c r="H16917" s="326"/>
      <c r="P16917" s="318"/>
      <c r="Q16917" s="318"/>
      <c r="R16917" s="318"/>
      <c r="S16917" s="318"/>
      <c r="T16917" s="318"/>
      <c r="U16917" s="318"/>
      <c r="V16917" s="318"/>
      <c r="W16917" s="318"/>
      <c r="X16917" s="318"/>
      <c r="Y16917" s="318"/>
      <c r="Z16917" s="318"/>
      <c r="AA16917" s="318"/>
      <c r="AB16917" s="318"/>
      <c r="AC16917" s="318"/>
      <c r="AD16917" s="318"/>
    </row>
    <row r="16918" spans="2:30" s="323" customFormat="1" ht="12" customHeight="1">
      <c r="B16918" s="324"/>
      <c r="C16918" s="325"/>
      <c r="D16918" s="326"/>
      <c r="E16918" s="326"/>
      <c r="F16918" s="326"/>
      <c r="G16918" s="326"/>
      <c r="H16918" s="326"/>
      <c r="P16918" s="318"/>
      <c r="Q16918" s="318"/>
      <c r="R16918" s="318"/>
      <c r="S16918" s="318"/>
      <c r="T16918" s="318"/>
      <c r="U16918" s="318"/>
      <c r="V16918" s="318"/>
      <c r="W16918" s="318"/>
      <c r="X16918" s="318"/>
      <c r="Y16918" s="318"/>
      <c r="Z16918" s="318"/>
      <c r="AA16918" s="318"/>
      <c r="AB16918" s="318"/>
      <c r="AC16918" s="318"/>
      <c r="AD16918" s="318"/>
    </row>
    <row r="16919" spans="2:30" s="323" customFormat="1" ht="12" customHeight="1">
      <c r="B16919" s="324"/>
      <c r="C16919" s="325"/>
      <c r="D16919" s="326"/>
      <c r="E16919" s="326"/>
      <c r="F16919" s="326"/>
      <c r="G16919" s="326"/>
      <c r="H16919" s="326"/>
      <c r="P16919" s="318"/>
      <c r="Q16919" s="318"/>
      <c r="R16919" s="318"/>
      <c r="S16919" s="318"/>
      <c r="T16919" s="318"/>
      <c r="U16919" s="318"/>
      <c r="V16919" s="318"/>
      <c r="W16919" s="318"/>
      <c r="X16919" s="318"/>
      <c r="Y16919" s="318"/>
      <c r="Z16919" s="318"/>
      <c r="AA16919" s="318"/>
      <c r="AB16919" s="318"/>
      <c r="AC16919" s="318"/>
      <c r="AD16919" s="318"/>
    </row>
    <row r="16920" spans="2:30" s="323" customFormat="1" ht="12" customHeight="1">
      <c r="B16920" s="324"/>
      <c r="C16920" s="325"/>
      <c r="D16920" s="326"/>
      <c r="E16920" s="326"/>
      <c r="F16920" s="326"/>
      <c r="G16920" s="326"/>
      <c r="H16920" s="326"/>
      <c r="P16920" s="318"/>
      <c r="Q16920" s="318"/>
      <c r="R16920" s="318"/>
      <c r="S16920" s="318"/>
      <c r="T16920" s="318"/>
      <c r="U16920" s="318"/>
      <c r="V16920" s="318"/>
      <c r="W16920" s="318"/>
      <c r="X16920" s="318"/>
      <c r="Y16920" s="318"/>
      <c r="Z16920" s="318"/>
      <c r="AA16920" s="318"/>
      <c r="AB16920" s="318"/>
      <c r="AC16920" s="318"/>
      <c r="AD16920" s="318"/>
    </row>
    <row r="16921" spans="2:30" s="323" customFormat="1" ht="12" customHeight="1">
      <c r="B16921" s="324"/>
      <c r="C16921" s="325"/>
      <c r="D16921" s="326"/>
      <c r="E16921" s="326"/>
      <c r="F16921" s="326"/>
      <c r="G16921" s="326"/>
      <c r="H16921" s="326"/>
      <c r="P16921" s="318"/>
      <c r="Q16921" s="318"/>
      <c r="R16921" s="318"/>
      <c r="S16921" s="318"/>
      <c r="T16921" s="318"/>
      <c r="U16921" s="318"/>
      <c r="V16921" s="318"/>
      <c r="W16921" s="318"/>
      <c r="X16921" s="318"/>
      <c r="Y16921" s="318"/>
      <c r="Z16921" s="318"/>
      <c r="AA16921" s="318"/>
      <c r="AB16921" s="318"/>
      <c r="AC16921" s="318"/>
      <c r="AD16921" s="318"/>
    </row>
    <row r="16922" spans="2:30" s="323" customFormat="1" ht="12" customHeight="1">
      <c r="B16922" s="324"/>
      <c r="C16922" s="325"/>
      <c r="D16922" s="326"/>
      <c r="E16922" s="326"/>
      <c r="F16922" s="326"/>
      <c r="G16922" s="326"/>
      <c r="H16922" s="326"/>
      <c r="P16922" s="318"/>
      <c r="Q16922" s="318"/>
      <c r="R16922" s="318"/>
      <c r="S16922" s="318"/>
      <c r="T16922" s="318"/>
      <c r="U16922" s="318"/>
      <c r="V16922" s="318"/>
      <c r="W16922" s="318"/>
      <c r="X16922" s="318"/>
      <c r="Y16922" s="318"/>
      <c r="Z16922" s="318"/>
      <c r="AA16922" s="318"/>
      <c r="AB16922" s="318"/>
      <c r="AC16922" s="318"/>
      <c r="AD16922" s="318"/>
    </row>
    <row r="16923" spans="2:30" s="323" customFormat="1" ht="12" customHeight="1">
      <c r="B16923" s="324"/>
      <c r="C16923" s="325"/>
      <c r="D16923" s="326"/>
      <c r="E16923" s="326"/>
      <c r="F16923" s="326"/>
      <c r="G16923" s="326"/>
      <c r="H16923" s="326"/>
      <c r="P16923" s="318"/>
      <c r="Q16923" s="318"/>
      <c r="R16923" s="318"/>
      <c r="S16923" s="318"/>
      <c r="T16923" s="318"/>
      <c r="U16923" s="318"/>
      <c r="V16923" s="318"/>
      <c r="W16923" s="318"/>
      <c r="X16923" s="318"/>
      <c r="Y16923" s="318"/>
      <c r="Z16923" s="318"/>
      <c r="AA16923" s="318"/>
      <c r="AB16923" s="318"/>
      <c r="AC16923" s="318"/>
      <c r="AD16923" s="318"/>
    </row>
    <row r="16924" spans="2:30" s="323" customFormat="1" ht="12" customHeight="1">
      <c r="B16924" s="324"/>
      <c r="C16924" s="325"/>
      <c r="D16924" s="326"/>
      <c r="E16924" s="326"/>
      <c r="F16924" s="326"/>
      <c r="G16924" s="326"/>
      <c r="H16924" s="326"/>
      <c r="P16924" s="318"/>
      <c r="Q16924" s="318"/>
      <c r="R16924" s="318"/>
      <c r="S16924" s="318"/>
      <c r="T16924" s="318"/>
      <c r="U16924" s="318"/>
      <c r="V16924" s="318"/>
      <c r="W16924" s="318"/>
      <c r="X16924" s="318"/>
      <c r="Y16924" s="318"/>
      <c r="Z16924" s="318"/>
      <c r="AA16924" s="318"/>
      <c r="AB16924" s="318"/>
      <c r="AC16924" s="318"/>
      <c r="AD16924" s="318"/>
    </row>
    <row r="16925" spans="2:30" s="323" customFormat="1" ht="12" customHeight="1">
      <c r="B16925" s="324"/>
      <c r="C16925" s="325"/>
      <c r="D16925" s="326"/>
      <c r="E16925" s="326"/>
      <c r="F16925" s="326"/>
      <c r="G16925" s="326"/>
      <c r="H16925" s="326"/>
      <c r="P16925" s="318"/>
      <c r="Q16925" s="318"/>
      <c r="R16925" s="318"/>
      <c r="S16925" s="318"/>
      <c r="T16925" s="318"/>
      <c r="U16925" s="318"/>
      <c r="V16925" s="318"/>
      <c r="W16925" s="318"/>
      <c r="X16925" s="318"/>
      <c r="Y16925" s="318"/>
      <c r="Z16925" s="318"/>
      <c r="AA16925" s="318"/>
      <c r="AB16925" s="318"/>
      <c r="AC16925" s="318"/>
      <c r="AD16925" s="318"/>
    </row>
    <row r="16926" spans="2:30" s="323" customFormat="1" ht="12" customHeight="1">
      <c r="B16926" s="324"/>
      <c r="C16926" s="325"/>
      <c r="D16926" s="326"/>
      <c r="E16926" s="326"/>
      <c r="F16926" s="326"/>
      <c r="G16926" s="326"/>
      <c r="H16926" s="326"/>
      <c r="P16926" s="318"/>
      <c r="Q16926" s="318"/>
      <c r="R16926" s="318"/>
      <c r="S16926" s="318"/>
      <c r="T16926" s="318"/>
      <c r="U16926" s="318"/>
      <c r="V16926" s="318"/>
      <c r="W16926" s="318"/>
      <c r="X16926" s="318"/>
      <c r="Y16926" s="318"/>
      <c r="Z16926" s="318"/>
      <c r="AA16926" s="318"/>
      <c r="AB16926" s="318"/>
      <c r="AC16926" s="318"/>
      <c r="AD16926" s="318"/>
    </row>
    <row r="16927" spans="2:30" s="323" customFormat="1" ht="12" customHeight="1">
      <c r="B16927" s="324"/>
      <c r="C16927" s="325"/>
      <c r="D16927" s="326"/>
      <c r="E16927" s="326"/>
      <c r="F16927" s="326"/>
      <c r="G16927" s="326"/>
      <c r="H16927" s="326"/>
      <c r="P16927" s="318"/>
      <c r="Q16927" s="318"/>
      <c r="R16927" s="318"/>
      <c r="S16927" s="318"/>
      <c r="T16927" s="318"/>
      <c r="U16927" s="318"/>
      <c r="V16927" s="318"/>
      <c r="W16927" s="318"/>
      <c r="X16927" s="318"/>
      <c r="Y16927" s="318"/>
      <c r="Z16927" s="318"/>
      <c r="AA16927" s="318"/>
      <c r="AB16927" s="318"/>
      <c r="AC16927" s="318"/>
      <c r="AD16927" s="318"/>
    </row>
    <row r="16928" spans="2:30" s="323" customFormat="1" ht="12" customHeight="1">
      <c r="B16928" s="324"/>
      <c r="C16928" s="325"/>
      <c r="D16928" s="326"/>
      <c r="E16928" s="326"/>
      <c r="F16928" s="326"/>
      <c r="G16928" s="326"/>
      <c r="H16928" s="326"/>
      <c r="P16928" s="318"/>
      <c r="Q16928" s="318"/>
      <c r="R16928" s="318"/>
      <c r="S16928" s="318"/>
      <c r="T16928" s="318"/>
      <c r="U16928" s="318"/>
      <c r="V16928" s="318"/>
      <c r="W16928" s="318"/>
      <c r="X16928" s="318"/>
      <c r="Y16928" s="318"/>
      <c r="Z16928" s="318"/>
      <c r="AA16928" s="318"/>
      <c r="AB16928" s="318"/>
      <c r="AC16928" s="318"/>
      <c r="AD16928" s="318"/>
    </row>
    <row r="16929" spans="2:30" s="323" customFormat="1" ht="12" customHeight="1">
      <c r="B16929" s="324"/>
      <c r="C16929" s="325"/>
      <c r="D16929" s="326"/>
      <c r="E16929" s="326"/>
      <c r="F16929" s="326"/>
      <c r="G16929" s="326"/>
      <c r="H16929" s="326"/>
      <c r="P16929" s="318"/>
      <c r="Q16929" s="318"/>
      <c r="R16929" s="318"/>
      <c r="S16929" s="318"/>
      <c r="T16929" s="318"/>
      <c r="U16929" s="318"/>
      <c r="V16929" s="318"/>
      <c r="W16929" s="318"/>
      <c r="X16929" s="318"/>
      <c r="Y16929" s="318"/>
      <c r="Z16929" s="318"/>
      <c r="AA16929" s="318"/>
      <c r="AB16929" s="318"/>
      <c r="AC16929" s="318"/>
      <c r="AD16929" s="318"/>
    </row>
    <row r="16930" spans="2:30" s="323" customFormat="1" ht="12" customHeight="1">
      <c r="B16930" s="324"/>
      <c r="C16930" s="325"/>
      <c r="D16930" s="326"/>
      <c r="E16930" s="326"/>
      <c r="F16930" s="326"/>
      <c r="G16930" s="326"/>
      <c r="H16930" s="326"/>
      <c r="P16930" s="318"/>
      <c r="Q16930" s="318"/>
      <c r="R16930" s="318"/>
      <c r="S16930" s="318"/>
      <c r="T16930" s="318"/>
      <c r="U16930" s="318"/>
      <c r="V16930" s="318"/>
      <c r="W16930" s="318"/>
      <c r="X16930" s="318"/>
      <c r="Y16930" s="318"/>
      <c r="Z16930" s="318"/>
      <c r="AA16930" s="318"/>
      <c r="AB16930" s="318"/>
      <c r="AC16930" s="318"/>
      <c r="AD16930" s="318"/>
    </row>
    <row r="16931" spans="2:30" s="323" customFormat="1" ht="12" customHeight="1">
      <c r="B16931" s="324"/>
      <c r="C16931" s="325"/>
      <c r="D16931" s="326"/>
      <c r="E16931" s="326"/>
      <c r="F16931" s="326"/>
      <c r="G16931" s="326"/>
      <c r="H16931" s="326"/>
      <c r="P16931" s="318"/>
      <c r="Q16931" s="318"/>
      <c r="R16931" s="318"/>
      <c r="S16931" s="318"/>
      <c r="T16931" s="318"/>
      <c r="U16931" s="318"/>
      <c r="V16931" s="318"/>
      <c r="W16931" s="318"/>
      <c r="X16931" s="318"/>
      <c r="Y16931" s="318"/>
      <c r="Z16931" s="318"/>
      <c r="AA16931" s="318"/>
      <c r="AB16931" s="318"/>
      <c r="AC16931" s="318"/>
      <c r="AD16931" s="318"/>
    </row>
    <row r="16932" spans="2:30" s="323" customFormat="1" ht="12" customHeight="1">
      <c r="B16932" s="324"/>
      <c r="C16932" s="325"/>
      <c r="D16932" s="326"/>
      <c r="E16932" s="326"/>
      <c r="F16932" s="326"/>
      <c r="G16932" s="326"/>
      <c r="H16932" s="326"/>
      <c r="P16932" s="318"/>
      <c r="Q16932" s="318"/>
      <c r="R16932" s="318"/>
      <c r="S16932" s="318"/>
      <c r="T16932" s="318"/>
      <c r="U16932" s="318"/>
      <c r="V16932" s="318"/>
      <c r="W16932" s="318"/>
      <c r="X16932" s="318"/>
      <c r="Y16932" s="318"/>
      <c r="Z16932" s="318"/>
      <c r="AA16932" s="318"/>
      <c r="AB16932" s="318"/>
      <c r="AC16932" s="318"/>
      <c r="AD16932" s="318"/>
    </row>
    <row r="16933" spans="2:30" s="323" customFormat="1" ht="12" customHeight="1">
      <c r="B16933" s="324"/>
      <c r="C16933" s="325"/>
      <c r="D16933" s="326"/>
      <c r="E16933" s="326"/>
      <c r="F16933" s="326"/>
      <c r="G16933" s="326"/>
      <c r="H16933" s="326"/>
      <c r="P16933" s="318"/>
      <c r="Q16933" s="318"/>
      <c r="R16933" s="318"/>
      <c r="S16933" s="318"/>
      <c r="T16933" s="318"/>
      <c r="U16933" s="318"/>
      <c r="V16933" s="318"/>
      <c r="W16933" s="318"/>
      <c r="X16933" s="318"/>
      <c r="Y16933" s="318"/>
      <c r="Z16933" s="318"/>
      <c r="AA16933" s="318"/>
      <c r="AB16933" s="318"/>
      <c r="AC16933" s="318"/>
      <c r="AD16933" s="318"/>
    </row>
    <row r="16934" spans="2:30" s="323" customFormat="1" ht="12" customHeight="1">
      <c r="B16934" s="324"/>
      <c r="C16934" s="325"/>
      <c r="D16934" s="326"/>
      <c r="E16934" s="326"/>
      <c r="F16934" s="326"/>
      <c r="G16934" s="326"/>
      <c r="H16934" s="326"/>
      <c r="P16934" s="318"/>
      <c r="Q16934" s="318"/>
      <c r="R16934" s="318"/>
      <c r="S16934" s="318"/>
      <c r="T16934" s="318"/>
      <c r="U16934" s="318"/>
      <c r="V16934" s="318"/>
      <c r="W16934" s="318"/>
      <c r="X16934" s="318"/>
      <c r="Y16934" s="318"/>
      <c r="Z16934" s="318"/>
      <c r="AA16934" s="318"/>
      <c r="AB16934" s="318"/>
      <c r="AC16934" s="318"/>
      <c r="AD16934" s="318"/>
    </row>
    <row r="16935" spans="2:30" s="323" customFormat="1" ht="12" customHeight="1">
      <c r="B16935" s="324"/>
      <c r="C16935" s="325"/>
      <c r="D16935" s="326"/>
      <c r="E16935" s="326"/>
      <c r="F16935" s="326"/>
      <c r="G16935" s="326"/>
      <c r="H16935" s="326"/>
      <c r="P16935" s="318"/>
      <c r="Q16935" s="318"/>
      <c r="R16935" s="318"/>
      <c r="S16935" s="318"/>
      <c r="T16935" s="318"/>
      <c r="U16935" s="318"/>
      <c r="V16935" s="318"/>
      <c r="W16935" s="318"/>
      <c r="X16935" s="318"/>
      <c r="Y16935" s="318"/>
      <c r="Z16935" s="318"/>
      <c r="AA16935" s="318"/>
      <c r="AB16935" s="318"/>
      <c r="AC16935" s="318"/>
      <c r="AD16935" s="318"/>
    </row>
    <row r="16936" spans="2:30" s="323" customFormat="1" ht="12" customHeight="1">
      <c r="B16936" s="324"/>
      <c r="C16936" s="325"/>
      <c r="D16936" s="326"/>
      <c r="E16936" s="326"/>
      <c r="F16936" s="326"/>
      <c r="G16936" s="326"/>
      <c r="H16936" s="326"/>
      <c r="P16936" s="318"/>
      <c r="Q16936" s="318"/>
      <c r="R16936" s="318"/>
      <c r="S16936" s="318"/>
      <c r="T16936" s="318"/>
      <c r="U16936" s="318"/>
      <c r="V16936" s="318"/>
      <c r="W16936" s="318"/>
      <c r="X16936" s="318"/>
      <c r="Y16936" s="318"/>
      <c r="Z16936" s="318"/>
      <c r="AA16936" s="318"/>
      <c r="AB16936" s="318"/>
      <c r="AC16936" s="318"/>
      <c r="AD16936" s="318"/>
    </row>
    <row r="16937" spans="2:30" s="323" customFormat="1" ht="12" customHeight="1">
      <c r="B16937" s="324"/>
      <c r="C16937" s="325"/>
      <c r="D16937" s="326"/>
      <c r="E16937" s="326"/>
      <c r="F16937" s="326"/>
      <c r="G16937" s="326"/>
      <c r="H16937" s="326"/>
      <c r="P16937" s="318"/>
      <c r="Q16937" s="318"/>
      <c r="R16937" s="318"/>
      <c r="S16937" s="318"/>
      <c r="T16937" s="318"/>
      <c r="U16937" s="318"/>
      <c r="V16937" s="318"/>
      <c r="W16937" s="318"/>
      <c r="X16937" s="318"/>
      <c r="Y16937" s="318"/>
      <c r="Z16937" s="318"/>
      <c r="AA16937" s="318"/>
      <c r="AB16937" s="318"/>
      <c r="AC16937" s="318"/>
      <c r="AD16937" s="318"/>
    </row>
    <row r="16938" spans="2:30" s="323" customFormat="1" ht="12" customHeight="1">
      <c r="B16938" s="324"/>
      <c r="C16938" s="325"/>
      <c r="D16938" s="326"/>
      <c r="E16938" s="326"/>
      <c r="F16938" s="326"/>
      <c r="G16938" s="326"/>
      <c r="H16938" s="326"/>
      <c r="P16938" s="318"/>
      <c r="Q16938" s="318"/>
      <c r="R16938" s="318"/>
      <c r="S16938" s="318"/>
      <c r="T16938" s="318"/>
      <c r="U16938" s="318"/>
      <c r="V16938" s="318"/>
      <c r="W16938" s="318"/>
      <c r="X16938" s="318"/>
      <c r="Y16938" s="318"/>
      <c r="Z16938" s="318"/>
      <c r="AA16938" s="318"/>
      <c r="AB16938" s="318"/>
      <c r="AC16938" s="318"/>
      <c r="AD16938" s="318"/>
    </row>
    <row r="16939" spans="2:30" s="323" customFormat="1" ht="12" customHeight="1">
      <c r="B16939" s="324"/>
      <c r="C16939" s="325"/>
      <c r="D16939" s="326"/>
      <c r="E16939" s="326"/>
      <c r="F16939" s="326"/>
      <c r="G16939" s="326"/>
      <c r="H16939" s="326"/>
      <c r="P16939" s="318"/>
      <c r="Q16939" s="318"/>
      <c r="R16939" s="318"/>
      <c r="S16939" s="318"/>
      <c r="T16939" s="318"/>
      <c r="U16939" s="318"/>
      <c r="V16939" s="318"/>
      <c r="W16939" s="318"/>
      <c r="X16939" s="318"/>
      <c r="Y16939" s="318"/>
      <c r="Z16939" s="318"/>
      <c r="AA16939" s="318"/>
      <c r="AB16939" s="318"/>
      <c r="AC16939" s="318"/>
      <c r="AD16939" s="318"/>
    </row>
    <row r="16940" spans="2:30" s="323" customFormat="1" ht="12" customHeight="1">
      <c r="B16940" s="324"/>
      <c r="C16940" s="325"/>
      <c r="D16940" s="326"/>
      <c r="E16940" s="326"/>
      <c r="F16940" s="326"/>
      <c r="G16940" s="326"/>
      <c r="H16940" s="326"/>
      <c r="P16940" s="318"/>
      <c r="Q16940" s="318"/>
      <c r="R16940" s="318"/>
      <c r="S16940" s="318"/>
      <c r="T16940" s="318"/>
      <c r="U16940" s="318"/>
      <c r="V16940" s="318"/>
      <c r="W16940" s="318"/>
      <c r="X16940" s="318"/>
      <c r="Y16940" s="318"/>
      <c r="Z16940" s="318"/>
      <c r="AA16940" s="318"/>
      <c r="AB16940" s="318"/>
      <c r="AC16940" s="318"/>
      <c r="AD16940" s="318"/>
    </row>
    <row r="16941" spans="2:30" s="323" customFormat="1" ht="12" customHeight="1">
      <c r="B16941" s="324"/>
      <c r="C16941" s="325"/>
      <c r="D16941" s="326"/>
      <c r="E16941" s="326"/>
      <c r="F16941" s="326"/>
      <c r="G16941" s="326"/>
      <c r="H16941" s="326"/>
      <c r="P16941" s="318"/>
      <c r="Q16941" s="318"/>
      <c r="R16941" s="318"/>
      <c r="S16941" s="318"/>
      <c r="T16941" s="318"/>
      <c r="U16941" s="318"/>
      <c r="V16941" s="318"/>
      <c r="W16941" s="318"/>
      <c r="X16941" s="318"/>
      <c r="Y16941" s="318"/>
      <c r="Z16941" s="318"/>
      <c r="AA16941" s="318"/>
      <c r="AB16941" s="318"/>
      <c r="AC16941" s="318"/>
      <c r="AD16941" s="318"/>
    </row>
    <row r="16942" spans="2:30" s="323" customFormat="1" ht="12" customHeight="1">
      <c r="B16942" s="324"/>
      <c r="C16942" s="325"/>
      <c r="D16942" s="326"/>
      <c r="E16942" s="326"/>
      <c r="F16942" s="326"/>
      <c r="G16942" s="326"/>
      <c r="H16942" s="326"/>
      <c r="P16942" s="318"/>
      <c r="Q16942" s="318"/>
      <c r="R16942" s="318"/>
      <c r="S16942" s="318"/>
      <c r="T16942" s="318"/>
      <c r="U16942" s="318"/>
      <c r="V16942" s="318"/>
      <c r="W16942" s="318"/>
      <c r="X16942" s="318"/>
      <c r="Y16942" s="318"/>
      <c r="Z16942" s="318"/>
      <c r="AA16942" s="318"/>
      <c r="AB16942" s="318"/>
      <c r="AC16942" s="318"/>
      <c r="AD16942" s="318"/>
    </row>
    <row r="16943" spans="2:30" s="323" customFormat="1" ht="12" customHeight="1">
      <c r="B16943" s="324"/>
      <c r="C16943" s="325"/>
      <c r="D16943" s="326"/>
      <c r="E16943" s="326"/>
      <c r="F16943" s="326"/>
      <c r="G16943" s="326"/>
      <c r="H16943" s="326"/>
      <c r="P16943" s="318"/>
      <c r="Q16943" s="318"/>
      <c r="R16943" s="318"/>
      <c r="S16943" s="318"/>
      <c r="T16943" s="318"/>
      <c r="U16943" s="318"/>
      <c r="V16943" s="318"/>
      <c r="W16943" s="318"/>
      <c r="X16943" s="318"/>
      <c r="Y16943" s="318"/>
      <c r="Z16943" s="318"/>
      <c r="AA16943" s="318"/>
      <c r="AB16943" s="318"/>
      <c r="AC16943" s="318"/>
      <c r="AD16943" s="318"/>
    </row>
    <row r="16944" spans="2:30" s="323" customFormat="1" ht="12" customHeight="1">
      <c r="B16944" s="324"/>
      <c r="C16944" s="325"/>
      <c r="D16944" s="326"/>
      <c r="E16944" s="326"/>
      <c r="F16944" s="326"/>
      <c r="G16944" s="326"/>
      <c r="H16944" s="326"/>
      <c r="P16944" s="318"/>
      <c r="Q16944" s="318"/>
      <c r="R16944" s="318"/>
      <c r="S16944" s="318"/>
      <c r="T16944" s="318"/>
      <c r="U16944" s="318"/>
      <c r="V16944" s="318"/>
      <c r="W16944" s="318"/>
      <c r="X16944" s="318"/>
      <c r="Y16944" s="318"/>
      <c r="Z16944" s="318"/>
      <c r="AA16944" s="318"/>
      <c r="AB16944" s="318"/>
      <c r="AC16944" s="318"/>
      <c r="AD16944" s="318"/>
    </row>
    <row r="16945" spans="2:30" s="323" customFormat="1" ht="12" customHeight="1">
      <c r="B16945" s="324"/>
      <c r="C16945" s="325"/>
      <c r="D16945" s="326"/>
      <c r="E16945" s="326"/>
      <c r="F16945" s="326"/>
      <c r="G16945" s="326"/>
      <c r="H16945" s="326"/>
      <c r="P16945" s="318"/>
      <c r="Q16945" s="318"/>
      <c r="R16945" s="318"/>
      <c r="S16945" s="318"/>
      <c r="T16945" s="318"/>
      <c r="U16945" s="318"/>
      <c r="V16945" s="318"/>
      <c r="W16945" s="318"/>
      <c r="X16945" s="318"/>
      <c r="Y16945" s="318"/>
      <c r="Z16945" s="318"/>
      <c r="AA16945" s="318"/>
      <c r="AB16945" s="318"/>
      <c r="AC16945" s="318"/>
      <c r="AD16945" s="318"/>
    </row>
    <row r="16946" spans="2:30" s="323" customFormat="1" ht="12" customHeight="1">
      <c r="B16946" s="324"/>
      <c r="C16946" s="325"/>
      <c r="D16946" s="326"/>
      <c r="E16946" s="326"/>
      <c r="F16946" s="326"/>
      <c r="G16946" s="326"/>
      <c r="H16946" s="326"/>
      <c r="P16946" s="318"/>
      <c r="Q16946" s="318"/>
      <c r="R16946" s="318"/>
      <c r="S16946" s="318"/>
      <c r="T16946" s="318"/>
      <c r="U16946" s="318"/>
      <c r="V16946" s="318"/>
      <c r="W16946" s="318"/>
      <c r="X16946" s="318"/>
      <c r="Y16946" s="318"/>
      <c r="Z16946" s="318"/>
      <c r="AA16946" s="318"/>
      <c r="AB16946" s="318"/>
      <c r="AC16946" s="318"/>
      <c r="AD16946" s="318"/>
    </row>
    <row r="16947" spans="2:30" s="323" customFormat="1" ht="12" customHeight="1">
      <c r="B16947" s="324"/>
      <c r="C16947" s="325"/>
      <c r="D16947" s="326"/>
      <c r="E16947" s="326"/>
      <c r="F16947" s="326"/>
      <c r="G16947" s="326"/>
      <c r="H16947" s="326"/>
      <c r="P16947" s="318"/>
      <c r="Q16947" s="318"/>
      <c r="R16947" s="318"/>
      <c r="S16947" s="318"/>
      <c r="T16947" s="318"/>
      <c r="U16947" s="318"/>
      <c r="V16947" s="318"/>
      <c r="W16947" s="318"/>
      <c r="X16947" s="318"/>
      <c r="Y16947" s="318"/>
      <c r="Z16947" s="318"/>
      <c r="AA16947" s="318"/>
      <c r="AB16947" s="318"/>
      <c r="AC16947" s="318"/>
      <c r="AD16947" s="318"/>
    </row>
    <row r="16948" spans="2:30" s="323" customFormat="1" ht="12" customHeight="1">
      <c r="B16948" s="324"/>
      <c r="C16948" s="325"/>
      <c r="D16948" s="326"/>
      <c r="E16948" s="326"/>
      <c r="F16948" s="326"/>
      <c r="G16948" s="326"/>
      <c r="H16948" s="326"/>
      <c r="P16948" s="318"/>
      <c r="Q16948" s="318"/>
      <c r="R16948" s="318"/>
      <c r="S16948" s="318"/>
      <c r="T16948" s="318"/>
      <c r="U16948" s="318"/>
      <c r="V16948" s="318"/>
      <c r="W16948" s="318"/>
      <c r="X16948" s="318"/>
      <c r="Y16948" s="318"/>
      <c r="Z16948" s="318"/>
      <c r="AA16948" s="318"/>
      <c r="AB16948" s="318"/>
      <c r="AC16948" s="318"/>
      <c r="AD16948" s="318"/>
    </row>
    <row r="16949" spans="2:30" s="323" customFormat="1" ht="12" customHeight="1">
      <c r="B16949" s="324"/>
      <c r="C16949" s="325"/>
      <c r="D16949" s="326"/>
      <c r="E16949" s="326"/>
      <c r="F16949" s="326"/>
      <c r="G16949" s="326"/>
      <c r="H16949" s="326"/>
      <c r="P16949" s="318"/>
      <c r="Q16949" s="318"/>
      <c r="R16949" s="318"/>
      <c r="S16949" s="318"/>
      <c r="T16949" s="318"/>
      <c r="U16949" s="318"/>
      <c r="V16949" s="318"/>
      <c r="W16949" s="318"/>
      <c r="X16949" s="318"/>
      <c r="Y16949" s="318"/>
      <c r="Z16949" s="318"/>
      <c r="AA16949" s="318"/>
      <c r="AB16949" s="318"/>
      <c r="AC16949" s="318"/>
      <c r="AD16949" s="318"/>
    </row>
    <row r="16950" spans="2:30" s="323" customFormat="1" ht="12" customHeight="1">
      <c r="B16950" s="324"/>
      <c r="C16950" s="325"/>
      <c r="D16950" s="326"/>
      <c r="E16950" s="326"/>
      <c r="F16950" s="326"/>
      <c r="G16950" s="326"/>
      <c r="H16950" s="326"/>
      <c r="P16950" s="318"/>
      <c r="Q16950" s="318"/>
      <c r="R16950" s="318"/>
      <c r="S16950" s="318"/>
      <c r="T16950" s="318"/>
      <c r="U16950" s="318"/>
      <c r="V16950" s="318"/>
      <c r="W16950" s="318"/>
      <c r="X16950" s="318"/>
      <c r="Y16950" s="318"/>
      <c r="Z16950" s="318"/>
      <c r="AA16950" s="318"/>
      <c r="AB16950" s="318"/>
      <c r="AC16950" s="318"/>
      <c r="AD16950" s="318"/>
    </row>
    <row r="16951" spans="2:30" s="323" customFormat="1" ht="12" customHeight="1">
      <c r="B16951" s="324"/>
      <c r="C16951" s="325"/>
      <c r="D16951" s="326"/>
      <c r="E16951" s="326"/>
      <c r="F16951" s="326"/>
      <c r="G16951" s="326"/>
      <c r="H16951" s="326"/>
      <c r="P16951" s="318"/>
      <c r="Q16951" s="318"/>
      <c r="R16951" s="318"/>
      <c r="S16951" s="318"/>
      <c r="T16951" s="318"/>
      <c r="U16951" s="318"/>
      <c r="V16951" s="318"/>
      <c r="W16951" s="318"/>
      <c r="X16951" s="318"/>
      <c r="Y16951" s="318"/>
      <c r="Z16951" s="318"/>
      <c r="AA16951" s="318"/>
      <c r="AB16951" s="318"/>
      <c r="AC16951" s="318"/>
      <c r="AD16951" s="318"/>
    </row>
    <row r="16952" spans="2:30" s="323" customFormat="1" ht="12" customHeight="1">
      <c r="B16952" s="324"/>
      <c r="C16952" s="325"/>
      <c r="D16952" s="326"/>
      <c r="E16952" s="326"/>
      <c r="F16952" s="326"/>
      <c r="G16952" s="326"/>
      <c r="H16952" s="326"/>
      <c r="P16952" s="318"/>
      <c r="Q16952" s="318"/>
      <c r="R16952" s="318"/>
      <c r="S16952" s="318"/>
      <c r="T16952" s="318"/>
      <c r="U16952" s="318"/>
      <c r="V16952" s="318"/>
      <c r="W16952" s="318"/>
      <c r="X16952" s="318"/>
      <c r="Y16952" s="318"/>
      <c r="Z16952" s="318"/>
      <c r="AA16952" s="318"/>
      <c r="AB16952" s="318"/>
      <c r="AC16952" s="318"/>
      <c r="AD16952" s="318"/>
    </row>
    <row r="16953" spans="2:30" s="323" customFormat="1" ht="12" customHeight="1">
      <c r="B16953" s="324"/>
      <c r="C16953" s="325"/>
      <c r="D16953" s="326"/>
      <c r="E16953" s="326"/>
      <c r="F16953" s="326"/>
      <c r="G16953" s="326"/>
      <c r="H16953" s="326"/>
      <c r="P16953" s="318"/>
      <c r="Q16953" s="318"/>
      <c r="R16953" s="318"/>
      <c r="S16953" s="318"/>
      <c r="T16953" s="318"/>
      <c r="U16953" s="318"/>
      <c r="V16953" s="318"/>
      <c r="W16953" s="318"/>
      <c r="X16953" s="318"/>
      <c r="Y16953" s="318"/>
      <c r="Z16953" s="318"/>
      <c r="AA16953" s="318"/>
      <c r="AB16953" s="318"/>
      <c r="AC16953" s="318"/>
      <c r="AD16953" s="318"/>
    </row>
    <row r="16954" spans="2:30" s="323" customFormat="1" ht="12" customHeight="1">
      <c r="B16954" s="324"/>
      <c r="C16954" s="325"/>
      <c r="D16954" s="326"/>
      <c r="E16954" s="326"/>
      <c r="F16954" s="326"/>
      <c r="G16954" s="326"/>
      <c r="H16954" s="326"/>
      <c r="P16954" s="318"/>
      <c r="Q16954" s="318"/>
      <c r="R16954" s="318"/>
      <c r="S16954" s="318"/>
      <c r="T16954" s="318"/>
      <c r="U16954" s="318"/>
      <c r="V16954" s="318"/>
      <c r="W16954" s="318"/>
      <c r="X16954" s="318"/>
      <c r="Y16954" s="318"/>
      <c r="Z16954" s="318"/>
      <c r="AA16954" s="318"/>
      <c r="AB16954" s="318"/>
      <c r="AC16954" s="318"/>
      <c r="AD16954" s="318"/>
    </row>
    <row r="16955" spans="2:30" s="323" customFormat="1" ht="12" customHeight="1">
      <c r="B16955" s="324"/>
      <c r="C16955" s="325"/>
      <c r="D16955" s="326"/>
      <c r="E16955" s="326"/>
      <c r="F16955" s="326"/>
      <c r="G16955" s="326"/>
      <c r="H16955" s="326"/>
      <c r="P16955" s="318"/>
      <c r="Q16955" s="318"/>
      <c r="R16955" s="318"/>
      <c r="S16955" s="318"/>
      <c r="T16955" s="318"/>
      <c r="U16955" s="318"/>
      <c r="V16955" s="318"/>
      <c r="W16955" s="318"/>
      <c r="X16955" s="318"/>
      <c r="Y16955" s="318"/>
      <c r="Z16955" s="318"/>
      <c r="AA16955" s="318"/>
      <c r="AB16955" s="318"/>
      <c r="AC16955" s="318"/>
      <c r="AD16955" s="318"/>
    </row>
    <row r="16956" spans="2:30" s="323" customFormat="1" ht="12" customHeight="1">
      <c r="B16956" s="324"/>
      <c r="C16956" s="325"/>
      <c r="D16956" s="326"/>
      <c r="E16956" s="326"/>
      <c r="F16956" s="326"/>
      <c r="G16956" s="326"/>
      <c r="H16956" s="326"/>
      <c r="P16956" s="318"/>
      <c r="Q16956" s="318"/>
      <c r="R16956" s="318"/>
      <c r="S16956" s="318"/>
      <c r="T16956" s="318"/>
      <c r="U16956" s="318"/>
      <c r="V16956" s="318"/>
      <c r="W16956" s="318"/>
      <c r="X16956" s="318"/>
      <c r="Y16956" s="318"/>
      <c r="Z16956" s="318"/>
      <c r="AA16956" s="318"/>
      <c r="AB16956" s="318"/>
      <c r="AC16956" s="318"/>
      <c r="AD16956" s="318"/>
    </row>
    <row r="16957" spans="2:30" s="323" customFormat="1" ht="12" customHeight="1">
      <c r="B16957" s="324"/>
      <c r="C16957" s="325"/>
      <c r="D16957" s="326"/>
      <c r="E16957" s="326"/>
      <c r="F16957" s="326"/>
      <c r="G16957" s="326"/>
      <c r="H16957" s="326"/>
      <c r="P16957" s="318"/>
      <c r="Q16957" s="318"/>
      <c r="R16957" s="318"/>
      <c r="S16957" s="318"/>
      <c r="T16957" s="318"/>
      <c r="U16957" s="318"/>
      <c r="V16957" s="318"/>
      <c r="W16957" s="318"/>
      <c r="X16957" s="318"/>
      <c r="Y16957" s="318"/>
      <c r="Z16957" s="318"/>
      <c r="AA16957" s="318"/>
      <c r="AB16957" s="318"/>
      <c r="AC16957" s="318"/>
      <c r="AD16957" s="318"/>
    </row>
    <row r="16958" spans="2:30" s="323" customFormat="1" ht="12" customHeight="1">
      <c r="B16958" s="324"/>
      <c r="C16958" s="325"/>
      <c r="D16958" s="326"/>
      <c r="E16958" s="326"/>
      <c r="F16958" s="326"/>
      <c r="G16958" s="326"/>
      <c r="H16958" s="326"/>
      <c r="P16958" s="318"/>
      <c r="Q16958" s="318"/>
      <c r="R16958" s="318"/>
      <c r="S16958" s="318"/>
      <c r="T16958" s="318"/>
      <c r="U16958" s="318"/>
      <c r="V16958" s="318"/>
      <c r="W16958" s="318"/>
      <c r="X16958" s="318"/>
      <c r="Y16958" s="318"/>
      <c r="Z16958" s="318"/>
      <c r="AA16958" s="318"/>
      <c r="AB16958" s="318"/>
      <c r="AC16958" s="318"/>
      <c r="AD16958" s="318"/>
    </row>
    <row r="16959" spans="2:30" s="323" customFormat="1" ht="12" customHeight="1">
      <c r="B16959" s="324"/>
      <c r="C16959" s="325"/>
      <c r="D16959" s="326"/>
      <c r="E16959" s="326"/>
      <c r="F16959" s="326"/>
      <c r="G16959" s="326"/>
      <c r="H16959" s="326"/>
      <c r="P16959" s="318"/>
      <c r="Q16959" s="318"/>
      <c r="R16959" s="318"/>
      <c r="S16959" s="318"/>
      <c r="T16959" s="318"/>
      <c r="U16959" s="318"/>
      <c r="V16959" s="318"/>
      <c r="W16959" s="318"/>
      <c r="X16959" s="318"/>
      <c r="Y16959" s="318"/>
      <c r="Z16959" s="318"/>
      <c r="AA16959" s="318"/>
      <c r="AB16959" s="318"/>
      <c r="AC16959" s="318"/>
      <c r="AD16959" s="318"/>
    </row>
    <row r="16960" spans="2:30" s="323" customFormat="1" ht="12" customHeight="1">
      <c r="B16960" s="324"/>
      <c r="C16960" s="325"/>
      <c r="D16960" s="326"/>
      <c r="E16960" s="326"/>
      <c r="F16960" s="326"/>
      <c r="G16960" s="326"/>
      <c r="H16960" s="326"/>
      <c r="P16960" s="318"/>
      <c r="Q16960" s="318"/>
      <c r="R16960" s="318"/>
      <c r="S16960" s="318"/>
      <c r="T16960" s="318"/>
      <c r="U16960" s="318"/>
      <c r="V16960" s="318"/>
      <c r="W16960" s="318"/>
      <c r="X16960" s="318"/>
      <c r="Y16960" s="318"/>
      <c r="Z16960" s="318"/>
      <c r="AA16960" s="318"/>
      <c r="AB16960" s="318"/>
      <c r="AC16960" s="318"/>
      <c r="AD16960" s="318"/>
    </row>
    <row r="16961" spans="2:30" s="323" customFormat="1" ht="12" customHeight="1">
      <c r="B16961" s="324"/>
      <c r="C16961" s="325"/>
      <c r="D16961" s="326"/>
      <c r="E16961" s="326"/>
      <c r="F16961" s="326"/>
      <c r="G16961" s="326"/>
      <c r="H16961" s="326"/>
      <c r="P16961" s="318"/>
      <c r="Q16961" s="318"/>
      <c r="R16961" s="318"/>
      <c r="S16961" s="318"/>
      <c r="T16961" s="318"/>
      <c r="U16961" s="318"/>
      <c r="V16961" s="318"/>
      <c r="W16961" s="318"/>
      <c r="X16961" s="318"/>
      <c r="Y16961" s="318"/>
      <c r="Z16961" s="318"/>
      <c r="AA16961" s="318"/>
      <c r="AB16961" s="318"/>
      <c r="AC16961" s="318"/>
      <c r="AD16961" s="318"/>
    </row>
    <row r="16962" spans="2:30" s="323" customFormat="1" ht="12" customHeight="1">
      <c r="B16962" s="324"/>
      <c r="C16962" s="325"/>
      <c r="D16962" s="326"/>
      <c r="E16962" s="326"/>
      <c r="F16962" s="326"/>
      <c r="G16962" s="326"/>
      <c r="H16962" s="326"/>
      <c r="P16962" s="318"/>
      <c r="Q16962" s="318"/>
      <c r="R16962" s="318"/>
      <c r="S16962" s="318"/>
      <c r="T16962" s="318"/>
      <c r="U16962" s="318"/>
      <c r="V16962" s="318"/>
      <c r="W16962" s="318"/>
      <c r="X16962" s="318"/>
      <c r="Y16962" s="318"/>
      <c r="Z16962" s="318"/>
      <c r="AA16962" s="318"/>
      <c r="AB16962" s="318"/>
      <c r="AC16962" s="318"/>
      <c r="AD16962" s="318"/>
    </row>
    <row r="16963" spans="2:30" s="323" customFormat="1" ht="12" customHeight="1">
      <c r="B16963" s="324"/>
      <c r="C16963" s="325"/>
      <c r="D16963" s="326"/>
      <c r="E16963" s="326"/>
      <c r="F16963" s="326"/>
      <c r="G16963" s="326"/>
      <c r="H16963" s="326"/>
      <c r="P16963" s="318"/>
      <c r="Q16963" s="318"/>
      <c r="R16963" s="318"/>
      <c r="S16963" s="318"/>
      <c r="T16963" s="318"/>
      <c r="U16963" s="318"/>
      <c r="V16963" s="318"/>
      <c r="W16963" s="318"/>
      <c r="X16963" s="318"/>
      <c r="Y16963" s="318"/>
      <c r="Z16963" s="318"/>
      <c r="AA16963" s="318"/>
      <c r="AB16963" s="318"/>
      <c r="AC16963" s="318"/>
      <c r="AD16963" s="318"/>
    </row>
    <row r="16964" spans="2:30" s="323" customFormat="1" ht="12" customHeight="1">
      <c r="B16964" s="324"/>
      <c r="C16964" s="325"/>
      <c r="D16964" s="326"/>
      <c r="E16964" s="326"/>
      <c r="F16964" s="326"/>
      <c r="G16964" s="326"/>
      <c r="H16964" s="326"/>
      <c r="P16964" s="318"/>
      <c r="Q16964" s="318"/>
      <c r="R16964" s="318"/>
      <c r="S16964" s="318"/>
      <c r="T16964" s="318"/>
      <c r="U16964" s="318"/>
      <c r="V16964" s="318"/>
      <c r="W16964" s="318"/>
      <c r="X16964" s="318"/>
      <c r="Y16964" s="318"/>
      <c r="Z16964" s="318"/>
      <c r="AA16964" s="318"/>
      <c r="AB16964" s="318"/>
      <c r="AC16964" s="318"/>
      <c r="AD16964" s="318"/>
    </row>
    <row r="16965" spans="2:30" s="323" customFormat="1" ht="12" customHeight="1">
      <c r="B16965" s="324"/>
      <c r="C16965" s="325"/>
      <c r="D16965" s="326"/>
      <c r="E16965" s="326"/>
      <c r="F16965" s="326"/>
      <c r="G16965" s="326"/>
      <c r="H16965" s="326"/>
      <c r="P16965" s="318"/>
      <c r="Q16965" s="318"/>
      <c r="R16965" s="318"/>
      <c r="S16965" s="318"/>
      <c r="T16965" s="318"/>
      <c r="U16965" s="318"/>
      <c r="V16965" s="318"/>
      <c r="W16965" s="318"/>
      <c r="X16965" s="318"/>
      <c r="Y16965" s="318"/>
      <c r="Z16965" s="318"/>
      <c r="AA16965" s="318"/>
      <c r="AB16965" s="318"/>
      <c r="AC16965" s="318"/>
      <c r="AD16965" s="318"/>
    </row>
    <row r="16966" spans="2:30" s="323" customFormat="1" ht="12" customHeight="1">
      <c r="B16966" s="324"/>
      <c r="C16966" s="325"/>
      <c r="D16966" s="326"/>
      <c r="E16966" s="326"/>
      <c r="F16966" s="326"/>
      <c r="G16966" s="326"/>
      <c r="H16966" s="326"/>
      <c r="P16966" s="318"/>
      <c r="Q16966" s="318"/>
      <c r="R16966" s="318"/>
      <c r="S16966" s="318"/>
      <c r="T16966" s="318"/>
      <c r="U16966" s="318"/>
      <c r="V16966" s="318"/>
      <c r="W16966" s="318"/>
      <c r="X16966" s="318"/>
      <c r="Y16966" s="318"/>
      <c r="Z16966" s="318"/>
      <c r="AA16966" s="318"/>
      <c r="AB16966" s="318"/>
      <c r="AC16966" s="318"/>
      <c r="AD16966" s="318"/>
    </row>
    <row r="16967" spans="2:30" s="323" customFormat="1" ht="12" customHeight="1">
      <c r="B16967" s="324"/>
      <c r="C16967" s="325"/>
      <c r="D16967" s="326"/>
      <c r="E16967" s="326"/>
      <c r="F16967" s="326"/>
      <c r="G16967" s="326"/>
      <c r="H16967" s="326"/>
      <c r="P16967" s="318"/>
      <c r="Q16967" s="318"/>
      <c r="R16967" s="318"/>
      <c r="S16967" s="318"/>
      <c r="T16967" s="318"/>
      <c r="U16967" s="318"/>
      <c r="V16967" s="318"/>
      <c r="W16967" s="318"/>
      <c r="X16967" s="318"/>
      <c r="Y16967" s="318"/>
      <c r="Z16967" s="318"/>
      <c r="AA16967" s="318"/>
      <c r="AB16967" s="318"/>
      <c r="AC16967" s="318"/>
      <c r="AD16967" s="318"/>
    </row>
    <row r="16968" spans="2:30" s="323" customFormat="1" ht="12" customHeight="1">
      <c r="B16968" s="324"/>
      <c r="C16968" s="325"/>
      <c r="D16968" s="326"/>
      <c r="E16968" s="326"/>
      <c r="F16968" s="326"/>
      <c r="G16968" s="326"/>
      <c r="H16968" s="326"/>
      <c r="P16968" s="318"/>
      <c r="Q16968" s="318"/>
      <c r="R16968" s="318"/>
      <c r="S16968" s="318"/>
      <c r="T16968" s="318"/>
      <c r="U16968" s="318"/>
      <c r="V16968" s="318"/>
      <c r="W16968" s="318"/>
      <c r="X16968" s="318"/>
      <c r="Y16968" s="318"/>
      <c r="Z16968" s="318"/>
      <c r="AA16968" s="318"/>
      <c r="AB16968" s="318"/>
      <c r="AC16968" s="318"/>
      <c r="AD16968" s="318"/>
    </row>
    <row r="16969" spans="2:30" s="323" customFormat="1" ht="12" customHeight="1">
      <c r="B16969" s="324"/>
      <c r="C16969" s="325"/>
      <c r="D16969" s="326"/>
      <c r="E16969" s="326"/>
      <c r="F16969" s="326"/>
      <c r="G16969" s="326"/>
      <c r="H16969" s="326"/>
      <c r="P16969" s="318"/>
      <c r="Q16969" s="318"/>
      <c r="R16969" s="318"/>
      <c r="S16969" s="318"/>
      <c r="T16969" s="318"/>
      <c r="U16969" s="318"/>
      <c r="V16969" s="318"/>
      <c r="W16969" s="318"/>
      <c r="X16969" s="318"/>
      <c r="Y16969" s="318"/>
      <c r="Z16969" s="318"/>
      <c r="AA16969" s="318"/>
      <c r="AB16969" s="318"/>
      <c r="AC16969" s="318"/>
      <c r="AD16969" s="318"/>
    </row>
    <row r="16970" spans="2:30" s="323" customFormat="1" ht="12" customHeight="1">
      <c r="B16970" s="324"/>
      <c r="C16970" s="325"/>
      <c r="D16970" s="326"/>
      <c r="E16970" s="326"/>
      <c r="F16970" s="326"/>
      <c r="G16970" s="326"/>
      <c r="H16970" s="326"/>
      <c r="P16970" s="318"/>
      <c r="Q16970" s="318"/>
      <c r="R16970" s="318"/>
      <c r="S16970" s="318"/>
      <c r="T16970" s="318"/>
      <c r="U16970" s="318"/>
      <c r="V16970" s="318"/>
      <c r="W16970" s="318"/>
      <c r="X16970" s="318"/>
      <c r="Y16970" s="318"/>
      <c r="Z16970" s="318"/>
      <c r="AA16970" s="318"/>
      <c r="AB16970" s="318"/>
      <c r="AC16970" s="318"/>
      <c r="AD16970" s="318"/>
    </row>
    <row r="16971" spans="2:30" s="323" customFormat="1" ht="12" customHeight="1">
      <c r="B16971" s="324"/>
      <c r="C16971" s="325"/>
      <c r="D16971" s="326"/>
      <c r="E16971" s="326"/>
      <c r="F16971" s="326"/>
      <c r="G16971" s="326"/>
      <c r="H16971" s="326"/>
      <c r="P16971" s="318"/>
      <c r="Q16971" s="318"/>
      <c r="R16971" s="318"/>
      <c r="S16971" s="318"/>
      <c r="T16971" s="318"/>
      <c r="U16971" s="318"/>
      <c r="V16971" s="318"/>
      <c r="W16971" s="318"/>
      <c r="X16971" s="318"/>
      <c r="Y16971" s="318"/>
      <c r="Z16971" s="318"/>
      <c r="AA16971" s="318"/>
      <c r="AB16971" s="318"/>
      <c r="AC16971" s="318"/>
      <c r="AD16971" s="318"/>
    </row>
    <row r="16972" spans="2:30" s="323" customFormat="1" ht="12" customHeight="1">
      <c r="B16972" s="324"/>
      <c r="C16972" s="325"/>
      <c r="D16972" s="326"/>
      <c r="E16972" s="326"/>
      <c r="F16972" s="326"/>
      <c r="G16972" s="326"/>
      <c r="H16972" s="326"/>
      <c r="P16972" s="318"/>
      <c r="Q16972" s="318"/>
      <c r="R16972" s="318"/>
      <c r="S16972" s="318"/>
      <c r="T16972" s="318"/>
      <c r="U16972" s="318"/>
      <c r="V16972" s="318"/>
      <c r="W16972" s="318"/>
      <c r="X16972" s="318"/>
      <c r="Y16972" s="318"/>
      <c r="Z16972" s="318"/>
      <c r="AA16972" s="318"/>
      <c r="AB16972" s="318"/>
      <c r="AC16972" s="318"/>
      <c r="AD16972" s="318"/>
    </row>
    <row r="16973" spans="2:30" s="323" customFormat="1" ht="12" customHeight="1">
      <c r="B16973" s="324"/>
      <c r="C16973" s="325"/>
      <c r="D16973" s="326"/>
      <c r="E16973" s="326"/>
      <c r="F16973" s="326"/>
      <c r="G16973" s="326"/>
      <c r="H16973" s="326"/>
      <c r="P16973" s="318"/>
      <c r="Q16973" s="318"/>
      <c r="R16973" s="318"/>
      <c r="S16973" s="318"/>
      <c r="T16973" s="318"/>
      <c r="U16973" s="318"/>
      <c r="V16973" s="318"/>
      <c r="W16973" s="318"/>
      <c r="X16973" s="318"/>
      <c r="Y16973" s="318"/>
      <c r="Z16973" s="318"/>
      <c r="AA16973" s="318"/>
      <c r="AB16973" s="318"/>
      <c r="AC16973" s="318"/>
      <c r="AD16973" s="318"/>
    </row>
    <row r="16974" spans="2:30" s="323" customFormat="1" ht="12" customHeight="1">
      <c r="B16974" s="324"/>
      <c r="C16974" s="325"/>
      <c r="D16974" s="326"/>
      <c r="E16974" s="326"/>
      <c r="F16974" s="326"/>
      <c r="G16974" s="326"/>
      <c r="H16974" s="326"/>
      <c r="P16974" s="318"/>
      <c r="Q16974" s="318"/>
      <c r="R16974" s="318"/>
      <c r="S16974" s="318"/>
      <c r="T16974" s="318"/>
      <c r="U16974" s="318"/>
      <c r="V16974" s="318"/>
      <c r="W16974" s="318"/>
      <c r="X16974" s="318"/>
      <c r="Y16974" s="318"/>
      <c r="Z16974" s="318"/>
      <c r="AA16974" s="318"/>
      <c r="AB16974" s="318"/>
      <c r="AC16974" s="318"/>
      <c r="AD16974" s="318"/>
    </row>
    <row r="16975" spans="2:30" s="323" customFormat="1" ht="12" customHeight="1">
      <c r="B16975" s="324"/>
      <c r="C16975" s="325"/>
      <c r="D16975" s="326"/>
      <c r="E16975" s="326"/>
      <c r="F16975" s="326"/>
      <c r="G16975" s="326"/>
      <c r="H16975" s="326"/>
      <c r="P16975" s="318"/>
      <c r="Q16975" s="318"/>
      <c r="R16975" s="318"/>
      <c r="S16975" s="318"/>
      <c r="T16975" s="318"/>
      <c r="U16975" s="318"/>
      <c r="V16975" s="318"/>
      <c r="W16975" s="318"/>
      <c r="X16975" s="318"/>
      <c r="Y16975" s="318"/>
      <c r="Z16975" s="318"/>
      <c r="AA16975" s="318"/>
      <c r="AB16975" s="318"/>
      <c r="AC16975" s="318"/>
      <c r="AD16975" s="318"/>
    </row>
    <row r="16976" spans="2:30" s="323" customFormat="1" ht="12" customHeight="1">
      <c r="B16976" s="324"/>
      <c r="C16976" s="325"/>
      <c r="D16976" s="326"/>
      <c r="E16976" s="326"/>
      <c r="F16976" s="326"/>
      <c r="G16976" s="326"/>
      <c r="H16976" s="326"/>
      <c r="P16976" s="318"/>
      <c r="Q16976" s="318"/>
      <c r="R16976" s="318"/>
      <c r="S16976" s="318"/>
      <c r="T16976" s="318"/>
      <c r="U16976" s="318"/>
      <c r="V16976" s="318"/>
      <c r="W16976" s="318"/>
      <c r="X16976" s="318"/>
      <c r="Y16976" s="318"/>
      <c r="Z16976" s="318"/>
      <c r="AA16976" s="318"/>
      <c r="AB16976" s="318"/>
      <c r="AC16976" s="318"/>
      <c r="AD16976" s="318"/>
    </row>
    <row r="16977" spans="2:30" s="323" customFormat="1" ht="12" customHeight="1">
      <c r="B16977" s="324"/>
      <c r="C16977" s="325"/>
      <c r="D16977" s="326"/>
      <c r="E16977" s="326"/>
      <c r="F16977" s="326"/>
      <c r="G16977" s="326"/>
      <c r="H16977" s="326"/>
      <c r="P16977" s="318"/>
      <c r="Q16977" s="318"/>
      <c r="R16977" s="318"/>
      <c r="S16977" s="318"/>
      <c r="T16977" s="318"/>
      <c r="U16977" s="318"/>
      <c r="V16977" s="318"/>
      <c r="W16977" s="318"/>
      <c r="X16977" s="318"/>
      <c r="Y16977" s="318"/>
      <c r="Z16977" s="318"/>
      <c r="AA16977" s="318"/>
      <c r="AB16977" s="318"/>
      <c r="AC16977" s="318"/>
      <c r="AD16977" s="318"/>
    </row>
    <row r="16978" spans="2:30" s="323" customFormat="1" ht="12" customHeight="1">
      <c r="B16978" s="324"/>
      <c r="C16978" s="325"/>
      <c r="D16978" s="326"/>
      <c r="E16978" s="326"/>
      <c r="F16978" s="326"/>
      <c r="G16978" s="326"/>
      <c r="H16978" s="326"/>
      <c r="P16978" s="318"/>
      <c r="Q16978" s="318"/>
      <c r="R16978" s="318"/>
      <c r="S16978" s="318"/>
      <c r="T16978" s="318"/>
      <c r="U16978" s="318"/>
      <c r="V16978" s="318"/>
      <c r="W16978" s="318"/>
      <c r="X16978" s="318"/>
      <c r="Y16978" s="318"/>
      <c r="Z16978" s="318"/>
      <c r="AA16978" s="318"/>
      <c r="AB16978" s="318"/>
      <c r="AC16978" s="318"/>
      <c r="AD16978" s="318"/>
    </row>
    <row r="16979" spans="2:30" s="323" customFormat="1" ht="12" customHeight="1">
      <c r="B16979" s="324"/>
      <c r="C16979" s="325"/>
      <c r="D16979" s="326"/>
      <c r="E16979" s="326"/>
      <c r="F16979" s="326"/>
      <c r="G16979" s="326"/>
      <c r="H16979" s="326"/>
      <c r="P16979" s="318"/>
      <c r="Q16979" s="318"/>
      <c r="R16979" s="318"/>
      <c r="S16979" s="318"/>
      <c r="T16979" s="318"/>
      <c r="U16979" s="318"/>
      <c r="V16979" s="318"/>
      <c r="W16979" s="318"/>
      <c r="X16979" s="318"/>
      <c r="Y16979" s="318"/>
      <c r="Z16979" s="318"/>
      <c r="AA16979" s="318"/>
      <c r="AB16979" s="318"/>
      <c r="AC16979" s="318"/>
      <c r="AD16979" s="318"/>
    </row>
    <row r="16980" spans="2:30" s="323" customFormat="1" ht="12" customHeight="1">
      <c r="B16980" s="324"/>
      <c r="C16980" s="325"/>
      <c r="D16980" s="326"/>
      <c r="E16980" s="326"/>
      <c r="F16980" s="326"/>
      <c r="G16980" s="326"/>
      <c r="H16980" s="326"/>
      <c r="P16980" s="318"/>
      <c r="Q16980" s="318"/>
      <c r="R16980" s="318"/>
      <c r="S16980" s="318"/>
      <c r="T16980" s="318"/>
      <c r="U16980" s="318"/>
      <c r="V16980" s="318"/>
      <c r="W16980" s="318"/>
      <c r="X16980" s="318"/>
      <c r="Y16980" s="318"/>
      <c r="Z16980" s="318"/>
      <c r="AA16980" s="318"/>
      <c r="AB16980" s="318"/>
      <c r="AC16980" s="318"/>
      <c r="AD16980" s="318"/>
    </row>
    <row r="16981" spans="2:30" s="323" customFormat="1" ht="12" customHeight="1">
      <c r="B16981" s="324"/>
      <c r="C16981" s="325"/>
      <c r="D16981" s="326"/>
      <c r="E16981" s="326"/>
      <c r="F16981" s="326"/>
      <c r="G16981" s="326"/>
      <c r="H16981" s="326"/>
      <c r="P16981" s="318"/>
      <c r="Q16981" s="318"/>
      <c r="R16981" s="318"/>
      <c r="S16981" s="318"/>
      <c r="T16981" s="318"/>
      <c r="U16981" s="318"/>
      <c r="V16981" s="318"/>
      <c r="W16981" s="318"/>
      <c r="X16981" s="318"/>
      <c r="Y16981" s="318"/>
      <c r="Z16981" s="318"/>
      <c r="AA16981" s="318"/>
      <c r="AB16981" s="318"/>
      <c r="AC16981" s="318"/>
      <c r="AD16981" s="318"/>
    </row>
    <row r="16982" spans="2:30" s="323" customFormat="1" ht="12" customHeight="1">
      <c r="B16982" s="324"/>
      <c r="C16982" s="325"/>
      <c r="D16982" s="326"/>
      <c r="E16982" s="326"/>
      <c r="F16982" s="326"/>
      <c r="G16982" s="326"/>
      <c r="H16982" s="326"/>
      <c r="P16982" s="318"/>
      <c r="Q16982" s="318"/>
      <c r="R16982" s="318"/>
      <c r="S16982" s="318"/>
      <c r="T16982" s="318"/>
      <c r="U16982" s="318"/>
      <c r="V16982" s="318"/>
      <c r="W16982" s="318"/>
      <c r="X16982" s="318"/>
      <c r="Y16982" s="318"/>
      <c r="Z16982" s="318"/>
      <c r="AA16982" s="318"/>
      <c r="AB16982" s="318"/>
      <c r="AC16982" s="318"/>
      <c r="AD16982" s="318"/>
    </row>
    <row r="16983" spans="2:30" s="323" customFormat="1" ht="12" customHeight="1">
      <c r="B16983" s="324"/>
      <c r="C16983" s="325"/>
      <c r="D16983" s="326"/>
      <c r="E16983" s="326"/>
      <c r="F16983" s="326"/>
      <c r="G16983" s="326"/>
      <c r="H16983" s="326"/>
      <c r="P16983" s="318"/>
      <c r="Q16983" s="318"/>
      <c r="R16983" s="318"/>
      <c r="S16983" s="318"/>
      <c r="T16983" s="318"/>
      <c r="U16983" s="318"/>
      <c r="V16983" s="318"/>
      <c r="W16983" s="318"/>
      <c r="X16983" s="318"/>
      <c r="Y16983" s="318"/>
      <c r="Z16983" s="318"/>
      <c r="AA16983" s="318"/>
      <c r="AB16983" s="318"/>
      <c r="AC16983" s="318"/>
      <c r="AD16983" s="318"/>
    </row>
    <row r="16984" spans="2:30" s="323" customFormat="1" ht="12" customHeight="1">
      <c r="B16984" s="324"/>
      <c r="C16984" s="325"/>
      <c r="D16984" s="326"/>
      <c r="E16984" s="326"/>
      <c r="F16984" s="326"/>
      <c r="G16984" s="326"/>
      <c r="H16984" s="326"/>
      <c r="P16984" s="318"/>
      <c r="Q16984" s="318"/>
      <c r="R16984" s="318"/>
      <c r="S16984" s="318"/>
      <c r="T16984" s="318"/>
      <c r="U16984" s="318"/>
      <c r="V16984" s="318"/>
      <c r="W16984" s="318"/>
      <c r="X16984" s="318"/>
      <c r="Y16984" s="318"/>
      <c r="Z16984" s="318"/>
      <c r="AA16984" s="318"/>
      <c r="AB16984" s="318"/>
      <c r="AC16984" s="318"/>
      <c r="AD16984" s="318"/>
    </row>
    <row r="16985" spans="2:30" s="323" customFormat="1" ht="12" customHeight="1">
      <c r="B16985" s="324"/>
      <c r="C16985" s="325"/>
      <c r="D16985" s="326"/>
      <c r="E16985" s="326"/>
      <c r="F16985" s="326"/>
      <c r="G16985" s="326"/>
      <c r="H16985" s="326"/>
      <c r="P16985" s="318"/>
      <c r="Q16985" s="318"/>
      <c r="R16985" s="318"/>
      <c r="S16985" s="318"/>
      <c r="T16985" s="318"/>
      <c r="U16985" s="318"/>
      <c r="V16985" s="318"/>
      <c r="W16985" s="318"/>
      <c r="X16985" s="318"/>
      <c r="Y16985" s="318"/>
      <c r="Z16985" s="318"/>
      <c r="AA16985" s="318"/>
      <c r="AB16985" s="318"/>
      <c r="AC16985" s="318"/>
      <c r="AD16985" s="318"/>
    </row>
    <row r="16986" spans="2:30" s="323" customFormat="1" ht="12" customHeight="1">
      <c r="B16986" s="324"/>
      <c r="C16986" s="325"/>
      <c r="D16986" s="326"/>
      <c r="E16986" s="326"/>
      <c r="F16986" s="326"/>
      <c r="G16986" s="326"/>
      <c r="H16986" s="326"/>
      <c r="P16986" s="318"/>
      <c r="Q16986" s="318"/>
      <c r="R16986" s="318"/>
      <c r="S16986" s="318"/>
      <c r="T16986" s="318"/>
      <c r="U16986" s="318"/>
      <c r="V16986" s="318"/>
      <c r="W16986" s="318"/>
      <c r="X16986" s="318"/>
      <c r="Y16986" s="318"/>
      <c r="Z16986" s="318"/>
      <c r="AA16986" s="318"/>
      <c r="AB16986" s="318"/>
      <c r="AC16986" s="318"/>
      <c r="AD16986" s="318"/>
    </row>
    <row r="16987" spans="2:30" s="323" customFormat="1" ht="12" customHeight="1">
      <c r="B16987" s="324"/>
      <c r="C16987" s="325"/>
      <c r="D16987" s="326"/>
      <c r="E16987" s="326"/>
      <c r="F16987" s="326"/>
      <c r="G16987" s="326"/>
      <c r="H16987" s="326"/>
      <c r="P16987" s="318"/>
      <c r="Q16987" s="318"/>
      <c r="R16987" s="318"/>
      <c r="S16987" s="318"/>
      <c r="T16987" s="318"/>
      <c r="U16987" s="318"/>
      <c r="V16987" s="318"/>
      <c r="W16987" s="318"/>
      <c r="X16987" s="318"/>
      <c r="Y16987" s="318"/>
      <c r="Z16987" s="318"/>
      <c r="AA16987" s="318"/>
      <c r="AB16987" s="318"/>
      <c r="AC16987" s="318"/>
      <c r="AD16987" s="318"/>
    </row>
    <row r="16988" spans="2:30" s="323" customFormat="1" ht="12" customHeight="1">
      <c r="B16988" s="324"/>
      <c r="C16988" s="325"/>
      <c r="D16988" s="326"/>
      <c r="E16988" s="326"/>
      <c r="F16988" s="326"/>
      <c r="G16988" s="326"/>
      <c r="H16988" s="326"/>
      <c r="P16988" s="318"/>
      <c r="Q16988" s="318"/>
      <c r="R16988" s="318"/>
      <c r="S16988" s="318"/>
      <c r="T16988" s="318"/>
      <c r="U16988" s="318"/>
      <c r="V16988" s="318"/>
      <c r="W16988" s="318"/>
      <c r="X16988" s="318"/>
      <c r="Y16988" s="318"/>
      <c r="Z16988" s="318"/>
      <c r="AA16988" s="318"/>
      <c r="AB16988" s="318"/>
      <c r="AC16988" s="318"/>
      <c r="AD16988" s="318"/>
    </row>
    <row r="16989" spans="2:30" s="323" customFormat="1" ht="12" customHeight="1">
      <c r="B16989" s="324"/>
      <c r="C16989" s="325"/>
      <c r="D16989" s="326"/>
      <c r="E16989" s="326"/>
      <c r="F16989" s="326"/>
      <c r="G16989" s="326"/>
      <c r="H16989" s="326"/>
      <c r="P16989" s="318"/>
      <c r="Q16989" s="318"/>
      <c r="R16989" s="318"/>
      <c r="S16989" s="318"/>
      <c r="T16989" s="318"/>
      <c r="U16989" s="318"/>
      <c r="V16989" s="318"/>
      <c r="W16989" s="318"/>
      <c r="X16989" s="318"/>
      <c r="Y16989" s="318"/>
      <c r="Z16989" s="318"/>
      <c r="AA16989" s="318"/>
      <c r="AB16989" s="318"/>
      <c r="AC16989" s="318"/>
      <c r="AD16989" s="318"/>
    </row>
    <row r="16990" spans="2:30" s="323" customFormat="1" ht="12" customHeight="1">
      <c r="B16990" s="324"/>
      <c r="C16990" s="325"/>
      <c r="D16990" s="326"/>
      <c r="E16990" s="326"/>
      <c r="F16990" s="326"/>
      <c r="G16990" s="326"/>
      <c r="H16990" s="326"/>
      <c r="P16990" s="318"/>
      <c r="Q16990" s="318"/>
      <c r="R16990" s="318"/>
      <c r="S16990" s="318"/>
      <c r="T16990" s="318"/>
      <c r="U16990" s="318"/>
      <c r="V16990" s="318"/>
      <c r="W16990" s="318"/>
      <c r="X16990" s="318"/>
      <c r="Y16990" s="318"/>
      <c r="Z16990" s="318"/>
      <c r="AA16990" s="318"/>
      <c r="AB16990" s="318"/>
      <c r="AC16990" s="318"/>
      <c r="AD16990" s="318"/>
    </row>
    <row r="16991" spans="2:30" s="323" customFormat="1" ht="12" customHeight="1">
      <c r="B16991" s="324"/>
      <c r="C16991" s="325"/>
      <c r="D16991" s="326"/>
      <c r="E16991" s="326"/>
      <c r="F16991" s="326"/>
      <c r="G16991" s="326"/>
      <c r="H16991" s="326"/>
      <c r="P16991" s="318"/>
      <c r="Q16991" s="318"/>
      <c r="R16991" s="318"/>
      <c r="S16991" s="318"/>
      <c r="T16991" s="318"/>
      <c r="U16991" s="318"/>
      <c r="V16991" s="318"/>
      <c r="W16991" s="318"/>
      <c r="X16991" s="318"/>
      <c r="Y16991" s="318"/>
      <c r="Z16991" s="318"/>
      <c r="AA16991" s="318"/>
      <c r="AB16991" s="318"/>
      <c r="AC16991" s="318"/>
      <c r="AD16991" s="318"/>
    </row>
    <row r="16992" spans="2:30" s="323" customFormat="1" ht="12" customHeight="1">
      <c r="B16992" s="324"/>
      <c r="C16992" s="325"/>
      <c r="D16992" s="326"/>
      <c r="E16992" s="326"/>
      <c r="F16992" s="326"/>
      <c r="G16992" s="326"/>
      <c r="H16992" s="326"/>
      <c r="P16992" s="318"/>
      <c r="Q16992" s="318"/>
      <c r="R16992" s="318"/>
      <c r="S16992" s="318"/>
      <c r="T16992" s="318"/>
      <c r="U16992" s="318"/>
      <c r="V16992" s="318"/>
      <c r="W16992" s="318"/>
      <c r="X16992" s="318"/>
      <c r="Y16992" s="318"/>
      <c r="Z16992" s="318"/>
      <c r="AA16992" s="318"/>
      <c r="AB16992" s="318"/>
      <c r="AC16992" s="318"/>
      <c r="AD16992" s="318"/>
    </row>
    <row r="16993" spans="2:30" s="323" customFormat="1" ht="12" customHeight="1">
      <c r="B16993" s="324"/>
      <c r="C16993" s="325"/>
      <c r="D16993" s="326"/>
      <c r="E16993" s="326"/>
      <c r="F16993" s="326"/>
      <c r="G16993" s="326"/>
      <c r="H16993" s="326"/>
      <c r="P16993" s="318"/>
      <c r="Q16993" s="318"/>
      <c r="R16993" s="318"/>
      <c r="S16993" s="318"/>
      <c r="T16993" s="318"/>
      <c r="U16993" s="318"/>
      <c r="V16993" s="318"/>
      <c r="W16993" s="318"/>
      <c r="X16993" s="318"/>
      <c r="Y16993" s="318"/>
      <c r="Z16993" s="318"/>
      <c r="AA16993" s="318"/>
      <c r="AB16993" s="318"/>
      <c r="AC16993" s="318"/>
      <c r="AD16993" s="318"/>
    </row>
    <row r="16994" spans="2:30" s="323" customFormat="1" ht="12" customHeight="1">
      <c r="B16994" s="324"/>
      <c r="C16994" s="325"/>
      <c r="D16994" s="326"/>
      <c r="E16994" s="326"/>
      <c r="F16994" s="326"/>
      <c r="G16994" s="326"/>
      <c r="H16994" s="326"/>
      <c r="P16994" s="318"/>
      <c r="Q16994" s="318"/>
      <c r="R16994" s="318"/>
      <c r="S16994" s="318"/>
      <c r="T16994" s="318"/>
      <c r="U16994" s="318"/>
      <c r="V16994" s="318"/>
      <c r="W16994" s="318"/>
      <c r="X16994" s="318"/>
      <c r="Y16994" s="318"/>
      <c r="Z16994" s="318"/>
      <c r="AA16994" s="318"/>
      <c r="AB16994" s="318"/>
      <c r="AC16994" s="318"/>
      <c r="AD16994" s="318"/>
    </row>
    <row r="16995" spans="2:30" s="323" customFormat="1" ht="12" customHeight="1">
      <c r="B16995" s="324"/>
      <c r="C16995" s="325"/>
      <c r="D16995" s="326"/>
      <c r="E16995" s="326"/>
      <c r="F16995" s="326"/>
      <c r="G16995" s="326"/>
      <c r="H16995" s="326"/>
      <c r="P16995" s="318"/>
      <c r="Q16995" s="318"/>
      <c r="R16995" s="318"/>
      <c r="S16995" s="318"/>
      <c r="T16995" s="318"/>
      <c r="U16995" s="318"/>
      <c r="V16995" s="318"/>
      <c r="W16995" s="318"/>
      <c r="X16995" s="318"/>
      <c r="Y16995" s="318"/>
      <c r="Z16995" s="318"/>
      <c r="AA16995" s="318"/>
      <c r="AB16995" s="318"/>
      <c r="AC16995" s="318"/>
      <c r="AD16995" s="318"/>
    </row>
    <row r="16996" spans="2:30" s="323" customFormat="1" ht="12" customHeight="1">
      <c r="B16996" s="324"/>
      <c r="C16996" s="325"/>
      <c r="D16996" s="326"/>
      <c r="E16996" s="326"/>
      <c r="F16996" s="326"/>
      <c r="G16996" s="326"/>
      <c r="H16996" s="326"/>
      <c r="P16996" s="318"/>
      <c r="Q16996" s="318"/>
      <c r="R16996" s="318"/>
      <c r="S16996" s="318"/>
      <c r="T16996" s="318"/>
      <c r="U16996" s="318"/>
      <c r="V16996" s="318"/>
      <c r="W16996" s="318"/>
      <c r="X16996" s="318"/>
      <c r="Y16996" s="318"/>
      <c r="Z16996" s="318"/>
      <c r="AA16996" s="318"/>
      <c r="AB16996" s="318"/>
      <c r="AC16996" s="318"/>
      <c r="AD16996" s="318"/>
    </row>
    <row r="16997" spans="2:30" s="323" customFormat="1" ht="12" customHeight="1">
      <c r="B16997" s="324"/>
      <c r="C16997" s="325"/>
      <c r="D16997" s="326"/>
      <c r="E16997" s="326"/>
      <c r="F16997" s="326"/>
      <c r="G16997" s="326"/>
      <c r="H16997" s="326"/>
      <c r="P16997" s="318"/>
      <c r="Q16997" s="318"/>
      <c r="R16997" s="318"/>
      <c r="S16997" s="318"/>
      <c r="T16997" s="318"/>
      <c r="U16997" s="318"/>
      <c r="V16997" s="318"/>
      <c r="W16997" s="318"/>
      <c r="X16997" s="318"/>
      <c r="Y16997" s="318"/>
      <c r="Z16997" s="318"/>
      <c r="AA16997" s="318"/>
      <c r="AB16997" s="318"/>
      <c r="AC16997" s="318"/>
      <c r="AD16997" s="318"/>
    </row>
    <row r="16998" spans="2:30" s="323" customFormat="1" ht="12" customHeight="1">
      <c r="B16998" s="324"/>
      <c r="C16998" s="325"/>
      <c r="D16998" s="326"/>
      <c r="E16998" s="326"/>
      <c r="F16998" s="326"/>
      <c r="G16998" s="326"/>
      <c r="H16998" s="326"/>
      <c r="P16998" s="318"/>
      <c r="Q16998" s="318"/>
      <c r="R16998" s="318"/>
      <c r="S16998" s="318"/>
      <c r="T16998" s="318"/>
      <c r="U16998" s="318"/>
      <c r="V16998" s="318"/>
      <c r="W16998" s="318"/>
      <c r="X16998" s="318"/>
      <c r="Y16998" s="318"/>
      <c r="Z16998" s="318"/>
      <c r="AA16998" s="318"/>
      <c r="AB16998" s="318"/>
      <c r="AC16998" s="318"/>
      <c r="AD16998" s="318"/>
    </row>
    <row r="16999" spans="2:30" s="323" customFormat="1" ht="12" customHeight="1">
      <c r="B16999" s="324"/>
      <c r="C16999" s="325"/>
      <c r="D16999" s="326"/>
      <c r="E16999" s="326"/>
      <c r="F16999" s="326"/>
      <c r="G16999" s="326"/>
      <c r="H16999" s="326"/>
      <c r="P16999" s="318"/>
      <c r="Q16999" s="318"/>
      <c r="R16999" s="318"/>
      <c r="S16999" s="318"/>
      <c r="T16999" s="318"/>
      <c r="U16999" s="318"/>
      <c r="V16999" s="318"/>
      <c r="W16999" s="318"/>
      <c r="X16999" s="318"/>
      <c r="Y16999" s="318"/>
      <c r="Z16999" s="318"/>
      <c r="AA16999" s="318"/>
      <c r="AB16999" s="318"/>
      <c r="AC16999" s="318"/>
      <c r="AD16999" s="318"/>
    </row>
    <row r="17000" spans="2:30" s="323" customFormat="1" ht="12" customHeight="1">
      <c r="B17000" s="324"/>
      <c r="C17000" s="325"/>
      <c r="D17000" s="326"/>
      <c r="E17000" s="326"/>
      <c r="F17000" s="326"/>
      <c r="G17000" s="326"/>
      <c r="H17000" s="326"/>
      <c r="P17000" s="318"/>
      <c r="Q17000" s="318"/>
      <c r="R17000" s="318"/>
      <c r="S17000" s="318"/>
      <c r="T17000" s="318"/>
      <c r="U17000" s="318"/>
      <c r="V17000" s="318"/>
      <c r="W17000" s="318"/>
      <c r="X17000" s="318"/>
      <c r="Y17000" s="318"/>
      <c r="Z17000" s="318"/>
      <c r="AA17000" s="318"/>
      <c r="AB17000" s="318"/>
      <c r="AC17000" s="318"/>
      <c r="AD17000" s="318"/>
    </row>
    <row r="17001" spans="2:30" s="323" customFormat="1" ht="12" customHeight="1">
      <c r="B17001" s="324"/>
      <c r="C17001" s="325"/>
      <c r="D17001" s="326"/>
      <c r="E17001" s="326"/>
      <c r="F17001" s="326"/>
      <c r="G17001" s="326"/>
      <c r="H17001" s="326"/>
      <c r="P17001" s="318"/>
      <c r="Q17001" s="318"/>
      <c r="R17001" s="318"/>
      <c r="S17001" s="318"/>
      <c r="T17001" s="318"/>
      <c r="U17001" s="318"/>
      <c r="V17001" s="318"/>
      <c r="W17001" s="318"/>
      <c r="X17001" s="318"/>
      <c r="Y17001" s="318"/>
      <c r="Z17001" s="318"/>
      <c r="AA17001" s="318"/>
      <c r="AB17001" s="318"/>
      <c r="AC17001" s="318"/>
      <c r="AD17001" s="318"/>
    </row>
    <row r="17002" spans="2:30" s="323" customFormat="1" ht="12" customHeight="1">
      <c r="B17002" s="324"/>
      <c r="C17002" s="325"/>
      <c r="D17002" s="326"/>
      <c r="E17002" s="326"/>
      <c r="F17002" s="326"/>
      <c r="G17002" s="326"/>
      <c r="H17002" s="326"/>
      <c r="P17002" s="318"/>
      <c r="Q17002" s="318"/>
      <c r="R17002" s="318"/>
      <c r="S17002" s="318"/>
      <c r="T17002" s="318"/>
      <c r="U17002" s="318"/>
      <c r="V17002" s="318"/>
      <c r="W17002" s="318"/>
      <c r="X17002" s="318"/>
      <c r="Y17002" s="318"/>
      <c r="Z17002" s="318"/>
      <c r="AA17002" s="318"/>
      <c r="AB17002" s="318"/>
      <c r="AC17002" s="318"/>
      <c r="AD17002" s="318"/>
    </row>
    <row r="17003" spans="2:30" s="323" customFormat="1" ht="12" customHeight="1">
      <c r="B17003" s="324"/>
      <c r="C17003" s="325"/>
      <c r="D17003" s="326"/>
      <c r="E17003" s="326"/>
      <c r="F17003" s="326"/>
      <c r="G17003" s="326"/>
      <c r="H17003" s="326"/>
      <c r="P17003" s="318"/>
      <c r="Q17003" s="318"/>
      <c r="R17003" s="318"/>
      <c r="S17003" s="318"/>
      <c r="T17003" s="318"/>
      <c r="U17003" s="318"/>
      <c r="V17003" s="318"/>
      <c r="W17003" s="318"/>
      <c r="X17003" s="318"/>
      <c r="Y17003" s="318"/>
      <c r="Z17003" s="318"/>
      <c r="AA17003" s="318"/>
      <c r="AB17003" s="318"/>
      <c r="AC17003" s="318"/>
      <c r="AD17003" s="318"/>
    </row>
    <row r="17004" spans="2:30" s="323" customFormat="1" ht="12" customHeight="1">
      <c r="B17004" s="324"/>
      <c r="C17004" s="325"/>
      <c r="D17004" s="326"/>
      <c r="E17004" s="326"/>
      <c r="F17004" s="326"/>
      <c r="G17004" s="326"/>
      <c r="H17004" s="326"/>
      <c r="P17004" s="318"/>
      <c r="Q17004" s="318"/>
      <c r="R17004" s="318"/>
      <c r="S17004" s="318"/>
      <c r="T17004" s="318"/>
      <c r="U17004" s="318"/>
      <c r="V17004" s="318"/>
      <c r="W17004" s="318"/>
      <c r="X17004" s="318"/>
      <c r="Y17004" s="318"/>
      <c r="Z17004" s="318"/>
      <c r="AA17004" s="318"/>
      <c r="AB17004" s="318"/>
      <c r="AC17004" s="318"/>
      <c r="AD17004" s="318"/>
    </row>
    <row r="17005" spans="2:30" s="323" customFormat="1" ht="12" customHeight="1">
      <c r="B17005" s="324"/>
      <c r="C17005" s="325"/>
      <c r="D17005" s="326"/>
      <c r="E17005" s="326"/>
      <c r="F17005" s="326"/>
      <c r="G17005" s="326"/>
      <c r="H17005" s="326"/>
      <c r="P17005" s="318"/>
      <c r="Q17005" s="318"/>
      <c r="R17005" s="318"/>
      <c r="S17005" s="318"/>
      <c r="T17005" s="318"/>
      <c r="U17005" s="318"/>
      <c r="V17005" s="318"/>
      <c r="W17005" s="318"/>
      <c r="X17005" s="318"/>
      <c r="Y17005" s="318"/>
      <c r="Z17005" s="318"/>
      <c r="AA17005" s="318"/>
      <c r="AB17005" s="318"/>
      <c r="AC17005" s="318"/>
      <c r="AD17005" s="318"/>
    </row>
    <row r="17006" spans="2:30" s="323" customFormat="1" ht="12" customHeight="1">
      <c r="B17006" s="324"/>
      <c r="C17006" s="325"/>
      <c r="D17006" s="326"/>
      <c r="E17006" s="326"/>
      <c r="F17006" s="326"/>
      <c r="G17006" s="326"/>
      <c r="H17006" s="326"/>
      <c r="P17006" s="318"/>
      <c r="Q17006" s="318"/>
      <c r="R17006" s="318"/>
      <c r="S17006" s="318"/>
      <c r="T17006" s="318"/>
      <c r="U17006" s="318"/>
      <c r="V17006" s="318"/>
      <c r="W17006" s="318"/>
      <c r="X17006" s="318"/>
      <c r="Y17006" s="318"/>
      <c r="Z17006" s="318"/>
      <c r="AA17006" s="318"/>
      <c r="AB17006" s="318"/>
      <c r="AC17006" s="318"/>
      <c r="AD17006" s="318"/>
    </row>
    <row r="17007" spans="2:30" s="323" customFormat="1" ht="12" customHeight="1">
      <c r="B17007" s="324"/>
      <c r="C17007" s="325"/>
      <c r="D17007" s="326"/>
      <c r="E17007" s="326"/>
      <c r="F17007" s="326"/>
      <c r="G17007" s="326"/>
      <c r="H17007" s="326"/>
      <c r="P17007" s="318"/>
      <c r="Q17007" s="318"/>
      <c r="R17007" s="318"/>
      <c r="S17007" s="318"/>
      <c r="T17007" s="318"/>
      <c r="U17007" s="318"/>
      <c r="V17007" s="318"/>
      <c r="W17007" s="318"/>
      <c r="X17007" s="318"/>
      <c r="Y17007" s="318"/>
      <c r="Z17007" s="318"/>
      <c r="AA17007" s="318"/>
      <c r="AB17007" s="318"/>
      <c r="AC17007" s="318"/>
      <c r="AD17007" s="318"/>
    </row>
    <row r="17008" spans="2:30" s="323" customFormat="1" ht="12" customHeight="1">
      <c r="B17008" s="324"/>
      <c r="C17008" s="325"/>
      <c r="D17008" s="326"/>
      <c r="E17008" s="326"/>
      <c r="F17008" s="326"/>
      <c r="G17008" s="326"/>
      <c r="H17008" s="326"/>
      <c r="P17008" s="318"/>
      <c r="Q17008" s="318"/>
      <c r="R17008" s="318"/>
      <c r="S17008" s="318"/>
      <c r="T17008" s="318"/>
      <c r="U17008" s="318"/>
      <c r="V17008" s="318"/>
      <c r="W17008" s="318"/>
      <c r="X17008" s="318"/>
      <c r="Y17008" s="318"/>
      <c r="Z17008" s="318"/>
      <c r="AA17008" s="318"/>
      <c r="AB17008" s="318"/>
      <c r="AC17008" s="318"/>
      <c r="AD17008" s="318"/>
    </row>
    <row r="17009" spans="2:30" s="323" customFormat="1" ht="12" customHeight="1">
      <c r="B17009" s="324"/>
      <c r="C17009" s="325"/>
      <c r="D17009" s="326"/>
      <c r="E17009" s="326"/>
      <c r="F17009" s="326"/>
      <c r="G17009" s="326"/>
      <c r="H17009" s="326"/>
      <c r="P17009" s="318"/>
      <c r="Q17009" s="318"/>
      <c r="R17009" s="318"/>
      <c r="S17009" s="318"/>
      <c r="T17009" s="318"/>
      <c r="U17009" s="318"/>
      <c r="V17009" s="318"/>
      <c r="W17009" s="318"/>
      <c r="X17009" s="318"/>
      <c r="Y17009" s="318"/>
      <c r="Z17009" s="318"/>
      <c r="AA17009" s="318"/>
      <c r="AB17009" s="318"/>
      <c r="AC17009" s="318"/>
      <c r="AD17009" s="318"/>
    </row>
    <row r="17010" spans="2:30" s="323" customFormat="1" ht="12" customHeight="1">
      <c r="B17010" s="324"/>
      <c r="C17010" s="325"/>
      <c r="D17010" s="326"/>
      <c r="E17010" s="326"/>
      <c r="F17010" s="326"/>
      <c r="G17010" s="326"/>
      <c r="H17010" s="326"/>
      <c r="P17010" s="318"/>
      <c r="Q17010" s="318"/>
      <c r="R17010" s="318"/>
      <c r="S17010" s="318"/>
      <c r="T17010" s="318"/>
      <c r="U17010" s="318"/>
      <c r="V17010" s="318"/>
      <c r="W17010" s="318"/>
      <c r="X17010" s="318"/>
      <c r="Y17010" s="318"/>
      <c r="Z17010" s="318"/>
      <c r="AA17010" s="318"/>
      <c r="AB17010" s="318"/>
      <c r="AC17010" s="318"/>
      <c r="AD17010" s="318"/>
    </row>
    <row r="17011" spans="2:30" s="323" customFormat="1" ht="12" customHeight="1">
      <c r="B17011" s="324"/>
      <c r="C17011" s="325"/>
      <c r="D17011" s="326"/>
      <c r="E17011" s="326"/>
      <c r="F17011" s="326"/>
      <c r="G17011" s="326"/>
      <c r="H17011" s="326"/>
      <c r="P17011" s="318"/>
      <c r="Q17011" s="318"/>
      <c r="R17011" s="318"/>
      <c r="S17011" s="318"/>
      <c r="T17011" s="318"/>
      <c r="U17011" s="318"/>
      <c r="V17011" s="318"/>
      <c r="W17011" s="318"/>
      <c r="X17011" s="318"/>
      <c r="Y17011" s="318"/>
      <c r="Z17011" s="318"/>
      <c r="AA17011" s="318"/>
      <c r="AB17011" s="318"/>
      <c r="AC17011" s="318"/>
      <c r="AD17011" s="318"/>
    </row>
    <row r="17012" spans="2:30" s="323" customFormat="1" ht="12" customHeight="1">
      <c r="B17012" s="324"/>
      <c r="C17012" s="325"/>
      <c r="D17012" s="326"/>
      <c r="E17012" s="326"/>
      <c r="F17012" s="326"/>
      <c r="G17012" s="326"/>
      <c r="H17012" s="326"/>
      <c r="P17012" s="318"/>
      <c r="Q17012" s="318"/>
      <c r="R17012" s="318"/>
      <c r="S17012" s="318"/>
      <c r="T17012" s="318"/>
      <c r="U17012" s="318"/>
      <c r="V17012" s="318"/>
      <c r="W17012" s="318"/>
      <c r="X17012" s="318"/>
      <c r="Y17012" s="318"/>
      <c r="Z17012" s="318"/>
      <c r="AA17012" s="318"/>
      <c r="AB17012" s="318"/>
      <c r="AC17012" s="318"/>
      <c r="AD17012" s="318"/>
    </row>
    <row r="17013" spans="2:30" s="323" customFormat="1" ht="12" customHeight="1">
      <c r="B17013" s="324"/>
      <c r="C17013" s="325"/>
      <c r="D17013" s="326"/>
      <c r="E17013" s="326"/>
      <c r="F17013" s="326"/>
      <c r="G17013" s="326"/>
      <c r="H17013" s="326"/>
      <c r="P17013" s="318"/>
      <c r="Q17013" s="318"/>
      <c r="R17013" s="318"/>
      <c r="S17013" s="318"/>
      <c r="T17013" s="318"/>
      <c r="U17013" s="318"/>
      <c r="V17013" s="318"/>
      <c r="W17013" s="318"/>
      <c r="X17013" s="318"/>
      <c r="Y17013" s="318"/>
      <c r="Z17013" s="318"/>
      <c r="AA17013" s="318"/>
      <c r="AB17013" s="318"/>
      <c r="AC17013" s="318"/>
      <c r="AD17013" s="318"/>
    </row>
    <row r="17014" spans="2:30" s="323" customFormat="1" ht="12" customHeight="1">
      <c r="B17014" s="324"/>
      <c r="C17014" s="325"/>
      <c r="D17014" s="326"/>
      <c r="E17014" s="326"/>
      <c r="F17014" s="326"/>
      <c r="G17014" s="326"/>
      <c r="H17014" s="326"/>
      <c r="P17014" s="318"/>
      <c r="Q17014" s="318"/>
      <c r="R17014" s="318"/>
      <c r="S17014" s="318"/>
      <c r="T17014" s="318"/>
      <c r="U17014" s="318"/>
      <c r="V17014" s="318"/>
      <c r="W17014" s="318"/>
      <c r="X17014" s="318"/>
      <c r="Y17014" s="318"/>
      <c r="Z17014" s="318"/>
      <c r="AA17014" s="318"/>
      <c r="AB17014" s="318"/>
      <c r="AC17014" s="318"/>
      <c r="AD17014" s="318"/>
    </row>
    <row r="17015" spans="2:30" s="323" customFormat="1" ht="12" customHeight="1">
      <c r="B17015" s="324"/>
      <c r="C17015" s="325"/>
      <c r="D17015" s="326"/>
      <c r="E17015" s="326"/>
      <c r="F17015" s="326"/>
      <c r="G17015" s="326"/>
      <c r="H17015" s="326"/>
      <c r="P17015" s="318"/>
      <c r="Q17015" s="318"/>
      <c r="R17015" s="318"/>
      <c r="S17015" s="318"/>
      <c r="T17015" s="318"/>
      <c r="U17015" s="318"/>
      <c r="V17015" s="318"/>
      <c r="W17015" s="318"/>
      <c r="X17015" s="318"/>
      <c r="Y17015" s="318"/>
      <c r="Z17015" s="318"/>
      <c r="AA17015" s="318"/>
      <c r="AB17015" s="318"/>
      <c r="AC17015" s="318"/>
      <c r="AD17015" s="318"/>
    </row>
    <row r="17016" spans="2:30" s="323" customFormat="1" ht="12" customHeight="1">
      <c r="B17016" s="324"/>
      <c r="C17016" s="325"/>
      <c r="D17016" s="326"/>
      <c r="E17016" s="326"/>
      <c r="F17016" s="326"/>
      <c r="G17016" s="326"/>
      <c r="H17016" s="326"/>
      <c r="P17016" s="318"/>
      <c r="Q17016" s="318"/>
      <c r="R17016" s="318"/>
      <c r="S17016" s="318"/>
      <c r="T17016" s="318"/>
      <c r="U17016" s="318"/>
      <c r="V17016" s="318"/>
      <c r="W17016" s="318"/>
      <c r="X17016" s="318"/>
      <c r="Y17016" s="318"/>
      <c r="Z17016" s="318"/>
      <c r="AA17016" s="318"/>
      <c r="AB17016" s="318"/>
      <c r="AC17016" s="318"/>
      <c r="AD17016" s="318"/>
    </row>
    <row r="17017" spans="2:30" s="323" customFormat="1" ht="12" customHeight="1">
      <c r="B17017" s="324"/>
      <c r="C17017" s="325"/>
      <c r="D17017" s="326"/>
      <c r="E17017" s="326"/>
      <c r="F17017" s="326"/>
      <c r="G17017" s="326"/>
      <c r="H17017" s="326"/>
      <c r="P17017" s="318"/>
      <c r="Q17017" s="318"/>
      <c r="R17017" s="318"/>
      <c r="S17017" s="318"/>
      <c r="T17017" s="318"/>
      <c r="U17017" s="318"/>
      <c r="V17017" s="318"/>
      <c r="W17017" s="318"/>
      <c r="X17017" s="318"/>
      <c r="Y17017" s="318"/>
      <c r="Z17017" s="318"/>
      <c r="AA17017" s="318"/>
      <c r="AB17017" s="318"/>
      <c r="AC17017" s="318"/>
      <c r="AD17017" s="318"/>
    </row>
    <row r="17018" spans="2:30" s="323" customFormat="1" ht="12" customHeight="1">
      <c r="B17018" s="324"/>
      <c r="C17018" s="325"/>
      <c r="D17018" s="326"/>
      <c r="E17018" s="326"/>
      <c r="F17018" s="326"/>
      <c r="G17018" s="326"/>
      <c r="H17018" s="326"/>
      <c r="P17018" s="318"/>
      <c r="Q17018" s="318"/>
      <c r="R17018" s="318"/>
      <c r="S17018" s="318"/>
      <c r="T17018" s="318"/>
      <c r="U17018" s="318"/>
      <c r="V17018" s="318"/>
      <c r="W17018" s="318"/>
      <c r="X17018" s="318"/>
      <c r="Y17018" s="318"/>
      <c r="Z17018" s="318"/>
      <c r="AA17018" s="318"/>
      <c r="AB17018" s="318"/>
      <c r="AC17018" s="318"/>
      <c r="AD17018" s="318"/>
    </row>
    <row r="17019" spans="2:30" s="323" customFormat="1" ht="12" customHeight="1">
      <c r="B17019" s="324"/>
      <c r="C17019" s="325"/>
      <c r="D17019" s="326"/>
      <c r="E17019" s="326"/>
      <c r="F17019" s="326"/>
      <c r="G17019" s="326"/>
      <c r="H17019" s="326"/>
      <c r="P17019" s="318"/>
      <c r="Q17019" s="318"/>
      <c r="R17019" s="318"/>
      <c r="S17019" s="318"/>
      <c r="T17019" s="318"/>
      <c r="U17019" s="318"/>
      <c r="V17019" s="318"/>
      <c r="W17019" s="318"/>
      <c r="X17019" s="318"/>
      <c r="Y17019" s="318"/>
      <c r="Z17019" s="318"/>
      <c r="AA17019" s="318"/>
      <c r="AB17019" s="318"/>
      <c r="AC17019" s="318"/>
      <c r="AD17019" s="318"/>
    </row>
    <row r="17020" spans="2:30" s="323" customFormat="1" ht="12" customHeight="1">
      <c r="B17020" s="324"/>
      <c r="C17020" s="325"/>
      <c r="D17020" s="326"/>
      <c r="E17020" s="326"/>
      <c r="F17020" s="326"/>
      <c r="G17020" s="326"/>
      <c r="H17020" s="326"/>
      <c r="P17020" s="318"/>
      <c r="Q17020" s="318"/>
      <c r="R17020" s="318"/>
      <c r="S17020" s="318"/>
      <c r="T17020" s="318"/>
      <c r="U17020" s="318"/>
      <c r="V17020" s="318"/>
      <c r="W17020" s="318"/>
      <c r="X17020" s="318"/>
      <c r="Y17020" s="318"/>
      <c r="Z17020" s="318"/>
      <c r="AA17020" s="318"/>
      <c r="AB17020" s="318"/>
      <c r="AC17020" s="318"/>
      <c r="AD17020" s="318"/>
    </row>
    <row r="17021" spans="2:30" s="323" customFormat="1" ht="12" customHeight="1">
      <c r="B17021" s="324"/>
      <c r="C17021" s="325"/>
      <c r="D17021" s="326"/>
      <c r="E17021" s="326"/>
      <c r="F17021" s="326"/>
      <c r="G17021" s="326"/>
      <c r="H17021" s="326"/>
      <c r="P17021" s="318"/>
      <c r="Q17021" s="318"/>
      <c r="R17021" s="318"/>
      <c r="S17021" s="318"/>
      <c r="T17021" s="318"/>
      <c r="U17021" s="318"/>
      <c r="V17021" s="318"/>
      <c r="W17021" s="318"/>
      <c r="X17021" s="318"/>
      <c r="Y17021" s="318"/>
      <c r="Z17021" s="318"/>
      <c r="AA17021" s="318"/>
      <c r="AB17021" s="318"/>
      <c r="AC17021" s="318"/>
      <c r="AD17021" s="318"/>
    </row>
    <row r="17022" spans="2:30" s="323" customFormat="1" ht="12" customHeight="1">
      <c r="B17022" s="324"/>
      <c r="C17022" s="325"/>
      <c r="D17022" s="326"/>
      <c r="E17022" s="326"/>
      <c r="F17022" s="326"/>
      <c r="G17022" s="326"/>
      <c r="H17022" s="326"/>
      <c r="P17022" s="318"/>
      <c r="Q17022" s="318"/>
      <c r="R17022" s="318"/>
      <c r="S17022" s="318"/>
      <c r="T17022" s="318"/>
      <c r="U17022" s="318"/>
      <c r="V17022" s="318"/>
      <c r="W17022" s="318"/>
      <c r="X17022" s="318"/>
      <c r="Y17022" s="318"/>
      <c r="Z17022" s="318"/>
      <c r="AA17022" s="318"/>
      <c r="AB17022" s="318"/>
      <c r="AC17022" s="318"/>
      <c r="AD17022" s="318"/>
    </row>
    <row r="17023" spans="2:30" s="323" customFormat="1" ht="12" customHeight="1">
      <c r="B17023" s="324"/>
      <c r="C17023" s="325"/>
      <c r="D17023" s="326"/>
      <c r="E17023" s="326"/>
      <c r="F17023" s="326"/>
      <c r="G17023" s="326"/>
      <c r="H17023" s="326"/>
      <c r="P17023" s="318"/>
      <c r="Q17023" s="318"/>
      <c r="R17023" s="318"/>
      <c r="S17023" s="318"/>
      <c r="T17023" s="318"/>
      <c r="U17023" s="318"/>
      <c r="V17023" s="318"/>
      <c r="W17023" s="318"/>
      <c r="X17023" s="318"/>
      <c r="Y17023" s="318"/>
      <c r="Z17023" s="318"/>
      <c r="AA17023" s="318"/>
      <c r="AB17023" s="318"/>
      <c r="AC17023" s="318"/>
      <c r="AD17023" s="318"/>
    </row>
    <row r="17024" spans="2:30" s="323" customFormat="1" ht="12" customHeight="1">
      <c r="B17024" s="324"/>
      <c r="C17024" s="325"/>
      <c r="D17024" s="326"/>
      <c r="E17024" s="326"/>
      <c r="F17024" s="326"/>
      <c r="G17024" s="326"/>
      <c r="H17024" s="326"/>
      <c r="P17024" s="318"/>
      <c r="Q17024" s="318"/>
      <c r="R17024" s="318"/>
      <c r="S17024" s="318"/>
      <c r="T17024" s="318"/>
      <c r="U17024" s="318"/>
      <c r="V17024" s="318"/>
      <c r="W17024" s="318"/>
      <c r="X17024" s="318"/>
      <c r="Y17024" s="318"/>
      <c r="Z17024" s="318"/>
      <c r="AA17024" s="318"/>
      <c r="AB17024" s="318"/>
      <c r="AC17024" s="318"/>
      <c r="AD17024" s="318"/>
    </row>
    <row r="17025" spans="2:30" s="323" customFormat="1" ht="12" customHeight="1">
      <c r="B17025" s="324"/>
      <c r="C17025" s="325"/>
      <c r="D17025" s="326"/>
      <c r="E17025" s="326"/>
      <c r="F17025" s="326"/>
      <c r="G17025" s="326"/>
      <c r="H17025" s="326"/>
      <c r="P17025" s="318"/>
      <c r="Q17025" s="318"/>
      <c r="R17025" s="318"/>
      <c r="S17025" s="318"/>
      <c r="T17025" s="318"/>
      <c r="U17025" s="318"/>
      <c r="V17025" s="318"/>
      <c r="W17025" s="318"/>
      <c r="X17025" s="318"/>
      <c r="Y17025" s="318"/>
      <c r="Z17025" s="318"/>
      <c r="AA17025" s="318"/>
      <c r="AB17025" s="318"/>
      <c r="AC17025" s="318"/>
      <c r="AD17025" s="318"/>
    </row>
    <row r="17026" spans="2:30" s="323" customFormat="1" ht="12" customHeight="1">
      <c r="B17026" s="324"/>
      <c r="C17026" s="325"/>
      <c r="D17026" s="326"/>
      <c r="E17026" s="326"/>
      <c r="F17026" s="326"/>
      <c r="G17026" s="326"/>
      <c r="H17026" s="326"/>
      <c r="P17026" s="318"/>
      <c r="Q17026" s="318"/>
      <c r="R17026" s="318"/>
      <c r="S17026" s="318"/>
      <c r="T17026" s="318"/>
      <c r="U17026" s="318"/>
      <c r="V17026" s="318"/>
      <c r="W17026" s="318"/>
      <c r="X17026" s="318"/>
      <c r="Y17026" s="318"/>
      <c r="Z17026" s="318"/>
      <c r="AA17026" s="318"/>
      <c r="AB17026" s="318"/>
      <c r="AC17026" s="318"/>
      <c r="AD17026" s="318"/>
    </row>
    <row r="17027" spans="2:30" s="323" customFormat="1" ht="12" customHeight="1">
      <c r="B17027" s="324"/>
      <c r="C17027" s="325"/>
      <c r="D17027" s="326"/>
      <c r="E17027" s="326"/>
      <c r="F17027" s="326"/>
      <c r="G17027" s="326"/>
      <c r="H17027" s="326"/>
      <c r="P17027" s="318"/>
      <c r="Q17027" s="318"/>
      <c r="R17027" s="318"/>
      <c r="S17027" s="318"/>
      <c r="T17027" s="318"/>
      <c r="U17027" s="318"/>
      <c r="V17027" s="318"/>
      <c r="W17027" s="318"/>
      <c r="X17027" s="318"/>
      <c r="Y17027" s="318"/>
      <c r="Z17027" s="318"/>
      <c r="AA17027" s="318"/>
      <c r="AB17027" s="318"/>
      <c r="AC17027" s="318"/>
      <c r="AD17027" s="318"/>
    </row>
    <row r="17028" spans="2:30" s="323" customFormat="1" ht="12" customHeight="1">
      <c r="B17028" s="324"/>
      <c r="C17028" s="325"/>
      <c r="D17028" s="326"/>
      <c r="E17028" s="326"/>
      <c r="F17028" s="326"/>
      <c r="G17028" s="326"/>
      <c r="H17028" s="326"/>
      <c r="P17028" s="318"/>
      <c r="Q17028" s="318"/>
      <c r="R17028" s="318"/>
      <c r="S17028" s="318"/>
      <c r="T17028" s="318"/>
      <c r="U17028" s="318"/>
      <c r="V17028" s="318"/>
      <c r="W17028" s="318"/>
      <c r="X17028" s="318"/>
      <c r="Y17028" s="318"/>
      <c r="Z17028" s="318"/>
      <c r="AA17028" s="318"/>
      <c r="AB17028" s="318"/>
      <c r="AC17028" s="318"/>
      <c r="AD17028" s="318"/>
    </row>
    <row r="17029" spans="2:30" s="323" customFormat="1" ht="12" customHeight="1">
      <c r="B17029" s="324"/>
      <c r="C17029" s="325"/>
      <c r="D17029" s="326"/>
      <c r="E17029" s="326"/>
      <c r="F17029" s="326"/>
      <c r="G17029" s="326"/>
      <c r="H17029" s="326"/>
      <c r="P17029" s="318"/>
      <c r="Q17029" s="318"/>
      <c r="R17029" s="318"/>
      <c r="S17029" s="318"/>
      <c r="T17029" s="318"/>
      <c r="U17029" s="318"/>
      <c r="V17029" s="318"/>
      <c r="W17029" s="318"/>
      <c r="X17029" s="318"/>
      <c r="Y17029" s="318"/>
      <c r="Z17029" s="318"/>
      <c r="AA17029" s="318"/>
      <c r="AB17029" s="318"/>
      <c r="AC17029" s="318"/>
      <c r="AD17029" s="318"/>
    </row>
    <row r="17030" spans="2:30" s="323" customFormat="1" ht="12" customHeight="1">
      <c r="B17030" s="324"/>
      <c r="C17030" s="325"/>
      <c r="D17030" s="326"/>
      <c r="E17030" s="326"/>
      <c r="F17030" s="326"/>
      <c r="G17030" s="326"/>
      <c r="H17030" s="326"/>
      <c r="P17030" s="318"/>
      <c r="Q17030" s="318"/>
      <c r="R17030" s="318"/>
      <c r="S17030" s="318"/>
      <c r="T17030" s="318"/>
      <c r="U17030" s="318"/>
      <c r="V17030" s="318"/>
      <c r="W17030" s="318"/>
      <c r="X17030" s="318"/>
      <c r="Y17030" s="318"/>
      <c r="Z17030" s="318"/>
      <c r="AA17030" s="318"/>
      <c r="AB17030" s="318"/>
      <c r="AC17030" s="318"/>
      <c r="AD17030" s="318"/>
    </row>
    <row r="17031" spans="2:30" s="323" customFormat="1" ht="12" customHeight="1">
      <c r="B17031" s="324"/>
      <c r="C17031" s="325"/>
      <c r="D17031" s="326"/>
      <c r="E17031" s="326"/>
      <c r="F17031" s="326"/>
      <c r="G17031" s="326"/>
      <c r="H17031" s="326"/>
      <c r="P17031" s="318"/>
      <c r="Q17031" s="318"/>
      <c r="R17031" s="318"/>
      <c r="S17031" s="318"/>
      <c r="T17031" s="318"/>
      <c r="U17031" s="318"/>
      <c r="V17031" s="318"/>
      <c r="W17031" s="318"/>
      <c r="X17031" s="318"/>
      <c r="Y17031" s="318"/>
      <c r="Z17031" s="318"/>
      <c r="AA17031" s="318"/>
      <c r="AB17031" s="318"/>
      <c r="AC17031" s="318"/>
      <c r="AD17031" s="318"/>
    </row>
    <row r="17032" spans="2:30" s="323" customFormat="1" ht="12" customHeight="1">
      <c r="B17032" s="324"/>
      <c r="C17032" s="325"/>
      <c r="D17032" s="326"/>
      <c r="E17032" s="326"/>
      <c r="F17032" s="326"/>
      <c r="G17032" s="326"/>
      <c r="H17032" s="326"/>
      <c r="P17032" s="318"/>
      <c r="Q17032" s="318"/>
      <c r="R17032" s="318"/>
      <c r="S17032" s="318"/>
      <c r="T17032" s="318"/>
      <c r="U17032" s="318"/>
      <c r="V17032" s="318"/>
      <c r="W17032" s="318"/>
      <c r="X17032" s="318"/>
      <c r="Y17032" s="318"/>
      <c r="Z17032" s="318"/>
      <c r="AA17032" s="318"/>
      <c r="AB17032" s="318"/>
      <c r="AC17032" s="318"/>
      <c r="AD17032" s="318"/>
    </row>
    <row r="17033" spans="2:30" s="323" customFormat="1" ht="12" customHeight="1">
      <c r="B17033" s="324"/>
      <c r="C17033" s="325"/>
      <c r="D17033" s="326"/>
      <c r="E17033" s="326"/>
      <c r="F17033" s="326"/>
      <c r="G17033" s="326"/>
      <c r="H17033" s="326"/>
      <c r="P17033" s="318"/>
      <c r="Q17033" s="318"/>
      <c r="R17033" s="318"/>
      <c r="S17033" s="318"/>
      <c r="T17033" s="318"/>
      <c r="U17033" s="318"/>
      <c r="V17033" s="318"/>
      <c r="W17033" s="318"/>
      <c r="X17033" s="318"/>
      <c r="Y17033" s="318"/>
      <c r="Z17033" s="318"/>
      <c r="AA17033" s="318"/>
      <c r="AB17033" s="318"/>
      <c r="AC17033" s="318"/>
      <c r="AD17033" s="318"/>
    </row>
    <row r="17034" spans="2:30" s="323" customFormat="1" ht="12" customHeight="1">
      <c r="B17034" s="324"/>
      <c r="C17034" s="325"/>
      <c r="D17034" s="326"/>
      <c r="E17034" s="326"/>
      <c r="F17034" s="326"/>
      <c r="G17034" s="326"/>
      <c r="H17034" s="326"/>
      <c r="P17034" s="318"/>
      <c r="Q17034" s="318"/>
      <c r="R17034" s="318"/>
      <c r="S17034" s="318"/>
      <c r="T17034" s="318"/>
      <c r="U17034" s="318"/>
      <c r="V17034" s="318"/>
      <c r="W17034" s="318"/>
      <c r="X17034" s="318"/>
      <c r="Y17034" s="318"/>
      <c r="Z17034" s="318"/>
      <c r="AA17034" s="318"/>
      <c r="AB17034" s="318"/>
      <c r="AC17034" s="318"/>
      <c r="AD17034" s="318"/>
    </row>
    <row r="17035" spans="2:30" s="323" customFormat="1" ht="12" customHeight="1">
      <c r="B17035" s="324"/>
      <c r="C17035" s="325"/>
      <c r="D17035" s="326"/>
      <c r="E17035" s="326"/>
      <c r="F17035" s="326"/>
      <c r="G17035" s="326"/>
      <c r="H17035" s="326"/>
      <c r="P17035" s="318"/>
      <c r="Q17035" s="318"/>
      <c r="R17035" s="318"/>
      <c r="S17035" s="318"/>
      <c r="T17035" s="318"/>
      <c r="U17035" s="318"/>
      <c r="V17035" s="318"/>
      <c r="W17035" s="318"/>
      <c r="X17035" s="318"/>
      <c r="Y17035" s="318"/>
      <c r="Z17035" s="318"/>
      <c r="AA17035" s="318"/>
      <c r="AB17035" s="318"/>
      <c r="AC17035" s="318"/>
      <c r="AD17035" s="318"/>
    </row>
    <row r="17036" spans="2:30" s="323" customFormat="1" ht="12" customHeight="1">
      <c r="B17036" s="324"/>
      <c r="C17036" s="325"/>
      <c r="D17036" s="326"/>
      <c r="E17036" s="326"/>
      <c r="F17036" s="326"/>
      <c r="G17036" s="326"/>
      <c r="H17036" s="326"/>
      <c r="P17036" s="318"/>
      <c r="Q17036" s="318"/>
      <c r="R17036" s="318"/>
      <c r="S17036" s="318"/>
      <c r="T17036" s="318"/>
      <c r="U17036" s="318"/>
      <c r="V17036" s="318"/>
      <c r="W17036" s="318"/>
      <c r="X17036" s="318"/>
      <c r="Y17036" s="318"/>
      <c r="Z17036" s="318"/>
      <c r="AA17036" s="318"/>
      <c r="AB17036" s="318"/>
      <c r="AC17036" s="318"/>
      <c r="AD17036" s="318"/>
    </row>
    <row r="17037" spans="2:30" s="323" customFormat="1" ht="12" customHeight="1">
      <c r="B17037" s="324"/>
      <c r="C17037" s="325"/>
      <c r="D17037" s="326"/>
      <c r="E17037" s="326"/>
      <c r="F17037" s="326"/>
      <c r="G17037" s="326"/>
      <c r="H17037" s="326"/>
      <c r="P17037" s="318"/>
      <c r="Q17037" s="318"/>
      <c r="R17037" s="318"/>
      <c r="S17037" s="318"/>
      <c r="T17037" s="318"/>
      <c r="U17037" s="318"/>
      <c r="V17037" s="318"/>
      <c r="W17037" s="318"/>
      <c r="X17037" s="318"/>
      <c r="Y17037" s="318"/>
      <c r="Z17037" s="318"/>
      <c r="AA17037" s="318"/>
      <c r="AB17037" s="318"/>
      <c r="AC17037" s="318"/>
      <c r="AD17037" s="318"/>
    </row>
    <row r="17038" spans="2:30" s="323" customFormat="1" ht="12" customHeight="1">
      <c r="B17038" s="324"/>
      <c r="C17038" s="325"/>
      <c r="D17038" s="326"/>
      <c r="E17038" s="326"/>
      <c r="F17038" s="326"/>
      <c r="G17038" s="326"/>
      <c r="H17038" s="326"/>
      <c r="P17038" s="318"/>
      <c r="Q17038" s="318"/>
      <c r="R17038" s="318"/>
      <c r="S17038" s="318"/>
      <c r="T17038" s="318"/>
      <c r="U17038" s="318"/>
      <c r="V17038" s="318"/>
      <c r="W17038" s="318"/>
      <c r="X17038" s="318"/>
      <c r="Y17038" s="318"/>
      <c r="Z17038" s="318"/>
      <c r="AA17038" s="318"/>
      <c r="AB17038" s="318"/>
      <c r="AC17038" s="318"/>
      <c r="AD17038" s="318"/>
    </row>
    <row r="17039" spans="2:30" s="323" customFormat="1" ht="12" customHeight="1">
      <c r="B17039" s="324"/>
      <c r="C17039" s="325"/>
      <c r="D17039" s="326"/>
      <c r="E17039" s="326"/>
      <c r="F17039" s="326"/>
      <c r="G17039" s="326"/>
      <c r="H17039" s="326"/>
      <c r="P17039" s="318"/>
      <c r="Q17039" s="318"/>
      <c r="R17039" s="318"/>
      <c r="S17039" s="318"/>
      <c r="T17039" s="318"/>
      <c r="U17039" s="318"/>
      <c r="V17039" s="318"/>
      <c r="W17039" s="318"/>
      <c r="X17039" s="318"/>
      <c r="Y17039" s="318"/>
      <c r="Z17039" s="318"/>
      <c r="AA17039" s="318"/>
      <c r="AB17039" s="318"/>
      <c r="AC17039" s="318"/>
      <c r="AD17039" s="318"/>
    </row>
    <row r="17040" spans="2:30" s="323" customFormat="1" ht="12" customHeight="1">
      <c r="B17040" s="324"/>
      <c r="C17040" s="325"/>
      <c r="D17040" s="326"/>
      <c r="E17040" s="326"/>
      <c r="F17040" s="326"/>
      <c r="G17040" s="326"/>
      <c r="H17040" s="326"/>
      <c r="P17040" s="318"/>
      <c r="Q17040" s="318"/>
      <c r="R17040" s="318"/>
      <c r="S17040" s="318"/>
      <c r="T17040" s="318"/>
      <c r="U17040" s="318"/>
      <c r="V17040" s="318"/>
      <c r="W17040" s="318"/>
      <c r="X17040" s="318"/>
      <c r="Y17040" s="318"/>
      <c r="Z17040" s="318"/>
      <c r="AA17040" s="318"/>
      <c r="AB17040" s="318"/>
      <c r="AC17040" s="318"/>
      <c r="AD17040" s="318"/>
    </row>
    <row r="17041" spans="2:30" s="323" customFormat="1" ht="12" customHeight="1">
      <c r="B17041" s="324"/>
      <c r="C17041" s="325"/>
      <c r="D17041" s="326"/>
      <c r="E17041" s="326"/>
      <c r="F17041" s="326"/>
      <c r="G17041" s="326"/>
      <c r="H17041" s="326"/>
      <c r="P17041" s="318"/>
      <c r="Q17041" s="318"/>
      <c r="R17041" s="318"/>
      <c r="S17041" s="318"/>
      <c r="T17041" s="318"/>
      <c r="U17041" s="318"/>
      <c r="V17041" s="318"/>
      <c r="W17041" s="318"/>
      <c r="X17041" s="318"/>
      <c r="Y17041" s="318"/>
      <c r="Z17041" s="318"/>
      <c r="AA17041" s="318"/>
      <c r="AB17041" s="318"/>
      <c r="AC17041" s="318"/>
      <c r="AD17041" s="318"/>
    </row>
    <row r="17042" spans="2:30" s="323" customFormat="1" ht="12" customHeight="1">
      <c r="B17042" s="324"/>
      <c r="C17042" s="325"/>
      <c r="D17042" s="326"/>
      <c r="E17042" s="326"/>
      <c r="F17042" s="326"/>
      <c r="G17042" s="326"/>
      <c r="H17042" s="326"/>
      <c r="P17042" s="318"/>
      <c r="Q17042" s="318"/>
      <c r="R17042" s="318"/>
      <c r="S17042" s="318"/>
      <c r="T17042" s="318"/>
      <c r="U17042" s="318"/>
      <c r="V17042" s="318"/>
      <c r="W17042" s="318"/>
      <c r="X17042" s="318"/>
      <c r="Y17042" s="318"/>
      <c r="Z17042" s="318"/>
      <c r="AA17042" s="318"/>
      <c r="AB17042" s="318"/>
      <c r="AC17042" s="318"/>
      <c r="AD17042" s="318"/>
    </row>
    <row r="17043" spans="2:30" s="323" customFormat="1" ht="12" customHeight="1">
      <c r="B17043" s="324"/>
      <c r="C17043" s="325"/>
      <c r="D17043" s="326"/>
      <c r="E17043" s="326"/>
      <c r="F17043" s="326"/>
      <c r="G17043" s="326"/>
      <c r="H17043" s="326"/>
      <c r="P17043" s="318"/>
      <c r="Q17043" s="318"/>
      <c r="R17043" s="318"/>
      <c r="S17043" s="318"/>
      <c r="T17043" s="318"/>
      <c r="U17043" s="318"/>
      <c r="V17043" s="318"/>
      <c r="W17043" s="318"/>
      <c r="X17043" s="318"/>
      <c r="Y17043" s="318"/>
      <c r="Z17043" s="318"/>
      <c r="AA17043" s="318"/>
      <c r="AB17043" s="318"/>
      <c r="AC17043" s="318"/>
      <c r="AD17043" s="318"/>
    </row>
    <row r="17044" spans="2:30" s="323" customFormat="1" ht="12" customHeight="1">
      <c r="B17044" s="324"/>
      <c r="C17044" s="325"/>
      <c r="D17044" s="326"/>
      <c r="E17044" s="326"/>
      <c r="F17044" s="326"/>
      <c r="G17044" s="326"/>
      <c r="H17044" s="326"/>
      <c r="P17044" s="318"/>
      <c r="Q17044" s="318"/>
      <c r="R17044" s="318"/>
      <c r="S17044" s="318"/>
      <c r="T17044" s="318"/>
      <c r="U17044" s="318"/>
      <c r="V17044" s="318"/>
      <c r="W17044" s="318"/>
      <c r="X17044" s="318"/>
      <c r="Y17044" s="318"/>
      <c r="Z17044" s="318"/>
      <c r="AA17044" s="318"/>
      <c r="AB17044" s="318"/>
      <c r="AC17044" s="318"/>
      <c r="AD17044" s="318"/>
    </row>
    <row r="17045" spans="2:30" s="323" customFormat="1" ht="12" customHeight="1">
      <c r="B17045" s="324"/>
      <c r="C17045" s="325"/>
      <c r="D17045" s="326"/>
      <c r="E17045" s="326"/>
      <c r="F17045" s="326"/>
      <c r="G17045" s="326"/>
      <c r="H17045" s="326"/>
      <c r="P17045" s="318"/>
      <c r="Q17045" s="318"/>
      <c r="R17045" s="318"/>
      <c r="S17045" s="318"/>
      <c r="T17045" s="318"/>
      <c r="U17045" s="318"/>
      <c r="V17045" s="318"/>
      <c r="W17045" s="318"/>
      <c r="X17045" s="318"/>
      <c r="Y17045" s="318"/>
      <c r="Z17045" s="318"/>
      <c r="AA17045" s="318"/>
      <c r="AB17045" s="318"/>
      <c r="AC17045" s="318"/>
      <c r="AD17045" s="318"/>
    </row>
    <row r="17046" spans="2:30" s="323" customFormat="1" ht="12" customHeight="1">
      <c r="B17046" s="324"/>
      <c r="C17046" s="325"/>
      <c r="D17046" s="326"/>
      <c r="E17046" s="326"/>
      <c r="F17046" s="326"/>
      <c r="G17046" s="326"/>
      <c r="H17046" s="326"/>
      <c r="P17046" s="318"/>
      <c r="Q17046" s="318"/>
      <c r="R17046" s="318"/>
      <c r="S17046" s="318"/>
      <c r="T17046" s="318"/>
      <c r="U17046" s="318"/>
      <c r="V17046" s="318"/>
      <c r="W17046" s="318"/>
      <c r="X17046" s="318"/>
      <c r="Y17046" s="318"/>
      <c r="Z17046" s="318"/>
      <c r="AA17046" s="318"/>
      <c r="AB17046" s="318"/>
      <c r="AC17046" s="318"/>
      <c r="AD17046" s="318"/>
    </row>
    <row r="17047" spans="2:30" s="323" customFormat="1" ht="12" customHeight="1">
      <c r="B17047" s="324"/>
      <c r="C17047" s="325"/>
      <c r="D17047" s="326"/>
      <c r="E17047" s="326"/>
      <c r="F17047" s="326"/>
      <c r="G17047" s="326"/>
      <c r="H17047" s="326"/>
      <c r="P17047" s="318"/>
      <c r="Q17047" s="318"/>
      <c r="R17047" s="318"/>
      <c r="S17047" s="318"/>
      <c r="T17047" s="318"/>
      <c r="U17047" s="318"/>
      <c r="V17047" s="318"/>
      <c r="W17047" s="318"/>
      <c r="X17047" s="318"/>
      <c r="Y17047" s="318"/>
      <c r="Z17047" s="318"/>
      <c r="AA17047" s="318"/>
      <c r="AB17047" s="318"/>
      <c r="AC17047" s="318"/>
      <c r="AD17047" s="318"/>
    </row>
    <row r="17048" spans="2:30" s="323" customFormat="1" ht="12" customHeight="1">
      <c r="B17048" s="324"/>
      <c r="C17048" s="325"/>
      <c r="D17048" s="326"/>
      <c r="E17048" s="326"/>
      <c r="F17048" s="326"/>
      <c r="G17048" s="326"/>
      <c r="H17048" s="326"/>
      <c r="P17048" s="318"/>
      <c r="Q17048" s="318"/>
      <c r="R17048" s="318"/>
      <c r="S17048" s="318"/>
      <c r="T17048" s="318"/>
      <c r="U17048" s="318"/>
      <c r="V17048" s="318"/>
      <c r="W17048" s="318"/>
      <c r="X17048" s="318"/>
      <c r="Y17048" s="318"/>
      <c r="Z17048" s="318"/>
      <c r="AA17048" s="318"/>
      <c r="AB17048" s="318"/>
      <c r="AC17048" s="318"/>
      <c r="AD17048" s="318"/>
    </row>
    <row r="17049" spans="2:30" s="323" customFormat="1" ht="12" customHeight="1">
      <c r="B17049" s="324"/>
      <c r="C17049" s="325"/>
      <c r="D17049" s="326"/>
      <c r="E17049" s="326"/>
      <c r="F17049" s="326"/>
      <c r="G17049" s="326"/>
      <c r="H17049" s="326"/>
      <c r="P17049" s="318"/>
      <c r="Q17049" s="318"/>
      <c r="R17049" s="318"/>
      <c r="S17049" s="318"/>
      <c r="T17049" s="318"/>
      <c r="U17049" s="318"/>
      <c r="V17049" s="318"/>
      <c r="W17049" s="318"/>
      <c r="X17049" s="318"/>
      <c r="Y17049" s="318"/>
      <c r="Z17049" s="318"/>
      <c r="AA17049" s="318"/>
      <c r="AB17049" s="318"/>
      <c r="AC17049" s="318"/>
      <c r="AD17049" s="318"/>
    </row>
    <row r="17050" spans="2:30" s="323" customFormat="1" ht="12" customHeight="1">
      <c r="B17050" s="324"/>
      <c r="C17050" s="325"/>
      <c r="D17050" s="326"/>
      <c r="E17050" s="326"/>
      <c r="F17050" s="326"/>
      <c r="G17050" s="326"/>
      <c r="H17050" s="326"/>
      <c r="P17050" s="318"/>
      <c r="Q17050" s="318"/>
      <c r="R17050" s="318"/>
      <c r="S17050" s="318"/>
      <c r="T17050" s="318"/>
      <c r="U17050" s="318"/>
      <c r="V17050" s="318"/>
      <c r="W17050" s="318"/>
      <c r="X17050" s="318"/>
      <c r="Y17050" s="318"/>
      <c r="Z17050" s="318"/>
      <c r="AA17050" s="318"/>
      <c r="AB17050" s="318"/>
      <c r="AC17050" s="318"/>
      <c r="AD17050" s="318"/>
    </row>
    <row r="17051" spans="2:30" s="323" customFormat="1" ht="12" customHeight="1">
      <c r="B17051" s="324"/>
      <c r="C17051" s="325"/>
      <c r="D17051" s="326"/>
      <c r="E17051" s="326"/>
      <c r="F17051" s="326"/>
      <c r="G17051" s="326"/>
      <c r="H17051" s="326"/>
      <c r="P17051" s="318"/>
      <c r="Q17051" s="318"/>
      <c r="R17051" s="318"/>
      <c r="S17051" s="318"/>
      <c r="T17051" s="318"/>
      <c r="U17051" s="318"/>
      <c r="V17051" s="318"/>
      <c r="W17051" s="318"/>
      <c r="X17051" s="318"/>
      <c r="Y17051" s="318"/>
      <c r="Z17051" s="318"/>
      <c r="AA17051" s="318"/>
      <c r="AB17051" s="318"/>
      <c r="AC17051" s="318"/>
      <c r="AD17051" s="318"/>
    </row>
    <row r="17052" spans="2:30" s="323" customFormat="1" ht="12" customHeight="1">
      <c r="B17052" s="324"/>
      <c r="C17052" s="325"/>
      <c r="D17052" s="326"/>
      <c r="E17052" s="326"/>
      <c r="F17052" s="326"/>
      <c r="G17052" s="326"/>
      <c r="H17052" s="326"/>
      <c r="P17052" s="318"/>
      <c r="Q17052" s="318"/>
      <c r="R17052" s="318"/>
      <c r="S17052" s="318"/>
      <c r="T17052" s="318"/>
      <c r="U17052" s="318"/>
      <c r="V17052" s="318"/>
      <c r="W17052" s="318"/>
      <c r="X17052" s="318"/>
      <c r="Y17052" s="318"/>
      <c r="Z17052" s="318"/>
      <c r="AA17052" s="318"/>
      <c r="AB17052" s="318"/>
      <c r="AC17052" s="318"/>
      <c r="AD17052" s="318"/>
    </row>
    <row r="17053" spans="2:30" s="323" customFormat="1" ht="12" customHeight="1">
      <c r="B17053" s="324"/>
      <c r="C17053" s="325"/>
      <c r="D17053" s="326"/>
      <c r="E17053" s="326"/>
      <c r="F17053" s="326"/>
      <c r="G17053" s="326"/>
      <c r="H17053" s="326"/>
      <c r="P17053" s="318"/>
      <c r="Q17053" s="318"/>
      <c r="R17053" s="318"/>
      <c r="S17053" s="318"/>
      <c r="T17053" s="318"/>
      <c r="U17053" s="318"/>
      <c r="V17053" s="318"/>
      <c r="W17053" s="318"/>
      <c r="X17053" s="318"/>
      <c r="Y17053" s="318"/>
      <c r="Z17053" s="318"/>
      <c r="AA17053" s="318"/>
      <c r="AB17053" s="318"/>
      <c r="AC17053" s="318"/>
      <c r="AD17053" s="318"/>
    </row>
    <row r="17054" spans="2:30" s="323" customFormat="1" ht="12" customHeight="1">
      <c r="B17054" s="324"/>
      <c r="C17054" s="325"/>
      <c r="D17054" s="326"/>
      <c r="E17054" s="326"/>
      <c r="F17054" s="326"/>
      <c r="G17054" s="326"/>
      <c r="H17054" s="326"/>
      <c r="P17054" s="318"/>
      <c r="Q17054" s="318"/>
      <c r="R17054" s="318"/>
      <c r="S17054" s="318"/>
      <c r="T17054" s="318"/>
      <c r="U17054" s="318"/>
      <c r="V17054" s="318"/>
      <c r="W17054" s="318"/>
      <c r="X17054" s="318"/>
      <c r="Y17054" s="318"/>
      <c r="Z17054" s="318"/>
      <c r="AA17054" s="318"/>
      <c r="AB17054" s="318"/>
      <c r="AC17054" s="318"/>
      <c r="AD17054" s="318"/>
    </row>
    <row r="17055" spans="2:30" s="323" customFormat="1" ht="12" customHeight="1">
      <c r="B17055" s="324"/>
      <c r="C17055" s="325"/>
      <c r="D17055" s="326"/>
      <c r="E17055" s="326"/>
      <c r="F17055" s="326"/>
      <c r="G17055" s="326"/>
      <c r="H17055" s="326"/>
      <c r="P17055" s="318"/>
      <c r="Q17055" s="318"/>
      <c r="R17055" s="318"/>
      <c r="S17055" s="318"/>
      <c r="T17055" s="318"/>
      <c r="U17055" s="318"/>
      <c r="V17055" s="318"/>
      <c r="W17055" s="318"/>
      <c r="X17055" s="318"/>
      <c r="Y17055" s="318"/>
      <c r="Z17055" s="318"/>
      <c r="AA17055" s="318"/>
      <c r="AB17055" s="318"/>
      <c r="AC17055" s="318"/>
      <c r="AD17055" s="318"/>
    </row>
    <row r="17056" spans="2:30" s="323" customFormat="1" ht="12" customHeight="1">
      <c r="B17056" s="324"/>
      <c r="C17056" s="325"/>
      <c r="D17056" s="326"/>
      <c r="E17056" s="326"/>
      <c r="F17056" s="326"/>
      <c r="G17056" s="326"/>
      <c r="H17056" s="326"/>
      <c r="P17056" s="318"/>
      <c r="Q17056" s="318"/>
      <c r="R17056" s="318"/>
      <c r="S17056" s="318"/>
      <c r="T17056" s="318"/>
      <c r="U17056" s="318"/>
      <c r="V17056" s="318"/>
      <c r="W17056" s="318"/>
      <c r="X17056" s="318"/>
      <c r="Y17056" s="318"/>
      <c r="Z17056" s="318"/>
      <c r="AA17056" s="318"/>
      <c r="AB17056" s="318"/>
      <c r="AC17056" s="318"/>
      <c r="AD17056" s="318"/>
    </row>
    <row r="17057" spans="2:30" s="323" customFormat="1" ht="12" customHeight="1">
      <c r="B17057" s="324"/>
      <c r="C17057" s="325"/>
      <c r="D17057" s="326"/>
      <c r="E17057" s="326"/>
      <c r="F17057" s="326"/>
      <c r="G17057" s="326"/>
      <c r="H17057" s="326"/>
      <c r="P17057" s="318"/>
      <c r="Q17057" s="318"/>
      <c r="R17057" s="318"/>
      <c r="S17057" s="318"/>
      <c r="T17057" s="318"/>
      <c r="U17057" s="318"/>
      <c r="V17057" s="318"/>
      <c r="W17057" s="318"/>
      <c r="X17057" s="318"/>
      <c r="Y17057" s="318"/>
      <c r="Z17057" s="318"/>
      <c r="AA17057" s="318"/>
      <c r="AB17057" s="318"/>
      <c r="AC17057" s="318"/>
      <c r="AD17057" s="318"/>
    </row>
    <row r="17058" spans="2:30" s="323" customFormat="1" ht="12" customHeight="1">
      <c r="B17058" s="324"/>
      <c r="C17058" s="325"/>
      <c r="D17058" s="326"/>
      <c r="E17058" s="326"/>
      <c r="F17058" s="326"/>
      <c r="G17058" s="326"/>
      <c r="H17058" s="326"/>
      <c r="P17058" s="318"/>
      <c r="Q17058" s="318"/>
      <c r="R17058" s="318"/>
      <c r="S17058" s="318"/>
      <c r="T17058" s="318"/>
      <c r="U17058" s="318"/>
      <c r="V17058" s="318"/>
      <c r="W17058" s="318"/>
      <c r="X17058" s="318"/>
      <c r="Y17058" s="318"/>
      <c r="Z17058" s="318"/>
      <c r="AA17058" s="318"/>
      <c r="AB17058" s="318"/>
      <c r="AC17058" s="318"/>
      <c r="AD17058" s="318"/>
    </row>
    <row r="17059" spans="2:30" s="323" customFormat="1" ht="12" customHeight="1">
      <c r="B17059" s="324"/>
      <c r="C17059" s="325"/>
      <c r="D17059" s="326"/>
      <c r="E17059" s="326"/>
      <c r="F17059" s="326"/>
      <c r="G17059" s="326"/>
      <c r="H17059" s="326"/>
      <c r="P17059" s="318"/>
      <c r="Q17059" s="318"/>
      <c r="R17059" s="318"/>
      <c r="S17059" s="318"/>
      <c r="T17059" s="318"/>
      <c r="U17059" s="318"/>
      <c r="V17059" s="318"/>
      <c r="W17059" s="318"/>
      <c r="X17059" s="318"/>
      <c r="Y17059" s="318"/>
      <c r="Z17059" s="318"/>
      <c r="AA17059" s="318"/>
      <c r="AB17059" s="318"/>
      <c r="AC17059" s="318"/>
      <c r="AD17059" s="318"/>
    </row>
    <row r="17060" spans="2:30" s="323" customFormat="1" ht="12" customHeight="1">
      <c r="B17060" s="324"/>
      <c r="C17060" s="325"/>
      <c r="D17060" s="326"/>
      <c r="E17060" s="326"/>
      <c r="F17060" s="326"/>
      <c r="G17060" s="326"/>
      <c r="H17060" s="326"/>
      <c r="P17060" s="318"/>
      <c r="Q17060" s="318"/>
      <c r="R17060" s="318"/>
      <c r="S17060" s="318"/>
      <c r="T17060" s="318"/>
      <c r="U17060" s="318"/>
      <c r="V17060" s="318"/>
      <c r="W17060" s="318"/>
      <c r="X17060" s="318"/>
      <c r="Y17060" s="318"/>
      <c r="Z17060" s="318"/>
      <c r="AA17060" s="318"/>
      <c r="AB17060" s="318"/>
      <c r="AC17060" s="318"/>
      <c r="AD17060" s="318"/>
    </row>
    <row r="17061" spans="2:30" s="323" customFormat="1" ht="12" customHeight="1">
      <c r="B17061" s="324"/>
      <c r="C17061" s="325"/>
      <c r="D17061" s="326"/>
      <c r="E17061" s="326"/>
      <c r="F17061" s="326"/>
      <c r="G17061" s="326"/>
      <c r="H17061" s="326"/>
      <c r="P17061" s="318"/>
      <c r="Q17061" s="318"/>
      <c r="R17061" s="318"/>
      <c r="S17061" s="318"/>
      <c r="T17061" s="318"/>
      <c r="U17061" s="318"/>
      <c r="V17061" s="318"/>
      <c r="W17061" s="318"/>
      <c r="X17061" s="318"/>
      <c r="Y17061" s="318"/>
      <c r="Z17061" s="318"/>
      <c r="AA17061" s="318"/>
      <c r="AB17061" s="318"/>
      <c r="AC17061" s="318"/>
      <c r="AD17061" s="318"/>
    </row>
    <row r="17062" spans="2:30" s="323" customFormat="1" ht="12" customHeight="1">
      <c r="B17062" s="324"/>
      <c r="C17062" s="325"/>
      <c r="D17062" s="326"/>
      <c r="E17062" s="326"/>
      <c r="F17062" s="326"/>
      <c r="G17062" s="326"/>
      <c r="H17062" s="326"/>
      <c r="P17062" s="318"/>
      <c r="Q17062" s="318"/>
      <c r="R17062" s="318"/>
      <c r="S17062" s="318"/>
      <c r="T17062" s="318"/>
      <c r="U17062" s="318"/>
      <c r="V17062" s="318"/>
      <c r="W17062" s="318"/>
      <c r="X17062" s="318"/>
      <c r="Y17062" s="318"/>
      <c r="Z17062" s="318"/>
      <c r="AA17062" s="318"/>
      <c r="AB17062" s="318"/>
      <c r="AC17062" s="318"/>
      <c r="AD17062" s="318"/>
    </row>
    <row r="17063" spans="2:30" s="323" customFormat="1" ht="12" customHeight="1">
      <c r="B17063" s="324"/>
      <c r="C17063" s="325"/>
      <c r="D17063" s="326"/>
      <c r="E17063" s="326"/>
      <c r="F17063" s="326"/>
      <c r="G17063" s="326"/>
      <c r="H17063" s="326"/>
      <c r="P17063" s="318"/>
      <c r="Q17063" s="318"/>
      <c r="R17063" s="318"/>
      <c r="S17063" s="318"/>
      <c r="T17063" s="318"/>
      <c r="U17063" s="318"/>
      <c r="V17063" s="318"/>
      <c r="W17063" s="318"/>
      <c r="X17063" s="318"/>
      <c r="Y17063" s="318"/>
      <c r="Z17063" s="318"/>
      <c r="AA17063" s="318"/>
      <c r="AB17063" s="318"/>
      <c r="AC17063" s="318"/>
      <c r="AD17063" s="318"/>
    </row>
    <row r="17064" spans="2:30" s="323" customFormat="1" ht="12" customHeight="1">
      <c r="B17064" s="324"/>
      <c r="C17064" s="325"/>
      <c r="D17064" s="326"/>
      <c r="E17064" s="326"/>
      <c r="F17064" s="326"/>
      <c r="G17064" s="326"/>
      <c r="H17064" s="326"/>
      <c r="P17064" s="318"/>
      <c r="Q17064" s="318"/>
      <c r="R17064" s="318"/>
      <c r="S17064" s="318"/>
      <c r="T17064" s="318"/>
      <c r="U17064" s="318"/>
      <c r="V17064" s="318"/>
      <c r="W17064" s="318"/>
      <c r="X17064" s="318"/>
      <c r="Y17064" s="318"/>
      <c r="Z17064" s="318"/>
      <c r="AA17064" s="318"/>
      <c r="AB17064" s="318"/>
      <c r="AC17064" s="318"/>
      <c r="AD17064" s="318"/>
    </row>
    <row r="17065" spans="2:30" s="323" customFormat="1" ht="12" customHeight="1">
      <c r="B17065" s="324"/>
      <c r="C17065" s="325"/>
      <c r="D17065" s="326"/>
      <c r="E17065" s="326"/>
      <c r="F17065" s="326"/>
      <c r="G17065" s="326"/>
      <c r="H17065" s="326"/>
      <c r="P17065" s="318"/>
      <c r="Q17065" s="318"/>
      <c r="R17065" s="318"/>
      <c r="S17065" s="318"/>
      <c r="T17065" s="318"/>
      <c r="U17065" s="318"/>
      <c r="V17065" s="318"/>
      <c r="W17065" s="318"/>
      <c r="X17065" s="318"/>
      <c r="Y17065" s="318"/>
      <c r="Z17065" s="318"/>
      <c r="AA17065" s="318"/>
      <c r="AB17065" s="318"/>
      <c r="AC17065" s="318"/>
      <c r="AD17065" s="318"/>
    </row>
    <row r="17066" spans="2:30" s="323" customFormat="1" ht="12" customHeight="1">
      <c r="B17066" s="324"/>
      <c r="C17066" s="325"/>
      <c r="D17066" s="326"/>
      <c r="E17066" s="326"/>
      <c r="F17066" s="326"/>
      <c r="G17066" s="326"/>
      <c r="H17066" s="326"/>
      <c r="P17066" s="318"/>
      <c r="Q17066" s="318"/>
      <c r="R17066" s="318"/>
      <c r="S17066" s="318"/>
      <c r="T17066" s="318"/>
      <c r="U17066" s="318"/>
      <c r="V17066" s="318"/>
      <c r="W17066" s="318"/>
      <c r="X17066" s="318"/>
      <c r="Y17066" s="318"/>
      <c r="Z17066" s="318"/>
      <c r="AA17066" s="318"/>
      <c r="AB17066" s="318"/>
      <c r="AC17066" s="318"/>
      <c r="AD17066" s="318"/>
    </row>
    <row r="17067" spans="2:30" s="323" customFormat="1" ht="12" customHeight="1">
      <c r="B17067" s="324"/>
      <c r="C17067" s="325"/>
      <c r="D17067" s="326"/>
      <c r="E17067" s="326"/>
      <c r="F17067" s="326"/>
      <c r="G17067" s="326"/>
      <c r="H17067" s="326"/>
      <c r="P17067" s="318"/>
      <c r="Q17067" s="318"/>
      <c r="R17067" s="318"/>
      <c r="S17067" s="318"/>
      <c r="T17067" s="318"/>
      <c r="U17067" s="318"/>
      <c r="V17067" s="318"/>
      <c r="W17067" s="318"/>
      <c r="X17067" s="318"/>
      <c r="Y17067" s="318"/>
      <c r="Z17067" s="318"/>
      <c r="AA17067" s="318"/>
      <c r="AB17067" s="318"/>
      <c r="AC17067" s="318"/>
      <c r="AD17067" s="318"/>
    </row>
    <row r="17068" spans="2:30" s="323" customFormat="1" ht="12" customHeight="1">
      <c r="B17068" s="324"/>
      <c r="C17068" s="325"/>
      <c r="D17068" s="326"/>
      <c r="E17068" s="326"/>
      <c r="F17068" s="326"/>
      <c r="G17068" s="326"/>
      <c r="H17068" s="326"/>
      <c r="P17068" s="318"/>
      <c r="Q17068" s="318"/>
      <c r="R17068" s="318"/>
      <c r="S17068" s="318"/>
      <c r="T17068" s="318"/>
      <c r="U17068" s="318"/>
      <c r="V17068" s="318"/>
      <c r="W17068" s="318"/>
      <c r="X17068" s="318"/>
      <c r="Y17068" s="318"/>
      <c r="Z17068" s="318"/>
      <c r="AA17068" s="318"/>
      <c r="AB17068" s="318"/>
      <c r="AC17068" s="318"/>
      <c r="AD17068" s="318"/>
    </row>
    <row r="17069" spans="2:30" s="323" customFormat="1" ht="12" customHeight="1">
      <c r="B17069" s="324"/>
      <c r="C17069" s="325"/>
      <c r="D17069" s="326"/>
      <c r="E17069" s="326"/>
      <c r="F17069" s="326"/>
      <c r="G17069" s="326"/>
      <c r="H17069" s="326"/>
      <c r="P17069" s="318"/>
      <c r="Q17069" s="318"/>
      <c r="R17069" s="318"/>
      <c r="S17069" s="318"/>
      <c r="T17069" s="318"/>
      <c r="U17069" s="318"/>
      <c r="V17069" s="318"/>
      <c r="W17069" s="318"/>
      <c r="X17069" s="318"/>
      <c r="Y17069" s="318"/>
      <c r="Z17069" s="318"/>
      <c r="AA17069" s="318"/>
      <c r="AB17069" s="318"/>
      <c r="AC17069" s="318"/>
      <c r="AD17069" s="318"/>
    </row>
    <row r="17070" spans="2:30" s="323" customFormat="1" ht="12" customHeight="1">
      <c r="B17070" s="324"/>
      <c r="C17070" s="325"/>
      <c r="D17070" s="326"/>
      <c r="E17070" s="326"/>
      <c r="F17070" s="326"/>
      <c r="G17070" s="326"/>
      <c r="H17070" s="326"/>
      <c r="P17070" s="318"/>
      <c r="Q17070" s="318"/>
      <c r="R17070" s="318"/>
      <c r="S17070" s="318"/>
      <c r="T17070" s="318"/>
      <c r="U17070" s="318"/>
      <c r="V17070" s="318"/>
      <c r="W17070" s="318"/>
      <c r="X17070" s="318"/>
      <c r="Y17070" s="318"/>
      <c r="Z17070" s="318"/>
      <c r="AA17070" s="318"/>
      <c r="AB17070" s="318"/>
      <c r="AC17070" s="318"/>
      <c r="AD17070" s="318"/>
    </row>
    <row r="17071" spans="2:30" s="323" customFormat="1" ht="12" customHeight="1">
      <c r="B17071" s="324"/>
      <c r="C17071" s="325"/>
      <c r="D17071" s="326"/>
      <c r="E17071" s="326"/>
      <c r="F17071" s="326"/>
      <c r="G17071" s="326"/>
      <c r="H17071" s="326"/>
      <c r="P17071" s="318"/>
      <c r="Q17071" s="318"/>
      <c r="R17071" s="318"/>
      <c r="S17071" s="318"/>
      <c r="T17071" s="318"/>
      <c r="U17071" s="318"/>
      <c r="V17071" s="318"/>
      <c r="W17071" s="318"/>
      <c r="X17071" s="318"/>
      <c r="Y17071" s="318"/>
      <c r="Z17071" s="318"/>
      <c r="AA17071" s="318"/>
      <c r="AB17071" s="318"/>
      <c r="AC17071" s="318"/>
      <c r="AD17071" s="318"/>
    </row>
    <row r="17072" spans="2:30" s="323" customFormat="1" ht="12" customHeight="1">
      <c r="B17072" s="324"/>
      <c r="C17072" s="325"/>
      <c r="D17072" s="326"/>
      <c r="E17072" s="326"/>
      <c r="F17072" s="326"/>
      <c r="G17072" s="326"/>
      <c r="H17072" s="326"/>
      <c r="P17072" s="318"/>
      <c r="Q17072" s="318"/>
      <c r="R17072" s="318"/>
      <c r="S17072" s="318"/>
      <c r="T17072" s="318"/>
      <c r="U17072" s="318"/>
      <c r="V17072" s="318"/>
      <c r="W17072" s="318"/>
      <c r="X17072" s="318"/>
      <c r="Y17072" s="318"/>
      <c r="Z17072" s="318"/>
      <c r="AA17072" s="318"/>
      <c r="AB17072" s="318"/>
      <c r="AC17072" s="318"/>
      <c r="AD17072" s="318"/>
    </row>
    <row r="17073" spans="2:30" s="323" customFormat="1" ht="12" customHeight="1">
      <c r="B17073" s="324"/>
      <c r="C17073" s="325"/>
      <c r="D17073" s="326"/>
      <c r="E17073" s="326"/>
      <c r="F17073" s="326"/>
      <c r="G17073" s="326"/>
      <c r="H17073" s="326"/>
      <c r="P17073" s="318"/>
      <c r="Q17073" s="318"/>
      <c r="R17073" s="318"/>
      <c r="S17073" s="318"/>
      <c r="T17073" s="318"/>
      <c r="U17073" s="318"/>
      <c r="V17073" s="318"/>
      <c r="W17073" s="318"/>
      <c r="X17073" s="318"/>
      <c r="Y17073" s="318"/>
      <c r="Z17073" s="318"/>
      <c r="AA17073" s="318"/>
      <c r="AB17073" s="318"/>
      <c r="AC17073" s="318"/>
      <c r="AD17073" s="318"/>
    </row>
    <row r="17074" spans="2:30" s="323" customFormat="1" ht="12" customHeight="1">
      <c r="B17074" s="324"/>
      <c r="C17074" s="325"/>
      <c r="D17074" s="326"/>
      <c r="E17074" s="326"/>
      <c r="F17074" s="326"/>
      <c r="G17074" s="326"/>
      <c r="H17074" s="326"/>
      <c r="P17074" s="318"/>
      <c r="Q17074" s="318"/>
      <c r="R17074" s="318"/>
      <c r="S17074" s="318"/>
      <c r="T17074" s="318"/>
      <c r="U17074" s="318"/>
      <c r="V17074" s="318"/>
      <c r="W17074" s="318"/>
      <c r="X17074" s="318"/>
      <c r="Y17074" s="318"/>
      <c r="Z17074" s="318"/>
      <c r="AA17074" s="318"/>
      <c r="AB17074" s="318"/>
      <c r="AC17074" s="318"/>
      <c r="AD17074" s="318"/>
    </row>
    <row r="17075" spans="2:30" s="323" customFormat="1" ht="12" customHeight="1">
      <c r="B17075" s="324"/>
      <c r="C17075" s="325"/>
      <c r="D17075" s="326"/>
      <c r="E17075" s="326"/>
      <c r="F17075" s="326"/>
      <c r="G17075" s="326"/>
      <c r="H17075" s="326"/>
      <c r="P17075" s="318"/>
      <c r="Q17075" s="318"/>
      <c r="R17075" s="318"/>
      <c r="S17075" s="318"/>
      <c r="T17075" s="318"/>
      <c r="U17075" s="318"/>
      <c r="V17075" s="318"/>
      <c r="W17075" s="318"/>
      <c r="X17075" s="318"/>
      <c r="Y17075" s="318"/>
      <c r="Z17075" s="318"/>
      <c r="AA17075" s="318"/>
      <c r="AB17075" s="318"/>
      <c r="AC17075" s="318"/>
      <c r="AD17075" s="318"/>
    </row>
    <row r="17076" spans="2:30" s="323" customFormat="1" ht="12" customHeight="1">
      <c r="B17076" s="324"/>
      <c r="C17076" s="325"/>
      <c r="D17076" s="326"/>
      <c r="E17076" s="326"/>
      <c r="F17076" s="326"/>
      <c r="G17076" s="326"/>
      <c r="H17076" s="326"/>
      <c r="P17076" s="318"/>
      <c r="Q17076" s="318"/>
      <c r="R17076" s="318"/>
      <c r="S17076" s="318"/>
      <c r="T17076" s="318"/>
      <c r="U17076" s="318"/>
      <c r="V17076" s="318"/>
      <c r="W17076" s="318"/>
      <c r="X17076" s="318"/>
      <c r="Y17076" s="318"/>
      <c r="Z17076" s="318"/>
      <c r="AA17076" s="318"/>
      <c r="AB17076" s="318"/>
      <c r="AC17076" s="318"/>
      <c r="AD17076" s="318"/>
    </row>
    <row r="17077" spans="2:30" s="323" customFormat="1" ht="12" customHeight="1">
      <c r="B17077" s="324"/>
      <c r="C17077" s="325"/>
      <c r="D17077" s="326"/>
      <c r="E17077" s="326"/>
      <c r="F17077" s="326"/>
      <c r="G17077" s="326"/>
      <c r="H17077" s="326"/>
      <c r="P17077" s="318"/>
      <c r="Q17077" s="318"/>
      <c r="R17077" s="318"/>
      <c r="S17077" s="318"/>
      <c r="T17077" s="318"/>
      <c r="U17077" s="318"/>
      <c r="V17077" s="318"/>
      <c r="W17077" s="318"/>
      <c r="X17077" s="318"/>
      <c r="Y17077" s="318"/>
      <c r="Z17077" s="318"/>
      <c r="AA17077" s="318"/>
      <c r="AB17077" s="318"/>
      <c r="AC17077" s="318"/>
      <c r="AD17077" s="318"/>
    </row>
    <row r="17078" spans="2:30" s="323" customFormat="1" ht="12" customHeight="1">
      <c r="B17078" s="324"/>
      <c r="C17078" s="325"/>
      <c r="D17078" s="326"/>
      <c r="E17078" s="326"/>
      <c r="F17078" s="326"/>
      <c r="G17078" s="326"/>
      <c r="H17078" s="326"/>
      <c r="P17078" s="318"/>
      <c r="Q17078" s="318"/>
      <c r="R17078" s="318"/>
      <c r="S17078" s="318"/>
      <c r="T17078" s="318"/>
      <c r="U17078" s="318"/>
      <c r="V17078" s="318"/>
      <c r="W17078" s="318"/>
      <c r="X17078" s="318"/>
      <c r="Y17078" s="318"/>
      <c r="Z17078" s="318"/>
      <c r="AA17078" s="318"/>
      <c r="AB17078" s="318"/>
      <c r="AC17078" s="318"/>
      <c r="AD17078" s="318"/>
    </row>
    <row r="17079" spans="2:30" s="323" customFormat="1" ht="12" customHeight="1">
      <c r="B17079" s="324"/>
      <c r="C17079" s="325"/>
      <c r="D17079" s="326"/>
      <c r="E17079" s="326"/>
      <c r="F17079" s="326"/>
      <c r="G17079" s="326"/>
      <c r="H17079" s="326"/>
      <c r="P17079" s="318"/>
      <c r="Q17079" s="318"/>
      <c r="R17079" s="318"/>
      <c r="S17079" s="318"/>
      <c r="T17079" s="318"/>
      <c r="U17079" s="318"/>
      <c r="V17079" s="318"/>
      <c r="W17079" s="318"/>
      <c r="X17079" s="318"/>
      <c r="Y17079" s="318"/>
      <c r="Z17079" s="318"/>
      <c r="AA17079" s="318"/>
      <c r="AB17079" s="318"/>
      <c r="AC17079" s="318"/>
      <c r="AD17079" s="318"/>
    </row>
    <row r="17080" spans="2:30" s="323" customFormat="1" ht="12" customHeight="1">
      <c r="B17080" s="324"/>
      <c r="C17080" s="325"/>
      <c r="D17080" s="326"/>
      <c r="E17080" s="326"/>
      <c r="F17080" s="326"/>
      <c r="G17080" s="326"/>
      <c r="H17080" s="326"/>
      <c r="P17080" s="318"/>
      <c r="Q17080" s="318"/>
      <c r="R17080" s="318"/>
      <c r="S17080" s="318"/>
      <c r="T17080" s="318"/>
      <c r="U17080" s="318"/>
      <c r="V17080" s="318"/>
      <c r="W17080" s="318"/>
      <c r="X17080" s="318"/>
      <c r="Y17080" s="318"/>
      <c r="Z17080" s="318"/>
      <c r="AA17080" s="318"/>
      <c r="AB17080" s="318"/>
      <c r="AC17080" s="318"/>
      <c r="AD17080" s="318"/>
    </row>
    <row r="17081" spans="2:30" s="323" customFormat="1" ht="12" customHeight="1">
      <c r="B17081" s="324"/>
      <c r="C17081" s="325"/>
      <c r="D17081" s="326"/>
      <c r="E17081" s="326"/>
      <c r="F17081" s="326"/>
      <c r="G17081" s="326"/>
      <c r="H17081" s="326"/>
      <c r="P17081" s="318"/>
      <c r="Q17081" s="318"/>
      <c r="R17081" s="318"/>
      <c r="S17081" s="318"/>
      <c r="T17081" s="318"/>
      <c r="U17081" s="318"/>
      <c r="V17081" s="318"/>
      <c r="W17081" s="318"/>
      <c r="X17081" s="318"/>
      <c r="Y17081" s="318"/>
      <c r="Z17081" s="318"/>
      <c r="AA17081" s="318"/>
      <c r="AB17081" s="318"/>
      <c r="AC17081" s="318"/>
      <c r="AD17081" s="318"/>
    </row>
    <row r="17082" spans="2:30" s="323" customFormat="1" ht="12" customHeight="1">
      <c r="B17082" s="324"/>
      <c r="C17082" s="325"/>
      <c r="D17082" s="326"/>
      <c r="E17082" s="326"/>
      <c r="F17082" s="326"/>
      <c r="G17082" s="326"/>
      <c r="H17082" s="326"/>
      <c r="P17082" s="318"/>
      <c r="Q17082" s="318"/>
      <c r="R17082" s="318"/>
      <c r="S17082" s="318"/>
      <c r="T17082" s="318"/>
      <c r="U17082" s="318"/>
      <c r="V17082" s="318"/>
      <c r="W17082" s="318"/>
      <c r="X17082" s="318"/>
      <c r="Y17082" s="318"/>
      <c r="Z17082" s="318"/>
      <c r="AA17082" s="318"/>
      <c r="AB17082" s="318"/>
      <c r="AC17082" s="318"/>
      <c r="AD17082" s="318"/>
    </row>
    <row r="17083" spans="2:30" s="323" customFormat="1" ht="12" customHeight="1">
      <c r="B17083" s="324"/>
      <c r="C17083" s="325"/>
      <c r="D17083" s="326"/>
      <c r="E17083" s="326"/>
      <c r="F17083" s="326"/>
      <c r="G17083" s="326"/>
      <c r="H17083" s="326"/>
      <c r="P17083" s="318"/>
      <c r="Q17083" s="318"/>
      <c r="R17083" s="318"/>
      <c r="S17083" s="318"/>
      <c r="T17083" s="318"/>
      <c r="U17083" s="318"/>
      <c r="V17083" s="318"/>
      <c r="W17083" s="318"/>
      <c r="X17083" s="318"/>
      <c r="Y17083" s="318"/>
      <c r="Z17083" s="318"/>
      <c r="AA17083" s="318"/>
      <c r="AB17083" s="318"/>
      <c r="AC17083" s="318"/>
      <c r="AD17083" s="318"/>
    </row>
    <row r="17084" spans="2:30" s="323" customFormat="1" ht="12" customHeight="1">
      <c r="B17084" s="324"/>
      <c r="C17084" s="325"/>
      <c r="D17084" s="326"/>
      <c r="E17084" s="326"/>
      <c r="F17084" s="326"/>
      <c r="G17084" s="326"/>
      <c r="H17084" s="326"/>
      <c r="P17084" s="318"/>
      <c r="Q17084" s="318"/>
      <c r="R17084" s="318"/>
      <c r="S17084" s="318"/>
      <c r="T17084" s="318"/>
      <c r="U17084" s="318"/>
      <c r="V17084" s="318"/>
      <c r="W17084" s="318"/>
      <c r="X17084" s="318"/>
      <c r="Y17084" s="318"/>
      <c r="Z17084" s="318"/>
      <c r="AA17084" s="318"/>
      <c r="AB17084" s="318"/>
      <c r="AC17084" s="318"/>
      <c r="AD17084" s="318"/>
    </row>
    <row r="17085" spans="2:30" s="323" customFormat="1" ht="12" customHeight="1">
      <c r="B17085" s="324"/>
      <c r="C17085" s="325"/>
      <c r="D17085" s="326"/>
      <c r="E17085" s="326"/>
      <c r="F17085" s="326"/>
      <c r="G17085" s="326"/>
      <c r="H17085" s="326"/>
      <c r="P17085" s="318"/>
      <c r="Q17085" s="318"/>
      <c r="R17085" s="318"/>
      <c r="S17085" s="318"/>
      <c r="T17085" s="318"/>
      <c r="U17085" s="318"/>
      <c r="V17085" s="318"/>
      <c r="W17085" s="318"/>
      <c r="X17085" s="318"/>
      <c r="Y17085" s="318"/>
      <c r="Z17085" s="318"/>
      <c r="AA17085" s="318"/>
      <c r="AB17085" s="318"/>
      <c r="AC17085" s="318"/>
      <c r="AD17085" s="318"/>
    </row>
    <row r="17086" spans="2:30" s="323" customFormat="1" ht="12" customHeight="1">
      <c r="B17086" s="324"/>
      <c r="C17086" s="325"/>
      <c r="D17086" s="326"/>
      <c r="E17086" s="326"/>
      <c r="F17086" s="326"/>
      <c r="G17086" s="326"/>
      <c r="H17086" s="326"/>
      <c r="P17086" s="318"/>
      <c r="Q17086" s="318"/>
      <c r="R17086" s="318"/>
      <c r="S17086" s="318"/>
      <c r="T17086" s="318"/>
      <c r="U17086" s="318"/>
      <c r="V17086" s="318"/>
      <c r="W17086" s="318"/>
      <c r="X17086" s="318"/>
      <c r="Y17086" s="318"/>
      <c r="Z17086" s="318"/>
      <c r="AA17086" s="318"/>
      <c r="AB17086" s="318"/>
      <c r="AC17086" s="318"/>
      <c r="AD17086" s="318"/>
    </row>
    <row r="17087" spans="2:30" s="323" customFormat="1" ht="12" customHeight="1">
      <c r="B17087" s="324"/>
      <c r="C17087" s="325"/>
      <c r="D17087" s="326"/>
      <c r="E17087" s="326"/>
      <c r="F17087" s="326"/>
      <c r="G17087" s="326"/>
      <c r="H17087" s="326"/>
      <c r="P17087" s="318"/>
      <c r="Q17087" s="318"/>
      <c r="R17087" s="318"/>
      <c r="S17087" s="318"/>
      <c r="T17087" s="318"/>
      <c r="U17087" s="318"/>
      <c r="V17087" s="318"/>
      <c r="W17087" s="318"/>
      <c r="X17087" s="318"/>
      <c r="Y17087" s="318"/>
      <c r="Z17087" s="318"/>
      <c r="AA17087" s="318"/>
      <c r="AB17087" s="318"/>
      <c r="AC17087" s="318"/>
      <c r="AD17087" s="318"/>
    </row>
    <row r="17088" spans="2:30" s="323" customFormat="1" ht="12" customHeight="1">
      <c r="B17088" s="324"/>
      <c r="C17088" s="325"/>
      <c r="D17088" s="326"/>
      <c r="E17088" s="326"/>
      <c r="F17088" s="326"/>
      <c r="G17088" s="326"/>
      <c r="H17088" s="326"/>
      <c r="P17088" s="318"/>
      <c r="Q17088" s="318"/>
      <c r="R17088" s="318"/>
      <c r="S17088" s="318"/>
      <c r="T17088" s="318"/>
      <c r="U17088" s="318"/>
      <c r="V17088" s="318"/>
      <c r="W17088" s="318"/>
      <c r="X17088" s="318"/>
      <c r="Y17088" s="318"/>
      <c r="Z17088" s="318"/>
      <c r="AA17088" s="318"/>
      <c r="AB17088" s="318"/>
      <c r="AC17088" s="318"/>
      <c r="AD17088" s="318"/>
    </row>
    <row r="17089" spans="2:30" s="323" customFormat="1" ht="12" customHeight="1">
      <c r="B17089" s="324"/>
      <c r="C17089" s="325"/>
      <c r="D17089" s="326"/>
      <c r="E17089" s="326"/>
      <c r="F17089" s="326"/>
      <c r="G17089" s="326"/>
      <c r="H17089" s="326"/>
      <c r="P17089" s="318"/>
      <c r="Q17089" s="318"/>
      <c r="R17089" s="318"/>
      <c r="S17089" s="318"/>
      <c r="T17089" s="318"/>
      <c r="U17089" s="318"/>
      <c r="V17089" s="318"/>
      <c r="W17089" s="318"/>
      <c r="X17089" s="318"/>
      <c r="Y17089" s="318"/>
      <c r="Z17089" s="318"/>
      <c r="AA17089" s="318"/>
      <c r="AB17089" s="318"/>
      <c r="AC17089" s="318"/>
      <c r="AD17089" s="318"/>
    </row>
    <row r="17090" spans="2:30" s="323" customFormat="1" ht="12" customHeight="1">
      <c r="B17090" s="324"/>
      <c r="C17090" s="325"/>
      <c r="D17090" s="326"/>
      <c r="E17090" s="326"/>
      <c r="F17090" s="326"/>
      <c r="G17090" s="326"/>
      <c r="H17090" s="326"/>
      <c r="P17090" s="318"/>
      <c r="Q17090" s="318"/>
      <c r="R17090" s="318"/>
      <c r="S17090" s="318"/>
      <c r="T17090" s="318"/>
      <c r="U17090" s="318"/>
      <c r="V17090" s="318"/>
      <c r="W17090" s="318"/>
      <c r="X17090" s="318"/>
      <c r="Y17090" s="318"/>
      <c r="Z17090" s="318"/>
      <c r="AA17090" s="318"/>
      <c r="AB17090" s="318"/>
      <c r="AC17090" s="318"/>
      <c r="AD17090" s="318"/>
    </row>
    <row r="17091" spans="2:30" s="323" customFormat="1" ht="12" customHeight="1">
      <c r="B17091" s="324"/>
      <c r="C17091" s="325"/>
      <c r="D17091" s="326"/>
      <c r="E17091" s="326"/>
      <c r="F17091" s="326"/>
      <c r="G17091" s="326"/>
      <c r="H17091" s="326"/>
      <c r="P17091" s="318"/>
      <c r="Q17091" s="318"/>
      <c r="R17091" s="318"/>
      <c r="S17091" s="318"/>
      <c r="T17091" s="318"/>
      <c r="U17091" s="318"/>
      <c r="V17091" s="318"/>
      <c r="W17091" s="318"/>
      <c r="X17091" s="318"/>
      <c r="Y17091" s="318"/>
      <c r="Z17091" s="318"/>
      <c r="AA17091" s="318"/>
      <c r="AB17091" s="318"/>
      <c r="AC17091" s="318"/>
      <c r="AD17091" s="318"/>
    </row>
    <row r="17092" spans="2:30" s="323" customFormat="1" ht="12" customHeight="1">
      <c r="B17092" s="324"/>
      <c r="C17092" s="325"/>
      <c r="D17092" s="326"/>
      <c r="E17092" s="326"/>
      <c r="F17092" s="326"/>
      <c r="G17092" s="326"/>
      <c r="H17092" s="326"/>
      <c r="P17092" s="318"/>
      <c r="Q17092" s="318"/>
      <c r="R17092" s="318"/>
      <c r="S17092" s="318"/>
      <c r="T17092" s="318"/>
      <c r="U17092" s="318"/>
      <c r="V17092" s="318"/>
      <c r="W17092" s="318"/>
      <c r="X17092" s="318"/>
      <c r="Y17092" s="318"/>
      <c r="Z17092" s="318"/>
      <c r="AA17092" s="318"/>
      <c r="AB17092" s="318"/>
      <c r="AC17092" s="318"/>
      <c r="AD17092" s="318"/>
    </row>
    <row r="17093" spans="2:30" s="323" customFormat="1" ht="12" customHeight="1">
      <c r="B17093" s="324"/>
      <c r="C17093" s="325"/>
      <c r="D17093" s="326"/>
      <c r="E17093" s="326"/>
      <c r="F17093" s="326"/>
      <c r="G17093" s="326"/>
      <c r="H17093" s="326"/>
      <c r="P17093" s="318"/>
      <c r="Q17093" s="318"/>
      <c r="R17093" s="318"/>
      <c r="S17093" s="318"/>
      <c r="T17093" s="318"/>
      <c r="U17093" s="318"/>
      <c r="V17093" s="318"/>
      <c r="W17093" s="318"/>
      <c r="X17093" s="318"/>
      <c r="Y17093" s="318"/>
      <c r="Z17093" s="318"/>
      <c r="AA17093" s="318"/>
      <c r="AB17093" s="318"/>
      <c r="AC17093" s="318"/>
      <c r="AD17093" s="318"/>
    </row>
    <row r="17094" spans="2:30" s="323" customFormat="1" ht="12" customHeight="1">
      <c r="B17094" s="324"/>
      <c r="C17094" s="325"/>
      <c r="D17094" s="326"/>
      <c r="E17094" s="326"/>
      <c r="F17094" s="326"/>
      <c r="G17094" s="326"/>
      <c r="H17094" s="326"/>
      <c r="P17094" s="318"/>
      <c r="Q17094" s="318"/>
      <c r="R17094" s="318"/>
      <c r="S17094" s="318"/>
      <c r="T17094" s="318"/>
      <c r="U17094" s="318"/>
      <c r="V17094" s="318"/>
      <c r="W17094" s="318"/>
      <c r="X17094" s="318"/>
      <c r="Y17094" s="318"/>
      <c r="Z17094" s="318"/>
      <c r="AA17094" s="318"/>
      <c r="AB17094" s="318"/>
      <c r="AC17094" s="318"/>
      <c r="AD17094" s="318"/>
    </row>
    <row r="17095" spans="2:30" s="323" customFormat="1" ht="12" customHeight="1">
      <c r="B17095" s="324"/>
      <c r="C17095" s="325"/>
      <c r="D17095" s="326"/>
      <c r="E17095" s="326"/>
      <c r="F17095" s="326"/>
      <c r="G17095" s="326"/>
      <c r="H17095" s="326"/>
      <c r="P17095" s="318"/>
      <c r="Q17095" s="318"/>
      <c r="R17095" s="318"/>
      <c r="S17095" s="318"/>
      <c r="T17095" s="318"/>
      <c r="U17095" s="318"/>
      <c r="V17095" s="318"/>
      <c r="W17095" s="318"/>
      <c r="X17095" s="318"/>
      <c r="Y17095" s="318"/>
      <c r="Z17095" s="318"/>
      <c r="AA17095" s="318"/>
      <c r="AB17095" s="318"/>
      <c r="AC17095" s="318"/>
      <c r="AD17095" s="318"/>
    </row>
    <row r="17096" spans="2:30" s="323" customFormat="1" ht="12" customHeight="1">
      <c r="B17096" s="324"/>
      <c r="C17096" s="325"/>
      <c r="D17096" s="326"/>
      <c r="E17096" s="326"/>
      <c r="F17096" s="326"/>
      <c r="G17096" s="326"/>
      <c r="H17096" s="326"/>
      <c r="P17096" s="318"/>
      <c r="Q17096" s="318"/>
      <c r="R17096" s="318"/>
      <c r="S17096" s="318"/>
      <c r="T17096" s="318"/>
      <c r="U17096" s="318"/>
      <c r="V17096" s="318"/>
      <c r="W17096" s="318"/>
      <c r="X17096" s="318"/>
      <c r="Y17096" s="318"/>
      <c r="Z17096" s="318"/>
      <c r="AA17096" s="318"/>
      <c r="AB17096" s="318"/>
      <c r="AC17096" s="318"/>
      <c r="AD17096" s="318"/>
    </row>
    <row r="17097" spans="2:30" s="323" customFormat="1" ht="12" customHeight="1">
      <c r="B17097" s="324"/>
      <c r="C17097" s="325"/>
      <c r="D17097" s="326"/>
      <c r="E17097" s="326"/>
      <c r="F17097" s="326"/>
      <c r="G17097" s="326"/>
      <c r="H17097" s="326"/>
      <c r="P17097" s="318"/>
      <c r="Q17097" s="318"/>
      <c r="R17097" s="318"/>
      <c r="S17097" s="318"/>
      <c r="T17097" s="318"/>
      <c r="U17097" s="318"/>
      <c r="V17097" s="318"/>
      <c r="W17097" s="318"/>
      <c r="X17097" s="318"/>
      <c r="Y17097" s="318"/>
      <c r="Z17097" s="318"/>
      <c r="AA17097" s="318"/>
      <c r="AB17097" s="318"/>
      <c r="AC17097" s="318"/>
      <c r="AD17097" s="318"/>
    </row>
    <row r="17098" spans="2:30" s="323" customFormat="1" ht="12" customHeight="1">
      <c r="B17098" s="324"/>
      <c r="C17098" s="325"/>
      <c r="D17098" s="326"/>
      <c r="E17098" s="326"/>
      <c r="F17098" s="326"/>
      <c r="G17098" s="326"/>
      <c r="H17098" s="326"/>
      <c r="P17098" s="318"/>
      <c r="Q17098" s="318"/>
      <c r="R17098" s="318"/>
      <c r="S17098" s="318"/>
      <c r="T17098" s="318"/>
      <c r="U17098" s="318"/>
      <c r="V17098" s="318"/>
      <c r="W17098" s="318"/>
      <c r="X17098" s="318"/>
      <c r="Y17098" s="318"/>
      <c r="Z17098" s="318"/>
      <c r="AA17098" s="318"/>
      <c r="AB17098" s="318"/>
      <c r="AC17098" s="318"/>
      <c r="AD17098" s="318"/>
    </row>
    <row r="17099" spans="2:30" s="323" customFormat="1" ht="12" customHeight="1">
      <c r="B17099" s="324"/>
      <c r="C17099" s="325"/>
      <c r="D17099" s="326"/>
      <c r="E17099" s="326"/>
      <c r="F17099" s="326"/>
      <c r="G17099" s="326"/>
      <c r="H17099" s="326"/>
      <c r="P17099" s="318"/>
      <c r="Q17099" s="318"/>
      <c r="R17099" s="318"/>
      <c r="S17099" s="318"/>
      <c r="T17099" s="318"/>
      <c r="U17099" s="318"/>
      <c r="V17099" s="318"/>
      <c r="W17099" s="318"/>
      <c r="X17099" s="318"/>
      <c r="Y17099" s="318"/>
      <c r="Z17099" s="318"/>
      <c r="AA17099" s="318"/>
      <c r="AB17099" s="318"/>
      <c r="AC17099" s="318"/>
      <c r="AD17099" s="318"/>
    </row>
    <row r="17100" spans="2:30" s="323" customFormat="1" ht="12" customHeight="1">
      <c r="B17100" s="324"/>
      <c r="C17100" s="325"/>
      <c r="D17100" s="326"/>
      <c r="E17100" s="326"/>
      <c r="F17100" s="326"/>
      <c r="G17100" s="326"/>
      <c r="H17100" s="326"/>
      <c r="P17100" s="318"/>
      <c r="Q17100" s="318"/>
      <c r="R17100" s="318"/>
      <c r="S17100" s="318"/>
      <c r="T17100" s="318"/>
      <c r="U17100" s="318"/>
      <c r="V17100" s="318"/>
      <c r="W17100" s="318"/>
      <c r="X17100" s="318"/>
      <c r="Y17100" s="318"/>
      <c r="Z17100" s="318"/>
      <c r="AA17100" s="318"/>
      <c r="AB17100" s="318"/>
      <c r="AC17100" s="318"/>
      <c r="AD17100" s="318"/>
    </row>
    <row r="17101" spans="2:30" s="323" customFormat="1" ht="12" customHeight="1">
      <c r="B17101" s="324"/>
      <c r="C17101" s="325"/>
      <c r="D17101" s="326"/>
      <c r="E17101" s="326"/>
      <c r="F17101" s="326"/>
      <c r="G17101" s="326"/>
      <c r="H17101" s="326"/>
      <c r="P17101" s="318"/>
      <c r="Q17101" s="318"/>
      <c r="R17101" s="318"/>
      <c r="S17101" s="318"/>
      <c r="T17101" s="318"/>
      <c r="U17101" s="318"/>
      <c r="V17101" s="318"/>
      <c r="W17101" s="318"/>
      <c r="X17101" s="318"/>
      <c r="Y17101" s="318"/>
      <c r="Z17101" s="318"/>
      <c r="AA17101" s="318"/>
      <c r="AB17101" s="318"/>
      <c r="AC17101" s="318"/>
      <c r="AD17101" s="318"/>
    </row>
    <row r="17102" spans="2:30" s="323" customFormat="1" ht="12" customHeight="1">
      <c r="B17102" s="324"/>
      <c r="C17102" s="325"/>
      <c r="D17102" s="326"/>
      <c r="E17102" s="326"/>
      <c r="F17102" s="326"/>
      <c r="G17102" s="326"/>
      <c r="H17102" s="326"/>
      <c r="P17102" s="318"/>
      <c r="Q17102" s="318"/>
      <c r="R17102" s="318"/>
      <c r="S17102" s="318"/>
      <c r="T17102" s="318"/>
      <c r="U17102" s="318"/>
      <c r="V17102" s="318"/>
      <c r="W17102" s="318"/>
      <c r="X17102" s="318"/>
      <c r="Y17102" s="318"/>
      <c r="Z17102" s="318"/>
      <c r="AA17102" s="318"/>
      <c r="AB17102" s="318"/>
      <c r="AC17102" s="318"/>
      <c r="AD17102" s="318"/>
    </row>
    <row r="17103" spans="2:30" s="323" customFormat="1" ht="12" customHeight="1">
      <c r="B17103" s="324"/>
      <c r="C17103" s="325"/>
      <c r="D17103" s="326"/>
      <c r="E17103" s="326"/>
      <c r="F17103" s="326"/>
      <c r="G17103" s="326"/>
      <c r="H17103" s="326"/>
      <c r="P17103" s="318"/>
      <c r="Q17103" s="318"/>
      <c r="R17103" s="318"/>
      <c r="S17103" s="318"/>
      <c r="T17103" s="318"/>
      <c r="U17103" s="318"/>
      <c r="V17103" s="318"/>
      <c r="W17103" s="318"/>
      <c r="X17103" s="318"/>
      <c r="Y17103" s="318"/>
      <c r="Z17103" s="318"/>
      <c r="AA17103" s="318"/>
      <c r="AB17103" s="318"/>
      <c r="AC17103" s="318"/>
      <c r="AD17103" s="318"/>
    </row>
    <row r="17104" spans="2:30" s="323" customFormat="1" ht="12" customHeight="1">
      <c r="B17104" s="324"/>
      <c r="C17104" s="325"/>
      <c r="D17104" s="326"/>
      <c r="E17104" s="326"/>
      <c r="F17104" s="326"/>
      <c r="G17104" s="326"/>
      <c r="H17104" s="326"/>
      <c r="P17104" s="318"/>
      <c r="Q17104" s="318"/>
      <c r="R17104" s="318"/>
      <c r="S17104" s="318"/>
      <c r="T17104" s="318"/>
      <c r="U17104" s="318"/>
      <c r="V17104" s="318"/>
      <c r="W17104" s="318"/>
      <c r="X17104" s="318"/>
      <c r="Y17104" s="318"/>
      <c r="Z17104" s="318"/>
      <c r="AA17104" s="318"/>
      <c r="AB17104" s="318"/>
      <c r="AC17104" s="318"/>
      <c r="AD17104" s="318"/>
    </row>
    <row r="17105" spans="2:30" s="323" customFormat="1" ht="12" customHeight="1">
      <c r="B17105" s="324"/>
      <c r="C17105" s="325"/>
      <c r="D17105" s="326"/>
      <c r="E17105" s="326"/>
      <c r="F17105" s="326"/>
      <c r="G17105" s="326"/>
      <c r="H17105" s="326"/>
      <c r="P17105" s="318"/>
      <c r="Q17105" s="318"/>
      <c r="R17105" s="318"/>
      <c r="S17105" s="318"/>
      <c r="T17105" s="318"/>
      <c r="U17105" s="318"/>
      <c r="V17105" s="318"/>
      <c r="W17105" s="318"/>
      <c r="X17105" s="318"/>
      <c r="Y17105" s="318"/>
      <c r="Z17105" s="318"/>
      <c r="AA17105" s="318"/>
      <c r="AB17105" s="318"/>
      <c r="AC17105" s="318"/>
      <c r="AD17105" s="318"/>
    </row>
    <row r="17106" spans="2:30" s="323" customFormat="1" ht="12" customHeight="1">
      <c r="B17106" s="324"/>
      <c r="C17106" s="325"/>
      <c r="D17106" s="326"/>
      <c r="E17106" s="326"/>
      <c r="F17106" s="326"/>
      <c r="G17106" s="326"/>
      <c r="H17106" s="326"/>
      <c r="P17106" s="318"/>
      <c r="Q17106" s="318"/>
      <c r="R17106" s="318"/>
      <c r="S17106" s="318"/>
      <c r="T17106" s="318"/>
      <c r="U17106" s="318"/>
      <c r="V17106" s="318"/>
      <c r="W17106" s="318"/>
      <c r="X17106" s="318"/>
      <c r="Y17106" s="318"/>
      <c r="Z17106" s="318"/>
      <c r="AA17106" s="318"/>
      <c r="AB17106" s="318"/>
      <c r="AC17106" s="318"/>
      <c r="AD17106" s="318"/>
    </row>
    <row r="17107" spans="2:30" s="323" customFormat="1" ht="12" customHeight="1">
      <c r="B17107" s="324"/>
      <c r="C17107" s="325"/>
      <c r="D17107" s="326"/>
      <c r="E17107" s="326"/>
      <c r="F17107" s="326"/>
      <c r="G17107" s="326"/>
      <c r="H17107" s="326"/>
      <c r="P17107" s="318"/>
      <c r="Q17107" s="318"/>
      <c r="R17107" s="318"/>
      <c r="S17107" s="318"/>
      <c r="T17107" s="318"/>
      <c r="U17107" s="318"/>
      <c r="V17107" s="318"/>
      <c r="W17107" s="318"/>
      <c r="X17107" s="318"/>
      <c r="Y17107" s="318"/>
      <c r="Z17107" s="318"/>
      <c r="AA17107" s="318"/>
      <c r="AB17107" s="318"/>
      <c r="AC17107" s="318"/>
      <c r="AD17107" s="318"/>
    </row>
    <row r="17108" spans="2:30" s="323" customFormat="1" ht="12" customHeight="1">
      <c r="B17108" s="324"/>
      <c r="C17108" s="325"/>
      <c r="D17108" s="326"/>
      <c r="E17108" s="326"/>
      <c r="F17108" s="326"/>
      <c r="G17108" s="326"/>
      <c r="H17108" s="326"/>
      <c r="P17108" s="318"/>
      <c r="Q17108" s="318"/>
      <c r="R17108" s="318"/>
      <c r="S17108" s="318"/>
      <c r="T17108" s="318"/>
      <c r="U17108" s="318"/>
      <c r="V17108" s="318"/>
      <c r="W17108" s="318"/>
      <c r="X17108" s="318"/>
      <c r="Y17108" s="318"/>
      <c r="Z17108" s="318"/>
      <c r="AA17108" s="318"/>
      <c r="AB17108" s="318"/>
      <c r="AC17108" s="318"/>
      <c r="AD17108" s="318"/>
    </row>
    <row r="17109" spans="2:30" s="323" customFormat="1" ht="12" customHeight="1">
      <c r="B17109" s="324"/>
      <c r="C17109" s="325"/>
      <c r="D17109" s="326"/>
      <c r="E17109" s="326"/>
      <c r="F17109" s="326"/>
      <c r="G17109" s="326"/>
      <c r="H17109" s="326"/>
      <c r="P17109" s="318"/>
      <c r="Q17109" s="318"/>
      <c r="R17109" s="318"/>
      <c r="S17109" s="318"/>
      <c r="T17109" s="318"/>
      <c r="U17109" s="318"/>
      <c r="V17109" s="318"/>
      <c r="W17109" s="318"/>
      <c r="X17109" s="318"/>
      <c r="Y17109" s="318"/>
      <c r="Z17109" s="318"/>
      <c r="AA17109" s="318"/>
      <c r="AB17109" s="318"/>
      <c r="AC17109" s="318"/>
      <c r="AD17109" s="318"/>
    </row>
    <row r="17110" spans="2:30" s="323" customFormat="1" ht="12" customHeight="1">
      <c r="B17110" s="324"/>
      <c r="C17110" s="325"/>
      <c r="D17110" s="326"/>
      <c r="E17110" s="326"/>
      <c r="F17110" s="326"/>
      <c r="G17110" s="326"/>
      <c r="H17110" s="326"/>
      <c r="P17110" s="318"/>
      <c r="Q17110" s="318"/>
      <c r="R17110" s="318"/>
      <c r="S17110" s="318"/>
      <c r="T17110" s="318"/>
      <c r="U17110" s="318"/>
      <c r="V17110" s="318"/>
      <c r="W17110" s="318"/>
      <c r="X17110" s="318"/>
      <c r="Y17110" s="318"/>
      <c r="Z17110" s="318"/>
      <c r="AA17110" s="318"/>
      <c r="AB17110" s="318"/>
      <c r="AC17110" s="318"/>
      <c r="AD17110" s="318"/>
    </row>
    <row r="17111" spans="2:30" s="323" customFormat="1" ht="12" customHeight="1">
      <c r="B17111" s="324"/>
      <c r="C17111" s="325"/>
      <c r="D17111" s="326"/>
      <c r="E17111" s="326"/>
      <c r="F17111" s="326"/>
      <c r="G17111" s="326"/>
      <c r="H17111" s="326"/>
      <c r="P17111" s="318"/>
      <c r="Q17111" s="318"/>
      <c r="R17111" s="318"/>
      <c r="S17111" s="318"/>
      <c r="T17111" s="318"/>
      <c r="U17111" s="318"/>
      <c r="V17111" s="318"/>
      <c r="W17111" s="318"/>
      <c r="X17111" s="318"/>
      <c r="Y17111" s="318"/>
      <c r="Z17111" s="318"/>
      <c r="AA17111" s="318"/>
      <c r="AB17111" s="318"/>
      <c r="AC17111" s="318"/>
      <c r="AD17111" s="318"/>
    </row>
    <row r="17112" spans="2:30" s="323" customFormat="1" ht="12" customHeight="1">
      <c r="B17112" s="324"/>
      <c r="C17112" s="325"/>
      <c r="D17112" s="326"/>
      <c r="E17112" s="326"/>
      <c r="F17112" s="326"/>
      <c r="G17112" s="326"/>
      <c r="H17112" s="326"/>
      <c r="P17112" s="318"/>
      <c r="Q17112" s="318"/>
      <c r="R17112" s="318"/>
      <c r="S17112" s="318"/>
      <c r="T17112" s="318"/>
      <c r="U17112" s="318"/>
      <c r="V17112" s="318"/>
      <c r="W17112" s="318"/>
      <c r="X17112" s="318"/>
      <c r="Y17112" s="318"/>
      <c r="Z17112" s="318"/>
      <c r="AA17112" s="318"/>
      <c r="AB17112" s="318"/>
      <c r="AC17112" s="318"/>
      <c r="AD17112" s="318"/>
    </row>
    <row r="17113" spans="2:30" s="323" customFormat="1" ht="12" customHeight="1">
      <c r="B17113" s="324"/>
      <c r="C17113" s="325"/>
      <c r="D17113" s="326"/>
      <c r="E17113" s="326"/>
      <c r="F17113" s="326"/>
      <c r="G17113" s="326"/>
      <c r="H17113" s="326"/>
      <c r="P17113" s="318"/>
      <c r="Q17113" s="318"/>
      <c r="R17113" s="318"/>
      <c r="S17113" s="318"/>
      <c r="T17113" s="318"/>
      <c r="U17113" s="318"/>
      <c r="V17113" s="318"/>
      <c r="W17113" s="318"/>
      <c r="X17113" s="318"/>
      <c r="Y17113" s="318"/>
      <c r="Z17113" s="318"/>
      <c r="AA17113" s="318"/>
      <c r="AB17113" s="318"/>
      <c r="AC17113" s="318"/>
      <c r="AD17113" s="318"/>
    </row>
    <row r="17114" spans="2:30" s="323" customFormat="1" ht="12" customHeight="1">
      <c r="B17114" s="324"/>
      <c r="C17114" s="325"/>
      <c r="D17114" s="326"/>
      <c r="E17114" s="326"/>
      <c r="F17114" s="326"/>
      <c r="G17114" s="326"/>
      <c r="H17114" s="326"/>
      <c r="P17114" s="318"/>
      <c r="Q17114" s="318"/>
      <c r="R17114" s="318"/>
      <c r="S17114" s="318"/>
      <c r="T17114" s="318"/>
      <c r="U17114" s="318"/>
      <c r="V17114" s="318"/>
      <c r="W17114" s="318"/>
      <c r="X17114" s="318"/>
      <c r="Y17114" s="318"/>
      <c r="Z17114" s="318"/>
      <c r="AA17114" s="318"/>
      <c r="AB17114" s="318"/>
      <c r="AC17114" s="318"/>
      <c r="AD17114" s="318"/>
    </row>
    <row r="17115" spans="2:30" s="323" customFormat="1" ht="12" customHeight="1">
      <c r="B17115" s="324"/>
      <c r="C17115" s="325"/>
      <c r="D17115" s="326"/>
      <c r="E17115" s="326"/>
      <c r="F17115" s="326"/>
      <c r="G17115" s="326"/>
      <c r="H17115" s="326"/>
      <c r="P17115" s="318"/>
      <c r="Q17115" s="318"/>
      <c r="R17115" s="318"/>
      <c r="S17115" s="318"/>
      <c r="T17115" s="318"/>
      <c r="U17115" s="318"/>
      <c r="V17115" s="318"/>
      <c r="W17115" s="318"/>
      <c r="X17115" s="318"/>
      <c r="Y17115" s="318"/>
      <c r="Z17115" s="318"/>
      <c r="AA17115" s="318"/>
      <c r="AB17115" s="318"/>
      <c r="AC17115" s="318"/>
      <c r="AD17115" s="318"/>
    </row>
    <row r="17116" spans="2:30" s="323" customFormat="1" ht="12" customHeight="1">
      <c r="B17116" s="324"/>
      <c r="C17116" s="325"/>
      <c r="D17116" s="326"/>
      <c r="E17116" s="326"/>
      <c r="F17116" s="326"/>
      <c r="G17116" s="326"/>
      <c r="H17116" s="326"/>
      <c r="P17116" s="318"/>
      <c r="Q17116" s="318"/>
      <c r="R17116" s="318"/>
      <c r="S17116" s="318"/>
      <c r="T17116" s="318"/>
      <c r="U17116" s="318"/>
      <c r="V17116" s="318"/>
      <c r="W17116" s="318"/>
      <c r="X17116" s="318"/>
      <c r="Y17116" s="318"/>
      <c r="Z17116" s="318"/>
      <c r="AA17116" s="318"/>
      <c r="AB17116" s="318"/>
      <c r="AC17116" s="318"/>
      <c r="AD17116" s="318"/>
    </row>
    <row r="17117" spans="2:30" s="323" customFormat="1" ht="12" customHeight="1">
      <c r="B17117" s="324"/>
      <c r="C17117" s="325"/>
      <c r="D17117" s="326"/>
      <c r="E17117" s="326"/>
      <c r="F17117" s="326"/>
      <c r="G17117" s="326"/>
      <c r="H17117" s="326"/>
      <c r="P17117" s="318"/>
      <c r="Q17117" s="318"/>
      <c r="R17117" s="318"/>
      <c r="S17117" s="318"/>
      <c r="T17117" s="318"/>
      <c r="U17117" s="318"/>
      <c r="V17117" s="318"/>
      <c r="W17117" s="318"/>
      <c r="X17117" s="318"/>
      <c r="Y17117" s="318"/>
      <c r="Z17117" s="318"/>
      <c r="AA17117" s="318"/>
      <c r="AB17117" s="318"/>
      <c r="AC17117" s="318"/>
      <c r="AD17117" s="318"/>
    </row>
    <row r="17118" spans="2:30" s="323" customFormat="1" ht="12" customHeight="1">
      <c r="B17118" s="324"/>
      <c r="C17118" s="325"/>
      <c r="D17118" s="326"/>
      <c r="E17118" s="326"/>
      <c r="F17118" s="326"/>
      <c r="G17118" s="326"/>
      <c r="H17118" s="326"/>
      <c r="P17118" s="318"/>
      <c r="Q17118" s="318"/>
      <c r="R17118" s="318"/>
      <c r="S17118" s="318"/>
      <c r="T17118" s="318"/>
      <c r="U17118" s="318"/>
      <c r="V17118" s="318"/>
      <c r="W17118" s="318"/>
      <c r="X17118" s="318"/>
      <c r="Y17118" s="318"/>
      <c r="Z17118" s="318"/>
      <c r="AA17118" s="318"/>
      <c r="AB17118" s="318"/>
      <c r="AC17118" s="318"/>
      <c r="AD17118" s="318"/>
    </row>
    <row r="17119" spans="2:30" s="323" customFormat="1" ht="12" customHeight="1">
      <c r="B17119" s="324"/>
      <c r="C17119" s="325"/>
      <c r="D17119" s="326"/>
      <c r="E17119" s="326"/>
      <c r="F17119" s="326"/>
      <c r="G17119" s="326"/>
      <c r="H17119" s="326"/>
      <c r="P17119" s="318"/>
      <c r="Q17119" s="318"/>
      <c r="R17119" s="318"/>
      <c r="S17119" s="318"/>
      <c r="T17119" s="318"/>
      <c r="U17119" s="318"/>
      <c r="V17119" s="318"/>
      <c r="W17119" s="318"/>
      <c r="X17119" s="318"/>
      <c r="Y17119" s="318"/>
      <c r="Z17119" s="318"/>
      <c r="AA17119" s="318"/>
      <c r="AB17119" s="318"/>
      <c r="AC17119" s="318"/>
      <c r="AD17119" s="318"/>
    </row>
    <row r="17120" spans="2:30" s="323" customFormat="1" ht="12" customHeight="1">
      <c r="B17120" s="324"/>
      <c r="C17120" s="325"/>
      <c r="D17120" s="326"/>
      <c r="E17120" s="326"/>
      <c r="F17120" s="326"/>
      <c r="G17120" s="326"/>
      <c r="H17120" s="326"/>
      <c r="P17120" s="318"/>
      <c r="Q17120" s="318"/>
      <c r="R17120" s="318"/>
      <c r="S17120" s="318"/>
      <c r="T17120" s="318"/>
      <c r="U17120" s="318"/>
      <c r="V17120" s="318"/>
      <c r="W17120" s="318"/>
      <c r="X17120" s="318"/>
      <c r="Y17120" s="318"/>
      <c r="Z17120" s="318"/>
      <c r="AA17120" s="318"/>
      <c r="AB17120" s="318"/>
      <c r="AC17120" s="318"/>
      <c r="AD17120" s="318"/>
    </row>
    <row r="17121" spans="2:30" s="323" customFormat="1" ht="12" customHeight="1">
      <c r="B17121" s="324"/>
      <c r="C17121" s="325"/>
      <c r="D17121" s="326"/>
      <c r="E17121" s="326"/>
      <c r="F17121" s="326"/>
      <c r="G17121" s="326"/>
      <c r="H17121" s="326"/>
      <c r="P17121" s="318"/>
      <c r="Q17121" s="318"/>
      <c r="R17121" s="318"/>
      <c r="S17121" s="318"/>
      <c r="T17121" s="318"/>
      <c r="U17121" s="318"/>
      <c r="V17121" s="318"/>
      <c r="W17121" s="318"/>
      <c r="X17121" s="318"/>
      <c r="Y17121" s="318"/>
      <c r="Z17121" s="318"/>
      <c r="AA17121" s="318"/>
      <c r="AB17121" s="318"/>
      <c r="AC17121" s="318"/>
      <c r="AD17121" s="318"/>
    </row>
    <row r="17122" spans="2:30" s="323" customFormat="1" ht="12" customHeight="1">
      <c r="B17122" s="324"/>
      <c r="C17122" s="325"/>
      <c r="D17122" s="326"/>
      <c r="E17122" s="326"/>
      <c r="F17122" s="326"/>
      <c r="G17122" s="326"/>
      <c r="H17122" s="326"/>
      <c r="P17122" s="318"/>
      <c r="Q17122" s="318"/>
      <c r="R17122" s="318"/>
      <c r="S17122" s="318"/>
      <c r="T17122" s="318"/>
      <c r="U17122" s="318"/>
      <c r="V17122" s="318"/>
      <c r="W17122" s="318"/>
      <c r="X17122" s="318"/>
      <c r="Y17122" s="318"/>
      <c r="Z17122" s="318"/>
      <c r="AA17122" s="318"/>
      <c r="AB17122" s="318"/>
      <c r="AC17122" s="318"/>
      <c r="AD17122" s="318"/>
    </row>
    <row r="17123" spans="2:30" s="323" customFormat="1" ht="12" customHeight="1">
      <c r="B17123" s="324"/>
      <c r="C17123" s="325"/>
      <c r="D17123" s="326"/>
      <c r="E17123" s="326"/>
      <c r="F17123" s="326"/>
      <c r="G17123" s="326"/>
      <c r="H17123" s="326"/>
      <c r="P17123" s="318"/>
      <c r="Q17123" s="318"/>
      <c r="R17123" s="318"/>
      <c r="S17123" s="318"/>
      <c r="T17123" s="318"/>
      <c r="U17123" s="318"/>
      <c r="V17123" s="318"/>
      <c r="W17123" s="318"/>
      <c r="X17123" s="318"/>
      <c r="Y17123" s="318"/>
      <c r="Z17123" s="318"/>
      <c r="AA17123" s="318"/>
      <c r="AB17123" s="318"/>
      <c r="AC17123" s="318"/>
      <c r="AD17123" s="318"/>
    </row>
    <row r="17124" spans="2:30" s="323" customFormat="1" ht="12" customHeight="1">
      <c r="B17124" s="324"/>
      <c r="C17124" s="325"/>
      <c r="D17124" s="326"/>
      <c r="E17124" s="326"/>
      <c r="F17124" s="326"/>
      <c r="G17124" s="326"/>
      <c r="H17124" s="326"/>
      <c r="P17124" s="318"/>
      <c r="Q17124" s="318"/>
      <c r="R17124" s="318"/>
      <c r="S17124" s="318"/>
      <c r="T17124" s="318"/>
      <c r="U17124" s="318"/>
      <c r="V17124" s="318"/>
      <c r="W17124" s="318"/>
      <c r="X17124" s="318"/>
      <c r="Y17124" s="318"/>
      <c r="Z17124" s="318"/>
      <c r="AA17124" s="318"/>
      <c r="AB17124" s="318"/>
      <c r="AC17124" s="318"/>
      <c r="AD17124" s="318"/>
    </row>
    <row r="17125" spans="2:30" s="323" customFormat="1" ht="12" customHeight="1">
      <c r="B17125" s="324"/>
      <c r="C17125" s="325"/>
      <c r="D17125" s="326"/>
      <c r="E17125" s="326"/>
      <c r="F17125" s="326"/>
      <c r="G17125" s="326"/>
      <c r="H17125" s="326"/>
      <c r="P17125" s="318"/>
      <c r="Q17125" s="318"/>
      <c r="R17125" s="318"/>
      <c r="S17125" s="318"/>
      <c r="T17125" s="318"/>
      <c r="U17125" s="318"/>
      <c r="V17125" s="318"/>
      <c r="W17125" s="318"/>
      <c r="X17125" s="318"/>
      <c r="Y17125" s="318"/>
      <c r="Z17125" s="318"/>
      <c r="AA17125" s="318"/>
      <c r="AB17125" s="318"/>
      <c r="AC17125" s="318"/>
      <c r="AD17125" s="318"/>
    </row>
    <row r="17126" spans="2:30" s="323" customFormat="1" ht="12" customHeight="1">
      <c r="B17126" s="324"/>
      <c r="C17126" s="325"/>
      <c r="D17126" s="326"/>
      <c r="E17126" s="326"/>
      <c r="F17126" s="326"/>
      <c r="G17126" s="326"/>
      <c r="H17126" s="326"/>
      <c r="P17126" s="318"/>
      <c r="Q17126" s="318"/>
      <c r="R17126" s="318"/>
      <c r="S17126" s="318"/>
      <c r="T17126" s="318"/>
      <c r="U17126" s="318"/>
      <c r="V17126" s="318"/>
      <c r="W17126" s="318"/>
      <c r="X17126" s="318"/>
      <c r="Y17126" s="318"/>
      <c r="Z17126" s="318"/>
      <c r="AA17126" s="318"/>
      <c r="AB17126" s="318"/>
      <c r="AC17126" s="318"/>
      <c r="AD17126" s="318"/>
    </row>
    <row r="17127" spans="2:30" s="323" customFormat="1" ht="12" customHeight="1">
      <c r="B17127" s="324"/>
      <c r="C17127" s="325"/>
      <c r="D17127" s="326"/>
      <c r="E17127" s="326"/>
      <c r="F17127" s="326"/>
      <c r="G17127" s="326"/>
      <c r="H17127" s="326"/>
      <c r="P17127" s="318"/>
      <c r="Q17127" s="318"/>
      <c r="R17127" s="318"/>
      <c r="S17127" s="318"/>
      <c r="T17127" s="318"/>
      <c r="U17127" s="318"/>
      <c r="V17127" s="318"/>
      <c r="W17127" s="318"/>
      <c r="X17127" s="318"/>
      <c r="Y17127" s="318"/>
      <c r="Z17127" s="318"/>
      <c r="AA17127" s="318"/>
      <c r="AB17127" s="318"/>
      <c r="AC17127" s="318"/>
      <c r="AD17127" s="318"/>
    </row>
    <row r="17128" spans="2:30" s="323" customFormat="1" ht="12" customHeight="1">
      <c r="B17128" s="324"/>
      <c r="C17128" s="325"/>
      <c r="D17128" s="326"/>
      <c r="E17128" s="326"/>
      <c r="F17128" s="326"/>
      <c r="G17128" s="326"/>
      <c r="H17128" s="326"/>
      <c r="P17128" s="318"/>
      <c r="Q17128" s="318"/>
      <c r="R17128" s="318"/>
      <c r="S17128" s="318"/>
      <c r="T17128" s="318"/>
      <c r="U17128" s="318"/>
      <c r="V17128" s="318"/>
      <c r="W17128" s="318"/>
      <c r="X17128" s="318"/>
      <c r="Y17128" s="318"/>
      <c r="Z17128" s="318"/>
      <c r="AA17128" s="318"/>
      <c r="AB17128" s="318"/>
      <c r="AC17128" s="318"/>
      <c r="AD17128" s="318"/>
    </row>
    <row r="17129" spans="2:30" s="323" customFormat="1" ht="12" customHeight="1">
      <c r="B17129" s="324"/>
      <c r="C17129" s="325"/>
      <c r="D17129" s="326"/>
      <c r="E17129" s="326"/>
      <c r="F17129" s="326"/>
      <c r="G17129" s="326"/>
      <c r="H17129" s="326"/>
      <c r="P17129" s="318"/>
      <c r="Q17129" s="318"/>
      <c r="R17129" s="318"/>
      <c r="S17129" s="318"/>
      <c r="T17129" s="318"/>
      <c r="U17129" s="318"/>
      <c r="V17129" s="318"/>
      <c r="W17129" s="318"/>
      <c r="X17129" s="318"/>
      <c r="Y17129" s="318"/>
      <c r="Z17129" s="318"/>
      <c r="AA17129" s="318"/>
      <c r="AB17129" s="318"/>
      <c r="AC17129" s="318"/>
      <c r="AD17129" s="318"/>
    </row>
    <row r="17130" spans="2:30" s="323" customFormat="1" ht="12" customHeight="1">
      <c r="B17130" s="324"/>
      <c r="C17130" s="325"/>
      <c r="D17130" s="326"/>
      <c r="E17130" s="326"/>
      <c r="F17130" s="326"/>
      <c r="G17130" s="326"/>
      <c r="H17130" s="326"/>
      <c r="P17130" s="318"/>
      <c r="Q17130" s="318"/>
      <c r="R17130" s="318"/>
      <c r="S17130" s="318"/>
      <c r="T17130" s="318"/>
      <c r="U17130" s="318"/>
      <c r="V17130" s="318"/>
      <c r="W17130" s="318"/>
      <c r="X17130" s="318"/>
      <c r="Y17130" s="318"/>
      <c r="Z17130" s="318"/>
      <c r="AA17130" s="318"/>
      <c r="AB17130" s="318"/>
      <c r="AC17130" s="318"/>
      <c r="AD17130" s="318"/>
    </row>
    <row r="17131" spans="2:30" s="323" customFormat="1" ht="12" customHeight="1">
      <c r="B17131" s="324"/>
      <c r="C17131" s="325"/>
      <c r="D17131" s="326"/>
      <c r="E17131" s="326"/>
      <c r="F17131" s="326"/>
      <c r="G17131" s="326"/>
      <c r="H17131" s="326"/>
      <c r="P17131" s="318"/>
      <c r="Q17131" s="318"/>
      <c r="R17131" s="318"/>
      <c r="S17131" s="318"/>
      <c r="T17131" s="318"/>
      <c r="U17131" s="318"/>
      <c r="V17131" s="318"/>
      <c r="W17131" s="318"/>
      <c r="X17131" s="318"/>
      <c r="Y17131" s="318"/>
      <c r="Z17131" s="318"/>
      <c r="AA17131" s="318"/>
      <c r="AB17131" s="318"/>
      <c r="AC17131" s="318"/>
      <c r="AD17131" s="318"/>
    </row>
    <row r="17132" spans="2:30" s="323" customFormat="1" ht="12" customHeight="1">
      <c r="B17132" s="324"/>
      <c r="C17132" s="325"/>
      <c r="D17132" s="326"/>
      <c r="E17132" s="326"/>
      <c r="F17132" s="326"/>
      <c r="G17132" s="326"/>
      <c r="H17132" s="326"/>
      <c r="P17132" s="318"/>
      <c r="Q17132" s="318"/>
      <c r="R17132" s="318"/>
      <c r="S17132" s="318"/>
      <c r="T17132" s="318"/>
      <c r="U17132" s="318"/>
      <c r="V17132" s="318"/>
      <c r="W17132" s="318"/>
      <c r="X17132" s="318"/>
      <c r="Y17132" s="318"/>
      <c r="Z17132" s="318"/>
      <c r="AA17132" s="318"/>
      <c r="AB17132" s="318"/>
      <c r="AC17132" s="318"/>
      <c r="AD17132" s="318"/>
    </row>
    <row r="17133" spans="2:30" s="323" customFormat="1" ht="12" customHeight="1">
      <c r="B17133" s="324"/>
      <c r="C17133" s="325"/>
      <c r="D17133" s="326"/>
      <c r="E17133" s="326"/>
      <c r="F17133" s="326"/>
      <c r="G17133" s="326"/>
      <c r="H17133" s="326"/>
      <c r="P17133" s="318"/>
      <c r="Q17133" s="318"/>
      <c r="R17133" s="318"/>
      <c r="S17133" s="318"/>
      <c r="T17133" s="318"/>
      <c r="U17133" s="318"/>
      <c r="V17133" s="318"/>
      <c r="W17133" s="318"/>
      <c r="X17133" s="318"/>
      <c r="Y17133" s="318"/>
      <c r="Z17133" s="318"/>
      <c r="AA17133" s="318"/>
      <c r="AB17133" s="318"/>
      <c r="AC17133" s="318"/>
      <c r="AD17133" s="318"/>
    </row>
    <row r="17134" spans="2:30" s="323" customFormat="1" ht="12" customHeight="1">
      <c r="B17134" s="324"/>
      <c r="C17134" s="325"/>
      <c r="D17134" s="326"/>
      <c r="E17134" s="326"/>
      <c r="F17134" s="326"/>
      <c r="G17134" s="326"/>
      <c r="H17134" s="326"/>
      <c r="P17134" s="318"/>
      <c r="Q17134" s="318"/>
      <c r="R17134" s="318"/>
      <c r="S17134" s="318"/>
      <c r="T17134" s="318"/>
      <c r="U17134" s="318"/>
      <c r="V17134" s="318"/>
      <c r="W17134" s="318"/>
      <c r="X17134" s="318"/>
      <c r="Y17134" s="318"/>
      <c r="Z17134" s="318"/>
      <c r="AA17134" s="318"/>
      <c r="AB17134" s="318"/>
      <c r="AC17134" s="318"/>
      <c r="AD17134" s="318"/>
    </row>
    <row r="17135" spans="2:30" s="323" customFormat="1" ht="12" customHeight="1">
      <c r="B17135" s="324"/>
      <c r="C17135" s="325"/>
      <c r="D17135" s="326"/>
      <c r="E17135" s="326"/>
      <c r="F17135" s="326"/>
      <c r="G17135" s="326"/>
      <c r="H17135" s="326"/>
      <c r="P17135" s="318"/>
      <c r="Q17135" s="318"/>
      <c r="R17135" s="318"/>
      <c r="S17135" s="318"/>
      <c r="T17135" s="318"/>
      <c r="U17135" s="318"/>
      <c r="V17135" s="318"/>
      <c r="W17135" s="318"/>
      <c r="X17135" s="318"/>
      <c r="Y17135" s="318"/>
      <c r="Z17135" s="318"/>
      <c r="AA17135" s="318"/>
      <c r="AB17135" s="318"/>
      <c r="AC17135" s="318"/>
      <c r="AD17135" s="318"/>
    </row>
    <row r="17136" spans="2:30" s="323" customFormat="1" ht="12" customHeight="1">
      <c r="B17136" s="324"/>
      <c r="C17136" s="325"/>
      <c r="D17136" s="326"/>
      <c r="E17136" s="326"/>
      <c r="F17136" s="326"/>
      <c r="G17136" s="326"/>
      <c r="H17136" s="326"/>
      <c r="P17136" s="318"/>
      <c r="Q17136" s="318"/>
      <c r="R17136" s="318"/>
      <c r="S17136" s="318"/>
      <c r="T17136" s="318"/>
      <c r="U17136" s="318"/>
      <c r="V17136" s="318"/>
      <c r="W17136" s="318"/>
      <c r="X17136" s="318"/>
      <c r="Y17136" s="318"/>
      <c r="Z17136" s="318"/>
      <c r="AA17136" s="318"/>
      <c r="AB17136" s="318"/>
      <c r="AC17136" s="318"/>
      <c r="AD17136" s="318"/>
    </row>
    <row r="17137" spans="2:30" s="323" customFormat="1" ht="12" customHeight="1">
      <c r="B17137" s="324"/>
      <c r="C17137" s="325"/>
      <c r="D17137" s="326"/>
      <c r="E17137" s="326"/>
      <c r="F17137" s="326"/>
      <c r="G17137" s="326"/>
      <c r="H17137" s="326"/>
      <c r="P17137" s="318"/>
      <c r="Q17137" s="318"/>
      <c r="R17137" s="318"/>
      <c r="S17137" s="318"/>
      <c r="T17137" s="318"/>
      <c r="U17137" s="318"/>
      <c r="V17137" s="318"/>
      <c r="W17137" s="318"/>
      <c r="X17137" s="318"/>
      <c r="Y17137" s="318"/>
      <c r="Z17137" s="318"/>
      <c r="AA17137" s="318"/>
      <c r="AB17137" s="318"/>
      <c r="AC17137" s="318"/>
      <c r="AD17137" s="318"/>
    </row>
    <row r="17138" spans="2:30" s="323" customFormat="1" ht="12" customHeight="1">
      <c r="B17138" s="324"/>
      <c r="C17138" s="325"/>
      <c r="D17138" s="326"/>
      <c r="E17138" s="326"/>
      <c r="F17138" s="326"/>
      <c r="G17138" s="326"/>
      <c r="H17138" s="326"/>
      <c r="P17138" s="318"/>
      <c r="Q17138" s="318"/>
      <c r="R17138" s="318"/>
      <c r="S17138" s="318"/>
      <c r="T17138" s="318"/>
      <c r="U17138" s="318"/>
      <c r="V17138" s="318"/>
      <c r="W17138" s="318"/>
      <c r="X17138" s="318"/>
      <c r="Y17138" s="318"/>
      <c r="Z17138" s="318"/>
      <c r="AA17138" s="318"/>
      <c r="AB17138" s="318"/>
      <c r="AC17138" s="318"/>
      <c r="AD17138" s="318"/>
    </row>
    <row r="17139" spans="2:30" s="323" customFormat="1" ht="12" customHeight="1">
      <c r="B17139" s="324"/>
      <c r="C17139" s="325"/>
      <c r="D17139" s="326"/>
      <c r="E17139" s="326"/>
      <c r="F17139" s="326"/>
      <c r="G17139" s="326"/>
      <c r="H17139" s="326"/>
      <c r="P17139" s="318"/>
      <c r="Q17139" s="318"/>
      <c r="R17139" s="318"/>
      <c r="S17139" s="318"/>
      <c r="T17139" s="318"/>
      <c r="U17139" s="318"/>
      <c r="V17139" s="318"/>
      <c r="W17139" s="318"/>
      <c r="X17139" s="318"/>
      <c r="Y17139" s="318"/>
      <c r="Z17139" s="318"/>
      <c r="AA17139" s="318"/>
      <c r="AB17139" s="318"/>
      <c r="AC17139" s="318"/>
      <c r="AD17139" s="318"/>
    </row>
    <row r="17140" spans="2:30" s="323" customFormat="1" ht="12" customHeight="1">
      <c r="B17140" s="324"/>
      <c r="C17140" s="325"/>
      <c r="D17140" s="326"/>
      <c r="E17140" s="326"/>
      <c r="F17140" s="326"/>
      <c r="G17140" s="326"/>
      <c r="H17140" s="326"/>
      <c r="P17140" s="318"/>
      <c r="Q17140" s="318"/>
      <c r="R17140" s="318"/>
      <c r="S17140" s="318"/>
      <c r="T17140" s="318"/>
      <c r="U17140" s="318"/>
      <c r="V17140" s="318"/>
      <c r="W17140" s="318"/>
      <c r="X17140" s="318"/>
      <c r="Y17140" s="318"/>
      <c r="Z17140" s="318"/>
      <c r="AA17140" s="318"/>
      <c r="AB17140" s="318"/>
      <c r="AC17140" s="318"/>
      <c r="AD17140" s="318"/>
    </row>
    <row r="17141" spans="2:30" s="323" customFormat="1" ht="12" customHeight="1">
      <c r="B17141" s="324"/>
      <c r="C17141" s="325"/>
      <c r="D17141" s="326"/>
      <c r="E17141" s="326"/>
      <c r="F17141" s="326"/>
      <c r="G17141" s="326"/>
      <c r="H17141" s="326"/>
      <c r="P17141" s="318"/>
      <c r="Q17141" s="318"/>
      <c r="R17141" s="318"/>
      <c r="S17141" s="318"/>
      <c r="T17141" s="318"/>
      <c r="U17141" s="318"/>
      <c r="V17141" s="318"/>
      <c r="W17141" s="318"/>
      <c r="X17141" s="318"/>
      <c r="Y17141" s="318"/>
      <c r="Z17141" s="318"/>
      <c r="AA17141" s="318"/>
      <c r="AB17141" s="318"/>
      <c r="AC17141" s="318"/>
      <c r="AD17141" s="318"/>
    </row>
    <row r="17142" spans="2:30" s="323" customFormat="1" ht="12" customHeight="1">
      <c r="B17142" s="324"/>
      <c r="C17142" s="325"/>
      <c r="D17142" s="326"/>
      <c r="E17142" s="326"/>
      <c r="F17142" s="326"/>
      <c r="G17142" s="326"/>
      <c r="H17142" s="326"/>
      <c r="P17142" s="318"/>
      <c r="Q17142" s="318"/>
      <c r="R17142" s="318"/>
      <c r="S17142" s="318"/>
      <c r="T17142" s="318"/>
      <c r="U17142" s="318"/>
      <c r="V17142" s="318"/>
      <c r="W17142" s="318"/>
      <c r="X17142" s="318"/>
      <c r="Y17142" s="318"/>
      <c r="Z17142" s="318"/>
      <c r="AA17142" s="318"/>
      <c r="AB17142" s="318"/>
      <c r="AC17142" s="318"/>
      <c r="AD17142" s="318"/>
    </row>
    <row r="17143" spans="2:30" s="323" customFormat="1" ht="12" customHeight="1">
      <c r="B17143" s="324"/>
      <c r="C17143" s="325"/>
      <c r="D17143" s="326"/>
      <c r="E17143" s="326"/>
      <c r="F17143" s="326"/>
      <c r="G17143" s="326"/>
      <c r="H17143" s="326"/>
      <c r="P17143" s="318"/>
      <c r="Q17143" s="318"/>
      <c r="R17143" s="318"/>
      <c r="S17143" s="318"/>
      <c r="T17143" s="318"/>
      <c r="U17143" s="318"/>
      <c r="V17143" s="318"/>
      <c r="W17143" s="318"/>
      <c r="X17143" s="318"/>
      <c r="Y17143" s="318"/>
      <c r="Z17143" s="318"/>
      <c r="AA17143" s="318"/>
      <c r="AB17143" s="318"/>
      <c r="AC17143" s="318"/>
      <c r="AD17143" s="318"/>
    </row>
    <row r="17144" spans="2:30" s="323" customFormat="1" ht="12" customHeight="1">
      <c r="B17144" s="324"/>
      <c r="C17144" s="325"/>
      <c r="D17144" s="326"/>
      <c r="E17144" s="326"/>
      <c r="F17144" s="326"/>
      <c r="G17144" s="326"/>
      <c r="H17144" s="326"/>
      <c r="P17144" s="318"/>
      <c r="Q17144" s="318"/>
      <c r="R17144" s="318"/>
      <c r="S17144" s="318"/>
      <c r="T17144" s="318"/>
      <c r="U17144" s="318"/>
      <c r="V17144" s="318"/>
      <c r="W17144" s="318"/>
      <c r="X17144" s="318"/>
      <c r="Y17144" s="318"/>
      <c r="Z17144" s="318"/>
      <c r="AA17144" s="318"/>
      <c r="AB17144" s="318"/>
      <c r="AC17144" s="318"/>
      <c r="AD17144" s="318"/>
    </row>
    <row r="17145" spans="2:30" s="323" customFormat="1" ht="12" customHeight="1">
      <c r="B17145" s="324"/>
      <c r="C17145" s="325"/>
      <c r="D17145" s="326"/>
      <c r="E17145" s="326"/>
      <c r="F17145" s="326"/>
      <c r="G17145" s="326"/>
      <c r="H17145" s="326"/>
      <c r="P17145" s="318"/>
      <c r="Q17145" s="318"/>
      <c r="R17145" s="318"/>
      <c r="S17145" s="318"/>
      <c r="T17145" s="318"/>
      <c r="U17145" s="318"/>
      <c r="V17145" s="318"/>
      <c r="W17145" s="318"/>
      <c r="X17145" s="318"/>
      <c r="Y17145" s="318"/>
      <c r="Z17145" s="318"/>
      <c r="AA17145" s="318"/>
      <c r="AB17145" s="318"/>
      <c r="AC17145" s="318"/>
      <c r="AD17145" s="318"/>
    </row>
    <row r="17146" spans="2:30" s="323" customFormat="1" ht="12" customHeight="1">
      <c r="B17146" s="324"/>
      <c r="C17146" s="325"/>
      <c r="D17146" s="326"/>
      <c r="E17146" s="326"/>
      <c r="F17146" s="326"/>
      <c r="G17146" s="326"/>
      <c r="H17146" s="326"/>
      <c r="P17146" s="318"/>
      <c r="Q17146" s="318"/>
      <c r="R17146" s="318"/>
      <c r="S17146" s="318"/>
      <c r="T17146" s="318"/>
      <c r="U17146" s="318"/>
      <c r="V17146" s="318"/>
      <c r="W17146" s="318"/>
      <c r="X17146" s="318"/>
      <c r="Y17146" s="318"/>
      <c r="Z17146" s="318"/>
      <c r="AA17146" s="318"/>
      <c r="AB17146" s="318"/>
      <c r="AC17146" s="318"/>
      <c r="AD17146" s="318"/>
    </row>
    <row r="17147" spans="2:30" s="323" customFormat="1" ht="12" customHeight="1">
      <c r="B17147" s="324"/>
      <c r="C17147" s="325"/>
      <c r="D17147" s="326"/>
      <c r="E17147" s="326"/>
      <c r="F17147" s="326"/>
      <c r="G17147" s="326"/>
      <c r="H17147" s="326"/>
      <c r="P17147" s="318"/>
      <c r="Q17147" s="318"/>
      <c r="R17147" s="318"/>
      <c r="S17147" s="318"/>
      <c r="T17147" s="318"/>
      <c r="U17147" s="318"/>
      <c r="V17147" s="318"/>
      <c r="W17147" s="318"/>
      <c r="X17147" s="318"/>
      <c r="Y17147" s="318"/>
      <c r="Z17147" s="318"/>
      <c r="AA17147" s="318"/>
      <c r="AB17147" s="318"/>
      <c r="AC17147" s="318"/>
      <c r="AD17147" s="318"/>
    </row>
    <row r="17148" spans="2:30" s="323" customFormat="1" ht="12" customHeight="1">
      <c r="B17148" s="324"/>
      <c r="C17148" s="325"/>
      <c r="D17148" s="326"/>
      <c r="E17148" s="326"/>
      <c r="F17148" s="326"/>
      <c r="G17148" s="326"/>
      <c r="H17148" s="326"/>
      <c r="P17148" s="318"/>
      <c r="Q17148" s="318"/>
      <c r="R17148" s="318"/>
      <c r="S17148" s="318"/>
      <c r="T17148" s="318"/>
      <c r="U17148" s="318"/>
      <c r="V17148" s="318"/>
      <c r="W17148" s="318"/>
      <c r="X17148" s="318"/>
      <c r="Y17148" s="318"/>
      <c r="Z17148" s="318"/>
      <c r="AA17148" s="318"/>
      <c r="AB17148" s="318"/>
      <c r="AC17148" s="318"/>
      <c r="AD17148" s="318"/>
    </row>
    <row r="17149" spans="2:30" s="323" customFormat="1" ht="12" customHeight="1">
      <c r="B17149" s="324"/>
      <c r="C17149" s="325"/>
      <c r="D17149" s="326"/>
      <c r="E17149" s="326"/>
      <c r="F17149" s="326"/>
      <c r="G17149" s="326"/>
      <c r="H17149" s="326"/>
      <c r="P17149" s="318"/>
      <c r="Q17149" s="318"/>
      <c r="R17149" s="318"/>
      <c r="S17149" s="318"/>
      <c r="T17149" s="318"/>
      <c r="U17149" s="318"/>
      <c r="V17149" s="318"/>
      <c r="W17149" s="318"/>
      <c r="X17149" s="318"/>
      <c r="Y17149" s="318"/>
      <c r="Z17149" s="318"/>
      <c r="AA17149" s="318"/>
      <c r="AB17149" s="318"/>
      <c r="AC17149" s="318"/>
      <c r="AD17149" s="318"/>
    </row>
    <row r="17150" spans="2:30" s="323" customFormat="1" ht="12" customHeight="1">
      <c r="B17150" s="324"/>
      <c r="C17150" s="325"/>
      <c r="D17150" s="326"/>
      <c r="E17150" s="326"/>
      <c r="F17150" s="326"/>
      <c r="G17150" s="326"/>
      <c r="H17150" s="326"/>
      <c r="P17150" s="318"/>
      <c r="Q17150" s="318"/>
      <c r="R17150" s="318"/>
      <c r="S17150" s="318"/>
      <c r="T17150" s="318"/>
      <c r="U17150" s="318"/>
      <c r="V17150" s="318"/>
      <c r="W17150" s="318"/>
      <c r="X17150" s="318"/>
      <c r="Y17150" s="318"/>
      <c r="Z17150" s="318"/>
      <c r="AA17150" s="318"/>
      <c r="AB17150" s="318"/>
      <c r="AC17150" s="318"/>
      <c r="AD17150" s="318"/>
    </row>
    <row r="17151" spans="2:30" s="323" customFormat="1" ht="12" customHeight="1">
      <c r="B17151" s="324"/>
      <c r="C17151" s="325"/>
      <c r="D17151" s="326"/>
      <c r="E17151" s="326"/>
      <c r="F17151" s="326"/>
      <c r="G17151" s="326"/>
      <c r="H17151" s="326"/>
      <c r="P17151" s="318"/>
      <c r="Q17151" s="318"/>
      <c r="R17151" s="318"/>
      <c r="S17151" s="318"/>
      <c r="T17151" s="318"/>
      <c r="U17151" s="318"/>
      <c r="V17151" s="318"/>
      <c r="W17151" s="318"/>
      <c r="X17151" s="318"/>
      <c r="Y17151" s="318"/>
      <c r="Z17151" s="318"/>
      <c r="AA17151" s="318"/>
      <c r="AB17151" s="318"/>
      <c r="AC17151" s="318"/>
      <c r="AD17151" s="318"/>
    </row>
    <row r="17152" spans="2:30" s="323" customFormat="1" ht="12" customHeight="1">
      <c r="B17152" s="324"/>
      <c r="C17152" s="325"/>
      <c r="D17152" s="326"/>
      <c r="E17152" s="326"/>
      <c r="F17152" s="326"/>
      <c r="G17152" s="326"/>
      <c r="H17152" s="326"/>
      <c r="P17152" s="318"/>
      <c r="Q17152" s="318"/>
      <c r="R17152" s="318"/>
      <c r="S17152" s="318"/>
      <c r="T17152" s="318"/>
      <c r="U17152" s="318"/>
      <c r="V17152" s="318"/>
      <c r="W17152" s="318"/>
      <c r="X17152" s="318"/>
      <c r="Y17152" s="318"/>
      <c r="Z17152" s="318"/>
      <c r="AA17152" s="318"/>
      <c r="AB17152" s="318"/>
      <c r="AC17152" s="318"/>
      <c r="AD17152" s="318"/>
    </row>
    <row r="17153" spans="2:30" s="323" customFormat="1" ht="12" customHeight="1">
      <c r="B17153" s="324"/>
      <c r="C17153" s="325"/>
      <c r="D17153" s="326"/>
      <c r="E17153" s="326"/>
      <c r="F17153" s="326"/>
      <c r="G17153" s="326"/>
      <c r="H17153" s="326"/>
      <c r="P17153" s="318"/>
      <c r="Q17153" s="318"/>
      <c r="R17153" s="318"/>
      <c r="S17153" s="318"/>
      <c r="T17153" s="318"/>
      <c r="U17153" s="318"/>
      <c r="V17153" s="318"/>
      <c r="W17153" s="318"/>
      <c r="X17153" s="318"/>
      <c r="Y17153" s="318"/>
      <c r="Z17153" s="318"/>
      <c r="AA17153" s="318"/>
      <c r="AB17153" s="318"/>
      <c r="AC17153" s="318"/>
      <c r="AD17153" s="318"/>
    </row>
    <row r="17154" spans="2:30" s="323" customFormat="1" ht="12" customHeight="1">
      <c r="B17154" s="324"/>
      <c r="C17154" s="325"/>
      <c r="D17154" s="326"/>
      <c r="E17154" s="326"/>
      <c r="F17154" s="326"/>
      <c r="G17154" s="326"/>
      <c r="H17154" s="326"/>
      <c r="P17154" s="318"/>
      <c r="Q17154" s="318"/>
      <c r="R17154" s="318"/>
      <c r="S17154" s="318"/>
      <c r="T17154" s="318"/>
      <c r="U17154" s="318"/>
      <c r="V17154" s="318"/>
      <c r="W17154" s="318"/>
      <c r="X17154" s="318"/>
      <c r="Y17154" s="318"/>
      <c r="Z17154" s="318"/>
      <c r="AA17154" s="318"/>
      <c r="AB17154" s="318"/>
      <c r="AC17154" s="318"/>
      <c r="AD17154" s="318"/>
    </row>
    <row r="17155" spans="2:30" s="323" customFormat="1" ht="12" customHeight="1">
      <c r="B17155" s="324"/>
      <c r="C17155" s="325"/>
      <c r="D17155" s="326"/>
      <c r="E17155" s="326"/>
      <c r="F17155" s="326"/>
      <c r="G17155" s="326"/>
      <c r="H17155" s="326"/>
      <c r="P17155" s="318"/>
      <c r="Q17155" s="318"/>
      <c r="R17155" s="318"/>
      <c r="S17155" s="318"/>
      <c r="T17155" s="318"/>
      <c r="U17155" s="318"/>
      <c r="V17155" s="318"/>
      <c r="W17155" s="318"/>
      <c r="X17155" s="318"/>
      <c r="Y17155" s="318"/>
      <c r="Z17155" s="318"/>
      <c r="AA17155" s="318"/>
      <c r="AB17155" s="318"/>
      <c r="AC17155" s="318"/>
      <c r="AD17155" s="318"/>
    </row>
    <row r="17156" spans="2:30" s="323" customFormat="1" ht="12" customHeight="1">
      <c r="B17156" s="324"/>
      <c r="C17156" s="325"/>
      <c r="D17156" s="326"/>
      <c r="E17156" s="326"/>
      <c r="F17156" s="326"/>
      <c r="G17156" s="326"/>
      <c r="H17156" s="326"/>
      <c r="P17156" s="318"/>
      <c r="Q17156" s="318"/>
      <c r="R17156" s="318"/>
      <c r="S17156" s="318"/>
      <c r="T17156" s="318"/>
      <c r="U17156" s="318"/>
      <c r="V17156" s="318"/>
      <c r="W17156" s="318"/>
      <c r="X17156" s="318"/>
      <c r="Y17156" s="318"/>
      <c r="Z17156" s="318"/>
      <c r="AA17156" s="318"/>
      <c r="AB17156" s="318"/>
      <c r="AC17156" s="318"/>
      <c r="AD17156" s="318"/>
    </row>
    <row r="17157" spans="2:30" s="323" customFormat="1" ht="12" customHeight="1">
      <c r="B17157" s="324"/>
      <c r="C17157" s="325"/>
      <c r="D17157" s="326"/>
      <c r="E17157" s="326"/>
      <c r="F17157" s="326"/>
      <c r="G17157" s="326"/>
      <c r="H17157" s="326"/>
      <c r="P17157" s="318"/>
      <c r="Q17157" s="318"/>
      <c r="R17157" s="318"/>
      <c r="S17157" s="318"/>
      <c r="T17157" s="318"/>
      <c r="U17157" s="318"/>
      <c r="V17157" s="318"/>
      <c r="W17157" s="318"/>
      <c r="X17157" s="318"/>
      <c r="Y17157" s="318"/>
      <c r="Z17157" s="318"/>
      <c r="AA17157" s="318"/>
      <c r="AB17157" s="318"/>
      <c r="AC17157" s="318"/>
      <c r="AD17157" s="318"/>
    </row>
    <row r="17158" spans="2:30" s="323" customFormat="1" ht="12" customHeight="1">
      <c r="B17158" s="324"/>
      <c r="C17158" s="325"/>
      <c r="D17158" s="326"/>
      <c r="E17158" s="326"/>
      <c r="F17158" s="326"/>
      <c r="G17158" s="326"/>
      <c r="H17158" s="326"/>
      <c r="P17158" s="318"/>
      <c r="Q17158" s="318"/>
      <c r="R17158" s="318"/>
      <c r="S17158" s="318"/>
      <c r="T17158" s="318"/>
      <c r="U17158" s="318"/>
      <c r="V17158" s="318"/>
      <c r="W17158" s="318"/>
      <c r="X17158" s="318"/>
      <c r="Y17158" s="318"/>
      <c r="Z17158" s="318"/>
      <c r="AA17158" s="318"/>
      <c r="AB17158" s="318"/>
      <c r="AC17158" s="318"/>
      <c r="AD17158" s="318"/>
    </row>
    <row r="17159" spans="2:30" s="323" customFormat="1" ht="12" customHeight="1">
      <c r="B17159" s="324"/>
      <c r="C17159" s="325"/>
      <c r="D17159" s="326"/>
      <c r="E17159" s="326"/>
      <c r="F17159" s="326"/>
      <c r="G17159" s="326"/>
      <c r="H17159" s="326"/>
      <c r="P17159" s="318"/>
      <c r="Q17159" s="318"/>
      <c r="R17159" s="318"/>
      <c r="S17159" s="318"/>
      <c r="T17159" s="318"/>
      <c r="U17159" s="318"/>
      <c r="V17159" s="318"/>
      <c r="W17159" s="318"/>
      <c r="X17159" s="318"/>
      <c r="Y17159" s="318"/>
      <c r="Z17159" s="318"/>
      <c r="AA17159" s="318"/>
      <c r="AB17159" s="318"/>
      <c r="AC17159" s="318"/>
      <c r="AD17159" s="318"/>
    </row>
    <row r="17160" spans="2:30" s="323" customFormat="1" ht="12" customHeight="1">
      <c r="B17160" s="324"/>
      <c r="C17160" s="325"/>
      <c r="D17160" s="326"/>
      <c r="E17160" s="326"/>
      <c r="F17160" s="326"/>
      <c r="G17160" s="326"/>
      <c r="H17160" s="326"/>
      <c r="P17160" s="318"/>
      <c r="Q17160" s="318"/>
      <c r="R17160" s="318"/>
      <c r="S17160" s="318"/>
      <c r="T17160" s="318"/>
      <c r="U17160" s="318"/>
      <c r="V17160" s="318"/>
      <c r="W17160" s="318"/>
      <c r="X17160" s="318"/>
      <c r="Y17160" s="318"/>
      <c r="Z17160" s="318"/>
      <c r="AA17160" s="318"/>
      <c r="AB17160" s="318"/>
      <c r="AC17160" s="318"/>
      <c r="AD17160" s="318"/>
    </row>
    <row r="17161" spans="2:30" s="323" customFormat="1" ht="12" customHeight="1">
      <c r="B17161" s="324"/>
      <c r="C17161" s="325"/>
      <c r="D17161" s="326"/>
      <c r="E17161" s="326"/>
      <c r="F17161" s="326"/>
      <c r="G17161" s="326"/>
      <c r="H17161" s="326"/>
      <c r="P17161" s="318"/>
      <c r="Q17161" s="318"/>
      <c r="R17161" s="318"/>
      <c r="S17161" s="318"/>
      <c r="T17161" s="318"/>
      <c r="U17161" s="318"/>
      <c r="V17161" s="318"/>
      <c r="W17161" s="318"/>
      <c r="X17161" s="318"/>
      <c r="Y17161" s="318"/>
      <c r="Z17161" s="318"/>
      <c r="AA17161" s="318"/>
      <c r="AB17161" s="318"/>
      <c r="AC17161" s="318"/>
      <c r="AD17161" s="318"/>
    </row>
    <row r="17162" spans="2:30" s="323" customFormat="1" ht="12" customHeight="1">
      <c r="B17162" s="324"/>
      <c r="C17162" s="325"/>
      <c r="D17162" s="326"/>
      <c r="E17162" s="326"/>
      <c r="F17162" s="326"/>
      <c r="G17162" s="326"/>
      <c r="H17162" s="326"/>
      <c r="P17162" s="318"/>
      <c r="Q17162" s="318"/>
      <c r="R17162" s="318"/>
      <c r="S17162" s="318"/>
      <c r="T17162" s="318"/>
      <c r="U17162" s="318"/>
      <c r="V17162" s="318"/>
      <c r="W17162" s="318"/>
      <c r="X17162" s="318"/>
      <c r="Y17162" s="318"/>
      <c r="Z17162" s="318"/>
      <c r="AA17162" s="318"/>
      <c r="AB17162" s="318"/>
      <c r="AC17162" s="318"/>
      <c r="AD17162" s="318"/>
    </row>
    <row r="17163" spans="2:30" s="323" customFormat="1" ht="12" customHeight="1">
      <c r="B17163" s="324"/>
      <c r="C17163" s="325"/>
      <c r="D17163" s="326"/>
      <c r="E17163" s="326"/>
      <c r="F17163" s="326"/>
      <c r="G17163" s="326"/>
      <c r="H17163" s="326"/>
      <c r="P17163" s="318"/>
      <c r="Q17163" s="318"/>
      <c r="R17163" s="318"/>
      <c r="S17163" s="318"/>
      <c r="T17163" s="318"/>
      <c r="U17163" s="318"/>
      <c r="V17163" s="318"/>
      <c r="W17163" s="318"/>
      <c r="X17163" s="318"/>
      <c r="Y17163" s="318"/>
      <c r="Z17163" s="318"/>
      <c r="AA17163" s="318"/>
      <c r="AB17163" s="318"/>
      <c r="AC17163" s="318"/>
      <c r="AD17163" s="318"/>
    </row>
    <row r="17164" spans="2:30" s="323" customFormat="1" ht="12" customHeight="1">
      <c r="B17164" s="324"/>
      <c r="C17164" s="325"/>
      <c r="D17164" s="326"/>
      <c r="E17164" s="326"/>
      <c r="F17164" s="326"/>
      <c r="G17164" s="326"/>
      <c r="H17164" s="326"/>
      <c r="P17164" s="318"/>
      <c r="Q17164" s="318"/>
      <c r="R17164" s="318"/>
      <c r="S17164" s="318"/>
      <c r="T17164" s="318"/>
      <c r="U17164" s="318"/>
      <c r="V17164" s="318"/>
      <c r="W17164" s="318"/>
      <c r="X17164" s="318"/>
      <c r="Y17164" s="318"/>
      <c r="Z17164" s="318"/>
      <c r="AA17164" s="318"/>
      <c r="AB17164" s="318"/>
      <c r="AC17164" s="318"/>
      <c r="AD17164" s="318"/>
    </row>
    <row r="17165" spans="2:30" s="323" customFormat="1" ht="12" customHeight="1">
      <c r="B17165" s="324"/>
      <c r="C17165" s="325"/>
      <c r="D17165" s="326"/>
      <c r="E17165" s="326"/>
      <c r="F17165" s="326"/>
      <c r="G17165" s="326"/>
      <c r="H17165" s="326"/>
      <c r="P17165" s="318"/>
      <c r="Q17165" s="318"/>
      <c r="R17165" s="318"/>
      <c r="S17165" s="318"/>
      <c r="T17165" s="318"/>
      <c r="U17165" s="318"/>
      <c r="V17165" s="318"/>
      <c r="W17165" s="318"/>
      <c r="X17165" s="318"/>
      <c r="Y17165" s="318"/>
      <c r="Z17165" s="318"/>
      <c r="AA17165" s="318"/>
      <c r="AB17165" s="318"/>
      <c r="AC17165" s="318"/>
      <c r="AD17165" s="318"/>
    </row>
    <row r="17166" spans="2:30" s="323" customFormat="1" ht="12" customHeight="1">
      <c r="B17166" s="324"/>
      <c r="C17166" s="325"/>
      <c r="D17166" s="326"/>
      <c r="E17166" s="326"/>
      <c r="F17166" s="326"/>
      <c r="G17166" s="326"/>
      <c r="H17166" s="326"/>
      <c r="P17166" s="318"/>
      <c r="Q17166" s="318"/>
      <c r="R17166" s="318"/>
      <c r="S17166" s="318"/>
      <c r="T17166" s="318"/>
      <c r="U17166" s="318"/>
      <c r="V17166" s="318"/>
      <c r="W17166" s="318"/>
      <c r="X17166" s="318"/>
      <c r="Y17166" s="318"/>
      <c r="Z17166" s="318"/>
      <c r="AA17166" s="318"/>
      <c r="AB17166" s="318"/>
      <c r="AC17166" s="318"/>
      <c r="AD17166" s="318"/>
    </row>
    <row r="17167" spans="2:30" s="323" customFormat="1" ht="12" customHeight="1">
      <c r="B17167" s="324"/>
      <c r="C17167" s="325"/>
      <c r="D17167" s="326"/>
      <c r="E17167" s="326"/>
      <c r="F17167" s="326"/>
      <c r="G17167" s="326"/>
      <c r="H17167" s="326"/>
      <c r="P17167" s="318"/>
      <c r="Q17167" s="318"/>
      <c r="R17167" s="318"/>
      <c r="S17167" s="318"/>
      <c r="T17167" s="318"/>
      <c r="U17167" s="318"/>
      <c r="V17167" s="318"/>
      <c r="W17167" s="318"/>
      <c r="X17167" s="318"/>
      <c r="Y17167" s="318"/>
      <c r="Z17167" s="318"/>
      <c r="AA17167" s="318"/>
      <c r="AB17167" s="318"/>
      <c r="AC17167" s="318"/>
      <c r="AD17167" s="318"/>
    </row>
    <row r="17168" spans="2:30" s="323" customFormat="1" ht="12" customHeight="1">
      <c r="B17168" s="324"/>
      <c r="C17168" s="325"/>
      <c r="D17168" s="326"/>
      <c r="E17168" s="326"/>
      <c r="F17168" s="326"/>
      <c r="G17168" s="326"/>
      <c r="H17168" s="326"/>
      <c r="P17168" s="318"/>
      <c r="Q17168" s="318"/>
      <c r="R17168" s="318"/>
      <c r="S17168" s="318"/>
      <c r="T17168" s="318"/>
      <c r="U17168" s="318"/>
      <c r="V17168" s="318"/>
      <c r="W17168" s="318"/>
      <c r="X17168" s="318"/>
      <c r="Y17168" s="318"/>
      <c r="Z17168" s="318"/>
      <c r="AA17168" s="318"/>
      <c r="AB17168" s="318"/>
      <c r="AC17168" s="318"/>
      <c r="AD17168" s="318"/>
    </row>
    <row r="17169" spans="2:30" s="323" customFormat="1" ht="12" customHeight="1">
      <c r="B17169" s="324"/>
      <c r="C17169" s="325"/>
      <c r="D17169" s="326"/>
      <c r="E17169" s="326"/>
      <c r="F17169" s="326"/>
      <c r="G17169" s="326"/>
      <c r="H17169" s="326"/>
      <c r="P17169" s="318"/>
      <c r="Q17169" s="318"/>
      <c r="R17169" s="318"/>
      <c r="S17169" s="318"/>
      <c r="T17169" s="318"/>
      <c r="U17169" s="318"/>
      <c r="V17169" s="318"/>
      <c r="W17169" s="318"/>
      <c r="X17169" s="318"/>
      <c r="Y17169" s="318"/>
      <c r="Z17169" s="318"/>
      <c r="AA17169" s="318"/>
      <c r="AB17169" s="318"/>
      <c r="AC17169" s="318"/>
      <c r="AD17169" s="318"/>
    </row>
    <row r="17170" spans="2:30" s="323" customFormat="1" ht="12" customHeight="1">
      <c r="B17170" s="324"/>
      <c r="C17170" s="325"/>
      <c r="D17170" s="326"/>
      <c r="E17170" s="326"/>
      <c r="F17170" s="326"/>
      <c r="G17170" s="326"/>
      <c r="H17170" s="326"/>
      <c r="P17170" s="318"/>
      <c r="Q17170" s="318"/>
      <c r="R17170" s="318"/>
      <c r="S17170" s="318"/>
      <c r="T17170" s="318"/>
      <c r="U17170" s="318"/>
      <c r="V17170" s="318"/>
      <c r="W17170" s="318"/>
      <c r="X17170" s="318"/>
      <c r="Y17170" s="318"/>
      <c r="Z17170" s="318"/>
      <c r="AA17170" s="318"/>
      <c r="AB17170" s="318"/>
      <c r="AC17170" s="318"/>
      <c r="AD17170" s="318"/>
    </row>
    <row r="17171" spans="2:30" s="323" customFormat="1" ht="12" customHeight="1">
      <c r="B17171" s="324"/>
      <c r="C17171" s="325"/>
      <c r="D17171" s="326"/>
      <c r="E17171" s="326"/>
      <c r="F17171" s="326"/>
      <c r="G17171" s="326"/>
      <c r="H17171" s="326"/>
      <c r="P17171" s="318"/>
      <c r="Q17171" s="318"/>
      <c r="R17171" s="318"/>
      <c r="S17171" s="318"/>
      <c r="T17171" s="318"/>
      <c r="U17171" s="318"/>
      <c r="V17171" s="318"/>
      <c r="W17171" s="318"/>
      <c r="X17171" s="318"/>
      <c r="Y17171" s="318"/>
      <c r="Z17171" s="318"/>
      <c r="AA17171" s="318"/>
      <c r="AB17171" s="318"/>
      <c r="AC17171" s="318"/>
      <c r="AD17171" s="318"/>
    </row>
    <row r="17172" spans="2:30" s="323" customFormat="1" ht="12" customHeight="1">
      <c r="B17172" s="324"/>
      <c r="C17172" s="325"/>
      <c r="D17172" s="326"/>
      <c r="E17172" s="326"/>
      <c r="F17172" s="326"/>
      <c r="G17172" s="326"/>
      <c r="H17172" s="326"/>
      <c r="P17172" s="318"/>
      <c r="Q17172" s="318"/>
      <c r="R17172" s="318"/>
      <c r="S17172" s="318"/>
      <c r="T17172" s="318"/>
      <c r="U17172" s="318"/>
      <c r="V17172" s="318"/>
      <c r="W17172" s="318"/>
      <c r="X17172" s="318"/>
      <c r="Y17172" s="318"/>
      <c r="Z17172" s="318"/>
      <c r="AA17172" s="318"/>
      <c r="AB17172" s="318"/>
      <c r="AC17172" s="318"/>
      <c r="AD17172" s="318"/>
    </row>
    <row r="17173" spans="2:30" s="323" customFormat="1" ht="12" customHeight="1">
      <c r="B17173" s="324"/>
      <c r="C17173" s="325"/>
      <c r="D17173" s="326"/>
      <c r="E17173" s="326"/>
      <c r="F17173" s="326"/>
      <c r="G17173" s="326"/>
      <c r="H17173" s="326"/>
      <c r="P17173" s="318"/>
      <c r="Q17173" s="318"/>
      <c r="R17173" s="318"/>
      <c r="S17173" s="318"/>
      <c r="T17173" s="318"/>
      <c r="U17173" s="318"/>
      <c r="V17173" s="318"/>
      <c r="W17173" s="318"/>
      <c r="X17173" s="318"/>
      <c r="Y17173" s="318"/>
      <c r="Z17173" s="318"/>
      <c r="AA17173" s="318"/>
      <c r="AB17173" s="318"/>
      <c r="AC17173" s="318"/>
      <c r="AD17173" s="318"/>
    </row>
    <row r="17174" spans="2:30" s="323" customFormat="1" ht="12" customHeight="1">
      <c r="B17174" s="324"/>
      <c r="C17174" s="325"/>
      <c r="D17174" s="326"/>
      <c r="E17174" s="326"/>
      <c r="F17174" s="326"/>
      <c r="G17174" s="326"/>
      <c r="H17174" s="326"/>
      <c r="P17174" s="318"/>
      <c r="Q17174" s="318"/>
      <c r="R17174" s="318"/>
      <c r="S17174" s="318"/>
      <c r="T17174" s="318"/>
      <c r="U17174" s="318"/>
      <c r="V17174" s="318"/>
      <c r="W17174" s="318"/>
      <c r="X17174" s="318"/>
      <c r="Y17174" s="318"/>
      <c r="Z17174" s="318"/>
      <c r="AA17174" s="318"/>
      <c r="AB17174" s="318"/>
      <c r="AC17174" s="318"/>
      <c r="AD17174" s="318"/>
    </row>
    <row r="17175" spans="2:30" s="323" customFormat="1" ht="12" customHeight="1">
      <c r="B17175" s="324"/>
      <c r="C17175" s="325"/>
      <c r="D17175" s="326"/>
      <c r="E17175" s="326"/>
      <c r="F17175" s="326"/>
      <c r="G17175" s="326"/>
      <c r="H17175" s="326"/>
      <c r="P17175" s="318"/>
      <c r="Q17175" s="318"/>
      <c r="R17175" s="318"/>
      <c r="S17175" s="318"/>
      <c r="T17175" s="318"/>
      <c r="U17175" s="318"/>
      <c r="V17175" s="318"/>
      <c r="W17175" s="318"/>
      <c r="X17175" s="318"/>
      <c r="Y17175" s="318"/>
      <c r="Z17175" s="318"/>
      <c r="AA17175" s="318"/>
      <c r="AB17175" s="318"/>
      <c r="AC17175" s="318"/>
      <c r="AD17175" s="318"/>
    </row>
    <row r="17176" spans="2:30" s="323" customFormat="1" ht="12" customHeight="1">
      <c r="B17176" s="324"/>
      <c r="C17176" s="325"/>
      <c r="D17176" s="326"/>
      <c r="E17176" s="326"/>
      <c r="F17176" s="326"/>
      <c r="G17176" s="326"/>
      <c r="H17176" s="326"/>
      <c r="P17176" s="318"/>
      <c r="Q17176" s="318"/>
      <c r="R17176" s="318"/>
      <c r="S17176" s="318"/>
      <c r="T17176" s="318"/>
      <c r="U17176" s="318"/>
      <c r="V17176" s="318"/>
      <c r="W17176" s="318"/>
      <c r="X17176" s="318"/>
      <c r="Y17176" s="318"/>
      <c r="Z17176" s="318"/>
      <c r="AA17176" s="318"/>
      <c r="AB17176" s="318"/>
      <c r="AC17176" s="318"/>
      <c r="AD17176" s="318"/>
    </row>
    <row r="17177" spans="2:30" s="323" customFormat="1" ht="12" customHeight="1">
      <c r="B17177" s="324"/>
      <c r="C17177" s="325"/>
      <c r="D17177" s="326"/>
      <c r="E17177" s="326"/>
      <c r="F17177" s="326"/>
      <c r="G17177" s="326"/>
      <c r="H17177" s="326"/>
      <c r="P17177" s="318"/>
      <c r="Q17177" s="318"/>
      <c r="R17177" s="318"/>
      <c r="S17177" s="318"/>
      <c r="T17177" s="318"/>
      <c r="U17177" s="318"/>
      <c r="V17177" s="318"/>
      <c r="W17177" s="318"/>
      <c r="X17177" s="318"/>
      <c r="Y17177" s="318"/>
      <c r="Z17177" s="318"/>
      <c r="AA17177" s="318"/>
      <c r="AB17177" s="318"/>
      <c r="AC17177" s="318"/>
      <c r="AD17177" s="318"/>
    </row>
    <row r="17178" spans="2:30" s="323" customFormat="1" ht="12" customHeight="1">
      <c r="B17178" s="324"/>
      <c r="C17178" s="325"/>
      <c r="D17178" s="326"/>
      <c r="E17178" s="326"/>
      <c r="F17178" s="326"/>
      <c r="G17178" s="326"/>
      <c r="H17178" s="326"/>
      <c r="P17178" s="318"/>
      <c r="Q17178" s="318"/>
      <c r="R17178" s="318"/>
      <c r="S17178" s="318"/>
      <c r="T17178" s="318"/>
      <c r="U17178" s="318"/>
      <c r="V17178" s="318"/>
      <c r="W17178" s="318"/>
      <c r="X17178" s="318"/>
      <c r="Y17178" s="318"/>
      <c r="Z17178" s="318"/>
      <c r="AA17178" s="318"/>
      <c r="AB17178" s="318"/>
      <c r="AC17178" s="318"/>
      <c r="AD17178" s="318"/>
    </row>
    <row r="17179" spans="2:30" s="323" customFormat="1" ht="12" customHeight="1">
      <c r="B17179" s="324"/>
      <c r="C17179" s="325"/>
      <c r="D17179" s="326"/>
      <c r="E17179" s="326"/>
      <c r="F17179" s="326"/>
      <c r="G17179" s="326"/>
      <c r="H17179" s="326"/>
      <c r="P17179" s="318"/>
      <c r="Q17179" s="318"/>
      <c r="R17179" s="318"/>
      <c r="S17179" s="318"/>
      <c r="T17179" s="318"/>
      <c r="U17179" s="318"/>
      <c r="V17179" s="318"/>
      <c r="W17179" s="318"/>
      <c r="X17179" s="318"/>
      <c r="Y17179" s="318"/>
      <c r="Z17179" s="318"/>
      <c r="AA17179" s="318"/>
      <c r="AB17179" s="318"/>
      <c r="AC17179" s="318"/>
      <c r="AD17179" s="318"/>
    </row>
    <row r="17180" spans="2:30" s="323" customFormat="1" ht="12" customHeight="1">
      <c r="B17180" s="324"/>
      <c r="C17180" s="325"/>
      <c r="D17180" s="326"/>
      <c r="E17180" s="326"/>
      <c r="F17180" s="326"/>
      <c r="G17180" s="326"/>
      <c r="H17180" s="326"/>
      <c r="P17180" s="318"/>
      <c r="Q17180" s="318"/>
      <c r="R17180" s="318"/>
      <c r="S17180" s="318"/>
      <c r="T17180" s="318"/>
      <c r="U17180" s="318"/>
      <c r="V17180" s="318"/>
      <c r="W17180" s="318"/>
      <c r="X17180" s="318"/>
      <c r="Y17180" s="318"/>
      <c r="Z17180" s="318"/>
      <c r="AA17180" s="318"/>
      <c r="AB17180" s="318"/>
      <c r="AC17180" s="318"/>
      <c r="AD17180" s="318"/>
    </row>
    <row r="17181" spans="2:30" s="323" customFormat="1" ht="12" customHeight="1">
      <c r="B17181" s="324"/>
      <c r="C17181" s="325"/>
      <c r="D17181" s="326"/>
      <c r="E17181" s="326"/>
      <c r="F17181" s="326"/>
      <c r="G17181" s="326"/>
      <c r="H17181" s="326"/>
      <c r="P17181" s="318"/>
      <c r="Q17181" s="318"/>
      <c r="R17181" s="318"/>
      <c r="S17181" s="318"/>
      <c r="T17181" s="318"/>
      <c r="U17181" s="318"/>
      <c r="V17181" s="318"/>
      <c r="W17181" s="318"/>
      <c r="X17181" s="318"/>
      <c r="Y17181" s="318"/>
      <c r="Z17181" s="318"/>
      <c r="AA17181" s="318"/>
      <c r="AB17181" s="318"/>
      <c r="AC17181" s="318"/>
      <c r="AD17181" s="318"/>
    </row>
    <row r="17182" spans="2:30" s="323" customFormat="1" ht="12" customHeight="1">
      <c r="B17182" s="324"/>
      <c r="C17182" s="325"/>
      <c r="D17182" s="326"/>
      <c r="E17182" s="326"/>
      <c r="F17182" s="326"/>
      <c r="G17182" s="326"/>
      <c r="H17182" s="326"/>
      <c r="P17182" s="318"/>
      <c r="Q17182" s="318"/>
      <c r="R17182" s="318"/>
      <c r="S17182" s="318"/>
      <c r="T17182" s="318"/>
      <c r="U17182" s="318"/>
      <c r="V17182" s="318"/>
      <c r="W17182" s="318"/>
      <c r="X17182" s="318"/>
      <c r="Y17182" s="318"/>
      <c r="Z17182" s="318"/>
      <c r="AA17182" s="318"/>
      <c r="AB17182" s="318"/>
      <c r="AC17182" s="318"/>
      <c r="AD17182" s="318"/>
    </row>
    <row r="17183" spans="2:30" s="323" customFormat="1" ht="12" customHeight="1">
      <c r="B17183" s="324"/>
      <c r="C17183" s="325"/>
      <c r="D17183" s="326"/>
      <c r="E17183" s="326"/>
      <c r="F17183" s="326"/>
      <c r="G17183" s="326"/>
      <c r="H17183" s="326"/>
      <c r="P17183" s="318"/>
      <c r="Q17183" s="318"/>
      <c r="R17183" s="318"/>
      <c r="S17183" s="318"/>
      <c r="T17183" s="318"/>
      <c r="U17183" s="318"/>
      <c r="V17183" s="318"/>
      <c r="W17183" s="318"/>
      <c r="X17183" s="318"/>
      <c r="Y17183" s="318"/>
      <c r="Z17183" s="318"/>
      <c r="AA17183" s="318"/>
      <c r="AB17183" s="318"/>
      <c r="AC17183" s="318"/>
      <c r="AD17183" s="318"/>
    </row>
    <row r="17184" spans="2:30" s="323" customFormat="1" ht="12" customHeight="1">
      <c r="B17184" s="324"/>
      <c r="C17184" s="325"/>
      <c r="D17184" s="326"/>
      <c r="E17184" s="326"/>
      <c r="F17184" s="326"/>
      <c r="G17184" s="326"/>
      <c r="H17184" s="326"/>
      <c r="P17184" s="318"/>
      <c r="Q17184" s="318"/>
      <c r="R17184" s="318"/>
      <c r="S17184" s="318"/>
      <c r="T17184" s="318"/>
      <c r="U17184" s="318"/>
      <c r="V17184" s="318"/>
      <c r="W17184" s="318"/>
      <c r="X17184" s="318"/>
      <c r="Y17184" s="318"/>
      <c r="Z17184" s="318"/>
      <c r="AA17184" s="318"/>
      <c r="AB17184" s="318"/>
      <c r="AC17184" s="318"/>
      <c r="AD17184" s="318"/>
    </row>
    <row r="17185" spans="2:30" s="323" customFormat="1" ht="12" customHeight="1">
      <c r="B17185" s="324"/>
      <c r="C17185" s="325"/>
      <c r="D17185" s="326"/>
      <c r="E17185" s="326"/>
      <c r="F17185" s="326"/>
      <c r="G17185" s="326"/>
      <c r="H17185" s="326"/>
      <c r="P17185" s="318"/>
      <c r="Q17185" s="318"/>
      <c r="R17185" s="318"/>
      <c r="S17185" s="318"/>
      <c r="T17185" s="318"/>
      <c r="U17185" s="318"/>
      <c r="V17185" s="318"/>
      <c r="W17185" s="318"/>
      <c r="X17185" s="318"/>
      <c r="Y17185" s="318"/>
      <c r="Z17185" s="318"/>
      <c r="AA17185" s="318"/>
      <c r="AB17185" s="318"/>
      <c r="AC17185" s="318"/>
      <c r="AD17185" s="318"/>
    </row>
    <row r="17186" spans="2:30" s="323" customFormat="1" ht="12" customHeight="1">
      <c r="B17186" s="324"/>
      <c r="C17186" s="325"/>
      <c r="D17186" s="326"/>
      <c r="E17186" s="326"/>
      <c r="F17186" s="326"/>
      <c r="G17186" s="326"/>
      <c r="H17186" s="326"/>
      <c r="P17186" s="318"/>
      <c r="Q17186" s="318"/>
      <c r="R17186" s="318"/>
      <c r="S17186" s="318"/>
      <c r="T17186" s="318"/>
      <c r="U17186" s="318"/>
      <c r="V17186" s="318"/>
      <c r="W17186" s="318"/>
      <c r="X17186" s="318"/>
      <c r="Y17186" s="318"/>
      <c r="Z17186" s="318"/>
      <c r="AA17186" s="318"/>
      <c r="AB17186" s="318"/>
      <c r="AC17186" s="318"/>
      <c r="AD17186" s="318"/>
    </row>
    <row r="17187" spans="2:30" s="323" customFormat="1" ht="12" customHeight="1">
      <c r="B17187" s="324"/>
      <c r="C17187" s="325"/>
      <c r="D17187" s="326"/>
      <c r="E17187" s="326"/>
      <c r="F17187" s="326"/>
      <c r="G17187" s="326"/>
      <c r="H17187" s="326"/>
      <c r="P17187" s="318"/>
      <c r="Q17187" s="318"/>
      <c r="R17187" s="318"/>
      <c r="S17187" s="318"/>
      <c r="T17187" s="318"/>
      <c r="U17187" s="318"/>
      <c r="V17187" s="318"/>
      <c r="W17187" s="318"/>
      <c r="X17187" s="318"/>
      <c r="Y17187" s="318"/>
      <c r="Z17187" s="318"/>
      <c r="AA17187" s="318"/>
      <c r="AB17187" s="318"/>
      <c r="AC17187" s="318"/>
      <c r="AD17187" s="318"/>
    </row>
    <row r="17188" spans="2:30" s="323" customFormat="1" ht="12" customHeight="1">
      <c r="B17188" s="324"/>
      <c r="C17188" s="325"/>
      <c r="D17188" s="326"/>
      <c r="E17188" s="326"/>
      <c r="F17188" s="326"/>
      <c r="G17188" s="326"/>
      <c r="H17188" s="326"/>
      <c r="P17188" s="318"/>
      <c r="Q17188" s="318"/>
      <c r="R17188" s="318"/>
      <c r="S17188" s="318"/>
      <c r="T17188" s="318"/>
      <c r="U17188" s="318"/>
      <c r="V17188" s="318"/>
      <c r="W17188" s="318"/>
      <c r="X17188" s="318"/>
      <c r="Y17188" s="318"/>
      <c r="Z17188" s="318"/>
      <c r="AA17188" s="318"/>
      <c r="AB17188" s="318"/>
      <c r="AC17188" s="318"/>
      <c r="AD17188" s="318"/>
    </row>
    <row r="17189" spans="2:30" s="323" customFormat="1" ht="12" customHeight="1">
      <c r="B17189" s="324"/>
      <c r="C17189" s="325"/>
      <c r="D17189" s="326"/>
      <c r="E17189" s="326"/>
      <c r="F17189" s="326"/>
      <c r="G17189" s="326"/>
      <c r="H17189" s="326"/>
      <c r="P17189" s="318"/>
      <c r="Q17189" s="318"/>
      <c r="R17189" s="318"/>
      <c r="S17189" s="318"/>
      <c r="T17189" s="318"/>
      <c r="U17189" s="318"/>
      <c r="V17189" s="318"/>
      <c r="W17189" s="318"/>
      <c r="X17189" s="318"/>
      <c r="Y17189" s="318"/>
      <c r="Z17189" s="318"/>
      <c r="AA17189" s="318"/>
      <c r="AB17189" s="318"/>
      <c r="AC17189" s="318"/>
      <c r="AD17189" s="318"/>
    </row>
    <row r="17190" spans="2:30" s="323" customFormat="1" ht="12" customHeight="1">
      <c r="B17190" s="324"/>
      <c r="C17190" s="325"/>
      <c r="D17190" s="326"/>
      <c r="E17190" s="326"/>
      <c r="F17190" s="326"/>
      <c r="G17190" s="326"/>
      <c r="H17190" s="326"/>
      <c r="P17190" s="318"/>
      <c r="Q17190" s="318"/>
      <c r="R17190" s="318"/>
      <c r="S17190" s="318"/>
      <c r="T17190" s="318"/>
      <c r="U17190" s="318"/>
      <c r="V17190" s="318"/>
      <c r="W17190" s="318"/>
      <c r="X17190" s="318"/>
      <c r="Y17190" s="318"/>
      <c r="Z17190" s="318"/>
      <c r="AA17190" s="318"/>
      <c r="AB17190" s="318"/>
      <c r="AC17190" s="318"/>
      <c r="AD17190" s="318"/>
    </row>
    <row r="17191" spans="2:30" s="323" customFormat="1" ht="12" customHeight="1">
      <c r="B17191" s="324"/>
      <c r="C17191" s="325"/>
      <c r="D17191" s="326"/>
      <c r="E17191" s="326"/>
      <c r="F17191" s="326"/>
      <c r="G17191" s="326"/>
      <c r="H17191" s="326"/>
      <c r="P17191" s="318"/>
      <c r="Q17191" s="318"/>
      <c r="R17191" s="318"/>
      <c r="S17191" s="318"/>
      <c r="T17191" s="318"/>
      <c r="U17191" s="318"/>
      <c r="V17191" s="318"/>
      <c r="W17191" s="318"/>
      <c r="X17191" s="318"/>
      <c r="Y17191" s="318"/>
      <c r="Z17191" s="318"/>
      <c r="AA17191" s="318"/>
      <c r="AB17191" s="318"/>
      <c r="AC17191" s="318"/>
      <c r="AD17191" s="318"/>
    </row>
    <row r="17192" spans="2:30" s="323" customFormat="1" ht="12" customHeight="1">
      <c r="B17192" s="324"/>
      <c r="C17192" s="325"/>
      <c r="D17192" s="326"/>
      <c r="E17192" s="326"/>
      <c r="F17192" s="326"/>
      <c r="G17192" s="326"/>
      <c r="H17192" s="326"/>
      <c r="P17192" s="318"/>
      <c r="Q17192" s="318"/>
      <c r="R17192" s="318"/>
      <c r="S17192" s="318"/>
      <c r="T17192" s="318"/>
      <c r="U17192" s="318"/>
      <c r="V17192" s="318"/>
      <c r="W17192" s="318"/>
      <c r="X17192" s="318"/>
      <c r="Y17192" s="318"/>
      <c r="Z17192" s="318"/>
      <c r="AA17192" s="318"/>
      <c r="AB17192" s="318"/>
      <c r="AC17192" s="318"/>
      <c r="AD17192" s="318"/>
    </row>
    <row r="17193" spans="2:30" s="323" customFormat="1" ht="12" customHeight="1">
      <c r="B17193" s="324"/>
      <c r="C17193" s="325"/>
      <c r="D17193" s="326"/>
      <c r="E17193" s="326"/>
      <c r="F17193" s="326"/>
      <c r="G17193" s="326"/>
      <c r="H17193" s="326"/>
      <c r="P17193" s="318"/>
      <c r="Q17193" s="318"/>
      <c r="R17193" s="318"/>
      <c r="S17193" s="318"/>
      <c r="T17193" s="318"/>
      <c r="U17193" s="318"/>
      <c r="V17193" s="318"/>
      <c r="W17193" s="318"/>
      <c r="X17193" s="318"/>
      <c r="Y17193" s="318"/>
      <c r="Z17193" s="318"/>
      <c r="AA17193" s="318"/>
      <c r="AB17193" s="318"/>
      <c r="AC17193" s="318"/>
      <c r="AD17193" s="318"/>
    </row>
    <row r="17194" spans="2:30" s="323" customFormat="1" ht="12" customHeight="1">
      <c r="B17194" s="324"/>
      <c r="C17194" s="325"/>
      <c r="D17194" s="326"/>
      <c r="E17194" s="326"/>
      <c r="F17194" s="326"/>
      <c r="G17194" s="326"/>
      <c r="H17194" s="326"/>
      <c r="P17194" s="318"/>
      <c r="Q17194" s="318"/>
      <c r="R17194" s="318"/>
      <c r="S17194" s="318"/>
      <c r="T17194" s="318"/>
      <c r="U17194" s="318"/>
      <c r="V17194" s="318"/>
      <c r="W17194" s="318"/>
      <c r="X17194" s="318"/>
      <c r="Y17194" s="318"/>
      <c r="Z17194" s="318"/>
      <c r="AA17194" s="318"/>
      <c r="AB17194" s="318"/>
      <c r="AC17194" s="318"/>
      <c r="AD17194" s="318"/>
    </row>
    <row r="17195" spans="2:30" s="323" customFormat="1" ht="12" customHeight="1">
      <c r="B17195" s="324"/>
      <c r="C17195" s="325"/>
      <c r="D17195" s="326"/>
      <c r="E17195" s="326"/>
      <c r="F17195" s="326"/>
      <c r="G17195" s="326"/>
      <c r="H17195" s="326"/>
      <c r="P17195" s="318"/>
      <c r="Q17195" s="318"/>
      <c r="R17195" s="318"/>
      <c r="S17195" s="318"/>
      <c r="T17195" s="318"/>
      <c r="U17195" s="318"/>
      <c r="V17195" s="318"/>
      <c r="W17195" s="318"/>
      <c r="X17195" s="318"/>
      <c r="Y17195" s="318"/>
      <c r="Z17195" s="318"/>
      <c r="AA17195" s="318"/>
      <c r="AB17195" s="318"/>
      <c r="AC17195" s="318"/>
      <c r="AD17195" s="318"/>
    </row>
    <row r="17196" spans="2:30" s="323" customFormat="1" ht="12" customHeight="1">
      <c r="B17196" s="324"/>
      <c r="C17196" s="325"/>
      <c r="D17196" s="326"/>
      <c r="E17196" s="326"/>
      <c r="F17196" s="326"/>
      <c r="G17196" s="326"/>
      <c r="H17196" s="326"/>
      <c r="P17196" s="318"/>
      <c r="Q17196" s="318"/>
      <c r="R17196" s="318"/>
      <c r="S17196" s="318"/>
      <c r="T17196" s="318"/>
      <c r="U17196" s="318"/>
      <c r="V17196" s="318"/>
      <c r="W17196" s="318"/>
      <c r="X17196" s="318"/>
      <c r="Y17196" s="318"/>
      <c r="Z17196" s="318"/>
      <c r="AA17196" s="318"/>
      <c r="AB17196" s="318"/>
      <c r="AC17196" s="318"/>
      <c r="AD17196" s="318"/>
    </row>
    <row r="17197" spans="2:30" s="323" customFormat="1" ht="12" customHeight="1">
      <c r="B17197" s="324"/>
      <c r="C17197" s="325"/>
      <c r="D17197" s="326"/>
      <c r="E17197" s="326"/>
      <c r="F17197" s="326"/>
      <c r="G17197" s="326"/>
      <c r="H17197" s="326"/>
      <c r="P17197" s="318"/>
      <c r="Q17197" s="318"/>
      <c r="R17197" s="318"/>
      <c r="S17197" s="318"/>
      <c r="T17197" s="318"/>
      <c r="U17197" s="318"/>
      <c r="V17197" s="318"/>
      <c r="W17197" s="318"/>
      <c r="X17197" s="318"/>
      <c r="Y17197" s="318"/>
      <c r="Z17197" s="318"/>
      <c r="AA17197" s="318"/>
      <c r="AB17197" s="318"/>
      <c r="AC17197" s="318"/>
      <c r="AD17197" s="318"/>
    </row>
    <row r="17198" spans="2:30" s="323" customFormat="1" ht="12" customHeight="1">
      <c r="B17198" s="324"/>
      <c r="C17198" s="325"/>
      <c r="D17198" s="326"/>
      <c r="E17198" s="326"/>
      <c r="F17198" s="326"/>
      <c r="G17198" s="326"/>
      <c r="H17198" s="326"/>
      <c r="P17198" s="318"/>
      <c r="Q17198" s="318"/>
      <c r="R17198" s="318"/>
      <c r="S17198" s="318"/>
      <c r="T17198" s="318"/>
      <c r="U17198" s="318"/>
      <c r="V17198" s="318"/>
      <c r="W17198" s="318"/>
      <c r="X17198" s="318"/>
      <c r="Y17198" s="318"/>
      <c r="Z17198" s="318"/>
      <c r="AA17198" s="318"/>
      <c r="AB17198" s="318"/>
      <c r="AC17198" s="318"/>
      <c r="AD17198" s="318"/>
    </row>
    <row r="17199" spans="2:30" s="323" customFormat="1" ht="12" customHeight="1">
      <c r="B17199" s="324"/>
      <c r="C17199" s="325"/>
      <c r="D17199" s="326"/>
      <c r="E17199" s="326"/>
      <c r="F17199" s="326"/>
      <c r="G17199" s="326"/>
      <c r="H17199" s="326"/>
      <c r="P17199" s="318"/>
      <c r="Q17199" s="318"/>
      <c r="R17199" s="318"/>
      <c r="S17199" s="318"/>
      <c r="T17199" s="318"/>
      <c r="U17199" s="318"/>
      <c r="V17199" s="318"/>
      <c r="W17199" s="318"/>
      <c r="X17199" s="318"/>
      <c r="Y17199" s="318"/>
      <c r="Z17199" s="318"/>
      <c r="AA17199" s="318"/>
      <c r="AB17199" s="318"/>
      <c r="AC17199" s="318"/>
      <c r="AD17199" s="318"/>
    </row>
    <row r="17200" spans="2:30" s="323" customFormat="1" ht="12" customHeight="1">
      <c r="B17200" s="324"/>
      <c r="C17200" s="325"/>
      <c r="D17200" s="326"/>
      <c r="E17200" s="326"/>
      <c r="F17200" s="326"/>
      <c r="G17200" s="326"/>
      <c r="H17200" s="326"/>
      <c r="P17200" s="318"/>
      <c r="Q17200" s="318"/>
      <c r="R17200" s="318"/>
      <c r="S17200" s="318"/>
      <c r="T17200" s="318"/>
      <c r="U17200" s="318"/>
      <c r="V17200" s="318"/>
      <c r="W17200" s="318"/>
      <c r="X17200" s="318"/>
      <c r="Y17200" s="318"/>
      <c r="Z17200" s="318"/>
      <c r="AA17200" s="318"/>
      <c r="AB17200" s="318"/>
      <c r="AC17200" s="318"/>
      <c r="AD17200" s="318"/>
    </row>
    <row r="17201" spans="2:30" s="323" customFormat="1" ht="12" customHeight="1">
      <c r="B17201" s="324"/>
      <c r="C17201" s="325"/>
      <c r="D17201" s="326"/>
      <c r="E17201" s="326"/>
      <c r="F17201" s="326"/>
      <c r="G17201" s="326"/>
      <c r="H17201" s="326"/>
      <c r="P17201" s="318"/>
      <c r="Q17201" s="318"/>
      <c r="R17201" s="318"/>
      <c r="S17201" s="318"/>
      <c r="T17201" s="318"/>
      <c r="U17201" s="318"/>
      <c r="V17201" s="318"/>
      <c r="W17201" s="318"/>
      <c r="X17201" s="318"/>
      <c r="Y17201" s="318"/>
      <c r="Z17201" s="318"/>
      <c r="AA17201" s="318"/>
      <c r="AB17201" s="318"/>
      <c r="AC17201" s="318"/>
      <c r="AD17201" s="318"/>
    </row>
    <row r="17202" spans="2:30" s="323" customFormat="1" ht="12" customHeight="1">
      <c r="B17202" s="324"/>
      <c r="C17202" s="325"/>
      <c r="D17202" s="326"/>
      <c r="E17202" s="326"/>
      <c r="F17202" s="326"/>
      <c r="G17202" s="326"/>
      <c r="H17202" s="326"/>
      <c r="P17202" s="318"/>
      <c r="Q17202" s="318"/>
      <c r="R17202" s="318"/>
      <c r="S17202" s="318"/>
      <c r="T17202" s="318"/>
      <c r="U17202" s="318"/>
      <c r="V17202" s="318"/>
      <c r="W17202" s="318"/>
      <c r="X17202" s="318"/>
      <c r="Y17202" s="318"/>
      <c r="Z17202" s="318"/>
      <c r="AA17202" s="318"/>
      <c r="AB17202" s="318"/>
      <c r="AC17202" s="318"/>
      <c r="AD17202" s="318"/>
    </row>
    <row r="17203" spans="2:30" s="323" customFormat="1" ht="12" customHeight="1">
      <c r="B17203" s="324"/>
      <c r="C17203" s="325"/>
      <c r="D17203" s="326"/>
      <c r="E17203" s="326"/>
      <c r="F17203" s="326"/>
      <c r="G17203" s="326"/>
      <c r="H17203" s="326"/>
      <c r="P17203" s="318"/>
      <c r="Q17203" s="318"/>
      <c r="R17203" s="318"/>
      <c r="S17203" s="318"/>
      <c r="T17203" s="318"/>
      <c r="U17203" s="318"/>
      <c r="V17203" s="318"/>
      <c r="W17203" s="318"/>
      <c r="X17203" s="318"/>
      <c r="Y17203" s="318"/>
      <c r="Z17203" s="318"/>
      <c r="AA17203" s="318"/>
      <c r="AB17203" s="318"/>
      <c r="AC17203" s="318"/>
      <c r="AD17203" s="318"/>
    </row>
    <row r="17204" spans="2:30" s="323" customFormat="1" ht="12" customHeight="1">
      <c r="B17204" s="324"/>
      <c r="C17204" s="325"/>
      <c r="D17204" s="326"/>
      <c r="E17204" s="326"/>
      <c r="F17204" s="326"/>
      <c r="G17204" s="326"/>
      <c r="H17204" s="326"/>
      <c r="P17204" s="318"/>
      <c r="Q17204" s="318"/>
      <c r="R17204" s="318"/>
      <c r="S17204" s="318"/>
      <c r="T17204" s="318"/>
      <c r="U17204" s="318"/>
      <c r="V17204" s="318"/>
      <c r="W17204" s="318"/>
      <c r="X17204" s="318"/>
      <c r="Y17204" s="318"/>
      <c r="Z17204" s="318"/>
      <c r="AA17204" s="318"/>
      <c r="AB17204" s="318"/>
      <c r="AC17204" s="318"/>
      <c r="AD17204" s="318"/>
    </row>
    <row r="17205" spans="2:30" s="323" customFormat="1" ht="12" customHeight="1">
      <c r="B17205" s="324"/>
      <c r="C17205" s="325"/>
      <c r="D17205" s="326"/>
      <c r="E17205" s="326"/>
      <c r="F17205" s="326"/>
      <c r="G17205" s="326"/>
      <c r="H17205" s="326"/>
      <c r="P17205" s="318"/>
      <c r="Q17205" s="318"/>
      <c r="R17205" s="318"/>
      <c r="S17205" s="318"/>
      <c r="T17205" s="318"/>
      <c r="U17205" s="318"/>
      <c r="V17205" s="318"/>
      <c r="W17205" s="318"/>
      <c r="X17205" s="318"/>
      <c r="Y17205" s="318"/>
      <c r="Z17205" s="318"/>
      <c r="AA17205" s="318"/>
      <c r="AB17205" s="318"/>
      <c r="AC17205" s="318"/>
      <c r="AD17205" s="318"/>
    </row>
    <row r="17206" spans="2:30" s="323" customFormat="1" ht="12" customHeight="1">
      <c r="B17206" s="324"/>
      <c r="C17206" s="325"/>
      <c r="D17206" s="326"/>
      <c r="E17206" s="326"/>
      <c r="F17206" s="326"/>
      <c r="G17206" s="326"/>
      <c r="H17206" s="326"/>
      <c r="P17206" s="318"/>
      <c r="Q17206" s="318"/>
      <c r="R17206" s="318"/>
      <c r="S17206" s="318"/>
      <c r="T17206" s="318"/>
      <c r="U17206" s="318"/>
      <c r="V17206" s="318"/>
      <c r="W17206" s="318"/>
      <c r="X17206" s="318"/>
      <c r="Y17206" s="318"/>
      <c r="Z17206" s="318"/>
      <c r="AA17206" s="318"/>
      <c r="AB17206" s="318"/>
      <c r="AC17206" s="318"/>
      <c r="AD17206" s="318"/>
    </row>
    <row r="17207" spans="2:30" s="323" customFormat="1" ht="12" customHeight="1">
      <c r="B17207" s="324"/>
      <c r="C17207" s="325"/>
      <c r="D17207" s="326"/>
      <c r="E17207" s="326"/>
      <c r="F17207" s="326"/>
      <c r="G17207" s="326"/>
      <c r="H17207" s="326"/>
      <c r="P17207" s="318"/>
      <c r="Q17207" s="318"/>
      <c r="R17207" s="318"/>
      <c r="S17207" s="318"/>
      <c r="T17207" s="318"/>
      <c r="U17207" s="318"/>
      <c r="V17207" s="318"/>
      <c r="W17207" s="318"/>
      <c r="X17207" s="318"/>
      <c r="Y17207" s="318"/>
      <c r="Z17207" s="318"/>
      <c r="AA17207" s="318"/>
      <c r="AB17207" s="318"/>
      <c r="AC17207" s="318"/>
      <c r="AD17207" s="318"/>
    </row>
    <row r="17208" spans="2:30" s="323" customFormat="1" ht="12" customHeight="1">
      <c r="B17208" s="324"/>
      <c r="C17208" s="325"/>
      <c r="D17208" s="326"/>
      <c r="E17208" s="326"/>
      <c r="F17208" s="326"/>
      <c r="G17208" s="326"/>
      <c r="H17208" s="326"/>
      <c r="P17208" s="318"/>
      <c r="Q17208" s="318"/>
      <c r="R17208" s="318"/>
      <c r="S17208" s="318"/>
      <c r="T17208" s="318"/>
      <c r="U17208" s="318"/>
      <c r="V17208" s="318"/>
      <c r="W17208" s="318"/>
      <c r="X17208" s="318"/>
      <c r="Y17208" s="318"/>
      <c r="Z17208" s="318"/>
      <c r="AA17208" s="318"/>
      <c r="AB17208" s="318"/>
      <c r="AC17208" s="318"/>
      <c r="AD17208" s="318"/>
    </row>
    <row r="17209" spans="2:30" s="323" customFormat="1" ht="12" customHeight="1">
      <c r="B17209" s="324"/>
      <c r="C17209" s="325"/>
      <c r="D17209" s="326"/>
      <c r="E17209" s="326"/>
      <c r="F17209" s="326"/>
      <c r="G17209" s="326"/>
      <c r="H17209" s="326"/>
      <c r="P17209" s="318"/>
      <c r="Q17209" s="318"/>
      <c r="R17209" s="318"/>
      <c r="S17209" s="318"/>
      <c r="T17209" s="318"/>
      <c r="U17209" s="318"/>
      <c r="V17209" s="318"/>
      <c r="W17209" s="318"/>
      <c r="X17209" s="318"/>
      <c r="Y17209" s="318"/>
      <c r="Z17209" s="318"/>
      <c r="AA17209" s="318"/>
      <c r="AB17209" s="318"/>
      <c r="AC17209" s="318"/>
      <c r="AD17209" s="318"/>
    </row>
    <row r="17210" spans="2:30" s="323" customFormat="1" ht="12" customHeight="1">
      <c r="B17210" s="324"/>
      <c r="C17210" s="325"/>
      <c r="D17210" s="326"/>
      <c r="E17210" s="326"/>
      <c r="F17210" s="326"/>
      <c r="G17210" s="326"/>
      <c r="H17210" s="326"/>
      <c r="P17210" s="318"/>
      <c r="Q17210" s="318"/>
      <c r="R17210" s="318"/>
      <c r="S17210" s="318"/>
      <c r="T17210" s="318"/>
      <c r="U17210" s="318"/>
      <c r="V17210" s="318"/>
      <c r="W17210" s="318"/>
      <c r="X17210" s="318"/>
      <c r="Y17210" s="318"/>
      <c r="Z17210" s="318"/>
      <c r="AA17210" s="318"/>
      <c r="AB17210" s="318"/>
      <c r="AC17210" s="318"/>
      <c r="AD17210" s="318"/>
    </row>
    <row r="17211" spans="2:30" s="323" customFormat="1" ht="12" customHeight="1">
      <c r="B17211" s="324"/>
      <c r="C17211" s="325"/>
      <c r="D17211" s="326"/>
      <c r="E17211" s="326"/>
      <c r="F17211" s="326"/>
      <c r="G17211" s="326"/>
      <c r="H17211" s="326"/>
      <c r="P17211" s="318"/>
      <c r="Q17211" s="318"/>
      <c r="R17211" s="318"/>
      <c r="S17211" s="318"/>
      <c r="T17211" s="318"/>
      <c r="U17211" s="318"/>
      <c r="V17211" s="318"/>
      <c r="W17211" s="318"/>
      <c r="X17211" s="318"/>
      <c r="Y17211" s="318"/>
      <c r="Z17211" s="318"/>
      <c r="AA17211" s="318"/>
      <c r="AB17211" s="318"/>
      <c r="AC17211" s="318"/>
      <c r="AD17211" s="318"/>
    </row>
    <row r="17212" spans="2:30" s="323" customFormat="1" ht="12" customHeight="1">
      <c r="B17212" s="324"/>
      <c r="C17212" s="325"/>
      <c r="D17212" s="326"/>
      <c r="E17212" s="326"/>
      <c r="F17212" s="326"/>
      <c r="G17212" s="326"/>
      <c r="H17212" s="326"/>
      <c r="P17212" s="318"/>
      <c r="Q17212" s="318"/>
      <c r="R17212" s="318"/>
      <c r="S17212" s="318"/>
      <c r="T17212" s="318"/>
      <c r="U17212" s="318"/>
      <c r="V17212" s="318"/>
      <c r="W17212" s="318"/>
      <c r="X17212" s="318"/>
      <c r="Y17212" s="318"/>
      <c r="Z17212" s="318"/>
      <c r="AA17212" s="318"/>
      <c r="AB17212" s="318"/>
      <c r="AC17212" s="318"/>
      <c r="AD17212" s="318"/>
    </row>
    <row r="17213" spans="2:30" s="323" customFormat="1" ht="12" customHeight="1">
      <c r="B17213" s="324"/>
      <c r="C17213" s="325"/>
      <c r="D17213" s="326"/>
      <c r="E17213" s="326"/>
      <c r="F17213" s="326"/>
      <c r="G17213" s="326"/>
      <c r="H17213" s="326"/>
      <c r="P17213" s="318"/>
      <c r="Q17213" s="318"/>
      <c r="R17213" s="318"/>
      <c r="S17213" s="318"/>
      <c r="T17213" s="318"/>
      <c r="U17213" s="318"/>
      <c r="V17213" s="318"/>
      <c r="W17213" s="318"/>
      <c r="X17213" s="318"/>
      <c r="Y17213" s="318"/>
      <c r="Z17213" s="318"/>
      <c r="AA17213" s="318"/>
      <c r="AB17213" s="318"/>
      <c r="AC17213" s="318"/>
      <c r="AD17213" s="318"/>
    </row>
    <row r="17214" spans="2:30" s="323" customFormat="1" ht="12" customHeight="1">
      <c r="B17214" s="324"/>
      <c r="C17214" s="325"/>
      <c r="D17214" s="326"/>
      <c r="E17214" s="326"/>
      <c r="F17214" s="326"/>
      <c r="G17214" s="326"/>
      <c r="H17214" s="326"/>
      <c r="P17214" s="318"/>
      <c r="Q17214" s="318"/>
      <c r="R17214" s="318"/>
      <c r="S17214" s="318"/>
      <c r="T17214" s="318"/>
      <c r="U17214" s="318"/>
      <c r="V17214" s="318"/>
      <c r="W17214" s="318"/>
      <c r="X17214" s="318"/>
      <c r="Y17214" s="318"/>
      <c r="Z17214" s="318"/>
      <c r="AA17214" s="318"/>
      <c r="AB17214" s="318"/>
      <c r="AC17214" s="318"/>
      <c r="AD17214" s="318"/>
    </row>
    <row r="17215" spans="2:30" s="323" customFormat="1" ht="12" customHeight="1">
      <c r="B17215" s="324"/>
      <c r="C17215" s="325"/>
      <c r="D17215" s="326"/>
      <c r="E17215" s="326"/>
      <c r="F17215" s="326"/>
      <c r="G17215" s="326"/>
      <c r="H17215" s="326"/>
      <c r="P17215" s="318"/>
      <c r="Q17215" s="318"/>
      <c r="R17215" s="318"/>
      <c r="S17215" s="318"/>
      <c r="T17215" s="318"/>
      <c r="U17215" s="318"/>
      <c r="V17215" s="318"/>
      <c r="W17215" s="318"/>
      <c r="X17215" s="318"/>
      <c r="Y17215" s="318"/>
      <c r="Z17215" s="318"/>
      <c r="AA17215" s="318"/>
      <c r="AB17215" s="318"/>
      <c r="AC17215" s="318"/>
      <c r="AD17215" s="318"/>
    </row>
    <row r="17216" spans="2:30" s="323" customFormat="1" ht="12" customHeight="1">
      <c r="B17216" s="324"/>
      <c r="C17216" s="325"/>
      <c r="D17216" s="326"/>
      <c r="E17216" s="326"/>
      <c r="F17216" s="326"/>
      <c r="G17216" s="326"/>
      <c r="H17216" s="326"/>
      <c r="P17216" s="318"/>
      <c r="Q17216" s="318"/>
      <c r="R17216" s="318"/>
      <c r="S17216" s="318"/>
      <c r="T17216" s="318"/>
      <c r="U17216" s="318"/>
      <c r="V17216" s="318"/>
      <c r="W17216" s="318"/>
      <c r="X17216" s="318"/>
      <c r="Y17216" s="318"/>
      <c r="Z17216" s="318"/>
      <c r="AA17216" s="318"/>
      <c r="AB17216" s="318"/>
      <c r="AC17216" s="318"/>
      <c r="AD17216" s="318"/>
    </row>
    <row r="17217" spans="2:30" s="323" customFormat="1" ht="12" customHeight="1">
      <c r="B17217" s="324"/>
      <c r="C17217" s="325"/>
      <c r="D17217" s="326"/>
      <c r="E17217" s="326"/>
      <c r="F17217" s="326"/>
      <c r="G17217" s="326"/>
      <c r="H17217" s="326"/>
      <c r="P17217" s="318"/>
      <c r="Q17217" s="318"/>
      <c r="R17217" s="318"/>
      <c r="S17217" s="318"/>
      <c r="T17217" s="318"/>
      <c r="U17217" s="318"/>
      <c r="V17217" s="318"/>
      <c r="W17217" s="318"/>
      <c r="X17217" s="318"/>
      <c r="Y17217" s="318"/>
      <c r="Z17217" s="318"/>
      <c r="AA17217" s="318"/>
      <c r="AB17217" s="318"/>
      <c r="AC17217" s="318"/>
      <c r="AD17217" s="318"/>
    </row>
    <row r="17218" spans="2:30" s="323" customFormat="1" ht="12" customHeight="1">
      <c r="B17218" s="324"/>
      <c r="C17218" s="325"/>
      <c r="D17218" s="326"/>
      <c r="E17218" s="326"/>
      <c r="F17218" s="326"/>
      <c r="G17218" s="326"/>
      <c r="H17218" s="326"/>
      <c r="P17218" s="318"/>
      <c r="Q17218" s="318"/>
      <c r="R17218" s="318"/>
      <c r="S17218" s="318"/>
      <c r="T17218" s="318"/>
      <c r="U17218" s="318"/>
      <c r="V17218" s="318"/>
      <c r="W17218" s="318"/>
      <c r="X17218" s="318"/>
      <c r="Y17218" s="318"/>
      <c r="Z17218" s="318"/>
      <c r="AA17218" s="318"/>
      <c r="AB17218" s="318"/>
      <c r="AC17218" s="318"/>
      <c r="AD17218" s="318"/>
    </row>
    <row r="17219" spans="2:30" s="323" customFormat="1" ht="12" customHeight="1">
      <c r="B17219" s="324"/>
      <c r="C17219" s="325"/>
      <c r="D17219" s="326"/>
      <c r="E17219" s="326"/>
      <c r="F17219" s="326"/>
      <c r="G17219" s="326"/>
      <c r="H17219" s="326"/>
      <c r="P17219" s="318"/>
      <c r="Q17219" s="318"/>
      <c r="R17219" s="318"/>
      <c r="S17219" s="318"/>
      <c r="T17219" s="318"/>
      <c r="U17219" s="318"/>
      <c r="V17219" s="318"/>
      <c r="W17219" s="318"/>
      <c r="X17219" s="318"/>
      <c r="Y17219" s="318"/>
      <c r="Z17219" s="318"/>
      <c r="AA17219" s="318"/>
      <c r="AB17219" s="318"/>
      <c r="AC17219" s="318"/>
      <c r="AD17219" s="318"/>
    </row>
    <row r="17220" spans="2:30" s="323" customFormat="1" ht="12" customHeight="1">
      <c r="B17220" s="324"/>
      <c r="C17220" s="325"/>
      <c r="D17220" s="326"/>
      <c r="E17220" s="326"/>
      <c r="F17220" s="326"/>
      <c r="G17220" s="326"/>
      <c r="H17220" s="326"/>
      <c r="P17220" s="318"/>
      <c r="Q17220" s="318"/>
      <c r="R17220" s="318"/>
      <c r="S17220" s="318"/>
      <c r="T17220" s="318"/>
      <c r="U17220" s="318"/>
      <c r="V17220" s="318"/>
      <c r="W17220" s="318"/>
      <c r="X17220" s="318"/>
      <c r="Y17220" s="318"/>
      <c r="Z17220" s="318"/>
      <c r="AA17220" s="318"/>
      <c r="AB17220" s="318"/>
      <c r="AC17220" s="318"/>
      <c r="AD17220" s="318"/>
    </row>
    <row r="17221" spans="2:30" s="323" customFormat="1" ht="12" customHeight="1">
      <c r="B17221" s="324"/>
      <c r="C17221" s="325"/>
      <c r="D17221" s="326"/>
      <c r="E17221" s="326"/>
      <c r="F17221" s="326"/>
      <c r="G17221" s="326"/>
      <c r="H17221" s="326"/>
      <c r="P17221" s="318"/>
      <c r="Q17221" s="318"/>
      <c r="R17221" s="318"/>
      <c r="S17221" s="318"/>
      <c r="T17221" s="318"/>
      <c r="U17221" s="318"/>
      <c r="V17221" s="318"/>
      <c r="W17221" s="318"/>
      <c r="X17221" s="318"/>
      <c r="Y17221" s="318"/>
      <c r="Z17221" s="318"/>
      <c r="AA17221" s="318"/>
      <c r="AB17221" s="318"/>
      <c r="AC17221" s="318"/>
      <c r="AD17221" s="318"/>
    </row>
    <row r="17222" spans="2:30" s="323" customFormat="1" ht="12" customHeight="1">
      <c r="B17222" s="324"/>
      <c r="C17222" s="325"/>
      <c r="D17222" s="326"/>
      <c r="E17222" s="326"/>
      <c r="F17222" s="326"/>
      <c r="G17222" s="326"/>
      <c r="H17222" s="326"/>
      <c r="P17222" s="318"/>
      <c r="Q17222" s="318"/>
      <c r="R17222" s="318"/>
      <c r="S17222" s="318"/>
      <c r="T17222" s="318"/>
      <c r="U17222" s="318"/>
      <c r="V17222" s="318"/>
      <c r="W17222" s="318"/>
      <c r="X17222" s="318"/>
      <c r="Y17222" s="318"/>
      <c r="Z17222" s="318"/>
      <c r="AA17222" s="318"/>
      <c r="AB17222" s="318"/>
      <c r="AC17222" s="318"/>
      <c r="AD17222" s="318"/>
    </row>
    <row r="17223" spans="2:30" s="323" customFormat="1" ht="12" customHeight="1">
      <c r="B17223" s="324"/>
      <c r="C17223" s="325"/>
      <c r="D17223" s="326"/>
      <c r="E17223" s="326"/>
      <c r="F17223" s="326"/>
      <c r="G17223" s="326"/>
      <c r="H17223" s="326"/>
      <c r="P17223" s="318"/>
      <c r="Q17223" s="318"/>
      <c r="R17223" s="318"/>
      <c r="S17223" s="318"/>
      <c r="T17223" s="318"/>
      <c r="U17223" s="318"/>
      <c r="V17223" s="318"/>
      <c r="W17223" s="318"/>
      <c r="X17223" s="318"/>
      <c r="Y17223" s="318"/>
      <c r="Z17223" s="318"/>
      <c r="AA17223" s="318"/>
      <c r="AB17223" s="318"/>
      <c r="AC17223" s="318"/>
      <c r="AD17223" s="318"/>
    </row>
    <row r="17224" spans="2:30" s="323" customFormat="1" ht="12" customHeight="1">
      <c r="B17224" s="324"/>
      <c r="C17224" s="325"/>
      <c r="D17224" s="326"/>
      <c r="E17224" s="326"/>
      <c r="F17224" s="326"/>
      <c r="G17224" s="326"/>
      <c r="H17224" s="326"/>
      <c r="P17224" s="318"/>
      <c r="Q17224" s="318"/>
      <c r="R17224" s="318"/>
      <c r="S17224" s="318"/>
      <c r="T17224" s="318"/>
      <c r="U17224" s="318"/>
      <c r="V17224" s="318"/>
      <c r="W17224" s="318"/>
      <c r="X17224" s="318"/>
      <c r="Y17224" s="318"/>
      <c r="Z17224" s="318"/>
      <c r="AA17224" s="318"/>
      <c r="AB17224" s="318"/>
      <c r="AC17224" s="318"/>
      <c r="AD17224" s="318"/>
    </row>
    <row r="17225" spans="2:30" s="323" customFormat="1" ht="12" customHeight="1">
      <c r="B17225" s="324"/>
      <c r="C17225" s="325"/>
      <c r="D17225" s="326"/>
      <c r="E17225" s="326"/>
      <c r="F17225" s="326"/>
      <c r="G17225" s="326"/>
      <c r="H17225" s="326"/>
      <c r="P17225" s="318"/>
      <c r="Q17225" s="318"/>
      <c r="R17225" s="318"/>
      <c r="S17225" s="318"/>
      <c r="T17225" s="318"/>
      <c r="U17225" s="318"/>
      <c r="V17225" s="318"/>
      <c r="W17225" s="318"/>
      <c r="X17225" s="318"/>
      <c r="Y17225" s="318"/>
      <c r="Z17225" s="318"/>
      <c r="AA17225" s="318"/>
      <c r="AB17225" s="318"/>
      <c r="AC17225" s="318"/>
      <c r="AD17225" s="318"/>
    </row>
    <row r="17226" spans="2:30" s="323" customFormat="1" ht="12" customHeight="1">
      <c r="B17226" s="324"/>
      <c r="C17226" s="325"/>
      <c r="D17226" s="326"/>
      <c r="E17226" s="326"/>
      <c r="F17226" s="326"/>
      <c r="G17226" s="326"/>
      <c r="H17226" s="326"/>
      <c r="P17226" s="318"/>
      <c r="Q17226" s="318"/>
      <c r="R17226" s="318"/>
      <c r="S17226" s="318"/>
      <c r="T17226" s="318"/>
      <c r="U17226" s="318"/>
      <c r="V17226" s="318"/>
      <c r="W17226" s="318"/>
      <c r="X17226" s="318"/>
      <c r="Y17226" s="318"/>
      <c r="Z17226" s="318"/>
      <c r="AA17226" s="318"/>
      <c r="AB17226" s="318"/>
      <c r="AC17226" s="318"/>
      <c r="AD17226" s="318"/>
    </row>
    <row r="17227" spans="2:30" s="323" customFormat="1" ht="12" customHeight="1">
      <c r="B17227" s="324"/>
      <c r="C17227" s="325"/>
      <c r="D17227" s="326"/>
      <c r="E17227" s="326"/>
      <c r="F17227" s="326"/>
      <c r="G17227" s="326"/>
      <c r="H17227" s="326"/>
      <c r="P17227" s="318"/>
      <c r="Q17227" s="318"/>
      <c r="R17227" s="318"/>
      <c r="S17227" s="318"/>
      <c r="T17227" s="318"/>
      <c r="U17227" s="318"/>
      <c r="V17227" s="318"/>
      <c r="W17227" s="318"/>
      <c r="X17227" s="318"/>
      <c r="Y17227" s="318"/>
      <c r="Z17227" s="318"/>
      <c r="AA17227" s="318"/>
      <c r="AB17227" s="318"/>
      <c r="AC17227" s="318"/>
      <c r="AD17227" s="318"/>
    </row>
    <row r="17228" spans="2:30" s="323" customFormat="1" ht="12" customHeight="1">
      <c r="B17228" s="324"/>
      <c r="C17228" s="325"/>
      <c r="D17228" s="326"/>
      <c r="E17228" s="326"/>
      <c r="F17228" s="326"/>
      <c r="G17228" s="326"/>
      <c r="H17228" s="326"/>
      <c r="P17228" s="318"/>
      <c r="Q17228" s="318"/>
      <c r="R17228" s="318"/>
      <c r="S17228" s="318"/>
      <c r="T17228" s="318"/>
      <c r="U17228" s="318"/>
      <c r="V17228" s="318"/>
      <c r="W17228" s="318"/>
      <c r="X17228" s="318"/>
      <c r="Y17228" s="318"/>
      <c r="Z17228" s="318"/>
      <c r="AA17228" s="318"/>
      <c r="AB17228" s="318"/>
      <c r="AC17228" s="318"/>
      <c r="AD17228" s="318"/>
    </row>
    <row r="17229" spans="2:30" s="323" customFormat="1" ht="12" customHeight="1">
      <c r="B17229" s="324"/>
      <c r="C17229" s="325"/>
      <c r="D17229" s="326"/>
      <c r="E17229" s="326"/>
      <c r="F17229" s="326"/>
      <c r="G17229" s="326"/>
      <c r="H17229" s="326"/>
      <c r="P17229" s="318"/>
      <c r="Q17229" s="318"/>
      <c r="R17229" s="318"/>
      <c r="S17229" s="318"/>
      <c r="T17229" s="318"/>
      <c r="U17229" s="318"/>
      <c r="V17229" s="318"/>
      <c r="W17229" s="318"/>
      <c r="X17229" s="318"/>
      <c r="Y17229" s="318"/>
      <c r="Z17229" s="318"/>
      <c r="AA17229" s="318"/>
      <c r="AB17229" s="318"/>
      <c r="AC17229" s="318"/>
      <c r="AD17229" s="318"/>
    </row>
    <row r="17230" spans="2:30" s="323" customFormat="1" ht="12" customHeight="1">
      <c r="B17230" s="324"/>
      <c r="C17230" s="325"/>
      <c r="D17230" s="326"/>
      <c r="E17230" s="326"/>
      <c r="F17230" s="326"/>
      <c r="G17230" s="326"/>
      <c r="H17230" s="326"/>
      <c r="P17230" s="318"/>
      <c r="Q17230" s="318"/>
      <c r="R17230" s="318"/>
      <c r="S17230" s="318"/>
      <c r="T17230" s="318"/>
      <c r="U17230" s="318"/>
      <c r="V17230" s="318"/>
      <c r="W17230" s="318"/>
      <c r="X17230" s="318"/>
      <c r="Y17230" s="318"/>
      <c r="Z17230" s="318"/>
      <c r="AA17230" s="318"/>
      <c r="AB17230" s="318"/>
      <c r="AC17230" s="318"/>
      <c r="AD17230" s="318"/>
    </row>
    <row r="17231" spans="2:30" s="323" customFormat="1" ht="12" customHeight="1">
      <c r="B17231" s="324"/>
      <c r="C17231" s="325"/>
      <c r="D17231" s="326"/>
      <c r="E17231" s="326"/>
      <c r="F17231" s="326"/>
      <c r="G17231" s="326"/>
      <c r="H17231" s="326"/>
      <c r="P17231" s="318"/>
      <c r="Q17231" s="318"/>
      <c r="R17231" s="318"/>
      <c r="S17231" s="318"/>
      <c r="T17231" s="318"/>
      <c r="U17231" s="318"/>
      <c r="V17231" s="318"/>
      <c r="W17231" s="318"/>
      <c r="X17231" s="318"/>
      <c r="Y17231" s="318"/>
      <c r="Z17231" s="318"/>
      <c r="AA17231" s="318"/>
      <c r="AB17231" s="318"/>
      <c r="AC17231" s="318"/>
      <c r="AD17231" s="318"/>
    </row>
    <row r="17232" spans="2:30" s="323" customFormat="1" ht="12" customHeight="1">
      <c r="B17232" s="324"/>
      <c r="C17232" s="325"/>
      <c r="D17232" s="326"/>
      <c r="E17232" s="326"/>
      <c r="F17232" s="326"/>
      <c r="G17232" s="326"/>
      <c r="H17232" s="326"/>
      <c r="P17232" s="318"/>
      <c r="Q17232" s="318"/>
      <c r="R17232" s="318"/>
      <c r="S17232" s="318"/>
      <c r="T17232" s="318"/>
      <c r="U17232" s="318"/>
      <c r="V17232" s="318"/>
      <c r="W17232" s="318"/>
      <c r="X17232" s="318"/>
      <c r="Y17232" s="318"/>
      <c r="Z17232" s="318"/>
      <c r="AA17232" s="318"/>
      <c r="AB17232" s="318"/>
      <c r="AC17232" s="318"/>
      <c r="AD17232" s="318"/>
    </row>
    <row r="17233" spans="2:30" s="323" customFormat="1" ht="12" customHeight="1">
      <c r="B17233" s="324"/>
      <c r="C17233" s="325"/>
      <c r="D17233" s="326"/>
      <c r="E17233" s="326"/>
      <c r="F17233" s="326"/>
      <c r="G17233" s="326"/>
      <c r="H17233" s="326"/>
      <c r="P17233" s="318"/>
      <c r="Q17233" s="318"/>
      <c r="R17233" s="318"/>
      <c r="S17233" s="318"/>
      <c r="T17233" s="318"/>
      <c r="U17233" s="318"/>
      <c r="V17233" s="318"/>
      <c r="W17233" s="318"/>
      <c r="X17233" s="318"/>
      <c r="Y17233" s="318"/>
      <c r="Z17233" s="318"/>
      <c r="AA17233" s="318"/>
      <c r="AB17233" s="318"/>
      <c r="AC17233" s="318"/>
      <c r="AD17233" s="318"/>
    </row>
    <row r="17234" spans="2:30" s="323" customFormat="1" ht="12" customHeight="1">
      <c r="B17234" s="324"/>
      <c r="C17234" s="325"/>
      <c r="D17234" s="326"/>
      <c r="E17234" s="326"/>
      <c r="F17234" s="326"/>
      <c r="G17234" s="326"/>
      <c r="H17234" s="326"/>
      <c r="P17234" s="318"/>
      <c r="Q17234" s="318"/>
      <c r="R17234" s="318"/>
      <c r="S17234" s="318"/>
      <c r="T17234" s="318"/>
      <c r="U17234" s="318"/>
      <c r="V17234" s="318"/>
      <c r="W17234" s="318"/>
      <c r="X17234" s="318"/>
      <c r="Y17234" s="318"/>
      <c r="Z17234" s="318"/>
      <c r="AA17234" s="318"/>
      <c r="AB17234" s="318"/>
      <c r="AC17234" s="318"/>
      <c r="AD17234" s="318"/>
    </row>
    <row r="17235" spans="2:30" s="323" customFormat="1" ht="12" customHeight="1">
      <c r="B17235" s="324"/>
      <c r="C17235" s="325"/>
      <c r="D17235" s="326"/>
      <c r="E17235" s="326"/>
      <c r="F17235" s="326"/>
      <c r="G17235" s="326"/>
      <c r="H17235" s="326"/>
      <c r="P17235" s="318"/>
      <c r="Q17235" s="318"/>
      <c r="R17235" s="318"/>
      <c r="S17235" s="318"/>
      <c r="T17235" s="318"/>
      <c r="U17235" s="318"/>
      <c r="V17235" s="318"/>
      <c r="W17235" s="318"/>
      <c r="X17235" s="318"/>
      <c r="Y17235" s="318"/>
      <c r="Z17235" s="318"/>
      <c r="AA17235" s="318"/>
      <c r="AB17235" s="318"/>
      <c r="AC17235" s="318"/>
      <c r="AD17235" s="318"/>
    </row>
    <row r="17236" spans="2:30" s="323" customFormat="1" ht="12" customHeight="1">
      <c r="B17236" s="324"/>
      <c r="C17236" s="325"/>
      <c r="D17236" s="326"/>
      <c r="E17236" s="326"/>
      <c r="F17236" s="326"/>
      <c r="G17236" s="326"/>
      <c r="H17236" s="326"/>
      <c r="P17236" s="318"/>
      <c r="Q17236" s="318"/>
      <c r="R17236" s="318"/>
      <c r="S17236" s="318"/>
      <c r="T17236" s="318"/>
      <c r="U17236" s="318"/>
      <c r="V17236" s="318"/>
      <c r="W17236" s="318"/>
      <c r="X17236" s="318"/>
      <c r="Y17236" s="318"/>
      <c r="Z17236" s="318"/>
      <c r="AA17236" s="318"/>
      <c r="AB17236" s="318"/>
      <c r="AC17236" s="318"/>
      <c r="AD17236" s="318"/>
    </row>
    <row r="17237" spans="2:30" s="323" customFormat="1" ht="12" customHeight="1">
      <c r="B17237" s="324"/>
      <c r="C17237" s="325"/>
      <c r="D17237" s="326"/>
      <c r="E17237" s="326"/>
      <c r="F17237" s="326"/>
      <c r="G17237" s="326"/>
      <c r="H17237" s="326"/>
      <c r="P17237" s="318"/>
      <c r="Q17237" s="318"/>
      <c r="R17237" s="318"/>
      <c r="S17237" s="318"/>
      <c r="T17237" s="318"/>
      <c r="U17237" s="318"/>
      <c r="V17237" s="318"/>
      <c r="W17237" s="318"/>
      <c r="X17237" s="318"/>
      <c r="Y17237" s="318"/>
      <c r="Z17237" s="318"/>
      <c r="AA17237" s="318"/>
      <c r="AB17237" s="318"/>
      <c r="AC17237" s="318"/>
      <c r="AD17237" s="318"/>
    </row>
    <row r="17238" spans="2:30" s="323" customFormat="1" ht="12" customHeight="1">
      <c r="B17238" s="324"/>
      <c r="C17238" s="325"/>
      <c r="D17238" s="326"/>
      <c r="E17238" s="326"/>
      <c r="F17238" s="326"/>
      <c r="G17238" s="326"/>
      <c r="H17238" s="326"/>
      <c r="P17238" s="318"/>
      <c r="Q17238" s="318"/>
      <c r="R17238" s="318"/>
      <c r="S17238" s="318"/>
      <c r="T17238" s="318"/>
      <c r="U17238" s="318"/>
      <c r="V17238" s="318"/>
      <c r="W17238" s="318"/>
      <c r="X17238" s="318"/>
      <c r="Y17238" s="318"/>
      <c r="Z17238" s="318"/>
      <c r="AA17238" s="318"/>
      <c r="AB17238" s="318"/>
      <c r="AC17238" s="318"/>
      <c r="AD17238" s="318"/>
    </row>
    <row r="17239" spans="2:30" s="323" customFormat="1" ht="12" customHeight="1">
      <c r="B17239" s="324"/>
      <c r="C17239" s="325"/>
      <c r="D17239" s="326"/>
      <c r="E17239" s="326"/>
      <c r="F17239" s="326"/>
      <c r="G17239" s="326"/>
      <c r="H17239" s="326"/>
      <c r="P17239" s="318"/>
      <c r="Q17239" s="318"/>
      <c r="R17239" s="318"/>
      <c r="S17239" s="318"/>
      <c r="T17239" s="318"/>
      <c r="U17239" s="318"/>
      <c r="V17239" s="318"/>
      <c r="W17239" s="318"/>
      <c r="X17239" s="318"/>
      <c r="Y17239" s="318"/>
      <c r="Z17239" s="318"/>
      <c r="AA17239" s="318"/>
      <c r="AB17239" s="318"/>
      <c r="AC17239" s="318"/>
      <c r="AD17239" s="318"/>
    </row>
    <row r="17240" spans="2:30" s="323" customFormat="1" ht="12" customHeight="1">
      <c r="B17240" s="324"/>
      <c r="C17240" s="325"/>
      <c r="D17240" s="326"/>
      <c r="E17240" s="326"/>
      <c r="F17240" s="326"/>
      <c r="G17240" s="326"/>
      <c r="H17240" s="326"/>
      <c r="P17240" s="318"/>
      <c r="Q17240" s="318"/>
      <c r="R17240" s="318"/>
      <c r="S17240" s="318"/>
      <c r="T17240" s="318"/>
      <c r="U17240" s="318"/>
      <c r="V17240" s="318"/>
      <c r="W17240" s="318"/>
      <c r="X17240" s="318"/>
      <c r="Y17240" s="318"/>
      <c r="Z17240" s="318"/>
      <c r="AA17240" s="318"/>
      <c r="AB17240" s="318"/>
      <c r="AC17240" s="318"/>
      <c r="AD17240" s="318"/>
    </row>
    <row r="17241" spans="2:30" s="323" customFormat="1" ht="12" customHeight="1">
      <c r="B17241" s="324"/>
      <c r="C17241" s="325"/>
      <c r="D17241" s="326"/>
      <c r="E17241" s="326"/>
      <c r="F17241" s="326"/>
      <c r="G17241" s="326"/>
      <c r="H17241" s="326"/>
      <c r="P17241" s="318"/>
      <c r="Q17241" s="318"/>
      <c r="R17241" s="318"/>
      <c r="S17241" s="318"/>
      <c r="T17241" s="318"/>
      <c r="U17241" s="318"/>
      <c r="V17241" s="318"/>
      <c r="W17241" s="318"/>
      <c r="X17241" s="318"/>
      <c r="Y17241" s="318"/>
      <c r="Z17241" s="318"/>
      <c r="AA17241" s="318"/>
      <c r="AB17241" s="318"/>
      <c r="AC17241" s="318"/>
      <c r="AD17241" s="318"/>
    </row>
    <row r="17242" spans="2:30" s="323" customFormat="1" ht="12" customHeight="1">
      <c r="B17242" s="324"/>
      <c r="C17242" s="325"/>
      <c r="D17242" s="326"/>
      <c r="E17242" s="326"/>
      <c r="F17242" s="326"/>
      <c r="G17242" s="326"/>
      <c r="H17242" s="326"/>
      <c r="P17242" s="318"/>
      <c r="Q17242" s="318"/>
      <c r="R17242" s="318"/>
      <c r="S17242" s="318"/>
      <c r="T17242" s="318"/>
      <c r="U17242" s="318"/>
      <c r="V17242" s="318"/>
      <c r="W17242" s="318"/>
      <c r="X17242" s="318"/>
      <c r="Y17242" s="318"/>
      <c r="Z17242" s="318"/>
      <c r="AA17242" s="318"/>
      <c r="AB17242" s="318"/>
      <c r="AC17242" s="318"/>
      <c r="AD17242" s="318"/>
    </row>
    <row r="17243" spans="2:30" s="323" customFormat="1" ht="12" customHeight="1">
      <c r="B17243" s="324"/>
      <c r="C17243" s="325"/>
      <c r="D17243" s="326"/>
      <c r="E17243" s="326"/>
      <c r="F17243" s="326"/>
      <c r="G17243" s="326"/>
      <c r="H17243" s="326"/>
      <c r="P17243" s="318"/>
      <c r="Q17243" s="318"/>
      <c r="R17243" s="318"/>
      <c r="S17243" s="318"/>
      <c r="T17243" s="318"/>
      <c r="U17243" s="318"/>
      <c r="V17243" s="318"/>
      <c r="W17243" s="318"/>
      <c r="X17243" s="318"/>
      <c r="Y17243" s="318"/>
      <c r="Z17243" s="318"/>
      <c r="AA17243" s="318"/>
      <c r="AB17243" s="318"/>
      <c r="AC17243" s="318"/>
      <c r="AD17243" s="318"/>
    </row>
    <row r="17244" spans="2:30" s="323" customFormat="1" ht="12" customHeight="1">
      <c r="B17244" s="324"/>
      <c r="C17244" s="325"/>
      <c r="D17244" s="326"/>
      <c r="E17244" s="326"/>
      <c r="F17244" s="326"/>
      <c r="G17244" s="326"/>
      <c r="H17244" s="326"/>
      <c r="P17244" s="318"/>
      <c r="Q17244" s="318"/>
      <c r="R17244" s="318"/>
      <c r="S17244" s="318"/>
      <c r="T17244" s="318"/>
      <c r="U17244" s="318"/>
      <c r="V17244" s="318"/>
      <c r="W17244" s="318"/>
      <c r="X17244" s="318"/>
      <c r="Y17244" s="318"/>
      <c r="Z17244" s="318"/>
      <c r="AA17244" s="318"/>
      <c r="AB17244" s="318"/>
      <c r="AC17244" s="318"/>
      <c r="AD17244" s="318"/>
    </row>
    <row r="17245" spans="2:30" s="323" customFormat="1" ht="12" customHeight="1">
      <c r="B17245" s="324"/>
      <c r="C17245" s="325"/>
      <c r="D17245" s="326"/>
      <c r="E17245" s="326"/>
      <c r="F17245" s="326"/>
      <c r="G17245" s="326"/>
      <c r="H17245" s="326"/>
      <c r="P17245" s="318"/>
      <c r="Q17245" s="318"/>
      <c r="R17245" s="318"/>
      <c r="S17245" s="318"/>
      <c r="T17245" s="318"/>
      <c r="U17245" s="318"/>
      <c r="V17245" s="318"/>
      <c r="W17245" s="318"/>
      <c r="X17245" s="318"/>
      <c r="Y17245" s="318"/>
      <c r="Z17245" s="318"/>
      <c r="AA17245" s="318"/>
      <c r="AB17245" s="318"/>
      <c r="AC17245" s="318"/>
      <c r="AD17245" s="318"/>
    </row>
    <row r="17246" spans="2:30" s="323" customFormat="1" ht="12" customHeight="1">
      <c r="B17246" s="324"/>
      <c r="C17246" s="325"/>
      <c r="D17246" s="326"/>
      <c r="E17246" s="326"/>
      <c r="F17246" s="326"/>
      <c r="G17246" s="326"/>
      <c r="H17246" s="326"/>
      <c r="P17246" s="318"/>
      <c r="Q17246" s="318"/>
      <c r="R17246" s="318"/>
      <c r="S17246" s="318"/>
      <c r="T17246" s="318"/>
      <c r="U17246" s="318"/>
      <c r="V17246" s="318"/>
      <c r="W17246" s="318"/>
      <c r="X17246" s="318"/>
      <c r="Y17246" s="318"/>
      <c r="Z17246" s="318"/>
      <c r="AA17246" s="318"/>
      <c r="AB17246" s="318"/>
      <c r="AC17246" s="318"/>
      <c r="AD17246" s="318"/>
    </row>
    <row r="17247" spans="2:30" s="323" customFormat="1" ht="12" customHeight="1">
      <c r="B17247" s="324"/>
      <c r="C17247" s="325"/>
      <c r="D17247" s="326"/>
      <c r="E17247" s="326"/>
      <c r="F17247" s="326"/>
      <c r="G17247" s="326"/>
      <c r="H17247" s="326"/>
      <c r="P17247" s="318"/>
      <c r="Q17247" s="318"/>
      <c r="R17247" s="318"/>
      <c r="S17247" s="318"/>
      <c r="T17247" s="318"/>
      <c r="U17247" s="318"/>
      <c r="V17247" s="318"/>
      <c r="W17247" s="318"/>
      <c r="X17247" s="318"/>
      <c r="Y17247" s="318"/>
      <c r="Z17247" s="318"/>
      <c r="AA17247" s="318"/>
      <c r="AB17247" s="318"/>
      <c r="AC17247" s="318"/>
      <c r="AD17247" s="318"/>
    </row>
    <row r="17248" spans="2:30" s="323" customFormat="1" ht="12" customHeight="1">
      <c r="B17248" s="324"/>
      <c r="C17248" s="325"/>
      <c r="D17248" s="326"/>
      <c r="E17248" s="326"/>
      <c r="F17248" s="326"/>
      <c r="G17248" s="326"/>
      <c r="H17248" s="326"/>
      <c r="P17248" s="318"/>
      <c r="Q17248" s="318"/>
      <c r="R17248" s="318"/>
      <c r="S17248" s="318"/>
      <c r="T17248" s="318"/>
      <c r="U17248" s="318"/>
      <c r="V17248" s="318"/>
      <c r="W17248" s="318"/>
      <c r="X17248" s="318"/>
      <c r="Y17248" s="318"/>
      <c r="Z17248" s="318"/>
      <c r="AA17248" s="318"/>
      <c r="AB17248" s="318"/>
      <c r="AC17248" s="318"/>
      <c r="AD17248" s="318"/>
    </row>
    <row r="17249" spans="2:30" s="323" customFormat="1" ht="12" customHeight="1">
      <c r="B17249" s="324"/>
      <c r="C17249" s="325"/>
      <c r="D17249" s="326"/>
      <c r="E17249" s="326"/>
      <c r="F17249" s="326"/>
      <c r="G17249" s="326"/>
      <c r="H17249" s="326"/>
      <c r="P17249" s="318"/>
      <c r="Q17249" s="318"/>
      <c r="R17249" s="318"/>
      <c r="S17249" s="318"/>
      <c r="T17249" s="318"/>
      <c r="U17249" s="318"/>
      <c r="V17249" s="318"/>
      <c r="W17249" s="318"/>
      <c r="X17249" s="318"/>
      <c r="Y17249" s="318"/>
      <c r="Z17249" s="318"/>
      <c r="AA17249" s="318"/>
      <c r="AB17249" s="318"/>
      <c r="AC17249" s="318"/>
      <c r="AD17249" s="318"/>
    </row>
    <row r="17250" spans="2:30" s="323" customFormat="1" ht="12" customHeight="1">
      <c r="B17250" s="324"/>
      <c r="C17250" s="325"/>
      <c r="D17250" s="326"/>
      <c r="E17250" s="326"/>
      <c r="F17250" s="326"/>
      <c r="G17250" s="326"/>
      <c r="H17250" s="326"/>
      <c r="P17250" s="318"/>
      <c r="Q17250" s="318"/>
      <c r="R17250" s="318"/>
      <c r="S17250" s="318"/>
      <c r="T17250" s="318"/>
      <c r="U17250" s="318"/>
      <c r="V17250" s="318"/>
      <c r="W17250" s="318"/>
      <c r="X17250" s="318"/>
      <c r="Y17250" s="318"/>
      <c r="Z17250" s="318"/>
      <c r="AA17250" s="318"/>
      <c r="AB17250" s="318"/>
      <c r="AC17250" s="318"/>
      <c r="AD17250" s="318"/>
    </row>
    <row r="17251" spans="2:30" s="323" customFormat="1" ht="12" customHeight="1">
      <c r="B17251" s="324"/>
      <c r="C17251" s="325"/>
      <c r="D17251" s="326"/>
      <c r="E17251" s="326"/>
      <c r="F17251" s="326"/>
      <c r="G17251" s="326"/>
      <c r="H17251" s="326"/>
      <c r="P17251" s="318"/>
      <c r="Q17251" s="318"/>
      <c r="R17251" s="318"/>
      <c r="S17251" s="318"/>
      <c r="T17251" s="318"/>
      <c r="U17251" s="318"/>
      <c r="V17251" s="318"/>
      <c r="W17251" s="318"/>
      <c r="X17251" s="318"/>
      <c r="Y17251" s="318"/>
      <c r="Z17251" s="318"/>
      <c r="AA17251" s="318"/>
      <c r="AB17251" s="318"/>
      <c r="AC17251" s="318"/>
      <c r="AD17251" s="318"/>
    </row>
    <row r="17252" spans="2:30" s="323" customFormat="1" ht="12" customHeight="1">
      <c r="B17252" s="324"/>
      <c r="C17252" s="325"/>
      <c r="D17252" s="326"/>
      <c r="E17252" s="326"/>
      <c r="F17252" s="326"/>
      <c r="G17252" s="326"/>
      <c r="H17252" s="326"/>
      <c r="P17252" s="318"/>
      <c r="Q17252" s="318"/>
      <c r="R17252" s="318"/>
      <c r="S17252" s="318"/>
      <c r="T17252" s="318"/>
      <c r="U17252" s="318"/>
      <c r="V17252" s="318"/>
      <c r="W17252" s="318"/>
      <c r="X17252" s="318"/>
      <c r="Y17252" s="318"/>
      <c r="Z17252" s="318"/>
      <c r="AA17252" s="318"/>
      <c r="AB17252" s="318"/>
      <c r="AC17252" s="318"/>
      <c r="AD17252" s="318"/>
    </row>
    <row r="17253" spans="2:30" s="323" customFormat="1" ht="12" customHeight="1">
      <c r="B17253" s="324"/>
      <c r="C17253" s="325"/>
      <c r="D17253" s="326"/>
      <c r="E17253" s="326"/>
      <c r="F17253" s="326"/>
      <c r="G17253" s="326"/>
      <c r="H17253" s="326"/>
      <c r="P17253" s="318"/>
      <c r="Q17253" s="318"/>
      <c r="R17253" s="318"/>
      <c r="S17253" s="318"/>
      <c r="T17253" s="318"/>
      <c r="U17253" s="318"/>
      <c r="V17253" s="318"/>
      <c r="W17253" s="318"/>
      <c r="X17253" s="318"/>
      <c r="Y17253" s="318"/>
      <c r="Z17253" s="318"/>
      <c r="AA17253" s="318"/>
      <c r="AB17253" s="318"/>
      <c r="AC17253" s="318"/>
      <c r="AD17253" s="318"/>
    </row>
    <row r="17254" spans="2:30" s="323" customFormat="1" ht="12" customHeight="1">
      <c r="B17254" s="324"/>
      <c r="C17254" s="325"/>
      <c r="D17254" s="326"/>
      <c r="E17254" s="326"/>
      <c r="F17254" s="326"/>
      <c r="G17254" s="326"/>
      <c r="H17254" s="326"/>
      <c r="P17254" s="318"/>
      <c r="Q17254" s="318"/>
      <c r="R17254" s="318"/>
      <c r="S17254" s="318"/>
      <c r="T17254" s="318"/>
      <c r="U17254" s="318"/>
      <c r="V17254" s="318"/>
      <c r="W17254" s="318"/>
      <c r="X17254" s="318"/>
      <c r="Y17254" s="318"/>
      <c r="Z17254" s="318"/>
      <c r="AA17254" s="318"/>
      <c r="AB17254" s="318"/>
      <c r="AC17254" s="318"/>
      <c r="AD17254" s="318"/>
    </row>
    <row r="17255" spans="2:30" s="323" customFormat="1" ht="12" customHeight="1">
      <c r="B17255" s="324"/>
      <c r="C17255" s="325"/>
      <c r="D17255" s="326"/>
      <c r="E17255" s="326"/>
      <c r="F17255" s="326"/>
      <c r="G17255" s="326"/>
      <c r="H17255" s="326"/>
      <c r="P17255" s="318"/>
      <c r="Q17255" s="318"/>
      <c r="R17255" s="318"/>
      <c r="S17255" s="318"/>
      <c r="T17255" s="318"/>
      <c r="U17255" s="318"/>
      <c r="V17255" s="318"/>
      <c r="W17255" s="318"/>
      <c r="X17255" s="318"/>
      <c r="Y17255" s="318"/>
      <c r="Z17255" s="318"/>
      <c r="AA17255" s="318"/>
      <c r="AB17255" s="318"/>
      <c r="AC17255" s="318"/>
      <c r="AD17255" s="318"/>
    </row>
    <row r="17256" spans="2:30" s="323" customFormat="1" ht="12" customHeight="1">
      <c r="B17256" s="324"/>
      <c r="C17256" s="325"/>
      <c r="D17256" s="326"/>
      <c r="E17256" s="326"/>
      <c r="F17256" s="326"/>
      <c r="G17256" s="326"/>
      <c r="H17256" s="326"/>
      <c r="P17256" s="318"/>
      <c r="Q17256" s="318"/>
      <c r="R17256" s="318"/>
      <c r="S17256" s="318"/>
      <c r="T17256" s="318"/>
      <c r="U17256" s="318"/>
      <c r="V17256" s="318"/>
      <c r="W17256" s="318"/>
      <c r="X17256" s="318"/>
      <c r="Y17256" s="318"/>
      <c r="Z17256" s="318"/>
      <c r="AA17256" s="318"/>
      <c r="AB17256" s="318"/>
      <c r="AC17256" s="318"/>
      <c r="AD17256" s="318"/>
    </row>
    <row r="17257" spans="2:30" s="323" customFormat="1" ht="12" customHeight="1">
      <c r="B17257" s="324"/>
      <c r="C17257" s="325"/>
      <c r="D17257" s="326"/>
      <c r="E17257" s="326"/>
      <c r="F17257" s="326"/>
      <c r="G17257" s="326"/>
      <c r="H17257" s="326"/>
      <c r="P17257" s="318"/>
      <c r="Q17257" s="318"/>
      <c r="R17257" s="318"/>
      <c r="S17257" s="318"/>
      <c r="T17257" s="318"/>
      <c r="U17257" s="318"/>
      <c r="V17257" s="318"/>
      <c r="W17257" s="318"/>
      <c r="X17257" s="318"/>
      <c r="Y17257" s="318"/>
      <c r="Z17257" s="318"/>
      <c r="AA17257" s="318"/>
      <c r="AB17257" s="318"/>
      <c r="AC17257" s="318"/>
      <c r="AD17257" s="318"/>
    </row>
    <row r="17258" spans="2:30" s="323" customFormat="1" ht="12" customHeight="1">
      <c r="B17258" s="324"/>
      <c r="C17258" s="325"/>
      <c r="D17258" s="326"/>
      <c r="E17258" s="326"/>
      <c r="F17258" s="326"/>
      <c r="G17258" s="326"/>
      <c r="H17258" s="326"/>
      <c r="P17258" s="318"/>
      <c r="Q17258" s="318"/>
      <c r="R17258" s="318"/>
      <c r="S17258" s="318"/>
      <c r="T17258" s="318"/>
      <c r="U17258" s="318"/>
      <c r="V17258" s="318"/>
      <c r="W17258" s="318"/>
      <c r="X17258" s="318"/>
      <c r="Y17258" s="318"/>
      <c r="Z17258" s="318"/>
      <c r="AA17258" s="318"/>
      <c r="AB17258" s="318"/>
      <c r="AC17258" s="318"/>
      <c r="AD17258" s="318"/>
    </row>
    <row r="17259" spans="2:30" s="323" customFormat="1" ht="12" customHeight="1">
      <c r="B17259" s="324"/>
      <c r="C17259" s="325"/>
      <c r="D17259" s="326"/>
      <c r="E17259" s="326"/>
      <c r="F17259" s="326"/>
      <c r="G17259" s="326"/>
      <c r="H17259" s="326"/>
      <c r="P17259" s="318"/>
      <c r="Q17259" s="318"/>
      <c r="R17259" s="318"/>
      <c r="S17259" s="318"/>
      <c r="T17259" s="318"/>
      <c r="U17259" s="318"/>
      <c r="V17259" s="318"/>
      <c r="W17259" s="318"/>
      <c r="X17259" s="318"/>
      <c r="Y17259" s="318"/>
      <c r="Z17259" s="318"/>
      <c r="AA17259" s="318"/>
      <c r="AB17259" s="318"/>
      <c r="AC17259" s="318"/>
      <c r="AD17259" s="318"/>
    </row>
    <row r="17260" spans="2:30" s="323" customFormat="1" ht="12" customHeight="1">
      <c r="B17260" s="324"/>
      <c r="C17260" s="325"/>
      <c r="D17260" s="326"/>
      <c r="E17260" s="326"/>
      <c r="F17260" s="326"/>
      <c r="G17260" s="326"/>
      <c r="H17260" s="326"/>
      <c r="P17260" s="318"/>
      <c r="Q17260" s="318"/>
      <c r="R17260" s="318"/>
      <c r="S17260" s="318"/>
      <c r="T17260" s="318"/>
      <c r="U17260" s="318"/>
      <c r="V17260" s="318"/>
      <c r="W17260" s="318"/>
      <c r="X17260" s="318"/>
      <c r="Y17260" s="318"/>
      <c r="Z17260" s="318"/>
      <c r="AA17260" s="318"/>
      <c r="AB17260" s="318"/>
      <c r="AC17260" s="318"/>
      <c r="AD17260" s="318"/>
    </row>
    <row r="17261" spans="2:30" s="323" customFormat="1" ht="12" customHeight="1">
      <c r="B17261" s="324"/>
      <c r="C17261" s="325"/>
      <c r="D17261" s="326"/>
      <c r="E17261" s="326"/>
      <c r="F17261" s="326"/>
      <c r="G17261" s="326"/>
      <c r="H17261" s="326"/>
      <c r="P17261" s="318"/>
      <c r="Q17261" s="318"/>
      <c r="R17261" s="318"/>
      <c r="S17261" s="318"/>
      <c r="T17261" s="318"/>
      <c r="U17261" s="318"/>
      <c r="V17261" s="318"/>
      <c r="W17261" s="318"/>
      <c r="X17261" s="318"/>
      <c r="Y17261" s="318"/>
      <c r="Z17261" s="318"/>
      <c r="AA17261" s="318"/>
      <c r="AB17261" s="318"/>
      <c r="AC17261" s="318"/>
      <c r="AD17261" s="318"/>
    </row>
    <row r="17262" spans="2:30" s="323" customFormat="1" ht="12" customHeight="1">
      <c r="B17262" s="324"/>
      <c r="C17262" s="325"/>
      <c r="D17262" s="326"/>
      <c r="E17262" s="326"/>
      <c r="F17262" s="326"/>
      <c r="G17262" s="326"/>
      <c r="H17262" s="326"/>
      <c r="P17262" s="318"/>
      <c r="Q17262" s="318"/>
      <c r="R17262" s="318"/>
      <c r="S17262" s="318"/>
      <c r="T17262" s="318"/>
      <c r="U17262" s="318"/>
      <c r="V17262" s="318"/>
      <c r="W17262" s="318"/>
      <c r="X17262" s="318"/>
      <c r="Y17262" s="318"/>
      <c r="Z17262" s="318"/>
      <c r="AA17262" s="318"/>
      <c r="AB17262" s="318"/>
      <c r="AC17262" s="318"/>
      <c r="AD17262" s="318"/>
    </row>
    <row r="17263" spans="2:30" s="323" customFormat="1" ht="12" customHeight="1">
      <c r="B17263" s="324"/>
      <c r="C17263" s="325"/>
      <c r="D17263" s="326"/>
      <c r="E17263" s="326"/>
      <c r="F17263" s="326"/>
      <c r="G17263" s="326"/>
      <c r="H17263" s="326"/>
      <c r="P17263" s="318"/>
      <c r="Q17263" s="318"/>
      <c r="R17263" s="318"/>
      <c r="S17263" s="318"/>
      <c r="T17263" s="318"/>
      <c r="U17263" s="318"/>
      <c r="V17263" s="318"/>
      <c r="W17263" s="318"/>
      <c r="X17263" s="318"/>
      <c r="Y17263" s="318"/>
      <c r="Z17263" s="318"/>
      <c r="AA17263" s="318"/>
      <c r="AB17263" s="318"/>
      <c r="AC17263" s="318"/>
      <c r="AD17263" s="318"/>
    </row>
    <row r="17264" spans="2:30" s="323" customFormat="1" ht="12" customHeight="1">
      <c r="B17264" s="324"/>
      <c r="C17264" s="325"/>
      <c r="D17264" s="326"/>
      <c r="E17264" s="326"/>
      <c r="F17264" s="326"/>
      <c r="G17264" s="326"/>
      <c r="H17264" s="326"/>
      <c r="P17264" s="318"/>
      <c r="Q17264" s="318"/>
      <c r="R17264" s="318"/>
      <c r="S17264" s="318"/>
      <c r="T17264" s="318"/>
      <c r="U17264" s="318"/>
      <c r="V17264" s="318"/>
      <c r="W17264" s="318"/>
      <c r="X17264" s="318"/>
      <c r="Y17264" s="318"/>
      <c r="Z17264" s="318"/>
      <c r="AA17264" s="318"/>
      <c r="AB17264" s="318"/>
      <c r="AC17264" s="318"/>
      <c r="AD17264" s="318"/>
    </row>
    <row r="17265" spans="2:30" s="323" customFormat="1" ht="12" customHeight="1">
      <c r="B17265" s="324"/>
      <c r="C17265" s="325"/>
      <c r="D17265" s="326"/>
      <c r="E17265" s="326"/>
      <c r="F17265" s="326"/>
      <c r="G17265" s="326"/>
      <c r="H17265" s="326"/>
      <c r="P17265" s="318"/>
      <c r="Q17265" s="318"/>
      <c r="R17265" s="318"/>
      <c r="S17265" s="318"/>
      <c r="T17265" s="318"/>
      <c r="U17265" s="318"/>
      <c r="V17265" s="318"/>
      <c r="W17265" s="318"/>
      <c r="X17265" s="318"/>
      <c r="Y17265" s="318"/>
      <c r="Z17265" s="318"/>
      <c r="AA17265" s="318"/>
      <c r="AB17265" s="318"/>
      <c r="AC17265" s="318"/>
      <c r="AD17265" s="318"/>
    </row>
    <row r="17266" spans="2:30" s="323" customFormat="1" ht="12" customHeight="1">
      <c r="B17266" s="324"/>
      <c r="C17266" s="325"/>
      <c r="D17266" s="326"/>
      <c r="E17266" s="326"/>
      <c r="F17266" s="326"/>
      <c r="G17266" s="326"/>
      <c r="H17266" s="326"/>
      <c r="P17266" s="318"/>
      <c r="Q17266" s="318"/>
      <c r="R17266" s="318"/>
      <c r="S17266" s="318"/>
      <c r="T17266" s="318"/>
      <c r="U17266" s="318"/>
      <c r="V17266" s="318"/>
      <c r="W17266" s="318"/>
      <c r="X17266" s="318"/>
      <c r="Y17266" s="318"/>
      <c r="Z17266" s="318"/>
      <c r="AA17266" s="318"/>
      <c r="AB17266" s="318"/>
      <c r="AC17266" s="318"/>
      <c r="AD17266" s="318"/>
    </row>
    <row r="17267" spans="2:30" s="323" customFormat="1" ht="12" customHeight="1">
      <c r="B17267" s="324"/>
      <c r="C17267" s="325"/>
      <c r="D17267" s="326"/>
      <c r="E17267" s="326"/>
      <c r="F17267" s="326"/>
      <c r="G17267" s="326"/>
      <c r="H17267" s="326"/>
      <c r="P17267" s="318"/>
      <c r="Q17267" s="318"/>
      <c r="R17267" s="318"/>
      <c r="S17267" s="318"/>
      <c r="T17267" s="318"/>
      <c r="U17267" s="318"/>
      <c r="V17267" s="318"/>
      <c r="W17267" s="318"/>
      <c r="X17267" s="318"/>
      <c r="Y17267" s="318"/>
      <c r="Z17267" s="318"/>
      <c r="AA17267" s="318"/>
      <c r="AB17267" s="318"/>
      <c r="AC17267" s="318"/>
      <c r="AD17267" s="318"/>
    </row>
    <row r="17268" spans="2:30" s="323" customFormat="1" ht="12" customHeight="1">
      <c r="B17268" s="324"/>
      <c r="C17268" s="325"/>
      <c r="D17268" s="326"/>
      <c r="E17268" s="326"/>
      <c r="F17268" s="326"/>
      <c r="G17268" s="326"/>
      <c r="H17268" s="326"/>
      <c r="P17268" s="318"/>
      <c r="Q17268" s="318"/>
      <c r="R17268" s="318"/>
      <c r="S17268" s="318"/>
      <c r="T17268" s="318"/>
      <c r="U17268" s="318"/>
      <c r="V17268" s="318"/>
      <c r="W17268" s="318"/>
      <c r="X17268" s="318"/>
      <c r="Y17268" s="318"/>
      <c r="Z17268" s="318"/>
      <c r="AA17268" s="318"/>
      <c r="AB17268" s="318"/>
      <c r="AC17268" s="318"/>
      <c r="AD17268" s="318"/>
    </row>
    <row r="17269" spans="2:30" s="323" customFormat="1" ht="12" customHeight="1">
      <c r="B17269" s="324"/>
      <c r="C17269" s="325"/>
      <c r="D17269" s="326"/>
      <c r="E17269" s="326"/>
      <c r="F17269" s="326"/>
      <c r="G17269" s="326"/>
      <c r="H17269" s="326"/>
      <c r="P17269" s="318"/>
      <c r="Q17269" s="318"/>
      <c r="R17269" s="318"/>
      <c r="S17269" s="318"/>
      <c r="T17269" s="318"/>
      <c r="U17269" s="318"/>
      <c r="V17269" s="318"/>
      <c r="W17269" s="318"/>
      <c r="X17269" s="318"/>
      <c r="Y17269" s="318"/>
      <c r="Z17269" s="318"/>
      <c r="AA17269" s="318"/>
      <c r="AB17269" s="318"/>
      <c r="AC17269" s="318"/>
      <c r="AD17269" s="318"/>
    </row>
    <row r="17270" spans="2:30" s="323" customFormat="1" ht="12" customHeight="1">
      <c r="B17270" s="324"/>
      <c r="C17270" s="325"/>
      <c r="D17270" s="326"/>
      <c r="E17270" s="326"/>
      <c r="F17270" s="326"/>
      <c r="G17270" s="326"/>
      <c r="H17270" s="326"/>
      <c r="P17270" s="318"/>
      <c r="Q17270" s="318"/>
      <c r="R17270" s="318"/>
      <c r="S17270" s="318"/>
      <c r="T17270" s="318"/>
      <c r="U17270" s="318"/>
      <c r="V17270" s="318"/>
      <c r="W17270" s="318"/>
      <c r="X17270" s="318"/>
      <c r="Y17270" s="318"/>
      <c r="Z17270" s="318"/>
      <c r="AA17270" s="318"/>
      <c r="AB17270" s="318"/>
      <c r="AC17270" s="318"/>
      <c r="AD17270" s="318"/>
    </row>
    <row r="17271" spans="2:30" s="323" customFormat="1" ht="12" customHeight="1">
      <c r="B17271" s="324"/>
      <c r="C17271" s="325"/>
      <c r="D17271" s="326"/>
      <c r="E17271" s="326"/>
      <c r="F17271" s="326"/>
      <c r="G17271" s="326"/>
      <c r="H17271" s="326"/>
      <c r="P17271" s="318"/>
      <c r="Q17271" s="318"/>
      <c r="R17271" s="318"/>
      <c r="S17271" s="318"/>
      <c r="T17271" s="318"/>
      <c r="U17271" s="318"/>
      <c r="V17271" s="318"/>
      <c r="W17271" s="318"/>
      <c r="X17271" s="318"/>
      <c r="Y17271" s="318"/>
      <c r="Z17271" s="318"/>
      <c r="AA17271" s="318"/>
      <c r="AB17271" s="318"/>
      <c r="AC17271" s="318"/>
      <c r="AD17271" s="318"/>
    </row>
    <row r="17272" spans="2:30" s="323" customFormat="1" ht="12" customHeight="1">
      <c r="B17272" s="324"/>
      <c r="C17272" s="325"/>
      <c r="D17272" s="326"/>
      <c r="E17272" s="326"/>
      <c r="F17272" s="326"/>
      <c r="G17272" s="326"/>
      <c r="H17272" s="326"/>
      <c r="P17272" s="318"/>
      <c r="Q17272" s="318"/>
      <c r="R17272" s="318"/>
      <c r="S17272" s="318"/>
      <c r="T17272" s="318"/>
      <c r="U17272" s="318"/>
      <c r="V17272" s="318"/>
      <c r="W17272" s="318"/>
      <c r="X17272" s="318"/>
      <c r="Y17272" s="318"/>
      <c r="Z17272" s="318"/>
      <c r="AA17272" s="318"/>
      <c r="AB17272" s="318"/>
      <c r="AC17272" s="318"/>
      <c r="AD17272" s="318"/>
    </row>
    <row r="17273" spans="2:30" s="323" customFormat="1" ht="12" customHeight="1">
      <c r="B17273" s="324"/>
      <c r="C17273" s="325"/>
      <c r="D17273" s="326"/>
      <c r="E17273" s="326"/>
      <c r="F17273" s="326"/>
      <c r="G17273" s="326"/>
      <c r="H17273" s="326"/>
      <c r="P17273" s="318"/>
      <c r="Q17273" s="318"/>
      <c r="R17273" s="318"/>
      <c r="S17273" s="318"/>
      <c r="T17273" s="318"/>
      <c r="U17273" s="318"/>
      <c r="V17273" s="318"/>
      <c r="W17273" s="318"/>
      <c r="X17273" s="318"/>
      <c r="Y17273" s="318"/>
      <c r="Z17273" s="318"/>
      <c r="AA17273" s="318"/>
      <c r="AB17273" s="318"/>
      <c r="AC17273" s="318"/>
      <c r="AD17273" s="318"/>
    </row>
    <row r="17274" spans="2:30" s="323" customFormat="1" ht="12" customHeight="1">
      <c r="B17274" s="324"/>
      <c r="C17274" s="325"/>
      <c r="D17274" s="326"/>
      <c r="E17274" s="326"/>
      <c r="F17274" s="326"/>
      <c r="G17274" s="326"/>
      <c r="H17274" s="326"/>
      <c r="P17274" s="318"/>
      <c r="Q17274" s="318"/>
      <c r="R17274" s="318"/>
      <c r="S17274" s="318"/>
      <c r="T17274" s="318"/>
      <c r="U17274" s="318"/>
      <c r="V17274" s="318"/>
      <c r="W17274" s="318"/>
      <c r="X17274" s="318"/>
      <c r="Y17274" s="318"/>
      <c r="Z17274" s="318"/>
      <c r="AA17274" s="318"/>
      <c r="AB17274" s="318"/>
      <c r="AC17274" s="318"/>
      <c r="AD17274" s="318"/>
    </row>
    <row r="17275" spans="2:30" s="323" customFormat="1" ht="12" customHeight="1">
      <c r="B17275" s="324"/>
      <c r="C17275" s="325"/>
      <c r="D17275" s="326"/>
      <c r="E17275" s="326"/>
      <c r="F17275" s="326"/>
      <c r="G17275" s="326"/>
      <c r="H17275" s="326"/>
      <c r="P17275" s="318"/>
      <c r="Q17275" s="318"/>
      <c r="R17275" s="318"/>
      <c r="S17275" s="318"/>
      <c r="T17275" s="318"/>
      <c r="U17275" s="318"/>
      <c r="V17275" s="318"/>
      <c r="W17275" s="318"/>
      <c r="X17275" s="318"/>
      <c r="Y17275" s="318"/>
      <c r="Z17275" s="318"/>
      <c r="AA17275" s="318"/>
      <c r="AB17275" s="318"/>
      <c r="AC17275" s="318"/>
      <c r="AD17275" s="318"/>
    </row>
    <row r="17276" spans="2:30" s="323" customFormat="1" ht="12" customHeight="1">
      <c r="B17276" s="324"/>
      <c r="C17276" s="325"/>
      <c r="D17276" s="326"/>
      <c r="E17276" s="326"/>
      <c r="F17276" s="326"/>
      <c r="G17276" s="326"/>
      <c r="H17276" s="326"/>
      <c r="P17276" s="318"/>
      <c r="Q17276" s="318"/>
      <c r="R17276" s="318"/>
      <c r="S17276" s="318"/>
      <c r="T17276" s="318"/>
      <c r="U17276" s="318"/>
      <c r="V17276" s="318"/>
      <c r="W17276" s="318"/>
      <c r="X17276" s="318"/>
      <c r="Y17276" s="318"/>
      <c r="Z17276" s="318"/>
      <c r="AA17276" s="318"/>
      <c r="AB17276" s="318"/>
      <c r="AC17276" s="318"/>
      <c r="AD17276" s="318"/>
    </row>
    <row r="17277" spans="2:30" s="323" customFormat="1" ht="12" customHeight="1">
      <c r="B17277" s="324"/>
      <c r="C17277" s="325"/>
      <c r="D17277" s="326"/>
      <c r="E17277" s="326"/>
      <c r="F17277" s="326"/>
      <c r="G17277" s="326"/>
      <c r="H17277" s="326"/>
      <c r="P17277" s="318"/>
      <c r="Q17277" s="318"/>
      <c r="R17277" s="318"/>
      <c r="S17277" s="318"/>
      <c r="T17277" s="318"/>
      <c r="U17277" s="318"/>
      <c r="V17277" s="318"/>
      <c r="W17277" s="318"/>
      <c r="X17277" s="318"/>
      <c r="Y17277" s="318"/>
      <c r="Z17277" s="318"/>
      <c r="AA17277" s="318"/>
      <c r="AB17277" s="318"/>
      <c r="AC17277" s="318"/>
      <c r="AD17277" s="318"/>
    </row>
    <row r="17278" spans="2:30" s="323" customFormat="1" ht="12" customHeight="1">
      <c r="B17278" s="324"/>
      <c r="C17278" s="325"/>
      <c r="D17278" s="326"/>
      <c r="E17278" s="326"/>
      <c r="F17278" s="326"/>
      <c r="G17278" s="326"/>
      <c r="H17278" s="326"/>
      <c r="P17278" s="318"/>
      <c r="Q17278" s="318"/>
      <c r="R17278" s="318"/>
      <c r="S17278" s="318"/>
      <c r="T17278" s="318"/>
      <c r="U17278" s="318"/>
      <c r="V17278" s="318"/>
      <c r="W17278" s="318"/>
      <c r="X17278" s="318"/>
      <c r="Y17278" s="318"/>
      <c r="Z17278" s="318"/>
      <c r="AA17278" s="318"/>
      <c r="AB17278" s="318"/>
      <c r="AC17278" s="318"/>
      <c r="AD17278" s="318"/>
    </row>
    <row r="17279" spans="2:30" s="323" customFormat="1" ht="12" customHeight="1">
      <c r="B17279" s="324"/>
      <c r="C17279" s="325"/>
      <c r="D17279" s="326"/>
      <c r="E17279" s="326"/>
      <c r="F17279" s="326"/>
      <c r="G17279" s="326"/>
      <c r="H17279" s="326"/>
      <c r="P17279" s="318"/>
      <c r="Q17279" s="318"/>
      <c r="R17279" s="318"/>
      <c r="S17279" s="318"/>
      <c r="T17279" s="318"/>
      <c r="U17279" s="318"/>
      <c r="V17279" s="318"/>
      <c r="W17279" s="318"/>
      <c r="X17279" s="318"/>
      <c r="Y17279" s="318"/>
      <c r="Z17279" s="318"/>
      <c r="AA17279" s="318"/>
      <c r="AB17279" s="318"/>
      <c r="AC17279" s="318"/>
      <c r="AD17279" s="318"/>
    </row>
    <row r="17280" spans="2:30" s="323" customFormat="1" ht="12" customHeight="1">
      <c r="B17280" s="324"/>
      <c r="C17280" s="325"/>
      <c r="D17280" s="326"/>
      <c r="E17280" s="326"/>
      <c r="F17280" s="326"/>
      <c r="G17280" s="326"/>
      <c r="H17280" s="326"/>
      <c r="P17280" s="318"/>
      <c r="Q17280" s="318"/>
      <c r="R17280" s="318"/>
      <c r="S17280" s="318"/>
      <c r="T17280" s="318"/>
      <c r="U17280" s="318"/>
      <c r="V17280" s="318"/>
      <c r="W17280" s="318"/>
      <c r="X17280" s="318"/>
      <c r="Y17280" s="318"/>
      <c r="Z17280" s="318"/>
      <c r="AA17280" s="318"/>
      <c r="AB17280" s="318"/>
      <c r="AC17280" s="318"/>
      <c r="AD17280" s="318"/>
    </row>
    <row r="17281" spans="2:30" s="323" customFormat="1" ht="12" customHeight="1">
      <c r="B17281" s="324"/>
      <c r="C17281" s="325"/>
      <c r="D17281" s="326"/>
      <c r="E17281" s="326"/>
      <c r="F17281" s="326"/>
      <c r="G17281" s="326"/>
      <c r="H17281" s="326"/>
      <c r="P17281" s="318"/>
      <c r="Q17281" s="318"/>
      <c r="R17281" s="318"/>
      <c r="S17281" s="318"/>
      <c r="T17281" s="318"/>
      <c r="U17281" s="318"/>
      <c r="V17281" s="318"/>
      <c r="W17281" s="318"/>
      <c r="X17281" s="318"/>
      <c r="Y17281" s="318"/>
      <c r="Z17281" s="318"/>
      <c r="AA17281" s="318"/>
      <c r="AB17281" s="318"/>
      <c r="AC17281" s="318"/>
      <c r="AD17281" s="318"/>
    </row>
    <row r="17282" spans="2:30" s="323" customFormat="1" ht="12" customHeight="1">
      <c r="B17282" s="324"/>
      <c r="C17282" s="325"/>
      <c r="D17282" s="326"/>
      <c r="E17282" s="326"/>
      <c r="F17282" s="326"/>
      <c r="G17282" s="326"/>
      <c r="H17282" s="326"/>
      <c r="P17282" s="318"/>
      <c r="Q17282" s="318"/>
      <c r="R17282" s="318"/>
      <c r="S17282" s="318"/>
      <c r="T17282" s="318"/>
      <c r="U17282" s="318"/>
      <c r="V17282" s="318"/>
      <c r="W17282" s="318"/>
      <c r="X17282" s="318"/>
      <c r="Y17282" s="318"/>
      <c r="Z17282" s="318"/>
      <c r="AA17282" s="318"/>
      <c r="AB17282" s="318"/>
      <c r="AC17282" s="318"/>
      <c r="AD17282" s="318"/>
    </row>
    <row r="17283" spans="2:30" s="323" customFormat="1" ht="12" customHeight="1">
      <c r="B17283" s="324"/>
      <c r="C17283" s="325"/>
      <c r="D17283" s="326"/>
      <c r="E17283" s="326"/>
      <c r="F17283" s="326"/>
      <c r="G17283" s="326"/>
      <c r="H17283" s="326"/>
      <c r="P17283" s="318"/>
      <c r="Q17283" s="318"/>
      <c r="R17283" s="318"/>
      <c r="S17283" s="318"/>
      <c r="T17283" s="318"/>
      <c r="U17283" s="318"/>
      <c r="V17283" s="318"/>
      <c r="W17283" s="318"/>
      <c r="X17283" s="318"/>
      <c r="Y17283" s="318"/>
      <c r="Z17283" s="318"/>
      <c r="AA17283" s="318"/>
      <c r="AB17283" s="318"/>
      <c r="AC17283" s="318"/>
      <c r="AD17283" s="318"/>
    </row>
    <row r="17284" spans="2:30" s="323" customFormat="1" ht="12" customHeight="1">
      <c r="B17284" s="324"/>
      <c r="C17284" s="325"/>
      <c r="D17284" s="326"/>
      <c r="E17284" s="326"/>
      <c r="F17284" s="326"/>
      <c r="G17284" s="326"/>
      <c r="H17284" s="326"/>
      <c r="P17284" s="318"/>
      <c r="Q17284" s="318"/>
      <c r="R17284" s="318"/>
      <c r="S17284" s="318"/>
      <c r="T17284" s="318"/>
      <c r="U17284" s="318"/>
      <c r="V17284" s="318"/>
      <c r="W17284" s="318"/>
      <c r="X17284" s="318"/>
      <c r="Y17284" s="318"/>
      <c r="Z17284" s="318"/>
      <c r="AA17284" s="318"/>
      <c r="AB17284" s="318"/>
      <c r="AC17284" s="318"/>
      <c r="AD17284" s="318"/>
    </row>
    <row r="17285" spans="2:30" s="323" customFormat="1" ht="12" customHeight="1">
      <c r="B17285" s="324"/>
      <c r="C17285" s="325"/>
      <c r="D17285" s="326"/>
      <c r="E17285" s="326"/>
      <c r="F17285" s="326"/>
      <c r="G17285" s="326"/>
      <c r="H17285" s="326"/>
      <c r="P17285" s="318"/>
      <c r="Q17285" s="318"/>
      <c r="R17285" s="318"/>
      <c r="S17285" s="318"/>
      <c r="T17285" s="318"/>
      <c r="U17285" s="318"/>
      <c r="V17285" s="318"/>
      <c r="W17285" s="318"/>
      <c r="X17285" s="318"/>
      <c r="Y17285" s="318"/>
      <c r="Z17285" s="318"/>
      <c r="AA17285" s="318"/>
      <c r="AB17285" s="318"/>
      <c r="AC17285" s="318"/>
      <c r="AD17285" s="318"/>
    </row>
    <row r="17286" spans="2:30" s="323" customFormat="1" ht="12" customHeight="1">
      <c r="B17286" s="324"/>
      <c r="C17286" s="325"/>
      <c r="D17286" s="326"/>
      <c r="E17286" s="326"/>
      <c r="F17286" s="326"/>
      <c r="G17286" s="326"/>
      <c r="H17286" s="326"/>
      <c r="P17286" s="318"/>
      <c r="Q17286" s="318"/>
      <c r="R17286" s="318"/>
      <c r="S17286" s="318"/>
      <c r="T17286" s="318"/>
      <c r="U17286" s="318"/>
      <c r="V17286" s="318"/>
      <c r="W17286" s="318"/>
      <c r="X17286" s="318"/>
      <c r="Y17286" s="318"/>
      <c r="Z17286" s="318"/>
      <c r="AA17286" s="318"/>
      <c r="AB17286" s="318"/>
      <c r="AC17286" s="318"/>
      <c r="AD17286" s="318"/>
    </row>
    <row r="17287" spans="2:30" s="323" customFormat="1" ht="12" customHeight="1">
      <c r="B17287" s="324"/>
      <c r="C17287" s="325"/>
      <c r="D17287" s="326"/>
      <c r="E17287" s="326"/>
      <c r="F17287" s="326"/>
      <c r="G17287" s="326"/>
      <c r="H17287" s="326"/>
      <c r="P17287" s="318"/>
      <c r="Q17287" s="318"/>
      <c r="R17287" s="318"/>
      <c r="S17287" s="318"/>
      <c r="T17287" s="318"/>
      <c r="U17287" s="318"/>
      <c r="V17287" s="318"/>
      <c r="W17287" s="318"/>
      <c r="X17287" s="318"/>
      <c r="Y17287" s="318"/>
      <c r="Z17287" s="318"/>
      <c r="AA17287" s="318"/>
      <c r="AB17287" s="318"/>
      <c r="AC17287" s="318"/>
      <c r="AD17287" s="318"/>
    </row>
    <row r="17288" spans="2:30" s="323" customFormat="1" ht="12" customHeight="1">
      <c r="B17288" s="324"/>
      <c r="C17288" s="325"/>
      <c r="D17288" s="326"/>
      <c r="E17288" s="326"/>
      <c r="F17288" s="326"/>
      <c r="G17288" s="326"/>
      <c r="H17288" s="326"/>
      <c r="P17288" s="318"/>
      <c r="Q17288" s="318"/>
      <c r="R17288" s="318"/>
      <c r="S17288" s="318"/>
      <c r="T17288" s="318"/>
      <c r="U17288" s="318"/>
      <c r="V17288" s="318"/>
      <c r="W17288" s="318"/>
      <c r="X17288" s="318"/>
      <c r="Y17288" s="318"/>
      <c r="Z17288" s="318"/>
      <c r="AA17288" s="318"/>
      <c r="AB17288" s="318"/>
      <c r="AC17288" s="318"/>
      <c r="AD17288" s="318"/>
    </row>
    <row r="17289" spans="2:30" s="323" customFormat="1" ht="12" customHeight="1">
      <c r="B17289" s="324"/>
      <c r="C17289" s="325"/>
      <c r="D17289" s="326"/>
      <c r="E17289" s="326"/>
      <c r="F17289" s="326"/>
      <c r="G17289" s="326"/>
      <c r="H17289" s="326"/>
      <c r="P17289" s="318"/>
      <c r="Q17289" s="318"/>
      <c r="R17289" s="318"/>
      <c r="S17289" s="318"/>
      <c r="T17289" s="318"/>
      <c r="U17289" s="318"/>
      <c r="V17289" s="318"/>
      <c r="W17289" s="318"/>
      <c r="X17289" s="318"/>
      <c r="Y17289" s="318"/>
      <c r="Z17289" s="318"/>
      <c r="AA17289" s="318"/>
      <c r="AB17289" s="318"/>
      <c r="AC17289" s="318"/>
      <c r="AD17289" s="318"/>
    </row>
    <row r="17290" spans="2:30" s="323" customFormat="1" ht="12" customHeight="1">
      <c r="B17290" s="324"/>
      <c r="C17290" s="325"/>
      <c r="D17290" s="326"/>
      <c r="E17290" s="326"/>
      <c r="F17290" s="326"/>
      <c r="G17290" s="326"/>
      <c r="H17290" s="326"/>
      <c r="P17290" s="318"/>
      <c r="Q17290" s="318"/>
      <c r="R17290" s="318"/>
      <c r="S17290" s="318"/>
      <c r="T17290" s="318"/>
      <c r="U17290" s="318"/>
      <c r="V17290" s="318"/>
      <c r="W17290" s="318"/>
      <c r="X17290" s="318"/>
      <c r="Y17290" s="318"/>
      <c r="Z17290" s="318"/>
      <c r="AA17290" s="318"/>
      <c r="AB17290" s="318"/>
      <c r="AC17290" s="318"/>
      <c r="AD17290" s="318"/>
    </row>
    <row r="17291" spans="2:30" s="323" customFormat="1" ht="12" customHeight="1">
      <c r="B17291" s="324"/>
      <c r="C17291" s="325"/>
      <c r="D17291" s="326"/>
      <c r="E17291" s="326"/>
      <c r="F17291" s="326"/>
      <c r="G17291" s="326"/>
      <c r="H17291" s="326"/>
      <c r="P17291" s="318"/>
      <c r="Q17291" s="318"/>
      <c r="R17291" s="318"/>
      <c r="S17291" s="318"/>
      <c r="T17291" s="318"/>
      <c r="U17291" s="318"/>
      <c r="V17291" s="318"/>
      <c r="W17291" s="318"/>
      <c r="X17291" s="318"/>
      <c r="Y17291" s="318"/>
      <c r="Z17291" s="318"/>
      <c r="AA17291" s="318"/>
      <c r="AB17291" s="318"/>
      <c r="AC17291" s="318"/>
      <c r="AD17291" s="318"/>
    </row>
    <row r="17292" spans="2:30" s="323" customFormat="1" ht="12" customHeight="1">
      <c r="B17292" s="324"/>
      <c r="C17292" s="325"/>
      <c r="D17292" s="326"/>
      <c r="E17292" s="326"/>
      <c r="F17292" s="326"/>
      <c r="G17292" s="326"/>
      <c r="H17292" s="326"/>
      <c r="P17292" s="318"/>
      <c r="Q17292" s="318"/>
      <c r="R17292" s="318"/>
      <c r="S17292" s="318"/>
      <c r="T17292" s="318"/>
      <c r="U17292" s="318"/>
      <c r="V17292" s="318"/>
      <c r="W17292" s="318"/>
      <c r="X17292" s="318"/>
      <c r="Y17292" s="318"/>
      <c r="Z17292" s="318"/>
      <c r="AA17292" s="318"/>
      <c r="AB17292" s="318"/>
      <c r="AC17292" s="318"/>
      <c r="AD17292" s="318"/>
    </row>
    <row r="17293" spans="2:30" s="323" customFormat="1" ht="12" customHeight="1">
      <c r="B17293" s="324"/>
      <c r="C17293" s="325"/>
      <c r="D17293" s="326"/>
      <c r="E17293" s="326"/>
      <c r="F17293" s="326"/>
      <c r="G17293" s="326"/>
      <c r="H17293" s="326"/>
      <c r="P17293" s="318"/>
      <c r="Q17293" s="318"/>
      <c r="R17293" s="318"/>
      <c r="S17293" s="318"/>
      <c r="T17293" s="318"/>
      <c r="U17293" s="318"/>
      <c r="V17293" s="318"/>
      <c r="W17293" s="318"/>
      <c r="X17293" s="318"/>
      <c r="Y17293" s="318"/>
      <c r="Z17293" s="318"/>
      <c r="AA17293" s="318"/>
      <c r="AB17293" s="318"/>
      <c r="AC17293" s="318"/>
      <c r="AD17293" s="318"/>
    </row>
    <row r="17294" spans="2:30" s="323" customFormat="1" ht="12" customHeight="1">
      <c r="B17294" s="324"/>
      <c r="C17294" s="325"/>
      <c r="D17294" s="326"/>
      <c r="E17294" s="326"/>
      <c r="F17294" s="326"/>
      <c r="G17294" s="326"/>
      <c r="H17294" s="326"/>
      <c r="P17294" s="318"/>
      <c r="Q17294" s="318"/>
      <c r="R17294" s="318"/>
      <c r="S17294" s="318"/>
      <c r="T17294" s="318"/>
      <c r="U17294" s="318"/>
      <c r="V17294" s="318"/>
      <c r="W17294" s="318"/>
      <c r="X17294" s="318"/>
      <c r="Y17294" s="318"/>
      <c r="Z17294" s="318"/>
      <c r="AA17294" s="318"/>
      <c r="AB17294" s="318"/>
      <c r="AC17294" s="318"/>
      <c r="AD17294" s="318"/>
    </row>
    <row r="17295" spans="2:30" s="323" customFormat="1" ht="12" customHeight="1">
      <c r="B17295" s="324"/>
      <c r="C17295" s="325"/>
      <c r="D17295" s="326"/>
      <c r="E17295" s="326"/>
      <c r="F17295" s="326"/>
      <c r="G17295" s="326"/>
      <c r="H17295" s="326"/>
      <c r="P17295" s="318"/>
      <c r="Q17295" s="318"/>
      <c r="R17295" s="318"/>
      <c r="S17295" s="318"/>
      <c r="T17295" s="318"/>
      <c r="U17295" s="318"/>
      <c r="V17295" s="318"/>
      <c r="W17295" s="318"/>
      <c r="X17295" s="318"/>
      <c r="Y17295" s="318"/>
      <c r="Z17295" s="318"/>
      <c r="AA17295" s="318"/>
      <c r="AB17295" s="318"/>
      <c r="AC17295" s="318"/>
      <c r="AD17295" s="318"/>
    </row>
    <row r="17296" spans="2:30" s="323" customFormat="1" ht="12" customHeight="1">
      <c r="B17296" s="324"/>
      <c r="C17296" s="325"/>
      <c r="D17296" s="326"/>
      <c r="E17296" s="326"/>
      <c r="F17296" s="326"/>
      <c r="G17296" s="326"/>
      <c r="H17296" s="326"/>
      <c r="P17296" s="318"/>
      <c r="Q17296" s="318"/>
      <c r="R17296" s="318"/>
      <c r="S17296" s="318"/>
      <c r="T17296" s="318"/>
      <c r="U17296" s="318"/>
      <c r="V17296" s="318"/>
      <c r="W17296" s="318"/>
      <c r="X17296" s="318"/>
      <c r="Y17296" s="318"/>
      <c r="Z17296" s="318"/>
      <c r="AA17296" s="318"/>
      <c r="AB17296" s="318"/>
      <c r="AC17296" s="318"/>
      <c r="AD17296" s="318"/>
    </row>
    <row r="17297" spans="2:30" s="323" customFormat="1" ht="12" customHeight="1">
      <c r="B17297" s="324"/>
      <c r="C17297" s="325"/>
      <c r="D17297" s="326"/>
      <c r="E17297" s="326"/>
      <c r="F17297" s="326"/>
      <c r="G17297" s="326"/>
      <c r="H17297" s="326"/>
      <c r="P17297" s="318"/>
      <c r="Q17297" s="318"/>
      <c r="R17297" s="318"/>
      <c r="S17297" s="318"/>
      <c r="T17297" s="318"/>
      <c r="U17297" s="318"/>
      <c r="V17297" s="318"/>
      <c r="W17297" s="318"/>
      <c r="X17297" s="318"/>
      <c r="Y17297" s="318"/>
      <c r="Z17297" s="318"/>
      <c r="AA17297" s="318"/>
      <c r="AB17297" s="318"/>
      <c r="AC17297" s="318"/>
      <c r="AD17297" s="318"/>
    </row>
    <row r="17298" spans="2:30" s="323" customFormat="1" ht="12" customHeight="1">
      <c r="B17298" s="324"/>
      <c r="C17298" s="325"/>
      <c r="D17298" s="326"/>
      <c r="E17298" s="326"/>
      <c r="F17298" s="326"/>
      <c r="G17298" s="326"/>
      <c r="H17298" s="326"/>
      <c r="P17298" s="318"/>
      <c r="Q17298" s="318"/>
      <c r="R17298" s="318"/>
      <c r="S17298" s="318"/>
      <c r="T17298" s="318"/>
      <c r="U17298" s="318"/>
      <c r="V17298" s="318"/>
      <c r="W17298" s="318"/>
      <c r="X17298" s="318"/>
      <c r="Y17298" s="318"/>
      <c r="Z17298" s="318"/>
      <c r="AA17298" s="318"/>
      <c r="AB17298" s="318"/>
      <c r="AC17298" s="318"/>
      <c r="AD17298" s="318"/>
    </row>
    <row r="17299" spans="2:30" s="323" customFormat="1" ht="12" customHeight="1">
      <c r="B17299" s="324"/>
      <c r="C17299" s="325"/>
      <c r="D17299" s="326"/>
      <c r="E17299" s="326"/>
      <c r="F17299" s="326"/>
      <c r="G17299" s="326"/>
      <c r="H17299" s="326"/>
      <c r="P17299" s="318"/>
      <c r="Q17299" s="318"/>
      <c r="R17299" s="318"/>
      <c r="S17299" s="318"/>
      <c r="T17299" s="318"/>
      <c r="U17299" s="318"/>
      <c r="V17299" s="318"/>
      <c r="W17299" s="318"/>
      <c r="X17299" s="318"/>
      <c r="Y17299" s="318"/>
      <c r="Z17299" s="318"/>
      <c r="AA17299" s="318"/>
      <c r="AB17299" s="318"/>
      <c r="AC17299" s="318"/>
      <c r="AD17299" s="318"/>
    </row>
    <row r="17300" spans="2:30" s="323" customFormat="1" ht="12" customHeight="1">
      <c r="B17300" s="324"/>
      <c r="C17300" s="325"/>
      <c r="D17300" s="326"/>
      <c r="E17300" s="326"/>
      <c r="F17300" s="326"/>
      <c r="G17300" s="326"/>
      <c r="H17300" s="326"/>
      <c r="P17300" s="318"/>
      <c r="Q17300" s="318"/>
      <c r="R17300" s="318"/>
      <c r="S17300" s="318"/>
      <c r="T17300" s="318"/>
      <c r="U17300" s="318"/>
      <c r="V17300" s="318"/>
      <c r="W17300" s="318"/>
      <c r="X17300" s="318"/>
      <c r="Y17300" s="318"/>
      <c r="Z17300" s="318"/>
      <c r="AA17300" s="318"/>
      <c r="AB17300" s="318"/>
      <c r="AC17300" s="318"/>
      <c r="AD17300" s="318"/>
    </row>
    <row r="17301" spans="2:30" s="323" customFormat="1" ht="12" customHeight="1">
      <c r="B17301" s="324"/>
      <c r="C17301" s="325"/>
      <c r="D17301" s="326"/>
      <c r="E17301" s="326"/>
      <c r="F17301" s="326"/>
      <c r="G17301" s="326"/>
      <c r="H17301" s="326"/>
      <c r="P17301" s="318"/>
      <c r="Q17301" s="318"/>
      <c r="R17301" s="318"/>
      <c r="S17301" s="318"/>
      <c r="T17301" s="318"/>
      <c r="U17301" s="318"/>
      <c r="V17301" s="318"/>
      <c r="W17301" s="318"/>
      <c r="X17301" s="318"/>
      <c r="Y17301" s="318"/>
      <c r="Z17301" s="318"/>
      <c r="AA17301" s="318"/>
      <c r="AB17301" s="318"/>
      <c r="AC17301" s="318"/>
      <c r="AD17301" s="318"/>
    </row>
    <row r="17302" spans="2:30" s="323" customFormat="1" ht="12" customHeight="1">
      <c r="B17302" s="324"/>
      <c r="C17302" s="325"/>
      <c r="D17302" s="326"/>
      <c r="E17302" s="326"/>
      <c r="F17302" s="326"/>
      <c r="G17302" s="326"/>
      <c r="H17302" s="326"/>
      <c r="P17302" s="318"/>
      <c r="Q17302" s="318"/>
      <c r="R17302" s="318"/>
      <c r="S17302" s="318"/>
      <c r="T17302" s="318"/>
      <c r="U17302" s="318"/>
      <c r="V17302" s="318"/>
      <c r="W17302" s="318"/>
      <c r="X17302" s="318"/>
      <c r="Y17302" s="318"/>
      <c r="Z17302" s="318"/>
      <c r="AA17302" s="318"/>
      <c r="AB17302" s="318"/>
      <c r="AC17302" s="318"/>
      <c r="AD17302" s="318"/>
    </row>
    <row r="17303" spans="2:30" s="323" customFormat="1" ht="12" customHeight="1">
      <c r="B17303" s="324"/>
      <c r="C17303" s="325"/>
      <c r="D17303" s="326"/>
      <c r="E17303" s="326"/>
      <c r="F17303" s="326"/>
      <c r="G17303" s="326"/>
      <c r="H17303" s="326"/>
      <c r="P17303" s="318"/>
      <c r="Q17303" s="318"/>
      <c r="R17303" s="318"/>
      <c r="S17303" s="318"/>
      <c r="T17303" s="318"/>
      <c r="U17303" s="318"/>
      <c r="V17303" s="318"/>
      <c r="W17303" s="318"/>
      <c r="X17303" s="318"/>
      <c r="Y17303" s="318"/>
      <c r="Z17303" s="318"/>
      <c r="AA17303" s="318"/>
      <c r="AB17303" s="318"/>
      <c r="AC17303" s="318"/>
      <c r="AD17303" s="318"/>
    </row>
    <row r="17304" spans="2:30" s="323" customFormat="1" ht="12" customHeight="1">
      <c r="B17304" s="324"/>
      <c r="C17304" s="325"/>
      <c r="D17304" s="326"/>
      <c r="E17304" s="326"/>
      <c r="F17304" s="326"/>
      <c r="G17304" s="326"/>
      <c r="H17304" s="326"/>
      <c r="P17304" s="318"/>
      <c r="Q17304" s="318"/>
      <c r="R17304" s="318"/>
      <c r="S17304" s="318"/>
      <c r="T17304" s="318"/>
      <c r="U17304" s="318"/>
      <c r="V17304" s="318"/>
      <c r="W17304" s="318"/>
      <c r="X17304" s="318"/>
      <c r="Y17304" s="318"/>
      <c r="Z17304" s="318"/>
      <c r="AA17304" s="318"/>
      <c r="AB17304" s="318"/>
      <c r="AC17304" s="318"/>
      <c r="AD17304" s="318"/>
    </row>
    <row r="17305" spans="2:30" s="323" customFormat="1" ht="12" customHeight="1">
      <c r="B17305" s="324"/>
      <c r="C17305" s="325"/>
      <c r="D17305" s="326"/>
      <c r="E17305" s="326"/>
      <c r="F17305" s="326"/>
      <c r="G17305" s="326"/>
      <c r="H17305" s="326"/>
      <c r="P17305" s="318"/>
      <c r="Q17305" s="318"/>
      <c r="R17305" s="318"/>
      <c r="S17305" s="318"/>
      <c r="T17305" s="318"/>
      <c r="U17305" s="318"/>
      <c r="V17305" s="318"/>
      <c r="W17305" s="318"/>
      <c r="X17305" s="318"/>
      <c r="Y17305" s="318"/>
      <c r="Z17305" s="318"/>
      <c r="AA17305" s="318"/>
      <c r="AB17305" s="318"/>
      <c r="AC17305" s="318"/>
      <c r="AD17305" s="318"/>
    </row>
    <row r="17306" spans="2:30" s="323" customFormat="1" ht="12" customHeight="1">
      <c r="B17306" s="324"/>
      <c r="C17306" s="325"/>
      <c r="D17306" s="326"/>
      <c r="E17306" s="326"/>
      <c r="F17306" s="326"/>
      <c r="G17306" s="326"/>
      <c r="H17306" s="326"/>
      <c r="P17306" s="318"/>
      <c r="Q17306" s="318"/>
      <c r="R17306" s="318"/>
      <c r="S17306" s="318"/>
      <c r="T17306" s="318"/>
      <c r="U17306" s="318"/>
      <c r="V17306" s="318"/>
      <c r="W17306" s="318"/>
      <c r="X17306" s="318"/>
      <c r="Y17306" s="318"/>
      <c r="Z17306" s="318"/>
      <c r="AA17306" s="318"/>
      <c r="AB17306" s="318"/>
      <c r="AC17306" s="318"/>
      <c r="AD17306" s="318"/>
    </row>
    <row r="17307" spans="2:30" s="323" customFormat="1" ht="12" customHeight="1">
      <c r="B17307" s="324"/>
      <c r="C17307" s="325"/>
      <c r="D17307" s="326"/>
      <c r="E17307" s="326"/>
      <c r="F17307" s="326"/>
      <c r="G17307" s="326"/>
      <c r="H17307" s="326"/>
      <c r="P17307" s="318"/>
      <c r="Q17307" s="318"/>
      <c r="R17307" s="318"/>
      <c r="S17307" s="318"/>
      <c r="T17307" s="318"/>
      <c r="U17307" s="318"/>
      <c r="V17307" s="318"/>
      <c r="W17307" s="318"/>
      <c r="X17307" s="318"/>
      <c r="Y17307" s="318"/>
      <c r="Z17307" s="318"/>
      <c r="AA17307" s="318"/>
      <c r="AB17307" s="318"/>
      <c r="AC17307" s="318"/>
      <c r="AD17307" s="318"/>
    </row>
    <row r="17308" spans="2:30" s="323" customFormat="1" ht="12" customHeight="1">
      <c r="B17308" s="324"/>
      <c r="C17308" s="325"/>
      <c r="D17308" s="326"/>
      <c r="E17308" s="326"/>
      <c r="F17308" s="326"/>
      <c r="G17308" s="326"/>
      <c r="H17308" s="326"/>
      <c r="P17308" s="318"/>
      <c r="Q17308" s="318"/>
      <c r="R17308" s="318"/>
      <c r="S17308" s="318"/>
      <c r="T17308" s="318"/>
      <c r="U17308" s="318"/>
      <c r="V17308" s="318"/>
      <c r="W17308" s="318"/>
      <c r="X17308" s="318"/>
      <c r="Y17308" s="318"/>
      <c r="Z17308" s="318"/>
      <c r="AA17308" s="318"/>
      <c r="AB17308" s="318"/>
      <c r="AC17308" s="318"/>
      <c r="AD17308" s="318"/>
    </row>
    <row r="17309" spans="2:30" s="323" customFormat="1" ht="12" customHeight="1">
      <c r="B17309" s="324"/>
      <c r="C17309" s="325"/>
      <c r="D17309" s="326"/>
      <c r="E17309" s="326"/>
      <c r="F17309" s="326"/>
      <c r="G17309" s="326"/>
      <c r="H17309" s="326"/>
      <c r="P17309" s="318"/>
      <c r="Q17309" s="318"/>
      <c r="R17309" s="318"/>
      <c r="S17309" s="318"/>
      <c r="T17309" s="318"/>
      <c r="U17309" s="318"/>
      <c r="V17309" s="318"/>
      <c r="W17309" s="318"/>
      <c r="X17309" s="318"/>
      <c r="Y17309" s="318"/>
      <c r="Z17309" s="318"/>
      <c r="AA17309" s="318"/>
      <c r="AB17309" s="318"/>
      <c r="AC17309" s="318"/>
      <c r="AD17309" s="318"/>
    </row>
    <row r="17310" spans="2:30" s="323" customFormat="1" ht="12" customHeight="1">
      <c r="B17310" s="324"/>
      <c r="C17310" s="325"/>
      <c r="D17310" s="326"/>
      <c r="E17310" s="326"/>
      <c r="F17310" s="326"/>
      <c r="G17310" s="326"/>
      <c r="H17310" s="326"/>
      <c r="P17310" s="318"/>
      <c r="Q17310" s="318"/>
      <c r="R17310" s="318"/>
      <c r="S17310" s="318"/>
      <c r="T17310" s="318"/>
      <c r="U17310" s="318"/>
      <c r="V17310" s="318"/>
      <c r="W17310" s="318"/>
      <c r="X17310" s="318"/>
      <c r="Y17310" s="318"/>
      <c r="Z17310" s="318"/>
      <c r="AA17310" s="318"/>
      <c r="AB17310" s="318"/>
      <c r="AC17310" s="318"/>
      <c r="AD17310" s="318"/>
    </row>
    <row r="17311" spans="2:30" s="323" customFormat="1" ht="12" customHeight="1">
      <c r="B17311" s="324"/>
      <c r="C17311" s="325"/>
      <c r="D17311" s="326"/>
      <c r="E17311" s="326"/>
      <c r="F17311" s="326"/>
      <c r="G17311" s="326"/>
      <c r="H17311" s="326"/>
      <c r="P17311" s="318"/>
      <c r="Q17311" s="318"/>
      <c r="R17311" s="318"/>
      <c r="S17311" s="318"/>
      <c r="T17311" s="318"/>
      <c r="U17311" s="318"/>
      <c r="V17311" s="318"/>
      <c r="W17311" s="318"/>
      <c r="X17311" s="318"/>
      <c r="Y17311" s="318"/>
      <c r="Z17311" s="318"/>
      <c r="AA17311" s="318"/>
      <c r="AB17311" s="318"/>
      <c r="AC17311" s="318"/>
      <c r="AD17311" s="318"/>
    </row>
    <row r="17312" spans="2:30" s="323" customFormat="1" ht="12" customHeight="1">
      <c r="B17312" s="324"/>
      <c r="C17312" s="325"/>
      <c r="D17312" s="326"/>
      <c r="E17312" s="326"/>
      <c r="F17312" s="326"/>
      <c r="G17312" s="326"/>
      <c r="H17312" s="326"/>
      <c r="P17312" s="318"/>
      <c r="Q17312" s="318"/>
      <c r="R17312" s="318"/>
      <c r="S17312" s="318"/>
      <c r="T17312" s="318"/>
      <c r="U17312" s="318"/>
      <c r="V17312" s="318"/>
      <c r="W17312" s="318"/>
      <c r="X17312" s="318"/>
      <c r="Y17312" s="318"/>
      <c r="Z17312" s="318"/>
      <c r="AA17312" s="318"/>
      <c r="AB17312" s="318"/>
      <c r="AC17312" s="318"/>
      <c r="AD17312" s="318"/>
    </row>
    <row r="17313" spans="2:30" s="323" customFormat="1" ht="12" customHeight="1">
      <c r="B17313" s="324"/>
      <c r="C17313" s="325"/>
      <c r="D17313" s="326"/>
      <c r="E17313" s="326"/>
      <c r="F17313" s="326"/>
      <c r="G17313" s="326"/>
      <c r="H17313" s="326"/>
      <c r="P17313" s="318"/>
      <c r="Q17313" s="318"/>
      <c r="R17313" s="318"/>
      <c r="S17313" s="318"/>
      <c r="T17313" s="318"/>
      <c r="U17313" s="318"/>
      <c r="V17313" s="318"/>
      <c r="W17313" s="318"/>
      <c r="X17313" s="318"/>
      <c r="Y17313" s="318"/>
      <c r="Z17313" s="318"/>
      <c r="AA17313" s="318"/>
      <c r="AB17313" s="318"/>
      <c r="AC17313" s="318"/>
      <c r="AD17313" s="318"/>
    </row>
    <row r="17314" spans="2:30" s="323" customFormat="1" ht="12" customHeight="1">
      <c r="B17314" s="324"/>
      <c r="C17314" s="325"/>
      <c r="D17314" s="326"/>
      <c r="E17314" s="326"/>
      <c r="F17314" s="326"/>
      <c r="G17314" s="326"/>
      <c r="H17314" s="326"/>
      <c r="P17314" s="318"/>
      <c r="Q17314" s="318"/>
      <c r="R17314" s="318"/>
      <c r="S17314" s="318"/>
      <c r="T17314" s="318"/>
      <c r="U17314" s="318"/>
      <c r="V17314" s="318"/>
      <c r="W17314" s="318"/>
      <c r="X17314" s="318"/>
      <c r="Y17314" s="318"/>
      <c r="Z17314" s="318"/>
      <c r="AA17314" s="318"/>
      <c r="AB17314" s="318"/>
      <c r="AC17314" s="318"/>
      <c r="AD17314" s="318"/>
    </row>
    <row r="17315" spans="2:30" s="323" customFormat="1" ht="12" customHeight="1">
      <c r="B17315" s="324"/>
      <c r="C17315" s="325"/>
      <c r="D17315" s="326"/>
      <c r="E17315" s="326"/>
      <c r="F17315" s="326"/>
      <c r="G17315" s="326"/>
      <c r="H17315" s="326"/>
      <c r="P17315" s="318"/>
      <c r="Q17315" s="318"/>
      <c r="R17315" s="318"/>
      <c r="S17315" s="318"/>
      <c r="T17315" s="318"/>
      <c r="U17315" s="318"/>
      <c r="V17315" s="318"/>
      <c r="W17315" s="318"/>
      <c r="X17315" s="318"/>
      <c r="Y17315" s="318"/>
      <c r="Z17315" s="318"/>
      <c r="AA17315" s="318"/>
      <c r="AB17315" s="318"/>
      <c r="AC17315" s="318"/>
      <c r="AD17315" s="318"/>
    </row>
    <row r="17316" spans="2:30" s="323" customFormat="1" ht="12" customHeight="1">
      <c r="B17316" s="324"/>
      <c r="C17316" s="325"/>
      <c r="D17316" s="326"/>
      <c r="E17316" s="326"/>
      <c r="F17316" s="326"/>
      <c r="G17316" s="326"/>
      <c r="H17316" s="326"/>
      <c r="P17316" s="318"/>
      <c r="Q17316" s="318"/>
      <c r="R17316" s="318"/>
      <c r="S17316" s="318"/>
      <c r="T17316" s="318"/>
      <c r="U17316" s="318"/>
      <c r="V17316" s="318"/>
      <c r="W17316" s="318"/>
      <c r="X17316" s="318"/>
      <c r="Y17316" s="318"/>
      <c r="Z17316" s="318"/>
      <c r="AA17316" s="318"/>
      <c r="AB17316" s="318"/>
      <c r="AC17316" s="318"/>
      <c r="AD17316" s="318"/>
    </row>
    <row r="17317" spans="2:30" s="323" customFormat="1" ht="12" customHeight="1">
      <c r="B17317" s="324"/>
      <c r="C17317" s="325"/>
      <c r="D17317" s="326"/>
      <c r="E17317" s="326"/>
      <c r="F17317" s="326"/>
      <c r="G17317" s="326"/>
      <c r="H17317" s="326"/>
      <c r="P17317" s="318"/>
      <c r="Q17317" s="318"/>
      <c r="R17317" s="318"/>
      <c r="S17317" s="318"/>
      <c r="T17317" s="318"/>
      <c r="U17317" s="318"/>
      <c r="V17317" s="318"/>
      <c r="W17317" s="318"/>
      <c r="X17317" s="318"/>
      <c r="Y17317" s="318"/>
      <c r="Z17317" s="318"/>
      <c r="AA17317" s="318"/>
      <c r="AB17317" s="318"/>
      <c r="AC17317" s="318"/>
      <c r="AD17317" s="318"/>
    </row>
    <row r="17318" spans="2:30" s="323" customFormat="1" ht="12" customHeight="1">
      <c r="B17318" s="324"/>
      <c r="C17318" s="325"/>
      <c r="D17318" s="326"/>
      <c r="E17318" s="326"/>
      <c r="F17318" s="326"/>
      <c r="G17318" s="326"/>
      <c r="H17318" s="326"/>
      <c r="P17318" s="318"/>
      <c r="Q17318" s="318"/>
      <c r="R17318" s="318"/>
      <c r="S17318" s="318"/>
      <c r="T17318" s="318"/>
      <c r="U17318" s="318"/>
      <c r="V17318" s="318"/>
      <c r="W17318" s="318"/>
      <c r="X17318" s="318"/>
      <c r="Y17318" s="318"/>
      <c r="Z17318" s="318"/>
      <c r="AA17318" s="318"/>
      <c r="AB17318" s="318"/>
      <c r="AC17318" s="318"/>
      <c r="AD17318" s="318"/>
    </row>
    <row r="17319" spans="2:30" s="323" customFormat="1" ht="12" customHeight="1">
      <c r="B17319" s="324"/>
      <c r="C17319" s="325"/>
      <c r="D17319" s="326"/>
      <c r="E17319" s="326"/>
      <c r="F17319" s="326"/>
      <c r="G17319" s="326"/>
      <c r="H17319" s="326"/>
      <c r="P17319" s="318"/>
      <c r="Q17319" s="318"/>
      <c r="R17319" s="318"/>
      <c r="S17319" s="318"/>
      <c r="T17319" s="318"/>
      <c r="U17319" s="318"/>
      <c r="V17319" s="318"/>
      <c r="W17319" s="318"/>
      <c r="X17319" s="318"/>
      <c r="Y17319" s="318"/>
      <c r="Z17319" s="318"/>
      <c r="AA17319" s="318"/>
      <c r="AB17319" s="318"/>
      <c r="AC17319" s="318"/>
      <c r="AD17319" s="318"/>
    </row>
    <row r="17320" spans="2:30" s="323" customFormat="1" ht="12" customHeight="1">
      <c r="B17320" s="324"/>
      <c r="C17320" s="325"/>
      <c r="D17320" s="326"/>
      <c r="E17320" s="326"/>
      <c r="F17320" s="326"/>
      <c r="G17320" s="326"/>
      <c r="H17320" s="326"/>
      <c r="P17320" s="318"/>
      <c r="Q17320" s="318"/>
      <c r="R17320" s="318"/>
      <c r="S17320" s="318"/>
      <c r="T17320" s="318"/>
      <c r="U17320" s="318"/>
      <c r="V17320" s="318"/>
      <c r="W17320" s="318"/>
      <c r="X17320" s="318"/>
      <c r="Y17320" s="318"/>
      <c r="Z17320" s="318"/>
      <c r="AA17320" s="318"/>
      <c r="AB17320" s="318"/>
      <c r="AC17320" s="318"/>
      <c r="AD17320" s="318"/>
    </row>
    <row r="17321" spans="2:30" s="323" customFormat="1" ht="12" customHeight="1">
      <c r="B17321" s="324"/>
      <c r="C17321" s="325"/>
      <c r="D17321" s="326"/>
      <c r="E17321" s="326"/>
      <c r="F17321" s="326"/>
      <c r="G17321" s="326"/>
      <c r="H17321" s="326"/>
      <c r="P17321" s="318"/>
      <c r="Q17321" s="318"/>
      <c r="R17321" s="318"/>
      <c r="S17321" s="318"/>
      <c r="T17321" s="318"/>
      <c r="U17321" s="318"/>
      <c r="V17321" s="318"/>
      <c r="W17321" s="318"/>
      <c r="X17321" s="318"/>
      <c r="Y17321" s="318"/>
      <c r="Z17321" s="318"/>
      <c r="AA17321" s="318"/>
      <c r="AB17321" s="318"/>
      <c r="AC17321" s="318"/>
      <c r="AD17321" s="318"/>
    </row>
    <row r="17322" spans="2:30" s="323" customFormat="1" ht="12" customHeight="1">
      <c r="B17322" s="324"/>
      <c r="C17322" s="325"/>
      <c r="D17322" s="326"/>
      <c r="E17322" s="326"/>
      <c r="F17322" s="326"/>
      <c r="G17322" s="326"/>
      <c r="H17322" s="326"/>
      <c r="P17322" s="318"/>
      <c r="Q17322" s="318"/>
      <c r="R17322" s="318"/>
      <c r="S17322" s="318"/>
      <c r="T17322" s="318"/>
      <c r="U17322" s="318"/>
      <c r="V17322" s="318"/>
      <c r="W17322" s="318"/>
      <c r="X17322" s="318"/>
      <c r="Y17322" s="318"/>
      <c r="Z17322" s="318"/>
      <c r="AA17322" s="318"/>
      <c r="AB17322" s="318"/>
      <c r="AC17322" s="318"/>
      <c r="AD17322" s="318"/>
    </row>
    <row r="17323" spans="2:30" s="323" customFormat="1" ht="12" customHeight="1">
      <c r="B17323" s="324"/>
      <c r="C17323" s="325"/>
      <c r="D17323" s="326"/>
      <c r="E17323" s="326"/>
      <c r="F17323" s="326"/>
      <c r="G17323" s="326"/>
      <c r="H17323" s="326"/>
      <c r="P17323" s="318"/>
      <c r="Q17323" s="318"/>
      <c r="R17323" s="318"/>
      <c r="S17323" s="318"/>
      <c r="T17323" s="318"/>
      <c r="U17323" s="318"/>
      <c r="V17323" s="318"/>
      <c r="W17323" s="318"/>
      <c r="X17323" s="318"/>
      <c r="Y17323" s="318"/>
      <c r="Z17323" s="318"/>
      <c r="AA17323" s="318"/>
      <c r="AB17323" s="318"/>
      <c r="AC17323" s="318"/>
      <c r="AD17323" s="318"/>
    </row>
    <row r="17324" spans="2:30" s="323" customFormat="1" ht="12" customHeight="1">
      <c r="B17324" s="324"/>
      <c r="C17324" s="325"/>
      <c r="D17324" s="326"/>
      <c r="E17324" s="326"/>
      <c r="F17324" s="326"/>
      <c r="G17324" s="326"/>
      <c r="H17324" s="326"/>
      <c r="P17324" s="318"/>
      <c r="Q17324" s="318"/>
      <c r="R17324" s="318"/>
      <c r="S17324" s="318"/>
      <c r="T17324" s="318"/>
      <c r="U17324" s="318"/>
      <c r="V17324" s="318"/>
      <c r="W17324" s="318"/>
      <c r="X17324" s="318"/>
      <c r="Y17324" s="318"/>
      <c r="Z17324" s="318"/>
      <c r="AA17324" s="318"/>
      <c r="AB17324" s="318"/>
      <c r="AC17324" s="318"/>
      <c r="AD17324" s="318"/>
    </row>
    <row r="17325" spans="2:30" s="323" customFormat="1" ht="12" customHeight="1">
      <c r="B17325" s="324"/>
      <c r="C17325" s="325"/>
      <c r="D17325" s="326"/>
      <c r="E17325" s="326"/>
      <c r="F17325" s="326"/>
      <c r="G17325" s="326"/>
      <c r="H17325" s="326"/>
      <c r="P17325" s="318"/>
      <c r="Q17325" s="318"/>
      <c r="R17325" s="318"/>
      <c r="S17325" s="318"/>
      <c r="T17325" s="318"/>
      <c r="U17325" s="318"/>
      <c r="V17325" s="318"/>
      <c r="W17325" s="318"/>
      <c r="X17325" s="318"/>
      <c r="Y17325" s="318"/>
      <c r="Z17325" s="318"/>
      <c r="AA17325" s="318"/>
      <c r="AB17325" s="318"/>
      <c r="AC17325" s="318"/>
      <c r="AD17325" s="318"/>
    </row>
    <row r="17326" spans="2:30" s="323" customFormat="1" ht="12" customHeight="1">
      <c r="B17326" s="324"/>
      <c r="C17326" s="325"/>
      <c r="D17326" s="326"/>
      <c r="E17326" s="326"/>
      <c r="F17326" s="326"/>
      <c r="G17326" s="326"/>
      <c r="H17326" s="326"/>
      <c r="P17326" s="318"/>
      <c r="Q17326" s="318"/>
      <c r="R17326" s="318"/>
      <c r="S17326" s="318"/>
      <c r="T17326" s="318"/>
      <c r="U17326" s="318"/>
      <c r="V17326" s="318"/>
      <c r="W17326" s="318"/>
      <c r="X17326" s="318"/>
      <c r="Y17326" s="318"/>
      <c r="Z17326" s="318"/>
      <c r="AA17326" s="318"/>
      <c r="AB17326" s="318"/>
      <c r="AC17326" s="318"/>
      <c r="AD17326" s="318"/>
    </row>
    <row r="17327" spans="2:30" s="323" customFormat="1" ht="12" customHeight="1">
      <c r="B17327" s="324"/>
      <c r="C17327" s="325"/>
      <c r="D17327" s="326"/>
      <c r="E17327" s="326"/>
      <c r="F17327" s="326"/>
      <c r="G17327" s="326"/>
      <c r="H17327" s="326"/>
      <c r="P17327" s="318"/>
      <c r="Q17327" s="318"/>
      <c r="R17327" s="318"/>
      <c r="S17327" s="318"/>
      <c r="T17327" s="318"/>
      <c r="U17327" s="318"/>
      <c r="V17327" s="318"/>
      <c r="W17327" s="318"/>
      <c r="X17327" s="318"/>
      <c r="Y17327" s="318"/>
      <c r="Z17327" s="318"/>
      <c r="AA17327" s="318"/>
      <c r="AB17327" s="318"/>
      <c r="AC17327" s="318"/>
      <c r="AD17327" s="318"/>
    </row>
    <row r="17328" spans="2:30" s="323" customFormat="1" ht="12" customHeight="1">
      <c r="B17328" s="324"/>
      <c r="C17328" s="325"/>
      <c r="D17328" s="326"/>
      <c r="E17328" s="326"/>
      <c r="F17328" s="326"/>
      <c r="G17328" s="326"/>
      <c r="H17328" s="326"/>
      <c r="P17328" s="318"/>
      <c r="Q17328" s="318"/>
      <c r="R17328" s="318"/>
      <c r="S17328" s="318"/>
      <c r="T17328" s="318"/>
      <c r="U17328" s="318"/>
      <c r="V17328" s="318"/>
      <c r="W17328" s="318"/>
      <c r="X17328" s="318"/>
      <c r="Y17328" s="318"/>
      <c r="Z17328" s="318"/>
      <c r="AA17328" s="318"/>
      <c r="AB17328" s="318"/>
      <c r="AC17328" s="318"/>
      <c r="AD17328" s="318"/>
    </row>
    <row r="17329" spans="2:30" s="323" customFormat="1" ht="12" customHeight="1">
      <c r="B17329" s="324"/>
      <c r="C17329" s="325"/>
      <c r="D17329" s="326"/>
      <c r="E17329" s="326"/>
      <c r="F17329" s="326"/>
      <c r="G17329" s="326"/>
      <c r="H17329" s="326"/>
      <c r="P17329" s="318"/>
      <c r="Q17329" s="318"/>
      <c r="R17329" s="318"/>
      <c r="S17329" s="318"/>
      <c r="T17329" s="318"/>
      <c r="U17329" s="318"/>
      <c r="V17329" s="318"/>
      <c r="W17329" s="318"/>
      <c r="X17329" s="318"/>
      <c r="Y17329" s="318"/>
      <c r="Z17329" s="318"/>
      <c r="AA17329" s="318"/>
      <c r="AB17329" s="318"/>
      <c r="AC17329" s="318"/>
      <c r="AD17329" s="318"/>
    </row>
    <row r="17330" spans="2:30" s="323" customFormat="1" ht="12" customHeight="1">
      <c r="B17330" s="324"/>
      <c r="C17330" s="325"/>
      <c r="D17330" s="326"/>
      <c r="E17330" s="326"/>
      <c r="F17330" s="326"/>
      <c r="G17330" s="326"/>
      <c r="H17330" s="326"/>
      <c r="P17330" s="318"/>
      <c r="Q17330" s="318"/>
      <c r="R17330" s="318"/>
      <c r="S17330" s="318"/>
      <c r="T17330" s="318"/>
      <c r="U17330" s="318"/>
      <c r="V17330" s="318"/>
      <c r="W17330" s="318"/>
      <c r="X17330" s="318"/>
      <c r="Y17330" s="318"/>
      <c r="Z17330" s="318"/>
      <c r="AA17330" s="318"/>
      <c r="AB17330" s="318"/>
      <c r="AC17330" s="318"/>
      <c r="AD17330" s="318"/>
    </row>
    <row r="17331" spans="2:30" s="323" customFormat="1" ht="12" customHeight="1">
      <c r="B17331" s="324"/>
      <c r="C17331" s="325"/>
      <c r="D17331" s="326"/>
      <c r="E17331" s="326"/>
      <c r="F17331" s="326"/>
      <c r="G17331" s="326"/>
      <c r="H17331" s="326"/>
      <c r="P17331" s="318"/>
      <c r="Q17331" s="318"/>
      <c r="R17331" s="318"/>
      <c r="S17331" s="318"/>
      <c r="T17331" s="318"/>
      <c r="U17331" s="318"/>
      <c r="V17331" s="318"/>
      <c r="W17331" s="318"/>
      <c r="X17331" s="318"/>
      <c r="Y17331" s="318"/>
      <c r="Z17331" s="318"/>
      <c r="AA17331" s="318"/>
      <c r="AB17331" s="318"/>
      <c r="AC17331" s="318"/>
      <c r="AD17331" s="318"/>
    </row>
    <row r="17332" spans="2:30" s="323" customFormat="1" ht="12" customHeight="1">
      <c r="B17332" s="324"/>
      <c r="C17332" s="325"/>
      <c r="D17332" s="326"/>
      <c r="E17332" s="326"/>
      <c r="F17332" s="326"/>
      <c r="G17332" s="326"/>
      <c r="H17332" s="326"/>
      <c r="P17332" s="318"/>
      <c r="Q17332" s="318"/>
      <c r="R17332" s="318"/>
      <c r="S17332" s="318"/>
      <c r="T17332" s="318"/>
      <c r="U17332" s="318"/>
      <c r="V17332" s="318"/>
      <c r="W17332" s="318"/>
      <c r="X17332" s="318"/>
      <c r="Y17332" s="318"/>
      <c r="Z17332" s="318"/>
      <c r="AA17332" s="318"/>
      <c r="AB17332" s="318"/>
      <c r="AC17332" s="318"/>
      <c r="AD17332" s="318"/>
    </row>
    <row r="17333" spans="2:30" s="323" customFormat="1" ht="12" customHeight="1">
      <c r="B17333" s="324"/>
      <c r="C17333" s="325"/>
      <c r="D17333" s="326"/>
      <c r="E17333" s="326"/>
      <c r="F17333" s="326"/>
      <c r="G17333" s="326"/>
      <c r="H17333" s="326"/>
      <c r="P17333" s="318"/>
      <c r="Q17333" s="318"/>
      <c r="R17333" s="318"/>
      <c r="S17333" s="318"/>
      <c r="T17333" s="318"/>
      <c r="U17333" s="318"/>
      <c r="V17333" s="318"/>
      <c r="W17333" s="318"/>
      <c r="X17333" s="318"/>
      <c r="Y17333" s="318"/>
      <c r="Z17333" s="318"/>
      <c r="AA17333" s="318"/>
      <c r="AB17333" s="318"/>
      <c r="AC17333" s="318"/>
      <c r="AD17333" s="318"/>
    </row>
    <row r="17334" spans="2:30" s="323" customFormat="1" ht="12" customHeight="1">
      <c r="B17334" s="324"/>
      <c r="C17334" s="325"/>
      <c r="D17334" s="326"/>
      <c r="E17334" s="326"/>
      <c r="F17334" s="326"/>
      <c r="G17334" s="326"/>
      <c r="H17334" s="326"/>
      <c r="P17334" s="318"/>
      <c r="Q17334" s="318"/>
      <c r="R17334" s="318"/>
      <c r="S17334" s="318"/>
      <c r="T17334" s="318"/>
      <c r="U17334" s="318"/>
      <c r="V17334" s="318"/>
      <c r="W17334" s="318"/>
      <c r="X17334" s="318"/>
      <c r="Y17334" s="318"/>
      <c r="Z17334" s="318"/>
      <c r="AA17334" s="318"/>
      <c r="AB17334" s="318"/>
      <c r="AC17334" s="318"/>
      <c r="AD17334" s="318"/>
    </row>
    <row r="17335" spans="2:30" s="323" customFormat="1" ht="12" customHeight="1">
      <c r="B17335" s="324"/>
      <c r="C17335" s="325"/>
      <c r="D17335" s="326"/>
      <c r="E17335" s="326"/>
      <c r="F17335" s="326"/>
      <c r="G17335" s="326"/>
      <c r="H17335" s="326"/>
      <c r="P17335" s="318"/>
      <c r="Q17335" s="318"/>
      <c r="R17335" s="318"/>
      <c r="S17335" s="318"/>
      <c r="T17335" s="318"/>
      <c r="U17335" s="318"/>
      <c r="V17335" s="318"/>
      <c r="W17335" s="318"/>
      <c r="X17335" s="318"/>
      <c r="Y17335" s="318"/>
      <c r="Z17335" s="318"/>
      <c r="AA17335" s="318"/>
      <c r="AB17335" s="318"/>
      <c r="AC17335" s="318"/>
      <c r="AD17335" s="318"/>
    </row>
    <row r="17336" spans="2:30" s="323" customFormat="1" ht="12" customHeight="1">
      <c r="B17336" s="324"/>
      <c r="C17336" s="325"/>
      <c r="D17336" s="326"/>
      <c r="E17336" s="326"/>
      <c r="F17336" s="326"/>
      <c r="G17336" s="326"/>
      <c r="H17336" s="326"/>
      <c r="P17336" s="318"/>
      <c r="Q17336" s="318"/>
      <c r="R17336" s="318"/>
      <c r="S17336" s="318"/>
      <c r="T17336" s="318"/>
      <c r="U17336" s="318"/>
      <c r="V17336" s="318"/>
      <c r="W17336" s="318"/>
      <c r="X17336" s="318"/>
      <c r="Y17336" s="318"/>
      <c r="Z17336" s="318"/>
      <c r="AA17336" s="318"/>
      <c r="AB17336" s="318"/>
      <c r="AC17336" s="318"/>
      <c r="AD17336" s="318"/>
    </row>
    <row r="17337" spans="2:30" s="323" customFormat="1" ht="12" customHeight="1">
      <c r="B17337" s="324"/>
      <c r="C17337" s="325"/>
      <c r="D17337" s="326"/>
      <c r="E17337" s="326"/>
      <c r="F17337" s="326"/>
      <c r="G17337" s="326"/>
      <c r="H17337" s="326"/>
      <c r="P17337" s="318"/>
      <c r="Q17337" s="318"/>
      <c r="R17337" s="318"/>
      <c r="S17337" s="318"/>
      <c r="T17337" s="318"/>
      <c r="U17337" s="318"/>
      <c r="V17337" s="318"/>
      <c r="W17337" s="318"/>
      <c r="X17337" s="318"/>
      <c r="Y17337" s="318"/>
      <c r="Z17337" s="318"/>
      <c r="AA17337" s="318"/>
      <c r="AB17337" s="318"/>
      <c r="AC17337" s="318"/>
      <c r="AD17337" s="318"/>
    </row>
    <row r="17338" spans="2:30" s="323" customFormat="1" ht="12" customHeight="1">
      <c r="B17338" s="324"/>
      <c r="C17338" s="325"/>
      <c r="D17338" s="326"/>
      <c r="E17338" s="326"/>
      <c r="F17338" s="326"/>
      <c r="G17338" s="326"/>
      <c r="H17338" s="326"/>
      <c r="P17338" s="318"/>
      <c r="Q17338" s="318"/>
      <c r="R17338" s="318"/>
      <c r="S17338" s="318"/>
      <c r="T17338" s="318"/>
      <c r="U17338" s="318"/>
      <c r="V17338" s="318"/>
      <c r="W17338" s="318"/>
      <c r="X17338" s="318"/>
      <c r="Y17338" s="318"/>
      <c r="Z17338" s="318"/>
      <c r="AA17338" s="318"/>
      <c r="AB17338" s="318"/>
      <c r="AC17338" s="318"/>
      <c r="AD17338" s="318"/>
    </row>
    <row r="17339" spans="2:30" s="323" customFormat="1" ht="12" customHeight="1">
      <c r="B17339" s="324"/>
      <c r="C17339" s="325"/>
      <c r="D17339" s="326"/>
      <c r="E17339" s="326"/>
      <c r="F17339" s="326"/>
      <c r="G17339" s="326"/>
      <c r="H17339" s="326"/>
      <c r="P17339" s="318"/>
      <c r="Q17339" s="318"/>
      <c r="R17339" s="318"/>
      <c r="S17339" s="318"/>
      <c r="T17339" s="318"/>
      <c r="U17339" s="318"/>
      <c r="V17339" s="318"/>
      <c r="W17339" s="318"/>
      <c r="X17339" s="318"/>
      <c r="Y17339" s="318"/>
      <c r="Z17339" s="318"/>
      <c r="AA17339" s="318"/>
      <c r="AB17339" s="318"/>
      <c r="AC17339" s="318"/>
      <c r="AD17339" s="318"/>
    </row>
    <row r="17340" spans="2:30" s="323" customFormat="1" ht="12" customHeight="1">
      <c r="B17340" s="324"/>
      <c r="C17340" s="325"/>
      <c r="D17340" s="326"/>
      <c r="E17340" s="326"/>
      <c r="F17340" s="326"/>
      <c r="G17340" s="326"/>
      <c r="H17340" s="326"/>
      <c r="P17340" s="318"/>
      <c r="Q17340" s="318"/>
      <c r="R17340" s="318"/>
      <c r="S17340" s="318"/>
      <c r="T17340" s="318"/>
      <c r="U17340" s="318"/>
      <c r="V17340" s="318"/>
      <c r="W17340" s="318"/>
      <c r="X17340" s="318"/>
      <c r="Y17340" s="318"/>
      <c r="Z17340" s="318"/>
      <c r="AA17340" s="318"/>
      <c r="AB17340" s="318"/>
      <c r="AC17340" s="318"/>
      <c r="AD17340" s="318"/>
    </row>
    <row r="17341" spans="2:30" s="323" customFormat="1" ht="12" customHeight="1">
      <c r="B17341" s="324"/>
      <c r="C17341" s="325"/>
      <c r="D17341" s="326"/>
      <c r="E17341" s="326"/>
      <c r="F17341" s="326"/>
      <c r="G17341" s="326"/>
      <c r="H17341" s="326"/>
      <c r="P17341" s="318"/>
      <c r="Q17341" s="318"/>
      <c r="R17341" s="318"/>
      <c r="S17341" s="318"/>
      <c r="T17341" s="318"/>
      <c r="U17341" s="318"/>
      <c r="V17341" s="318"/>
      <c r="W17341" s="318"/>
      <c r="X17341" s="318"/>
      <c r="Y17341" s="318"/>
      <c r="Z17341" s="318"/>
      <c r="AA17341" s="318"/>
      <c r="AB17341" s="318"/>
      <c r="AC17341" s="318"/>
      <c r="AD17341" s="318"/>
    </row>
    <row r="17342" spans="2:30" s="323" customFormat="1" ht="12" customHeight="1">
      <c r="B17342" s="324"/>
      <c r="C17342" s="325"/>
      <c r="D17342" s="326"/>
      <c r="E17342" s="326"/>
      <c r="F17342" s="326"/>
      <c r="G17342" s="326"/>
      <c r="H17342" s="326"/>
      <c r="P17342" s="318"/>
      <c r="Q17342" s="318"/>
      <c r="R17342" s="318"/>
      <c r="S17342" s="318"/>
      <c r="T17342" s="318"/>
      <c r="U17342" s="318"/>
      <c r="V17342" s="318"/>
      <c r="W17342" s="318"/>
      <c r="X17342" s="318"/>
      <c r="Y17342" s="318"/>
      <c r="Z17342" s="318"/>
      <c r="AA17342" s="318"/>
      <c r="AB17342" s="318"/>
      <c r="AC17342" s="318"/>
      <c r="AD17342" s="318"/>
    </row>
    <row r="17343" spans="2:30" s="323" customFormat="1" ht="12" customHeight="1">
      <c r="B17343" s="324"/>
      <c r="C17343" s="325"/>
      <c r="D17343" s="326"/>
      <c r="E17343" s="326"/>
      <c r="F17343" s="326"/>
      <c r="G17343" s="326"/>
      <c r="H17343" s="326"/>
      <c r="P17343" s="318"/>
      <c r="Q17343" s="318"/>
      <c r="R17343" s="318"/>
      <c r="S17343" s="318"/>
      <c r="T17343" s="318"/>
      <c r="U17343" s="318"/>
      <c r="V17343" s="318"/>
      <c r="W17343" s="318"/>
      <c r="X17343" s="318"/>
      <c r="Y17343" s="318"/>
      <c r="Z17343" s="318"/>
      <c r="AA17343" s="318"/>
      <c r="AB17343" s="318"/>
      <c r="AC17343" s="318"/>
      <c r="AD17343" s="318"/>
    </row>
    <row r="17344" spans="2:30" s="323" customFormat="1" ht="12" customHeight="1">
      <c r="B17344" s="324"/>
      <c r="C17344" s="325"/>
      <c r="D17344" s="326"/>
      <c r="E17344" s="326"/>
      <c r="F17344" s="326"/>
      <c r="G17344" s="326"/>
      <c r="H17344" s="326"/>
      <c r="P17344" s="318"/>
      <c r="Q17344" s="318"/>
      <c r="R17344" s="318"/>
      <c r="S17344" s="318"/>
      <c r="T17344" s="318"/>
      <c r="U17344" s="318"/>
      <c r="V17344" s="318"/>
      <c r="W17344" s="318"/>
      <c r="X17344" s="318"/>
      <c r="Y17344" s="318"/>
      <c r="Z17344" s="318"/>
      <c r="AA17344" s="318"/>
      <c r="AB17344" s="318"/>
      <c r="AC17344" s="318"/>
      <c r="AD17344" s="318"/>
    </row>
    <row r="17345" spans="2:30" s="323" customFormat="1" ht="12" customHeight="1">
      <c r="B17345" s="324"/>
      <c r="C17345" s="325"/>
      <c r="D17345" s="326"/>
      <c r="E17345" s="326"/>
      <c r="F17345" s="326"/>
      <c r="G17345" s="326"/>
      <c r="H17345" s="326"/>
      <c r="P17345" s="318"/>
      <c r="Q17345" s="318"/>
      <c r="R17345" s="318"/>
      <c r="S17345" s="318"/>
      <c r="T17345" s="318"/>
      <c r="U17345" s="318"/>
      <c r="V17345" s="318"/>
      <c r="W17345" s="318"/>
      <c r="X17345" s="318"/>
      <c r="Y17345" s="318"/>
      <c r="Z17345" s="318"/>
      <c r="AA17345" s="318"/>
      <c r="AB17345" s="318"/>
      <c r="AC17345" s="318"/>
      <c r="AD17345" s="318"/>
    </row>
    <row r="17346" spans="2:30" s="323" customFormat="1" ht="12" customHeight="1">
      <c r="B17346" s="324"/>
      <c r="C17346" s="325"/>
      <c r="D17346" s="326"/>
      <c r="E17346" s="326"/>
      <c r="F17346" s="326"/>
      <c r="G17346" s="326"/>
      <c r="H17346" s="326"/>
      <c r="P17346" s="318"/>
      <c r="Q17346" s="318"/>
      <c r="R17346" s="318"/>
      <c r="S17346" s="318"/>
      <c r="T17346" s="318"/>
      <c r="U17346" s="318"/>
      <c r="V17346" s="318"/>
      <c r="W17346" s="318"/>
      <c r="X17346" s="318"/>
      <c r="Y17346" s="318"/>
      <c r="Z17346" s="318"/>
      <c r="AA17346" s="318"/>
      <c r="AB17346" s="318"/>
      <c r="AC17346" s="318"/>
      <c r="AD17346" s="318"/>
    </row>
    <row r="17347" spans="2:30" s="323" customFormat="1" ht="12" customHeight="1">
      <c r="B17347" s="324"/>
      <c r="C17347" s="325"/>
      <c r="D17347" s="326"/>
      <c r="E17347" s="326"/>
      <c r="F17347" s="326"/>
      <c r="G17347" s="326"/>
      <c r="H17347" s="326"/>
      <c r="P17347" s="318"/>
      <c r="Q17347" s="318"/>
      <c r="R17347" s="318"/>
      <c r="S17347" s="318"/>
      <c r="T17347" s="318"/>
      <c r="U17347" s="318"/>
      <c r="V17347" s="318"/>
      <c r="W17347" s="318"/>
      <c r="X17347" s="318"/>
      <c r="Y17347" s="318"/>
      <c r="Z17347" s="318"/>
      <c r="AA17347" s="318"/>
      <c r="AB17347" s="318"/>
      <c r="AC17347" s="318"/>
      <c r="AD17347" s="318"/>
    </row>
    <row r="17348" spans="2:30" s="323" customFormat="1" ht="12" customHeight="1">
      <c r="B17348" s="324"/>
      <c r="C17348" s="325"/>
      <c r="D17348" s="326"/>
      <c r="E17348" s="326"/>
      <c r="F17348" s="326"/>
      <c r="G17348" s="326"/>
      <c r="H17348" s="326"/>
      <c r="P17348" s="318"/>
      <c r="Q17348" s="318"/>
      <c r="R17348" s="318"/>
      <c r="S17348" s="318"/>
      <c r="T17348" s="318"/>
      <c r="U17348" s="318"/>
      <c r="V17348" s="318"/>
      <c r="W17348" s="318"/>
      <c r="X17348" s="318"/>
      <c r="Y17348" s="318"/>
      <c r="Z17348" s="318"/>
      <c r="AA17348" s="318"/>
      <c r="AB17348" s="318"/>
      <c r="AC17348" s="318"/>
      <c r="AD17348" s="318"/>
    </row>
    <row r="17349" spans="2:30" s="323" customFormat="1" ht="12" customHeight="1">
      <c r="B17349" s="324"/>
      <c r="C17349" s="325"/>
      <c r="D17349" s="326"/>
      <c r="E17349" s="326"/>
      <c r="F17349" s="326"/>
      <c r="G17349" s="326"/>
      <c r="H17349" s="326"/>
      <c r="P17349" s="318"/>
      <c r="Q17349" s="318"/>
      <c r="R17349" s="318"/>
      <c r="S17349" s="318"/>
      <c r="T17349" s="318"/>
      <c r="U17349" s="318"/>
      <c r="V17349" s="318"/>
      <c r="W17349" s="318"/>
      <c r="X17349" s="318"/>
      <c r="Y17349" s="318"/>
      <c r="Z17349" s="318"/>
      <c r="AA17349" s="318"/>
      <c r="AB17349" s="318"/>
      <c r="AC17349" s="318"/>
      <c r="AD17349" s="318"/>
    </row>
    <row r="17350" spans="2:30" s="323" customFormat="1" ht="12" customHeight="1">
      <c r="B17350" s="324"/>
      <c r="C17350" s="325"/>
      <c r="D17350" s="326"/>
      <c r="E17350" s="326"/>
      <c r="F17350" s="326"/>
      <c r="G17350" s="326"/>
      <c r="H17350" s="326"/>
      <c r="P17350" s="318"/>
      <c r="Q17350" s="318"/>
      <c r="R17350" s="318"/>
      <c r="S17350" s="318"/>
      <c r="T17350" s="318"/>
      <c r="U17350" s="318"/>
      <c r="V17350" s="318"/>
      <c r="W17350" s="318"/>
      <c r="X17350" s="318"/>
      <c r="Y17350" s="318"/>
      <c r="Z17350" s="318"/>
      <c r="AA17350" s="318"/>
      <c r="AB17350" s="318"/>
      <c r="AC17350" s="318"/>
      <c r="AD17350" s="318"/>
    </row>
    <row r="17351" spans="2:30" s="323" customFormat="1" ht="12" customHeight="1">
      <c r="B17351" s="324"/>
      <c r="C17351" s="325"/>
      <c r="D17351" s="326"/>
      <c r="E17351" s="326"/>
      <c r="F17351" s="326"/>
      <c r="G17351" s="326"/>
      <c r="H17351" s="326"/>
      <c r="P17351" s="318"/>
      <c r="Q17351" s="318"/>
      <c r="R17351" s="318"/>
      <c r="S17351" s="318"/>
      <c r="T17351" s="318"/>
      <c r="U17351" s="318"/>
      <c r="V17351" s="318"/>
      <c r="W17351" s="318"/>
      <c r="X17351" s="318"/>
      <c r="Y17351" s="318"/>
      <c r="Z17351" s="318"/>
      <c r="AA17351" s="318"/>
      <c r="AB17351" s="318"/>
      <c r="AC17351" s="318"/>
      <c r="AD17351" s="318"/>
    </row>
    <row r="17352" spans="2:30" s="323" customFormat="1" ht="12" customHeight="1">
      <c r="B17352" s="324"/>
      <c r="C17352" s="325"/>
      <c r="D17352" s="326"/>
      <c r="E17352" s="326"/>
      <c r="F17352" s="326"/>
      <c r="G17352" s="326"/>
      <c r="H17352" s="326"/>
      <c r="P17352" s="318"/>
      <c r="Q17352" s="318"/>
      <c r="R17352" s="318"/>
      <c r="S17352" s="318"/>
      <c r="T17352" s="318"/>
      <c r="U17352" s="318"/>
      <c r="V17352" s="318"/>
      <c r="W17352" s="318"/>
      <c r="X17352" s="318"/>
      <c r="Y17352" s="318"/>
      <c r="Z17352" s="318"/>
      <c r="AA17352" s="318"/>
      <c r="AB17352" s="318"/>
      <c r="AC17352" s="318"/>
      <c r="AD17352" s="318"/>
    </row>
    <row r="17353" spans="2:30" s="323" customFormat="1" ht="12" customHeight="1">
      <c r="B17353" s="324"/>
      <c r="C17353" s="325"/>
      <c r="D17353" s="326"/>
      <c r="E17353" s="326"/>
      <c r="F17353" s="326"/>
      <c r="G17353" s="326"/>
      <c r="H17353" s="326"/>
      <c r="P17353" s="318"/>
      <c r="Q17353" s="318"/>
      <c r="R17353" s="318"/>
      <c r="S17353" s="318"/>
      <c r="T17353" s="318"/>
      <c r="U17353" s="318"/>
      <c r="V17353" s="318"/>
      <c r="W17353" s="318"/>
      <c r="X17353" s="318"/>
      <c r="Y17353" s="318"/>
      <c r="Z17353" s="318"/>
      <c r="AA17353" s="318"/>
      <c r="AB17353" s="318"/>
      <c r="AC17353" s="318"/>
      <c r="AD17353" s="318"/>
    </row>
    <row r="17354" spans="2:30" s="323" customFormat="1" ht="12" customHeight="1">
      <c r="B17354" s="324"/>
      <c r="C17354" s="325"/>
      <c r="D17354" s="326"/>
      <c r="E17354" s="326"/>
      <c r="F17354" s="326"/>
      <c r="G17354" s="326"/>
      <c r="H17354" s="326"/>
      <c r="P17354" s="318"/>
      <c r="Q17354" s="318"/>
      <c r="R17354" s="318"/>
      <c r="S17354" s="318"/>
      <c r="T17354" s="318"/>
      <c r="U17354" s="318"/>
      <c r="V17354" s="318"/>
      <c r="W17354" s="318"/>
      <c r="X17354" s="318"/>
      <c r="Y17354" s="318"/>
      <c r="Z17354" s="318"/>
      <c r="AA17354" s="318"/>
      <c r="AB17354" s="318"/>
      <c r="AC17354" s="318"/>
      <c r="AD17354" s="318"/>
    </row>
    <row r="17355" spans="2:30" s="323" customFormat="1" ht="12" customHeight="1">
      <c r="B17355" s="324"/>
      <c r="C17355" s="325"/>
      <c r="D17355" s="326"/>
      <c r="E17355" s="326"/>
      <c r="F17355" s="326"/>
      <c r="G17355" s="326"/>
      <c r="H17355" s="326"/>
      <c r="P17355" s="318"/>
      <c r="Q17355" s="318"/>
      <c r="R17355" s="318"/>
      <c r="S17355" s="318"/>
      <c r="T17355" s="318"/>
      <c r="U17355" s="318"/>
      <c r="V17355" s="318"/>
      <c r="W17355" s="318"/>
      <c r="X17355" s="318"/>
      <c r="Y17355" s="318"/>
      <c r="Z17355" s="318"/>
      <c r="AA17355" s="318"/>
      <c r="AB17355" s="318"/>
      <c r="AC17355" s="318"/>
      <c r="AD17355" s="318"/>
    </row>
    <row r="17356" spans="2:30" s="323" customFormat="1" ht="12" customHeight="1">
      <c r="B17356" s="324"/>
      <c r="C17356" s="325"/>
      <c r="D17356" s="326"/>
      <c r="E17356" s="326"/>
      <c r="F17356" s="326"/>
      <c r="G17356" s="326"/>
      <c r="H17356" s="326"/>
      <c r="P17356" s="318"/>
      <c r="Q17356" s="318"/>
      <c r="R17356" s="318"/>
      <c r="S17356" s="318"/>
      <c r="T17356" s="318"/>
      <c r="U17356" s="318"/>
      <c r="V17356" s="318"/>
      <c r="W17356" s="318"/>
      <c r="X17356" s="318"/>
      <c r="Y17356" s="318"/>
      <c r="Z17356" s="318"/>
      <c r="AA17356" s="318"/>
      <c r="AB17356" s="318"/>
      <c r="AC17356" s="318"/>
      <c r="AD17356" s="318"/>
    </row>
    <row r="17357" spans="2:30" s="323" customFormat="1" ht="12" customHeight="1">
      <c r="B17357" s="324"/>
      <c r="C17357" s="325"/>
      <c r="D17357" s="326"/>
      <c r="E17357" s="326"/>
      <c r="F17357" s="326"/>
      <c r="G17357" s="326"/>
      <c r="H17357" s="326"/>
      <c r="P17357" s="318"/>
      <c r="Q17357" s="318"/>
      <c r="R17357" s="318"/>
      <c r="S17357" s="318"/>
      <c r="T17357" s="318"/>
      <c r="U17357" s="318"/>
      <c r="V17357" s="318"/>
      <c r="W17357" s="318"/>
      <c r="X17357" s="318"/>
      <c r="Y17357" s="318"/>
      <c r="Z17357" s="318"/>
      <c r="AA17357" s="318"/>
      <c r="AB17357" s="318"/>
      <c r="AC17357" s="318"/>
      <c r="AD17357" s="318"/>
    </row>
    <row r="17358" spans="2:30" s="323" customFormat="1" ht="12" customHeight="1">
      <c r="B17358" s="324"/>
      <c r="C17358" s="325"/>
      <c r="D17358" s="326"/>
      <c r="E17358" s="326"/>
      <c r="F17358" s="326"/>
      <c r="G17358" s="326"/>
      <c r="H17358" s="326"/>
      <c r="P17358" s="318"/>
      <c r="Q17358" s="318"/>
      <c r="R17358" s="318"/>
      <c r="S17358" s="318"/>
      <c r="T17358" s="318"/>
      <c r="U17358" s="318"/>
      <c r="V17358" s="318"/>
      <c r="W17358" s="318"/>
      <c r="X17358" s="318"/>
      <c r="Y17358" s="318"/>
      <c r="Z17358" s="318"/>
      <c r="AA17358" s="318"/>
      <c r="AB17358" s="318"/>
      <c r="AC17358" s="318"/>
      <c r="AD17358" s="318"/>
    </row>
    <row r="17359" spans="2:30" s="323" customFormat="1" ht="12" customHeight="1">
      <c r="B17359" s="324"/>
      <c r="C17359" s="325"/>
      <c r="D17359" s="326"/>
      <c r="E17359" s="326"/>
      <c r="F17359" s="326"/>
      <c r="G17359" s="326"/>
      <c r="H17359" s="326"/>
      <c r="P17359" s="318"/>
      <c r="Q17359" s="318"/>
      <c r="R17359" s="318"/>
      <c r="S17359" s="318"/>
      <c r="T17359" s="318"/>
      <c r="U17359" s="318"/>
      <c r="V17359" s="318"/>
      <c r="W17359" s="318"/>
      <c r="X17359" s="318"/>
      <c r="Y17359" s="318"/>
      <c r="Z17359" s="318"/>
      <c r="AA17359" s="318"/>
      <c r="AB17359" s="318"/>
      <c r="AC17359" s="318"/>
      <c r="AD17359" s="318"/>
    </row>
    <row r="17360" spans="2:30" s="323" customFormat="1" ht="12" customHeight="1">
      <c r="B17360" s="324"/>
      <c r="C17360" s="325"/>
      <c r="D17360" s="326"/>
      <c r="E17360" s="326"/>
      <c r="F17360" s="326"/>
      <c r="G17360" s="326"/>
      <c r="H17360" s="326"/>
      <c r="P17360" s="318"/>
      <c r="Q17360" s="318"/>
      <c r="R17360" s="318"/>
      <c r="S17360" s="318"/>
      <c r="T17360" s="318"/>
      <c r="U17360" s="318"/>
      <c r="V17360" s="318"/>
      <c r="W17360" s="318"/>
      <c r="X17360" s="318"/>
      <c r="Y17360" s="318"/>
      <c r="Z17360" s="318"/>
      <c r="AA17360" s="318"/>
      <c r="AB17360" s="318"/>
      <c r="AC17360" s="318"/>
      <c r="AD17360" s="318"/>
    </row>
    <row r="17361" spans="2:30" s="323" customFormat="1" ht="12" customHeight="1">
      <c r="B17361" s="324"/>
      <c r="C17361" s="325"/>
      <c r="D17361" s="326"/>
      <c r="E17361" s="326"/>
      <c r="F17361" s="326"/>
      <c r="G17361" s="326"/>
      <c r="H17361" s="326"/>
      <c r="P17361" s="318"/>
      <c r="Q17361" s="318"/>
      <c r="R17361" s="318"/>
      <c r="S17361" s="318"/>
      <c r="T17361" s="318"/>
      <c r="U17361" s="318"/>
      <c r="V17361" s="318"/>
      <c r="W17361" s="318"/>
      <c r="X17361" s="318"/>
      <c r="Y17361" s="318"/>
      <c r="Z17361" s="318"/>
      <c r="AA17361" s="318"/>
      <c r="AB17361" s="318"/>
      <c r="AC17361" s="318"/>
      <c r="AD17361" s="318"/>
    </row>
    <row r="17362" spans="2:30" s="323" customFormat="1" ht="12" customHeight="1">
      <c r="B17362" s="324"/>
      <c r="C17362" s="325"/>
      <c r="D17362" s="326"/>
      <c r="E17362" s="326"/>
      <c r="F17362" s="326"/>
      <c r="G17362" s="326"/>
      <c r="H17362" s="326"/>
      <c r="P17362" s="318"/>
      <c r="Q17362" s="318"/>
      <c r="R17362" s="318"/>
      <c r="S17362" s="318"/>
      <c r="T17362" s="318"/>
      <c r="U17362" s="318"/>
      <c r="V17362" s="318"/>
      <c r="W17362" s="318"/>
      <c r="X17362" s="318"/>
      <c r="Y17362" s="318"/>
      <c r="Z17362" s="318"/>
      <c r="AA17362" s="318"/>
      <c r="AB17362" s="318"/>
      <c r="AC17362" s="318"/>
      <c r="AD17362" s="318"/>
    </row>
    <row r="17363" spans="2:30" s="323" customFormat="1" ht="12" customHeight="1">
      <c r="B17363" s="324"/>
      <c r="C17363" s="325"/>
      <c r="D17363" s="326"/>
      <c r="E17363" s="326"/>
      <c r="F17363" s="326"/>
      <c r="G17363" s="326"/>
      <c r="H17363" s="326"/>
      <c r="P17363" s="318"/>
      <c r="Q17363" s="318"/>
      <c r="R17363" s="318"/>
      <c r="S17363" s="318"/>
      <c r="T17363" s="318"/>
      <c r="U17363" s="318"/>
      <c r="V17363" s="318"/>
      <c r="W17363" s="318"/>
      <c r="X17363" s="318"/>
      <c r="Y17363" s="318"/>
      <c r="Z17363" s="318"/>
      <c r="AA17363" s="318"/>
      <c r="AB17363" s="318"/>
      <c r="AC17363" s="318"/>
      <c r="AD17363" s="318"/>
    </row>
    <row r="17364" spans="2:30" s="323" customFormat="1" ht="12" customHeight="1">
      <c r="B17364" s="324"/>
      <c r="C17364" s="325"/>
      <c r="D17364" s="326"/>
      <c r="E17364" s="326"/>
      <c r="F17364" s="326"/>
      <c r="G17364" s="326"/>
      <c r="H17364" s="326"/>
      <c r="P17364" s="318"/>
      <c r="Q17364" s="318"/>
      <c r="R17364" s="318"/>
      <c r="S17364" s="318"/>
      <c r="T17364" s="318"/>
      <c r="U17364" s="318"/>
      <c r="V17364" s="318"/>
      <c r="W17364" s="318"/>
      <c r="X17364" s="318"/>
      <c r="Y17364" s="318"/>
      <c r="Z17364" s="318"/>
      <c r="AA17364" s="318"/>
      <c r="AB17364" s="318"/>
      <c r="AC17364" s="318"/>
      <c r="AD17364" s="318"/>
    </row>
    <row r="17365" spans="2:30" s="323" customFormat="1" ht="12" customHeight="1">
      <c r="B17365" s="324"/>
      <c r="C17365" s="325"/>
      <c r="D17365" s="326"/>
      <c r="E17365" s="326"/>
      <c r="F17365" s="326"/>
      <c r="G17365" s="326"/>
      <c r="H17365" s="326"/>
      <c r="P17365" s="318"/>
      <c r="Q17365" s="318"/>
      <c r="R17365" s="318"/>
      <c r="S17365" s="318"/>
      <c r="T17365" s="318"/>
      <c r="U17365" s="318"/>
      <c r="V17365" s="318"/>
      <c r="W17365" s="318"/>
      <c r="X17365" s="318"/>
      <c r="Y17365" s="318"/>
      <c r="Z17365" s="318"/>
      <c r="AA17365" s="318"/>
      <c r="AB17365" s="318"/>
      <c r="AC17365" s="318"/>
      <c r="AD17365" s="318"/>
    </row>
    <row r="17366" spans="2:30" s="323" customFormat="1" ht="12" customHeight="1">
      <c r="B17366" s="324"/>
      <c r="C17366" s="325"/>
      <c r="D17366" s="326"/>
      <c r="E17366" s="326"/>
      <c r="F17366" s="326"/>
      <c r="G17366" s="326"/>
      <c r="H17366" s="326"/>
      <c r="P17366" s="318"/>
      <c r="Q17366" s="318"/>
      <c r="R17366" s="318"/>
      <c r="S17366" s="318"/>
      <c r="T17366" s="318"/>
      <c r="U17366" s="318"/>
      <c r="V17366" s="318"/>
      <c r="W17366" s="318"/>
      <c r="X17366" s="318"/>
      <c r="Y17366" s="318"/>
      <c r="Z17366" s="318"/>
      <c r="AA17366" s="318"/>
      <c r="AB17366" s="318"/>
      <c r="AC17366" s="318"/>
      <c r="AD17366" s="318"/>
    </row>
    <row r="17367" spans="2:30" s="323" customFormat="1" ht="12" customHeight="1">
      <c r="B17367" s="324"/>
      <c r="C17367" s="325"/>
      <c r="D17367" s="326"/>
      <c r="E17367" s="326"/>
      <c r="F17367" s="326"/>
      <c r="G17367" s="326"/>
      <c r="H17367" s="326"/>
      <c r="P17367" s="318"/>
      <c r="Q17367" s="318"/>
      <c r="R17367" s="318"/>
      <c r="S17367" s="318"/>
      <c r="T17367" s="318"/>
      <c r="U17367" s="318"/>
      <c r="V17367" s="318"/>
      <c r="W17367" s="318"/>
      <c r="X17367" s="318"/>
      <c r="Y17367" s="318"/>
      <c r="Z17367" s="318"/>
      <c r="AA17367" s="318"/>
      <c r="AB17367" s="318"/>
      <c r="AC17367" s="318"/>
      <c r="AD17367" s="318"/>
    </row>
    <row r="17368" spans="2:30" s="323" customFormat="1" ht="12" customHeight="1">
      <c r="B17368" s="324"/>
      <c r="C17368" s="325"/>
      <c r="D17368" s="326"/>
      <c r="E17368" s="326"/>
      <c r="F17368" s="326"/>
      <c r="G17368" s="326"/>
      <c r="H17368" s="326"/>
      <c r="P17368" s="318"/>
      <c r="Q17368" s="318"/>
      <c r="R17368" s="318"/>
      <c r="S17368" s="318"/>
      <c r="T17368" s="318"/>
      <c r="U17368" s="318"/>
      <c r="V17368" s="318"/>
      <c r="W17368" s="318"/>
      <c r="X17368" s="318"/>
      <c r="Y17368" s="318"/>
      <c r="Z17368" s="318"/>
      <c r="AA17368" s="318"/>
      <c r="AB17368" s="318"/>
      <c r="AC17368" s="318"/>
      <c r="AD17368" s="318"/>
    </row>
    <row r="17369" spans="2:30" s="323" customFormat="1" ht="12" customHeight="1">
      <c r="B17369" s="324"/>
      <c r="C17369" s="325"/>
      <c r="D17369" s="326"/>
      <c r="E17369" s="326"/>
      <c r="F17369" s="326"/>
      <c r="G17369" s="326"/>
      <c r="H17369" s="326"/>
      <c r="P17369" s="318"/>
      <c r="Q17369" s="318"/>
      <c r="R17369" s="318"/>
      <c r="S17369" s="318"/>
      <c r="T17369" s="318"/>
      <c r="U17369" s="318"/>
      <c r="V17369" s="318"/>
      <c r="W17369" s="318"/>
      <c r="X17369" s="318"/>
      <c r="Y17369" s="318"/>
      <c r="Z17369" s="318"/>
      <c r="AA17369" s="318"/>
      <c r="AB17369" s="318"/>
      <c r="AC17369" s="318"/>
      <c r="AD17369" s="318"/>
    </row>
    <row r="17370" spans="2:30" s="323" customFormat="1" ht="12" customHeight="1">
      <c r="B17370" s="324"/>
      <c r="C17370" s="325"/>
      <c r="D17370" s="326"/>
      <c r="E17370" s="326"/>
      <c r="F17370" s="326"/>
      <c r="G17370" s="326"/>
      <c r="H17370" s="326"/>
      <c r="P17370" s="318"/>
      <c r="Q17370" s="318"/>
      <c r="R17370" s="318"/>
      <c r="S17370" s="318"/>
      <c r="T17370" s="318"/>
      <c r="U17370" s="318"/>
      <c r="V17370" s="318"/>
      <c r="W17370" s="318"/>
      <c r="X17370" s="318"/>
      <c r="Y17370" s="318"/>
      <c r="Z17370" s="318"/>
      <c r="AA17370" s="318"/>
      <c r="AB17370" s="318"/>
      <c r="AC17370" s="318"/>
      <c r="AD17370" s="318"/>
    </row>
    <row r="17371" spans="2:30" s="323" customFormat="1" ht="12" customHeight="1">
      <c r="B17371" s="324"/>
      <c r="C17371" s="325"/>
      <c r="D17371" s="326"/>
      <c r="E17371" s="326"/>
      <c r="F17371" s="326"/>
      <c r="G17371" s="326"/>
      <c r="H17371" s="326"/>
      <c r="P17371" s="318"/>
      <c r="Q17371" s="318"/>
      <c r="R17371" s="318"/>
      <c r="S17371" s="318"/>
      <c r="T17371" s="318"/>
      <c r="U17371" s="318"/>
      <c r="V17371" s="318"/>
      <c r="W17371" s="318"/>
      <c r="X17371" s="318"/>
      <c r="Y17371" s="318"/>
      <c r="Z17371" s="318"/>
      <c r="AA17371" s="318"/>
      <c r="AB17371" s="318"/>
      <c r="AC17371" s="318"/>
      <c r="AD17371" s="318"/>
    </row>
    <row r="17372" spans="2:30" s="323" customFormat="1" ht="12" customHeight="1">
      <c r="B17372" s="324"/>
      <c r="C17372" s="325"/>
      <c r="D17372" s="326"/>
      <c r="E17372" s="326"/>
      <c r="F17372" s="326"/>
      <c r="G17372" s="326"/>
      <c r="H17372" s="326"/>
      <c r="P17372" s="318"/>
      <c r="Q17372" s="318"/>
      <c r="R17372" s="318"/>
      <c r="S17372" s="318"/>
      <c r="T17372" s="318"/>
      <c r="U17372" s="318"/>
      <c r="V17372" s="318"/>
      <c r="W17372" s="318"/>
      <c r="X17372" s="318"/>
      <c r="Y17372" s="318"/>
      <c r="Z17372" s="318"/>
      <c r="AA17372" s="318"/>
      <c r="AB17372" s="318"/>
      <c r="AC17372" s="318"/>
      <c r="AD17372" s="318"/>
    </row>
    <row r="17373" spans="2:30" s="323" customFormat="1" ht="12" customHeight="1">
      <c r="B17373" s="324"/>
      <c r="C17373" s="325"/>
      <c r="D17373" s="326"/>
      <c r="E17373" s="326"/>
      <c r="F17373" s="326"/>
      <c r="G17373" s="326"/>
      <c r="H17373" s="326"/>
      <c r="P17373" s="318"/>
      <c r="Q17373" s="318"/>
      <c r="R17373" s="318"/>
      <c r="S17373" s="318"/>
      <c r="T17373" s="318"/>
      <c r="U17373" s="318"/>
      <c r="V17373" s="318"/>
      <c r="W17373" s="318"/>
      <c r="X17373" s="318"/>
      <c r="Y17373" s="318"/>
      <c r="Z17373" s="318"/>
      <c r="AA17373" s="318"/>
      <c r="AB17373" s="318"/>
      <c r="AC17373" s="318"/>
      <c r="AD17373" s="318"/>
    </row>
    <row r="17374" spans="2:30" s="323" customFormat="1" ht="12" customHeight="1">
      <c r="B17374" s="324"/>
      <c r="C17374" s="325"/>
      <c r="D17374" s="326"/>
      <c r="E17374" s="326"/>
      <c r="F17374" s="326"/>
      <c r="G17374" s="326"/>
      <c r="H17374" s="326"/>
      <c r="P17374" s="318"/>
      <c r="Q17374" s="318"/>
      <c r="R17374" s="318"/>
      <c r="S17374" s="318"/>
      <c r="T17374" s="318"/>
      <c r="U17374" s="318"/>
      <c r="V17374" s="318"/>
      <c r="W17374" s="318"/>
      <c r="X17374" s="318"/>
      <c r="Y17374" s="318"/>
      <c r="Z17374" s="318"/>
      <c r="AA17374" s="318"/>
      <c r="AB17374" s="318"/>
      <c r="AC17374" s="318"/>
      <c r="AD17374" s="318"/>
    </row>
    <row r="17375" spans="2:30" s="323" customFormat="1" ht="12" customHeight="1">
      <c r="B17375" s="324"/>
      <c r="C17375" s="325"/>
      <c r="D17375" s="326"/>
      <c r="E17375" s="326"/>
      <c r="F17375" s="326"/>
      <c r="G17375" s="326"/>
      <c r="H17375" s="326"/>
      <c r="P17375" s="318"/>
      <c r="Q17375" s="318"/>
      <c r="R17375" s="318"/>
      <c r="S17375" s="318"/>
      <c r="T17375" s="318"/>
      <c r="U17375" s="318"/>
      <c r="V17375" s="318"/>
      <c r="W17375" s="318"/>
      <c r="X17375" s="318"/>
      <c r="Y17375" s="318"/>
      <c r="Z17375" s="318"/>
      <c r="AA17375" s="318"/>
      <c r="AB17375" s="318"/>
      <c r="AC17375" s="318"/>
      <c r="AD17375" s="318"/>
    </row>
    <row r="17376" spans="2:30" s="323" customFormat="1" ht="12" customHeight="1">
      <c r="B17376" s="324"/>
      <c r="C17376" s="325"/>
      <c r="D17376" s="326"/>
      <c r="E17376" s="326"/>
      <c r="F17376" s="326"/>
      <c r="G17376" s="326"/>
      <c r="H17376" s="326"/>
      <c r="P17376" s="318"/>
      <c r="Q17376" s="318"/>
      <c r="R17376" s="318"/>
      <c r="S17376" s="318"/>
      <c r="T17376" s="318"/>
      <c r="U17376" s="318"/>
      <c r="V17376" s="318"/>
      <c r="W17376" s="318"/>
      <c r="X17376" s="318"/>
      <c r="Y17376" s="318"/>
      <c r="Z17376" s="318"/>
      <c r="AA17376" s="318"/>
      <c r="AB17376" s="318"/>
      <c r="AC17376" s="318"/>
      <c r="AD17376" s="318"/>
    </row>
    <row r="17377" spans="2:30" s="323" customFormat="1" ht="12" customHeight="1">
      <c r="B17377" s="324"/>
      <c r="C17377" s="325"/>
      <c r="D17377" s="326"/>
      <c r="E17377" s="326"/>
      <c r="F17377" s="326"/>
      <c r="G17377" s="326"/>
      <c r="H17377" s="326"/>
      <c r="P17377" s="318"/>
      <c r="Q17377" s="318"/>
      <c r="R17377" s="318"/>
      <c r="S17377" s="318"/>
      <c r="T17377" s="318"/>
      <c r="U17377" s="318"/>
      <c r="V17377" s="318"/>
      <c r="W17377" s="318"/>
      <c r="X17377" s="318"/>
      <c r="Y17377" s="318"/>
      <c r="Z17377" s="318"/>
      <c r="AA17377" s="318"/>
      <c r="AB17377" s="318"/>
      <c r="AC17377" s="318"/>
      <c r="AD17377" s="318"/>
    </row>
    <row r="17378" spans="2:30" s="323" customFormat="1" ht="12" customHeight="1">
      <c r="B17378" s="324"/>
      <c r="C17378" s="325"/>
      <c r="D17378" s="326"/>
      <c r="E17378" s="326"/>
      <c r="F17378" s="326"/>
      <c r="G17378" s="326"/>
      <c r="H17378" s="326"/>
      <c r="P17378" s="318"/>
      <c r="Q17378" s="318"/>
      <c r="R17378" s="318"/>
      <c r="S17378" s="318"/>
      <c r="T17378" s="318"/>
      <c r="U17378" s="318"/>
      <c r="V17378" s="318"/>
      <c r="W17378" s="318"/>
      <c r="X17378" s="318"/>
      <c r="Y17378" s="318"/>
      <c r="Z17378" s="318"/>
      <c r="AA17378" s="318"/>
      <c r="AB17378" s="318"/>
      <c r="AC17378" s="318"/>
      <c r="AD17378" s="318"/>
    </row>
    <row r="17379" spans="2:30" s="323" customFormat="1" ht="12" customHeight="1">
      <c r="B17379" s="324"/>
      <c r="C17379" s="325"/>
      <c r="D17379" s="326"/>
      <c r="E17379" s="326"/>
      <c r="F17379" s="326"/>
      <c r="G17379" s="326"/>
      <c r="H17379" s="326"/>
      <c r="P17379" s="318"/>
      <c r="Q17379" s="318"/>
      <c r="R17379" s="318"/>
      <c r="S17379" s="318"/>
      <c r="T17379" s="318"/>
      <c r="U17379" s="318"/>
      <c r="V17379" s="318"/>
      <c r="W17379" s="318"/>
      <c r="X17379" s="318"/>
      <c r="Y17379" s="318"/>
      <c r="Z17379" s="318"/>
      <c r="AA17379" s="318"/>
      <c r="AB17379" s="318"/>
      <c r="AC17379" s="318"/>
      <c r="AD17379" s="318"/>
    </row>
    <row r="17380" spans="2:30" s="323" customFormat="1" ht="12" customHeight="1">
      <c r="B17380" s="324"/>
      <c r="C17380" s="325"/>
      <c r="D17380" s="326"/>
      <c r="E17380" s="326"/>
      <c r="F17380" s="326"/>
      <c r="G17380" s="326"/>
      <c r="H17380" s="326"/>
      <c r="P17380" s="318"/>
      <c r="Q17380" s="318"/>
      <c r="R17380" s="318"/>
      <c r="S17380" s="318"/>
      <c r="T17380" s="318"/>
      <c r="U17380" s="318"/>
      <c r="V17380" s="318"/>
      <c r="W17380" s="318"/>
      <c r="X17380" s="318"/>
      <c r="Y17380" s="318"/>
      <c r="Z17380" s="318"/>
      <c r="AA17380" s="318"/>
      <c r="AB17380" s="318"/>
      <c r="AC17380" s="318"/>
      <c r="AD17380" s="318"/>
    </row>
    <row r="17381" spans="2:30" s="323" customFormat="1" ht="12" customHeight="1">
      <c r="B17381" s="324"/>
      <c r="C17381" s="325"/>
      <c r="D17381" s="326"/>
      <c r="E17381" s="326"/>
      <c r="F17381" s="326"/>
      <c r="G17381" s="326"/>
      <c r="H17381" s="326"/>
      <c r="P17381" s="318"/>
      <c r="Q17381" s="318"/>
      <c r="R17381" s="318"/>
      <c r="S17381" s="318"/>
      <c r="T17381" s="318"/>
      <c r="U17381" s="318"/>
      <c r="V17381" s="318"/>
      <c r="W17381" s="318"/>
      <c r="X17381" s="318"/>
      <c r="Y17381" s="318"/>
      <c r="Z17381" s="318"/>
      <c r="AA17381" s="318"/>
      <c r="AB17381" s="318"/>
      <c r="AC17381" s="318"/>
      <c r="AD17381" s="318"/>
    </row>
    <row r="17382" spans="2:30" s="323" customFormat="1" ht="12" customHeight="1">
      <c r="B17382" s="324"/>
      <c r="C17382" s="325"/>
      <c r="D17382" s="326"/>
      <c r="E17382" s="326"/>
      <c r="F17382" s="326"/>
      <c r="G17382" s="326"/>
      <c r="H17382" s="326"/>
      <c r="P17382" s="318"/>
      <c r="Q17382" s="318"/>
      <c r="R17382" s="318"/>
      <c r="S17382" s="318"/>
      <c r="T17382" s="318"/>
      <c r="U17382" s="318"/>
      <c r="V17382" s="318"/>
      <c r="W17382" s="318"/>
      <c r="X17382" s="318"/>
      <c r="Y17382" s="318"/>
      <c r="Z17382" s="318"/>
      <c r="AA17382" s="318"/>
      <c r="AB17382" s="318"/>
      <c r="AC17382" s="318"/>
      <c r="AD17382" s="318"/>
    </row>
    <row r="17383" spans="2:30" s="323" customFormat="1" ht="12" customHeight="1">
      <c r="B17383" s="324"/>
      <c r="C17383" s="325"/>
      <c r="D17383" s="326"/>
      <c r="E17383" s="326"/>
      <c r="F17383" s="326"/>
      <c r="G17383" s="326"/>
      <c r="H17383" s="326"/>
      <c r="P17383" s="318"/>
      <c r="Q17383" s="318"/>
      <c r="R17383" s="318"/>
      <c r="S17383" s="318"/>
      <c r="T17383" s="318"/>
      <c r="U17383" s="318"/>
      <c r="V17383" s="318"/>
      <c r="W17383" s="318"/>
      <c r="X17383" s="318"/>
      <c r="Y17383" s="318"/>
      <c r="Z17383" s="318"/>
      <c r="AA17383" s="318"/>
      <c r="AB17383" s="318"/>
      <c r="AC17383" s="318"/>
      <c r="AD17383" s="318"/>
    </row>
    <row r="17384" spans="2:30" s="323" customFormat="1" ht="12" customHeight="1">
      <c r="B17384" s="324"/>
      <c r="C17384" s="325"/>
      <c r="D17384" s="326"/>
      <c r="E17384" s="326"/>
      <c r="F17384" s="326"/>
      <c r="G17384" s="326"/>
      <c r="H17384" s="326"/>
      <c r="P17384" s="318"/>
      <c r="Q17384" s="318"/>
      <c r="R17384" s="318"/>
      <c r="S17384" s="318"/>
      <c r="T17384" s="318"/>
      <c r="U17384" s="318"/>
      <c r="V17384" s="318"/>
      <c r="W17384" s="318"/>
      <c r="X17384" s="318"/>
      <c r="Y17384" s="318"/>
      <c r="Z17384" s="318"/>
      <c r="AA17384" s="318"/>
      <c r="AB17384" s="318"/>
      <c r="AC17384" s="318"/>
      <c r="AD17384" s="318"/>
    </row>
    <row r="17385" spans="2:30" s="323" customFormat="1" ht="12" customHeight="1">
      <c r="B17385" s="324"/>
      <c r="C17385" s="325"/>
      <c r="D17385" s="326"/>
      <c r="E17385" s="326"/>
      <c r="F17385" s="326"/>
      <c r="G17385" s="326"/>
      <c r="H17385" s="326"/>
      <c r="P17385" s="318"/>
      <c r="Q17385" s="318"/>
      <c r="R17385" s="318"/>
      <c r="S17385" s="318"/>
      <c r="T17385" s="318"/>
      <c r="U17385" s="318"/>
      <c r="V17385" s="318"/>
      <c r="W17385" s="318"/>
      <c r="X17385" s="318"/>
      <c r="Y17385" s="318"/>
      <c r="Z17385" s="318"/>
      <c r="AA17385" s="318"/>
      <c r="AB17385" s="318"/>
      <c r="AC17385" s="318"/>
      <c r="AD17385" s="318"/>
    </row>
    <row r="17386" spans="2:30" s="323" customFormat="1" ht="12" customHeight="1">
      <c r="B17386" s="324"/>
      <c r="C17386" s="325"/>
      <c r="D17386" s="326"/>
      <c r="E17386" s="326"/>
      <c r="F17386" s="326"/>
      <c r="G17386" s="326"/>
      <c r="H17386" s="326"/>
      <c r="P17386" s="318"/>
      <c r="Q17386" s="318"/>
      <c r="R17386" s="318"/>
      <c r="S17386" s="318"/>
      <c r="T17386" s="318"/>
      <c r="U17386" s="318"/>
      <c r="V17386" s="318"/>
      <c r="W17386" s="318"/>
      <c r="X17386" s="318"/>
      <c r="Y17386" s="318"/>
      <c r="Z17386" s="318"/>
      <c r="AA17386" s="318"/>
      <c r="AB17386" s="318"/>
      <c r="AC17386" s="318"/>
      <c r="AD17386" s="318"/>
    </row>
    <row r="17387" spans="2:30" s="323" customFormat="1" ht="12" customHeight="1">
      <c r="B17387" s="324"/>
      <c r="C17387" s="325"/>
      <c r="D17387" s="326"/>
      <c r="E17387" s="326"/>
      <c r="F17387" s="326"/>
      <c r="G17387" s="326"/>
      <c r="H17387" s="326"/>
      <c r="P17387" s="318"/>
      <c r="Q17387" s="318"/>
      <c r="R17387" s="318"/>
      <c r="S17387" s="318"/>
      <c r="T17387" s="318"/>
      <c r="U17387" s="318"/>
      <c r="V17387" s="318"/>
      <c r="W17387" s="318"/>
      <c r="X17387" s="318"/>
      <c r="Y17387" s="318"/>
      <c r="Z17387" s="318"/>
      <c r="AA17387" s="318"/>
      <c r="AB17387" s="318"/>
      <c r="AC17387" s="318"/>
      <c r="AD17387" s="318"/>
    </row>
    <row r="17388" spans="2:30" s="323" customFormat="1" ht="12" customHeight="1">
      <c r="B17388" s="324"/>
      <c r="C17388" s="325"/>
      <c r="D17388" s="326"/>
      <c r="E17388" s="326"/>
      <c r="F17388" s="326"/>
      <c r="G17388" s="326"/>
      <c r="H17388" s="326"/>
      <c r="P17388" s="318"/>
      <c r="Q17388" s="318"/>
      <c r="R17388" s="318"/>
      <c r="S17388" s="318"/>
      <c r="T17388" s="318"/>
      <c r="U17388" s="318"/>
      <c r="V17388" s="318"/>
      <c r="W17388" s="318"/>
      <c r="X17388" s="318"/>
      <c r="Y17388" s="318"/>
      <c r="Z17388" s="318"/>
      <c r="AA17388" s="318"/>
      <c r="AB17388" s="318"/>
      <c r="AC17388" s="318"/>
      <c r="AD17388" s="318"/>
    </row>
    <row r="17389" spans="2:30" s="323" customFormat="1" ht="12" customHeight="1">
      <c r="B17389" s="324"/>
      <c r="C17389" s="325"/>
      <c r="D17389" s="326"/>
      <c r="E17389" s="326"/>
      <c r="F17389" s="326"/>
      <c r="G17389" s="326"/>
      <c r="H17389" s="326"/>
      <c r="P17389" s="318"/>
      <c r="Q17389" s="318"/>
      <c r="R17389" s="318"/>
      <c r="S17389" s="318"/>
      <c r="T17389" s="318"/>
      <c r="U17389" s="318"/>
      <c r="V17389" s="318"/>
      <c r="W17389" s="318"/>
      <c r="X17389" s="318"/>
      <c r="Y17389" s="318"/>
      <c r="Z17389" s="318"/>
      <c r="AA17389" s="318"/>
      <c r="AB17389" s="318"/>
      <c r="AC17389" s="318"/>
      <c r="AD17389" s="318"/>
    </row>
    <row r="17390" spans="2:30" s="323" customFormat="1" ht="12" customHeight="1">
      <c r="B17390" s="324"/>
      <c r="C17390" s="325"/>
      <c r="D17390" s="326"/>
      <c r="E17390" s="326"/>
      <c r="F17390" s="326"/>
      <c r="G17390" s="326"/>
      <c r="H17390" s="326"/>
      <c r="P17390" s="318"/>
      <c r="Q17390" s="318"/>
      <c r="R17390" s="318"/>
      <c r="S17390" s="318"/>
      <c r="T17390" s="318"/>
      <c r="U17390" s="318"/>
      <c r="V17390" s="318"/>
      <c r="W17390" s="318"/>
      <c r="X17390" s="318"/>
      <c r="Y17390" s="318"/>
      <c r="Z17390" s="318"/>
      <c r="AA17390" s="318"/>
      <c r="AB17390" s="318"/>
      <c r="AC17390" s="318"/>
      <c r="AD17390" s="318"/>
    </row>
    <row r="17391" spans="2:30" s="323" customFormat="1" ht="12" customHeight="1">
      <c r="B17391" s="324"/>
      <c r="C17391" s="325"/>
      <c r="D17391" s="326"/>
      <c r="E17391" s="326"/>
      <c r="F17391" s="326"/>
      <c r="G17391" s="326"/>
      <c r="H17391" s="326"/>
      <c r="P17391" s="318"/>
      <c r="Q17391" s="318"/>
      <c r="R17391" s="318"/>
      <c r="S17391" s="318"/>
      <c r="T17391" s="318"/>
      <c r="U17391" s="318"/>
      <c r="V17391" s="318"/>
      <c r="W17391" s="318"/>
      <c r="X17391" s="318"/>
      <c r="Y17391" s="318"/>
      <c r="Z17391" s="318"/>
      <c r="AA17391" s="318"/>
      <c r="AB17391" s="318"/>
      <c r="AC17391" s="318"/>
      <c r="AD17391" s="318"/>
    </row>
    <row r="17392" spans="2:30" s="323" customFormat="1" ht="12" customHeight="1">
      <c r="B17392" s="324"/>
      <c r="C17392" s="325"/>
      <c r="D17392" s="326"/>
      <c r="E17392" s="326"/>
      <c r="F17392" s="326"/>
      <c r="G17392" s="326"/>
      <c r="H17392" s="326"/>
      <c r="P17392" s="318"/>
      <c r="Q17392" s="318"/>
      <c r="R17392" s="318"/>
      <c r="S17392" s="318"/>
      <c r="T17392" s="318"/>
      <c r="U17392" s="318"/>
      <c r="V17392" s="318"/>
      <c r="W17392" s="318"/>
      <c r="X17392" s="318"/>
      <c r="Y17392" s="318"/>
      <c r="Z17392" s="318"/>
      <c r="AA17392" s="318"/>
      <c r="AB17392" s="318"/>
      <c r="AC17392" s="318"/>
      <c r="AD17392" s="318"/>
    </row>
    <row r="17393" spans="2:30" s="323" customFormat="1" ht="12" customHeight="1">
      <c r="B17393" s="324"/>
      <c r="C17393" s="325"/>
      <c r="D17393" s="326"/>
      <c r="E17393" s="326"/>
      <c r="F17393" s="326"/>
      <c r="G17393" s="326"/>
      <c r="H17393" s="326"/>
      <c r="P17393" s="318"/>
      <c r="Q17393" s="318"/>
      <c r="R17393" s="318"/>
      <c r="S17393" s="318"/>
      <c r="T17393" s="318"/>
      <c r="U17393" s="318"/>
      <c r="V17393" s="318"/>
      <c r="W17393" s="318"/>
      <c r="X17393" s="318"/>
      <c r="Y17393" s="318"/>
      <c r="Z17393" s="318"/>
      <c r="AA17393" s="318"/>
      <c r="AB17393" s="318"/>
      <c r="AC17393" s="318"/>
      <c r="AD17393" s="318"/>
    </row>
    <row r="17394" spans="2:30" s="323" customFormat="1" ht="12" customHeight="1">
      <c r="B17394" s="324"/>
      <c r="C17394" s="325"/>
      <c r="D17394" s="326"/>
      <c r="E17394" s="326"/>
      <c r="F17394" s="326"/>
      <c r="G17394" s="326"/>
      <c r="H17394" s="326"/>
      <c r="P17394" s="318"/>
      <c r="Q17394" s="318"/>
      <c r="R17394" s="318"/>
      <c r="S17394" s="318"/>
      <c r="T17394" s="318"/>
      <c r="U17394" s="318"/>
      <c r="V17394" s="318"/>
      <c r="W17394" s="318"/>
      <c r="X17394" s="318"/>
      <c r="Y17394" s="318"/>
      <c r="Z17394" s="318"/>
      <c r="AA17394" s="318"/>
      <c r="AB17394" s="318"/>
      <c r="AC17394" s="318"/>
      <c r="AD17394" s="318"/>
    </row>
    <row r="17395" spans="2:30" s="323" customFormat="1" ht="12" customHeight="1">
      <c r="B17395" s="324"/>
      <c r="C17395" s="325"/>
      <c r="D17395" s="326"/>
      <c r="E17395" s="326"/>
      <c r="F17395" s="326"/>
      <c r="G17395" s="326"/>
      <c r="H17395" s="326"/>
      <c r="P17395" s="318"/>
      <c r="Q17395" s="318"/>
      <c r="R17395" s="318"/>
      <c r="S17395" s="318"/>
      <c r="T17395" s="318"/>
      <c r="U17395" s="318"/>
      <c r="V17395" s="318"/>
      <c r="W17395" s="318"/>
      <c r="X17395" s="318"/>
      <c r="Y17395" s="318"/>
      <c r="Z17395" s="318"/>
      <c r="AA17395" s="318"/>
      <c r="AB17395" s="318"/>
      <c r="AC17395" s="318"/>
      <c r="AD17395" s="318"/>
    </row>
    <row r="17396" spans="2:30" s="323" customFormat="1" ht="12" customHeight="1">
      <c r="B17396" s="324"/>
      <c r="C17396" s="325"/>
      <c r="D17396" s="326"/>
      <c r="E17396" s="326"/>
      <c r="F17396" s="326"/>
      <c r="G17396" s="326"/>
      <c r="H17396" s="326"/>
      <c r="P17396" s="318"/>
      <c r="Q17396" s="318"/>
      <c r="R17396" s="318"/>
      <c r="S17396" s="318"/>
      <c r="T17396" s="318"/>
      <c r="U17396" s="318"/>
      <c r="V17396" s="318"/>
      <c r="W17396" s="318"/>
      <c r="X17396" s="318"/>
      <c r="Y17396" s="318"/>
      <c r="Z17396" s="318"/>
      <c r="AA17396" s="318"/>
      <c r="AB17396" s="318"/>
      <c r="AC17396" s="318"/>
      <c r="AD17396" s="318"/>
    </row>
    <row r="17397" spans="2:30" s="323" customFormat="1" ht="12" customHeight="1">
      <c r="B17397" s="324"/>
      <c r="C17397" s="325"/>
      <c r="D17397" s="326"/>
      <c r="E17397" s="326"/>
      <c r="F17397" s="326"/>
      <c r="G17397" s="326"/>
      <c r="H17397" s="326"/>
      <c r="P17397" s="318"/>
      <c r="Q17397" s="318"/>
      <c r="R17397" s="318"/>
      <c r="S17397" s="318"/>
      <c r="T17397" s="318"/>
      <c r="U17397" s="318"/>
      <c r="V17397" s="318"/>
      <c r="W17397" s="318"/>
      <c r="X17397" s="318"/>
      <c r="Y17397" s="318"/>
      <c r="Z17397" s="318"/>
      <c r="AA17397" s="318"/>
      <c r="AB17397" s="318"/>
      <c r="AC17397" s="318"/>
      <c r="AD17397" s="318"/>
    </row>
    <row r="17398" spans="2:30" s="323" customFormat="1" ht="12" customHeight="1">
      <c r="B17398" s="324"/>
      <c r="C17398" s="325"/>
      <c r="D17398" s="326"/>
      <c r="E17398" s="326"/>
      <c r="F17398" s="326"/>
      <c r="G17398" s="326"/>
      <c r="H17398" s="326"/>
      <c r="P17398" s="318"/>
      <c r="Q17398" s="318"/>
      <c r="R17398" s="318"/>
      <c r="S17398" s="318"/>
      <c r="T17398" s="318"/>
      <c r="U17398" s="318"/>
      <c r="V17398" s="318"/>
      <c r="W17398" s="318"/>
      <c r="X17398" s="318"/>
      <c r="Y17398" s="318"/>
      <c r="Z17398" s="318"/>
      <c r="AA17398" s="318"/>
      <c r="AB17398" s="318"/>
      <c r="AC17398" s="318"/>
      <c r="AD17398" s="318"/>
    </row>
    <row r="17399" spans="2:30" s="323" customFormat="1" ht="12" customHeight="1">
      <c r="B17399" s="324"/>
      <c r="C17399" s="325"/>
      <c r="D17399" s="326"/>
      <c r="E17399" s="326"/>
      <c r="F17399" s="326"/>
      <c r="G17399" s="326"/>
      <c r="H17399" s="326"/>
      <c r="P17399" s="318"/>
      <c r="Q17399" s="318"/>
      <c r="R17399" s="318"/>
      <c r="S17399" s="318"/>
      <c r="T17399" s="318"/>
      <c r="U17399" s="318"/>
      <c r="V17399" s="318"/>
      <c r="W17399" s="318"/>
      <c r="X17399" s="318"/>
      <c r="Y17399" s="318"/>
      <c r="Z17399" s="318"/>
      <c r="AA17399" s="318"/>
      <c r="AB17399" s="318"/>
      <c r="AC17399" s="318"/>
      <c r="AD17399" s="318"/>
    </row>
    <row r="17400" spans="2:30" s="323" customFormat="1" ht="12" customHeight="1">
      <c r="B17400" s="324"/>
      <c r="C17400" s="325"/>
      <c r="D17400" s="326"/>
      <c r="E17400" s="326"/>
      <c r="F17400" s="326"/>
      <c r="G17400" s="326"/>
      <c r="H17400" s="326"/>
      <c r="P17400" s="318"/>
      <c r="Q17400" s="318"/>
      <c r="R17400" s="318"/>
      <c r="S17400" s="318"/>
      <c r="T17400" s="318"/>
      <c r="U17400" s="318"/>
      <c r="V17400" s="318"/>
      <c r="W17400" s="318"/>
      <c r="X17400" s="318"/>
      <c r="Y17400" s="318"/>
      <c r="Z17400" s="318"/>
      <c r="AA17400" s="318"/>
      <c r="AB17400" s="318"/>
      <c r="AC17400" s="318"/>
      <c r="AD17400" s="318"/>
    </row>
    <row r="17401" spans="2:30" s="323" customFormat="1" ht="12" customHeight="1">
      <c r="B17401" s="324"/>
      <c r="C17401" s="325"/>
      <c r="D17401" s="326"/>
      <c r="E17401" s="326"/>
      <c r="F17401" s="326"/>
      <c r="G17401" s="326"/>
      <c r="H17401" s="326"/>
      <c r="P17401" s="318"/>
      <c r="Q17401" s="318"/>
      <c r="R17401" s="318"/>
      <c r="S17401" s="318"/>
      <c r="T17401" s="318"/>
      <c r="U17401" s="318"/>
      <c r="V17401" s="318"/>
      <c r="W17401" s="318"/>
      <c r="X17401" s="318"/>
      <c r="Y17401" s="318"/>
      <c r="Z17401" s="318"/>
      <c r="AA17401" s="318"/>
      <c r="AB17401" s="318"/>
      <c r="AC17401" s="318"/>
      <c r="AD17401" s="318"/>
    </row>
    <row r="17402" spans="2:30" s="323" customFormat="1" ht="12" customHeight="1">
      <c r="B17402" s="324"/>
      <c r="C17402" s="325"/>
      <c r="D17402" s="326"/>
      <c r="E17402" s="326"/>
      <c r="F17402" s="326"/>
      <c r="G17402" s="326"/>
      <c r="H17402" s="326"/>
      <c r="P17402" s="318"/>
      <c r="Q17402" s="318"/>
      <c r="R17402" s="318"/>
      <c r="S17402" s="318"/>
      <c r="T17402" s="318"/>
      <c r="U17402" s="318"/>
      <c r="V17402" s="318"/>
      <c r="W17402" s="318"/>
      <c r="X17402" s="318"/>
      <c r="Y17402" s="318"/>
      <c r="Z17402" s="318"/>
      <c r="AA17402" s="318"/>
      <c r="AB17402" s="318"/>
      <c r="AC17402" s="318"/>
      <c r="AD17402" s="318"/>
    </row>
    <row r="17403" spans="2:30" s="323" customFormat="1" ht="12" customHeight="1">
      <c r="B17403" s="324"/>
      <c r="C17403" s="325"/>
      <c r="D17403" s="326"/>
      <c r="E17403" s="326"/>
      <c r="F17403" s="326"/>
      <c r="G17403" s="326"/>
      <c r="H17403" s="326"/>
      <c r="P17403" s="318"/>
      <c r="Q17403" s="318"/>
      <c r="R17403" s="318"/>
      <c r="S17403" s="318"/>
      <c r="T17403" s="318"/>
      <c r="U17403" s="318"/>
      <c r="V17403" s="318"/>
      <c r="W17403" s="318"/>
      <c r="X17403" s="318"/>
      <c r="Y17403" s="318"/>
      <c r="Z17403" s="318"/>
      <c r="AA17403" s="318"/>
      <c r="AB17403" s="318"/>
      <c r="AC17403" s="318"/>
      <c r="AD17403" s="318"/>
    </row>
    <row r="17404" spans="2:30" s="323" customFormat="1" ht="12" customHeight="1">
      <c r="B17404" s="324"/>
      <c r="C17404" s="325"/>
      <c r="D17404" s="326"/>
      <c r="E17404" s="326"/>
      <c r="F17404" s="326"/>
      <c r="G17404" s="326"/>
      <c r="H17404" s="326"/>
      <c r="P17404" s="318"/>
      <c r="Q17404" s="318"/>
      <c r="R17404" s="318"/>
      <c r="S17404" s="318"/>
      <c r="T17404" s="318"/>
      <c r="U17404" s="318"/>
      <c r="V17404" s="318"/>
      <c r="W17404" s="318"/>
      <c r="X17404" s="318"/>
      <c r="Y17404" s="318"/>
      <c r="Z17404" s="318"/>
      <c r="AA17404" s="318"/>
      <c r="AB17404" s="318"/>
      <c r="AC17404" s="318"/>
      <c r="AD17404" s="318"/>
    </row>
    <row r="17405" spans="2:30" s="323" customFormat="1" ht="12" customHeight="1">
      <c r="B17405" s="324"/>
      <c r="C17405" s="325"/>
      <c r="D17405" s="326"/>
      <c r="E17405" s="326"/>
      <c r="F17405" s="326"/>
      <c r="G17405" s="326"/>
      <c r="H17405" s="326"/>
      <c r="P17405" s="318"/>
      <c r="Q17405" s="318"/>
      <c r="R17405" s="318"/>
      <c r="S17405" s="318"/>
      <c r="T17405" s="318"/>
      <c r="U17405" s="318"/>
      <c r="V17405" s="318"/>
      <c r="W17405" s="318"/>
      <c r="X17405" s="318"/>
      <c r="Y17405" s="318"/>
      <c r="Z17405" s="318"/>
      <c r="AA17405" s="318"/>
      <c r="AB17405" s="318"/>
      <c r="AC17405" s="318"/>
      <c r="AD17405" s="318"/>
    </row>
    <row r="17406" spans="2:30" s="323" customFormat="1" ht="12" customHeight="1">
      <c r="B17406" s="324"/>
      <c r="C17406" s="325"/>
      <c r="D17406" s="326"/>
      <c r="E17406" s="326"/>
      <c r="F17406" s="326"/>
      <c r="G17406" s="326"/>
      <c r="H17406" s="326"/>
      <c r="P17406" s="318"/>
      <c r="Q17406" s="318"/>
      <c r="R17406" s="318"/>
      <c r="S17406" s="318"/>
      <c r="T17406" s="318"/>
      <c r="U17406" s="318"/>
      <c r="V17406" s="318"/>
      <c r="W17406" s="318"/>
      <c r="X17406" s="318"/>
      <c r="Y17406" s="318"/>
      <c r="Z17406" s="318"/>
      <c r="AA17406" s="318"/>
      <c r="AB17406" s="318"/>
      <c r="AC17406" s="318"/>
      <c r="AD17406" s="318"/>
    </row>
    <row r="17407" spans="2:30" s="323" customFormat="1" ht="12" customHeight="1">
      <c r="B17407" s="324"/>
      <c r="C17407" s="325"/>
      <c r="D17407" s="326"/>
      <c r="E17407" s="326"/>
      <c r="F17407" s="326"/>
      <c r="G17407" s="326"/>
      <c r="H17407" s="326"/>
      <c r="P17407" s="318"/>
      <c r="Q17407" s="318"/>
      <c r="R17407" s="318"/>
      <c r="S17407" s="318"/>
      <c r="T17407" s="318"/>
      <c r="U17407" s="318"/>
      <c r="V17407" s="318"/>
      <c r="W17407" s="318"/>
      <c r="X17407" s="318"/>
      <c r="Y17407" s="318"/>
      <c r="Z17407" s="318"/>
      <c r="AA17407" s="318"/>
      <c r="AB17407" s="318"/>
      <c r="AC17407" s="318"/>
      <c r="AD17407" s="318"/>
    </row>
    <row r="17408" spans="2:30" s="323" customFormat="1" ht="12" customHeight="1">
      <c r="B17408" s="324"/>
      <c r="C17408" s="325"/>
      <c r="D17408" s="326"/>
      <c r="E17408" s="326"/>
      <c r="F17408" s="326"/>
      <c r="G17408" s="326"/>
      <c r="H17408" s="326"/>
      <c r="P17408" s="318"/>
      <c r="Q17408" s="318"/>
      <c r="R17408" s="318"/>
      <c r="S17408" s="318"/>
      <c r="T17408" s="318"/>
      <c r="U17408" s="318"/>
      <c r="V17408" s="318"/>
      <c r="W17408" s="318"/>
      <c r="X17408" s="318"/>
      <c r="Y17408" s="318"/>
      <c r="Z17408" s="318"/>
      <c r="AA17408" s="318"/>
      <c r="AB17408" s="318"/>
      <c r="AC17408" s="318"/>
      <c r="AD17408" s="318"/>
    </row>
    <row r="17409" spans="2:30" s="323" customFormat="1" ht="12" customHeight="1">
      <c r="B17409" s="324"/>
      <c r="C17409" s="325"/>
      <c r="D17409" s="326"/>
      <c r="E17409" s="326"/>
      <c r="F17409" s="326"/>
      <c r="G17409" s="326"/>
      <c r="H17409" s="326"/>
      <c r="P17409" s="318"/>
      <c r="Q17409" s="318"/>
      <c r="R17409" s="318"/>
      <c r="S17409" s="318"/>
      <c r="T17409" s="318"/>
      <c r="U17409" s="318"/>
      <c r="V17409" s="318"/>
      <c r="W17409" s="318"/>
      <c r="X17409" s="318"/>
      <c r="Y17409" s="318"/>
      <c r="Z17409" s="318"/>
      <c r="AA17409" s="318"/>
      <c r="AB17409" s="318"/>
      <c r="AC17409" s="318"/>
      <c r="AD17409" s="318"/>
    </row>
    <row r="17410" spans="2:30" s="323" customFormat="1" ht="12" customHeight="1">
      <c r="B17410" s="324"/>
      <c r="C17410" s="325"/>
      <c r="D17410" s="326"/>
      <c r="E17410" s="326"/>
      <c r="F17410" s="326"/>
      <c r="G17410" s="326"/>
      <c r="H17410" s="326"/>
      <c r="P17410" s="318"/>
      <c r="Q17410" s="318"/>
      <c r="R17410" s="318"/>
      <c r="S17410" s="318"/>
      <c r="T17410" s="318"/>
      <c r="U17410" s="318"/>
      <c r="V17410" s="318"/>
      <c r="W17410" s="318"/>
      <c r="X17410" s="318"/>
      <c r="Y17410" s="318"/>
      <c r="Z17410" s="318"/>
      <c r="AA17410" s="318"/>
      <c r="AB17410" s="318"/>
      <c r="AC17410" s="318"/>
      <c r="AD17410" s="318"/>
    </row>
    <row r="17411" spans="2:30" s="323" customFormat="1" ht="12" customHeight="1">
      <c r="B17411" s="324"/>
      <c r="C17411" s="325"/>
      <c r="D17411" s="326"/>
      <c r="E17411" s="326"/>
      <c r="F17411" s="326"/>
      <c r="G17411" s="326"/>
      <c r="H17411" s="326"/>
      <c r="P17411" s="318"/>
      <c r="Q17411" s="318"/>
      <c r="R17411" s="318"/>
      <c r="S17411" s="318"/>
      <c r="T17411" s="318"/>
      <c r="U17411" s="318"/>
      <c r="V17411" s="318"/>
      <c r="W17411" s="318"/>
      <c r="X17411" s="318"/>
      <c r="Y17411" s="318"/>
      <c r="Z17411" s="318"/>
      <c r="AA17411" s="318"/>
      <c r="AB17411" s="318"/>
      <c r="AC17411" s="318"/>
      <c r="AD17411" s="318"/>
    </row>
    <row r="17412" spans="2:30" s="323" customFormat="1" ht="12" customHeight="1">
      <c r="B17412" s="324"/>
      <c r="C17412" s="325"/>
      <c r="D17412" s="326"/>
      <c r="E17412" s="326"/>
      <c r="F17412" s="326"/>
      <c r="G17412" s="326"/>
      <c r="H17412" s="326"/>
      <c r="P17412" s="318"/>
      <c r="Q17412" s="318"/>
      <c r="R17412" s="318"/>
      <c r="S17412" s="318"/>
      <c r="T17412" s="318"/>
      <c r="U17412" s="318"/>
      <c r="V17412" s="318"/>
      <c r="W17412" s="318"/>
      <c r="X17412" s="318"/>
      <c r="Y17412" s="318"/>
      <c r="Z17412" s="318"/>
      <c r="AA17412" s="318"/>
      <c r="AB17412" s="318"/>
      <c r="AC17412" s="318"/>
      <c r="AD17412" s="318"/>
    </row>
    <row r="17413" spans="2:30" s="323" customFormat="1" ht="12" customHeight="1">
      <c r="B17413" s="324"/>
      <c r="C17413" s="325"/>
      <c r="D17413" s="326"/>
      <c r="E17413" s="326"/>
      <c r="F17413" s="326"/>
      <c r="G17413" s="326"/>
      <c r="H17413" s="326"/>
      <c r="P17413" s="318"/>
      <c r="Q17413" s="318"/>
      <c r="R17413" s="318"/>
      <c r="S17413" s="318"/>
      <c r="T17413" s="318"/>
      <c r="U17413" s="318"/>
      <c r="V17413" s="318"/>
      <c r="W17413" s="318"/>
      <c r="X17413" s="318"/>
      <c r="Y17413" s="318"/>
      <c r="Z17413" s="318"/>
      <c r="AA17413" s="318"/>
      <c r="AB17413" s="318"/>
      <c r="AC17413" s="318"/>
      <c r="AD17413" s="318"/>
    </row>
    <row r="17414" spans="2:30" s="323" customFormat="1" ht="12" customHeight="1">
      <c r="B17414" s="324"/>
      <c r="C17414" s="325"/>
      <c r="D17414" s="326"/>
      <c r="E17414" s="326"/>
      <c r="F17414" s="326"/>
      <c r="G17414" s="326"/>
      <c r="H17414" s="326"/>
      <c r="P17414" s="318"/>
      <c r="Q17414" s="318"/>
      <c r="R17414" s="318"/>
      <c r="S17414" s="318"/>
      <c r="T17414" s="318"/>
      <c r="U17414" s="318"/>
      <c r="V17414" s="318"/>
      <c r="W17414" s="318"/>
      <c r="X17414" s="318"/>
      <c r="Y17414" s="318"/>
      <c r="Z17414" s="318"/>
      <c r="AA17414" s="318"/>
      <c r="AB17414" s="318"/>
      <c r="AC17414" s="318"/>
      <c r="AD17414" s="318"/>
    </row>
    <row r="17415" spans="2:30" s="323" customFormat="1" ht="12" customHeight="1">
      <c r="B17415" s="324"/>
      <c r="C17415" s="325"/>
      <c r="D17415" s="326"/>
      <c r="E17415" s="326"/>
      <c r="F17415" s="326"/>
      <c r="G17415" s="326"/>
      <c r="H17415" s="326"/>
      <c r="P17415" s="318"/>
      <c r="Q17415" s="318"/>
      <c r="R17415" s="318"/>
      <c r="S17415" s="318"/>
      <c r="T17415" s="318"/>
      <c r="U17415" s="318"/>
      <c r="V17415" s="318"/>
      <c r="W17415" s="318"/>
      <c r="X17415" s="318"/>
      <c r="Y17415" s="318"/>
      <c r="Z17415" s="318"/>
      <c r="AA17415" s="318"/>
      <c r="AB17415" s="318"/>
      <c r="AC17415" s="318"/>
      <c r="AD17415" s="318"/>
    </row>
    <row r="17416" spans="2:30" s="323" customFormat="1" ht="12" customHeight="1">
      <c r="B17416" s="324"/>
      <c r="C17416" s="325"/>
      <c r="D17416" s="326"/>
      <c r="E17416" s="326"/>
      <c r="F17416" s="326"/>
      <c r="G17416" s="326"/>
      <c r="H17416" s="326"/>
      <c r="P17416" s="318"/>
      <c r="Q17416" s="318"/>
      <c r="R17416" s="318"/>
      <c r="S17416" s="318"/>
      <c r="T17416" s="318"/>
      <c r="U17416" s="318"/>
      <c r="V17416" s="318"/>
      <c r="W17416" s="318"/>
      <c r="X17416" s="318"/>
      <c r="Y17416" s="318"/>
      <c r="Z17416" s="318"/>
      <c r="AA17416" s="318"/>
      <c r="AB17416" s="318"/>
      <c r="AC17416" s="318"/>
      <c r="AD17416" s="318"/>
    </row>
    <row r="17417" spans="2:30" s="323" customFormat="1" ht="12" customHeight="1">
      <c r="B17417" s="324"/>
      <c r="C17417" s="325"/>
      <c r="D17417" s="326"/>
      <c r="E17417" s="326"/>
      <c r="F17417" s="326"/>
      <c r="G17417" s="326"/>
      <c r="H17417" s="326"/>
      <c r="P17417" s="318"/>
      <c r="Q17417" s="318"/>
      <c r="R17417" s="318"/>
      <c r="S17417" s="318"/>
      <c r="T17417" s="318"/>
      <c r="U17417" s="318"/>
      <c r="V17417" s="318"/>
      <c r="W17417" s="318"/>
      <c r="X17417" s="318"/>
      <c r="Y17417" s="318"/>
      <c r="Z17417" s="318"/>
      <c r="AA17417" s="318"/>
      <c r="AB17417" s="318"/>
      <c r="AC17417" s="318"/>
      <c r="AD17417" s="318"/>
    </row>
    <row r="17418" spans="2:30" s="323" customFormat="1" ht="12" customHeight="1">
      <c r="B17418" s="324"/>
      <c r="C17418" s="325"/>
      <c r="D17418" s="326"/>
      <c r="E17418" s="326"/>
      <c r="F17418" s="326"/>
      <c r="G17418" s="326"/>
      <c r="H17418" s="326"/>
      <c r="P17418" s="318"/>
      <c r="Q17418" s="318"/>
      <c r="R17418" s="318"/>
      <c r="S17418" s="318"/>
      <c r="T17418" s="318"/>
      <c r="U17418" s="318"/>
      <c r="V17418" s="318"/>
      <c r="W17418" s="318"/>
      <c r="X17418" s="318"/>
      <c r="Y17418" s="318"/>
      <c r="Z17418" s="318"/>
      <c r="AA17418" s="318"/>
      <c r="AB17418" s="318"/>
      <c r="AC17418" s="318"/>
      <c r="AD17418" s="318"/>
    </row>
    <row r="17419" spans="2:30" s="323" customFormat="1" ht="12" customHeight="1">
      <c r="B17419" s="324"/>
      <c r="C17419" s="325"/>
      <c r="D17419" s="326"/>
      <c r="E17419" s="326"/>
      <c r="F17419" s="326"/>
      <c r="G17419" s="326"/>
      <c r="H17419" s="326"/>
      <c r="P17419" s="318"/>
      <c r="Q17419" s="318"/>
      <c r="R17419" s="318"/>
      <c r="S17419" s="318"/>
      <c r="T17419" s="318"/>
      <c r="U17419" s="318"/>
      <c r="V17419" s="318"/>
      <c r="W17419" s="318"/>
      <c r="X17419" s="318"/>
      <c r="Y17419" s="318"/>
      <c r="Z17419" s="318"/>
      <c r="AA17419" s="318"/>
      <c r="AB17419" s="318"/>
      <c r="AC17419" s="318"/>
      <c r="AD17419" s="318"/>
    </row>
    <row r="17420" spans="2:30" s="323" customFormat="1" ht="12" customHeight="1">
      <c r="B17420" s="324"/>
      <c r="C17420" s="325"/>
      <c r="D17420" s="326"/>
      <c r="E17420" s="326"/>
      <c r="F17420" s="326"/>
      <c r="G17420" s="326"/>
      <c r="H17420" s="326"/>
      <c r="P17420" s="318"/>
      <c r="Q17420" s="318"/>
      <c r="R17420" s="318"/>
      <c r="S17420" s="318"/>
      <c r="T17420" s="318"/>
      <c r="U17420" s="318"/>
      <c r="V17420" s="318"/>
      <c r="W17420" s="318"/>
      <c r="X17420" s="318"/>
      <c r="Y17420" s="318"/>
      <c r="Z17420" s="318"/>
      <c r="AA17420" s="318"/>
      <c r="AB17420" s="318"/>
      <c r="AC17420" s="318"/>
      <c r="AD17420" s="318"/>
    </row>
    <row r="17421" spans="2:30" s="323" customFormat="1" ht="12" customHeight="1">
      <c r="B17421" s="324"/>
      <c r="C17421" s="325"/>
      <c r="D17421" s="326"/>
      <c r="E17421" s="326"/>
      <c r="F17421" s="326"/>
      <c r="G17421" s="326"/>
      <c r="H17421" s="326"/>
      <c r="P17421" s="318"/>
      <c r="Q17421" s="318"/>
      <c r="R17421" s="318"/>
      <c r="S17421" s="318"/>
      <c r="T17421" s="318"/>
      <c r="U17421" s="318"/>
      <c r="V17421" s="318"/>
      <c r="W17421" s="318"/>
      <c r="X17421" s="318"/>
      <c r="Y17421" s="318"/>
      <c r="Z17421" s="318"/>
      <c r="AA17421" s="318"/>
      <c r="AB17421" s="318"/>
      <c r="AC17421" s="318"/>
      <c r="AD17421" s="318"/>
    </row>
    <row r="17422" spans="2:30" s="323" customFormat="1" ht="12" customHeight="1">
      <c r="B17422" s="324"/>
      <c r="C17422" s="325"/>
      <c r="D17422" s="326"/>
      <c r="E17422" s="326"/>
      <c r="F17422" s="326"/>
      <c r="G17422" s="326"/>
      <c r="H17422" s="326"/>
      <c r="P17422" s="318"/>
      <c r="Q17422" s="318"/>
      <c r="R17422" s="318"/>
      <c r="S17422" s="318"/>
      <c r="T17422" s="318"/>
      <c r="U17422" s="318"/>
      <c r="V17422" s="318"/>
      <c r="W17422" s="318"/>
      <c r="X17422" s="318"/>
      <c r="Y17422" s="318"/>
      <c r="Z17422" s="318"/>
      <c r="AA17422" s="318"/>
      <c r="AB17422" s="318"/>
      <c r="AC17422" s="318"/>
      <c r="AD17422" s="318"/>
    </row>
    <row r="17423" spans="2:30" s="323" customFormat="1" ht="12" customHeight="1">
      <c r="B17423" s="324"/>
      <c r="C17423" s="325"/>
      <c r="D17423" s="326"/>
      <c r="E17423" s="326"/>
      <c r="F17423" s="326"/>
      <c r="G17423" s="326"/>
      <c r="H17423" s="326"/>
      <c r="P17423" s="318"/>
      <c r="Q17423" s="318"/>
      <c r="R17423" s="318"/>
      <c r="S17423" s="318"/>
      <c r="T17423" s="318"/>
      <c r="U17423" s="318"/>
      <c r="V17423" s="318"/>
      <c r="W17423" s="318"/>
      <c r="X17423" s="318"/>
      <c r="Y17423" s="318"/>
      <c r="Z17423" s="318"/>
      <c r="AA17423" s="318"/>
      <c r="AB17423" s="318"/>
      <c r="AC17423" s="318"/>
      <c r="AD17423" s="318"/>
    </row>
    <row r="17424" spans="2:30" s="323" customFormat="1" ht="12" customHeight="1">
      <c r="B17424" s="324"/>
      <c r="C17424" s="325"/>
      <c r="D17424" s="326"/>
      <c r="E17424" s="326"/>
      <c r="F17424" s="326"/>
      <c r="G17424" s="326"/>
      <c r="H17424" s="326"/>
      <c r="P17424" s="318"/>
      <c r="Q17424" s="318"/>
      <c r="R17424" s="318"/>
      <c r="S17424" s="318"/>
      <c r="T17424" s="318"/>
      <c r="U17424" s="318"/>
      <c r="V17424" s="318"/>
      <c r="W17424" s="318"/>
      <c r="X17424" s="318"/>
      <c r="Y17424" s="318"/>
      <c r="Z17424" s="318"/>
      <c r="AA17424" s="318"/>
      <c r="AB17424" s="318"/>
      <c r="AC17424" s="318"/>
      <c r="AD17424" s="318"/>
    </row>
    <row r="17425" spans="2:30" s="323" customFormat="1" ht="12" customHeight="1">
      <c r="B17425" s="324"/>
      <c r="C17425" s="325"/>
      <c r="D17425" s="326"/>
      <c r="E17425" s="326"/>
      <c r="F17425" s="326"/>
      <c r="G17425" s="326"/>
      <c r="H17425" s="326"/>
      <c r="P17425" s="318"/>
      <c r="Q17425" s="318"/>
      <c r="R17425" s="318"/>
      <c r="S17425" s="318"/>
      <c r="T17425" s="318"/>
      <c r="U17425" s="318"/>
      <c r="V17425" s="318"/>
      <c r="W17425" s="318"/>
      <c r="X17425" s="318"/>
      <c r="Y17425" s="318"/>
      <c r="Z17425" s="318"/>
      <c r="AA17425" s="318"/>
      <c r="AB17425" s="318"/>
      <c r="AC17425" s="318"/>
      <c r="AD17425" s="318"/>
    </row>
    <row r="17426" spans="2:30" s="323" customFormat="1" ht="12" customHeight="1">
      <c r="B17426" s="324"/>
      <c r="C17426" s="325"/>
      <c r="D17426" s="326"/>
      <c r="E17426" s="326"/>
      <c r="F17426" s="326"/>
      <c r="G17426" s="326"/>
      <c r="H17426" s="326"/>
      <c r="P17426" s="318"/>
      <c r="Q17426" s="318"/>
      <c r="R17426" s="318"/>
      <c r="S17426" s="318"/>
      <c r="T17426" s="318"/>
      <c r="U17426" s="318"/>
      <c r="V17426" s="318"/>
      <c r="W17426" s="318"/>
      <c r="X17426" s="318"/>
      <c r="Y17426" s="318"/>
      <c r="Z17426" s="318"/>
      <c r="AA17426" s="318"/>
      <c r="AB17426" s="318"/>
      <c r="AC17426" s="318"/>
      <c r="AD17426" s="318"/>
    </row>
    <row r="17427" spans="2:30" s="323" customFormat="1" ht="12" customHeight="1">
      <c r="B17427" s="324"/>
      <c r="C17427" s="325"/>
      <c r="D17427" s="326"/>
      <c r="E17427" s="326"/>
      <c r="F17427" s="326"/>
      <c r="G17427" s="326"/>
      <c r="H17427" s="326"/>
      <c r="P17427" s="318"/>
      <c r="Q17427" s="318"/>
      <c r="R17427" s="318"/>
      <c r="S17427" s="318"/>
      <c r="T17427" s="318"/>
      <c r="U17427" s="318"/>
      <c r="V17427" s="318"/>
      <c r="W17427" s="318"/>
      <c r="X17427" s="318"/>
      <c r="Y17427" s="318"/>
      <c r="Z17427" s="318"/>
      <c r="AA17427" s="318"/>
      <c r="AB17427" s="318"/>
      <c r="AC17427" s="318"/>
      <c r="AD17427" s="318"/>
    </row>
    <row r="17428" spans="2:30" s="323" customFormat="1" ht="12" customHeight="1">
      <c r="B17428" s="324"/>
      <c r="C17428" s="325"/>
      <c r="D17428" s="326"/>
      <c r="E17428" s="326"/>
      <c r="F17428" s="326"/>
      <c r="G17428" s="326"/>
      <c r="H17428" s="326"/>
      <c r="P17428" s="318"/>
      <c r="Q17428" s="318"/>
      <c r="R17428" s="318"/>
      <c r="S17428" s="318"/>
      <c r="T17428" s="318"/>
      <c r="U17428" s="318"/>
      <c r="V17428" s="318"/>
      <c r="W17428" s="318"/>
      <c r="X17428" s="318"/>
      <c r="Y17428" s="318"/>
      <c r="Z17428" s="318"/>
      <c r="AA17428" s="318"/>
      <c r="AB17428" s="318"/>
      <c r="AC17428" s="318"/>
      <c r="AD17428" s="318"/>
    </row>
    <row r="17429" spans="2:30" s="323" customFormat="1" ht="12" customHeight="1">
      <c r="B17429" s="324"/>
      <c r="C17429" s="325"/>
      <c r="D17429" s="326"/>
      <c r="E17429" s="326"/>
      <c r="F17429" s="326"/>
      <c r="G17429" s="326"/>
      <c r="H17429" s="326"/>
      <c r="P17429" s="318"/>
      <c r="Q17429" s="318"/>
      <c r="R17429" s="318"/>
      <c r="S17429" s="318"/>
      <c r="T17429" s="318"/>
      <c r="U17429" s="318"/>
      <c r="V17429" s="318"/>
      <c r="W17429" s="318"/>
      <c r="X17429" s="318"/>
      <c r="Y17429" s="318"/>
      <c r="Z17429" s="318"/>
      <c r="AA17429" s="318"/>
      <c r="AB17429" s="318"/>
      <c r="AC17429" s="318"/>
      <c r="AD17429" s="318"/>
    </row>
    <row r="17430" spans="2:30" s="323" customFormat="1" ht="12" customHeight="1">
      <c r="B17430" s="324"/>
      <c r="C17430" s="325"/>
      <c r="D17430" s="326"/>
      <c r="E17430" s="326"/>
      <c r="F17430" s="326"/>
      <c r="G17430" s="326"/>
      <c r="H17430" s="326"/>
      <c r="P17430" s="318"/>
      <c r="Q17430" s="318"/>
      <c r="R17430" s="318"/>
      <c r="S17430" s="318"/>
      <c r="T17430" s="318"/>
      <c r="U17430" s="318"/>
      <c r="V17430" s="318"/>
      <c r="W17430" s="318"/>
      <c r="X17430" s="318"/>
      <c r="Y17430" s="318"/>
      <c r="Z17430" s="318"/>
      <c r="AA17430" s="318"/>
      <c r="AB17430" s="318"/>
      <c r="AC17430" s="318"/>
      <c r="AD17430" s="318"/>
    </row>
    <row r="17431" spans="2:30" s="323" customFormat="1" ht="12" customHeight="1">
      <c r="B17431" s="324"/>
      <c r="C17431" s="325"/>
      <c r="D17431" s="326"/>
      <c r="E17431" s="326"/>
      <c r="F17431" s="326"/>
      <c r="G17431" s="326"/>
      <c r="H17431" s="326"/>
      <c r="P17431" s="318"/>
      <c r="Q17431" s="318"/>
      <c r="R17431" s="318"/>
      <c r="S17431" s="318"/>
      <c r="T17431" s="318"/>
      <c r="U17431" s="318"/>
      <c r="V17431" s="318"/>
      <c r="W17431" s="318"/>
      <c r="X17431" s="318"/>
      <c r="Y17431" s="318"/>
      <c r="Z17431" s="318"/>
      <c r="AA17431" s="318"/>
      <c r="AB17431" s="318"/>
      <c r="AC17431" s="318"/>
      <c r="AD17431" s="318"/>
    </row>
    <row r="17432" spans="2:30" s="323" customFormat="1" ht="12" customHeight="1">
      <c r="B17432" s="324"/>
      <c r="C17432" s="325"/>
      <c r="D17432" s="326"/>
      <c r="E17432" s="326"/>
      <c r="F17432" s="326"/>
      <c r="G17432" s="326"/>
      <c r="H17432" s="326"/>
      <c r="P17432" s="318"/>
      <c r="Q17432" s="318"/>
      <c r="R17432" s="318"/>
      <c r="S17432" s="318"/>
      <c r="T17432" s="318"/>
      <c r="U17432" s="318"/>
      <c r="V17432" s="318"/>
      <c r="W17432" s="318"/>
      <c r="X17432" s="318"/>
      <c r="Y17432" s="318"/>
      <c r="Z17432" s="318"/>
      <c r="AA17432" s="318"/>
      <c r="AB17432" s="318"/>
      <c r="AC17432" s="318"/>
      <c r="AD17432" s="318"/>
    </row>
    <row r="17433" spans="2:30" s="323" customFormat="1" ht="12" customHeight="1">
      <c r="B17433" s="324"/>
      <c r="C17433" s="325"/>
      <c r="D17433" s="326"/>
      <c r="E17433" s="326"/>
      <c r="F17433" s="326"/>
      <c r="G17433" s="326"/>
      <c r="H17433" s="326"/>
      <c r="P17433" s="318"/>
      <c r="Q17433" s="318"/>
      <c r="R17433" s="318"/>
      <c r="S17433" s="318"/>
      <c r="T17433" s="318"/>
      <c r="U17433" s="318"/>
      <c r="V17433" s="318"/>
      <c r="W17433" s="318"/>
      <c r="X17433" s="318"/>
      <c r="Y17433" s="318"/>
      <c r="Z17433" s="318"/>
      <c r="AA17433" s="318"/>
      <c r="AB17433" s="318"/>
      <c r="AC17433" s="318"/>
      <c r="AD17433" s="318"/>
    </row>
    <row r="17434" spans="2:30" s="323" customFormat="1" ht="12" customHeight="1">
      <c r="B17434" s="324"/>
      <c r="C17434" s="325"/>
      <c r="D17434" s="326"/>
      <c r="E17434" s="326"/>
      <c r="F17434" s="326"/>
      <c r="G17434" s="326"/>
      <c r="H17434" s="326"/>
      <c r="P17434" s="318"/>
      <c r="Q17434" s="318"/>
      <c r="R17434" s="318"/>
      <c r="S17434" s="318"/>
      <c r="T17434" s="318"/>
      <c r="U17434" s="318"/>
      <c r="V17434" s="318"/>
      <c r="W17434" s="318"/>
      <c r="X17434" s="318"/>
      <c r="Y17434" s="318"/>
      <c r="Z17434" s="318"/>
      <c r="AA17434" s="318"/>
      <c r="AB17434" s="318"/>
      <c r="AC17434" s="318"/>
      <c r="AD17434" s="318"/>
    </row>
    <row r="17435" spans="2:30" s="323" customFormat="1" ht="12" customHeight="1">
      <c r="B17435" s="324"/>
      <c r="C17435" s="325"/>
      <c r="D17435" s="326"/>
      <c r="E17435" s="326"/>
      <c r="F17435" s="326"/>
      <c r="G17435" s="326"/>
      <c r="H17435" s="326"/>
      <c r="P17435" s="318"/>
      <c r="Q17435" s="318"/>
      <c r="R17435" s="318"/>
      <c r="S17435" s="318"/>
      <c r="T17435" s="318"/>
      <c r="U17435" s="318"/>
      <c r="V17435" s="318"/>
      <c r="W17435" s="318"/>
      <c r="X17435" s="318"/>
      <c r="Y17435" s="318"/>
      <c r="Z17435" s="318"/>
      <c r="AA17435" s="318"/>
      <c r="AB17435" s="318"/>
      <c r="AC17435" s="318"/>
      <c r="AD17435" s="318"/>
    </row>
    <row r="17436" spans="2:30" s="323" customFormat="1" ht="12" customHeight="1">
      <c r="B17436" s="324"/>
      <c r="C17436" s="325"/>
      <c r="D17436" s="326"/>
      <c r="E17436" s="326"/>
      <c r="F17436" s="326"/>
      <c r="G17436" s="326"/>
      <c r="H17436" s="326"/>
      <c r="P17436" s="318"/>
      <c r="Q17436" s="318"/>
      <c r="R17436" s="318"/>
      <c r="S17436" s="318"/>
      <c r="T17436" s="318"/>
      <c r="U17436" s="318"/>
      <c r="V17436" s="318"/>
      <c r="W17436" s="318"/>
      <c r="X17436" s="318"/>
      <c r="Y17436" s="318"/>
      <c r="Z17436" s="318"/>
      <c r="AA17436" s="318"/>
      <c r="AB17436" s="318"/>
      <c r="AC17436" s="318"/>
      <c r="AD17436" s="318"/>
    </row>
    <row r="17437" spans="2:30" s="323" customFormat="1" ht="12" customHeight="1">
      <c r="B17437" s="324"/>
      <c r="C17437" s="325"/>
      <c r="D17437" s="326"/>
      <c r="E17437" s="326"/>
      <c r="F17437" s="326"/>
      <c r="G17437" s="326"/>
      <c r="H17437" s="326"/>
      <c r="P17437" s="318"/>
      <c r="Q17437" s="318"/>
      <c r="R17437" s="318"/>
      <c r="S17437" s="318"/>
      <c r="T17437" s="318"/>
      <c r="U17437" s="318"/>
      <c r="V17437" s="318"/>
      <c r="W17437" s="318"/>
      <c r="X17437" s="318"/>
      <c r="Y17437" s="318"/>
      <c r="Z17437" s="318"/>
      <c r="AA17437" s="318"/>
      <c r="AB17437" s="318"/>
      <c r="AC17437" s="318"/>
      <c r="AD17437" s="318"/>
    </row>
    <row r="17438" spans="2:30" s="323" customFormat="1" ht="12" customHeight="1">
      <c r="B17438" s="324"/>
      <c r="C17438" s="325"/>
      <c r="D17438" s="326"/>
      <c r="E17438" s="326"/>
      <c r="F17438" s="326"/>
      <c r="G17438" s="326"/>
      <c r="H17438" s="326"/>
      <c r="P17438" s="318"/>
      <c r="Q17438" s="318"/>
      <c r="R17438" s="318"/>
      <c r="S17438" s="318"/>
      <c r="T17438" s="318"/>
      <c r="U17438" s="318"/>
      <c r="V17438" s="318"/>
      <c r="W17438" s="318"/>
      <c r="X17438" s="318"/>
      <c r="Y17438" s="318"/>
      <c r="Z17438" s="318"/>
      <c r="AA17438" s="318"/>
      <c r="AB17438" s="318"/>
      <c r="AC17438" s="318"/>
      <c r="AD17438" s="318"/>
    </row>
    <row r="17439" spans="2:30" s="323" customFormat="1" ht="12" customHeight="1">
      <c r="B17439" s="324"/>
      <c r="C17439" s="325"/>
      <c r="D17439" s="326"/>
      <c r="E17439" s="326"/>
      <c r="F17439" s="326"/>
      <c r="G17439" s="326"/>
      <c r="H17439" s="326"/>
      <c r="P17439" s="318"/>
      <c r="Q17439" s="318"/>
      <c r="R17439" s="318"/>
      <c r="S17439" s="318"/>
      <c r="T17439" s="318"/>
      <c r="U17439" s="318"/>
      <c r="V17439" s="318"/>
      <c r="W17439" s="318"/>
      <c r="X17439" s="318"/>
      <c r="Y17439" s="318"/>
      <c r="Z17439" s="318"/>
      <c r="AA17439" s="318"/>
      <c r="AB17439" s="318"/>
      <c r="AC17439" s="318"/>
      <c r="AD17439" s="318"/>
    </row>
    <row r="17440" spans="2:30" s="323" customFormat="1" ht="12" customHeight="1">
      <c r="B17440" s="324"/>
      <c r="C17440" s="325"/>
      <c r="D17440" s="326"/>
      <c r="E17440" s="326"/>
      <c r="F17440" s="326"/>
      <c r="G17440" s="326"/>
      <c r="H17440" s="326"/>
      <c r="P17440" s="318"/>
      <c r="Q17440" s="318"/>
      <c r="R17440" s="318"/>
      <c r="S17440" s="318"/>
      <c r="T17440" s="318"/>
      <c r="U17440" s="318"/>
      <c r="V17440" s="318"/>
      <c r="W17440" s="318"/>
      <c r="X17440" s="318"/>
      <c r="Y17440" s="318"/>
      <c r="Z17440" s="318"/>
      <c r="AA17440" s="318"/>
      <c r="AB17440" s="318"/>
      <c r="AC17440" s="318"/>
      <c r="AD17440" s="318"/>
    </row>
    <row r="17441" spans="2:30" s="323" customFormat="1" ht="12" customHeight="1">
      <c r="B17441" s="324"/>
      <c r="C17441" s="325"/>
      <c r="D17441" s="326"/>
      <c r="E17441" s="326"/>
      <c r="F17441" s="326"/>
      <c r="G17441" s="326"/>
      <c r="H17441" s="326"/>
      <c r="P17441" s="318"/>
      <c r="Q17441" s="318"/>
      <c r="R17441" s="318"/>
      <c r="S17441" s="318"/>
      <c r="T17441" s="318"/>
      <c r="U17441" s="318"/>
      <c r="V17441" s="318"/>
      <c r="W17441" s="318"/>
      <c r="X17441" s="318"/>
      <c r="Y17441" s="318"/>
      <c r="Z17441" s="318"/>
      <c r="AA17441" s="318"/>
      <c r="AB17441" s="318"/>
      <c r="AC17441" s="318"/>
      <c r="AD17441" s="318"/>
    </row>
    <row r="17442" spans="2:30" s="323" customFormat="1" ht="12" customHeight="1">
      <c r="B17442" s="324"/>
      <c r="C17442" s="325"/>
      <c r="D17442" s="326"/>
      <c r="E17442" s="326"/>
      <c r="F17442" s="326"/>
      <c r="G17442" s="326"/>
      <c r="H17442" s="326"/>
      <c r="P17442" s="318"/>
      <c r="Q17442" s="318"/>
      <c r="R17442" s="318"/>
      <c r="S17442" s="318"/>
      <c r="T17442" s="318"/>
      <c r="U17442" s="318"/>
      <c r="V17442" s="318"/>
      <c r="W17442" s="318"/>
      <c r="X17442" s="318"/>
      <c r="Y17442" s="318"/>
      <c r="Z17442" s="318"/>
      <c r="AA17442" s="318"/>
      <c r="AB17442" s="318"/>
      <c r="AC17442" s="318"/>
      <c r="AD17442" s="318"/>
    </row>
    <row r="17443" spans="2:30" s="323" customFormat="1" ht="12" customHeight="1">
      <c r="B17443" s="324"/>
      <c r="C17443" s="325"/>
      <c r="D17443" s="326"/>
      <c r="E17443" s="326"/>
      <c r="F17443" s="326"/>
      <c r="G17443" s="326"/>
      <c r="H17443" s="326"/>
      <c r="P17443" s="318"/>
      <c r="Q17443" s="318"/>
      <c r="R17443" s="318"/>
      <c r="S17443" s="318"/>
      <c r="T17443" s="318"/>
      <c r="U17443" s="318"/>
      <c r="V17443" s="318"/>
      <c r="W17443" s="318"/>
      <c r="X17443" s="318"/>
      <c r="Y17443" s="318"/>
      <c r="Z17443" s="318"/>
      <c r="AA17443" s="318"/>
      <c r="AB17443" s="318"/>
      <c r="AC17443" s="318"/>
      <c r="AD17443" s="318"/>
    </row>
    <row r="17444" spans="2:30" s="323" customFormat="1" ht="12" customHeight="1">
      <c r="B17444" s="324"/>
      <c r="C17444" s="325"/>
      <c r="D17444" s="326"/>
      <c r="E17444" s="326"/>
      <c r="F17444" s="326"/>
      <c r="G17444" s="326"/>
      <c r="H17444" s="326"/>
      <c r="P17444" s="318"/>
      <c r="Q17444" s="318"/>
      <c r="R17444" s="318"/>
      <c r="S17444" s="318"/>
      <c r="T17444" s="318"/>
      <c r="U17444" s="318"/>
      <c r="V17444" s="318"/>
      <c r="W17444" s="318"/>
      <c r="X17444" s="318"/>
      <c r="Y17444" s="318"/>
      <c r="Z17444" s="318"/>
      <c r="AA17444" s="318"/>
      <c r="AB17444" s="318"/>
      <c r="AC17444" s="318"/>
      <c r="AD17444" s="318"/>
    </row>
    <row r="17445" spans="2:30" s="323" customFormat="1" ht="12" customHeight="1">
      <c r="B17445" s="324"/>
      <c r="C17445" s="325"/>
      <c r="D17445" s="326"/>
      <c r="E17445" s="326"/>
      <c r="F17445" s="326"/>
      <c r="G17445" s="326"/>
      <c r="H17445" s="326"/>
      <c r="P17445" s="318"/>
      <c r="Q17445" s="318"/>
      <c r="R17445" s="318"/>
      <c r="S17445" s="318"/>
      <c r="T17445" s="318"/>
      <c r="U17445" s="318"/>
      <c r="V17445" s="318"/>
      <c r="W17445" s="318"/>
      <c r="X17445" s="318"/>
      <c r="Y17445" s="318"/>
      <c r="Z17445" s="318"/>
      <c r="AA17445" s="318"/>
      <c r="AB17445" s="318"/>
      <c r="AC17445" s="318"/>
      <c r="AD17445" s="318"/>
    </row>
    <row r="17446" spans="2:30" s="323" customFormat="1" ht="12" customHeight="1">
      <c r="B17446" s="324"/>
      <c r="C17446" s="325"/>
      <c r="D17446" s="326"/>
      <c r="E17446" s="326"/>
      <c r="F17446" s="326"/>
      <c r="G17446" s="326"/>
      <c r="H17446" s="326"/>
      <c r="P17446" s="318"/>
      <c r="Q17446" s="318"/>
      <c r="R17446" s="318"/>
      <c r="S17446" s="318"/>
      <c r="T17446" s="318"/>
      <c r="U17446" s="318"/>
      <c r="V17446" s="318"/>
      <c r="W17446" s="318"/>
      <c r="X17446" s="318"/>
      <c r="Y17446" s="318"/>
      <c r="Z17446" s="318"/>
      <c r="AA17446" s="318"/>
      <c r="AB17446" s="318"/>
      <c r="AC17446" s="318"/>
      <c r="AD17446" s="318"/>
    </row>
    <row r="17447" spans="2:30" s="323" customFormat="1" ht="12" customHeight="1">
      <c r="B17447" s="324"/>
      <c r="C17447" s="325"/>
      <c r="D17447" s="326"/>
      <c r="E17447" s="326"/>
      <c r="F17447" s="326"/>
      <c r="G17447" s="326"/>
      <c r="H17447" s="326"/>
      <c r="P17447" s="318"/>
      <c r="Q17447" s="318"/>
      <c r="R17447" s="318"/>
      <c r="S17447" s="318"/>
      <c r="T17447" s="318"/>
      <c r="U17447" s="318"/>
      <c r="V17447" s="318"/>
      <c r="W17447" s="318"/>
      <c r="X17447" s="318"/>
      <c r="Y17447" s="318"/>
      <c r="Z17447" s="318"/>
      <c r="AA17447" s="318"/>
      <c r="AB17447" s="318"/>
      <c r="AC17447" s="318"/>
      <c r="AD17447" s="318"/>
    </row>
    <row r="17448" spans="2:30" s="323" customFormat="1" ht="12" customHeight="1">
      <c r="B17448" s="324"/>
      <c r="C17448" s="325"/>
      <c r="D17448" s="326"/>
      <c r="E17448" s="326"/>
      <c r="F17448" s="326"/>
      <c r="G17448" s="326"/>
      <c r="H17448" s="326"/>
      <c r="P17448" s="318"/>
      <c r="Q17448" s="318"/>
      <c r="R17448" s="318"/>
      <c r="S17448" s="318"/>
      <c r="T17448" s="318"/>
      <c r="U17448" s="318"/>
      <c r="V17448" s="318"/>
      <c r="W17448" s="318"/>
      <c r="X17448" s="318"/>
      <c r="Y17448" s="318"/>
      <c r="Z17448" s="318"/>
      <c r="AA17448" s="318"/>
      <c r="AB17448" s="318"/>
      <c r="AC17448" s="318"/>
      <c r="AD17448" s="318"/>
    </row>
    <row r="17449" spans="2:30" s="323" customFormat="1" ht="12" customHeight="1">
      <c r="B17449" s="324"/>
      <c r="C17449" s="325"/>
      <c r="D17449" s="326"/>
      <c r="E17449" s="326"/>
      <c r="F17449" s="326"/>
      <c r="G17449" s="326"/>
      <c r="H17449" s="326"/>
      <c r="P17449" s="318"/>
      <c r="Q17449" s="318"/>
      <c r="R17449" s="318"/>
      <c r="S17449" s="318"/>
      <c r="T17449" s="318"/>
      <c r="U17449" s="318"/>
      <c r="V17449" s="318"/>
      <c r="W17449" s="318"/>
      <c r="X17449" s="318"/>
      <c r="Y17449" s="318"/>
      <c r="Z17449" s="318"/>
      <c r="AA17449" s="318"/>
      <c r="AB17449" s="318"/>
      <c r="AC17449" s="318"/>
      <c r="AD17449" s="318"/>
    </row>
    <row r="17450" spans="2:30" s="323" customFormat="1" ht="12" customHeight="1">
      <c r="B17450" s="324"/>
      <c r="C17450" s="325"/>
      <c r="D17450" s="326"/>
      <c r="E17450" s="326"/>
      <c r="F17450" s="326"/>
      <c r="G17450" s="326"/>
      <c r="H17450" s="326"/>
      <c r="P17450" s="318"/>
      <c r="Q17450" s="318"/>
      <c r="R17450" s="318"/>
      <c r="S17450" s="318"/>
      <c r="T17450" s="318"/>
      <c r="U17450" s="318"/>
      <c r="V17450" s="318"/>
      <c r="W17450" s="318"/>
      <c r="X17450" s="318"/>
      <c r="Y17450" s="318"/>
      <c r="Z17450" s="318"/>
      <c r="AA17450" s="318"/>
      <c r="AB17450" s="318"/>
      <c r="AC17450" s="318"/>
      <c r="AD17450" s="318"/>
    </row>
    <row r="17451" spans="2:30" s="323" customFormat="1" ht="12" customHeight="1">
      <c r="B17451" s="324"/>
      <c r="C17451" s="325"/>
      <c r="D17451" s="326"/>
      <c r="E17451" s="326"/>
      <c r="F17451" s="326"/>
      <c r="G17451" s="326"/>
      <c r="H17451" s="326"/>
      <c r="P17451" s="318"/>
      <c r="Q17451" s="318"/>
      <c r="R17451" s="318"/>
      <c r="S17451" s="318"/>
      <c r="T17451" s="318"/>
      <c r="U17451" s="318"/>
      <c r="V17451" s="318"/>
      <c r="W17451" s="318"/>
      <c r="X17451" s="318"/>
      <c r="Y17451" s="318"/>
      <c r="Z17451" s="318"/>
      <c r="AA17451" s="318"/>
      <c r="AB17451" s="318"/>
      <c r="AC17451" s="318"/>
      <c r="AD17451" s="318"/>
    </row>
    <row r="17452" spans="2:30" s="323" customFormat="1" ht="12" customHeight="1">
      <c r="B17452" s="324"/>
      <c r="C17452" s="325"/>
      <c r="D17452" s="326"/>
      <c r="E17452" s="326"/>
      <c r="F17452" s="326"/>
      <c r="G17452" s="326"/>
      <c r="H17452" s="326"/>
      <c r="P17452" s="318"/>
      <c r="Q17452" s="318"/>
      <c r="R17452" s="318"/>
      <c r="S17452" s="318"/>
      <c r="T17452" s="318"/>
      <c r="U17452" s="318"/>
      <c r="V17452" s="318"/>
      <c r="W17452" s="318"/>
      <c r="X17452" s="318"/>
      <c r="Y17452" s="318"/>
      <c r="Z17452" s="318"/>
      <c r="AA17452" s="318"/>
      <c r="AB17452" s="318"/>
      <c r="AC17452" s="318"/>
      <c r="AD17452" s="318"/>
    </row>
    <row r="17453" spans="2:30" s="323" customFormat="1" ht="12" customHeight="1">
      <c r="B17453" s="324"/>
      <c r="C17453" s="325"/>
      <c r="D17453" s="326"/>
      <c r="E17453" s="326"/>
      <c r="F17453" s="326"/>
      <c r="G17453" s="326"/>
      <c r="H17453" s="326"/>
      <c r="P17453" s="318"/>
      <c r="Q17453" s="318"/>
      <c r="R17453" s="318"/>
      <c r="S17453" s="318"/>
      <c r="T17453" s="318"/>
      <c r="U17453" s="318"/>
      <c r="V17453" s="318"/>
      <c r="W17453" s="318"/>
      <c r="X17453" s="318"/>
      <c r="Y17453" s="318"/>
      <c r="Z17453" s="318"/>
      <c r="AA17453" s="318"/>
      <c r="AB17453" s="318"/>
      <c r="AC17453" s="318"/>
      <c r="AD17453" s="318"/>
    </row>
    <row r="17454" spans="2:30" s="323" customFormat="1" ht="12" customHeight="1">
      <c r="B17454" s="324"/>
      <c r="C17454" s="325"/>
      <c r="D17454" s="326"/>
      <c r="E17454" s="326"/>
      <c r="F17454" s="326"/>
      <c r="G17454" s="326"/>
      <c r="H17454" s="326"/>
      <c r="P17454" s="318"/>
      <c r="Q17454" s="318"/>
      <c r="R17454" s="318"/>
      <c r="S17454" s="318"/>
      <c r="T17454" s="318"/>
      <c r="U17454" s="318"/>
      <c r="V17454" s="318"/>
      <c r="W17454" s="318"/>
      <c r="X17454" s="318"/>
      <c r="Y17454" s="318"/>
      <c r="Z17454" s="318"/>
      <c r="AA17454" s="318"/>
      <c r="AB17454" s="318"/>
      <c r="AC17454" s="318"/>
      <c r="AD17454" s="318"/>
    </row>
    <row r="17455" spans="2:30" s="323" customFormat="1" ht="12" customHeight="1">
      <c r="B17455" s="324"/>
      <c r="C17455" s="325"/>
      <c r="D17455" s="326"/>
      <c r="E17455" s="326"/>
      <c r="F17455" s="326"/>
      <c r="G17455" s="326"/>
      <c r="H17455" s="326"/>
      <c r="P17455" s="318"/>
      <c r="Q17455" s="318"/>
      <c r="R17455" s="318"/>
      <c r="S17455" s="318"/>
      <c r="T17455" s="318"/>
      <c r="U17455" s="318"/>
      <c r="V17455" s="318"/>
      <c r="W17455" s="318"/>
      <c r="X17455" s="318"/>
      <c r="Y17455" s="318"/>
      <c r="Z17455" s="318"/>
      <c r="AA17455" s="318"/>
      <c r="AB17455" s="318"/>
      <c r="AC17455" s="318"/>
      <c r="AD17455" s="318"/>
    </row>
    <row r="17456" spans="2:30" s="323" customFormat="1" ht="12" customHeight="1">
      <c r="B17456" s="324"/>
      <c r="C17456" s="325"/>
      <c r="D17456" s="326"/>
      <c r="E17456" s="326"/>
      <c r="F17456" s="326"/>
      <c r="G17456" s="326"/>
      <c r="H17456" s="326"/>
      <c r="P17456" s="318"/>
      <c r="Q17456" s="318"/>
      <c r="R17456" s="318"/>
      <c r="S17456" s="318"/>
      <c r="T17456" s="318"/>
      <c r="U17456" s="318"/>
      <c r="V17456" s="318"/>
      <c r="W17456" s="318"/>
      <c r="X17456" s="318"/>
      <c r="Y17456" s="318"/>
      <c r="Z17456" s="318"/>
      <c r="AA17456" s="318"/>
      <c r="AB17456" s="318"/>
      <c r="AC17456" s="318"/>
      <c r="AD17456" s="318"/>
    </row>
    <row r="17457" spans="2:30" s="323" customFormat="1" ht="12" customHeight="1">
      <c r="B17457" s="324"/>
      <c r="C17457" s="325"/>
      <c r="D17457" s="326"/>
      <c r="E17457" s="326"/>
      <c r="F17457" s="326"/>
      <c r="G17457" s="326"/>
      <c r="H17457" s="326"/>
      <c r="P17457" s="318"/>
      <c r="Q17457" s="318"/>
      <c r="R17457" s="318"/>
      <c r="S17457" s="318"/>
      <c r="T17457" s="318"/>
      <c r="U17457" s="318"/>
      <c r="V17457" s="318"/>
      <c r="W17457" s="318"/>
      <c r="X17457" s="318"/>
      <c r="Y17457" s="318"/>
      <c r="Z17457" s="318"/>
      <c r="AA17457" s="318"/>
      <c r="AB17457" s="318"/>
      <c r="AC17457" s="318"/>
      <c r="AD17457" s="318"/>
    </row>
    <row r="17458" spans="2:30" s="323" customFormat="1" ht="12" customHeight="1">
      <c r="B17458" s="324"/>
      <c r="C17458" s="325"/>
      <c r="D17458" s="326"/>
      <c r="E17458" s="326"/>
      <c r="F17458" s="326"/>
      <c r="G17458" s="326"/>
      <c r="H17458" s="326"/>
      <c r="P17458" s="318"/>
      <c r="Q17458" s="318"/>
      <c r="R17458" s="318"/>
      <c r="S17458" s="318"/>
      <c r="T17458" s="318"/>
      <c r="U17458" s="318"/>
      <c r="V17458" s="318"/>
      <c r="W17458" s="318"/>
      <c r="X17458" s="318"/>
      <c r="Y17458" s="318"/>
      <c r="Z17458" s="318"/>
      <c r="AA17458" s="318"/>
      <c r="AB17458" s="318"/>
      <c r="AC17458" s="318"/>
      <c r="AD17458" s="318"/>
    </row>
    <row r="17459" spans="2:30" s="323" customFormat="1" ht="12" customHeight="1">
      <c r="B17459" s="324"/>
      <c r="C17459" s="325"/>
      <c r="D17459" s="326"/>
      <c r="E17459" s="326"/>
      <c r="F17459" s="326"/>
      <c r="G17459" s="326"/>
      <c r="H17459" s="326"/>
      <c r="P17459" s="318"/>
      <c r="Q17459" s="318"/>
      <c r="R17459" s="318"/>
      <c r="S17459" s="318"/>
      <c r="T17459" s="318"/>
      <c r="U17459" s="318"/>
      <c r="V17459" s="318"/>
      <c r="W17459" s="318"/>
      <c r="X17459" s="318"/>
      <c r="Y17459" s="318"/>
      <c r="Z17459" s="318"/>
      <c r="AA17459" s="318"/>
      <c r="AB17459" s="318"/>
      <c r="AC17459" s="318"/>
      <c r="AD17459" s="318"/>
    </row>
    <row r="17460" spans="2:30" s="323" customFormat="1" ht="12" customHeight="1">
      <c r="B17460" s="324"/>
      <c r="C17460" s="325"/>
      <c r="D17460" s="326"/>
      <c r="E17460" s="326"/>
      <c r="F17460" s="326"/>
      <c r="G17460" s="326"/>
      <c r="H17460" s="326"/>
      <c r="P17460" s="318"/>
      <c r="Q17460" s="318"/>
      <c r="R17460" s="318"/>
      <c r="S17460" s="318"/>
      <c r="T17460" s="318"/>
      <c r="U17460" s="318"/>
      <c r="V17460" s="318"/>
      <c r="W17460" s="318"/>
      <c r="X17460" s="318"/>
      <c r="Y17460" s="318"/>
      <c r="Z17460" s="318"/>
      <c r="AA17460" s="318"/>
      <c r="AB17460" s="318"/>
      <c r="AC17460" s="318"/>
      <c r="AD17460" s="318"/>
    </row>
    <row r="17461" spans="2:30" s="323" customFormat="1" ht="12" customHeight="1">
      <c r="B17461" s="324"/>
      <c r="C17461" s="325"/>
      <c r="D17461" s="326"/>
      <c r="E17461" s="326"/>
      <c r="F17461" s="326"/>
      <c r="G17461" s="326"/>
      <c r="H17461" s="326"/>
      <c r="P17461" s="318"/>
      <c r="Q17461" s="318"/>
      <c r="R17461" s="318"/>
      <c r="S17461" s="318"/>
      <c r="T17461" s="318"/>
      <c r="U17461" s="318"/>
      <c r="V17461" s="318"/>
      <c r="W17461" s="318"/>
      <c r="X17461" s="318"/>
      <c r="Y17461" s="318"/>
      <c r="Z17461" s="318"/>
      <c r="AA17461" s="318"/>
      <c r="AB17461" s="318"/>
      <c r="AC17461" s="318"/>
      <c r="AD17461" s="318"/>
    </row>
    <row r="17462" spans="2:30" s="323" customFormat="1" ht="12" customHeight="1">
      <c r="B17462" s="324"/>
      <c r="C17462" s="325"/>
      <c r="D17462" s="326"/>
      <c r="E17462" s="326"/>
      <c r="F17462" s="326"/>
      <c r="G17462" s="326"/>
      <c r="H17462" s="326"/>
      <c r="P17462" s="318"/>
      <c r="Q17462" s="318"/>
      <c r="R17462" s="318"/>
      <c r="S17462" s="318"/>
      <c r="T17462" s="318"/>
      <c r="U17462" s="318"/>
      <c r="V17462" s="318"/>
      <c r="W17462" s="318"/>
      <c r="X17462" s="318"/>
      <c r="Y17462" s="318"/>
      <c r="Z17462" s="318"/>
      <c r="AA17462" s="318"/>
      <c r="AB17462" s="318"/>
      <c r="AC17462" s="318"/>
      <c r="AD17462" s="318"/>
    </row>
    <row r="17463" spans="2:30" s="323" customFormat="1" ht="12" customHeight="1">
      <c r="B17463" s="324"/>
      <c r="C17463" s="325"/>
      <c r="D17463" s="326"/>
      <c r="E17463" s="326"/>
      <c r="F17463" s="326"/>
      <c r="G17463" s="326"/>
      <c r="H17463" s="326"/>
      <c r="P17463" s="318"/>
      <c r="Q17463" s="318"/>
      <c r="R17463" s="318"/>
      <c r="S17463" s="318"/>
      <c r="T17463" s="318"/>
      <c r="U17463" s="318"/>
      <c r="V17463" s="318"/>
      <c r="W17463" s="318"/>
      <c r="X17463" s="318"/>
      <c r="Y17463" s="318"/>
      <c r="Z17463" s="318"/>
      <c r="AA17463" s="318"/>
      <c r="AB17463" s="318"/>
      <c r="AC17463" s="318"/>
      <c r="AD17463" s="318"/>
    </row>
    <row r="17464" spans="2:30" s="323" customFormat="1" ht="12" customHeight="1">
      <c r="B17464" s="324"/>
      <c r="C17464" s="325"/>
      <c r="D17464" s="326"/>
      <c r="E17464" s="326"/>
      <c r="F17464" s="326"/>
      <c r="G17464" s="326"/>
      <c r="H17464" s="326"/>
      <c r="P17464" s="318"/>
      <c r="Q17464" s="318"/>
      <c r="R17464" s="318"/>
      <c r="S17464" s="318"/>
      <c r="T17464" s="318"/>
      <c r="U17464" s="318"/>
      <c r="V17464" s="318"/>
      <c r="W17464" s="318"/>
      <c r="X17464" s="318"/>
      <c r="Y17464" s="318"/>
      <c r="Z17464" s="318"/>
      <c r="AA17464" s="318"/>
      <c r="AB17464" s="318"/>
      <c r="AC17464" s="318"/>
      <c r="AD17464" s="318"/>
    </row>
    <row r="17465" spans="2:30" s="323" customFormat="1" ht="12" customHeight="1">
      <c r="B17465" s="324"/>
      <c r="C17465" s="325"/>
      <c r="D17465" s="326"/>
      <c r="E17465" s="326"/>
      <c r="F17465" s="326"/>
      <c r="G17465" s="326"/>
      <c r="H17465" s="326"/>
      <c r="P17465" s="318"/>
      <c r="Q17465" s="318"/>
      <c r="R17465" s="318"/>
      <c r="S17465" s="318"/>
      <c r="T17465" s="318"/>
      <c r="U17465" s="318"/>
      <c r="V17465" s="318"/>
      <c r="W17465" s="318"/>
      <c r="X17465" s="318"/>
      <c r="Y17465" s="318"/>
      <c r="Z17465" s="318"/>
      <c r="AA17465" s="318"/>
      <c r="AB17465" s="318"/>
      <c r="AC17465" s="318"/>
      <c r="AD17465" s="318"/>
    </row>
    <row r="17466" spans="2:30" s="323" customFormat="1" ht="12" customHeight="1">
      <c r="B17466" s="324"/>
      <c r="C17466" s="325"/>
      <c r="D17466" s="326"/>
      <c r="E17466" s="326"/>
      <c r="F17466" s="326"/>
      <c r="G17466" s="326"/>
      <c r="H17466" s="326"/>
      <c r="P17466" s="318"/>
      <c r="Q17466" s="318"/>
      <c r="R17466" s="318"/>
      <c r="S17466" s="318"/>
      <c r="T17466" s="318"/>
      <c r="U17466" s="318"/>
      <c r="V17466" s="318"/>
      <c r="W17466" s="318"/>
      <c r="X17466" s="318"/>
      <c r="Y17466" s="318"/>
      <c r="Z17466" s="318"/>
      <c r="AA17466" s="318"/>
      <c r="AB17466" s="318"/>
      <c r="AC17466" s="318"/>
      <c r="AD17466" s="318"/>
    </row>
    <row r="17467" spans="2:30" s="323" customFormat="1" ht="12" customHeight="1">
      <c r="B17467" s="324"/>
      <c r="C17467" s="325"/>
      <c r="D17467" s="326"/>
      <c r="E17467" s="326"/>
      <c r="F17467" s="326"/>
      <c r="G17467" s="326"/>
      <c r="H17467" s="326"/>
      <c r="P17467" s="318"/>
      <c r="Q17467" s="318"/>
      <c r="R17467" s="318"/>
      <c r="S17467" s="318"/>
      <c r="T17467" s="318"/>
      <c r="U17467" s="318"/>
      <c r="V17467" s="318"/>
      <c r="W17467" s="318"/>
      <c r="X17467" s="318"/>
      <c r="Y17467" s="318"/>
      <c r="Z17467" s="318"/>
      <c r="AA17467" s="318"/>
      <c r="AB17467" s="318"/>
      <c r="AC17467" s="318"/>
      <c r="AD17467" s="318"/>
    </row>
    <row r="17468" spans="2:30" s="323" customFormat="1" ht="12" customHeight="1">
      <c r="B17468" s="324"/>
      <c r="C17468" s="325"/>
      <c r="D17468" s="326"/>
      <c r="E17468" s="326"/>
      <c r="F17468" s="326"/>
      <c r="G17468" s="326"/>
      <c r="H17468" s="326"/>
      <c r="P17468" s="318"/>
      <c r="Q17468" s="318"/>
      <c r="R17468" s="318"/>
      <c r="S17468" s="318"/>
      <c r="T17468" s="318"/>
      <c r="U17468" s="318"/>
      <c r="V17468" s="318"/>
      <c r="W17468" s="318"/>
      <c r="X17468" s="318"/>
      <c r="Y17468" s="318"/>
      <c r="Z17468" s="318"/>
      <c r="AA17468" s="318"/>
      <c r="AB17468" s="318"/>
      <c r="AC17468" s="318"/>
      <c r="AD17468" s="318"/>
    </row>
    <row r="17469" spans="2:30" s="323" customFormat="1" ht="12" customHeight="1">
      <c r="B17469" s="324"/>
      <c r="C17469" s="325"/>
      <c r="D17469" s="326"/>
      <c r="E17469" s="326"/>
      <c r="F17469" s="326"/>
      <c r="G17469" s="326"/>
      <c r="H17469" s="326"/>
      <c r="P17469" s="318"/>
      <c r="Q17469" s="318"/>
      <c r="R17469" s="318"/>
      <c r="S17469" s="318"/>
      <c r="T17469" s="318"/>
      <c r="U17469" s="318"/>
      <c r="V17469" s="318"/>
      <c r="W17469" s="318"/>
      <c r="X17469" s="318"/>
      <c r="Y17469" s="318"/>
      <c r="Z17469" s="318"/>
      <c r="AA17469" s="318"/>
      <c r="AB17469" s="318"/>
      <c r="AC17469" s="318"/>
      <c r="AD17469" s="318"/>
    </row>
    <row r="17470" spans="2:30" s="323" customFormat="1" ht="12" customHeight="1">
      <c r="B17470" s="324"/>
      <c r="C17470" s="325"/>
      <c r="D17470" s="326"/>
      <c r="E17470" s="326"/>
      <c r="F17470" s="326"/>
      <c r="G17470" s="326"/>
      <c r="H17470" s="326"/>
      <c r="P17470" s="318"/>
      <c r="Q17470" s="318"/>
      <c r="R17470" s="318"/>
      <c r="S17470" s="318"/>
      <c r="T17470" s="318"/>
      <c r="U17470" s="318"/>
      <c r="V17470" s="318"/>
      <c r="W17470" s="318"/>
      <c r="X17470" s="318"/>
      <c r="Y17470" s="318"/>
      <c r="Z17470" s="318"/>
      <c r="AA17470" s="318"/>
      <c r="AB17470" s="318"/>
      <c r="AC17470" s="318"/>
      <c r="AD17470" s="318"/>
    </row>
    <row r="17471" spans="2:30" s="323" customFormat="1" ht="12" customHeight="1">
      <c r="B17471" s="324"/>
      <c r="C17471" s="325"/>
      <c r="D17471" s="326"/>
      <c r="E17471" s="326"/>
      <c r="F17471" s="326"/>
      <c r="G17471" s="326"/>
      <c r="H17471" s="326"/>
      <c r="P17471" s="318"/>
      <c r="Q17471" s="318"/>
      <c r="R17471" s="318"/>
      <c r="S17471" s="318"/>
      <c r="T17471" s="318"/>
      <c r="U17471" s="318"/>
      <c r="V17471" s="318"/>
      <c r="W17471" s="318"/>
      <c r="X17471" s="318"/>
      <c r="Y17471" s="318"/>
      <c r="Z17471" s="318"/>
      <c r="AA17471" s="318"/>
      <c r="AB17471" s="318"/>
      <c r="AC17471" s="318"/>
      <c r="AD17471" s="318"/>
    </row>
    <row r="17472" spans="2:30" s="323" customFormat="1" ht="12" customHeight="1">
      <c r="B17472" s="324"/>
      <c r="C17472" s="325"/>
      <c r="D17472" s="326"/>
      <c r="E17472" s="326"/>
      <c r="F17472" s="326"/>
      <c r="G17472" s="326"/>
      <c r="H17472" s="326"/>
      <c r="P17472" s="318"/>
      <c r="Q17472" s="318"/>
      <c r="R17472" s="318"/>
      <c r="S17472" s="318"/>
      <c r="T17472" s="318"/>
      <c r="U17472" s="318"/>
      <c r="V17472" s="318"/>
      <c r="W17472" s="318"/>
      <c r="X17472" s="318"/>
      <c r="Y17472" s="318"/>
      <c r="Z17472" s="318"/>
      <c r="AA17472" s="318"/>
      <c r="AB17472" s="318"/>
      <c r="AC17472" s="318"/>
      <c r="AD17472" s="318"/>
    </row>
    <row r="17473" spans="2:30" s="323" customFormat="1" ht="12" customHeight="1">
      <c r="B17473" s="324"/>
      <c r="C17473" s="325"/>
      <c r="D17473" s="326"/>
      <c r="E17473" s="326"/>
      <c r="F17473" s="326"/>
      <c r="G17473" s="326"/>
      <c r="H17473" s="326"/>
      <c r="P17473" s="318"/>
      <c r="Q17473" s="318"/>
      <c r="R17473" s="318"/>
      <c r="S17473" s="318"/>
      <c r="T17473" s="318"/>
      <c r="U17473" s="318"/>
      <c r="V17473" s="318"/>
      <c r="W17473" s="318"/>
      <c r="X17473" s="318"/>
      <c r="Y17473" s="318"/>
      <c r="Z17473" s="318"/>
      <c r="AA17473" s="318"/>
      <c r="AB17473" s="318"/>
      <c r="AC17473" s="318"/>
      <c r="AD17473" s="318"/>
    </row>
    <row r="17474" spans="2:30" s="323" customFormat="1" ht="12" customHeight="1">
      <c r="B17474" s="324"/>
      <c r="C17474" s="325"/>
      <c r="D17474" s="326"/>
      <c r="E17474" s="326"/>
      <c r="F17474" s="326"/>
      <c r="G17474" s="326"/>
      <c r="H17474" s="326"/>
      <c r="P17474" s="318"/>
      <c r="Q17474" s="318"/>
      <c r="R17474" s="318"/>
      <c r="S17474" s="318"/>
      <c r="T17474" s="318"/>
      <c r="U17474" s="318"/>
      <c r="V17474" s="318"/>
      <c r="W17474" s="318"/>
      <c r="X17474" s="318"/>
      <c r="Y17474" s="318"/>
      <c r="Z17474" s="318"/>
      <c r="AA17474" s="318"/>
      <c r="AB17474" s="318"/>
      <c r="AC17474" s="318"/>
      <c r="AD17474" s="318"/>
    </row>
    <row r="17475" spans="2:30" s="323" customFormat="1" ht="12" customHeight="1">
      <c r="B17475" s="324"/>
      <c r="C17475" s="325"/>
      <c r="D17475" s="326"/>
      <c r="E17475" s="326"/>
      <c r="F17475" s="326"/>
      <c r="G17475" s="326"/>
      <c r="H17475" s="326"/>
      <c r="P17475" s="318"/>
      <c r="Q17475" s="318"/>
      <c r="R17475" s="318"/>
      <c r="S17475" s="318"/>
      <c r="T17475" s="318"/>
      <c r="U17475" s="318"/>
      <c r="V17475" s="318"/>
      <c r="W17475" s="318"/>
      <c r="X17475" s="318"/>
      <c r="Y17475" s="318"/>
      <c r="Z17475" s="318"/>
      <c r="AA17475" s="318"/>
      <c r="AB17475" s="318"/>
      <c r="AC17475" s="318"/>
      <c r="AD17475" s="318"/>
    </row>
    <row r="17476" spans="2:30" s="323" customFormat="1" ht="12" customHeight="1">
      <c r="B17476" s="324"/>
      <c r="C17476" s="325"/>
      <c r="D17476" s="326"/>
      <c r="E17476" s="326"/>
      <c r="F17476" s="326"/>
      <c r="G17476" s="326"/>
      <c r="H17476" s="326"/>
      <c r="P17476" s="318"/>
      <c r="Q17476" s="318"/>
      <c r="R17476" s="318"/>
      <c r="S17476" s="318"/>
      <c r="T17476" s="318"/>
      <c r="U17476" s="318"/>
      <c r="V17476" s="318"/>
      <c r="W17476" s="318"/>
      <c r="X17476" s="318"/>
      <c r="Y17476" s="318"/>
      <c r="Z17476" s="318"/>
      <c r="AA17476" s="318"/>
      <c r="AB17476" s="318"/>
      <c r="AC17476" s="318"/>
      <c r="AD17476" s="318"/>
    </row>
    <row r="17477" spans="2:30" s="323" customFormat="1" ht="12" customHeight="1">
      <c r="B17477" s="324"/>
      <c r="C17477" s="325"/>
      <c r="D17477" s="326"/>
      <c r="E17477" s="326"/>
      <c r="F17477" s="326"/>
      <c r="G17477" s="326"/>
      <c r="H17477" s="326"/>
      <c r="P17477" s="318"/>
      <c r="Q17477" s="318"/>
      <c r="R17477" s="318"/>
      <c r="S17477" s="318"/>
      <c r="T17477" s="318"/>
      <c r="U17477" s="318"/>
      <c r="V17477" s="318"/>
      <c r="W17477" s="318"/>
      <c r="X17477" s="318"/>
      <c r="Y17477" s="318"/>
      <c r="Z17477" s="318"/>
      <c r="AA17477" s="318"/>
      <c r="AB17477" s="318"/>
      <c r="AC17477" s="318"/>
      <c r="AD17477" s="318"/>
    </row>
    <row r="17478" spans="2:30" s="323" customFormat="1" ht="12" customHeight="1">
      <c r="B17478" s="324"/>
      <c r="C17478" s="325"/>
      <c r="D17478" s="326"/>
      <c r="E17478" s="326"/>
      <c r="F17478" s="326"/>
      <c r="G17478" s="326"/>
      <c r="H17478" s="326"/>
      <c r="P17478" s="318"/>
      <c r="Q17478" s="318"/>
      <c r="R17478" s="318"/>
      <c r="S17478" s="318"/>
      <c r="T17478" s="318"/>
      <c r="U17478" s="318"/>
      <c r="V17478" s="318"/>
      <c r="W17478" s="318"/>
      <c r="X17478" s="318"/>
      <c r="Y17478" s="318"/>
      <c r="Z17478" s="318"/>
      <c r="AA17478" s="318"/>
      <c r="AB17478" s="318"/>
      <c r="AC17478" s="318"/>
      <c r="AD17478" s="318"/>
    </row>
    <row r="17479" spans="2:30" s="323" customFormat="1" ht="12" customHeight="1">
      <c r="B17479" s="324"/>
      <c r="C17479" s="325"/>
      <c r="D17479" s="326"/>
      <c r="E17479" s="326"/>
      <c r="F17479" s="326"/>
      <c r="G17479" s="326"/>
      <c r="H17479" s="326"/>
      <c r="P17479" s="318"/>
      <c r="Q17479" s="318"/>
      <c r="R17479" s="318"/>
      <c r="S17479" s="318"/>
      <c r="T17479" s="318"/>
      <c r="U17479" s="318"/>
      <c r="V17479" s="318"/>
      <c r="W17479" s="318"/>
      <c r="X17479" s="318"/>
      <c r="Y17479" s="318"/>
      <c r="Z17479" s="318"/>
      <c r="AA17479" s="318"/>
      <c r="AB17479" s="318"/>
      <c r="AC17479" s="318"/>
      <c r="AD17479" s="318"/>
    </row>
    <row r="17480" spans="2:30" s="323" customFormat="1" ht="12" customHeight="1">
      <c r="B17480" s="324"/>
      <c r="C17480" s="325"/>
      <c r="D17480" s="326"/>
      <c r="E17480" s="326"/>
      <c r="F17480" s="326"/>
      <c r="G17480" s="326"/>
      <c r="H17480" s="326"/>
      <c r="P17480" s="318"/>
      <c r="Q17480" s="318"/>
      <c r="R17480" s="318"/>
      <c r="S17480" s="318"/>
      <c r="T17480" s="318"/>
      <c r="U17480" s="318"/>
      <c r="V17480" s="318"/>
      <c r="W17480" s="318"/>
      <c r="X17480" s="318"/>
      <c r="Y17480" s="318"/>
      <c r="Z17480" s="318"/>
      <c r="AA17480" s="318"/>
      <c r="AB17480" s="318"/>
      <c r="AC17480" s="318"/>
      <c r="AD17480" s="318"/>
    </row>
    <row r="17481" spans="2:30" s="323" customFormat="1" ht="12" customHeight="1">
      <c r="B17481" s="324"/>
      <c r="C17481" s="325"/>
      <c r="D17481" s="326"/>
      <c r="E17481" s="326"/>
      <c r="F17481" s="326"/>
      <c r="G17481" s="326"/>
      <c r="H17481" s="326"/>
      <c r="P17481" s="318"/>
      <c r="Q17481" s="318"/>
      <c r="R17481" s="318"/>
      <c r="S17481" s="318"/>
      <c r="T17481" s="318"/>
      <c r="U17481" s="318"/>
      <c r="V17481" s="318"/>
      <c r="W17481" s="318"/>
      <c r="X17481" s="318"/>
      <c r="Y17481" s="318"/>
      <c r="Z17481" s="318"/>
      <c r="AA17481" s="318"/>
      <c r="AB17481" s="318"/>
      <c r="AC17481" s="318"/>
      <c r="AD17481" s="318"/>
    </row>
    <row r="17482" spans="2:30" s="323" customFormat="1" ht="12" customHeight="1">
      <c r="B17482" s="324"/>
      <c r="C17482" s="325"/>
      <c r="D17482" s="326"/>
      <c r="E17482" s="326"/>
      <c r="F17482" s="326"/>
      <c r="G17482" s="326"/>
      <c r="H17482" s="326"/>
      <c r="P17482" s="318"/>
      <c r="Q17482" s="318"/>
      <c r="R17482" s="318"/>
      <c r="S17482" s="318"/>
      <c r="T17482" s="318"/>
      <c r="U17482" s="318"/>
      <c r="V17482" s="318"/>
      <c r="W17482" s="318"/>
      <c r="X17482" s="318"/>
      <c r="Y17482" s="318"/>
      <c r="Z17482" s="318"/>
      <c r="AA17482" s="318"/>
      <c r="AB17482" s="318"/>
      <c r="AC17482" s="318"/>
      <c r="AD17482" s="318"/>
    </row>
    <row r="17483" spans="2:30" s="323" customFormat="1" ht="12" customHeight="1">
      <c r="B17483" s="324"/>
      <c r="C17483" s="325"/>
      <c r="D17483" s="326"/>
      <c r="E17483" s="326"/>
      <c r="F17483" s="326"/>
      <c r="G17483" s="326"/>
      <c r="H17483" s="326"/>
      <c r="P17483" s="318"/>
      <c r="Q17483" s="318"/>
      <c r="R17483" s="318"/>
      <c r="S17483" s="318"/>
      <c r="T17483" s="318"/>
      <c r="U17483" s="318"/>
      <c r="V17483" s="318"/>
      <c r="W17483" s="318"/>
      <c r="X17483" s="318"/>
      <c r="Y17483" s="318"/>
      <c r="Z17483" s="318"/>
      <c r="AA17483" s="318"/>
      <c r="AB17483" s="318"/>
      <c r="AC17483" s="318"/>
      <c r="AD17483" s="318"/>
    </row>
    <row r="17484" spans="2:30" s="323" customFormat="1" ht="12" customHeight="1">
      <c r="B17484" s="324"/>
      <c r="C17484" s="325"/>
      <c r="D17484" s="326"/>
      <c r="E17484" s="326"/>
      <c r="F17484" s="326"/>
      <c r="G17484" s="326"/>
      <c r="H17484" s="326"/>
      <c r="P17484" s="318"/>
      <c r="Q17484" s="318"/>
      <c r="R17484" s="318"/>
      <c r="S17484" s="318"/>
      <c r="T17484" s="318"/>
      <c r="U17484" s="318"/>
      <c r="V17484" s="318"/>
      <c r="W17484" s="318"/>
      <c r="X17484" s="318"/>
      <c r="Y17484" s="318"/>
      <c r="Z17484" s="318"/>
      <c r="AA17484" s="318"/>
      <c r="AB17484" s="318"/>
      <c r="AC17484" s="318"/>
      <c r="AD17484" s="318"/>
    </row>
    <row r="17485" spans="2:30" s="323" customFormat="1" ht="12" customHeight="1">
      <c r="B17485" s="324"/>
      <c r="C17485" s="325"/>
      <c r="D17485" s="326"/>
      <c r="E17485" s="326"/>
      <c r="F17485" s="326"/>
      <c r="G17485" s="326"/>
      <c r="H17485" s="326"/>
      <c r="P17485" s="318"/>
      <c r="Q17485" s="318"/>
      <c r="R17485" s="318"/>
      <c r="S17485" s="318"/>
      <c r="T17485" s="318"/>
      <c r="U17485" s="318"/>
      <c r="V17485" s="318"/>
      <c r="W17485" s="318"/>
      <c r="X17485" s="318"/>
      <c r="Y17485" s="318"/>
      <c r="Z17485" s="318"/>
      <c r="AA17485" s="318"/>
      <c r="AB17485" s="318"/>
      <c r="AC17485" s="318"/>
      <c r="AD17485" s="318"/>
    </row>
    <row r="17486" spans="2:30" s="323" customFormat="1" ht="12" customHeight="1">
      <c r="B17486" s="324"/>
      <c r="C17486" s="325"/>
      <c r="D17486" s="326"/>
      <c r="E17486" s="326"/>
      <c r="F17486" s="326"/>
      <c r="G17486" s="326"/>
      <c r="H17486" s="326"/>
      <c r="P17486" s="318"/>
      <c r="Q17486" s="318"/>
      <c r="R17486" s="318"/>
      <c r="S17486" s="318"/>
      <c r="T17486" s="318"/>
      <c r="U17486" s="318"/>
      <c r="V17486" s="318"/>
      <c r="W17486" s="318"/>
      <c r="X17486" s="318"/>
      <c r="Y17486" s="318"/>
      <c r="Z17486" s="318"/>
      <c r="AA17486" s="318"/>
      <c r="AB17486" s="318"/>
      <c r="AC17486" s="318"/>
      <c r="AD17486" s="318"/>
    </row>
    <row r="17487" spans="2:30" s="323" customFormat="1" ht="12" customHeight="1">
      <c r="B17487" s="324"/>
      <c r="C17487" s="325"/>
      <c r="D17487" s="326"/>
      <c r="E17487" s="326"/>
      <c r="F17487" s="326"/>
      <c r="G17487" s="326"/>
      <c r="H17487" s="326"/>
      <c r="P17487" s="318"/>
      <c r="Q17487" s="318"/>
      <c r="R17487" s="318"/>
      <c r="S17487" s="318"/>
      <c r="T17487" s="318"/>
      <c r="U17487" s="318"/>
      <c r="V17487" s="318"/>
      <c r="W17487" s="318"/>
      <c r="X17487" s="318"/>
      <c r="Y17487" s="318"/>
      <c r="Z17487" s="318"/>
      <c r="AA17487" s="318"/>
      <c r="AB17487" s="318"/>
      <c r="AC17487" s="318"/>
      <c r="AD17487" s="318"/>
    </row>
    <row r="17488" spans="2:30" s="323" customFormat="1" ht="12" customHeight="1">
      <c r="B17488" s="324"/>
      <c r="C17488" s="325"/>
      <c r="D17488" s="326"/>
      <c r="E17488" s="326"/>
      <c r="F17488" s="326"/>
      <c r="G17488" s="326"/>
      <c r="H17488" s="326"/>
      <c r="P17488" s="318"/>
      <c r="Q17488" s="318"/>
      <c r="R17488" s="318"/>
      <c r="S17488" s="318"/>
      <c r="T17488" s="318"/>
      <c r="U17488" s="318"/>
      <c r="V17488" s="318"/>
      <c r="W17488" s="318"/>
      <c r="X17488" s="318"/>
      <c r="Y17488" s="318"/>
      <c r="Z17488" s="318"/>
      <c r="AA17488" s="318"/>
      <c r="AB17488" s="318"/>
      <c r="AC17488" s="318"/>
      <c r="AD17488" s="318"/>
    </row>
    <row r="17489" spans="2:30" s="323" customFormat="1" ht="12" customHeight="1">
      <c r="B17489" s="324"/>
      <c r="C17489" s="325"/>
      <c r="D17489" s="326"/>
      <c r="E17489" s="326"/>
      <c r="F17489" s="326"/>
      <c r="G17489" s="326"/>
      <c r="H17489" s="326"/>
      <c r="P17489" s="318"/>
      <c r="Q17489" s="318"/>
      <c r="R17489" s="318"/>
      <c r="S17489" s="318"/>
      <c r="T17489" s="318"/>
      <c r="U17489" s="318"/>
      <c r="V17489" s="318"/>
      <c r="W17489" s="318"/>
      <c r="X17489" s="318"/>
      <c r="Y17489" s="318"/>
      <c r="Z17489" s="318"/>
      <c r="AA17489" s="318"/>
      <c r="AB17489" s="318"/>
      <c r="AC17489" s="318"/>
      <c r="AD17489" s="318"/>
    </row>
    <row r="17490" spans="2:30" s="323" customFormat="1" ht="12" customHeight="1">
      <c r="B17490" s="324"/>
      <c r="C17490" s="325"/>
      <c r="D17490" s="326"/>
      <c r="E17490" s="326"/>
      <c r="F17490" s="326"/>
      <c r="G17490" s="326"/>
      <c r="H17490" s="326"/>
      <c r="P17490" s="318"/>
      <c r="Q17490" s="318"/>
      <c r="R17490" s="318"/>
      <c r="S17490" s="318"/>
      <c r="T17490" s="318"/>
      <c r="U17490" s="318"/>
      <c r="V17490" s="318"/>
      <c r="W17490" s="318"/>
      <c r="X17490" s="318"/>
      <c r="Y17490" s="318"/>
      <c r="Z17490" s="318"/>
      <c r="AA17490" s="318"/>
      <c r="AB17490" s="318"/>
      <c r="AC17490" s="318"/>
      <c r="AD17490" s="318"/>
    </row>
    <row r="17491" spans="2:30" s="323" customFormat="1" ht="12" customHeight="1">
      <c r="B17491" s="324"/>
      <c r="C17491" s="325"/>
      <c r="D17491" s="326"/>
      <c r="E17491" s="326"/>
      <c r="F17491" s="326"/>
      <c r="G17491" s="326"/>
      <c r="H17491" s="326"/>
      <c r="P17491" s="318"/>
      <c r="Q17491" s="318"/>
      <c r="R17491" s="318"/>
      <c r="S17491" s="318"/>
      <c r="T17491" s="318"/>
      <c r="U17491" s="318"/>
      <c r="V17491" s="318"/>
      <c r="W17491" s="318"/>
      <c r="X17491" s="318"/>
      <c r="Y17491" s="318"/>
      <c r="Z17491" s="318"/>
      <c r="AA17491" s="318"/>
      <c r="AB17491" s="318"/>
      <c r="AC17491" s="318"/>
      <c r="AD17491" s="318"/>
    </row>
    <row r="17492" spans="2:30" s="323" customFormat="1" ht="12" customHeight="1">
      <c r="B17492" s="324"/>
      <c r="C17492" s="325"/>
      <c r="D17492" s="326"/>
      <c r="E17492" s="326"/>
      <c r="F17492" s="326"/>
      <c r="G17492" s="326"/>
      <c r="H17492" s="326"/>
      <c r="P17492" s="318"/>
      <c r="Q17492" s="318"/>
      <c r="R17492" s="318"/>
      <c r="S17492" s="318"/>
      <c r="T17492" s="318"/>
      <c r="U17492" s="318"/>
      <c r="V17492" s="318"/>
      <c r="W17492" s="318"/>
      <c r="X17492" s="318"/>
      <c r="Y17492" s="318"/>
      <c r="Z17492" s="318"/>
      <c r="AA17492" s="318"/>
      <c r="AB17492" s="318"/>
      <c r="AC17492" s="318"/>
      <c r="AD17492" s="318"/>
    </row>
    <row r="17493" spans="2:30" s="323" customFormat="1" ht="12" customHeight="1">
      <c r="B17493" s="324"/>
      <c r="C17493" s="325"/>
      <c r="D17493" s="326"/>
      <c r="E17493" s="326"/>
      <c r="F17493" s="326"/>
      <c r="G17493" s="326"/>
      <c r="H17493" s="326"/>
      <c r="P17493" s="318"/>
      <c r="Q17493" s="318"/>
      <c r="R17493" s="318"/>
      <c r="S17493" s="318"/>
      <c r="T17493" s="318"/>
      <c r="U17493" s="318"/>
      <c r="V17493" s="318"/>
      <c r="W17493" s="318"/>
      <c r="X17493" s="318"/>
      <c r="Y17493" s="318"/>
      <c r="Z17493" s="318"/>
      <c r="AA17493" s="318"/>
      <c r="AB17493" s="318"/>
      <c r="AC17493" s="318"/>
      <c r="AD17493" s="318"/>
    </row>
    <row r="17494" spans="2:30" s="323" customFormat="1" ht="12" customHeight="1">
      <c r="B17494" s="324"/>
      <c r="C17494" s="325"/>
      <c r="D17494" s="326"/>
      <c r="E17494" s="326"/>
      <c r="F17494" s="326"/>
      <c r="G17494" s="326"/>
      <c r="H17494" s="326"/>
      <c r="P17494" s="318"/>
      <c r="Q17494" s="318"/>
      <c r="R17494" s="318"/>
      <c r="S17494" s="318"/>
      <c r="T17494" s="318"/>
      <c r="U17494" s="318"/>
      <c r="V17494" s="318"/>
      <c r="W17494" s="318"/>
      <c r="X17494" s="318"/>
      <c r="Y17494" s="318"/>
      <c r="Z17494" s="318"/>
      <c r="AA17494" s="318"/>
      <c r="AB17494" s="318"/>
      <c r="AC17494" s="318"/>
      <c r="AD17494" s="318"/>
    </row>
    <row r="17495" spans="2:30" s="323" customFormat="1" ht="12" customHeight="1">
      <c r="B17495" s="324"/>
      <c r="C17495" s="325"/>
      <c r="D17495" s="326"/>
      <c r="E17495" s="326"/>
      <c r="F17495" s="326"/>
      <c r="G17495" s="326"/>
      <c r="H17495" s="326"/>
      <c r="P17495" s="318"/>
      <c r="Q17495" s="318"/>
      <c r="R17495" s="318"/>
      <c r="S17495" s="318"/>
      <c r="T17495" s="318"/>
      <c r="U17495" s="318"/>
      <c r="V17495" s="318"/>
      <c r="W17495" s="318"/>
      <c r="X17495" s="318"/>
      <c r="Y17495" s="318"/>
      <c r="Z17495" s="318"/>
      <c r="AA17495" s="318"/>
      <c r="AB17495" s="318"/>
      <c r="AC17495" s="318"/>
      <c r="AD17495" s="318"/>
    </row>
    <row r="17496" spans="2:30" s="323" customFormat="1" ht="12" customHeight="1">
      <c r="B17496" s="324"/>
      <c r="C17496" s="325"/>
      <c r="D17496" s="326"/>
      <c r="E17496" s="326"/>
      <c r="F17496" s="326"/>
      <c r="G17496" s="326"/>
      <c r="H17496" s="326"/>
      <c r="P17496" s="318"/>
      <c r="Q17496" s="318"/>
      <c r="R17496" s="318"/>
      <c r="S17496" s="318"/>
      <c r="T17496" s="318"/>
      <c r="U17496" s="318"/>
      <c r="V17496" s="318"/>
      <c r="W17496" s="318"/>
      <c r="X17496" s="318"/>
      <c r="Y17496" s="318"/>
      <c r="Z17496" s="318"/>
      <c r="AA17496" s="318"/>
      <c r="AB17496" s="318"/>
      <c r="AC17496" s="318"/>
      <c r="AD17496" s="318"/>
    </row>
    <row r="17497" spans="2:30" s="323" customFormat="1" ht="12" customHeight="1">
      <c r="B17497" s="324"/>
      <c r="C17497" s="325"/>
      <c r="D17497" s="326"/>
      <c r="E17497" s="326"/>
      <c r="F17497" s="326"/>
      <c r="G17497" s="326"/>
      <c r="H17497" s="326"/>
      <c r="P17497" s="318"/>
      <c r="Q17497" s="318"/>
      <c r="R17497" s="318"/>
      <c r="S17497" s="318"/>
      <c r="T17497" s="318"/>
      <c r="U17497" s="318"/>
      <c r="V17497" s="318"/>
      <c r="W17497" s="318"/>
      <c r="X17497" s="318"/>
      <c r="Y17497" s="318"/>
      <c r="Z17497" s="318"/>
      <c r="AA17497" s="318"/>
      <c r="AB17497" s="318"/>
      <c r="AC17497" s="318"/>
      <c r="AD17497" s="318"/>
    </row>
    <row r="17498" spans="2:30" s="323" customFormat="1" ht="12" customHeight="1">
      <c r="B17498" s="324"/>
      <c r="C17498" s="325"/>
      <c r="D17498" s="326"/>
      <c r="E17498" s="326"/>
      <c r="F17498" s="326"/>
      <c r="G17498" s="326"/>
      <c r="H17498" s="326"/>
      <c r="P17498" s="318"/>
      <c r="Q17498" s="318"/>
      <c r="R17498" s="318"/>
      <c r="S17498" s="318"/>
      <c r="T17498" s="318"/>
      <c r="U17498" s="318"/>
      <c r="V17498" s="318"/>
      <c r="W17498" s="318"/>
      <c r="X17498" s="318"/>
      <c r="Y17498" s="318"/>
      <c r="Z17498" s="318"/>
      <c r="AA17498" s="318"/>
      <c r="AB17498" s="318"/>
      <c r="AC17498" s="318"/>
      <c r="AD17498" s="318"/>
    </row>
    <row r="17499" spans="2:30" s="323" customFormat="1" ht="12" customHeight="1">
      <c r="B17499" s="324"/>
      <c r="C17499" s="325"/>
      <c r="D17499" s="326"/>
      <c r="E17499" s="326"/>
      <c r="F17499" s="326"/>
      <c r="G17499" s="326"/>
      <c r="H17499" s="326"/>
      <c r="P17499" s="318"/>
      <c r="Q17499" s="318"/>
      <c r="R17499" s="318"/>
      <c r="S17499" s="318"/>
      <c r="T17499" s="318"/>
      <c r="U17499" s="318"/>
      <c r="V17499" s="318"/>
      <c r="W17499" s="318"/>
      <c r="X17499" s="318"/>
      <c r="Y17499" s="318"/>
      <c r="Z17499" s="318"/>
      <c r="AA17499" s="318"/>
      <c r="AB17499" s="318"/>
      <c r="AC17499" s="318"/>
      <c r="AD17499" s="318"/>
    </row>
    <row r="17500" spans="2:30" s="323" customFormat="1" ht="12" customHeight="1">
      <c r="B17500" s="324"/>
      <c r="C17500" s="325"/>
      <c r="D17500" s="326"/>
      <c r="E17500" s="326"/>
      <c r="F17500" s="326"/>
      <c r="G17500" s="326"/>
      <c r="H17500" s="326"/>
      <c r="P17500" s="318"/>
      <c r="Q17500" s="318"/>
      <c r="R17500" s="318"/>
      <c r="S17500" s="318"/>
      <c r="T17500" s="318"/>
      <c r="U17500" s="318"/>
      <c r="V17500" s="318"/>
      <c r="W17500" s="318"/>
      <c r="X17500" s="318"/>
      <c r="Y17500" s="318"/>
      <c r="Z17500" s="318"/>
      <c r="AA17500" s="318"/>
      <c r="AB17500" s="318"/>
      <c r="AC17500" s="318"/>
      <c r="AD17500" s="318"/>
    </row>
    <row r="17501" spans="2:30" s="323" customFormat="1" ht="12" customHeight="1">
      <c r="B17501" s="324"/>
      <c r="C17501" s="325"/>
      <c r="D17501" s="326"/>
      <c r="E17501" s="326"/>
      <c r="F17501" s="326"/>
      <c r="G17501" s="326"/>
      <c r="H17501" s="326"/>
      <c r="P17501" s="318"/>
      <c r="Q17501" s="318"/>
      <c r="R17501" s="318"/>
      <c r="S17501" s="318"/>
      <c r="T17501" s="318"/>
      <c r="U17501" s="318"/>
      <c r="V17501" s="318"/>
      <c r="W17501" s="318"/>
      <c r="X17501" s="318"/>
      <c r="Y17501" s="318"/>
      <c r="Z17501" s="318"/>
      <c r="AA17501" s="318"/>
      <c r="AB17501" s="318"/>
      <c r="AC17501" s="318"/>
      <c r="AD17501" s="318"/>
    </row>
    <row r="17502" spans="2:30" s="323" customFormat="1" ht="12" customHeight="1">
      <c r="B17502" s="324"/>
      <c r="C17502" s="325"/>
      <c r="D17502" s="326"/>
      <c r="E17502" s="326"/>
      <c r="F17502" s="326"/>
      <c r="G17502" s="326"/>
      <c r="H17502" s="326"/>
      <c r="P17502" s="318"/>
      <c r="Q17502" s="318"/>
      <c r="R17502" s="318"/>
      <c r="S17502" s="318"/>
      <c r="T17502" s="318"/>
      <c r="U17502" s="318"/>
      <c r="V17502" s="318"/>
      <c r="W17502" s="318"/>
      <c r="X17502" s="318"/>
      <c r="Y17502" s="318"/>
      <c r="Z17502" s="318"/>
      <c r="AA17502" s="318"/>
      <c r="AB17502" s="318"/>
      <c r="AC17502" s="318"/>
      <c r="AD17502" s="318"/>
    </row>
    <row r="17503" spans="2:30" s="323" customFormat="1" ht="12" customHeight="1">
      <c r="B17503" s="324"/>
      <c r="C17503" s="325"/>
      <c r="D17503" s="326"/>
      <c r="E17503" s="326"/>
      <c r="F17503" s="326"/>
      <c r="G17503" s="326"/>
      <c r="H17503" s="326"/>
      <c r="P17503" s="318"/>
      <c r="Q17503" s="318"/>
      <c r="R17503" s="318"/>
      <c r="S17503" s="318"/>
      <c r="T17503" s="318"/>
      <c r="U17503" s="318"/>
      <c r="V17503" s="318"/>
      <c r="W17503" s="318"/>
      <c r="X17503" s="318"/>
      <c r="Y17503" s="318"/>
      <c r="Z17503" s="318"/>
      <c r="AA17503" s="318"/>
      <c r="AB17503" s="318"/>
      <c r="AC17503" s="318"/>
      <c r="AD17503" s="318"/>
    </row>
    <row r="17504" spans="2:30" s="323" customFormat="1" ht="12" customHeight="1">
      <c r="B17504" s="324"/>
      <c r="C17504" s="325"/>
      <c r="D17504" s="326"/>
      <c r="E17504" s="326"/>
      <c r="F17504" s="326"/>
      <c r="G17504" s="326"/>
      <c r="H17504" s="326"/>
      <c r="P17504" s="318"/>
      <c r="Q17504" s="318"/>
      <c r="R17504" s="318"/>
      <c r="S17504" s="318"/>
      <c r="T17504" s="318"/>
      <c r="U17504" s="318"/>
      <c r="V17504" s="318"/>
      <c r="W17504" s="318"/>
      <c r="X17504" s="318"/>
      <c r="Y17504" s="318"/>
      <c r="Z17504" s="318"/>
      <c r="AA17504" s="318"/>
      <c r="AB17504" s="318"/>
      <c r="AC17504" s="318"/>
      <c r="AD17504" s="318"/>
    </row>
    <row r="17505" spans="2:30" s="323" customFormat="1" ht="12" customHeight="1">
      <c r="B17505" s="324"/>
      <c r="C17505" s="325"/>
      <c r="D17505" s="326"/>
      <c r="E17505" s="326"/>
      <c r="F17505" s="326"/>
      <c r="G17505" s="326"/>
      <c r="H17505" s="326"/>
      <c r="P17505" s="318"/>
      <c r="Q17505" s="318"/>
      <c r="R17505" s="318"/>
      <c r="S17505" s="318"/>
      <c r="T17505" s="318"/>
      <c r="U17505" s="318"/>
      <c r="V17505" s="318"/>
      <c r="W17505" s="318"/>
      <c r="X17505" s="318"/>
      <c r="Y17505" s="318"/>
      <c r="Z17505" s="318"/>
      <c r="AA17505" s="318"/>
      <c r="AB17505" s="318"/>
      <c r="AC17505" s="318"/>
      <c r="AD17505" s="318"/>
    </row>
    <row r="17506" spans="2:30" s="323" customFormat="1" ht="12" customHeight="1">
      <c r="B17506" s="324"/>
      <c r="C17506" s="325"/>
      <c r="D17506" s="326"/>
      <c r="E17506" s="326"/>
      <c r="F17506" s="326"/>
      <c r="G17506" s="326"/>
      <c r="H17506" s="326"/>
      <c r="P17506" s="318"/>
      <c r="Q17506" s="318"/>
      <c r="R17506" s="318"/>
      <c r="S17506" s="318"/>
      <c r="T17506" s="318"/>
      <c r="U17506" s="318"/>
      <c r="V17506" s="318"/>
      <c r="W17506" s="318"/>
      <c r="X17506" s="318"/>
      <c r="Y17506" s="318"/>
      <c r="Z17506" s="318"/>
      <c r="AA17506" s="318"/>
      <c r="AB17506" s="318"/>
      <c r="AC17506" s="318"/>
      <c r="AD17506" s="318"/>
    </row>
    <row r="17507" spans="2:30" s="323" customFormat="1" ht="12" customHeight="1">
      <c r="B17507" s="324"/>
      <c r="C17507" s="325"/>
      <c r="D17507" s="326"/>
      <c r="E17507" s="326"/>
      <c r="F17507" s="326"/>
      <c r="G17507" s="326"/>
      <c r="H17507" s="326"/>
      <c r="P17507" s="318"/>
      <c r="Q17507" s="318"/>
      <c r="R17507" s="318"/>
      <c r="S17507" s="318"/>
      <c r="T17507" s="318"/>
      <c r="U17507" s="318"/>
      <c r="V17507" s="318"/>
      <c r="W17507" s="318"/>
      <c r="X17507" s="318"/>
      <c r="Y17507" s="318"/>
      <c r="Z17507" s="318"/>
      <c r="AA17507" s="318"/>
      <c r="AB17507" s="318"/>
      <c r="AC17507" s="318"/>
      <c r="AD17507" s="318"/>
    </row>
    <row r="17508" spans="2:30" s="323" customFormat="1" ht="12" customHeight="1">
      <c r="B17508" s="324"/>
      <c r="C17508" s="325"/>
      <c r="D17508" s="326"/>
      <c r="E17508" s="326"/>
      <c r="F17508" s="326"/>
      <c r="G17508" s="326"/>
      <c r="H17508" s="326"/>
      <c r="P17508" s="318"/>
      <c r="Q17508" s="318"/>
      <c r="R17508" s="318"/>
      <c r="S17508" s="318"/>
      <c r="T17508" s="318"/>
      <c r="U17508" s="318"/>
      <c r="V17508" s="318"/>
      <c r="W17508" s="318"/>
      <c r="X17508" s="318"/>
      <c r="Y17508" s="318"/>
      <c r="Z17508" s="318"/>
      <c r="AA17508" s="318"/>
      <c r="AB17508" s="318"/>
      <c r="AC17508" s="318"/>
      <c r="AD17508" s="318"/>
    </row>
    <row r="17509" spans="2:30" s="323" customFormat="1" ht="12" customHeight="1">
      <c r="B17509" s="324"/>
      <c r="C17509" s="325"/>
      <c r="D17509" s="326"/>
      <c r="E17509" s="326"/>
      <c r="F17509" s="326"/>
      <c r="G17509" s="326"/>
      <c r="H17509" s="326"/>
      <c r="P17509" s="318"/>
      <c r="Q17509" s="318"/>
      <c r="R17509" s="318"/>
      <c r="S17509" s="318"/>
      <c r="T17509" s="318"/>
      <c r="U17509" s="318"/>
      <c r="V17509" s="318"/>
      <c r="W17509" s="318"/>
      <c r="X17509" s="318"/>
      <c r="Y17509" s="318"/>
      <c r="Z17509" s="318"/>
      <c r="AA17509" s="318"/>
      <c r="AB17509" s="318"/>
      <c r="AC17509" s="318"/>
      <c r="AD17509" s="318"/>
    </row>
    <row r="17510" spans="2:30" s="323" customFormat="1" ht="12" customHeight="1">
      <c r="B17510" s="324"/>
      <c r="C17510" s="325"/>
      <c r="D17510" s="326"/>
      <c r="E17510" s="326"/>
      <c r="F17510" s="326"/>
      <c r="G17510" s="326"/>
      <c r="H17510" s="326"/>
      <c r="P17510" s="318"/>
      <c r="Q17510" s="318"/>
      <c r="R17510" s="318"/>
      <c r="S17510" s="318"/>
      <c r="T17510" s="318"/>
      <c r="U17510" s="318"/>
      <c r="V17510" s="318"/>
      <c r="W17510" s="318"/>
      <c r="X17510" s="318"/>
      <c r="Y17510" s="318"/>
      <c r="Z17510" s="318"/>
      <c r="AA17510" s="318"/>
      <c r="AB17510" s="318"/>
      <c r="AC17510" s="318"/>
      <c r="AD17510" s="318"/>
    </row>
    <row r="17511" spans="2:30" s="323" customFormat="1" ht="12" customHeight="1">
      <c r="B17511" s="324"/>
      <c r="C17511" s="325"/>
      <c r="D17511" s="326"/>
      <c r="E17511" s="326"/>
      <c r="F17511" s="326"/>
      <c r="G17511" s="326"/>
      <c r="H17511" s="326"/>
      <c r="P17511" s="318"/>
      <c r="Q17511" s="318"/>
      <c r="R17511" s="318"/>
      <c r="S17511" s="318"/>
      <c r="T17511" s="318"/>
      <c r="U17511" s="318"/>
      <c r="V17511" s="318"/>
      <c r="W17511" s="318"/>
      <c r="X17511" s="318"/>
      <c r="Y17511" s="318"/>
      <c r="Z17511" s="318"/>
      <c r="AA17511" s="318"/>
      <c r="AB17511" s="318"/>
      <c r="AC17511" s="318"/>
      <c r="AD17511" s="318"/>
    </row>
    <row r="17512" spans="2:30" s="323" customFormat="1" ht="12" customHeight="1">
      <c r="B17512" s="324"/>
      <c r="C17512" s="325"/>
      <c r="D17512" s="326"/>
      <c r="E17512" s="326"/>
      <c r="F17512" s="326"/>
      <c r="G17512" s="326"/>
      <c r="H17512" s="326"/>
      <c r="P17512" s="318"/>
      <c r="Q17512" s="318"/>
      <c r="R17512" s="318"/>
      <c r="S17512" s="318"/>
      <c r="T17512" s="318"/>
      <c r="U17512" s="318"/>
      <c r="V17512" s="318"/>
      <c r="W17512" s="318"/>
      <c r="X17512" s="318"/>
      <c r="Y17512" s="318"/>
      <c r="Z17512" s="318"/>
      <c r="AA17512" s="318"/>
      <c r="AB17512" s="318"/>
      <c r="AC17512" s="318"/>
      <c r="AD17512" s="318"/>
    </row>
    <row r="17513" spans="2:30" s="323" customFormat="1" ht="12" customHeight="1">
      <c r="B17513" s="324"/>
      <c r="C17513" s="325"/>
      <c r="D17513" s="326"/>
      <c r="E17513" s="326"/>
      <c r="F17513" s="326"/>
      <c r="G17513" s="326"/>
      <c r="H17513" s="326"/>
      <c r="P17513" s="318"/>
      <c r="Q17513" s="318"/>
      <c r="R17513" s="318"/>
      <c r="S17513" s="318"/>
      <c r="T17513" s="318"/>
      <c r="U17513" s="318"/>
      <c r="V17513" s="318"/>
      <c r="W17513" s="318"/>
      <c r="X17513" s="318"/>
      <c r="Y17513" s="318"/>
      <c r="Z17513" s="318"/>
      <c r="AA17513" s="318"/>
      <c r="AB17513" s="318"/>
      <c r="AC17513" s="318"/>
      <c r="AD17513" s="318"/>
    </row>
    <row r="17514" spans="2:30" s="323" customFormat="1" ht="12" customHeight="1">
      <c r="B17514" s="324"/>
      <c r="C17514" s="325"/>
      <c r="D17514" s="326"/>
      <c r="E17514" s="326"/>
      <c r="F17514" s="326"/>
      <c r="G17514" s="326"/>
      <c r="H17514" s="326"/>
      <c r="P17514" s="318"/>
      <c r="Q17514" s="318"/>
      <c r="R17514" s="318"/>
      <c r="S17514" s="318"/>
      <c r="T17514" s="318"/>
      <c r="U17514" s="318"/>
      <c r="V17514" s="318"/>
      <c r="W17514" s="318"/>
      <c r="X17514" s="318"/>
      <c r="Y17514" s="318"/>
      <c r="Z17514" s="318"/>
      <c r="AA17514" s="318"/>
      <c r="AB17514" s="318"/>
      <c r="AC17514" s="318"/>
      <c r="AD17514" s="318"/>
    </row>
    <row r="17515" spans="2:30" s="323" customFormat="1" ht="12" customHeight="1">
      <c r="B17515" s="324"/>
      <c r="C17515" s="325"/>
      <c r="D17515" s="326"/>
      <c r="E17515" s="326"/>
      <c r="F17515" s="326"/>
      <c r="G17515" s="326"/>
      <c r="H17515" s="326"/>
      <c r="P17515" s="318"/>
      <c r="Q17515" s="318"/>
      <c r="R17515" s="318"/>
      <c r="S17515" s="318"/>
      <c r="T17515" s="318"/>
      <c r="U17515" s="318"/>
      <c r="V17515" s="318"/>
      <c r="W17515" s="318"/>
      <c r="X17515" s="318"/>
      <c r="Y17515" s="318"/>
      <c r="Z17515" s="318"/>
      <c r="AA17515" s="318"/>
      <c r="AB17515" s="318"/>
      <c r="AC17515" s="318"/>
      <c r="AD17515" s="318"/>
    </row>
    <row r="17516" spans="2:30" s="323" customFormat="1" ht="12" customHeight="1">
      <c r="B17516" s="324"/>
      <c r="C17516" s="325"/>
      <c r="D17516" s="326"/>
      <c r="E17516" s="326"/>
      <c r="F17516" s="326"/>
      <c r="G17516" s="326"/>
      <c r="H17516" s="326"/>
      <c r="P17516" s="318"/>
      <c r="Q17516" s="318"/>
      <c r="R17516" s="318"/>
      <c r="S17516" s="318"/>
      <c r="T17516" s="318"/>
      <c r="U17516" s="318"/>
      <c r="V17516" s="318"/>
      <c r="W17516" s="318"/>
      <c r="X17516" s="318"/>
      <c r="Y17516" s="318"/>
      <c r="Z17516" s="318"/>
      <c r="AA17516" s="318"/>
      <c r="AB17516" s="318"/>
      <c r="AC17516" s="318"/>
      <c r="AD17516" s="318"/>
    </row>
    <row r="17517" spans="2:30" s="323" customFormat="1" ht="12" customHeight="1">
      <c r="B17517" s="324"/>
      <c r="C17517" s="325"/>
      <c r="D17517" s="326"/>
      <c r="E17517" s="326"/>
      <c r="F17517" s="326"/>
      <c r="G17517" s="326"/>
      <c r="H17517" s="326"/>
      <c r="P17517" s="318"/>
      <c r="Q17517" s="318"/>
      <c r="R17517" s="318"/>
      <c r="S17517" s="318"/>
      <c r="T17517" s="318"/>
      <c r="U17517" s="318"/>
      <c r="V17517" s="318"/>
      <c r="W17517" s="318"/>
      <c r="X17517" s="318"/>
      <c r="Y17517" s="318"/>
      <c r="Z17517" s="318"/>
      <c r="AA17517" s="318"/>
      <c r="AB17517" s="318"/>
      <c r="AC17517" s="318"/>
      <c r="AD17517" s="318"/>
    </row>
    <row r="17518" spans="2:30" s="323" customFormat="1" ht="12" customHeight="1">
      <c r="B17518" s="324"/>
      <c r="C17518" s="325"/>
      <c r="D17518" s="326"/>
      <c r="E17518" s="326"/>
      <c r="F17518" s="326"/>
      <c r="G17518" s="326"/>
      <c r="H17518" s="326"/>
      <c r="P17518" s="318"/>
      <c r="Q17518" s="318"/>
      <c r="R17518" s="318"/>
      <c r="S17518" s="318"/>
      <c r="T17518" s="318"/>
      <c r="U17518" s="318"/>
      <c r="V17518" s="318"/>
      <c r="W17518" s="318"/>
      <c r="X17518" s="318"/>
      <c r="Y17518" s="318"/>
      <c r="Z17518" s="318"/>
      <c r="AA17518" s="318"/>
      <c r="AB17518" s="318"/>
      <c r="AC17518" s="318"/>
      <c r="AD17518" s="318"/>
    </row>
    <row r="17519" spans="2:30" s="323" customFormat="1" ht="12" customHeight="1">
      <c r="B17519" s="324"/>
      <c r="C17519" s="325"/>
      <c r="D17519" s="326"/>
      <c r="E17519" s="326"/>
      <c r="F17519" s="326"/>
      <c r="G17519" s="326"/>
      <c r="H17519" s="326"/>
      <c r="P17519" s="318"/>
      <c r="Q17519" s="318"/>
      <c r="R17519" s="318"/>
      <c r="S17519" s="318"/>
      <c r="T17519" s="318"/>
      <c r="U17519" s="318"/>
      <c r="V17519" s="318"/>
      <c r="W17519" s="318"/>
      <c r="X17519" s="318"/>
      <c r="Y17519" s="318"/>
      <c r="Z17519" s="318"/>
      <c r="AA17519" s="318"/>
      <c r="AB17519" s="318"/>
      <c r="AC17519" s="318"/>
      <c r="AD17519" s="318"/>
    </row>
    <row r="17520" spans="2:30" s="323" customFormat="1" ht="12" customHeight="1">
      <c r="B17520" s="324"/>
      <c r="C17520" s="325"/>
      <c r="D17520" s="326"/>
      <c r="E17520" s="326"/>
      <c r="F17520" s="326"/>
      <c r="G17520" s="326"/>
      <c r="H17520" s="326"/>
      <c r="P17520" s="318"/>
      <c r="Q17520" s="318"/>
      <c r="R17520" s="318"/>
      <c r="S17520" s="318"/>
      <c r="T17520" s="318"/>
      <c r="U17520" s="318"/>
      <c r="V17520" s="318"/>
      <c r="W17520" s="318"/>
      <c r="X17520" s="318"/>
      <c r="Y17520" s="318"/>
      <c r="Z17520" s="318"/>
      <c r="AA17520" s="318"/>
      <c r="AB17520" s="318"/>
      <c r="AC17520" s="318"/>
      <c r="AD17520" s="318"/>
    </row>
    <row r="17521" spans="2:30" s="323" customFormat="1" ht="12" customHeight="1">
      <c r="B17521" s="324"/>
      <c r="C17521" s="325"/>
      <c r="D17521" s="326"/>
      <c r="E17521" s="326"/>
      <c r="F17521" s="326"/>
      <c r="G17521" s="326"/>
      <c r="H17521" s="326"/>
      <c r="P17521" s="318"/>
      <c r="Q17521" s="318"/>
      <c r="R17521" s="318"/>
      <c r="S17521" s="318"/>
      <c r="T17521" s="318"/>
      <c r="U17521" s="318"/>
      <c r="V17521" s="318"/>
      <c r="W17521" s="318"/>
      <c r="X17521" s="318"/>
      <c r="Y17521" s="318"/>
      <c r="Z17521" s="318"/>
      <c r="AA17521" s="318"/>
      <c r="AB17521" s="318"/>
      <c r="AC17521" s="318"/>
      <c r="AD17521" s="318"/>
    </row>
    <row r="17522" spans="2:30" s="323" customFormat="1" ht="12" customHeight="1">
      <c r="B17522" s="324"/>
      <c r="C17522" s="325"/>
      <c r="D17522" s="326"/>
      <c r="E17522" s="326"/>
      <c r="F17522" s="326"/>
      <c r="G17522" s="326"/>
      <c r="H17522" s="326"/>
      <c r="P17522" s="318"/>
      <c r="Q17522" s="318"/>
      <c r="R17522" s="318"/>
      <c r="S17522" s="318"/>
      <c r="T17522" s="318"/>
      <c r="U17522" s="318"/>
      <c r="V17522" s="318"/>
      <c r="W17522" s="318"/>
      <c r="X17522" s="318"/>
      <c r="Y17522" s="318"/>
      <c r="Z17522" s="318"/>
      <c r="AA17522" s="318"/>
      <c r="AB17522" s="318"/>
      <c r="AC17522" s="318"/>
      <c r="AD17522" s="318"/>
    </row>
    <row r="17523" spans="2:30" s="323" customFormat="1" ht="12" customHeight="1">
      <c r="B17523" s="324"/>
      <c r="C17523" s="325"/>
      <c r="D17523" s="326"/>
      <c r="E17523" s="326"/>
      <c r="F17523" s="326"/>
      <c r="G17523" s="326"/>
      <c r="H17523" s="326"/>
      <c r="P17523" s="318"/>
      <c r="Q17523" s="318"/>
      <c r="R17523" s="318"/>
      <c r="S17523" s="318"/>
      <c r="T17523" s="318"/>
      <c r="U17523" s="318"/>
      <c r="V17523" s="318"/>
      <c r="W17523" s="318"/>
      <c r="X17523" s="318"/>
      <c r="Y17523" s="318"/>
      <c r="Z17523" s="318"/>
      <c r="AA17523" s="318"/>
      <c r="AB17523" s="318"/>
      <c r="AC17523" s="318"/>
      <c r="AD17523" s="318"/>
    </row>
    <row r="17524" spans="2:30" s="323" customFormat="1" ht="12" customHeight="1">
      <c r="B17524" s="324"/>
      <c r="C17524" s="325"/>
      <c r="D17524" s="326"/>
      <c r="E17524" s="326"/>
      <c r="F17524" s="326"/>
      <c r="G17524" s="326"/>
      <c r="H17524" s="326"/>
      <c r="P17524" s="318"/>
      <c r="Q17524" s="318"/>
      <c r="R17524" s="318"/>
      <c r="S17524" s="318"/>
      <c r="T17524" s="318"/>
      <c r="U17524" s="318"/>
      <c r="V17524" s="318"/>
      <c r="W17524" s="318"/>
      <c r="X17524" s="318"/>
      <c r="Y17524" s="318"/>
      <c r="Z17524" s="318"/>
      <c r="AA17524" s="318"/>
      <c r="AB17524" s="318"/>
      <c r="AC17524" s="318"/>
      <c r="AD17524" s="318"/>
    </row>
    <row r="17525" spans="2:30" s="323" customFormat="1" ht="12" customHeight="1">
      <c r="B17525" s="324"/>
      <c r="C17525" s="325"/>
      <c r="D17525" s="326"/>
      <c r="E17525" s="326"/>
      <c r="F17525" s="326"/>
      <c r="G17525" s="326"/>
      <c r="H17525" s="326"/>
      <c r="P17525" s="318"/>
      <c r="Q17525" s="318"/>
      <c r="R17525" s="318"/>
      <c r="S17525" s="318"/>
      <c r="T17525" s="318"/>
      <c r="U17525" s="318"/>
      <c r="V17525" s="318"/>
      <c r="W17525" s="318"/>
      <c r="X17525" s="318"/>
      <c r="Y17525" s="318"/>
      <c r="Z17525" s="318"/>
      <c r="AA17525" s="318"/>
      <c r="AB17525" s="318"/>
      <c r="AC17525" s="318"/>
      <c r="AD17525" s="318"/>
    </row>
    <row r="17526" spans="2:30" s="323" customFormat="1" ht="12" customHeight="1">
      <c r="B17526" s="324"/>
      <c r="C17526" s="325"/>
      <c r="D17526" s="326"/>
      <c r="E17526" s="326"/>
      <c r="F17526" s="326"/>
      <c r="G17526" s="326"/>
      <c r="H17526" s="326"/>
      <c r="P17526" s="318"/>
      <c r="Q17526" s="318"/>
      <c r="R17526" s="318"/>
      <c r="S17526" s="318"/>
      <c r="T17526" s="318"/>
      <c r="U17526" s="318"/>
      <c r="V17526" s="318"/>
      <c r="W17526" s="318"/>
      <c r="X17526" s="318"/>
      <c r="Y17526" s="318"/>
      <c r="Z17526" s="318"/>
      <c r="AA17526" s="318"/>
      <c r="AB17526" s="318"/>
      <c r="AC17526" s="318"/>
      <c r="AD17526" s="318"/>
    </row>
    <row r="17527" spans="2:30" s="323" customFormat="1" ht="12" customHeight="1">
      <c r="B17527" s="324"/>
      <c r="C17527" s="325"/>
      <c r="D17527" s="326"/>
      <c r="E17527" s="326"/>
      <c r="F17527" s="326"/>
      <c r="G17527" s="326"/>
      <c r="H17527" s="326"/>
      <c r="P17527" s="318"/>
      <c r="Q17527" s="318"/>
      <c r="R17527" s="318"/>
      <c r="S17527" s="318"/>
      <c r="T17527" s="318"/>
      <c r="U17527" s="318"/>
      <c r="V17527" s="318"/>
      <c r="W17527" s="318"/>
      <c r="X17527" s="318"/>
      <c r="Y17527" s="318"/>
      <c r="Z17527" s="318"/>
      <c r="AA17527" s="318"/>
      <c r="AB17527" s="318"/>
      <c r="AC17527" s="318"/>
      <c r="AD17527" s="318"/>
    </row>
    <row r="17528" spans="2:30" s="323" customFormat="1" ht="12" customHeight="1">
      <c r="B17528" s="324"/>
      <c r="C17528" s="325"/>
      <c r="D17528" s="326"/>
      <c r="E17528" s="326"/>
      <c r="F17528" s="326"/>
      <c r="G17528" s="326"/>
      <c r="H17528" s="326"/>
      <c r="P17528" s="318"/>
      <c r="Q17528" s="318"/>
      <c r="R17528" s="318"/>
      <c r="S17528" s="318"/>
      <c r="T17528" s="318"/>
      <c r="U17528" s="318"/>
      <c r="V17528" s="318"/>
      <c r="W17528" s="318"/>
      <c r="X17528" s="318"/>
      <c r="Y17528" s="318"/>
      <c r="Z17528" s="318"/>
      <c r="AA17528" s="318"/>
      <c r="AB17528" s="318"/>
      <c r="AC17528" s="318"/>
      <c r="AD17528" s="318"/>
    </row>
    <row r="17529" spans="2:30" s="323" customFormat="1" ht="12" customHeight="1">
      <c r="B17529" s="324"/>
      <c r="C17529" s="325"/>
      <c r="D17529" s="326"/>
      <c r="E17529" s="326"/>
      <c r="F17529" s="326"/>
      <c r="G17529" s="326"/>
      <c r="H17529" s="326"/>
      <c r="P17529" s="318"/>
      <c r="Q17529" s="318"/>
      <c r="R17529" s="318"/>
      <c r="S17529" s="318"/>
      <c r="T17529" s="318"/>
      <c r="U17529" s="318"/>
      <c r="V17529" s="318"/>
      <c r="W17529" s="318"/>
      <c r="X17529" s="318"/>
      <c r="Y17529" s="318"/>
      <c r="Z17529" s="318"/>
      <c r="AA17529" s="318"/>
      <c r="AB17529" s="318"/>
      <c r="AC17529" s="318"/>
      <c r="AD17529" s="318"/>
    </row>
    <row r="17530" spans="2:30" s="323" customFormat="1" ht="12" customHeight="1">
      <c r="B17530" s="324"/>
      <c r="C17530" s="325"/>
      <c r="D17530" s="326"/>
      <c r="E17530" s="326"/>
      <c r="F17530" s="326"/>
      <c r="G17530" s="326"/>
      <c r="H17530" s="326"/>
      <c r="P17530" s="318"/>
      <c r="Q17530" s="318"/>
      <c r="R17530" s="318"/>
      <c r="S17530" s="318"/>
      <c r="T17530" s="318"/>
      <c r="U17530" s="318"/>
      <c r="V17530" s="318"/>
      <c r="W17530" s="318"/>
      <c r="X17530" s="318"/>
      <c r="Y17530" s="318"/>
      <c r="Z17530" s="318"/>
      <c r="AA17530" s="318"/>
      <c r="AB17530" s="318"/>
      <c r="AC17530" s="318"/>
      <c r="AD17530" s="318"/>
    </row>
    <row r="17531" spans="2:30" s="323" customFormat="1" ht="12" customHeight="1">
      <c r="B17531" s="324"/>
      <c r="C17531" s="325"/>
      <c r="D17531" s="326"/>
      <c r="E17531" s="326"/>
      <c r="F17531" s="326"/>
      <c r="G17531" s="326"/>
      <c r="H17531" s="326"/>
      <c r="P17531" s="318"/>
      <c r="Q17531" s="318"/>
      <c r="R17531" s="318"/>
      <c r="S17531" s="318"/>
      <c r="T17531" s="318"/>
      <c r="U17531" s="318"/>
      <c r="V17531" s="318"/>
      <c r="W17531" s="318"/>
      <c r="X17531" s="318"/>
      <c r="Y17531" s="318"/>
      <c r="Z17531" s="318"/>
      <c r="AA17531" s="318"/>
      <c r="AB17531" s="318"/>
      <c r="AC17531" s="318"/>
      <c r="AD17531" s="318"/>
    </row>
    <row r="17532" spans="2:30" s="323" customFormat="1" ht="12" customHeight="1">
      <c r="B17532" s="324"/>
      <c r="C17532" s="325"/>
      <c r="D17532" s="326"/>
      <c r="E17532" s="326"/>
      <c r="F17532" s="326"/>
      <c r="G17532" s="326"/>
      <c r="H17532" s="326"/>
      <c r="P17532" s="318"/>
      <c r="Q17532" s="318"/>
      <c r="R17532" s="318"/>
      <c r="S17532" s="318"/>
      <c r="T17532" s="318"/>
      <c r="U17532" s="318"/>
      <c r="V17532" s="318"/>
      <c r="W17532" s="318"/>
      <c r="X17532" s="318"/>
      <c r="Y17532" s="318"/>
      <c r="Z17532" s="318"/>
      <c r="AA17532" s="318"/>
      <c r="AB17532" s="318"/>
      <c r="AC17532" s="318"/>
      <c r="AD17532" s="318"/>
    </row>
    <row r="17533" spans="2:30" s="323" customFormat="1" ht="12" customHeight="1">
      <c r="B17533" s="324"/>
      <c r="C17533" s="325"/>
      <c r="D17533" s="326"/>
      <c r="E17533" s="326"/>
      <c r="F17533" s="326"/>
      <c r="G17533" s="326"/>
      <c r="H17533" s="326"/>
      <c r="P17533" s="318"/>
      <c r="Q17533" s="318"/>
      <c r="R17533" s="318"/>
      <c r="S17533" s="318"/>
      <c r="T17533" s="318"/>
      <c r="U17533" s="318"/>
      <c r="V17533" s="318"/>
      <c r="W17533" s="318"/>
      <c r="X17533" s="318"/>
      <c r="Y17533" s="318"/>
      <c r="Z17533" s="318"/>
      <c r="AA17533" s="318"/>
      <c r="AB17533" s="318"/>
      <c r="AC17533" s="318"/>
      <c r="AD17533" s="318"/>
    </row>
    <row r="17534" spans="2:30" s="323" customFormat="1" ht="12" customHeight="1">
      <c r="B17534" s="324"/>
      <c r="C17534" s="325"/>
      <c r="D17534" s="326"/>
      <c r="E17534" s="326"/>
      <c r="F17534" s="326"/>
      <c r="G17534" s="326"/>
      <c r="H17534" s="326"/>
      <c r="P17534" s="318"/>
      <c r="Q17534" s="318"/>
      <c r="R17534" s="318"/>
      <c r="S17534" s="318"/>
      <c r="T17534" s="318"/>
      <c r="U17534" s="318"/>
      <c r="V17534" s="318"/>
      <c r="W17534" s="318"/>
      <c r="X17534" s="318"/>
      <c r="Y17534" s="318"/>
      <c r="Z17534" s="318"/>
      <c r="AA17534" s="318"/>
      <c r="AB17534" s="318"/>
      <c r="AC17534" s="318"/>
      <c r="AD17534" s="318"/>
    </row>
    <row r="17535" spans="2:30" s="323" customFormat="1" ht="12" customHeight="1">
      <c r="B17535" s="324"/>
      <c r="C17535" s="325"/>
      <c r="D17535" s="326"/>
      <c r="E17535" s="326"/>
      <c r="F17535" s="326"/>
      <c r="G17535" s="326"/>
      <c r="H17535" s="326"/>
      <c r="P17535" s="318"/>
      <c r="Q17535" s="318"/>
      <c r="R17535" s="318"/>
      <c r="S17535" s="318"/>
      <c r="T17535" s="318"/>
      <c r="U17535" s="318"/>
      <c r="V17535" s="318"/>
      <c r="W17535" s="318"/>
      <c r="X17535" s="318"/>
      <c r="Y17535" s="318"/>
      <c r="Z17535" s="318"/>
      <c r="AA17535" s="318"/>
      <c r="AB17535" s="318"/>
      <c r="AC17535" s="318"/>
      <c r="AD17535" s="318"/>
    </row>
    <row r="17536" spans="2:30" s="323" customFormat="1" ht="12" customHeight="1">
      <c r="B17536" s="324"/>
      <c r="C17536" s="325"/>
      <c r="D17536" s="326"/>
      <c r="E17536" s="326"/>
      <c r="F17536" s="326"/>
      <c r="G17536" s="326"/>
      <c r="H17536" s="326"/>
      <c r="P17536" s="318"/>
      <c r="Q17536" s="318"/>
      <c r="R17536" s="318"/>
      <c r="S17536" s="318"/>
      <c r="T17536" s="318"/>
      <c r="U17536" s="318"/>
      <c r="V17536" s="318"/>
      <c r="W17536" s="318"/>
      <c r="X17536" s="318"/>
      <c r="Y17536" s="318"/>
      <c r="Z17536" s="318"/>
      <c r="AA17536" s="318"/>
      <c r="AB17536" s="318"/>
      <c r="AC17536" s="318"/>
      <c r="AD17536" s="318"/>
    </row>
    <row r="17537" spans="2:30" s="323" customFormat="1" ht="12" customHeight="1">
      <c r="B17537" s="324"/>
      <c r="C17537" s="325"/>
      <c r="D17537" s="326"/>
      <c r="E17537" s="326"/>
      <c r="F17537" s="326"/>
      <c r="G17537" s="326"/>
      <c r="H17537" s="326"/>
      <c r="P17537" s="318"/>
      <c r="Q17537" s="318"/>
      <c r="R17537" s="318"/>
      <c r="S17537" s="318"/>
      <c r="T17537" s="318"/>
      <c r="U17537" s="318"/>
      <c r="V17537" s="318"/>
      <c r="W17537" s="318"/>
      <c r="X17537" s="318"/>
      <c r="Y17537" s="318"/>
      <c r="Z17537" s="318"/>
      <c r="AA17537" s="318"/>
      <c r="AB17537" s="318"/>
      <c r="AC17537" s="318"/>
      <c r="AD17537" s="318"/>
    </row>
    <row r="17538" spans="2:30" s="323" customFormat="1" ht="12" customHeight="1">
      <c r="B17538" s="324"/>
      <c r="C17538" s="325"/>
      <c r="D17538" s="326"/>
      <c r="E17538" s="326"/>
      <c r="F17538" s="326"/>
      <c r="G17538" s="326"/>
      <c r="H17538" s="326"/>
      <c r="P17538" s="318"/>
      <c r="Q17538" s="318"/>
      <c r="R17538" s="318"/>
      <c r="S17538" s="318"/>
      <c r="T17538" s="318"/>
      <c r="U17538" s="318"/>
      <c r="V17538" s="318"/>
      <c r="W17538" s="318"/>
      <c r="X17538" s="318"/>
      <c r="Y17538" s="318"/>
      <c r="Z17538" s="318"/>
      <c r="AA17538" s="318"/>
      <c r="AB17538" s="318"/>
      <c r="AC17538" s="318"/>
      <c r="AD17538" s="318"/>
    </row>
    <row r="17539" spans="2:30" s="323" customFormat="1" ht="12" customHeight="1">
      <c r="B17539" s="324"/>
      <c r="C17539" s="325"/>
      <c r="D17539" s="326"/>
      <c r="E17539" s="326"/>
      <c r="F17539" s="326"/>
      <c r="G17539" s="326"/>
      <c r="H17539" s="326"/>
      <c r="P17539" s="318"/>
      <c r="Q17539" s="318"/>
      <c r="R17539" s="318"/>
      <c r="S17539" s="318"/>
      <c r="T17539" s="318"/>
      <c r="U17539" s="318"/>
      <c r="V17539" s="318"/>
      <c r="W17539" s="318"/>
      <c r="X17539" s="318"/>
      <c r="Y17539" s="318"/>
      <c r="Z17539" s="318"/>
      <c r="AA17539" s="318"/>
      <c r="AB17539" s="318"/>
      <c r="AC17539" s="318"/>
      <c r="AD17539" s="318"/>
    </row>
    <row r="17540" spans="2:30" s="323" customFormat="1" ht="12" customHeight="1">
      <c r="B17540" s="324"/>
      <c r="C17540" s="325"/>
      <c r="D17540" s="326"/>
      <c r="E17540" s="326"/>
      <c r="F17540" s="326"/>
      <c r="G17540" s="326"/>
      <c r="H17540" s="326"/>
      <c r="P17540" s="318"/>
      <c r="Q17540" s="318"/>
      <c r="R17540" s="318"/>
      <c r="S17540" s="318"/>
      <c r="T17540" s="318"/>
      <c r="U17540" s="318"/>
      <c r="V17540" s="318"/>
      <c r="W17540" s="318"/>
      <c r="X17540" s="318"/>
      <c r="Y17540" s="318"/>
      <c r="Z17540" s="318"/>
      <c r="AA17540" s="318"/>
      <c r="AB17540" s="318"/>
      <c r="AC17540" s="318"/>
      <c r="AD17540" s="318"/>
    </row>
    <row r="17541" spans="2:30" s="323" customFormat="1" ht="12" customHeight="1">
      <c r="B17541" s="324"/>
      <c r="C17541" s="325"/>
      <c r="D17541" s="326"/>
      <c r="E17541" s="326"/>
      <c r="F17541" s="326"/>
      <c r="G17541" s="326"/>
      <c r="H17541" s="326"/>
      <c r="P17541" s="318"/>
      <c r="Q17541" s="318"/>
      <c r="R17541" s="318"/>
      <c r="S17541" s="318"/>
      <c r="T17541" s="318"/>
      <c r="U17541" s="318"/>
      <c r="V17541" s="318"/>
      <c r="W17541" s="318"/>
      <c r="X17541" s="318"/>
      <c r="Y17541" s="318"/>
      <c r="Z17541" s="318"/>
      <c r="AA17541" s="318"/>
      <c r="AB17541" s="318"/>
      <c r="AC17541" s="318"/>
      <c r="AD17541" s="318"/>
    </row>
    <row r="17542" spans="2:30" s="323" customFormat="1" ht="12" customHeight="1">
      <c r="B17542" s="324"/>
      <c r="C17542" s="325"/>
      <c r="D17542" s="326"/>
      <c r="E17542" s="326"/>
      <c r="F17542" s="326"/>
      <c r="G17542" s="326"/>
      <c r="H17542" s="326"/>
      <c r="P17542" s="318"/>
      <c r="Q17542" s="318"/>
      <c r="R17542" s="318"/>
      <c r="S17542" s="318"/>
      <c r="T17542" s="318"/>
      <c r="U17542" s="318"/>
      <c r="V17542" s="318"/>
      <c r="W17542" s="318"/>
      <c r="X17542" s="318"/>
      <c r="Y17542" s="318"/>
      <c r="Z17542" s="318"/>
      <c r="AA17542" s="318"/>
      <c r="AB17542" s="318"/>
      <c r="AC17542" s="318"/>
      <c r="AD17542" s="318"/>
    </row>
    <row r="17543" spans="2:30" s="323" customFormat="1" ht="12" customHeight="1">
      <c r="B17543" s="324"/>
      <c r="C17543" s="325"/>
      <c r="D17543" s="326"/>
      <c r="E17543" s="326"/>
      <c r="F17543" s="326"/>
      <c r="G17543" s="326"/>
      <c r="H17543" s="326"/>
      <c r="P17543" s="318"/>
      <c r="Q17543" s="318"/>
      <c r="R17543" s="318"/>
      <c r="S17543" s="318"/>
      <c r="T17543" s="318"/>
      <c r="U17543" s="318"/>
      <c r="V17543" s="318"/>
      <c r="W17543" s="318"/>
      <c r="X17543" s="318"/>
      <c r="Y17543" s="318"/>
      <c r="Z17543" s="318"/>
      <c r="AA17543" s="318"/>
      <c r="AB17543" s="318"/>
      <c r="AC17543" s="318"/>
      <c r="AD17543" s="318"/>
    </row>
    <row r="17544" spans="2:30" s="323" customFormat="1" ht="12" customHeight="1">
      <c r="B17544" s="324"/>
      <c r="C17544" s="325"/>
      <c r="D17544" s="326"/>
      <c r="E17544" s="326"/>
      <c r="F17544" s="326"/>
      <c r="G17544" s="326"/>
      <c r="H17544" s="326"/>
      <c r="P17544" s="318"/>
      <c r="Q17544" s="318"/>
      <c r="R17544" s="318"/>
      <c r="S17544" s="318"/>
      <c r="T17544" s="318"/>
      <c r="U17544" s="318"/>
      <c r="V17544" s="318"/>
      <c r="W17544" s="318"/>
      <c r="X17544" s="318"/>
      <c r="Y17544" s="318"/>
      <c r="Z17544" s="318"/>
      <c r="AA17544" s="318"/>
      <c r="AB17544" s="318"/>
      <c r="AC17544" s="318"/>
      <c r="AD17544" s="318"/>
    </row>
    <row r="17545" spans="2:30" s="323" customFormat="1" ht="12" customHeight="1">
      <c r="B17545" s="324"/>
      <c r="C17545" s="325"/>
      <c r="D17545" s="326"/>
      <c r="E17545" s="326"/>
      <c r="F17545" s="326"/>
      <c r="G17545" s="326"/>
      <c r="H17545" s="326"/>
      <c r="P17545" s="318"/>
      <c r="Q17545" s="318"/>
      <c r="R17545" s="318"/>
      <c r="S17545" s="318"/>
      <c r="T17545" s="318"/>
      <c r="U17545" s="318"/>
      <c r="V17545" s="318"/>
      <c r="W17545" s="318"/>
      <c r="X17545" s="318"/>
      <c r="Y17545" s="318"/>
      <c r="Z17545" s="318"/>
      <c r="AA17545" s="318"/>
      <c r="AB17545" s="318"/>
      <c r="AC17545" s="318"/>
      <c r="AD17545" s="318"/>
    </row>
    <row r="17546" spans="2:30" s="323" customFormat="1" ht="12" customHeight="1">
      <c r="B17546" s="324"/>
      <c r="C17546" s="325"/>
      <c r="D17546" s="326"/>
      <c r="E17546" s="326"/>
      <c r="F17546" s="326"/>
      <c r="G17546" s="326"/>
      <c r="H17546" s="326"/>
      <c r="P17546" s="318"/>
      <c r="Q17546" s="318"/>
      <c r="R17546" s="318"/>
      <c r="S17546" s="318"/>
      <c r="T17546" s="318"/>
      <c r="U17546" s="318"/>
      <c r="V17546" s="318"/>
      <c r="W17546" s="318"/>
      <c r="X17546" s="318"/>
      <c r="Y17546" s="318"/>
      <c r="Z17546" s="318"/>
      <c r="AA17546" s="318"/>
      <c r="AB17546" s="318"/>
      <c r="AC17546" s="318"/>
      <c r="AD17546" s="318"/>
    </row>
    <row r="17547" spans="2:30" s="323" customFormat="1" ht="12" customHeight="1">
      <c r="B17547" s="324"/>
      <c r="C17547" s="325"/>
      <c r="D17547" s="326"/>
      <c r="E17547" s="326"/>
      <c r="F17547" s="326"/>
      <c r="G17547" s="326"/>
      <c r="H17547" s="326"/>
      <c r="P17547" s="318"/>
      <c r="Q17547" s="318"/>
      <c r="R17547" s="318"/>
      <c r="S17547" s="318"/>
      <c r="T17547" s="318"/>
      <c r="U17547" s="318"/>
      <c r="V17547" s="318"/>
      <c r="W17547" s="318"/>
      <c r="X17547" s="318"/>
      <c r="Y17547" s="318"/>
      <c r="Z17547" s="318"/>
      <c r="AA17547" s="318"/>
      <c r="AB17547" s="318"/>
      <c r="AC17547" s="318"/>
      <c r="AD17547" s="318"/>
    </row>
    <row r="17548" spans="2:30" s="323" customFormat="1" ht="12" customHeight="1">
      <c r="B17548" s="324"/>
      <c r="C17548" s="325"/>
      <c r="D17548" s="326"/>
      <c r="E17548" s="326"/>
      <c r="F17548" s="326"/>
      <c r="G17548" s="326"/>
      <c r="H17548" s="326"/>
      <c r="P17548" s="318"/>
      <c r="Q17548" s="318"/>
      <c r="R17548" s="318"/>
      <c r="S17548" s="318"/>
      <c r="T17548" s="318"/>
      <c r="U17548" s="318"/>
      <c r="V17548" s="318"/>
      <c r="W17548" s="318"/>
      <c r="X17548" s="318"/>
      <c r="Y17548" s="318"/>
      <c r="Z17548" s="318"/>
      <c r="AA17548" s="318"/>
      <c r="AB17548" s="318"/>
      <c r="AC17548" s="318"/>
      <c r="AD17548" s="318"/>
    </row>
    <row r="17549" spans="2:30" s="323" customFormat="1" ht="12" customHeight="1">
      <c r="B17549" s="324"/>
      <c r="C17549" s="325"/>
      <c r="D17549" s="326"/>
      <c r="E17549" s="326"/>
      <c r="F17549" s="326"/>
      <c r="G17549" s="326"/>
      <c r="H17549" s="326"/>
      <c r="P17549" s="318"/>
      <c r="Q17549" s="318"/>
      <c r="R17549" s="318"/>
      <c r="S17549" s="318"/>
      <c r="T17549" s="318"/>
      <c r="U17549" s="318"/>
      <c r="V17549" s="318"/>
      <c r="W17549" s="318"/>
      <c r="X17549" s="318"/>
      <c r="Y17549" s="318"/>
      <c r="Z17549" s="318"/>
      <c r="AA17549" s="318"/>
      <c r="AB17549" s="318"/>
      <c r="AC17549" s="318"/>
      <c r="AD17549" s="318"/>
    </row>
    <row r="17550" spans="2:30" s="323" customFormat="1" ht="12" customHeight="1">
      <c r="B17550" s="324"/>
      <c r="C17550" s="325"/>
      <c r="D17550" s="326"/>
      <c r="E17550" s="326"/>
      <c r="F17550" s="326"/>
      <c r="G17550" s="326"/>
      <c r="H17550" s="326"/>
      <c r="P17550" s="318"/>
      <c r="Q17550" s="318"/>
      <c r="R17550" s="318"/>
      <c r="S17550" s="318"/>
      <c r="T17550" s="318"/>
      <c r="U17550" s="318"/>
      <c r="V17550" s="318"/>
      <c r="W17550" s="318"/>
      <c r="X17550" s="318"/>
      <c r="Y17550" s="318"/>
      <c r="Z17550" s="318"/>
      <c r="AA17550" s="318"/>
      <c r="AB17550" s="318"/>
      <c r="AC17550" s="318"/>
      <c r="AD17550" s="318"/>
    </row>
    <row r="17551" spans="2:30" s="323" customFormat="1" ht="12" customHeight="1">
      <c r="B17551" s="324"/>
      <c r="C17551" s="325"/>
      <c r="D17551" s="326"/>
      <c r="E17551" s="326"/>
      <c r="F17551" s="326"/>
      <c r="G17551" s="326"/>
      <c r="H17551" s="326"/>
      <c r="P17551" s="318"/>
      <c r="Q17551" s="318"/>
      <c r="R17551" s="318"/>
      <c r="S17551" s="318"/>
      <c r="T17551" s="318"/>
      <c r="U17551" s="318"/>
      <c r="V17551" s="318"/>
      <c r="W17551" s="318"/>
      <c r="X17551" s="318"/>
      <c r="Y17551" s="318"/>
      <c r="Z17551" s="318"/>
      <c r="AA17551" s="318"/>
      <c r="AB17551" s="318"/>
      <c r="AC17551" s="318"/>
      <c r="AD17551" s="318"/>
    </row>
    <row r="17552" spans="2:30" s="323" customFormat="1" ht="12" customHeight="1">
      <c r="B17552" s="324"/>
      <c r="C17552" s="325"/>
      <c r="D17552" s="326"/>
      <c r="E17552" s="326"/>
      <c r="F17552" s="326"/>
      <c r="G17552" s="326"/>
      <c r="H17552" s="326"/>
      <c r="P17552" s="318"/>
      <c r="Q17552" s="318"/>
      <c r="R17552" s="318"/>
      <c r="S17552" s="318"/>
      <c r="T17552" s="318"/>
      <c r="U17552" s="318"/>
      <c r="V17552" s="318"/>
      <c r="W17552" s="318"/>
      <c r="X17552" s="318"/>
      <c r="Y17552" s="318"/>
      <c r="Z17552" s="318"/>
      <c r="AA17552" s="318"/>
      <c r="AB17552" s="318"/>
      <c r="AC17552" s="318"/>
      <c r="AD17552" s="318"/>
    </row>
    <row r="17553" spans="2:30" s="323" customFormat="1" ht="12" customHeight="1">
      <c r="B17553" s="324"/>
      <c r="C17553" s="325"/>
      <c r="D17553" s="326"/>
      <c r="E17553" s="326"/>
      <c r="F17553" s="326"/>
      <c r="G17553" s="326"/>
      <c r="H17553" s="326"/>
      <c r="P17553" s="318"/>
      <c r="Q17553" s="318"/>
      <c r="R17553" s="318"/>
      <c r="S17553" s="318"/>
      <c r="T17553" s="318"/>
      <c r="U17553" s="318"/>
      <c r="V17553" s="318"/>
      <c r="W17553" s="318"/>
      <c r="X17553" s="318"/>
      <c r="Y17553" s="318"/>
      <c r="Z17553" s="318"/>
      <c r="AA17553" s="318"/>
      <c r="AB17553" s="318"/>
      <c r="AC17553" s="318"/>
      <c r="AD17553" s="318"/>
    </row>
    <row r="17554" spans="2:30" s="323" customFormat="1" ht="12" customHeight="1">
      <c r="B17554" s="324"/>
      <c r="C17554" s="325"/>
      <c r="D17554" s="326"/>
      <c r="E17554" s="326"/>
      <c r="F17554" s="326"/>
      <c r="G17554" s="326"/>
      <c r="H17554" s="326"/>
      <c r="P17554" s="318"/>
      <c r="Q17554" s="318"/>
      <c r="R17554" s="318"/>
      <c r="S17554" s="318"/>
      <c r="T17554" s="318"/>
      <c r="U17554" s="318"/>
      <c r="V17554" s="318"/>
      <c r="W17554" s="318"/>
      <c r="X17554" s="318"/>
      <c r="Y17554" s="318"/>
      <c r="Z17554" s="318"/>
      <c r="AA17554" s="318"/>
      <c r="AB17554" s="318"/>
      <c r="AC17554" s="318"/>
      <c r="AD17554" s="318"/>
    </row>
    <row r="17555" spans="2:30" s="323" customFormat="1" ht="12" customHeight="1">
      <c r="B17555" s="324"/>
      <c r="C17555" s="325"/>
      <c r="D17555" s="326"/>
      <c r="E17555" s="326"/>
      <c r="F17555" s="326"/>
      <c r="G17555" s="326"/>
      <c r="H17555" s="326"/>
      <c r="P17555" s="318"/>
      <c r="Q17555" s="318"/>
      <c r="R17555" s="318"/>
      <c r="S17555" s="318"/>
      <c r="T17555" s="318"/>
      <c r="U17555" s="318"/>
      <c r="V17555" s="318"/>
      <c r="W17555" s="318"/>
      <c r="X17555" s="318"/>
      <c r="Y17555" s="318"/>
      <c r="Z17555" s="318"/>
      <c r="AA17555" s="318"/>
      <c r="AB17555" s="318"/>
      <c r="AC17555" s="318"/>
      <c r="AD17555" s="318"/>
    </row>
    <row r="17556" spans="2:30" s="323" customFormat="1" ht="12" customHeight="1">
      <c r="B17556" s="324"/>
      <c r="C17556" s="325"/>
      <c r="D17556" s="326"/>
      <c r="E17556" s="326"/>
      <c r="F17556" s="326"/>
      <c r="G17556" s="326"/>
      <c r="H17556" s="326"/>
      <c r="P17556" s="318"/>
      <c r="Q17556" s="318"/>
      <c r="R17556" s="318"/>
      <c r="S17556" s="318"/>
      <c r="T17556" s="318"/>
      <c r="U17556" s="318"/>
      <c r="V17556" s="318"/>
      <c r="W17556" s="318"/>
      <c r="X17556" s="318"/>
      <c r="Y17556" s="318"/>
      <c r="Z17556" s="318"/>
      <c r="AA17556" s="318"/>
      <c r="AB17556" s="318"/>
      <c r="AC17556" s="318"/>
      <c r="AD17556" s="318"/>
    </row>
    <row r="17557" spans="2:30" s="323" customFormat="1" ht="12" customHeight="1">
      <c r="B17557" s="324"/>
      <c r="C17557" s="325"/>
      <c r="D17557" s="326"/>
      <c r="E17557" s="326"/>
      <c r="F17557" s="326"/>
      <c r="G17557" s="326"/>
      <c r="H17557" s="326"/>
      <c r="P17557" s="318"/>
      <c r="Q17557" s="318"/>
      <c r="R17557" s="318"/>
      <c r="S17557" s="318"/>
      <c r="T17557" s="318"/>
      <c r="U17557" s="318"/>
      <c r="V17557" s="318"/>
      <c r="W17557" s="318"/>
      <c r="X17557" s="318"/>
      <c r="Y17557" s="318"/>
      <c r="Z17557" s="318"/>
      <c r="AA17557" s="318"/>
      <c r="AB17557" s="318"/>
      <c r="AC17557" s="318"/>
      <c r="AD17557" s="318"/>
    </row>
    <row r="17558" spans="2:30" s="323" customFormat="1" ht="12" customHeight="1">
      <c r="B17558" s="324"/>
      <c r="C17558" s="325"/>
      <c r="D17558" s="326"/>
      <c r="E17558" s="326"/>
      <c r="F17558" s="326"/>
      <c r="G17558" s="326"/>
      <c r="H17558" s="326"/>
      <c r="P17558" s="318"/>
      <c r="Q17558" s="318"/>
      <c r="R17558" s="318"/>
      <c r="S17558" s="318"/>
      <c r="T17558" s="318"/>
      <c r="U17558" s="318"/>
      <c r="V17558" s="318"/>
      <c r="W17558" s="318"/>
      <c r="X17558" s="318"/>
      <c r="Y17558" s="318"/>
      <c r="Z17558" s="318"/>
      <c r="AA17558" s="318"/>
      <c r="AB17558" s="318"/>
      <c r="AC17558" s="318"/>
      <c r="AD17558" s="318"/>
    </row>
    <row r="17559" spans="2:30" s="323" customFormat="1" ht="12" customHeight="1">
      <c r="B17559" s="324"/>
      <c r="C17559" s="325"/>
      <c r="D17559" s="326"/>
      <c r="E17559" s="326"/>
      <c r="F17559" s="326"/>
      <c r="G17559" s="326"/>
      <c r="H17559" s="326"/>
      <c r="P17559" s="318"/>
      <c r="Q17559" s="318"/>
      <c r="R17559" s="318"/>
      <c r="S17559" s="318"/>
      <c r="T17559" s="318"/>
      <c r="U17559" s="318"/>
      <c r="V17559" s="318"/>
      <c r="W17559" s="318"/>
      <c r="X17559" s="318"/>
      <c r="Y17559" s="318"/>
      <c r="Z17559" s="318"/>
      <c r="AA17559" s="318"/>
      <c r="AB17559" s="318"/>
      <c r="AC17559" s="318"/>
      <c r="AD17559" s="318"/>
    </row>
    <row r="17560" spans="2:30" s="323" customFormat="1" ht="12" customHeight="1">
      <c r="B17560" s="324"/>
      <c r="C17560" s="325"/>
      <c r="D17560" s="326"/>
      <c r="E17560" s="326"/>
      <c r="F17560" s="326"/>
      <c r="G17560" s="326"/>
      <c r="H17560" s="326"/>
      <c r="P17560" s="318"/>
      <c r="Q17560" s="318"/>
      <c r="R17560" s="318"/>
      <c r="S17560" s="318"/>
      <c r="T17560" s="318"/>
      <c r="U17560" s="318"/>
      <c r="V17560" s="318"/>
      <c r="W17560" s="318"/>
      <c r="X17560" s="318"/>
      <c r="Y17560" s="318"/>
      <c r="Z17560" s="318"/>
      <c r="AA17560" s="318"/>
      <c r="AB17560" s="318"/>
      <c r="AC17560" s="318"/>
      <c r="AD17560" s="318"/>
    </row>
    <row r="17561" spans="2:30" s="323" customFormat="1" ht="12" customHeight="1">
      <c r="B17561" s="324"/>
      <c r="C17561" s="325"/>
      <c r="D17561" s="326"/>
      <c r="E17561" s="326"/>
      <c r="F17561" s="326"/>
      <c r="G17561" s="326"/>
      <c r="H17561" s="326"/>
      <c r="P17561" s="318"/>
      <c r="Q17561" s="318"/>
      <c r="R17561" s="318"/>
      <c r="S17561" s="318"/>
      <c r="T17561" s="318"/>
      <c r="U17561" s="318"/>
      <c r="V17561" s="318"/>
      <c r="W17561" s="318"/>
      <c r="X17561" s="318"/>
      <c r="Y17561" s="318"/>
      <c r="Z17561" s="318"/>
      <c r="AA17561" s="318"/>
      <c r="AB17561" s="318"/>
      <c r="AC17561" s="318"/>
      <c r="AD17561" s="318"/>
    </row>
    <row r="17562" spans="2:30" s="323" customFormat="1" ht="12" customHeight="1">
      <c r="B17562" s="324"/>
      <c r="C17562" s="325"/>
      <c r="D17562" s="326"/>
      <c r="E17562" s="326"/>
      <c r="F17562" s="326"/>
      <c r="G17562" s="326"/>
      <c r="H17562" s="326"/>
      <c r="P17562" s="318"/>
      <c r="Q17562" s="318"/>
      <c r="R17562" s="318"/>
      <c r="S17562" s="318"/>
      <c r="T17562" s="318"/>
      <c r="U17562" s="318"/>
      <c r="V17562" s="318"/>
      <c r="W17562" s="318"/>
      <c r="X17562" s="318"/>
      <c r="Y17562" s="318"/>
      <c r="Z17562" s="318"/>
      <c r="AA17562" s="318"/>
      <c r="AB17562" s="318"/>
      <c r="AC17562" s="318"/>
      <c r="AD17562" s="318"/>
    </row>
    <row r="17563" spans="2:30" s="323" customFormat="1" ht="12" customHeight="1">
      <c r="B17563" s="324"/>
      <c r="C17563" s="325"/>
      <c r="D17563" s="326"/>
      <c r="E17563" s="326"/>
      <c r="F17563" s="326"/>
      <c r="G17563" s="326"/>
      <c r="H17563" s="326"/>
      <c r="P17563" s="318"/>
      <c r="Q17563" s="318"/>
      <c r="R17563" s="318"/>
      <c r="S17563" s="318"/>
      <c r="T17563" s="318"/>
      <c r="U17563" s="318"/>
      <c r="V17563" s="318"/>
      <c r="W17563" s="318"/>
      <c r="X17563" s="318"/>
      <c r="Y17563" s="318"/>
      <c r="Z17563" s="318"/>
      <c r="AA17563" s="318"/>
      <c r="AB17563" s="318"/>
      <c r="AC17563" s="318"/>
      <c r="AD17563" s="318"/>
    </row>
    <row r="17564" spans="2:30" s="323" customFormat="1" ht="12" customHeight="1">
      <c r="B17564" s="324"/>
      <c r="C17564" s="325"/>
      <c r="D17564" s="326"/>
      <c r="E17564" s="326"/>
      <c r="F17564" s="326"/>
      <c r="G17564" s="326"/>
      <c r="H17564" s="326"/>
      <c r="P17564" s="318"/>
      <c r="Q17564" s="318"/>
      <c r="R17564" s="318"/>
      <c r="S17564" s="318"/>
      <c r="T17564" s="318"/>
      <c r="U17564" s="318"/>
      <c r="V17564" s="318"/>
      <c r="W17564" s="318"/>
      <c r="X17564" s="318"/>
      <c r="Y17564" s="318"/>
      <c r="Z17564" s="318"/>
      <c r="AA17564" s="318"/>
      <c r="AB17564" s="318"/>
      <c r="AC17564" s="318"/>
      <c r="AD17564" s="318"/>
    </row>
    <row r="17565" spans="2:30" s="323" customFormat="1" ht="12" customHeight="1">
      <c r="B17565" s="324"/>
      <c r="C17565" s="325"/>
      <c r="D17565" s="326"/>
      <c r="E17565" s="326"/>
      <c r="F17565" s="326"/>
      <c r="G17565" s="326"/>
      <c r="H17565" s="326"/>
      <c r="P17565" s="318"/>
      <c r="Q17565" s="318"/>
      <c r="R17565" s="318"/>
      <c r="S17565" s="318"/>
      <c r="T17565" s="318"/>
      <c r="U17565" s="318"/>
      <c r="V17565" s="318"/>
      <c r="W17565" s="318"/>
      <c r="X17565" s="318"/>
      <c r="Y17565" s="318"/>
      <c r="Z17565" s="318"/>
      <c r="AA17565" s="318"/>
      <c r="AB17565" s="318"/>
      <c r="AC17565" s="318"/>
      <c r="AD17565" s="318"/>
    </row>
    <row r="17566" spans="2:30" s="323" customFormat="1" ht="12" customHeight="1">
      <c r="B17566" s="324"/>
      <c r="C17566" s="325"/>
      <c r="D17566" s="326"/>
      <c r="E17566" s="326"/>
      <c r="F17566" s="326"/>
      <c r="G17566" s="326"/>
      <c r="H17566" s="326"/>
      <c r="P17566" s="318"/>
      <c r="Q17566" s="318"/>
      <c r="R17566" s="318"/>
      <c r="S17566" s="318"/>
      <c r="T17566" s="318"/>
      <c r="U17566" s="318"/>
      <c r="V17566" s="318"/>
      <c r="W17566" s="318"/>
      <c r="X17566" s="318"/>
      <c r="Y17566" s="318"/>
      <c r="Z17566" s="318"/>
      <c r="AA17566" s="318"/>
      <c r="AB17566" s="318"/>
      <c r="AC17566" s="318"/>
      <c r="AD17566" s="318"/>
    </row>
    <row r="17567" spans="2:30" s="323" customFormat="1" ht="12" customHeight="1">
      <c r="B17567" s="324"/>
      <c r="C17567" s="325"/>
      <c r="D17567" s="326"/>
      <c r="E17567" s="326"/>
      <c r="F17567" s="326"/>
      <c r="G17567" s="326"/>
      <c r="H17567" s="326"/>
      <c r="P17567" s="318"/>
      <c r="Q17567" s="318"/>
      <c r="R17567" s="318"/>
      <c r="S17567" s="318"/>
      <c r="T17567" s="318"/>
      <c r="U17567" s="318"/>
      <c r="V17567" s="318"/>
      <c r="W17567" s="318"/>
      <c r="X17567" s="318"/>
      <c r="Y17567" s="318"/>
      <c r="Z17567" s="318"/>
      <c r="AA17567" s="318"/>
      <c r="AB17567" s="318"/>
      <c r="AC17567" s="318"/>
      <c r="AD17567" s="318"/>
    </row>
    <row r="17568" spans="2:30" s="323" customFormat="1" ht="12" customHeight="1">
      <c r="B17568" s="324"/>
      <c r="C17568" s="325"/>
      <c r="D17568" s="326"/>
      <c r="E17568" s="326"/>
      <c r="F17568" s="326"/>
      <c r="G17568" s="326"/>
      <c r="H17568" s="326"/>
      <c r="P17568" s="318"/>
      <c r="Q17568" s="318"/>
      <c r="R17568" s="318"/>
      <c r="S17568" s="318"/>
      <c r="T17568" s="318"/>
      <c r="U17568" s="318"/>
      <c r="V17568" s="318"/>
      <c r="W17568" s="318"/>
      <c r="X17568" s="318"/>
      <c r="Y17568" s="318"/>
      <c r="Z17568" s="318"/>
      <c r="AA17568" s="318"/>
      <c r="AB17568" s="318"/>
      <c r="AC17568" s="318"/>
      <c r="AD17568" s="318"/>
    </row>
    <row r="17569" spans="2:30" s="323" customFormat="1" ht="12" customHeight="1">
      <c r="B17569" s="324"/>
      <c r="C17569" s="325"/>
      <c r="D17569" s="326"/>
      <c r="E17569" s="326"/>
      <c r="F17569" s="326"/>
      <c r="G17569" s="326"/>
      <c r="H17569" s="326"/>
      <c r="P17569" s="318"/>
      <c r="Q17569" s="318"/>
      <c r="R17569" s="318"/>
      <c r="S17569" s="318"/>
      <c r="T17569" s="318"/>
      <c r="U17569" s="318"/>
      <c r="V17569" s="318"/>
      <c r="W17569" s="318"/>
      <c r="X17569" s="318"/>
      <c r="Y17569" s="318"/>
      <c r="Z17569" s="318"/>
      <c r="AA17569" s="318"/>
      <c r="AB17569" s="318"/>
      <c r="AC17569" s="318"/>
      <c r="AD17569" s="318"/>
    </row>
    <row r="17570" spans="2:30" s="323" customFormat="1" ht="12" customHeight="1">
      <c r="B17570" s="324"/>
      <c r="C17570" s="325"/>
      <c r="D17570" s="326"/>
      <c r="E17570" s="326"/>
      <c r="F17570" s="326"/>
      <c r="G17570" s="326"/>
      <c r="H17570" s="326"/>
      <c r="P17570" s="318"/>
      <c r="Q17570" s="318"/>
      <c r="R17570" s="318"/>
      <c r="S17570" s="318"/>
      <c r="T17570" s="318"/>
      <c r="U17570" s="318"/>
      <c r="V17570" s="318"/>
      <c r="W17570" s="318"/>
      <c r="X17570" s="318"/>
      <c r="Y17570" s="318"/>
      <c r="Z17570" s="318"/>
      <c r="AA17570" s="318"/>
      <c r="AB17570" s="318"/>
      <c r="AC17570" s="318"/>
      <c r="AD17570" s="318"/>
    </row>
    <row r="17571" spans="2:30" s="323" customFormat="1" ht="12" customHeight="1">
      <c r="B17571" s="324"/>
      <c r="C17571" s="325"/>
      <c r="D17571" s="326"/>
      <c r="E17571" s="326"/>
      <c r="F17571" s="326"/>
      <c r="G17571" s="326"/>
      <c r="H17571" s="326"/>
      <c r="P17571" s="318"/>
      <c r="Q17571" s="318"/>
      <c r="R17571" s="318"/>
      <c r="S17571" s="318"/>
      <c r="T17571" s="318"/>
      <c r="U17571" s="318"/>
      <c r="V17571" s="318"/>
      <c r="W17571" s="318"/>
      <c r="X17571" s="318"/>
      <c r="Y17571" s="318"/>
      <c r="Z17571" s="318"/>
      <c r="AA17571" s="318"/>
      <c r="AB17571" s="318"/>
      <c r="AC17571" s="318"/>
      <c r="AD17571" s="318"/>
    </row>
    <row r="17572" spans="2:30" s="323" customFormat="1" ht="12" customHeight="1">
      <c r="B17572" s="324"/>
      <c r="C17572" s="325"/>
      <c r="D17572" s="326"/>
      <c r="E17572" s="326"/>
      <c r="F17572" s="326"/>
      <c r="G17572" s="326"/>
      <c r="H17572" s="326"/>
      <c r="P17572" s="318"/>
      <c r="Q17572" s="318"/>
      <c r="R17572" s="318"/>
      <c r="S17572" s="318"/>
      <c r="T17572" s="318"/>
      <c r="U17572" s="318"/>
      <c r="V17572" s="318"/>
      <c r="W17572" s="318"/>
      <c r="X17572" s="318"/>
      <c r="Y17572" s="318"/>
      <c r="Z17572" s="318"/>
      <c r="AA17572" s="318"/>
      <c r="AB17572" s="318"/>
      <c r="AC17572" s="318"/>
      <c r="AD17572" s="318"/>
    </row>
    <row r="17573" spans="2:30" s="323" customFormat="1" ht="12" customHeight="1">
      <c r="B17573" s="324"/>
      <c r="C17573" s="325"/>
      <c r="D17573" s="326"/>
      <c r="E17573" s="326"/>
      <c r="F17573" s="326"/>
      <c r="G17573" s="326"/>
      <c r="H17573" s="326"/>
      <c r="P17573" s="318"/>
      <c r="Q17573" s="318"/>
      <c r="R17573" s="318"/>
      <c r="S17573" s="318"/>
      <c r="T17573" s="318"/>
      <c r="U17573" s="318"/>
      <c r="V17573" s="318"/>
      <c r="W17573" s="318"/>
      <c r="X17573" s="318"/>
      <c r="Y17573" s="318"/>
      <c r="Z17573" s="318"/>
      <c r="AA17573" s="318"/>
      <c r="AB17573" s="318"/>
      <c r="AC17573" s="318"/>
      <c r="AD17573" s="318"/>
    </row>
    <row r="17574" spans="2:30" s="323" customFormat="1" ht="12" customHeight="1">
      <c r="B17574" s="324"/>
      <c r="C17574" s="325"/>
      <c r="D17574" s="326"/>
      <c r="E17574" s="326"/>
      <c r="F17574" s="326"/>
      <c r="G17574" s="326"/>
      <c r="H17574" s="326"/>
      <c r="P17574" s="318"/>
      <c r="Q17574" s="318"/>
      <c r="R17574" s="318"/>
      <c r="S17574" s="318"/>
      <c r="T17574" s="318"/>
      <c r="U17574" s="318"/>
      <c r="V17574" s="318"/>
      <c r="W17574" s="318"/>
      <c r="X17574" s="318"/>
      <c r="Y17574" s="318"/>
      <c r="Z17574" s="318"/>
      <c r="AA17574" s="318"/>
      <c r="AB17574" s="318"/>
      <c r="AC17574" s="318"/>
      <c r="AD17574" s="318"/>
    </row>
    <row r="17575" spans="2:30" s="323" customFormat="1" ht="12" customHeight="1">
      <c r="B17575" s="324"/>
      <c r="C17575" s="325"/>
      <c r="D17575" s="326"/>
      <c r="E17575" s="326"/>
      <c r="F17575" s="326"/>
      <c r="G17575" s="326"/>
      <c r="H17575" s="326"/>
      <c r="P17575" s="318"/>
      <c r="Q17575" s="318"/>
      <c r="R17575" s="318"/>
      <c r="S17575" s="318"/>
      <c r="T17575" s="318"/>
      <c r="U17575" s="318"/>
      <c r="V17575" s="318"/>
      <c r="W17575" s="318"/>
      <c r="X17575" s="318"/>
      <c r="Y17575" s="318"/>
      <c r="Z17575" s="318"/>
      <c r="AA17575" s="318"/>
      <c r="AB17575" s="318"/>
      <c r="AC17575" s="318"/>
      <c r="AD17575" s="318"/>
    </row>
    <row r="17576" spans="2:30" s="323" customFormat="1" ht="12" customHeight="1">
      <c r="B17576" s="324"/>
      <c r="C17576" s="325"/>
      <c r="D17576" s="326"/>
      <c r="E17576" s="326"/>
      <c r="F17576" s="326"/>
      <c r="G17576" s="326"/>
      <c r="H17576" s="326"/>
      <c r="P17576" s="318"/>
      <c r="Q17576" s="318"/>
      <c r="R17576" s="318"/>
      <c r="S17576" s="318"/>
      <c r="T17576" s="318"/>
      <c r="U17576" s="318"/>
      <c r="V17576" s="318"/>
      <c r="W17576" s="318"/>
      <c r="X17576" s="318"/>
      <c r="Y17576" s="318"/>
      <c r="Z17576" s="318"/>
      <c r="AA17576" s="318"/>
      <c r="AB17576" s="318"/>
      <c r="AC17576" s="318"/>
      <c r="AD17576" s="318"/>
    </row>
    <row r="17577" spans="2:30" s="323" customFormat="1" ht="12" customHeight="1">
      <c r="B17577" s="324"/>
      <c r="C17577" s="325"/>
      <c r="D17577" s="326"/>
      <c r="E17577" s="326"/>
      <c r="F17577" s="326"/>
      <c r="G17577" s="326"/>
      <c r="H17577" s="326"/>
      <c r="P17577" s="318"/>
      <c r="Q17577" s="318"/>
      <c r="R17577" s="318"/>
      <c r="S17577" s="318"/>
      <c r="T17577" s="318"/>
      <c r="U17577" s="318"/>
      <c r="V17577" s="318"/>
      <c r="W17577" s="318"/>
      <c r="X17577" s="318"/>
      <c r="Y17577" s="318"/>
      <c r="Z17577" s="318"/>
      <c r="AA17577" s="318"/>
      <c r="AB17577" s="318"/>
      <c r="AC17577" s="318"/>
      <c r="AD17577" s="318"/>
    </row>
    <row r="17578" spans="2:30" s="323" customFormat="1" ht="12" customHeight="1">
      <c r="B17578" s="324"/>
      <c r="C17578" s="325"/>
      <c r="D17578" s="326"/>
      <c r="E17578" s="326"/>
      <c r="F17578" s="326"/>
      <c r="G17578" s="326"/>
      <c r="H17578" s="326"/>
      <c r="P17578" s="318"/>
      <c r="Q17578" s="318"/>
      <c r="R17578" s="318"/>
      <c r="S17578" s="318"/>
      <c r="T17578" s="318"/>
      <c r="U17578" s="318"/>
      <c r="V17578" s="318"/>
      <c r="W17578" s="318"/>
      <c r="X17578" s="318"/>
      <c r="Y17578" s="318"/>
      <c r="Z17578" s="318"/>
      <c r="AA17578" s="318"/>
      <c r="AB17578" s="318"/>
      <c r="AC17578" s="318"/>
      <c r="AD17578" s="318"/>
    </row>
    <row r="17579" spans="2:30" s="323" customFormat="1" ht="12" customHeight="1">
      <c r="B17579" s="324"/>
      <c r="C17579" s="325"/>
      <c r="D17579" s="326"/>
      <c r="E17579" s="326"/>
      <c r="F17579" s="326"/>
      <c r="G17579" s="326"/>
      <c r="H17579" s="326"/>
      <c r="P17579" s="318"/>
      <c r="Q17579" s="318"/>
      <c r="R17579" s="318"/>
      <c r="S17579" s="318"/>
      <c r="T17579" s="318"/>
      <c r="U17579" s="318"/>
      <c r="V17579" s="318"/>
      <c r="W17579" s="318"/>
      <c r="X17579" s="318"/>
      <c r="Y17579" s="318"/>
      <c r="Z17579" s="318"/>
      <c r="AA17579" s="318"/>
      <c r="AB17579" s="318"/>
      <c r="AC17579" s="318"/>
      <c r="AD17579" s="318"/>
    </row>
    <row r="17580" spans="2:30" s="323" customFormat="1" ht="12" customHeight="1">
      <c r="B17580" s="324"/>
      <c r="C17580" s="325"/>
      <c r="D17580" s="326"/>
      <c r="E17580" s="326"/>
      <c r="F17580" s="326"/>
      <c r="G17580" s="326"/>
      <c r="H17580" s="326"/>
      <c r="P17580" s="318"/>
      <c r="Q17580" s="318"/>
      <c r="R17580" s="318"/>
      <c r="S17580" s="318"/>
      <c r="T17580" s="318"/>
      <c r="U17580" s="318"/>
      <c r="V17580" s="318"/>
      <c r="W17580" s="318"/>
      <c r="X17580" s="318"/>
      <c r="Y17580" s="318"/>
      <c r="Z17580" s="318"/>
      <c r="AA17580" s="318"/>
      <c r="AB17580" s="318"/>
      <c r="AC17580" s="318"/>
      <c r="AD17580" s="318"/>
    </row>
    <row r="17581" spans="2:30" s="323" customFormat="1" ht="12" customHeight="1">
      <c r="B17581" s="324"/>
      <c r="C17581" s="325"/>
      <c r="D17581" s="326"/>
      <c r="E17581" s="326"/>
      <c r="F17581" s="326"/>
      <c r="G17581" s="326"/>
      <c r="H17581" s="326"/>
      <c r="P17581" s="318"/>
      <c r="Q17581" s="318"/>
      <c r="R17581" s="318"/>
      <c r="S17581" s="318"/>
      <c r="T17581" s="318"/>
      <c r="U17581" s="318"/>
      <c r="V17581" s="318"/>
      <c r="W17581" s="318"/>
      <c r="X17581" s="318"/>
      <c r="Y17581" s="318"/>
      <c r="Z17581" s="318"/>
      <c r="AA17581" s="318"/>
      <c r="AB17581" s="318"/>
      <c r="AC17581" s="318"/>
      <c r="AD17581" s="318"/>
    </row>
    <row r="17582" spans="2:30" s="323" customFormat="1" ht="12" customHeight="1">
      <c r="B17582" s="324"/>
      <c r="C17582" s="325"/>
      <c r="D17582" s="326"/>
      <c r="E17582" s="326"/>
      <c r="F17582" s="326"/>
      <c r="G17582" s="326"/>
      <c r="H17582" s="326"/>
      <c r="P17582" s="318"/>
      <c r="Q17582" s="318"/>
      <c r="R17582" s="318"/>
      <c r="S17582" s="318"/>
      <c r="T17582" s="318"/>
      <c r="U17582" s="318"/>
      <c r="V17582" s="318"/>
      <c r="W17582" s="318"/>
      <c r="X17582" s="318"/>
      <c r="Y17582" s="318"/>
      <c r="Z17582" s="318"/>
      <c r="AA17582" s="318"/>
      <c r="AB17582" s="318"/>
      <c r="AC17582" s="318"/>
      <c r="AD17582" s="318"/>
    </row>
    <row r="17583" spans="2:30" s="323" customFormat="1" ht="12" customHeight="1">
      <c r="B17583" s="324"/>
      <c r="C17583" s="325"/>
      <c r="D17583" s="326"/>
      <c r="E17583" s="326"/>
      <c r="F17583" s="326"/>
      <c r="G17583" s="326"/>
      <c r="H17583" s="326"/>
      <c r="P17583" s="318"/>
      <c r="Q17583" s="318"/>
      <c r="R17583" s="318"/>
      <c r="S17583" s="318"/>
      <c r="T17583" s="318"/>
      <c r="U17583" s="318"/>
      <c r="V17583" s="318"/>
      <c r="W17583" s="318"/>
      <c r="X17583" s="318"/>
      <c r="Y17583" s="318"/>
      <c r="Z17583" s="318"/>
      <c r="AA17583" s="318"/>
      <c r="AB17583" s="318"/>
      <c r="AC17583" s="318"/>
      <c r="AD17583" s="318"/>
    </row>
    <row r="17584" spans="2:30" s="323" customFormat="1" ht="12" customHeight="1">
      <c r="B17584" s="324"/>
      <c r="C17584" s="325"/>
      <c r="D17584" s="326"/>
      <c r="E17584" s="326"/>
      <c r="F17584" s="326"/>
      <c r="G17584" s="326"/>
      <c r="H17584" s="326"/>
      <c r="P17584" s="318"/>
      <c r="Q17584" s="318"/>
      <c r="R17584" s="318"/>
      <c r="S17584" s="318"/>
      <c r="T17584" s="318"/>
      <c r="U17584" s="318"/>
      <c r="V17584" s="318"/>
      <c r="W17584" s="318"/>
      <c r="X17584" s="318"/>
      <c r="Y17584" s="318"/>
      <c r="Z17584" s="318"/>
      <c r="AA17584" s="318"/>
      <c r="AB17584" s="318"/>
      <c r="AC17584" s="318"/>
      <c r="AD17584" s="318"/>
    </row>
    <row r="17585" spans="2:30" s="323" customFormat="1" ht="12" customHeight="1">
      <c r="B17585" s="324"/>
      <c r="C17585" s="325"/>
      <c r="D17585" s="326"/>
      <c r="E17585" s="326"/>
      <c r="F17585" s="326"/>
      <c r="G17585" s="326"/>
      <c r="H17585" s="326"/>
      <c r="P17585" s="318"/>
      <c r="Q17585" s="318"/>
      <c r="R17585" s="318"/>
      <c r="S17585" s="318"/>
      <c r="T17585" s="318"/>
      <c r="U17585" s="318"/>
      <c r="V17585" s="318"/>
      <c r="W17585" s="318"/>
      <c r="X17585" s="318"/>
      <c r="Y17585" s="318"/>
      <c r="Z17585" s="318"/>
      <c r="AA17585" s="318"/>
      <c r="AB17585" s="318"/>
      <c r="AC17585" s="318"/>
      <c r="AD17585" s="318"/>
    </row>
    <row r="17586" spans="2:30" s="323" customFormat="1" ht="12" customHeight="1">
      <c r="B17586" s="324"/>
      <c r="C17586" s="325"/>
      <c r="D17586" s="326"/>
      <c r="E17586" s="326"/>
      <c r="F17586" s="326"/>
      <c r="G17586" s="326"/>
      <c r="H17586" s="326"/>
      <c r="P17586" s="318"/>
      <c r="Q17586" s="318"/>
      <c r="R17586" s="318"/>
      <c r="S17586" s="318"/>
      <c r="T17586" s="318"/>
      <c r="U17586" s="318"/>
      <c r="V17586" s="318"/>
      <c r="W17586" s="318"/>
      <c r="X17586" s="318"/>
      <c r="Y17586" s="318"/>
      <c r="Z17586" s="318"/>
      <c r="AA17586" s="318"/>
      <c r="AB17586" s="318"/>
      <c r="AC17586" s="318"/>
      <c r="AD17586" s="318"/>
    </row>
    <row r="17587" spans="2:30" s="323" customFormat="1" ht="12" customHeight="1">
      <c r="B17587" s="324"/>
      <c r="C17587" s="325"/>
      <c r="D17587" s="326"/>
      <c r="E17587" s="326"/>
      <c r="F17587" s="326"/>
      <c r="G17587" s="326"/>
      <c r="H17587" s="326"/>
      <c r="P17587" s="318"/>
      <c r="Q17587" s="318"/>
      <c r="R17587" s="318"/>
      <c r="S17587" s="318"/>
      <c r="T17587" s="318"/>
      <c r="U17587" s="318"/>
      <c r="V17587" s="318"/>
      <c r="W17587" s="318"/>
      <c r="X17587" s="318"/>
      <c r="Y17587" s="318"/>
      <c r="Z17587" s="318"/>
      <c r="AA17587" s="318"/>
      <c r="AB17587" s="318"/>
      <c r="AC17587" s="318"/>
      <c r="AD17587" s="318"/>
    </row>
    <row r="17588" spans="2:30" s="323" customFormat="1" ht="12" customHeight="1">
      <c r="B17588" s="324"/>
      <c r="C17588" s="325"/>
      <c r="D17588" s="326"/>
      <c r="E17588" s="326"/>
      <c r="F17588" s="326"/>
      <c r="G17588" s="326"/>
      <c r="H17588" s="326"/>
      <c r="P17588" s="318"/>
      <c r="Q17588" s="318"/>
      <c r="R17588" s="318"/>
      <c r="S17588" s="318"/>
      <c r="T17588" s="318"/>
      <c r="U17588" s="318"/>
      <c r="V17588" s="318"/>
      <c r="W17588" s="318"/>
      <c r="X17588" s="318"/>
      <c r="Y17588" s="318"/>
      <c r="Z17588" s="318"/>
      <c r="AA17588" s="318"/>
      <c r="AB17588" s="318"/>
      <c r="AC17588" s="318"/>
      <c r="AD17588" s="318"/>
    </row>
    <row r="17589" spans="2:30" s="323" customFormat="1" ht="12" customHeight="1">
      <c r="B17589" s="324"/>
      <c r="C17589" s="325"/>
      <c r="D17589" s="326"/>
      <c r="E17589" s="326"/>
      <c r="F17589" s="326"/>
      <c r="G17589" s="326"/>
      <c r="H17589" s="326"/>
      <c r="P17589" s="318"/>
      <c r="Q17589" s="318"/>
      <c r="R17589" s="318"/>
      <c r="S17589" s="318"/>
      <c r="T17589" s="318"/>
      <c r="U17589" s="318"/>
      <c r="V17589" s="318"/>
      <c r="W17589" s="318"/>
      <c r="X17589" s="318"/>
      <c r="Y17589" s="318"/>
      <c r="Z17589" s="318"/>
      <c r="AA17589" s="318"/>
      <c r="AB17589" s="318"/>
      <c r="AC17589" s="318"/>
      <c r="AD17589" s="318"/>
    </row>
    <row r="17590" spans="2:30" s="323" customFormat="1" ht="12" customHeight="1">
      <c r="B17590" s="324"/>
      <c r="C17590" s="325"/>
      <c r="D17590" s="326"/>
      <c r="E17590" s="326"/>
      <c r="F17590" s="326"/>
      <c r="G17590" s="326"/>
      <c r="H17590" s="326"/>
      <c r="P17590" s="318"/>
      <c r="Q17590" s="318"/>
      <c r="R17590" s="318"/>
      <c r="S17590" s="318"/>
      <c r="T17590" s="318"/>
      <c r="U17590" s="318"/>
      <c r="V17590" s="318"/>
      <c r="W17590" s="318"/>
      <c r="X17590" s="318"/>
      <c r="Y17590" s="318"/>
      <c r="Z17590" s="318"/>
      <c r="AA17590" s="318"/>
      <c r="AB17590" s="318"/>
      <c r="AC17590" s="318"/>
      <c r="AD17590" s="318"/>
    </row>
    <row r="17591" spans="2:30" s="323" customFormat="1" ht="12" customHeight="1">
      <c r="B17591" s="324"/>
      <c r="C17591" s="325"/>
      <c r="D17591" s="326"/>
      <c r="E17591" s="326"/>
      <c r="F17591" s="326"/>
      <c r="G17591" s="326"/>
      <c r="H17591" s="326"/>
      <c r="P17591" s="318"/>
      <c r="Q17591" s="318"/>
      <c r="R17591" s="318"/>
      <c r="S17591" s="318"/>
      <c r="T17591" s="318"/>
      <c r="U17591" s="318"/>
      <c r="V17591" s="318"/>
      <c r="W17591" s="318"/>
      <c r="X17591" s="318"/>
      <c r="Y17591" s="318"/>
      <c r="Z17591" s="318"/>
      <c r="AA17591" s="318"/>
      <c r="AB17591" s="318"/>
      <c r="AC17591" s="318"/>
      <c r="AD17591" s="318"/>
    </row>
    <row r="17592" spans="2:30" s="323" customFormat="1" ht="12" customHeight="1">
      <c r="B17592" s="324"/>
      <c r="C17592" s="325"/>
      <c r="D17592" s="326"/>
      <c r="E17592" s="326"/>
      <c r="F17592" s="326"/>
      <c r="G17592" s="326"/>
      <c r="H17592" s="326"/>
      <c r="P17592" s="318"/>
      <c r="Q17592" s="318"/>
      <c r="R17592" s="318"/>
      <c r="S17592" s="318"/>
      <c r="T17592" s="318"/>
      <c r="U17592" s="318"/>
      <c r="V17592" s="318"/>
      <c r="W17592" s="318"/>
      <c r="X17592" s="318"/>
      <c r="Y17592" s="318"/>
      <c r="Z17592" s="318"/>
      <c r="AA17592" s="318"/>
      <c r="AB17592" s="318"/>
      <c r="AC17592" s="318"/>
      <c r="AD17592" s="318"/>
    </row>
    <row r="17593" spans="2:30" s="323" customFormat="1" ht="12" customHeight="1">
      <c r="B17593" s="324"/>
      <c r="C17593" s="325"/>
      <c r="D17593" s="326"/>
      <c r="E17593" s="326"/>
      <c r="F17593" s="326"/>
      <c r="G17593" s="326"/>
      <c r="H17593" s="326"/>
      <c r="P17593" s="318"/>
      <c r="Q17593" s="318"/>
      <c r="R17593" s="318"/>
      <c r="S17593" s="318"/>
      <c r="T17593" s="318"/>
      <c r="U17593" s="318"/>
      <c r="V17593" s="318"/>
      <c r="W17593" s="318"/>
      <c r="X17593" s="318"/>
      <c r="Y17593" s="318"/>
      <c r="Z17593" s="318"/>
      <c r="AA17593" s="318"/>
      <c r="AB17593" s="318"/>
      <c r="AC17593" s="318"/>
      <c r="AD17593" s="318"/>
    </row>
    <row r="17594" spans="2:30" s="323" customFormat="1" ht="12" customHeight="1">
      <c r="B17594" s="324"/>
      <c r="C17594" s="325"/>
      <c r="D17594" s="326"/>
      <c r="E17594" s="326"/>
      <c r="F17594" s="326"/>
      <c r="G17594" s="326"/>
      <c r="H17594" s="326"/>
      <c r="P17594" s="318"/>
      <c r="Q17594" s="318"/>
      <c r="R17594" s="318"/>
      <c r="S17594" s="318"/>
      <c r="T17594" s="318"/>
      <c r="U17594" s="318"/>
      <c r="V17594" s="318"/>
      <c r="W17594" s="318"/>
      <c r="X17594" s="318"/>
      <c r="Y17594" s="318"/>
      <c r="Z17594" s="318"/>
      <c r="AA17594" s="318"/>
      <c r="AB17594" s="318"/>
      <c r="AC17594" s="318"/>
      <c r="AD17594" s="318"/>
    </row>
    <row r="17595" spans="2:30" s="323" customFormat="1" ht="12" customHeight="1">
      <c r="B17595" s="324"/>
      <c r="C17595" s="325"/>
      <c r="D17595" s="326"/>
      <c r="E17595" s="326"/>
      <c r="F17595" s="326"/>
      <c r="G17595" s="326"/>
      <c r="H17595" s="326"/>
      <c r="P17595" s="318"/>
      <c r="Q17595" s="318"/>
      <c r="R17595" s="318"/>
      <c r="S17595" s="318"/>
      <c r="T17595" s="318"/>
      <c r="U17595" s="318"/>
      <c r="V17595" s="318"/>
      <c r="W17595" s="318"/>
      <c r="X17595" s="318"/>
      <c r="Y17595" s="318"/>
      <c r="Z17595" s="318"/>
      <c r="AA17595" s="318"/>
      <c r="AB17595" s="318"/>
      <c r="AC17595" s="318"/>
      <c r="AD17595" s="318"/>
    </row>
    <row r="17596" spans="2:30" s="323" customFormat="1" ht="12" customHeight="1">
      <c r="B17596" s="324"/>
      <c r="C17596" s="325"/>
      <c r="D17596" s="326"/>
      <c r="E17596" s="326"/>
      <c r="F17596" s="326"/>
      <c r="G17596" s="326"/>
      <c r="H17596" s="326"/>
      <c r="P17596" s="318"/>
      <c r="Q17596" s="318"/>
      <c r="R17596" s="318"/>
      <c r="S17596" s="318"/>
      <c r="T17596" s="318"/>
      <c r="U17596" s="318"/>
      <c r="V17596" s="318"/>
      <c r="W17596" s="318"/>
      <c r="X17596" s="318"/>
      <c r="Y17596" s="318"/>
      <c r="Z17596" s="318"/>
      <c r="AA17596" s="318"/>
      <c r="AB17596" s="318"/>
      <c r="AC17596" s="318"/>
      <c r="AD17596" s="318"/>
    </row>
    <row r="17597" spans="2:30" s="323" customFormat="1" ht="12" customHeight="1">
      <c r="B17597" s="324"/>
      <c r="C17597" s="325"/>
      <c r="D17597" s="326"/>
      <c r="E17597" s="326"/>
      <c r="F17597" s="326"/>
      <c r="G17597" s="326"/>
      <c r="H17597" s="326"/>
      <c r="P17597" s="318"/>
      <c r="Q17597" s="318"/>
      <c r="R17597" s="318"/>
      <c r="S17597" s="318"/>
      <c r="T17597" s="318"/>
      <c r="U17597" s="318"/>
      <c r="V17597" s="318"/>
      <c r="W17597" s="318"/>
      <c r="X17597" s="318"/>
      <c r="Y17597" s="318"/>
      <c r="Z17597" s="318"/>
      <c r="AA17597" s="318"/>
      <c r="AB17597" s="318"/>
      <c r="AC17597" s="318"/>
      <c r="AD17597" s="318"/>
    </row>
    <row r="17598" spans="2:30" s="323" customFormat="1" ht="12" customHeight="1">
      <c r="B17598" s="324"/>
      <c r="C17598" s="325"/>
      <c r="D17598" s="326"/>
      <c r="E17598" s="326"/>
      <c r="F17598" s="326"/>
      <c r="G17598" s="326"/>
      <c r="H17598" s="326"/>
      <c r="P17598" s="318"/>
      <c r="Q17598" s="318"/>
      <c r="R17598" s="318"/>
      <c r="S17598" s="318"/>
      <c r="T17598" s="318"/>
      <c r="U17598" s="318"/>
      <c r="V17598" s="318"/>
      <c r="W17598" s="318"/>
      <c r="X17598" s="318"/>
      <c r="Y17598" s="318"/>
      <c r="Z17598" s="318"/>
      <c r="AA17598" s="318"/>
      <c r="AB17598" s="318"/>
      <c r="AC17598" s="318"/>
      <c r="AD17598" s="318"/>
    </row>
    <row r="17599" spans="2:30" s="323" customFormat="1" ht="12" customHeight="1">
      <c r="B17599" s="324"/>
      <c r="C17599" s="325"/>
      <c r="D17599" s="326"/>
      <c r="E17599" s="326"/>
      <c r="F17599" s="326"/>
      <c r="G17599" s="326"/>
      <c r="H17599" s="326"/>
      <c r="P17599" s="318"/>
      <c r="Q17599" s="318"/>
      <c r="R17599" s="318"/>
      <c r="S17599" s="318"/>
      <c r="T17599" s="318"/>
      <c r="U17599" s="318"/>
      <c r="V17599" s="318"/>
      <c r="W17599" s="318"/>
      <c r="X17599" s="318"/>
      <c r="Y17599" s="318"/>
      <c r="Z17599" s="318"/>
      <c r="AA17599" s="318"/>
      <c r="AB17599" s="318"/>
      <c r="AC17599" s="318"/>
      <c r="AD17599" s="318"/>
    </row>
    <row r="17600" spans="2:30" s="323" customFormat="1" ht="12" customHeight="1">
      <c r="B17600" s="324"/>
      <c r="C17600" s="325"/>
      <c r="D17600" s="326"/>
      <c r="E17600" s="326"/>
      <c r="F17600" s="326"/>
      <c r="G17600" s="326"/>
      <c r="H17600" s="326"/>
      <c r="P17600" s="318"/>
      <c r="Q17600" s="318"/>
      <c r="R17600" s="318"/>
      <c r="S17600" s="318"/>
      <c r="T17600" s="318"/>
      <c r="U17600" s="318"/>
      <c r="V17600" s="318"/>
      <c r="W17600" s="318"/>
      <c r="X17600" s="318"/>
      <c r="Y17600" s="318"/>
      <c r="Z17600" s="318"/>
      <c r="AA17600" s="318"/>
      <c r="AB17600" s="318"/>
      <c r="AC17600" s="318"/>
      <c r="AD17600" s="318"/>
    </row>
    <row r="17601" spans="2:30" s="323" customFormat="1" ht="12" customHeight="1">
      <c r="B17601" s="324"/>
      <c r="C17601" s="325"/>
      <c r="D17601" s="326"/>
      <c r="E17601" s="326"/>
      <c r="F17601" s="326"/>
      <c r="G17601" s="326"/>
      <c r="H17601" s="326"/>
      <c r="P17601" s="318"/>
      <c r="Q17601" s="318"/>
      <c r="R17601" s="318"/>
      <c r="S17601" s="318"/>
      <c r="T17601" s="318"/>
      <c r="U17601" s="318"/>
      <c r="V17601" s="318"/>
      <c r="W17601" s="318"/>
      <c r="X17601" s="318"/>
      <c r="Y17601" s="318"/>
      <c r="Z17601" s="318"/>
      <c r="AA17601" s="318"/>
      <c r="AB17601" s="318"/>
      <c r="AC17601" s="318"/>
      <c r="AD17601" s="318"/>
    </row>
    <row r="17602" spans="2:30" s="323" customFormat="1" ht="12" customHeight="1">
      <c r="B17602" s="324"/>
      <c r="C17602" s="325"/>
      <c r="D17602" s="326"/>
      <c r="E17602" s="326"/>
      <c r="F17602" s="326"/>
      <c r="G17602" s="326"/>
      <c r="H17602" s="326"/>
      <c r="P17602" s="318"/>
      <c r="Q17602" s="318"/>
      <c r="R17602" s="318"/>
      <c r="S17602" s="318"/>
      <c r="T17602" s="318"/>
      <c r="U17602" s="318"/>
      <c r="V17602" s="318"/>
      <c r="W17602" s="318"/>
      <c r="X17602" s="318"/>
      <c r="Y17602" s="318"/>
      <c r="Z17602" s="318"/>
      <c r="AA17602" s="318"/>
      <c r="AB17602" s="318"/>
      <c r="AC17602" s="318"/>
      <c r="AD17602" s="318"/>
    </row>
    <row r="17603" spans="2:30" s="323" customFormat="1" ht="12" customHeight="1">
      <c r="B17603" s="324"/>
      <c r="C17603" s="325"/>
      <c r="D17603" s="326"/>
      <c r="E17603" s="326"/>
      <c r="F17603" s="326"/>
      <c r="G17603" s="326"/>
      <c r="H17603" s="326"/>
      <c r="P17603" s="318"/>
      <c r="Q17603" s="318"/>
      <c r="R17603" s="318"/>
      <c r="S17603" s="318"/>
      <c r="T17603" s="318"/>
      <c r="U17603" s="318"/>
      <c r="V17603" s="318"/>
      <c r="W17603" s="318"/>
      <c r="X17603" s="318"/>
      <c r="Y17603" s="318"/>
      <c r="Z17603" s="318"/>
      <c r="AA17603" s="318"/>
      <c r="AB17603" s="318"/>
      <c r="AC17603" s="318"/>
      <c r="AD17603" s="318"/>
    </row>
    <row r="17604" spans="2:30" s="323" customFormat="1" ht="12" customHeight="1">
      <c r="B17604" s="324"/>
      <c r="C17604" s="325"/>
      <c r="D17604" s="326"/>
      <c r="E17604" s="326"/>
      <c r="F17604" s="326"/>
      <c r="G17604" s="326"/>
      <c r="H17604" s="326"/>
      <c r="P17604" s="318"/>
      <c r="Q17604" s="318"/>
      <c r="R17604" s="318"/>
      <c r="S17604" s="318"/>
      <c r="T17604" s="318"/>
      <c r="U17604" s="318"/>
      <c r="V17604" s="318"/>
      <c r="W17604" s="318"/>
      <c r="X17604" s="318"/>
      <c r="Y17604" s="318"/>
      <c r="Z17604" s="318"/>
      <c r="AA17604" s="318"/>
      <c r="AB17604" s="318"/>
      <c r="AC17604" s="318"/>
      <c r="AD17604" s="318"/>
    </row>
    <row r="17605" spans="2:30" s="323" customFormat="1" ht="12" customHeight="1">
      <c r="B17605" s="324"/>
      <c r="C17605" s="325"/>
      <c r="D17605" s="326"/>
      <c r="E17605" s="326"/>
      <c r="F17605" s="326"/>
      <c r="G17605" s="326"/>
      <c r="H17605" s="326"/>
      <c r="P17605" s="318"/>
      <c r="Q17605" s="318"/>
      <c r="R17605" s="318"/>
      <c r="S17605" s="318"/>
      <c r="T17605" s="318"/>
      <c r="U17605" s="318"/>
      <c r="V17605" s="318"/>
      <c r="W17605" s="318"/>
      <c r="X17605" s="318"/>
      <c r="Y17605" s="318"/>
      <c r="Z17605" s="318"/>
      <c r="AA17605" s="318"/>
      <c r="AB17605" s="318"/>
      <c r="AC17605" s="318"/>
      <c r="AD17605" s="318"/>
    </row>
    <row r="17606" spans="2:30" s="323" customFormat="1" ht="12" customHeight="1">
      <c r="B17606" s="324"/>
      <c r="C17606" s="325"/>
      <c r="D17606" s="326"/>
      <c r="E17606" s="326"/>
      <c r="F17606" s="326"/>
      <c r="G17606" s="326"/>
      <c r="H17606" s="326"/>
      <c r="P17606" s="318"/>
      <c r="Q17606" s="318"/>
      <c r="R17606" s="318"/>
      <c r="S17606" s="318"/>
      <c r="T17606" s="318"/>
      <c r="U17606" s="318"/>
      <c r="V17606" s="318"/>
      <c r="W17606" s="318"/>
      <c r="X17606" s="318"/>
      <c r="Y17606" s="318"/>
      <c r="Z17606" s="318"/>
      <c r="AA17606" s="318"/>
      <c r="AB17606" s="318"/>
      <c r="AC17606" s="318"/>
      <c r="AD17606" s="318"/>
    </row>
    <row r="17607" spans="2:30" s="323" customFormat="1" ht="12" customHeight="1">
      <c r="B17607" s="324"/>
      <c r="C17607" s="325"/>
      <c r="D17607" s="326"/>
      <c r="E17607" s="326"/>
      <c r="F17607" s="326"/>
      <c r="G17607" s="326"/>
      <c r="H17607" s="326"/>
      <c r="P17607" s="318"/>
      <c r="Q17607" s="318"/>
      <c r="R17607" s="318"/>
      <c r="S17607" s="318"/>
      <c r="T17607" s="318"/>
      <c r="U17607" s="318"/>
      <c r="V17607" s="318"/>
      <c r="W17607" s="318"/>
      <c r="X17607" s="318"/>
      <c r="Y17607" s="318"/>
      <c r="Z17607" s="318"/>
      <c r="AA17607" s="318"/>
      <c r="AB17607" s="318"/>
      <c r="AC17607" s="318"/>
      <c r="AD17607" s="318"/>
    </row>
    <row r="17608" spans="2:30" s="323" customFormat="1" ht="12" customHeight="1">
      <c r="B17608" s="324"/>
      <c r="C17608" s="325"/>
      <c r="D17608" s="326"/>
      <c r="E17608" s="326"/>
      <c r="F17608" s="326"/>
      <c r="G17608" s="326"/>
      <c r="H17608" s="326"/>
      <c r="P17608" s="318"/>
      <c r="Q17608" s="318"/>
      <c r="R17608" s="318"/>
      <c r="S17608" s="318"/>
      <c r="T17608" s="318"/>
      <c r="U17608" s="318"/>
      <c r="V17608" s="318"/>
      <c r="W17608" s="318"/>
      <c r="X17608" s="318"/>
      <c r="Y17608" s="318"/>
      <c r="Z17608" s="318"/>
      <c r="AA17608" s="318"/>
      <c r="AB17608" s="318"/>
      <c r="AC17608" s="318"/>
      <c r="AD17608" s="318"/>
    </row>
    <row r="17609" spans="2:30" s="323" customFormat="1" ht="12" customHeight="1">
      <c r="B17609" s="324"/>
      <c r="C17609" s="325"/>
      <c r="D17609" s="326"/>
      <c r="E17609" s="326"/>
      <c r="F17609" s="326"/>
      <c r="G17609" s="326"/>
      <c r="H17609" s="326"/>
      <c r="P17609" s="318"/>
      <c r="Q17609" s="318"/>
      <c r="R17609" s="318"/>
      <c r="S17609" s="318"/>
      <c r="T17609" s="318"/>
      <c r="U17609" s="318"/>
      <c r="V17609" s="318"/>
      <c r="W17609" s="318"/>
      <c r="X17609" s="318"/>
      <c r="Y17609" s="318"/>
      <c r="Z17609" s="318"/>
      <c r="AA17609" s="318"/>
      <c r="AB17609" s="318"/>
      <c r="AC17609" s="318"/>
      <c r="AD17609" s="318"/>
    </row>
    <row r="17610" spans="2:30" s="323" customFormat="1" ht="12" customHeight="1">
      <c r="B17610" s="324"/>
      <c r="C17610" s="325"/>
      <c r="D17610" s="326"/>
      <c r="E17610" s="326"/>
      <c r="F17610" s="326"/>
      <c r="G17610" s="326"/>
      <c r="H17610" s="326"/>
      <c r="P17610" s="318"/>
      <c r="Q17610" s="318"/>
      <c r="R17610" s="318"/>
      <c r="S17610" s="318"/>
      <c r="T17610" s="318"/>
      <c r="U17610" s="318"/>
      <c r="V17610" s="318"/>
      <c r="W17610" s="318"/>
      <c r="X17610" s="318"/>
      <c r="Y17610" s="318"/>
      <c r="Z17610" s="318"/>
      <c r="AA17610" s="318"/>
      <c r="AB17610" s="318"/>
      <c r="AC17610" s="318"/>
      <c r="AD17610" s="318"/>
    </row>
    <row r="17611" spans="2:30" s="323" customFormat="1" ht="12" customHeight="1">
      <c r="B17611" s="324"/>
      <c r="C17611" s="325"/>
      <c r="D17611" s="326"/>
      <c r="E17611" s="326"/>
      <c r="F17611" s="326"/>
      <c r="G17611" s="326"/>
      <c r="H17611" s="326"/>
      <c r="P17611" s="318"/>
      <c r="Q17611" s="318"/>
      <c r="R17611" s="318"/>
      <c r="S17611" s="318"/>
      <c r="T17611" s="318"/>
      <c r="U17611" s="318"/>
      <c r="V17611" s="318"/>
      <c r="W17611" s="318"/>
      <c r="X17611" s="318"/>
      <c r="Y17611" s="318"/>
      <c r="Z17611" s="318"/>
      <c r="AA17611" s="318"/>
      <c r="AB17611" s="318"/>
      <c r="AC17611" s="318"/>
      <c r="AD17611" s="318"/>
    </row>
    <row r="17612" spans="2:30" s="323" customFormat="1" ht="12" customHeight="1">
      <c r="B17612" s="324"/>
      <c r="C17612" s="325"/>
      <c r="D17612" s="326"/>
      <c r="E17612" s="326"/>
      <c r="F17612" s="326"/>
      <c r="G17612" s="326"/>
      <c r="H17612" s="326"/>
      <c r="P17612" s="318"/>
      <c r="Q17612" s="318"/>
      <c r="R17612" s="318"/>
      <c r="S17612" s="318"/>
      <c r="T17612" s="318"/>
      <c r="U17612" s="318"/>
      <c r="V17612" s="318"/>
      <c r="W17612" s="318"/>
      <c r="X17612" s="318"/>
      <c r="Y17612" s="318"/>
      <c r="Z17612" s="318"/>
      <c r="AA17612" s="318"/>
      <c r="AB17612" s="318"/>
      <c r="AC17612" s="318"/>
      <c r="AD17612" s="318"/>
    </row>
    <row r="17613" spans="2:30" s="323" customFormat="1" ht="12" customHeight="1">
      <c r="B17613" s="324"/>
      <c r="C17613" s="325"/>
      <c r="D17613" s="326"/>
      <c r="E17613" s="326"/>
      <c r="F17613" s="326"/>
      <c r="G17613" s="326"/>
      <c r="H17613" s="326"/>
      <c r="P17613" s="318"/>
      <c r="Q17613" s="318"/>
      <c r="R17613" s="318"/>
      <c r="S17613" s="318"/>
      <c r="T17613" s="318"/>
      <c r="U17613" s="318"/>
      <c r="V17613" s="318"/>
      <c r="W17613" s="318"/>
      <c r="X17613" s="318"/>
      <c r="Y17613" s="318"/>
      <c r="Z17613" s="318"/>
      <c r="AA17613" s="318"/>
      <c r="AB17613" s="318"/>
      <c r="AC17613" s="318"/>
      <c r="AD17613" s="318"/>
    </row>
    <row r="17614" spans="2:30" s="323" customFormat="1" ht="12" customHeight="1">
      <c r="B17614" s="324"/>
      <c r="C17614" s="325"/>
      <c r="D17614" s="326"/>
      <c r="E17614" s="326"/>
      <c r="F17614" s="326"/>
      <c r="G17614" s="326"/>
      <c r="H17614" s="326"/>
      <c r="P17614" s="318"/>
      <c r="Q17614" s="318"/>
      <c r="R17614" s="318"/>
      <c r="S17614" s="318"/>
      <c r="T17614" s="318"/>
      <c r="U17614" s="318"/>
      <c r="V17614" s="318"/>
      <c r="W17614" s="318"/>
      <c r="X17614" s="318"/>
      <c r="Y17614" s="318"/>
      <c r="Z17614" s="318"/>
      <c r="AA17614" s="318"/>
      <c r="AB17614" s="318"/>
      <c r="AC17614" s="318"/>
      <c r="AD17614" s="318"/>
    </row>
    <row r="17615" spans="2:30" s="323" customFormat="1" ht="12" customHeight="1">
      <c r="B17615" s="324"/>
      <c r="C17615" s="325"/>
      <c r="D17615" s="326"/>
      <c r="E17615" s="326"/>
      <c r="F17615" s="326"/>
      <c r="G17615" s="326"/>
      <c r="H17615" s="326"/>
      <c r="P17615" s="318"/>
      <c r="Q17615" s="318"/>
      <c r="R17615" s="318"/>
      <c r="S17615" s="318"/>
      <c r="T17615" s="318"/>
      <c r="U17615" s="318"/>
      <c r="V17615" s="318"/>
      <c r="W17615" s="318"/>
      <c r="X17615" s="318"/>
      <c r="Y17615" s="318"/>
      <c r="Z17615" s="318"/>
      <c r="AA17615" s="318"/>
      <c r="AB17615" s="318"/>
      <c r="AC17615" s="318"/>
      <c r="AD17615" s="318"/>
    </row>
    <row r="17616" spans="2:30" s="323" customFormat="1" ht="12" customHeight="1">
      <c r="B17616" s="324"/>
      <c r="C17616" s="325"/>
      <c r="D17616" s="326"/>
      <c r="E17616" s="326"/>
      <c r="F17616" s="326"/>
      <c r="G17616" s="326"/>
      <c r="H17616" s="326"/>
      <c r="P17616" s="318"/>
      <c r="Q17616" s="318"/>
      <c r="R17616" s="318"/>
      <c r="S17616" s="318"/>
      <c r="T17616" s="318"/>
      <c r="U17616" s="318"/>
      <c r="V17616" s="318"/>
      <c r="W17616" s="318"/>
      <c r="X17616" s="318"/>
      <c r="Y17616" s="318"/>
      <c r="Z17616" s="318"/>
      <c r="AA17616" s="318"/>
      <c r="AB17616" s="318"/>
      <c r="AC17616" s="318"/>
      <c r="AD17616" s="318"/>
    </row>
    <row r="17617" spans="2:30" s="323" customFormat="1" ht="12" customHeight="1">
      <c r="B17617" s="324"/>
      <c r="C17617" s="325"/>
      <c r="D17617" s="326"/>
      <c r="E17617" s="326"/>
      <c r="F17617" s="326"/>
      <c r="G17617" s="326"/>
      <c r="H17617" s="326"/>
      <c r="P17617" s="318"/>
      <c r="Q17617" s="318"/>
      <c r="R17617" s="318"/>
      <c r="S17617" s="318"/>
      <c r="T17617" s="318"/>
      <c r="U17617" s="318"/>
      <c r="V17617" s="318"/>
      <c r="W17617" s="318"/>
      <c r="X17617" s="318"/>
      <c r="Y17617" s="318"/>
      <c r="Z17617" s="318"/>
      <c r="AA17617" s="318"/>
      <c r="AB17617" s="318"/>
      <c r="AC17617" s="318"/>
      <c r="AD17617" s="318"/>
    </row>
    <row r="17618" spans="2:30" s="323" customFormat="1" ht="12" customHeight="1">
      <c r="B17618" s="324"/>
      <c r="C17618" s="325"/>
      <c r="D17618" s="326"/>
      <c r="E17618" s="326"/>
      <c r="F17618" s="326"/>
      <c r="G17618" s="326"/>
      <c r="H17618" s="326"/>
      <c r="P17618" s="318"/>
      <c r="Q17618" s="318"/>
      <c r="R17618" s="318"/>
      <c r="S17618" s="318"/>
      <c r="T17618" s="318"/>
      <c r="U17618" s="318"/>
      <c r="V17618" s="318"/>
      <c r="W17618" s="318"/>
      <c r="X17618" s="318"/>
      <c r="Y17618" s="318"/>
      <c r="Z17618" s="318"/>
      <c r="AA17618" s="318"/>
      <c r="AB17618" s="318"/>
      <c r="AC17618" s="318"/>
      <c r="AD17618" s="318"/>
    </row>
    <row r="17619" spans="2:30" s="323" customFormat="1" ht="12" customHeight="1">
      <c r="B17619" s="324"/>
      <c r="C17619" s="325"/>
      <c r="D17619" s="326"/>
      <c r="E17619" s="326"/>
      <c r="F17619" s="326"/>
      <c r="G17619" s="326"/>
      <c r="H17619" s="326"/>
      <c r="P17619" s="318"/>
      <c r="Q17619" s="318"/>
      <c r="R17619" s="318"/>
      <c r="S17619" s="318"/>
      <c r="T17619" s="318"/>
      <c r="U17619" s="318"/>
      <c r="V17619" s="318"/>
      <c r="W17619" s="318"/>
      <c r="X17619" s="318"/>
      <c r="Y17619" s="318"/>
      <c r="Z17619" s="318"/>
      <c r="AA17619" s="318"/>
      <c r="AB17619" s="318"/>
      <c r="AC17619" s="318"/>
      <c r="AD17619" s="318"/>
    </row>
    <row r="17620" spans="2:30" s="323" customFormat="1" ht="12" customHeight="1">
      <c r="B17620" s="324"/>
      <c r="C17620" s="325"/>
      <c r="D17620" s="326"/>
      <c r="E17620" s="326"/>
      <c r="F17620" s="326"/>
      <c r="G17620" s="326"/>
      <c r="H17620" s="326"/>
      <c r="P17620" s="318"/>
      <c r="Q17620" s="318"/>
      <c r="R17620" s="318"/>
      <c r="S17620" s="318"/>
      <c r="T17620" s="318"/>
      <c r="U17620" s="318"/>
      <c r="V17620" s="318"/>
      <c r="W17620" s="318"/>
      <c r="X17620" s="318"/>
      <c r="Y17620" s="318"/>
      <c r="Z17620" s="318"/>
      <c r="AA17620" s="318"/>
      <c r="AB17620" s="318"/>
      <c r="AC17620" s="318"/>
      <c r="AD17620" s="318"/>
    </row>
    <row r="17621" spans="2:30" s="323" customFormat="1" ht="12" customHeight="1">
      <c r="B17621" s="324"/>
      <c r="C17621" s="325"/>
      <c r="D17621" s="326"/>
      <c r="E17621" s="326"/>
      <c r="F17621" s="326"/>
      <c r="G17621" s="326"/>
      <c r="H17621" s="326"/>
      <c r="P17621" s="318"/>
      <c r="Q17621" s="318"/>
      <c r="R17621" s="318"/>
      <c r="S17621" s="318"/>
      <c r="T17621" s="318"/>
      <c r="U17621" s="318"/>
      <c r="V17621" s="318"/>
      <c r="W17621" s="318"/>
      <c r="X17621" s="318"/>
      <c r="Y17621" s="318"/>
      <c r="Z17621" s="318"/>
      <c r="AA17621" s="318"/>
      <c r="AB17621" s="318"/>
      <c r="AC17621" s="318"/>
      <c r="AD17621" s="318"/>
    </row>
    <row r="17622" spans="2:30" s="323" customFormat="1" ht="12" customHeight="1">
      <c r="B17622" s="324"/>
      <c r="C17622" s="325"/>
      <c r="D17622" s="326"/>
      <c r="E17622" s="326"/>
      <c r="F17622" s="326"/>
      <c r="G17622" s="326"/>
      <c r="H17622" s="326"/>
      <c r="P17622" s="318"/>
      <c r="Q17622" s="318"/>
      <c r="R17622" s="318"/>
      <c r="S17622" s="318"/>
      <c r="T17622" s="318"/>
      <c r="U17622" s="318"/>
      <c r="V17622" s="318"/>
      <c r="W17622" s="318"/>
      <c r="X17622" s="318"/>
      <c r="Y17622" s="318"/>
      <c r="Z17622" s="318"/>
      <c r="AA17622" s="318"/>
      <c r="AB17622" s="318"/>
      <c r="AC17622" s="318"/>
      <c r="AD17622" s="318"/>
    </row>
    <row r="17623" spans="2:30" s="323" customFormat="1" ht="12" customHeight="1">
      <c r="B17623" s="324"/>
      <c r="C17623" s="325"/>
      <c r="D17623" s="326"/>
      <c r="E17623" s="326"/>
      <c r="F17623" s="326"/>
      <c r="G17623" s="326"/>
      <c r="H17623" s="326"/>
      <c r="P17623" s="318"/>
      <c r="Q17623" s="318"/>
      <c r="R17623" s="318"/>
      <c r="S17623" s="318"/>
      <c r="T17623" s="318"/>
      <c r="U17623" s="318"/>
      <c r="V17623" s="318"/>
      <c r="W17623" s="318"/>
      <c r="X17623" s="318"/>
      <c r="Y17623" s="318"/>
      <c r="Z17623" s="318"/>
      <c r="AA17623" s="318"/>
      <c r="AB17623" s="318"/>
      <c r="AC17623" s="318"/>
      <c r="AD17623" s="318"/>
    </row>
    <row r="17624" spans="2:30" s="323" customFormat="1" ht="12" customHeight="1">
      <c r="B17624" s="324"/>
      <c r="C17624" s="325"/>
      <c r="D17624" s="326"/>
      <c r="E17624" s="326"/>
      <c r="F17624" s="326"/>
      <c r="G17624" s="326"/>
      <c r="H17624" s="326"/>
      <c r="P17624" s="318"/>
      <c r="Q17624" s="318"/>
      <c r="R17624" s="318"/>
      <c r="S17624" s="318"/>
      <c r="T17624" s="318"/>
      <c r="U17624" s="318"/>
      <c r="V17624" s="318"/>
      <c r="W17624" s="318"/>
      <c r="X17624" s="318"/>
      <c r="Y17624" s="318"/>
      <c r="Z17624" s="318"/>
      <c r="AA17624" s="318"/>
      <c r="AB17624" s="318"/>
      <c r="AC17624" s="318"/>
      <c r="AD17624" s="318"/>
    </row>
    <row r="17625" spans="2:30" s="323" customFormat="1" ht="12" customHeight="1">
      <c r="B17625" s="324"/>
      <c r="C17625" s="325"/>
      <c r="D17625" s="326"/>
      <c r="E17625" s="326"/>
      <c r="F17625" s="326"/>
      <c r="G17625" s="326"/>
      <c r="H17625" s="326"/>
      <c r="P17625" s="318"/>
      <c r="Q17625" s="318"/>
      <c r="R17625" s="318"/>
      <c r="S17625" s="318"/>
      <c r="T17625" s="318"/>
      <c r="U17625" s="318"/>
      <c r="V17625" s="318"/>
      <c r="W17625" s="318"/>
      <c r="X17625" s="318"/>
      <c r="Y17625" s="318"/>
      <c r="Z17625" s="318"/>
      <c r="AA17625" s="318"/>
      <c r="AB17625" s="318"/>
      <c r="AC17625" s="318"/>
      <c r="AD17625" s="318"/>
    </row>
    <row r="17626" spans="2:30" s="323" customFormat="1" ht="12" customHeight="1">
      <c r="B17626" s="324"/>
      <c r="C17626" s="325"/>
      <c r="D17626" s="326"/>
      <c r="E17626" s="326"/>
      <c r="F17626" s="326"/>
      <c r="G17626" s="326"/>
      <c r="H17626" s="326"/>
      <c r="P17626" s="318"/>
      <c r="Q17626" s="318"/>
      <c r="R17626" s="318"/>
      <c r="S17626" s="318"/>
      <c r="T17626" s="318"/>
      <c r="U17626" s="318"/>
      <c r="V17626" s="318"/>
      <c r="W17626" s="318"/>
      <c r="X17626" s="318"/>
      <c r="Y17626" s="318"/>
      <c r="Z17626" s="318"/>
      <c r="AA17626" s="318"/>
      <c r="AB17626" s="318"/>
      <c r="AC17626" s="318"/>
      <c r="AD17626" s="318"/>
    </row>
    <row r="17627" spans="2:30" s="323" customFormat="1" ht="12" customHeight="1">
      <c r="B17627" s="324"/>
      <c r="C17627" s="325"/>
      <c r="D17627" s="326"/>
      <c r="E17627" s="326"/>
      <c r="F17627" s="326"/>
      <c r="G17627" s="326"/>
      <c r="H17627" s="326"/>
      <c r="P17627" s="318"/>
      <c r="Q17627" s="318"/>
      <c r="R17627" s="318"/>
      <c r="S17627" s="318"/>
      <c r="T17627" s="318"/>
      <c r="U17627" s="318"/>
      <c r="V17627" s="318"/>
      <c r="W17627" s="318"/>
      <c r="X17627" s="318"/>
      <c r="Y17627" s="318"/>
      <c r="Z17627" s="318"/>
      <c r="AA17627" s="318"/>
      <c r="AB17627" s="318"/>
      <c r="AC17627" s="318"/>
      <c r="AD17627" s="318"/>
    </row>
    <row r="17628" spans="2:30" s="323" customFormat="1" ht="12" customHeight="1">
      <c r="B17628" s="324"/>
      <c r="C17628" s="325"/>
      <c r="D17628" s="326"/>
      <c r="E17628" s="326"/>
      <c r="F17628" s="326"/>
      <c r="G17628" s="326"/>
      <c r="H17628" s="326"/>
      <c r="P17628" s="318"/>
      <c r="Q17628" s="318"/>
      <c r="R17628" s="318"/>
      <c r="S17628" s="318"/>
      <c r="T17628" s="318"/>
      <c r="U17628" s="318"/>
      <c r="V17628" s="318"/>
      <c r="W17628" s="318"/>
      <c r="X17628" s="318"/>
      <c r="Y17628" s="318"/>
      <c r="Z17628" s="318"/>
      <c r="AA17628" s="318"/>
      <c r="AB17628" s="318"/>
      <c r="AC17628" s="318"/>
      <c r="AD17628" s="318"/>
    </row>
    <row r="17629" spans="2:30" s="323" customFormat="1" ht="12" customHeight="1">
      <c r="B17629" s="324"/>
      <c r="C17629" s="325"/>
      <c r="D17629" s="326"/>
      <c r="E17629" s="326"/>
      <c r="F17629" s="326"/>
      <c r="G17629" s="326"/>
      <c r="H17629" s="326"/>
      <c r="P17629" s="318"/>
      <c r="Q17629" s="318"/>
      <c r="R17629" s="318"/>
      <c r="S17629" s="318"/>
      <c r="T17629" s="318"/>
      <c r="U17629" s="318"/>
      <c r="V17629" s="318"/>
      <c r="W17629" s="318"/>
      <c r="X17629" s="318"/>
      <c r="Y17629" s="318"/>
      <c r="Z17629" s="318"/>
      <c r="AA17629" s="318"/>
      <c r="AB17629" s="318"/>
      <c r="AC17629" s="318"/>
      <c r="AD17629" s="318"/>
    </row>
    <row r="17630" spans="2:30" s="323" customFormat="1" ht="12" customHeight="1">
      <c r="B17630" s="324"/>
      <c r="C17630" s="325"/>
      <c r="D17630" s="326"/>
      <c r="E17630" s="326"/>
      <c r="F17630" s="326"/>
      <c r="G17630" s="326"/>
      <c r="H17630" s="326"/>
      <c r="P17630" s="318"/>
      <c r="Q17630" s="318"/>
      <c r="R17630" s="318"/>
      <c r="S17630" s="318"/>
      <c r="T17630" s="318"/>
      <c r="U17630" s="318"/>
      <c r="V17630" s="318"/>
      <c r="W17630" s="318"/>
      <c r="X17630" s="318"/>
      <c r="Y17630" s="318"/>
      <c r="Z17630" s="318"/>
      <c r="AA17630" s="318"/>
      <c r="AB17630" s="318"/>
      <c r="AC17630" s="318"/>
      <c r="AD17630" s="318"/>
    </row>
    <row r="17631" spans="2:30" s="323" customFormat="1" ht="12" customHeight="1">
      <c r="B17631" s="324"/>
      <c r="C17631" s="325"/>
      <c r="D17631" s="326"/>
      <c r="E17631" s="326"/>
      <c r="F17631" s="326"/>
      <c r="G17631" s="326"/>
      <c r="H17631" s="326"/>
      <c r="P17631" s="318"/>
      <c r="Q17631" s="318"/>
      <c r="R17631" s="318"/>
      <c r="S17631" s="318"/>
      <c r="T17631" s="318"/>
      <c r="U17631" s="318"/>
      <c r="V17631" s="318"/>
      <c r="W17631" s="318"/>
      <c r="X17631" s="318"/>
      <c r="Y17631" s="318"/>
      <c r="Z17631" s="318"/>
      <c r="AA17631" s="318"/>
      <c r="AB17631" s="318"/>
      <c r="AC17631" s="318"/>
      <c r="AD17631" s="318"/>
    </row>
    <row r="17632" spans="2:30" s="323" customFormat="1" ht="12" customHeight="1">
      <c r="B17632" s="324"/>
      <c r="C17632" s="325"/>
      <c r="D17632" s="326"/>
      <c r="E17632" s="326"/>
      <c r="F17632" s="326"/>
      <c r="G17632" s="326"/>
      <c r="H17632" s="326"/>
      <c r="P17632" s="318"/>
      <c r="Q17632" s="318"/>
      <c r="R17632" s="318"/>
      <c r="S17632" s="318"/>
      <c r="T17632" s="318"/>
      <c r="U17632" s="318"/>
      <c r="V17632" s="318"/>
      <c r="W17632" s="318"/>
      <c r="X17632" s="318"/>
      <c r="Y17632" s="318"/>
      <c r="Z17632" s="318"/>
      <c r="AA17632" s="318"/>
      <c r="AB17632" s="318"/>
      <c r="AC17632" s="318"/>
      <c r="AD17632" s="318"/>
    </row>
    <row r="17633" spans="2:30" s="323" customFormat="1" ht="12" customHeight="1">
      <c r="B17633" s="324"/>
      <c r="C17633" s="325"/>
      <c r="D17633" s="326"/>
      <c r="E17633" s="326"/>
      <c r="F17633" s="326"/>
      <c r="G17633" s="326"/>
      <c r="H17633" s="326"/>
      <c r="P17633" s="318"/>
      <c r="Q17633" s="318"/>
      <c r="R17633" s="318"/>
      <c r="S17633" s="318"/>
      <c r="T17633" s="318"/>
      <c r="U17633" s="318"/>
      <c r="V17633" s="318"/>
      <c r="W17633" s="318"/>
      <c r="X17633" s="318"/>
      <c r="Y17633" s="318"/>
      <c r="Z17633" s="318"/>
      <c r="AA17633" s="318"/>
      <c r="AB17633" s="318"/>
      <c r="AC17633" s="318"/>
      <c r="AD17633" s="318"/>
    </row>
    <row r="17634" spans="2:30" s="323" customFormat="1" ht="12" customHeight="1">
      <c r="B17634" s="324"/>
      <c r="C17634" s="325"/>
      <c r="D17634" s="326"/>
      <c r="E17634" s="326"/>
      <c r="F17634" s="326"/>
      <c r="G17634" s="326"/>
      <c r="H17634" s="326"/>
      <c r="P17634" s="318"/>
      <c r="Q17634" s="318"/>
      <c r="R17634" s="318"/>
      <c r="S17634" s="318"/>
      <c r="T17634" s="318"/>
      <c r="U17634" s="318"/>
      <c r="V17634" s="318"/>
      <c r="W17634" s="318"/>
      <c r="X17634" s="318"/>
      <c r="Y17634" s="318"/>
      <c r="Z17634" s="318"/>
      <c r="AA17634" s="318"/>
      <c r="AB17634" s="318"/>
      <c r="AC17634" s="318"/>
      <c r="AD17634" s="318"/>
    </row>
    <row r="17635" spans="2:30" s="323" customFormat="1" ht="12" customHeight="1">
      <c r="B17635" s="324"/>
      <c r="C17635" s="325"/>
      <c r="D17635" s="326"/>
      <c r="E17635" s="326"/>
      <c r="F17635" s="326"/>
      <c r="G17635" s="326"/>
      <c r="H17635" s="326"/>
      <c r="P17635" s="318"/>
      <c r="Q17635" s="318"/>
      <c r="R17635" s="318"/>
      <c r="S17635" s="318"/>
      <c r="T17635" s="318"/>
      <c r="U17635" s="318"/>
      <c r="V17635" s="318"/>
      <c r="W17635" s="318"/>
      <c r="X17635" s="318"/>
      <c r="Y17635" s="318"/>
      <c r="Z17635" s="318"/>
      <c r="AA17635" s="318"/>
      <c r="AB17635" s="318"/>
      <c r="AC17635" s="318"/>
      <c r="AD17635" s="318"/>
    </row>
    <row r="17636" spans="2:30" s="323" customFormat="1" ht="12" customHeight="1">
      <c r="B17636" s="324"/>
      <c r="C17636" s="325"/>
      <c r="D17636" s="326"/>
      <c r="E17636" s="326"/>
      <c r="F17636" s="326"/>
      <c r="G17636" s="326"/>
      <c r="H17636" s="326"/>
      <c r="P17636" s="318"/>
      <c r="Q17636" s="318"/>
      <c r="R17636" s="318"/>
      <c r="S17636" s="318"/>
      <c r="T17636" s="318"/>
      <c r="U17636" s="318"/>
      <c r="V17636" s="318"/>
      <c r="W17636" s="318"/>
      <c r="X17636" s="318"/>
      <c r="Y17636" s="318"/>
      <c r="Z17636" s="318"/>
      <c r="AA17636" s="318"/>
      <c r="AB17636" s="318"/>
      <c r="AC17636" s="318"/>
      <c r="AD17636" s="318"/>
    </row>
    <row r="17637" spans="2:30" s="323" customFormat="1" ht="12" customHeight="1">
      <c r="B17637" s="324"/>
      <c r="C17637" s="325"/>
      <c r="D17637" s="326"/>
      <c r="E17637" s="326"/>
      <c r="F17637" s="326"/>
      <c r="G17637" s="326"/>
      <c r="H17637" s="326"/>
      <c r="P17637" s="318"/>
      <c r="Q17637" s="318"/>
      <c r="R17637" s="318"/>
      <c r="S17637" s="318"/>
      <c r="T17637" s="318"/>
      <c r="U17637" s="318"/>
      <c r="V17637" s="318"/>
      <c r="W17637" s="318"/>
      <c r="X17637" s="318"/>
      <c r="Y17637" s="318"/>
      <c r="Z17637" s="318"/>
      <c r="AA17637" s="318"/>
      <c r="AB17637" s="318"/>
      <c r="AC17637" s="318"/>
      <c r="AD17637" s="318"/>
    </row>
    <row r="17638" spans="2:30" s="323" customFormat="1" ht="12" customHeight="1">
      <c r="B17638" s="324"/>
      <c r="C17638" s="325"/>
      <c r="D17638" s="326"/>
      <c r="E17638" s="326"/>
      <c r="F17638" s="326"/>
      <c r="G17638" s="326"/>
      <c r="H17638" s="326"/>
      <c r="P17638" s="318"/>
      <c r="Q17638" s="318"/>
      <c r="R17638" s="318"/>
      <c r="S17638" s="318"/>
      <c r="T17638" s="318"/>
      <c r="U17638" s="318"/>
      <c r="V17638" s="318"/>
      <c r="W17638" s="318"/>
      <c r="X17638" s="318"/>
      <c r="Y17638" s="318"/>
      <c r="Z17638" s="318"/>
      <c r="AA17638" s="318"/>
      <c r="AB17638" s="318"/>
      <c r="AC17638" s="318"/>
      <c r="AD17638" s="318"/>
    </row>
    <row r="17639" spans="2:30" s="323" customFormat="1" ht="12" customHeight="1">
      <c r="B17639" s="324"/>
      <c r="C17639" s="325"/>
      <c r="D17639" s="326"/>
      <c r="E17639" s="326"/>
      <c r="F17639" s="326"/>
      <c r="G17639" s="326"/>
      <c r="H17639" s="326"/>
      <c r="P17639" s="318"/>
      <c r="Q17639" s="318"/>
      <c r="R17639" s="318"/>
      <c r="S17639" s="318"/>
      <c r="T17639" s="318"/>
      <c r="U17639" s="318"/>
      <c r="V17639" s="318"/>
      <c r="W17639" s="318"/>
      <c r="X17639" s="318"/>
      <c r="Y17639" s="318"/>
      <c r="Z17639" s="318"/>
      <c r="AA17639" s="318"/>
      <c r="AB17639" s="318"/>
      <c r="AC17639" s="318"/>
      <c r="AD17639" s="318"/>
    </row>
    <row r="17640" spans="2:30" s="323" customFormat="1" ht="12" customHeight="1">
      <c r="B17640" s="324"/>
      <c r="C17640" s="325"/>
      <c r="D17640" s="326"/>
      <c r="E17640" s="326"/>
      <c r="F17640" s="326"/>
      <c r="G17640" s="326"/>
      <c r="H17640" s="326"/>
      <c r="P17640" s="318"/>
      <c r="Q17640" s="318"/>
      <c r="R17640" s="318"/>
      <c r="S17640" s="318"/>
      <c r="T17640" s="318"/>
      <c r="U17640" s="318"/>
      <c r="V17640" s="318"/>
      <c r="W17640" s="318"/>
      <c r="X17640" s="318"/>
      <c r="Y17640" s="318"/>
      <c r="Z17640" s="318"/>
      <c r="AA17640" s="318"/>
      <c r="AB17640" s="318"/>
      <c r="AC17640" s="318"/>
      <c r="AD17640" s="318"/>
    </row>
    <row r="17641" spans="2:30" s="323" customFormat="1" ht="12" customHeight="1">
      <c r="B17641" s="324"/>
      <c r="C17641" s="325"/>
      <c r="D17641" s="326"/>
      <c r="E17641" s="326"/>
      <c r="F17641" s="326"/>
      <c r="G17641" s="326"/>
      <c r="H17641" s="326"/>
      <c r="P17641" s="318"/>
      <c r="Q17641" s="318"/>
      <c r="R17641" s="318"/>
      <c r="S17641" s="318"/>
      <c r="T17641" s="318"/>
      <c r="U17641" s="318"/>
      <c r="V17641" s="318"/>
      <c r="W17641" s="318"/>
      <c r="X17641" s="318"/>
      <c r="Y17641" s="318"/>
      <c r="Z17641" s="318"/>
      <c r="AA17641" s="318"/>
      <c r="AB17641" s="318"/>
      <c r="AC17641" s="318"/>
      <c r="AD17641" s="318"/>
    </row>
    <row r="17642" spans="2:30" s="323" customFormat="1" ht="12" customHeight="1">
      <c r="B17642" s="324"/>
      <c r="C17642" s="325"/>
      <c r="D17642" s="326"/>
      <c r="E17642" s="326"/>
      <c r="F17642" s="326"/>
      <c r="G17642" s="326"/>
      <c r="H17642" s="326"/>
      <c r="P17642" s="318"/>
      <c r="Q17642" s="318"/>
      <c r="R17642" s="318"/>
      <c r="S17642" s="318"/>
      <c r="T17642" s="318"/>
      <c r="U17642" s="318"/>
      <c r="V17642" s="318"/>
      <c r="W17642" s="318"/>
      <c r="X17642" s="318"/>
      <c r="Y17642" s="318"/>
      <c r="Z17642" s="318"/>
      <c r="AA17642" s="318"/>
      <c r="AB17642" s="318"/>
      <c r="AC17642" s="318"/>
      <c r="AD17642" s="318"/>
    </row>
    <row r="17643" spans="2:30" s="323" customFormat="1" ht="12" customHeight="1">
      <c r="B17643" s="324"/>
      <c r="C17643" s="325"/>
      <c r="D17643" s="326"/>
      <c r="E17643" s="326"/>
      <c r="F17643" s="326"/>
      <c r="G17643" s="326"/>
      <c r="H17643" s="326"/>
      <c r="P17643" s="318"/>
      <c r="Q17643" s="318"/>
      <c r="R17643" s="318"/>
      <c r="S17643" s="318"/>
      <c r="T17643" s="318"/>
      <c r="U17643" s="318"/>
      <c r="V17643" s="318"/>
      <c r="W17643" s="318"/>
      <c r="X17643" s="318"/>
      <c r="Y17643" s="318"/>
      <c r="Z17643" s="318"/>
      <c r="AA17643" s="318"/>
      <c r="AB17643" s="318"/>
      <c r="AC17643" s="318"/>
      <c r="AD17643" s="318"/>
    </row>
    <row r="17644" spans="2:30" s="323" customFormat="1" ht="12" customHeight="1">
      <c r="B17644" s="324"/>
      <c r="C17644" s="325"/>
      <c r="D17644" s="326"/>
      <c r="E17644" s="326"/>
      <c r="F17644" s="326"/>
      <c r="G17644" s="326"/>
      <c r="H17644" s="326"/>
      <c r="P17644" s="318"/>
      <c r="Q17644" s="318"/>
      <c r="R17644" s="318"/>
      <c r="S17644" s="318"/>
      <c r="T17644" s="318"/>
      <c r="U17644" s="318"/>
      <c r="V17644" s="318"/>
      <c r="W17644" s="318"/>
      <c r="X17644" s="318"/>
      <c r="Y17644" s="318"/>
      <c r="Z17644" s="318"/>
      <c r="AA17644" s="318"/>
      <c r="AB17644" s="318"/>
      <c r="AC17644" s="318"/>
      <c r="AD17644" s="318"/>
    </row>
    <row r="17645" spans="2:30" s="323" customFormat="1" ht="12" customHeight="1">
      <c r="B17645" s="324"/>
      <c r="C17645" s="325"/>
      <c r="D17645" s="326"/>
      <c r="E17645" s="326"/>
      <c r="F17645" s="326"/>
      <c r="G17645" s="326"/>
      <c r="H17645" s="326"/>
      <c r="P17645" s="318"/>
      <c r="Q17645" s="318"/>
      <c r="R17645" s="318"/>
      <c r="S17645" s="318"/>
      <c r="T17645" s="318"/>
      <c r="U17645" s="318"/>
      <c r="V17645" s="318"/>
      <c r="W17645" s="318"/>
      <c r="X17645" s="318"/>
      <c r="Y17645" s="318"/>
      <c r="Z17645" s="318"/>
      <c r="AA17645" s="318"/>
      <c r="AB17645" s="318"/>
      <c r="AC17645" s="318"/>
      <c r="AD17645" s="318"/>
    </row>
    <row r="17646" spans="2:30" s="323" customFormat="1" ht="12" customHeight="1">
      <c r="B17646" s="324"/>
      <c r="C17646" s="325"/>
      <c r="D17646" s="326"/>
      <c r="E17646" s="326"/>
      <c r="F17646" s="326"/>
      <c r="G17646" s="326"/>
      <c r="H17646" s="326"/>
      <c r="P17646" s="318"/>
      <c r="Q17646" s="318"/>
      <c r="R17646" s="318"/>
      <c r="S17646" s="318"/>
      <c r="T17646" s="318"/>
      <c r="U17646" s="318"/>
      <c r="V17646" s="318"/>
      <c r="W17646" s="318"/>
      <c r="X17646" s="318"/>
      <c r="Y17646" s="318"/>
      <c r="Z17646" s="318"/>
      <c r="AA17646" s="318"/>
      <c r="AB17646" s="318"/>
      <c r="AC17646" s="318"/>
      <c r="AD17646" s="318"/>
    </row>
    <row r="17647" spans="2:30" s="323" customFormat="1" ht="12" customHeight="1">
      <c r="B17647" s="324"/>
      <c r="C17647" s="325"/>
      <c r="D17647" s="326"/>
      <c r="E17647" s="326"/>
      <c r="F17647" s="326"/>
      <c r="G17647" s="326"/>
      <c r="H17647" s="326"/>
      <c r="P17647" s="318"/>
      <c r="Q17647" s="318"/>
      <c r="R17647" s="318"/>
      <c r="S17647" s="318"/>
      <c r="T17647" s="318"/>
      <c r="U17647" s="318"/>
      <c r="V17647" s="318"/>
      <c r="W17647" s="318"/>
      <c r="X17647" s="318"/>
      <c r="Y17647" s="318"/>
      <c r="Z17647" s="318"/>
      <c r="AA17647" s="318"/>
      <c r="AB17647" s="318"/>
      <c r="AC17647" s="318"/>
      <c r="AD17647" s="318"/>
    </row>
    <row r="17648" spans="2:30" s="323" customFormat="1" ht="12" customHeight="1">
      <c r="B17648" s="324"/>
      <c r="C17648" s="325"/>
      <c r="D17648" s="326"/>
      <c r="E17648" s="326"/>
      <c r="F17648" s="326"/>
      <c r="G17648" s="326"/>
      <c r="H17648" s="326"/>
      <c r="P17648" s="318"/>
      <c r="Q17648" s="318"/>
      <c r="R17648" s="318"/>
      <c r="S17648" s="318"/>
      <c r="T17648" s="318"/>
      <c r="U17648" s="318"/>
      <c r="V17648" s="318"/>
      <c r="W17648" s="318"/>
      <c r="X17648" s="318"/>
      <c r="Y17648" s="318"/>
      <c r="Z17648" s="318"/>
      <c r="AA17648" s="318"/>
      <c r="AB17648" s="318"/>
      <c r="AC17648" s="318"/>
      <c r="AD17648" s="318"/>
    </row>
    <row r="17649" spans="2:30" s="323" customFormat="1" ht="12" customHeight="1">
      <c r="B17649" s="324"/>
      <c r="C17649" s="325"/>
      <c r="D17649" s="326"/>
      <c r="E17649" s="326"/>
      <c r="F17649" s="326"/>
      <c r="G17649" s="326"/>
      <c r="H17649" s="326"/>
      <c r="P17649" s="318"/>
      <c r="Q17649" s="318"/>
      <c r="R17649" s="318"/>
      <c r="S17649" s="318"/>
      <c r="T17649" s="318"/>
      <c r="U17649" s="318"/>
      <c r="V17649" s="318"/>
      <c r="W17649" s="318"/>
      <c r="X17649" s="318"/>
      <c r="Y17649" s="318"/>
      <c r="Z17649" s="318"/>
      <c r="AA17649" s="318"/>
      <c r="AB17649" s="318"/>
      <c r="AC17649" s="318"/>
      <c r="AD17649" s="318"/>
    </row>
    <row r="17650" spans="2:30" s="323" customFormat="1" ht="12" customHeight="1">
      <c r="B17650" s="324"/>
      <c r="C17650" s="325"/>
      <c r="D17650" s="326"/>
      <c r="E17650" s="326"/>
      <c r="F17650" s="326"/>
      <c r="G17650" s="326"/>
      <c r="H17650" s="326"/>
      <c r="P17650" s="318"/>
      <c r="Q17650" s="318"/>
      <c r="R17650" s="318"/>
      <c r="S17650" s="318"/>
      <c r="T17650" s="318"/>
      <c r="U17650" s="318"/>
      <c r="V17650" s="318"/>
      <c r="W17650" s="318"/>
      <c r="X17650" s="318"/>
      <c r="Y17650" s="318"/>
      <c r="Z17650" s="318"/>
      <c r="AA17650" s="318"/>
      <c r="AB17650" s="318"/>
      <c r="AC17650" s="318"/>
      <c r="AD17650" s="318"/>
    </row>
    <row r="17651" spans="2:30" s="323" customFormat="1" ht="12" customHeight="1">
      <c r="B17651" s="324"/>
      <c r="C17651" s="325"/>
      <c r="D17651" s="326"/>
      <c r="E17651" s="326"/>
      <c r="F17651" s="326"/>
      <c r="G17651" s="326"/>
      <c r="H17651" s="326"/>
      <c r="P17651" s="318"/>
      <c r="Q17651" s="318"/>
      <c r="R17651" s="318"/>
      <c r="S17651" s="318"/>
      <c r="T17651" s="318"/>
      <c r="U17651" s="318"/>
      <c r="V17651" s="318"/>
      <c r="W17651" s="318"/>
      <c r="X17651" s="318"/>
      <c r="Y17651" s="318"/>
      <c r="Z17651" s="318"/>
      <c r="AA17651" s="318"/>
      <c r="AB17651" s="318"/>
      <c r="AC17651" s="318"/>
      <c r="AD17651" s="318"/>
    </row>
    <row r="17652" spans="2:30" s="323" customFormat="1" ht="12" customHeight="1">
      <c r="B17652" s="324"/>
      <c r="C17652" s="325"/>
      <c r="D17652" s="326"/>
      <c r="E17652" s="326"/>
      <c r="F17652" s="326"/>
      <c r="G17652" s="326"/>
      <c r="H17652" s="326"/>
      <c r="P17652" s="318"/>
      <c r="Q17652" s="318"/>
      <c r="R17652" s="318"/>
      <c r="S17652" s="318"/>
      <c r="T17652" s="318"/>
      <c r="U17652" s="318"/>
      <c r="V17652" s="318"/>
      <c r="W17652" s="318"/>
      <c r="X17652" s="318"/>
      <c r="Y17652" s="318"/>
      <c r="Z17652" s="318"/>
      <c r="AA17652" s="318"/>
      <c r="AB17652" s="318"/>
      <c r="AC17652" s="318"/>
      <c r="AD17652" s="318"/>
    </row>
    <row r="17653" spans="2:30" s="323" customFormat="1" ht="12" customHeight="1">
      <c r="B17653" s="324"/>
      <c r="C17653" s="325"/>
      <c r="D17653" s="326"/>
      <c r="E17653" s="326"/>
      <c r="F17653" s="326"/>
      <c r="G17653" s="326"/>
      <c r="H17653" s="326"/>
      <c r="P17653" s="318"/>
      <c r="Q17653" s="318"/>
      <c r="R17653" s="318"/>
      <c r="S17653" s="318"/>
      <c r="T17653" s="318"/>
      <c r="U17653" s="318"/>
      <c r="V17653" s="318"/>
      <c r="W17653" s="318"/>
      <c r="X17653" s="318"/>
      <c r="Y17653" s="318"/>
      <c r="Z17653" s="318"/>
      <c r="AA17653" s="318"/>
      <c r="AB17653" s="318"/>
      <c r="AC17653" s="318"/>
      <c r="AD17653" s="318"/>
    </row>
    <row r="17654" spans="2:30" s="323" customFormat="1" ht="12" customHeight="1">
      <c r="B17654" s="324"/>
      <c r="C17654" s="325"/>
      <c r="D17654" s="326"/>
      <c r="E17654" s="326"/>
      <c r="F17654" s="326"/>
      <c r="G17654" s="326"/>
      <c r="H17654" s="326"/>
      <c r="P17654" s="318"/>
      <c r="Q17654" s="318"/>
      <c r="R17654" s="318"/>
      <c r="S17654" s="318"/>
      <c r="T17654" s="318"/>
      <c r="U17654" s="318"/>
      <c r="V17654" s="318"/>
      <c r="W17654" s="318"/>
      <c r="X17654" s="318"/>
      <c r="Y17654" s="318"/>
      <c r="Z17654" s="318"/>
      <c r="AA17654" s="318"/>
      <c r="AB17654" s="318"/>
      <c r="AC17654" s="318"/>
      <c r="AD17654" s="318"/>
    </row>
    <row r="17655" spans="2:30" s="323" customFormat="1" ht="12" customHeight="1">
      <c r="B17655" s="324"/>
      <c r="C17655" s="325"/>
      <c r="D17655" s="326"/>
      <c r="E17655" s="326"/>
      <c r="F17655" s="326"/>
      <c r="G17655" s="326"/>
      <c r="H17655" s="326"/>
      <c r="P17655" s="318"/>
      <c r="Q17655" s="318"/>
      <c r="R17655" s="318"/>
      <c r="S17655" s="318"/>
      <c r="T17655" s="318"/>
      <c r="U17655" s="318"/>
      <c r="V17655" s="318"/>
      <c r="W17655" s="318"/>
      <c r="X17655" s="318"/>
      <c r="Y17655" s="318"/>
      <c r="Z17655" s="318"/>
      <c r="AA17655" s="318"/>
      <c r="AB17655" s="318"/>
      <c r="AC17655" s="318"/>
      <c r="AD17655" s="318"/>
    </row>
    <row r="17656" spans="2:30" s="323" customFormat="1" ht="12" customHeight="1">
      <c r="B17656" s="324"/>
      <c r="C17656" s="325"/>
      <c r="D17656" s="326"/>
      <c r="E17656" s="326"/>
      <c r="F17656" s="326"/>
      <c r="G17656" s="326"/>
      <c r="H17656" s="326"/>
      <c r="P17656" s="318"/>
      <c r="Q17656" s="318"/>
      <c r="R17656" s="318"/>
      <c r="S17656" s="318"/>
      <c r="T17656" s="318"/>
      <c r="U17656" s="318"/>
      <c r="V17656" s="318"/>
      <c r="W17656" s="318"/>
      <c r="X17656" s="318"/>
      <c r="Y17656" s="318"/>
      <c r="Z17656" s="318"/>
      <c r="AA17656" s="318"/>
      <c r="AB17656" s="318"/>
      <c r="AC17656" s="318"/>
      <c r="AD17656" s="318"/>
    </row>
    <row r="17657" spans="2:30" s="323" customFormat="1" ht="12" customHeight="1">
      <c r="B17657" s="324"/>
      <c r="C17657" s="325"/>
      <c r="D17657" s="326"/>
      <c r="E17657" s="326"/>
      <c r="F17657" s="326"/>
      <c r="G17657" s="326"/>
      <c r="H17657" s="326"/>
      <c r="P17657" s="318"/>
      <c r="Q17657" s="318"/>
      <c r="R17657" s="318"/>
      <c r="S17657" s="318"/>
      <c r="T17657" s="318"/>
      <c r="U17657" s="318"/>
      <c r="V17657" s="318"/>
      <c r="W17657" s="318"/>
      <c r="X17657" s="318"/>
      <c r="Y17657" s="318"/>
      <c r="Z17657" s="318"/>
      <c r="AA17657" s="318"/>
      <c r="AB17657" s="318"/>
      <c r="AC17657" s="318"/>
      <c r="AD17657" s="318"/>
    </row>
    <row r="17658" spans="2:30" s="323" customFormat="1" ht="12" customHeight="1">
      <c r="B17658" s="324"/>
      <c r="C17658" s="325"/>
      <c r="D17658" s="326"/>
      <c r="E17658" s="326"/>
      <c r="F17658" s="326"/>
      <c r="G17658" s="326"/>
      <c r="H17658" s="326"/>
      <c r="P17658" s="318"/>
      <c r="Q17658" s="318"/>
      <c r="R17658" s="318"/>
      <c r="S17658" s="318"/>
      <c r="T17658" s="318"/>
      <c r="U17658" s="318"/>
      <c r="V17658" s="318"/>
      <c r="W17658" s="318"/>
      <c r="X17658" s="318"/>
      <c r="Y17658" s="318"/>
      <c r="Z17658" s="318"/>
      <c r="AA17658" s="318"/>
      <c r="AB17658" s="318"/>
      <c r="AC17658" s="318"/>
      <c r="AD17658" s="318"/>
    </row>
    <row r="17659" spans="2:30" s="323" customFormat="1" ht="12" customHeight="1">
      <c r="B17659" s="324"/>
      <c r="C17659" s="325"/>
      <c r="D17659" s="326"/>
      <c r="E17659" s="326"/>
      <c r="F17659" s="326"/>
      <c r="G17659" s="326"/>
      <c r="H17659" s="326"/>
      <c r="P17659" s="318"/>
      <c r="Q17659" s="318"/>
      <c r="R17659" s="318"/>
      <c r="S17659" s="318"/>
      <c r="T17659" s="318"/>
      <c r="U17659" s="318"/>
      <c r="V17659" s="318"/>
      <c r="W17659" s="318"/>
      <c r="X17659" s="318"/>
      <c r="Y17659" s="318"/>
      <c r="Z17659" s="318"/>
      <c r="AA17659" s="318"/>
      <c r="AB17659" s="318"/>
      <c r="AC17659" s="318"/>
      <c r="AD17659" s="318"/>
    </row>
    <row r="17660" spans="2:30" s="323" customFormat="1" ht="12" customHeight="1">
      <c r="B17660" s="324"/>
      <c r="C17660" s="325"/>
      <c r="D17660" s="326"/>
      <c r="E17660" s="326"/>
      <c r="F17660" s="326"/>
      <c r="G17660" s="326"/>
      <c r="H17660" s="326"/>
      <c r="P17660" s="318"/>
      <c r="Q17660" s="318"/>
      <c r="R17660" s="318"/>
      <c r="S17660" s="318"/>
      <c r="T17660" s="318"/>
      <c r="U17660" s="318"/>
      <c r="V17660" s="318"/>
      <c r="W17660" s="318"/>
      <c r="X17660" s="318"/>
      <c r="Y17660" s="318"/>
      <c r="Z17660" s="318"/>
      <c r="AA17660" s="318"/>
      <c r="AB17660" s="318"/>
      <c r="AC17660" s="318"/>
      <c r="AD17660" s="318"/>
    </row>
    <row r="17661" spans="2:30" s="323" customFormat="1" ht="12" customHeight="1">
      <c r="B17661" s="324"/>
      <c r="C17661" s="325"/>
      <c r="D17661" s="326"/>
      <c r="E17661" s="326"/>
      <c r="F17661" s="326"/>
      <c r="G17661" s="326"/>
      <c r="H17661" s="326"/>
      <c r="P17661" s="318"/>
      <c r="Q17661" s="318"/>
      <c r="R17661" s="318"/>
      <c r="S17661" s="318"/>
      <c r="T17661" s="318"/>
      <c r="U17661" s="318"/>
      <c r="V17661" s="318"/>
      <c r="W17661" s="318"/>
      <c r="X17661" s="318"/>
      <c r="Y17661" s="318"/>
      <c r="Z17661" s="318"/>
      <c r="AA17661" s="318"/>
      <c r="AB17661" s="318"/>
      <c r="AC17661" s="318"/>
      <c r="AD17661" s="318"/>
    </row>
    <row r="17662" spans="2:30" s="323" customFormat="1" ht="12" customHeight="1">
      <c r="B17662" s="324"/>
      <c r="C17662" s="325"/>
      <c r="D17662" s="326"/>
      <c r="E17662" s="326"/>
      <c r="F17662" s="326"/>
      <c r="G17662" s="326"/>
      <c r="H17662" s="326"/>
      <c r="P17662" s="318"/>
      <c r="Q17662" s="318"/>
      <c r="R17662" s="318"/>
      <c r="S17662" s="318"/>
      <c r="T17662" s="318"/>
      <c r="U17662" s="318"/>
      <c r="V17662" s="318"/>
      <c r="W17662" s="318"/>
      <c r="X17662" s="318"/>
      <c r="Y17662" s="318"/>
      <c r="Z17662" s="318"/>
      <c r="AA17662" s="318"/>
      <c r="AB17662" s="318"/>
      <c r="AC17662" s="318"/>
      <c r="AD17662" s="318"/>
    </row>
    <row r="17663" spans="2:30" s="323" customFormat="1" ht="12" customHeight="1">
      <c r="B17663" s="324"/>
      <c r="C17663" s="325"/>
      <c r="D17663" s="326"/>
      <c r="E17663" s="326"/>
      <c r="F17663" s="326"/>
      <c r="G17663" s="326"/>
      <c r="H17663" s="326"/>
      <c r="P17663" s="318"/>
      <c r="Q17663" s="318"/>
      <c r="R17663" s="318"/>
      <c r="S17663" s="318"/>
      <c r="T17663" s="318"/>
      <c r="U17663" s="318"/>
      <c r="V17663" s="318"/>
      <c r="W17663" s="318"/>
      <c r="X17663" s="318"/>
      <c r="Y17663" s="318"/>
      <c r="Z17663" s="318"/>
      <c r="AA17663" s="318"/>
      <c r="AB17663" s="318"/>
      <c r="AC17663" s="318"/>
      <c r="AD17663" s="318"/>
    </row>
    <row r="17664" spans="2:30" s="323" customFormat="1" ht="12" customHeight="1">
      <c r="B17664" s="324"/>
      <c r="C17664" s="325"/>
      <c r="D17664" s="326"/>
      <c r="E17664" s="326"/>
      <c r="F17664" s="326"/>
      <c r="G17664" s="326"/>
      <c r="H17664" s="326"/>
      <c r="P17664" s="318"/>
      <c r="Q17664" s="318"/>
      <c r="R17664" s="318"/>
      <c r="S17664" s="318"/>
      <c r="T17664" s="318"/>
      <c r="U17664" s="318"/>
      <c r="V17664" s="318"/>
      <c r="W17664" s="318"/>
      <c r="X17664" s="318"/>
      <c r="Y17664" s="318"/>
      <c r="Z17664" s="318"/>
      <c r="AA17664" s="318"/>
      <c r="AB17664" s="318"/>
      <c r="AC17664" s="318"/>
      <c r="AD17664" s="318"/>
    </row>
    <row r="17665" spans="2:30" s="323" customFormat="1" ht="12" customHeight="1">
      <c r="B17665" s="324"/>
      <c r="C17665" s="325"/>
      <c r="D17665" s="326"/>
      <c r="E17665" s="326"/>
      <c r="F17665" s="326"/>
      <c r="G17665" s="326"/>
      <c r="H17665" s="326"/>
      <c r="P17665" s="318"/>
      <c r="Q17665" s="318"/>
      <c r="R17665" s="318"/>
      <c r="S17665" s="318"/>
      <c r="T17665" s="318"/>
      <c r="U17665" s="318"/>
      <c r="V17665" s="318"/>
      <c r="W17665" s="318"/>
      <c r="X17665" s="318"/>
      <c r="Y17665" s="318"/>
      <c r="Z17665" s="318"/>
      <c r="AA17665" s="318"/>
      <c r="AB17665" s="318"/>
      <c r="AC17665" s="318"/>
      <c r="AD17665" s="318"/>
    </row>
    <row r="17666" spans="2:30" s="323" customFormat="1" ht="12" customHeight="1">
      <c r="B17666" s="324"/>
      <c r="C17666" s="325"/>
      <c r="D17666" s="326"/>
      <c r="E17666" s="326"/>
      <c r="F17666" s="326"/>
      <c r="G17666" s="326"/>
      <c r="H17666" s="326"/>
      <c r="P17666" s="318"/>
      <c r="Q17666" s="318"/>
      <c r="R17666" s="318"/>
      <c r="S17666" s="318"/>
      <c r="T17666" s="318"/>
      <c r="U17666" s="318"/>
      <c r="V17666" s="318"/>
      <c r="W17666" s="318"/>
      <c r="X17666" s="318"/>
      <c r="Y17666" s="318"/>
      <c r="Z17666" s="318"/>
      <c r="AA17666" s="318"/>
      <c r="AB17666" s="318"/>
      <c r="AC17666" s="318"/>
      <c r="AD17666" s="318"/>
    </row>
    <row r="17667" spans="2:30" s="323" customFormat="1" ht="12" customHeight="1">
      <c r="B17667" s="324"/>
      <c r="C17667" s="325"/>
      <c r="D17667" s="326"/>
      <c r="E17667" s="326"/>
      <c r="F17667" s="326"/>
      <c r="G17667" s="326"/>
      <c r="H17667" s="326"/>
      <c r="P17667" s="318"/>
      <c r="Q17667" s="318"/>
      <c r="R17667" s="318"/>
      <c r="S17667" s="318"/>
      <c r="T17667" s="318"/>
      <c r="U17667" s="318"/>
      <c r="V17667" s="318"/>
      <c r="W17667" s="318"/>
      <c r="X17667" s="318"/>
      <c r="Y17667" s="318"/>
      <c r="Z17667" s="318"/>
      <c r="AA17667" s="318"/>
      <c r="AB17667" s="318"/>
      <c r="AC17667" s="318"/>
      <c r="AD17667" s="318"/>
    </row>
    <row r="17668" spans="2:30" s="323" customFormat="1" ht="12" customHeight="1">
      <c r="B17668" s="324"/>
      <c r="C17668" s="325"/>
      <c r="D17668" s="326"/>
      <c r="E17668" s="326"/>
      <c r="F17668" s="326"/>
      <c r="G17668" s="326"/>
      <c r="H17668" s="326"/>
      <c r="P17668" s="318"/>
      <c r="Q17668" s="318"/>
      <c r="R17668" s="318"/>
      <c r="S17668" s="318"/>
      <c r="T17668" s="318"/>
      <c r="U17668" s="318"/>
      <c r="V17668" s="318"/>
      <c r="W17668" s="318"/>
      <c r="X17668" s="318"/>
      <c r="Y17668" s="318"/>
      <c r="Z17668" s="318"/>
      <c r="AA17668" s="318"/>
      <c r="AB17668" s="318"/>
      <c r="AC17668" s="318"/>
      <c r="AD17668" s="318"/>
    </row>
    <row r="17669" spans="2:30" s="323" customFormat="1" ht="12" customHeight="1">
      <c r="B17669" s="324"/>
      <c r="C17669" s="325"/>
      <c r="D17669" s="326"/>
      <c r="E17669" s="326"/>
      <c r="F17669" s="326"/>
      <c r="G17669" s="326"/>
      <c r="H17669" s="326"/>
      <c r="P17669" s="318"/>
      <c r="Q17669" s="318"/>
      <c r="R17669" s="318"/>
      <c r="S17669" s="318"/>
      <c r="T17669" s="318"/>
      <c r="U17669" s="318"/>
      <c r="V17669" s="318"/>
      <c r="W17669" s="318"/>
      <c r="X17669" s="318"/>
      <c r="Y17669" s="318"/>
      <c r="Z17669" s="318"/>
      <c r="AA17669" s="318"/>
      <c r="AB17669" s="318"/>
      <c r="AC17669" s="318"/>
      <c r="AD17669" s="318"/>
    </row>
    <row r="17670" spans="2:30" s="323" customFormat="1" ht="12" customHeight="1">
      <c r="B17670" s="324"/>
      <c r="C17670" s="325"/>
      <c r="D17670" s="326"/>
      <c r="E17670" s="326"/>
      <c r="F17670" s="326"/>
      <c r="G17670" s="326"/>
      <c r="H17670" s="326"/>
      <c r="P17670" s="318"/>
      <c r="Q17670" s="318"/>
      <c r="R17670" s="318"/>
      <c r="S17670" s="318"/>
      <c r="T17670" s="318"/>
      <c r="U17670" s="318"/>
      <c r="V17670" s="318"/>
      <c r="W17670" s="318"/>
      <c r="X17670" s="318"/>
      <c r="Y17670" s="318"/>
      <c r="Z17670" s="318"/>
      <c r="AA17670" s="318"/>
      <c r="AB17670" s="318"/>
      <c r="AC17670" s="318"/>
      <c r="AD17670" s="318"/>
    </row>
    <row r="17671" spans="2:30" s="323" customFormat="1" ht="12" customHeight="1">
      <c r="B17671" s="324"/>
      <c r="C17671" s="325"/>
      <c r="D17671" s="326"/>
      <c r="E17671" s="326"/>
      <c r="F17671" s="326"/>
      <c r="G17671" s="326"/>
      <c r="H17671" s="326"/>
      <c r="P17671" s="318"/>
      <c r="Q17671" s="318"/>
      <c r="R17671" s="318"/>
      <c r="S17671" s="318"/>
      <c r="T17671" s="318"/>
      <c r="U17671" s="318"/>
      <c r="V17671" s="318"/>
      <c r="W17671" s="318"/>
      <c r="X17671" s="318"/>
      <c r="Y17671" s="318"/>
      <c r="Z17671" s="318"/>
      <c r="AA17671" s="318"/>
      <c r="AB17671" s="318"/>
      <c r="AC17671" s="318"/>
      <c r="AD17671" s="318"/>
    </row>
    <row r="17672" spans="2:30" s="323" customFormat="1" ht="12" customHeight="1">
      <c r="B17672" s="324"/>
      <c r="C17672" s="325"/>
      <c r="D17672" s="326"/>
      <c r="E17672" s="326"/>
      <c r="F17672" s="326"/>
      <c r="G17672" s="326"/>
      <c r="H17672" s="326"/>
      <c r="P17672" s="318"/>
      <c r="Q17672" s="318"/>
      <c r="R17672" s="318"/>
      <c r="S17672" s="318"/>
      <c r="T17672" s="318"/>
      <c r="U17672" s="318"/>
      <c r="V17672" s="318"/>
      <c r="W17672" s="318"/>
      <c r="X17672" s="318"/>
      <c r="Y17672" s="318"/>
      <c r="Z17672" s="318"/>
      <c r="AA17672" s="318"/>
      <c r="AB17672" s="318"/>
      <c r="AC17672" s="318"/>
      <c r="AD17672" s="318"/>
    </row>
    <row r="17673" spans="2:30" s="323" customFormat="1" ht="12" customHeight="1">
      <c r="B17673" s="324"/>
      <c r="C17673" s="325"/>
      <c r="D17673" s="326"/>
      <c r="E17673" s="326"/>
      <c r="F17673" s="326"/>
      <c r="G17673" s="326"/>
      <c r="H17673" s="326"/>
      <c r="P17673" s="318"/>
      <c r="Q17673" s="318"/>
      <c r="R17673" s="318"/>
      <c r="S17673" s="318"/>
      <c r="T17673" s="318"/>
      <c r="U17673" s="318"/>
      <c r="V17673" s="318"/>
      <c r="W17673" s="318"/>
      <c r="X17673" s="318"/>
      <c r="Y17673" s="318"/>
      <c r="Z17673" s="318"/>
      <c r="AA17673" s="318"/>
      <c r="AB17673" s="318"/>
      <c r="AC17673" s="318"/>
      <c r="AD17673" s="318"/>
    </row>
    <row r="17674" spans="2:30" s="323" customFormat="1" ht="12" customHeight="1">
      <c r="B17674" s="324"/>
      <c r="C17674" s="325"/>
      <c r="D17674" s="326"/>
      <c r="E17674" s="326"/>
      <c r="F17674" s="326"/>
      <c r="G17674" s="326"/>
      <c r="H17674" s="326"/>
      <c r="P17674" s="318"/>
      <c r="Q17674" s="318"/>
      <c r="R17674" s="318"/>
      <c r="S17674" s="318"/>
      <c r="T17674" s="318"/>
      <c r="U17674" s="318"/>
      <c r="V17674" s="318"/>
      <c r="W17674" s="318"/>
      <c r="X17674" s="318"/>
      <c r="Y17674" s="318"/>
      <c r="Z17674" s="318"/>
      <c r="AA17674" s="318"/>
      <c r="AB17674" s="318"/>
      <c r="AC17674" s="318"/>
      <c r="AD17674" s="318"/>
    </row>
    <row r="17675" spans="2:30" s="323" customFormat="1" ht="12" customHeight="1">
      <c r="B17675" s="324"/>
      <c r="C17675" s="325"/>
      <c r="D17675" s="326"/>
      <c r="E17675" s="326"/>
      <c r="F17675" s="326"/>
      <c r="G17675" s="326"/>
      <c r="H17675" s="326"/>
      <c r="P17675" s="318"/>
      <c r="Q17675" s="318"/>
      <c r="R17675" s="318"/>
      <c r="S17675" s="318"/>
      <c r="T17675" s="318"/>
      <c r="U17675" s="318"/>
      <c r="V17675" s="318"/>
      <c r="W17675" s="318"/>
      <c r="X17675" s="318"/>
      <c r="Y17675" s="318"/>
      <c r="Z17675" s="318"/>
      <c r="AA17675" s="318"/>
      <c r="AB17675" s="318"/>
      <c r="AC17675" s="318"/>
      <c r="AD17675" s="318"/>
    </row>
    <row r="17676" spans="2:30" s="323" customFormat="1" ht="12" customHeight="1">
      <c r="B17676" s="324"/>
      <c r="C17676" s="325"/>
      <c r="D17676" s="326"/>
      <c r="E17676" s="326"/>
      <c r="F17676" s="326"/>
      <c r="G17676" s="326"/>
      <c r="H17676" s="326"/>
      <c r="P17676" s="318"/>
      <c r="Q17676" s="318"/>
      <c r="R17676" s="318"/>
      <c r="S17676" s="318"/>
      <c r="T17676" s="318"/>
      <c r="U17676" s="318"/>
      <c r="V17676" s="318"/>
      <c r="W17676" s="318"/>
      <c r="X17676" s="318"/>
      <c r="Y17676" s="318"/>
      <c r="Z17676" s="318"/>
      <c r="AA17676" s="318"/>
      <c r="AB17676" s="318"/>
      <c r="AC17676" s="318"/>
      <c r="AD17676" s="318"/>
    </row>
    <row r="17677" spans="2:30" s="323" customFormat="1" ht="12" customHeight="1">
      <c r="B17677" s="324"/>
      <c r="C17677" s="325"/>
      <c r="D17677" s="326"/>
      <c r="E17677" s="326"/>
      <c r="F17677" s="326"/>
      <c r="G17677" s="326"/>
      <c r="H17677" s="326"/>
      <c r="P17677" s="318"/>
      <c r="Q17677" s="318"/>
      <c r="R17677" s="318"/>
      <c r="S17677" s="318"/>
      <c r="T17677" s="318"/>
      <c r="U17677" s="318"/>
      <c r="V17677" s="318"/>
      <c r="W17677" s="318"/>
      <c r="X17677" s="318"/>
      <c r="Y17677" s="318"/>
      <c r="Z17677" s="318"/>
      <c r="AA17677" s="318"/>
      <c r="AB17677" s="318"/>
      <c r="AC17677" s="318"/>
      <c r="AD17677" s="318"/>
    </row>
    <row r="17678" spans="2:30" s="323" customFormat="1" ht="12" customHeight="1">
      <c r="B17678" s="324"/>
      <c r="C17678" s="325"/>
      <c r="D17678" s="326"/>
      <c r="E17678" s="326"/>
      <c r="F17678" s="326"/>
      <c r="G17678" s="326"/>
      <c r="H17678" s="326"/>
      <c r="P17678" s="318"/>
      <c r="Q17678" s="318"/>
      <c r="R17678" s="318"/>
      <c r="S17678" s="318"/>
      <c r="T17678" s="318"/>
      <c r="U17678" s="318"/>
      <c r="V17678" s="318"/>
      <c r="W17678" s="318"/>
      <c r="X17678" s="318"/>
      <c r="Y17678" s="318"/>
      <c r="Z17678" s="318"/>
      <c r="AA17678" s="318"/>
      <c r="AB17678" s="318"/>
      <c r="AC17678" s="318"/>
      <c r="AD17678" s="318"/>
    </row>
    <row r="17679" spans="2:30" s="323" customFormat="1" ht="12" customHeight="1">
      <c r="B17679" s="324"/>
      <c r="C17679" s="325"/>
      <c r="D17679" s="326"/>
      <c r="E17679" s="326"/>
      <c r="F17679" s="326"/>
      <c r="G17679" s="326"/>
      <c r="H17679" s="326"/>
      <c r="P17679" s="318"/>
      <c r="Q17679" s="318"/>
      <c r="R17679" s="318"/>
      <c r="S17679" s="318"/>
      <c r="T17679" s="318"/>
      <c r="U17679" s="318"/>
      <c r="V17679" s="318"/>
      <c r="W17679" s="318"/>
      <c r="X17679" s="318"/>
      <c r="Y17679" s="318"/>
      <c r="Z17679" s="318"/>
      <c r="AA17679" s="318"/>
      <c r="AB17679" s="318"/>
      <c r="AC17679" s="318"/>
      <c r="AD17679" s="318"/>
    </row>
    <row r="17680" spans="2:30" s="323" customFormat="1" ht="12" customHeight="1">
      <c r="B17680" s="324"/>
      <c r="C17680" s="325"/>
      <c r="D17680" s="326"/>
      <c r="E17680" s="326"/>
      <c r="F17680" s="326"/>
      <c r="G17680" s="326"/>
      <c r="H17680" s="326"/>
      <c r="P17680" s="318"/>
      <c r="Q17680" s="318"/>
      <c r="R17680" s="318"/>
      <c r="S17680" s="318"/>
      <c r="T17680" s="318"/>
      <c r="U17680" s="318"/>
      <c r="V17680" s="318"/>
      <c r="W17680" s="318"/>
      <c r="X17680" s="318"/>
      <c r="Y17680" s="318"/>
      <c r="Z17680" s="318"/>
      <c r="AA17680" s="318"/>
      <c r="AB17680" s="318"/>
      <c r="AC17680" s="318"/>
      <c r="AD17680" s="318"/>
    </row>
    <row r="17681" spans="2:30" s="323" customFormat="1" ht="12" customHeight="1">
      <c r="B17681" s="324"/>
      <c r="C17681" s="325"/>
      <c r="D17681" s="326"/>
      <c r="E17681" s="326"/>
      <c r="F17681" s="326"/>
      <c r="G17681" s="326"/>
      <c r="H17681" s="326"/>
      <c r="P17681" s="318"/>
      <c r="Q17681" s="318"/>
      <c r="R17681" s="318"/>
      <c r="S17681" s="318"/>
      <c r="T17681" s="318"/>
      <c r="U17681" s="318"/>
      <c r="V17681" s="318"/>
      <c r="W17681" s="318"/>
      <c r="X17681" s="318"/>
      <c r="Y17681" s="318"/>
      <c r="Z17681" s="318"/>
      <c r="AA17681" s="318"/>
      <c r="AB17681" s="318"/>
      <c r="AC17681" s="318"/>
      <c r="AD17681" s="318"/>
    </row>
    <row r="17682" spans="2:30" s="323" customFormat="1" ht="12" customHeight="1">
      <c r="B17682" s="324"/>
      <c r="C17682" s="325"/>
      <c r="D17682" s="326"/>
      <c r="E17682" s="326"/>
      <c r="F17682" s="326"/>
      <c r="G17682" s="326"/>
      <c r="H17682" s="326"/>
      <c r="P17682" s="318"/>
      <c r="Q17682" s="318"/>
      <c r="R17682" s="318"/>
      <c r="S17682" s="318"/>
      <c r="T17682" s="318"/>
      <c r="U17682" s="318"/>
      <c r="V17682" s="318"/>
      <c r="W17682" s="318"/>
      <c r="X17682" s="318"/>
      <c r="Y17682" s="318"/>
      <c r="Z17682" s="318"/>
      <c r="AA17682" s="318"/>
      <c r="AB17682" s="318"/>
      <c r="AC17682" s="318"/>
      <c r="AD17682" s="318"/>
    </row>
    <row r="17683" spans="2:30" s="323" customFormat="1" ht="12" customHeight="1">
      <c r="B17683" s="324"/>
      <c r="C17683" s="325"/>
      <c r="D17683" s="326"/>
      <c r="E17683" s="326"/>
      <c r="F17683" s="326"/>
      <c r="G17683" s="326"/>
      <c r="H17683" s="326"/>
      <c r="P17683" s="318"/>
      <c r="Q17683" s="318"/>
      <c r="R17683" s="318"/>
      <c r="S17683" s="318"/>
      <c r="T17683" s="318"/>
      <c r="U17683" s="318"/>
      <c r="V17683" s="318"/>
      <c r="W17683" s="318"/>
      <c r="X17683" s="318"/>
      <c r="Y17683" s="318"/>
      <c r="Z17683" s="318"/>
      <c r="AA17683" s="318"/>
      <c r="AB17683" s="318"/>
      <c r="AC17683" s="318"/>
      <c r="AD17683" s="318"/>
    </row>
    <row r="17684" spans="2:30" s="323" customFormat="1" ht="12" customHeight="1">
      <c r="B17684" s="324"/>
      <c r="C17684" s="325"/>
      <c r="D17684" s="326"/>
      <c r="E17684" s="326"/>
      <c r="F17684" s="326"/>
      <c r="G17684" s="326"/>
      <c r="H17684" s="326"/>
      <c r="P17684" s="318"/>
      <c r="Q17684" s="318"/>
      <c r="R17684" s="318"/>
      <c r="S17684" s="318"/>
      <c r="T17684" s="318"/>
      <c r="U17684" s="318"/>
      <c r="V17684" s="318"/>
      <c r="W17684" s="318"/>
      <c r="X17684" s="318"/>
      <c r="Y17684" s="318"/>
      <c r="Z17684" s="318"/>
      <c r="AA17684" s="318"/>
      <c r="AB17684" s="318"/>
      <c r="AC17684" s="318"/>
      <c r="AD17684" s="318"/>
    </row>
    <row r="17685" spans="2:30" s="323" customFormat="1" ht="12" customHeight="1">
      <c r="B17685" s="324"/>
      <c r="C17685" s="325"/>
      <c r="D17685" s="326"/>
      <c r="E17685" s="326"/>
      <c r="F17685" s="326"/>
      <c r="G17685" s="326"/>
      <c r="H17685" s="326"/>
      <c r="P17685" s="318"/>
      <c r="Q17685" s="318"/>
      <c r="R17685" s="318"/>
      <c r="S17685" s="318"/>
      <c r="T17685" s="318"/>
      <c r="U17685" s="318"/>
      <c r="V17685" s="318"/>
      <c r="W17685" s="318"/>
      <c r="X17685" s="318"/>
      <c r="Y17685" s="318"/>
      <c r="Z17685" s="318"/>
      <c r="AA17685" s="318"/>
      <c r="AB17685" s="318"/>
      <c r="AC17685" s="318"/>
      <c r="AD17685" s="318"/>
    </row>
    <row r="17686" spans="2:30" s="323" customFormat="1" ht="12" customHeight="1">
      <c r="B17686" s="324"/>
      <c r="C17686" s="325"/>
      <c r="D17686" s="326"/>
      <c r="E17686" s="326"/>
      <c r="F17686" s="326"/>
      <c r="G17686" s="326"/>
      <c r="H17686" s="326"/>
      <c r="P17686" s="318"/>
      <c r="Q17686" s="318"/>
      <c r="R17686" s="318"/>
      <c r="S17686" s="318"/>
      <c r="T17686" s="318"/>
      <c r="U17686" s="318"/>
      <c r="V17686" s="318"/>
      <c r="W17686" s="318"/>
      <c r="X17686" s="318"/>
      <c r="Y17686" s="318"/>
      <c r="Z17686" s="318"/>
      <c r="AA17686" s="318"/>
      <c r="AB17686" s="318"/>
      <c r="AC17686" s="318"/>
      <c r="AD17686" s="318"/>
    </row>
    <row r="17687" spans="2:30" s="323" customFormat="1" ht="12" customHeight="1">
      <c r="B17687" s="324"/>
      <c r="C17687" s="325"/>
      <c r="D17687" s="326"/>
      <c r="E17687" s="326"/>
      <c r="F17687" s="326"/>
      <c r="G17687" s="326"/>
      <c r="H17687" s="326"/>
      <c r="P17687" s="318"/>
      <c r="Q17687" s="318"/>
      <c r="R17687" s="318"/>
      <c r="S17687" s="318"/>
      <c r="T17687" s="318"/>
      <c r="U17687" s="318"/>
      <c r="V17687" s="318"/>
      <c r="W17687" s="318"/>
      <c r="X17687" s="318"/>
      <c r="Y17687" s="318"/>
      <c r="Z17687" s="318"/>
      <c r="AA17687" s="318"/>
      <c r="AB17687" s="318"/>
      <c r="AC17687" s="318"/>
      <c r="AD17687" s="318"/>
    </row>
    <row r="17688" spans="2:30" s="323" customFormat="1" ht="12" customHeight="1">
      <c r="B17688" s="324"/>
      <c r="C17688" s="325"/>
      <c r="D17688" s="326"/>
      <c r="E17688" s="326"/>
      <c r="F17688" s="326"/>
      <c r="G17688" s="326"/>
      <c r="H17688" s="326"/>
      <c r="P17688" s="318"/>
      <c r="Q17688" s="318"/>
      <c r="R17688" s="318"/>
      <c r="S17688" s="318"/>
      <c r="T17688" s="318"/>
      <c r="U17688" s="318"/>
      <c r="V17688" s="318"/>
      <c r="W17688" s="318"/>
      <c r="X17688" s="318"/>
      <c r="Y17688" s="318"/>
      <c r="Z17688" s="318"/>
      <c r="AA17688" s="318"/>
      <c r="AB17688" s="318"/>
      <c r="AC17688" s="318"/>
      <c r="AD17688" s="318"/>
    </row>
    <row r="17689" spans="2:30" s="323" customFormat="1" ht="12" customHeight="1">
      <c r="B17689" s="324"/>
      <c r="C17689" s="325"/>
      <c r="D17689" s="326"/>
      <c r="E17689" s="326"/>
      <c r="F17689" s="326"/>
      <c r="G17689" s="326"/>
      <c r="H17689" s="326"/>
      <c r="P17689" s="318"/>
      <c r="Q17689" s="318"/>
      <c r="R17689" s="318"/>
      <c r="S17689" s="318"/>
      <c r="T17689" s="318"/>
      <c r="U17689" s="318"/>
      <c r="V17689" s="318"/>
      <c r="W17689" s="318"/>
      <c r="X17689" s="318"/>
      <c r="Y17689" s="318"/>
      <c r="Z17689" s="318"/>
      <c r="AA17689" s="318"/>
      <c r="AB17689" s="318"/>
      <c r="AC17689" s="318"/>
      <c r="AD17689" s="318"/>
    </row>
    <row r="17690" spans="2:30" s="323" customFormat="1" ht="12" customHeight="1">
      <c r="B17690" s="324"/>
      <c r="C17690" s="325"/>
      <c r="D17690" s="326"/>
      <c r="E17690" s="326"/>
      <c r="F17690" s="326"/>
      <c r="G17690" s="326"/>
      <c r="H17690" s="326"/>
      <c r="P17690" s="318"/>
      <c r="Q17690" s="318"/>
      <c r="R17690" s="318"/>
      <c r="S17690" s="318"/>
      <c r="T17690" s="318"/>
      <c r="U17690" s="318"/>
      <c r="V17690" s="318"/>
      <c r="W17690" s="318"/>
      <c r="X17690" s="318"/>
      <c r="Y17690" s="318"/>
      <c r="Z17690" s="318"/>
      <c r="AA17690" s="318"/>
      <c r="AB17690" s="318"/>
      <c r="AC17690" s="318"/>
      <c r="AD17690" s="318"/>
    </row>
    <row r="17691" spans="2:30" s="323" customFormat="1" ht="12" customHeight="1">
      <c r="B17691" s="324"/>
      <c r="C17691" s="325"/>
      <c r="D17691" s="326"/>
      <c r="E17691" s="326"/>
      <c r="F17691" s="326"/>
      <c r="G17691" s="326"/>
      <c r="H17691" s="326"/>
      <c r="P17691" s="318"/>
      <c r="Q17691" s="318"/>
      <c r="R17691" s="318"/>
      <c r="S17691" s="318"/>
      <c r="T17691" s="318"/>
      <c r="U17691" s="318"/>
      <c r="V17691" s="318"/>
      <c r="W17691" s="318"/>
      <c r="X17691" s="318"/>
      <c r="Y17691" s="318"/>
      <c r="Z17691" s="318"/>
      <c r="AA17691" s="318"/>
      <c r="AB17691" s="318"/>
      <c r="AC17691" s="318"/>
      <c r="AD17691" s="318"/>
    </row>
    <row r="17692" spans="2:30" s="323" customFormat="1" ht="12" customHeight="1">
      <c r="B17692" s="324"/>
      <c r="C17692" s="325"/>
      <c r="D17692" s="326"/>
      <c r="E17692" s="326"/>
      <c r="F17692" s="326"/>
      <c r="G17692" s="326"/>
      <c r="H17692" s="326"/>
      <c r="P17692" s="318"/>
      <c r="Q17692" s="318"/>
      <c r="R17692" s="318"/>
      <c r="S17692" s="318"/>
      <c r="T17692" s="318"/>
      <c r="U17692" s="318"/>
      <c r="V17692" s="318"/>
      <c r="W17692" s="318"/>
      <c r="X17692" s="318"/>
      <c r="Y17692" s="318"/>
      <c r="Z17692" s="318"/>
      <c r="AA17692" s="318"/>
      <c r="AB17692" s="318"/>
      <c r="AC17692" s="318"/>
      <c r="AD17692" s="318"/>
    </row>
    <row r="17693" spans="2:30" s="323" customFormat="1" ht="12" customHeight="1">
      <c r="B17693" s="324"/>
      <c r="C17693" s="325"/>
      <c r="D17693" s="326"/>
      <c r="E17693" s="326"/>
      <c r="F17693" s="326"/>
      <c r="G17693" s="326"/>
      <c r="H17693" s="326"/>
      <c r="P17693" s="318"/>
      <c r="Q17693" s="318"/>
      <c r="R17693" s="318"/>
      <c r="S17693" s="318"/>
      <c r="T17693" s="318"/>
      <c r="U17693" s="318"/>
      <c r="V17693" s="318"/>
      <c r="W17693" s="318"/>
      <c r="X17693" s="318"/>
      <c r="Y17693" s="318"/>
      <c r="Z17693" s="318"/>
      <c r="AA17693" s="318"/>
      <c r="AB17693" s="318"/>
      <c r="AC17693" s="318"/>
      <c r="AD17693" s="318"/>
    </row>
    <row r="17694" spans="2:30" s="323" customFormat="1" ht="12" customHeight="1">
      <c r="B17694" s="324"/>
      <c r="C17694" s="325"/>
      <c r="D17694" s="326"/>
      <c r="E17694" s="326"/>
      <c r="F17694" s="326"/>
      <c r="G17694" s="326"/>
      <c r="H17694" s="326"/>
      <c r="P17694" s="318"/>
      <c r="Q17694" s="318"/>
      <c r="R17694" s="318"/>
      <c r="S17694" s="318"/>
      <c r="T17694" s="318"/>
      <c r="U17694" s="318"/>
      <c r="V17694" s="318"/>
      <c r="W17694" s="318"/>
      <c r="X17694" s="318"/>
      <c r="Y17694" s="318"/>
      <c r="Z17694" s="318"/>
      <c r="AA17694" s="318"/>
      <c r="AB17694" s="318"/>
      <c r="AC17694" s="318"/>
      <c r="AD17694" s="318"/>
    </row>
    <row r="17695" spans="2:30" s="323" customFormat="1" ht="12" customHeight="1">
      <c r="B17695" s="324"/>
      <c r="C17695" s="325"/>
      <c r="D17695" s="326"/>
      <c r="E17695" s="326"/>
      <c r="F17695" s="326"/>
      <c r="G17695" s="326"/>
      <c r="H17695" s="326"/>
      <c r="P17695" s="318"/>
      <c r="Q17695" s="318"/>
      <c r="R17695" s="318"/>
      <c r="S17695" s="318"/>
      <c r="T17695" s="318"/>
      <c r="U17695" s="318"/>
      <c r="V17695" s="318"/>
      <c r="W17695" s="318"/>
      <c r="X17695" s="318"/>
      <c r="Y17695" s="318"/>
      <c r="Z17695" s="318"/>
      <c r="AA17695" s="318"/>
      <c r="AB17695" s="318"/>
      <c r="AC17695" s="318"/>
      <c r="AD17695" s="318"/>
    </row>
    <row r="17696" spans="2:30" s="323" customFormat="1" ht="12" customHeight="1">
      <c r="B17696" s="324"/>
      <c r="C17696" s="325"/>
      <c r="D17696" s="326"/>
      <c r="E17696" s="326"/>
      <c r="F17696" s="326"/>
      <c r="G17696" s="326"/>
      <c r="H17696" s="326"/>
      <c r="P17696" s="318"/>
      <c r="Q17696" s="318"/>
      <c r="R17696" s="318"/>
      <c r="S17696" s="318"/>
      <c r="T17696" s="318"/>
      <c r="U17696" s="318"/>
      <c r="V17696" s="318"/>
      <c r="W17696" s="318"/>
      <c r="X17696" s="318"/>
      <c r="Y17696" s="318"/>
      <c r="Z17696" s="318"/>
      <c r="AA17696" s="318"/>
      <c r="AB17696" s="318"/>
      <c r="AC17696" s="318"/>
      <c r="AD17696" s="318"/>
    </row>
    <row r="17697" spans="2:30" s="323" customFormat="1" ht="12" customHeight="1">
      <c r="B17697" s="324"/>
      <c r="C17697" s="325"/>
      <c r="D17697" s="326"/>
      <c r="E17697" s="326"/>
      <c r="F17697" s="326"/>
      <c r="G17697" s="326"/>
      <c r="H17697" s="326"/>
      <c r="P17697" s="318"/>
      <c r="Q17697" s="318"/>
      <c r="R17697" s="318"/>
      <c r="S17697" s="318"/>
      <c r="T17697" s="318"/>
      <c r="U17697" s="318"/>
      <c r="V17697" s="318"/>
      <c r="W17697" s="318"/>
      <c r="X17697" s="318"/>
      <c r="Y17697" s="318"/>
      <c r="Z17697" s="318"/>
      <c r="AA17697" s="318"/>
      <c r="AB17697" s="318"/>
      <c r="AC17697" s="318"/>
      <c r="AD17697" s="318"/>
    </row>
    <row r="17698" spans="2:30" s="323" customFormat="1" ht="12" customHeight="1">
      <c r="B17698" s="324"/>
      <c r="C17698" s="325"/>
      <c r="D17698" s="326"/>
      <c r="E17698" s="326"/>
      <c r="F17698" s="326"/>
      <c r="G17698" s="326"/>
      <c r="H17698" s="326"/>
      <c r="P17698" s="318"/>
      <c r="Q17698" s="318"/>
      <c r="R17698" s="318"/>
      <c r="S17698" s="318"/>
      <c r="T17698" s="318"/>
      <c r="U17698" s="318"/>
      <c r="V17698" s="318"/>
      <c r="W17698" s="318"/>
      <c r="X17698" s="318"/>
      <c r="Y17698" s="318"/>
      <c r="Z17698" s="318"/>
      <c r="AA17698" s="318"/>
      <c r="AB17698" s="318"/>
      <c r="AC17698" s="318"/>
      <c r="AD17698" s="318"/>
    </row>
    <row r="17699" spans="2:30" s="323" customFormat="1" ht="12" customHeight="1">
      <c r="B17699" s="324"/>
      <c r="C17699" s="325"/>
      <c r="D17699" s="326"/>
      <c r="E17699" s="326"/>
      <c r="F17699" s="326"/>
      <c r="G17699" s="326"/>
      <c r="H17699" s="326"/>
      <c r="P17699" s="318"/>
      <c r="Q17699" s="318"/>
      <c r="R17699" s="318"/>
      <c r="S17699" s="318"/>
      <c r="T17699" s="318"/>
      <c r="U17699" s="318"/>
      <c r="V17699" s="318"/>
      <c r="W17699" s="318"/>
      <c r="X17699" s="318"/>
      <c r="Y17699" s="318"/>
      <c r="Z17699" s="318"/>
      <c r="AA17699" s="318"/>
      <c r="AB17699" s="318"/>
      <c r="AC17699" s="318"/>
      <c r="AD17699" s="318"/>
    </row>
    <row r="17700" spans="2:30" s="323" customFormat="1" ht="12" customHeight="1">
      <c r="B17700" s="324"/>
      <c r="C17700" s="325"/>
      <c r="D17700" s="326"/>
      <c r="E17700" s="326"/>
      <c r="F17700" s="326"/>
      <c r="G17700" s="326"/>
      <c r="H17700" s="326"/>
      <c r="P17700" s="318"/>
      <c r="Q17700" s="318"/>
      <c r="R17700" s="318"/>
      <c r="S17700" s="318"/>
      <c r="T17700" s="318"/>
      <c r="U17700" s="318"/>
      <c r="V17700" s="318"/>
      <c r="W17700" s="318"/>
      <c r="X17700" s="318"/>
      <c r="Y17700" s="318"/>
      <c r="Z17700" s="318"/>
      <c r="AA17700" s="318"/>
      <c r="AB17700" s="318"/>
      <c r="AC17700" s="318"/>
      <c r="AD17700" s="318"/>
    </row>
    <row r="17701" spans="2:30" s="323" customFormat="1" ht="12" customHeight="1">
      <c r="B17701" s="324"/>
      <c r="C17701" s="325"/>
      <c r="D17701" s="326"/>
      <c r="E17701" s="326"/>
      <c r="F17701" s="326"/>
      <c r="G17701" s="326"/>
      <c r="H17701" s="326"/>
      <c r="P17701" s="318"/>
      <c r="Q17701" s="318"/>
      <c r="R17701" s="318"/>
      <c r="S17701" s="318"/>
      <c r="T17701" s="318"/>
      <c r="U17701" s="318"/>
      <c r="V17701" s="318"/>
      <c r="W17701" s="318"/>
      <c r="X17701" s="318"/>
      <c r="Y17701" s="318"/>
      <c r="Z17701" s="318"/>
      <c r="AA17701" s="318"/>
      <c r="AB17701" s="318"/>
      <c r="AC17701" s="318"/>
      <c r="AD17701" s="318"/>
    </row>
    <row r="17702" spans="2:30" s="323" customFormat="1" ht="12" customHeight="1">
      <c r="B17702" s="324"/>
      <c r="C17702" s="325"/>
      <c r="D17702" s="326"/>
      <c r="E17702" s="326"/>
      <c r="F17702" s="326"/>
      <c r="G17702" s="326"/>
      <c r="H17702" s="326"/>
      <c r="P17702" s="318"/>
      <c r="Q17702" s="318"/>
      <c r="R17702" s="318"/>
      <c r="S17702" s="318"/>
      <c r="T17702" s="318"/>
      <c r="U17702" s="318"/>
      <c r="V17702" s="318"/>
      <c r="W17702" s="318"/>
      <c r="X17702" s="318"/>
      <c r="Y17702" s="318"/>
      <c r="Z17702" s="318"/>
      <c r="AA17702" s="318"/>
      <c r="AB17702" s="318"/>
      <c r="AC17702" s="318"/>
      <c r="AD17702" s="318"/>
    </row>
    <row r="17703" spans="2:30" s="323" customFormat="1" ht="12" customHeight="1">
      <c r="B17703" s="324"/>
      <c r="C17703" s="325"/>
      <c r="D17703" s="326"/>
      <c r="E17703" s="326"/>
      <c r="F17703" s="326"/>
      <c r="G17703" s="326"/>
      <c r="H17703" s="326"/>
      <c r="P17703" s="318"/>
      <c r="Q17703" s="318"/>
      <c r="R17703" s="318"/>
      <c r="S17703" s="318"/>
      <c r="T17703" s="318"/>
      <c r="U17703" s="318"/>
      <c r="V17703" s="318"/>
      <c r="W17703" s="318"/>
      <c r="X17703" s="318"/>
      <c r="Y17703" s="318"/>
      <c r="Z17703" s="318"/>
      <c r="AA17703" s="318"/>
      <c r="AB17703" s="318"/>
      <c r="AC17703" s="318"/>
      <c r="AD17703" s="318"/>
    </row>
    <row r="17704" spans="2:30" s="323" customFormat="1" ht="12" customHeight="1">
      <c r="B17704" s="324"/>
      <c r="C17704" s="325"/>
      <c r="D17704" s="326"/>
      <c r="E17704" s="326"/>
      <c r="F17704" s="326"/>
      <c r="G17704" s="326"/>
      <c r="H17704" s="326"/>
      <c r="P17704" s="318"/>
      <c r="Q17704" s="318"/>
      <c r="R17704" s="318"/>
      <c r="S17704" s="318"/>
      <c r="T17704" s="318"/>
      <c r="U17704" s="318"/>
      <c r="V17704" s="318"/>
      <c r="W17704" s="318"/>
      <c r="X17704" s="318"/>
      <c r="Y17704" s="318"/>
      <c r="Z17704" s="318"/>
      <c r="AA17704" s="318"/>
      <c r="AB17704" s="318"/>
      <c r="AC17704" s="318"/>
      <c r="AD17704" s="318"/>
    </row>
    <row r="17705" spans="2:30" s="323" customFormat="1" ht="12" customHeight="1">
      <c r="B17705" s="324"/>
      <c r="C17705" s="325"/>
      <c r="D17705" s="326"/>
      <c r="E17705" s="326"/>
      <c r="F17705" s="326"/>
      <c r="G17705" s="326"/>
      <c r="H17705" s="326"/>
      <c r="P17705" s="318"/>
      <c r="Q17705" s="318"/>
      <c r="R17705" s="318"/>
      <c r="S17705" s="318"/>
      <c r="T17705" s="318"/>
      <c r="U17705" s="318"/>
      <c r="V17705" s="318"/>
      <c r="W17705" s="318"/>
      <c r="X17705" s="318"/>
      <c r="Y17705" s="318"/>
      <c r="Z17705" s="318"/>
      <c r="AA17705" s="318"/>
      <c r="AB17705" s="318"/>
      <c r="AC17705" s="318"/>
      <c r="AD17705" s="318"/>
    </row>
    <row r="17706" spans="2:30" s="323" customFormat="1" ht="12" customHeight="1">
      <c r="B17706" s="324"/>
      <c r="C17706" s="325"/>
      <c r="D17706" s="326"/>
      <c r="E17706" s="326"/>
      <c r="F17706" s="326"/>
      <c r="G17706" s="326"/>
      <c r="H17706" s="326"/>
      <c r="P17706" s="318"/>
      <c r="Q17706" s="318"/>
      <c r="R17706" s="318"/>
      <c r="S17706" s="318"/>
      <c r="T17706" s="318"/>
      <c r="U17706" s="318"/>
      <c r="V17706" s="318"/>
      <c r="W17706" s="318"/>
      <c r="X17706" s="318"/>
      <c r="Y17706" s="318"/>
      <c r="Z17706" s="318"/>
      <c r="AA17706" s="318"/>
      <c r="AB17706" s="318"/>
      <c r="AC17706" s="318"/>
      <c r="AD17706" s="318"/>
    </row>
    <row r="17707" spans="2:30" s="323" customFormat="1" ht="12" customHeight="1">
      <c r="B17707" s="324"/>
      <c r="C17707" s="325"/>
      <c r="D17707" s="326"/>
      <c r="E17707" s="326"/>
      <c r="F17707" s="326"/>
      <c r="G17707" s="326"/>
      <c r="H17707" s="326"/>
      <c r="P17707" s="318"/>
      <c r="Q17707" s="318"/>
      <c r="R17707" s="318"/>
      <c r="S17707" s="318"/>
      <c r="T17707" s="318"/>
      <c r="U17707" s="318"/>
      <c r="V17707" s="318"/>
      <c r="W17707" s="318"/>
      <c r="X17707" s="318"/>
      <c r="Y17707" s="318"/>
      <c r="Z17707" s="318"/>
      <c r="AA17707" s="318"/>
      <c r="AB17707" s="318"/>
      <c r="AC17707" s="318"/>
      <c r="AD17707" s="318"/>
    </row>
    <row r="17708" spans="2:30" s="323" customFormat="1" ht="12" customHeight="1">
      <c r="B17708" s="324"/>
      <c r="C17708" s="325"/>
      <c r="D17708" s="326"/>
      <c r="E17708" s="326"/>
      <c r="F17708" s="326"/>
      <c r="G17708" s="326"/>
      <c r="H17708" s="326"/>
      <c r="P17708" s="318"/>
      <c r="Q17708" s="318"/>
      <c r="R17708" s="318"/>
      <c r="S17708" s="318"/>
      <c r="T17708" s="318"/>
      <c r="U17708" s="318"/>
      <c r="V17708" s="318"/>
      <c r="W17708" s="318"/>
      <c r="X17708" s="318"/>
      <c r="Y17708" s="318"/>
      <c r="Z17708" s="318"/>
      <c r="AA17708" s="318"/>
      <c r="AB17708" s="318"/>
      <c r="AC17708" s="318"/>
      <c r="AD17708" s="318"/>
    </row>
    <row r="17709" spans="2:30" s="323" customFormat="1" ht="12" customHeight="1">
      <c r="B17709" s="324"/>
      <c r="C17709" s="325"/>
      <c r="D17709" s="326"/>
      <c r="E17709" s="326"/>
      <c r="F17709" s="326"/>
      <c r="G17709" s="326"/>
      <c r="H17709" s="326"/>
      <c r="P17709" s="318"/>
      <c r="Q17709" s="318"/>
      <c r="R17709" s="318"/>
      <c r="S17709" s="318"/>
      <c r="T17709" s="318"/>
      <c r="U17709" s="318"/>
      <c r="V17709" s="318"/>
      <c r="W17709" s="318"/>
      <c r="X17709" s="318"/>
      <c r="Y17709" s="318"/>
      <c r="Z17709" s="318"/>
      <c r="AA17709" s="318"/>
      <c r="AB17709" s="318"/>
      <c r="AC17709" s="318"/>
      <c r="AD17709" s="318"/>
    </row>
    <row r="17710" spans="2:30" s="323" customFormat="1" ht="12" customHeight="1">
      <c r="B17710" s="324"/>
      <c r="C17710" s="325"/>
      <c r="D17710" s="326"/>
      <c r="E17710" s="326"/>
      <c r="F17710" s="326"/>
      <c r="G17710" s="326"/>
      <c r="H17710" s="326"/>
      <c r="P17710" s="318"/>
      <c r="Q17710" s="318"/>
      <c r="R17710" s="318"/>
      <c r="S17710" s="318"/>
      <c r="T17710" s="318"/>
      <c r="U17710" s="318"/>
      <c r="V17710" s="318"/>
      <c r="W17710" s="318"/>
      <c r="X17710" s="318"/>
      <c r="Y17710" s="318"/>
      <c r="Z17710" s="318"/>
      <c r="AA17710" s="318"/>
      <c r="AB17710" s="318"/>
      <c r="AC17710" s="318"/>
      <c r="AD17710" s="318"/>
    </row>
    <row r="17711" spans="2:30" s="323" customFormat="1" ht="12" customHeight="1">
      <c r="B17711" s="324"/>
      <c r="C17711" s="325"/>
      <c r="D17711" s="326"/>
      <c r="E17711" s="326"/>
      <c r="F17711" s="326"/>
      <c r="G17711" s="326"/>
      <c r="H17711" s="326"/>
      <c r="P17711" s="318"/>
      <c r="Q17711" s="318"/>
      <c r="R17711" s="318"/>
      <c r="S17711" s="318"/>
      <c r="T17711" s="318"/>
      <c r="U17711" s="318"/>
      <c r="V17711" s="318"/>
      <c r="W17711" s="318"/>
      <c r="X17711" s="318"/>
      <c r="Y17711" s="318"/>
      <c r="Z17711" s="318"/>
      <c r="AA17711" s="318"/>
      <c r="AB17711" s="318"/>
      <c r="AC17711" s="318"/>
      <c r="AD17711" s="318"/>
    </row>
    <row r="17712" spans="2:30" s="323" customFormat="1" ht="12" customHeight="1">
      <c r="B17712" s="324"/>
      <c r="C17712" s="325"/>
      <c r="D17712" s="326"/>
      <c r="E17712" s="326"/>
      <c r="F17712" s="326"/>
      <c r="G17712" s="326"/>
      <c r="H17712" s="326"/>
      <c r="P17712" s="318"/>
      <c r="Q17712" s="318"/>
      <c r="R17712" s="318"/>
      <c r="S17712" s="318"/>
      <c r="T17712" s="318"/>
      <c r="U17712" s="318"/>
      <c r="V17712" s="318"/>
      <c r="W17712" s="318"/>
      <c r="X17712" s="318"/>
      <c r="Y17712" s="318"/>
      <c r="Z17712" s="318"/>
      <c r="AA17712" s="318"/>
      <c r="AB17712" s="318"/>
      <c r="AC17712" s="318"/>
      <c r="AD17712" s="318"/>
    </row>
    <row r="17713" spans="2:30" s="323" customFormat="1" ht="12" customHeight="1">
      <c r="B17713" s="324"/>
      <c r="C17713" s="325"/>
      <c r="D17713" s="326"/>
      <c r="E17713" s="326"/>
      <c r="F17713" s="326"/>
      <c r="G17713" s="326"/>
      <c r="H17713" s="326"/>
      <c r="P17713" s="318"/>
      <c r="Q17713" s="318"/>
      <c r="R17713" s="318"/>
      <c r="S17713" s="318"/>
      <c r="T17713" s="318"/>
      <c r="U17713" s="318"/>
      <c r="V17713" s="318"/>
      <c r="W17713" s="318"/>
      <c r="X17713" s="318"/>
      <c r="Y17713" s="318"/>
      <c r="Z17713" s="318"/>
      <c r="AA17713" s="318"/>
      <c r="AB17713" s="318"/>
      <c r="AC17713" s="318"/>
      <c r="AD17713" s="318"/>
    </row>
    <row r="17714" spans="2:30" s="323" customFormat="1" ht="12" customHeight="1">
      <c r="B17714" s="324"/>
      <c r="C17714" s="325"/>
      <c r="D17714" s="326"/>
      <c r="E17714" s="326"/>
      <c r="F17714" s="326"/>
      <c r="G17714" s="326"/>
      <c r="H17714" s="326"/>
      <c r="P17714" s="318"/>
      <c r="Q17714" s="318"/>
      <c r="R17714" s="318"/>
      <c r="S17714" s="318"/>
      <c r="T17714" s="318"/>
      <c r="U17714" s="318"/>
      <c r="V17714" s="318"/>
      <c r="W17714" s="318"/>
      <c r="X17714" s="318"/>
      <c r="Y17714" s="318"/>
      <c r="Z17714" s="318"/>
      <c r="AA17714" s="318"/>
      <c r="AB17714" s="318"/>
      <c r="AC17714" s="318"/>
      <c r="AD17714" s="318"/>
    </row>
    <row r="17715" spans="2:30" s="323" customFormat="1" ht="12" customHeight="1">
      <c r="B17715" s="324"/>
      <c r="C17715" s="325"/>
      <c r="D17715" s="326"/>
      <c r="E17715" s="326"/>
      <c r="F17715" s="326"/>
      <c r="G17715" s="326"/>
      <c r="H17715" s="326"/>
      <c r="P17715" s="318"/>
      <c r="Q17715" s="318"/>
      <c r="R17715" s="318"/>
      <c r="S17715" s="318"/>
      <c r="T17715" s="318"/>
      <c r="U17715" s="318"/>
      <c r="V17715" s="318"/>
      <c r="W17715" s="318"/>
      <c r="X17715" s="318"/>
      <c r="Y17715" s="318"/>
      <c r="Z17715" s="318"/>
      <c r="AA17715" s="318"/>
      <c r="AB17715" s="318"/>
      <c r="AC17715" s="318"/>
      <c r="AD17715" s="318"/>
    </row>
    <row r="17716" spans="2:30" s="323" customFormat="1" ht="12" customHeight="1">
      <c r="B17716" s="324"/>
      <c r="C17716" s="325"/>
      <c r="D17716" s="326"/>
      <c r="E17716" s="326"/>
      <c r="F17716" s="326"/>
      <c r="G17716" s="326"/>
      <c r="H17716" s="326"/>
      <c r="P17716" s="318"/>
      <c r="Q17716" s="318"/>
      <c r="R17716" s="318"/>
      <c r="S17716" s="318"/>
      <c r="T17716" s="318"/>
      <c r="U17716" s="318"/>
      <c r="V17716" s="318"/>
      <c r="W17716" s="318"/>
      <c r="X17716" s="318"/>
      <c r="Y17716" s="318"/>
      <c r="Z17716" s="318"/>
      <c r="AA17716" s="318"/>
      <c r="AB17716" s="318"/>
      <c r="AC17716" s="318"/>
      <c r="AD17716" s="318"/>
    </row>
    <row r="17717" spans="2:30" s="323" customFormat="1" ht="12" customHeight="1">
      <c r="B17717" s="324"/>
      <c r="C17717" s="325"/>
      <c r="D17717" s="326"/>
      <c r="E17717" s="326"/>
      <c r="F17717" s="326"/>
      <c r="G17717" s="326"/>
      <c r="H17717" s="326"/>
      <c r="P17717" s="318"/>
      <c r="Q17717" s="318"/>
      <c r="R17717" s="318"/>
      <c r="S17717" s="318"/>
      <c r="T17717" s="318"/>
      <c r="U17717" s="318"/>
      <c r="V17717" s="318"/>
      <c r="W17717" s="318"/>
      <c r="X17717" s="318"/>
      <c r="Y17717" s="318"/>
      <c r="Z17717" s="318"/>
      <c r="AA17717" s="318"/>
      <c r="AB17717" s="318"/>
      <c r="AC17717" s="318"/>
      <c r="AD17717" s="318"/>
    </row>
    <row r="17718" spans="2:30" s="323" customFormat="1" ht="12" customHeight="1">
      <c r="B17718" s="324"/>
      <c r="C17718" s="325"/>
      <c r="D17718" s="326"/>
      <c r="E17718" s="326"/>
      <c r="F17718" s="326"/>
      <c r="G17718" s="326"/>
      <c r="H17718" s="326"/>
      <c r="P17718" s="318"/>
      <c r="Q17718" s="318"/>
      <c r="R17718" s="318"/>
      <c r="S17718" s="318"/>
      <c r="T17718" s="318"/>
      <c r="U17718" s="318"/>
      <c r="V17718" s="318"/>
      <c r="W17718" s="318"/>
      <c r="X17718" s="318"/>
      <c r="Y17718" s="318"/>
      <c r="Z17718" s="318"/>
      <c r="AA17718" s="318"/>
      <c r="AB17718" s="318"/>
      <c r="AC17718" s="318"/>
      <c r="AD17718" s="318"/>
    </row>
    <row r="17719" spans="2:30" s="323" customFormat="1" ht="12" customHeight="1">
      <c r="B17719" s="324"/>
      <c r="C17719" s="325"/>
      <c r="D17719" s="326"/>
      <c r="E17719" s="326"/>
      <c r="F17719" s="326"/>
      <c r="G17719" s="326"/>
      <c r="H17719" s="326"/>
      <c r="P17719" s="318"/>
      <c r="Q17719" s="318"/>
      <c r="R17719" s="318"/>
      <c r="S17719" s="318"/>
      <c r="T17719" s="318"/>
      <c r="U17719" s="318"/>
      <c r="V17719" s="318"/>
      <c r="W17719" s="318"/>
      <c r="X17719" s="318"/>
      <c r="Y17719" s="318"/>
      <c r="Z17719" s="318"/>
      <c r="AA17719" s="318"/>
      <c r="AB17719" s="318"/>
      <c r="AC17719" s="318"/>
      <c r="AD17719" s="318"/>
    </row>
    <row r="17720" spans="2:30" s="323" customFormat="1" ht="12" customHeight="1">
      <c r="B17720" s="324"/>
      <c r="C17720" s="325"/>
      <c r="D17720" s="326"/>
      <c r="E17720" s="326"/>
      <c r="F17720" s="326"/>
      <c r="G17720" s="326"/>
      <c r="H17720" s="326"/>
      <c r="P17720" s="318"/>
      <c r="Q17720" s="318"/>
      <c r="R17720" s="318"/>
      <c r="S17720" s="318"/>
      <c r="T17720" s="318"/>
      <c r="U17720" s="318"/>
      <c r="V17720" s="318"/>
      <c r="W17720" s="318"/>
      <c r="X17720" s="318"/>
      <c r="Y17720" s="318"/>
      <c r="Z17720" s="318"/>
      <c r="AA17720" s="318"/>
      <c r="AB17720" s="318"/>
      <c r="AC17720" s="318"/>
      <c r="AD17720" s="318"/>
    </row>
    <row r="17721" spans="2:30" s="323" customFormat="1" ht="12" customHeight="1">
      <c r="B17721" s="324"/>
      <c r="C17721" s="325"/>
      <c r="D17721" s="326"/>
      <c r="E17721" s="326"/>
      <c r="F17721" s="326"/>
      <c r="G17721" s="326"/>
      <c r="H17721" s="326"/>
      <c r="P17721" s="318"/>
      <c r="Q17721" s="318"/>
      <c r="R17721" s="318"/>
      <c r="S17721" s="318"/>
      <c r="T17721" s="318"/>
      <c r="U17721" s="318"/>
      <c r="V17721" s="318"/>
      <c r="W17721" s="318"/>
      <c r="X17721" s="318"/>
      <c r="Y17721" s="318"/>
      <c r="Z17721" s="318"/>
      <c r="AA17721" s="318"/>
      <c r="AB17721" s="318"/>
      <c r="AC17721" s="318"/>
      <c r="AD17721" s="318"/>
    </row>
    <row r="17722" spans="2:30" s="323" customFormat="1" ht="12" customHeight="1">
      <c r="B17722" s="324"/>
      <c r="C17722" s="325"/>
      <c r="D17722" s="326"/>
      <c r="E17722" s="326"/>
      <c r="F17722" s="326"/>
      <c r="G17722" s="326"/>
      <c r="H17722" s="326"/>
      <c r="P17722" s="318"/>
      <c r="Q17722" s="318"/>
      <c r="R17722" s="318"/>
      <c r="S17722" s="318"/>
      <c r="T17722" s="318"/>
      <c r="U17722" s="318"/>
      <c r="V17722" s="318"/>
      <c r="W17722" s="318"/>
      <c r="X17722" s="318"/>
      <c r="Y17722" s="318"/>
      <c r="Z17722" s="318"/>
      <c r="AA17722" s="318"/>
      <c r="AB17722" s="318"/>
      <c r="AC17722" s="318"/>
      <c r="AD17722" s="318"/>
    </row>
    <row r="17723" spans="2:30" s="323" customFormat="1" ht="12" customHeight="1">
      <c r="B17723" s="324"/>
      <c r="C17723" s="325"/>
      <c r="D17723" s="326"/>
      <c r="E17723" s="326"/>
      <c r="F17723" s="326"/>
      <c r="G17723" s="326"/>
      <c r="H17723" s="326"/>
      <c r="P17723" s="318"/>
      <c r="Q17723" s="318"/>
      <c r="R17723" s="318"/>
      <c r="S17723" s="318"/>
      <c r="T17723" s="318"/>
      <c r="U17723" s="318"/>
      <c r="V17723" s="318"/>
      <c r="W17723" s="318"/>
      <c r="X17723" s="318"/>
      <c r="Y17723" s="318"/>
      <c r="Z17723" s="318"/>
      <c r="AA17723" s="318"/>
      <c r="AB17723" s="318"/>
      <c r="AC17723" s="318"/>
      <c r="AD17723" s="318"/>
    </row>
    <row r="17724" spans="2:30" s="323" customFormat="1" ht="12" customHeight="1">
      <c r="B17724" s="324"/>
      <c r="C17724" s="325"/>
      <c r="D17724" s="326"/>
      <c r="E17724" s="326"/>
      <c r="F17724" s="326"/>
      <c r="G17724" s="326"/>
      <c r="H17724" s="326"/>
      <c r="P17724" s="318"/>
      <c r="Q17724" s="318"/>
      <c r="R17724" s="318"/>
      <c r="S17724" s="318"/>
      <c r="T17724" s="318"/>
      <c r="U17724" s="318"/>
      <c r="V17724" s="318"/>
      <c r="W17724" s="318"/>
      <c r="X17724" s="318"/>
      <c r="Y17724" s="318"/>
      <c r="Z17724" s="318"/>
      <c r="AA17724" s="318"/>
      <c r="AB17724" s="318"/>
      <c r="AC17724" s="318"/>
      <c r="AD17724" s="318"/>
    </row>
    <row r="17725" spans="2:30" s="323" customFormat="1" ht="12" customHeight="1">
      <c r="B17725" s="324"/>
      <c r="C17725" s="325"/>
      <c r="D17725" s="326"/>
      <c r="E17725" s="326"/>
      <c r="F17725" s="326"/>
      <c r="G17725" s="326"/>
      <c r="H17725" s="326"/>
      <c r="P17725" s="318"/>
      <c r="Q17725" s="318"/>
      <c r="R17725" s="318"/>
      <c r="S17725" s="318"/>
      <c r="T17725" s="318"/>
      <c r="U17725" s="318"/>
      <c r="V17725" s="318"/>
      <c r="W17725" s="318"/>
      <c r="X17725" s="318"/>
      <c r="Y17725" s="318"/>
      <c r="Z17725" s="318"/>
      <c r="AA17725" s="318"/>
      <c r="AB17725" s="318"/>
      <c r="AC17725" s="318"/>
      <c r="AD17725" s="318"/>
    </row>
    <row r="17726" spans="2:30" s="323" customFormat="1" ht="12" customHeight="1">
      <c r="B17726" s="324"/>
      <c r="C17726" s="325"/>
      <c r="D17726" s="326"/>
      <c r="E17726" s="326"/>
      <c r="F17726" s="326"/>
      <c r="G17726" s="326"/>
      <c r="H17726" s="326"/>
      <c r="P17726" s="318"/>
      <c r="Q17726" s="318"/>
      <c r="R17726" s="318"/>
      <c r="S17726" s="318"/>
      <c r="T17726" s="318"/>
      <c r="U17726" s="318"/>
      <c r="V17726" s="318"/>
      <c r="W17726" s="318"/>
      <c r="X17726" s="318"/>
      <c r="Y17726" s="318"/>
      <c r="Z17726" s="318"/>
      <c r="AA17726" s="318"/>
      <c r="AB17726" s="318"/>
      <c r="AC17726" s="318"/>
      <c r="AD17726" s="318"/>
    </row>
    <row r="17727" spans="2:30" s="323" customFormat="1" ht="12" customHeight="1">
      <c r="B17727" s="324"/>
      <c r="C17727" s="325"/>
      <c r="D17727" s="326"/>
      <c r="E17727" s="326"/>
      <c r="F17727" s="326"/>
      <c r="G17727" s="326"/>
      <c r="H17727" s="326"/>
      <c r="P17727" s="318"/>
      <c r="Q17727" s="318"/>
      <c r="R17727" s="318"/>
      <c r="S17727" s="318"/>
      <c r="T17727" s="318"/>
      <c r="U17727" s="318"/>
      <c r="V17727" s="318"/>
      <c r="W17727" s="318"/>
      <c r="X17727" s="318"/>
      <c r="Y17727" s="318"/>
      <c r="Z17727" s="318"/>
      <c r="AA17727" s="318"/>
      <c r="AB17727" s="318"/>
      <c r="AC17727" s="318"/>
      <c r="AD17727" s="318"/>
    </row>
    <row r="17728" spans="2:30" s="323" customFormat="1" ht="12" customHeight="1">
      <c r="B17728" s="324"/>
      <c r="C17728" s="325"/>
      <c r="D17728" s="326"/>
      <c r="E17728" s="326"/>
      <c r="F17728" s="326"/>
      <c r="G17728" s="326"/>
      <c r="H17728" s="326"/>
      <c r="P17728" s="318"/>
      <c r="Q17728" s="318"/>
      <c r="R17728" s="318"/>
      <c r="S17728" s="318"/>
      <c r="T17728" s="318"/>
      <c r="U17728" s="318"/>
      <c r="V17728" s="318"/>
      <c r="W17728" s="318"/>
      <c r="X17728" s="318"/>
      <c r="Y17728" s="318"/>
      <c r="Z17728" s="318"/>
      <c r="AA17728" s="318"/>
      <c r="AB17728" s="318"/>
      <c r="AC17728" s="318"/>
      <c r="AD17728" s="318"/>
    </row>
    <row r="17729" spans="2:30" s="323" customFormat="1" ht="12" customHeight="1">
      <c r="B17729" s="324"/>
      <c r="C17729" s="325"/>
      <c r="D17729" s="326"/>
      <c r="E17729" s="326"/>
      <c r="F17729" s="326"/>
      <c r="G17729" s="326"/>
      <c r="H17729" s="326"/>
      <c r="P17729" s="318"/>
      <c r="Q17729" s="318"/>
      <c r="R17729" s="318"/>
      <c r="S17729" s="318"/>
      <c r="T17729" s="318"/>
      <c r="U17729" s="318"/>
      <c r="V17729" s="318"/>
      <c r="W17729" s="318"/>
      <c r="X17729" s="318"/>
      <c r="Y17729" s="318"/>
      <c r="Z17729" s="318"/>
      <c r="AA17729" s="318"/>
      <c r="AB17729" s="318"/>
      <c r="AC17729" s="318"/>
      <c r="AD17729" s="318"/>
    </row>
    <row r="17730" spans="2:30" s="323" customFormat="1" ht="12" customHeight="1">
      <c r="B17730" s="324"/>
      <c r="C17730" s="325"/>
      <c r="D17730" s="326"/>
      <c r="E17730" s="326"/>
      <c r="F17730" s="326"/>
      <c r="G17730" s="326"/>
      <c r="H17730" s="326"/>
      <c r="P17730" s="318"/>
      <c r="Q17730" s="318"/>
      <c r="R17730" s="318"/>
      <c r="S17730" s="318"/>
      <c r="T17730" s="318"/>
      <c r="U17730" s="318"/>
      <c r="V17730" s="318"/>
      <c r="W17730" s="318"/>
      <c r="X17730" s="318"/>
      <c r="Y17730" s="318"/>
      <c r="Z17730" s="318"/>
      <c r="AA17730" s="318"/>
      <c r="AB17730" s="318"/>
      <c r="AC17730" s="318"/>
      <c r="AD17730" s="318"/>
    </row>
    <row r="17731" spans="2:30" s="323" customFormat="1" ht="12" customHeight="1">
      <c r="B17731" s="324"/>
      <c r="C17731" s="325"/>
      <c r="D17731" s="326"/>
      <c r="E17731" s="326"/>
      <c r="F17731" s="326"/>
      <c r="G17731" s="326"/>
      <c r="H17731" s="326"/>
      <c r="P17731" s="318"/>
      <c r="Q17731" s="318"/>
      <c r="R17731" s="318"/>
      <c r="S17731" s="318"/>
      <c r="T17731" s="318"/>
      <c r="U17731" s="318"/>
      <c r="V17731" s="318"/>
      <c r="W17731" s="318"/>
      <c r="X17731" s="318"/>
      <c r="Y17731" s="318"/>
      <c r="Z17731" s="318"/>
      <c r="AA17731" s="318"/>
      <c r="AB17731" s="318"/>
      <c r="AC17731" s="318"/>
      <c r="AD17731" s="318"/>
    </row>
    <row r="17732" spans="2:30" s="323" customFormat="1" ht="12" customHeight="1">
      <c r="B17732" s="324"/>
      <c r="C17732" s="325"/>
      <c r="D17732" s="326"/>
      <c r="E17732" s="326"/>
      <c r="F17732" s="326"/>
      <c r="G17732" s="326"/>
      <c r="H17732" s="326"/>
      <c r="P17732" s="318"/>
      <c r="Q17732" s="318"/>
      <c r="R17732" s="318"/>
      <c r="S17732" s="318"/>
      <c r="T17732" s="318"/>
      <c r="U17732" s="318"/>
      <c r="V17732" s="318"/>
      <c r="W17732" s="318"/>
      <c r="X17732" s="318"/>
      <c r="Y17732" s="318"/>
      <c r="Z17732" s="318"/>
      <c r="AA17732" s="318"/>
      <c r="AB17732" s="318"/>
      <c r="AC17732" s="318"/>
      <c r="AD17732" s="318"/>
    </row>
    <row r="17733" spans="2:30" s="323" customFormat="1" ht="12" customHeight="1">
      <c r="B17733" s="324"/>
      <c r="C17733" s="325"/>
      <c r="D17733" s="326"/>
      <c r="E17733" s="326"/>
      <c r="F17733" s="326"/>
      <c r="G17733" s="326"/>
      <c r="H17733" s="326"/>
      <c r="P17733" s="318"/>
      <c r="Q17733" s="318"/>
      <c r="R17733" s="318"/>
      <c r="S17733" s="318"/>
      <c r="T17733" s="318"/>
      <c r="U17733" s="318"/>
      <c r="V17733" s="318"/>
      <c r="W17733" s="318"/>
      <c r="X17733" s="318"/>
      <c r="Y17733" s="318"/>
      <c r="Z17733" s="318"/>
      <c r="AA17733" s="318"/>
      <c r="AB17733" s="318"/>
      <c r="AC17733" s="318"/>
      <c r="AD17733" s="318"/>
    </row>
    <row r="17734" spans="2:30" s="323" customFormat="1" ht="12" customHeight="1">
      <c r="B17734" s="324"/>
      <c r="C17734" s="325"/>
      <c r="D17734" s="326"/>
      <c r="E17734" s="326"/>
      <c r="F17734" s="326"/>
      <c r="G17734" s="326"/>
      <c r="H17734" s="326"/>
      <c r="P17734" s="318"/>
      <c r="Q17734" s="318"/>
      <c r="R17734" s="318"/>
      <c r="S17734" s="318"/>
      <c r="T17734" s="318"/>
      <c r="U17734" s="318"/>
      <c r="V17734" s="318"/>
      <c r="W17734" s="318"/>
      <c r="X17734" s="318"/>
      <c r="Y17734" s="318"/>
      <c r="Z17734" s="318"/>
      <c r="AA17734" s="318"/>
      <c r="AB17734" s="318"/>
      <c r="AC17734" s="318"/>
      <c r="AD17734" s="318"/>
    </row>
    <row r="17735" spans="2:30" s="323" customFormat="1" ht="12" customHeight="1">
      <c r="B17735" s="324"/>
      <c r="C17735" s="325"/>
      <c r="D17735" s="326"/>
      <c r="E17735" s="326"/>
      <c r="F17735" s="326"/>
      <c r="G17735" s="326"/>
      <c r="H17735" s="326"/>
      <c r="P17735" s="318"/>
      <c r="Q17735" s="318"/>
      <c r="R17735" s="318"/>
      <c r="S17735" s="318"/>
      <c r="T17735" s="318"/>
      <c r="U17735" s="318"/>
      <c r="V17735" s="318"/>
      <c r="W17735" s="318"/>
      <c r="X17735" s="318"/>
      <c r="Y17735" s="318"/>
      <c r="Z17735" s="318"/>
      <c r="AA17735" s="318"/>
      <c r="AB17735" s="318"/>
      <c r="AC17735" s="318"/>
      <c r="AD17735" s="318"/>
    </row>
    <row r="17736" spans="2:30" s="323" customFormat="1" ht="12" customHeight="1">
      <c r="B17736" s="324"/>
      <c r="C17736" s="325"/>
      <c r="D17736" s="326"/>
      <c r="E17736" s="326"/>
      <c r="F17736" s="326"/>
      <c r="G17736" s="326"/>
      <c r="H17736" s="326"/>
      <c r="P17736" s="318"/>
      <c r="Q17736" s="318"/>
      <c r="R17736" s="318"/>
      <c r="S17736" s="318"/>
      <c r="T17736" s="318"/>
      <c r="U17736" s="318"/>
      <c r="V17736" s="318"/>
      <c r="W17736" s="318"/>
      <c r="X17736" s="318"/>
      <c r="Y17736" s="318"/>
      <c r="Z17736" s="318"/>
      <c r="AA17736" s="318"/>
      <c r="AB17736" s="318"/>
      <c r="AC17736" s="318"/>
      <c r="AD17736" s="318"/>
    </row>
    <row r="17737" spans="2:30" s="323" customFormat="1" ht="12" customHeight="1">
      <c r="B17737" s="324"/>
      <c r="C17737" s="325"/>
      <c r="D17737" s="326"/>
      <c r="E17737" s="326"/>
      <c r="F17737" s="326"/>
      <c r="G17737" s="326"/>
      <c r="H17737" s="326"/>
      <c r="P17737" s="318"/>
      <c r="Q17737" s="318"/>
      <c r="R17737" s="318"/>
      <c r="S17737" s="318"/>
      <c r="T17737" s="318"/>
      <c r="U17737" s="318"/>
      <c r="V17737" s="318"/>
      <c r="W17737" s="318"/>
      <c r="X17737" s="318"/>
      <c r="Y17737" s="318"/>
      <c r="Z17737" s="318"/>
      <c r="AA17737" s="318"/>
      <c r="AB17737" s="318"/>
      <c r="AC17737" s="318"/>
      <c r="AD17737" s="318"/>
    </row>
    <row r="17738" spans="2:30" s="323" customFormat="1" ht="12" customHeight="1">
      <c r="B17738" s="324"/>
      <c r="C17738" s="325"/>
      <c r="D17738" s="326"/>
      <c r="E17738" s="326"/>
      <c r="F17738" s="326"/>
      <c r="G17738" s="326"/>
      <c r="H17738" s="326"/>
      <c r="P17738" s="318"/>
      <c r="Q17738" s="318"/>
      <c r="R17738" s="318"/>
      <c r="S17738" s="318"/>
      <c r="T17738" s="318"/>
      <c r="U17738" s="318"/>
      <c r="V17738" s="318"/>
      <c r="W17738" s="318"/>
      <c r="X17738" s="318"/>
      <c r="Y17738" s="318"/>
      <c r="Z17738" s="318"/>
      <c r="AA17738" s="318"/>
      <c r="AB17738" s="318"/>
      <c r="AC17738" s="318"/>
      <c r="AD17738" s="318"/>
    </row>
    <row r="17739" spans="2:30" s="323" customFormat="1" ht="12" customHeight="1">
      <c r="B17739" s="324"/>
      <c r="C17739" s="325"/>
      <c r="D17739" s="326"/>
      <c r="E17739" s="326"/>
      <c r="F17739" s="326"/>
      <c r="G17739" s="326"/>
      <c r="H17739" s="326"/>
      <c r="P17739" s="318"/>
      <c r="Q17739" s="318"/>
      <c r="R17739" s="318"/>
      <c r="S17739" s="318"/>
      <c r="T17739" s="318"/>
      <c r="U17739" s="318"/>
      <c r="V17739" s="318"/>
      <c r="W17739" s="318"/>
      <c r="X17739" s="318"/>
      <c r="Y17739" s="318"/>
      <c r="Z17739" s="318"/>
      <c r="AA17739" s="318"/>
      <c r="AB17739" s="318"/>
      <c r="AC17739" s="318"/>
      <c r="AD17739" s="318"/>
    </row>
    <row r="17740" spans="2:30" s="323" customFormat="1" ht="12" customHeight="1">
      <c r="B17740" s="324"/>
      <c r="C17740" s="325"/>
      <c r="D17740" s="326"/>
      <c r="E17740" s="326"/>
      <c r="F17740" s="326"/>
      <c r="G17740" s="326"/>
      <c r="H17740" s="326"/>
      <c r="P17740" s="318"/>
      <c r="Q17740" s="318"/>
      <c r="R17740" s="318"/>
      <c r="S17740" s="318"/>
      <c r="T17740" s="318"/>
      <c r="U17740" s="318"/>
      <c r="V17740" s="318"/>
      <c r="W17740" s="318"/>
      <c r="X17740" s="318"/>
      <c r="Y17740" s="318"/>
      <c r="Z17740" s="318"/>
      <c r="AA17740" s="318"/>
      <c r="AB17740" s="318"/>
      <c r="AC17740" s="318"/>
      <c r="AD17740" s="318"/>
    </row>
    <row r="17741" spans="2:30" s="323" customFormat="1" ht="12" customHeight="1">
      <c r="B17741" s="324"/>
      <c r="C17741" s="325"/>
      <c r="D17741" s="326"/>
      <c r="E17741" s="326"/>
      <c r="F17741" s="326"/>
      <c r="G17741" s="326"/>
      <c r="H17741" s="326"/>
      <c r="P17741" s="318"/>
      <c r="Q17741" s="318"/>
      <c r="R17741" s="318"/>
      <c r="S17741" s="318"/>
      <c r="T17741" s="318"/>
      <c r="U17741" s="318"/>
      <c r="V17741" s="318"/>
      <c r="W17741" s="318"/>
      <c r="X17741" s="318"/>
      <c r="Y17741" s="318"/>
      <c r="Z17741" s="318"/>
      <c r="AA17741" s="318"/>
      <c r="AB17741" s="318"/>
      <c r="AC17741" s="318"/>
      <c r="AD17741" s="318"/>
    </row>
    <row r="17742" spans="2:30" s="323" customFormat="1" ht="12" customHeight="1">
      <c r="B17742" s="324"/>
      <c r="C17742" s="325"/>
      <c r="D17742" s="326"/>
      <c r="E17742" s="326"/>
      <c r="F17742" s="326"/>
      <c r="G17742" s="326"/>
      <c r="H17742" s="326"/>
      <c r="P17742" s="318"/>
      <c r="Q17742" s="318"/>
      <c r="R17742" s="318"/>
      <c r="S17742" s="318"/>
      <c r="T17742" s="318"/>
      <c r="U17742" s="318"/>
      <c r="V17742" s="318"/>
      <c r="W17742" s="318"/>
      <c r="X17742" s="318"/>
      <c r="Y17742" s="318"/>
      <c r="Z17742" s="318"/>
      <c r="AA17742" s="318"/>
      <c r="AB17742" s="318"/>
      <c r="AC17742" s="318"/>
      <c r="AD17742" s="318"/>
    </row>
    <row r="17743" spans="2:30" s="323" customFormat="1" ht="12" customHeight="1">
      <c r="B17743" s="324"/>
      <c r="C17743" s="325"/>
      <c r="D17743" s="326"/>
      <c r="E17743" s="326"/>
      <c r="F17743" s="326"/>
      <c r="G17743" s="326"/>
      <c r="H17743" s="326"/>
      <c r="P17743" s="318"/>
      <c r="Q17743" s="318"/>
      <c r="R17743" s="318"/>
      <c r="S17743" s="318"/>
      <c r="T17743" s="318"/>
      <c r="U17743" s="318"/>
      <c r="V17743" s="318"/>
      <c r="W17743" s="318"/>
      <c r="X17743" s="318"/>
      <c r="Y17743" s="318"/>
      <c r="Z17743" s="318"/>
      <c r="AA17743" s="318"/>
      <c r="AB17743" s="318"/>
      <c r="AC17743" s="318"/>
      <c r="AD17743" s="318"/>
    </row>
    <row r="17744" spans="2:30" s="323" customFormat="1" ht="12" customHeight="1">
      <c r="B17744" s="324"/>
      <c r="C17744" s="325"/>
      <c r="D17744" s="326"/>
      <c r="E17744" s="326"/>
      <c r="F17744" s="326"/>
      <c r="G17744" s="326"/>
      <c r="H17744" s="326"/>
      <c r="P17744" s="318"/>
      <c r="Q17744" s="318"/>
      <c r="R17744" s="318"/>
      <c r="S17744" s="318"/>
      <c r="T17744" s="318"/>
      <c r="U17744" s="318"/>
      <c r="V17744" s="318"/>
      <c r="W17744" s="318"/>
      <c r="X17744" s="318"/>
      <c r="Y17744" s="318"/>
      <c r="Z17744" s="318"/>
      <c r="AA17744" s="318"/>
      <c r="AB17744" s="318"/>
      <c r="AC17744" s="318"/>
      <c r="AD17744" s="318"/>
    </row>
    <row r="17745" spans="2:30" s="323" customFormat="1" ht="12" customHeight="1">
      <c r="B17745" s="324"/>
      <c r="C17745" s="325"/>
      <c r="D17745" s="326"/>
      <c r="E17745" s="326"/>
      <c r="F17745" s="326"/>
      <c r="G17745" s="326"/>
      <c r="H17745" s="326"/>
      <c r="P17745" s="318"/>
      <c r="Q17745" s="318"/>
      <c r="R17745" s="318"/>
      <c r="S17745" s="318"/>
      <c r="T17745" s="318"/>
      <c r="U17745" s="318"/>
      <c r="V17745" s="318"/>
      <c r="W17745" s="318"/>
      <c r="X17745" s="318"/>
      <c r="Y17745" s="318"/>
      <c r="Z17745" s="318"/>
      <c r="AA17745" s="318"/>
      <c r="AB17745" s="318"/>
      <c r="AC17745" s="318"/>
      <c r="AD17745" s="318"/>
    </row>
    <row r="17746" spans="2:30" s="323" customFormat="1" ht="12" customHeight="1">
      <c r="B17746" s="324"/>
      <c r="C17746" s="325"/>
      <c r="D17746" s="326"/>
      <c r="E17746" s="326"/>
      <c r="F17746" s="326"/>
      <c r="G17746" s="326"/>
      <c r="H17746" s="326"/>
      <c r="P17746" s="318"/>
      <c r="Q17746" s="318"/>
      <c r="R17746" s="318"/>
      <c r="S17746" s="318"/>
      <c r="T17746" s="318"/>
      <c r="U17746" s="318"/>
      <c r="V17746" s="318"/>
      <c r="W17746" s="318"/>
      <c r="X17746" s="318"/>
      <c r="Y17746" s="318"/>
      <c r="Z17746" s="318"/>
      <c r="AA17746" s="318"/>
      <c r="AB17746" s="318"/>
      <c r="AC17746" s="318"/>
      <c r="AD17746" s="318"/>
    </row>
    <row r="17747" spans="2:30" s="323" customFormat="1" ht="12" customHeight="1">
      <c r="B17747" s="324"/>
      <c r="C17747" s="325"/>
      <c r="D17747" s="326"/>
      <c r="E17747" s="326"/>
      <c r="F17747" s="326"/>
      <c r="G17747" s="326"/>
      <c r="H17747" s="326"/>
      <c r="P17747" s="318"/>
      <c r="Q17747" s="318"/>
      <c r="R17747" s="318"/>
      <c r="S17747" s="318"/>
      <c r="T17747" s="318"/>
      <c r="U17747" s="318"/>
      <c r="V17747" s="318"/>
      <c r="W17747" s="318"/>
      <c r="X17747" s="318"/>
      <c r="Y17747" s="318"/>
      <c r="Z17747" s="318"/>
      <c r="AA17747" s="318"/>
      <c r="AB17747" s="318"/>
      <c r="AC17747" s="318"/>
      <c r="AD17747" s="318"/>
    </row>
    <row r="17748" spans="2:30" s="323" customFormat="1" ht="12" customHeight="1">
      <c r="B17748" s="324"/>
      <c r="C17748" s="325"/>
      <c r="D17748" s="326"/>
      <c r="E17748" s="326"/>
      <c r="F17748" s="326"/>
      <c r="G17748" s="326"/>
      <c r="H17748" s="326"/>
      <c r="P17748" s="318"/>
      <c r="Q17748" s="318"/>
      <c r="R17748" s="318"/>
      <c r="S17748" s="318"/>
      <c r="T17748" s="318"/>
      <c r="U17748" s="318"/>
      <c r="V17748" s="318"/>
      <c r="W17748" s="318"/>
      <c r="X17748" s="318"/>
      <c r="Y17748" s="318"/>
      <c r="Z17748" s="318"/>
      <c r="AA17748" s="318"/>
      <c r="AB17748" s="318"/>
      <c r="AC17748" s="318"/>
      <c r="AD17748" s="318"/>
    </row>
    <row r="17749" spans="2:30" s="323" customFormat="1" ht="12" customHeight="1">
      <c r="B17749" s="324"/>
      <c r="C17749" s="325"/>
      <c r="D17749" s="326"/>
      <c r="E17749" s="326"/>
      <c r="F17749" s="326"/>
      <c r="G17749" s="326"/>
      <c r="H17749" s="326"/>
      <c r="P17749" s="318"/>
      <c r="Q17749" s="318"/>
      <c r="R17749" s="318"/>
      <c r="S17749" s="318"/>
      <c r="T17749" s="318"/>
      <c r="U17749" s="318"/>
      <c r="V17749" s="318"/>
      <c r="W17749" s="318"/>
      <c r="X17749" s="318"/>
      <c r="Y17749" s="318"/>
      <c r="Z17749" s="318"/>
      <c r="AA17749" s="318"/>
      <c r="AB17749" s="318"/>
      <c r="AC17749" s="318"/>
      <c r="AD17749" s="318"/>
    </row>
    <row r="17750" spans="2:30" s="323" customFormat="1" ht="12" customHeight="1">
      <c r="B17750" s="324"/>
      <c r="C17750" s="325"/>
      <c r="D17750" s="326"/>
      <c r="E17750" s="326"/>
      <c r="F17750" s="326"/>
      <c r="G17750" s="326"/>
      <c r="H17750" s="326"/>
      <c r="P17750" s="318"/>
      <c r="Q17750" s="318"/>
      <c r="R17750" s="318"/>
      <c r="S17750" s="318"/>
      <c r="T17750" s="318"/>
      <c r="U17750" s="318"/>
      <c r="V17750" s="318"/>
      <c r="W17750" s="318"/>
      <c r="X17750" s="318"/>
      <c r="Y17750" s="318"/>
      <c r="Z17750" s="318"/>
      <c r="AA17750" s="318"/>
      <c r="AB17750" s="318"/>
      <c r="AC17750" s="318"/>
      <c r="AD17750" s="318"/>
    </row>
    <row r="17751" spans="2:30" s="323" customFormat="1" ht="12" customHeight="1">
      <c r="B17751" s="324"/>
      <c r="C17751" s="325"/>
      <c r="D17751" s="326"/>
      <c r="E17751" s="326"/>
      <c r="F17751" s="326"/>
      <c r="G17751" s="326"/>
      <c r="H17751" s="326"/>
      <c r="P17751" s="318"/>
      <c r="Q17751" s="318"/>
      <c r="R17751" s="318"/>
      <c r="S17751" s="318"/>
      <c r="T17751" s="318"/>
      <c r="U17751" s="318"/>
      <c r="V17751" s="318"/>
      <c r="W17751" s="318"/>
      <c r="X17751" s="318"/>
      <c r="Y17751" s="318"/>
      <c r="Z17751" s="318"/>
      <c r="AA17751" s="318"/>
      <c r="AB17751" s="318"/>
      <c r="AC17751" s="318"/>
      <c r="AD17751" s="318"/>
    </row>
    <row r="17752" spans="2:30" s="323" customFormat="1" ht="12" customHeight="1">
      <c r="B17752" s="324"/>
      <c r="C17752" s="325"/>
      <c r="D17752" s="326"/>
      <c r="E17752" s="326"/>
      <c r="F17752" s="326"/>
      <c r="G17752" s="326"/>
      <c r="H17752" s="326"/>
      <c r="P17752" s="318"/>
      <c r="Q17752" s="318"/>
      <c r="R17752" s="318"/>
      <c r="S17752" s="318"/>
      <c r="T17752" s="318"/>
      <c r="U17752" s="318"/>
      <c r="V17752" s="318"/>
      <c r="W17752" s="318"/>
      <c r="X17752" s="318"/>
      <c r="Y17752" s="318"/>
      <c r="Z17752" s="318"/>
      <c r="AA17752" s="318"/>
      <c r="AB17752" s="318"/>
      <c r="AC17752" s="318"/>
      <c r="AD17752" s="318"/>
    </row>
    <row r="17753" spans="2:30" s="323" customFormat="1" ht="12" customHeight="1">
      <c r="B17753" s="324"/>
      <c r="C17753" s="325"/>
      <c r="D17753" s="326"/>
      <c r="E17753" s="326"/>
      <c r="F17753" s="326"/>
      <c r="G17753" s="326"/>
      <c r="H17753" s="326"/>
      <c r="P17753" s="318"/>
      <c r="Q17753" s="318"/>
      <c r="R17753" s="318"/>
      <c r="S17753" s="318"/>
      <c r="T17753" s="318"/>
      <c r="U17753" s="318"/>
      <c r="V17753" s="318"/>
      <c r="W17753" s="318"/>
      <c r="X17753" s="318"/>
      <c r="Y17753" s="318"/>
      <c r="Z17753" s="318"/>
      <c r="AA17753" s="318"/>
      <c r="AB17753" s="318"/>
      <c r="AC17753" s="318"/>
      <c r="AD17753" s="318"/>
    </row>
    <row r="17754" spans="2:30" s="323" customFormat="1" ht="12" customHeight="1">
      <c r="B17754" s="324"/>
      <c r="C17754" s="325"/>
      <c r="D17754" s="326"/>
      <c r="E17754" s="326"/>
      <c r="F17754" s="326"/>
      <c r="G17754" s="326"/>
      <c r="H17754" s="326"/>
      <c r="P17754" s="318"/>
      <c r="Q17754" s="318"/>
      <c r="R17754" s="318"/>
      <c r="S17754" s="318"/>
      <c r="T17754" s="318"/>
      <c r="U17754" s="318"/>
      <c r="V17754" s="318"/>
      <c r="W17754" s="318"/>
      <c r="X17754" s="318"/>
      <c r="Y17754" s="318"/>
      <c r="Z17754" s="318"/>
      <c r="AA17754" s="318"/>
      <c r="AB17754" s="318"/>
      <c r="AC17754" s="318"/>
      <c r="AD17754" s="318"/>
    </row>
    <row r="17755" spans="2:30" s="323" customFormat="1" ht="12" customHeight="1">
      <c r="B17755" s="324"/>
      <c r="C17755" s="325"/>
      <c r="D17755" s="326"/>
      <c r="E17755" s="326"/>
      <c r="F17755" s="326"/>
      <c r="G17755" s="326"/>
      <c r="H17755" s="326"/>
      <c r="P17755" s="318"/>
      <c r="Q17755" s="318"/>
      <c r="R17755" s="318"/>
      <c r="S17755" s="318"/>
      <c r="T17755" s="318"/>
      <c r="U17755" s="318"/>
      <c r="V17755" s="318"/>
      <c r="W17755" s="318"/>
      <c r="X17755" s="318"/>
      <c r="Y17755" s="318"/>
      <c r="Z17755" s="318"/>
      <c r="AA17755" s="318"/>
      <c r="AB17755" s="318"/>
      <c r="AC17755" s="318"/>
      <c r="AD17755" s="318"/>
    </row>
    <row r="17756" spans="2:30" s="323" customFormat="1" ht="12" customHeight="1">
      <c r="B17756" s="324"/>
      <c r="C17756" s="325"/>
      <c r="D17756" s="326"/>
      <c r="E17756" s="326"/>
      <c r="F17756" s="326"/>
      <c r="G17756" s="326"/>
      <c r="H17756" s="326"/>
      <c r="P17756" s="318"/>
      <c r="Q17756" s="318"/>
      <c r="R17756" s="318"/>
      <c r="S17756" s="318"/>
      <c r="T17756" s="318"/>
      <c r="U17756" s="318"/>
      <c r="V17756" s="318"/>
      <c r="W17756" s="318"/>
      <c r="X17756" s="318"/>
      <c r="Y17756" s="318"/>
      <c r="Z17756" s="318"/>
      <c r="AA17756" s="318"/>
      <c r="AB17756" s="318"/>
      <c r="AC17756" s="318"/>
      <c r="AD17756" s="318"/>
    </row>
    <row r="17757" spans="2:30" s="323" customFormat="1" ht="12" customHeight="1">
      <c r="B17757" s="324"/>
      <c r="C17757" s="325"/>
      <c r="D17757" s="326"/>
      <c r="E17757" s="326"/>
      <c r="F17757" s="326"/>
      <c r="G17757" s="326"/>
      <c r="H17757" s="326"/>
      <c r="P17757" s="318"/>
      <c r="Q17757" s="318"/>
      <c r="R17757" s="318"/>
      <c r="S17757" s="318"/>
      <c r="T17757" s="318"/>
      <c r="U17757" s="318"/>
      <c r="V17757" s="318"/>
      <c r="W17757" s="318"/>
      <c r="X17757" s="318"/>
      <c r="Y17757" s="318"/>
      <c r="Z17757" s="318"/>
      <c r="AA17757" s="318"/>
      <c r="AB17757" s="318"/>
      <c r="AC17757" s="318"/>
      <c r="AD17757" s="318"/>
    </row>
    <row r="17758" spans="2:30" s="323" customFormat="1" ht="12" customHeight="1">
      <c r="B17758" s="324"/>
      <c r="C17758" s="325"/>
      <c r="D17758" s="326"/>
      <c r="E17758" s="326"/>
      <c r="F17758" s="326"/>
      <c r="G17758" s="326"/>
      <c r="H17758" s="326"/>
      <c r="P17758" s="318"/>
      <c r="Q17758" s="318"/>
      <c r="R17758" s="318"/>
      <c r="S17758" s="318"/>
      <c r="T17758" s="318"/>
      <c r="U17758" s="318"/>
      <c r="V17758" s="318"/>
      <c r="W17758" s="318"/>
      <c r="X17758" s="318"/>
      <c r="Y17758" s="318"/>
      <c r="Z17758" s="318"/>
      <c r="AA17758" s="318"/>
      <c r="AB17758" s="318"/>
      <c r="AC17758" s="318"/>
      <c r="AD17758" s="318"/>
    </row>
    <row r="17759" spans="2:30" s="323" customFormat="1" ht="12" customHeight="1">
      <c r="B17759" s="324"/>
      <c r="C17759" s="325"/>
      <c r="D17759" s="326"/>
      <c r="E17759" s="326"/>
      <c r="F17759" s="326"/>
      <c r="G17759" s="326"/>
      <c r="H17759" s="326"/>
      <c r="P17759" s="318"/>
      <c r="Q17759" s="318"/>
      <c r="R17759" s="318"/>
      <c r="S17759" s="318"/>
      <c r="T17759" s="318"/>
      <c r="U17759" s="318"/>
      <c r="V17759" s="318"/>
      <c r="W17759" s="318"/>
      <c r="X17759" s="318"/>
      <c r="Y17759" s="318"/>
      <c r="Z17759" s="318"/>
      <c r="AA17759" s="318"/>
      <c r="AB17759" s="318"/>
      <c r="AC17759" s="318"/>
      <c r="AD17759" s="318"/>
    </row>
    <row r="17760" spans="2:30" s="323" customFormat="1" ht="12" customHeight="1">
      <c r="B17760" s="324"/>
      <c r="C17760" s="325"/>
      <c r="D17760" s="326"/>
      <c r="E17760" s="326"/>
      <c r="F17760" s="326"/>
      <c r="G17760" s="326"/>
      <c r="H17760" s="326"/>
      <c r="P17760" s="318"/>
      <c r="Q17760" s="318"/>
      <c r="R17760" s="318"/>
      <c r="S17760" s="318"/>
      <c r="T17760" s="318"/>
      <c r="U17760" s="318"/>
      <c r="V17760" s="318"/>
      <c r="W17760" s="318"/>
      <c r="X17760" s="318"/>
      <c r="Y17760" s="318"/>
      <c r="Z17760" s="318"/>
      <c r="AA17760" s="318"/>
      <c r="AB17760" s="318"/>
      <c r="AC17760" s="318"/>
      <c r="AD17760" s="318"/>
    </row>
    <row r="17761" spans="2:30" s="323" customFormat="1" ht="12" customHeight="1">
      <c r="B17761" s="324"/>
      <c r="C17761" s="325"/>
      <c r="D17761" s="326"/>
      <c r="E17761" s="326"/>
      <c r="F17761" s="326"/>
      <c r="G17761" s="326"/>
      <c r="H17761" s="326"/>
      <c r="P17761" s="318"/>
      <c r="Q17761" s="318"/>
      <c r="R17761" s="318"/>
      <c r="S17761" s="318"/>
      <c r="T17761" s="318"/>
      <c r="U17761" s="318"/>
      <c r="V17761" s="318"/>
      <c r="W17761" s="318"/>
      <c r="X17761" s="318"/>
      <c r="Y17761" s="318"/>
      <c r="Z17761" s="318"/>
      <c r="AA17761" s="318"/>
      <c r="AB17761" s="318"/>
      <c r="AC17761" s="318"/>
      <c r="AD17761" s="318"/>
    </row>
    <row r="17762" spans="2:30" s="323" customFormat="1" ht="12" customHeight="1">
      <c r="B17762" s="324"/>
      <c r="C17762" s="325"/>
      <c r="D17762" s="326"/>
      <c r="E17762" s="326"/>
      <c r="F17762" s="326"/>
      <c r="G17762" s="326"/>
      <c r="H17762" s="326"/>
      <c r="P17762" s="318"/>
      <c r="Q17762" s="318"/>
      <c r="R17762" s="318"/>
      <c r="S17762" s="318"/>
      <c r="T17762" s="318"/>
      <c r="U17762" s="318"/>
      <c r="V17762" s="318"/>
      <c r="W17762" s="318"/>
      <c r="X17762" s="318"/>
      <c r="Y17762" s="318"/>
      <c r="Z17762" s="318"/>
      <c r="AA17762" s="318"/>
      <c r="AB17762" s="318"/>
      <c r="AC17762" s="318"/>
      <c r="AD17762" s="318"/>
    </row>
    <row r="17763" spans="2:30" s="323" customFormat="1" ht="12" customHeight="1">
      <c r="B17763" s="324"/>
      <c r="C17763" s="325"/>
      <c r="D17763" s="326"/>
      <c r="E17763" s="326"/>
      <c r="F17763" s="326"/>
      <c r="G17763" s="326"/>
      <c r="H17763" s="326"/>
      <c r="P17763" s="318"/>
      <c r="Q17763" s="318"/>
      <c r="R17763" s="318"/>
      <c r="S17763" s="318"/>
      <c r="T17763" s="318"/>
      <c r="U17763" s="318"/>
      <c r="V17763" s="318"/>
      <c r="W17763" s="318"/>
      <c r="X17763" s="318"/>
      <c r="Y17763" s="318"/>
      <c r="Z17763" s="318"/>
      <c r="AA17763" s="318"/>
      <c r="AB17763" s="318"/>
      <c r="AC17763" s="318"/>
      <c r="AD17763" s="318"/>
    </row>
    <row r="17764" spans="2:30" s="323" customFormat="1" ht="12" customHeight="1">
      <c r="B17764" s="324"/>
      <c r="C17764" s="325"/>
      <c r="D17764" s="326"/>
      <c r="E17764" s="326"/>
      <c r="F17764" s="326"/>
      <c r="G17764" s="326"/>
      <c r="H17764" s="326"/>
      <c r="P17764" s="318"/>
      <c r="Q17764" s="318"/>
      <c r="R17764" s="318"/>
      <c r="S17764" s="318"/>
      <c r="T17764" s="318"/>
      <c r="U17764" s="318"/>
      <c r="V17764" s="318"/>
      <c r="W17764" s="318"/>
      <c r="X17764" s="318"/>
      <c r="Y17764" s="318"/>
      <c r="Z17764" s="318"/>
      <c r="AA17764" s="318"/>
      <c r="AB17764" s="318"/>
      <c r="AC17764" s="318"/>
      <c r="AD17764" s="318"/>
    </row>
    <row r="17765" spans="2:30" s="323" customFormat="1" ht="12" customHeight="1">
      <c r="B17765" s="324"/>
      <c r="C17765" s="325"/>
      <c r="D17765" s="326"/>
      <c r="E17765" s="326"/>
      <c r="F17765" s="326"/>
      <c r="G17765" s="326"/>
      <c r="H17765" s="326"/>
      <c r="P17765" s="318"/>
      <c r="Q17765" s="318"/>
      <c r="R17765" s="318"/>
      <c r="S17765" s="318"/>
      <c r="T17765" s="318"/>
      <c r="U17765" s="318"/>
      <c r="V17765" s="318"/>
      <c r="W17765" s="318"/>
      <c r="X17765" s="318"/>
      <c r="Y17765" s="318"/>
      <c r="Z17765" s="318"/>
      <c r="AA17765" s="318"/>
      <c r="AB17765" s="318"/>
      <c r="AC17765" s="318"/>
      <c r="AD17765" s="318"/>
    </row>
    <row r="17766" spans="2:30" s="323" customFormat="1" ht="12" customHeight="1">
      <c r="B17766" s="324"/>
      <c r="C17766" s="325"/>
      <c r="D17766" s="326"/>
      <c r="E17766" s="326"/>
      <c r="F17766" s="326"/>
      <c r="G17766" s="326"/>
      <c r="H17766" s="326"/>
      <c r="P17766" s="318"/>
      <c r="Q17766" s="318"/>
      <c r="R17766" s="318"/>
      <c r="S17766" s="318"/>
      <c r="T17766" s="318"/>
      <c r="U17766" s="318"/>
      <c r="V17766" s="318"/>
      <c r="W17766" s="318"/>
      <c r="X17766" s="318"/>
      <c r="Y17766" s="318"/>
      <c r="Z17766" s="318"/>
      <c r="AA17766" s="318"/>
      <c r="AB17766" s="318"/>
      <c r="AC17766" s="318"/>
      <c r="AD17766" s="318"/>
    </row>
    <row r="17767" spans="2:30" s="323" customFormat="1" ht="12" customHeight="1">
      <c r="B17767" s="324"/>
      <c r="C17767" s="325"/>
      <c r="D17767" s="326"/>
      <c r="E17767" s="326"/>
      <c r="F17767" s="326"/>
      <c r="G17767" s="326"/>
      <c r="H17767" s="326"/>
      <c r="P17767" s="318"/>
      <c r="Q17767" s="318"/>
      <c r="R17767" s="318"/>
      <c r="S17767" s="318"/>
      <c r="T17767" s="318"/>
      <c r="U17767" s="318"/>
      <c r="V17767" s="318"/>
      <c r="W17767" s="318"/>
      <c r="X17767" s="318"/>
      <c r="Y17767" s="318"/>
      <c r="Z17767" s="318"/>
      <c r="AA17767" s="318"/>
      <c r="AB17767" s="318"/>
      <c r="AC17767" s="318"/>
      <c r="AD17767" s="318"/>
    </row>
    <row r="17768" spans="2:30" s="323" customFormat="1" ht="12" customHeight="1">
      <c r="B17768" s="324"/>
      <c r="C17768" s="325"/>
      <c r="D17768" s="326"/>
      <c r="E17768" s="326"/>
      <c r="F17768" s="326"/>
      <c r="G17768" s="326"/>
      <c r="H17768" s="326"/>
      <c r="P17768" s="318"/>
      <c r="Q17768" s="318"/>
      <c r="R17768" s="318"/>
      <c r="S17768" s="318"/>
      <c r="T17768" s="318"/>
      <c r="U17768" s="318"/>
      <c r="V17768" s="318"/>
      <c r="W17768" s="318"/>
      <c r="X17768" s="318"/>
      <c r="Y17768" s="318"/>
      <c r="Z17768" s="318"/>
      <c r="AA17768" s="318"/>
      <c r="AB17768" s="318"/>
      <c r="AC17768" s="318"/>
      <c r="AD17768" s="318"/>
    </row>
    <row r="17769" spans="2:30" s="323" customFormat="1" ht="12" customHeight="1">
      <c r="B17769" s="324"/>
      <c r="C17769" s="325"/>
      <c r="D17769" s="326"/>
      <c r="E17769" s="326"/>
      <c r="F17769" s="326"/>
      <c r="G17769" s="326"/>
      <c r="H17769" s="326"/>
      <c r="P17769" s="318"/>
      <c r="Q17769" s="318"/>
      <c r="R17769" s="318"/>
      <c r="S17769" s="318"/>
      <c r="T17769" s="318"/>
      <c r="U17769" s="318"/>
      <c r="V17769" s="318"/>
      <c r="W17769" s="318"/>
      <c r="X17769" s="318"/>
      <c r="Y17769" s="318"/>
      <c r="Z17769" s="318"/>
      <c r="AA17769" s="318"/>
      <c r="AB17769" s="318"/>
      <c r="AC17769" s="318"/>
      <c r="AD17769" s="318"/>
    </row>
    <row r="17770" spans="2:30" s="323" customFormat="1" ht="12" customHeight="1">
      <c r="B17770" s="324"/>
      <c r="C17770" s="325"/>
      <c r="D17770" s="326"/>
      <c r="E17770" s="326"/>
      <c r="F17770" s="326"/>
      <c r="G17770" s="326"/>
      <c r="H17770" s="326"/>
      <c r="P17770" s="318"/>
      <c r="Q17770" s="318"/>
      <c r="R17770" s="318"/>
      <c r="S17770" s="318"/>
      <c r="T17770" s="318"/>
      <c r="U17770" s="318"/>
      <c r="V17770" s="318"/>
      <c r="W17770" s="318"/>
      <c r="X17770" s="318"/>
      <c r="Y17770" s="318"/>
      <c r="Z17770" s="318"/>
      <c r="AA17770" s="318"/>
      <c r="AB17770" s="318"/>
      <c r="AC17770" s="318"/>
      <c r="AD17770" s="318"/>
    </row>
    <row r="17771" spans="2:30" s="323" customFormat="1" ht="12" customHeight="1">
      <c r="B17771" s="324"/>
      <c r="C17771" s="325"/>
      <c r="D17771" s="326"/>
      <c r="E17771" s="326"/>
      <c r="F17771" s="326"/>
      <c r="G17771" s="326"/>
      <c r="H17771" s="326"/>
      <c r="P17771" s="318"/>
      <c r="Q17771" s="318"/>
      <c r="R17771" s="318"/>
      <c r="S17771" s="318"/>
      <c r="T17771" s="318"/>
      <c r="U17771" s="318"/>
      <c r="V17771" s="318"/>
      <c r="W17771" s="318"/>
      <c r="X17771" s="318"/>
      <c r="Y17771" s="318"/>
      <c r="Z17771" s="318"/>
      <c r="AA17771" s="318"/>
      <c r="AB17771" s="318"/>
      <c r="AC17771" s="318"/>
      <c r="AD17771" s="318"/>
    </row>
    <row r="17772" spans="2:30" s="323" customFormat="1" ht="12" customHeight="1">
      <c r="B17772" s="324"/>
      <c r="C17772" s="325"/>
      <c r="D17772" s="326"/>
      <c r="E17772" s="326"/>
      <c r="F17772" s="326"/>
      <c r="G17772" s="326"/>
      <c r="H17772" s="326"/>
      <c r="P17772" s="318"/>
      <c r="Q17772" s="318"/>
      <c r="R17772" s="318"/>
      <c r="S17772" s="318"/>
      <c r="T17772" s="318"/>
      <c r="U17772" s="318"/>
      <c r="V17772" s="318"/>
      <c r="W17772" s="318"/>
      <c r="X17772" s="318"/>
      <c r="Y17772" s="318"/>
      <c r="Z17772" s="318"/>
      <c r="AA17772" s="318"/>
      <c r="AB17772" s="318"/>
      <c r="AC17772" s="318"/>
      <c r="AD17772" s="318"/>
    </row>
    <row r="17773" spans="2:30" s="323" customFormat="1" ht="12" customHeight="1">
      <c r="B17773" s="324"/>
      <c r="C17773" s="325"/>
      <c r="D17773" s="326"/>
      <c r="E17773" s="326"/>
      <c r="F17773" s="326"/>
      <c r="G17773" s="326"/>
      <c r="H17773" s="326"/>
      <c r="P17773" s="318"/>
      <c r="Q17773" s="318"/>
      <c r="R17773" s="318"/>
      <c r="S17773" s="318"/>
      <c r="T17773" s="318"/>
      <c r="U17773" s="318"/>
      <c r="V17773" s="318"/>
      <c r="W17773" s="318"/>
      <c r="X17773" s="318"/>
      <c r="Y17773" s="318"/>
      <c r="Z17773" s="318"/>
      <c r="AA17773" s="318"/>
      <c r="AB17773" s="318"/>
      <c r="AC17773" s="318"/>
      <c r="AD17773" s="318"/>
    </row>
    <row r="17774" spans="2:30" s="323" customFormat="1" ht="12" customHeight="1">
      <c r="B17774" s="324"/>
      <c r="C17774" s="325"/>
      <c r="D17774" s="326"/>
      <c r="E17774" s="326"/>
      <c r="F17774" s="326"/>
      <c r="G17774" s="326"/>
      <c r="H17774" s="326"/>
      <c r="P17774" s="318"/>
      <c r="Q17774" s="318"/>
      <c r="R17774" s="318"/>
      <c r="S17774" s="318"/>
      <c r="T17774" s="318"/>
      <c r="U17774" s="318"/>
      <c r="V17774" s="318"/>
      <c r="W17774" s="318"/>
      <c r="X17774" s="318"/>
      <c r="Y17774" s="318"/>
      <c r="Z17774" s="318"/>
      <c r="AA17774" s="318"/>
      <c r="AB17774" s="318"/>
      <c r="AC17774" s="318"/>
      <c r="AD17774" s="318"/>
    </row>
    <row r="17775" spans="2:30" s="323" customFormat="1" ht="12" customHeight="1">
      <c r="B17775" s="324"/>
      <c r="C17775" s="325"/>
      <c r="D17775" s="326"/>
      <c r="E17775" s="326"/>
      <c r="F17775" s="326"/>
      <c r="G17775" s="326"/>
      <c r="H17775" s="326"/>
      <c r="P17775" s="318"/>
      <c r="Q17775" s="318"/>
      <c r="R17775" s="318"/>
      <c r="S17775" s="318"/>
      <c r="T17775" s="318"/>
      <c r="U17775" s="318"/>
      <c r="V17775" s="318"/>
      <c r="W17775" s="318"/>
      <c r="X17775" s="318"/>
      <c r="Y17775" s="318"/>
      <c r="Z17775" s="318"/>
      <c r="AA17775" s="318"/>
      <c r="AB17775" s="318"/>
      <c r="AC17775" s="318"/>
      <c r="AD17775" s="318"/>
    </row>
    <row r="17776" spans="2:30" s="323" customFormat="1" ht="12" customHeight="1">
      <c r="B17776" s="324"/>
      <c r="C17776" s="325"/>
      <c r="D17776" s="326"/>
      <c r="E17776" s="326"/>
      <c r="F17776" s="326"/>
      <c r="G17776" s="326"/>
      <c r="H17776" s="326"/>
      <c r="P17776" s="318"/>
      <c r="Q17776" s="318"/>
      <c r="R17776" s="318"/>
      <c r="S17776" s="318"/>
      <c r="T17776" s="318"/>
      <c r="U17776" s="318"/>
      <c r="V17776" s="318"/>
      <c r="W17776" s="318"/>
      <c r="X17776" s="318"/>
      <c r="Y17776" s="318"/>
      <c r="Z17776" s="318"/>
      <c r="AA17776" s="318"/>
      <c r="AB17776" s="318"/>
      <c r="AC17776" s="318"/>
      <c r="AD17776" s="318"/>
    </row>
    <row r="17777" spans="2:30" s="323" customFormat="1" ht="12" customHeight="1">
      <c r="B17777" s="324"/>
      <c r="C17777" s="325"/>
      <c r="D17777" s="326"/>
      <c r="E17777" s="326"/>
      <c r="F17777" s="326"/>
      <c r="G17777" s="326"/>
      <c r="H17777" s="326"/>
      <c r="P17777" s="318"/>
      <c r="Q17777" s="318"/>
      <c r="R17777" s="318"/>
      <c r="S17777" s="318"/>
      <c r="T17777" s="318"/>
      <c r="U17777" s="318"/>
      <c r="V17777" s="318"/>
      <c r="W17777" s="318"/>
      <c r="X17777" s="318"/>
      <c r="Y17777" s="318"/>
      <c r="Z17777" s="318"/>
      <c r="AA17777" s="318"/>
      <c r="AB17777" s="318"/>
      <c r="AC17777" s="318"/>
      <c r="AD17777" s="318"/>
    </row>
    <row r="17778" spans="2:30" s="323" customFormat="1" ht="12" customHeight="1">
      <c r="B17778" s="324"/>
      <c r="C17778" s="325"/>
      <c r="D17778" s="326"/>
      <c r="E17778" s="326"/>
      <c r="F17778" s="326"/>
      <c r="G17778" s="326"/>
      <c r="H17778" s="326"/>
      <c r="P17778" s="318"/>
      <c r="Q17778" s="318"/>
      <c r="R17778" s="318"/>
      <c r="S17778" s="318"/>
      <c r="T17778" s="318"/>
      <c r="U17778" s="318"/>
      <c r="V17778" s="318"/>
      <c r="W17778" s="318"/>
      <c r="X17778" s="318"/>
      <c r="Y17778" s="318"/>
      <c r="Z17778" s="318"/>
      <c r="AA17778" s="318"/>
      <c r="AB17778" s="318"/>
      <c r="AC17778" s="318"/>
      <c r="AD17778" s="318"/>
    </row>
    <row r="17779" spans="2:30" s="323" customFormat="1" ht="12" customHeight="1">
      <c r="B17779" s="324"/>
      <c r="C17779" s="325"/>
      <c r="D17779" s="326"/>
      <c r="E17779" s="326"/>
      <c r="F17779" s="326"/>
      <c r="G17779" s="326"/>
      <c r="H17779" s="326"/>
      <c r="P17779" s="318"/>
      <c r="Q17779" s="318"/>
      <c r="R17779" s="318"/>
      <c r="S17779" s="318"/>
      <c r="T17779" s="318"/>
      <c r="U17779" s="318"/>
      <c r="V17779" s="318"/>
      <c r="W17779" s="318"/>
      <c r="X17779" s="318"/>
      <c r="Y17779" s="318"/>
      <c r="Z17779" s="318"/>
      <c r="AA17779" s="318"/>
      <c r="AB17779" s="318"/>
      <c r="AC17779" s="318"/>
      <c r="AD17779" s="318"/>
    </row>
    <row r="17780" spans="2:30" s="323" customFormat="1" ht="12" customHeight="1">
      <c r="B17780" s="324"/>
      <c r="C17780" s="325"/>
      <c r="D17780" s="326"/>
      <c r="E17780" s="326"/>
      <c r="F17780" s="326"/>
      <c r="G17780" s="326"/>
      <c r="H17780" s="326"/>
      <c r="P17780" s="318"/>
      <c r="Q17780" s="318"/>
      <c r="R17780" s="318"/>
      <c r="S17780" s="318"/>
      <c r="T17780" s="318"/>
      <c r="U17780" s="318"/>
      <c r="V17780" s="318"/>
      <c r="W17780" s="318"/>
      <c r="X17780" s="318"/>
      <c r="Y17780" s="318"/>
      <c r="Z17780" s="318"/>
      <c r="AA17780" s="318"/>
      <c r="AB17780" s="318"/>
      <c r="AC17780" s="318"/>
      <c r="AD17780" s="318"/>
    </row>
    <row r="17781" spans="2:30" s="323" customFormat="1" ht="12" customHeight="1">
      <c r="B17781" s="324"/>
      <c r="C17781" s="325"/>
      <c r="D17781" s="326"/>
      <c r="E17781" s="326"/>
      <c r="F17781" s="326"/>
      <c r="G17781" s="326"/>
      <c r="H17781" s="326"/>
      <c r="P17781" s="318"/>
      <c r="Q17781" s="318"/>
      <c r="R17781" s="318"/>
      <c r="S17781" s="318"/>
      <c r="T17781" s="318"/>
      <c r="U17781" s="318"/>
      <c r="V17781" s="318"/>
      <c r="W17781" s="318"/>
      <c r="X17781" s="318"/>
      <c r="Y17781" s="318"/>
      <c r="Z17781" s="318"/>
      <c r="AA17781" s="318"/>
      <c r="AB17781" s="318"/>
      <c r="AC17781" s="318"/>
      <c r="AD17781" s="318"/>
    </row>
    <row r="17782" spans="2:30" s="323" customFormat="1" ht="12" customHeight="1">
      <c r="B17782" s="324"/>
      <c r="C17782" s="325"/>
      <c r="D17782" s="326"/>
      <c r="E17782" s="326"/>
      <c r="F17782" s="326"/>
      <c r="G17782" s="326"/>
      <c r="H17782" s="326"/>
      <c r="P17782" s="318"/>
      <c r="Q17782" s="318"/>
      <c r="R17782" s="318"/>
      <c r="S17782" s="318"/>
      <c r="T17782" s="318"/>
      <c r="U17782" s="318"/>
      <c r="V17782" s="318"/>
      <c r="W17782" s="318"/>
      <c r="X17782" s="318"/>
      <c r="Y17782" s="318"/>
      <c r="Z17782" s="318"/>
      <c r="AA17782" s="318"/>
      <c r="AB17782" s="318"/>
      <c r="AC17782" s="318"/>
      <c r="AD17782" s="318"/>
    </row>
    <row r="17783" spans="2:30" s="323" customFormat="1" ht="12" customHeight="1">
      <c r="B17783" s="324"/>
      <c r="C17783" s="325"/>
      <c r="D17783" s="326"/>
      <c r="E17783" s="326"/>
      <c r="F17783" s="326"/>
      <c r="G17783" s="326"/>
      <c r="H17783" s="326"/>
      <c r="P17783" s="318"/>
      <c r="Q17783" s="318"/>
      <c r="R17783" s="318"/>
      <c r="S17783" s="318"/>
      <c r="T17783" s="318"/>
      <c r="U17783" s="318"/>
      <c r="V17783" s="318"/>
      <c r="W17783" s="318"/>
      <c r="X17783" s="318"/>
      <c r="Y17783" s="318"/>
      <c r="Z17783" s="318"/>
      <c r="AA17783" s="318"/>
      <c r="AB17783" s="318"/>
      <c r="AC17783" s="318"/>
      <c r="AD17783" s="318"/>
    </row>
    <row r="17784" spans="2:30" s="323" customFormat="1" ht="12" customHeight="1">
      <c r="B17784" s="324"/>
      <c r="C17784" s="325"/>
      <c r="D17784" s="326"/>
      <c r="E17784" s="326"/>
      <c r="F17784" s="326"/>
      <c r="G17784" s="326"/>
      <c r="H17784" s="326"/>
      <c r="P17784" s="318"/>
      <c r="Q17784" s="318"/>
      <c r="R17784" s="318"/>
      <c r="S17784" s="318"/>
      <c r="T17784" s="318"/>
      <c r="U17784" s="318"/>
      <c r="V17784" s="318"/>
      <c r="W17784" s="318"/>
      <c r="X17784" s="318"/>
      <c r="Y17784" s="318"/>
      <c r="Z17784" s="318"/>
      <c r="AA17784" s="318"/>
      <c r="AB17784" s="318"/>
      <c r="AC17784" s="318"/>
      <c r="AD17784" s="318"/>
    </row>
    <row r="17785" spans="2:30" s="323" customFormat="1" ht="12" customHeight="1">
      <c r="B17785" s="324"/>
      <c r="C17785" s="325"/>
      <c r="D17785" s="326"/>
      <c r="E17785" s="326"/>
      <c r="F17785" s="326"/>
      <c r="G17785" s="326"/>
      <c r="H17785" s="326"/>
      <c r="P17785" s="318"/>
      <c r="Q17785" s="318"/>
      <c r="R17785" s="318"/>
      <c r="S17785" s="318"/>
      <c r="T17785" s="318"/>
      <c r="U17785" s="318"/>
      <c r="V17785" s="318"/>
      <c r="W17785" s="318"/>
      <c r="X17785" s="318"/>
      <c r="Y17785" s="318"/>
      <c r="Z17785" s="318"/>
      <c r="AA17785" s="318"/>
      <c r="AB17785" s="318"/>
      <c r="AC17785" s="318"/>
      <c r="AD17785" s="318"/>
    </row>
    <row r="17786" spans="2:30" s="323" customFormat="1" ht="12" customHeight="1">
      <c r="B17786" s="324"/>
      <c r="C17786" s="325"/>
      <c r="D17786" s="326"/>
      <c r="E17786" s="326"/>
      <c r="F17786" s="326"/>
      <c r="G17786" s="326"/>
      <c r="H17786" s="326"/>
      <c r="P17786" s="318"/>
      <c r="Q17786" s="318"/>
      <c r="R17786" s="318"/>
      <c r="S17786" s="318"/>
      <c r="T17786" s="318"/>
      <c r="U17786" s="318"/>
      <c r="V17786" s="318"/>
      <c r="W17786" s="318"/>
      <c r="X17786" s="318"/>
      <c r="Y17786" s="318"/>
      <c r="Z17786" s="318"/>
      <c r="AA17786" s="318"/>
      <c r="AB17786" s="318"/>
      <c r="AC17786" s="318"/>
      <c r="AD17786" s="318"/>
    </row>
    <row r="17787" spans="2:30" s="323" customFormat="1" ht="12" customHeight="1">
      <c r="B17787" s="324"/>
      <c r="C17787" s="325"/>
      <c r="D17787" s="326"/>
      <c r="E17787" s="326"/>
      <c r="F17787" s="326"/>
      <c r="G17787" s="326"/>
      <c r="H17787" s="326"/>
      <c r="P17787" s="318"/>
      <c r="Q17787" s="318"/>
      <c r="R17787" s="318"/>
      <c r="S17787" s="318"/>
      <c r="T17787" s="318"/>
      <c r="U17787" s="318"/>
      <c r="V17787" s="318"/>
      <c r="W17787" s="318"/>
      <c r="X17787" s="318"/>
      <c r="Y17787" s="318"/>
      <c r="Z17787" s="318"/>
      <c r="AA17787" s="318"/>
      <c r="AB17787" s="318"/>
      <c r="AC17787" s="318"/>
      <c r="AD17787" s="318"/>
    </row>
    <row r="17788" spans="2:30" s="323" customFormat="1" ht="12" customHeight="1">
      <c r="B17788" s="324"/>
      <c r="C17788" s="325"/>
      <c r="D17788" s="326"/>
      <c r="E17788" s="326"/>
      <c r="F17788" s="326"/>
      <c r="G17788" s="326"/>
      <c r="H17788" s="326"/>
      <c r="P17788" s="318"/>
      <c r="Q17788" s="318"/>
      <c r="R17788" s="318"/>
      <c r="S17788" s="318"/>
      <c r="T17788" s="318"/>
      <c r="U17788" s="318"/>
      <c r="V17788" s="318"/>
      <c r="W17788" s="318"/>
      <c r="X17788" s="318"/>
      <c r="Y17788" s="318"/>
      <c r="Z17788" s="318"/>
      <c r="AA17788" s="318"/>
      <c r="AB17788" s="318"/>
      <c r="AC17788" s="318"/>
      <c r="AD17788" s="318"/>
    </row>
    <row r="17789" spans="2:30" s="323" customFormat="1" ht="12" customHeight="1">
      <c r="B17789" s="324"/>
      <c r="C17789" s="325"/>
      <c r="D17789" s="326"/>
      <c r="E17789" s="326"/>
      <c r="F17789" s="326"/>
      <c r="G17789" s="326"/>
      <c r="H17789" s="326"/>
      <c r="P17789" s="318"/>
      <c r="Q17789" s="318"/>
      <c r="R17789" s="318"/>
      <c r="S17789" s="318"/>
      <c r="T17789" s="318"/>
      <c r="U17789" s="318"/>
      <c r="V17789" s="318"/>
      <c r="W17789" s="318"/>
      <c r="X17789" s="318"/>
      <c r="Y17789" s="318"/>
      <c r="Z17789" s="318"/>
      <c r="AA17789" s="318"/>
      <c r="AB17789" s="318"/>
      <c r="AC17789" s="318"/>
      <c r="AD17789" s="318"/>
    </row>
    <row r="17790" spans="2:30" s="323" customFormat="1" ht="12" customHeight="1">
      <c r="B17790" s="324"/>
      <c r="C17790" s="325"/>
      <c r="D17790" s="326"/>
      <c r="E17790" s="326"/>
      <c r="F17790" s="326"/>
      <c r="G17790" s="326"/>
      <c r="H17790" s="326"/>
      <c r="P17790" s="318"/>
      <c r="Q17790" s="318"/>
      <c r="R17790" s="318"/>
      <c r="S17790" s="318"/>
      <c r="T17790" s="318"/>
      <c r="U17790" s="318"/>
      <c r="V17790" s="318"/>
      <c r="W17790" s="318"/>
      <c r="X17790" s="318"/>
      <c r="Y17790" s="318"/>
      <c r="Z17790" s="318"/>
      <c r="AA17790" s="318"/>
      <c r="AB17790" s="318"/>
      <c r="AC17790" s="318"/>
      <c r="AD17790" s="318"/>
    </row>
    <row r="17791" spans="2:30" s="323" customFormat="1" ht="12" customHeight="1">
      <c r="B17791" s="324"/>
      <c r="C17791" s="325"/>
      <c r="D17791" s="326"/>
      <c r="E17791" s="326"/>
      <c r="F17791" s="326"/>
      <c r="G17791" s="326"/>
      <c r="H17791" s="326"/>
      <c r="P17791" s="318"/>
      <c r="Q17791" s="318"/>
      <c r="R17791" s="318"/>
      <c r="S17791" s="318"/>
      <c r="T17791" s="318"/>
      <c r="U17791" s="318"/>
      <c r="V17791" s="318"/>
      <c r="W17791" s="318"/>
      <c r="X17791" s="318"/>
      <c r="Y17791" s="318"/>
      <c r="Z17791" s="318"/>
      <c r="AA17791" s="318"/>
      <c r="AB17791" s="318"/>
      <c r="AC17791" s="318"/>
      <c r="AD17791" s="318"/>
    </row>
    <row r="17792" spans="2:30" s="323" customFormat="1" ht="12" customHeight="1">
      <c r="B17792" s="324"/>
      <c r="C17792" s="325"/>
      <c r="D17792" s="326"/>
      <c r="E17792" s="326"/>
      <c r="F17792" s="326"/>
      <c r="G17792" s="326"/>
      <c r="H17792" s="326"/>
      <c r="P17792" s="318"/>
      <c r="Q17792" s="318"/>
      <c r="R17792" s="318"/>
      <c r="S17792" s="318"/>
      <c r="T17792" s="318"/>
      <c r="U17792" s="318"/>
      <c r="V17792" s="318"/>
      <c r="W17792" s="318"/>
      <c r="X17792" s="318"/>
      <c r="Y17792" s="318"/>
      <c r="Z17792" s="318"/>
      <c r="AA17792" s="318"/>
      <c r="AB17792" s="318"/>
      <c r="AC17792" s="318"/>
      <c r="AD17792" s="318"/>
    </row>
    <row r="17793" spans="2:30" s="323" customFormat="1" ht="12" customHeight="1">
      <c r="B17793" s="324"/>
      <c r="C17793" s="325"/>
      <c r="D17793" s="326"/>
      <c r="E17793" s="326"/>
      <c r="F17793" s="326"/>
      <c r="G17793" s="326"/>
      <c r="H17793" s="326"/>
      <c r="P17793" s="318"/>
      <c r="Q17793" s="318"/>
      <c r="R17793" s="318"/>
      <c r="S17793" s="318"/>
      <c r="T17793" s="318"/>
      <c r="U17793" s="318"/>
      <c r="V17793" s="318"/>
      <c r="W17793" s="318"/>
      <c r="X17793" s="318"/>
      <c r="Y17793" s="318"/>
      <c r="Z17793" s="318"/>
      <c r="AA17793" s="318"/>
      <c r="AB17793" s="318"/>
      <c r="AC17793" s="318"/>
      <c r="AD17793" s="318"/>
    </row>
    <row r="17794" spans="2:30" s="323" customFormat="1" ht="12" customHeight="1">
      <c r="B17794" s="324"/>
      <c r="C17794" s="325"/>
      <c r="D17794" s="326"/>
      <c r="E17794" s="326"/>
      <c r="F17794" s="326"/>
      <c r="G17794" s="326"/>
      <c r="H17794" s="326"/>
      <c r="P17794" s="318"/>
      <c r="Q17794" s="318"/>
      <c r="R17794" s="318"/>
      <c r="S17794" s="318"/>
      <c r="T17794" s="318"/>
      <c r="U17794" s="318"/>
      <c r="V17794" s="318"/>
      <c r="W17794" s="318"/>
      <c r="X17794" s="318"/>
      <c r="Y17794" s="318"/>
      <c r="Z17794" s="318"/>
      <c r="AA17794" s="318"/>
      <c r="AB17794" s="318"/>
      <c r="AC17794" s="318"/>
      <c r="AD17794" s="318"/>
    </row>
    <row r="17795" spans="2:30" s="323" customFormat="1" ht="12" customHeight="1">
      <c r="B17795" s="324"/>
      <c r="C17795" s="325"/>
      <c r="D17795" s="326"/>
      <c r="E17795" s="326"/>
      <c r="F17795" s="326"/>
      <c r="G17795" s="326"/>
      <c r="H17795" s="326"/>
      <c r="P17795" s="318"/>
      <c r="Q17795" s="318"/>
      <c r="R17795" s="318"/>
      <c r="S17795" s="318"/>
      <c r="T17795" s="318"/>
      <c r="U17795" s="318"/>
      <c r="V17795" s="318"/>
      <c r="W17795" s="318"/>
      <c r="X17795" s="318"/>
      <c r="Y17795" s="318"/>
      <c r="Z17795" s="318"/>
      <c r="AA17795" s="318"/>
      <c r="AB17795" s="318"/>
      <c r="AC17795" s="318"/>
      <c r="AD17795" s="318"/>
    </row>
    <row r="17796" spans="2:30" s="323" customFormat="1" ht="12" customHeight="1">
      <c r="B17796" s="324"/>
      <c r="C17796" s="325"/>
      <c r="D17796" s="326"/>
      <c r="E17796" s="326"/>
      <c r="F17796" s="326"/>
      <c r="G17796" s="326"/>
      <c r="H17796" s="326"/>
      <c r="P17796" s="318"/>
      <c r="Q17796" s="318"/>
      <c r="R17796" s="318"/>
      <c r="S17796" s="318"/>
      <c r="T17796" s="318"/>
      <c r="U17796" s="318"/>
      <c r="V17796" s="318"/>
      <c r="W17796" s="318"/>
      <c r="X17796" s="318"/>
      <c r="Y17796" s="318"/>
      <c r="Z17796" s="318"/>
      <c r="AA17796" s="318"/>
      <c r="AB17796" s="318"/>
      <c r="AC17796" s="318"/>
      <c r="AD17796" s="318"/>
    </row>
    <row r="17797" spans="2:30" s="323" customFormat="1" ht="12" customHeight="1">
      <c r="B17797" s="324"/>
      <c r="C17797" s="325"/>
      <c r="D17797" s="326"/>
      <c r="E17797" s="326"/>
      <c r="F17797" s="326"/>
      <c r="G17797" s="326"/>
      <c r="H17797" s="326"/>
      <c r="P17797" s="318"/>
      <c r="Q17797" s="318"/>
      <c r="R17797" s="318"/>
      <c r="S17797" s="318"/>
      <c r="T17797" s="318"/>
      <c r="U17797" s="318"/>
      <c r="V17797" s="318"/>
      <c r="W17797" s="318"/>
      <c r="X17797" s="318"/>
      <c r="Y17797" s="318"/>
      <c r="Z17797" s="318"/>
      <c r="AA17797" s="318"/>
      <c r="AB17797" s="318"/>
      <c r="AC17797" s="318"/>
      <c r="AD17797" s="318"/>
    </row>
    <row r="17798" spans="2:30" s="323" customFormat="1" ht="12" customHeight="1">
      <c r="B17798" s="324"/>
      <c r="C17798" s="325"/>
      <c r="D17798" s="326"/>
      <c r="E17798" s="326"/>
      <c r="F17798" s="326"/>
      <c r="G17798" s="326"/>
      <c r="H17798" s="326"/>
      <c r="P17798" s="318"/>
      <c r="Q17798" s="318"/>
      <c r="R17798" s="318"/>
      <c r="S17798" s="318"/>
      <c r="T17798" s="318"/>
      <c r="U17798" s="318"/>
      <c r="V17798" s="318"/>
      <c r="W17798" s="318"/>
      <c r="X17798" s="318"/>
      <c r="Y17798" s="318"/>
      <c r="Z17798" s="318"/>
      <c r="AA17798" s="318"/>
      <c r="AB17798" s="318"/>
      <c r="AC17798" s="318"/>
      <c r="AD17798" s="318"/>
    </row>
    <row r="17799" spans="2:30" s="323" customFormat="1" ht="12" customHeight="1">
      <c r="B17799" s="324"/>
      <c r="C17799" s="325"/>
      <c r="D17799" s="326"/>
      <c r="E17799" s="326"/>
      <c r="F17799" s="326"/>
      <c r="G17799" s="326"/>
      <c r="H17799" s="326"/>
      <c r="P17799" s="318"/>
      <c r="Q17799" s="318"/>
      <c r="R17799" s="318"/>
      <c r="S17799" s="318"/>
      <c r="T17799" s="318"/>
      <c r="U17799" s="318"/>
      <c r="V17799" s="318"/>
      <c r="W17799" s="318"/>
      <c r="X17799" s="318"/>
      <c r="Y17799" s="318"/>
      <c r="Z17799" s="318"/>
      <c r="AA17799" s="318"/>
      <c r="AB17799" s="318"/>
      <c r="AC17799" s="318"/>
      <c r="AD17799" s="318"/>
    </row>
    <row r="17800" spans="2:30" s="323" customFormat="1" ht="12" customHeight="1">
      <c r="B17800" s="324"/>
      <c r="C17800" s="325"/>
      <c r="D17800" s="326"/>
      <c r="E17800" s="326"/>
      <c r="F17800" s="326"/>
      <c r="G17800" s="326"/>
      <c r="H17800" s="326"/>
      <c r="P17800" s="318"/>
      <c r="Q17800" s="318"/>
      <c r="R17800" s="318"/>
      <c r="S17800" s="318"/>
      <c r="T17800" s="318"/>
      <c r="U17800" s="318"/>
      <c r="V17800" s="318"/>
      <c r="W17800" s="318"/>
      <c r="X17800" s="318"/>
      <c r="Y17800" s="318"/>
      <c r="Z17800" s="318"/>
      <c r="AA17800" s="318"/>
      <c r="AB17800" s="318"/>
      <c r="AC17800" s="318"/>
      <c r="AD17800" s="318"/>
    </row>
    <row r="17801" spans="2:30" s="323" customFormat="1" ht="12" customHeight="1">
      <c r="B17801" s="324"/>
      <c r="C17801" s="325"/>
      <c r="D17801" s="326"/>
      <c r="E17801" s="326"/>
      <c r="F17801" s="326"/>
      <c r="G17801" s="326"/>
      <c r="H17801" s="326"/>
      <c r="P17801" s="318"/>
      <c r="Q17801" s="318"/>
      <c r="R17801" s="318"/>
      <c r="S17801" s="318"/>
      <c r="T17801" s="318"/>
      <c r="U17801" s="318"/>
      <c r="V17801" s="318"/>
      <c r="W17801" s="318"/>
      <c r="X17801" s="318"/>
      <c r="Y17801" s="318"/>
      <c r="Z17801" s="318"/>
      <c r="AA17801" s="318"/>
      <c r="AB17801" s="318"/>
      <c r="AC17801" s="318"/>
      <c r="AD17801" s="318"/>
    </row>
    <row r="17802" spans="2:30" s="323" customFormat="1" ht="12" customHeight="1">
      <c r="B17802" s="324"/>
      <c r="C17802" s="325"/>
      <c r="D17802" s="326"/>
      <c r="E17802" s="326"/>
      <c r="F17802" s="326"/>
      <c r="G17802" s="326"/>
      <c r="H17802" s="326"/>
      <c r="P17802" s="318"/>
      <c r="Q17802" s="318"/>
      <c r="R17802" s="318"/>
      <c r="S17802" s="318"/>
      <c r="T17802" s="318"/>
      <c r="U17802" s="318"/>
      <c r="V17802" s="318"/>
      <c r="W17802" s="318"/>
      <c r="X17802" s="318"/>
      <c r="Y17802" s="318"/>
      <c r="Z17802" s="318"/>
      <c r="AA17802" s="318"/>
      <c r="AB17802" s="318"/>
      <c r="AC17802" s="318"/>
      <c r="AD17802" s="318"/>
    </row>
    <row r="17803" spans="2:30" s="323" customFormat="1" ht="12" customHeight="1">
      <c r="B17803" s="324"/>
      <c r="C17803" s="325"/>
      <c r="D17803" s="326"/>
      <c r="E17803" s="326"/>
      <c r="F17803" s="326"/>
      <c r="G17803" s="326"/>
      <c r="H17803" s="326"/>
      <c r="P17803" s="318"/>
      <c r="Q17803" s="318"/>
      <c r="R17803" s="318"/>
      <c r="S17803" s="318"/>
      <c r="T17803" s="318"/>
      <c r="U17803" s="318"/>
      <c r="V17803" s="318"/>
      <c r="W17803" s="318"/>
      <c r="X17803" s="318"/>
      <c r="Y17803" s="318"/>
      <c r="Z17803" s="318"/>
      <c r="AA17803" s="318"/>
      <c r="AB17803" s="318"/>
      <c r="AC17803" s="318"/>
      <c r="AD17803" s="318"/>
    </row>
    <row r="17804" spans="2:30" s="323" customFormat="1" ht="12" customHeight="1">
      <c r="B17804" s="324"/>
      <c r="C17804" s="325"/>
      <c r="D17804" s="326"/>
      <c r="E17804" s="326"/>
      <c r="F17804" s="326"/>
      <c r="G17804" s="326"/>
      <c r="H17804" s="326"/>
      <c r="P17804" s="318"/>
      <c r="Q17804" s="318"/>
      <c r="R17804" s="318"/>
      <c r="S17804" s="318"/>
      <c r="T17804" s="318"/>
      <c r="U17804" s="318"/>
      <c r="V17804" s="318"/>
      <c r="W17804" s="318"/>
      <c r="X17804" s="318"/>
      <c r="Y17804" s="318"/>
      <c r="Z17804" s="318"/>
      <c r="AA17804" s="318"/>
      <c r="AB17804" s="318"/>
      <c r="AC17804" s="318"/>
      <c r="AD17804" s="318"/>
    </row>
    <row r="17805" spans="2:30" s="323" customFormat="1" ht="12" customHeight="1">
      <c r="B17805" s="324"/>
      <c r="C17805" s="325"/>
      <c r="D17805" s="326"/>
      <c r="E17805" s="326"/>
      <c r="F17805" s="326"/>
      <c r="G17805" s="326"/>
      <c r="H17805" s="326"/>
      <c r="P17805" s="318"/>
      <c r="Q17805" s="318"/>
      <c r="R17805" s="318"/>
      <c r="S17805" s="318"/>
      <c r="T17805" s="318"/>
      <c r="U17805" s="318"/>
      <c r="V17805" s="318"/>
      <c r="W17805" s="318"/>
      <c r="X17805" s="318"/>
      <c r="Y17805" s="318"/>
      <c r="Z17805" s="318"/>
      <c r="AA17805" s="318"/>
      <c r="AB17805" s="318"/>
      <c r="AC17805" s="318"/>
      <c r="AD17805" s="318"/>
    </row>
    <row r="17806" spans="2:30" s="323" customFormat="1" ht="12" customHeight="1">
      <c r="B17806" s="324"/>
      <c r="C17806" s="325"/>
      <c r="D17806" s="326"/>
      <c r="E17806" s="326"/>
      <c r="F17806" s="326"/>
      <c r="G17806" s="326"/>
      <c r="H17806" s="326"/>
      <c r="P17806" s="318"/>
      <c r="Q17806" s="318"/>
      <c r="R17806" s="318"/>
      <c r="S17806" s="318"/>
      <c r="T17806" s="318"/>
      <c r="U17806" s="318"/>
      <c r="V17806" s="318"/>
      <c r="W17806" s="318"/>
      <c r="X17806" s="318"/>
      <c r="Y17806" s="318"/>
      <c r="Z17806" s="318"/>
      <c r="AA17806" s="318"/>
      <c r="AB17806" s="318"/>
      <c r="AC17806" s="318"/>
      <c r="AD17806" s="318"/>
    </row>
    <row r="17807" spans="2:30" s="323" customFormat="1" ht="12" customHeight="1">
      <c r="B17807" s="324"/>
      <c r="C17807" s="325"/>
      <c r="D17807" s="326"/>
      <c r="E17807" s="326"/>
      <c r="F17807" s="326"/>
      <c r="G17807" s="326"/>
      <c r="H17807" s="326"/>
      <c r="P17807" s="318"/>
      <c r="Q17807" s="318"/>
      <c r="R17807" s="318"/>
      <c r="S17807" s="318"/>
      <c r="T17807" s="318"/>
      <c r="U17807" s="318"/>
      <c r="V17807" s="318"/>
      <c r="W17807" s="318"/>
      <c r="X17807" s="318"/>
      <c r="Y17807" s="318"/>
      <c r="Z17807" s="318"/>
      <c r="AA17807" s="318"/>
      <c r="AB17807" s="318"/>
      <c r="AC17807" s="318"/>
      <c r="AD17807" s="318"/>
    </row>
    <row r="17808" spans="2:30" s="323" customFormat="1" ht="12" customHeight="1">
      <c r="B17808" s="324"/>
      <c r="C17808" s="325"/>
      <c r="D17808" s="326"/>
      <c r="E17808" s="326"/>
      <c r="F17808" s="326"/>
      <c r="G17808" s="326"/>
      <c r="H17808" s="326"/>
      <c r="P17808" s="318"/>
      <c r="Q17808" s="318"/>
      <c r="R17808" s="318"/>
      <c r="S17808" s="318"/>
      <c r="T17808" s="318"/>
      <c r="U17808" s="318"/>
      <c r="V17808" s="318"/>
      <c r="W17808" s="318"/>
      <c r="X17808" s="318"/>
      <c r="Y17808" s="318"/>
      <c r="Z17808" s="318"/>
      <c r="AA17808" s="318"/>
      <c r="AB17808" s="318"/>
      <c r="AC17808" s="318"/>
      <c r="AD17808" s="318"/>
    </row>
    <row r="17809" spans="2:30" s="323" customFormat="1" ht="12" customHeight="1">
      <c r="B17809" s="324"/>
      <c r="C17809" s="325"/>
      <c r="D17809" s="326"/>
      <c r="E17809" s="326"/>
      <c r="F17809" s="326"/>
      <c r="G17809" s="326"/>
      <c r="H17809" s="326"/>
      <c r="P17809" s="318"/>
      <c r="Q17809" s="318"/>
      <c r="R17809" s="318"/>
      <c r="S17809" s="318"/>
      <c r="T17809" s="318"/>
      <c r="U17809" s="318"/>
      <c r="V17809" s="318"/>
      <c r="W17809" s="318"/>
      <c r="X17809" s="318"/>
      <c r="Y17809" s="318"/>
      <c r="Z17809" s="318"/>
      <c r="AA17809" s="318"/>
      <c r="AB17809" s="318"/>
      <c r="AC17809" s="318"/>
      <c r="AD17809" s="318"/>
    </row>
    <row r="17810" spans="2:30" s="323" customFormat="1" ht="12" customHeight="1">
      <c r="B17810" s="324"/>
      <c r="C17810" s="325"/>
      <c r="D17810" s="326"/>
      <c r="E17810" s="326"/>
      <c r="F17810" s="326"/>
      <c r="G17810" s="326"/>
      <c r="H17810" s="326"/>
      <c r="P17810" s="318"/>
      <c r="Q17810" s="318"/>
      <c r="R17810" s="318"/>
      <c r="S17810" s="318"/>
      <c r="T17810" s="318"/>
      <c r="U17810" s="318"/>
      <c r="V17810" s="318"/>
      <c r="W17810" s="318"/>
      <c r="X17810" s="318"/>
      <c r="Y17810" s="318"/>
      <c r="Z17810" s="318"/>
      <c r="AA17810" s="318"/>
      <c r="AB17810" s="318"/>
      <c r="AC17810" s="318"/>
      <c r="AD17810" s="318"/>
    </row>
    <row r="17811" spans="2:30" s="323" customFormat="1" ht="12" customHeight="1">
      <c r="B17811" s="324"/>
      <c r="C17811" s="325"/>
      <c r="D17811" s="326"/>
      <c r="E17811" s="326"/>
      <c r="F17811" s="326"/>
      <c r="G17811" s="326"/>
      <c r="H17811" s="326"/>
      <c r="P17811" s="318"/>
      <c r="Q17811" s="318"/>
      <c r="R17811" s="318"/>
      <c r="S17811" s="318"/>
      <c r="T17811" s="318"/>
      <c r="U17811" s="318"/>
      <c r="V17811" s="318"/>
      <c r="W17811" s="318"/>
      <c r="X17811" s="318"/>
      <c r="Y17811" s="318"/>
      <c r="Z17811" s="318"/>
      <c r="AA17811" s="318"/>
      <c r="AB17811" s="318"/>
      <c r="AC17811" s="318"/>
      <c r="AD17811" s="318"/>
    </row>
    <row r="17812" spans="2:30" s="323" customFormat="1" ht="12" customHeight="1">
      <c r="B17812" s="324"/>
      <c r="C17812" s="325"/>
      <c r="D17812" s="326"/>
      <c r="E17812" s="326"/>
      <c r="F17812" s="326"/>
      <c r="G17812" s="326"/>
      <c r="H17812" s="326"/>
      <c r="P17812" s="318"/>
      <c r="Q17812" s="318"/>
      <c r="R17812" s="318"/>
      <c r="S17812" s="318"/>
      <c r="T17812" s="318"/>
      <c r="U17812" s="318"/>
      <c r="V17812" s="318"/>
      <c r="W17812" s="318"/>
      <c r="X17812" s="318"/>
      <c r="Y17812" s="318"/>
      <c r="Z17812" s="318"/>
      <c r="AA17812" s="318"/>
      <c r="AB17812" s="318"/>
      <c r="AC17812" s="318"/>
      <c r="AD17812" s="318"/>
    </row>
    <row r="17813" spans="2:30" s="323" customFormat="1" ht="12" customHeight="1">
      <c r="B17813" s="324"/>
      <c r="C17813" s="325"/>
      <c r="D17813" s="326"/>
      <c r="E17813" s="326"/>
      <c r="F17813" s="326"/>
      <c r="G17813" s="326"/>
      <c r="H17813" s="326"/>
      <c r="P17813" s="318"/>
      <c r="Q17813" s="318"/>
      <c r="R17813" s="318"/>
      <c r="S17813" s="318"/>
      <c r="T17813" s="318"/>
      <c r="U17813" s="318"/>
      <c r="V17813" s="318"/>
      <c r="W17813" s="318"/>
      <c r="X17813" s="318"/>
      <c r="Y17813" s="318"/>
      <c r="Z17813" s="318"/>
      <c r="AA17813" s="318"/>
      <c r="AB17813" s="318"/>
      <c r="AC17813" s="318"/>
      <c r="AD17813" s="318"/>
    </row>
    <row r="17814" spans="2:30" s="323" customFormat="1" ht="12" customHeight="1">
      <c r="B17814" s="324"/>
      <c r="C17814" s="325"/>
      <c r="D17814" s="326"/>
      <c r="E17814" s="326"/>
      <c r="F17814" s="326"/>
      <c r="G17814" s="326"/>
      <c r="H17814" s="326"/>
      <c r="P17814" s="318"/>
      <c r="Q17814" s="318"/>
      <c r="R17814" s="318"/>
      <c r="S17814" s="318"/>
      <c r="T17814" s="318"/>
      <c r="U17814" s="318"/>
      <c r="V17814" s="318"/>
      <c r="W17814" s="318"/>
      <c r="X17814" s="318"/>
      <c r="Y17814" s="318"/>
      <c r="Z17814" s="318"/>
      <c r="AA17814" s="318"/>
      <c r="AB17814" s="318"/>
      <c r="AC17814" s="318"/>
      <c r="AD17814" s="318"/>
    </row>
    <row r="17815" spans="2:30" s="323" customFormat="1" ht="12" customHeight="1">
      <c r="B17815" s="324"/>
      <c r="C17815" s="325"/>
      <c r="D17815" s="326"/>
      <c r="E17815" s="326"/>
      <c r="F17815" s="326"/>
      <c r="G17815" s="326"/>
      <c r="H17815" s="326"/>
      <c r="P17815" s="318"/>
      <c r="Q17815" s="318"/>
      <c r="R17815" s="318"/>
      <c r="S17815" s="318"/>
      <c r="T17815" s="318"/>
      <c r="U17815" s="318"/>
      <c r="V17815" s="318"/>
      <c r="W17815" s="318"/>
      <c r="X17815" s="318"/>
      <c r="Y17815" s="318"/>
      <c r="Z17815" s="318"/>
      <c r="AA17815" s="318"/>
      <c r="AB17815" s="318"/>
      <c r="AC17815" s="318"/>
      <c r="AD17815" s="318"/>
    </row>
    <row r="17816" spans="2:30" s="323" customFormat="1" ht="12" customHeight="1">
      <c r="B17816" s="324"/>
      <c r="C17816" s="325"/>
      <c r="D17816" s="326"/>
      <c r="E17816" s="326"/>
      <c r="F17816" s="326"/>
      <c r="G17816" s="326"/>
      <c r="H17816" s="326"/>
      <c r="P17816" s="318"/>
      <c r="Q17816" s="318"/>
      <c r="R17816" s="318"/>
      <c r="S17816" s="318"/>
      <c r="T17816" s="318"/>
      <c r="U17816" s="318"/>
      <c r="V17816" s="318"/>
      <c r="W17816" s="318"/>
      <c r="X17816" s="318"/>
      <c r="Y17816" s="318"/>
      <c r="Z17816" s="318"/>
      <c r="AA17816" s="318"/>
      <c r="AB17816" s="318"/>
      <c r="AC17816" s="318"/>
      <c r="AD17816" s="318"/>
    </row>
    <row r="17817" spans="2:30" s="323" customFormat="1" ht="12" customHeight="1">
      <c r="B17817" s="324"/>
      <c r="C17817" s="325"/>
      <c r="D17817" s="326"/>
      <c r="E17817" s="326"/>
      <c r="F17817" s="326"/>
      <c r="G17817" s="326"/>
      <c r="H17817" s="326"/>
      <c r="P17817" s="318"/>
      <c r="Q17817" s="318"/>
      <c r="R17817" s="318"/>
      <c r="S17817" s="318"/>
      <c r="T17817" s="318"/>
      <c r="U17817" s="318"/>
      <c r="V17817" s="318"/>
      <c r="W17817" s="318"/>
      <c r="X17817" s="318"/>
      <c r="Y17817" s="318"/>
      <c r="Z17817" s="318"/>
      <c r="AA17817" s="318"/>
      <c r="AB17817" s="318"/>
      <c r="AC17817" s="318"/>
      <c r="AD17817" s="318"/>
    </row>
    <row r="17818" spans="2:30" s="323" customFormat="1" ht="12" customHeight="1">
      <c r="B17818" s="324"/>
      <c r="C17818" s="325"/>
      <c r="D17818" s="326"/>
      <c r="E17818" s="326"/>
      <c r="F17818" s="326"/>
      <c r="G17818" s="326"/>
      <c r="H17818" s="326"/>
      <c r="P17818" s="318"/>
      <c r="Q17818" s="318"/>
      <c r="R17818" s="318"/>
      <c r="S17818" s="318"/>
      <c r="T17818" s="318"/>
      <c r="U17818" s="318"/>
      <c r="V17818" s="318"/>
      <c r="W17818" s="318"/>
      <c r="X17818" s="318"/>
      <c r="Y17818" s="318"/>
      <c r="Z17818" s="318"/>
      <c r="AA17818" s="318"/>
      <c r="AB17818" s="318"/>
      <c r="AC17818" s="318"/>
      <c r="AD17818" s="318"/>
    </row>
    <row r="17819" spans="2:30" s="323" customFormat="1" ht="12" customHeight="1">
      <c r="B17819" s="324"/>
      <c r="C17819" s="325"/>
      <c r="D17819" s="326"/>
      <c r="E17819" s="326"/>
      <c r="F17819" s="326"/>
      <c r="G17819" s="326"/>
      <c r="H17819" s="326"/>
      <c r="P17819" s="318"/>
      <c r="Q17819" s="318"/>
      <c r="R17819" s="318"/>
      <c r="S17819" s="318"/>
      <c r="T17819" s="318"/>
      <c r="U17819" s="318"/>
      <c r="V17819" s="318"/>
      <c r="W17819" s="318"/>
      <c r="X17819" s="318"/>
      <c r="Y17819" s="318"/>
      <c r="Z17819" s="318"/>
      <c r="AA17819" s="318"/>
      <c r="AB17819" s="318"/>
      <c r="AC17819" s="318"/>
      <c r="AD17819" s="318"/>
    </row>
    <row r="17820" spans="2:30" s="323" customFormat="1" ht="12" customHeight="1">
      <c r="B17820" s="324"/>
      <c r="C17820" s="325"/>
      <c r="D17820" s="326"/>
      <c r="E17820" s="326"/>
      <c r="F17820" s="326"/>
      <c r="G17820" s="326"/>
      <c r="H17820" s="326"/>
      <c r="P17820" s="318"/>
      <c r="Q17820" s="318"/>
      <c r="R17820" s="318"/>
      <c r="S17820" s="318"/>
      <c r="T17820" s="318"/>
      <c r="U17820" s="318"/>
      <c r="V17820" s="318"/>
      <c r="W17820" s="318"/>
      <c r="X17820" s="318"/>
      <c r="Y17820" s="318"/>
      <c r="Z17820" s="318"/>
      <c r="AA17820" s="318"/>
      <c r="AB17820" s="318"/>
      <c r="AC17820" s="318"/>
      <c r="AD17820" s="318"/>
    </row>
    <row r="17821" spans="2:30" s="323" customFormat="1" ht="12" customHeight="1">
      <c r="B17821" s="324"/>
      <c r="C17821" s="325"/>
      <c r="D17821" s="326"/>
      <c r="E17821" s="326"/>
      <c r="F17821" s="326"/>
      <c r="G17821" s="326"/>
      <c r="H17821" s="326"/>
      <c r="P17821" s="318"/>
      <c r="Q17821" s="318"/>
      <c r="R17821" s="318"/>
      <c r="S17821" s="318"/>
      <c r="T17821" s="318"/>
      <c r="U17821" s="318"/>
      <c r="V17821" s="318"/>
      <c r="W17821" s="318"/>
      <c r="X17821" s="318"/>
      <c r="Y17821" s="318"/>
      <c r="Z17821" s="318"/>
      <c r="AA17821" s="318"/>
      <c r="AB17821" s="318"/>
      <c r="AC17821" s="318"/>
      <c r="AD17821" s="318"/>
    </row>
    <row r="17822" spans="2:30" s="323" customFormat="1" ht="12" customHeight="1">
      <c r="B17822" s="324"/>
      <c r="C17822" s="325"/>
      <c r="D17822" s="326"/>
      <c r="E17822" s="326"/>
      <c r="F17822" s="326"/>
      <c r="G17822" s="326"/>
      <c r="H17822" s="326"/>
      <c r="P17822" s="318"/>
      <c r="Q17822" s="318"/>
      <c r="R17822" s="318"/>
      <c r="S17822" s="318"/>
      <c r="T17822" s="318"/>
      <c r="U17822" s="318"/>
      <c r="V17822" s="318"/>
      <c r="W17822" s="318"/>
      <c r="X17822" s="318"/>
      <c r="Y17822" s="318"/>
      <c r="Z17822" s="318"/>
      <c r="AA17822" s="318"/>
      <c r="AB17822" s="318"/>
      <c r="AC17822" s="318"/>
      <c r="AD17822" s="318"/>
    </row>
    <row r="17823" spans="2:30" s="323" customFormat="1" ht="12" customHeight="1">
      <c r="B17823" s="324"/>
      <c r="C17823" s="325"/>
      <c r="D17823" s="326"/>
      <c r="E17823" s="326"/>
      <c r="F17823" s="326"/>
      <c r="G17823" s="326"/>
      <c r="H17823" s="326"/>
      <c r="P17823" s="318"/>
      <c r="Q17823" s="318"/>
      <c r="R17823" s="318"/>
      <c r="S17823" s="318"/>
      <c r="T17823" s="318"/>
      <c r="U17823" s="318"/>
      <c r="V17823" s="318"/>
      <c r="W17823" s="318"/>
      <c r="X17823" s="318"/>
      <c r="Y17823" s="318"/>
      <c r="Z17823" s="318"/>
      <c r="AA17823" s="318"/>
      <c r="AB17823" s="318"/>
      <c r="AC17823" s="318"/>
      <c r="AD17823" s="318"/>
    </row>
    <row r="17824" spans="2:30" s="323" customFormat="1" ht="12" customHeight="1">
      <c r="B17824" s="324"/>
      <c r="C17824" s="325"/>
      <c r="D17824" s="326"/>
      <c r="E17824" s="326"/>
      <c r="F17824" s="326"/>
      <c r="G17824" s="326"/>
      <c r="H17824" s="326"/>
      <c r="P17824" s="318"/>
      <c r="Q17824" s="318"/>
      <c r="R17824" s="318"/>
      <c r="S17824" s="318"/>
      <c r="T17824" s="318"/>
      <c r="U17824" s="318"/>
      <c r="V17824" s="318"/>
      <c r="W17824" s="318"/>
      <c r="X17824" s="318"/>
      <c r="Y17824" s="318"/>
      <c r="Z17824" s="318"/>
      <c r="AA17824" s="318"/>
      <c r="AB17824" s="318"/>
      <c r="AC17824" s="318"/>
      <c r="AD17824" s="318"/>
    </row>
    <row r="17825" spans="2:30" s="323" customFormat="1" ht="12" customHeight="1">
      <c r="B17825" s="324"/>
      <c r="C17825" s="325"/>
      <c r="D17825" s="326"/>
      <c r="E17825" s="326"/>
      <c r="F17825" s="326"/>
      <c r="G17825" s="326"/>
      <c r="H17825" s="326"/>
      <c r="P17825" s="318"/>
      <c r="Q17825" s="318"/>
      <c r="R17825" s="318"/>
      <c r="S17825" s="318"/>
      <c r="T17825" s="318"/>
      <c r="U17825" s="318"/>
      <c r="V17825" s="318"/>
      <c r="W17825" s="318"/>
      <c r="X17825" s="318"/>
      <c r="Y17825" s="318"/>
      <c r="Z17825" s="318"/>
      <c r="AA17825" s="318"/>
      <c r="AB17825" s="318"/>
      <c r="AC17825" s="318"/>
      <c r="AD17825" s="318"/>
    </row>
    <row r="17826" spans="2:30" s="323" customFormat="1" ht="12" customHeight="1">
      <c r="B17826" s="324"/>
      <c r="C17826" s="325"/>
      <c r="D17826" s="326"/>
      <c r="E17826" s="326"/>
      <c r="F17826" s="326"/>
      <c r="G17826" s="326"/>
      <c r="H17826" s="326"/>
      <c r="P17826" s="318"/>
      <c r="Q17826" s="318"/>
      <c r="R17826" s="318"/>
      <c r="S17826" s="318"/>
      <c r="T17826" s="318"/>
      <c r="U17826" s="318"/>
      <c r="V17826" s="318"/>
      <c r="W17826" s="318"/>
      <c r="X17826" s="318"/>
      <c r="Y17826" s="318"/>
      <c r="Z17826" s="318"/>
      <c r="AA17826" s="318"/>
      <c r="AB17826" s="318"/>
      <c r="AC17826" s="318"/>
      <c r="AD17826" s="318"/>
    </row>
    <row r="17827" spans="2:30" s="323" customFormat="1" ht="12" customHeight="1">
      <c r="B17827" s="324"/>
      <c r="C17827" s="325"/>
      <c r="D17827" s="326"/>
      <c r="E17827" s="326"/>
      <c r="F17827" s="326"/>
      <c r="G17827" s="326"/>
      <c r="H17827" s="326"/>
      <c r="P17827" s="318"/>
      <c r="Q17827" s="318"/>
      <c r="R17827" s="318"/>
      <c r="S17827" s="318"/>
      <c r="T17827" s="318"/>
      <c r="U17827" s="318"/>
      <c r="V17827" s="318"/>
      <c r="W17827" s="318"/>
      <c r="X17827" s="318"/>
      <c r="Y17827" s="318"/>
      <c r="Z17827" s="318"/>
      <c r="AA17827" s="318"/>
      <c r="AB17827" s="318"/>
      <c r="AC17827" s="318"/>
      <c r="AD17827" s="318"/>
    </row>
    <row r="17828" spans="2:30" s="323" customFormat="1" ht="12" customHeight="1">
      <c r="B17828" s="324"/>
      <c r="C17828" s="325"/>
      <c r="D17828" s="326"/>
      <c r="E17828" s="326"/>
      <c r="F17828" s="326"/>
      <c r="G17828" s="326"/>
      <c r="H17828" s="326"/>
      <c r="P17828" s="318"/>
      <c r="Q17828" s="318"/>
      <c r="R17828" s="318"/>
      <c r="S17828" s="318"/>
      <c r="T17828" s="318"/>
      <c r="U17828" s="318"/>
      <c r="V17828" s="318"/>
      <c r="W17828" s="318"/>
      <c r="X17828" s="318"/>
      <c r="Y17828" s="318"/>
      <c r="Z17828" s="318"/>
      <c r="AA17828" s="318"/>
      <c r="AB17828" s="318"/>
      <c r="AC17828" s="318"/>
      <c r="AD17828" s="318"/>
    </row>
    <row r="17829" spans="2:30" s="323" customFormat="1" ht="12" customHeight="1">
      <c r="B17829" s="324"/>
      <c r="C17829" s="325"/>
      <c r="D17829" s="326"/>
      <c r="E17829" s="326"/>
      <c r="F17829" s="326"/>
      <c r="G17829" s="326"/>
      <c r="H17829" s="326"/>
      <c r="P17829" s="318"/>
      <c r="Q17829" s="318"/>
      <c r="R17829" s="318"/>
      <c r="S17829" s="318"/>
      <c r="T17829" s="318"/>
      <c r="U17829" s="318"/>
      <c r="V17829" s="318"/>
      <c r="W17829" s="318"/>
      <c r="X17829" s="318"/>
      <c r="Y17829" s="318"/>
      <c r="Z17829" s="318"/>
      <c r="AA17829" s="318"/>
      <c r="AB17829" s="318"/>
      <c r="AC17829" s="318"/>
      <c r="AD17829" s="318"/>
    </row>
    <row r="17830" spans="2:30" s="323" customFormat="1" ht="12" customHeight="1">
      <c r="B17830" s="324"/>
      <c r="C17830" s="325"/>
      <c r="D17830" s="326"/>
      <c r="E17830" s="326"/>
      <c r="F17830" s="326"/>
      <c r="G17830" s="326"/>
      <c r="H17830" s="326"/>
      <c r="P17830" s="318"/>
      <c r="Q17830" s="318"/>
      <c r="R17830" s="318"/>
      <c r="S17830" s="318"/>
      <c r="T17830" s="318"/>
      <c r="U17830" s="318"/>
      <c r="V17830" s="318"/>
      <c r="W17830" s="318"/>
      <c r="X17830" s="318"/>
      <c r="Y17830" s="318"/>
      <c r="Z17830" s="318"/>
      <c r="AA17830" s="318"/>
      <c r="AB17830" s="318"/>
      <c r="AC17830" s="318"/>
      <c r="AD17830" s="318"/>
    </row>
    <row r="17831" spans="2:30" s="323" customFormat="1" ht="12" customHeight="1">
      <c r="B17831" s="324"/>
      <c r="C17831" s="325"/>
      <c r="D17831" s="326"/>
      <c r="E17831" s="326"/>
      <c r="F17831" s="326"/>
      <c r="G17831" s="326"/>
      <c r="H17831" s="326"/>
      <c r="P17831" s="318"/>
      <c r="Q17831" s="318"/>
      <c r="R17831" s="318"/>
      <c r="S17831" s="318"/>
      <c r="T17831" s="318"/>
      <c r="U17831" s="318"/>
      <c r="V17831" s="318"/>
      <c r="W17831" s="318"/>
      <c r="X17831" s="318"/>
      <c r="Y17831" s="318"/>
      <c r="Z17831" s="318"/>
      <c r="AA17831" s="318"/>
      <c r="AB17831" s="318"/>
      <c r="AC17831" s="318"/>
      <c r="AD17831" s="318"/>
    </row>
    <row r="17832" spans="2:30" s="323" customFormat="1" ht="12" customHeight="1">
      <c r="B17832" s="324"/>
      <c r="C17832" s="325"/>
      <c r="D17832" s="326"/>
      <c r="E17832" s="326"/>
      <c r="F17832" s="326"/>
      <c r="G17832" s="326"/>
      <c r="H17832" s="326"/>
      <c r="P17832" s="318"/>
      <c r="Q17832" s="318"/>
      <c r="R17832" s="318"/>
      <c r="S17832" s="318"/>
      <c r="T17832" s="318"/>
      <c r="U17832" s="318"/>
      <c r="V17832" s="318"/>
      <c r="W17832" s="318"/>
      <c r="X17832" s="318"/>
      <c r="Y17832" s="318"/>
      <c r="Z17832" s="318"/>
      <c r="AA17832" s="318"/>
      <c r="AB17832" s="318"/>
      <c r="AC17832" s="318"/>
      <c r="AD17832" s="318"/>
    </row>
    <row r="17833" spans="2:30" s="323" customFormat="1" ht="12" customHeight="1">
      <c r="B17833" s="324"/>
      <c r="C17833" s="325"/>
      <c r="D17833" s="326"/>
      <c r="E17833" s="326"/>
      <c r="F17833" s="326"/>
      <c r="G17833" s="326"/>
      <c r="H17833" s="326"/>
      <c r="P17833" s="318"/>
      <c r="Q17833" s="318"/>
      <c r="R17833" s="318"/>
      <c r="S17833" s="318"/>
      <c r="T17833" s="318"/>
      <c r="U17833" s="318"/>
      <c r="V17833" s="318"/>
      <c r="W17833" s="318"/>
      <c r="X17833" s="318"/>
      <c r="Y17833" s="318"/>
      <c r="Z17833" s="318"/>
      <c r="AA17833" s="318"/>
      <c r="AB17833" s="318"/>
      <c r="AC17833" s="318"/>
      <c r="AD17833" s="318"/>
    </row>
    <row r="17834" spans="2:30" s="323" customFormat="1" ht="12" customHeight="1">
      <c r="B17834" s="324"/>
      <c r="C17834" s="325"/>
      <c r="D17834" s="326"/>
      <c r="E17834" s="326"/>
      <c r="F17834" s="326"/>
      <c r="G17834" s="326"/>
      <c r="H17834" s="326"/>
      <c r="P17834" s="318"/>
      <c r="Q17834" s="318"/>
      <c r="R17834" s="318"/>
      <c r="S17834" s="318"/>
      <c r="T17834" s="318"/>
      <c r="U17834" s="318"/>
      <c r="V17834" s="318"/>
      <c r="W17834" s="318"/>
      <c r="X17834" s="318"/>
      <c r="Y17834" s="318"/>
      <c r="Z17834" s="318"/>
      <c r="AA17834" s="318"/>
      <c r="AB17834" s="318"/>
      <c r="AC17834" s="318"/>
      <c r="AD17834" s="318"/>
    </row>
    <row r="17835" spans="2:30" s="323" customFormat="1" ht="12" customHeight="1">
      <c r="B17835" s="324"/>
      <c r="C17835" s="325"/>
      <c r="D17835" s="326"/>
      <c r="E17835" s="326"/>
      <c r="F17835" s="326"/>
      <c r="G17835" s="326"/>
      <c r="H17835" s="326"/>
      <c r="P17835" s="318"/>
      <c r="Q17835" s="318"/>
      <c r="R17835" s="318"/>
      <c r="S17835" s="318"/>
      <c r="T17835" s="318"/>
      <c r="U17835" s="318"/>
      <c r="V17835" s="318"/>
      <c r="W17835" s="318"/>
      <c r="X17835" s="318"/>
      <c r="Y17835" s="318"/>
      <c r="Z17835" s="318"/>
      <c r="AA17835" s="318"/>
      <c r="AB17835" s="318"/>
      <c r="AC17835" s="318"/>
      <c r="AD17835" s="318"/>
    </row>
    <row r="17836" spans="2:30" s="323" customFormat="1" ht="12" customHeight="1">
      <c r="B17836" s="324"/>
      <c r="C17836" s="325"/>
      <c r="D17836" s="326"/>
      <c r="E17836" s="326"/>
      <c r="F17836" s="326"/>
      <c r="G17836" s="326"/>
      <c r="H17836" s="326"/>
      <c r="P17836" s="318"/>
      <c r="Q17836" s="318"/>
      <c r="R17836" s="318"/>
      <c r="S17836" s="318"/>
      <c r="T17836" s="318"/>
      <c r="U17836" s="318"/>
      <c r="V17836" s="318"/>
      <c r="W17836" s="318"/>
      <c r="X17836" s="318"/>
      <c r="Y17836" s="318"/>
      <c r="Z17836" s="318"/>
      <c r="AA17836" s="318"/>
      <c r="AB17836" s="318"/>
      <c r="AC17836" s="318"/>
      <c r="AD17836" s="318"/>
    </row>
    <row r="17837" spans="2:30" s="323" customFormat="1" ht="12" customHeight="1">
      <c r="B17837" s="324"/>
      <c r="C17837" s="325"/>
      <c r="D17837" s="326"/>
      <c r="E17837" s="326"/>
      <c r="F17837" s="326"/>
      <c r="G17837" s="326"/>
      <c r="H17837" s="326"/>
      <c r="P17837" s="318"/>
      <c r="Q17837" s="318"/>
      <c r="R17837" s="318"/>
      <c r="S17837" s="318"/>
      <c r="T17837" s="318"/>
      <c r="U17837" s="318"/>
      <c r="V17837" s="318"/>
      <c r="W17837" s="318"/>
      <c r="X17837" s="318"/>
      <c r="Y17837" s="318"/>
      <c r="Z17837" s="318"/>
      <c r="AA17837" s="318"/>
      <c r="AB17837" s="318"/>
      <c r="AC17837" s="318"/>
      <c r="AD17837" s="318"/>
    </row>
    <row r="17838" spans="2:30" s="323" customFormat="1" ht="12" customHeight="1">
      <c r="B17838" s="324"/>
      <c r="C17838" s="325"/>
      <c r="D17838" s="326"/>
      <c r="E17838" s="326"/>
      <c r="F17838" s="326"/>
      <c r="G17838" s="326"/>
      <c r="H17838" s="326"/>
      <c r="P17838" s="318"/>
      <c r="Q17838" s="318"/>
      <c r="R17838" s="318"/>
      <c r="S17838" s="318"/>
      <c r="T17838" s="318"/>
      <c r="U17838" s="318"/>
      <c r="V17838" s="318"/>
      <c r="W17838" s="318"/>
      <c r="X17838" s="318"/>
      <c r="Y17838" s="318"/>
      <c r="Z17838" s="318"/>
      <c r="AA17838" s="318"/>
      <c r="AB17838" s="318"/>
      <c r="AC17838" s="318"/>
      <c r="AD17838" s="318"/>
    </row>
    <row r="17839" spans="2:30" s="323" customFormat="1" ht="12" customHeight="1">
      <c r="B17839" s="324"/>
      <c r="C17839" s="325"/>
      <c r="D17839" s="326"/>
      <c r="E17839" s="326"/>
      <c r="F17839" s="326"/>
      <c r="G17839" s="326"/>
      <c r="H17839" s="326"/>
      <c r="P17839" s="318"/>
      <c r="Q17839" s="318"/>
      <c r="R17839" s="318"/>
      <c r="S17839" s="318"/>
      <c r="T17839" s="318"/>
      <c r="U17839" s="318"/>
      <c r="V17839" s="318"/>
      <c r="W17839" s="318"/>
      <c r="X17839" s="318"/>
      <c r="Y17839" s="318"/>
      <c r="Z17839" s="318"/>
      <c r="AA17839" s="318"/>
      <c r="AB17839" s="318"/>
      <c r="AC17839" s="318"/>
      <c r="AD17839" s="318"/>
    </row>
    <row r="17840" spans="2:30" s="323" customFormat="1" ht="12" customHeight="1">
      <c r="B17840" s="324"/>
      <c r="C17840" s="325"/>
      <c r="D17840" s="326"/>
      <c r="E17840" s="326"/>
      <c r="F17840" s="326"/>
      <c r="G17840" s="326"/>
      <c r="H17840" s="326"/>
      <c r="P17840" s="318"/>
      <c r="Q17840" s="318"/>
      <c r="R17840" s="318"/>
      <c r="S17840" s="318"/>
      <c r="T17840" s="318"/>
      <c r="U17840" s="318"/>
      <c r="V17840" s="318"/>
      <c r="W17840" s="318"/>
      <c r="X17840" s="318"/>
      <c r="Y17840" s="318"/>
      <c r="Z17840" s="318"/>
      <c r="AA17840" s="318"/>
      <c r="AB17840" s="318"/>
      <c r="AC17840" s="318"/>
      <c r="AD17840" s="318"/>
    </row>
    <row r="17841" spans="2:30" s="323" customFormat="1" ht="12" customHeight="1">
      <c r="B17841" s="324"/>
      <c r="C17841" s="325"/>
      <c r="D17841" s="326"/>
      <c r="E17841" s="326"/>
      <c r="F17841" s="326"/>
      <c r="G17841" s="326"/>
      <c r="H17841" s="326"/>
      <c r="P17841" s="318"/>
      <c r="Q17841" s="318"/>
      <c r="R17841" s="318"/>
      <c r="S17841" s="318"/>
      <c r="T17841" s="318"/>
      <c r="U17841" s="318"/>
      <c r="V17841" s="318"/>
      <c r="W17841" s="318"/>
      <c r="X17841" s="318"/>
      <c r="Y17841" s="318"/>
      <c r="Z17841" s="318"/>
      <c r="AA17841" s="318"/>
      <c r="AB17841" s="318"/>
      <c r="AC17841" s="318"/>
      <c r="AD17841" s="318"/>
    </row>
    <row r="17842" spans="2:30" s="323" customFormat="1" ht="12" customHeight="1">
      <c r="B17842" s="324"/>
      <c r="C17842" s="325"/>
      <c r="D17842" s="326"/>
      <c r="E17842" s="326"/>
      <c r="F17842" s="326"/>
      <c r="G17842" s="326"/>
      <c r="H17842" s="326"/>
      <c r="P17842" s="318"/>
      <c r="Q17842" s="318"/>
      <c r="R17842" s="318"/>
      <c r="S17842" s="318"/>
      <c r="T17842" s="318"/>
      <c r="U17842" s="318"/>
      <c r="V17842" s="318"/>
      <c r="W17842" s="318"/>
      <c r="X17842" s="318"/>
      <c r="Y17842" s="318"/>
      <c r="Z17842" s="318"/>
      <c r="AA17842" s="318"/>
      <c r="AB17842" s="318"/>
      <c r="AC17842" s="318"/>
      <c r="AD17842" s="318"/>
    </row>
    <row r="17843" spans="2:30" s="323" customFormat="1" ht="12" customHeight="1">
      <c r="B17843" s="324"/>
      <c r="C17843" s="325"/>
      <c r="D17843" s="326"/>
      <c r="E17843" s="326"/>
      <c r="F17843" s="326"/>
      <c r="G17843" s="326"/>
      <c r="H17843" s="326"/>
      <c r="P17843" s="318"/>
      <c r="Q17843" s="318"/>
      <c r="R17843" s="318"/>
      <c r="S17843" s="318"/>
      <c r="T17843" s="318"/>
      <c r="U17843" s="318"/>
      <c r="V17843" s="318"/>
      <c r="W17843" s="318"/>
      <c r="X17843" s="318"/>
      <c r="Y17843" s="318"/>
      <c r="Z17843" s="318"/>
      <c r="AA17843" s="318"/>
      <c r="AB17843" s="318"/>
      <c r="AC17843" s="318"/>
      <c r="AD17843" s="318"/>
    </row>
    <row r="17844" spans="2:30" s="323" customFormat="1" ht="12" customHeight="1">
      <c r="B17844" s="324"/>
      <c r="C17844" s="325"/>
      <c r="D17844" s="326"/>
      <c r="E17844" s="326"/>
      <c r="F17844" s="326"/>
      <c r="G17844" s="326"/>
      <c r="H17844" s="326"/>
      <c r="P17844" s="318"/>
      <c r="Q17844" s="318"/>
      <c r="R17844" s="318"/>
      <c r="S17844" s="318"/>
      <c r="T17844" s="318"/>
      <c r="U17844" s="318"/>
      <c r="V17844" s="318"/>
      <c r="W17844" s="318"/>
      <c r="X17844" s="318"/>
      <c r="Y17844" s="318"/>
      <c r="Z17844" s="318"/>
      <c r="AA17844" s="318"/>
      <c r="AB17844" s="318"/>
      <c r="AC17844" s="318"/>
      <c r="AD17844" s="318"/>
    </row>
    <row r="17845" spans="2:30" s="323" customFormat="1" ht="12" customHeight="1">
      <c r="B17845" s="324"/>
      <c r="C17845" s="325"/>
      <c r="D17845" s="326"/>
      <c r="E17845" s="326"/>
      <c r="F17845" s="326"/>
      <c r="G17845" s="326"/>
      <c r="H17845" s="326"/>
      <c r="P17845" s="318"/>
      <c r="Q17845" s="318"/>
      <c r="R17845" s="318"/>
      <c r="S17845" s="318"/>
      <c r="T17845" s="318"/>
      <c r="U17845" s="318"/>
      <c r="V17845" s="318"/>
      <c r="W17845" s="318"/>
      <c r="X17845" s="318"/>
      <c r="Y17845" s="318"/>
      <c r="Z17845" s="318"/>
      <c r="AA17845" s="318"/>
      <c r="AB17845" s="318"/>
      <c r="AC17845" s="318"/>
      <c r="AD17845" s="318"/>
    </row>
    <row r="17846" spans="2:30" s="323" customFormat="1" ht="12" customHeight="1">
      <c r="B17846" s="324"/>
      <c r="C17846" s="325"/>
      <c r="D17846" s="326"/>
      <c r="E17846" s="326"/>
      <c r="F17846" s="326"/>
      <c r="G17846" s="326"/>
      <c r="H17846" s="326"/>
      <c r="P17846" s="318"/>
      <c r="Q17846" s="318"/>
      <c r="R17846" s="318"/>
      <c r="S17846" s="318"/>
      <c r="T17846" s="318"/>
      <c r="U17846" s="318"/>
      <c r="V17846" s="318"/>
      <c r="W17846" s="318"/>
      <c r="X17846" s="318"/>
      <c r="Y17846" s="318"/>
      <c r="Z17846" s="318"/>
      <c r="AA17846" s="318"/>
      <c r="AB17846" s="318"/>
      <c r="AC17846" s="318"/>
      <c r="AD17846" s="318"/>
    </row>
    <row r="17847" spans="2:30" s="323" customFormat="1" ht="12" customHeight="1">
      <c r="B17847" s="324"/>
      <c r="C17847" s="325"/>
      <c r="D17847" s="326"/>
      <c r="E17847" s="326"/>
      <c r="F17847" s="326"/>
      <c r="G17847" s="326"/>
      <c r="H17847" s="326"/>
      <c r="P17847" s="318"/>
      <c r="Q17847" s="318"/>
      <c r="R17847" s="318"/>
      <c r="S17847" s="318"/>
      <c r="T17847" s="318"/>
      <c r="U17847" s="318"/>
      <c r="V17847" s="318"/>
      <c r="W17847" s="318"/>
      <c r="X17847" s="318"/>
      <c r="Y17847" s="318"/>
      <c r="Z17847" s="318"/>
      <c r="AA17847" s="318"/>
      <c r="AB17847" s="318"/>
      <c r="AC17847" s="318"/>
      <c r="AD17847" s="318"/>
    </row>
    <row r="17848" spans="2:30" s="323" customFormat="1" ht="12" customHeight="1">
      <c r="B17848" s="324"/>
      <c r="C17848" s="325"/>
      <c r="D17848" s="326"/>
      <c r="E17848" s="326"/>
      <c r="F17848" s="326"/>
      <c r="G17848" s="326"/>
      <c r="H17848" s="326"/>
      <c r="P17848" s="318"/>
      <c r="Q17848" s="318"/>
      <c r="R17848" s="318"/>
      <c r="S17848" s="318"/>
      <c r="T17848" s="318"/>
      <c r="U17848" s="318"/>
      <c r="V17848" s="318"/>
      <c r="W17848" s="318"/>
      <c r="X17848" s="318"/>
      <c r="Y17848" s="318"/>
      <c r="Z17848" s="318"/>
      <c r="AA17848" s="318"/>
      <c r="AB17848" s="318"/>
      <c r="AC17848" s="318"/>
      <c r="AD17848" s="318"/>
    </row>
    <row r="17849" spans="2:30" s="323" customFormat="1" ht="12" customHeight="1">
      <c r="B17849" s="324"/>
      <c r="C17849" s="325"/>
      <c r="D17849" s="326"/>
      <c r="E17849" s="326"/>
      <c r="F17849" s="326"/>
      <c r="G17849" s="326"/>
      <c r="H17849" s="326"/>
      <c r="P17849" s="318"/>
      <c r="Q17849" s="318"/>
      <c r="R17849" s="318"/>
      <c r="S17849" s="318"/>
      <c r="T17849" s="318"/>
      <c r="U17849" s="318"/>
      <c r="V17849" s="318"/>
      <c r="W17849" s="318"/>
      <c r="X17849" s="318"/>
      <c r="Y17849" s="318"/>
      <c r="Z17849" s="318"/>
      <c r="AA17849" s="318"/>
      <c r="AB17849" s="318"/>
      <c r="AC17849" s="318"/>
      <c r="AD17849" s="318"/>
    </row>
    <row r="17850" spans="2:30" s="323" customFormat="1" ht="12" customHeight="1">
      <c r="B17850" s="324"/>
      <c r="C17850" s="325"/>
      <c r="D17850" s="326"/>
      <c r="E17850" s="326"/>
      <c r="F17850" s="326"/>
      <c r="G17850" s="326"/>
      <c r="H17850" s="326"/>
      <c r="P17850" s="318"/>
      <c r="Q17850" s="318"/>
      <c r="R17850" s="318"/>
      <c r="S17850" s="318"/>
      <c r="T17850" s="318"/>
      <c r="U17850" s="318"/>
      <c r="V17850" s="318"/>
      <c r="W17850" s="318"/>
      <c r="X17850" s="318"/>
      <c r="Y17850" s="318"/>
      <c r="Z17850" s="318"/>
      <c r="AA17850" s="318"/>
      <c r="AB17850" s="318"/>
      <c r="AC17850" s="318"/>
      <c r="AD17850" s="318"/>
    </row>
    <row r="17851" spans="2:30" s="323" customFormat="1" ht="12" customHeight="1">
      <c r="B17851" s="324"/>
      <c r="C17851" s="325"/>
      <c r="D17851" s="326"/>
      <c r="E17851" s="326"/>
      <c r="F17851" s="326"/>
      <c r="G17851" s="326"/>
      <c r="H17851" s="326"/>
      <c r="P17851" s="318"/>
      <c r="Q17851" s="318"/>
      <c r="R17851" s="318"/>
      <c r="S17851" s="318"/>
      <c r="T17851" s="318"/>
      <c r="U17851" s="318"/>
      <c r="V17851" s="318"/>
      <c r="W17851" s="318"/>
      <c r="X17851" s="318"/>
      <c r="Y17851" s="318"/>
      <c r="Z17851" s="318"/>
      <c r="AA17851" s="318"/>
      <c r="AB17851" s="318"/>
      <c r="AC17851" s="318"/>
      <c r="AD17851" s="318"/>
    </row>
    <row r="17852" spans="2:30" s="323" customFormat="1" ht="12" customHeight="1">
      <c r="B17852" s="324"/>
      <c r="C17852" s="325"/>
      <c r="D17852" s="326"/>
      <c r="E17852" s="326"/>
      <c r="F17852" s="326"/>
      <c r="G17852" s="326"/>
      <c r="H17852" s="326"/>
      <c r="P17852" s="318"/>
      <c r="Q17852" s="318"/>
      <c r="R17852" s="318"/>
      <c r="S17852" s="318"/>
      <c r="T17852" s="318"/>
      <c r="U17852" s="318"/>
      <c r="V17852" s="318"/>
      <c r="W17852" s="318"/>
      <c r="X17852" s="318"/>
      <c r="Y17852" s="318"/>
      <c r="Z17852" s="318"/>
      <c r="AA17852" s="318"/>
      <c r="AB17852" s="318"/>
      <c r="AC17852" s="318"/>
      <c r="AD17852" s="318"/>
    </row>
    <row r="17853" spans="2:30" s="323" customFormat="1" ht="12" customHeight="1">
      <c r="B17853" s="324"/>
      <c r="C17853" s="325"/>
      <c r="D17853" s="326"/>
      <c r="E17853" s="326"/>
      <c r="F17853" s="326"/>
      <c r="G17853" s="326"/>
      <c r="H17853" s="326"/>
      <c r="P17853" s="318"/>
      <c r="Q17853" s="318"/>
      <c r="R17853" s="318"/>
      <c r="S17853" s="318"/>
      <c r="T17853" s="318"/>
      <c r="U17853" s="318"/>
      <c r="V17853" s="318"/>
      <c r="W17853" s="318"/>
      <c r="X17853" s="318"/>
      <c r="Y17853" s="318"/>
      <c r="Z17853" s="318"/>
      <c r="AA17853" s="318"/>
      <c r="AB17853" s="318"/>
      <c r="AC17853" s="318"/>
      <c r="AD17853" s="318"/>
    </row>
    <row r="17854" spans="2:30" s="323" customFormat="1" ht="12" customHeight="1">
      <c r="B17854" s="324"/>
      <c r="C17854" s="325"/>
      <c r="D17854" s="326"/>
      <c r="E17854" s="326"/>
      <c r="F17854" s="326"/>
      <c r="G17854" s="326"/>
      <c r="H17854" s="326"/>
      <c r="P17854" s="318"/>
      <c r="Q17854" s="318"/>
      <c r="R17854" s="318"/>
      <c r="S17854" s="318"/>
      <c r="T17854" s="318"/>
      <c r="U17854" s="318"/>
      <c r="V17854" s="318"/>
      <c r="W17854" s="318"/>
      <c r="X17854" s="318"/>
      <c r="Y17854" s="318"/>
      <c r="Z17854" s="318"/>
      <c r="AA17854" s="318"/>
      <c r="AB17854" s="318"/>
      <c r="AC17854" s="318"/>
      <c r="AD17854" s="318"/>
    </row>
    <row r="17855" spans="2:30" s="323" customFormat="1" ht="12" customHeight="1">
      <c r="B17855" s="324"/>
      <c r="C17855" s="325"/>
      <c r="D17855" s="326"/>
      <c r="E17855" s="326"/>
      <c r="F17855" s="326"/>
      <c r="G17855" s="326"/>
      <c r="H17855" s="326"/>
      <c r="P17855" s="318"/>
      <c r="Q17855" s="318"/>
      <c r="R17855" s="318"/>
      <c r="S17855" s="318"/>
      <c r="T17855" s="318"/>
      <c r="U17855" s="318"/>
      <c r="V17855" s="318"/>
      <c r="W17855" s="318"/>
      <c r="X17855" s="318"/>
      <c r="Y17855" s="318"/>
      <c r="Z17855" s="318"/>
      <c r="AA17855" s="318"/>
      <c r="AB17855" s="318"/>
      <c r="AC17855" s="318"/>
      <c r="AD17855" s="318"/>
    </row>
    <row r="17856" spans="2:30" s="323" customFormat="1" ht="12" customHeight="1">
      <c r="B17856" s="324"/>
      <c r="C17856" s="325"/>
      <c r="D17856" s="326"/>
      <c r="E17856" s="326"/>
      <c r="F17856" s="326"/>
      <c r="G17856" s="326"/>
      <c r="H17856" s="326"/>
      <c r="P17856" s="318"/>
      <c r="Q17856" s="318"/>
      <c r="R17856" s="318"/>
      <c r="S17856" s="318"/>
      <c r="T17856" s="318"/>
      <c r="U17856" s="318"/>
      <c r="V17856" s="318"/>
      <c r="W17856" s="318"/>
      <c r="X17856" s="318"/>
      <c r="Y17856" s="318"/>
      <c r="Z17856" s="318"/>
      <c r="AA17856" s="318"/>
      <c r="AB17856" s="318"/>
      <c r="AC17856" s="318"/>
      <c r="AD17856" s="318"/>
    </row>
    <row r="17857" spans="2:30" s="323" customFormat="1" ht="12" customHeight="1">
      <c r="B17857" s="324"/>
      <c r="C17857" s="325"/>
      <c r="D17857" s="326"/>
      <c r="E17857" s="326"/>
      <c r="F17857" s="326"/>
      <c r="G17857" s="326"/>
      <c r="H17857" s="326"/>
      <c r="P17857" s="318"/>
      <c r="Q17857" s="318"/>
      <c r="R17857" s="318"/>
      <c r="S17857" s="318"/>
      <c r="T17857" s="318"/>
      <c r="U17857" s="318"/>
      <c r="V17857" s="318"/>
      <c r="W17857" s="318"/>
      <c r="X17857" s="318"/>
      <c r="Y17857" s="318"/>
      <c r="Z17857" s="318"/>
      <c r="AA17857" s="318"/>
      <c r="AB17857" s="318"/>
      <c r="AC17857" s="318"/>
      <c r="AD17857" s="318"/>
    </row>
    <row r="17858" spans="2:30" s="323" customFormat="1" ht="12" customHeight="1">
      <c r="B17858" s="324"/>
      <c r="C17858" s="325"/>
      <c r="D17858" s="326"/>
      <c r="E17858" s="326"/>
      <c r="F17858" s="326"/>
      <c r="G17858" s="326"/>
      <c r="H17858" s="326"/>
      <c r="P17858" s="318"/>
      <c r="Q17858" s="318"/>
      <c r="R17858" s="318"/>
      <c r="S17858" s="318"/>
      <c r="T17858" s="318"/>
      <c r="U17858" s="318"/>
      <c r="V17858" s="318"/>
      <c r="W17858" s="318"/>
      <c r="X17858" s="318"/>
      <c r="Y17858" s="318"/>
      <c r="Z17858" s="318"/>
      <c r="AA17858" s="318"/>
      <c r="AB17858" s="318"/>
      <c r="AC17858" s="318"/>
      <c r="AD17858" s="318"/>
    </row>
    <row r="17859" spans="2:30" s="323" customFormat="1" ht="12" customHeight="1">
      <c r="B17859" s="324"/>
      <c r="C17859" s="325"/>
      <c r="D17859" s="326"/>
      <c r="E17859" s="326"/>
      <c r="F17859" s="326"/>
      <c r="G17859" s="326"/>
      <c r="H17859" s="326"/>
      <c r="P17859" s="318"/>
      <c r="Q17859" s="318"/>
      <c r="R17859" s="318"/>
      <c r="S17859" s="318"/>
      <c r="T17859" s="318"/>
      <c r="U17859" s="318"/>
      <c r="V17859" s="318"/>
      <c r="W17859" s="318"/>
      <c r="X17859" s="318"/>
      <c r="Y17859" s="318"/>
      <c r="Z17859" s="318"/>
      <c r="AA17859" s="318"/>
      <c r="AB17859" s="318"/>
      <c r="AC17859" s="318"/>
      <c r="AD17859" s="318"/>
    </row>
    <row r="17860" spans="2:30" s="323" customFormat="1" ht="12" customHeight="1">
      <c r="B17860" s="324"/>
      <c r="C17860" s="325"/>
      <c r="D17860" s="326"/>
      <c r="E17860" s="326"/>
      <c r="F17860" s="326"/>
      <c r="G17860" s="326"/>
      <c r="H17860" s="326"/>
      <c r="P17860" s="318"/>
      <c r="Q17860" s="318"/>
      <c r="R17860" s="318"/>
      <c r="S17860" s="318"/>
      <c r="T17860" s="318"/>
      <c r="U17860" s="318"/>
      <c r="V17860" s="318"/>
      <c r="W17860" s="318"/>
      <c r="X17860" s="318"/>
      <c r="Y17860" s="318"/>
      <c r="Z17860" s="318"/>
      <c r="AA17860" s="318"/>
      <c r="AB17860" s="318"/>
      <c r="AC17860" s="318"/>
      <c r="AD17860" s="318"/>
    </row>
    <row r="17861" spans="2:30" s="323" customFormat="1" ht="12" customHeight="1">
      <c r="B17861" s="324"/>
      <c r="C17861" s="325"/>
      <c r="D17861" s="326"/>
      <c r="E17861" s="326"/>
      <c r="F17861" s="326"/>
      <c r="G17861" s="326"/>
      <c r="H17861" s="326"/>
      <c r="P17861" s="318"/>
      <c r="Q17861" s="318"/>
      <c r="R17861" s="318"/>
      <c r="S17861" s="318"/>
      <c r="T17861" s="318"/>
      <c r="U17861" s="318"/>
      <c r="V17861" s="318"/>
      <c r="W17861" s="318"/>
      <c r="X17861" s="318"/>
      <c r="Y17861" s="318"/>
      <c r="Z17861" s="318"/>
      <c r="AA17861" s="318"/>
      <c r="AB17861" s="318"/>
      <c r="AC17861" s="318"/>
      <c r="AD17861" s="318"/>
    </row>
    <row r="17862" spans="2:30" s="323" customFormat="1" ht="12" customHeight="1">
      <c r="B17862" s="324"/>
      <c r="C17862" s="325"/>
      <c r="D17862" s="326"/>
      <c r="E17862" s="326"/>
      <c r="F17862" s="326"/>
      <c r="G17862" s="326"/>
      <c r="H17862" s="326"/>
      <c r="P17862" s="318"/>
      <c r="Q17862" s="318"/>
      <c r="R17862" s="318"/>
      <c r="S17862" s="318"/>
      <c r="T17862" s="318"/>
      <c r="U17862" s="318"/>
      <c r="V17862" s="318"/>
      <c r="W17862" s="318"/>
      <c r="X17862" s="318"/>
      <c r="Y17862" s="318"/>
      <c r="Z17862" s="318"/>
      <c r="AA17862" s="318"/>
      <c r="AB17862" s="318"/>
      <c r="AC17862" s="318"/>
      <c r="AD17862" s="318"/>
    </row>
    <row r="17863" spans="2:30" s="323" customFormat="1" ht="12" customHeight="1">
      <c r="B17863" s="324"/>
      <c r="C17863" s="325"/>
      <c r="D17863" s="326"/>
      <c r="E17863" s="326"/>
      <c r="F17863" s="326"/>
      <c r="G17863" s="326"/>
      <c r="H17863" s="326"/>
      <c r="P17863" s="318"/>
      <c r="Q17863" s="318"/>
      <c r="R17863" s="318"/>
      <c r="S17863" s="318"/>
      <c r="T17863" s="318"/>
      <c r="U17863" s="318"/>
      <c r="V17863" s="318"/>
      <c r="W17863" s="318"/>
      <c r="X17863" s="318"/>
      <c r="Y17863" s="318"/>
      <c r="Z17863" s="318"/>
      <c r="AA17863" s="318"/>
      <c r="AB17863" s="318"/>
      <c r="AC17863" s="318"/>
      <c r="AD17863" s="318"/>
    </row>
    <row r="17864" spans="2:30" s="323" customFormat="1" ht="12" customHeight="1">
      <c r="B17864" s="324"/>
      <c r="C17864" s="325"/>
      <c r="D17864" s="326"/>
      <c r="E17864" s="326"/>
      <c r="F17864" s="326"/>
      <c r="G17864" s="326"/>
      <c r="H17864" s="326"/>
      <c r="P17864" s="318"/>
      <c r="Q17864" s="318"/>
      <c r="R17864" s="318"/>
      <c r="S17864" s="318"/>
      <c r="T17864" s="318"/>
      <c r="U17864" s="318"/>
      <c r="V17864" s="318"/>
      <c r="W17864" s="318"/>
      <c r="X17864" s="318"/>
      <c r="Y17864" s="318"/>
      <c r="Z17864" s="318"/>
      <c r="AA17864" s="318"/>
      <c r="AB17864" s="318"/>
      <c r="AC17864" s="318"/>
      <c r="AD17864" s="318"/>
    </row>
    <row r="17865" spans="2:30" s="323" customFormat="1" ht="12" customHeight="1">
      <c r="B17865" s="324"/>
      <c r="C17865" s="325"/>
      <c r="D17865" s="326"/>
      <c r="E17865" s="326"/>
      <c r="F17865" s="326"/>
      <c r="G17865" s="326"/>
      <c r="H17865" s="326"/>
      <c r="P17865" s="318"/>
      <c r="Q17865" s="318"/>
      <c r="R17865" s="318"/>
      <c r="S17865" s="318"/>
      <c r="T17865" s="318"/>
      <c r="U17865" s="318"/>
      <c r="V17865" s="318"/>
      <c r="W17865" s="318"/>
      <c r="X17865" s="318"/>
      <c r="Y17865" s="318"/>
      <c r="Z17865" s="318"/>
      <c r="AA17865" s="318"/>
      <c r="AB17865" s="318"/>
      <c r="AC17865" s="318"/>
      <c r="AD17865" s="318"/>
    </row>
    <row r="17866" spans="2:30" s="323" customFormat="1" ht="12" customHeight="1">
      <c r="B17866" s="324"/>
      <c r="C17866" s="325"/>
      <c r="D17866" s="326"/>
      <c r="E17866" s="326"/>
      <c r="F17866" s="326"/>
      <c r="G17866" s="326"/>
      <c r="H17866" s="326"/>
      <c r="P17866" s="318"/>
      <c r="Q17866" s="318"/>
      <c r="R17866" s="318"/>
      <c r="S17866" s="318"/>
      <c r="T17866" s="318"/>
      <c r="U17866" s="318"/>
      <c r="V17866" s="318"/>
      <c r="W17866" s="318"/>
      <c r="X17866" s="318"/>
      <c r="Y17866" s="318"/>
      <c r="Z17866" s="318"/>
      <c r="AA17866" s="318"/>
      <c r="AB17866" s="318"/>
      <c r="AC17866" s="318"/>
      <c r="AD17866" s="318"/>
    </row>
    <row r="17867" spans="2:30" s="323" customFormat="1" ht="12" customHeight="1">
      <c r="B17867" s="324"/>
      <c r="C17867" s="325"/>
      <c r="D17867" s="326"/>
      <c r="E17867" s="326"/>
      <c r="F17867" s="326"/>
      <c r="G17867" s="326"/>
      <c r="H17867" s="326"/>
      <c r="P17867" s="318"/>
      <c r="Q17867" s="318"/>
      <c r="R17867" s="318"/>
      <c r="S17867" s="318"/>
      <c r="T17867" s="318"/>
      <c r="U17867" s="318"/>
      <c r="V17867" s="318"/>
      <c r="W17867" s="318"/>
      <c r="X17867" s="318"/>
      <c r="Y17867" s="318"/>
      <c r="Z17867" s="318"/>
      <c r="AA17867" s="318"/>
      <c r="AB17867" s="318"/>
      <c r="AC17867" s="318"/>
      <c r="AD17867" s="318"/>
    </row>
    <row r="17868" spans="2:30" s="323" customFormat="1" ht="12" customHeight="1">
      <c r="B17868" s="324"/>
      <c r="C17868" s="325"/>
      <c r="D17868" s="326"/>
      <c r="E17868" s="326"/>
      <c r="F17868" s="326"/>
      <c r="G17868" s="326"/>
      <c r="H17868" s="326"/>
      <c r="P17868" s="318"/>
      <c r="Q17868" s="318"/>
      <c r="R17868" s="318"/>
      <c r="S17868" s="318"/>
      <c r="T17868" s="318"/>
      <c r="U17868" s="318"/>
      <c r="V17868" s="318"/>
      <c r="W17868" s="318"/>
      <c r="X17868" s="318"/>
      <c r="Y17868" s="318"/>
      <c r="Z17868" s="318"/>
      <c r="AA17868" s="318"/>
      <c r="AB17868" s="318"/>
      <c r="AC17868" s="318"/>
      <c r="AD17868" s="318"/>
    </row>
    <row r="17869" spans="2:30" s="323" customFormat="1" ht="12" customHeight="1">
      <c r="B17869" s="324"/>
      <c r="C17869" s="325"/>
      <c r="D17869" s="326"/>
      <c r="E17869" s="326"/>
      <c r="F17869" s="326"/>
      <c r="G17869" s="326"/>
      <c r="H17869" s="326"/>
      <c r="P17869" s="318"/>
      <c r="Q17869" s="318"/>
      <c r="R17869" s="318"/>
      <c r="S17869" s="318"/>
      <c r="T17869" s="318"/>
      <c r="U17869" s="318"/>
      <c r="V17869" s="318"/>
      <c r="W17869" s="318"/>
      <c r="X17869" s="318"/>
      <c r="Y17869" s="318"/>
      <c r="Z17869" s="318"/>
      <c r="AA17869" s="318"/>
      <c r="AB17869" s="318"/>
      <c r="AC17869" s="318"/>
      <c r="AD17869" s="318"/>
    </row>
    <row r="17870" spans="2:30" s="323" customFormat="1" ht="12" customHeight="1">
      <c r="B17870" s="324"/>
      <c r="C17870" s="325"/>
      <c r="D17870" s="326"/>
      <c r="E17870" s="326"/>
      <c r="F17870" s="326"/>
      <c r="G17870" s="326"/>
      <c r="H17870" s="326"/>
      <c r="P17870" s="318"/>
      <c r="Q17870" s="318"/>
      <c r="R17870" s="318"/>
      <c r="S17870" s="318"/>
      <c r="T17870" s="318"/>
      <c r="U17870" s="318"/>
      <c r="V17870" s="318"/>
      <c r="W17870" s="318"/>
      <c r="X17870" s="318"/>
      <c r="Y17870" s="318"/>
      <c r="Z17870" s="318"/>
      <c r="AA17870" s="318"/>
      <c r="AB17870" s="318"/>
      <c r="AC17870" s="318"/>
      <c r="AD17870" s="318"/>
    </row>
    <row r="17871" spans="2:30" s="323" customFormat="1" ht="12" customHeight="1">
      <c r="B17871" s="324"/>
      <c r="C17871" s="325"/>
      <c r="D17871" s="326"/>
      <c r="E17871" s="326"/>
      <c r="F17871" s="326"/>
      <c r="G17871" s="326"/>
      <c r="H17871" s="326"/>
      <c r="P17871" s="318"/>
      <c r="Q17871" s="318"/>
      <c r="R17871" s="318"/>
      <c r="S17871" s="318"/>
      <c r="T17871" s="318"/>
      <c r="U17871" s="318"/>
      <c r="V17871" s="318"/>
      <c r="W17871" s="318"/>
      <c r="X17871" s="318"/>
      <c r="Y17871" s="318"/>
      <c r="Z17871" s="318"/>
      <c r="AA17871" s="318"/>
      <c r="AB17871" s="318"/>
      <c r="AC17871" s="318"/>
      <c r="AD17871" s="318"/>
    </row>
    <row r="17872" spans="2:30" s="323" customFormat="1" ht="12" customHeight="1">
      <c r="B17872" s="324"/>
      <c r="C17872" s="325"/>
      <c r="D17872" s="326"/>
      <c r="E17872" s="326"/>
      <c r="F17872" s="326"/>
      <c r="G17872" s="326"/>
      <c r="H17872" s="326"/>
      <c r="P17872" s="318"/>
      <c r="Q17872" s="318"/>
      <c r="R17872" s="318"/>
      <c r="S17872" s="318"/>
      <c r="T17872" s="318"/>
      <c r="U17872" s="318"/>
      <c r="V17872" s="318"/>
      <c r="W17872" s="318"/>
      <c r="X17872" s="318"/>
      <c r="Y17872" s="318"/>
      <c r="Z17872" s="318"/>
      <c r="AA17872" s="318"/>
      <c r="AB17872" s="318"/>
      <c r="AC17872" s="318"/>
      <c r="AD17872" s="318"/>
    </row>
    <row r="17873" spans="2:30" s="323" customFormat="1" ht="12" customHeight="1">
      <c r="B17873" s="324"/>
      <c r="C17873" s="325"/>
      <c r="D17873" s="326"/>
      <c r="E17873" s="326"/>
      <c r="F17873" s="326"/>
      <c r="G17873" s="326"/>
      <c r="H17873" s="326"/>
      <c r="P17873" s="318"/>
      <c r="Q17873" s="318"/>
      <c r="R17873" s="318"/>
      <c r="S17873" s="318"/>
      <c r="T17873" s="318"/>
      <c r="U17873" s="318"/>
      <c r="V17873" s="318"/>
      <c r="W17873" s="318"/>
      <c r="X17873" s="318"/>
      <c r="Y17873" s="318"/>
      <c r="Z17873" s="318"/>
      <c r="AA17873" s="318"/>
      <c r="AB17873" s="318"/>
      <c r="AC17873" s="318"/>
      <c r="AD17873" s="318"/>
    </row>
    <row r="17874" spans="2:30" s="323" customFormat="1" ht="12" customHeight="1">
      <c r="B17874" s="324"/>
      <c r="C17874" s="325"/>
      <c r="D17874" s="326"/>
      <c r="E17874" s="326"/>
      <c r="F17874" s="326"/>
      <c r="G17874" s="326"/>
      <c r="H17874" s="326"/>
      <c r="P17874" s="318"/>
      <c r="Q17874" s="318"/>
      <c r="R17874" s="318"/>
      <c r="S17874" s="318"/>
      <c r="T17874" s="318"/>
      <c r="U17874" s="318"/>
      <c r="V17874" s="318"/>
      <c r="W17874" s="318"/>
      <c r="X17874" s="318"/>
      <c r="Y17874" s="318"/>
      <c r="Z17874" s="318"/>
      <c r="AA17874" s="318"/>
      <c r="AB17874" s="318"/>
      <c r="AC17874" s="318"/>
      <c r="AD17874" s="318"/>
    </row>
    <row r="17875" spans="2:30" s="323" customFormat="1" ht="12" customHeight="1">
      <c r="B17875" s="324"/>
      <c r="C17875" s="325"/>
      <c r="D17875" s="326"/>
      <c r="E17875" s="326"/>
      <c r="F17875" s="326"/>
      <c r="G17875" s="326"/>
      <c r="H17875" s="326"/>
      <c r="P17875" s="318"/>
      <c r="Q17875" s="318"/>
      <c r="R17875" s="318"/>
      <c r="S17875" s="318"/>
      <c r="T17875" s="318"/>
      <c r="U17875" s="318"/>
      <c r="V17875" s="318"/>
      <c r="W17875" s="318"/>
      <c r="X17875" s="318"/>
      <c r="Y17875" s="318"/>
      <c r="Z17875" s="318"/>
      <c r="AA17875" s="318"/>
      <c r="AB17875" s="318"/>
      <c r="AC17875" s="318"/>
      <c r="AD17875" s="318"/>
    </row>
    <row r="17876" spans="2:30" s="323" customFormat="1" ht="12" customHeight="1">
      <c r="B17876" s="324"/>
      <c r="C17876" s="325"/>
      <c r="D17876" s="326"/>
      <c r="E17876" s="326"/>
      <c r="F17876" s="326"/>
      <c r="G17876" s="326"/>
      <c r="H17876" s="326"/>
      <c r="P17876" s="318"/>
      <c r="Q17876" s="318"/>
      <c r="R17876" s="318"/>
      <c r="S17876" s="318"/>
      <c r="T17876" s="318"/>
      <c r="U17876" s="318"/>
      <c r="V17876" s="318"/>
      <c r="W17876" s="318"/>
      <c r="X17876" s="318"/>
      <c r="Y17876" s="318"/>
      <c r="Z17876" s="318"/>
      <c r="AA17876" s="318"/>
      <c r="AB17876" s="318"/>
      <c r="AC17876" s="318"/>
      <c r="AD17876" s="318"/>
    </row>
    <row r="17877" spans="2:30" s="323" customFormat="1" ht="12" customHeight="1">
      <c r="B17877" s="324"/>
      <c r="C17877" s="325"/>
      <c r="D17877" s="326"/>
      <c r="E17877" s="326"/>
      <c r="F17877" s="326"/>
      <c r="G17877" s="326"/>
      <c r="H17877" s="326"/>
      <c r="P17877" s="318"/>
      <c r="Q17877" s="318"/>
      <c r="R17877" s="318"/>
      <c r="S17877" s="318"/>
      <c r="T17877" s="318"/>
      <c r="U17877" s="318"/>
      <c r="V17877" s="318"/>
      <c r="W17877" s="318"/>
      <c r="X17877" s="318"/>
      <c r="Y17877" s="318"/>
      <c r="Z17877" s="318"/>
      <c r="AA17877" s="318"/>
      <c r="AB17877" s="318"/>
      <c r="AC17877" s="318"/>
      <c r="AD17877" s="318"/>
    </row>
    <row r="17878" spans="2:30" s="323" customFormat="1" ht="12" customHeight="1">
      <c r="B17878" s="324"/>
      <c r="C17878" s="325"/>
      <c r="D17878" s="326"/>
      <c r="E17878" s="326"/>
      <c r="F17878" s="326"/>
      <c r="G17878" s="326"/>
      <c r="H17878" s="326"/>
      <c r="P17878" s="318"/>
      <c r="Q17878" s="318"/>
      <c r="R17878" s="318"/>
      <c r="S17878" s="318"/>
      <c r="T17878" s="318"/>
      <c r="U17878" s="318"/>
      <c r="V17878" s="318"/>
      <c r="W17878" s="318"/>
      <c r="X17878" s="318"/>
      <c r="Y17878" s="318"/>
      <c r="Z17878" s="318"/>
      <c r="AA17878" s="318"/>
      <c r="AB17878" s="318"/>
      <c r="AC17878" s="318"/>
      <c r="AD17878" s="318"/>
    </row>
    <row r="17879" spans="2:30" s="323" customFormat="1" ht="12" customHeight="1">
      <c r="B17879" s="324"/>
      <c r="C17879" s="325"/>
      <c r="D17879" s="326"/>
      <c r="E17879" s="326"/>
      <c r="F17879" s="326"/>
      <c r="G17879" s="326"/>
      <c r="H17879" s="326"/>
      <c r="P17879" s="318"/>
      <c r="Q17879" s="318"/>
      <c r="R17879" s="318"/>
      <c r="S17879" s="318"/>
      <c r="T17879" s="318"/>
      <c r="U17879" s="318"/>
      <c r="V17879" s="318"/>
      <c r="W17879" s="318"/>
      <c r="X17879" s="318"/>
      <c r="Y17879" s="318"/>
      <c r="Z17879" s="318"/>
      <c r="AA17879" s="318"/>
      <c r="AB17879" s="318"/>
      <c r="AC17879" s="318"/>
      <c r="AD17879" s="318"/>
    </row>
    <row r="17880" spans="2:30" s="323" customFormat="1" ht="12" customHeight="1">
      <c r="B17880" s="324"/>
      <c r="C17880" s="325"/>
      <c r="D17880" s="326"/>
      <c r="E17880" s="326"/>
      <c r="F17880" s="326"/>
      <c r="G17880" s="326"/>
      <c r="H17880" s="326"/>
      <c r="P17880" s="318"/>
      <c r="Q17880" s="318"/>
      <c r="R17880" s="318"/>
      <c r="S17880" s="318"/>
      <c r="T17880" s="318"/>
      <c r="U17880" s="318"/>
      <c r="V17880" s="318"/>
      <c r="W17880" s="318"/>
      <c r="X17880" s="318"/>
      <c r="Y17880" s="318"/>
      <c r="Z17880" s="318"/>
      <c r="AA17880" s="318"/>
      <c r="AB17880" s="318"/>
      <c r="AC17880" s="318"/>
      <c r="AD17880" s="318"/>
    </row>
    <row r="17881" spans="2:30" s="323" customFormat="1" ht="12" customHeight="1">
      <c r="B17881" s="324"/>
      <c r="C17881" s="325"/>
      <c r="D17881" s="326"/>
      <c r="E17881" s="326"/>
      <c r="F17881" s="326"/>
      <c r="G17881" s="326"/>
      <c r="H17881" s="326"/>
      <c r="P17881" s="318"/>
      <c r="Q17881" s="318"/>
      <c r="R17881" s="318"/>
      <c r="S17881" s="318"/>
      <c r="T17881" s="318"/>
      <c r="U17881" s="318"/>
      <c r="V17881" s="318"/>
      <c r="W17881" s="318"/>
      <c r="X17881" s="318"/>
      <c r="Y17881" s="318"/>
      <c r="Z17881" s="318"/>
      <c r="AA17881" s="318"/>
      <c r="AB17881" s="318"/>
      <c r="AC17881" s="318"/>
      <c r="AD17881" s="318"/>
    </row>
    <row r="17882" spans="2:30" s="323" customFormat="1" ht="12" customHeight="1">
      <c r="B17882" s="324"/>
      <c r="C17882" s="325"/>
      <c r="D17882" s="326"/>
      <c r="E17882" s="326"/>
      <c r="F17882" s="326"/>
      <c r="G17882" s="326"/>
      <c r="H17882" s="326"/>
      <c r="P17882" s="318"/>
      <c r="Q17882" s="318"/>
      <c r="R17882" s="318"/>
      <c r="S17882" s="318"/>
      <c r="T17882" s="318"/>
      <c r="U17882" s="318"/>
      <c r="V17882" s="318"/>
      <c r="W17882" s="318"/>
      <c r="X17882" s="318"/>
      <c r="Y17882" s="318"/>
      <c r="Z17882" s="318"/>
      <c r="AA17882" s="318"/>
      <c r="AB17882" s="318"/>
      <c r="AC17882" s="318"/>
      <c r="AD17882" s="318"/>
    </row>
    <row r="17883" spans="2:30" s="323" customFormat="1" ht="12" customHeight="1">
      <c r="B17883" s="324"/>
      <c r="C17883" s="325"/>
      <c r="D17883" s="326"/>
      <c r="E17883" s="326"/>
      <c r="F17883" s="326"/>
      <c r="G17883" s="326"/>
      <c r="H17883" s="326"/>
      <c r="P17883" s="318"/>
      <c r="Q17883" s="318"/>
      <c r="R17883" s="318"/>
      <c r="S17883" s="318"/>
      <c r="T17883" s="318"/>
      <c r="U17883" s="318"/>
      <c r="V17883" s="318"/>
      <c r="W17883" s="318"/>
      <c r="X17883" s="318"/>
      <c r="Y17883" s="318"/>
      <c r="Z17883" s="318"/>
      <c r="AA17883" s="318"/>
      <c r="AB17883" s="318"/>
      <c r="AC17883" s="318"/>
      <c r="AD17883" s="318"/>
    </row>
    <row r="17884" spans="2:30" s="323" customFormat="1" ht="12" customHeight="1">
      <c r="B17884" s="324"/>
      <c r="C17884" s="325"/>
      <c r="D17884" s="326"/>
      <c r="E17884" s="326"/>
      <c r="F17884" s="326"/>
      <c r="G17884" s="326"/>
      <c r="H17884" s="326"/>
      <c r="P17884" s="318"/>
      <c r="Q17884" s="318"/>
      <c r="R17884" s="318"/>
      <c r="S17884" s="318"/>
      <c r="T17884" s="318"/>
      <c r="U17884" s="318"/>
      <c r="V17884" s="318"/>
      <c r="W17884" s="318"/>
      <c r="X17884" s="318"/>
      <c r="Y17884" s="318"/>
      <c r="Z17884" s="318"/>
      <c r="AA17884" s="318"/>
      <c r="AB17884" s="318"/>
      <c r="AC17884" s="318"/>
      <c r="AD17884" s="318"/>
    </row>
    <row r="17885" spans="2:30" s="323" customFormat="1" ht="12" customHeight="1">
      <c r="B17885" s="324"/>
      <c r="C17885" s="325"/>
      <c r="D17885" s="326"/>
      <c r="E17885" s="326"/>
      <c r="F17885" s="326"/>
      <c r="G17885" s="326"/>
      <c r="H17885" s="326"/>
      <c r="P17885" s="318"/>
      <c r="Q17885" s="318"/>
      <c r="R17885" s="318"/>
      <c r="S17885" s="318"/>
      <c r="T17885" s="318"/>
      <c r="U17885" s="318"/>
      <c r="V17885" s="318"/>
      <c r="W17885" s="318"/>
      <c r="X17885" s="318"/>
      <c r="Y17885" s="318"/>
      <c r="Z17885" s="318"/>
      <c r="AA17885" s="318"/>
      <c r="AB17885" s="318"/>
      <c r="AC17885" s="318"/>
      <c r="AD17885" s="318"/>
    </row>
    <row r="17886" spans="2:30" s="323" customFormat="1" ht="12" customHeight="1">
      <c r="B17886" s="324"/>
      <c r="C17886" s="325"/>
      <c r="D17886" s="326"/>
      <c r="E17886" s="326"/>
      <c r="F17886" s="326"/>
      <c r="G17886" s="326"/>
      <c r="H17886" s="326"/>
      <c r="P17886" s="318"/>
      <c r="Q17886" s="318"/>
      <c r="R17886" s="318"/>
      <c r="S17886" s="318"/>
      <c r="T17886" s="318"/>
      <c r="U17886" s="318"/>
      <c r="V17886" s="318"/>
      <c r="W17886" s="318"/>
      <c r="X17886" s="318"/>
      <c r="Y17886" s="318"/>
      <c r="Z17886" s="318"/>
      <c r="AA17886" s="318"/>
      <c r="AB17886" s="318"/>
      <c r="AC17886" s="318"/>
      <c r="AD17886" s="318"/>
    </row>
    <row r="17887" spans="2:30" s="323" customFormat="1" ht="12" customHeight="1">
      <c r="B17887" s="324"/>
      <c r="C17887" s="325"/>
      <c r="D17887" s="326"/>
      <c r="E17887" s="326"/>
      <c r="F17887" s="326"/>
      <c r="G17887" s="326"/>
      <c r="H17887" s="326"/>
      <c r="P17887" s="318"/>
      <c r="Q17887" s="318"/>
      <c r="R17887" s="318"/>
      <c r="S17887" s="318"/>
      <c r="T17887" s="318"/>
      <c r="U17887" s="318"/>
      <c r="V17887" s="318"/>
      <c r="W17887" s="318"/>
      <c r="X17887" s="318"/>
      <c r="Y17887" s="318"/>
      <c r="Z17887" s="318"/>
      <c r="AA17887" s="318"/>
      <c r="AB17887" s="318"/>
      <c r="AC17887" s="318"/>
      <c r="AD17887" s="318"/>
    </row>
    <row r="17888" spans="2:30" s="323" customFormat="1" ht="12" customHeight="1">
      <c r="B17888" s="324"/>
      <c r="C17888" s="325"/>
      <c r="D17888" s="326"/>
      <c r="E17888" s="326"/>
      <c r="F17888" s="326"/>
      <c r="G17888" s="326"/>
      <c r="H17888" s="326"/>
      <c r="P17888" s="318"/>
      <c r="Q17888" s="318"/>
      <c r="R17888" s="318"/>
      <c r="S17888" s="318"/>
      <c r="T17888" s="318"/>
      <c r="U17888" s="318"/>
      <c r="V17888" s="318"/>
      <c r="W17888" s="318"/>
      <c r="X17888" s="318"/>
      <c r="Y17888" s="318"/>
      <c r="Z17888" s="318"/>
      <c r="AA17888" s="318"/>
      <c r="AB17888" s="318"/>
      <c r="AC17888" s="318"/>
      <c r="AD17888" s="318"/>
    </row>
    <row r="17889" spans="2:30" s="323" customFormat="1" ht="12" customHeight="1">
      <c r="B17889" s="324"/>
      <c r="C17889" s="325"/>
      <c r="D17889" s="326"/>
      <c r="E17889" s="326"/>
      <c r="F17889" s="326"/>
      <c r="G17889" s="326"/>
      <c r="H17889" s="326"/>
      <c r="P17889" s="318"/>
      <c r="Q17889" s="318"/>
      <c r="R17889" s="318"/>
      <c r="S17889" s="318"/>
      <c r="T17889" s="318"/>
      <c r="U17889" s="318"/>
      <c r="V17889" s="318"/>
      <c r="W17889" s="318"/>
      <c r="X17889" s="318"/>
      <c r="Y17889" s="318"/>
      <c r="Z17889" s="318"/>
      <c r="AA17889" s="318"/>
      <c r="AB17889" s="318"/>
      <c r="AC17889" s="318"/>
      <c r="AD17889" s="318"/>
    </row>
    <row r="17890" spans="2:30" s="323" customFormat="1" ht="12" customHeight="1">
      <c r="B17890" s="324"/>
      <c r="C17890" s="325"/>
      <c r="D17890" s="326"/>
      <c r="E17890" s="326"/>
      <c r="F17890" s="326"/>
      <c r="G17890" s="326"/>
      <c r="H17890" s="326"/>
      <c r="P17890" s="318"/>
      <c r="Q17890" s="318"/>
      <c r="R17890" s="318"/>
      <c r="S17890" s="318"/>
      <c r="T17890" s="318"/>
      <c r="U17890" s="318"/>
      <c r="V17890" s="318"/>
      <c r="W17890" s="318"/>
      <c r="X17890" s="318"/>
      <c r="Y17890" s="318"/>
      <c r="Z17890" s="318"/>
      <c r="AA17890" s="318"/>
      <c r="AB17890" s="318"/>
      <c r="AC17890" s="318"/>
      <c r="AD17890" s="318"/>
    </row>
    <row r="17891" spans="2:30" s="323" customFormat="1" ht="12" customHeight="1">
      <c r="B17891" s="324"/>
      <c r="C17891" s="325"/>
      <c r="D17891" s="326"/>
      <c r="E17891" s="326"/>
      <c r="F17891" s="326"/>
      <c r="G17891" s="326"/>
      <c r="H17891" s="326"/>
      <c r="P17891" s="318"/>
      <c r="Q17891" s="318"/>
      <c r="R17891" s="318"/>
      <c r="S17891" s="318"/>
      <c r="T17891" s="318"/>
      <c r="U17891" s="318"/>
      <c r="V17891" s="318"/>
      <c r="W17891" s="318"/>
      <c r="X17891" s="318"/>
      <c r="Y17891" s="318"/>
      <c r="Z17891" s="318"/>
      <c r="AA17891" s="318"/>
      <c r="AB17891" s="318"/>
      <c r="AC17891" s="318"/>
      <c r="AD17891" s="318"/>
    </row>
    <row r="17892" spans="2:30" s="323" customFormat="1" ht="12" customHeight="1">
      <c r="B17892" s="324"/>
      <c r="C17892" s="325"/>
      <c r="D17892" s="326"/>
      <c r="E17892" s="326"/>
      <c r="F17892" s="326"/>
      <c r="G17892" s="326"/>
      <c r="H17892" s="326"/>
      <c r="P17892" s="318"/>
      <c r="Q17892" s="318"/>
      <c r="R17892" s="318"/>
      <c r="S17892" s="318"/>
      <c r="T17892" s="318"/>
      <c r="U17892" s="318"/>
      <c r="V17892" s="318"/>
      <c r="W17892" s="318"/>
      <c r="X17892" s="318"/>
      <c r="Y17892" s="318"/>
      <c r="Z17892" s="318"/>
      <c r="AA17892" s="318"/>
      <c r="AB17892" s="318"/>
      <c r="AC17892" s="318"/>
      <c r="AD17892" s="318"/>
    </row>
    <row r="17893" spans="2:30" s="323" customFormat="1" ht="12" customHeight="1">
      <c r="B17893" s="324"/>
      <c r="C17893" s="325"/>
      <c r="D17893" s="326"/>
      <c r="E17893" s="326"/>
      <c r="F17893" s="326"/>
      <c r="G17893" s="326"/>
      <c r="H17893" s="326"/>
      <c r="P17893" s="318"/>
      <c r="Q17893" s="318"/>
      <c r="R17893" s="318"/>
      <c r="S17893" s="318"/>
      <c r="T17893" s="318"/>
      <c r="U17893" s="318"/>
      <c r="V17893" s="318"/>
      <c r="W17893" s="318"/>
      <c r="X17893" s="318"/>
      <c r="Y17893" s="318"/>
      <c r="Z17893" s="318"/>
      <c r="AA17893" s="318"/>
      <c r="AB17893" s="318"/>
      <c r="AC17893" s="318"/>
      <c r="AD17893" s="318"/>
    </row>
    <row r="17894" spans="2:30" s="323" customFormat="1" ht="12" customHeight="1">
      <c r="B17894" s="324"/>
      <c r="C17894" s="325"/>
      <c r="D17894" s="326"/>
      <c r="E17894" s="326"/>
      <c r="F17894" s="326"/>
      <c r="G17894" s="326"/>
      <c r="H17894" s="326"/>
      <c r="P17894" s="318"/>
      <c r="Q17894" s="318"/>
      <c r="R17894" s="318"/>
      <c r="S17894" s="318"/>
      <c r="T17894" s="318"/>
      <c r="U17894" s="318"/>
      <c r="V17894" s="318"/>
      <c r="W17894" s="318"/>
      <c r="X17894" s="318"/>
      <c r="Y17894" s="318"/>
      <c r="Z17894" s="318"/>
      <c r="AA17894" s="318"/>
      <c r="AB17894" s="318"/>
      <c r="AC17894" s="318"/>
      <c r="AD17894" s="318"/>
    </row>
    <row r="17895" spans="2:30" s="323" customFormat="1" ht="12" customHeight="1">
      <c r="B17895" s="324"/>
      <c r="C17895" s="325"/>
      <c r="D17895" s="326"/>
      <c r="E17895" s="326"/>
      <c r="F17895" s="326"/>
      <c r="G17895" s="326"/>
      <c r="H17895" s="326"/>
      <c r="P17895" s="318"/>
      <c r="Q17895" s="318"/>
      <c r="R17895" s="318"/>
      <c r="S17895" s="318"/>
      <c r="T17895" s="318"/>
      <c r="U17895" s="318"/>
      <c r="V17895" s="318"/>
      <c r="W17895" s="318"/>
      <c r="X17895" s="318"/>
      <c r="Y17895" s="318"/>
      <c r="Z17895" s="318"/>
      <c r="AA17895" s="318"/>
      <c r="AB17895" s="318"/>
      <c r="AC17895" s="318"/>
      <c r="AD17895" s="318"/>
    </row>
    <row r="17896" spans="2:30" s="323" customFormat="1" ht="12" customHeight="1">
      <c r="B17896" s="324"/>
      <c r="C17896" s="325"/>
      <c r="D17896" s="326"/>
      <c r="E17896" s="326"/>
      <c r="F17896" s="326"/>
      <c r="G17896" s="326"/>
      <c r="H17896" s="326"/>
      <c r="P17896" s="318"/>
      <c r="Q17896" s="318"/>
      <c r="R17896" s="318"/>
      <c r="S17896" s="318"/>
      <c r="T17896" s="318"/>
      <c r="U17896" s="318"/>
      <c r="V17896" s="318"/>
      <c r="W17896" s="318"/>
      <c r="X17896" s="318"/>
      <c r="Y17896" s="318"/>
      <c r="Z17896" s="318"/>
      <c r="AA17896" s="318"/>
      <c r="AB17896" s="318"/>
      <c r="AC17896" s="318"/>
      <c r="AD17896" s="318"/>
    </row>
    <row r="17897" spans="2:30" s="323" customFormat="1" ht="12" customHeight="1">
      <c r="B17897" s="324"/>
      <c r="C17897" s="325"/>
      <c r="D17897" s="326"/>
      <c r="E17897" s="326"/>
      <c r="F17897" s="326"/>
      <c r="G17897" s="326"/>
      <c r="H17897" s="326"/>
      <c r="P17897" s="318"/>
      <c r="Q17897" s="318"/>
      <c r="R17897" s="318"/>
      <c r="S17897" s="318"/>
      <c r="T17897" s="318"/>
      <c r="U17897" s="318"/>
      <c r="V17897" s="318"/>
      <c r="W17897" s="318"/>
      <c r="X17897" s="318"/>
      <c r="Y17897" s="318"/>
      <c r="Z17897" s="318"/>
      <c r="AA17897" s="318"/>
      <c r="AB17897" s="318"/>
      <c r="AC17897" s="318"/>
      <c r="AD17897" s="318"/>
    </row>
    <row r="17898" spans="2:30" s="323" customFormat="1" ht="12" customHeight="1">
      <c r="B17898" s="324"/>
      <c r="C17898" s="325"/>
      <c r="D17898" s="326"/>
      <c r="E17898" s="326"/>
      <c r="F17898" s="326"/>
      <c r="G17898" s="326"/>
      <c r="H17898" s="326"/>
      <c r="P17898" s="318"/>
      <c r="Q17898" s="318"/>
      <c r="R17898" s="318"/>
      <c r="S17898" s="318"/>
      <c r="T17898" s="318"/>
      <c r="U17898" s="318"/>
      <c r="V17898" s="318"/>
      <c r="W17898" s="318"/>
      <c r="X17898" s="318"/>
      <c r="Y17898" s="318"/>
      <c r="Z17898" s="318"/>
      <c r="AA17898" s="318"/>
      <c r="AB17898" s="318"/>
      <c r="AC17898" s="318"/>
      <c r="AD17898" s="318"/>
    </row>
    <row r="17899" spans="2:30" s="323" customFormat="1" ht="12" customHeight="1">
      <c r="B17899" s="324"/>
      <c r="C17899" s="325"/>
      <c r="D17899" s="326"/>
      <c r="E17899" s="326"/>
      <c r="F17899" s="326"/>
      <c r="G17899" s="326"/>
      <c r="H17899" s="326"/>
      <c r="P17899" s="318"/>
      <c r="Q17899" s="318"/>
      <c r="R17899" s="318"/>
      <c r="S17899" s="318"/>
      <c r="T17899" s="318"/>
      <c r="U17899" s="318"/>
      <c r="V17899" s="318"/>
      <c r="W17899" s="318"/>
      <c r="X17899" s="318"/>
      <c r="Y17899" s="318"/>
      <c r="Z17899" s="318"/>
      <c r="AA17899" s="318"/>
      <c r="AB17899" s="318"/>
      <c r="AC17899" s="318"/>
      <c r="AD17899" s="318"/>
    </row>
    <row r="17900" spans="2:30" s="323" customFormat="1" ht="12" customHeight="1">
      <c r="B17900" s="324"/>
      <c r="C17900" s="325"/>
      <c r="D17900" s="326"/>
      <c r="E17900" s="326"/>
      <c r="F17900" s="326"/>
      <c r="G17900" s="326"/>
      <c r="H17900" s="326"/>
      <c r="P17900" s="318"/>
      <c r="Q17900" s="318"/>
      <c r="R17900" s="318"/>
      <c r="S17900" s="318"/>
      <c r="T17900" s="318"/>
      <c r="U17900" s="318"/>
      <c r="V17900" s="318"/>
      <c r="W17900" s="318"/>
      <c r="X17900" s="318"/>
      <c r="Y17900" s="318"/>
      <c r="Z17900" s="318"/>
      <c r="AA17900" s="318"/>
      <c r="AB17900" s="318"/>
      <c r="AC17900" s="318"/>
      <c r="AD17900" s="318"/>
    </row>
    <row r="17901" spans="2:30" s="323" customFormat="1" ht="12" customHeight="1">
      <c r="B17901" s="324"/>
      <c r="C17901" s="325"/>
      <c r="D17901" s="326"/>
      <c r="E17901" s="326"/>
      <c r="F17901" s="326"/>
      <c r="G17901" s="326"/>
      <c r="H17901" s="326"/>
      <c r="P17901" s="318"/>
      <c r="Q17901" s="318"/>
      <c r="R17901" s="318"/>
      <c r="S17901" s="318"/>
      <c r="T17901" s="318"/>
      <c r="U17901" s="318"/>
      <c r="V17901" s="318"/>
      <c r="W17901" s="318"/>
      <c r="X17901" s="318"/>
      <c r="Y17901" s="318"/>
      <c r="Z17901" s="318"/>
      <c r="AA17901" s="318"/>
      <c r="AB17901" s="318"/>
      <c r="AC17901" s="318"/>
      <c r="AD17901" s="318"/>
    </row>
    <row r="17902" spans="2:30" s="323" customFormat="1" ht="12" customHeight="1">
      <c r="B17902" s="324"/>
      <c r="C17902" s="325"/>
      <c r="D17902" s="326"/>
      <c r="E17902" s="326"/>
      <c r="F17902" s="326"/>
      <c r="G17902" s="326"/>
      <c r="H17902" s="326"/>
      <c r="P17902" s="318"/>
      <c r="Q17902" s="318"/>
      <c r="R17902" s="318"/>
      <c r="S17902" s="318"/>
      <c r="T17902" s="318"/>
      <c r="U17902" s="318"/>
      <c r="V17902" s="318"/>
      <c r="W17902" s="318"/>
      <c r="X17902" s="318"/>
      <c r="Y17902" s="318"/>
      <c r="Z17902" s="318"/>
      <c r="AA17902" s="318"/>
      <c r="AB17902" s="318"/>
      <c r="AC17902" s="318"/>
      <c r="AD17902" s="318"/>
    </row>
    <row r="17903" spans="2:30" s="323" customFormat="1" ht="12" customHeight="1">
      <c r="B17903" s="324"/>
      <c r="C17903" s="325"/>
      <c r="D17903" s="326"/>
      <c r="E17903" s="326"/>
      <c r="F17903" s="326"/>
      <c r="G17903" s="326"/>
      <c r="H17903" s="326"/>
      <c r="P17903" s="318"/>
      <c r="Q17903" s="318"/>
      <c r="R17903" s="318"/>
      <c r="S17903" s="318"/>
      <c r="T17903" s="318"/>
      <c r="U17903" s="318"/>
      <c r="V17903" s="318"/>
      <c r="W17903" s="318"/>
      <c r="X17903" s="318"/>
      <c r="Y17903" s="318"/>
      <c r="Z17903" s="318"/>
      <c r="AA17903" s="318"/>
      <c r="AB17903" s="318"/>
      <c r="AC17903" s="318"/>
      <c r="AD17903" s="318"/>
    </row>
    <row r="17904" spans="2:30" s="323" customFormat="1" ht="12" customHeight="1">
      <c r="B17904" s="324"/>
      <c r="C17904" s="325"/>
      <c r="D17904" s="326"/>
      <c r="E17904" s="326"/>
      <c r="F17904" s="326"/>
      <c r="G17904" s="326"/>
      <c r="H17904" s="326"/>
      <c r="P17904" s="318"/>
      <c r="Q17904" s="318"/>
      <c r="R17904" s="318"/>
      <c r="S17904" s="318"/>
      <c r="T17904" s="318"/>
      <c r="U17904" s="318"/>
      <c r="V17904" s="318"/>
      <c r="W17904" s="318"/>
      <c r="X17904" s="318"/>
      <c r="Y17904" s="318"/>
      <c r="Z17904" s="318"/>
      <c r="AA17904" s="318"/>
      <c r="AB17904" s="318"/>
      <c r="AC17904" s="318"/>
      <c r="AD17904" s="318"/>
    </row>
    <row r="17905" spans="2:30" s="323" customFormat="1" ht="12" customHeight="1">
      <c r="B17905" s="324"/>
      <c r="C17905" s="325"/>
      <c r="D17905" s="326"/>
      <c r="E17905" s="326"/>
      <c r="F17905" s="326"/>
      <c r="G17905" s="326"/>
      <c r="H17905" s="326"/>
      <c r="P17905" s="318"/>
      <c r="Q17905" s="318"/>
      <c r="R17905" s="318"/>
      <c r="S17905" s="318"/>
      <c r="T17905" s="318"/>
      <c r="U17905" s="318"/>
      <c r="V17905" s="318"/>
      <c r="W17905" s="318"/>
      <c r="X17905" s="318"/>
      <c r="Y17905" s="318"/>
      <c r="Z17905" s="318"/>
      <c r="AA17905" s="318"/>
      <c r="AB17905" s="318"/>
      <c r="AC17905" s="318"/>
      <c r="AD17905" s="318"/>
    </row>
    <row r="17906" spans="2:30" s="323" customFormat="1" ht="12" customHeight="1">
      <c r="B17906" s="324"/>
      <c r="C17906" s="325"/>
      <c r="D17906" s="326"/>
      <c r="E17906" s="326"/>
      <c r="F17906" s="326"/>
      <c r="G17906" s="326"/>
      <c r="H17906" s="326"/>
      <c r="P17906" s="318"/>
      <c r="Q17906" s="318"/>
      <c r="R17906" s="318"/>
      <c r="S17906" s="318"/>
      <c r="T17906" s="318"/>
      <c r="U17906" s="318"/>
      <c r="V17906" s="318"/>
      <c r="W17906" s="318"/>
      <c r="X17906" s="318"/>
      <c r="Y17906" s="318"/>
      <c r="Z17906" s="318"/>
      <c r="AA17906" s="318"/>
      <c r="AB17906" s="318"/>
      <c r="AC17906" s="318"/>
      <c r="AD17906" s="318"/>
    </row>
    <row r="17907" spans="2:30" s="323" customFormat="1" ht="12" customHeight="1">
      <c r="B17907" s="324"/>
      <c r="C17907" s="325"/>
      <c r="D17907" s="326"/>
      <c r="E17907" s="326"/>
      <c r="F17907" s="326"/>
      <c r="G17907" s="326"/>
      <c r="H17907" s="326"/>
      <c r="P17907" s="318"/>
      <c r="Q17907" s="318"/>
      <c r="R17907" s="318"/>
      <c r="S17907" s="318"/>
      <c r="T17907" s="318"/>
      <c r="U17907" s="318"/>
      <c r="V17907" s="318"/>
      <c r="W17907" s="318"/>
      <c r="X17907" s="318"/>
      <c r="Y17907" s="318"/>
      <c r="Z17907" s="318"/>
      <c r="AA17907" s="318"/>
      <c r="AB17907" s="318"/>
      <c r="AC17907" s="318"/>
      <c r="AD17907" s="318"/>
    </row>
    <row r="17908" spans="2:30" s="323" customFormat="1" ht="12" customHeight="1">
      <c r="B17908" s="324"/>
      <c r="C17908" s="325"/>
      <c r="D17908" s="326"/>
      <c r="E17908" s="326"/>
      <c r="F17908" s="326"/>
      <c r="G17908" s="326"/>
      <c r="H17908" s="326"/>
      <c r="P17908" s="318"/>
      <c r="Q17908" s="318"/>
      <c r="R17908" s="318"/>
      <c r="S17908" s="318"/>
      <c r="T17908" s="318"/>
      <c r="U17908" s="318"/>
      <c r="V17908" s="318"/>
      <c r="W17908" s="318"/>
      <c r="X17908" s="318"/>
      <c r="Y17908" s="318"/>
      <c r="Z17908" s="318"/>
      <c r="AA17908" s="318"/>
      <c r="AB17908" s="318"/>
      <c r="AC17908" s="318"/>
      <c r="AD17908" s="318"/>
    </row>
    <row r="17909" spans="2:30" s="323" customFormat="1" ht="12" customHeight="1">
      <c r="B17909" s="324"/>
      <c r="C17909" s="325"/>
      <c r="D17909" s="326"/>
      <c r="E17909" s="326"/>
      <c r="F17909" s="326"/>
      <c r="G17909" s="326"/>
      <c r="H17909" s="326"/>
      <c r="P17909" s="318"/>
      <c r="Q17909" s="318"/>
      <c r="R17909" s="318"/>
      <c r="S17909" s="318"/>
      <c r="T17909" s="318"/>
      <c r="U17909" s="318"/>
      <c r="V17909" s="318"/>
      <c r="W17909" s="318"/>
      <c r="X17909" s="318"/>
      <c r="Y17909" s="318"/>
      <c r="Z17909" s="318"/>
      <c r="AA17909" s="318"/>
      <c r="AB17909" s="318"/>
      <c r="AC17909" s="318"/>
      <c r="AD17909" s="318"/>
    </row>
    <row r="17910" spans="2:30" s="323" customFormat="1" ht="12" customHeight="1">
      <c r="B17910" s="324"/>
      <c r="C17910" s="325"/>
      <c r="D17910" s="326"/>
      <c r="E17910" s="326"/>
      <c r="F17910" s="326"/>
      <c r="G17910" s="326"/>
      <c r="H17910" s="326"/>
      <c r="P17910" s="318"/>
      <c r="Q17910" s="318"/>
      <c r="R17910" s="318"/>
      <c r="S17910" s="318"/>
      <c r="T17910" s="318"/>
      <c r="U17910" s="318"/>
      <c r="V17910" s="318"/>
      <c r="W17910" s="318"/>
      <c r="X17910" s="318"/>
      <c r="Y17910" s="318"/>
      <c r="Z17910" s="318"/>
      <c r="AA17910" s="318"/>
      <c r="AB17910" s="318"/>
      <c r="AC17910" s="318"/>
      <c r="AD17910" s="318"/>
    </row>
    <row r="17911" spans="2:30" s="323" customFormat="1" ht="12" customHeight="1">
      <c r="B17911" s="324"/>
      <c r="C17911" s="325"/>
      <c r="D17911" s="326"/>
      <c r="E17911" s="326"/>
      <c r="F17911" s="326"/>
      <c r="G17911" s="326"/>
      <c r="H17911" s="326"/>
      <c r="P17911" s="318"/>
      <c r="Q17911" s="318"/>
      <c r="R17911" s="318"/>
      <c r="S17911" s="318"/>
      <c r="T17911" s="318"/>
      <c r="U17911" s="318"/>
      <c r="V17911" s="318"/>
      <c r="W17911" s="318"/>
      <c r="X17911" s="318"/>
      <c r="Y17911" s="318"/>
      <c r="Z17911" s="318"/>
      <c r="AA17911" s="318"/>
      <c r="AB17911" s="318"/>
      <c r="AC17911" s="318"/>
      <c r="AD17911" s="318"/>
    </row>
    <row r="17912" spans="2:30" s="323" customFormat="1" ht="12" customHeight="1">
      <c r="B17912" s="324"/>
      <c r="C17912" s="325"/>
      <c r="D17912" s="326"/>
      <c r="E17912" s="326"/>
      <c r="F17912" s="326"/>
      <c r="G17912" s="326"/>
      <c r="H17912" s="326"/>
      <c r="P17912" s="318"/>
      <c r="Q17912" s="318"/>
      <c r="R17912" s="318"/>
      <c r="S17912" s="318"/>
      <c r="T17912" s="318"/>
      <c r="U17912" s="318"/>
      <c r="V17912" s="318"/>
      <c r="W17912" s="318"/>
      <c r="X17912" s="318"/>
      <c r="Y17912" s="318"/>
      <c r="Z17912" s="318"/>
      <c r="AA17912" s="318"/>
      <c r="AB17912" s="318"/>
      <c r="AC17912" s="318"/>
      <c r="AD17912" s="318"/>
    </row>
    <row r="17913" spans="2:30" s="323" customFormat="1" ht="12" customHeight="1">
      <c r="B17913" s="324"/>
      <c r="C17913" s="325"/>
      <c r="D17913" s="326"/>
      <c r="E17913" s="326"/>
      <c r="F17913" s="326"/>
      <c r="G17913" s="326"/>
      <c r="H17913" s="326"/>
      <c r="P17913" s="318"/>
      <c r="Q17913" s="318"/>
      <c r="R17913" s="318"/>
      <c r="S17913" s="318"/>
      <c r="T17913" s="318"/>
      <c r="U17913" s="318"/>
      <c r="V17913" s="318"/>
      <c r="W17913" s="318"/>
      <c r="X17913" s="318"/>
      <c r="Y17913" s="318"/>
      <c r="Z17913" s="318"/>
      <c r="AA17913" s="318"/>
      <c r="AB17913" s="318"/>
      <c r="AC17913" s="318"/>
      <c r="AD17913" s="318"/>
    </row>
    <row r="17914" spans="2:30" s="323" customFormat="1" ht="12" customHeight="1">
      <c r="B17914" s="324"/>
      <c r="C17914" s="325"/>
      <c r="D17914" s="326"/>
      <c r="E17914" s="326"/>
      <c r="F17914" s="326"/>
      <c r="G17914" s="326"/>
      <c r="H17914" s="326"/>
      <c r="P17914" s="318"/>
      <c r="Q17914" s="318"/>
      <c r="R17914" s="318"/>
      <c r="S17914" s="318"/>
      <c r="T17914" s="318"/>
      <c r="U17914" s="318"/>
      <c r="V17914" s="318"/>
      <c r="W17914" s="318"/>
      <c r="X17914" s="318"/>
      <c r="Y17914" s="318"/>
      <c r="Z17914" s="318"/>
      <c r="AA17914" s="318"/>
      <c r="AB17914" s="318"/>
      <c r="AC17914" s="318"/>
      <c r="AD17914" s="318"/>
    </row>
    <row r="17915" spans="2:30" s="323" customFormat="1" ht="12" customHeight="1">
      <c r="B17915" s="324"/>
      <c r="C17915" s="325"/>
      <c r="D17915" s="326"/>
      <c r="E17915" s="326"/>
      <c r="F17915" s="326"/>
      <c r="G17915" s="326"/>
      <c r="H17915" s="326"/>
      <c r="P17915" s="318"/>
      <c r="Q17915" s="318"/>
      <c r="R17915" s="318"/>
      <c r="S17915" s="318"/>
      <c r="T17915" s="318"/>
      <c r="U17915" s="318"/>
      <c r="V17915" s="318"/>
      <c r="W17915" s="318"/>
      <c r="X17915" s="318"/>
      <c r="Y17915" s="318"/>
      <c r="Z17915" s="318"/>
      <c r="AA17915" s="318"/>
      <c r="AB17915" s="318"/>
      <c r="AC17915" s="318"/>
      <c r="AD17915" s="318"/>
    </row>
    <row r="17916" spans="2:30" s="323" customFormat="1" ht="12" customHeight="1">
      <c r="B17916" s="324"/>
      <c r="C17916" s="325"/>
      <c r="D17916" s="326"/>
      <c r="E17916" s="326"/>
      <c r="F17916" s="326"/>
      <c r="G17916" s="326"/>
      <c r="H17916" s="326"/>
      <c r="P17916" s="318"/>
      <c r="Q17916" s="318"/>
      <c r="R17916" s="318"/>
      <c r="S17916" s="318"/>
      <c r="T17916" s="318"/>
      <c r="U17916" s="318"/>
      <c r="V17916" s="318"/>
      <c r="W17916" s="318"/>
      <c r="X17916" s="318"/>
      <c r="Y17916" s="318"/>
      <c r="Z17916" s="318"/>
      <c r="AA17916" s="318"/>
      <c r="AB17916" s="318"/>
      <c r="AC17916" s="318"/>
      <c r="AD17916" s="318"/>
    </row>
    <row r="17917" spans="2:30" s="323" customFormat="1" ht="12" customHeight="1">
      <c r="B17917" s="324"/>
      <c r="C17917" s="325"/>
      <c r="D17917" s="326"/>
      <c r="E17917" s="326"/>
      <c r="F17917" s="326"/>
      <c r="G17917" s="326"/>
      <c r="H17917" s="326"/>
      <c r="P17917" s="318"/>
      <c r="Q17917" s="318"/>
      <c r="R17917" s="318"/>
      <c r="S17917" s="318"/>
      <c r="T17917" s="318"/>
      <c r="U17917" s="318"/>
      <c r="V17917" s="318"/>
      <c r="W17917" s="318"/>
      <c r="X17917" s="318"/>
      <c r="Y17917" s="318"/>
      <c r="Z17917" s="318"/>
      <c r="AA17917" s="318"/>
      <c r="AB17917" s="318"/>
      <c r="AC17917" s="318"/>
      <c r="AD17917" s="318"/>
    </row>
    <row r="17918" spans="2:30" s="323" customFormat="1" ht="12" customHeight="1">
      <c r="B17918" s="324"/>
      <c r="C17918" s="325"/>
      <c r="D17918" s="326"/>
      <c r="E17918" s="326"/>
      <c r="F17918" s="326"/>
      <c r="G17918" s="326"/>
      <c r="H17918" s="326"/>
      <c r="P17918" s="318"/>
      <c r="Q17918" s="318"/>
      <c r="R17918" s="318"/>
      <c r="S17918" s="318"/>
      <c r="T17918" s="318"/>
      <c r="U17918" s="318"/>
      <c r="V17918" s="318"/>
      <c r="W17918" s="318"/>
      <c r="X17918" s="318"/>
      <c r="Y17918" s="318"/>
      <c r="Z17918" s="318"/>
      <c r="AA17918" s="318"/>
      <c r="AB17918" s="318"/>
      <c r="AC17918" s="318"/>
      <c r="AD17918" s="318"/>
    </row>
    <row r="17919" spans="2:30" s="323" customFormat="1" ht="12" customHeight="1">
      <c r="B17919" s="324"/>
      <c r="C17919" s="325"/>
      <c r="D17919" s="326"/>
      <c r="E17919" s="326"/>
      <c r="F17919" s="326"/>
      <c r="G17919" s="326"/>
      <c r="H17919" s="326"/>
      <c r="P17919" s="318"/>
      <c r="Q17919" s="318"/>
      <c r="R17919" s="318"/>
      <c r="S17919" s="318"/>
      <c r="T17919" s="318"/>
      <c r="U17919" s="318"/>
      <c r="V17919" s="318"/>
      <c r="W17919" s="318"/>
      <c r="X17919" s="318"/>
      <c r="Y17919" s="318"/>
      <c r="Z17919" s="318"/>
      <c r="AA17919" s="318"/>
      <c r="AB17919" s="318"/>
      <c r="AC17919" s="318"/>
      <c r="AD17919" s="318"/>
    </row>
    <row r="17920" spans="2:30" s="323" customFormat="1" ht="12" customHeight="1">
      <c r="B17920" s="324"/>
      <c r="C17920" s="325"/>
      <c r="D17920" s="326"/>
      <c r="E17920" s="326"/>
      <c r="F17920" s="326"/>
      <c r="G17920" s="326"/>
      <c r="H17920" s="326"/>
      <c r="P17920" s="318"/>
      <c r="Q17920" s="318"/>
      <c r="R17920" s="318"/>
      <c r="S17920" s="318"/>
      <c r="T17920" s="318"/>
      <c r="U17920" s="318"/>
      <c r="V17920" s="318"/>
      <c r="W17920" s="318"/>
      <c r="X17920" s="318"/>
      <c r="Y17920" s="318"/>
      <c r="Z17920" s="318"/>
      <c r="AA17920" s="318"/>
      <c r="AB17920" s="318"/>
      <c r="AC17920" s="318"/>
      <c r="AD17920" s="318"/>
    </row>
    <row r="17921" spans="2:30" s="323" customFormat="1" ht="12" customHeight="1">
      <c r="B17921" s="324"/>
      <c r="C17921" s="325"/>
      <c r="D17921" s="326"/>
      <c r="E17921" s="326"/>
      <c r="F17921" s="326"/>
      <c r="G17921" s="326"/>
      <c r="H17921" s="326"/>
      <c r="P17921" s="318"/>
      <c r="Q17921" s="318"/>
      <c r="R17921" s="318"/>
      <c r="S17921" s="318"/>
      <c r="T17921" s="318"/>
      <c r="U17921" s="318"/>
      <c r="V17921" s="318"/>
      <c r="W17921" s="318"/>
      <c r="X17921" s="318"/>
      <c r="Y17921" s="318"/>
      <c r="Z17921" s="318"/>
      <c r="AA17921" s="318"/>
      <c r="AB17921" s="318"/>
      <c r="AC17921" s="318"/>
      <c r="AD17921" s="318"/>
    </row>
    <row r="17922" spans="2:30" s="323" customFormat="1" ht="12" customHeight="1">
      <c r="B17922" s="324"/>
      <c r="C17922" s="325"/>
      <c r="D17922" s="326"/>
      <c r="E17922" s="326"/>
      <c r="F17922" s="326"/>
      <c r="G17922" s="326"/>
      <c r="H17922" s="326"/>
      <c r="P17922" s="318"/>
      <c r="Q17922" s="318"/>
      <c r="R17922" s="318"/>
      <c r="S17922" s="318"/>
      <c r="T17922" s="318"/>
      <c r="U17922" s="318"/>
      <c r="V17922" s="318"/>
      <c r="W17922" s="318"/>
      <c r="X17922" s="318"/>
      <c r="Y17922" s="318"/>
      <c r="Z17922" s="318"/>
      <c r="AA17922" s="318"/>
      <c r="AB17922" s="318"/>
      <c r="AC17922" s="318"/>
      <c r="AD17922" s="318"/>
    </row>
    <row r="17923" spans="2:30" s="323" customFormat="1" ht="12" customHeight="1">
      <c r="B17923" s="324"/>
      <c r="C17923" s="325"/>
      <c r="D17923" s="326"/>
      <c r="E17923" s="326"/>
      <c r="F17923" s="326"/>
      <c r="G17923" s="326"/>
      <c r="H17923" s="326"/>
      <c r="P17923" s="318"/>
      <c r="Q17923" s="318"/>
      <c r="R17923" s="318"/>
      <c r="S17923" s="318"/>
      <c r="T17923" s="318"/>
      <c r="U17923" s="318"/>
      <c r="V17923" s="318"/>
      <c r="W17923" s="318"/>
      <c r="X17923" s="318"/>
      <c r="Y17923" s="318"/>
      <c r="Z17923" s="318"/>
      <c r="AA17923" s="318"/>
      <c r="AB17923" s="318"/>
      <c r="AC17923" s="318"/>
      <c r="AD17923" s="318"/>
    </row>
    <row r="17924" spans="2:30" s="323" customFormat="1" ht="12" customHeight="1">
      <c r="B17924" s="324"/>
      <c r="C17924" s="325"/>
      <c r="D17924" s="326"/>
      <c r="E17924" s="326"/>
      <c r="F17924" s="326"/>
      <c r="G17924" s="326"/>
      <c r="H17924" s="326"/>
      <c r="P17924" s="318"/>
      <c r="Q17924" s="318"/>
      <c r="R17924" s="318"/>
      <c r="S17924" s="318"/>
      <c r="T17924" s="318"/>
      <c r="U17924" s="318"/>
      <c r="V17924" s="318"/>
      <c r="W17924" s="318"/>
      <c r="X17924" s="318"/>
      <c r="Y17924" s="318"/>
      <c r="Z17924" s="318"/>
      <c r="AA17924" s="318"/>
      <c r="AB17924" s="318"/>
      <c r="AC17924" s="318"/>
      <c r="AD17924" s="318"/>
    </row>
    <row r="17925" spans="2:30" s="323" customFormat="1" ht="12" customHeight="1">
      <c r="B17925" s="324"/>
      <c r="C17925" s="325"/>
      <c r="D17925" s="326"/>
      <c r="E17925" s="326"/>
      <c r="F17925" s="326"/>
      <c r="G17925" s="326"/>
      <c r="H17925" s="326"/>
      <c r="P17925" s="318"/>
      <c r="Q17925" s="318"/>
      <c r="R17925" s="318"/>
      <c r="S17925" s="318"/>
      <c r="T17925" s="318"/>
      <c r="U17925" s="318"/>
      <c r="V17925" s="318"/>
      <c r="W17925" s="318"/>
      <c r="X17925" s="318"/>
      <c r="Y17925" s="318"/>
      <c r="Z17925" s="318"/>
      <c r="AA17925" s="318"/>
      <c r="AB17925" s="318"/>
      <c r="AC17925" s="318"/>
      <c r="AD17925" s="318"/>
    </row>
    <row r="17926" spans="2:30" s="323" customFormat="1" ht="12" customHeight="1">
      <c r="B17926" s="324"/>
      <c r="C17926" s="325"/>
      <c r="D17926" s="326"/>
      <c r="E17926" s="326"/>
      <c r="F17926" s="326"/>
      <c r="G17926" s="326"/>
      <c r="H17926" s="326"/>
      <c r="P17926" s="318"/>
      <c r="Q17926" s="318"/>
      <c r="R17926" s="318"/>
      <c r="S17926" s="318"/>
      <c r="T17926" s="318"/>
      <c r="U17926" s="318"/>
      <c r="V17926" s="318"/>
      <c r="W17926" s="318"/>
      <c r="X17926" s="318"/>
      <c r="Y17926" s="318"/>
      <c r="Z17926" s="318"/>
      <c r="AA17926" s="318"/>
      <c r="AB17926" s="318"/>
      <c r="AC17926" s="318"/>
      <c r="AD17926" s="318"/>
    </row>
    <row r="17927" spans="2:30" s="323" customFormat="1" ht="12" customHeight="1">
      <c r="B17927" s="324"/>
      <c r="C17927" s="325"/>
      <c r="D17927" s="326"/>
      <c r="E17927" s="326"/>
      <c r="F17927" s="326"/>
      <c r="G17927" s="326"/>
      <c r="H17927" s="326"/>
      <c r="P17927" s="318"/>
      <c r="Q17927" s="318"/>
      <c r="R17927" s="318"/>
      <c r="S17927" s="318"/>
      <c r="T17927" s="318"/>
      <c r="U17927" s="318"/>
      <c r="V17927" s="318"/>
      <c r="W17927" s="318"/>
      <c r="X17927" s="318"/>
      <c r="Y17927" s="318"/>
      <c r="Z17927" s="318"/>
      <c r="AA17927" s="318"/>
      <c r="AB17927" s="318"/>
      <c r="AC17927" s="318"/>
      <c r="AD17927" s="318"/>
    </row>
    <row r="17928" spans="2:30" s="323" customFormat="1" ht="12" customHeight="1">
      <c r="B17928" s="324"/>
      <c r="C17928" s="325"/>
      <c r="D17928" s="326"/>
      <c r="E17928" s="326"/>
      <c r="F17928" s="326"/>
      <c r="G17928" s="326"/>
      <c r="H17928" s="326"/>
      <c r="P17928" s="318"/>
      <c r="Q17928" s="318"/>
      <c r="R17928" s="318"/>
      <c r="S17928" s="318"/>
      <c r="T17928" s="318"/>
      <c r="U17928" s="318"/>
      <c r="V17928" s="318"/>
      <c r="W17928" s="318"/>
      <c r="X17928" s="318"/>
      <c r="Y17928" s="318"/>
      <c r="Z17928" s="318"/>
      <c r="AA17928" s="318"/>
      <c r="AB17928" s="318"/>
      <c r="AC17928" s="318"/>
      <c r="AD17928" s="318"/>
    </row>
    <row r="17929" spans="2:30" s="323" customFormat="1" ht="12" customHeight="1">
      <c r="B17929" s="324"/>
      <c r="C17929" s="325"/>
      <c r="D17929" s="326"/>
      <c r="E17929" s="326"/>
      <c r="F17929" s="326"/>
      <c r="G17929" s="326"/>
      <c r="H17929" s="326"/>
      <c r="P17929" s="318"/>
      <c r="Q17929" s="318"/>
      <c r="R17929" s="318"/>
      <c r="S17929" s="318"/>
      <c r="T17929" s="318"/>
      <c r="U17929" s="318"/>
      <c r="V17929" s="318"/>
      <c r="W17929" s="318"/>
      <c r="X17929" s="318"/>
      <c r="Y17929" s="318"/>
      <c r="Z17929" s="318"/>
      <c r="AA17929" s="318"/>
      <c r="AB17929" s="318"/>
      <c r="AC17929" s="318"/>
      <c r="AD17929" s="318"/>
    </row>
    <row r="17930" spans="2:30" s="323" customFormat="1" ht="12" customHeight="1">
      <c r="B17930" s="324"/>
      <c r="C17930" s="325"/>
      <c r="D17930" s="326"/>
      <c r="E17930" s="326"/>
      <c r="F17930" s="326"/>
      <c r="G17930" s="326"/>
      <c r="H17930" s="326"/>
      <c r="P17930" s="318"/>
      <c r="Q17930" s="318"/>
      <c r="R17930" s="318"/>
      <c r="S17930" s="318"/>
      <c r="T17930" s="318"/>
      <c r="U17930" s="318"/>
      <c r="V17930" s="318"/>
      <c r="W17930" s="318"/>
      <c r="X17930" s="318"/>
      <c r="Y17930" s="318"/>
      <c r="Z17930" s="318"/>
      <c r="AA17930" s="318"/>
      <c r="AB17930" s="318"/>
      <c r="AC17930" s="318"/>
      <c r="AD17930" s="318"/>
    </row>
    <row r="17931" spans="2:30" s="323" customFormat="1" ht="12" customHeight="1">
      <c r="B17931" s="324"/>
      <c r="C17931" s="325"/>
      <c r="D17931" s="326"/>
      <c r="E17931" s="326"/>
      <c r="F17931" s="326"/>
      <c r="G17931" s="326"/>
      <c r="H17931" s="326"/>
      <c r="P17931" s="318"/>
      <c r="Q17931" s="318"/>
      <c r="R17931" s="318"/>
      <c r="S17931" s="318"/>
      <c r="T17931" s="318"/>
      <c r="U17931" s="318"/>
      <c r="V17931" s="318"/>
      <c r="W17931" s="318"/>
      <c r="X17931" s="318"/>
      <c r="Y17931" s="318"/>
      <c r="Z17931" s="318"/>
      <c r="AA17931" s="318"/>
      <c r="AB17931" s="318"/>
      <c r="AC17931" s="318"/>
      <c r="AD17931" s="318"/>
    </row>
    <row r="17932" spans="2:30" s="323" customFormat="1" ht="12" customHeight="1">
      <c r="B17932" s="324"/>
      <c r="C17932" s="325"/>
      <c r="D17932" s="326"/>
      <c r="E17932" s="326"/>
      <c r="F17932" s="326"/>
      <c r="G17932" s="326"/>
      <c r="H17932" s="326"/>
      <c r="P17932" s="318"/>
      <c r="Q17932" s="318"/>
      <c r="R17932" s="318"/>
      <c r="S17932" s="318"/>
      <c r="T17932" s="318"/>
      <c r="U17932" s="318"/>
      <c r="V17932" s="318"/>
      <c r="W17932" s="318"/>
      <c r="X17932" s="318"/>
      <c r="Y17932" s="318"/>
      <c r="Z17932" s="318"/>
      <c r="AA17932" s="318"/>
      <c r="AB17932" s="318"/>
      <c r="AC17932" s="318"/>
      <c r="AD17932" s="318"/>
    </row>
    <row r="17933" spans="2:30" s="323" customFormat="1" ht="12" customHeight="1">
      <c r="B17933" s="324"/>
      <c r="C17933" s="325"/>
      <c r="D17933" s="326"/>
      <c r="E17933" s="326"/>
      <c r="F17933" s="326"/>
      <c r="G17933" s="326"/>
      <c r="H17933" s="326"/>
      <c r="P17933" s="318"/>
      <c r="Q17933" s="318"/>
      <c r="R17933" s="318"/>
      <c r="S17933" s="318"/>
      <c r="T17933" s="318"/>
      <c r="U17933" s="318"/>
      <c r="V17933" s="318"/>
      <c r="W17933" s="318"/>
      <c r="X17933" s="318"/>
      <c r="Y17933" s="318"/>
      <c r="Z17933" s="318"/>
      <c r="AA17933" s="318"/>
      <c r="AB17933" s="318"/>
      <c r="AC17933" s="318"/>
      <c r="AD17933" s="318"/>
    </row>
    <row r="17934" spans="2:30" s="323" customFormat="1" ht="12" customHeight="1">
      <c r="B17934" s="324"/>
      <c r="C17934" s="325"/>
      <c r="D17934" s="326"/>
      <c r="E17934" s="326"/>
      <c r="F17934" s="326"/>
      <c r="G17934" s="326"/>
      <c r="H17934" s="326"/>
      <c r="P17934" s="318"/>
      <c r="Q17934" s="318"/>
      <c r="R17934" s="318"/>
      <c r="S17934" s="318"/>
      <c r="T17934" s="318"/>
      <c r="U17934" s="318"/>
      <c r="V17934" s="318"/>
      <c r="W17934" s="318"/>
      <c r="X17934" s="318"/>
      <c r="Y17934" s="318"/>
      <c r="Z17934" s="318"/>
      <c r="AA17934" s="318"/>
      <c r="AB17934" s="318"/>
      <c r="AC17934" s="318"/>
      <c r="AD17934" s="318"/>
    </row>
    <row r="17935" spans="2:30" s="323" customFormat="1" ht="12" customHeight="1">
      <c r="B17935" s="324"/>
      <c r="C17935" s="325"/>
      <c r="D17935" s="326"/>
      <c r="E17935" s="326"/>
      <c r="F17935" s="326"/>
      <c r="G17935" s="326"/>
      <c r="H17935" s="326"/>
      <c r="P17935" s="318"/>
      <c r="Q17935" s="318"/>
      <c r="R17935" s="318"/>
      <c r="S17935" s="318"/>
      <c r="T17935" s="318"/>
      <c r="U17935" s="318"/>
      <c r="V17935" s="318"/>
      <c r="W17935" s="318"/>
      <c r="X17935" s="318"/>
      <c r="Y17935" s="318"/>
      <c r="Z17935" s="318"/>
      <c r="AA17935" s="318"/>
      <c r="AB17935" s="318"/>
      <c r="AC17935" s="318"/>
      <c r="AD17935" s="318"/>
    </row>
    <row r="17936" spans="2:30" s="323" customFormat="1" ht="12" customHeight="1">
      <c r="B17936" s="324"/>
      <c r="C17936" s="325"/>
      <c r="D17936" s="326"/>
      <c r="E17936" s="326"/>
      <c r="F17936" s="326"/>
      <c r="G17936" s="326"/>
      <c r="H17936" s="326"/>
      <c r="P17936" s="318"/>
      <c r="Q17936" s="318"/>
      <c r="R17936" s="318"/>
      <c r="S17936" s="318"/>
      <c r="T17936" s="318"/>
      <c r="U17936" s="318"/>
      <c r="V17936" s="318"/>
      <c r="W17936" s="318"/>
      <c r="X17936" s="318"/>
      <c r="Y17936" s="318"/>
      <c r="Z17936" s="318"/>
      <c r="AA17936" s="318"/>
      <c r="AB17936" s="318"/>
      <c r="AC17936" s="318"/>
      <c r="AD17936" s="318"/>
    </row>
    <row r="17937" spans="2:30" s="323" customFormat="1" ht="12" customHeight="1">
      <c r="B17937" s="324"/>
      <c r="C17937" s="325"/>
      <c r="D17937" s="326"/>
      <c r="E17937" s="326"/>
      <c r="F17937" s="326"/>
      <c r="G17937" s="326"/>
      <c r="H17937" s="326"/>
      <c r="P17937" s="318"/>
      <c r="Q17937" s="318"/>
      <c r="R17937" s="318"/>
      <c r="S17937" s="318"/>
      <c r="T17937" s="318"/>
      <c r="U17937" s="318"/>
      <c r="V17937" s="318"/>
      <c r="W17937" s="318"/>
      <c r="X17937" s="318"/>
      <c r="Y17937" s="318"/>
      <c r="Z17937" s="318"/>
      <c r="AA17937" s="318"/>
      <c r="AB17937" s="318"/>
      <c r="AC17937" s="318"/>
      <c r="AD17937" s="318"/>
    </row>
    <row r="17938" spans="2:30" s="323" customFormat="1" ht="12" customHeight="1">
      <c r="B17938" s="324"/>
      <c r="C17938" s="325"/>
      <c r="D17938" s="326"/>
      <c r="E17938" s="326"/>
      <c r="F17938" s="326"/>
      <c r="G17938" s="326"/>
      <c r="H17938" s="326"/>
      <c r="P17938" s="318"/>
      <c r="Q17938" s="318"/>
      <c r="R17938" s="318"/>
      <c r="S17938" s="318"/>
      <c r="T17938" s="318"/>
      <c r="U17938" s="318"/>
      <c r="V17938" s="318"/>
      <c r="W17938" s="318"/>
      <c r="X17938" s="318"/>
      <c r="Y17938" s="318"/>
      <c r="Z17938" s="318"/>
      <c r="AA17938" s="318"/>
      <c r="AB17938" s="318"/>
      <c r="AC17938" s="318"/>
      <c r="AD17938" s="318"/>
    </row>
    <row r="17939" spans="2:30" s="323" customFormat="1" ht="12" customHeight="1">
      <c r="B17939" s="324"/>
      <c r="C17939" s="325"/>
      <c r="D17939" s="326"/>
      <c r="E17939" s="326"/>
      <c r="F17939" s="326"/>
      <c r="G17939" s="326"/>
      <c r="H17939" s="326"/>
      <c r="P17939" s="318"/>
      <c r="Q17939" s="318"/>
      <c r="R17939" s="318"/>
      <c r="S17939" s="318"/>
      <c r="T17939" s="318"/>
      <c r="U17939" s="318"/>
      <c r="V17939" s="318"/>
      <c r="W17939" s="318"/>
      <c r="X17939" s="318"/>
      <c r="Y17939" s="318"/>
      <c r="Z17939" s="318"/>
      <c r="AA17939" s="318"/>
      <c r="AB17939" s="318"/>
      <c r="AC17939" s="318"/>
      <c r="AD17939" s="318"/>
    </row>
    <row r="17940" spans="2:30" s="323" customFormat="1" ht="12" customHeight="1">
      <c r="B17940" s="324"/>
      <c r="C17940" s="325"/>
      <c r="D17940" s="326"/>
      <c r="E17940" s="326"/>
      <c r="F17940" s="326"/>
      <c r="G17940" s="326"/>
      <c r="H17940" s="326"/>
      <c r="P17940" s="318"/>
      <c r="Q17940" s="318"/>
      <c r="R17940" s="318"/>
      <c r="S17940" s="318"/>
      <c r="T17940" s="318"/>
      <c r="U17940" s="318"/>
      <c r="V17940" s="318"/>
      <c r="W17940" s="318"/>
      <c r="X17940" s="318"/>
      <c r="Y17940" s="318"/>
      <c r="Z17940" s="318"/>
      <c r="AA17940" s="318"/>
      <c r="AB17940" s="318"/>
      <c r="AC17940" s="318"/>
      <c r="AD17940" s="318"/>
    </row>
    <row r="17941" spans="2:30" s="323" customFormat="1" ht="12" customHeight="1">
      <c r="B17941" s="324"/>
      <c r="C17941" s="325"/>
      <c r="D17941" s="326"/>
      <c r="E17941" s="326"/>
      <c r="F17941" s="326"/>
      <c r="G17941" s="326"/>
      <c r="H17941" s="326"/>
      <c r="P17941" s="318"/>
      <c r="Q17941" s="318"/>
      <c r="R17941" s="318"/>
      <c r="S17941" s="318"/>
      <c r="T17941" s="318"/>
      <c r="U17941" s="318"/>
      <c r="V17941" s="318"/>
      <c r="W17941" s="318"/>
      <c r="X17941" s="318"/>
      <c r="Y17941" s="318"/>
      <c r="Z17941" s="318"/>
      <c r="AA17941" s="318"/>
      <c r="AB17941" s="318"/>
      <c r="AC17941" s="318"/>
      <c r="AD17941" s="318"/>
    </row>
    <row r="17942" spans="2:30" s="323" customFormat="1" ht="12" customHeight="1">
      <c r="B17942" s="324"/>
      <c r="C17942" s="325"/>
      <c r="D17942" s="326"/>
      <c r="E17942" s="326"/>
      <c r="F17942" s="326"/>
      <c r="G17942" s="326"/>
      <c r="H17942" s="326"/>
      <c r="P17942" s="318"/>
      <c r="Q17942" s="318"/>
      <c r="R17942" s="318"/>
      <c r="S17942" s="318"/>
      <c r="T17942" s="318"/>
      <c r="U17942" s="318"/>
      <c r="V17942" s="318"/>
      <c r="W17942" s="318"/>
      <c r="X17942" s="318"/>
      <c r="Y17942" s="318"/>
      <c r="Z17942" s="318"/>
      <c r="AA17942" s="318"/>
      <c r="AB17942" s="318"/>
      <c r="AC17942" s="318"/>
      <c r="AD17942" s="318"/>
    </row>
    <row r="17943" spans="2:30" s="323" customFormat="1" ht="12" customHeight="1">
      <c r="B17943" s="324"/>
      <c r="C17943" s="325"/>
      <c r="D17943" s="326"/>
      <c r="E17943" s="326"/>
      <c r="F17943" s="326"/>
      <c r="G17943" s="326"/>
      <c r="H17943" s="326"/>
      <c r="P17943" s="318"/>
      <c r="Q17943" s="318"/>
      <c r="R17943" s="318"/>
      <c r="S17943" s="318"/>
      <c r="T17943" s="318"/>
      <c r="U17943" s="318"/>
      <c r="V17943" s="318"/>
      <c r="W17943" s="318"/>
      <c r="X17943" s="318"/>
      <c r="Y17943" s="318"/>
      <c r="Z17943" s="318"/>
      <c r="AA17943" s="318"/>
      <c r="AB17943" s="318"/>
      <c r="AC17943" s="318"/>
      <c r="AD17943" s="318"/>
    </row>
    <row r="17944" spans="2:30" s="323" customFormat="1" ht="12" customHeight="1">
      <c r="B17944" s="324"/>
      <c r="C17944" s="325"/>
      <c r="D17944" s="326"/>
      <c r="E17944" s="326"/>
      <c r="F17944" s="326"/>
      <c r="G17944" s="326"/>
      <c r="H17944" s="326"/>
      <c r="P17944" s="318"/>
      <c r="Q17944" s="318"/>
      <c r="R17944" s="318"/>
      <c r="S17944" s="318"/>
      <c r="T17944" s="318"/>
      <c r="U17944" s="318"/>
      <c r="V17944" s="318"/>
      <c r="W17944" s="318"/>
      <c r="X17944" s="318"/>
      <c r="Y17944" s="318"/>
      <c r="Z17944" s="318"/>
      <c r="AA17944" s="318"/>
      <c r="AB17944" s="318"/>
      <c r="AC17944" s="318"/>
      <c r="AD17944" s="318"/>
    </row>
    <row r="17945" spans="2:30" s="323" customFormat="1" ht="12" customHeight="1">
      <c r="B17945" s="324"/>
      <c r="C17945" s="325"/>
      <c r="D17945" s="326"/>
      <c r="E17945" s="326"/>
      <c r="F17945" s="326"/>
      <c r="G17945" s="326"/>
      <c r="H17945" s="326"/>
      <c r="P17945" s="318"/>
      <c r="Q17945" s="318"/>
      <c r="R17945" s="318"/>
      <c r="S17945" s="318"/>
      <c r="T17945" s="318"/>
      <c r="U17945" s="318"/>
      <c r="V17945" s="318"/>
      <c r="W17945" s="318"/>
      <c r="X17945" s="318"/>
      <c r="Y17945" s="318"/>
      <c r="Z17945" s="318"/>
      <c r="AA17945" s="318"/>
      <c r="AB17945" s="318"/>
      <c r="AC17945" s="318"/>
      <c r="AD17945" s="318"/>
    </row>
    <row r="17946" spans="2:30" s="323" customFormat="1" ht="12" customHeight="1">
      <c r="B17946" s="324"/>
      <c r="C17946" s="325"/>
      <c r="D17946" s="326"/>
      <c r="E17946" s="326"/>
      <c r="F17946" s="326"/>
      <c r="G17946" s="326"/>
      <c r="H17946" s="326"/>
      <c r="P17946" s="318"/>
      <c r="Q17946" s="318"/>
      <c r="R17946" s="318"/>
      <c r="S17946" s="318"/>
      <c r="T17946" s="318"/>
      <c r="U17946" s="318"/>
      <c r="V17946" s="318"/>
      <c r="W17946" s="318"/>
      <c r="X17946" s="318"/>
      <c r="Y17946" s="318"/>
      <c r="Z17946" s="318"/>
      <c r="AA17946" s="318"/>
      <c r="AB17946" s="318"/>
      <c r="AC17946" s="318"/>
      <c r="AD17946" s="318"/>
    </row>
    <row r="17947" spans="2:30" s="323" customFormat="1" ht="12" customHeight="1">
      <c r="B17947" s="324"/>
      <c r="C17947" s="325"/>
      <c r="D17947" s="326"/>
      <c r="E17947" s="326"/>
      <c r="F17947" s="326"/>
      <c r="G17947" s="326"/>
      <c r="H17947" s="326"/>
      <c r="P17947" s="318"/>
      <c r="Q17947" s="318"/>
      <c r="R17947" s="318"/>
      <c r="S17947" s="318"/>
      <c r="T17947" s="318"/>
      <c r="U17947" s="318"/>
      <c r="V17947" s="318"/>
      <c r="W17947" s="318"/>
      <c r="X17947" s="318"/>
      <c r="Y17947" s="318"/>
      <c r="Z17947" s="318"/>
      <c r="AA17947" s="318"/>
      <c r="AB17947" s="318"/>
      <c r="AC17947" s="318"/>
      <c r="AD17947" s="318"/>
    </row>
    <row r="17948" spans="2:30" s="323" customFormat="1" ht="12" customHeight="1">
      <c r="B17948" s="324"/>
      <c r="C17948" s="325"/>
      <c r="D17948" s="326"/>
      <c r="E17948" s="326"/>
      <c r="F17948" s="326"/>
      <c r="G17948" s="326"/>
      <c r="H17948" s="326"/>
      <c r="P17948" s="318"/>
      <c r="Q17948" s="318"/>
      <c r="R17948" s="318"/>
      <c r="S17948" s="318"/>
      <c r="T17948" s="318"/>
      <c r="U17948" s="318"/>
      <c r="V17948" s="318"/>
      <c r="W17948" s="318"/>
      <c r="X17948" s="318"/>
      <c r="Y17948" s="318"/>
      <c r="Z17948" s="318"/>
      <c r="AA17948" s="318"/>
      <c r="AB17948" s="318"/>
      <c r="AC17948" s="318"/>
      <c r="AD17948" s="318"/>
    </row>
    <row r="17949" spans="2:30" s="323" customFormat="1" ht="12" customHeight="1">
      <c r="B17949" s="324"/>
      <c r="C17949" s="325"/>
      <c r="D17949" s="326"/>
      <c r="E17949" s="326"/>
      <c r="F17949" s="326"/>
      <c r="G17949" s="326"/>
      <c r="H17949" s="326"/>
      <c r="P17949" s="318"/>
      <c r="Q17949" s="318"/>
      <c r="R17949" s="318"/>
      <c r="S17949" s="318"/>
      <c r="T17949" s="318"/>
      <c r="U17949" s="318"/>
      <c r="V17949" s="318"/>
      <c r="W17949" s="318"/>
      <c r="X17949" s="318"/>
      <c r="Y17949" s="318"/>
      <c r="Z17949" s="318"/>
      <c r="AA17949" s="318"/>
      <c r="AB17949" s="318"/>
      <c r="AC17949" s="318"/>
      <c r="AD17949" s="318"/>
    </row>
    <row r="17950" spans="2:30" s="323" customFormat="1" ht="12" customHeight="1">
      <c r="B17950" s="324"/>
      <c r="C17950" s="325"/>
      <c r="D17950" s="326"/>
      <c r="E17950" s="326"/>
      <c r="F17950" s="326"/>
      <c r="G17950" s="326"/>
      <c r="H17950" s="326"/>
      <c r="P17950" s="318"/>
      <c r="Q17950" s="318"/>
      <c r="R17950" s="318"/>
      <c r="S17950" s="318"/>
      <c r="T17950" s="318"/>
      <c r="U17950" s="318"/>
      <c r="V17950" s="318"/>
      <c r="W17950" s="318"/>
      <c r="X17950" s="318"/>
      <c r="Y17950" s="318"/>
      <c r="Z17950" s="318"/>
      <c r="AA17950" s="318"/>
      <c r="AB17950" s="318"/>
      <c r="AC17950" s="318"/>
      <c r="AD17950" s="318"/>
    </row>
    <row r="17951" spans="2:30" s="323" customFormat="1" ht="12" customHeight="1">
      <c r="B17951" s="324"/>
      <c r="C17951" s="325"/>
      <c r="D17951" s="326"/>
      <c r="E17951" s="326"/>
      <c r="F17951" s="326"/>
      <c r="G17951" s="326"/>
      <c r="H17951" s="326"/>
      <c r="P17951" s="318"/>
      <c r="Q17951" s="318"/>
      <c r="R17951" s="318"/>
      <c r="S17951" s="318"/>
      <c r="T17951" s="318"/>
      <c r="U17951" s="318"/>
      <c r="V17951" s="318"/>
      <c r="W17951" s="318"/>
      <c r="X17951" s="318"/>
      <c r="Y17951" s="318"/>
      <c r="Z17951" s="318"/>
      <c r="AA17951" s="318"/>
      <c r="AB17951" s="318"/>
      <c r="AC17951" s="318"/>
      <c r="AD17951" s="318"/>
    </row>
    <row r="17952" spans="2:30" s="323" customFormat="1" ht="12" customHeight="1">
      <c r="B17952" s="324"/>
      <c r="C17952" s="325"/>
      <c r="D17952" s="326"/>
      <c r="E17952" s="326"/>
      <c r="F17952" s="326"/>
      <c r="G17952" s="326"/>
      <c r="H17952" s="326"/>
      <c r="P17952" s="318"/>
      <c r="Q17952" s="318"/>
      <c r="R17952" s="318"/>
      <c r="S17952" s="318"/>
      <c r="T17952" s="318"/>
      <c r="U17952" s="318"/>
      <c r="V17952" s="318"/>
      <c r="W17952" s="318"/>
      <c r="X17952" s="318"/>
      <c r="Y17952" s="318"/>
      <c r="Z17952" s="318"/>
      <c r="AA17952" s="318"/>
      <c r="AB17952" s="318"/>
      <c r="AC17952" s="318"/>
      <c r="AD17952" s="318"/>
    </row>
    <row r="17953" spans="2:30" s="323" customFormat="1" ht="12" customHeight="1">
      <c r="B17953" s="324"/>
      <c r="C17953" s="325"/>
      <c r="D17953" s="326"/>
      <c r="E17953" s="326"/>
      <c r="F17953" s="326"/>
      <c r="G17953" s="326"/>
      <c r="H17953" s="326"/>
      <c r="P17953" s="318"/>
      <c r="Q17953" s="318"/>
      <c r="R17953" s="318"/>
      <c r="S17953" s="318"/>
      <c r="T17953" s="318"/>
      <c r="U17953" s="318"/>
      <c r="V17953" s="318"/>
      <c r="W17953" s="318"/>
      <c r="X17953" s="318"/>
      <c r="Y17953" s="318"/>
      <c r="Z17953" s="318"/>
      <c r="AA17953" s="318"/>
      <c r="AB17953" s="318"/>
      <c r="AC17953" s="318"/>
      <c r="AD17953" s="318"/>
    </row>
    <row r="17954" spans="2:30" s="323" customFormat="1" ht="12" customHeight="1">
      <c r="B17954" s="324"/>
      <c r="C17954" s="325"/>
      <c r="D17954" s="326"/>
      <c r="E17954" s="326"/>
      <c r="F17954" s="326"/>
      <c r="G17954" s="326"/>
      <c r="H17954" s="326"/>
      <c r="P17954" s="318"/>
      <c r="Q17954" s="318"/>
      <c r="R17954" s="318"/>
      <c r="S17954" s="318"/>
      <c r="T17954" s="318"/>
      <c r="U17954" s="318"/>
      <c r="V17954" s="318"/>
      <c r="W17954" s="318"/>
      <c r="X17954" s="318"/>
      <c r="Y17954" s="318"/>
      <c r="Z17954" s="318"/>
      <c r="AA17954" s="318"/>
      <c r="AB17954" s="318"/>
      <c r="AC17954" s="318"/>
      <c r="AD17954" s="318"/>
    </row>
    <row r="17955" spans="2:30" s="323" customFormat="1" ht="12" customHeight="1">
      <c r="B17955" s="324"/>
      <c r="C17955" s="325"/>
      <c r="D17955" s="326"/>
      <c r="E17955" s="326"/>
      <c r="F17955" s="326"/>
      <c r="G17955" s="326"/>
      <c r="H17955" s="326"/>
      <c r="P17955" s="318"/>
      <c r="Q17955" s="318"/>
      <c r="R17955" s="318"/>
      <c r="S17955" s="318"/>
      <c r="T17955" s="318"/>
      <c r="U17955" s="318"/>
      <c r="V17955" s="318"/>
      <c r="W17955" s="318"/>
      <c r="X17955" s="318"/>
      <c r="Y17955" s="318"/>
      <c r="Z17955" s="318"/>
      <c r="AA17955" s="318"/>
      <c r="AB17955" s="318"/>
      <c r="AC17955" s="318"/>
      <c r="AD17955" s="318"/>
    </row>
    <row r="17956" spans="2:30" s="323" customFormat="1" ht="12" customHeight="1">
      <c r="B17956" s="324"/>
      <c r="C17956" s="325"/>
      <c r="D17956" s="326"/>
      <c r="E17956" s="326"/>
      <c r="F17956" s="326"/>
      <c r="G17956" s="326"/>
      <c r="H17956" s="326"/>
      <c r="P17956" s="318"/>
      <c r="Q17956" s="318"/>
      <c r="R17956" s="318"/>
      <c r="S17956" s="318"/>
      <c r="T17956" s="318"/>
      <c r="U17956" s="318"/>
      <c r="V17956" s="318"/>
      <c r="W17956" s="318"/>
      <c r="X17956" s="318"/>
      <c r="Y17956" s="318"/>
      <c r="Z17956" s="318"/>
      <c r="AA17956" s="318"/>
      <c r="AB17956" s="318"/>
      <c r="AC17956" s="318"/>
      <c r="AD17956" s="318"/>
    </row>
    <row r="17957" spans="2:30" s="323" customFormat="1" ht="12" customHeight="1">
      <c r="B17957" s="324"/>
      <c r="C17957" s="325"/>
      <c r="D17957" s="326"/>
      <c r="E17957" s="326"/>
      <c r="F17957" s="326"/>
      <c r="G17957" s="326"/>
      <c r="H17957" s="326"/>
      <c r="P17957" s="318"/>
      <c r="Q17957" s="318"/>
      <c r="R17957" s="318"/>
      <c r="S17957" s="318"/>
      <c r="T17957" s="318"/>
      <c r="U17957" s="318"/>
      <c r="V17957" s="318"/>
      <c r="W17957" s="318"/>
      <c r="X17957" s="318"/>
      <c r="Y17957" s="318"/>
      <c r="Z17957" s="318"/>
      <c r="AA17957" s="318"/>
      <c r="AB17957" s="318"/>
      <c r="AC17957" s="318"/>
      <c r="AD17957" s="318"/>
    </row>
    <row r="17958" spans="2:30" s="323" customFormat="1" ht="12" customHeight="1">
      <c r="B17958" s="324"/>
      <c r="C17958" s="325"/>
      <c r="D17958" s="326"/>
      <c r="E17958" s="326"/>
      <c r="F17958" s="326"/>
      <c r="G17958" s="326"/>
      <c r="H17958" s="326"/>
      <c r="P17958" s="318"/>
      <c r="Q17958" s="318"/>
      <c r="R17958" s="318"/>
      <c r="S17958" s="318"/>
      <c r="T17958" s="318"/>
      <c r="U17958" s="318"/>
      <c r="V17958" s="318"/>
      <c r="W17958" s="318"/>
      <c r="X17958" s="318"/>
      <c r="Y17958" s="318"/>
      <c r="Z17958" s="318"/>
      <c r="AA17958" s="318"/>
      <c r="AB17958" s="318"/>
      <c r="AC17958" s="318"/>
      <c r="AD17958" s="318"/>
    </row>
    <row r="17959" spans="2:30" s="323" customFormat="1" ht="12" customHeight="1">
      <c r="B17959" s="324"/>
      <c r="C17959" s="325"/>
      <c r="D17959" s="326"/>
      <c r="E17959" s="326"/>
      <c r="F17959" s="326"/>
      <c r="G17959" s="326"/>
      <c r="H17959" s="326"/>
      <c r="P17959" s="318"/>
      <c r="Q17959" s="318"/>
      <c r="R17959" s="318"/>
      <c r="S17959" s="318"/>
      <c r="T17959" s="318"/>
      <c r="U17959" s="318"/>
      <c r="V17959" s="318"/>
      <c r="W17959" s="318"/>
      <c r="X17959" s="318"/>
      <c r="Y17959" s="318"/>
      <c r="Z17959" s="318"/>
      <c r="AA17959" s="318"/>
      <c r="AB17959" s="318"/>
      <c r="AC17959" s="318"/>
      <c r="AD17959" s="318"/>
    </row>
    <row r="17960" spans="2:30" s="323" customFormat="1" ht="12" customHeight="1">
      <c r="B17960" s="324"/>
      <c r="C17960" s="325"/>
      <c r="D17960" s="326"/>
      <c r="E17960" s="326"/>
      <c r="F17960" s="326"/>
      <c r="G17960" s="326"/>
      <c r="H17960" s="326"/>
      <c r="P17960" s="318"/>
      <c r="Q17960" s="318"/>
      <c r="R17960" s="318"/>
      <c r="S17960" s="318"/>
      <c r="T17960" s="318"/>
      <c r="U17960" s="318"/>
      <c r="V17960" s="318"/>
      <c r="W17960" s="318"/>
      <c r="X17960" s="318"/>
      <c r="Y17960" s="318"/>
      <c r="Z17960" s="318"/>
      <c r="AA17960" s="318"/>
      <c r="AB17960" s="318"/>
      <c r="AC17960" s="318"/>
      <c r="AD17960" s="318"/>
    </row>
    <row r="17961" spans="2:30" s="323" customFormat="1" ht="12" customHeight="1">
      <c r="B17961" s="324"/>
      <c r="C17961" s="325"/>
      <c r="D17961" s="326"/>
      <c r="E17961" s="326"/>
      <c r="F17961" s="326"/>
      <c r="G17961" s="326"/>
      <c r="H17961" s="326"/>
      <c r="P17961" s="318"/>
      <c r="Q17961" s="318"/>
      <c r="R17961" s="318"/>
      <c r="S17961" s="318"/>
      <c r="T17961" s="318"/>
      <c r="U17961" s="318"/>
      <c r="V17961" s="318"/>
      <c r="W17961" s="318"/>
      <c r="X17961" s="318"/>
      <c r="Y17961" s="318"/>
      <c r="Z17961" s="318"/>
      <c r="AA17961" s="318"/>
      <c r="AB17961" s="318"/>
      <c r="AC17961" s="318"/>
      <c r="AD17961" s="318"/>
    </row>
    <row r="17962" spans="2:30" s="323" customFormat="1" ht="12" customHeight="1">
      <c r="B17962" s="324"/>
      <c r="C17962" s="325"/>
      <c r="D17962" s="326"/>
      <c r="E17962" s="326"/>
      <c r="F17962" s="326"/>
      <c r="G17962" s="326"/>
      <c r="H17962" s="326"/>
      <c r="P17962" s="318"/>
      <c r="Q17962" s="318"/>
      <c r="R17962" s="318"/>
      <c r="S17962" s="318"/>
      <c r="T17962" s="318"/>
      <c r="U17962" s="318"/>
      <c r="V17962" s="318"/>
      <c r="W17962" s="318"/>
      <c r="X17962" s="318"/>
      <c r="Y17962" s="318"/>
      <c r="Z17962" s="318"/>
      <c r="AA17962" s="318"/>
      <c r="AB17962" s="318"/>
      <c r="AC17962" s="318"/>
      <c r="AD17962" s="318"/>
    </row>
    <row r="17963" spans="2:30" s="323" customFormat="1" ht="12" customHeight="1">
      <c r="B17963" s="324"/>
      <c r="C17963" s="325"/>
      <c r="D17963" s="326"/>
      <c r="E17963" s="326"/>
      <c r="F17963" s="326"/>
      <c r="G17963" s="326"/>
      <c r="H17963" s="326"/>
      <c r="P17963" s="318"/>
      <c r="Q17963" s="318"/>
      <c r="R17963" s="318"/>
      <c r="S17963" s="318"/>
      <c r="T17963" s="318"/>
      <c r="U17963" s="318"/>
      <c r="V17963" s="318"/>
      <c r="W17963" s="318"/>
      <c r="X17963" s="318"/>
      <c r="Y17963" s="318"/>
      <c r="Z17963" s="318"/>
      <c r="AA17963" s="318"/>
      <c r="AB17963" s="318"/>
      <c r="AC17963" s="318"/>
      <c r="AD17963" s="318"/>
    </row>
    <row r="17964" spans="2:30" s="323" customFormat="1" ht="12" customHeight="1">
      <c r="B17964" s="324"/>
      <c r="C17964" s="325"/>
      <c r="D17964" s="326"/>
      <c r="E17964" s="326"/>
      <c r="F17964" s="326"/>
      <c r="G17964" s="326"/>
      <c r="H17964" s="326"/>
      <c r="P17964" s="318"/>
      <c r="Q17964" s="318"/>
      <c r="R17964" s="318"/>
      <c r="S17964" s="318"/>
      <c r="T17964" s="318"/>
      <c r="U17964" s="318"/>
      <c r="V17964" s="318"/>
      <c r="W17964" s="318"/>
      <c r="X17964" s="318"/>
      <c r="Y17964" s="318"/>
      <c r="Z17964" s="318"/>
      <c r="AA17964" s="318"/>
      <c r="AB17964" s="318"/>
      <c r="AC17964" s="318"/>
      <c r="AD17964" s="318"/>
    </row>
    <row r="17965" spans="2:30" s="323" customFormat="1" ht="12" customHeight="1">
      <c r="B17965" s="324"/>
      <c r="C17965" s="325"/>
      <c r="D17965" s="326"/>
      <c r="E17965" s="326"/>
      <c r="F17965" s="326"/>
      <c r="G17965" s="326"/>
      <c r="H17965" s="326"/>
      <c r="P17965" s="318"/>
      <c r="Q17965" s="318"/>
      <c r="R17965" s="318"/>
      <c r="S17965" s="318"/>
      <c r="T17965" s="318"/>
      <c r="U17965" s="318"/>
      <c r="V17965" s="318"/>
      <c r="W17965" s="318"/>
      <c r="X17965" s="318"/>
      <c r="Y17965" s="318"/>
      <c r="Z17965" s="318"/>
      <c r="AA17965" s="318"/>
      <c r="AB17965" s="318"/>
      <c r="AC17965" s="318"/>
      <c r="AD17965" s="318"/>
    </row>
    <row r="17966" spans="2:30" s="323" customFormat="1" ht="12" customHeight="1">
      <c r="B17966" s="324"/>
      <c r="C17966" s="325"/>
      <c r="D17966" s="326"/>
      <c r="E17966" s="326"/>
      <c r="F17966" s="326"/>
      <c r="G17966" s="326"/>
      <c r="H17966" s="326"/>
      <c r="P17966" s="318"/>
      <c r="Q17966" s="318"/>
      <c r="R17966" s="318"/>
      <c r="S17966" s="318"/>
      <c r="T17966" s="318"/>
      <c r="U17966" s="318"/>
      <c r="V17966" s="318"/>
      <c r="W17966" s="318"/>
      <c r="X17966" s="318"/>
      <c r="Y17966" s="318"/>
      <c r="Z17966" s="318"/>
      <c r="AA17966" s="318"/>
      <c r="AB17966" s="318"/>
      <c r="AC17966" s="318"/>
      <c r="AD17966" s="318"/>
    </row>
    <row r="17967" spans="2:30" s="323" customFormat="1" ht="12" customHeight="1">
      <c r="B17967" s="324"/>
      <c r="C17967" s="325"/>
      <c r="D17967" s="326"/>
      <c r="E17967" s="326"/>
      <c r="F17967" s="326"/>
      <c r="G17967" s="326"/>
      <c r="H17967" s="326"/>
      <c r="P17967" s="318"/>
      <c r="Q17967" s="318"/>
      <c r="R17967" s="318"/>
      <c r="S17967" s="318"/>
      <c r="T17967" s="318"/>
      <c r="U17967" s="318"/>
      <c r="V17967" s="318"/>
      <c r="W17967" s="318"/>
      <c r="X17967" s="318"/>
      <c r="Y17967" s="318"/>
      <c r="Z17967" s="318"/>
      <c r="AA17967" s="318"/>
      <c r="AB17967" s="318"/>
      <c r="AC17967" s="318"/>
      <c r="AD17967" s="318"/>
    </row>
    <row r="17968" spans="2:30" s="323" customFormat="1" ht="12" customHeight="1">
      <c r="B17968" s="324"/>
      <c r="C17968" s="325"/>
      <c r="D17968" s="326"/>
      <c r="E17968" s="326"/>
      <c r="F17968" s="326"/>
      <c r="G17968" s="326"/>
      <c r="H17968" s="326"/>
      <c r="P17968" s="318"/>
      <c r="Q17968" s="318"/>
      <c r="R17968" s="318"/>
      <c r="S17968" s="318"/>
      <c r="T17968" s="318"/>
      <c r="U17968" s="318"/>
      <c r="V17968" s="318"/>
      <c r="W17968" s="318"/>
      <c r="X17968" s="318"/>
      <c r="Y17968" s="318"/>
      <c r="Z17968" s="318"/>
      <c r="AA17968" s="318"/>
      <c r="AB17968" s="318"/>
      <c r="AC17968" s="318"/>
      <c r="AD17968" s="318"/>
    </row>
    <row r="17969" spans="2:30" s="323" customFormat="1" ht="12" customHeight="1">
      <c r="B17969" s="324"/>
      <c r="C17969" s="325"/>
      <c r="D17969" s="326"/>
      <c r="E17969" s="326"/>
      <c r="F17969" s="326"/>
      <c r="G17969" s="326"/>
      <c r="H17969" s="326"/>
      <c r="P17969" s="318"/>
      <c r="Q17969" s="318"/>
      <c r="R17969" s="318"/>
      <c r="S17969" s="318"/>
      <c r="T17969" s="318"/>
      <c r="U17969" s="318"/>
      <c r="V17969" s="318"/>
      <c r="W17969" s="318"/>
      <c r="X17969" s="318"/>
      <c r="Y17969" s="318"/>
      <c r="Z17969" s="318"/>
      <c r="AA17969" s="318"/>
      <c r="AB17969" s="318"/>
      <c r="AC17969" s="318"/>
      <c r="AD17969" s="318"/>
    </row>
    <row r="17970" spans="2:30" s="323" customFormat="1" ht="12" customHeight="1">
      <c r="B17970" s="324"/>
      <c r="C17970" s="325"/>
      <c r="D17970" s="326"/>
      <c r="E17970" s="326"/>
      <c r="F17970" s="326"/>
      <c r="G17970" s="326"/>
      <c r="H17970" s="326"/>
      <c r="P17970" s="318"/>
      <c r="Q17970" s="318"/>
      <c r="R17970" s="318"/>
      <c r="S17970" s="318"/>
      <c r="T17970" s="318"/>
      <c r="U17970" s="318"/>
      <c r="V17970" s="318"/>
      <c r="W17970" s="318"/>
      <c r="X17970" s="318"/>
      <c r="Y17970" s="318"/>
      <c r="Z17970" s="318"/>
      <c r="AA17970" s="318"/>
      <c r="AB17970" s="318"/>
      <c r="AC17970" s="318"/>
      <c r="AD17970" s="318"/>
    </row>
    <row r="17971" spans="2:30" s="323" customFormat="1" ht="12" customHeight="1">
      <c r="B17971" s="324"/>
      <c r="C17971" s="325"/>
      <c r="D17971" s="326"/>
      <c r="E17971" s="326"/>
      <c r="F17971" s="326"/>
      <c r="G17971" s="326"/>
      <c r="H17971" s="326"/>
      <c r="P17971" s="318"/>
      <c r="Q17971" s="318"/>
      <c r="R17971" s="318"/>
      <c r="S17971" s="318"/>
      <c r="T17971" s="318"/>
      <c r="U17971" s="318"/>
      <c r="V17971" s="318"/>
      <c r="W17971" s="318"/>
      <c r="X17971" s="318"/>
      <c r="Y17971" s="318"/>
      <c r="Z17971" s="318"/>
      <c r="AA17971" s="318"/>
      <c r="AB17971" s="318"/>
      <c r="AC17971" s="318"/>
      <c r="AD17971" s="318"/>
    </row>
    <row r="17972" spans="2:30" s="323" customFormat="1" ht="12" customHeight="1">
      <c r="B17972" s="324"/>
      <c r="C17972" s="325"/>
      <c r="D17972" s="326"/>
      <c r="E17972" s="326"/>
      <c r="F17972" s="326"/>
      <c r="G17972" s="326"/>
      <c r="H17972" s="326"/>
      <c r="P17972" s="318"/>
      <c r="Q17972" s="318"/>
      <c r="R17972" s="318"/>
      <c r="S17972" s="318"/>
      <c r="T17972" s="318"/>
      <c r="U17972" s="318"/>
      <c r="V17972" s="318"/>
      <c r="W17972" s="318"/>
      <c r="X17972" s="318"/>
      <c r="Y17972" s="318"/>
      <c r="Z17972" s="318"/>
      <c r="AA17972" s="318"/>
      <c r="AB17972" s="318"/>
      <c r="AC17972" s="318"/>
      <c r="AD17972" s="318"/>
    </row>
    <row r="17973" spans="2:30" s="323" customFormat="1" ht="12" customHeight="1">
      <c r="B17973" s="324"/>
      <c r="C17973" s="325"/>
      <c r="D17973" s="326"/>
      <c r="E17973" s="326"/>
      <c r="F17973" s="326"/>
      <c r="G17973" s="326"/>
      <c r="H17973" s="326"/>
      <c r="P17973" s="318"/>
      <c r="Q17973" s="318"/>
      <c r="R17973" s="318"/>
      <c r="S17973" s="318"/>
      <c r="T17973" s="318"/>
      <c r="U17973" s="318"/>
      <c r="V17973" s="318"/>
      <c r="W17973" s="318"/>
      <c r="X17973" s="318"/>
      <c r="Y17973" s="318"/>
      <c r="Z17973" s="318"/>
      <c r="AA17973" s="318"/>
      <c r="AB17973" s="318"/>
      <c r="AC17973" s="318"/>
      <c r="AD17973" s="318"/>
    </row>
    <row r="17974" spans="2:30" s="323" customFormat="1" ht="12" customHeight="1">
      <c r="B17974" s="324"/>
      <c r="C17974" s="325"/>
      <c r="D17974" s="326"/>
      <c r="E17974" s="326"/>
      <c r="F17974" s="326"/>
      <c r="G17974" s="326"/>
      <c r="H17974" s="326"/>
      <c r="P17974" s="318"/>
      <c r="Q17974" s="318"/>
      <c r="R17974" s="318"/>
      <c r="S17974" s="318"/>
      <c r="T17974" s="318"/>
      <c r="U17974" s="318"/>
      <c r="V17974" s="318"/>
      <c r="W17974" s="318"/>
      <c r="X17974" s="318"/>
      <c r="Y17974" s="318"/>
      <c r="Z17974" s="318"/>
      <c r="AA17974" s="318"/>
      <c r="AB17974" s="318"/>
      <c r="AC17974" s="318"/>
      <c r="AD17974" s="318"/>
    </row>
    <row r="17975" spans="2:30" s="323" customFormat="1" ht="12" customHeight="1">
      <c r="B17975" s="324"/>
      <c r="C17975" s="325"/>
      <c r="D17975" s="326"/>
      <c r="E17975" s="326"/>
      <c r="F17975" s="326"/>
      <c r="G17975" s="326"/>
      <c r="H17975" s="326"/>
      <c r="P17975" s="318"/>
      <c r="Q17975" s="318"/>
      <c r="R17975" s="318"/>
      <c r="S17975" s="318"/>
      <c r="T17975" s="318"/>
      <c r="U17975" s="318"/>
      <c r="V17975" s="318"/>
      <c r="W17975" s="318"/>
      <c r="X17975" s="318"/>
      <c r="Y17975" s="318"/>
      <c r="Z17975" s="318"/>
      <c r="AA17975" s="318"/>
      <c r="AB17975" s="318"/>
      <c r="AC17975" s="318"/>
      <c r="AD17975" s="318"/>
    </row>
    <row r="17976" spans="2:30" s="323" customFormat="1" ht="12" customHeight="1">
      <c r="B17976" s="324"/>
      <c r="C17976" s="325"/>
      <c r="D17976" s="326"/>
      <c r="E17976" s="326"/>
      <c r="F17976" s="326"/>
      <c r="G17976" s="326"/>
      <c r="H17976" s="326"/>
      <c r="P17976" s="318"/>
      <c r="Q17976" s="318"/>
      <c r="R17976" s="318"/>
      <c r="S17976" s="318"/>
      <c r="T17976" s="318"/>
      <c r="U17976" s="318"/>
      <c r="V17976" s="318"/>
      <c r="W17976" s="318"/>
      <c r="X17976" s="318"/>
      <c r="Y17976" s="318"/>
      <c r="Z17976" s="318"/>
      <c r="AA17976" s="318"/>
      <c r="AB17976" s="318"/>
      <c r="AC17976" s="318"/>
      <c r="AD17976" s="318"/>
    </row>
    <row r="17977" spans="2:30" s="323" customFormat="1" ht="12" customHeight="1">
      <c r="B17977" s="324"/>
      <c r="C17977" s="325"/>
      <c r="D17977" s="326"/>
      <c r="E17977" s="326"/>
      <c r="F17977" s="326"/>
      <c r="G17977" s="326"/>
      <c r="H17977" s="326"/>
      <c r="P17977" s="318"/>
      <c r="Q17977" s="318"/>
      <c r="R17977" s="318"/>
      <c r="S17977" s="318"/>
      <c r="T17977" s="318"/>
      <c r="U17977" s="318"/>
      <c r="V17977" s="318"/>
      <c r="W17977" s="318"/>
      <c r="X17977" s="318"/>
      <c r="Y17977" s="318"/>
      <c r="Z17977" s="318"/>
      <c r="AA17977" s="318"/>
      <c r="AB17977" s="318"/>
      <c r="AC17977" s="318"/>
      <c r="AD17977" s="318"/>
    </row>
    <row r="17978" spans="2:30" s="323" customFormat="1" ht="12" customHeight="1">
      <c r="B17978" s="324"/>
      <c r="C17978" s="325"/>
      <c r="D17978" s="326"/>
      <c r="E17978" s="326"/>
      <c r="F17978" s="326"/>
      <c r="G17978" s="326"/>
      <c r="H17978" s="326"/>
      <c r="P17978" s="318"/>
      <c r="Q17978" s="318"/>
      <c r="R17978" s="318"/>
      <c r="S17978" s="318"/>
      <c r="T17978" s="318"/>
      <c r="U17978" s="318"/>
      <c r="V17978" s="318"/>
      <c r="W17978" s="318"/>
      <c r="X17978" s="318"/>
      <c r="Y17978" s="318"/>
      <c r="Z17978" s="318"/>
      <c r="AA17978" s="318"/>
      <c r="AB17978" s="318"/>
      <c r="AC17978" s="318"/>
      <c r="AD17978" s="318"/>
    </row>
    <row r="17979" spans="2:30" s="323" customFormat="1" ht="12" customHeight="1">
      <c r="B17979" s="324"/>
      <c r="C17979" s="325"/>
      <c r="D17979" s="326"/>
      <c r="E17979" s="326"/>
      <c r="F17979" s="326"/>
      <c r="G17979" s="326"/>
      <c r="H17979" s="326"/>
      <c r="P17979" s="318"/>
      <c r="Q17979" s="318"/>
      <c r="R17979" s="318"/>
      <c r="S17979" s="318"/>
      <c r="T17979" s="318"/>
      <c r="U17979" s="318"/>
      <c r="V17979" s="318"/>
      <c r="W17979" s="318"/>
      <c r="X17979" s="318"/>
      <c r="Y17979" s="318"/>
      <c r="Z17979" s="318"/>
      <c r="AA17979" s="318"/>
      <c r="AB17979" s="318"/>
      <c r="AC17979" s="318"/>
      <c r="AD17979" s="318"/>
    </row>
    <row r="17980" spans="2:30" s="323" customFormat="1" ht="12" customHeight="1">
      <c r="B17980" s="324"/>
      <c r="C17980" s="325"/>
      <c r="D17980" s="326"/>
      <c r="E17980" s="326"/>
      <c r="F17980" s="326"/>
      <c r="G17980" s="326"/>
      <c r="H17980" s="326"/>
      <c r="P17980" s="318"/>
      <c r="Q17980" s="318"/>
      <c r="R17980" s="318"/>
      <c r="S17980" s="318"/>
      <c r="T17980" s="318"/>
      <c r="U17980" s="318"/>
      <c r="V17980" s="318"/>
      <c r="W17980" s="318"/>
      <c r="X17980" s="318"/>
      <c r="Y17980" s="318"/>
      <c r="Z17980" s="318"/>
      <c r="AA17980" s="318"/>
      <c r="AB17980" s="318"/>
      <c r="AC17980" s="318"/>
      <c r="AD17980" s="318"/>
    </row>
    <row r="17981" spans="2:30" s="323" customFormat="1" ht="12" customHeight="1">
      <c r="B17981" s="324"/>
      <c r="C17981" s="325"/>
      <c r="D17981" s="326"/>
      <c r="E17981" s="326"/>
      <c r="F17981" s="326"/>
      <c r="G17981" s="326"/>
      <c r="H17981" s="326"/>
      <c r="P17981" s="318"/>
      <c r="Q17981" s="318"/>
      <c r="R17981" s="318"/>
      <c r="S17981" s="318"/>
      <c r="T17981" s="318"/>
      <c r="U17981" s="318"/>
      <c r="V17981" s="318"/>
      <c r="W17981" s="318"/>
      <c r="X17981" s="318"/>
      <c r="Y17981" s="318"/>
      <c r="Z17981" s="318"/>
      <c r="AA17981" s="318"/>
      <c r="AB17981" s="318"/>
      <c r="AC17981" s="318"/>
      <c r="AD17981" s="318"/>
    </row>
    <row r="17982" spans="2:30" s="323" customFormat="1" ht="12" customHeight="1">
      <c r="B17982" s="324"/>
      <c r="C17982" s="325"/>
      <c r="D17982" s="326"/>
      <c r="E17982" s="326"/>
      <c r="F17982" s="326"/>
      <c r="G17982" s="326"/>
      <c r="H17982" s="326"/>
      <c r="P17982" s="318"/>
      <c r="Q17982" s="318"/>
      <c r="R17982" s="318"/>
      <c r="S17982" s="318"/>
      <c r="T17982" s="318"/>
      <c r="U17982" s="318"/>
      <c r="V17982" s="318"/>
      <c r="W17982" s="318"/>
      <c r="X17982" s="318"/>
      <c r="Y17982" s="318"/>
      <c r="Z17982" s="318"/>
      <c r="AA17982" s="318"/>
      <c r="AB17982" s="318"/>
      <c r="AC17982" s="318"/>
      <c r="AD17982" s="318"/>
    </row>
    <row r="17983" spans="2:30" s="323" customFormat="1" ht="12" customHeight="1">
      <c r="B17983" s="324"/>
      <c r="C17983" s="325"/>
      <c r="D17983" s="326"/>
      <c r="E17983" s="326"/>
      <c r="F17983" s="326"/>
      <c r="G17983" s="326"/>
      <c r="H17983" s="326"/>
      <c r="P17983" s="318"/>
      <c r="Q17983" s="318"/>
      <c r="R17983" s="318"/>
      <c r="S17983" s="318"/>
      <c r="T17983" s="318"/>
      <c r="U17983" s="318"/>
      <c r="V17983" s="318"/>
      <c r="W17983" s="318"/>
      <c r="X17983" s="318"/>
      <c r="Y17983" s="318"/>
      <c r="Z17983" s="318"/>
      <c r="AA17983" s="318"/>
      <c r="AB17983" s="318"/>
      <c r="AC17983" s="318"/>
      <c r="AD17983" s="318"/>
    </row>
    <row r="17984" spans="2:30" s="323" customFormat="1" ht="12" customHeight="1">
      <c r="B17984" s="324"/>
      <c r="C17984" s="325"/>
      <c r="D17984" s="326"/>
      <c r="E17984" s="326"/>
      <c r="F17984" s="326"/>
      <c r="G17984" s="326"/>
      <c r="H17984" s="326"/>
      <c r="P17984" s="318"/>
      <c r="Q17984" s="318"/>
      <c r="R17984" s="318"/>
      <c r="S17984" s="318"/>
      <c r="T17984" s="318"/>
      <c r="U17984" s="318"/>
      <c r="V17984" s="318"/>
      <c r="W17984" s="318"/>
      <c r="X17984" s="318"/>
      <c r="Y17984" s="318"/>
      <c r="Z17984" s="318"/>
      <c r="AA17984" s="318"/>
      <c r="AB17984" s="318"/>
      <c r="AC17984" s="318"/>
      <c r="AD17984" s="318"/>
    </row>
    <row r="17985" spans="2:30" s="323" customFormat="1" ht="12" customHeight="1">
      <c r="B17985" s="324"/>
      <c r="C17985" s="325"/>
      <c r="D17985" s="326"/>
      <c r="E17985" s="326"/>
      <c r="F17985" s="326"/>
      <c r="G17985" s="326"/>
      <c r="H17985" s="326"/>
      <c r="P17985" s="318"/>
      <c r="Q17985" s="318"/>
      <c r="R17985" s="318"/>
      <c r="S17985" s="318"/>
      <c r="T17985" s="318"/>
      <c r="U17985" s="318"/>
      <c r="V17985" s="318"/>
      <c r="W17985" s="318"/>
      <c r="X17985" s="318"/>
      <c r="Y17985" s="318"/>
      <c r="Z17985" s="318"/>
      <c r="AA17985" s="318"/>
      <c r="AB17985" s="318"/>
      <c r="AC17985" s="318"/>
      <c r="AD17985" s="318"/>
    </row>
    <row r="17986" spans="2:30" s="323" customFormat="1" ht="12" customHeight="1">
      <c r="B17986" s="324"/>
      <c r="C17986" s="325"/>
      <c r="D17986" s="326"/>
      <c r="E17986" s="326"/>
      <c r="F17986" s="326"/>
      <c r="G17986" s="326"/>
      <c r="H17986" s="326"/>
      <c r="P17986" s="318"/>
      <c r="Q17986" s="318"/>
      <c r="R17986" s="318"/>
      <c r="S17986" s="318"/>
      <c r="T17986" s="318"/>
      <c r="U17986" s="318"/>
      <c r="V17986" s="318"/>
      <c r="W17986" s="318"/>
      <c r="X17986" s="318"/>
      <c r="Y17986" s="318"/>
      <c r="Z17986" s="318"/>
      <c r="AA17986" s="318"/>
      <c r="AB17986" s="318"/>
      <c r="AC17986" s="318"/>
      <c r="AD17986" s="318"/>
    </row>
    <row r="17987" spans="2:30" s="323" customFormat="1" ht="12" customHeight="1">
      <c r="B17987" s="324"/>
      <c r="C17987" s="325"/>
      <c r="D17987" s="326"/>
      <c r="E17987" s="326"/>
      <c r="F17987" s="326"/>
      <c r="G17987" s="326"/>
      <c r="H17987" s="326"/>
      <c r="P17987" s="318"/>
      <c r="Q17987" s="318"/>
      <c r="R17987" s="318"/>
      <c r="S17987" s="318"/>
      <c r="T17987" s="318"/>
      <c r="U17987" s="318"/>
      <c r="V17987" s="318"/>
      <c r="W17987" s="318"/>
      <c r="X17987" s="318"/>
      <c r="Y17987" s="318"/>
      <c r="Z17987" s="318"/>
      <c r="AA17987" s="318"/>
      <c r="AB17987" s="318"/>
      <c r="AC17987" s="318"/>
      <c r="AD17987" s="318"/>
    </row>
    <row r="17988" spans="2:30" s="323" customFormat="1" ht="12" customHeight="1">
      <c r="B17988" s="324"/>
      <c r="C17988" s="325"/>
      <c r="D17988" s="326"/>
      <c r="E17988" s="326"/>
      <c r="F17988" s="326"/>
      <c r="G17988" s="326"/>
      <c r="H17988" s="326"/>
      <c r="P17988" s="318"/>
      <c r="Q17988" s="318"/>
      <c r="R17988" s="318"/>
      <c r="S17988" s="318"/>
      <c r="T17988" s="318"/>
      <c r="U17988" s="318"/>
      <c r="V17988" s="318"/>
      <c r="W17988" s="318"/>
      <c r="X17988" s="318"/>
      <c r="Y17988" s="318"/>
      <c r="Z17988" s="318"/>
      <c r="AA17988" s="318"/>
      <c r="AB17988" s="318"/>
      <c r="AC17988" s="318"/>
      <c r="AD17988" s="318"/>
    </row>
    <row r="17989" spans="2:30" s="323" customFormat="1" ht="12" customHeight="1">
      <c r="B17989" s="324"/>
      <c r="C17989" s="325"/>
      <c r="D17989" s="326"/>
      <c r="E17989" s="326"/>
      <c r="F17989" s="326"/>
      <c r="G17989" s="326"/>
      <c r="H17989" s="326"/>
      <c r="P17989" s="318"/>
      <c r="Q17989" s="318"/>
      <c r="R17989" s="318"/>
      <c r="S17989" s="318"/>
      <c r="T17989" s="318"/>
      <c r="U17989" s="318"/>
      <c r="V17989" s="318"/>
      <c r="W17989" s="318"/>
      <c r="X17989" s="318"/>
      <c r="Y17989" s="318"/>
      <c r="Z17989" s="318"/>
      <c r="AA17989" s="318"/>
      <c r="AB17989" s="318"/>
      <c r="AC17989" s="318"/>
      <c r="AD17989" s="318"/>
    </row>
    <row r="17990" spans="2:30" s="323" customFormat="1" ht="12" customHeight="1">
      <c r="B17990" s="324"/>
      <c r="C17990" s="325"/>
      <c r="D17990" s="326"/>
      <c r="E17990" s="326"/>
      <c r="F17990" s="326"/>
      <c r="G17990" s="326"/>
      <c r="H17990" s="326"/>
      <c r="P17990" s="318"/>
      <c r="Q17990" s="318"/>
      <c r="R17990" s="318"/>
      <c r="S17990" s="318"/>
      <c r="T17990" s="318"/>
      <c r="U17990" s="318"/>
      <c r="V17990" s="318"/>
      <c r="W17990" s="318"/>
      <c r="X17990" s="318"/>
      <c r="Y17990" s="318"/>
      <c r="Z17990" s="318"/>
      <c r="AA17990" s="318"/>
      <c r="AB17990" s="318"/>
      <c r="AC17990" s="318"/>
      <c r="AD17990" s="318"/>
    </row>
    <row r="17991" spans="2:30" s="323" customFormat="1" ht="12" customHeight="1">
      <c r="B17991" s="324"/>
      <c r="C17991" s="325"/>
      <c r="D17991" s="326"/>
      <c r="E17991" s="326"/>
      <c r="F17991" s="326"/>
      <c r="G17991" s="326"/>
      <c r="H17991" s="326"/>
      <c r="P17991" s="318"/>
      <c r="Q17991" s="318"/>
      <c r="R17991" s="318"/>
      <c r="S17991" s="318"/>
      <c r="T17991" s="318"/>
      <c r="U17991" s="318"/>
      <c r="V17991" s="318"/>
      <c r="W17991" s="318"/>
      <c r="X17991" s="318"/>
      <c r="Y17991" s="318"/>
      <c r="Z17991" s="318"/>
      <c r="AA17991" s="318"/>
      <c r="AB17991" s="318"/>
      <c r="AC17991" s="318"/>
      <c r="AD17991" s="318"/>
    </row>
    <row r="17992" spans="2:30" s="323" customFormat="1" ht="12" customHeight="1">
      <c r="B17992" s="324"/>
      <c r="C17992" s="325"/>
      <c r="D17992" s="326"/>
      <c r="E17992" s="326"/>
      <c r="F17992" s="326"/>
      <c r="G17992" s="326"/>
      <c r="H17992" s="326"/>
      <c r="P17992" s="318"/>
      <c r="Q17992" s="318"/>
      <c r="R17992" s="318"/>
      <c r="S17992" s="318"/>
      <c r="T17992" s="318"/>
      <c r="U17992" s="318"/>
      <c r="V17992" s="318"/>
      <c r="W17992" s="318"/>
      <c r="X17992" s="318"/>
      <c r="Y17992" s="318"/>
      <c r="Z17992" s="318"/>
      <c r="AA17992" s="318"/>
      <c r="AB17992" s="318"/>
      <c r="AC17992" s="318"/>
      <c r="AD17992" s="318"/>
    </row>
    <row r="17993" spans="2:30" s="323" customFormat="1" ht="12" customHeight="1">
      <c r="B17993" s="324"/>
      <c r="C17993" s="325"/>
      <c r="D17993" s="326"/>
      <c r="E17993" s="326"/>
      <c r="F17993" s="326"/>
      <c r="G17993" s="326"/>
      <c r="H17993" s="326"/>
      <c r="P17993" s="318"/>
      <c r="Q17993" s="318"/>
      <c r="R17993" s="318"/>
      <c r="S17993" s="318"/>
      <c r="T17993" s="318"/>
      <c r="U17993" s="318"/>
      <c r="V17993" s="318"/>
      <c r="W17993" s="318"/>
      <c r="X17993" s="318"/>
      <c r="Y17993" s="318"/>
      <c r="Z17993" s="318"/>
      <c r="AA17993" s="318"/>
      <c r="AB17993" s="318"/>
      <c r="AC17993" s="318"/>
      <c r="AD17993" s="318"/>
    </row>
    <row r="17994" spans="2:30" s="323" customFormat="1" ht="12" customHeight="1">
      <c r="B17994" s="324"/>
      <c r="C17994" s="325"/>
      <c r="D17994" s="326"/>
      <c r="E17994" s="326"/>
      <c r="F17994" s="326"/>
      <c r="G17994" s="326"/>
      <c r="H17994" s="326"/>
      <c r="P17994" s="318"/>
      <c r="Q17994" s="318"/>
      <c r="R17994" s="318"/>
      <c r="S17994" s="318"/>
      <c r="T17994" s="318"/>
      <c r="U17994" s="318"/>
      <c r="V17994" s="318"/>
      <c r="W17994" s="318"/>
      <c r="X17994" s="318"/>
      <c r="Y17994" s="318"/>
      <c r="Z17994" s="318"/>
      <c r="AA17994" s="318"/>
      <c r="AB17994" s="318"/>
      <c r="AC17994" s="318"/>
      <c r="AD17994" s="318"/>
    </row>
    <row r="17995" spans="2:30" s="323" customFormat="1" ht="12" customHeight="1">
      <c r="B17995" s="324"/>
      <c r="C17995" s="325"/>
      <c r="D17995" s="326"/>
      <c r="E17995" s="326"/>
      <c r="F17995" s="326"/>
      <c r="G17995" s="326"/>
      <c r="H17995" s="326"/>
      <c r="P17995" s="318"/>
      <c r="Q17995" s="318"/>
      <c r="R17995" s="318"/>
      <c r="S17995" s="318"/>
      <c r="T17995" s="318"/>
      <c r="U17995" s="318"/>
      <c r="V17995" s="318"/>
      <c r="W17995" s="318"/>
      <c r="X17995" s="318"/>
      <c r="Y17995" s="318"/>
      <c r="Z17995" s="318"/>
      <c r="AA17995" s="318"/>
      <c r="AB17995" s="318"/>
      <c r="AC17995" s="318"/>
      <c r="AD17995" s="318"/>
    </row>
    <row r="17996" spans="2:30" s="323" customFormat="1" ht="12" customHeight="1">
      <c r="B17996" s="324"/>
      <c r="C17996" s="325"/>
      <c r="D17996" s="326"/>
      <c r="E17996" s="326"/>
      <c r="F17996" s="326"/>
      <c r="G17996" s="326"/>
      <c r="H17996" s="326"/>
      <c r="P17996" s="318"/>
      <c r="Q17996" s="318"/>
      <c r="R17996" s="318"/>
      <c r="S17996" s="318"/>
      <c r="T17996" s="318"/>
      <c r="U17996" s="318"/>
      <c r="V17996" s="318"/>
      <c r="W17996" s="318"/>
      <c r="X17996" s="318"/>
      <c r="Y17996" s="318"/>
      <c r="Z17996" s="318"/>
      <c r="AA17996" s="318"/>
      <c r="AB17996" s="318"/>
      <c r="AC17996" s="318"/>
      <c r="AD17996" s="318"/>
    </row>
    <row r="17997" spans="2:30" s="323" customFormat="1" ht="12" customHeight="1">
      <c r="B17997" s="324"/>
      <c r="C17997" s="325"/>
      <c r="D17997" s="326"/>
      <c r="E17997" s="326"/>
      <c r="F17997" s="326"/>
      <c r="G17997" s="326"/>
      <c r="H17997" s="326"/>
      <c r="P17997" s="318"/>
      <c r="Q17997" s="318"/>
      <c r="R17997" s="318"/>
      <c r="S17997" s="318"/>
      <c r="T17997" s="318"/>
      <c r="U17997" s="318"/>
      <c r="V17997" s="318"/>
      <c r="W17997" s="318"/>
      <c r="X17997" s="318"/>
      <c r="Y17997" s="318"/>
      <c r="Z17997" s="318"/>
      <c r="AA17997" s="318"/>
      <c r="AB17997" s="318"/>
      <c r="AC17997" s="318"/>
      <c r="AD17997" s="318"/>
    </row>
    <row r="17998" spans="2:30" s="323" customFormat="1" ht="12" customHeight="1">
      <c r="B17998" s="324"/>
      <c r="C17998" s="325"/>
      <c r="D17998" s="326"/>
      <c r="E17998" s="326"/>
      <c r="F17998" s="326"/>
      <c r="G17998" s="326"/>
      <c r="H17998" s="326"/>
      <c r="P17998" s="318"/>
      <c r="Q17998" s="318"/>
      <c r="R17998" s="318"/>
      <c r="S17998" s="318"/>
      <c r="T17998" s="318"/>
      <c r="U17998" s="318"/>
      <c r="V17998" s="318"/>
      <c r="W17998" s="318"/>
      <c r="X17998" s="318"/>
      <c r="Y17998" s="318"/>
      <c r="Z17998" s="318"/>
      <c r="AA17998" s="318"/>
      <c r="AB17998" s="318"/>
      <c r="AC17998" s="318"/>
      <c r="AD17998" s="318"/>
    </row>
    <row r="17999" spans="2:30" s="323" customFormat="1" ht="12" customHeight="1">
      <c r="B17999" s="324"/>
      <c r="C17999" s="325"/>
      <c r="D17999" s="326"/>
      <c r="E17999" s="326"/>
      <c r="F17999" s="326"/>
      <c r="G17999" s="326"/>
      <c r="H17999" s="326"/>
      <c r="P17999" s="318"/>
      <c r="Q17999" s="318"/>
      <c r="R17999" s="318"/>
      <c r="S17999" s="318"/>
      <c r="T17999" s="318"/>
      <c r="U17999" s="318"/>
      <c r="V17999" s="318"/>
      <c r="W17999" s="318"/>
      <c r="X17999" s="318"/>
      <c r="Y17999" s="318"/>
      <c r="Z17999" s="318"/>
      <c r="AA17999" s="318"/>
      <c r="AB17999" s="318"/>
      <c r="AC17999" s="318"/>
      <c r="AD17999" s="318"/>
    </row>
    <row r="18000" spans="2:30" s="323" customFormat="1" ht="12" customHeight="1">
      <c r="B18000" s="324"/>
      <c r="C18000" s="325"/>
      <c r="D18000" s="326"/>
      <c r="E18000" s="326"/>
      <c r="F18000" s="326"/>
      <c r="G18000" s="326"/>
      <c r="H18000" s="326"/>
      <c r="P18000" s="318"/>
      <c r="Q18000" s="318"/>
      <c r="R18000" s="318"/>
      <c r="S18000" s="318"/>
      <c r="T18000" s="318"/>
      <c r="U18000" s="318"/>
      <c r="V18000" s="318"/>
      <c r="W18000" s="318"/>
      <c r="X18000" s="318"/>
      <c r="Y18000" s="318"/>
      <c r="Z18000" s="318"/>
      <c r="AA18000" s="318"/>
      <c r="AB18000" s="318"/>
      <c r="AC18000" s="318"/>
      <c r="AD18000" s="318"/>
    </row>
    <row r="18001" spans="2:30" s="323" customFormat="1" ht="12" customHeight="1">
      <c r="B18001" s="324"/>
      <c r="C18001" s="325"/>
      <c r="D18001" s="326"/>
      <c r="E18001" s="326"/>
      <c r="F18001" s="326"/>
      <c r="G18001" s="326"/>
      <c r="H18001" s="326"/>
      <c r="P18001" s="318"/>
      <c r="Q18001" s="318"/>
      <c r="R18001" s="318"/>
      <c r="S18001" s="318"/>
      <c r="T18001" s="318"/>
      <c r="U18001" s="318"/>
      <c r="V18001" s="318"/>
      <c r="W18001" s="318"/>
      <c r="X18001" s="318"/>
      <c r="Y18001" s="318"/>
      <c r="Z18001" s="318"/>
      <c r="AA18001" s="318"/>
      <c r="AB18001" s="318"/>
      <c r="AC18001" s="318"/>
      <c r="AD18001" s="318"/>
    </row>
    <row r="18002" spans="2:30" s="323" customFormat="1" ht="12" customHeight="1">
      <c r="B18002" s="324"/>
      <c r="C18002" s="325"/>
      <c r="D18002" s="326"/>
      <c r="E18002" s="326"/>
      <c r="F18002" s="326"/>
      <c r="G18002" s="326"/>
      <c r="H18002" s="326"/>
      <c r="P18002" s="318"/>
      <c r="Q18002" s="318"/>
      <c r="R18002" s="318"/>
      <c r="S18002" s="318"/>
      <c r="T18002" s="318"/>
      <c r="U18002" s="318"/>
      <c r="V18002" s="318"/>
      <c r="W18002" s="318"/>
      <c r="X18002" s="318"/>
      <c r="Y18002" s="318"/>
      <c r="Z18002" s="318"/>
      <c r="AA18002" s="318"/>
      <c r="AB18002" s="318"/>
      <c r="AC18002" s="318"/>
      <c r="AD18002" s="318"/>
    </row>
    <row r="18003" spans="2:30" s="323" customFormat="1" ht="12" customHeight="1">
      <c r="B18003" s="324"/>
      <c r="C18003" s="325"/>
      <c r="D18003" s="326"/>
      <c r="E18003" s="326"/>
      <c r="F18003" s="326"/>
      <c r="G18003" s="326"/>
      <c r="H18003" s="326"/>
      <c r="P18003" s="318"/>
      <c r="Q18003" s="318"/>
      <c r="R18003" s="318"/>
      <c r="S18003" s="318"/>
      <c r="T18003" s="318"/>
      <c r="U18003" s="318"/>
      <c r="V18003" s="318"/>
      <c r="W18003" s="318"/>
      <c r="X18003" s="318"/>
      <c r="Y18003" s="318"/>
      <c r="Z18003" s="318"/>
      <c r="AA18003" s="318"/>
      <c r="AB18003" s="318"/>
      <c r="AC18003" s="318"/>
      <c r="AD18003" s="318"/>
    </row>
    <row r="18004" spans="2:30" s="323" customFormat="1" ht="12" customHeight="1">
      <c r="B18004" s="324"/>
      <c r="C18004" s="325"/>
      <c r="D18004" s="326"/>
      <c r="E18004" s="326"/>
      <c r="F18004" s="326"/>
      <c r="G18004" s="326"/>
      <c r="H18004" s="326"/>
      <c r="P18004" s="318"/>
      <c r="Q18004" s="318"/>
      <c r="R18004" s="318"/>
      <c r="S18004" s="318"/>
      <c r="T18004" s="318"/>
      <c r="U18004" s="318"/>
      <c r="V18004" s="318"/>
      <c r="W18004" s="318"/>
      <c r="X18004" s="318"/>
      <c r="Y18004" s="318"/>
      <c r="Z18004" s="318"/>
      <c r="AA18004" s="318"/>
      <c r="AB18004" s="318"/>
      <c r="AC18004" s="318"/>
      <c r="AD18004" s="318"/>
    </row>
    <row r="18005" spans="2:30" s="323" customFormat="1" ht="12" customHeight="1">
      <c r="B18005" s="324"/>
      <c r="C18005" s="325"/>
      <c r="D18005" s="326"/>
      <c r="E18005" s="326"/>
      <c r="F18005" s="326"/>
      <c r="G18005" s="326"/>
      <c r="H18005" s="326"/>
      <c r="P18005" s="318"/>
      <c r="Q18005" s="318"/>
      <c r="R18005" s="318"/>
      <c r="S18005" s="318"/>
      <c r="T18005" s="318"/>
      <c r="U18005" s="318"/>
      <c r="V18005" s="318"/>
      <c r="W18005" s="318"/>
      <c r="X18005" s="318"/>
      <c r="Y18005" s="318"/>
      <c r="Z18005" s="318"/>
      <c r="AA18005" s="318"/>
      <c r="AB18005" s="318"/>
      <c r="AC18005" s="318"/>
      <c r="AD18005" s="318"/>
    </row>
    <row r="18006" spans="2:30" s="323" customFormat="1" ht="12" customHeight="1">
      <c r="B18006" s="324"/>
      <c r="C18006" s="325"/>
      <c r="D18006" s="326"/>
      <c r="E18006" s="326"/>
      <c r="F18006" s="326"/>
      <c r="G18006" s="326"/>
      <c r="H18006" s="326"/>
      <c r="P18006" s="318"/>
      <c r="Q18006" s="318"/>
      <c r="R18006" s="318"/>
      <c r="S18006" s="318"/>
      <c r="T18006" s="318"/>
      <c r="U18006" s="318"/>
      <c r="V18006" s="318"/>
      <c r="W18006" s="318"/>
      <c r="X18006" s="318"/>
      <c r="Y18006" s="318"/>
      <c r="Z18006" s="318"/>
      <c r="AA18006" s="318"/>
      <c r="AB18006" s="318"/>
      <c r="AC18006" s="318"/>
      <c r="AD18006" s="318"/>
    </row>
    <row r="18007" spans="2:30" s="323" customFormat="1" ht="12" customHeight="1">
      <c r="B18007" s="324"/>
      <c r="C18007" s="325"/>
      <c r="D18007" s="326"/>
      <c r="E18007" s="326"/>
      <c r="F18007" s="326"/>
      <c r="G18007" s="326"/>
      <c r="H18007" s="326"/>
      <c r="P18007" s="318"/>
      <c r="Q18007" s="318"/>
      <c r="R18007" s="318"/>
      <c r="S18007" s="318"/>
      <c r="T18007" s="318"/>
      <c r="U18007" s="318"/>
      <c r="V18007" s="318"/>
      <c r="W18007" s="318"/>
      <c r="X18007" s="318"/>
      <c r="Y18007" s="318"/>
      <c r="Z18007" s="318"/>
      <c r="AA18007" s="318"/>
      <c r="AB18007" s="318"/>
      <c r="AC18007" s="318"/>
      <c r="AD18007" s="318"/>
    </row>
    <row r="18008" spans="2:30" s="323" customFormat="1" ht="12" customHeight="1">
      <c r="B18008" s="324"/>
      <c r="C18008" s="325"/>
      <c r="D18008" s="326"/>
      <c r="E18008" s="326"/>
      <c r="F18008" s="326"/>
      <c r="G18008" s="326"/>
      <c r="H18008" s="326"/>
      <c r="P18008" s="318"/>
      <c r="Q18008" s="318"/>
      <c r="R18008" s="318"/>
      <c r="S18008" s="318"/>
      <c r="T18008" s="318"/>
      <c r="U18008" s="318"/>
      <c r="V18008" s="318"/>
      <c r="W18008" s="318"/>
      <c r="X18008" s="318"/>
      <c r="Y18008" s="318"/>
      <c r="Z18008" s="318"/>
      <c r="AA18008" s="318"/>
      <c r="AB18008" s="318"/>
      <c r="AC18008" s="318"/>
      <c r="AD18008" s="318"/>
    </row>
    <row r="18009" spans="2:30" s="323" customFormat="1" ht="12" customHeight="1">
      <c r="B18009" s="324"/>
      <c r="C18009" s="325"/>
      <c r="D18009" s="326"/>
      <c r="E18009" s="326"/>
      <c r="F18009" s="326"/>
      <c r="G18009" s="326"/>
      <c r="H18009" s="326"/>
      <c r="P18009" s="318"/>
      <c r="Q18009" s="318"/>
      <c r="R18009" s="318"/>
      <c r="S18009" s="318"/>
      <c r="T18009" s="318"/>
      <c r="U18009" s="318"/>
      <c r="V18009" s="318"/>
      <c r="W18009" s="318"/>
      <c r="X18009" s="318"/>
      <c r="Y18009" s="318"/>
      <c r="Z18009" s="318"/>
      <c r="AA18009" s="318"/>
      <c r="AB18009" s="318"/>
      <c r="AC18009" s="318"/>
      <c r="AD18009" s="318"/>
    </row>
    <row r="18010" spans="2:30" s="323" customFormat="1" ht="12" customHeight="1">
      <c r="B18010" s="324"/>
      <c r="C18010" s="325"/>
      <c r="D18010" s="326"/>
      <c r="E18010" s="326"/>
      <c r="F18010" s="326"/>
      <c r="G18010" s="326"/>
      <c r="H18010" s="326"/>
      <c r="P18010" s="318"/>
      <c r="Q18010" s="318"/>
      <c r="R18010" s="318"/>
      <c r="S18010" s="318"/>
      <c r="T18010" s="318"/>
      <c r="U18010" s="318"/>
      <c r="V18010" s="318"/>
      <c r="W18010" s="318"/>
      <c r="X18010" s="318"/>
      <c r="Y18010" s="318"/>
      <c r="Z18010" s="318"/>
      <c r="AA18010" s="318"/>
      <c r="AB18010" s="318"/>
      <c r="AC18010" s="318"/>
      <c r="AD18010" s="318"/>
    </row>
    <row r="18011" spans="2:30" s="323" customFormat="1" ht="12" customHeight="1">
      <c r="B18011" s="324"/>
      <c r="C18011" s="325"/>
      <c r="D18011" s="326"/>
      <c r="E18011" s="326"/>
      <c r="F18011" s="326"/>
      <c r="G18011" s="326"/>
      <c r="H18011" s="326"/>
      <c r="P18011" s="318"/>
      <c r="Q18011" s="318"/>
      <c r="R18011" s="318"/>
      <c r="S18011" s="318"/>
      <c r="T18011" s="318"/>
      <c r="U18011" s="318"/>
      <c r="V18011" s="318"/>
      <c r="W18011" s="318"/>
      <c r="X18011" s="318"/>
      <c r="Y18011" s="318"/>
      <c r="Z18011" s="318"/>
      <c r="AA18011" s="318"/>
      <c r="AB18011" s="318"/>
      <c r="AC18011" s="318"/>
      <c r="AD18011" s="318"/>
    </row>
    <row r="18012" spans="2:30" s="323" customFormat="1" ht="12" customHeight="1">
      <c r="B18012" s="324"/>
      <c r="C18012" s="325"/>
      <c r="D18012" s="326"/>
      <c r="E18012" s="326"/>
      <c r="F18012" s="326"/>
      <c r="G18012" s="326"/>
      <c r="H18012" s="326"/>
      <c r="P18012" s="318"/>
      <c r="Q18012" s="318"/>
      <c r="R18012" s="318"/>
      <c r="S18012" s="318"/>
      <c r="T18012" s="318"/>
      <c r="U18012" s="318"/>
      <c r="V18012" s="318"/>
      <c r="W18012" s="318"/>
      <c r="X18012" s="318"/>
      <c r="Y18012" s="318"/>
      <c r="Z18012" s="318"/>
      <c r="AA18012" s="318"/>
      <c r="AB18012" s="318"/>
      <c r="AC18012" s="318"/>
      <c r="AD18012" s="318"/>
    </row>
    <row r="18013" spans="2:30" s="323" customFormat="1" ht="12" customHeight="1">
      <c r="B18013" s="324"/>
      <c r="C18013" s="325"/>
      <c r="D18013" s="326"/>
      <c r="E18013" s="326"/>
      <c r="F18013" s="326"/>
      <c r="G18013" s="326"/>
      <c r="H18013" s="326"/>
      <c r="P18013" s="318"/>
      <c r="Q18013" s="318"/>
      <c r="R18013" s="318"/>
      <c r="S18013" s="318"/>
      <c r="T18013" s="318"/>
      <c r="U18013" s="318"/>
      <c r="V18013" s="318"/>
      <c r="W18013" s="318"/>
      <c r="X18013" s="318"/>
      <c r="Y18013" s="318"/>
      <c r="Z18013" s="318"/>
      <c r="AA18013" s="318"/>
      <c r="AB18013" s="318"/>
      <c r="AC18013" s="318"/>
      <c r="AD18013" s="318"/>
    </row>
    <row r="18014" spans="2:30" s="323" customFormat="1" ht="12" customHeight="1">
      <c r="B18014" s="324"/>
      <c r="C18014" s="325"/>
      <c r="D18014" s="326"/>
      <c r="E18014" s="326"/>
      <c r="F18014" s="326"/>
      <c r="G18014" s="326"/>
      <c r="H18014" s="326"/>
      <c r="P18014" s="318"/>
      <c r="Q18014" s="318"/>
      <c r="R18014" s="318"/>
      <c r="S18014" s="318"/>
      <c r="T18014" s="318"/>
      <c r="U18014" s="318"/>
      <c r="V18014" s="318"/>
      <c r="W18014" s="318"/>
      <c r="X18014" s="318"/>
      <c r="Y18014" s="318"/>
      <c r="Z18014" s="318"/>
      <c r="AA18014" s="318"/>
      <c r="AB18014" s="318"/>
      <c r="AC18014" s="318"/>
      <c r="AD18014" s="318"/>
    </row>
    <row r="18015" spans="2:30" s="323" customFormat="1" ht="12" customHeight="1">
      <c r="B18015" s="324"/>
      <c r="C18015" s="325"/>
      <c r="D18015" s="326"/>
      <c r="E18015" s="326"/>
      <c r="F18015" s="326"/>
      <c r="G18015" s="326"/>
      <c r="H18015" s="326"/>
      <c r="P18015" s="318"/>
      <c r="Q18015" s="318"/>
      <c r="R18015" s="318"/>
      <c r="S18015" s="318"/>
      <c r="T18015" s="318"/>
      <c r="U18015" s="318"/>
      <c r="V18015" s="318"/>
      <c r="W18015" s="318"/>
      <c r="X18015" s="318"/>
      <c r="Y18015" s="318"/>
      <c r="Z18015" s="318"/>
      <c r="AA18015" s="318"/>
      <c r="AB18015" s="318"/>
      <c r="AC18015" s="318"/>
      <c r="AD18015" s="318"/>
    </row>
    <row r="18016" spans="2:30" s="323" customFormat="1" ht="12" customHeight="1">
      <c r="B18016" s="324"/>
      <c r="C18016" s="325"/>
      <c r="D18016" s="326"/>
      <c r="E18016" s="326"/>
      <c r="F18016" s="326"/>
      <c r="G18016" s="326"/>
      <c r="H18016" s="326"/>
      <c r="P18016" s="318"/>
      <c r="Q18016" s="318"/>
      <c r="R18016" s="318"/>
      <c r="S18016" s="318"/>
      <c r="T18016" s="318"/>
      <c r="U18016" s="318"/>
      <c r="V18016" s="318"/>
      <c r="W18016" s="318"/>
      <c r="X18016" s="318"/>
      <c r="Y18016" s="318"/>
      <c r="Z18016" s="318"/>
      <c r="AA18016" s="318"/>
      <c r="AB18016" s="318"/>
      <c r="AC18016" s="318"/>
      <c r="AD18016" s="318"/>
    </row>
    <row r="18017" spans="2:30" s="323" customFormat="1" ht="12" customHeight="1">
      <c r="B18017" s="324"/>
      <c r="C18017" s="325"/>
      <c r="D18017" s="326"/>
      <c r="E18017" s="326"/>
      <c r="F18017" s="326"/>
      <c r="G18017" s="326"/>
      <c r="H18017" s="326"/>
      <c r="P18017" s="318"/>
      <c r="Q18017" s="318"/>
      <c r="R18017" s="318"/>
      <c r="S18017" s="318"/>
      <c r="T18017" s="318"/>
      <c r="U18017" s="318"/>
      <c r="V18017" s="318"/>
      <c r="W18017" s="318"/>
      <c r="X18017" s="318"/>
      <c r="Y18017" s="318"/>
      <c r="Z18017" s="318"/>
      <c r="AA18017" s="318"/>
      <c r="AB18017" s="318"/>
      <c r="AC18017" s="318"/>
      <c r="AD18017" s="318"/>
    </row>
    <row r="18018" spans="2:30" s="323" customFormat="1" ht="12" customHeight="1">
      <c r="B18018" s="324"/>
      <c r="C18018" s="325"/>
      <c r="D18018" s="326"/>
      <c r="E18018" s="326"/>
      <c r="F18018" s="326"/>
      <c r="G18018" s="326"/>
      <c r="H18018" s="326"/>
      <c r="P18018" s="318"/>
      <c r="Q18018" s="318"/>
      <c r="R18018" s="318"/>
      <c r="S18018" s="318"/>
      <c r="T18018" s="318"/>
      <c r="U18018" s="318"/>
      <c r="V18018" s="318"/>
      <c r="W18018" s="318"/>
      <c r="X18018" s="318"/>
      <c r="Y18018" s="318"/>
      <c r="Z18018" s="318"/>
      <c r="AA18018" s="318"/>
      <c r="AB18018" s="318"/>
      <c r="AC18018" s="318"/>
      <c r="AD18018" s="318"/>
    </row>
    <row r="18019" spans="2:30" s="323" customFormat="1" ht="12" customHeight="1">
      <c r="B18019" s="324"/>
      <c r="C18019" s="325"/>
      <c r="D18019" s="326"/>
      <c r="E18019" s="326"/>
      <c r="F18019" s="326"/>
      <c r="G18019" s="326"/>
      <c r="H18019" s="326"/>
      <c r="P18019" s="318"/>
      <c r="Q18019" s="318"/>
      <c r="R18019" s="318"/>
      <c r="S18019" s="318"/>
      <c r="T18019" s="318"/>
      <c r="U18019" s="318"/>
      <c r="V18019" s="318"/>
      <c r="W18019" s="318"/>
      <c r="X18019" s="318"/>
      <c r="Y18019" s="318"/>
      <c r="Z18019" s="318"/>
      <c r="AA18019" s="318"/>
      <c r="AB18019" s="318"/>
      <c r="AC18019" s="318"/>
      <c r="AD18019" s="318"/>
    </row>
    <row r="18020" spans="2:30" s="323" customFormat="1" ht="12" customHeight="1">
      <c r="B18020" s="324"/>
      <c r="C18020" s="325"/>
      <c r="D18020" s="326"/>
      <c r="E18020" s="326"/>
      <c r="F18020" s="326"/>
      <c r="G18020" s="326"/>
      <c r="H18020" s="326"/>
      <c r="P18020" s="318"/>
      <c r="Q18020" s="318"/>
      <c r="R18020" s="318"/>
      <c r="S18020" s="318"/>
      <c r="T18020" s="318"/>
      <c r="U18020" s="318"/>
      <c r="V18020" s="318"/>
      <c r="W18020" s="318"/>
      <c r="X18020" s="318"/>
      <c r="Y18020" s="318"/>
      <c r="Z18020" s="318"/>
      <c r="AA18020" s="318"/>
      <c r="AB18020" s="318"/>
      <c r="AC18020" s="318"/>
      <c r="AD18020" s="318"/>
    </row>
    <row r="18021" spans="2:30" s="323" customFormat="1" ht="12" customHeight="1">
      <c r="B18021" s="324"/>
      <c r="C18021" s="325"/>
      <c r="D18021" s="326"/>
      <c r="E18021" s="326"/>
      <c r="F18021" s="326"/>
      <c r="G18021" s="326"/>
      <c r="H18021" s="326"/>
      <c r="P18021" s="318"/>
      <c r="Q18021" s="318"/>
      <c r="R18021" s="318"/>
      <c r="S18021" s="318"/>
      <c r="T18021" s="318"/>
      <c r="U18021" s="318"/>
      <c r="V18021" s="318"/>
      <c r="W18021" s="318"/>
      <c r="X18021" s="318"/>
      <c r="Y18021" s="318"/>
      <c r="Z18021" s="318"/>
      <c r="AA18021" s="318"/>
      <c r="AB18021" s="318"/>
      <c r="AC18021" s="318"/>
      <c r="AD18021" s="318"/>
    </row>
    <row r="18022" spans="2:30" s="323" customFormat="1" ht="12" customHeight="1">
      <c r="B18022" s="324"/>
      <c r="C18022" s="325"/>
      <c r="D18022" s="326"/>
      <c r="E18022" s="326"/>
      <c r="F18022" s="326"/>
      <c r="G18022" s="326"/>
      <c r="H18022" s="326"/>
      <c r="P18022" s="318"/>
      <c r="Q18022" s="318"/>
      <c r="R18022" s="318"/>
      <c r="S18022" s="318"/>
      <c r="T18022" s="318"/>
      <c r="U18022" s="318"/>
      <c r="V18022" s="318"/>
      <c r="W18022" s="318"/>
      <c r="X18022" s="318"/>
      <c r="Y18022" s="318"/>
      <c r="Z18022" s="318"/>
      <c r="AA18022" s="318"/>
      <c r="AB18022" s="318"/>
      <c r="AC18022" s="318"/>
      <c r="AD18022" s="318"/>
    </row>
    <row r="18023" spans="2:30" s="323" customFormat="1" ht="12" customHeight="1">
      <c r="B18023" s="324"/>
      <c r="C18023" s="325"/>
      <c r="D18023" s="326"/>
      <c r="E18023" s="326"/>
      <c r="F18023" s="326"/>
      <c r="G18023" s="326"/>
      <c r="H18023" s="326"/>
      <c r="P18023" s="318"/>
      <c r="Q18023" s="318"/>
      <c r="R18023" s="318"/>
      <c r="S18023" s="318"/>
      <c r="T18023" s="318"/>
      <c r="U18023" s="318"/>
      <c r="V18023" s="318"/>
      <c r="W18023" s="318"/>
      <c r="X18023" s="318"/>
      <c r="Y18023" s="318"/>
      <c r="Z18023" s="318"/>
      <c r="AA18023" s="318"/>
      <c r="AB18023" s="318"/>
      <c r="AC18023" s="318"/>
      <c r="AD18023" s="318"/>
    </row>
    <row r="18024" spans="2:30" s="323" customFormat="1" ht="12" customHeight="1">
      <c r="B18024" s="324"/>
      <c r="C18024" s="325"/>
      <c r="D18024" s="326"/>
      <c r="E18024" s="326"/>
      <c r="F18024" s="326"/>
      <c r="G18024" s="326"/>
      <c r="H18024" s="326"/>
      <c r="P18024" s="318"/>
      <c r="Q18024" s="318"/>
      <c r="R18024" s="318"/>
      <c r="S18024" s="318"/>
      <c r="T18024" s="318"/>
      <c r="U18024" s="318"/>
      <c r="V18024" s="318"/>
      <c r="W18024" s="318"/>
      <c r="X18024" s="318"/>
      <c r="Y18024" s="318"/>
      <c r="Z18024" s="318"/>
      <c r="AA18024" s="318"/>
      <c r="AB18024" s="318"/>
      <c r="AC18024" s="318"/>
      <c r="AD18024" s="318"/>
    </row>
    <row r="18025" spans="2:30" s="323" customFormat="1" ht="12" customHeight="1">
      <c r="B18025" s="324"/>
      <c r="C18025" s="325"/>
      <c r="D18025" s="326"/>
      <c r="E18025" s="326"/>
      <c r="F18025" s="326"/>
      <c r="G18025" s="326"/>
      <c r="H18025" s="326"/>
      <c r="P18025" s="318"/>
      <c r="Q18025" s="318"/>
      <c r="R18025" s="318"/>
      <c r="S18025" s="318"/>
      <c r="T18025" s="318"/>
      <c r="U18025" s="318"/>
      <c r="V18025" s="318"/>
      <c r="W18025" s="318"/>
      <c r="X18025" s="318"/>
      <c r="Y18025" s="318"/>
      <c r="Z18025" s="318"/>
      <c r="AA18025" s="318"/>
      <c r="AB18025" s="318"/>
      <c r="AC18025" s="318"/>
      <c r="AD18025" s="318"/>
    </row>
    <row r="18026" spans="2:30" s="323" customFormat="1" ht="12" customHeight="1">
      <c r="B18026" s="324"/>
      <c r="C18026" s="325"/>
      <c r="D18026" s="326"/>
      <c r="E18026" s="326"/>
      <c r="F18026" s="326"/>
      <c r="G18026" s="326"/>
      <c r="H18026" s="326"/>
      <c r="P18026" s="318"/>
      <c r="Q18026" s="318"/>
      <c r="R18026" s="318"/>
      <c r="S18026" s="318"/>
      <c r="T18026" s="318"/>
      <c r="U18026" s="318"/>
      <c r="V18026" s="318"/>
      <c r="W18026" s="318"/>
      <c r="X18026" s="318"/>
      <c r="Y18026" s="318"/>
      <c r="Z18026" s="318"/>
      <c r="AA18026" s="318"/>
      <c r="AB18026" s="318"/>
      <c r="AC18026" s="318"/>
      <c r="AD18026" s="318"/>
    </row>
    <row r="18027" spans="2:30" s="323" customFormat="1" ht="12" customHeight="1">
      <c r="B18027" s="324"/>
      <c r="C18027" s="325"/>
      <c r="D18027" s="326"/>
      <c r="E18027" s="326"/>
      <c r="F18027" s="326"/>
      <c r="G18027" s="326"/>
      <c r="H18027" s="326"/>
      <c r="P18027" s="318"/>
      <c r="Q18027" s="318"/>
      <c r="R18027" s="318"/>
      <c r="S18027" s="318"/>
      <c r="T18027" s="318"/>
      <c r="U18027" s="318"/>
      <c r="V18027" s="318"/>
      <c r="W18027" s="318"/>
      <c r="X18027" s="318"/>
      <c r="Y18027" s="318"/>
      <c r="Z18027" s="318"/>
      <c r="AA18027" s="318"/>
      <c r="AB18027" s="318"/>
      <c r="AC18027" s="318"/>
      <c r="AD18027" s="318"/>
    </row>
    <row r="18028" spans="2:30" s="323" customFormat="1" ht="12" customHeight="1">
      <c r="B18028" s="324"/>
      <c r="C18028" s="325"/>
      <c r="D18028" s="326"/>
      <c r="E18028" s="326"/>
      <c r="F18028" s="326"/>
      <c r="G18028" s="326"/>
      <c r="H18028" s="326"/>
      <c r="P18028" s="318"/>
      <c r="Q18028" s="318"/>
      <c r="R18028" s="318"/>
      <c r="S18028" s="318"/>
      <c r="T18028" s="318"/>
      <c r="U18028" s="318"/>
      <c r="V18028" s="318"/>
      <c r="W18028" s="318"/>
      <c r="X18028" s="318"/>
      <c r="Y18028" s="318"/>
      <c r="Z18028" s="318"/>
      <c r="AA18028" s="318"/>
      <c r="AB18028" s="318"/>
      <c r="AC18028" s="318"/>
      <c r="AD18028" s="318"/>
    </row>
    <row r="18029" spans="2:30" s="323" customFormat="1" ht="12" customHeight="1">
      <c r="B18029" s="324"/>
      <c r="C18029" s="325"/>
      <c r="D18029" s="326"/>
      <c r="E18029" s="326"/>
      <c r="F18029" s="326"/>
      <c r="G18029" s="326"/>
      <c r="H18029" s="326"/>
      <c r="P18029" s="318"/>
      <c r="Q18029" s="318"/>
      <c r="R18029" s="318"/>
      <c r="S18029" s="318"/>
      <c r="T18029" s="318"/>
      <c r="U18029" s="318"/>
      <c r="V18029" s="318"/>
      <c r="W18029" s="318"/>
      <c r="X18029" s="318"/>
      <c r="Y18029" s="318"/>
      <c r="Z18029" s="318"/>
      <c r="AA18029" s="318"/>
      <c r="AB18029" s="318"/>
      <c r="AC18029" s="318"/>
      <c r="AD18029" s="318"/>
    </row>
    <row r="18030" spans="2:30" s="323" customFormat="1" ht="12" customHeight="1">
      <c r="B18030" s="324"/>
      <c r="C18030" s="325"/>
      <c r="D18030" s="326"/>
      <c r="E18030" s="326"/>
      <c r="F18030" s="326"/>
      <c r="G18030" s="326"/>
      <c r="H18030" s="326"/>
      <c r="P18030" s="318"/>
      <c r="Q18030" s="318"/>
      <c r="R18030" s="318"/>
      <c r="S18030" s="318"/>
      <c r="T18030" s="318"/>
      <c r="U18030" s="318"/>
      <c r="V18030" s="318"/>
      <c r="W18030" s="318"/>
      <c r="X18030" s="318"/>
      <c r="Y18030" s="318"/>
      <c r="Z18030" s="318"/>
      <c r="AA18030" s="318"/>
      <c r="AB18030" s="318"/>
      <c r="AC18030" s="318"/>
      <c r="AD18030" s="318"/>
    </row>
    <row r="18031" spans="2:30" s="323" customFormat="1" ht="12" customHeight="1">
      <c r="B18031" s="324"/>
      <c r="C18031" s="325"/>
      <c r="D18031" s="326"/>
      <c r="E18031" s="326"/>
      <c r="F18031" s="326"/>
      <c r="G18031" s="326"/>
      <c r="H18031" s="326"/>
      <c r="P18031" s="318"/>
      <c r="Q18031" s="318"/>
      <c r="R18031" s="318"/>
      <c r="S18031" s="318"/>
      <c r="T18031" s="318"/>
      <c r="U18031" s="318"/>
      <c r="V18031" s="318"/>
      <c r="W18031" s="318"/>
      <c r="X18031" s="318"/>
      <c r="Y18031" s="318"/>
      <c r="Z18031" s="318"/>
      <c r="AA18031" s="318"/>
      <c r="AB18031" s="318"/>
      <c r="AC18031" s="318"/>
      <c r="AD18031" s="318"/>
    </row>
    <row r="18032" spans="2:30" s="323" customFormat="1" ht="12" customHeight="1">
      <c r="B18032" s="324"/>
      <c r="C18032" s="325"/>
      <c r="D18032" s="326"/>
      <c r="E18032" s="326"/>
      <c r="F18032" s="326"/>
      <c r="G18032" s="326"/>
      <c r="H18032" s="326"/>
      <c r="P18032" s="318"/>
      <c r="Q18032" s="318"/>
      <c r="R18032" s="318"/>
      <c r="S18032" s="318"/>
      <c r="T18032" s="318"/>
      <c r="U18032" s="318"/>
      <c r="V18032" s="318"/>
      <c r="W18032" s="318"/>
      <c r="X18032" s="318"/>
      <c r="Y18032" s="318"/>
      <c r="Z18032" s="318"/>
      <c r="AA18032" s="318"/>
      <c r="AB18032" s="318"/>
      <c r="AC18032" s="318"/>
      <c r="AD18032" s="318"/>
    </row>
    <row r="18033" spans="2:30" s="323" customFormat="1" ht="12" customHeight="1">
      <c r="B18033" s="324"/>
      <c r="C18033" s="325"/>
      <c r="D18033" s="326"/>
      <c r="E18033" s="326"/>
      <c r="F18033" s="326"/>
      <c r="G18033" s="326"/>
      <c r="H18033" s="326"/>
      <c r="P18033" s="318"/>
      <c r="Q18033" s="318"/>
      <c r="R18033" s="318"/>
      <c r="S18033" s="318"/>
      <c r="T18033" s="318"/>
      <c r="U18033" s="318"/>
      <c r="V18033" s="318"/>
      <c r="W18033" s="318"/>
      <c r="X18033" s="318"/>
      <c r="Y18033" s="318"/>
      <c r="Z18033" s="318"/>
      <c r="AA18033" s="318"/>
      <c r="AB18033" s="318"/>
      <c r="AC18033" s="318"/>
      <c r="AD18033" s="318"/>
    </row>
    <row r="18034" spans="2:30" s="323" customFormat="1" ht="12" customHeight="1">
      <c r="B18034" s="324"/>
      <c r="C18034" s="325"/>
      <c r="D18034" s="326"/>
      <c r="E18034" s="326"/>
      <c r="F18034" s="326"/>
      <c r="G18034" s="326"/>
      <c r="H18034" s="326"/>
      <c r="P18034" s="318"/>
      <c r="Q18034" s="318"/>
      <c r="R18034" s="318"/>
      <c r="S18034" s="318"/>
      <c r="T18034" s="318"/>
      <c r="U18034" s="318"/>
      <c r="V18034" s="318"/>
      <c r="W18034" s="318"/>
      <c r="X18034" s="318"/>
      <c r="Y18034" s="318"/>
      <c r="Z18034" s="318"/>
      <c r="AA18034" s="318"/>
      <c r="AB18034" s="318"/>
      <c r="AC18034" s="318"/>
      <c r="AD18034" s="318"/>
    </row>
    <row r="18035" spans="2:30" s="323" customFormat="1" ht="12" customHeight="1">
      <c r="B18035" s="324"/>
      <c r="C18035" s="325"/>
      <c r="D18035" s="326"/>
      <c r="E18035" s="326"/>
      <c r="F18035" s="326"/>
      <c r="G18035" s="326"/>
      <c r="H18035" s="326"/>
      <c r="P18035" s="318"/>
      <c r="Q18035" s="318"/>
      <c r="R18035" s="318"/>
      <c r="S18035" s="318"/>
      <c r="T18035" s="318"/>
      <c r="U18035" s="318"/>
      <c r="V18035" s="318"/>
      <c r="W18035" s="318"/>
      <c r="X18035" s="318"/>
      <c r="Y18035" s="318"/>
      <c r="Z18035" s="318"/>
      <c r="AA18035" s="318"/>
      <c r="AB18035" s="318"/>
      <c r="AC18035" s="318"/>
      <c r="AD18035" s="318"/>
    </row>
    <row r="18036" spans="2:30" s="323" customFormat="1" ht="12" customHeight="1">
      <c r="B18036" s="324"/>
      <c r="C18036" s="325"/>
      <c r="D18036" s="326"/>
      <c r="E18036" s="326"/>
      <c r="F18036" s="326"/>
      <c r="G18036" s="326"/>
      <c r="H18036" s="326"/>
      <c r="P18036" s="318"/>
      <c r="Q18036" s="318"/>
      <c r="R18036" s="318"/>
      <c r="S18036" s="318"/>
      <c r="T18036" s="318"/>
      <c r="U18036" s="318"/>
      <c r="V18036" s="318"/>
      <c r="W18036" s="318"/>
      <c r="X18036" s="318"/>
      <c r="Y18036" s="318"/>
      <c r="Z18036" s="318"/>
      <c r="AA18036" s="318"/>
      <c r="AB18036" s="318"/>
      <c r="AC18036" s="318"/>
      <c r="AD18036" s="318"/>
    </row>
    <row r="18037" spans="2:30" s="323" customFormat="1" ht="12" customHeight="1">
      <c r="B18037" s="324"/>
      <c r="C18037" s="325"/>
      <c r="D18037" s="326"/>
      <c r="E18037" s="326"/>
      <c r="F18037" s="326"/>
      <c r="G18037" s="326"/>
      <c r="H18037" s="326"/>
      <c r="P18037" s="318"/>
      <c r="Q18037" s="318"/>
      <c r="R18037" s="318"/>
      <c r="S18037" s="318"/>
      <c r="T18037" s="318"/>
      <c r="U18037" s="318"/>
      <c r="V18037" s="318"/>
      <c r="W18037" s="318"/>
      <c r="X18037" s="318"/>
      <c r="Y18037" s="318"/>
      <c r="Z18037" s="318"/>
      <c r="AA18037" s="318"/>
      <c r="AB18037" s="318"/>
      <c r="AC18037" s="318"/>
      <c r="AD18037" s="318"/>
    </row>
    <row r="18038" spans="2:30" s="323" customFormat="1" ht="12" customHeight="1">
      <c r="B18038" s="324"/>
      <c r="C18038" s="325"/>
      <c r="D18038" s="326"/>
      <c r="E18038" s="326"/>
      <c r="F18038" s="326"/>
      <c r="G18038" s="326"/>
      <c r="H18038" s="326"/>
      <c r="P18038" s="318"/>
      <c r="Q18038" s="318"/>
      <c r="R18038" s="318"/>
      <c r="S18038" s="318"/>
      <c r="T18038" s="318"/>
      <c r="U18038" s="318"/>
      <c r="V18038" s="318"/>
      <c r="W18038" s="318"/>
      <c r="X18038" s="318"/>
      <c r="Y18038" s="318"/>
      <c r="Z18038" s="318"/>
      <c r="AA18038" s="318"/>
      <c r="AB18038" s="318"/>
      <c r="AC18038" s="318"/>
      <c r="AD18038" s="318"/>
    </row>
    <row r="18039" spans="2:30" s="323" customFormat="1" ht="12" customHeight="1">
      <c r="B18039" s="324"/>
      <c r="C18039" s="325"/>
      <c r="D18039" s="326"/>
      <c r="E18039" s="326"/>
      <c r="F18039" s="326"/>
      <c r="G18039" s="326"/>
      <c r="H18039" s="326"/>
      <c r="P18039" s="318"/>
      <c r="Q18039" s="318"/>
      <c r="R18039" s="318"/>
      <c r="S18039" s="318"/>
      <c r="T18039" s="318"/>
      <c r="U18039" s="318"/>
      <c r="V18039" s="318"/>
      <c r="W18039" s="318"/>
      <c r="X18039" s="318"/>
      <c r="Y18039" s="318"/>
      <c r="Z18039" s="318"/>
      <c r="AA18039" s="318"/>
      <c r="AB18039" s="318"/>
      <c r="AC18039" s="318"/>
      <c r="AD18039" s="318"/>
    </row>
    <row r="18040" spans="2:30" s="323" customFormat="1" ht="12" customHeight="1">
      <c r="B18040" s="324"/>
      <c r="C18040" s="325"/>
      <c r="D18040" s="326"/>
      <c r="E18040" s="326"/>
      <c r="F18040" s="326"/>
      <c r="G18040" s="326"/>
      <c r="H18040" s="326"/>
      <c r="P18040" s="318"/>
      <c r="Q18040" s="318"/>
      <c r="R18040" s="318"/>
      <c r="S18040" s="318"/>
      <c r="T18040" s="318"/>
      <c r="U18040" s="318"/>
      <c r="V18040" s="318"/>
      <c r="W18040" s="318"/>
      <c r="X18040" s="318"/>
      <c r="Y18040" s="318"/>
      <c r="Z18040" s="318"/>
      <c r="AA18040" s="318"/>
      <c r="AB18040" s="318"/>
      <c r="AC18040" s="318"/>
      <c r="AD18040" s="318"/>
    </row>
    <row r="18041" spans="2:30" s="323" customFormat="1" ht="12" customHeight="1">
      <c r="B18041" s="324"/>
      <c r="C18041" s="325"/>
      <c r="D18041" s="326"/>
      <c r="E18041" s="326"/>
      <c r="F18041" s="326"/>
      <c r="G18041" s="326"/>
      <c r="H18041" s="326"/>
      <c r="P18041" s="318"/>
      <c r="Q18041" s="318"/>
      <c r="R18041" s="318"/>
      <c r="S18041" s="318"/>
      <c r="T18041" s="318"/>
      <c r="U18041" s="318"/>
      <c r="V18041" s="318"/>
      <c r="W18041" s="318"/>
      <c r="X18041" s="318"/>
      <c r="Y18041" s="318"/>
      <c r="Z18041" s="318"/>
      <c r="AA18041" s="318"/>
      <c r="AB18041" s="318"/>
      <c r="AC18041" s="318"/>
      <c r="AD18041" s="318"/>
    </row>
    <row r="18042" spans="2:30" s="323" customFormat="1" ht="12" customHeight="1">
      <c r="B18042" s="324"/>
      <c r="C18042" s="325"/>
      <c r="D18042" s="326"/>
      <c r="E18042" s="326"/>
      <c r="F18042" s="326"/>
      <c r="G18042" s="326"/>
      <c r="H18042" s="326"/>
      <c r="P18042" s="318"/>
      <c r="Q18042" s="318"/>
      <c r="R18042" s="318"/>
      <c r="S18042" s="318"/>
      <c r="T18042" s="318"/>
      <c r="U18042" s="318"/>
      <c r="V18042" s="318"/>
      <c r="W18042" s="318"/>
      <c r="X18042" s="318"/>
      <c r="Y18042" s="318"/>
      <c r="Z18042" s="318"/>
      <c r="AA18042" s="318"/>
      <c r="AB18042" s="318"/>
      <c r="AC18042" s="318"/>
      <c r="AD18042" s="318"/>
    </row>
    <row r="18043" spans="2:30" s="323" customFormat="1" ht="12" customHeight="1">
      <c r="B18043" s="324"/>
      <c r="C18043" s="325"/>
      <c r="D18043" s="326"/>
      <c r="E18043" s="326"/>
      <c r="F18043" s="326"/>
      <c r="G18043" s="326"/>
      <c r="H18043" s="326"/>
      <c r="P18043" s="318"/>
      <c r="Q18043" s="318"/>
      <c r="R18043" s="318"/>
      <c r="S18043" s="318"/>
      <c r="T18043" s="318"/>
      <c r="U18043" s="318"/>
      <c r="V18043" s="318"/>
      <c r="W18043" s="318"/>
      <c r="X18043" s="318"/>
      <c r="Y18043" s="318"/>
      <c r="Z18043" s="318"/>
      <c r="AA18043" s="318"/>
      <c r="AB18043" s="318"/>
      <c r="AC18043" s="318"/>
      <c r="AD18043" s="318"/>
    </row>
    <row r="18044" spans="2:30" s="323" customFormat="1" ht="12" customHeight="1">
      <c r="B18044" s="324"/>
      <c r="C18044" s="325"/>
      <c r="D18044" s="326"/>
      <c r="E18044" s="326"/>
      <c r="F18044" s="326"/>
      <c r="G18044" s="326"/>
      <c r="H18044" s="326"/>
      <c r="P18044" s="318"/>
      <c r="Q18044" s="318"/>
      <c r="R18044" s="318"/>
      <c r="S18044" s="318"/>
      <c r="T18044" s="318"/>
      <c r="U18044" s="318"/>
      <c r="V18044" s="318"/>
      <c r="W18044" s="318"/>
      <c r="X18044" s="318"/>
      <c r="Y18044" s="318"/>
      <c r="Z18044" s="318"/>
      <c r="AA18044" s="318"/>
      <c r="AB18044" s="318"/>
      <c r="AC18044" s="318"/>
      <c r="AD18044" s="318"/>
    </row>
    <row r="18045" spans="2:30" s="323" customFormat="1" ht="12" customHeight="1">
      <c r="B18045" s="324"/>
      <c r="C18045" s="325"/>
      <c r="D18045" s="326"/>
      <c r="E18045" s="326"/>
      <c r="F18045" s="326"/>
      <c r="G18045" s="326"/>
      <c r="H18045" s="326"/>
      <c r="P18045" s="318"/>
      <c r="Q18045" s="318"/>
      <c r="R18045" s="318"/>
      <c r="S18045" s="318"/>
      <c r="T18045" s="318"/>
      <c r="U18045" s="318"/>
      <c r="V18045" s="318"/>
      <c r="W18045" s="318"/>
      <c r="X18045" s="318"/>
      <c r="Y18045" s="318"/>
      <c r="Z18045" s="318"/>
      <c r="AA18045" s="318"/>
      <c r="AB18045" s="318"/>
      <c r="AC18045" s="318"/>
      <c r="AD18045" s="318"/>
    </row>
    <row r="18046" spans="2:30" s="323" customFormat="1" ht="12" customHeight="1">
      <c r="B18046" s="324"/>
      <c r="C18046" s="325"/>
      <c r="D18046" s="326"/>
      <c r="E18046" s="326"/>
      <c r="F18046" s="326"/>
      <c r="G18046" s="326"/>
      <c r="H18046" s="326"/>
      <c r="P18046" s="318"/>
      <c r="Q18046" s="318"/>
      <c r="R18046" s="318"/>
      <c r="S18046" s="318"/>
      <c r="T18046" s="318"/>
      <c r="U18046" s="318"/>
      <c r="V18046" s="318"/>
      <c r="W18046" s="318"/>
      <c r="X18046" s="318"/>
      <c r="Y18046" s="318"/>
      <c r="Z18046" s="318"/>
      <c r="AA18046" s="318"/>
      <c r="AB18046" s="318"/>
      <c r="AC18046" s="318"/>
      <c r="AD18046" s="318"/>
    </row>
    <row r="18047" spans="2:30" s="323" customFormat="1" ht="12" customHeight="1">
      <c r="B18047" s="324"/>
      <c r="C18047" s="325"/>
      <c r="D18047" s="326"/>
      <c r="E18047" s="326"/>
      <c r="F18047" s="326"/>
      <c r="G18047" s="326"/>
      <c r="H18047" s="326"/>
      <c r="P18047" s="318"/>
      <c r="Q18047" s="318"/>
      <c r="R18047" s="318"/>
      <c r="S18047" s="318"/>
      <c r="T18047" s="318"/>
      <c r="U18047" s="318"/>
      <c r="V18047" s="318"/>
      <c r="W18047" s="318"/>
      <c r="X18047" s="318"/>
      <c r="Y18047" s="318"/>
      <c r="Z18047" s="318"/>
      <c r="AA18047" s="318"/>
      <c r="AB18047" s="318"/>
      <c r="AC18047" s="318"/>
      <c r="AD18047" s="318"/>
    </row>
    <row r="18048" spans="2:30" s="323" customFormat="1" ht="12" customHeight="1">
      <c r="B18048" s="324"/>
      <c r="C18048" s="325"/>
      <c r="D18048" s="326"/>
      <c r="E18048" s="326"/>
      <c r="F18048" s="326"/>
      <c r="G18048" s="326"/>
      <c r="H18048" s="326"/>
      <c r="P18048" s="318"/>
      <c r="Q18048" s="318"/>
      <c r="R18048" s="318"/>
      <c r="S18048" s="318"/>
      <c r="T18048" s="318"/>
      <c r="U18048" s="318"/>
      <c r="V18048" s="318"/>
      <c r="W18048" s="318"/>
      <c r="X18048" s="318"/>
      <c r="Y18048" s="318"/>
      <c r="Z18048" s="318"/>
      <c r="AA18048" s="318"/>
      <c r="AB18048" s="318"/>
      <c r="AC18048" s="318"/>
      <c r="AD18048" s="318"/>
    </row>
    <row r="18049" spans="2:30" s="323" customFormat="1" ht="12" customHeight="1">
      <c r="B18049" s="324"/>
      <c r="C18049" s="325"/>
      <c r="D18049" s="326"/>
      <c r="E18049" s="326"/>
      <c r="F18049" s="326"/>
      <c r="G18049" s="326"/>
      <c r="H18049" s="326"/>
      <c r="P18049" s="318"/>
      <c r="Q18049" s="318"/>
      <c r="R18049" s="318"/>
      <c r="S18049" s="318"/>
      <c r="T18049" s="318"/>
      <c r="U18049" s="318"/>
      <c r="V18049" s="318"/>
      <c r="W18049" s="318"/>
      <c r="X18049" s="318"/>
      <c r="Y18049" s="318"/>
      <c r="Z18049" s="318"/>
      <c r="AA18049" s="318"/>
      <c r="AB18049" s="318"/>
      <c r="AC18049" s="318"/>
      <c r="AD18049" s="318"/>
    </row>
    <row r="18050" spans="2:30" s="323" customFormat="1" ht="12" customHeight="1">
      <c r="B18050" s="324"/>
      <c r="C18050" s="325"/>
      <c r="D18050" s="326"/>
      <c r="E18050" s="326"/>
      <c r="F18050" s="326"/>
      <c r="G18050" s="326"/>
      <c r="H18050" s="326"/>
      <c r="P18050" s="318"/>
      <c r="Q18050" s="318"/>
      <c r="R18050" s="318"/>
      <c r="S18050" s="318"/>
      <c r="T18050" s="318"/>
      <c r="U18050" s="318"/>
      <c r="V18050" s="318"/>
      <c r="W18050" s="318"/>
      <c r="X18050" s="318"/>
      <c r="Y18050" s="318"/>
      <c r="Z18050" s="318"/>
      <c r="AA18050" s="318"/>
      <c r="AB18050" s="318"/>
      <c r="AC18050" s="318"/>
      <c r="AD18050" s="318"/>
    </row>
    <row r="18051" spans="2:30" s="323" customFormat="1" ht="12" customHeight="1">
      <c r="B18051" s="324"/>
      <c r="C18051" s="325"/>
      <c r="D18051" s="326"/>
      <c r="E18051" s="326"/>
      <c r="F18051" s="326"/>
      <c r="G18051" s="326"/>
      <c r="H18051" s="326"/>
      <c r="P18051" s="318"/>
      <c r="Q18051" s="318"/>
      <c r="R18051" s="318"/>
      <c r="S18051" s="318"/>
      <c r="T18051" s="318"/>
      <c r="U18051" s="318"/>
      <c r="V18051" s="318"/>
      <c r="W18051" s="318"/>
      <c r="X18051" s="318"/>
      <c r="Y18051" s="318"/>
      <c r="Z18051" s="318"/>
      <c r="AA18051" s="318"/>
      <c r="AB18051" s="318"/>
      <c r="AC18051" s="318"/>
      <c r="AD18051" s="318"/>
    </row>
    <row r="18052" spans="2:30" s="323" customFormat="1" ht="12" customHeight="1">
      <c r="B18052" s="324"/>
      <c r="C18052" s="325"/>
      <c r="D18052" s="326"/>
      <c r="E18052" s="326"/>
      <c r="F18052" s="326"/>
      <c r="G18052" s="326"/>
      <c r="H18052" s="326"/>
      <c r="P18052" s="318"/>
      <c r="Q18052" s="318"/>
      <c r="R18052" s="318"/>
      <c r="S18052" s="318"/>
      <c r="T18052" s="318"/>
      <c r="U18052" s="318"/>
      <c r="V18052" s="318"/>
      <c r="W18052" s="318"/>
      <c r="X18052" s="318"/>
      <c r="Y18052" s="318"/>
      <c r="Z18052" s="318"/>
      <c r="AA18052" s="318"/>
      <c r="AB18052" s="318"/>
      <c r="AC18052" s="318"/>
      <c r="AD18052" s="318"/>
    </row>
    <row r="18053" spans="2:30" s="323" customFormat="1" ht="12" customHeight="1">
      <c r="B18053" s="324"/>
      <c r="C18053" s="325"/>
      <c r="D18053" s="326"/>
      <c r="E18053" s="326"/>
      <c r="F18053" s="326"/>
      <c r="G18053" s="326"/>
      <c r="H18053" s="326"/>
      <c r="P18053" s="318"/>
      <c r="Q18053" s="318"/>
      <c r="R18053" s="318"/>
      <c r="S18053" s="318"/>
      <c r="T18053" s="318"/>
      <c r="U18053" s="318"/>
      <c r="V18053" s="318"/>
      <c r="W18053" s="318"/>
      <c r="X18053" s="318"/>
      <c r="Y18053" s="318"/>
      <c r="Z18053" s="318"/>
      <c r="AA18053" s="318"/>
      <c r="AB18053" s="318"/>
      <c r="AC18053" s="318"/>
      <c r="AD18053" s="318"/>
    </row>
    <row r="18054" spans="2:30" s="323" customFormat="1" ht="12" customHeight="1">
      <c r="B18054" s="324"/>
      <c r="C18054" s="325"/>
      <c r="D18054" s="326"/>
      <c r="E18054" s="326"/>
      <c r="F18054" s="326"/>
      <c r="G18054" s="326"/>
      <c r="H18054" s="326"/>
      <c r="P18054" s="318"/>
      <c r="Q18054" s="318"/>
      <c r="R18054" s="318"/>
      <c r="S18054" s="318"/>
      <c r="T18054" s="318"/>
      <c r="U18054" s="318"/>
      <c r="V18054" s="318"/>
      <c r="W18054" s="318"/>
      <c r="X18054" s="318"/>
      <c r="Y18054" s="318"/>
      <c r="Z18054" s="318"/>
      <c r="AA18054" s="318"/>
      <c r="AB18054" s="318"/>
      <c r="AC18054" s="318"/>
      <c r="AD18054" s="318"/>
    </row>
    <row r="18055" spans="2:30" s="323" customFormat="1" ht="12" customHeight="1">
      <c r="B18055" s="324"/>
      <c r="C18055" s="325"/>
      <c r="D18055" s="326"/>
      <c r="E18055" s="326"/>
      <c r="F18055" s="326"/>
      <c r="G18055" s="326"/>
      <c r="H18055" s="326"/>
      <c r="P18055" s="318"/>
      <c r="Q18055" s="318"/>
      <c r="R18055" s="318"/>
      <c r="S18055" s="318"/>
      <c r="T18055" s="318"/>
      <c r="U18055" s="318"/>
      <c r="V18055" s="318"/>
      <c r="W18055" s="318"/>
      <c r="X18055" s="318"/>
      <c r="Y18055" s="318"/>
      <c r="Z18055" s="318"/>
      <c r="AA18055" s="318"/>
      <c r="AB18055" s="318"/>
      <c r="AC18055" s="318"/>
      <c r="AD18055" s="318"/>
    </row>
    <row r="18056" spans="2:30" s="323" customFormat="1" ht="12" customHeight="1">
      <c r="B18056" s="324"/>
      <c r="C18056" s="325"/>
      <c r="D18056" s="326"/>
      <c r="E18056" s="326"/>
      <c r="F18056" s="326"/>
      <c r="G18056" s="326"/>
      <c r="H18056" s="326"/>
      <c r="P18056" s="318"/>
      <c r="Q18056" s="318"/>
      <c r="R18056" s="318"/>
      <c r="S18056" s="318"/>
      <c r="T18056" s="318"/>
      <c r="U18056" s="318"/>
      <c r="V18056" s="318"/>
      <c r="W18056" s="318"/>
      <c r="X18056" s="318"/>
      <c r="Y18056" s="318"/>
      <c r="Z18056" s="318"/>
      <c r="AA18056" s="318"/>
      <c r="AB18056" s="318"/>
      <c r="AC18056" s="318"/>
      <c r="AD18056" s="318"/>
    </row>
    <row r="18057" spans="2:30" s="323" customFormat="1" ht="12" customHeight="1">
      <c r="B18057" s="324"/>
      <c r="C18057" s="325"/>
      <c r="D18057" s="326"/>
      <c r="E18057" s="326"/>
      <c r="F18057" s="326"/>
      <c r="G18057" s="326"/>
      <c r="H18057" s="326"/>
      <c r="P18057" s="318"/>
      <c r="Q18057" s="318"/>
      <c r="R18057" s="318"/>
      <c r="S18057" s="318"/>
      <c r="T18057" s="318"/>
      <c r="U18057" s="318"/>
      <c r="V18057" s="318"/>
      <c r="W18057" s="318"/>
      <c r="X18057" s="318"/>
      <c r="Y18057" s="318"/>
      <c r="Z18057" s="318"/>
      <c r="AA18057" s="318"/>
      <c r="AB18057" s="318"/>
      <c r="AC18057" s="318"/>
      <c r="AD18057" s="318"/>
    </row>
    <row r="18058" spans="2:30" s="323" customFormat="1" ht="12" customHeight="1">
      <c r="B18058" s="324"/>
      <c r="C18058" s="325"/>
      <c r="D18058" s="326"/>
      <c r="E18058" s="326"/>
      <c r="F18058" s="326"/>
      <c r="G18058" s="326"/>
      <c r="H18058" s="326"/>
      <c r="P18058" s="318"/>
      <c r="Q18058" s="318"/>
      <c r="R18058" s="318"/>
      <c r="S18058" s="318"/>
      <c r="T18058" s="318"/>
      <c r="U18058" s="318"/>
      <c r="V18058" s="318"/>
      <c r="W18058" s="318"/>
      <c r="X18058" s="318"/>
      <c r="Y18058" s="318"/>
      <c r="Z18058" s="318"/>
      <c r="AA18058" s="318"/>
      <c r="AB18058" s="318"/>
      <c r="AC18058" s="318"/>
      <c r="AD18058" s="318"/>
    </row>
    <row r="18059" spans="2:30" s="323" customFormat="1" ht="12" customHeight="1">
      <c r="B18059" s="324"/>
      <c r="C18059" s="325"/>
      <c r="D18059" s="326"/>
      <c r="E18059" s="326"/>
      <c r="F18059" s="326"/>
      <c r="G18059" s="326"/>
      <c r="H18059" s="326"/>
      <c r="P18059" s="318"/>
      <c r="Q18059" s="318"/>
      <c r="R18059" s="318"/>
      <c r="S18059" s="318"/>
      <c r="T18059" s="318"/>
      <c r="U18059" s="318"/>
      <c r="V18059" s="318"/>
      <c r="W18059" s="318"/>
      <c r="X18059" s="318"/>
      <c r="Y18059" s="318"/>
      <c r="Z18059" s="318"/>
      <c r="AA18059" s="318"/>
      <c r="AB18059" s="318"/>
      <c r="AC18059" s="318"/>
      <c r="AD18059" s="318"/>
    </row>
    <row r="18060" spans="2:30" s="323" customFormat="1" ht="12" customHeight="1">
      <c r="B18060" s="324"/>
      <c r="C18060" s="325"/>
      <c r="D18060" s="326"/>
      <c r="E18060" s="326"/>
      <c r="F18060" s="326"/>
      <c r="G18060" s="326"/>
      <c r="H18060" s="326"/>
      <c r="P18060" s="318"/>
      <c r="Q18060" s="318"/>
      <c r="R18060" s="318"/>
      <c r="S18060" s="318"/>
      <c r="T18060" s="318"/>
      <c r="U18060" s="318"/>
      <c r="V18060" s="318"/>
      <c r="W18060" s="318"/>
      <c r="X18060" s="318"/>
      <c r="Y18060" s="318"/>
      <c r="Z18060" s="318"/>
      <c r="AA18060" s="318"/>
      <c r="AB18060" s="318"/>
      <c r="AC18060" s="318"/>
      <c r="AD18060" s="318"/>
    </row>
    <row r="18061" spans="2:30" s="323" customFormat="1" ht="12" customHeight="1">
      <c r="B18061" s="324"/>
      <c r="C18061" s="325"/>
      <c r="D18061" s="326"/>
      <c r="E18061" s="326"/>
      <c r="F18061" s="326"/>
      <c r="G18061" s="326"/>
      <c r="H18061" s="326"/>
      <c r="P18061" s="318"/>
      <c r="Q18061" s="318"/>
      <c r="R18061" s="318"/>
      <c r="S18061" s="318"/>
      <c r="T18061" s="318"/>
      <c r="U18061" s="318"/>
      <c r="V18061" s="318"/>
      <c r="W18061" s="318"/>
      <c r="X18061" s="318"/>
      <c r="Y18061" s="318"/>
      <c r="Z18061" s="318"/>
      <c r="AA18061" s="318"/>
      <c r="AB18061" s="318"/>
      <c r="AC18061" s="318"/>
      <c r="AD18061" s="318"/>
    </row>
    <row r="18062" spans="2:30" s="323" customFormat="1" ht="12" customHeight="1">
      <c r="B18062" s="324"/>
      <c r="C18062" s="325"/>
      <c r="D18062" s="326"/>
      <c r="E18062" s="326"/>
      <c r="F18062" s="326"/>
      <c r="G18062" s="326"/>
      <c r="H18062" s="326"/>
      <c r="P18062" s="318"/>
      <c r="Q18062" s="318"/>
      <c r="R18062" s="318"/>
      <c r="S18062" s="318"/>
      <c r="T18062" s="318"/>
      <c r="U18062" s="318"/>
      <c r="V18062" s="318"/>
      <c r="W18062" s="318"/>
      <c r="X18062" s="318"/>
      <c r="Y18062" s="318"/>
      <c r="Z18062" s="318"/>
      <c r="AA18062" s="318"/>
      <c r="AB18062" s="318"/>
      <c r="AC18062" s="318"/>
      <c r="AD18062" s="318"/>
    </row>
    <row r="18063" spans="2:30" s="323" customFormat="1" ht="12" customHeight="1">
      <c r="B18063" s="324"/>
      <c r="C18063" s="325"/>
      <c r="D18063" s="326"/>
      <c r="E18063" s="326"/>
      <c r="F18063" s="326"/>
      <c r="G18063" s="326"/>
      <c r="H18063" s="326"/>
      <c r="P18063" s="318"/>
      <c r="Q18063" s="318"/>
      <c r="R18063" s="318"/>
      <c r="S18063" s="318"/>
      <c r="T18063" s="318"/>
      <c r="U18063" s="318"/>
      <c r="V18063" s="318"/>
      <c r="W18063" s="318"/>
      <c r="X18063" s="318"/>
      <c r="Y18063" s="318"/>
      <c r="Z18063" s="318"/>
      <c r="AA18063" s="318"/>
      <c r="AB18063" s="318"/>
      <c r="AC18063" s="318"/>
      <c r="AD18063" s="318"/>
    </row>
    <row r="18064" spans="2:30" s="323" customFormat="1" ht="12" customHeight="1">
      <c r="B18064" s="324"/>
      <c r="C18064" s="325"/>
      <c r="D18064" s="326"/>
      <c r="E18064" s="326"/>
      <c r="F18064" s="326"/>
      <c r="G18064" s="326"/>
      <c r="H18064" s="326"/>
      <c r="P18064" s="318"/>
      <c r="Q18064" s="318"/>
      <c r="R18064" s="318"/>
      <c r="S18064" s="318"/>
      <c r="T18064" s="318"/>
      <c r="U18064" s="318"/>
      <c r="V18064" s="318"/>
      <c r="W18064" s="318"/>
      <c r="X18064" s="318"/>
      <c r="Y18064" s="318"/>
      <c r="Z18064" s="318"/>
      <c r="AA18064" s="318"/>
      <c r="AB18064" s="318"/>
      <c r="AC18064" s="318"/>
      <c r="AD18064" s="318"/>
    </row>
    <row r="18065" spans="2:30" s="323" customFormat="1" ht="12" customHeight="1">
      <c r="B18065" s="324"/>
      <c r="C18065" s="325"/>
      <c r="D18065" s="326"/>
      <c r="E18065" s="326"/>
      <c r="F18065" s="326"/>
      <c r="G18065" s="326"/>
      <c r="H18065" s="326"/>
      <c r="P18065" s="318"/>
      <c r="Q18065" s="318"/>
      <c r="R18065" s="318"/>
      <c r="S18065" s="318"/>
      <c r="T18065" s="318"/>
      <c r="U18065" s="318"/>
      <c r="V18065" s="318"/>
      <c r="W18065" s="318"/>
      <c r="X18065" s="318"/>
      <c r="Y18065" s="318"/>
      <c r="Z18065" s="318"/>
      <c r="AA18065" s="318"/>
      <c r="AB18065" s="318"/>
      <c r="AC18065" s="318"/>
      <c r="AD18065" s="318"/>
    </row>
    <row r="18066" spans="2:30" s="323" customFormat="1" ht="12" customHeight="1">
      <c r="B18066" s="324"/>
      <c r="C18066" s="325"/>
      <c r="D18066" s="326"/>
      <c r="E18066" s="326"/>
      <c r="F18066" s="326"/>
      <c r="G18066" s="326"/>
      <c r="H18066" s="326"/>
      <c r="P18066" s="318"/>
      <c r="Q18066" s="318"/>
      <c r="R18066" s="318"/>
      <c r="S18066" s="318"/>
      <c r="T18066" s="318"/>
      <c r="U18066" s="318"/>
      <c r="V18066" s="318"/>
      <c r="W18066" s="318"/>
      <c r="X18066" s="318"/>
      <c r="Y18066" s="318"/>
      <c r="Z18066" s="318"/>
      <c r="AA18066" s="318"/>
      <c r="AB18066" s="318"/>
      <c r="AC18066" s="318"/>
      <c r="AD18066" s="318"/>
    </row>
    <row r="18067" spans="2:30" s="323" customFormat="1" ht="12" customHeight="1">
      <c r="B18067" s="324"/>
      <c r="C18067" s="325"/>
      <c r="D18067" s="326"/>
      <c r="E18067" s="326"/>
      <c r="F18067" s="326"/>
      <c r="G18067" s="326"/>
      <c r="H18067" s="326"/>
      <c r="P18067" s="318"/>
      <c r="Q18067" s="318"/>
      <c r="R18067" s="318"/>
      <c r="S18067" s="318"/>
      <c r="T18067" s="318"/>
      <c r="U18067" s="318"/>
      <c r="V18067" s="318"/>
      <c r="W18067" s="318"/>
      <c r="X18067" s="318"/>
      <c r="Y18067" s="318"/>
      <c r="Z18067" s="318"/>
      <c r="AA18067" s="318"/>
      <c r="AB18067" s="318"/>
      <c r="AC18067" s="318"/>
      <c r="AD18067" s="318"/>
    </row>
    <row r="18068" spans="2:30" s="323" customFormat="1" ht="12" customHeight="1">
      <c r="B18068" s="324"/>
      <c r="C18068" s="325"/>
      <c r="D18068" s="326"/>
      <c r="E18068" s="326"/>
      <c r="F18068" s="326"/>
      <c r="G18068" s="326"/>
      <c r="H18068" s="326"/>
      <c r="P18068" s="318"/>
      <c r="Q18068" s="318"/>
      <c r="R18068" s="318"/>
      <c r="S18068" s="318"/>
      <c r="T18068" s="318"/>
      <c r="U18068" s="318"/>
      <c r="V18068" s="318"/>
      <c r="W18068" s="318"/>
      <c r="X18068" s="318"/>
      <c r="Y18068" s="318"/>
      <c r="Z18068" s="318"/>
      <c r="AA18068" s="318"/>
      <c r="AB18068" s="318"/>
      <c r="AC18068" s="318"/>
      <c r="AD18068" s="318"/>
    </row>
    <row r="18069" spans="2:30" s="323" customFormat="1" ht="12" customHeight="1">
      <c r="B18069" s="324"/>
      <c r="C18069" s="325"/>
      <c r="D18069" s="326"/>
      <c r="E18069" s="326"/>
      <c r="F18069" s="326"/>
      <c r="G18069" s="326"/>
      <c r="H18069" s="326"/>
      <c r="P18069" s="318"/>
      <c r="Q18069" s="318"/>
      <c r="R18069" s="318"/>
      <c r="S18069" s="318"/>
      <c r="T18069" s="318"/>
      <c r="U18069" s="318"/>
      <c r="V18069" s="318"/>
      <c r="W18069" s="318"/>
      <c r="X18069" s="318"/>
      <c r="Y18069" s="318"/>
      <c r="Z18069" s="318"/>
      <c r="AA18069" s="318"/>
      <c r="AB18069" s="318"/>
      <c r="AC18069" s="318"/>
      <c r="AD18069" s="318"/>
    </row>
    <row r="18070" spans="2:30" s="323" customFormat="1" ht="12" customHeight="1">
      <c r="B18070" s="324"/>
      <c r="C18070" s="325"/>
      <c r="D18070" s="326"/>
      <c r="E18070" s="326"/>
      <c r="F18070" s="326"/>
      <c r="G18070" s="326"/>
      <c r="H18070" s="326"/>
      <c r="P18070" s="318"/>
      <c r="Q18070" s="318"/>
      <c r="R18070" s="318"/>
      <c r="S18070" s="318"/>
      <c r="T18070" s="318"/>
      <c r="U18070" s="318"/>
      <c r="V18070" s="318"/>
      <c r="W18070" s="318"/>
      <c r="X18070" s="318"/>
      <c r="Y18070" s="318"/>
      <c r="Z18070" s="318"/>
      <c r="AA18070" s="318"/>
      <c r="AB18070" s="318"/>
      <c r="AC18070" s="318"/>
      <c r="AD18070" s="318"/>
    </row>
    <row r="18071" spans="2:30" s="323" customFormat="1" ht="12" customHeight="1">
      <c r="B18071" s="324"/>
      <c r="C18071" s="325"/>
      <c r="D18071" s="326"/>
      <c r="E18071" s="326"/>
      <c r="F18071" s="326"/>
      <c r="G18071" s="326"/>
      <c r="H18071" s="326"/>
      <c r="P18071" s="318"/>
      <c r="Q18071" s="318"/>
      <c r="R18071" s="318"/>
      <c r="S18071" s="318"/>
      <c r="T18071" s="318"/>
      <c r="U18071" s="318"/>
      <c r="V18071" s="318"/>
      <c r="W18071" s="318"/>
      <c r="X18071" s="318"/>
      <c r="Y18071" s="318"/>
      <c r="Z18071" s="318"/>
      <c r="AA18071" s="318"/>
      <c r="AB18071" s="318"/>
      <c r="AC18071" s="318"/>
      <c r="AD18071" s="318"/>
    </row>
    <row r="18072" spans="2:30" s="323" customFormat="1" ht="12" customHeight="1">
      <c r="B18072" s="324"/>
      <c r="C18072" s="325"/>
      <c r="D18072" s="326"/>
      <c r="E18072" s="326"/>
      <c r="F18072" s="326"/>
      <c r="G18072" s="326"/>
      <c r="H18072" s="326"/>
      <c r="P18072" s="318"/>
      <c r="Q18072" s="318"/>
      <c r="R18072" s="318"/>
      <c r="S18072" s="318"/>
      <c r="T18072" s="318"/>
      <c r="U18072" s="318"/>
      <c r="V18072" s="318"/>
      <c r="W18072" s="318"/>
      <c r="X18072" s="318"/>
      <c r="Y18072" s="318"/>
      <c r="Z18072" s="318"/>
      <c r="AA18072" s="318"/>
      <c r="AB18072" s="318"/>
      <c r="AC18072" s="318"/>
      <c r="AD18072" s="318"/>
    </row>
    <row r="18073" spans="2:30" s="323" customFormat="1" ht="12" customHeight="1">
      <c r="B18073" s="324"/>
      <c r="C18073" s="325"/>
      <c r="D18073" s="326"/>
      <c r="E18073" s="326"/>
      <c r="F18073" s="326"/>
      <c r="G18073" s="326"/>
      <c r="H18073" s="326"/>
      <c r="P18073" s="318"/>
      <c r="Q18073" s="318"/>
      <c r="R18073" s="318"/>
      <c r="S18073" s="318"/>
      <c r="T18073" s="318"/>
      <c r="U18073" s="318"/>
      <c r="V18073" s="318"/>
      <c r="W18073" s="318"/>
      <c r="X18073" s="318"/>
      <c r="Y18073" s="318"/>
      <c r="Z18073" s="318"/>
      <c r="AA18073" s="318"/>
      <c r="AB18073" s="318"/>
      <c r="AC18073" s="318"/>
      <c r="AD18073" s="318"/>
    </row>
    <row r="18074" spans="2:30" s="323" customFormat="1" ht="12" customHeight="1">
      <c r="B18074" s="324"/>
      <c r="C18074" s="325"/>
      <c r="D18074" s="326"/>
      <c r="E18074" s="326"/>
      <c r="F18074" s="326"/>
      <c r="G18074" s="326"/>
      <c r="H18074" s="326"/>
      <c r="P18074" s="318"/>
      <c r="Q18074" s="318"/>
      <c r="R18074" s="318"/>
      <c r="S18074" s="318"/>
      <c r="T18074" s="318"/>
      <c r="U18074" s="318"/>
      <c r="V18074" s="318"/>
      <c r="W18074" s="318"/>
      <c r="X18074" s="318"/>
      <c r="Y18074" s="318"/>
      <c r="Z18074" s="318"/>
      <c r="AA18074" s="318"/>
      <c r="AB18074" s="318"/>
      <c r="AC18074" s="318"/>
      <c r="AD18074" s="318"/>
    </row>
    <row r="18075" spans="2:30" s="323" customFormat="1" ht="12" customHeight="1">
      <c r="B18075" s="324"/>
      <c r="C18075" s="325"/>
      <c r="D18075" s="326"/>
      <c r="E18075" s="326"/>
      <c r="F18075" s="326"/>
      <c r="G18075" s="326"/>
      <c r="H18075" s="326"/>
      <c r="P18075" s="318"/>
      <c r="Q18075" s="318"/>
      <c r="R18075" s="318"/>
      <c r="S18075" s="318"/>
      <c r="T18075" s="318"/>
      <c r="U18075" s="318"/>
      <c r="V18075" s="318"/>
      <c r="W18075" s="318"/>
      <c r="X18075" s="318"/>
      <c r="Y18075" s="318"/>
      <c r="Z18075" s="318"/>
      <c r="AA18075" s="318"/>
      <c r="AB18075" s="318"/>
      <c r="AC18075" s="318"/>
      <c r="AD18075" s="318"/>
    </row>
    <row r="18076" spans="2:30" s="323" customFormat="1" ht="12" customHeight="1">
      <c r="B18076" s="324"/>
      <c r="C18076" s="325"/>
      <c r="D18076" s="326"/>
      <c r="E18076" s="326"/>
      <c r="F18076" s="326"/>
      <c r="G18076" s="326"/>
      <c r="H18076" s="326"/>
      <c r="P18076" s="318"/>
      <c r="Q18076" s="318"/>
      <c r="R18076" s="318"/>
      <c r="S18076" s="318"/>
      <c r="T18076" s="318"/>
      <c r="U18076" s="318"/>
      <c r="V18076" s="318"/>
      <c r="W18076" s="318"/>
      <c r="X18076" s="318"/>
      <c r="Y18076" s="318"/>
      <c r="Z18076" s="318"/>
      <c r="AA18076" s="318"/>
      <c r="AB18076" s="318"/>
      <c r="AC18076" s="318"/>
      <c r="AD18076" s="318"/>
    </row>
    <row r="18077" spans="2:30" s="323" customFormat="1" ht="12" customHeight="1">
      <c r="B18077" s="324"/>
      <c r="C18077" s="325"/>
      <c r="D18077" s="326"/>
      <c r="E18077" s="326"/>
      <c r="F18077" s="326"/>
      <c r="G18077" s="326"/>
      <c r="H18077" s="326"/>
      <c r="P18077" s="318"/>
      <c r="Q18077" s="318"/>
      <c r="R18077" s="318"/>
      <c r="S18077" s="318"/>
      <c r="T18077" s="318"/>
      <c r="U18077" s="318"/>
      <c r="V18077" s="318"/>
      <c r="W18077" s="318"/>
      <c r="X18077" s="318"/>
      <c r="Y18077" s="318"/>
      <c r="Z18077" s="318"/>
      <c r="AA18077" s="318"/>
      <c r="AB18077" s="318"/>
      <c r="AC18077" s="318"/>
      <c r="AD18077" s="318"/>
    </row>
    <row r="18078" spans="2:30" s="323" customFormat="1" ht="12" customHeight="1">
      <c r="B18078" s="324"/>
      <c r="C18078" s="325"/>
      <c r="D18078" s="326"/>
      <c r="E18078" s="326"/>
      <c r="F18078" s="326"/>
      <c r="G18078" s="326"/>
      <c r="H18078" s="326"/>
      <c r="P18078" s="318"/>
      <c r="Q18078" s="318"/>
      <c r="R18078" s="318"/>
      <c r="S18078" s="318"/>
      <c r="T18078" s="318"/>
      <c r="U18078" s="318"/>
      <c r="V18078" s="318"/>
      <c r="W18078" s="318"/>
      <c r="X18078" s="318"/>
      <c r="Y18078" s="318"/>
      <c r="Z18078" s="318"/>
      <c r="AA18078" s="318"/>
      <c r="AB18078" s="318"/>
      <c r="AC18078" s="318"/>
      <c r="AD18078" s="318"/>
    </row>
    <row r="18079" spans="2:30" s="323" customFormat="1" ht="12" customHeight="1">
      <c r="B18079" s="324"/>
      <c r="C18079" s="325"/>
      <c r="D18079" s="326"/>
      <c r="E18079" s="326"/>
      <c r="F18079" s="326"/>
      <c r="G18079" s="326"/>
      <c r="H18079" s="326"/>
      <c r="P18079" s="318"/>
      <c r="Q18079" s="318"/>
      <c r="R18079" s="318"/>
      <c r="S18079" s="318"/>
      <c r="T18079" s="318"/>
      <c r="U18079" s="318"/>
      <c r="V18079" s="318"/>
      <c r="W18079" s="318"/>
      <c r="X18079" s="318"/>
      <c r="Y18079" s="318"/>
      <c r="Z18079" s="318"/>
      <c r="AA18079" s="318"/>
      <c r="AB18079" s="318"/>
      <c r="AC18079" s="318"/>
      <c r="AD18079" s="318"/>
    </row>
    <row r="18080" spans="2:30" s="323" customFormat="1" ht="12" customHeight="1">
      <c r="B18080" s="324"/>
      <c r="C18080" s="325"/>
      <c r="D18080" s="326"/>
      <c r="E18080" s="326"/>
      <c r="F18080" s="326"/>
      <c r="G18080" s="326"/>
      <c r="H18080" s="326"/>
      <c r="P18080" s="318"/>
      <c r="Q18080" s="318"/>
      <c r="R18080" s="318"/>
      <c r="S18080" s="318"/>
      <c r="T18080" s="318"/>
      <c r="U18080" s="318"/>
      <c r="V18080" s="318"/>
      <c r="W18080" s="318"/>
      <c r="X18080" s="318"/>
      <c r="Y18080" s="318"/>
      <c r="Z18080" s="318"/>
      <c r="AA18080" s="318"/>
      <c r="AB18080" s="318"/>
      <c r="AC18080" s="318"/>
      <c r="AD18080" s="318"/>
    </row>
    <row r="18081" spans="2:30" s="323" customFormat="1" ht="12" customHeight="1">
      <c r="B18081" s="324"/>
      <c r="C18081" s="325"/>
      <c r="D18081" s="326"/>
      <c r="E18081" s="326"/>
      <c r="F18081" s="326"/>
      <c r="G18081" s="326"/>
      <c r="H18081" s="326"/>
      <c r="P18081" s="318"/>
      <c r="Q18081" s="318"/>
      <c r="R18081" s="318"/>
      <c r="S18081" s="318"/>
      <c r="T18081" s="318"/>
      <c r="U18081" s="318"/>
      <c r="V18081" s="318"/>
      <c r="W18081" s="318"/>
      <c r="X18081" s="318"/>
      <c r="Y18081" s="318"/>
      <c r="Z18081" s="318"/>
      <c r="AA18081" s="318"/>
      <c r="AB18081" s="318"/>
      <c r="AC18081" s="318"/>
      <c r="AD18081" s="318"/>
    </row>
    <row r="18082" spans="2:30" s="323" customFormat="1" ht="12" customHeight="1">
      <c r="B18082" s="324"/>
      <c r="C18082" s="325"/>
      <c r="D18082" s="326"/>
      <c r="E18082" s="326"/>
      <c r="F18082" s="326"/>
      <c r="G18082" s="326"/>
      <c r="H18082" s="326"/>
      <c r="P18082" s="318"/>
      <c r="Q18082" s="318"/>
      <c r="R18082" s="318"/>
      <c r="S18082" s="318"/>
      <c r="T18082" s="318"/>
      <c r="U18082" s="318"/>
      <c r="V18082" s="318"/>
      <c r="W18082" s="318"/>
      <c r="X18082" s="318"/>
      <c r="Y18082" s="318"/>
      <c r="Z18082" s="318"/>
      <c r="AA18082" s="318"/>
      <c r="AB18082" s="318"/>
      <c r="AC18082" s="318"/>
      <c r="AD18082" s="318"/>
    </row>
    <row r="18083" spans="2:30" s="323" customFormat="1" ht="12" customHeight="1">
      <c r="B18083" s="324"/>
      <c r="C18083" s="325"/>
      <c r="D18083" s="326"/>
      <c r="E18083" s="326"/>
      <c r="F18083" s="326"/>
      <c r="G18083" s="326"/>
      <c r="H18083" s="326"/>
      <c r="P18083" s="318"/>
      <c r="Q18083" s="318"/>
      <c r="R18083" s="318"/>
      <c r="S18083" s="318"/>
      <c r="T18083" s="318"/>
      <c r="U18083" s="318"/>
      <c r="V18083" s="318"/>
      <c r="W18083" s="318"/>
      <c r="X18083" s="318"/>
      <c r="Y18083" s="318"/>
      <c r="Z18083" s="318"/>
      <c r="AA18083" s="318"/>
      <c r="AB18083" s="318"/>
      <c r="AC18083" s="318"/>
      <c r="AD18083" s="318"/>
    </row>
    <row r="18084" spans="2:30" s="323" customFormat="1" ht="12" customHeight="1">
      <c r="B18084" s="324"/>
      <c r="C18084" s="325"/>
      <c r="D18084" s="326"/>
      <c r="E18084" s="326"/>
      <c r="F18084" s="326"/>
      <c r="G18084" s="326"/>
      <c r="H18084" s="326"/>
      <c r="P18084" s="318"/>
      <c r="Q18084" s="318"/>
      <c r="R18084" s="318"/>
      <c r="S18084" s="318"/>
      <c r="T18084" s="318"/>
      <c r="U18084" s="318"/>
      <c r="V18084" s="318"/>
      <c r="W18084" s="318"/>
      <c r="X18084" s="318"/>
      <c r="Y18084" s="318"/>
      <c r="Z18084" s="318"/>
      <c r="AA18084" s="318"/>
      <c r="AB18084" s="318"/>
      <c r="AC18084" s="318"/>
      <c r="AD18084" s="318"/>
    </row>
    <row r="18085" spans="2:30" s="323" customFormat="1" ht="12" customHeight="1">
      <c r="B18085" s="324"/>
      <c r="C18085" s="325"/>
      <c r="D18085" s="326"/>
      <c r="E18085" s="326"/>
      <c r="F18085" s="326"/>
      <c r="G18085" s="326"/>
      <c r="H18085" s="326"/>
      <c r="P18085" s="318"/>
      <c r="Q18085" s="318"/>
      <c r="R18085" s="318"/>
      <c r="S18085" s="318"/>
      <c r="T18085" s="318"/>
      <c r="U18085" s="318"/>
      <c r="V18085" s="318"/>
      <c r="W18085" s="318"/>
      <c r="X18085" s="318"/>
      <c r="Y18085" s="318"/>
      <c r="Z18085" s="318"/>
      <c r="AA18085" s="318"/>
      <c r="AB18085" s="318"/>
      <c r="AC18085" s="318"/>
      <c r="AD18085" s="318"/>
    </row>
    <row r="18086" spans="2:30" s="323" customFormat="1" ht="12" customHeight="1">
      <c r="B18086" s="324"/>
      <c r="C18086" s="325"/>
      <c r="D18086" s="326"/>
      <c r="E18086" s="326"/>
      <c r="F18086" s="326"/>
      <c r="G18086" s="326"/>
      <c r="H18086" s="326"/>
      <c r="P18086" s="318"/>
      <c r="Q18086" s="318"/>
      <c r="R18086" s="318"/>
      <c r="S18086" s="318"/>
      <c r="T18086" s="318"/>
      <c r="U18086" s="318"/>
      <c r="V18086" s="318"/>
      <c r="W18086" s="318"/>
      <c r="X18086" s="318"/>
      <c r="Y18086" s="318"/>
      <c r="Z18086" s="318"/>
      <c r="AA18086" s="318"/>
      <c r="AB18086" s="318"/>
      <c r="AC18086" s="318"/>
      <c r="AD18086" s="318"/>
    </row>
    <row r="18087" spans="2:30" s="323" customFormat="1" ht="12" customHeight="1">
      <c r="B18087" s="324"/>
      <c r="C18087" s="325"/>
      <c r="D18087" s="326"/>
      <c r="E18087" s="326"/>
      <c r="F18087" s="326"/>
      <c r="G18087" s="326"/>
      <c r="H18087" s="326"/>
      <c r="P18087" s="318"/>
      <c r="Q18087" s="318"/>
      <c r="R18087" s="318"/>
      <c r="S18087" s="318"/>
      <c r="T18087" s="318"/>
      <c r="U18087" s="318"/>
      <c r="V18087" s="318"/>
      <c r="W18087" s="318"/>
      <c r="X18087" s="318"/>
      <c r="Y18087" s="318"/>
      <c r="Z18087" s="318"/>
      <c r="AA18087" s="318"/>
      <c r="AB18087" s="318"/>
      <c r="AC18087" s="318"/>
      <c r="AD18087" s="318"/>
    </row>
    <row r="18088" spans="2:30" s="323" customFormat="1" ht="12" customHeight="1">
      <c r="B18088" s="324"/>
      <c r="C18088" s="325"/>
      <c r="D18088" s="326"/>
      <c r="E18088" s="326"/>
      <c r="F18088" s="326"/>
      <c r="G18088" s="326"/>
      <c r="H18088" s="326"/>
      <c r="P18088" s="318"/>
      <c r="Q18088" s="318"/>
      <c r="R18088" s="318"/>
      <c r="S18088" s="318"/>
      <c r="T18088" s="318"/>
      <c r="U18088" s="318"/>
      <c r="V18088" s="318"/>
      <c r="W18088" s="318"/>
      <c r="X18088" s="318"/>
      <c r="Y18088" s="318"/>
      <c r="Z18088" s="318"/>
      <c r="AA18088" s="318"/>
      <c r="AB18088" s="318"/>
      <c r="AC18088" s="318"/>
      <c r="AD18088" s="318"/>
    </row>
    <row r="18089" spans="2:30" s="323" customFormat="1" ht="12" customHeight="1">
      <c r="B18089" s="324"/>
      <c r="C18089" s="325"/>
      <c r="D18089" s="326"/>
      <c r="E18089" s="326"/>
      <c r="F18089" s="326"/>
      <c r="G18089" s="326"/>
      <c r="H18089" s="326"/>
      <c r="P18089" s="318"/>
      <c r="Q18089" s="318"/>
      <c r="R18089" s="318"/>
      <c r="S18089" s="318"/>
      <c r="T18089" s="318"/>
      <c r="U18089" s="318"/>
      <c r="V18089" s="318"/>
      <c r="W18089" s="318"/>
      <c r="X18089" s="318"/>
      <c r="Y18089" s="318"/>
      <c r="Z18089" s="318"/>
      <c r="AA18089" s="318"/>
      <c r="AB18089" s="318"/>
      <c r="AC18089" s="318"/>
      <c r="AD18089" s="318"/>
    </row>
    <row r="18090" spans="2:30" s="323" customFormat="1" ht="12" customHeight="1">
      <c r="B18090" s="324"/>
      <c r="C18090" s="325"/>
      <c r="D18090" s="326"/>
      <c r="E18090" s="326"/>
      <c r="F18090" s="326"/>
      <c r="G18090" s="326"/>
      <c r="H18090" s="326"/>
      <c r="P18090" s="318"/>
      <c r="Q18090" s="318"/>
      <c r="R18090" s="318"/>
      <c r="S18090" s="318"/>
      <c r="T18090" s="318"/>
      <c r="U18090" s="318"/>
      <c r="V18090" s="318"/>
      <c r="W18090" s="318"/>
      <c r="X18090" s="318"/>
      <c r="Y18090" s="318"/>
      <c r="Z18090" s="318"/>
      <c r="AA18090" s="318"/>
      <c r="AB18090" s="318"/>
      <c r="AC18090" s="318"/>
      <c r="AD18090" s="318"/>
    </row>
    <row r="18091" spans="2:30" s="323" customFormat="1" ht="12" customHeight="1">
      <c r="B18091" s="324"/>
      <c r="C18091" s="325"/>
      <c r="D18091" s="326"/>
      <c r="E18091" s="326"/>
      <c r="F18091" s="326"/>
      <c r="G18091" s="326"/>
      <c r="H18091" s="326"/>
      <c r="P18091" s="318"/>
      <c r="Q18091" s="318"/>
      <c r="R18091" s="318"/>
      <c r="S18091" s="318"/>
      <c r="T18091" s="318"/>
      <c r="U18091" s="318"/>
      <c r="V18091" s="318"/>
      <c r="W18091" s="318"/>
      <c r="X18091" s="318"/>
      <c r="Y18091" s="318"/>
      <c r="Z18091" s="318"/>
      <c r="AA18091" s="318"/>
      <c r="AB18091" s="318"/>
      <c r="AC18091" s="318"/>
      <c r="AD18091" s="318"/>
    </row>
    <row r="18092" spans="2:30" s="323" customFormat="1" ht="12" customHeight="1">
      <c r="B18092" s="324"/>
      <c r="C18092" s="325"/>
      <c r="D18092" s="326"/>
      <c r="E18092" s="326"/>
      <c r="F18092" s="326"/>
      <c r="G18092" s="326"/>
      <c r="H18092" s="326"/>
      <c r="P18092" s="318"/>
      <c r="Q18092" s="318"/>
      <c r="R18092" s="318"/>
      <c r="S18092" s="318"/>
      <c r="T18092" s="318"/>
      <c r="U18092" s="318"/>
      <c r="V18092" s="318"/>
      <c r="W18092" s="318"/>
      <c r="X18092" s="318"/>
      <c r="Y18092" s="318"/>
      <c r="Z18092" s="318"/>
      <c r="AA18092" s="318"/>
      <c r="AB18092" s="318"/>
      <c r="AC18092" s="318"/>
      <c r="AD18092" s="318"/>
    </row>
    <row r="18093" spans="2:30" s="323" customFormat="1" ht="12" customHeight="1">
      <c r="B18093" s="324"/>
      <c r="C18093" s="325"/>
      <c r="D18093" s="326"/>
      <c r="E18093" s="326"/>
      <c r="F18093" s="326"/>
      <c r="G18093" s="326"/>
      <c r="H18093" s="326"/>
      <c r="P18093" s="318"/>
      <c r="Q18093" s="318"/>
      <c r="R18093" s="318"/>
      <c r="S18093" s="318"/>
      <c r="T18093" s="318"/>
      <c r="U18093" s="318"/>
      <c r="V18093" s="318"/>
      <c r="W18093" s="318"/>
      <c r="X18093" s="318"/>
      <c r="Y18093" s="318"/>
      <c r="Z18093" s="318"/>
      <c r="AA18093" s="318"/>
      <c r="AB18093" s="318"/>
      <c r="AC18093" s="318"/>
      <c r="AD18093" s="318"/>
    </row>
    <row r="18094" spans="2:30" s="323" customFormat="1" ht="12" customHeight="1">
      <c r="B18094" s="324"/>
      <c r="C18094" s="325"/>
      <c r="D18094" s="326"/>
      <c r="E18094" s="326"/>
      <c r="F18094" s="326"/>
      <c r="G18094" s="326"/>
      <c r="H18094" s="326"/>
      <c r="P18094" s="318"/>
      <c r="Q18094" s="318"/>
      <c r="R18094" s="318"/>
      <c r="S18094" s="318"/>
      <c r="T18094" s="318"/>
      <c r="U18094" s="318"/>
      <c r="V18094" s="318"/>
      <c r="W18094" s="318"/>
      <c r="X18094" s="318"/>
      <c r="Y18094" s="318"/>
      <c r="Z18094" s="318"/>
      <c r="AA18094" s="318"/>
      <c r="AB18094" s="318"/>
      <c r="AC18094" s="318"/>
      <c r="AD18094" s="318"/>
    </row>
    <row r="18095" spans="2:30" s="323" customFormat="1" ht="12" customHeight="1">
      <c r="B18095" s="324"/>
      <c r="C18095" s="325"/>
      <c r="D18095" s="326"/>
      <c r="E18095" s="326"/>
      <c r="F18095" s="326"/>
      <c r="G18095" s="326"/>
      <c r="H18095" s="326"/>
      <c r="P18095" s="318"/>
      <c r="Q18095" s="318"/>
      <c r="R18095" s="318"/>
      <c r="S18095" s="318"/>
      <c r="T18095" s="318"/>
      <c r="U18095" s="318"/>
      <c r="V18095" s="318"/>
      <c r="W18095" s="318"/>
      <c r="X18095" s="318"/>
      <c r="Y18095" s="318"/>
      <c r="Z18095" s="318"/>
      <c r="AA18095" s="318"/>
      <c r="AB18095" s="318"/>
      <c r="AC18095" s="318"/>
      <c r="AD18095" s="318"/>
    </row>
    <row r="18096" spans="2:30" s="323" customFormat="1" ht="12" customHeight="1">
      <c r="B18096" s="324"/>
      <c r="C18096" s="325"/>
      <c r="D18096" s="326"/>
      <c r="E18096" s="326"/>
      <c r="F18096" s="326"/>
      <c r="G18096" s="326"/>
      <c r="H18096" s="326"/>
      <c r="P18096" s="318"/>
      <c r="Q18096" s="318"/>
      <c r="R18096" s="318"/>
      <c r="S18096" s="318"/>
      <c r="T18096" s="318"/>
      <c r="U18096" s="318"/>
      <c r="V18096" s="318"/>
      <c r="W18096" s="318"/>
      <c r="X18096" s="318"/>
      <c r="Y18096" s="318"/>
      <c r="Z18096" s="318"/>
      <c r="AA18096" s="318"/>
      <c r="AB18096" s="318"/>
      <c r="AC18096" s="318"/>
      <c r="AD18096" s="318"/>
    </row>
    <row r="18097" spans="2:30" s="323" customFormat="1" ht="12" customHeight="1">
      <c r="B18097" s="324"/>
      <c r="C18097" s="325"/>
      <c r="D18097" s="326"/>
      <c r="E18097" s="326"/>
      <c r="F18097" s="326"/>
      <c r="G18097" s="326"/>
      <c r="H18097" s="326"/>
      <c r="P18097" s="318"/>
      <c r="Q18097" s="318"/>
      <c r="R18097" s="318"/>
      <c r="S18097" s="318"/>
      <c r="T18097" s="318"/>
      <c r="U18097" s="318"/>
      <c r="V18097" s="318"/>
      <c r="W18097" s="318"/>
      <c r="X18097" s="318"/>
      <c r="Y18097" s="318"/>
      <c r="Z18097" s="318"/>
      <c r="AA18097" s="318"/>
      <c r="AB18097" s="318"/>
      <c r="AC18097" s="318"/>
      <c r="AD18097" s="318"/>
    </row>
    <row r="18098" spans="2:30" s="323" customFormat="1" ht="12" customHeight="1">
      <c r="B18098" s="324"/>
      <c r="C18098" s="325"/>
      <c r="D18098" s="326"/>
      <c r="E18098" s="326"/>
      <c r="F18098" s="326"/>
      <c r="G18098" s="326"/>
      <c r="H18098" s="326"/>
      <c r="P18098" s="318"/>
      <c r="Q18098" s="318"/>
      <c r="R18098" s="318"/>
      <c r="S18098" s="318"/>
      <c r="T18098" s="318"/>
      <c r="U18098" s="318"/>
      <c r="V18098" s="318"/>
      <c r="W18098" s="318"/>
      <c r="X18098" s="318"/>
      <c r="Y18098" s="318"/>
      <c r="Z18098" s="318"/>
      <c r="AA18098" s="318"/>
      <c r="AB18098" s="318"/>
      <c r="AC18098" s="318"/>
      <c r="AD18098" s="318"/>
    </row>
    <row r="18099" spans="2:30" s="323" customFormat="1" ht="12" customHeight="1">
      <c r="B18099" s="324"/>
      <c r="C18099" s="325"/>
      <c r="D18099" s="326"/>
      <c r="E18099" s="326"/>
      <c r="F18099" s="326"/>
      <c r="G18099" s="326"/>
      <c r="H18099" s="326"/>
      <c r="P18099" s="318"/>
      <c r="Q18099" s="318"/>
      <c r="R18099" s="318"/>
      <c r="S18099" s="318"/>
      <c r="T18099" s="318"/>
      <c r="U18099" s="318"/>
      <c r="V18099" s="318"/>
      <c r="W18099" s="318"/>
      <c r="X18099" s="318"/>
      <c r="Y18099" s="318"/>
      <c r="Z18099" s="318"/>
      <c r="AA18099" s="318"/>
      <c r="AB18099" s="318"/>
      <c r="AC18099" s="318"/>
      <c r="AD18099" s="318"/>
    </row>
    <row r="18100" spans="2:30" s="323" customFormat="1" ht="12" customHeight="1">
      <c r="B18100" s="324"/>
      <c r="C18100" s="325"/>
      <c r="D18100" s="326"/>
      <c r="E18100" s="326"/>
      <c r="F18100" s="326"/>
      <c r="G18100" s="326"/>
      <c r="H18100" s="326"/>
      <c r="P18100" s="318"/>
      <c r="Q18100" s="318"/>
      <c r="R18100" s="318"/>
      <c r="S18100" s="318"/>
      <c r="T18100" s="318"/>
      <c r="U18100" s="318"/>
      <c r="V18100" s="318"/>
      <c r="W18100" s="318"/>
      <c r="X18100" s="318"/>
      <c r="Y18100" s="318"/>
      <c r="Z18100" s="318"/>
      <c r="AA18100" s="318"/>
      <c r="AB18100" s="318"/>
      <c r="AC18100" s="318"/>
      <c r="AD18100" s="318"/>
    </row>
    <row r="18101" spans="2:30" s="323" customFormat="1" ht="12" customHeight="1">
      <c r="B18101" s="324"/>
      <c r="C18101" s="325"/>
      <c r="D18101" s="326"/>
      <c r="E18101" s="326"/>
      <c r="F18101" s="326"/>
      <c r="G18101" s="326"/>
      <c r="H18101" s="326"/>
      <c r="P18101" s="318"/>
      <c r="Q18101" s="318"/>
      <c r="R18101" s="318"/>
      <c r="S18101" s="318"/>
      <c r="T18101" s="318"/>
      <c r="U18101" s="318"/>
      <c r="V18101" s="318"/>
      <c r="W18101" s="318"/>
      <c r="X18101" s="318"/>
      <c r="Y18101" s="318"/>
      <c r="Z18101" s="318"/>
      <c r="AA18101" s="318"/>
      <c r="AB18101" s="318"/>
      <c r="AC18101" s="318"/>
      <c r="AD18101" s="318"/>
    </row>
    <row r="18102" spans="2:30" s="323" customFormat="1" ht="12" customHeight="1">
      <c r="B18102" s="324"/>
      <c r="C18102" s="325"/>
      <c r="D18102" s="326"/>
      <c r="E18102" s="326"/>
      <c r="F18102" s="326"/>
      <c r="G18102" s="326"/>
      <c r="H18102" s="326"/>
      <c r="P18102" s="318"/>
      <c r="Q18102" s="318"/>
      <c r="R18102" s="318"/>
      <c r="S18102" s="318"/>
      <c r="T18102" s="318"/>
      <c r="U18102" s="318"/>
      <c r="V18102" s="318"/>
      <c r="W18102" s="318"/>
      <c r="X18102" s="318"/>
      <c r="Y18102" s="318"/>
      <c r="Z18102" s="318"/>
      <c r="AA18102" s="318"/>
      <c r="AB18102" s="318"/>
      <c r="AC18102" s="318"/>
      <c r="AD18102" s="318"/>
    </row>
    <row r="18103" spans="2:30" s="323" customFormat="1" ht="12" customHeight="1">
      <c r="B18103" s="324"/>
      <c r="C18103" s="325"/>
      <c r="D18103" s="326"/>
      <c r="E18103" s="326"/>
      <c r="F18103" s="326"/>
      <c r="G18103" s="326"/>
      <c r="H18103" s="326"/>
      <c r="P18103" s="318"/>
      <c r="Q18103" s="318"/>
      <c r="R18103" s="318"/>
      <c r="S18103" s="318"/>
      <c r="T18103" s="318"/>
      <c r="U18103" s="318"/>
      <c r="V18103" s="318"/>
      <c r="W18103" s="318"/>
      <c r="X18103" s="318"/>
      <c r="Y18103" s="318"/>
      <c r="Z18103" s="318"/>
      <c r="AA18103" s="318"/>
      <c r="AB18103" s="318"/>
      <c r="AC18103" s="318"/>
      <c r="AD18103" s="318"/>
    </row>
    <row r="18104" spans="2:30" s="323" customFormat="1" ht="12" customHeight="1">
      <c r="B18104" s="324"/>
      <c r="C18104" s="325"/>
      <c r="D18104" s="326"/>
      <c r="E18104" s="326"/>
      <c r="F18104" s="326"/>
      <c r="G18104" s="326"/>
      <c r="H18104" s="326"/>
      <c r="P18104" s="318"/>
      <c r="Q18104" s="318"/>
      <c r="R18104" s="318"/>
      <c r="S18104" s="318"/>
      <c r="T18104" s="318"/>
      <c r="U18104" s="318"/>
      <c r="V18104" s="318"/>
      <c r="W18104" s="318"/>
      <c r="X18104" s="318"/>
      <c r="Y18104" s="318"/>
      <c r="Z18104" s="318"/>
      <c r="AA18104" s="318"/>
      <c r="AB18104" s="318"/>
      <c r="AC18104" s="318"/>
      <c r="AD18104" s="318"/>
    </row>
    <row r="18105" spans="2:30" s="323" customFormat="1" ht="12" customHeight="1">
      <c r="B18105" s="324"/>
      <c r="C18105" s="325"/>
      <c r="D18105" s="326"/>
      <c r="E18105" s="326"/>
      <c r="F18105" s="326"/>
      <c r="G18105" s="326"/>
      <c r="H18105" s="326"/>
      <c r="P18105" s="318"/>
      <c r="Q18105" s="318"/>
      <c r="R18105" s="318"/>
      <c r="S18105" s="318"/>
      <c r="T18105" s="318"/>
      <c r="U18105" s="318"/>
      <c r="V18105" s="318"/>
      <c r="W18105" s="318"/>
      <c r="X18105" s="318"/>
      <c r="Y18105" s="318"/>
      <c r="Z18105" s="318"/>
      <c r="AA18105" s="318"/>
      <c r="AB18105" s="318"/>
      <c r="AC18105" s="318"/>
      <c r="AD18105" s="318"/>
    </row>
    <row r="18106" spans="2:30" s="323" customFormat="1" ht="12" customHeight="1">
      <c r="B18106" s="324"/>
      <c r="C18106" s="325"/>
      <c r="D18106" s="326"/>
      <c r="E18106" s="326"/>
      <c r="F18106" s="326"/>
      <c r="G18106" s="326"/>
      <c r="H18106" s="326"/>
      <c r="P18106" s="318"/>
      <c r="Q18106" s="318"/>
      <c r="R18106" s="318"/>
      <c r="S18106" s="318"/>
      <c r="T18106" s="318"/>
      <c r="U18106" s="318"/>
      <c r="V18106" s="318"/>
      <c r="W18106" s="318"/>
      <c r="X18106" s="318"/>
      <c r="Y18106" s="318"/>
      <c r="Z18106" s="318"/>
      <c r="AA18106" s="318"/>
      <c r="AB18106" s="318"/>
      <c r="AC18106" s="318"/>
      <c r="AD18106" s="318"/>
    </row>
    <row r="18107" spans="2:30" s="323" customFormat="1" ht="12" customHeight="1">
      <c r="B18107" s="324"/>
      <c r="C18107" s="325"/>
      <c r="D18107" s="326"/>
      <c r="E18107" s="326"/>
      <c r="F18107" s="326"/>
      <c r="G18107" s="326"/>
      <c r="H18107" s="326"/>
      <c r="P18107" s="318"/>
      <c r="Q18107" s="318"/>
      <c r="R18107" s="318"/>
      <c r="S18107" s="318"/>
      <c r="T18107" s="318"/>
      <c r="U18107" s="318"/>
      <c r="V18107" s="318"/>
      <c r="W18107" s="318"/>
      <c r="X18107" s="318"/>
      <c r="Y18107" s="318"/>
      <c r="Z18107" s="318"/>
      <c r="AA18107" s="318"/>
      <c r="AB18107" s="318"/>
      <c r="AC18107" s="318"/>
      <c r="AD18107" s="318"/>
    </row>
    <row r="18108" spans="2:30" s="323" customFormat="1" ht="12" customHeight="1">
      <c r="B18108" s="324"/>
      <c r="C18108" s="325"/>
      <c r="D18108" s="326"/>
      <c r="E18108" s="326"/>
      <c r="F18108" s="326"/>
      <c r="G18108" s="326"/>
      <c r="H18108" s="326"/>
      <c r="P18108" s="318"/>
      <c r="Q18108" s="318"/>
      <c r="R18108" s="318"/>
      <c r="S18108" s="318"/>
      <c r="T18108" s="318"/>
      <c r="U18108" s="318"/>
      <c r="V18108" s="318"/>
      <c r="W18108" s="318"/>
      <c r="X18108" s="318"/>
      <c r="Y18108" s="318"/>
      <c r="Z18108" s="318"/>
      <c r="AA18108" s="318"/>
      <c r="AB18108" s="318"/>
      <c r="AC18108" s="318"/>
      <c r="AD18108" s="318"/>
    </row>
    <row r="18109" spans="2:30" s="323" customFormat="1" ht="12" customHeight="1">
      <c r="B18109" s="324"/>
      <c r="C18109" s="325"/>
      <c r="D18109" s="326"/>
      <c r="E18109" s="326"/>
      <c r="F18109" s="326"/>
      <c r="G18109" s="326"/>
      <c r="H18109" s="326"/>
      <c r="P18109" s="318"/>
      <c r="Q18109" s="318"/>
      <c r="R18109" s="318"/>
      <c r="S18109" s="318"/>
      <c r="T18109" s="318"/>
      <c r="U18109" s="318"/>
      <c r="V18109" s="318"/>
      <c r="W18109" s="318"/>
      <c r="X18109" s="318"/>
      <c r="Y18109" s="318"/>
      <c r="Z18109" s="318"/>
      <c r="AA18109" s="318"/>
      <c r="AB18109" s="318"/>
      <c r="AC18109" s="318"/>
      <c r="AD18109" s="318"/>
    </row>
    <row r="18110" spans="2:30" s="323" customFormat="1" ht="12" customHeight="1">
      <c r="B18110" s="324"/>
      <c r="C18110" s="325"/>
      <c r="D18110" s="326"/>
      <c r="E18110" s="326"/>
      <c r="F18110" s="326"/>
      <c r="G18110" s="326"/>
      <c r="H18110" s="326"/>
      <c r="P18110" s="318"/>
      <c r="Q18110" s="318"/>
      <c r="R18110" s="318"/>
      <c r="S18110" s="318"/>
      <c r="T18110" s="318"/>
      <c r="U18110" s="318"/>
      <c r="V18110" s="318"/>
      <c r="W18110" s="318"/>
      <c r="X18110" s="318"/>
      <c r="Y18110" s="318"/>
      <c r="Z18110" s="318"/>
      <c r="AA18110" s="318"/>
      <c r="AB18110" s="318"/>
      <c r="AC18110" s="318"/>
      <c r="AD18110" s="318"/>
    </row>
    <row r="18111" spans="2:30" s="323" customFormat="1" ht="12" customHeight="1">
      <c r="B18111" s="324"/>
      <c r="C18111" s="325"/>
      <c r="D18111" s="326"/>
      <c r="E18111" s="326"/>
      <c r="F18111" s="326"/>
      <c r="G18111" s="326"/>
      <c r="H18111" s="326"/>
      <c r="P18111" s="318"/>
      <c r="Q18111" s="318"/>
      <c r="R18111" s="318"/>
      <c r="S18111" s="318"/>
      <c r="T18111" s="318"/>
      <c r="U18111" s="318"/>
      <c r="V18111" s="318"/>
      <c r="W18111" s="318"/>
      <c r="X18111" s="318"/>
      <c r="Y18111" s="318"/>
      <c r="Z18111" s="318"/>
      <c r="AA18111" s="318"/>
      <c r="AB18111" s="318"/>
      <c r="AC18111" s="318"/>
      <c r="AD18111" s="318"/>
    </row>
    <row r="18112" spans="2:30" s="323" customFormat="1" ht="12" customHeight="1">
      <c r="B18112" s="324"/>
      <c r="C18112" s="325"/>
      <c r="D18112" s="326"/>
      <c r="E18112" s="326"/>
      <c r="F18112" s="326"/>
      <c r="G18112" s="326"/>
      <c r="H18112" s="326"/>
      <c r="P18112" s="318"/>
      <c r="Q18112" s="318"/>
      <c r="R18112" s="318"/>
      <c r="S18112" s="318"/>
      <c r="T18112" s="318"/>
      <c r="U18112" s="318"/>
      <c r="V18112" s="318"/>
      <c r="W18112" s="318"/>
      <c r="X18112" s="318"/>
      <c r="Y18112" s="318"/>
      <c r="Z18112" s="318"/>
      <c r="AA18112" s="318"/>
      <c r="AB18112" s="318"/>
      <c r="AC18112" s="318"/>
      <c r="AD18112" s="318"/>
    </row>
    <row r="18113" spans="2:30" s="323" customFormat="1" ht="12" customHeight="1">
      <c r="B18113" s="324"/>
      <c r="C18113" s="325"/>
      <c r="D18113" s="326"/>
      <c r="E18113" s="326"/>
      <c r="F18113" s="326"/>
      <c r="G18113" s="326"/>
      <c r="H18113" s="326"/>
      <c r="P18113" s="318"/>
      <c r="Q18113" s="318"/>
      <c r="R18113" s="318"/>
      <c r="S18113" s="318"/>
      <c r="T18113" s="318"/>
      <c r="U18113" s="318"/>
      <c r="V18113" s="318"/>
      <c r="W18113" s="318"/>
      <c r="X18113" s="318"/>
      <c r="Y18113" s="318"/>
      <c r="Z18113" s="318"/>
      <c r="AA18113" s="318"/>
      <c r="AB18113" s="318"/>
      <c r="AC18113" s="318"/>
      <c r="AD18113" s="318"/>
    </row>
    <row r="18114" spans="2:30" s="323" customFormat="1" ht="12" customHeight="1">
      <c r="B18114" s="324"/>
      <c r="C18114" s="325"/>
      <c r="D18114" s="326"/>
      <c r="E18114" s="326"/>
      <c r="F18114" s="326"/>
      <c r="G18114" s="326"/>
      <c r="H18114" s="326"/>
      <c r="P18114" s="318"/>
      <c r="Q18114" s="318"/>
      <c r="R18114" s="318"/>
      <c r="S18114" s="318"/>
      <c r="T18114" s="318"/>
      <c r="U18114" s="318"/>
      <c r="V18114" s="318"/>
      <c r="W18114" s="318"/>
      <c r="X18114" s="318"/>
      <c r="Y18114" s="318"/>
      <c r="Z18114" s="318"/>
      <c r="AA18114" s="318"/>
      <c r="AB18114" s="318"/>
      <c r="AC18114" s="318"/>
      <c r="AD18114" s="318"/>
    </row>
    <row r="18115" spans="2:30" s="323" customFormat="1" ht="12" customHeight="1">
      <c r="B18115" s="324"/>
      <c r="C18115" s="325"/>
      <c r="D18115" s="326"/>
      <c r="E18115" s="326"/>
      <c r="F18115" s="326"/>
      <c r="G18115" s="326"/>
      <c r="H18115" s="326"/>
      <c r="P18115" s="318"/>
      <c r="Q18115" s="318"/>
      <c r="R18115" s="318"/>
      <c r="S18115" s="318"/>
      <c r="T18115" s="318"/>
      <c r="U18115" s="318"/>
      <c r="V18115" s="318"/>
      <c r="W18115" s="318"/>
      <c r="X18115" s="318"/>
      <c r="Y18115" s="318"/>
      <c r="Z18115" s="318"/>
      <c r="AA18115" s="318"/>
      <c r="AB18115" s="318"/>
      <c r="AC18115" s="318"/>
      <c r="AD18115" s="318"/>
    </row>
    <row r="18116" spans="2:30" s="323" customFormat="1" ht="12" customHeight="1">
      <c r="B18116" s="324"/>
      <c r="C18116" s="325"/>
      <c r="D18116" s="326"/>
      <c r="E18116" s="326"/>
      <c r="F18116" s="326"/>
      <c r="G18116" s="326"/>
      <c r="H18116" s="326"/>
      <c r="P18116" s="318"/>
      <c r="Q18116" s="318"/>
      <c r="R18116" s="318"/>
      <c r="S18116" s="318"/>
      <c r="T18116" s="318"/>
      <c r="U18116" s="318"/>
      <c r="V18116" s="318"/>
      <c r="W18116" s="318"/>
      <c r="X18116" s="318"/>
      <c r="Y18116" s="318"/>
      <c r="Z18116" s="318"/>
      <c r="AA18116" s="318"/>
      <c r="AB18116" s="318"/>
      <c r="AC18116" s="318"/>
      <c r="AD18116" s="318"/>
    </row>
    <row r="18117" spans="2:30" s="323" customFormat="1" ht="12" customHeight="1">
      <c r="B18117" s="324"/>
      <c r="C18117" s="325"/>
      <c r="D18117" s="326"/>
      <c r="E18117" s="326"/>
      <c r="F18117" s="326"/>
      <c r="G18117" s="326"/>
      <c r="H18117" s="326"/>
      <c r="P18117" s="318"/>
      <c r="Q18117" s="318"/>
      <c r="R18117" s="318"/>
      <c r="S18117" s="318"/>
      <c r="T18117" s="318"/>
      <c r="U18117" s="318"/>
      <c r="V18117" s="318"/>
      <c r="W18117" s="318"/>
      <c r="X18117" s="318"/>
      <c r="Y18117" s="318"/>
      <c r="Z18117" s="318"/>
      <c r="AA18117" s="318"/>
      <c r="AB18117" s="318"/>
      <c r="AC18117" s="318"/>
      <c r="AD18117" s="318"/>
    </row>
    <row r="18118" spans="2:30" s="323" customFormat="1" ht="12" customHeight="1">
      <c r="B18118" s="324"/>
      <c r="C18118" s="325"/>
      <c r="D18118" s="326"/>
      <c r="E18118" s="326"/>
      <c r="F18118" s="326"/>
      <c r="G18118" s="326"/>
      <c r="H18118" s="326"/>
      <c r="P18118" s="318"/>
      <c r="Q18118" s="318"/>
      <c r="R18118" s="318"/>
      <c r="S18118" s="318"/>
      <c r="T18118" s="318"/>
      <c r="U18118" s="318"/>
      <c r="V18118" s="318"/>
      <c r="W18118" s="318"/>
      <c r="X18118" s="318"/>
      <c r="Y18118" s="318"/>
      <c r="Z18118" s="318"/>
      <c r="AA18118" s="318"/>
      <c r="AB18118" s="318"/>
      <c r="AC18118" s="318"/>
      <c r="AD18118" s="318"/>
    </row>
    <row r="18119" spans="2:30" s="323" customFormat="1" ht="12" customHeight="1">
      <c r="B18119" s="324"/>
      <c r="C18119" s="325"/>
      <c r="D18119" s="326"/>
      <c r="E18119" s="326"/>
      <c r="F18119" s="326"/>
      <c r="G18119" s="326"/>
      <c r="H18119" s="326"/>
      <c r="P18119" s="318"/>
      <c r="Q18119" s="318"/>
      <c r="R18119" s="318"/>
      <c r="S18119" s="318"/>
      <c r="T18119" s="318"/>
      <c r="U18119" s="318"/>
      <c r="V18119" s="318"/>
      <c r="W18119" s="318"/>
      <c r="X18119" s="318"/>
      <c r="Y18119" s="318"/>
      <c r="Z18119" s="318"/>
      <c r="AA18119" s="318"/>
      <c r="AB18119" s="318"/>
      <c r="AC18119" s="318"/>
      <c r="AD18119" s="318"/>
    </row>
    <row r="18120" spans="2:30" s="323" customFormat="1" ht="12" customHeight="1">
      <c r="B18120" s="324"/>
      <c r="C18120" s="325"/>
      <c r="D18120" s="326"/>
      <c r="E18120" s="326"/>
      <c r="F18120" s="326"/>
      <c r="G18120" s="326"/>
      <c r="H18120" s="326"/>
      <c r="P18120" s="318"/>
      <c r="Q18120" s="318"/>
      <c r="R18120" s="318"/>
      <c r="S18120" s="318"/>
      <c r="T18120" s="318"/>
      <c r="U18120" s="318"/>
      <c r="V18120" s="318"/>
      <c r="W18120" s="318"/>
      <c r="X18120" s="318"/>
      <c r="Y18120" s="318"/>
      <c r="Z18120" s="318"/>
      <c r="AA18120" s="318"/>
      <c r="AB18120" s="318"/>
      <c r="AC18120" s="318"/>
      <c r="AD18120" s="318"/>
    </row>
    <row r="18121" spans="2:30" s="323" customFormat="1" ht="12" customHeight="1">
      <c r="B18121" s="324"/>
      <c r="C18121" s="325"/>
      <c r="D18121" s="326"/>
      <c r="E18121" s="326"/>
      <c r="F18121" s="326"/>
      <c r="G18121" s="326"/>
      <c r="H18121" s="326"/>
      <c r="P18121" s="318"/>
      <c r="Q18121" s="318"/>
      <c r="R18121" s="318"/>
      <c r="S18121" s="318"/>
      <c r="T18121" s="318"/>
      <c r="U18121" s="318"/>
      <c r="V18121" s="318"/>
      <c r="W18121" s="318"/>
      <c r="X18121" s="318"/>
      <c r="Y18121" s="318"/>
      <c r="Z18121" s="318"/>
      <c r="AA18121" s="318"/>
      <c r="AB18121" s="318"/>
      <c r="AC18121" s="318"/>
      <c r="AD18121" s="318"/>
    </row>
    <row r="18122" spans="2:30" s="323" customFormat="1" ht="12" customHeight="1">
      <c r="B18122" s="324"/>
      <c r="C18122" s="325"/>
      <c r="D18122" s="326"/>
      <c r="E18122" s="326"/>
      <c r="F18122" s="326"/>
      <c r="G18122" s="326"/>
      <c r="H18122" s="326"/>
      <c r="P18122" s="318"/>
      <c r="Q18122" s="318"/>
      <c r="R18122" s="318"/>
      <c r="S18122" s="318"/>
      <c r="T18122" s="318"/>
      <c r="U18122" s="318"/>
      <c r="V18122" s="318"/>
      <c r="W18122" s="318"/>
      <c r="X18122" s="318"/>
      <c r="Y18122" s="318"/>
      <c r="Z18122" s="318"/>
      <c r="AA18122" s="318"/>
      <c r="AB18122" s="318"/>
      <c r="AC18122" s="318"/>
      <c r="AD18122" s="318"/>
    </row>
    <row r="18123" spans="2:30" s="323" customFormat="1" ht="12" customHeight="1">
      <c r="B18123" s="324"/>
      <c r="C18123" s="325"/>
      <c r="D18123" s="326"/>
      <c r="E18123" s="326"/>
      <c r="F18123" s="326"/>
      <c r="G18123" s="326"/>
      <c r="H18123" s="326"/>
      <c r="P18123" s="318"/>
      <c r="Q18123" s="318"/>
      <c r="R18123" s="318"/>
      <c r="S18123" s="318"/>
      <c r="T18123" s="318"/>
      <c r="U18123" s="318"/>
      <c r="V18123" s="318"/>
      <c r="W18123" s="318"/>
      <c r="X18123" s="318"/>
      <c r="Y18123" s="318"/>
      <c r="Z18123" s="318"/>
      <c r="AA18123" s="318"/>
      <c r="AB18123" s="318"/>
      <c r="AC18123" s="318"/>
      <c r="AD18123" s="318"/>
    </row>
    <row r="18124" spans="2:30" s="323" customFormat="1" ht="12" customHeight="1">
      <c r="B18124" s="324"/>
      <c r="C18124" s="325"/>
      <c r="D18124" s="326"/>
      <c r="E18124" s="326"/>
      <c r="F18124" s="326"/>
      <c r="G18124" s="326"/>
      <c r="H18124" s="326"/>
      <c r="P18124" s="318"/>
      <c r="Q18124" s="318"/>
      <c r="R18124" s="318"/>
      <c r="S18124" s="318"/>
      <c r="T18124" s="318"/>
      <c r="U18124" s="318"/>
      <c r="V18124" s="318"/>
      <c r="W18124" s="318"/>
      <c r="X18124" s="318"/>
      <c r="Y18124" s="318"/>
      <c r="Z18124" s="318"/>
      <c r="AA18124" s="318"/>
      <c r="AB18124" s="318"/>
      <c r="AC18124" s="318"/>
      <c r="AD18124" s="318"/>
    </row>
    <row r="18125" spans="2:30" s="323" customFormat="1" ht="12" customHeight="1">
      <c r="B18125" s="324"/>
      <c r="C18125" s="325"/>
      <c r="D18125" s="326"/>
      <c r="E18125" s="326"/>
      <c r="F18125" s="326"/>
      <c r="G18125" s="326"/>
      <c r="H18125" s="326"/>
      <c r="P18125" s="318"/>
      <c r="Q18125" s="318"/>
      <c r="R18125" s="318"/>
      <c r="S18125" s="318"/>
      <c r="T18125" s="318"/>
      <c r="U18125" s="318"/>
      <c r="V18125" s="318"/>
      <c r="W18125" s="318"/>
      <c r="X18125" s="318"/>
      <c r="Y18125" s="318"/>
      <c r="Z18125" s="318"/>
      <c r="AA18125" s="318"/>
      <c r="AB18125" s="318"/>
      <c r="AC18125" s="318"/>
      <c r="AD18125" s="318"/>
    </row>
    <row r="18126" spans="2:30" s="323" customFormat="1" ht="12" customHeight="1">
      <c r="B18126" s="324"/>
      <c r="C18126" s="325"/>
      <c r="D18126" s="326"/>
      <c r="E18126" s="326"/>
      <c r="F18126" s="326"/>
      <c r="G18126" s="326"/>
      <c r="H18126" s="326"/>
      <c r="P18126" s="318"/>
      <c r="Q18126" s="318"/>
      <c r="R18126" s="318"/>
      <c r="S18126" s="318"/>
      <c r="T18126" s="318"/>
      <c r="U18126" s="318"/>
      <c r="V18126" s="318"/>
      <c r="W18126" s="318"/>
      <c r="X18126" s="318"/>
      <c r="Y18126" s="318"/>
      <c r="Z18126" s="318"/>
      <c r="AA18126" s="318"/>
      <c r="AB18126" s="318"/>
      <c r="AC18126" s="318"/>
      <c r="AD18126" s="318"/>
    </row>
    <row r="18127" spans="2:30" s="323" customFormat="1" ht="12" customHeight="1">
      <c r="B18127" s="324"/>
      <c r="C18127" s="325"/>
      <c r="D18127" s="326"/>
      <c r="E18127" s="326"/>
      <c r="F18127" s="326"/>
      <c r="G18127" s="326"/>
      <c r="H18127" s="326"/>
      <c r="P18127" s="318"/>
      <c r="Q18127" s="318"/>
      <c r="R18127" s="318"/>
      <c r="S18127" s="318"/>
      <c r="T18127" s="318"/>
      <c r="U18127" s="318"/>
      <c r="V18127" s="318"/>
      <c r="W18127" s="318"/>
      <c r="X18127" s="318"/>
      <c r="Y18127" s="318"/>
      <c r="Z18127" s="318"/>
      <c r="AA18127" s="318"/>
      <c r="AB18127" s="318"/>
      <c r="AC18127" s="318"/>
      <c r="AD18127" s="318"/>
    </row>
    <row r="18128" spans="2:30" s="323" customFormat="1" ht="12" customHeight="1">
      <c r="B18128" s="324"/>
      <c r="C18128" s="325"/>
      <c r="D18128" s="326"/>
      <c r="E18128" s="326"/>
      <c r="F18128" s="326"/>
      <c r="G18128" s="326"/>
      <c r="H18128" s="326"/>
      <c r="P18128" s="318"/>
      <c r="Q18128" s="318"/>
      <c r="R18128" s="318"/>
      <c r="S18128" s="318"/>
      <c r="T18128" s="318"/>
      <c r="U18128" s="318"/>
      <c r="V18128" s="318"/>
      <c r="W18128" s="318"/>
      <c r="X18128" s="318"/>
      <c r="Y18128" s="318"/>
      <c r="Z18128" s="318"/>
      <c r="AA18128" s="318"/>
      <c r="AB18128" s="318"/>
      <c r="AC18128" s="318"/>
      <c r="AD18128" s="318"/>
    </row>
    <row r="18129" spans="2:30" s="323" customFormat="1" ht="12" customHeight="1">
      <c r="B18129" s="324"/>
      <c r="C18129" s="325"/>
      <c r="D18129" s="326"/>
      <c r="E18129" s="326"/>
      <c r="F18129" s="326"/>
      <c r="G18129" s="326"/>
      <c r="H18129" s="326"/>
      <c r="P18129" s="318"/>
      <c r="Q18129" s="318"/>
      <c r="R18129" s="318"/>
      <c r="S18129" s="318"/>
      <c r="T18129" s="318"/>
      <c r="U18129" s="318"/>
      <c r="V18129" s="318"/>
      <c r="W18129" s="318"/>
      <c r="X18129" s="318"/>
      <c r="Y18129" s="318"/>
      <c r="Z18129" s="318"/>
      <c r="AA18129" s="318"/>
      <c r="AB18129" s="318"/>
      <c r="AC18129" s="318"/>
      <c r="AD18129" s="318"/>
    </row>
    <row r="18130" spans="2:30" s="323" customFormat="1" ht="12" customHeight="1">
      <c r="B18130" s="324"/>
      <c r="C18130" s="325"/>
      <c r="D18130" s="326"/>
      <c r="E18130" s="326"/>
      <c r="F18130" s="326"/>
      <c r="G18130" s="326"/>
      <c r="H18130" s="326"/>
      <c r="P18130" s="318"/>
      <c r="Q18130" s="318"/>
      <c r="R18130" s="318"/>
      <c r="S18130" s="318"/>
      <c r="T18130" s="318"/>
      <c r="U18130" s="318"/>
      <c r="V18130" s="318"/>
      <c r="W18130" s="318"/>
      <c r="X18130" s="318"/>
      <c r="Y18130" s="318"/>
      <c r="Z18130" s="318"/>
      <c r="AA18130" s="318"/>
      <c r="AB18130" s="318"/>
      <c r="AC18130" s="318"/>
      <c r="AD18130" s="318"/>
    </row>
    <row r="18131" spans="2:30" s="323" customFormat="1" ht="12" customHeight="1">
      <c r="B18131" s="324"/>
      <c r="C18131" s="325"/>
      <c r="D18131" s="326"/>
      <c r="E18131" s="326"/>
      <c r="F18131" s="326"/>
      <c r="G18131" s="326"/>
      <c r="H18131" s="326"/>
      <c r="P18131" s="318"/>
      <c r="Q18131" s="318"/>
      <c r="R18131" s="318"/>
      <c r="S18131" s="318"/>
      <c r="T18131" s="318"/>
      <c r="U18131" s="318"/>
      <c r="V18131" s="318"/>
      <c r="W18131" s="318"/>
      <c r="X18131" s="318"/>
      <c r="Y18131" s="318"/>
      <c r="Z18131" s="318"/>
      <c r="AA18131" s="318"/>
      <c r="AB18131" s="318"/>
      <c r="AC18131" s="318"/>
      <c r="AD18131" s="318"/>
    </row>
    <row r="18132" spans="2:30" s="323" customFormat="1" ht="12" customHeight="1">
      <c r="B18132" s="324"/>
      <c r="C18132" s="325"/>
      <c r="D18132" s="326"/>
      <c r="E18132" s="326"/>
      <c r="F18132" s="326"/>
      <c r="G18132" s="326"/>
      <c r="H18132" s="326"/>
      <c r="P18132" s="318"/>
      <c r="Q18132" s="318"/>
      <c r="R18132" s="318"/>
      <c r="S18132" s="318"/>
      <c r="T18132" s="318"/>
      <c r="U18132" s="318"/>
      <c r="V18132" s="318"/>
      <c r="W18132" s="318"/>
      <c r="X18132" s="318"/>
      <c r="Y18132" s="318"/>
      <c r="Z18132" s="318"/>
      <c r="AA18132" s="318"/>
      <c r="AB18132" s="318"/>
      <c r="AC18132" s="318"/>
      <c r="AD18132" s="318"/>
    </row>
    <row r="18133" spans="2:30" s="323" customFormat="1" ht="12" customHeight="1">
      <c r="B18133" s="324"/>
      <c r="C18133" s="325"/>
      <c r="D18133" s="326"/>
      <c r="E18133" s="326"/>
      <c r="F18133" s="326"/>
      <c r="G18133" s="326"/>
      <c r="H18133" s="326"/>
      <c r="P18133" s="318"/>
      <c r="Q18133" s="318"/>
      <c r="R18133" s="318"/>
      <c r="S18133" s="318"/>
      <c r="T18133" s="318"/>
      <c r="U18133" s="318"/>
      <c r="V18133" s="318"/>
      <c r="W18133" s="318"/>
      <c r="X18133" s="318"/>
      <c r="Y18133" s="318"/>
      <c r="Z18133" s="318"/>
      <c r="AA18133" s="318"/>
      <c r="AB18133" s="318"/>
      <c r="AC18133" s="318"/>
      <c r="AD18133" s="318"/>
    </row>
    <row r="18134" spans="2:30" s="323" customFormat="1" ht="12" customHeight="1">
      <c r="B18134" s="324"/>
      <c r="C18134" s="325"/>
      <c r="D18134" s="326"/>
      <c r="E18134" s="326"/>
      <c r="F18134" s="326"/>
      <c r="G18134" s="326"/>
      <c r="H18134" s="326"/>
      <c r="P18134" s="318"/>
      <c r="Q18134" s="318"/>
      <c r="R18134" s="318"/>
      <c r="S18134" s="318"/>
      <c r="T18134" s="318"/>
      <c r="U18134" s="318"/>
      <c r="V18134" s="318"/>
      <c r="W18134" s="318"/>
      <c r="X18134" s="318"/>
      <c r="Y18134" s="318"/>
      <c r="Z18134" s="318"/>
      <c r="AA18134" s="318"/>
      <c r="AB18134" s="318"/>
      <c r="AC18134" s="318"/>
      <c r="AD18134" s="318"/>
    </row>
    <row r="18135" spans="2:30" s="323" customFormat="1" ht="12" customHeight="1">
      <c r="B18135" s="324"/>
      <c r="C18135" s="325"/>
      <c r="D18135" s="326"/>
      <c r="E18135" s="326"/>
      <c r="F18135" s="326"/>
      <c r="G18135" s="326"/>
      <c r="H18135" s="326"/>
      <c r="P18135" s="318"/>
      <c r="Q18135" s="318"/>
      <c r="R18135" s="318"/>
      <c r="S18135" s="318"/>
      <c r="T18135" s="318"/>
      <c r="U18135" s="318"/>
      <c r="V18135" s="318"/>
      <c r="W18135" s="318"/>
      <c r="X18135" s="318"/>
      <c r="Y18135" s="318"/>
      <c r="Z18135" s="318"/>
      <c r="AA18135" s="318"/>
      <c r="AB18135" s="318"/>
      <c r="AC18135" s="318"/>
      <c r="AD18135" s="318"/>
    </row>
    <row r="18136" spans="2:30" s="323" customFormat="1" ht="12" customHeight="1">
      <c r="B18136" s="324"/>
      <c r="C18136" s="325"/>
      <c r="D18136" s="326"/>
      <c r="E18136" s="326"/>
      <c r="F18136" s="326"/>
      <c r="G18136" s="326"/>
      <c r="H18136" s="326"/>
      <c r="P18136" s="318"/>
      <c r="Q18136" s="318"/>
      <c r="R18136" s="318"/>
      <c r="S18136" s="318"/>
      <c r="T18136" s="318"/>
      <c r="U18136" s="318"/>
      <c r="V18136" s="318"/>
      <c r="W18136" s="318"/>
      <c r="X18136" s="318"/>
      <c r="Y18136" s="318"/>
      <c r="Z18136" s="318"/>
      <c r="AA18136" s="318"/>
      <c r="AB18136" s="318"/>
      <c r="AC18136" s="318"/>
      <c r="AD18136" s="318"/>
    </row>
    <row r="18137" spans="2:30" s="323" customFormat="1" ht="12" customHeight="1">
      <c r="B18137" s="324"/>
      <c r="C18137" s="325"/>
      <c r="D18137" s="326"/>
      <c r="E18137" s="326"/>
      <c r="F18137" s="326"/>
      <c r="G18137" s="326"/>
      <c r="H18137" s="326"/>
      <c r="P18137" s="318"/>
      <c r="Q18137" s="318"/>
      <c r="R18137" s="318"/>
      <c r="S18137" s="318"/>
      <c r="T18137" s="318"/>
      <c r="U18137" s="318"/>
      <c r="V18137" s="318"/>
      <c r="W18137" s="318"/>
      <c r="X18137" s="318"/>
      <c r="Y18137" s="318"/>
      <c r="Z18137" s="318"/>
      <c r="AA18137" s="318"/>
      <c r="AB18137" s="318"/>
      <c r="AC18137" s="318"/>
      <c r="AD18137" s="318"/>
    </row>
    <row r="18138" spans="2:30" s="323" customFormat="1" ht="12" customHeight="1">
      <c r="B18138" s="324"/>
      <c r="C18138" s="325"/>
      <c r="D18138" s="326"/>
      <c r="E18138" s="326"/>
      <c r="F18138" s="326"/>
      <c r="G18138" s="326"/>
      <c r="H18138" s="326"/>
      <c r="P18138" s="318"/>
      <c r="Q18138" s="318"/>
      <c r="R18138" s="318"/>
      <c r="S18138" s="318"/>
      <c r="T18138" s="318"/>
      <c r="U18138" s="318"/>
      <c r="V18138" s="318"/>
      <c r="W18138" s="318"/>
      <c r="X18138" s="318"/>
      <c r="Y18138" s="318"/>
      <c r="Z18138" s="318"/>
      <c r="AA18138" s="318"/>
      <c r="AB18138" s="318"/>
      <c r="AC18138" s="318"/>
      <c r="AD18138" s="318"/>
    </row>
    <row r="18139" spans="2:30" s="323" customFormat="1" ht="12" customHeight="1">
      <c r="B18139" s="324"/>
      <c r="C18139" s="325"/>
      <c r="D18139" s="326"/>
      <c r="E18139" s="326"/>
      <c r="F18139" s="326"/>
      <c r="G18139" s="326"/>
      <c r="H18139" s="326"/>
      <c r="P18139" s="318"/>
      <c r="Q18139" s="318"/>
      <c r="R18139" s="318"/>
      <c r="S18139" s="318"/>
      <c r="T18139" s="318"/>
      <c r="U18139" s="318"/>
      <c r="V18139" s="318"/>
      <c r="W18139" s="318"/>
      <c r="X18139" s="318"/>
      <c r="Y18139" s="318"/>
      <c r="Z18139" s="318"/>
      <c r="AA18139" s="318"/>
      <c r="AB18139" s="318"/>
      <c r="AC18139" s="318"/>
      <c r="AD18139" s="318"/>
    </row>
    <row r="18140" spans="2:30" s="323" customFormat="1" ht="12" customHeight="1">
      <c r="B18140" s="324"/>
      <c r="C18140" s="325"/>
      <c r="D18140" s="326"/>
      <c r="E18140" s="326"/>
      <c r="F18140" s="326"/>
      <c r="G18140" s="326"/>
      <c r="H18140" s="326"/>
      <c r="P18140" s="318"/>
      <c r="Q18140" s="318"/>
      <c r="R18140" s="318"/>
      <c r="S18140" s="318"/>
      <c r="T18140" s="318"/>
      <c r="U18140" s="318"/>
      <c r="V18140" s="318"/>
      <c r="W18140" s="318"/>
      <c r="X18140" s="318"/>
      <c r="Y18140" s="318"/>
      <c r="Z18140" s="318"/>
      <c r="AA18140" s="318"/>
      <c r="AB18140" s="318"/>
      <c r="AC18140" s="318"/>
      <c r="AD18140" s="318"/>
    </row>
    <row r="18141" spans="2:30" s="323" customFormat="1" ht="12" customHeight="1">
      <c r="B18141" s="324"/>
      <c r="C18141" s="325"/>
      <c r="D18141" s="326"/>
      <c r="E18141" s="326"/>
      <c r="F18141" s="326"/>
      <c r="G18141" s="326"/>
      <c r="H18141" s="326"/>
      <c r="P18141" s="318"/>
      <c r="Q18141" s="318"/>
      <c r="R18141" s="318"/>
      <c r="S18141" s="318"/>
      <c r="T18141" s="318"/>
      <c r="U18141" s="318"/>
      <c r="V18141" s="318"/>
      <c r="W18141" s="318"/>
      <c r="X18141" s="318"/>
      <c r="Y18141" s="318"/>
      <c r="Z18141" s="318"/>
      <c r="AA18141" s="318"/>
      <c r="AB18141" s="318"/>
      <c r="AC18141" s="318"/>
      <c r="AD18141" s="318"/>
    </row>
    <row r="18142" spans="2:30" s="323" customFormat="1" ht="12" customHeight="1">
      <c r="B18142" s="324"/>
      <c r="C18142" s="325"/>
      <c r="D18142" s="326"/>
      <c r="E18142" s="326"/>
      <c r="F18142" s="326"/>
      <c r="G18142" s="326"/>
      <c r="H18142" s="326"/>
      <c r="P18142" s="318"/>
      <c r="Q18142" s="318"/>
      <c r="R18142" s="318"/>
      <c r="S18142" s="318"/>
      <c r="T18142" s="318"/>
      <c r="U18142" s="318"/>
      <c r="V18142" s="318"/>
      <c r="W18142" s="318"/>
      <c r="X18142" s="318"/>
      <c r="Y18142" s="318"/>
      <c r="Z18142" s="318"/>
      <c r="AA18142" s="318"/>
      <c r="AB18142" s="318"/>
      <c r="AC18142" s="318"/>
      <c r="AD18142" s="318"/>
    </row>
    <row r="18143" spans="2:30" s="323" customFormat="1" ht="12" customHeight="1">
      <c r="B18143" s="324"/>
      <c r="C18143" s="325"/>
      <c r="D18143" s="326"/>
      <c r="E18143" s="326"/>
      <c r="F18143" s="326"/>
      <c r="G18143" s="326"/>
      <c r="H18143" s="326"/>
      <c r="P18143" s="318"/>
      <c r="Q18143" s="318"/>
      <c r="R18143" s="318"/>
      <c r="S18143" s="318"/>
      <c r="T18143" s="318"/>
      <c r="U18143" s="318"/>
      <c r="V18143" s="318"/>
      <c r="W18143" s="318"/>
      <c r="X18143" s="318"/>
      <c r="Y18143" s="318"/>
      <c r="Z18143" s="318"/>
      <c r="AA18143" s="318"/>
      <c r="AB18143" s="318"/>
      <c r="AC18143" s="318"/>
      <c r="AD18143" s="318"/>
    </row>
    <row r="18144" spans="2:30" s="323" customFormat="1" ht="12" customHeight="1">
      <c r="B18144" s="324"/>
      <c r="C18144" s="325"/>
      <c r="D18144" s="326"/>
      <c r="E18144" s="326"/>
      <c r="F18144" s="326"/>
      <c r="G18144" s="326"/>
      <c r="H18144" s="326"/>
      <c r="P18144" s="318"/>
      <c r="Q18144" s="318"/>
      <c r="R18144" s="318"/>
      <c r="S18144" s="318"/>
      <c r="T18144" s="318"/>
      <c r="U18144" s="318"/>
      <c r="V18144" s="318"/>
      <c r="W18144" s="318"/>
      <c r="X18144" s="318"/>
      <c r="Y18144" s="318"/>
      <c r="Z18144" s="318"/>
      <c r="AA18144" s="318"/>
      <c r="AB18144" s="318"/>
      <c r="AC18144" s="318"/>
      <c r="AD18144" s="318"/>
    </row>
    <row r="18145" spans="2:30" s="323" customFormat="1" ht="12" customHeight="1">
      <c r="B18145" s="324"/>
      <c r="C18145" s="325"/>
      <c r="D18145" s="326"/>
      <c r="E18145" s="326"/>
      <c r="F18145" s="326"/>
      <c r="G18145" s="326"/>
      <c r="H18145" s="326"/>
      <c r="P18145" s="318"/>
      <c r="Q18145" s="318"/>
      <c r="R18145" s="318"/>
      <c r="S18145" s="318"/>
      <c r="T18145" s="318"/>
      <c r="U18145" s="318"/>
      <c r="V18145" s="318"/>
      <c r="W18145" s="318"/>
      <c r="X18145" s="318"/>
      <c r="Y18145" s="318"/>
      <c r="Z18145" s="318"/>
      <c r="AA18145" s="318"/>
      <c r="AB18145" s="318"/>
      <c r="AC18145" s="318"/>
      <c r="AD18145" s="318"/>
    </row>
    <row r="18146" spans="2:30" s="323" customFormat="1" ht="12" customHeight="1">
      <c r="B18146" s="324"/>
      <c r="C18146" s="325"/>
      <c r="D18146" s="326"/>
      <c r="E18146" s="326"/>
      <c r="F18146" s="326"/>
      <c r="G18146" s="326"/>
      <c r="H18146" s="326"/>
      <c r="P18146" s="318"/>
      <c r="Q18146" s="318"/>
      <c r="R18146" s="318"/>
      <c r="S18146" s="318"/>
      <c r="T18146" s="318"/>
      <c r="U18146" s="318"/>
      <c r="V18146" s="318"/>
      <c r="W18146" s="318"/>
      <c r="X18146" s="318"/>
      <c r="Y18146" s="318"/>
      <c r="Z18146" s="318"/>
      <c r="AA18146" s="318"/>
      <c r="AB18146" s="318"/>
      <c r="AC18146" s="318"/>
      <c r="AD18146" s="318"/>
    </row>
    <row r="18147" spans="2:30" s="323" customFormat="1" ht="12" customHeight="1">
      <c r="B18147" s="324"/>
      <c r="C18147" s="325"/>
      <c r="D18147" s="326"/>
      <c r="E18147" s="326"/>
      <c r="F18147" s="326"/>
      <c r="G18147" s="326"/>
      <c r="H18147" s="326"/>
      <c r="P18147" s="318"/>
      <c r="Q18147" s="318"/>
      <c r="R18147" s="318"/>
      <c r="S18147" s="318"/>
      <c r="T18147" s="318"/>
      <c r="U18147" s="318"/>
      <c r="V18147" s="318"/>
      <c r="W18147" s="318"/>
      <c r="X18147" s="318"/>
      <c r="Y18147" s="318"/>
      <c r="Z18147" s="318"/>
      <c r="AA18147" s="318"/>
      <c r="AB18147" s="318"/>
      <c r="AC18147" s="318"/>
      <c r="AD18147" s="318"/>
    </row>
    <row r="18148" spans="2:30" s="323" customFormat="1" ht="12" customHeight="1">
      <c r="B18148" s="324"/>
      <c r="C18148" s="325"/>
      <c r="D18148" s="326"/>
      <c r="E18148" s="326"/>
      <c r="F18148" s="326"/>
      <c r="G18148" s="326"/>
      <c r="H18148" s="326"/>
      <c r="P18148" s="318"/>
      <c r="Q18148" s="318"/>
      <c r="R18148" s="318"/>
      <c r="S18148" s="318"/>
      <c r="T18148" s="318"/>
      <c r="U18148" s="318"/>
      <c r="V18148" s="318"/>
      <c r="W18148" s="318"/>
      <c r="X18148" s="318"/>
      <c r="Y18148" s="318"/>
      <c r="Z18148" s="318"/>
      <c r="AA18148" s="318"/>
      <c r="AB18148" s="318"/>
      <c r="AC18148" s="318"/>
      <c r="AD18148" s="318"/>
    </row>
    <row r="18149" spans="2:30" s="323" customFormat="1" ht="12" customHeight="1">
      <c r="B18149" s="324"/>
      <c r="C18149" s="325"/>
      <c r="D18149" s="326"/>
      <c r="E18149" s="326"/>
      <c r="F18149" s="326"/>
      <c r="G18149" s="326"/>
      <c r="H18149" s="326"/>
      <c r="P18149" s="318"/>
      <c r="Q18149" s="318"/>
      <c r="R18149" s="318"/>
      <c r="S18149" s="318"/>
      <c r="T18149" s="318"/>
      <c r="U18149" s="318"/>
      <c r="V18149" s="318"/>
      <c r="W18149" s="318"/>
      <c r="X18149" s="318"/>
      <c r="Y18149" s="318"/>
      <c r="Z18149" s="318"/>
      <c r="AA18149" s="318"/>
      <c r="AB18149" s="318"/>
      <c r="AC18149" s="318"/>
      <c r="AD18149" s="318"/>
    </row>
    <row r="18150" spans="2:30" s="323" customFormat="1" ht="12" customHeight="1">
      <c r="B18150" s="324"/>
      <c r="C18150" s="325"/>
      <c r="D18150" s="326"/>
      <c r="E18150" s="326"/>
      <c r="F18150" s="326"/>
      <c r="G18150" s="326"/>
      <c r="H18150" s="326"/>
      <c r="P18150" s="318"/>
      <c r="Q18150" s="318"/>
      <c r="R18150" s="318"/>
      <c r="S18150" s="318"/>
      <c r="T18150" s="318"/>
      <c r="U18150" s="318"/>
      <c r="V18150" s="318"/>
      <c r="W18150" s="318"/>
      <c r="X18150" s="318"/>
      <c r="Y18150" s="318"/>
      <c r="Z18150" s="318"/>
      <c r="AA18150" s="318"/>
      <c r="AB18150" s="318"/>
      <c r="AC18150" s="318"/>
      <c r="AD18150" s="318"/>
    </row>
    <row r="18151" spans="2:30" s="323" customFormat="1" ht="12" customHeight="1">
      <c r="B18151" s="324"/>
      <c r="C18151" s="325"/>
      <c r="D18151" s="326"/>
      <c r="E18151" s="326"/>
      <c r="F18151" s="326"/>
      <c r="G18151" s="326"/>
      <c r="H18151" s="326"/>
      <c r="P18151" s="318"/>
      <c r="Q18151" s="318"/>
      <c r="R18151" s="318"/>
      <c r="S18151" s="318"/>
      <c r="T18151" s="318"/>
      <c r="U18151" s="318"/>
      <c r="V18151" s="318"/>
      <c r="W18151" s="318"/>
      <c r="X18151" s="318"/>
      <c r="Y18151" s="318"/>
      <c r="Z18151" s="318"/>
      <c r="AA18151" s="318"/>
      <c r="AB18151" s="318"/>
      <c r="AC18151" s="318"/>
      <c r="AD18151" s="318"/>
    </row>
    <row r="18152" spans="2:30" s="323" customFormat="1" ht="12" customHeight="1">
      <c r="B18152" s="324"/>
      <c r="C18152" s="325"/>
      <c r="D18152" s="326"/>
      <c r="E18152" s="326"/>
      <c r="F18152" s="326"/>
      <c r="G18152" s="326"/>
      <c r="H18152" s="326"/>
      <c r="P18152" s="318"/>
      <c r="Q18152" s="318"/>
      <c r="R18152" s="318"/>
      <c r="S18152" s="318"/>
      <c r="T18152" s="318"/>
      <c r="U18152" s="318"/>
      <c r="V18152" s="318"/>
      <c r="W18152" s="318"/>
      <c r="X18152" s="318"/>
      <c r="Y18152" s="318"/>
      <c r="Z18152" s="318"/>
      <c r="AA18152" s="318"/>
      <c r="AB18152" s="318"/>
      <c r="AC18152" s="318"/>
      <c r="AD18152" s="318"/>
    </row>
    <row r="18153" spans="2:30" s="323" customFormat="1" ht="12" customHeight="1">
      <c r="B18153" s="324"/>
      <c r="C18153" s="325"/>
      <c r="D18153" s="326"/>
      <c r="E18153" s="326"/>
      <c r="F18153" s="326"/>
      <c r="G18153" s="326"/>
      <c r="H18153" s="326"/>
      <c r="P18153" s="318"/>
      <c r="Q18153" s="318"/>
      <c r="R18153" s="318"/>
      <c r="S18153" s="318"/>
      <c r="T18153" s="318"/>
      <c r="U18153" s="318"/>
      <c r="V18153" s="318"/>
      <c r="W18153" s="318"/>
      <c r="X18153" s="318"/>
      <c r="Y18153" s="318"/>
      <c r="Z18153" s="318"/>
      <c r="AA18153" s="318"/>
      <c r="AB18153" s="318"/>
      <c r="AC18153" s="318"/>
      <c r="AD18153" s="318"/>
    </row>
    <row r="18154" spans="2:30" s="323" customFormat="1" ht="12" customHeight="1">
      <c r="B18154" s="324"/>
      <c r="C18154" s="325"/>
      <c r="D18154" s="326"/>
      <c r="E18154" s="326"/>
      <c r="F18154" s="326"/>
      <c r="G18154" s="326"/>
      <c r="H18154" s="326"/>
      <c r="P18154" s="318"/>
      <c r="Q18154" s="318"/>
      <c r="R18154" s="318"/>
      <c r="S18154" s="318"/>
      <c r="T18154" s="318"/>
      <c r="U18154" s="318"/>
      <c r="V18154" s="318"/>
      <c r="W18154" s="318"/>
      <c r="X18154" s="318"/>
      <c r="Y18154" s="318"/>
      <c r="Z18154" s="318"/>
      <c r="AA18154" s="318"/>
      <c r="AB18154" s="318"/>
      <c r="AC18154" s="318"/>
      <c r="AD18154" s="318"/>
    </row>
    <row r="18155" spans="2:30" s="323" customFormat="1" ht="12" customHeight="1">
      <c r="B18155" s="324"/>
      <c r="C18155" s="325"/>
      <c r="D18155" s="326"/>
      <c r="E18155" s="326"/>
      <c r="F18155" s="326"/>
      <c r="G18155" s="326"/>
      <c r="H18155" s="326"/>
      <c r="P18155" s="318"/>
      <c r="Q18155" s="318"/>
      <c r="R18155" s="318"/>
      <c r="S18155" s="318"/>
      <c r="T18155" s="318"/>
      <c r="U18155" s="318"/>
      <c r="V18155" s="318"/>
      <c r="W18155" s="318"/>
      <c r="X18155" s="318"/>
      <c r="Y18155" s="318"/>
      <c r="Z18155" s="318"/>
      <c r="AA18155" s="318"/>
      <c r="AB18155" s="318"/>
      <c r="AC18155" s="318"/>
      <c r="AD18155" s="318"/>
    </row>
    <row r="18156" spans="2:30" s="323" customFormat="1" ht="12" customHeight="1">
      <c r="B18156" s="324"/>
      <c r="C18156" s="325"/>
      <c r="D18156" s="326"/>
      <c r="E18156" s="326"/>
      <c r="F18156" s="326"/>
      <c r="G18156" s="326"/>
      <c r="H18156" s="326"/>
      <c r="P18156" s="318"/>
      <c r="Q18156" s="318"/>
      <c r="R18156" s="318"/>
      <c r="S18156" s="318"/>
      <c r="T18156" s="318"/>
      <c r="U18156" s="318"/>
      <c r="V18156" s="318"/>
      <c r="W18156" s="318"/>
      <c r="X18156" s="318"/>
      <c r="Y18156" s="318"/>
      <c r="Z18156" s="318"/>
      <c r="AA18156" s="318"/>
      <c r="AB18156" s="318"/>
      <c r="AC18156" s="318"/>
      <c r="AD18156" s="318"/>
    </row>
    <row r="18157" spans="2:30" s="323" customFormat="1" ht="12" customHeight="1">
      <c r="B18157" s="324"/>
      <c r="C18157" s="325"/>
      <c r="D18157" s="326"/>
      <c r="E18157" s="326"/>
      <c r="F18157" s="326"/>
      <c r="G18157" s="326"/>
      <c r="H18157" s="326"/>
      <c r="P18157" s="318"/>
      <c r="Q18157" s="318"/>
      <c r="R18157" s="318"/>
      <c r="S18157" s="318"/>
      <c r="T18157" s="318"/>
      <c r="U18157" s="318"/>
      <c r="V18157" s="318"/>
      <c r="W18157" s="318"/>
      <c r="X18157" s="318"/>
      <c r="Y18157" s="318"/>
      <c r="Z18157" s="318"/>
      <c r="AA18157" s="318"/>
      <c r="AB18157" s="318"/>
      <c r="AC18157" s="318"/>
      <c r="AD18157" s="318"/>
    </row>
    <row r="18158" spans="2:30" s="323" customFormat="1" ht="12" customHeight="1">
      <c r="B18158" s="324"/>
      <c r="C18158" s="325"/>
      <c r="D18158" s="326"/>
      <c r="E18158" s="326"/>
      <c r="F18158" s="326"/>
      <c r="G18158" s="326"/>
      <c r="H18158" s="326"/>
      <c r="P18158" s="318"/>
      <c r="Q18158" s="318"/>
      <c r="R18158" s="318"/>
      <c r="S18158" s="318"/>
      <c r="T18158" s="318"/>
      <c r="U18158" s="318"/>
      <c r="V18158" s="318"/>
      <c r="W18158" s="318"/>
      <c r="X18158" s="318"/>
      <c r="Y18158" s="318"/>
      <c r="Z18158" s="318"/>
      <c r="AA18158" s="318"/>
      <c r="AB18158" s="318"/>
      <c r="AC18158" s="318"/>
      <c r="AD18158" s="318"/>
    </row>
    <row r="18159" spans="2:30" s="323" customFormat="1" ht="12" customHeight="1">
      <c r="B18159" s="324"/>
      <c r="C18159" s="325"/>
      <c r="D18159" s="326"/>
      <c r="E18159" s="326"/>
      <c r="F18159" s="326"/>
      <c r="G18159" s="326"/>
      <c r="H18159" s="326"/>
      <c r="P18159" s="318"/>
      <c r="Q18159" s="318"/>
      <c r="R18159" s="318"/>
      <c r="S18159" s="318"/>
      <c r="T18159" s="318"/>
      <c r="U18159" s="318"/>
      <c r="V18159" s="318"/>
      <c r="W18159" s="318"/>
      <c r="X18159" s="318"/>
      <c r="Y18159" s="318"/>
      <c r="Z18159" s="318"/>
      <c r="AA18159" s="318"/>
      <c r="AB18159" s="318"/>
      <c r="AC18159" s="318"/>
      <c r="AD18159" s="318"/>
    </row>
    <row r="18160" spans="2:30" s="323" customFormat="1" ht="12" customHeight="1">
      <c r="B18160" s="324"/>
      <c r="C18160" s="325"/>
      <c r="D18160" s="326"/>
      <c r="E18160" s="326"/>
      <c r="F18160" s="326"/>
      <c r="G18160" s="326"/>
      <c r="H18160" s="326"/>
      <c r="P18160" s="318"/>
      <c r="Q18160" s="318"/>
      <c r="R18160" s="318"/>
      <c r="S18160" s="318"/>
      <c r="T18160" s="318"/>
      <c r="U18160" s="318"/>
      <c r="V18160" s="318"/>
      <c r="W18160" s="318"/>
      <c r="X18160" s="318"/>
      <c r="Y18160" s="318"/>
      <c r="Z18160" s="318"/>
      <c r="AA18160" s="318"/>
      <c r="AB18160" s="318"/>
      <c r="AC18160" s="318"/>
      <c r="AD18160" s="318"/>
    </row>
    <row r="18161" spans="2:30" s="323" customFormat="1" ht="12" customHeight="1">
      <c r="B18161" s="324"/>
      <c r="C18161" s="325"/>
      <c r="D18161" s="326"/>
      <c r="E18161" s="326"/>
      <c r="F18161" s="326"/>
      <c r="G18161" s="326"/>
      <c r="H18161" s="326"/>
      <c r="P18161" s="318"/>
      <c r="Q18161" s="318"/>
      <c r="R18161" s="318"/>
      <c r="S18161" s="318"/>
      <c r="T18161" s="318"/>
      <c r="U18161" s="318"/>
      <c r="V18161" s="318"/>
      <c r="W18161" s="318"/>
      <c r="X18161" s="318"/>
      <c r="Y18161" s="318"/>
      <c r="Z18161" s="318"/>
      <c r="AA18161" s="318"/>
      <c r="AB18161" s="318"/>
      <c r="AC18161" s="318"/>
      <c r="AD18161" s="318"/>
    </row>
    <row r="18162" spans="2:30" s="323" customFormat="1" ht="12" customHeight="1">
      <c r="B18162" s="324"/>
      <c r="C18162" s="325"/>
      <c r="D18162" s="326"/>
      <c r="E18162" s="326"/>
      <c r="F18162" s="326"/>
      <c r="G18162" s="326"/>
      <c r="H18162" s="326"/>
      <c r="P18162" s="318"/>
      <c r="Q18162" s="318"/>
      <c r="R18162" s="318"/>
      <c r="S18162" s="318"/>
      <c r="T18162" s="318"/>
      <c r="U18162" s="318"/>
      <c r="V18162" s="318"/>
      <c r="W18162" s="318"/>
      <c r="X18162" s="318"/>
      <c r="Y18162" s="318"/>
      <c r="Z18162" s="318"/>
      <c r="AA18162" s="318"/>
      <c r="AB18162" s="318"/>
      <c r="AC18162" s="318"/>
      <c r="AD18162" s="318"/>
    </row>
    <row r="18163" spans="2:30" s="323" customFormat="1" ht="12" customHeight="1">
      <c r="B18163" s="324"/>
      <c r="C18163" s="325"/>
      <c r="D18163" s="326"/>
      <c r="E18163" s="326"/>
      <c r="F18163" s="326"/>
      <c r="G18163" s="326"/>
      <c r="H18163" s="326"/>
      <c r="P18163" s="318"/>
      <c r="Q18163" s="318"/>
      <c r="R18163" s="318"/>
      <c r="S18163" s="318"/>
      <c r="T18163" s="318"/>
      <c r="U18163" s="318"/>
      <c r="V18163" s="318"/>
      <c r="W18163" s="318"/>
      <c r="X18163" s="318"/>
      <c r="Y18163" s="318"/>
      <c r="Z18163" s="318"/>
      <c r="AA18163" s="318"/>
      <c r="AB18163" s="318"/>
      <c r="AC18163" s="318"/>
      <c r="AD18163" s="318"/>
    </row>
    <row r="18164" spans="2:30" s="323" customFormat="1" ht="12" customHeight="1">
      <c r="B18164" s="324"/>
      <c r="C18164" s="325"/>
      <c r="D18164" s="326"/>
      <c r="E18164" s="326"/>
      <c r="F18164" s="326"/>
      <c r="G18164" s="326"/>
      <c r="H18164" s="326"/>
      <c r="P18164" s="318"/>
      <c r="Q18164" s="318"/>
      <c r="R18164" s="318"/>
      <c r="S18164" s="318"/>
      <c r="T18164" s="318"/>
      <c r="U18164" s="318"/>
      <c r="V18164" s="318"/>
      <c r="W18164" s="318"/>
      <c r="X18164" s="318"/>
      <c r="Y18164" s="318"/>
      <c r="Z18164" s="318"/>
      <c r="AA18164" s="318"/>
      <c r="AB18164" s="318"/>
      <c r="AC18164" s="318"/>
      <c r="AD18164" s="318"/>
    </row>
    <row r="18165" spans="2:30" s="323" customFormat="1" ht="12" customHeight="1">
      <c r="B18165" s="324"/>
      <c r="C18165" s="325"/>
      <c r="D18165" s="326"/>
      <c r="E18165" s="326"/>
      <c r="F18165" s="326"/>
      <c r="G18165" s="326"/>
      <c r="H18165" s="326"/>
      <c r="P18165" s="318"/>
      <c r="Q18165" s="318"/>
      <c r="R18165" s="318"/>
      <c r="S18165" s="318"/>
      <c r="T18165" s="318"/>
      <c r="U18165" s="318"/>
      <c r="V18165" s="318"/>
      <c r="W18165" s="318"/>
      <c r="X18165" s="318"/>
      <c r="Y18165" s="318"/>
      <c r="Z18165" s="318"/>
      <c r="AA18165" s="318"/>
      <c r="AB18165" s="318"/>
      <c r="AC18165" s="318"/>
      <c r="AD18165" s="318"/>
    </row>
    <row r="18166" spans="2:30" s="323" customFormat="1" ht="12" customHeight="1">
      <c r="B18166" s="324"/>
      <c r="C18166" s="325"/>
      <c r="D18166" s="326"/>
      <c r="E18166" s="326"/>
      <c r="F18166" s="326"/>
      <c r="G18166" s="326"/>
      <c r="H18166" s="326"/>
      <c r="P18166" s="318"/>
      <c r="Q18166" s="318"/>
      <c r="R18166" s="318"/>
      <c r="S18166" s="318"/>
      <c r="T18166" s="318"/>
      <c r="U18166" s="318"/>
      <c r="V18166" s="318"/>
      <c r="W18166" s="318"/>
      <c r="X18166" s="318"/>
      <c r="Y18166" s="318"/>
      <c r="Z18166" s="318"/>
      <c r="AA18166" s="318"/>
      <c r="AB18166" s="318"/>
      <c r="AC18166" s="318"/>
      <c r="AD18166" s="318"/>
    </row>
    <row r="18167" spans="2:30" s="323" customFormat="1" ht="12" customHeight="1">
      <c r="B18167" s="324"/>
      <c r="C18167" s="325"/>
      <c r="D18167" s="326"/>
      <c r="E18167" s="326"/>
      <c r="F18167" s="326"/>
      <c r="G18167" s="326"/>
      <c r="H18167" s="326"/>
      <c r="P18167" s="318"/>
      <c r="Q18167" s="318"/>
      <c r="R18167" s="318"/>
      <c r="S18167" s="318"/>
      <c r="T18167" s="318"/>
      <c r="U18167" s="318"/>
      <c r="V18167" s="318"/>
      <c r="W18167" s="318"/>
      <c r="X18167" s="318"/>
      <c r="Y18167" s="318"/>
      <c r="Z18167" s="318"/>
      <c r="AA18167" s="318"/>
      <c r="AB18167" s="318"/>
      <c r="AC18167" s="318"/>
      <c r="AD18167" s="318"/>
    </row>
    <row r="18168" spans="2:30" s="323" customFormat="1" ht="12" customHeight="1">
      <c r="B18168" s="324"/>
      <c r="C18168" s="325"/>
      <c r="D18168" s="326"/>
      <c r="E18168" s="326"/>
      <c r="F18168" s="326"/>
      <c r="G18168" s="326"/>
      <c r="H18168" s="326"/>
      <c r="P18168" s="318"/>
      <c r="Q18168" s="318"/>
      <c r="R18168" s="318"/>
      <c r="S18168" s="318"/>
      <c r="T18168" s="318"/>
      <c r="U18168" s="318"/>
      <c r="V18168" s="318"/>
      <c r="W18168" s="318"/>
      <c r="X18168" s="318"/>
      <c r="Y18168" s="318"/>
      <c r="Z18168" s="318"/>
      <c r="AA18168" s="318"/>
      <c r="AB18168" s="318"/>
      <c r="AC18168" s="318"/>
      <c r="AD18168" s="318"/>
    </row>
    <row r="18169" spans="2:30" s="323" customFormat="1" ht="12" customHeight="1">
      <c r="B18169" s="324"/>
      <c r="C18169" s="325"/>
      <c r="D18169" s="326"/>
      <c r="E18169" s="326"/>
      <c r="F18169" s="326"/>
      <c r="G18169" s="326"/>
      <c r="H18169" s="326"/>
      <c r="P18169" s="318"/>
      <c r="Q18169" s="318"/>
      <c r="R18169" s="318"/>
      <c r="S18169" s="318"/>
      <c r="T18169" s="318"/>
      <c r="U18169" s="318"/>
      <c r="V18169" s="318"/>
      <c r="W18169" s="318"/>
      <c r="X18169" s="318"/>
      <c r="Y18169" s="318"/>
      <c r="Z18169" s="318"/>
      <c r="AA18169" s="318"/>
      <c r="AB18169" s="318"/>
      <c r="AC18169" s="318"/>
      <c r="AD18169" s="318"/>
    </row>
    <row r="18170" spans="2:30" s="323" customFormat="1" ht="12" customHeight="1">
      <c r="B18170" s="324"/>
      <c r="C18170" s="325"/>
      <c r="D18170" s="326"/>
      <c r="E18170" s="326"/>
      <c r="F18170" s="326"/>
      <c r="G18170" s="326"/>
      <c r="H18170" s="326"/>
      <c r="P18170" s="318"/>
      <c r="Q18170" s="318"/>
      <c r="R18170" s="318"/>
      <c r="S18170" s="318"/>
      <c r="T18170" s="318"/>
      <c r="U18170" s="318"/>
      <c r="V18170" s="318"/>
      <c r="W18170" s="318"/>
      <c r="X18170" s="318"/>
      <c r="Y18170" s="318"/>
      <c r="Z18170" s="318"/>
      <c r="AA18170" s="318"/>
      <c r="AB18170" s="318"/>
      <c r="AC18170" s="318"/>
      <c r="AD18170" s="318"/>
    </row>
    <row r="18171" spans="2:30" s="323" customFormat="1" ht="12" customHeight="1">
      <c r="B18171" s="324"/>
      <c r="C18171" s="325"/>
      <c r="D18171" s="326"/>
      <c r="E18171" s="326"/>
      <c r="F18171" s="326"/>
      <c r="G18171" s="326"/>
      <c r="H18171" s="326"/>
      <c r="P18171" s="318"/>
      <c r="Q18171" s="318"/>
      <c r="R18171" s="318"/>
      <c r="S18171" s="318"/>
      <c r="T18171" s="318"/>
      <c r="U18171" s="318"/>
      <c r="V18171" s="318"/>
      <c r="W18171" s="318"/>
      <c r="X18171" s="318"/>
      <c r="Y18171" s="318"/>
      <c r="Z18171" s="318"/>
      <c r="AA18171" s="318"/>
      <c r="AB18171" s="318"/>
      <c r="AC18171" s="318"/>
      <c r="AD18171" s="318"/>
    </row>
    <row r="18172" spans="2:30" s="323" customFormat="1" ht="12" customHeight="1">
      <c r="B18172" s="324"/>
      <c r="C18172" s="325"/>
      <c r="D18172" s="326"/>
      <c r="E18172" s="326"/>
      <c r="F18172" s="326"/>
      <c r="G18172" s="326"/>
      <c r="H18172" s="326"/>
      <c r="P18172" s="318"/>
      <c r="Q18172" s="318"/>
      <c r="R18172" s="318"/>
      <c r="S18172" s="318"/>
      <c r="T18172" s="318"/>
      <c r="U18172" s="318"/>
      <c r="V18172" s="318"/>
      <c r="W18172" s="318"/>
      <c r="X18172" s="318"/>
      <c r="Y18172" s="318"/>
      <c r="Z18172" s="318"/>
      <c r="AA18172" s="318"/>
      <c r="AB18172" s="318"/>
      <c r="AC18172" s="318"/>
      <c r="AD18172" s="318"/>
    </row>
    <row r="18173" spans="2:30" s="323" customFormat="1" ht="12" customHeight="1">
      <c r="B18173" s="324"/>
      <c r="C18173" s="325"/>
      <c r="D18173" s="326"/>
      <c r="E18173" s="326"/>
      <c r="F18173" s="326"/>
      <c r="G18173" s="326"/>
      <c r="H18173" s="326"/>
      <c r="P18173" s="318"/>
      <c r="Q18173" s="318"/>
      <c r="R18173" s="318"/>
      <c r="S18173" s="318"/>
      <c r="T18173" s="318"/>
      <c r="U18173" s="318"/>
      <c r="V18173" s="318"/>
      <c r="W18173" s="318"/>
      <c r="X18173" s="318"/>
      <c r="Y18173" s="318"/>
      <c r="Z18173" s="318"/>
      <c r="AA18173" s="318"/>
      <c r="AB18173" s="318"/>
      <c r="AC18173" s="318"/>
      <c r="AD18173" s="318"/>
    </row>
    <row r="18174" spans="2:30" s="323" customFormat="1" ht="12" customHeight="1">
      <c r="B18174" s="324"/>
      <c r="C18174" s="325"/>
      <c r="D18174" s="326"/>
      <c r="E18174" s="326"/>
      <c r="F18174" s="326"/>
      <c r="G18174" s="326"/>
      <c r="H18174" s="326"/>
      <c r="P18174" s="318"/>
      <c r="Q18174" s="318"/>
      <c r="R18174" s="318"/>
      <c r="S18174" s="318"/>
      <c r="T18174" s="318"/>
      <c r="U18174" s="318"/>
      <c r="V18174" s="318"/>
      <c r="W18174" s="318"/>
      <c r="X18174" s="318"/>
      <c r="Y18174" s="318"/>
      <c r="Z18174" s="318"/>
      <c r="AA18174" s="318"/>
      <c r="AB18174" s="318"/>
      <c r="AC18174" s="318"/>
      <c r="AD18174" s="318"/>
    </row>
    <row r="18175" spans="2:30" s="323" customFormat="1" ht="12" customHeight="1">
      <c r="B18175" s="324"/>
      <c r="C18175" s="325"/>
      <c r="D18175" s="326"/>
      <c r="E18175" s="326"/>
      <c r="F18175" s="326"/>
      <c r="G18175" s="326"/>
      <c r="H18175" s="326"/>
      <c r="P18175" s="318"/>
      <c r="Q18175" s="318"/>
      <c r="R18175" s="318"/>
      <c r="S18175" s="318"/>
      <c r="T18175" s="318"/>
      <c r="U18175" s="318"/>
      <c r="V18175" s="318"/>
      <c r="W18175" s="318"/>
      <c r="X18175" s="318"/>
      <c r="Y18175" s="318"/>
      <c r="Z18175" s="318"/>
      <c r="AA18175" s="318"/>
      <c r="AB18175" s="318"/>
      <c r="AC18175" s="318"/>
      <c r="AD18175" s="318"/>
    </row>
    <row r="18176" spans="2:30" s="323" customFormat="1" ht="12" customHeight="1">
      <c r="B18176" s="324"/>
      <c r="C18176" s="325"/>
      <c r="D18176" s="326"/>
      <c r="E18176" s="326"/>
      <c r="F18176" s="326"/>
      <c r="G18176" s="326"/>
      <c r="H18176" s="326"/>
      <c r="P18176" s="318"/>
      <c r="Q18176" s="318"/>
      <c r="R18176" s="318"/>
      <c r="S18176" s="318"/>
      <c r="T18176" s="318"/>
      <c r="U18176" s="318"/>
      <c r="V18176" s="318"/>
      <c r="W18176" s="318"/>
      <c r="X18176" s="318"/>
      <c r="Y18176" s="318"/>
      <c r="Z18176" s="318"/>
      <c r="AA18176" s="318"/>
      <c r="AB18176" s="318"/>
      <c r="AC18176" s="318"/>
      <c r="AD18176" s="318"/>
    </row>
    <row r="18177" spans="2:30" s="323" customFormat="1" ht="12" customHeight="1">
      <c r="B18177" s="324"/>
      <c r="C18177" s="325"/>
      <c r="D18177" s="326"/>
      <c r="E18177" s="326"/>
      <c r="F18177" s="326"/>
      <c r="G18177" s="326"/>
      <c r="H18177" s="326"/>
      <c r="P18177" s="318"/>
      <c r="Q18177" s="318"/>
      <c r="R18177" s="318"/>
      <c r="S18177" s="318"/>
      <c r="T18177" s="318"/>
      <c r="U18177" s="318"/>
      <c r="V18177" s="318"/>
      <c r="W18177" s="318"/>
      <c r="X18177" s="318"/>
      <c r="Y18177" s="318"/>
      <c r="Z18177" s="318"/>
      <c r="AA18177" s="318"/>
      <c r="AB18177" s="318"/>
      <c r="AC18177" s="318"/>
      <c r="AD18177" s="318"/>
    </row>
    <row r="18178" spans="2:30" s="323" customFormat="1" ht="12" customHeight="1">
      <c r="B18178" s="324"/>
      <c r="C18178" s="325"/>
      <c r="D18178" s="326"/>
      <c r="E18178" s="326"/>
      <c r="F18178" s="326"/>
      <c r="G18178" s="326"/>
      <c r="H18178" s="326"/>
      <c r="P18178" s="318"/>
      <c r="Q18178" s="318"/>
      <c r="R18178" s="318"/>
      <c r="S18178" s="318"/>
      <c r="T18178" s="318"/>
      <c r="U18178" s="318"/>
      <c r="V18178" s="318"/>
      <c r="W18178" s="318"/>
      <c r="X18178" s="318"/>
      <c r="Y18178" s="318"/>
      <c r="Z18178" s="318"/>
      <c r="AA18178" s="318"/>
      <c r="AB18178" s="318"/>
      <c r="AC18178" s="318"/>
      <c r="AD18178" s="318"/>
    </row>
    <row r="18179" spans="2:30" s="323" customFormat="1" ht="12" customHeight="1">
      <c r="B18179" s="324"/>
      <c r="C18179" s="325"/>
      <c r="D18179" s="326"/>
      <c r="E18179" s="326"/>
      <c r="F18179" s="326"/>
      <c r="G18179" s="326"/>
      <c r="H18179" s="326"/>
      <c r="P18179" s="318"/>
      <c r="Q18179" s="318"/>
      <c r="R18179" s="318"/>
      <c r="S18179" s="318"/>
      <c r="T18179" s="318"/>
      <c r="U18179" s="318"/>
      <c r="V18179" s="318"/>
      <c r="W18179" s="318"/>
      <c r="X18179" s="318"/>
      <c r="Y18179" s="318"/>
      <c r="Z18179" s="318"/>
      <c r="AA18179" s="318"/>
      <c r="AB18179" s="318"/>
      <c r="AC18179" s="318"/>
      <c r="AD18179" s="318"/>
    </row>
    <row r="18180" spans="2:30" s="323" customFormat="1" ht="12" customHeight="1">
      <c r="B18180" s="324"/>
      <c r="C18180" s="325"/>
      <c r="D18180" s="326"/>
      <c r="E18180" s="326"/>
      <c r="F18180" s="326"/>
      <c r="G18180" s="326"/>
      <c r="H18180" s="326"/>
      <c r="P18180" s="318"/>
      <c r="Q18180" s="318"/>
      <c r="R18180" s="318"/>
      <c r="S18180" s="318"/>
      <c r="T18180" s="318"/>
      <c r="U18180" s="318"/>
      <c r="V18180" s="318"/>
      <c r="W18180" s="318"/>
      <c r="X18180" s="318"/>
      <c r="Y18180" s="318"/>
      <c r="Z18180" s="318"/>
      <c r="AA18180" s="318"/>
      <c r="AB18180" s="318"/>
      <c r="AC18180" s="318"/>
      <c r="AD18180" s="318"/>
    </row>
    <row r="18181" spans="2:30" s="323" customFormat="1" ht="12" customHeight="1">
      <c r="B18181" s="324"/>
      <c r="C18181" s="325"/>
      <c r="D18181" s="326"/>
      <c r="E18181" s="326"/>
      <c r="F18181" s="326"/>
      <c r="G18181" s="326"/>
      <c r="H18181" s="326"/>
      <c r="P18181" s="318"/>
      <c r="Q18181" s="318"/>
      <c r="R18181" s="318"/>
      <c r="S18181" s="318"/>
      <c r="T18181" s="318"/>
      <c r="U18181" s="318"/>
      <c r="V18181" s="318"/>
      <c r="W18181" s="318"/>
      <c r="X18181" s="318"/>
      <c r="Y18181" s="318"/>
      <c r="Z18181" s="318"/>
      <c r="AA18181" s="318"/>
      <c r="AB18181" s="318"/>
      <c r="AC18181" s="318"/>
      <c r="AD18181" s="318"/>
    </row>
    <row r="18182" spans="2:30" s="323" customFormat="1" ht="12" customHeight="1">
      <c r="B18182" s="324"/>
      <c r="C18182" s="325"/>
      <c r="D18182" s="326"/>
      <c r="E18182" s="326"/>
      <c r="F18182" s="326"/>
      <c r="G18182" s="326"/>
      <c r="H18182" s="326"/>
      <c r="P18182" s="318"/>
      <c r="Q18182" s="318"/>
      <c r="R18182" s="318"/>
      <c r="S18182" s="318"/>
      <c r="T18182" s="318"/>
      <c r="U18182" s="318"/>
      <c r="V18182" s="318"/>
      <c r="W18182" s="318"/>
      <c r="X18182" s="318"/>
      <c r="Y18182" s="318"/>
      <c r="Z18182" s="318"/>
      <c r="AA18182" s="318"/>
      <c r="AB18182" s="318"/>
      <c r="AC18182" s="318"/>
      <c r="AD18182" s="318"/>
    </row>
    <row r="18183" spans="2:30" s="323" customFormat="1" ht="12" customHeight="1">
      <c r="B18183" s="324"/>
      <c r="C18183" s="325"/>
      <c r="D18183" s="326"/>
      <c r="E18183" s="326"/>
      <c r="F18183" s="326"/>
      <c r="G18183" s="326"/>
      <c r="H18183" s="326"/>
      <c r="P18183" s="318"/>
      <c r="Q18183" s="318"/>
      <c r="R18183" s="318"/>
      <c r="S18183" s="318"/>
      <c r="T18183" s="318"/>
      <c r="U18183" s="318"/>
      <c r="V18183" s="318"/>
      <c r="W18183" s="318"/>
      <c r="X18183" s="318"/>
      <c r="Y18183" s="318"/>
      <c r="Z18183" s="318"/>
      <c r="AA18183" s="318"/>
      <c r="AB18183" s="318"/>
      <c r="AC18183" s="318"/>
      <c r="AD18183" s="318"/>
    </row>
    <row r="18184" spans="2:30" s="323" customFormat="1" ht="12" customHeight="1">
      <c r="B18184" s="324"/>
      <c r="C18184" s="325"/>
      <c r="D18184" s="326"/>
      <c r="E18184" s="326"/>
      <c r="F18184" s="326"/>
      <c r="G18184" s="326"/>
      <c r="H18184" s="326"/>
      <c r="P18184" s="318"/>
      <c r="Q18184" s="318"/>
      <c r="R18184" s="318"/>
      <c r="S18184" s="318"/>
      <c r="T18184" s="318"/>
      <c r="U18184" s="318"/>
      <c r="V18184" s="318"/>
      <c r="W18184" s="318"/>
      <c r="X18184" s="318"/>
      <c r="Y18184" s="318"/>
      <c r="Z18184" s="318"/>
      <c r="AA18184" s="318"/>
      <c r="AB18184" s="318"/>
      <c r="AC18184" s="318"/>
      <c r="AD18184" s="318"/>
    </row>
    <row r="18185" spans="2:30" s="323" customFormat="1" ht="12" customHeight="1">
      <c r="B18185" s="324"/>
      <c r="C18185" s="325"/>
      <c r="D18185" s="326"/>
      <c r="E18185" s="326"/>
      <c r="F18185" s="326"/>
      <c r="G18185" s="326"/>
      <c r="H18185" s="326"/>
      <c r="P18185" s="318"/>
      <c r="Q18185" s="318"/>
      <c r="R18185" s="318"/>
      <c r="S18185" s="318"/>
      <c r="T18185" s="318"/>
      <c r="U18185" s="318"/>
      <c r="V18185" s="318"/>
      <c r="W18185" s="318"/>
      <c r="X18185" s="318"/>
      <c r="Y18185" s="318"/>
      <c r="Z18185" s="318"/>
      <c r="AA18185" s="318"/>
      <c r="AB18185" s="318"/>
      <c r="AC18185" s="318"/>
      <c r="AD18185" s="318"/>
    </row>
    <row r="18186" spans="2:30" s="323" customFormat="1" ht="12" customHeight="1">
      <c r="B18186" s="324"/>
      <c r="C18186" s="325"/>
      <c r="D18186" s="326"/>
      <c r="E18186" s="326"/>
      <c r="F18186" s="326"/>
      <c r="G18186" s="326"/>
      <c r="H18186" s="326"/>
      <c r="P18186" s="318"/>
      <c r="Q18186" s="318"/>
      <c r="R18186" s="318"/>
      <c r="S18186" s="318"/>
      <c r="T18186" s="318"/>
      <c r="U18186" s="318"/>
      <c r="V18186" s="318"/>
      <c r="W18186" s="318"/>
      <c r="X18186" s="318"/>
      <c r="Y18186" s="318"/>
      <c r="Z18186" s="318"/>
      <c r="AA18186" s="318"/>
      <c r="AB18186" s="318"/>
      <c r="AC18186" s="318"/>
      <c r="AD18186" s="318"/>
    </row>
    <row r="18187" spans="2:30" s="323" customFormat="1" ht="12" customHeight="1">
      <c r="B18187" s="324"/>
      <c r="C18187" s="325"/>
      <c r="D18187" s="326"/>
      <c r="E18187" s="326"/>
      <c r="F18187" s="326"/>
      <c r="G18187" s="326"/>
      <c r="H18187" s="326"/>
      <c r="P18187" s="318"/>
      <c r="Q18187" s="318"/>
      <c r="R18187" s="318"/>
      <c r="S18187" s="318"/>
      <c r="T18187" s="318"/>
      <c r="U18187" s="318"/>
      <c r="V18187" s="318"/>
      <c r="W18187" s="318"/>
      <c r="X18187" s="318"/>
      <c r="Y18187" s="318"/>
      <c r="Z18187" s="318"/>
      <c r="AA18187" s="318"/>
      <c r="AB18187" s="318"/>
      <c r="AC18187" s="318"/>
      <c r="AD18187" s="318"/>
    </row>
    <row r="18188" spans="2:30" s="323" customFormat="1" ht="12" customHeight="1">
      <c r="B18188" s="324"/>
      <c r="C18188" s="325"/>
      <c r="D18188" s="326"/>
      <c r="E18188" s="326"/>
      <c r="F18188" s="326"/>
      <c r="G18188" s="326"/>
      <c r="H18188" s="326"/>
      <c r="P18188" s="318"/>
      <c r="Q18188" s="318"/>
      <c r="R18188" s="318"/>
      <c r="S18188" s="318"/>
      <c r="T18188" s="318"/>
      <c r="U18188" s="318"/>
      <c r="V18188" s="318"/>
      <c r="W18188" s="318"/>
      <c r="X18188" s="318"/>
      <c r="Y18188" s="318"/>
      <c r="Z18188" s="318"/>
      <c r="AA18188" s="318"/>
      <c r="AB18188" s="318"/>
      <c r="AC18188" s="318"/>
      <c r="AD18188" s="318"/>
    </row>
    <row r="18189" spans="2:30" s="323" customFormat="1" ht="12" customHeight="1">
      <c r="B18189" s="324"/>
      <c r="C18189" s="325"/>
      <c r="D18189" s="326"/>
      <c r="E18189" s="326"/>
      <c r="F18189" s="326"/>
      <c r="G18189" s="326"/>
      <c r="H18189" s="326"/>
      <c r="P18189" s="318"/>
      <c r="Q18189" s="318"/>
      <c r="R18189" s="318"/>
      <c r="S18189" s="318"/>
      <c r="T18189" s="318"/>
      <c r="U18189" s="318"/>
      <c r="V18189" s="318"/>
      <c r="W18189" s="318"/>
      <c r="X18189" s="318"/>
      <c r="Y18189" s="318"/>
      <c r="Z18189" s="318"/>
      <c r="AA18189" s="318"/>
      <c r="AB18189" s="318"/>
      <c r="AC18189" s="318"/>
      <c r="AD18189" s="318"/>
    </row>
    <row r="18190" spans="2:30" s="323" customFormat="1" ht="12" customHeight="1">
      <c r="B18190" s="324"/>
      <c r="C18190" s="325"/>
      <c r="D18190" s="326"/>
      <c r="E18190" s="326"/>
      <c r="F18190" s="326"/>
      <c r="G18190" s="326"/>
      <c r="H18190" s="326"/>
      <c r="P18190" s="318"/>
      <c r="Q18190" s="318"/>
      <c r="R18190" s="318"/>
      <c r="S18190" s="318"/>
      <c r="T18190" s="318"/>
      <c r="U18190" s="318"/>
      <c r="V18190" s="318"/>
      <c r="W18190" s="318"/>
      <c r="X18190" s="318"/>
      <c r="Y18190" s="318"/>
      <c r="Z18190" s="318"/>
      <c r="AA18190" s="318"/>
      <c r="AB18190" s="318"/>
      <c r="AC18190" s="318"/>
      <c r="AD18190" s="318"/>
    </row>
    <row r="18191" spans="2:30" s="323" customFormat="1" ht="12" customHeight="1">
      <c r="B18191" s="324"/>
      <c r="C18191" s="325"/>
      <c r="D18191" s="326"/>
      <c r="E18191" s="326"/>
      <c r="F18191" s="326"/>
      <c r="G18191" s="326"/>
      <c r="H18191" s="326"/>
      <c r="P18191" s="318"/>
      <c r="Q18191" s="318"/>
      <c r="R18191" s="318"/>
      <c r="S18191" s="318"/>
      <c r="T18191" s="318"/>
      <c r="U18191" s="318"/>
      <c r="V18191" s="318"/>
      <c r="W18191" s="318"/>
      <c r="X18191" s="318"/>
      <c r="Y18191" s="318"/>
      <c r="Z18191" s="318"/>
      <c r="AA18191" s="318"/>
      <c r="AB18191" s="318"/>
      <c r="AC18191" s="318"/>
      <c r="AD18191" s="318"/>
    </row>
    <row r="18192" spans="2:30" s="323" customFormat="1" ht="12" customHeight="1">
      <c r="B18192" s="324"/>
      <c r="C18192" s="325"/>
      <c r="D18192" s="326"/>
      <c r="E18192" s="326"/>
      <c r="F18192" s="326"/>
      <c r="G18192" s="326"/>
      <c r="H18192" s="326"/>
      <c r="P18192" s="318"/>
      <c r="Q18192" s="318"/>
      <c r="R18192" s="318"/>
      <c r="S18192" s="318"/>
      <c r="T18192" s="318"/>
      <c r="U18192" s="318"/>
      <c r="V18192" s="318"/>
      <c r="W18192" s="318"/>
      <c r="X18192" s="318"/>
      <c r="Y18192" s="318"/>
      <c r="Z18192" s="318"/>
      <c r="AA18192" s="318"/>
      <c r="AB18192" s="318"/>
      <c r="AC18192" s="318"/>
      <c r="AD18192" s="318"/>
    </row>
    <row r="18193" spans="2:30" s="323" customFormat="1" ht="12" customHeight="1">
      <c r="B18193" s="324"/>
      <c r="C18193" s="325"/>
      <c r="D18193" s="326"/>
      <c r="E18193" s="326"/>
      <c r="F18193" s="326"/>
      <c r="G18193" s="326"/>
      <c r="H18193" s="326"/>
      <c r="P18193" s="318"/>
      <c r="Q18193" s="318"/>
      <c r="R18193" s="318"/>
      <c r="S18193" s="318"/>
      <c r="T18193" s="318"/>
      <c r="U18193" s="318"/>
      <c r="V18193" s="318"/>
      <c r="W18193" s="318"/>
      <c r="X18193" s="318"/>
      <c r="Y18193" s="318"/>
      <c r="Z18193" s="318"/>
      <c r="AA18193" s="318"/>
      <c r="AB18193" s="318"/>
      <c r="AC18193" s="318"/>
      <c r="AD18193" s="318"/>
    </row>
    <row r="18194" spans="2:30" s="323" customFormat="1" ht="12" customHeight="1">
      <c r="B18194" s="324"/>
      <c r="C18194" s="325"/>
      <c r="D18194" s="326"/>
      <c r="E18194" s="326"/>
      <c r="F18194" s="326"/>
      <c r="G18194" s="326"/>
      <c r="H18194" s="326"/>
      <c r="P18194" s="318"/>
      <c r="Q18194" s="318"/>
      <c r="R18194" s="318"/>
      <c r="S18194" s="318"/>
      <c r="T18194" s="318"/>
      <c r="U18194" s="318"/>
      <c r="V18194" s="318"/>
      <c r="W18194" s="318"/>
      <c r="X18194" s="318"/>
      <c r="Y18194" s="318"/>
      <c r="Z18194" s="318"/>
      <c r="AA18194" s="318"/>
      <c r="AB18194" s="318"/>
      <c r="AC18194" s="318"/>
      <c r="AD18194" s="318"/>
    </row>
    <row r="18195" spans="2:30" s="323" customFormat="1" ht="12" customHeight="1">
      <c r="B18195" s="324"/>
      <c r="C18195" s="325"/>
      <c r="D18195" s="326"/>
      <c r="E18195" s="326"/>
      <c r="F18195" s="326"/>
      <c r="G18195" s="326"/>
      <c r="H18195" s="326"/>
      <c r="P18195" s="318"/>
      <c r="Q18195" s="318"/>
      <c r="R18195" s="318"/>
      <c r="S18195" s="318"/>
      <c r="T18195" s="318"/>
      <c r="U18195" s="318"/>
      <c r="V18195" s="318"/>
      <c r="W18195" s="318"/>
      <c r="X18195" s="318"/>
      <c r="Y18195" s="318"/>
      <c r="Z18195" s="318"/>
      <c r="AA18195" s="318"/>
      <c r="AB18195" s="318"/>
      <c r="AC18195" s="318"/>
      <c r="AD18195" s="318"/>
    </row>
    <row r="18196" spans="2:30" s="323" customFormat="1" ht="12" customHeight="1">
      <c r="B18196" s="324"/>
      <c r="C18196" s="325"/>
      <c r="D18196" s="326"/>
      <c r="E18196" s="326"/>
      <c r="F18196" s="326"/>
      <c r="G18196" s="326"/>
      <c r="H18196" s="326"/>
      <c r="P18196" s="318"/>
      <c r="Q18196" s="318"/>
      <c r="R18196" s="318"/>
      <c r="S18196" s="318"/>
      <c r="T18196" s="318"/>
      <c r="U18196" s="318"/>
      <c r="V18196" s="318"/>
      <c r="W18196" s="318"/>
      <c r="X18196" s="318"/>
      <c r="Y18196" s="318"/>
      <c r="Z18196" s="318"/>
      <c r="AA18196" s="318"/>
      <c r="AB18196" s="318"/>
      <c r="AC18196" s="318"/>
      <c r="AD18196" s="318"/>
    </row>
    <row r="18197" spans="2:30" s="323" customFormat="1" ht="12" customHeight="1">
      <c r="B18197" s="324"/>
      <c r="C18197" s="325"/>
      <c r="D18197" s="326"/>
      <c r="E18197" s="326"/>
      <c r="F18197" s="326"/>
      <c r="G18197" s="326"/>
      <c r="H18197" s="326"/>
      <c r="P18197" s="318"/>
      <c r="Q18197" s="318"/>
      <c r="R18197" s="318"/>
      <c r="S18197" s="318"/>
      <c r="T18197" s="318"/>
      <c r="U18197" s="318"/>
      <c r="V18197" s="318"/>
      <c r="W18197" s="318"/>
      <c r="X18197" s="318"/>
      <c r="Y18197" s="318"/>
      <c r="Z18197" s="318"/>
      <c r="AA18197" s="318"/>
      <c r="AB18197" s="318"/>
      <c r="AC18197" s="318"/>
      <c r="AD18197" s="318"/>
    </row>
    <row r="18198" spans="2:30" s="323" customFormat="1" ht="12" customHeight="1">
      <c r="B18198" s="324"/>
      <c r="C18198" s="325"/>
      <c r="D18198" s="326"/>
      <c r="E18198" s="326"/>
      <c r="F18198" s="326"/>
      <c r="G18198" s="326"/>
      <c r="H18198" s="326"/>
      <c r="P18198" s="318"/>
      <c r="Q18198" s="318"/>
      <c r="R18198" s="318"/>
      <c r="S18198" s="318"/>
      <c r="T18198" s="318"/>
      <c r="U18198" s="318"/>
      <c r="V18198" s="318"/>
      <c r="W18198" s="318"/>
      <c r="X18198" s="318"/>
      <c r="Y18198" s="318"/>
      <c r="Z18198" s="318"/>
      <c r="AA18198" s="318"/>
      <c r="AB18198" s="318"/>
      <c r="AC18198" s="318"/>
      <c r="AD18198" s="318"/>
    </row>
    <row r="18199" spans="2:30" s="323" customFormat="1" ht="12" customHeight="1">
      <c r="B18199" s="324"/>
      <c r="C18199" s="325"/>
      <c r="D18199" s="326"/>
      <c r="E18199" s="326"/>
      <c r="F18199" s="326"/>
      <c r="G18199" s="326"/>
      <c r="H18199" s="326"/>
      <c r="P18199" s="318"/>
      <c r="Q18199" s="318"/>
      <c r="R18199" s="318"/>
      <c r="S18199" s="318"/>
      <c r="T18199" s="318"/>
      <c r="U18199" s="318"/>
      <c r="V18199" s="318"/>
      <c r="W18199" s="318"/>
      <c r="X18199" s="318"/>
      <c r="Y18199" s="318"/>
      <c r="Z18199" s="318"/>
      <c r="AA18199" s="318"/>
      <c r="AB18199" s="318"/>
      <c r="AC18199" s="318"/>
      <c r="AD18199" s="318"/>
    </row>
    <row r="18200" spans="2:30" s="323" customFormat="1" ht="12" customHeight="1">
      <c r="B18200" s="324"/>
      <c r="C18200" s="325"/>
      <c r="D18200" s="326"/>
      <c r="E18200" s="326"/>
      <c r="F18200" s="326"/>
      <c r="G18200" s="326"/>
      <c r="H18200" s="326"/>
      <c r="P18200" s="318"/>
      <c r="Q18200" s="318"/>
      <c r="R18200" s="318"/>
      <c r="S18200" s="318"/>
      <c r="T18200" s="318"/>
      <c r="U18200" s="318"/>
      <c r="V18200" s="318"/>
      <c r="W18200" s="318"/>
      <c r="X18200" s="318"/>
      <c r="Y18200" s="318"/>
      <c r="Z18200" s="318"/>
      <c r="AA18200" s="318"/>
      <c r="AB18200" s="318"/>
      <c r="AC18200" s="318"/>
      <c r="AD18200" s="318"/>
    </row>
    <row r="18201" spans="2:30" s="323" customFormat="1" ht="12" customHeight="1">
      <c r="B18201" s="324"/>
      <c r="C18201" s="325"/>
      <c r="D18201" s="326"/>
      <c r="E18201" s="326"/>
      <c r="F18201" s="326"/>
      <c r="G18201" s="326"/>
      <c r="H18201" s="326"/>
      <c r="P18201" s="318"/>
      <c r="Q18201" s="318"/>
      <c r="R18201" s="318"/>
      <c r="S18201" s="318"/>
      <c r="T18201" s="318"/>
      <c r="U18201" s="318"/>
      <c r="V18201" s="318"/>
      <c r="W18201" s="318"/>
      <c r="X18201" s="318"/>
      <c r="Y18201" s="318"/>
      <c r="Z18201" s="318"/>
      <c r="AA18201" s="318"/>
      <c r="AB18201" s="318"/>
      <c r="AC18201" s="318"/>
      <c r="AD18201" s="318"/>
    </row>
    <row r="18202" spans="2:30" s="323" customFormat="1" ht="12" customHeight="1">
      <c r="B18202" s="324"/>
      <c r="C18202" s="325"/>
      <c r="D18202" s="326"/>
      <c r="E18202" s="326"/>
      <c r="F18202" s="326"/>
      <c r="G18202" s="326"/>
      <c r="H18202" s="326"/>
      <c r="P18202" s="318"/>
      <c r="Q18202" s="318"/>
      <c r="R18202" s="318"/>
      <c r="S18202" s="318"/>
      <c r="T18202" s="318"/>
      <c r="U18202" s="318"/>
      <c r="V18202" s="318"/>
      <c r="W18202" s="318"/>
      <c r="X18202" s="318"/>
      <c r="Y18202" s="318"/>
      <c r="Z18202" s="318"/>
      <c r="AA18202" s="318"/>
      <c r="AB18202" s="318"/>
      <c r="AC18202" s="318"/>
      <c r="AD18202" s="318"/>
    </row>
    <row r="18203" spans="2:30" s="323" customFormat="1" ht="12" customHeight="1">
      <c r="B18203" s="324"/>
      <c r="C18203" s="325"/>
      <c r="D18203" s="326"/>
      <c r="E18203" s="326"/>
      <c r="F18203" s="326"/>
      <c r="G18203" s="326"/>
      <c r="H18203" s="326"/>
      <c r="P18203" s="318"/>
      <c r="Q18203" s="318"/>
      <c r="R18203" s="318"/>
      <c r="S18203" s="318"/>
      <c r="T18203" s="318"/>
      <c r="U18203" s="318"/>
      <c r="V18203" s="318"/>
      <c r="W18203" s="318"/>
      <c r="X18203" s="318"/>
      <c r="Y18203" s="318"/>
      <c r="Z18203" s="318"/>
      <c r="AA18203" s="318"/>
      <c r="AB18203" s="318"/>
      <c r="AC18203" s="318"/>
      <c r="AD18203" s="318"/>
    </row>
    <row r="18204" spans="2:30" s="323" customFormat="1" ht="12" customHeight="1">
      <c r="B18204" s="324"/>
      <c r="C18204" s="325"/>
      <c r="D18204" s="326"/>
      <c r="E18204" s="326"/>
      <c r="F18204" s="326"/>
      <c r="G18204" s="326"/>
      <c r="H18204" s="326"/>
      <c r="P18204" s="318"/>
      <c r="Q18204" s="318"/>
      <c r="R18204" s="318"/>
      <c r="S18204" s="318"/>
      <c r="T18204" s="318"/>
      <c r="U18204" s="318"/>
      <c r="V18204" s="318"/>
      <c r="W18204" s="318"/>
      <c r="X18204" s="318"/>
      <c r="Y18204" s="318"/>
      <c r="Z18204" s="318"/>
      <c r="AA18204" s="318"/>
      <c r="AB18204" s="318"/>
      <c r="AC18204" s="318"/>
      <c r="AD18204" s="318"/>
    </row>
    <row r="18205" spans="2:30" s="323" customFormat="1" ht="12" customHeight="1">
      <c r="B18205" s="324"/>
      <c r="C18205" s="325"/>
      <c r="D18205" s="326"/>
      <c r="E18205" s="326"/>
      <c r="F18205" s="326"/>
      <c r="G18205" s="326"/>
      <c r="H18205" s="326"/>
      <c r="P18205" s="318"/>
      <c r="Q18205" s="318"/>
      <c r="R18205" s="318"/>
      <c r="S18205" s="318"/>
      <c r="T18205" s="318"/>
      <c r="U18205" s="318"/>
      <c r="V18205" s="318"/>
      <c r="W18205" s="318"/>
      <c r="X18205" s="318"/>
      <c r="Y18205" s="318"/>
      <c r="Z18205" s="318"/>
      <c r="AA18205" s="318"/>
      <c r="AB18205" s="318"/>
      <c r="AC18205" s="318"/>
      <c r="AD18205" s="318"/>
    </row>
    <row r="18206" spans="2:30" s="323" customFormat="1" ht="12" customHeight="1">
      <c r="B18206" s="324"/>
      <c r="C18206" s="325"/>
      <c r="D18206" s="326"/>
      <c r="E18206" s="326"/>
      <c r="F18206" s="326"/>
      <c r="G18206" s="326"/>
      <c r="H18206" s="326"/>
      <c r="P18206" s="318"/>
      <c r="Q18206" s="318"/>
      <c r="R18206" s="318"/>
      <c r="S18206" s="318"/>
      <c r="T18206" s="318"/>
      <c r="U18206" s="318"/>
      <c r="V18206" s="318"/>
      <c r="W18206" s="318"/>
      <c r="X18206" s="318"/>
      <c r="Y18206" s="318"/>
      <c r="Z18206" s="318"/>
      <c r="AA18206" s="318"/>
      <c r="AB18206" s="318"/>
      <c r="AC18206" s="318"/>
      <c r="AD18206" s="318"/>
    </row>
    <row r="18207" spans="2:30" s="323" customFormat="1" ht="12" customHeight="1">
      <c r="B18207" s="324"/>
      <c r="C18207" s="325"/>
      <c r="D18207" s="326"/>
      <c r="E18207" s="326"/>
      <c r="F18207" s="326"/>
      <c r="G18207" s="326"/>
      <c r="H18207" s="326"/>
      <c r="P18207" s="318"/>
      <c r="Q18207" s="318"/>
      <c r="R18207" s="318"/>
      <c r="S18207" s="318"/>
      <c r="T18207" s="318"/>
      <c r="U18207" s="318"/>
      <c r="V18207" s="318"/>
      <c r="W18207" s="318"/>
      <c r="X18207" s="318"/>
      <c r="Y18207" s="318"/>
      <c r="Z18207" s="318"/>
      <c r="AA18207" s="318"/>
      <c r="AB18207" s="318"/>
      <c r="AC18207" s="318"/>
      <c r="AD18207" s="318"/>
    </row>
    <row r="18208" spans="2:30" s="323" customFormat="1" ht="12" customHeight="1">
      <c r="B18208" s="324"/>
      <c r="C18208" s="325"/>
      <c r="D18208" s="326"/>
      <c r="E18208" s="326"/>
      <c r="F18208" s="326"/>
      <c r="G18208" s="326"/>
      <c r="H18208" s="326"/>
      <c r="P18208" s="318"/>
      <c r="Q18208" s="318"/>
      <c r="R18208" s="318"/>
      <c r="S18208" s="318"/>
      <c r="T18208" s="318"/>
      <c r="U18208" s="318"/>
      <c r="V18208" s="318"/>
      <c r="W18208" s="318"/>
      <c r="X18208" s="318"/>
      <c r="Y18208" s="318"/>
      <c r="Z18208" s="318"/>
      <c r="AA18208" s="318"/>
      <c r="AB18208" s="318"/>
      <c r="AC18208" s="318"/>
      <c r="AD18208" s="318"/>
    </row>
    <row r="18209" spans="2:30" s="323" customFormat="1" ht="12" customHeight="1">
      <c r="B18209" s="324"/>
      <c r="C18209" s="325"/>
      <c r="D18209" s="326"/>
      <c r="E18209" s="326"/>
      <c r="F18209" s="326"/>
      <c r="G18209" s="326"/>
      <c r="H18209" s="326"/>
      <c r="P18209" s="318"/>
      <c r="Q18209" s="318"/>
      <c r="R18209" s="318"/>
      <c r="S18209" s="318"/>
      <c r="T18209" s="318"/>
      <c r="U18209" s="318"/>
      <c r="V18209" s="318"/>
      <c r="W18209" s="318"/>
      <c r="X18209" s="318"/>
      <c r="Y18209" s="318"/>
      <c r="Z18209" s="318"/>
      <c r="AA18209" s="318"/>
      <c r="AB18209" s="318"/>
      <c r="AC18209" s="318"/>
      <c r="AD18209" s="318"/>
    </row>
    <row r="18210" spans="2:30" s="323" customFormat="1" ht="12" customHeight="1">
      <c r="B18210" s="324"/>
      <c r="C18210" s="325"/>
      <c r="D18210" s="326"/>
      <c r="E18210" s="326"/>
      <c r="F18210" s="326"/>
      <c r="G18210" s="326"/>
      <c r="H18210" s="326"/>
      <c r="P18210" s="318"/>
      <c r="Q18210" s="318"/>
      <c r="R18210" s="318"/>
      <c r="S18210" s="318"/>
      <c r="T18210" s="318"/>
      <c r="U18210" s="318"/>
      <c r="V18210" s="318"/>
      <c r="W18210" s="318"/>
      <c r="X18210" s="318"/>
      <c r="Y18210" s="318"/>
      <c r="Z18210" s="318"/>
      <c r="AA18210" s="318"/>
      <c r="AB18210" s="318"/>
      <c r="AC18210" s="318"/>
      <c r="AD18210" s="318"/>
    </row>
    <row r="18211" spans="2:30" s="323" customFormat="1" ht="12" customHeight="1">
      <c r="B18211" s="324"/>
      <c r="C18211" s="325"/>
      <c r="D18211" s="326"/>
      <c r="E18211" s="326"/>
      <c r="F18211" s="326"/>
      <c r="G18211" s="326"/>
      <c r="H18211" s="326"/>
      <c r="P18211" s="318"/>
      <c r="Q18211" s="318"/>
      <c r="R18211" s="318"/>
      <c r="S18211" s="318"/>
      <c r="T18211" s="318"/>
      <c r="U18211" s="318"/>
      <c r="V18211" s="318"/>
      <c r="W18211" s="318"/>
      <c r="X18211" s="318"/>
      <c r="Y18211" s="318"/>
      <c r="Z18211" s="318"/>
      <c r="AA18211" s="318"/>
      <c r="AB18211" s="318"/>
      <c r="AC18211" s="318"/>
      <c r="AD18211" s="318"/>
    </row>
    <row r="18212" spans="2:30" s="323" customFormat="1" ht="12" customHeight="1">
      <c r="B18212" s="324"/>
      <c r="C18212" s="325"/>
      <c r="D18212" s="326"/>
      <c r="E18212" s="326"/>
      <c r="F18212" s="326"/>
      <c r="G18212" s="326"/>
      <c r="H18212" s="326"/>
      <c r="P18212" s="318"/>
      <c r="Q18212" s="318"/>
      <c r="R18212" s="318"/>
      <c r="S18212" s="318"/>
      <c r="T18212" s="318"/>
      <c r="U18212" s="318"/>
      <c r="V18212" s="318"/>
      <c r="W18212" s="318"/>
      <c r="X18212" s="318"/>
      <c r="Y18212" s="318"/>
      <c r="Z18212" s="318"/>
      <c r="AA18212" s="318"/>
      <c r="AB18212" s="318"/>
      <c r="AC18212" s="318"/>
      <c r="AD18212" s="318"/>
    </row>
    <row r="18213" spans="2:30" s="323" customFormat="1" ht="12" customHeight="1">
      <c r="B18213" s="324"/>
      <c r="C18213" s="325"/>
      <c r="D18213" s="326"/>
      <c r="E18213" s="326"/>
      <c r="F18213" s="326"/>
      <c r="G18213" s="326"/>
      <c r="H18213" s="326"/>
      <c r="P18213" s="318"/>
      <c r="Q18213" s="318"/>
      <c r="R18213" s="318"/>
      <c r="S18213" s="318"/>
      <c r="T18213" s="318"/>
      <c r="U18213" s="318"/>
      <c r="V18213" s="318"/>
      <c r="W18213" s="318"/>
      <c r="X18213" s="318"/>
      <c r="Y18213" s="318"/>
      <c r="Z18213" s="318"/>
      <c r="AA18213" s="318"/>
      <c r="AB18213" s="318"/>
      <c r="AC18213" s="318"/>
      <c r="AD18213" s="318"/>
    </row>
    <row r="18214" spans="2:30" s="323" customFormat="1" ht="12" customHeight="1">
      <c r="B18214" s="324"/>
      <c r="C18214" s="325"/>
      <c r="D18214" s="326"/>
      <c r="E18214" s="326"/>
      <c r="F18214" s="326"/>
      <c r="G18214" s="326"/>
      <c r="H18214" s="326"/>
      <c r="P18214" s="318"/>
      <c r="Q18214" s="318"/>
      <c r="R18214" s="318"/>
      <c r="S18214" s="318"/>
      <c r="T18214" s="318"/>
      <c r="U18214" s="318"/>
      <c r="V18214" s="318"/>
      <c r="W18214" s="318"/>
      <c r="X18214" s="318"/>
      <c r="Y18214" s="318"/>
      <c r="Z18214" s="318"/>
      <c r="AA18214" s="318"/>
      <c r="AB18214" s="318"/>
      <c r="AC18214" s="318"/>
      <c r="AD18214" s="318"/>
    </row>
    <row r="18215" spans="2:30" s="323" customFormat="1" ht="12" customHeight="1">
      <c r="B18215" s="324"/>
      <c r="C18215" s="325"/>
      <c r="D18215" s="326"/>
      <c r="E18215" s="326"/>
      <c r="F18215" s="326"/>
      <c r="G18215" s="326"/>
      <c r="H18215" s="326"/>
      <c r="P18215" s="318"/>
      <c r="Q18215" s="318"/>
      <c r="R18215" s="318"/>
      <c r="S18215" s="318"/>
      <c r="T18215" s="318"/>
      <c r="U18215" s="318"/>
      <c r="V18215" s="318"/>
      <c r="W18215" s="318"/>
      <c r="X18215" s="318"/>
      <c r="Y18215" s="318"/>
      <c r="Z18215" s="318"/>
      <c r="AA18215" s="318"/>
      <c r="AB18215" s="318"/>
      <c r="AC18215" s="318"/>
      <c r="AD18215" s="318"/>
    </row>
    <row r="18216" spans="2:30" s="323" customFormat="1" ht="12" customHeight="1">
      <c r="B18216" s="324"/>
      <c r="C18216" s="325"/>
      <c r="D18216" s="326"/>
      <c r="E18216" s="326"/>
      <c r="F18216" s="326"/>
      <c r="G18216" s="326"/>
      <c r="H18216" s="326"/>
      <c r="P18216" s="318"/>
      <c r="Q18216" s="318"/>
      <c r="R18216" s="318"/>
      <c r="S18216" s="318"/>
      <c r="T18216" s="318"/>
      <c r="U18216" s="318"/>
      <c r="V18216" s="318"/>
      <c r="W18216" s="318"/>
      <c r="X18216" s="318"/>
      <c r="Y18216" s="318"/>
      <c r="Z18216" s="318"/>
      <c r="AA18216" s="318"/>
      <c r="AB18216" s="318"/>
      <c r="AC18216" s="318"/>
      <c r="AD18216" s="318"/>
    </row>
    <row r="18217" spans="2:30" s="323" customFormat="1" ht="12" customHeight="1">
      <c r="B18217" s="324"/>
      <c r="C18217" s="325"/>
      <c r="D18217" s="326"/>
      <c r="E18217" s="326"/>
      <c r="F18217" s="326"/>
      <c r="G18217" s="326"/>
      <c r="H18217" s="326"/>
      <c r="P18217" s="318"/>
      <c r="Q18217" s="318"/>
      <c r="R18217" s="318"/>
      <c r="S18217" s="318"/>
      <c r="T18217" s="318"/>
      <c r="U18217" s="318"/>
      <c r="V18217" s="318"/>
      <c r="W18217" s="318"/>
      <c r="X18217" s="318"/>
      <c r="Y18217" s="318"/>
      <c r="Z18217" s="318"/>
      <c r="AA18217" s="318"/>
      <c r="AB18217" s="318"/>
      <c r="AC18217" s="318"/>
      <c r="AD18217" s="318"/>
    </row>
    <row r="18218" spans="2:30" s="323" customFormat="1" ht="12" customHeight="1">
      <c r="B18218" s="324"/>
      <c r="C18218" s="325"/>
      <c r="D18218" s="326"/>
      <c r="E18218" s="326"/>
      <c r="F18218" s="326"/>
      <c r="G18218" s="326"/>
      <c r="H18218" s="326"/>
      <c r="P18218" s="318"/>
      <c r="Q18218" s="318"/>
      <c r="R18218" s="318"/>
      <c r="S18218" s="318"/>
      <c r="T18218" s="318"/>
      <c r="U18218" s="318"/>
      <c r="V18218" s="318"/>
      <c r="W18218" s="318"/>
      <c r="X18218" s="318"/>
      <c r="Y18218" s="318"/>
      <c r="Z18218" s="318"/>
      <c r="AA18218" s="318"/>
      <c r="AB18218" s="318"/>
      <c r="AC18218" s="318"/>
      <c r="AD18218" s="318"/>
    </row>
    <row r="18219" spans="2:30" s="323" customFormat="1" ht="12" customHeight="1">
      <c r="B18219" s="324"/>
      <c r="C18219" s="325"/>
      <c r="D18219" s="326"/>
      <c r="E18219" s="326"/>
      <c r="F18219" s="326"/>
      <c r="G18219" s="326"/>
      <c r="H18219" s="326"/>
      <c r="P18219" s="318"/>
      <c r="Q18219" s="318"/>
      <c r="R18219" s="318"/>
      <c r="S18219" s="318"/>
      <c r="T18219" s="318"/>
      <c r="U18219" s="318"/>
      <c r="V18219" s="318"/>
      <c r="W18219" s="318"/>
      <c r="X18219" s="318"/>
      <c r="Y18219" s="318"/>
      <c r="Z18219" s="318"/>
      <c r="AA18219" s="318"/>
      <c r="AB18219" s="318"/>
      <c r="AC18219" s="318"/>
      <c r="AD18219" s="318"/>
    </row>
    <row r="18220" spans="2:30" s="323" customFormat="1" ht="12" customHeight="1">
      <c r="B18220" s="324"/>
      <c r="C18220" s="325"/>
      <c r="D18220" s="326"/>
      <c r="E18220" s="326"/>
      <c r="F18220" s="326"/>
      <c r="G18220" s="326"/>
      <c r="H18220" s="326"/>
      <c r="P18220" s="318"/>
      <c r="Q18220" s="318"/>
      <c r="R18220" s="318"/>
      <c r="S18220" s="318"/>
      <c r="T18220" s="318"/>
      <c r="U18220" s="318"/>
      <c r="V18220" s="318"/>
      <c r="W18220" s="318"/>
      <c r="X18220" s="318"/>
      <c r="Y18220" s="318"/>
      <c r="Z18220" s="318"/>
      <c r="AA18220" s="318"/>
      <c r="AB18220" s="318"/>
      <c r="AC18220" s="318"/>
      <c r="AD18220" s="318"/>
    </row>
    <row r="18221" spans="2:30" s="323" customFormat="1" ht="12" customHeight="1">
      <c r="B18221" s="324"/>
      <c r="C18221" s="325"/>
      <c r="D18221" s="326"/>
      <c r="E18221" s="326"/>
      <c r="F18221" s="326"/>
      <c r="G18221" s="326"/>
      <c r="H18221" s="326"/>
      <c r="P18221" s="318"/>
      <c r="Q18221" s="318"/>
      <c r="R18221" s="318"/>
      <c r="S18221" s="318"/>
      <c r="T18221" s="318"/>
      <c r="U18221" s="318"/>
      <c r="V18221" s="318"/>
      <c r="W18221" s="318"/>
      <c r="X18221" s="318"/>
      <c r="Y18221" s="318"/>
      <c r="Z18221" s="318"/>
      <c r="AA18221" s="318"/>
      <c r="AB18221" s="318"/>
      <c r="AC18221" s="318"/>
      <c r="AD18221" s="318"/>
    </row>
    <row r="18222" spans="2:30" s="323" customFormat="1" ht="12" customHeight="1">
      <c r="B18222" s="324"/>
      <c r="C18222" s="325"/>
      <c r="D18222" s="326"/>
      <c r="E18222" s="326"/>
      <c r="F18222" s="326"/>
      <c r="G18222" s="326"/>
      <c r="H18222" s="326"/>
      <c r="P18222" s="318"/>
      <c r="Q18222" s="318"/>
      <c r="R18222" s="318"/>
      <c r="S18222" s="318"/>
      <c r="T18222" s="318"/>
      <c r="U18222" s="318"/>
      <c r="V18222" s="318"/>
      <c r="W18222" s="318"/>
      <c r="X18222" s="318"/>
      <c r="Y18222" s="318"/>
      <c r="Z18222" s="318"/>
      <c r="AA18222" s="318"/>
      <c r="AB18222" s="318"/>
      <c r="AC18222" s="318"/>
      <c r="AD18222" s="318"/>
    </row>
    <row r="18223" spans="2:30" s="323" customFormat="1" ht="12" customHeight="1">
      <c r="B18223" s="324"/>
      <c r="C18223" s="325"/>
      <c r="D18223" s="326"/>
      <c r="E18223" s="326"/>
      <c r="F18223" s="326"/>
      <c r="G18223" s="326"/>
      <c r="H18223" s="326"/>
      <c r="P18223" s="318"/>
      <c r="Q18223" s="318"/>
      <c r="R18223" s="318"/>
      <c r="S18223" s="318"/>
      <c r="T18223" s="318"/>
      <c r="U18223" s="318"/>
      <c r="V18223" s="318"/>
      <c r="W18223" s="318"/>
      <c r="X18223" s="318"/>
      <c r="Y18223" s="318"/>
      <c r="Z18223" s="318"/>
      <c r="AA18223" s="318"/>
      <c r="AB18223" s="318"/>
      <c r="AC18223" s="318"/>
      <c r="AD18223" s="318"/>
    </row>
    <row r="18224" spans="2:30" s="323" customFormat="1" ht="12" customHeight="1">
      <c r="B18224" s="324"/>
      <c r="C18224" s="325"/>
      <c r="D18224" s="326"/>
      <c r="E18224" s="326"/>
      <c r="F18224" s="326"/>
      <c r="G18224" s="326"/>
      <c r="H18224" s="326"/>
      <c r="P18224" s="318"/>
      <c r="Q18224" s="318"/>
      <c r="R18224" s="318"/>
      <c r="S18224" s="318"/>
      <c r="T18224" s="318"/>
      <c r="U18224" s="318"/>
      <c r="V18224" s="318"/>
      <c r="W18224" s="318"/>
      <c r="X18224" s="318"/>
      <c r="Y18224" s="318"/>
      <c r="Z18224" s="318"/>
      <c r="AA18224" s="318"/>
      <c r="AB18224" s="318"/>
      <c r="AC18224" s="318"/>
      <c r="AD18224" s="318"/>
    </row>
    <row r="18225" spans="2:30" s="323" customFormat="1" ht="12" customHeight="1">
      <c r="B18225" s="324"/>
      <c r="C18225" s="325"/>
      <c r="D18225" s="326"/>
      <c r="E18225" s="326"/>
      <c r="F18225" s="326"/>
      <c r="G18225" s="326"/>
      <c r="H18225" s="326"/>
      <c r="P18225" s="318"/>
      <c r="Q18225" s="318"/>
      <c r="R18225" s="318"/>
      <c r="S18225" s="318"/>
      <c r="T18225" s="318"/>
      <c r="U18225" s="318"/>
      <c r="V18225" s="318"/>
      <c r="W18225" s="318"/>
      <c r="X18225" s="318"/>
      <c r="Y18225" s="318"/>
      <c r="Z18225" s="318"/>
      <c r="AA18225" s="318"/>
      <c r="AB18225" s="318"/>
      <c r="AC18225" s="318"/>
      <c r="AD18225" s="318"/>
    </row>
    <row r="18226" spans="2:30" s="323" customFormat="1" ht="12" customHeight="1">
      <c r="B18226" s="324"/>
      <c r="C18226" s="325"/>
      <c r="D18226" s="326"/>
      <c r="E18226" s="326"/>
      <c r="F18226" s="326"/>
      <c r="G18226" s="326"/>
      <c r="H18226" s="326"/>
      <c r="P18226" s="318"/>
      <c r="Q18226" s="318"/>
      <c r="R18226" s="318"/>
      <c r="S18226" s="318"/>
      <c r="T18226" s="318"/>
      <c r="U18226" s="318"/>
      <c r="V18226" s="318"/>
      <c r="W18226" s="318"/>
      <c r="X18226" s="318"/>
      <c r="Y18226" s="318"/>
      <c r="Z18226" s="318"/>
      <c r="AA18226" s="318"/>
      <c r="AB18226" s="318"/>
      <c r="AC18226" s="318"/>
      <c r="AD18226" s="318"/>
    </row>
    <row r="18227" spans="2:30" s="323" customFormat="1" ht="12" customHeight="1">
      <c r="B18227" s="324"/>
      <c r="C18227" s="325"/>
      <c r="D18227" s="326"/>
      <c r="E18227" s="326"/>
      <c r="F18227" s="326"/>
      <c r="G18227" s="326"/>
      <c r="H18227" s="326"/>
      <c r="P18227" s="318"/>
      <c r="Q18227" s="318"/>
      <c r="R18227" s="318"/>
      <c r="S18227" s="318"/>
      <c r="T18227" s="318"/>
      <c r="U18227" s="318"/>
      <c r="V18227" s="318"/>
      <c r="W18227" s="318"/>
      <c r="X18227" s="318"/>
      <c r="Y18227" s="318"/>
      <c r="Z18227" s="318"/>
      <c r="AA18227" s="318"/>
      <c r="AB18227" s="318"/>
      <c r="AC18227" s="318"/>
      <c r="AD18227" s="318"/>
    </row>
    <row r="18228" spans="2:30" s="323" customFormat="1" ht="12" customHeight="1">
      <c r="B18228" s="324"/>
      <c r="C18228" s="325"/>
      <c r="D18228" s="326"/>
      <c r="E18228" s="326"/>
      <c r="F18228" s="326"/>
      <c r="G18228" s="326"/>
      <c r="H18228" s="326"/>
      <c r="P18228" s="318"/>
      <c r="Q18228" s="318"/>
      <c r="R18228" s="318"/>
      <c r="S18228" s="318"/>
      <c r="T18228" s="318"/>
      <c r="U18228" s="318"/>
      <c r="V18228" s="318"/>
      <c r="W18228" s="318"/>
      <c r="X18228" s="318"/>
      <c r="Y18228" s="318"/>
      <c r="Z18228" s="318"/>
      <c r="AA18228" s="318"/>
      <c r="AB18228" s="318"/>
      <c r="AC18228" s="318"/>
      <c r="AD18228" s="318"/>
    </row>
    <row r="18229" spans="2:30" s="323" customFormat="1" ht="12" customHeight="1">
      <c r="B18229" s="324"/>
      <c r="C18229" s="325"/>
      <c r="D18229" s="326"/>
      <c r="E18229" s="326"/>
      <c r="F18229" s="326"/>
      <c r="G18229" s="326"/>
      <c r="H18229" s="326"/>
      <c r="P18229" s="318"/>
      <c r="Q18229" s="318"/>
      <c r="R18229" s="318"/>
      <c r="S18229" s="318"/>
      <c r="T18229" s="318"/>
      <c r="U18229" s="318"/>
      <c r="V18229" s="318"/>
      <c r="W18229" s="318"/>
      <c r="X18229" s="318"/>
      <c r="Y18229" s="318"/>
      <c r="Z18229" s="318"/>
      <c r="AA18229" s="318"/>
      <c r="AB18229" s="318"/>
      <c r="AC18229" s="318"/>
      <c r="AD18229" s="318"/>
    </row>
    <row r="18230" spans="2:30" s="323" customFormat="1" ht="12" customHeight="1">
      <c r="B18230" s="324"/>
      <c r="C18230" s="325"/>
      <c r="D18230" s="326"/>
      <c r="E18230" s="326"/>
      <c r="F18230" s="326"/>
      <c r="G18230" s="326"/>
      <c r="H18230" s="326"/>
      <c r="P18230" s="318"/>
      <c r="Q18230" s="318"/>
      <c r="R18230" s="318"/>
      <c r="S18230" s="318"/>
      <c r="T18230" s="318"/>
      <c r="U18230" s="318"/>
      <c r="V18230" s="318"/>
      <c r="W18230" s="318"/>
      <c r="X18230" s="318"/>
      <c r="Y18230" s="318"/>
      <c r="Z18230" s="318"/>
      <c r="AA18230" s="318"/>
      <c r="AB18230" s="318"/>
      <c r="AC18230" s="318"/>
      <c r="AD18230" s="318"/>
    </row>
    <row r="18231" spans="2:30" s="323" customFormat="1" ht="12" customHeight="1">
      <c r="B18231" s="324"/>
      <c r="C18231" s="325"/>
      <c r="D18231" s="326"/>
      <c r="E18231" s="326"/>
      <c r="F18231" s="326"/>
      <c r="G18231" s="326"/>
      <c r="H18231" s="326"/>
      <c r="P18231" s="318"/>
      <c r="Q18231" s="318"/>
      <c r="R18231" s="318"/>
      <c r="S18231" s="318"/>
      <c r="T18231" s="318"/>
      <c r="U18231" s="318"/>
      <c r="V18231" s="318"/>
      <c r="W18231" s="318"/>
      <c r="X18231" s="318"/>
      <c r="Y18231" s="318"/>
      <c r="Z18231" s="318"/>
      <c r="AA18231" s="318"/>
      <c r="AB18231" s="318"/>
      <c r="AC18231" s="318"/>
      <c r="AD18231" s="318"/>
    </row>
    <row r="18232" spans="2:30" s="323" customFormat="1" ht="12" customHeight="1">
      <c r="B18232" s="324"/>
      <c r="C18232" s="325"/>
      <c r="D18232" s="326"/>
      <c r="E18232" s="326"/>
      <c r="F18232" s="326"/>
      <c r="G18232" s="326"/>
      <c r="H18232" s="326"/>
      <c r="P18232" s="318"/>
      <c r="Q18232" s="318"/>
      <c r="R18232" s="318"/>
      <c r="S18232" s="318"/>
      <c r="T18232" s="318"/>
      <c r="U18232" s="318"/>
      <c r="V18232" s="318"/>
      <c r="W18232" s="318"/>
      <c r="X18232" s="318"/>
      <c r="Y18232" s="318"/>
      <c r="Z18232" s="318"/>
      <c r="AA18232" s="318"/>
      <c r="AB18232" s="318"/>
      <c r="AC18232" s="318"/>
      <c r="AD18232" s="318"/>
    </row>
    <row r="18233" spans="2:30" s="323" customFormat="1" ht="12" customHeight="1">
      <c r="B18233" s="324"/>
      <c r="C18233" s="325"/>
      <c r="D18233" s="326"/>
      <c r="E18233" s="326"/>
      <c r="F18233" s="326"/>
      <c r="G18233" s="326"/>
      <c r="H18233" s="326"/>
      <c r="P18233" s="318"/>
      <c r="Q18233" s="318"/>
      <c r="R18233" s="318"/>
      <c r="S18233" s="318"/>
      <c r="T18233" s="318"/>
      <c r="U18233" s="318"/>
      <c r="V18233" s="318"/>
      <c r="W18233" s="318"/>
      <c r="X18233" s="318"/>
      <c r="Y18233" s="318"/>
      <c r="Z18233" s="318"/>
      <c r="AA18233" s="318"/>
      <c r="AB18233" s="318"/>
      <c r="AC18233" s="318"/>
      <c r="AD18233" s="318"/>
    </row>
    <row r="18234" spans="2:30" s="323" customFormat="1" ht="12" customHeight="1">
      <c r="B18234" s="324"/>
      <c r="C18234" s="325"/>
      <c r="D18234" s="326"/>
      <c r="E18234" s="326"/>
      <c r="F18234" s="326"/>
      <c r="G18234" s="326"/>
      <c r="H18234" s="326"/>
      <c r="P18234" s="318"/>
      <c r="Q18234" s="318"/>
      <c r="R18234" s="318"/>
      <c r="S18234" s="318"/>
      <c r="T18234" s="318"/>
      <c r="U18234" s="318"/>
      <c r="V18234" s="318"/>
      <c r="W18234" s="318"/>
      <c r="X18234" s="318"/>
      <c r="Y18234" s="318"/>
      <c r="Z18234" s="318"/>
      <c r="AA18234" s="318"/>
      <c r="AB18234" s="318"/>
      <c r="AC18234" s="318"/>
      <c r="AD18234" s="318"/>
    </row>
    <row r="18235" spans="2:30" s="323" customFormat="1" ht="12" customHeight="1">
      <c r="B18235" s="324"/>
      <c r="C18235" s="325"/>
      <c r="D18235" s="326"/>
      <c r="E18235" s="326"/>
      <c r="F18235" s="326"/>
      <c r="G18235" s="326"/>
      <c r="H18235" s="326"/>
      <c r="P18235" s="318"/>
      <c r="Q18235" s="318"/>
      <c r="R18235" s="318"/>
      <c r="S18235" s="318"/>
      <c r="T18235" s="318"/>
      <c r="U18235" s="318"/>
      <c r="V18235" s="318"/>
      <c r="W18235" s="318"/>
      <c r="X18235" s="318"/>
      <c r="Y18235" s="318"/>
      <c r="Z18235" s="318"/>
      <c r="AA18235" s="318"/>
      <c r="AB18235" s="318"/>
      <c r="AC18235" s="318"/>
      <c r="AD18235" s="318"/>
    </row>
    <row r="18236" spans="2:30" s="323" customFormat="1" ht="12" customHeight="1">
      <c r="B18236" s="324"/>
      <c r="C18236" s="325"/>
      <c r="D18236" s="326"/>
      <c r="E18236" s="326"/>
      <c r="F18236" s="326"/>
      <c r="G18236" s="326"/>
      <c r="H18236" s="326"/>
      <c r="P18236" s="318"/>
      <c r="Q18236" s="318"/>
      <c r="R18236" s="318"/>
      <c r="S18236" s="318"/>
      <c r="T18236" s="318"/>
      <c r="U18236" s="318"/>
      <c r="V18236" s="318"/>
      <c r="W18236" s="318"/>
      <c r="X18236" s="318"/>
      <c r="Y18236" s="318"/>
      <c r="Z18236" s="318"/>
      <c r="AA18236" s="318"/>
      <c r="AB18236" s="318"/>
      <c r="AC18236" s="318"/>
      <c r="AD18236" s="318"/>
    </row>
    <row r="18237" spans="2:30" s="323" customFormat="1" ht="12" customHeight="1">
      <c r="B18237" s="324"/>
      <c r="C18237" s="325"/>
      <c r="D18237" s="326"/>
      <c r="E18237" s="326"/>
      <c r="F18237" s="326"/>
      <c r="G18237" s="326"/>
      <c r="H18237" s="326"/>
      <c r="P18237" s="318"/>
      <c r="Q18237" s="318"/>
      <c r="R18237" s="318"/>
      <c r="S18237" s="318"/>
      <c r="T18237" s="318"/>
      <c r="U18237" s="318"/>
      <c r="V18237" s="318"/>
      <c r="W18237" s="318"/>
      <c r="X18237" s="318"/>
      <c r="Y18237" s="318"/>
      <c r="Z18237" s="318"/>
      <c r="AA18237" s="318"/>
      <c r="AB18237" s="318"/>
      <c r="AC18237" s="318"/>
      <c r="AD18237" s="318"/>
    </row>
    <row r="18238" spans="2:30" s="323" customFormat="1" ht="12" customHeight="1">
      <c r="B18238" s="324"/>
      <c r="C18238" s="325"/>
      <c r="D18238" s="326"/>
      <c r="E18238" s="326"/>
      <c r="F18238" s="326"/>
      <c r="G18238" s="326"/>
      <c r="H18238" s="326"/>
      <c r="P18238" s="318"/>
      <c r="Q18238" s="318"/>
      <c r="R18238" s="318"/>
      <c r="S18238" s="318"/>
      <c r="T18238" s="318"/>
      <c r="U18238" s="318"/>
      <c r="V18238" s="318"/>
      <c r="W18238" s="318"/>
      <c r="X18238" s="318"/>
      <c r="Y18238" s="318"/>
      <c r="Z18238" s="318"/>
      <c r="AA18238" s="318"/>
      <c r="AB18238" s="318"/>
      <c r="AC18238" s="318"/>
      <c r="AD18238" s="318"/>
    </row>
    <row r="18239" spans="2:30" s="323" customFormat="1" ht="12" customHeight="1">
      <c r="B18239" s="324"/>
      <c r="C18239" s="325"/>
      <c r="D18239" s="326"/>
      <c r="E18239" s="326"/>
      <c r="F18239" s="326"/>
      <c r="G18239" s="326"/>
      <c r="H18239" s="326"/>
      <c r="P18239" s="318"/>
      <c r="Q18239" s="318"/>
      <c r="R18239" s="318"/>
      <c r="S18239" s="318"/>
      <c r="T18239" s="318"/>
      <c r="U18239" s="318"/>
      <c r="V18239" s="318"/>
      <c r="W18239" s="318"/>
      <c r="X18239" s="318"/>
      <c r="Y18239" s="318"/>
      <c r="Z18239" s="318"/>
      <c r="AA18239" s="318"/>
      <c r="AB18239" s="318"/>
      <c r="AC18239" s="318"/>
      <c r="AD18239" s="318"/>
    </row>
    <row r="18240" spans="2:30" s="323" customFormat="1" ht="12" customHeight="1">
      <c r="B18240" s="324"/>
      <c r="C18240" s="325"/>
      <c r="D18240" s="326"/>
      <c r="E18240" s="326"/>
      <c r="F18240" s="326"/>
      <c r="G18240" s="326"/>
      <c r="H18240" s="326"/>
      <c r="P18240" s="318"/>
      <c r="Q18240" s="318"/>
      <c r="R18240" s="318"/>
      <c r="S18240" s="318"/>
      <c r="T18240" s="318"/>
      <c r="U18240" s="318"/>
      <c r="V18240" s="318"/>
      <c r="W18240" s="318"/>
      <c r="X18240" s="318"/>
      <c r="Y18240" s="318"/>
      <c r="Z18240" s="318"/>
      <c r="AA18240" s="318"/>
      <c r="AB18240" s="318"/>
      <c r="AC18240" s="318"/>
      <c r="AD18240" s="318"/>
    </row>
    <row r="18241" spans="2:30" s="323" customFormat="1" ht="12" customHeight="1">
      <c r="B18241" s="324"/>
      <c r="C18241" s="325"/>
      <c r="D18241" s="326"/>
      <c r="E18241" s="326"/>
      <c r="F18241" s="326"/>
      <c r="G18241" s="326"/>
      <c r="H18241" s="326"/>
      <c r="P18241" s="318"/>
      <c r="Q18241" s="318"/>
      <c r="R18241" s="318"/>
      <c r="S18241" s="318"/>
      <c r="T18241" s="318"/>
      <c r="U18241" s="318"/>
      <c r="V18241" s="318"/>
      <c r="W18241" s="318"/>
      <c r="X18241" s="318"/>
      <c r="Y18241" s="318"/>
      <c r="Z18241" s="318"/>
      <c r="AA18241" s="318"/>
      <c r="AB18241" s="318"/>
      <c r="AC18241" s="318"/>
      <c r="AD18241" s="318"/>
    </row>
    <row r="18242" spans="2:30" s="323" customFormat="1" ht="12" customHeight="1">
      <c r="B18242" s="324"/>
      <c r="C18242" s="325"/>
      <c r="D18242" s="326"/>
      <c r="E18242" s="326"/>
      <c r="F18242" s="326"/>
      <c r="G18242" s="326"/>
      <c r="H18242" s="326"/>
      <c r="P18242" s="318"/>
      <c r="Q18242" s="318"/>
      <c r="R18242" s="318"/>
      <c r="S18242" s="318"/>
      <c r="T18242" s="318"/>
      <c r="U18242" s="318"/>
      <c r="V18242" s="318"/>
      <c r="W18242" s="318"/>
      <c r="X18242" s="318"/>
      <c r="Y18242" s="318"/>
      <c r="Z18242" s="318"/>
      <c r="AA18242" s="318"/>
      <c r="AB18242" s="318"/>
      <c r="AC18242" s="318"/>
      <c r="AD18242" s="318"/>
    </row>
    <row r="18243" spans="2:30" s="323" customFormat="1" ht="12" customHeight="1">
      <c r="B18243" s="324"/>
      <c r="C18243" s="325"/>
      <c r="D18243" s="326"/>
      <c r="E18243" s="326"/>
      <c r="F18243" s="326"/>
      <c r="G18243" s="326"/>
      <c r="H18243" s="326"/>
      <c r="P18243" s="318"/>
      <c r="Q18243" s="318"/>
      <c r="R18243" s="318"/>
      <c r="S18243" s="318"/>
      <c r="T18243" s="318"/>
      <c r="U18243" s="318"/>
      <c r="V18243" s="318"/>
      <c r="W18243" s="318"/>
      <c r="X18243" s="318"/>
      <c r="Y18243" s="318"/>
      <c r="Z18243" s="318"/>
      <c r="AA18243" s="318"/>
      <c r="AB18243" s="318"/>
      <c r="AC18243" s="318"/>
      <c r="AD18243" s="318"/>
    </row>
    <row r="18244" spans="2:30" s="323" customFormat="1" ht="12" customHeight="1">
      <c r="B18244" s="324"/>
      <c r="C18244" s="325"/>
      <c r="D18244" s="326"/>
      <c r="E18244" s="326"/>
      <c r="F18244" s="326"/>
      <c r="G18244" s="326"/>
      <c r="H18244" s="326"/>
      <c r="P18244" s="318"/>
      <c r="Q18244" s="318"/>
      <c r="R18244" s="318"/>
      <c r="S18244" s="318"/>
      <c r="T18244" s="318"/>
      <c r="U18244" s="318"/>
      <c r="V18244" s="318"/>
      <c r="W18244" s="318"/>
      <c r="X18244" s="318"/>
      <c r="Y18244" s="318"/>
      <c r="Z18244" s="318"/>
      <c r="AA18244" s="318"/>
      <c r="AB18244" s="318"/>
      <c r="AC18244" s="318"/>
      <c r="AD18244" s="318"/>
    </row>
    <row r="18245" spans="2:30" s="323" customFormat="1" ht="12" customHeight="1">
      <c r="B18245" s="324"/>
      <c r="C18245" s="325"/>
      <c r="D18245" s="326"/>
      <c r="E18245" s="326"/>
      <c r="F18245" s="326"/>
      <c r="G18245" s="326"/>
      <c r="H18245" s="326"/>
      <c r="P18245" s="318"/>
      <c r="Q18245" s="318"/>
      <c r="R18245" s="318"/>
      <c r="S18245" s="318"/>
      <c r="T18245" s="318"/>
      <c r="U18245" s="318"/>
      <c r="V18245" s="318"/>
      <c r="W18245" s="318"/>
      <c r="X18245" s="318"/>
      <c r="Y18245" s="318"/>
      <c r="Z18245" s="318"/>
      <c r="AA18245" s="318"/>
      <c r="AB18245" s="318"/>
      <c r="AC18245" s="318"/>
      <c r="AD18245" s="318"/>
    </row>
    <row r="18246" spans="2:30" s="323" customFormat="1" ht="12" customHeight="1">
      <c r="B18246" s="324"/>
      <c r="C18246" s="325"/>
      <c r="D18246" s="326"/>
      <c r="E18246" s="326"/>
      <c r="F18246" s="326"/>
      <c r="G18246" s="326"/>
      <c r="H18246" s="326"/>
      <c r="P18246" s="318"/>
      <c r="Q18246" s="318"/>
      <c r="R18246" s="318"/>
      <c r="S18246" s="318"/>
      <c r="T18246" s="318"/>
      <c r="U18246" s="318"/>
      <c r="V18246" s="318"/>
      <c r="W18246" s="318"/>
      <c r="X18246" s="318"/>
      <c r="Y18246" s="318"/>
      <c r="Z18246" s="318"/>
      <c r="AA18246" s="318"/>
      <c r="AB18246" s="318"/>
      <c r="AC18246" s="318"/>
      <c r="AD18246" s="318"/>
    </row>
    <row r="18247" spans="2:30" s="323" customFormat="1" ht="12" customHeight="1">
      <c r="B18247" s="324"/>
      <c r="C18247" s="325"/>
      <c r="D18247" s="326"/>
      <c r="E18247" s="326"/>
      <c r="F18247" s="326"/>
      <c r="G18247" s="326"/>
      <c r="H18247" s="326"/>
      <c r="P18247" s="318"/>
      <c r="Q18247" s="318"/>
      <c r="R18247" s="318"/>
      <c r="S18247" s="318"/>
      <c r="T18247" s="318"/>
      <c r="U18247" s="318"/>
      <c r="V18247" s="318"/>
      <c r="W18247" s="318"/>
      <c r="X18247" s="318"/>
      <c r="Y18247" s="318"/>
      <c r="Z18247" s="318"/>
      <c r="AA18247" s="318"/>
      <c r="AB18247" s="318"/>
      <c r="AC18247" s="318"/>
      <c r="AD18247" s="318"/>
    </row>
    <row r="18248" spans="2:30" s="323" customFormat="1" ht="12" customHeight="1">
      <c r="B18248" s="324"/>
      <c r="C18248" s="325"/>
      <c r="D18248" s="326"/>
      <c r="E18248" s="326"/>
      <c r="F18248" s="326"/>
      <c r="G18248" s="326"/>
      <c r="H18248" s="326"/>
      <c r="P18248" s="318"/>
      <c r="Q18248" s="318"/>
      <c r="R18248" s="318"/>
      <c r="S18248" s="318"/>
      <c r="T18248" s="318"/>
      <c r="U18248" s="318"/>
      <c r="V18248" s="318"/>
      <c r="W18248" s="318"/>
      <c r="X18248" s="318"/>
      <c r="Y18248" s="318"/>
      <c r="Z18248" s="318"/>
      <c r="AA18248" s="318"/>
      <c r="AB18248" s="318"/>
      <c r="AC18248" s="318"/>
      <c r="AD18248" s="318"/>
    </row>
    <row r="18249" spans="2:30" s="323" customFormat="1" ht="12" customHeight="1">
      <c r="B18249" s="324"/>
      <c r="C18249" s="325"/>
      <c r="D18249" s="326"/>
      <c r="E18249" s="326"/>
      <c r="F18249" s="326"/>
      <c r="G18249" s="326"/>
      <c r="H18249" s="326"/>
      <c r="P18249" s="318"/>
      <c r="Q18249" s="318"/>
      <c r="R18249" s="318"/>
      <c r="S18249" s="318"/>
      <c r="T18249" s="318"/>
      <c r="U18249" s="318"/>
      <c r="V18249" s="318"/>
      <c r="W18249" s="318"/>
      <c r="X18249" s="318"/>
      <c r="Y18249" s="318"/>
      <c r="Z18249" s="318"/>
      <c r="AA18249" s="318"/>
      <c r="AB18249" s="318"/>
      <c r="AC18249" s="318"/>
      <c r="AD18249" s="318"/>
    </row>
    <row r="18250" spans="2:30" s="323" customFormat="1" ht="12" customHeight="1">
      <c r="B18250" s="324"/>
      <c r="C18250" s="325"/>
      <c r="D18250" s="326"/>
      <c r="E18250" s="326"/>
      <c r="F18250" s="326"/>
      <c r="G18250" s="326"/>
      <c r="H18250" s="326"/>
      <c r="P18250" s="318"/>
      <c r="Q18250" s="318"/>
      <c r="R18250" s="318"/>
      <c r="S18250" s="318"/>
      <c r="T18250" s="318"/>
      <c r="U18250" s="318"/>
      <c r="V18250" s="318"/>
      <c r="W18250" s="318"/>
      <c r="X18250" s="318"/>
      <c r="Y18250" s="318"/>
      <c r="Z18250" s="318"/>
      <c r="AA18250" s="318"/>
      <c r="AB18250" s="318"/>
      <c r="AC18250" s="318"/>
      <c r="AD18250" s="318"/>
    </row>
    <row r="18251" spans="2:30" s="323" customFormat="1" ht="12" customHeight="1">
      <c r="B18251" s="324"/>
      <c r="C18251" s="325"/>
      <c r="D18251" s="326"/>
      <c r="E18251" s="326"/>
      <c r="F18251" s="326"/>
      <c r="G18251" s="326"/>
      <c r="H18251" s="326"/>
      <c r="P18251" s="318"/>
      <c r="Q18251" s="318"/>
      <c r="R18251" s="318"/>
      <c r="S18251" s="318"/>
      <c r="T18251" s="318"/>
      <c r="U18251" s="318"/>
      <c r="V18251" s="318"/>
      <c r="W18251" s="318"/>
      <c r="X18251" s="318"/>
      <c r="Y18251" s="318"/>
      <c r="Z18251" s="318"/>
      <c r="AA18251" s="318"/>
      <c r="AB18251" s="318"/>
      <c r="AC18251" s="318"/>
      <c r="AD18251" s="318"/>
    </row>
    <row r="18252" spans="2:30" s="323" customFormat="1" ht="12" customHeight="1">
      <c r="B18252" s="324"/>
      <c r="C18252" s="325"/>
      <c r="D18252" s="326"/>
      <c r="E18252" s="326"/>
      <c r="F18252" s="326"/>
      <c r="G18252" s="326"/>
      <c r="H18252" s="326"/>
      <c r="P18252" s="318"/>
      <c r="Q18252" s="318"/>
      <c r="R18252" s="318"/>
      <c r="S18252" s="318"/>
      <c r="T18252" s="318"/>
      <c r="U18252" s="318"/>
      <c r="V18252" s="318"/>
      <c r="W18252" s="318"/>
      <c r="X18252" s="318"/>
      <c r="Y18252" s="318"/>
      <c r="Z18252" s="318"/>
      <c r="AA18252" s="318"/>
      <c r="AB18252" s="318"/>
      <c r="AC18252" s="318"/>
      <c r="AD18252" s="318"/>
    </row>
    <row r="18253" spans="2:30" s="323" customFormat="1" ht="12" customHeight="1">
      <c r="B18253" s="324"/>
      <c r="C18253" s="325"/>
      <c r="D18253" s="326"/>
      <c r="E18253" s="326"/>
      <c r="F18253" s="326"/>
      <c r="G18253" s="326"/>
      <c r="H18253" s="326"/>
      <c r="P18253" s="318"/>
      <c r="Q18253" s="318"/>
      <c r="R18253" s="318"/>
      <c r="S18253" s="318"/>
      <c r="T18253" s="318"/>
      <c r="U18253" s="318"/>
      <c r="V18253" s="318"/>
      <c r="W18253" s="318"/>
      <c r="X18253" s="318"/>
      <c r="Y18253" s="318"/>
      <c r="Z18253" s="318"/>
      <c r="AA18253" s="318"/>
      <c r="AB18253" s="318"/>
      <c r="AC18253" s="318"/>
      <c r="AD18253" s="318"/>
    </row>
    <row r="18254" spans="2:30" s="323" customFormat="1" ht="12" customHeight="1">
      <c r="B18254" s="324"/>
      <c r="C18254" s="325"/>
      <c r="D18254" s="326"/>
      <c r="E18254" s="326"/>
      <c r="F18254" s="326"/>
      <c r="G18254" s="326"/>
      <c r="H18254" s="326"/>
      <c r="P18254" s="318"/>
      <c r="Q18254" s="318"/>
      <c r="R18254" s="318"/>
      <c r="S18254" s="318"/>
      <c r="T18254" s="318"/>
      <c r="U18254" s="318"/>
      <c r="V18254" s="318"/>
      <c r="W18254" s="318"/>
      <c r="X18254" s="318"/>
      <c r="Y18254" s="318"/>
      <c r="Z18254" s="318"/>
      <c r="AA18254" s="318"/>
      <c r="AB18254" s="318"/>
      <c r="AC18254" s="318"/>
      <c r="AD18254" s="318"/>
    </row>
    <row r="18255" spans="2:30" s="323" customFormat="1" ht="12" customHeight="1">
      <c r="B18255" s="324"/>
      <c r="C18255" s="325"/>
      <c r="D18255" s="326"/>
      <c r="E18255" s="326"/>
      <c r="F18255" s="326"/>
      <c r="G18255" s="326"/>
      <c r="H18255" s="326"/>
      <c r="P18255" s="318"/>
      <c r="Q18255" s="318"/>
      <c r="R18255" s="318"/>
      <c r="S18255" s="318"/>
      <c r="T18255" s="318"/>
      <c r="U18255" s="318"/>
      <c r="V18255" s="318"/>
      <c r="W18255" s="318"/>
      <c r="X18255" s="318"/>
      <c r="Y18255" s="318"/>
      <c r="Z18255" s="318"/>
      <c r="AA18255" s="318"/>
      <c r="AB18255" s="318"/>
      <c r="AC18255" s="318"/>
      <c r="AD18255" s="318"/>
    </row>
    <row r="18256" spans="2:30" s="323" customFormat="1" ht="12" customHeight="1">
      <c r="B18256" s="324"/>
      <c r="C18256" s="325"/>
      <c r="D18256" s="326"/>
      <c r="E18256" s="326"/>
      <c r="F18256" s="326"/>
      <c r="G18256" s="326"/>
      <c r="H18256" s="326"/>
      <c r="P18256" s="318"/>
      <c r="Q18256" s="318"/>
      <c r="R18256" s="318"/>
      <c r="S18256" s="318"/>
      <c r="T18256" s="318"/>
      <c r="U18256" s="318"/>
      <c r="V18256" s="318"/>
      <c r="W18256" s="318"/>
      <c r="X18256" s="318"/>
      <c r="Y18256" s="318"/>
      <c r="Z18256" s="318"/>
      <c r="AA18256" s="318"/>
      <c r="AB18256" s="318"/>
      <c r="AC18256" s="318"/>
      <c r="AD18256" s="318"/>
    </row>
    <row r="18257" spans="2:30" s="323" customFormat="1" ht="12" customHeight="1">
      <c r="B18257" s="324"/>
      <c r="C18257" s="325"/>
      <c r="D18257" s="326"/>
      <c r="E18257" s="326"/>
      <c r="F18257" s="326"/>
      <c r="G18257" s="326"/>
      <c r="H18257" s="326"/>
      <c r="P18257" s="318"/>
      <c r="Q18257" s="318"/>
      <c r="R18257" s="318"/>
      <c r="S18257" s="318"/>
      <c r="T18257" s="318"/>
      <c r="U18257" s="318"/>
      <c r="V18257" s="318"/>
      <c r="W18257" s="318"/>
      <c r="X18257" s="318"/>
      <c r="Y18257" s="318"/>
      <c r="Z18257" s="318"/>
      <c r="AA18257" s="318"/>
      <c r="AB18257" s="318"/>
      <c r="AC18257" s="318"/>
      <c r="AD18257" s="318"/>
    </row>
    <row r="18258" spans="2:30" s="323" customFormat="1" ht="12" customHeight="1">
      <c r="B18258" s="324"/>
      <c r="C18258" s="325"/>
      <c r="D18258" s="326"/>
      <c r="E18258" s="326"/>
      <c r="F18258" s="326"/>
      <c r="G18258" s="326"/>
      <c r="H18258" s="326"/>
      <c r="P18258" s="318"/>
      <c r="Q18258" s="318"/>
      <c r="R18258" s="318"/>
      <c r="S18258" s="318"/>
      <c r="T18258" s="318"/>
      <c r="U18258" s="318"/>
      <c r="V18258" s="318"/>
      <c r="W18258" s="318"/>
      <c r="X18258" s="318"/>
      <c r="Y18258" s="318"/>
      <c r="Z18258" s="318"/>
      <c r="AA18258" s="318"/>
      <c r="AB18258" s="318"/>
      <c r="AC18258" s="318"/>
      <c r="AD18258" s="318"/>
    </row>
    <row r="18259" spans="2:30" s="323" customFormat="1" ht="12" customHeight="1">
      <c r="B18259" s="324"/>
      <c r="C18259" s="325"/>
      <c r="D18259" s="326"/>
      <c r="E18259" s="326"/>
      <c r="F18259" s="326"/>
      <c r="G18259" s="326"/>
      <c r="H18259" s="326"/>
      <c r="P18259" s="318"/>
      <c r="Q18259" s="318"/>
      <c r="R18259" s="318"/>
      <c r="S18259" s="318"/>
      <c r="T18259" s="318"/>
      <c r="U18259" s="318"/>
      <c r="V18259" s="318"/>
      <c r="W18259" s="318"/>
      <c r="X18259" s="318"/>
      <c r="Y18259" s="318"/>
      <c r="Z18259" s="318"/>
      <c r="AA18259" s="318"/>
      <c r="AB18259" s="318"/>
      <c r="AC18259" s="318"/>
      <c r="AD18259" s="318"/>
    </row>
    <row r="18260" spans="2:30" s="323" customFormat="1" ht="12" customHeight="1">
      <c r="B18260" s="324"/>
      <c r="C18260" s="325"/>
      <c r="D18260" s="326"/>
      <c r="E18260" s="326"/>
      <c r="F18260" s="326"/>
      <c r="G18260" s="326"/>
      <c r="H18260" s="326"/>
      <c r="P18260" s="318"/>
      <c r="Q18260" s="318"/>
      <c r="R18260" s="318"/>
      <c r="S18260" s="318"/>
      <c r="T18260" s="318"/>
      <c r="U18260" s="318"/>
      <c r="V18260" s="318"/>
      <c r="W18260" s="318"/>
      <c r="X18260" s="318"/>
      <c r="Y18260" s="318"/>
      <c r="Z18260" s="318"/>
      <c r="AA18260" s="318"/>
      <c r="AB18260" s="318"/>
      <c r="AC18260" s="318"/>
      <c r="AD18260" s="318"/>
    </row>
    <row r="18261" spans="2:30" s="323" customFormat="1" ht="12" customHeight="1">
      <c r="B18261" s="324"/>
      <c r="C18261" s="325"/>
      <c r="D18261" s="326"/>
      <c r="E18261" s="326"/>
      <c r="F18261" s="326"/>
      <c r="G18261" s="326"/>
      <c r="H18261" s="326"/>
      <c r="P18261" s="318"/>
      <c r="Q18261" s="318"/>
      <c r="R18261" s="318"/>
      <c r="S18261" s="318"/>
      <c r="T18261" s="318"/>
      <c r="U18261" s="318"/>
      <c r="V18261" s="318"/>
      <c r="W18261" s="318"/>
      <c r="X18261" s="318"/>
      <c r="Y18261" s="318"/>
      <c r="Z18261" s="318"/>
      <c r="AA18261" s="318"/>
      <c r="AB18261" s="318"/>
      <c r="AC18261" s="318"/>
      <c r="AD18261" s="318"/>
    </row>
    <row r="18262" spans="2:30" s="323" customFormat="1" ht="12" customHeight="1">
      <c r="B18262" s="324"/>
      <c r="C18262" s="325"/>
      <c r="D18262" s="326"/>
      <c r="E18262" s="326"/>
      <c r="F18262" s="326"/>
      <c r="G18262" s="326"/>
      <c r="H18262" s="326"/>
      <c r="P18262" s="318"/>
      <c r="Q18262" s="318"/>
      <c r="R18262" s="318"/>
      <c r="S18262" s="318"/>
      <c r="T18262" s="318"/>
      <c r="U18262" s="318"/>
      <c r="V18262" s="318"/>
      <c r="W18262" s="318"/>
      <c r="X18262" s="318"/>
      <c r="Y18262" s="318"/>
      <c r="Z18262" s="318"/>
      <c r="AA18262" s="318"/>
      <c r="AB18262" s="318"/>
      <c r="AC18262" s="318"/>
      <c r="AD18262" s="318"/>
    </row>
    <row r="18263" spans="2:30" s="323" customFormat="1" ht="12" customHeight="1">
      <c r="B18263" s="324"/>
      <c r="C18263" s="325"/>
      <c r="D18263" s="326"/>
      <c r="E18263" s="326"/>
      <c r="F18263" s="326"/>
      <c r="G18263" s="326"/>
      <c r="H18263" s="326"/>
      <c r="P18263" s="318"/>
      <c r="Q18263" s="318"/>
      <c r="R18263" s="318"/>
      <c r="S18263" s="318"/>
      <c r="T18263" s="318"/>
      <c r="U18263" s="318"/>
      <c r="V18263" s="318"/>
      <c r="W18263" s="318"/>
      <c r="X18263" s="318"/>
      <c r="Y18263" s="318"/>
      <c r="Z18263" s="318"/>
      <c r="AA18263" s="318"/>
      <c r="AB18263" s="318"/>
      <c r="AC18263" s="318"/>
      <c r="AD18263" s="318"/>
    </row>
    <row r="18264" spans="2:30" s="323" customFormat="1" ht="12" customHeight="1">
      <c r="B18264" s="324"/>
      <c r="C18264" s="325"/>
      <c r="D18264" s="326"/>
      <c r="E18264" s="326"/>
      <c r="F18264" s="326"/>
      <c r="G18264" s="326"/>
      <c r="H18264" s="326"/>
      <c r="P18264" s="318"/>
      <c r="Q18264" s="318"/>
      <c r="R18264" s="318"/>
      <c r="S18264" s="318"/>
      <c r="T18264" s="318"/>
      <c r="U18264" s="318"/>
      <c r="V18264" s="318"/>
      <c r="W18264" s="318"/>
      <c r="X18264" s="318"/>
      <c r="Y18264" s="318"/>
      <c r="Z18264" s="318"/>
      <c r="AA18264" s="318"/>
      <c r="AB18264" s="318"/>
      <c r="AC18264" s="318"/>
      <c r="AD18264" s="318"/>
    </row>
    <row r="18265" spans="2:30" s="323" customFormat="1" ht="12" customHeight="1">
      <c r="B18265" s="324"/>
      <c r="C18265" s="325"/>
      <c r="D18265" s="326"/>
      <c r="E18265" s="326"/>
      <c r="F18265" s="326"/>
      <c r="G18265" s="326"/>
      <c r="H18265" s="326"/>
      <c r="P18265" s="318"/>
      <c r="Q18265" s="318"/>
      <c r="R18265" s="318"/>
      <c r="S18265" s="318"/>
      <c r="T18265" s="318"/>
      <c r="U18265" s="318"/>
      <c r="V18265" s="318"/>
      <c r="W18265" s="318"/>
      <c r="X18265" s="318"/>
      <c r="Y18265" s="318"/>
      <c r="Z18265" s="318"/>
      <c r="AA18265" s="318"/>
      <c r="AB18265" s="318"/>
      <c r="AC18265" s="318"/>
      <c r="AD18265" s="318"/>
    </row>
    <row r="18266" spans="2:30" s="323" customFormat="1" ht="12" customHeight="1">
      <c r="B18266" s="324"/>
      <c r="C18266" s="325"/>
      <c r="D18266" s="326"/>
      <c r="E18266" s="326"/>
      <c r="F18266" s="326"/>
      <c r="G18266" s="326"/>
      <c r="H18266" s="326"/>
      <c r="P18266" s="318"/>
      <c r="Q18266" s="318"/>
      <c r="R18266" s="318"/>
      <c r="S18266" s="318"/>
      <c r="T18266" s="318"/>
      <c r="U18266" s="318"/>
      <c r="V18266" s="318"/>
      <c r="W18266" s="318"/>
      <c r="X18266" s="318"/>
      <c r="Y18266" s="318"/>
      <c r="Z18266" s="318"/>
      <c r="AA18266" s="318"/>
      <c r="AB18266" s="318"/>
      <c r="AC18266" s="318"/>
      <c r="AD18266" s="318"/>
    </row>
    <row r="18267" spans="2:30" s="323" customFormat="1" ht="12" customHeight="1">
      <c r="B18267" s="324"/>
      <c r="C18267" s="325"/>
      <c r="D18267" s="326"/>
      <c r="E18267" s="326"/>
      <c r="F18267" s="326"/>
      <c r="G18267" s="326"/>
      <c r="H18267" s="326"/>
      <c r="P18267" s="318"/>
      <c r="Q18267" s="318"/>
      <c r="R18267" s="318"/>
      <c r="S18267" s="318"/>
      <c r="T18267" s="318"/>
      <c r="U18267" s="318"/>
      <c r="V18267" s="318"/>
      <c r="W18267" s="318"/>
      <c r="X18267" s="318"/>
      <c r="Y18267" s="318"/>
      <c r="Z18267" s="318"/>
      <c r="AA18267" s="318"/>
      <c r="AB18267" s="318"/>
      <c r="AC18267" s="318"/>
      <c r="AD18267" s="318"/>
    </row>
    <row r="18268" spans="2:30" s="323" customFormat="1" ht="12" customHeight="1">
      <c r="B18268" s="324"/>
      <c r="C18268" s="325"/>
      <c r="D18268" s="326"/>
      <c r="E18268" s="326"/>
      <c r="F18268" s="326"/>
      <c r="G18268" s="326"/>
      <c r="H18268" s="326"/>
      <c r="P18268" s="318"/>
      <c r="Q18268" s="318"/>
      <c r="R18268" s="318"/>
      <c r="S18268" s="318"/>
      <c r="T18268" s="318"/>
      <c r="U18268" s="318"/>
      <c r="V18268" s="318"/>
      <c r="W18268" s="318"/>
      <c r="X18268" s="318"/>
      <c r="Y18268" s="318"/>
      <c r="Z18268" s="318"/>
      <c r="AA18268" s="318"/>
      <c r="AB18268" s="318"/>
      <c r="AC18268" s="318"/>
      <c r="AD18268" s="318"/>
    </row>
    <row r="18269" spans="2:30" s="323" customFormat="1" ht="12" customHeight="1">
      <c r="B18269" s="324"/>
      <c r="C18269" s="325"/>
      <c r="D18269" s="326"/>
      <c r="E18269" s="326"/>
      <c r="F18269" s="326"/>
      <c r="G18269" s="326"/>
      <c r="H18269" s="326"/>
      <c r="P18269" s="318"/>
      <c r="Q18269" s="318"/>
      <c r="R18269" s="318"/>
      <c r="S18269" s="318"/>
      <c r="T18269" s="318"/>
      <c r="U18269" s="318"/>
      <c r="V18269" s="318"/>
      <c r="W18269" s="318"/>
      <c r="X18269" s="318"/>
      <c r="Y18269" s="318"/>
      <c r="Z18269" s="318"/>
      <c r="AA18269" s="318"/>
      <c r="AB18269" s="318"/>
      <c r="AC18269" s="318"/>
      <c r="AD18269" s="318"/>
    </row>
    <row r="18270" spans="2:30" s="323" customFormat="1" ht="12" customHeight="1">
      <c r="B18270" s="324"/>
      <c r="C18270" s="325"/>
      <c r="D18270" s="326"/>
      <c r="E18270" s="326"/>
      <c r="F18270" s="326"/>
      <c r="G18270" s="326"/>
      <c r="H18270" s="326"/>
      <c r="P18270" s="318"/>
      <c r="Q18270" s="318"/>
      <c r="R18270" s="318"/>
      <c r="S18270" s="318"/>
      <c r="T18270" s="318"/>
      <c r="U18270" s="318"/>
      <c r="V18270" s="318"/>
      <c r="W18270" s="318"/>
      <c r="X18270" s="318"/>
      <c r="Y18270" s="318"/>
      <c r="Z18270" s="318"/>
      <c r="AA18270" s="318"/>
      <c r="AB18270" s="318"/>
      <c r="AC18270" s="318"/>
      <c r="AD18270" s="318"/>
    </row>
    <row r="18271" spans="2:30" s="323" customFormat="1" ht="12" customHeight="1">
      <c r="B18271" s="324"/>
      <c r="C18271" s="325"/>
      <c r="D18271" s="326"/>
      <c r="E18271" s="326"/>
      <c r="F18271" s="326"/>
      <c r="G18271" s="326"/>
      <c r="H18271" s="326"/>
      <c r="P18271" s="318"/>
      <c r="Q18271" s="318"/>
      <c r="R18271" s="318"/>
      <c r="S18271" s="318"/>
      <c r="T18271" s="318"/>
      <c r="U18271" s="318"/>
      <c r="V18271" s="318"/>
      <c r="W18271" s="318"/>
      <c r="X18271" s="318"/>
      <c r="Y18271" s="318"/>
      <c r="Z18271" s="318"/>
      <c r="AA18271" s="318"/>
      <c r="AB18271" s="318"/>
      <c r="AC18271" s="318"/>
      <c r="AD18271" s="318"/>
    </row>
    <row r="18272" spans="2:30" s="323" customFormat="1" ht="12" customHeight="1">
      <c r="B18272" s="324"/>
      <c r="C18272" s="325"/>
      <c r="D18272" s="326"/>
      <c r="E18272" s="326"/>
      <c r="F18272" s="326"/>
      <c r="G18272" s="326"/>
      <c r="H18272" s="326"/>
      <c r="P18272" s="318"/>
      <c r="Q18272" s="318"/>
      <c r="R18272" s="318"/>
      <c r="S18272" s="318"/>
      <c r="T18272" s="318"/>
      <c r="U18272" s="318"/>
      <c r="V18272" s="318"/>
      <c r="W18272" s="318"/>
      <c r="X18272" s="318"/>
      <c r="Y18272" s="318"/>
      <c r="Z18272" s="318"/>
      <c r="AA18272" s="318"/>
      <c r="AB18272" s="318"/>
      <c r="AC18272" s="318"/>
      <c r="AD18272" s="318"/>
    </row>
    <row r="18273" spans="2:30" s="323" customFormat="1" ht="12" customHeight="1">
      <c r="B18273" s="324"/>
      <c r="C18273" s="325"/>
      <c r="D18273" s="326"/>
      <c r="E18273" s="326"/>
      <c r="F18273" s="326"/>
      <c r="G18273" s="326"/>
      <c r="H18273" s="326"/>
      <c r="P18273" s="318"/>
      <c r="Q18273" s="318"/>
      <c r="R18273" s="318"/>
      <c r="S18273" s="318"/>
      <c r="T18273" s="318"/>
      <c r="U18273" s="318"/>
      <c r="V18273" s="318"/>
      <c r="W18273" s="318"/>
      <c r="X18273" s="318"/>
      <c r="Y18273" s="318"/>
      <c r="Z18273" s="318"/>
      <c r="AA18273" s="318"/>
      <c r="AB18273" s="318"/>
      <c r="AC18273" s="318"/>
      <c r="AD18273" s="318"/>
    </row>
    <row r="18274" spans="2:30" s="323" customFormat="1" ht="12" customHeight="1">
      <c r="B18274" s="324"/>
      <c r="C18274" s="325"/>
      <c r="D18274" s="326"/>
      <c r="E18274" s="326"/>
      <c r="F18274" s="326"/>
      <c r="G18274" s="326"/>
      <c r="H18274" s="326"/>
      <c r="P18274" s="318"/>
      <c r="Q18274" s="318"/>
      <c r="R18274" s="318"/>
      <c r="S18274" s="318"/>
      <c r="T18274" s="318"/>
      <c r="U18274" s="318"/>
      <c r="V18274" s="318"/>
      <c r="W18274" s="318"/>
      <c r="X18274" s="318"/>
      <c r="Y18274" s="318"/>
      <c r="Z18274" s="318"/>
      <c r="AA18274" s="318"/>
      <c r="AB18274" s="318"/>
      <c r="AC18274" s="318"/>
      <c r="AD18274" s="318"/>
    </row>
    <row r="18275" spans="2:30" s="323" customFormat="1" ht="12" customHeight="1">
      <c r="B18275" s="324"/>
      <c r="C18275" s="325"/>
      <c r="D18275" s="326"/>
      <c r="E18275" s="326"/>
      <c r="F18275" s="326"/>
      <c r="G18275" s="326"/>
      <c r="H18275" s="326"/>
      <c r="P18275" s="318"/>
      <c r="Q18275" s="318"/>
      <c r="R18275" s="318"/>
      <c r="S18275" s="318"/>
      <c r="T18275" s="318"/>
      <c r="U18275" s="318"/>
      <c r="V18275" s="318"/>
      <c r="W18275" s="318"/>
      <c r="X18275" s="318"/>
      <c r="Y18275" s="318"/>
      <c r="Z18275" s="318"/>
      <c r="AA18275" s="318"/>
      <c r="AB18275" s="318"/>
      <c r="AC18275" s="318"/>
      <c r="AD18275" s="318"/>
    </row>
    <row r="18276" spans="2:30" s="323" customFormat="1" ht="12" customHeight="1">
      <c r="B18276" s="324"/>
      <c r="C18276" s="325"/>
      <c r="D18276" s="326"/>
      <c r="E18276" s="326"/>
      <c r="F18276" s="326"/>
      <c r="G18276" s="326"/>
      <c r="H18276" s="326"/>
      <c r="P18276" s="318"/>
      <c r="Q18276" s="318"/>
      <c r="R18276" s="318"/>
      <c r="S18276" s="318"/>
      <c r="T18276" s="318"/>
      <c r="U18276" s="318"/>
      <c r="V18276" s="318"/>
      <c r="W18276" s="318"/>
      <c r="X18276" s="318"/>
      <c r="Y18276" s="318"/>
      <c r="Z18276" s="318"/>
      <c r="AA18276" s="318"/>
      <c r="AB18276" s="318"/>
      <c r="AC18276" s="318"/>
      <c r="AD18276" s="318"/>
    </row>
    <row r="18277" spans="2:30" s="323" customFormat="1" ht="12" customHeight="1">
      <c r="B18277" s="324"/>
      <c r="C18277" s="325"/>
      <c r="D18277" s="326"/>
      <c r="E18277" s="326"/>
      <c r="F18277" s="326"/>
      <c r="G18277" s="326"/>
      <c r="H18277" s="326"/>
      <c r="P18277" s="318"/>
      <c r="Q18277" s="318"/>
      <c r="R18277" s="318"/>
      <c r="S18277" s="318"/>
      <c r="T18277" s="318"/>
      <c r="U18277" s="318"/>
      <c r="V18277" s="318"/>
      <c r="W18277" s="318"/>
      <c r="X18277" s="318"/>
      <c r="Y18277" s="318"/>
      <c r="Z18277" s="318"/>
      <c r="AA18277" s="318"/>
      <c r="AB18277" s="318"/>
      <c r="AC18277" s="318"/>
      <c r="AD18277" s="318"/>
    </row>
    <row r="18278" spans="2:30" s="323" customFormat="1" ht="12" customHeight="1">
      <c r="B18278" s="324"/>
      <c r="C18278" s="325"/>
      <c r="D18278" s="326"/>
      <c r="E18278" s="326"/>
      <c r="F18278" s="326"/>
      <c r="G18278" s="326"/>
      <c r="H18278" s="326"/>
      <c r="P18278" s="318"/>
      <c r="Q18278" s="318"/>
      <c r="R18278" s="318"/>
      <c r="S18278" s="318"/>
      <c r="T18278" s="318"/>
      <c r="U18278" s="318"/>
      <c r="V18278" s="318"/>
      <c r="W18278" s="318"/>
      <c r="X18278" s="318"/>
      <c r="Y18278" s="318"/>
      <c r="Z18278" s="318"/>
      <c r="AA18278" s="318"/>
      <c r="AB18278" s="318"/>
      <c r="AC18278" s="318"/>
      <c r="AD18278" s="318"/>
    </row>
    <row r="18279" spans="2:30" s="323" customFormat="1" ht="12" customHeight="1">
      <c r="B18279" s="324"/>
      <c r="C18279" s="325"/>
      <c r="D18279" s="326"/>
      <c r="E18279" s="326"/>
      <c r="F18279" s="326"/>
      <c r="G18279" s="326"/>
      <c r="H18279" s="326"/>
      <c r="P18279" s="318"/>
      <c r="Q18279" s="318"/>
      <c r="R18279" s="318"/>
      <c r="S18279" s="318"/>
      <c r="T18279" s="318"/>
      <c r="U18279" s="318"/>
      <c r="V18279" s="318"/>
      <c r="W18279" s="318"/>
      <c r="X18279" s="318"/>
      <c r="Y18279" s="318"/>
      <c r="Z18279" s="318"/>
      <c r="AA18279" s="318"/>
      <c r="AB18279" s="318"/>
      <c r="AC18279" s="318"/>
      <c r="AD18279" s="318"/>
    </row>
    <row r="18280" spans="2:30" s="323" customFormat="1" ht="12" customHeight="1">
      <c r="B18280" s="324"/>
      <c r="C18280" s="325"/>
      <c r="D18280" s="326"/>
      <c r="E18280" s="326"/>
      <c r="F18280" s="326"/>
      <c r="G18280" s="326"/>
      <c r="H18280" s="326"/>
      <c r="P18280" s="318"/>
      <c r="Q18280" s="318"/>
      <c r="R18280" s="318"/>
      <c r="S18280" s="318"/>
      <c r="T18280" s="318"/>
      <c r="U18280" s="318"/>
      <c r="V18280" s="318"/>
      <c r="W18280" s="318"/>
      <c r="X18280" s="318"/>
      <c r="Y18280" s="318"/>
      <c r="Z18280" s="318"/>
      <c r="AA18280" s="318"/>
      <c r="AB18280" s="318"/>
      <c r="AC18280" s="318"/>
      <c r="AD18280" s="318"/>
    </row>
    <row r="18281" spans="2:30" s="323" customFormat="1" ht="12" customHeight="1">
      <c r="B18281" s="324"/>
      <c r="C18281" s="325"/>
      <c r="D18281" s="326"/>
      <c r="E18281" s="326"/>
      <c r="F18281" s="326"/>
      <c r="G18281" s="326"/>
      <c r="H18281" s="326"/>
      <c r="P18281" s="318"/>
      <c r="Q18281" s="318"/>
      <c r="R18281" s="318"/>
      <c r="S18281" s="318"/>
      <c r="T18281" s="318"/>
      <c r="U18281" s="318"/>
      <c r="V18281" s="318"/>
      <c r="W18281" s="318"/>
      <c r="X18281" s="318"/>
      <c r="Y18281" s="318"/>
      <c r="Z18281" s="318"/>
      <c r="AA18281" s="318"/>
      <c r="AB18281" s="318"/>
      <c r="AC18281" s="318"/>
      <c r="AD18281" s="318"/>
    </row>
    <row r="18282" spans="2:30" s="323" customFormat="1" ht="12" customHeight="1">
      <c r="B18282" s="324"/>
      <c r="C18282" s="325"/>
      <c r="D18282" s="326"/>
      <c r="E18282" s="326"/>
      <c r="F18282" s="326"/>
      <c r="G18282" s="326"/>
      <c r="H18282" s="326"/>
      <c r="P18282" s="318"/>
      <c r="Q18282" s="318"/>
      <c r="R18282" s="318"/>
      <c r="S18282" s="318"/>
      <c r="T18282" s="318"/>
      <c r="U18282" s="318"/>
      <c r="V18282" s="318"/>
      <c r="W18282" s="318"/>
      <c r="X18282" s="318"/>
      <c r="Y18282" s="318"/>
      <c r="Z18282" s="318"/>
      <c r="AA18282" s="318"/>
      <c r="AB18282" s="318"/>
      <c r="AC18282" s="318"/>
      <c r="AD18282" s="318"/>
    </row>
    <row r="18283" spans="2:30" s="323" customFormat="1" ht="12" customHeight="1">
      <c r="B18283" s="324"/>
      <c r="C18283" s="325"/>
      <c r="D18283" s="326"/>
      <c r="E18283" s="326"/>
      <c r="F18283" s="326"/>
      <c r="G18283" s="326"/>
      <c r="H18283" s="326"/>
      <c r="P18283" s="318"/>
      <c r="Q18283" s="318"/>
      <c r="R18283" s="318"/>
      <c r="S18283" s="318"/>
      <c r="T18283" s="318"/>
      <c r="U18283" s="318"/>
      <c r="V18283" s="318"/>
      <c r="W18283" s="318"/>
      <c r="X18283" s="318"/>
      <c r="Y18283" s="318"/>
      <c r="Z18283" s="318"/>
      <c r="AA18283" s="318"/>
      <c r="AB18283" s="318"/>
      <c r="AC18283" s="318"/>
      <c r="AD18283" s="318"/>
    </row>
    <row r="18284" spans="2:30" s="323" customFormat="1" ht="12" customHeight="1">
      <c r="B18284" s="324"/>
      <c r="C18284" s="325"/>
      <c r="D18284" s="326"/>
      <c r="E18284" s="326"/>
      <c r="F18284" s="326"/>
      <c r="G18284" s="326"/>
      <c r="H18284" s="326"/>
      <c r="P18284" s="318"/>
      <c r="Q18284" s="318"/>
      <c r="R18284" s="318"/>
      <c r="S18284" s="318"/>
      <c r="T18284" s="318"/>
      <c r="U18284" s="318"/>
      <c r="V18284" s="318"/>
      <c r="W18284" s="318"/>
      <c r="X18284" s="318"/>
      <c r="Y18284" s="318"/>
      <c r="Z18284" s="318"/>
      <c r="AA18284" s="318"/>
      <c r="AB18284" s="318"/>
      <c r="AC18284" s="318"/>
      <c r="AD18284" s="318"/>
    </row>
    <row r="18285" spans="2:30" s="323" customFormat="1" ht="12" customHeight="1">
      <c r="B18285" s="324"/>
      <c r="C18285" s="325"/>
      <c r="D18285" s="326"/>
      <c r="E18285" s="326"/>
      <c r="F18285" s="326"/>
      <c r="G18285" s="326"/>
      <c r="H18285" s="326"/>
      <c r="P18285" s="318"/>
      <c r="Q18285" s="318"/>
      <c r="R18285" s="318"/>
      <c r="S18285" s="318"/>
      <c r="T18285" s="318"/>
      <c r="U18285" s="318"/>
      <c r="V18285" s="318"/>
      <c r="W18285" s="318"/>
      <c r="X18285" s="318"/>
      <c r="Y18285" s="318"/>
      <c r="Z18285" s="318"/>
      <c r="AA18285" s="318"/>
      <c r="AB18285" s="318"/>
      <c r="AC18285" s="318"/>
      <c r="AD18285" s="318"/>
    </row>
    <row r="18286" spans="2:30" s="323" customFormat="1" ht="12" customHeight="1">
      <c r="B18286" s="324"/>
      <c r="C18286" s="325"/>
      <c r="D18286" s="326"/>
      <c r="E18286" s="326"/>
      <c r="F18286" s="326"/>
      <c r="G18286" s="326"/>
      <c r="H18286" s="326"/>
      <c r="P18286" s="318"/>
      <c r="Q18286" s="318"/>
      <c r="R18286" s="318"/>
      <c r="S18286" s="318"/>
      <c r="T18286" s="318"/>
      <c r="U18286" s="318"/>
      <c r="V18286" s="318"/>
      <c r="W18286" s="318"/>
      <c r="X18286" s="318"/>
      <c r="Y18286" s="318"/>
      <c r="Z18286" s="318"/>
      <c r="AA18286" s="318"/>
      <c r="AB18286" s="318"/>
      <c r="AC18286" s="318"/>
      <c r="AD18286" s="318"/>
    </row>
    <row r="18287" spans="2:30" s="323" customFormat="1" ht="12" customHeight="1">
      <c r="B18287" s="324"/>
      <c r="C18287" s="325"/>
      <c r="D18287" s="326"/>
      <c r="E18287" s="326"/>
      <c r="F18287" s="326"/>
      <c r="G18287" s="326"/>
      <c r="H18287" s="326"/>
      <c r="P18287" s="318"/>
      <c r="Q18287" s="318"/>
      <c r="R18287" s="318"/>
      <c r="S18287" s="318"/>
      <c r="T18287" s="318"/>
      <c r="U18287" s="318"/>
      <c r="V18287" s="318"/>
      <c r="W18287" s="318"/>
      <c r="X18287" s="318"/>
      <c r="Y18287" s="318"/>
      <c r="Z18287" s="318"/>
      <c r="AA18287" s="318"/>
      <c r="AB18287" s="318"/>
      <c r="AC18287" s="318"/>
      <c r="AD18287" s="318"/>
    </row>
    <row r="18288" spans="2:30" s="323" customFormat="1" ht="12" customHeight="1">
      <c r="B18288" s="324"/>
      <c r="C18288" s="325"/>
      <c r="D18288" s="326"/>
      <c r="E18288" s="326"/>
      <c r="F18288" s="326"/>
      <c r="G18288" s="326"/>
      <c r="H18288" s="326"/>
      <c r="P18288" s="318"/>
      <c r="Q18288" s="318"/>
      <c r="R18288" s="318"/>
      <c r="S18288" s="318"/>
      <c r="T18288" s="318"/>
      <c r="U18288" s="318"/>
      <c r="V18288" s="318"/>
      <c r="W18288" s="318"/>
      <c r="X18288" s="318"/>
      <c r="Y18288" s="318"/>
      <c r="Z18288" s="318"/>
      <c r="AA18288" s="318"/>
      <c r="AB18288" s="318"/>
      <c r="AC18288" s="318"/>
      <c r="AD18288" s="318"/>
    </row>
    <row r="18289" spans="2:30" s="323" customFormat="1" ht="12" customHeight="1">
      <c r="B18289" s="324"/>
      <c r="C18289" s="325"/>
      <c r="D18289" s="326"/>
      <c r="E18289" s="326"/>
      <c r="F18289" s="326"/>
      <c r="G18289" s="326"/>
      <c r="H18289" s="326"/>
      <c r="P18289" s="318"/>
      <c r="Q18289" s="318"/>
      <c r="R18289" s="318"/>
      <c r="S18289" s="318"/>
      <c r="T18289" s="318"/>
      <c r="U18289" s="318"/>
      <c r="V18289" s="318"/>
      <c r="W18289" s="318"/>
      <c r="X18289" s="318"/>
      <c r="Y18289" s="318"/>
      <c r="Z18289" s="318"/>
      <c r="AA18289" s="318"/>
      <c r="AB18289" s="318"/>
      <c r="AC18289" s="318"/>
      <c r="AD18289" s="318"/>
    </row>
    <row r="18290" spans="2:30" s="323" customFormat="1" ht="12" customHeight="1">
      <c r="B18290" s="324"/>
      <c r="C18290" s="325"/>
      <c r="D18290" s="326"/>
      <c r="E18290" s="326"/>
      <c r="F18290" s="326"/>
      <c r="G18290" s="326"/>
      <c r="H18290" s="326"/>
      <c r="P18290" s="318"/>
      <c r="Q18290" s="318"/>
      <c r="R18290" s="318"/>
      <c r="S18290" s="318"/>
      <c r="T18290" s="318"/>
      <c r="U18290" s="318"/>
      <c r="V18290" s="318"/>
      <c r="W18290" s="318"/>
      <c r="X18290" s="318"/>
      <c r="Y18290" s="318"/>
      <c r="Z18290" s="318"/>
      <c r="AA18290" s="318"/>
      <c r="AB18290" s="318"/>
      <c r="AC18290" s="318"/>
      <c r="AD18290" s="318"/>
    </row>
    <row r="18291" spans="2:30" s="323" customFormat="1" ht="12" customHeight="1">
      <c r="B18291" s="324"/>
      <c r="C18291" s="325"/>
      <c r="D18291" s="326"/>
      <c r="E18291" s="326"/>
      <c r="F18291" s="326"/>
      <c r="G18291" s="326"/>
      <c r="H18291" s="326"/>
      <c r="P18291" s="318"/>
      <c r="Q18291" s="318"/>
      <c r="R18291" s="318"/>
      <c r="S18291" s="318"/>
      <c r="T18291" s="318"/>
      <c r="U18291" s="318"/>
      <c r="V18291" s="318"/>
      <c r="W18291" s="318"/>
      <c r="X18291" s="318"/>
      <c r="Y18291" s="318"/>
      <c r="Z18291" s="318"/>
      <c r="AA18291" s="318"/>
      <c r="AB18291" s="318"/>
      <c r="AC18291" s="318"/>
      <c r="AD18291" s="318"/>
    </row>
    <row r="18292" spans="2:30" s="323" customFormat="1" ht="12" customHeight="1">
      <c r="B18292" s="324"/>
      <c r="C18292" s="325"/>
      <c r="D18292" s="326"/>
      <c r="E18292" s="326"/>
      <c r="F18292" s="326"/>
      <c r="G18292" s="326"/>
      <c r="H18292" s="326"/>
      <c r="P18292" s="318"/>
      <c r="Q18292" s="318"/>
      <c r="R18292" s="318"/>
      <c r="S18292" s="318"/>
      <c r="T18292" s="318"/>
      <c r="U18292" s="318"/>
      <c r="V18292" s="318"/>
      <c r="W18292" s="318"/>
      <c r="X18292" s="318"/>
      <c r="Y18292" s="318"/>
      <c r="Z18292" s="318"/>
      <c r="AA18292" s="318"/>
      <c r="AB18292" s="318"/>
      <c r="AC18292" s="318"/>
      <c r="AD18292" s="318"/>
    </row>
    <row r="18293" spans="2:30" s="323" customFormat="1" ht="12" customHeight="1">
      <c r="B18293" s="324"/>
      <c r="C18293" s="325"/>
      <c r="D18293" s="326"/>
      <c r="E18293" s="326"/>
      <c r="F18293" s="326"/>
      <c r="G18293" s="326"/>
      <c r="H18293" s="326"/>
      <c r="P18293" s="318"/>
      <c r="Q18293" s="318"/>
      <c r="R18293" s="318"/>
      <c r="S18293" s="318"/>
      <c r="T18293" s="318"/>
      <c r="U18293" s="318"/>
      <c r="V18293" s="318"/>
      <c r="W18293" s="318"/>
      <c r="X18293" s="318"/>
      <c r="Y18293" s="318"/>
      <c r="Z18293" s="318"/>
      <c r="AA18293" s="318"/>
      <c r="AB18293" s="318"/>
      <c r="AC18293" s="318"/>
      <c r="AD18293" s="318"/>
    </row>
    <row r="18294" spans="2:30" s="323" customFormat="1" ht="12" customHeight="1">
      <c r="B18294" s="324"/>
      <c r="C18294" s="325"/>
      <c r="D18294" s="326"/>
      <c r="E18294" s="326"/>
      <c r="F18294" s="326"/>
      <c r="G18294" s="326"/>
      <c r="H18294" s="326"/>
      <c r="P18294" s="318"/>
      <c r="Q18294" s="318"/>
      <c r="R18294" s="318"/>
      <c r="S18294" s="318"/>
      <c r="T18294" s="318"/>
      <c r="U18294" s="318"/>
      <c r="V18294" s="318"/>
      <c r="W18294" s="318"/>
      <c r="X18294" s="318"/>
      <c r="Y18294" s="318"/>
      <c r="Z18294" s="318"/>
      <c r="AA18294" s="318"/>
      <c r="AB18294" s="318"/>
      <c r="AC18294" s="318"/>
      <c r="AD18294" s="318"/>
    </row>
    <row r="18295" spans="2:30" s="323" customFormat="1" ht="12" customHeight="1">
      <c r="B18295" s="324"/>
      <c r="C18295" s="325"/>
      <c r="D18295" s="326"/>
      <c r="E18295" s="326"/>
      <c r="F18295" s="326"/>
      <c r="G18295" s="326"/>
      <c r="H18295" s="326"/>
      <c r="P18295" s="318"/>
      <c r="Q18295" s="318"/>
      <c r="R18295" s="318"/>
      <c r="S18295" s="318"/>
      <c r="T18295" s="318"/>
      <c r="U18295" s="318"/>
      <c r="V18295" s="318"/>
      <c r="W18295" s="318"/>
      <c r="X18295" s="318"/>
      <c r="Y18295" s="318"/>
      <c r="Z18295" s="318"/>
      <c r="AA18295" s="318"/>
      <c r="AB18295" s="318"/>
      <c r="AC18295" s="318"/>
      <c r="AD18295" s="318"/>
    </row>
    <row r="18296" spans="2:30" s="323" customFormat="1" ht="12" customHeight="1">
      <c r="B18296" s="324"/>
      <c r="C18296" s="325"/>
      <c r="D18296" s="326"/>
      <c r="E18296" s="326"/>
      <c r="F18296" s="326"/>
      <c r="G18296" s="326"/>
      <c r="H18296" s="326"/>
      <c r="P18296" s="318"/>
      <c r="Q18296" s="318"/>
      <c r="R18296" s="318"/>
      <c r="S18296" s="318"/>
      <c r="T18296" s="318"/>
      <c r="U18296" s="318"/>
      <c r="V18296" s="318"/>
      <c r="W18296" s="318"/>
      <c r="X18296" s="318"/>
      <c r="Y18296" s="318"/>
      <c r="Z18296" s="318"/>
      <c r="AA18296" s="318"/>
      <c r="AB18296" s="318"/>
      <c r="AC18296" s="318"/>
      <c r="AD18296" s="318"/>
    </row>
    <row r="18297" spans="2:30" s="323" customFormat="1" ht="12" customHeight="1">
      <c r="B18297" s="324"/>
      <c r="C18297" s="325"/>
      <c r="D18297" s="326"/>
      <c r="E18297" s="326"/>
      <c r="F18297" s="326"/>
      <c r="G18297" s="326"/>
      <c r="H18297" s="326"/>
      <c r="P18297" s="318"/>
      <c r="Q18297" s="318"/>
      <c r="R18297" s="318"/>
      <c r="S18297" s="318"/>
      <c r="T18297" s="318"/>
      <c r="U18297" s="318"/>
      <c r="V18297" s="318"/>
      <c r="W18297" s="318"/>
      <c r="X18297" s="318"/>
      <c r="Y18297" s="318"/>
      <c r="Z18297" s="318"/>
      <c r="AA18297" s="318"/>
      <c r="AB18297" s="318"/>
      <c r="AC18297" s="318"/>
      <c r="AD18297" s="318"/>
    </row>
    <row r="18298" spans="2:30" s="323" customFormat="1" ht="12" customHeight="1">
      <c r="B18298" s="324"/>
      <c r="C18298" s="325"/>
      <c r="D18298" s="326"/>
      <c r="E18298" s="326"/>
      <c r="F18298" s="326"/>
      <c r="G18298" s="326"/>
      <c r="H18298" s="326"/>
      <c r="P18298" s="318"/>
      <c r="Q18298" s="318"/>
      <c r="R18298" s="318"/>
      <c r="S18298" s="318"/>
      <c r="T18298" s="318"/>
      <c r="U18298" s="318"/>
      <c r="V18298" s="318"/>
      <c r="W18298" s="318"/>
      <c r="X18298" s="318"/>
      <c r="Y18298" s="318"/>
      <c r="Z18298" s="318"/>
      <c r="AA18298" s="318"/>
      <c r="AB18298" s="318"/>
      <c r="AC18298" s="318"/>
      <c r="AD18298" s="318"/>
    </row>
    <row r="18299" spans="2:30" s="323" customFormat="1" ht="12" customHeight="1">
      <c r="B18299" s="324"/>
      <c r="C18299" s="325"/>
      <c r="D18299" s="326"/>
      <c r="E18299" s="326"/>
      <c r="F18299" s="326"/>
      <c r="G18299" s="326"/>
      <c r="H18299" s="326"/>
      <c r="P18299" s="318"/>
      <c r="Q18299" s="318"/>
      <c r="R18299" s="318"/>
      <c r="S18299" s="318"/>
      <c r="T18299" s="318"/>
      <c r="U18299" s="318"/>
      <c r="V18299" s="318"/>
      <c r="W18299" s="318"/>
      <c r="X18299" s="318"/>
      <c r="Y18299" s="318"/>
      <c r="Z18299" s="318"/>
      <c r="AA18299" s="318"/>
      <c r="AB18299" s="318"/>
      <c r="AC18299" s="318"/>
      <c r="AD18299" s="318"/>
    </row>
    <row r="18300" spans="2:30" s="323" customFormat="1" ht="12" customHeight="1">
      <c r="B18300" s="324"/>
      <c r="C18300" s="325"/>
      <c r="D18300" s="326"/>
      <c r="E18300" s="326"/>
      <c r="F18300" s="326"/>
      <c r="G18300" s="326"/>
      <c r="H18300" s="326"/>
      <c r="P18300" s="318"/>
      <c r="Q18300" s="318"/>
      <c r="R18300" s="318"/>
      <c r="S18300" s="318"/>
      <c r="T18300" s="318"/>
      <c r="U18300" s="318"/>
      <c r="V18300" s="318"/>
      <c r="W18300" s="318"/>
      <c r="X18300" s="318"/>
      <c r="Y18300" s="318"/>
      <c r="Z18300" s="318"/>
      <c r="AA18300" s="318"/>
      <c r="AB18300" s="318"/>
      <c r="AC18300" s="318"/>
      <c r="AD18300" s="318"/>
    </row>
    <row r="18301" spans="2:30" s="323" customFormat="1" ht="12" customHeight="1">
      <c r="B18301" s="324"/>
      <c r="C18301" s="325"/>
      <c r="D18301" s="326"/>
      <c r="E18301" s="326"/>
      <c r="F18301" s="326"/>
      <c r="G18301" s="326"/>
      <c r="H18301" s="326"/>
      <c r="P18301" s="318"/>
      <c r="Q18301" s="318"/>
      <c r="R18301" s="318"/>
      <c r="S18301" s="318"/>
      <c r="T18301" s="318"/>
      <c r="U18301" s="318"/>
      <c r="V18301" s="318"/>
      <c r="W18301" s="318"/>
      <c r="X18301" s="318"/>
      <c r="Y18301" s="318"/>
      <c r="Z18301" s="318"/>
      <c r="AA18301" s="318"/>
      <c r="AB18301" s="318"/>
      <c r="AC18301" s="318"/>
      <c r="AD18301" s="318"/>
    </row>
    <row r="18302" spans="2:30" s="323" customFormat="1" ht="12" customHeight="1">
      <c r="B18302" s="324"/>
      <c r="C18302" s="325"/>
      <c r="D18302" s="326"/>
      <c r="E18302" s="326"/>
      <c r="F18302" s="326"/>
      <c r="G18302" s="326"/>
      <c r="H18302" s="326"/>
      <c r="P18302" s="318"/>
      <c r="Q18302" s="318"/>
      <c r="R18302" s="318"/>
      <c r="S18302" s="318"/>
      <c r="T18302" s="318"/>
      <c r="U18302" s="318"/>
      <c r="V18302" s="318"/>
      <c r="W18302" s="318"/>
      <c r="X18302" s="318"/>
      <c r="Y18302" s="318"/>
      <c r="Z18302" s="318"/>
      <c r="AA18302" s="318"/>
      <c r="AB18302" s="318"/>
      <c r="AC18302" s="318"/>
      <c r="AD18302" s="318"/>
    </row>
    <row r="18303" spans="2:30" s="323" customFormat="1" ht="12" customHeight="1">
      <c r="B18303" s="324"/>
      <c r="C18303" s="325"/>
      <c r="D18303" s="326"/>
      <c r="E18303" s="326"/>
      <c r="F18303" s="326"/>
      <c r="G18303" s="326"/>
      <c r="H18303" s="326"/>
      <c r="P18303" s="318"/>
      <c r="Q18303" s="318"/>
      <c r="R18303" s="318"/>
      <c r="S18303" s="318"/>
      <c r="T18303" s="318"/>
      <c r="U18303" s="318"/>
      <c r="V18303" s="318"/>
      <c r="W18303" s="318"/>
      <c r="X18303" s="318"/>
      <c r="Y18303" s="318"/>
      <c r="Z18303" s="318"/>
      <c r="AA18303" s="318"/>
      <c r="AB18303" s="318"/>
      <c r="AC18303" s="318"/>
      <c r="AD18303" s="318"/>
    </row>
    <row r="18304" spans="2:30" s="323" customFormat="1" ht="12" customHeight="1">
      <c r="B18304" s="324"/>
      <c r="C18304" s="325"/>
      <c r="D18304" s="326"/>
      <c r="E18304" s="326"/>
      <c r="F18304" s="326"/>
      <c r="G18304" s="326"/>
      <c r="H18304" s="326"/>
      <c r="P18304" s="318"/>
      <c r="Q18304" s="318"/>
      <c r="R18304" s="318"/>
      <c r="S18304" s="318"/>
      <c r="T18304" s="318"/>
      <c r="U18304" s="318"/>
      <c r="V18304" s="318"/>
      <c r="W18304" s="318"/>
      <c r="X18304" s="318"/>
      <c r="Y18304" s="318"/>
      <c r="Z18304" s="318"/>
      <c r="AA18304" s="318"/>
      <c r="AB18304" s="318"/>
      <c r="AC18304" s="318"/>
      <c r="AD18304" s="318"/>
    </row>
    <row r="18305" spans="2:30" s="323" customFormat="1" ht="12" customHeight="1">
      <c r="B18305" s="324"/>
      <c r="C18305" s="325"/>
      <c r="D18305" s="326"/>
      <c r="E18305" s="326"/>
      <c r="F18305" s="326"/>
      <c r="G18305" s="326"/>
      <c r="H18305" s="326"/>
      <c r="P18305" s="318"/>
      <c r="Q18305" s="318"/>
      <c r="R18305" s="318"/>
      <c r="S18305" s="318"/>
      <c r="T18305" s="318"/>
      <c r="U18305" s="318"/>
      <c r="V18305" s="318"/>
      <c r="W18305" s="318"/>
      <c r="X18305" s="318"/>
      <c r="Y18305" s="318"/>
      <c r="Z18305" s="318"/>
      <c r="AA18305" s="318"/>
      <c r="AB18305" s="318"/>
      <c r="AC18305" s="318"/>
      <c r="AD18305" s="318"/>
    </row>
    <row r="18306" spans="2:30" s="323" customFormat="1" ht="12" customHeight="1">
      <c r="B18306" s="324"/>
      <c r="C18306" s="325"/>
      <c r="D18306" s="326"/>
      <c r="E18306" s="326"/>
      <c r="F18306" s="326"/>
      <c r="G18306" s="326"/>
      <c r="H18306" s="326"/>
      <c r="P18306" s="318"/>
      <c r="Q18306" s="318"/>
      <c r="R18306" s="318"/>
      <c r="S18306" s="318"/>
      <c r="T18306" s="318"/>
      <c r="U18306" s="318"/>
      <c r="V18306" s="318"/>
      <c r="W18306" s="318"/>
      <c r="X18306" s="318"/>
      <c r="Y18306" s="318"/>
      <c r="Z18306" s="318"/>
      <c r="AA18306" s="318"/>
      <c r="AB18306" s="318"/>
      <c r="AC18306" s="318"/>
      <c r="AD18306" s="318"/>
    </row>
    <row r="18307" spans="2:30" s="323" customFormat="1" ht="12" customHeight="1">
      <c r="B18307" s="324"/>
      <c r="C18307" s="325"/>
      <c r="D18307" s="326"/>
      <c r="E18307" s="326"/>
      <c r="F18307" s="326"/>
      <c r="G18307" s="326"/>
      <c r="H18307" s="326"/>
      <c r="P18307" s="318"/>
      <c r="Q18307" s="318"/>
      <c r="R18307" s="318"/>
      <c r="S18307" s="318"/>
      <c r="T18307" s="318"/>
      <c r="U18307" s="318"/>
      <c r="V18307" s="318"/>
      <c r="W18307" s="318"/>
      <c r="X18307" s="318"/>
      <c r="Y18307" s="318"/>
      <c r="Z18307" s="318"/>
      <c r="AA18307" s="318"/>
      <c r="AB18307" s="318"/>
      <c r="AC18307" s="318"/>
      <c r="AD18307" s="318"/>
    </row>
    <row r="18308" spans="2:30" s="323" customFormat="1" ht="12" customHeight="1">
      <c r="B18308" s="324"/>
      <c r="C18308" s="325"/>
      <c r="D18308" s="326"/>
      <c r="E18308" s="326"/>
      <c r="F18308" s="326"/>
      <c r="G18308" s="326"/>
      <c r="H18308" s="326"/>
      <c r="P18308" s="318"/>
      <c r="Q18308" s="318"/>
      <c r="R18308" s="318"/>
      <c r="S18308" s="318"/>
      <c r="T18308" s="318"/>
      <c r="U18308" s="318"/>
      <c r="V18308" s="318"/>
      <c r="W18308" s="318"/>
      <c r="X18308" s="318"/>
      <c r="Y18308" s="318"/>
      <c r="Z18308" s="318"/>
      <c r="AA18308" s="318"/>
      <c r="AB18308" s="318"/>
      <c r="AC18308" s="318"/>
      <c r="AD18308" s="318"/>
    </row>
    <row r="18309" spans="2:30" s="323" customFormat="1" ht="12" customHeight="1">
      <c r="B18309" s="324"/>
      <c r="C18309" s="325"/>
      <c r="D18309" s="326"/>
      <c r="E18309" s="326"/>
      <c r="F18309" s="326"/>
      <c r="G18309" s="326"/>
      <c r="H18309" s="326"/>
      <c r="P18309" s="318"/>
      <c r="Q18309" s="318"/>
      <c r="R18309" s="318"/>
      <c r="S18309" s="318"/>
      <c r="T18309" s="318"/>
      <c r="U18309" s="318"/>
      <c r="V18309" s="318"/>
      <c r="W18309" s="318"/>
      <c r="X18309" s="318"/>
      <c r="Y18309" s="318"/>
      <c r="Z18309" s="318"/>
      <c r="AA18309" s="318"/>
      <c r="AB18309" s="318"/>
      <c r="AC18309" s="318"/>
      <c r="AD18309" s="318"/>
    </row>
    <row r="18310" spans="2:30" s="323" customFormat="1" ht="12" customHeight="1">
      <c r="B18310" s="324"/>
      <c r="C18310" s="325"/>
      <c r="D18310" s="326"/>
      <c r="E18310" s="326"/>
      <c r="F18310" s="326"/>
      <c r="G18310" s="326"/>
      <c r="H18310" s="326"/>
      <c r="P18310" s="318"/>
      <c r="Q18310" s="318"/>
      <c r="R18310" s="318"/>
      <c r="S18310" s="318"/>
      <c r="T18310" s="318"/>
      <c r="U18310" s="318"/>
      <c r="V18310" s="318"/>
      <c r="W18310" s="318"/>
      <c r="X18310" s="318"/>
      <c r="Y18310" s="318"/>
      <c r="Z18310" s="318"/>
      <c r="AA18310" s="318"/>
      <c r="AB18310" s="318"/>
      <c r="AC18310" s="318"/>
      <c r="AD18310" s="318"/>
    </row>
    <row r="18311" spans="2:30" s="323" customFormat="1" ht="12" customHeight="1">
      <c r="B18311" s="324"/>
      <c r="C18311" s="325"/>
      <c r="D18311" s="326"/>
      <c r="E18311" s="326"/>
      <c r="F18311" s="326"/>
      <c r="G18311" s="326"/>
      <c r="H18311" s="326"/>
      <c r="P18311" s="318"/>
      <c r="Q18311" s="318"/>
      <c r="R18311" s="318"/>
      <c r="S18311" s="318"/>
      <c r="T18311" s="318"/>
      <c r="U18311" s="318"/>
      <c r="V18311" s="318"/>
      <c r="W18311" s="318"/>
      <c r="X18311" s="318"/>
      <c r="Y18311" s="318"/>
      <c r="Z18311" s="318"/>
      <c r="AA18311" s="318"/>
      <c r="AB18311" s="318"/>
      <c r="AC18311" s="318"/>
      <c r="AD18311" s="318"/>
    </row>
    <row r="18312" spans="2:30" s="323" customFormat="1" ht="12" customHeight="1">
      <c r="B18312" s="324"/>
      <c r="C18312" s="325"/>
      <c r="D18312" s="326"/>
      <c r="E18312" s="326"/>
      <c r="F18312" s="326"/>
      <c r="G18312" s="326"/>
      <c r="H18312" s="326"/>
      <c r="P18312" s="318"/>
      <c r="Q18312" s="318"/>
      <c r="R18312" s="318"/>
      <c r="S18312" s="318"/>
      <c r="T18312" s="318"/>
      <c r="U18312" s="318"/>
      <c r="V18312" s="318"/>
      <c r="W18312" s="318"/>
      <c r="X18312" s="318"/>
      <c r="Y18312" s="318"/>
      <c r="Z18312" s="318"/>
      <c r="AA18312" s="318"/>
      <c r="AB18312" s="318"/>
      <c r="AC18312" s="318"/>
      <c r="AD18312" s="318"/>
    </row>
    <row r="18313" spans="2:30" s="323" customFormat="1" ht="12" customHeight="1">
      <c r="B18313" s="324"/>
      <c r="C18313" s="325"/>
      <c r="D18313" s="326"/>
      <c r="E18313" s="326"/>
      <c r="F18313" s="326"/>
      <c r="G18313" s="326"/>
      <c r="H18313" s="326"/>
      <c r="P18313" s="318"/>
      <c r="Q18313" s="318"/>
      <c r="R18313" s="318"/>
      <c r="S18313" s="318"/>
      <c r="T18313" s="318"/>
      <c r="U18313" s="318"/>
      <c r="V18313" s="318"/>
      <c r="W18313" s="318"/>
      <c r="X18313" s="318"/>
      <c r="Y18313" s="318"/>
      <c r="Z18313" s="318"/>
      <c r="AA18313" s="318"/>
      <c r="AB18313" s="318"/>
      <c r="AC18313" s="318"/>
      <c r="AD18313" s="318"/>
    </row>
    <row r="18314" spans="2:30" s="323" customFormat="1" ht="12" customHeight="1">
      <c r="B18314" s="324"/>
      <c r="C18314" s="325"/>
      <c r="D18314" s="326"/>
      <c r="E18314" s="326"/>
      <c r="F18314" s="326"/>
      <c r="G18314" s="326"/>
      <c r="H18314" s="326"/>
      <c r="P18314" s="318"/>
      <c r="Q18314" s="318"/>
      <c r="R18314" s="318"/>
      <c r="S18314" s="318"/>
      <c r="T18314" s="318"/>
      <c r="U18314" s="318"/>
      <c r="V18314" s="318"/>
      <c r="W18314" s="318"/>
      <c r="X18314" s="318"/>
      <c r="Y18314" s="318"/>
      <c r="Z18314" s="318"/>
      <c r="AA18314" s="318"/>
      <c r="AB18314" s="318"/>
      <c r="AC18314" s="318"/>
      <c r="AD18314" s="318"/>
    </row>
    <row r="18315" spans="2:30" s="323" customFormat="1" ht="12" customHeight="1">
      <c r="B18315" s="324"/>
      <c r="C18315" s="325"/>
      <c r="D18315" s="326"/>
      <c r="E18315" s="326"/>
      <c r="F18315" s="326"/>
      <c r="G18315" s="326"/>
      <c r="H18315" s="326"/>
      <c r="P18315" s="318"/>
      <c r="Q18315" s="318"/>
      <c r="R18315" s="318"/>
      <c r="S18315" s="318"/>
      <c r="T18315" s="318"/>
      <c r="U18315" s="318"/>
      <c r="V18315" s="318"/>
      <c r="W18315" s="318"/>
      <c r="X18315" s="318"/>
      <c r="Y18315" s="318"/>
      <c r="Z18315" s="318"/>
      <c r="AA18315" s="318"/>
      <c r="AB18315" s="318"/>
      <c r="AC18315" s="318"/>
      <c r="AD18315" s="318"/>
    </row>
    <row r="18316" spans="2:30" s="323" customFormat="1" ht="12" customHeight="1">
      <c r="B18316" s="324"/>
      <c r="C18316" s="325"/>
      <c r="D18316" s="326"/>
      <c r="E18316" s="326"/>
      <c r="F18316" s="326"/>
      <c r="G18316" s="326"/>
      <c r="H18316" s="326"/>
      <c r="P18316" s="318"/>
      <c r="Q18316" s="318"/>
      <c r="R18316" s="318"/>
      <c r="S18316" s="318"/>
      <c r="T18316" s="318"/>
      <c r="U18316" s="318"/>
      <c r="V18316" s="318"/>
      <c r="W18316" s="318"/>
      <c r="X18316" s="318"/>
      <c r="Y18316" s="318"/>
      <c r="Z18316" s="318"/>
      <c r="AA18316" s="318"/>
      <c r="AB18316" s="318"/>
      <c r="AC18316" s="318"/>
      <c r="AD18316" s="318"/>
    </row>
    <row r="18317" spans="2:30" s="323" customFormat="1" ht="12" customHeight="1">
      <c r="B18317" s="324"/>
      <c r="C18317" s="325"/>
      <c r="D18317" s="326"/>
      <c r="E18317" s="326"/>
      <c r="F18317" s="326"/>
      <c r="G18317" s="326"/>
      <c r="H18317" s="326"/>
      <c r="P18317" s="318"/>
      <c r="Q18317" s="318"/>
      <c r="R18317" s="318"/>
      <c r="S18317" s="318"/>
      <c r="T18317" s="318"/>
      <c r="U18317" s="318"/>
      <c r="V18317" s="318"/>
      <c r="W18317" s="318"/>
      <c r="X18317" s="318"/>
      <c r="Y18317" s="318"/>
      <c r="Z18317" s="318"/>
      <c r="AA18317" s="318"/>
      <c r="AB18317" s="318"/>
      <c r="AC18317" s="318"/>
      <c r="AD18317" s="318"/>
    </row>
    <row r="18318" spans="2:30" s="323" customFormat="1" ht="12" customHeight="1">
      <c r="B18318" s="324"/>
      <c r="C18318" s="325"/>
      <c r="D18318" s="326"/>
      <c r="E18318" s="326"/>
      <c r="F18318" s="326"/>
      <c r="G18318" s="326"/>
      <c r="H18318" s="326"/>
      <c r="P18318" s="318"/>
      <c r="Q18318" s="318"/>
      <c r="R18318" s="318"/>
      <c r="S18318" s="318"/>
      <c r="T18318" s="318"/>
      <c r="U18318" s="318"/>
      <c r="V18318" s="318"/>
      <c r="W18318" s="318"/>
      <c r="X18318" s="318"/>
      <c r="Y18318" s="318"/>
      <c r="Z18318" s="318"/>
      <c r="AA18318" s="318"/>
      <c r="AB18318" s="318"/>
      <c r="AC18318" s="318"/>
      <c r="AD18318" s="318"/>
    </row>
    <row r="18319" spans="2:30" s="323" customFormat="1" ht="12" customHeight="1">
      <c r="B18319" s="324"/>
      <c r="C18319" s="325"/>
      <c r="D18319" s="326"/>
      <c r="E18319" s="326"/>
      <c r="F18319" s="326"/>
      <c r="G18319" s="326"/>
      <c r="H18319" s="326"/>
      <c r="P18319" s="318"/>
      <c r="Q18319" s="318"/>
      <c r="R18319" s="318"/>
      <c r="S18319" s="318"/>
      <c r="T18319" s="318"/>
      <c r="U18319" s="318"/>
      <c r="V18319" s="318"/>
      <c r="W18319" s="318"/>
      <c r="X18319" s="318"/>
      <c r="Y18319" s="318"/>
      <c r="Z18319" s="318"/>
      <c r="AA18319" s="318"/>
      <c r="AB18319" s="318"/>
      <c r="AC18319" s="318"/>
      <c r="AD18319" s="318"/>
    </row>
    <row r="18320" spans="2:30" s="323" customFormat="1" ht="12" customHeight="1">
      <c r="B18320" s="324"/>
      <c r="C18320" s="325"/>
      <c r="D18320" s="326"/>
      <c r="E18320" s="326"/>
      <c r="F18320" s="326"/>
      <c r="G18320" s="326"/>
      <c r="H18320" s="326"/>
      <c r="P18320" s="318"/>
      <c r="Q18320" s="318"/>
      <c r="R18320" s="318"/>
      <c r="S18320" s="318"/>
      <c r="T18320" s="318"/>
      <c r="U18320" s="318"/>
      <c r="V18320" s="318"/>
      <c r="W18320" s="318"/>
      <c r="X18320" s="318"/>
      <c r="Y18320" s="318"/>
      <c r="Z18320" s="318"/>
      <c r="AA18320" s="318"/>
      <c r="AB18320" s="318"/>
      <c r="AC18320" s="318"/>
      <c r="AD18320" s="318"/>
    </row>
    <row r="18321" spans="2:30" s="323" customFormat="1" ht="12" customHeight="1">
      <c r="B18321" s="324"/>
      <c r="C18321" s="325"/>
      <c r="D18321" s="326"/>
      <c r="E18321" s="326"/>
      <c r="F18321" s="326"/>
      <c r="G18321" s="326"/>
      <c r="H18321" s="326"/>
      <c r="P18321" s="318"/>
      <c r="Q18321" s="318"/>
      <c r="R18321" s="318"/>
      <c r="S18321" s="318"/>
      <c r="T18321" s="318"/>
      <c r="U18321" s="318"/>
      <c r="V18321" s="318"/>
      <c r="W18321" s="318"/>
      <c r="X18321" s="318"/>
      <c r="Y18321" s="318"/>
      <c r="Z18321" s="318"/>
      <c r="AA18321" s="318"/>
      <c r="AB18321" s="318"/>
      <c r="AC18321" s="318"/>
      <c r="AD18321" s="318"/>
    </row>
    <row r="18322" spans="2:30" s="323" customFormat="1" ht="12" customHeight="1">
      <c r="B18322" s="324"/>
      <c r="C18322" s="325"/>
      <c r="D18322" s="326"/>
      <c r="E18322" s="326"/>
      <c r="F18322" s="326"/>
      <c r="G18322" s="326"/>
      <c r="H18322" s="326"/>
      <c r="P18322" s="318"/>
      <c r="Q18322" s="318"/>
      <c r="R18322" s="318"/>
      <c r="S18322" s="318"/>
      <c r="T18322" s="318"/>
      <c r="U18322" s="318"/>
      <c r="V18322" s="318"/>
      <c r="W18322" s="318"/>
      <c r="X18322" s="318"/>
      <c r="Y18322" s="318"/>
      <c r="Z18322" s="318"/>
      <c r="AA18322" s="318"/>
      <c r="AB18322" s="318"/>
      <c r="AC18322" s="318"/>
      <c r="AD18322" s="318"/>
    </row>
    <row r="18323" spans="2:30" s="323" customFormat="1" ht="12" customHeight="1">
      <c r="B18323" s="324"/>
      <c r="C18323" s="325"/>
      <c r="D18323" s="326"/>
      <c r="E18323" s="326"/>
      <c r="F18323" s="326"/>
      <c r="G18323" s="326"/>
      <c r="H18323" s="326"/>
      <c r="P18323" s="318"/>
      <c r="Q18323" s="318"/>
      <c r="R18323" s="318"/>
      <c r="S18323" s="318"/>
      <c r="T18323" s="318"/>
      <c r="U18323" s="318"/>
      <c r="V18323" s="318"/>
      <c r="W18323" s="318"/>
      <c r="X18323" s="318"/>
      <c r="Y18323" s="318"/>
      <c r="Z18323" s="318"/>
      <c r="AA18323" s="318"/>
      <c r="AB18323" s="318"/>
      <c r="AC18323" s="318"/>
      <c r="AD18323" s="318"/>
    </row>
    <row r="18324" spans="2:30" s="323" customFormat="1" ht="12" customHeight="1">
      <c r="B18324" s="324"/>
      <c r="C18324" s="325"/>
      <c r="D18324" s="326"/>
      <c r="E18324" s="326"/>
      <c r="F18324" s="326"/>
      <c r="G18324" s="326"/>
      <c r="H18324" s="326"/>
      <c r="P18324" s="318"/>
      <c r="Q18324" s="318"/>
      <c r="R18324" s="318"/>
      <c r="S18324" s="318"/>
      <c r="T18324" s="318"/>
      <c r="U18324" s="318"/>
      <c r="V18324" s="318"/>
      <c r="W18324" s="318"/>
      <c r="X18324" s="318"/>
      <c r="Y18324" s="318"/>
      <c r="Z18324" s="318"/>
      <c r="AA18324" s="318"/>
      <c r="AB18324" s="318"/>
      <c r="AC18324" s="318"/>
      <c r="AD18324" s="318"/>
    </row>
    <row r="18325" spans="2:30" s="323" customFormat="1" ht="12" customHeight="1">
      <c r="B18325" s="324"/>
      <c r="C18325" s="325"/>
      <c r="D18325" s="326"/>
      <c r="E18325" s="326"/>
      <c r="F18325" s="326"/>
      <c r="G18325" s="326"/>
      <c r="H18325" s="326"/>
      <c r="P18325" s="318"/>
      <c r="Q18325" s="318"/>
      <c r="R18325" s="318"/>
      <c r="S18325" s="318"/>
      <c r="T18325" s="318"/>
      <c r="U18325" s="318"/>
      <c r="V18325" s="318"/>
      <c r="W18325" s="318"/>
      <c r="X18325" s="318"/>
      <c r="Y18325" s="318"/>
      <c r="Z18325" s="318"/>
      <c r="AA18325" s="318"/>
      <c r="AB18325" s="318"/>
      <c r="AC18325" s="318"/>
      <c r="AD18325" s="318"/>
    </row>
    <row r="18326" spans="2:30" s="323" customFormat="1" ht="12" customHeight="1">
      <c r="B18326" s="324"/>
      <c r="C18326" s="325"/>
      <c r="D18326" s="326"/>
      <c r="E18326" s="326"/>
      <c r="F18326" s="326"/>
      <c r="G18326" s="326"/>
      <c r="H18326" s="326"/>
      <c r="P18326" s="318"/>
      <c r="Q18326" s="318"/>
      <c r="R18326" s="318"/>
      <c r="S18326" s="318"/>
      <c r="T18326" s="318"/>
      <c r="U18326" s="318"/>
      <c r="V18326" s="318"/>
      <c r="W18326" s="318"/>
      <c r="X18326" s="318"/>
      <c r="Y18326" s="318"/>
      <c r="Z18326" s="318"/>
      <c r="AA18326" s="318"/>
      <c r="AB18326" s="318"/>
      <c r="AC18326" s="318"/>
      <c r="AD18326" s="318"/>
    </row>
    <row r="18327" spans="2:30" s="323" customFormat="1" ht="12" customHeight="1">
      <c r="B18327" s="324"/>
      <c r="C18327" s="325"/>
      <c r="D18327" s="326"/>
      <c r="E18327" s="326"/>
      <c r="F18327" s="326"/>
      <c r="G18327" s="326"/>
      <c r="H18327" s="326"/>
      <c r="P18327" s="318"/>
      <c r="Q18327" s="318"/>
      <c r="R18327" s="318"/>
      <c r="S18327" s="318"/>
      <c r="T18327" s="318"/>
      <c r="U18327" s="318"/>
      <c r="V18327" s="318"/>
      <c r="W18327" s="318"/>
      <c r="X18327" s="318"/>
      <c r="Y18327" s="318"/>
      <c r="Z18327" s="318"/>
      <c r="AA18327" s="318"/>
      <c r="AB18327" s="318"/>
      <c r="AC18327" s="318"/>
      <c r="AD18327" s="318"/>
    </row>
    <row r="18328" spans="2:30" s="323" customFormat="1" ht="12" customHeight="1">
      <c r="B18328" s="324"/>
      <c r="C18328" s="325"/>
      <c r="D18328" s="326"/>
      <c r="E18328" s="326"/>
      <c r="F18328" s="326"/>
      <c r="G18328" s="326"/>
      <c r="H18328" s="326"/>
      <c r="P18328" s="318"/>
      <c r="Q18328" s="318"/>
      <c r="R18328" s="318"/>
      <c r="S18328" s="318"/>
      <c r="T18328" s="318"/>
      <c r="U18328" s="318"/>
      <c r="V18328" s="318"/>
      <c r="W18328" s="318"/>
      <c r="X18328" s="318"/>
      <c r="Y18328" s="318"/>
      <c r="Z18328" s="318"/>
      <c r="AA18328" s="318"/>
      <c r="AB18328" s="318"/>
      <c r="AC18328" s="318"/>
      <c r="AD18328" s="318"/>
    </row>
    <row r="18329" spans="2:30" s="323" customFormat="1" ht="12" customHeight="1">
      <c r="B18329" s="324"/>
      <c r="C18329" s="325"/>
      <c r="D18329" s="326"/>
      <c r="E18329" s="326"/>
      <c r="F18329" s="326"/>
      <c r="G18329" s="326"/>
      <c r="H18329" s="326"/>
      <c r="P18329" s="318"/>
      <c r="Q18329" s="318"/>
      <c r="R18329" s="318"/>
      <c r="S18329" s="318"/>
      <c r="T18329" s="318"/>
      <c r="U18329" s="318"/>
      <c r="V18329" s="318"/>
      <c r="W18329" s="318"/>
      <c r="X18329" s="318"/>
      <c r="Y18329" s="318"/>
      <c r="Z18329" s="318"/>
      <c r="AA18329" s="318"/>
      <c r="AB18329" s="318"/>
      <c r="AC18329" s="318"/>
      <c r="AD18329" s="318"/>
    </row>
    <row r="18330" spans="2:30" s="323" customFormat="1" ht="12" customHeight="1">
      <c r="B18330" s="324"/>
      <c r="C18330" s="325"/>
      <c r="D18330" s="326"/>
      <c r="E18330" s="326"/>
      <c r="F18330" s="326"/>
      <c r="G18330" s="326"/>
      <c r="H18330" s="326"/>
      <c r="P18330" s="318"/>
      <c r="Q18330" s="318"/>
      <c r="R18330" s="318"/>
      <c r="S18330" s="318"/>
      <c r="T18330" s="318"/>
      <c r="U18330" s="318"/>
      <c r="V18330" s="318"/>
      <c r="W18330" s="318"/>
      <c r="X18330" s="318"/>
      <c r="Y18330" s="318"/>
      <c r="Z18330" s="318"/>
      <c r="AA18330" s="318"/>
      <c r="AB18330" s="318"/>
      <c r="AC18330" s="318"/>
      <c r="AD18330" s="318"/>
    </row>
    <row r="18331" spans="2:30" s="323" customFormat="1" ht="12" customHeight="1">
      <c r="B18331" s="324"/>
      <c r="C18331" s="325"/>
      <c r="D18331" s="326"/>
      <c r="E18331" s="326"/>
      <c r="F18331" s="326"/>
      <c r="G18331" s="326"/>
      <c r="H18331" s="326"/>
      <c r="P18331" s="318"/>
      <c r="Q18331" s="318"/>
      <c r="R18331" s="318"/>
      <c r="S18331" s="318"/>
      <c r="T18331" s="318"/>
      <c r="U18331" s="318"/>
      <c r="V18331" s="318"/>
      <c r="W18331" s="318"/>
      <c r="X18331" s="318"/>
      <c r="Y18331" s="318"/>
      <c r="Z18331" s="318"/>
      <c r="AA18331" s="318"/>
      <c r="AB18331" s="318"/>
      <c r="AC18331" s="318"/>
      <c r="AD18331" s="318"/>
    </row>
    <row r="18332" spans="2:30" s="323" customFormat="1" ht="12" customHeight="1">
      <c r="B18332" s="324"/>
      <c r="C18332" s="325"/>
      <c r="D18332" s="326"/>
      <c r="E18332" s="326"/>
      <c r="F18332" s="326"/>
      <c r="G18332" s="326"/>
      <c r="H18332" s="326"/>
      <c r="P18332" s="318"/>
      <c r="Q18332" s="318"/>
      <c r="R18332" s="318"/>
      <c r="S18332" s="318"/>
      <c r="T18332" s="318"/>
      <c r="U18332" s="318"/>
      <c r="V18332" s="318"/>
      <c r="W18332" s="318"/>
      <c r="X18332" s="318"/>
      <c r="Y18332" s="318"/>
      <c r="Z18332" s="318"/>
      <c r="AA18332" s="318"/>
      <c r="AB18332" s="318"/>
      <c r="AC18332" s="318"/>
      <c r="AD18332" s="318"/>
    </row>
    <row r="18333" spans="2:30" s="323" customFormat="1" ht="12" customHeight="1">
      <c r="B18333" s="324"/>
      <c r="C18333" s="325"/>
      <c r="D18333" s="326"/>
      <c r="E18333" s="326"/>
      <c r="F18333" s="326"/>
      <c r="G18333" s="326"/>
      <c r="H18333" s="326"/>
      <c r="P18333" s="318"/>
      <c r="Q18333" s="318"/>
      <c r="R18333" s="318"/>
      <c r="S18333" s="318"/>
      <c r="T18333" s="318"/>
      <c r="U18333" s="318"/>
      <c r="V18333" s="318"/>
      <c r="W18333" s="318"/>
      <c r="X18333" s="318"/>
      <c r="Y18333" s="318"/>
      <c r="Z18333" s="318"/>
      <c r="AA18333" s="318"/>
      <c r="AB18333" s="318"/>
      <c r="AC18333" s="318"/>
      <c r="AD18333" s="318"/>
    </row>
    <row r="18334" spans="2:30" s="323" customFormat="1" ht="12" customHeight="1">
      <c r="B18334" s="324"/>
      <c r="C18334" s="325"/>
      <c r="D18334" s="326"/>
      <c r="E18334" s="326"/>
      <c r="F18334" s="326"/>
      <c r="G18334" s="326"/>
      <c r="H18334" s="326"/>
      <c r="P18334" s="318"/>
      <c r="Q18334" s="318"/>
      <c r="R18334" s="318"/>
      <c r="S18334" s="318"/>
      <c r="T18334" s="318"/>
      <c r="U18334" s="318"/>
      <c r="V18334" s="318"/>
      <c r="W18334" s="318"/>
      <c r="X18334" s="318"/>
      <c r="Y18334" s="318"/>
      <c r="Z18334" s="318"/>
      <c r="AA18334" s="318"/>
      <c r="AB18334" s="318"/>
      <c r="AC18334" s="318"/>
      <c r="AD18334" s="318"/>
    </row>
    <row r="18335" spans="2:30" s="323" customFormat="1" ht="12" customHeight="1">
      <c r="B18335" s="324"/>
      <c r="C18335" s="325"/>
      <c r="D18335" s="326"/>
      <c r="E18335" s="326"/>
      <c r="F18335" s="326"/>
      <c r="G18335" s="326"/>
      <c r="H18335" s="326"/>
      <c r="P18335" s="318"/>
      <c r="Q18335" s="318"/>
      <c r="R18335" s="318"/>
      <c r="S18335" s="318"/>
      <c r="T18335" s="318"/>
      <c r="U18335" s="318"/>
      <c r="V18335" s="318"/>
      <c r="W18335" s="318"/>
      <c r="X18335" s="318"/>
      <c r="Y18335" s="318"/>
      <c r="Z18335" s="318"/>
      <c r="AA18335" s="318"/>
      <c r="AB18335" s="318"/>
      <c r="AC18335" s="318"/>
      <c r="AD18335" s="318"/>
    </row>
    <row r="18336" spans="2:30" s="323" customFormat="1" ht="12" customHeight="1">
      <c r="B18336" s="324"/>
      <c r="C18336" s="325"/>
      <c r="D18336" s="326"/>
      <c r="E18336" s="326"/>
      <c r="F18336" s="326"/>
      <c r="G18336" s="326"/>
      <c r="H18336" s="326"/>
      <c r="P18336" s="318"/>
      <c r="Q18336" s="318"/>
      <c r="R18336" s="318"/>
      <c r="S18336" s="318"/>
      <c r="T18336" s="318"/>
      <c r="U18336" s="318"/>
      <c r="V18336" s="318"/>
      <c r="W18336" s="318"/>
      <c r="X18336" s="318"/>
      <c r="Y18336" s="318"/>
      <c r="Z18336" s="318"/>
      <c r="AA18336" s="318"/>
      <c r="AB18336" s="318"/>
      <c r="AC18336" s="318"/>
      <c r="AD18336" s="318"/>
    </row>
    <row r="18337" spans="2:30" s="323" customFormat="1" ht="12" customHeight="1">
      <c r="B18337" s="324"/>
      <c r="C18337" s="325"/>
      <c r="D18337" s="326"/>
      <c r="E18337" s="326"/>
      <c r="F18337" s="326"/>
      <c r="G18337" s="326"/>
      <c r="H18337" s="326"/>
      <c r="P18337" s="318"/>
      <c r="Q18337" s="318"/>
      <c r="R18337" s="318"/>
      <c r="S18337" s="318"/>
      <c r="T18337" s="318"/>
      <c r="U18337" s="318"/>
      <c r="V18337" s="318"/>
      <c r="W18337" s="318"/>
      <c r="X18337" s="318"/>
      <c r="Y18337" s="318"/>
      <c r="Z18337" s="318"/>
      <c r="AA18337" s="318"/>
      <c r="AB18337" s="318"/>
      <c r="AC18337" s="318"/>
      <c r="AD18337" s="318"/>
    </row>
    <row r="18338" spans="2:30" s="323" customFormat="1" ht="12" customHeight="1">
      <c r="B18338" s="324"/>
      <c r="C18338" s="325"/>
      <c r="D18338" s="326"/>
      <c r="E18338" s="326"/>
      <c r="F18338" s="326"/>
      <c r="G18338" s="326"/>
      <c r="H18338" s="326"/>
      <c r="P18338" s="318"/>
      <c r="Q18338" s="318"/>
      <c r="R18338" s="318"/>
      <c r="S18338" s="318"/>
      <c r="T18338" s="318"/>
      <c r="U18338" s="318"/>
      <c r="V18338" s="318"/>
      <c r="W18338" s="318"/>
      <c r="X18338" s="318"/>
      <c r="Y18338" s="318"/>
      <c r="Z18338" s="318"/>
      <c r="AA18338" s="318"/>
      <c r="AB18338" s="318"/>
      <c r="AC18338" s="318"/>
      <c r="AD18338" s="318"/>
    </row>
    <row r="18339" spans="2:30" s="323" customFormat="1" ht="12" customHeight="1">
      <c r="B18339" s="324"/>
      <c r="C18339" s="325"/>
      <c r="D18339" s="326"/>
      <c r="E18339" s="326"/>
      <c r="F18339" s="326"/>
      <c r="G18339" s="326"/>
      <c r="H18339" s="326"/>
      <c r="P18339" s="318"/>
      <c r="Q18339" s="318"/>
      <c r="R18339" s="318"/>
      <c r="S18339" s="318"/>
      <c r="T18339" s="318"/>
      <c r="U18339" s="318"/>
      <c r="V18339" s="318"/>
      <c r="W18339" s="318"/>
      <c r="X18339" s="318"/>
      <c r="Y18339" s="318"/>
      <c r="Z18339" s="318"/>
      <c r="AA18339" s="318"/>
      <c r="AB18339" s="318"/>
      <c r="AC18339" s="318"/>
      <c r="AD18339" s="318"/>
    </row>
    <row r="18340" spans="2:30" s="323" customFormat="1" ht="12" customHeight="1">
      <c r="B18340" s="324"/>
      <c r="C18340" s="325"/>
      <c r="D18340" s="326"/>
      <c r="E18340" s="326"/>
      <c r="F18340" s="326"/>
      <c r="G18340" s="326"/>
      <c r="H18340" s="326"/>
      <c r="P18340" s="318"/>
      <c r="Q18340" s="318"/>
      <c r="R18340" s="318"/>
      <c r="S18340" s="318"/>
      <c r="T18340" s="318"/>
      <c r="U18340" s="318"/>
      <c r="V18340" s="318"/>
      <c r="W18340" s="318"/>
      <c r="X18340" s="318"/>
      <c r="Y18340" s="318"/>
      <c r="Z18340" s="318"/>
      <c r="AA18340" s="318"/>
      <c r="AB18340" s="318"/>
      <c r="AC18340" s="318"/>
      <c r="AD18340" s="318"/>
    </row>
    <row r="18341" spans="2:30" s="323" customFormat="1" ht="12" customHeight="1">
      <c r="B18341" s="324"/>
      <c r="C18341" s="325"/>
      <c r="D18341" s="326"/>
      <c r="E18341" s="326"/>
      <c r="F18341" s="326"/>
      <c r="G18341" s="326"/>
      <c r="H18341" s="326"/>
      <c r="P18341" s="318"/>
      <c r="Q18341" s="318"/>
      <c r="R18341" s="318"/>
      <c r="S18341" s="318"/>
      <c r="T18341" s="318"/>
      <c r="U18341" s="318"/>
      <c r="V18341" s="318"/>
      <c r="W18341" s="318"/>
      <c r="X18341" s="318"/>
      <c r="Y18341" s="318"/>
      <c r="Z18341" s="318"/>
      <c r="AA18341" s="318"/>
      <c r="AB18341" s="318"/>
      <c r="AC18341" s="318"/>
      <c r="AD18341" s="318"/>
    </row>
    <row r="18342" spans="2:30" s="323" customFormat="1" ht="12" customHeight="1">
      <c r="B18342" s="324"/>
      <c r="C18342" s="325"/>
      <c r="D18342" s="326"/>
      <c r="E18342" s="326"/>
      <c r="F18342" s="326"/>
      <c r="G18342" s="326"/>
      <c r="H18342" s="326"/>
      <c r="P18342" s="318"/>
      <c r="Q18342" s="318"/>
      <c r="R18342" s="318"/>
      <c r="S18342" s="318"/>
      <c r="T18342" s="318"/>
      <c r="U18342" s="318"/>
      <c r="V18342" s="318"/>
      <c r="W18342" s="318"/>
      <c r="X18342" s="318"/>
      <c r="Y18342" s="318"/>
      <c r="Z18342" s="318"/>
      <c r="AA18342" s="318"/>
      <c r="AB18342" s="318"/>
      <c r="AC18342" s="318"/>
      <c r="AD18342" s="318"/>
    </row>
    <row r="18343" spans="2:30" s="323" customFormat="1" ht="12" customHeight="1">
      <c r="B18343" s="324"/>
      <c r="C18343" s="325"/>
      <c r="D18343" s="326"/>
      <c r="E18343" s="326"/>
      <c r="F18343" s="326"/>
      <c r="G18343" s="326"/>
      <c r="H18343" s="326"/>
      <c r="P18343" s="318"/>
      <c r="Q18343" s="318"/>
      <c r="R18343" s="318"/>
      <c r="S18343" s="318"/>
      <c r="T18343" s="318"/>
      <c r="U18343" s="318"/>
      <c r="V18343" s="318"/>
      <c r="W18343" s="318"/>
      <c r="X18343" s="318"/>
      <c r="Y18343" s="318"/>
      <c r="Z18343" s="318"/>
      <c r="AA18343" s="318"/>
      <c r="AB18343" s="318"/>
      <c r="AC18343" s="318"/>
      <c r="AD18343" s="318"/>
    </row>
    <row r="18344" spans="2:30" s="323" customFormat="1" ht="12" customHeight="1">
      <c r="B18344" s="324"/>
      <c r="C18344" s="325"/>
      <c r="D18344" s="326"/>
      <c r="E18344" s="326"/>
      <c r="F18344" s="326"/>
      <c r="G18344" s="326"/>
      <c r="H18344" s="326"/>
      <c r="P18344" s="318"/>
      <c r="Q18344" s="318"/>
      <c r="R18344" s="318"/>
      <c r="S18344" s="318"/>
      <c r="T18344" s="318"/>
      <c r="U18344" s="318"/>
      <c r="V18344" s="318"/>
      <c r="W18344" s="318"/>
      <c r="X18344" s="318"/>
      <c r="Y18344" s="318"/>
      <c r="Z18344" s="318"/>
      <c r="AA18344" s="318"/>
      <c r="AB18344" s="318"/>
      <c r="AC18344" s="318"/>
      <c r="AD18344" s="318"/>
    </row>
    <row r="18345" spans="2:30" s="323" customFormat="1" ht="12" customHeight="1">
      <c r="B18345" s="324"/>
      <c r="C18345" s="325"/>
      <c r="D18345" s="326"/>
      <c r="E18345" s="326"/>
      <c r="F18345" s="326"/>
      <c r="G18345" s="326"/>
      <c r="H18345" s="326"/>
      <c r="P18345" s="318"/>
      <c r="Q18345" s="318"/>
      <c r="R18345" s="318"/>
      <c r="S18345" s="318"/>
      <c r="T18345" s="318"/>
      <c r="U18345" s="318"/>
      <c r="V18345" s="318"/>
      <c r="W18345" s="318"/>
      <c r="X18345" s="318"/>
      <c r="Y18345" s="318"/>
      <c r="Z18345" s="318"/>
      <c r="AA18345" s="318"/>
      <c r="AB18345" s="318"/>
      <c r="AC18345" s="318"/>
      <c r="AD18345" s="318"/>
    </row>
    <row r="18346" spans="2:30" s="323" customFormat="1" ht="12" customHeight="1">
      <c r="B18346" s="324"/>
      <c r="C18346" s="325"/>
      <c r="D18346" s="326"/>
      <c r="E18346" s="326"/>
      <c r="F18346" s="326"/>
      <c r="G18346" s="326"/>
      <c r="H18346" s="326"/>
      <c r="P18346" s="318"/>
      <c r="Q18346" s="318"/>
      <c r="R18346" s="318"/>
      <c r="S18346" s="318"/>
      <c r="T18346" s="318"/>
      <c r="U18346" s="318"/>
      <c r="V18346" s="318"/>
      <c r="W18346" s="318"/>
      <c r="X18346" s="318"/>
      <c r="Y18346" s="318"/>
      <c r="Z18346" s="318"/>
      <c r="AA18346" s="318"/>
      <c r="AB18346" s="318"/>
      <c r="AC18346" s="318"/>
      <c r="AD18346" s="318"/>
    </row>
    <row r="18347" spans="2:30" s="323" customFormat="1" ht="12" customHeight="1">
      <c r="B18347" s="324"/>
      <c r="C18347" s="325"/>
      <c r="D18347" s="326"/>
      <c r="E18347" s="326"/>
      <c r="F18347" s="326"/>
      <c r="G18347" s="326"/>
      <c r="H18347" s="326"/>
      <c r="P18347" s="318"/>
      <c r="Q18347" s="318"/>
      <c r="R18347" s="318"/>
      <c r="S18347" s="318"/>
      <c r="T18347" s="318"/>
      <c r="U18347" s="318"/>
      <c r="V18347" s="318"/>
      <c r="W18347" s="318"/>
      <c r="X18347" s="318"/>
      <c r="Y18347" s="318"/>
      <c r="Z18347" s="318"/>
      <c r="AA18347" s="318"/>
      <c r="AB18347" s="318"/>
      <c r="AC18347" s="318"/>
      <c r="AD18347" s="318"/>
    </row>
    <row r="18348" spans="2:30" s="323" customFormat="1" ht="12" customHeight="1">
      <c r="B18348" s="324"/>
      <c r="C18348" s="325"/>
      <c r="D18348" s="326"/>
      <c r="E18348" s="326"/>
      <c r="F18348" s="326"/>
      <c r="G18348" s="326"/>
      <c r="H18348" s="326"/>
      <c r="P18348" s="318"/>
      <c r="Q18348" s="318"/>
      <c r="R18348" s="318"/>
      <c r="S18348" s="318"/>
      <c r="T18348" s="318"/>
      <c r="U18348" s="318"/>
      <c r="V18348" s="318"/>
      <c r="W18348" s="318"/>
      <c r="X18348" s="318"/>
      <c r="Y18348" s="318"/>
      <c r="Z18348" s="318"/>
      <c r="AA18348" s="318"/>
      <c r="AB18348" s="318"/>
      <c r="AC18348" s="318"/>
      <c r="AD18348" s="318"/>
    </row>
    <row r="18349" spans="2:30" s="323" customFormat="1" ht="12" customHeight="1">
      <c r="B18349" s="324"/>
      <c r="C18349" s="325"/>
      <c r="D18349" s="326"/>
      <c r="E18349" s="326"/>
      <c r="F18349" s="326"/>
      <c r="G18349" s="326"/>
      <c r="H18349" s="326"/>
      <c r="P18349" s="318"/>
      <c r="Q18349" s="318"/>
      <c r="R18349" s="318"/>
      <c r="S18349" s="318"/>
      <c r="T18349" s="318"/>
      <c r="U18349" s="318"/>
      <c r="V18349" s="318"/>
      <c r="W18349" s="318"/>
      <c r="X18349" s="318"/>
      <c r="Y18349" s="318"/>
      <c r="Z18349" s="318"/>
      <c r="AA18349" s="318"/>
      <c r="AB18349" s="318"/>
      <c r="AC18349" s="318"/>
      <c r="AD18349" s="318"/>
    </row>
    <row r="18350" spans="2:30" s="323" customFormat="1" ht="12" customHeight="1">
      <c r="B18350" s="324"/>
      <c r="C18350" s="325"/>
      <c r="D18350" s="326"/>
      <c r="E18350" s="326"/>
      <c r="F18350" s="326"/>
      <c r="G18350" s="326"/>
      <c r="H18350" s="326"/>
      <c r="P18350" s="318"/>
      <c r="Q18350" s="318"/>
      <c r="R18350" s="318"/>
      <c r="S18350" s="318"/>
      <c r="T18350" s="318"/>
      <c r="U18350" s="318"/>
      <c r="V18350" s="318"/>
      <c r="W18350" s="318"/>
      <c r="X18350" s="318"/>
      <c r="Y18350" s="318"/>
      <c r="Z18350" s="318"/>
      <c r="AA18350" s="318"/>
      <c r="AB18350" s="318"/>
      <c r="AC18350" s="318"/>
      <c r="AD18350" s="318"/>
    </row>
    <row r="18351" spans="2:30" s="323" customFormat="1" ht="12" customHeight="1">
      <c r="B18351" s="324"/>
      <c r="C18351" s="325"/>
      <c r="D18351" s="326"/>
      <c r="E18351" s="326"/>
      <c r="F18351" s="326"/>
      <c r="G18351" s="326"/>
      <c r="H18351" s="326"/>
      <c r="P18351" s="318"/>
      <c r="Q18351" s="318"/>
      <c r="R18351" s="318"/>
      <c r="S18351" s="318"/>
      <c r="T18351" s="318"/>
      <c r="U18351" s="318"/>
      <c r="V18351" s="318"/>
      <c r="W18351" s="318"/>
      <c r="X18351" s="318"/>
      <c r="Y18351" s="318"/>
      <c r="Z18351" s="318"/>
      <c r="AA18351" s="318"/>
      <c r="AB18351" s="318"/>
      <c r="AC18351" s="318"/>
      <c r="AD18351" s="318"/>
    </row>
    <row r="18352" spans="2:30" s="323" customFormat="1" ht="12" customHeight="1">
      <c r="B18352" s="324"/>
      <c r="C18352" s="325"/>
      <c r="D18352" s="326"/>
      <c r="E18352" s="326"/>
      <c r="F18352" s="326"/>
      <c r="G18352" s="326"/>
      <c r="H18352" s="326"/>
      <c r="P18352" s="318"/>
      <c r="Q18352" s="318"/>
      <c r="R18352" s="318"/>
      <c r="S18352" s="318"/>
      <c r="T18352" s="318"/>
      <c r="U18352" s="318"/>
      <c r="V18352" s="318"/>
      <c r="W18352" s="318"/>
      <c r="X18352" s="318"/>
      <c r="Y18352" s="318"/>
      <c r="Z18352" s="318"/>
      <c r="AA18352" s="318"/>
      <c r="AB18352" s="318"/>
      <c r="AC18352" s="318"/>
      <c r="AD18352" s="318"/>
    </row>
    <row r="18353" spans="2:30" s="323" customFormat="1" ht="12" customHeight="1">
      <c r="B18353" s="324"/>
      <c r="C18353" s="325"/>
      <c r="D18353" s="326"/>
      <c r="E18353" s="326"/>
      <c r="F18353" s="326"/>
      <c r="G18353" s="326"/>
      <c r="H18353" s="326"/>
      <c r="P18353" s="318"/>
      <c r="Q18353" s="318"/>
      <c r="R18353" s="318"/>
      <c r="S18353" s="318"/>
      <c r="T18353" s="318"/>
      <c r="U18353" s="318"/>
      <c r="V18353" s="318"/>
      <c r="W18353" s="318"/>
      <c r="X18353" s="318"/>
      <c r="Y18353" s="318"/>
      <c r="Z18353" s="318"/>
      <c r="AA18353" s="318"/>
      <c r="AB18353" s="318"/>
      <c r="AC18353" s="318"/>
      <c r="AD18353" s="318"/>
    </row>
    <row r="18354" spans="2:30" s="323" customFormat="1" ht="12" customHeight="1">
      <c r="B18354" s="324"/>
      <c r="C18354" s="325"/>
      <c r="D18354" s="326"/>
      <c r="E18354" s="326"/>
      <c r="F18354" s="326"/>
      <c r="G18354" s="326"/>
      <c r="H18354" s="326"/>
      <c r="P18354" s="318"/>
      <c r="Q18354" s="318"/>
      <c r="R18354" s="318"/>
      <c r="S18354" s="318"/>
      <c r="T18354" s="318"/>
      <c r="U18354" s="318"/>
      <c r="V18354" s="318"/>
      <c r="W18354" s="318"/>
      <c r="X18354" s="318"/>
      <c r="Y18354" s="318"/>
      <c r="Z18354" s="318"/>
      <c r="AA18354" s="318"/>
      <c r="AB18354" s="318"/>
      <c r="AC18354" s="318"/>
      <c r="AD18354" s="318"/>
    </row>
    <row r="18355" spans="2:30" s="323" customFormat="1" ht="12" customHeight="1">
      <c r="B18355" s="324"/>
      <c r="C18355" s="325"/>
      <c r="D18355" s="326"/>
      <c r="E18355" s="326"/>
      <c r="F18355" s="326"/>
      <c r="G18355" s="326"/>
      <c r="H18355" s="326"/>
      <c r="P18355" s="318"/>
      <c r="Q18355" s="318"/>
      <c r="R18355" s="318"/>
      <c r="S18355" s="318"/>
      <c r="T18355" s="318"/>
      <c r="U18355" s="318"/>
      <c r="V18355" s="318"/>
      <c r="W18355" s="318"/>
      <c r="X18355" s="318"/>
      <c r="Y18355" s="318"/>
      <c r="Z18355" s="318"/>
      <c r="AA18355" s="318"/>
      <c r="AB18355" s="318"/>
      <c r="AC18355" s="318"/>
      <c r="AD18355" s="318"/>
    </row>
    <row r="18356" spans="2:30" s="323" customFormat="1" ht="12" customHeight="1">
      <c r="B18356" s="324"/>
      <c r="C18356" s="325"/>
      <c r="D18356" s="326"/>
      <c r="E18356" s="326"/>
      <c r="F18356" s="326"/>
      <c r="G18356" s="326"/>
      <c r="H18356" s="326"/>
      <c r="P18356" s="318"/>
      <c r="Q18356" s="318"/>
      <c r="R18356" s="318"/>
      <c r="S18356" s="318"/>
      <c r="T18356" s="318"/>
      <c r="U18356" s="318"/>
      <c r="V18356" s="318"/>
      <c r="W18356" s="318"/>
      <c r="X18356" s="318"/>
      <c r="Y18356" s="318"/>
      <c r="Z18356" s="318"/>
      <c r="AA18356" s="318"/>
      <c r="AB18356" s="318"/>
      <c r="AC18356" s="318"/>
      <c r="AD18356" s="318"/>
    </row>
    <row r="18357" spans="2:30" s="323" customFormat="1" ht="12" customHeight="1">
      <c r="B18357" s="324"/>
      <c r="C18357" s="325"/>
      <c r="D18357" s="326"/>
      <c r="E18357" s="326"/>
      <c r="F18357" s="326"/>
      <c r="G18357" s="326"/>
      <c r="H18357" s="326"/>
      <c r="P18357" s="318"/>
      <c r="Q18357" s="318"/>
      <c r="R18357" s="318"/>
      <c r="S18357" s="318"/>
      <c r="T18357" s="318"/>
      <c r="U18357" s="318"/>
      <c r="V18357" s="318"/>
      <c r="W18357" s="318"/>
      <c r="X18357" s="318"/>
      <c r="Y18357" s="318"/>
      <c r="Z18357" s="318"/>
      <c r="AA18357" s="318"/>
      <c r="AB18357" s="318"/>
      <c r="AC18357" s="318"/>
      <c r="AD18357" s="318"/>
    </row>
    <row r="18358" spans="2:30" s="323" customFormat="1" ht="12" customHeight="1">
      <c r="B18358" s="324"/>
      <c r="C18358" s="325"/>
      <c r="D18358" s="326"/>
      <c r="E18358" s="326"/>
      <c r="F18358" s="326"/>
      <c r="G18358" s="326"/>
      <c r="H18358" s="326"/>
      <c r="P18358" s="318"/>
      <c r="Q18358" s="318"/>
      <c r="R18358" s="318"/>
      <c r="S18358" s="318"/>
      <c r="T18358" s="318"/>
      <c r="U18358" s="318"/>
      <c r="V18358" s="318"/>
      <c r="W18358" s="318"/>
      <c r="X18358" s="318"/>
      <c r="Y18358" s="318"/>
      <c r="Z18358" s="318"/>
      <c r="AA18358" s="318"/>
      <c r="AB18358" s="318"/>
      <c r="AC18358" s="318"/>
      <c r="AD18358" s="318"/>
    </row>
    <row r="18359" spans="2:30" s="323" customFormat="1" ht="12" customHeight="1">
      <c r="B18359" s="324"/>
      <c r="C18359" s="325"/>
      <c r="D18359" s="326"/>
      <c r="E18359" s="326"/>
      <c r="F18359" s="326"/>
      <c r="G18359" s="326"/>
      <c r="H18359" s="326"/>
      <c r="P18359" s="318"/>
      <c r="Q18359" s="318"/>
      <c r="R18359" s="318"/>
      <c r="S18359" s="318"/>
      <c r="T18359" s="318"/>
      <c r="U18359" s="318"/>
      <c r="V18359" s="318"/>
      <c r="W18359" s="318"/>
      <c r="X18359" s="318"/>
      <c r="Y18359" s="318"/>
      <c r="Z18359" s="318"/>
      <c r="AA18359" s="318"/>
      <c r="AB18359" s="318"/>
      <c r="AC18359" s="318"/>
      <c r="AD18359" s="318"/>
    </row>
    <row r="18360" spans="2:30" s="323" customFormat="1" ht="12" customHeight="1">
      <c r="B18360" s="324"/>
      <c r="C18360" s="325"/>
      <c r="D18360" s="326"/>
      <c r="E18360" s="326"/>
      <c r="F18360" s="326"/>
      <c r="G18360" s="326"/>
      <c r="H18360" s="326"/>
      <c r="P18360" s="318"/>
      <c r="Q18360" s="318"/>
      <c r="R18360" s="318"/>
      <c r="S18360" s="318"/>
      <c r="T18360" s="318"/>
      <c r="U18360" s="318"/>
      <c r="V18360" s="318"/>
      <c r="W18360" s="318"/>
      <c r="X18360" s="318"/>
      <c r="Y18360" s="318"/>
      <c r="Z18360" s="318"/>
      <c r="AA18360" s="318"/>
      <c r="AB18360" s="318"/>
      <c r="AC18360" s="318"/>
      <c r="AD18360" s="318"/>
    </row>
    <row r="18361" spans="2:30" s="323" customFormat="1" ht="12" customHeight="1">
      <c r="B18361" s="324"/>
      <c r="C18361" s="325"/>
      <c r="D18361" s="326"/>
      <c r="E18361" s="326"/>
      <c r="F18361" s="326"/>
      <c r="G18361" s="326"/>
      <c r="H18361" s="326"/>
      <c r="P18361" s="318"/>
      <c r="Q18361" s="318"/>
      <c r="R18361" s="318"/>
      <c r="S18361" s="318"/>
      <c r="T18361" s="318"/>
      <c r="U18361" s="318"/>
      <c r="V18361" s="318"/>
      <c r="W18361" s="318"/>
      <c r="X18361" s="318"/>
      <c r="Y18361" s="318"/>
      <c r="Z18361" s="318"/>
      <c r="AA18361" s="318"/>
      <c r="AB18361" s="318"/>
      <c r="AC18361" s="318"/>
      <c r="AD18361" s="318"/>
    </row>
    <row r="18362" spans="2:30" s="323" customFormat="1" ht="12" customHeight="1">
      <c r="B18362" s="324"/>
      <c r="C18362" s="325"/>
      <c r="D18362" s="326"/>
      <c r="E18362" s="326"/>
      <c r="F18362" s="326"/>
      <c r="G18362" s="326"/>
      <c r="H18362" s="326"/>
      <c r="P18362" s="318"/>
      <c r="Q18362" s="318"/>
      <c r="R18362" s="318"/>
      <c r="S18362" s="318"/>
      <c r="T18362" s="318"/>
      <c r="U18362" s="318"/>
      <c r="V18362" s="318"/>
      <c r="W18362" s="318"/>
      <c r="X18362" s="318"/>
      <c r="Y18362" s="318"/>
      <c r="Z18362" s="318"/>
      <c r="AA18362" s="318"/>
      <c r="AB18362" s="318"/>
      <c r="AC18362" s="318"/>
      <c r="AD18362" s="318"/>
    </row>
    <row r="18363" spans="2:30" s="323" customFormat="1" ht="12" customHeight="1">
      <c r="B18363" s="324"/>
      <c r="C18363" s="325"/>
      <c r="D18363" s="326"/>
      <c r="E18363" s="326"/>
      <c r="F18363" s="326"/>
      <c r="G18363" s="326"/>
      <c r="H18363" s="326"/>
      <c r="P18363" s="318"/>
      <c r="Q18363" s="318"/>
      <c r="R18363" s="318"/>
      <c r="S18363" s="318"/>
      <c r="T18363" s="318"/>
      <c r="U18363" s="318"/>
      <c r="V18363" s="318"/>
      <c r="W18363" s="318"/>
      <c r="X18363" s="318"/>
      <c r="Y18363" s="318"/>
      <c r="Z18363" s="318"/>
      <c r="AA18363" s="318"/>
      <c r="AB18363" s="318"/>
      <c r="AC18363" s="318"/>
      <c r="AD18363" s="318"/>
    </row>
    <row r="18364" spans="2:30" s="323" customFormat="1" ht="12" customHeight="1">
      <c r="B18364" s="324"/>
      <c r="C18364" s="325"/>
      <c r="D18364" s="326"/>
      <c r="E18364" s="326"/>
      <c r="F18364" s="326"/>
      <c r="G18364" s="326"/>
      <c r="H18364" s="326"/>
      <c r="P18364" s="318"/>
      <c r="Q18364" s="318"/>
      <c r="R18364" s="318"/>
      <c r="S18364" s="318"/>
      <c r="T18364" s="318"/>
      <c r="U18364" s="318"/>
      <c r="V18364" s="318"/>
      <c r="W18364" s="318"/>
      <c r="X18364" s="318"/>
      <c r="Y18364" s="318"/>
      <c r="Z18364" s="318"/>
      <c r="AA18364" s="318"/>
      <c r="AB18364" s="318"/>
      <c r="AC18364" s="318"/>
      <c r="AD18364" s="318"/>
    </row>
    <row r="18365" spans="2:30" s="323" customFormat="1" ht="12" customHeight="1">
      <c r="B18365" s="324"/>
      <c r="C18365" s="325"/>
      <c r="D18365" s="326"/>
      <c r="E18365" s="326"/>
      <c r="F18365" s="326"/>
      <c r="G18365" s="326"/>
      <c r="H18365" s="326"/>
      <c r="P18365" s="318"/>
      <c r="Q18365" s="318"/>
      <c r="R18365" s="318"/>
      <c r="S18365" s="318"/>
      <c r="T18365" s="318"/>
      <c r="U18365" s="318"/>
      <c r="V18365" s="318"/>
      <c r="W18365" s="318"/>
      <c r="X18365" s="318"/>
      <c r="Y18365" s="318"/>
      <c r="Z18365" s="318"/>
      <c r="AA18365" s="318"/>
      <c r="AB18365" s="318"/>
      <c r="AC18365" s="318"/>
      <c r="AD18365" s="318"/>
    </row>
    <row r="18366" spans="2:30" s="323" customFormat="1" ht="12" customHeight="1">
      <c r="B18366" s="324"/>
      <c r="C18366" s="325"/>
      <c r="D18366" s="326"/>
      <c r="E18366" s="326"/>
      <c r="F18366" s="326"/>
      <c r="G18366" s="326"/>
      <c r="H18366" s="326"/>
      <c r="P18366" s="318"/>
      <c r="Q18366" s="318"/>
      <c r="R18366" s="318"/>
      <c r="S18366" s="318"/>
      <c r="T18366" s="318"/>
      <c r="U18366" s="318"/>
      <c r="V18366" s="318"/>
      <c r="W18366" s="318"/>
      <c r="X18366" s="318"/>
      <c r="Y18366" s="318"/>
      <c r="Z18366" s="318"/>
      <c r="AA18366" s="318"/>
      <c r="AB18366" s="318"/>
      <c r="AC18366" s="318"/>
      <c r="AD18366" s="318"/>
    </row>
    <row r="18367" spans="2:30" s="323" customFormat="1" ht="12" customHeight="1">
      <c r="B18367" s="324"/>
      <c r="C18367" s="325"/>
      <c r="D18367" s="326"/>
      <c r="E18367" s="326"/>
      <c r="F18367" s="326"/>
      <c r="G18367" s="326"/>
      <c r="H18367" s="326"/>
      <c r="P18367" s="318"/>
      <c r="Q18367" s="318"/>
      <c r="R18367" s="318"/>
      <c r="S18367" s="318"/>
      <c r="T18367" s="318"/>
      <c r="U18367" s="318"/>
      <c r="V18367" s="318"/>
      <c r="W18367" s="318"/>
      <c r="X18367" s="318"/>
      <c r="Y18367" s="318"/>
      <c r="Z18367" s="318"/>
      <c r="AA18367" s="318"/>
      <c r="AB18367" s="318"/>
      <c r="AC18367" s="318"/>
      <c r="AD18367" s="318"/>
    </row>
    <row r="18368" spans="2:30" s="323" customFormat="1" ht="12" customHeight="1">
      <c r="B18368" s="324"/>
      <c r="C18368" s="325"/>
      <c r="D18368" s="326"/>
      <c r="E18368" s="326"/>
      <c r="F18368" s="326"/>
      <c r="G18368" s="326"/>
      <c r="H18368" s="326"/>
      <c r="P18368" s="318"/>
      <c r="Q18368" s="318"/>
      <c r="R18368" s="318"/>
      <c r="S18368" s="318"/>
      <c r="T18368" s="318"/>
      <c r="U18368" s="318"/>
      <c r="V18368" s="318"/>
      <c r="W18368" s="318"/>
      <c r="X18368" s="318"/>
      <c r="Y18368" s="318"/>
      <c r="Z18368" s="318"/>
      <c r="AA18368" s="318"/>
      <c r="AB18368" s="318"/>
      <c r="AC18368" s="318"/>
      <c r="AD18368" s="318"/>
    </row>
    <row r="18369" spans="2:30" s="323" customFormat="1" ht="12" customHeight="1">
      <c r="B18369" s="324"/>
      <c r="C18369" s="325"/>
      <c r="D18369" s="326"/>
      <c r="E18369" s="326"/>
      <c r="F18369" s="326"/>
      <c r="G18369" s="326"/>
      <c r="H18369" s="326"/>
      <c r="P18369" s="318"/>
      <c r="Q18369" s="318"/>
      <c r="R18369" s="318"/>
      <c r="S18369" s="318"/>
      <c r="T18369" s="318"/>
      <c r="U18369" s="318"/>
      <c r="V18369" s="318"/>
      <c r="W18369" s="318"/>
      <c r="X18369" s="318"/>
      <c r="Y18369" s="318"/>
      <c r="Z18369" s="318"/>
      <c r="AA18369" s="318"/>
      <c r="AB18369" s="318"/>
      <c r="AC18369" s="318"/>
      <c r="AD18369" s="318"/>
    </row>
    <row r="18370" spans="2:30" s="323" customFormat="1" ht="12" customHeight="1">
      <c r="B18370" s="324"/>
      <c r="C18370" s="325"/>
      <c r="D18370" s="326"/>
      <c r="E18370" s="326"/>
      <c r="F18370" s="326"/>
      <c r="G18370" s="326"/>
      <c r="H18370" s="326"/>
      <c r="P18370" s="318"/>
      <c r="Q18370" s="318"/>
      <c r="R18370" s="318"/>
      <c r="S18370" s="318"/>
      <c r="T18370" s="318"/>
      <c r="U18370" s="318"/>
      <c r="V18370" s="318"/>
      <c r="W18370" s="318"/>
      <c r="X18370" s="318"/>
      <c r="Y18370" s="318"/>
      <c r="Z18370" s="318"/>
      <c r="AA18370" s="318"/>
      <c r="AB18370" s="318"/>
      <c r="AC18370" s="318"/>
      <c r="AD18370" s="318"/>
    </row>
    <row r="18371" spans="2:30" s="323" customFormat="1" ht="12" customHeight="1">
      <c r="B18371" s="324"/>
      <c r="C18371" s="325"/>
      <c r="D18371" s="326"/>
      <c r="E18371" s="326"/>
      <c r="F18371" s="326"/>
      <c r="G18371" s="326"/>
      <c r="H18371" s="326"/>
      <c r="P18371" s="318"/>
      <c r="Q18371" s="318"/>
      <c r="R18371" s="318"/>
      <c r="S18371" s="318"/>
      <c r="T18371" s="318"/>
      <c r="U18371" s="318"/>
      <c r="V18371" s="318"/>
      <c r="W18371" s="318"/>
      <c r="X18371" s="318"/>
      <c r="Y18371" s="318"/>
      <c r="Z18371" s="318"/>
      <c r="AA18371" s="318"/>
      <c r="AB18371" s="318"/>
      <c r="AC18371" s="318"/>
      <c r="AD18371" s="318"/>
    </row>
    <row r="18372" spans="2:30" s="323" customFormat="1" ht="12" customHeight="1">
      <c r="B18372" s="324"/>
      <c r="C18372" s="325"/>
      <c r="D18372" s="326"/>
      <c r="E18372" s="326"/>
      <c r="F18372" s="326"/>
      <c r="G18372" s="326"/>
      <c r="H18372" s="326"/>
      <c r="P18372" s="318"/>
      <c r="Q18372" s="318"/>
      <c r="R18372" s="318"/>
      <c r="S18372" s="318"/>
      <c r="T18372" s="318"/>
      <c r="U18372" s="318"/>
      <c r="V18372" s="318"/>
      <c r="W18372" s="318"/>
      <c r="X18372" s="318"/>
      <c r="Y18372" s="318"/>
      <c r="Z18372" s="318"/>
      <c r="AA18372" s="318"/>
      <c r="AB18372" s="318"/>
      <c r="AC18372" s="318"/>
      <c r="AD18372" s="318"/>
    </row>
    <row r="18373" spans="2:30" s="323" customFormat="1" ht="12" customHeight="1">
      <c r="B18373" s="324"/>
      <c r="C18373" s="325"/>
      <c r="D18373" s="326"/>
      <c r="E18373" s="326"/>
      <c r="F18373" s="326"/>
      <c r="G18373" s="326"/>
      <c r="H18373" s="326"/>
      <c r="P18373" s="318"/>
      <c r="Q18373" s="318"/>
      <c r="R18373" s="318"/>
      <c r="S18373" s="318"/>
      <c r="T18373" s="318"/>
      <c r="U18373" s="318"/>
      <c r="V18373" s="318"/>
      <c r="W18373" s="318"/>
      <c r="X18373" s="318"/>
      <c r="Y18373" s="318"/>
      <c r="Z18373" s="318"/>
      <c r="AA18373" s="318"/>
      <c r="AB18373" s="318"/>
      <c r="AC18373" s="318"/>
      <c r="AD18373" s="318"/>
    </row>
    <row r="18374" spans="2:30" s="323" customFormat="1" ht="12" customHeight="1">
      <c r="B18374" s="324"/>
      <c r="C18374" s="325"/>
      <c r="D18374" s="326"/>
      <c r="E18374" s="326"/>
      <c r="F18374" s="326"/>
      <c r="G18374" s="326"/>
      <c r="H18374" s="326"/>
      <c r="P18374" s="318"/>
      <c r="Q18374" s="318"/>
      <c r="R18374" s="318"/>
      <c r="S18374" s="318"/>
      <c r="T18374" s="318"/>
      <c r="U18374" s="318"/>
      <c r="V18374" s="318"/>
      <c r="W18374" s="318"/>
      <c r="X18374" s="318"/>
      <c r="Y18374" s="318"/>
      <c r="Z18374" s="318"/>
      <c r="AA18374" s="318"/>
      <c r="AB18374" s="318"/>
      <c r="AC18374" s="318"/>
      <c r="AD18374" s="318"/>
    </row>
    <row r="18375" spans="2:30" s="323" customFormat="1" ht="12" customHeight="1">
      <c r="B18375" s="324"/>
      <c r="C18375" s="325"/>
      <c r="D18375" s="326"/>
      <c r="E18375" s="326"/>
      <c r="F18375" s="326"/>
      <c r="G18375" s="326"/>
      <c r="H18375" s="326"/>
      <c r="P18375" s="318"/>
      <c r="Q18375" s="318"/>
      <c r="R18375" s="318"/>
      <c r="S18375" s="318"/>
      <c r="T18375" s="318"/>
      <c r="U18375" s="318"/>
      <c r="V18375" s="318"/>
      <c r="W18375" s="318"/>
      <c r="X18375" s="318"/>
      <c r="Y18375" s="318"/>
      <c r="Z18375" s="318"/>
      <c r="AA18375" s="318"/>
      <c r="AB18375" s="318"/>
      <c r="AC18375" s="318"/>
      <c r="AD18375" s="318"/>
    </row>
    <row r="18376" spans="2:30" s="323" customFormat="1" ht="12" customHeight="1">
      <c r="B18376" s="324"/>
      <c r="C18376" s="325"/>
      <c r="D18376" s="326"/>
      <c r="E18376" s="326"/>
      <c r="F18376" s="326"/>
      <c r="G18376" s="326"/>
      <c r="H18376" s="326"/>
      <c r="P18376" s="318"/>
      <c r="Q18376" s="318"/>
      <c r="R18376" s="318"/>
      <c r="S18376" s="318"/>
      <c r="T18376" s="318"/>
      <c r="U18376" s="318"/>
      <c r="V18376" s="318"/>
      <c r="W18376" s="318"/>
      <c r="X18376" s="318"/>
      <c r="Y18376" s="318"/>
      <c r="Z18376" s="318"/>
      <c r="AA18376" s="318"/>
      <c r="AB18376" s="318"/>
      <c r="AC18376" s="318"/>
      <c r="AD18376" s="318"/>
    </row>
    <row r="18377" spans="2:30" s="323" customFormat="1" ht="12" customHeight="1">
      <c r="B18377" s="324"/>
      <c r="C18377" s="325"/>
      <c r="D18377" s="326"/>
      <c r="E18377" s="326"/>
      <c r="F18377" s="326"/>
      <c r="G18377" s="326"/>
      <c r="H18377" s="326"/>
      <c r="P18377" s="318"/>
      <c r="Q18377" s="318"/>
      <c r="R18377" s="318"/>
      <c r="S18377" s="318"/>
      <c r="T18377" s="318"/>
      <c r="U18377" s="318"/>
      <c r="V18377" s="318"/>
      <c r="W18377" s="318"/>
      <c r="X18377" s="318"/>
      <c r="Y18377" s="318"/>
      <c r="Z18377" s="318"/>
      <c r="AA18377" s="318"/>
      <c r="AB18377" s="318"/>
      <c r="AC18377" s="318"/>
      <c r="AD18377" s="318"/>
    </row>
    <row r="18378" spans="2:30" s="323" customFormat="1" ht="12" customHeight="1">
      <c r="B18378" s="324"/>
      <c r="C18378" s="325"/>
      <c r="D18378" s="326"/>
      <c r="E18378" s="326"/>
      <c r="F18378" s="326"/>
      <c r="G18378" s="326"/>
      <c r="H18378" s="326"/>
      <c r="P18378" s="318"/>
      <c r="Q18378" s="318"/>
      <c r="R18378" s="318"/>
      <c r="S18378" s="318"/>
      <c r="T18378" s="318"/>
      <c r="U18378" s="318"/>
      <c r="V18378" s="318"/>
      <c r="W18378" s="318"/>
      <c r="X18378" s="318"/>
      <c r="Y18378" s="318"/>
      <c r="Z18378" s="318"/>
      <c r="AA18378" s="318"/>
      <c r="AB18378" s="318"/>
      <c r="AC18378" s="318"/>
      <c r="AD18378" s="318"/>
    </row>
    <row r="18379" spans="2:30" s="323" customFormat="1" ht="12" customHeight="1">
      <c r="B18379" s="324"/>
      <c r="C18379" s="325"/>
      <c r="D18379" s="326"/>
      <c r="E18379" s="326"/>
      <c r="F18379" s="326"/>
      <c r="G18379" s="326"/>
      <c r="H18379" s="326"/>
      <c r="P18379" s="318"/>
      <c r="Q18379" s="318"/>
      <c r="R18379" s="318"/>
      <c r="S18379" s="318"/>
      <c r="T18379" s="318"/>
      <c r="U18379" s="318"/>
      <c r="V18379" s="318"/>
      <c r="W18379" s="318"/>
      <c r="X18379" s="318"/>
      <c r="Y18379" s="318"/>
      <c r="Z18379" s="318"/>
      <c r="AA18379" s="318"/>
      <c r="AB18379" s="318"/>
      <c r="AC18379" s="318"/>
      <c r="AD18379" s="318"/>
    </row>
    <row r="18380" spans="2:30" s="323" customFormat="1" ht="12" customHeight="1">
      <c r="B18380" s="324"/>
      <c r="C18380" s="325"/>
      <c r="D18380" s="326"/>
      <c r="E18380" s="326"/>
      <c r="F18380" s="326"/>
      <c r="G18380" s="326"/>
      <c r="H18380" s="326"/>
      <c r="P18380" s="318"/>
      <c r="Q18380" s="318"/>
      <c r="R18380" s="318"/>
      <c r="S18380" s="318"/>
      <c r="T18380" s="318"/>
      <c r="U18380" s="318"/>
      <c r="V18380" s="318"/>
      <c r="W18380" s="318"/>
      <c r="X18380" s="318"/>
      <c r="Y18380" s="318"/>
      <c r="Z18380" s="318"/>
      <c r="AA18380" s="318"/>
      <c r="AB18380" s="318"/>
      <c r="AC18380" s="318"/>
      <c r="AD18380" s="318"/>
    </row>
    <row r="18381" spans="2:30" s="323" customFormat="1" ht="12" customHeight="1">
      <c r="B18381" s="324"/>
      <c r="C18381" s="325"/>
      <c r="D18381" s="326"/>
      <c r="E18381" s="326"/>
      <c r="F18381" s="326"/>
      <c r="G18381" s="326"/>
      <c r="H18381" s="326"/>
      <c r="P18381" s="318"/>
      <c r="Q18381" s="318"/>
      <c r="R18381" s="318"/>
      <c r="S18381" s="318"/>
      <c r="T18381" s="318"/>
      <c r="U18381" s="318"/>
      <c r="V18381" s="318"/>
      <c r="W18381" s="318"/>
      <c r="X18381" s="318"/>
      <c r="Y18381" s="318"/>
      <c r="Z18381" s="318"/>
      <c r="AA18381" s="318"/>
      <c r="AB18381" s="318"/>
      <c r="AC18381" s="318"/>
      <c r="AD18381" s="318"/>
    </row>
    <row r="18382" spans="2:30" s="323" customFormat="1" ht="12" customHeight="1">
      <c r="B18382" s="324"/>
      <c r="C18382" s="325"/>
      <c r="D18382" s="326"/>
      <c r="E18382" s="326"/>
      <c r="F18382" s="326"/>
      <c r="G18382" s="326"/>
      <c r="H18382" s="326"/>
      <c r="P18382" s="318"/>
      <c r="Q18382" s="318"/>
      <c r="R18382" s="318"/>
      <c r="S18382" s="318"/>
      <c r="T18382" s="318"/>
      <c r="U18382" s="318"/>
      <c r="V18382" s="318"/>
      <c r="W18382" s="318"/>
      <c r="X18382" s="318"/>
      <c r="Y18382" s="318"/>
      <c r="Z18382" s="318"/>
      <c r="AA18382" s="318"/>
      <c r="AB18382" s="318"/>
      <c r="AC18382" s="318"/>
      <c r="AD18382" s="318"/>
    </row>
    <row r="18383" spans="2:30" s="323" customFormat="1" ht="12" customHeight="1">
      <c r="B18383" s="324"/>
      <c r="C18383" s="325"/>
      <c r="D18383" s="326"/>
      <c r="E18383" s="326"/>
      <c r="F18383" s="326"/>
      <c r="G18383" s="326"/>
      <c r="H18383" s="326"/>
      <c r="P18383" s="318"/>
      <c r="Q18383" s="318"/>
      <c r="R18383" s="318"/>
      <c r="S18383" s="318"/>
      <c r="T18383" s="318"/>
      <c r="U18383" s="318"/>
      <c r="V18383" s="318"/>
      <c r="W18383" s="318"/>
      <c r="X18383" s="318"/>
      <c r="Y18383" s="318"/>
      <c r="Z18383" s="318"/>
      <c r="AA18383" s="318"/>
      <c r="AB18383" s="318"/>
      <c r="AC18383" s="318"/>
      <c r="AD18383" s="318"/>
    </row>
    <row r="18384" spans="2:30" s="323" customFormat="1" ht="12" customHeight="1">
      <c r="B18384" s="324"/>
      <c r="C18384" s="325"/>
      <c r="D18384" s="326"/>
      <c r="E18384" s="326"/>
      <c r="F18384" s="326"/>
      <c r="G18384" s="326"/>
      <c r="H18384" s="326"/>
      <c r="P18384" s="318"/>
      <c r="Q18384" s="318"/>
      <c r="R18384" s="318"/>
      <c r="S18384" s="318"/>
      <c r="T18384" s="318"/>
      <c r="U18384" s="318"/>
      <c r="V18384" s="318"/>
      <c r="W18384" s="318"/>
      <c r="X18384" s="318"/>
      <c r="Y18384" s="318"/>
      <c r="Z18384" s="318"/>
      <c r="AA18384" s="318"/>
      <c r="AB18384" s="318"/>
      <c r="AC18384" s="318"/>
      <c r="AD18384" s="318"/>
    </row>
    <row r="18385" spans="2:30" s="323" customFormat="1" ht="12" customHeight="1">
      <c r="B18385" s="324"/>
      <c r="C18385" s="325"/>
      <c r="D18385" s="326"/>
      <c r="E18385" s="326"/>
      <c r="F18385" s="326"/>
      <c r="G18385" s="326"/>
      <c r="H18385" s="326"/>
      <c r="P18385" s="318"/>
      <c r="Q18385" s="318"/>
      <c r="R18385" s="318"/>
      <c r="S18385" s="318"/>
      <c r="T18385" s="318"/>
      <c r="U18385" s="318"/>
      <c r="V18385" s="318"/>
      <c r="W18385" s="318"/>
      <c r="X18385" s="318"/>
      <c r="Y18385" s="318"/>
      <c r="Z18385" s="318"/>
      <c r="AA18385" s="318"/>
      <c r="AB18385" s="318"/>
      <c r="AC18385" s="318"/>
      <c r="AD18385" s="318"/>
    </row>
    <row r="18386" spans="2:30" s="323" customFormat="1" ht="12" customHeight="1">
      <c r="B18386" s="324"/>
      <c r="C18386" s="325"/>
      <c r="D18386" s="326"/>
      <c r="E18386" s="326"/>
      <c r="F18386" s="326"/>
      <c r="G18386" s="326"/>
      <c r="H18386" s="326"/>
      <c r="P18386" s="318"/>
      <c r="Q18386" s="318"/>
      <c r="R18386" s="318"/>
      <c r="S18386" s="318"/>
      <c r="T18386" s="318"/>
      <c r="U18386" s="318"/>
      <c r="V18386" s="318"/>
      <c r="W18386" s="318"/>
      <c r="X18386" s="318"/>
      <c r="Y18386" s="318"/>
      <c r="Z18386" s="318"/>
      <c r="AA18386" s="318"/>
      <c r="AB18386" s="318"/>
      <c r="AC18386" s="318"/>
      <c r="AD18386" s="318"/>
    </row>
    <row r="18387" spans="2:30" s="323" customFormat="1" ht="12" customHeight="1">
      <c r="B18387" s="324"/>
      <c r="C18387" s="325"/>
      <c r="D18387" s="326"/>
      <c r="E18387" s="326"/>
      <c r="F18387" s="326"/>
      <c r="G18387" s="326"/>
      <c r="H18387" s="326"/>
      <c r="P18387" s="318"/>
      <c r="Q18387" s="318"/>
      <c r="R18387" s="318"/>
      <c r="S18387" s="318"/>
      <c r="T18387" s="318"/>
      <c r="U18387" s="318"/>
      <c r="V18387" s="318"/>
      <c r="W18387" s="318"/>
      <c r="X18387" s="318"/>
      <c r="Y18387" s="318"/>
      <c r="Z18387" s="318"/>
      <c r="AA18387" s="318"/>
      <c r="AB18387" s="318"/>
      <c r="AC18387" s="318"/>
      <c r="AD18387" s="318"/>
    </row>
    <row r="18388" spans="2:30" s="323" customFormat="1" ht="12" customHeight="1">
      <c r="B18388" s="324"/>
      <c r="C18388" s="325"/>
      <c r="D18388" s="326"/>
      <c r="E18388" s="326"/>
      <c r="F18388" s="326"/>
      <c r="G18388" s="326"/>
      <c r="H18388" s="326"/>
      <c r="P18388" s="318"/>
      <c r="Q18388" s="318"/>
      <c r="R18388" s="318"/>
      <c r="S18388" s="318"/>
      <c r="T18388" s="318"/>
      <c r="U18388" s="318"/>
      <c r="V18388" s="318"/>
      <c r="W18388" s="318"/>
      <c r="X18388" s="318"/>
      <c r="Y18388" s="318"/>
      <c r="Z18388" s="318"/>
      <c r="AA18388" s="318"/>
      <c r="AB18388" s="318"/>
      <c r="AC18388" s="318"/>
      <c r="AD18388" s="318"/>
    </row>
    <row r="18389" spans="2:30" s="323" customFormat="1" ht="12" customHeight="1">
      <c r="B18389" s="324"/>
      <c r="C18389" s="325"/>
      <c r="D18389" s="326"/>
      <c r="E18389" s="326"/>
      <c r="F18389" s="326"/>
      <c r="G18389" s="326"/>
      <c r="H18389" s="326"/>
      <c r="P18389" s="318"/>
      <c r="Q18389" s="318"/>
      <c r="R18389" s="318"/>
      <c r="S18389" s="318"/>
      <c r="T18389" s="318"/>
      <c r="U18389" s="318"/>
      <c r="V18389" s="318"/>
      <c r="W18389" s="318"/>
      <c r="X18389" s="318"/>
      <c r="Y18389" s="318"/>
      <c r="Z18389" s="318"/>
      <c r="AA18389" s="318"/>
      <c r="AB18389" s="318"/>
      <c r="AC18389" s="318"/>
      <c r="AD18389" s="318"/>
    </row>
    <row r="18390" spans="2:30" s="323" customFormat="1" ht="12" customHeight="1">
      <c r="B18390" s="324"/>
      <c r="C18390" s="325"/>
      <c r="D18390" s="326"/>
      <c r="E18390" s="326"/>
      <c r="F18390" s="326"/>
      <c r="G18390" s="326"/>
      <c r="H18390" s="326"/>
      <c r="P18390" s="318"/>
      <c r="Q18390" s="318"/>
      <c r="R18390" s="318"/>
      <c r="S18390" s="318"/>
      <c r="T18390" s="318"/>
      <c r="U18390" s="318"/>
      <c r="V18390" s="318"/>
      <c r="W18390" s="318"/>
      <c r="X18390" s="318"/>
      <c r="Y18390" s="318"/>
      <c r="Z18390" s="318"/>
      <c r="AA18390" s="318"/>
      <c r="AB18390" s="318"/>
      <c r="AC18390" s="318"/>
      <c r="AD18390" s="318"/>
    </row>
    <row r="18391" spans="2:30" s="323" customFormat="1" ht="12" customHeight="1">
      <c r="B18391" s="324"/>
      <c r="C18391" s="325"/>
      <c r="D18391" s="326"/>
      <c r="E18391" s="326"/>
      <c r="F18391" s="326"/>
      <c r="G18391" s="326"/>
      <c r="H18391" s="326"/>
      <c r="P18391" s="318"/>
      <c r="Q18391" s="318"/>
      <c r="R18391" s="318"/>
      <c r="S18391" s="318"/>
      <c r="T18391" s="318"/>
      <c r="U18391" s="318"/>
      <c r="V18391" s="318"/>
      <c r="W18391" s="318"/>
      <c r="X18391" s="318"/>
      <c r="Y18391" s="318"/>
      <c r="Z18391" s="318"/>
      <c r="AA18391" s="318"/>
      <c r="AB18391" s="318"/>
      <c r="AC18391" s="318"/>
      <c r="AD18391" s="318"/>
    </row>
    <row r="18392" spans="2:30" s="323" customFormat="1" ht="12" customHeight="1">
      <c r="B18392" s="324"/>
      <c r="C18392" s="325"/>
      <c r="D18392" s="326"/>
      <c r="E18392" s="326"/>
      <c r="F18392" s="326"/>
      <c r="G18392" s="326"/>
      <c r="H18392" s="326"/>
      <c r="P18392" s="318"/>
      <c r="Q18392" s="318"/>
      <c r="R18392" s="318"/>
      <c r="S18392" s="318"/>
      <c r="T18392" s="318"/>
      <c r="U18392" s="318"/>
      <c r="V18392" s="318"/>
      <c r="W18392" s="318"/>
      <c r="X18392" s="318"/>
      <c r="Y18392" s="318"/>
      <c r="Z18392" s="318"/>
      <c r="AA18392" s="318"/>
      <c r="AB18392" s="318"/>
      <c r="AC18392" s="318"/>
      <c r="AD18392" s="318"/>
    </row>
    <row r="18393" spans="2:30" s="323" customFormat="1" ht="12" customHeight="1">
      <c r="B18393" s="324"/>
      <c r="C18393" s="325"/>
      <c r="D18393" s="326"/>
      <c r="E18393" s="326"/>
      <c r="F18393" s="326"/>
      <c r="G18393" s="326"/>
      <c r="H18393" s="326"/>
      <c r="P18393" s="318"/>
      <c r="Q18393" s="318"/>
      <c r="R18393" s="318"/>
      <c r="S18393" s="318"/>
      <c r="T18393" s="318"/>
      <c r="U18393" s="318"/>
      <c r="V18393" s="318"/>
      <c r="W18393" s="318"/>
      <c r="X18393" s="318"/>
      <c r="Y18393" s="318"/>
      <c r="Z18393" s="318"/>
      <c r="AA18393" s="318"/>
      <c r="AB18393" s="318"/>
      <c r="AC18393" s="318"/>
      <c r="AD18393" s="318"/>
    </row>
    <row r="18394" spans="2:30" s="323" customFormat="1" ht="12" customHeight="1">
      <c r="B18394" s="324"/>
      <c r="C18394" s="325"/>
      <c r="D18394" s="326"/>
      <c r="E18394" s="326"/>
      <c r="F18394" s="326"/>
      <c r="G18394" s="326"/>
      <c r="H18394" s="326"/>
      <c r="P18394" s="318"/>
      <c r="Q18394" s="318"/>
      <c r="R18394" s="318"/>
      <c r="S18394" s="318"/>
      <c r="T18394" s="318"/>
      <c r="U18394" s="318"/>
      <c r="V18394" s="318"/>
      <c r="W18394" s="318"/>
      <c r="X18394" s="318"/>
      <c r="Y18394" s="318"/>
      <c r="Z18394" s="318"/>
      <c r="AA18394" s="318"/>
      <c r="AB18394" s="318"/>
      <c r="AC18394" s="318"/>
      <c r="AD18394" s="318"/>
    </row>
    <row r="18395" spans="2:30" s="323" customFormat="1" ht="12" customHeight="1">
      <c r="B18395" s="324"/>
      <c r="C18395" s="325"/>
      <c r="D18395" s="326"/>
      <c r="E18395" s="326"/>
      <c r="F18395" s="326"/>
      <c r="G18395" s="326"/>
      <c r="H18395" s="326"/>
      <c r="P18395" s="318"/>
      <c r="Q18395" s="318"/>
      <c r="R18395" s="318"/>
      <c r="S18395" s="318"/>
      <c r="T18395" s="318"/>
      <c r="U18395" s="318"/>
      <c r="V18395" s="318"/>
      <c r="W18395" s="318"/>
      <c r="X18395" s="318"/>
      <c r="Y18395" s="318"/>
      <c r="Z18395" s="318"/>
      <c r="AA18395" s="318"/>
      <c r="AB18395" s="318"/>
      <c r="AC18395" s="318"/>
      <c r="AD18395" s="318"/>
    </row>
    <row r="18396" spans="2:30" s="323" customFormat="1" ht="12" customHeight="1">
      <c r="B18396" s="324"/>
      <c r="C18396" s="325"/>
      <c r="D18396" s="326"/>
      <c r="E18396" s="326"/>
      <c r="F18396" s="326"/>
      <c r="G18396" s="326"/>
      <c r="H18396" s="326"/>
      <c r="P18396" s="318"/>
      <c r="Q18396" s="318"/>
      <c r="R18396" s="318"/>
      <c r="S18396" s="318"/>
      <c r="T18396" s="318"/>
      <c r="U18396" s="318"/>
      <c r="V18396" s="318"/>
      <c r="W18396" s="318"/>
      <c r="X18396" s="318"/>
      <c r="Y18396" s="318"/>
      <c r="Z18396" s="318"/>
      <c r="AA18396" s="318"/>
      <c r="AB18396" s="318"/>
      <c r="AC18396" s="318"/>
      <c r="AD18396" s="318"/>
    </row>
    <row r="18397" spans="2:30" s="323" customFormat="1" ht="12" customHeight="1">
      <c r="B18397" s="324"/>
      <c r="C18397" s="325"/>
      <c r="D18397" s="326"/>
      <c r="E18397" s="326"/>
      <c r="F18397" s="326"/>
      <c r="G18397" s="326"/>
      <c r="H18397" s="326"/>
      <c r="P18397" s="318"/>
      <c r="Q18397" s="318"/>
      <c r="R18397" s="318"/>
      <c r="S18397" s="318"/>
      <c r="T18397" s="318"/>
      <c r="U18397" s="318"/>
      <c r="V18397" s="318"/>
      <c r="W18397" s="318"/>
      <c r="X18397" s="318"/>
      <c r="Y18397" s="318"/>
      <c r="Z18397" s="318"/>
      <c r="AA18397" s="318"/>
      <c r="AB18397" s="318"/>
      <c r="AC18397" s="318"/>
      <c r="AD18397" s="318"/>
    </row>
    <row r="18398" spans="2:30" s="323" customFormat="1" ht="12" customHeight="1">
      <c r="B18398" s="324"/>
      <c r="C18398" s="325"/>
      <c r="D18398" s="326"/>
      <c r="E18398" s="326"/>
      <c r="F18398" s="326"/>
      <c r="G18398" s="326"/>
      <c r="H18398" s="326"/>
      <c r="P18398" s="318"/>
      <c r="Q18398" s="318"/>
      <c r="R18398" s="318"/>
      <c r="S18398" s="318"/>
      <c r="T18398" s="318"/>
      <c r="U18398" s="318"/>
      <c r="V18398" s="318"/>
      <c r="W18398" s="318"/>
      <c r="X18398" s="318"/>
      <c r="Y18398" s="318"/>
      <c r="Z18398" s="318"/>
      <c r="AA18398" s="318"/>
      <c r="AB18398" s="318"/>
      <c r="AC18398" s="318"/>
      <c r="AD18398" s="318"/>
    </row>
    <row r="18399" spans="2:30" s="323" customFormat="1" ht="12" customHeight="1">
      <c r="B18399" s="324"/>
      <c r="C18399" s="325"/>
      <c r="D18399" s="326"/>
      <c r="E18399" s="326"/>
      <c r="F18399" s="326"/>
      <c r="G18399" s="326"/>
      <c r="H18399" s="326"/>
      <c r="P18399" s="318"/>
      <c r="Q18399" s="318"/>
      <c r="R18399" s="318"/>
      <c r="S18399" s="318"/>
      <c r="T18399" s="318"/>
      <c r="U18399" s="318"/>
      <c r="V18399" s="318"/>
      <c r="W18399" s="318"/>
      <c r="X18399" s="318"/>
      <c r="Y18399" s="318"/>
      <c r="Z18399" s="318"/>
      <c r="AA18399" s="318"/>
      <c r="AB18399" s="318"/>
      <c r="AC18399" s="318"/>
      <c r="AD18399" s="318"/>
    </row>
    <row r="18400" spans="2:30" s="323" customFormat="1" ht="12" customHeight="1">
      <c r="B18400" s="324"/>
      <c r="C18400" s="325"/>
      <c r="D18400" s="326"/>
      <c r="E18400" s="326"/>
      <c r="F18400" s="326"/>
      <c r="G18400" s="326"/>
      <c r="H18400" s="326"/>
      <c r="P18400" s="318"/>
      <c r="Q18400" s="318"/>
      <c r="R18400" s="318"/>
      <c r="S18400" s="318"/>
      <c r="T18400" s="318"/>
      <c r="U18400" s="318"/>
      <c r="V18400" s="318"/>
      <c r="W18400" s="318"/>
      <c r="X18400" s="318"/>
      <c r="Y18400" s="318"/>
      <c r="Z18400" s="318"/>
      <c r="AA18400" s="318"/>
      <c r="AB18400" s="318"/>
      <c r="AC18400" s="318"/>
      <c r="AD18400" s="318"/>
    </row>
    <row r="18401" spans="2:30" s="323" customFormat="1" ht="12" customHeight="1">
      <c r="B18401" s="324"/>
      <c r="C18401" s="325"/>
      <c r="D18401" s="326"/>
      <c r="E18401" s="326"/>
      <c r="F18401" s="326"/>
      <c r="G18401" s="326"/>
      <c r="H18401" s="326"/>
      <c r="P18401" s="318"/>
      <c r="Q18401" s="318"/>
      <c r="R18401" s="318"/>
      <c r="S18401" s="318"/>
      <c r="T18401" s="318"/>
      <c r="U18401" s="318"/>
      <c r="V18401" s="318"/>
      <c r="W18401" s="318"/>
      <c r="X18401" s="318"/>
      <c r="Y18401" s="318"/>
      <c r="Z18401" s="318"/>
      <c r="AA18401" s="318"/>
      <c r="AB18401" s="318"/>
      <c r="AC18401" s="318"/>
      <c r="AD18401" s="318"/>
    </row>
    <row r="18402" spans="2:30" s="323" customFormat="1" ht="12" customHeight="1">
      <c r="B18402" s="324"/>
      <c r="C18402" s="325"/>
      <c r="D18402" s="326"/>
      <c r="E18402" s="326"/>
      <c r="F18402" s="326"/>
      <c r="G18402" s="326"/>
      <c r="H18402" s="326"/>
      <c r="P18402" s="318"/>
      <c r="Q18402" s="318"/>
      <c r="R18402" s="318"/>
      <c r="S18402" s="318"/>
      <c r="T18402" s="318"/>
      <c r="U18402" s="318"/>
      <c r="V18402" s="318"/>
      <c r="W18402" s="318"/>
      <c r="X18402" s="318"/>
      <c r="Y18402" s="318"/>
      <c r="Z18402" s="318"/>
      <c r="AA18402" s="318"/>
      <c r="AB18402" s="318"/>
      <c r="AC18402" s="318"/>
      <c r="AD18402" s="318"/>
    </row>
    <row r="18403" spans="2:30" s="323" customFormat="1" ht="12" customHeight="1">
      <c r="B18403" s="324"/>
      <c r="C18403" s="325"/>
      <c r="D18403" s="326"/>
      <c r="E18403" s="326"/>
      <c r="F18403" s="326"/>
      <c r="G18403" s="326"/>
      <c r="H18403" s="326"/>
      <c r="P18403" s="318"/>
      <c r="Q18403" s="318"/>
      <c r="R18403" s="318"/>
      <c r="S18403" s="318"/>
      <c r="T18403" s="318"/>
      <c r="U18403" s="318"/>
      <c r="V18403" s="318"/>
      <c r="W18403" s="318"/>
      <c r="X18403" s="318"/>
      <c r="Y18403" s="318"/>
      <c r="Z18403" s="318"/>
      <c r="AA18403" s="318"/>
      <c r="AB18403" s="318"/>
      <c r="AC18403" s="318"/>
      <c r="AD18403" s="318"/>
    </row>
    <row r="18404" spans="2:30" s="323" customFormat="1" ht="12" customHeight="1">
      <c r="B18404" s="324"/>
      <c r="C18404" s="325"/>
      <c r="D18404" s="326"/>
      <c r="E18404" s="326"/>
      <c r="F18404" s="326"/>
      <c r="G18404" s="326"/>
      <c r="H18404" s="326"/>
      <c r="P18404" s="318"/>
      <c r="Q18404" s="318"/>
      <c r="R18404" s="318"/>
      <c r="S18404" s="318"/>
      <c r="T18404" s="318"/>
      <c r="U18404" s="318"/>
      <c r="V18404" s="318"/>
      <c r="W18404" s="318"/>
      <c r="X18404" s="318"/>
      <c r="Y18404" s="318"/>
      <c r="Z18404" s="318"/>
      <c r="AA18404" s="318"/>
      <c r="AB18404" s="318"/>
      <c r="AC18404" s="318"/>
      <c r="AD18404" s="318"/>
    </row>
    <row r="18405" spans="2:30" s="323" customFormat="1" ht="12" customHeight="1">
      <c r="B18405" s="324"/>
      <c r="C18405" s="325"/>
      <c r="D18405" s="326"/>
      <c r="E18405" s="326"/>
      <c r="F18405" s="326"/>
      <c r="G18405" s="326"/>
      <c r="H18405" s="326"/>
      <c r="P18405" s="318"/>
      <c r="Q18405" s="318"/>
      <c r="R18405" s="318"/>
      <c r="S18405" s="318"/>
      <c r="T18405" s="318"/>
      <c r="U18405" s="318"/>
      <c r="V18405" s="318"/>
      <c r="W18405" s="318"/>
      <c r="X18405" s="318"/>
      <c r="Y18405" s="318"/>
      <c r="Z18405" s="318"/>
      <c r="AA18405" s="318"/>
      <c r="AB18405" s="318"/>
      <c r="AC18405" s="318"/>
      <c r="AD18405" s="318"/>
    </row>
    <row r="18406" spans="2:30" s="323" customFormat="1" ht="12" customHeight="1">
      <c r="B18406" s="324"/>
      <c r="C18406" s="325"/>
      <c r="D18406" s="326"/>
      <c r="E18406" s="326"/>
      <c r="F18406" s="326"/>
      <c r="G18406" s="326"/>
      <c r="H18406" s="326"/>
      <c r="P18406" s="318"/>
      <c r="Q18406" s="318"/>
      <c r="R18406" s="318"/>
      <c r="S18406" s="318"/>
      <c r="T18406" s="318"/>
      <c r="U18406" s="318"/>
      <c r="V18406" s="318"/>
      <c r="W18406" s="318"/>
      <c r="X18406" s="318"/>
      <c r="Y18406" s="318"/>
      <c r="Z18406" s="318"/>
      <c r="AA18406" s="318"/>
      <c r="AB18406" s="318"/>
      <c r="AC18406" s="318"/>
      <c r="AD18406" s="318"/>
    </row>
    <row r="18407" spans="2:30" s="323" customFormat="1" ht="12" customHeight="1">
      <c r="B18407" s="324"/>
      <c r="C18407" s="325"/>
      <c r="D18407" s="326"/>
      <c r="E18407" s="326"/>
      <c r="F18407" s="326"/>
      <c r="G18407" s="326"/>
      <c r="H18407" s="326"/>
      <c r="P18407" s="318"/>
      <c r="Q18407" s="318"/>
      <c r="R18407" s="318"/>
      <c r="S18407" s="318"/>
      <c r="T18407" s="318"/>
      <c r="U18407" s="318"/>
      <c r="V18407" s="318"/>
      <c r="W18407" s="318"/>
      <c r="X18407" s="318"/>
      <c r="Y18407" s="318"/>
      <c r="Z18407" s="318"/>
      <c r="AA18407" s="318"/>
      <c r="AB18407" s="318"/>
      <c r="AC18407" s="318"/>
      <c r="AD18407" s="318"/>
    </row>
    <row r="18408" spans="2:30" s="323" customFormat="1" ht="12" customHeight="1">
      <c r="B18408" s="324"/>
      <c r="C18408" s="325"/>
      <c r="D18408" s="326"/>
      <c r="E18408" s="326"/>
      <c r="F18408" s="326"/>
      <c r="G18408" s="326"/>
      <c r="H18408" s="326"/>
      <c r="P18408" s="318"/>
      <c r="Q18408" s="318"/>
      <c r="R18408" s="318"/>
      <c r="S18408" s="318"/>
      <c r="T18408" s="318"/>
      <c r="U18408" s="318"/>
      <c r="V18408" s="318"/>
      <c r="W18408" s="318"/>
      <c r="X18408" s="318"/>
      <c r="Y18408" s="318"/>
      <c r="Z18408" s="318"/>
      <c r="AA18408" s="318"/>
      <c r="AB18408" s="318"/>
      <c r="AC18408" s="318"/>
      <c r="AD18408" s="318"/>
    </row>
    <row r="18409" spans="2:30" s="323" customFormat="1" ht="12" customHeight="1">
      <c r="B18409" s="324"/>
      <c r="C18409" s="325"/>
      <c r="D18409" s="326"/>
      <c r="E18409" s="326"/>
      <c r="F18409" s="326"/>
      <c r="G18409" s="326"/>
      <c r="H18409" s="326"/>
      <c r="P18409" s="318"/>
      <c r="Q18409" s="318"/>
      <c r="R18409" s="318"/>
      <c r="S18409" s="318"/>
      <c r="T18409" s="318"/>
      <c r="U18409" s="318"/>
      <c r="V18409" s="318"/>
      <c r="W18409" s="318"/>
      <c r="X18409" s="318"/>
      <c r="Y18409" s="318"/>
      <c r="Z18409" s="318"/>
      <c r="AA18409" s="318"/>
      <c r="AB18409" s="318"/>
      <c r="AC18409" s="318"/>
      <c r="AD18409" s="318"/>
    </row>
    <row r="18410" spans="2:30" s="323" customFormat="1" ht="12" customHeight="1">
      <c r="B18410" s="324"/>
      <c r="C18410" s="325"/>
      <c r="D18410" s="326"/>
      <c r="E18410" s="326"/>
      <c r="F18410" s="326"/>
      <c r="G18410" s="326"/>
      <c r="H18410" s="326"/>
      <c r="P18410" s="318"/>
      <c r="Q18410" s="318"/>
      <c r="R18410" s="318"/>
      <c r="S18410" s="318"/>
      <c r="T18410" s="318"/>
      <c r="U18410" s="318"/>
      <c r="V18410" s="318"/>
      <c r="W18410" s="318"/>
      <c r="X18410" s="318"/>
      <c r="Y18410" s="318"/>
      <c r="Z18410" s="318"/>
      <c r="AA18410" s="318"/>
      <c r="AB18410" s="318"/>
      <c r="AC18410" s="318"/>
      <c r="AD18410" s="318"/>
    </row>
    <row r="18411" spans="2:30" s="323" customFormat="1" ht="12" customHeight="1">
      <c r="B18411" s="324"/>
      <c r="C18411" s="325"/>
      <c r="D18411" s="326"/>
      <c r="E18411" s="326"/>
      <c r="F18411" s="326"/>
      <c r="G18411" s="326"/>
      <c r="H18411" s="326"/>
      <c r="P18411" s="318"/>
      <c r="Q18411" s="318"/>
      <c r="R18411" s="318"/>
      <c r="S18411" s="318"/>
      <c r="T18411" s="318"/>
      <c r="U18411" s="318"/>
      <c r="V18411" s="318"/>
      <c r="W18411" s="318"/>
      <c r="X18411" s="318"/>
      <c r="Y18411" s="318"/>
      <c r="Z18411" s="318"/>
      <c r="AA18411" s="318"/>
      <c r="AB18411" s="318"/>
      <c r="AC18411" s="318"/>
      <c r="AD18411" s="318"/>
    </row>
    <row r="18412" spans="2:30" s="323" customFormat="1" ht="12" customHeight="1">
      <c r="B18412" s="324"/>
      <c r="C18412" s="325"/>
      <c r="D18412" s="326"/>
      <c r="E18412" s="326"/>
      <c r="F18412" s="326"/>
      <c r="G18412" s="326"/>
      <c r="H18412" s="326"/>
      <c r="P18412" s="318"/>
      <c r="Q18412" s="318"/>
      <c r="R18412" s="318"/>
      <c r="S18412" s="318"/>
      <c r="T18412" s="318"/>
      <c r="U18412" s="318"/>
      <c r="V18412" s="318"/>
      <c r="W18412" s="318"/>
      <c r="X18412" s="318"/>
      <c r="Y18412" s="318"/>
      <c r="Z18412" s="318"/>
      <c r="AA18412" s="318"/>
      <c r="AB18412" s="318"/>
      <c r="AC18412" s="318"/>
      <c r="AD18412" s="318"/>
    </row>
    <row r="18413" spans="2:30" s="323" customFormat="1" ht="12" customHeight="1">
      <c r="B18413" s="324"/>
      <c r="C18413" s="325"/>
      <c r="D18413" s="326"/>
      <c r="E18413" s="326"/>
      <c r="F18413" s="326"/>
      <c r="G18413" s="326"/>
      <c r="H18413" s="326"/>
      <c r="P18413" s="318"/>
      <c r="Q18413" s="318"/>
      <c r="R18413" s="318"/>
      <c r="S18413" s="318"/>
      <c r="T18413" s="318"/>
      <c r="U18413" s="318"/>
      <c r="V18413" s="318"/>
      <c r="W18413" s="318"/>
      <c r="X18413" s="318"/>
      <c r="Y18413" s="318"/>
      <c r="Z18413" s="318"/>
      <c r="AA18413" s="318"/>
      <c r="AB18413" s="318"/>
      <c r="AC18413" s="318"/>
      <c r="AD18413" s="318"/>
    </row>
    <row r="18414" spans="2:30" s="323" customFormat="1" ht="12" customHeight="1">
      <c r="B18414" s="324"/>
      <c r="C18414" s="325"/>
      <c r="D18414" s="326"/>
      <c r="E18414" s="326"/>
      <c r="F18414" s="326"/>
      <c r="G18414" s="326"/>
      <c r="H18414" s="326"/>
      <c r="P18414" s="318"/>
      <c r="Q18414" s="318"/>
      <c r="R18414" s="318"/>
      <c r="S18414" s="318"/>
      <c r="T18414" s="318"/>
      <c r="U18414" s="318"/>
      <c r="V18414" s="318"/>
      <c r="W18414" s="318"/>
      <c r="X18414" s="318"/>
      <c r="Y18414" s="318"/>
      <c r="Z18414" s="318"/>
      <c r="AA18414" s="318"/>
      <c r="AB18414" s="318"/>
      <c r="AC18414" s="318"/>
      <c r="AD18414" s="318"/>
    </row>
    <row r="18415" spans="2:30" s="323" customFormat="1" ht="12" customHeight="1">
      <c r="B18415" s="324"/>
      <c r="C18415" s="325"/>
      <c r="D18415" s="326"/>
      <c r="E18415" s="326"/>
      <c r="F18415" s="326"/>
      <c r="G18415" s="326"/>
      <c r="H18415" s="326"/>
      <c r="P18415" s="318"/>
      <c r="Q18415" s="318"/>
      <c r="R18415" s="318"/>
      <c r="S18415" s="318"/>
      <c r="T18415" s="318"/>
      <c r="U18415" s="318"/>
      <c r="V18415" s="318"/>
      <c r="W18415" s="318"/>
      <c r="X18415" s="318"/>
      <c r="Y18415" s="318"/>
      <c r="Z18415" s="318"/>
      <c r="AA18415" s="318"/>
      <c r="AB18415" s="318"/>
      <c r="AC18415" s="318"/>
      <c r="AD18415" s="318"/>
    </row>
    <row r="18416" spans="2:30" s="323" customFormat="1" ht="12" customHeight="1">
      <c r="B18416" s="324"/>
      <c r="C18416" s="325"/>
      <c r="D18416" s="326"/>
      <c r="E18416" s="326"/>
      <c r="F18416" s="326"/>
      <c r="G18416" s="326"/>
      <c r="H18416" s="326"/>
      <c r="P18416" s="318"/>
      <c r="Q18416" s="318"/>
      <c r="R18416" s="318"/>
      <c r="S18416" s="318"/>
      <c r="T18416" s="318"/>
      <c r="U18416" s="318"/>
      <c r="V18416" s="318"/>
      <c r="W18416" s="318"/>
      <c r="X18416" s="318"/>
      <c r="Y18416" s="318"/>
      <c r="Z18416" s="318"/>
      <c r="AA18416" s="318"/>
      <c r="AB18416" s="318"/>
      <c r="AC18416" s="318"/>
      <c r="AD18416" s="318"/>
    </row>
    <row r="18417" spans="2:30" s="323" customFormat="1" ht="12" customHeight="1">
      <c r="B18417" s="324"/>
      <c r="C18417" s="325"/>
      <c r="D18417" s="326"/>
      <c r="E18417" s="326"/>
      <c r="F18417" s="326"/>
      <c r="G18417" s="326"/>
      <c r="H18417" s="326"/>
      <c r="P18417" s="318"/>
      <c r="Q18417" s="318"/>
      <c r="R18417" s="318"/>
      <c r="S18417" s="318"/>
      <c r="T18417" s="318"/>
      <c r="U18417" s="318"/>
      <c r="V18417" s="318"/>
      <c r="W18417" s="318"/>
      <c r="X18417" s="318"/>
      <c r="Y18417" s="318"/>
      <c r="Z18417" s="318"/>
      <c r="AA18417" s="318"/>
      <c r="AB18417" s="318"/>
      <c r="AC18417" s="318"/>
      <c r="AD18417" s="318"/>
    </row>
    <row r="18418" spans="2:30" s="323" customFormat="1" ht="12" customHeight="1">
      <c r="B18418" s="324"/>
      <c r="C18418" s="325"/>
      <c r="D18418" s="326"/>
      <c r="E18418" s="326"/>
      <c r="F18418" s="326"/>
      <c r="G18418" s="326"/>
      <c r="H18418" s="326"/>
      <c r="P18418" s="318"/>
      <c r="Q18418" s="318"/>
      <c r="R18418" s="318"/>
      <c r="S18418" s="318"/>
      <c r="T18418" s="318"/>
      <c r="U18418" s="318"/>
      <c r="V18418" s="318"/>
      <c r="W18418" s="318"/>
      <c r="X18418" s="318"/>
      <c r="Y18418" s="318"/>
      <c r="Z18418" s="318"/>
      <c r="AA18418" s="318"/>
      <c r="AB18418" s="318"/>
      <c r="AC18418" s="318"/>
      <c r="AD18418" s="318"/>
    </row>
    <row r="18419" spans="2:30" s="323" customFormat="1" ht="12" customHeight="1">
      <c r="B18419" s="324"/>
      <c r="C18419" s="325"/>
      <c r="D18419" s="326"/>
      <c r="E18419" s="326"/>
      <c r="F18419" s="326"/>
      <c r="G18419" s="326"/>
      <c r="H18419" s="326"/>
      <c r="P18419" s="318"/>
      <c r="Q18419" s="318"/>
      <c r="R18419" s="318"/>
      <c r="S18419" s="318"/>
      <c r="T18419" s="318"/>
      <c r="U18419" s="318"/>
      <c r="V18419" s="318"/>
      <c r="W18419" s="318"/>
      <c r="X18419" s="318"/>
      <c r="Y18419" s="318"/>
      <c r="Z18419" s="318"/>
      <c r="AA18419" s="318"/>
      <c r="AB18419" s="318"/>
      <c r="AC18419" s="318"/>
      <c r="AD18419" s="318"/>
    </row>
    <row r="18420" spans="2:30" s="323" customFormat="1" ht="12" customHeight="1">
      <c r="B18420" s="324"/>
      <c r="C18420" s="325"/>
      <c r="D18420" s="326"/>
      <c r="E18420" s="326"/>
      <c r="F18420" s="326"/>
      <c r="G18420" s="326"/>
      <c r="H18420" s="326"/>
      <c r="P18420" s="318"/>
      <c r="Q18420" s="318"/>
      <c r="R18420" s="318"/>
      <c r="S18420" s="318"/>
      <c r="T18420" s="318"/>
      <c r="U18420" s="318"/>
      <c r="V18420" s="318"/>
      <c r="W18420" s="318"/>
      <c r="X18420" s="318"/>
      <c r="Y18420" s="318"/>
      <c r="Z18420" s="318"/>
      <c r="AA18420" s="318"/>
      <c r="AB18420" s="318"/>
      <c r="AC18420" s="318"/>
      <c r="AD18420" s="318"/>
    </row>
    <row r="18421" spans="2:30" s="323" customFormat="1" ht="12" customHeight="1">
      <c r="B18421" s="324"/>
      <c r="C18421" s="325"/>
      <c r="D18421" s="326"/>
      <c r="E18421" s="326"/>
      <c r="F18421" s="326"/>
      <c r="G18421" s="326"/>
      <c r="H18421" s="326"/>
      <c r="P18421" s="318"/>
      <c r="Q18421" s="318"/>
      <c r="R18421" s="318"/>
      <c r="S18421" s="318"/>
      <c r="T18421" s="318"/>
      <c r="U18421" s="318"/>
      <c r="V18421" s="318"/>
      <c r="W18421" s="318"/>
      <c r="X18421" s="318"/>
      <c r="Y18421" s="318"/>
      <c r="Z18421" s="318"/>
      <c r="AA18421" s="318"/>
      <c r="AB18421" s="318"/>
      <c r="AC18421" s="318"/>
      <c r="AD18421" s="318"/>
    </row>
    <row r="18422" spans="2:30" s="323" customFormat="1" ht="12" customHeight="1">
      <c r="B18422" s="324"/>
      <c r="C18422" s="325"/>
      <c r="D18422" s="326"/>
      <c r="E18422" s="326"/>
      <c r="F18422" s="326"/>
      <c r="G18422" s="326"/>
      <c r="H18422" s="326"/>
      <c r="P18422" s="318"/>
      <c r="Q18422" s="318"/>
      <c r="R18422" s="318"/>
      <c r="S18422" s="318"/>
      <c r="T18422" s="318"/>
      <c r="U18422" s="318"/>
      <c r="V18422" s="318"/>
      <c r="W18422" s="318"/>
      <c r="X18422" s="318"/>
      <c r="Y18422" s="318"/>
      <c r="Z18422" s="318"/>
      <c r="AA18422" s="318"/>
      <c r="AB18422" s="318"/>
      <c r="AC18422" s="318"/>
      <c r="AD18422" s="318"/>
    </row>
    <row r="18423" spans="2:30" s="323" customFormat="1" ht="12" customHeight="1">
      <c r="B18423" s="324"/>
      <c r="C18423" s="325"/>
      <c r="D18423" s="326"/>
      <c r="E18423" s="326"/>
      <c r="F18423" s="326"/>
      <c r="G18423" s="326"/>
      <c r="H18423" s="326"/>
      <c r="P18423" s="318"/>
      <c r="Q18423" s="318"/>
      <c r="R18423" s="318"/>
      <c r="S18423" s="318"/>
      <c r="T18423" s="318"/>
      <c r="U18423" s="318"/>
      <c r="V18423" s="318"/>
      <c r="W18423" s="318"/>
      <c r="X18423" s="318"/>
      <c r="Y18423" s="318"/>
      <c r="Z18423" s="318"/>
      <c r="AA18423" s="318"/>
      <c r="AB18423" s="318"/>
      <c r="AC18423" s="318"/>
      <c r="AD18423" s="318"/>
    </row>
    <row r="18424" spans="2:30" s="323" customFormat="1" ht="12" customHeight="1">
      <c r="B18424" s="324"/>
      <c r="C18424" s="325"/>
      <c r="D18424" s="326"/>
      <c r="E18424" s="326"/>
      <c r="F18424" s="326"/>
      <c r="G18424" s="326"/>
      <c r="H18424" s="326"/>
      <c r="P18424" s="318"/>
      <c r="Q18424" s="318"/>
      <c r="R18424" s="318"/>
      <c r="S18424" s="318"/>
      <c r="T18424" s="318"/>
      <c r="U18424" s="318"/>
      <c r="V18424" s="318"/>
      <c r="W18424" s="318"/>
      <c r="X18424" s="318"/>
      <c r="Y18424" s="318"/>
      <c r="Z18424" s="318"/>
      <c r="AA18424" s="318"/>
      <c r="AB18424" s="318"/>
      <c r="AC18424" s="318"/>
      <c r="AD18424" s="318"/>
    </row>
    <row r="18425" spans="2:30" s="323" customFormat="1" ht="12" customHeight="1">
      <c r="B18425" s="324"/>
      <c r="C18425" s="325"/>
      <c r="D18425" s="326"/>
      <c r="E18425" s="326"/>
      <c r="F18425" s="326"/>
      <c r="G18425" s="326"/>
      <c r="H18425" s="326"/>
      <c r="P18425" s="318"/>
      <c r="Q18425" s="318"/>
      <c r="R18425" s="318"/>
      <c r="S18425" s="318"/>
      <c r="T18425" s="318"/>
      <c r="U18425" s="318"/>
      <c r="V18425" s="318"/>
      <c r="W18425" s="318"/>
      <c r="X18425" s="318"/>
      <c r="Y18425" s="318"/>
      <c r="Z18425" s="318"/>
      <c r="AA18425" s="318"/>
      <c r="AB18425" s="318"/>
      <c r="AC18425" s="318"/>
      <c r="AD18425" s="318"/>
    </row>
    <row r="18426" spans="2:30" s="323" customFormat="1" ht="12" customHeight="1">
      <c r="B18426" s="324"/>
      <c r="C18426" s="325"/>
      <c r="D18426" s="326"/>
      <c r="E18426" s="326"/>
      <c r="F18426" s="326"/>
      <c r="G18426" s="326"/>
      <c r="H18426" s="326"/>
      <c r="P18426" s="318"/>
      <c r="Q18426" s="318"/>
      <c r="R18426" s="318"/>
      <c r="S18426" s="318"/>
      <c r="T18426" s="318"/>
      <c r="U18426" s="318"/>
      <c r="V18426" s="318"/>
      <c r="W18426" s="318"/>
      <c r="X18426" s="318"/>
      <c r="Y18426" s="318"/>
      <c r="Z18426" s="318"/>
      <c r="AA18426" s="318"/>
      <c r="AB18426" s="318"/>
      <c r="AC18426" s="318"/>
      <c r="AD18426" s="318"/>
    </row>
    <row r="18427" spans="2:30" s="323" customFormat="1" ht="12" customHeight="1">
      <c r="B18427" s="324"/>
      <c r="C18427" s="325"/>
      <c r="D18427" s="326"/>
      <c r="E18427" s="326"/>
      <c r="F18427" s="326"/>
      <c r="G18427" s="326"/>
      <c r="H18427" s="326"/>
      <c r="P18427" s="318"/>
      <c r="Q18427" s="318"/>
      <c r="R18427" s="318"/>
      <c r="S18427" s="318"/>
      <c r="T18427" s="318"/>
      <c r="U18427" s="318"/>
      <c r="V18427" s="318"/>
      <c r="W18427" s="318"/>
      <c r="X18427" s="318"/>
      <c r="Y18427" s="318"/>
      <c r="Z18427" s="318"/>
      <c r="AA18427" s="318"/>
      <c r="AB18427" s="318"/>
      <c r="AC18427" s="318"/>
      <c r="AD18427" s="318"/>
    </row>
    <row r="18428" spans="2:30" s="323" customFormat="1" ht="12" customHeight="1">
      <c r="B18428" s="324"/>
      <c r="C18428" s="325"/>
      <c r="D18428" s="326"/>
      <c r="E18428" s="326"/>
      <c r="F18428" s="326"/>
      <c r="G18428" s="326"/>
      <c r="H18428" s="326"/>
      <c r="P18428" s="318"/>
      <c r="Q18428" s="318"/>
      <c r="R18428" s="318"/>
      <c r="S18428" s="318"/>
      <c r="T18428" s="318"/>
      <c r="U18428" s="318"/>
      <c r="V18428" s="318"/>
      <c r="W18428" s="318"/>
      <c r="X18428" s="318"/>
      <c r="Y18428" s="318"/>
      <c r="Z18428" s="318"/>
      <c r="AA18428" s="318"/>
      <c r="AB18428" s="318"/>
      <c r="AC18428" s="318"/>
      <c r="AD18428" s="318"/>
    </row>
    <row r="18429" spans="2:30" s="323" customFormat="1" ht="12" customHeight="1">
      <c r="B18429" s="324"/>
      <c r="C18429" s="325"/>
      <c r="D18429" s="326"/>
      <c r="E18429" s="326"/>
      <c r="F18429" s="326"/>
      <c r="G18429" s="326"/>
      <c r="H18429" s="326"/>
      <c r="P18429" s="318"/>
      <c r="Q18429" s="318"/>
      <c r="R18429" s="318"/>
      <c r="S18429" s="318"/>
      <c r="T18429" s="318"/>
      <c r="U18429" s="318"/>
      <c r="V18429" s="318"/>
      <c r="W18429" s="318"/>
      <c r="X18429" s="318"/>
      <c r="Y18429" s="318"/>
      <c r="Z18429" s="318"/>
      <c r="AA18429" s="318"/>
      <c r="AB18429" s="318"/>
      <c r="AC18429" s="318"/>
      <c r="AD18429" s="318"/>
    </row>
    <row r="18430" spans="2:30" s="323" customFormat="1" ht="12" customHeight="1">
      <c r="B18430" s="324"/>
      <c r="C18430" s="325"/>
      <c r="D18430" s="326"/>
      <c r="E18430" s="326"/>
      <c r="F18430" s="326"/>
      <c r="G18430" s="326"/>
      <c r="H18430" s="326"/>
      <c r="P18430" s="318"/>
      <c r="Q18430" s="318"/>
      <c r="R18430" s="318"/>
      <c r="S18430" s="318"/>
      <c r="T18430" s="318"/>
      <c r="U18430" s="318"/>
      <c r="V18430" s="318"/>
      <c r="W18430" s="318"/>
      <c r="X18430" s="318"/>
      <c r="Y18430" s="318"/>
      <c r="Z18430" s="318"/>
      <c r="AA18430" s="318"/>
      <c r="AB18430" s="318"/>
      <c r="AC18430" s="318"/>
      <c r="AD18430" s="318"/>
    </row>
    <row r="18431" spans="2:30" s="323" customFormat="1" ht="12" customHeight="1">
      <c r="B18431" s="324"/>
      <c r="C18431" s="325"/>
      <c r="D18431" s="326"/>
      <c r="E18431" s="326"/>
      <c r="F18431" s="326"/>
      <c r="G18431" s="326"/>
      <c r="H18431" s="326"/>
      <c r="P18431" s="318"/>
      <c r="Q18431" s="318"/>
      <c r="R18431" s="318"/>
      <c r="S18431" s="318"/>
      <c r="T18431" s="318"/>
      <c r="U18431" s="318"/>
      <c r="V18431" s="318"/>
      <c r="W18431" s="318"/>
      <c r="X18431" s="318"/>
      <c r="Y18431" s="318"/>
      <c r="Z18431" s="318"/>
      <c r="AA18431" s="318"/>
      <c r="AB18431" s="318"/>
      <c r="AC18431" s="318"/>
      <c r="AD18431" s="318"/>
    </row>
    <row r="18432" spans="2:30" s="323" customFormat="1" ht="12" customHeight="1">
      <c r="B18432" s="324"/>
      <c r="C18432" s="325"/>
      <c r="D18432" s="326"/>
      <c r="E18432" s="326"/>
      <c r="F18432" s="326"/>
      <c r="G18432" s="326"/>
      <c r="H18432" s="326"/>
      <c r="P18432" s="318"/>
      <c r="Q18432" s="318"/>
      <c r="R18432" s="318"/>
      <c r="S18432" s="318"/>
      <c r="T18432" s="318"/>
      <c r="U18432" s="318"/>
      <c r="V18432" s="318"/>
      <c r="W18432" s="318"/>
      <c r="X18432" s="318"/>
      <c r="Y18432" s="318"/>
      <c r="Z18432" s="318"/>
      <c r="AA18432" s="318"/>
      <c r="AB18432" s="318"/>
      <c r="AC18432" s="318"/>
      <c r="AD18432" s="318"/>
    </row>
    <row r="18433" spans="2:30" s="323" customFormat="1" ht="12" customHeight="1">
      <c r="B18433" s="324"/>
      <c r="C18433" s="325"/>
      <c r="D18433" s="326"/>
      <c r="E18433" s="326"/>
      <c r="F18433" s="326"/>
      <c r="G18433" s="326"/>
      <c r="H18433" s="326"/>
      <c r="P18433" s="318"/>
      <c r="Q18433" s="318"/>
      <c r="R18433" s="318"/>
      <c r="S18433" s="318"/>
      <c r="T18433" s="318"/>
      <c r="U18433" s="318"/>
      <c r="V18433" s="318"/>
      <c r="W18433" s="318"/>
      <c r="X18433" s="318"/>
      <c r="Y18433" s="318"/>
      <c r="Z18433" s="318"/>
      <c r="AA18433" s="318"/>
      <c r="AB18433" s="318"/>
      <c r="AC18433" s="318"/>
      <c r="AD18433" s="318"/>
    </row>
    <row r="18434" spans="2:30" s="323" customFormat="1" ht="12" customHeight="1">
      <c r="B18434" s="324"/>
      <c r="C18434" s="325"/>
      <c r="D18434" s="326"/>
      <c r="E18434" s="326"/>
      <c r="F18434" s="326"/>
      <c r="G18434" s="326"/>
      <c r="H18434" s="326"/>
      <c r="P18434" s="318"/>
      <c r="Q18434" s="318"/>
      <c r="R18434" s="318"/>
      <c r="S18434" s="318"/>
      <c r="T18434" s="318"/>
      <c r="U18434" s="318"/>
      <c r="V18434" s="318"/>
      <c r="W18434" s="318"/>
      <c r="X18434" s="318"/>
      <c r="Y18434" s="318"/>
      <c r="Z18434" s="318"/>
      <c r="AA18434" s="318"/>
      <c r="AB18434" s="318"/>
      <c r="AC18434" s="318"/>
      <c r="AD18434" s="318"/>
    </row>
    <row r="18435" spans="2:30" s="323" customFormat="1" ht="12" customHeight="1">
      <c r="B18435" s="324"/>
      <c r="C18435" s="325"/>
      <c r="D18435" s="326"/>
      <c r="E18435" s="326"/>
      <c r="F18435" s="326"/>
      <c r="G18435" s="326"/>
      <c r="H18435" s="326"/>
      <c r="P18435" s="318"/>
      <c r="Q18435" s="318"/>
      <c r="R18435" s="318"/>
      <c r="S18435" s="318"/>
      <c r="T18435" s="318"/>
      <c r="U18435" s="318"/>
      <c r="V18435" s="318"/>
      <c r="W18435" s="318"/>
      <c r="X18435" s="318"/>
      <c r="Y18435" s="318"/>
      <c r="Z18435" s="318"/>
      <c r="AA18435" s="318"/>
      <c r="AB18435" s="318"/>
      <c r="AC18435" s="318"/>
      <c r="AD18435" s="318"/>
    </row>
    <row r="18436" spans="2:30" s="323" customFormat="1" ht="12" customHeight="1">
      <c r="B18436" s="324"/>
      <c r="C18436" s="325"/>
      <c r="D18436" s="326"/>
      <c r="E18436" s="326"/>
      <c r="F18436" s="326"/>
      <c r="G18436" s="326"/>
      <c r="H18436" s="326"/>
      <c r="P18436" s="318"/>
      <c r="Q18436" s="318"/>
      <c r="R18436" s="318"/>
      <c r="S18436" s="318"/>
      <c r="T18436" s="318"/>
      <c r="U18436" s="318"/>
      <c r="V18436" s="318"/>
      <c r="W18436" s="318"/>
      <c r="X18436" s="318"/>
      <c r="Y18436" s="318"/>
      <c r="Z18436" s="318"/>
      <c r="AA18436" s="318"/>
      <c r="AB18436" s="318"/>
      <c r="AC18436" s="318"/>
      <c r="AD18436" s="318"/>
    </row>
    <row r="18437" spans="2:30" s="323" customFormat="1" ht="12" customHeight="1">
      <c r="B18437" s="324"/>
      <c r="C18437" s="325"/>
      <c r="D18437" s="326"/>
      <c r="E18437" s="326"/>
      <c r="F18437" s="326"/>
      <c r="G18437" s="326"/>
      <c r="H18437" s="326"/>
      <c r="P18437" s="318"/>
      <c r="Q18437" s="318"/>
      <c r="R18437" s="318"/>
      <c r="S18437" s="318"/>
      <c r="T18437" s="318"/>
      <c r="U18437" s="318"/>
      <c r="V18437" s="318"/>
      <c r="W18437" s="318"/>
      <c r="X18437" s="318"/>
      <c r="Y18437" s="318"/>
      <c r="Z18437" s="318"/>
      <c r="AA18437" s="318"/>
      <c r="AB18437" s="318"/>
      <c r="AC18437" s="318"/>
      <c r="AD18437" s="318"/>
    </row>
    <row r="18438" spans="2:30" s="323" customFormat="1" ht="12" customHeight="1">
      <c r="B18438" s="324"/>
      <c r="C18438" s="325"/>
      <c r="D18438" s="326"/>
      <c r="E18438" s="326"/>
      <c r="F18438" s="326"/>
      <c r="G18438" s="326"/>
      <c r="H18438" s="326"/>
      <c r="P18438" s="318"/>
      <c r="Q18438" s="318"/>
      <c r="R18438" s="318"/>
      <c r="S18438" s="318"/>
      <c r="T18438" s="318"/>
      <c r="U18438" s="318"/>
      <c r="V18438" s="318"/>
      <c r="W18438" s="318"/>
      <c r="X18438" s="318"/>
      <c r="Y18438" s="318"/>
      <c r="Z18438" s="318"/>
      <c r="AA18438" s="318"/>
      <c r="AB18438" s="318"/>
      <c r="AC18438" s="318"/>
      <c r="AD18438" s="318"/>
    </row>
    <row r="18439" spans="2:30" s="323" customFormat="1" ht="12" customHeight="1">
      <c r="B18439" s="324"/>
      <c r="C18439" s="325"/>
      <c r="D18439" s="326"/>
      <c r="E18439" s="326"/>
      <c r="F18439" s="326"/>
      <c r="G18439" s="326"/>
      <c r="H18439" s="326"/>
      <c r="P18439" s="318"/>
      <c r="Q18439" s="318"/>
      <c r="R18439" s="318"/>
      <c r="S18439" s="318"/>
      <c r="T18439" s="318"/>
      <c r="U18439" s="318"/>
      <c r="V18439" s="318"/>
      <c r="W18439" s="318"/>
      <c r="X18439" s="318"/>
      <c r="Y18439" s="318"/>
      <c r="Z18439" s="318"/>
      <c r="AA18439" s="318"/>
      <c r="AB18439" s="318"/>
      <c r="AC18439" s="318"/>
      <c r="AD18439" s="318"/>
    </row>
    <row r="18440" spans="2:30" s="323" customFormat="1" ht="12" customHeight="1">
      <c r="B18440" s="324"/>
      <c r="C18440" s="325"/>
      <c r="D18440" s="326"/>
      <c r="E18440" s="326"/>
      <c r="F18440" s="326"/>
      <c r="G18440" s="326"/>
      <c r="H18440" s="326"/>
      <c r="P18440" s="318"/>
      <c r="Q18440" s="318"/>
      <c r="R18440" s="318"/>
      <c r="S18440" s="318"/>
      <c r="T18440" s="318"/>
      <c r="U18440" s="318"/>
      <c r="V18440" s="318"/>
      <c r="W18440" s="318"/>
      <c r="X18440" s="318"/>
      <c r="Y18440" s="318"/>
      <c r="Z18440" s="318"/>
      <c r="AA18440" s="318"/>
      <c r="AB18440" s="318"/>
      <c r="AC18440" s="318"/>
      <c r="AD18440" s="318"/>
    </row>
    <row r="18441" spans="2:30" s="323" customFormat="1" ht="12" customHeight="1">
      <c r="B18441" s="324"/>
      <c r="C18441" s="325"/>
      <c r="D18441" s="326"/>
      <c r="E18441" s="326"/>
      <c r="F18441" s="326"/>
      <c r="G18441" s="326"/>
      <c r="H18441" s="326"/>
      <c r="P18441" s="318"/>
      <c r="Q18441" s="318"/>
      <c r="R18441" s="318"/>
      <c r="S18441" s="318"/>
      <c r="T18441" s="318"/>
      <c r="U18441" s="318"/>
      <c r="V18441" s="318"/>
      <c r="W18441" s="318"/>
      <c r="X18441" s="318"/>
      <c r="Y18441" s="318"/>
      <c r="Z18441" s="318"/>
      <c r="AA18441" s="318"/>
      <c r="AB18441" s="318"/>
      <c r="AC18441" s="318"/>
      <c r="AD18441" s="318"/>
    </row>
    <row r="18442" spans="2:30" s="323" customFormat="1" ht="12" customHeight="1">
      <c r="B18442" s="324"/>
      <c r="C18442" s="325"/>
      <c r="D18442" s="326"/>
      <c r="E18442" s="326"/>
      <c r="F18442" s="326"/>
      <c r="G18442" s="326"/>
      <c r="H18442" s="326"/>
      <c r="P18442" s="318"/>
      <c r="Q18442" s="318"/>
      <c r="R18442" s="318"/>
      <c r="S18442" s="318"/>
      <c r="T18442" s="318"/>
      <c r="U18442" s="318"/>
      <c r="V18442" s="318"/>
      <c r="W18442" s="318"/>
      <c r="X18442" s="318"/>
      <c r="Y18442" s="318"/>
      <c r="Z18442" s="318"/>
      <c r="AA18442" s="318"/>
      <c r="AB18442" s="318"/>
      <c r="AC18442" s="318"/>
      <c r="AD18442" s="318"/>
    </row>
    <row r="18443" spans="2:30" s="323" customFormat="1" ht="12" customHeight="1">
      <c r="B18443" s="324"/>
      <c r="C18443" s="325"/>
      <c r="D18443" s="326"/>
      <c r="E18443" s="326"/>
      <c r="F18443" s="326"/>
      <c r="G18443" s="326"/>
      <c r="H18443" s="326"/>
      <c r="P18443" s="318"/>
      <c r="Q18443" s="318"/>
      <c r="R18443" s="318"/>
      <c r="S18443" s="318"/>
      <c r="T18443" s="318"/>
      <c r="U18443" s="318"/>
      <c r="V18443" s="318"/>
      <c r="W18443" s="318"/>
      <c r="X18443" s="318"/>
      <c r="Y18443" s="318"/>
      <c r="Z18443" s="318"/>
      <c r="AA18443" s="318"/>
      <c r="AB18443" s="318"/>
      <c r="AC18443" s="318"/>
      <c r="AD18443" s="318"/>
    </row>
    <row r="18444" spans="2:30" s="323" customFormat="1" ht="12" customHeight="1">
      <c r="B18444" s="324"/>
      <c r="C18444" s="325"/>
      <c r="D18444" s="326"/>
      <c r="E18444" s="326"/>
      <c r="F18444" s="326"/>
      <c r="G18444" s="326"/>
      <c r="H18444" s="326"/>
      <c r="P18444" s="318"/>
      <c r="Q18444" s="318"/>
      <c r="R18444" s="318"/>
      <c r="S18444" s="318"/>
      <c r="T18444" s="318"/>
      <c r="U18444" s="318"/>
      <c r="V18444" s="318"/>
      <c r="W18444" s="318"/>
      <c r="X18444" s="318"/>
      <c r="Y18444" s="318"/>
      <c r="Z18444" s="318"/>
      <c r="AA18444" s="318"/>
      <c r="AB18444" s="318"/>
      <c r="AC18444" s="318"/>
      <c r="AD18444" s="318"/>
    </row>
    <row r="18445" spans="2:30" s="323" customFormat="1" ht="12" customHeight="1">
      <c r="B18445" s="324"/>
      <c r="C18445" s="325"/>
      <c r="D18445" s="326"/>
      <c r="E18445" s="326"/>
      <c r="F18445" s="326"/>
      <c r="G18445" s="326"/>
      <c r="H18445" s="326"/>
      <c r="P18445" s="318"/>
      <c r="Q18445" s="318"/>
      <c r="R18445" s="318"/>
      <c r="S18445" s="318"/>
      <c r="T18445" s="318"/>
      <c r="U18445" s="318"/>
      <c r="V18445" s="318"/>
      <c r="W18445" s="318"/>
      <c r="X18445" s="318"/>
      <c r="Y18445" s="318"/>
      <c r="Z18445" s="318"/>
      <c r="AA18445" s="318"/>
      <c r="AB18445" s="318"/>
      <c r="AC18445" s="318"/>
      <c r="AD18445" s="318"/>
    </row>
    <row r="18446" spans="2:30" s="323" customFormat="1" ht="12" customHeight="1">
      <c r="B18446" s="324"/>
      <c r="C18446" s="325"/>
      <c r="D18446" s="326"/>
      <c r="E18446" s="326"/>
      <c r="F18446" s="326"/>
      <c r="G18446" s="326"/>
      <c r="H18446" s="326"/>
      <c r="P18446" s="318"/>
      <c r="Q18446" s="318"/>
      <c r="R18446" s="318"/>
      <c r="S18446" s="318"/>
      <c r="T18446" s="318"/>
      <c r="U18446" s="318"/>
      <c r="V18446" s="318"/>
      <c r="W18446" s="318"/>
      <c r="X18446" s="318"/>
      <c r="Y18446" s="318"/>
      <c r="Z18446" s="318"/>
      <c r="AA18446" s="318"/>
      <c r="AB18446" s="318"/>
      <c r="AC18446" s="318"/>
      <c r="AD18446" s="318"/>
    </row>
    <row r="18447" spans="2:30" s="323" customFormat="1" ht="12" customHeight="1">
      <c r="B18447" s="324"/>
      <c r="C18447" s="325"/>
      <c r="D18447" s="326"/>
      <c r="E18447" s="326"/>
      <c r="F18447" s="326"/>
      <c r="G18447" s="326"/>
      <c r="H18447" s="326"/>
      <c r="P18447" s="318"/>
      <c r="Q18447" s="318"/>
      <c r="R18447" s="318"/>
      <c r="S18447" s="318"/>
      <c r="T18447" s="318"/>
      <c r="U18447" s="318"/>
      <c r="V18447" s="318"/>
      <c r="W18447" s="318"/>
      <c r="X18447" s="318"/>
      <c r="Y18447" s="318"/>
      <c r="Z18447" s="318"/>
      <c r="AA18447" s="318"/>
      <c r="AB18447" s="318"/>
      <c r="AC18447" s="318"/>
      <c r="AD18447" s="318"/>
    </row>
    <row r="18448" spans="2:30" s="323" customFormat="1" ht="12" customHeight="1">
      <c r="B18448" s="324"/>
      <c r="C18448" s="325"/>
      <c r="D18448" s="326"/>
      <c r="E18448" s="326"/>
      <c r="F18448" s="326"/>
      <c r="G18448" s="326"/>
      <c r="H18448" s="326"/>
      <c r="P18448" s="318"/>
      <c r="Q18448" s="318"/>
      <c r="R18448" s="318"/>
      <c r="S18448" s="318"/>
      <c r="T18448" s="318"/>
      <c r="U18448" s="318"/>
      <c r="V18448" s="318"/>
      <c r="W18448" s="318"/>
      <c r="X18448" s="318"/>
      <c r="Y18448" s="318"/>
      <c r="Z18448" s="318"/>
      <c r="AA18448" s="318"/>
      <c r="AB18448" s="318"/>
      <c r="AC18448" s="318"/>
      <c r="AD18448" s="318"/>
    </row>
    <row r="18449" spans="2:30" s="323" customFormat="1" ht="12" customHeight="1">
      <c r="B18449" s="324"/>
      <c r="C18449" s="325"/>
      <c r="D18449" s="326"/>
      <c r="E18449" s="326"/>
      <c r="F18449" s="326"/>
      <c r="G18449" s="326"/>
      <c r="H18449" s="326"/>
      <c r="P18449" s="318"/>
      <c r="Q18449" s="318"/>
      <c r="R18449" s="318"/>
      <c r="S18449" s="318"/>
      <c r="T18449" s="318"/>
      <c r="U18449" s="318"/>
      <c r="V18449" s="318"/>
      <c r="W18449" s="318"/>
      <c r="X18449" s="318"/>
      <c r="Y18449" s="318"/>
      <c r="Z18449" s="318"/>
      <c r="AA18449" s="318"/>
      <c r="AB18449" s="318"/>
      <c r="AC18449" s="318"/>
      <c r="AD18449" s="318"/>
    </row>
    <row r="18450" spans="2:30" s="323" customFormat="1" ht="12" customHeight="1">
      <c r="B18450" s="324"/>
      <c r="C18450" s="325"/>
      <c r="D18450" s="326"/>
      <c r="E18450" s="326"/>
      <c r="F18450" s="326"/>
      <c r="G18450" s="326"/>
      <c r="H18450" s="326"/>
      <c r="P18450" s="318"/>
      <c r="Q18450" s="318"/>
      <c r="R18450" s="318"/>
      <c r="S18450" s="318"/>
      <c r="T18450" s="318"/>
      <c r="U18450" s="318"/>
      <c r="V18450" s="318"/>
      <c r="W18450" s="318"/>
      <c r="X18450" s="318"/>
      <c r="Y18450" s="318"/>
      <c r="Z18450" s="318"/>
      <c r="AA18450" s="318"/>
      <c r="AB18450" s="318"/>
      <c r="AC18450" s="318"/>
      <c r="AD18450" s="318"/>
    </row>
    <row r="18451" spans="2:30" s="323" customFormat="1" ht="12" customHeight="1">
      <c r="B18451" s="324"/>
      <c r="C18451" s="325"/>
      <c r="D18451" s="326"/>
      <c r="E18451" s="326"/>
      <c r="F18451" s="326"/>
      <c r="G18451" s="326"/>
      <c r="H18451" s="326"/>
      <c r="P18451" s="318"/>
      <c r="Q18451" s="318"/>
      <c r="R18451" s="318"/>
      <c r="S18451" s="318"/>
      <c r="T18451" s="318"/>
      <c r="U18451" s="318"/>
      <c r="V18451" s="318"/>
      <c r="W18451" s="318"/>
      <c r="X18451" s="318"/>
      <c r="Y18451" s="318"/>
      <c r="Z18451" s="318"/>
      <c r="AA18451" s="318"/>
      <c r="AB18451" s="318"/>
      <c r="AC18451" s="318"/>
      <c r="AD18451" s="318"/>
    </row>
    <row r="18452" spans="2:30" s="323" customFormat="1" ht="12" customHeight="1">
      <c r="B18452" s="324"/>
      <c r="C18452" s="325"/>
      <c r="D18452" s="326"/>
      <c r="E18452" s="326"/>
      <c r="F18452" s="326"/>
      <c r="G18452" s="326"/>
      <c r="H18452" s="326"/>
      <c r="P18452" s="318"/>
      <c r="Q18452" s="318"/>
      <c r="R18452" s="318"/>
      <c r="S18452" s="318"/>
      <c r="T18452" s="318"/>
      <c r="U18452" s="318"/>
      <c r="V18452" s="318"/>
      <c r="W18452" s="318"/>
      <c r="X18452" s="318"/>
      <c r="Y18452" s="318"/>
      <c r="Z18452" s="318"/>
      <c r="AA18452" s="318"/>
      <c r="AB18452" s="318"/>
      <c r="AC18452" s="318"/>
      <c r="AD18452" s="318"/>
    </row>
    <row r="18453" spans="2:30" s="323" customFormat="1" ht="12" customHeight="1">
      <c r="B18453" s="324"/>
      <c r="C18453" s="325"/>
      <c r="D18453" s="326"/>
      <c r="E18453" s="326"/>
      <c r="F18453" s="326"/>
      <c r="G18453" s="326"/>
      <c r="H18453" s="326"/>
      <c r="P18453" s="318"/>
      <c r="Q18453" s="318"/>
      <c r="R18453" s="318"/>
      <c r="S18453" s="318"/>
      <c r="T18453" s="318"/>
      <c r="U18453" s="318"/>
      <c r="V18453" s="318"/>
      <c r="W18453" s="318"/>
      <c r="X18453" s="318"/>
      <c r="Y18453" s="318"/>
      <c r="Z18453" s="318"/>
      <c r="AA18453" s="318"/>
      <c r="AB18453" s="318"/>
      <c r="AC18453" s="318"/>
      <c r="AD18453" s="318"/>
    </row>
    <row r="18454" spans="2:30" s="323" customFormat="1" ht="12" customHeight="1">
      <c r="B18454" s="324"/>
      <c r="C18454" s="325"/>
      <c r="D18454" s="326"/>
      <c r="E18454" s="326"/>
      <c r="F18454" s="326"/>
      <c r="G18454" s="326"/>
      <c r="H18454" s="326"/>
      <c r="P18454" s="318"/>
      <c r="Q18454" s="318"/>
      <c r="R18454" s="318"/>
      <c r="S18454" s="318"/>
      <c r="T18454" s="318"/>
      <c r="U18454" s="318"/>
      <c r="V18454" s="318"/>
      <c r="W18454" s="318"/>
      <c r="X18454" s="318"/>
      <c r="Y18454" s="318"/>
      <c r="Z18454" s="318"/>
      <c r="AA18454" s="318"/>
      <c r="AB18454" s="318"/>
      <c r="AC18454" s="318"/>
      <c r="AD18454" s="318"/>
    </row>
    <row r="18455" spans="2:30" s="323" customFormat="1" ht="12" customHeight="1">
      <c r="B18455" s="324"/>
      <c r="C18455" s="325"/>
      <c r="D18455" s="326"/>
      <c r="E18455" s="326"/>
      <c r="F18455" s="326"/>
      <c r="G18455" s="326"/>
      <c r="H18455" s="326"/>
      <c r="P18455" s="318"/>
      <c r="Q18455" s="318"/>
      <c r="R18455" s="318"/>
      <c r="S18455" s="318"/>
      <c r="T18455" s="318"/>
      <c r="U18455" s="318"/>
      <c r="V18455" s="318"/>
      <c r="W18455" s="318"/>
      <c r="X18455" s="318"/>
      <c r="Y18455" s="318"/>
      <c r="Z18455" s="318"/>
      <c r="AA18455" s="318"/>
      <c r="AB18455" s="318"/>
      <c r="AC18455" s="318"/>
      <c r="AD18455" s="318"/>
    </row>
    <row r="18456" spans="2:30" s="323" customFormat="1" ht="12" customHeight="1">
      <c r="B18456" s="324"/>
      <c r="C18456" s="325"/>
      <c r="D18456" s="326"/>
      <c r="E18456" s="326"/>
      <c r="F18456" s="326"/>
      <c r="G18456" s="326"/>
      <c r="H18456" s="326"/>
      <c r="P18456" s="318"/>
      <c r="Q18456" s="318"/>
      <c r="R18456" s="318"/>
      <c r="S18456" s="318"/>
      <c r="T18456" s="318"/>
      <c r="U18456" s="318"/>
      <c r="V18456" s="318"/>
      <c r="W18456" s="318"/>
      <c r="X18456" s="318"/>
      <c r="Y18456" s="318"/>
      <c r="Z18456" s="318"/>
      <c r="AA18456" s="318"/>
      <c r="AB18456" s="318"/>
      <c r="AC18456" s="318"/>
      <c r="AD18456" s="318"/>
    </row>
    <row r="18457" spans="2:30" s="323" customFormat="1" ht="12" customHeight="1">
      <c r="B18457" s="324"/>
      <c r="C18457" s="325"/>
      <c r="D18457" s="326"/>
      <c r="E18457" s="326"/>
      <c r="F18457" s="326"/>
      <c r="G18457" s="326"/>
      <c r="H18457" s="326"/>
      <c r="P18457" s="318"/>
      <c r="Q18457" s="318"/>
      <c r="R18457" s="318"/>
      <c r="S18457" s="318"/>
      <c r="T18457" s="318"/>
      <c r="U18457" s="318"/>
      <c r="V18457" s="318"/>
      <c r="W18457" s="318"/>
      <c r="X18457" s="318"/>
      <c r="Y18457" s="318"/>
      <c r="Z18457" s="318"/>
      <c r="AA18457" s="318"/>
      <c r="AB18457" s="318"/>
      <c r="AC18457" s="318"/>
      <c r="AD18457" s="318"/>
    </row>
    <row r="18458" spans="2:30" s="323" customFormat="1" ht="12" customHeight="1">
      <c r="B18458" s="324"/>
      <c r="C18458" s="325"/>
      <c r="D18458" s="326"/>
      <c r="E18458" s="326"/>
      <c r="F18458" s="326"/>
      <c r="G18458" s="326"/>
      <c r="H18458" s="326"/>
      <c r="P18458" s="318"/>
      <c r="Q18458" s="318"/>
      <c r="R18458" s="318"/>
      <c r="S18458" s="318"/>
      <c r="T18458" s="318"/>
      <c r="U18458" s="318"/>
      <c r="V18458" s="318"/>
      <c r="W18458" s="318"/>
      <c r="X18458" s="318"/>
      <c r="Y18458" s="318"/>
      <c r="Z18458" s="318"/>
      <c r="AA18458" s="318"/>
      <c r="AB18458" s="318"/>
      <c r="AC18458" s="318"/>
      <c r="AD18458" s="318"/>
    </row>
    <row r="18459" spans="2:30" s="323" customFormat="1" ht="12" customHeight="1">
      <c r="B18459" s="324"/>
      <c r="C18459" s="325"/>
      <c r="D18459" s="326"/>
      <c r="E18459" s="326"/>
      <c r="F18459" s="326"/>
      <c r="G18459" s="326"/>
      <c r="H18459" s="326"/>
      <c r="P18459" s="318"/>
      <c r="Q18459" s="318"/>
      <c r="R18459" s="318"/>
      <c r="S18459" s="318"/>
      <c r="T18459" s="318"/>
      <c r="U18459" s="318"/>
      <c r="V18459" s="318"/>
      <c r="W18459" s="318"/>
      <c r="X18459" s="318"/>
      <c r="Y18459" s="318"/>
      <c r="Z18459" s="318"/>
      <c r="AA18459" s="318"/>
      <c r="AB18459" s="318"/>
      <c r="AC18459" s="318"/>
      <c r="AD18459" s="318"/>
    </row>
    <row r="18460" spans="2:30" s="323" customFormat="1" ht="12" customHeight="1">
      <c r="B18460" s="324"/>
      <c r="C18460" s="325"/>
      <c r="D18460" s="326"/>
      <c r="E18460" s="326"/>
      <c r="F18460" s="326"/>
      <c r="G18460" s="326"/>
      <c r="H18460" s="326"/>
      <c r="P18460" s="318"/>
      <c r="Q18460" s="318"/>
      <c r="R18460" s="318"/>
      <c r="S18460" s="318"/>
      <c r="T18460" s="318"/>
      <c r="U18460" s="318"/>
      <c r="V18460" s="318"/>
      <c r="W18460" s="318"/>
      <c r="X18460" s="318"/>
      <c r="Y18460" s="318"/>
      <c r="Z18460" s="318"/>
      <c r="AA18460" s="318"/>
      <c r="AB18460" s="318"/>
      <c r="AC18460" s="318"/>
      <c r="AD18460" s="318"/>
    </row>
    <row r="18461" spans="2:30" s="323" customFormat="1" ht="12" customHeight="1">
      <c r="B18461" s="324"/>
      <c r="C18461" s="325"/>
      <c r="D18461" s="326"/>
      <c r="E18461" s="326"/>
      <c r="F18461" s="326"/>
      <c r="G18461" s="326"/>
      <c r="H18461" s="326"/>
      <c r="P18461" s="318"/>
      <c r="Q18461" s="318"/>
      <c r="R18461" s="318"/>
      <c r="S18461" s="318"/>
      <c r="T18461" s="318"/>
      <c r="U18461" s="318"/>
      <c r="V18461" s="318"/>
      <c r="W18461" s="318"/>
      <c r="X18461" s="318"/>
      <c r="Y18461" s="318"/>
      <c r="Z18461" s="318"/>
      <c r="AA18461" s="318"/>
      <c r="AB18461" s="318"/>
      <c r="AC18461" s="318"/>
      <c r="AD18461" s="318"/>
    </row>
    <row r="18462" spans="2:30" s="323" customFormat="1" ht="12" customHeight="1">
      <c r="B18462" s="324"/>
      <c r="C18462" s="325"/>
      <c r="D18462" s="326"/>
      <c r="E18462" s="326"/>
      <c r="F18462" s="326"/>
      <c r="G18462" s="326"/>
      <c r="H18462" s="326"/>
      <c r="P18462" s="318"/>
      <c r="Q18462" s="318"/>
      <c r="R18462" s="318"/>
      <c r="S18462" s="318"/>
      <c r="T18462" s="318"/>
      <c r="U18462" s="318"/>
      <c r="V18462" s="318"/>
      <c r="W18462" s="318"/>
      <c r="X18462" s="318"/>
      <c r="Y18462" s="318"/>
      <c r="Z18462" s="318"/>
      <c r="AA18462" s="318"/>
      <c r="AB18462" s="318"/>
      <c r="AC18462" s="318"/>
      <c r="AD18462" s="318"/>
    </row>
    <row r="18463" spans="2:30" s="323" customFormat="1" ht="12" customHeight="1">
      <c r="B18463" s="324"/>
      <c r="C18463" s="325"/>
      <c r="D18463" s="326"/>
      <c r="E18463" s="326"/>
      <c r="F18463" s="326"/>
      <c r="G18463" s="326"/>
      <c r="H18463" s="326"/>
      <c r="P18463" s="318"/>
      <c r="Q18463" s="318"/>
      <c r="R18463" s="318"/>
      <c r="S18463" s="318"/>
      <c r="T18463" s="318"/>
      <c r="U18463" s="318"/>
      <c r="V18463" s="318"/>
      <c r="W18463" s="318"/>
      <c r="X18463" s="318"/>
      <c r="Y18463" s="318"/>
      <c r="Z18463" s="318"/>
      <c r="AA18463" s="318"/>
      <c r="AB18463" s="318"/>
      <c r="AC18463" s="318"/>
      <c r="AD18463" s="318"/>
    </row>
    <row r="18464" spans="2:30" s="323" customFormat="1" ht="12" customHeight="1">
      <c r="B18464" s="324"/>
      <c r="C18464" s="325"/>
      <c r="D18464" s="326"/>
      <c r="E18464" s="326"/>
      <c r="F18464" s="326"/>
      <c r="G18464" s="326"/>
      <c r="H18464" s="326"/>
      <c r="P18464" s="318"/>
      <c r="Q18464" s="318"/>
      <c r="R18464" s="318"/>
      <c r="S18464" s="318"/>
      <c r="T18464" s="318"/>
      <c r="U18464" s="318"/>
      <c r="V18464" s="318"/>
      <c r="W18464" s="318"/>
      <c r="X18464" s="318"/>
      <c r="Y18464" s="318"/>
      <c r="Z18464" s="318"/>
      <c r="AA18464" s="318"/>
      <c r="AB18464" s="318"/>
      <c r="AC18464" s="318"/>
      <c r="AD18464" s="318"/>
    </row>
    <row r="18465" spans="2:30" s="323" customFormat="1" ht="12" customHeight="1">
      <c r="B18465" s="324"/>
      <c r="C18465" s="325"/>
      <c r="D18465" s="326"/>
      <c r="E18465" s="326"/>
      <c r="F18465" s="326"/>
      <c r="G18465" s="326"/>
      <c r="H18465" s="326"/>
      <c r="P18465" s="318"/>
      <c r="Q18465" s="318"/>
      <c r="R18465" s="318"/>
      <c r="S18465" s="318"/>
      <c r="T18465" s="318"/>
      <c r="U18465" s="318"/>
      <c r="V18465" s="318"/>
      <c r="W18465" s="318"/>
      <c r="X18465" s="318"/>
      <c r="Y18465" s="318"/>
      <c r="Z18465" s="318"/>
      <c r="AA18465" s="318"/>
      <c r="AB18465" s="318"/>
      <c r="AC18465" s="318"/>
      <c r="AD18465" s="318"/>
    </row>
    <row r="18466" spans="2:30" s="323" customFormat="1" ht="12" customHeight="1">
      <c r="B18466" s="324"/>
      <c r="C18466" s="325"/>
      <c r="D18466" s="326"/>
      <c r="E18466" s="326"/>
      <c r="F18466" s="326"/>
      <c r="G18466" s="326"/>
      <c r="H18466" s="326"/>
      <c r="P18466" s="318"/>
      <c r="Q18466" s="318"/>
      <c r="R18466" s="318"/>
      <c r="S18466" s="318"/>
      <c r="T18466" s="318"/>
      <c r="U18466" s="318"/>
      <c r="V18466" s="318"/>
      <c r="W18466" s="318"/>
      <c r="X18466" s="318"/>
      <c r="Y18466" s="318"/>
      <c r="Z18466" s="318"/>
      <c r="AA18466" s="318"/>
      <c r="AB18466" s="318"/>
      <c r="AC18466" s="318"/>
      <c r="AD18466" s="318"/>
    </row>
    <row r="18467" spans="2:30" s="323" customFormat="1" ht="12" customHeight="1">
      <c r="B18467" s="324"/>
      <c r="C18467" s="325"/>
      <c r="D18467" s="326"/>
      <c r="E18467" s="326"/>
      <c r="F18467" s="326"/>
      <c r="G18467" s="326"/>
      <c r="H18467" s="326"/>
      <c r="P18467" s="318"/>
      <c r="Q18467" s="318"/>
      <c r="R18467" s="318"/>
      <c r="S18467" s="318"/>
      <c r="T18467" s="318"/>
      <c r="U18467" s="318"/>
      <c r="V18467" s="318"/>
      <c r="W18467" s="318"/>
      <c r="X18467" s="318"/>
      <c r="Y18467" s="318"/>
      <c r="Z18467" s="318"/>
      <c r="AA18467" s="318"/>
      <c r="AB18467" s="318"/>
      <c r="AC18467" s="318"/>
      <c r="AD18467" s="318"/>
    </row>
    <row r="18468" spans="2:30" s="323" customFormat="1" ht="12" customHeight="1">
      <c r="B18468" s="324"/>
      <c r="C18468" s="325"/>
      <c r="D18468" s="326"/>
      <c r="E18468" s="326"/>
      <c r="F18468" s="326"/>
      <c r="G18468" s="326"/>
      <c r="H18468" s="326"/>
      <c r="P18468" s="318"/>
      <c r="Q18468" s="318"/>
      <c r="R18468" s="318"/>
      <c r="S18468" s="318"/>
      <c r="T18468" s="318"/>
      <c r="U18468" s="318"/>
      <c r="V18468" s="318"/>
      <c r="W18468" s="318"/>
      <c r="X18468" s="318"/>
      <c r="Y18468" s="318"/>
      <c r="Z18468" s="318"/>
      <c r="AA18468" s="318"/>
      <c r="AB18468" s="318"/>
      <c r="AC18468" s="318"/>
      <c r="AD18468" s="318"/>
    </row>
    <row r="18469" spans="2:30" s="323" customFormat="1" ht="12" customHeight="1">
      <c r="B18469" s="324"/>
      <c r="C18469" s="325"/>
      <c r="D18469" s="326"/>
      <c r="E18469" s="326"/>
      <c r="F18469" s="326"/>
      <c r="G18469" s="326"/>
      <c r="H18469" s="326"/>
      <c r="P18469" s="318"/>
      <c r="Q18469" s="318"/>
      <c r="R18469" s="318"/>
      <c r="S18469" s="318"/>
      <c r="T18469" s="318"/>
      <c r="U18469" s="318"/>
      <c r="V18469" s="318"/>
      <c r="W18469" s="318"/>
      <c r="X18469" s="318"/>
      <c r="Y18469" s="318"/>
      <c r="Z18469" s="318"/>
      <c r="AA18469" s="318"/>
      <c r="AB18469" s="318"/>
      <c r="AC18469" s="318"/>
      <c r="AD18469" s="318"/>
    </row>
    <row r="18470" spans="2:30" s="323" customFormat="1" ht="12" customHeight="1">
      <c r="B18470" s="324"/>
      <c r="C18470" s="325"/>
      <c r="D18470" s="326"/>
      <c r="E18470" s="326"/>
      <c r="F18470" s="326"/>
      <c r="G18470" s="326"/>
      <c r="H18470" s="326"/>
      <c r="P18470" s="318"/>
      <c r="Q18470" s="318"/>
      <c r="R18470" s="318"/>
      <c r="S18470" s="318"/>
      <c r="T18470" s="318"/>
      <c r="U18470" s="318"/>
      <c r="V18470" s="318"/>
      <c r="W18470" s="318"/>
      <c r="X18470" s="318"/>
      <c r="Y18470" s="318"/>
      <c r="Z18470" s="318"/>
      <c r="AA18470" s="318"/>
      <c r="AB18470" s="318"/>
      <c r="AC18470" s="318"/>
      <c r="AD18470" s="318"/>
    </row>
    <row r="18471" spans="2:30" s="323" customFormat="1" ht="12" customHeight="1">
      <c r="B18471" s="324"/>
      <c r="C18471" s="325"/>
      <c r="D18471" s="326"/>
      <c r="E18471" s="326"/>
      <c r="F18471" s="326"/>
      <c r="G18471" s="326"/>
      <c r="H18471" s="326"/>
      <c r="P18471" s="318"/>
      <c r="Q18471" s="318"/>
      <c r="R18471" s="318"/>
      <c r="S18471" s="318"/>
      <c r="T18471" s="318"/>
      <c r="U18471" s="318"/>
      <c r="V18471" s="318"/>
      <c r="W18471" s="318"/>
      <c r="X18471" s="318"/>
      <c r="Y18471" s="318"/>
      <c r="Z18471" s="318"/>
      <c r="AA18471" s="318"/>
      <c r="AB18471" s="318"/>
      <c r="AC18471" s="318"/>
      <c r="AD18471" s="318"/>
    </row>
    <row r="18472" spans="2:30" s="323" customFormat="1" ht="12" customHeight="1">
      <c r="B18472" s="324"/>
      <c r="C18472" s="325"/>
      <c r="D18472" s="326"/>
      <c r="E18472" s="326"/>
      <c r="F18472" s="326"/>
      <c r="G18472" s="326"/>
      <c r="H18472" s="326"/>
      <c r="P18472" s="318"/>
      <c r="Q18472" s="318"/>
      <c r="R18472" s="318"/>
      <c r="S18472" s="318"/>
      <c r="T18472" s="318"/>
      <c r="U18472" s="318"/>
      <c r="V18472" s="318"/>
      <c r="W18472" s="318"/>
      <c r="X18472" s="318"/>
      <c r="Y18472" s="318"/>
      <c r="Z18472" s="318"/>
      <c r="AA18472" s="318"/>
      <c r="AB18472" s="318"/>
      <c r="AC18472" s="318"/>
      <c r="AD18472" s="318"/>
    </row>
    <row r="18473" spans="2:30" s="323" customFormat="1" ht="12" customHeight="1">
      <c r="B18473" s="324"/>
      <c r="C18473" s="325"/>
      <c r="D18473" s="326"/>
      <c r="E18473" s="326"/>
      <c r="F18473" s="326"/>
      <c r="G18473" s="326"/>
      <c r="H18473" s="326"/>
      <c r="P18473" s="318"/>
      <c r="Q18473" s="318"/>
      <c r="R18473" s="318"/>
      <c r="S18473" s="318"/>
      <c r="T18473" s="318"/>
      <c r="U18473" s="318"/>
      <c r="V18473" s="318"/>
      <c r="W18473" s="318"/>
      <c r="X18473" s="318"/>
      <c r="Y18473" s="318"/>
      <c r="Z18473" s="318"/>
      <c r="AA18473" s="318"/>
      <c r="AB18473" s="318"/>
      <c r="AC18473" s="318"/>
      <c r="AD18473" s="318"/>
    </row>
    <row r="18474" spans="2:30" s="323" customFormat="1" ht="12" customHeight="1">
      <c r="B18474" s="324"/>
      <c r="C18474" s="325"/>
      <c r="D18474" s="326"/>
      <c r="E18474" s="326"/>
      <c r="F18474" s="326"/>
      <c r="G18474" s="326"/>
      <c r="H18474" s="326"/>
      <c r="P18474" s="318"/>
      <c r="Q18474" s="318"/>
      <c r="R18474" s="318"/>
      <c r="S18474" s="318"/>
      <c r="T18474" s="318"/>
      <c r="U18474" s="318"/>
      <c r="V18474" s="318"/>
      <c r="W18474" s="318"/>
      <c r="X18474" s="318"/>
      <c r="Y18474" s="318"/>
      <c r="Z18474" s="318"/>
      <c r="AA18474" s="318"/>
      <c r="AB18474" s="318"/>
      <c r="AC18474" s="318"/>
      <c r="AD18474" s="318"/>
    </row>
    <row r="18475" spans="2:30" s="323" customFormat="1" ht="12" customHeight="1">
      <c r="B18475" s="324"/>
      <c r="C18475" s="325"/>
      <c r="D18475" s="326"/>
      <c r="E18475" s="326"/>
      <c r="F18475" s="326"/>
      <c r="G18475" s="326"/>
      <c r="H18475" s="326"/>
      <c r="P18475" s="318"/>
      <c r="Q18475" s="318"/>
      <c r="R18475" s="318"/>
      <c r="S18475" s="318"/>
      <c r="T18475" s="318"/>
      <c r="U18475" s="318"/>
      <c r="V18475" s="318"/>
      <c r="W18475" s="318"/>
      <c r="X18475" s="318"/>
      <c r="Y18475" s="318"/>
      <c r="Z18475" s="318"/>
      <c r="AA18475" s="318"/>
      <c r="AB18475" s="318"/>
      <c r="AC18475" s="318"/>
      <c r="AD18475" s="318"/>
    </row>
    <row r="18476" spans="2:30" s="323" customFormat="1" ht="12" customHeight="1">
      <c r="B18476" s="324"/>
      <c r="C18476" s="325"/>
      <c r="D18476" s="326"/>
      <c r="E18476" s="326"/>
      <c r="F18476" s="326"/>
      <c r="G18476" s="326"/>
      <c r="H18476" s="326"/>
      <c r="P18476" s="318"/>
      <c r="Q18476" s="318"/>
      <c r="R18476" s="318"/>
      <c r="S18476" s="318"/>
      <c r="T18476" s="318"/>
      <c r="U18476" s="318"/>
      <c r="V18476" s="318"/>
      <c r="W18476" s="318"/>
      <c r="X18476" s="318"/>
      <c r="Y18476" s="318"/>
      <c r="Z18476" s="318"/>
      <c r="AA18476" s="318"/>
      <c r="AB18476" s="318"/>
      <c r="AC18476" s="318"/>
      <c r="AD18476" s="318"/>
    </row>
    <row r="18477" spans="2:30" s="323" customFormat="1" ht="12" customHeight="1">
      <c r="B18477" s="324"/>
      <c r="C18477" s="325"/>
      <c r="D18477" s="326"/>
      <c r="E18477" s="326"/>
      <c r="F18477" s="326"/>
      <c r="G18477" s="326"/>
      <c r="H18477" s="326"/>
      <c r="P18477" s="318"/>
      <c r="Q18477" s="318"/>
      <c r="R18477" s="318"/>
      <c r="S18477" s="318"/>
      <c r="T18477" s="318"/>
      <c r="U18477" s="318"/>
      <c r="V18477" s="318"/>
      <c r="W18477" s="318"/>
      <c r="X18477" s="318"/>
      <c r="Y18477" s="318"/>
      <c r="Z18477" s="318"/>
      <c r="AA18477" s="318"/>
      <c r="AB18477" s="318"/>
      <c r="AC18477" s="318"/>
      <c r="AD18477" s="318"/>
    </row>
    <row r="18478" spans="2:30" s="323" customFormat="1" ht="12" customHeight="1">
      <c r="B18478" s="324"/>
      <c r="C18478" s="325"/>
      <c r="D18478" s="326"/>
      <c r="E18478" s="326"/>
      <c r="F18478" s="326"/>
      <c r="G18478" s="326"/>
      <c r="H18478" s="326"/>
      <c r="P18478" s="318"/>
      <c r="Q18478" s="318"/>
      <c r="R18478" s="318"/>
      <c r="S18478" s="318"/>
      <c r="T18478" s="318"/>
      <c r="U18478" s="318"/>
      <c r="V18478" s="318"/>
      <c r="W18478" s="318"/>
      <c r="X18478" s="318"/>
      <c r="Y18478" s="318"/>
      <c r="Z18478" s="318"/>
      <c r="AA18478" s="318"/>
      <c r="AB18478" s="318"/>
      <c r="AC18478" s="318"/>
      <c r="AD18478" s="318"/>
    </row>
    <row r="18479" spans="2:30" s="323" customFormat="1" ht="12" customHeight="1">
      <c r="B18479" s="324"/>
      <c r="C18479" s="325"/>
      <c r="D18479" s="326"/>
      <c r="E18479" s="326"/>
      <c r="F18479" s="326"/>
      <c r="G18479" s="326"/>
      <c r="H18479" s="326"/>
      <c r="P18479" s="318"/>
      <c r="Q18479" s="318"/>
      <c r="R18479" s="318"/>
      <c r="S18479" s="318"/>
      <c r="T18479" s="318"/>
      <c r="U18479" s="318"/>
      <c r="V18479" s="318"/>
      <c r="W18479" s="318"/>
      <c r="X18479" s="318"/>
      <c r="Y18479" s="318"/>
      <c r="Z18479" s="318"/>
      <c r="AA18479" s="318"/>
      <c r="AB18479" s="318"/>
      <c r="AC18479" s="318"/>
      <c r="AD18479" s="318"/>
    </row>
    <row r="18480" spans="2:30" s="323" customFormat="1" ht="12" customHeight="1">
      <c r="B18480" s="324"/>
      <c r="C18480" s="325"/>
      <c r="D18480" s="326"/>
      <c r="E18480" s="326"/>
      <c r="F18480" s="326"/>
      <c r="G18480" s="326"/>
      <c r="H18480" s="326"/>
      <c r="P18480" s="318"/>
      <c r="Q18480" s="318"/>
      <c r="R18480" s="318"/>
      <c r="S18480" s="318"/>
      <c r="T18480" s="318"/>
      <c r="U18480" s="318"/>
      <c r="V18480" s="318"/>
      <c r="W18480" s="318"/>
      <c r="X18480" s="318"/>
      <c r="Y18480" s="318"/>
      <c r="Z18480" s="318"/>
      <c r="AA18480" s="318"/>
      <c r="AB18480" s="318"/>
      <c r="AC18480" s="318"/>
      <c r="AD18480" s="318"/>
    </row>
    <row r="18481" spans="2:30" s="323" customFormat="1" ht="12" customHeight="1">
      <c r="B18481" s="324"/>
      <c r="C18481" s="325"/>
      <c r="D18481" s="326"/>
      <c r="E18481" s="326"/>
      <c r="F18481" s="326"/>
      <c r="G18481" s="326"/>
      <c r="H18481" s="326"/>
      <c r="P18481" s="318"/>
      <c r="Q18481" s="318"/>
      <c r="R18481" s="318"/>
      <c r="S18481" s="318"/>
      <c r="T18481" s="318"/>
      <c r="U18481" s="318"/>
      <c r="V18481" s="318"/>
      <c r="W18481" s="318"/>
      <c r="X18481" s="318"/>
      <c r="Y18481" s="318"/>
      <c r="Z18481" s="318"/>
      <c r="AA18481" s="318"/>
      <c r="AB18481" s="318"/>
      <c r="AC18481" s="318"/>
      <c r="AD18481" s="318"/>
    </row>
    <row r="18482" spans="2:30" s="323" customFormat="1" ht="12" customHeight="1">
      <c r="B18482" s="324"/>
      <c r="C18482" s="325"/>
      <c r="D18482" s="326"/>
      <c r="E18482" s="326"/>
      <c r="F18482" s="326"/>
      <c r="G18482" s="326"/>
      <c r="H18482" s="326"/>
      <c r="P18482" s="318"/>
      <c r="Q18482" s="318"/>
      <c r="R18482" s="318"/>
      <c r="S18482" s="318"/>
      <c r="T18482" s="318"/>
      <c r="U18482" s="318"/>
      <c r="V18482" s="318"/>
      <c r="W18482" s="318"/>
      <c r="X18482" s="318"/>
      <c r="Y18482" s="318"/>
      <c r="Z18482" s="318"/>
      <c r="AA18482" s="318"/>
      <c r="AB18482" s="318"/>
      <c r="AC18482" s="318"/>
      <c r="AD18482" s="318"/>
    </row>
    <row r="18483" spans="2:30" s="323" customFormat="1" ht="12" customHeight="1">
      <c r="B18483" s="324"/>
      <c r="C18483" s="325"/>
      <c r="D18483" s="326"/>
      <c r="E18483" s="326"/>
      <c r="F18483" s="326"/>
      <c r="G18483" s="326"/>
      <c r="H18483" s="326"/>
      <c r="P18483" s="318"/>
      <c r="Q18483" s="318"/>
      <c r="R18483" s="318"/>
      <c r="S18483" s="318"/>
      <c r="T18483" s="318"/>
      <c r="U18483" s="318"/>
      <c r="V18483" s="318"/>
      <c r="W18483" s="318"/>
      <c r="X18483" s="318"/>
      <c r="Y18483" s="318"/>
      <c r="Z18483" s="318"/>
      <c r="AA18483" s="318"/>
      <c r="AB18483" s="318"/>
      <c r="AC18483" s="318"/>
      <c r="AD18483" s="318"/>
    </row>
    <row r="18484" spans="2:30" s="323" customFormat="1" ht="12" customHeight="1">
      <c r="B18484" s="324"/>
      <c r="C18484" s="325"/>
      <c r="D18484" s="326"/>
      <c r="E18484" s="326"/>
      <c r="F18484" s="326"/>
      <c r="G18484" s="326"/>
      <c r="H18484" s="326"/>
      <c r="P18484" s="318"/>
      <c r="Q18484" s="318"/>
      <c r="R18484" s="318"/>
      <c r="S18484" s="318"/>
      <c r="T18484" s="318"/>
      <c r="U18484" s="318"/>
      <c r="V18484" s="318"/>
      <c r="W18484" s="318"/>
      <c r="X18484" s="318"/>
      <c r="Y18484" s="318"/>
      <c r="Z18484" s="318"/>
      <c r="AA18484" s="318"/>
      <c r="AB18484" s="318"/>
      <c r="AC18484" s="318"/>
      <c r="AD18484" s="318"/>
    </row>
    <row r="18485" spans="2:30" s="323" customFormat="1" ht="12" customHeight="1">
      <c r="B18485" s="324"/>
      <c r="C18485" s="325"/>
      <c r="D18485" s="326"/>
      <c r="E18485" s="326"/>
      <c r="F18485" s="326"/>
      <c r="G18485" s="326"/>
      <c r="H18485" s="326"/>
      <c r="P18485" s="318"/>
      <c r="Q18485" s="318"/>
      <c r="R18485" s="318"/>
      <c r="S18485" s="318"/>
      <c r="T18485" s="318"/>
      <c r="U18485" s="318"/>
      <c r="V18485" s="318"/>
      <c r="W18485" s="318"/>
      <c r="X18485" s="318"/>
      <c r="Y18485" s="318"/>
      <c r="Z18485" s="318"/>
      <c r="AA18485" s="318"/>
      <c r="AB18485" s="318"/>
      <c r="AC18485" s="318"/>
      <c r="AD18485" s="318"/>
    </row>
    <row r="18486" spans="2:30" s="323" customFormat="1" ht="12" customHeight="1">
      <c r="B18486" s="324"/>
      <c r="C18486" s="325"/>
      <c r="D18486" s="326"/>
      <c r="E18486" s="326"/>
      <c r="F18486" s="326"/>
      <c r="G18486" s="326"/>
      <c r="H18486" s="326"/>
      <c r="P18486" s="318"/>
      <c r="Q18486" s="318"/>
      <c r="R18486" s="318"/>
      <c r="S18486" s="318"/>
      <c r="T18486" s="318"/>
      <c r="U18486" s="318"/>
      <c r="V18486" s="318"/>
      <c r="W18486" s="318"/>
      <c r="X18486" s="318"/>
      <c r="Y18486" s="318"/>
      <c r="Z18486" s="318"/>
      <c r="AA18486" s="318"/>
      <c r="AB18486" s="318"/>
      <c r="AC18486" s="318"/>
      <c r="AD18486" s="318"/>
    </row>
    <row r="18487" spans="2:30" s="323" customFormat="1" ht="12" customHeight="1">
      <c r="B18487" s="324"/>
      <c r="C18487" s="325"/>
      <c r="D18487" s="326"/>
      <c r="E18487" s="326"/>
      <c r="F18487" s="326"/>
      <c r="G18487" s="326"/>
      <c r="H18487" s="326"/>
      <c r="P18487" s="318"/>
      <c r="Q18487" s="318"/>
      <c r="R18487" s="318"/>
      <c r="S18487" s="318"/>
      <c r="T18487" s="318"/>
      <c r="U18487" s="318"/>
      <c r="V18487" s="318"/>
      <c r="W18487" s="318"/>
      <c r="X18487" s="318"/>
      <c r="Y18487" s="318"/>
      <c r="Z18487" s="318"/>
      <c r="AA18487" s="318"/>
      <c r="AB18487" s="318"/>
      <c r="AC18487" s="318"/>
      <c r="AD18487" s="318"/>
    </row>
    <row r="18488" spans="2:30" s="323" customFormat="1" ht="12" customHeight="1">
      <c r="B18488" s="324"/>
      <c r="C18488" s="325"/>
      <c r="D18488" s="326"/>
      <c r="E18488" s="326"/>
      <c r="F18488" s="326"/>
      <c r="G18488" s="326"/>
      <c r="H18488" s="326"/>
      <c r="P18488" s="318"/>
      <c r="Q18488" s="318"/>
      <c r="R18488" s="318"/>
      <c r="S18488" s="318"/>
      <c r="T18488" s="318"/>
      <c r="U18488" s="318"/>
      <c r="V18488" s="318"/>
      <c r="W18488" s="318"/>
      <c r="X18488" s="318"/>
      <c r="Y18488" s="318"/>
      <c r="Z18488" s="318"/>
      <c r="AA18488" s="318"/>
      <c r="AB18488" s="318"/>
      <c r="AC18488" s="318"/>
      <c r="AD18488" s="318"/>
    </row>
    <row r="18489" spans="2:30" s="323" customFormat="1" ht="12" customHeight="1">
      <c r="B18489" s="324"/>
      <c r="C18489" s="325"/>
      <c r="D18489" s="326"/>
      <c r="E18489" s="326"/>
      <c r="F18489" s="326"/>
      <c r="G18489" s="326"/>
      <c r="H18489" s="326"/>
      <c r="P18489" s="318"/>
      <c r="Q18489" s="318"/>
      <c r="R18489" s="318"/>
      <c r="S18489" s="318"/>
      <c r="T18489" s="318"/>
      <c r="U18489" s="318"/>
      <c r="V18489" s="318"/>
      <c r="W18489" s="318"/>
      <c r="X18489" s="318"/>
      <c r="Y18489" s="318"/>
      <c r="Z18489" s="318"/>
      <c r="AA18489" s="318"/>
      <c r="AB18489" s="318"/>
      <c r="AC18489" s="318"/>
      <c r="AD18489" s="318"/>
    </row>
    <row r="18490" spans="2:30" s="323" customFormat="1" ht="12" customHeight="1">
      <c r="B18490" s="324"/>
      <c r="C18490" s="325"/>
      <c r="D18490" s="326"/>
      <c r="E18490" s="326"/>
      <c r="F18490" s="326"/>
      <c r="G18490" s="326"/>
      <c r="H18490" s="326"/>
      <c r="P18490" s="318"/>
      <c r="Q18490" s="318"/>
      <c r="R18490" s="318"/>
      <c r="S18490" s="318"/>
      <c r="T18490" s="318"/>
      <c r="U18490" s="318"/>
      <c r="V18490" s="318"/>
      <c r="W18490" s="318"/>
      <c r="X18490" s="318"/>
      <c r="Y18490" s="318"/>
      <c r="Z18490" s="318"/>
      <c r="AA18490" s="318"/>
      <c r="AB18490" s="318"/>
      <c r="AC18490" s="318"/>
      <c r="AD18490" s="318"/>
    </row>
    <row r="18491" spans="2:30" s="323" customFormat="1" ht="12" customHeight="1">
      <c r="B18491" s="324"/>
      <c r="C18491" s="325"/>
      <c r="D18491" s="326"/>
      <c r="E18491" s="326"/>
      <c r="F18491" s="326"/>
      <c r="G18491" s="326"/>
      <c r="H18491" s="326"/>
      <c r="P18491" s="318"/>
      <c r="Q18491" s="318"/>
      <c r="R18491" s="318"/>
      <c r="S18491" s="318"/>
      <c r="T18491" s="318"/>
      <c r="U18491" s="318"/>
      <c r="V18491" s="318"/>
      <c r="W18491" s="318"/>
      <c r="X18491" s="318"/>
      <c r="Y18491" s="318"/>
      <c r="Z18491" s="318"/>
      <c r="AA18491" s="318"/>
      <c r="AB18491" s="318"/>
      <c r="AC18491" s="318"/>
      <c r="AD18491" s="318"/>
    </row>
    <row r="18492" spans="2:30" s="323" customFormat="1" ht="12" customHeight="1">
      <c r="B18492" s="324"/>
      <c r="C18492" s="325"/>
      <c r="D18492" s="326"/>
      <c r="E18492" s="326"/>
      <c r="F18492" s="326"/>
      <c r="G18492" s="326"/>
      <c r="H18492" s="326"/>
      <c r="P18492" s="318"/>
      <c r="Q18492" s="318"/>
      <c r="R18492" s="318"/>
      <c r="S18492" s="318"/>
      <c r="T18492" s="318"/>
      <c r="U18492" s="318"/>
      <c r="V18492" s="318"/>
      <c r="W18492" s="318"/>
      <c r="X18492" s="318"/>
      <c r="Y18492" s="318"/>
      <c r="Z18492" s="318"/>
      <c r="AA18492" s="318"/>
      <c r="AB18492" s="318"/>
      <c r="AC18492" s="318"/>
      <c r="AD18492" s="318"/>
    </row>
    <row r="18493" spans="2:30" s="323" customFormat="1" ht="12" customHeight="1">
      <c r="B18493" s="324"/>
      <c r="C18493" s="325"/>
      <c r="D18493" s="326"/>
      <c r="E18493" s="326"/>
      <c r="F18493" s="326"/>
      <c r="G18493" s="326"/>
      <c r="H18493" s="326"/>
      <c r="P18493" s="318"/>
      <c r="Q18493" s="318"/>
      <c r="R18493" s="318"/>
      <c r="S18493" s="318"/>
      <c r="T18493" s="318"/>
      <c r="U18493" s="318"/>
      <c r="V18493" s="318"/>
      <c r="W18493" s="318"/>
      <c r="X18493" s="318"/>
      <c r="Y18493" s="318"/>
      <c r="Z18493" s="318"/>
      <c r="AA18493" s="318"/>
      <c r="AB18493" s="318"/>
      <c r="AC18493" s="318"/>
      <c r="AD18493" s="318"/>
    </row>
    <row r="18494" spans="2:30" s="323" customFormat="1" ht="12" customHeight="1">
      <c r="B18494" s="324"/>
      <c r="C18494" s="325"/>
      <c r="D18494" s="326"/>
      <c r="E18494" s="326"/>
      <c r="F18494" s="326"/>
      <c r="G18494" s="326"/>
      <c r="H18494" s="326"/>
      <c r="P18494" s="318"/>
      <c r="Q18494" s="318"/>
      <c r="R18494" s="318"/>
      <c r="S18494" s="318"/>
      <c r="T18494" s="318"/>
      <c r="U18494" s="318"/>
      <c r="V18494" s="318"/>
      <c r="W18494" s="318"/>
      <c r="X18494" s="318"/>
      <c r="Y18494" s="318"/>
      <c r="Z18494" s="318"/>
      <c r="AA18494" s="318"/>
      <c r="AB18494" s="318"/>
      <c r="AC18494" s="318"/>
      <c r="AD18494" s="318"/>
    </row>
    <row r="18495" spans="2:30" s="323" customFormat="1" ht="12" customHeight="1">
      <c r="B18495" s="324"/>
      <c r="C18495" s="325"/>
      <c r="D18495" s="326"/>
      <c r="E18495" s="326"/>
      <c r="F18495" s="326"/>
      <c r="G18495" s="326"/>
      <c r="H18495" s="326"/>
      <c r="P18495" s="318"/>
      <c r="Q18495" s="318"/>
      <c r="R18495" s="318"/>
      <c r="S18495" s="318"/>
      <c r="T18495" s="318"/>
      <c r="U18495" s="318"/>
      <c r="V18495" s="318"/>
      <c r="W18495" s="318"/>
      <c r="X18495" s="318"/>
      <c r="Y18495" s="318"/>
      <c r="Z18495" s="318"/>
      <c r="AA18495" s="318"/>
      <c r="AB18495" s="318"/>
      <c r="AC18495" s="318"/>
      <c r="AD18495" s="318"/>
    </row>
    <row r="18496" spans="2:30" s="323" customFormat="1" ht="12" customHeight="1">
      <c r="B18496" s="324"/>
      <c r="C18496" s="325"/>
      <c r="D18496" s="326"/>
      <c r="E18496" s="326"/>
      <c r="F18496" s="326"/>
      <c r="G18496" s="326"/>
      <c r="H18496" s="326"/>
      <c r="P18496" s="318"/>
      <c r="Q18496" s="318"/>
      <c r="R18496" s="318"/>
      <c r="S18496" s="318"/>
      <c r="T18496" s="318"/>
      <c r="U18496" s="318"/>
      <c r="V18496" s="318"/>
      <c r="W18496" s="318"/>
      <c r="X18496" s="318"/>
      <c r="Y18496" s="318"/>
      <c r="Z18496" s="318"/>
      <c r="AA18496" s="318"/>
      <c r="AB18496" s="318"/>
      <c r="AC18496" s="318"/>
      <c r="AD18496" s="318"/>
    </row>
    <row r="18497" spans="2:30" s="323" customFormat="1" ht="12" customHeight="1">
      <c r="B18497" s="324"/>
      <c r="C18497" s="325"/>
      <c r="D18497" s="326"/>
      <c r="E18497" s="326"/>
      <c r="F18497" s="326"/>
      <c r="G18497" s="326"/>
      <c r="H18497" s="326"/>
      <c r="P18497" s="318"/>
      <c r="Q18497" s="318"/>
      <c r="R18497" s="318"/>
      <c r="S18497" s="318"/>
      <c r="T18497" s="318"/>
      <c r="U18497" s="318"/>
      <c r="V18497" s="318"/>
      <c r="W18497" s="318"/>
      <c r="X18497" s="318"/>
      <c r="Y18497" s="318"/>
      <c r="Z18497" s="318"/>
      <c r="AA18497" s="318"/>
      <c r="AB18497" s="318"/>
      <c r="AC18497" s="318"/>
      <c r="AD18497" s="318"/>
    </row>
    <row r="18498" spans="2:30" s="323" customFormat="1" ht="12" customHeight="1">
      <c r="B18498" s="324"/>
      <c r="C18498" s="325"/>
      <c r="D18498" s="326"/>
      <c r="E18498" s="326"/>
      <c r="F18498" s="326"/>
      <c r="G18498" s="326"/>
      <c r="H18498" s="326"/>
      <c r="P18498" s="318"/>
      <c r="Q18498" s="318"/>
      <c r="R18498" s="318"/>
      <c r="S18498" s="318"/>
      <c r="T18498" s="318"/>
      <c r="U18498" s="318"/>
      <c r="V18498" s="318"/>
      <c r="W18498" s="318"/>
      <c r="X18498" s="318"/>
      <c r="Y18498" s="318"/>
      <c r="Z18498" s="318"/>
      <c r="AA18498" s="318"/>
      <c r="AB18498" s="318"/>
      <c r="AC18498" s="318"/>
      <c r="AD18498" s="318"/>
    </row>
    <row r="18499" spans="2:30" s="323" customFormat="1" ht="12" customHeight="1">
      <c r="B18499" s="324"/>
      <c r="C18499" s="325"/>
      <c r="D18499" s="326"/>
      <c r="E18499" s="326"/>
      <c r="F18499" s="326"/>
      <c r="G18499" s="326"/>
      <c r="H18499" s="326"/>
      <c r="P18499" s="318"/>
      <c r="Q18499" s="318"/>
      <c r="R18499" s="318"/>
      <c r="S18499" s="318"/>
      <c r="T18499" s="318"/>
      <c r="U18499" s="318"/>
      <c r="V18499" s="318"/>
      <c r="W18499" s="318"/>
      <c r="X18499" s="318"/>
      <c r="Y18499" s="318"/>
      <c r="Z18499" s="318"/>
      <c r="AA18499" s="318"/>
      <c r="AB18499" s="318"/>
      <c r="AC18499" s="318"/>
      <c r="AD18499" s="318"/>
    </row>
    <row r="18500" spans="2:30" s="323" customFormat="1" ht="12" customHeight="1">
      <c r="B18500" s="324"/>
      <c r="C18500" s="325"/>
      <c r="D18500" s="326"/>
      <c r="E18500" s="326"/>
      <c r="F18500" s="326"/>
      <c r="G18500" s="326"/>
      <c r="H18500" s="326"/>
      <c r="P18500" s="318"/>
      <c r="Q18500" s="318"/>
      <c r="R18500" s="318"/>
      <c r="S18500" s="318"/>
      <c r="T18500" s="318"/>
      <c r="U18500" s="318"/>
      <c r="V18500" s="318"/>
      <c r="W18500" s="318"/>
      <c r="X18500" s="318"/>
      <c r="Y18500" s="318"/>
      <c r="Z18500" s="318"/>
      <c r="AA18500" s="318"/>
      <c r="AB18500" s="318"/>
      <c r="AC18500" s="318"/>
      <c r="AD18500" s="318"/>
    </row>
    <row r="18501" spans="2:30" s="323" customFormat="1" ht="12" customHeight="1">
      <c r="B18501" s="324"/>
      <c r="C18501" s="325"/>
      <c r="D18501" s="326"/>
      <c r="E18501" s="326"/>
      <c r="F18501" s="326"/>
      <c r="G18501" s="326"/>
      <c r="H18501" s="326"/>
      <c r="P18501" s="318"/>
      <c r="Q18501" s="318"/>
      <c r="R18501" s="318"/>
      <c r="S18501" s="318"/>
      <c r="T18501" s="318"/>
      <c r="U18501" s="318"/>
      <c r="V18501" s="318"/>
      <c r="W18501" s="318"/>
      <c r="X18501" s="318"/>
      <c r="Y18501" s="318"/>
      <c r="Z18501" s="318"/>
      <c r="AA18501" s="318"/>
      <c r="AB18501" s="318"/>
      <c r="AC18501" s="318"/>
      <c r="AD18501" s="318"/>
    </row>
    <row r="18502" spans="2:30" s="323" customFormat="1" ht="12" customHeight="1">
      <c r="B18502" s="324"/>
      <c r="C18502" s="325"/>
      <c r="D18502" s="326"/>
      <c r="E18502" s="326"/>
      <c r="F18502" s="326"/>
      <c r="G18502" s="326"/>
      <c r="H18502" s="326"/>
      <c r="P18502" s="318"/>
      <c r="Q18502" s="318"/>
      <c r="R18502" s="318"/>
      <c r="S18502" s="318"/>
      <c r="T18502" s="318"/>
      <c r="U18502" s="318"/>
      <c r="V18502" s="318"/>
      <c r="W18502" s="318"/>
      <c r="X18502" s="318"/>
      <c r="Y18502" s="318"/>
      <c r="Z18502" s="318"/>
      <c r="AA18502" s="318"/>
      <c r="AB18502" s="318"/>
      <c r="AC18502" s="318"/>
      <c r="AD18502" s="318"/>
    </row>
    <row r="18503" spans="2:30" s="323" customFormat="1" ht="12" customHeight="1">
      <c r="B18503" s="324"/>
      <c r="C18503" s="325"/>
      <c r="D18503" s="326"/>
      <c r="E18503" s="326"/>
      <c r="F18503" s="326"/>
      <c r="G18503" s="326"/>
      <c r="H18503" s="326"/>
      <c r="P18503" s="318"/>
      <c r="Q18503" s="318"/>
      <c r="R18503" s="318"/>
      <c r="S18503" s="318"/>
      <c r="T18503" s="318"/>
      <c r="U18503" s="318"/>
      <c r="V18503" s="318"/>
      <c r="W18503" s="318"/>
      <c r="X18503" s="318"/>
      <c r="Y18503" s="318"/>
      <c r="Z18503" s="318"/>
      <c r="AA18503" s="318"/>
      <c r="AB18503" s="318"/>
      <c r="AC18503" s="318"/>
      <c r="AD18503" s="318"/>
    </row>
    <row r="18504" spans="2:30" s="323" customFormat="1" ht="12" customHeight="1">
      <c r="B18504" s="324"/>
      <c r="C18504" s="325"/>
      <c r="D18504" s="326"/>
      <c r="E18504" s="326"/>
      <c r="F18504" s="326"/>
      <c r="G18504" s="326"/>
      <c r="H18504" s="326"/>
      <c r="P18504" s="318"/>
      <c r="Q18504" s="318"/>
      <c r="R18504" s="318"/>
      <c r="S18504" s="318"/>
      <c r="T18504" s="318"/>
      <c r="U18504" s="318"/>
      <c r="V18504" s="318"/>
      <c r="W18504" s="318"/>
      <c r="X18504" s="318"/>
      <c r="Y18504" s="318"/>
      <c r="Z18504" s="318"/>
      <c r="AA18504" s="318"/>
      <c r="AB18504" s="318"/>
      <c r="AC18504" s="318"/>
      <c r="AD18504" s="318"/>
    </row>
    <row r="18505" spans="2:30" s="323" customFormat="1" ht="12" customHeight="1">
      <c r="B18505" s="324"/>
      <c r="C18505" s="325"/>
      <c r="D18505" s="326"/>
      <c r="E18505" s="326"/>
      <c r="F18505" s="326"/>
      <c r="G18505" s="326"/>
      <c r="H18505" s="326"/>
      <c r="P18505" s="318"/>
      <c r="Q18505" s="318"/>
      <c r="R18505" s="318"/>
      <c r="S18505" s="318"/>
      <c r="T18505" s="318"/>
      <c r="U18505" s="318"/>
      <c r="V18505" s="318"/>
      <c r="W18505" s="318"/>
      <c r="X18505" s="318"/>
      <c r="Y18505" s="318"/>
      <c r="Z18505" s="318"/>
      <c r="AA18505" s="318"/>
      <c r="AB18505" s="318"/>
      <c r="AC18505" s="318"/>
      <c r="AD18505" s="318"/>
    </row>
    <row r="18506" spans="2:30" s="323" customFormat="1" ht="12" customHeight="1">
      <c r="B18506" s="324"/>
      <c r="C18506" s="325"/>
      <c r="D18506" s="326"/>
      <c r="E18506" s="326"/>
      <c r="F18506" s="326"/>
      <c r="G18506" s="326"/>
      <c r="H18506" s="326"/>
      <c r="P18506" s="318"/>
      <c r="Q18506" s="318"/>
      <c r="R18506" s="318"/>
      <c r="S18506" s="318"/>
      <c r="T18506" s="318"/>
      <c r="U18506" s="318"/>
      <c r="V18506" s="318"/>
      <c r="W18506" s="318"/>
      <c r="X18506" s="318"/>
      <c r="Y18506" s="318"/>
      <c r="Z18506" s="318"/>
      <c r="AA18506" s="318"/>
      <c r="AB18506" s="318"/>
      <c r="AC18506" s="318"/>
      <c r="AD18506" s="318"/>
    </row>
    <row r="18507" spans="2:30" s="323" customFormat="1" ht="12" customHeight="1">
      <c r="B18507" s="324"/>
      <c r="C18507" s="325"/>
      <c r="D18507" s="326"/>
      <c r="E18507" s="326"/>
      <c r="F18507" s="326"/>
      <c r="G18507" s="326"/>
      <c r="H18507" s="326"/>
      <c r="P18507" s="318"/>
      <c r="Q18507" s="318"/>
      <c r="R18507" s="318"/>
      <c r="S18507" s="318"/>
      <c r="T18507" s="318"/>
      <c r="U18507" s="318"/>
      <c r="V18507" s="318"/>
      <c r="W18507" s="318"/>
      <c r="X18507" s="318"/>
      <c r="Y18507" s="318"/>
      <c r="Z18507" s="318"/>
      <c r="AA18507" s="318"/>
      <c r="AB18507" s="318"/>
      <c r="AC18507" s="318"/>
      <c r="AD18507" s="318"/>
    </row>
    <row r="18508" spans="2:30" s="323" customFormat="1" ht="12" customHeight="1">
      <c r="B18508" s="324"/>
      <c r="C18508" s="325"/>
      <c r="D18508" s="326"/>
      <c r="E18508" s="326"/>
      <c r="F18508" s="326"/>
      <c r="G18508" s="326"/>
      <c r="H18508" s="326"/>
      <c r="P18508" s="318"/>
      <c r="Q18508" s="318"/>
      <c r="R18508" s="318"/>
      <c r="S18508" s="318"/>
      <c r="T18508" s="318"/>
      <c r="U18508" s="318"/>
      <c r="V18508" s="318"/>
      <c r="W18508" s="318"/>
      <c r="X18508" s="318"/>
      <c r="Y18508" s="318"/>
      <c r="Z18508" s="318"/>
      <c r="AA18508" s="318"/>
      <c r="AB18508" s="318"/>
      <c r="AC18508" s="318"/>
      <c r="AD18508" s="318"/>
    </row>
    <row r="18509" spans="2:30" s="323" customFormat="1" ht="12" customHeight="1">
      <c r="B18509" s="324"/>
      <c r="C18509" s="325"/>
      <c r="D18509" s="326"/>
      <c r="E18509" s="326"/>
      <c r="F18509" s="326"/>
      <c r="G18509" s="326"/>
      <c r="H18509" s="326"/>
      <c r="P18509" s="318"/>
      <c r="Q18509" s="318"/>
      <c r="R18509" s="318"/>
      <c r="S18509" s="318"/>
      <c r="T18509" s="318"/>
      <c r="U18509" s="318"/>
      <c r="V18509" s="318"/>
      <c r="W18509" s="318"/>
      <c r="X18509" s="318"/>
      <c r="Y18509" s="318"/>
      <c r="Z18509" s="318"/>
      <c r="AA18509" s="318"/>
      <c r="AB18509" s="318"/>
      <c r="AC18509" s="318"/>
      <c r="AD18509" s="318"/>
    </row>
    <row r="18510" spans="2:30" s="323" customFormat="1" ht="12" customHeight="1">
      <c r="B18510" s="324"/>
      <c r="C18510" s="325"/>
      <c r="D18510" s="326"/>
      <c r="E18510" s="326"/>
      <c r="F18510" s="326"/>
      <c r="G18510" s="326"/>
      <c r="H18510" s="326"/>
      <c r="P18510" s="318"/>
      <c r="Q18510" s="318"/>
      <c r="R18510" s="318"/>
      <c r="S18510" s="318"/>
      <c r="T18510" s="318"/>
      <c r="U18510" s="318"/>
      <c r="V18510" s="318"/>
      <c r="W18510" s="318"/>
      <c r="X18510" s="318"/>
      <c r="Y18510" s="318"/>
      <c r="Z18510" s="318"/>
      <c r="AA18510" s="318"/>
      <c r="AB18510" s="318"/>
      <c r="AC18510" s="318"/>
      <c r="AD18510" s="318"/>
    </row>
    <row r="18511" spans="2:30" s="323" customFormat="1" ht="12" customHeight="1">
      <c r="B18511" s="324"/>
      <c r="C18511" s="325"/>
      <c r="D18511" s="326"/>
      <c r="E18511" s="326"/>
      <c r="F18511" s="326"/>
      <c r="G18511" s="326"/>
      <c r="H18511" s="326"/>
      <c r="P18511" s="318"/>
      <c r="Q18511" s="318"/>
      <c r="R18511" s="318"/>
      <c r="S18511" s="318"/>
      <c r="T18511" s="318"/>
      <c r="U18511" s="318"/>
      <c r="V18511" s="318"/>
      <c r="W18511" s="318"/>
      <c r="X18511" s="318"/>
      <c r="Y18511" s="318"/>
      <c r="Z18511" s="318"/>
      <c r="AA18511" s="318"/>
      <c r="AB18511" s="318"/>
      <c r="AC18511" s="318"/>
      <c r="AD18511" s="318"/>
    </row>
    <row r="18512" spans="2:30" s="323" customFormat="1" ht="12" customHeight="1">
      <c r="B18512" s="324"/>
      <c r="C18512" s="325"/>
      <c r="D18512" s="326"/>
      <c r="E18512" s="326"/>
      <c r="F18512" s="326"/>
      <c r="G18512" s="326"/>
      <c r="H18512" s="326"/>
      <c r="P18512" s="318"/>
      <c r="Q18512" s="318"/>
      <c r="R18512" s="318"/>
      <c r="S18512" s="318"/>
      <c r="T18512" s="318"/>
      <c r="U18512" s="318"/>
      <c r="V18512" s="318"/>
      <c r="W18512" s="318"/>
      <c r="X18512" s="318"/>
      <c r="Y18512" s="318"/>
      <c r="Z18512" s="318"/>
      <c r="AA18512" s="318"/>
      <c r="AB18512" s="318"/>
      <c r="AC18512" s="318"/>
      <c r="AD18512" s="318"/>
    </row>
    <row r="18513" spans="2:30" s="323" customFormat="1" ht="12" customHeight="1">
      <c r="B18513" s="324"/>
      <c r="C18513" s="325"/>
      <c r="D18513" s="326"/>
      <c r="E18513" s="326"/>
      <c r="F18513" s="326"/>
      <c r="G18513" s="326"/>
      <c r="H18513" s="326"/>
      <c r="P18513" s="318"/>
      <c r="Q18513" s="318"/>
      <c r="R18513" s="318"/>
      <c r="S18513" s="318"/>
      <c r="T18513" s="318"/>
      <c r="U18513" s="318"/>
      <c r="V18513" s="318"/>
      <c r="W18513" s="318"/>
      <c r="X18513" s="318"/>
      <c r="Y18513" s="318"/>
      <c r="Z18513" s="318"/>
      <c r="AA18513" s="318"/>
      <c r="AB18513" s="318"/>
      <c r="AC18513" s="318"/>
      <c r="AD18513" s="318"/>
    </row>
    <row r="18514" spans="2:30" s="323" customFormat="1" ht="12" customHeight="1">
      <c r="B18514" s="324"/>
      <c r="C18514" s="325"/>
      <c r="D18514" s="326"/>
      <c r="E18514" s="326"/>
      <c r="F18514" s="326"/>
      <c r="G18514" s="326"/>
      <c r="H18514" s="326"/>
      <c r="P18514" s="318"/>
      <c r="Q18514" s="318"/>
      <c r="R18514" s="318"/>
      <c r="S18514" s="318"/>
      <c r="T18514" s="318"/>
      <c r="U18514" s="318"/>
      <c r="V18514" s="318"/>
      <c r="W18514" s="318"/>
      <c r="X18514" s="318"/>
      <c r="Y18514" s="318"/>
      <c r="Z18514" s="318"/>
      <c r="AA18514" s="318"/>
      <c r="AB18514" s="318"/>
      <c r="AC18514" s="318"/>
      <c r="AD18514" s="318"/>
    </row>
    <row r="18515" spans="2:30" s="323" customFormat="1" ht="12" customHeight="1">
      <c r="B18515" s="324"/>
      <c r="C18515" s="325"/>
      <c r="D18515" s="326"/>
      <c r="E18515" s="326"/>
      <c r="F18515" s="326"/>
      <c r="G18515" s="326"/>
      <c r="H18515" s="326"/>
      <c r="P18515" s="318"/>
      <c r="Q18515" s="318"/>
      <c r="R18515" s="318"/>
      <c r="S18515" s="318"/>
      <c r="T18515" s="318"/>
      <c r="U18515" s="318"/>
      <c r="V18515" s="318"/>
      <c r="W18515" s="318"/>
      <c r="X18515" s="318"/>
      <c r="Y18515" s="318"/>
      <c r="Z18515" s="318"/>
      <c r="AA18515" s="318"/>
      <c r="AB18515" s="318"/>
      <c r="AC18515" s="318"/>
      <c r="AD18515" s="318"/>
    </row>
    <row r="18516" spans="2:30" s="323" customFormat="1" ht="12" customHeight="1">
      <c r="B18516" s="324"/>
      <c r="C18516" s="325"/>
      <c r="D18516" s="326"/>
      <c r="E18516" s="326"/>
      <c r="F18516" s="326"/>
      <c r="G18516" s="326"/>
      <c r="H18516" s="326"/>
      <c r="P18516" s="318"/>
      <c r="Q18516" s="318"/>
      <c r="R18516" s="318"/>
      <c r="S18516" s="318"/>
      <c r="T18516" s="318"/>
      <c r="U18516" s="318"/>
      <c r="V18516" s="318"/>
      <c r="W18516" s="318"/>
      <c r="X18516" s="318"/>
      <c r="Y18516" s="318"/>
      <c r="Z18516" s="318"/>
      <c r="AA18516" s="318"/>
      <c r="AB18516" s="318"/>
      <c r="AC18516" s="318"/>
      <c r="AD18516" s="318"/>
    </row>
    <row r="18517" spans="2:30" s="323" customFormat="1" ht="12" customHeight="1">
      <c r="B18517" s="324"/>
      <c r="C18517" s="325"/>
      <c r="D18517" s="326"/>
      <c r="E18517" s="326"/>
      <c r="F18517" s="326"/>
      <c r="G18517" s="326"/>
      <c r="H18517" s="326"/>
      <c r="P18517" s="318"/>
      <c r="Q18517" s="318"/>
      <c r="R18517" s="318"/>
      <c r="S18517" s="318"/>
      <c r="T18517" s="318"/>
      <c r="U18517" s="318"/>
      <c r="V18517" s="318"/>
      <c r="W18517" s="318"/>
      <c r="X18517" s="318"/>
      <c r="Y18517" s="318"/>
      <c r="Z18517" s="318"/>
      <c r="AA18517" s="318"/>
      <c r="AB18517" s="318"/>
      <c r="AC18517" s="318"/>
      <c r="AD18517" s="318"/>
    </row>
    <row r="18518" spans="2:30" s="323" customFormat="1" ht="12" customHeight="1">
      <c r="B18518" s="324"/>
      <c r="C18518" s="325"/>
      <c r="D18518" s="326"/>
      <c r="E18518" s="326"/>
      <c r="F18518" s="326"/>
      <c r="G18518" s="326"/>
      <c r="H18518" s="326"/>
      <c r="P18518" s="318"/>
      <c r="Q18518" s="318"/>
      <c r="R18518" s="318"/>
      <c r="S18518" s="318"/>
      <c r="T18518" s="318"/>
      <c r="U18518" s="318"/>
      <c r="V18518" s="318"/>
      <c r="W18518" s="318"/>
      <c r="X18518" s="318"/>
      <c r="Y18518" s="318"/>
      <c r="Z18518" s="318"/>
      <c r="AA18518" s="318"/>
      <c r="AB18518" s="318"/>
      <c r="AC18518" s="318"/>
      <c r="AD18518" s="318"/>
    </row>
    <row r="18519" spans="2:30" s="323" customFormat="1" ht="12" customHeight="1">
      <c r="B18519" s="324"/>
      <c r="C18519" s="325"/>
      <c r="D18519" s="326"/>
      <c r="E18519" s="326"/>
      <c r="F18519" s="326"/>
      <c r="G18519" s="326"/>
      <c r="H18519" s="326"/>
      <c r="P18519" s="318"/>
      <c r="Q18519" s="318"/>
      <c r="R18519" s="318"/>
      <c r="S18519" s="318"/>
      <c r="T18519" s="318"/>
      <c r="U18519" s="318"/>
      <c r="V18519" s="318"/>
      <c r="W18519" s="318"/>
      <c r="X18519" s="318"/>
      <c r="Y18519" s="318"/>
      <c r="Z18519" s="318"/>
      <c r="AA18519" s="318"/>
      <c r="AB18519" s="318"/>
      <c r="AC18519" s="318"/>
      <c r="AD18519" s="318"/>
    </row>
    <row r="18520" spans="2:30" s="323" customFormat="1" ht="12" customHeight="1">
      <c r="B18520" s="324"/>
      <c r="C18520" s="325"/>
      <c r="D18520" s="326"/>
      <c r="E18520" s="326"/>
      <c r="F18520" s="326"/>
      <c r="G18520" s="326"/>
      <c r="H18520" s="326"/>
      <c r="P18520" s="318"/>
      <c r="Q18520" s="318"/>
      <c r="R18520" s="318"/>
      <c r="S18520" s="318"/>
      <c r="T18520" s="318"/>
      <c r="U18520" s="318"/>
      <c r="V18520" s="318"/>
      <c r="W18520" s="318"/>
      <c r="X18520" s="318"/>
      <c r="Y18520" s="318"/>
      <c r="Z18520" s="318"/>
      <c r="AA18520" s="318"/>
      <c r="AB18520" s="318"/>
      <c r="AC18520" s="318"/>
      <c r="AD18520" s="318"/>
    </row>
    <row r="18521" spans="2:30" s="323" customFormat="1" ht="12" customHeight="1">
      <c r="B18521" s="324"/>
      <c r="C18521" s="325"/>
      <c r="D18521" s="326"/>
      <c r="E18521" s="326"/>
      <c r="F18521" s="326"/>
      <c r="G18521" s="326"/>
      <c r="H18521" s="326"/>
      <c r="P18521" s="318"/>
      <c r="Q18521" s="318"/>
      <c r="R18521" s="318"/>
      <c r="S18521" s="318"/>
      <c r="T18521" s="318"/>
      <c r="U18521" s="318"/>
      <c r="V18521" s="318"/>
      <c r="W18521" s="318"/>
      <c r="X18521" s="318"/>
      <c r="Y18521" s="318"/>
      <c r="Z18521" s="318"/>
      <c r="AA18521" s="318"/>
      <c r="AB18521" s="318"/>
      <c r="AC18521" s="318"/>
      <c r="AD18521" s="318"/>
    </row>
    <row r="18522" spans="2:30" s="323" customFormat="1" ht="12" customHeight="1">
      <c r="B18522" s="324"/>
      <c r="C18522" s="325"/>
      <c r="D18522" s="326"/>
      <c r="E18522" s="326"/>
      <c r="F18522" s="326"/>
      <c r="G18522" s="326"/>
      <c r="H18522" s="326"/>
      <c r="P18522" s="318"/>
      <c r="Q18522" s="318"/>
      <c r="R18522" s="318"/>
      <c r="S18522" s="318"/>
      <c r="T18522" s="318"/>
      <c r="U18522" s="318"/>
      <c r="V18522" s="318"/>
      <c r="W18522" s="318"/>
      <c r="X18522" s="318"/>
      <c r="Y18522" s="318"/>
      <c r="Z18522" s="318"/>
      <c r="AA18522" s="318"/>
      <c r="AB18522" s="318"/>
      <c r="AC18522" s="318"/>
      <c r="AD18522" s="318"/>
    </row>
    <row r="18523" spans="2:30" s="323" customFormat="1" ht="12" customHeight="1">
      <c r="B18523" s="324"/>
      <c r="C18523" s="325"/>
      <c r="D18523" s="326"/>
      <c r="E18523" s="326"/>
      <c r="F18523" s="326"/>
      <c r="G18523" s="326"/>
      <c r="H18523" s="326"/>
      <c r="P18523" s="318"/>
      <c r="Q18523" s="318"/>
      <c r="R18523" s="318"/>
      <c r="S18523" s="318"/>
      <c r="T18523" s="318"/>
      <c r="U18523" s="318"/>
      <c r="V18523" s="318"/>
      <c r="W18523" s="318"/>
      <c r="X18523" s="318"/>
      <c r="Y18523" s="318"/>
      <c r="Z18523" s="318"/>
      <c r="AA18523" s="318"/>
      <c r="AB18523" s="318"/>
      <c r="AC18523" s="318"/>
      <c r="AD18523" s="318"/>
    </row>
    <row r="18524" spans="2:30" s="323" customFormat="1" ht="12" customHeight="1">
      <c r="B18524" s="324"/>
      <c r="C18524" s="325"/>
      <c r="D18524" s="326"/>
      <c r="E18524" s="326"/>
      <c r="F18524" s="326"/>
      <c r="G18524" s="326"/>
      <c r="H18524" s="326"/>
      <c r="P18524" s="318"/>
      <c r="Q18524" s="318"/>
      <c r="R18524" s="318"/>
      <c r="S18524" s="318"/>
      <c r="T18524" s="318"/>
      <c r="U18524" s="318"/>
      <c r="V18524" s="318"/>
      <c r="W18524" s="318"/>
      <c r="X18524" s="318"/>
      <c r="Y18524" s="318"/>
      <c r="Z18524" s="318"/>
      <c r="AA18524" s="318"/>
      <c r="AB18524" s="318"/>
      <c r="AC18524" s="318"/>
      <c r="AD18524" s="318"/>
    </row>
    <row r="18525" spans="2:30" s="323" customFormat="1" ht="12" customHeight="1">
      <c r="B18525" s="324"/>
      <c r="C18525" s="325"/>
      <c r="D18525" s="326"/>
      <c r="E18525" s="326"/>
      <c r="F18525" s="326"/>
      <c r="G18525" s="326"/>
      <c r="H18525" s="326"/>
      <c r="P18525" s="318"/>
      <c r="Q18525" s="318"/>
      <c r="R18525" s="318"/>
      <c r="S18525" s="318"/>
      <c r="T18525" s="318"/>
      <c r="U18525" s="318"/>
      <c r="V18525" s="318"/>
      <c r="W18525" s="318"/>
      <c r="X18525" s="318"/>
      <c r="Y18525" s="318"/>
      <c r="Z18525" s="318"/>
      <c r="AA18525" s="318"/>
      <c r="AB18525" s="318"/>
      <c r="AC18525" s="318"/>
      <c r="AD18525" s="318"/>
    </row>
    <row r="18526" spans="2:30" s="323" customFormat="1" ht="12" customHeight="1">
      <c r="B18526" s="324"/>
      <c r="C18526" s="325"/>
      <c r="D18526" s="326"/>
      <c r="E18526" s="326"/>
      <c r="F18526" s="326"/>
      <c r="G18526" s="326"/>
      <c r="H18526" s="326"/>
      <c r="P18526" s="318"/>
      <c r="Q18526" s="318"/>
      <c r="R18526" s="318"/>
      <c r="S18526" s="318"/>
      <c r="T18526" s="318"/>
      <c r="U18526" s="318"/>
      <c r="V18526" s="318"/>
      <c r="W18526" s="318"/>
      <c r="X18526" s="318"/>
      <c r="Y18526" s="318"/>
      <c r="Z18526" s="318"/>
      <c r="AA18526" s="318"/>
      <c r="AB18526" s="318"/>
      <c r="AC18526" s="318"/>
      <c r="AD18526" s="318"/>
    </row>
    <row r="18527" spans="2:30" s="323" customFormat="1" ht="12" customHeight="1">
      <c r="B18527" s="324"/>
      <c r="C18527" s="325"/>
      <c r="D18527" s="326"/>
      <c r="E18527" s="326"/>
      <c r="F18527" s="326"/>
      <c r="G18527" s="326"/>
      <c r="H18527" s="326"/>
      <c r="P18527" s="318"/>
      <c r="Q18527" s="318"/>
      <c r="R18527" s="318"/>
      <c r="S18527" s="318"/>
      <c r="T18527" s="318"/>
      <c r="U18527" s="318"/>
      <c r="V18527" s="318"/>
      <c r="W18527" s="318"/>
      <c r="X18527" s="318"/>
      <c r="Y18527" s="318"/>
      <c r="Z18527" s="318"/>
      <c r="AA18527" s="318"/>
      <c r="AB18527" s="318"/>
      <c r="AC18527" s="318"/>
      <c r="AD18527" s="318"/>
    </row>
    <row r="18528" spans="2:30" s="323" customFormat="1" ht="12" customHeight="1">
      <c r="B18528" s="324"/>
      <c r="C18528" s="325"/>
      <c r="D18528" s="326"/>
      <c r="E18528" s="326"/>
      <c r="F18528" s="326"/>
      <c r="G18528" s="326"/>
      <c r="H18528" s="326"/>
      <c r="P18528" s="318"/>
      <c r="Q18528" s="318"/>
      <c r="R18528" s="318"/>
      <c r="S18528" s="318"/>
      <c r="T18528" s="318"/>
      <c r="U18528" s="318"/>
      <c r="V18528" s="318"/>
      <c r="W18528" s="318"/>
      <c r="X18528" s="318"/>
      <c r="Y18528" s="318"/>
      <c r="Z18528" s="318"/>
      <c r="AA18528" s="318"/>
      <c r="AB18528" s="318"/>
      <c r="AC18528" s="318"/>
      <c r="AD18528" s="318"/>
    </row>
    <row r="18529" spans="2:30" s="323" customFormat="1" ht="12" customHeight="1">
      <c r="B18529" s="324"/>
      <c r="C18529" s="325"/>
      <c r="D18529" s="326"/>
      <c r="E18529" s="326"/>
      <c r="F18529" s="326"/>
      <c r="G18529" s="326"/>
      <c r="H18529" s="326"/>
      <c r="P18529" s="318"/>
      <c r="Q18529" s="318"/>
      <c r="R18529" s="318"/>
      <c r="S18529" s="318"/>
      <c r="T18529" s="318"/>
      <c r="U18529" s="318"/>
      <c r="V18529" s="318"/>
      <c r="W18529" s="318"/>
      <c r="X18529" s="318"/>
      <c r="Y18529" s="318"/>
      <c r="Z18529" s="318"/>
      <c r="AA18529" s="318"/>
      <c r="AB18529" s="318"/>
      <c r="AC18529" s="318"/>
      <c r="AD18529" s="318"/>
    </row>
    <row r="18530" spans="2:30" s="323" customFormat="1" ht="12" customHeight="1">
      <c r="B18530" s="324"/>
      <c r="C18530" s="325"/>
      <c r="D18530" s="326"/>
      <c r="E18530" s="326"/>
      <c r="F18530" s="326"/>
      <c r="G18530" s="326"/>
      <c r="H18530" s="326"/>
      <c r="P18530" s="318"/>
      <c r="Q18530" s="318"/>
      <c r="R18530" s="318"/>
      <c r="S18530" s="318"/>
      <c r="T18530" s="318"/>
      <c r="U18530" s="318"/>
      <c r="V18530" s="318"/>
      <c r="W18530" s="318"/>
      <c r="X18530" s="318"/>
      <c r="Y18530" s="318"/>
      <c r="Z18530" s="318"/>
      <c r="AA18530" s="318"/>
      <c r="AB18530" s="318"/>
      <c r="AC18530" s="318"/>
      <c r="AD18530" s="318"/>
    </row>
    <row r="18531" spans="2:30" s="323" customFormat="1" ht="12" customHeight="1">
      <c r="B18531" s="324"/>
      <c r="C18531" s="325"/>
      <c r="D18531" s="326"/>
      <c r="E18531" s="326"/>
      <c r="F18531" s="326"/>
      <c r="G18531" s="326"/>
      <c r="H18531" s="326"/>
      <c r="P18531" s="318"/>
      <c r="Q18531" s="318"/>
      <c r="R18531" s="318"/>
      <c r="S18531" s="318"/>
      <c r="T18531" s="318"/>
      <c r="U18531" s="318"/>
      <c r="V18531" s="318"/>
      <c r="W18531" s="318"/>
      <c r="X18531" s="318"/>
      <c r="Y18531" s="318"/>
      <c r="Z18531" s="318"/>
      <c r="AA18531" s="318"/>
      <c r="AB18531" s="318"/>
      <c r="AC18531" s="318"/>
      <c r="AD18531" s="318"/>
    </row>
    <row r="18532" spans="2:30" s="323" customFormat="1" ht="12" customHeight="1">
      <c r="B18532" s="324"/>
      <c r="C18532" s="325"/>
      <c r="D18532" s="326"/>
      <c r="E18532" s="326"/>
      <c r="F18532" s="326"/>
      <c r="G18532" s="326"/>
      <c r="H18532" s="326"/>
      <c r="P18532" s="318"/>
      <c r="Q18532" s="318"/>
      <c r="R18532" s="318"/>
      <c r="S18532" s="318"/>
      <c r="T18532" s="318"/>
      <c r="U18532" s="318"/>
      <c r="V18532" s="318"/>
      <c r="W18532" s="318"/>
      <c r="X18532" s="318"/>
      <c r="Y18532" s="318"/>
      <c r="Z18532" s="318"/>
      <c r="AA18532" s="318"/>
      <c r="AB18532" s="318"/>
      <c r="AC18532" s="318"/>
      <c r="AD18532" s="318"/>
    </row>
    <row r="18533" spans="2:30" s="323" customFormat="1" ht="12" customHeight="1">
      <c r="B18533" s="324"/>
      <c r="C18533" s="325"/>
      <c r="D18533" s="326"/>
      <c r="E18533" s="326"/>
      <c r="F18533" s="326"/>
      <c r="G18533" s="326"/>
      <c r="H18533" s="326"/>
      <c r="P18533" s="318"/>
      <c r="Q18533" s="318"/>
      <c r="R18533" s="318"/>
      <c r="S18533" s="318"/>
      <c r="T18533" s="318"/>
      <c r="U18533" s="318"/>
      <c r="V18533" s="318"/>
      <c r="W18533" s="318"/>
      <c r="X18533" s="318"/>
      <c r="Y18533" s="318"/>
      <c r="Z18533" s="318"/>
      <c r="AA18533" s="318"/>
      <c r="AB18533" s="318"/>
      <c r="AC18533" s="318"/>
      <c r="AD18533" s="318"/>
    </row>
    <row r="18534" spans="2:30" s="323" customFormat="1" ht="12" customHeight="1">
      <c r="B18534" s="324"/>
      <c r="C18534" s="325"/>
      <c r="D18534" s="326"/>
      <c r="E18534" s="326"/>
      <c r="F18534" s="326"/>
      <c r="G18534" s="326"/>
      <c r="H18534" s="326"/>
      <c r="P18534" s="318"/>
      <c r="Q18534" s="318"/>
      <c r="R18534" s="318"/>
      <c r="S18534" s="318"/>
      <c r="T18534" s="318"/>
      <c r="U18534" s="318"/>
      <c r="V18534" s="318"/>
      <c r="W18534" s="318"/>
      <c r="X18534" s="318"/>
      <c r="Y18534" s="318"/>
      <c r="Z18534" s="318"/>
      <c r="AA18534" s="318"/>
      <c r="AB18534" s="318"/>
      <c r="AC18534" s="318"/>
      <c r="AD18534" s="318"/>
    </row>
    <row r="18535" spans="2:30" s="323" customFormat="1" ht="12" customHeight="1">
      <c r="B18535" s="324"/>
      <c r="C18535" s="325"/>
      <c r="D18535" s="326"/>
      <c r="E18535" s="326"/>
      <c r="F18535" s="326"/>
      <c r="G18535" s="326"/>
      <c r="H18535" s="326"/>
      <c r="P18535" s="318"/>
      <c r="Q18535" s="318"/>
      <c r="R18535" s="318"/>
      <c r="S18535" s="318"/>
      <c r="T18535" s="318"/>
      <c r="U18535" s="318"/>
      <c r="V18535" s="318"/>
      <c r="W18535" s="318"/>
      <c r="X18535" s="318"/>
      <c r="Y18535" s="318"/>
      <c r="Z18535" s="318"/>
      <c r="AA18535" s="318"/>
      <c r="AB18535" s="318"/>
      <c r="AC18535" s="318"/>
      <c r="AD18535" s="318"/>
    </row>
    <row r="18536" spans="2:30" s="323" customFormat="1" ht="12" customHeight="1">
      <c r="B18536" s="324"/>
      <c r="C18536" s="325"/>
      <c r="D18536" s="326"/>
      <c r="E18536" s="326"/>
      <c r="F18536" s="326"/>
      <c r="G18536" s="326"/>
      <c r="H18536" s="326"/>
      <c r="P18536" s="318"/>
      <c r="Q18536" s="318"/>
      <c r="R18536" s="318"/>
      <c r="S18536" s="318"/>
      <c r="T18536" s="318"/>
      <c r="U18536" s="318"/>
      <c r="V18536" s="318"/>
      <c r="W18536" s="318"/>
      <c r="X18536" s="318"/>
      <c r="Y18536" s="318"/>
      <c r="Z18536" s="318"/>
      <c r="AA18536" s="318"/>
      <c r="AB18536" s="318"/>
      <c r="AC18536" s="318"/>
      <c r="AD18536" s="318"/>
    </row>
    <row r="18537" spans="2:30" s="323" customFormat="1" ht="12" customHeight="1">
      <c r="B18537" s="324"/>
      <c r="C18537" s="325"/>
      <c r="D18537" s="326"/>
      <c r="E18537" s="326"/>
      <c r="F18537" s="326"/>
      <c r="G18537" s="326"/>
      <c r="H18537" s="326"/>
      <c r="P18537" s="318"/>
      <c r="Q18537" s="318"/>
      <c r="R18537" s="318"/>
      <c r="S18537" s="318"/>
      <c r="T18537" s="318"/>
      <c r="U18537" s="318"/>
      <c r="V18537" s="318"/>
      <c r="W18537" s="318"/>
      <c r="X18537" s="318"/>
      <c r="Y18537" s="318"/>
      <c r="Z18537" s="318"/>
      <c r="AA18537" s="318"/>
      <c r="AB18537" s="318"/>
      <c r="AC18537" s="318"/>
      <c r="AD18537" s="318"/>
    </row>
    <row r="18538" spans="2:30" s="323" customFormat="1" ht="12" customHeight="1">
      <c r="B18538" s="324"/>
      <c r="C18538" s="325"/>
      <c r="D18538" s="326"/>
      <c r="E18538" s="326"/>
      <c r="F18538" s="326"/>
      <c r="G18538" s="326"/>
      <c r="H18538" s="326"/>
      <c r="P18538" s="318"/>
      <c r="Q18538" s="318"/>
      <c r="R18538" s="318"/>
      <c r="S18538" s="318"/>
      <c r="T18538" s="318"/>
      <c r="U18538" s="318"/>
      <c r="V18538" s="318"/>
      <c r="W18538" s="318"/>
      <c r="X18538" s="318"/>
      <c r="Y18538" s="318"/>
      <c r="Z18538" s="318"/>
      <c r="AA18538" s="318"/>
      <c r="AB18538" s="318"/>
      <c r="AC18538" s="318"/>
      <c r="AD18538" s="318"/>
    </row>
    <row r="18539" spans="2:30" s="323" customFormat="1" ht="12" customHeight="1">
      <c r="B18539" s="324"/>
      <c r="C18539" s="325"/>
      <c r="D18539" s="326"/>
      <c r="E18539" s="326"/>
      <c r="F18539" s="326"/>
      <c r="G18539" s="326"/>
      <c r="H18539" s="326"/>
      <c r="P18539" s="318"/>
      <c r="Q18539" s="318"/>
      <c r="R18539" s="318"/>
      <c r="S18539" s="318"/>
      <c r="T18539" s="318"/>
      <c r="U18539" s="318"/>
      <c r="V18539" s="318"/>
      <c r="W18539" s="318"/>
      <c r="X18539" s="318"/>
      <c r="Y18539" s="318"/>
      <c r="Z18539" s="318"/>
      <c r="AA18539" s="318"/>
      <c r="AB18539" s="318"/>
      <c r="AC18539" s="318"/>
      <c r="AD18539" s="318"/>
    </row>
    <row r="18540" spans="2:30" s="323" customFormat="1" ht="12" customHeight="1">
      <c r="B18540" s="324"/>
      <c r="C18540" s="325"/>
      <c r="D18540" s="326"/>
      <c r="E18540" s="326"/>
      <c r="F18540" s="326"/>
      <c r="G18540" s="326"/>
      <c r="H18540" s="326"/>
      <c r="P18540" s="318"/>
      <c r="Q18540" s="318"/>
      <c r="R18540" s="318"/>
      <c r="S18540" s="318"/>
      <c r="T18540" s="318"/>
      <c r="U18540" s="318"/>
      <c r="V18540" s="318"/>
      <c r="W18540" s="318"/>
      <c r="X18540" s="318"/>
      <c r="Y18540" s="318"/>
      <c r="Z18540" s="318"/>
      <c r="AA18540" s="318"/>
      <c r="AB18540" s="318"/>
      <c r="AC18540" s="318"/>
      <c r="AD18540" s="318"/>
    </row>
    <row r="18541" spans="2:30" s="323" customFormat="1" ht="12" customHeight="1">
      <c r="B18541" s="324"/>
      <c r="C18541" s="325"/>
      <c r="D18541" s="326"/>
      <c r="E18541" s="326"/>
      <c r="F18541" s="326"/>
      <c r="G18541" s="326"/>
      <c r="H18541" s="326"/>
      <c r="P18541" s="318"/>
      <c r="Q18541" s="318"/>
      <c r="R18541" s="318"/>
      <c r="S18541" s="318"/>
      <c r="T18541" s="318"/>
      <c r="U18541" s="318"/>
      <c r="V18541" s="318"/>
      <c r="W18541" s="318"/>
      <c r="X18541" s="318"/>
      <c r="Y18541" s="318"/>
      <c r="Z18541" s="318"/>
      <c r="AA18541" s="318"/>
      <c r="AB18541" s="318"/>
      <c r="AC18541" s="318"/>
      <c r="AD18541" s="318"/>
    </row>
    <row r="18542" spans="2:30" s="323" customFormat="1" ht="12" customHeight="1">
      <c r="B18542" s="324"/>
      <c r="C18542" s="325"/>
      <c r="D18542" s="326"/>
      <c r="E18542" s="326"/>
      <c r="F18542" s="326"/>
      <c r="G18542" s="326"/>
      <c r="H18542" s="326"/>
      <c r="P18542" s="318"/>
      <c r="Q18542" s="318"/>
      <c r="R18542" s="318"/>
      <c r="S18542" s="318"/>
      <c r="T18542" s="318"/>
      <c r="U18542" s="318"/>
      <c r="V18542" s="318"/>
      <c r="W18542" s="318"/>
      <c r="X18542" s="318"/>
      <c r="Y18542" s="318"/>
      <c r="Z18542" s="318"/>
      <c r="AA18542" s="318"/>
      <c r="AB18542" s="318"/>
      <c r="AC18542" s="318"/>
      <c r="AD18542" s="318"/>
    </row>
    <row r="18543" spans="2:30" s="323" customFormat="1" ht="12" customHeight="1">
      <c r="B18543" s="324"/>
      <c r="C18543" s="325"/>
      <c r="D18543" s="326"/>
      <c r="E18543" s="326"/>
      <c r="F18543" s="326"/>
      <c r="G18543" s="326"/>
      <c r="H18543" s="326"/>
      <c r="P18543" s="318"/>
      <c r="Q18543" s="318"/>
      <c r="R18543" s="318"/>
      <c r="S18543" s="318"/>
      <c r="T18543" s="318"/>
      <c r="U18543" s="318"/>
      <c r="V18543" s="318"/>
      <c r="W18543" s="318"/>
      <c r="X18543" s="318"/>
      <c r="Y18543" s="318"/>
      <c r="Z18543" s="318"/>
      <c r="AA18543" s="318"/>
      <c r="AB18543" s="318"/>
      <c r="AC18543" s="318"/>
      <c r="AD18543" s="318"/>
    </row>
    <row r="18544" spans="2:30" s="323" customFormat="1" ht="12" customHeight="1">
      <c r="B18544" s="324"/>
      <c r="C18544" s="325"/>
      <c r="D18544" s="326"/>
      <c r="E18544" s="326"/>
      <c r="F18544" s="326"/>
      <c r="G18544" s="326"/>
      <c r="H18544" s="326"/>
      <c r="P18544" s="318"/>
      <c r="Q18544" s="318"/>
      <c r="R18544" s="318"/>
      <c r="S18544" s="318"/>
      <c r="T18544" s="318"/>
      <c r="U18544" s="318"/>
      <c r="V18544" s="318"/>
      <c r="W18544" s="318"/>
      <c r="X18544" s="318"/>
      <c r="Y18544" s="318"/>
      <c r="Z18544" s="318"/>
      <c r="AA18544" s="318"/>
      <c r="AB18544" s="318"/>
      <c r="AC18544" s="318"/>
      <c r="AD18544" s="318"/>
    </row>
    <row r="18545" spans="2:30" s="323" customFormat="1" ht="12" customHeight="1">
      <c r="B18545" s="324"/>
      <c r="C18545" s="325"/>
      <c r="D18545" s="326"/>
      <c r="E18545" s="326"/>
      <c r="F18545" s="326"/>
      <c r="G18545" s="326"/>
      <c r="H18545" s="326"/>
      <c r="P18545" s="318"/>
      <c r="Q18545" s="318"/>
      <c r="R18545" s="318"/>
      <c r="S18545" s="318"/>
      <c r="T18545" s="318"/>
      <c r="U18545" s="318"/>
      <c r="V18545" s="318"/>
      <c r="W18545" s="318"/>
      <c r="X18545" s="318"/>
      <c r="Y18545" s="318"/>
      <c r="Z18545" s="318"/>
      <c r="AA18545" s="318"/>
      <c r="AB18545" s="318"/>
      <c r="AC18545" s="318"/>
      <c r="AD18545" s="318"/>
    </row>
    <row r="18546" spans="2:30" s="323" customFormat="1" ht="12" customHeight="1">
      <c r="B18546" s="324"/>
      <c r="C18546" s="325"/>
      <c r="D18546" s="326"/>
      <c r="E18546" s="326"/>
      <c r="F18546" s="326"/>
      <c r="G18546" s="326"/>
      <c r="H18546" s="326"/>
      <c r="P18546" s="318"/>
      <c r="Q18546" s="318"/>
      <c r="R18546" s="318"/>
      <c r="S18546" s="318"/>
      <c r="T18546" s="318"/>
      <c r="U18546" s="318"/>
      <c r="V18546" s="318"/>
      <c r="W18546" s="318"/>
      <c r="X18546" s="318"/>
      <c r="Y18546" s="318"/>
      <c r="Z18546" s="318"/>
      <c r="AA18546" s="318"/>
      <c r="AB18546" s="318"/>
      <c r="AC18546" s="318"/>
      <c r="AD18546" s="318"/>
    </row>
    <row r="18547" spans="2:30" s="323" customFormat="1" ht="12" customHeight="1">
      <c r="B18547" s="324"/>
      <c r="C18547" s="325"/>
      <c r="D18547" s="326"/>
      <c r="E18547" s="326"/>
      <c r="F18547" s="326"/>
      <c r="G18547" s="326"/>
      <c r="H18547" s="326"/>
      <c r="P18547" s="318"/>
      <c r="Q18547" s="318"/>
      <c r="R18547" s="318"/>
      <c r="S18547" s="318"/>
      <c r="T18547" s="318"/>
      <c r="U18547" s="318"/>
      <c r="V18547" s="318"/>
      <c r="W18547" s="318"/>
      <c r="X18547" s="318"/>
      <c r="Y18547" s="318"/>
      <c r="Z18547" s="318"/>
      <c r="AA18547" s="318"/>
      <c r="AB18547" s="318"/>
      <c r="AC18547" s="318"/>
      <c r="AD18547" s="318"/>
    </row>
    <row r="18548" spans="2:30" s="323" customFormat="1" ht="12" customHeight="1">
      <c r="B18548" s="324"/>
      <c r="C18548" s="325"/>
      <c r="D18548" s="326"/>
      <c r="E18548" s="326"/>
      <c r="F18548" s="326"/>
      <c r="G18548" s="326"/>
      <c r="H18548" s="326"/>
      <c r="P18548" s="318"/>
      <c r="Q18548" s="318"/>
      <c r="R18548" s="318"/>
      <c r="S18548" s="318"/>
      <c r="T18548" s="318"/>
      <c r="U18548" s="318"/>
      <c r="V18548" s="318"/>
      <c r="W18548" s="318"/>
      <c r="X18548" s="318"/>
      <c r="Y18548" s="318"/>
      <c r="Z18548" s="318"/>
      <c r="AA18548" s="318"/>
      <c r="AB18548" s="318"/>
      <c r="AC18548" s="318"/>
      <c r="AD18548" s="318"/>
    </row>
    <row r="18549" spans="2:30" s="323" customFormat="1" ht="12" customHeight="1">
      <c r="B18549" s="324"/>
      <c r="C18549" s="325"/>
      <c r="D18549" s="326"/>
      <c r="E18549" s="326"/>
      <c r="F18549" s="326"/>
      <c r="G18549" s="326"/>
      <c r="H18549" s="326"/>
      <c r="P18549" s="318"/>
      <c r="Q18549" s="318"/>
      <c r="R18549" s="318"/>
      <c r="S18549" s="318"/>
      <c r="T18549" s="318"/>
      <c r="U18549" s="318"/>
      <c r="V18549" s="318"/>
      <c r="W18549" s="318"/>
      <c r="X18549" s="318"/>
      <c r="Y18549" s="318"/>
      <c r="Z18549" s="318"/>
      <c r="AA18549" s="318"/>
      <c r="AB18549" s="318"/>
      <c r="AC18549" s="318"/>
      <c r="AD18549" s="318"/>
    </row>
    <row r="18550" spans="2:30" s="323" customFormat="1" ht="12" customHeight="1">
      <c r="B18550" s="324"/>
      <c r="C18550" s="325"/>
      <c r="D18550" s="326"/>
      <c r="E18550" s="326"/>
      <c r="F18550" s="326"/>
      <c r="G18550" s="326"/>
      <c r="H18550" s="326"/>
      <c r="P18550" s="318"/>
      <c r="Q18550" s="318"/>
      <c r="R18550" s="318"/>
      <c r="S18550" s="318"/>
      <c r="T18550" s="318"/>
      <c r="U18550" s="318"/>
      <c r="V18550" s="318"/>
      <c r="W18550" s="318"/>
      <c r="X18550" s="318"/>
      <c r="Y18550" s="318"/>
      <c r="Z18550" s="318"/>
      <c r="AA18550" s="318"/>
      <c r="AB18550" s="318"/>
      <c r="AC18550" s="318"/>
      <c r="AD18550" s="318"/>
    </row>
    <row r="18551" spans="2:30" s="323" customFormat="1" ht="12" customHeight="1">
      <c r="B18551" s="324"/>
      <c r="C18551" s="325"/>
      <c r="D18551" s="326"/>
      <c r="E18551" s="326"/>
      <c r="F18551" s="326"/>
      <c r="G18551" s="326"/>
      <c r="H18551" s="326"/>
      <c r="P18551" s="318"/>
      <c r="Q18551" s="318"/>
      <c r="R18551" s="318"/>
      <c r="S18551" s="318"/>
      <c r="T18551" s="318"/>
      <c r="U18551" s="318"/>
      <c r="V18551" s="318"/>
      <c r="W18551" s="318"/>
      <c r="X18551" s="318"/>
      <c r="Y18551" s="318"/>
      <c r="Z18551" s="318"/>
      <c r="AA18551" s="318"/>
      <c r="AB18551" s="318"/>
      <c r="AC18551" s="318"/>
      <c r="AD18551" s="318"/>
    </row>
    <row r="18552" spans="2:30" s="323" customFormat="1" ht="12" customHeight="1">
      <c r="B18552" s="324"/>
      <c r="C18552" s="325"/>
      <c r="D18552" s="326"/>
      <c r="E18552" s="326"/>
      <c r="F18552" s="326"/>
      <c r="G18552" s="326"/>
      <c r="H18552" s="326"/>
      <c r="P18552" s="318"/>
      <c r="Q18552" s="318"/>
      <c r="R18552" s="318"/>
      <c r="S18552" s="318"/>
      <c r="T18552" s="318"/>
      <c r="U18552" s="318"/>
      <c r="V18552" s="318"/>
      <c r="W18552" s="318"/>
      <c r="X18552" s="318"/>
      <c r="Y18552" s="318"/>
      <c r="Z18552" s="318"/>
      <c r="AA18552" s="318"/>
      <c r="AB18552" s="318"/>
      <c r="AC18552" s="318"/>
      <c r="AD18552" s="318"/>
    </row>
    <row r="18553" spans="2:30" s="323" customFormat="1" ht="12" customHeight="1">
      <c r="B18553" s="324"/>
      <c r="C18553" s="325"/>
      <c r="D18553" s="326"/>
      <c r="E18553" s="326"/>
      <c r="F18553" s="326"/>
      <c r="G18553" s="326"/>
      <c r="H18553" s="326"/>
      <c r="P18553" s="318"/>
      <c r="Q18553" s="318"/>
      <c r="R18553" s="318"/>
      <c r="S18553" s="318"/>
      <c r="T18553" s="318"/>
      <c r="U18553" s="318"/>
      <c r="V18553" s="318"/>
      <c r="W18553" s="318"/>
      <c r="X18553" s="318"/>
      <c r="Y18553" s="318"/>
      <c r="Z18553" s="318"/>
      <c r="AA18553" s="318"/>
      <c r="AB18553" s="318"/>
      <c r="AC18553" s="318"/>
      <c r="AD18553" s="318"/>
    </row>
    <row r="18554" spans="2:30" s="323" customFormat="1" ht="12" customHeight="1">
      <c r="B18554" s="324"/>
      <c r="C18554" s="325"/>
      <c r="D18554" s="326"/>
      <c r="E18554" s="326"/>
      <c r="F18554" s="326"/>
      <c r="G18554" s="326"/>
      <c r="H18554" s="326"/>
      <c r="P18554" s="318"/>
      <c r="Q18554" s="318"/>
      <c r="R18554" s="318"/>
      <c r="S18554" s="318"/>
      <c r="T18554" s="318"/>
      <c r="U18554" s="318"/>
      <c r="V18554" s="318"/>
      <c r="W18554" s="318"/>
      <c r="X18554" s="318"/>
      <c r="Y18554" s="318"/>
      <c r="Z18554" s="318"/>
      <c r="AA18554" s="318"/>
      <c r="AB18554" s="318"/>
      <c r="AC18554" s="318"/>
      <c r="AD18554" s="318"/>
    </row>
    <row r="18555" spans="2:30" s="323" customFormat="1" ht="12" customHeight="1">
      <c r="B18555" s="324"/>
      <c r="C18555" s="325"/>
      <c r="D18555" s="326"/>
      <c r="E18555" s="326"/>
      <c r="F18555" s="326"/>
      <c r="G18555" s="326"/>
      <c r="H18555" s="326"/>
      <c r="P18555" s="318"/>
      <c r="Q18555" s="318"/>
      <c r="R18555" s="318"/>
      <c r="S18555" s="318"/>
      <c r="T18555" s="318"/>
      <c r="U18555" s="318"/>
      <c r="V18555" s="318"/>
      <c r="W18555" s="318"/>
      <c r="X18555" s="318"/>
      <c r="Y18555" s="318"/>
      <c r="Z18555" s="318"/>
      <c r="AA18555" s="318"/>
      <c r="AB18555" s="318"/>
      <c r="AC18555" s="318"/>
      <c r="AD18555" s="318"/>
    </row>
    <row r="18556" spans="2:30" s="323" customFormat="1" ht="12" customHeight="1">
      <c r="B18556" s="324"/>
      <c r="C18556" s="325"/>
      <c r="D18556" s="326"/>
      <c r="E18556" s="326"/>
      <c r="F18556" s="326"/>
      <c r="G18556" s="326"/>
      <c r="H18556" s="326"/>
      <c r="P18556" s="318"/>
      <c r="Q18556" s="318"/>
      <c r="R18556" s="318"/>
      <c r="S18556" s="318"/>
      <c r="T18556" s="318"/>
      <c r="U18556" s="318"/>
      <c r="V18556" s="318"/>
      <c r="W18556" s="318"/>
      <c r="X18556" s="318"/>
      <c r="Y18556" s="318"/>
      <c r="Z18556" s="318"/>
      <c r="AA18556" s="318"/>
      <c r="AB18556" s="318"/>
      <c r="AC18556" s="318"/>
      <c r="AD18556" s="318"/>
    </row>
    <row r="18557" spans="2:30" s="323" customFormat="1" ht="12" customHeight="1">
      <c r="B18557" s="324"/>
      <c r="C18557" s="325"/>
      <c r="D18557" s="326"/>
      <c r="E18557" s="326"/>
      <c r="F18557" s="326"/>
      <c r="G18557" s="326"/>
      <c r="H18557" s="326"/>
      <c r="P18557" s="318"/>
      <c r="Q18557" s="318"/>
      <c r="R18557" s="318"/>
      <c r="S18557" s="318"/>
      <c r="T18557" s="318"/>
      <c r="U18557" s="318"/>
      <c r="V18557" s="318"/>
      <c r="W18557" s="318"/>
      <c r="X18557" s="318"/>
      <c r="Y18557" s="318"/>
      <c r="Z18557" s="318"/>
      <c r="AA18557" s="318"/>
      <c r="AB18557" s="318"/>
      <c r="AC18557" s="318"/>
      <c r="AD18557" s="318"/>
    </row>
    <row r="18558" spans="2:30" s="323" customFormat="1" ht="12" customHeight="1">
      <c r="B18558" s="324"/>
      <c r="C18558" s="325"/>
      <c r="D18558" s="326"/>
      <c r="E18558" s="326"/>
      <c r="F18558" s="326"/>
      <c r="G18558" s="326"/>
      <c r="H18558" s="326"/>
      <c r="P18558" s="318"/>
      <c r="Q18558" s="318"/>
      <c r="R18558" s="318"/>
      <c r="S18558" s="318"/>
      <c r="T18558" s="318"/>
      <c r="U18558" s="318"/>
      <c r="V18558" s="318"/>
      <c r="W18558" s="318"/>
      <c r="X18558" s="318"/>
      <c r="Y18558" s="318"/>
      <c r="Z18558" s="318"/>
      <c r="AA18558" s="318"/>
      <c r="AB18558" s="318"/>
      <c r="AC18558" s="318"/>
      <c r="AD18558" s="318"/>
    </row>
    <row r="18559" spans="2:30" s="323" customFormat="1" ht="12" customHeight="1">
      <c r="B18559" s="324"/>
      <c r="C18559" s="325"/>
      <c r="D18559" s="326"/>
      <c r="E18559" s="326"/>
      <c r="F18559" s="326"/>
      <c r="G18559" s="326"/>
      <c r="H18559" s="326"/>
      <c r="P18559" s="318"/>
      <c r="Q18559" s="318"/>
      <c r="R18559" s="318"/>
      <c r="S18559" s="318"/>
      <c r="T18559" s="318"/>
      <c r="U18559" s="318"/>
      <c r="V18559" s="318"/>
      <c r="W18559" s="318"/>
      <c r="X18559" s="318"/>
      <c r="Y18559" s="318"/>
      <c r="Z18559" s="318"/>
      <c r="AA18559" s="318"/>
      <c r="AB18559" s="318"/>
      <c r="AC18559" s="318"/>
      <c r="AD18559" s="318"/>
    </row>
    <row r="18560" spans="2:30" s="323" customFormat="1" ht="12" customHeight="1">
      <c r="B18560" s="324"/>
      <c r="C18560" s="325"/>
      <c r="D18560" s="326"/>
      <c r="E18560" s="326"/>
      <c r="F18560" s="326"/>
      <c r="G18560" s="326"/>
      <c r="H18560" s="326"/>
      <c r="P18560" s="318"/>
      <c r="Q18560" s="318"/>
      <c r="R18560" s="318"/>
      <c r="S18560" s="318"/>
      <c r="T18560" s="318"/>
      <c r="U18560" s="318"/>
      <c r="V18560" s="318"/>
      <c r="W18560" s="318"/>
      <c r="X18560" s="318"/>
      <c r="Y18560" s="318"/>
      <c r="Z18560" s="318"/>
      <c r="AA18560" s="318"/>
      <c r="AB18560" s="318"/>
      <c r="AC18560" s="318"/>
      <c r="AD18560" s="318"/>
    </row>
    <row r="18561" spans="2:30" s="323" customFormat="1" ht="12" customHeight="1">
      <c r="B18561" s="324"/>
      <c r="C18561" s="325"/>
      <c r="D18561" s="326"/>
      <c r="E18561" s="326"/>
      <c r="F18561" s="326"/>
      <c r="G18561" s="326"/>
      <c r="H18561" s="326"/>
      <c r="P18561" s="318"/>
      <c r="Q18561" s="318"/>
      <c r="R18561" s="318"/>
      <c r="S18561" s="318"/>
      <c r="T18561" s="318"/>
      <c r="U18561" s="318"/>
      <c r="V18561" s="318"/>
      <c r="W18561" s="318"/>
      <c r="X18561" s="318"/>
      <c r="Y18561" s="318"/>
      <c r="Z18561" s="318"/>
      <c r="AA18561" s="318"/>
      <c r="AB18561" s="318"/>
      <c r="AC18561" s="318"/>
      <c r="AD18561" s="318"/>
    </row>
    <row r="18562" spans="2:30" s="323" customFormat="1" ht="12" customHeight="1">
      <c r="B18562" s="324"/>
      <c r="C18562" s="325"/>
      <c r="D18562" s="326"/>
      <c r="E18562" s="326"/>
      <c r="F18562" s="326"/>
      <c r="G18562" s="326"/>
      <c r="H18562" s="326"/>
      <c r="P18562" s="318"/>
      <c r="Q18562" s="318"/>
      <c r="R18562" s="318"/>
      <c r="S18562" s="318"/>
      <c r="T18562" s="318"/>
      <c r="U18562" s="318"/>
      <c r="V18562" s="318"/>
      <c r="W18562" s="318"/>
      <c r="X18562" s="318"/>
      <c r="Y18562" s="318"/>
      <c r="Z18562" s="318"/>
      <c r="AA18562" s="318"/>
      <c r="AB18562" s="318"/>
      <c r="AC18562" s="318"/>
      <c r="AD18562" s="318"/>
    </row>
    <row r="18563" spans="2:30" s="323" customFormat="1" ht="12" customHeight="1">
      <c r="B18563" s="324"/>
      <c r="C18563" s="325"/>
      <c r="D18563" s="326"/>
      <c r="E18563" s="326"/>
      <c r="F18563" s="326"/>
      <c r="G18563" s="326"/>
      <c r="H18563" s="326"/>
      <c r="P18563" s="318"/>
      <c r="Q18563" s="318"/>
      <c r="R18563" s="318"/>
      <c r="S18563" s="318"/>
      <c r="T18563" s="318"/>
      <c r="U18563" s="318"/>
      <c r="V18563" s="318"/>
      <c r="W18563" s="318"/>
      <c r="X18563" s="318"/>
      <c r="Y18563" s="318"/>
      <c r="Z18563" s="318"/>
      <c r="AA18563" s="318"/>
      <c r="AB18563" s="318"/>
      <c r="AC18563" s="318"/>
      <c r="AD18563" s="318"/>
    </row>
    <row r="18564" spans="2:30" s="323" customFormat="1" ht="12" customHeight="1">
      <c r="B18564" s="324"/>
      <c r="C18564" s="325"/>
      <c r="D18564" s="326"/>
      <c r="E18564" s="326"/>
      <c r="F18564" s="326"/>
      <c r="G18564" s="326"/>
      <c r="H18564" s="326"/>
      <c r="P18564" s="318"/>
      <c r="Q18564" s="318"/>
      <c r="R18564" s="318"/>
      <c r="S18564" s="318"/>
      <c r="T18564" s="318"/>
      <c r="U18564" s="318"/>
      <c r="V18564" s="318"/>
      <c r="W18564" s="318"/>
      <c r="X18564" s="318"/>
      <c r="Y18564" s="318"/>
      <c r="Z18564" s="318"/>
      <c r="AA18564" s="318"/>
      <c r="AB18564" s="318"/>
      <c r="AC18564" s="318"/>
      <c r="AD18564" s="318"/>
    </row>
    <row r="18565" spans="2:30" s="323" customFormat="1" ht="12" customHeight="1">
      <c r="B18565" s="324"/>
      <c r="C18565" s="325"/>
      <c r="D18565" s="326"/>
      <c r="E18565" s="326"/>
      <c r="F18565" s="326"/>
      <c r="G18565" s="326"/>
      <c r="H18565" s="326"/>
      <c r="P18565" s="318"/>
      <c r="Q18565" s="318"/>
      <c r="R18565" s="318"/>
      <c r="S18565" s="318"/>
      <c r="T18565" s="318"/>
      <c r="U18565" s="318"/>
      <c r="V18565" s="318"/>
      <c r="W18565" s="318"/>
      <c r="X18565" s="318"/>
      <c r="Y18565" s="318"/>
      <c r="Z18565" s="318"/>
      <c r="AA18565" s="318"/>
      <c r="AB18565" s="318"/>
      <c r="AC18565" s="318"/>
      <c r="AD18565" s="318"/>
    </row>
    <row r="18566" spans="2:30" s="323" customFormat="1" ht="12" customHeight="1">
      <c r="B18566" s="324"/>
      <c r="C18566" s="325"/>
      <c r="D18566" s="326"/>
      <c r="E18566" s="326"/>
      <c r="F18566" s="326"/>
      <c r="G18566" s="326"/>
      <c r="H18566" s="326"/>
      <c r="P18566" s="318"/>
      <c r="Q18566" s="318"/>
      <c r="R18566" s="318"/>
      <c r="S18566" s="318"/>
      <c r="T18566" s="318"/>
      <c r="U18566" s="318"/>
      <c r="V18566" s="318"/>
      <c r="W18566" s="318"/>
      <c r="X18566" s="318"/>
      <c r="Y18566" s="318"/>
      <c r="Z18566" s="318"/>
      <c r="AA18566" s="318"/>
      <c r="AB18566" s="318"/>
      <c r="AC18566" s="318"/>
      <c r="AD18566" s="318"/>
    </row>
    <row r="18567" spans="2:30" s="323" customFormat="1" ht="12" customHeight="1">
      <c r="B18567" s="324"/>
      <c r="C18567" s="325"/>
      <c r="D18567" s="326"/>
      <c r="E18567" s="326"/>
      <c r="F18567" s="326"/>
      <c r="G18567" s="326"/>
      <c r="H18567" s="326"/>
      <c r="P18567" s="318"/>
      <c r="Q18567" s="318"/>
      <c r="R18567" s="318"/>
      <c r="S18567" s="318"/>
      <c r="T18567" s="318"/>
      <c r="U18567" s="318"/>
      <c r="V18567" s="318"/>
      <c r="W18567" s="318"/>
      <c r="X18567" s="318"/>
      <c r="Y18567" s="318"/>
      <c r="Z18567" s="318"/>
      <c r="AA18567" s="318"/>
      <c r="AB18567" s="318"/>
      <c r="AC18567" s="318"/>
      <c r="AD18567" s="318"/>
    </row>
    <row r="18568" spans="2:30" s="323" customFormat="1" ht="12" customHeight="1">
      <c r="B18568" s="324"/>
      <c r="C18568" s="325"/>
      <c r="D18568" s="326"/>
      <c r="E18568" s="326"/>
      <c r="F18568" s="326"/>
      <c r="G18568" s="326"/>
      <c r="H18568" s="326"/>
      <c r="P18568" s="318"/>
      <c r="Q18568" s="318"/>
      <c r="R18568" s="318"/>
      <c r="S18568" s="318"/>
      <c r="T18568" s="318"/>
      <c r="U18568" s="318"/>
      <c r="V18568" s="318"/>
      <c r="W18568" s="318"/>
      <c r="X18568" s="318"/>
      <c r="Y18568" s="318"/>
      <c r="Z18568" s="318"/>
      <c r="AA18568" s="318"/>
      <c r="AB18568" s="318"/>
      <c r="AC18568" s="318"/>
      <c r="AD18568" s="318"/>
    </row>
    <row r="18569" spans="2:30" s="323" customFormat="1" ht="12" customHeight="1">
      <c r="B18569" s="324"/>
      <c r="C18569" s="325"/>
      <c r="D18569" s="326"/>
      <c r="E18569" s="326"/>
      <c r="F18569" s="326"/>
      <c r="G18569" s="326"/>
      <c r="H18569" s="326"/>
      <c r="P18569" s="318"/>
      <c r="Q18569" s="318"/>
      <c r="R18569" s="318"/>
      <c r="S18569" s="318"/>
      <c r="T18569" s="318"/>
      <c r="U18569" s="318"/>
      <c r="V18569" s="318"/>
      <c r="W18569" s="318"/>
      <c r="X18569" s="318"/>
      <c r="Y18569" s="318"/>
      <c r="Z18569" s="318"/>
      <c r="AA18569" s="318"/>
      <c r="AB18569" s="318"/>
      <c r="AC18569" s="318"/>
      <c r="AD18569" s="318"/>
    </row>
    <row r="18570" spans="2:30" s="323" customFormat="1" ht="12" customHeight="1">
      <c r="B18570" s="324"/>
      <c r="C18570" s="325"/>
      <c r="D18570" s="326"/>
      <c r="E18570" s="326"/>
      <c r="F18570" s="326"/>
      <c r="G18570" s="326"/>
      <c r="H18570" s="326"/>
      <c r="P18570" s="318"/>
      <c r="Q18570" s="318"/>
      <c r="R18570" s="318"/>
      <c r="S18570" s="318"/>
      <c r="T18570" s="318"/>
      <c r="U18570" s="318"/>
      <c r="V18570" s="318"/>
      <c r="W18570" s="318"/>
      <c r="X18570" s="318"/>
      <c r="Y18570" s="318"/>
      <c r="Z18570" s="318"/>
      <c r="AA18570" s="318"/>
      <c r="AB18570" s="318"/>
      <c r="AC18570" s="318"/>
      <c r="AD18570" s="318"/>
    </row>
    <row r="18571" spans="2:30" s="323" customFormat="1" ht="12" customHeight="1">
      <c r="B18571" s="324"/>
      <c r="C18571" s="325"/>
      <c r="D18571" s="326"/>
      <c r="E18571" s="326"/>
      <c r="F18571" s="326"/>
      <c r="G18571" s="326"/>
      <c r="H18571" s="326"/>
      <c r="P18571" s="318"/>
      <c r="Q18571" s="318"/>
      <c r="R18571" s="318"/>
      <c r="S18571" s="318"/>
      <c r="T18571" s="318"/>
      <c r="U18571" s="318"/>
      <c r="V18571" s="318"/>
      <c r="W18571" s="318"/>
      <c r="X18571" s="318"/>
      <c r="Y18571" s="318"/>
      <c r="Z18571" s="318"/>
      <c r="AA18571" s="318"/>
      <c r="AB18571" s="318"/>
      <c r="AC18571" s="318"/>
      <c r="AD18571" s="318"/>
    </row>
    <row r="18572" spans="2:30" s="323" customFormat="1" ht="12" customHeight="1">
      <c r="B18572" s="324"/>
      <c r="C18572" s="325"/>
      <c r="D18572" s="326"/>
      <c r="E18572" s="326"/>
      <c r="F18572" s="326"/>
      <c r="G18572" s="326"/>
      <c r="H18572" s="326"/>
      <c r="P18572" s="318"/>
      <c r="Q18572" s="318"/>
      <c r="R18572" s="318"/>
      <c r="S18572" s="318"/>
      <c r="T18572" s="318"/>
      <c r="U18572" s="318"/>
      <c r="V18572" s="318"/>
      <c r="W18572" s="318"/>
      <c r="X18572" s="318"/>
      <c r="Y18572" s="318"/>
      <c r="Z18572" s="318"/>
      <c r="AA18572" s="318"/>
      <c r="AB18572" s="318"/>
      <c r="AC18572" s="318"/>
      <c r="AD18572" s="318"/>
    </row>
    <row r="18573" spans="2:30" s="323" customFormat="1" ht="12" customHeight="1">
      <c r="B18573" s="324"/>
      <c r="C18573" s="325"/>
      <c r="D18573" s="326"/>
      <c r="E18573" s="326"/>
      <c r="F18573" s="326"/>
      <c r="G18573" s="326"/>
      <c r="H18573" s="326"/>
      <c r="P18573" s="318"/>
      <c r="Q18573" s="318"/>
      <c r="R18573" s="318"/>
      <c r="S18573" s="318"/>
      <c r="T18573" s="318"/>
      <c r="U18573" s="318"/>
      <c r="V18573" s="318"/>
      <c r="W18573" s="318"/>
      <c r="X18573" s="318"/>
      <c r="Y18573" s="318"/>
      <c r="Z18573" s="318"/>
      <c r="AA18573" s="318"/>
      <c r="AB18573" s="318"/>
      <c r="AC18573" s="318"/>
      <c r="AD18573" s="318"/>
    </row>
    <row r="18574" spans="2:30" s="323" customFormat="1" ht="12" customHeight="1">
      <c r="B18574" s="324"/>
      <c r="C18574" s="325"/>
      <c r="D18574" s="326"/>
      <c r="E18574" s="326"/>
      <c r="F18574" s="326"/>
      <c r="G18574" s="326"/>
      <c r="H18574" s="326"/>
      <c r="P18574" s="318"/>
      <c r="Q18574" s="318"/>
      <c r="R18574" s="318"/>
      <c r="S18574" s="318"/>
      <c r="T18574" s="318"/>
      <c r="U18574" s="318"/>
      <c r="V18574" s="318"/>
      <c r="W18574" s="318"/>
      <c r="X18574" s="318"/>
      <c r="Y18574" s="318"/>
      <c r="Z18574" s="318"/>
      <c r="AA18574" s="318"/>
      <c r="AB18574" s="318"/>
      <c r="AC18574" s="318"/>
      <c r="AD18574" s="318"/>
    </row>
    <row r="18575" spans="2:30" s="323" customFormat="1" ht="12" customHeight="1">
      <c r="B18575" s="324"/>
      <c r="C18575" s="325"/>
      <c r="D18575" s="326"/>
      <c r="E18575" s="326"/>
      <c r="F18575" s="326"/>
      <c r="G18575" s="326"/>
      <c r="H18575" s="326"/>
      <c r="P18575" s="318"/>
      <c r="Q18575" s="318"/>
      <c r="R18575" s="318"/>
      <c r="S18575" s="318"/>
      <c r="T18575" s="318"/>
      <c r="U18575" s="318"/>
      <c r="V18575" s="318"/>
      <c r="W18575" s="318"/>
      <c r="X18575" s="318"/>
      <c r="Y18575" s="318"/>
      <c r="Z18575" s="318"/>
      <c r="AA18575" s="318"/>
      <c r="AB18575" s="318"/>
      <c r="AC18575" s="318"/>
      <c r="AD18575" s="318"/>
    </row>
    <row r="18576" spans="2:30" s="323" customFormat="1" ht="12" customHeight="1">
      <c r="B18576" s="324"/>
      <c r="C18576" s="325"/>
      <c r="D18576" s="326"/>
      <c r="E18576" s="326"/>
      <c r="F18576" s="326"/>
      <c r="G18576" s="326"/>
      <c r="H18576" s="326"/>
      <c r="P18576" s="318"/>
      <c r="Q18576" s="318"/>
      <c r="R18576" s="318"/>
      <c r="S18576" s="318"/>
      <c r="T18576" s="318"/>
      <c r="U18576" s="318"/>
      <c r="V18576" s="318"/>
      <c r="W18576" s="318"/>
      <c r="X18576" s="318"/>
      <c r="Y18576" s="318"/>
      <c r="Z18576" s="318"/>
      <c r="AA18576" s="318"/>
      <c r="AB18576" s="318"/>
      <c r="AC18576" s="318"/>
      <c r="AD18576" s="318"/>
    </row>
    <row r="18577" spans="2:30" s="323" customFormat="1" ht="12" customHeight="1">
      <c r="B18577" s="324"/>
      <c r="C18577" s="325"/>
      <c r="D18577" s="326"/>
      <c r="E18577" s="326"/>
      <c r="F18577" s="326"/>
      <c r="G18577" s="326"/>
      <c r="H18577" s="326"/>
      <c r="P18577" s="318"/>
      <c r="Q18577" s="318"/>
      <c r="R18577" s="318"/>
      <c r="S18577" s="318"/>
      <c r="T18577" s="318"/>
      <c r="U18577" s="318"/>
      <c r="V18577" s="318"/>
      <c r="W18577" s="318"/>
      <c r="X18577" s="318"/>
      <c r="Y18577" s="318"/>
      <c r="Z18577" s="318"/>
      <c r="AA18577" s="318"/>
      <c r="AB18577" s="318"/>
      <c r="AC18577" s="318"/>
      <c r="AD18577" s="318"/>
    </row>
    <row r="18578" spans="2:30" s="323" customFormat="1" ht="12" customHeight="1">
      <c r="B18578" s="324"/>
      <c r="C18578" s="325"/>
      <c r="D18578" s="326"/>
      <c r="E18578" s="326"/>
      <c r="F18578" s="326"/>
      <c r="G18578" s="326"/>
      <c r="H18578" s="326"/>
      <c r="P18578" s="318"/>
      <c r="Q18578" s="318"/>
      <c r="R18578" s="318"/>
      <c r="S18578" s="318"/>
      <c r="T18578" s="318"/>
      <c r="U18578" s="318"/>
      <c r="V18578" s="318"/>
      <c r="W18578" s="318"/>
      <c r="X18578" s="318"/>
      <c r="Y18578" s="318"/>
      <c r="Z18578" s="318"/>
      <c r="AA18578" s="318"/>
      <c r="AB18578" s="318"/>
      <c r="AC18578" s="318"/>
      <c r="AD18578" s="318"/>
    </row>
    <row r="18579" spans="2:30" s="323" customFormat="1" ht="12" customHeight="1">
      <c r="B18579" s="324"/>
      <c r="C18579" s="325"/>
      <c r="D18579" s="326"/>
      <c r="E18579" s="326"/>
      <c r="F18579" s="326"/>
      <c r="G18579" s="326"/>
      <c r="H18579" s="326"/>
      <c r="P18579" s="318"/>
      <c r="Q18579" s="318"/>
      <c r="R18579" s="318"/>
      <c r="S18579" s="318"/>
      <c r="T18579" s="318"/>
      <c r="U18579" s="318"/>
      <c r="V18579" s="318"/>
      <c r="W18579" s="318"/>
      <c r="X18579" s="318"/>
      <c r="Y18579" s="318"/>
      <c r="Z18579" s="318"/>
      <c r="AA18579" s="318"/>
      <c r="AB18579" s="318"/>
      <c r="AC18579" s="318"/>
      <c r="AD18579" s="318"/>
    </row>
    <row r="18580" spans="2:30" s="323" customFormat="1" ht="12" customHeight="1">
      <c r="B18580" s="324"/>
      <c r="C18580" s="325"/>
      <c r="D18580" s="326"/>
      <c r="E18580" s="326"/>
      <c r="F18580" s="326"/>
      <c r="G18580" s="326"/>
      <c r="H18580" s="326"/>
      <c r="P18580" s="318"/>
      <c r="Q18580" s="318"/>
      <c r="R18580" s="318"/>
      <c r="S18580" s="318"/>
      <c r="T18580" s="318"/>
      <c r="U18580" s="318"/>
      <c r="V18580" s="318"/>
      <c r="W18580" s="318"/>
      <c r="X18580" s="318"/>
      <c r="Y18580" s="318"/>
      <c r="Z18580" s="318"/>
      <c r="AA18580" s="318"/>
      <c r="AB18580" s="318"/>
      <c r="AC18580" s="318"/>
      <c r="AD18580" s="318"/>
    </row>
    <row r="18581" spans="2:30" s="323" customFormat="1" ht="12" customHeight="1">
      <c r="B18581" s="324"/>
      <c r="C18581" s="325"/>
      <c r="D18581" s="326"/>
      <c r="E18581" s="326"/>
      <c r="F18581" s="326"/>
      <c r="G18581" s="326"/>
      <c r="H18581" s="326"/>
      <c r="P18581" s="318"/>
      <c r="Q18581" s="318"/>
      <c r="R18581" s="318"/>
      <c r="S18581" s="318"/>
      <c r="T18581" s="318"/>
      <c r="U18581" s="318"/>
      <c r="V18581" s="318"/>
      <c r="W18581" s="318"/>
      <c r="X18581" s="318"/>
      <c r="Y18581" s="318"/>
      <c r="Z18581" s="318"/>
      <c r="AA18581" s="318"/>
      <c r="AB18581" s="318"/>
      <c r="AC18581" s="318"/>
      <c r="AD18581" s="318"/>
    </row>
    <row r="18582" spans="2:30" s="323" customFormat="1" ht="12" customHeight="1">
      <c r="B18582" s="324"/>
      <c r="C18582" s="325"/>
      <c r="D18582" s="326"/>
      <c r="E18582" s="326"/>
      <c r="F18582" s="326"/>
      <c r="G18582" s="326"/>
      <c r="H18582" s="326"/>
      <c r="P18582" s="318"/>
      <c r="Q18582" s="318"/>
      <c r="R18582" s="318"/>
      <c r="S18582" s="318"/>
      <c r="T18582" s="318"/>
      <c r="U18582" s="318"/>
      <c r="V18582" s="318"/>
      <c r="W18582" s="318"/>
      <c r="X18582" s="318"/>
      <c r="Y18582" s="318"/>
      <c r="Z18582" s="318"/>
      <c r="AA18582" s="318"/>
      <c r="AB18582" s="318"/>
      <c r="AC18582" s="318"/>
      <c r="AD18582" s="318"/>
    </row>
    <row r="18583" spans="2:30" s="323" customFormat="1" ht="12" customHeight="1">
      <c r="B18583" s="324"/>
      <c r="C18583" s="325"/>
      <c r="D18583" s="326"/>
      <c r="E18583" s="326"/>
      <c r="F18583" s="326"/>
      <c r="G18583" s="326"/>
      <c r="H18583" s="326"/>
      <c r="P18583" s="318"/>
      <c r="Q18583" s="318"/>
      <c r="R18583" s="318"/>
      <c r="S18583" s="318"/>
      <c r="T18583" s="318"/>
      <c r="U18583" s="318"/>
      <c r="V18583" s="318"/>
      <c r="W18583" s="318"/>
      <c r="X18583" s="318"/>
      <c r="Y18583" s="318"/>
      <c r="Z18583" s="318"/>
      <c r="AA18583" s="318"/>
      <c r="AB18583" s="318"/>
      <c r="AC18583" s="318"/>
      <c r="AD18583" s="318"/>
    </row>
    <row r="18584" spans="2:30" s="323" customFormat="1" ht="12" customHeight="1">
      <c r="B18584" s="324"/>
      <c r="C18584" s="325"/>
      <c r="D18584" s="326"/>
      <c r="E18584" s="326"/>
      <c r="F18584" s="326"/>
      <c r="G18584" s="326"/>
      <c r="H18584" s="326"/>
      <c r="P18584" s="318"/>
      <c r="Q18584" s="318"/>
      <c r="R18584" s="318"/>
      <c r="S18584" s="318"/>
      <c r="T18584" s="318"/>
      <c r="U18584" s="318"/>
      <c r="V18584" s="318"/>
      <c r="W18584" s="318"/>
      <c r="X18584" s="318"/>
      <c r="Y18584" s="318"/>
      <c r="Z18584" s="318"/>
      <c r="AA18584" s="318"/>
      <c r="AB18584" s="318"/>
      <c r="AC18584" s="318"/>
      <c r="AD18584" s="318"/>
    </row>
    <row r="18585" spans="2:30" s="323" customFormat="1" ht="12" customHeight="1">
      <c r="B18585" s="324"/>
      <c r="C18585" s="325"/>
      <c r="D18585" s="326"/>
      <c r="E18585" s="326"/>
      <c r="F18585" s="326"/>
      <c r="G18585" s="326"/>
      <c r="H18585" s="326"/>
      <c r="P18585" s="318"/>
      <c r="Q18585" s="318"/>
      <c r="R18585" s="318"/>
      <c r="S18585" s="318"/>
      <c r="T18585" s="318"/>
      <c r="U18585" s="318"/>
      <c r="V18585" s="318"/>
      <c r="W18585" s="318"/>
      <c r="X18585" s="318"/>
      <c r="Y18585" s="318"/>
      <c r="Z18585" s="318"/>
      <c r="AA18585" s="318"/>
      <c r="AB18585" s="318"/>
      <c r="AC18585" s="318"/>
      <c r="AD18585" s="318"/>
    </row>
    <row r="18586" spans="2:30" s="323" customFormat="1" ht="12" customHeight="1">
      <c r="B18586" s="324"/>
      <c r="C18586" s="325"/>
      <c r="D18586" s="326"/>
      <c r="E18586" s="326"/>
      <c r="F18586" s="326"/>
      <c r="G18586" s="326"/>
      <c r="H18586" s="326"/>
      <c r="P18586" s="318"/>
      <c r="Q18586" s="318"/>
      <c r="R18586" s="318"/>
      <c r="S18586" s="318"/>
      <c r="T18586" s="318"/>
      <c r="U18586" s="318"/>
      <c r="V18586" s="318"/>
      <c r="W18586" s="318"/>
      <c r="X18586" s="318"/>
      <c r="Y18586" s="318"/>
      <c r="Z18586" s="318"/>
      <c r="AA18586" s="318"/>
      <c r="AB18586" s="318"/>
      <c r="AC18586" s="318"/>
      <c r="AD18586" s="318"/>
    </row>
    <row r="18587" spans="2:30" s="323" customFormat="1" ht="12" customHeight="1">
      <c r="B18587" s="324"/>
      <c r="C18587" s="325"/>
      <c r="D18587" s="326"/>
      <c r="E18587" s="326"/>
      <c r="F18587" s="326"/>
      <c r="G18587" s="326"/>
      <c r="H18587" s="326"/>
      <c r="P18587" s="318"/>
      <c r="Q18587" s="318"/>
      <c r="R18587" s="318"/>
      <c r="S18587" s="318"/>
      <c r="T18587" s="318"/>
      <c r="U18587" s="318"/>
      <c r="V18587" s="318"/>
      <c r="W18587" s="318"/>
      <c r="X18587" s="318"/>
      <c r="Y18587" s="318"/>
      <c r="Z18587" s="318"/>
      <c r="AA18587" s="318"/>
      <c r="AB18587" s="318"/>
      <c r="AC18587" s="318"/>
      <c r="AD18587" s="318"/>
    </row>
    <row r="18588" spans="2:30" s="323" customFormat="1" ht="12" customHeight="1">
      <c r="B18588" s="324"/>
      <c r="C18588" s="325"/>
      <c r="D18588" s="326"/>
      <c r="E18588" s="326"/>
      <c r="F18588" s="326"/>
      <c r="G18588" s="326"/>
      <c r="H18588" s="326"/>
      <c r="P18588" s="318"/>
      <c r="Q18588" s="318"/>
      <c r="R18588" s="318"/>
      <c r="S18588" s="318"/>
      <c r="T18588" s="318"/>
      <c r="U18588" s="318"/>
      <c r="V18588" s="318"/>
      <c r="W18588" s="318"/>
      <c r="X18588" s="318"/>
      <c r="Y18588" s="318"/>
      <c r="Z18588" s="318"/>
      <c r="AA18588" s="318"/>
      <c r="AB18588" s="318"/>
      <c r="AC18588" s="318"/>
      <c r="AD18588" s="318"/>
    </row>
    <row r="18589" spans="2:30" s="323" customFormat="1" ht="12" customHeight="1">
      <c r="B18589" s="324"/>
      <c r="C18589" s="325"/>
      <c r="D18589" s="326"/>
      <c r="E18589" s="326"/>
      <c r="F18589" s="326"/>
      <c r="G18589" s="326"/>
      <c r="H18589" s="326"/>
      <c r="P18589" s="318"/>
      <c r="Q18589" s="318"/>
      <c r="R18589" s="318"/>
      <c r="S18589" s="318"/>
      <c r="T18589" s="318"/>
      <c r="U18589" s="318"/>
      <c r="V18589" s="318"/>
      <c r="W18589" s="318"/>
      <c r="X18589" s="318"/>
      <c r="Y18589" s="318"/>
      <c r="Z18589" s="318"/>
      <c r="AA18589" s="318"/>
      <c r="AB18589" s="318"/>
      <c r="AC18589" s="318"/>
      <c r="AD18589" s="318"/>
    </row>
    <row r="18590" spans="2:30" s="323" customFormat="1" ht="12" customHeight="1">
      <c r="B18590" s="324"/>
      <c r="C18590" s="325"/>
      <c r="D18590" s="326"/>
      <c r="E18590" s="326"/>
      <c r="F18590" s="326"/>
      <c r="G18590" s="326"/>
      <c r="H18590" s="326"/>
      <c r="P18590" s="318"/>
      <c r="Q18590" s="318"/>
      <c r="R18590" s="318"/>
      <c r="S18590" s="318"/>
      <c r="T18590" s="318"/>
      <c r="U18590" s="318"/>
      <c r="V18590" s="318"/>
      <c r="W18590" s="318"/>
      <c r="X18590" s="318"/>
      <c r="Y18590" s="318"/>
      <c r="Z18590" s="318"/>
      <c r="AA18590" s="318"/>
      <c r="AB18590" s="318"/>
      <c r="AC18590" s="318"/>
      <c r="AD18590" s="318"/>
    </row>
    <row r="18591" spans="2:30" s="323" customFormat="1" ht="12" customHeight="1">
      <c r="B18591" s="324"/>
      <c r="C18591" s="325"/>
      <c r="D18591" s="326"/>
      <c r="E18591" s="326"/>
      <c r="F18591" s="326"/>
      <c r="G18591" s="326"/>
      <c r="H18591" s="326"/>
      <c r="P18591" s="318"/>
      <c r="Q18591" s="318"/>
      <c r="R18591" s="318"/>
      <c r="S18591" s="318"/>
      <c r="T18591" s="318"/>
      <c r="U18591" s="318"/>
      <c r="V18591" s="318"/>
      <c r="W18591" s="318"/>
      <c r="X18591" s="318"/>
      <c r="Y18591" s="318"/>
      <c r="Z18591" s="318"/>
      <c r="AA18591" s="318"/>
      <c r="AB18591" s="318"/>
      <c r="AC18591" s="318"/>
      <c r="AD18591" s="318"/>
    </row>
    <row r="18592" spans="2:30" s="323" customFormat="1" ht="12" customHeight="1">
      <c r="B18592" s="324"/>
      <c r="C18592" s="325"/>
      <c r="D18592" s="326"/>
      <c r="E18592" s="326"/>
      <c r="F18592" s="326"/>
      <c r="G18592" s="326"/>
      <c r="H18592" s="326"/>
      <c r="P18592" s="318"/>
      <c r="Q18592" s="318"/>
      <c r="R18592" s="318"/>
      <c r="S18592" s="318"/>
      <c r="T18592" s="318"/>
      <c r="U18592" s="318"/>
      <c r="V18592" s="318"/>
      <c r="W18592" s="318"/>
      <c r="X18592" s="318"/>
      <c r="Y18592" s="318"/>
      <c r="Z18592" s="318"/>
      <c r="AA18592" s="318"/>
      <c r="AB18592" s="318"/>
      <c r="AC18592" s="318"/>
      <c r="AD18592" s="318"/>
    </row>
    <row r="18593" spans="2:30" s="323" customFormat="1" ht="12" customHeight="1">
      <c r="B18593" s="324"/>
      <c r="C18593" s="325"/>
      <c r="D18593" s="326"/>
      <c r="E18593" s="326"/>
      <c r="F18593" s="326"/>
      <c r="G18593" s="326"/>
      <c r="H18593" s="326"/>
      <c r="P18593" s="318"/>
      <c r="Q18593" s="318"/>
      <c r="R18593" s="318"/>
      <c r="S18593" s="318"/>
      <c r="T18593" s="318"/>
      <c r="U18593" s="318"/>
      <c r="V18593" s="318"/>
      <c r="W18593" s="318"/>
      <c r="X18593" s="318"/>
      <c r="Y18593" s="318"/>
      <c r="Z18593" s="318"/>
      <c r="AA18593" s="318"/>
      <c r="AB18593" s="318"/>
      <c r="AC18593" s="318"/>
      <c r="AD18593" s="318"/>
    </row>
    <row r="18594" spans="2:30" s="323" customFormat="1" ht="12" customHeight="1">
      <c r="B18594" s="324"/>
      <c r="C18594" s="325"/>
      <c r="D18594" s="326"/>
      <c r="E18594" s="326"/>
      <c r="F18594" s="326"/>
      <c r="G18594" s="326"/>
      <c r="H18594" s="326"/>
      <c r="P18594" s="318"/>
      <c r="Q18594" s="318"/>
      <c r="R18594" s="318"/>
      <c r="S18594" s="318"/>
      <c r="T18594" s="318"/>
      <c r="U18594" s="318"/>
      <c r="V18594" s="318"/>
      <c r="W18594" s="318"/>
      <c r="X18594" s="318"/>
      <c r="Y18594" s="318"/>
      <c r="Z18594" s="318"/>
      <c r="AA18594" s="318"/>
      <c r="AB18594" s="318"/>
      <c r="AC18594" s="318"/>
      <c r="AD18594" s="318"/>
    </row>
    <row r="18595" spans="2:30" s="323" customFormat="1" ht="12" customHeight="1">
      <c r="B18595" s="324"/>
      <c r="C18595" s="325"/>
      <c r="D18595" s="326"/>
      <c r="E18595" s="326"/>
      <c r="F18595" s="326"/>
      <c r="G18595" s="326"/>
      <c r="H18595" s="326"/>
      <c r="P18595" s="318"/>
      <c r="Q18595" s="318"/>
      <c r="R18595" s="318"/>
      <c r="S18595" s="318"/>
      <c r="T18595" s="318"/>
      <c r="U18595" s="318"/>
      <c r="V18595" s="318"/>
      <c r="W18595" s="318"/>
      <c r="X18595" s="318"/>
      <c r="Y18595" s="318"/>
      <c r="Z18595" s="318"/>
      <c r="AA18595" s="318"/>
      <c r="AB18595" s="318"/>
      <c r="AC18595" s="318"/>
      <c r="AD18595" s="318"/>
    </row>
    <row r="18596" spans="2:30" s="323" customFormat="1" ht="12" customHeight="1">
      <c r="B18596" s="324"/>
      <c r="C18596" s="325"/>
      <c r="D18596" s="326"/>
      <c r="E18596" s="326"/>
      <c r="F18596" s="326"/>
      <c r="G18596" s="326"/>
      <c r="H18596" s="326"/>
      <c r="P18596" s="318"/>
      <c r="Q18596" s="318"/>
      <c r="R18596" s="318"/>
      <c r="S18596" s="318"/>
      <c r="T18596" s="318"/>
      <c r="U18596" s="318"/>
      <c r="V18596" s="318"/>
      <c r="W18596" s="318"/>
      <c r="X18596" s="318"/>
      <c r="Y18596" s="318"/>
      <c r="Z18596" s="318"/>
      <c r="AA18596" s="318"/>
      <c r="AB18596" s="318"/>
      <c r="AC18596" s="318"/>
      <c r="AD18596" s="318"/>
    </row>
    <row r="18597" spans="2:30" s="323" customFormat="1" ht="12" customHeight="1">
      <c r="B18597" s="324"/>
      <c r="C18597" s="325"/>
      <c r="D18597" s="326"/>
      <c r="E18597" s="326"/>
      <c r="F18597" s="326"/>
      <c r="G18597" s="326"/>
      <c r="H18597" s="326"/>
      <c r="P18597" s="318"/>
      <c r="Q18597" s="318"/>
      <c r="R18597" s="318"/>
      <c r="S18597" s="318"/>
      <c r="T18597" s="318"/>
      <c r="U18597" s="318"/>
      <c r="V18597" s="318"/>
      <c r="W18597" s="318"/>
      <c r="X18597" s="318"/>
      <c r="Y18597" s="318"/>
      <c r="Z18597" s="318"/>
      <c r="AA18597" s="318"/>
      <c r="AB18597" s="318"/>
      <c r="AC18597" s="318"/>
      <c r="AD18597" s="318"/>
    </row>
    <row r="18598" spans="2:30" s="323" customFormat="1" ht="12" customHeight="1">
      <c r="B18598" s="324"/>
      <c r="C18598" s="325"/>
      <c r="D18598" s="326"/>
      <c r="E18598" s="326"/>
      <c r="F18598" s="326"/>
      <c r="G18598" s="326"/>
      <c r="H18598" s="326"/>
      <c r="P18598" s="318"/>
      <c r="Q18598" s="318"/>
      <c r="R18598" s="318"/>
      <c r="S18598" s="318"/>
      <c r="T18598" s="318"/>
      <c r="U18598" s="318"/>
      <c r="V18598" s="318"/>
      <c r="W18598" s="318"/>
      <c r="X18598" s="318"/>
      <c r="Y18598" s="318"/>
      <c r="Z18598" s="318"/>
      <c r="AA18598" s="318"/>
      <c r="AB18598" s="318"/>
      <c r="AC18598" s="318"/>
      <c r="AD18598" s="318"/>
    </row>
    <row r="18599" spans="2:30" s="323" customFormat="1" ht="12" customHeight="1">
      <c r="B18599" s="324"/>
      <c r="C18599" s="325"/>
      <c r="D18599" s="326"/>
      <c r="E18599" s="326"/>
      <c r="F18599" s="326"/>
      <c r="G18599" s="326"/>
      <c r="H18599" s="326"/>
      <c r="P18599" s="318"/>
      <c r="Q18599" s="318"/>
      <c r="R18599" s="318"/>
      <c r="S18599" s="318"/>
      <c r="T18599" s="318"/>
      <c r="U18599" s="318"/>
      <c r="V18599" s="318"/>
      <c r="W18599" s="318"/>
      <c r="X18599" s="318"/>
      <c r="Y18599" s="318"/>
      <c r="Z18599" s="318"/>
      <c r="AA18599" s="318"/>
      <c r="AB18599" s="318"/>
      <c r="AC18599" s="318"/>
      <c r="AD18599" s="318"/>
    </row>
    <row r="18600" spans="2:30" s="323" customFormat="1" ht="12" customHeight="1">
      <c r="B18600" s="324"/>
      <c r="C18600" s="325"/>
      <c r="D18600" s="326"/>
      <c r="E18600" s="326"/>
      <c r="F18600" s="326"/>
      <c r="G18600" s="326"/>
      <c r="H18600" s="326"/>
      <c r="P18600" s="318"/>
      <c r="Q18600" s="318"/>
      <c r="R18600" s="318"/>
      <c r="S18600" s="318"/>
      <c r="T18600" s="318"/>
      <c r="U18600" s="318"/>
      <c r="V18600" s="318"/>
      <c r="W18600" s="318"/>
      <c r="X18600" s="318"/>
      <c r="Y18600" s="318"/>
      <c r="Z18600" s="318"/>
      <c r="AA18600" s="318"/>
      <c r="AB18600" s="318"/>
      <c r="AC18600" s="318"/>
      <c r="AD18600" s="318"/>
    </row>
    <row r="18601" spans="2:30" s="323" customFormat="1" ht="12" customHeight="1">
      <c r="B18601" s="324"/>
      <c r="C18601" s="325"/>
      <c r="D18601" s="326"/>
      <c r="E18601" s="326"/>
      <c r="F18601" s="326"/>
      <c r="G18601" s="326"/>
      <c r="H18601" s="326"/>
      <c r="P18601" s="318"/>
      <c r="Q18601" s="318"/>
      <c r="R18601" s="318"/>
      <c r="S18601" s="318"/>
      <c r="T18601" s="318"/>
      <c r="U18601" s="318"/>
      <c r="V18601" s="318"/>
      <c r="W18601" s="318"/>
      <c r="X18601" s="318"/>
      <c r="Y18601" s="318"/>
      <c r="Z18601" s="318"/>
      <c r="AA18601" s="318"/>
      <c r="AB18601" s="318"/>
      <c r="AC18601" s="318"/>
      <c r="AD18601" s="318"/>
    </row>
    <row r="18602" spans="2:30" s="323" customFormat="1" ht="12" customHeight="1">
      <c r="B18602" s="324"/>
      <c r="C18602" s="325"/>
      <c r="D18602" s="326"/>
      <c r="E18602" s="326"/>
      <c r="F18602" s="326"/>
      <c r="G18602" s="326"/>
      <c r="H18602" s="326"/>
      <c r="P18602" s="318"/>
      <c r="Q18602" s="318"/>
      <c r="R18602" s="318"/>
      <c r="S18602" s="318"/>
      <c r="T18602" s="318"/>
      <c r="U18602" s="318"/>
      <c r="V18602" s="318"/>
      <c r="W18602" s="318"/>
      <c r="X18602" s="318"/>
      <c r="Y18602" s="318"/>
      <c r="Z18602" s="318"/>
      <c r="AA18602" s="318"/>
      <c r="AB18602" s="318"/>
      <c r="AC18602" s="318"/>
      <c r="AD18602" s="318"/>
    </row>
    <row r="18603" spans="2:30" s="323" customFormat="1" ht="12" customHeight="1">
      <c r="B18603" s="324"/>
      <c r="C18603" s="325"/>
      <c r="D18603" s="326"/>
      <c r="E18603" s="326"/>
      <c r="F18603" s="326"/>
      <c r="G18603" s="326"/>
      <c r="H18603" s="326"/>
      <c r="P18603" s="318"/>
      <c r="Q18603" s="318"/>
      <c r="R18603" s="318"/>
      <c r="S18603" s="318"/>
      <c r="T18603" s="318"/>
      <c r="U18603" s="318"/>
      <c r="V18603" s="318"/>
      <c r="W18603" s="318"/>
      <c r="X18603" s="318"/>
      <c r="Y18603" s="318"/>
      <c r="Z18603" s="318"/>
      <c r="AA18603" s="318"/>
      <c r="AB18603" s="318"/>
      <c r="AC18603" s="318"/>
      <c r="AD18603" s="318"/>
    </row>
    <row r="18604" spans="2:30" s="323" customFormat="1" ht="12" customHeight="1">
      <c r="B18604" s="324"/>
      <c r="C18604" s="325"/>
      <c r="D18604" s="326"/>
      <c r="E18604" s="326"/>
      <c r="F18604" s="326"/>
      <c r="G18604" s="326"/>
      <c r="H18604" s="326"/>
      <c r="P18604" s="318"/>
      <c r="Q18604" s="318"/>
      <c r="R18604" s="318"/>
      <c r="S18604" s="318"/>
      <c r="T18604" s="318"/>
      <c r="U18604" s="318"/>
      <c r="V18604" s="318"/>
      <c r="W18604" s="318"/>
      <c r="X18604" s="318"/>
      <c r="Y18604" s="318"/>
      <c r="Z18604" s="318"/>
      <c r="AA18604" s="318"/>
      <c r="AB18604" s="318"/>
      <c r="AC18604" s="318"/>
      <c r="AD18604" s="318"/>
    </row>
    <row r="18605" spans="2:30" s="323" customFormat="1" ht="12" customHeight="1">
      <c r="B18605" s="324"/>
      <c r="C18605" s="325"/>
      <c r="D18605" s="326"/>
      <c r="E18605" s="326"/>
      <c r="F18605" s="326"/>
      <c r="G18605" s="326"/>
      <c r="H18605" s="326"/>
      <c r="P18605" s="318"/>
      <c r="Q18605" s="318"/>
      <c r="R18605" s="318"/>
      <c r="S18605" s="318"/>
      <c r="T18605" s="318"/>
      <c r="U18605" s="318"/>
      <c r="V18605" s="318"/>
      <c r="W18605" s="318"/>
      <c r="X18605" s="318"/>
      <c r="Y18605" s="318"/>
      <c r="Z18605" s="318"/>
      <c r="AA18605" s="318"/>
      <c r="AB18605" s="318"/>
      <c r="AC18605" s="318"/>
      <c r="AD18605" s="318"/>
    </row>
    <row r="18606" spans="2:30" s="323" customFormat="1" ht="12" customHeight="1">
      <c r="B18606" s="324"/>
      <c r="C18606" s="325"/>
      <c r="D18606" s="326"/>
      <c r="E18606" s="326"/>
      <c r="F18606" s="326"/>
      <c r="G18606" s="326"/>
      <c r="H18606" s="326"/>
      <c r="P18606" s="318"/>
      <c r="Q18606" s="318"/>
      <c r="R18606" s="318"/>
      <c r="S18606" s="318"/>
      <c r="T18606" s="318"/>
      <c r="U18606" s="318"/>
      <c r="V18606" s="318"/>
      <c r="W18606" s="318"/>
      <c r="X18606" s="318"/>
      <c r="Y18606" s="318"/>
      <c r="Z18606" s="318"/>
      <c r="AA18606" s="318"/>
      <c r="AB18606" s="318"/>
      <c r="AC18606" s="318"/>
      <c r="AD18606" s="318"/>
    </row>
    <row r="18607" spans="2:30" s="323" customFormat="1" ht="12" customHeight="1">
      <c r="B18607" s="324"/>
      <c r="C18607" s="325"/>
      <c r="D18607" s="326"/>
      <c r="E18607" s="326"/>
      <c r="F18607" s="326"/>
      <c r="G18607" s="326"/>
      <c r="H18607" s="326"/>
      <c r="P18607" s="318"/>
      <c r="Q18607" s="318"/>
      <c r="R18607" s="318"/>
      <c r="S18607" s="318"/>
      <c r="T18607" s="318"/>
      <c r="U18607" s="318"/>
      <c r="V18607" s="318"/>
      <c r="W18607" s="318"/>
      <c r="X18607" s="318"/>
      <c r="Y18607" s="318"/>
      <c r="Z18607" s="318"/>
      <c r="AA18607" s="318"/>
      <c r="AB18607" s="318"/>
      <c r="AC18607" s="318"/>
      <c r="AD18607" s="318"/>
    </row>
    <row r="18608" spans="2:30" s="323" customFormat="1" ht="12" customHeight="1">
      <c r="B18608" s="324"/>
      <c r="C18608" s="325"/>
      <c r="D18608" s="326"/>
      <c r="E18608" s="326"/>
      <c r="F18608" s="326"/>
      <c r="G18608" s="326"/>
      <c r="H18608" s="326"/>
      <c r="P18608" s="318"/>
      <c r="Q18608" s="318"/>
      <c r="R18608" s="318"/>
      <c r="S18608" s="318"/>
      <c r="T18608" s="318"/>
      <c r="U18608" s="318"/>
      <c r="V18608" s="318"/>
      <c r="W18608" s="318"/>
      <c r="X18608" s="318"/>
      <c r="Y18608" s="318"/>
      <c r="Z18608" s="318"/>
      <c r="AA18608" s="318"/>
      <c r="AB18608" s="318"/>
      <c r="AC18608" s="318"/>
      <c r="AD18608" s="318"/>
    </row>
    <row r="18609" spans="2:30" s="323" customFormat="1" ht="12" customHeight="1">
      <c r="B18609" s="324"/>
      <c r="C18609" s="325"/>
      <c r="D18609" s="326"/>
      <c r="E18609" s="326"/>
      <c r="F18609" s="326"/>
      <c r="G18609" s="326"/>
      <c r="H18609" s="326"/>
      <c r="P18609" s="318"/>
      <c r="Q18609" s="318"/>
      <c r="R18609" s="318"/>
      <c r="S18609" s="318"/>
      <c r="T18609" s="318"/>
      <c r="U18609" s="318"/>
      <c r="V18609" s="318"/>
      <c r="W18609" s="318"/>
      <c r="X18609" s="318"/>
      <c r="Y18609" s="318"/>
      <c r="Z18609" s="318"/>
      <c r="AA18609" s="318"/>
      <c r="AB18609" s="318"/>
      <c r="AC18609" s="318"/>
      <c r="AD18609" s="318"/>
    </row>
    <row r="18610" spans="2:30" s="323" customFormat="1" ht="12" customHeight="1">
      <c r="B18610" s="324"/>
      <c r="C18610" s="325"/>
      <c r="D18610" s="326"/>
      <c r="E18610" s="326"/>
      <c r="F18610" s="326"/>
      <c r="G18610" s="326"/>
      <c r="H18610" s="326"/>
      <c r="P18610" s="318"/>
      <c r="Q18610" s="318"/>
      <c r="R18610" s="318"/>
      <c r="S18610" s="318"/>
      <c r="T18610" s="318"/>
      <c r="U18610" s="318"/>
      <c r="V18610" s="318"/>
      <c r="W18610" s="318"/>
      <c r="X18610" s="318"/>
      <c r="Y18610" s="318"/>
      <c r="Z18610" s="318"/>
      <c r="AA18610" s="318"/>
      <c r="AB18610" s="318"/>
      <c r="AC18610" s="318"/>
      <c r="AD18610" s="318"/>
    </row>
    <row r="18611" spans="2:30" s="323" customFormat="1" ht="12" customHeight="1">
      <c r="B18611" s="324"/>
      <c r="C18611" s="325"/>
      <c r="D18611" s="326"/>
      <c r="E18611" s="326"/>
      <c r="F18611" s="326"/>
      <c r="G18611" s="326"/>
      <c r="H18611" s="326"/>
      <c r="P18611" s="318"/>
      <c r="Q18611" s="318"/>
      <c r="R18611" s="318"/>
      <c r="S18611" s="318"/>
      <c r="T18611" s="318"/>
      <c r="U18611" s="318"/>
      <c r="V18611" s="318"/>
      <c r="W18611" s="318"/>
      <c r="X18611" s="318"/>
      <c r="Y18611" s="318"/>
      <c r="Z18611" s="318"/>
      <c r="AA18611" s="318"/>
      <c r="AB18611" s="318"/>
      <c r="AC18611" s="318"/>
      <c r="AD18611" s="318"/>
    </row>
    <row r="18612" spans="2:30" s="323" customFormat="1" ht="12" customHeight="1">
      <c r="B18612" s="324"/>
      <c r="C18612" s="325"/>
      <c r="D18612" s="326"/>
      <c r="E18612" s="326"/>
      <c r="F18612" s="326"/>
      <c r="G18612" s="326"/>
      <c r="H18612" s="326"/>
      <c r="P18612" s="318"/>
      <c r="Q18612" s="318"/>
      <c r="R18612" s="318"/>
      <c r="S18612" s="318"/>
      <c r="T18612" s="318"/>
      <c r="U18612" s="318"/>
      <c r="V18612" s="318"/>
      <c r="W18612" s="318"/>
      <c r="X18612" s="318"/>
      <c r="Y18612" s="318"/>
      <c r="Z18612" s="318"/>
      <c r="AA18612" s="318"/>
      <c r="AB18612" s="318"/>
      <c r="AC18612" s="318"/>
      <c r="AD18612" s="318"/>
    </row>
    <row r="18613" spans="2:30" s="323" customFormat="1" ht="12" customHeight="1">
      <c r="B18613" s="324"/>
      <c r="C18613" s="325"/>
      <c r="D18613" s="326"/>
      <c r="E18613" s="326"/>
      <c r="F18613" s="326"/>
      <c r="G18613" s="326"/>
      <c r="H18613" s="326"/>
      <c r="P18613" s="318"/>
      <c r="Q18613" s="318"/>
      <c r="R18613" s="318"/>
      <c r="S18613" s="318"/>
      <c r="T18613" s="318"/>
      <c r="U18613" s="318"/>
      <c r="V18613" s="318"/>
      <c r="W18613" s="318"/>
      <c r="X18613" s="318"/>
      <c r="Y18613" s="318"/>
      <c r="Z18613" s="318"/>
      <c r="AA18613" s="318"/>
      <c r="AB18613" s="318"/>
      <c r="AC18613" s="318"/>
      <c r="AD18613" s="318"/>
    </row>
    <row r="18614" spans="2:30" s="323" customFormat="1" ht="12" customHeight="1">
      <c r="B18614" s="324"/>
      <c r="C18614" s="325"/>
      <c r="D18614" s="326"/>
      <c r="E18614" s="326"/>
      <c r="F18614" s="326"/>
      <c r="G18614" s="326"/>
      <c r="H18614" s="326"/>
      <c r="P18614" s="318"/>
      <c r="Q18614" s="318"/>
      <c r="R18614" s="318"/>
      <c r="S18614" s="318"/>
      <c r="T18614" s="318"/>
      <c r="U18614" s="318"/>
      <c r="V18614" s="318"/>
      <c r="W18614" s="318"/>
      <c r="X18614" s="318"/>
      <c r="Y18614" s="318"/>
      <c r="Z18614" s="318"/>
      <c r="AA18614" s="318"/>
      <c r="AB18614" s="318"/>
      <c r="AC18614" s="318"/>
      <c r="AD18614" s="318"/>
    </row>
    <row r="18615" spans="2:30" s="323" customFormat="1" ht="12" customHeight="1">
      <c r="B18615" s="324"/>
      <c r="C18615" s="325"/>
      <c r="D18615" s="326"/>
      <c r="E18615" s="326"/>
      <c r="F18615" s="326"/>
      <c r="G18615" s="326"/>
      <c r="H18615" s="326"/>
      <c r="P18615" s="318"/>
      <c r="Q18615" s="318"/>
      <c r="R18615" s="318"/>
      <c r="S18615" s="318"/>
      <c r="T18615" s="318"/>
      <c r="U18615" s="318"/>
      <c r="V18615" s="318"/>
      <c r="W18615" s="318"/>
      <c r="X18615" s="318"/>
      <c r="Y18615" s="318"/>
      <c r="Z18615" s="318"/>
      <c r="AA18615" s="318"/>
      <c r="AB18615" s="318"/>
      <c r="AC18615" s="318"/>
      <c r="AD18615" s="318"/>
    </row>
    <row r="18616" spans="2:30" s="323" customFormat="1" ht="12" customHeight="1">
      <c r="B18616" s="324"/>
      <c r="C18616" s="325"/>
      <c r="D18616" s="326"/>
      <c r="E18616" s="326"/>
      <c r="F18616" s="326"/>
      <c r="G18616" s="326"/>
      <c r="H18616" s="326"/>
      <c r="P18616" s="318"/>
      <c r="Q18616" s="318"/>
      <c r="R18616" s="318"/>
      <c r="S18616" s="318"/>
      <c r="T18616" s="318"/>
      <c r="U18616" s="318"/>
      <c r="V18616" s="318"/>
      <c r="W18616" s="318"/>
      <c r="X18616" s="318"/>
      <c r="Y18616" s="318"/>
      <c r="Z18616" s="318"/>
      <c r="AA18616" s="318"/>
      <c r="AB18616" s="318"/>
      <c r="AC18616" s="318"/>
      <c r="AD18616" s="318"/>
    </row>
    <row r="18617" spans="2:30" s="323" customFormat="1" ht="12" customHeight="1">
      <c r="B18617" s="324"/>
      <c r="C18617" s="325"/>
      <c r="D18617" s="326"/>
      <c r="E18617" s="326"/>
      <c r="F18617" s="326"/>
      <c r="G18617" s="326"/>
      <c r="H18617" s="326"/>
      <c r="P18617" s="318"/>
      <c r="Q18617" s="318"/>
      <c r="R18617" s="318"/>
      <c r="S18617" s="318"/>
      <c r="T18617" s="318"/>
      <c r="U18617" s="318"/>
      <c r="V18617" s="318"/>
      <c r="W18617" s="318"/>
      <c r="X18617" s="318"/>
      <c r="Y18617" s="318"/>
      <c r="Z18617" s="318"/>
      <c r="AA18617" s="318"/>
      <c r="AB18617" s="318"/>
      <c r="AC18617" s="318"/>
      <c r="AD18617" s="318"/>
    </row>
    <row r="18618" spans="2:30" s="323" customFormat="1" ht="12" customHeight="1">
      <c r="B18618" s="324"/>
      <c r="C18618" s="325"/>
      <c r="D18618" s="326"/>
      <c r="E18618" s="326"/>
      <c r="F18618" s="326"/>
      <c r="G18618" s="326"/>
      <c r="H18618" s="326"/>
      <c r="P18618" s="318"/>
      <c r="Q18618" s="318"/>
      <c r="R18618" s="318"/>
      <c r="S18618" s="318"/>
      <c r="T18618" s="318"/>
      <c r="U18618" s="318"/>
      <c r="V18618" s="318"/>
      <c r="W18618" s="318"/>
      <c r="X18618" s="318"/>
      <c r="Y18618" s="318"/>
      <c r="Z18618" s="318"/>
      <c r="AA18618" s="318"/>
      <c r="AB18618" s="318"/>
      <c r="AC18618" s="318"/>
      <c r="AD18618" s="318"/>
    </row>
    <row r="18619" spans="2:30" s="323" customFormat="1" ht="12" customHeight="1">
      <c r="B18619" s="324"/>
      <c r="C18619" s="325"/>
      <c r="D18619" s="326"/>
      <c r="E18619" s="326"/>
      <c r="F18619" s="326"/>
      <c r="G18619" s="326"/>
      <c r="H18619" s="326"/>
      <c r="P18619" s="318"/>
      <c r="Q18619" s="318"/>
      <c r="R18619" s="318"/>
      <c r="S18619" s="318"/>
      <c r="T18619" s="318"/>
      <c r="U18619" s="318"/>
      <c r="V18619" s="318"/>
      <c r="W18619" s="318"/>
      <c r="X18619" s="318"/>
      <c r="Y18619" s="318"/>
      <c r="Z18619" s="318"/>
      <c r="AA18619" s="318"/>
      <c r="AB18619" s="318"/>
      <c r="AC18619" s="318"/>
      <c r="AD18619" s="318"/>
    </row>
    <row r="18620" spans="2:30" s="323" customFormat="1" ht="12" customHeight="1">
      <c r="B18620" s="324"/>
      <c r="C18620" s="325"/>
      <c r="D18620" s="326"/>
      <c r="E18620" s="326"/>
      <c r="F18620" s="326"/>
      <c r="G18620" s="326"/>
      <c r="H18620" s="326"/>
      <c r="P18620" s="318"/>
      <c r="Q18620" s="318"/>
      <c r="R18620" s="318"/>
      <c r="S18620" s="318"/>
      <c r="T18620" s="318"/>
      <c r="U18620" s="318"/>
      <c r="V18620" s="318"/>
      <c r="W18620" s="318"/>
      <c r="X18620" s="318"/>
      <c r="Y18620" s="318"/>
      <c r="Z18620" s="318"/>
      <c r="AA18620" s="318"/>
      <c r="AB18620" s="318"/>
      <c r="AC18620" s="318"/>
      <c r="AD18620" s="318"/>
    </row>
    <row r="18621" spans="2:30" s="323" customFormat="1" ht="12" customHeight="1">
      <c r="B18621" s="324"/>
      <c r="C18621" s="325"/>
      <c r="D18621" s="326"/>
      <c r="E18621" s="326"/>
      <c r="F18621" s="326"/>
      <c r="G18621" s="326"/>
      <c r="H18621" s="326"/>
      <c r="P18621" s="318"/>
      <c r="Q18621" s="318"/>
      <c r="R18621" s="318"/>
      <c r="S18621" s="318"/>
      <c r="T18621" s="318"/>
      <c r="U18621" s="318"/>
      <c r="V18621" s="318"/>
      <c r="W18621" s="318"/>
      <c r="X18621" s="318"/>
      <c r="Y18621" s="318"/>
      <c r="Z18621" s="318"/>
      <c r="AA18621" s="318"/>
      <c r="AB18621" s="318"/>
      <c r="AC18621" s="318"/>
      <c r="AD18621" s="318"/>
    </row>
    <row r="18622" spans="2:30" s="323" customFormat="1" ht="12" customHeight="1">
      <c r="B18622" s="324"/>
      <c r="C18622" s="325"/>
      <c r="D18622" s="326"/>
      <c r="E18622" s="326"/>
      <c r="F18622" s="326"/>
      <c r="G18622" s="326"/>
      <c r="H18622" s="326"/>
      <c r="P18622" s="318"/>
      <c r="Q18622" s="318"/>
      <c r="R18622" s="318"/>
      <c r="S18622" s="318"/>
      <c r="T18622" s="318"/>
      <c r="U18622" s="318"/>
      <c r="V18622" s="318"/>
      <c r="W18622" s="318"/>
      <c r="X18622" s="318"/>
      <c r="Y18622" s="318"/>
      <c r="Z18622" s="318"/>
      <c r="AA18622" s="318"/>
      <c r="AB18622" s="318"/>
      <c r="AC18622" s="318"/>
      <c r="AD18622" s="318"/>
    </row>
    <row r="18623" spans="2:30" s="323" customFormat="1" ht="12" customHeight="1">
      <c r="B18623" s="324"/>
      <c r="C18623" s="325"/>
      <c r="D18623" s="326"/>
      <c r="E18623" s="326"/>
      <c r="F18623" s="326"/>
      <c r="G18623" s="326"/>
      <c r="H18623" s="326"/>
      <c r="P18623" s="318"/>
      <c r="Q18623" s="318"/>
      <c r="R18623" s="318"/>
      <c r="S18623" s="318"/>
      <c r="T18623" s="318"/>
      <c r="U18623" s="318"/>
      <c r="V18623" s="318"/>
      <c r="W18623" s="318"/>
      <c r="X18623" s="318"/>
      <c r="Y18623" s="318"/>
      <c r="Z18623" s="318"/>
      <c r="AA18623" s="318"/>
      <c r="AB18623" s="318"/>
      <c r="AC18623" s="318"/>
      <c r="AD18623" s="318"/>
    </row>
    <row r="18624" spans="2:30" s="323" customFormat="1" ht="12" customHeight="1">
      <c r="B18624" s="324"/>
      <c r="C18624" s="325"/>
      <c r="D18624" s="326"/>
      <c r="E18624" s="326"/>
      <c r="F18624" s="326"/>
      <c r="G18624" s="326"/>
      <c r="H18624" s="326"/>
      <c r="P18624" s="318"/>
      <c r="Q18624" s="318"/>
      <c r="R18624" s="318"/>
      <c r="S18624" s="318"/>
      <c r="T18624" s="318"/>
      <c r="U18624" s="318"/>
      <c r="V18624" s="318"/>
      <c r="W18624" s="318"/>
      <c r="X18624" s="318"/>
      <c r="Y18624" s="318"/>
      <c r="Z18624" s="318"/>
      <c r="AA18624" s="318"/>
      <c r="AB18624" s="318"/>
      <c r="AC18624" s="318"/>
      <c r="AD18624" s="318"/>
    </row>
    <row r="18625" spans="2:30" s="323" customFormat="1" ht="12" customHeight="1">
      <c r="B18625" s="324"/>
      <c r="C18625" s="325"/>
      <c r="D18625" s="326"/>
      <c r="E18625" s="326"/>
      <c r="F18625" s="326"/>
      <c r="G18625" s="326"/>
      <c r="H18625" s="326"/>
      <c r="P18625" s="318"/>
      <c r="Q18625" s="318"/>
      <c r="R18625" s="318"/>
      <c r="S18625" s="318"/>
      <c r="T18625" s="318"/>
      <c r="U18625" s="318"/>
      <c r="V18625" s="318"/>
      <c r="W18625" s="318"/>
      <c r="X18625" s="318"/>
      <c r="Y18625" s="318"/>
      <c r="Z18625" s="318"/>
      <c r="AA18625" s="318"/>
      <c r="AB18625" s="318"/>
      <c r="AC18625" s="318"/>
      <c r="AD18625" s="318"/>
    </row>
    <row r="18626" spans="2:30" s="323" customFormat="1" ht="12" customHeight="1">
      <c r="B18626" s="324"/>
      <c r="C18626" s="325"/>
      <c r="D18626" s="326"/>
      <c r="E18626" s="326"/>
      <c r="F18626" s="326"/>
      <c r="G18626" s="326"/>
      <c r="H18626" s="326"/>
      <c r="P18626" s="318"/>
      <c r="Q18626" s="318"/>
      <c r="R18626" s="318"/>
      <c r="S18626" s="318"/>
      <c r="T18626" s="318"/>
      <c r="U18626" s="318"/>
      <c r="V18626" s="318"/>
      <c r="W18626" s="318"/>
      <c r="X18626" s="318"/>
      <c r="Y18626" s="318"/>
      <c r="Z18626" s="318"/>
      <c r="AA18626" s="318"/>
      <c r="AB18626" s="318"/>
      <c r="AC18626" s="318"/>
      <c r="AD18626" s="318"/>
    </row>
    <row r="18627" spans="2:30" s="323" customFormat="1" ht="12" customHeight="1">
      <c r="B18627" s="324"/>
      <c r="C18627" s="325"/>
      <c r="D18627" s="326"/>
      <c r="E18627" s="326"/>
      <c r="F18627" s="326"/>
      <c r="G18627" s="326"/>
      <c r="H18627" s="326"/>
      <c r="P18627" s="318"/>
      <c r="Q18627" s="318"/>
      <c r="R18627" s="318"/>
      <c r="S18627" s="318"/>
      <c r="T18627" s="318"/>
      <c r="U18627" s="318"/>
      <c r="V18627" s="318"/>
      <c r="W18627" s="318"/>
      <c r="X18627" s="318"/>
      <c r="Y18627" s="318"/>
      <c r="Z18627" s="318"/>
      <c r="AA18627" s="318"/>
      <c r="AB18627" s="318"/>
      <c r="AC18627" s="318"/>
      <c r="AD18627" s="318"/>
    </row>
    <row r="18628" spans="2:30" s="323" customFormat="1" ht="12" customHeight="1">
      <c r="B18628" s="324"/>
      <c r="C18628" s="325"/>
      <c r="D18628" s="326"/>
      <c r="E18628" s="326"/>
      <c r="F18628" s="326"/>
      <c r="G18628" s="326"/>
      <c r="H18628" s="326"/>
      <c r="P18628" s="318"/>
      <c r="Q18628" s="318"/>
      <c r="R18628" s="318"/>
      <c r="S18628" s="318"/>
      <c r="T18628" s="318"/>
      <c r="U18628" s="318"/>
      <c r="V18628" s="318"/>
      <c r="W18628" s="318"/>
      <c r="X18628" s="318"/>
      <c r="Y18628" s="318"/>
      <c r="Z18628" s="318"/>
      <c r="AA18628" s="318"/>
      <c r="AB18628" s="318"/>
      <c r="AC18628" s="318"/>
      <c r="AD18628" s="318"/>
    </row>
    <row r="18629" spans="2:30" s="323" customFormat="1" ht="12" customHeight="1">
      <c r="B18629" s="324"/>
      <c r="C18629" s="325"/>
      <c r="D18629" s="326"/>
      <c r="E18629" s="326"/>
      <c r="F18629" s="326"/>
      <c r="G18629" s="326"/>
      <c r="H18629" s="326"/>
      <c r="P18629" s="318"/>
      <c r="Q18629" s="318"/>
      <c r="R18629" s="318"/>
      <c r="S18629" s="318"/>
      <c r="T18629" s="318"/>
      <c r="U18629" s="318"/>
      <c r="V18629" s="318"/>
      <c r="W18629" s="318"/>
      <c r="X18629" s="318"/>
      <c r="Y18629" s="318"/>
      <c r="Z18629" s="318"/>
      <c r="AA18629" s="318"/>
      <c r="AB18629" s="318"/>
      <c r="AC18629" s="318"/>
      <c r="AD18629" s="318"/>
    </row>
    <row r="18630" spans="2:30" s="323" customFormat="1" ht="12" customHeight="1">
      <c r="B18630" s="324"/>
      <c r="C18630" s="325"/>
      <c r="D18630" s="326"/>
      <c r="E18630" s="326"/>
      <c r="F18630" s="326"/>
      <c r="G18630" s="326"/>
      <c r="H18630" s="326"/>
      <c r="P18630" s="318"/>
      <c r="Q18630" s="318"/>
      <c r="R18630" s="318"/>
      <c r="S18630" s="318"/>
      <c r="T18630" s="318"/>
      <c r="U18630" s="318"/>
      <c r="V18630" s="318"/>
      <c r="W18630" s="318"/>
      <c r="X18630" s="318"/>
      <c r="Y18630" s="318"/>
      <c r="Z18630" s="318"/>
      <c r="AA18630" s="318"/>
      <c r="AB18630" s="318"/>
      <c r="AC18630" s="318"/>
      <c r="AD18630" s="318"/>
    </row>
    <row r="18631" spans="2:30" s="323" customFormat="1" ht="12" customHeight="1">
      <c r="B18631" s="324"/>
      <c r="C18631" s="325"/>
      <c r="D18631" s="326"/>
      <c r="E18631" s="326"/>
      <c r="F18631" s="326"/>
      <c r="G18631" s="326"/>
      <c r="H18631" s="326"/>
      <c r="P18631" s="318"/>
      <c r="Q18631" s="318"/>
      <c r="R18631" s="318"/>
      <c r="S18631" s="318"/>
      <c r="T18631" s="318"/>
      <c r="U18631" s="318"/>
      <c r="V18631" s="318"/>
      <c r="W18631" s="318"/>
      <c r="X18631" s="318"/>
      <c r="Y18631" s="318"/>
      <c r="Z18631" s="318"/>
      <c r="AA18631" s="318"/>
      <c r="AB18631" s="318"/>
      <c r="AC18631" s="318"/>
      <c r="AD18631" s="318"/>
    </row>
    <row r="18632" spans="2:30" s="323" customFormat="1" ht="12" customHeight="1">
      <c r="B18632" s="324"/>
      <c r="C18632" s="325"/>
      <c r="D18632" s="326"/>
      <c r="E18632" s="326"/>
      <c r="F18632" s="326"/>
      <c r="G18632" s="326"/>
      <c r="H18632" s="326"/>
      <c r="P18632" s="318"/>
      <c r="Q18632" s="318"/>
      <c r="R18632" s="318"/>
      <c r="S18632" s="318"/>
      <c r="T18632" s="318"/>
      <c r="U18632" s="318"/>
      <c r="V18632" s="318"/>
      <c r="W18632" s="318"/>
      <c r="X18632" s="318"/>
      <c r="Y18632" s="318"/>
      <c r="Z18632" s="318"/>
      <c r="AA18632" s="318"/>
      <c r="AB18632" s="318"/>
      <c r="AC18632" s="318"/>
      <c r="AD18632" s="318"/>
    </row>
    <row r="18633" spans="2:30" s="323" customFormat="1" ht="12" customHeight="1">
      <c r="B18633" s="324"/>
      <c r="C18633" s="325"/>
      <c r="D18633" s="326"/>
      <c r="E18633" s="326"/>
      <c r="F18633" s="326"/>
      <c r="G18633" s="326"/>
      <c r="H18633" s="326"/>
      <c r="P18633" s="318"/>
      <c r="Q18633" s="318"/>
      <c r="R18633" s="318"/>
      <c r="S18633" s="318"/>
      <c r="T18633" s="318"/>
      <c r="U18633" s="318"/>
      <c r="V18633" s="318"/>
      <c r="W18633" s="318"/>
      <c r="X18633" s="318"/>
      <c r="Y18633" s="318"/>
      <c r="Z18633" s="318"/>
      <c r="AA18633" s="318"/>
      <c r="AB18633" s="318"/>
      <c r="AC18633" s="318"/>
      <c r="AD18633" s="318"/>
    </row>
    <row r="18634" spans="2:30" s="323" customFormat="1" ht="12" customHeight="1">
      <c r="B18634" s="324"/>
      <c r="C18634" s="325"/>
      <c r="D18634" s="326"/>
      <c r="E18634" s="326"/>
      <c r="F18634" s="326"/>
      <c r="G18634" s="326"/>
      <c r="H18634" s="326"/>
      <c r="P18634" s="318"/>
      <c r="Q18634" s="318"/>
      <c r="R18634" s="318"/>
      <c r="S18634" s="318"/>
      <c r="T18634" s="318"/>
      <c r="U18634" s="318"/>
      <c r="V18634" s="318"/>
      <c r="W18634" s="318"/>
      <c r="X18634" s="318"/>
      <c r="Y18634" s="318"/>
      <c r="Z18634" s="318"/>
      <c r="AA18634" s="318"/>
      <c r="AB18634" s="318"/>
      <c r="AC18634" s="318"/>
      <c r="AD18634" s="318"/>
    </row>
    <row r="18635" spans="2:30" s="323" customFormat="1" ht="12" customHeight="1">
      <c r="B18635" s="324"/>
      <c r="C18635" s="325"/>
      <c r="D18635" s="326"/>
      <c r="E18635" s="326"/>
      <c r="F18635" s="326"/>
      <c r="G18635" s="326"/>
      <c r="H18635" s="326"/>
      <c r="P18635" s="318"/>
      <c r="Q18635" s="318"/>
      <c r="R18635" s="318"/>
      <c r="S18635" s="318"/>
      <c r="T18635" s="318"/>
      <c r="U18635" s="318"/>
      <c r="V18635" s="318"/>
      <c r="W18635" s="318"/>
      <c r="X18635" s="318"/>
      <c r="Y18635" s="318"/>
      <c r="Z18635" s="318"/>
      <c r="AA18635" s="318"/>
      <c r="AB18635" s="318"/>
      <c r="AC18635" s="318"/>
      <c r="AD18635" s="318"/>
    </row>
    <row r="18636" spans="2:30" s="323" customFormat="1" ht="12" customHeight="1">
      <c r="B18636" s="324"/>
      <c r="C18636" s="325"/>
      <c r="D18636" s="326"/>
      <c r="E18636" s="326"/>
      <c r="F18636" s="326"/>
      <c r="G18636" s="326"/>
      <c r="H18636" s="326"/>
      <c r="P18636" s="318"/>
      <c r="Q18636" s="318"/>
      <c r="R18636" s="318"/>
      <c r="S18636" s="318"/>
      <c r="T18636" s="318"/>
      <c r="U18636" s="318"/>
      <c r="V18636" s="318"/>
      <c r="W18636" s="318"/>
      <c r="X18636" s="318"/>
      <c r="Y18636" s="318"/>
      <c r="Z18636" s="318"/>
      <c r="AA18636" s="318"/>
      <c r="AB18636" s="318"/>
      <c r="AC18636" s="318"/>
      <c r="AD18636" s="318"/>
    </row>
    <row r="18637" spans="2:30" s="323" customFormat="1" ht="12" customHeight="1">
      <c r="B18637" s="324"/>
      <c r="C18637" s="325"/>
      <c r="D18637" s="326"/>
      <c r="E18637" s="326"/>
      <c r="F18637" s="326"/>
      <c r="G18637" s="326"/>
      <c r="H18637" s="326"/>
      <c r="P18637" s="318"/>
      <c r="Q18637" s="318"/>
      <c r="R18637" s="318"/>
      <c r="S18637" s="318"/>
      <c r="T18637" s="318"/>
      <c r="U18637" s="318"/>
      <c r="V18637" s="318"/>
      <c r="W18637" s="318"/>
      <c r="X18637" s="318"/>
      <c r="Y18637" s="318"/>
      <c r="Z18637" s="318"/>
      <c r="AA18637" s="318"/>
      <c r="AB18637" s="318"/>
      <c r="AC18637" s="318"/>
      <c r="AD18637" s="318"/>
    </row>
    <row r="18638" spans="2:30" s="323" customFormat="1" ht="12" customHeight="1">
      <c r="B18638" s="324"/>
      <c r="C18638" s="325"/>
      <c r="D18638" s="326"/>
      <c r="E18638" s="326"/>
      <c r="F18638" s="326"/>
      <c r="G18638" s="326"/>
      <c r="H18638" s="326"/>
      <c r="P18638" s="318"/>
      <c r="Q18638" s="318"/>
      <c r="R18638" s="318"/>
      <c r="S18638" s="318"/>
      <c r="T18638" s="318"/>
      <c r="U18638" s="318"/>
      <c r="V18638" s="318"/>
      <c r="W18638" s="318"/>
      <c r="X18638" s="318"/>
      <c r="Y18638" s="318"/>
      <c r="Z18638" s="318"/>
      <c r="AA18638" s="318"/>
      <c r="AB18638" s="318"/>
      <c r="AC18638" s="318"/>
      <c r="AD18638" s="318"/>
    </row>
    <row r="18639" spans="2:30" s="323" customFormat="1" ht="12" customHeight="1">
      <c r="B18639" s="324"/>
      <c r="C18639" s="325"/>
      <c r="D18639" s="326"/>
      <c r="E18639" s="326"/>
      <c r="F18639" s="326"/>
      <c r="G18639" s="326"/>
      <c r="H18639" s="326"/>
      <c r="P18639" s="318"/>
      <c r="Q18639" s="318"/>
      <c r="R18639" s="318"/>
      <c r="S18639" s="318"/>
      <c r="T18639" s="318"/>
      <c r="U18639" s="318"/>
      <c r="V18639" s="318"/>
      <c r="W18639" s="318"/>
      <c r="X18639" s="318"/>
      <c r="Y18639" s="318"/>
      <c r="Z18639" s="318"/>
      <c r="AA18639" s="318"/>
      <c r="AB18639" s="318"/>
      <c r="AC18639" s="318"/>
      <c r="AD18639" s="318"/>
    </row>
    <row r="18640" spans="2:30" s="323" customFormat="1" ht="12" customHeight="1">
      <c r="B18640" s="324"/>
      <c r="C18640" s="325"/>
      <c r="D18640" s="326"/>
      <c r="E18640" s="326"/>
      <c r="F18640" s="326"/>
      <c r="G18640" s="326"/>
      <c r="H18640" s="326"/>
      <c r="P18640" s="318"/>
      <c r="Q18640" s="318"/>
      <c r="R18640" s="318"/>
      <c r="S18640" s="318"/>
      <c r="T18640" s="318"/>
      <c r="U18640" s="318"/>
      <c r="V18640" s="318"/>
      <c r="W18640" s="318"/>
      <c r="X18640" s="318"/>
      <c r="Y18640" s="318"/>
      <c r="Z18640" s="318"/>
      <c r="AA18640" s="318"/>
      <c r="AB18640" s="318"/>
      <c r="AC18640" s="318"/>
      <c r="AD18640" s="318"/>
    </row>
    <row r="18641" spans="2:30" s="323" customFormat="1" ht="12" customHeight="1">
      <c r="B18641" s="324"/>
      <c r="C18641" s="325"/>
      <c r="D18641" s="326"/>
      <c r="E18641" s="326"/>
      <c r="F18641" s="326"/>
      <c r="G18641" s="326"/>
      <c r="H18641" s="326"/>
      <c r="P18641" s="318"/>
      <c r="Q18641" s="318"/>
      <c r="R18641" s="318"/>
      <c r="S18641" s="318"/>
      <c r="T18641" s="318"/>
      <c r="U18641" s="318"/>
      <c r="V18641" s="318"/>
      <c r="W18641" s="318"/>
      <c r="X18641" s="318"/>
      <c r="Y18641" s="318"/>
      <c r="Z18641" s="318"/>
      <c r="AA18641" s="318"/>
      <c r="AB18641" s="318"/>
      <c r="AC18641" s="318"/>
      <c r="AD18641" s="318"/>
    </row>
    <row r="18642" spans="2:30" s="323" customFormat="1" ht="12" customHeight="1">
      <c r="B18642" s="324"/>
      <c r="C18642" s="325"/>
      <c r="D18642" s="326"/>
      <c r="E18642" s="326"/>
      <c r="F18642" s="326"/>
      <c r="G18642" s="326"/>
      <c r="H18642" s="326"/>
      <c r="P18642" s="318"/>
      <c r="Q18642" s="318"/>
      <c r="R18642" s="318"/>
      <c r="S18642" s="318"/>
      <c r="T18642" s="318"/>
      <c r="U18642" s="318"/>
      <c r="V18642" s="318"/>
      <c r="W18642" s="318"/>
      <c r="X18642" s="318"/>
      <c r="Y18642" s="318"/>
      <c r="Z18642" s="318"/>
      <c r="AA18642" s="318"/>
      <c r="AB18642" s="318"/>
      <c r="AC18642" s="318"/>
      <c r="AD18642" s="318"/>
    </row>
    <row r="18643" spans="2:30" s="323" customFormat="1" ht="12" customHeight="1">
      <c r="B18643" s="324"/>
      <c r="C18643" s="325"/>
      <c r="D18643" s="326"/>
      <c r="E18643" s="326"/>
      <c r="F18643" s="326"/>
      <c r="G18643" s="326"/>
      <c r="H18643" s="326"/>
      <c r="P18643" s="318"/>
      <c r="Q18643" s="318"/>
      <c r="R18643" s="318"/>
      <c r="S18643" s="318"/>
      <c r="T18643" s="318"/>
      <c r="U18643" s="318"/>
      <c r="V18643" s="318"/>
      <c r="W18643" s="318"/>
      <c r="X18643" s="318"/>
      <c r="Y18643" s="318"/>
      <c r="Z18643" s="318"/>
      <c r="AA18643" s="318"/>
      <c r="AB18643" s="318"/>
      <c r="AC18643" s="318"/>
      <c r="AD18643" s="318"/>
    </row>
    <row r="18644" spans="2:30" s="323" customFormat="1" ht="12" customHeight="1">
      <c r="B18644" s="324"/>
      <c r="C18644" s="325"/>
      <c r="D18644" s="326"/>
      <c r="E18644" s="326"/>
      <c r="F18644" s="326"/>
      <c r="G18644" s="326"/>
      <c r="H18644" s="326"/>
      <c r="P18644" s="318"/>
      <c r="Q18644" s="318"/>
      <c r="R18644" s="318"/>
      <c r="S18644" s="318"/>
      <c r="T18644" s="318"/>
      <c r="U18644" s="318"/>
      <c r="V18644" s="318"/>
      <c r="W18644" s="318"/>
      <c r="X18644" s="318"/>
      <c r="Y18644" s="318"/>
      <c r="Z18644" s="318"/>
      <c r="AA18644" s="318"/>
      <c r="AB18644" s="318"/>
      <c r="AC18644" s="318"/>
      <c r="AD18644" s="318"/>
    </row>
    <row r="18645" spans="2:30" s="323" customFormat="1" ht="12" customHeight="1">
      <c r="B18645" s="324"/>
      <c r="C18645" s="325"/>
      <c r="D18645" s="326"/>
      <c r="E18645" s="326"/>
      <c r="F18645" s="326"/>
      <c r="G18645" s="326"/>
      <c r="H18645" s="326"/>
      <c r="P18645" s="318"/>
      <c r="Q18645" s="318"/>
      <c r="R18645" s="318"/>
      <c r="S18645" s="318"/>
      <c r="T18645" s="318"/>
      <c r="U18645" s="318"/>
      <c r="V18645" s="318"/>
      <c r="W18645" s="318"/>
      <c r="X18645" s="318"/>
      <c r="Y18645" s="318"/>
      <c r="Z18645" s="318"/>
      <c r="AA18645" s="318"/>
      <c r="AB18645" s="318"/>
      <c r="AC18645" s="318"/>
      <c r="AD18645" s="318"/>
    </row>
    <row r="18646" spans="2:30" s="323" customFormat="1" ht="12" customHeight="1">
      <c r="B18646" s="324"/>
      <c r="C18646" s="325"/>
      <c r="D18646" s="326"/>
      <c r="E18646" s="326"/>
      <c r="F18646" s="326"/>
      <c r="G18646" s="326"/>
      <c r="H18646" s="326"/>
      <c r="P18646" s="318"/>
      <c r="Q18646" s="318"/>
      <c r="R18646" s="318"/>
      <c r="S18646" s="318"/>
      <c r="T18646" s="318"/>
      <c r="U18646" s="318"/>
      <c r="V18646" s="318"/>
      <c r="W18646" s="318"/>
      <c r="X18646" s="318"/>
      <c r="Y18646" s="318"/>
      <c r="Z18646" s="318"/>
      <c r="AA18646" s="318"/>
      <c r="AB18646" s="318"/>
      <c r="AC18646" s="318"/>
      <c r="AD18646" s="318"/>
    </row>
    <row r="18647" spans="2:30" s="323" customFormat="1" ht="12" customHeight="1">
      <c r="B18647" s="324"/>
      <c r="C18647" s="325"/>
      <c r="D18647" s="326"/>
      <c r="E18647" s="326"/>
      <c r="F18647" s="326"/>
      <c r="G18647" s="326"/>
      <c r="H18647" s="326"/>
      <c r="P18647" s="318"/>
      <c r="Q18647" s="318"/>
      <c r="R18647" s="318"/>
      <c r="S18647" s="318"/>
      <c r="T18647" s="318"/>
      <c r="U18647" s="318"/>
      <c r="V18647" s="318"/>
      <c r="W18647" s="318"/>
      <c r="X18647" s="318"/>
      <c r="Y18647" s="318"/>
      <c r="Z18647" s="318"/>
      <c r="AA18647" s="318"/>
      <c r="AB18647" s="318"/>
      <c r="AC18647" s="318"/>
      <c r="AD18647" s="318"/>
    </row>
    <row r="18648" spans="2:30" s="323" customFormat="1" ht="12" customHeight="1">
      <c r="B18648" s="324"/>
      <c r="C18648" s="325"/>
      <c r="D18648" s="326"/>
      <c r="E18648" s="326"/>
      <c r="F18648" s="326"/>
      <c r="G18648" s="326"/>
      <c r="H18648" s="326"/>
      <c r="P18648" s="318"/>
      <c r="Q18648" s="318"/>
      <c r="R18648" s="318"/>
      <c r="S18648" s="318"/>
      <c r="T18648" s="318"/>
      <c r="U18648" s="318"/>
      <c r="V18648" s="318"/>
      <c r="W18648" s="318"/>
      <c r="X18648" s="318"/>
      <c r="Y18648" s="318"/>
      <c r="Z18648" s="318"/>
      <c r="AA18648" s="318"/>
      <c r="AB18648" s="318"/>
      <c r="AC18648" s="318"/>
      <c r="AD18648" s="318"/>
    </row>
    <row r="18649" spans="2:30" s="323" customFormat="1" ht="12" customHeight="1">
      <c r="B18649" s="324"/>
      <c r="C18649" s="325"/>
      <c r="D18649" s="326"/>
      <c r="E18649" s="326"/>
      <c r="F18649" s="326"/>
      <c r="G18649" s="326"/>
      <c r="H18649" s="326"/>
      <c r="P18649" s="318"/>
      <c r="Q18649" s="318"/>
      <c r="R18649" s="318"/>
      <c r="S18649" s="318"/>
      <c r="T18649" s="318"/>
      <c r="U18649" s="318"/>
      <c r="V18649" s="318"/>
      <c r="W18649" s="318"/>
      <c r="X18649" s="318"/>
      <c r="Y18649" s="318"/>
      <c r="Z18649" s="318"/>
      <c r="AA18649" s="318"/>
      <c r="AB18649" s="318"/>
      <c r="AC18649" s="318"/>
      <c r="AD18649" s="318"/>
    </row>
    <row r="18650" spans="2:30" s="323" customFormat="1" ht="12" customHeight="1">
      <c r="B18650" s="324"/>
      <c r="C18650" s="325"/>
      <c r="D18650" s="326"/>
      <c r="E18650" s="326"/>
      <c r="F18650" s="326"/>
      <c r="G18650" s="326"/>
      <c r="H18650" s="326"/>
      <c r="P18650" s="318"/>
      <c r="Q18650" s="318"/>
      <c r="R18650" s="318"/>
      <c r="S18650" s="318"/>
      <c r="T18650" s="318"/>
      <c r="U18650" s="318"/>
      <c r="V18650" s="318"/>
      <c r="W18650" s="318"/>
      <c r="X18650" s="318"/>
      <c r="Y18650" s="318"/>
      <c r="Z18650" s="318"/>
      <c r="AA18650" s="318"/>
      <c r="AB18650" s="318"/>
      <c r="AC18650" s="318"/>
      <c r="AD18650" s="318"/>
    </row>
    <row r="18651" spans="2:30" s="323" customFormat="1" ht="12" customHeight="1">
      <c r="B18651" s="324"/>
      <c r="C18651" s="325"/>
      <c r="D18651" s="326"/>
      <c r="E18651" s="326"/>
      <c r="F18651" s="326"/>
      <c r="G18651" s="326"/>
      <c r="H18651" s="326"/>
      <c r="P18651" s="318"/>
      <c r="Q18651" s="318"/>
      <c r="R18651" s="318"/>
      <c r="S18651" s="318"/>
      <c r="T18651" s="318"/>
      <c r="U18651" s="318"/>
      <c r="V18651" s="318"/>
      <c r="W18651" s="318"/>
      <c r="X18651" s="318"/>
      <c r="Y18651" s="318"/>
      <c r="Z18651" s="318"/>
      <c r="AA18651" s="318"/>
      <c r="AB18651" s="318"/>
      <c r="AC18651" s="318"/>
      <c r="AD18651" s="318"/>
    </row>
    <row r="18652" spans="2:30" s="323" customFormat="1" ht="12" customHeight="1">
      <c r="B18652" s="324"/>
      <c r="C18652" s="325"/>
      <c r="D18652" s="326"/>
      <c r="E18652" s="326"/>
      <c r="F18652" s="326"/>
      <c r="G18652" s="326"/>
      <c r="H18652" s="326"/>
      <c r="P18652" s="318"/>
      <c r="Q18652" s="318"/>
      <c r="R18652" s="318"/>
      <c r="S18652" s="318"/>
      <c r="T18652" s="318"/>
      <c r="U18652" s="318"/>
      <c r="V18652" s="318"/>
      <c r="W18652" s="318"/>
      <c r="X18652" s="318"/>
      <c r="Y18652" s="318"/>
      <c r="Z18652" s="318"/>
      <c r="AA18652" s="318"/>
      <c r="AB18652" s="318"/>
      <c r="AC18652" s="318"/>
      <c r="AD18652" s="318"/>
    </row>
    <row r="18653" spans="2:30" s="323" customFormat="1" ht="12" customHeight="1">
      <c r="B18653" s="324"/>
      <c r="C18653" s="325"/>
      <c r="D18653" s="326"/>
      <c r="E18653" s="326"/>
      <c r="F18653" s="326"/>
      <c r="G18653" s="326"/>
      <c r="H18653" s="326"/>
      <c r="P18653" s="318"/>
      <c r="Q18653" s="318"/>
      <c r="R18653" s="318"/>
      <c r="S18653" s="318"/>
      <c r="T18653" s="318"/>
      <c r="U18653" s="318"/>
      <c r="V18653" s="318"/>
      <c r="W18653" s="318"/>
      <c r="X18653" s="318"/>
      <c r="Y18653" s="318"/>
      <c r="Z18653" s="318"/>
      <c r="AA18653" s="318"/>
      <c r="AB18653" s="318"/>
      <c r="AC18653" s="318"/>
      <c r="AD18653" s="318"/>
    </row>
    <row r="18654" spans="2:30" s="323" customFormat="1" ht="12" customHeight="1">
      <c r="B18654" s="324"/>
      <c r="C18654" s="325"/>
      <c r="D18654" s="326"/>
      <c r="E18654" s="326"/>
      <c r="F18654" s="326"/>
      <c r="G18654" s="326"/>
      <c r="H18654" s="326"/>
      <c r="P18654" s="318"/>
      <c r="Q18654" s="318"/>
      <c r="R18654" s="318"/>
      <c r="S18654" s="318"/>
      <c r="T18654" s="318"/>
      <c r="U18654" s="318"/>
      <c r="V18654" s="318"/>
      <c r="W18654" s="318"/>
      <c r="X18654" s="318"/>
      <c r="Y18654" s="318"/>
      <c r="Z18654" s="318"/>
      <c r="AA18654" s="318"/>
      <c r="AB18654" s="318"/>
      <c r="AC18654" s="318"/>
      <c r="AD18654" s="318"/>
    </row>
    <row r="18655" spans="2:30" s="323" customFormat="1" ht="12" customHeight="1">
      <c r="B18655" s="324"/>
      <c r="C18655" s="325"/>
      <c r="D18655" s="326"/>
      <c r="E18655" s="326"/>
      <c r="F18655" s="326"/>
      <c r="G18655" s="326"/>
      <c r="H18655" s="326"/>
      <c r="P18655" s="318"/>
      <c r="Q18655" s="318"/>
      <c r="R18655" s="318"/>
      <c r="S18655" s="318"/>
      <c r="T18655" s="318"/>
      <c r="U18655" s="318"/>
      <c r="V18655" s="318"/>
      <c r="W18655" s="318"/>
      <c r="X18655" s="318"/>
      <c r="Y18655" s="318"/>
      <c r="Z18655" s="318"/>
      <c r="AA18655" s="318"/>
      <c r="AB18655" s="318"/>
      <c r="AC18655" s="318"/>
      <c r="AD18655" s="318"/>
    </row>
    <row r="18656" spans="2:30" s="323" customFormat="1" ht="12" customHeight="1">
      <c r="B18656" s="324"/>
      <c r="C18656" s="325"/>
      <c r="D18656" s="326"/>
      <c r="E18656" s="326"/>
      <c r="F18656" s="326"/>
      <c r="G18656" s="326"/>
      <c r="H18656" s="326"/>
      <c r="P18656" s="318"/>
      <c r="Q18656" s="318"/>
      <c r="R18656" s="318"/>
      <c r="S18656" s="318"/>
      <c r="T18656" s="318"/>
      <c r="U18656" s="318"/>
      <c r="V18656" s="318"/>
      <c r="W18656" s="318"/>
      <c r="X18656" s="318"/>
      <c r="Y18656" s="318"/>
      <c r="Z18656" s="318"/>
      <c r="AA18656" s="318"/>
      <c r="AB18656" s="318"/>
      <c r="AC18656" s="318"/>
      <c r="AD18656" s="318"/>
    </row>
    <row r="18657" spans="2:30" s="323" customFormat="1" ht="12" customHeight="1">
      <c r="B18657" s="324"/>
      <c r="C18657" s="325"/>
      <c r="D18657" s="326"/>
      <c r="E18657" s="326"/>
      <c r="F18657" s="326"/>
      <c r="G18657" s="326"/>
      <c r="H18657" s="326"/>
      <c r="P18657" s="318"/>
      <c r="Q18657" s="318"/>
      <c r="R18657" s="318"/>
      <c r="S18657" s="318"/>
      <c r="T18657" s="318"/>
      <c r="U18657" s="318"/>
      <c r="V18657" s="318"/>
      <c r="W18657" s="318"/>
      <c r="X18657" s="318"/>
      <c r="Y18657" s="318"/>
      <c r="Z18657" s="318"/>
      <c r="AA18657" s="318"/>
      <c r="AB18657" s="318"/>
      <c r="AC18657" s="318"/>
      <c r="AD18657" s="318"/>
    </row>
    <row r="18658" spans="2:30" s="323" customFormat="1" ht="12" customHeight="1">
      <c r="B18658" s="324"/>
      <c r="C18658" s="325"/>
      <c r="D18658" s="326"/>
      <c r="E18658" s="326"/>
      <c r="F18658" s="326"/>
      <c r="G18658" s="326"/>
      <c r="H18658" s="326"/>
      <c r="P18658" s="318"/>
      <c r="Q18658" s="318"/>
      <c r="R18658" s="318"/>
      <c r="S18658" s="318"/>
      <c r="T18658" s="318"/>
      <c r="U18658" s="318"/>
      <c r="V18658" s="318"/>
      <c r="W18658" s="318"/>
      <c r="X18658" s="318"/>
      <c r="Y18658" s="318"/>
      <c r="Z18658" s="318"/>
      <c r="AA18658" s="318"/>
      <c r="AB18658" s="318"/>
      <c r="AC18658" s="318"/>
      <c r="AD18658" s="318"/>
    </row>
    <row r="18659" spans="2:30" s="323" customFormat="1" ht="12" customHeight="1">
      <c r="B18659" s="324"/>
      <c r="C18659" s="325"/>
      <c r="D18659" s="326"/>
      <c r="E18659" s="326"/>
      <c r="F18659" s="326"/>
      <c r="G18659" s="326"/>
      <c r="H18659" s="326"/>
      <c r="P18659" s="318"/>
      <c r="Q18659" s="318"/>
      <c r="R18659" s="318"/>
      <c r="S18659" s="318"/>
      <c r="T18659" s="318"/>
      <c r="U18659" s="318"/>
      <c r="V18659" s="318"/>
      <c r="W18659" s="318"/>
      <c r="X18659" s="318"/>
      <c r="Y18659" s="318"/>
      <c r="Z18659" s="318"/>
      <c r="AA18659" s="318"/>
      <c r="AB18659" s="318"/>
      <c r="AC18659" s="318"/>
      <c r="AD18659" s="318"/>
    </row>
    <row r="18660" spans="2:30" s="323" customFormat="1" ht="12" customHeight="1">
      <c r="B18660" s="324"/>
      <c r="C18660" s="325"/>
      <c r="D18660" s="326"/>
      <c r="E18660" s="326"/>
      <c r="F18660" s="326"/>
      <c r="G18660" s="326"/>
      <c r="H18660" s="326"/>
      <c r="P18660" s="318"/>
      <c r="Q18660" s="318"/>
      <c r="R18660" s="318"/>
      <c r="S18660" s="318"/>
      <c r="T18660" s="318"/>
      <c r="U18660" s="318"/>
      <c r="V18660" s="318"/>
      <c r="W18660" s="318"/>
      <c r="X18660" s="318"/>
      <c r="Y18660" s="318"/>
      <c r="Z18660" s="318"/>
      <c r="AA18660" s="318"/>
      <c r="AB18660" s="318"/>
      <c r="AC18660" s="318"/>
      <c r="AD18660" s="318"/>
    </row>
    <row r="18661" spans="2:30" s="323" customFormat="1" ht="12" customHeight="1">
      <c r="B18661" s="324"/>
      <c r="C18661" s="325"/>
      <c r="D18661" s="326"/>
      <c r="E18661" s="326"/>
      <c r="F18661" s="326"/>
      <c r="G18661" s="326"/>
      <c r="H18661" s="326"/>
      <c r="P18661" s="318"/>
      <c r="Q18661" s="318"/>
      <c r="R18661" s="318"/>
      <c r="S18661" s="318"/>
      <c r="T18661" s="318"/>
      <c r="U18661" s="318"/>
      <c r="V18661" s="318"/>
      <c r="W18661" s="318"/>
      <c r="X18661" s="318"/>
      <c r="Y18661" s="318"/>
      <c r="Z18661" s="318"/>
      <c r="AA18661" s="318"/>
      <c r="AB18661" s="318"/>
      <c r="AC18661" s="318"/>
      <c r="AD18661" s="318"/>
    </row>
    <row r="18662" spans="2:30" s="323" customFormat="1" ht="12" customHeight="1">
      <c r="B18662" s="324"/>
      <c r="C18662" s="325"/>
      <c r="D18662" s="326"/>
      <c r="E18662" s="326"/>
      <c r="F18662" s="326"/>
      <c r="G18662" s="326"/>
      <c r="H18662" s="326"/>
      <c r="P18662" s="318"/>
      <c r="Q18662" s="318"/>
      <c r="R18662" s="318"/>
      <c r="S18662" s="318"/>
      <c r="T18662" s="318"/>
      <c r="U18662" s="318"/>
      <c r="V18662" s="318"/>
      <c r="W18662" s="318"/>
      <c r="X18662" s="318"/>
      <c r="Y18662" s="318"/>
      <c r="Z18662" s="318"/>
      <c r="AA18662" s="318"/>
      <c r="AB18662" s="318"/>
      <c r="AC18662" s="318"/>
      <c r="AD18662" s="318"/>
    </row>
    <row r="18663" spans="2:30" s="323" customFormat="1" ht="12" customHeight="1">
      <c r="B18663" s="324"/>
      <c r="C18663" s="325"/>
      <c r="D18663" s="326"/>
      <c r="E18663" s="326"/>
      <c r="F18663" s="326"/>
      <c r="G18663" s="326"/>
      <c r="H18663" s="326"/>
      <c r="P18663" s="318"/>
      <c r="Q18663" s="318"/>
      <c r="R18663" s="318"/>
      <c r="S18663" s="318"/>
      <c r="T18663" s="318"/>
      <c r="U18663" s="318"/>
      <c r="V18663" s="318"/>
      <c r="W18663" s="318"/>
      <c r="X18663" s="318"/>
      <c r="Y18663" s="318"/>
      <c r="Z18663" s="318"/>
      <c r="AA18663" s="318"/>
      <c r="AB18663" s="318"/>
      <c r="AC18663" s="318"/>
      <c r="AD18663" s="318"/>
    </row>
    <row r="18664" spans="2:30" s="323" customFormat="1" ht="12" customHeight="1">
      <c r="B18664" s="324"/>
      <c r="C18664" s="325"/>
      <c r="D18664" s="326"/>
      <c r="E18664" s="326"/>
      <c r="F18664" s="326"/>
      <c r="G18664" s="326"/>
      <c r="H18664" s="326"/>
      <c r="P18664" s="318"/>
      <c r="Q18664" s="318"/>
      <c r="R18664" s="318"/>
      <c r="S18664" s="318"/>
      <c r="T18664" s="318"/>
      <c r="U18664" s="318"/>
      <c r="V18664" s="318"/>
      <c r="W18664" s="318"/>
      <c r="X18664" s="318"/>
      <c r="Y18664" s="318"/>
      <c r="Z18664" s="318"/>
      <c r="AA18664" s="318"/>
      <c r="AB18664" s="318"/>
      <c r="AC18664" s="318"/>
      <c r="AD18664" s="318"/>
    </row>
    <row r="18665" spans="2:30" s="323" customFormat="1" ht="12" customHeight="1">
      <c r="B18665" s="324"/>
      <c r="C18665" s="325"/>
      <c r="D18665" s="326"/>
      <c r="E18665" s="326"/>
      <c r="F18665" s="326"/>
      <c r="G18665" s="326"/>
      <c r="H18665" s="326"/>
      <c r="P18665" s="318"/>
      <c r="Q18665" s="318"/>
      <c r="R18665" s="318"/>
      <c r="S18665" s="318"/>
      <c r="T18665" s="318"/>
      <c r="U18665" s="318"/>
      <c r="V18665" s="318"/>
      <c r="W18665" s="318"/>
      <c r="X18665" s="318"/>
      <c r="Y18665" s="318"/>
      <c r="Z18665" s="318"/>
      <c r="AA18665" s="318"/>
      <c r="AB18665" s="318"/>
      <c r="AC18665" s="318"/>
      <c r="AD18665" s="318"/>
    </row>
    <row r="18666" spans="2:30" s="323" customFormat="1" ht="12" customHeight="1">
      <c r="B18666" s="324"/>
      <c r="C18666" s="325"/>
      <c r="D18666" s="326"/>
      <c r="E18666" s="326"/>
      <c r="F18666" s="326"/>
      <c r="G18666" s="326"/>
      <c r="H18666" s="326"/>
      <c r="P18666" s="318"/>
      <c r="Q18666" s="318"/>
      <c r="R18666" s="318"/>
      <c r="S18666" s="318"/>
      <c r="T18666" s="318"/>
      <c r="U18666" s="318"/>
      <c r="V18666" s="318"/>
      <c r="W18666" s="318"/>
      <c r="X18666" s="318"/>
      <c r="Y18666" s="318"/>
      <c r="Z18666" s="318"/>
      <c r="AA18666" s="318"/>
      <c r="AB18666" s="318"/>
      <c r="AC18666" s="318"/>
      <c r="AD18666" s="318"/>
    </row>
    <row r="18667" spans="2:30" s="323" customFormat="1" ht="12" customHeight="1">
      <c r="B18667" s="324"/>
      <c r="C18667" s="325"/>
      <c r="D18667" s="326"/>
      <c r="E18667" s="326"/>
      <c r="F18667" s="326"/>
      <c r="G18667" s="326"/>
      <c r="H18667" s="326"/>
      <c r="P18667" s="318"/>
      <c r="Q18667" s="318"/>
      <c r="R18667" s="318"/>
      <c r="S18667" s="318"/>
      <c r="T18667" s="318"/>
      <c r="U18667" s="318"/>
      <c r="V18667" s="318"/>
      <c r="W18667" s="318"/>
      <c r="X18667" s="318"/>
      <c r="Y18667" s="318"/>
      <c r="Z18667" s="318"/>
      <c r="AA18667" s="318"/>
      <c r="AB18667" s="318"/>
      <c r="AC18667" s="318"/>
      <c r="AD18667" s="318"/>
    </row>
    <row r="18668" spans="2:30" s="323" customFormat="1" ht="12" customHeight="1">
      <c r="B18668" s="324"/>
      <c r="C18668" s="325"/>
      <c r="D18668" s="326"/>
      <c r="E18668" s="326"/>
      <c r="F18668" s="326"/>
      <c r="G18668" s="326"/>
      <c r="H18668" s="326"/>
      <c r="P18668" s="318"/>
      <c r="Q18668" s="318"/>
      <c r="R18668" s="318"/>
      <c r="S18668" s="318"/>
      <c r="T18668" s="318"/>
      <c r="U18668" s="318"/>
      <c r="V18668" s="318"/>
      <c r="W18668" s="318"/>
      <c r="X18668" s="318"/>
      <c r="Y18668" s="318"/>
      <c r="Z18668" s="318"/>
      <c r="AA18668" s="318"/>
      <c r="AB18668" s="318"/>
      <c r="AC18668" s="318"/>
      <c r="AD18668" s="318"/>
    </row>
    <row r="18669" spans="2:30" s="323" customFormat="1" ht="12" customHeight="1">
      <c r="B18669" s="324"/>
      <c r="C18669" s="325"/>
      <c r="D18669" s="326"/>
      <c r="E18669" s="326"/>
      <c r="F18669" s="326"/>
      <c r="G18669" s="326"/>
      <c r="H18669" s="326"/>
      <c r="P18669" s="318"/>
      <c r="Q18669" s="318"/>
      <c r="R18669" s="318"/>
      <c r="S18669" s="318"/>
      <c r="T18669" s="318"/>
      <c r="U18669" s="318"/>
      <c r="V18669" s="318"/>
      <c r="W18669" s="318"/>
      <c r="X18669" s="318"/>
      <c r="Y18669" s="318"/>
      <c r="Z18669" s="318"/>
      <c r="AA18669" s="318"/>
      <c r="AB18669" s="318"/>
      <c r="AC18669" s="318"/>
      <c r="AD18669" s="318"/>
    </row>
    <row r="18670" spans="2:30" s="323" customFormat="1" ht="12" customHeight="1">
      <c r="B18670" s="324"/>
      <c r="C18670" s="325"/>
      <c r="D18670" s="326"/>
      <c r="E18670" s="326"/>
      <c r="F18670" s="326"/>
      <c r="G18670" s="326"/>
      <c r="H18670" s="326"/>
      <c r="P18670" s="318"/>
      <c r="Q18670" s="318"/>
      <c r="R18670" s="318"/>
      <c r="S18670" s="318"/>
      <c r="T18670" s="318"/>
      <c r="U18670" s="318"/>
      <c r="V18670" s="318"/>
      <c r="W18670" s="318"/>
      <c r="X18670" s="318"/>
      <c r="Y18670" s="318"/>
      <c r="Z18670" s="318"/>
      <c r="AA18670" s="318"/>
      <c r="AB18670" s="318"/>
      <c r="AC18670" s="318"/>
      <c r="AD18670" s="318"/>
    </row>
    <row r="18671" spans="2:30" s="323" customFormat="1" ht="12" customHeight="1">
      <c r="B18671" s="324"/>
      <c r="C18671" s="325"/>
      <c r="D18671" s="326"/>
      <c r="E18671" s="326"/>
      <c r="F18671" s="326"/>
      <c r="G18671" s="326"/>
      <c r="H18671" s="326"/>
      <c r="P18671" s="318"/>
      <c r="Q18671" s="318"/>
      <c r="R18671" s="318"/>
      <c r="S18671" s="318"/>
      <c r="T18671" s="318"/>
      <c r="U18671" s="318"/>
      <c r="V18671" s="318"/>
      <c r="W18671" s="318"/>
      <c r="X18671" s="318"/>
      <c r="Y18671" s="318"/>
      <c r="Z18671" s="318"/>
      <c r="AA18671" s="318"/>
      <c r="AB18671" s="318"/>
      <c r="AC18671" s="318"/>
      <c r="AD18671" s="318"/>
    </row>
    <row r="18672" spans="2:30" s="323" customFormat="1" ht="12" customHeight="1">
      <c r="B18672" s="324"/>
      <c r="C18672" s="325"/>
      <c r="D18672" s="326"/>
      <c r="E18672" s="326"/>
      <c r="F18672" s="326"/>
      <c r="G18672" s="326"/>
      <c r="H18672" s="326"/>
      <c r="P18672" s="318"/>
      <c r="Q18672" s="318"/>
      <c r="R18672" s="318"/>
      <c r="S18672" s="318"/>
      <c r="T18672" s="318"/>
      <c r="U18672" s="318"/>
      <c r="V18672" s="318"/>
      <c r="W18672" s="318"/>
      <c r="X18672" s="318"/>
      <c r="Y18672" s="318"/>
      <c r="Z18672" s="318"/>
      <c r="AA18672" s="318"/>
      <c r="AB18672" s="318"/>
      <c r="AC18672" s="318"/>
      <c r="AD18672" s="318"/>
    </row>
    <row r="18673" spans="2:30" s="323" customFormat="1" ht="12" customHeight="1">
      <c r="B18673" s="324"/>
      <c r="C18673" s="325"/>
      <c r="D18673" s="326"/>
      <c r="E18673" s="326"/>
      <c r="F18673" s="326"/>
      <c r="G18673" s="326"/>
      <c r="H18673" s="326"/>
      <c r="P18673" s="318"/>
      <c r="Q18673" s="318"/>
      <c r="R18673" s="318"/>
      <c r="S18673" s="318"/>
      <c r="T18673" s="318"/>
      <c r="U18673" s="318"/>
      <c r="V18673" s="318"/>
      <c r="W18673" s="318"/>
      <c r="X18673" s="318"/>
      <c r="Y18673" s="318"/>
      <c r="Z18673" s="318"/>
      <c r="AA18673" s="318"/>
      <c r="AB18673" s="318"/>
      <c r="AC18673" s="318"/>
      <c r="AD18673" s="318"/>
    </row>
    <row r="18674" spans="2:30" s="323" customFormat="1" ht="12" customHeight="1">
      <c r="B18674" s="324"/>
      <c r="C18674" s="325"/>
      <c r="D18674" s="326"/>
      <c r="E18674" s="326"/>
      <c r="F18674" s="326"/>
      <c r="G18674" s="326"/>
      <c r="H18674" s="326"/>
      <c r="P18674" s="318"/>
      <c r="Q18674" s="318"/>
      <c r="R18674" s="318"/>
      <c r="S18674" s="318"/>
      <c r="T18674" s="318"/>
      <c r="U18674" s="318"/>
      <c r="V18674" s="318"/>
      <c r="W18674" s="318"/>
      <c r="X18674" s="318"/>
      <c r="Y18674" s="318"/>
      <c r="Z18674" s="318"/>
      <c r="AA18674" s="318"/>
      <c r="AB18674" s="318"/>
      <c r="AC18674" s="318"/>
      <c r="AD18674" s="318"/>
    </row>
    <row r="18675" spans="2:30" s="323" customFormat="1" ht="12" customHeight="1">
      <c r="B18675" s="324"/>
      <c r="C18675" s="325"/>
      <c r="D18675" s="326"/>
      <c r="E18675" s="326"/>
      <c r="F18675" s="326"/>
      <c r="G18675" s="326"/>
      <c r="H18675" s="326"/>
      <c r="P18675" s="318"/>
      <c r="Q18675" s="318"/>
      <c r="R18675" s="318"/>
      <c r="S18675" s="318"/>
      <c r="T18675" s="318"/>
      <c r="U18675" s="318"/>
      <c r="V18675" s="318"/>
      <c r="W18675" s="318"/>
      <c r="X18675" s="318"/>
      <c r="Y18675" s="318"/>
      <c r="Z18675" s="318"/>
      <c r="AA18675" s="318"/>
      <c r="AB18675" s="318"/>
      <c r="AC18675" s="318"/>
      <c r="AD18675" s="318"/>
    </row>
    <row r="18676" spans="2:30" s="323" customFormat="1" ht="12" customHeight="1">
      <c r="B18676" s="324"/>
      <c r="C18676" s="325"/>
      <c r="D18676" s="326"/>
      <c r="E18676" s="326"/>
      <c r="F18676" s="326"/>
      <c r="G18676" s="326"/>
      <c r="H18676" s="326"/>
      <c r="P18676" s="318"/>
      <c r="Q18676" s="318"/>
      <c r="R18676" s="318"/>
      <c r="S18676" s="318"/>
      <c r="T18676" s="318"/>
      <c r="U18676" s="318"/>
      <c r="V18676" s="318"/>
      <c r="W18676" s="318"/>
      <c r="X18676" s="318"/>
      <c r="Y18676" s="318"/>
      <c r="Z18676" s="318"/>
      <c r="AA18676" s="318"/>
      <c r="AB18676" s="318"/>
      <c r="AC18676" s="318"/>
      <c r="AD18676" s="318"/>
    </row>
    <row r="18677" spans="2:30" s="323" customFormat="1" ht="12" customHeight="1">
      <c r="B18677" s="324"/>
      <c r="C18677" s="325"/>
      <c r="D18677" s="326"/>
      <c r="E18677" s="326"/>
      <c r="F18677" s="326"/>
      <c r="G18677" s="326"/>
      <c r="H18677" s="326"/>
      <c r="P18677" s="318"/>
      <c r="Q18677" s="318"/>
      <c r="R18677" s="318"/>
      <c r="S18677" s="318"/>
      <c r="T18677" s="318"/>
      <c r="U18677" s="318"/>
      <c r="V18677" s="318"/>
      <c r="W18677" s="318"/>
      <c r="X18677" s="318"/>
      <c r="Y18677" s="318"/>
      <c r="Z18677" s="318"/>
      <c r="AA18677" s="318"/>
      <c r="AB18677" s="318"/>
      <c r="AC18677" s="318"/>
      <c r="AD18677" s="318"/>
    </row>
    <row r="18678" spans="2:30" s="323" customFormat="1" ht="12" customHeight="1">
      <c r="B18678" s="324"/>
      <c r="C18678" s="325"/>
      <c r="D18678" s="326"/>
      <c r="E18678" s="326"/>
      <c r="F18678" s="326"/>
      <c r="G18678" s="326"/>
      <c r="H18678" s="326"/>
      <c r="P18678" s="318"/>
      <c r="Q18678" s="318"/>
      <c r="R18678" s="318"/>
      <c r="S18678" s="318"/>
      <c r="T18678" s="318"/>
      <c r="U18678" s="318"/>
      <c r="V18678" s="318"/>
      <c r="W18678" s="318"/>
      <c r="X18678" s="318"/>
      <c r="Y18678" s="318"/>
      <c r="Z18678" s="318"/>
      <c r="AA18678" s="318"/>
      <c r="AB18678" s="318"/>
      <c r="AC18678" s="318"/>
      <c r="AD18678" s="318"/>
    </row>
    <row r="18679" spans="2:30" s="323" customFormat="1" ht="12" customHeight="1">
      <c r="B18679" s="324"/>
      <c r="C18679" s="325"/>
      <c r="D18679" s="326"/>
      <c r="E18679" s="326"/>
      <c r="F18679" s="326"/>
      <c r="G18679" s="326"/>
      <c r="H18679" s="326"/>
      <c r="P18679" s="318"/>
      <c r="Q18679" s="318"/>
      <c r="R18679" s="318"/>
      <c r="S18679" s="318"/>
      <c r="T18679" s="318"/>
      <c r="U18679" s="318"/>
      <c r="V18679" s="318"/>
      <c r="W18679" s="318"/>
      <c r="X18679" s="318"/>
      <c r="Y18679" s="318"/>
      <c r="Z18679" s="318"/>
      <c r="AA18679" s="318"/>
      <c r="AB18679" s="318"/>
      <c r="AC18679" s="318"/>
      <c r="AD18679" s="318"/>
    </row>
    <row r="18680" spans="2:30" s="323" customFormat="1" ht="12" customHeight="1">
      <c r="B18680" s="324"/>
      <c r="C18680" s="325"/>
      <c r="D18680" s="326"/>
      <c r="E18680" s="326"/>
      <c r="F18680" s="326"/>
      <c r="G18680" s="326"/>
      <c r="H18680" s="326"/>
      <c r="P18680" s="318"/>
      <c r="Q18680" s="318"/>
      <c r="R18680" s="318"/>
      <c r="S18680" s="318"/>
      <c r="T18680" s="318"/>
      <c r="U18680" s="318"/>
      <c r="V18680" s="318"/>
      <c r="W18680" s="318"/>
      <c r="X18680" s="318"/>
      <c r="Y18680" s="318"/>
      <c r="Z18680" s="318"/>
      <c r="AA18680" s="318"/>
      <c r="AB18680" s="318"/>
      <c r="AC18680" s="318"/>
      <c r="AD18680" s="318"/>
    </row>
    <row r="18681" spans="2:30" s="323" customFormat="1" ht="12" customHeight="1">
      <c r="B18681" s="324"/>
      <c r="C18681" s="325"/>
      <c r="D18681" s="326"/>
      <c r="E18681" s="326"/>
      <c r="F18681" s="326"/>
      <c r="G18681" s="326"/>
      <c r="H18681" s="326"/>
      <c r="P18681" s="318"/>
      <c r="Q18681" s="318"/>
      <c r="R18681" s="318"/>
      <c r="S18681" s="318"/>
      <c r="T18681" s="318"/>
      <c r="U18681" s="318"/>
      <c r="V18681" s="318"/>
      <c r="W18681" s="318"/>
      <c r="X18681" s="318"/>
      <c r="Y18681" s="318"/>
      <c r="Z18681" s="318"/>
      <c r="AA18681" s="318"/>
      <c r="AB18681" s="318"/>
      <c r="AC18681" s="318"/>
      <c r="AD18681" s="318"/>
    </row>
    <row r="18682" spans="2:30" s="323" customFormat="1" ht="12" customHeight="1">
      <c r="B18682" s="324"/>
      <c r="C18682" s="325"/>
      <c r="D18682" s="326"/>
      <c r="E18682" s="326"/>
      <c r="F18682" s="326"/>
      <c r="G18682" s="326"/>
      <c r="H18682" s="326"/>
      <c r="P18682" s="318"/>
      <c r="Q18682" s="318"/>
      <c r="R18682" s="318"/>
      <c r="S18682" s="318"/>
      <c r="T18682" s="318"/>
      <c r="U18682" s="318"/>
      <c r="V18682" s="318"/>
      <c r="W18682" s="318"/>
      <c r="X18682" s="318"/>
      <c r="Y18682" s="318"/>
      <c r="Z18682" s="318"/>
      <c r="AA18682" s="318"/>
      <c r="AB18682" s="318"/>
      <c r="AC18682" s="318"/>
      <c r="AD18682" s="318"/>
    </row>
    <row r="18683" spans="2:30" s="323" customFormat="1" ht="12" customHeight="1">
      <c r="B18683" s="324"/>
      <c r="C18683" s="325"/>
      <c r="D18683" s="326"/>
      <c r="E18683" s="326"/>
      <c r="F18683" s="326"/>
      <c r="G18683" s="326"/>
      <c r="H18683" s="326"/>
      <c r="P18683" s="318"/>
      <c r="Q18683" s="318"/>
      <c r="R18683" s="318"/>
      <c r="S18683" s="318"/>
      <c r="T18683" s="318"/>
      <c r="U18683" s="318"/>
      <c r="V18683" s="318"/>
      <c r="W18683" s="318"/>
      <c r="X18683" s="318"/>
      <c r="Y18683" s="318"/>
      <c r="Z18683" s="318"/>
      <c r="AA18683" s="318"/>
      <c r="AB18683" s="318"/>
      <c r="AC18683" s="318"/>
      <c r="AD18683" s="318"/>
    </row>
    <row r="18684" spans="2:30" s="323" customFormat="1" ht="12" customHeight="1">
      <c r="B18684" s="324"/>
      <c r="C18684" s="325"/>
      <c r="D18684" s="326"/>
      <c r="E18684" s="326"/>
      <c r="F18684" s="326"/>
      <c r="G18684" s="326"/>
      <c r="H18684" s="326"/>
      <c r="P18684" s="318"/>
      <c r="Q18684" s="318"/>
      <c r="R18684" s="318"/>
      <c r="S18684" s="318"/>
      <c r="T18684" s="318"/>
      <c r="U18684" s="318"/>
      <c r="V18684" s="318"/>
      <c r="W18684" s="318"/>
      <c r="X18684" s="318"/>
      <c r="Y18684" s="318"/>
      <c r="Z18684" s="318"/>
      <c r="AA18684" s="318"/>
      <c r="AB18684" s="318"/>
      <c r="AC18684" s="318"/>
      <c r="AD18684" s="318"/>
    </row>
    <row r="18685" spans="2:30" s="323" customFormat="1" ht="12" customHeight="1">
      <c r="B18685" s="324"/>
      <c r="C18685" s="325"/>
      <c r="D18685" s="326"/>
      <c r="E18685" s="326"/>
      <c r="F18685" s="326"/>
      <c r="G18685" s="326"/>
      <c r="H18685" s="326"/>
      <c r="P18685" s="318"/>
      <c r="Q18685" s="318"/>
      <c r="R18685" s="318"/>
      <c r="S18685" s="318"/>
      <c r="T18685" s="318"/>
      <c r="U18685" s="318"/>
      <c r="V18685" s="318"/>
      <c r="W18685" s="318"/>
      <c r="X18685" s="318"/>
      <c r="Y18685" s="318"/>
      <c r="Z18685" s="318"/>
      <c r="AA18685" s="318"/>
      <c r="AB18685" s="318"/>
      <c r="AC18685" s="318"/>
      <c r="AD18685" s="318"/>
    </row>
    <row r="18686" spans="2:30" s="323" customFormat="1" ht="12" customHeight="1">
      <c r="B18686" s="324"/>
      <c r="C18686" s="325"/>
      <c r="D18686" s="326"/>
      <c r="E18686" s="326"/>
      <c r="F18686" s="326"/>
      <c r="G18686" s="326"/>
      <c r="H18686" s="326"/>
      <c r="P18686" s="318"/>
      <c r="Q18686" s="318"/>
      <c r="R18686" s="318"/>
      <c r="S18686" s="318"/>
      <c r="T18686" s="318"/>
      <c r="U18686" s="318"/>
      <c r="V18686" s="318"/>
      <c r="W18686" s="318"/>
      <c r="X18686" s="318"/>
      <c r="Y18686" s="318"/>
      <c r="Z18686" s="318"/>
      <c r="AA18686" s="318"/>
      <c r="AB18686" s="318"/>
      <c r="AC18686" s="318"/>
      <c r="AD18686" s="318"/>
    </row>
    <row r="18687" spans="2:30" s="323" customFormat="1" ht="12" customHeight="1">
      <c r="B18687" s="324"/>
      <c r="C18687" s="325"/>
      <c r="D18687" s="326"/>
      <c r="E18687" s="326"/>
      <c r="F18687" s="326"/>
      <c r="G18687" s="326"/>
      <c r="H18687" s="326"/>
      <c r="P18687" s="318"/>
      <c r="Q18687" s="318"/>
      <c r="R18687" s="318"/>
      <c r="S18687" s="318"/>
      <c r="T18687" s="318"/>
      <c r="U18687" s="318"/>
      <c r="V18687" s="318"/>
      <c r="W18687" s="318"/>
      <c r="X18687" s="318"/>
      <c r="Y18687" s="318"/>
      <c r="Z18687" s="318"/>
      <c r="AA18687" s="318"/>
      <c r="AB18687" s="318"/>
      <c r="AC18687" s="318"/>
      <c r="AD18687" s="318"/>
    </row>
    <row r="18688" spans="2:30" s="323" customFormat="1" ht="12" customHeight="1">
      <c r="B18688" s="324"/>
      <c r="C18688" s="325"/>
      <c r="D18688" s="326"/>
      <c r="E18688" s="326"/>
      <c r="F18688" s="326"/>
      <c r="G18688" s="326"/>
      <c r="H18688" s="326"/>
      <c r="P18688" s="318"/>
      <c r="Q18688" s="318"/>
      <c r="R18688" s="318"/>
      <c r="S18688" s="318"/>
      <c r="T18688" s="318"/>
      <c r="U18688" s="318"/>
      <c r="V18688" s="318"/>
      <c r="W18688" s="318"/>
      <c r="X18688" s="318"/>
      <c r="Y18688" s="318"/>
      <c r="Z18688" s="318"/>
      <c r="AA18688" s="318"/>
      <c r="AB18688" s="318"/>
      <c r="AC18688" s="318"/>
      <c r="AD18688" s="318"/>
    </row>
    <row r="18689" spans="2:30" s="323" customFormat="1" ht="12" customHeight="1">
      <c r="B18689" s="324"/>
      <c r="C18689" s="325"/>
      <c r="D18689" s="326"/>
      <c r="E18689" s="326"/>
      <c r="F18689" s="326"/>
      <c r="G18689" s="326"/>
      <c r="H18689" s="326"/>
      <c r="P18689" s="318"/>
      <c r="Q18689" s="318"/>
      <c r="R18689" s="318"/>
      <c r="S18689" s="318"/>
      <c r="T18689" s="318"/>
      <c r="U18689" s="318"/>
      <c r="V18689" s="318"/>
      <c r="W18689" s="318"/>
      <c r="X18689" s="318"/>
      <c r="Y18689" s="318"/>
      <c r="Z18689" s="318"/>
      <c r="AA18689" s="318"/>
      <c r="AB18689" s="318"/>
      <c r="AC18689" s="318"/>
      <c r="AD18689" s="318"/>
    </row>
    <row r="18690" spans="2:30" s="323" customFormat="1" ht="12" customHeight="1">
      <c r="B18690" s="324"/>
      <c r="C18690" s="325"/>
      <c r="D18690" s="326"/>
      <c r="E18690" s="326"/>
      <c r="F18690" s="326"/>
      <c r="G18690" s="326"/>
      <c r="H18690" s="326"/>
      <c r="P18690" s="318"/>
      <c r="Q18690" s="318"/>
      <c r="R18690" s="318"/>
      <c r="S18690" s="318"/>
      <c r="T18690" s="318"/>
      <c r="U18690" s="318"/>
      <c r="V18690" s="318"/>
      <c r="W18690" s="318"/>
      <c r="X18690" s="318"/>
      <c r="Y18690" s="318"/>
      <c r="Z18690" s="318"/>
      <c r="AA18690" s="318"/>
      <c r="AB18690" s="318"/>
      <c r="AC18690" s="318"/>
      <c r="AD18690" s="318"/>
    </row>
    <row r="18691" spans="2:30" s="323" customFormat="1" ht="12" customHeight="1">
      <c r="B18691" s="324"/>
      <c r="C18691" s="325"/>
      <c r="D18691" s="326"/>
      <c r="E18691" s="326"/>
      <c r="F18691" s="326"/>
      <c r="G18691" s="326"/>
      <c r="H18691" s="326"/>
      <c r="P18691" s="318"/>
      <c r="Q18691" s="318"/>
      <c r="R18691" s="318"/>
      <c r="S18691" s="318"/>
      <c r="T18691" s="318"/>
      <c r="U18691" s="318"/>
      <c r="V18691" s="318"/>
      <c r="W18691" s="318"/>
      <c r="X18691" s="318"/>
      <c r="Y18691" s="318"/>
      <c r="Z18691" s="318"/>
      <c r="AA18691" s="318"/>
      <c r="AB18691" s="318"/>
      <c r="AC18691" s="318"/>
      <c r="AD18691" s="318"/>
    </row>
    <row r="18692" spans="2:30" s="323" customFormat="1" ht="12" customHeight="1">
      <c r="B18692" s="324"/>
      <c r="C18692" s="325"/>
      <c r="D18692" s="326"/>
      <c r="E18692" s="326"/>
      <c r="F18692" s="326"/>
      <c r="G18692" s="326"/>
      <c r="H18692" s="326"/>
      <c r="P18692" s="318"/>
      <c r="Q18692" s="318"/>
      <c r="R18692" s="318"/>
      <c r="S18692" s="318"/>
      <c r="T18692" s="318"/>
      <c r="U18692" s="318"/>
      <c r="V18692" s="318"/>
      <c r="W18692" s="318"/>
      <c r="X18692" s="318"/>
      <c r="Y18692" s="318"/>
      <c r="Z18692" s="318"/>
      <c r="AA18692" s="318"/>
      <c r="AB18692" s="318"/>
      <c r="AC18692" s="318"/>
      <c r="AD18692" s="318"/>
    </row>
    <row r="18693" spans="2:30" s="323" customFormat="1" ht="12" customHeight="1">
      <c r="B18693" s="324"/>
      <c r="C18693" s="325"/>
      <c r="D18693" s="326"/>
      <c r="E18693" s="326"/>
      <c r="F18693" s="326"/>
      <c r="G18693" s="326"/>
      <c r="H18693" s="326"/>
      <c r="P18693" s="318"/>
      <c r="Q18693" s="318"/>
      <c r="R18693" s="318"/>
      <c r="S18693" s="318"/>
      <c r="T18693" s="318"/>
      <c r="U18693" s="318"/>
      <c r="V18693" s="318"/>
      <c r="W18693" s="318"/>
      <c r="X18693" s="318"/>
      <c r="Y18693" s="318"/>
      <c r="Z18693" s="318"/>
      <c r="AA18693" s="318"/>
      <c r="AB18693" s="318"/>
      <c r="AC18693" s="318"/>
      <c r="AD18693" s="318"/>
    </row>
    <row r="18694" spans="2:30" s="323" customFormat="1" ht="12" customHeight="1">
      <c r="B18694" s="324"/>
      <c r="C18694" s="325"/>
      <c r="D18694" s="326"/>
      <c r="E18694" s="326"/>
      <c r="F18694" s="326"/>
      <c r="G18694" s="326"/>
      <c r="H18694" s="326"/>
      <c r="P18694" s="318"/>
      <c r="Q18694" s="318"/>
      <c r="R18694" s="318"/>
      <c r="S18694" s="318"/>
      <c r="T18694" s="318"/>
      <c r="U18694" s="318"/>
      <c r="V18694" s="318"/>
      <c r="W18694" s="318"/>
      <c r="X18694" s="318"/>
      <c r="Y18694" s="318"/>
      <c r="Z18694" s="318"/>
      <c r="AA18694" s="318"/>
      <c r="AB18694" s="318"/>
      <c r="AC18694" s="318"/>
      <c r="AD18694" s="318"/>
    </row>
    <row r="18695" spans="2:30" s="323" customFormat="1" ht="12" customHeight="1">
      <c r="B18695" s="324"/>
      <c r="C18695" s="325"/>
      <c r="D18695" s="326"/>
      <c r="E18695" s="326"/>
      <c r="F18695" s="326"/>
      <c r="G18695" s="326"/>
      <c r="H18695" s="326"/>
      <c r="P18695" s="318"/>
      <c r="Q18695" s="318"/>
      <c r="R18695" s="318"/>
      <c r="S18695" s="318"/>
      <c r="T18695" s="318"/>
      <c r="U18695" s="318"/>
      <c r="V18695" s="318"/>
      <c r="W18695" s="318"/>
      <c r="X18695" s="318"/>
      <c r="Y18695" s="318"/>
      <c r="Z18695" s="318"/>
      <c r="AA18695" s="318"/>
      <c r="AB18695" s="318"/>
      <c r="AC18695" s="318"/>
      <c r="AD18695" s="318"/>
    </row>
    <row r="18696" spans="2:30" s="323" customFormat="1" ht="12" customHeight="1">
      <c r="B18696" s="324"/>
      <c r="C18696" s="325"/>
      <c r="D18696" s="326"/>
      <c r="E18696" s="326"/>
      <c r="F18696" s="326"/>
      <c r="G18696" s="326"/>
      <c r="H18696" s="326"/>
      <c r="P18696" s="318"/>
      <c r="Q18696" s="318"/>
      <c r="R18696" s="318"/>
      <c r="S18696" s="318"/>
      <c r="T18696" s="318"/>
      <c r="U18696" s="318"/>
      <c r="V18696" s="318"/>
      <c r="W18696" s="318"/>
      <c r="X18696" s="318"/>
      <c r="Y18696" s="318"/>
      <c r="Z18696" s="318"/>
      <c r="AA18696" s="318"/>
      <c r="AB18696" s="318"/>
      <c r="AC18696" s="318"/>
      <c r="AD18696" s="318"/>
    </row>
    <row r="18697" spans="2:30" s="323" customFormat="1" ht="12" customHeight="1">
      <c r="B18697" s="324"/>
      <c r="C18697" s="325"/>
      <c r="D18697" s="326"/>
      <c r="E18697" s="326"/>
      <c r="F18697" s="326"/>
      <c r="G18697" s="326"/>
      <c r="H18697" s="326"/>
      <c r="P18697" s="318"/>
      <c r="Q18697" s="318"/>
      <c r="R18697" s="318"/>
      <c r="S18697" s="318"/>
      <c r="T18697" s="318"/>
      <c r="U18697" s="318"/>
      <c r="V18697" s="318"/>
      <c r="W18697" s="318"/>
      <c r="X18697" s="318"/>
      <c r="Y18697" s="318"/>
      <c r="Z18697" s="318"/>
      <c r="AA18697" s="318"/>
      <c r="AB18697" s="318"/>
      <c r="AC18697" s="318"/>
      <c r="AD18697" s="318"/>
    </row>
    <row r="18698" spans="2:30" s="323" customFormat="1" ht="12" customHeight="1">
      <c r="B18698" s="324"/>
      <c r="C18698" s="325"/>
      <c r="D18698" s="326"/>
      <c r="E18698" s="326"/>
      <c r="F18698" s="326"/>
      <c r="G18698" s="326"/>
      <c r="H18698" s="326"/>
      <c r="P18698" s="318"/>
      <c r="Q18698" s="318"/>
      <c r="R18698" s="318"/>
      <c r="S18698" s="318"/>
      <c r="T18698" s="318"/>
      <c r="U18698" s="318"/>
      <c r="V18698" s="318"/>
      <c r="W18698" s="318"/>
      <c r="X18698" s="318"/>
      <c r="Y18698" s="318"/>
      <c r="Z18698" s="318"/>
      <c r="AA18698" s="318"/>
      <c r="AB18698" s="318"/>
      <c r="AC18698" s="318"/>
      <c r="AD18698" s="318"/>
    </row>
    <row r="18699" spans="2:30" s="323" customFormat="1" ht="12" customHeight="1">
      <c r="B18699" s="324"/>
      <c r="C18699" s="325"/>
      <c r="D18699" s="326"/>
      <c r="E18699" s="326"/>
      <c r="F18699" s="326"/>
      <c r="G18699" s="326"/>
      <c r="H18699" s="326"/>
      <c r="P18699" s="318"/>
      <c r="Q18699" s="318"/>
      <c r="R18699" s="318"/>
      <c r="S18699" s="318"/>
      <c r="T18699" s="318"/>
      <c r="U18699" s="318"/>
      <c r="V18699" s="318"/>
      <c r="W18699" s="318"/>
      <c r="X18699" s="318"/>
      <c r="Y18699" s="318"/>
      <c r="Z18699" s="318"/>
      <c r="AA18699" s="318"/>
      <c r="AB18699" s="318"/>
      <c r="AC18699" s="318"/>
      <c r="AD18699" s="318"/>
    </row>
    <row r="18700" spans="2:30" s="323" customFormat="1" ht="12" customHeight="1">
      <c r="B18700" s="324"/>
      <c r="C18700" s="325"/>
      <c r="D18700" s="326"/>
      <c r="E18700" s="326"/>
      <c r="F18700" s="326"/>
      <c r="G18700" s="326"/>
      <c r="H18700" s="326"/>
      <c r="P18700" s="318"/>
      <c r="Q18700" s="318"/>
      <c r="R18700" s="318"/>
      <c r="S18700" s="318"/>
      <c r="T18700" s="318"/>
      <c r="U18700" s="318"/>
      <c r="V18700" s="318"/>
      <c r="W18700" s="318"/>
      <c r="X18700" s="318"/>
      <c r="Y18700" s="318"/>
      <c r="Z18700" s="318"/>
      <c r="AA18700" s="318"/>
      <c r="AB18700" s="318"/>
      <c r="AC18700" s="318"/>
      <c r="AD18700" s="318"/>
    </row>
    <row r="18701" spans="2:30" s="323" customFormat="1" ht="12" customHeight="1">
      <c r="B18701" s="324"/>
      <c r="C18701" s="325"/>
      <c r="D18701" s="326"/>
      <c r="E18701" s="326"/>
      <c r="F18701" s="326"/>
      <c r="G18701" s="326"/>
      <c r="H18701" s="326"/>
      <c r="P18701" s="318"/>
      <c r="Q18701" s="318"/>
      <c r="R18701" s="318"/>
      <c r="S18701" s="318"/>
      <c r="T18701" s="318"/>
      <c r="U18701" s="318"/>
      <c r="V18701" s="318"/>
      <c r="W18701" s="318"/>
      <c r="X18701" s="318"/>
      <c r="Y18701" s="318"/>
      <c r="Z18701" s="318"/>
      <c r="AA18701" s="318"/>
      <c r="AB18701" s="318"/>
      <c r="AC18701" s="318"/>
      <c r="AD18701" s="318"/>
    </row>
    <row r="18702" spans="2:30" s="323" customFormat="1" ht="12" customHeight="1">
      <c r="B18702" s="324"/>
      <c r="C18702" s="325"/>
      <c r="D18702" s="326"/>
      <c r="E18702" s="326"/>
      <c r="F18702" s="326"/>
      <c r="G18702" s="326"/>
      <c r="H18702" s="326"/>
      <c r="P18702" s="318"/>
      <c r="Q18702" s="318"/>
      <c r="R18702" s="318"/>
      <c r="S18702" s="318"/>
      <c r="T18702" s="318"/>
      <c r="U18702" s="318"/>
      <c r="V18702" s="318"/>
      <c r="W18702" s="318"/>
      <c r="X18702" s="318"/>
      <c r="Y18702" s="318"/>
      <c r="Z18702" s="318"/>
      <c r="AA18702" s="318"/>
      <c r="AB18702" s="318"/>
      <c r="AC18702" s="318"/>
      <c r="AD18702" s="318"/>
    </row>
    <row r="18703" spans="2:30" s="323" customFormat="1" ht="12" customHeight="1">
      <c r="B18703" s="324"/>
      <c r="C18703" s="325"/>
      <c r="D18703" s="326"/>
      <c r="E18703" s="326"/>
      <c r="F18703" s="326"/>
      <c r="G18703" s="326"/>
      <c r="H18703" s="326"/>
      <c r="P18703" s="318"/>
      <c r="Q18703" s="318"/>
      <c r="R18703" s="318"/>
      <c r="S18703" s="318"/>
      <c r="T18703" s="318"/>
      <c r="U18703" s="318"/>
      <c r="V18703" s="318"/>
      <c r="W18703" s="318"/>
      <c r="X18703" s="318"/>
      <c r="Y18703" s="318"/>
      <c r="Z18703" s="318"/>
      <c r="AA18703" s="318"/>
      <c r="AB18703" s="318"/>
      <c r="AC18703" s="318"/>
      <c r="AD18703" s="318"/>
    </row>
    <row r="18704" spans="2:30" s="323" customFormat="1" ht="12" customHeight="1">
      <c r="B18704" s="324"/>
      <c r="C18704" s="325"/>
      <c r="D18704" s="326"/>
      <c r="E18704" s="326"/>
      <c r="F18704" s="326"/>
      <c r="G18704" s="326"/>
      <c r="H18704" s="326"/>
      <c r="P18704" s="318"/>
      <c r="Q18704" s="318"/>
      <c r="R18704" s="318"/>
      <c r="S18704" s="318"/>
      <c r="T18704" s="318"/>
      <c r="U18704" s="318"/>
      <c r="V18704" s="318"/>
      <c r="W18704" s="318"/>
      <c r="X18704" s="318"/>
      <c r="Y18704" s="318"/>
      <c r="Z18704" s="318"/>
      <c r="AA18704" s="318"/>
      <c r="AB18704" s="318"/>
      <c r="AC18704" s="318"/>
      <c r="AD18704" s="318"/>
    </row>
    <row r="18705" spans="2:30" s="323" customFormat="1" ht="12" customHeight="1">
      <c r="B18705" s="324"/>
      <c r="C18705" s="325"/>
      <c r="D18705" s="326"/>
      <c r="E18705" s="326"/>
      <c r="F18705" s="326"/>
      <c r="G18705" s="326"/>
      <c r="H18705" s="326"/>
      <c r="P18705" s="318"/>
      <c r="Q18705" s="318"/>
      <c r="R18705" s="318"/>
      <c r="S18705" s="318"/>
      <c r="T18705" s="318"/>
      <c r="U18705" s="318"/>
      <c r="V18705" s="318"/>
      <c r="W18705" s="318"/>
      <c r="X18705" s="318"/>
      <c r="Y18705" s="318"/>
      <c r="Z18705" s="318"/>
      <c r="AA18705" s="318"/>
      <c r="AB18705" s="318"/>
      <c r="AC18705" s="318"/>
      <c r="AD18705" s="318"/>
    </row>
    <row r="18706" spans="2:30" s="323" customFormat="1" ht="12" customHeight="1">
      <c r="B18706" s="324"/>
      <c r="C18706" s="325"/>
      <c r="D18706" s="326"/>
      <c r="E18706" s="326"/>
      <c r="F18706" s="326"/>
      <c r="G18706" s="326"/>
      <c r="H18706" s="326"/>
      <c r="P18706" s="318"/>
      <c r="Q18706" s="318"/>
      <c r="R18706" s="318"/>
      <c r="S18706" s="318"/>
      <c r="T18706" s="318"/>
      <c r="U18706" s="318"/>
      <c r="V18706" s="318"/>
      <c r="W18706" s="318"/>
      <c r="X18706" s="318"/>
      <c r="Y18706" s="318"/>
      <c r="Z18706" s="318"/>
      <c r="AA18706" s="318"/>
      <c r="AB18706" s="318"/>
      <c r="AC18706" s="318"/>
      <c r="AD18706" s="318"/>
    </row>
    <row r="18707" spans="2:30" s="323" customFormat="1" ht="12" customHeight="1">
      <c r="B18707" s="324"/>
      <c r="C18707" s="325"/>
      <c r="D18707" s="326"/>
      <c r="E18707" s="326"/>
      <c r="F18707" s="326"/>
      <c r="G18707" s="326"/>
      <c r="H18707" s="326"/>
      <c r="P18707" s="318"/>
      <c r="Q18707" s="318"/>
      <c r="R18707" s="318"/>
      <c r="S18707" s="318"/>
      <c r="T18707" s="318"/>
      <c r="U18707" s="318"/>
      <c r="V18707" s="318"/>
      <c r="W18707" s="318"/>
      <c r="X18707" s="318"/>
      <c r="Y18707" s="318"/>
      <c r="Z18707" s="318"/>
      <c r="AA18707" s="318"/>
      <c r="AB18707" s="318"/>
      <c r="AC18707" s="318"/>
      <c r="AD18707" s="318"/>
    </row>
    <row r="18708" spans="2:30" s="323" customFormat="1" ht="12" customHeight="1">
      <c r="B18708" s="324"/>
      <c r="C18708" s="325"/>
      <c r="D18708" s="326"/>
      <c r="E18708" s="326"/>
      <c r="F18708" s="326"/>
      <c r="G18708" s="326"/>
      <c r="H18708" s="326"/>
      <c r="P18708" s="318"/>
      <c r="Q18708" s="318"/>
      <c r="R18708" s="318"/>
      <c r="S18708" s="318"/>
      <c r="T18708" s="318"/>
      <c r="U18708" s="318"/>
      <c r="V18708" s="318"/>
      <c r="W18708" s="318"/>
      <c r="X18708" s="318"/>
      <c r="Y18708" s="318"/>
      <c r="Z18708" s="318"/>
      <c r="AA18708" s="318"/>
      <c r="AB18708" s="318"/>
      <c r="AC18708" s="318"/>
      <c r="AD18708" s="318"/>
    </row>
    <row r="18709" spans="2:30" s="323" customFormat="1" ht="12" customHeight="1">
      <c r="B18709" s="324"/>
      <c r="C18709" s="325"/>
      <c r="D18709" s="326"/>
      <c r="E18709" s="326"/>
      <c r="F18709" s="326"/>
      <c r="G18709" s="326"/>
      <c r="H18709" s="326"/>
      <c r="P18709" s="318"/>
      <c r="Q18709" s="318"/>
      <c r="R18709" s="318"/>
      <c r="S18709" s="318"/>
      <c r="T18709" s="318"/>
      <c r="U18709" s="318"/>
      <c r="V18709" s="318"/>
      <c r="W18709" s="318"/>
      <c r="X18709" s="318"/>
      <c r="Y18709" s="318"/>
      <c r="Z18709" s="318"/>
      <c r="AA18709" s="318"/>
      <c r="AB18709" s="318"/>
      <c r="AC18709" s="318"/>
      <c r="AD18709" s="318"/>
    </row>
    <row r="18710" spans="2:30" s="323" customFormat="1" ht="12" customHeight="1">
      <c r="B18710" s="324"/>
      <c r="C18710" s="325"/>
      <c r="D18710" s="326"/>
      <c r="E18710" s="326"/>
      <c r="F18710" s="326"/>
      <c r="G18710" s="326"/>
      <c r="H18710" s="326"/>
      <c r="P18710" s="318"/>
      <c r="Q18710" s="318"/>
      <c r="R18710" s="318"/>
      <c r="S18710" s="318"/>
      <c r="T18710" s="318"/>
      <c r="U18710" s="318"/>
      <c r="V18710" s="318"/>
      <c r="W18710" s="318"/>
      <c r="X18710" s="318"/>
      <c r="Y18710" s="318"/>
      <c r="Z18710" s="318"/>
      <c r="AA18710" s="318"/>
      <c r="AB18710" s="318"/>
      <c r="AC18710" s="318"/>
      <c r="AD18710" s="318"/>
    </row>
    <row r="18711" spans="2:30" s="323" customFormat="1" ht="12" customHeight="1">
      <c r="B18711" s="324"/>
      <c r="C18711" s="325"/>
      <c r="D18711" s="326"/>
      <c r="E18711" s="326"/>
      <c r="F18711" s="326"/>
      <c r="G18711" s="326"/>
      <c r="H18711" s="326"/>
      <c r="P18711" s="318"/>
      <c r="Q18711" s="318"/>
      <c r="R18711" s="318"/>
      <c r="S18711" s="318"/>
      <c r="T18711" s="318"/>
      <c r="U18711" s="318"/>
      <c r="V18711" s="318"/>
      <c r="W18711" s="318"/>
      <c r="X18711" s="318"/>
      <c r="Y18711" s="318"/>
      <c r="Z18711" s="318"/>
      <c r="AA18711" s="318"/>
      <c r="AB18711" s="318"/>
      <c r="AC18711" s="318"/>
      <c r="AD18711" s="318"/>
    </row>
    <row r="18712" spans="2:30" s="323" customFormat="1" ht="12" customHeight="1">
      <c r="B18712" s="324"/>
      <c r="C18712" s="325"/>
      <c r="D18712" s="326"/>
      <c r="E18712" s="326"/>
      <c r="F18712" s="326"/>
      <c r="G18712" s="326"/>
      <c r="H18712" s="326"/>
      <c r="P18712" s="318"/>
      <c r="Q18712" s="318"/>
      <c r="R18712" s="318"/>
      <c r="S18712" s="318"/>
      <c r="T18712" s="318"/>
      <c r="U18712" s="318"/>
      <c r="V18712" s="318"/>
      <c r="W18712" s="318"/>
      <c r="X18712" s="318"/>
      <c r="Y18712" s="318"/>
      <c r="Z18712" s="318"/>
      <c r="AA18712" s="318"/>
      <c r="AB18712" s="318"/>
      <c r="AC18712" s="318"/>
      <c r="AD18712" s="318"/>
    </row>
    <row r="18713" spans="2:30" s="323" customFormat="1" ht="12" customHeight="1">
      <c r="B18713" s="324"/>
      <c r="C18713" s="325"/>
      <c r="D18713" s="326"/>
      <c r="E18713" s="326"/>
      <c r="F18713" s="326"/>
      <c r="G18713" s="326"/>
      <c r="H18713" s="326"/>
      <c r="P18713" s="318"/>
      <c r="Q18713" s="318"/>
      <c r="R18713" s="318"/>
      <c r="S18713" s="318"/>
      <c r="T18713" s="318"/>
      <c r="U18713" s="318"/>
      <c r="V18713" s="318"/>
      <c r="W18713" s="318"/>
      <c r="X18713" s="318"/>
      <c r="Y18713" s="318"/>
      <c r="Z18713" s="318"/>
      <c r="AA18713" s="318"/>
      <c r="AB18713" s="318"/>
      <c r="AC18713" s="318"/>
      <c r="AD18713" s="318"/>
    </row>
    <row r="18714" spans="2:30" s="323" customFormat="1" ht="12" customHeight="1">
      <c r="B18714" s="324"/>
      <c r="C18714" s="325"/>
      <c r="D18714" s="326"/>
      <c r="E18714" s="326"/>
      <c r="F18714" s="326"/>
      <c r="G18714" s="326"/>
      <c r="H18714" s="326"/>
      <c r="P18714" s="318"/>
      <c r="Q18714" s="318"/>
      <c r="R18714" s="318"/>
      <c r="S18714" s="318"/>
      <c r="T18714" s="318"/>
      <c r="U18714" s="318"/>
      <c r="V18714" s="318"/>
      <c r="W18714" s="318"/>
      <c r="X18714" s="318"/>
      <c r="Y18714" s="318"/>
      <c r="Z18714" s="318"/>
      <c r="AA18714" s="318"/>
      <c r="AB18714" s="318"/>
      <c r="AC18714" s="318"/>
      <c r="AD18714" s="318"/>
    </row>
    <row r="18715" spans="2:30" s="323" customFormat="1" ht="12" customHeight="1">
      <c r="B18715" s="324"/>
      <c r="C18715" s="325"/>
      <c r="D18715" s="326"/>
      <c r="E18715" s="326"/>
      <c r="F18715" s="326"/>
      <c r="G18715" s="326"/>
      <c r="H18715" s="326"/>
      <c r="P18715" s="318"/>
      <c r="Q18715" s="318"/>
      <c r="R18715" s="318"/>
      <c r="S18715" s="318"/>
      <c r="T18715" s="318"/>
      <c r="U18715" s="318"/>
      <c r="V18715" s="318"/>
      <c r="W18715" s="318"/>
      <c r="X18715" s="318"/>
      <c r="Y18715" s="318"/>
      <c r="Z18715" s="318"/>
      <c r="AA18715" s="318"/>
      <c r="AB18715" s="318"/>
      <c r="AC18715" s="318"/>
      <c r="AD18715" s="318"/>
    </row>
    <row r="18716" spans="2:30" s="323" customFormat="1" ht="12" customHeight="1">
      <c r="B18716" s="324"/>
      <c r="C18716" s="325"/>
      <c r="D18716" s="326"/>
      <c r="E18716" s="326"/>
      <c r="F18716" s="326"/>
      <c r="G18716" s="326"/>
      <c r="H18716" s="326"/>
      <c r="P18716" s="318"/>
      <c r="Q18716" s="318"/>
      <c r="R18716" s="318"/>
      <c r="S18716" s="318"/>
      <c r="T18716" s="318"/>
      <c r="U18716" s="318"/>
      <c r="V18716" s="318"/>
      <c r="W18716" s="318"/>
      <c r="X18716" s="318"/>
      <c r="Y18716" s="318"/>
      <c r="Z18716" s="318"/>
      <c r="AA18716" s="318"/>
      <c r="AB18716" s="318"/>
      <c r="AC18716" s="318"/>
      <c r="AD18716" s="318"/>
    </row>
    <row r="18717" spans="2:30" s="323" customFormat="1" ht="12" customHeight="1">
      <c r="B18717" s="324"/>
      <c r="C18717" s="325"/>
      <c r="D18717" s="326"/>
      <c r="E18717" s="326"/>
      <c r="F18717" s="326"/>
      <c r="G18717" s="326"/>
      <c r="H18717" s="326"/>
      <c r="P18717" s="318"/>
      <c r="Q18717" s="318"/>
      <c r="R18717" s="318"/>
      <c r="S18717" s="318"/>
      <c r="T18717" s="318"/>
      <c r="U18717" s="318"/>
      <c r="V18717" s="318"/>
      <c r="W18717" s="318"/>
      <c r="X18717" s="318"/>
      <c r="Y18717" s="318"/>
      <c r="Z18717" s="318"/>
      <c r="AA18717" s="318"/>
      <c r="AB18717" s="318"/>
      <c r="AC18717" s="318"/>
      <c r="AD18717" s="318"/>
    </row>
    <row r="18718" spans="2:30" s="323" customFormat="1" ht="12" customHeight="1">
      <c r="B18718" s="324"/>
      <c r="C18718" s="325"/>
      <c r="D18718" s="326"/>
      <c r="E18718" s="326"/>
      <c r="F18718" s="326"/>
      <c r="G18718" s="326"/>
      <c r="H18718" s="326"/>
      <c r="P18718" s="318"/>
      <c r="Q18718" s="318"/>
      <c r="R18718" s="318"/>
      <c r="S18718" s="318"/>
      <c r="T18718" s="318"/>
      <c r="U18718" s="318"/>
      <c r="V18718" s="318"/>
      <c r="W18718" s="318"/>
      <c r="X18718" s="318"/>
      <c r="Y18718" s="318"/>
      <c r="Z18718" s="318"/>
      <c r="AA18718" s="318"/>
      <c r="AB18718" s="318"/>
      <c r="AC18718" s="318"/>
      <c r="AD18718" s="318"/>
    </row>
    <row r="18719" spans="2:30" s="323" customFormat="1" ht="12" customHeight="1">
      <c r="B18719" s="324"/>
      <c r="C18719" s="325"/>
      <c r="D18719" s="326"/>
      <c r="E18719" s="326"/>
      <c r="F18719" s="326"/>
      <c r="G18719" s="326"/>
      <c r="H18719" s="326"/>
      <c r="P18719" s="318"/>
      <c r="Q18719" s="318"/>
      <c r="R18719" s="318"/>
      <c r="S18719" s="318"/>
      <c r="T18719" s="318"/>
      <c r="U18719" s="318"/>
      <c r="V18719" s="318"/>
      <c r="W18719" s="318"/>
      <c r="X18719" s="318"/>
      <c r="Y18719" s="318"/>
      <c r="Z18719" s="318"/>
      <c r="AA18719" s="318"/>
      <c r="AB18719" s="318"/>
      <c r="AC18719" s="318"/>
      <c r="AD18719" s="318"/>
    </row>
    <row r="18720" spans="2:30" s="323" customFormat="1" ht="12" customHeight="1">
      <c r="B18720" s="324"/>
      <c r="C18720" s="325"/>
      <c r="D18720" s="326"/>
      <c r="E18720" s="326"/>
      <c r="F18720" s="326"/>
      <c r="G18720" s="326"/>
      <c r="H18720" s="326"/>
      <c r="P18720" s="318"/>
      <c r="Q18720" s="318"/>
      <c r="R18720" s="318"/>
      <c r="S18720" s="318"/>
      <c r="T18720" s="318"/>
      <c r="U18720" s="318"/>
      <c r="V18720" s="318"/>
      <c r="W18720" s="318"/>
      <c r="X18720" s="318"/>
      <c r="Y18720" s="318"/>
      <c r="Z18720" s="318"/>
      <c r="AA18720" s="318"/>
      <c r="AB18720" s="318"/>
      <c r="AC18720" s="318"/>
      <c r="AD18720" s="318"/>
    </row>
    <row r="18721" spans="2:30" s="323" customFormat="1" ht="12" customHeight="1">
      <c r="B18721" s="324"/>
      <c r="C18721" s="325"/>
      <c r="D18721" s="326"/>
      <c r="E18721" s="326"/>
      <c r="F18721" s="326"/>
      <c r="G18721" s="326"/>
      <c r="H18721" s="326"/>
      <c r="P18721" s="318"/>
      <c r="Q18721" s="318"/>
      <c r="R18721" s="318"/>
      <c r="S18721" s="318"/>
      <c r="T18721" s="318"/>
      <c r="U18721" s="318"/>
      <c r="V18721" s="318"/>
      <c r="W18721" s="318"/>
      <c r="X18721" s="318"/>
      <c r="Y18721" s="318"/>
      <c r="Z18721" s="318"/>
      <c r="AA18721" s="318"/>
      <c r="AB18721" s="318"/>
      <c r="AC18721" s="318"/>
      <c r="AD18721" s="318"/>
    </row>
    <row r="18722" spans="2:30" s="323" customFormat="1" ht="12" customHeight="1">
      <c r="B18722" s="324"/>
      <c r="C18722" s="325"/>
      <c r="D18722" s="326"/>
      <c r="E18722" s="326"/>
      <c r="F18722" s="326"/>
      <c r="G18722" s="326"/>
      <c r="H18722" s="326"/>
      <c r="P18722" s="318"/>
      <c r="Q18722" s="318"/>
      <c r="R18722" s="318"/>
      <c r="S18722" s="318"/>
      <c r="T18722" s="318"/>
      <c r="U18722" s="318"/>
      <c r="V18722" s="318"/>
      <c r="W18722" s="318"/>
      <c r="X18722" s="318"/>
      <c r="Y18722" s="318"/>
      <c r="Z18722" s="318"/>
      <c r="AA18722" s="318"/>
      <c r="AB18722" s="318"/>
      <c r="AC18722" s="318"/>
      <c r="AD18722" s="318"/>
    </row>
    <row r="18723" spans="2:30" s="323" customFormat="1" ht="12" customHeight="1">
      <c r="B18723" s="324"/>
      <c r="C18723" s="325"/>
      <c r="D18723" s="326"/>
      <c r="E18723" s="326"/>
      <c r="F18723" s="326"/>
      <c r="G18723" s="326"/>
      <c r="H18723" s="326"/>
      <c r="P18723" s="318"/>
      <c r="Q18723" s="318"/>
      <c r="R18723" s="318"/>
      <c r="S18723" s="318"/>
      <c r="T18723" s="318"/>
      <c r="U18723" s="318"/>
      <c r="V18723" s="318"/>
      <c r="W18723" s="318"/>
      <c r="X18723" s="318"/>
      <c r="Y18723" s="318"/>
      <c r="Z18723" s="318"/>
      <c r="AA18723" s="318"/>
      <c r="AB18723" s="318"/>
      <c r="AC18723" s="318"/>
      <c r="AD18723" s="318"/>
    </row>
    <row r="18724" spans="2:30" s="323" customFormat="1" ht="12" customHeight="1">
      <c r="B18724" s="324"/>
      <c r="C18724" s="325"/>
      <c r="D18724" s="326"/>
      <c r="E18724" s="326"/>
      <c r="F18724" s="326"/>
      <c r="G18724" s="326"/>
      <c r="H18724" s="326"/>
      <c r="P18724" s="318"/>
      <c r="Q18724" s="318"/>
      <c r="R18724" s="318"/>
      <c r="S18724" s="318"/>
      <c r="T18724" s="318"/>
      <c r="U18724" s="318"/>
      <c r="V18724" s="318"/>
      <c r="W18724" s="318"/>
      <c r="X18724" s="318"/>
      <c r="Y18724" s="318"/>
      <c r="Z18724" s="318"/>
      <c r="AA18724" s="318"/>
      <c r="AB18724" s="318"/>
      <c r="AC18724" s="318"/>
      <c r="AD18724" s="318"/>
    </row>
    <row r="18725" spans="2:30" s="323" customFormat="1" ht="12" customHeight="1">
      <c r="B18725" s="324"/>
      <c r="C18725" s="325"/>
      <c r="D18725" s="326"/>
      <c r="E18725" s="326"/>
      <c r="F18725" s="326"/>
      <c r="G18725" s="326"/>
      <c r="H18725" s="326"/>
      <c r="P18725" s="318"/>
      <c r="Q18725" s="318"/>
      <c r="R18725" s="318"/>
      <c r="S18725" s="318"/>
      <c r="T18725" s="318"/>
      <c r="U18725" s="318"/>
      <c r="V18725" s="318"/>
      <c r="W18725" s="318"/>
      <c r="X18725" s="318"/>
      <c r="Y18725" s="318"/>
      <c r="Z18725" s="318"/>
      <c r="AA18725" s="318"/>
      <c r="AB18725" s="318"/>
      <c r="AC18725" s="318"/>
      <c r="AD18725" s="318"/>
    </row>
    <row r="18726" spans="2:30" s="323" customFormat="1" ht="12" customHeight="1">
      <c r="B18726" s="324"/>
      <c r="C18726" s="325"/>
      <c r="D18726" s="326"/>
      <c r="E18726" s="326"/>
      <c r="F18726" s="326"/>
      <c r="G18726" s="326"/>
      <c r="H18726" s="326"/>
      <c r="P18726" s="318"/>
      <c r="Q18726" s="318"/>
      <c r="R18726" s="318"/>
      <c r="S18726" s="318"/>
      <c r="T18726" s="318"/>
      <c r="U18726" s="318"/>
      <c r="V18726" s="318"/>
      <c r="W18726" s="318"/>
      <c r="X18726" s="318"/>
      <c r="Y18726" s="318"/>
      <c r="Z18726" s="318"/>
      <c r="AA18726" s="318"/>
      <c r="AB18726" s="318"/>
      <c r="AC18726" s="318"/>
      <c r="AD18726" s="318"/>
    </row>
    <row r="18727" spans="2:30" s="323" customFormat="1" ht="12" customHeight="1">
      <c r="B18727" s="324"/>
      <c r="C18727" s="325"/>
      <c r="D18727" s="326"/>
      <c r="E18727" s="326"/>
      <c r="F18727" s="326"/>
      <c r="G18727" s="326"/>
      <c r="H18727" s="326"/>
      <c r="P18727" s="318"/>
      <c r="Q18727" s="318"/>
      <c r="R18727" s="318"/>
      <c r="S18727" s="318"/>
      <c r="T18727" s="318"/>
      <c r="U18727" s="318"/>
      <c r="V18727" s="318"/>
      <c r="W18727" s="318"/>
      <c r="X18727" s="318"/>
      <c r="Y18727" s="318"/>
      <c r="Z18727" s="318"/>
      <c r="AA18727" s="318"/>
      <c r="AB18727" s="318"/>
      <c r="AC18727" s="318"/>
      <c r="AD18727" s="318"/>
    </row>
    <row r="18728" spans="2:30" s="323" customFormat="1" ht="12" customHeight="1">
      <c r="B18728" s="324"/>
      <c r="C18728" s="325"/>
      <c r="D18728" s="326"/>
      <c r="E18728" s="326"/>
      <c r="F18728" s="326"/>
      <c r="G18728" s="326"/>
      <c r="H18728" s="326"/>
      <c r="P18728" s="318"/>
      <c r="Q18728" s="318"/>
      <c r="R18728" s="318"/>
      <c r="S18728" s="318"/>
      <c r="T18728" s="318"/>
      <c r="U18728" s="318"/>
      <c r="V18728" s="318"/>
      <c r="W18728" s="318"/>
      <c r="X18728" s="318"/>
      <c r="Y18728" s="318"/>
      <c r="Z18728" s="318"/>
      <c r="AA18728" s="318"/>
      <c r="AB18728" s="318"/>
      <c r="AC18728" s="318"/>
      <c r="AD18728" s="318"/>
    </row>
    <row r="18729" spans="2:30" s="323" customFormat="1" ht="12" customHeight="1">
      <c r="B18729" s="324"/>
      <c r="C18729" s="325"/>
      <c r="D18729" s="326"/>
      <c r="E18729" s="326"/>
      <c r="F18729" s="326"/>
      <c r="G18729" s="326"/>
      <c r="H18729" s="326"/>
      <c r="P18729" s="318"/>
      <c r="Q18729" s="318"/>
      <c r="R18729" s="318"/>
      <c r="S18729" s="318"/>
      <c r="T18729" s="318"/>
      <c r="U18729" s="318"/>
      <c r="V18729" s="318"/>
      <c r="W18729" s="318"/>
      <c r="X18729" s="318"/>
      <c r="Y18729" s="318"/>
      <c r="Z18729" s="318"/>
      <c r="AA18729" s="318"/>
      <c r="AB18729" s="318"/>
      <c r="AC18729" s="318"/>
      <c r="AD18729" s="318"/>
    </row>
    <row r="18730" spans="2:30" s="323" customFormat="1" ht="12" customHeight="1">
      <c r="B18730" s="324"/>
      <c r="C18730" s="325"/>
      <c r="D18730" s="326"/>
      <c r="E18730" s="326"/>
      <c r="F18730" s="326"/>
      <c r="G18730" s="326"/>
      <c r="H18730" s="326"/>
      <c r="P18730" s="318"/>
      <c r="Q18730" s="318"/>
      <c r="R18730" s="318"/>
      <c r="S18730" s="318"/>
      <c r="T18730" s="318"/>
      <c r="U18730" s="318"/>
      <c r="V18730" s="318"/>
      <c r="W18730" s="318"/>
      <c r="X18730" s="318"/>
      <c r="Y18730" s="318"/>
      <c r="Z18730" s="318"/>
      <c r="AA18730" s="318"/>
      <c r="AB18730" s="318"/>
      <c r="AC18730" s="318"/>
      <c r="AD18730" s="318"/>
    </row>
    <row r="18731" spans="2:30" s="323" customFormat="1" ht="12" customHeight="1">
      <c r="B18731" s="324"/>
      <c r="C18731" s="325"/>
      <c r="D18731" s="326"/>
      <c r="E18731" s="326"/>
      <c r="F18731" s="326"/>
      <c r="G18731" s="326"/>
      <c r="H18731" s="326"/>
      <c r="P18731" s="318"/>
      <c r="Q18731" s="318"/>
      <c r="R18731" s="318"/>
      <c r="S18731" s="318"/>
      <c r="T18731" s="318"/>
      <c r="U18731" s="318"/>
      <c r="V18731" s="318"/>
      <c r="W18731" s="318"/>
      <c r="X18731" s="318"/>
      <c r="Y18731" s="318"/>
      <c r="Z18731" s="318"/>
      <c r="AA18731" s="318"/>
      <c r="AB18731" s="318"/>
      <c r="AC18731" s="318"/>
      <c r="AD18731" s="318"/>
    </row>
    <row r="18732" spans="2:30" s="323" customFormat="1" ht="12" customHeight="1">
      <c r="B18732" s="324"/>
      <c r="C18732" s="325"/>
      <c r="D18732" s="326"/>
      <c r="E18732" s="326"/>
      <c r="F18732" s="326"/>
      <c r="G18732" s="326"/>
      <c r="H18732" s="326"/>
      <c r="P18732" s="318"/>
      <c r="Q18732" s="318"/>
      <c r="R18732" s="318"/>
      <c r="S18732" s="318"/>
      <c r="T18732" s="318"/>
      <c r="U18732" s="318"/>
      <c r="V18732" s="318"/>
      <c r="W18732" s="318"/>
      <c r="X18732" s="318"/>
      <c r="Y18732" s="318"/>
      <c r="Z18732" s="318"/>
      <c r="AA18732" s="318"/>
      <c r="AB18732" s="318"/>
      <c r="AC18732" s="318"/>
      <c r="AD18732" s="318"/>
    </row>
    <row r="18733" spans="2:30" s="323" customFormat="1" ht="12" customHeight="1">
      <c r="B18733" s="324"/>
      <c r="C18733" s="325"/>
      <c r="D18733" s="326"/>
      <c r="E18733" s="326"/>
      <c r="F18733" s="326"/>
      <c r="G18733" s="326"/>
      <c r="H18733" s="326"/>
      <c r="P18733" s="318"/>
      <c r="Q18733" s="318"/>
      <c r="R18733" s="318"/>
      <c r="S18733" s="318"/>
      <c r="T18733" s="318"/>
      <c r="U18733" s="318"/>
      <c r="V18733" s="318"/>
      <c r="W18733" s="318"/>
      <c r="X18733" s="318"/>
      <c r="Y18733" s="318"/>
      <c r="Z18733" s="318"/>
      <c r="AA18733" s="318"/>
      <c r="AB18733" s="318"/>
      <c r="AC18733" s="318"/>
      <c r="AD18733" s="318"/>
    </row>
    <row r="18734" spans="2:30" s="323" customFormat="1" ht="12" customHeight="1">
      <c r="B18734" s="324"/>
      <c r="C18734" s="325"/>
      <c r="D18734" s="326"/>
      <c r="E18734" s="326"/>
      <c r="F18734" s="326"/>
      <c r="G18734" s="326"/>
      <c r="H18734" s="326"/>
      <c r="P18734" s="318"/>
      <c r="Q18734" s="318"/>
      <c r="R18734" s="318"/>
      <c r="S18734" s="318"/>
      <c r="T18734" s="318"/>
      <c r="U18734" s="318"/>
      <c r="V18734" s="318"/>
      <c r="W18734" s="318"/>
      <c r="X18734" s="318"/>
      <c r="Y18734" s="318"/>
      <c r="Z18734" s="318"/>
      <c r="AA18734" s="318"/>
      <c r="AB18734" s="318"/>
      <c r="AC18734" s="318"/>
      <c r="AD18734" s="318"/>
    </row>
    <row r="18735" spans="2:30" s="323" customFormat="1" ht="12" customHeight="1">
      <c r="B18735" s="324"/>
      <c r="C18735" s="325"/>
      <c r="D18735" s="326"/>
      <c r="E18735" s="326"/>
      <c r="F18735" s="326"/>
      <c r="G18735" s="326"/>
      <c r="H18735" s="326"/>
      <c r="P18735" s="318"/>
      <c r="Q18735" s="318"/>
      <c r="R18735" s="318"/>
      <c r="S18735" s="318"/>
      <c r="T18735" s="318"/>
      <c r="U18735" s="318"/>
      <c r="V18735" s="318"/>
      <c r="W18735" s="318"/>
      <c r="X18735" s="318"/>
      <c r="Y18735" s="318"/>
      <c r="Z18735" s="318"/>
      <c r="AA18735" s="318"/>
      <c r="AB18735" s="318"/>
      <c r="AC18735" s="318"/>
      <c r="AD18735" s="318"/>
    </row>
    <row r="18736" spans="2:30" s="323" customFormat="1" ht="12" customHeight="1">
      <c r="B18736" s="324"/>
      <c r="C18736" s="325"/>
      <c r="D18736" s="326"/>
      <c r="E18736" s="326"/>
      <c r="F18736" s="326"/>
      <c r="G18736" s="326"/>
      <c r="H18736" s="326"/>
      <c r="P18736" s="318"/>
      <c r="Q18736" s="318"/>
      <c r="R18736" s="318"/>
      <c r="S18736" s="318"/>
      <c r="T18736" s="318"/>
      <c r="U18736" s="318"/>
      <c r="V18736" s="318"/>
      <c r="W18736" s="318"/>
      <c r="X18736" s="318"/>
      <c r="Y18736" s="318"/>
      <c r="Z18736" s="318"/>
      <c r="AA18736" s="318"/>
      <c r="AB18736" s="318"/>
      <c r="AC18736" s="318"/>
      <c r="AD18736" s="318"/>
    </row>
    <row r="18737" spans="2:30" s="323" customFormat="1" ht="12" customHeight="1">
      <c r="B18737" s="324"/>
      <c r="C18737" s="325"/>
      <c r="D18737" s="326"/>
      <c r="E18737" s="326"/>
      <c r="F18737" s="326"/>
      <c r="G18737" s="326"/>
      <c r="H18737" s="326"/>
      <c r="P18737" s="318"/>
      <c r="Q18737" s="318"/>
      <c r="R18737" s="318"/>
      <c r="S18737" s="318"/>
      <c r="T18737" s="318"/>
      <c r="U18737" s="318"/>
      <c r="V18737" s="318"/>
      <c r="W18737" s="318"/>
      <c r="X18737" s="318"/>
      <c r="Y18737" s="318"/>
      <c r="Z18737" s="318"/>
      <c r="AA18737" s="318"/>
      <c r="AB18737" s="318"/>
      <c r="AC18737" s="318"/>
      <c r="AD18737" s="318"/>
    </row>
    <row r="18738" spans="2:30" s="323" customFormat="1" ht="12" customHeight="1">
      <c r="B18738" s="324"/>
      <c r="C18738" s="325"/>
      <c r="D18738" s="326"/>
      <c r="E18738" s="326"/>
      <c r="F18738" s="326"/>
      <c r="G18738" s="326"/>
      <c r="H18738" s="326"/>
      <c r="P18738" s="318"/>
      <c r="Q18738" s="318"/>
      <c r="R18738" s="318"/>
      <c r="S18738" s="318"/>
      <c r="T18738" s="318"/>
      <c r="U18738" s="318"/>
      <c r="V18738" s="318"/>
      <c r="W18738" s="318"/>
      <c r="X18738" s="318"/>
      <c r="Y18738" s="318"/>
      <c r="Z18738" s="318"/>
      <c r="AA18738" s="318"/>
      <c r="AB18738" s="318"/>
      <c r="AC18738" s="318"/>
      <c r="AD18738" s="318"/>
    </row>
    <row r="18739" spans="2:30" s="323" customFormat="1" ht="12" customHeight="1">
      <c r="B18739" s="324"/>
      <c r="C18739" s="325"/>
      <c r="D18739" s="326"/>
      <c r="E18739" s="326"/>
      <c r="F18739" s="326"/>
      <c r="G18739" s="326"/>
      <c r="H18739" s="326"/>
      <c r="P18739" s="318"/>
      <c r="Q18739" s="318"/>
      <c r="R18739" s="318"/>
      <c r="S18739" s="318"/>
      <c r="T18739" s="318"/>
      <c r="U18739" s="318"/>
      <c r="V18739" s="318"/>
      <c r="W18739" s="318"/>
      <c r="X18739" s="318"/>
      <c r="Y18739" s="318"/>
      <c r="Z18739" s="318"/>
      <c r="AA18739" s="318"/>
      <c r="AB18739" s="318"/>
      <c r="AC18739" s="318"/>
      <c r="AD18739" s="318"/>
    </row>
    <row r="18740" spans="2:30" s="323" customFormat="1" ht="12" customHeight="1">
      <c r="B18740" s="324"/>
      <c r="C18740" s="325"/>
      <c r="D18740" s="326"/>
      <c r="E18740" s="326"/>
      <c r="F18740" s="326"/>
      <c r="G18740" s="326"/>
      <c r="H18740" s="326"/>
      <c r="P18740" s="318"/>
      <c r="Q18740" s="318"/>
      <c r="R18740" s="318"/>
      <c r="S18740" s="318"/>
      <c r="T18740" s="318"/>
      <c r="U18740" s="318"/>
      <c r="V18740" s="318"/>
      <c r="W18740" s="318"/>
      <c r="X18740" s="318"/>
      <c r="Y18740" s="318"/>
      <c r="Z18740" s="318"/>
      <c r="AA18740" s="318"/>
      <c r="AB18740" s="318"/>
      <c r="AC18740" s="318"/>
      <c r="AD18740" s="318"/>
    </row>
    <row r="18741" spans="2:30" s="323" customFormat="1" ht="12" customHeight="1">
      <c r="B18741" s="324"/>
      <c r="C18741" s="325"/>
      <c r="D18741" s="326"/>
      <c r="E18741" s="326"/>
      <c r="F18741" s="326"/>
      <c r="G18741" s="326"/>
      <c r="H18741" s="326"/>
      <c r="P18741" s="318"/>
      <c r="Q18741" s="318"/>
      <c r="R18741" s="318"/>
      <c r="S18741" s="318"/>
      <c r="T18741" s="318"/>
      <c r="U18741" s="318"/>
      <c r="V18741" s="318"/>
      <c r="W18741" s="318"/>
      <c r="X18741" s="318"/>
      <c r="Y18741" s="318"/>
      <c r="Z18741" s="318"/>
      <c r="AA18741" s="318"/>
      <c r="AB18741" s="318"/>
      <c r="AC18741" s="318"/>
      <c r="AD18741" s="318"/>
    </row>
    <row r="18742" spans="2:30" s="323" customFormat="1" ht="12" customHeight="1">
      <c r="B18742" s="324"/>
      <c r="C18742" s="325"/>
      <c r="D18742" s="326"/>
      <c r="E18742" s="326"/>
      <c r="F18742" s="326"/>
      <c r="G18742" s="326"/>
      <c r="H18742" s="326"/>
      <c r="P18742" s="318"/>
      <c r="Q18742" s="318"/>
      <c r="R18742" s="318"/>
      <c r="S18742" s="318"/>
      <c r="T18742" s="318"/>
      <c r="U18742" s="318"/>
      <c r="V18742" s="318"/>
      <c r="W18742" s="318"/>
      <c r="X18742" s="318"/>
      <c r="Y18742" s="318"/>
      <c r="Z18742" s="318"/>
      <c r="AA18742" s="318"/>
      <c r="AB18742" s="318"/>
      <c r="AC18742" s="318"/>
      <c r="AD18742" s="318"/>
    </row>
    <row r="18743" spans="2:30" s="323" customFormat="1" ht="12" customHeight="1">
      <c r="B18743" s="324"/>
      <c r="C18743" s="325"/>
      <c r="D18743" s="326"/>
      <c r="E18743" s="326"/>
      <c r="F18743" s="326"/>
      <c r="G18743" s="326"/>
      <c r="H18743" s="326"/>
      <c r="P18743" s="318"/>
      <c r="Q18743" s="318"/>
      <c r="R18743" s="318"/>
      <c r="S18743" s="318"/>
      <c r="T18743" s="318"/>
      <c r="U18743" s="318"/>
      <c r="V18743" s="318"/>
      <c r="W18743" s="318"/>
      <c r="X18743" s="318"/>
      <c r="Y18743" s="318"/>
      <c r="Z18743" s="318"/>
      <c r="AA18743" s="318"/>
      <c r="AB18743" s="318"/>
      <c r="AC18743" s="318"/>
      <c r="AD18743" s="318"/>
    </row>
    <row r="18744" spans="2:30" s="323" customFormat="1" ht="12" customHeight="1">
      <c r="B18744" s="324"/>
      <c r="C18744" s="325"/>
      <c r="D18744" s="326"/>
      <c r="E18744" s="326"/>
      <c r="F18744" s="326"/>
      <c r="G18744" s="326"/>
      <c r="H18744" s="326"/>
      <c r="P18744" s="318"/>
      <c r="Q18744" s="318"/>
      <c r="R18744" s="318"/>
      <c r="S18744" s="318"/>
      <c r="T18744" s="318"/>
      <c r="U18744" s="318"/>
      <c r="V18744" s="318"/>
      <c r="W18744" s="318"/>
      <c r="X18744" s="318"/>
      <c r="Y18744" s="318"/>
      <c r="Z18744" s="318"/>
      <c r="AA18744" s="318"/>
      <c r="AB18744" s="318"/>
      <c r="AC18744" s="318"/>
      <c r="AD18744" s="318"/>
    </row>
    <row r="18745" spans="2:30" s="323" customFormat="1" ht="12" customHeight="1">
      <c r="B18745" s="324"/>
      <c r="C18745" s="325"/>
      <c r="D18745" s="326"/>
      <c r="E18745" s="326"/>
      <c r="F18745" s="326"/>
      <c r="G18745" s="326"/>
      <c r="H18745" s="326"/>
      <c r="P18745" s="318"/>
      <c r="Q18745" s="318"/>
      <c r="R18745" s="318"/>
      <c r="S18745" s="318"/>
      <c r="T18745" s="318"/>
      <c r="U18745" s="318"/>
      <c r="V18745" s="318"/>
      <c r="W18745" s="318"/>
      <c r="X18745" s="318"/>
      <c r="Y18745" s="318"/>
      <c r="Z18745" s="318"/>
      <c r="AA18745" s="318"/>
      <c r="AB18745" s="318"/>
      <c r="AC18745" s="318"/>
      <c r="AD18745" s="318"/>
    </row>
    <row r="18746" spans="2:30" s="323" customFormat="1" ht="12" customHeight="1">
      <c r="B18746" s="324"/>
      <c r="C18746" s="325"/>
      <c r="D18746" s="326"/>
      <c r="E18746" s="326"/>
      <c r="F18746" s="326"/>
      <c r="G18746" s="326"/>
      <c r="H18746" s="326"/>
      <c r="P18746" s="318"/>
      <c r="Q18746" s="318"/>
      <c r="R18746" s="318"/>
      <c r="S18746" s="318"/>
      <c r="T18746" s="318"/>
      <c r="U18746" s="318"/>
      <c r="V18746" s="318"/>
      <c r="W18746" s="318"/>
      <c r="X18746" s="318"/>
      <c r="Y18746" s="318"/>
      <c r="Z18746" s="318"/>
      <c r="AA18746" s="318"/>
      <c r="AB18746" s="318"/>
      <c r="AC18746" s="318"/>
      <c r="AD18746" s="318"/>
    </row>
    <row r="18747" spans="2:30" s="323" customFormat="1" ht="12" customHeight="1">
      <c r="B18747" s="324"/>
      <c r="C18747" s="325"/>
      <c r="D18747" s="326"/>
      <c r="E18747" s="326"/>
      <c r="F18747" s="326"/>
      <c r="G18747" s="326"/>
      <c r="H18747" s="326"/>
      <c r="P18747" s="318"/>
      <c r="Q18747" s="318"/>
      <c r="R18747" s="318"/>
      <c r="S18747" s="318"/>
      <c r="T18747" s="318"/>
      <c r="U18747" s="318"/>
      <c r="V18747" s="318"/>
      <c r="W18747" s="318"/>
      <c r="X18747" s="318"/>
      <c r="Y18747" s="318"/>
      <c r="Z18747" s="318"/>
      <c r="AA18747" s="318"/>
      <c r="AB18747" s="318"/>
      <c r="AC18747" s="318"/>
      <c r="AD18747" s="318"/>
    </row>
    <row r="18748" spans="2:30" s="323" customFormat="1" ht="12" customHeight="1">
      <c r="B18748" s="324"/>
      <c r="C18748" s="325"/>
      <c r="D18748" s="326"/>
      <c r="E18748" s="326"/>
      <c r="F18748" s="326"/>
      <c r="G18748" s="326"/>
      <c r="H18748" s="326"/>
      <c r="P18748" s="318"/>
      <c r="Q18748" s="318"/>
      <c r="R18748" s="318"/>
      <c r="S18748" s="318"/>
      <c r="T18748" s="318"/>
      <c r="U18748" s="318"/>
      <c r="V18748" s="318"/>
      <c r="W18748" s="318"/>
      <c r="X18748" s="318"/>
      <c r="Y18748" s="318"/>
      <c r="Z18748" s="318"/>
      <c r="AA18748" s="318"/>
      <c r="AB18748" s="318"/>
      <c r="AC18748" s="318"/>
      <c r="AD18748" s="318"/>
    </row>
    <row r="18749" spans="2:30" s="323" customFormat="1" ht="12" customHeight="1">
      <c r="B18749" s="324"/>
      <c r="C18749" s="325"/>
      <c r="D18749" s="326"/>
      <c r="E18749" s="326"/>
      <c r="F18749" s="326"/>
      <c r="G18749" s="326"/>
      <c r="H18749" s="326"/>
      <c r="P18749" s="318"/>
      <c r="Q18749" s="318"/>
      <c r="R18749" s="318"/>
      <c r="S18749" s="318"/>
      <c r="T18749" s="318"/>
      <c r="U18749" s="318"/>
      <c r="V18749" s="318"/>
      <c r="W18749" s="318"/>
      <c r="X18749" s="318"/>
      <c r="Y18749" s="318"/>
      <c r="Z18749" s="318"/>
      <c r="AA18749" s="318"/>
      <c r="AB18749" s="318"/>
      <c r="AC18749" s="318"/>
      <c r="AD18749" s="318"/>
    </row>
    <row r="18750" spans="2:30" s="323" customFormat="1" ht="12" customHeight="1">
      <c r="B18750" s="324"/>
      <c r="C18750" s="325"/>
      <c r="D18750" s="326"/>
      <c r="E18750" s="326"/>
      <c r="F18750" s="326"/>
      <c r="G18750" s="326"/>
      <c r="H18750" s="326"/>
      <c r="P18750" s="318"/>
      <c r="Q18750" s="318"/>
      <c r="R18750" s="318"/>
      <c r="S18750" s="318"/>
      <c r="T18750" s="318"/>
      <c r="U18750" s="318"/>
      <c r="V18750" s="318"/>
      <c r="W18750" s="318"/>
      <c r="X18750" s="318"/>
      <c r="Y18750" s="318"/>
      <c r="Z18750" s="318"/>
      <c r="AA18750" s="318"/>
      <c r="AB18750" s="318"/>
      <c r="AC18750" s="318"/>
      <c r="AD18750" s="318"/>
    </row>
    <row r="18751" spans="2:30" s="323" customFormat="1" ht="12" customHeight="1">
      <c r="B18751" s="324"/>
      <c r="C18751" s="325"/>
      <c r="D18751" s="326"/>
      <c r="E18751" s="326"/>
      <c r="F18751" s="326"/>
      <c r="G18751" s="326"/>
      <c r="H18751" s="326"/>
      <c r="P18751" s="318"/>
      <c r="Q18751" s="318"/>
      <c r="R18751" s="318"/>
      <c r="S18751" s="318"/>
      <c r="T18751" s="318"/>
      <c r="U18751" s="318"/>
      <c r="V18751" s="318"/>
      <c r="W18751" s="318"/>
      <c r="X18751" s="318"/>
      <c r="Y18751" s="318"/>
      <c r="Z18751" s="318"/>
      <c r="AA18751" s="318"/>
      <c r="AB18751" s="318"/>
      <c r="AC18751" s="318"/>
      <c r="AD18751" s="318"/>
    </row>
    <row r="18752" spans="2:30" s="323" customFormat="1" ht="12" customHeight="1">
      <c r="B18752" s="324"/>
      <c r="C18752" s="325"/>
      <c r="D18752" s="326"/>
      <c r="E18752" s="326"/>
      <c r="F18752" s="326"/>
      <c r="G18752" s="326"/>
      <c r="H18752" s="326"/>
      <c r="P18752" s="318"/>
      <c r="Q18752" s="318"/>
      <c r="R18752" s="318"/>
      <c r="S18752" s="318"/>
      <c r="T18752" s="318"/>
      <c r="U18752" s="318"/>
      <c r="V18752" s="318"/>
      <c r="W18752" s="318"/>
      <c r="X18752" s="318"/>
      <c r="Y18752" s="318"/>
      <c r="Z18752" s="318"/>
      <c r="AA18752" s="318"/>
      <c r="AB18752" s="318"/>
      <c r="AC18752" s="318"/>
      <c r="AD18752" s="318"/>
    </row>
    <row r="18753" spans="2:30" s="323" customFormat="1" ht="12" customHeight="1">
      <c r="B18753" s="324"/>
      <c r="C18753" s="325"/>
      <c r="D18753" s="326"/>
      <c r="E18753" s="326"/>
      <c r="F18753" s="326"/>
      <c r="G18753" s="326"/>
      <c r="H18753" s="326"/>
      <c r="P18753" s="318"/>
      <c r="Q18753" s="318"/>
      <c r="R18753" s="318"/>
      <c r="S18753" s="318"/>
      <c r="T18753" s="318"/>
      <c r="U18753" s="318"/>
      <c r="V18753" s="318"/>
      <c r="W18753" s="318"/>
      <c r="X18753" s="318"/>
      <c r="Y18753" s="318"/>
      <c r="Z18753" s="318"/>
      <c r="AA18753" s="318"/>
      <c r="AB18753" s="318"/>
      <c r="AC18753" s="318"/>
      <c r="AD18753" s="318"/>
    </row>
    <row r="18754" spans="2:30" s="323" customFormat="1" ht="12" customHeight="1">
      <c r="B18754" s="324"/>
      <c r="C18754" s="325"/>
      <c r="D18754" s="326"/>
      <c r="E18754" s="326"/>
      <c r="F18754" s="326"/>
      <c r="G18754" s="326"/>
      <c r="H18754" s="326"/>
      <c r="P18754" s="318"/>
      <c r="Q18754" s="318"/>
      <c r="R18754" s="318"/>
      <c r="S18754" s="318"/>
      <c r="T18754" s="318"/>
      <c r="U18754" s="318"/>
      <c r="V18754" s="318"/>
      <c r="W18754" s="318"/>
      <c r="X18754" s="318"/>
      <c r="Y18754" s="318"/>
      <c r="Z18754" s="318"/>
      <c r="AA18754" s="318"/>
      <c r="AB18754" s="318"/>
      <c r="AC18754" s="318"/>
      <c r="AD18754" s="318"/>
    </row>
    <row r="18755" spans="2:30" s="323" customFormat="1" ht="12" customHeight="1">
      <c r="B18755" s="324"/>
      <c r="C18755" s="325"/>
      <c r="D18755" s="326"/>
      <c r="E18755" s="326"/>
      <c r="F18755" s="326"/>
      <c r="G18755" s="326"/>
      <c r="H18755" s="326"/>
      <c r="P18755" s="318"/>
      <c r="Q18755" s="318"/>
      <c r="R18755" s="318"/>
      <c r="S18755" s="318"/>
      <c r="T18755" s="318"/>
      <c r="U18755" s="318"/>
      <c r="V18755" s="318"/>
      <c r="W18755" s="318"/>
      <c r="X18755" s="318"/>
      <c r="Y18755" s="318"/>
      <c r="Z18755" s="318"/>
      <c r="AA18755" s="318"/>
      <c r="AB18755" s="318"/>
      <c r="AC18755" s="318"/>
      <c r="AD18755" s="318"/>
    </row>
    <row r="18756" spans="2:30" s="323" customFormat="1" ht="12" customHeight="1">
      <c r="B18756" s="324"/>
      <c r="C18756" s="325"/>
      <c r="D18756" s="326"/>
      <c r="E18756" s="326"/>
      <c r="F18756" s="326"/>
      <c r="G18756" s="326"/>
      <c r="H18756" s="326"/>
      <c r="P18756" s="318"/>
      <c r="Q18756" s="318"/>
      <c r="R18756" s="318"/>
      <c r="S18756" s="318"/>
      <c r="T18756" s="318"/>
      <c r="U18756" s="318"/>
      <c r="V18756" s="318"/>
      <c r="W18756" s="318"/>
      <c r="X18756" s="318"/>
      <c r="Y18756" s="318"/>
      <c r="Z18756" s="318"/>
      <c r="AA18756" s="318"/>
      <c r="AB18756" s="318"/>
      <c r="AC18756" s="318"/>
      <c r="AD18756" s="318"/>
    </row>
    <row r="18757" spans="2:30" s="323" customFormat="1" ht="12" customHeight="1">
      <c r="B18757" s="324"/>
      <c r="C18757" s="325"/>
      <c r="D18757" s="326"/>
      <c r="E18757" s="326"/>
      <c r="F18757" s="326"/>
      <c r="G18757" s="326"/>
      <c r="H18757" s="326"/>
      <c r="P18757" s="318"/>
      <c r="Q18757" s="318"/>
      <c r="R18757" s="318"/>
      <c r="S18757" s="318"/>
      <c r="T18757" s="318"/>
      <c r="U18757" s="318"/>
      <c r="V18757" s="318"/>
      <c r="W18757" s="318"/>
      <c r="X18757" s="318"/>
      <c r="Y18757" s="318"/>
      <c r="Z18757" s="318"/>
      <c r="AA18757" s="318"/>
      <c r="AB18757" s="318"/>
      <c r="AC18757" s="318"/>
      <c r="AD18757" s="318"/>
    </row>
    <row r="18758" spans="2:30" s="323" customFormat="1" ht="12" customHeight="1">
      <c r="B18758" s="324"/>
      <c r="C18758" s="325"/>
      <c r="D18758" s="326"/>
      <c r="E18758" s="326"/>
      <c r="F18758" s="326"/>
      <c r="G18758" s="326"/>
      <c r="H18758" s="326"/>
      <c r="P18758" s="318"/>
      <c r="Q18758" s="318"/>
      <c r="R18758" s="318"/>
      <c r="S18758" s="318"/>
      <c r="T18758" s="318"/>
      <c r="U18758" s="318"/>
      <c r="V18758" s="318"/>
      <c r="W18758" s="318"/>
      <c r="X18758" s="318"/>
      <c r="Y18758" s="318"/>
      <c r="Z18758" s="318"/>
      <c r="AA18758" s="318"/>
      <c r="AB18758" s="318"/>
      <c r="AC18758" s="318"/>
      <c r="AD18758" s="318"/>
    </row>
    <row r="18759" spans="2:30" s="323" customFormat="1" ht="12" customHeight="1">
      <c r="B18759" s="324"/>
      <c r="C18759" s="325"/>
      <c r="D18759" s="326"/>
      <c r="E18759" s="326"/>
      <c r="F18759" s="326"/>
      <c r="G18759" s="326"/>
      <c r="H18759" s="326"/>
      <c r="P18759" s="318"/>
      <c r="Q18759" s="318"/>
      <c r="R18759" s="318"/>
      <c r="S18759" s="318"/>
      <c r="T18759" s="318"/>
      <c r="U18759" s="318"/>
      <c r="V18759" s="318"/>
      <c r="W18759" s="318"/>
      <c r="X18759" s="318"/>
      <c r="Y18759" s="318"/>
      <c r="Z18759" s="318"/>
      <c r="AA18759" s="318"/>
      <c r="AB18759" s="318"/>
      <c r="AC18759" s="318"/>
      <c r="AD18759" s="318"/>
    </row>
    <row r="18760" spans="2:30" s="323" customFormat="1" ht="12" customHeight="1">
      <c r="B18760" s="324"/>
      <c r="C18760" s="325"/>
      <c r="D18760" s="326"/>
      <c r="E18760" s="326"/>
      <c r="F18760" s="326"/>
      <c r="G18760" s="326"/>
      <c r="H18760" s="326"/>
      <c r="P18760" s="318"/>
      <c r="Q18760" s="318"/>
      <c r="R18760" s="318"/>
      <c r="S18760" s="318"/>
      <c r="T18760" s="318"/>
      <c r="U18760" s="318"/>
      <c r="V18760" s="318"/>
      <c r="W18760" s="318"/>
      <c r="X18760" s="318"/>
      <c r="Y18760" s="318"/>
      <c r="Z18760" s="318"/>
      <c r="AA18760" s="318"/>
      <c r="AB18760" s="318"/>
      <c r="AC18760" s="318"/>
      <c r="AD18760" s="318"/>
    </row>
    <row r="18761" spans="2:30" s="323" customFormat="1" ht="12" customHeight="1">
      <c r="B18761" s="324"/>
      <c r="C18761" s="325"/>
      <c r="D18761" s="326"/>
      <c r="E18761" s="326"/>
      <c r="F18761" s="326"/>
      <c r="G18761" s="326"/>
      <c r="H18761" s="326"/>
      <c r="P18761" s="318"/>
      <c r="Q18761" s="318"/>
      <c r="R18761" s="318"/>
      <c r="S18761" s="318"/>
      <c r="T18761" s="318"/>
      <c r="U18761" s="318"/>
      <c r="V18761" s="318"/>
      <c r="W18761" s="318"/>
      <c r="X18761" s="318"/>
      <c r="Y18761" s="318"/>
      <c r="Z18761" s="318"/>
      <c r="AA18761" s="318"/>
      <c r="AB18761" s="318"/>
      <c r="AC18761" s="318"/>
      <c r="AD18761" s="318"/>
    </row>
    <row r="18762" spans="2:30" s="323" customFormat="1" ht="12" customHeight="1">
      <c r="B18762" s="324"/>
      <c r="C18762" s="325"/>
      <c r="D18762" s="326"/>
      <c r="E18762" s="326"/>
      <c r="F18762" s="326"/>
      <c r="G18762" s="326"/>
      <c r="H18762" s="326"/>
      <c r="P18762" s="318"/>
      <c r="Q18762" s="318"/>
      <c r="R18762" s="318"/>
      <c r="S18762" s="318"/>
      <c r="T18762" s="318"/>
      <c r="U18762" s="318"/>
      <c r="V18762" s="318"/>
      <c r="W18762" s="318"/>
      <c r="X18762" s="318"/>
      <c r="Y18762" s="318"/>
      <c r="Z18762" s="318"/>
      <c r="AA18762" s="318"/>
      <c r="AB18762" s="318"/>
      <c r="AC18762" s="318"/>
      <c r="AD18762" s="318"/>
    </row>
    <row r="18763" spans="2:30" s="323" customFormat="1" ht="12" customHeight="1">
      <c r="B18763" s="324"/>
      <c r="C18763" s="325"/>
      <c r="D18763" s="326"/>
      <c r="E18763" s="326"/>
      <c r="F18763" s="326"/>
      <c r="G18763" s="326"/>
      <c r="H18763" s="326"/>
      <c r="P18763" s="318"/>
      <c r="Q18763" s="318"/>
      <c r="R18763" s="318"/>
      <c r="S18763" s="318"/>
      <c r="T18763" s="318"/>
      <c r="U18763" s="318"/>
      <c r="V18763" s="318"/>
      <c r="W18763" s="318"/>
      <c r="X18763" s="318"/>
      <c r="Y18763" s="318"/>
      <c r="Z18763" s="318"/>
      <c r="AA18763" s="318"/>
      <c r="AB18763" s="318"/>
      <c r="AC18763" s="318"/>
      <c r="AD18763" s="318"/>
    </row>
    <row r="18764" spans="2:30" s="323" customFormat="1" ht="12" customHeight="1">
      <c r="B18764" s="324"/>
      <c r="C18764" s="325"/>
      <c r="D18764" s="326"/>
      <c r="E18764" s="326"/>
      <c r="F18764" s="326"/>
      <c r="G18764" s="326"/>
      <c r="H18764" s="326"/>
      <c r="P18764" s="318"/>
      <c r="Q18764" s="318"/>
      <c r="R18764" s="318"/>
      <c r="S18764" s="318"/>
      <c r="T18764" s="318"/>
      <c r="U18764" s="318"/>
      <c r="V18764" s="318"/>
      <c r="W18764" s="318"/>
      <c r="X18764" s="318"/>
      <c r="Y18764" s="318"/>
      <c r="Z18764" s="318"/>
      <c r="AA18764" s="318"/>
      <c r="AB18764" s="318"/>
      <c r="AC18764" s="318"/>
      <c r="AD18764" s="318"/>
    </row>
    <row r="18765" spans="2:30" s="323" customFormat="1" ht="12" customHeight="1">
      <c r="B18765" s="324"/>
      <c r="C18765" s="325"/>
      <c r="D18765" s="326"/>
      <c r="E18765" s="326"/>
      <c r="F18765" s="326"/>
      <c r="G18765" s="326"/>
      <c r="H18765" s="326"/>
      <c r="P18765" s="318"/>
      <c r="Q18765" s="318"/>
      <c r="R18765" s="318"/>
      <c r="S18765" s="318"/>
      <c r="T18765" s="318"/>
      <c r="U18765" s="318"/>
      <c r="V18765" s="318"/>
      <c r="W18765" s="318"/>
      <c r="X18765" s="318"/>
      <c r="Y18765" s="318"/>
      <c r="Z18765" s="318"/>
      <c r="AA18765" s="318"/>
      <c r="AB18765" s="318"/>
      <c r="AC18765" s="318"/>
      <c r="AD18765" s="318"/>
    </row>
    <row r="18766" spans="2:30" s="323" customFormat="1" ht="12" customHeight="1">
      <c r="B18766" s="324"/>
      <c r="C18766" s="325"/>
      <c r="D18766" s="326"/>
      <c r="E18766" s="326"/>
      <c r="F18766" s="326"/>
      <c r="G18766" s="326"/>
      <c r="H18766" s="326"/>
      <c r="P18766" s="318"/>
      <c r="Q18766" s="318"/>
      <c r="R18766" s="318"/>
      <c r="S18766" s="318"/>
      <c r="T18766" s="318"/>
      <c r="U18766" s="318"/>
      <c r="V18766" s="318"/>
      <c r="W18766" s="318"/>
      <c r="X18766" s="318"/>
      <c r="Y18766" s="318"/>
      <c r="Z18766" s="318"/>
      <c r="AA18766" s="318"/>
      <c r="AB18766" s="318"/>
      <c r="AC18766" s="318"/>
      <c r="AD18766" s="318"/>
    </row>
    <row r="18767" spans="2:30" s="323" customFormat="1" ht="12" customHeight="1">
      <c r="B18767" s="324"/>
      <c r="C18767" s="325"/>
      <c r="D18767" s="326"/>
      <c r="E18767" s="326"/>
      <c r="F18767" s="326"/>
      <c r="G18767" s="326"/>
      <c r="H18767" s="326"/>
      <c r="P18767" s="318"/>
      <c r="Q18767" s="318"/>
      <c r="R18767" s="318"/>
      <c r="S18767" s="318"/>
      <c r="T18767" s="318"/>
      <c r="U18767" s="318"/>
      <c r="V18767" s="318"/>
      <c r="W18767" s="318"/>
      <c r="X18767" s="318"/>
      <c r="Y18767" s="318"/>
      <c r="Z18767" s="318"/>
      <c r="AA18767" s="318"/>
      <c r="AB18767" s="318"/>
      <c r="AC18767" s="318"/>
      <c r="AD18767" s="318"/>
    </row>
    <row r="18768" spans="2:30" s="323" customFormat="1" ht="12" customHeight="1">
      <c r="B18768" s="324"/>
      <c r="C18768" s="325"/>
      <c r="D18768" s="326"/>
      <c r="E18768" s="326"/>
      <c r="F18768" s="326"/>
      <c r="G18768" s="326"/>
      <c r="H18768" s="326"/>
      <c r="P18768" s="318"/>
      <c r="Q18768" s="318"/>
      <c r="R18768" s="318"/>
      <c r="S18768" s="318"/>
      <c r="T18768" s="318"/>
      <c r="U18768" s="318"/>
      <c r="V18768" s="318"/>
      <c r="W18768" s="318"/>
      <c r="X18768" s="318"/>
      <c r="Y18768" s="318"/>
      <c r="Z18768" s="318"/>
      <c r="AA18768" s="318"/>
      <c r="AB18768" s="318"/>
      <c r="AC18768" s="318"/>
      <c r="AD18768" s="318"/>
    </row>
    <row r="18769" spans="2:30" s="323" customFormat="1" ht="12" customHeight="1">
      <c r="B18769" s="324"/>
      <c r="C18769" s="325"/>
      <c r="D18769" s="326"/>
      <c r="E18769" s="326"/>
      <c r="F18769" s="326"/>
      <c r="G18769" s="326"/>
      <c r="H18769" s="326"/>
      <c r="P18769" s="318"/>
      <c r="Q18769" s="318"/>
      <c r="R18769" s="318"/>
      <c r="S18769" s="318"/>
      <c r="T18769" s="318"/>
      <c r="U18769" s="318"/>
      <c r="V18769" s="318"/>
      <c r="W18769" s="318"/>
      <c r="X18769" s="318"/>
      <c r="Y18769" s="318"/>
      <c r="Z18769" s="318"/>
      <c r="AA18769" s="318"/>
      <c r="AB18769" s="318"/>
      <c r="AC18769" s="318"/>
      <c r="AD18769" s="318"/>
    </row>
    <row r="18770" spans="2:30" s="323" customFormat="1" ht="12" customHeight="1">
      <c r="B18770" s="324"/>
      <c r="C18770" s="325"/>
      <c r="D18770" s="326"/>
      <c r="E18770" s="326"/>
      <c r="F18770" s="326"/>
      <c r="G18770" s="326"/>
      <c r="H18770" s="326"/>
      <c r="P18770" s="318"/>
      <c r="Q18770" s="318"/>
      <c r="R18770" s="318"/>
      <c r="S18770" s="318"/>
      <c r="T18770" s="318"/>
      <c r="U18770" s="318"/>
      <c r="V18770" s="318"/>
      <c r="W18770" s="318"/>
      <c r="X18770" s="318"/>
      <c r="Y18770" s="318"/>
      <c r="Z18770" s="318"/>
      <c r="AA18770" s="318"/>
      <c r="AB18770" s="318"/>
      <c r="AC18770" s="318"/>
      <c r="AD18770" s="318"/>
    </row>
    <row r="18771" spans="2:30" s="323" customFormat="1" ht="12" customHeight="1">
      <c r="B18771" s="324"/>
      <c r="C18771" s="325"/>
      <c r="D18771" s="326"/>
      <c r="E18771" s="326"/>
      <c r="F18771" s="326"/>
      <c r="G18771" s="326"/>
      <c r="H18771" s="326"/>
      <c r="P18771" s="318"/>
      <c r="Q18771" s="318"/>
      <c r="R18771" s="318"/>
      <c r="S18771" s="318"/>
      <c r="T18771" s="318"/>
      <c r="U18771" s="318"/>
      <c r="V18771" s="318"/>
      <c r="W18771" s="318"/>
      <c r="X18771" s="318"/>
      <c r="Y18771" s="318"/>
      <c r="Z18771" s="318"/>
      <c r="AA18771" s="318"/>
      <c r="AB18771" s="318"/>
      <c r="AC18771" s="318"/>
      <c r="AD18771" s="318"/>
    </row>
    <row r="18772" spans="2:30" s="323" customFormat="1" ht="12" customHeight="1">
      <c r="B18772" s="324"/>
      <c r="C18772" s="325"/>
      <c r="D18772" s="326"/>
      <c r="E18772" s="326"/>
      <c r="F18772" s="326"/>
      <c r="G18772" s="326"/>
      <c r="H18772" s="326"/>
      <c r="P18772" s="318"/>
      <c r="Q18772" s="318"/>
      <c r="R18772" s="318"/>
      <c r="S18772" s="318"/>
      <c r="T18772" s="318"/>
      <c r="U18772" s="318"/>
      <c r="V18772" s="318"/>
      <c r="W18772" s="318"/>
      <c r="X18772" s="318"/>
      <c r="Y18772" s="318"/>
      <c r="Z18772" s="318"/>
      <c r="AA18772" s="318"/>
      <c r="AB18772" s="318"/>
      <c r="AC18772" s="318"/>
      <c r="AD18772" s="318"/>
    </row>
    <row r="18773" spans="2:30" s="323" customFormat="1" ht="12" customHeight="1">
      <c r="B18773" s="324"/>
      <c r="C18773" s="325"/>
      <c r="D18773" s="326"/>
      <c r="E18773" s="326"/>
      <c r="F18773" s="326"/>
      <c r="G18773" s="326"/>
      <c r="H18773" s="326"/>
      <c r="P18773" s="318"/>
      <c r="Q18773" s="318"/>
      <c r="R18773" s="318"/>
      <c r="S18773" s="318"/>
      <c r="T18773" s="318"/>
      <c r="U18773" s="318"/>
      <c r="V18773" s="318"/>
      <c r="W18773" s="318"/>
      <c r="X18773" s="318"/>
      <c r="Y18773" s="318"/>
      <c r="Z18773" s="318"/>
      <c r="AA18773" s="318"/>
      <c r="AB18773" s="318"/>
      <c r="AC18773" s="318"/>
      <c r="AD18773" s="318"/>
    </row>
    <row r="18774" spans="2:30" s="323" customFormat="1" ht="12" customHeight="1">
      <c r="B18774" s="324"/>
      <c r="C18774" s="325"/>
      <c r="D18774" s="326"/>
      <c r="E18774" s="326"/>
      <c r="F18774" s="326"/>
      <c r="G18774" s="326"/>
      <c r="H18774" s="326"/>
      <c r="P18774" s="318"/>
      <c r="Q18774" s="318"/>
      <c r="R18774" s="318"/>
      <c r="S18774" s="318"/>
      <c r="T18774" s="318"/>
      <c r="U18774" s="318"/>
      <c r="V18774" s="318"/>
      <c r="W18774" s="318"/>
      <c r="X18774" s="318"/>
      <c r="Y18774" s="318"/>
      <c r="Z18774" s="318"/>
      <c r="AA18774" s="318"/>
      <c r="AB18774" s="318"/>
      <c r="AC18774" s="318"/>
      <c r="AD18774" s="318"/>
    </row>
    <row r="18775" spans="2:30" s="323" customFormat="1" ht="12" customHeight="1">
      <c r="B18775" s="324"/>
      <c r="C18775" s="325"/>
      <c r="D18775" s="326"/>
      <c r="E18775" s="326"/>
      <c r="F18775" s="326"/>
      <c r="G18775" s="326"/>
      <c r="H18775" s="326"/>
      <c r="P18775" s="318"/>
      <c r="Q18775" s="318"/>
      <c r="R18775" s="318"/>
      <c r="S18775" s="318"/>
      <c r="T18775" s="318"/>
      <c r="U18775" s="318"/>
      <c r="V18775" s="318"/>
      <c r="W18775" s="318"/>
      <c r="X18775" s="318"/>
      <c r="Y18775" s="318"/>
      <c r="Z18775" s="318"/>
      <c r="AA18775" s="318"/>
      <c r="AB18775" s="318"/>
      <c r="AC18775" s="318"/>
      <c r="AD18775" s="318"/>
    </row>
    <row r="18776" spans="2:30" s="323" customFormat="1" ht="12" customHeight="1">
      <c r="B18776" s="324"/>
      <c r="C18776" s="325"/>
      <c r="D18776" s="326"/>
      <c r="E18776" s="326"/>
      <c r="F18776" s="326"/>
      <c r="G18776" s="326"/>
      <c r="H18776" s="326"/>
      <c r="P18776" s="318"/>
      <c r="Q18776" s="318"/>
      <c r="R18776" s="318"/>
      <c r="S18776" s="318"/>
      <c r="T18776" s="318"/>
      <c r="U18776" s="318"/>
      <c r="V18776" s="318"/>
      <c r="W18776" s="318"/>
      <c r="X18776" s="318"/>
      <c r="Y18776" s="318"/>
      <c r="Z18776" s="318"/>
      <c r="AA18776" s="318"/>
      <c r="AB18776" s="318"/>
      <c r="AC18776" s="318"/>
      <c r="AD18776" s="318"/>
    </row>
    <row r="18777" spans="2:30" s="323" customFormat="1" ht="12" customHeight="1">
      <c r="B18777" s="324"/>
      <c r="C18777" s="325"/>
      <c r="D18777" s="326"/>
      <c r="E18777" s="326"/>
      <c r="F18777" s="326"/>
      <c r="G18777" s="326"/>
      <c r="H18777" s="326"/>
      <c r="P18777" s="318"/>
      <c r="Q18777" s="318"/>
      <c r="R18777" s="318"/>
      <c r="S18777" s="318"/>
      <c r="T18777" s="318"/>
      <c r="U18777" s="318"/>
      <c r="V18777" s="318"/>
      <c r="W18777" s="318"/>
      <c r="X18777" s="318"/>
      <c r="Y18777" s="318"/>
      <c r="Z18777" s="318"/>
      <c r="AA18777" s="318"/>
      <c r="AB18777" s="318"/>
      <c r="AC18777" s="318"/>
      <c r="AD18777" s="318"/>
    </row>
    <row r="18778" spans="2:30" s="323" customFormat="1" ht="12" customHeight="1">
      <c r="B18778" s="324"/>
      <c r="C18778" s="325"/>
      <c r="D18778" s="326"/>
      <c r="E18778" s="326"/>
      <c r="F18778" s="326"/>
      <c r="G18778" s="326"/>
      <c r="H18778" s="326"/>
      <c r="P18778" s="318"/>
      <c r="Q18778" s="318"/>
      <c r="R18778" s="318"/>
      <c r="S18778" s="318"/>
      <c r="T18778" s="318"/>
      <c r="U18778" s="318"/>
      <c r="V18778" s="318"/>
      <c r="W18778" s="318"/>
      <c r="X18778" s="318"/>
      <c r="Y18778" s="318"/>
      <c r="Z18778" s="318"/>
      <c r="AA18778" s="318"/>
      <c r="AB18778" s="318"/>
      <c r="AC18778" s="318"/>
      <c r="AD18778" s="318"/>
    </row>
    <row r="18779" spans="2:30" s="323" customFormat="1" ht="12" customHeight="1">
      <c r="B18779" s="324"/>
      <c r="C18779" s="325"/>
      <c r="D18779" s="326"/>
      <c r="E18779" s="326"/>
      <c r="F18779" s="326"/>
      <c r="G18779" s="326"/>
      <c r="H18779" s="326"/>
      <c r="P18779" s="318"/>
      <c r="Q18779" s="318"/>
      <c r="R18779" s="318"/>
      <c r="S18779" s="318"/>
      <c r="T18779" s="318"/>
      <c r="U18779" s="318"/>
      <c r="V18779" s="318"/>
      <c r="W18779" s="318"/>
      <c r="X18779" s="318"/>
      <c r="Y18779" s="318"/>
      <c r="Z18779" s="318"/>
      <c r="AA18779" s="318"/>
      <c r="AB18779" s="318"/>
      <c r="AC18779" s="318"/>
      <c r="AD18779" s="318"/>
    </row>
    <row r="18780" spans="2:30" s="323" customFormat="1" ht="12" customHeight="1">
      <c r="B18780" s="324"/>
      <c r="C18780" s="325"/>
      <c r="D18780" s="326"/>
      <c r="E18780" s="326"/>
      <c r="F18780" s="326"/>
      <c r="G18780" s="326"/>
      <c r="H18780" s="326"/>
      <c r="P18780" s="318"/>
      <c r="Q18780" s="318"/>
      <c r="R18780" s="318"/>
      <c r="S18780" s="318"/>
      <c r="T18780" s="318"/>
      <c r="U18780" s="318"/>
      <c r="V18780" s="318"/>
      <c r="W18780" s="318"/>
      <c r="X18780" s="318"/>
      <c r="Y18780" s="318"/>
      <c r="Z18780" s="318"/>
      <c r="AA18780" s="318"/>
      <c r="AB18780" s="318"/>
      <c r="AC18780" s="318"/>
      <c r="AD18780" s="318"/>
    </row>
    <row r="18781" spans="2:30" s="323" customFormat="1" ht="12" customHeight="1">
      <c r="B18781" s="324"/>
      <c r="C18781" s="325"/>
      <c r="D18781" s="326"/>
      <c r="E18781" s="326"/>
      <c r="F18781" s="326"/>
      <c r="G18781" s="326"/>
      <c r="H18781" s="326"/>
      <c r="P18781" s="318"/>
      <c r="Q18781" s="318"/>
      <c r="R18781" s="318"/>
      <c r="S18781" s="318"/>
      <c r="T18781" s="318"/>
      <c r="U18781" s="318"/>
      <c r="V18781" s="318"/>
      <c r="W18781" s="318"/>
      <c r="X18781" s="318"/>
      <c r="Y18781" s="318"/>
      <c r="Z18781" s="318"/>
      <c r="AA18781" s="318"/>
      <c r="AB18781" s="318"/>
      <c r="AC18781" s="318"/>
      <c r="AD18781" s="318"/>
    </row>
    <row r="18782" spans="2:30" s="323" customFormat="1" ht="12" customHeight="1">
      <c r="B18782" s="324"/>
      <c r="C18782" s="325"/>
      <c r="D18782" s="326"/>
      <c r="E18782" s="326"/>
      <c r="F18782" s="326"/>
      <c r="G18782" s="326"/>
      <c r="H18782" s="326"/>
      <c r="P18782" s="318"/>
      <c r="Q18782" s="318"/>
      <c r="R18782" s="318"/>
      <c r="S18782" s="318"/>
      <c r="T18782" s="318"/>
      <c r="U18782" s="318"/>
      <c r="V18782" s="318"/>
      <c r="W18782" s="318"/>
      <c r="X18782" s="318"/>
      <c r="Y18782" s="318"/>
      <c r="Z18782" s="318"/>
      <c r="AA18782" s="318"/>
      <c r="AB18782" s="318"/>
      <c r="AC18782" s="318"/>
      <c r="AD18782" s="318"/>
    </row>
    <row r="18783" spans="2:30" s="323" customFormat="1" ht="12" customHeight="1">
      <c r="B18783" s="324"/>
      <c r="C18783" s="325"/>
      <c r="D18783" s="326"/>
      <c r="E18783" s="326"/>
      <c r="F18783" s="326"/>
      <c r="G18783" s="326"/>
      <c r="H18783" s="326"/>
      <c r="P18783" s="318"/>
      <c r="Q18783" s="318"/>
      <c r="R18783" s="318"/>
      <c r="S18783" s="318"/>
      <c r="T18783" s="318"/>
      <c r="U18783" s="318"/>
      <c r="V18783" s="318"/>
      <c r="W18783" s="318"/>
      <c r="X18783" s="318"/>
      <c r="Y18783" s="318"/>
      <c r="Z18783" s="318"/>
      <c r="AA18783" s="318"/>
      <c r="AB18783" s="318"/>
      <c r="AC18783" s="318"/>
      <c r="AD18783" s="318"/>
    </row>
    <row r="18784" spans="2:30" s="323" customFormat="1" ht="12" customHeight="1">
      <c r="B18784" s="324"/>
      <c r="C18784" s="325"/>
      <c r="D18784" s="326"/>
      <c r="E18784" s="326"/>
      <c r="F18784" s="326"/>
      <c r="G18784" s="326"/>
      <c r="H18784" s="326"/>
      <c r="P18784" s="318"/>
      <c r="Q18784" s="318"/>
      <c r="R18784" s="318"/>
      <c r="S18784" s="318"/>
      <c r="T18784" s="318"/>
      <c r="U18784" s="318"/>
      <c r="V18784" s="318"/>
      <c r="W18784" s="318"/>
      <c r="X18784" s="318"/>
      <c r="Y18784" s="318"/>
      <c r="Z18784" s="318"/>
      <c r="AA18784" s="318"/>
      <c r="AB18784" s="318"/>
      <c r="AC18784" s="318"/>
      <c r="AD18784" s="318"/>
    </row>
    <row r="18785" spans="2:30" s="323" customFormat="1" ht="12" customHeight="1">
      <c r="B18785" s="324"/>
      <c r="C18785" s="325"/>
      <c r="D18785" s="326"/>
      <c r="E18785" s="326"/>
      <c r="F18785" s="326"/>
      <c r="G18785" s="326"/>
      <c r="H18785" s="326"/>
      <c r="P18785" s="318"/>
      <c r="Q18785" s="318"/>
      <c r="R18785" s="318"/>
      <c r="S18785" s="318"/>
      <c r="T18785" s="318"/>
      <c r="U18785" s="318"/>
      <c r="V18785" s="318"/>
      <c r="W18785" s="318"/>
      <c r="X18785" s="318"/>
      <c r="Y18785" s="318"/>
      <c r="Z18785" s="318"/>
      <c r="AA18785" s="318"/>
      <c r="AB18785" s="318"/>
      <c r="AC18785" s="318"/>
      <c r="AD18785" s="318"/>
    </row>
    <row r="18786" spans="2:30" s="323" customFormat="1" ht="12" customHeight="1">
      <c r="B18786" s="324"/>
      <c r="C18786" s="325"/>
      <c r="D18786" s="326"/>
      <c r="E18786" s="326"/>
      <c r="F18786" s="326"/>
      <c r="G18786" s="326"/>
      <c r="H18786" s="326"/>
      <c r="P18786" s="318"/>
      <c r="Q18786" s="318"/>
      <c r="R18786" s="318"/>
      <c r="S18786" s="318"/>
      <c r="T18786" s="318"/>
      <c r="U18786" s="318"/>
      <c r="V18786" s="318"/>
      <c r="W18786" s="318"/>
      <c r="X18786" s="318"/>
      <c r="Y18786" s="318"/>
      <c r="Z18786" s="318"/>
      <c r="AA18786" s="318"/>
      <c r="AB18786" s="318"/>
      <c r="AC18786" s="318"/>
      <c r="AD18786" s="318"/>
    </row>
    <row r="18787" spans="2:30" s="323" customFormat="1" ht="12" customHeight="1">
      <c r="B18787" s="324"/>
      <c r="C18787" s="325"/>
      <c r="D18787" s="326"/>
      <c r="E18787" s="326"/>
      <c r="F18787" s="326"/>
      <c r="G18787" s="326"/>
      <c r="H18787" s="326"/>
      <c r="P18787" s="318"/>
      <c r="Q18787" s="318"/>
      <c r="R18787" s="318"/>
      <c r="S18787" s="318"/>
      <c r="T18787" s="318"/>
      <c r="U18787" s="318"/>
      <c r="V18787" s="318"/>
      <c r="W18787" s="318"/>
      <c r="X18787" s="318"/>
      <c r="Y18787" s="318"/>
      <c r="Z18787" s="318"/>
      <c r="AA18787" s="318"/>
      <c r="AB18787" s="318"/>
      <c r="AC18787" s="318"/>
      <c r="AD18787" s="318"/>
    </row>
    <row r="18788" spans="2:30" s="323" customFormat="1" ht="12" customHeight="1">
      <c r="B18788" s="324"/>
      <c r="C18788" s="325"/>
      <c r="D18788" s="326"/>
      <c r="E18788" s="326"/>
      <c r="F18788" s="326"/>
      <c r="G18788" s="326"/>
      <c r="H18788" s="326"/>
      <c r="P18788" s="318"/>
      <c r="Q18788" s="318"/>
      <c r="R18788" s="318"/>
      <c r="S18788" s="318"/>
      <c r="T18788" s="318"/>
      <c r="U18788" s="318"/>
      <c r="V18788" s="318"/>
      <c r="W18788" s="318"/>
      <c r="X18788" s="318"/>
      <c r="Y18788" s="318"/>
      <c r="Z18788" s="318"/>
      <c r="AA18788" s="318"/>
      <c r="AB18788" s="318"/>
      <c r="AC18788" s="318"/>
      <c r="AD18788" s="318"/>
    </row>
    <row r="18789" spans="2:30" s="323" customFormat="1" ht="12" customHeight="1">
      <c r="B18789" s="324"/>
      <c r="C18789" s="325"/>
      <c r="D18789" s="326"/>
      <c r="E18789" s="326"/>
      <c r="F18789" s="326"/>
      <c r="G18789" s="326"/>
      <c r="H18789" s="326"/>
      <c r="P18789" s="318"/>
      <c r="Q18789" s="318"/>
      <c r="R18789" s="318"/>
      <c r="S18789" s="318"/>
      <c r="T18789" s="318"/>
      <c r="U18789" s="318"/>
      <c r="V18789" s="318"/>
      <c r="W18789" s="318"/>
      <c r="X18789" s="318"/>
      <c r="Y18789" s="318"/>
      <c r="Z18789" s="318"/>
      <c r="AA18789" s="318"/>
      <c r="AB18789" s="318"/>
      <c r="AC18789" s="318"/>
      <c r="AD18789" s="318"/>
    </row>
    <row r="18790" spans="2:30" s="323" customFormat="1" ht="12" customHeight="1">
      <c r="B18790" s="324"/>
      <c r="C18790" s="325"/>
      <c r="D18790" s="326"/>
      <c r="E18790" s="326"/>
      <c r="F18790" s="326"/>
      <c r="G18790" s="326"/>
      <c r="H18790" s="326"/>
      <c r="P18790" s="318"/>
      <c r="Q18790" s="318"/>
      <c r="R18790" s="318"/>
      <c r="S18790" s="318"/>
      <c r="T18790" s="318"/>
      <c r="U18790" s="318"/>
      <c r="V18790" s="318"/>
      <c r="W18790" s="318"/>
      <c r="X18790" s="318"/>
      <c r="Y18790" s="318"/>
      <c r="Z18790" s="318"/>
      <c r="AA18790" s="318"/>
      <c r="AB18790" s="318"/>
      <c r="AC18790" s="318"/>
      <c r="AD18790" s="318"/>
    </row>
    <row r="18791" spans="2:30" s="323" customFormat="1" ht="12" customHeight="1">
      <c r="B18791" s="324"/>
      <c r="C18791" s="325"/>
      <c r="D18791" s="326"/>
      <c r="E18791" s="326"/>
      <c r="F18791" s="326"/>
      <c r="G18791" s="326"/>
      <c r="H18791" s="326"/>
      <c r="P18791" s="318"/>
      <c r="Q18791" s="318"/>
      <c r="R18791" s="318"/>
      <c r="S18791" s="318"/>
      <c r="T18791" s="318"/>
      <c r="U18791" s="318"/>
      <c r="V18791" s="318"/>
      <c r="W18791" s="318"/>
      <c r="X18791" s="318"/>
      <c r="Y18791" s="318"/>
      <c r="Z18791" s="318"/>
      <c r="AA18791" s="318"/>
      <c r="AB18791" s="318"/>
      <c r="AC18791" s="318"/>
      <c r="AD18791" s="318"/>
    </row>
    <row r="18792" spans="2:30" s="323" customFormat="1" ht="12" customHeight="1">
      <c r="B18792" s="324"/>
      <c r="C18792" s="325"/>
      <c r="D18792" s="326"/>
      <c r="E18792" s="326"/>
      <c r="F18792" s="326"/>
      <c r="G18792" s="326"/>
      <c r="H18792" s="326"/>
      <c r="P18792" s="318"/>
      <c r="Q18792" s="318"/>
      <c r="R18792" s="318"/>
      <c r="S18792" s="318"/>
      <c r="T18792" s="318"/>
      <c r="U18792" s="318"/>
      <c r="V18792" s="318"/>
      <c r="W18792" s="318"/>
      <c r="X18792" s="318"/>
      <c r="Y18792" s="318"/>
      <c r="Z18792" s="318"/>
      <c r="AA18792" s="318"/>
      <c r="AB18792" s="318"/>
      <c r="AC18792" s="318"/>
      <c r="AD18792" s="318"/>
    </row>
    <row r="18793" spans="2:30" s="323" customFormat="1" ht="12" customHeight="1">
      <c r="B18793" s="324"/>
      <c r="C18793" s="325"/>
      <c r="D18793" s="326"/>
      <c r="E18793" s="326"/>
      <c r="F18793" s="326"/>
      <c r="G18793" s="326"/>
      <c r="H18793" s="326"/>
      <c r="P18793" s="318"/>
      <c r="Q18793" s="318"/>
      <c r="R18793" s="318"/>
      <c r="S18793" s="318"/>
      <c r="T18793" s="318"/>
      <c r="U18793" s="318"/>
      <c r="V18793" s="318"/>
      <c r="W18793" s="318"/>
      <c r="X18793" s="318"/>
      <c r="Y18793" s="318"/>
      <c r="Z18793" s="318"/>
      <c r="AA18793" s="318"/>
      <c r="AB18793" s="318"/>
      <c r="AC18793" s="318"/>
      <c r="AD18793" s="318"/>
    </row>
    <row r="18794" spans="2:30" s="323" customFormat="1" ht="12" customHeight="1">
      <c r="B18794" s="324"/>
      <c r="C18794" s="325"/>
      <c r="D18794" s="326"/>
      <c r="E18794" s="326"/>
      <c r="F18794" s="326"/>
      <c r="G18794" s="326"/>
      <c r="H18794" s="326"/>
      <c r="P18794" s="318"/>
      <c r="Q18794" s="318"/>
      <c r="R18794" s="318"/>
      <c r="S18794" s="318"/>
      <c r="T18794" s="318"/>
      <c r="U18794" s="318"/>
      <c r="V18794" s="318"/>
      <c r="W18794" s="318"/>
      <c r="X18794" s="318"/>
      <c r="Y18794" s="318"/>
      <c r="Z18794" s="318"/>
      <c r="AA18794" s="318"/>
      <c r="AB18794" s="318"/>
      <c r="AC18794" s="318"/>
      <c r="AD18794" s="318"/>
    </row>
    <row r="18795" spans="2:30" s="323" customFormat="1" ht="12" customHeight="1">
      <c r="B18795" s="324"/>
      <c r="C18795" s="325"/>
      <c r="D18795" s="326"/>
      <c r="E18795" s="326"/>
      <c r="F18795" s="326"/>
      <c r="G18795" s="326"/>
      <c r="H18795" s="326"/>
      <c r="P18795" s="318"/>
      <c r="Q18795" s="318"/>
      <c r="R18795" s="318"/>
      <c r="S18795" s="318"/>
      <c r="T18795" s="318"/>
      <c r="U18795" s="318"/>
      <c r="V18795" s="318"/>
      <c r="W18795" s="318"/>
      <c r="X18795" s="318"/>
      <c r="Y18795" s="318"/>
      <c r="Z18795" s="318"/>
      <c r="AA18795" s="318"/>
      <c r="AB18795" s="318"/>
      <c r="AC18795" s="318"/>
      <c r="AD18795" s="318"/>
    </row>
    <row r="18796" spans="2:30" s="323" customFormat="1" ht="12" customHeight="1">
      <c r="B18796" s="324"/>
      <c r="C18796" s="325"/>
      <c r="D18796" s="326"/>
      <c r="E18796" s="326"/>
      <c r="F18796" s="326"/>
      <c r="G18796" s="326"/>
      <c r="H18796" s="326"/>
      <c r="P18796" s="318"/>
      <c r="Q18796" s="318"/>
      <c r="R18796" s="318"/>
      <c r="S18796" s="318"/>
      <c r="T18796" s="318"/>
      <c r="U18796" s="318"/>
      <c r="V18796" s="318"/>
      <c r="W18796" s="318"/>
      <c r="X18796" s="318"/>
      <c r="Y18796" s="318"/>
      <c r="Z18796" s="318"/>
      <c r="AA18796" s="318"/>
      <c r="AB18796" s="318"/>
      <c r="AC18796" s="318"/>
      <c r="AD18796" s="318"/>
    </row>
    <row r="18797" spans="2:30" s="323" customFormat="1" ht="12" customHeight="1">
      <c r="B18797" s="324"/>
      <c r="C18797" s="325"/>
      <c r="D18797" s="326"/>
      <c r="E18797" s="326"/>
      <c r="F18797" s="326"/>
      <c r="G18797" s="326"/>
      <c r="H18797" s="326"/>
      <c r="P18797" s="318"/>
      <c r="Q18797" s="318"/>
      <c r="R18797" s="318"/>
      <c r="S18797" s="318"/>
      <c r="T18797" s="318"/>
      <c r="U18797" s="318"/>
      <c r="V18797" s="318"/>
      <c r="W18797" s="318"/>
      <c r="X18797" s="318"/>
      <c r="Y18797" s="318"/>
      <c r="Z18797" s="318"/>
      <c r="AA18797" s="318"/>
      <c r="AB18797" s="318"/>
      <c r="AC18797" s="318"/>
      <c r="AD18797" s="318"/>
    </row>
    <row r="18798" spans="2:30" s="323" customFormat="1" ht="12" customHeight="1">
      <c r="B18798" s="324"/>
      <c r="C18798" s="325"/>
      <c r="D18798" s="326"/>
      <c r="E18798" s="326"/>
      <c r="F18798" s="326"/>
      <c r="G18798" s="326"/>
      <c r="H18798" s="326"/>
      <c r="P18798" s="318"/>
      <c r="Q18798" s="318"/>
      <c r="R18798" s="318"/>
      <c r="S18798" s="318"/>
      <c r="T18798" s="318"/>
      <c r="U18798" s="318"/>
      <c r="V18798" s="318"/>
      <c r="W18798" s="318"/>
      <c r="X18798" s="318"/>
      <c r="Y18798" s="318"/>
      <c r="Z18798" s="318"/>
      <c r="AA18798" s="318"/>
      <c r="AB18798" s="318"/>
      <c r="AC18798" s="318"/>
      <c r="AD18798" s="318"/>
    </row>
    <row r="18799" spans="2:30" s="323" customFormat="1" ht="12" customHeight="1">
      <c r="B18799" s="324"/>
      <c r="C18799" s="325"/>
      <c r="D18799" s="326"/>
      <c r="E18799" s="326"/>
      <c r="F18799" s="326"/>
      <c r="G18799" s="326"/>
      <c r="H18799" s="326"/>
      <c r="P18799" s="318"/>
      <c r="Q18799" s="318"/>
      <c r="R18799" s="318"/>
      <c r="S18799" s="318"/>
      <c r="T18799" s="318"/>
      <c r="U18799" s="318"/>
      <c r="V18799" s="318"/>
      <c r="W18799" s="318"/>
      <c r="X18799" s="318"/>
      <c r="Y18799" s="318"/>
      <c r="Z18799" s="318"/>
      <c r="AA18799" s="318"/>
      <c r="AB18799" s="318"/>
      <c r="AC18799" s="318"/>
      <c r="AD18799" s="318"/>
    </row>
    <row r="18800" spans="2:30" s="323" customFormat="1" ht="12" customHeight="1">
      <c r="B18800" s="324"/>
      <c r="C18800" s="325"/>
      <c r="D18800" s="326"/>
      <c r="E18800" s="326"/>
      <c r="F18800" s="326"/>
      <c r="G18800" s="326"/>
      <c r="H18800" s="326"/>
      <c r="P18800" s="318"/>
      <c r="Q18800" s="318"/>
      <c r="R18800" s="318"/>
      <c r="S18800" s="318"/>
      <c r="T18800" s="318"/>
      <c r="U18800" s="318"/>
      <c r="V18800" s="318"/>
      <c r="W18800" s="318"/>
      <c r="X18800" s="318"/>
      <c r="Y18800" s="318"/>
      <c r="Z18800" s="318"/>
      <c r="AA18800" s="318"/>
      <c r="AB18800" s="318"/>
      <c r="AC18800" s="318"/>
      <c r="AD18800" s="318"/>
    </row>
    <row r="18801" spans="2:30" s="323" customFormat="1" ht="12" customHeight="1">
      <c r="B18801" s="324"/>
      <c r="C18801" s="325"/>
      <c r="D18801" s="326"/>
      <c r="E18801" s="326"/>
      <c r="F18801" s="326"/>
      <c r="G18801" s="326"/>
      <c r="H18801" s="326"/>
      <c r="P18801" s="318"/>
      <c r="Q18801" s="318"/>
      <c r="R18801" s="318"/>
      <c r="S18801" s="318"/>
      <c r="T18801" s="318"/>
      <c r="U18801" s="318"/>
      <c r="V18801" s="318"/>
      <c r="W18801" s="318"/>
      <c r="X18801" s="318"/>
      <c r="Y18801" s="318"/>
      <c r="Z18801" s="318"/>
      <c r="AA18801" s="318"/>
      <c r="AB18801" s="318"/>
      <c r="AC18801" s="318"/>
      <c r="AD18801" s="318"/>
    </row>
    <row r="18802" spans="2:30" s="323" customFormat="1" ht="12" customHeight="1">
      <c r="B18802" s="324"/>
      <c r="C18802" s="325"/>
      <c r="D18802" s="326"/>
      <c r="E18802" s="326"/>
      <c r="F18802" s="326"/>
      <c r="G18802" s="326"/>
      <c r="H18802" s="326"/>
      <c r="P18802" s="318"/>
      <c r="Q18802" s="318"/>
      <c r="R18802" s="318"/>
      <c r="S18802" s="318"/>
      <c r="T18802" s="318"/>
      <c r="U18802" s="318"/>
      <c r="V18802" s="318"/>
      <c r="W18802" s="318"/>
      <c r="X18802" s="318"/>
      <c r="Y18802" s="318"/>
      <c r="Z18802" s="318"/>
      <c r="AA18802" s="318"/>
      <c r="AB18802" s="318"/>
      <c r="AC18802" s="318"/>
      <c r="AD18802" s="318"/>
    </row>
    <row r="18803" spans="2:30" s="323" customFormat="1" ht="12" customHeight="1">
      <c r="B18803" s="324"/>
      <c r="C18803" s="325"/>
      <c r="D18803" s="326"/>
      <c r="E18803" s="326"/>
      <c r="F18803" s="326"/>
      <c r="G18803" s="326"/>
      <c r="H18803" s="326"/>
      <c r="P18803" s="318"/>
      <c r="Q18803" s="318"/>
      <c r="R18803" s="318"/>
      <c r="S18803" s="318"/>
      <c r="T18803" s="318"/>
      <c r="U18803" s="318"/>
      <c r="V18803" s="318"/>
      <c r="W18803" s="318"/>
      <c r="X18803" s="318"/>
      <c r="Y18803" s="318"/>
      <c r="Z18803" s="318"/>
      <c r="AA18803" s="318"/>
      <c r="AB18803" s="318"/>
      <c r="AC18803" s="318"/>
      <c r="AD18803" s="318"/>
    </row>
    <row r="18804" spans="2:30" s="323" customFormat="1" ht="12" customHeight="1">
      <c r="B18804" s="324"/>
      <c r="C18804" s="325"/>
      <c r="D18804" s="326"/>
      <c r="E18804" s="326"/>
      <c r="F18804" s="326"/>
      <c r="G18804" s="326"/>
      <c r="H18804" s="326"/>
      <c r="P18804" s="318"/>
      <c r="Q18804" s="318"/>
      <c r="R18804" s="318"/>
      <c r="S18804" s="318"/>
      <c r="T18804" s="318"/>
      <c r="U18804" s="318"/>
      <c r="V18804" s="318"/>
      <c r="W18804" s="318"/>
      <c r="X18804" s="318"/>
      <c r="Y18804" s="318"/>
      <c r="Z18804" s="318"/>
      <c r="AA18804" s="318"/>
      <c r="AB18804" s="318"/>
      <c r="AC18804" s="318"/>
      <c r="AD18804" s="318"/>
    </row>
    <row r="18805" spans="2:30" s="323" customFormat="1" ht="12" customHeight="1">
      <c r="B18805" s="324"/>
      <c r="C18805" s="325"/>
      <c r="D18805" s="326"/>
      <c r="E18805" s="326"/>
      <c r="F18805" s="326"/>
      <c r="G18805" s="326"/>
      <c r="H18805" s="326"/>
      <c r="P18805" s="318"/>
      <c r="Q18805" s="318"/>
      <c r="R18805" s="318"/>
      <c r="S18805" s="318"/>
      <c r="T18805" s="318"/>
      <c r="U18805" s="318"/>
      <c r="V18805" s="318"/>
      <c r="W18805" s="318"/>
      <c r="X18805" s="318"/>
      <c r="Y18805" s="318"/>
      <c r="Z18805" s="318"/>
      <c r="AA18805" s="318"/>
      <c r="AB18805" s="318"/>
      <c r="AC18805" s="318"/>
      <c r="AD18805" s="318"/>
    </row>
    <row r="18806" spans="2:30" s="323" customFormat="1" ht="12" customHeight="1">
      <c r="B18806" s="324"/>
      <c r="C18806" s="325"/>
      <c r="D18806" s="326"/>
      <c r="E18806" s="326"/>
      <c r="F18806" s="326"/>
      <c r="G18806" s="326"/>
      <c r="H18806" s="326"/>
      <c r="P18806" s="318"/>
      <c r="Q18806" s="318"/>
      <c r="R18806" s="318"/>
      <c r="S18806" s="318"/>
      <c r="T18806" s="318"/>
      <c r="U18806" s="318"/>
      <c r="V18806" s="318"/>
      <c r="W18806" s="318"/>
      <c r="X18806" s="318"/>
      <c r="Y18806" s="318"/>
      <c r="Z18806" s="318"/>
      <c r="AA18806" s="318"/>
      <c r="AB18806" s="318"/>
      <c r="AC18806" s="318"/>
      <c r="AD18806" s="318"/>
    </row>
    <row r="18807" spans="2:30" s="323" customFormat="1" ht="12" customHeight="1">
      <c r="B18807" s="324"/>
      <c r="C18807" s="325"/>
      <c r="D18807" s="326"/>
      <c r="E18807" s="326"/>
      <c r="F18807" s="326"/>
      <c r="G18807" s="326"/>
      <c r="H18807" s="326"/>
      <c r="P18807" s="318"/>
      <c r="Q18807" s="318"/>
      <c r="R18807" s="318"/>
      <c r="S18807" s="318"/>
      <c r="T18807" s="318"/>
      <c r="U18807" s="318"/>
      <c r="V18807" s="318"/>
      <c r="W18807" s="318"/>
      <c r="X18807" s="318"/>
      <c r="Y18807" s="318"/>
      <c r="Z18807" s="318"/>
      <c r="AA18807" s="318"/>
      <c r="AB18807" s="318"/>
      <c r="AC18807" s="318"/>
      <c r="AD18807" s="318"/>
    </row>
    <row r="18808" spans="2:30" s="323" customFormat="1" ht="12" customHeight="1">
      <c r="B18808" s="324"/>
      <c r="C18808" s="325"/>
      <c r="D18808" s="326"/>
      <c r="E18808" s="326"/>
      <c r="F18808" s="326"/>
      <c r="G18808" s="326"/>
      <c r="H18808" s="326"/>
      <c r="P18808" s="318"/>
      <c r="Q18808" s="318"/>
      <c r="R18808" s="318"/>
      <c r="S18808" s="318"/>
      <c r="T18808" s="318"/>
      <c r="U18808" s="318"/>
      <c r="V18808" s="318"/>
      <c r="W18808" s="318"/>
      <c r="X18808" s="318"/>
      <c r="Y18808" s="318"/>
      <c r="Z18808" s="318"/>
      <c r="AA18808" s="318"/>
      <c r="AB18808" s="318"/>
      <c r="AC18808" s="318"/>
      <c r="AD18808" s="318"/>
    </row>
    <row r="18809" spans="2:30" s="323" customFormat="1" ht="12" customHeight="1">
      <c r="B18809" s="324"/>
      <c r="C18809" s="325"/>
      <c r="D18809" s="326"/>
      <c r="E18809" s="326"/>
      <c r="F18809" s="326"/>
      <c r="G18809" s="326"/>
      <c r="H18809" s="326"/>
      <c r="P18809" s="318"/>
      <c r="Q18809" s="318"/>
      <c r="R18809" s="318"/>
      <c r="S18809" s="318"/>
      <c r="T18809" s="318"/>
      <c r="U18809" s="318"/>
      <c r="V18809" s="318"/>
      <c r="W18809" s="318"/>
      <c r="X18809" s="318"/>
      <c r="Y18809" s="318"/>
      <c r="Z18809" s="318"/>
      <c r="AA18809" s="318"/>
      <c r="AB18809" s="318"/>
      <c r="AC18809" s="318"/>
      <c r="AD18809" s="318"/>
    </row>
    <row r="18810" spans="2:30" s="323" customFormat="1" ht="12" customHeight="1">
      <c r="B18810" s="324"/>
      <c r="C18810" s="325"/>
      <c r="D18810" s="326"/>
      <c r="E18810" s="326"/>
      <c r="F18810" s="326"/>
      <c r="G18810" s="326"/>
      <c r="H18810" s="326"/>
      <c r="P18810" s="318"/>
      <c r="Q18810" s="318"/>
      <c r="R18810" s="318"/>
      <c r="S18810" s="318"/>
      <c r="T18810" s="318"/>
      <c r="U18810" s="318"/>
      <c r="V18810" s="318"/>
      <c r="W18810" s="318"/>
      <c r="X18810" s="318"/>
      <c r="Y18810" s="318"/>
      <c r="Z18810" s="318"/>
      <c r="AA18810" s="318"/>
      <c r="AB18810" s="318"/>
      <c r="AC18810" s="318"/>
      <c r="AD18810" s="318"/>
    </row>
    <row r="18811" spans="2:30" s="323" customFormat="1" ht="12" customHeight="1">
      <c r="B18811" s="324"/>
      <c r="C18811" s="325"/>
      <c r="D18811" s="326"/>
      <c r="E18811" s="326"/>
      <c r="F18811" s="326"/>
      <c r="G18811" s="326"/>
      <c r="H18811" s="326"/>
      <c r="P18811" s="318"/>
      <c r="Q18811" s="318"/>
      <c r="R18811" s="318"/>
      <c r="S18811" s="318"/>
      <c r="T18811" s="318"/>
      <c r="U18811" s="318"/>
      <c r="V18811" s="318"/>
      <c r="W18811" s="318"/>
      <c r="X18811" s="318"/>
      <c r="Y18811" s="318"/>
      <c r="Z18811" s="318"/>
      <c r="AA18811" s="318"/>
      <c r="AB18811" s="318"/>
      <c r="AC18811" s="318"/>
      <c r="AD18811" s="318"/>
    </row>
    <row r="18812" spans="2:30" s="323" customFormat="1" ht="12" customHeight="1">
      <c r="B18812" s="324"/>
      <c r="C18812" s="325"/>
      <c r="D18812" s="326"/>
      <c r="E18812" s="326"/>
      <c r="F18812" s="326"/>
      <c r="G18812" s="326"/>
      <c r="H18812" s="326"/>
      <c r="P18812" s="318"/>
      <c r="Q18812" s="318"/>
      <c r="R18812" s="318"/>
      <c r="S18812" s="318"/>
      <c r="T18812" s="318"/>
      <c r="U18812" s="318"/>
      <c r="V18812" s="318"/>
      <c r="W18812" s="318"/>
      <c r="X18812" s="318"/>
      <c r="Y18812" s="318"/>
      <c r="Z18812" s="318"/>
      <c r="AA18812" s="318"/>
      <c r="AB18812" s="318"/>
      <c r="AC18812" s="318"/>
      <c r="AD18812" s="318"/>
    </row>
    <row r="18813" spans="2:30" s="323" customFormat="1" ht="12" customHeight="1">
      <c r="B18813" s="324"/>
      <c r="C18813" s="325"/>
      <c r="D18813" s="326"/>
      <c r="E18813" s="326"/>
      <c r="F18813" s="326"/>
      <c r="G18813" s="326"/>
      <c r="H18813" s="326"/>
      <c r="P18813" s="318"/>
      <c r="Q18813" s="318"/>
      <c r="R18813" s="318"/>
      <c r="S18813" s="318"/>
      <c r="T18813" s="318"/>
      <c r="U18813" s="318"/>
      <c r="V18813" s="318"/>
      <c r="W18813" s="318"/>
      <c r="X18813" s="318"/>
      <c r="Y18813" s="318"/>
      <c r="Z18813" s="318"/>
      <c r="AA18813" s="318"/>
      <c r="AB18813" s="318"/>
      <c r="AC18813" s="318"/>
      <c r="AD18813" s="318"/>
    </row>
    <row r="18814" spans="2:30" s="323" customFormat="1" ht="12" customHeight="1">
      <c r="B18814" s="324"/>
      <c r="C18814" s="325"/>
      <c r="D18814" s="326"/>
      <c r="E18814" s="326"/>
      <c r="F18814" s="326"/>
      <c r="G18814" s="326"/>
      <c r="H18814" s="326"/>
      <c r="P18814" s="318"/>
      <c r="Q18814" s="318"/>
      <c r="R18814" s="318"/>
      <c r="S18814" s="318"/>
      <c r="T18814" s="318"/>
      <c r="U18814" s="318"/>
      <c r="V18814" s="318"/>
      <c r="W18814" s="318"/>
      <c r="X18814" s="318"/>
      <c r="Y18814" s="318"/>
      <c r="Z18814" s="318"/>
      <c r="AA18814" s="318"/>
      <c r="AB18814" s="318"/>
      <c r="AC18814" s="318"/>
      <c r="AD18814" s="318"/>
    </row>
    <row r="18815" spans="2:30" s="323" customFormat="1" ht="12" customHeight="1">
      <c r="B18815" s="324"/>
      <c r="C18815" s="325"/>
      <c r="D18815" s="326"/>
      <c r="E18815" s="326"/>
      <c r="F18815" s="326"/>
      <c r="G18815" s="326"/>
      <c r="H18815" s="326"/>
      <c r="P18815" s="318"/>
      <c r="Q18815" s="318"/>
      <c r="R18815" s="318"/>
      <c r="S18815" s="318"/>
      <c r="T18815" s="318"/>
      <c r="U18815" s="318"/>
      <c r="V18815" s="318"/>
      <c r="W18815" s="318"/>
      <c r="X18815" s="318"/>
      <c r="Y18815" s="318"/>
      <c r="Z18815" s="318"/>
      <c r="AA18815" s="318"/>
      <c r="AB18815" s="318"/>
      <c r="AC18815" s="318"/>
      <c r="AD18815" s="318"/>
    </row>
    <row r="18816" spans="2:30" s="323" customFormat="1" ht="12" customHeight="1">
      <c r="B18816" s="324"/>
      <c r="C18816" s="325"/>
      <c r="D18816" s="326"/>
      <c r="E18816" s="326"/>
      <c r="F18816" s="326"/>
      <c r="G18816" s="326"/>
      <c r="H18816" s="326"/>
      <c r="P18816" s="318"/>
      <c r="Q18816" s="318"/>
      <c r="R18816" s="318"/>
      <c r="S18816" s="318"/>
      <c r="T18816" s="318"/>
      <c r="U18816" s="318"/>
      <c r="V18816" s="318"/>
      <c r="W18816" s="318"/>
      <c r="X18816" s="318"/>
      <c r="Y18816" s="318"/>
      <c r="Z18816" s="318"/>
      <c r="AA18816" s="318"/>
      <c r="AB18816" s="318"/>
      <c r="AC18816" s="318"/>
      <c r="AD18816" s="318"/>
    </row>
    <row r="18817" spans="2:30" s="323" customFormat="1" ht="12" customHeight="1">
      <c r="B18817" s="324"/>
      <c r="C18817" s="325"/>
      <c r="D18817" s="326"/>
      <c r="E18817" s="326"/>
      <c r="F18817" s="326"/>
      <c r="G18817" s="326"/>
      <c r="H18817" s="326"/>
      <c r="P18817" s="318"/>
      <c r="Q18817" s="318"/>
      <c r="R18817" s="318"/>
      <c r="S18817" s="318"/>
      <c r="T18817" s="318"/>
      <c r="U18817" s="318"/>
      <c r="V18817" s="318"/>
      <c r="W18817" s="318"/>
      <c r="X18817" s="318"/>
      <c r="Y18817" s="318"/>
      <c r="Z18817" s="318"/>
      <c r="AA18817" s="318"/>
      <c r="AB18817" s="318"/>
      <c r="AC18817" s="318"/>
      <c r="AD18817" s="318"/>
    </row>
    <row r="18818" spans="2:30" s="323" customFormat="1" ht="12" customHeight="1">
      <c r="B18818" s="324"/>
      <c r="C18818" s="325"/>
      <c r="D18818" s="326"/>
      <c r="E18818" s="326"/>
      <c r="F18818" s="326"/>
      <c r="G18818" s="326"/>
      <c r="H18818" s="326"/>
      <c r="P18818" s="318"/>
      <c r="Q18818" s="318"/>
      <c r="R18818" s="318"/>
      <c r="S18818" s="318"/>
      <c r="T18818" s="318"/>
      <c r="U18818" s="318"/>
      <c r="V18818" s="318"/>
      <c r="W18818" s="318"/>
      <c r="X18818" s="318"/>
      <c r="Y18818" s="318"/>
      <c r="Z18818" s="318"/>
      <c r="AA18818" s="318"/>
      <c r="AB18818" s="318"/>
      <c r="AC18818" s="318"/>
      <c r="AD18818" s="318"/>
    </row>
    <row r="18819" spans="2:30" s="323" customFormat="1" ht="12" customHeight="1">
      <c r="B18819" s="324"/>
      <c r="C18819" s="325"/>
      <c r="D18819" s="326"/>
      <c r="E18819" s="326"/>
      <c r="F18819" s="326"/>
      <c r="G18819" s="326"/>
      <c r="H18819" s="326"/>
      <c r="P18819" s="318"/>
      <c r="Q18819" s="318"/>
      <c r="R18819" s="318"/>
      <c r="S18819" s="318"/>
      <c r="T18819" s="318"/>
      <c r="U18819" s="318"/>
      <c r="V18819" s="318"/>
      <c r="W18819" s="318"/>
      <c r="X18819" s="318"/>
      <c r="Y18819" s="318"/>
      <c r="Z18819" s="318"/>
      <c r="AA18819" s="318"/>
      <c r="AB18819" s="318"/>
      <c r="AC18819" s="318"/>
      <c r="AD18819" s="318"/>
    </row>
    <row r="18820" spans="2:30" s="323" customFormat="1" ht="12" customHeight="1">
      <c r="B18820" s="324"/>
      <c r="C18820" s="325"/>
      <c r="D18820" s="326"/>
      <c r="E18820" s="326"/>
      <c r="F18820" s="326"/>
      <c r="G18820" s="326"/>
      <c r="H18820" s="326"/>
      <c r="P18820" s="318"/>
      <c r="Q18820" s="318"/>
      <c r="R18820" s="318"/>
      <c r="S18820" s="318"/>
      <c r="T18820" s="318"/>
      <c r="U18820" s="318"/>
      <c r="V18820" s="318"/>
      <c r="W18820" s="318"/>
      <c r="X18820" s="318"/>
      <c r="Y18820" s="318"/>
      <c r="Z18820" s="318"/>
      <c r="AA18820" s="318"/>
      <c r="AB18820" s="318"/>
      <c r="AC18820" s="318"/>
      <c r="AD18820" s="318"/>
    </row>
    <row r="18821" spans="2:30" s="323" customFormat="1" ht="12" customHeight="1">
      <c r="B18821" s="324"/>
      <c r="C18821" s="325"/>
      <c r="D18821" s="326"/>
      <c r="E18821" s="326"/>
      <c r="F18821" s="326"/>
      <c r="G18821" s="326"/>
      <c r="H18821" s="326"/>
      <c r="P18821" s="318"/>
      <c r="Q18821" s="318"/>
      <c r="R18821" s="318"/>
      <c r="S18821" s="318"/>
      <c r="T18821" s="318"/>
      <c r="U18821" s="318"/>
      <c r="V18821" s="318"/>
      <c r="W18821" s="318"/>
      <c r="X18821" s="318"/>
      <c r="Y18821" s="318"/>
      <c r="Z18821" s="318"/>
      <c r="AA18821" s="318"/>
      <c r="AB18821" s="318"/>
      <c r="AC18821" s="318"/>
      <c r="AD18821" s="318"/>
    </row>
    <row r="18822" spans="2:30" s="323" customFormat="1" ht="12" customHeight="1">
      <c r="B18822" s="324"/>
      <c r="C18822" s="325"/>
      <c r="D18822" s="326"/>
      <c r="E18822" s="326"/>
      <c r="F18822" s="326"/>
      <c r="G18822" s="326"/>
      <c r="H18822" s="326"/>
      <c r="P18822" s="318"/>
      <c r="Q18822" s="318"/>
      <c r="R18822" s="318"/>
      <c r="S18822" s="318"/>
      <c r="T18822" s="318"/>
      <c r="U18822" s="318"/>
      <c r="V18822" s="318"/>
      <c r="W18822" s="318"/>
      <c r="X18822" s="318"/>
      <c r="Y18822" s="318"/>
      <c r="Z18822" s="318"/>
      <c r="AA18822" s="318"/>
      <c r="AB18822" s="318"/>
      <c r="AC18822" s="318"/>
      <c r="AD18822" s="318"/>
    </row>
    <row r="18823" spans="2:30" s="323" customFormat="1" ht="12" customHeight="1">
      <c r="B18823" s="324"/>
      <c r="C18823" s="325"/>
      <c r="D18823" s="326"/>
      <c r="E18823" s="326"/>
      <c r="F18823" s="326"/>
      <c r="G18823" s="326"/>
      <c r="H18823" s="326"/>
      <c r="P18823" s="318"/>
      <c r="Q18823" s="318"/>
      <c r="R18823" s="318"/>
      <c r="S18823" s="318"/>
      <c r="T18823" s="318"/>
      <c r="U18823" s="318"/>
      <c r="V18823" s="318"/>
      <c r="W18823" s="318"/>
      <c r="X18823" s="318"/>
      <c r="Y18823" s="318"/>
      <c r="Z18823" s="318"/>
      <c r="AA18823" s="318"/>
      <c r="AB18823" s="318"/>
      <c r="AC18823" s="318"/>
      <c r="AD18823" s="318"/>
    </row>
    <row r="18824" spans="2:30" s="323" customFormat="1" ht="12" customHeight="1">
      <c r="B18824" s="324"/>
      <c r="C18824" s="325"/>
      <c r="D18824" s="326"/>
      <c r="E18824" s="326"/>
      <c r="F18824" s="326"/>
      <c r="G18824" s="326"/>
      <c r="H18824" s="326"/>
      <c r="P18824" s="318"/>
      <c r="Q18824" s="318"/>
      <c r="R18824" s="318"/>
      <c r="S18824" s="318"/>
      <c r="T18824" s="318"/>
      <c r="U18824" s="318"/>
      <c r="V18824" s="318"/>
      <c r="W18824" s="318"/>
      <c r="X18824" s="318"/>
      <c r="Y18824" s="318"/>
      <c r="Z18824" s="318"/>
      <c r="AA18824" s="318"/>
      <c r="AB18824" s="318"/>
      <c r="AC18824" s="318"/>
      <c r="AD18824" s="318"/>
    </row>
    <row r="18825" spans="2:30" s="323" customFormat="1" ht="12" customHeight="1">
      <c r="B18825" s="324"/>
      <c r="C18825" s="325"/>
      <c r="D18825" s="326"/>
      <c r="E18825" s="326"/>
      <c r="F18825" s="326"/>
      <c r="G18825" s="326"/>
      <c r="H18825" s="326"/>
      <c r="P18825" s="318"/>
      <c r="Q18825" s="318"/>
      <c r="R18825" s="318"/>
      <c r="S18825" s="318"/>
      <c r="T18825" s="318"/>
      <c r="U18825" s="318"/>
      <c r="V18825" s="318"/>
      <c r="W18825" s="318"/>
      <c r="X18825" s="318"/>
      <c r="Y18825" s="318"/>
      <c r="Z18825" s="318"/>
      <c r="AA18825" s="318"/>
      <c r="AB18825" s="318"/>
      <c r="AC18825" s="318"/>
      <c r="AD18825" s="318"/>
    </row>
    <row r="18826" spans="2:30" s="323" customFormat="1" ht="12" customHeight="1">
      <c r="B18826" s="324"/>
      <c r="C18826" s="325"/>
      <c r="D18826" s="326"/>
      <c r="E18826" s="326"/>
      <c r="F18826" s="326"/>
      <c r="G18826" s="326"/>
      <c r="H18826" s="326"/>
      <c r="P18826" s="318"/>
      <c r="Q18826" s="318"/>
      <c r="R18826" s="318"/>
      <c r="S18826" s="318"/>
      <c r="T18826" s="318"/>
      <c r="U18826" s="318"/>
      <c r="V18826" s="318"/>
      <c r="W18826" s="318"/>
      <c r="X18826" s="318"/>
      <c r="Y18826" s="318"/>
      <c r="Z18826" s="318"/>
      <c r="AA18826" s="318"/>
      <c r="AB18826" s="318"/>
      <c r="AC18826" s="318"/>
      <c r="AD18826" s="318"/>
    </row>
    <row r="18827" spans="2:30" s="323" customFormat="1" ht="12" customHeight="1">
      <c r="B18827" s="324"/>
      <c r="C18827" s="325"/>
      <c r="D18827" s="326"/>
      <c r="E18827" s="326"/>
      <c r="F18827" s="326"/>
      <c r="G18827" s="326"/>
      <c r="H18827" s="326"/>
      <c r="P18827" s="318"/>
      <c r="Q18827" s="318"/>
      <c r="R18827" s="318"/>
      <c r="S18827" s="318"/>
      <c r="T18827" s="318"/>
      <c r="U18827" s="318"/>
      <c r="V18827" s="318"/>
      <c r="W18827" s="318"/>
      <c r="X18827" s="318"/>
      <c r="Y18827" s="318"/>
      <c r="Z18827" s="318"/>
      <c r="AA18827" s="318"/>
      <c r="AB18827" s="318"/>
      <c r="AC18827" s="318"/>
      <c r="AD18827" s="318"/>
    </row>
    <row r="18828" spans="2:30" s="323" customFormat="1" ht="12" customHeight="1">
      <c r="B18828" s="324"/>
      <c r="C18828" s="325"/>
      <c r="D18828" s="326"/>
      <c r="E18828" s="326"/>
      <c r="F18828" s="326"/>
      <c r="G18828" s="326"/>
      <c r="H18828" s="326"/>
      <c r="P18828" s="318"/>
      <c r="Q18828" s="318"/>
      <c r="R18828" s="318"/>
      <c r="S18828" s="318"/>
      <c r="T18828" s="318"/>
      <c r="U18828" s="318"/>
      <c r="V18828" s="318"/>
      <c r="W18828" s="318"/>
      <c r="X18828" s="318"/>
      <c r="Y18828" s="318"/>
      <c r="Z18828" s="318"/>
      <c r="AA18828" s="318"/>
      <c r="AB18828" s="318"/>
      <c r="AC18828" s="318"/>
      <c r="AD18828" s="318"/>
    </row>
    <row r="18829" spans="2:30" s="323" customFormat="1" ht="12" customHeight="1">
      <c r="B18829" s="324"/>
      <c r="C18829" s="325"/>
      <c r="D18829" s="326"/>
      <c r="E18829" s="326"/>
      <c r="F18829" s="326"/>
      <c r="G18829" s="326"/>
      <c r="H18829" s="326"/>
      <c r="P18829" s="318"/>
      <c r="Q18829" s="318"/>
      <c r="R18829" s="318"/>
      <c r="S18829" s="318"/>
      <c r="T18829" s="318"/>
      <c r="U18829" s="318"/>
      <c r="V18829" s="318"/>
      <c r="W18829" s="318"/>
      <c r="X18829" s="318"/>
      <c r="Y18829" s="318"/>
      <c r="Z18829" s="318"/>
      <c r="AA18829" s="318"/>
      <c r="AB18829" s="318"/>
      <c r="AC18829" s="318"/>
      <c r="AD18829" s="318"/>
    </row>
    <row r="18830" spans="2:30" s="323" customFormat="1" ht="12" customHeight="1">
      <c r="B18830" s="324"/>
      <c r="C18830" s="325"/>
      <c r="D18830" s="326"/>
      <c r="E18830" s="326"/>
      <c r="F18830" s="326"/>
      <c r="G18830" s="326"/>
      <c r="H18830" s="326"/>
      <c r="P18830" s="318"/>
      <c r="Q18830" s="318"/>
      <c r="R18830" s="318"/>
      <c r="S18830" s="318"/>
      <c r="T18830" s="318"/>
      <c r="U18830" s="318"/>
      <c r="V18830" s="318"/>
      <c r="W18830" s="318"/>
      <c r="X18830" s="318"/>
      <c r="Y18830" s="318"/>
      <c r="Z18830" s="318"/>
      <c r="AA18830" s="318"/>
      <c r="AB18830" s="318"/>
      <c r="AC18830" s="318"/>
      <c r="AD18830" s="318"/>
    </row>
    <row r="18831" spans="2:30" s="323" customFormat="1" ht="12" customHeight="1">
      <c r="B18831" s="324"/>
      <c r="C18831" s="325"/>
      <c r="D18831" s="326"/>
      <c r="E18831" s="326"/>
      <c r="F18831" s="326"/>
      <c r="G18831" s="326"/>
      <c r="H18831" s="326"/>
      <c r="P18831" s="318"/>
      <c r="Q18831" s="318"/>
      <c r="R18831" s="318"/>
      <c r="S18831" s="318"/>
      <c r="T18831" s="318"/>
      <c r="U18831" s="318"/>
      <c r="V18831" s="318"/>
      <c r="W18831" s="318"/>
      <c r="X18831" s="318"/>
      <c r="Y18831" s="318"/>
      <c r="Z18831" s="318"/>
      <c r="AA18831" s="318"/>
      <c r="AB18831" s="318"/>
      <c r="AC18831" s="318"/>
      <c r="AD18831" s="318"/>
    </row>
    <row r="18832" spans="2:30" s="323" customFormat="1" ht="12" customHeight="1">
      <c r="B18832" s="324"/>
      <c r="C18832" s="325"/>
      <c r="D18832" s="326"/>
      <c r="E18832" s="326"/>
      <c r="F18832" s="326"/>
      <c r="G18832" s="326"/>
      <c r="H18832" s="326"/>
      <c r="P18832" s="318"/>
      <c r="Q18832" s="318"/>
      <c r="R18832" s="318"/>
      <c r="S18832" s="318"/>
      <c r="T18832" s="318"/>
      <c r="U18832" s="318"/>
      <c r="V18832" s="318"/>
      <c r="W18832" s="318"/>
      <c r="X18832" s="318"/>
      <c r="Y18832" s="318"/>
      <c r="Z18832" s="318"/>
      <c r="AA18832" s="318"/>
      <c r="AB18832" s="318"/>
      <c r="AC18832" s="318"/>
      <c r="AD18832" s="318"/>
    </row>
    <row r="18833" spans="2:30" s="323" customFormat="1" ht="12" customHeight="1">
      <c r="B18833" s="324"/>
      <c r="C18833" s="325"/>
      <c r="D18833" s="326"/>
      <c r="E18833" s="326"/>
      <c r="F18833" s="326"/>
      <c r="G18833" s="326"/>
      <c r="H18833" s="326"/>
      <c r="P18833" s="318"/>
      <c r="Q18833" s="318"/>
      <c r="R18833" s="318"/>
      <c r="S18833" s="318"/>
      <c r="T18833" s="318"/>
      <c r="U18833" s="318"/>
      <c r="V18833" s="318"/>
      <c r="W18833" s="318"/>
      <c r="X18833" s="318"/>
      <c r="Y18833" s="318"/>
      <c r="Z18833" s="318"/>
      <c r="AA18833" s="318"/>
      <c r="AB18833" s="318"/>
      <c r="AC18833" s="318"/>
      <c r="AD18833" s="318"/>
    </row>
    <row r="18834" spans="2:30" s="323" customFormat="1" ht="12" customHeight="1">
      <c r="B18834" s="324"/>
      <c r="C18834" s="325"/>
      <c r="D18834" s="326"/>
      <c r="E18834" s="326"/>
      <c r="F18834" s="326"/>
      <c r="G18834" s="326"/>
      <c r="H18834" s="326"/>
      <c r="P18834" s="318"/>
      <c r="Q18834" s="318"/>
      <c r="R18834" s="318"/>
      <c r="S18834" s="318"/>
      <c r="T18834" s="318"/>
      <c r="U18834" s="318"/>
      <c r="V18834" s="318"/>
      <c r="W18834" s="318"/>
      <c r="X18834" s="318"/>
      <c r="Y18834" s="318"/>
      <c r="Z18834" s="318"/>
      <c r="AA18834" s="318"/>
      <c r="AB18834" s="318"/>
      <c r="AC18834" s="318"/>
      <c r="AD18834" s="318"/>
    </row>
    <row r="18835" spans="2:30" s="323" customFormat="1" ht="12" customHeight="1">
      <c r="B18835" s="324"/>
      <c r="C18835" s="325"/>
      <c r="D18835" s="326"/>
      <c r="E18835" s="326"/>
      <c r="F18835" s="326"/>
      <c r="G18835" s="326"/>
      <c r="H18835" s="326"/>
      <c r="P18835" s="318"/>
      <c r="Q18835" s="318"/>
      <c r="R18835" s="318"/>
      <c r="S18835" s="318"/>
      <c r="T18835" s="318"/>
      <c r="U18835" s="318"/>
      <c r="V18835" s="318"/>
      <c r="W18835" s="318"/>
      <c r="X18835" s="318"/>
      <c r="Y18835" s="318"/>
      <c r="Z18835" s="318"/>
      <c r="AA18835" s="318"/>
      <c r="AB18835" s="318"/>
      <c r="AC18835" s="318"/>
      <c r="AD18835" s="318"/>
    </row>
    <row r="18836" spans="2:30" s="323" customFormat="1" ht="12" customHeight="1">
      <c r="B18836" s="324"/>
      <c r="C18836" s="325"/>
      <c r="D18836" s="326"/>
      <c r="E18836" s="326"/>
      <c r="F18836" s="326"/>
      <c r="G18836" s="326"/>
      <c r="H18836" s="326"/>
      <c r="P18836" s="318"/>
      <c r="Q18836" s="318"/>
      <c r="R18836" s="318"/>
      <c r="S18836" s="318"/>
      <c r="T18836" s="318"/>
      <c r="U18836" s="318"/>
      <c r="V18836" s="318"/>
      <c r="W18836" s="318"/>
      <c r="X18836" s="318"/>
      <c r="Y18836" s="318"/>
      <c r="Z18836" s="318"/>
      <c r="AA18836" s="318"/>
      <c r="AB18836" s="318"/>
      <c r="AC18836" s="318"/>
      <c r="AD18836" s="318"/>
    </row>
    <row r="18837" spans="2:30" s="323" customFormat="1" ht="12" customHeight="1">
      <c r="B18837" s="324"/>
      <c r="C18837" s="325"/>
      <c r="D18837" s="326"/>
      <c r="E18837" s="326"/>
      <c r="F18837" s="326"/>
      <c r="G18837" s="326"/>
      <c r="H18837" s="326"/>
      <c r="P18837" s="318"/>
      <c r="Q18837" s="318"/>
      <c r="R18837" s="318"/>
      <c r="S18837" s="318"/>
      <c r="T18837" s="318"/>
      <c r="U18837" s="318"/>
      <c r="V18837" s="318"/>
      <c r="W18837" s="318"/>
      <c r="X18837" s="318"/>
      <c r="Y18837" s="318"/>
      <c r="Z18837" s="318"/>
      <c r="AA18837" s="318"/>
      <c r="AB18837" s="318"/>
      <c r="AC18837" s="318"/>
      <c r="AD18837" s="318"/>
    </row>
    <row r="18838" spans="2:30" s="323" customFormat="1" ht="12" customHeight="1">
      <c r="B18838" s="324"/>
      <c r="C18838" s="325"/>
      <c r="D18838" s="326"/>
      <c r="E18838" s="326"/>
      <c r="F18838" s="326"/>
      <c r="G18838" s="326"/>
      <c r="H18838" s="326"/>
      <c r="P18838" s="318"/>
      <c r="Q18838" s="318"/>
      <c r="R18838" s="318"/>
      <c r="S18838" s="318"/>
      <c r="T18838" s="318"/>
      <c r="U18838" s="318"/>
      <c r="V18838" s="318"/>
      <c r="W18838" s="318"/>
      <c r="X18838" s="318"/>
      <c r="Y18838" s="318"/>
      <c r="Z18838" s="318"/>
      <c r="AA18838" s="318"/>
      <c r="AB18838" s="318"/>
      <c r="AC18838" s="318"/>
      <c r="AD18838" s="318"/>
    </row>
    <row r="18839" spans="2:30" s="323" customFormat="1" ht="12" customHeight="1">
      <c r="B18839" s="324"/>
      <c r="C18839" s="325"/>
      <c r="D18839" s="326"/>
      <c r="E18839" s="326"/>
      <c r="F18839" s="326"/>
      <c r="G18839" s="326"/>
      <c r="H18839" s="326"/>
      <c r="P18839" s="318"/>
      <c r="Q18839" s="318"/>
      <c r="R18839" s="318"/>
      <c r="S18839" s="318"/>
      <c r="T18839" s="318"/>
      <c r="U18839" s="318"/>
      <c r="V18839" s="318"/>
      <c r="W18839" s="318"/>
      <c r="X18839" s="318"/>
      <c r="Y18839" s="318"/>
      <c r="Z18839" s="318"/>
      <c r="AA18839" s="318"/>
      <c r="AB18839" s="318"/>
      <c r="AC18839" s="318"/>
      <c r="AD18839" s="318"/>
    </row>
    <row r="18840" spans="2:30" s="323" customFormat="1" ht="12" customHeight="1">
      <c r="B18840" s="324"/>
      <c r="C18840" s="325"/>
      <c r="D18840" s="326"/>
      <c r="E18840" s="326"/>
      <c r="F18840" s="326"/>
      <c r="G18840" s="326"/>
      <c r="H18840" s="326"/>
      <c r="P18840" s="318"/>
      <c r="Q18840" s="318"/>
      <c r="R18840" s="318"/>
      <c r="S18840" s="318"/>
      <c r="T18840" s="318"/>
      <c r="U18840" s="318"/>
      <c r="V18840" s="318"/>
      <c r="W18840" s="318"/>
      <c r="X18840" s="318"/>
      <c r="Y18840" s="318"/>
      <c r="Z18840" s="318"/>
      <c r="AA18840" s="318"/>
      <c r="AB18840" s="318"/>
      <c r="AC18840" s="318"/>
      <c r="AD18840" s="318"/>
    </row>
    <row r="18841" spans="2:30" s="323" customFormat="1" ht="12" customHeight="1">
      <c r="B18841" s="324"/>
      <c r="C18841" s="325"/>
      <c r="D18841" s="326"/>
      <c r="E18841" s="326"/>
      <c r="F18841" s="326"/>
      <c r="G18841" s="326"/>
      <c r="H18841" s="326"/>
      <c r="P18841" s="318"/>
      <c r="Q18841" s="318"/>
      <c r="R18841" s="318"/>
      <c r="S18841" s="318"/>
      <c r="T18841" s="318"/>
      <c r="U18841" s="318"/>
      <c r="V18841" s="318"/>
      <c r="W18841" s="318"/>
      <c r="X18841" s="318"/>
      <c r="Y18841" s="318"/>
      <c r="Z18841" s="318"/>
      <c r="AA18841" s="318"/>
      <c r="AB18841" s="318"/>
      <c r="AC18841" s="318"/>
      <c r="AD18841" s="318"/>
    </row>
    <row r="18842" spans="2:30" s="323" customFormat="1" ht="12" customHeight="1">
      <c r="B18842" s="324"/>
      <c r="C18842" s="325"/>
      <c r="D18842" s="326"/>
      <c r="E18842" s="326"/>
      <c r="F18842" s="326"/>
      <c r="G18842" s="326"/>
      <c r="H18842" s="326"/>
      <c r="P18842" s="318"/>
      <c r="Q18842" s="318"/>
      <c r="R18842" s="318"/>
      <c r="S18842" s="318"/>
      <c r="T18842" s="318"/>
      <c r="U18842" s="318"/>
      <c r="V18842" s="318"/>
      <c r="W18842" s="318"/>
      <c r="X18842" s="318"/>
      <c r="Y18842" s="318"/>
      <c r="Z18842" s="318"/>
      <c r="AA18842" s="318"/>
      <c r="AB18842" s="318"/>
      <c r="AC18842" s="318"/>
      <c r="AD18842" s="318"/>
    </row>
    <row r="18843" spans="2:30" s="323" customFormat="1" ht="12" customHeight="1">
      <c r="B18843" s="324"/>
      <c r="C18843" s="325"/>
      <c r="D18843" s="326"/>
      <c r="E18843" s="326"/>
      <c r="F18843" s="326"/>
      <c r="G18843" s="326"/>
      <c r="H18843" s="326"/>
      <c r="P18843" s="318"/>
      <c r="Q18843" s="318"/>
      <c r="R18843" s="318"/>
      <c r="S18843" s="318"/>
      <c r="T18843" s="318"/>
      <c r="U18843" s="318"/>
      <c r="V18843" s="318"/>
      <c r="W18843" s="318"/>
      <c r="X18843" s="318"/>
      <c r="Y18843" s="318"/>
      <c r="Z18843" s="318"/>
      <c r="AA18843" s="318"/>
      <c r="AB18843" s="318"/>
      <c r="AC18843" s="318"/>
      <c r="AD18843" s="318"/>
    </row>
    <row r="18844" spans="2:30" s="323" customFormat="1" ht="12" customHeight="1">
      <c r="B18844" s="324"/>
      <c r="C18844" s="325"/>
      <c r="D18844" s="326"/>
      <c r="E18844" s="326"/>
      <c r="F18844" s="326"/>
      <c r="G18844" s="326"/>
      <c r="H18844" s="326"/>
      <c r="P18844" s="318"/>
      <c r="Q18844" s="318"/>
      <c r="R18844" s="318"/>
      <c r="S18844" s="318"/>
      <c r="T18844" s="318"/>
      <c r="U18844" s="318"/>
      <c r="V18844" s="318"/>
      <c r="W18844" s="318"/>
      <c r="X18844" s="318"/>
      <c r="Y18844" s="318"/>
      <c r="Z18844" s="318"/>
      <c r="AA18844" s="318"/>
      <c r="AB18844" s="318"/>
      <c r="AC18844" s="318"/>
      <c r="AD18844" s="318"/>
    </row>
    <row r="18845" spans="2:30" s="323" customFormat="1" ht="12" customHeight="1">
      <c r="B18845" s="324"/>
      <c r="C18845" s="325"/>
      <c r="D18845" s="326"/>
      <c r="E18845" s="326"/>
      <c r="F18845" s="326"/>
      <c r="G18845" s="326"/>
      <c r="H18845" s="326"/>
      <c r="P18845" s="318"/>
      <c r="Q18845" s="318"/>
      <c r="R18845" s="318"/>
      <c r="S18845" s="318"/>
      <c r="T18845" s="318"/>
      <c r="U18845" s="318"/>
      <c r="V18845" s="318"/>
      <c r="W18845" s="318"/>
      <c r="X18845" s="318"/>
      <c r="Y18845" s="318"/>
      <c r="Z18845" s="318"/>
      <c r="AA18845" s="318"/>
      <c r="AB18845" s="318"/>
      <c r="AC18845" s="318"/>
      <c r="AD18845" s="318"/>
    </row>
    <row r="18846" spans="2:30" s="323" customFormat="1" ht="12" customHeight="1">
      <c r="B18846" s="324"/>
      <c r="C18846" s="325"/>
      <c r="D18846" s="326"/>
      <c r="E18846" s="326"/>
      <c r="F18846" s="326"/>
      <c r="G18846" s="326"/>
      <c r="H18846" s="326"/>
      <c r="P18846" s="318"/>
      <c r="Q18846" s="318"/>
      <c r="R18846" s="318"/>
      <c r="S18846" s="318"/>
      <c r="T18846" s="318"/>
      <c r="U18846" s="318"/>
      <c r="V18846" s="318"/>
      <c r="W18846" s="318"/>
      <c r="X18846" s="318"/>
      <c r="Y18846" s="318"/>
      <c r="Z18846" s="318"/>
      <c r="AA18846" s="318"/>
      <c r="AB18846" s="318"/>
      <c r="AC18846" s="318"/>
      <c r="AD18846" s="318"/>
    </row>
    <row r="18847" spans="2:30" s="323" customFormat="1" ht="12" customHeight="1">
      <c r="B18847" s="324"/>
      <c r="C18847" s="325"/>
      <c r="D18847" s="326"/>
      <c r="E18847" s="326"/>
      <c r="F18847" s="326"/>
      <c r="G18847" s="326"/>
      <c r="H18847" s="326"/>
      <c r="P18847" s="318"/>
      <c r="Q18847" s="318"/>
      <c r="R18847" s="318"/>
      <c r="S18847" s="318"/>
      <c r="T18847" s="318"/>
      <c r="U18847" s="318"/>
      <c r="V18847" s="318"/>
      <c r="W18847" s="318"/>
      <c r="X18847" s="318"/>
      <c r="Y18847" s="318"/>
      <c r="Z18847" s="318"/>
      <c r="AA18847" s="318"/>
      <c r="AB18847" s="318"/>
      <c r="AC18847" s="318"/>
      <c r="AD18847" s="318"/>
    </row>
    <row r="18848" spans="2:30" s="323" customFormat="1" ht="12" customHeight="1">
      <c r="B18848" s="324"/>
      <c r="C18848" s="325"/>
      <c r="D18848" s="326"/>
      <c r="E18848" s="326"/>
      <c r="F18848" s="326"/>
      <c r="G18848" s="326"/>
      <c r="H18848" s="326"/>
      <c r="P18848" s="318"/>
      <c r="Q18848" s="318"/>
      <c r="R18848" s="318"/>
      <c r="S18848" s="318"/>
      <c r="T18848" s="318"/>
      <c r="U18848" s="318"/>
      <c r="V18848" s="318"/>
      <c r="W18848" s="318"/>
      <c r="X18848" s="318"/>
      <c r="Y18848" s="318"/>
      <c r="Z18848" s="318"/>
      <c r="AA18848" s="318"/>
      <c r="AB18848" s="318"/>
      <c r="AC18848" s="318"/>
      <c r="AD18848" s="318"/>
    </row>
    <row r="18849" spans="2:30" s="323" customFormat="1" ht="12" customHeight="1">
      <c r="B18849" s="324"/>
      <c r="C18849" s="325"/>
      <c r="D18849" s="326"/>
      <c r="E18849" s="326"/>
      <c r="F18849" s="326"/>
      <c r="G18849" s="326"/>
      <c r="H18849" s="326"/>
      <c r="P18849" s="318"/>
      <c r="Q18849" s="318"/>
      <c r="R18849" s="318"/>
      <c r="S18849" s="318"/>
      <c r="T18849" s="318"/>
      <c r="U18849" s="318"/>
      <c r="V18849" s="318"/>
      <c r="W18849" s="318"/>
      <c r="X18849" s="318"/>
      <c r="Y18849" s="318"/>
      <c r="Z18849" s="318"/>
      <c r="AA18849" s="318"/>
      <c r="AB18849" s="318"/>
      <c r="AC18849" s="318"/>
      <c r="AD18849" s="318"/>
    </row>
    <row r="18850" spans="2:30" s="323" customFormat="1" ht="12" customHeight="1">
      <c r="B18850" s="324"/>
      <c r="C18850" s="325"/>
      <c r="D18850" s="326"/>
      <c r="E18850" s="326"/>
      <c r="F18850" s="326"/>
      <c r="G18850" s="326"/>
      <c r="H18850" s="326"/>
      <c r="P18850" s="318"/>
      <c r="Q18850" s="318"/>
      <c r="R18850" s="318"/>
      <c r="S18850" s="318"/>
      <c r="T18850" s="318"/>
      <c r="U18850" s="318"/>
      <c r="V18850" s="318"/>
      <c r="W18850" s="318"/>
      <c r="X18850" s="318"/>
      <c r="Y18850" s="318"/>
      <c r="Z18850" s="318"/>
      <c r="AA18850" s="318"/>
      <c r="AB18850" s="318"/>
      <c r="AC18850" s="318"/>
      <c r="AD18850" s="318"/>
    </row>
    <row r="18851" spans="2:30" s="323" customFormat="1" ht="12" customHeight="1">
      <c r="B18851" s="324"/>
      <c r="C18851" s="325"/>
      <c r="D18851" s="326"/>
      <c r="E18851" s="326"/>
      <c r="F18851" s="326"/>
      <c r="G18851" s="326"/>
      <c r="H18851" s="326"/>
      <c r="P18851" s="318"/>
      <c r="Q18851" s="318"/>
      <c r="R18851" s="318"/>
      <c r="S18851" s="318"/>
      <c r="T18851" s="318"/>
      <c r="U18851" s="318"/>
      <c r="V18851" s="318"/>
      <c r="W18851" s="318"/>
      <c r="X18851" s="318"/>
      <c r="Y18851" s="318"/>
      <c r="Z18851" s="318"/>
      <c r="AA18851" s="318"/>
      <c r="AB18851" s="318"/>
      <c r="AC18851" s="318"/>
      <c r="AD18851" s="318"/>
    </row>
    <row r="18852" spans="2:30" s="323" customFormat="1" ht="12" customHeight="1">
      <c r="B18852" s="324"/>
      <c r="C18852" s="325"/>
      <c r="D18852" s="326"/>
      <c r="E18852" s="326"/>
      <c r="F18852" s="326"/>
      <c r="G18852" s="326"/>
      <c r="H18852" s="326"/>
      <c r="P18852" s="318"/>
      <c r="Q18852" s="318"/>
      <c r="R18852" s="318"/>
      <c r="S18852" s="318"/>
      <c r="T18852" s="318"/>
      <c r="U18852" s="318"/>
      <c r="V18852" s="318"/>
      <c r="W18852" s="318"/>
      <c r="X18852" s="318"/>
      <c r="Y18852" s="318"/>
      <c r="Z18852" s="318"/>
      <c r="AA18852" s="318"/>
      <c r="AB18852" s="318"/>
      <c r="AC18852" s="318"/>
      <c r="AD18852" s="318"/>
    </row>
    <row r="18853" spans="2:30" s="323" customFormat="1" ht="12" customHeight="1">
      <c r="B18853" s="324"/>
      <c r="C18853" s="325"/>
      <c r="D18853" s="326"/>
      <c r="E18853" s="326"/>
      <c r="F18853" s="326"/>
      <c r="G18853" s="326"/>
      <c r="H18853" s="326"/>
      <c r="P18853" s="318"/>
      <c r="Q18853" s="318"/>
      <c r="R18853" s="318"/>
      <c r="S18853" s="318"/>
      <c r="T18853" s="318"/>
      <c r="U18853" s="318"/>
      <c r="V18853" s="318"/>
      <c r="W18853" s="318"/>
      <c r="X18853" s="318"/>
      <c r="Y18853" s="318"/>
      <c r="Z18853" s="318"/>
      <c r="AA18853" s="318"/>
      <c r="AB18853" s="318"/>
      <c r="AC18853" s="318"/>
      <c r="AD18853" s="318"/>
    </row>
    <row r="18854" spans="2:30" s="323" customFormat="1" ht="12" customHeight="1">
      <c r="B18854" s="324"/>
      <c r="C18854" s="325"/>
      <c r="D18854" s="326"/>
      <c r="E18854" s="326"/>
      <c r="F18854" s="326"/>
      <c r="G18854" s="326"/>
      <c r="H18854" s="326"/>
      <c r="P18854" s="318"/>
      <c r="Q18854" s="318"/>
      <c r="R18854" s="318"/>
      <c r="S18854" s="318"/>
      <c r="T18854" s="318"/>
      <c r="U18854" s="318"/>
      <c r="V18854" s="318"/>
      <c r="W18854" s="318"/>
      <c r="X18854" s="318"/>
      <c r="Y18854" s="318"/>
      <c r="Z18854" s="318"/>
      <c r="AA18854" s="318"/>
      <c r="AB18854" s="318"/>
      <c r="AC18854" s="318"/>
      <c r="AD18854" s="318"/>
    </row>
    <row r="18855" spans="2:30" s="323" customFormat="1" ht="12" customHeight="1">
      <c r="B18855" s="324"/>
      <c r="C18855" s="325"/>
      <c r="D18855" s="326"/>
      <c r="E18855" s="326"/>
      <c r="F18855" s="326"/>
      <c r="G18855" s="326"/>
      <c r="H18855" s="326"/>
      <c r="P18855" s="318"/>
      <c r="Q18855" s="318"/>
      <c r="R18855" s="318"/>
      <c r="S18855" s="318"/>
      <c r="T18855" s="318"/>
      <c r="U18855" s="318"/>
      <c r="V18855" s="318"/>
      <c r="W18855" s="318"/>
      <c r="X18855" s="318"/>
      <c r="Y18855" s="318"/>
      <c r="Z18855" s="318"/>
      <c r="AA18855" s="318"/>
      <c r="AB18855" s="318"/>
      <c r="AC18855" s="318"/>
      <c r="AD18855" s="318"/>
    </row>
    <row r="18856" spans="2:30" s="323" customFormat="1" ht="12" customHeight="1">
      <c r="B18856" s="324"/>
      <c r="C18856" s="325"/>
      <c r="D18856" s="326"/>
      <c r="E18856" s="326"/>
      <c r="F18856" s="326"/>
      <c r="G18856" s="326"/>
      <c r="H18856" s="326"/>
      <c r="P18856" s="318"/>
      <c r="Q18856" s="318"/>
      <c r="R18856" s="318"/>
      <c r="S18856" s="318"/>
      <c r="T18856" s="318"/>
      <c r="U18856" s="318"/>
      <c r="V18856" s="318"/>
      <c r="W18856" s="318"/>
      <c r="X18856" s="318"/>
      <c r="Y18856" s="318"/>
      <c r="Z18856" s="318"/>
      <c r="AA18856" s="318"/>
      <c r="AB18856" s="318"/>
      <c r="AC18856" s="318"/>
      <c r="AD18856" s="318"/>
    </row>
    <row r="18857" spans="2:30" s="323" customFormat="1" ht="12" customHeight="1">
      <c r="B18857" s="324"/>
      <c r="C18857" s="325"/>
      <c r="D18857" s="326"/>
      <c r="E18857" s="326"/>
      <c r="F18857" s="326"/>
      <c r="G18857" s="326"/>
      <c r="H18857" s="326"/>
      <c r="P18857" s="318"/>
      <c r="Q18857" s="318"/>
      <c r="R18857" s="318"/>
      <c r="S18857" s="318"/>
      <c r="T18857" s="318"/>
      <c r="U18857" s="318"/>
      <c r="V18857" s="318"/>
      <c r="W18857" s="318"/>
      <c r="X18857" s="318"/>
      <c r="Y18857" s="318"/>
      <c r="Z18857" s="318"/>
      <c r="AA18857" s="318"/>
      <c r="AB18857" s="318"/>
      <c r="AC18857" s="318"/>
      <c r="AD18857" s="318"/>
    </row>
    <row r="18858" spans="2:30" s="323" customFormat="1" ht="12" customHeight="1">
      <c r="B18858" s="324"/>
      <c r="C18858" s="325"/>
      <c r="D18858" s="326"/>
      <c r="E18858" s="326"/>
      <c r="F18858" s="326"/>
      <c r="G18858" s="326"/>
      <c r="H18858" s="326"/>
      <c r="P18858" s="318"/>
      <c r="Q18858" s="318"/>
      <c r="R18858" s="318"/>
      <c r="S18858" s="318"/>
      <c r="T18858" s="318"/>
      <c r="U18858" s="318"/>
      <c r="V18858" s="318"/>
      <c r="W18858" s="318"/>
      <c r="X18858" s="318"/>
      <c r="Y18858" s="318"/>
      <c r="Z18858" s="318"/>
      <c r="AA18858" s="318"/>
      <c r="AB18858" s="318"/>
      <c r="AC18858" s="318"/>
      <c r="AD18858" s="318"/>
    </row>
    <row r="18859" spans="2:30" s="323" customFormat="1" ht="12" customHeight="1">
      <c r="B18859" s="324"/>
      <c r="C18859" s="325"/>
      <c r="D18859" s="326"/>
      <c r="E18859" s="326"/>
      <c r="F18859" s="326"/>
      <c r="G18859" s="326"/>
      <c r="H18859" s="326"/>
      <c r="P18859" s="318"/>
      <c r="Q18859" s="318"/>
      <c r="R18859" s="318"/>
      <c r="S18859" s="318"/>
      <c r="T18859" s="318"/>
      <c r="U18859" s="318"/>
      <c r="V18859" s="318"/>
      <c r="W18859" s="318"/>
      <c r="X18859" s="318"/>
      <c r="Y18859" s="318"/>
      <c r="Z18859" s="318"/>
      <c r="AA18859" s="318"/>
      <c r="AB18859" s="318"/>
      <c r="AC18859" s="318"/>
      <c r="AD18859" s="318"/>
    </row>
    <row r="18860" spans="2:30" s="323" customFormat="1" ht="12" customHeight="1">
      <c r="B18860" s="324"/>
      <c r="C18860" s="325"/>
      <c r="D18860" s="326"/>
      <c r="E18860" s="326"/>
      <c r="F18860" s="326"/>
      <c r="G18860" s="326"/>
      <c r="H18860" s="326"/>
      <c r="P18860" s="318"/>
      <c r="Q18860" s="318"/>
      <c r="R18860" s="318"/>
      <c r="S18860" s="318"/>
      <c r="T18860" s="318"/>
      <c r="U18860" s="318"/>
      <c r="V18860" s="318"/>
      <c r="W18860" s="318"/>
      <c r="X18860" s="318"/>
      <c r="Y18860" s="318"/>
      <c r="Z18860" s="318"/>
      <c r="AA18860" s="318"/>
      <c r="AB18860" s="318"/>
      <c r="AC18860" s="318"/>
      <c r="AD18860" s="318"/>
    </row>
    <row r="18861" spans="2:30" s="323" customFormat="1" ht="12" customHeight="1">
      <c r="B18861" s="324"/>
      <c r="C18861" s="325"/>
      <c r="D18861" s="326"/>
      <c r="E18861" s="326"/>
      <c r="F18861" s="326"/>
      <c r="G18861" s="326"/>
      <c r="H18861" s="326"/>
      <c r="P18861" s="318"/>
      <c r="Q18861" s="318"/>
      <c r="R18861" s="318"/>
      <c r="S18861" s="318"/>
      <c r="T18861" s="318"/>
      <c r="U18861" s="318"/>
      <c r="V18861" s="318"/>
      <c r="W18861" s="318"/>
      <c r="X18861" s="318"/>
      <c r="Y18861" s="318"/>
      <c r="Z18861" s="318"/>
      <c r="AA18861" s="318"/>
      <c r="AB18861" s="318"/>
      <c r="AC18861" s="318"/>
      <c r="AD18861" s="318"/>
    </row>
    <row r="18862" spans="2:30" s="323" customFormat="1" ht="12" customHeight="1">
      <c r="B18862" s="324"/>
      <c r="C18862" s="325"/>
      <c r="D18862" s="326"/>
      <c r="E18862" s="326"/>
      <c r="F18862" s="326"/>
      <c r="G18862" s="326"/>
      <c r="H18862" s="326"/>
      <c r="P18862" s="318"/>
      <c r="Q18862" s="318"/>
      <c r="R18862" s="318"/>
      <c r="S18862" s="318"/>
      <c r="T18862" s="318"/>
      <c r="U18862" s="318"/>
      <c r="V18862" s="318"/>
      <c r="W18862" s="318"/>
      <c r="X18862" s="318"/>
      <c r="Y18862" s="318"/>
      <c r="Z18862" s="318"/>
      <c r="AA18862" s="318"/>
      <c r="AB18862" s="318"/>
      <c r="AC18862" s="318"/>
      <c r="AD18862" s="318"/>
    </row>
    <row r="18863" spans="2:30" s="323" customFormat="1" ht="12" customHeight="1">
      <c r="B18863" s="324"/>
      <c r="C18863" s="325"/>
      <c r="D18863" s="326"/>
      <c r="E18863" s="326"/>
      <c r="F18863" s="326"/>
      <c r="G18863" s="326"/>
      <c r="H18863" s="326"/>
      <c r="P18863" s="318"/>
      <c r="Q18863" s="318"/>
      <c r="R18863" s="318"/>
      <c r="S18863" s="318"/>
      <c r="T18863" s="318"/>
      <c r="U18863" s="318"/>
      <c r="V18863" s="318"/>
      <c r="W18863" s="318"/>
      <c r="X18863" s="318"/>
      <c r="Y18863" s="318"/>
      <c r="Z18863" s="318"/>
      <c r="AA18863" s="318"/>
      <c r="AB18863" s="318"/>
      <c r="AC18863" s="318"/>
      <c r="AD18863" s="318"/>
    </row>
    <row r="18864" spans="2:30" s="323" customFormat="1" ht="12" customHeight="1">
      <c r="B18864" s="324"/>
      <c r="C18864" s="325"/>
      <c r="D18864" s="326"/>
      <c r="E18864" s="326"/>
      <c r="F18864" s="326"/>
      <c r="G18864" s="326"/>
      <c r="H18864" s="326"/>
      <c r="P18864" s="318"/>
      <c r="Q18864" s="318"/>
      <c r="R18864" s="318"/>
      <c r="S18864" s="318"/>
      <c r="T18864" s="318"/>
      <c r="U18864" s="318"/>
      <c r="V18864" s="318"/>
      <c r="W18864" s="318"/>
      <c r="X18864" s="318"/>
      <c r="Y18864" s="318"/>
      <c r="Z18864" s="318"/>
      <c r="AA18864" s="318"/>
      <c r="AB18864" s="318"/>
      <c r="AC18864" s="318"/>
      <c r="AD18864" s="318"/>
    </row>
    <row r="18865" spans="2:30" s="323" customFormat="1" ht="12" customHeight="1">
      <c r="B18865" s="324"/>
      <c r="C18865" s="325"/>
      <c r="D18865" s="326"/>
      <c r="E18865" s="326"/>
      <c r="F18865" s="326"/>
      <c r="G18865" s="326"/>
      <c r="H18865" s="326"/>
      <c r="P18865" s="318"/>
      <c r="Q18865" s="318"/>
      <c r="R18865" s="318"/>
      <c r="S18865" s="318"/>
      <c r="T18865" s="318"/>
      <c r="U18865" s="318"/>
      <c r="V18865" s="318"/>
      <c r="W18865" s="318"/>
      <c r="X18865" s="318"/>
      <c r="Y18865" s="318"/>
      <c r="Z18865" s="318"/>
      <c r="AA18865" s="318"/>
      <c r="AB18865" s="318"/>
      <c r="AC18865" s="318"/>
      <c r="AD18865" s="318"/>
    </row>
    <row r="18866" spans="2:30" s="323" customFormat="1" ht="12" customHeight="1">
      <c r="B18866" s="324"/>
      <c r="C18866" s="325"/>
      <c r="D18866" s="326"/>
      <c r="E18866" s="326"/>
      <c r="F18866" s="326"/>
      <c r="G18866" s="326"/>
      <c r="H18866" s="326"/>
      <c r="P18866" s="318"/>
      <c r="Q18866" s="318"/>
      <c r="R18866" s="318"/>
      <c r="S18866" s="318"/>
      <c r="T18866" s="318"/>
      <c r="U18866" s="318"/>
      <c r="V18866" s="318"/>
      <c r="W18866" s="318"/>
      <c r="X18866" s="318"/>
      <c r="Y18866" s="318"/>
      <c r="Z18866" s="318"/>
      <c r="AA18866" s="318"/>
      <c r="AB18866" s="318"/>
      <c r="AC18866" s="318"/>
      <c r="AD18866" s="318"/>
    </row>
    <row r="18867" spans="2:30" s="323" customFormat="1" ht="12" customHeight="1">
      <c r="B18867" s="324"/>
      <c r="C18867" s="325"/>
      <c r="D18867" s="326"/>
      <c r="E18867" s="326"/>
      <c r="F18867" s="326"/>
      <c r="G18867" s="326"/>
      <c r="H18867" s="326"/>
      <c r="P18867" s="318"/>
      <c r="Q18867" s="318"/>
      <c r="R18867" s="318"/>
      <c r="S18867" s="318"/>
      <c r="T18867" s="318"/>
      <c r="U18867" s="318"/>
      <c r="V18867" s="318"/>
      <c r="W18867" s="318"/>
      <c r="X18867" s="318"/>
      <c r="Y18867" s="318"/>
      <c r="Z18867" s="318"/>
      <c r="AA18867" s="318"/>
      <c r="AB18867" s="318"/>
      <c r="AC18867" s="318"/>
      <c r="AD18867" s="318"/>
    </row>
    <row r="18868" spans="2:30" s="323" customFormat="1" ht="12" customHeight="1">
      <c r="B18868" s="324"/>
      <c r="C18868" s="325"/>
      <c r="D18868" s="326"/>
      <c r="E18868" s="326"/>
      <c r="F18868" s="326"/>
      <c r="G18868" s="326"/>
      <c r="H18868" s="326"/>
      <c r="P18868" s="318"/>
      <c r="Q18868" s="318"/>
      <c r="R18868" s="318"/>
      <c r="S18868" s="318"/>
      <c r="T18868" s="318"/>
      <c r="U18868" s="318"/>
      <c r="V18868" s="318"/>
      <c r="W18868" s="318"/>
      <c r="X18868" s="318"/>
      <c r="Y18868" s="318"/>
      <c r="Z18868" s="318"/>
      <c r="AA18868" s="318"/>
      <c r="AB18868" s="318"/>
      <c r="AC18868" s="318"/>
      <c r="AD18868" s="318"/>
    </row>
    <row r="18869" spans="2:30" s="323" customFormat="1" ht="12" customHeight="1">
      <c r="B18869" s="324"/>
      <c r="C18869" s="325"/>
      <c r="D18869" s="326"/>
      <c r="E18869" s="326"/>
      <c r="F18869" s="326"/>
      <c r="G18869" s="326"/>
      <c r="H18869" s="326"/>
      <c r="P18869" s="318"/>
      <c r="Q18869" s="318"/>
      <c r="R18869" s="318"/>
      <c r="S18869" s="318"/>
      <c r="T18869" s="318"/>
      <c r="U18869" s="318"/>
      <c r="V18869" s="318"/>
      <c r="W18869" s="318"/>
      <c r="X18869" s="318"/>
      <c r="Y18869" s="318"/>
      <c r="Z18869" s="318"/>
      <c r="AA18869" s="318"/>
      <c r="AB18869" s="318"/>
      <c r="AC18869" s="318"/>
      <c r="AD18869" s="318"/>
    </row>
    <row r="18870" spans="2:30" s="323" customFormat="1" ht="12" customHeight="1">
      <c r="B18870" s="324"/>
      <c r="C18870" s="325"/>
      <c r="D18870" s="326"/>
      <c r="E18870" s="326"/>
      <c r="F18870" s="326"/>
      <c r="G18870" s="326"/>
      <c r="H18870" s="326"/>
      <c r="P18870" s="318"/>
      <c r="Q18870" s="318"/>
      <c r="R18870" s="318"/>
      <c r="S18870" s="318"/>
      <c r="T18870" s="318"/>
      <c r="U18870" s="318"/>
      <c r="V18870" s="318"/>
      <c r="W18870" s="318"/>
      <c r="X18870" s="318"/>
      <c r="Y18870" s="318"/>
      <c r="Z18870" s="318"/>
      <c r="AA18870" s="318"/>
      <c r="AB18870" s="318"/>
      <c r="AC18870" s="318"/>
      <c r="AD18870" s="318"/>
    </row>
    <row r="18871" spans="2:30" s="323" customFormat="1" ht="12" customHeight="1">
      <c r="B18871" s="324"/>
      <c r="C18871" s="325"/>
      <c r="D18871" s="326"/>
      <c r="E18871" s="326"/>
      <c r="F18871" s="326"/>
      <c r="G18871" s="326"/>
      <c r="H18871" s="326"/>
      <c r="P18871" s="318"/>
      <c r="Q18871" s="318"/>
      <c r="R18871" s="318"/>
      <c r="S18871" s="318"/>
      <c r="T18871" s="318"/>
      <c r="U18871" s="318"/>
      <c r="V18871" s="318"/>
      <c r="W18871" s="318"/>
      <c r="X18871" s="318"/>
      <c r="Y18871" s="318"/>
      <c r="Z18871" s="318"/>
      <c r="AA18871" s="318"/>
      <c r="AB18871" s="318"/>
      <c r="AC18871" s="318"/>
      <c r="AD18871" s="318"/>
    </row>
    <row r="18872" spans="2:30" s="323" customFormat="1" ht="12" customHeight="1">
      <c r="B18872" s="324"/>
      <c r="C18872" s="325"/>
      <c r="D18872" s="326"/>
      <c r="E18872" s="326"/>
      <c r="F18872" s="326"/>
      <c r="G18872" s="326"/>
      <c r="H18872" s="326"/>
      <c r="P18872" s="318"/>
      <c r="Q18872" s="318"/>
      <c r="R18872" s="318"/>
      <c r="S18872" s="318"/>
      <c r="T18872" s="318"/>
      <c r="U18872" s="318"/>
      <c r="V18872" s="318"/>
      <c r="W18872" s="318"/>
      <c r="X18872" s="318"/>
      <c r="Y18872" s="318"/>
      <c r="Z18872" s="318"/>
      <c r="AA18872" s="318"/>
      <c r="AB18872" s="318"/>
      <c r="AC18872" s="318"/>
      <c r="AD18872" s="318"/>
    </row>
    <row r="18873" spans="2:30" s="323" customFormat="1" ht="12" customHeight="1">
      <c r="B18873" s="324"/>
      <c r="C18873" s="325"/>
      <c r="D18873" s="326"/>
      <c r="E18873" s="326"/>
      <c r="F18873" s="326"/>
      <c r="G18873" s="326"/>
      <c r="H18873" s="326"/>
      <c r="P18873" s="318"/>
      <c r="Q18873" s="318"/>
      <c r="R18873" s="318"/>
      <c r="S18873" s="318"/>
      <c r="T18873" s="318"/>
      <c r="U18873" s="318"/>
      <c r="V18873" s="318"/>
      <c r="W18873" s="318"/>
      <c r="X18873" s="318"/>
      <c r="Y18873" s="318"/>
      <c r="Z18873" s="318"/>
      <c r="AA18873" s="318"/>
      <c r="AB18873" s="318"/>
      <c r="AC18873" s="318"/>
      <c r="AD18873" s="318"/>
    </row>
    <row r="18874" spans="2:30" s="323" customFormat="1" ht="12" customHeight="1">
      <c r="B18874" s="324"/>
      <c r="C18874" s="325"/>
      <c r="D18874" s="326"/>
      <c r="E18874" s="326"/>
      <c r="F18874" s="326"/>
      <c r="G18874" s="326"/>
      <c r="H18874" s="326"/>
      <c r="P18874" s="318"/>
      <c r="Q18874" s="318"/>
      <c r="R18874" s="318"/>
      <c r="S18874" s="318"/>
      <c r="T18874" s="318"/>
      <c r="U18874" s="318"/>
      <c r="V18874" s="318"/>
      <c r="W18874" s="318"/>
      <c r="X18874" s="318"/>
      <c r="Y18874" s="318"/>
      <c r="Z18874" s="318"/>
      <c r="AA18874" s="318"/>
      <c r="AB18874" s="318"/>
      <c r="AC18874" s="318"/>
      <c r="AD18874" s="318"/>
    </row>
    <row r="18875" spans="2:30" s="323" customFormat="1" ht="12" customHeight="1">
      <c r="B18875" s="324"/>
      <c r="C18875" s="325"/>
      <c r="D18875" s="326"/>
      <c r="E18875" s="326"/>
      <c r="F18875" s="326"/>
      <c r="G18875" s="326"/>
      <c r="H18875" s="326"/>
      <c r="P18875" s="318"/>
      <c r="Q18875" s="318"/>
      <c r="R18875" s="318"/>
      <c r="S18875" s="318"/>
      <c r="T18875" s="318"/>
      <c r="U18875" s="318"/>
      <c r="V18875" s="318"/>
      <c r="W18875" s="318"/>
      <c r="X18875" s="318"/>
      <c r="Y18875" s="318"/>
      <c r="Z18875" s="318"/>
      <c r="AA18875" s="318"/>
      <c r="AB18875" s="318"/>
      <c r="AC18875" s="318"/>
      <c r="AD18875" s="318"/>
    </row>
    <row r="18876" spans="2:30" s="323" customFormat="1" ht="12" customHeight="1">
      <c r="B18876" s="324"/>
      <c r="C18876" s="325"/>
      <c r="D18876" s="326"/>
      <c r="E18876" s="326"/>
      <c r="F18876" s="326"/>
      <c r="G18876" s="326"/>
      <c r="H18876" s="326"/>
      <c r="P18876" s="318"/>
      <c r="Q18876" s="318"/>
      <c r="R18876" s="318"/>
      <c r="S18876" s="318"/>
      <c r="T18876" s="318"/>
      <c r="U18876" s="318"/>
      <c r="V18876" s="318"/>
      <c r="W18876" s="318"/>
      <c r="X18876" s="318"/>
      <c r="Y18876" s="318"/>
      <c r="Z18876" s="318"/>
      <c r="AA18876" s="318"/>
      <c r="AB18876" s="318"/>
      <c r="AC18876" s="318"/>
      <c r="AD18876" s="318"/>
    </row>
    <row r="18877" spans="2:30" s="323" customFormat="1" ht="12" customHeight="1">
      <c r="B18877" s="324"/>
      <c r="C18877" s="325"/>
      <c r="D18877" s="326"/>
      <c r="E18877" s="326"/>
      <c r="F18877" s="326"/>
      <c r="G18877" s="326"/>
      <c r="H18877" s="326"/>
      <c r="P18877" s="318"/>
      <c r="Q18877" s="318"/>
      <c r="R18877" s="318"/>
      <c r="S18877" s="318"/>
      <c r="T18877" s="318"/>
      <c r="U18877" s="318"/>
      <c r="V18877" s="318"/>
      <c r="W18877" s="318"/>
      <c r="X18877" s="318"/>
      <c r="Y18877" s="318"/>
      <c r="Z18877" s="318"/>
      <c r="AA18877" s="318"/>
      <c r="AB18877" s="318"/>
      <c r="AC18877" s="318"/>
      <c r="AD18877" s="318"/>
    </row>
    <row r="18878" spans="2:30" s="323" customFormat="1" ht="12" customHeight="1">
      <c r="B18878" s="324"/>
      <c r="C18878" s="325"/>
      <c r="D18878" s="326"/>
      <c r="E18878" s="326"/>
      <c r="F18878" s="326"/>
      <c r="G18878" s="326"/>
      <c r="H18878" s="326"/>
      <c r="P18878" s="318"/>
      <c r="Q18878" s="318"/>
      <c r="R18878" s="318"/>
      <c r="S18878" s="318"/>
      <c r="T18878" s="318"/>
      <c r="U18878" s="318"/>
      <c r="V18878" s="318"/>
      <c r="W18878" s="318"/>
      <c r="X18878" s="318"/>
      <c r="Y18878" s="318"/>
      <c r="Z18878" s="318"/>
      <c r="AA18878" s="318"/>
      <c r="AB18878" s="318"/>
      <c r="AC18878" s="318"/>
      <c r="AD18878" s="318"/>
    </row>
    <row r="18879" spans="2:30" s="323" customFormat="1" ht="12" customHeight="1">
      <c r="B18879" s="324"/>
      <c r="C18879" s="325"/>
      <c r="D18879" s="326"/>
      <c r="E18879" s="326"/>
      <c r="F18879" s="326"/>
      <c r="G18879" s="326"/>
      <c r="H18879" s="326"/>
      <c r="P18879" s="318"/>
      <c r="Q18879" s="318"/>
      <c r="R18879" s="318"/>
      <c r="S18879" s="318"/>
      <c r="T18879" s="318"/>
      <c r="U18879" s="318"/>
      <c r="V18879" s="318"/>
      <c r="W18879" s="318"/>
      <c r="X18879" s="318"/>
      <c r="Y18879" s="318"/>
      <c r="Z18879" s="318"/>
      <c r="AA18879" s="318"/>
      <c r="AB18879" s="318"/>
      <c r="AC18879" s="318"/>
      <c r="AD18879" s="318"/>
    </row>
    <row r="18880" spans="2:30" s="323" customFormat="1" ht="12" customHeight="1">
      <c r="B18880" s="324"/>
      <c r="C18880" s="325"/>
      <c r="D18880" s="326"/>
      <c r="E18880" s="326"/>
      <c r="F18880" s="326"/>
      <c r="G18880" s="326"/>
      <c r="H18880" s="326"/>
      <c r="P18880" s="318"/>
      <c r="Q18880" s="318"/>
      <c r="R18880" s="318"/>
      <c r="S18880" s="318"/>
      <c r="T18880" s="318"/>
      <c r="U18880" s="318"/>
      <c r="V18880" s="318"/>
      <c r="W18880" s="318"/>
      <c r="X18880" s="318"/>
      <c r="Y18880" s="318"/>
      <c r="Z18880" s="318"/>
      <c r="AA18880" s="318"/>
      <c r="AB18880" s="318"/>
      <c r="AC18880" s="318"/>
      <c r="AD18880" s="318"/>
    </row>
    <row r="18881" spans="2:30" s="323" customFormat="1" ht="12" customHeight="1">
      <c r="B18881" s="324"/>
      <c r="C18881" s="325"/>
      <c r="D18881" s="326"/>
      <c r="E18881" s="326"/>
      <c r="F18881" s="326"/>
      <c r="G18881" s="326"/>
      <c r="H18881" s="326"/>
      <c r="P18881" s="318"/>
      <c r="Q18881" s="318"/>
      <c r="R18881" s="318"/>
      <c r="S18881" s="318"/>
      <c r="T18881" s="318"/>
      <c r="U18881" s="318"/>
      <c r="V18881" s="318"/>
      <c r="W18881" s="318"/>
      <c r="X18881" s="318"/>
      <c r="Y18881" s="318"/>
      <c r="Z18881" s="318"/>
      <c r="AA18881" s="318"/>
      <c r="AB18881" s="318"/>
      <c r="AC18881" s="318"/>
      <c r="AD18881" s="318"/>
    </row>
    <row r="18882" spans="2:30" s="323" customFormat="1" ht="12" customHeight="1">
      <c r="B18882" s="324"/>
      <c r="C18882" s="325"/>
      <c r="D18882" s="326"/>
      <c r="E18882" s="326"/>
      <c r="F18882" s="326"/>
      <c r="G18882" s="326"/>
      <c r="H18882" s="326"/>
      <c r="P18882" s="318"/>
      <c r="Q18882" s="318"/>
      <c r="R18882" s="318"/>
      <c r="S18882" s="318"/>
      <c r="T18882" s="318"/>
      <c r="U18882" s="318"/>
      <c r="V18882" s="318"/>
      <c r="W18882" s="318"/>
      <c r="X18882" s="318"/>
      <c r="Y18882" s="318"/>
      <c r="Z18882" s="318"/>
      <c r="AA18882" s="318"/>
      <c r="AB18882" s="318"/>
      <c r="AC18882" s="318"/>
      <c r="AD18882" s="318"/>
    </row>
    <row r="18883" spans="2:30" s="323" customFormat="1" ht="12" customHeight="1">
      <c r="B18883" s="324"/>
      <c r="C18883" s="325"/>
      <c r="D18883" s="326"/>
      <c r="E18883" s="326"/>
      <c r="F18883" s="326"/>
      <c r="G18883" s="326"/>
      <c r="H18883" s="326"/>
      <c r="P18883" s="318"/>
      <c r="Q18883" s="318"/>
      <c r="R18883" s="318"/>
      <c r="S18883" s="318"/>
      <c r="T18883" s="318"/>
      <c r="U18883" s="318"/>
      <c r="V18883" s="318"/>
      <c r="W18883" s="318"/>
      <c r="X18883" s="318"/>
      <c r="Y18883" s="318"/>
      <c r="Z18883" s="318"/>
      <c r="AA18883" s="318"/>
      <c r="AB18883" s="318"/>
      <c r="AC18883" s="318"/>
      <c r="AD18883" s="318"/>
    </row>
    <row r="18884" spans="2:30" s="323" customFormat="1" ht="12" customHeight="1">
      <c r="B18884" s="324"/>
      <c r="C18884" s="325"/>
      <c r="D18884" s="326"/>
      <c r="E18884" s="326"/>
      <c r="F18884" s="326"/>
      <c r="G18884" s="326"/>
      <c r="H18884" s="326"/>
      <c r="P18884" s="318"/>
      <c r="Q18884" s="318"/>
      <c r="R18884" s="318"/>
      <c r="S18884" s="318"/>
      <c r="T18884" s="318"/>
      <c r="U18884" s="318"/>
      <c r="V18884" s="318"/>
      <c r="W18884" s="318"/>
      <c r="X18884" s="318"/>
      <c r="Y18884" s="318"/>
      <c r="Z18884" s="318"/>
      <c r="AA18884" s="318"/>
      <c r="AB18884" s="318"/>
      <c r="AC18884" s="318"/>
      <c r="AD18884" s="318"/>
    </row>
    <row r="18885" spans="2:30" s="323" customFormat="1" ht="12" customHeight="1">
      <c r="B18885" s="324"/>
      <c r="C18885" s="325"/>
      <c r="D18885" s="326"/>
      <c r="E18885" s="326"/>
      <c r="F18885" s="326"/>
      <c r="G18885" s="326"/>
      <c r="H18885" s="326"/>
      <c r="P18885" s="318"/>
      <c r="Q18885" s="318"/>
      <c r="R18885" s="318"/>
      <c r="S18885" s="318"/>
      <c r="T18885" s="318"/>
      <c r="U18885" s="318"/>
      <c r="V18885" s="318"/>
      <c r="W18885" s="318"/>
      <c r="X18885" s="318"/>
      <c r="Y18885" s="318"/>
      <c r="Z18885" s="318"/>
      <c r="AA18885" s="318"/>
      <c r="AB18885" s="318"/>
      <c r="AC18885" s="318"/>
      <c r="AD18885" s="318"/>
    </row>
    <row r="18886" spans="2:30" s="323" customFormat="1" ht="12" customHeight="1">
      <c r="B18886" s="324"/>
      <c r="C18886" s="325"/>
      <c r="D18886" s="326"/>
      <c r="E18886" s="326"/>
      <c r="F18886" s="326"/>
      <c r="G18886" s="326"/>
      <c r="H18886" s="326"/>
      <c r="P18886" s="318"/>
      <c r="Q18886" s="318"/>
      <c r="R18886" s="318"/>
      <c r="S18886" s="318"/>
      <c r="T18886" s="318"/>
      <c r="U18886" s="318"/>
      <c r="V18886" s="318"/>
      <c r="W18886" s="318"/>
      <c r="X18886" s="318"/>
      <c r="Y18886" s="318"/>
      <c r="Z18886" s="318"/>
      <c r="AA18886" s="318"/>
      <c r="AB18886" s="318"/>
      <c r="AC18886" s="318"/>
      <c r="AD18886" s="318"/>
    </row>
    <row r="18887" spans="2:30" s="323" customFormat="1" ht="12" customHeight="1">
      <c r="B18887" s="324"/>
      <c r="C18887" s="325"/>
      <c r="D18887" s="326"/>
      <c r="E18887" s="326"/>
      <c r="F18887" s="326"/>
      <c r="G18887" s="326"/>
      <c r="H18887" s="326"/>
      <c r="P18887" s="318"/>
      <c r="Q18887" s="318"/>
      <c r="R18887" s="318"/>
      <c r="S18887" s="318"/>
      <c r="T18887" s="318"/>
      <c r="U18887" s="318"/>
      <c r="V18887" s="318"/>
      <c r="W18887" s="318"/>
      <c r="X18887" s="318"/>
      <c r="Y18887" s="318"/>
      <c r="Z18887" s="318"/>
      <c r="AA18887" s="318"/>
      <c r="AB18887" s="318"/>
      <c r="AC18887" s="318"/>
      <c r="AD18887" s="318"/>
    </row>
    <row r="18888" spans="2:30" s="323" customFormat="1" ht="12" customHeight="1">
      <c r="B18888" s="324"/>
      <c r="C18888" s="325"/>
      <c r="D18888" s="326"/>
      <c r="E18888" s="326"/>
      <c r="F18888" s="326"/>
      <c r="G18888" s="326"/>
      <c r="H18888" s="326"/>
      <c r="P18888" s="318"/>
      <c r="Q18888" s="318"/>
      <c r="R18888" s="318"/>
      <c r="S18888" s="318"/>
      <c r="T18888" s="318"/>
      <c r="U18888" s="318"/>
      <c r="V18888" s="318"/>
      <c r="W18888" s="318"/>
      <c r="X18888" s="318"/>
      <c r="Y18888" s="318"/>
      <c r="Z18888" s="318"/>
      <c r="AA18888" s="318"/>
      <c r="AB18888" s="318"/>
      <c r="AC18888" s="318"/>
      <c r="AD18888" s="318"/>
    </row>
    <row r="18889" spans="2:30" s="323" customFormat="1" ht="12" customHeight="1">
      <c r="B18889" s="324"/>
      <c r="C18889" s="325"/>
      <c r="D18889" s="326"/>
      <c r="E18889" s="326"/>
      <c r="F18889" s="326"/>
      <c r="G18889" s="326"/>
      <c r="H18889" s="326"/>
      <c r="P18889" s="318"/>
      <c r="Q18889" s="318"/>
      <c r="R18889" s="318"/>
      <c r="S18889" s="318"/>
      <c r="T18889" s="318"/>
      <c r="U18889" s="318"/>
      <c r="V18889" s="318"/>
      <c r="W18889" s="318"/>
      <c r="X18889" s="318"/>
      <c r="Y18889" s="318"/>
      <c r="Z18889" s="318"/>
      <c r="AA18889" s="318"/>
      <c r="AB18889" s="318"/>
      <c r="AC18889" s="318"/>
      <c r="AD18889" s="318"/>
    </row>
    <row r="18890" spans="2:30" s="323" customFormat="1" ht="12" customHeight="1">
      <c r="B18890" s="324"/>
      <c r="C18890" s="325"/>
      <c r="D18890" s="326"/>
      <c r="E18890" s="326"/>
      <c r="F18890" s="326"/>
      <c r="G18890" s="326"/>
      <c r="H18890" s="326"/>
      <c r="P18890" s="318"/>
      <c r="Q18890" s="318"/>
      <c r="R18890" s="318"/>
      <c r="S18890" s="318"/>
      <c r="T18890" s="318"/>
      <c r="U18890" s="318"/>
      <c r="V18890" s="318"/>
      <c r="W18890" s="318"/>
      <c r="X18890" s="318"/>
      <c r="Y18890" s="318"/>
      <c r="Z18890" s="318"/>
      <c r="AA18890" s="318"/>
      <c r="AB18890" s="318"/>
      <c r="AC18890" s="318"/>
      <c r="AD18890" s="318"/>
    </row>
    <row r="18891" spans="2:30" s="323" customFormat="1" ht="12" customHeight="1">
      <c r="B18891" s="324"/>
      <c r="C18891" s="325"/>
      <c r="D18891" s="326"/>
      <c r="E18891" s="326"/>
      <c r="F18891" s="326"/>
      <c r="G18891" s="326"/>
      <c r="H18891" s="326"/>
      <c r="P18891" s="318"/>
      <c r="Q18891" s="318"/>
      <c r="R18891" s="318"/>
      <c r="S18891" s="318"/>
      <c r="T18891" s="318"/>
      <c r="U18891" s="318"/>
      <c r="V18891" s="318"/>
      <c r="W18891" s="318"/>
      <c r="X18891" s="318"/>
      <c r="Y18891" s="318"/>
      <c r="Z18891" s="318"/>
      <c r="AA18891" s="318"/>
      <c r="AB18891" s="318"/>
      <c r="AC18891" s="318"/>
      <c r="AD18891" s="318"/>
    </row>
    <row r="18892" spans="2:30" s="323" customFormat="1" ht="12" customHeight="1">
      <c r="B18892" s="324"/>
      <c r="C18892" s="325"/>
      <c r="D18892" s="326"/>
      <c r="E18892" s="326"/>
      <c r="F18892" s="326"/>
      <c r="G18892" s="326"/>
      <c r="H18892" s="326"/>
      <c r="P18892" s="318"/>
      <c r="Q18892" s="318"/>
      <c r="R18892" s="318"/>
      <c r="S18892" s="318"/>
      <c r="T18892" s="318"/>
      <c r="U18892" s="318"/>
      <c r="V18892" s="318"/>
      <c r="W18892" s="318"/>
      <c r="X18892" s="318"/>
      <c r="Y18892" s="318"/>
      <c r="Z18892" s="318"/>
      <c r="AA18892" s="318"/>
      <c r="AB18892" s="318"/>
      <c r="AC18892" s="318"/>
      <c r="AD18892" s="318"/>
    </row>
    <row r="18893" spans="2:30" s="323" customFormat="1" ht="12" customHeight="1">
      <c r="B18893" s="324"/>
      <c r="C18893" s="325"/>
      <c r="D18893" s="326"/>
      <c r="E18893" s="326"/>
      <c r="F18893" s="326"/>
      <c r="G18893" s="326"/>
      <c r="H18893" s="326"/>
      <c r="P18893" s="318"/>
      <c r="Q18893" s="318"/>
      <c r="R18893" s="318"/>
      <c r="S18893" s="318"/>
      <c r="T18893" s="318"/>
      <c r="U18893" s="318"/>
      <c r="V18893" s="318"/>
      <c r="W18893" s="318"/>
      <c r="X18893" s="318"/>
      <c r="Y18893" s="318"/>
      <c r="Z18893" s="318"/>
      <c r="AA18893" s="318"/>
      <c r="AB18893" s="318"/>
      <c r="AC18893" s="318"/>
      <c r="AD18893" s="318"/>
    </row>
    <row r="18894" spans="2:30" s="323" customFormat="1" ht="12" customHeight="1">
      <c r="B18894" s="324"/>
      <c r="C18894" s="325"/>
      <c r="D18894" s="326"/>
      <c r="E18894" s="326"/>
      <c r="F18894" s="326"/>
      <c r="G18894" s="326"/>
      <c r="H18894" s="326"/>
      <c r="P18894" s="318"/>
      <c r="Q18894" s="318"/>
      <c r="R18894" s="318"/>
      <c r="S18894" s="318"/>
      <c r="T18894" s="318"/>
      <c r="U18894" s="318"/>
      <c r="V18894" s="318"/>
      <c r="W18894" s="318"/>
      <c r="X18894" s="318"/>
      <c r="Y18894" s="318"/>
      <c r="Z18894" s="318"/>
      <c r="AA18894" s="318"/>
      <c r="AB18894" s="318"/>
      <c r="AC18894" s="318"/>
      <c r="AD18894" s="318"/>
    </row>
    <row r="18895" spans="2:30" s="323" customFormat="1" ht="12" customHeight="1">
      <c r="B18895" s="324"/>
      <c r="C18895" s="325"/>
      <c r="D18895" s="326"/>
      <c r="E18895" s="326"/>
      <c r="F18895" s="326"/>
      <c r="G18895" s="326"/>
      <c r="H18895" s="326"/>
      <c r="P18895" s="318"/>
      <c r="Q18895" s="318"/>
      <c r="R18895" s="318"/>
      <c r="S18895" s="318"/>
      <c r="T18895" s="318"/>
      <c r="U18895" s="318"/>
      <c r="V18895" s="318"/>
      <c r="W18895" s="318"/>
      <c r="X18895" s="318"/>
      <c r="Y18895" s="318"/>
      <c r="Z18895" s="318"/>
      <c r="AA18895" s="318"/>
      <c r="AB18895" s="318"/>
      <c r="AC18895" s="318"/>
      <c r="AD18895" s="318"/>
    </row>
    <row r="18896" spans="2:30" s="323" customFormat="1" ht="12" customHeight="1">
      <c r="B18896" s="324"/>
      <c r="C18896" s="325"/>
      <c r="D18896" s="326"/>
      <c r="E18896" s="326"/>
      <c r="F18896" s="326"/>
      <c r="G18896" s="326"/>
      <c r="H18896" s="326"/>
      <c r="P18896" s="318"/>
      <c r="Q18896" s="318"/>
      <c r="R18896" s="318"/>
      <c r="S18896" s="318"/>
      <c r="T18896" s="318"/>
      <c r="U18896" s="318"/>
      <c r="V18896" s="318"/>
      <c r="W18896" s="318"/>
      <c r="X18896" s="318"/>
      <c r="Y18896" s="318"/>
      <c r="Z18896" s="318"/>
      <c r="AA18896" s="318"/>
      <c r="AB18896" s="318"/>
      <c r="AC18896" s="318"/>
      <c r="AD18896" s="318"/>
    </row>
    <row r="18897" spans="2:30" s="323" customFormat="1" ht="12" customHeight="1">
      <c r="B18897" s="324"/>
      <c r="C18897" s="325"/>
      <c r="D18897" s="326"/>
      <c r="E18897" s="326"/>
      <c r="F18897" s="326"/>
      <c r="G18897" s="326"/>
      <c r="H18897" s="326"/>
      <c r="P18897" s="318"/>
      <c r="Q18897" s="318"/>
      <c r="R18897" s="318"/>
      <c r="S18897" s="318"/>
      <c r="T18897" s="318"/>
      <c r="U18897" s="318"/>
      <c r="V18897" s="318"/>
      <c r="W18897" s="318"/>
      <c r="X18897" s="318"/>
      <c r="Y18897" s="318"/>
      <c r="Z18897" s="318"/>
      <c r="AA18897" s="318"/>
      <c r="AB18897" s="318"/>
      <c r="AC18897" s="318"/>
      <c r="AD18897" s="318"/>
    </row>
    <row r="18898" spans="2:30" s="323" customFormat="1" ht="12" customHeight="1">
      <c r="B18898" s="324"/>
      <c r="C18898" s="325"/>
      <c r="D18898" s="326"/>
      <c r="E18898" s="326"/>
      <c r="F18898" s="326"/>
      <c r="G18898" s="326"/>
      <c r="H18898" s="326"/>
      <c r="P18898" s="318"/>
      <c r="Q18898" s="318"/>
      <c r="R18898" s="318"/>
      <c r="S18898" s="318"/>
      <c r="T18898" s="318"/>
      <c r="U18898" s="318"/>
      <c r="V18898" s="318"/>
      <c r="W18898" s="318"/>
      <c r="X18898" s="318"/>
      <c r="Y18898" s="318"/>
      <c r="Z18898" s="318"/>
      <c r="AA18898" s="318"/>
      <c r="AB18898" s="318"/>
      <c r="AC18898" s="318"/>
      <c r="AD18898" s="318"/>
    </row>
    <row r="18899" spans="2:30" s="323" customFormat="1" ht="12" customHeight="1">
      <c r="B18899" s="324"/>
      <c r="C18899" s="325"/>
      <c r="D18899" s="326"/>
      <c r="E18899" s="326"/>
      <c r="F18899" s="326"/>
      <c r="G18899" s="326"/>
      <c r="H18899" s="326"/>
      <c r="P18899" s="318"/>
      <c r="Q18899" s="318"/>
      <c r="R18899" s="318"/>
      <c r="S18899" s="318"/>
      <c r="T18899" s="318"/>
      <c r="U18899" s="318"/>
      <c r="V18899" s="318"/>
      <c r="W18899" s="318"/>
      <c r="X18899" s="318"/>
      <c r="Y18899" s="318"/>
      <c r="Z18899" s="318"/>
      <c r="AA18899" s="318"/>
      <c r="AB18899" s="318"/>
      <c r="AC18899" s="318"/>
      <c r="AD18899" s="318"/>
    </row>
    <row r="18900" spans="2:30" s="323" customFormat="1" ht="12" customHeight="1">
      <c r="B18900" s="324"/>
      <c r="C18900" s="325"/>
      <c r="D18900" s="326"/>
      <c r="E18900" s="326"/>
      <c r="F18900" s="326"/>
      <c r="G18900" s="326"/>
      <c r="H18900" s="326"/>
      <c r="P18900" s="318"/>
      <c r="Q18900" s="318"/>
      <c r="R18900" s="318"/>
      <c r="S18900" s="318"/>
      <c r="T18900" s="318"/>
      <c r="U18900" s="318"/>
      <c r="V18900" s="318"/>
      <c r="W18900" s="318"/>
      <c r="X18900" s="318"/>
      <c r="Y18900" s="318"/>
      <c r="Z18900" s="318"/>
      <c r="AA18900" s="318"/>
      <c r="AB18900" s="318"/>
      <c r="AC18900" s="318"/>
      <c r="AD18900" s="318"/>
    </row>
    <row r="18901" spans="2:30" s="323" customFormat="1" ht="12" customHeight="1">
      <c r="B18901" s="324"/>
      <c r="C18901" s="325"/>
      <c r="D18901" s="326"/>
      <c r="E18901" s="326"/>
      <c r="F18901" s="326"/>
      <c r="G18901" s="326"/>
      <c r="H18901" s="326"/>
      <c r="P18901" s="318"/>
      <c r="Q18901" s="318"/>
      <c r="R18901" s="318"/>
      <c r="S18901" s="318"/>
      <c r="T18901" s="318"/>
      <c r="U18901" s="318"/>
      <c r="V18901" s="318"/>
      <c r="W18901" s="318"/>
      <c r="X18901" s="318"/>
      <c r="Y18901" s="318"/>
      <c r="Z18901" s="318"/>
      <c r="AA18901" s="318"/>
      <c r="AB18901" s="318"/>
      <c r="AC18901" s="318"/>
      <c r="AD18901" s="318"/>
    </row>
    <row r="18902" spans="2:30" s="323" customFormat="1" ht="12" customHeight="1">
      <c r="B18902" s="324"/>
      <c r="C18902" s="325"/>
      <c r="D18902" s="326"/>
      <c r="E18902" s="326"/>
      <c r="F18902" s="326"/>
      <c r="G18902" s="326"/>
      <c r="H18902" s="326"/>
      <c r="P18902" s="318"/>
      <c r="Q18902" s="318"/>
      <c r="R18902" s="318"/>
      <c r="S18902" s="318"/>
      <c r="T18902" s="318"/>
      <c r="U18902" s="318"/>
      <c r="V18902" s="318"/>
      <c r="W18902" s="318"/>
      <c r="X18902" s="318"/>
      <c r="Y18902" s="318"/>
      <c r="Z18902" s="318"/>
      <c r="AA18902" s="318"/>
      <c r="AB18902" s="318"/>
      <c r="AC18902" s="318"/>
      <c r="AD18902" s="318"/>
    </row>
    <row r="18903" spans="2:30" s="323" customFormat="1" ht="12" customHeight="1">
      <c r="B18903" s="324"/>
      <c r="C18903" s="325"/>
      <c r="D18903" s="326"/>
      <c r="E18903" s="326"/>
      <c r="F18903" s="326"/>
      <c r="G18903" s="326"/>
      <c r="H18903" s="326"/>
      <c r="P18903" s="318"/>
      <c r="Q18903" s="318"/>
      <c r="R18903" s="318"/>
      <c r="S18903" s="318"/>
      <c r="T18903" s="318"/>
      <c r="U18903" s="318"/>
      <c r="V18903" s="318"/>
      <c r="W18903" s="318"/>
      <c r="X18903" s="318"/>
      <c r="Y18903" s="318"/>
      <c r="Z18903" s="318"/>
      <c r="AA18903" s="318"/>
      <c r="AB18903" s="318"/>
      <c r="AC18903" s="318"/>
      <c r="AD18903" s="318"/>
    </row>
    <row r="18904" spans="2:30" s="323" customFormat="1" ht="12" customHeight="1">
      <c r="B18904" s="324"/>
      <c r="C18904" s="325"/>
      <c r="D18904" s="326"/>
      <c r="E18904" s="326"/>
      <c r="F18904" s="326"/>
      <c r="G18904" s="326"/>
      <c r="H18904" s="326"/>
      <c r="P18904" s="318"/>
      <c r="Q18904" s="318"/>
      <c r="R18904" s="318"/>
      <c r="S18904" s="318"/>
      <c r="T18904" s="318"/>
      <c r="U18904" s="318"/>
      <c r="V18904" s="318"/>
      <c r="W18904" s="318"/>
      <c r="X18904" s="318"/>
      <c r="Y18904" s="318"/>
      <c r="Z18904" s="318"/>
      <c r="AA18904" s="318"/>
      <c r="AB18904" s="318"/>
      <c r="AC18904" s="318"/>
      <c r="AD18904" s="318"/>
    </row>
    <row r="18905" spans="2:30" s="323" customFormat="1" ht="12" customHeight="1">
      <c r="B18905" s="324"/>
      <c r="C18905" s="325"/>
      <c r="D18905" s="326"/>
      <c r="E18905" s="326"/>
      <c r="F18905" s="326"/>
      <c r="G18905" s="326"/>
      <c r="H18905" s="326"/>
      <c r="P18905" s="318"/>
      <c r="Q18905" s="318"/>
      <c r="R18905" s="318"/>
      <c r="S18905" s="318"/>
      <c r="T18905" s="318"/>
      <c r="U18905" s="318"/>
      <c r="V18905" s="318"/>
      <c r="W18905" s="318"/>
      <c r="X18905" s="318"/>
      <c r="Y18905" s="318"/>
      <c r="Z18905" s="318"/>
      <c r="AA18905" s="318"/>
      <c r="AB18905" s="318"/>
      <c r="AC18905" s="318"/>
      <c r="AD18905" s="318"/>
    </row>
    <row r="18906" spans="2:30" s="323" customFormat="1" ht="12" customHeight="1">
      <c r="B18906" s="324"/>
      <c r="C18906" s="325"/>
      <c r="D18906" s="326"/>
      <c r="E18906" s="326"/>
      <c r="F18906" s="326"/>
      <c r="G18906" s="326"/>
      <c r="H18906" s="326"/>
      <c r="P18906" s="318"/>
      <c r="Q18906" s="318"/>
      <c r="R18906" s="318"/>
      <c r="S18906" s="318"/>
      <c r="T18906" s="318"/>
      <c r="U18906" s="318"/>
      <c r="V18906" s="318"/>
      <c r="W18906" s="318"/>
      <c r="X18906" s="318"/>
      <c r="Y18906" s="318"/>
      <c r="Z18906" s="318"/>
      <c r="AA18906" s="318"/>
      <c r="AB18906" s="318"/>
      <c r="AC18906" s="318"/>
      <c r="AD18906" s="318"/>
    </row>
    <row r="18907" spans="2:30" s="323" customFormat="1" ht="12" customHeight="1">
      <c r="B18907" s="324"/>
      <c r="C18907" s="325"/>
      <c r="D18907" s="326"/>
      <c r="E18907" s="326"/>
      <c r="F18907" s="326"/>
      <c r="G18907" s="326"/>
      <c r="H18907" s="326"/>
      <c r="P18907" s="318"/>
      <c r="Q18907" s="318"/>
      <c r="R18907" s="318"/>
      <c r="S18907" s="318"/>
      <c r="T18907" s="318"/>
      <c r="U18907" s="318"/>
      <c r="V18907" s="318"/>
      <c r="W18907" s="318"/>
      <c r="X18907" s="318"/>
      <c r="Y18907" s="318"/>
      <c r="Z18907" s="318"/>
      <c r="AA18907" s="318"/>
      <c r="AB18907" s="318"/>
      <c r="AC18907" s="318"/>
      <c r="AD18907" s="318"/>
    </row>
    <row r="18908" spans="2:30" s="323" customFormat="1" ht="12" customHeight="1">
      <c r="B18908" s="324"/>
      <c r="C18908" s="325"/>
      <c r="D18908" s="326"/>
      <c r="E18908" s="326"/>
      <c r="F18908" s="326"/>
      <c r="G18908" s="326"/>
      <c r="H18908" s="326"/>
      <c r="P18908" s="318"/>
      <c r="Q18908" s="318"/>
      <c r="R18908" s="318"/>
      <c r="S18908" s="318"/>
      <c r="T18908" s="318"/>
      <c r="U18908" s="318"/>
      <c r="V18908" s="318"/>
      <c r="W18908" s="318"/>
      <c r="X18908" s="318"/>
      <c r="Y18908" s="318"/>
      <c r="Z18908" s="318"/>
      <c r="AA18908" s="318"/>
      <c r="AB18908" s="318"/>
      <c r="AC18908" s="318"/>
      <c r="AD18908" s="318"/>
    </row>
    <row r="18909" spans="2:30" s="323" customFormat="1" ht="12" customHeight="1">
      <c r="B18909" s="324"/>
      <c r="C18909" s="325"/>
      <c r="D18909" s="326"/>
      <c r="E18909" s="326"/>
      <c r="F18909" s="326"/>
      <c r="G18909" s="326"/>
      <c r="H18909" s="326"/>
      <c r="P18909" s="318"/>
      <c r="Q18909" s="318"/>
      <c r="R18909" s="318"/>
      <c r="S18909" s="318"/>
      <c r="T18909" s="318"/>
      <c r="U18909" s="318"/>
      <c r="V18909" s="318"/>
      <c r="W18909" s="318"/>
      <c r="X18909" s="318"/>
      <c r="Y18909" s="318"/>
      <c r="Z18909" s="318"/>
      <c r="AA18909" s="318"/>
      <c r="AB18909" s="318"/>
      <c r="AC18909" s="318"/>
      <c r="AD18909" s="318"/>
    </row>
    <row r="18910" spans="2:30" s="323" customFormat="1" ht="12" customHeight="1">
      <c r="B18910" s="324"/>
      <c r="C18910" s="325"/>
      <c r="D18910" s="326"/>
      <c r="E18910" s="326"/>
      <c r="F18910" s="326"/>
      <c r="G18910" s="326"/>
      <c r="H18910" s="326"/>
      <c r="P18910" s="318"/>
      <c r="Q18910" s="318"/>
      <c r="R18910" s="318"/>
      <c r="S18910" s="318"/>
      <c r="T18910" s="318"/>
      <c r="U18910" s="318"/>
      <c r="V18910" s="318"/>
      <c r="W18910" s="318"/>
      <c r="X18910" s="318"/>
      <c r="Y18910" s="318"/>
      <c r="Z18910" s="318"/>
      <c r="AA18910" s="318"/>
      <c r="AB18910" s="318"/>
      <c r="AC18910" s="318"/>
      <c r="AD18910" s="318"/>
    </row>
    <row r="18911" spans="2:30" s="323" customFormat="1" ht="12" customHeight="1">
      <c r="B18911" s="324"/>
      <c r="C18911" s="325"/>
      <c r="D18911" s="326"/>
      <c r="E18911" s="326"/>
      <c r="F18911" s="326"/>
      <c r="G18911" s="326"/>
      <c r="H18911" s="326"/>
      <c r="P18911" s="318"/>
      <c r="Q18911" s="318"/>
      <c r="R18911" s="318"/>
      <c r="S18911" s="318"/>
      <c r="T18911" s="318"/>
      <c r="U18911" s="318"/>
      <c r="V18911" s="318"/>
      <c r="W18911" s="318"/>
      <c r="X18911" s="318"/>
      <c r="Y18911" s="318"/>
      <c r="Z18911" s="318"/>
      <c r="AA18911" s="318"/>
      <c r="AB18911" s="318"/>
      <c r="AC18911" s="318"/>
      <c r="AD18911" s="318"/>
    </row>
    <row r="18912" spans="2:30" s="323" customFormat="1" ht="12" customHeight="1">
      <c r="B18912" s="324"/>
      <c r="C18912" s="325"/>
      <c r="D18912" s="326"/>
      <c r="E18912" s="326"/>
      <c r="F18912" s="326"/>
      <c r="G18912" s="326"/>
      <c r="H18912" s="326"/>
      <c r="P18912" s="318"/>
      <c r="Q18912" s="318"/>
      <c r="R18912" s="318"/>
      <c r="S18912" s="318"/>
      <c r="T18912" s="318"/>
      <c r="U18912" s="318"/>
      <c r="V18912" s="318"/>
      <c r="W18912" s="318"/>
      <c r="X18912" s="318"/>
      <c r="Y18912" s="318"/>
      <c r="Z18912" s="318"/>
      <c r="AA18912" s="318"/>
      <c r="AB18912" s="318"/>
      <c r="AC18912" s="318"/>
      <c r="AD18912" s="318"/>
    </row>
    <row r="18913" spans="2:30" s="323" customFormat="1" ht="12" customHeight="1">
      <c r="B18913" s="324"/>
      <c r="C18913" s="325"/>
      <c r="D18913" s="326"/>
      <c r="E18913" s="326"/>
      <c r="F18913" s="326"/>
      <c r="G18913" s="326"/>
      <c r="H18913" s="326"/>
      <c r="P18913" s="318"/>
      <c r="Q18913" s="318"/>
      <c r="R18913" s="318"/>
      <c r="S18913" s="318"/>
      <c r="T18913" s="318"/>
      <c r="U18913" s="318"/>
      <c r="V18913" s="318"/>
      <c r="W18913" s="318"/>
      <c r="X18913" s="318"/>
      <c r="Y18913" s="318"/>
      <c r="Z18913" s="318"/>
      <c r="AA18913" s="318"/>
      <c r="AB18913" s="318"/>
      <c r="AC18913" s="318"/>
      <c r="AD18913" s="318"/>
    </row>
    <row r="18914" spans="2:30" s="323" customFormat="1" ht="12" customHeight="1">
      <c r="B18914" s="324"/>
      <c r="C18914" s="325"/>
      <c r="D18914" s="326"/>
      <c r="E18914" s="326"/>
      <c r="F18914" s="326"/>
      <c r="G18914" s="326"/>
      <c r="H18914" s="326"/>
      <c r="P18914" s="318"/>
      <c r="Q18914" s="318"/>
      <c r="R18914" s="318"/>
      <c r="S18914" s="318"/>
      <c r="T18914" s="318"/>
      <c r="U18914" s="318"/>
      <c r="V18914" s="318"/>
      <c r="W18914" s="318"/>
      <c r="X18914" s="318"/>
      <c r="Y18914" s="318"/>
      <c r="Z18914" s="318"/>
      <c r="AA18914" s="318"/>
      <c r="AB18914" s="318"/>
      <c r="AC18914" s="318"/>
      <c r="AD18914" s="318"/>
    </row>
    <row r="18915" spans="2:30" s="323" customFormat="1" ht="12" customHeight="1">
      <c r="B18915" s="324"/>
      <c r="C18915" s="325"/>
      <c r="D18915" s="326"/>
      <c r="E18915" s="326"/>
      <c r="F18915" s="326"/>
      <c r="G18915" s="326"/>
      <c r="H18915" s="326"/>
      <c r="P18915" s="318"/>
      <c r="Q18915" s="318"/>
      <c r="R18915" s="318"/>
      <c r="S18915" s="318"/>
      <c r="T18915" s="318"/>
      <c r="U18915" s="318"/>
      <c r="V18915" s="318"/>
      <c r="W18915" s="318"/>
      <c r="X18915" s="318"/>
      <c r="Y18915" s="318"/>
      <c r="Z18915" s="318"/>
      <c r="AA18915" s="318"/>
      <c r="AB18915" s="318"/>
      <c r="AC18915" s="318"/>
      <c r="AD18915" s="318"/>
    </row>
    <row r="18916" spans="2:30" s="323" customFormat="1" ht="12" customHeight="1">
      <c r="B18916" s="324"/>
      <c r="C18916" s="325"/>
      <c r="D18916" s="326"/>
      <c r="E18916" s="326"/>
      <c r="F18916" s="326"/>
      <c r="G18916" s="326"/>
      <c r="H18916" s="326"/>
      <c r="P18916" s="318"/>
      <c r="Q18916" s="318"/>
      <c r="R18916" s="318"/>
      <c r="S18916" s="318"/>
      <c r="T18916" s="318"/>
      <c r="U18916" s="318"/>
      <c r="V18916" s="318"/>
      <c r="W18916" s="318"/>
      <c r="X18916" s="318"/>
      <c r="Y18916" s="318"/>
      <c r="Z18916" s="318"/>
      <c r="AA18916" s="318"/>
      <c r="AB18916" s="318"/>
      <c r="AC18916" s="318"/>
      <c r="AD18916" s="318"/>
    </row>
    <row r="18917" spans="2:30" s="323" customFormat="1" ht="12" customHeight="1">
      <c r="B18917" s="324"/>
      <c r="C18917" s="325"/>
      <c r="D18917" s="326"/>
      <c r="E18917" s="326"/>
      <c r="F18917" s="326"/>
      <c r="G18917" s="326"/>
      <c r="H18917" s="326"/>
      <c r="P18917" s="318"/>
      <c r="Q18917" s="318"/>
      <c r="R18917" s="318"/>
      <c r="S18917" s="318"/>
      <c r="T18917" s="318"/>
      <c r="U18917" s="318"/>
      <c r="V18917" s="318"/>
      <c r="W18917" s="318"/>
      <c r="X18917" s="318"/>
      <c r="Y18917" s="318"/>
      <c r="Z18917" s="318"/>
      <c r="AA18917" s="318"/>
      <c r="AB18917" s="318"/>
      <c r="AC18917" s="318"/>
      <c r="AD18917" s="318"/>
    </row>
    <row r="18918" spans="2:30" s="323" customFormat="1" ht="12" customHeight="1">
      <c r="B18918" s="324"/>
      <c r="C18918" s="325"/>
      <c r="D18918" s="326"/>
      <c r="E18918" s="326"/>
      <c r="F18918" s="326"/>
      <c r="G18918" s="326"/>
      <c r="H18918" s="326"/>
      <c r="P18918" s="318"/>
      <c r="Q18918" s="318"/>
      <c r="R18918" s="318"/>
      <c r="S18918" s="318"/>
      <c r="T18918" s="318"/>
      <c r="U18918" s="318"/>
      <c r="V18918" s="318"/>
      <c r="W18918" s="318"/>
      <c r="X18918" s="318"/>
      <c r="Y18918" s="318"/>
      <c r="Z18918" s="318"/>
      <c r="AA18918" s="318"/>
      <c r="AB18918" s="318"/>
      <c r="AC18918" s="318"/>
      <c r="AD18918" s="318"/>
    </row>
    <row r="18919" spans="2:30" s="323" customFormat="1" ht="12" customHeight="1">
      <c r="B18919" s="324"/>
      <c r="C18919" s="325"/>
      <c r="D18919" s="326"/>
      <c r="E18919" s="326"/>
      <c r="F18919" s="326"/>
      <c r="G18919" s="326"/>
      <c r="H18919" s="326"/>
      <c r="P18919" s="318"/>
      <c r="Q18919" s="318"/>
      <c r="R18919" s="318"/>
      <c r="S18919" s="318"/>
      <c r="T18919" s="318"/>
      <c r="U18919" s="318"/>
      <c r="V18919" s="318"/>
      <c r="W18919" s="318"/>
      <c r="X18919" s="318"/>
      <c r="Y18919" s="318"/>
      <c r="Z18919" s="318"/>
      <c r="AA18919" s="318"/>
      <c r="AB18919" s="318"/>
      <c r="AC18919" s="318"/>
      <c r="AD18919" s="318"/>
    </row>
    <row r="18920" spans="2:30" s="323" customFormat="1" ht="12" customHeight="1">
      <c r="B18920" s="324"/>
      <c r="C18920" s="325"/>
      <c r="D18920" s="326"/>
      <c r="E18920" s="326"/>
      <c r="F18920" s="326"/>
      <c r="G18920" s="326"/>
      <c r="H18920" s="326"/>
      <c r="P18920" s="318"/>
      <c r="Q18920" s="318"/>
      <c r="R18920" s="318"/>
      <c r="S18920" s="318"/>
      <c r="T18920" s="318"/>
      <c r="U18920" s="318"/>
      <c r="V18920" s="318"/>
      <c r="W18920" s="318"/>
      <c r="X18920" s="318"/>
      <c r="Y18920" s="318"/>
      <c r="Z18920" s="318"/>
      <c r="AA18920" s="318"/>
      <c r="AB18920" s="318"/>
      <c r="AC18920" s="318"/>
      <c r="AD18920" s="318"/>
    </row>
    <row r="18921" spans="2:30" s="323" customFormat="1" ht="12" customHeight="1">
      <c r="B18921" s="324"/>
      <c r="C18921" s="325"/>
      <c r="D18921" s="326"/>
      <c r="E18921" s="326"/>
      <c r="F18921" s="326"/>
      <c r="G18921" s="326"/>
      <c r="H18921" s="326"/>
      <c r="P18921" s="318"/>
      <c r="Q18921" s="318"/>
      <c r="R18921" s="318"/>
      <c r="S18921" s="318"/>
      <c r="T18921" s="318"/>
      <c r="U18921" s="318"/>
      <c r="V18921" s="318"/>
      <c r="W18921" s="318"/>
      <c r="X18921" s="318"/>
      <c r="Y18921" s="318"/>
      <c r="Z18921" s="318"/>
      <c r="AA18921" s="318"/>
      <c r="AB18921" s="318"/>
      <c r="AC18921" s="318"/>
      <c r="AD18921" s="318"/>
    </row>
    <row r="18922" spans="2:30" s="323" customFormat="1" ht="12" customHeight="1">
      <c r="B18922" s="324"/>
      <c r="C18922" s="325"/>
      <c r="D18922" s="326"/>
      <c r="E18922" s="326"/>
      <c r="F18922" s="326"/>
      <c r="G18922" s="326"/>
      <c r="H18922" s="326"/>
      <c r="P18922" s="318"/>
      <c r="Q18922" s="318"/>
      <c r="R18922" s="318"/>
      <c r="S18922" s="318"/>
      <c r="T18922" s="318"/>
      <c r="U18922" s="318"/>
      <c r="V18922" s="318"/>
      <c r="W18922" s="318"/>
      <c r="X18922" s="318"/>
      <c r="Y18922" s="318"/>
      <c r="Z18922" s="318"/>
      <c r="AA18922" s="318"/>
      <c r="AB18922" s="318"/>
      <c r="AC18922" s="318"/>
      <c r="AD18922" s="318"/>
    </row>
    <row r="18923" spans="2:30" s="323" customFormat="1" ht="12" customHeight="1">
      <c r="B18923" s="324"/>
      <c r="C18923" s="325"/>
      <c r="D18923" s="326"/>
      <c r="E18923" s="326"/>
      <c r="F18923" s="326"/>
      <c r="G18923" s="326"/>
      <c r="H18923" s="326"/>
      <c r="P18923" s="318"/>
      <c r="Q18923" s="318"/>
      <c r="R18923" s="318"/>
      <c r="S18923" s="318"/>
      <c r="T18923" s="318"/>
      <c r="U18923" s="318"/>
      <c r="V18923" s="318"/>
      <c r="W18923" s="318"/>
      <c r="X18923" s="318"/>
      <c r="Y18923" s="318"/>
      <c r="Z18923" s="318"/>
      <c r="AA18923" s="318"/>
      <c r="AB18923" s="318"/>
      <c r="AC18923" s="318"/>
      <c r="AD18923" s="318"/>
    </row>
    <row r="18924" spans="2:30" s="323" customFormat="1" ht="12" customHeight="1">
      <c r="B18924" s="324"/>
      <c r="C18924" s="325"/>
      <c r="D18924" s="326"/>
      <c r="E18924" s="326"/>
      <c r="F18924" s="326"/>
      <c r="G18924" s="326"/>
      <c r="H18924" s="326"/>
      <c r="P18924" s="318"/>
      <c r="Q18924" s="318"/>
      <c r="R18924" s="318"/>
      <c r="S18924" s="318"/>
      <c r="T18924" s="318"/>
      <c r="U18924" s="318"/>
      <c r="V18924" s="318"/>
      <c r="W18924" s="318"/>
      <c r="X18924" s="318"/>
      <c r="Y18924" s="318"/>
      <c r="Z18924" s="318"/>
      <c r="AA18924" s="318"/>
      <c r="AB18924" s="318"/>
      <c r="AC18924" s="318"/>
      <c r="AD18924" s="318"/>
    </row>
    <row r="18925" spans="2:30" s="323" customFormat="1" ht="12" customHeight="1">
      <c r="B18925" s="324"/>
      <c r="C18925" s="325"/>
      <c r="D18925" s="326"/>
      <c r="E18925" s="326"/>
      <c r="F18925" s="326"/>
      <c r="G18925" s="326"/>
      <c r="H18925" s="326"/>
      <c r="P18925" s="318"/>
      <c r="Q18925" s="318"/>
      <c r="R18925" s="318"/>
      <c r="S18925" s="318"/>
      <c r="T18925" s="318"/>
      <c r="U18925" s="318"/>
      <c r="V18925" s="318"/>
      <c r="W18925" s="318"/>
      <c r="X18925" s="318"/>
      <c r="Y18925" s="318"/>
      <c r="Z18925" s="318"/>
      <c r="AA18925" s="318"/>
      <c r="AB18925" s="318"/>
      <c r="AC18925" s="318"/>
      <c r="AD18925" s="318"/>
    </row>
    <row r="18926" spans="2:30" s="323" customFormat="1" ht="12" customHeight="1">
      <c r="B18926" s="324"/>
      <c r="C18926" s="325"/>
      <c r="D18926" s="326"/>
      <c r="E18926" s="326"/>
      <c r="F18926" s="326"/>
      <c r="G18926" s="326"/>
      <c r="H18926" s="326"/>
      <c r="P18926" s="318"/>
      <c r="Q18926" s="318"/>
      <c r="R18926" s="318"/>
      <c r="S18926" s="318"/>
      <c r="T18926" s="318"/>
      <c r="U18926" s="318"/>
      <c r="V18926" s="318"/>
      <c r="W18926" s="318"/>
      <c r="X18926" s="318"/>
      <c r="Y18926" s="318"/>
      <c r="Z18926" s="318"/>
      <c r="AA18926" s="318"/>
      <c r="AB18926" s="318"/>
      <c r="AC18926" s="318"/>
      <c r="AD18926" s="318"/>
    </row>
    <row r="18927" spans="2:30" s="323" customFormat="1" ht="12" customHeight="1">
      <c r="B18927" s="324"/>
      <c r="C18927" s="325"/>
      <c r="D18927" s="326"/>
      <c r="E18927" s="326"/>
      <c r="F18927" s="326"/>
      <c r="G18927" s="326"/>
      <c r="H18927" s="326"/>
      <c r="P18927" s="318"/>
      <c r="Q18927" s="318"/>
      <c r="R18927" s="318"/>
      <c r="S18927" s="318"/>
      <c r="T18927" s="318"/>
      <c r="U18927" s="318"/>
      <c r="V18927" s="318"/>
      <c r="W18927" s="318"/>
      <c r="X18927" s="318"/>
      <c r="Y18927" s="318"/>
      <c r="Z18927" s="318"/>
      <c r="AA18927" s="318"/>
      <c r="AB18927" s="318"/>
      <c r="AC18927" s="318"/>
      <c r="AD18927" s="318"/>
    </row>
    <row r="18928" spans="2:30" s="323" customFormat="1" ht="12" customHeight="1">
      <c r="B18928" s="324"/>
      <c r="C18928" s="325"/>
      <c r="D18928" s="326"/>
      <c r="E18928" s="326"/>
      <c r="F18928" s="326"/>
      <c r="G18928" s="326"/>
      <c r="H18928" s="326"/>
      <c r="P18928" s="318"/>
      <c r="Q18928" s="318"/>
      <c r="R18928" s="318"/>
      <c r="S18928" s="318"/>
      <c r="T18928" s="318"/>
      <c r="U18928" s="318"/>
      <c r="V18928" s="318"/>
      <c r="W18928" s="318"/>
      <c r="X18928" s="318"/>
      <c r="Y18928" s="318"/>
      <c r="Z18928" s="318"/>
      <c r="AA18928" s="318"/>
      <c r="AB18928" s="318"/>
      <c r="AC18928" s="318"/>
      <c r="AD18928" s="318"/>
    </row>
    <row r="18929" spans="2:30" s="323" customFormat="1" ht="12" customHeight="1">
      <c r="B18929" s="324"/>
      <c r="C18929" s="325"/>
      <c r="D18929" s="326"/>
      <c r="E18929" s="326"/>
      <c r="F18929" s="326"/>
      <c r="G18929" s="326"/>
      <c r="H18929" s="326"/>
      <c r="P18929" s="318"/>
      <c r="Q18929" s="318"/>
      <c r="R18929" s="318"/>
      <c r="S18929" s="318"/>
      <c r="T18929" s="318"/>
      <c r="U18929" s="318"/>
      <c r="V18929" s="318"/>
      <c r="W18929" s="318"/>
      <c r="X18929" s="318"/>
      <c r="Y18929" s="318"/>
      <c r="Z18929" s="318"/>
      <c r="AA18929" s="318"/>
      <c r="AB18929" s="318"/>
      <c r="AC18929" s="318"/>
      <c r="AD18929" s="318"/>
    </row>
    <row r="18930" spans="2:30" s="323" customFormat="1" ht="12" customHeight="1">
      <c r="B18930" s="324"/>
      <c r="C18930" s="325"/>
      <c r="D18930" s="326"/>
      <c r="E18930" s="326"/>
      <c r="F18930" s="326"/>
      <c r="G18930" s="326"/>
      <c r="H18930" s="326"/>
      <c r="P18930" s="318"/>
      <c r="Q18930" s="318"/>
      <c r="R18930" s="318"/>
      <c r="S18930" s="318"/>
      <c r="T18930" s="318"/>
      <c r="U18930" s="318"/>
      <c r="V18930" s="318"/>
      <c r="W18930" s="318"/>
      <c r="X18930" s="318"/>
      <c r="Y18930" s="318"/>
      <c r="Z18930" s="318"/>
      <c r="AA18930" s="318"/>
      <c r="AB18930" s="318"/>
      <c r="AC18930" s="318"/>
      <c r="AD18930" s="318"/>
    </row>
    <row r="18931" spans="2:30" s="323" customFormat="1" ht="12" customHeight="1">
      <c r="B18931" s="324"/>
      <c r="C18931" s="325"/>
      <c r="D18931" s="326"/>
      <c r="E18931" s="326"/>
      <c r="F18931" s="326"/>
      <c r="G18931" s="326"/>
      <c r="H18931" s="326"/>
      <c r="P18931" s="318"/>
      <c r="Q18931" s="318"/>
      <c r="R18931" s="318"/>
      <c r="S18931" s="318"/>
      <c r="T18931" s="318"/>
      <c r="U18931" s="318"/>
      <c r="V18931" s="318"/>
      <c r="W18931" s="318"/>
      <c r="X18931" s="318"/>
      <c r="Y18931" s="318"/>
      <c r="Z18931" s="318"/>
      <c r="AA18931" s="318"/>
      <c r="AB18931" s="318"/>
      <c r="AC18931" s="318"/>
      <c r="AD18931" s="318"/>
    </row>
    <row r="18932" spans="2:30" s="323" customFormat="1" ht="12" customHeight="1">
      <c r="B18932" s="324"/>
      <c r="C18932" s="325"/>
      <c r="D18932" s="326"/>
      <c r="E18932" s="326"/>
      <c r="F18932" s="326"/>
      <c r="G18932" s="326"/>
      <c r="H18932" s="326"/>
      <c r="P18932" s="318"/>
      <c r="Q18932" s="318"/>
      <c r="R18932" s="318"/>
      <c r="S18932" s="318"/>
      <c r="T18932" s="318"/>
      <c r="U18932" s="318"/>
      <c r="V18932" s="318"/>
      <c r="W18932" s="318"/>
      <c r="X18932" s="318"/>
      <c r="Y18932" s="318"/>
      <c r="Z18932" s="318"/>
      <c r="AA18932" s="318"/>
      <c r="AB18932" s="318"/>
      <c r="AC18932" s="318"/>
      <c r="AD18932" s="318"/>
    </row>
    <row r="18933" spans="2:30" s="323" customFormat="1" ht="12" customHeight="1">
      <c r="B18933" s="324"/>
      <c r="C18933" s="325"/>
      <c r="D18933" s="326"/>
      <c r="E18933" s="326"/>
      <c r="F18933" s="326"/>
      <c r="G18933" s="326"/>
      <c r="H18933" s="326"/>
      <c r="P18933" s="318"/>
      <c r="Q18933" s="318"/>
      <c r="R18933" s="318"/>
      <c r="S18933" s="318"/>
      <c r="T18933" s="318"/>
      <c r="U18933" s="318"/>
      <c r="V18933" s="318"/>
      <c r="W18933" s="318"/>
      <c r="X18933" s="318"/>
      <c r="Y18933" s="318"/>
      <c r="Z18933" s="318"/>
      <c r="AA18933" s="318"/>
      <c r="AB18933" s="318"/>
      <c r="AC18933" s="318"/>
      <c r="AD18933" s="318"/>
    </row>
    <row r="18934" spans="2:30" s="323" customFormat="1" ht="12" customHeight="1">
      <c r="B18934" s="324"/>
      <c r="C18934" s="325"/>
      <c r="D18934" s="326"/>
      <c r="E18934" s="326"/>
      <c r="F18934" s="326"/>
      <c r="G18934" s="326"/>
      <c r="H18934" s="326"/>
      <c r="P18934" s="318"/>
      <c r="Q18934" s="318"/>
      <c r="R18934" s="318"/>
      <c r="S18934" s="318"/>
      <c r="T18934" s="318"/>
      <c r="U18934" s="318"/>
      <c r="V18934" s="318"/>
      <c r="W18934" s="318"/>
      <c r="X18934" s="318"/>
      <c r="Y18934" s="318"/>
      <c r="Z18934" s="318"/>
      <c r="AA18934" s="318"/>
      <c r="AB18934" s="318"/>
      <c r="AC18934" s="318"/>
      <c r="AD18934" s="318"/>
    </row>
    <row r="18935" spans="2:30" s="323" customFormat="1" ht="12" customHeight="1">
      <c r="B18935" s="324"/>
      <c r="C18935" s="325"/>
      <c r="D18935" s="326"/>
      <c r="E18935" s="326"/>
      <c r="F18935" s="326"/>
      <c r="G18935" s="326"/>
      <c r="H18935" s="326"/>
      <c r="P18935" s="318"/>
      <c r="Q18935" s="318"/>
      <c r="R18935" s="318"/>
      <c r="S18935" s="318"/>
      <c r="T18935" s="318"/>
      <c r="U18935" s="318"/>
      <c r="V18935" s="318"/>
      <c r="W18935" s="318"/>
      <c r="X18935" s="318"/>
      <c r="Y18935" s="318"/>
      <c r="Z18935" s="318"/>
      <c r="AA18935" s="318"/>
      <c r="AB18935" s="318"/>
      <c r="AC18935" s="318"/>
      <c r="AD18935" s="318"/>
    </row>
    <row r="18936" spans="2:30" s="323" customFormat="1" ht="12" customHeight="1">
      <c r="B18936" s="324"/>
      <c r="C18936" s="325"/>
      <c r="D18936" s="326"/>
      <c r="E18936" s="326"/>
      <c r="F18936" s="326"/>
      <c r="G18936" s="326"/>
      <c r="H18936" s="326"/>
      <c r="P18936" s="318"/>
      <c r="Q18936" s="318"/>
      <c r="R18936" s="318"/>
      <c r="S18936" s="318"/>
      <c r="T18936" s="318"/>
      <c r="U18936" s="318"/>
      <c r="V18936" s="318"/>
      <c r="W18936" s="318"/>
      <c r="X18936" s="318"/>
      <c r="Y18936" s="318"/>
      <c r="Z18936" s="318"/>
      <c r="AA18936" s="318"/>
      <c r="AB18936" s="318"/>
      <c r="AC18936" s="318"/>
      <c r="AD18936" s="318"/>
    </row>
    <row r="18937" spans="2:30" s="323" customFormat="1" ht="12" customHeight="1">
      <c r="B18937" s="324"/>
      <c r="C18937" s="325"/>
      <c r="D18937" s="326"/>
      <c r="E18937" s="326"/>
      <c r="F18937" s="326"/>
      <c r="G18937" s="326"/>
      <c r="H18937" s="326"/>
      <c r="P18937" s="318"/>
      <c r="Q18937" s="318"/>
      <c r="R18937" s="318"/>
      <c r="S18937" s="318"/>
      <c r="T18937" s="318"/>
      <c r="U18937" s="318"/>
      <c r="V18937" s="318"/>
      <c r="W18937" s="318"/>
      <c r="X18937" s="318"/>
      <c r="Y18937" s="318"/>
      <c r="Z18937" s="318"/>
      <c r="AA18937" s="318"/>
      <c r="AB18937" s="318"/>
      <c r="AC18937" s="318"/>
      <c r="AD18937" s="318"/>
    </row>
    <row r="18938" spans="2:30" s="323" customFormat="1" ht="12" customHeight="1">
      <c r="B18938" s="324"/>
      <c r="C18938" s="325"/>
      <c r="D18938" s="326"/>
      <c r="E18938" s="326"/>
      <c r="F18938" s="326"/>
      <c r="G18938" s="326"/>
      <c r="H18938" s="326"/>
      <c r="P18938" s="318"/>
      <c r="Q18938" s="318"/>
      <c r="R18938" s="318"/>
      <c r="S18938" s="318"/>
      <c r="T18938" s="318"/>
      <c r="U18938" s="318"/>
      <c r="V18938" s="318"/>
      <c r="W18938" s="318"/>
      <c r="X18938" s="318"/>
      <c r="Y18938" s="318"/>
      <c r="Z18938" s="318"/>
      <c r="AA18938" s="318"/>
      <c r="AB18938" s="318"/>
      <c r="AC18938" s="318"/>
      <c r="AD18938" s="318"/>
    </row>
    <row r="18939" spans="2:30" s="323" customFormat="1" ht="12" customHeight="1">
      <c r="B18939" s="324"/>
      <c r="C18939" s="325"/>
      <c r="D18939" s="326"/>
      <c r="E18939" s="326"/>
      <c r="F18939" s="326"/>
      <c r="G18939" s="326"/>
      <c r="H18939" s="326"/>
      <c r="P18939" s="318"/>
      <c r="Q18939" s="318"/>
      <c r="R18939" s="318"/>
      <c r="S18939" s="318"/>
      <c r="T18939" s="318"/>
      <c r="U18939" s="318"/>
      <c r="V18939" s="318"/>
      <c r="W18939" s="318"/>
      <c r="X18939" s="318"/>
      <c r="Y18939" s="318"/>
      <c r="Z18939" s="318"/>
      <c r="AA18939" s="318"/>
      <c r="AB18939" s="318"/>
      <c r="AC18939" s="318"/>
      <c r="AD18939" s="318"/>
    </row>
    <row r="18940" spans="2:30" s="323" customFormat="1" ht="12" customHeight="1">
      <c r="B18940" s="324"/>
      <c r="C18940" s="325"/>
      <c r="D18940" s="326"/>
      <c r="E18940" s="326"/>
      <c r="F18940" s="326"/>
      <c r="G18940" s="326"/>
      <c r="H18940" s="326"/>
      <c r="P18940" s="318"/>
      <c r="Q18940" s="318"/>
      <c r="R18940" s="318"/>
      <c r="S18940" s="318"/>
      <c r="T18940" s="318"/>
      <c r="U18940" s="318"/>
      <c r="V18940" s="318"/>
      <c r="W18940" s="318"/>
      <c r="X18940" s="318"/>
      <c r="Y18940" s="318"/>
      <c r="Z18940" s="318"/>
      <c r="AA18940" s="318"/>
      <c r="AB18940" s="318"/>
      <c r="AC18940" s="318"/>
      <c r="AD18940" s="318"/>
    </row>
    <row r="18941" spans="2:30" s="323" customFormat="1" ht="12" customHeight="1">
      <c r="B18941" s="324"/>
      <c r="C18941" s="325"/>
      <c r="D18941" s="326"/>
      <c r="E18941" s="326"/>
      <c r="F18941" s="326"/>
      <c r="G18941" s="326"/>
      <c r="H18941" s="326"/>
      <c r="P18941" s="318"/>
      <c r="Q18941" s="318"/>
      <c r="R18941" s="318"/>
      <c r="S18941" s="318"/>
      <c r="T18941" s="318"/>
      <c r="U18941" s="318"/>
      <c r="V18941" s="318"/>
      <c r="W18941" s="318"/>
      <c r="X18941" s="318"/>
      <c r="Y18941" s="318"/>
      <c r="Z18941" s="318"/>
      <c r="AA18941" s="318"/>
      <c r="AB18941" s="318"/>
      <c r="AC18941" s="318"/>
      <c r="AD18941" s="318"/>
    </row>
    <row r="18942" spans="2:30" s="323" customFormat="1" ht="12" customHeight="1">
      <c r="B18942" s="324"/>
      <c r="C18942" s="325"/>
      <c r="D18942" s="326"/>
      <c r="E18942" s="326"/>
      <c r="F18942" s="326"/>
      <c r="G18942" s="326"/>
      <c r="H18942" s="326"/>
      <c r="P18942" s="318"/>
      <c r="Q18942" s="318"/>
      <c r="R18942" s="318"/>
      <c r="S18942" s="318"/>
      <c r="T18942" s="318"/>
      <c r="U18942" s="318"/>
      <c r="V18942" s="318"/>
      <c r="W18942" s="318"/>
      <c r="X18942" s="318"/>
      <c r="Y18942" s="318"/>
      <c r="Z18942" s="318"/>
      <c r="AA18942" s="318"/>
      <c r="AB18942" s="318"/>
      <c r="AC18942" s="318"/>
      <c r="AD18942" s="318"/>
    </row>
    <row r="18943" spans="2:30" s="323" customFormat="1" ht="12" customHeight="1">
      <c r="B18943" s="324"/>
      <c r="C18943" s="325"/>
      <c r="D18943" s="326"/>
      <c r="E18943" s="326"/>
      <c r="F18943" s="326"/>
      <c r="G18943" s="326"/>
      <c r="H18943" s="326"/>
      <c r="P18943" s="318"/>
      <c r="Q18943" s="318"/>
      <c r="R18943" s="318"/>
      <c r="S18943" s="318"/>
      <c r="T18943" s="318"/>
      <c r="U18943" s="318"/>
      <c r="V18943" s="318"/>
      <c r="W18943" s="318"/>
      <c r="X18943" s="318"/>
      <c r="Y18943" s="318"/>
      <c r="Z18943" s="318"/>
      <c r="AA18943" s="318"/>
      <c r="AB18943" s="318"/>
      <c r="AC18943" s="318"/>
      <c r="AD18943" s="318"/>
    </row>
    <row r="18944" spans="2:30" s="323" customFormat="1" ht="12" customHeight="1">
      <c r="B18944" s="324"/>
      <c r="C18944" s="325"/>
      <c r="D18944" s="326"/>
      <c r="E18944" s="326"/>
      <c r="F18944" s="326"/>
      <c r="G18944" s="326"/>
      <c r="H18944" s="326"/>
      <c r="P18944" s="318"/>
      <c r="Q18944" s="318"/>
      <c r="R18944" s="318"/>
      <c r="S18944" s="318"/>
      <c r="T18944" s="318"/>
      <c r="U18944" s="318"/>
      <c r="V18944" s="318"/>
      <c r="W18944" s="318"/>
      <c r="X18944" s="318"/>
      <c r="Y18944" s="318"/>
      <c r="Z18944" s="318"/>
      <c r="AA18944" s="318"/>
      <c r="AB18944" s="318"/>
      <c r="AC18944" s="318"/>
      <c r="AD18944" s="318"/>
    </row>
    <row r="18945" spans="2:30" s="323" customFormat="1" ht="12" customHeight="1">
      <c r="B18945" s="324"/>
      <c r="C18945" s="325"/>
      <c r="D18945" s="326"/>
      <c r="E18945" s="326"/>
      <c r="F18945" s="326"/>
      <c r="G18945" s="326"/>
      <c r="H18945" s="326"/>
      <c r="P18945" s="318"/>
      <c r="Q18945" s="318"/>
      <c r="R18945" s="318"/>
      <c r="S18945" s="318"/>
      <c r="T18945" s="318"/>
      <c r="U18945" s="318"/>
      <c r="V18945" s="318"/>
      <c r="W18945" s="318"/>
      <c r="X18945" s="318"/>
      <c r="Y18945" s="318"/>
      <c r="Z18945" s="318"/>
      <c r="AA18945" s="318"/>
      <c r="AB18945" s="318"/>
      <c r="AC18945" s="318"/>
      <c r="AD18945" s="318"/>
    </row>
    <row r="18946" spans="2:30" s="323" customFormat="1" ht="12" customHeight="1">
      <c r="B18946" s="324"/>
      <c r="C18946" s="325"/>
      <c r="D18946" s="326"/>
      <c r="E18946" s="326"/>
      <c r="F18946" s="326"/>
      <c r="G18946" s="326"/>
      <c r="H18946" s="326"/>
      <c r="P18946" s="318"/>
      <c r="Q18946" s="318"/>
      <c r="R18946" s="318"/>
      <c r="S18946" s="318"/>
      <c r="T18946" s="318"/>
      <c r="U18946" s="318"/>
      <c r="V18946" s="318"/>
      <c r="W18946" s="318"/>
      <c r="X18946" s="318"/>
      <c r="Y18946" s="318"/>
      <c r="Z18946" s="318"/>
      <c r="AA18946" s="318"/>
      <c r="AB18946" s="318"/>
      <c r="AC18946" s="318"/>
      <c r="AD18946" s="318"/>
    </row>
    <row r="18947" spans="2:30" s="323" customFormat="1" ht="12" customHeight="1">
      <c r="B18947" s="324"/>
      <c r="C18947" s="325"/>
      <c r="D18947" s="326"/>
      <c r="E18947" s="326"/>
      <c r="F18947" s="326"/>
      <c r="G18947" s="326"/>
      <c r="H18947" s="326"/>
      <c r="P18947" s="318"/>
      <c r="Q18947" s="318"/>
      <c r="R18947" s="318"/>
      <c r="S18947" s="318"/>
      <c r="T18947" s="318"/>
      <c r="U18947" s="318"/>
      <c r="V18947" s="318"/>
      <c r="W18947" s="318"/>
      <c r="X18947" s="318"/>
      <c r="Y18947" s="318"/>
      <c r="Z18947" s="318"/>
      <c r="AA18947" s="318"/>
      <c r="AB18947" s="318"/>
      <c r="AC18947" s="318"/>
      <c r="AD18947" s="318"/>
    </row>
    <row r="18948" spans="2:30" s="323" customFormat="1" ht="12" customHeight="1">
      <c r="B18948" s="324"/>
      <c r="C18948" s="325"/>
      <c r="D18948" s="326"/>
      <c r="E18948" s="326"/>
      <c r="F18948" s="326"/>
      <c r="G18948" s="326"/>
      <c r="H18948" s="326"/>
      <c r="P18948" s="318"/>
      <c r="Q18948" s="318"/>
      <c r="R18948" s="318"/>
      <c r="S18948" s="318"/>
      <c r="T18948" s="318"/>
      <c r="U18948" s="318"/>
      <c r="V18948" s="318"/>
      <c r="W18948" s="318"/>
      <c r="X18948" s="318"/>
      <c r="Y18948" s="318"/>
      <c r="Z18948" s="318"/>
      <c r="AA18948" s="318"/>
      <c r="AB18948" s="318"/>
      <c r="AC18948" s="318"/>
      <c r="AD18948" s="318"/>
    </row>
    <row r="18949" spans="2:30" s="323" customFormat="1" ht="12" customHeight="1">
      <c r="B18949" s="324"/>
      <c r="C18949" s="325"/>
      <c r="D18949" s="326"/>
      <c r="E18949" s="326"/>
      <c r="F18949" s="326"/>
      <c r="G18949" s="326"/>
      <c r="H18949" s="326"/>
      <c r="P18949" s="318"/>
      <c r="Q18949" s="318"/>
      <c r="R18949" s="318"/>
      <c r="S18949" s="318"/>
      <c r="T18949" s="318"/>
      <c r="U18949" s="318"/>
      <c r="V18949" s="318"/>
      <c r="W18949" s="318"/>
      <c r="X18949" s="318"/>
      <c r="Y18949" s="318"/>
      <c r="Z18949" s="318"/>
      <c r="AA18949" s="318"/>
      <c r="AB18949" s="318"/>
      <c r="AC18949" s="318"/>
      <c r="AD18949" s="318"/>
    </row>
    <row r="18950" spans="2:30" s="323" customFormat="1" ht="12" customHeight="1">
      <c r="B18950" s="324"/>
      <c r="C18950" s="325"/>
      <c r="D18950" s="326"/>
      <c r="E18950" s="326"/>
      <c r="F18950" s="326"/>
      <c r="G18950" s="326"/>
      <c r="H18950" s="326"/>
      <c r="P18950" s="318"/>
      <c r="Q18950" s="318"/>
      <c r="R18950" s="318"/>
      <c r="S18950" s="318"/>
      <c r="T18950" s="318"/>
      <c r="U18950" s="318"/>
      <c r="V18950" s="318"/>
      <c r="W18950" s="318"/>
      <c r="X18950" s="318"/>
      <c r="Y18950" s="318"/>
      <c r="Z18950" s="318"/>
      <c r="AA18950" s="318"/>
      <c r="AB18950" s="318"/>
      <c r="AC18950" s="318"/>
      <c r="AD18950" s="318"/>
    </row>
    <row r="18951" spans="2:30" s="323" customFormat="1" ht="12" customHeight="1">
      <c r="B18951" s="324"/>
      <c r="C18951" s="325"/>
      <c r="D18951" s="326"/>
      <c r="E18951" s="326"/>
      <c r="F18951" s="326"/>
      <c r="G18951" s="326"/>
      <c r="H18951" s="326"/>
      <c r="P18951" s="318"/>
      <c r="Q18951" s="318"/>
      <c r="R18951" s="318"/>
      <c r="S18951" s="318"/>
      <c r="T18951" s="318"/>
      <c r="U18951" s="318"/>
      <c r="V18951" s="318"/>
      <c r="W18951" s="318"/>
      <c r="X18951" s="318"/>
      <c r="Y18951" s="318"/>
      <c r="Z18951" s="318"/>
      <c r="AA18951" s="318"/>
      <c r="AB18951" s="318"/>
      <c r="AC18951" s="318"/>
      <c r="AD18951" s="318"/>
    </row>
    <row r="18952" spans="2:30" s="323" customFormat="1" ht="12" customHeight="1">
      <c r="B18952" s="324"/>
      <c r="C18952" s="325"/>
      <c r="D18952" s="326"/>
      <c r="E18952" s="326"/>
      <c r="F18952" s="326"/>
      <c r="G18952" s="326"/>
      <c r="H18952" s="326"/>
      <c r="P18952" s="318"/>
      <c r="Q18952" s="318"/>
      <c r="R18952" s="318"/>
      <c r="S18952" s="318"/>
      <c r="T18952" s="318"/>
      <c r="U18952" s="318"/>
      <c r="V18952" s="318"/>
      <c r="W18952" s="318"/>
      <c r="X18952" s="318"/>
      <c r="Y18952" s="318"/>
      <c r="Z18952" s="318"/>
      <c r="AA18952" s="318"/>
      <c r="AB18952" s="318"/>
      <c r="AC18952" s="318"/>
      <c r="AD18952" s="318"/>
    </row>
    <row r="18953" spans="2:30" s="323" customFormat="1" ht="12" customHeight="1">
      <c r="B18953" s="324"/>
      <c r="C18953" s="325"/>
      <c r="D18953" s="326"/>
      <c r="E18953" s="326"/>
      <c r="F18953" s="326"/>
      <c r="G18953" s="326"/>
      <c r="H18953" s="326"/>
      <c r="P18953" s="318"/>
      <c r="Q18953" s="318"/>
      <c r="R18953" s="318"/>
      <c r="S18953" s="318"/>
      <c r="T18953" s="318"/>
      <c r="U18953" s="318"/>
      <c r="V18953" s="318"/>
      <c r="W18953" s="318"/>
      <c r="X18953" s="318"/>
      <c r="Y18953" s="318"/>
      <c r="Z18953" s="318"/>
      <c r="AA18953" s="318"/>
      <c r="AB18953" s="318"/>
      <c r="AC18953" s="318"/>
      <c r="AD18953" s="318"/>
    </row>
    <row r="18954" spans="2:30" s="323" customFormat="1" ht="12" customHeight="1">
      <c r="B18954" s="324"/>
      <c r="C18954" s="325"/>
      <c r="D18954" s="326"/>
      <c r="E18954" s="326"/>
      <c r="F18954" s="326"/>
      <c r="G18954" s="326"/>
      <c r="H18954" s="326"/>
      <c r="P18954" s="318"/>
      <c r="Q18954" s="318"/>
      <c r="R18954" s="318"/>
      <c r="S18954" s="318"/>
      <c r="T18954" s="318"/>
      <c r="U18954" s="318"/>
      <c r="V18954" s="318"/>
      <c r="W18954" s="318"/>
      <c r="X18954" s="318"/>
      <c r="Y18954" s="318"/>
      <c r="Z18954" s="318"/>
      <c r="AA18954" s="318"/>
      <c r="AB18954" s="318"/>
      <c r="AC18954" s="318"/>
      <c r="AD18954" s="318"/>
    </row>
    <row r="18955" spans="2:30" s="323" customFormat="1" ht="12" customHeight="1">
      <c r="B18955" s="324"/>
      <c r="C18955" s="325"/>
      <c r="D18955" s="326"/>
      <c r="E18955" s="326"/>
      <c r="F18955" s="326"/>
      <c r="G18955" s="326"/>
      <c r="H18955" s="326"/>
      <c r="P18955" s="318"/>
      <c r="Q18955" s="318"/>
      <c r="R18955" s="318"/>
      <c r="S18955" s="318"/>
      <c r="T18955" s="318"/>
      <c r="U18955" s="318"/>
      <c r="V18955" s="318"/>
      <c r="W18955" s="318"/>
      <c r="X18955" s="318"/>
      <c r="Y18955" s="318"/>
      <c r="Z18955" s="318"/>
      <c r="AA18955" s="318"/>
      <c r="AB18955" s="318"/>
      <c r="AC18955" s="318"/>
      <c r="AD18955" s="318"/>
    </row>
    <row r="18956" spans="2:30" s="323" customFormat="1" ht="12" customHeight="1">
      <c r="B18956" s="324"/>
      <c r="C18956" s="325"/>
      <c r="D18956" s="326"/>
      <c r="E18956" s="326"/>
      <c r="F18956" s="326"/>
      <c r="G18956" s="326"/>
      <c r="H18956" s="326"/>
      <c r="P18956" s="318"/>
      <c r="Q18956" s="318"/>
      <c r="R18956" s="318"/>
      <c r="S18956" s="318"/>
      <c r="T18956" s="318"/>
      <c r="U18956" s="318"/>
      <c r="V18956" s="318"/>
      <c r="W18956" s="318"/>
      <c r="X18956" s="318"/>
      <c r="Y18956" s="318"/>
      <c r="Z18956" s="318"/>
      <c r="AA18956" s="318"/>
      <c r="AB18956" s="318"/>
      <c r="AC18956" s="318"/>
      <c r="AD18956" s="318"/>
    </row>
    <row r="18957" spans="2:30" s="323" customFormat="1" ht="12" customHeight="1">
      <c r="B18957" s="324"/>
      <c r="C18957" s="325"/>
      <c r="D18957" s="326"/>
      <c r="E18957" s="326"/>
      <c r="F18957" s="326"/>
      <c r="G18957" s="326"/>
      <c r="H18957" s="326"/>
      <c r="P18957" s="318"/>
      <c r="Q18957" s="318"/>
      <c r="R18957" s="318"/>
      <c r="S18957" s="318"/>
      <c r="T18957" s="318"/>
      <c r="U18957" s="318"/>
      <c r="V18957" s="318"/>
      <c r="W18957" s="318"/>
      <c r="X18957" s="318"/>
      <c r="Y18957" s="318"/>
      <c r="Z18957" s="318"/>
      <c r="AA18957" s="318"/>
      <c r="AB18957" s="318"/>
      <c r="AC18957" s="318"/>
      <c r="AD18957" s="318"/>
    </row>
    <row r="18958" spans="2:30" s="323" customFormat="1" ht="12" customHeight="1">
      <c r="B18958" s="324"/>
      <c r="C18958" s="325"/>
      <c r="D18958" s="326"/>
      <c r="E18958" s="326"/>
      <c r="F18958" s="326"/>
      <c r="G18958" s="326"/>
      <c r="H18958" s="326"/>
      <c r="P18958" s="318"/>
      <c r="Q18958" s="318"/>
      <c r="R18958" s="318"/>
      <c r="S18958" s="318"/>
      <c r="T18958" s="318"/>
      <c r="U18958" s="318"/>
      <c r="V18958" s="318"/>
      <c r="W18958" s="318"/>
      <c r="X18958" s="318"/>
      <c r="Y18958" s="318"/>
      <c r="Z18958" s="318"/>
      <c r="AA18958" s="318"/>
      <c r="AB18958" s="318"/>
      <c r="AC18958" s="318"/>
      <c r="AD18958" s="318"/>
    </row>
    <row r="18959" spans="2:30" s="323" customFormat="1" ht="12" customHeight="1">
      <c r="B18959" s="324"/>
      <c r="C18959" s="325"/>
      <c r="D18959" s="326"/>
      <c r="E18959" s="326"/>
      <c r="F18959" s="326"/>
      <c r="G18959" s="326"/>
      <c r="H18959" s="326"/>
      <c r="P18959" s="318"/>
      <c r="Q18959" s="318"/>
      <c r="R18959" s="318"/>
      <c r="S18959" s="318"/>
      <c r="T18959" s="318"/>
      <c r="U18959" s="318"/>
      <c r="V18959" s="318"/>
      <c r="W18959" s="318"/>
      <c r="X18959" s="318"/>
      <c r="Y18959" s="318"/>
      <c r="Z18959" s="318"/>
      <c r="AA18959" s="318"/>
      <c r="AB18959" s="318"/>
      <c r="AC18959" s="318"/>
      <c r="AD18959" s="318"/>
    </row>
    <row r="18960" spans="2:30" s="323" customFormat="1" ht="12" customHeight="1">
      <c r="B18960" s="324"/>
      <c r="C18960" s="325"/>
      <c r="D18960" s="326"/>
      <c r="E18960" s="326"/>
      <c r="F18960" s="326"/>
      <c r="G18960" s="326"/>
      <c r="H18960" s="326"/>
      <c r="P18960" s="318"/>
      <c r="Q18960" s="318"/>
      <c r="R18960" s="318"/>
      <c r="S18960" s="318"/>
      <c r="T18960" s="318"/>
      <c r="U18960" s="318"/>
      <c r="V18960" s="318"/>
      <c r="W18960" s="318"/>
      <c r="X18960" s="318"/>
      <c r="Y18960" s="318"/>
      <c r="Z18960" s="318"/>
      <c r="AA18960" s="318"/>
      <c r="AB18960" s="318"/>
      <c r="AC18960" s="318"/>
      <c r="AD18960" s="318"/>
    </row>
    <row r="18961" spans="2:30" s="323" customFormat="1" ht="12" customHeight="1">
      <c r="B18961" s="324"/>
      <c r="C18961" s="325"/>
      <c r="D18961" s="326"/>
      <c r="E18961" s="326"/>
      <c r="F18961" s="326"/>
      <c r="G18961" s="326"/>
      <c r="H18961" s="326"/>
      <c r="P18961" s="318"/>
      <c r="Q18961" s="318"/>
      <c r="R18961" s="318"/>
      <c r="S18961" s="318"/>
      <c r="T18961" s="318"/>
      <c r="U18961" s="318"/>
      <c r="V18961" s="318"/>
      <c r="W18961" s="318"/>
      <c r="X18961" s="318"/>
      <c r="Y18961" s="318"/>
      <c r="Z18961" s="318"/>
      <c r="AA18961" s="318"/>
      <c r="AB18961" s="318"/>
      <c r="AC18961" s="318"/>
      <c r="AD18961" s="318"/>
    </row>
    <row r="18962" spans="2:30" s="323" customFormat="1" ht="12" customHeight="1">
      <c r="B18962" s="324"/>
      <c r="C18962" s="325"/>
      <c r="D18962" s="326"/>
      <c r="E18962" s="326"/>
      <c r="F18962" s="326"/>
      <c r="G18962" s="326"/>
      <c r="H18962" s="326"/>
      <c r="P18962" s="318"/>
      <c r="Q18962" s="318"/>
      <c r="R18962" s="318"/>
      <c r="S18962" s="318"/>
      <c r="T18962" s="318"/>
      <c r="U18962" s="318"/>
      <c r="V18962" s="318"/>
      <c r="W18962" s="318"/>
      <c r="X18962" s="318"/>
      <c r="Y18962" s="318"/>
      <c r="Z18962" s="318"/>
      <c r="AA18962" s="318"/>
      <c r="AB18962" s="318"/>
      <c r="AC18962" s="318"/>
      <c r="AD18962" s="318"/>
    </row>
    <row r="18963" spans="2:30" s="323" customFormat="1" ht="12" customHeight="1">
      <c r="B18963" s="324"/>
      <c r="C18963" s="325"/>
      <c r="D18963" s="326"/>
      <c r="E18963" s="326"/>
      <c r="F18963" s="326"/>
      <c r="G18963" s="326"/>
      <c r="H18963" s="326"/>
      <c r="P18963" s="318"/>
      <c r="Q18963" s="318"/>
      <c r="R18963" s="318"/>
      <c r="S18963" s="318"/>
      <c r="T18963" s="318"/>
      <c r="U18963" s="318"/>
      <c r="V18963" s="318"/>
      <c r="W18963" s="318"/>
      <c r="X18963" s="318"/>
      <c r="Y18963" s="318"/>
      <c r="Z18963" s="318"/>
      <c r="AA18963" s="318"/>
      <c r="AB18963" s="318"/>
      <c r="AC18963" s="318"/>
      <c r="AD18963" s="318"/>
    </row>
    <row r="18964" spans="2:30" s="323" customFormat="1" ht="12" customHeight="1">
      <c r="B18964" s="324"/>
      <c r="C18964" s="325"/>
      <c r="D18964" s="326"/>
      <c r="E18964" s="326"/>
      <c r="F18964" s="326"/>
      <c r="G18964" s="326"/>
      <c r="H18964" s="326"/>
      <c r="P18964" s="318"/>
      <c r="Q18964" s="318"/>
      <c r="R18964" s="318"/>
      <c r="S18964" s="318"/>
      <c r="T18964" s="318"/>
      <c r="U18964" s="318"/>
      <c r="V18964" s="318"/>
      <c r="W18964" s="318"/>
      <c r="X18964" s="318"/>
      <c r="Y18964" s="318"/>
      <c r="Z18964" s="318"/>
      <c r="AA18964" s="318"/>
      <c r="AB18964" s="318"/>
      <c r="AC18964" s="318"/>
      <c r="AD18964" s="318"/>
    </row>
    <row r="18965" spans="2:30" s="323" customFormat="1" ht="12" customHeight="1">
      <c r="B18965" s="324"/>
      <c r="C18965" s="325"/>
      <c r="D18965" s="326"/>
      <c r="E18965" s="326"/>
      <c r="F18965" s="326"/>
      <c r="G18965" s="326"/>
      <c r="H18965" s="326"/>
      <c r="P18965" s="318"/>
      <c r="Q18965" s="318"/>
      <c r="R18965" s="318"/>
      <c r="S18965" s="318"/>
      <c r="T18965" s="318"/>
      <c r="U18965" s="318"/>
      <c r="V18965" s="318"/>
      <c r="W18965" s="318"/>
      <c r="X18965" s="318"/>
      <c r="Y18965" s="318"/>
      <c r="Z18965" s="318"/>
      <c r="AA18965" s="318"/>
      <c r="AB18965" s="318"/>
      <c r="AC18965" s="318"/>
      <c r="AD18965" s="318"/>
    </row>
    <row r="18966" spans="2:30" s="323" customFormat="1" ht="12" customHeight="1">
      <c r="B18966" s="324"/>
      <c r="C18966" s="325"/>
      <c r="D18966" s="326"/>
      <c r="E18966" s="326"/>
      <c r="F18966" s="326"/>
      <c r="G18966" s="326"/>
      <c r="H18966" s="326"/>
      <c r="P18966" s="318"/>
      <c r="Q18966" s="318"/>
      <c r="R18966" s="318"/>
      <c r="S18966" s="318"/>
      <c r="T18966" s="318"/>
      <c r="U18966" s="318"/>
      <c r="V18966" s="318"/>
      <c r="W18966" s="318"/>
      <c r="X18966" s="318"/>
      <c r="Y18966" s="318"/>
      <c r="Z18966" s="318"/>
      <c r="AA18966" s="318"/>
      <c r="AB18966" s="318"/>
      <c r="AC18966" s="318"/>
      <c r="AD18966" s="318"/>
    </row>
    <row r="18967" spans="2:30" s="323" customFormat="1" ht="12" customHeight="1">
      <c r="B18967" s="324"/>
      <c r="C18967" s="325"/>
      <c r="D18967" s="326"/>
      <c r="E18967" s="326"/>
      <c r="F18967" s="326"/>
      <c r="G18967" s="326"/>
      <c r="H18967" s="326"/>
      <c r="P18967" s="318"/>
      <c r="Q18967" s="318"/>
      <c r="R18967" s="318"/>
      <c r="S18967" s="318"/>
      <c r="T18967" s="318"/>
      <c r="U18967" s="318"/>
      <c r="V18967" s="318"/>
      <c r="W18967" s="318"/>
      <c r="X18967" s="318"/>
      <c r="Y18967" s="318"/>
      <c r="Z18967" s="318"/>
      <c r="AA18967" s="318"/>
      <c r="AB18967" s="318"/>
      <c r="AC18967" s="318"/>
      <c r="AD18967" s="318"/>
    </row>
    <row r="18968" spans="2:30" s="323" customFormat="1" ht="12" customHeight="1">
      <c r="B18968" s="324"/>
      <c r="C18968" s="325"/>
      <c r="D18968" s="326"/>
      <c r="E18968" s="326"/>
      <c r="F18968" s="326"/>
      <c r="G18968" s="326"/>
      <c r="H18968" s="326"/>
      <c r="P18968" s="318"/>
      <c r="Q18968" s="318"/>
      <c r="R18968" s="318"/>
      <c r="S18968" s="318"/>
      <c r="T18968" s="318"/>
      <c r="U18968" s="318"/>
      <c r="V18968" s="318"/>
      <c r="W18968" s="318"/>
      <c r="X18968" s="318"/>
      <c r="Y18968" s="318"/>
      <c r="Z18968" s="318"/>
      <c r="AA18968" s="318"/>
      <c r="AB18968" s="318"/>
      <c r="AC18968" s="318"/>
      <c r="AD18968" s="318"/>
    </row>
    <row r="18969" spans="2:30" s="323" customFormat="1" ht="12" customHeight="1">
      <c r="B18969" s="324"/>
      <c r="C18969" s="325"/>
      <c r="D18969" s="326"/>
      <c r="E18969" s="326"/>
      <c r="F18969" s="326"/>
      <c r="G18969" s="326"/>
      <c r="H18969" s="326"/>
      <c r="P18969" s="318"/>
      <c r="Q18969" s="318"/>
      <c r="R18969" s="318"/>
      <c r="S18969" s="318"/>
      <c r="T18969" s="318"/>
      <c r="U18969" s="318"/>
      <c r="V18969" s="318"/>
      <c r="W18969" s="318"/>
      <c r="X18969" s="318"/>
      <c r="Y18969" s="318"/>
      <c r="Z18969" s="318"/>
      <c r="AA18969" s="318"/>
      <c r="AB18969" s="318"/>
      <c r="AC18969" s="318"/>
      <c r="AD18969" s="318"/>
    </row>
    <row r="18970" spans="2:30" s="323" customFormat="1" ht="12" customHeight="1">
      <c r="B18970" s="324"/>
      <c r="C18970" s="325"/>
      <c r="D18970" s="326"/>
      <c r="E18970" s="326"/>
      <c r="F18970" s="326"/>
      <c r="G18970" s="326"/>
      <c r="H18970" s="326"/>
      <c r="P18970" s="318"/>
      <c r="Q18970" s="318"/>
      <c r="R18970" s="318"/>
      <c r="S18970" s="318"/>
      <c r="T18970" s="318"/>
      <c r="U18970" s="318"/>
      <c r="V18970" s="318"/>
      <c r="W18970" s="318"/>
      <c r="X18970" s="318"/>
      <c r="Y18970" s="318"/>
      <c r="Z18970" s="318"/>
      <c r="AA18970" s="318"/>
      <c r="AB18970" s="318"/>
      <c r="AC18970" s="318"/>
      <c r="AD18970" s="318"/>
    </row>
    <row r="18971" spans="2:30" s="323" customFormat="1" ht="12" customHeight="1">
      <c r="B18971" s="324"/>
      <c r="C18971" s="325"/>
      <c r="D18971" s="326"/>
      <c r="E18971" s="326"/>
      <c r="F18971" s="326"/>
      <c r="G18971" s="326"/>
      <c r="H18971" s="326"/>
      <c r="P18971" s="318"/>
      <c r="Q18971" s="318"/>
      <c r="R18971" s="318"/>
      <c r="S18971" s="318"/>
      <c r="T18971" s="318"/>
      <c r="U18971" s="318"/>
      <c r="V18971" s="318"/>
      <c r="W18971" s="318"/>
      <c r="X18971" s="318"/>
      <c r="Y18971" s="318"/>
      <c r="Z18971" s="318"/>
      <c r="AA18971" s="318"/>
      <c r="AB18971" s="318"/>
      <c r="AC18971" s="318"/>
      <c r="AD18971" s="318"/>
    </row>
    <row r="18972" spans="2:30" s="323" customFormat="1" ht="12" customHeight="1">
      <c r="B18972" s="324"/>
      <c r="C18972" s="325"/>
      <c r="D18972" s="326"/>
      <c r="E18972" s="326"/>
      <c r="F18972" s="326"/>
      <c r="G18972" s="326"/>
      <c r="H18972" s="326"/>
      <c r="P18972" s="318"/>
      <c r="Q18972" s="318"/>
      <c r="R18972" s="318"/>
      <c r="S18972" s="318"/>
      <c r="T18972" s="318"/>
      <c r="U18972" s="318"/>
      <c r="V18972" s="318"/>
      <c r="W18972" s="318"/>
      <c r="X18972" s="318"/>
      <c r="Y18972" s="318"/>
      <c r="Z18972" s="318"/>
      <c r="AA18972" s="318"/>
      <c r="AB18972" s="318"/>
      <c r="AC18972" s="318"/>
      <c r="AD18972" s="318"/>
    </row>
    <row r="18973" spans="2:30" s="323" customFormat="1" ht="12" customHeight="1">
      <c r="B18973" s="324"/>
      <c r="C18973" s="325"/>
      <c r="D18973" s="326"/>
      <c r="E18973" s="326"/>
      <c r="F18973" s="326"/>
      <c r="G18973" s="326"/>
      <c r="H18973" s="326"/>
      <c r="P18973" s="318"/>
      <c r="Q18973" s="318"/>
      <c r="R18973" s="318"/>
      <c r="S18973" s="318"/>
      <c r="T18973" s="318"/>
      <c r="U18973" s="318"/>
      <c r="V18973" s="318"/>
      <c r="W18973" s="318"/>
      <c r="X18973" s="318"/>
      <c r="Y18973" s="318"/>
      <c r="Z18973" s="318"/>
      <c r="AA18973" s="318"/>
      <c r="AB18973" s="318"/>
      <c r="AC18973" s="318"/>
      <c r="AD18973" s="318"/>
    </row>
    <row r="18974" spans="2:30" s="323" customFormat="1" ht="12" customHeight="1">
      <c r="B18974" s="324"/>
      <c r="C18974" s="325"/>
      <c r="D18974" s="326"/>
      <c r="E18974" s="326"/>
      <c r="F18974" s="326"/>
      <c r="G18974" s="326"/>
      <c r="H18974" s="326"/>
      <c r="P18974" s="318"/>
      <c r="Q18974" s="318"/>
      <c r="R18974" s="318"/>
      <c r="S18974" s="318"/>
      <c r="T18974" s="318"/>
      <c r="U18974" s="318"/>
      <c r="V18974" s="318"/>
      <c r="W18974" s="318"/>
      <c r="X18974" s="318"/>
      <c r="Y18974" s="318"/>
      <c r="Z18974" s="318"/>
      <c r="AA18974" s="318"/>
      <c r="AB18974" s="318"/>
      <c r="AC18974" s="318"/>
      <c r="AD18974" s="318"/>
    </row>
    <row r="18975" spans="2:30" s="323" customFormat="1" ht="12" customHeight="1">
      <c r="B18975" s="324"/>
      <c r="C18975" s="325"/>
      <c r="D18975" s="326"/>
      <c r="E18975" s="326"/>
      <c r="F18975" s="326"/>
      <c r="G18975" s="326"/>
      <c r="H18975" s="326"/>
      <c r="P18975" s="318"/>
      <c r="Q18975" s="318"/>
      <c r="R18975" s="318"/>
      <c r="S18975" s="318"/>
      <c r="T18975" s="318"/>
      <c r="U18975" s="318"/>
      <c r="V18975" s="318"/>
      <c r="W18975" s="318"/>
      <c r="X18975" s="318"/>
      <c r="Y18975" s="318"/>
      <c r="Z18975" s="318"/>
      <c r="AA18975" s="318"/>
      <c r="AB18975" s="318"/>
      <c r="AC18975" s="318"/>
      <c r="AD18975" s="318"/>
    </row>
    <row r="18976" spans="2:30" s="323" customFormat="1" ht="12" customHeight="1">
      <c r="B18976" s="324"/>
      <c r="C18976" s="325"/>
      <c r="D18976" s="326"/>
      <c r="E18976" s="326"/>
      <c r="F18976" s="326"/>
      <c r="G18976" s="326"/>
      <c r="H18976" s="326"/>
      <c r="P18976" s="318"/>
      <c r="Q18976" s="318"/>
      <c r="R18976" s="318"/>
      <c r="S18976" s="318"/>
      <c r="T18976" s="318"/>
      <c r="U18976" s="318"/>
      <c r="V18976" s="318"/>
      <c r="W18976" s="318"/>
      <c r="X18976" s="318"/>
      <c r="Y18976" s="318"/>
      <c r="Z18976" s="318"/>
      <c r="AA18976" s="318"/>
      <c r="AB18976" s="318"/>
      <c r="AC18976" s="318"/>
      <c r="AD18976" s="318"/>
    </row>
    <row r="18977" spans="2:30" s="323" customFormat="1" ht="12" customHeight="1">
      <c r="B18977" s="324"/>
      <c r="C18977" s="325"/>
      <c r="D18977" s="326"/>
      <c r="E18977" s="326"/>
      <c r="F18977" s="326"/>
      <c r="G18977" s="326"/>
      <c r="H18977" s="326"/>
      <c r="P18977" s="318"/>
      <c r="Q18977" s="318"/>
      <c r="R18977" s="318"/>
      <c r="S18977" s="318"/>
      <c r="T18977" s="318"/>
      <c r="U18977" s="318"/>
      <c r="V18977" s="318"/>
      <c r="W18977" s="318"/>
      <c r="X18977" s="318"/>
      <c r="Y18977" s="318"/>
      <c r="Z18977" s="318"/>
      <c r="AA18977" s="318"/>
      <c r="AB18977" s="318"/>
      <c r="AC18977" s="318"/>
      <c r="AD18977" s="318"/>
    </row>
    <row r="18978" spans="2:30" s="323" customFormat="1" ht="12" customHeight="1">
      <c r="B18978" s="324"/>
      <c r="C18978" s="325"/>
      <c r="D18978" s="326"/>
      <c r="E18978" s="326"/>
      <c r="F18978" s="326"/>
      <c r="G18978" s="326"/>
      <c r="H18978" s="326"/>
      <c r="P18978" s="318"/>
      <c r="Q18978" s="318"/>
      <c r="R18978" s="318"/>
      <c r="S18978" s="318"/>
      <c r="T18978" s="318"/>
      <c r="U18978" s="318"/>
      <c r="V18978" s="318"/>
      <c r="W18978" s="318"/>
      <c r="X18978" s="318"/>
      <c r="Y18978" s="318"/>
      <c r="Z18978" s="318"/>
      <c r="AA18978" s="318"/>
      <c r="AB18978" s="318"/>
      <c r="AC18978" s="318"/>
      <c r="AD18978" s="318"/>
    </row>
    <row r="18979" spans="2:30" s="323" customFormat="1" ht="12" customHeight="1">
      <c r="B18979" s="324"/>
      <c r="C18979" s="325"/>
      <c r="D18979" s="326"/>
      <c r="E18979" s="326"/>
      <c r="F18979" s="326"/>
      <c r="G18979" s="326"/>
      <c r="H18979" s="326"/>
      <c r="P18979" s="318"/>
      <c r="Q18979" s="318"/>
      <c r="R18979" s="318"/>
      <c r="S18979" s="318"/>
      <c r="T18979" s="318"/>
      <c r="U18979" s="318"/>
      <c r="V18979" s="318"/>
      <c r="W18979" s="318"/>
      <c r="X18979" s="318"/>
      <c r="Y18979" s="318"/>
      <c r="Z18979" s="318"/>
      <c r="AA18979" s="318"/>
      <c r="AB18979" s="318"/>
      <c r="AC18979" s="318"/>
      <c r="AD18979" s="318"/>
    </row>
    <row r="18980" spans="2:30" s="323" customFormat="1" ht="12" customHeight="1">
      <c r="B18980" s="324"/>
      <c r="C18980" s="325"/>
      <c r="D18980" s="326"/>
      <c r="E18980" s="326"/>
      <c r="F18980" s="326"/>
      <c r="G18980" s="326"/>
      <c r="H18980" s="326"/>
      <c r="P18980" s="318"/>
      <c r="Q18980" s="318"/>
      <c r="R18980" s="318"/>
      <c r="S18980" s="318"/>
      <c r="T18980" s="318"/>
      <c r="U18980" s="318"/>
      <c r="V18980" s="318"/>
      <c r="W18980" s="318"/>
      <c r="X18980" s="318"/>
      <c r="Y18980" s="318"/>
      <c r="Z18980" s="318"/>
      <c r="AA18980" s="318"/>
      <c r="AB18980" s="318"/>
      <c r="AC18980" s="318"/>
      <c r="AD18980" s="318"/>
    </row>
    <row r="18981" spans="2:30" s="323" customFormat="1" ht="12" customHeight="1">
      <c r="B18981" s="324"/>
      <c r="C18981" s="325"/>
      <c r="D18981" s="326"/>
      <c r="E18981" s="326"/>
      <c r="F18981" s="326"/>
      <c r="G18981" s="326"/>
      <c r="H18981" s="326"/>
      <c r="P18981" s="318"/>
      <c r="Q18981" s="318"/>
      <c r="R18981" s="318"/>
      <c r="S18981" s="318"/>
      <c r="T18981" s="318"/>
      <c r="U18981" s="318"/>
      <c r="V18981" s="318"/>
      <c r="W18981" s="318"/>
      <c r="X18981" s="318"/>
      <c r="Y18981" s="318"/>
      <c r="Z18981" s="318"/>
      <c r="AA18981" s="318"/>
      <c r="AB18981" s="318"/>
      <c r="AC18981" s="318"/>
      <c r="AD18981" s="318"/>
    </row>
    <row r="18982" spans="2:30" s="323" customFormat="1" ht="12" customHeight="1">
      <c r="B18982" s="324"/>
      <c r="C18982" s="325"/>
      <c r="D18982" s="326"/>
      <c r="E18982" s="326"/>
      <c r="F18982" s="326"/>
      <c r="G18982" s="326"/>
      <c r="H18982" s="326"/>
      <c r="P18982" s="318"/>
      <c r="Q18982" s="318"/>
      <c r="R18982" s="318"/>
      <c r="S18982" s="318"/>
      <c r="T18982" s="318"/>
      <c r="U18982" s="318"/>
      <c r="V18982" s="318"/>
      <c r="W18982" s="318"/>
      <c r="X18982" s="318"/>
      <c r="Y18982" s="318"/>
      <c r="Z18982" s="318"/>
      <c r="AA18982" s="318"/>
      <c r="AB18982" s="318"/>
      <c r="AC18982" s="318"/>
      <c r="AD18982" s="318"/>
    </row>
    <row r="18983" spans="2:30" s="323" customFormat="1" ht="12" customHeight="1">
      <c r="B18983" s="324"/>
      <c r="C18983" s="325"/>
      <c r="D18983" s="326"/>
      <c r="E18983" s="326"/>
      <c r="F18983" s="326"/>
      <c r="G18983" s="326"/>
      <c r="H18983" s="326"/>
      <c r="P18983" s="318"/>
      <c r="Q18983" s="318"/>
      <c r="R18983" s="318"/>
      <c r="S18983" s="318"/>
      <c r="T18983" s="318"/>
      <c r="U18983" s="318"/>
      <c r="V18983" s="318"/>
      <c r="W18983" s="318"/>
      <c r="X18983" s="318"/>
      <c r="Y18983" s="318"/>
      <c r="Z18983" s="318"/>
      <c r="AA18983" s="318"/>
      <c r="AB18983" s="318"/>
      <c r="AC18983" s="318"/>
      <c r="AD18983" s="318"/>
    </row>
    <row r="18984" spans="2:30" s="323" customFormat="1" ht="12" customHeight="1">
      <c r="B18984" s="324"/>
      <c r="C18984" s="325"/>
      <c r="D18984" s="326"/>
      <c r="E18984" s="326"/>
      <c r="F18984" s="326"/>
      <c r="G18984" s="326"/>
      <c r="H18984" s="326"/>
      <c r="P18984" s="318"/>
      <c r="Q18984" s="318"/>
      <c r="R18984" s="318"/>
      <c r="S18984" s="318"/>
      <c r="T18984" s="318"/>
      <c r="U18984" s="318"/>
      <c r="V18984" s="318"/>
      <c r="W18984" s="318"/>
      <c r="X18984" s="318"/>
      <c r="Y18984" s="318"/>
      <c r="Z18984" s="318"/>
      <c r="AA18984" s="318"/>
      <c r="AB18984" s="318"/>
      <c r="AC18984" s="318"/>
      <c r="AD18984" s="318"/>
    </row>
    <row r="18985" spans="2:30" s="323" customFormat="1" ht="12" customHeight="1">
      <c r="B18985" s="324"/>
      <c r="C18985" s="325"/>
      <c r="D18985" s="326"/>
      <c r="E18985" s="326"/>
      <c r="F18985" s="326"/>
      <c r="G18985" s="326"/>
      <c r="H18985" s="326"/>
      <c r="P18985" s="318"/>
      <c r="Q18985" s="318"/>
      <c r="R18985" s="318"/>
      <c r="S18985" s="318"/>
      <c r="T18985" s="318"/>
      <c r="U18985" s="318"/>
      <c r="V18985" s="318"/>
      <c r="W18985" s="318"/>
      <c r="X18985" s="318"/>
      <c r="Y18985" s="318"/>
      <c r="Z18985" s="318"/>
      <c r="AA18985" s="318"/>
      <c r="AB18985" s="318"/>
      <c r="AC18985" s="318"/>
      <c r="AD18985" s="318"/>
    </row>
    <row r="18986" spans="2:30" s="323" customFormat="1" ht="12" customHeight="1">
      <c r="B18986" s="324"/>
      <c r="C18986" s="325"/>
      <c r="D18986" s="326"/>
      <c r="E18986" s="326"/>
      <c r="F18986" s="326"/>
      <c r="G18986" s="326"/>
      <c r="H18986" s="326"/>
      <c r="P18986" s="318"/>
      <c r="Q18986" s="318"/>
      <c r="R18986" s="318"/>
      <c r="S18986" s="318"/>
      <c r="T18986" s="318"/>
      <c r="U18986" s="318"/>
      <c r="V18986" s="318"/>
      <c r="W18986" s="318"/>
      <c r="X18986" s="318"/>
      <c r="Y18986" s="318"/>
      <c r="Z18986" s="318"/>
      <c r="AA18986" s="318"/>
      <c r="AB18986" s="318"/>
      <c r="AC18986" s="318"/>
      <c r="AD18986" s="318"/>
    </row>
    <row r="18987" spans="2:30" s="323" customFormat="1" ht="12" customHeight="1">
      <c r="B18987" s="324"/>
      <c r="C18987" s="325"/>
      <c r="D18987" s="326"/>
      <c r="E18987" s="326"/>
      <c r="F18987" s="326"/>
      <c r="G18987" s="326"/>
      <c r="H18987" s="326"/>
      <c r="P18987" s="318"/>
      <c r="Q18987" s="318"/>
      <c r="R18987" s="318"/>
      <c r="S18987" s="318"/>
      <c r="T18987" s="318"/>
      <c r="U18987" s="318"/>
      <c r="V18987" s="318"/>
      <c r="W18987" s="318"/>
      <c r="X18987" s="318"/>
      <c r="Y18987" s="318"/>
      <c r="Z18987" s="318"/>
      <c r="AA18987" s="318"/>
      <c r="AB18987" s="318"/>
      <c r="AC18987" s="318"/>
      <c r="AD18987" s="318"/>
    </row>
    <row r="18988" spans="2:30" s="323" customFormat="1" ht="12" customHeight="1">
      <c r="B18988" s="324"/>
      <c r="C18988" s="325"/>
      <c r="D18988" s="326"/>
      <c r="E18988" s="326"/>
      <c r="F18988" s="326"/>
      <c r="G18988" s="326"/>
      <c r="H18988" s="326"/>
      <c r="P18988" s="318"/>
      <c r="Q18988" s="318"/>
      <c r="R18988" s="318"/>
      <c r="S18988" s="318"/>
      <c r="T18988" s="318"/>
      <c r="U18988" s="318"/>
      <c r="V18988" s="318"/>
      <c r="W18988" s="318"/>
      <c r="X18988" s="318"/>
      <c r="Y18988" s="318"/>
      <c r="Z18988" s="318"/>
      <c r="AA18988" s="318"/>
      <c r="AB18988" s="318"/>
      <c r="AC18988" s="318"/>
      <c r="AD18988" s="318"/>
    </row>
    <row r="18989" spans="2:30" s="323" customFormat="1" ht="12" customHeight="1">
      <c r="B18989" s="324"/>
      <c r="C18989" s="325"/>
      <c r="D18989" s="326"/>
      <c r="E18989" s="326"/>
      <c r="F18989" s="326"/>
      <c r="G18989" s="326"/>
      <c r="H18989" s="326"/>
      <c r="P18989" s="318"/>
      <c r="Q18989" s="318"/>
      <c r="R18989" s="318"/>
      <c r="S18989" s="318"/>
      <c r="T18989" s="318"/>
      <c r="U18989" s="318"/>
      <c r="V18989" s="318"/>
      <c r="W18989" s="318"/>
      <c r="X18989" s="318"/>
      <c r="Y18989" s="318"/>
      <c r="Z18989" s="318"/>
      <c r="AA18989" s="318"/>
      <c r="AB18989" s="318"/>
      <c r="AC18989" s="318"/>
      <c r="AD18989" s="318"/>
    </row>
    <row r="18990" spans="2:30" s="323" customFormat="1" ht="12" customHeight="1">
      <c r="B18990" s="324"/>
      <c r="C18990" s="325"/>
      <c r="D18990" s="326"/>
      <c r="E18990" s="326"/>
      <c r="F18990" s="326"/>
      <c r="G18990" s="326"/>
      <c r="H18990" s="326"/>
      <c r="P18990" s="318"/>
      <c r="Q18990" s="318"/>
      <c r="R18990" s="318"/>
      <c r="S18990" s="318"/>
      <c r="T18990" s="318"/>
      <c r="U18990" s="318"/>
      <c r="V18990" s="318"/>
      <c r="W18990" s="318"/>
      <c r="X18990" s="318"/>
      <c r="Y18990" s="318"/>
      <c r="Z18990" s="318"/>
      <c r="AA18990" s="318"/>
      <c r="AB18990" s="318"/>
      <c r="AC18990" s="318"/>
      <c r="AD18990" s="318"/>
    </row>
    <row r="18991" spans="2:30" s="323" customFormat="1" ht="12" customHeight="1">
      <c r="B18991" s="324"/>
      <c r="C18991" s="325"/>
      <c r="D18991" s="326"/>
      <c r="E18991" s="326"/>
      <c r="F18991" s="326"/>
      <c r="G18991" s="326"/>
      <c r="H18991" s="326"/>
      <c r="P18991" s="318"/>
      <c r="Q18991" s="318"/>
      <c r="R18991" s="318"/>
      <c r="S18991" s="318"/>
      <c r="T18991" s="318"/>
      <c r="U18991" s="318"/>
      <c r="V18991" s="318"/>
      <c r="W18991" s="318"/>
      <c r="X18991" s="318"/>
      <c r="Y18991" s="318"/>
      <c r="Z18991" s="318"/>
      <c r="AA18991" s="318"/>
      <c r="AB18991" s="318"/>
      <c r="AC18991" s="318"/>
      <c r="AD18991" s="318"/>
    </row>
    <row r="18992" spans="2:30" s="323" customFormat="1" ht="12" customHeight="1">
      <c r="B18992" s="324"/>
      <c r="C18992" s="325"/>
      <c r="D18992" s="326"/>
      <c r="E18992" s="326"/>
      <c r="F18992" s="326"/>
      <c r="G18992" s="326"/>
      <c r="H18992" s="326"/>
      <c r="P18992" s="318"/>
      <c r="Q18992" s="318"/>
      <c r="R18992" s="318"/>
      <c r="S18992" s="318"/>
      <c r="T18992" s="318"/>
      <c r="U18992" s="318"/>
      <c r="V18992" s="318"/>
      <c r="W18992" s="318"/>
      <c r="X18992" s="318"/>
      <c r="Y18992" s="318"/>
      <c r="Z18992" s="318"/>
      <c r="AA18992" s="318"/>
      <c r="AB18992" s="318"/>
      <c r="AC18992" s="318"/>
      <c r="AD18992" s="318"/>
    </row>
    <row r="18993" spans="2:30" s="323" customFormat="1" ht="12" customHeight="1">
      <c r="B18993" s="324"/>
      <c r="C18993" s="325"/>
      <c r="D18993" s="326"/>
      <c r="E18993" s="326"/>
      <c r="F18993" s="326"/>
      <c r="G18993" s="326"/>
      <c r="H18993" s="326"/>
      <c r="P18993" s="318"/>
      <c r="Q18993" s="318"/>
      <c r="R18993" s="318"/>
      <c r="S18993" s="318"/>
      <c r="T18993" s="318"/>
      <c r="U18993" s="318"/>
      <c r="V18993" s="318"/>
      <c r="W18993" s="318"/>
      <c r="X18993" s="318"/>
      <c r="Y18993" s="318"/>
      <c r="Z18993" s="318"/>
      <c r="AA18993" s="318"/>
      <c r="AB18993" s="318"/>
      <c r="AC18993" s="318"/>
      <c r="AD18993" s="318"/>
    </row>
    <row r="18994" spans="2:30" s="323" customFormat="1" ht="12" customHeight="1">
      <c r="B18994" s="324"/>
      <c r="C18994" s="325"/>
      <c r="D18994" s="326"/>
      <c r="E18994" s="326"/>
      <c r="F18994" s="326"/>
      <c r="G18994" s="326"/>
      <c r="H18994" s="326"/>
      <c r="P18994" s="318"/>
      <c r="Q18994" s="318"/>
      <c r="R18994" s="318"/>
      <c r="S18994" s="318"/>
      <c r="T18994" s="318"/>
      <c r="U18994" s="318"/>
      <c r="V18994" s="318"/>
      <c r="W18994" s="318"/>
      <c r="X18994" s="318"/>
      <c r="Y18994" s="318"/>
      <c r="Z18994" s="318"/>
      <c r="AA18994" s="318"/>
      <c r="AB18994" s="318"/>
      <c r="AC18994" s="318"/>
      <c r="AD18994" s="318"/>
    </row>
    <row r="18995" spans="2:30" s="323" customFormat="1" ht="12" customHeight="1">
      <c r="B18995" s="324"/>
      <c r="C18995" s="325"/>
      <c r="D18995" s="326"/>
      <c r="E18995" s="326"/>
      <c r="F18995" s="326"/>
      <c r="G18995" s="326"/>
      <c r="H18995" s="326"/>
      <c r="P18995" s="318"/>
      <c r="Q18995" s="318"/>
      <c r="R18995" s="318"/>
      <c r="S18995" s="318"/>
      <c r="T18995" s="318"/>
      <c r="U18995" s="318"/>
      <c r="V18995" s="318"/>
      <c r="W18995" s="318"/>
      <c r="X18995" s="318"/>
      <c r="Y18995" s="318"/>
      <c r="Z18995" s="318"/>
      <c r="AA18995" s="318"/>
      <c r="AB18995" s="318"/>
      <c r="AC18995" s="318"/>
      <c r="AD18995" s="318"/>
    </row>
    <row r="18996" spans="2:30" s="323" customFormat="1" ht="12" customHeight="1">
      <c r="B18996" s="324"/>
      <c r="C18996" s="325"/>
      <c r="D18996" s="326"/>
      <c r="E18996" s="326"/>
      <c r="F18996" s="326"/>
      <c r="G18996" s="326"/>
      <c r="H18996" s="326"/>
      <c r="P18996" s="318"/>
      <c r="Q18996" s="318"/>
      <c r="R18996" s="318"/>
      <c r="S18996" s="318"/>
      <c r="T18996" s="318"/>
      <c r="U18996" s="318"/>
      <c r="V18996" s="318"/>
      <c r="W18996" s="318"/>
      <c r="X18996" s="318"/>
      <c r="Y18996" s="318"/>
      <c r="Z18996" s="318"/>
      <c r="AA18996" s="318"/>
      <c r="AB18996" s="318"/>
      <c r="AC18996" s="318"/>
      <c r="AD18996" s="318"/>
    </row>
    <row r="18997" spans="2:30" s="323" customFormat="1" ht="12" customHeight="1">
      <c r="B18997" s="324"/>
      <c r="C18997" s="325"/>
      <c r="D18997" s="326"/>
      <c r="E18997" s="326"/>
      <c r="F18997" s="326"/>
      <c r="G18997" s="326"/>
      <c r="H18997" s="326"/>
      <c r="P18997" s="318"/>
      <c r="Q18997" s="318"/>
      <c r="R18997" s="318"/>
      <c r="S18997" s="318"/>
      <c r="T18997" s="318"/>
      <c r="U18997" s="318"/>
      <c r="V18997" s="318"/>
      <c r="W18997" s="318"/>
      <c r="X18997" s="318"/>
      <c r="Y18997" s="318"/>
      <c r="Z18997" s="318"/>
      <c r="AA18997" s="318"/>
      <c r="AB18997" s="318"/>
      <c r="AC18997" s="318"/>
      <c r="AD18997" s="318"/>
    </row>
    <row r="18998" spans="2:30" s="323" customFormat="1" ht="12" customHeight="1">
      <c r="B18998" s="324"/>
      <c r="C18998" s="325"/>
      <c r="D18998" s="326"/>
      <c r="E18998" s="326"/>
      <c r="F18998" s="326"/>
      <c r="G18998" s="326"/>
      <c r="H18998" s="326"/>
      <c r="P18998" s="318"/>
      <c r="Q18998" s="318"/>
      <c r="R18998" s="318"/>
      <c r="S18998" s="318"/>
      <c r="T18998" s="318"/>
      <c r="U18998" s="318"/>
      <c r="V18998" s="318"/>
      <c r="W18998" s="318"/>
      <c r="X18998" s="318"/>
      <c r="Y18998" s="318"/>
      <c r="Z18998" s="318"/>
      <c r="AA18998" s="318"/>
      <c r="AB18998" s="318"/>
      <c r="AC18998" s="318"/>
      <c r="AD18998" s="318"/>
    </row>
    <row r="18999" spans="2:30" s="323" customFormat="1" ht="12" customHeight="1">
      <c r="B18999" s="324"/>
      <c r="C18999" s="325"/>
      <c r="D18999" s="326"/>
      <c r="E18999" s="326"/>
      <c r="F18999" s="326"/>
      <c r="G18999" s="326"/>
      <c r="H18999" s="326"/>
      <c r="P18999" s="318"/>
      <c r="Q18999" s="318"/>
      <c r="R18999" s="318"/>
      <c r="S18999" s="318"/>
      <c r="T18999" s="318"/>
      <c r="U18999" s="318"/>
      <c r="V18999" s="318"/>
      <c r="W18999" s="318"/>
      <c r="X18999" s="318"/>
      <c r="Y18999" s="318"/>
      <c r="Z18999" s="318"/>
      <c r="AA18999" s="318"/>
      <c r="AB18999" s="318"/>
      <c r="AC18999" s="318"/>
      <c r="AD18999" s="318"/>
    </row>
    <row r="19000" spans="2:30" s="323" customFormat="1" ht="12" customHeight="1">
      <c r="B19000" s="324"/>
      <c r="C19000" s="325"/>
      <c r="D19000" s="326"/>
      <c r="E19000" s="326"/>
      <c r="F19000" s="326"/>
      <c r="G19000" s="326"/>
      <c r="H19000" s="326"/>
      <c r="P19000" s="318"/>
      <c r="Q19000" s="318"/>
      <c r="R19000" s="318"/>
      <c r="S19000" s="318"/>
      <c r="T19000" s="318"/>
      <c r="U19000" s="318"/>
      <c r="V19000" s="318"/>
      <c r="W19000" s="318"/>
      <c r="X19000" s="318"/>
      <c r="Y19000" s="318"/>
      <c r="Z19000" s="318"/>
      <c r="AA19000" s="318"/>
      <c r="AB19000" s="318"/>
      <c r="AC19000" s="318"/>
      <c r="AD19000" s="318"/>
    </row>
    <row r="19001" spans="2:30" s="323" customFormat="1" ht="12" customHeight="1">
      <c r="B19001" s="324"/>
      <c r="C19001" s="325"/>
      <c r="D19001" s="326"/>
      <c r="E19001" s="326"/>
      <c r="F19001" s="326"/>
      <c r="G19001" s="326"/>
      <c r="H19001" s="326"/>
      <c r="P19001" s="318"/>
      <c r="Q19001" s="318"/>
      <c r="R19001" s="318"/>
      <c r="S19001" s="318"/>
      <c r="T19001" s="318"/>
      <c r="U19001" s="318"/>
      <c r="V19001" s="318"/>
      <c r="W19001" s="318"/>
      <c r="X19001" s="318"/>
      <c r="Y19001" s="318"/>
      <c r="Z19001" s="318"/>
      <c r="AA19001" s="318"/>
      <c r="AB19001" s="318"/>
      <c r="AC19001" s="318"/>
      <c r="AD19001" s="318"/>
    </row>
    <row r="19002" spans="2:30" s="323" customFormat="1" ht="12" customHeight="1">
      <c r="B19002" s="324"/>
      <c r="C19002" s="325"/>
      <c r="D19002" s="326"/>
      <c r="E19002" s="326"/>
      <c r="F19002" s="326"/>
      <c r="G19002" s="326"/>
      <c r="H19002" s="326"/>
      <c r="P19002" s="318"/>
      <c r="Q19002" s="318"/>
      <c r="R19002" s="318"/>
      <c r="S19002" s="318"/>
      <c r="T19002" s="318"/>
      <c r="U19002" s="318"/>
      <c r="V19002" s="318"/>
      <c r="W19002" s="318"/>
      <c r="X19002" s="318"/>
      <c r="Y19002" s="318"/>
      <c r="Z19002" s="318"/>
      <c r="AA19002" s="318"/>
      <c r="AB19002" s="318"/>
      <c r="AC19002" s="318"/>
      <c r="AD19002" s="318"/>
    </row>
    <row r="19003" spans="2:30" s="323" customFormat="1" ht="12" customHeight="1">
      <c r="B19003" s="324"/>
      <c r="C19003" s="325"/>
      <c r="D19003" s="326"/>
      <c r="E19003" s="326"/>
      <c r="F19003" s="326"/>
      <c r="G19003" s="326"/>
      <c r="H19003" s="326"/>
      <c r="P19003" s="318"/>
      <c r="Q19003" s="318"/>
      <c r="R19003" s="318"/>
      <c r="S19003" s="318"/>
      <c r="T19003" s="318"/>
      <c r="U19003" s="318"/>
      <c r="V19003" s="318"/>
      <c r="W19003" s="318"/>
      <c r="X19003" s="318"/>
      <c r="Y19003" s="318"/>
      <c r="Z19003" s="318"/>
      <c r="AA19003" s="318"/>
      <c r="AB19003" s="318"/>
      <c r="AC19003" s="318"/>
      <c r="AD19003" s="318"/>
    </row>
    <row r="19004" spans="2:30" s="323" customFormat="1" ht="12" customHeight="1">
      <c r="B19004" s="324"/>
      <c r="C19004" s="325"/>
      <c r="D19004" s="326"/>
      <c r="E19004" s="326"/>
      <c r="F19004" s="326"/>
      <c r="G19004" s="326"/>
      <c r="H19004" s="326"/>
      <c r="P19004" s="318"/>
      <c r="Q19004" s="318"/>
      <c r="R19004" s="318"/>
      <c r="S19004" s="318"/>
      <c r="T19004" s="318"/>
      <c r="U19004" s="318"/>
      <c r="V19004" s="318"/>
      <c r="W19004" s="318"/>
      <c r="X19004" s="318"/>
      <c r="Y19004" s="318"/>
      <c r="Z19004" s="318"/>
      <c r="AA19004" s="318"/>
      <c r="AB19004" s="318"/>
      <c r="AC19004" s="318"/>
      <c r="AD19004" s="318"/>
    </row>
    <row r="19005" spans="2:30" s="323" customFormat="1" ht="12" customHeight="1">
      <c r="B19005" s="324"/>
      <c r="C19005" s="325"/>
      <c r="D19005" s="326"/>
      <c r="E19005" s="326"/>
      <c r="F19005" s="326"/>
      <c r="G19005" s="326"/>
      <c r="H19005" s="326"/>
      <c r="P19005" s="318"/>
      <c r="Q19005" s="318"/>
      <c r="R19005" s="318"/>
      <c r="S19005" s="318"/>
      <c r="T19005" s="318"/>
      <c r="U19005" s="318"/>
      <c r="V19005" s="318"/>
      <c r="W19005" s="318"/>
      <c r="X19005" s="318"/>
      <c r="Y19005" s="318"/>
      <c r="Z19005" s="318"/>
      <c r="AA19005" s="318"/>
      <c r="AB19005" s="318"/>
      <c r="AC19005" s="318"/>
      <c r="AD19005" s="318"/>
    </row>
    <row r="19006" spans="2:30" s="323" customFormat="1" ht="12" customHeight="1">
      <c r="B19006" s="324"/>
      <c r="C19006" s="325"/>
      <c r="D19006" s="326"/>
      <c r="E19006" s="326"/>
      <c r="F19006" s="326"/>
      <c r="G19006" s="326"/>
      <c r="H19006" s="326"/>
      <c r="P19006" s="318"/>
      <c r="Q19006" s="318"/>
      <c r="R19006" s="318"/>
      <c r="S19006" s="318"/>
      <c r="T19006" s="318"/>
      <c r="U19006" s="318"/>
      <c r="V19006" s="318"/>
      <c r="W19006" s="318"/>
      <c r="X19006" s="318"/>
      <c r="Y19006" s="318"/>
      <c r="Z19006" s="318"/>
      <c r="AA19006" s="318"/>
      <c r="AB19006" s="318"/>
      <c r="AC19006" s="318"/>
      <c r="AD19006" s="318"/>
    </row>
    <row r="19007" spans="2:30" s="323" customFormat="1" ht="12" customHeight="1">
      <c r="B19007" s="324"/>
      <c r="C19007" s="325"/>
      <c r="D19007" s="326"/>
      <c r="E19007" s="326"/>
      <c r="F19007" s="326"/>
      <c r="G19007" s="326"/>
      <c r="H19007" s="326"/>
      <c r="P19007" s="318"/>
      <c r="Q19007" s="318"/>
      <c r="R19007" s="318"/>
      <c r="S19007" s="318"/>
      <c r="T19007" s="318"/>
      <c r="U19007" s="318"/>
      <c r="V19007" s="318"/>
      <c r="W19007" s="318"/>
      <c r="X19007" s="318"/>
      <c r="Y19007" s="318"/>
      <c r="Z19007" s="318"/>
      <c r="AA19007" s="318"/>
      <c r="AB19007" s="318"/>
      <c r="AC19007" s="318"/>
      <c r="AD19007" s="318"/>
    </row>
    <row r="19008" spans="2:30" s="323" customFormat="1" ht="12" customHeight="1">
      <c r="B19008" s="324"/>
      <c r="C19008" s="325"/>
      <c r="D19008" s="326"/>
      <c r="E19008" s="326"/>
      <c r="F19008" s="326"/>
      <c r="G19008" s="326"/>
      <c r="H19008" s="326"/>
      <c r="P19008" s="318"/>
      <c r="Q19008" s="318"/>
      <c r="R19008" s="318"/>
      <c r="S19008" s="318"/>
      <c r="T19008" s="318"/>
      <c r="U19008" s="318"/>
      <c r="V19008" s="318"/>
      <c r="W19008" s="318"/>
      <c r="X19008" s="318"/>
      <c r="Y19008" s="318"/>
      <c r="Z19008" s="318"/>
      <c r="AA19008" s="318"/>
      <c r="AB19008" s="318"/>
      <c r="AC19008" s="318"/>
      <c r="AD19008" s="318"/>
    </row>
    <row r="19009" spans="2:30" s="323" customFormat="1" ht="12" customHeight="1">
      <c r="B19009" s="324"/>
      <c r="C19009" s="325"/>
      <c r="D19009" s="326"/>
      <c r="E19009" s="326"/>
      <c r="F19009" s="326"/>
      <c r="G19009" s="326"/>
      <c r="H19009" s="326"/>
      <c r="P19009" s="318"/>
      <c r="Q19009" s="318"/>
      <c r="R19009" s="318"/>
      <c r="S19009" s="318"/>
      <c r="T19009" s="318"/>
      <c r="U19009" s="318"/>
      <c r="V19009" s="318"/>
      <c r="W19009" s="318"/>
      <c r="X19009" s="318"/>
      <c r="Y19009" s="318"/>
      <c r="Z19009" s="318"/>
      <c r="AA19009" s="318"/>
      <c r="AB19009" s="318"/>
      <c r="AC19009" s="318"/>
      <c r="AD19009" s="318"/>
    </row>
    <row r="19010" spans="2:30" s="323" customFormat="1" ht="12" customHeight="1">
      <c r="B19010" s="324"/>
      <c r="C19010" s="325"/>
      <c r="D19010" s="326"/>
      <c r="E19010" s="326"/>
      <c r="F19010" s="326"/>
      <c r="G19010" s="326"/>
      <c r="H19010" s="326"/>
      <c r="P19010" s="318"/>
      <c r="Q19010" s="318"/>
      <c r="R19010" s="318"/>
      <c r="S19010" s="318"/>
      <c r="T19010" s="318"/>
      <c r="U19010" s="318"/>
      <c r="V19010" s="318"/>
      <c r="W19010" s="318"/>
      <c r="X19010" s="318"/>
      <c r="Y19010" s="318"/>
      <c r="Z19010" s="318"/>
      <c r="AA19010" s="318"/>
      <c r="AB19010" s="318"/>
      <c r="AC19010" s="318"/>
      <c r="AD19010" s="318"/>
    </row>
    <row r="19011" spans="2:30" s="323" customFormat="1" ht="12" customHeight="1">
      <c r="B19011" s="324"/>
      <c r="C19011" s="325"/>
      <c r="D19011" s="326"/>
      <c r="E19011" s="326"/>
      <c r="F19011" s="326"/>
      <c r="G19011" s="326"/>
      <c r="H19011" s="326"/>
      <c r="P19011" s="318"/>
      <c r="Q19011" s="318"/>
      <c r="R19011" s="318"/>
      <c r="S19011" s="318"/>
      <c r="T19011" s="318"/>
      <c r="U19011" s="318"/>
      <c r="V19011" s="318"/>
      <c r="W19011" s="318"/>
      <c r="X19011" s="318"/>
      <c r="Y19011" s="318"/>
      <c r="Z19011" s="318"/>
      <c r="AA19011" s="318"/>
      <c r="AB19011" s="318"/>
      <c r="AC19011" s="318"/>
      <c r="AD19011" s="318"/>
    </row>
    <row r="19012" spans="2:30" s="323" customFormat="1" ht="12" customHeight="1">
      <c r="B19012" s="324"/>
      <c r="C19012" s="325"/>
      <c r="D19012" s="326"/>
      <c r="E19012" s="326"/>
      <c r="F19012" s="326"/>
      <c r="G19012" s="326"/>
      <c r="H19012" s="326"/>
      <c r="P19012" s="318"/>
      <c r="Q19012" s="318"/>
      <c r="R19012" s="318"/>
      <c r="S19012" s="318"/>
      <c r="T19012" s="318"/>
      <c r="U19012" s="318"/>
      <c r="V19012" s="318"/>
      <c r="W19012" s="318"/>
      <c r="X19012" s="318"/>
      <c r="Y19012" s="318"/>
      <c r="Z19012" s="318"/>
      <c r="AA19012" s="318"/>
      <c r="AB19012" s="318"/>
      <c r="AC19012" s="318"/>
      <c r="AD19012" s="318"/>
    </row>
    <row r="19013" spans="2:30" s="323" customFormat="1" ht="12" customHeight="1">
      <c r="B19013" s="324"/>
      <c r="C19013" s="325"/>
      <c r="D19013" s="326"/>
      <c r="E19013" s="326"/>
      <c r="F19013" s="326"/>
      <c r="G19013" s="326"/>
      <c r="H19013" s="326"/>
      <c r="P19013" s="318"/>
      <c r="Q19013" s="318"/>
      <c r="R19013" s="318"/>
      <c r="S19013" s="318"/>
      <c r="T19013" s="318"/>
      <c r="U19013" s="318"/>
      <c r="V19013" s="318"/>
      <c r="W19013" s="318"/>
      <c r="X19013" s="318"/>
      <c r="Y19013" s="318"/>
      <c r="Z19013" s="318"/>
      <c r="AA19013" s="318"/>
      <c r="AB19013" s="318"/>
      <c r="AC19013" s="318"/>
      <c r="AD19013" s="318"/>
    </row>
    <row r="19014" spans="2:30" s="323" customFormat="1" ht="12" customHeight="1">
      <c r="B19014" s="324"/>
      <c r="C19014" s="325"/>
      <c r="D19014" s="326"/>
      <c r="E19014" s="326"/>
      <c r="F19014" s="326"/>
      <c r="G19014" s="326"/>
      <c r="H19014" s="326"/>
      <c r="P19014" s="318"/>
      <c r="Q19014" s="318"/>
      <c r="R19014" s="318"/>
      <c r="S19014" s="318"/>
      <c r="T19014" s="318"/>
      <c r="U19014" s="318"/>
      <c r="V19014" s="318"/>
      <c r="W19014" s="318"/>
      <c r="X19014" s="318"/>
      <c r="Y19014" s="318"/>
      <c r="Z19014" s="318"/>
      <c r="AA19014" s="318"/>
      <c r="AB19014" s="318"/>
      <c r="AC19014" s="318"/>
      <c r="AD19014" s="318"/>
    </row>
    <row r="19015" spans="2:30" s="323" customFormat="1" ht="12" customHeight="1">
      <c r="B19015" s="324"/>
      <c r="C19015" s="325"/>
      <c r="D19015" s="326"/>
      <c r="E19015" s="326"/>
      <c r="F19015" s="326"/>
      <c r="G19015" s="326"/>
      <c r="H19015" s="326"/>
      <c r="P19015" s="318"/>
      <c r="Q19015" s="318"/>
      <c r="R19015" s="318"/>
      <c r="S19015" s="318"/>
      <c r="T19015" s="318"/>
      <c r="U19015" s="318"/>
      <c r="V19015" s="318"/>
      <c r="W19015" s="318"/>
      <c r="X19015" s="318"/>
      <c r="Y19015" s="318"/>
      <c r="Z19015" s="318"/>
      <c r="AA19015" s="318"/>
      <c r="AB19015" s="318"/>
      <c r="AC19015" s="318"/>
      <c r="AD19015" s="318"/>
    </row>
    <row r="19016" spans="2:30" s="323" customFormat="1" ht="12" customHeight="1">
      <c r="B19016" s="324"/>
      <c r="C19016" s="325"/>
      <c r="D19016" s="326"/>
      <c r="E19016" s="326"/>
      <c r="F19016" s="326"/>
      <c r="G19016" s="326"/>
      <c r="H19016" s="326"/>
      <c r="P19016" s="318"/>
      <c r="Q19016" s="318"/>
      <c r="R19016" s="318"/>
      <c r="S19016" s="318"/>
      <c r="T19016" s="318"/>
      <c r="U19016" s="318"/>
      <c r="V19016" s="318"/>
      <c r="W19016" s="318"/>
      <c r="X19016" s="318"/>
      <c r="Y19016" s="318"/>
      <c r="Z19016" s="318"/>
      <c r="AA19016" s="318"/>
      <c r="AB19016" s="318"/>
      <c r="AC19016" s="318"/>
      <c r="AD19016" s="318"/>
    </row>
    <row r="19017" spans="2:30" s="323" customFormat="1" ht="12" customHeight="1">
      <c r="B19017" s="324"/>
      <c r="C19017" s="325"/>
      <c r="D19017" s="326"/>
      <c r="E19017" s="326"/>
      <c r="F19017" s="326"/>
      <c r="G19017" s="326"/>
      <c r="H19017" s="326"/>
      <c r="P19017" s="318"/>
      <c r="Q19017" s="318"/>
      <c r="R19017" s="318"/>
      <c r="S19017" s="318"/>
      <c r="T19017" s="318"/>
      <c r="U19017" s="318"/>
      <c r="V19017" s="318"/>
      <c r="W19017" s="318"/>
      <c r="X19017" s="318"/>
      <c r="Y19017" s="318"/>
      <c r="Z19017" s="318"/>
      <c r="AA19017" s="318"/>
      <c r="AB19017" s="318"/>
      <c r="AC19017" s="318"/>
      <c r="AD19017" s="318"/>
    </row>
    <row r="19018" spans="2:30" s="323" customFormat="1" ht="12" customHeight="1">
      <c r="B19018" s="324"/>
      <c r="C19018" s="325"/>
      <c r="D19018" s="326"/>
      <c r="E19018" s="326"/>
      <c r="F19018" s="326"/>
      <c r="G19018" s="326"/>
      <c r="H19018" s="326"/>
      <c r="P19018" s="318"/>
      <c r="Q19018" s="318"/>
      <c r="R19018" s="318"/>
      <c r="S19018" s="318"/>
      <c r="T19018" s="318"/>
      <c r="U19018" s="318"/>
      <c r="V19018" s="318"/>
      <c r="W19018" s="318"/>
      <c r="X19018" s="318"/>
      <c r="Y19018" s="318"/>
      <c r="Z19018" s="318"/>
      <c r="AA19018" s="318"/>
      <c r="AB19018" s="318"/>
      <c r="AC19018" s="318"/>
      <c r="AD19018" s="318"/>
    </row>
    <row r="19019" spans="2:30" s="323" customFormat="1" ht="12" customHeight="1">
      <c r="B19019" s="324"/>
      <c r="C19019" s="325"/>
      <c r="D19019" s="326"/>
      <c r="E19019" s="326"/>
      <c r="F19019" s="326"/>
      <c r="G19019" s="326"/>
      <c r="H19019" s="326"/>
      <c r="P19019" s="318"/>
      <c r="Q19019" s="318"/>
      <c r="R19019" s="318"/>
      <c r="S19019" s="318"/>
      <c r="T19019" s="318"/>
      <c r="U19019" s="318"/>
      <c r="V19019" s="318"/>
      <c r="W19019" s="318"/>
      <c r="X19019" s="318"/>
      <c r="Y19019" s="318"/>
      <c r="Z19019" s="318"/>
      <c r="AA19019" s="318"/>
      <c r="AB19019" s="318"/>
      <c r="AC19019" s="318"/>
      <c r="AD19019" s="318"/>
    </row>
    <row r="19020" spans="2:30" s="323" customFormat="1" ht="12" customHeight="1">
      <c r="B19020" s="324"/>
      <c r="C19020" s="325"/>
      <c r="D19020" s="326"/>
      <c r="E19020" s="326"/>
      <c r="F19020" s="326"/>
      <c r="G19020" s="326"/>
      <c r="H19020" s="326"/>
      <c r="P19020" s="318"/>
      <c r="Q19020" s="318"/>
      <c r="R19020" s="318"/>
      <c r="S19020" s="318"/>
      <c r="T19020" s="318"/>
      <c r="U19020" s="318"/>
      <c r="V19020" s="318"/>
      <c r="W19020" s="318"/>
      <c r="X19020" s="318"/>
      <c r="Y19020" s="318"/>
      <c r="Z19020" s="318"/>
      <c r="AA19020" s="318"/>
      <c r="AB19020" s="318"/>
      <c r="AC19020" s="318"/>
      <c r="AD19020" s="318"/>
    </row>
    <row r="19021" spans="2:30" s="323" customFormat="1" ht="12" customHeight="1">
      <c r="B19021" s="324"/>
      <c r="C19021" s="325"/>
      <c r="D19021" s="326"/>
      <c r="E19021" s="326"/>
      <c r="F19021" s="326"/>
      <c r="G19021" s="326"/>
      <c r="H19021" s="326"/>
      <c r="P19021" s="318"/>
      <c r="Q19021" s="318"/>
      <c r="R19021" s="318"/>
      <c r="S19021" s="318"/>
      <c r="T19021" s="318"/>
      <c r="U19021" s="318"/>
      <c r="V19021" s="318"/>
      <c r="W19021" s="318"/>
      <c r="X19021" s="318"/>
      <c r="Y19021" s="318"/>
      <c r="Z19021" s="318"/>
      <c r="AA19021" s="318"/>
      <c r="AB19021" s="318"/>
      <c r="AC19021" s="318"/>
      <c r="AD19021" s="318"/>
    </row>
    <row r="19022" spans="2:30" s="323" customFormat="1" ht="12" customHeight="1">
      <c r="B19022" s="324"/>
      <c r="C19022" s="325"/>
      <c r="D19022" s="326"/>
      <c r="E19022" s="326"/>
      <c r="F19022" s="326"/>
      <c r="G19022" s="326"/>
      <c r="H19022" s="326"/>
      <c r="P19022" s="318"/>
      <c r="Q19022" s="318"/>
      <c r="R19022" s="318"/>
      <c r="S19022" s="318"/>
      <c r="T19022" s="318"/>
      <c r="U19022" s="318"/>
      <c r="V19022" s="318"/>
      <c r="W19022" s="318"/>
      <c r="X19022" s="318"/>
      <c r="Y19022" s="318"/>
      <c r="Z19022" s="318"/>
      <c r="AA19022" s="318"/>
      <c r="AB19022" s="318"/>
      <c r="AC19022" s="318"/>
      <c r="AD19022" s="318"/>
    </row>
    <row r="19023" spans="2:30" s="323" customFormat="1" ht="12" customHeight="1">
      <c r="B19023" s="324"/>
      <c r="C19023" s="325"/>
      <c r="D19023" s="326"/>
      <c r="E19023" s="326"/>
      <c r="F19023" s="326"/>
      <c r="G19023" s="326"/>
      <c r="H19023" s="326"/>
      <c r="P19023" s="318"/>
      <c r="Q19023" s="318"/>
      <c r="R19023" s="318"/>
      <c r="S19023" s="318"/>
      <c r="T19023" s="318"/>
      <c r="U19023" s="318"/>
      <c r="V19023" s="318"/>
      <c r="W19023" s="318"/>
      <c r="X19023" s="318"/>
      <c r="Y19023" s="318"/>
      <c r="Z19023" s="318"/>
      <c r="AA19023" s="318"/>
      <c r="AB19023" s="318"/>
      <c r="AC19023" s="318"/>
      <c r="AD19023" s="318"/>
    </row>
    <row r="19024" spans="2:30" s="323" customFormat="1" ht="12" customHeight="1">
      <c r="B19024" s="324"/>
      <c r="C19024" s="325"/>
      <c r="D19024" s="326"/>
      <c r="E19024" s="326"/>
      <c r="F19024" s="326"/>
      <c r="G19024" s="326"/>
      <c r="H19024" s="326"/>
      <c r="P19024" s="318"/>
      <c r="Q19024" s="318"/>
      <c r="R19024" s="318"/>
      <c r="S19024" s="318"/>
      <c r="T19024" s="318"/>
      <c r="U19024" s="318"/>
      <c r="V19024" s="318"/>
      <c r="W19024" s="318"/>
      <c r="X19024" s="318"/>
      <c r="Y19024" s="318"/>
      <c r="Z19024" s="318"/>
      <c r="AA19024" s="318"/>
      <c r="AB19024" s="318"/>
      <c r="AC19024" s="318"/>
      <c r="AD19024" s="318"/>
    </row>
    <row r="19025" spans="2:30" s="323" customFormat="1" ht="12" customHeight="1">
      <c r="B19025" s="324"/>
      <c r="C19025" s="325"/>
      <c r="D19025" s="326"/>
      <c r="E19025" s="326"/>
      <c r="F19025" s="326"/>
      <c r="G19025" s="326"/>
      <c r="H19025" s="326"/>
      <c r="P19025" s="318"/>
      <c r="Q19025" s="318"/>
      <c r="R19025" s="318"/>
      <c r="S19025" s="318"/>
      <c r="T19025" s="318"/>
      <c r="U19025" s="318"/>
      <c r="V19025" s="318"/>
      <c r="W19025" s="318"/>
      <c r="X19025" s="318"/>
      <c r="Y19025" s="318"/>
      <c r="Z19025" s="318"/>
      <c r="AA19025" s="318"/>
      <c r="AB19025" s="318"/>
      <c r="AC19025" s="318"/>
      <c r="AD19025" s="318"/>
    </row>
    <row r="19026" spans="2:30" s="323" customFormat="1" ht="12" customHeight="1">
      <c r="B19026" s="324"/>
      <c r="C19026" s="325"/>
      <c r="D19026" s="326"/>
      <c r="E19026" s="326"/>
      <c r="F19026" s="326"/>
      <c r="G19026" s="326"/>
      <c r="H19026" s="326"/>
      <c r="P19026" s="318"/>
      <c r="Q19026" s="318"/>
      <c r="R19026" s="318"/>
      <c r="S19026" s="318"/>
      <c r="T19026" s="318"/>
      <c r="U19026" s="318"/>
      <c r="V19026" s="318"/>
      <c r="W19026" s="318"/>
      <c r="X19026" s="318"/>
      <c r="Y19026" s="318"/>
      <c r="Z19026" s="318"/>
      <c r="AA19026" s="318"/>
      <c r="AB19026" s="318"/>
      <c r="AC19026" s="318"/>
      <c r="AD19026" s="318"/>
    </row>
    <row r="19027" spans="2:30" s="323" customFormat="1" ht="12" customHeight="1">
      <c r="B19027" s="324"/>
      <c r="C19027" s="325"/>
      <c r="D19027" s="326"/>
      <c r="E19027" s="326"/>
      <c r="F19027" s="326"/>
      <c r="G19027" s="326"/>
      <c r="H19027" s="326"/>
      <c r="P19027" s="318"/>
      <c r="Q19027" s="318"/>
      <c r="R19027" s="318"/>
      <c r="S19027" s="318"/>
      <c r="T19027" s="318"/>
      <c r="U19027" s="318"/>
      <c r="V19027" s="318"/>
      <c r="W19027" s="318"/>
      <c r="X19027" s="318"/>
      <c r="Y19027" s="318"/>
      <c r="Z19027" s="318"/>
      <c r="AA19027" s="318"/>
      <c r="AB19027" s="318"/>
      <c r="AC19027" s="318"/>
      <c r="AD19027" s="318"/>
    </row>
    <row r="19028" spans="2:30" s="323" customFormat="1" ht="12" customHeight="1">
      <c r="B19028" s="324"/>
      <c r="C19028" s="325"/>
      <c r="D19028" s="326"/>
      <c r="E19028" s="326"/>
      <c r="F19028" s="326"/>
      <c r="G19028" s="326"/>
      <c r="H19028" s="326"/>
      <c r="P19028" s="318"/>
      <c r="Q19028" s="318"/>
      <c r="R19028" s="318"/>
      <c r="S19028" s="318"/>
      <c r="T19028" s="318"/>
      <c r="U19028" s="318"/>
      <c r="V19028" s="318"/>
      <c r="W19028" s="318"/>
      <c r="X19028" s="318"/>
      <c r="Y19028" s="318"/>
      <c r="Z19028" s="318"/>
      <c r="AA19028" s="318"/>
      <c r="AB19028" s="318"/>
      <c r="AC19028" s="318"/>
      <c r="AD19028" s="318"/>
    </row>
    <row r="19029" spans="2:30" s="323" customFormat="1" ht="12" customHeight="1">
      <c r="B19029" s="324"/>
      <c r="C19029" s="325"/>
      <c r="D19029" s="326"/>
      <c r="E19029" s="326"/>
      <c r="F19029" s="326"/>
      <c r="G19029" s="326"/>
      <c r="H19029" s="326"/>
      <c r="P19029" s="318"/>
      <c r="Q19029" s="318"/>
      <c r="R19029" s="318"/>
      <c r="S19029" s="318"/>
      <c r="T19029" s="318"/>
      <c r="U19029" s="318"/>
      <c r="V19029" s="318"/>
      <c r="W19029" s="318"/>
      <c r="X19029" s="318"/>
      <c r="Y19029" s="318"/>
      <c r="Z19029" s="318"/>
      <c r="AA19029" s="318"/>
      <c r="AB19029" s="318"/>
      <c r="AC19029" s="318"/>
      <c r="AD19029" s="318"/>
    </row>
    <row r="19030" spans="2:30" s="323" customFormat="1" ht="12" customHeight="1">
      <c r="B19030" s="324"/>
      <c r="C19030" s="325"/>
      <c r="D19030" s="326"/>
      <c r="E19030" s="326"/>
      <c r="F19030" s="326"/>
      <c r="G19030" s="326"/>
      <c r="H19030" s="326"/>
      <c r="P19030" s="318"/>
      <c r="Q19030" s="318"/>
      <c r="R19030" s="318"/>
      <c r="S19030" s="318"/>
      <c r="T19030" s="318"/>
      <c r="U19030" s="318"/>
      <c r="V19030" s="318"/>
      <c r="W19030" s="318"/>
      <c r="X19030" s="318"/>
      <c r="Y19030" s="318"/>
      <c r="Z19030" s="318"/>
      <c r="AA19030" s="318"/>
      <c r="AB19030" s="318"/>
      <c r="AC19030" s="318"/>
      <c r="AD19030" s="318"/>
    </row>
    <row r="19031" spans="2:30" s="323" customFormat="1" ht="12" customHeight="1">
      <c r="B19031" s="324"/>
      <c r="C19031" s="325"/>
      <c r="D19031" s="326"/>
      <c r="E19031" s="326"/>
      <c r="F19031" s="326"/>
      <c r="G19031" s="326"/>
      <c r="H19031" s="326"/>
      <c r="P19031" s="318"/>
      <c r="Q19031" s="318"/>
      <c r="R19031" s="318"/>
      <c r="S19031" s="318"/>
      <c r="T19031" s="318"/>
      <c r="U19031" s="318"/>
      <c r="V19031" s="318"/>
      <c r="W19031" s="318"/>
      <c r="X19031" s="318"/>
      <c r="Y19031" s="318"/>
      <c r="Z19031" s="318"/>
      <c r="AA19031" s="318"/>
      <c r="AB19031" s="318"/>
      <c r="AC19031" s="318"/>
      <c r="AD19031" s="318"/>
    </row>
    <row r="19032" spans="2:30" s="323" customFormat="1" ht="12" customHeight="1">
      <c r="B19032" s="324"/>
      <c r="C19032" s="325"/>
      <c r="D19032" s="326"/>
      <c r="E19032" s="326"/>
      <c r="F19032" s="326"/>
      <c r="G19032" s="326"/>
      <c r="H19032" s="326"/>
      <c r="P19032" s="318"/>
      <c r="Q19032" s="318"/>
      <c r="R19032" s="318"/>
      <c r="S19032" s="318"/>
      <c r="T19032" s="318"/>
      <c r="U19032" s="318"/>
      <c r="V19032" s="318"/>
      <c r="W19032" s="318"/>
      <c r="X19032" s="318"/>
      <c r="Y19032" s="318"/>
      <c r="Z19032" s="318"/>
      <c r="AA19032" s="318"/>
      <c r="AB19032" s="318"/>
      <c r="AC19032" s="318"/>
      <c r="AD19032" s="318"/>
    </row>
    <row r="19033" spans="2:30" s="323" customFormat="1" ht="12" customHeight="1">
      <c r="B19033" s="324"/>
      <c r="C19033" s="325"/>
      <c r="D19033" s="326"/>
      <c r="E19033" s="326"/>
      <c r="F19033" s="326"/>
      <c r="G19033" s="326"/>
      <c r="H19033" s="326"/>
      <c r="P19033" s="318"/>
      <c r="Q19033" s="318"/>
      <c r="R19033" s="318"/>
      <c r="S19033" s="318"/>
      <c r="T19033" s="318"/>
      <c r="U19033" s="318"/>
      <c r="V19033" s="318"/>
      <c r="W19033" s="318"/>
      <c r="X19033" s="318"/>
      <c r="Y19033" s="318"/>
      <c r="Z19033" s="318"/>
      <c r="AA19033" s="318"/>
      <c r="AB19033" s="318"/>
      <c r="AC19033" s="318"/>
      <c r="AD19033" s="318"/>
    </row>
    <row r="19034" spans="2:30" s="323" customFormat="1" ht="12" customHeight="1">
      <c r="B19034" s="324"/>
      <c r="C19034" s="325"/>
      <c r="D19034" s="326"/>
      <c r="E19034" s="326"/>
      <c r="F19034" s="326"/>
      <c r="G19034" s="326"/>
      <c r="H19034" s="326"/>
      <c r="P19034" s="318"/>
      <c r="Q19034" s="318"/>
      <c r="R19034" s="318"/>
      <c r="S19034" s="318"/>
      <c r="T19034" s="318"/>
      <c r="U19034" s="318"/>
      <c r="V19034" s="318"/>
      <c r="W19034" s="318"/>
      <c r="X19034" s="318"/>
      <c r="Y19034" s="318"/>
      <c r="Z19034" s="318"/>
      <c r="AA19034" s="318"/>
      <c r="AB19034" s="318"/>
      <c r="AC19034" s="318"/>
      <c r="AD19034" s="318"/>
    </row>
    <row r="19035" spans="2:30" s="323" customFormat="1" ht="12" customHeight="1">
      <c r="B19035" s="324"/>
      <c r="C19035" s="325"/>
      <c r="D19035" s="326"/>
      <c r="E19035" s="326"/>
      <c r="F19035" s="326"/>
      <c r="G19035" s="326"/>
      <c r="H19035" s="326"/>
      <c r="P19035" s="318"/>
      <c r="Q19035" s="318"/>
      <c r="R19035" s="318"/>
      <c r="S19035" s="318"/>
      <c r="T19035" s="318"/>
      <c r="U19035" s="318"/>
      <c r="V19035" s="318"/>
      <c r="W19035" s="318"/>
      <c r="X19035" s="318"/>
      <c r="Y19035" s="318"/>
      <c r="Z19035" s="318"/>
      <c r="AA19035" s="318"/>
      <c r="AB19035" s="318"/>
      <c r="AC19035" s="318"/>
      <c r="AD19035" s="318"/>
    </row>
    <row r="19036" spans="2:30" s="323" customFormat="1" ht="12" customHeight="1">
      <c r="B19036" s="324"/>
      <c r="C19036" s="325"/>
      <c r="D19036" s="326"/>
      <c r="E19036" s="326"/>
      <c r="F19036" s="326"/>
      <c r="G19036" s="326"/>
      <c r="H19036" s="326"/>
      <c r="P19036" s="318"/>
      <c r="Q19036" s="318"/>
      <c r="R19036" s="318"/>
      <c r="S19036" s="318"/>
      <c r="T19036" s="318"/>
      <c r="U19036" s="318"/>
      <c r="V19036" s="318"/>
      <c r="W19036" s="318"/>
      <c r="X19036" s="318"/>
      <c r="Y19036" s="318"/>
      <c r="Z19036" s="318"/>
      <c r="AA19036" s="318"/>
      <c r="AB19036" s="318"/>
      <c r="AC19036" s="318"/>
      <c r="AD19036" s="318"/>
    </row>
    <row r="19037" spans="2:30" s="323" customFormat="1" ht="12" customHeight="1">
      <c r="B19037" s="324"/>
      <c r="C19037" s="325"/>
      <c r="D19037" s="326"/>
      <c r="E19037" s="326"/>
      <c r="F19037" s="326"/>
      <c r="G19037" s="326"/>
      <c r="H19037" s="326"/>
      <c r="P19037" s="318"/>
      <c r="Q19037" s="318"/>
      <c r="R19037" s="318"/>
      <c r="S19037" s="318"/>
      <c r="T19037" s="318"/>
      <c r="U19037" s="318"/>
      <c r="V19037" s="318"/>
      <c r="W19037" s="318"/>
      <c r="X19037" s="318"/>
      <c r="Y19037" s="318"/>
      <c r="Z19037" s="318"/>
      <c r="AA19037" s="318"/>
      <c r="AB19037" s="318"/>
      <c r="AC19037" s="318"/>
      <c r="AD19037" s="318"/>
    </row>
    <row r="19038" spans="2:30" s="323" customFormat="1" ht="12" customHeight="1">
      <c r="B19038" s="324"/>
      <c r="C19038" s="325"/>
      <c r="D19038" s="326"/>
      <c r="E19038" s="326"/>
      <c r="F19038" s="326"/>
      <c r="G19038" s="326"/>
      <c r="H19038" s="326"/>
      <c r="P19038" s="318"/>
      <c r="Q19038" s="318"/>
      <c r="R19038" s="318"/>
      <c r="S19038" s="318"/>
      <c r="T19038" s="318"/>
      <c r="U19038" s="318"/>
      <c r="V19038" s="318"/>
      <c r="W19038" s="318"/>
      <c r="X19038" s="318"/>
      <c r="Y19038" s="318"/>
      <c r="Z19038" s="318"/>
      <c r="AA19038" s="318"/>
      <c r="AB19038" s="318"/>
      <c r="AC19038" s="318"/>
      <c r="AD19038" s="318"/>
    </row>
    <row r="19039" spans="2:30" s="323" customFormat="1" ht="12" customHeight="1">
      <c r="B19039" s="324"/>
      <c r="C19039" s="325"/>
      <c r="D19039" s="326"/>
      <c r="E19039" s="326"/>
      <c r="F19039" s="326"/>
      <c r="G19039" s="326"/>
      <c r="H19039" s="326"/>
      <c r="P19039" s="318"/>
      <c r="Q19039" s="318"/>
      <c r="R19039" s="318"/>
      <c r="S19039" s="318"/>
      <c r="T19039" s="318"/>
      <c r="U19039" s="318"/>
      <c r="V19039" s="318"/>
      <c r="W19039" s="318"/>
      <c r="X19039" s="318"/>
      <c r="Y19039" s="318"/>
      <c r="Z19039" s="318"/>
      <c r="AA19039" s="318"/>
      <c r="AB19039" s="318"/>
      <c r="AC19039" s="318"/>
      <c r="AD19039" s="318"/>
    </row>
    <row r="19040" spans="2:30" s="323" customFormat="1" ht="12" customHeight="1">
      <c r="B19040" s="324"/>
      <c r="C19040" s="325"/>
      <c r="D19040" s="326"/>
      <c r="E19040" s="326"/>
      <c r="F19040" s="326"/>
      <c r="G19040" s="326"/>
      <c r="H19040" s="326"/>
      <c r="P19040" s="318"/>
      <c r="Q19040" s="318"/>
      <c r="R19040" s="318"/>
      <c r="S19040" s="318"/>
      <c r="T19040" s="318"/>
      <c r="U19040" s="318"/>
      <c r="V19040" s="318"/>
      <c r="W19040" s="318"/>
      <c r="X19040" s="318"/>
      <c r="Y19040" s="318"/>
      <c r="Z19040" s="318"/>
      <c r="AA19040" s="318"/>
      <c r="AB19040" s="318"/>
      <c r="AC19040" s="318"/>
      <c r="AD19040" s="318"/>
    </row>
    <row r="19041" spans="2:30" s="323" customFormat="1" ht="12" customHeight="1">
      <c r="B19041" s="324"/>
      <c r="C19041" s="325"/>
      <c r="D19041" s="326"/>
      <c r="E19041" s="326"/>
      <c r="F19041" s="326"/>
      <c r="G19041" s="326"/>
      <c r="H19041" s="326"/>
      <c r="P19041" s="318"/>
      <c r="Q19041" s="318"/>
      <c r="R19041" s="318"/>
      <c r="S19041" s="318"/>
      <c r="T19041" s="318"/>
      <c r="U19041" s="318"/>
      <c r="V19041" s="318"/>
      <c r="W19041" s="318"/>
      <c r="X19041" s="318"/>
      <c r="Y19041" s="318"/>
      <c r="Z19041" s="318"/>
      <c r="AA19041" s="318"/>
      <c r="AB19041" s="318"/>
      <c r="AC19041" s="318"/>
      <c r="AD19041" s="318"/>
    </row>
    <row r="19042" spans="2:30" s="323" customFormat="1" ht="12" customHeight="1">
      <c r="B19042" s="324"/>
      <c r="C19042" s="325"/>
      <c r="D19042" s="326"/>
      <c r="E19042" s="326"/>
      <c r="F19042" s="326"/>
      <c r="G19042" s="326"/>
      <c r="H19042" s="326"/>
      <c r="P19042" s="318"/>
      <c r="Q19042" s="318"/>
      <c r="R19042" s="318"/>
      <c r="S19042" s="318"/>
      <c r="T19042" s="318"/>
      <c r="U19042" s="318"/>
      <c r="V19042" s="318"/>
      <c r="W19042" s="318"/>
      <c r="X19042" s="318"/>
      <c r="Y19042" s="318"/>
      <c r="Z19042" s="318"/>
      <c r="AA19042" s="318"/>
      <c r="AB19042" s="318"/>
      <c r="AC19042" s="318"/>
      <c r="AD19042" s="318"/>
    </row>
    <row r="19043" spans="2:30" s="323" customFormat="1" ht="12" customHeight="1">
      <c r="B19043" s="324"/>
      <c r="C19043" s="325"/>
      <c r="D19043" s="326"/>
      <c r="E19043" s="326"/>
      <c r="F19043" s="326"/>
      <c r="G19043" s="326"/>
      <c r="H19043" s="326"/>
      <c r="P19043" s="318"/>
      <c r="Q19043" s="318"/>
      <c r="R19043" s="318"/>
      <c r="S19043" s="318"/>
      <c r="T19043" s="318"/>
      <c r="U19043" s="318"/>
      <c r="V19043" s="318"/>
      <c r="W19043" s="318"/>
      <c r="X19043" s="318"/>
      <c r="Y19043" s="318"/>
      <c r="Z19043" s="318"/>
      <c r="AA19043" s="318"/>
      <c r="AB19043" s="318"/>
      <c r="AC19043" s="318"/>
      <c r="AD19043" s="318"/>
    </row>
    <row r="19044" spans="2:30" s="323" customFormat="1" ht="12" customHeight="1">
      <c r="B19044" s="324"/>
      <c r="C19044" s="325"/>
      <c r="D19044" s="326"/>
      <c r="E19044" s="326"/>
      <c r="F19044" s="326"/>
      <c r="G19044" s="326"/>
      <c r="H19044" s="326"/>
      <c r="P19044" s="318"/>
      <c r="Q19044" s="318"/>
      <c r="R19044" s="318"/>
      <c r="S19044" s="318"/>
      <c r="T19044" s="318"/>
      <c r="U19044" s="318"/>
      <c r="V19044" s="318"/>
      <c r="W19044" s="318"/>
      <c r="X19044" s="318"/>
      <c r="Y19044" s="318"/>
      <c r="Z19044" s="318"/>
      <c r="AA19044" s="318"/>
      <c r="AB19044" s="318"/>
      <c r="AC19044" s="318"/>
      <c r="AD19044" s="318"/>
    </row>
    <row r="19045" spans="2:30" s="323" customFormat="1" ht="12" customHeight="1">
      <c r="B19045" s="324"/>
      <c r="C19045" s="325"/>
      <c r="D19045" s="326"/>
      <c r="E19045" s="326"/>
      <c r="F19045" s="326"/>
      <c r="G19045" s="326"/>
      <c r="H19045" s="326"/>
      <c r="P19045" s="318"/>
      <c r="Q19045" s="318"/>
      <c r="R19045" s="318"/>
      <c r="S19045" s="318"/>
      <c r="T19045" s="318"/>
      <c r="U19045" s="318"/>
      <c r="V19045" s="318"/>
      <c r="W19045" s="318"/>
      <c r="X19045" s="318"/>
      <c r="Y19045" s="318"/>
      <c r="Z19045" s="318"/>
      <c r="AA19045" s="318"/>
      <c r="AB19045" s="318"/>
      <c r="AC19045" s="318"/>
      <c r="AD19045" s="318"/>
    </row>
    <row r="19046" spans="2:30" s="323" customFormat="1" ht="12" customHeight="1">
      <c r="B19046" s="324"/>
      <c r="C19046" s="325"/>
      <c r="D19046" s="326"/>
      <c r="E19046" s="326"/>
      <c r="F19046" s="326"/>
      <c r="G19046" s="326"/>
      <c r="H19046" s="326"/>
      <c r="P19046" s="318"/>
      <c r="Q19046" s="318"/>
      <c r="R19046" s="318"/>
      <c r="S19046" s="318"/>
      <c r="T19046" s="318"/>
      <c r="U19046" s="318"/>
      <c r="V19046" s="318"/>
      <c r="W19046" s="318"/>
      <c r="X19046" s="318"/>
      <c r="Y19046" s="318"/>
      <c r="Z19046" s="318"/>
      <c r="AA19046" s="318"/>
      <c r="AB19046" s="318"/>
      <c r="AC19046" s="318"/>
      <c r="AD19046" s="318"/>
    </row>
    <row r="19047" spans="2:30" s="323" customFormat="1" ht="12" customHeight="1">
      <c r="B19047" s="324"/>
      <c r="C19047" s="325"/>
      <c r="D19047" s="326"/>
      <c r="E19047" s="326"/>
      <c r="F19047" s="326"/>
      <c r="G19047" s="326"/>
      <c r="H19047" s="326"/>
      <c r="P19047" s="318"/>
      <c r="Q19047" s="318"/>
      <c r="R19047" s="318"/>
      <c r="S19047" s="318"/>
      <c r="T19047" s="318"/>
      <c r="U19047" s="318"/>
      <c r="V19047" s="318"/>
      <c r="W19047" s="318"/>
      <c r="X19047" s="318"/>
      <c r="Y19047" s="318"/>
      <c r="Z19047" s="318"/>
      <c r="AA19047" s="318"/>
      <c r="AB19047" s="318"/>
      <c r="AC19047" s="318"/>
      <c r="AD19047" s="318"/>
    </row>
    <row r="19048" spans="2:30" s="323" customFormat="1" ht="12" customHeight="1">
      <c r="B19048" s="324"/>
      <c r="C19048" s="325"/>
      <c r="D19048" s="326"/>
      <c r="E19048" s="326"/>
      <c r="F19048" s="326"/>
      <c r="G19048" s="326"/>
      <c r="H19048" s="326"/>
      <c r="P19048" s="318"/>
      <c r="Q19048" s="318"/>
      <c r="R19048" s="318"/>
      <c r="S19048" s="318"/>
      <c r="T19048" s="318"/>
      <c r="U19048" s="318"/>
      <c r="V19048" s="318"/>
      <c r="W19048" s="318"/>
      <c r="X19048" s="318"/>
      <c r="Y19048" s="318"/>
      <c r="Z19048" s="318"/>
      <c r="AA19048" s="318"/>
      <c r="AB19048" s="318"/>
      <c r="AC19048" s="318"/>
      <c r="AD19048" s="318"/>
    </row>
    <row r="19049" spans="2:30" s="323" customFormat="1" ht="12" customHeight="1">
      <c r="B19049" s="324"/>
      <c r="C19049" s="325"/>
      <c r="D19049" s="326"/>
      <c r="E19049" s="326"/>
      <c r="F19049" s="326"/>
      <c r="G19049" s="326"/>
      <c r="H19049" s="326"/>
      <c r="P19049" s="318"/>
      <c r="Q19049" s="318"/>
      <c r="R19049" s="318"/>
      <c r="S19049" s="318"/>
      <c r="T19049" s="318"/>
      <c r="U19049" s="318"/>
      <c r="V19049" s="318"/>
      <c r="W19049" s="318"/>
      <c r="X19049" s="318"/>
      <c r="Y19049" s="318"/>
      <c r="Z19049" s="318"/>
      <c r="AA19049" s="318"/>
      <c r="AB19049" s="318"/>
      <c r="AC19049" s="318"/>
      <c r="AD19049" s="318"/>
    </row>
    <row r="19050" spans="2:30" s="323" customFormat="1" ht="12" customHeight="1">
      <c r="B19050" s="324"/>
      <c r="C19050" s="325"/>
      <c r="D19050" s="326"/>
      <c r="E19050" s="326"/>
      <c r="F19050" s="326"/>
      <c r="G19050" s="326"/>
      <c r="H19050" s="326"/>
      <c r="P19050" s="318"/>
      <c r="Q19050" s="318"/>
      <c r="R19050" s="318"/>
      <c r="S19050" s="318"/>
      <c r="T19050" s="318"/>
      <c r="U19050" s="318"/>
      <c r="V19050" s="318"/>
      <c r="W19050" s="318"/>
      <c r="X19050" s="318"/>
      <c r="Y19050" s="318"/>
      <c r="Z19050" s="318"/>
      <c r="AA19050" s="318"/>
      <c r="AB19050" s="318"/>
      <c r="AC19050" s="318"/>
      <c r="AD19050" s="318"/>
    </row>
    <row r="19051" spans="2:30" s="323" customFormat="1" ht="12" customHeight="1">
      <c r="B19051" s="324"/>
      <c r="C19051" s="325"/>
      <c r="D19051" s="326"/>
      <c r="E19051" s="326"/>
      <c r="F19051" s="326"/>
      <c r="G19051" s="326"/>
      <c r="H19051" s="326"/>
      <c r="P19051" s="318"/>
      <c r="Q19051" s="318"/>
      <c r="R19051" s="318"/>
      <c r="S19051" s="318"/>
      <c r="T19051" s="318"/>
      <c r="U19051" s="318"/>
      <c r="V19051" s="318"/>
      <c r="W19051" s="318"/>
      <c r="X19051" s="318"/>
      <c r="Y19051" s="318"/>
      <c r="Z19051" s="318"/>
      <c r="AA19051" s="318"/>
      <c r="AB19051" s="318"/>
      <c r="AC19051" s="318"/>
      <c r="AD19051" s="318"/>
    </row>
    <row r="19052" spans="2:30" s="323" customFormat="1" ht="12" customHeight="1">
      <c r="B19052" s="324"/>
      <c r="C19052" s="325"/>
      <c r="D19052" s="326"/>
      <c r="E19052" s="326"/>
      <c r="F19052" s="326"/>
      <c r="G19052" s="326"/>
      <c r="H19052" s="326"/>
      <c r="P19052" s="318"/>
      <c r="Q19052" s="318"/>
      <c r="R19052" s="318"/>
      <c r="S19052" s="318"/>
      <c r="T19052" s="318"/>
      <c r="U19052" s="318"/>
      <c r="V19052" s="318"/>
      <c r="W19052" s="318"/>
      <c r="X19052" s="318"/>
      <c r="Y19052" s="318"/>
      <c r="Z19052" s="318"/>
      <c r="AA19052" s="318"/>
      <c r="AB19052" s="318"/>
      <c r="AC19052" s="318"/>
      <c r="AD19052" s="318"/>
    </row>
    <row r="19053" spans="2:30" s="323" customFormat="1" ht="12" customHeight="1">
      <c r="B19053" s="324"/>
      <c r="C19053" s="325"/>
      <c r="D19053" s="326"/>
      <c r="E19053" s="326"/>
      <c r="F19053" s="326"/>
      <c r="G19053" s="326"/>
      <c r="H19053" s="326"/>
      <c r="P19053" s="318"/>
      <c r="Q19053" s="318"/>
      <c r="R19053" s="318"/>
      <c r="S19053" s="318"/>
      <c r="T19053" s="318"/>
      <c r="U19053" s="318"/>
      <c r="V19053" s="318"/>
      <c r="W19053" s="318"/>
      <c r="X19053" s="318"/>
      <c r="Y19053" s="318"/>
      <c r="Z19053" s="318"/>
      <c r="AA19053" s="318"/>
      <c r="AB19053" s="318"/>
      <c r="AC19053" s="318"/>
      <c r="AD19053" s="318"/>
    </row>
    <row r="19054" spans="2:30" s="323" customFormat="1" ht="12" customHeight="1">
      <c r="B19054" s="324"/>
      <c r="C19054" s="325"/>
      <c r="D19054" s="326"/>
      <c r="E19054" s="326"/>
      <c r="F19054" s="326"/>
      <c r="G19054" s="326"/>
      <c r="H19054" s="326"/>
      <c r="P19054" s="318"/>
      <c r="Q19054" s="318"/>
      <c r="R19054" s="318"/>
      <c r="S19054" s="318"/>
      <c r="T19054" s="318"/>
      <c r="U19054" s="318"/>
      <c r="V19054" s="318"/>
      <c r="W19054" s="318"/>
      <c r="X19054" s="318"/>
      <c r="Y19054" s="318"/>
      <c r="Z19054" s="318"/>
      <c r="AA19054" s="318"/>
      <c r="AB19054" s="318"/>
      <c r="AC19054" s="318"/>
      <c r="AD19054" s="318"/>
    </row>
    <row r="19055" spans="2:30" s="323" customFormat="1" ht="12" customHeight="1">
      <c r="B19055" s="324"/>
      <c r="C19055" s="325"/>
      <c r="D19055" s="326"/>
      <c r="E19055" s="326"/>
      <c r="F19055" s="326"/>
      <c r="G19055" s="326"/>
      <c r="H19055" s="326"/>
      <c r="P19055" s="318"/>
      <c r="Q19055" s="318"/>
      <c r="R19055" s="318"/>
      <c r="S19055" s="318"/>
      <c r="T19055" s="318"/>
      <c r="U19055" s="318"/>
      <c r="V19055" s="318"/>
      <c r="W19055" s="318"/>
      <c r="X19055" s="318"/>
      <c r="Y19055" s="318"/>
      <c r="Z19055" s="318"/>
      <c r="AA19055" s="318"/>
      <c r="AB19055" s="318"/>
      <c r="AC19055" s="318"/>
      <c r="AD19055" s="318"/>
    </row>
    <row r="19056" spans="2:30" s="323" customFormat="1" ht="12" customHeight="1">
      <c r="B19056" s="324"/>
      <c r="C19056" s="325"/>
      <c r="D19056" s="326"/>
      <c r="E19056" s="326"/>
      <c r="F19056" s="326"/>
      <c r="G19056" s="326"/>
      <c r="H19056" s="326"/>
      <c r="P19056" s="318"/>
      <c r="Q19056" s="318"/>
      <c r="R19056" s="318"/>
      <c r="S19056" s="318"/>
      <c r="T19056" s="318"/>
      <c r="U19056" s="318"/>
      <c r="V19056" s="318"/>
      <c r="W19056" s="318"/>
      <c r="X19056" s="318"/>
      <c r="Y19056" s="318"/>
      <c r="Z19056" s="318"/>
      <c r="AA19056" s="318"/>
      <c r="AB19056" s="318"/>
      <c r="AC19056" s="318"/>
      <c r="AD19056" s="318"/>
    </row>
    <row r="19057" spans="2:30" s="323" customFormat="1" ht="12" customHeight="1">
      <c r="B19057" s="324"/>
      <c r="C19057" s="325"/>
      <c r="D19057" s="326"/>
      <c r="E19057" s="326"/>
      <c r="F19057" s="326"/>
      <c r="G19057" s="326"/>
      <c r="H19057" s="326"/>
      <c r="P19057" s="318"/>
      <c r="Q19057" s="318"/>
      <c r="R19057" s="318"/>
      <c r="S19057" s="318"/>
      <c r="T19057" s="318"/>
      <c r="U19057" s="318"/>
      <c r="V19057" s="318"/>
      <c r="W19057" s="318"/>
      <c r="X19057" s="318"/>
      <c r="Y19057" s="318"/>
      <c r="Z19057" s="318"/>
      <c r="AA19057" s="318"/>
      <c r="AB19057" s="318"/>
      <c r="AC19057" s="318"/>
      <c r="AD19057" s="318"/>
    </row>
    <row r="19058" spans="2:30" s="323" customFormat="1" ht="12" customHeight="1">
      <c r="B19058" s="324"/>
      <c r="C19058" s="325"/>
      <c r="D19058" s="326"/>
      <c r="E19058" s="326"/>
      <c r="F19058" s="326"/>
      <c r="G19058" s="326"/>
      <c r="H19058" s="326"/>
      <c r="P19058" s="318"/>
      <c r="Q19058" s="318"/>
      <c r="R19058" s="318"/>
      <c r="S19058" s="318"/>
      <c r="T19058" s="318"/>
      <c r="U19058" s="318"/>
      <c r="V19058" s="318"/>
      <c r="W19058" s="318"/>
      <c r="X19058" s="318"/>
      <c r="Y19058" s="318"/>
      <c r="Z19058" s="318"/>
      <c r="AA19058" s="318"/>
      <c r="AB19058" s="318"/>
      <c r="AC19058" s="318"/>
      <c r="AD19058" s="318"/>
    </row>
    <row r="19059" spans="2:30" s="323" customFormat="1" ht="12" customHeight="1">
      <c r="B19059" s="324"/>
      <c r="C19059" s="325"/>
      <c r="D19059" s="326"/>
      <c r="E19059" s="326"/>
      <c r="F19059" s="326"/>
      <c r="G19059" s="326"/>
      <c r="H19059" s="326"/>
      <c r="P19059" s="318"/>
      <c r="Q19059" s="318"/>
      <c r="R19059" s="318"/>
      <c r="S19059" s="318"/>
      <c r="T19059" s="318"/>
      <c r="U19059" s="318"/>
      <c r="V19059" s="318"/>
      <c r="W19059" s="318"/>
      <c r="X19059" s="318"/>
      <c r="Y19059" s="318"/>
      <c r="Z19059" s="318"/>
      <c r="AA19059" s="318"/>
      <c r="AB19059" s="318"/>
      <c r="AC19059" s="318"/>
      <c r="AD19059" s="318"/>
    </row>
    <row r="19060" spans="2:30" s="323" customFormat="1" ht="12" customHeight="1">
      <c r="B19060" s="324"/>
      <c r="C19060" s="325"/>
      <c r="D19060" s="326"/>
      <c r="E19060" s="326"/>
      <c r="F19060" s="326"/>
      <c r="G19060" s="326"/>
      <c r="H19060" s="326"/>
      <c r="P19060" s="318"/>
      <c r="Q19060" s="318"/>
      <c r="R19060" s="318"/>
      <c r="S19060" s="318"/>
      <c r="T19060" s="318"/>
      <c r="U19060" s="318"/>
      <c r="V19060" s="318"/>
      <c r="W19060" s="318"/>
      <c r="X19060" s="318"/>
      <c r="Y19060" s="318"/>
      <c r="Z19060" s="318"/>
      <c r="AA19060" s="318"/>
      <c r="AB19060" s="318"/>
      <c r="AC19060" s="318"/>
      <c r="AD19060" s="318"/>
    </row>
    <row r="19061" spans="2:30" s="323" customFormat="1" ht="12" customHeight="1">
      <c r="B19061" s="324"/>
      <c r="C19061" s="325"/>
      <c r="D19061" s="326"/>
      <c r="E19061" s="326"/>
      <c r="F19061" s="326"/>
      <c r="G19061" s="326"/>
      <c r="H19061" s="326"/>
      <c r="P19061" s="318"/>
      <c r="Q19061" s="318"/>
      <c r="R19061" s="318"/>
      <c r="S19061" s="318"/>
      <c r="T19061" s="318"/>
      <c r="U19061" s="318"/>
      <c r="V19061" s="318"/>
      <c r="W19061" s="318"/>
      <c r="X19061" s="318"/>
      <c r="Y19061" s="318"/>
      <c r="Z19061" s="318"/>
      <c r="AA19061" s="318"/>
      <c r="AB19061" s="318"/>
      <c r="AC19061" s="318"/>
      <c r="AD19061" s="318"/>
    </row>
    <row r="19062" spans="2:30" s="323" customFormat="1" ht="12" customHeight="1">
      <c r="B19062" s="324"/>
      <c r="C19062" s="325"/>
      <c r="D19062" s="326"/>
      <c r="E19062" s="326"/>
      <c r="F19062" s="326"/>
      <c r="G19062" s="326"/>
      <c r="H19062" s="326"/>
      <c r="P19062" s="318"/>
      <c r="Q19062" s="318"/>
      <c r="R19062" s="318"/>
      <c r="S19062" s="318"/>
      <c r="T19062" s="318"/>
      <c r="U19062" s="318"/>
      <c r="V19062" s="318"/>
      <c r="W19062" s="318"/>
      <c r="X19062" s="318"/>
      <c r="Y19062" s="318"/>
      <c r="Z19062" s="318"/>
      <c r="AA19062" s="318"/>
      <c r="AB19062" s="318"/>
      <c r="AC19062" s="318"/>
      <c r="AD19062" s="318"/>
    </row>
    <row r="19063" spans="2:30" s="323" customFormat="1" ht="12" customHeight="1">
      <c r="B19063" s="324"/>
      <c r="C19063" s="325"/>
      <c r="D19063" s="326"/>
      <c r="E19063" s="326"/>
      <c r="F19063" s="326"/>
      <c r="G19063" s="326"/>
      <c r="H19063" s="326"/>
      <c r="P19063" s="318"/>
      <c r="Q19063" s="318"/>
      <c r="R19063" s="318"/>
      <c r="S19063" s="318"/>
      <c r="T19063" s="318"/>
      <c r="U19063" s="318"/>
      <c r="V19063" s="318"/>
      <c r="W19063" s="318"/>
      <c r="X19063" s="318"/>
      <c r="Y19063" s="318"/>
      <c r="Z19063" s="318"/>
      <c r="AA19063" s="318"/>
      <c r="AB19063" s="318"/>
      <c r="AC19063" s="318"/>
      <c r="AD19063" s="318"/>
    </row>
    <row r="19064" spans="2:30" s="323" customFormat="1" ht="12" customHeight="1">
      <c r="B19064" s="324"/>
      <c r="C19064" s="325"/>
      <c r="D19064" s="326"/>
      <c r="E19064" s="326"/>
      <c r="F19064" s="326"/>
      <c r="G19064" s="326"/>
      <c r="H19064" s="326"/>
      <c r="P19064" s="318"/>
      <c r="Q19064" s="318"/>
      <c r="R19064" s="318"/>
      <c r="S19064" s="318"/>
      <c r="T19064" s="318"/>
      <c r="U19064" s="318"/>
      <c r="V19064" s="318"/>
      <c r="W19064" s="318"/>
      <c r="X19064" s="318"/>
      <c r="Y19064" s="318"/>
      <c r="Z19064" s="318"/>
      <c r="AA19064" s="318"/>
      <c r="AB19064" s="318"/>
      <c r="AC19064" s="318"/>
      <c r="AD19064" s="318"/>
    </row>
    <row r="19065" spans="2:30" s="323" customFormat="1" ht="12" customHeight="1">
      <c r="B19065" s="324"/>
      <c r="C19065" s="325"/>
      <c r="D19065" s="326"/>
      <c r="E19065" s="326"/>
      <c r="F19065" s="326"/>
      <c r="G19065" s="326"/>
      <c r="H19065" s="326"/>
      <c r="P19065" s="318"/>
      <c r="Q19065" s="318"/>
      <c r="R19065" s="318"/>
      <c r="S19065" s="318"/>
      <c r="T19065" s="318"/>
      <c r="U19065" s="318"/>
      <c r="V19065" s="318"/>
      <c r="W19065" s="318"/>
      <c r="X19065" s="318"/>
      <c r="Y19065" s="318"/>
      <c r="Z19065" s="318"/>
      <c r="AA19065" s="318"/>
      <c r="AB19065" s="318"/>
      <c r="AC19065" s="318"/>
      <c r="AD19065" s="318"/>
    </row>
    <row r="19066" spans="2:30" s="323" customFormat="1" ht="12" customHeight="1">
      <c r="B19066" s="324"/>
      <c r="C19066" s="325"/>
      <c r="D19066" s="326"/>
      <c r="E19066" s="326"/>
      <c r="F19066" s="326"/>
      <c r="G19066" s="326"/>
      <c r="H19066" s="326"/>
      <c r="P19066" s="318"/>
      <c r="Q19066" s="318"/>
      <c r="R19066" s="318"/>
      <c r="S19066" s="318"/>
      <c r="T19066" s="318"/>
      <c r="U19066" s="318"/>
      <c r="V19066" s="318"/>
      <c r="W19066" s="318"/>
      <c r="X19066" s="318"/>
      <c r="Y19066" s="318"/>
      <c r="Z19066" s="318"/>
      <c r="AA19066" s="318"/>
      <c r="AB19066" s="318"/>
      <c r="AC19066" s="318"/>
      <c r="AD19066" s="318"/>
    </row>
    <row r="19067" spans="2:30" s="323" customFormat="1" ht="12" customHeight="1">
      <c r="B19067" s="324"/>
      <c r="C19067" s="325"/>
      <c r="D19067" s="326"/>
      <c r="E19067" s="326"/>
      <c r="F19067" s="326"/>
      <c r="G19067" s="326"/>
      <c r="H19067" s="326"/>
      <c r="P19067" s="318"/>
      <c r="Q19067" s="318"/>
      <c r="R19067" s="318"/>
      <c r="S19067" s="318"/>
      <c r="T19067" s="318"/>
      <c r="U19067" s="318"/>
      <c r="V19067" s="318"/>
      <c r="W19067" s="318"/>
      <c r="X19067" s="318"/>
      <c r="Y19067" s="318"/>
      <c r="Z19067" s="318"/>
      <c r="AA19067" s="318"/>
      <c r="AB19067" s="318"/>
      <c r="AC19067" s="318"/>
      <c r="AD19067" s="318"/>
    </row>
    <row r="19068" spans="2:30" s="323" customFormat="1" ht="12" customHeight="1">
      <c r="B19068" s="324"/>
      <c r="C19068" s="325"/>
      <c r="D19068" s="326"/>
      <c r="E19068" s="326"/>
      <c r="F19068" s="326"/>
      <c r="G19068" s="326"/>
      <c r="H19068" s="326"/>
      <c r="P19068" s="318"/>
      <c r="Q19068" s="318"/>
      <c r="R19068" s="318"/>
      <c r="S19068" s="318"/>
      <c r="T19068" s="318"/>
      <c r="U19068" s="318"/>
      <c r="V19068" s="318"/>
      <c r="W19068" s="318"/>
      <c r="X19068" s="318"/>
      <c r="Y19068" s="318"/>
      <c r="Z19068" s="318"/>
      <c r="AA19068" s="318"/>
      <c r="AB19068" s="318"/>
      <c r="AC19068" s="318"/>
      <c r="AD19068" s="318"/>
    </row>
    <row r="19069" spans="2:30" s="323" customFormat="1" ht="12" customHeight="1">
      <c r="B19069" s="324"/>
      <c r="C19069" s="325"/>
      <c r="D19069" s="326"/>
      <c r="E19069" s="326"/>
      <c r="F19069" s="326"/>
      <c r="G19069" s="326"/>
      <c r="H19069" s="326"/>
      <c r="P19069" s="318"/>
      <c r="Q19069" s="318"/>
      <c r="R19069" s="318"/>
      <c r="S19069" s="318"/>
      <c r="T19069" s="318"/>
      <c r="U19069" s="318"/>
      <c r="V19069" s="318"/>
      <c r="W19069" s="318"/>
      <c r="X19069" s="318"/>
      <c r="Y19069" s="318"/>
      <c r="Z19069" s="318"/>
      <c r="AA19069" s="318"/>
      <c r="AB19069" s="318"/>
      <c r="AC19069" s="318"/>
      <c r="AD19069" s="318"/>
    </row>
    <row r="19070" spans="2:30" s="323" customFormat="1" ht="12" customHeight="1">
      <c r="B19070" s="324"/>
      <c r="C19070" s="325"/>
      <c r="D19070" s="326"/>
      <c r="E19070" s="326"/>
      <c r="F19070" s="326"/>
      <c r="G19070" s="326"/>
      <c r="H19070" s="326"/>
      <c r="P19070" s="318"/>
      <c r="Q19070" s="318"/>
      <c r="R19070" s="318"/>
      <c r="S19070" s="318"/>
      <c r="T19070" s="318"/>
      <c r="U19070" s="318"/>
      <c r="V19070" s="318"/>
      <c r="W19070" s="318"/>
      <c r="X19070" s="318"/>
      <c r="Y19070" s="318"/>
      <c r="Z19070" s="318"/>
      <c r="AA19070" s="318"/>
      <c r="AB19070" s="318"/>
      <c r="AC19070" s="318"/>
      <c r="AD19070" s="318"/>
    </row>
    <row r="19071" spans="2:30" s="323" customFormat="1" ht="12" customHeight="1">
      <c r="B19071" s="324"/>
      <c r="C19071" s="325"/>
      <c r="D19071" s="326"/>
      <c r="E19071" s="326"/>
      <c r="F19071" s="326"/>
      <c r="G19071" s="326"/>
      <c r="H19071" s="326"/>
      <c r="P19071" s="318"/>
      <c r="Q19071" s="318"/>
      <c r="R19071" s="318"/>
      <c r="S19071" s="318"/>
      <c r="T19071" s="318"/>
      <c r="U19071" s="318"/>
      <c r="V19071" s="318"/>
      <c r="W19071" s="318"/>
      <c r="X19071" s="318"/>
      <c r="Y19071" s="318"/>
      <c r="Z19071" s="318"/>
      <c r="AA19071" s="318"/>
      <c r="AB19071" s="318"/>
      <c r="AC19071" s="318"/>
      <c r="AD19071" s="318"/>
    </row>
    <row r="19072" spans="2:30" s="323" customFormat="1" ht="12" customHeight="1">
      <c r="B19072" s="324"/>
      <c r="C19072" s="325"/>
      <c r="D19072" s="326"/>
      <c r="E19072" s="326"/>
      <c r="F19072" s="326"/>
      <c r="G19072" s="326"/>
      <c r="H19072" s="326"/>
      <c r="P19072" s="318"/>
      <c r="Q19072" s="318"/>
      <c r="R19072" s="318"/>
      <c r="S19072" s="318"/>
      <c r="T19072" s="318"/>
      <c r="U19072" s="318"/>
      <c r="V19072" s="318"/>
      <c r="W19072" s="318"/>
      <c r="X19072" s="318"/>
      <c r="Y19072" s="318"/>
      <c r="Z19072" s="318"/>
      <c r="AA19072" s="318"/>
      <c r="AB19072" s="318"/>
      <c r="AC19072" s="318"/>
      <c r="AD19072" s="318"/>
    </row>
    <row r="19073" spans="2:30" s="323" customFormat="1" ht="12" customHeight="1">
      <c r="B19073" s="324"/>
      <c r="C19073" s="325"/>
      <c r="D19073" s="326"/>
      <c r="E19073" s="326"/>
      <c r="F19073" s="326"/>
      <c r="G19073" s="326"/>
      <c r="H19073" s="326"/>
      <c r="P19073" s="318"/>
      <c r="Q19073" s="318"/>
      <c r="R19073" s="318"/>
      <c r="S19073" s="318"/>
      <c r="T19073" s="318"/>
      <c r="U19073" s="318"/>
      <c r="V19073" s="318"/>
      <c r="W19073" s="318"/>
      <c r="X19073" s="318"/>
      <c r="Y19073" s="318"/>
      <c r="Z19073" s="318"/>
      <c r="AA19073" s="318"/>
      <c r="AB19073" s="318"/>
      <c r="AC19073" s="318"/>
      <c r="AD19073" s="318"/>
    </row>
    <row r="19074" spans="2:30" s="323" customFormat="1" ht="12" customHeight="1">
      <c r="B19074" s="324"/>
      <c r="C19074" s="325"/>
      <c r="D19074" s="326"/>
      <c r="E19074" s="326"/>
      <c r="F19074" s="326"/>
      <c r="G19074" s="326"/>
      <c r="H19074" s="326"/>
      <c r="P19074" s="318"/>
      <c r="Q19074" s="318"/>
      <c r="R19074" s="318"/>
      <c r="S19074" s="318"/>
      <c r="T19074" s="318"/>
      <c r="U19074" s="318"/>
      <c r="V19074" s="318"/>
      <c r="W19074" s="318"/>
      <c r="X19074" s="318"/>
      <c r="Y19074" s="318"/>
      <c r="Z19074" s="318"/>
      <c r="AA19074" s="318"/>
      <c r="AB19074" s="318"/>
      <c r="AC19074" s="318"/>
      <c r="AD19074" s="318"/>
    </row>
    <row r="19075" spans="2:30" s="323" customFormat="1" ht="12" customHeight="1">
      <c r="B19075" s="324"/>
      <c r="C19075" s="325"/>
      <c r="D19075" s="326"/>
      <c r="E19075" s="326"/>
      <c r="F19075" s="326"/>
      <c r="G19075" s="326"/>
      <c r="H19075" s="326"/>
      <c r="P19075" s="318"/>
      <c r="Q19075" s="318"/>
      <c r="R19075" s="318"/>
      <c r="S19075" s="318"/>
      <c r="T19075" s="318"/>
      <c r="U19075" s="318"/>
      <c r="V19075" s="318"/>
      <c r="W19075" s="318"/>
      <c r="X19075" s="318"/>
      <c r="Y19075" s="318"/>
      <c r="Z19075" s="318"/>
      <c r="AA19075" s="318"/>
      <c r="AB19075" s="318"/>
      <c r="AC19075" s="318"/>
      <c r="AD19075" s="318"/>
    </row>
    <row r="19076" spans="2:30" s="323" customFormat="1" ht="12" customHeight="1">
      <c r="B19076" s="324"/>
      <c r="C19076" s="325"/>
      <c r="D19076" s="326"/>
      <c r="E19076" s="326"/>
      <c r="F19076" s="326"/>
      <c r="G19076" s="326"/>
      <c r="H19076" s="326"/>
      <c r="P19076" s="318"/>
      <c r="Q19076" s="318"/>
      <c r="R19076" s="318"/>
      <c r="S19076" s="318"/>
      <c r="T19076" s="318"/>
      <c r="U19076" s="318"/>
      <c r="V19076" s="318"/>
      <c r="W19076" s="318"/>
      <c r="X19076" s="318"/>
      <c r="Y19076" s="318"/>
      <c r="Z19076" s="318"/>
      <c r="AA19076" s="318"/>
      <c r="AB19076" s="318"/>
      <c r="AC19076" s="318"/>
      <c r="AD19076" s="318"/>
    </row>
    <row r="19077" spans="2:30" s="323" customFormat="1" ht="12" customHeight="1">
      <c r="B19077" s="324"/>
      <c r="C19077" s="325"/>
      <c r="D19077" s="326"/>
      <c r="E19077" s="326"/>
      <c r="F19077" s="326"/>
      <c r="G19077" s="326"/>
      <c r="H19077" s="326"/>
      <c r="P19077" s="318"/>
      <c r="Q19077" s="318"/>
      <c r="R19077" s="318"/>
      <c r="S19077" s="318"/>
      <c r="T19077" s="318"/>
      <c r="U19077" s="318"/>
      <c r="V19077" s="318"/>
      <c r="W19077" s="318"/>
      <c r="X19077" s="318"/>
      <c r="Y19077" s="318"/>
      <c r="Z19077" s="318"/>
      <c r="AA19077" s="318"/>
      <c r="AB19077" s="318"/>
      <c r="AC19077" s="318"/>
      <c r="AD19077" s="318"/>
    </row>
    <row r="19078" spans="2:30" s="323" customFormat="1" ht="12" customHeight="1">
      <c r="B19078" s="324"/>
      <c r="C19078" s="325"/>
      <c r="D19078" s="326"/>
      <c r="E19078" s="326"/>
      <c r="F19078" s="326"/>
      <c r="G19078" s="326"/>
      <c r="H19078" s="326"/>
      <c r="P19078" s="318"/>
      <c r="Q19078" s="318"/>
      <c r="R19078" s="318"/>
      <c r="S19078" s="318"/>
      <c r="T19078" s="318"/>
      <c r="U19078" s="318"/>
      <c r="V19078" s="318"/>
      <c r="W19078" s="318"/>
      <c r="X19078" s="318"/>
      <c r="Y19078" s="318"/>
      <c r="Z19078" s="318"/>
      <c r="AA19078" s="318"/>
      <c r="AB19078" s="318"/>
      <c r="AC19078" s="318"/>
      <c r="AD19078" s="318"/>
    </row>
    <row r="19079" spans="2:30" s="323" customFormat="1" ht="12" customHeight="1">
      <c r="B19079" s="324"/>
      <c r="C19079" s="325"/>
      <c r="D19079" s="326"/>
      <c r="E19079" s="326"/>
      <c r="F19079" s="326"/>
      <c r="G19079" s="326"/>
      <c r="H19079" s="326"/>
      <c r="P19079" s="318"/>
      <c r="Q19079" s="318"/>
      <c r="R19079" s="318"/>
      <c r="S19079" s="318"/>
      <c r="T19079" s="318"/>
      <c r="U19079" s="318"/>
      <c r="V19079" s="318"/>
      <c r="W19079" s="318"/>
      <c r="X19079" s="318"/>
      <c r="Y19079" s="318"/>
      <c r="Z19079" s="318"/>
      <c r="AA19079" s="318"/>
      <c r="AB19079" s="318"/>
      <c r="AC19079" s="318"/>
      <c r="AD19079" s="318"/>
    </row>
    <row r="19080" spans="2:30" s="323" customFormat="1" ht="12" customHeight="1">
      <c r="B19080" s="324"/>
      <c r="C19080" s="325"/>
      <c r="D19080" s="326"/>
      <c r="E19080" s="326"/>
      <c r="F19080" s="326"/>
      <c r="G19080" s="326"/>
      <c r="H19080" s="326"/>
      <c r="P19080" s="318"/>
      <c r="Q19080" s="318"/>
      <c r="R19080" s="318"/>
      <c r="S19080" s="318"/>
      <c r="T19080" s="318"/>
      <c r="U19080" s="318"/>
      <c r="V19080" s="318"/>
      <c r="W19080" s="318"/>
      <c r="X19080" s="318"/>
      <c r="Y19080" s="318"/>
      <c r="Z19080" s="318"/>
      <c r="AA19080" s="318"/>
      <c r="AB19080" s="318"/>
      <c r="AC19080" s="318"/>
      <c r="AD19080" s="318"/>
    </row>
    <row r="19081" spans="2:30" s="323" customFormat="1" ht="12" customHeight="1">
      <c r="B19081" s="324"/>
      <c r="C19081" s="325"/>
      <c r="D19081" s="326"/>
      <c r="E19081" s="326"/>
      <c r="F19081" s="326"/>
      <c r="G19081" s="326"/>
      <c r="H19081" s="326"/>
      <c r="P19081" s="318"/>
      <c r="Q19081" s="318"/>
      <c r="R19081" s="318"/>
      <c r="S19081" s="318"/>
      <c r="T19081" s="318"/>
      <c r="U19081" s="318"/>
      <c r="V19081" s="318"/>
      <c r="W19081" s="318"/>
      <c r="X19081" s="318"/>
      <c r="Y19081" s="318"/>
      <c r="Z19081" s="318"/>
      <c r="AA19081" s="318"/>
      <c r="AB19081" s="318"/>
      <c r="AC19081" s="318"/>
      <c r="AD19081" s="318"/>
    </row>
    <row r="19082" spans="2:30" s="323" customFormat="1" ht="12" customHeight="1">
      <c r="B19082" s="324"/>
      <c r="C19082" s="325"/>
      <c r="D19082" s="326"/>
      <c r="E19082" s="326"/>
      <c r="F19082" s="326"/>
      <c r="G19082" s="326"/>
      <c r="H19082" s="326"/>
      <c r="P19082" s="318"/>
      <c r="Q19082" s="318"/>
      <c r="R19082" s="318"/>
      <c r="S19082" s="318"/>
      <c r="T19082" s="318"/>
      <c r="U19082" s="318"/>
      <c r="V19082" s="318"/>
      <c r="W19082" s="318"/>
      <c r="X19082" s="318"/>
      <c r="Y19082" s="318"/>
      <c r="Z19082" s="318"/>
      <c r="AA19082" s="318"/>
      <c r="AB19082" s="318"/>
      <c r="AC19082" s="318"/>
      <c r="AD19082" s="318"/>
    </row>
    <row r="19083" spans="2:30" s="323" customFormat="1" ht="12" customHeight="1">
      <c r="B19083" s="324"/>
      <c r="C19083" s="325"/>
      <c r="D19083" s="326"/>
      <c r="E19083" s="326"/>
      <c r="F19083" s="326"/>
      <c r="G19083" s="326"/>
      <c r="H19083" s="326"/>
      <c r="P19083" s="318"/>
      <c r="Q19083" s="318"/>
      <c r="R19083" s="318"/>
      <c r="S19083" s="318"/>
      <c r="T19083" s="318"/>
      <c r="U19083" s="318"/>
      <c r="V19083" s="318"/>
      <c r="W19083" s="318"/>
      <c r="X19083" s="318"/>
      <c r="Y19083" s="318"/>
      <c r="Z19083" s="318"/>
      <c r="AA19083" s="318"/>
      <c r="AB19083" s="318"/>
      <c r="AC19083" s="318"/>
      <c r="AD19083" s="318"/>
    </row>
    <row r="19084" spans="2:30" s="323" customFormat="1" ht="12" customHeight="1">
      <c r="B19084" s="324"/>
      <c r="C19084" s="325"/>
      <c r="D19084" s="326"/>
      <c r="E19084" s="326"/>
      <c r="F19084" s="326"/>
      <c r="G19084" s="326"/>
      <c r="H19084" s="326"/>
      <c r="P19084" s="318"/>
      <c r="Q19084" s="318"/>
      <c r="R19084" s="318"/>
      <c r="S19084" s="318"/>
      <c r="T19084" s="318"/>
      <c r="U19084" s="318"/>
      <c r="V19084" s="318"/>
      <c r="W19084" s="318"/>
      <c r="X19084" s="318"/>
      <c r="Y19084" s="318"/>
      <c r="Z19084" s="318"/>
      <c r="AA19084" s="318"/>
      <c r="AB19084" s="318"/>
      <c r="AC19084" s="318"/>
      <c r="AD19084" s="318"/>
    </row>
    <row r="19085" spans="2:30" s="323" customFormat="1" ht="12" customHeight="1">
      <c r="B19085" s="324"/>
      <c r="C19085" s="325"/>
      <c r="D19085" s="326"/>
      <c r="E19085" s="326"/>
      <c r="F19085" s="326"/>
      <c r="G19085" s="326"/>
      <c r="H19085" s="326"/>
      <c r="P19085" s="318"/>
      <c r="Q19085" s="318"/>
      <c r="R19085" s="318"/>
      <c r="S19085" s="318"/>
      <c r="T19085" s="318"/>
      <c r="U19085" s="318"/>
      <c r="V19085" s="318"/>
      <c r="W19085" s="318"/>
      <c r="X19085" s="318"/>
      <c r="Y19085" s="318"/>
      <c r="Z19085" s="318"/>
      <c r="AA19085" s="318"/>
      <c r="AB19085" s="318"/>
      <c r="AC19085" s="318"/>
      <c r="AD19085" s="318"/>
    </row>
    <row r="19086" spans="2:30" s="323" customFormat="1" ht="12" customHeight="1">
      <c r="B19086" s="324"/>
      <c r="C19086" s="325"/>
      <c r="D19086" s="326"/>
      <c r="E19086" s="326"/>
      <c r="F19086" s="326"/>
      <c r="G19086" s="326"/>
      <c r="H19086" s="326"/>
      <c r="P19086" s="318"/>
      <c r="Q19086" s="318"/>
      <c r="R19086" s="318"/>
      <c r="S19086" s="318"/>
      <c r="T19086" s="318"/>
      <c r="U19086" s="318"/>
      <c r="V19086" s="318"/>
      <c r="W19086" s="318"/>
      <c r="X19086" s="318"/>
      <c r="Y19086" s="318"/>
      <c r="Z19086" s="318"/>
      <c r="AA19086" s="318"/>
      <c r="AB19086" s="318"/>
      <c r="AC19086" s="318"/>
      <c r="AD19086" s="318"/>
    </row>
    <row r="19087" spans="2:30" s="323" customFormat="1" ht="12" customHeight="1">
      <c r="B19087" s="324"/>
      <c r="C19087" s="325"/>
      <c r="D19087" s="326"/>
      <c r="E19087" s="326"/>
      <c r="F19087" s="326"/>
      <c r="G19087" s="326"/>
      <c r="H19087" s="326"/>
      <c r="P19087" s="318"/>
      <c r="Q19087" s="318"/>
      <c r="R19087" s="318"/>
      <c r="S19087" s="318"/>
      <c r="T19087" s="318"/>
      <c r="U19087" s="318"/>
      <c r="V19087" s="318"/>
      <c r="W19087" s="318"/>
      <c r="X19087" s="318"/>
      <c r="Y19087" s="318"/>
      <c r="Z19087" s="318"/>
      <c r="AA19087" s="318"/>
      <c r="AB19087" s="318"/>
      <c r="AC19087" s="318"/>
      <c r="AD19087" s="318"/>
    </row>
    <row r="19088" spans="2:30" s="323" customFormat="1" ht="12" customHeight="1">
      <c r="B19088" s="324"/>
      <c r="C19088" s="325"/>
      <c r="D19088" s="326"/>
      <c r="E19088" s="326"/>
      <c r="F19088" s="326"/>
      <c r="G19088" s="326"/>
      <c r="H19088" s="326"/>
      <c r="P19088" s="318"/>
      <c r="Q19088" s="318"/>
      <c r="R19088" s="318"/>
      <c r="S19088" s="318"/>
      <c r="T19088" s="318"/>
      <c r="U19088" s="318"/>
      <c r="V19088" s="318"/>
      <c r="W19088" s="318"/>
      <c r="X19088" s="318"/>
      <c r="Y19088" s="318"/>
      <c r="Z19088" s="318"/>
      <c r="AA19088" s="318"/>
      <c r="AB19088" s="318"/>
      <c r="AC19088" s="318"/>
      <c r="AD19088" s="318"/>
    </row>
    <row r="19089" spans="2:30" s="323" customFormat="1" ht="12" customHeight="1">
      <c r="B19089" s="324"/>
      <c r="C19089" s="325"/>
      <c r="D19089" s="326"/>
      <c r="E19089" s="326"/>
      <c r="F19089" s="326"/>
      <c r="G19089" s="326"/>
      <c r="H19089" s="326"/>
      <c r="P19089" s="318"/>
      <c r="Q19089" s="318"/>
      <c r="R19089" s="318"/>
      <c r="S19089" s="318"/>
      <c r="T19089" s="318"/>
      <c r="U19089" s="318"/>
      <c r="V19089" s="318"/>
      <c r="W19089" s="318"/>
      <c r="X19089" s="318"/>
      <c r="Y19089" s="318"/>
      <c r="Z19089" s="318"/>
      <c r="AA19089" s="318"/>
      <c r="AB19089" s="318"/>
      <c r="AC19089" s="318"/>
      <c r="AD19089" s="318"/>
    </row>
    <row r="19090" spans="2:30" s="323" customFormat="1" ht="12" customHeight="1">
      <c r="B19090" s="324"/>
      <c r="C19090" s="325"/>
      <c r="D19090" s="326"/>
      <c r="E19090" s="326"/>
      <c r="F19090" s="326"/>
      <c r="G19090" s="326"/>
      <c r="H19090" s="326"/>
      <c r="P19090" s="318"/>
      <c r="Q19090" s="318"/>
      <c r="R19090" s="318"/>
      <c r="S19090" s="318"/>
      <c r="T19090" s="318"/>
      <c r="U19090" s="318"/>
      <c r="V19090" s="318"/>
      <c r="W19090" s="318"/>
      <c r="X19090" s="318"/>
      <c r="Y19090" s="318"/>
      <c r="Z19090" s="318"/>
      <c r="AA19090" s="318"/>
      <c r="AB19090" s="318"/>
      <c r="AC19090" s="318"/>
      <c r="AD19090" s="318"/>
    </row>
    <row r="19091" spans="2:30" s="323" customFormat="1" ht="12" customHeight="1">
      <c r="B19091" s="324"/>
      <c r="C19091" s="325"/>
      <c r="D19091" s="326"/>
      <c r="E19091" s="326"/>
      <c r="F19091" s="326"/>
      <c r="G19091" s="326"/>
      <c r="H19091" s="326"/>
      <c r="P19091" s="318"/>
      <c r="Q19091" s="318"/>
      <c r="R19091" s="318"/>
      <c r="S19091" s="318"/>
      <c r="T19091" s="318"/>
      <c r="U19091" s="318"/>
      <c r="V19091" s="318"/>
      <c r="W19091" s="318"/>
      <c r="X19091" s="318"/>
      <c r="Y19091" s="318"/>
      <c r="Z19091" s="318"/>
      <c r="AA19091" s="318"/>
      <c r="AB19091" s="318"/>
      <c r="AC19091" s="318"/>
      <c r="AD19091" s="318"/>
    </row>
    <row r="19092" spans="2:30" s="323" customFormat="1" ht="12" customHeight="1">
      <c r="B19092" s="324"/>
      <c r="C19092" s="325"/>
      <c r="D19092" s="326"/>
      <c r="E19092" s="326"/>
      <c r="F19092" s="326"/>
      <c r="G19092" s="326"/>
      <c r="H19092" s="326"/>
      <c r="P19092" s="318"/>
      <c r="Q19092" s="318"/>
      <c r="R19092" s="318"/>
      <c r="S19092" s="318"/>
      <c r="T19092" s="318"/>
      <c r="U19092" s="318"/>
      <c r="V19092" s="318"/>
      <c r="W19092" s="318"/>
      <c r="X19092" s="318"/>
      <c r="Y19092" s="318"/>
      <c r="Z19092" s="318"/>
      <c r="AA19092" s="318"/>
      <c r="AB19092" s="318"/>
      <c r="AC19092" s="318"/>
      <c r="AD19092" s="318"/>
    </row>
    <row r="19093" spans="2:30" s="323" customFormat="1" ht="12" customHeight="1">
      <c r="B19093" s="324"/>
      <c r="C19093" s="325"/>
      <c r="D19093" s="326"/>
      <c r="E19093" s="326"/>
      <c r="F19093" s="326"/>
      <c r="G19093" s="326"/>
      <c r="H19093" s="326"/>
      <c r="P19093" s="318"/>
      <c r="Q19093" s="318"/>
      <c r="R19093" s="318"/>
      <c r="S19093" s="318"/>
      <c r="T19093" s="318"/>
      <c r="U19093" s="318"/>
      <c r="V19093" s="318"/>
      <c r="W19093" s="318"/>
      <c r="X19093" s="318"/>
      <c r="Y19093" s="318"/>
      <c r="Z19093" s="318"/>
      <c r="AA19093" s="318"/>
      <c r="AB19093" s="318"/>
      <c r="AC19093" s="318"/>
      <c r="AD19093" s="318"/>
    </row>
    <row r="19094" spans="2:30" s="323" customFormat="1" ht="12" customHeight="1">
      <c r="B19094" s="324"/>
      <c r="C19094" s="325"/>
      <c r="D19094" s="326"/>
      <c r="E19094" s="326"/>
      <c r="F19094" s="326"/>
      <c r="G19094" s="326"/>
      <c r="H19094" s="326"/>
      <c r="P19094" s="318"/>
      <c r="Q19094" s="318"/>
      <c r="R19094" s="318"/>
      <c r="S19094" s="318"/>
      <c r="T19094" s="318"/>
      <c r="U19094" s="318"/>
      <c r="V19094" s="318"/>
      <c r="W19094" s="318"/>
      <c r="X19094" s="318"/>
      <c r="Y19094" s="318"/>
      <c r="Z19094" s="318"/>
      <c r="AA19094" s="318"/>
      <c r="AB19094" s="318"/>
      <c r="AC19094" s="318"/>
      <c r="AD19094" s="318"/>
    </row>
    <row r="19095" spans="2:30" s="323" customFormat="1" ht="12" customHeight="1">
      <c r="B19095" s="324"/>
      <c r="C19095" s="325"/>
      <c r="D19095" s="326"/>
      <c r="E19095" s="326"/>
      <c r="F19095" s="326"/>
      <c r="G19095" s="326"/>
      <c r="H19095" s="326"/>
      <c r="P19095" s="318"/>
      <c r="Q19095" s="318"/>
      <c r="R19095" s="318"/>
      <c r="S19095" s="318"/>
      <c r="T19095" s="318"/>
      <c r="U19095" s="318"/>
      <c r="V19095" s="318"/>
      <c r="W19095" s="318"/>
      <c r="X19095" s="318"/>
      <c r="Y19095" s="318"/>
      <c r="Z19095" s="318"/>
      <c r="AA19095" s="318"/>
      <c r="AB19095" s="318"/>
      <c r="AC19095" s="318"/>
      <c r="AD19095" s="318"/>
    </row>
    <row r="19096" spans="2:30" s="323" customFormat="1" ht="12" customHeight="1">
      <c r="B19096" s="324"/>
      <c r="C19096" s="325"/>
      <c r="D19096" s="326"/>
      <c r="E19096" s="326"/>
      <c r="F19096" s="326"/>
      <c r="G19096" s="326"/>
      <c r="H19096" s="326"/>
      <c r="P19096" s="318"/>
      <c r="Q19096" s="318"/>
      <c r="R19096" s="318"/>
      <c r="S19096" s="318"/>
      <c r="T19096" s="318"/>
      <c r="U19096" s="318"/>
      <c r="V19096" s="318"/>
      <c r="W19096" s="318"/>
      <c r="X19096" s="318"/>
      <c r="Y19096" s="318"/>
      <c r="Z19096" s="318"/>
      <c r="AA19096" s="318"/>
      <c r="AB19096" s="318"/>
      <c r="AC19096" s="318"/>
      <c r="AD19096" s="318"/>
    </row>
    <row r="19097" spans="2:30" s="323" customFormat="1" ht="12" customHeight="1">
      <c r="B19097" s="324"/>
      <c r="C19097" s="325"/>
      <c r="D19097" s="326"/>
      <c r="E19097" s="326"/>
      <c r="F19097" s="326"/>
      <c r="G19097" s="326"/>
      <c r="H19097" s="326"/>
      <c r="P19097" s="318"/>
      <c r="Q19097" s="318"/>
      <c r="R19097" s="318"/>
      <c r="S19097" s="318"/>
      <c r="T19097" s="318"/>
      <c r="U19097" s="318"/>
      <c r="V19097" s="318"/>
      <c r="W19097" s="318"/>
      <c r="X19097" s="318"/>
      <c r="Y19097" s="318"/>
      <c r="Z19097" s="318"/>
      <c r="AA19097" s="318"/>
      <c r="AB19097" s="318"/>
      <c r="AC19097" s="318"/>
      <c r="AD19097" s="318"/>
    </row>
    <row r="19098" spans="2:30" s="323" customFormat="1" ht="12" customHeight="1">
      <c r="B19098" s="324"/>
      <c r="C19098" s="325"/>
      <c r="D19098" s="326"/>
      <c r="E19098" s="326"/>
      <c r="F19098" s="326"/>
      <c r="G19098" s="326"/>
      <c r="H19098" s="326"/>
      <c r="P19098" s="318"/>
      <c r="Q19098" s="318"/>
      <c r="R19098" s="318"/>
      <c r="S19098" s="318"/>
      <c r="T19098" s="318"/>
      <c r="U19098" s="318"/>
      <c r="V19098" s="318"/>
      <c r="W19098" s="318"/>
      <c r="X19098" s="318"/>
      <c r="Y19098" s="318"/>
      <c r="Z19098" s="318"/>
      <c r="AA19098" s="318"/>
      <c r="AB19098" s="318"/>
      <c r="AC19098" s="318"/>
      <c r="AD19098" s="318"/>
    </row>
    <row r="19099" spans="2:30" s="323" customFormat="1" ht="12" customHeight="1">
      <c r="B19099" s="324"/>
      <c r="C19099" s="325"/>
      <c r="D19099" s="326"/>
      <c r="E19099" s="326"/>
      <c r="F19099" s="326"/>
      <c r="G19099" s="326"/>
      <c r="H19099" s="326"/>
      <c r="P19099" s="318"/>
      <c r="Q19099" s="318"/>
      <c r="R19099" s="318"/>
      <c r="S19099" s="318"/>
      <c r="T19099" s="318"/>
      <c r="U19099" s="318"/>
      <c r="V19099" s="318"/>
      <c r="W19099" s="318"/>
      <c r="X19099" s="318"/>
      <c r="Y19099" s="318"/>
      <c r="Z19099" s="318"/>
      <c r="AA19099" s="318"/>
      <c r="AB19099" s="318"/>
      <c r="AC19099" s="318"/>
      <c r="AD19099" s="318"/>
    </row>
    <row r="19100" spans="2:30" s="323" customFormat="1" ht="12" customHeight="1">
      <c r="B19100" s="324"/>
      <c r="C19100" s="325"/>
      <c r="D19100" s="326"/>
      <c r="E19100" s="326"/>
      <c r="F19100" s="326"/>
      <c r="G19100" s="326"/>
      <c r="H19100" s="326"/>
      <c r="P19100" s="318"/>
      <c r="Q19100" s="318"/>
      <c r="R19100" s="318"/>
      <c r="S19100" s="318"/>
      <c r="T19100" s="318"/>
      <c r="U19100" s="318"/>
      <c r="V19100" s="318"/>
      <c r="W19100" s="318"/>
      <c r="X19100" s="318"/>
      <c r="Y19100" s="318"/>
      <c r="Z19100" s="318"/>
      <c r="AA19100" s="318"/>
      <c r="AB19100" s="318"/>
      <c r="AC19100" s="318"/>
      <c r="AD19100" s="318"/>
    </row>
    <row r="19101" spans="2:30" s="323" customFormat="1" ht="12" customHeight="1">
      <c r="B19101" s="324"/>
      <c r="C19101" s="325"/>
      <c r="D19101" s="326"/>
      <c r="E19101" s="326"/>
      <c r="F19101" s="326"/>
      <c r="G19101" s="326"/>
      <c r="H19101" s="326"/>
      <c r="P19101" s="318"/>
      <c r="Q19101" s="318"/>
      <c r="R19101" s="318"/>
      <c r="S19101" s="318"/>
      <c r="T19101" s="318"/>
      <c r="U19101" s="318"/>
      <c r="V19101" s="318"/>
      <c r="W19101" s="318"/>
      <c r="X19101" s="318"/>
      <c r="Y19101" s="318"/>
      <c r="Z19101" s="318"/>
      <c r="AA19101" s="318"/>
      <c r="AB19101" s="318"/>
      <c r="AC19101" s="318"/>
      <c r="AD19101" s="318"/>
    </row>
    <row r="19102" spans="2:30" s="323" customFormat="1" ht="12" customHeight="1">
      <c r="B19102" s="324"/>
      <c r="C19102" s="325"/>
      <c r="D19102" s="326"/>
      <c r="E19102" s="326"/>
      <c r="F19102" s="326"/>
      <c r="G19102" s="326"/>
      <c r="H19102" s="326"/>
      <c r="P19102" s="318"/>
      <c r="Q19102" s="318"/>
      <c r="R19102" s="318"/>
      <c r="S19102" s="318"/>
      <c r="T19102" s="318"/>
      <c r="U19102" s="318"/>
      <c r="V19102" s="318"/>
      <c r="W19102" s="318"/>
      <c r="X19102" s="318"/>
      <c r="Y19102" s="318"/>
      <c r="Z19102" s="318"/>
      <c r="AA19102" s="318"/>
      <c r="AB19102" s="318"/>
      <c r="AC19102" s="318"/>
      <c r="AD19102" s="318"/>
    </row>
    <row r="19103" spans="2:30" s="323" customFormat="1" ht="12" customHeight="1">
      <c r="B19103" s="324"/>
      <c r="C19103" s="325"/>
      <c r="D19103" s="326"/>
      <c r="E19103" s="326"/>
      <c r="F19103" s="326"/>
      <c r="G19103" s="326"/>
      <c r="H19103" s="326"/>
      <c r="P19103" s="318"/>
      <c r="Q19103" s="318"/>
      <c r="R19103" s="318"/>
      <c r="S19103" s="318"/>
      <c r="T19103" s="318"/>
      <c r="U19103" s="318"/>
      <c r="V19103" s="318"/>
      <c r="W19103" s="318"/>
      <c r="X19103" s="318"/>
      <c r="Y19103" s="318"/>
      <c r="Z19103" s="318"/>
      <c r="AA19103" s="318"/>
      <c r="AB19103" s="318"/>
      <c r="AC19103" s="318"/>
      <c r="AD19103" s="318"/>
    </row>
    <row r="19104" spans="2:30" s="323" customFormat="1" ht="12" customHeight="1">
      <c r="B19104" s="324"/>
      <c r="C19104" s="325"/>
      <c r="D19104" s="326"/>
      <c r="E19104" s="326"/>
      <c r="F19104" s="326"/>
      <c r="G19104" s="326"/>
      <c r="H19104" s="326"/>
      <c r="P19104" s="318"/>
      <c r="Q19104" s="318"/>
      <c r="R19104" s="318"/>
      <c r="S19104" s="318"/>
      <c r="T19104" s="318"/>
      <c r="U19104" s="318"/>
      <c r="V19104" s="318"/>
      <c r="W19104" s="318"/>
      <c r="X19104" s="318"/>
      <c r="Y19104" s="318"/>
      <c r="Z19104" s="318"/>
      <c r="AA19104" s="318"/>
      <c r="AB19104" s="318"/>
      <c r="AC19104" s="318"/>
      <c r="AD19104" s="318"/>
    </row>
    <row r="19105" spans="2:30" s="323" customFormat="1" ht="12" customHeight="1">
      <c r="B19105" s="324"/>
      <c r="C19105" s="325"/>
      <c r="D19105" s="326"/>
      <c r="E19105" s="326"/>
      <c r="F19105" s="326"/>
      <c r="G19105" s="326"/>
      <c r="H19105" s="326"/>
      <c r="P19105" s="318"/>
      <c r="Q19105" s="318"/>
      <c r="R19105" s="318"/>
      <c r="S19105" s="318"/>
      <c r="T19105" s="318"/>
      <c r="U19105" s="318"/>
      <c r="V19105" s="318"/>
      <c r="W19105" s="318"/>
      <c r="X19105" s="318"/>
      <c r="Y19105" s="318"/>
      <c r="Z19105" s="318"/>
      <c r="AA19105" s="318"/>
      <c r="AB19105" s="318"/>
      <c r="AC19105" s="318"/>
      <c r="AD19105" s="318"/>
    </row>
    <row r="19106" spans="2:30" s="323" customFormat="1" ht="12" customHeight="1">
      <c r="B19106" s="324"/>
      <c r="C19106" s="325"/>
      <c r="D19106" s="326"/>
      <c r="E19106" s="326"/>
      <c r="F19106" s="326"/>
      <c r="G19106" s="326"/>
      <c r="H19106" s="326"/>
      <c r="P19106" s="318"/>
      <c r="Q19106" s="318"/>
      <c r="R19106" s="318"/>
      <c r="S19106" s="318"/>
      <c r="T19106" s="318"/>
      <c r="U19106" s="318"/>
      <c r="V19106" s="318"/>
      <c r="W19106" s="318"/>
      <c r="X19106" s="318"/>
      <c r="Y19106" s="318"/>
      <c r="Z19106" s="318"/>
      <c r="AA19106" s="318"/>
      <c r="AB19106" s="318"/>
      <c r="AC19106" s="318"/>
      <c r="AD19106" s="318"/>
    </row>
    <row r="19107" spans="2:30" s="323" customFormat="1" ht="12" customHeight="1">
      <c r="B19107" s="324"/>
      <c r="C19107" s="325"/>
      <c r="D19107" s="326"/>
      <c r="E19107" s="326"/>
      <c r="F19107" s="326"/>
      <c r="G19107" s="326"/>
      <c r="H19107" s="326"/>
      <c r="P19107" s="318"/>
      <c r="Q19107" s="318"/>
      <c r="R19107" s="318"/>
      <c r="S19107" s="318"/>
      <c r="T19107" s="318"/>
      <c r="U19107" s="318"/>
      <c r="V19107" s="318"/>
      <c r="W19107" s="318"/>
      <c r="X19107" s="318"/>
      <c r="Y19107" s="318"/>
      <c r="Z19107" s="318"/>
      <c r="AA19107" s="318"/>
      <c r="AB19107" s="318"/>
      <c r="AC19107" s="318"/>
      <c r="AD19107" s="318"/>
    </row>
    <row r="19108" spans="2:30" s="323" customFormat="1" ht="12" customHeight="1">
      <c r="B19108" s="324"/>
      <c r="C19108" s="325"/>
      <c r="D19108" s="326"/>
      <c r="E19108" s="326"/>
      <c r="F19108" s="326"/>
      <c r="G19108" s="326"/>
      <c r="H19108" s="326"/>
      <c r="P19108" s="318"/>
      <c r="Q19108" s="318"/>
      <c r="R19108" s="318"/>
      <c r="S19108" s="318"/>
      <c r="T19108" s="318"/>
      <c r="U19108" s="318"/>
      <c r="V19108" s="318"/>
      <c r="W19108" s="318"/>
      <c r="X19108" s="318"/>
      <c r="Y19108" s="318"/>
      <c r="Z19108" s="318"/>
      <c r="AA19108" s="318"/>
      <c r="AB19108" s="318"/>
      <c r="AC19108" s="318"/>
      <c r="AD19108" s="318"/>
    </row>
    <row r="19109" spans="2:30" s="323" customFormat="1" ht="12" customHeight="1">
      <c r="B19109" s="324"/>
      <c r="C19109" s="325"/>
      <c r="D19109" s="326"/>
      <c r="E19109" s="326"/>
      <c r="F19109" s="326"/>
      <c r="G19109" s="326"/>
      <c r="H19109" s="326"/>
      <c r="P19109" s="318"/>
      <c r="Q19109" s="318"/>
      <c r="R19109" s="318"/>
      <c r="S19109" s="318"/>
      <c r="T19109" s="318"/>
      <c r="U19109" s="318"/>
      <c r="V19109" s="318"/>
      <c r="W19109" s="318"/>
      <c r="X19109" s="318"/>
      <c r="Y19109" s="318"/>
      <c r="Z19109" s="318"/>
      <c r="AA19109" s="318"/>
      <c r="AB19109" s="318"/>
      <c r="AC19109" s="318"/>
      <c r="AD19109" s="318"/>
    </row>
    <row r="19110" spans="2:30" s="323" customFormat="1" ht="12" customHeight="1">
      <c r="B19110" s="324"/>
      <c r="C19110" s="325"/>
      <c r="D19110" s="326"/>
      <c r="E19110" s="326"/>
      <c r="F19110" s="326"/>
      <c r="G19110" s="326"/>
      <c r="H19110" s="326"/>
      <c r="P19110" s="318"/>
      <c r="Q19110" s="318"/>
      <c r="R19110" s="318"/>
      <c r="S19110" s="318"/>
      <c r="T19110" s="318"/>
      <c r="U19110" s="318"/>
      <c r="V19110" s="318"/>
      <c r="W19110" s="318"/>
      <c r="X19110" s="318"/>
      <c r="Y19110" s="318"/>
      <c r="Z19110" s="318"/>
      <c r="AA19110" s="318"/>
      <c r="AB19110" s="318"/>
      <c r="AC19110" s="318"/>
      <c r="AD19110" s="318"/>
    </row>
    <row r="19111" spans="2:30" s="323" customFormat="1" ht="12" customHeight="1">
      <c r="B19111" s="324"/>
      <c r="C19111" s="325"/>
      <c r="D19111" s="326"/>
      <c r="E19111" s="326"/>
      <c r="F19111" s="326"/>
      <c r="G19111" s="326"/>
      <c r="H19111" s="326"/>
      <c r="P19111" s="318"/>
      <c r="Q19111" s="318"/>
      <c r="R19111" s="318"/>
      <c r="S19111" s="318"/>
      <c r="T19111" s="318"/>
      <c r="U19111" s="318"/>
      <c r="V19111" s="318"/>
      <c r="W19111" s="318"/>
      <c r="X19111" s="318"/>
      <c r="Y19111" s="318"/>
      <c r="Z19111" s="318"/>
      <c r="AA19111" s="318"/>
      <c r="AB19111" s="318"/>
      <c r="AC19111" s="318"/>
      <c r="AD19111" s="318"/>
    </row>
    <row r="19112" spans="2:30" s="323" customFormat="1" ht="12" customHeight="1">
      <c r="B19112" s="324"/>
      <c r="C19112" s="325"/>
      <c r="D19112" s="326"/>
      <c r="E19112" s="326"/>
      <c r="F19112" s="326"/>
      <c r="G19112" s="326"/>
      <c r="H19112" s="326"/>
      <c r="P19112" s="318"/>
      <c r="Q19112" s="318"/>
      <c r="R19112" s="318"/>
      <c r="S19112" s="318"/>
      <c r="T19112" s="318"/>
      <c r="U19112" s="318"/>
      <c r="V19112" s="318"/>
      <c r="W19112" s="318"/>
      <c r="X19112" s="318"/>
      <c r="Y19112" s="318"/>
      <c r="Z19112" s="318"/>
      <c r="AA19112" s="318"/>
      <c r="AB19112" s="318"/>
      <c r="AC19112" s="318"/>
      <c r="AD19112" s="318"/>
    </row>
    <row r="19113" spans="2:30" s="323" customFormat="1" ht="12" customHeight="1">
      <c r="B19113" s="324"/>
      <c r="C19113" s="325"/>
      <c r="D19113" s="326"/>
      <c r="E19113" s="326"/>
      <c r="F19113" s="326"/>
      <c r="G19113" s="326"/>
      <c r="H19113" s="326"/>
      <c r="P19113" s="318"/>
      <c r="Q19113" s="318"/>
      <c r="R19113" s="318"/>
      <c r="S19113" s="318"/>
      <c r="T19113" s="318"/>
      <c r="U19113" s="318"/>
      <c r="V19113" s="318"/>
      <c r="W19113" s="318"/>
      <c r="X19113" s="318"/>
      <c r="Y19113" s="318"/>
      <c r="Z19113" s="318"/>
      <c r="AA19113" s="318"/>
      <c r="AB19113" s="318"/>
      <c r="AC19113" s="318"/>
      <c r="AD19113" s="318"/>
    </row>
    <row r="19114" spans="2:30" s="323" customFormat="1" ht="12" customHeight="1">
      <c r="B19114" s="324"/>
      <c r="C19114" s="325"/>
      <c r="D19114" s="326"/>
      <c r="E19114" s="326"/>
      <c r="F19114" s="326"/>
      <c r="G19114" s="326"/>
      <c r="H19114" s="326"/>
      <c r="P19114" s="318"/>
      <c r="Q19114" s="318"/>
      <c r="R19114" s="318"/>
      <c r="S19114" s="318"/>
      <c r="T19114" s="318"/>
      <c r="U19114" s="318"/>
      <c r="V19114" s="318"/>
      <c r="W19114" s="318"/>
      <c r="X19114" s="318"/>
      <c r="Y19114" s="318"/>
      <c r="Z19114" s="318"/>
      <c r="AA19114" s="318"/>
      <c r="AB19114" s="318"/>
      <c r="AC19114" s="318"/>
      <c r="AD19114" s="318"/>
    </row>
    <row r="19115" spans="2:30" s="323" customFormat="1" ht="12" customHeight="1">
      <c r="B19115" s="324"/>
      <c r="C19115" s="325"/>
      <c r="D19115" s="326"/>
      <c r="E19115" s="326"/>
      <c r="F19115" s="326"/>
      <c r="G19115" s="326"/>
      <c r="H19115" s="326"/>
      <c r="P19115" s="318"/>
      <c r="Q19115" s="318"/>
      <c r="R19115" s="318"/>
      <c r="S19115" s="318"/>
      <c r="T19115" s="318"/>
      <c r="U19115" s="318"/>
      <c r="V19115" s="318"/>
      <c r="W19115" s="318"/>
      <c r="X19115" s="318"/>
      <c r="Y19115" s="318"/>
      <c r="Z19115" s="318"/>
      <c r="AA19115" s="318"/>
      <c r="AB19115" s="318"/>
      <c r="AC19115" s="318"/>
      <c r="AD19115" s="318"/>
    </row>
    <row r="19116" spans="2:30" s="323" customFormat="1" ht="12" customHeight="1">
      <c r="B19116" s="324"/>
      <c r="C19116" s="325"/>
      <c r="D19116" s="326"/>
      <c r="E19116" s="326"/>
      <c r="F19116" s="326"/>
      <c r="G19116" s="326"/>
      <c r="H19116" s="326"/>
      <c r="P19116" s="318"/>
      <c r="Q19116" s="318"/>
      <c r="R19116" s="318"/>
      <c r="S19116" s="318"/>
      <c r="T19116" s="318"/>
      <c r="U19116" s="318"/>
      <c r="V19116" s="318"/>
      <c r="W19116" s="318"/>
      <c r="X19116" s="318"/>
      <c r="Y19116" s="318"/>
      <c r="Z19116" s="318"/>
      <c r="AA19116" s="318"/>
      <c r="AB19116" s="318"/>
      <c r="AC19116" s="318"/>
      <c r="AD19116" s="318"/>
    </row>
    <row r="19117" spans="2:30" s="323" customFormat="1" ht="12" customHeight="1">
      <c r="B19117" s="324"/>
      <c r="C19117" s="325"/>
      <c r="D19117" s="326"/>
      <c r="E19117" s="326"/>
      <c r="F19117" s="326"/>
      <c r="G19117" s="326"/>
      <c r="H19117" s="326"/>
      <c r="P19117" s="318"/>
      <c r="Q19117" s="318"/>
      <c r="R19117" s="318"/>
      <c r="S19117" s="318"/>
      <c r="T19117" s="318"/>
      <c r="U19117" s="318"/>
      <c r="V19117" s="318"/>
      <c r="W19117" s="318"/>
      <c r="X19117" s="318"/>
      <c r="Y19117" s="318"/>
      <c r="Z19117" s="318"/>
      <c r="AA19117" s="318"/>
      <c r="AB19117" s="318"/>
      <c r="AC19117" s="318"/>
      <c r="AD19117" s="318"/>
    </row>
    <row r="19118" spans="2:30" s="323" customFormat="1" ht="12" customHeight="1">
      <c r="B19118" s="324"/>
      <c r="C19118" s="325"/>
      <c r="D19118" s="326"/>
      <c r="E19118" s="326"/>
      <c r="F19118" s="326"/>
      <c r="G19118" s="326"/>
      <c r="H19118" s="326"/>
      <c r="P19118" s="318"/>
      <c r="Q19118" s="318"/>
      <c r="R19118" s="318"/>
      <c r="S19118" s="318"/>
      <c r="T19118" s="318"/>
      <c r="U19118" s="318"/>
      <c r="V19118" s="318"/>
      <c r="W19118" s="318"/>
      <c r="X19118" s="318"/>
      <c r="Y19118" s="318"/>
      <c r="Z19118" s="318"/>
      <c r="AA19118" s="318"/>
      <c r="AB19118" s="318"/>
      <c r="AC19118" s="318"/>
      <c r="AD19118" s="318"/>
    </row>
    <row r="19119" spans="2:30" s="323" customFormat="1" ht="12" customHeight="1">
      <c r="B19119" s="324"/>
      <c r="C19119" s="325"/>
      <c r="D19119" s="326"/>
      <c r="E19119" s="326"/>
      <c r="F19119" s="326"/>
      <c r="G19119" s="326"/>
      <c r="H19119" s="326"/>
      <c r="P19119" s="318"/>
      <c r="Q19119" s="318"/>
      <c r="R19119" s="318"/>
      <c r="S19119" s="318"/>
      <c r="T19119" s="318"/>
      <c r="U19119" s="318"/>
      <c r="V19119" s="318"/>
      <c r="W19119" s="318"/>
      <c r="X19119" s="318"/>
      <c r="Y19119" s="318"/>
      <c r="Z19119" s="318"/>
      <c r="AA19119" s="318"/>
      <c r="AB19119" s="318"/>
      <c r="AC19119" s="318"/>
      <c r="AD19119" s="318"/>
    </row>
    <row r="19120" spans="2:30" s="323" customFormat="1" ht="12" customHeight="1">
      <c r="B19120" s="324"/>
      <c r="C19120" s="325"/>
      <c r="D19120" s="326"/>
      <c r="E19120" s="326"/>
      <c r="F19120" s="326"/>
      <c r="G19120" s="326"/>
      <c r="H19120" s="326"/>
      <c r="P19120" s="318"/>
      <c r="Q19120" s="318"/>
      <c r="R19120" s="318"/>
      <c r="S19120" s="318"/>
      <c r="T19120" s="318"/>
      <c r="U19120" s="318"/>
      <c r="V19120" s="318"/>
      <c r="W19120" s="318"/>
      <c r="X19120" s="318"/>
      <c r="Y19120" s="318"/>
      <c r="Z19120" s="318"/>
      <c r="AA19120" s="318"/>
      <c r="AB19120" s="318"/>
      <c r="AC19120" s="318"/>
      <c r="AD19120" s="318"/>
    </row>
    <row r="19121" spans="2:30" s="323" customFormat="1" ht="12" customHeight="1">
      <c r="B19121" s="324"/>
      <c r="C19121" s="325"/>
      <c r="D19121" s="326"/>
      <c r="E19121" s="326"/>
      <c r="F19121" s="326"/>
      <c r="G19121" s="326"/>
      <c r="H19121" s="326"/>
      <c r="P19121" s="318"/>
      <c r="Q19121" s="318"/>
      <c r="R19121" s="318"/>
      <c r="S19121" s="318"/>
      <c r="T19121" s="318"/>
      <c r="U19121" s="318"/>
      <c r="V19121" s="318"/>
      <c r="W19121" s="318"/>
      <c r="X19121" s="318"/>
      <c r="Y19121" s="318"/>
      <c r="Z19121" s="318"/>
      <c r="AA19121" s="318"/>
      <c r="AB19121" s="318"/>
      <c r="AC19121" s="318"/>
      <c r="AD19121" s="318"/>
    </row>
    <row r="19122" spans="2:30" s="323" customFormat="1" ht="12" customHeight="1">
      <c r="B19122" s="324"/>
      <c r="C19122" s="325"/>
      <c r="D19122" s="326"/>
      <c r="E19122" s="326"/>
      <c r="F19122" s="326"/>
      <c r="G19122" s="326"/>
      <c r="H19122" s="326"/>
      <c r="P19122" s="318"/>
      <c r="Q19122" s="318"/>
      <c r="R19122" s="318"/>
      <c r="S19122" s="318"/>
      <c r="T19122" s="318"/>
      <c r="U19122" s="318"/>
      <c r="V19122" s="318"/>
      <c r="W19122" s="318"/>
      <c r="X19122" s="318"/>
      <c r="Y19122" s="318"/>
      <c r="Z19122" s="318"/>
      <c r="AA19122" s="318"/>
      <c r="AB19122" s="318"/>
      <c r="AC19122" s="318"/>
      <c r="AD19122" s="318"/>
    </row>
    <row r="19123" spans="2:30" s="323" customFormat="1" ht="12" customHeight="1">
      <c r="B19123" s="324"/>
      <c r="C19123" s="325"/>
      <c r="D19123" s="326"/>
      <c r="E19123" s="326"/>
      <c r="F19123" s="326"/>
      <c r="G19123" s="326"/>
      <c r="H19123" s="326"/>
      <c r="P19123" s="318"/>
      <c r="Q19123" s="318"/>
      <c r="R19123" s="318"/>
      <c r="S19123" s="318"/>
      <c r="T19123" s="318"/>
      <c r="U19123" s="318"/>
      <c r="V19123" s="318"/>
      <c r="W19123" s="318"/>
      <c r="X19123" s="318"/>
      <c r="Y19123" s="318"/>
      <c r="Z19123" s="318"/>
      <c r="AA19123" s="318"/>
      <c r="AB19123" s="318"/>
      <c r="AC19123" s="318"/>
      <c r="AD19123" s="318"/>
    </row>
    <row r="19124" spans="2:30" s="323" customFormat="1" ht="12" customHeight="1">
      <c r="B19124" s="324"/>
      <c r="C19124" s="325"/>
      <c r="D19124" s="326"/>
      <c r="E19124" s="326"/>
      <c r="F19124" s="326"/>
      <c r="G19124" s="326"/>
      <c r="H19124" s="326"/>
      <c r="P19124" s="318"/>
      <c r="Q19124" s="318"/>
      <c r="R19124" s="318"/>
      <c r="S19124" s="318"/>
      <c r="T19124" s="318"/>
      <c r="U19124" s="318"/>
      <c r="V19124" s="318"/>
      <c r="W19124" s="318"/>
      <c r="X19124" s="318"/>
      <c r="Y19124" s="318"/>
      <c r="Z19124" s="318"/>
      <c r="AA19124" s="318"/>
      <c r="AB19124" s="318"/>
      <c r="AC19124" s="318"/>
      <c r="AD19124" s="318"/>
    </row>
    <row r="19125" spans="2:30" s="323" customFormat="1" ht="12" customHeight="1">
      <c r="B19125" s="324"/>
      <c r="C19125" s="325"/>
      <c r="D19125" s="326"/>
      <c r="E19125" s="326"/>
      <c r="F19125" s="326"/>
      <c r="G19125" s="326"/>
      <c r="H19125" s="326"/>
      <c r="P19125" s="318"/>
      <c r="Q19125" s="318"/>
      <c r="R19125" s="318"/>
      <c r="S19125" s="318"/>
      <c r="T19125" s="318"/>
      <c r="U19125" s="318"/>
      <c r="V19125" s="318"/>
      <c r="W19125" s="318"/>
      <c r="X19125" s="318"/>
      <c r="Y19125" s="318"/>
      <c r="Z19125" s="318"/>
      <c r="AA19125" s="318"/>
      <c r="AB19125" s="318"/>
      <c r="AC19125" s="318"/>
      <c r="AD19125" s="318"/>
    </row>
    <row r="19126" spans="2:30" s="323" customFormat="1" ht="12" customHeight="1">
      <c r="B19126" s="324"/>
      <c r="C19126" s="325"/>
      <c r="D19126" s="326"/>
      <c r="E19126" s="326"/>
      <c r="F19126" s="326"/>
      <c r="G19126" s="326"/>
      <c r="H19126" s="326"/>
      <c r="P19126" s="318"/>
      <c r="Q19126" s="318"/>
      <c r="R19126" s="318"/>
      <c r="S19126" s="318"/>
      <c r="T19126" s="318"/>
      <c r="U19126" s="318"/>
      <c r="V19126" s="318"/>
      <c r="W19126" s="318"/>
      <c r="X19126" s="318"/>
      <c r="Y19126" s="318"/>
      <c r="Z19126" s="318"/>
      <c r="AA19126" s="318"/>
      <c r="AB19126" s="318"/>
      <c r="AC19126" s="318"/>
      <c r="AD19126" s="318"/>
    </row>
    <row r="19127" spans="2:30" s="323" customFormat="1" ht="12" customHeight="1">
      <c r="B19127" s="324"/>
      <c r="C19127" s="325"/>
      <c r="D19127" s="326"/>
      <c r="E19127" s="326"/>
      <c r="F19127" s="326"/>
      <c r="G19127" s="326"/>
      <c r="H19127" s="326"/>
      <c r="P19127" s="318"/>
      <c r="Q19127" s="318"/>
      <c r="R19127" s="318"/>
      <c r="S19127" s="318"/>
      <c r="T19127" s="318"/>
      <c r="U19127" s="318"/>
      <c r="V19127" s="318"/>
      <c r="W19127" s="318"/>
      <c r="X19127" s="318"/>
      <c r="Y19127" s="318"/>
      <c r="Z19127" s="318"/>
      <c r="AA19127" s="318"/>
      <c r="AB19127" s="318"/>
      <c r="AC19127" s="318"/>
      <c r="AD19127" s="318"/>
    </row>
    <row r="19128" spans="2:30" s="323" customFormat="1" ht="12" customHeight="1">
      <c r="B19128" s="324"/>
      <c r="C19128" s="325"/>
      <c r="D19128" s="326"/>
      <c r="E19128" s="326"/>
      <c r="F19128" s="326"/>
      <c r="G19128" s="326"/>
      <c r="H19128" s="326"/>
      <c r="P19128" s="318"/>
      <c r="Q19128" s="318"/>
      <c r="R19128" s="318"/>
      <c r="S19128" s="318"/>
      <c r="T19128" s="318"/>
      <c r="U19128" s="318"/>
      <c r="V19128" s="318"/>
      <c r="W19128" s="318"/>
      <c r="X19128" s="318"/>
      <c r="Y19128" s="318"/>
      <c r="Z19128" s="318"/>
      <c r="AA19128" s="318"/>
      <c r="AB19128" s="318"/>
      <c r="AC19128" s="318"/>
      <c r="AD19128" s="318"/>
    </row>
    <row r="19129" spans="2:30" s="323" customFormat="1" ht="12" customHeight="1">
      <c r="B19129" s="324"/>
      <c r="C19129" s="325"/>
      <c r="D19129" s="326"/>
      <c r="E19129" s="326"/>
      <c r="F19129" s="326"/>
      <c r="G19129" s="326"/>
      <c r="H19129" s="326"/>
      <c r="P19129" s="318"/>
      <c r="Q19129" s="318"/>
      <c r="R19129" s="318"/>
      <c r="S19129" s="318"/>
      <c r="T19129" s="318"/>
      <c r="U19129" s="318"/>
      <c r="V19129" s="318"/>
      <c r="W19129" s="318"/>
      <c r="X19129" s="318"/>
      <c r="Y19129" s="318"/>
      <c r="Z19129" s="318"/>
      <c r="AA19129" s="318"/>
      <c r="AB19129" s="318"/>
      <c r="AC19129" s="318"/>
      <c r="AD19129" s="318"/>
    </row>
    <row r="19130" spans="2:30" s="323" customFormat="1" ht="12" customHeight="1">
      <c r="B19130" s="324"/>
      <c r="C19130" s="325"/>
      <c r="D19130" s="326"/>
      <c r="E19130" s="326"/>
      <c r="F19130" s="326"/>
      <c r="G19130" s="326"/>
      <c r="H19130" s="326"/>
      <c r="P19130" s="318"/>
      <c r="Q19130" s="318"/>
      <c r="R19130" s="318"/>
      <c r="S19130" s="318"/>
      <c r="T19130" s="318"/>
      <c r="U19130" s="318"/>
      <c r="V19130" s="318"/>
      <c r="W19130" s="318"/>
      <c r="X19130" s="318"/>
      <c r="Y19130" s="318"/>
      <c r="Z19130" s="318"/>
      <c r="AA19130" s="318"/>
      <c r="AB19130" s="318"/>
      <c r="AC19130" s="318"/>
      <c r="AD19130" s="318"/>
    </row>
    <row r="19131" spans="2:30" s="323" customFormat="1" ht="12" customHeight="1">
      <c r="B19131" s="324"/>
      <c r="C19131" s="325"/>
      <c r="D19131" s="326"/>
      <c r="E19131" s="326"/>
      <c r="F19131" s="326"/>
      <c r="G19131" s="326"/>
      <c r="H19131" s="326"/>
      <c r="P19131" s="318"/>
      <c r="Q19131" s="318"/>
      <c r="R19131" s="318"/>
      <c r="S19131" s="318"/>
      <c r="T19131" s="318"/>
      <c r="U19131" s="318"/>
      <c r="V19131" s="318"/>
      <c r="W19131" s="318"/>
      <c r="X19131" s="318"/>
      <c r="Y19131" s="318"/>
      <c r="Z19131" s="318"/>
      <c r="AA19131" s="318"/>
      <c r="AB19131" s="318"/>
      <c r="AC19131" s="318"/>
      <c r="AD19131" s="318"/>
    </row>
    <row r="19132" spans="2:30" s="323" customFormat="1" ht="12" customHeight="1">
      <c r="B19132" s="324"/>
      <c r="C19132" s="325"/>
      <c r="D19132" s="326"/>
      <c r="E19132" s="326"/>
      <c r="F19132" s="326"/>
      <c r="G19132" s="326"/>
      <c r="H19132" s="326"/>
      <c r="P19132" s="318"/>
      <c r="Q19132" s="318"/>
      <c r="R19132" s="318"/>
      <c r="S19132" s="318"/>
      <c r="T19132" s="318"/>
      <c r="U19132" s="318"/>
      <c r="V19132" s="318"/>
      <c r="W19132" s="318"/>
      <c r="X19132" s="318"/>
      <c r="Y19132" s="318"/>
      <c r="Z19132" s="318"/>
      <c r="AA19132" s="318"/>
      <c r="AB19132" s="318"/>
      <c r="AC19132" s="318"/>
      <c r="AD19132" s="318"/>
    </row>
    <row r="19133" spans="2:30" s="323" customFormat="1" ht="12" customHeight="1">
      <c r="B19133" s="324"/>
      <c r="C19133" s="325"/>
      <c r="D19133" s="326"/>
      <c r="E19133" s="326"/>
      <c r="F19133" s="326"/>
      <c r="G19133" s="326"/>
      <c r="H19133" s="326"/>
      <c r="P19133" s="318"/>
      <c r="Q19133" s="318"/>
      <c r="R19133" s="318"/>
      <c r="S19133" s="318"/>
      <c r="T19133" s="318"/>
      <c r="U19133" s="318"/>
      <c r="V19133" s="318"/>
      <c r="W19133" s="318"/>
      <c r="X19133" s="318"/>
      <c r="Y19133" s="318"/>
      <c r="Z19133" s="318"/>
      <c r="AA19133" s="318"/>
      <c r="AB19133" s="318"/>
      <c r="AC19133" s="318"/>
      <c r="AD19133" s="318"/>
    </row>
    <row r="19134" spans="2:30" s="323" customFormat="1" ht="12" customHeight="1">
      <c r="B19134" s="324"/>
      <c r="C19134" s="325"/>
      <c r="D19134" s="326"/>
      <c r="E19134" s="326"/>
      <c r="F19134" s="326"/>
      <c r="G19134" s="326"/>
      <c r="H19134" s="326"/>
      <c r="P19134" s="318"/>
      <c r="Q19134" s="318"/>
      <c r="R19134" s="318"/>
      <c r="S19134" s="318"/>
      <c r="T19134" s="318"/>
      <c r="U19134" s="318"/>
      <c r="V19134" s="318"/>
      <c r="W19134" s="318"/>
      <c r="X19134" s="318"/>
      <c r="Y19134" s="318"/>
      <c r="Z19134" s="318"/>
      <c r="AA19134" s="318"/>
      <c r="AB19134" s="318"/>
      <c r="AC19134" s="318"/>
      <c r="AD19134" s="318"/>
    </row>
    <row r="19135" spans="2:30" s="323" customFormat="1" ht="12" customHeight="1">
      <c r="B19135" s="324"/>
      <c r="C19135" s="325"/>
      <c r="D19135" s="326"/>
      <c r="E19135" s="326"/>
      <c r="F19135" s="326"/>
      <c r="G19135" s="326"/>
      <c r="H19135" s="326"/>
      <c r="P19135" s="318"/>
      <c r="Q19135" s="318"/>
      <c r="R19135" s="318"/>
      <c r="S19135" s="318"/>
      <c r="T19135" s="318"/>
      <c r="U19135" s="318"/>
      <c r="V19135" s="318"/>
      <c r="W19135" s="318"/>
      <c r="X19135" s="318"/>
      <c r="Y19135" s="318"/>
      <c r="Z19135" s="318"/>
      <c r="AA19135" s="318"/>
      <c r="AB19135" s="318"/>
      <c r="AC19135" s="318"/>
      <c r="AD19135" s="318"/>
    </row>
    <row r="19136" spans="2:30" s="323" customFormat="1" ht="12" customHeight="1">
      <c r="B19136" s="324"/>
      <c r="C19136" s="325"/>
      <c r="D19136" s="326"/>
      <c r="E19136" s="326"/>
      <c r="F19136" s="326"/>
      <c r="G19136" s="326"/>
      <c r="H19136" s="326"/>
      <c r="P19136" s="318"/>
      <c r="Q19136" s="318"/>
      <c r="R19136" s="318"/>
      <c r="S19136" s="318"/>
      <c r="T19136" s="318"/>
      <c r="U19136" s="318"/>
      <c r="V19136" s="318"/>
      <c r="W19136" s="318"/>
      <c r="X19136" s="318"/>
      <c r="Y19136" s="318"/>
      <c r="Z19136" s="318"/>
      <c r="AA19136" s="318"/>
      <c r="AB19136" s="318"/>
      <c r="AC19136" s="318"/>
      <c r="AD19136" s="318"/>
    </row>
    <row r="19137" spans="2:30" s="323" customFormat="1" ht="12" customHeight="1">
      <c r="B19137" s="324"/>
      <c r="C19137" s="325"/>
      <c r="D19137" s="326"/>
      <c r="E19137" s="326"/>
      <c r="F19137" s="326"/>
      <c r="G19137" s="326"/>
      <c r="H19137" s="326"/>
      <c r="P19137" s="318"/>
      <c r="Q19137" s="318"/>
      <c r="R19137" s="318"/>
      <c r="S19137" s="318"/>
      <c r="T19137" s="318"/>
      <c r="U19137" s="318"/>
      <c r="V19137" s="318"/>
      <c r="W19137" s="318"/>
      <c r="X19137" s="318"/>
      <c r="Y19137" s="318"/>
      <c r="Z19137" s="318"/>
      <c r="AA19137" s="318"/>
      <c r="AB19137" s="318"/>
      <c r="AC19137" s="318"/>
      <c r="AD19137" s="318"/>
    </row>
    <row r="19138" spans="2:30" s="323" customFormat="1" ht="12" customHeight="1">
      <c r="B19138" s="324"/>
      <c r="C19138" s="325"/>
      <c r="D19138" s="326"/>
      <c r="E19138" s="326"/>
      <c r="F19138" s="326"/>
      <c r="G19138" s="326"/>
      <c r="H19138" s="326"/>
      <c r="P19138" s="318"/>
      <c r="Q19138" s="318"/>
      <c r="R19138" s="318"/>
      <c r="S19138" s="318"/>
      <c r="T19138" s="318"/>
      <c r="U19138" s="318"/>
      <c r="V19138" s="318"/>
      <c r="W19138" s="318"/>
      <c r="X19138" s="318"/>
      <c r="Y19138" s="318"/>
      <c r="Z19138" s="318"/>
      <c r="AA19138" s="318"/>
      <c r="AB19138" s="318"/>
      <c r="AC19138" s="318"/>
      <c r="AD19138" s="318"/>
    </row>
    <row r="19139" spans="2:30" s="323" customFormat="1" ht="12" customHeight="1">
      <c r="B19139" s="324"/>
      <c r="C19139" s="325"/>
      <c r="D19139" s="326"/>
      <c r="E19139" s="326"/>
      <c r="F19139" s="326"/>
      <c r="G19139" s="326"/>
      <c r="H19139" s="326"/>
      <c r="P19139" s="318"/>
      <c r="Q19139" s="318"/>
      <c r="R19139" s="318"/>
      <c r="S19139" s="318"/>
      <c r="T19139" s="318"/>
      <c r="U19139" s="318"/>
      <c r="V19139" s="318"/>
      <c r="W19139" s="318"/>
      <c r="X19139" s="318"/>
      <c r="Y19139" s="318"/>
      <c r="Z19139" s="318"/>
      <c r="AA19139" s="318"/>
      <c r="AB19139" s="318"/>
      <c r="AC19139" s="318"/>
      <c r="AD19139" s="318"/>
    </row>
    <row r="19140" spans="2:30" s="323" customFormat="1" ht="12" customHeight="1">
      <c r="B19140" s="324"/>
      <c r="C19140" s="325"/>
      <c r="D19140" s="326"/>
      <c r="E19140" s="326"/>
      <c r="F19140" s="326"/>
      <c r="G19140" s="326"/>
      <c r="H19140" s="326"/>
      <c r="P19140" s="318"/>
      <c r="Q19140" s="318"/>
      <c r="R19140" s="318"/>
      <c r="S19140" s="318"/>
      <c r="T19140" s="318"/>
      <c r="U19140" s="318"/>
      <c r="V19140" s="318"/>
      <c r="W19140" s="318"/>
      <c r="X19140" s="318"/>
      <c r="Y19140" s="318"/>
      <c r="Z19140" s="318"/>
      <c r="AA19140" s="318"/>
      <c r="AB19140" s="318"/>
      <c r="AC19140" s="318"/>
      <c r="AD19140" s="318"/>
    </row>
    <row r="19141" spans="2:30" s="323" customFormat="1" ht="12" customHeight="1">
      <c r="B19141" s="324"/>
      <c r="C19141" s="325"/>
      <c r="D19141" s="326"/>
      <c r="E19141" s="326"/>
      <c r="F19141" s="326"/>
      <c r="G19141" s="326"/>
      <c r="H19141" s="326"/>
      <c r="P19141" s="318"/>
      <c r="Q19141" s="318"/>
      <c r="R19141" s="318"/>
      <c r="S19141" s="318"/>
      <c r="T19141" s="318"/>
      <c r="U19141" s="318"/>
      <c r="V19141" s="318"/>
      <c r="W19141" s="318"/>
      <c r="X19141" s="318"/>
      <c r="Y19141" s="318"/>
      <c r="Z19141" s="318"/>
      <c r="AA19141" s="318"/>
      <c r="AB19141" s="318"/>
      <c r="AC19141" s="318"/>
      <c r="AD19141" s="318"/>
    </row>
    <row r="19142" spans="2:30" s="323" customFormat="1" ht="12" customHeight="1">
      <c r="B19142" s="324"/>
      <c r="C19142" s="325"/>
      <c r="D19142" s="326"/>
      <c r="E19142" s="326"/>
      <c r="F19142" s="326"/>
      <c r="G19142" s="326"/>
      <c r="H19142" s="326"/>
      <c r="P19142" s="318"/>
      <c r="Q19142" s="318"/>
      <c r="R19142" s="318"/>
      <c r="S19142" s="318"/>
      <c r="T19142" s="318"/>
      <c r="U19142" s="318"/>
      <c r="V19142" s="318"/>
      <c r="W19142" s="318"/>
      <c r="X19142" s="318"/>
      <c r="Y19142" s="318"/>
      <c r="Z19142" s="318"/>
      <c r="AA19142" s="318"/>
      <c r="AB19142" s="318"/>
      <c r="AC19142" s="318"/>
      <c r="AD19142" s="318"/>
    </row>
    <row r="19143" spans="2:30" s="323" customFormat="1" ht="12" customHeight="1">
      <c r="B19143" s="324"/>
      <c r="C19143" s="325"/>
      <c r="D19143" s="326"/>
      <c r="E19143" s="326"/>
      <c r="F19143" s="326"/>
      <c r="G19143" s="326"/>
      <c r="H19143" s="326"/>
      <c r="P19143" s="318"/>
      <c r="Q19143" s="318"/>
      <c r="R19143" s="318"/>
      <c r="S19143" s="318"/>
      <c r="T19143" s="318"/>
      <c r="U19143" s="318"/>
      <c r="V19143" s="318"/>
      <c r="W19143" s="318"/>
      <c r="X19143" s="318"/>
      <c r="Y19143" s="318"/>
      <c r="Z19143" s="318"/>
      <c r="AA19143" s="318"/>
      <c r="AB19143" s="318"/>
      <c r="AC19143" s="318"/>
      <c r="AD19143" s="318"/>
    </row>
    <row r="19144" spans="2:30" s="323" customFormat="1" ht="12" customHeight="1">
      <c r="B19144" s="324"/>
      <c r="C19144" s="325"/>
      <c r="D19144" s="326"/>
      <c r="E19144" s="326"/>
      <c r="F19144" s="326"/>
      <c r="G19144" s="326"/>
      <c r="H19144" s="326"/>
      <c r="P19144" s="318"/>
      <c r="Q19144" s="318"/>
      <c r="R19144" s="318"/>
      <c r="S19144" s="318"/>
      <c r="T19144" s="318"/>
      <c r="U19144" s="318"/>
      <c r="V19144" s="318"/>
      <c r="W19144" s="318"/>
      <c r="X19144" s="318"/>
      <c r="Y19144" s="318"/>
      <c r="Z19144" s="318"/>
      <c r="AA19144" s="318"/>
      <c r="AB19144" s="318"/>
      <c r="AC19144" s="318"/>
      <c r="AD19144" s="318"/>
    </row>
    <row r="19145" spans="2:30" s="323" customFormat="1" ht="12" customHeight="1">
      <c r="B19145" s="324"/>
      <c r="C19145" s="325"/>
      <c r="D19145" s="326"/>
      <c r="E19145" s="326"/>
      <c r="F19145" s="326"/>
      <c r="G19145" s="326"/>
      <c r="H19145" s="326"/>
      <c r="P19145" s="318"/>
      <c r="Q19145" s="318"/>
      <c r="R19145" s="318"/>
      <c r="S19145" s="318"/>
      <c r="T19145" s="318"/>
      <c r="U19145" s="318"/>
      <c r="V19145" s="318"/>
      <c r="W19145" s="318"/>
      <c r="X19145" s="318"/>
      <c r="Y19145" s="318"/>
      <c r="Z19145" s="318"/>
      <c r="AA19145" s="318"/>
      <c r="AB19145" s="318"/>
      <c r="AC19145" s="318"/>
      <c r="AD19145" s="318"/>
    </row>
    <row r="19146" spans="2:30" s="323" customFormat="1" ht="12" customHeight="1">
      <c r="B19146" s="324"/>
      <c r="C19146" s="325"/>
      <c r="D19146" s="326"/>
      <c r="E19146" s="326"/>
      <c r="F19146" s="326"/>
      <c r="G19146" s="326"/>
      <c r="H19146" s="326"/>
      <c r="P19146" s="318"/>
      <c r="Q19146" s="318"/>
      <c r="R19146" s="318"/>
      <c r="S19146" s="318"/>
      <c r="T19146" s="318"/>
      <c r="U19146" s="318"/>
      <c r="V19146" s="318"/>
      <c r="W19146" s="318"/>
      <c r="X19146" s="318"/>
      <c r="Y19146" s="318"/>
      <c r="Z19146" s="318"/>
      <c r="AA19146" s="318"/>
      <c r="AB19146" s="318"/>
      <c r="AC19146" s="318"/>
      <c r="AD19146" s="318"/>
    </row>
    <row r="19147" spans="2:30" s="323" customFormat="1" ht="12" customHeight="1">
      <c r="B19147" s="324"/>
      <c r="C19147" s="325"/>
      <c r="D19147" s="326"/>
      <c r="E19147" s="326"/>
      <c r="F19147" s="326"/>
      <c r="G19147" s="326"/>
      <c r="H19147" s="326"/>
      <c r="P19147" s="318"/>
      <c r="Q19147" s="318"/>
      <c r="R19147" s="318"/>
      <c r="S19147" s="318"/>
      <c r="T19147" s="318"/>
      <c r="U19147" s="318"/>
      <c r="V19147" s="318"/>
      <c r="W19147" s="318"/>
      <c r="X19147" s="318"/>
      <c r="Y19147" s="318"/>
      <c r="Z19147" s="318"/>
      <c r="AA19147" s="318"/>
      <c r="AB19147" s="318"/>
      <c r="AC19147" s="318"/>
      <c r="AD19147" s="318"/>
    </row>
    <row r="19148" spans="2:30" s="323" customFormat="1" ht="12" customHeight="1">
      <c r="B19148" s="324"/>
      <c r="C19148" s="325"/>
      <c r="D19148" s="326"/>
      <c r="E19148" s="326"/>
      <c r="F19148" s="326"/>
      <c r="G19148" s="326"/>
      <c r="H19148" s="326"/>
      <c r="P19148" s="318"/>
      <c r="Q19148" s="318"/>
      <c r="R19148" s="318"/>
      <c r="S19148" s="318"/>
      <c r="T19148" s="318"/>
      <c r="U19148" s="318"/>
      <c r="V19148" s="318"/>
      <c r="W19148" s="318"/>
      <c r="X19148" s="318"/>
      <c r="Y19148" s="318"/>
      <c r="Z19148" s="318"/>
      <c r="AA19148" s="318"/>
      <c r="AB19148" s="318"/>
      <c r="AC19148" s="318"/>
      <c r="AD19148" s="318"/>
    </row>
    <row r="19149" spans="2:30" s="323" customFormat="1" ht="12" customHeight="1">
      <c r="B19149" s="324"/>
      <c r="C19149" s="325"/>
      <c r="D19149" s="326"/>
      <c r="E19149" s="326"/>
      <c r="F19149" s="326"/>
      <c r="G19149" s="326"/>
      <c r="H19149" s="326"/>
      <c r="P19149" s="318"/>
      <c r="Q19149" s="318"/>
      <c r="R19149" s="318"/>
      <c r="S19149" s="318"/>
      <c r="T19149" s="318"/>
      <c r="U19149" s="318"/>
      <c r="V19149" s="318"/>
      <c r="W19149" s="318"/>
      <c r="X19149" s="318"/>
      <c r="Y19149" s="318"/>
      <c r="Z19149" s="318"/>
      <c r="AA19149" s="318"/>
      <c r="AB19149" s="318"/>
      <c r="AC19149" s="318"/>
      <c r="AD19149" s="318"/>
    </row>
    <row r="19150" spans="2:30" s="323" customFormat="1" ht="12" customHeight="1">
      <c r="B19150" s="324"/>
      <c r="C19150" s="325"/>
      <c r="D19150" s="326"/>
      <c r="E19150" s="326"/>
      <c r="F19150" s="326"/>
      <c r="G19150" s="326"/>
      <c r="H19150" s="326"/>
      <c r="P19150" s="318"/>
      <c r="Q19150" s="318"/>
      <c r="R19150" s="318"/>
      <c r="S19150" s="318"/>
      <c r="T19150" s="318"/>
      <c r="U19150" s="318"/>
      <c r="V19150" s="318"/>
      <c r="W19150" s="318"/>
      <c r="X19150" s="318"/>
      <c r="Y19150" s="318"/>
      <c r="Z19150" s="318"/>
      <c r="AA19150" s="318"/>
      <c r="AB19150" s="318"/>
      <c r="AC19150" s="318"/>
      <c r="AD19150" s="318"/>
    </row>
    <row r="19151" spans="2:30" s="323" customFormat="1" ht="12" customHeight="1">
      <c r="B19151" s="324"/>
      <c r="C19151" s="325"/>
      <c r="D19151" s="326"/>
      <c r="E19151" s="326"/>
      <c r="F19151" s="326"/>
      <c r="G19151" s="326"/>
      <c r="H19151" s="326"/>
      <c r="P19151" s="318"/>
      <c r="Q19151" s="318"/>
      <c r="R19151" s="318"/>
      <c r="S19151" s="318"/>
      <c r="T19151" s="318"/>
      <c r="U19151" s="318"/>
      <c r="V19151" s="318"/>
      <c r="W19151" s="318"/>
      <c r="X19151" s="318"/>
      <c r="Y19151" s="318"/>
      <c r="Z19151" s="318"/>
      <c r="AA19151" s="318"/>
      <c r="AB19151" s="318"/>
      <c r="AC19151" s="318"/>
      <c r="AD19151" s="318"/>
    </row>
    <row r="19152" spans="2:30" s="323" customFormat="1" ht="12" customHeight="1">
      <c r="B19152" s="324"/>
      <c r="C19152" s="325"/>
      <c r="D19152" s="326"/>
      <c r="E19152" s="326"/>
      <c r="F19152" s="326"/>
      <c r="G19152" s="326"/>
      <c r="H19152" s="326"/>
      <c r="P19152" s="318"/>
      <c r="Q19152" s="318"/>
      <c r="R19152" s="318"/>
      <c r="S19152" s="318"/>
      <c r="T19152" s="318"/>
      <c r="U19152" s="318"/>
      <c r="V19152" s="318"/>
      <c r="W19152" s="318"/>
      <c r="X19152" s="318"/>
      <c r="Y19152" s="318"/>
      <c r="Z19152" s="318"/>
      <c r="AA19152" s="318"/>
      <c r="AB19152" s="318"/>
      <c r="AC19152" s="318"/>
      <c r="AD19152" s="318"/>
    </row>
    <row r="19153" spans="2:30" s="323" customFormat="1" ht="12" customHeight="1">
      <c r="B19153" s="324"/>
      <c r="C19153" s="325"/>
      <c r="D19153" s="326"/>
      <c r="E19153" s="326"/>
      <c r="F19153" s="326"/>
      <c r="G19153" s="326"/>
      <c r="H19153" s="326"/>
      <c r="P19153" s="318"/>
      <c r="Q19153" s="318"/>
      <c r="R19153" s="318"/>
      <c r="S19153" s="318"/>
      <c r="T19153" s="318"/>
      <c r="U19153" s="318"/>
      <c r="V19153" s="318"/>
      <c r="W19153" s="318"/>
      <c r="X19153" s="318"/>
      <c r="Y19153" s="318"/>
      <c r="Z19153" s="318"/>
      <c r="AA19153" s="318"/>
      <c r="AB19153" s="318"/>
      <c r="AC19153" s="318"/>
      <c r="AD19153" s="318"/>
    </row>
    <row r="19154" spans="2:30" s="323" customFormat="1" ht="12" customHeight="1">
      <c r="B19154" s="324"/>
      <c r="C19154" s="325"/>
      <c r="D19154" s="326"/>
      <c r="E19154" s="326"/>
      <c r="F19154" s="326"/>
      <c r="G19154" s="326"/>
      <c r="H19154" s="326"/>
      <c r="P19154" s="318"/>
      <c r="Q19154" s="318"/>
      <c r="R19154" s="318"/>
      <c r="S19154" s="318"/>
      <c r="T19154" s="318"/>
      <c r="U19154" s="318"/>
      <c r="V19154" s="318"/>
      <c r="W19154" s="318"/>
      <c r="X19154" s="318"/>
      <c r="Y19154" s="318"/>
      <c r="Z19154" s="318"/>
      <c r="AA19154" s="318"/>
      <c r="AB19154" s="318"/>
      <c r="AC19154" s="318"/>
      <c r="AD19154" s="318"/>
    </row>
    <row r="19155" spans="2:30" s="323" customFormat="1" ht="12" customHeight="1">
      <c r="B19155" s="324"/>
      <c r="C19155" s="325"/>
      <c r="D19155" s="326"/>
      <c r="E19155" s="326"/>
      <c r="F19155" s="326"/>
      <c r="G19155" s="326"/>
      <c r="H19155" s="326"/>
      <c r="P19155" s="318"/>
      <c r="Q19155" s="318"/>
      <c r="R19155" s="318"/>
      <c r="S19155" s="318"/>
      <c r="T19155" s="318"/>
      <c r="U19155" s="318"/>
      <c r="V19155" s="318"/>
      <c r="W19155" s="318"/>
      <c r="X19155" s="318"/>
      <c r="Y19155" s="318"/>
      <c r="Z19155" s="318"/>
      <c r="AA19155" s="318"/>
      <c r="AB19155" s="318"/>
      <c r="AC19155" s="318"/>
      <c r="AD19155" s="318"/>
    </row>
    <row r="19156" spans="2:30" s="323" customFormat="1" ht="12" customHeight="1">
      <c r="B19156" s="324"/>
      <c r="C19156" s="325"/>
      <c r="D19156" s="326"/>
      <c r="E19156" s="326"/>
      <c r="F19156" s="326"/>
      <c r="G19156" s="326"/>
      <c r="H19156" s="326"/>
      <c r="P19156" s="318"/>
      <c r="Q19156" s="318"/>
      <c r="R19156" s="318"/>
      <c r="S19156" s="318"/>
      <c r="T19156" s="318"/>
      <c r="U19156" s="318"/>
      <c r="V19156" s="318"/>
      <c r="W19156" s="318"/>
      <c r="X19156" s="318"/>
      <c r="Y19156" s="318"/>
      <c r="Z19156" s="318"/>
      <c r="AA19156" s="318"/>
      <c r="AB19156" s="318"/>
      <c r="AC19156" s="318"/>
      <c r="AD19156" s="318"/>
    </row>
    <row r="19157" spans="2:30" s="323" customFormat="1" ht="12" customHeight="1">
      <c r="B19157" s="324"/>
      <c r="C19157" s="325"/>
      <c r="D19157" s="326"/>
      <c r="E19157" s="326"/>
      <c r="F19157" s="326"/>
      <c r="G19157" s="326"/>
      <c r="H19157" s="326"/>
      <c r="P19157" s="318"/>
      <c r="Q19157" s="318"/>
      <c r="R19157" s="318"/>
      <c r="S19157" s="318"/>
      <c r="T19157" s="318"/>
      <c r="U19157" s="318"/>
      <c r="V19157" s="318"/>
      <c r="W19157" s="318"/>
      <c r="X19157" s="318"/>
      <c r="Y19157" s="318"/>
      <c r="Z19157" s="318"/>
      <c r="AA19157" s="318"/>
      <c r="AB19157" s="318"/>
      <c r="AC19157" s="318"/>
      <c r="AD19157" s="318"/>
    </row>
    <row r="19158" spans="2:30" s="323" customFormat="1" ht="12" customHeight="1">
      <c r="B19158" s="324"/>
      <c r="C19158" s="325"/>
      <c r="D19158" s="326"/>
      <c r="E19158" s="326"/>
      <c r="F19158" s="326"/>
      <c r="G19158" s="326"/>
      <c r="H19158" s="326"/>
      <c r="P19158" s="318"/>
      <c r="Q19158" s="318"/>
      <c r="R19158" s="318"/>
      <c r="S19158" s="318"/>
      <c r="T19158" s="318"/>
      <c r="U19158" s="318"/>
      <c r="V19158" s="318"/>
      <c r="W19158" s="318"/>
      <c r="X19158" s="318"/>
      <c r="Y19158" s="318"/>
      <c r="Z19158" s="318"/>
      <c r="AA19158" s="318"/>
      <c r="AB19158" s="318"/>
      <c r="AC19158" s="318"/>
      <c r="AD19158" s="318"/>
    </row>
    <row r="19159" spans="2:30" s="323" customFormat="1" ht="12" customHeight="1">
      <c r="B19159" s="324"/>
      <c r="C19159" s="325"/>
      <c r="D19159" s="326"/>
      <c r="E19159" s="326"/>
      <c r="F19159" s="326"/>
      <c r="G19159" s="326"/>
      <c r="H19159" s="326"/>
      <c r="P19159" s="318"/>
      <c r="Q19159" s="318"/>
      <c r="R19159" s="318"/>
      <c r="S19159" s="318"/>
      <c r="T19159" s="318"/>
      <c r="U19159" s="318"/>
      <c r="V19159" s="318"/>
      <c r="W19159" s="318"/>
      <c r="X19159" s="318"/>
      <c r="Y19159" s="318"/>
      <c r="Z19159" s="318"/>
      <c r="AA19159" s="318"/>
      <c r="AB19159" s="318"/>
      <c r="AC19159" s="318"/>
      <c r="AD19159" s="318"/>
    </row>
    <row r="19160" spans="2:30" s="323" customFormat="1" ht="12" customHeight="1">
      <c r="B19160" s="324"/>
      <c r="C19160" s="325"/>
      <c r="D19160" s="326"/>
      <c r="E19160" s="326"/>
      <c r="F19160" s="326"/>
      <c r="G19160" s="326"/>
      <c r="H19160" s="326"/>
      <c r="P19160" s="318"/>
      <c r="Q19160" s="318"/>
      <c r="R19160" s="318"/>
      <c r="S19160" s="318"/>
      <c r="T19160" s="318"/>
      <c r="U19160" s="318"/>
      <c r="V19160" s="318"/>
      <c r="W19160" s="318"/>
      <c r="X19160" s="318"/>
      <c r="Y19160" s="318"/>
      <c r="Z19160" s="318"/>
      <c r="AA19160" s="318"/>
      <c r="AB19160" s="318"/>
      <c r="AC19160" s="318"/>
      <c r="AD19160" s="318"/>
    </row>
    <row r="19161" spans="2:30" s="323" customFormat="1" ht="12" customHeight="1">
      <c r="B19161" s="324"/>
      <c r="C19161" s="325"/>
      <c r="D19161" s="326"/>
      <c r="E19161" s="326"/>
      <c r="F19161" s="326"/>
      <c r="G19161" s="326"/>
      <c r="H19161" s="326"/>
      <c r="P19161" s="318"/>
      <c r="Q19161" s="318"/>
      <c r="R19161" s="318"/>
      <c r="S19161" s="318"/>
      <c r="T19161" s="318"/>
      <c r="U19161" s="318"/>
      <c r="V19161" s="318"/>
      <c r="W19161" s="318"/>
      <c r="X19161" s="318"/>
      <c r="Y19161" s="318"/>
      <c r="Z19161" s="318"/>
      <c r="AA19161" s="318"/>
      <c r="AB19161" s="318"/>
      <c r="AC19161" s="318"/>
      <c r="AD19161" s="318"/>
    </row>
    <row r="19162" spans="2:30" s="323" customFormat="1" ht="12" customHeight="1">
      <c r="B19162" s="324"/>
      <c r="C19162" s="325"/>
      <c r="D19162" s="326"/>
      <c r="E19162" s="326"/>
      <c r="F19162" s="326"/>
      <c r="G19162" s="326"/>
      <c r="H19162" s="326"/>
      <c r="P19162" s="318"/>
      <c r="Q19162" s="318"/>
      <c r="R19162" s="318"/>
      <c r="S19162" s="318"/>
      <c r="T19162" s="318"/>
      <c r="U19162" s="318"/>
      <c r="V19162" s="318"/>
      <c r="W19162" s="318"/>
      <c r="X19162" s="318"/>
      <c r="Y19162" s="318"/>
      <c r="Z19162" s="318"/>
      <c r="AA19162" s="318"/>
      <c r="AB19162" s="318"/>
      <c r="AC19162" s="318"/>
      <c r="AD19162" s="318"/>
    </row>
    <row r="19163" spans="2:30" s="323" customFormat="1" ht="12" customHeight="1">
      <c r="B19163" s="324"/>
      <c r="C19163" s="325"/>
      <c r="D19163" s="326"/>
      <c r="E19163" s="326"/>
      <c r="F19163" s="326"/>
      <c r="G19163" s="326"/>
      <c r="H19163" s="326"/>
      <c r="P19163" s="318"/>
      <c r="Q19163" s="318"/>
      <c r="R19163" s="318"/>
      <c r="S19163" s="318"/>
      <c r="T19163" s="318"/>
      <c r="U19163" s="318"/>
      <c r="V19163" s="318"/>
      <c r="W19163" s="318"/>
      <c r="X19163" s="318"/>
      <c r="Y19163" s="318"/>
      <c r="Z19163" s="318"/>
      <c r="AA19163" s="318"/>
      <c r="AB19163" s="318"/>
      <c r="AC19163" s="318"/>
      <c r="AD19163" s="318"/>
    </row>
    <row r="19164" spans="2:30" s="323" customFormat="1" ht="12" customHeight="1">
      <c r="B19164" s="324"/>
      <c r="C19164" s="325"/>
      <c r="D19164" s="326"/>
      <c r="E19164" s="326"/>
      <c r="F19164" s="326"/>
      <c r="G19164" s="326"/>
      <c r="H19164" s="326"/>
      <c r="P19164" s="318"/>
      <c r="Q19164" s="318"/>
      <c r="R19164" s="318"/>
      <c r="S19164" s="318"/>
      <c r="T19164" s="318"/>
      <c r="U19164" s="318"/>
      <c r="V19164" s="318"/>
      <c r="W19164" s="318"/>
      <c r="X19164" s="318"/>
      <c r="Y19164" s="318"/>
      <c r="Z19164" s="318"/>
      <c r="AA19164" s="318"/>
      <c r="AB19164" s="318"/>
      <c r="AC19164" s="318"/>
      <c r="AD19164" s="318"/>
    </row>
    <row r="19165" spans="2:30" s="323" customFormat="1" ht="12" customHeight="1">
      <c r="B19165" s="324"/>
      <c r="C19165" s="325"/>
      <c r="D19165" s="326"/>
      <c r="E19165" s="326"/>
      <c r="F19165" s="326"/>
      <c r="G19165" s="326"/>
      <c r="H19165" s="326"/>
      <c r="P19165" s="318"/>
      <c r="Q19165" s="318"/>
      <c r="R19165" s="318"/>
      <c r="S19165" s="318"/>
      <c r="T19165" s="318"/>
      <c r="U19165" s="318"/>
      <c r="V19165" s="318"/>
      <c r="W19165" s="318"/>
      <c r="X19165" s="318"/>
      <c r="Y19165" s="318"/>
      <c r="Z19165" s="318"/>
      <c r="AA19165" s="318"/>
      <c r="AB19165" s="318"/>
      <c r="AC19165" s="318"/>
      <c r="AD19165" s="318"/>
    </row>
    <row r="19166" spans="2:30" s="323" customFormat="1" ht="12" customHeight="1">
      <c r="B19166" s="324"/>
      <c r="C19166" s="325"/>
      <c r="D19166" s="326"/>
      <c r="E19166" s="326"/>
      <c r="F19166" s="326"/>
      <c r="G19166" s="326"/>
      <c r="H19166" s="326"/>
      <c r="P19166" s="318"/>
      <c r="Q19166" s="318"/>
      <c r="R19166" s="318"/>
      <c r="S19166" s="318"/>
      <c r="T19166" s="318"/>
      <c r="U19166" s="318"/>
      <c r="V19166" s="318"/>
      <c r="W19166" s="318"/>
      <c r="X19166" s="318"/>
      <c r="Y19166" s="318"/>
      <c r="Z19166" s="318"/>
      <c r="AA19166" s="318"/>
      <c r="AB19166" s="318"/>
      <c r="AC19166" s="318"/>
      <c r="AD19166" s="318"/>
    </row>
    <row r="19167" spans="2:30" s="323" customFormat="1" ht="12" customHeight="1">
      <c r="B19167" s="324"/>
      <c r="C19167" s="325"/>
      <c r="D19167" s="326"/>
      <c r="E19167" s="326"/>
      <c r="F19167" s="326"/>
      <c r="G19167" s="326"/>
      <c r="H19167" s="326"/>
      <c r="P19167" s="318"/>
      <c r="Q19167" s="318"/>
      <c r="R19167" s="318"/>
      <c r="S19167" s="318"/>
      <c r="T19167" s="318"/>
      <c r="U19167" s="318"/>
      <c r="V19167" s="318"/>
      <c r="W19167" s="318"/>
      <c r="X19167" s="318"/>
      <c r="Y19167" s="318"/>
      <c r="Z19167" s="318"/>
      <c r="AA19167" s="318"/>
      <c r="AB19167" s="318"/>
      <c r="AC19167" s="318"/>
      <c r="AD19167" s="318"/>
    </row>
    <row r="19168" spans="2:30" s="323" customFormat="1" ht="12" customHeight="1">
      <c r="B19168" s="324"/>
      <c r="C19168" s="325"/>
      <c r="D19168" s="326"/>
      <c r="E19168" s="326"/>
      <c r="F19168" s="326"/>
      <c r="G19168" s="326"/>
      <c r="H19168" s="326"/>
      <c r="P19168" s="318"/>
      <c r="Q19168" s="318"/>
      <c r="R19168" s="318"/>
      <c r="S19168" s="318"/>
      <c r="T19168" s="318"/>
      <c r="U19168" s="318"/>
      <c r="V19168" s="318"/>
      <c r="W19168" s="318"/>
      <c r="X19168" s="318"/>
      <c r="Y19168" s="318"/>
      <c r="Z19168" s="318"/>
      <c r="AA19168" s="318"/>
      <c r="AB19168" s="318"/>
      <c r="AC19168" s="318"/>
      <c r="AD19168" s="318"/>
    </row>
    <row r="19169" spans="2:30" s="323" customFormat="1" ht="12" customHeight="1">
      <c r="B19169" s="324"/>
      <c r="C19169" s="325"/>
      <c r="D19169" s="326"/>
      <c r="E19169" s="326"/>
      <c r="F19169" s="326"/>
      <c r="G19169" s="326"/>
      <c r="H19169" s="326"/>
      <c r="P19169" s="318"/>
      <c r="Q19169" s="318"/>
      <c r="R19169" s="318"/>
      <c r="S19169" s="318"/>
      <c r="T19169" s="318"/>
      <c r="U19169" s="318"/>
      <c r="V19169" s="318"/>
      <c r="W19169" s="318"/>
      <c r="X19169" s="318"/>
      <c r="Y19169" s="318"/>
      <c r="Z19169" s="318"/>
      <c r="AA19169" s="318"/>
      <c r="AB19169" s="318"/>
      <c r="AC19169" s="318"/>
      <c r="AD19169" s="318"/>
    </row>
    <row r="19170" spans="2:30" s="323" customFormat="1" ht="12" customHeight="1">
      <c r="B19170" s="324"/>
      <c r="C19170" s="325"/>
      <c r="D19170" s="326"/>
      <c r="E19170" s="326"/>
      <c r="F19170" s="326"/>
      <c r="G19170" s="326"/>
      <c r="H19170" s="326"/>
      <c r="P19170" s="318"/>
      <c r="Q19170" s="318"/>
      <c r="R19170" s="318"/>
      <c r="S19170" s="318"/>
      <c r="T19170" s="318"/>
      <c r="U19170" s="318"/>
      <c r="V19170" s="318"/>
      <c r="W19170" s="318"/>
      <c r="X19170" s="318"/>
      <c r="Y19170" s="318"/>
      <c r="Z19170" s="318"/>
      <c r="AA19170" s="318"/>
      <c r="AB19170" s="318"/>
      <c r="AC19170" s="318"/>
      <c r="AD19170" s="318"/>
    </row>
    <row r="19171" spans="2:30" s="323" customFormat="1" ht="12" customHeight="1">
      <c r="B19171" s="324"/>
      <c r="C19171" s="325"/>
      <c r="D19171" s="326"/>
      <c r="E19171" s="326"/>
      <c r="F19171" s="326"/>
      <c r="G19171" s="326"/>
      <c r="H19171" s="326"/>
      <c r="P19171" s="318"/>
      <c r="Q19171" s="318"/>
      <c r="R19171" s="318"/>
      <c r="S19171" s="318"/>
      <c r="T19171" s="318"/>
      <c r="U19171" s="318"/>
      <c r="V19171" s="318"/>
      <c r="W19171" s="318"/>
      <c r="X19171" s="318"/>
      <c r="Y19171" s="318"/>
      <c r="Z19171" s="318"/>
      <c r="AA19171" s="318"/>
      <c r="AB19171" s="318"/>
      <c r="AC19171" s="318"/>
      <c r="AD19171" s="318"/>
    </row>
    <row r="19172" spans="2:30" s="323" customFormat="1" ht="12" customHeight="1">
      <c r="B19172" s="324"/>
      <c r="C19172" s="325"/>
      <c r="D19172" s="326"/>
      <c r="E19172" s="326"/>
      <c r="F19172" s="326"/>
      <c r="G19172" s="326"/>
      <c r="H19172" s="326"/>
      <c r="P19172" s="318"/>
      <c r="Q19172" s="318"/>
      <c r="R19172" s="318"/>
      <c r="S19172" s="318"/>
      <c r="T19172" s="318"/>
      <c r="U19172" s="318"/>
      <c r="V19172" s="318"/>
      <c r="W19172" s="318"/>
      <c r="X19172" s="318"/>
      <c r="Y19172" s="318"/>
      <c r="Z19172" s="318"/>
      <c r="AA19172" s="318"/>
      <c r="AB19172" s="318"/>
      <c r="AC19172" s="318"/>
      <c r="AD19172" s="318"/>
    </row>
    <row r="19173" spans="2:30" s="323" customFormat="1" ht="12" customHeight="1">
      <c r="B19173" s="324"/>
      <c r="C19173" s="325"/>
      <c r="D19173" s="326"/>
      <c r="E19173" s="326"/>
      <c r="F19173" s="326"/>
      <c r="G19173" s="326"/>
      <c r="H19173" s="326"/>
      <c r="P19173" s="318"/>
      <c r="Q19173" s="318"/>
      <c r="R19173" s="318"/>
      <c r="S19173" s="318"/>
      <c r="T19173" s="318"/>
      <c r="U19173" s="318"/>
      <c r="V19173" s="318"/>
      <c r="W19173" s="318"/>
      <c r="X19173" s="318"/>
      <c r="Y19173" s="318"/>
      <c r="Z19173" s="318"/>
      <c r="AA19173" s="318"/>
      <c r="AB19173" s="318"/>
      <c r="AC19173" s="318"/>
      <c r="AD19173" s="318"/>
    </row>
    <row r="19174" spans="2:30" s="323" customFormat="1" ht="12" customHeight="1">
      <c r="B19174" s="324"/>
      <c r="C19174" s="325"/>
      <c r="D19174" s="326"/>
      <c r="E19174" s="326"/>
      <c r="F19174" s="326"/>
      <c r="G19174" s="326"/>
      <c r="H19174" s="326"/>
      <c r="P19174" s="318"/>
      <c r="Q19174" s="318"/>
      <c r="R19174" s="318"/>
      <c r="S19174" s="318"/>
      <c r="T19174" s="318"/>
      <c r="U19174" s="318"/>
      <c r="V19174" s="318"/>
      <c r="W19174" s="318"/>
      <c r="X19174" s="318"/>
      <c r="Y19174" s="318"/>
      <c r="Z19174" s="318"/>
      <c r="AA19174" s="318"/>
      <c r="AB19174" s="318"/>
      <c r="AC19174" s="318"/>
      <c r="AD19174" s="318"/>
    </row>
    <row r="19175" spans="2:30" s="323" customFormat="1" ht="12" customHeight="1">
      <c r="B19175" s="324"/>
      <c r="C19175" s="325"/>
      <c r="D19175" s="326"/>
      <c r="E19175" s="326"/>
      <c r="F19175" s="326"/>
      <c r="G19175" s="326"/>
      <c r="H19175" s="326"/>
      <c r="P19175" s="318"/>
      <c r="Q19175" s="318"/>
      <c r="R19175" s="318"/>
      <c r="S19175" s="318"/>
      <c r="T19175" s="318"/>
      <c r="U19175" s="318"/>
      <c r="V19175" s="318"/>
      <c r="W19175" s="318"/>
      <c r="X19175" s="318"/>
      <c r="Y19175" s="318"/>
      <c r="Z19175" s="318"/>
      <c r="AA19175" s="318"/>
      <c r="AB19175" s="318"/>
      <c r="AC19175" s="318"/>
      <c r="AD19175" s="318"/>
    </row>
    <row r="19176" spans="2:30" s="323" customFormat="1" ht="12" customHeight="1">
      <c r="B19176" s="324"/>
      <c r="C19176" s="325"/>
      <c r="D19176" s="326"/>
      <c r="E19176" s="326"/>
      <c r="F19176" s="326"/>
      <c r="G19176" s="326"/>
      <c r="H19176" s="326"/>
      <c r="P19176" s="318"/>
      <c r="Q19176" s="318"/>
      <c r="R19176" s="318"/>
      <c r="S19176" s="318"/>
      <c r="T19176" s="318"/>
      <c r="U19176" s="318"/>
      <c r="V19176" s="318"/>
      <c r="W19176" s="318"/>
      <c r="X19176" s="318"/>
      <c r="Y19176" s="318"/>
      <c r="Z19176" s="318"/>
      <c r="AA19176" s="318"/>
      <c r="AB19176" s="318"/>
      <c r="AC19176" s="318"/>
      <c r="AD19176" s="318"/>
    </row>
    <row r="19177" spans="2:30" s="323" customFormat="1" ht="12" customHeight="1">
      <c r="B19177" s="324"/>
      <c r="C19177" s="325"/>
      <c r="D19177" s="326"/>
      <c r="E19177" s="326"/>
      <c r="F19177" s="326"/>
      <c r="G19177" s="326"/>
      <c r="H19177" s="326"/>
      <c r="P19177" s="318"/>
      <c r="Q19177" s="318"/>
      <c r="R19177" s="318"/>
      <c r="S19177" s="318"/>
      <c r="T19177" s="318"/>
      <c r="U19177" s="318"/>
      <c r="V19177" s="318"/>
      <c r="W19177" s="318"/>
      <c r="X19177" s="318"/>
      <c r="Y19177" s="318"/>
      <c r="Z19177" s="318"/>
      <c r="AA19177" s="318"/>
      <c r="AB19177" s="318"/>
      <c r="AC19177" s="318"/>
      <c r="AD19177" s="318"/>
    </row>
    <row r="19178" spans="2:30" s="323" customFormat="1" ht="12" customHeight="1">
      <c r="B19178" s="324"/>
      <c r="C19178" s="325"/>
      <c r="D19178" s="326"/>
      <c r="E19178" s="326"/>
      <c r="F19178" s="326"/>
      <c r="G19178" s="326"/>
      <c r="H19178" s="326"/>
      <c r="P19178" s="318"/>
      <c r="Q19178" s="318"/>
      <c r="R19178" s="318"/>
      <c r="S19178" s="318"/>
      <c r="T19178" s="318"/>
      <c r="U19178" s="318"/>
      <c r="V19178" s="318"/>
      <c r="W19178" s="318"/>
      <c r="X19178" s="318"/>
      <c r="Y19178" s="318"/>
      <c r="Z19178" s="318"/>
      <c r="AA19178" s="318"/>
      <c r="AB19178" s="318"/>
      <c r="AC19178" s="318"/>
      <c r="AD19178" s="318"/>
    </row>
    <row r="19179" spans="2:30" s="323" customFormat="1" ht="12" customHeight="1">
      <c r="B19179" s="324"/>
      <c r="C19179" s="325"/>
      <c r="D19179" s="326"/>
      <c r="E19179" s="326"/>
      <c r="F19179" s="326"/>
      <c r="G19179" s="326"/>
      <c r="H19179" s="326"/>
      <c r="P19179" s="318"/>
      <c r="Q19179" s="318"/>
      <c r="R19179" s="318"/>
      <c r="S19179" s="318"/>
      <c r="T19179" s="318"/>
      <c r="U19179" s="318"/>
      <c r="V19179" s="318"/>
      <c r="W19179" s="318"/>
      <c r="X19179" s="318"/>
      <c r="Y19179" s="318"/>
      <c r="Z19179" s="318"/>
      <c r="AA19179" s="318"/>
      <c r="AB19179" s="318"/>
      <c r="AC19179" s="318"/>
      <c r="AD19179" s="318"/>
    </row>
    <row r="19180" spans="2:30" s="323" customFormat="1" ht="12" customHeight="1">
      <c r="B19180" s="324"/>
      <c r="C19180" s="325"/>
      <c r="D19180" s="326"/>
      <c r="E19180" s="326"/>
      <c r="F19180" s="326"/>
      <c r="G19180" s="326"/>
      <c r="H19180" s="326"/>
      <c r="P19180" s="318"/>
      <c r="Q19180" s="318"/>
      <c r="R19180" s="318"/>
      <c r="S19180" s="318"/>
      <c r="T19180" s="318"/>
      <c r="U19180" s="318"/>
      <c r="V19180" s="318"/>
      <c r="W19180" s="318"/>
      <c r="X19180" s="318"/>
      <c r="Y19180" s="318"/>
      <c r="Z19180" s="318"/>
      <c r="AA19180" s="318"/>
      <c r="AB19180" s="318"/>
      <c r="AC19180" s="318"/>
      <c r="AD19180" s="318"/>
    </row>
    <row r="19181" spans="2:30" s="323" customFormat="1" ht="12" customHeight="1">
      <c r="B19181" s="324"/>
      <c r="C19181" s="325"/>
      <c r="D19181" s="326"/>
      <c r="E19181" s="326"/>
      <c r="F19181" s="326"/>
      <c r="G19181" s="326"/>
      <c r="H19181" s="326"/>
      <c r="P19181" s="318"/>
      <c r="Q19181" s="318"/>
      <c r="R19181" s="318"/>
      <c r="S19181" s="318"/>
      <c r="T19181" s="318"/>
      <c r="U19181" s="318"/>
      <c r="V19181" s="318"/>
      <c r="W19181" s="318"/>
      <c r="X19181" s="318"/>
      <c r="Y19181" s="318"/>
      <c r="Z19181" s="318"/>
      <c r="AA19181" s="318"/>
      <c r="AB19181" s="318"/>
      <c r="AC19181" s="318"/>
      <c r="AD19181" s="318"/>
    </row>
    <row r="19182" spans="2:30" s="323" customFormat="1" ht="12" customHeight="1">
      <c r="B19182" s="324"/>
      <c r="C19182" s="325"/>
      <c r="D19182" s="326"/>
      <c r="E19182" s="326"/>
      <c r="F19182" s="326"/>
      <c r="G19182" s="326"/>
      <c r="H19182" s="326"/>
      <c r="P19182" s="318"/>
      <c r="Q19182" s="318"/>
      <c r="R19182" s="318"/>
      <c r="S19182" s="318"/>
      <c r="T19182" s="318"/>
      <c r="U19182" s="318"/>
      <c r="V19182" s="318"/>
      <c r="W19182" s="318"/>
      <c r="X19182" s="318"/>
      <c r="Y19182" s="318"/>
      <c r="Z19182" s="318"/>
      <c r="AA19182" s="318"/>
      <c r="AB19182" s="318"/>
      <c r="AC19182" s="318"/>
      <c r="AD19182" s="318"/>
    </row>
    <row r="19183" spans="2:30" s="323" customFormat="1" ht="12" customHeight="1">
      <c r="B19183" s="324"/>
      <c r="C19183" s="325"/>
      <c r="D19183" s="326"/>
      <c r="E19183" s="326"/>
      <c r="F19183" s="326"/>
      <c r="G19183" s="326"/>
      <c r="H19183" s="326"/>
      <c r="P19183" s="318"/>
      <c r="Q19183" s="318"/>
      <c r="R19183" s="318"/>
      <c r="S19183" s="318"/>
      <c r="T19183" s="318"/>
      <c r="U19183" s="318"/>
      <c r="V19183" s="318"/>
      <c r="W19183" s="318"/>
      <c r="X19183" s="318"/>
      <c r="Y19183" s="318"/>
      <c r="Z19183" s="318"/>
      <c r="AA19183" s="318"/>
      <c r="AB19183" s="318"/>
      <c r="AC19183" s="318"/>
      <c r="AD19183" s="318"/>
    </row>
  </sheetData>
  <conditionalFormatting sqref="O19184:O20469">
    <cfRule type="cellIs" dxfId="0" priority="60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345090" r:id="rId4" name="CommandButton1">
          <controlPr autoLine="0" r:id="rId5">
            <anchor moveWithCells="1">
              <from>
                <xdr:col>11</xdr:col>
                <xdr:colOff>22860</xdr:colOff>
                <xdr:row>0</xdr:row>
                <xdr:rowOff>22860</xdr:rowOff>
              </from>
              <to>
                <xdr:col>13</xdr:col>
                <xdr:colOff>38100</xdr:colOff>
                <xdr:row>1</xdr:row>
                <xdr:rowOff>144780</xdr:rowOff>
              </to>
            </anchor>
          </controlPr>
        </control>
      </mc:Choice>
      <mc:Fallback>
        <control shapeId="345090" r:id="rId4" name="CommandButton1"/>
      </mc:Fallback>
    </mc:AlternateContent>
    <mc:AlternateContent xmlns:mc="http://schemas.openxmlformats.org/markup-compatibility/2006">
      <mc:Choice Requires="x14">
        <control shapeId="345089" r:id="rId6" name="Check Box 1">
          <controlPr defaultSize="0" autoFill="0" autoLine="0" autoPict="0">
            <anchor moveWithCells="1">
              <from>
                <xdr:col>21</xdr:col>
                <xdr:colOff>38100</xdr:colOff>
                <xdr:row>0</xdr:row>
                <xdr:rowOff>38100</xdr:rowOff>
              </from>
              <to>
                <xdr:col>22</xdr:col>
                <xdr:colOff>121920</xdr:colOff>
                <xdr:row>1</xdr:row>
                <xdr:rowOff>91440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AD5"/>
  <sheetViews>
    <sheetView workbookViewId="0"/>
    <sheetView workbookViewId="1"/>
    <sheetView workbookViewId="2"/>
  </sheetViews>
  <sheetFormatPr baseColWidth="10" defaultColWidth="11.44140625" defaultRowHeight="12" customHeight="1"/>
  <cols>
    <col min="1" max="1" width="4.5546875" style="323" customWidth="1"/>
    <col min="2" max="2" width="9.33203125" style="323" bestFit="1" customWidth="1"/>
    <col min="3" max="3" width="7" style="323" bestFit="1" customWidth="1"/>
    <col min="4" max="4" width="10" style="323" customWidth="1"/>
    <col min="5" max="5" width="11.33203125" style="323" customWidth="1"/>
    <col min="6" max="7" width="6.6640625" style="323" customWidth="1"/>
    <col min="8" max="8" width="7.6640625" style="323" customWidth="1"/>
    <col min="9" max="9" width="7.5546875" style="323" customWidth="1"/>
    <col min="10" max="10" width="8.6640625" style="323" customWidth="1"/>
    <col min="11" max="11" width="16.6640625" style="323" bestFit="1" customWidth="1"/>
    <col min="12" max="15" width="4.6640625" style="323" customWidth="1"/>
    <col min="16" max="16" width="14.109375" style="318" customWidth="1"/>
    <col min="17" max="19" width="3.6640625" style="318" customWidth="1"/>
    <col min="20" max="20" width="13.5546875" style="318" bestFit="1" customWidth="1"/>
    <col min="21" max="21" width="7" style="318" customWidth="1"/>
    <col min="22" max="25" width="8.6640625" style="318" customWidth="1"/>
    <col min="26" max="16384" width="11.44140625" style="318"/>
  </cols>
  <sheetData>
    <row r="1" spans="1:30" ht="12" customHeight="1">
      <c r="A1" s="315" t="s">
        <v>236</v>
      </c>
      <c r="B1" s="315"/>
      <c r="C1" s="315"/>
      <c r="D1" s="316">
        <v>4</v>
      </c>
      <c r="E1" s="316">
        <v>5</v>
      </c>
      <c r="F1" s="316">
        <v>6</v>
      </c>
      <c r="G1" s="316">
        <v>7</v>
      </c>
      <c r="H1" s="316">
        <v>8</v>
      </c>
      <c r="I1" s="316">
        <v>9</v>
      </c>
      <c r="J1" s="316">
        <v>10</v>
      </c>
      <c r="K1" s="316">
        <v>11</v>
      </c>
      <c r="L1" s="316">
        <v>12</v>
      </c>
      <c r="M1" s="316">
        <v>13</v>
      </c>
      <c r="N1" s="316">
        <v>14</v>
      </c>
      <c r="O1" s="316">
        <v>15</v>
      </c>
      <c r="P1" s="317">
        <v>43572.451805555553</v>
      </c>
      <c r="Q1" s="318">
        <v>198006</v>
      </c>
      <c r="T1" s="319">
        <v>43572.45208333333</v>
      </c>
      <c r="U1" s="320">
        <v>1.0416666666666666E-2</v>
      </c>
    </row>
    <row r="2" spans="1:30" ht="12" customHeight="1">
      <c r="A2" s="321" t="s">
        <v>237</v>
      </c>
      <c r="B2" s="321" t="s">
        <v>238</v>
      </c>
      <c r="C2" s="321" t="s">
        <v>239</v>
      </c>
      <c r="D2" s="321" t="s">
        <v>240</v>
      </c>
      <c r="E2" s="321" t="s">
        <v>241</v>
      </c>
      <c r="F2" s="321" t="s">
        <v>248</v>
      </c>
      <c r="G2" s="321" t="s">
        <v>46</v>
      </c>
      <c r="H2" s="321" t="s">
        <v>249</v>
      </c>
      <c r="I2" s="321" t="s">
        <v>247</v>
      </c>
      <c r="J2" s="321" t="s">
        <v>242</v>
      </c>
      <c r="K2" s="321" t="s">
        <v>243</v>
      </c>
      <c r="L2" s="322"/>
      <c r="M2" s="322"/>
      <c r="N2" s="322"/>
      <c r="O2" s="322"/>
      <c r="T2" s="318" t="b">
        <v>1</v>
      </c>
    </row>
    <row r="3" spans="1:30" s="323" customFormat="1" ht="12" hidden="1" customHeight="1">
      <c r="B3" s="324"/>
      <c r="C3" s="325"/>
      <c r="D3" s="326"/>
      <c r="E3" s="326"/>
      <c r="F3" s="326"/>
      <c r="G3" s="326"/>
      <c r="H3" s="326"/>
      <c r="P3" s="318"/>
      <c r="Q3" s="318"/>
      <c r="R3" s="318"/>
      <c r="S3" s="318"/>
      <c r="T3" s="318"/>
      <c r="U3" s="318"/>
      <c r="V3" s="318"/>
      <c r="W3" s="318"/>
      <c r="X3" s="318"/>
      <c r="Y3" s="318"/>
      <c r="Z3" s="318"/>
      <c r="AA3" s="318"/>
      <c r="AB3" s="318"/>
      <c r="AC3" s="318"/>
      <c r="AD3" s="318"/>
    </row>
    <row r="4" spans="1:30" s="323" customFormat="1" ht="12" customHeight="1">
      <c r="A4" s="323">
        <f>+A5+1</f>
        <v>1</v>
      </c>
      <c r="B4" s="324">
        <v>43572</v>
      </c>
      <c r="C4" s="325">
        <v>0.45208333333333334</v>
      </c>
      <c r="D4" s="326" t="s">
        <v>245</v>
      </c>
      <c r="E4" s="326" t="s">
        <v>244</v>
      </c>
      <c r="F4" s="326">
        <v>0</v>
      </c>
      <c r="G4" s="326">
        <v>0</v>
      </c>
      <c r="H4" s="326"/>
      <c r="I4" s="323">
        <v>16093</v>
      </c>
      <c r="J4" s="323" t="s">
        <v>95</v>
      </c>
      <c r="K4" s="323" t="s">
        <v>251</v>
      </c>
      <c r="P4" s="318"/>
      <c r="Q4" s="318"/>
      <c r="R4" s="318"/>
      <c r="S4" s="318"/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</row>
    <row r="5" spans="1:30" s="323" customFormat="1" ht="12" customHeight="1">
      <c r="B5" s="324"/>
      <c r="C5" s="325"/>
      <c r="D5" s="326"/>
      <c r="E5" s="326"/>
      <c r="F5" s="326"/>
      <c r="G5" s="326"/>
      <c r="H5" s="326"/>
      <c r="P5" s="318"/>
      <c r="Q5" s="318"/>
      <c r="R5" s="318"/>
      <c r="S5" s="318"/>
      <c r="T5" s="318"/>
      <c r="U5" s="318"/>
      <c r="V5" s="318"/>
      <c r="W5" s="318"/>
      <c r="X5" s="318"/>
      <c r="Y5" s="318"/>
      <c r="Z5" s="318"/>
      <c r="AA5" s="318"/>
      <c r="AB5" s="318"/>
      <c r="AC5" s="318"/>
      <c r="AD5" s="318"/>
    </row>
  </sheetData>
  <pageMargins left="0.7" right="0.7" top="0.75" bottom="0.75" header="0.3" footer="0.3"/>
  <pageSetup paperSize="9" scale="68" orientation="landscape" r:id="rId1"/>
  <drawing r:id="rId2"/>
  <legacyDrawing r:id="rId3"/>
  <controls>
    <mc:AlternateContent xmlns:mc="http://schemas.openxmlformats.org/markup-compatibility/2006">
      <mc:Choice Requires="x14">
        <control shapeId="404482" r:id="rId4" name="CommandButton1">
          <controlPr autoLine="0" r:id="rId5">
            <anchor moveWithCells="1">
              <from>
                <xdr:col>22</xdr:col>
                <xdr:colOff>0</xdr:colOff>
                <xdr:row>0</xdr:row>
                <xdr:rowOff>22860</xdr:rowOff>
              </from>
              <to>
                <xdr:col>23</xdr:col>
                <xdr:colOff>449580</xdr:colOff>
                <xdr:row>1</xdr:row>
                <xdr:rowOff>144780</xdr:rowOff>
              </to>
            </anchor>
          </controlPr>
        </control>
      </mc:Choice>
      <mc:Fallback>
        <control shapeId="404482" r:id="rId4" name="CommandButton1"/>
      </mc:Fallback>
    </mc:AlternateContent>
    <mc:AlternateContent xmlns:mc="http://schemas.openxmlformats.org/markup-compatibility/2006">
      <mc:Choice Requires="x14">
        <control shapeId="404481" r:id="rId6" name="Check Box 1">
          <controlPr defaultSize="0" autoFill="0" autoLine="0" autoPict="0">
            <anchor moveWithCells="1">
              <from>
                <xdr:col>21</xdr:col>
                <xdr:colOff>38100</xdr:colOff>
                <xdr:row>0</xdr:row>
                <xdr:rowOff>38100</xdr:rowOff>
              </from>
              <to>
                <xdr:col>22</xdr:col>
                <xdr:colOff>121920</xdr:colOff>
                <xdr:row>1</xdr:row>
                <xdr:rowOff>91440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AJ112"/>
  <sheetViews>
    <sheetView workbookViewId="0">
      <selection activeCell="X3" sqref="X3"/>
    </sheetView>
    <sheetView workbookViewId="1"/>
    <sheetView workbookViewId="2"/>
  </sheetViews>
  <sheetFormatPr baseColWidth="10" defaultColWidth="11.44140625" defaultRowHeight="15" customHeight="1"/>
  <cols>
    <col min="1" max="1" width="3.44140625" style="142" customWidth="1"/>
    <col min="2" max="2" width="3.44140625" style="51" customWidth="1"/>
    <col min="3" max="12" width="8.6640625" style="51" customWidth="1"/>
    <col min="13" max="13" width="3.33203125" style="51" customWidth="1"/>
    <col min="14" max="17" width="8.6640625" style="51" customWidth="1"/>
    <col min="18" max="24" width="8.6640625" style="142" customWidth="1"/>
    <col min="25" max="25" width="9.33203125" style="142" bestFit="1" customWidth="1"/>
    <col min="26" max="26" width="2.6640625" style="142" customWidth="1"/>
    <col min="27" max="27" width="8.6640625" style="142" bestFit="1" customWidth="1"/>
    <col min="28" max="28" width="8.109375" style="142" bestFit="1" customWidth="1"/>
    <col min="29" max="29" width="7.44140625" style="142" bestFit="1" customWidth="1"/>
    <col min="30" max="30" width="7" style="142" bestFit="1" customWidth="1"/>
    <col min="31" max="31" width="7.88671875" style="142" bestFit="1" customWidth="1"/>
    <col min="32" max="32" width="8.6640625" style="142" bestFit="1" customWidth="1"/>
    <col min="33" max="33" width="7.5546875" style="142" bestFit="1" customWidth="1"/>
    <col min="34" max="34" width="9.33203125" style="142" bestFit="1" customWidth="1"/>
    <col min="35" max="36" width="9.6640625" style="142" customWidth="1"/>
    <col min="37" max="16384" width="11.44140625" style="142"/>
  </cols>
  <sheetData>
    <row r="1" spans="1:36" ht="15" customHeight="1">
      <c r="A1" s="38" t="s">
        <v>39</v>
      </c>
      <c r="B1" s="646"/>
      <c r="X1" s="41" t="str">
        <f>+CONCATENATE("Datos de Volatilidad | ", "Cotizaciones Merval")</f>
        <v>Datos de Volatilidad | Cotizaciones Merval</v>
      </c>
    </row>
    <row r="2" spans="1:36" ht="15" customHeight="1">
      <c r="A2" s="41"/>
      <c r="B2" s="646"/>
      <c r="X2" s="143" t="str">
        <f>+CONCATENATE("Versión", " | ", 2022)</f>
        <v>Versión | 2022</v>
      </c>
    </row>
    <row r="3" spans="1:36" ht="15" customHeight="1">
      <c r="A3" s="647"/>
      <c r="B3" s="647"/>
      <c r="C3" s="647"/>
      <c r="D3" s="647"/>
      <c r="E3" s="647"/>
      <c r="F3" s="647"/>
      <c r="G3" s="647"/>
      <c r="H3" s="647"/>
      <c r="I3" s="647"/>
      <c r="J3" s="647"/>
      <c r="K3" s="647"/>
      <c r="L3" s="647"/>
      <c r="M3" s="647"/>
      <c r="N3" s="647"/>
      <c r="O3" s="647" t="s">
        <v>585</v>
      </c>
      <c r="P3" s="647"/>
      <c r="Q3" s="647"/>
      <c r="R3" s="647"/>
      <c r="S3" s="647"/>
      <c r="T3" s="647"/>
      <c r="U3" s="647"/>
      <c r="V3" s="647"/>
      <c r="W3" s="647"/>
      <c r="X3" s="647"/>
    </row>
    <row r="4" spans="1:36" ht="5.0999999999999996" customHeight="1"/>
    <row r="5" spans="1:36" ht="15" customHeight="1">
      <c r="B5" s="1061" t="s">
        <v>586</v>
      </c>
      <c r="C5" s="1062"/>
      <c r="D5" s="648">
        <v>252</v>
      </c>
      <c r="F5" s="649" t="s">
        <v>587</v>
      </c>
      <c r="G5" s="650"/>
      <c r="H5" s="650"/>
      <c r="I5" s="650"/>
      <c r="J5" s="650"/>
      <c r="K5" s="47" t="s">
        <v>588</v>
      </c>
    </row>
    <row r="6" spans="1:36" ht="15" customHeight="1">
      <c r="F6" s="649" t="s">
        <v>589</v>
      </c>
      <c r="G6" s="650"/>
      <c r="H6" s="650"/>
      <c r="I6" s="650"/>
      <c r="J6" s="650"/>
      <c r="K6" s="47" t="s">
        <v>590</v>
      </c>
    </row>
    <row r="7" spans="1:36" ht="15" customHeight="1">
      <c r="C7" s="651" t="s">
        <v>3</v>
      </c>
      <c r="M7" s="142"/>
      <c r="N7" s="651" t="s">
        <v>592</v>
      </c>
      <c r="R7" s="51"/>
      <c r="S7" s="51"/>
      <c r="T7" s="51"/>
      <c r="U7" s="51"/>
      <c r="V7" s="51"/>
      <c r="W7" s="51"/>
      <c r="X7" s="51"/>
      <c r="Y7" s="51"/>
      <c r="AA7" s="651"/>
      <c r="AB7" s="51"/>
      <c r="AC7" s="51"/>
      <c r="AD7" s="51"/>
      <c r="AE7" s="51"/>
      <c r="AF7" s="51"/>
      <c r="AG7" s="51"/>
      <c r="AH7" s="51"/>
      <c r="AI7" s="51"/>
      <c r="AJ7" s="51"/>
    </row>
    <row r="8" spans="1:36" ht="15" customHeight="1">
      <c r="B8" s="652"/>
      <c r="C8" s="653"/>
      <c r="D8" s="652"/>
      <c r="E8" s="652"/>
      <c r="F8" s="652"/>
      <c r="G8" s="652"/>
      <c r="H8" s="652"/>
      <c r="I8" s="654" t="s">
        <v>53</v>
      </c>
      <c r="J8" s="655">
        <v>10</v>
      </c>
      <c r="K8" s="655" t="s">
        <v>593</v>
      </c>
      <c r="L8" s="655"/>
      <c r="M8" s="142"/>
      <c r="N8" s="653"/>
      <c r="O8" s="652"/>
      <c r="P8" s="652"/>
      <c r="Q8" s="652"/>
      <c r="R8" s="652"/>
      <c r="S8" s="652"/>
      <c r="T8" s="654" t="s">
        <v>53</v>
      </c>
      <c r="U8" s="655">
        <v>10</v>
      </c>
      <c r="V8" s="655"/>
      <c r="W8" s="655"/>
      <c r="X8" s="51"/>
      <c r="Y8" s="51"/>
      <c r="AA8" s="653"/>
      <c r="AB8" s="652"/>
      <c r="AC8" s="652"/>
      <c r="AD8" s="652"/>
      <c r="AE8" s="652"/>
      <c r="AF8" s="652"/>
      <c r="AG8" s="654"/>
      <c r="AH8" s="655"/>
      <c r="AI8" s="655"/>
      <c r="AJ8" s="655"/>
    </row>
    <row r="9" spans="1:36" ht="15" customHeight="1" thickBot="1">
      <c r="B9" s="656" t="s">
        <v>94</v>
      </c>
      <c r="C9" s="803" t="s">
        <v>22</v>
      </c>
      <c r="D9" t="s">
        <v>594</v>
      </c>
      <c r="E9" t="s">
        <v>683</v>
      </c>
      <c r="F9" t="s">
        <v>684</v>
      </c>
      <c r="G9" t="s">
        <v>596</v>
      </c>
      <c r="H9" s="800" t="s">
        <v>250</v>
      </c>
      <c r="I9" s="657" t="s">
        <v>266</v>
      </c>
      <c r="J9" s="656" t="s">
        <v>595</v>
      </c>
      <c r="K9" s="656">
        <v>40</v>
      </c>
      <c r="L9" s="656"/>
      <c r="M9" s="142"/>
      <c r="N9" s="803" t="s">
        <v>22</v>
      </c>
      <c r="O9" t="s">
        <v>594</v>
      </c>
      <c r="P9" t="s">
        <v>683</v>
      </c>
      <c r="Q9" t="s">
        <v>684</v>
      </c>
      <c r="R9" t="s">
        <v>596</v>
      </c>
      <c r="S9" s="800" t="s">
        <v>250</v>
      </c>
      <c r="T9" s="657" t="s">
        <v>266</v>
      </c>
      <c r="U9" s="656" t="s">
        <v>595</v>
      </c>
      <c r="V9" s="656"/>
      <c r="W9" s="656"/>
      <c r="X9" s="51"/>
      <c r="Y9" s="51"/>
      <c r="AA9" s="657"/>
      <c r="AB9" s="656"/>
      <c r="AC9" s="656"/>
      <c r="AD9" s="656"/>
      <c r="AE9" s="656"/>
      <c r="AF9" s="658"/>
      <c r="AG9" s="657"/>
      <c r="AH9" s="656"/>
      <c r="AI9" s="656"/>
      <c r="AJ9" s="656"/>
    </row>
    <row r="10" spans="1:36" s="47" customFormat="1" ht="15" customHeight="1">
      <c r="B10" s="659">
        <v>1</v>
      </c>
      <c r="C10" s="797">
        <v>44615</v>
      </c>
      <c r="D10" s="652">
        <v>209</v>
      </c>
      <c r="E10" s="652">
        <v>212.8</v>
      </c>
      <c r="F10" s="652">
        <v>205.05</v>
      </c>
      <c r="G10" s="652">
        <v>211.25</v>
      </c>
      <c r="H10" s="801">
        <v>2064537</v>
      </c>
      <c r="I10" s="668">
        <f>+IF(G10 &lt;&gt; 0, LN(G10/G11), 0)</f>
        <v>1.1904902506318458E-2</v>
      </c>
      <c r="J10" s="660">
        <f>+AVERAGE(H10:H19)</f>
        <v>1428730.5</v>
      </c>
      <c r="K10" s="661">
        <f>+IF(B10 &gt; (100 - K9), "",  STDEV(I10:I49) * SQRT($D$5))</f>
        <v>0.39129238424163981</v>
      </c>
      <c r="L10" s="662"/>
      <c r="M10" s="663"/>
      <c r="N10" s="797">
        <v>44615</v>
      </c>
      <c r="O10" s="652">
        <v>10.43</v>
      </c>
      <c r="P10" s="652">
        <v>10.46</v>
      </c>
      <c r="Q10" s="652">
        <v>10.06</v>
      </c>
      <c r="R10" s="652">
        <v>10.119999999999999</v>
      </c>
      <c r="S10" s="801">
        <v>610944</v>
      </c>
      <c r="T10" s="668">
        <f>+IF(R10 &lt;&gt; 0, LN(R10/R11), 0)</f>
        <v>-6.8931833753139889E-3</v>
      </c>
      <c r="U10" s="660">
        <f>+AVERAGE(S10:S19)</f>
        <v>675669.6</v>
      </c>
      <c r="V10" s="661"/>
      <c r="W10" s="662"/>
      <c r="X10" s="51"/>
      <c r="Y10" s="51"/>
      <c r="Z10" s="663"/>
      <c r="AA10" s="664"/>
      <c r="AB10" s="665"/>
      <c r="AC10" s="665"/>
      <c r="AD10" s="665"/>
      <c r="AE10" s="666"/>
      <c r="AF10" s="667"/>
      <c r="AG10" s="668"/>
      <c r="AH10" s="660"/>
      <c r="AI10" s="661"/>
      <c r="AJ10" s="662"/>
    </row>
    <row r="11" spans="1:36" s="47" customFormat="1" ht="15" customHeight="1">
      <c r="B11" s="659">
        <v>2</v>
      </c>
      <c r="C11" s="797">
        <v>44614</v>
      </c>
      <c r="D11" s="652">
        <v>202.6</v>
      </c>
      <c r="E11" s="652">
        <v>210.7</v>
      </c>
      <c r="F11" s="652">
        <v>200.75</v>
      </c>
      <c r="G11" s="652">
        <v>208.75</v>
      </c>
      <c r="H11" s="801">
        <v>1797909</v>
      </c>
      <c r="I11" s="668">
        <f t="shared" ref="I11:I74" si="0">+IF(G11 &lt;&gt; 0, LN(G11/G12), 0)</f>
        <v>2.4734529636543323E-2</v>
      </c>
      <c r="J11" s="660"/>
      <c r="K11" s="661"/>
      <c r="L11" s="662"/>
      <c r="M11" s="663"/>
      <c r="N11" s="797">
        <v>44614</v>
      </c>
      <c r="O11" s="652">
        <v>9.6199999999999992</v>
      </c>
      <c r="P11" s="652">
        <v>10.34</v>
      </c>
      <c r="Q11" s="652">
        <v>9.6199999999999992</v>
      </c>
      <c r="R11" s="652">
        <v>10.19</v>
      </c>
      <c r="S11" s="801">
        <v>1407057</v>
      </c>
      <c r="T11" s="668">
        <f t="shared" ref="T11:T74" si="1">+IF(R11 &lt;&gt; 0, LN(R11/R12), 0)</f>
        <v>5.134494594614776E-2</v>
      </c>
      <c r="U11" s="660"/>
      <c r="V11" s="661"/>
      <c r="W11" s="662"/>
      <c r="X11" s="51"/>
      <c r="Y11" s="51"/>
      <c r="Z11" s="663"/>
      <c r="AA11" s="664"/>
      <c r="AB11" s="665"/>
      <c r="AC11" s="665"/>
      <c r="AD11" s="665"/>
      <c r="AE11" s="666"/>
      <c r="AF11" s="667"/>
      <c r="AG11" s="668"/>
      <c r="AH11" s="660"/>
      <c r="AI11" s="661"/>
      <c r="AJ11" s="662"/>
    </row>
    <row r="12" spans="1:36" s="47" customFormat="1" ht="15" customHeight="1">
      <c r="B12" s="659">
        <v>3</v>
      </c>
      <c r="C12" s="797">
        <v>44613</v>
      </c>
      <c r="D12" s="652">
        <v>203</v>
      </c>
      <c r="E12" s="652">
        <v>203.9</v>
      </c>
      <c r="F12" s="652">
        <v>198.5</v>
      </c>
      <c r="G12" s="652">
        <v>203.65</v>
      </c>
      <c r="H12" s="801">
        <v>475360</v>
      </c>
      <c r="I12" s="668">
        <f t="shared" si="0"/>
        <v>7.1455275080506897E-3</v>
      </c>
      <c r="J12" s="660"/>
      <c r="K12" s="661"/>
      <c r="L12" s="662"/>
      <c r="M12" s="663"/>
      <c r="N12" s="797">
        <v>44613</v>
      </c>
      <c r="O12" s="652">
        <v>9.4</v>
      </c>
      <c r="P12" s="652">
        <v>9.7899999999999991</v>
      </c>
      <c r="Q12" s="652">
        <v>9.4</v>
      </c>
      <c r="R12" s="652">
        <v>9.68</v>
      </c>
      <c r="S12" s="801">
        <v>609952</v>
      </c>
      <c r="T12" s="668">
        <f t="shared" si="1"/>
        <v>2.0682530640590605E-3</v>
      </c>
      <c r="U12" s="660"/>
      <c r="V12" s="661"/>
      <c r="W12" s="662"/>
      <c r="X12" s="51"/>
      <c r="Y12" s="51"/>
      <c r="Z12" s="663"/>
      <c r="AA12" s="664"/>
      <c r="AB12" s="665"/>
      <c r="AC12" s="665"/>
      <c r="AD12" s="665"/>
      <c r="AE12" s="666"/>
      <c r="AF12" s="667"/>
      <c r="AG12" s="668"/>
      <c r="AH12" s="660"/>
      <c r="AI12" s="661"/>
      <c r="AJ12" s="662"/>
    </row>
    <row r="13" spans="1:36" s="47" customFormat="1" ht="15" customHeight="1">
      <c r="B13" s="659">
        <v>4</v>
      </c>
      <c r="C13" s="797">
        <v>44610</v>
      </c>
      <c r="D13" s="652">
        <v>202.4</v>
      </c>
      <c r="E13" s="652">
        <v>203.3</v>
      </c>
      <c r="F13" s="652">
        <v>199</v>
      </c>
      <c r="G13" s="652">
        <v>202.2</v>
      </c>
      <c r="H13" s="801">
        <v>1781911</v>
      </c>
      <c r="I13" s="668">
        <f t="shared" si="0"/>
        <v>1.0440064996683204E-2</v>
      </c>
      <c r="J13" s="660"/>
      <c r="K13" s="661"/>
      <c r="L13" s="662"/>
      <c r="M13" s="663"/>
      <c r="N13" s="797">
        <v>44610</v>
      </c>
      <c r="O13" s="652">
        <v>9.52</v>
      </c>
      <c r="P13" s="652">
        <v>9.7899999999999991</v>
      </c>
      <c r="Q13" s="652">
        <v>9.52</v>
      </c>
      <c r="R13" s="652">
        <v>9.66</v>
      </c>
      <c r="S13" s="801">
        <v>534644</v>
      </c>
      <c r="T13" s="668">
        <f t="shared" si="1"/>
        <v>2.4097551579060524E-2</v>
      </c>
      <c r="U13" s="660"/>
      <c r="V13" s="661"/>
      <c r="W13" s="662"/>
      <c r="X13" s="51"/>
      <c r="Y13" s="51"/>
      <c r="Z13" s="663"/>
      <c r="AA13" s="664"/>
      <c r="AB13" s="665"/>
      <c r="AC13" s="665"/>
      <c r="AD13" s="665"/>
      <c r="AE13" s="666"/>
      <c r="AF13" s="667"/>
      <c r="AG13" s="668"/>
      <c r="AH13" s="660"/>
      <c r="AI13" s="661"/>
      <c r="AJ13" s="662"/>
    </row>
    <row r="14" spans="1:36" s="47" customFormat="1" ht="15" customHeight="1">
      <c r="B14" s="659">
        <v>5</v>
      </c>
      <c r="C14" s="797">
        <v>44609</v>
      </c>
      <c r="D14" s="652">
        <v>202</v>
      </c>
      <c r="E14" s="652">
        <v>206.6</v>
      </c>
      <c r="F14" s="652">
        <v>199.5</v>
      </c>
      <c r="G14" s="652">
        <v>200.1</v>
      </c>
      <c r="H14" s="801">
        <v>1043971</v>
      </c>
      <c r="I14" s="668">
        <f t="shared" si="0"/>
        <v>-2.0037776175897123E-2</v>
      </c>
      <c r="J14" s="660"/>
      <c r="K14" s="661" t="s">
        <v>623</v>
      </c>
      <c r="L14" s="662"/>
      <c r="M14" s="663"/>
      <c r="N14" s="797">
        <v>44609</v>
      </c>
      <c r="O14" s="652">
        <v>9.65</v>
      </c>
      <c r="P14" s="652">
        <v>9.74</v>
      </c>
      <c r="Q14" s="652">
        <v>9.3800000000000008</v>
      </c>
      <c r="R14" s="652">
        <v>9.43</v>
      </c>
      <c r="S14" s="801">
        <v>262723</v>
      </c>
      <c r="T14" s="668">
        <f t="shared" si="1"/>
        <v>-3.0289521826981643E-2</v>
      </c>
      <c r="U14" s="660" t="s">
        <v>624</v>
      </c>
      <c r="V14" s="661"/>
      <c r="W14" s="662"/>
      <c r="X14" s="51"/>
      <c r="Y14" s="51"/>
      <c r="Z14" s="663"/>
      <c r="AA14" s="664"/>
      <c r="AB14" s="665"/>
      <c r="AC14" s="665"/>
      <c r="AD14" s="665"/>
      <c r="AE14" s="666"/>
      <c r="AF14" s="667"/>
      <c r="AG14" s="668"/>
      <c r="AH14" s="660"/>
      <c r="AI14" s="661"/>
      <c r="AJ14" s="662"/>
    </row>
    <row r="15" spans="1:36" s="47" customFormat="1" ht="15" customHeight="1">
      <c r="B15" s="659">
        <v>6</v>
      </c>
      <c r="C15" s="797">
        <v>44608</v>
      </c>
      <c r="D15" s="652">
        <v>198.65</v>
      </c>
      <c r="E15" s="652">
        <v>205.5</v>
      </c>
      <c r="F15" s="652">
        <v>195.2</v>
      </c>
      <c r="G15" s="652">
        <v>204.15</v>
      </c>
      <c r="H15" s="801">
        <v>1863063</v>
      </c>
      <c r="I15" s="668">
        <f t="shared" si="0"/>
        <v>3.7175292370571489E-2</v>
      </c>
      <c r="J15" s="660"/>
      <c r="K15" s="661"/>
      <c r="L15" s="662"/>
      <c r="M15" s="663"/>
      <c r="N15" s="797">
        <v>44608</v>
      </c>
      <c r="O15" s="652">
        <v>9.17</v>
      </c>
      <c r="P15" s="652">
        <v>9.77</v>
      </c>
      <c r="Q15" s="652">
        <v>9.11</v>
      </c>
      <c r="R15" s="652">
        <v>9.7200000000000006</v>
      </c>
      <c r="S15" s="801">
        <v>780102</v>
      </c>
      <c r="T15" s="668">
        <f t="shared" si="1"/>
        <v>5.8248332203974337E-2</v>
      </c>
      <c r="U15" s="660"/>
      <c r="V15" s="661"/>
      <c r="W15" s="662"/>
      <c r="X15" s="51"/>
      <c r="Y15" s="51"/>
      <c r="Z15" s="663"/>
      <c r="AA15" s="664"/>
      <c r="AB15" s="665"/>
      <c r="AC15" s="665"/>
      <c r="AD15" s="665"/>
      <c r="AE15" s="666"/>
      <c r="AF15" s="667"/>
      <c r="AG15" s="668"/>
      <c r="AH15" s="660"/>
      <c r="AI15" s="661"/>
      <c r="AJ15" s="662"/>
    </row>
    <row r="16" spans="1:36" s="47" customFormat="1" ht="15" customHeight="1">
      <c r="B16" s="659">
        <v>7</v>
      </c>
      <c r="C16" s="797">
        <v>44607</v>
      </c>
      <c r="D16" s="652">
        <v>195</v>
      </c>
      <c r="E16" s="652">
        <v>198.6</v>
      </c>
      <c r="F16" s="652">
        <v>195</v>
      </c>
      <c r="G16" s="652">
        <v>196.7</v>
      </c>
      <c r="H16" s="801">
        <v>842311</v>
      </c>
      <c r="I16" s="668">
        <f t="shared" si="0"/>
        <v>1.2019068096781192E-2</v>
      </c>
      <c r="J16" s="660"/>
      <c r="K16" s="661"/>
      <c r="L16" s="662"/>
      <c r="M16" s="663"/>
      <c r="N16" s="797">
        <v>44607</v>
      </c>
      <c r="O16" s="652">
        <v>9.08</v>
      </c>
      <c r="P16" s="652">
        <v>9.2799999999999994</v>
      </c>
      <c r="Q16" s="652">
        <v>9.08</v>
      </c>
      <c r="R16" s="652">
        <v>9.17</v>
      </c>
      <c r="S16" s="801">
        <v>280582</v>
      </c>
      <c r="T16" s="668">
        <f t="shared" si="1"/>
        <v>1.7602214648126918E-2</v>
      </c>
      <c r="U16" s="660"/>
      <c r="V16" s="661"/>
      <c r="W16" s="662"/>
      <c r="X16" s="51"/>
      <c r="Y16" s="51"/>
      <c r="Z16" s="663"/>
      <c r="AA16" s="664"/>
      <c r="AB16" s="665"/>
      <c r="AC16" s="665"/>
      <c r="AD16" s="665"/>
      <c r="AE16" s="666"/>
      <c r="AF16" s="667"/>
      <c r="AG16" s="668"/>
      <c r="AH16" s="660"/>
      <c r="AI16" s="661"/>
      <c r="AJ16" s="662"/>
    </row>
    <row r="17" spans="2:36" s="47" customFormat="1" ht="15" customHeight="1">
      <c r="B17" s="659">
        <v>8</v>
      </c>
      <c r="C17" s="797">
        <v>44606</v>
      </c>
      <c r="D17" s="652">
        <v>196.95</v>
      </c>
      <c r="E17" s="652">
        <v>198.5</v>
      </c>
      <c r="F17" s="652">
        <v>192</v>
      </c>
      <c r="G17" s="652">
        <v>194.35</v>
      </c>
      <c r="H17" s="801">
        <v>2161416</v>
      </c>
      <c r="I17" s="674">
        <f t="shared" si="0"/>
        <v>-1.4304203025404017E-2</v>
      </c>
      <c r="J17" s="669"/>
      <c r="K17" s="661"/>
      <c r="L17" s="662"/>
      <c r="M17" s="663"/>
      <c r="N17" s="797">
        <v>44606</v>
      </c>
      <c r="O17" s="652">
        <v>9.08</v>
      </c>
      <c r="P17" s="652">
        <v>9.18</v>
      </c>
      <c r="Q17" s="652">
        <v>8.85</v>
      </c>
      <c r="R17" s="652">
        <v>9.01</v>
      </c>
      <c r="S17" s="801">
        <v>486762</v>
      </c>
      <c r="T17" s="674">
        <f t="shared" si="1"/>
        <v>-2.2172958086474461E-3</v>
      </c>
      <c r="U17" s="669"/>
      <c r="V17" s="661"/>
      <c r="W17" s="662"/>
      <c r="X17" s="51"/>
      <c r="Y17" s="51"/>
      <c r="Z17" s="663"/>
      <c r="AA17" s="670"/>
      <c r="AB17" s="671"/>
      <c r="AC17" s="671"/>
      <c r="AD17" s="671"/>
      <c r="AE17" s="672"/>
      <c r="AF17" s="673"/>
      <c r="AG17" s="674"/>
      <c r="AH17" s="669"/>
      <c r="AI17" s="661"/>
      <c r="AJ17" s="662"/>
    </row>
    <row r="18" spans="2:36" s="47" customFormat="1" ht="15" customHeight="1">
      <c r="B18" s="659">
        <v>9</v>
      </c>
      <c r="C18" s="797">
        <v>44603</v>
      </c>
      <c r="D18" s="652">
        <v>198.05</v>
      </c>
      <c r="E18" s="652">
        <v>207.85</v>
      </c>
      <c r="F18" s="652">
        <v>196.4</v>
      </c>
      <c r="G18" s="652">
        <v>197.15</v>
      </c>
      <c r="H18" s="801">
        <v>1701945</v>
      </c>
      <c r="I18" s="674">
        <f t="shared" si="0"/>
        <v>-1.5102225114946462E-2</v>
      </c>
      <c r="J18" s="669"/>
      <c r="K18" s="661"/>
      <c r="L18" s="662"/>
      <c r="M18" s="663"/>
      <c r="N18" s="797">
        <v>44603</v>
      </c>
      <c r="O18" s="652">
        <v>9.31</v>
      </c>
      <c r="P18" s="652">
        <v>9.75</v>
      </c>
      <c r="Q18" s="652">
        <v>8.98</v>
      </c>
      <c r="R18" s="652">
        <v>9.0299999999999994</v>
      </c>
      <c r="S18" s="801">
        <v>1259058</v>
      </c>
      <c r="T18" s="674">
        <f t="shared" si="1"/>
        <v>-2.7309179369215175E-2</v>
      </c>
      <c r="U18" s="669"/>
      <c r="V18" s="661"/>
      <c r="W18" s="662"/>
      <c r="X18" s="51"/>
      <c r="Y18" s="51"/>
      <c r="Z18" s="663"/>
      <c r="AA18" s="670"/>
      <c r="AB18" s="671"/>
      <c r="AC18" s="671"/>
      <c r="AD18" s="671"/>
      <c r="AE18" s="672"/>
      <c r="AF18" s="673"/>
      <c r="AG18" s="674"/>
      <c r="AH18" s="669"/>
      <c r="AI18" s="661"/>
      <c r="AJ18" s="662"/>
    </row>
    <row r="19" spans="2:36" s="47" customFormat="1" ht="15" customHeight="1">
      <c r="B19" s="659">
        <v>10</v>
      </c>
      <c r="C19" s="797">
        <v>44602</v>
      </c>
      <c r="D19" s="652">
        <v>199</v>
      </c>
      <c r="E19" s="652">
        <v>203.85</v>
      </c>
      <c r="F19" s="652">
        <v>197.5</v>
      </c>
      <c r="G19" s="652">
        <v>200.15</v>
      </c>
      <c r="H19" s="801">
        <v>554882</v>
      </c>
      <c r="I19" s="674">
        <f t="shared" si="0"/>
        <v>5.511035992256331E-3</v>
      </c>
      <c r="J19" s="669"/>
      <c r="K19" s="661"/>
      <c r="L19" s="662"/>
      <c r="M19" s="663"/>
      <c r="N19" s="797">
        <v>44602</v>
      </c>
      <c r="O19" s="652">
        <v>9.18</v>
      </c>
      <c r="P19" s="652">
        <v>9.61</v>
      </c>
      <c r="Q19" s="652">
        <v>9.18</v>
      </c>
      <c r="R19" s="652">
        <v>9.2799999999999994</v>
      </c>
      <c r="S19" s="801">
        <v>524872</v>
      </c>
      <c r="T19" s="674">
        <f t="shared" si="1"/>
        <v>0</v>
      </c>
      <c r="U19" s="669"/>
      <c r="V19" s="661"/>
      <c r="W19" s="662"/>
      <c r="X19" s="51"/>
      <c r="Y19" s="51"/>
      <c r="Z19" s="663"/>
      <c r="AA19" s="670"/>
      <c r="AB19" s="671"/>
      <c r="AC19" s="671"/>
      <c r="AD19" s="671"/>
      <c r="AE19" s="672"/>
      <c r="AF19" s="673"/>
      <c r="AG19" s="674"/>
      <c r="AH19" s="669"/>
      <c r="AI19" s="661"/>
      <c r="AJ19" s="662"/>
    </row>
    <row r="20" spans="2:36" s="47" customFormat="1" ht="15" customHeight="1">
      <c r="B20" s="659">
        <v>11</v>
      </c>
      <c r="C20" s="797">
        <v>44601</v>
      </c>
      <c r="D20" s="652">
        <v>202.85</v>
      </c>
      <c r="E20" s="652">
        <v>205.5</v>
      </c>
      <c r="F20" s="652">
        <v>197.65</v>
      </c>
      <c r="G20" s="652">
        <v>199.05</v>
      </c>
      <c r="H20" s="801">
        <v>774237</v>
      </c>
      <c r="I20" s="674">
        <f t="shared" si="0"/>
        <v>-1.8910740206129911E-2</v>
      </c>
      <c r="J20" s="669"/>
      <c r="K20" s="661"/>
      <c r="L20" s="662"/>
      <c r="M20" s="663"/>
      <c r="N20" s="797">
        <v>44601</v>
      </c>
      <c r="O20" s="652">
        <v>9.3699999999999992</v>
      </c>
      <c r="P20" s="652">
        <v>9.4700000000000006</v>
      </c>
      <c r="Q20" s="652">
        <v>9.16</v>
      </c>
      <c r="R20" s="652">
        <v>9.2799999999999994</v>
      </c>
      <c r="S20" s="801">
        <v>721830</v>
      </c>
      <c r="T20" s="674">
        <f t="shared" si="1"/>
        <v>-7.5147965024864993E-3</v>
      </c>
      <c r="U20" s="669"/>
      <c r="V20" s="661"/>
      <c r="W20" s="662"/>
      <c r="X20" s="51"/>
      <c r="Y20" s="51"/>
      <c r="Z20" s="663"/>
      <c r="AA20" s="670"/>
      <c r="AB20" s="671"/>
      <c r="AC20" s="671"/>
      <c r="AD20" s="671"/>
      <c r="AE20" s="672"/>
      <c r="AF20" s="673"/>
      <c r="AG20" s="674"/>
      <c r="AH20" s="669"/>
      <c r="AI20" s="661"/>
      <c r="AJ20" s="662"/>
    </row>
    <row r="21" spans="2:36" s="47" customFormat="1" ht="15" customHeight="1">
      <c r="B21" s="659">
        <v>12</v>
      </c>
      <c r="C21" s="797">
        <v>44600</v>
      </c>
      <c r="D21" s="652">
        <v>207</v>
      </c>
      <c r="E21" s="652">
        <v>211.5</v>
      </c>
      <c r="F21" s="652">
        <v>202.1</v>
      </c>
      <c r="G21" s="652">
        <v>202.85</v>
      </c>
      <c r="H21" s="801">
        <v>711327</v>
      </c>
      <c r="I21" s="674">
        <f t="shared" si="0"/>
        <v>-2.2182506142970744E-2</v>
      </c>
      <c r="J21" s="669"/>
      <c r="K21" s="661"/>
      <c r="L21" s="662"/>
      <c r="M21" s="663"/>
      <c r="N21" s="797">
        <v>44600</v>
      </c>
      <c r="O21" s="652">
        <v>9.51</v>
      </c>
      <c r="P21" s="652">
        <v>9.7100000000000009</v>
      </c>
      <c r="Q21" s="652">
        <v>9.32</v>
      </c>
      <c r="R21" s="652">
        <v>9.35</v>
      </c>
      <c r="S21" s="801">
        <v>309892</v>
      </c>
      <c r="T21" s="674">
        <f t="shared" si="1"/>
        <v>-2.1367529497351087E-3</v>
      </c>
      <c r="U21" s="669"/>
      <c r="V21" s="661"/>
      <c r="W21" s="662"/>
      <c r="X21" s="51"/>
      <c r="Y21" s="51"/>
      <c r="Z21" s="663"/>
      <c r="AA21" s="670"/>
      <c r="AB21" s="671"/>
      <c r="AC21" s="671"/>
      <c r="AD21" s="671"/>
      <c r="AE21" s="672"/>
      <c r="AF21" s="673"/>
      <c r="AG21" s="674"/>
      <c r="AH21" s="669"/>
      <c r="AI21" s="661"/>
      <c r="AJ21" s="662"/>
    </row>
    <row r="22" spans="2:36" s="47" customFormat="1" ht="15" customHeight="1">
      <c r="B22" s="659">
        <v>13</v>
      </c>
      <c r="C22" s="797">
        <v>44599</v>
      </c>
      <c r="D22" s="652">
        <v>207.75</v>
      </c>
      <c r="E22" s="652">
        <v>208.85</v>
      </c>
      <c r="F22" s="652">
        <v>203.9</v>
      </c>
      <c r="G22" s="652">
        <v>207.4</v>
      </c>
      <c r="H22" s="801">
        <v>648685</v>
      </c>
      <c r="I22" s="674">
        <f t="shared" si="0"/>
        <v>1.6529301951210506E-2</v>
      </c>
      <c r="J22" s="669"/>
      <c r="K22" s="661"/>
      <c r="L22" s="662"/>
      <c r="M22" s="663"/>
      <c r="N22" s="797">
        <v>44599</v>
      </c>
      <c r="O22" s="652">
        <v>9.34</v>
      </c>
      <c r="P22" s="652">
        <v>9.56</v>
      </c>
      <c r="Q22" s="652">
        <v>9.32</v>
      </c>
      <c r="R22" s="652">
        <v>9.3699999999999992</v>
      </c>
      <c r="S22" s="801">
        <v>174237</v>
      </c>
      <c r="T22" s="674">
        <f t="shared" si="1"/>
        <v>6.4240049613548808E-3</v>
      </c>
      <c r="U22" s="669"/>
      <c r="V22" s="661"/>
      <c r="W22" s="662"/>
      <c r="X22" s="51"/>
      <c r="Y22" s="51"/>
      <c r="Z22" s="663"/>
      <c r="AA22" s="670"/>
      <c r="AB22" s="671"/>
      <c r="AC22" s="671"/>
      <c r="AD22" s="671"/>
      <c r="AE22" s="672"/>
      <c r="AF22" s="673"/>
      <c r="AG22" s="674"/>
      <c r="AH22" s="669"/>
      <c r="AI22" s="661"/>
      <c r="AJ22" s="662"/>
    </row>
    <row r="23" spans="2:36" s="47" customFormat="1" ht="15" customHeight="1">
      <c r="B23" s="659">
        <v>14</v>
      </c>
      <c r="C23" s="797">
        <v>44596</v>
      </c>
      <c r="D23" s="652">
        <v>204</v>
      </c>
      <c r="E23" s="652">
        <v>206.95</v>
      </c>
      <c r="F23" s="652">
        <v>202.55</v>
      </c>
      <c r="G23" s="652">
        <v>204</v>
      </c>
      <c r="H23" s="801">
        <v>782237</v>
      </c>
      <c r="I23" s="674">
        <f t="shared" si="0"/>
        <v>-3.9138993211363287E-3</v>
      </c>
      <c r="J23" s="669"/>
      <c r="K23" s="661"/>
      <c r="L23" s="662"/>
      <c r="M23" s="663"/>
      <c r="N23" s="797">
        <v>44596</v>
      </c>
      <c r="O23" s="652">
        <v>9.32</v>
      </c>
      <c r="P23" s="652">
        <v>9.35</v>
      </c>
      <c r="Q23" s="652">
        <v>9.1999999999999993</v>
      </c>
      <c r="R23" s="652">
        <v>9.31</v>
      </c>
      <c r="S23" s="801">
        <v>216226</v>
      </c>
      <c r="T23" s="674">
        <f t="shared" si="1"/>
        <v>1.0746911297653593E-3</v>
      </c>
      <c r="U23" s="669"/>
      <c r="V23" s="661"/>
      <c r="W23" s="662"/>
      <c r="X23" s="51"/>
      <c r="Y23" s="51"/>
      <c r="Z23" s="663"/>
      <c r="AA23" s="670"/>
      <c r="AB23" s="671"/>
      <c r="AC23" s="671"/>
      <c r="AD23" s="671"/>
      <c r="AE23" s="672"/>
      <c r="AF23" s="673"/>
      <c r="AG23" s="674"/>
      <c r="AH23" s="669"/>
      <c r="AI23" s="661"/>
      <c r="AJ23" s="662"/>
    </row>
    <row r="24" spans="2:36" s="47" customFormat="1" ht="15" customHeight="1">
      <c r="B24" s="659">
        <v>15</v>
      </c>
      <c r="C24" s="797">
        <v>44595</v>
      </c>
      <c r="D24" s="652">
        <v>209.85</v>
      </c>
      <c r="E24" s="652">
        <v>209.85</v>
      </c>
      <c r="F24" s="652">
        <v>204.3</v>
      </c>
      <c r="G24" s="652">
        <v>204.8</v>
      </c>
      <c r="H24" s="801">
        <v>662468</v>
      </c>
      <c r="I24" s="674">
        <f t="shared" si="0"/>
        <v>-2.7451759957083391E-2</v>
      </c>
      <c r="J24" s="669"/>
      <c r="K24" s="661"/>
      <c r="L24" s="662"/>
      <c r="M24" s="663"/>
      <c r="N24" s="797">
        <v>44595</v>
      </c>
      <c r="O24" s="652">
        <v>9.48</v>
      </c>
      <c r="P24" s="652">
        <v>9.5299999999999994</v>
      </c>
      <c r="Q24" s="652">
        <v>9.2799999999999994</v>
      </c>
      <c r="R24" s="652">
        <v>9.3000000000000007</v>
      </c>
      <c r="S24" s="801">
        <v>250090</v>
      </c>
      <c r="T24" s="674">
        <f t="shared" si="1"/>
        <v>-3.0706488736136562E-2</v>
      </c>
      <c r="U24" s="669"/>
      <c r="V24" s="661"/>
      <c r="W24" s="662"/>
      <c r="X24" s="51"/>
      <c r="Y24" s="51"/>
      <c r="Z24" s="663"/>
      <c r="AA24" s="670"/>
      <c r="AB24" s="671"/>
      <c r="AC24" s="671"/>
      <c r="AD24" s="671"/>
      <c r="AE24" s="672"/>
      <c r="AF24" s="673"/>
      <c r="AG24" s="674"/>
      <c r="AH24" s="669"/>
      <c r="AI24" s="661"/>
      <c r="AJ24" s="662"/>
    </row>
    <row r="25" spans="2:36" s="47" customFormat="1" ht="15" customHeight="1">
      <c r="B25" s="659">
        <v>16</v>
      </c>
      <c r="C25" s="797">
        <v>44594</v>
      </c>
      <c r="D25" s="652">
        <v>219.4</v>
      </c>
      <c r="E25" s="652">
        <v>219.4</v>
      </c>
      <c r="F25" s="652">
        <v>209.1</v>
      </c>
      <c r="G25" s="652">
        <v>210.5</v>
      </c>
      <c r="H25" s="801">
        <v>775023</v>
      </c>
      <c r="I25" s="674">
        <f t="shared" si="0"/>
        <v>-2.3475256421366397E-2</v>
      </c>
      <c r="J25" s="669"/>
      <c r="K25" s="661"/>
      <c r="L25" s="662"/>
      <c r="N25" s="797">
        <v>44594</v>
      </c>
      <c r="O25" s="652">
        <v>9.69</v>
      </c>
      <c r="P25" s="652">
        <v>9.69</v>
      </c>
      <c r="Q25" s="652">
        <v>9.43</v>
      </c>
      <c r="R25" s="652">
        <v>9.59</v>
      </c>
      <c r="S25" s="801">
        <v>295555</v>
      </c>
      <c r="T25" s="674">
        <f t="shared" si="1"/>
        <v>-1.0373537007327944E-2</v>
      </c>
      <c r="U25" s="669"/>
      <c r="V25" s="661"/>
      <c r="W25" s="662"/>
      <c r="X25" s="51"/>
      <c r="Y25" s="51"/>
      <c r="AA25" s="670"/>
      <c r="AB25" s="671"/>
      <c r="AC25" s="671"/>
      <c r="AD25" s="671"/>
      <c r="AE25" s="672"/>
      <c r="AF25" s="673"/>
      <c r="AG25" s="674"/>
      <c r="AH25" s="669"/>
      <c r="AI25" s="661"/>
      <c r="AJ25" s="662"/>
    </row>
    <row r="26" spans="2:36" s="47" customFormat="1" ht="15" customHeight="1">
      <c r="B26" s="659">
        <v>17</v>
      </c>
      <c r="C26" s="797">
        <v>44593</v>
      </c>
      <c r="D26" s="652">
        <v>215</v>
      </c>
      <c r="E26" s="652">
        <v>219.5</v>
      </c>
      <c r="F26" s="652">
        <v>206.2</v>
      </c>
      <c r="G26" s="652">
        <v>215.5</v>
      </c>
      <c r="H26" s="801">
        <v>1218415</v>
      </c>
      <c r="I26" s="674">
        <f t="shared" si="0"/>
        <v>-2.7803539690377586E-3</v>
      </c>
      <c r="J26" s="669"/>
      <c r="K26" s="661"/>
      <c r="L26" s="662"/>
      <c r="N26" s="797">
        <v>44593</v>
      </c>
      <c r="O26" s="652">
        <v>9.6199999999999992</v>
      </c>
      <c r="P26" s="652">
        <v>9.81</v>
      </c>
      <c r="Q26" s="652">
        <v>9.59</v>
      </c>
      <c r="R26" s="652">
        <v>9.69</v>
      </c>
      <c r="S26" s="801">
        <v>405440</v>
      </c>
      <c r="T26" s="674">
        <f t="shared" si="1"/>
        <v>1.032524614189184E-3</v>
      </c>
      <c r="U26" s="669"/>
      <c r="V26" s="661"/>
      <c r="W26" s="662"/>
      <c r="X26" s="51"/>
      <c r="Y26" s="51"/>
      <c r="AA26" s="670"/>
      <c r="AB26" s="671"/>
      <c r="AC26" s="671"/>
      <c r="AD26" s="671"/>
      <c r="AE26" s="672"/>
      <c r="AF26" s="673"/>
      <c r="AG26" s="674"/>
      <c r="AH26" s="669"/>
      <c r="AI26" s="661"/>
      <c r="AJ26" s="662"/>
    </row>
    <row r="27" spans="2:36" s="47" customFormat="1" ht="15" customHeight="1">
      <c r="B27" s="659">
        <v>18</v>
      </c>
      <c r="C27" s="797">
        <v>44592</v>
      </c>
      <c r="D27" s="652">
        <v>212</v>
      </c>
      <c r="E27" s="652">
        <v>216.65</v>
      </c>
      <c r="F27" s="652">
        <v>204.2</v>
      </c>
      <c r="G27" s="652">
        <v>216.1</v>
      </c>
      <c r="H27" s="801">
        <v>2123823</v>
      </c>
      <c r="I27" s="674">
        <f t="shared" si="0"/>
        <v>2.7681805069989657E-2</v>
      </c>
      <c r="J27" s="669"/>
      <c r="K27" s="661"/>
      <c r="L27" s="662"/>
      <c r="N27" s="797">
        <v>44592</v>
      </c>
      <c r="O27" s="652">
        <v>9.32</v>
      </c>
      <c r="P27" s="652">
        <v>9.6999999999999993</v>
      </c>
      <c r="Q27" s="652">
        <v>9.02</v>
      </c>
      <c r="R27" s="652">
        <v>9.68</v>
      </c>
      <c r="S27" s="801">
        <v>917869</v>
      </c>
      <c r="T27" s="674">
        <f t="shared" si="1"/>
        <v>1.5617183622374922E-2</v>
      </c>
      <c r="U27" s="669"/>
      <c r="V27" s="661"/>
      <c r="W27" s="662"/>
      <c r="X27" s="51"/>
      <c r="Y27" s="51"/>
      <c r="AA27" s="670"/>
      <c r="AB27" s="671"/>
      <c r="AC27" s="671"/>
      <c r="AD27" s="671"/>
      <c r="AE27" s="672"/>
      <c r="AF27" s="673"/>
      <c r="AG27" s="674"/>
      <c r="AH27" s="669"/>
      <c r="AI27" s="661"/>
      <c r="AJ27" s="662"/>
    </row>
    <row r="28" spans="2:36" s="47" customFormat="1" ht="15" customHeight="1">
      <c r="B28" s="659">
        <v>19</v>
      </c>
      <c r="C28" s="797">
        <v>44589</v>
      </c>
      <c r="D28" s="652">
        <v>210.05</v>
      </c>
      <c r="E28" s="652">
        <v>213.45</v>
      </c>
      <c r="F28" s="652">
        <v>203</v>
      </c>
      <c r="G28" s="652">
        <v>210.2</v>
      </c>
      <c r="H28" s="801">
        <v>3379254</v>
      </c>
      <c r="I28" s="674">
        <f t="shared" si="0"/>
        <v>5.0992873796466609E-2</v>
      </c>
      <c r="J28" s="669"/>
      <c r="K28" s="661"/>
      <c r="L28" s="662"/>
      <c r="N28" s="797">
        <v>44589</v>
      </c>
      <c r="O28" s="652">
        <v>9.2200000000000006</v>
      </c>
      <c r="P28" s="652">
        <v>9.5399999999999991</v>
      </c>
      <c r="Q28" s="652">
        <v>9.01</v>
      </c>
      <c r="R28" s="652">
        <v>9.5299999999999994</v>
      </c>
      <c r="S28" s="801">
        <v>1558182</v>
      </c>
      <c r="T28" s="674">
        <f t="shared" si="1"/>
        <v>9.3423188993851838E-2</v>
      </c>
      <c r="U28" s="669"/>
      <c r="V28" s="661"/>
      <c r="W28" s="662"/>
      <c r="X28" s="51"/>
      <c r="Y28" s="51"/>
      <c r="AA28" s="670"/>
      <c r="AB28" s="671"/>
      <c r="AC28" s="671"/>
      <c r="AD28" s="671"/>
      <c r="AE28" s="672"/>
      <c r="AF28" s="673"/>
      <c r="AG28" s="674"/>
      <c r="AH28" s="669"/>
      <c r="AI28" s="661"/>
      <c r="AJ28" s="662"/>
    </row>
    <row r="29" spans="2:36" s="47" customFormat="1" ht="15" customHeight="1">
      <c r="B29" s="659">
        <v>20</v>
      </c>
      <c r="C29" s="797">
        <v>44588</v>
      </c>
      <c r="D29" s="652">
        <v>199.5</v>
      </c>
      <c r="E29" s="652">
        <v>201.95</v>
      </c>
      <c r="F29" s="652">
        <v>195.5</v>
      </c>
      <c r="G29" s="652">
        <v>199.75</v>
      </c>
      <c r="H29" s="801">
        <v>917724</v>
      </c>
      <c r="I29" s="674">
        <f t="shared" si="0"/>
        <v>4.0130477734463925E-3</v>
      </c>
      <c r="J29" s="669"/>
      <c r="K29" s="661"/>
      <c r="L29" s="662"/>
      <c r="N29" s="797">
        <v>44588</v>
      </c>
      <c r="O29" s="652">
        <v>8.61</v>
      </c>
      <c r="P29" s="652">
        <v>8.83</v>
      </c>
      <c r="Q29" s="652">
        <v>8.3800000000000008</v>
      </c>
      <c r="R29" s="652">
        <v>8.68</v>
      </c>
      <c r="S29" s="801">
        <v>531881</v>
      </c>
      <c r="T29" s="674">
        <f t="shared" si="1"/>
        <v>-1.1514106050418138E-3</v>
      </c>
      <c r="U29" s="669"/>
      <c r="V29" s="661"/>
      <c r="W29" s="662"/>
      <c r="X29" s="51"/>
      <c r="Y29" s="51"/>
      <c r="AA29" s="670"/>
      <c r="AB29" s="671"/>
      <c r="AC29" s="671"/>
      <c r="AD29" s="671"/>
      <c r="AE29" s="672"/>
      <c r="AF29" s="673"/>
      <c r="AG29" s="674"/>
      <c r="AH29" s="669"/>
      <c r="AI29" s="661"/>
      <c r="AJ29" s="662"/>
    </row>
    <row r="30" spans="2:36" s="47" customFormat="1" ht="15" customHeight="1">
      <c r="B30" s="659">
        <v>21</v>
      </c>
      <c r="C30" s="797">
        <v>44587</v>
      </c>
      <c r="D30" s="652">
        <v>199.95</v>
      </c>
      <c r="E30" s="652">
        <v>204.25</v>
      </c>
      <c r="F30" s="652">
        <v>198</v>
      </c>
      <c r="G30" s="652">
        <v>198.95</v>
      </c>
      <c r="H30" s="801">
        <v>1910737</v>
      </c>
      <c r="I30" s="674">
        <f t="shared" si="0"/>
        <v>5.2916842644175127E-3</v>
      </c>
      <c r="J30" s="669"/>
      <c r="K30" s="661"/>
      <c r="L30" s="662"/>
      <c r="N30" s="797">
        <v>44587</v>
      </c>
      <c r="O30" s="652">
        <v>8.69</v>
      </c>
      <c r="P30" s="652">
        <v>8.9499999999999993</v>
      </c>
      <c r="Q30" s="652">
        <v>8.59</v>
      </c>
      <c r="R30" s="652">
        <v>8.69</v>
      </c>
      <c r="S30" s="801">
        <v>471689</v>
      </c>
      <c r="T30" s="674">
        <f t="shared" si="1"/>
        <v>1.5072749123649842E-2</v>
      </c>
      <c r="U30" s="669"/>
      <c r="V30" s="661"/>
      <c r="W30" s="662"/>
      <c r="X30" s="51"/>
      <c r="Y30" s="51"/>
      <c r="AA30" s="670"/>
      <c r="AB30" s="671"/>
      <c r="AC30" s="671"/>
      <c r="AD30" s="671"/>
      <c r="AE30" s="672"/>
      <c r="AF30" s="673"/>
      <c r="AG30" s="674"/>
      <c r="AH30" s="669"/>
      <c r="AI30" s="661"/>
      <c r="AJ30" s="662"/>
    </row>
    <row r="31" spans="2:36" s="47" customFormat="1" ht="15" customHeight="1">
      <c r="B31" s="659">
        <v>22</v>
      </c>
      <c r="C31" s="797">
        <v>44586</v>
      </c>
      <c r="D31" s="652">
        <v>184.9</v>
      </c>
      <c r="E31" s="652">
        <v>198.4</v>
      </c>
      <c r="F31" s="652">
        <v>180.65</v>
      </c>
      <c r="G31" s="652">
        <v>197.9</v>
      </c>
      <c r="H31" s="801">
        <v>2721123</v>
      </c>
      <c r="I31" s="674">
        <f t="shared" si="0"/>
        <v>8.6230754748175306E-2</v>
      </c>
      <c r="J31" s="669"/>
      <c r="K31" s="661"/>
      <c r="L31" s="662"/>
      <c r="N31" s="797">
        <v>44586</v>
      </c>
      <c r="O31" s="652">
        <v>8.17</v>
      </c>
      <c r="P31" s="652">
        <v>8.6999999999999993</v>
      </c>
      <c r="Q31" s="652">
        <v>8.1</v>
      </c>
      <c r="R31" s="652">
        <v>8.56</v>
      </c>
      <c r="S31" s="801">
        <v>674468</v>
      </c>
      <c r="T31" s="674">
        <f t="shared" si="1"/>
        <v>3.8099846232270383E-2</v>
      </c>
      <c r="U31" s="669"/>
      <c r="V31" s="661"/>
      <c r="W31" s="662"/>
      <c r="X31" s="51"/>
      <c r="Y31" s="51"/>
      <c r="AA31" s="670"/>
      <c r="AB31" s="671"/>
      <c r="AC31" s="671"/>
      <c r="AD31" s="671"/>
      <c r="AE31" s="672"/>
      <c r="AF31" s="673"/>
      <c r="AG31" s="674"/>
      <c r="AH31" s="669"/>
      <c r="AI31" s="661"/>
      <c r="AJ31" s="662"/>
    </row>
    <row r="32" spans="2:36" s="47" customFormat="1" ht="15" customHeight="1">
      <c r="B32" s="659">
        <v>23</v>
      </c>
      <c r="C32" s="797">
        <v>44585</v>
      </c>
      <c r="D32" s="652">
        <v>189</v>
      </c>
      <c r="E32" s="652">
        <v>189</v>
      </c>
      <c r="F32" s="652">
        <v>178</v>
      </c>
      <c r="G32" s="652">
        <v>181.55</v>
      </c>
      <c r="H32" s="801">
        <v>1873046</v>
      </c>
      <c r="I32" s="674">
        <f t="shared" si="0"/>
        <v>-4.2330082891633078E-2</v>
      </c>
      <c r="J32" s="669"/>
      <c r="K32" s="661"/>
      <c r="L32" s="662"/>
      <c r="N32" s="797">
        <v>44585</v>
      </c>
      <c r="O32" s="652">
        <v>8.1300000000000008</v>
      </c>
      <c r="P32" s="652">
        <v>8.26</v>
      </c>
      <c r="Q32" s="652">
        <v>7.88</v>
      </c>
      <c r="R32" s="652">
        <v>8.24</v>
      </c>
      <c r="S32" s="801">
        <v>827453</v>
      </c>
      <c r="T32" s="674">
        <f t="shared" si="1"/>
        <v>-2.2796428092383685E-2</v>
      </c>
      <c r="U32" s="669"/>
      <c r="V32" s="661"/>
      <c r="W32" s="662"/>
      <c r="X32" s="51"/>
      <c r="Y32" s="51"/>
      <c r="AA32" s="670"/>
      <c r="AB32" s="671"/>
      <c r="AC32" s="671"/>
      <c r="AD32" s="671"/>
      <c r="AE32" s="672"/>
      <c r="AF32" s="673"/>
      <c r="AG32" s="674"/>
      <c r="AH32" s="669"/>
      <c r="AI32" s="661"/>
      <c r="AJ32" s="662"/>
    </row>
    <row r="33" spans="2:36" s="47" customFormat="1" ht="15" customHeight="1">
      <c r="B33" s="659">
        <v>24</v>
      </c>
      <c r="C33" s="797">
        <v>44582</v>
      </c>
      <c r="D33" s="652">
        <v>195.5</v>
      </c>
      <c r="E33" s="652">
        <v>196</v>
      </c>
      <c r="F33" s="652">
        <v>189</v>
      </c>
      <c r="G33" s="652">
        <v>189.4</v>
      </c>
      <c r="H33" s="801">
        <v>698098</v>
      </c>
      <c r="I33" s="674">
        <f t="shared" si="0"/>
        <v>-3.2721693650052577E-2</v>
      </c>
      <c r="J33" s="669"/>
      <c r="K33" s="661"/>
      <c r="L33" s="662"/>
      <c r="N33" s="797">
        <v>44582</v>
      </c>
      <c r="O33" s="652">
        <v>8.86</v>
      </c>
      <c r="P33" s="652">
        <v>8.9</v>
      </c>
      <c r="Q33" s="652">
        <v>8.41</v>
      </c>
      <c r="R33" s="652">
        <v>8.43</v>
      </c>
      <c r="S33" s="801">
        <v>502781</v>
      </c>
      <c r="T33" s="674">
        <f t="shared" si="1"/>
        <v>-4.8620687006074088E-2</v>
      </c>
      <c r="U33" s="669"/>
      <c r="V33" s="661"/>
      <c r="W33" s="662"/>
      <c r="X33" s="51"/>
      <c r="Y33" s="51"/>
      <c r="AA33" s="670"/>
      <c r="AB33" s="671"/>
      <c r="AC33" s="671"/>
      <c r="AD33" s="671"/>
      <c r="AE33" s="672"/>
      <c r="AF33" s="673"/>
      <c r="AG33" s="674"/>
      <c r="AH33" s="669"/>
      <c r="AI33" s="661"/>
      <c r="AJ33" s="662"/>
    </row>
    <row r="34" spans="2:36" s="47" customFormat="1" ht="15" customHeight="1">
      <c r="B34" s="659">
        <v>25</v>
      </c>
      <c r="C34" s="797">
        <v>44581</v>
      </c>
      <c r="D34" s="652">
        <v>194</v>
      </c>
      <c r="E34" s="652">
        <v>197.8</v>
      </c>
      <c r="F34" s="652">
        <v>191.05</v>
      </c>
      <c r="G34" s="652">
        <v>195.7</v>
      </c>
      <c r="H34" s="801">
        <v>1181757</v>
      </c>
      <c r="I34" s="674">
        <f t="shared" si="0"/>
        <v>2.4047700509121479E-2</v>
      </c>
      <c r="J34" s="669"/>
      <c r="K34" s="661"/>
      <c r="L34" s="662"/>
      <c r="N34" s="797">
        <v>44581</v>
      </c>
      <c r="O34" s="652">
        <v>9</v>
      </c>
      <c r="P34" s="652">
        <v>9.1300000000000008</v>
      </c>
      <c r="Q34" s="652">
        <v>8.81</v>
      </c>
      <c r="R34" s="652">
        <v>8.85</v>
      </c>
      <c r="S34" s="801">
        <v>459490</v>
      </c>
      <c r="T34" s="674">
        <f t="shared" si="1"/>
        <v>-1.6807118316381289E-2</v>
      </c>
      <c r="U34" s="669"/>
      <c r="V34" s="661"/>
      <c r="W34" s="662"/>
      <c r="X34" s="51"/>
      <c r="Y34" s="51"/>
      <c r="AA34" s="670"/>
      <c r="AB34" s="671"/>
      <c r="AC34" s="671"/>
      <c r="AD34" s="671"/>
      <c r="AE34" s="672"/>
      <c r="AF34" s="673"/>
      <c r="AG34" s="674"/>
      <c r="AH34" s="669"/>
      <c r="AI34" s="661"/>
      <c r="AJ34" s="662"/>
    </row>
    <row r="35" spans="2:36" s="47" customFormat="1" ht="15" customHeight="1">
      <c r="B35" s="659">
        <v>26</v>
      </c>
      <c r="C35" s="797">
        <v>44580</v>
      </c>
      <c r="D35" s="652">
        <v>190.25</v>
      </c>
      <c r="E35" s="652">
        <v>193</v>
      </c>
      <c r="F35" s="652">
        <v>189.1</v>
      </c>
      <c r="G35" s="652">
        <v>191.05</v>
      </c>
      <c r="H35" s="801">
        <v>943934</v>
      </c>
      <c r="I35" s="674">
        <f t="shared" si="0"/>
        <v>1.1052744097411204E-2</v>
      </c>
      <c r="J35" s="669"/>
      <c r="K35" s="661"/>
      <c r="L35" s="662"/>
      <c r="N35" s="797">
        <v>44580</v>
      </c>
      <c r="O35" s="652">
        <v>9.1</v>
      </c>
      <c r="P35" s="652">
        <v>9.24</v>
      </c>
      <c r="Q35" s="652">
        <v>8.92</v>
      </c>
      <c r="R35" s="652">
        <v>9</v>
      </c>
      <c r="S35" s="801">
        <v>527739</v>
      </c>
      <c r="T35" s="674">
        <f t="shared" si="1"/>
        <v>1.0050335853501506E-2</v>
      </c>
      <c r="U35" s="669"/>
      <c r="V35" s="661"/>
      <c r="W35" s="662"/>
      <c r="X35" s="51"/>
      <c r="Y35" s="51"/>
      <c r="AA35" s="670"/>
      <c r="AB35" s="671"/>
      <c r="AC35" s="671"/>
      <c r="AD35" s="671"/>
      <c r="AE35" s="672"/>
      <c r="AF35" s="673"/>
      <c r="AG35" s="674"/>
      <c r="AH35" s="669"/>
      <c r="AI35" s="661"/>
      <c r="AJ35" s="662"/>
    </row>
    <row r="36" spans="2:36" s="47" customFormat="1" ht="15" customHeight="1">
      <c r="B36" s="659">
        <v>27</v>
      </c>
      <c r="C36" s="797">
        <v>44579</v>
      </c>
      <c r="D36" s="652">
        <v>195</v>
      </c>
      <c r="E36" s="652">
        <v>196.7</v>
      </c>
      <c r="F36" s="652">
        <v>188.25</v>
      </c>
      <c r="G36" s="652">
        <v>188.95</v>
      </c>
      <c r="H36" s="801">
        <v>1085070</v>
      </c>
      <c r="I36" s="674">
        <f t="shared" si="0"/>
        <v>-3.6377094850142525E-2</v>
      </c>
      <c r="J36" s="669"/>
      <c r="K36" s="661"/>
      <c r="L36" s="662"/>
      <c r="N36" s="797">
        <v>44579</v>
      </c>
      <c r="O36" s="652">
        <v>9.3000000000000007</v>
      </c>
      <c r="P36" s="652">
        <v>9.39</v>
      </c>
      <c r="Q36" s="652">
        <v>8.86</v>
      </c>
      <c r="R36" s="652">
        <v>8.91</v>
      </c>
      <c r="S36" s="801">
        <v>814814</v>
      </c>
      <c r="T36" s="674">
        <f t="shared" si="1"/>
        <v>-6.3064371139118586E-2</v>
      </c>
      <c r="U36" s="669"/>
      <c r="V36" s="661"/>
      <c r="W36" s="662"/>
      <c r="X36" s="51"/>
      <c r="Y36" s="51"/>
      <c r="AA36" s="670"/>
      <c r="AB36" s="671"/>
      <c r="AC36" s="671"/>
      <c r="AD36" s="671"/>
      <c r="AE36" s="672"/>
      <c r="AF36" s="673"/>
      <c r="AG36" s="674"/>
      <c r="AH36" s="669"/>
      <c r="AI36" s="661"/>
      <c r="AJ36" s="662"/>
    </row>
    <row r="37" spans="2:36" s="47" customFormat="1" ht="15" customHeight="1">
      <c r="B37" s="659">
        <v>28</v>
      </c>
      <c r="C37" s="797">
        <v>44578</v>
      </c>
      <c r="D37" s="652">
        <v>197</v>
      </c>
      <c r="E37" s="652">
        <v>199.25</v>
      </c>
      <c r="F37" s="652">
        <v>195.05</v>
      </c>
      <c r="G37" s="652">
        <v>195.95</v>
      </c>
      <c r="H37" s="801">
        <v>101676</v>
      </c>
      <c r="I37" s="674">
        <f t="shared" si="0"/>
        <v>-8.8912055309307882E-3</v>
      </c>
      <c r="J37" s="669"/>
      <c r="K37" s="661"/>
      <c r="L37" s="662"/>
      <c r="N37" s="797">
        <v>44575</v>
      </c>
      <c r="O37" s="652">
        <v>9.39</v>
      </c>
      <c r="P37" s="652">
        <v>9.56</v>
      </c>
      <c r="Q37" s="652">
        <v>9.31</v>
      </c>
      <c r="R37" s="652">
        <v>9.49</v>
      </c>
      <c r="S37" s="801">
        <v>360532</v>
      </c>
      <c r="T37" s="674">
        <f t="shared" si="1"/>
        <v>-1.05318598465859E-3</v>
      </c>
      <c r="U37" s="669"/>
      <c r="V37" s="661"/>
      <c r="W37" s="662"/>
      <c r="X37" s="51"/>
      <c r="Y37" s="51"/>
      <c r="AA37" s="670"/>
      <c r="AB37" s="671"/>
      <c r="AC37" s="671"/>
      <c r="AD37" s="671"/>
      <c r="AE37" s="672"/>
      <c r="AF37" s="673"/>
      <c r="AG37" s="674"/>
      <c r="AH37" s="669"/>
      <c r="AI37" s="661"/>
      <c r="AJ37" s="662"/>
    </row>
    <row r="38" spans="2:36" s="47" customFormat="1" ht="15" customHeight="1">
      <c r="B38" s="659">
        <v>29</v>
      </c>
      <c r="C38" s="797">
        <v>44575</v>
      </c>
      <c r="D38" s="652">
        <v>195.1</v>
      </c>
      <c r="E38" s="652">
        <v>200</v>
      </c>
      <c r="F38" s="652">
        <v>194.5</v>
      </c>
      <c r="G38" s="652">
        <v>197.7</v>
      </c>
      <c r="H38" s="801">
        <v>534252</v>
      </c>
      <c r="I38" s="674">
        <f t="shared" si="0"/>
        <v>-4.7937520840368279E-3</v>
      </c>
      <c r="J38" s="669"/>
      <c r="K38" s="661"/>
      <c r="L38" s="662"/>
      <c r="N38" s="797">
        <v>44574</v>
      </c>
      <c r="O38" s="652">
        <v>9.64</v>
      </c>
      <c r="P38" s="652">
        <v>9.7899999999999991</v>
      </c>
      <c r="Q38" s="652">
        <v>9.48</v>
      </c>
      <c r="R38" s="652">
        <v>9.5</v>
      </c>
      <c r="S38" s="801">
        <v>399803</v>
      </c>
      <c r="T38" s="674">
        <f t="shared" si="1"/>
        <v>-7.3414068583677449E-3</v>
      </c>
      <c r="U38" s="669"/>
      <c r="V38" s="661"/>
      <c r="W38" s="662"/>
      <c r="X38" s="51"/>
      <c r="Y38" s="51"/>
      <c r="AA38" s="670"/>
      <c r="AB38" s="671"/>
      <c r="AC38" s="671"/>
      <c r="AD38" s="671"/>
      <c r="AE38" s="672"/>
      <c r="AF38" s="673"/>
      <c r="AG38" s="674"/>
      <c r="AH38" s="669"/>
      <c r="AI38" s="661"/>
      <c r="AJ38" s="662"/>
    </row>
    <row r="39" spans="2:36" s="47" customFormat="1" ht="15" customHeight="1">
      <c r="B39" s="659">
        <v>30</v>
      </c>
      <c r="C39" s="797">
        <v>44574</v>
      </c>
      <c r="D39" s="652">
        <v>200</v>
      </c>
      <c r="E39" s="652">
        <v>202.9</v>
      </c>
      <c r="F39" s="652">
        <v>198</v>
      </c>
      <c r="G39" s="652">
        <v>198.65</v>
      </c>
      <c r="H39" s="801">
        <v>795450</v>
      </c>
      <c r="I39" s="674">
        <f t="shared" si="0"/>
        <v>-5.2717581611615204E-3</v>
      </c>
      <c r="J39" s="669"/>
      <c r="K39" s="661"/>
      <c r="L39" s="662"/>
      <c r="N39" s="797">
        <v>44573</v>
      </c>
      <c r="O39" s="652">
        <v>9.6199999999999992</v>
      </c>
      <c r="P39" s="652">
        <v>9.73</v>
      </c>
      <c r="Q39" s="652">
        <v>9.51</v>
      </c>
      <c r="R39" s="652">
        <v>9.57</v>
      </c>
      <c r="S39" s="801">
        <v>344463</v>
      </c>
      <c r="T39" s="674">
        <f t="shared" si="1"/>
        <v>6.2893289075639184E-3</v>
      </c>
      <c r="U39" s="669"/>
      <c r="V39" s="661"/>
      <c r="W39" s="662"/>
      <c r="X39" s="51"/>
      <c r="Y39" s="51"/>
      <c r="AA39" s="670"/>
      <c r="AB39" s="671"/>
      <c r="AC39" s="671"/>
      <c r="AD39" s="671"/>
      <c r="AE39" s="672"/>
      <c r="AF39" s="673"/>
      <c r="AG39" s="674"/>
      <c r="AH39" s="669"/>
      <c r="AI39" s="661"/>
      <c r="AJ39" s="662"/>
    </row>
    <row r="40" spans="2:36" s="47" customFormat="1" ht="15" customHeight="1">
      <c r="B40" s="659">
        <v>31</v>
      </c>
      <c r="C40" s="797">
        <v>44573</v>
      </c>
      <c r="D40" s="652">
        <v>201.7</v>
      </c>
      <c r="E40" s="652">
        <v>204.85</v>
      </c>
      <c r="F40" s="652">
        <v>199</v>
      </c>
      <c r="G40" s="652">
        <v>199.7</v>
      </c>
      <c r="H40" s="801">
        <v>608049</v>
      </c>
      <c r="I40" s="674">
        <f t="shared" si="0"/>
        <v>-2.0010011679181716E-3</v>
      </c>
      <c r="J40" s="669"/>
      <c r="K40" s="661"/>
      <c r="L40" s="662"/>
      <c r="N40" s="797">
        <v>44572</v>
      </c>
      <c r="O40" s="652">
        <v>9.23</v>
      </c>
      <c r="P40" s="652">
        <v>9.6199999999999992</v>
      </c>
      <c r="Q40" s="652">
        <v>9.15</v>
      </c>
      <c r="R40" s="652">
        <v>9.51</v>
      </c>
      <c r="S40" s="801">
        <v>368833</v>
      </c>
      <c r="T40" s="674">
        <f t="shared" si="1"/>
        <v>2.556049697953507E-2</v>
      </c>
      <c r="U40" s="669"/>
      <c r="V40" s="661"/>
      <c r="W40" s="662"/>
      <c r="X40" s="51"/>
      <c r="Y40" s="51"/>
      <c r="AA40" s="670"/>
      <c r="AB40" s="671"/>
      <c r="AC40" s="671"/>
      <c r="AD40" s="671"/>
      <c r="AE40" s="672"/>
      <c r="AF40" s="673"/>
      <c r="AG40" s="674"/>
      <c r="AH40" s="669"/>
      <c r="AI40" s="661"/>
      <c r="AJ40" s="662"/>
    </row>
    <row r="41" spans="2:36" s="47" customFormat="1" ht="15" customHeight="1">
      <c r="B41" s="659">
        <v>32</v>
      </c>
      <c r="C41" s="797">
        <v>44572</v>
      </c>
      <c r="D41" s="652">
        <v>195.05</v>
      </c>
      <c r="E41" s="652">
        <v>200.7</v>
      </c>
      <c r="F41" s="652">
        <v>195.05</v>
      </c>
      <c r="G41" s="652">
        <v>200.1</v>
      </c>
      <c r="H41" s="801">
        <v>953335</v>
      </c>
      <c r="I41" s="674">
        <f t="shared" si="0"/>
        <v>1.6629256971534528E-2</v>
      </c>
      <c r="J41" s="669"/>
      <c r="K41" s="661"/>
      <c r="L41" s="662"/>
      <c r="N41" s="797">
        <v>44571</v>
      </c>
      <c r="O41" s="652">
        <v>9.2799999999999994</v>
      </c>
      <c r="P41" s="652">
        <v>9.3800000000000008</v>
      </c>
      <c r="Q41" s="652">
        <v>9.15</v>
      </c>
      <c r="R41" s="652">
        <v>9.27</v>
      </c>
      <c r="S41" s="801">
        <v>334456</v>
      </c>
      <c r="T41" s="674">
        <f t="shared" si="1"/>
        <v>-1.1796383440369651E-2</v>
      </c>
      <c r="U41" s="669"/>
      <c r="V41" s="661"/>
      <c r="W41" s="662"/>
      <c r="X41" s="51"/>
      <c r="Y41" s="51"/>
      <c r="AA41" s="670"/>
      <c r="AB41" s="671"/>
      <c r="AC41" s="671"/>
      <c r="AD41" s="671"/>
      <c r="AE41" s="672"/>
      <c r="AF41" s="673"/>
      <c r="AG41" s="674"/>
      <c r="AH41" s="669"/>
      <c r="AI41" s="661"/>
      <c r="AJ41" s="662"/>
    </row>
    <row r="42" spans="2:36" s="47" customFormat="1" ht="15" customHeight="1">
      <c r="B42" s="659">
        <v>33</v>
      </c>
      <c r="C42" s="797">
        <v>44571</v>
      </c>
      <c r="D42" s="652">
        <v>197.95</v>
      </c>
      <c r="E42" s="652">
        <v>197.95</v>
      </c>
      <c r="F42" s="652">
        <v>194.5</v>
      </c>
      <c r="G42" s="652">
        <v>196.8</v>
      </c>
      <c r="H42" s="801">
        <v>699547</v>
      </c>
      <c r="I42" s="674">
        <f t="shared" si="0"/>
        <v>-6.0790460763821153E-3</v>
      </c>
      <c r="J42" s="669"/>
      <c r="K42" s="661"/>
      <c r="L42" s="662"/>
      <c r="N42" s="797">
        <v>44568</v>
      </c>
      <c r="O42" s="652">
        <v>9.34</v>
      </c>
      <c r="P42" s="652">
        <v>9.51</v>
      </c>
      <c r="Q42" s="652">
        <v>9.25</v>
      </c>
      <c r="R42" s="652">
        <v>9.3800000000000008</v>
      </c>
      <c r="S42" s="801">
        <v>271086</v>
      </c>
      <c r="T42" s="674">
        <f t="shared" si="1"/>
        <v>1.1796383440369564E-2</v>
      </c>
      <c r="U42" s="669"/>
      <c r="V42" s="661"/>
      <c r="W42" s="662"/>
      <c r="X42" s="51"/>
      <c r="Y42" s="51"/>
      <c r="AA42" s="670"/>
      <c r="AB42" s="671"/>
      <c r="AC42" s="671"/>
      <c r="AD42" s="671"/>
      <c r="AE42" s="672"/>
      <c r="AF42" s="673"/>
      <c r="AG42" s="674"/>
      <c r="AH42" s="669"/>
      <c r="AI42" s="661"/>
      <c r="AJ42" s="662"/>
    </row>
    <row r="43" spans="2:36" s="47" customFormat="1" ht="15" customHeight="1">
      <c r="B43" s="659">
        <v>34</v>
      </c>
      <c r="C43" s="797">
        <v>44568</v>
      </c>
      <c r="D43" s="652">
        <v>195</v>
      </c>
      <c r="E43" s="652">
        <v>198.5</v>
      </c>
      <c r="F43" s="652">
        <v>194.05</v>
      </c>
      <c r="G43" s="652">
        <v>198</v>
      </c>
      <c r="H43" s="801">
        <v>647513</v>
      </c>
      <c r="I43" s="674">
        <f t="shared" si="0"/>
        <v>1.4242356715543168E-2</v>
      </c>
      <c r="J43" s="669"/>
      <c r="K43" s="661"/>
      <c r="L43" s="662"/>
      <c r="N43" s="797">
        <v>44567</v>
      </c>
      <c r="O43" s="652">
        <v>9.06</v>
      </c>
      <c r="P43" s="652">
        <v>9.3699999999999992</v>
      </c>
      <c r="Q43" s="652">
        <v>8.9</v>
      </c>
      <c r="R43" s="652">
        <v>9.27</v>
      </c>
      <c r="S43" s="801">
        <v>568315</v>
      </c>
      <c r="T43" s="674">
        <f t="shared" si="1"/>
        <v>9.7561749453646558E-3</v>
      </c>
      <c r="U43" s="669"/>
      <c r="V43" s="661"/>
      <c r="W43" s="662"/>
      <c r="X43" s="51"/>
      <c r="Y43" s="51"/>
      <c r="AA43" s="670"/>
      <c r="AB43" s="671"/>
      <c r="AC43" s="671"/>
      <c r="AD43" s="671"/>
      <c r="AE43" s="672"/>
      <c r="AF43" s="673"/>
      <c r="AG43" s="674"/>
      <c r="AH43" s="669"/>
      <c r="AI43" s="661"/>
      <c r="AJ43" s="662"/>
    </row>
    <row r="44" spans="2:36" s="47" customFormat="1" ht="15" customHeight="1">
      <c r="B44" s="659">
        <v>35</v>
      </c>
      <c r="C44" s="797">
        <v>44567</v>
      </c>
      <c r="D44" s="652">
        <v>190.05</v>
      </c>
      <c r="E44" s="652">
        <v>198.5</v>
      </c>
      <c r="F44" s="652">
        <v>188.2</v>
      </c>
      <c r="G44" s="652">
        <v>195.2</v>
      </c>
      <c r="H44" s="801">
        <v>819065</v>
      </c>
      <c r="I44" s="674">
        <f t="shared" si="0"/>
        <v>1.05575848667017E-2</v>
      </c>
      <c r="J44" s="669"/>
      <c r="K44" s="661"/>
      <c r="L44" s="662"/>
      <c r="N44" s="797">
        <v>44566</v>
      </c>
      <c r="O44" s="652">
        <v>9.69</v>
      </c>
      <c r="P44" s="652">
        <v>9.69</v>
      </c>
      <c r="Q44" s="652">
        <v>9.15</v>
      </c>
      <c r="R44" s="652">
        <v>9.18</v>
      </c>
      <c r="S44" s="801">
        <v>472486</v>
      </c>
      <c r="T44" s="674">
        <f t="shared" si="1"/>
        <v>-4.7856021177635211E-2</v>
      </c>
      <c r="U44" s="669"/>
      <c r="V44" s="661"/>
      <c r="W44" s="662"/>
      <c r="X44" s="51"/>
      <c r="Y44" s="51"/>
      <c r="AA44" s="670"/>
      <c r="AB44" s="671"/>
      <c r="AC44" s="671"/>
      <c r="AD44" s="671"/>
      <c r="AE44" s="672"/>
      <c r="AF44" s="673"/>
      <c r="AG44" s="674"/>
      <c r="AH44" s="669"/>
      <c r="AI44" s="661"/>
      <c r="AJ44" s="662"/>
    </row>
    <row r="45" spans="2:36" s="47" customFormat="1" ht="15" customHeight="1">
      <c r="B45" s="659">
        <v>36</v>
      </c>
      <c r="C45" s="797">
        <v>44566</v>
      </c>
      <c r="D45" s="652">
        <v>198</v>
      </c>
      <c r="E45" s="652">
        <v>201</v>
      </c>
      <c r="F45" s="652">
        <v>193</v>
      </c>
      <c r="G45" s="652">
        <v>193.15</v>
      </c>
      <c r="H45" s="801">
        <v>841004</v>
      </c>
      <c r="I45" s="674">
        <f t="shared" si="0"/>
        <v>-2.1004870613693296E-2</v>
      </c>
      <c r="J45" s="669"/>
      <c r="K45" s="661"/>
      <c r="L45" s="662"/>
      <c r="N45" s="797">
        <v>44565</v>
      </c>
      <c r="O45" s="652">
        <v>9.7899999999999991</v>
      </c>
      <c r="P45" s="652">
        <v>9.81</v>
      </c>
      <c r="Q45" s="652">
        <v>9.5299999999999994</v>
      </c>
      <c r="R45" s="652">
        <v>9.6300000000000008</v>
      </c>
      <c r="S45" s="801">
        <v>432542</v>
      </c>
      <c r="T45" s="674">
        <f t="shared" si="1"/>
        <v>-7.2426596993028121E-3</v>
      </c>
      <c r="U45" s="669"/>
      <c r="V45" s="661"/>
      <c r="W45" s="662"/>
      <c r="X45" s="51"/>
      <c r="Y45" s="51"/>
      <c r="AA45" s="670"/>
      <c r="AB45" s="671"/>
      <c r="AC45" s="671"/>
      <c r="AD45" s="671"/>
      <c r="AE45" s="672"/>
      <c r="AF45" s="673"/>
      <c r="AG45" s="674"/>
      <c r="AH45" s="669"/>
      <c r="AI45" s="661"/>
      <c r="AJ45" s="662"/>
    </row>
    <row r="46" spans="2:36" s="47" customFormat="1" ht="15" customHeight="1">
      <c r="B46" s="659">
        <v>37</v>
      </c>
      <c r="C46" s="797">
        <v>44565</v>
      </c>
      <c r="D46" s="652">
        <v>202</v>
      </c>
      <c r="E46" s="652">
        <v>202.65</v>
      </c>
      <c r="F46" s="652">
        <v>196.5</v>
      </c>
      <c r="G46" s="652">
        <v>197.25</v>
      </c>
      <c r="H46" s="801">
        <v>812223</v>
      </c>
      <c r="I46" s="674">
        <f t="shared" si="0"/>
        <v>-1.3845406822053095E-2</v>
      </c>
      <c r="J46" s="669"/>
      <c r="K46" s="661"/>
      <c r="L46" s="662"/>
      <c r="N46" s="797">
        <v>44564</v>
      </c>
      <c r="O46" s="652">
        <v>9.6300000000000008</v>
      </c>
      <c r="P46" s="652">
        <v>9.85</v>
      </c>
      <c r="Q46" s="652">
        <v>9.5399999999999991</v>
      </c>
      <c r="R46" s="652">
        <v>9.6999999999999993</v>
      </c>
      <c r="S46" s="801">
        <v>375626</v>
      </c>
      <c r="T46" s="674">
        <f t="shared" si="1"/>
        <v>2.1887272887500593E-2</v>
      </c>
      <c r="U46" s="669"/>
      <c r="V46" s="661"/>
      <c r="W46" s="662"/>
      <c r="X46" s="51"/>
      <c r="Y46" s="51"/>
      <c r="AA46" s="670"/>
      <c r="AB46" s="671"/>
      <c r="AC46" s="671"/>
      <c r="AD46" s="671"/>
      <c r="AE46" s="672"/>
      <c r="AF46" s="673"/>
      <c r="AG46" s="674"/>
      <c r="AH46" s="669"/>
      <c r="AI46" s="661"/>
      <c r="AJ46" s="662"/>
    </row>
    <row r="47" spans="2:36" s="47" customFormat="1" ht="15" customHeight="1">
      <c r="B47" s="659">
        <v>38</v>
      </c>
      <c r="C47" s="797">
        <v>44564</v>
      </c>
      <c r="D47" s="652">
        <v>194.95</v>
      </c>
      <c r="E47" s="652">
        <v>200.9</v>
      </c>
      <c r="F47" s="652">
        <v>193.05</v>
      </c>
      <c r="G47" s="652">
        <v>200</v>
      </c>
      <c r="H47" s="801">
        <v>844254</v>
      </c>
      <c r="I47" s="674">
        <f t="shared" si="0"/>
        <v>2.3524545046957196E-2</v>
      </c>
      <c r="J47" s="669"/>
      <c r="K47" s="661"/>
      <c r="L47" s="662"/>
      <c r="N47" s="797">
        <v>44561</v>
      </c>
      <c r="O47" s="652">
        <v>9.6300000000000008</v>
      </c>
      <c r="P47" s="652">
        <v>9.74</v>
      </c>
      <c r="Q47" s="652">
        <v>9.42</v>
      </c>
      <c r="R47" s="652">
        <v>9.49</v>
      </c>
      <c r="S47" s="801">
        <v>301108</v>
      </c>
      <c r="T47" s="674">
        <f t="shared" si="1"/>
        <v>-2.6002505032607256E-2</v>
      </c>
      <c r="U47" s="669"/>
      <c r="V47" s="661"/>
      <c r="W47" s="662"/>
      <c r="X47" s="51"/>
      <c r="Y47" s="51"/>
      <c r="AA47" s="670"/>
      <c r="AB47" s="671"/>
      <c r="AC47" s="671"/>
      <c r="AD47" s="671"/>
      <c r="AE47" s="672"/>
      <c r="AF47" s="673"/>
      <c r="AG47" s="674"/>
      <c r="AH47" s="669"/>
      <c r="AI47" s="661"/>
      <c r="AJ47" s="662"/>
    </row>
    <row r="48" spans="2:36" s="47" customFormat="1" ht="15" customHeight="1">
      <c r="B48" s="659">
        <v>39</v>
      </c>
      <c r="C48" s="797">
        <v>44560</v>
      </c>
      <c r="D48" s="652">
        <v>197.3</v>
      </c>
      <c r="E48" s="652">
        <v>203.35</v>
      </c>
      <c r="F48" s="652">
        <v>193</v>
      </c>
      <c r="G48" s="652">
        <v>195.35</v>
      </c>
      <c r="H48" s="801">
        <v>2108269</v>
      </c>
      <c r="I48" s="674">
        <f t="shared" si="0"/>
        <v>-8.4109072369089911E-3</v>
      </c>
      <c r="J48" s="669"/>
      <c r="K48" s="661"/>
      <c r="L48" s="662"/>
      <c r="N48" s="797">
        <v>44560</v>
      </c>
      <c r="O48" s="652">
        <v>9.9499999999999993</v>
      </c>
      <c r="P48" s="652">
        <v>10.09</v>
      </c>
      <c r="Q48" s="652">
        <v>9.66</v>
      </c>
      <c r="R48" s="652">
        <v>9.74</v>
      </c>
      <c r="S48" s="801">
        <v>536439</v>
      </c>
      <c r="T48" s="674">
        <f t="shared" si="1"/>
        <v>-1.1230337529553771E-2</v>
      </c>
      <c r="U48" s="669"/>
      <c r="V48" s="661"/>
      <c r="W48" s="662"/>
      <c r="X48" s="51"/>
      <c r="Y48" s="51"/>
      <c r="AA48" s="670"/>
      <c r="AB48" s="671"/>
      <c r="AC48" s="671"/>
      <c r="AD48" s="671"/>
      <c r="AE48" s="672"/>
      <c r="AF48" s="673"/>
      <c r="AG48" s="674"/>
      <c r="AH48" s="669"/>
      <c r="AI48" s="661"/>
      <c r="AJ48" s="662"/>
    </row>
    <row r="49" spans="2:36" s="47" customFormat="1" ht="15" customHeight="1">
      <c r="B49" s="659">
        <v>40</v>
      </c>
      <c r="C49" s="797">
        <v>44559</v>
      </c>
      <c r="D49" s="652">
        <v>197.95</v>
      </c>
      <c r="E49" s="652">
        <v>197.95</v>
      </c>
      <c r="F49" s="652">
        <v>186.25</v>
      </c>
      <c r="G49" s="652">
        <v>197</v>
      </c>
      <c r="H49" s="801">
        <v>2251384</v>
      </c>
      <c r="I49" s="674">
        <f t="shared" si="0"/>
        <v>1.9736639625698077E-2</v>
      </c>
      <c r="J49" s="669"/>
      <c r="K49" s="661"/>
      <c r="L49" s="662"/>
      <c r="N49" s="797">
        <v>44559</v>
      </c>
      <c r="O49" s="652">
        <v>9.61</v>
      </c>
      <c r="P49" s="652">
        <v>9.8699999999999992</v>
      </c>
      <c r="Q49" s="652">
        <v>9.1199999999999992</v>
      </c>
      <c r="R49" s="652">
        <v>9.85</v>
      </c>
      <c r="S49" s="801">
        <v>2472229</v>
      </c>
      <c r="T49" s="674">
        <f t="shared" si="1"/>
        <v>2.4667232201796375E-2</v>
      </c>
      <c r="U49" s="669"/>
      <c r="V49" s="661"/>
      <c r="W49" s="662"/>
      <c r="X49" s="51"/>
      <c r="Y49" s="51"/>
      <c r="AA49" s="670"/>
      <c r="AB49" s="671"/>
      <c r="AC49" s="671"/>
      <c r="AD49" s="671"/>
      <c r="AE49" s="672"/>
      <c r="AF49" s="673"/>
      <c r="AG49" s="674"/>
      <c r="AH49" s="669"/>
      <c r="AI49" s="661"/>
      <c r="AJ49" s="662"/>
    </row>
    <row r="50" spans="2:36" s="47" customFormat="1" ht="15" customHeight="1">
      <c r="B50" s="659">
        <v>41</v>
      </c>
      <c r="C50" s="797">
        <v>44558</v>
      </c>
      <c r="D50" s="652">
        <v>201.15</v>
      </c>
      <c r="E50" s="652">
        <v>207.85</v>
      </c>
      <c r="F50" s="652">
        <v>192.5</v>
      </c>
      <c r="G50" s="652">
        <v>193.15</v>
      </c>
      <c r="H50" s="801">
        <v>2123099</v>
      </c>
      <c r="I50" s="674">
        <f t="shared" si="0"/>
        <v>-3.5350152477397367E-2</v>
      </c>
      <c r="J50" s="669"/>
      <c r="K50" s="661"/>
      <c r="L50" s="662"/>
      <c r="N50" s="797">
        <v>44558</v>
      </c>
      <c r="O50" s="652">
        <v>10.14</v>
      </c>
      <c r="P50" s="652">
        <v>10.58</v>
      </c>
      <c r="Q50" s="652">
        <v>9.6</v>
      </c>
      <c r="R50" s="652">
        <v>9.61</v>
      </c>
      <c r="S50" s="801">
        <v>1528370</v>
      </c>
      <c r="T50" s="674">
        <f t="shared" si="1"/>
        <v>-5.2697095278391073E-2</v>
      </c>
      <c r="U50" s="669"/>
      <c r="V50" s="661"/>
      <c r="W50" s="662"/>
      <c r="X50" s="51"/>
      <c r="Y50" s="51"/>
      <c r="AA50" s="670"/>
      <c r="AB50" s="671"/>
      <c r="AC50" s="671"/>
      <c r="AD50" s="671"/>
      <c r="AE50" s="672"/>
      <c r="AF50" s="673"/>
      <c r="AG50" s="674"/>
      <c r="AH50" s="669"/>
      <c r="AI50" s="661"/>
      <c r="AJ50" s="662"/>
    </row>
    <row r="51" spans="2:36" s="47" customFormat="1" ht="15" customHeight="1">
      <c r="B51" s="659">
        <v>42</v>
      </c>
      <c r="C51" s="797">
        <v>44557</v>
      </c>
      <c r="D51" s="652">
        <v>200</v>
      </c>
      <c r="E51" s="652">
        <v>203.6</v>
      </c>
      <c r="F51" s="652">
        <v>199</v>
      </c>
      <c r="G51" s="652">
        <v>200.1</v>
      </c>
      <c r="H51" s="801">
        <v>1020207</v>
      </c>
      <c r="I51" s="674">
        <f t="shared" si="0"/>
        <v>4.2569239193632393E-3</v>
      </c>
      <c r="J51" s="669"/>
      <c r="K51" s="661"/>
      <c r="L51" s="662"/>
      <c r="N51" s="797">
        <v>44557</v>
      </c>
      <c r="O51" s="652">
        <v>9.8000000000000007</v>
      </c>
      <c r="P51" s="652">
        <v>10.19</v>
      </c>
      <c r="Q51" s="652">
        <v>9.75</v>
      </c>
      <c r="R51" s="652">
        <v>10.130000000000001</v>
      </c>
      <c r="S51" s="801">
        <v>860892</v>
      </c>
      <c r="T51" s="674">
        <f t="shared" si="1"/>
        <v>4.4406892357917296E-2</v>
      </c>
      <c r="U51" s="669"/>
      <c r="V51" s="661"/>
      <c r="W51" s="662"/>
      <c r="X51" s="51"/>
      <c r="Y51" s="51"/>
      <c r="AA51" s="670"/>
      <c r="AB51" s="671"/>
      <c r="AC51" s="671"/>
      <c r="AD51" s="671"/>
      <c r="AE51" s="672"/>
      <c r="AF51" s="673"/>
      <c r="AG51" s="674"/>
      <c r="AH51" s="669"/>
      <c r="AI51" s="661"/>
      <c r="AJ51" s="662"/>
    </row>
    <row r="52" spans="2:36" s="47" customFormat="1" ht="15" customHeight="1">
      <c r="B52" s="659">
        <v>43</v>
      </c>
      <c r="C52" s="797">
        <v>44553</v>
      </c>
      <c r="D52" s="652">
        <v>198.5</v>
      </c>
      <c r="E52" s="652">
        <v>202.9</v>
      </c>
      <c r="F52" s="652">
        <v>198.4</v>
      </c>
      <c r="G52" s="652">
        <v>199.25</v>
      </c>
      <c r="H52" s="801">
        <v>822825</v>
      </c>
      <c r="I52" s="674">
        <f t="shared" si="0"/>
        <v>3.771217543079324E-3</v>
      </c>
      <c r="J52" s="669"/>
      <c r="K52" s="661"/>
      <c r="L52" s="662"/>
      <c r="N52" s="797">
        <v>44553</v>
      </c>
      <c r="O52" s="652">
        <v>9.58</v>
      </c>
      <c r="P52" s="652">
        <v>9.76</v>
      </c>
      <c r="Q52" s="652">
        <v>9.48</v>
      </c>
      <c r="R52" s="652">
        <v>9.69</v>
      </c>
      <c r="S52" s="801">
        <v>689806</v>
      </c>
      <c r="T52" s="674">
        <f t="shared" si="1"/>
        <v>1.560094044247981E-2</v>
      </c>
      <c r="U52" s="669"/>
      <c r="V52" s="661"/>
      <c r="W52" s="662"/>
      <c r="X52" s="51"/>
      <c r="Y52" s="51"/>
      <c r="AA52" s="670"/>
      <c r="AB52" s="671"/>
      <c r="AC52" s="671"/>
      <c r="AD52" s="671"/>
      <c r="AE52" s="672"/>
      <c r="AF52" s="673"/>
      <c r="AG52" s="674"/>
      <c r="AH52" s="669"/>
      <c r="AI52" s="661"/>
      <c r="AJ52" s="662"/>
    </row>
    <row r="53" spans="2:36" s="47" customFormat="1" ht="15" customHeight="1">
      <c r="B53" s="659">
        <v>44</v>
      </c>
      <c r="C53" s="797">
        <v>44552</v>
      </c>
      <c r="D53" s="652">
        <v>199</v>
      </c>
      <c r="E53" s="652">
        <v>201</v>
      </c>
      <c r="F53" s="652">
        <v>195.55</v>
      </c>
      <c r="G53" s="652">
        <v>198.5</v>
      </c>
      <c r="H53" s="801">
        <v>975265</v>
      </c>
      <c r="I53" s="674">
        <f t="shared" si="0"/>
        <v>-5.0251362026730428E-3</v>
      </c>
      <c r="J53" s="669"/>
      <c r="K53" s="661"/>
      <c r="L53" s="662"/>
      <c r="N53" s="797">
        <v>44552</v>
      </c>
      <c r="O53" s="652">
        <v>9.44</v>
      </c>
      <c r="P53" s="652">
        <v>9.58</v>
      </c>
      <c r="Q53" s="652">
        <v>9.2799999999999994</v>
      </c>
      <c r="R53" s="652">
        <v>9.5399999999999991</v>
      </c>
      <c r="S53" s="801">
        <v>321792</v>
      </c>
      <c r="T53" s="674">
        <f t="shared" si="1"/>
        <v>5.2548728383585968E-3</v>
      </c>
      <c r="U53" s="669"/>
      <c r="V53" s="661"/>
      <c r="W53" s="662"/>
      <c r="X53" s="51"/>
      <c r="Y53" s="51"/>
      <c r="AA53" s="670"/>
      <c r="AB53" s="671"/>
      <c r="AC53" s="671"/>
      <c r="AD53" s="671"/>
      <c r="AE53" s="672"/>
      <c r="AF53" s="673"/>
      <c r="AG53" s="674"/>
      <c r="AH53" s="669"/>
      <c r="AI53" s="661"/>
      <c r="AJ53" s="662"/>
    </row>
    <row r="54" spans="2:36" s="47" customFormat="1" ht="15" customHeight="1">
      <c r="B54" s="659">
        <v>45</v>
      </c>
      <c r="C54" s="797">
        <v>44551</v>
      </c>
      <c r="D54" s="652">
        <v>198.35</v>
      </c>
      <c r="E54" s="652">
        <v>203.85</v>
      </c>
      <c r="F54" s="652">
        <v>198.35</v>
      </c>
      <c r="G54" s="652">
        <v>199.5</v>
      </c>
      <c r="H54" s="801">
        <v>1106909</v>
      </c>
      <c r="I54" s="674">
        <f t="shared" si="0"/>
        <v>1.8720506233508134E-2</v>
      </c>
      <c r="J54" s="669"/>
      <c r="K54" s="661"/>
      <c r="L54" s="662"/>
      <c r="N54" s="797">
        <v>44551</v>
      </c>
      <c r="O54" s="652">
        <v>9.5</v>
      </c>
      <c r="P54" s="652">
        <v>9.76</v>
      </c>
      <c r="Q54" s="652">
        <v>9.4499999999999993</v>
      </c>
      <c r="R54" s="652">
        <v>9.49</v>
      </c>
      <c r="S54" s="801">
        <v>448552</v>
      </c>
      <c r="T54" s="674">
        <f t="shared" si="1"/>
        <v>4.2238711161852434E-3</v>
      </c>
      <c r="U54" s="669"/>
      <c r="V54" s="661"/>
      <c r="W54" s="662"/>
      <c r="X54" s="51"/>
      <c r="Y54" s="51"/>
      <c r="AA54" s="670"/>
      <c r="AB54" s="671"/>
      <c r="AC54" s="671"/>
      <c r="AD54" s="671"/>
      <c r="AE54" s="672"/>
      <c r="AF54" s="673"/>
      <c r="AG54" s="674"/>
      <c r="AH54" s="669"/>
      <c r="AI54" s="661"/>
      <c r="AJ54" s="662"/>
    </row>
    <row r="55" spans="2:36" s="47" customFormat="1" ht="15" customHeight="1">
      <c r="B55" s="659">
        <v>46</v>
      </c>
      <c r="C55" s="797">
        <v>44550</v>
      </c>
      <c r="D55" s="652">
        <v>193</v>
      </c>
      <c r="E55" s="652">
        <v>196</v>
      </c>
      <c r="F55" s="652">
        <v>190.5</v>
      </c>
      <c r="G55" s="652">
        <v>195.8</v>
      </c>
      <c r="H55" s="801">
        <v>1319189</v>
      </c>
      <c r="I55" s="674">
        <f t="shared" si="0"/>
        <v>-3.8231217714592911E-3</v>
      </c>
      <c r="J55" s="669"/>
      <c r="K55" s="661"/>
      <c r="L55" s="662"/>
      <c r="N55" s="797">
        <v>44550</v>
      </c>
      <c r="O55" s="652">
        <v>9.31</v>
      </c>
      <c r="P55" s="652">
        <v>9.4700000000000006</v>
      </c>
      <c r="Q55" s="652">
        <v>9.1</v>
      </c>
      <c r="R55" s="652">
        <v>9.4499999999999993</v>
      </c>
      <c r="S55" s="801">
        <v>421199</v>
      </c>
      <c r="T55" s="674">
        <f t="shared" si="1"/>
        <v>5.3050522296930981E-3</v>
      </c>
      <c r="U55" s="669"/>
      <c r="V55" s="661"/>
      <c r="W55" s="662"/>
      <c r="X55" s="51"/>
      <c r="Y55" s="51"/>
      <c r="AA55" s="670"/>
      <c r="AB55" s="671"/>
      <c r="AC55" s="671"/>
      <c r="AD55" s="671"/>
      <c r="AE55" s="672"/>
      <c r="AF55" s="673"/>
      <c r="AG55" s="674"/>
      <c r="AH55" s="669"/>
      <c r="AI55" s="661"/>
      <c r="AJ55" s="662"/>
    </row>
    <row r="56" spans="2:36" s="47" customFormat="1" ht="15" customHeight="1">
      <c r="B56" s="659">
        <v>47</v>
      </c>
      <c r="C56" s="797">
        <v>44547</v>
      </c>
      <c r="D56" s="652">
        <v>199.9</v>
      </c>
      <c r="E56" s="652">
        <v>203</v>
      </c>
      <c r="F56" s="652">
        <v>196</v>
      </c>
      <c r="G56" s="652">
        <v>196.55</v>
      </c>
      <c r="H56" s="801">
        <v>1800453</v>
      </c>
      <c r="I56" s="674">
        <f t="shared" si="0"/>
        <v>-1.2890359202281239E-2</v>
      </c>
      <c r="J56" s="669"/>
      <c r="K56" s="661"/>
      <c r="L56" s="662"/>
      <c r="N56" s="797">
        <v>44547</v>
      </c>
      <c r="O56" s="652">
        <v>9.6999999999999993</v>
      </c>
      <c r="P56" s="652">
        <v>9.89</v>
      </c>
      <c r="Q56" s="652">
        <v>9.35</v>
      </c>
      <c r="R56" s="652">
        <v>9.4</v>
      </c>
      <c r="S56" s="801">
        <v>886350</v>
      </c>
      <c r="T56" s="674">
        <f t="shared" si="1"/>
        <v>-3.6557595733797577E-2</v>
      </c>
      <c r="U56" s="669"/>
      <c r="V56" s="661"/>
      <c r="W56" s="662"/>
      <c r="X56" s="51"/>
      <c r="Y56" s="51"/>
      <c r="AA56" s="670"/>
      <c r="AB56" s="671"/>
      <c r="AC56" s="671"/>
      <c r="AD56" s="671"/>
      <c r="AE56" s="672"/>
      <c r="AF56" s="673"/>
      <c r="AG56" s="674"/>
      <c r="AH56" s="669"/>
      <c r="AI56" s="661"/>
      <c r="AJ56" s="662"/>
    </row>
    <row r="57" spans="2:36" s="47" customFormat="1" ht="15" customHeight="1">
      <c r="B57" s="659">
        <v>48</v>
      </c>
      <c r="C57" s="797">
        <v>44546</v>
      </c>
      <c r="D57" s="652">
        <v>190.05</v>
      </c>
      <c r="E57" s="652">
        <v>202.5</v>
      </c>
      <c r="F57" s="652">
        <v>190.05</v>
      </c>
      <c r="G57" s="652">
        <v>199.1</v>
      </c>
      <c r="H57" s="801">
        <v>2410548</v>
      </c>
      <c r="I57" s="674">
        <f t="shared" si="0"/>
        <v>4.179559739862538E-2</v>
      </c>
      <c r="J57" s="669"/>
      <c r="K57" s="661"/>
      <c r="L57" s="662"/>
      <c r="N57" s="797">
        <v>44546</v>
      </c>
      <c r="O57" s="652">
        <v>9.5399999999999991</v>
      </c>
      <c r="P57" s="652">
        <v>9.91</v>
      </c>
      <c r="Q57" s="652">
        <v>9.5399999999999991</v>
      </c>
      <c r="R57" s="652">
        <v>9.75</v>
      </c>
      <c r="S57" s="801">
        <v>522066</v>
      </c>
      <c r="T57" s="674">
        <f t="shared" si="1"/>
        <v>2.5975486403260736E-2</v>
      </c>
      <c r="U57" s="669"/>
      <c r="V57" s="661"/>
      <c r="W57" s="662"/>
      <c r="X57" s="51"/>
      <c r="Y57" s="51"/>
      <c r="AA57" s="670"/>
      <c r="AB57" s="671"/>
      <c r="AC57" s="671"/>
      <c r="AD57" s="671"/>
      <c r="AE57" s="672"/>
      <c r="AF57" s="673"/>
      <c r="AG57" s="674"/>
      <c r="AH57" s="669"/>
      <c r="AI57" s="661"/>
      <c r="AJ57" s="662"/>
    </row>
    <row r="58" spans="2:36" s="47" customFormat="1" ht="15" customHeight="1">
      <c r="B58" s="659">
        <v>49</v>
      </c>
      <c r="C58" s="797">
        <v>44545</v>
      </c>
      <c r="D58" s="652">
        <v>194.85</v>
      </c>
      <c r="E58" s="652">
        <v>194.85</v>
      </c>
      <c r="F58" s="652">
        <v>189.15</v>
      </c>
      <c r="G58" s="652">
        <v>190.95</v>
      </c>
      <c r="H58" s="801">
        <v>1972975</v>
      </c>
      <c r="I58" s="674">
        <f t="shared" si="0"/>
        <v>-1.8677585759037486E-2</v>
      </c>
      <c r="J58" s="669"/>
      <c r="K58" s="661"/>
      <c r="L58" s="662"/>
      <c r="N58" s="797">
        <v>44545</v>
      </c>
      <c r="O58" s="652">
        <v>9.2799999999999994</v>
      </c>
      <c r="P58" s="652">
        <v>9.6999999999999993</v>
      </c>
      <c r="Q58" s="652">
        <v>9.14</v>
      </c>
      <c r="R58" s="652">
        <v>9.5</v>
      </c>
      <c r="S58" s="801">
        <v>578965</v>
      </c>
      <c r="T58" s="674">
        <f t="shared" si="1"/>
        <v>1.805678374724266E-2</v>
      </c>
      <c r="U58" s="669"/>
      <c r="V58" s="661"/>
      <c r="W58" s="662"/>
      <c r="X58" s="51"/>
      <c r="Y58" s="51"/>
      <c r="AA58" s="670"/>
      <c r="AB58" s="671"/>
      <c r="AC58" s="671"/>
      <c r="AD58" s="671"/>
      <c r="AE58" s="672"/>
      <c r="AF58" s="673"/>
      <c r="AG58" s="674"/>
      <c r="AH58" s="669"/>
      <c r="AI58" s="661"/>
      <c r="AJ58" s="662"/>
    </row>
    <row r="59" spans="2:36" s="47" customFormat="1" ht="15" customHeight="1">
      <c r="B59" s="659">
        <v>50</v>
      </c>
      <c r="C59" s="797">
        <v>44544</v>
      </c>
      <c r="D59" s="652">
        <v>188</v>
      </c>
      <c r="E59" s="652">
        <v>196.95</v>
      </c>
      <c r="F59" s="652">
        <v>185</v>
      </c>
      <c r="G59" s="652">
        <v>194.55</v>
      </c>
      <c r="H59" s="801">
        <v>2608201</v>
      </c>
      <c r="I59" s="674">
        <f t="shared" si="0"/>
        <v>3.4779293011142923E-2</v>
      </c>
      <c r="J59" s="669"/>
      <c r="K59" s="661"/>
      <c r="L59" s="662"/>
      <c r="N59" s="797">
        <v>44544</v>
      </c>
      <c r="O59" s="652">
        <v>9.18</v>
      </c>
      <c r="P59" s="652">
        <v>9.56</v>
      </c>
      <c r="Q59" s="652">
        <v>9.0500000000000007</v>
      </c>
      <c r="R59" s="652">
        <v>9.33</v>
      </c>
      <c r="S59" s="801">
        <v>558858</v>
      </c>
      <c r="T59" s="674">
        <f t="shared" si="1"/>
        <v>2.4960601336448229E-2</v>
      </c>
      <c r="U59" s="669"/>
      <c r="V59" s="661"/>
      <c r="W59" s="662"/>
      <c r="X59" s="51"/>
      <c r="Y59" s="51"/>
      <c r="AA59" s="670"/>
      <c r="AB59" s="671"/>
      <c r="AC59" s="671"/>
      <c r="AD59" s="671"/>
      <c r="AE59" s="672"/>
      <c r="AF59" s="673"/>
      <c r="AG59" s="674"/>
      <c r="AH59" s="669"/>
      <c r="AI59" s="661"/>
      <c r="AJ59" s="662"/>
    </row>
    <row r="60" spans="2:36" s="47" customFormat="1" ht="15" customHeight="1">
      <c r="B60" s="659">
        <v>51</v>
      </c>
      <c r="C60" s="797">
        <v>44543</v>
      </c>
      <c r="D60" s="652">
        <v>198.05</v>
      </c>
      <c r="E60" s="652">
        <v>203</v>
      </c>
      <c r="F60" s="652">
        <v>187.05</v>
      </c>
      <c r="G60" s="652">
        <v>187.9</v>
      </c>
      <c r="H60" s="801">
        <v>2102117</v>
      </c>
      <c r="I60" s="674">
        <f t="shared" si="0"/>
        <v>-5.9402951108318287E-2</v>
      </c>
      <c r="J60" s="669"/>
      <c r="K60" s="661"/>
      <c r="L60" s="662"/>
      <c r="N60" s="797">
        <v>44543</v>
      </c>
      <c r="O60" s="652">
        <v>9.4600000000000009</v>
      </c>
      <c r="P60" s="652">
        <v>9.4600000000000009</v>
      </c>
      <c r="Q60" s="652">
        <v>9.07</v>
      </c>
      <c r="R60" s="652">
        <v>9.1</v>
      </c>
      <c r="S60" s="801">
        <v>592245</v>
      </c>
      <c r="T60" s="674">
        <f t="shared" si="1"/>
        <v>-5.0358791942058612E-2</v>
      </c>
      <c r="U60" s="669"/>
      <c r="V60" s="661"/>
      <c r="W60" s="662"/>
      <c r="X60" s="51"/>
      <c r="Y60" s="51"/>
      <c r="AA60" s="670"/>
      <c r="AB60" s="671"/>
      <c r="AC60" s="671"/>
      <c r="AD60" s="671"/>
      <c r="AE60" s="672"/>
      <c r="AF60" s="673"/>
      <c r="AG60" s="674"/>
      <c r="AH60" s="669"/>
      <c r="AI60" s="661"/>
      <c r="AJ60" s="662"/>
    </row>
    <row r="61" spans="2:36" s="47" customFormat="1" ht="15" customHeight="1">
      <c r="B61" s="659">
        <v>52</v>
      </c>
      <c r="C61" s="797">
        <v>44540</v>
      </c>
      <c r="D61" s="652">
        <v>206</v>
      </c>
      <c r="E61" s="652">
        <v>208</v>
      </c>
      <c r="F61" s="652">
        <v>199</v>
      </c>
      <c r="G61" s="652">
        <v>199.4</v>
      </c>
      <c r="H61" s="801">
        <v>1261687</v>
      </c>
      <c r="I61" s="674">
        <f t="shared" si="0"/>
        <v>-2.7940994310330293E-2</v>
      </c>
      <c r="J61" s="669"/>
      <c r="K61" s="661"/>
      <c r="L61" s="662"/>
      <c r="N61" s="797">
        <v>44540</v>
      </c>
      <c r="O61" s="652">
        <v>9.76</v>
      </c>
      <c r="P61" s="652">
        <v>9.76</v>
      </c>
      <c r="Q61" s="652">
        <v>9.41</v>
      </c>
      <c r="R61" s="652">
        <v>9.57</v>
      </c>
      <c r="S61" s="801">
        <v>584751</v>
      </c>
      <c r="T61" s="674">
        <f t="shared" si="1"/>
        <v>-1.9659194960138203E-2</v>
      </c>
      <c r="U61" s="669"/>
      <c r="V61" s="661"/>
      <c r="W61" s="662"/>
      <c r="X61" s="51"/>
      <c r="Y61" s="51"/>
      <c r="AA61" s="670"/>
      <c r="AB61" s="671"/>
      <c r="AC61" s="671"/>
      <c r="AD61" s="671"/>
      <c r="AE61" s="672"/>
      <c r="AF61" s="673"/>
      <c r="AG61" s="674"/>
      <c r="AH61" s="669"/>
      <c r="AI61" s="661"/>
      <c r="AJ61" s="662"/>
    </row>
    <row r="62" spans="2:36" s="47" customFormat="1" ht="15" customHeight="1">
      <c r="B62" s="659">
        <v>53</v>
      </c>
      <c r="C62" s="797">
        <v>44539</v>
      </c>
      <c r="D62" s="652">
        <v>214</v>
      </c>
      <c r="E62" s="652">
        <v>214</v>
      </c>
      <c r="F62" s="652">
        <v>204.4</v>
      </c>
      <c r="G62" s="652">
        <v>205.05</v>
      </c>
      <c r="H62" s="801">
        <v>1328854</v>
      </c>
      <c r="I62" s="674">
        <f t="shared" si="0"/>
        <v>-3.8038313871356803E-2</v>
      </c>
      <c r="J62" s="669"/>
      <c r="K62" s="661"/>
      <c r="L62" s="662"/>
      <c r="N62" s="797">
        <v>44539</v>
      </c>
      <c r="O62" s="652">
        <v>9.6199999999999992</v>
      </c>
      <c r="P62" s="652">
        <v>9.9</v>
      </c>
      <c r="Q62" s="652">
        <v>9.5500000000000007</v>
      </c>
      <c r="R62" s="652">
        <v>9.76</v>
      </c>
      <c r="S62" s="801">
        <v>757717</v>
      </c>
      <c r="T62" s="674">
        <f t="shared" si="1"/>
        <v>5.1361181217674922E-3</v>
      </c>
      <c r="U62" s="669"/>
      <c r="V62" s="661"/>
      <c r="W62" s="662"/>
      <c r="X62" s="51"/>
      <c r="Y62" s="51"/>
      <c r="AA62" s="670"/>
      <c r="AB62" s="671"/>
      <c r="AC62" s="671"/>
      <c r="AD62" s="671"/>
      <c r="AE62" s="672"/>
      <c r="AF62" s="673"/>
      <c r="AG62" s="674"/>
      <c r="AH62" s="669"/>
      <c r="AI62" s="661"/>
      <c r="AJ62" s="662"/>
    </row>
    <row r="63" spans="2:36" s="47" customFormat="1" ht="15" customHeight="1">
      <c r="B63" s="659">
        <v>54</v>
      </c>
      <c r="C63" s="797">
        <v>44537</v>
      </c>
      <c r="D63" s="652">
        <v>211.3</v>
      </c>
      <c r="E63" s="652">
        <v>214.8</v>
      </c>
      <c r="F63" s="652">
        <v>210.1</v>
      </c>
      <c r="G63" s="652">
        <v>213</v>
      </c>
      <c r="H63" s="801">
        <v>1716493</v>
      </c>
      <c r="I63" s="674">
        <f t="shared" si="0"/>
        <v>2.015480197846034E-2</v>
      </c>
      <c r="J63" s="669"/>
      <c r="K63" s="661"/>
      <c r="L63" s="662"/>
      <c r="N63" s="797">
        <v>44538</v>
      </c>
      <c r="O63" s="652">
        <v>9.6</v>
      </c>
      <c r="P63" s="652">
        <v>9.77</v>
      </c>
      <c r="Q63" s="652">
        <v>9.4600000000000009</v>
      </c>
      <c r="R63" s="652">
        <v>9.7100000000000009</v>
      </c>
      <c r="S63" s="801">
        <v>470881</v>
      </c>
      <c r="T63" s="674">
        <f t="shared" si="1"/>
        <v>8.2730564931992826E-3</v>
      </c>
      <c r="U63" s="669"/>
      <c r="V63" s="661"/>
      <c r="W63" s="662"/>
      <c r="X63" s="51"/>
      <c r="Y63" s="51"/>
      <c r="AA63" s="670"/>
      <c r="AB63" s="671"/>
      <c r="AC63" s="671"/>
      <c r="AD63" s="671"/>
      <c r="AE63" s="672"/>
      <c r="AF63" s="673"/>
      <c r="AG63" s="674"/>
      <c r="AH63" s="669"/>
      <c r="AI63" s="661"/>
      <c r="AJ63" s="662"/>
    </row>
    <row r="64" spans="2:36" s="47" customFormat="1" ht="15" customHeight="1">
      <c r="B64" s="659">
        <v>55</v>
      </c>
      <c r="C64" s="797">
        <v>44536</v>
      </c>
      <c r="D64" s="652">
        <v>205</v>
      </c>
      <c r="E64" s="652">
        <v>211.45</v>
      </c>
      <c r="F64" s="652">
        <v>201.5</v>
      </c>
      <c r="G64" s="652">
        <v>208.75</v>
      </c>
      <c r="H64" s="801">
        <v>1633784</v>
      </c>
      <c r="I64" s="674">
        <f t="shared" si="0"/>
        <v>1.8859359738084714E-2</v>
      </c>
      <c r="J64" s="669"/>
      <c r="K64" s="661"/>
      <c r="L64" s="662"/>
      <c r="N64" s="797">
        <v>44537</v>
      </c>
      <c r="O64" s="652">
        <v>9.61</v>
      </c>
      <c r="P64" s="652">
        <v>9.8800000000000008</v>
      </c>
      <c r="Q64" s="652">
        <v>9.57</v>
      </c>
      <c r="R64" s="652">
        <v>9.6300000000000008</v>
      </c>
      <c r="S64" s="801">
        <v>707743</v>
      </c>
      <c r="T64" s="674">
        <f t="shared" si="1"/>
        <v>2.5237932589862754E-2</v>
      </c>
      <c r="U64" s="669"/>
      <c r="V64" s="661"/>
      <c r="W64" s="662"/>
      <c r="X64" s="51"/>
      <c r="Y64" s="51"/>
      <c r="AA64" s="670"/>
      <c r="AB64" s="671"/>
      <c r="AC64" s="671"/>
      <c r="AD64" s="671"/>
      <c r="AE64" s="672"/>
      <c r="AF64" s="673"/>
      <c r="AG64" s="674"/>
      <c r="AH64" s="669"/>
      <c r="AI64" s="661"/>
      <c r="AJ64" s="662"/>
    </row>
    <row r="65" spans="2:36" s="47" customFormat="1" ht="15" customHeight="1">
      <c r="B65" s="659">
        <v>56</v>
      </c>
      <c r="C65" s="797">
        <v>44533</v>
      </c>
      <c r="D65" s="652">
        <v>213</v>
      </c>
      <c r="E65" s="652">
        <v>213</v>
      </c>
      <c r="F65" s="652">
        <v>199</v>
      </c>
      <c r="G65" s="652">
        <v>204.85</v>
      </c>
      <c r="H65" s="801">
        <v>2151585</v>
      </c>
      <c r="I65" s="674">
        <f t="shared" si="0"/>
        <v>-1.3575966083882477E-2</v>
      </c>
      <c r="J65" s="669"/>
      <c r="K65" s="661"/>
      <c r="L65" s="662"/>
      <c r="N65" s="797">
        <v>44536</v>
      </c>
      <c r="O65" s="652">
        <v>9.23</v>
      </c>
      <c r="P65" s="652">
        <v>9.65</v>
      </c>
      <c r="Q65" s="652">
        <v>9.0500000000000007</v>
      </c>
      <c r="R65" s="652">
        <v>9.39</v>
      </c>
      <c r="S65" s="801">
        <v>517704</v>
      </c>
      <c r="T65" s="674">
        <f t="shared" si="1"/>
        <v>2.2618088587772582E-2</v>
      </c>
      <c r="U65" s="669"/>
      <c r="V65" s="661"/>
      <c r="W65" s="662"/>
      <c r="X65" s="51"/>
      <c r="Y65" s="51"/>
      <c r="AA65" s="670"/>
      <c r="AB65" s="671"/>
      <c r="AC65" s="671"/>
      <c r="AD65" s="671"/>
      <c r="AE65" s="672"/>
      <c r="AF65" s="673"/>
      <c r="AG65" s="674"/>
      <c r="AH65" s="669"/>
      <c r="AI65" s="661"/>
      <c r="AJ65" s="662"/>
    </row>
    <row r="66" spans="2:36" s="47" customFormat="1" ht="15" customHeight="1">
      <c r="B66" s="659">
        <v>57</v>
      </c>
      <c r="C66" s="797">
        <v>44532</v>
      </c>
      <c r="D66" s="652">
        <v>210.15</v>
      </c>
      <c r="E66" s="652">
        <v>217.9</v>
      </c>
      <c r="F66" s="652">
        <v>205.5</v>
      </c>
      <c r="G66" s="652">
        <v>207.65</v>
      </c>
      <c r="H66" s="801">
        <v>3931622</v>
      </c>
      <c r="I66" s="674">
        <f t="shared" si="0"/>
        <v>-6.7194877258114722E-3</v>
      </c>
      <c r="J66" s="669"/>
      <c r="K66" s="661"/>
      <c r="L66" s="662"/>
      <c r="N66" s="797">
        <v>44533</v>
      </c>
      <c r="O66" s="652">
        <v>9.4499999999999993</v>
      </c>
      <c r="P66" s="652">
        <v>9.4499999999999993</v>
      </c>
      <c r="Q66" s="652">
        <v>9.01</v>
      </c>
      <c r="R66" s="652">
        <v>9.18</v>
      </c>
      <c r="S66" s="801">
        <v>763960</v>
      </c>
      <c r="T66" s="674">
        <f t="shared" si="1"/>
        <v>-3.7417513033711658E-2</v>
      </c>
      <c r="U66" s="669"/>
      <c r="V66" s="661"/>
      <c r="W66" s="662"/>
      <c r="X66" s="51"/>
      <c r="Y66" s="51"/>
      <c r="AA66" s="670"/>
      <c r="AB66" s="671"/>
      <c r="AC66" s="671"/>
      <c r="AD66" s="671"/>
      <c r="AE66" s="672"/>
      <c r="AF66" s="673"/>
      <c r="AG66" s="674"/>
      <c r="AH66" s="669"/>
      <c r="AI66" s="661"/>
      <c r="AJ66" s="662"/>
    </row>
    <row r="67" spans="2:36" s="47" customFormat="1" ht="15" customHeight="1">
      <c r="B67" s="659">
        <v>58</v>
      </c>
      <c r="C67" s="797">
        <v>44531</v>
      </c>
      <c r="D67" s="652">
        <v>192.1</v>
      </c>
      <c r="E67" s="652">
        <v>210</v>
      </c>
      <c r="F67" s="652">
        <v>192.1</v>
      </c>
      <c r="G67" s="652">
        <v>209.05</v>
      </c>
      <c r="H67" s="801">
        <v>4188556</v>
      </c>
      <c r="I67" s="674">
        <f t="shared" si="0"/>
        <v>9.8976303454770292E-2</v>
      </c>
      <c r="J67" s="669"/>
      <c r="K67" s="661"/>
      <c r="L67" s="662"/>
      <c r="N67" s="797">
        <v>44532</v>
      </c>
      <c r="O67" s="652">
        <v>9.6999999999999993</v>
      </c>
      <c r="P67" s="652">
        <v>9.9</v>
      </c>
      <c r="Q67" s="652">
        <v>9.36</v>
      </c>
      <c r="R67" s="652">
        <v>9.5299999999999994</v>
      </c>
      <c r="S67" s="801">
        <v>1041941</v>
      </c>
      <c r="T67" s="674">
        <f t="shared" si="1"/>
        <v>1.0548621020744541E-2</v>
      </c>
      <c r="U67" s="669"/>
      <c r="V67" s="661"/>
      <c r="W67" s="662"/>
      <c r="X67" s="51"/>
      <c r="Y67" s="51"/>
      <c r="AA67" s="670"/>
      <c r="AB67" s="671"/>
      <c r="AC67" s="671"/>
      <c r="AD67" s="671"/>
      <c r="AE67" s="672"/>
      <c r="AF67" s="673"/>
      <c r="AG67" s="674"/>
      <c r="AH67" s="669"/>
      <c r="AI67" s="661"/>
      <c r="AJ67" s="662"/>
    </row>
    <row r="68" spans="2:36" s="47" customFormat="1" ht="15" customHeight="1">
      <c r="B68" s="659">
        <v>59</v>
      </c>
      <c r="C68" s="797">
        <v>44530</v>
      </c>
      <c r="D68" s="652">
        <v>187</v>
      </c>
      <c r="E68" s="652">
        <v>190.8</v>
      </c>
      <c r="F68" s="652">
        <v>185.05</v>
      </c>
      <c r="G68" s="652">
        <v>189.35</v>
      </c>
      <c r="H68" s="801">
        <v>1524999</v>
      </c>
      <c r="I68" s="674">
        <f t="shared" si="0"/>
        <v>1.0351784543482017E-2</v>
      </c>
      <c r="J68" s="669"/>
      <c r="K68" s="661"/>
      <c r="L68" s="662"/>
      <c r="N68" s="797">
        <v>44531</v>
      </c>
      <c r="O68" s="652">
        <v>9.24</v>
      </c>
      <c r="P68" s="652">
        <v>9.5299999999999994</v>
      </c>
      <c r="Q68" s="652">
        <v>9.15</v>
      </c>
      <c r="R68" s="652">
        <v>9.43</v>
      </c>
      <c r="S68" s="801">
        <v>1455812</v>
      </c>
      <c r="T68" s="674">
        <f t="shared" si="1"/>
        <v>8.0573070984828216E-2</v>
      </c>
      <c r="U68" s="669"/>
      <c r="V68" s="661"/>
      <c r="W68" s="662"/>
      <c r="X68" s="51"/>
      <c r="Y68" s="51"/>
      <c r="AA68" s="670"/>
      <c r="AB68" s="671"/>
      <c r="AC68" s="671"/>
      <c r="AD68" s="671"/>
      <c r="AE68" s="672"/>
      <c r="AF68" s="673"/>
      <c r="AG68" s="674"/>
      <c r="AH68" s="669"/>
      <c r="AI68" s="661"/>
      <c r="AJ68" s="662"/>
    </row>
    <row r="69" spans="2:36" s="47" customFormat="1" ht="15" customHeight="1">
      <c r="B69" s="659">
        <v>60</v>
      </c>
      <c r="C69" s="797">
        <v>44529</v>
      </c>
      <c r="D69" s="652">
        <v>196.15</v>
      </c>
      <c r="E69" s="652">
        <v>200</v>
      </c>
      <c r="F69" s="652">
        <v>187</v>
      </c>
      <c r="G69" s="652">
        <v>187.4</v>
      </c>
      <c r="H69" s="801">
        <v>3116171</v>
      </c>
      <c r="I69" s="674">
        <f t="shared" si="0"/>
        <v>-3.692969079743437E-2</v>
      </c>
      <c r="J69" s="669"/>
      <c r="K69" s="661"/>
      <c r="L69" s="662"/>
      <c r="N69" s="797">
        <v>44530</v>
      </c>
      <c r="O69" s="652">
        <v>8.68</v>
      </c>
      <c r="P69" s="652">
        <v>8.8699999999999992</v>
      </c>
      <c r="Q69" s="652">
        <v>8.58</v>
      </c>
      <c r="R69" s="652">
        <v>8.6999999999999993</v>
      </c>
      <c r="S69" s="801">
        <v>4611436</v>
      </c>
      <c r="T69" s="674">
        <f t="shared" si="1"/>
        <v>-1.0291686036547525E-2</v>
      </c>
      <c r="U69" s="669"/>
      <c r="V69" s="661"/>
      <c r="W69" s="662"/>
      <c r="X69" s="51"/>
      <c r="Y69" s="51"/>
      <c r="AA69" s="670"/>
      <c r="AB69" s="671"/>
      <c r="AC69" s="671"/>
      <c r="AD69" s="671"/>
      <c r="AE69" s="672"/>
      <c r="AF69" s="673"/>
      <c r="AG69" s="674"/>
      <c r="AH69" s="669"/>
      <c r="AI69" s="661"/>
      <c r="AJ69" s="662"/>
    </row>
    <row r="70" spans="2:36" s="47" customFormat="1" ht="15" customHeight="1">
      <c r="B70" s="659">
        <v>61</v>
      </c>
      <c r="C70" s="797">
        <v>44526</v>
      </c>
      <c r="D70" s="652">
        <v>200</v>
      </c>
      <c r="E70" s="652">
        <v>200</v>
      </c>
      <c r="F70" s="652">
        <v>190.6</v>
      </c>
      <c r="G70" s="652">
        <v>194.45</v>
      </c>
      <c r="H70" s="801">
        <v>2938854</v>
      </c>
      <c r="I70" s="674">
        <f t="shared" si="0"/>
        <v>-5.1370432065487595E-2</v>
      </c>
      <c r="J70" s="669"/>
      <c r="K70" s="661"/>
      <c r="L70" s="662"/>
      <c r="N70" s="797">
        <v>44529</v>
      </c>
      <c r="O70" s="652">
        <v>9.24</v>
      </c>
      <c r="P70" s="652">
        <v>9.64</v>
      </c>
      <c r="Q70" s="652">
        <v>8.75</v>
      </c>
      <c r="R70" s="652">
        <v>8.7899999999999991</v>
      </c>
      <c r="S70" s="801">
        <v>830047</v>
      </c>
      <c r="T70" s="674">
        <f t="shared" si="1"/>
        <v>-4.0139167590344499E-2</v>
      </c>
      <c r="U70" s="669"/>
      <c r="V70" s="661"/>
      <c r="W70" s="662"/>
      <c r="X70" s="51"/>
      <c r="Y70" s="51"/>
      <c r="AA70" s="670"/>
      <c r="AB70" s="671"/>
      <c r="AC70" s="671"/>
      <c r="AD70" s="671"/>
      <c r="AE70" s="672"/>
      <c r="AF70" s="673"/>
      <c r="AG70" s="674"/>
      <c r="AH70" s="669"/>
      <c r="AI70" s="661"/>
      <c r="AJ70" s="662"/>
    </row>
    <row r="71" spans="2:36" s="47" customFormat="1" ht="15" customHeight="1">
      <c r="B71" s="659">
        <v>62</v>
      </c>
      <c r="C71" s="797">
        <v>44525</v>
      </c>
      <c r="D71" s="652">
        <v>201.2</v>
      </c>
      <c r="E71" s="652">
        <v>205.8</v>
      </c>
      <c r="F71" s="652">
        <v>201.2</v>
      </c>
      <c r="G71" s="652">
        <v>204.7</v>
      </c>
      <c r="H71" s="801">
        <v>486956</v>
      </c>
      <c r="I71" s="674">
        <f t="shared" si="0"/>
        <v>1.8240584608167937E-2</v>
      </c>
      <c r="J71" s="669"/>
      <c r="K71" s="661"/>
      <c r="L71" s="662"/>
      <c r="N71" s="797">
        <v>44526</v>
      </c>
      <c r="O71" s="652">
        <v>9.0399999999999991</v>
      </c>
      <c r="P71" s="652">
        <v>9.18</v>
      </c>
      <c r="Q71" s="652">
        <v>8.7100000000000009</v>
      </c>
      <c r="R71" s="652">
        <v>9.15</v>
      </c>
      <c r="S71" s="801">
        <v>854776</v>
      </c>
      <c r="T71" s="674">
        <f t="shared" si="1"/>
        <v>1.0934938213712896E-3</v>
      </c>
      <c r="U71" s="669"/>
      <c r="V71" s="661"/>
      <c r="W71" s="662"/>
      <c r="X71" s="51"/>
      <c r="Y71" s="51"/>
      <c r="AA71" s="670"/>
      <c r="AB71" s="671"/>
      <c r="AC71" s="671"/>
      <c r="AD71" s="671"/>
      <c r="AE71" s="672"/>
      <c r="AF71" s="673"/>
      <c r="AG71" s="674"/>
      <c r="AH71" s="669"/>
      <c r="AI71" s="661"/>
      <c r="AJ71" s="662"/>
    </row>
    <row r="72" spans="2:36" s="47" customFormat="1" ht="15" customHeight="1">
      <c r="B72" s="659">
        <v>63</v>
      </c>
      <c r="C72" s="797">
        <v>44524</v>
      </c>
      <c r="D72" s="652">
        <v>202.55</v>
      </c>
      <c r="E72" s="652">
        <v>206.95</v>
      </c>
      <c r="F72" s="652">
        <v>198</v>
      </c>
      <c r="G72" s="652">
        <v>201</v>
      </c>
      <c r="H72" s="801">
        <v>2552438</v>
      </c>
      <c r="I72" s="674">
        <f t="shared" si="0"/>
        <v>3.9880411779556271E-3</v>
      </c>
      <c r="J72" s="669"/>
      <c r="K72" s="661"/>
      <c r="L72" s="662"/>
      <c r="N72" s="797">
        <v>44524</v>
      </c>
      <c r="O72" s="652">
        <v>9.3000000000000007</v>
      </c>
      <c r="P72" s="652">
        <v>9.42</v>
      </c>
      <c r="Q72" s="652">
        <v>9.01</v>
      </c>
      <c r="R72" s="652">
        <v>9.14</v>
      </c>
      <c r="S72" s="801">
        <v>724986</v>
      </c>
      <c r="T72" s="674">
        <f t="shared" si="1"/>
        <v>-1.3043663192029339E-2</v>
      </c>
      <c r="U72" s="669"/>
      <c r="V72" s="661"/>
      <c r="W72" s="662"/>
      <c r="X72" s="51"/>
      <c r="Y72" s="51"/>
      <c r="AA72" s="670"/>
      <c r="AB72" s="671"/>
      <c r="AC72" s="671"/>
      <c r="AD72" s="671"/>
      <c r="AE72" s="672"/>
      <c r="AF72" s="673"/>
      <c r="AG72" s="674"/>
      <c r="AH72" s="669"/>
      <c r="AI72" s="661"/>
      <c r="AJ72" s="662"/>
    </row>
    <row r="73" spans="2:36" s="47" customFormat="1" ht="15" customHeight="1">
      <c r="B73" s="659">
        <v>64</v>
      </c>
      <c r="C73" s="797">
        <v>44523</v>
      </c>
      <c r="D73" s="652">
        <v>204</v>
      </c>
      <c r="E73" s="652">
        <v>209.6</v>
      </c>
      <c r="F73" s="652">
        <v>199.2</v>
      </c>
      <c r="G73" s="652">
        <v>200.2</v>
      </c>
      <c r="H73" s="801">
        <v>3176546</v>
      </c>
      <c r="I73" s="674">
        <f t="shared" si="0"/>
        <v>-4.5884085565766924E-2</v>
      </c>
      <c r="J73" s="669"/>
      <c r="K73" s="661"/>
      <c r="L73" s="662"/>
      <c r="N73" s="797">
        <v>44523</v>
      </c>
      <c r="O73" s="652">
        <v>9.25</v>
      </c>
      <c r="P73" s="652">
        <v>9.5399999999999991</v>
      </c>
      <c r="Q73" s="652">
        <v>9.11</v>
      </c>
      <c r="R73" s="652">
        <v>9.26</v>
      </c>
      <c r="S73" s="801">
        <v>897345</v>
      </c>
      <c r="T73" s="674">
        <f t="shared" si="1"/>
        <v>1.1950169370657994E-2</v>
      </c>
      <c r="U73" s="669"/>
      <c r="V73" s="661"/>
      <c r="W73" s="662"/>
      <c r="X73" s="51"/>
      <c r="Y73" s="51"/>
      <c r="AA73" s="670"/>
      <c r="AB73" s="671"/>
      <c r="AC73" s="671"/>
      <c r="AD73" s="671"/>
      <c r="AE73" s="672"/>
      <c r="AF73" s="673"/>
      <c r="AG73" s="674"/>
      <c r="AH73" s="669"/>
      <c r="AI73" s="661"/>
      <c r="AJ73" s="662"/>
    </row>
    <row r="74" spans="2:36" s="47" customFormat="1" ht="15" customHeight="1">
      <c r="B74" s="659">
        <v>65</v>
      </c>
      <c r="C74" s="797">
        <v>44519</v>
      </c>
      <c r="D74" s="652">
        <v>220.9</v>
      </c>
      <c r="E74" s="652">
        <v>222.45</v>
      </c>
      <c r="F74" s="652">
        <v>208</v>
      </c>
      <c r="G74" s="652">
        <v>209.6</v>
      </c>
      <c r="H74" s="801">
        <v>2242161</v>
      </c>
      <c r="I74" s="674">
        <f t="shared" si="0"/>
        <v>-4.8653840810213393E-2</v>
      </c>
      <c r="J74" s="669"/>
      <c r="K74" s="661"/>
      <c r="L74" s="662"/>
      <c r="N74" s="797">
        <v>44522</v>
      </c>
      <c r="O74" s="652">
        <v>9.7200000000000006</v>
      </c>
      <c r="P74" s="652">
        <v>9.7200000000000006</v>
      </c>
      <c r="Q74" s="652">
        <v>9.1199999999999992</v>
      </c>
      <c r="R74" s="652">
        <v>9.15</v>
      </c>
      <c r="S74" s="801">
        <v>827399</v>
      </c>
      <c r="T74" s="674">
        <f t="shared" si="1"/>
        <v>-4.5923712695339201E-2</v>
      </c>
      <c r="U74" s="669"/>
      <c r="V74" s="661"/>
      <c r="W74" s="662"/>
      <c r="X74" s="51"/>
      <c r="Y74" s="51"/>
      <c r="AA74" s="670"/>
      <c r="AB74" s="671"/>
      <c r="AC74" s="671"/>
      <c r="AD74" s="671"/>
      <c r="AE74" s="672"/>
      <c r="AF74" s="673"/>
      <c r="AG74" s="674"/>
      <c r="AH74" s="669"/>
      <c r="AI74" s="661"/>
      <c r="AJ74" s="662"/>
    </row>
    <row r="75" spans="2:36" s="47" customFormat="1" ht="15" customHeight="1">
      <c r="B75" s="659">
        <v>66</v>
      </c>
      <c r="C75" s="797">
        <v>44518</v>
      </c>
      <c r="D75" s="652">
        <v>211.05</v>
      </c>
      <c r="E75" s="652">
        <v>220.5</v>
      </c>
      <c r="F75" s="652">
        <v>208</v>
      </c>
      <c r="G75" s="652">
        <v>220.05</v>
      </c>
      <c r="H75" s="801">
        <v>2273708</v>
      </c>
      <c r="I75" s="674">
        <f t="shared" ref="I75:I108" si="2">+IF(G75 &lt;&gt; 0, LN(G75/G76), 0)</f>
        <v>3.2327913311179346E-2</v>
      </c>
      <c r="J75" s="669"/>
      <c r="K75" s="661"/>
      <c r="L75" s="662"/>
      <c r="N75" s="797">
        <v>44519</v>
      </c>
      <c r="O75" s="652">
        <v>10.15</v>
      </c>
      <c r="P75" s="652">
        <v>10.19</v>
      </c>
      <c r="Q75" s="652">
        <v>9.5500000000000007</v>
      </c>
      <c r="R75" s="652">
        <v>9.58</v>
      </c>
      <c r="S75" s="801">
        <v>813684</v>
      </c>
      <c r="T75" s="674">
        <f t="shared" ref="T75:T108" si="3">+IF(R75 &lt;&gt; 0, LN(R75/R76), 0)</f>
        <v>-6.17292552518642E-2</v>
      </c>
      <c r="U75" s="669"/>
      <c r="V75" s="661"/>
      <c r="W75" s="662"/>
      <c r="X75" s="51"/>
      <c r="Y75" s="51"/>
      <c r="AA75" s="670"/>
      <c r="AB75" s="671"/>
      <c r="AC75" s="671"/>
      <c r="AD75" s="671"/>
      <c r="AE75" s="672"/>
      <c r="AF75" s="673"/>
      <c r="AG75" s="674"/>
      <c r="AH75" s="669"/>
      <c r="AI75" s="661"/>
      <c r="AJ75" s="662"/>
    </row>
    <row r="76" spans="2:36" s="47" customFormat="1" ht="15" customHeight="1">
      <c r="B76" s="659">
        <v>67</v>
      </c>
      <c r="C76" s="797">
        <v>44517</v>
      </c>
      <c r="D76" s="652">
        <v>223.5</v>
      </c>
      <c r="E76" s="652">
        <v>225.9</v>
      </c>
      <c r="F76" s="652">
        <v>208.25</v>
      </c>
      <c r="G76" s="652">
        <v>213.05</v>
      </c>
      <c r="H76" s="801">
        <v>3114923</v>
      </c>
      <c r="I76" s="674">
        <f t="shared" si="2"/>
        <v>-4.2500941024229862E-2</v>
      </c>
      <c r="J76" s="669"/>
      <c r="K76" s="661"/>
      <c r="L76" s="662"/>
      <c r="N76" s="797">
        <v>44518</v>
      </c>
      <c r="O76" s="652">
        <v>9.9</v>
      </c>
      <c r="P76" s="652">
        <v>10.33</v>
      </c>
      <c r="Q76" s="652">
        <v>9.69</v>
      </c>
      <c r="R76" s="652">
        <v>10.19</v>
      </c>
      <c r="S76" s="801">
        <v>680603</v>
      </c>
      <c r="T76" s="674">
        <f t="shared" si="3"/>
        <v>1.2839682563040187E-2</v>
      </c>
      <c r="U76" s="669"/>
      <c r="V76" s="661"/>
      <c r="W76" s="662"/>
      <c r="X76" s="51"/>
      <c r="Y76" s="51"/>
      <c r="AA76" s="670"/>
      <c r="AB76" s="671"/>
      <c r="AC76" s="671"/>
      <c r="AD76" s="671"/>
      <c r="AE76" s="672"/>
      <c r="AF76" s="673"/>
      <c r="AG76" s="674"/>
      <c r="AH76" s="669"/>
      <c r="AI76" s="661"/>
      <c r="AJ76" s="662"/>
    </row>
    <row r="77" spans="2:36" s="47" customFormat="1" ht="15" customHeight="1">
      <c r="B77" s="659">
        <v>68</v>
      </c>
      <c r="C77" s="797">
        <v>44516</v>
      </c>
      <c r="D77" s="652">
        <v>240</v>
      </c>
      <c r="E77" s="652">
        <v>240</v>
      </c>
      <c r="F77" s="652">
        <v>221.75</v>
      </c>
      <c r="G77" s="652">
        <v>222.3</v>
      </c>
      <c r="H77" s="801">
        <v>2982640</v>
      </c>
      <c r="I77" s="674">
        <f t="shared" si="2"/>
        <v>-7.5985906977921985E-2</v>
      </c>
      <c r="J77" s="669"/>
      <c r="K77" s="661"/>
      <c r="L77" s="662"/>
      <c r="N77" s="797">
        <v>44517</v>
      </c>
      <c r="O77" s="652">
        <v>10.64</v>
      </c>
      <c r="P77" s="652">
        <v>10.64</v>
      </c>
      <c r="Q77" s="652">
        <v>9.84</v>
      </c>
      <c r="R77" s="652">
        <v>10.06</v>
      </c>
      <c r="S77" s="801">
        <v>1227862</v>
      </c>
      <c r="T77" s="674">
        <f t="shared" si="3"/>
        <v>-4.2808092491884525E-2</v>
      </c>
      <c r="U77" s="669"/>
      <c r="V77" s="661"/>
      <c r="W77" s="662"/>
      <c r="X77" s="51"/>
      <c r="Y77" s="51"/>
      <c r="AA77" s="670"/>
      <c r="AB77" s="671"/>
      <c r="AC77" s="671"/>
      <c r="AD77" s="671"/>
      <c r="AE77" s="672"/>
      <c r="AF77" s="673"/>
      <c r="AG77" s="674"/>
      <c r="AH77" s="669"/>
      <c r="AI77" s="661"/>
      <c r="AJ77" s="662"/>
    </row>
    <row r="78" spans="2:36" s="47" customFormat="1" ht="15" customHeight="1">
      <c r="B78" s="659">
        <v>69</v>
      </c>
      <c r="C78" s="797">
        <v>44515</v>
      </c>
      <c r="D78" s="652">
        <v>255</v>
      </c>
      <c r="E78" s="652">
        <v>257</v>
      </c>
      <c r="F78" s="652">
        <v>235.6</v>
      </c>
      <c r="G78" s="652">
        <v>239.85</v>
      </c>
      <c r="H78" s="801">
        <v>3039026</v>
      </c>
      <c r="I78" s="674">
        <f t="shared" si="2"/>
        <v>-3.6836577356490312E-2</v>
      </c>
      <c r="J78" s="669"/>
      <c r="K78" s="661"/>
      <c r="L78" s="662"/>
      <c r="N78" s="797">
        <v>44516</v>
      </c>
      <c r="O78" s="652">
        <v>11.3</v>
      </c>
      <c r="P78" s="652">
        <v>11.38</v>
      </c>
      <c r="Q78" s="652">
        <v>10.47</v>
      </c>
      <c r="R78" s="652">
        <v>10.5</v>
      </c>
      <c r="S78" s="801">
        <v>1093908</v>
      </c>
      <c r="T78" s="674">
        <f t="shared" si="3"/>
        <v>-8.1360520295613165E-2</v>
      </c>
      <c r="U78" s="669"/>
      <c r="V78" s="661"/>
      <c r="W78" s="662"/>
      <c r="X78" s="51"/>
      <c r="Y78" s="51"/>
      <c r="AA78" s="670"/>
      <c r="AB78" s="671"/>
      <c r="AC78" s="671"/>
      <c r="AD78" s="671"/>
      <c r="AE78" s="672"/>
      <c r="AF78" s="673"/>
      <c r="AG78" s="674"/>
      <c r="AH78" s="669"/>
      <c r="AI78" s="661"/>
      <c r="AJ78" s="662"/>
    </row>
    <row r="79" spans="2:36" s="47" customFormat="1" ht="15" customHeight="1">
      <c r="B79" s="659">
        <v>70</v>
      </c>
      <c r="C79" s="797">
        <v>44512</v>
      </c>
      <c r="D79" s="652">
        <v>255.7</v>
      </c>
      <c r="E79" s="652">
        <v>258.95</v>
      </c>
      <c r="F79" s="652">
        <v>245</v>
      </c>
      <c r="G79" s="652">
        <v>248.85</v>
      </c>
      <c r="H79" s="801">
        <v>1928307</v>
      </c>
      <c r="I79" s="674">
        <f t="shared" si="2"/>
        <v>-2.7154576992577777E-2</v>
      </c>
      <c r="J79" s="669"/>
      <c r="K79" s="661"/>
      <c r="L79" s="662"/>
      <c r="N79" s="797">
        <v>44515</v>
      </c>
      <c r="O79" s="652">
        <v>11.66</v>
      </c>
      <c r="P79" s="652">
        <v>11.72</v>
      </c>
      <c r="Q79" s="652">
        <v>10.94</v>
      </c>
      <c r="R79" s="652">
        <v>11.39</v>
      </c>
      <c r="S79" s="801">
        <v>1242690</v>
      </c>
      <c r="T79" s="674">
        <f t="shared" si="3"/>
        <v>-1.1348877808654284E-2</v>
      </c>
      <c r="U79" s="669"/>
      <c r="V79" s="661"/>
      <c r="W79" s="662"/>
      <c r="X79" s="51"/>
      <c r="Y79" s="51"/>
      <c r="AA79" s="670"/>
      <c r="AB79" s="671"/>
      <c r="AC79" s="671"/>
      <c r="AD79" s="671"/>
      <c r="AE79" s="672"/>
      <c r="AF79" s="673"/>
      <c r="AG79" s="674"/>
      <c r="AH79" s="669"/>
      <c r="AI79" s="661"/>
      <c r="AJ79" s="662"/>
    </row>
    <row r="80" spans="2:36" s="47" customFormat="1" ht="15" customHeight="1">
      <c r="B80" s="659">
        <v>71</v>
      </c>
      <c r="C80" s="797">
        <v>44511</v>
      </c>
      <c r="D80" s="652">
        <v>256</v>
      </c>
      <c r="E80" s="652">
        <v>263.89999999999998</v>
      </c>
      <c r="F80" s="652">
        <v>255</v>
      </c>
      <c r="G80" s="652">
        <v>255.7</v>
      </c>
      <c r="H80" s="801">
        <v>2192252</v>
      </c>
      <c r="I80" s="674">
        <f t="shared" si="2"/>
        <v>-7.4031119330577192E-3</v>
      </c>
      <c r="J80" s="669"/>
      <c r="K80" s="661"/>
      <c r="L80" s="662"/>
      <c r="N80" s="797">
        <v>44512</v>
      </c>
      <c r="O80" s="652">
        <v>11.87</v>
      </c>
      <c r="P80" s="652">
        <v>11.87</v>
      </c>
      <c r="Q80" s="652">
        <v>11.36</v>
      </c>
      <c r="R80" s="652">
        <v>11.52</v>
      </c>
      <c r="S80" s="801">
        <v>1199820</v>
      </c>
      <c r="T80" s="674">
        <f t="shared" si="3"/>
        <v>-2.99295533538315E-2</v>
      </c>
      <c r="U80" s="669"/>
      <c r="V80" s="661"/>
      <c r="W80" s="662"/>
      <c r="X80" s="51"/>
      <c r="Y80" s="51"/>
      <c r="AA80" s="670"/>
      <c r="AB80" s="671"/>
      <c r="AC80" s="671"/>
      <c r="AD80" s="671"/>
      <c r="AE80" s="672"/>
      <c r="AF80" s="673"/>
      <c r="AG80" s="674"/>
      <c r="AH80" s="669"/>
      <c r="AI80" s="661"/>
      <c r="AJ80" s="662"/>
    </row>
    <row r="81" spans="2:36" s="47" customFormat="1" ht="15" customHeight="1">
      <c r="B81" s="659">
        <v>72</v>
      </c>
      <c r="C81" s="797">
        <v>44510</v>
      </c>
      <c r="D81" s="652">
        <v>256</v>
      </c>
      <c r="E81" s="652">
        <v>263.14999999999998</v>
      </c>
      <c r="F81" s="652">
        <v>255</v>
      </c>
      <c r="G81" s="652">
        <v>257.60000000000002</v>
      </c>
      <c r="H81" s="801">
        <v>2144221</v>
      </c>
      <c r="I81" s="674">
        <f t="shared" si="2"/>
        <v>1.2500162764231468E-2</v>
      </c>
      <c r="J81" s="669"/>
      <c r="K81" s="661"/>
      <c r="L81" s="662"/>
      <c r="N81" s="797">
        <v>44511</v>
      </c>
      <c r="O81" s="652">
        <v>12.14</v>
      </c>
      <c r="P81" s="652">
        <v>12.38</v>
      </c>
      <c r="Q81" s="652">
        <v>11.85</v>
      </c>
      <c r="R81" s="652">
        <v>11.87</v>
      </c>
      <c r="S81" s="801">
        <v>608821</v>
      </c>
      <c r="T81" s="674">
        <f t="shared" si="3"/>
        <v>-2.2491577009775599E-2</v>
      </c>
      <c r="U81" s="669"/>
      <c r="V81" s="661"/>
      <c r="W81" s="662"/>
      <c r="X81" s="51"/>
      <c r="Y81" s="51"/>
      <c r="AA81" s="670"/>
      <c r="AB81" s="671"/>
      <c r="AC81" s="671"/>
      <c r="AD81" s="671"/>
      <c r="AE81" s="672"/>
      <c r="AF81" s="673"/>
      <c r="AG81" s="674"/>
      <c r="AH81" s="669"/>
      <c r="AI81" s="661"/>
      <c r="AJ81" s="662"/>
    </row>
    <row r="82" spans="2:36" s="47" customFormat="1" ht="15" customHeight="1">
      <c r="B82" s="659">
        <v>73</v>
      </c>
      <c r="C82" s="797">
        <v>44509</v>
      </c>
      <c r="D82" s="652">
        <v>257</v>
      </c>
      <c r="E82" s="652">
        <v>260</v>
      </c>
      <c r="F82" s="652">
        <v>253.3</v>
      </c>
      <c r="G82" s="652">
        <v>254.4</v>
      </c>
      <c r="H82" s="801">
        <v>1481322</v>
      </c>
      <c r="I82" s="674">
        <f t="shared" si="2"/>
        <v>-1.0168253429252682E-2</v>
      </c>
      <c r="J82" s="669"/>
      <c r="K82" s="661"/>
      <c r="L82" s="662"/>
      <c r="N82" s="797">
        <v>44510</v>
      </c>
      <c r="O82" s="652">
        <v>12</v>
      </c>
      <c r="P82" s="652">
        <v>12.5</v>
      </c>
      <c r="Q82" s="652">
        <v>12</v>
      </c>
      <c r="R82" s="652">
        <v>12.14</v>
      </c>
      <c r="S82" s="801">
        <v>1044844</v>
      </c>
      <c r="T82" s="674">
        <f t="shared" si="3"/>
        <v>4.9545931246833949E-3</v>
      </c>
      <c r="U82" s="669"/>
      <c r="V82" s="661"/>
      <c r="W82" s="662"/>
      <c r="X82" s="51"/>
      <c r="Y82" s="51"/>
      <c r="AA82" s="670"/>
      <c r="AB82" s="671"/>
      <c r="AC82" s="671"/>
      <c r="AD82" s="671"/>
      <c r="AE82" s="672"/>
      <c r="AF82" s="673"/>
      <c r="AG82" s="674"/>
      <c r="AH82" s="669"/>
      <c r="AI82" s="661"/>
      <c r="AJ82" s="662"/>
    </row>
    <row r="83" spans="2:36" s="47" customFormat="1" ht="15" customHeight="1">
      <c r="B83" s="659">
        <v>74</v>
      </c>
      <c r="C83" s="797">
        <v>44508</v>
      </c>
      <c r="D83" s="652">
        <v>250</v>
      </c>
      <c r="E83" s="652">
        <v>257.64999999999998</v>
      </c>
      <c r="F83" s="652">
        <v>249.5</v>
      </c>
      <c r="G83" s="652">
        <v>257</v>
      </c>
      <c r="H83" s="801">
        <v>1305529</v>
      </c>
      <c r="I83" s="674">
        <f t="shared" si="2"/>
        <v>4.4354491037271411E-2</v>
      </c>
      <c r="J83" s="669"/>
      <c r="K83" s="661"/>
      <c r="L83" s="662"/>
      <c r="N83" s="797">
        <v>44509</v>
      </c>
      <c r="O83" s="652">
        <v>12</v>
      </c>
      <c r="P83" s="652">
        <v>12.18</v>
      </c>
      <c r="Q83" s="652">
        <v>11.85</v>
      </c>
      <c r="R83" s="652">
        <v>12.08</v>
      </c>
      <c r="S83" s="801">
        <v>861070</v>
      </c>
      <c r="T83" s="674">
        <f t="shared" si="3"/>
        <v>1.5853481803978373E-2</v>
      </c>
      <c r="U83" s="669"/>
      <c r="V83" s="661"/>
      <c r="W83" s="662"/>
      <c r="X83" s="51"/>
      <c r="Y83" s="51"/>
      <c r="AA83" s="670"/>
      <c r="AB83" s="671"/>
      <c r="AC83" s="671"/>
      <c r="AD83" s="671"/>
      <c r="AE83" s="672"/>
      <c r="AF83" s="673"/>
      <c r="AG83" s="674"/>
      <c r="AH83" s="669"/>
      <c r="AI83" s="661"/>
      <c r="AJ83" s="662"/>
    </row>
    <row r="84" spans="2:36" s="47" customFormat="1" ht="15" customHeight="1">
      <c r="B84" s="659">
        <v>75</v>
      </c>
      <c r="C84" s="797">
        <v>44505</v>
      </c>
      <c r="D84" s="652">
        <v>246</v>
      </c>
      <c r="E84" s="652">
        <v>249</v>
      </c>
      <c r="F84" s="652">
        <v>243.15</v>
      </c>
      <c r="G84" s="652">
        <v>245.85</v>
      </c>
      <c r="H84" s="801">
        <v>994873</v>
      </c>
      <c r="I84" s="674">
        <f t="shared" si="2"/>
        <v>3.4633833132213291E-3</v>
      </c>
      <c r="J84" s="669"/>
      <c r="K84" s="661"/>
      <c r="L84" s="662"/>
      <c r="N84" s="797">
        <v>44508</v>
      </c>
      <c r="O84" s="652">
        <v>11.66</v>
      </c>
      <c r="P84" s="652">
        <v>11.99</v>
      </c>
      <c r="Q84" s="652">
        <v>11.56</v>
      </c>
      <c r="R84" s="652">
        <v>11.89</v>
      </c>
      <c r="S84" s="801">
        <v>714396</v>
      </c>
      <c r="T84" s="674">
        <f t="shared" si="3"/>
        <v>4.1207546828706233E-2</v>
      </c>
      <c r="U84" s="669"/>
      <c r="V84" s="661"/>
      <c r="W84" s="662"/>
      <c r="X84" s="51"/>
      <c r="Y84" s="51"/>
      <c r="AA84" s="670"/>
      <c r="AB84" s="671"/>
      <c r="AC84" s="671"/>
      <c r="AD84" s="671"/>
      <c r="AE84" s="672"/>
      <c r="AF84" s="673"/>
      <c r="AG84" s="674"/>
      <c r="AH84" s="669"/>
      <c r="AI84" s="661"/>
      <c r="AJ84" s="662"/>
    </row>
    <row r="85" spans="2:36" s="47" customFormat="1" ht="15" customHeight="1">
      <c r="B85" s="659">
        <v>76</v>
      </c>
      <c r="C85" s="797">
        <v>44504</v>
      </c>
      <c r="D85" s="652">
        <v>250.9</v>
      </c>
      <c r="E85" s="652">
        <v>250.9</v>
      </c>
      <c r="F85" s="652">
        <v>240.55</v>
      </c>
      <c r="G85" s="652">
        <v>245</v>
      </c>
      <c r="H85" s="801">
        <v>2498184</v>
      </c>
      <c r="I85" s="674">
        <f t="shared" si="2"/>
        <v>-2.5787085611420037E-2</v>
      </c>
      <c r="J85" s="669"/>
      <c r="K85" s="661"/>
      <c r="L85" s="662"/>
      <c r="N85" s="797">
        <v>44505</v>
      </c>
      <c r="O85" s="652">
        <v>11.43</v>
      </c>
      <c r="P85" s="652">
        <v>11.58</v>
      </c>
      <c r="Q85" s="652">
        <v>11.24</v>
      </c>
      <c r="R85" s="652">
        <v>11.41</v>
      </c>
      <c r="S85" s="801">
        <v>398197</v>
      </c>
      <c r="T85" s="674">
        <f t="shared" si="3"/>
        <v>6.1538655743782859E-3</v>
      </c>
      <c r="U85" s="669"/>
      <c r="V85" s="661"/>
      <c r="W85" s="662"/>
      <c r="X85" s="51"/>
      <c r="Y85" s="51"/>
      <c r="AA85" s="670"/>
      <c r="AB85" s="671"/>
      <c r="AC85" s="671"/>
      <c r="AD85" s="671"/>
      <c r="AE85" s="672"/>
      <c r="AF85" s="673"/>
      <c r="AG85" s="674"/>
      <c r="AH85" s="669"/>
      <c r="AI85" s="661"/>
      <c r="AJ85" s="662"/>
    </row>
    <row r="86" spans="2:36" s="47" customFormat="1" ht="15" customHeight="1">
      <c r="B86" s="659">
        <v>77</v>
      </c>
      <c r="C86" s="797">
        <v>44503</v>
      </c>
      <c r="D86" s="652">
        <v>240</v>
      </c>
      <c r="E86" s="652">
        <v>252.5</v>
      </c>
      <c r="F86" s="652">
        <v>240</v>
      </c>
      <c r="G86" s="652">
        <v>251.4</v>
      </c>
      <c r="H86" s="801">
        <v>2275649</v>
      </c>
      <c r="I86" s="674">
        <f t="shared" si="2"/>
        <v>4.4117328010684242E-2</v>
      </c>
      <c r="J86" s="669"/>
      <c r="K86" s="661"/>
      <c r="L86" s="662"/>
      <c r="N86" s="797">
        <v>44504</v>
      </c>
      <c r="O86" s="652">
        <v>11.68</v>
      </c>
      <c r="P86" s="652">
        <v>11.74</v>
      </c>
      <c r="Q86" s="652">
        <v>11.16</v>
      </c>
      <c r="R86" s="652">
        <v>11.34</v>
      </c>
      <c r="S86" s="801">
        <v>1120852</v>
      </c>
      <c r="T86" s="674">
        <f t="shared" si="3"/>
        <v>-3.5516942290561938E-2</v>
      </c>
      <c r="U86" s="669"/>
      <c r="V86" s="661"/>
      <c r="W86" s="662"/>
      <c r="X86" s="51"/>
      <c r="Y86" s="51"/>
      <c r="AA86" s="670"/>
      <c r="AB86" s="671"/>
      <c r="AC86" s="671"/>
      <c r="AD86" s="671"/>
      <c r="AE86" s="672"/>
      <c r="AF86" s="673"/>
      <c r="AG86" s="674"/>
      <c r="AH86" s="669"/>
      <c r="AI86" s="661"/>
      <c r="AJ86" s="662"/>
    </row>
    <row r="87" spans="2:36" s="47" customFormat="1" ht="15" customHeight="1">
      <c r="B87" s="659">
        <v>78</v>
      </c>
      <c r="C87" s="797">
        <v>44502</v>
      </c>
      <c r="D87" s="652">
        <v>230.8</v>
      </c>
      <c r="E87" s="652">
        <v>242</v>
      </c>
      <c r="F87" s="652">
        <v>226.05</v>
      </c>
      <c r="G87" s="652">
        <v>240.55</v>
      </c>
      <c r="H87" s="801">
        <v>2105073</v>
      </c>
      <c r="I87" s="674">
        <f t="shared" si="2"/>
        <v>4.1159819192464961E-2</v>
      </c>
      <c r="J87" s="669"/>
      <c r="K87" s="661"/>
      <c r="L87" s="662"/>
      <c r="N87" s="797">
        <v>44503</v>
      </c>
      <c r="O87" s="652">
        <v>11.09</v>
      </c>
      <c r="P87" s="652">
        <v>11.82</v>
      </c>
      <c r="Q87" s="652">
        <v>11.09</v>
      </c>
      <c r="R87" s="652">
        <v>11.75</v>
      </c>
      <c r="S87" s="801">
        <v>1043759</v>
      </c>
      <c r="T87" s="674">
        <f t="shared" si="3"/>
        <v>5.3311006091029872E-2</v>
      </c>
      <c r="U87" s="669"/>
      <c r="V87" s="661"/>
      <c r="W87" s="662"/>
      <c r="X87" s="51"/>
      <c r="Y87" s="51"/>
      <c r="AA87" s="670"/>
      <c r="AB87" s="671"/>
      <c r="AC87" s="671"/>
      <c r="AD87" s="671"/>
      <c r="AE87" s="672"/>
      <c r="AF87" s="673"/>
      <c r="AG87" s="674"/>
      <c r="AH87" s="669"/>
      <c r="AI87" s="661"/>
      <c r="AJ87" s="662"/>
    </row>
    <row r="88" spans="2:36" s="47" customFormat="1" ht="15" customHeight="1">
      <c r="B88" s="659">
        <v>79</v>
      </c>
      <c r="C88" s="797">
        <v>44501</v>
      </c>
      <c r="D88" s="652">
        <v>218.5</v>
      </c>
      <c r="E88" s="652">
        <v>231.95</v>
      </c>
      <c r="F88" s="652">
        <v>218.5</v>
      </c>
      <c r="G88" s="652">
        <v>230.85</v>
      </c>
      <c r="H88" s="801">
        <v>1154938</v>
      </c>
      <c r="I88" s="674">
        <f t="shared" si="2"/>
        <v>4.7913355695897449E-2</v>
      </c>
      <c r="J88" s="669"/>
      <c r="K88" s="661"/>
      <c r="L88" s="662"/>
      <c r="N88" s="797">
        <v>44502</v>
      </c>
      <c r="O88" s="652">
        <v>10.73</v>
      </c>
      <c r="P88" s="652">
        <v>11.22</v>
      </c>
      <c r="Q88" s="652">
        <v>10.57</v>
      </c>
      <c r="R88" s="652">
        <v>11.14</v>
      </c>
      <c r="S88" s="801">
        <v>1288120</v>
      </c>
      <c r="T88" s="674">
        <f t="shared" si="3"/>
        <v>2.8222173486238671E-2</v>
      </c>
      <c r="U88" s="669"/>
      <c r="V88" s="661"/>
      <c r="W88" s="662"/>
      <c r="X88" s="51"/>
      <c r="Y88" s="51"/>
      <c r="AA88" s="670"/>
      <c r="AB88" s="671"/>
      <c r="AC88" s="671"/>
      <c r="AD88" s="671"/>
      <c r="AE88" s="672"/>
      <c r="AF88" s="673"/>
      <c r="AG88" s="674"/>
      <c r="AH88" s="669"/>
      <c r="AI88" s="661"/>
      <c r="AJ88" s="662"/>
    </row>
    <row r="89" spans="2:36" s="47" customFormat="1" ht="15" customHeight="1">
      <c r="B89" s="659">
        <v>80</v>
      </c>
      <c r="C89" s="797">
        <v>44498</v>
      </c>
      <c r="D89" s="652">
        <v>227.7</v>
      </c>
      <c r="E89" s="652">
        <v>227.7</v>
      </c>
      <c r="F89" s="652">
        <v>217.3</v>
      </c>
      <c r="G89" s="652">
        <v>220.05</v>
      </c>
      <c r="H89" s="801">
        <v>1793927</v>
      </c>
      <c r="I89" s="674">
        <f t="shared" si="2"/>
        <v>-3.8993466248542406E-2</v>
      </c>
      <c r="J89" s="669"/>
      <c r="K89" s="661"/>
      <c r="L89" s="662"/>
      <c r="N89" s="797">
        <v>44501</v>
      </c>
      <c r="O89" s="652">
        <v>10.67</v>
      </c>
      <c r="P89" s="652">
        <v>11.14</v>
      </c>
      <c r="Q89" s="652">
        <v>10.55</v>
      </c>
      <c r="R89" s="652">
        <v>10.83</v>
      </c>
      <c r="S89" s="801">
        <v>631636</v>
      </c>
      <c r="T89" s="674">
        <f t="shared" si="3"/>
        <v>1.8639868659042703E-2</v>
      </c>
      <c r="U89" s="669"/>
      <c r="V89" s="661"/>
      <c r="W89" s="662"/>
      <c r="X89" s="51"/>
      <c r="Y89" s="51"/>
      <c r="AA89" s="670"/>
      <c r="AB89" s="671"/>
      <c r="AC89" s="671"/>
      <c r="AD89" s="671"/>
      <c r="AE89" s="672"/>
      <c r="AF89" s="673"/>
      <c r="AG89" s="674"/>
      <c r="AH89" s="669"/>
      <c r="AI89" s="661"/>
      <c r="AJ89" s="662"/>
    </row>
    <row r="90" spans="2:36" s="47" customFormat="1" ht="15" customHeight="1">
      <c r="B90" s="659">
        <v>81</v>
      </c>
      <c r="C90" s="797">
        <v>44497</v>
      </c>
      <c r="D90" s="652">
        <v>222.3</v>
      </c>
      <c r="E90" s="652">
        <v>229.75</v>
      </c>
      <c r="F90" s="652">
        <v>218.9</v>
      </c>
      <c r="G90" s="652">
        <v>228.8</v>
      </c>
      <c r="H90" s="801">
        <v>1060851</v>
      </c>
      <c r="I90" s="674">
        <f t="shared" si="2"/>
        <v>2.2542391009559078E-2</v>
      </c>
      <c r="J90" s="669"/>
      <c r="K90" s="661"/>
      <c r="L90" s="662"/>
      <c r="N90" s="797">
        <v>44498</v>
      </c>
      <c r="O90" s="652">
        <v>11.15</v>
      </c>
      <c r="P90" s="652">
        <v>11.15</v>
      </c>
      <c r="Q90" s="652">
        <v>10.46</v>
      </c>
      <c r="R90" s="652">
        <v>10.63</v>
      </c>
      <c r="S90" s="801">
        <v>1162589</v>
      </c>
      <c r="T90" s="674">
        <f t="shared" si="3"/>
        <v>-4.7759305552271182E-2</v>
      </c>
      <c r="U90" s="669"/>
      <c r="V90" s="661"/>
      <c r="W90" s="662"/>
      <c r="X90" s="51"/>
      <c r="Y90" s="51"/>
      <c r="AA90" s="670"/>
      <c r="AB90" s="671"/>
      <c r="AC90" s="671"/>
      <c r="AD90" s="671"/>
      <c r="AE90" s="672"/>
      <c r="AF90" s="673"/>
      <c r="AG90" s="674"/>
      <c r="AH90" s="669"/>
      <c r="AI90" s="661"/>
      <c r="AJ90" s="662"/>
    </row>
    <row r="91" spans="2:36" s="47" customFormat="1" ht="15" customHeight="1">
      <c r="B91" s="659">
        <v>82</v>
      </c>
      <c r="C91" s="797">
        <v>44496</v>
      </c>
      <c r="D91" s="652">
        <v>233</v>
      </c>
      <c r="E91" s="652">
        <v>236.7</v>
      </c>
      <c r="F91" s="652">
        <v>223</v>
      </c>
      <c r="G91" s="652">
        <v>223.7</v>
      </c>
      <c r="H91" s="801">
        <v>1711833</v>
      </c>
      <c r="I91" s="674">
        <f t="shared" si="2"/>
        <v>-4.8854023168783269E-2</v>
      </c>
      <c r="J91" s="669"/>
      <c r="K91" s="661"/>
      <c r="L91" s="662"/>
      <c r="N91" s="797">
        <v>44497</v>
      </c>
      <c r="O91" s="652">
        <v>11.01</v>
      </c>
      <c r="P91" s="652">
        <v>11.19</v>
      </c>
      <c r="Q91" s="652">
        <v>10.8</v>
      </c>
      <c r="R91" s="652">
        <v>11.15</v>
      </c>
      <c r="S91" s="801">
        <v>592828</v>
      </c>
      <c r="T91" s="674">
        <f t="shared" si="3"/>
        <v>1.2635547171539136E-2</v>
      </c>
      <c r="U91" s="669"/>
      <c r="V91" s="661"/>
      <c r="W91" s="662"/>
      <c r="X91" s="51"/>
      <c r="Y91" s="51"/>
      <c r="AA91" s="670"/>
      <c r="AB91" s="671"/>
      <c r="AC91" s="671"/>
      <c r="AD91" s="671"/>
      <c r="AE91" s="672"/>
      <c r="AF91" s="673"/>
      <c r="AG91" s="674"/>
      <c r="AH91" s="669"/>
      <c r="AI91" s="661"/>
      <c r="AJ91" s="662"/>
    </row>
    <row r="92" spans="2:36" s="47" customFormat="1" ht="15" customHeight="1">
      <c r="B92" s="659">
        <v>83</v>
      </c>
      <c r="C92" s="797">
        <v>44495</v>
      </c>
      <c r="D92" s="652">
        <v>238</v>
      </c>
      <c r="E92" s="652">
        <v>241.8</v>
      </c>
      <c r="F92" s="652">
        <v>233</v>
      </c>
      <c r="G92" s="652">
        <v>234.9</v>
      </c>
      <c r="H92" s="801">
        <v>1386026</v>
      </c>
      <c r="I92" s="674">
        <f t="shared" si="2"/>
        <v>-1.0375953332459916E-2</v>
      </c>
      <c r="J92" s="669"/>
      <c r="K92" s="661"/>
      <c r="L92" s="662"/>
      <c r="N92" s="797">
        <v>44496</v>
      </c>
      <c r="O92" s="652">
        <v>11.6</v>
      </c>
      <c r="P92" s="652">
        <v>11.8</v>
      </c>
      <c r="Q92" s="652">
        <v>11.01</v>
      </c>
      <c r="R92" s="652">
        <v>11.01</v>
      </c>
      <c r="S92" s="801">
        <v>997721</v>
      </c>
      <c r="T92" s="674">
        <f t="shared" si="3"/>
        <v>-5.9929824749388412E-2</v>
      </c>
      <c r="U92" s="669"/>
      <c r="V92" s="661"/>
      <c r="W92" s="662"/>
      <c r="X92" s="51"/>
      <c r="Y92" s="51"/>
      <c r="AA92" s="670"/>
      <c r="AB92" s="671"/>
      <c r="AC92" s="671"/>
      <c r="AD92" s="671"/>
      <c r="AE92" s="672"/>
      <c r="AF92" s="673"/>
      <c r="AG92" s="674"/>
      <c r="AH92" s="669"/>
      <c r="AI92" s="661"/>
      <c r="AJ92" s="662"/>
    </row>
    <row r="93" spans="2:36" s="47" customFormat="1" ht="15" customHeight="1">
      <c r="B93" s="659">
        <v>84</v>
      </c>
      <c r="C93" s="797">
        <v>44494</v>
      </c>
      <c r="D93" s="652">
        <v>230</v>
      </c>
      <c r="E93" s="652">
        <v>237.7</v>
      </c>
      <c r="F93" s="652">
        <v>229</v>
      </c>
      <c r="G93" s="652">
        <v>237.35</v>
      </c>
      <c r="H93" s="801">
        <v>1465558</v>
      </c>
      <c r="I93" s="674">
        <f t="shared" si="2"/>
        <v>3.6250618038805964E-2</v>
      </c>
      <c r="J93" s="669"/>
      <c r="K93" s="661"/>
      <c r="L93" s="662"/>
      <c r="N93" s="797">
        <v>44495</v>
      </c>
      <c r="O93" s="652">
        <v>11.91</v>
      </c>
      <c r="P93" s="652">
        <v>12.15</v>
      </c>
      <c r="Q93" s="652">
        <v>11.68</v>
      </c>
      <c r="R93" s="652">
        <v>11.69</v>
      </c>
      <c r="S93" s="801">
        <v>804363</v>
      </c>
      <c r="T93" s="674">
        <f t="shared" si="3"/>
        <v>-1.7804624633506707E-2</v>
      </c>
      <c r="U93" s="669"/>
      <c r="V93" s="661"/>
      <c r="W93" s="662"/>
      <c r="X93" s="51"/>
      <c r="Y93" s="51"/>
      <c r="AA93" s="670"/>
      <c r="AB93" s="671"/>
      <c r="AC93" s="671"/>
      <c r="AD93" s="671"/>
      <c r="AE93" s="672"/>
      <c r="AF93" s="673"/>
      <c r="AG93" s="674"/>
      <c r="AH93" s="669"/>
      <c r="AI93" s="661"/>
      <c r="AJ93" s="662"/>
    </row>
    <row r="94" spans="2:36" s="47" customFormat="1" ht="15" customHeight="1">
      <c r="B94" s="659">
        <v>85</v>
      </c>
      <c r="C94" s="797">
        <v>44491</v>
      </c>
      <c r="D94" s="652">
        <v>226.2</v>
      </c>
      <c r="E94" s="652">
        <v>230.2</v>
      </c>
      <c r="F94" s="652">
        <v>222.5</v>
      </c>
      <c r="G94" s="652">
        <v>228.9</v>
      </c>
      <c r="H94" s="801">
        <v>1049944</v>
      </c>
      <c r="I94" s="674">
        <f t="shared" si="2"/>
        <v>1.1423674319029218E-2</v>
      </c>
      <c r="J94" s="669"/>
      <c r="K94" s="661"/>
      <c r="L94" s="662"/>
      <c r="N94" s="797">
        <v>44494</v>
      </c>
      <c r="O94" s="652">
        <v>11.48</v>
      </c>
      <c r="P94" s="652">
        <v>11.91</v>
      </c>
      <c r="Q94" s="652">
        <v>11.48</v>
      </c>
      <c r="R94" s="652">
        <v>11.9</v>
      </c>
      <c r="S94" s="801">
        <v>1066572</v>
      </c>
      <c r="T94" s="674">
        <f t="shared" si="3"/>
        <v>4.2048236243499404E-2</v>
      </c>
      <c r="U94" s="669"/>
      <c r="V94" s="661"/>
      <c r="W94" s="662"/>
      <c r="X94" s="51"/>
      <c r="Y94" s="51"/>
      <c r="AA94" s="670"/>
      <c r="AB94" s="671"/>
      <c r="AC94" s="671"/>
      <c r="AD94" s="671"/>
      <c r="AE94" s="672"/>
      <c r="AF94" s="673"/>
      <c r="AG94" s="674"/>
      <c r="AH94" s="669"/>
      <c r="AI94" s="661"/>
      <c r="AJ94" s="662"/>
    </row>
    <row r="95" spans="2:36" s="47" customFormat="1" ht="15" customHeight="1">
      <c r="B95" s="659">
        <v>86</v>
      </c>
      <c r="C95" s="797">
        <v>44490</v>
      </c>
      <c r="D95" s="652">
        <v>224</v>
      </c>
      <c r="E95" s="652">
        <v>228.5</v>
      </c>
      <c r="F95" s="652">
        <v>220.7</v>
      </c>
      <c r="G95" s="652">
        <v>226.3</v>
      </c>
      <c r="H95" s="801">
        <v>1555043</v>
      </c>
      <c r="I95" s="674">
        <f t="shared" si="2"/>
        <v>-5.947809141299349E-3</v>
      </c>
      <c r="J95" s="669"/>
      <c r="K95" s="661"/>
      <c r="L95" s="662"/>
      <c r="N95" s="797">
        <v>44491</v>
      </c>
      <c r="O95" s="652">
        <v>11.48</v>
      </c>
      <c r="P95" s="652">
        <v>11.48</v>
      </c>
      <c r="Q95" s="652">
        <v>11.14</v>
      </c>
      <c r="R95" s="652">
        <v>11.41</v>
      </c>
      <c r="S95" s="801">
        <v>431911</v>
      </c>
      <c r="T95" s="674">
        <f t="shared" si="3"/>
        <v>8.7680847353438615E-4</v>
      </c>
      <c r="U95" s="669"/>
      <c r="V95" s="661"/>
      <c r="W95" s="662"/>
      <c r="X95" s="51"/>
      <c r="Y95" s="51"/>
      <c r="AA95" s="670"/>
      <c r="AB95" s="671"/>
      <c r="AC95" s="671"/>
      <c r="AD95" s="671"/>
      <c r="AE95" s="672"/>
      <c r="AF95" s="673"/>
      <c r="AG95" s="674"/>
      <c r="AH95" s="669"/>
      <c r="AI95" s="661"/>
      <c r="AJ95" s="662"/>
    </row>
    <row r="96" spans="2:36" s="47" customFormat="1" ht="15" customHeight="1">
      <c r="B96" s="659">
        <v>87</v>
      </c>
      <c r="C96" s="797">
        <v>44489</v>
      </c>
      <c r="D96" s="652">
        <v>220</v>
      </c>
      <c r="E96" s="652">
        <v>228.2</v>
      </c>
      <c r="F96" s="652">
        <v>218</v>
      </c>
      <c r="G96" s="652">
        <v>227.65</v>
      </c>
      <c r="H96" s="801">
        <v>3175255</v>
      </c>
      <c r="I96" s="674">
        <f t="shared" si="2"/>
        <v>5.7869251559786943E-2</v>
      </c>
      <c r="J96" s="669"/>
      <c r="K96" s="661"/>
      <c r="L96" s="662"/>
      <c r="N96" s="797">
        <v>44490</v>
      </c>
      <c r="O96" s="652">
        <v>11.57</v>
      </c>
      <c r="P96" s="652">
        <v>11.69</v>
      </c>
      <c r="Q96" s="652">
        <v>11.1</v>
      </c>
      <c r="R96" s="652">
        <v>11.4</v>
      </c>
      <c r="S96" s="801">
        <v>826602</v>
      </c>
      <c r="T96" s="674">
        <f t="shared" si="3"/>
        <v>-2.6829822209176186E-2</v>
      </c>
      <c r="U96" s="669"/>
      <c r="V96" s="661"/>
      <c r="W96" s="662"/>
      <c r="X96" s="51"/>
      <c r="Y96" s="51"/>
      <c r="AA96" s="670"/>
      <c r="AB96" s="671"/>
      <c r="AC96" s="671"/>
      <c r="AD96" s="671"/>
      <c r="AE96" s="672"/>
      <c r="AF96" s="673"/>
      <c r="AG96" s="674"/>
      <c r="AH96" s="669"/>
      <c r="AI96" s="661"/>
      <c r="AJ96" s="662"/>
    </row>
    <row r="97" spans="2:36" s="47" customFormat="1" ht="15" customHeight="1">
      <c r="B97" s="659">
        <v>88</v>
      </c>
      <c r="C97" s="797">
        <v>44488</v>
      </c>
      <c r="D97" s="652">
        <v>211.7</v>
      </c>
      <c r="E97" s="652">
        <v>216.5</v>
      </c>
      <c r="F97" s="652">
        <v>210.1</v>
      </c>
      <c r="G97" s="652">
        <v>214.85</v>
      </c>
      <c r="H97" s="801">
        <v>1572094</v>
      </c>
      <c r="I97" s="674">
        <f t="shared" si="2"/>
        <v>1.4769932080184581E-2</v>
      </c>
      <c r="J97" s="669"/>
      <c r="K97" s="661"/>
      <c r="L97" s="662"/>
      <c r="N97" s="797">
        <v>44489</v>
      </c>
      <c r="O97" s="652">
        <v>10.84</v>
      </c>
      <c r="P97" s="652">
        <v>11.73</v>
      </c>
      <c r="Q97" s="652">
        <v>10.84</v>
      </c>
      <c r="R97" s="652">
        <v>11.71</v>
      </c>
      <c r="S97" s="801">
        <v>1277807</v>
      </c>
      <c r="T97" s="674">
        <f t="shared" si="3"/>
        <v>6.9847207292867169E-2</v>
      </c>
      <c r="U97" s="669"/>
      <c r="V97" s="661"/>
      <c r="W97" s="662"/>
      <c r="X97" s="51"/>
      <c r="Y97" s="51"/>
      <c r="AA97" s="670"/>
      <c r="AB97" s="671"/>
      <c r="AC97" s="671"/>
      <c r="AD97" s="671"/>
      <c r="AE97" s="672"/>
      <c r="AF97" s="673"/>
      <c r="AG97" s="674"/>
      <c r="AH97" s="669"/>
      <c r="AI97" s="661"/>
      <c r="AJ97" s="662"/>
    </row>
    <row r="98" spans="2:36" s="47" customFormat="1" ht="15" customHeight="1">
      <c r="B98" s="659">
        <v>89</v>
      </c>
      <c r="C98" s="797">
        <v>44487</v>
      </c>
      <c r="D98" s="652">
        <v>208.8</v>
      </c>
      <c r="E98" s="652">
        <v>213.9</v>
      </c>
      <c r="F98" s="652">
        <v>205</v>
      </c>
      <c r="G98" s="652">
        <v>211.7</v>
      </c>
      <c r="H98" s="801">
        <v>2145038</v>
      </c>
      <c r="I98" s="674">
        <f t="shared" si="2"/>
        <v>1.1879445950051531E-2</v>
      </c>
      <c r="J98" s="669"/>
      <c r="K98" s="661"/>
      <c r="L98" s="662"/>
      <c r="N98" s="797">
        <v>44488</v>
      </c>
      <c r="O98" s="652">
        <v>10.9</v>
      </c>
      <c r="P98" s="652">
        <v>11.02</v>
      </c>
      <c r="Q98" s="652">
        <v>10.68</v>
      </c>
      <c r="R98" s="652">
        <v>10.92</v>
      </c>
      <c r="S98" s="801">
        <v>460057</v>
      </c>
      <c r="T98" s="674">
        <f t="shared" si="3"/>
        <v>1.3831479148461799E-2</v>
      </c>
      <c r="U98" s="669"/>
      <c r="V98" s="661"/>
      <c r="W98" s="662"/>
      <c r="X98" s="51"/>
      <c r="Y98" s="51"/>
      <c r="AA98" s="670"/>
      <c r="AB98" s="671"/>
      <c r="AC98" s="671"/>
      <c r="AD98" s="671"/>
      <c r="AE98" s="672"/>
      <c r="AF98" s="673"/>
      <c r="AG98" s="674"/>
      <c r="AH98" s="669"/>
      <c r="AI98" s="661"/>
      <c r="AJ98" s="662"/>
    </row>
    <row r="99" spans="2:36" s="47" customFormat="1" ht="15" customHeight="1">
      <c r="B99" s="659">
        <v>90</v>
      </c>
      <c r="C99" s="797">
        <v>44484</v>
      </c>
      <c r="D99" s="652">
        <v>201.7</v>
      </c>
      <c r="E99" s="652">
        <v>210.5</v>
      </c>
      <c r="F99" s="652">
        <v>200.55</v>
      </c>
      <c r="G99" s="652">
        <v>209.2</v>
      </c>
      <c r="H99" s="801">
        <v>3098357</v>
      </c>
      <c r="I99" s="674">
        <f t="shared" si="2"/>
        <v>4.9483521120617269E-2</v>
      </c>
      <c r="J99" s="669"/>
      <c r="K99" s="661"/>
      <c r="L99" s="662"/>
      <c r="N99" s="797">
        <v>44487</v>
      </c>
      <c r="O99" s="652">
        <v>10.85</v>
      </c>
      <c r="P99" s="652">
        <v>10.92</v>
      </c>
      <c r="Q99" s="652">
        <v>10.53</v>
      </c>
      <c r="R99" s="652">
        <v>10.77</v>
      </c>
      <c r="S99" s="801">
        <v>705048</v>
      </c>
      <c r="T99" s="674">
        <f t="shared" si="3"/>
        <v>2.7894020875785922E-3</v>
      </c>
      <c r="U99" s="669"/>
      <c r="V99" s="661"/>
      <c r="W99" s="662"/>
      <c r="X99" s="51"/>
      <c r="Y99" s="51"/>
      <c r="AA99" s="670"/>
      <c r="AB99" s="671"/>
      <c r="AC99" s="671"/>
      <c r="AD99" s="671"/>
      <c r="AE99" s="672"/>
      <c r="AF99" s="673"/>
      <c r="AG99" s="674"/>
      <c r="AH99" s="669"/>
      <c r="AI99" s="661"/>
      <c r="AJ99" s="662"/>
    </row>
    <row r="100" spans="2:36" s="47" customFormat="1" ht="15" customHeight="1">
      <c r="B100" s="659">
        <v>91</v>
      </c>
      <c r="C100" s="797">
        <v>44483</v>
      </c>
      <c r="D100" s="652">
        <v>197.1</v>
      </c>
      <c r="E100" s="652">
        <v>199.7</v>
      </c>
      <c r="F100" s="652">
        <v>196.2</v>
      </c>
      <c r="G100" s="652">
        <v>199.1</v>
      </c>
      <c r="H100" s="801">
        <v>1961068</v>
      </c>
      <c r="I100" s="674">
        <f t="shared" si="2"/>
        <v>1.1365193680404046E-2</v>
      </c>
      <c r="J100" s="669"/>
      <c r="K100" s="661"/>
      <c r="L100" s="662"/>
      <c r="N100" s="797">
        <v>44484</v>
      </c>
      <c r="O100" s="652">
        <v>10.44</v>
      </c>
      <c r="P100" s="652">
        <v>10.83</v>
      </c>
      <c r="Q100" s="652">
        <v>10.41</v>
      </c>
      <c r="R100" s="652">
        <v>10.74</v>
      </c>
      <c r="S100" s="801">
        <v>791917</v>
      </c>
      <c r="T100" s="674">
        <f t="shared" si="3"/>
        <v>3.9891329027302025E-2</v>
      </c>
      <c r="U100" s="669"/>
      <c r="V100" s="661"/>
      <c r="W100" s="662"/>
      <c r="X100" s="51"/>
      <c r="Y100" s="51"/>
      <c r="AA100" s="670"/>
      <c r="AB100" s="671"/>
      <c r="AC100" s="671"/>
      <c r="AD100" s="671"/>
      <c r="AE100" s="672"/>
      <c r="AF100" s="673"/>
      <c r="AG100" s="674"/>
      <c r="AH100" s="669"/>
      <c r="AI100" s="661"/>
      <c r="AJ100" s="662"/>
    </row>
    <row r="101" spans="2:36" s="47" customFormat="1" ht="15" customHeight="1">
      <c r="B101" s="659">
        <v>92</v>
      </c>
      <c r="C101" s="797">
        <v>44482</v>
      </c>
      <c r="D101" s="652">
        <v>196.75</v>
      </c>
      <c r="E101" s="652">
        <v>198</v>
      </c>
      <c r="F101" s="652">
        <v>195</v>
      </c>
      <c r="G101" s="652">
        <v>196.85</v>
      </c>
      <c r="H101" s="801">
        <v>983898</v>
      </c>
      <c r="I101" s="674">
        <f t="shared" si="2"/>
        <v>-1.0154862512662432E-3</v>
      </c>
      <c r="J101" s="669"/>
      <c r="K101" s="661"/>
      <c r="L101" s="662"/>
      <c r="N101" s="797">
        <v>44483</v>
      </c>
      <c r="O101" s="652">
        <v>10.34</v>
      </c>
      <c r="P101" s="652">
        <v>10.49</v>
      </c>
      <c r="Q101" s="652">
        <v>10.17</v>
      </c>
      <c r="R101" s="652">
        <v>10.32</v>
      </c>
      <c r="S101" s="801">
        <v>642038</v>
      </c>
      <c r="T101" s="674">
        <f t="shared" si="3"/>
        <v>4.8567361129499744E-3</v>
      </c>
      <c r="U101" s="669"/>
      <c r="V101" s="661"/>
      <c r="W101" s="662"/>
      <c r="X101" s="51"/>
      <c r="Y101" s="51"/>
      <c r="AA101" s="670"/>
      <c r="AB101" s="671"/>
      <c r="AC101" s="671"/>
      <c r="AD101" s="671"/>
      <c r="AE101" s="672"/>
      <c r="AF101" s="673"/>
      <c r="AG101" s="674"/>
      <c r="AH101" s="669"/>
      <c r="AI101" s="661"/>
      <c r="AJ101" s="662"/>
    </row>
    <row r="102" spans="2:36" s="47" customFormat="1" ht="15" customHeight="1">
      <c r="B102" s="659">
        <v>93</v>
      </c>
      <c r="C102" s="797">
        <v>44481</v>
      </c>
      <c r="D102" s="652">
        <v>199.55</v>
      </c>
      <c r="E102" s="652">
        <v>201</v>
      </c>
      <c r="F102" s="652">
        <v>196.5</v>
      </c>
      <c r="G102" s="652">
        <v>197.05</v>
      </c>
      <c r="H102" s="801">
        <v>885034</v>
      </c>
      <c r="I102" s="674">
        <f t="shared" si="2"/>
        <v>3.3041077206471081E-3</v>
      </c>
      <c r="J102" s="669"/>
      <c r="K102" s="661"/>
      <c r="L102" s="662"/>
      <c r="N102" s="797">
        <v>44482</v>
      </c>
      <c r="O102" s="652">
        <v>10.34</v>
      </c>
      <c r="P102" s="652">
        <v>10.4</v>
      </c>
      <c r="Q102" s="652">
        <v>10.24</v>
      </c>
      <c r="R102" s="652">
        <v>10.27</v>
      </c>
      <c r="S102" s="801">
        <v>462034</v>
      </c>
      <c r="T102" s="674">
        <f t="shared" si="3"/>
        <v>-7.7594957709111855E-3</v>
      </c>
      <c r="U102" s="669"/>
      <c r="V102" s="661"/>
      <c r="W102" s="662"/>
      <c r="X102" s="51"/>
      <c r="Y102" s="51"/>
      <c r="AA102" s="670"/>
      <c r="AB102" s="671"/>
      <c r="AC102" s="671"/>
      <c r="AD102" s="671"/>
      <c r="AE102" s="672"/>
      <c r="AF102" s="673"/>
      <c r="AG102" s="674"/>
      <c r="AH102" s="669"/>
      <c r="AI102" s="661"/>
      <c r="AJ102" s="662"/>
    </row>
    <row r="103" spans="2:36" s="47" customFormat="1" ht="15" customHeight="1">
      <c r="B103" s="659">
        <v>94</v>
      </c>
      <c r="C103" s="797">
        <v>44476</v>
      </c>
      <c r="D103" s="652">
        <v>199.95</v>
      </c>
      <c r="E103" s="652">
        <v>199.95</v>
      </c>
      <c r="F103" s="652">
        <v>195</v>
      </c>
      <c r="G103" s="652">
        <v>196.4</v>
      </c>
      <c r="H103" s="801">
        <v>652545</v>
      </c>
      <c r="I103" s="674">
        <f t="shared" si="2"/>
        <v>-1.7804913771470156E-3</v>
      </c>
      <c r="J103" s="669"/>
      <c r="K103" s="661"/>
      <c r="L103" s="662"/>
      <c r="N103" s="797">
        <v>44481</v>
      </c>
      <c r="O103" s="652">
        <v>10.42</v>
      </c>
      <c r="P103" s="652">
        <v>10.57</v>
      </c>
      <c r="Q103" s="652">
        <v>10.29</v>
      </c>
      <c r="R103" s="652">
        <v>10.35</v>
      </c>
      <c r="S103" s="801">
        <v>415660</v>
      </c>
      <c r="T103" s="674">
        <f t="shared" si="3"/>
        <v>3.8722216825094846E-3</v>
      </c>
      <c r="U103" s="669"/>
      <c r="V103" s="661"/>
      <c r="W103" s="662"/>
      <c r="X103" s="51"/>
      <c r="Y103" s="51"/>
      <c r="AA103" s="670"/>
      <c r="AB103" s="671"/>
      <c r="AC103" s="671"/>
      <c r="AD103" s="671"/>
      <c r="AE103" s="672"/>
      <c r="AF103" s="673"/>
      <c r="AG103" s="674"/>
      <c r="AH103" s="669"/>
      <c r="AI103" s="661"/>
      <c r="AJ103" s="662"/>
    </row>
    <row r="104" spans="2:36" s="47" customFormat="1" ht="15" customHeight="1">
      <c r="B104" s="659">
        <v>95</v>
      </c>
      <c r="C104" s="797">
        <v>44475</v>
      </c>
      <c r="D104" s="652">
        <v>195</v>
      </c>
      <c r="E104" s="652">
        <v>196.95</v>
      </c>
      <c r="F104" s="652">
        <v>190.05</v>
      </c>
      <c r="G104" s="652">
        <v>196.75</v>
      </c>
      <c r="H104" s="801">
        <v>571928</v>
      </c>
      <c r="I104" s="674">
        <f t="shared" si="2"/>
        <v>5.3510128954820822E-3</v>
      </c>
      <c r="J104" s="669"/>
      <c r="K104" s="661"/>
      <c r="L104" s="662"/>
      <c r="N104" s="797">
        <v>44480</v>
      </c>
      <c r="O104" s="652">
        <v>10.19</v>
      </c>
      <c r="P104" s="652">
        <v>10.6</v>
      </c>
      <c r="Q104" s="652">
        <v>10.1</v>
      </c>
      <c r="R104" s="652">
        <v>10.31</v>
      </c>
      <c r="S104" s="801">
        <v>489020</v>
      </c>
      <c r="T104" s="674">
        <f t="shared" si="3"/>
        <v>5.8365924444513774E-3</v>
      </c>
      <c r="U104" s="669"/>
      <c r="V104" s="661"/>
      <c r="W104" s="662"/>
      <c r="X104" s="51"/>
      <c r="Y104" s="51"/>
      <c r="AA104" s="670"/>
      <c r="AB104" s="671"/>
      <c r="AC104" s="671"/>
      <c r="AD104" s="671"/>
      <c r="AE104" s="672"/>
      <c r="AF104" s="673"/>
      <c r="AG104" s="674"/>
      <c r="AH104" s="669"/>
      <c r="AI104" s="661"/>
      <c r="AJ104" s="662"/>
    </row>
    <row r="105" spans="2:36" s="47" customFormat="1" ht="15" customHeight="1">
      <c r="B105" s="659">
        <v>96</v>
      </c>
      <c r="C105" s="797">
        <v>44474</v>
      </c>
      <c r="D105" s="652">
        <v>198.8</v>
      </c>
      <c r="E105" s="652">
        <v>199.2</v>
      </c>
      <c r="F105" s="652">
        <v>195</v>
      </c>
      <c r="G105" s="652">
        <v>195.7</v>
      </c>
      <c r="H105" s="801">
        <v>923346</v>
      </c>
      <c r="I105" s="674">
        <f t="shared" si="2"/>
        <v>-4.8426244757881261E-3</v>
      </c>
      <c r="J105" s="669"/>
      <c r="K105" s="661"/>
      <c r="L105" s="662"/>
      <c r="N105" s="797">
        <v>44477</v>
      </c>
      <c r="O105" s="652">
        <v>10.220000000000001</v>
      </c>
      <c r="P105" s="652">
        <v>10.55</v>
      </c>
      <c r="Q105" s="652">
        <v>10.14</v>
      </c>
      <c r="R105" s="652">
        <v>10.25</v>
      </c>
      <c r="S105" s="801">
        <v>437340</v>
      </c>
      <c r="T105" s="674">
        <f t="shared" si="3"/>
        <v>1.9531256208820701E-3</v>
      </c>
      <c r="U105" s="669"/>
      <c r="V105" s="661"/>
      <c r="W105" s="662"/>
      <c r="X105" s="51"/>
      <c r="Y105" s="51"/>
      <c r="AA105" s="670"/>
      <c r="AB105" s="671"/>
      <c r="AC105" s="671"/>
      <c r="AD105" s="671"/>
      <c r="AE105" s="672"/>
      <c r="AF105" s="673"/>
      <c r="AG105" s="674"/>
      <c r="AH105" s="669"/>
      <c r="AI105" s="661"/>
      <c r="AJ105" s="662"/>
    </row>
    <row r="106" spans="2:36" s="47" customFormat="1" ht="15" customHeight="1">
      <c r="B106" s="659">
        <v>97</v>
      </c>
      <c r="C106" s="797">
        <v>44473</v>
      </c>
      <c r="D106" s="652">
        <v>199</v>
      </c>
      <c r="E106" s="652">
        <v>199.5</v>
      </c>
      <c r="F106" s="652">
        <v>194.25</v>
      </c>
      <c r="G106" s="652">
        <v>196.65</v>
      </c>
      <c r="H106" s="801">
        <v>735161</v>
      </c>
      <c r="I106" s="674">
        <f t="shared" si="2"/>
        <v>-5.3252312987525693E-3</v>
      </c>
      <c r="J106" s="669"/>
      <c r="K106" s="661"/>
      <c r="L106" s="662"/>
      <c r="N106" s="797">
        <v>44476</v>
      </c>
      <c r="O106" s="652">
        <v>10.39</v>
      </c>
      <c r="P106" s="652">
        <v>10.48</v>
      </c>
      <c r="Q106" s="652">
        <v>10.220000000000001</v>
      </c>
      <c r="R106" s="652">
        <v>10.23</v>
      </c>
      <c r="S106" s="801">
        <v>727788</v>
      </c>
      <c r="T106" s="674">
        <f t="shared" si="3"/>
        <v>0</v>
      </c>
      <c r="U106" s="669"/>
      <c r="V106" s="661"/>
      <c r="W106" s="662"/>
      <c r="X106" s="51"/>
      <c r="Y106" s="51"/>
      <c r="AA106" s="670"/>
      <c r="AB106" s="671"/>
      <c r="AC106" s="671"/>
      <c r="AD106" s="671"/>
      <c r="AE106" s="672"/>
      <c r="AF106" s="673"/>
      <c r="AG106" s="674"/>
      <c r="AH106" s="669"/>
      <c r="AI106" s="661"/>
      <c r="AJ106" s="662"/>
    </row>
    <row r="107" spans="2:36" s="47" customFormat="1" ht="15" customHeight="1">
      <c r="B107" s="659">
        <v>98</v>
      </c>
      <c r="C107" s="797">
        <v>44470</v>
      </c>
      <c r="D107" s="652">
        <v>191.05</v>
      </c>
      <c r="E107" s="652">
        <v>198.3</v>
      </c>
      <c r="F107" s="652">
        <v>191.05</v>
      </c>
      <c r="G107" s="652">
        <v>197.7</v>
      </c>
      <c r="H107" s="801">
        <v>1074321</v>
      </c>
      <c r="I107" s="674">
        <f t="shared" si="2"/>
        <v>1.9666066059633041E-2</v>
      </c>
      <c r="J107" s="669"/>
      <c r="K107" s="661"/>
      <c r="L107" s="662"/>
      <c r="N107" s="797">
        <v>44475</v>
      </c>
      <c r="O107" s="652">
        <v>10.220000000000001</v>
      </c>
      <c r="P107" s="652">
        <v>10.3</v>
      </c>
      <c r="Q107" s="652">
        <v>9.9600000000000009</v>
      </c>
      <c r="R107" s="652">
        <v>10.23</v>
      </c>
      <c r="S107" s="801">
        <v>690910</v>
      </c>
      <c r="T107" s="674">
        <f t="shared" si="3"/>
        <v>-7.7897180653334784E-3</v>
      </c>
      <c r="U107" s="669"/>
      <c r="V107" s="661"/>
      <c r="W107" s="662"/>
      <c r="X107" s="51"/>
      <c r="Y107" s="51"/>
      <c r="AA107" s="670"/>
      <c r="AB107" s="671"/>
      <c r="AC107" s="671"/>
      <c r="AD107" s="671"/>
      <c r="AE107" s="672"/>
      <c r="AF107" s="673"/>
      <c r="AG107" s="674"/>
      <c r="AH107" s="669"/>
      <c r="AI107" s="661"/>
      <c r="AJ107" s="662"/>
    </row>
    <row r="108" spans="2:36" s="47" customFormat="1" ht="15" customHeight="1">
      <c r="B108" s="659">
        <v>99</v>
      </c>
      <c r="C108" s="797">
        <v>44469</v>
      </c>
      <c r="D108" s="652">
        <v>193</v>
      </c>
      <c r="E108" s="652">
        <v>197.3</v>
      </c>
      <c r="F108" s="652">
        <v>193</v>
      </c>
      <c r="G108" s="652">
        <v>193.85</v>
      </c>
      <c r="H108" s="801">
        <v>1641887</v>
      </c>
      <c r="I108" s="674">
        <f t="shared" si="2"/>
        <v>1.481123607030822E-2</v>
      </c>
      <c r="J108" s="669"/>
      <c r="K108" s="661"/>
      <c r="L108" s="662"/>
      <c r="N108" s="797">
        <v>44474</v>
      </c>
      <c r="O108" s="652">
        <v>10.210000000000001</v>
      </c>
      <c r="P108" s="652">
        <v>10.43</v>
      </c>
      <c r="Q108" s="652">
        <v>10.119999999999999</v>
      </c>
      <c r="R108" s="652">
        <v>10.31</v>
      </c>
      <c r="S108" s="801">
        <v>504100</v>
      </c>
      <c r="T108" s="674">
        <f t="shared" si="3"/>
        <v>1.5640592541072154E-2</v>
      </c>
      <c r="U108" s="669"/>
      <c r="V108" s="661"/>
      <c r="W108" s="662"/>
      <c r="X108" s="51"/>
      <c r="Y108" s="51"/>
      <c r="AA108" s="670"/>
      <c r="AB108" s="671"/>
      <c r="AC108" s="671"/>
      <c r="AD108" s="671"/>
      <c r="AE108" s="672"/>
      <c r="AF108" s="673"/>
      <c r="AG108" s="674"/>
      <c r="AH108" s="669"/>
      <c r="AI108" s="661"/>
      <c r="AJ108" s="662"/>
    </row>
    <row r="109" spans="2:36" s="47" customFormat="1" ht="15" customHeight="1" thickBot="1">
      <c r="B109" s="659">
        <v>100</v>
      </c>
      <c r="C109" s="798">
        <v>44468</v>
      </c>
      <c r="D109" s="799">
        <v>188.1</v>
      </c>
      <c r="E109" s="799">
        <v>193.25</v>
      </c>
      <c r="F109" s="799">
        <v>188.1</v>
      </c>
      <c r="G109" s="799">
        <v>191</v>
      </c>
      <c r="H109" s="802">
        <v>826292</v>
      </c>
      <c r="I109" s="674"/>
      <c r="J109" s="669"/>
      <c r="K109" s="661"/>
      <c r="L109" s="662"/>
      <c r="N109" s="798">
        <v>44473</v>
      </c>
      <c r="O109" s="799">
        <v>10.27</v>
      </c>
      <c r="P109" s="799">
        <v>10.43</v>
      </c>
      <c r="Q109" s="799">
        <v>10.07</v>
      </c>
      <c r="R109" s="799">
        <v>10.15</v>
      </c>
      <c r="S109" s="802">
        <v>391436</v>
      </c>
      <c r="T109" s="674"/>
      <c r="U109" s="669"/>
      <c r="V109" s="661"/>
      <c r="W109" s="662"/>
      <c r="X109" s="51"/>
      <c r="Y109" s="51"/>
      <c r="AA109" s="670"/>
      <c r="AB109" s="671"/>
      <c r="AC109" s="671"/>
      <c r="AD109" s="671"/>
      <c r="AE109" s="672"/>
      <c r="AF109" s="673"/>
      <c r="AG109" s="674"/>
      <c r="AH109" s="669"/>
      <c r="AI109" s="661"/>
      <c r="AJ109" s="662"/>
    </row>
    <row r="110" spans="2:36" ht="15" customHeight="1">
      <c r="M110" s="142"/>
      <c r="R110" s="51"/>
      <c r="S110" s="51"/>
      <c r="T110" s="51"/>
      <c r="U110" s="51"/>
      <c r="V110" s="51"/>
      <c r="W110" s="51"/>
      <c r="X110" s="51"/>
      <c r="Y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</row>
    <row r="111" spans="2:36" ht="15" customHeight="1">
      <c r="C111" s="142"/>
      <c r="D111" s="142"/>
      <c r="E111" s="142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</row>
    <row r="112" spans="2:36" ht="15" customHeight="1">
      <c r="C112" s="142"/>
      <c r="D112" s="142"/>
      <c r="E112" s="142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</row>
  </sheetData>
  <mergeCells count="1">
    <mergeCell ref="B5:C5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5">
    <tabColor rgb="FF0070C0"/>
  </sheetPr>
  <dimension ref="A1:Q286"/>
  <sheetViews>
    <sheetView workbookViewId="0">
      <selection activeCell="Q3" sqref="Q3"/>
    </sheetView>
    <sheetView topLeftCell="A253" workbookViewId="1">
      <selection activeCell="C283" sqref="C283"/>
    </sheetView>
    <sheetView workbookViewId="2"/>
  </sheetViews>
  <sheetFormatPr baseColWidth="10" defaultColWidth="11.44140625" defaultRowHeight="15" customHeight="1"/>
  <cols>
    <col min="1" max="1" width="3.44140625" style="39" customWidth="1"/>
    <col min="2" max="2" width="19.88671875" style="39" customWidth="1"/>
    <col min="3" max="3" width="9.5546875" style="39" customWidth="1"/>
    <col min="4" max="7" width="11.6640625" style="39" customWidth="1"/>
    <col min="8" max="8" width="10.5546875" style="39" customWidth="1"/>
    <col min="9" max="9" width="16.109375" style="39" customWidth="1"/>
    <col min="10" max="10" width="9.5546875" style="39" customWidth="1"/>
    <col min="11" max="12" width="11.6640625" style="39" customWidth="1"/>
    <col min="13" max="13" width="14.109375" style="39" bestFit="1" customWidth="1"/>
    <col min="14" max="14" width="11.6640625" style="39" customWidth="1"/>
    <col min="15" max="15" width="5.6640625" style="39" customWidth="1"/>
    <col min="16" max="17" width="11.6640625" style="39" customWidth="1"/>
    <col min="18" max="16384" width="11.44140625" style="39"/>
  </cols>
  <sheetData>
    <row r="1" spans="1:17" ht="15" customHeight="1">
      <c r="A1" s="38" t="s">
        <v>39</v>
      </c>
      <c r="P1" s="40"/>
      <c r="Q1" s="41" t="str">
        <f>+CONCATENATE("Datos | ", "Cotizaciones Merval")</f>
        <v>Datos | Cotizaciones Merval</v>
      </c>
    </row>
    <row r="2" spans="1:17" ht="15" customHeight="1">
      <c r="A2" s="41"/>
      <c r="Q2" s="42" t="str">
        <f>+CONCATENATE("Versión ", " | ", 2022)</f>
        <v>Versión  | 2022</v>
      </c>
    </row>
    <row r="3" spans="1:17" ht="15" customHeight="1">
      <c r="A3" s="93"/>
      <c r="B3" s="93"/>
      <c r="C3" s="93"/>
      <c r="D3" s="93"/>
      <c r="E3" s="93"/>
      <c r="F3" s="93"/>
      <c r="G3" s="93"/>
      <c r="H3" s="93"/>
      <c r="I3" s="93" t="s">
        <v>117</v>
      </c>
      <c r="J3" s="93"/>
      <c r="K3" s="93"/>
      <c r="L3" s="93"/>
      <c r="M3" s="93"/>
      <c r="N3" s="93"/>
      <c r="O3" s="93"/>
      <c r="P3" s="93"/>
      <c r="Q3" s="93"/>
    </row>
    <row r="5" spans="1:17" ht="15" customHeight="1">
      <c r="A5" s="94" t="s">
        <v>97</v>
      </c>
      <c r="B5" s="95" t="s">
        <v>168</v>
      </c>
      <c r="C5" s="96"/>
      <c r="D5" s="96"/>
      <c r="E5" s="96"/>
      <c r="F5" s="96"/>
      <c r="G5" s="96"/>
      <c r="H5" s="96"/>
      <c r="I5" s="96"/>
      <c r="J5" s="97"/>
      <c r="K5" s="96"/>
      <c r="L5" s="96"/>
      <c r="M5" s="98"/>
      <c r="N5" s="96"/>
      <c r="O5" s="96"/>
      <c r="P5" s="96"/>
      <c r="Q5" s="96"/>
    </row>
    <row r="7" spans="1:17" ht="15" customHeight="1" thickBot="1">
      <c r="B7" s="142" t="s">
        <v>339</v>
      </c>
      <c r="C7" s="142" t="s">
        <v>688</v>
      </c>
    </row>
    <row r="8" spans="1:17" ht="15" customHeight="1">
      <c r="B8" s="116"/>
      <c r="C8" s="116" t="s">
        <v>99</v>
      </c>
      <c r="D8" s="116"/>
      <c r="F8" s="142"/>
      <c r="G8" s="406"/>
      <c r="H8" s="406"/>
      <c r="I8" s="406"/>
      <c r="J8" s="557"/>
      <c r="K8" s="406"/>
      <c r="L8" s="406"/>
      <c r="M8" s="406"/>
      <c r="N8" s="142"/>
      <c r="O8" s="142"/>
      <c r="P8" s="142"/>
    </row>
    <row r="9" spans="1:17" ht="15" customHeight="1" thickBot="1">
      <c r="B9" s="117" t="s">
        <v>94</v>
      </c>
      <c r="C9" s="117" t="s">
        <v>40</v>
      </c>
      <c r="D9" s="117" t="s">
        <v>169</v>
      </c>
      <c r="F9" s="142"/>
      <c r="G9" s="407" t="s">
        <v>231</v>
      </c>
      <c r="H9" s="407" t="s">
        <v>232</v>
      </c>
      <c r="I9" s="407" t="s">
        <v>233</v>
      </c>
      <c r="J9" s="558" t="s">
        <v>320</v>
      </c>
      <c r="K9" s="407" t="s">
        <v>231</v>
      </c>
      <c r="L9" s="407" t="s">
        <v>232</v>
      </c>
      <c r="M9" s="407" t="s">
        <v>233</v>
      </c>
      <c r="N9" s="142">
        <v>4</v>
      </c>
      <c r="O9" s="142"/>
      <c r="P9" s="142">
        <v>2</v>
      </c>
    </row>
    <row r="10" spans="1:17" ht="15" customHeight="1">
      <c r="B10" s="48">
        <v>1</v>
      </c>
      <c r="C10" s="404"/>
      <c r="D10" s="404"/>
      <c r="F10" s="47">
        <v>1</v>
      </c>
      <c r="G10" s="145" t="s">
        <v>234</v>
      </c>
      <c r="H10" s="404"/>
      <c r="I10" s="410"/>
      <c r="J10" s="410"/>
      <c r="K10" s="145" t="s">
        <v>234</v>
      </c>
      <c r="L10" s="404">
        <f>+IF($N$9 = 1, VLOOKUP((4 * $P$9) - 3, users, 3, FALSE), VLOOKUP((4 * $P$9) - 2, users, 3, FALSE))</f>
        <v>0</v>
      </c>
      <c r="M10" s="410">
        <f>+IF($N$9 = 1, VLOOKUP((4 * $P$9) - 3, users, 4, FALSE), VLOOKUP((4 * $P$9) - 2, users, 4, FALSE))</f>
        <v>0</v>
      </c>
      <c r="N10" s="142"/>
      <c r="O10" s="142"/>
      <c r="P10" s="142"/>
    </row>
    <row r="11" spans="1:17" ht="15" customHeight="1">
      <c r="B11" s="48">
        <v>2</v>
      </c>
      <c r="C11" s="404"/>
      <c r="D11" s="404"/>
      <c r="F11" s="47">
        <v>2</v>
      </c>
      <c r="G11" s="145" t="s">
        <v>319</v>
      </c>
      <c r="H11" s="404"/>
      <c r="I11" s="410"/>
      <c r="J11" s="410"/>
      <c r="K11" s="145" t="s">
        <v>235</v>
      </c>
      <c r="L11" s="404">
        <f>+VLOOKUP((4 * $P$9) - 1, users, 3, FALSE)</f>
        <v>0</v>
      </c>
      <c r="M11" s="410">
        <f>+VLOOKUP((4 * $P$9) - 1, users, 4, FALSE)</f>
        <v>0</v>
      </c>
      <c r="N11" s="142"/>
      <c r="O11" s="142"/>
      <c r="P11" s="142"/>
    </row>
    <row r="12" spans="1:17" ht="15" customHeight="1">
      <c r="B12" s="48">
        <v>3</v>
      </c>
      <c r="C12" s="404"/>
      <c r="D12" s="404"/>
      <c r="F12" s="47">
        <v>3</v>
      </c>
      <c r="G12" s="145" t="s">
        <v>235</v>
      </c>
      <c r="H12" s="404"/>
      <c r="I12" s="410"/>
      <c r="J12" s="410"/>
      <c r="K12" s="145" t="s">
        <v>246</v>
      </c>
      <c r="L12" s="404">
        <f>+VLOOKUP((4 * $P$9) + 0, users, 3, FALSE)</f>
        <v>0</v>
      </c>
      <c r="M12" s="410"/>
      <c r="N12" s="142"/>
      <c r="O12" s="142"/>
      <c r="P12" s="142"/>
    </row>
    <row r="13" spans="1:17" ht="15" customHeight="1">
      <c r="B13" s="48">
        <v>4</v>
      </c>
      <c r="C13" s="404"/>
      <c r="D13" s="404"/>
      <c r="F13" s="47">
        <v>4</v>
      </c>
      <c r="G13" s="408" t="s">
        <v>246</v>
      </c>
      <c r="H13" s="1081"/>
      <c r="I13" s="1082"/>
      <c r="J13" s="1082"/>
      <c r="K13" s="145" t="s">
        <v>320</v>
      </c>
      <c r="L13" s="404">
        <f>+VLOOKUP((4 * $P$9) - 2, users, 5, FALSE)</f>
        <v>0</v>
      </c>
      <c r="M13" s="410"/>
      <c r="N13" s="142"/>
      <c r="O13" s="142"/>
      <c r="P13" s="142"/>
    </row>
    <row r="14" spans="1:17" ht="15" customHeight="1">
      <c r="B14" s="48">
        <v>5</v>
      </c>
      <c r="C14" s="404"/>
      <c r="D14" s="404"/>
      <c r="F14" s="47">
        <v>5</v>
      </c>
      <c r="G14" s="145" t="s">
        <v>234</v>
      </c>
      <c r="H14" s="404"/>
      <c r="I14" s="410"/>
      <c r="J14" s="410"/>
      <c r="K14" s="145"/>
      <c r="L14" s="404"/>
      <c r="M14" s="410"/>
      <c r="N14" s="142"/>
      <c r="O14" s="142"/>
      <c r="P14" s="142"/>
    </row>
    <row r="15" spans="1:17" ht="15" customHeight="1">
      <c r="B15" s="48">
        <v>6</v>
      </c>
      <c r="C15" s="404"/>
      <c r="D15" s="404"/>
      <c r="F15" s="47">
        <v>6</v>
      </c>
      <c r="G15" s="145" t="s">
        <v>319</v>
      </c>
      <c r="H15" s="45"/>
      <c r="I15" s="379"/>
      <c r="J15" s="379"/>
      <c r="K15" s="145"/>
      <c r="L15" s="404"/>
      <c r="M15" s="410"/>
      <c r="N15" s="142"/>
      <c r="O15" s="142"/>
      <c r="P15" s="142"/>
    </row>
    <row r="16" spans="1:17" ht="15" customHeight="1">
      <c r="F16" s="47">
        <v>7</v>
      </c>
      <c r="G16" s="145" t="s">
        <v>235</v>
      </c>
      <c r="H16" s="404"/>
      <c r="I16" s="410"/>
      <c r="J16" s="410"/>
      <c r="K16" s="142"/>
      <c r="L16" s="142"/>
      <c r="M16" s="142"/>
      <c r="N16" s="142"/>
      <c r="O16" s="142"/>
      <c r="P16" s="142"/>
    </row>
    <row r="17" spans="1:17" s="142" customFormat="1" ht="15" customHeight="1">
      <c r="B17" s="142" t="s">
        <v>219</v>
      </c>
      <c r="C17" s="39"/>
      <c r="F17" s="47">
        <v>8</v>
      </c>
      <c r="G17" s="408" t="s">
        <v>246</v>
      </c>
      <c r="H17" s="409"/>
      <c r="I17" s="1082"/>
      <c r="J17" s="1082"/>
    </row>
    <row r="18" spans="1:17" s="142" customFormat="1" ht="15" customHeight="1">
      <c r="B18" s="142" t="s">
        <v>220</v>
      </c>
      <c r="C18" s="39"/>
      <c r="F18" s="47">
        <v>9</v>
      </c>
      <c r="G18" s="602" t="s">
        <v>332</v>
      </c>
      <c r="H18" s="1079"/>
      <c r="I18" s="603"/>
      <c r="J18" s="603"/>
    </row>
    <row r="19" spans="1:17" s="142" customFormat="1" ht="15" customHeight="1">
      <c r="B19" s="142" t="s">
        <v>221</v>
      </c>
      <c r="C19" s="39"/>
      <c r="F19" s="47">
        <v>10</v>
      </c>
      <c r="G19" s="602" t="s">
        <v>247</v>
      </c>
      <c r="H19" s="1079">
        <f>+L12</f>
        <v>0</v>
      </c>
      <c r="I19" s="603"/>
      <c r="J19" s="603"/>
    </row>
    <row r="20" spans="1:17" s="142" customFormat="1" ht="15" customHeight="1">
      <c r="B20" s="142" t="s">
        <v>222</v>
      </c>
      <c r="C20" s="39"/>
      <c r="F20" s="47">
        <v>11</v>
      </c>
      <c r="G20" s="602" t="s">
        <v>333</v>
      </c>
      <c r="H20" s="1079">
        <f>+L13</f>
        <v>0</v>
      </c>
      <c r="I20" s="603"/>
      <c r="J20" s="603"/>
    </row>
    <row r="21" spans="1:17" s="142" customFormat="1" ht="15" customHeight="1">
      <c r="B21" s="142" t="s">
        <v>309</v>
      </c>
      <c r="C21" s="39"/>
      <c r="F21" s="47">
        <v>12</v>
      </c>
      <c r="G21" s="602" t="s">
        <v>334</v>
      </c>
      <c r="H21" s="1079">
        <f>+L10</f>
        <v>0</v>
      </c>
      <c r="I21" s="603"/>
      <c r="J21" s="603"/>
    </row>
    <row r="22" spans="1:17" s="142" customFormat="1" ht="15" customHeight="1">
      <c r="B22" s="107"/>
      <c r="C22" s="119" t="s">
        <v>170</v>
      </c>
      <c r="F22" s="47">
        <v>13</v>
      </c>
      <c r="G22" s="602" t="s">
        <v>335</v>
      </c>
      <c r="H22" s="1079">
        <f>+M10</f>
        <v>0</v>
      </c>
      <c r="I22" s="603"/>
      <c r="J22" s="603"/>
    </row>
    <row r="23" spans="1:17" s="142" customFormat="1" ht="15" customHeight="1">
      <c r="B23" s="104"/>
      <c r="C23" s="119" t="s">
        <v>171</v>
      </c>
      <c r="F23" s="47">
        <v>14</v>
      </c>
      <c r="G23" s="602"/>
      <c r="H23" s="603"/>
      <c r="I23" s="603"/>
      <c r="J23" s="603"/>
    </row>
    <row r="24" spans="1:17" ht="15" customHeight="1">
      <c r="B24" s="1080"/>
      <c r="C24" s="39" t="s">
        <v>700</v>
      </c>
      <c r="F24" s="142"/>
      <c r="G24" s="142"/>
      <c r="H24" s="604"/>
      <c r="I24" s="604"/>
      <c r="J24" s="604"/>
      <c r="K24" s="142"/>
      <c r="L24" s="142"/>
      <c r="M24" s="142"/>
    </row>
    <row r="25" spans="1:17" ht="15" customHeight="1">
      <c r="A25" s="94" t="s">
        <v>97</v>
      </c>
      <c r="B25" s="95" t="s">
        <v>98</v>
      </c>
      <c r="C25" s="96"/>
      <c r="D25" s="96"/>
      <c r="E25" s="96"/>
      <c r="F25" s="96"/>
      <c r="G25" s="96"/>
      <c r="H25" s="96"/>
      <c r="I25" s="96"/>
      <c r="J25" s="97"/>
      <c r="K25" s="96"/>
      <c r="L25" s="96"/>
      <c r="M25" s="98"/>
      <c r="N25" s="96"/>
      <c r="O25" s="96"/>
      <c r="P25" s="96"/>
      <c r="Q25" s="96"/>
    </row>
    <row r="26" spans="1:17" ht="15" customHeight="1">
      <c r="A26" s="94"/>
      <c r="B26" s="99"/>
      <c r="C26" s="91"/>
      <c r="D26" s="91"/>
      <c r="E26" s="91"/>
      <c r="F26" s="91"/>
      <c r="G26" s="91"/>
      <c r="H26" s="91"/>
      <c r="I26" s="91"/>
      <c r="J26" s="100"/>
      <c r="K26" s="91"/>
      <c r="L26" s="91"/>
      <c r="M26" s="101"/>
      <c r="N26" s="91"/>
      <c r="O26" s="91"/>
      <c r="P26" s="91"/>
      <c r="Q26" s="91"/>
    </row>
    <row r="27" spans="1:17" ht="15" customHeight="1" thickBot="1">
      <c r="B27" s="46"/>
      <c r="Q27" s="96"/>
    </row>
    <row r="28" spans="1:17" ht="15" customHeight="1">
      <c r="B28" s="69" t="s">
        <v>99</v>
      </c>
      <c r="C28" s="69" t="s">
        <v>100</v>
      </c>
      <c r="D28" s="69" t="s">
        <v>101</v>
      </c>
      <c r="E28" s="69" t="s">
        <v>99</v>
      </c>
      <c r="F28" s="69" t="s">
        <v>99</v>
      </c>
      <c r="G28" s="1065"/>
      <c r="H28" s="1065"/>
      <c r="I28" s="1065"/>
      <c r="K28" s="69"/>
      <c r="L28" s="69"/>
      <c r="M28" s="69"/>
      <c r="N28" s="69"/>
      <c r="P28" s="102" t="s">
        <v>102</v>
      </c>
      <c r="Q28" s="1066">
        <f>+Q30</f>
        <v>0.36</v>
      </c>
    </row>
    <row r="29" spans="1:17" ht="15" customHeight="1" thickBot="1">
      <c r="B29" s="71" t="s">
        <v>44</v>
      </c>
      <c r="C29" s="71" t="s">
        <v>103</v>
      </c>
      <c r="D29" s="71" t="s">
        <v>104</v>
      </c>
      <c r="E29" s="71" t="s">
        <v>33</v>
      </c>
      <c r="F29" s="71" t="s">
        <v>44</v>
      </c>
      <c r="G29" s="1068" t="s">
        <v>105</v>
      </c>
      <c r="H29" s="1068"/>
      <c r="I29" s="1068"/>
      <c r="K29" s="71" t="s">
        <v>106</v>
      </c>
      <c r="L29" s="71" t="s">
        <v>106</v>
      </c>
      <c r="M29" s="71" t="s">
        <v>6</v>
      </c>
      <c r="N29" s="71" t="s">
        <v>5</v>
      </c>
      <c r="P29" s="103" t="s">
        <v>107</v>
      </c>
      <c r="Q29" s="1067"/>
    </row>
    <row r="30" spans="1:17" ht="15" customHeight="1">
      <c r="B30" s="632" t="s">
        <v>360</v>
      </c>
      <c r="C30" s="633" t="str">
        <f>+IF(B30 = "", "",IFERROR(VALUE(REPLACE(VLOOKUP(B30,#REF!, 13, FALSE), 3, 1, ",")), ""))</f>
        <v/>
      </c>
      <c r="D30" s="634">
        <v>0</v>
      </c>
      <c r="E30" s="635" t="s">
        <v>361</v>
      </c>
      <c r="F30" s="632" t="str">
        <f>+B30</f>
        <v>AGRO</v>
      </c>
      <c r="G30" s="1069"/>
      <c r="H30" s="1069"/>
      <c r="I30" s="1069"/>
      <c r="K30" s="626" t="s">
        <v>347</v>
      </c>
      <c r="L30" s="626" t="s">
        <v>347</v>
      </c>
      <c r="M30" s="627">
        <v>43482</v>
      </c>
      <c r="N30" s="628">
        <f>+M30+6</f>
        <v>43488</v>
      </c>
      <c r="Q30" s="1070">
        <v>0.36</v>
      </c>
    </row>
    <row r="31" spans="1:17" ht="15" customHeight="1">
      <c r="B31" s="632" t="s">
        <v>362</v>
      </c>
      <c r="C31" s="633" t="str">
        <f>+IF(B31 = "", "",IFERROR(VALUE(REPLACE(VLOOKUP(B31,#REF!, 13, FALSE), 3, 1, ",")), ""))</f>
        <v/>
      </c>
      <c r="D31" s="634">
        <v>0</v>
      </c>
      <c r="E31" s="636" t="s">
        <v>363</v>
      </c>
      <c r="F31" s="632" t="str">
        <f t="shared" ref="F31:F94" si="0">+B31</f>
        <v>ALUA</v>
      </c>
      <c r="G31" s="1064" t="s">
        <v>364</v>
      </c>
      <c r="H31" s="1064"/>
      <c r="I31" s="1064"/>
      <c r="K31" s="629" t="s">
        <v>348</v>
      </c>
      <c r="L31" s="630" t="str">
        <f>+L30</f>
        <v>EN</v>
      </c>
      <c r="M31" s="630">
        <f>+M30</f>
        <v>43482</v>
      </c>
      <c r="N31" s="630">
        <f t="shared" ref="N31:N65" si="1">+M31+6</f>
        <v>43488</v>
      </c>
      <c r="Q31" s="1071"/>
    </row>
    <row r="32" spans="1:17" ht="15" customHeight="1">
      <c r="B32" s="632" t="s">
        <v>365</v>
      </c>
      <c r="C32" s="633"/>
      <c r="D32" s="634">
        <v>0</v>
      </c>
      <c r="E32" s="635" t="s">
        <v>366</v>
      </c>
      <c r="F32" s="632" t="str">
        <f t="shared" si="0"/>
        <v>APBR</v>
      </c>
      <c r="G32" s="1064" t="s">
        <v>367</v>
      </c>
      <c r="H32" s="1064"/>
      <c r="I32" s="1064"/>
      <c r="K32" s="629"/>
      <c r="L32" s="630" t="str">
        <f>+L30</f>
        <v>EN</v>
      </c>
      <c r="M32" s="630">
        <f>+M30</f>
        <v>43482</v>
      </c>
      <c r="N32" s="630">
        <f t="shared" si="1"/>
        <v>43488</v>
      </c>
    </row>
    <row r="33" spans="2:14" ht="15" customHeight="1">
      <c r="B33" s="632" t="s">
        <v>368</v>
      </c>
      <c r="C33" s="633"/>
      <c r="D33" s="634">
        <v>0</v>
      </c>
      <c r="E33" s="635" t="s">
        <v>368</v>
      </c>
      <c r="F33" s="632" t="str">
        <f t="shared" si="0"/>
        <v>BMA</v>
      </c>
      <c r="G33" s="1064" t="s">
        <v>369</v>
      </c>
      <c r="H33" s="1064"/>
      <c r="I33" s="1064"/>
      <c r="K33" s="626" t="s">
        <v>349</v>
      </c>
      <c r="L33" s="626" t="s">
        <v>349</v>
      </c>
      <c r="M33" s="631">
        <v>44610</v>
      </c>
      <c r="N33" s="630">
        <f>+M33+6</f>
        <v>44616</v>
      </c>
    </row>
    <row r="34" spans="2:14" ht="15" customHeight="1">
      <c r="B34" s="632" t="s">
        <v>370</v>
      </c>
      <c r="C34" s="633"/>
      <c r="D34" s="634">
        <v>0</v>
      </c>
      <c r="E34" s="635" t="s">
        <v>371</v>
      </c>
      <c r="F34" s="632" t="str">
        <f t="shared" si="0"/>
        <v>CARC</v>
      </c>
      <c r="G34" s="1064" t="s">
        <v>372</v>
      </c>
      <c r="H34" s="1064"/>
      <c r="I34" s="1064"/>
      <c r="K34" s="629" t="s">
        <v>350</v>
      </c>
      <c r="L34" s="630" t="str">
        <f>+L33</f>
        <v>FE</v>
      </c>
      <c r="M34" s="630">
        <f>+M33</f>
        <v>44610</v>
      </c>
      <c r="N34" s="630">
        <f t="shared" si="1"/>
        <v>44616</v>
      </c>
    </row>
    <row r="35" spans="2:14" ht="15" customHeight="1">
      <c r="B35" s="632" t="s">
        <v>373</v>
      </c>
      <c r="C35" s="633"/>
      <c r="D35" s="634">
        <v>0</v>
      </c>
      <c r="E35" s="635" t="s">
        <v>374</v>
      </c>
      <c r="F35" s="632" t="str">
        <f t="shared" si="0"/>
        <v>CECO2</v>
      </c>
      <c r="G35" s="1064"/>
      <c r="H35" s="1064"/>
      <c r="I35" s="1064"/>
      <c r="K35" s="629"/>
      <c r="L35" s="630" t="str">
        <f>+L33</f>
        <v>FE</v>
      </c>
      <c r="M35" s="630">
        <f>+M33</f>
        <v>44610</v>
      </c>
      <c r="N35" s="630">
        <f t="shared" si="1"/>
        <v>44616</v>
      </c>
    </row>
    <row r="36" spans="2:14" ht="15" customHeight="1">
      <c r="B36" s="632" t="s">
        <v>375</v>
      </c>
      <c r="C36" s="633"/>
      <c r="D36" s="634">
        <v>0</v>
      </c>
      <c r="E36" s="635" t="s">
        <v>376</v>
      </c>
      <c r="F36" s="632" t="str">
        <f t="shared" si="0"/>
        <v>CELU</v>
      </c>
      <c r="G36" s="1064"/>
      <c r="H36" s="1064"/>
      <c r="I36" s="1064"/>
      <c r="K36" s="626" t="s">
        <v>351</v>
      </c>
      <c r="L36" s="626" t="s">
        <v>351</v>
      </c>
      <c r="M36" s="631">
        <v>43910</v>
      </c>
      <c r="N36" s="630">
        <f t="shared" si="1"/>
        <v>43916</v>
      </c>
    </row>
    <row r="37" spans="2:14" ht="15" customHeight="1">
      <c r="B37" s="632" t="s">
        <v>377</v>
      </c>
      <c r="C37" s="633"/>
      <c r="D37" s="634">
        <v>0</v>
      </c>
      <c r="E37" s="635" t="s">
        <v>378</v>
      </c>
      <c r="F37" s="632" t="str">
        <f t="shared" si="0"/>
        <v>CEPU</v>
      </c>
      <c r="G37" s="1064"/>
      <c r="H37" s="1064"/>
      <c r="I37" s="1064"/>
      <c r="K37" s="629"/>
      <c r="L37" s="630" t="str">
        <f>+L36</f>
        <v>MA</v>
      </c>
      <c r="M37" s="630">
        <f>+M36</f>
        <v>43910</v>
      </c>
      <c r="N37" s="630">
        <f t="shared" si="1"/>
        <v>43916</v>
      </c>
    </row>
    <row r="38" spans="2:14" ht="15" customHeight="1">
      <c r="B38" s="632" t="s">
        <v>379</v>
      </c>
      <c r="C38" s="633"/>
      <c r="D38" s="634">
        <v>0</v>
      </c>
      <c r="E38" s="635" t="s">
        <v>380</v>
      </c>
      <c r="F38" s="632" t="str">
        <f t="shared" si="0"/>
        <v>COME</v>
      </c>
      <c r="G38" s="1064" t="s">
        <v>381</v>
      </c>
      <c r="H38" s="1064"/>
      <c r="I38" s="1064"/>
      <c r="K38" s="629"/>
      <c r="L38" s="630" t="str">
        <f>+L36</f>
        <v>MA</v>
      </c>
      <c r="M38" s="630">
        <f>+M36</f>
        <v>43910</v>
      </c>
      <c r="N38" s="630">
        <f t="shared" si="1"/>
        <v>43916</v>
      </c>
    </row>
    <row r="39" spans="2:14" ht="15" customHeight="1">
      <c r="B39" s="632" t="s">
        <v>382</v>
      </c>
      <c r="C39" s="633"/>
      <c r="D39" s="634">
        <v>0</v>
      </c>
      <c r="E39" s="635" t="s">
        <v>383</v>
      </c>
      <c r="F39" s="632" t="str">
        <f t="shared" si="0"/>
        <v>CRES</v>
      </c>
      <c r="G39" s="1064"/>
      <c r="H39" s="1064"/>
      <c r="I39" s="1064"/>
      <c r="K39" s="626" t="s">
        <v>352</v>
      </c>
      <c r="L39" s="626" t="s">
        <v>352</v>
      </c>
      <c r="M39" s="631">
        <v>44666</v>
      </c>
      <c r="N39" s="630">
        <f t="shared" si="1"/>
        <v>44672</v>
      </c>
    </row>
    <row r="40" spans="2:14" ht="15" customHeight="1">
      <c r="B40" s="632" t="s">
        <v>384</v>
      </c>
      <c r="C40" s="633"/>
      <c r="D40" s="634">
        <v>0</v>
      </c>
      <c r="E40" s="635" t="s">
        <v>385</v>
      </c>
      <c r="F40" s="632" t="str">
        <f t="shared" si="0"/>
        <v>CTIO</v>
      </c>
      <c r="G40" s="1064"/>
      <c r="H40" s="1064"/>
      <c r="I40" s="1064"/>
      <c r="K40" s="629" t="s">
        <v>78</v>
      </c>
      <c r="L40" s="630" t="str">
        <f>+L39</f>
        <v>AB</v>
      </c>
      <c r="M40" s="630">
        <f>+M39</f>
        <v>44666</v>
      </c>
      <c r="N40" s="630">
        <f t="shared" si="1"/>
        <v>44672</v>
      </c>
    </row>
    <row r="41" spans="2:14" ht="15" customHeight="1">
      <c r="B41" s="632" t="s">
        <v>386</v>
      </c>
      <c r="C41" s="633"/>
      <c r="D41" s="634">
        <v>0</v>
      </c>
      <c r="E41" s="635" t="s">
        <v>386</v>
      </c>
      <c r="F41" s="632" t="str">
        <f t="shared" si="0"/>
        <v>EDN</v>
      </c>
      <c r="G41" s="1064"/>
      <c r="H41" s="1064"/>
      <c r="I41" s="1064"/>
      <c r="K41" s="629"/>
      <c r="L41" s="630" t="str">
        <f>+L39</f>
        <v>AB</v>
      </c>
      <c r="M41" s="630">
        <f>+M39</f>
        <v>44666</v>
      </c>
      <c r="N41" s="630">
        <f>+M41+6</f>
        <v>44672</v>
      </c>
    </row>
    <row r="42" spans="2:14" ht="15" customHeight="1">
      <c r="B42" s="632" t="s">
        <v>387</v>
      </c>
      <c r="C42" s="633"/>
      <c r="D42" s="634">
        <v>0</v>
      </c>
      <c r="E42" s="635" t="s">
        <v>388</v>
      </c>
      <c r="F42" s="632" t="str">
        <f t="shared" si="0"/>
        <v>ERAR</v>
      </c>
      <c r="G42" s="1064"/>
      <c r="H42" s="1064"/>
      <c r="I42" s="1064"/>
      <c r="K42" s="626" t="s">
        <v>353</v>
      </c>
      <c r="L42" s="626" t="s">
        <v>353</v>
      </c>
      <c r="M42" s="631">
        <v>43238</v>
      </c>
      <c r="N42" s="630">
        <f t="shared" si="1"/>
        <v>43244</v>
      </c>
    </row>
    <row r="43" spans="2:14" ht="15" customHeight="1">
      <c r="B43" s="632" t="s">
        <v>389</v>
      </c>
      <c r="C43" s="633"/>
      <c r="D43" s="634">
        <v>0</v>
      </c>
      <c r="E43" s="635" t="s">
        <v>390</v>
      </c>
      <c r="F43" s="632" t="str">
        <f t="shared" si="0"/>
        <v>FRAN</v>
      </c>
      <c r="G43" s="1064"/>
      <c r="H43" s="1064"/>
      <c r="I43" s="1064"/>
      <c r="K43" s="629"/>
      <c r="L43" s="630" t="str">
        <f>+L42</f>
        <v>MY</v>
      </c>
      <c r="M43" s="630">
        <f>+M42</f>
        <v>43238</v>
      </c>
      <c r="N43" s="630">
        <f t="shared" si="1"/>
        <v>43244</v>
      </c>
    </row>
    <row r="44" spans="2:14" ht="15" customHeight="1">
      <c r="B44" s="632" t="s">
        <v>3</v>
      </c>
      <c r="C44" s="633">
        <f>+'Datos Volat'!K10</f>
        <v>0.39129238424163981</v>
      </c>
      <c r="D44" s="634">
        <v>0</v>
      </c>
      <c r="E44" s="635" t="s">
        <v>391</v>
      </c>
      <c r="F44" s="632" t="str">
        <f t="shared" si="0"/>
        <v>GGAL</v>
      </c>
      <c r="G44" s="1064"/>
      <c r="H44" s="1064"/>
      <c r="I44" s="1064"/>
      <c r="K44" s="629"/>
      <c r="L44" s="630" t="str">
        <f>+L42</f>
        <v>MY</v>
      </c>
      <c r="M44" s="630">
        <f>+M42</f>
        <v>43238</v>
      </c>
      <c r="N44" s="630">
        <f t="shared" si="1"/>
        <v>43244</v>
      </c>
    </row>
    <row r="45" spans="2:14" ht="15" customHeight="1">
      <c r="B45" s="632" t="s">
        <v>392</v>
      </c>
      <c r="C45" s="633"/>
      <c r="D45" s="634">
        <v>0</v>
      </c>
      <c r="E45" s="635" t="s">
        <v>393</v>
      </c>
      <c r="F45" s="632" t="str">
        <f t="shared" si="0"/>
        <v>JMIN</v>
      </c>
      <c r="G45" s="1064"/>
      <c r="H45" s="1064"/>
      <c r="I45" s="1064"/>
      <c r="K45" s="626" t="s">
        <v>338</v>
      </c>
      <c r="L45" s="626" t="s">
        <v>338</v>
      </c>
      <c r="M45" s="631">
        <v>44365</v>
      </c>
      <c r="N45" s="630">
        <f t="shared" si="1"/>
        <v>44371</v>
      </c>
    </row>
    <row r="46" spans="2:14" ht="15" customHeight="1">
      <c r="B46" s="632" t="s">
        <v>394</v>
      </c>
      <c r="C46" s="633"/>
      <c r="D46" s="634">
        <v>0</v>
      </c>
      <c r="E46" s="635" t="s">
        <v>395</v>
      </c>
      <c r="F46" s="632" t="str">
        <f t="shared" si="0"/>
        <v>MIRG</v>
      </c>
      <c r="G46" s="1064"/>
      <c r="H46" s="1064"/>
      <c r="I46" s="1064"/>
      <c r="K46" s="629"/>
      <c r="L46" s="630" t="str">
        <f>+L45</f>
        <v>JU</v>
      </c>
      <c r="M46" s="630">
        <f>+M45</f>
        <v>44365</v>
      </c>
      <c r="N46" s="630">
        <f t="shared" si="1"/>
        <v>44371</v>
      </c>
    </row>
    <row r="47" spans="2:14" ht="15" customHeight="1">
      <c r="B47" s="632" t="s">
        <v>396</v>
      </c>
      <c r="C47" s="633"/>
      <c r="D47" s="634">
        <v>0</v>
      </c>
      <c r="E47" s="635" t="s">
        <v>397</v>
      </c>
      <c r="F47" s="632" t="str">
        <f t="shared" si="0"/>
        <v>PAMP</v>
      </c>
      <c r="G47" s="1064"/>
      <c r="H47" s="1064"/>
      <c r="I47" s="1064"/>
      <c r="K47" s="629"/>
      <c r="L47" s="630" t="str">
        <f>+L45</f>
        <v>JU</v>
      </c>
      <c r="M47" s="630">
        <f>+M45</f>
        <v>44365</v>
      </c>
      <c r="N47" s="630">
        <f t="shared" si="1"/>
        <v>44371</v>
      </c>
    </row>
    <row r="48" spans="2:14" ht="15" customHeight="1">
      <c r="B48" s="632" t="s">
        <v>398</v>
      </c>
      <c r="C48" s="633"/>
      <c r="D48" s="634">
        <v>0</v>
      </c>
      <c r="E48" s="635" t="s">
        <v>399</v>
      </c>
      <c r="F48" s="632" t="str">
        <f t="shared" si="0"/>
        <v>SAMI</v>
      </c>
      <c r="G48" s="1064"/>
      <c r="H48" s="1064"/>
      <c r="I48" s="1064"/>
      <c r="K48" s="626" t="s">
        <v>354</v>
      </c>
      <c r="L48" s="626" t="s">
        <v>354</v>
      </c>
      <c r="M48" s="631">
        <v>43666</v>
      </c>
      <c r="N48" s="630">
        <f t="shared" si="1"/>
        <v>43672</v>
      </c>
    </row>
    <row r="49" spans="2:14" ht="15" customHeight="1">
      <c r="B49" s="632" t="s">
        <v>400</v>
      </c>
      <c r="C49" s="633"/>
      <c r="D49" s="634">
        <v>0</v>
      </c>
      <c r="E49" s="635" t="s">
        <v>401</v>
      </c>
      <c r="F49" s="632" t="str">
        <f t="shared" si="0"/>
        <v>TECO2</v>
      </c>
      <c r="G49" s="1064"/>
      <c r="H49" s="1064"/>
      <c r="I49" s="1064"/>
      <c r="K49" s="629"/>
      <c r="L49" s="630" t="str">
        <f>+L48</f>
        <v>JL</v>
      </c>
      <c r="M49" s="630">
        <f>+M48</f>
        <v>43666</v>
      </c>
      <c r="N49" s="630">
        <f t="shared" si="1"/>
        <v>43672</v>
      </c>
    </row>
    <row r="50" spans="2:14" ht="15" customHeight="1">
      <c r="B50" s="632" t="s">
        <v>402</v>
      </c>
      <c r="C50" s="633"/>
      <c r="D50" s="634">
        <v>0</v>
      </c>
      <c r="E50" s="635" t="s">
        <v>403</v>
      </c>
      <c r="F50" s="632" t="str">
        <f t="shared" si="0"/>
        <v>TRAN</v>
      </c>
      <c r="G50" s="1064"/>
      <c r="H50" s="1064"/>
      <c r="I50" s="1064"/>
      <c r="K50" s="629"/>
      <c r="L50" s="630" t="str">
        <f>+L48</f>
        <v>JL</v>
      </c>
      <c r="M50" s="630">
        <f>+M48</f>
        <v>43666</v>
      </c>
      <c r="N50" s="630">
        <f t="shared" si="1"/>
        <v>43672</v>
      </c>
    </row>
    <row r="51" spans="2:14" ht="15" customHeight="1">
      <c r="B51" s="632" t="s">
        <v>404</v>
      </c>
      <c r="C51" s="633"/>
      <c r="D51" s="634">
        <v>0</v>
      </c>
      <c r="E51" s="635" t="s">
        <v>405</v>
      </c>
      <c r="F51" s="632" t="str">
        <f t="shared" si="0"/>
        <v>TS</v>
      </c>
      <c r="G51" s="1064"/>
      <c r="H51" s="1064"/>
      <c r="I51" s="1064"/>
      <c r="K51" s="626" t="s">
        <v>217</v>
      </c>
      <c r="L51" s="626" t="s">
        <v>217</v>
      </c>
      <c r="M51" s="631">
        <v>44428</v>
      </c>
      <c r="N51" s="630">
        <f t="shared" si="1"/>
        <v>44434</v>
      </c>
    </row>
    <row r="52" spans="2:14" ht="15" customHeight="1">
      <c r="B52" s="632" t="s">
        <v>406</v>
      </c>
      <c r="C52" s="633"/>
      <c r="D52" s="634">
        <v>0</v>
      </c>
      <c r="E52" s="635" t="s">
        <v>407</v>
      </c>
      <c r="F52" s="632" t="str">
        <f t="shared" si="0"/>
        <v>YPFD</v>
      </c>
      <c r="G52" s="1064"/>
      <c r="H52" s="1064"/>
      <c r="I52" s="1064"/>
      <c r="K52" s="629"/>
      <c r="L52" s="630" t="str">
        <f>+L51</f>
        <v>AG</v>
      </c>
      <c r="M52" s="630">
        <f>+M51</f>
        <v>44428</v>
      </c>
      <c r="N52" s="630">
        <f t="shared" si="1"/>
        <v>44434</v>
      </c>
    </row>
    <row r="53" spans="2:14" ht="15" customHeight="1">
      <c r="B53" s="632" t="s">
        <v>408</v>
      </c>
      <c r="C53" s="633"/>
      <c r="D53" s="634">
        <v>0</v>
      </c>
      <c r="E53" s="635"/>
      <c r="F53" s="632" t="str">
        <f t="shared" si="0"/>
        <v>Merval</v>
      </c>
      <c r="G53" s="1064"/>
      <c r="H53" s="1064"/>
      <c r="I53" s="1064"/>
      <c r="K53" s="629"/>
      <c r="L53" s="630" t="str">
        <f>+L51</f>
        <v>AG</v>
      </c>
      <c r="M53" s="630">
        <f>+M51</f>
        <v>44428</v>
      </c>
      <c r="N53" s="630">
        <f t="shared" si="1"/>
        <v>44434</v>
      </c>
    </row>
    <row r="54" spans="2:14" ht="15" customHeight="1">
      <c r="B54" s="632" t="s">
        <v>409</v>
      </c>
      <c r="C54" s="633"/>
      <c r="D54" s="634">
        <v>0</v>
      </c>
      <c r="E54" s="635" t="s">
        <v>410</v>
      </c>
      <c r="F54" s="632" t="str">
        <f t="shared" si="0"/>
        <v>CAPU</v>
      </c>
      <c r="G54" s="1064"/>
      <c r="H54" s="1064"/>
      <c r="I54" s="1064"/>
      <c r="K54" s="626" t="s">
        <v>355</v>
      </c>
      <c r="L54" s="626" t="s">
        <v>355</v>
      </c>
      <c r="M54" s="631">
        <v>43364</v>
      </c>
      <c r="N54" s="630">
        <f t="shared" si="1"/>
        <v>43370</v>
      </c>
    </row>
    <row r="55" spans="2:14" ht="15" customHeight="1">
      <c r="B55" s="632" t="s">
        <v>411</v>
      </c>
      <c r="C55" s="633"/>
      <c r="D55" s="634">
        <v>0</v>
      </c>
      <c r="E55" s="635"/>
      <c r="F55" s="632" t="str">
        <f t="shared" si="0"/>
        <v>PSUR</v>
      </c>
      <c r="G55" s="1064"/>
      <c r="H55" s="1064"/>
      <c r="I55" s="1064"/>
      <c r="K55" s="629"/>
      <c r="L55" s="630" t="str">
        <f>+L54</f>
        <v>SE</v>
      </c>
      <c r="M55" s="630">
        <f>+M54</f>
        <v>43364</v>
      </c>
      <c r="N55" s="630">
        <f t="shared" si="1"/>
        <v>43370</v>
      </c>
    </row>
    <row r="56" spans="2:14" ht="15" customHeight="1">
      <c r="B56" s="632" t="s">
        <v>412</v>
      </c>
      <c r="C56" s="633"/>
      <c r="D56" s="634">
        <v>0</v>
      </c>
      <c r="E56" s="635" t="s">
        <v>412</v>
      </c>
      <c r="F56" s="632" t="str">
        <f t="shared" si="0"/>
        <v>PGR</v>
      </c>
      <c r="G56" s="1064"/>
      <c r="H56" s="1064"/>
      <c r="I56" s="1064"/>
      <c r="K56" s="629"/>
      <c r="L56" s="630" t="str">
        <f>+L54</f>
        <v>SE</v>
      </c>
      <c r="M56" s="630">
        <f>+M54</f>
        <v>43364</v>
      </c>
      <c r="N56" s="630">
        <f t="shared" si="1"/>
        <v>43370</v>
      </c>
    </row>
    <row r="57" spans="2:14" ht="15" customHeight="1">
      <c r="B57" s="632" t="s">
        <v>413</v>
      </c>
      <c r="C57" s="633"/>
      <c r="D57" s="634">
        <v>0</v>
      </c>
      <c r="E57" s="635"/>
      <c r="F57" s="632" t="str">
        <f t="shared" si="0"/>
        <v>APBRA</v>
      </c>
      <c r="G57" s="1064"/>
      <c r="H57" s="1064"/>
      <c r="I57" s="1064"/>
      <c r="K57" s="626" t="s">
        <v>356</v>
      </c>
      <c r="L57" s="626" t="s">
        <v>356</v>
      </c>
      <c r="M57" s="631">
        <v>44484</v>
      </c>
      <c r="N57" s="630">
        <f t="shared" si="1"/>
        <v>44490</v>
      </c>
    </row>
    <row r="58" spans="2:14" ht="15" customHeight="1">
      <c r="B58" s="632" t="s">
        <v>414</v>
      </c>
      <c r="C58" s="633"/>
      <c r="D58" s="634">
        <v>0</v>
      </c>
      <c r="E58" s="635" t="s">
        <v>415</v>
      </c>
      <c r="F58" s="632" t="str">
        <f t="shared" si="0"/>
        <v>AUSO</v>
      </c>
      <c r="G58" s="1064"/>
      <c r="H58" s="1064"/>
      <c r="I58" s="1064"/>
      <c r="K58" s="629"/>
      <c r="L58" s="630" t="str">
        <f>+L57</f>
        <v>OC</v>
      </c>
      <c r="M58" s="630">
        <f>+M57</f>
        <v>44484</v>
      </c>
      <c r="N58" s="630">
        <f t="shared" si="1"/>
        <v>44490</v>
      </c>
    </row>
    <row r="59" spans="2:14" ht="15" customHeight="1">
      <c r="B59" s="632" t="s">
        <v>416</v>
      </c>
      <c r="C59" s="633"/>
      <c r="D59" s="634">
        <v>0</v>
      </c>
      <c r="E59" s="635" t="s">
        <v>417</v>
      </c>
      <c r="F59" s="632" t="str">
        <f t="shared" si="0"/>
        <v>BHIP</v>
      </c>
      <c r="G59" s="1064"/>
      <c r="H59" s="1064"/>
      <c r="I59" s="1064"/>
      <c r="K59" s="629"/>
      <c r="L59" s="630" t="str">
        <f>+L57</f>
        <v>OC</v>
      </c>
      <c r="M59" s="630">
        <f>+M57</f>
        <v>44484</v>
      </c>
      <c r="N59" s="630">
        <f t="shared" si="1"/>
        <v>44490</v>
      </c>
    </row>
    <row r="60" spans="2:14" ht="15" customHeight="1">
      <c r="B60" s="632" t="s">
        <v>418</v>
      </c>
      <c r="C60" s="633"/>
      <c r="D60" s="634">
        <v>0</v>
      </c>
      <c r="E60" s="635" t="s">
        <v>419</v>
      </c>
      <c r="F60" s="632" t="str">
        <f t="shared" si="0"/>
        <v>BOLT</v>
      </c>
      <c r="G60" s="1064"/>
      <c r="H60" s="1064"/>
      <c r="I60" s="1064"/>
      <c r="K60" s="626" t="s">
        <v>357</v>
      </c>
      <c r="L60" s="626" t="s">
        <v>357</v>
      </c>
      <c r="M60" s="631">
        <v>43420</v>
      </c>
      <c r="N60" s="630">
        <f t="shared" si="1"/>
        <v>43426</v>
      </c>
    </row>
    <row r="61" spans="2:14" ht="15" customHeight="1">
      <c r="B61" s="632" t="s">
        <v>420</v>
      </c>
      <c r="C61" s="633"/>
      <c r="D61" s="634">
        <v>0</v>
      </c>
      <c r="E61" s="635"/>
      <c r="F61" s="632" t="str">
        <f t="shared" si="0"/>
        <v>BPAT</v>
      </c>
      <c r="G61" s="1064"/>
      <c r="H61" s="1064"/>
      <c r="I61" s="1064"/>
      <c r="K61" s="629"/>
      <c r="L61" s="630" t="str">
        <f>+L60</f>
        <v>NO</v>
      </c>
      <c r="M61" s="630">
        <f>+M60</f>
        <v>43420</v>
      </c>
      <c r="N61" s="630">
        <f t="shared" si="1"/>
        <v>43426</v>
      </c>
    </row>
    <row r="62" spans="2:14" ht="15" customHeight="1">
      <c r="B62" s="632" t="s">
        <v>421</v>
      </c>
      <c r="C62" s="633"/>
      <c r="D62" s="634">
        <v>0</v>
      </c>
      <c r="E62" s="635" t="s">
        <v>422</v>
      </c>
      <c r="F62" s="632" t="str">
        <f t="shared" si="0"/>
        <v>BRIO</v>
      </c>
      <c r="G62" s="1064"/>
      <c r="H62" s="1064"/>
      <c r="I62" s="1064"/>
      <c r="K62" s="629"/>
      <c r="L62" s="630" t="str">
        <f>+L60</f>
        <v>NO</v>
      </c>
      <c r="M62" s="630">
        <f>+M60</f>
        <v>43420</v>
      </c>
      <c r="N62" s="630">
        <f t="shared" si="1"/>
        <v>43426</v>
      </c>
    </row>
    <row r="63" spans="2:14" ht="15" customHeight="1">
      <c r="B63" s="632" t="s">
        <v>423</v>
      </c>
      <c r="C63" s="633"/>
      <c r="D63" s="634">
        <v>0</v>
      </c>
      <c r="E63" s="635"/>
      <c r="F63" s="632" t="str">
        <f t="shared" si="0"/>
        <v>BRIO6</v>
      </c>
      <c r="G63" s="1064"/>
      <c r="H63" s="1064"/>
      <c r="I63" s="1064"/>
      <c r="K63" s="626" t="s">
        <v>358</v>
      </c>
      <c r="L63" s="626" t="s">
        <v>358</v>
      </c>
      <c r="M63" s="631">
        <v>44547</v>
      </c>
      <c r="N63" s="630">
        <f t="shared" si="1"/>
        <v>44553</v>
      </c>
    </row>
    <row r="64" spans="2:14" ht="15" customHeight="1">
      <c r="B64" s="632" t="s">
        <v>424</v>
      </c>
      <c r="C64" s="633"/>
      <c r="D64" s="634">
        <v>0</v>
      </c>
      <c r="E64" s="635" t="s">
        <v>425</v>
      </c>
      <c r="F64" s="632" t="str">
        <f t="shared" si="0"/>
        <v>CADO</v>
      </c>
      <c r="G64" s="1064"/>
      <c r="H64" s="1064"/>
      <c r="I64" s="1064"/>
      <c r="K64" s="629" t="s">
        <v>359</v>
      </c>
      <c r="L64" s="630" t="str">
        <f>+L63</f>
        <v>DI</v>
      </c>
      <c r="M64" s="630">
        <f>+M63</f>
        <v>44547</v>
      </c>
      <c r="N64" s="630">
        <f t="shared" si="1"/>
        <v>44553</v>
      </c>
    </row>
    <row r="65" spans="2:14" ht="15" customHeight="1">
      <c r="B65" s="632" t="s">
        <v>426</v>
      </c>
      <c r="C65" s="633"/>
      <c r="D65" s="634">
        <v>0</v>
      </c>
      <c r="E65" s="635"/>
      <c r="F65" s="632" t="str">
        <f t="shared" si="0"/>
        <v>CADO5</v>
      </c>
      <c r="G65" s="1064"/>
      <c r="H65" s="1064"/>
      <c r="I65" s="1064"/>
      <c r="K65" s="629"/>
      <c r="L65" s="630" t="str">
        <f>+L63</f>
        <v>DI</v>
      </c>
      <c r="M65" s="630">
        <f>+M63</f>
        <v>44547</v>
      </c>
      <c r="N65" s="630">
        <f t="shared" si="1"/>
        <v>44553</v>
      </c>
    </row>
    <row r="66" spans="2:14" ht="15" customHeight="1">
      <c r="B66" s="632" t="s">
        <v>427</v>
      </c>
      <c r="C66" s="633"/>
      <c r="D66" s="634">
        <v>0</v>
      </c>
      <c r="E66" s="635" t="s">
        <v>428</v>
      </c>
      <c r="F66" s="632" t="str">
        <f t="shared" si="0"/>
        <v>CAPX</v>
      </c>
      <c r="G66" s="1064"/>
      <c r="H66" s="1064"/>
      <c r="I66" s="1064"/>
      <c r="K66" s="142"/>
      <c r="L66" s="142"/>
      <c r="M66" s="142"/>
      <c r="N66" s="142"/>
    </row>
    <row r="67" spans="2:14" ht="15" customHeight="1">
      <c r="B67" s="632" t="s">
        <v>429</v>
      </c>
      <c r="C67" s="633"/>
      <c r="D67" s="634">
        <v>0</v>
      </c>
      <c r="E67" s="635" t="s">
        <v>430</v>
      </c>
      <c r="F67" s="632" t="str">
        <f t="shared" si="0"/>
        <v>CGPA2</v>
      </c>
      <c r="G67" s="1064"/>
      <c r="H67" s="1064"/>
      <c r="I67" s="1064"/>
    </row>
    <row r="68" spans="2:14" ht="15" customHeight="1">
      <c r="B68" s="632" t="s">
        <v>431</v>
      </c>
      <c r="C68" s="633"/>
      <c r="D68" s="634">
        <v>0</v>
      </c>
      <c r="E68" s="635"/>
      <c r="F68" s="632" t="str">
        <f t="shared" si="0"/>
        <v>COLO</v>
      </c>
      <c r="G68" s="1064"/>
      <c r="H68" s="1064"/>
      <c r="I68" s="1064"/>
    </row>
    <row r="69" spans="2:14" ht="15" customHeight="1">
      <c r="B69" s="632" t="s">
        <v>432</v>
      </c>
      <c r="C69" s="633"/>
      <c r="D69" s="634">
        <v>0</v>
      </c>
      <c r="E69" s="635"/>
      <c r="F69" s="632" t="str">
        <f t="shared" si="0"/>
        <v>COMO</v>
      </c>
      <c r="G69" s="1064"/>
      <c r="H69" s="1064"/>
      <c r="I69" s="1064"/>
    </row>
    <row r="70" spans="2:14" ht="15" customHeight="1">
      <c r="B70" s="632" t="s">
        <v>433</v>
      </c>
      <c r="C70" s="633"/>
      <c r="D70" s="634">
        <v>0</v>
      </c>
      <c r="E70" s="635"/>
      <c r="F70" s="632" t="str">
        <f t="shared" si="0"/>
        <v>COUR</v>
      </c>
      <c r="G70" s="1064"/>
      <c r="H70" s="1064"/>
      <c r="I70" s="1064"/>
    </row>
    <row r="71" spans="2:14" ht="15" customHeight="1">
      <c r="B71" s="632" t="s">
        <v>434</v>
      </c>
      <c r="C71" s="633"/>
      <c r="D71" s="634">
        <v>0</v>
      </c>
      <c r="E71" s="635" t="s">
        <v>435</v>
      </c>
      <c r="F71" s="632" t="str">
        <f t="shared" si="0"/>
        <v>DGCU2</v>
      </c>
      <c r="G71" s="1064"/>
      <c r="H71" s="1064"/>
      <c r="I71" s="1064"/>
    </row>
    <row r="72" spans="2:14" ht="15" customHeight="1">
      <c r="B72" s="632" t="s">
        <v>436</v>
      </c>
      <c r="C72" s="633"/>
      <c r="D72" s="634">
        <v>0</v>
      </c>
      <c r="E72" s="635"/>
      <c r="F72" s="632" t="str">
        <f t="shared" si="0"/>
        <v>DOME</v>
      </c>
      <c r="G72" s="1064"/>
      <c r="H72" s="1064"/>
      <c r="I72" s="1064"/>
    </row>
    <row r="73" spans="2:14" ht="15" customHeight="1">
      <c r="B73" s="632" t="s">
        <v>437</v>
      </c>
      <c r="C73" s="633"/>
      <c r="D73" s="634">
        <v>0</v>
      </c>
      <c r="E73" s="635" t="s">
        <v>438</v>
      </c>
      <c r="F73" s="632" t="str">
        <f t="shared" si="0"/>
        <v>DYCA</v>
      </c>
      <c r="G73" s="1064"/>
      <c r="H73" s="1064"/>
      <c r="I73" s="1064"/>
    </row>
    <row r="74" spans="2:14" ht="15" customHeight="1">
      <c r="B74" s="632" t="s">
        <v>439</v>
      </c>
      <c r="C74" s="633"/>
      <c r="D74" s="634">
        <v>0</v>
      </c>
      <c r="E74" s="635"/>
      <c r="F74" s="632" t="str">
        <f t="shared" si="0"/>
        <v>EDLH</v>
      </c>
      <c r="G74" s="1064"/>
      <c r="H74" s="1064"/>
      <c r="I74" s="1064"/>
    </row>
    <row r="75" spans="2:14" ht="15" customHeight="1">
      <c r="B75" s="632" t="s">
        <v>440</v>
      </c>
      <c r="C75" s="633"/>
      <c r="D75" s="634">
        <v>0</v>
      </c>
      <c r="E75" s="635"/>
      <c r="F75" s="632" t="str">
        <f t="shared" si="0"/>
        <v>EMDE</v>
      </c>
      <c r="G75" s="1064"/>
      <c r="H75" s="1064"/>
      <c r="I75" s="1064"/>
    </row>
    <row r="76" spans="2:14" ht="15" customHeight="1">
      <c r="B76" s="632" t="s">
        <v>441</v>
      </c>
      <c r="C76" s="633"/>
      <c r="D76" s="634">
        <v>0</v>
      </c>
      <c r="E76" s="635"/>
      <c r="F76" s="632" t="str">
        <f t="shared" si="0"/>
        <v>ESME</v>
      </c>
      <c r="G76" s="1064"/>
      <c r="H76" s="1064"/>
      <c r="I76" s="1064"/>
    </row>
    <row r="77" spans="2:14" ht="15" customHeight="1">
      <c r="B77" s="632" t="s">
        <v>442</v>
      </c>
      <c r="C77" s="633"/>
      <c r="D77" s="634">
        <v>0</v>
      </c>
      <c r="E77" s="635"/>
      <c r="F77" s="632" t="str">
        <f t="shared" si="0"/>
        <v>ESTR</v>
      </c>
      <c r="G77" s="1064"/>
      <c r="H77" s="1064"/>
      <c r="I77" s="1064"/>
    </row>
    <row r="78" spans="2:14" ht="15" customHeight="1">
      <c r="B78" s="632" t="s">
        <v>443</v>
      </c>
      <c r="C78" s="633"/>
      <c r="D78" s="634">
        <v>0</v>
      </c>
      <c r="E78" s="635"/>
      <c r="F78" s="632" t="str">
        <f t="shared" si="0"/>
        <v>EURO</v>
      </c>
      <c r="G78" s="1064"/>
      <c r="H78" s="1064"/>
      <c r="I78" s="1064"/>
    </row>
    <row r="79" spans="2:14" ht="15" customHeight="1">
      <c r="B79" s="632" t="s">
        <v>444</v>
      </c>
      <c r="C79" s="633"/>
      <c r="D79" s="634">
        <v>0</v>
      </c>
      <c r="E79" s="635"/>
      <c r="F79" s="632" t="str">
        <f t="shared" si="0"/>
        <v>FERR</v>
      </c>
      <c r="G79" s="1064"/>
      <c r="H79" s="1064"/>
      <c r="I79" s="1064"/>
    </row>
    <row r="80" spans="2:14" ht="15" customHeight="1">
      <c r="B80" s="632" t="s">
        <v>445</v>
      </c>
      <c r="C80" s="633"/>
      <c r="D80" s="634">
        <v>0</v>
      </c>
      <c r="E80" s="635" t="s">
        <v>446</v>
      </c>
      <c r="F80" s="632" t="str">
        <f t="shared" si="0"/>
        <v>FIPL</v>
      </c>
      <c r="G80" s="1064"/>
      <c r="H80" s="1064"/>
      <c r="I80" s="1064"/>
    </row>
    <row r="81" spans="2:9" ht="15" customHeight="1">
      <c r="B81" s="632" t="s">
        <v>447</v>
      </c>
      <c r="C81" s="633"/>
      <c r="D81" s="634">
        <v>0</v>
      </c>
      <c r="E81" s="635" t="s">
        <v>448</v>
      </c>
      <c r="F81" s="632" t="str">
        <f t="shared" si="0"/>
        <v>GARO</v>
      </c>
      <c r="G81" s="1064"/>
      <c r="H81" s="1064"/>
      <c r="I81" s="1064"/>
    </row>
    <row r="82" spans="2:9" ht="15" customHeight="1">
      <c r="B82" s="632" t="s">
        <v>449</v>
      </c>
      <c r="C82" s="633"/>
      <c r="D82" s="634">
        <v>0</v>
      </c>
      <c r="E82" s="635" t="s">
        <v>450</v>
      </c>
      <c r="F82" s="632" t="str">
        <f t="shared" si="0"/>
        <v>GBAN</v>
      </c>
      <c r="G82" s="1064"/>
      <c r="H82" s="1064"/>
      <c r="I82" s="1064"/>
    </row>
    <row r="83" spans="2:9" ht="15" customHeight="1">
      <c r="B83" s="632" t="s">
        <v>451</v>
      </c>
      <c r="C83" s="633"/>
      <c r="D83" s="634">
        <v>0</v>
      </c>
      <c r="E83" s="635"/>
      <c r="F83" s="632" t="str">
        <f t="shared" si="0"/>
        <v>GCLA</v>
      </c>
      <c r="G83" s="1064"/>
      <c r="H83" s="1064"/>
      <c r="I83" s="1064"/>
    </row>
    <row r="84" spans="2:9" ht="15" customHeight="1">
      <c r="B84" s="632" t="s">
        <v>452</v>
      </c>
      <c r="C84" s="633"/>
      <c r="D84" s="634">
        <v>0</v>
      </c>
      <c r="E84" s="635"/>
      <c r="F84" s="632" t="str">
        <f t="shared" si="0"/>
        <v>GRIM</v>
      </c>
      <c r="G84" s="1064"/>
      <c r="H84" s="1064"/>
      <c r="I84" s="1064"/>
    </row>
    <row r="85" spans="2:9" ht="15" customHeight="1">
      <c r="B85" s="632" t="s">
        <v>453</v>
      </c>
      <c r="C85" s="633"/>
      <c r="D85" s="634">
        <v>0</v>
      </c>
      <c r="E85" s="635"/>
      <c r="F85" s="632" t="str">
        <f t="shared" si="0"/>
        <v>HAVA</v>
      </c>
      <c r="G85" s="1064"/>
      <c r="H85" s="1064"/>
      <c r="I85" s="1064"/>
    </row>
    <row r="86" spans="2:9" ht="15" customHeight="1">
      <c r="B86" s="632" t="s">
        <v>454</v>
      </c>
      <c r="C86" s="633"/>
      <c r="D86" s="634">
        <v>0</v>
      </c>
      <c r="E86" s="635" t="s">
        <v>455</v>
      </c>
      <c r="F86" s="632" t="str">
        <f t="shared" si="0"/>
        <v>INDU</v>
      </c>
      <c r="G86" s="1064"/>
      <c r="H86" s="1064"/>
      <c r="I86" s="1064"/>
    </row>
    <row r="87" spans="2:9" ht="15" customHeight="1">
      <c r="B87" s="632" t="s">
        <v>456</v>
      </c>
      <c r="C87" s="633"/>
      <c r="D87" s="634">
        <v>0</v>
      </c>
      <c r="E87" s="635"/>
      <c r="F87" s="632" t="str">
        <f t="shared" si="0"/>
        <v>INTR</v>
      </c>
      <c r="G87" s="1064"/>
      <c r="H87" s="1064"/>
      <c r="I87" s="1064"/>
    </row>
    <row r="88" spans="2:9" ht="15" customHeight="1">
      <c r="B88" s="632" t="s">
        <v>457</v>
      </c>
      <c r="C88" s="633"/>
      <c r="D88" s="634">
        <v>0</v>
      </c>
      <c r="E88" s="635"/>
      <c r="F88" s="632" t="str">
        <f t="shared" si="0"/>
        <v>INVJ</v>
      </c>
      <c r="G88" s="1064"/>
      <c r="H88" s="1064"/>
      <c r="I88" s="1064"/>
    </row>
    <row r="89" spans="2:9" ht="15" customHeight="1">
      <c r="B89" s="632" t="s">
        <v>458</v>
      </c>
      <c r="C89" s="633"/>
      <c r="D89" s="634">
        <v>0</v>
      </c>
      <c r="E89" s="635" t="s">
        <v>459</v>
      </c>
      <c r="F89" s="632" t="str">
        <f t="shared" si="0"/>
        <v>IRCP</v>
      </c>
      <c r="G89" s="1064"/>
      <c r="H89" s="1064"/>
      <c r="I89" s="1064"/>
    </row>
    <row r="90" spans="2:9" ht="15" customHeight="1">
      <c r="B90" s="632" t="s">
        <v>460</v>
      </c>
      <c r="C90" s="633"/>
      <c r="D90" s="634">
        <v>0</v>
      </c>
      <c r="E90" s="635"/>
      <c r="F90" s="632" t="str">
        <f t="shared" si="0"/>
        <v>IRSA</v>
      </c>
      <c r="G90" s="1064"/>
      <c r="H90" s="1064"/>
      <c r="I90" s="1064"/>
    </row>
    <row r="91" spans="2:9" ht="15" customHeight="1">
      <c r="B91" s="632" t="s">
        <v>461</v>
      </c>
      <c r="C91" s="633"/>
      <c r="D91" s="634">
        <v>0</v>
      </c>
      <c r="E91" s="635" t="s">
        <v>462</v>
      </c>
      <c r="F91" s="632" t="str">
        <f t="shared" si="0"/>
        <v>LEDE</v>
      </c>
      <c r="G91" s="1064"/>
      <c r="H91" s="1064"/>
      <c r="I91" s="1064"/>
    </row>
    <row r="92" spans="2:9" ht="15" customHeight="1">
      <c r="B92" s="632" t="s">
        <v>463</v>
      </c>
      <c r="C92" s="633"/>
      <c r="D92" s="634">
        <v>0</v>
      </c>
      <c r="E92" s="635" t="s">
        <v>464</v>
      </c>
      <c r="F92" s="632" t="str">
        <f t="shared" si="0"/>
        <v>LONG</v>
      </c>
      <c r="G92" s="1064"/>
      <c r="H92" s="1064"/>
      <c r="I92" s="1064"/>
    </row>
    <row r="93" spans="2:9" ht="15" customHeight="1">
      <c r="B93" s="632" t="s">
        <v>465</v>
      </c>
      <c r="C93" s="633"/>
      <c r="D93" s="634">
        <v>0</v>
      </c>
      <c r="E93" s="635" t="s">
        <v>466</v>
      </c>
      <c r="F93" s="632" t="str">
        <f t="shared" si="0"/>
        <v>METR</v>
      </c>
      <c r="G93" s="1064"/>
      <c r="H93" s="1064"/>
      <c r="I93" s="1064"/>
    </row>
    <row r="94" spans="2:9" ht="15" customHeight="1">
      <c r="B94" s="632" t="s">
        <v>467</v>
      </c>
      <c r="C94" s="633"/>
      <c r="D94" s="634">
        <v>0</v>
      </c>
      <c r="E94" s="635" t="s">
        <v>468</v>
      </c>
      <c r="F94" s="632" t="str">
        <f t="shared" si="0"/>
        <v>MOLI</v>
      </c>
      <c r="G94" s="1064"/>
      <c r="H94" s="1064"/>
      <c r="I94" s="1064"/>
    </row>
    <row r="95" spans="2:9" ht="15" customHeight="1">
      <c r="B95" s="632" t="s">
        <v>469</v>
      </c>
      <c r="C95" s="633"/>
      <c r="D95" s="634">
        <v>0</v>
      </c>
      <c r="E95" s="635"/>
      <c r="F95" s="632" t="str">
        <f t="shared" ref="F95:F122" si="2">+B95</f>
        <v>MORI</v>
      </c>
      <c r="G95" s="1064"/>
      <c r="H95" s="1064"/>
      <c r="I95" s="1064"/>
    </row>
    <row r="96" spans="2:9" ht="15" customHeight="1">
      <c r="B96" s="632" t="s">
        <v>470</v>
      </c>
      <c r="C96" s="633"/>
      <c r="D96" s="634">
        <v>0</v>
      </c>
      <c r="E96" s="635"/>
      <c r="F96" s="632" t="str">
        <f t="shared" si="2"/>
        <v>MVIA</v>
      </c>
      <c r="G96" s="1064"/>
      <c r="H96" s="1064"/>
      <c r="I96" s="1064"/>
    </row>
    <row r="97" spans="2:9" ht="15" customHeight="1">
      <c r="B97" s="632" t="s">
        <v>471</v>
      </c>
      <c r="C97" s="633"/>
      <c r="D97" s="634">
        <v>0</v>
      </c>
      <c r="E97" s="635"/>
      <c r="F97" s="632" t="str">
        <f t="shared" si="2"/>
        <v>NORT6</v>
      </c>
      <c r="G97" s="1064"/>
      <c r="H97" s="1064"/>
      <c r="I97" s="1064"/>
    </row>
    <row r="98" spans="2:9" ht="15" customHeight="1">
      <c r="B98" s="632" t="s">
        <v>472</v>
      </c>
      <c r="C98" s="633"/>
      <c r="D98" s="634">
        <v>0</v>
      </c>
      <c r="E98" s="635"/>
      <c r="F98" s="632" t="str">
        <f t="shared" si="2"/>
        <v>OEST</v>
      </c>
      <c r="G98" s="1064"/>
      <c r="H98" s="1064"/>
      <c r="I98" s="1064"/>
    </row>
    <row r="99" spans="2:9" ht="15" customHeight="1">
      <c r="B99" s="632" t="s">
        <v>473</v>
      </c>
      <c r="C99" s="633"/>
      <c r="D99" s="634">
        <v>0</v>
      </c>
      <c r="E99" s="635"/>
      <c r="F99" s="632" t="str">
        <f t="shared" si="2"/>
        <v>PATA</v>
      </c>
      <c r="G99" s="1064"/>
      <c r="H99" s="1064"/>
      <c r="I99" s="1064"/>
    </row>
    <row r="100" spans="2:9" ht="15" customHeight="1">
      <c r="B100" s="632" t="s">
        <v>474</v>
      </c>
      <c r="C100" s="633"/>
      <c r="D100" s="634">
        <v>0</v>
      </c>
      <c r="E100" s="635"/>
      <c r="F100" s="632" t="str">
        <f t="shared" si="2"/>
        <v>PATY</v>
      </c>
      <c r="G100" s="1064"/>
      <c r="H100" s="1064"/>
      <c r="I100" s="1064"/>
    </row>
    <row r="101" spans="2:9" ht="15" customHeight="1">
      <c r="B101" s="632" t="s">
        <v>475</v>
      </c>
      <c r="C101" s="633"/>
      <c r="D101" s="634">
        <v>0</v>
      </c>
      <c r="E101" s="635" t="s">
        <v>476</v>
      </c>
      <c r="F101" s="632" t="str">
        <f t="shared" si="2"/>
        <v>PESA</v>
      </c>
      <c r="G101" s="1064"/>
      <c r="H101" s="1064"/>
      <c r="I101" s="1064"/>
    </row>
    <row r="102" spans="2:9" ht="15" customHeight="1">
      <c r="B102" s="632" t="s">
        <v>477</v>
      </c>
      <c r="C102" s="633"/>
      <c r="D102" s="634">
        <v>0</v>
      </c>
      <c r="E102" s="635" t="s">
        <v>478</v>
      </c>
      <c r="F102" s="632" t="str">
        <f t="shared" si="2"/>
        <v>PETR</v>
      </c>
      <c r="G102" s="1064"/>
      <c r="H102" s="1064"/>
      <c r="I102" s="1064"/>
    </row>
    <row r="103" spans="2:9" ht="15" customHeight="1">
      <c r="B103" s="632" t="s">
        <v>479</v>
      </c>
      <c r="C103" s="633"/>
      <c r="D103" s="634">
        <v>0</v>
      </c>
      <c r="E103" s="635" t="s">
        <v>480</v>
      </c>
      <c r="F103" s="632" t="str">
        <f t="shared" si="2"/>
        <v>POLL</v>
      </c>
      <c r="G103" s="1064"/>
      <c r="H103" s="1064"/>
      <c r="I103" s="1064"/>
    </row>
    <row r="104" spans="2:9" ht="15" customHeight="1">
      <c r="B104" s="632" t="s">
        <v>481</v>
      </c>
      <c r="C104" s="633"/>
      <c r="D104" s="634">
        <v>0</v>
      </c>
      <c r="E104" s="635"/>
      <c r="F104" s="632" t="str">
        <f t="shared" si="2"/>
        <v>PREN1</v>
      </c>
      <c r="G104" s="1064"/>
      <c r="H104" s="1064"/>
      <c r="I104" s="1064"/>
    </row>
    <row r="105" spans="2:9" ht="15" customHeight="1">
      <c r="B105" s="632" t="s">
        <v>482</v>
      </c>
      <c r="C105" s="633"/>
      <c r="D105" s="634">
        <v>0</v>
      </c>
      <c r="E105" s="635"/>
      <c r="F105" s="632" t="str">
        <f t="shared" si="2"/>
        <v>REGE</v>
      </c>
      <c r="G105" s="1064"/>
      <c r="H105" s="1064"/>
      <c r="I105" s="1064"/>
    </row>
    <row r="106" spans="2:9" ht="15" customHeight="1">
      <c r="B106" s="632" t="s">
        <v>483</v>
      </c>
      <c r="C106" s="633"/>
      <c r="D106" s="634">
        <v>0</v>
      </c>
      <c r="E106" s="635"/>
      <c r="F106" s="632" t="str">
        <f t="shared" si="2"/>
        <v>REP</v>
      </c>
      <c r="G106" s="1064"/>
      <c r="H106" s="1064"/>
      <c r="I106" s="1064"/>
    </row>
    <row r="107" spans="2:9" ht="15" customHeight="1">
      <c r="B107" s="632" t="s">
        <v>484</v>
      </c>
      <c r="C107" s="633"/>
      <c r="D107" s="634">
        <v>0</v>
      </c>
      <c r="E107" s="635"/>
      <c r="F107" s="632" t="str">
        <f t="shared" si="2"/>
        <v>RIGO</v>
      </c>
      <c r="G107" s="1064"/>
      <c r="H107" s="1064"/>
      <c r="I107" s="1064"/>
    </row>
    <row r="108" spans="2:9" ht="15" customHeight="1">
      <c r="B108" s="632" t="s">
        <v>485</v>
      </c>
      <c r="C108" s="633"/>
      <c r="D108" s="634">
        <v>0</v>
      </c>
      <c r="E108" s="635"/>
      <c r="F108" s="632" t="str">
        <f t="shared" si="2"/>
        <v>RIGO5</v>
      </c>
      <c r="G108" s="1064"/>
      <c r="H108" s="1064"/>
      <c r="I108" s="1064"/>
    </row>
    <row r="109" spans="2:9" ht="15" customHeight="1">
      <c r="B109" s="632" t="s">
        <v>486</v>
      </c>
      <c r="C109" s="633"/>
      <c r="D109" s="634">
        <v>0</v>
      </c>
      <c r="E109" s="635"/>
      <c r="F109" s="632" t="str">
        <f t="shared" si="2"/>
        <v>ROSE</v>
      </c>
      <c r="G109" s="1064"/>
      <c r="H109" s="1064"/>
      <c r="I109" s="1064"/>
    </row>
    <row r="110" spans="2:9" ht="15" customHeight="1">
      <c r="B110" s="632" t="s">
        <v>487</v>
      </c>
      <c r="C110" s="633"/>
      <c r="D110" s="634">
        <v>0</v>
      </c>
      <c r="E110" s="635" t="s">
        <v>488</v>
      </c>
      <c r="F110" s="632" t="str">
        <f t="shared" si="2"/>
        <v>SEMI</v>
      </c>
      <c r="G110" s="1064"/>
      <c r="H110" s="1064"/>
      <c r="I110" s="1064"/>
    </row>
    <row r="111" spans="2:9" ht="15" customHeight="1">
      <c r="B111" s="632" t="s">
        <v>489</v>
      </c>
      <c r="C111" s="633"/>
      <c r="D111" s="634">
        <v>0</v>
      </c>
      <c r="E111" s="635"/>
      <c r="F111" s="632" t="str">
        <f t="shared" si="2"/>
        <v>STD</v>
      </c>
      <c r="G111" s="1064"/>
      <c r="H111" s="1064"/>
      <c r="I111" s="1064"/>
    </row>
    <row r="112" spans="2:9" ht="15" customHeight="1">
      <c r="B112" s="632" t="s">
        <v>490</v>
      </c>
      <c r="C112" s="633"/>
      <c r="D112" s="634">
        <v>0</v>
      </c>
      <c r="E112" s="635"/>
      <c r="F112" s="632" t="str">
        <f t="shared" si="2"/>
        <v>SUPV</v>
      </c>
      <c r="G112" s="1064"/>
      <c r="H112" s="1064"/>
      <c r="I112" s="1064"/>
    </row>
    <row r="113" spans="1:17" ht="15" customHeight="1">
      <c r="B113" s="632" t="s">
        <v>491</v>
      </c>
      <c r="C113" s="633"/>
      <c r="D113" s="634">
        <v>0</v>
      </c>
      <c r="E113" s="635"/>
      <c r="F113" s="632" t="str">
        <f t="shared" si="2"/>
        <v>TEF</v>
      </c>
      <c r="G113" s="1064"/>
      <c r="H113" s="1064"/>
      <c r="I113" s="1064"/>
    </row>
    <row r="114" spans="1:17" ht="15" customHeight="1">
      <c r="B114" s="632" t="s">
        <v>492</v>
      </c>
      <c r="C114" s="633"/>
      <c r="D114" s="634">
        <v>0</v>
      </c>
      <c r="E114" s="635"/>
      <c r="F114" s="632" t="str">
        <f t="shared" si="2"/>
        <v>TGLT</v>
      </c>
      <c r="G114" s="1064"/>
      <c r="H114" s="1064"/>
      <c r="I114" s="1064"/>
    </row>
    <row r="115" spans="1:17" ht="15" customHeight="1">
      <c r="B115" s="632" t="s">
        <v>493</v>
      </c>
      <c r="C115" s="633"/>
      <c r="D115" s="634">
        <v>0</v>
      </c>
      <c r="E115" s="635" t="s">
        <v>494</v>
      </c>
      <c r="F115" s="632" t="str">
        <f t="shared" si="2"/>
        <v>TGNO4</v>
      </c>
      <c r="G115" s="1064"/>
      <c r="H115" s="1064"/>
      <c r="I115" s="1064"/>
    </row>
    <row r="116" spans="1:17" ht="15" customHeight="1">
      <c r="B116" s="632" t="s">
        <v>495</v>
      </c>
      <c r="C116" s="633"/>
      <c r="D116" s="634">
        <v>0</v>
      </c>
      <c r="E116" s="635" t="s">
        <v>496</v>
      </c>
      <c r="F116" s="632" t="str">
        <f t="shared" si="2"/>
        <v>TGSU2</v>
      </c>
      <c r="G116" s="1064"/>
      <c r="H116" s="1064"/>
      <c r="I116" s="1064"/>
    </row>
    <row r="117" spans="1:17" ht="15" customHeight="1">
      <c r="B117" s="632" t="s">
        <v>497</v>
      </c>
      <c r="C117" s="633"/>
      <c r="D117" s="634">
        <v>0</v>
      </c>
      <c r="E117" s="635"/>
      <c r="F117" s="632" t="str">
        <f t="shared" si="2"/>
        <v>URBA</v>
      </c>
      <c r="G117" s="1064"/>
      <c r="H117" s="1064"/>
      <c r="I117" s="1064"/>
    </row>
    <row r="118" spans="1:17" ht="15" customHeight="1">
      <c r="B118" s="632" t="s">
        <v>498</v>
      </c>
      <c r="C118" s="633"/>
      <c r="D118" s="634">
        <v>0</v>
      </c>
      <c r="E118" s="635" t="s">
        <v>499</v>
      </c>
      <c r="F118" s="632" t="str">
        <f t="shared" si="2"/>
        <v>VALO</v>
      </c>
      <c r="G118" s="1064"/>
      <c r="H118" s="1064"/>
      <c r="I118" s="1064"/>
    </row>
    <row r="119" spans="1:17" ht="15" customHeight="1">
      <c r="B119" s="632" t="s">
        <v>500</v>
      </c>
      <c r="C119" s="633"/>
      <c r="D119" s="634">
        <v>0</v>
      </c>
      <c r="E119" s="635"/>
      <c r="F119" s="632" t="str">
        <f t="shared" si="2"/>
        <v>VALE</v>
      </c>
      <c r="G119" s="1064"/>
      <c r="H119" s="1064"/>
      <c r="I119" s="1064"/>
    </row>
    <row r="120" spans="1:17" ht="15" customHeight="1">
      <c r="B120" s="632" t="s">
        <v>501</v>
      </c>
      <c r="C120" s="633" t="str">
        <f>+IF(B120 = "", "",IFERROR(VALUE(REPLACE(VLOOKUP(B120,#REF!, 13, FALSE), 3, 1, ",")), ""))</f>
        <v/>
      </c>
      <c r="D120" s="634">
        <v>0</v>
      </c>
      <c r="E120" s="635" t="s">
        <v>502</v>
      </c>
      <c r="F120" s="632" t="str">
        <f t="shared" si="2"/>
        <v>BYMA</v>
      </c>
      <c r="G120" s="1064"/>
      <c r="H120" s="1064"/>
      <c r="I120" s="1064"/>
    </row>
    <row r="121" spans="1:17" ht="15" customHeight="1">
      <c r="B121" s="632"/>
      <c r="C121" s="633" t="str">
        <f>+IF(B121 = "", "",IFERROR(VALUE(REPLACE(VLOOKUP(B121,#REF!, 13, FALSE), 3, 1, ",")), ""))</f>
        <v/>
      </c>
      <c r="D121" s="634">
        <v>0</v>
      </c>
      <c r="E121" s="635"/>
      <c r="F121" s="632">
        <f t="shared" si="2"/>
        <v>0</v>
      </c>
      <c r="G121" s="1064"/>
      <c r="H121" s="1064"/>
      <c r="I121" s="1064"/>
    </row>
    <row r="122" spans="1:17" ht="15" customHeight="1">
      <c r="B122" s="637"/>
      <c r="C122" s="638" t="str">
        <f>+IF(B122 = "", "",IFERROR(VALUE(REPLACE(VLOOKUP(B122,#REF!, 13, FALSE), 3, 1, ",")), ""))</f>
        <v/>
      </c>
      <c r="D122" s="639">
        <v>0</v>
      </c>
      <c r="E122" s="635"/>
      <c r="F122" s="632">
        <f t="shared" si="2"/>
        <v>0</v>
      </c>
      <c r="G122" s="1063"/>
      <c r="H122" s="1063"/>
      <c r="I122" s="1063"/>
    </row>
    <row r="126" spans="1:17" ht="15" customHeight="1">
      <c r="A126" s="94" t="s">
        <v>108</v>
      </c>
      <c r="B126" s="95" t="s">
        <v>109</v>
      </c>
      <c r="C126" s="96"/>
      <c r="D126" s="96"/>
      <c r="E126" s="96"/>
      <c r="F126" s="96"/>
      <c r="G126" s="96"/>
      <c r="H126" s="96"/>
      <c r="I126" s="96"/>
      <c r="J126" s="96"/>
      <c r="K126" s="96"/>
      <c r="L126" s="96"/>
      <c r="M126" s="96"/>
      <c r="N126" s="96"/>
      <c r="O126" s="96"/>
      <c r="P126" s="96"/>
      <c r="Q126" s="96"/>
    </row>
    <row r="128" spans="1:17" ht="15" customHeight="1" thickBot="1"/>
    <row r="129" spans="2:4" ht="15" customHeight="1">
      <c r="B129" s="615"/>
      <c r="C129" s="615"/>
      <c r="D129" s="615"/>
    </row>
    <row r="130" spans="2:4" ht="15" customHeight="1" thickBot="1">
      <c r="B130" s="616" t="s">
        <v>71</v>
      </c>
      <c r="C130" s="616" t="s">
        <v>90</v>
      </c>
      <c r="D130" s="616" t="s">
        <v>110</v>
      </c>
    </row>
    <row r="131" spans="2:4" ht="15" customHeight="1">
      <c r="B131" s="426" t="s">
        <v>365</v>
      </c>
      <c r="C131" s="426" t="s">
        <v>366</v>
      </c>
      <c r="D131" s="426">
        <v>2</v>
      </c>
    </row>
    <row r="132" spans="2:4" ht="15" customHeight="1">
      <c r="B132" s="426" t="s">
        <v>368</v>
      </c>
      <c r="C132" s="426" t="s">
        <v>368</v>
      </c>
      <c r="D132" s="426">
        <v>10</v>
      </c>
    </row>
    <row r="133" spans="2:4" ht="15" customHeight="1">
      <c r="B133" s="426" t="s">
        <v>382</v>
      </c>
      <c r="C133" s="426" t="s">
        <v>503</v>
      </c>
      <c r="D133" s="426">
        <v>10</v>
      </c>
    </row>
    <row r="134" spans="2:4" ht="15" customHeight="1">
      <c r="B134" s="426" t="s">
        <v>389</v>
      </c>
      <c r="C134" s="426" t="s">
        <v>504</v>
      </c>
      <c r="D134" s="426">
        <v>3</v>
      </c>
    </row>
    <row r="135" spans="2:4" ht="15" customHeight="1">
      <c r="B135" s="426" t="s">
        <v>386</v>
      </c>
      <c r="C135" s="426" t="s">
        <v>386</v>
      </c>
      <c r="D135" s="426">
        <v>20</v>
      </c>
    </row>
    <row r="136" spans="2:4" ht="15" customHeight="1">
      <c r="B136" s="426" t="s">
        <v>3</v>
      </c>
      <c r="C136" s="426" t="s">
        <v>3</v>
      </c>
      <c r="D136" s="426">
        <v>10</v>
      </c>
    </row>
    <row r="137" spans="2:4" ht="15" customHeight="1">
      <c r="B137" s="426" t="s">
        <v>404</v>
      </c>
      <c r="C137" s="426" t="s">
        <v>404</v>
      </c>
      <c r="D137" s="426">
        <v>2</v>
      </c>
    </row>
    <row r="138" spans="2:4" ht="15" customHeight="1">
      <c r="B138" s="426"/>
      <c r="C138" s="426"/>
      <c r="D138" s="426"/>
    </row>
    <row r="139" spans="2:4" ht="15" customHeight="1">
      <c r="B139" s="426"/>
      <c r="C139" s="426"/>
      <c r="D139" s="426"/>
    </row>
    <row r="140" spans="2:4" ht="15" customHeight="1">
      <c r="B140" s="426"/>
      <c r="C140" s="426"/>
      <c r="D140" s="426"/>
    </row>
    <row r="141" spans="2:4" ht="15" customHeight="1">
      <c r="B141" s="426"/>
      <c r="C141" s="426"/>
      <c r="D141" s="426"/>
    </row>
    <row r="142" spans="2:4" ht="15" customHeight="1">
      <c r="B142" s="426"/>
      <c r="C142" s="426"/>
      <c r="D142" s="426"/>
    </row>
    <row r="143" spans="2:4" ht="15" customHeight="1">
      <c r="B143" s="426"/>
      <c r="C143" s="426"/>
      <c r="D143" s="426"/>
    </row>
    <row r="144" spans="2:4" ht="15" customHeight="1">
      <c r="B144" s="426"/>
      <c r="C144" s="426"/>
      <c r="D144" s="426"/>
    </row>
    <row r="145" spans="1:17" ht="15" customHeight="1">
      <c r="B145" s="426"/>
      <c r="C145" s="426"/>
      <c r="D145" s="426"/>
    </row>
    <row r="149" spans="1:17" ht="15" customHeight="1">
      <c r="A149" s="94" t="s">
        <v>111</v>
      </c>
      <c r="B149" s="95" t="s">
        <v>112</v>
      </c>
      <c r="C149" s="96"/>
      <c r="D149" s="96"/>
      <c r="E149" s="96"/>
      <c r="F149" s="96"/>
      <c r="G149" s="96"/>
      <c r="H149" s="96"/>
      <c r="I149" s="96"/>
      <c r="J149" s="96"/>
      <c r="K149" s="96"/>
      <c r="L149" s="96"/>
      <c r="M149" s="96"/>
      <c r="N149" s="96"/>
      <c r="O149" s="96"/>
      <c r="P149" s="96"/>
      <c r="Q149" s="96"/>
    </row>
    <row r="151" spans="1:17" ht="15" customHeight="1" thickBot="1"/>
    <row r="152" spans="1:17" ht="15" customHeight="1">
      <c r="B152" s="615"/>
      <c r="C152" s="615"/>
      <c r="D152" s="615"/>
    </row>
    <row r="153" spans="1:17" ht="15" customHeight="1" thickBot="1">
      <c r="B153" s="616" t="s">
        <v>40</v>
      </c>
      <c r="C153" s="72" t="s">
        <v>113</v>
      </c>
      <c r="D153" s="72" t="s">
        <v>114</v>
      </c>
    </row>
    <row r="154" spans="1:17" ht="15" customHeight="1">
      <c r="B154" s="426" t="s">
        <v>365</v>
      </c>
      <c r="C154" s="640">
        <v>30000000</v>
      </c>
      <c r="D154" s="641">
        <v>0.1</v>
      </c>
    </row>
    <row r="155" spans="1:17" ht="15" customHeight="1">
      <c r="B155" s="426" t="s">
        <v>368</v>
      </c>
      <c r="C155" s="640">
        <v>30000000</v>
      </c>
      <c r="D155" s="641">
        <v>0.1</v>
      </c>
    </row>
    <row r="156" spans="1:17" ht="15" customHeight="1">
      <c r="B156" s="426" t="s">
        <v>379</v>
      </c>
      <c r="C156" s="640">
        <v>30000000</v>
      </c>
      <c r="D156" s="641">
        <v>0.1</v>
      </c>
    </row>
    <row r="157" spans="1:17" ht="15" customHeight="1">
      <c r="B157" s="426" t="s">
        <v>382</v>
      </c>
      <c r="C157" s="640">
        <v>30000000</v>
      </c>
      <c r="D157" s="641">
        <v>0.1</v>
      </c>
    </row>
    <row r="158" spans="1:17" ht="15" customHeight="1">
      <c r="B158" s="426" t="s">
        <v>386</v>
      </c>
      <c r="C158" s="640">
        <v>30000000</v>
      </c>
      <c r="D158" s="641">
        <v>0.1</v>
      </c>
    </row>
    <row r="159" spans="1:17" ht="15" customHeight="1">
      <c r="B159" s="426" t="s">
        <v>387</v>
      </c>
      <c r="C159" s="640">
        <v>30000000</v>
      </c>
      <c r="D159" s="641">
        <v>0.1</v>
      </c>
    </row>
    <row r="160" spans="1:17" ht="15" customHeight="1">
      <c r="B160" s="426" t="s">
        <v>389</v>
      </c>
      <c r="C160" s="640">
        <v>30000000</v>
      </c>
      <c r="D160" s="641">
        <v>0.1</v>
      </c>
    </row>
    <row r="161" spans="2:4" ht="15" customHeight="1">
      <c r="B161" s="426" t="s">
        <v>3</v>
      </c>
      <c r="C161" s="640">
        <v>30000000</v>
      </c>
      <c r="D161" s="641">
        <v>0.1</v>
      </c>
    </row>
    <row r="162" spans="2:4" ht="15" customHeight="1">
      <c r="B162" s="426" t="s">
        <v>394</v>
      </c>
      <c r="C162" s="640">
        <v>30000000</v>
      </c>
      <c r="D162" s="641">
        <v>0.1</v>
      </c>
    </row>
    <row r="163" spans="2:4" ht="15" customHeight="1">
      <c r="B163" s="426" t="s">
        <v>396</v>
      </c>
      <c r="C163" s="640">
        <v>30000000</v>
      </c>
      <c r="D163" s="641">
        <v>0.1</v>
      </c>
    </row>
    <row r="164" spans="2:4" ht="15" customHeight="1">
      <c r="B164" s="426" t="s">
        <v>400</v>
      </c>
      <c r="C164" s="640">
        <v>30000000</v>
      </c>
      <c r="D164" s="641">
        <v>0.1</v>
      </c>
    </row>
    <row r="165" spans="2:4" ht="15" customHeight="1">
      <c r="B165" s="426" t="s">
        <v>404</v>
      </c>
      <c r="C165" s="640">
        <v>30000000</v>
      </c>
      <c r="D165" s="641">
        <v>0.1</v>
      </c>
    </row>
    <row r="166" spans="2:4" ht="15" customHeight="1">
      <c r="B166" s="426" t="s">
        <v>406</v>
      </c>
      <c r="C166" s="640">
        <v>30000000</v>
      </c>
      <c r="D166" s="641">
        <v>0.1</v>
      </c>
    </row>
    <row r="167" spans="2:4" ht="15" customHeight="1">
      <c r="B167" s="426" t="s">
        <v>362</v>
      </c>
      <c r="C167" s="640">
        <v>20000000</v>
      </c>
      <c r="D167" s="641">
        <v>0.15</v>
      </c>
    </row>
    <row r="168" spans="2:4" ht="15" customHeight="1">
      <c r="B168" s="426" t="s">
        <v>451</v>
      </c>
      <c r="C168" s="640">
        <v>20000000</v>
      </c>
      <c r="D168" s="641">
        <v>0.15</v>
      </c>
    </row>
    <row r="169" spans="2:4" ht="15" customHeight="1">
      <c r="B169" s="426" t="s">
        <v>460</v>
      </c>
      <c r="C169" s="640">
        <v>20000000</v>
      </c>
      <c r="D169" s="641">
        <v>0.15</v>
      </c>
    </row>
    <row r="170" spans="2:4" ht="15" customHeight="1">
      <c r="B170" s="426" t="s">
        <v>475</v>
      </c>
      <c r="C170" s="640">
        <v>20000000</v>
      </c>
      <c r="D170" s="641">
        <v>0.15</v>
      </c>
    </row>
    <row r="171" spans="2:4" ht="15" customHeight="1">
      <c r="B171" s="426" t="s">
        <v>483</v>
      </c>
      <c r="C171" s="640">
        <v>20000000</v>
      </c>
      <c r="D171" s="641">
        <v>0.15</v>
      </c>
    </row>
    <row r="172" spans="2:4" ht="15" customHeight="1">
      <c r="B172" s="426" t="s">
        <v>489</v>
      </c>
      <c r="C172" s="640">
        <v>20000000</v>
      </c>
      <c r="D172" s="641">
        <v>0.15</v>
      </c>
    </row>
    <row r="173" spans="2:4" ht="15" customHeight="1">
      <c r="B173" s="426" t="s">
        <v>490</v>
      </c>
      <c r="C173" s="640">
        <v>20000000</v>
      </c>
      <c r="D173" s="641">
        <v>0.15</v>
      </c>
    </row>
    <row r="174" spans="2:4" ht="15" customHeight="1">
      <c r="B174" s="426" t="s">
        <v>491</v>
      </c>
      <c r="C174" s="640">
        <v>20000000</v>
      </c>
      <c r="D174" s="641">
        <v>0.15</v>
      </c>
    </row>
    <row r="175" spans="2:4" ht="15" customHeight="1">
      <c r="B175" s="426" t="s">
        <v>495</v>
      </c>
      <c r="C175" s="640">
        <v>20000000</v>
      </c>
      <c r="D175" s="641">
        <v>0.15</v>
      </c>
    </row>
    <row r="176" spans="2:4" ht="15" customHeight="1">
      <c r="B176" s="426" t="s">
        <v>402</v>
      </c>
      <c r="C176" s="640">
        <v>20000000</v>
      </c>
      <c r="D176" s="641">
        <v>0.15</v>
      </c>
    </row>
    <row r="177" spans="2:4" ht="15" customHeight="1">
      <c r="B177" s="426" t="s">
        <v>505</v>
      </c>
      <c r="C177" s="640">
        <v>12000000</v>
      </c>
      <c r="D177" s="641">
        <v>0.2</v>
      </c>
    </row>
    <row r="178" spans="2:4" ht="15" customHeight="1">
      <c r="B178" s="426" t="s">
        <v>373</v>
      </c>
      <c r="C178" s="640">
        <v>12000000</v>
      </c>
      <c r="D178" s="641">
        <v>0.2</v>
      </c>
    </row>
    <row r="179" spans="2:4" ht="15" customHeight="1">
      <c r="B179" s="426" t="s">
        <v>375</v>
      </c>
      <c r="C179" s="640">
        <v>12000000</v>
      </c>
      <c r="D179" s="641">
        <v>0.2</v>
      </c>
    </row>
    <row r="180" spans="2:4" ht="15" customHeight="1">
      <c r="B180" s="426" t="s">
        <v>377</v>
      </c>
      <c r="C180" s="640">
        <v>12000000</v>
      </c>
      <c r="D180" s="641">
        <v>0.2</v>
      </c>
    </row>
    <row r="181" spans="2:4" ht="15" customHeight="1">
      <c r="B181" s="426" t="s">
        <v>384</v>
      </c>
      <c r="C181" s="640">
        <v>12000000</v>
      </c>
      <c r="D181" s="641">
        <v>0.2</v>
      </c>
    </row>
    <row r="182" spans="2:4" ht="15" customHeight="1">
      <c r="B182" s="426" t="s">
        <v>392</v>
      </c>
      <c r="C182" s="640">
        <v>12000000</v>
      </c>
      <c r="D182" s="641">
        <v>0.2</v>
      </c>
    </row>
    <row r="183" spans="2:4" ht="15" customHeight="1">
      <c r="B183" s="426" t="s">
        <v>398</v>
      </c>
      <c r="C183" s="640">
        <v>12000000</v>
      </c>
      <c r="D183" s="641">
        <v>0.2</v>
      </c>
    </row>
    <row r="184" spans="2:4" ht="15" customHeight="1">
      <c r="B184" s="426" t="s">
        <v>360</v>
      </c>
      <c r="C184" s="640">
        <v>3000000</v>
      </c>
      <c r="D184" s="641">
        <v>0.25</v>
      </c>
    </row>
    <row r="185" spans="2:4" ht="15" customHeight="1">
      <c r="B185" s="426" t="s">
        <v>414</v>
      </c>
      <c r="C185" s="640">
        <v>3000000</v>
      </c>
      <c r="D185" s="641">
        <v>0.25</v>
      </c>
    </row>
    <row r="186" spans="2:4" ht="15" customHeight="1">
      <c r="B186" s="426" t="s">
        <v>416</v>
      </c>
      <c r="C186" s="640">
        <v>3000000</v>
      </c>
      <c r="D186" s="641">
        <v>0.25</v>
      </c>
    </row>
    <row r="187" spans="2:4" ht="15" customHeight="1">
      <c r="B187" s="426" t="s">
        <v>421</v>
      </c>
      <c r="C187" s="640">
        <v>3000000</v>
      </c>
      <c r="D187" s="641">
        <v>0.25</v>
      </c>
    </row>
    <row r="188" spans="2:4" ht="15" customHeight="1">
      <c r="B188" s="426" t="s">
        <v>409</v>
      </c>
      <c r="C188" s="640">
        <v>3000000</v>
      </c>
      <c r="D188" s="641">
        <v>0.25</v>
      </c>
    </row>
    <row r="189" spans="2:4" ht="15" customHeight="1">
      <c r="B189" s="426" t="s">
        <v>370</v>
      </c>
      <c r="C189" s="640">
        <v>3000000</v>
      </c>
      <c r="D189" s="641">
        <v>0.25</v>
      </c>
    </row>
    <row r="190" spans="2:4" ht="15" customHeight="1">
      <c r="B190" s="426" t="s">
        <v>434</v>
      </c>
      <c r="C190" s="640">
        <v>3000000</v>
      </c>
      <c r="D190" s="641">
        <v>0.25</v>
      </c>
    </row>
    <row r="191" spans="2:4" ht="15" customHeight="1">
      <c r="B191" s="426" t="s">
        <v>461</v>
      </c>
      <c r="C191" s="640">
        <v>3000000</v>
      </c>
      <c r="D191" s="641">
        <v>0.25</v>
      </c>
    </row>
    <row r="192" spans="2:4" ht="15" customHeight="1">
      <c r="B192" s="426" t="s">
        <v>467</v>
      </c>
      <c r="C192" s="640">
        <v>3000000</v>
      </c>
      <c r="D192" s="641">
        <v>0.25</v>
      </c>
    </row>
    <row r="193" spans="2:4" ht="15" customHeight="1">
      <c r="B193" s="426" t="s">
        <v>477</v>
      </c>
      <c r="C193" s="640">
        <v>3000000</v>
      </c>
      <c r="D193" s="641">
        <v>0.25</v>
      </c>
    </row>
    <row r="194" spans="2:4" ht="15" customHeight="1">
      <c r="B194" s="426" t="s">
        <v>487</v>
      </c>
      <c r="C194" s="640">
        <v>3000000</v>
      </c>
      <c r="D194" s="641">
        <v>0.25</v>
      </c>
    </row>
    <row r="195" spans="2:4" ht="15" customHeight="1">
      <c r="B195" s="426" t="s">
        <v>506</v>
      </c>
      <c r="C195" s="640">
        <v>30000000</v>
      </c>
      <c r="D195" s="641">
        <v>0.1</v>
      </c>
    </row>
    <row r="196" spans="2:4" ht="15" customHeight="1">
      <c r="B196" s="426" t="s">
        <v>507</v>
      </c>
      <c r="C196" s="640">
        <v>30000000</v>
      </c>
      <c r="D196" s="641">
        <v>0.1</v>
      </c>
    </row>
    <row r="197" spans="2:4" ht="15" customHeight="1">
      <c r="B197" s="426" t="s">
        <v>508</v>
      </c>
      <c r="C197" s="640">
        <v>30000000</v>
      </c>
      <c r="D197" s="641">
        <v>0.1</v>
      </c>
    </row>
    <row r="198" spans="2:4" ht="15" customHeight="1">
      <c r="B198" s="426" t="s">
        <v>509</v>
      </c>
      <c r="C198" s="640">
        <v>30000000</v>
      </c>
      <c r="D198" s="641">
        <v>0.1</v>
      </c>
    </row>
    <row r="199" spans="2:4" ht="15" customHeight="1">
      <c r="B199" s="426" t="s">
        <v>510</v>
      </c>
      <c r="C199" s="640">
        <v>30000000</v>
      </c>
      <c r="D199" s="641">
        <v>0.1</v>
      </c>
    </row>
    <row r="200" spans="2:4" ht="15" customHeight="1">
      <c r="B200" s="426" t="s">
        <v>511</v>
      </c>
      <c r="C200" s="640">
        <v>30000000</v>
      </c>
      <c r="D200" s="641">
        <v>0.1</v>
      </c>
    </row>
    <row r="201" spans="2:4" ht="15" customHeight="1">
      <c r="B201" s="426" t="s">
        <v>512</v>
      </c>
      <c r="C201" s="640">
        <v>30000000</v>
      </c>
      <c r="D201" s="641">
        <v>0.1</v>
      </c>
    </row>
    <row r="202" spans="2:4" ht="15" customHeight="1">
      <c r="B202" s="426" t="s">
        <v>513</v>
      </c>
      <c r="C202" s="640">
        <v>30000000</v>
      </c>
      <c r="D202" s="641">
        <v>0.1</v>
      </c>
    </row>
    <row r="203" spans="2:4" ht="15" customHeight="1">
      <c r="B203" s="426" t="s">
        <v>514</v>
      </c>
      <c r="C203" s="640">
        <v>30000000</v>
      </c>
      <c r="D203" s="641">
        <v>0.1</v>
      </c>
    </row>
    <row r="204" spans="2:4" ht="15" customHeight="1">
      <c r="B204" s="426" t="s">
        <v>515</v>
      </c>
      <c r="C204" s="640">
        <v>30000000</v>
      </c>
      <c r="D204" s="641">
        <v>0.1</v>
      </c>
    </row>
    <row r="205" spans="2:4" ht="15" customHeight="1">
      <c r="B205" s="426" t="s">
        <v>516</v>
      </c>
      <c r="C205" s="640">
        <v>30000000</v>
      </c>
      <c r="D205" s="641">
        <v>0.1</v>
      </c>
    </row>
    <row r="206" spans="2:4" ht="15" customHeight="1">
      <c r="B206" s="426" t="s">
        <v>517</v>
      </c>
      <c r="C206" s="640">
        <v>30000000</v>
      </c>
      <c r="D206" s="641">
        <v>0.1</v>
      </c>
    </row>
    <row r="207" spans="2:4" ht="15" customHeight="1">
      <c r="B207" s="426" t="s">
        <v>518</v>
      </c>
      <c r="C207" s="640">
        <v>30000000</v>
      </c>
      <c r="D207" s="641">
        <v>0.1</v>
      </c>
    </row>
    <row r="208" spans="2:4" ht="15" customHeight="1">
      <c r="B208" s="426" t="s">
        <v>519</v>
      </c>
      <c r="C208" s="640">
        <v>30000000</v>
      </c>
      <c r="D208" s="641">
        <v>0.1</v>
      </c>
    </row>
    <row r="209" spans="2:4" ht="15" customHeight="1">
      <c r="B209" s="426" t="s">
        <v>520</v>
      </c>
      <c r="C209" s="640">
        <v>30000000</v>
      </c>
      <c r="D209" s="641">
        <v>0.1</v>
      </c>
    </row>
    <row r="210" spans="2:4" ht="15" customHeight="1">
      <c r="B210" s="426" t="s">
        <v>521</v>
      </c>
      <c r="C210" s="640">
        <v>30000000</v>
      </c>
      <c r="D210" s="641">
        <v>0.1</v>
      </c>
    </row>
    <row r="211" spans="2:4" ht="15" customHeight="1">
      <c r="B211" s="426" t="s">
        <v>133</v>
      </c>
      <c r="C211" s="640">
        <v>30000000</v>
      </c>
      <c r="D211" s="641">
        <v>0.1</v>
      </c>
    </row>
    <row r="212" spans="2:4" ht="15" customHeight="1">
      <c r="B212" s="426" t="s">
        <v>522</v>
      </c>
      <c r="C212" s="640">
        <v>30000000</v>
      </c>
      <c r="D212" s="641">
        <v>0.1</v>
      </c>
    </row>
    <row r="213" spans="2:4" ht="15" customHeight="1">
      <c r="B213" s="426" t="s">
        <v>523</v>
      </c>
      <c r="C213" s="640">
        <v>30000000</v>
      </c>
      <c r="D213" s="641">
        <v>0.1</v>
      </c>
    </row>
    <row r="214" spans="2:4" ht="15" customHeight="1">
      <c r="B214" s="426" t="s">
        <v>524</v>
      </c>
      <c r="C214" s="640">
        <v>30000000</v>
      </c>
      <c r="D214" s="641">
        <v>0.1</v>
      </c>
    </row>
    <row r="215" spans="2:4" ht="15" customHeight="1">
      <c r="B215" s="426" t="s">
        <v>525</v>
      </c>
      <c r="C215" s="640">
        <v>30000000</v>
      </c>
      <c r="D215" s="641">
        <v>0.1</v>
      </c>
    </row>
    <row r="216" spans="2:4" ht="15" customHeight="1">
      <c r="B216" s="426" t="s">
        <v>526</v>
      </c>
      <c r="C216" s="640">
        <v>30000000</v>
      </c>
      <c r="D216" s="641">
        <v>0.1</v>
      </c>
    </row>
    <row r="217" spans="2:4" ht="15" customHeight="1">
      <c r="B217" s="426" t="s">
        <v>527</v>
      </c>
      <c r="C217" s="640">
        <v>30000000</v>
      </c>
      <c r="D217" s="641">
        <v>0.1</v>
      </c>
    </row>
    <row r="218" spans="2:4" ht="15" customHeight="1">
      <c r="B218" s="426" t="s">
        <v>528</v>
      </c>
      <c r="C218" s="640">
        <v>30000000</v>
      </c>
      <c r="D218" s="641">
        <v>0.1</v>
      </c>
    </row>
    <row r="219" spans="2:4" ht="15" customHeight="1">
      <c r="B219" s="426" t="s">
        <v>529</v>
      </c>
      <c r="C219" s="640">
        <v>30000000</v>
      </c>
      <c r="D219" s="641">
        <v>0.1</v>
      </c>
    </row>
    <row r="220" spans="2:4" ht="15" customHeight="1">
      <c r="B220" s="426" t="s">
        <v>530</v>
      </c>
      <c r="C220" s="640">
        <v>30000000</v>
      </c>
      <c r="D220" s="641">
        <v>0.1</v>
      </c>
    </row>
    <row r="221" spans="2:4" ht="15" customHeight="1">
      <c r="B221" s="426" t="s">
        <v>531</v>
      </c>
      <c r="C221" s="640">
        <v>30000000</v>
      </c>
      <c r="D221" s="641">
        <v>0.1</v>
      </c>
    </row>
    <row r="222" spans="2:4" ht="15" customHeight="1">
      <c r="B222" s="426" t="s">
        <v>532</v>
      </c>
      <c r="C222" s="640">
        <v>30000000</v>
      </c>
      <c r="D222" s="641">
        <v>0.1</v>
      </c>
    </row>
    <row r="223" spans="2:4" ht="15" customHeight="1">
      <c r="B223" s="426" t="s">
        <v>533</v>
      </c>
      <c r="C223" s="640">
        <v>30000000</v>
      </c>
      <c r="D223" s="641">
        <v>0.1</v>
      </c>
    </row>
    <row r="224" spans="2:4" ht="15" customHeight="1">
      <c r="B224" s="426" t="s">
        <v>534</v>
      </c>
      <c r="C224" s="640" t="s">
        <v>535</v>
      </c>
      <c r="D224" s="641">
        <v>0.1</v>
      </c>
    </row>
    <row r="225" spans="2:4" ht="15" customHeight="1">
      <c r="B225" s="426" t="s">
        <v>536</v>
      </c>
      <c r="C225" s="640" t="s">
        <v>535</v>
      </c>
      <c r="D225" s="641">
        <v>0.1</v>
      </c>
    </row>
    <row r="226" spans="2:4" ht="15" customHeight="1">
      <c r="B226" s="426" t="s">
        <v>537</v>
      </c>
      <c r="C226" s="640">
        <v>20000000</v>
      </c>
      <c r="D226" s="641">
        <v>0.2</v>
      </c>
    </row>
    <row r="227" spans="2:4" ht="15" customHeight="1">
      <c r="B227" s="426" t="s">
        <v>538</v>
      </c>
      <c r="C227" s="640">
        <v>20000000</v>
      </c>
      <c r="D227" s="641">
        <v>0.2</v>
      </c>
    </row>
    <row r="228" spans="2:4" ht="15" customHeight="1">
      <c r="B228" s="426" t="s">
        <v>539</v>
      </c>
      <c r="C228" s="640">
        <v>20000000</v>
      </c>
      <c r="D228" s="641">
        <v>0.2</v>
      </c>
    </row>
    <row r="229" spans="2:4" ht="15" customHeight="1">
      <c r="B229" s="426" t="s">
        <v>540</v>
      </c>
      <c r="C229" s="640">
        <v>20000000</v>
      </c>
      <c r="D229" s="641">
        <v>0.2</v>
      </c>
    </row>
    <row r="230" spans="2:4" ht="15" customHeight="1">
      <c r="B230" s="426" t="s">
        <v>541</v>
      </c>
      <c r="C230" s="640">
        <v>20000000</v>
      </c>
      <c r="D230" s="641">
        <v>0.2</v>
      </c>
    </row>
    <row r="231" spans="2:4" ht="15" customHeight="1">
      <c r="B231" s="426" t="s">
        <v>542</v>
      </c>
      <c r="C231" s="640">
        <v>20000000</v>
      </c>
      <c r="D231" s="641">
        <v>0.2</v>
      </c>
    </row>
    <row r="232" spans="2:4" ht="15" customHeight="1">
      <c r="B232" s="426" t="s">
        <v>543</v>
      </c>
      <c r="C232" s="640">
        <v>20000000</v>
      </c>
      <c r="D232" s="641">
        <v>0.2</v>
      </c>
    </row>
    <row r="233" spans="2:4" ht="15" customHeight="1">
      <c r="B233" s="426" t="s">
        <v>544</v>
      </c>
      <c r="C233" s="640">
        <v>20000000</v>
      </c>
      <c r="D233" s="641">
        <v>0.2</v>
      </c>
    </row>
    <row r="234" spans="2:4" ht="15" customHeight="1">
      <c r="B234" s="426" t="s">
        <v>545</v>
      </c>
      <c r="C234" s="640">
        <v>20000000</v>
      </c>
      <c r="D234" s="641">
        <v>0.2</v>
      </c>
    </row>
    <row r="235" spans="2:4" ht="15" customHeight="1">
      <c r="B235" s="426" t="s">
        <v>546</v>
      </c>
      <c r="C235" s="640">
        <v>20000000</v>
      </c>
      <c r="D235" s="641">
        <v>0.2</v>
      </c>
    </row>
    <row r="236" spans="2:4" ht="15" customHeight="1">
      <c r="B236" s="426" t="s">
        <v>547</v>
      </c>
      <c r="C236" s="640">
        <v>20000000</v>
      </c>
      <c r="D236" s="641">
        <v>0.2</v>
      </c>
    </row>
    <row r="237" spans="2:4" ht="15" customHeight="1">
      <c r="B237" s="426" t="s">
        <v>548</v>
      </c>
      <c r="C237" s="640">
        <v>20000000</v>
      </c>
      <c r="D237" s="641">
        <v>0.2</v>
      </c>
    </row>
    <row r="238" spans="2:4" ht="15" customHeight="1">
      <c r="B238" s="426" t="s">
        <v>549</v>
      </c>
      <c r="C238" s="640">
        <v>20000000</v>
      </c>
      <c r="D238" s="641">
        <v>0.2</v>
      </c>
    </row>
    <row r="239" spans="2:4" ht="15" customHeight="1">
      <c r="B239" s="426" t="s">
        <v>550</v>
      </c>
      <c r="C239" s="640">
        <v>20000000</v>
      </c>
      <c r="D239" s="641">
        <v>0.2</v>
      </c>
    </row>
    <row r="240" spans="2:4" ht="15" customHeight="1">
      <c r="B240" s="426" t="s">
        <v>551</v>
      </c>
      <c r="C240" s="640">
        <v>20000000</v>
      </c>
      <c r="D240" s="641">
        <v>0.2</v>
      </c>
    </row>
    <row r="241" spans="2:4" ht="15" customHeight="1">
      <c r="B241" s="426" t="s">
        <v>552</v>
      </c>
      <c r="C241" s="640">
        <v>20000000</v>
      </c>
      <c r="D241" s="641">
        <v>0.2</v>
      </c>
    </row>
    <row r="242" spans="2:4" ht="15" customHeight="1">
      <c r="B242" s="426" t="s">
        <v>553</v>
      </c>
      <c r="C242" s="640">
        <v>20000000</v>
      </c>
      <c r="D242" s="641">
        <v>0.2</v>
      </c>
    </row>
    <row r="243" spans="2:4" ht="15" customHeight="1">
      <c r="B243" s="426" t="s">
        <v>554</v>
      </c>
      <c r="C243" s="640">
        <v>20000000</v>
      </c>
      <c r="D243" s="641">
        <v>0.2</v>
      </c>
    </row>
    <row r="244" spans="2:4" ht="15" customHeight="1">
      <c r="B244" s="426" t="s">
        <v>555</v>
      </c>
      <c r="C244" s="640">
        <v>20000000</v>
      </c>
      <c r="D244" s="641">
        <v>0.2</v>
      </c>
    </row>
    <row r="245" spans="2:4" ht="15" customHeight="1">
      <c r="B245" s="426" t="s">
        <v>556</v>
      </c>
      <c r="C245" s="640">
        <v>20000000</v>
      </c>
      <c r="D245" s="641">
        <v>0.2</v>
      </c>
    </row>
    <row r="246" spans="2:4" ht="15" customHeight="1">
      <c r="B246" s="426" t="s">
        <v>557</v>
      </c>
      <c r="C246" s="640">
        <v>20000000</v>
      </c>
      <c r="D246" s="641">
        <v>0.2</v>
      </c>
    </row>
    <row r="247" spans="2:4" ht="15" customHeight="1">
      <c r="B247" s="426" t="s">
        <v>558</v>
      </c>
      <c r="C247" s="640">
        <v>20000000</v>
      </c>
      <c r="D247" s="641">
        <v>0.2</v>
      </c>
    </row>
    <row r="248" spans="2:4" ht="15" customHeight="1">
      <c r="B248" s="426" t="s">
        <v>559</v>
      </c>
      <c r="C248" s="640">
        <v>20000000</v>
      </c>
      <c r="D248" s="641">
        <v>0.2</v>
      </c>
    </row>
    <row r="249" spans="2:4" ht="15" customHeight="1">
      <c r="B249" s="426" t="s">
        <v>560</v>
      </c>
      <c r="C249" s="640">
        <v>20000000</v>
      </c>
      <c r="D249" s="641">
        <v>0.2</v>
      </c>
    </row>
    <row r="250" spans="2:4" ht="15" customHeight="1">
      <c r="B250" s="426" t="s">
        <v>561</v>
      </c>
      <c r="C250" s="640">
        <v>12000000</v>
      </c>
      <c r="D250" s="641">
        <v>0.3</v>
      </c>
    </row>
    <row r="251" spans="2:4" ht="15" customHeight="1">
      <c r="B251" s="426" t="s">
        <v>562</v>
      </c>
      <c r="C251" s="640">
        <v>12000000</v>
      </c>
      <c r="D251" s="641">
        <v>0.3</v>
      </c>
    </row>
    <row r="252" spans="2:4" ht="15" customHeight="1">
      <c r="B252" s="426" t="s">
        <v>563</v>
      </c>
      <c r="C252" s="640">
        <v>12000000</v>
      </c>
      <c r="D252" s="641">
        <v>0.3</v>
      </c>
    </row>
    <row r="253" spans="2:4" ht="15" customHeight="1">
      <c r="B253" s="426" t="s">
        <v>564</v>
      </c>
      <c r="C253" s="640">
        <v>12000000</v>
      </c>
      <c r="D253" s="641">
        <v>0.3</v>
      </c>
    </row>
    <row r="254" spans="2:4" ht="15" customHeight="1">
      <c r="B254" s="426" t="s">
        <v>565</v>
      </c>
      <c r="C254" s="640">
        <v>12000000</v>
      </c>
      <c r="D254" s="641">
        <v>0.3</v>
      </c>
    </row>
    <row r="255" spans="2:4" ht="15" customHeight="1">
      <c r="B255" s="426" t="s">
        <v>566</v>
      </c>
      <c r="C255" s="640">
        <v>12000000</v>
      </c>
      <c r="D255" s="641">
        <v>0.3</v>
      </c>
    </row>
    <row r="256" spans="2:4" ht="15" customHeight="1">
      <c r="B256" s="426" t="s">
        <v>567</v>
      </c>
      <c r="C256" s="640">
        <v>12000000</v>
      </c>
      <c r="D256" s="641">
        <v>0.3</v>
      </c>
    </row>
    <row r="257" spans="1:17" ht="15" customHeight="1">
      <c r="B257" s="426" t="s">
        <v>568</v>
      </c>
      <c r="C257" s="640">
        <v>12000000</v>
      </c>
      <c r="D257" s="641">
        <v>0.3</v>
      </c>
    </row>
    <row r="258" spans="1:17" ht="15" customHeight="1">
      <c r="B258" s="426" t="s">
        <v>569</v>
      </c>
      <c r="C258" s="640">
        <v>12000000</v>
      </c>
      <c r="D258" s="641">
        <v>0.3</v>
      </c>
    </row>
    <row r="259" spans="1:17" ht="15" customHeight="1">
      <c r="B259" s="426" t="s">
        <v>570</v>
      </c>
      <c r="C259" s="640">
        <v>12000000</v>
      </c>
      <c r="D259" s="641">
        <v>0.3</v>
      </c>
    </row>
    <row r="260" spans="1:17" ht="15" customHeight="1">
      <c r="B260" s="426" t="s">
        <v>571</v>
      </c>
      <c r="C260" s="640">
        <v>12000000</v>
      </c>
      <c r="D260" s="641">
        <v>0.3</v>
      </c>
    </row>
    <row r="261" spans="1:17" ht="15" customHeight="1">
      <c r="B261" s="426" t="s">
        <v>572</v>
      </c>
      <c r="C261" s="640">
        <v>12000000</v>
      </c>
      <c r="D261" s="641">
        <v>0.3</v>
      </c>
    </row>
    <row r="262" spans="1:17" ht="15" customHeight="1">
      <c r="B262" s="426" t="s">
        <v>573</v>
      </c>
      <c r="C262" s="640">
        <v>12000000</v>
      </c>
      <c r="D262" s="641">
        <v>0.3</v>
      </c>
    </row>
    <row r="263" spans="1:17" ht="15" customHeight="1">
      <c r="B263" s="426" t="s">
        <v>574</v>
      </c>
      <c r="C263" s="640">
        <v>12000000</v>
      </c>
      <c r="D263" s="641">
        <v>0.3</v>
      </c>
    </row>
    <row r="264" spans="1:17" ht="15" customHeight="1">
      <c r="B264" s="426" t="s">
        <v>575</v>
      </c>
      <c r="C264" s="640">
        <v>12000000</v>
      </c>
      <c r="D264" s="641">
        <v>0.3</v>
      </c>
    </row>
    <row r="265" spans="1:17" ht="15" customHeight="1">
      <c r="B265" s="426" t="s">
        <v>576</v>
      </c>
      <c r="C265" s="640">
        <v>12000000</v>
      </c>
      <c r="D265" s="641">
        <v>0.3</v>
      </c>
    </row>
    <row r="266" spans="1:17" ht="15" customHeight="1">
      <c r="B266" s="426" t="s">
        <v>577</v>
      </c>
      <c r="C266" s="640">
        <v>12000000</v>
      </c>
      <c r="D266" s="641">
        <v>0.3</v>
      </c>
    </row>
    <row r="267" spans="1:17" ht="15" customHeight="1">
      <c r="B267" s="142"/>
      <c r="C267" s="142"/>
      <c r="D267" s="142"/>
      <c r="E267" s="142"/>
    </row>
    <row r="272" spans="1:17" ht="15" customHeight="1">
      <c r="A272" s="94" t="s">
        <v>115</v>
      </c>
      <c r="B272" s="95" t="s">
        <v>73</v>
      </c>
      <c r="C272" s="96"/>
      <c r="D272" s="96"/>
      <c r="E272" s="96"/>
      <c r="F272" s="96"/>
      <c r="G272" s="96"/>
      <c r="H272" s="96"/>
      <c r="I272" s="96"/>
      <c r="J272" s="96"/>
      <c r="K272" s="96"/>
      <c r="L272" s="96"/>
      <c r="M272" s="96"/>
      <c r="N272" s="96"/>
      <c r="O272" s="96"/>
      <c r="P272" s="96"/>
      <c r="Q272" s="96"/>
    </row>
    <row r="274" spans="2:11" ht="15" customHeight="1" thickBot="1"/>
    <row r="275" spans="2:11" ht="15" customHeight="1">
      <c r="B275" s="615"/>
      <c r="C275" s="70"/>
      <c r="D275" s="70" t="s">
        <v>76</v>
      </c>
      <c r="E275" s="70"/>
      <c r="F275" s="70"/>
      <c r="G275" s="70"/>
      <c r="H275" s="142"/>
      <c r="I275" s="142"/>
      <c r="J275" s="142"/>
      <c r="K275" s="142"/>
    </row>
    <row r="276" spans="2:11" ht="15" customHeight="1" thickBot="1">
      <c r="B276" s="616" t="s">
        <v>74</v>
      </c>
      <c r="C276" s="72" t="s">
        <v>75</v>
      </c>
      <c r="D276" s="72" t="s">
        <v>65</v>
      </c>
      <c r="E276" s="72" t="s">
        <v>77</v>
      </c>
      <c r="F276" s="72" t="s">
        <v>116</v>
      </c>
      <c r="G276" s="72" t="s">
        <v>43</v>
      </c>
      <c r="H276" s="142"/>
      <c r="I276" s="142"/>
      <c r="J276" s="142"/>
      <c r="K276" s="616" t="s">
        <v>597</v>
      </c>
    </row>
    <row r="277" spans="2:11" ht="15" customHeight="1">
      <c r="B277" s="642" t="s">
        <v>5</v>
      </c>
      <c r="C277" s="617">
        <v>1E-3</v>
      </c>
      <c r="D277" s="618">
        <v>1E-4</v>
      </c>
      <c r="E277" s="618">
        <v>0</v>
      </c>
      <c r="F277" s="643">
        <f>(C277+D277)*(1+E277)</f>
        <v>1.1000000000000001E-3</v>
      </c>
      <c r="G277" s="644">
        <f>F277</f>
        <v>1.1000000000000001E-3</v>
      </c>
      <c r="H277" s="142"/>
      <c r="I277" s="142"/>
      <c r="J277" s="142"/>
      <c r="K277" s="642" t="s">
        <v>3</v>
      </c>
    </row>
    <row r="278" spans="2:11" ht="15" customHeight="1">
      <c r="B278" s="645" t="s">
        <v>6</v>
      </c>
      <c r="C278" s="619">
        <v>2E-3</v>
      </c>
      <c r="D278" s="620">
        <v>8.0000000000000004E-4</v>
      </c>
      <c r="E278" s="621">
        <v>0.21</v>
      </c>
      <c r="F278" s="643">
        <f>(C278+D278)*(1+E278)</f>
        <v>3.388E-3</v>
      </c>
      <c r="G278" s="644">
        <f t="shared" ref="G278:G284" si="3">F278</f>
        <v>3.388E-3</v>
      </c>
      <c r="H278" s="675"/>
      <c r="I278" s="675"/>
      <c r="J278" s="142"/>
      <c r="K278" s="645" t="s">
        <v>592</v>
      </c>
    </row>
    <row r="279" spans="2:11" ht="15" customHeight="1">
      <c r="B279" s="645" t="s">
        <v>578</v>
      </c>
      <c r="C279" s="622">
        <v>8.0000000000000002E-3</v>
      </c>
      <c r="D279" s="622">
        <v>8.0000000000000004E-4</v>
      </c>
      <c r="E279" s="622">
        <v>0.21</v>
      </c>
      <c r="F279" s="643">
        <f t="shared" ref="F279:F284" si="4">(C279+D279)*(1+E279)</f>
        <v>1.0647999999999999E-2</v>
      </c>
      <c r="G279" s="644">
        <f t="shared" si="3"/>
        <v>1.0647999999999999E-2</v>
      </c>
      <c r="H279" s="142"/>
      <c r="I279" s="142"/>
      <c r="J279" s="142"/>
      <c r="K279" s="645" t="s">
        <v>365</v>
      </c>
    </row>
    <row r="280" spans="2:11" ht="15" customHeight="1">
      <c r="B280" s="645" t="s">
        <v>579</v>
      </c>
      <c r="C280" s="623">
        <v>3.5000000000000001E-3</v>
      </c>
      <c r="D280" s="623">
        <v>2E-3</v>
      </c>
      <c r="E280" s="623">
        <v>0.21</v>
      </c>
      <c r="F280" s="643">
        <f t="shared" si="4"/>
        <v>6.6549999999999995E-3</v>
      </c>
      <c r="G280" s="644">
        <f t="shared" si="3"/>
        <v>6.6549999999999995E-3</v>
      </c>
      <c r="H280" s="142"/>
      <c r="I280" s="142"/>
      <c r="J280" s="142"/>
      <c r="K280" s="645" t="s">
        <v>498</v>
      </c>
    </row>
    <row r="281" spans="2:11" ht="15" customHeight="1">
      <c r="B281" s="645" t="s">
        <v>580</v>
      </c>
      <c r="C281" s="623">
        <v>3.5000000000000001E-3</v>
      </c>
      <c r="D281" s="623">
        <v>2E-3</v>
      </c>
      <c r="E281" s="623">
        <v>0.21</v>
      </c>
      <c r="F281" s="643">
        <f t="shared" si="4"/>
        <v>6.6549999999999995E-3</v>
      </c>
      <c r="G281" s="644">
        <f t="shared" si="3"/>
        <v>6.6549999999999995E-3</v>
      </c>
      <c r="H281" s="142"/>
      <c r="I281" s="142"/>
      <c r="J281" s="142"/>
      <c r="K281" s="645" t="s">
        <v>598</v>
      </c>
    </row>
    <row r="282" spans="2:11" ht="15" customHeight="1">
      <c r="B282" s="645" t="s">
        <v>581</v>
      </c>
      <c r="C282" s="623">
        <v>2.5000000000000001E-3</v>
      </c>
      <c r="D282" s="623">
        <v>8.0000000000000004E-4</v>
      </c>
      <c r="E282" s="623">
        <v>0.21</v>
      </c>
      <c r="F282" s="643">
        <f t="shared" si="4"/>
        <v>3.993E-3</v>
      </c>
      <c r="G282" s="644">
        <f t="shared" si="3"/>
        <v>3.993E-3</v>
      </c>
      <c r="H282" s="142"/>
      <c r="I282" s="142"/>
      <c r="J282" s="142"/>
      <c r="K282" s="645" t="s">
        <v>133</v>
      </c>
    </row>
    <row r="283" spans="2:11" ht="15" customHeight="1">
      <c r="B283" s="645" t="s">
        <v>582</v>
      </c>
      <c r="C283" s="620"/>
      <c r="D283" s="621"/>
      <c r="E283" s="621"/>
      <c r="F283" s="643">
        <f t="shared" si="4"/>
        <v>0</v>
      </c>
      <c r="G283" s="644">
        <f t="shared" si="3"/>
        <v>0</v>
      </c>
      <c r="H283" s="142"/>
      <c r="I283" s="142"/>
      <c r="J283" s="142"/>
      <c r="K283" s="645" t="s">
        <v>591</v>
      </c>
    </row>
    <row r="284" spans="2:11" ht="15" customHeight="1">
      <c r="B284" s="645" t="s">
        <v>583</v>
      </c>
      <c r="C284" s="624"/>
      <c r="D284" s="620"/>
      <c r="E284" s="623"/>
      <c r="F284" s="643">
        <f t="shared" si="4"/>
        <v>0</v>
      </c>
      <c r="G284" s="644">
        <f t="shared" si="3"/>
        <v>0</v>
      </c>
      <c r="H284" s="142"/>
      <c r="I284" s="142"/>
      <c r="J284" s="142"/>
      <c r="K284" s="645" t="s">
        <v>519</v>
      </c>
    </row>
    <row r="285" spans="2:11" ht="15" customHeight="1">
      <c r="B285" s="645" t="s">
        <v>584</v>
      </c>
      <c r="C285" s="625">
        <v>1E-3</v>
      </c>
      <c r="D285" s="625">
        <v>1E-4</v>
      </c>
      <c r="E285" s="622"/>
      <c r="F285" s="643">
        <f>(C285+D285)*(1+E285)</f>
        <v>1.1000000000000001E-3</v>
      </c>
      <c r="G285" s="644">
        <f>F285</f>
        <v>1.1000000000000001E-3</v>
      </c>
      <c r="H285" s="142"/>
      <c r="I285" s="142"/>
      <c r="J285" s="142"/>
      <c r="K285" s="142"/>
    </row>
    <row r="286" spans="2:11" ht="15" customHeight="1">
      <c r="B286" s="645" t="s">
        <v>90</v>
      </c>
      <c r="C286" s="625">
        <v>5.0000000000000001E-3</v>
      </c>
      <c r="D286" s="625">
        <v>0</v>
      </c>
      <c r="E286" s="622">
        <v>0.21</v>
      </c>
      <c r="F286" s="643">
        <f>(C286+D286)*(1+E286)</f>
        <v>6.0499999999999998E-3</v>
      </c>
      <c r="G286" s="644">
        <f>F286</f>
        <v>6.0499999999999998E-3</v>
      </c>
      <c r="H286" s="142"/>
      <c r="I286" s="142"/>
      <c r="J286" s="142"/>
      <c r="K286" s="142"/>
    </row>
  </sheetData>
  <mergeCells count="97">
    <mergeCell ref="G38:I38"/>
    <mergeCell ref="G28:I28"/>
    <mergeCell ref="Q28:Q29"/>
    <mergeCell ref="G29:I29"/>
    <mergeCell ref="G30:I30"/>
    <mergeCell ref="G31:I31"/>
    <mergeCell ref="G32:I32"/>
    <mergeCell ref="G33:I33"/>
    <mergeCell ref="G34:I34"/>
    <mergeCell ref="G35:I35"/>
    <mergeCell ref="G36:I36"/>
    <mergeCell ref="G37:I37"/>
    <mergeCell ref="Q30:Q31"/>
    <mergeCell ref="G50:I50"/>
    <mergeCell ref="G39:I39"/>
    <mergeCell ref="G40:I40"/>
    <mergeCell ref="G41:I41"/>
    <mergeCell ref="G42:I42"/>
    <mergeCell ref="G43:I43"/>
    <mergeCell ref="G44:I44"/>
    <mergeCell ref="G45:I45"/>
    <mergeCell ref="G46:I46"/>
    <mergeCell ref="G47:I47"/>
    <mergeCell ref="G48:I48"/>
    <mergeCell ref="G49:I49"/>
    <mergeCell ref="G62:I62"/>
    <mergeCell ref="G51:I51"/>
    <mergeCell ref="G52:I52"/>
    <mergeCell ref="G53:I53"/>
    <mergeCell ref="G54:I54"/>
    <mergeCell ref="G55:I55"/>
    <mergeCell ref="G56:I56"/>
    <mergeCell ref="G57:I57"/>
    <mergeCell ref="G58:I58"/>
    <mergeCell ref="G59:I59"/>
    <mergeCell ref="G60:I60"/>
    <mergeCell ref="G61:I61"/>
    <mergeCell ref="G74:I74"/>
    <mergeCell ref="G63:I63"/>
    <mergeCell ref="G64:I64"/>
    <mergeCell ref="G65:I65"/>
    <mergeCell ref="G66:I66"/>
    <mergeCell ref="G67:I67"/>
    <mergeCell ref="G68:I68"/>
    <mergeCell ref="G69:I69"/>
    <mergeCell ref="G70:I70"/>
    <mergeCell ref="G71:I71"/>
    <mergeCell ref="G72:I72"/>
    <mergeCell ref="G73:I73"/>
    <mergeCell ref="G86:I86"/>
    <mergeCell ref="G75:I75"/>
    <mergeCell ref="G76:I76"/>
    <mergeCell ref="G77:I77"/>
    <mergeCell ref="G78:I78"/>
    <mergeCell ref="G79:I79"/>
    <mergeCell ref="G80:I80"/>
    <mergeCell ref="G81:I81"/>
    <mergeCell ref="G82:I82"/>
    <mergeCell ref="G83:I83"/>
    <mergeCell ref="G84:I84"/>
    <mergeCell ref="G85:I85"/>
    <mergeCell ref="G98:I98"/>
    <mergeCell ref="G87:I87"/>
    <mergeCell ref="G88:I88"/>
    <mergeCell ref="G89:I89"/>
    <mergeCell ref="G90:I90"/>
    <mergeCell ref="G91:I91"/>
    <mergeCell ref="G92:I92"/>
    <mergeCell ref="G93:I93"/>
    <mergeCell ref="G94:I94"/>
    <mergeCell ref="G95:I95"/>
    <mergeCell ref="G96:I96"/>
    <mergeCell ref="G97:I97"/>
    <mergeCell ref="G110:I110"/>
    <mergeCell ref="G99:I99"/>
    <mergeCell ref="G100:I100"/>
    <mergeCell ref="G101:I101"/>
    <mergeCell ref="G102:I102"/>
    <mergeCell ref="G103:I103"/>
    <mergeCell ref="G104:I104"/>
    <mergeCell ref="G105:I105"/>
    <mergeCell ref="G106:I106"/>
    <mergeCell ref="G107:I107"/>
    <mergeCell ref="G108:I108"/>
    <mergeCell ref="G109:I109"/>
    <mergeCell ref="G122:I122"/>
    <mergeCell ref="G111:I111"/>
    <mergeCell ref="G112:I112"/>
    <mergeCell ref="G113:I113"/>
    <mergeCell ref="G114:I114"/>
    <mergeCell ref="G115:I115"/>
    <mergeCell ref="G116:I116"/>
    <mergeCell ref="G117:I117"/>
    <mergeCell ref="G118:I118"/>
    <mergeCell ref="G119:I119"/>
    <mergeCell ref="G120:I120"/>
    <mergeCell ref="G121:I1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7137" r:id="rId4" name="Option Button 1">
              <controlPr defaultSize="0" autoFill="0" autoLine="0" autoPict="0">
                <anchor moveWithCells="1">
                  <from>
                    <xdr:col>11</xdr:col>
                    <xdr:colOff>121920</xdr:colOff>
                    <xdr:row>5</xdr:row>
                    <xdr:rowOff>68580</xdr:rowOff>
                  </from>
                  <to>
                    <xdr:col>11</xdr:col>
                    <xdr:colOff>480060</xdr:colOff>
                    <xdr:row>6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138" r:id="rId5" name="Option Button 2">
              <controlPr defaultSize="0" autoFill="0" autoLine="0" autoPict="0">
                <anchor moveWithCells="1">
                  <from>
                    <xdr:col>12</xdr:col>
                    <xdr:colOff>182880</xdr:colOff>
                    <xdr:row>5</xdr:row>
                    <xdr:rowOff>60960</xdr:rowOff>
                  </from>
                  <to>
                    <xdr:col>12</xdr:col>
                    <xdr:colOff>579120</xdr:colOff>
                    <xdr:row>6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139" r:id="rId6" name="Group Box 3">
              <controlPr defaultSize="0" autoFill="0" autoPict="0">
                <anchor moveWithCells="1">
                  <from>
                    <xdr:col>10</xdr:col>
                    <xdr:colOff>609600</xdr:colOff>
                    <xdr:row>5</xdr:row>
                    <xdr:rowOff>7620</xdr:rowOff>
                  </from>
                  <to>
                    <xdr:col>15</xdr:col>
                    <xdr:colOff>601980</xdr:colOff>
                    <xdr:row>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140" r:id="rId7" name="Option Button 4">
              <controlPr defaultSize="0" autoFill="0" autoLine="0" autoPict="0">
                <anchor moveWithCells="1">
                  <from>
                    <xdr:col>13</xdr:col>
                    <xdr:colOff>129540</xdr:colOff>
                    <xdr:row>10</xdr:row>
                    <xdr:rowOff>144780</xdr:rowOff>
                  </from>
                  <to>
                    <xdr:col>14</xdr:col>
                    <xdr:colOff>205740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141" r:id="rId8" name="Option Button 5">
              <controlPr defaultSize="0" autoFill="0" autoLine="0" autoPict="0">
                <anchor moveWithCells="1">
                  <from>
                    <xdr:col>13</xdr:col>
                    <xdr:colOff>121920</xdr:colOff>
                    <xdr:row>13</xdr:row>
                    <xdr:rowOff>121920</xdr:rowOff>
                  </from>
                  <to>
                    <xdr:col>15</xdr:col>
                    <xdr:colOff>7620</xdr:colOff>
                    <xdr:row>14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142" r:id="rId9" name="Option Button 6">
              <controlPr defaultSize="0" autoFill="0" autoLine="0" autoPict="0">
                <anchor moveWithCells="1">
                  <from>
                    <xdr:col>13</xdr:col>
                    <xdr:colOff>182880</xdr:colOff>
                    <xdr:row>5</xdr:row>
                    <xdr:rowOff>60960</xdr:rowOff>
                  </from>
                  <to>
                    <xdr:col>14</xdr:col>
                    <xdr:colOff>68580</xdr:colOff>
                    <xdr:row>6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143" r:id="rId10" name="Option Button 7">
              <controlPr defaultSize="0" autoFill="0" autoLine="0" autoPict="0">
                <anchor moveWithCells="1">
                  <from>
                    <xdr:col>14</xdr:col>
                    <xdr:colOff>243840</xdr:colOff>
                    <xdr:row>5</xdr:row>
                    <xdr:rowOff>60960</xdr:rowOff>
                  </from>
                  <to>
                    <xdr:col>15</xdr:col>
                    <xdr:colOff>426720</xdr:colOff>
                    <xdr:row>6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M13"/>
  <sheetViews>
    <sheetView workbookViewId="0"/>
    <sheetView workbookViewId="1"/>
    <sheetView workbookViewId="2"/>
  </sheetViews>
  <sheetFormatPr baseColWidth="10" defaultColWidth="11.44140625" defaultRowHeight="15" customHeight="1"/>
  <cols>
    <col min="1" max="1" width="3.6640625" style="1" customWidth="1"/>
    <col min="2" max="2" width="18.6640625" style="1" bestFit="1" customWidth="1"/>
    <col min="3" max="10" width="15.6640625" style="1" customWidth="1"/>
    <col min="11" max="13" width="10.6640625" style="1" customWidth="1"/>
    <col min="14" max="16384" width="11.44140625" style="1"/>
  </cols>
  <sheetData>
    <row r="1" spans="1:13" ht="17.100000000000001" customHeight="1">
      <c r="A1" s="2" t="s">
        <v>1</v>
      </c>
      <c r="J1" s="5" t="s">
        <v>0</v>
      </c>
      <c r="K1" s="1072">
        <f ca="1">TODAY()</f>
        <v>44615</v>
      </c>
      <c r="L1" s="1072"/>
      <c r="M1" s="1072"/>
    </row>
    <row r="2" spans="1:13" ht="4.5" customHeight="1"/>
    <row r="3" spans="1:13" ht="17.100000000000001" customHeight="1">
      <c r="A3" s="3"/>
      <c r="B3" s="3"/>
      <c r="C3" s="3"/>
      <c r="D3" s="4"/>
      <c r="E3" s="4"/>
      <c r="F3" s="4" t="s">
        <v>7</v>
      </c>
      <c r="G3" s="4"/>
      <c r="H3" s="4"/>
      <c r="I3" s="4"/>
      <c r="J3" s="3"/>
      <c r="K3" s="3"/>
      <c r="L3" s="3"/>
      <c r="M3" s="3"/>
    </row>
    <row r="6" spans="1:13" ht="15" customHeight="1" thickBot="1">
      <c r="B6" s="67" t="s">
        <v>68</v>
      </c>
      <c r="C6" s="68"/>
      <c r="D6" s="68"/>
      <c r="E6" s="6"/>
      <c r="F6" s="6"/>
      <c r="G6" s="6"/>
      <c r="H6" s="6"/>
      <c r="I6" s="6"/>
      <c r="J6" s="6"/>
    </row>
    <row r="7" spans="1:13" ht="15" customHeight="1" thickBot="1">
      <c r="B7" s="36" t="s">
        <v>17</v>
      </c>
      <c r="C7" s="36" t="s">
        <v>2</v>
      </c>
      <c r="D7" s="36" t="s">
        <v>20</v>
      </c>
      <c r="E7" s="36" t="s">
        <v>67</v>
      </c>
      <c r="F7" s="36" t="s">
        <v>146</v>
      </c>
      <c r="G7" s="36" t="s">
        <v>255</v>
      </c>
      <c r="H7" s="36" t="s">
        <v>260</v>
      </c>
      <c r="I7" s="36" t="s">
        <v>272</v>
      </c>
      <c r="J7" s="36"/>
    </row>
    <row r="8" spans="1:13" ht="15" customHeight="1">
      <c r="B8" s="7">
        <v>0</v>
      </c>
      <c r="C8" s="24"/>
      <c r="D8" s="24"/>
      <c r="E8" s="24"/>
      <c r="F8" s="24"/>
      <c r="G8" s="24" t="s">
        <v>254</v>
      </c>
      <c r="H8" s="24" t="s">
        <v>252</v>
      </c>
      <c r="I8" s="426" t="s">
        <v>265</v>
      </c>
      <c r="J8" s="24"/>
    </row>
    <row r="9" spans="1:13" ht="15" customHeight="1">
      <c r="B9" s="7">
        <v>1</v>
      </c>
      <c r="C9" s="24" t="s">
        <v>10</v>
      </c>
      <c r="D9" s="24" t="s">
        <v>18</v>
      </c>
      <c r="E9" s="24" t="s">
        <v>56</v>
      </c>
      <c r="F9" s="24" t="s">
        <v>147</v>
      </c>
      <c r="G9" s="24" t="s">
        <v>261</v>
      </c>
      <c r="H9" s="24" t="s">
        <v>259</v>
      </c>
      <c r="I9" s="426" t="s">
        <v>271</v>
      </c>
      <c r="J9" s="24"/>
    </row>
    <row r="10" spans="1:13" ht="15" customHeight="1">
      <c r="B10" s="7">
        <v>2</v>
      </c>
      <c r="C10" s="24" t="s">
        <v>11</v>
      </c>
      <c r="D10" s="24" t="s">
        <v>19</v>
      </c>
      <c r="E10" s="24" t="s">
        <v>69</v>
      </c>
      <c r="F10" s="24" t="s">
        <v>145</v>
      </c>
      <c r="G10" s="24"/>
      <c r="H10" s="24"/>
      <c r="I10" s="24"/>
      <c r="J10" s="24"/>
    </row>
    <row r="11" spans="1:13" ht="15" customHeight="1">
      <c r="B11" s="7">
        <v>3</v>
      </c>
      <c r="C11" s="24" t="s">
        <v>308</v>
      </c>
      <c r="D11" s="24"/>
      <c r="E11" s="24"/>
      <c r="F11" s="24"/>
      <c r="G11" s="24"/>
      <c r="H11" s="24"/>
      <c r="I11" s="24"/>
      <c r="J11" s="24"/>
    </row>
    <row r="12" spans="1:13" ht="15" customHeight="1">
      <c r="B12" s="7">
        <v>4</v>
      </c>
      <c r="C12" s="24"/>
      <c r="D12" s="24"/>
      <c r="E12" s="24"/>
      <c r="F12" s="24"/>
      <c r="G12" s="24"/>
      <c r="H12" s="24"/>
      <c r="I12" s="24"/>
      <c r="J12" s="24"/>
    </row>
    <row r="13" spans="1:13" ht="15" customHeight="1">
      <c r="B13" s="7">
        <v>5</v>
      </c>
      <c r="C13" s="24"/>
      <c r="D13" s="24"/>
      <c r="E13" s="24"/>
      <c r="F13" s="24"/>
      <c r="G13" s="24"/>
      <c r="H13" s="24"/>
      <c r="I13" s="24"/>
      <c r="J13" s="24"/>
    </row>
  </sheetData>
  <mergeCells count="1">
    <mergeCell ref="K1:M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N24"/>
  <sheetViews>
    <sheetView workbookViewId="0"/>
    <sheetView workbookViewId="1"/>
    <sheetView workbookViewId="2"/>
  </sheetViews>
  <sheetFormatPr baseColWidth="10" defaultColWidth="11.44140625" defaultRowHeight="15" customHeight="1"/>
  <cols>
    <col min="1" max="1" width="3.6640625" style="1" customWidth="1"/>
    <col min="2" max="10" width="15.6640625" style="1" customWidth="1"/>
    <col min="11" max="11" width="11.6640625" style="1" customWidth="1"/>
    <col min="12" max="12" width="13.33203125" style="1" customWidth="1"/>
    <col min="13" max="13" width="12.88671875" style="1" customWidth="1"/>
    <col min="14" max="16384" width="11.44140625" style="1"/>
  </cols>
  <sheetData>
    <row r="1" spans="1:14" ht="17.100000000000001" customHeight="1">
      <c r="A1" s="2" t="s">
        <v>1</v>
      </c>
      <c r="K1" s="5" t="s">
        <v>0</v>
      </c>
      <c r="L1" s="1072">
        <f ca="1">TODAY()</f>
        <v>44615</v>
      </c>
      <c r="M1" s="1072"/>
      <c r="N1" s="30"/>
    </row>
    <row r="2" spans="1:14" ht="4.5" customHeight="1"/>
    <row r="3" spans="1:14" ht="17.100000000000001" customHeight="1">
      <c r="A3" s="3"/>
      <c r="B3" s="3"/>
      <c r="C3" s="3"/>
      <c r="D3" s="3"/>
      <c r="E3" s="3"/>
      <c r="F3" s="3"/>
      <c r="G3" s="4" t="s">
        <v>21</v>
      </c>
      <c r="H3" s="4"/>
      <c r="I3" s="4"/>
      <c r="J3" s="4"/>
      <c r="K3" s="4"/>
      <c r="L3" s="3"/>
      <c r="M3" s="3"/>
    </row>
    <row r="4" spans="1:14" s="8" customFormat="1" ht="15" customHeight="1"/>
    <row r="5" spans="1:14" s="8" customFormat="1" ht="15" customHeight="1" thickBot="1">
      <c r="B5" s="21">
        <v>1</v>
      </c>
      <c r="C5" s="21">
        <v>2</v>
      </c>
      <c r="D5" s="1074">
        <v>3</v>
      </c>
      <c r="E5" s="1074"/>
      <c r="F5" s="1074"/>
      <c r="G5" s="1074"/>
      <c r="H5" s="1074"/>
      <c r="I5" s="1074"/>
      <c r="J5" s="1074"/>
      <c r="K5" s="21">
        <v>4</v>
      </c>
    </row>
    <row r="6" spans="1:14" s="8" customFormat="1" ht="24.9" customHeight="1" thickBot="1">
      <c r="B6" s="31" t="s">
        <v>22</v>
      </c>
      <c r="C6" s="31" t="s">
        <v>23</v>
      </c>
      <c r="D6" s="1075" t="s">
        <v>24</v>
      </c>
      <c r="E6" s="1075"/>
      <c r="F6" s="1075"/>
      <c r="G6" s="1075"/>
      <c r="H6" s="1075"/>
      <c r="I6" s="1075"/>
      <c r="J6" s="1075"/>
      <c r="K6" s="31" t="s">
        <v>25</v>
      </c>
    </row>
    <row r="7" spans="1:14" s="8" customFormat="1" ht="30" customHeight="1">
      <c r="B7" s="32">
        <v>42707</v>
      </c>
      <c r="C7" s="33" t="s">
        <v>26</v>
      </c>
      <c r="D7" s="1076" t="s">
        <v>36</v>
      </c>
      <c r="E7" s="1076"/>
      <c r="F7" s="1076"/>
      <c r="G7" s="1076"/>
      <c r="H7" s="1076"/>
      <c r="I7" s="1076"/>
      <c r="J7" s="1076"/>
      <c r="K7" s="34"/>
    </row>
    <row r="8" spans="1:14" s="8" customFormat="1" ht="15" customHeight="1">
      <c r="B8" s="32"/>
      <c r="C8" s="33"/>
      <c r="D8" s="1073"/>
      <c r="E8" s="1073"/>
      <c r="F8" s="1073"/>
      <c r="G8" s="1073"/>
      <c r="H8" s="1073"/>
      <c r="I8" s="1073"/>
      <c r="J8" s="1073"/>
      <c r="K8" s="34"/>
    </row>
    <row r="9" spans="1:14" s="8" customFormat="1" ht="15" customHeight="1">
      <c r="B9" s="32"/>
      <c r="C9" s="33"/>
      <c r="D9" s="1073"/>
      <c r="E9" s="1073"/>
      <c r="F9" s="1073"/>
      <c r="G9" s="1073"/>
      <c r="H9" s="1073"/>
      <c r="I9" s="1073"/>
      <c r="J9" s="1073"/>
      <c r="K9" s="34"/>
    </row>
    <row r="10" spans="1:14" s="8" customFormat="1" ht="15" customHeight="1">
      <c r="B10" s="32"/>
      <c r="C10" s="33"/>
      <c r="D10" s="1073"/>
      <c r="E10" s="1073"/>
      <c r="F10" s="1073"/>
      <c r="G10" s="1073"/>
      <c r="H10" s="1073"/>
      <c r="I10" s="1073"/>
      <c r="J10" s="1073"/>
      <c r="K10" s="34"/>
    </row>
    <row r="11" spans="1:14" s="8" customFormat="1" ht="15" customHeight="1">
      <c r="B11" s="32"/>
      <c r="C11" s="33"/>
      <c r="D11" s="1073"/>
      <c r="E11" s="1073"/>
      <c r="F11" s="1073"/>
      <c r="G11" s="1073"/>
      <c r="H11" s="1073"/>
      <c r="I11" s="1073"/>
      <c r="J11" s="1073"/>
      <c r="K11" s="34"/>
    </row>
    <row r="12" spans="1:14" s="8" customFormat="1" ht="15" customHeight="1">
      <c r="B12" s="32"/>
      <c r="C12" s="33"/>
      <c r="D12" s="1073"/>
      <c r="E12" s="1073"/>
      <c r="F12" s="1073"/>
      <c r="G12" s="1073"/>
      <c r="H12" s="1073"/>
      <c r="I12" s="1073"/>
      <c r="J12" s="1073"/>
      <c r="K12" s="34"/>
    </row>
    <row r="13" spans="1:14" s="8" customFormat="1" ht="15" customHeight="1">
      <c r="B13" s="32"/>
      <c r="C13" s="33"/>
      <c r="D13" s="1073"/>
      <c r="E13" s="1073"/>
      <c r="F13" s="1073"/>
      <c r="G13" s="1073"/>
      <c r="H13" s="1073"/>
      <c r="I13" s="1073"/>
      <c r="J13" s="1073"/>
      <c r="K13" s="34"/>
    </row>
    <row r="14" spans="1:14" s="8" customFormat="1" ht="15" customHeight="1">
      <c r="B14" s="32"/>
      <c r="C14" s="33"/>
      <c r="D14" s="1073"/>
      <c r="E14" s="1073"/>
      <c r="F14" s="1073"/>
      <c r="G14" s="1073"/>
      <c r="H14" s="1073"/>
      <c r="I14" s="1073"/>
      <c r="J14" s="1073"/>
      <c r="K14" s="34"/>
    </row>
    <row r="15" spans="1:14" s="8" customFormat="1" ht="15" customHeight="1">
      <c r="B15" s="32"/>
      <c r="C15" s="33"/>
      <c r="D15" s="1073"/>
      <c r="E15" s="1073"/>
      <c r="F15" s="1073"/>
      <c r="G15" s="1073"/>
      <c r="H15" s="1073"/>
      <c r="I15" s="1073"/>
      <c r="J15" s="1073"/>
      <c r="K15" s="34"/>
    </row>
    <row r="16" spans="1:14" s="8" customFormat="1" ht="15" customHeight="1">
      <c r="B16" s="32"/>
      <c r="C16" s="33"/>
      <c r="D16" s="1073"/>
      <c r="E16" s="1073"/>
      <c r="F16" s="1073"/>
      <c r="G16" s="1073"/>
      <c r="H16" s="1073"/>
      <c r="I16" s="1073"/>
      <c r="J16" s="1073"/>
      <c r="K16" s="34"/>
    </row>
    <row r="17" spans="2:11" s="8" customFormat="1" ht="15" customHeight="1">
      <c r="B17" s="32"/>
      <c r="C17" s="33"/>
      <c r="D17" s="1073"/>
      <c r="E17" s="1073"/>
      <c r="F17" s="1073"/>
      <c r="G17" s="1073"/>
      <c r="H17" s="1073"/>
      <c r="I17" s="1073"/>
      <c r="J17" s="1073"/>
      <c r="K17" s="34"/>
    </row>
    <row r="18" spans="2:11" ht="15" customHeight="1">
      <c r="B18" s="32"/>
      <c r="C18" s="33"/>
      <c r="D18" s="1073"/>
      <c r="E18" s="1073"/>
      <c r="F18" s="1073"/>
      <c r="G18" s="1073"/>
      <c r="H18" s="1073"/>
      <c r="I18" s="1073"/>
      <c r="J18" s="1073"/>
      <c r="K18" s="34"/>
    </row>
    <row r="19" spans="2:11" ht="15" customHeight="1">
      <c r="B19" s="32"/>
      <c r="C19" s="33"/>
      <c r="D19" s="1073"/>
      <c r="E19" s="1073"/>
      <c r="F19" s="1073"/>
      <c r="G19" s="1073"/>
      <c r="H19" s="1073"/>
      <c r="I19" s="1073"/>
      <c r="J19" s="1073"/>
      <c r="K19" s="34"/>
    </row>
    <row r="20" spans="2:11" ht="15" customHeight="1">
      <c r="B20" s="32"/>
      <c r="C20" s="33"/>
      <c r="D20" s="1073"/>
      <c r="E20" s="1073"/>
      <c r="F20" s="1073"/>
      <c r="G20" s="1073"/>
      <c r="H20" s="1073"/>
      <c r="I20" s="1073"/>
      <c r="J20" s="1073"/>
      <c r="K20" s="34"/>
    </row>
    <row r="21" spans="2:11" ht="15" customHeight="1">
      <c r="B21" s="32"/>
      <c r="C21" s="33"/>
      <c r="D21" s="1073"/>
      <c r="E21" s="1073"/>
      <c r="F21" s="1073"/>
      <c r="G21" s="1073"/>
      <c r="H21" s="1073"/>
      <c r="I21" s="1073"/>
      <c r="J21" s="1073"/>
      <c r="K21" s="34"/>
    </row>
    <row r="22" spans="2:11" ht="15" customHeight="1">
      <c r="B22" s="32"/>
      <c r="C22" s="33"/>
      <c r="D22" s="1073"/>
      <c r="E22" s="1073"/>
      <c r="F22" s="1073"/>
      <c r="G22" s="1073"/>
      <c r="H22" s="1073"/>
      <c r="I22" s="1073"/>
      <c r="J22" s="1073"/>
      <c r="K22" s="34"/>
    </row>
    <row r="23" spans="2:11" ht="15" customHeight="1">
      <c r="B23" s="32"/>
      <c r="C23" s="33"/>
      <c r="D23" s="1073"/>
      <c r="E23" s="1073"/>
      <c r="F23" s="1073"/>
      <c r="G23" s="1073"/>
      <c r="H23" s="1073"/>
      <c r="I23" s="1073"/>
      <c r="J23" s="1073"/>
      <c r="K23" s="34"/>
    </row>
    <row r="24" spans="2:11" ht="15" customHeight="1">
      <c r="B24" s="32"/>
      <c r="C24" s="33"/>
      <c r="D24" s="1073"/>
      <c r="E24" s="1073"/>
      <c r="F24" s="1073"/>
      <c r="G24" s="1073"/>
      <c r="H24" s="1073"/>
      <c r="I24" s="1073"/>
      <c r="J24" s="1073"/>
      <c r="K24" s="34"/>
    </row>
  </sheetData>
  <mergeCells count="21">
    <mergeCell ref="D22:J22"/>
    <mergeCell ref="D23:J23"/>
    <mergeCell ref="D24:J24"/>
    <mergeCell ref="D16:J16"/>
    <mergeCell ref="D17:J17"/>
    <mergeCell ref="D18:J18"/>
    <mergeCell ref="D19:J19"/>
    <mergeCell ref="D20:J20"/>
    <mergeCell ref="D21:J21"/>
    <mergeCell ref="D15:J15"/>
    <mergeCell ref="L1:M1"/>
    <mergeCell ref="D5:J5"/>
    <mergeCell ref="D6:J6"/>
    <mergeCell ref="D7:J7"/>
    <mergeCell ref="D8:J8"/>
    <mergeCell ref="D9:J9"/>
    <mergeCell ref="D10:J10"/>
    <mergeCell ref="D11:J11"/>
    <mergeCell ref="D12:J12"/>
    <mergeCell ref="D13:J13"/>
    <mergeCell ref="D14:J14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M24"/>
  <sheetViews>
    <sheetView workbookViewId="0"/>
    <sheetView workbookViewId="1"/>
    <sheetView workbookViewId="2"/>
  </sheetViews>
  <sheetFormatPr baseColWidth="10" defaultColWidth="11.44140625" defaultRowHeight="15" customHeight="1"/>
  <cols>
    <col min="1" max="1" width="3.6640625" style="1" customWidth="1"/>
    <col min="2" max="9" width="15.6640625" style="1" customWidth="1"/>
    <col min="10" max="10" width="26.6640625" style="1" customWidth="1"/>
    <col min="11" max="11" width="13.33203125" style="1" customWidth="1"/>
    <col min="12" max="12" width="12.88671875" style="1" customWidth="1"/>
    <col min="13" max="16384" width="11.44140625" style="1"/>
  </cols>
  <sheetData>
    <row r="1" spans="1:13" ht="17.100000000000001" customHeight="1">
      <c r="A1" s="2" t="s">
        <v>1</v>
      </c>
      <c r="J1" s="5" t="s">
        <v>0</v>
      </c>
      <c r="K1" s="1072">
        <f ca="1">TODAY()</f>
        <v>44615</v>
      </c>
      <c r="L1" s="1072"/>
      <c r="M1" s="30"/>
    </row>
    <row r="2" spans="1:13" ht="4.5" customHeight="1"/>
    <row r="3" spans="1:13" ht="17.100000000000001" customHeight="1">
      <c r="A3" s="3"/>
      <c r="B3" s="3"/>
      <c r="C3" s="3"/>
      <c r="D3" s="3"/>
      <c r="E3" s="3"/>
      <c r="F3" s="3"/>
      <c r="G3" s="4" t="s">
        <v>27</v>
      </c>
      <c r="H3" s="4"/>
      <c r="I3" s="4"/>
      <c r="J3" s="4"/>
      <c r="K3" s="3"/>
      <c r="L3" s="3"/>
    </row>
    <row r="4" spans="1:13" s="8" customFormat="1" ht="15" customHeight="1"/>
    <row r="5" spans="1:13" s="8" customFormat="1" ht="15" customHeight="1" thickBot="1">
      <c r="B5" s="21">
        <v>1</v>
      </c>
      <c r="C5" s="21">
        <v>2</v>
      </c>
      <c r="D5" s="1074">
        <v>3</v>
      </c>
      <c r="E5" s="1074"/>
      <c r="F5" s="1074"/>
      <c r="G5" s="1074"/>
      <c r="H5" s="1074"/>
      <c r="I5" s="1074"/>
      <c r="J5" s="21">
        <v>4</v>
      </c>
    </row>
    <row r="6" spans="1:13" s="8" customFormat="1" ht="24.9" customHeight="1" thickBot="1">
      <c r="B6" s="31" t="s">
        <v>28</v>
      </c>
      <c r="C6" s="31" t="s">
        <v>22</v>
      </c>
      <c r="D6" s="1075" t="s">
        <v>29</v>
      </c>
      <c r="E6" s="1075"/>
      <c r="F6" s="1075"/>
      <c r="G6" s="1075"/>
      <c r="H6" s="1075"/>
      <c r="I6" s="1075"/>
      <c r="J6" s="31" t="s">
        <v>23</v>
      </c>
    </row>
    <row r="7" spans="1:13" s="8" customFormat="1" ht="30" customHeight="1">
      <c r="B7" s="35" t="s">
        <v>30</v>
      </c>
      <c r="C7" s="32">
        <v>42554</v>
      </c>
      <c r="D7" s="1078" t="s">
        <v>31</v>
      </c>
      <c r="E7" s="1078"/>
      <c r="F7" s="1078"/>
      <c r="G7" s="1078"/>
      <c r="H7" s="1078"/>
      <c r="I7" s="1078"/>
      <c r="J7" s="34" t="s">
        <v>1</v>
      </c>
    </row>
    <row r="8" spans="1:13" s="8" customFormat="1" ht="15" customHeight="1">
      <c r="B8" s="35" t="s">
        <v>37</v>
      </c>
      <c r="C8" s="32">
        <v>42707</v>
      </c>
      <c r="D8" s="1077" t="s">
        <v>38</v>
      </c>
      <c r="E8" s="1077"/>
      <c r="F8" s="1077"/>
      <c r="G8" s="1077"/>
      <c r="H8" s="1077"/>
      <c r="I8" s="1077"/>
      <c r="J8" s="37" t="s">
        <v>1</v>
      </c>
    </row>
    <row r="9" spans="1:13" s="8" customFormat="1" ht="15" customHeight="1">
      <c r="B9" s="35" t="s">
        <v>315</v>
      </c>
      <c r="C9" s="32">
        <v>43651</v>
      </c>
      <c r="D9" s="1077" t="s">
        <v>316</v>
      </c>
      <c r="E9" s="1077"/>
      <c r="F9" s="1077"/>
      <c r="G9" s="1077"/>
      <c r="H9" s="1077"/>
      <c r="I9" s="1077"/>
      <c r="J9" s="34"/>
    </row>
    <row r="10" spans="1:13" s="8" customFormat="1" ht="15" customHeight="1">
      <c r="B10" s="35" t="s">
        <v>321</v>
      </c>
      <c r="C10" s="32">
        <v>43697</v>
      </c>
      <c r="D10" s="1077" t="s">
        <v>322</v>
      </c>
      <c r="E10" s="1077"/>
      <c r="F10" s="1077"/>
      <c r="G10" s="1077"/>
      <c r="H10" s="1077"/>
      <c r="I10" s="1077"/>
      <c r="J10" s="34"/>
    </row>
    <row r="11" spans="1:13" s="8" customFormat="1" ht="15" customHeight="1">
      <c r="B11" s="35" t="s">
        <v>336</v>
      </c>
      <c r="C11" s="32">
        <v>43819</v>
      </c>
      <c r="D11" s="1077" t="s">
        <v>337</v>
      </c>
      <c r="E11" s="1077"/>
      <c r="F11" s="1077"/>
      <c r="G11" s="1077"/>
      <c r="H11" s="1077"/>
      <c r="I11" s="1077"/>
      <c r="J11" s="34"/>
    </row>
    <row r="12" spans="1:13" s="8" customFormat="1" ht="15" customHeight="1">
      <c r="B12" s="35"/>
      <c r="C12" s="32"/>
      <c r="D12" s="1077"/>
      <c r="E12" s="1077"/>
      <c r="F12" s="1077"/>
      <c r="G12" s="1077"/>
      <c r="H12" s="1077"/>
      <c r="I12" s="1077"/>
      <c r="J12" s="34"/>
    </row>
    <row r="13" spans="1:13" s="8" customFormat="1" ht="15" customHeight="1">
      <c r="B13" s="35"/>
      <c r="C13" s="32"/>
      <c r="D13" s="1077"/>
      <c r="E13" s="1077"/>
      <c r="F13" s="1077"/>
      <c r="G13" s="1077"/>
      <c r="H13" s="1077"/>
      <c r="I13" s="1077"/>
      <c r="J13" s="34"/>
    </row>
    <row r="14" spans="1:13" s="8" customFormat="1" ht="15" customHeight="1">
      <c r="B14" s="35"/>
      <c r="C14" s="32"/>
      <c r="D14" s="1077"/>
      <c r="E14" s="1077"/>
      <c r="F14" s="1077"/>
      <c r="G14" s="1077"/>
      <c r="H14" s="1077"/>
      <c r="I14" s="1077"/>
      <c r="J14" s="34"/>
    </row>
    <row r="15" spans="1:13" s="8" customFormat="1" ht="15" customHeight="1">
      <c r="B15" s="35"/>
      <c r="C15" s="32"/>
      <c r="D15" s="1077"/>
      <c r="E15" s="1077"/>
      <c r="F15" s="1077"/>
      <c r="G15" s="1077"/>
      <c r="H15" s="1077"/>
      <c r="I15" s="1077"/>
      <c r="J15" s="34"/>
    </row>
    <row r="16" spans="1:13" s="8" customFormat="1" ht="15" customHeight="1">
      <c r="B16" s="35"/>
      <c r="C16" s="32"/>
      <c r="D16" s="1077"/>
      <c r="E16" s="1077"/>
      <c r="F16" s="1077"/>
      <c r="G16" s="1077"/>
      <c r="H16" s="1077"/>
      <c r="I16" s="1077"/>
      <c r="J16" s="34"/>
    </row>
    <row r="17" spans="2:10" s="8" customFormat="1" ht="15" customHeight="1">
      <c r="B17" s="35"/>
      <c r="C17" s="32"/>
      <c r="D17" s="1077"/>
      <c r="E17" s="1077"/>
      <c r="F17" s="1077"/>
      <c r="G17" s="1077"/>
      <c r="H17" s="1077"/>
      <c r="I17" s="1077"/>
      <c r="J17" s="34"/>
    </row>
    <row r="18" spans="2:10" ht="15" customHeight="1">
      <c r="B18" s="35"/>
      <c r="C18" s="32"/>
      <c r="D18" s="1077"/>
      <c r="E18" s="1077"/>
      <c r="F18" s="1077"/>
      <c r="G18" s="1077"/>
      <c r="H18" s="1077"/>
      <c r="I18" s="1077"/>
      <c r="J18" s="34"/>
    </row>
    <row r="19" spans="2:10" ht="15" customHeight="1">
      <c r="B19" s="35"/>
      <c r="C19" s="32"/>
      <c r="D19" s="1077"/>
      <c r="E19" s="1077"/>
      <c r="F19" s="1077"/>
      <c r="G19" s="1077"/>
      <c r="H19" s="1077"/>
      <c r="I19" s="1077"/>
      <c r="J19" s="34"/>
    </row>
    <row r="20" spans="2:10" ht="15" customHeight="1">
      <c r="B20" s="35"/>
      <c r="C20" s="32"/>
      <c r="D20" s="1077"/>
      <c r="E20" s="1077"/>
      <c r="F20" s="1077"/>
      <c r="G20" s="1077"/>
      <c r="H20" s="1077"/>
      <c r="I20" s="1077"/>
      <c r="J20" s="34"/>
    </row>
    <row r="21" spans="2:10" ht="15" customHeight="1">
      <c r="B21" s="35"/>
      <c r="C21" s="32"/>
      <c r="D21" s="1077"/>
      <c r="E21" s="1077"/>
      <c r="F21" s="1077"/>
      <c r="G21" s="1077"/>
      <c r="H21" s="1077"/>
      <c r="I21" s="1077"/>
      <c r="J21" s="34"/>
    </row>
    <row r="22" spans="2:10" ht="15" customHeight="1">
      <c r="B22" s="35"/>
      <c r="C22" s="32"/>
      <c r="D22" s="1077"/>
      <c r="E22" s="1077"/>
      <c r="F22" s="1077"/>
      <c r="G22" s="1077"/>
      <c r="H22" s="1077"/>
      <c r="I22" s="1077"/>
      <c r="J22" s="34"/>
    </row>
    <row r="23" spans="2:10" ht="15" customHeight="1">
      <c r="B23" s="35"/>
      <c r="C23" s="32"/>
      <c r="D23" s="1077"/>
      <c r="E23" s="1077"/>
      <c r="F23" s="1077"/>
      <c r="G23" s="1077"/>
      <c r="H23" s="1077"/>
      <c r="I23" s="1077"/>
      <c r="J23" s="34"/>
    </row>
    <row r="24" spans="2:10" ht="15" customHeight="1">
      <c r="B24" s="35"/>
      <c r="C24" s="32"/>
      <c r="D24" s="1077"/>
      <c r="E24" s="1077"/>
      <c r="F24" s="1077"/>
      <c r="G24" s="1077"/>
      <c r="H24" s="1077"/>
      <c r="I24" s="1077"/>
      <c r="J24" s="34"/>
    </row>
  </sheetData>
  <mergeCells count="21">
    <mergeCell ref="D22:I22"/>
    <mergeCell ref="D23:I23"/>
    <mergeCell ref="D24:I24"/>
    <mergeCell ref="D16:I16"/>
    <mergeCell ref="D17:I17"/>
    <mergeCell ref="D18:I18"/>
    <mergeCell ref="D19:I19"/>
    <mergeCell ref="D20:I20"/>
    <mergeCell ref="D21:I21"/>
    <mergeCell ref="D15:I15"/>
    <mergeCell ref="K1:L1"/>
    <mergeCell ref="D5:I5"/>
    <mergeCell ref="D6:I6"/>
    <mergeCell ref="D7:I7"/>
    <mergeCell ref="D8:I8"/>
    <mergeCell ref="D9:I9"/>
    <mergeCell ref="D10:I10"/>
    <mergeCell ref="D11:I11"/>
    <mergeCell ref="D12:I12"/>
    <mergeCell ref="D13:I13"/>
    <mergeCell ref="D14:I1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57</vt:i4>
      </vt:variant>
    </vt:vector>
  </HeadingPairs>
  <TitlesOfParts>
    <vt:vector size="68" baseType="lpstr">
      <vt:lpstr>Resumen</vt:lpstr>
      <vt:lpstr>GGAL</vt:lpstr>
      <vt:lpstr>Costo Fin.</vt:lpstr>
      <vt:lpstr>Opciones Gral</vt:lpstr>
      <vt:lpstr>log</vt:lpstr>
      <vt:lpstr>regOrds</vt:lpstr>
      <vt:lpstr>Datos Volat</vt:lpstr>
      <vt:lpstr>Datos</vt:lpstr>
      <vt:lpstr>Tablas AUXS</vt:lpstr>
      <vt:lpstr>Mejora Continua</vt:lpstr>
      <vt:lpstr>Control cambios</vt:lpstr>
      <vt:lpstr>ACCIONES</vt:lpstr>
      <vt:lpstr>ACTIVOS_A_OPERAR</vt:lpstr>
      <vt:lpstr>ARANCELES</vt:lpstr>
      <vt:lpstr>GGAL!baseCantPrima</vt:lpstr>
      <vt:lpstr>GGAL!basesCantPrimaBrutoRes</vt:lpstr>
      <vt:lpstr>GGAL!basesCantPrimaNetoRes</vt:lpstr>
      <vt:lpstr>BONOS</vt:lpstr>
      <vt:lpstr>GGAL!CALLS_PRUEBA</vt:lpstr>
      <vt:lpstr>cants</vt:lpstr>
      <vt:lpstr>CAUCION_COLOCADORA</vt:lpstr>
      <vt:lpstr>CAUCION_TOMADORA</vt:lpstr>
      <vt:lpstr>CEDEARS</vt:lpstr>
      <vt:lpstr>COMIS_ACCION</vt:lpstr>
      <vt:lpstr>COMIS_BONOS</vt:lpstr>
      <vt:lpstr>COMIS_CAUCION_COLOC</vt:lpstr>
      <vt:lpstr>COMIS_CAUCION_TOM</vt:lpstr>
      <vt:lpstr>COMIS_CEDEARS</vt:lpstr>
      <vt:lpstr>COMIS_EJERCICIO_OPCION</vt:lpstr>
      <vt:lpstr>COMIS_OPCION</vt:lpstr>
      <vt:lpstr>log!comis_pesos</vt:lpstr>
      <vt:lpstr>log!comis_usd</vt:lpstr>
      <vt:lpstr>GGAL!CON_COMIS</vt:lpstr>
      <vt:lpstr>GGAL!CON_EJERCICIO</vt:lpstr>
      <vt:lpstr>cotizaciones_ADRGGAL</vt:lpstr>
      <vt:lpstr>cotizaciones_GGAL</vt:lpstr>
      <vt:lpstr>ESTADO</vt:lpstr>
      <vt:lpstr>ESTILO</vt:lpstr>
      <vt:lpstr>FACTOR_ADR</vt:lpstr>
      <vt:lpstr>factor_cap</vt:lpstr>
      <vt:lpstr>GGAL!hojaBasesPrecios</vt:lpstr>
      <vt:lpstr>im</vt:lpstr>
      <vt:lpstr>GGAL!mariposas</vt:lpstr>
      <vt:lpstr>Operar</vt:lpstr>
      <vt:lpstr>GGAL!operarMariposas</vt:lpstr>
      <vt:lpstr>PANEL_ACCIONES</vt:lpstr>
      <vt:lpstr>PANEL_OPCIONES</vt:lpstr>
      <vt:lpstr>GGAL!PRECIOS_BASES_CARTERA</vt:lpstr>
      <vt:lpstr>GGAL!PRECIOS_BASES_MERCADO</vt:lpstr>
      <vt:lpstr>GGAL!PRECIOS_EJERCICIOS</vt:lpstr>
      <vt:lpstr>PreciosCalls</vt:lpstr>
      <vt:lpstr>'Datos Volat'!precioshistoricos_ADRGGAL</vt:lpstr>
      <vt:lpstr>'Datos Volat'!precioshistoricos_GGAL</vt:lpstr>
      <vt:lpstr>GGAL!preciosPromedio</vt:lpstr>
      <vt:lpstr>PreciosPuts</vt:lpstr>
      <vt:lpstr>GGAL!PUTS_PRUEBA</vt:lpstr>
      <vt:lpstr>GGAL!resumenBases</vt:lpstr>
      <vt:lpstr>TICKERS_ACCIONES_OPCIONES</vt:lpstr>
      <vt:lpstr>TICKERS_OPCIONES_ACCIONES</vt:lpstr>
      <vt:lpstr>TIPO</vt:lpstr>
      <vt:lpstr>GGAL!totalBruto</vt:lpstr>
      <vt:lpstr>GGAL!totalNeto</vt:lpstr>
      <vt:lpstr>totalNetoPrueba</vt:lpstr>
      <vt:lpstr>log!usd</vt:lpstr>
      <vt:lpstr>users</vt:lpstr>
      <vt:lpstr>ve</vt:lpstr>
      <vt:lpstr>VENCIMIENTOS_OPCIONES</vt:lpstr>
      <vt:lpstr>VENCIMIENTOS_REF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Jonatán Siracusa</dc:creator>
  <cp:lastModifiedBy>User</cp:lastModifiedBy>
  <cp:lastPrinted>2017-02-22T23:53:44Z</cp:lastPrinted>
  <dcterms:created xsi:type="dcterms:W3CDTF">2015-11-30T08:36:25Z</dcterms:created>
  <dcterms:modified xsi:type="dcterms:W3CDTF">2022-02-24T00:18:27Z</dcterms:modified>
</cp:coreProperties>
</file>